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Y:\Banking Operations\Remittances &amp; Clearing\RESTRICTED - OPERATIONS\RESTRICTED -REMITTANCE\CMS BULK PAYMENT\IBG Bulk Payment August 2020\"/>
    </mc:Choice>
  </mc:AlternateContent>
  <bookViews>
    <workbookView xWindow="0" yWindow="0" windowWidth="20490" windowHeight="7770"/>
  </bookViews>
  <sheets>
    <sheet name="BulkPaymentReport_20200804" sheetId="1" r:id="rId1"/>
  </sheets>
  <calcPr calcId="0"/>
</workbook>
</file>

<file path=xl/calcChain.xml><?xml version="1.0" encoding="utf-8"?>
<calcChain xmlns="http://schemas.openxmlformats.org/spreadsheetml/2006/main">
  <c r="A7" i="1" l="1"/>
  <c r="B7" i="1"/>
  <c r="C7" i="1"/>
  <c r="D7" i="1"/>
  <c r="E7" i="1"/>
  <c r="F7" i="1"/>
  <c r="G7" i="1"/>
  <c r="I7" i="1"/>
  <c r="J7" i="1"/>
  <c r="K7" i="1"/>
  <c r="L7" i="1"/>
  <c r="M7" i="1"/>
  <c r="N7" i="1"/>
  <c r="O7" i="1"/>
  <c r="P7" i="1"/>
  <c r="Q7" i="1"/>
  <c r="R7" i="1"/>
  <c r="S7" i="1"/>
  <c r="T7" i="1"/>
  <c r="U7" i="1"/>
  <c r="V7" i="1"/>
  <c r="W7" i="1"/>
  <c r="X7" i="1"/>
  <c r="Y7" i="1"/>
  <c r="Z7" i="1"/>
  <c r="A8" i="1"/>
  <c r="B8" i="1"/>
  <c r="C8" i="1"/>
  <c r="D8" i="1"/>
  <c r="E8" i="1"/>
  <c r="F8" i="1"/>
  <c r="G8" i="1"/>
  <c r="I8" i="1"/>
  <c r="J8" i="1"/>
  <c r="K8" i="1"/>
  <c r="L8" i="1"/>
  <c r="M8" i="1"/>
  <c r="N8" i="1"/>
  <c r="O8" i="1"/>
  <c r="P8" i="1"/>
  <c r="Q8" i="1"/>
  <c r="R8" i="1"/>
  <c r="S8" i="1"/>
  <c r="T8" i="1"/>
  <c r="U8" i="1"/>
  <c r="V8" i="1"/>
  <c r="W8" i="1"/>
  <c r="X8" i="1"/>
  <c r="Y8" i="1"/>
  <c r="Z8" i="1"/>
  <c r="A9" i="1"/>
  <c r="B9" i="1"/>
  <c r="C9" i="1"/>
  <c r="D9" i="1"/>
  <c r="E9" i="1"/>
  <c r="F9" i="1"/>
  <c r="G9" i="1"/>
  <c r="I9" i="1"/>
  <c r="J9" i="1"/>
  <c r="K9" i="1"/>
  <c r="L9" i="1"/>
  <c r="M9" i="1"/>
  <c r="N9" i="1"/>
  <c r="O9" i="1"/>
  <c r="P9" i="1"/>
  <c r="Q9" i="1"/>
  <c r="R9" i="1"/>
  <c r="S9" i="1"/>
  <c r="T9" i="1"/>
  <c r="U9" i="1"/>
  <c r="V9" i="1"/>
  <c r="W9" i="1"/>
  <c r="X9" i="1"/>
  <c r="Y9" i="1"/>
  <c r="Z9" i="1"/>
  <c r="A10" i="1"/>
  <c r="B10" i="1"/>
  <c r="C10" i="1"/>
  <c r="D10" i="1"/>
  <c r="E10" i="1"/>
  <c r="F10" i="1"/>
  <c r="G10" i="1"/>
  <c r="I10" i="1"/>
  <c r="J10" i="1"/>
  <c r="K10" i="1"/>
  <c r="L10" i="1"/>
  <c r="M10" i="1"/>
  <c r="N10" i="1"/>
  <c r="O10" i="1"/>
  <c r="P10" i="1"/>
  <c r="Q10" i="1"/>
  <c r="R10" i="1"/>
  <c r="S10" i="1"/>
  <c r="T10" i="1"/>
  <c r="U10" i="1"/>
  <c r="V10" i="1"/>
  <c r="W10" i="1"/>
  <c r="X10" i="1"/>
  <c r="Y10" i="1"/>
  <c r="Z10" i="1"/>
  <c r="A11" i="1"/>
  <c r="B11" i="1"/>
  <c r="C11" i="1"/>
  <c r="D11" i="1"/>
  <c r="E11" i="1"/>
  <c r="F11" i="1"/>
  <c r="G11" i="1"/>
  <c r="I11" i="1"/>
  <c r="J11" i="1"/>
  <c r="K11" i="1"/>
  <c r="L11" i="1"/>
  <c r="M11" i="1"/>
  <c r="N11" i="1"/>
  <c r="O11" i="1"/>
  <c r="P11" i="1"/>
  <c r="Q11" i="1"/>
  <c r="R11" i="1"/>
  <c r="S11" i="1"/>
  <c r="T11" i="1"/>
  <c r="U11" i="1"/>
  <c r="V11" i="1"/>
  <c r="W11" i="1"/>
  <c r="X11" i="1"/>
  <c r="Y11" i="1"/>
  <c r="Z11" i="1"/>
  <c r="A12" i="1"/>
  <c r="B12" i="1"/>
  <c r="C12" i="1"/>
  <c r="D12" i="1"/>
  <c r="E12" i="1"/>
  <c r="F12" i="1"/>
  <c r="G12" i="1"/>
  <c r="I12" i="1"/>
  <c r="J12" i="1"/>
  <c r="K12" i="1"/>
  <c r="L12" i="1"/>
  <c r="M12" i="1"/>
  <c r="N12" i="1"/>
  <c r="O12" i="1"/>
  <c r="P12" i="1"/>
  <c r="Q12" i="1"/>
  <c r="R12" i="1"/>
  <c r="S12" i="1"/>
  <c r="T12" i="1"/>
  <c r="U12" i="1"/>
  <c r="V12" i="1"/>
  <c r="W12" i="1"/>
  <c r="X12" i="1"/>
  <c r="Y12" i="1"/>
  <c r="Z12" i="1"/>
  <c r="A13" i="1"/>
  <c r="B13" i="1"/>
  <c r="C13" i="1"/>
  <c r="D13" i="1"/>
  <c r="E13" i="1"/>
  <c r="F13" i="1"/>
  <c r="G13" i="1"/>
  <c r="I13" i="1"/>
  <c r="J13" i="1"/>
  <c r="K13" i="1"/>
  <c r="L13" i="1"/>
  <c r="M13" i="1"/>
  <c r="N13" i="1"/>
  <c r="O13" i="1"/>
  <c r="P13" i="1"/>
  <c r="Q13" i="1"/>
  <c r="R13" i="1"/>
  <c r="S13" i="1"/>
  <c r="T13" i="1"/>
  <c r="U13" i="1"/>
  <c r="V13" i="1"/>
  <c r="W13" i="1"/>
  <c r="X13" i="1"/>
  <c r="Y13" i="1"/>
  <c r="Z13" i="1"/>
  <c r="A14" i="1"/>
  <c r="B14" i="1"/>
  <c r="C14" i="1"/>
  <c r="D14" i="1"/>
  <c r="E14" i="1"/>
  <c r="F14" i="1"/>
  <c r="G14" i="1"/>
  <c r="I14" i="1"/>
  <c r="J14" i="1"/>
  <c r="K14" i="1"/>
  <c r="L14" i="1"/>
  <c r="M14" i="1"/>
  <c r="N14" i="1"/>
  <c r="O14" i="1"/>
  <c r="P14" i="1"/>
  <c r="Q14" i="1"/>
  <c r="R14" i="1"/>
  <c r="S14" i="1"/>
  <c r="T14" i="1"/>
  <c r="U14" i="1"/>
  <c r="V14" i="1"/>
  <c r="W14" i="1"/>
  <c r="X14" i="1"/>
  <c r="Y14" i="1"/>
  <c r="Z14" i="1"/>
  <c r="A15" i="1"/>
  <c r="B15" i="1"/>
  <c r="C15" i="1"/>
  <c r="D15" i="1"/>
  <c r="E15" i="1"/>
  <c r="F15" i="1"/>
  <c r="G15" i="1"/>
  <c r="I15" i="1"/>
  <c r="J15" i="1"/>
  <c r="K15" i="1"/>
  <c r="L15" i="1"/>
  <c r="M15" i="1"/>
  <c r="N15" i="1"/>
  <c r="O15" i="1"/>
  <c r="P15" i="1"/>
  <c r="Q15" i="1"/>
  <c r="R15" i="1"/>
  <c r="S15" i="1"/>
  <c r="T15" i="1"/>
  <c r="U15" i="1"/>
  <c r="V15" i="1"/>
  <c r="W15" i="1"/>
  <c r="X15" i="1"/>
  <c r="Y15" i="1"/>
  <c r="Z15" i="1"/>
  <c r="A16" i="1"/>
  <c r="B16" i="1"/>
  <c r="C16" i="1"/>
  <c r="D16" i="1"/>
  <c r="E16" i="1"/>
  <c r="F16" i="1"/>
  <c r="G16" i="1"/>
  <c r="I16" i="1"/>
  <c r="J16" i="1"/>
  <c r="K16" i="1"/>
  <c r="L16" i="1"/>
  <c r="M16" i="1"/>
  <c r="N16" i="1"/>
  <c r="O16" i="1"/>
  <c r="P16" i="1"/>
  <c r="Q16" i="1"/>
  <c r="R16" i="1"/>
  <c r="S16" i="1"/>
  <c r="T16" i="1"/>
  <c r="U16" i="1"/>
  <c r="V16" i="1"/>
  <c r="W16" i="1"/>
  <c r="X16" i="1"/>
  <c r="Y16" i="1"/>
  <c r="Z16" i="1"/>
  <c r="A17" i="1"/>
  <c r="B17" i="1"/>
  <c r="C17" i="1"/>
  <c r="D17" i="1"/>
  <c r="E17" i="1"/>
  <c r="F17" i="1"/>
  <c r="G17" i="1"/>
  <c r="I17" i="1"/>
  <c r="J17" i="1"/>
  <c r="K17" i="1"/>
  <c r="L17" i="1"/>
  <c r="M17" i="1"/>
  <c r="N17" i="1"/>
  <c r="O17" i="1"/>
  <c r="P17" i="1"/>
  <c r="Q17" i="1"/>
  <c r="R17" i="1"/>
  <c r="S17" i="1"/>
  <c r="T17" i="1"/>
  <c r="U17" i="1"/>
  <c r="V17" i="1"/>
  <c r="W17" i="1"/>
  <c r="X17" i="1"/>
  <c r="Y17" i="1"/>
  <c r="Z17" i="1"/>
  <c r="A18" i="1"/>
  <c r="B18" i="1"/>
  <c r="C18" i="1"/>
  <c r="D18" i="1"/>
  <c r="E18" i="1"/>
  <c r="F18" i="1"/>
  <c r="G18" i="1"/>
  <c r="I18" i="1"/>
  <c r="J18" i="1"/>
  <c r="K18" i="1"/>
  <c r="L18" i="1"/>
  <c r="M18" i="1"/>
  <c r="N18" i="1"/>
  <c r="O18" i="1"/>
  <c r="P18" i="1"/>
  <c r="Q18" i="1"/>
  <c r="R18" i="1"/>
  <c r="S18" i="1"/>
  <c r="T18" i="1"/>
  <c r="U18" i="1"/>
  <c r="V18" i="1"/>
  <c r="W18" i="1"/>
  <c r="X18" i="1"/>
  <c r="Y18" i="1"/>
  <c r="Z18" i="1"/>
  <c r="A19" i="1"/>
  <c r="B19" i="1"/>
  <c r="C19" i="1"/>
  <c r="D19" i="1"/>
  <c r="E19" i="1"/>
  <c r="F19" i="1"/>
  <c r="G19" i="1"/>
  <c r="I19" i="1"/>
  <c r="J19" i="1"/>
  <c r="K19" i="1"/>
  <c r="L19" i="1"/>
  <c r="M19" i="1"/>
  <c r="N19" i="1"/>
  <c r="O19" i="1"/>
  <c r="P19" i="1"/>
  <c r="Q19" i="1"/>
  <c r="R19" i="1"/>
  <c r="S19" i="1"/>
  <c r="T19" i="1"/>
  <c r="U19" i="1"/>
  <c r="V19" i="1"/>
  <c r="W19" i="1"/>
  <c r="X19" i="1"/>
  <c r="Y19" i="1"/>
  <c r="Z19" i="1"/>
  <c r="A20" i="1"/>
  <c r="B20" i="1"/>
  <c r="C20" i="1"/>
  <c r="D20" i="1"/>
  <c r="E20" i="1"/>
  <c r="F20" i="1"/>
  <c r="G20" i="1"/>
  <c r="I20" i="1"/>
  <c r="J20" i="1"/>
  <c r="K20" i="1"/>
  <c r="L20" i="1"/>
  <c r="M20" i="1"/>
  <c r="N20" i="1"/>
  <c r="O20" i="1"/>
  <c r="P20" i="1"/>
  <c r="Q20" i="1"/>
  <c r="R20" i="1"/>
  <c r="S20" i="1"/>
  <c r="T20" i="1"/>
  <c r="U20" i="1"/>
  <c r="V20" i="1"/>
  <c r="W20" i="1"/>
  <c r="X20" i="1"/>
  <c r="Y20" i="1"/>
  <c r="Z20" i="1"/>
  <c r="A21" i="1"/>
  <c r="B21" i="1"/>
  <c r="C21" i="1"/>
  <c r="D21" i="1"/>
  <c r="E21" i="1"/>
  <c r="F21" i="1"/>
  <c r="G21" i="1"/>
  <c r="I21" i="1"/>
  <c r="J21" i="1"/>
  <c r="K21" i="1"/>
  <c r="L21" i="1"/>
  <c r="M21" i="1"/>
  <c r="N21" i="1"/>
  <c r="O21" i="1"/>
  <c r="P21" i="1"/>
  <c r="Q21" i="1"/>
  <c r="R21" i="1"/>
  <c r="S21" i="1"/>
  <c r="T21" i="1"/>
  <c r="U21" i="1"/>
  <c r="V21" i="1"/>
  <c r="W21" i="1"/>
  <c r="X21" i="1"/>
  <c r="Y21" i="1"/>
  <c r="Z21" i="1"/>
  <c r="A22" i="1"/>
  <c r="B22" i="1"/>
  <c r="C22" i="1"/>
  <c r="D22" i="1"/>
  <c r="E22" i="1"/>
  <c r="F22" i="1"/>
  <c r="G22" i="1"/>
  <c r="I22" i="1"/>
  <c r="J22" i="1"/>
  <c r="K22" i="1"/>
  <c r="L22" i="1"/>
  <c r="M22" i="1"/>
  <c r="N22" i="1"/>
  <c r="O22" i="1"/>
  <c r="P22" i="1"/>
  <c r="Q22" i="1"/>
  <c r="R22" i="1"/>
  <c r="S22" i="1"/>
  <c r="T22" i="1"/>
  <c r="U22" i="1"/>
  <c r="V22" i="1"/>
  <c r="W22" i="1"/>
  <c r="X22" i="1"/>
  <c r="Y22" i="1"/>
  <c r="Z22" i="1"/>
  <c r="A23" i="1"/>
  <c r="B23" i="1"/>
  <c r="C23" i="1"/>
  <c r="D23" i="1"/>
  <c r="E23" i="1"/>
  <c r="F23" i="1"/>
  <c r="G23" i="1"/>
  <c r="I23" i="1"/>
  <c r="J23" i="1"/>
  <c r="K23" i="1"/>
  <c r="L23" i="1"/>
  <c r="M23" i="1"/>
  <c r="N23" i="1"/>
  <c r="O23" i="1"/>
  <c r="P23" i="1"/>
  <c r="Q23" i="1"/>
  <c r="R23" i="1"/>
  <c r="S23" i="1"/>
  <c r="T23" i="1"/>
  <c r="U23" i="1"/>
  <c r="V23" i="1"/>
  <c r="W23" i="1"/>
  <c r="X23" i="1"/>
  <c r="Y23" i="1"/>
  <c r="Z23" i="1"/>
  <c r="A24" i="1"/>
  <c r="B24" i="1"/>
  <c r="C24" i="1"/>
  <c r="D24" i="1"/>
  <c r="E24" i="1"/>
  <c r="F24" i="1"/>
  <c r="G24" i="1"/>
  <c r="I24" i="1"/>
  <c r="J24" i="1"/>
  <c r="K24" i="1"/>
  <c r="L24" i="1"/>
  <c r="M24" i="1"/>
  <c r="N24" i="1"/>
  <c r="O24" i="1"/>
  <c r="P24" i="1"/>
  <c r="Q24" i="1"/>
  <c r="R24" i="1"/>
  <c r="S24" i="1"/>
  <c r="T24" i="1"/>
  <c r="U24" i="1"/>
  <c r="V24" i="1"/>
  <c r="W24" i="1"/>
  <c r="X24" i="1"/>
  <c r="Y24" i="1"/>
  <c r="Z24" i="1"/>
  <c r="A25" i="1"/>
  <c r="B25" i="1"/>
  <c r="C25" i="1"/>
  <c r="D25" i="1"/>
  <c r="E25" i="1"/>
  <c r="F25" i="1"/>
  <c r="G25" i="1"/>
  <c r="I25" i="1"/>
  <c r="J25" i="1"/>
  <c r="K25" i="1"/>
  <c r="L25" i="1"/>
  <c r="M25" i="1"/>
  <c r="N25" i="1"/>
  <c r="O25" i="1"/>
  <c r="P25" i="1"/>
  <c r="Q25" i="1"/>
  <c r="R25" i="1"/>
  <c r="S25" i="1"/>
  <c r="T25" i="1"/>
  <c r="U25" i="1"/>
  <c r="V25" i="1"/>
  <c r="W25" i="1"/>
  <c r="X25" i="1"/>
  <c r="Y25" i="1"/>
  <c r="Z25" i="1"/>
  <c r="A26" i="1"/>
  <c r="B26" i="1"/>
  <c r="C26" i="1"/>
  <c r="D26" i="1"/>
  <c r="E26" i="1"/>
  <c r="F26" i="1"/>
  <c r="G26" i="1"/>
  <c r="I26" i="1"/>
  <c r="J26" i="1"/>
  <c r="K26" i="1"/>
  <c r="L26" i="1"/>
  <c r="M26" i="1"/>
  <c r="N26" i="1"/>
  <c r="O26" i="1"/>
  <c r="P26" i="1"/>
  <c r="Q26" i="1"/>
  <c r="R26" i="1"/>
  <c r="S26" i="1"/>
  <c r="T26" i="1"/>
  <c r="U26" i="1"/>
  <c r="V26" i="1"/>
  <c r="W26" i="1"/>
  <c r="X26" i="1"/>
  <c r="Y26" i="1"/>
  <c r="Z26" i="1"/>
  <c r="A27" i="1"/>
  <c r="B27" i="1"/>
  <c r="C27" i="1"/>
  <c r="D27" i="1"/>
  <c r="E27" i="1"/>
  <c r="F27" i="1"/>
  <c r="G27" i="1"/>
  <c r="I27" i="1"/>
  <c r="J27" i="1"/>
  <c r="K27" i="1"/>
  <c r="L27" i="1"/>
  <c r="M27" i="1"/>
  <c r="N27" i="1"/>
  <c r="O27" i="1"/>
  <c r="P27" i="1"/>
  <c r="Q27" i="1"/>
  <c r="R27" i="1"/>
  <c r="S27" i="1"/>
  <c r="T27" i="1"/>
  <c r="U27" i="1"/>
  <c r="V27" i="1"/>
  <c r="W27" i="1"/>
  <c r="X27" i="1"/>
  <c r="Y27" i="1"/>
  <c r="Z27" i="1"/>
  <c r="A28" i="1"/>
  <c r="B28" i="1"/>
  <c r="C28" i="1"/>
  <c r="D28" i="1"/>
  <c r="E28" i="1"/>
  <c r="F28" i="1"/>
  <c r="G28" i="1"/>
  <c r="I28" i="1"/>
  <c r="J28" i="1"/>
  <c r="K28" i="1"/>
  <c r="L28" i="1"/>
  <c r="M28" i="1"/>
  <c r="N28" i="1"/>
  <c r="O28" i="1"/>
  <c r="P28" i="1"/>
  <c r="Q28" i="1"/>
  <c r="R28" i="1"/>
  <c r="S28" i="1"/>
  <c r="T28" i="1"/>
  <c r="U28" i="1"/>
  <c r="V28" i="1"/>
  <c r="W28" i="1"/>
  <c r="X28" i="1"/>
  <c r="Y28" i="1"/>
  <c r="Z28" i="1"/>
  <c r="A29" i="1"/>
  <c r="B29" i="1"/>
  <c r="C29" i="1"/>
  <c r="D29" i="1"/>
  <c r="E29" i="1"/>
  <c r="F29" i="1"/>
  <c r="G29" i="1"/>
  <c r="I29" i="1"/>
  <c r="J29" i="1"/>
  <c r="K29" i="1"/>
  <c r="L29" i="1"/>
  <c r="M29" i="1"/>
  <c r="N29" i="1"/>
  <c r="O29" i="1"/>
  <c r="P29" i="1"/>
  <c r="Q29" i="1"/>
  <c r="R29" i="1"/>
  <c r="S29" i="1"/>
  <c r="T29" i="1"/>
  <c r="U29" i="1"/>
  <c r="V29" i="1"/>
  <c r="W29" i="1"/>
  <c r="X29" i="1"/>
  <c r="Y29" i="1"/>
  <c r="Z29" i="1"/>
  <c r="A30" i="1"/>
  <c r="B30" i="1"/>
  <c r="C30" i="1"/>
  <c r="D30" i="1"/>
  <c r="E30" i="1"/>
  <c r="F30" i="1"/>
  <c r="G30" i="1"/>
  <c r="I30" i="1"/>
  <c r="J30" i="1"/>
  <c r="K30" i="1"/>
  <c r="L30" i="1"/>
  <c r="M30" i="1"/>
  <c r="N30" i="1"/>
  <c r="O30" i="1"/>
  <c r="P30" i="1"/>
  <c r="Q30" i="1"/>
  <c r="R30" i="1"/>
  <c r="S30" i="1"/>
  <c r="T30" i="1"/>
  <c r="U30" i="1"/>
  <c r="V30" i="1"/>
  <c r="W30" i="1"/>
  <c r="X30" i="1"/>
  <c r="Y30" i="1"/>
  <c r="Z30" i="1"/>
  <c r="A31" i="1"/>
  <c r="B31" i="1"/>
  <c r="C31" i="1"/>
  <c r="D31" i="1"/>
  <c r="E31" i="1"/>
  <c r="F31" i="1"/>
  <c r="G31" i="1"/>
  <c r="I31" i="1"/>
  <c r="J31" i="1"/>
  <c r="K31" i="1"/>
  <c r="L31" i="1"/>
  <c r="M31" i="1"/>
  <c r="N31" i="1"/>
  <c r="O31" i="1"/>
  <c r="P31" i="1"/>
  <c r="Q31" i="1"/>
  <c r="R31" i="1"/>
  <c r="S31" i="1"/>
  <c r="T31" i="1"/>
  <c r="U31" i="1"/>
  <c r="V31" i="1"/>
  <c r="W31" i="1"/>
  <c r="X31" i="1"/>
  <c r="Y31" i="1"/>
  <c r="Z31" i="1"/>
  <c r="A32" i="1"/>
  <c r="B32" i="1"/>
  <c r="C32" i="1"/>
  <c r="D32" i="1"/>
  <c r="E32" i="1"/>
  <c r="F32" i="1"/>
  <c r="G32" i="1"/>
  <c r="I32" i="1"/>
  <c r="J32" i="1"/>
  <c r="K32" i="1"/>
  <c r="L32" i="1"/>
  <c r="M32" i="1"/>
  <c r="N32" i="1"/>
  <c r="O32" i="1"/>
  <c r="P32" i="1"/>
  <c r="Q32" i="1"/>
  <c r="R32" i="1"/>
  <c r="S32" i="1"/>
  <c r="T32" i="1"/>
  <c r="U32" i="1"/>
  <c r="V32" i="1"/>
  <c r="W32" i="1"/>
  <c r="X32" i="1"/>
  <c r="Y32" i="1"/>
  <c r="Z32" i="1"/>
  <c r="A33" i="1"/>
  <c r="B33" i="1"/>
  <c r="C33" i="1"/>
  <c r="D33" i="1"/>
  <c r="E33" i="1"/>
  <c r="F33" i="1"/>
  <c r="G33" i="1"/>
  <c r="I33" i="1"/>
  <c r="J33" i="1"/>
  <c r="K33" i="1"/>
  <c r="L33" i="1"/>
  <c r="M33" i="1"/>
  <c r="N33" i="1"/>
  <c r="O33" i="1"/>
  <c r="P33" i="1"/>
  <c r="Q33" i="1"/>
  <c r="R33" i="1"/>
  <c r="S33" i="1"/>
  <c r="T33" i="1"/>
  <c r="U33" i="1"/>
  <c r="V33" i="1"/>
  <c r="W33" i="1"/>
  <c r="X33" i="1"/>
  <c r="Y33" i="1"/>
  <c r="Z33" i="1"/>
  <c r="A34" i="1"/>
  <c r="B34" i="1"/>
  <c r="C34" i="1"/>
  <c r="D34" i="1"/>
  <c r="E34" i="1"/>
  <c r="F34" i="1"/>
  <c r="G34" i="1"/>
  <c r="I34" i="1"/>
  <c r="J34" i="1"/>
  <c r="K34" i="1"/>
  <c r="L34" i="1"/>
  <c r="M34" i="1"/>
  <c r="N34" i="1"/>
  <c r="O34" i="1"/>
  <c r="P34" i="1"/>
  <c r="Q34" i="1"/>
  <c r="R34" i="1"/>
  <c r="S34" i="1"/>
  <c r="T34" i="1"/>
  <c r="U34" i="1"/>
  <c r="V34" i="1"/>
  <c r="W34" i="1"/>
  <c r="X34" i="1"/>
  <c r="Y34" i="1"/>
  <c r="Z34" i="1"/>
  <c r="A35" i="1"/>
  <c r="B35" i="1"/>
  <c r="C35" i="1"/>
  <c r="D35" i="1"/>
  <c r="E35" i="1"/>
  <c r="F35" i="1"/>
  <c r="G35" i="1"/>
  <c r="I35" i="1"/>
  <c r="J35" i="1"/>
  <c r="K35" i="1"/>
  <c r="L35" i="1"/>
  <c r="M35" i="1"/>
  <c r="N35" i="1"/>
  <c r="O35" i="1"/>
  <c r="P35" i="1"/>
  <c r="Q35" i="1"/>
  <c r="R35" i="1"/>
  <c r="S35" i="1"/>
  <c r="T35" i="1"/>
  <c r="U35" i="1"/>
  <c r="V35" i="1"/>
  <c r="W35" i="1"/>
  <c r="X35" i="1"/>
  <c r="Y35" i="1"/>
  <c r="Z35" i="1"/>
  <c r="A36" i="1"/>
  <c r="B36" i="1"/>
  <c r="C36" i="1"/>
  <c r="D36" i="1"/>
  <c r="E36" i="1"/>
  <c r="F36" i="1"/>
  <c r="G36" i="1"/>
  <c r="I36" i="1"/>
  <c r="J36" i="1"/>
  <c r="K36" i="1"/>
  <c r="L36" i="1"/>
  <c r="M36" i="1"/>
  <c r="N36" i="1"/>
  <c r="O36" i="1"/>
  <c r="P36" i="1"/>
  <c r="Q36" i="1"/>
  <c r="R36" i="1"/>
  <c r="S36" i="1"/>
  <c r="T36" i="1"/>
  <c r="U36" i="1"/>
  <c r="V36" i="1"/>
  <c r="W36" i="1"/>
  <c r="X36" i="1"/>
  <c r="Y36" i="1"/>
  <c r="Z36" i="1"/>
  <c r="A37" i="1"/>
  <c r="B37" i="1"/>
  <c r="C37" i="1"/>
  <c r="D37" i="1"/>
  <c r="E37" i="1"/>
  <c r="F37" i="1"/>
  <c r="G37" i="1"/>
  <c r="I37" i="1"/>
  <c r="J37" i="1"/>
  <c r="K37" i="1"/>
  <c r="L37" i="1"/>
  <c r="M37" i="1"/>
  <c r="N37" i="1"/>
  <c r="O37" i="1"/>
  <c r="P37" i="1"/>
  <c r="Q37" i="1"/>
  <c r="R37" i="1"/>
  <c r="S37" i="1"/>
  <c r="T37" i="1"/>
  <c r="U37" i="1"/>
  <c r="V37" i="1"/>
  <c r="W37" i="1"/>
  <c r="X37" i="1"/>
  <c r="Y37" i="1"/>
  <c r="Z37" i="1"/>
  <c r="A38" i="1"/>
  <c r="B38" i="1"/>
  <c r="C38" i="1"/>
  <c r="D38" i="1"/>
  <c r="E38" i="1"/>
  <c r="F38" i="1"/>
  <c r="G38" i="1"/>
  <c r="I38" i="1"/>
  <c r="J38" i="1"/>
  <c r="K38" i="1"/>
  <c r="L38" i="1"/>
  <c r="M38" i="1"/>
  <c r="N38" i="1"/>
  <c r="O38" i="1"/>
  <c r="P38" i="1"/>
  <c r="Q38" i="1"/>
  <c r="R38" i="1"/>
  <c r="S38" i="1"/>
  <c r="T38" i="1"/>
  <c r="U38" i="1"/>
  <c r="V38" i="1"/>
  <c r="W38" i="1"/>
  <c r="X38" i="1"/>
  <c r="Y38" i="1"/>
  <c r="Z38" i="1"/>
  <c r="A39" i="1"/>
  <c r="B39" i="1"/>
  <c r="C39" i="1"/>
  <c r="D39" i="1"/>
  <c r="E39" i="1"/>
  <c r="F39" i="1"/>
  <c r="G39" i="1"/>
  <c r="I39" i="1"/>
  <c r="J39" i="1"/>
  <c r="K39" i="1"/>
  <c r="L39" i="1"/>
  <c r="M39" i="1"/>
  <c r="N39" i="1"/>
  <c r="O39" i="1"/>
  <c r="P39" i="1"/>
  <c r="Q39" i="1"/>
  <c r="R39" i="1"/>
  <c r="S39" i="1"/>
  <c r="T39" i="1"/>
  <c r="U39" i="1"/>
  <c r="V39" i="1"/>
  <c r="W39" i="1"/>
  <c r="X39" i="1"/>
  <c r="Y39" i="1"/>
  <c r="Z39" i="1"/>
  <c r="A40" i="1"/>
  <c r="B40" i="1"/>
  <c r="C40" i="1"/>
  <c r="D40" i="1"/>
  <c r="E40" i="1"/>
  <c r="F40" i="1"/>
  <c r="G40" i="1"/>
  <c r="I40" i="1"/>
  <c r="J40" i="1"/>
  <c r="K40" i="1"/>
  <c r="L40" i="1"/>
  <c r="M40" i="1"/>
  <c r="N40" i="1"/>
  <c r="O40" i="1"/>
  <c r="P40" i="1"/>
  <c r="Q40" i="1"/>
  <c r="R40" i="1"/>
  <c r="S40" i="1"/>
  <c r="T40" i="1"/>
  <c r="U40" i="1"/>
  <c r="V40" i="1"/>
  <c r="W40" i="1"/>
  <c r="X40" i="1"/>
  <c r="Y40" i="1"/>
  <c r="Z40" i="1"/>
  <c r="A41" i="1"/>
  <c r="B41" i="1"/>
  <c r="C41" i="1"/>
  <c r="D41" i="1"/>
  <c r="E41" i="1"/>
  <c r="F41" i="1"/>
  <c r="G41" i="1"/>
  <c r="I41" i="1"/>
  <c r="J41" i="1"/>
  <c r="K41" i="1"/>
  <c r="L41" i="1"/>
  <c r="M41" i="1"/>
  <c r="N41" i="1"/>
  <c r="O41" i="1"/>
  <c r="P41" i="1"/>
  <c r="Q41" i="1"/>
  <c r="R41" i="1"/>
  <c r="S41" i="1"/>
  <c r="T41" i="1"/>
  <c r="U41" i="1"/>
  <c r="V41" i="1"/>
  <c r="W41" i="1"/>
  <c r="X41" i="1"/>
  <c r="Y41" i="1"/>
  <c r="Z41" i="1"/>
  <c r="A42" i="1"/>
  <c r="B42" i="1"/>
  <c r="C42" i="1"/>
  <c r="D42" i="1"/>
  <c r="E42" i="1"/>
  <c r="F42" i="1"/>
  <c r="G42" i="1"/>
  <c r="I42" i="1"/>
  <c r="J42" i="1"/>
  <c r="K42" i="1"/>
  <c r="L42" i="1"/>
  <c r="M42" i="1"/>
  <c r="N42" i="1"/>
  <c r="O42" i="1"/>
  <c r="P42" i="1"/>
  <c r="Q42" i="1"/>
  <c r="R42" i="1"/>
  <c r="S42" i="1"/>
  <c r="T42" i="1"/>
  <c r="U42" i="1"/>
  <c r="V42" i="1"/>
  <c r="W42" i="1"/>
  <c r="X42" i="1"/>
  <c r="Y42" i="1"/>
  <c r="Z42" i="1"/>
  <c r="A43" i="1"/>
  <c r="B43" i="1"/>
  <c r="C43" i="1"/>
  <c r="D43" i="1"/>
  <c r="E43" i="1"/>
  <c r="F43" i="1"/>
  <c r="G43" i="1"/>
  <c r="I43" i="1"/>
  <c r="J43" i="1"/>
  <c r="K43" i="1"/>
  <c r="L43" i="1"/>
  <c r="M43" i="1"/>
  <c r="N43" i="1"/>
  <c r="O43" i="1"/>
  <c r="P43" i="1"/>
  <c r="Q43" i="1"/>
  <c r="R43" i="1"/>
  <c r="S43" i="1"/>
  <c r="T43" i="1"/>
  <c r="U43" i="1"/>
  <c r="V43" i="1"/>
  <c r="W43" i="1"/>
  <c r="X43" i="1"/>
  <c r="Y43" i="1"/>
  <c r="Z43" i="1"/>
  <c r="A44" i="1"/>
  <c r="B44" i="1"/>
  <c r="C44" i="1"/>
  <c r="D44" i="1"/>
  <c r="E44" i="1"/>
  <c r="F44" i="1"/>
  <c r="G44" i="1"/>
  <c r="I44" i="1"/>
  <c r="J44" i="1"/>
  <c r="K44" i="1"/>
  <c r="L44" i="1"/>
  <c r="M44" i="1"/>
  <c r="N44" i="1"/>
  <c r="O44" i="1"/>
  <c r="P44" i="1"/>
  <c r="Q44" i="1"/>
  <c r="R44" i="1"/>
  <c r="S44" i="1"/>
  <c r="T44" i="1"/>
  <c r="U44" i="1"/>
  <c r="V44" i="1"/>
  <c r="W44" i="1"/>
  <c r="X44" i="1"/>
  <c r="Y44" i="1"/>
  <c r="Z44" i="1"/>
  <c r="A45" i="1"/>
  <c r="B45" i="1"/>
  <c r="C45" i="1"/>
  <c r="D45" i="1"/>
  <c r="E45" i="1"/>
  <c r="F45" i="1"/>
  <c r="G45" i="1"/>
  <c r="I45" i="1"/>
  <c r="J45" i="1"/>
  <c r="K45" i="1"/>
  <c r="L45" i="1"/>
  <c r="M45" i="1"/>
  <c r="N45" i="1"/>
  <c r="O45" i="1"/>
  <c r="P45" i="1"/>
  <c r="Q45" i="1"/>
  <c r="R45" i="1"/>
  <c r="S45" i="1"/>
  <c r="T45" i="1"/>
  <c r="U45" i="1"/>
  <c r="V45" i="1"/>
  <c r="W45" i="1"/>
  <c r="X45" i="1"/>
  <c r="Y45" i="1"/>
  <c r="Z45" i="1"/>
  <c r="A46" i="1"/>
  <c r="B46" i="1"/>
  <c r="C46" i="1"/>
  <c r="D46" i="1"/>
  <c r="E46" i="1"/>
  <c r="F46" i="1"/>
  <c r="G46" i="1"/>
  <c r="I46" i="1"/>
  <c r="J46" i="1"/>
  <c r="K46" i="1"/>
  <c r="L46" i="1"/>
  <c r="M46" i="1"/>
  <c r="N46" i="1"/>
  <c r="O46" i="1"/>
  <c r="P46" i="1"/>
  <c r="Q46" i="1"/>
  <c r="R46" i="1"/>
  <c r="S46" i="1"/>
  <c r="T46" i="1"/>
  <c r="U46" i="1"/>
  <c r="V46" i="1"/>
  <c r="W46" i="1"/>
  <c r="X46" i="1"/>
  <c r="Y46" i="1"/>
  <c r="Z46" i="1"/>
  <c r="A47" i="1"/>
  <c r="B47" i="1"/>
  <c r="C47" i="1"/>
  <c r="D47" i="1"/>
  <c r="E47" i="1"/>
  <c r="F47" i="1"/>
  <c r="G47" i="1"/>
  <c r="I47" i="1"/>
  <c r="J47" i="1"/>
  <c r="K47" i="1"/>
  <c r="L47" i="1"/>
  <c r="M47" i="1"/>
  <c r="N47" i="1"/>
  <c r="O47" i="1"/>
  <c r="P47" i="1"/>
  <c r="Q47" i="1"/>
  <c r="R47" i="1"/>
  <c r="S47" i="1"/>
  <c r="T47" i="1"/>
  <c r="U47" i="1"/>
  <c r="V47" i="1"/>
  <c r="W47" i="1"/>
  <c r="X47" i="1"/>
  <c r="Y47" i="1"/>
  <c r="Z47" i="1"/>
  <c r="A48" i="1"/>
  <c r="B48" i="1"/>
  <c r="C48" i="1"/>
  <c r="D48" i="1"/>
  <c r="E48" i="1"/>
  <c r="F48" i="1"/>
  <c r="G48" i="1"/>
  <c r="I48" i="1"/>
  <c r="J48" i="1"/>
  <c r="K48" i="1"/>
  <c r="L48" i="1"/>
  <c r="M48" i="1"/>
  <c r="N48" i="1"/>
  <c r="O48" i="1"/>
  <c r="P48" i="1"/>
  <c r="Q48" i="1"/>
  <c r="R48" i="1"/>
  <c r="S48" i="1"/>
  <c r="T48" i="1"/>
  <c r="U48" i="1"/>
  <c r="V48" i="1"/>
  <c r="W48" i="1"/>
  <c r="X48" i="1"/>
  <c r="Y48" i="1"/>
  <c r="Z48" i="1"/>
  <c r="A49" i="1"/>
  <c r="B49" i="1"/>
  <c r="C49" i="1"/>
  <c r="D49" i="1"/>
  <c r="E49" i="1"/>
  <c r="F49" i="1"/>
  <c r="G49" i="1"/>
  <c r="I49" i="1"/>
  <c r="J49" i="1"/>
  <c r="K49" i="1"/>
  <c r="L49" i="1"/>
  <c r="M49" i="1"/>
  <c r="N49" i="1"/>
  <c r="O49" i="1"/>
  <c r="P49" i="1"/>
  <c r="Q49" i="1"/>
  <c r="R49" i="1"/>
  <c r="S49" i="1"/>
  <c r="T49" i="1"/>
  <c r="U49" i="1"/>
  <c r="V49" i="1"/>
  <c r="W49" i="1"/>
  <c r="X49" i="1"/>
  <c r="Y49" i="1"/>
  <c r="Z49" i="1"/>
  <c r="A50" i="1"/>
  <c r="B50" i="1"/>
  <c r="C50" i="1"/>
  <c r="D50" i="1"/>
  <c r="E50" i="1"/>
  <c r="F50" i="1"/>
  <c r="G50" i="1"/>
  <c r="I50" i="1"/>
  <c r="J50" i="1"/>
  <c r="K50" i="1"/>
  <c r="L50" i="1"/>
  <c r="M50" i="1"/>
  <c r="N50" i="1"/>
  <c r="O50" i="1"/>
  <c r="P50" i="1"/>
  <c r="Q50" i="1"/>
  <c r="R50" i="1"/>
  <c r="S50" i="1"/>
  <c r="T50" i="1"/>
  <c r="U50" i="1"/>
  <c r="V50" i="1"/>
  <c r="W50" i="1"/>
  <c r="X50" i="1"/>
  <c r="Y50" i="1"/>
  <c r="Z50" i="1"/>
  <c r="A51" i="1"/>
  <c r="B51" i="1"/>
  <c r="C51" i="1"/>
  <c r="D51" i="1"/>
  <c r="E51" i="1"/>
  <c r="F51" i="1"/>
  <c r="G51" i="1"/>
  <c r="I51" i="1"/>
  <c r="J51" i="1"/>
  <c r="K51" i="1"/>
  <c r="L51" i="1"/>
  <c r="M51" i="1"/>
  <c r="N51" i="1"/>
  <c r="O51" i="1"/>
  <c r="P51" i="1"/>
  <c r="Q51" i="1"/>
  <c r="R51" i="1"/>
  <c r="S51" i="1"/>
  <c r="T51" i="1"/>
  <c r="U51" i="1"/>
  <c r="V51" i="1"/>
  <c r="W51" i="1"/>
  <c r="X51" i="1"/>
  <c r="Y51" i="1"/>
  <c r="Z51" i="1"/>
  <c r="A52" i="1"/>
  <c r="B52" i="1"/>
  <c r="C52" i="1"/>
  <c r="D52" i="1"/>
  <c r="E52" i="1"/>
  <c r="F52" i="1"/>
  <c r="G52" i="1"/>
  <c r="I52" i="1"/>
  <c r="J52" i="1"/>
  <c r="K52" i="1"/>
  <c r="L52" i="1"/>
  <c r="M52" i="1"/>
  <c r="N52" i="1"/>
  <c r="O52" i="1"/>
  <c r="P52" i="1"/>
  <c r="Q52" i="1"/>
  <c r="R52" i="1"/>
  <c r="S52" i="1"/>
  <c r="T52" i="1"/>
  <c r="U52" i="1"/>
  <c r="V52" i="1"/>
  <c r="W52" i="1"/>
  <c r="X52" i="1"/>
  <c r="Y52" i="1"/>
  <c r="Z52" i="1"/>
  <c r="A53" i="1"/>
  <c r="B53" i="1"/>
  <c r="C53" i="1"/>
  <c r="D53" i="1"/>
  <c r="E53" i="1"/>
  <c r="F53" i="1"/>
  <c r="G53" i="1"/>
  <c r="I53" i="1"/>
  <c r="J53" i="1"/>
  <c r="K53" i="1"/>
  <c r="L53" i="1"/>
  <c r="M53" i="1"/>
  <c r="N53" i="1"/>
  <c r="O53" i="1"/>
  <c r="P53" i="1"/>
  <c r="Q53" i="1"/>
  <c r="R53" i="1"/>
  <c r="S53" i="1"/>
  <c r="T53" i="1"/>
  <c r="U53" i="1"/>
  <c r="V53" i="1"/>
  <c r="W53" i="1"/>
  <c r="X53" i="1"/>
  <c r="Y53" i="1"/>
  <c r="Z53" i="1"/>
  <c r="A54" i="1"/>
  <c r="B54" i="1"/>
  <c r="C54" i="1"/>
  <c r="D54" i="1"/>
  <c r="E54" i="1"/>
  <c r="F54" i="1"/>
  <c r="G54" i="1"/>
  <c r="I54" i="1"/>
  <c r="J54" i="1"/>
  <c r="K54" i="1"/>
  <c r="L54" i="1"/>
  <c r="M54" i="1"/>
  <c r="N54" i="1"/>
  <c r="O54" i="1"/>
  <c r="P54" i="1"/>
  <c r="Q54" i="1"/>
  <c r="R54" i="1"/>
  <c r="S54" i="1"/>
  <c r="T54" i="1"/>
  <c r="U54" i="1"/>
  <c r="V54" i="1"/>
  <c r="W54" i="1"/>
  <c r="X54" i="1"/>
  <c r="Y54" i="1"/>
  <c r="Z54" i="1"/>
  <c r="A55" i="1"/>
  <c r="B55" i="1"/>
  <c r="C55" i="1"/>
  <c r="D55" i="1"/>
  <c r="E55" i="1"/>
  <c r="F55" i="1"/>
  <c r="G55" i="1"/>
  <c r="I55" i="1"/>
  <c r="J55" i="1"/>
  <c r="K55" i="1"/>
  <c r="L55" i="1"/>
  <c r="M55" i="1"/>
  <c r="N55" i="1"/>
  <c r="O55" i="1"/>
  <c r="P55" i="1"/>
  <c r="Q55" i="1"/>
  <c r="R55" i="1"/>
  <c r="S55" i="1"/>
  <c r="T55" i="1"/>
  <c r="U55" i="1"/>
  <c r="V55" i="1"/>
  <c r="W55" i="1"/>
  <c r="X55" i="1"/>
  <c r="Y55" i="1"/>
  <c r="Z55" i="1"/>
  <c r="A56" i="1"/>
  <c r="B56" i="1"/>
  <c r="C56" i="1"/>
  <c r="D56" i="1"/>
  <c r="E56" i="1"/>
  <c r="F56" i="1"/>
  <c r="G56" i="1"/>
  <c r="I56" i="1"/>
  <c r="J56" i="1"/>
  <c r="K56" i="1"/>
  <c r="L56" i="1"/>
  <c r="M56" i="1"/>
  <c r="N56" i="1"/>
  <c r="O56" i="1"/>
  <c r="P56" i="1"/>
  <c r="Q56" i="1"/>
  <c r="R56" i="1"/>
  <c r="S56" i="1"/>
  <c r="T56" i="1"/>
  <c r="U56" i="1"/>
  <c r="V56" i="1"/>
  <c r="W56" i="1"/>
  <c r="X56" i="1"/>
  <c r="Y56" i="1"/>
  <c r="Z56" i="1"/>
  <c r="A57" i="1"/>
  <c r="B57" i="1"/>
  <c r="C57" i="1"/>
  <c r="D57" i="1"/>
  <c r="E57" i="1"/>
  <c r="F57" i="1"/>
  <c r="G57" i="1"/>
  <c r="I57" i="1"/>
  <c r="J57" i="1"/>
  <c r="K57" i="1"/>
  <c r="L57" i="1"/>
  <c r="M57" i="1"/>
  <c r="N57" i="1"/>
  <c r="O57" i="1"/>
  <c r="P57" i="1"/>
  <c r="Q57" i="1"/>
  <c r="R57" i="1"/>
  <c r="S57" i="1"/>
  <c r="T57" i="1"/>
  <c r="U57" i="1"/>
  <c r="V57" i="1"/>
  <c r="W57" i="1"/>
  <c r="X57" i="1"/>
  <c r="Y57" i="1"/>
  <c r="Z57" i="1"/>
  <c r="A58" i="1"/>
  <c r="B58" i="1"/>
  <c r="C58" i="1"/>
  <c r="D58" i="1"/>
  <c r="E58" i="1"/>
  <c r="F58" i="1"/>
  <c r="G58" i="1"/>
  <c r="I58" i="1"/>
  <c r="J58" i="1"/>
  <c r="K58" i="1"/>
  <c r="L58" i="1"/>
  <c r="M58" i="1"/>
  <c r="N58" i="1"/>
  <c r="O58" i="1"/>
  <c r="P58" i="1"/>
  <c r="Q58" i="1"/>
  <c r="R58" i="1"/>
  <c r="S58" i="1"/>
  <c r="T58" i="1"/>
  <c r="U58" i="1"/>
  <c r="V58" i="1"/>
  <c r="W58" i="1"/>
  <c r="X58" i="1"/>
  <c r="Y58" i="1"/>
  <c r="Z58" i="1"/>
  <c r="A59" i="1"/>
  <c r="B59" i="1"/>
  <c r="C59" i="1"/>
  <c r="D59" i="1"/>
  <c r="E59" i="1"/>
  <c r="F59" i="1"/>
  <c r="G59" i="1"/>
  <c r="I59" i="1"/>
  <c r="J59" i="1"/>
  <c r="K59" i="1"/>
  <c r="L59" i="1"/>
  <c r="M59" i="1"/>
  <c r="N59" i="1"/>
  <c r="O59" i="1"/>
  <c r="P59" i="1"/>
  <c r="Q59" i="1"/>
  <c r="R59" i="1"/>
  <c r="S59" i="1"/>
  <c r="T59" i="1"/>
  <c r="U59" i="1"/>
  <c r="V59" i="1"/>
  <c r="W59" i="1"/>
  <c r="X59" i="1"/>
  <c r="Y59" i="1"/>
  <c r="Z59" i="1"/>
  <c r="A60" i="1"/>
  <c r="B60" i="1"/>
  <c r="C60" i="1"/>
  <c r="D60" i="1"/>
  <c r="E60" i="1"/>
  <c r="F60" i="1"/>
  <c r="G60" i="1"/>
  <c r="I60" i="1"/>
  <c r="J60" i="1"/>
  <c r="K60" i="1"/>
  <c r="L60" i="1"/>
  <c r="M60" i="1"/>
  <c r="N60" i="1"/>
  <c r="O60" i="1"/>
  <c r="P60" i="1"/>
  <c r="Q60" i="1"/>
  <c r="R60" i="1"/>
  <c r="S60" i="1"/>
  <c r="T60" i="1"/>
  <c r="U60" i="1"/>
  <c r="V60" i="1"/>
  <c r="W60" i="1"/>
  <c r="X60" i="1"/>
  <c r="Y60" i="1"/>
  <c r="Z60" i="1"/>
  <c r="A61" i="1"/>
  <c r="B61" i="1"/>
  <c r="C61" i="1"/>
  <c r="D61" i="1"/>
  <c r="E61" i="1"/>
  <c r="F61" i="1"/>
  <c r="G61" i="1"/>
  <c r="I61" i="1"/>
  <c r="J61" i="1"/>
  <c r="K61" i="1"/>
  <c r="L61" i="1"/>
  <c r="M61" i="1"/>
  <c r="N61" i="1"/>
  <c r="O61" i="1"/>
  <c r="P61" i="1"/>
  <c r="Q61" i="1"/>
  <c r="R61" i="1"/>
  <c r="S61" i="1"/>
  <c r="T61" i="1"/>
  <c r="U61" i="1"/>
  <c r="V61" i="1"/>
  <c r="W61" i="1"/>
  <c r="X61" i="1"/>
  <c r="Y61" i="1"/>
  <c r="Z61" i="1"/>
  <c r="A62" i="1"/>
  <c r="B62" i="1"/>
  <c r="C62" i="1"/>
  <c r="D62" i="1"/>
  <c r="E62" i="1"/>
  <c r="F62" i="1"/>
  <c r="G62" i="1"/>
  <c r="I62" i="1"/>
  <c r="J62" i="1"/>
  <c r="K62" i="1"/>
  <c r="L62" i="1"/>
  <c r="M62" i="1"/>
  <c r="N62" i="1"/>
  <c r="O62" i="1"/>
  <c r="P62" i="1"/>
  <c r="Q62" i="1"/>
  <c r="R62" i="1"/>
  <c r="S62" i="1"/>
  <c r="T62" i="1"/>
  <c r="U62" i="1"/>
  <c r="V62" i="1"/>
  <c r="W62" i="1"/>
  <c r="X62" i="1"/>
  <c r="Y62" i="1"/>
  <c r="Z62" i="1"/>
  <c r="A63" i="1"/>
  <c r="B63" i="1"/>
  <c r="C63" i="1"/>
  <c r="D63" i="1"/>
  <c r="E63" i="1"/>
  <c r="F63" i="1"/>
  <c r="G63" i="1"/>
  <c r="I63" i="1"/>
  <c r="J63" i="1"/>
  <c r="K63" i="1"/>
  <c r="L63" i="1"/>
  <c r="M63" i="1"/>
  <c r="N63" i="1"/>
  <c r="O63" i="1"/>
  <c r="P63" i="1"/>
  <c r="Q63" i="1"/>
  <c r="R63" i="1"/>
  <c r="S63" i="1"/>
  <c r="T63" i="1"/>
  <c r="U63" i="1"/>
  <c r="V63" i="1"/>
  <c r="W63" i="1"/>
  <c r="X63" i="1"/>
  <c r="Y63" i="1"/>
  <c r="Z63" i="1"/>
  <c r="A64" i="1"/>
  <c r="B64" i="1"/>
  <c r="C64" i="1"/>
  <c r="D64" i="1"/>
  <c r="E64" i="1"/>
  <c r="F64" i="1"/>
  <c r="G64" i="1"/>
  <c r="I64" i="1"/>
  <c r="J64" i="1"/>
  <c r="K64" i="1"/>
  <c r="L64" i="1"/>
  <c r="M64" i="1"/>
  <c r="N64" i="1"/>
  <c r="O64" i="1"/>
  <c r="P64" i="1"/>
  <c r="Q64" i="1"/>
  <c r="R64" i="1"/>
  <c r="S64" i="1"/>
  <c r="T64" i="1"/>
  <c r="U64" i="1"/>
  <c r="V64" i="1"/>
  <c r="W64" i="1"/>
  <c r="X64" i="1"/>
  <c r="Y64" i="1"/>
  <c r="Z64" i="1"/>
  <c r="A65" i="1"/>
  <c r="B65" i="1"/>
  <c r="C65" i="1"/>
  <c r="D65" i="1"/>
  <c r="E65" i="1"/>
  <c r="F65" i="1"/>
  <c r="G65" i="1"/>
  <c r="I65" i="1"/>
  <c r="J65" i="1"/>
  <c r="K65" i="1"/>
  <c r="L65" i="1"/>
  <c r="M65" i="1"/>
  <c r="N65" i="1"/>
  <c r="O65" i="1"/>
  <c r="P65" i="1"/>
  <c r="Q65" i="1"/>
  <c r="R65" i="1"/>
  <c r="S65" i="1"/>
  <c r="T65" i="1"/>
  <c r="U65" i="1"/>
  <c r="V65" i="1"/>
  <c r="W65" i="1"/>
  <c r="X65" i="1"/>
  <c r="Y65" i="1"/>
  <c r="Z65" i="1"/>
  <c r="A66" i="1"/>
  <c r="B66" i="1"/>
  <c r="C66" i="1"/>
  <c r="D66" i="1"/>
  <c r="E66" i="1"/>
  <c r="F66" i="1"/>
  <c r="G66" i="1"/>
  <c r="I66" i="1"/>
  <c r="J66" i="1"/>
  <c r="K66" i="1"/>
  <c r="L66" i="1"/>
  <c r="M66" i="1"/>
  <c r="N66" i="1"/>
  <c r="O66" i="1"/>
  <c r="P66" i="1"/>
  <c r="Q66" i="1"/>
  <c r="R66" i="1"/>
  <c r="S66" i="1"/>
  <c r="T66" i="1"/>
  <c r="U66" i="1"/>
  <c r="V66" i="1"/>
  <c r="W66" i="1"/>
  <c r="X66" i="1"/>
  <c r="Y66" i="1"/>
  <c r="Z66" i="1"/>
  <c r="A67" i="1"/>
  <c r="B67" i="1"/>
  <c r="C67" i="1"/>
  <c r="D67" i="1"/>
  <c r="E67" i="1"/>
  <c r="F67" i="1"/>
  <c r="G67" i="1"/>
  <c r="I67" i="1"/>
  <c r="J67" i="1"/>
  <c r="K67" i="1"/>
  <c r="L67" i="1"/>
  <c r="M67" i="1"/>
  <c r="N67" i="1"/>
  <c r="O67" i="1"/>
  <c r="P67" i="1"/>
  <c r="Q67" i="1"/>
  <c r="R67" i="1"/>
  <c r="S67" i="1"/>
  <c r="T67" i="1"/>
  <c r="U67" i="1"/>
  <c r="V67" i="1"/>
  <c r="W67" i="1"/>
  <c r="X67" i="1"/>
  <c r="Y67" i="1"/>
  <c r="Z67" i="1"/>
  <c r="A68" i="1"/>
  <c r="B68" i="1"/>
  <c r="C68" i="1"/>
  <c r="D68" i="1"/>
  <c r="E68" i="1"/>
  <c r="F68" i="1"/>
  <c r="G68" i="1"/>
  <c r="I68" i="1"/>
  <c r="J68" i="1"/>
  <c r="K68" i="1"/>
  <c r="L68" i="1"/>
  <c r="M68" i="1"/>
  <c r="N68" i="1"/>
  <c r="O68" i="1"/>
  <c r="P68" i="1"/>
  <c r="Q68" i="1"/>
  <c r="R68" i="1"/>
  <c r="S68" i="1"/>
  <c r="T68" i="1"/>
  <c r="U68" i="1"/>
  <c r="V68" i="1"/>
  <c r="W68" i="1"/>
  <c r="X68" i="1"/>
  <c r="Y68" i="1"/>
  <c r="Z68" i="1"/>
  <c r="A69" i="1"/>
  <c r="B69" i="1"/>
  <c r="C69" i="1"/>
  <c r="D69" i="1"/>
  <c r="E69" i="1"/>
  <c r="F69" i="1"/>
  <c r="G69" i="1"/>
  <c r="I69" i="1"/>
  <c r="J69" i="1"/>
  <c r="K69" i="1"/>
  <c r="L69" i="1"/>
  <c r="M69" i="1"/>
  <c r="N69" i="1"/>
  <c r="O69" i="1"/>
  <c r="P69" i="1"/>
  <c r="Q69" i="1"/>
  <c r="R69" i="1"/>
  <c r="S69" i="1"/>
  <c r="T69" i="1"/>
  <c r="U69" i="1"/>
  <c r="V69" i="1"/>
  <c r="W69" i="1"/>
  <c r="X69" i="1"/>
  <c r="Y69" i="1"/>
  <c r="Z69" i="1"/>
  <c r="A70" i="1"/>
  <c r="B70" i="1"/>
  <c r="C70" i="1"/>
  <c r="D70" i="1"/>
  <c r="E70" i="1"/>
  <c r="F70" i="1"/>
  <c r="G70" i="1"/>
  <c r="I70" i="1"/>
  <c r="J70" i="1"/>
  <c r="K70" i="1"/>
  <c r="L70" i="1"/>
  <c r="M70" i="1"/>
  <c r="N70" i="1"/>
  <c r="O70" i="1"/>
  <c r="P70" i="1"/>
  <c r="Q70" i="1"/>
  <c r="R70" i="1"/>
  <c r="S70" i="1"/>
  <c r="T70" i="1"/>
  <c r="U70" i="1"/>
  <c r="V70" i="1"/>
  <c r="W70" i="1"/>
  <c r="X70" i="1"/>
  <c r="Y70" i="1"/>
  <c r="Z70" i="1"/>
  <c r="A71" i="1"/>
  <c r="B71" i="1"/>
  <c r="C71" i="1"/>
  <c r="D71" i="1"/>
  <c r="E71" i="1"/>
  <c r="F71" i="1"/>
  <c r="G71" i="1"/>
  <c r="I71" i="1"/>
  <c r="J71" i="1"/>
  <c r="K71" i="1"/>
  <c r="L71" i="1"/>
  <c r="M71" i="1"/>
  <c r="N71" i="1"/>
  <c r="O71" i="1"/>
  <c r="P71" i="1"/>
  <c r="Q71" i="1"/>
  <c r="R71" i="1"/>
  <c r="S71" i="1"/>
  <c r="T71" i="1"/>
  <c r="U71" i="1"/>
  <c r="V71" i="1"/>
  <c r="W71" i="1"/>
  <c r="X71" i="1"/>
  <c r="Y71" i="1"/>
  <c r="Z71" i="1"/>
  <c r="A72" i="1"/>
  <c r="B72" i="1"/>
  <c r="C72" i="1"/>
  <c r="D72" i="1"/>
  <c r="E72" i="1"/>
  <c r="F72" i="1"/>
  <c r="G72" i="1"/>
  <c r="I72" i="1"/>
  <c r="J72" i="1"/>
  <c r="K72" i="1"/>
  <c r="L72" i="1"/>
  <c r="M72" i="1"/>
  <c r="N72" i="1"/>
  <c r="O72" i="1"/>
  <c r="P72" i="1"/>
  <c r="Q72" i="1"/>
  <c r="R72" i="1"/>
  <c r="S72" i="1"/>
  <c r="T72" i="1"/>
  <c r="U72" i="1"/>
  <c r="V72" i="1"/>
  <c r="W72" i="1"/>
  <c r="X72" i="1"/>
  <c r="Y72" i="1"/>
  <c r="Z72" i="1"/>
  <c r="A73" i="1"/>
  <c r="B73" i="1"/>
  <c r="C73" i="1"/>
  <c r="D73" i="1"/>
  <c r="E73" i="1"/>
  <c r="F73" i="1"/>
  <c r="G73" i="1"/>
  <c r="I73" i="1"/>
  <c r="J73" i="1"/>
  <c r="K73" i="1"/>
  <c r="L73" i="1"/>
  <c r="M73" i="1"/>
  <c r="N73" i="1"/>
  <c r="O73" i="1"/>
  <c r="P73" i="1"/>
  <c r="Q73" i="1"/>
  <c r="R73" i="1"/>
  <c r="S73" i="1"/>
  <c r="T73" i="1"/>
  <c r="U73" i="1"/>
  <c r="V73" i="1"/>
  <c r="W73" i="1"/>
  <c r="X73" i="1"/>
  <c r="Y73" i="1"/>
  <c r="Z73" i="1"/>
  <c r="A74" i="1"/>
  <c r="B74" i="1"/>
  <c r="C74" i="1"/>
  <c r="D74" i="1"/>
  <c r="E74" i="1"/>
  <c r="F74" i="1"/>
  <c r="G74" i="1"/>
  <c r="I74" i="1"/>
  <c r="J74" i="1"/>
  <c r="K74" i="1"/>
  <c r="L74" i="1"/>
  <c r="M74" i="1"/>
  <c r="N74" i="1"/>
  <c r="O74" i="1"/>
  <c r="P74" i="1"/>
  <c r="Q74" i="1"/>
  <c r="R74" i="1"/>
  <c r="S74" i="1"/>
  <c r="T74" i="1"/>
  <c r="U74" i="1"/>
  <c r="V74" i="1"/>
  <c r="W74" i="1"/>
  <c r="X74" i="1"/>
  <c r="Y74" i="1"/>
  <c r="Z74" i="1"/>
  <c r="A75" i="1"/>
  <c r="B75" i="1"/>
  <c r="C75" i="1"/>
  <c r="D75" i="1"/>
  <c r="E75" i="1"/>
  <c r="F75" i="1"/>
  <c r="G75" i="1"/>
  <c r="I75" i="1"/>
  <c r="J75" i="1"/>
  <c r="K75" i="1"/>
  <c r="L75" i="1"/>
  <c r="M75" i="1"/>
  <c r="N75" i="1"/>
  <c r="O75" i="1"/>
  <c r="P75" i="1"/>
  <c r="Q75" i="1"/>
  <c r="R75" i="1"/>
  <c r="S75" i="1"/>
  <c r="T75" i="1"/>
  <c r="U75" i="1"/>
  <c r="V75" i="1"/>
  <c r="W75" i="1"/>
  <c r="X75" i="1"/>
  <c r="Y75" i="1"/>
  <c r="Z75" i="1"/>
  <c r="A76" i="1"/>
  <c r="B76" i="1"/>
  <c r="C76" i="1"/>
  <c r="D76" i="1"/>
  <c r="E76" i="1"/>
  <c r="F76" i="1"/>
  <c r="G76" i="1"/>
  <c r="I76" i="1"/>
  <c r="J76" i="1"/>
  <c r="K76" i="1"/>
  <c r="L76" i="1"/>
  <c r="M76" i="1"/>
  <c r="N76" i="1"/>
  <c r="O76" i="1"/>
  <c r="P76" i="1"/>
  <c r="Q76" i="1"/>
  <c r="R76" i="1"/>
  <c r="S76" i="1"/>
  <c r="T76" i="1"/>
  <c r="U76" i="1"/>
  <c r="V76" i="1"/>
  <c r="W76" i="1"/>
  <c r="X76" i="1"/>
  <c r="Y76" i="1"/>
  <c r="Z76" i="1"/>
  <c r="A77" i="1"/>
  <c r="B77" i="1"/>
  <c r="C77" i="1"/>
  <c r="D77" i="1"/>
  <c r="E77" i="1"/>
  <c r="F77" i="1"/>
  <c r="G77" i="1"/>
  <c r="I77" i="1"/>
  <c r="J77" i="1"/>
  <c r="K77" i="1"/>
  <c r="L77" i="1"/>
  <c r="M77" i="1"/>
  <c r="N77" i="1"/>
  <c r="O77" i="1"/>
  <c r="P77" i="1"/>
  <c r="Q77" i="1"/>
  <c r="R77" i="1"/>
  <c r="S77" i="1"/>
  <c r="T77" i="1"/>
  <c r="U77" i="1"/>
  <c r="V77" i="1"/>
  <c r="W77" i="1"/>
  <c r="X77" i="1"/>
  <c r="Y77" i="1"/>
  <c r="Z77" i="1"/>
  <c r="A78" i="1"/>
  <c r="B78" i="1"/>
  <c r="C78" i="1"/>
  <c r="D78" i="1"/>
  <c r="E78" i="1"/>
  <c r="F78" i="1"/>
  <c r="G78" i="1"/>
  <c r="I78" i="1"/>
  <c r="J78" i="1"/>
  <c r="K78" i="1"/>
  <c r="L78" i="1"/>
  <c r="M78" i="1"/>
  <c r="N78" i="1"/>
  <c r="O78" i="1"/>
  <c r="P78" i="1"/>
  <c r="Q78" i="1"/>
  <c r="R78" i="1"/>
  <c r="S78" i="1"/>
  <c r="T78" i="1"/>
  <c r="U78" i="1"/>
  <c r="V78" i="1"/>
  <c r="W78" i="1"/>
  <c r="X78" i="1"/>
  <c r="Y78" i="1"/>
  <c r="Z78" i="1"/>
  <c r="A79" i="1"/>
  <c r="B79" i="1"/>
  <c r="C79" i="1"/>
  <c r="D79" i="1"/>
  <c r="E79" i="1"/>
  <c r="F79" i="1"/>
  <c r="G79" i="1"/>
  <c r="I79" i="1"/>
  <c r="J79" i="1"/>
  <c r="K79" i="1"/>
  <c r="L79" i="1"/>
  <c r="M79" i="1"/>
  <c r="N79" i="1"/>
  <c r="O79" i="1"/>
  <c r="P79" i="1"/>
  <c r="Q79" i="1"/>
  <c r="R79" i="1"/>
  <c r="S79" i="1"/>
  <c r="T79" i="1"/>
  <c r="U79" i="1"/>
  <c r="V79" i="1"/>
  <c r="W79" i="1"/>
  <c r="X79" i="1"/>
  <c r="Y79" i="1"/>
  <c r="Z79" i="1"/>
  <c r="A80" i="1"/>
  <c r="B80" i="1"/>
  <c r="C80" i="1"/>
  <c r="D80" i="1"/>
  <c r="E80" i="1"/>
  <c r="F80" i="1"/>
  <c r="G80" i="1"/>
  <c r="I80" i="1"/>
  <c r="J80" i="1"/>
  <c r="K80" i="1"/>
  <c r="L80" i="1"/>
  <c r="M80" i="1"/>
  <c r="N80" i="1"/>
  <c r="O80" i="1"/>
  <c r="P80" i="1"/>
  <c r="Q80" i="1"/>
  <c r="R80" i="1"/>
  <c r="S80" i="1"/>
  <c r="T80" i="1"/>
  <c r="U80" i="1"/>
  <c r="V80" i="1"/>
  <c r="W80" i="1"/>
  <c r="X80" i="1"/>
  <c r="Y80" i="1"/>
  <c r="Z80" i="1"/>
  <c r="A81" i="1"/>
  <c r="B81" i="1"/>
  <c r="C81" i="1"/>
  <c r="D81" i="1"/>
  <c r="E81" i="1"/>
  <c r="F81" i="1"/>
  <c r="G81" i="1"/>
  <c r="I81" i="1"/>
  <c r="J81" i="1"/>
  <c r="K81" i="1"/>
  <c r="L81" i="1"/>
  <c r="M81" i="1"/>
  <c r="N81" i="1"/>
  <c r="O81" i="1"/>
  <c r="P81" i="1"/>
  <c r="Q81" i="1"/>
  <c r="R81" i="1"/>
  <c r="S81" i="1"/>
  <c r="T81" i="1"/>
  <c r="U81" i="1"/>
  <c r="V81" i="1"/>
  <c r="W81" i="1"/>
  <c r="X81" i="1"/>
  <c r="Y81" i="1"/>
  <c r="Z81" i="1"/>
  <c r="A82" i="1"/>
  <c r="B82" i="1"/>
  <c r="C82" i="1"/>
  <c r="D82" i="1"/>
  <c r="E82" i="1"/>
  <c r="F82" i="1"/>
  <c r="G82" i="1"/>
  <c r="I82" i="1"/>
  <c r="J82" i="1"/>
  <c r="K82" i="1"/>
  <c r="L82" i="1"/>
  <c r="M82" i="1"/>
  <c r="N82" i="1"/>
  <c r="O82" i="1"/>
  <c r="P82" i="1"/>
  <c r="Q82" i="1"/>
  <c r="R82" i="1"/>
  <c r="S82" i="1"/>
  <c r="T82" i="1"/>
  <c r="U82" i="1"/>
  <c r="V82" i="1"/>
  <c r="W82" i="1"/>
  <c r="X82" i="1"/>
  <c r="Y82" i="1"/>
  <c r="Z82" i="1"/>
  <c r="A83" i="1"/>
  <c r="B83" i="1"/>
  <c r="C83" i="1"/>
  <c r="D83" i="1"/>
  <c r="E83" i="1"/>
  <c r="F83" i="1"/>
  <c r="G83" i="1"/>
  <c r="I83" i="1"/>
  <c r="J83" i="1"/>
  <c r="K83" i="1"/>
  <c r="L83" i="1"/>
  <c r="M83" i="1"/>
  <c r="N83" i="1"/>
  <c r="O83" i="1"/>
  <c r="P83" i="1"/>
  <c r="Q83" i="1"/>
  <c r="R83" i="1"/>
  <c r="S83" i="1"/>
  <c r="T83" i="1"/>
  <c r="U83" i="1"/>
  <c r="V83" i="1"/>
  <c r="W83" i="1"/>
  <c r="X83" i="1"/>
  <c r="Y83" i="1"/>
  <c r="Z83" i="1"/>
  <c r="A84" i="1"/>
  <c r="B84" i="1"/>
  <c r="C84" i="1"/>
  <c r="D84" i="1"/>
  <c r="E84" i="1"/>
  <c r="F84" i="1"/>
  <c r="G84" i="1"/>
  <c r="I84" i="1"/>
  <c r="J84" i="1"/>
  <c r="K84" i="1"/>
  <c r="L84" i="1"/>
  <c r="M84" i="1"/>
  <c r="N84" i="1"/>
  <c r="O84" i="1"/>
  <c r="P84" i="1"/>
  <c r="Q84" i="1"/>
  <c r="R84" i="1"/>
  <c r="S84" i="1"/>
  <c r="T84" i="1"/>
  <c r="U84" i="1"/>
  <c r="V84" i="1"/>
  <c r="W84" i="1"/>
  <c r="X84" i="1"/>
  <c r="Y84" i="1"/>
  <c r="Z84" i="1"/>
  <c r="A85" i="1"/>
  <c r="B85" i="1"/>
  <c r="C85" i="1"/>
  <c r="D85" i="1"/>
  <c r="E85" i="1"/>
  <c r="F85" i="1"/>
  <c r="G85" i="1"/>
  <c r="I85" i="1"/>
  <c r="J85" i="1"/>
  <c r="K85" i="1"/>
  <c r="L85" i="1"/>
  <c r="M85" i="1"/>
  <c r="N85" i="1"/>
  <c r="O85" i="1"/>
  <c r="P85" i="1"/>
  <c r="Q85" i="1"/>
  <c r="R85" i="1"/>
  <c r="S85" i="1"/>
  <c r="T85" i="1"/>
  <c r="U85" i="1"/>
  <c r="V85" i="1"/>
  <c r="W85" i="1"/>
  <c r="X85" i="1"/>
  <c r="Y85" i="1"/>
  <c r="Z85" i="1"/>
  <c r="A86" i="1"/>
  <c r="B86" i="1"/>
  <c r="C86" i="1"/>
  <c r="D86" i="1"/>
  <c r="E86" i="1"/>
  <c r="F86" i="1"/>
  <c r="G86" i="1"/>
  <c r="I86" i="1"/>
  <c r="J86" i="1"/>
  <c r="K86" i="1"/>
  <c r="L86" i="1"/>
  <c r="M86" i="1"/>
  <c r="N86" i="1"/>
  <c r="O86" i="1"/>
  <c r="P86" i="1"/>
  <c r="Q86" i="1"/>
  <c r="R86" i="1"/>
  <c r="S86" i="1"/>
  <c r="T86" i="1"/>
  <c r="U86" i="1"/>
  <c r="V86" i="1"/>
  <c r="W86" i="1"/>
  <c r="X86" i="1"/>
  <c r="Y86" i="1"/>
  <c r="Z86" i="1"/>
  <c r="A87" i="1"/>
  <c r="B87" i="1"/>
  <c r="C87" i="1"/>
  <c r="D87" i="1"/>
  <c r="E87" i="1"/>
  <c r="F87" i="1"/>
  <c r="G87" i="1"/>
  <c r="I87" i="1"/>
  <c r="J87" i="1"/>
  <c r="K87" i="1"/>
  <c r="L87" i="1"/>
  <c r="M87" i="1"/>
  <c r="N87" i="1"/>
  <c r="O87" i="1"/>
  <c r="P87" i="1"/>
  <c r="Q87" i="1"/>
  <c r="R87" i="1"/>
  <c r="S87" i="1"/>
  <c r="T87" i="1"/>
  <c r="U87" i="1"/>
  <c r="V87" i="1"/>
  <c r="W87" i="1"/>
  <c r="X87" i="1"/>
  <c r="Y87" i="1"/>
  <c r="Z87" i="1"/>
  <c r="A88" i="1"/>
  <c r="B88" i="1"/>
  <c r="C88" i="1"/>
  <c r="D88" i="1"/>
  <c r="E88" i="1"/>
  <c r="F88" i="1"/>
  <c r="G88" i="1"/>
  <c r="I88" i="1"/>
  <c r="J88" i="1"/>
  <c r="K88" i="1"/>
  <c r="L88" i="1"/>
  <c r="M88" i="1"/>
  <c r="N88" i="1"/>
  <c r="O88" i="1"/>
  <c r="P88" i="1"/>
  <c r="Q88" i="1"/>
  <c r="R88" i="1"/>
  <c r="S88" i="1"/>
  <c r="T88" i="1"/>
  <c r="U88" i="1"/>
  <c r="V88" i="1"/>
  <c r="W88" i="1"/>
  <c r="X88" i="1"/>
  <c r="Y88" i="1"/>
  <c r="Z88" i="1"/>
  <c r="A89" i="1"/>
  <c r="B89" i="1"/>
  <c r="C89" i="1"/>
  <c r="D89" i="1"/>
  <c r="E89" i="1"/>
  <c r="F89" i="1"/>
  <c r="G89" i="1"/>
  <c r="I89" i="1"/>
  <c r="J89" i="1"/>
  <c r="K89" i="1"/>
  <c r="L89" i="1"/>
  <c r="M89" i="1"/>
  <c r="N89" i="1"/>
  <c r="O89" i="1"/>
  <c r="P89" i="1"/>
  <c r="Q89" i="1"/>
  <c r="R89" i="1"/>
  <c r="S89" i="1"/>
  <c r="T89" i="1"/>
  <c r="U89" i="1"/>
  <c r="V89" i="1"/>
  <c r="W89" i="1"/>
  <c r="X89" i="1"/>
  <c r="Y89" i="1"/>
  <c r="Z89" i="1"/>
  <c r="A90" i="1"/>
  <c r="B90" i="1"/>
  <c r="C90" i="1"/>
  <c r="D90" i="1"/>
  <c r="E90" i="1"/>
  <c r="F90" i="1"/>
  <c r="G90" i="1"/>
  <c r="I90" i="1"/>
  <c r="J90" i="1"/>
  <c r="K90" i="1"/>
  <c r="L90" i="1"/>
  <c r="M90" i="1"/>
  <c r="N90" i="1"/>
  <c r="O90" i="1"/>
  <c r="P90" i="1"/>
  <c r="Q90" i="1"/>
  <c r="R90" i="1"/>
  <c r="S90" i="1"/>
  <c r="T90" i="1"/>
  <c r="U90" i="1"/>
  <c r="V90" i="1"/>
  <c r="W90" i="1"/>
  <c r="X90" i="1"/>
  <c r="Y90" i="1"/>
  <c r="Z90" i="1"/>
  <c r="A91" i="1"/>
  <c r="B91" i="1"/>
  <c r="C91" i="1"/>
  <c r="D91" i="1"/>
  <c r="E91" i="1"/>
  <c r="F91" i="1"/>
  <c r="G91" i="1"/>
  <c r="I91" i="1"/>
  <c r="J91" i="1"/>
  <c r="K91" i="1"/>
  <c r="L91" i="1"/>
  <c r="M91" i="1"/>
  <c r="N91" i="1"/>
  <c r="O91" i="1"/>
  <c r="P91" i="1"/>
  <c r="Q91" i="1"/>
  <c r="R91" i="1"/>
  <c r="S91" i="1"/>
  <c r="T91" i="1"/>
  <c r="U91" i="1"/>
  <c r="V91" i="1"/>
  <c r="W91" i="1"/>
  <c r="X91" i="1"/>
  <c r="Y91" i="1"/>
  <c r="Z91" i="1"/>
  <c r="A92" i="1"/>
  <c r="B92" i="1"/>
  <c r="C92" i="1"/>
  <c r="D92" i="1"/>
  <c r="E92" i="1"/>
  <c r="F92" i="1"/>
  <c r="G92" i="1"/>
  <c r="I92" i="1"/>
  <c r="J92" i="1"/>
  <c r="K92" i="1"/>
  <c r="L92" i="1"/>
  <c r="M92" i="1"/>
  <c r="N92" i="1"/>
  <c r="O92" i="1"/>
  <c r="P92" i="1"/>
  <c r="Q92" i="1"/>
  <c r="R92" i="1"/>
  <c r="S92" i="1"/>
  <c r="T92" i="1"/>
  <c r="U92" i="1"/>
  <c r="V92" i="1"/>
  <c r="W92" i="1"/>
  <c r="X92" i="1"/>
  <c r="Y92" i="1"/>
  <c r="Z92" i="1"/>
  <c r="A93" i="1"/>
  <c r="B93" i="1"/>
  <c r="C93" i="1"/>
  <c r="D93" i="1"/>
  <c r="E93" i="1"/>
  <c r="F93" i="1"/>
  <c r="G93" i="1"/>
  <c r="I93" i="1"/>
  <c r="J93" i="1"/>
  <c r="K93" i="1"/>
  <c r="L93" i="1"/>
  <c r="M93" i="1"/>
  <c r="N93" i="1"/>
  <c r="O93" i="1"/>
  <c r="P93" i="1"/>
  <c r="Q93" i="1"/>
  <c r="R93" i="1"/>
  <c r="S93" i="1"/>
  <c r="T93" i="1"/>
  <c r="U93" i="1"/>
  <c r="V93" i="1"/>
  <c r="W93" i="1"/>
  <c r="X93" i="1"/>
  <c r="Y93" i="1"/>
  <c r="Z93" i="1"/>
  <c r="A94" i="1"/>
  <c r="B94" i="1"/>
  <c r="C94" i="1"/>
  <c r="D94" i="1"/>
  <c r="E94" i="1"/>
  <c r="F94" i="1"/>
  <c r="G94" i="1"/>
  <c r="I94" i="1"/>
  <c r="J94" i="1"/>
  <c r="K94" i="1"/>
  <c r="L94" i="1"/>
  <c r="M94" i="1"/>
  <c r="N94" i="1"/>
  <c r="O94" i="1"/>
  <c r="P94" i="1"/>
  <c r="Q94" i="1"/>
  <c r="R94" i="1"/>
  <c r="S94" i="1"/>
  <c r="T94" i="1"/>
  <c r="U94" i="1"/>
  <c r="V94" i="1"/>
  <c r="W94" i="1"/>
  <c r="X94" i="1"/>
  <c r="Y94" i="1"/>
  <c r="Z94" i="1"/>
  <c r="A95" i="1"/>
  <c r="B95" i="1"/>
  <c r="C95" i="1"/>
  <c r="D95" i="1"/>
  <c r="E95" i="1"/>
  <c r="F95" i="1"/>
  <c r="G95" i="1"/>
  <c r="I95" i="1"/>
  <c r="J95" i="1"/>
  <c r="K95" i="1"/>
  <c r="L95" i="1"/>
  <c r="M95" i="1"/>
  <c r="N95" i="1"/>
  <c r="O95" i="1"/>
  <c r="P95" i="1"/>
  <c r="Q95" i="1"/>
  <c r="R95" i="1"/>
  <c r="S95" i="1"/>
  <c r="T95" i="1"/>
  <c r="U95" i="1"/>
  <c r="V95" i="1"/>
  <c r="W95" i="1"/>
  <c r="X95" i="1"/>
  <c r="Y95" i="1"/>
  <c r="Z95" i="1"/>
  <c r="A96" i="1"/>
  <c r="B96" i="1"/>
  <c r="C96" i="1"/>
  <c r="D96" i="1"/>
  <c r="E96" i="1"/>
  <c r="F96" i="1"/>
  <c r="G96" i="1"/>
  <c r="I96" i="1"/>
  <c r="J96" i="1"/>
  <c r="K96" i="1"/>
  <c r="L96" i="1"/>
  <c r="M96" i="1"/>
  <c r="N96" i="1"/>
  <c r="O96" i="1"/>
  <c r="P96" i="1"/>
  <c r="Q96" i="1"/>
  <c r="R96" i="1"/>
  <c r="S96" i="1"/>
  <c r="T96" i="1"/>
  <c r="U96" i="1"/>
  <c r="V96" i="1"/>
  <c r="W96" i="1"/>
  <c r="X96" i="1"/>
  <c r="Y96" i="1"/>
  <c r="Z96" i="1"/>
  <c r="A97" i="1"/>
  <c r="B97" i="1"/>
  <c r="C97" i="1"/>
  <c r="D97" i="1"/>
  <c r="E97" i="1"/>
  <c r="F97" i="1"/>
  <c r="G97" i="1"/>
  <c r="I97" i="1"/>
  <c r="J97" i="1"/>
  <c r="K97" i="1"/>
  <c r="L97" i="1"/>
  <c r="M97" i="1"/>
  <c r="N97" i="1"/>
  <c r="O97" i="1"/>
  <c r="P97" i="1"/>
  <c r="Q97" i="1"/>
  <c r="R97" i="1"/>
  <c r="S97" i="1"/>
  <c r="T97" i="1"/>
  <c r="U97" i="1"/>
  <c r="V97" i="1"/>
  <c r="W97" i="1"/>
  <c r="X97" i="1"/>
  <c r="Y97" i="1"/>
  <c r="Z97" i="1"/>
  <c r="A98" i="1"/>
  <c r="B98" i="1"/>
  <c r="C98" i="1"/>
  <c r="D98" i="1"/>
  <c r="E98" i="1"/>
  <c r="F98" i="1"/>
  <c r="G98" i="1"/>
  <c r="I98" i="1"/>
  <c r="J98" i="1"/>
  <c r="K98" i="1"/>
  <c r="L98" i="1"/>
  <c r="M98" i="1"/>
  <c r="N98" i="1"/>
  <c r="O98" i="1"/>
  <c r="P98" i="1"/>
  <c r="Q98" i="1"/>
  <c r="R98" i="1"/>
  <c r="S98" i="1"/>
  <c r="T98" i="1"/>
  <c r="U98" i="1"/>
  <c r="V98" i="1"/>
  <c r="W98" i="1"/>
  <c r="X98" i="1"/>
  <c r="Y98" i="1"/>
  <c r="Z98" i="1"/>
  <c r="A99" i="1"/>
  <c r="B99" i="1"/>
  <c r="C99" i="1"/>
  <c r="D99" i="1"/>
  <c r="E99" i="1"/>
  <c r="F99" i="1"/>
  <c r="G99" i="1"/>
  <c r="I99" i="1"/>
  <c r="J99" i="1"/>
  <c r="K99" i="1"/>
  <c r="L99" i="1"/>
  <c r="M99" i="1"/>
  <c r="N99" i="1"/>
  <c r="O99" i="1"/>
  <c r="P99" i="1"/>
  <c r="Q99" i="1"/>
  <c r="R99" i="1"/>
  <c r="S99" i="1"/>
  <c r="T99" i="1"/>
  <c r="U99" i="1"/>
  <c r="V99" i="1"/>
  <c r="W99" i="1"/>
  <c r="X99" i="1"/>
  <c r="Y99" i="1"/>
  <c r="Z99" i="1"/>
  <c r="A100" i="1"/>
  <c r="B100" i="1"/>
  <c r="C100" i="1"/>
  <c r="D100" i="1"/>
  <c r="E100" i="1"/>
  <c r="F100" i="1"/>
  <c r="G100" i="1"/>
  <c r="I100" i="1"/>
  <c r="J100" i="1"/>
  <c r="K100" i="1"/>
  <c r="L100" i="1"/>
  <c r="M100" i="1"/>
  <c r="N100" i="1"/>
  <c r="O100" i="1"/>
  <c r="P100" i="1"/>
  <c r="Q100" i="1"/>
  <c r="R100" i="1"/>
  <c r="S100" i="1"/>
  <c r="T100" i="1"/>
  <c r="U100" i="1"/>
  <c r="V100" i="1"/>
  <c r="W100" i="1"/>
  <c r="X100" i="1"/>
  <c r="Y100" i="1"/>
  <c r="Z100" i="1"/>
  <c r="A101" i="1"/>
  <c r="B101" i="1"/>
  <c r="C101" i="1"/>
  <c r="D101" i="1"/>
  <c r="E101" i="1"/>
  <c r="F101" i="1"/>
  <c r="G101" i="1"/>
  <c r="I101" i="1"/>
  <c r="J101" i="1"/>
  <c r="K101" i="1"/>
  <c r="L101" i="1"/>
  <c r="M101" i="1"/>
  <c r="N101" i="1"/>
  <c r="O101" i="1"/>
  <c r="P101" i="1"/>
  <c r="Q101" i="1"/>
  <c r="R101" i="1"/>
  <c r="S101" i="1"/>
  <c r="T101" i="1"/>
  <c r="U101" i="1"/>
  <c r="V101" i="1"/>
  <c r="W101" i="1"/>
  <c r="X101" i="1"/>
  <c r="Y101" i="1"/>
  <c r="Z101" i="1"/>
  <c r="A102" i="1"/>
  <c r="B102" i="1"/>
  <c r="C102" i="1"/>
  <c r="D102" i="1"/>
  <c r="E102" i="1"/>
  <c r="F102" i="1"/>
  <c r="G102" i="1"/>
  <c r="I102" i="1"/>
  <c r="J102" i="1"/>
  <c r="K102" i="1"/>
  <c r="L102" i="1"/>
  <c r="M102" i="1"/>
  <c r="N102" i="1"/>
  <c r="O102" i="1"/>
  <c r="P102" i="1"/>
  <c r="Q102" i="1"/>
  <c r="R102" i="1"/>
  <c r="S102" i="1"/>
  <c r="T102" i="1"/>
  <c r="U102" i="1"/>
  <c r="V102" i="1"/>
  <c r="W102" i="1"/>
  <c r="X102" i="1"/>
  <c r="Y102" i="1"/>
  <c r="Z102" i="1"/>
  <c r="A103" i="1"/>
  <c r="B103" i="1"/>
  <c r="C103" i="1"/>
  <c r="D103" i="1"/>
  <c r="E103" i="1"/>
  <c r="F103" i="1"/>
  <c r="G103" i="1"/>
  <c r="I103" i="1"/>
  <c r="J103" i="1"/>
  <c r="K103" i="1"/>
  <c r="L103" i="1"/>
  <c r="M103" i="1"/>
  <c r="N103" i="1"/>
  <c r="O103" i="1"/>
  <c r="P103" i="1"/>
  <c r="Q103" i="1"/>
  <c r="R103" i="1"/>
  <c r="S103" i="1"/>
  <c r="T103" i="1"/>
  <c r="U103" i="1"/>
  <c r="V103" i="1"/>
  <c r="W103" i="1"/>
  <c r="X103" i="1"/>
  <c r="Y103" i="1"/>
  <c r="Z103" i="1"/>
  <c r="A104" i="1"/>
  <c r="B104" i="1"/>
  <c r="C104" i="1"/>
  <c r="D104" i="1"/>
  <c r="E104" i="1"/>
  <c r="F104" i="1"/>
  <c r="G104" i="1"/>
  <c r="I104" i="1"/>
  <c r="J104" i="1"/>
  <c r="K104" i="1"/>
  <c r="L104" i="1"/>
  <c r="M104" i="1"/>
  <c r="N104" i="1"/>
  <c r="O104" i="1"/>
  <c r="P104" i="1"/>
  <c r="Q104" i="1"/>
  <c r="R104" i="1"/>
  <c r="S104" i="1"/>
  <c r="T104" i="1"/>
  <c r="U104" i="1"/>
  <c r="V104" i="1"/>
  <c r="W104" i="1"/>
  <c r="X104" i="1"/>
  <c r="Y104" i="1"/>
  <c r="Z104" i="1"/>
  <c r="A105" i="1"/>
  <c r="B105" i="1"/>
  <c r="C105" i="1"/>
  <c r="D105" i="1"/>
  <c r="E105" i="1"/>
  <c r="F105" i="1"/>
  <c r="G105" i="1"/>
  <c r="I105" i="1"/>
  <c r="J105" i="1"/>
  <c r="K105" i="1"/>
  <c r="L105" i="1"/>
  <c r="M105" i="1"/>
  <c r="N105" i="1"/>
  <c r="O105" i="1"/>
  <c r="P105" i="1"/>
  <c r="Q105" i="1"/>
  <c r="R105" i="1"/>
  <c r="S105" i="1"/>
  <c r="T105" i="1"/>
  <c r="U105" i="1"/>
  <c r="V105" i="1"/>
  <c r="W105" i="1"/>
  <c r="X105" i="1"/>
  <c r="Y105" i="1"/>
  <c r="Z105" i="1"/>
  <c r="A106" i="1"/>
  <c r="B106" i="1"/>
  <c r="C106" i="1"/>
  <c r="D106" i="1"/>
  <c r="E106" i="1"/>
  <c r="F106" i="1"/>
  <c r="G106" i="1"/>
  <c r="I106" i="1"/>
  <c r="J106" i="1"/>
  <c r="K106" i="1"/>
  <c r="L106" i="1"/>
  <c r="M106" i="1"/>
  <c r="N106" i="1"/>
  <c r="O106" i="1"/>
  <c r="P106" i="1"/>
  <c r="Q106" i="1"/>
  <c r="R106" i="1"/>
  <c r="S106" i="1"/>
  <c r="T106" i="1"/>
  <c r="U106" i="1"/>
  <c r="V106" i="1"/>
  <c r="W106" i="1"/>
  <c r="X106" i="1"/>
  <c r="Y106" i="1"/>
  <c r="Z106" i="1"/>
  <c r="A107" i="1"/>
  <c r="B107" i="1"/>
  <c r="C107" i="1"/>
  <c r="D107" i="1"/>
  <c r="E107" i="1"/>
  <c r="F107" i="1"/>
  <c r="G107" i="1"/>
  <c r="I107" i="1"/>
  <c r="J107" i="1"/>
  <c r="K107" i="1"/>
  <c r="L107" i="1"/>
  <c r="M107" i="1"/>
  <c r="N107" i="1"/>
  <c r="O107" i="1"/>
  <c r="P107" i="1"/>
  <c r="Q107" i="1"/>
  <c r="R107" i="1"/>
  <c r="S107" i="1"/>
  <c r="T107" i="1"/>
  <c r="U107" i="1"/>
  <c r="V107" i="1"/>
  <c r="W107" i="1"/>
  <c r="X107" i="1"/>
  <c r="Y107" i="1"/>
  <c r="Z107" i="1"/>
  <c r="A108" i="1"/>
  <c r="B108" i="1"/>
  <c r="C108" i="1"/>
  <c r="D108" i="1"/>
  <c r="E108" i="1"/>
  <c r="F108" i="1"/>
  <c r="G108" i="1"/>
  <c r="I108" i="1"/>
  <c r="J108" i="1"/>
  <c r="K108" i="1"/>
  <c r="L108" i="1"/>
  <c r="M108" i="1"/>
  <c r="N108" i="1"/>
  <c r="O108" i="1"/>
  <c r="P108" i="1"/>
  <c r="Q108" i="1"/>
  <c r="R108" i="1"/>
  <c r="S108" i="1"/>
  <c r="T108" i="1"/>
  <c r="U108" i="1"/>
  <c r="V108" i="1"/>
  <c r="W108" i="1"/>
  <c r="X108" i="1"/>
  <c r="Y108" i="1"/>
  <c r="Z108" i="1"/>
  <c r="A109" i="1"/>
  <c r="B109" i="1"/>
  <c r="C109" i="1"/>
  <c r="D109" i="1"/>
  <c r="E109" i="1"/>
  <c r="F109" i="1"/>
  <c r="G109" i="1"/>
  <c r="I109" i="1"/>
  <c r="J109" i="1"/>
  <c r="K109" i="1"/>
  <c r="L109" i="1"/>
  <c r="M109" i="1"/>
  <c r="N109" i="1"/>
  <c r="O109" i="1"/>
  <c r="P109" i="1"/>
  <c r="Q109" i="1"/>
  <c r="R109" i="1"/>
  <c r="S109" i="1"/>
  <c r="T109" i="1"/>
  <c r="U109" i="1"/>
  <c r="V109" i="1"/>
  <c r="W109" i="1"/>
  <c r="X109" i="1"/>
  <c r="Y109" i="1"/>
  <c r="Z109" i="1"/>
  <c r="A110" i="1"/>
  <c r="B110" i="1"/>
  <c r="C110" i="1"/>
  <c r="D110" i="1"/>
  <c r="E110" i="1"/>
  <c r="F110" i="1"/>
  <c r="G110" i="1"/>
  <c r="I110" i="1"/>
  <c r="J110" i="1"/>
  <c r="K110" i="1"/>
  <c r="L110" i="1"/>
  <c r="M110" i="1"/>
  <c r="N110" i="1"/>
  <c r="O110" i="1"/>
  <c r="P110" i="1"/>
  <c r="Q110" i="1"/>
  <c r="R110" i="1"/>
  <c r="S110" i="1"/>
  <c r="T110" i="1"/>
  <c r="U110" i="1"/>
  <c r="V110" i="1"/>
  <c r="W110" i="1"/>
  <c r="X110" i="1"/>
  <c r="Y110" i="1"/>
  <c r="Z110" i="1"/>
  <c r="A111" i="1"/>
  <c r="B111" i="1"/>
  <c r="C111" i="1"/>
  <c r="D111" i="1"/>
  <c r="E111" i="1"/>
  <c r="F111" i="1"/>
  <c r="G111" i="1"/>
  <c r="I111" i="1"/>
  <c r="J111" i="1"/>
  <c r="K111" i="1"/>
  <c r="L111" i="1"/>
  <c r="M111" i="1"/>
  <c r="N111" i="1"/>
  <c r="O111" i="1"/>
  <c r="P111" i="1"/>
  <c r="Q111" i="1"/>
  <c r="R111" i="1"/>
  <c r="S111" i="1"/>
  <c r="T111" i="1"/>
  <c r="U111" i="1"/>
  <c r="V111" i="1"/>
  <c r="W111" i="1"/>
  <c r="X111" i="1"/>
  <c r="Y111" i="1"/>
  <c r="Z111" i="1"/>
  <c r="A112" i="1"/>
  <c r="B112" i="1"/>
  <c r="C112" i="1"/>
  <c r="D112" i="1"/>
  <c r="E112" i="1"/>
  <c r="F112" i="1"/>
  <c r="G112" i="1"/>
  <c r="I112" i="1"/>
  <c r="J112" i="1"/>
  <c r="K112" i="1"/>
  <c r="L112" i="1"/>
  <c r="M112" i="1"/>
  <c r="N112" i="1"/>
  <c r="O112" i="1"/>
  <c r="P112" i="1"/>
  <c r="Q112" i="1"/>
  <c r="R112" i="1"/>
  <c r="S112" i="1"/>
  <c r="T112" i="1"/>
  <c r="U112" i="1"/>
  <c r="V112" i="1"/>
  <c r="W112" i="1"/>
  <c r="X112" i="1"/>
  <c r="Y112" i="1"/>
  <c r="Z112" i="1"/>
  <c r="A113" i="1"/>
  <c r="B113" i="1"/>
  <c r="C113" i="1"/>
  <c r="D113" i="1"/>
  <c r="E113" i="1"/>
  <c r="F113" i="1"/>
  <c r="G113" i="1"/>
  <c r="I113" i="1"/>
  <c r="J113" i="1"/>
  <c r="K113" i="1"/>
  <c r="L113" i="1"/>
  <c r="M113" i="1"/>
  <c r="N113" i="1"/>
  <c r="O113" i="1"/>
  <c r="P113" i="1"/>
  <c r="Q113" i="1"/>
  <c r="R113" i="1"/>
  <c r="S113" i="1"/>
  <c r="T113" i="1"/>
  <c r="U113" i="1"/>
  <c r="V113" i="1"/>
  <c r="W113" i="1"/>
  <c r="X113" i="1"/>
  <c r="Y113" i="1"/>
  <c r="Z113" i="1"/>
  <c r="A114" i="1"/>
  <c r="B114" i="1"/>
  <c r="C114" i="1"/>
  <c r="D114" i="1"/>
  <c r="E114" i="1"/>
  <c r="F114" i="1"/>
  <c r="G114" i="1"/>
  <c r="I114" i="1"/>
  <c r="J114" i="1"/>
  <c r="K114" i="1"/>
  <c r="L114" i="1"/>
  <c r="M114" i="1"/>
  <c r="N114" i="1"/>
  <c r="O114" i="1"/>
  <c r="P114" i="1"/>
  <c r="Q114" i="1"/>
  <c r="R114" i="1"/>
  <c r="S114" i="1"/>
  <c r="T114" i="1"/>
  <c r="U114" i="1"/>
  <c r="V114" i="1"/>
  <c r="W114" i="1"/>
  <c r="X114" i="1"/>
  <c r="Y114" i="1"/>
  <c r="Z114" i="1"/>
  <c r="A115" i="1"/>
  <c r="B115" i="1"/>
  <c r="C115" i="1"/>
  <c r="D115" i="1"/>
  <c r="E115" i="1"/>
  <c r="F115" i="1"/>
  <c r="G115" i="1"/>
  <c r="I115" i="1"/>
  <c r="J115" i="1"/>
  <c r="K115" i="1"/>
  <c r="L115" i="1"/>
  <c r="M115" i="1"/>
  <c r="N115" i="1"/>
  <c r="O115" i="1"/>
  <c r="P115" i="1"/>
  <c r="Q115" i="1"/>
  <c r="R115" i="1"/>
  <c r="S115" i="1"/>
  <c r="T115" i="1"/>
  <c r="U115" i="1"/>
  <c r="V115" i="1"/>
  <c r="W115" i="1"/>
  <c r="X115" i="1"/>
  <c r="Y115" i="1"/>
  <c r="Z115" i="1"/>
  <c r="A116" i="1"/>
  <c r="B116" i="1"/>
  <c r="C116" i="1"/>
  <c r="D116" i="1"/>
  <c r="E116" i="1"/>
  <c r="F116" i="1"/>
  <c r="G116" i="1"/>
  <c r="I116" i="1"/>
  <c r="J116" i="1"/>
  <c r="K116" i="1"/>
  <c r="L116" i="1"/>
  <c r="M116" i="1"/>
  <c r="N116" i="1"/>
  <c r="O116" i="1"/>
  <c r="P116" i="1"/>
  <c r="Q116" i="1"/>
  <c r="R116" i="1"/>
  <c r="S116" i="1"/>
  <c r="T116" i="1"/>
  <c r="U116" i="1"/>
  <c r="V116" i="1"/>
  <c r="W116" i="1"/>
  <c r="X116" i="1"/>
  <c r="Y116" i="1"/>
  <c r="Z116" i="1"/>
  <c r="A117" i="1"/>
  <c r="B117" i="1"/>
  <c r="C117" i="1"/>
  <c r="D117" i="1"/>
  <c r="E117" i="1"/>
  <c r="F117" i="1"/>
  <c r="G117" i="1"/>
  <c r="I117" i="1"/>
  <c r="J117" i="1"/>
  <c r="K117" i="1"/>
  <c r="L117" i="1"/>
  <c r="M117" i="1"/>
  <c r="N117" i="1"/>
  <c r="O117" i="1"/>
  <c r="P117" i="1"/>
  <c r="Q117" i="1"/>
  <c r="R117" i="1"/>
  <c r="S117" i="1"/>
  <c r="T117" i="1"/>
  <c r="U117" i="1"/>
  <c r="V117" i="1"/>
  <c r="W117" i="1"/>
  <c r="X117" i="1"/>
  <c r="Y117" i="1"/>
  <c r="Z117" i="1"/>
  <c r="A118" i="1"/>
  <c r="B118" i="1"/>
  <c r="C118" i="1"/>
  <c r="D118" i="1"/>
  <c r="E118" i="1"/>
  <c r="F118" i="1"/>
  <c r="G118" i="1"/>
  <c r="I118" i="1"/>
  <c r="J118" i="1"/>
  <c r="K118" i="1"/>
  <c r="L118" i="1"/>
  <c r="M118" i="1"/>
  <c r="N118" i="1"/>
  <c r="O118" i="1"/>
  <c r="P118" i="1"/>
  <c r="Q118" i="1"/>
  <c r="R118" i="1"/>
  <c r="S118" i="1"/>
  <c r="T118" i="1"/>
  <c r="U118" i="1"/>
  <c r="V118" i="1"/>
  <c r="W118" i="1"/>
  <c r="X118" i="1"/>
  <c r="Y118" i="1"/>
  <c r="Z118" i="1"/>
  <c r="A119" i="1"/>
  <c r="B119" i="1"/>
  <c r="C119" i="1"/>
  <c r="D119" i="1"/>
  <c r="E119" i="1"/>
  <c r="F119" i="1"/>
  <c r="G119" i="1"/>
  <c r="I119" i="1"/>
  <c r="J119" i="1"/>
  <c r="K119" i="1"/>
  <c r="L119" i="1"/>
  <c r="M119" i="1"/>
  <c r="N119" i="1"/>
  <c r="O119" i="1"/>
  <c r="P119" i="1"/>
  <c r="Q119" i="1"/>
  <c r="R119" i="1"/>
  <c r="S119" i="1"/>
  <c r="T119" i="1"/>
  <c r="U119" i="1"/>
  <c r="V119" i="1"/>
  <c r="W119" i="1"/>
  <c r="X119" i="1"/>
  <c r="Y119" i="1"/>
  <c r="Z119" i="1"/>
  <c r="A120" i="1"/>
  <c r="B120" i="1"/>
  <c r="C120" i="1"/>
  <c r="D120" i="1"/>
  <c r="E120" i="1"/>
  <c r="F120" i="1"/>
  <c r="G120" i="1"/>
  <c r="I120" i="1"/>
  <c r="J120" i="1"/>
  <c r="K120" i="1"/>
  <c r="L120" i="1"/>
  <c r="M120" i="1"/>
  <c r="N120" i="1"/>
  <c r="O120" i="1"/>
  <c r="P120" i="1"/>
  <c r="Q120" i="1"/>
  <c r="R120" i="1"/>
  <c r="S120" i="1"/>
  <c r="T120" i="1"/>
  <c r="U120" i="1"/>
  <c r="V120" i="1"/>
  <c r="W120" i="1"/>
  <c r="X120" i="1"/>
  <c r="Y120" i="1"/>
  <c r="Z120" i="1"/>
  <c r="A121" i="1"/>
  <c r="B121" i="1"/>
  <c r="C121" i="1"/>
  <c r="D121" i="1"/>
  <c r="E121" i="1"/>
  <c r="F121" i="1"/>
  <c r="G121" i="1"/>
  <c r="I121" i="1"/>
  <c r="J121" i="1"/>
  <c r="K121" i="1"/>
  <c r="L121" i="1"/>
  <c r="M121" i="1"/>
  <c r="N121" i="1"/>
  <c r="O121" i="1"/>
  <c r="P121" i="1"/>
  <c r="Q121" i="1"/>
  <c r="R121" i="1"/>
  <c r="S121" i="1"/>
  <c r="T121" i="1"/>
  <c r="U121" i="1"/>
  <c r="V121" i="1"/>
  <c r="W121" i="1"/>
  <c r="X121" i="1"/>
  <c r="Y121" i="1"/>
  <c r="Z121" i="1"/>
  <c r="A122" i="1"/>
  <c r="B122" i="1"/>
  <c r="C122" i="1"/>
  <c r="D122" i="1"/>
  <c r="E122" i="1"/>
  <c r="F122" i="1"/>
  <c r="G122" i="1"/>
  <c r="I122" i="1"/>
  <c r="J122" i="1"/>
  <c r="K122" i="1"/>
  <c r="L122" i="1"/>
  <c r="M122" i="1"/>
  <c r="N122" i="1"/>
  <c r="O122" i="1"/>
  <c r="P122" i="1"/>
  <c r="Q122" i="1"/>
  <c r="R122" i="1"/>
  <c r="S122" i="1"/>
  <c r="T122" i="1"/>
  <c r="U122" i="1"/>
  <c r="V122" i="1"/>
  <c r="W122" i="1"/>
  <c r="X122" i="1"/>
  <c r="Y122" i="1"/>
  <c r="Z122" i="1"/>
  <c r="A123" i="1"/>
  <c r="B123" i="1"/>
  <c r="C123" i="1"/>
  <c r="D123" i="1"/>
  <c r="E123" i="1"/>
  <c r="F123" i="1"/>
  <c r="G123" i="1"/>
  <c r="I123" i="1"/>
  <c r="J123" i="1"/>
  <c r="K123" i="1"/>
  <c r="L123" i="1"/>
  <c r="M123" i="1"/>
  <c r="N123" i="1"/>
  <c r="O123" i="1"/>
  <c r="P123" i="1"/>
  <c r="Q123" i="1"/>
  <c r="R123" i="1"/>
  <c r="S123" i="1"/>
  <c r="T123" i="1"/>
  <c r="U123" i="1"/>
  <c r="V123" i="1"/>
  <c r="W123" i="1"/>
  <c r="X123" i="1"/>
  <c r="Y123" i="1"/>
  <c r="Z123" i="1"/>
  <c r="A124" i="1"/>
  <c r="B124" i="1"/>
  <c r="C124" i="1"/>
  <c r="D124" i="1"/>
  <c r="E124" i="1"/>
  <c r="F124" i="1"/>
  <c r="G124" i="1"/>
  <c r="I124" i="1"/>
  <c r="J124" i="1"/>
  <c r="K124" i="1"/>
  <c r="L124" i="1"/>
  <c r="M124" i="1"/>
  <c r="N124" i="1"/>
  <c r="O124" i="1"/>
  <c r="P124" i="1"/>
  <c r="Q124" i="1"/>
  <c r="R124" i="1"/>
  <c r="S124" i="1"/>
  <c r="T124" i="1"/>
  <c r="U124" i="1"/>
  <c r="V124" i="1"/>
  <c r="W124" i="1"/>
  <c r="X124" i="1"/>
  <c r="Y124" i="1"/>
  <c r="Z124" i="1"/>
  <c r="A125" i="1"/>
  <c r="B125" i="1"/>
  <c r="C125" i="1"/>
  <c r="D125" i="1"/>
  <c r="E125" i="1"/>
  <c r="F125" i="1"/>
  <c r="G125" i="1"/>
  <c r="I125" i="1"/>
  <c r="J125" i="1"/>
  <c r="K125" i="1"/>
  <c r="L125" i="1"/>
  <c r="M125" i="1"/>
  <c r="N125" i="1"/>
  <c r="O125" i="1"/>
  <c r="P125" i="1"/>
  <c r="Q125" i="1"/>
  <c r="R125" i="1"/>
  <c r="S125" i="1"/>
  <c r="T125" i="1"/>
  <c r="U125" i="1"/>
  <c r="V125" i="1"/>
  <c r="W125" i="1"/>
  <c r="X125" i="1"/>
  <c r="Y125" i="1"/>
  <c r="Z125" i="1"/>
  <c r="A126" i="1"/>
  <c r="B126" i="1"/>
  <c r="C126" i="1"/>
  <c r="D126" i="1"/>
  <c r="E126" i="1"/>
  <c r="F126" i="1"/>
  <c r="G126" i="1"/>
  <c r="I126" i="1"/>
  <c r="J126" i="1"/>
  <c r="K126" i="1"/>
  <c r="L126" i="1"/>
  <c r="M126" i="1"/>
  <c r="N126" i="1"/>
  <c r="O126" i="1"/>
  <c r="P126" i="1"/>
  <c r="Q126" i="1"/>
  <c r="R126" i="1"/>
  <c r="S126" i="1"/>
  <c r="T126" i="1"/>
  <c r="U126" i="1"/>
  <c r="V126" i="1"/>
  <c r="W126" i="1"/>
  <c r="X126" i="1"/>
  <c r="Y126" i="1"/>
  <c r="Z126" i="1"/>
  <c r="A127" i="1"/>
  <c r="B127" i="1"/>
  <c r="C127" i="1"/>
  <c r="D127" i="1"/>
  <c r="E127" i="1"/>
  <c r="F127" i="1"/>
  <c r="G127" i="1"/>
  <c r="I127" i="1"/>
  <c r="J127" i="1"/>
  <c r="K127" i="1"/>
  <c r="L127" i="1"/>
  <c r="M127" i="1"/>
  <c r="N127" i="1"/>
  <c r="O127" i="1"/>
  <c r="P127" i="1"/>
  <c r="Q127" i="1"/>
  <c r="R127" i="1"/>
  <c r="S127" i="1"/>
  <c r="T127" i="1"/>
  <c r="U127" i="1"/>
  <c r="V127" i="1"/>
  <c r="W127" i="1"/>
  <c r="X127" i="1"/>
  <c r="Y127" i="1"/>
  <c r="Z127" i="1"/>
  <c r="A128" i="1"/>
  <c r="B128" i="1"/>
  <c r="C128" i="1"/>
  <c r="D128" i="1"/>
  <c r="E128" i="1"/>
  <c r="F128" i="1"/>
  <c r="G128" i="1"/>
  <c r="I128" i="1"/>
  <c r="J128" i="1"/>
  <c r="K128" i="1"/>
  <c r="L128" i="1"/>
  <c r="M128" i="1"/>
  <c r="N128" i="1"/>
  <c r="O128" i="1"/>
  <c r="P128" i="1"/>
  <c r="Q128" i="1"/>
  <c r="R128" i="1"/>
  <c r="S128" i="1"/>
  <c r="T128" i="1"/>
  <c r="U128" i="1"/>
  <c r="V128" i="1"/>
  <c r="W128" i="1"/>
  <c r="X128" i="1"/>
  <c r="Y128" i="1"/>
  <c r="Z128" i="1"/>
  <c r="A129" i="1"/>
  <c r="B129" i="1"/>
  <c r="C129" i="1"/>
  <c r="D129" i="1"/>
  <c r="E129" i="1"/>
  <c r="F129" i="1"/>
  <c r="G129" i="1"/>
  <c r="I129" i="1"/>
  <c r="J129" i="1"/>
  <c r="K129" i="1"/>
  <c r="L129" i="1"/>
  <c r="M129" i="1"/>
  <c r="N129" i="1"/>
  <c r="O129" i="1"/>
  <c r="P129" i="1"/>
  <c r="Q129" i="1"/>
  <c r="R129" i="1"/>
  <c r="S129" i="1"/>
  <c r="T129" i="1"/>
  <c r="U129" i="1"/>
  <c r="V129" i="1"/>
  <c r="W129" i="1"/>
  <c r="X129" i="1"/>
  <c r="Y129" i="1"/>
  <c r="Z129" i="1"/>
  <c r="A130" i="1"/>
  <c r="B130" i="1"/>
  <c r="C130" i="1"/>
  <c r="D130" i="1"/>
  <c r="E130" i="1"/>
  <c r="F130" i="1"/>
  <c r="G130" i="1"/>
  <c r="I130" i="1"/>
  <c r="J130" i="1"/>
  <c r="K130" i="1"/>
  <c r="L130" i="1"/>
  <c r="M130" i="1"/>
  <c r="N130" i="1"/>
  <c r="O130" i="1"/>
  <c r="P130" i="1"/>
  <c r="Q130" i="1"/>
  <c r="R130" i="1"/>
  <c r="S130" i="1"/>
  <c r="T130" i="1"/>
  <c r="U130" i="1"/>
  <c r="V130" i="1"/>
  <c r="W130" i="1"/>
  <c r="X130" i="1"/>
  <c r="Y130" i="1"/>
  <c r="Z130" i="1"/>
  <c r="A131" i="1"/>
  <c r="B131" i="1"/>
  <c r="C131" i="1"/>
  <c r="D131" i="1"/>
  <c r="E131" i="1"/>
  <c r="F131" i="1"/>
  <c r="G131" i="1"/>
  <c r="I131" i="1"/>
  <c r="J131" i="1"/>
  <c r="K131" i="1"/>
  <c r="L131" i="1"/>
  <c r="M131" i="1"/>
  <c r="N131" i="1"/>
  <c r="O131" i="1"/>
  <c r="P131" i="1"/>
  <c r="Q131" i="1"/>
  <c r="R131" i="1"/>
  <c r="S131" i="1"/>
  <c r="T131" i="1"/>
  <c r="U131" i="1"/>
  <c r="V131" i="1"/>
  <c r="W131" i="1"/>
  <c r="X131" i="1"/>
  <c r="Y131" i="1"/>
  <c r="Z131" i="1"/>
  <c r="A132" i="1"/>
  <c r="B132" i="1"/>
  <c r="C132" i="1"/>
  <c r="D132" i="1"/>
  <c r="E132" i="1"/>
  <c r="F132" i="1"/>
  <c r="G132" i="1"/>
  <c r="I132" i="1"/>
  <c r="J132" i="1"/>
  <c r="K132" i="1"/>
  <c r="L132" i="1"/>
  <c r="M132" i="1"/>
  <c r="N132" i="1"/>
  <c r="O132" i="1"/>
  <c r="P132" i="1"/>
  <c r="Q132" i="1"/>
  <c r="R132" i="1"/>
  <c r="S132" i="1"/>
  <c r="T132" i="1"/>
  <c r="U132" i="1"/>
  <c r="V132" i="1"/>
  <c r="W132" i="1"/>
  <c r="X132" i="1"/>
  <c r="Y132" i="1"/>
  <c r="Z132" i="1"/>
  <c r="A133" i="1"/>
  <c r="B133" i="1"/>
  <c r="C133" i="1"/>
  <c r="D133" i="1"/>
  <c r="E133" i="1"/>
  <c r="F133" i="1"/>
  <c r="G133" i="1"/>
  <c r="I133" i="1"/>
  <c r="J133" i="1"/>
  <c r="K133" i="1"/>
  <c r="L133" i="1"/>
  <c r="M133" i="1"/>
  <c r="N133" i="1"/>
  <c r="O133" i="1"/>
  <c r="P133" i="1"/>
  <c r="Q133" i="1"/>
  <c r="R133" i="1"/>
  <c r="S133" i="1"/>
  <c r="T133" i="1"/>
  <c r="U133" i="1"/>
  <c r="V133" i="1"/>
  <c r="W133" i="1"/>
  <c r="X133" i="1"/>
  <c r="Y133" i="1"/>
  <c r="Z133" i="1"/>
  <c r="A134" i="1"/>
  <c r="B134" i="1"/>
  <c r="C134" i="1"/>
  <c r="D134" i="1"/>
  <c r="E134" i="1"/>
  <c r="F134" i="1"/>
  <c r="G134" i="1"/>
  <c r="I134" i="1"/>
  <c r="J134" i="1"/>
  <c r="K134" i="1"/>
  <c r="L134" i="1"/>
  <c r="M134" i="1"/>
  <c r="N134" i="1"/>
  <c r="O134" i="1"/>
  <c r="P134" i="1"/>
  <c r="Q134" i="1"/>
  <c r="R134" i="1"/>
  <c r="S134" i="1"/>
  <c r="T134" i="1"/>
  <c r="U134" i="1"/>
  <c r="V134" i="1"/>
  <c r="W134" i="1"/>
  <c r="X134" i="1"/>
  <c r="Y134" i="1"/>
  <c r="Z134" i="1"/>
  <c r="A135" i="1"/>
  <c r="B135" i="1"/>
  <c r="C135" i="1"/>
  <c r="D135" i="1"/>
  <c r="E135" i="1"/>
  <c r="F135" i="1"/>
  <c r="G135" i="1"/>
  <c r="I135" i="1"/>
  <c r="J135" i="1"/>
  <c r="K135" i="1"/>
  <c r="L135" i="1"/>
  <c r="M135" i="1"/>
  <c r="N135" i="1"/>
  <c r="O135" i="1"/>
  <c r="P135" i="1"/>
  <c r="Q135" i="1"/>
  <c r="R135" i="1"/>
  <c r="S135" i="1"/>
  <c r="T135" i="1"/>
  <c r="U135" i="1"/>
  <c r="V135" i="1"/>
  <c r="W135" i="1"/>
  <c r="X135" i="1"/>
  <c r="Y135" i="1"/>
  <c r="Z135" i="1"/>
  <c r="A136" i="1"/>
  <c r="B136" i="1"/>
  <c r="C136" i="1"/>
  <c r="D136" i="1"/>
  <c r="E136" i="1"/>
  <c r="F136" i="1"/>
  <c r="G136" i="1"/>
  <c r="I136" i="1"/>
  <c r="J136" i="1"/>
  <c r="K136" i="1"/>
  <c r="L136" i="1"/>
  <c r="M136" i="1"/>
  <c r="N136" i="1"/>
  <c r="O136" i="1"/>
  <c r="P136" i="1"/>
  <c r="Q136" i="1"/>
  <c r="R136" i="1"/>
  <c r="S136" i="1"/>
  <c r="T136" i="1"/>
  <c r="U136" i="1"/>
  <c r="V136" i="1"/>
  <c r="W136" i="1"/>
  <c r="X136" i="1"/>
  <c r="Y136" i="1"/>
  <c r="Z136" i="1"/>
  <c r="A137" i="1"/>
  <c r="B137" i="1"/>
  <c r="C137" i="1"/>
  <c r="D137" i="1"/>
  <c r="E137" i="1"/>
  <c r="F137" i="1"/>
  <c r="G137" i="1"/>
  <c r="I137" i="1"/>
  <c r="J137" i="1"/>
  <c r="K137" i="1"/>
  <c r="L137" i="1"/>
  <c r="M137" i="1"/>
  <c r="N137" i="1"/>
  <c r="O137" i="1"/>
  <c r="P137" i="1"/>
  <c r="Q137" i="1"/>
  <c r="R137" i="1"/>
  <c r="S137" i="1"/>
  <c r="T137" i="1"/>
  <c r="U137" i="1"/>
  <c r="V137" i="1"/>
  <c r="W137" i="1"/>
  <c r="X137" i="1"/>
  <c r="Y137" i="1"/>
  <c r="Z137" i="1"/>
  <c r="A138" i="1"/>
  <c r="B138" i="1"/>
  <c r="C138" i="1"/>
  <c r="D138" i="1"/>
  <c r="E138" i="1"/>
  <c r="F138" i="1"/>
  <c r="G138" i="1"/>
  <c r="I138" i="1"/>
  <c r="J138" i="1"/>
  <c r="K138" i="1"/>
  <c r="L138" i="1"/>
  <c r="M138" i="1"/>
  <c r="N138" i="1"/>
  <c r="O138" i="1"/>
  <c r="P138" i="1"/>
  <c r="Q138" i="1"/>
  <c r="R138" i="1"/>
  <c r="S138" i="1"/>
  <c r="T138" i="1"/>
  <c r="U138" i="1"/>
  <c r="V138" i="1"/>
  <c r="W138" i="1"/>
  <c r="X138" i="1"/>
  <c r="Y138" i="1"/>
  <c r="Z138" i="1"/>
  <c r="A139" i="1"/>
  <c r="B139" i="1"/>
  <c r="C139" i="1"/>
  <c r="D139" i="1"/>
  <c r="E139" i="1"/>
  <c r="F139" i="1"/>
  <c r="G139" i="1"/>
  <c r="I139" i="1"/>
  <c r="J139" i="1"/>
  <c r="K139" i="1"/>
  <c r="L139" i="1"/>
  <c r="M139" i="1"/>
  <c r="N139" i="1"/>
  <c r="O139" i="1"/>
  <c r="P139" i="1"/>
  <c r="Q139" i="1"/>
  <c r="R139" i="1"/>
  <c r="S139" i="1"/>
  <c r="T139" i="1"/>
  <c r="U139" i="1"/>
  <c r="V139" i="1"/>
  <c r="W139" i="1"/>
  <c r="X139" i="1"/>
  <c r="Y139" i="1"/>
  <c r="Z139" i="1"/>
  <c r="A140" i="1"/>
  <c r="B140" i="1"/>
  <c r="C140" i="1"/>
  <c r="D140" i="1"/>
  <c r="E140" i="1"/>
  <c r="F140" i="1"/>
  <c r="G140" i="1"/>
  <c r="I140" i="1"/>
  <c r="J140" i="1"/>
  <c r="K140" i="1"/>
  <c r="L140" i="1"/>
  <c r="M140" i="1"/>
  <c r="N140" i="1"/>
  <c r="O140" i="1"/>
  <c r="P140" i="1"/>
  <c r="Q140" i="1"/>
  <c r="R140" i="1"/>
  <c r="S140" i="1"/>
  <c r="T140" i="1"/>
  <c r="U140" i="1"/>
  <c r="V140" i="1"/>
  <c r="W140" i="1"/>
  <c r="X140" i="1"/>
  <c r="Y140" i="1"/>
  <c r="Z140" i="1"/>
  <c r="A141" i="1"/>
  <c r="B141" i="1"/>
  <c r="C141" i="1"/>
  <c r="D141" i="1"/>
  <c r="E141" i="1"/>
  <c r="F141" i="1"/>
  <c r="G141" i="1"/>
  <c r="I141" i="1"/>
  <c r="J141" i="1"/>
  <c r="K141" i="1"/>
  <c r="L141" i="1"/>
  <c r="M141" i="1"/>
  <c r="N141" i="1"/>
  <c r="O141" i="1"/>
  <c r="P141" i="1"/>
  <c r="Q141" i="1"/>
  <c r="R141" i="1"/>
  <c r="S141" i="1"/>
  <c r="T141" i="1"/>
  <c r="U141" i="1"/>
  <c r="V141" i="1"/>
  <c r="W141" i="1"/>
  <c r="X141" i="1"/>
  <c r="Y141" i="1"/>
  <c r="Z141" i="1"/>
  <c r="A142" i="1"/>
  <c r="B142" i="1"/>
  <c r="C142" i="1"/>
  <c r="D142" i="1"/>
  <c r="E142" i="1"/>
  <c r="F142" i="1"/>
  <c r="G142" i="1"/>
  <c r="I142" i="1"/>
  <c r="J142" i="1"/>
  <c r="K142" i="1"/>
  <c r="L142" i="1"/>
  <c r="M142" i="1"/>
  <c r="N142" i="1"/>
  <c r="O142" i="1"/>
  <c r="P142" i="1"/>
  <c r="Q142" i="1"/>
  <c r="R142" i="1"/>
  <c r="S142" i="1"/>
  <c r="T142" i="1"/>
  <c r="U142" i="1"/>
  <c r="V142" i="1"/>
  <c r="W142" i="1"/>
  <c r="X142" i="1"/>
  <c r="Y142" i="1"/>
  <c r="Z142" i="1"/>
  <c r="A143" i="1"/>
  <c r="B143" i="1"/>
  <c r="C143" i="1"/>
  <c r="D143" i="1"/>
  <c r="E143" i="1"/>
  <c r="F143" i="1"/>
  <c r="G143" i="1"/>
  <c r="I143" i="1"/>
  <c r="J143" i="1"/>
  <c r="K143" i="1"/>
  <c r="L143" i="1"/>
  <c r="M143" i="1"/>
  <c r="N143" i="1"/>
  <c r="O143" i="1"/>
  <c r="P143" i="1"/>
  <c r="Q143" i="1"/>
  <c r="R143" i="1"/>
  <c r="S143" i="1"/>
  <c r="T143" i="1"/>
  <c r="U143" i="1"/>
  <c r="V143" i="1"/>
  <c r="W143" i="1"/>
  <c r="X143" i="1"/>
  <c r="Y143" i="1"/>
  <c r="Z143" i="1"/>
  <c r="A144" i="1"/>
  <c r="B144" i="1"/>
  <c r="C144" i="1"/>
  <c r="D144" i="1"/>
  <c r="E144" i="1"/>
  <c r="F144" i="1"/>
  <c r="G144" i="1"/>
  <c r="I144" i="1"/>
  <c r="J144" i="1"/>
  <c r="K144" i="1"/>
  <c r="L144" i="1"/>
  <c r="M144" i="1"/>
  <c r="N144" i="1"/>
  <c r="O144" i="1"/>
  <c r="P144" i="1"/>
  <c r="Q144" i="1"/>
  <c r="R144" i="1"/>
  <c r="S144" i="1"/>
  <c r="T144" i="1"/>
  <c r="U144" i="1"/>
  <c r="V144" i="1"/>
  <c r="W144" i="1"/>
  <c r="X144" i="1"/>
  <c r="Y144" i="1"/>
  <c r="Z144" i="1"/>
  <c r="A145" i="1"/>
  <c r="B145" i="1"/>
  <c r="C145" i="1"/>
  <c r="D145" i="1"/>
  <c r="E145" i="1"/>
  <c r="F145" i="1"/>
  <c r="G145" i="1"/>
  <c r="I145" i="1"/>
  <c r="J145" i="1"/>
  <c r="K145" i="1"/>
  <c r="L145" i="1"/>
  <c r="M145" i="1"/>
  <c r="N145" i="1"/>
  <c r="O145" i="1"/>
  <c r="P145" i="1"/>
  <c r="Q145" i="1"/>
  <c r="R145" i="1"/>
  <c r="S145" i="1"/>
  <c r="T145" i="1"/>
  <c r="U145" i="1"/>
  <c r="V145" i="1"/>
  <c r="W145" i="1"/>
  <c r="X145" i="1"/>
  <c r="Y145" i="1"/>
  <c r="Z145" i="1"/>
  <c r="A146" i="1"/>
  <c r="B146" i="1"/>
  <c r="C146" i="1"/>
  <c r="D146" i="1"/>
  <c r="E146" i="1"/>
  <c r="F146" i="1"/>
  <c r="G146" i="1"/>
  <c r="I146" i="1"/>
  <c r="J146" i="1"/>
  <c r="K146" i="1"/>
  <c r="L146" i="1"/>
  <c r="M146" i="1"/>
  <c r="N146" i="1"/>
  <c r="O146" i="1"/>
  <c r="P146" i="1"/>
  <c r="Q146" i="1"/>
  <c r="R146" i="1"/>
  <c r="S146" i="1"/>
  <c r="T146" i="1"/>
  <c r="U146" i="1"/>
  <c r="V146" i="1"/>
  <c r="W146" i="1"/>
  <c r="X146" i="1"/>
  <c r="Y146" i="1"/>
  <c r="Z146" i="1"/>
  <c r="A147" i="1"/>
  <c r="B147" i="1"/>
  <c r="C147" i="1"/>
  <c r="D147" i="1"/>
  <c r="E147" i="1"/>
  <c r="F147" i="1"/>
  <c r="G147" i="1"/>
  <c r="I147" i="1"/>
  <c r="J147" i="1"/>
  <c r="K147" i="1"/>
  <c r="L147" i="1"/>
  <c r="M147" i="1"/>
  <c r="N147" i="1"/>
  <c r="O147" i="1"/>
  <c r="P147" i="1"/>
  <c r="Q147" i="1"/>
  <c r="R147" i="1"/>
  <c r="S147" i="1"/>
  <c r="T147" i="1"/>
  <c r="U147" i="1"/>
  <c r="V147" i="1"/>
  <c r="W147" i="1"/>
  <c r="X147" i="1"/>
  <c r="Y147" i="1"/>
  <c r="Z147" i="1"/>
  <c r="A148" i="1"/>
  <c r="B148" i="1"/>
  <c r="C148" i="1"/>
  <c r="D148" i="1"/>
  <c r="E148" i="1"/>
  <c r="F148" i="1"/>
  <c r="G148" i="1"/>
  <c r="I148" i="1"/>
  <c r="J148" i="1"/>
  <c r="K148" i="1"/>
  <c r="L148" i="1"/>
  <c r="M148" i="1"/>
  <c r="N148" i="1"/>
  <c r="O148" i="1"/>
  <c r="P148" i="1"/>
  <c r="Q148" i="1"/>
  <c r="R148" i="1"/>
  <c r="S148" i="1"/>
  <c r="T148" i="1"/>
  <c r="U148" i="1"/>
  <c r="V148" i="1"/>
  <c r="W148" i="1"/>
  <c r="X148" i="1"/>
  <c r="Y148" i="1"/>
  <c r="Z148" i="1"/>
  <c r="A149" i="1"/>
  <c r="B149" i="1"/>
  <c r="C149" i="1"/>
  <c r="D149" i="1"/>
  <c r="E149" i="1"/>
  <c r="F149" i="1"/>
  <c r="G149" i="1"/>
  <c r="I149" i="1"/>
  <c r="J149" i="1"/>
  <c r="K149" i="1"/>
  <c r="L149" i="1"/>
  <c r="M149" i="1"/>
  <c r="N149" i="1"/>
  <c r="O149" i="1"/>
  <c r="P149" i="1"/>
  <c r="Q149" i="1"/>
  <c r="R149" i="1"/>
  <c r="S149" i="1"/>
  <c r="T149" i="1"/>
  <c r="U149" i="1"/>
  <c r="V149" i="1"/>
  <c r="W149" i="1"/>
  <c r="X149" i="1"/>
  <c r="Y149" i="1"/>
  <c r="Z149" i="1"/>
  <c r="A150" i="1"/>
  <c r="B150" i="1"/>
  <c r="C150" i="1"/>
  <c r="D150" i="1"/>
  <c r="E150" i="1"/>
  <c r="F150" i="1"/>
  <c r="G150" i="1"/>
  <c r="I150" i="1"/>
  <c r="J150" i="1"/>
  <c r="K150" i="1"/>
  <c r="L150" i="1"/>
  <c r="M150" i="1"/>
  <c r="N150" i="1"/>
  <c r="O150" i="1"/>
  <c r="P150" i="1"/>
  <c r="Q150" i="1"/>
  <c r="R150" i="1"/>
  <c r="S150" i="1"/>
  <c r="T150" i="1"/>
  <c r="U150" i="1"/>
  <c r="V150" i="1"/>
  <c r="W150" i="1"/>
  <c r="X150" i="1"/>
  <c r="Y150" i="1"/>
  <c r="Z150" i="1"/>
  <c r="A151" i="1"/>
  <c r="B151" i="1"/>
  <c r="C151" i="1"/>
  <c r="D151" i="1"/>
  <c r="E151" i="1"/>
  <c r="F151" i="1"/>
  <c r="G151" i="1"/>
  <c r="I151" i="1"/>
  <c r="J151" i="1"/>
  <c r="K151" i="1"/>
  <c r="L151" i="1"/>
  <c r="M151" i="1"/>
  <c r="N151" i="1"/>
  <c r="O151" i="1"/>
  <c r="P151" i="1"/>
  <c r="Q151" i="1"/>
  <c r="R151" i="1"/>
  <c r="S151" i="1"/>
  <c r="T151" i="1"/>
  <c r="U151" i="1"/>
  <c r="V151" i="1"/>
  <c r="W151" i="1"/>
  <c r="X151" i="1"/>
  <c r="Y151" i="1"/>
  <c r="Z151" i="1"/>
  <c r="A152" i="1"/>
  <c r="B152" i="1"/>
  <c r="C152" i="1"/>
  <c r="D152" i="1"/>
  <c r="E152" i="1"/>
  <c r="F152" i="1"/>
  <c r="G152" i="1"/>
  <c r="I152" i="1"/>
  <c r="J152" i="1"/>
  <c r="K152" i="1"/>
  <c r="L152" i="1"/>
  <c r="M152" i="1"/>
  <c r="N152" i="1"/>
  <c r="O152" i="1"/>
  <c r="P152" i="1"/>
  <c r="Q152" i="1"/>
  <c r="R152" i="1"/>
  <c r="S152" i="1"/>
  <c r="T152" i="1"/>
  <c r="U152" i="1"/>
  <c r="V152" i="1"/>
  <c r="W152" i="1"/>
  <c r="X152" i="1"/>
  <c r="Y152" i="1"/>
  <c r="Z152" i="1"/>
  <c r="A153" i="1"/>
  <c r="B153" i="1"/>
  <c r="C153" i="1"/>
  <c r="D153" i="1"/>
  <c r="E153" i="1"/>
  <c r="F153" i="1"/>
  <c r="G153" i="1"/>
  <c r="I153" i="1"/>
  <c r="J153" i="1"/>
  <c r="K153" i="1"/>
  <c r="L153" i="1"/>
  <c r="M153" i="1"/>
  <c r="N153" i="1"/>
  <c r="O153" i="1"/>
  <c r="P153" i="1"/>
  <c r="Q153" i="1"/>
  <c r="R153" i="1"/>
  <c r="S153" i="1"/>
  <c r="T153" i="1"/>
  <c r="U153" i="1"/>
  <c r="V153" i="1"/>
  <c r="W153" i="1"/>
  <c r="X153" i="1"/>
  <c r="Y153" i="1"/>
  <c r="Z153" i="1"/>
  <c r="A154" i="1"/>
  <c r="B154" i="1"/>
  <c r="C154" i="1"/>
  <c r="D154" i="1"/>
  <c r="E154" i="1"/>
  <c r="F154" i="1"/>
  <c r="G154" i="1"/>
  <c r="I154" i="1"/>
  <c r="J154" i="1"/>
  <c r="K154" i="1"/>
  <c r="L154" i="1"/>
  <c r="M154" i="1"/>
  <c r="N154" i="1"/>
  <c r="O154" i="1"/>
  <c r="P154" i="1"/>
  <c r="Q154" i="1"/>
  <c r="R154" i="1"/>
  <c r="S154" i="1"/>
  <c r="T154" i="1"/>
  <c r="U154" i="1"/>
  <c r="V154" i="1"/>
  <c r="W154" i="1"/>
  <c r="X154" i="1"/>
  <c r="Y154" i="1"/>
  <c r="Z154" i="1"/>
  <c r="A155" i="1"/>
  <c r="B155" i="1"/>
  <c r="C155" i="1"/>
  <c r="D155" i="1"/>
  <c r="E155" i="1"/>
  <c r="F155" i="1"/>
  <c r="G155" i="1"/>
  <c r="I155" i="1"/>
  <c r="J155" i="1"/>
  <c r="K155" i="1"/>
  <c r="L155" i="1"/>
  <c r="M155" i="1"/>
  <c r="N155" i="1"/>
  <c r="O155" i="1"/>
  <c r="P155" i="1"/>
  <c r="Q155" i="1"/>
  <c r="R155" i="1"/>
  <c r="S155" i="1"/>
  <c r="T155" i="1"/>
  <c r="U155" i="1"/>
  <c r="V155" i="1"/>
  <c r="W155" i="1"/>
  <c r="X155" i="1"/>
  <c r="Y155" i="1"/>
  <c r="Z155" i="1"/>
  <c r="A156" i="1"/>
  <c r="B156" i="1"/>
  <c r="C156" i="1"/>
  <c r="D156" i="1"/>
  <c r="E156" i="1"/>
  <c r="F156" i="1"/>
  <c r="G156" i="1"/>
  <c r="I156" i="1"/>
  <c r="J156" i="1"/>
  <c r="K156" i="1"/>
  <c r="L156" i="1"/>
  <c r="M156" i="1"/>
  <c r="N156" i="1"/>
  <c r="O156" i="1"/>
  <c r="P156" i="1"/>
  <c r="Q156" i="1"/>
  <c r="R156" i="1"/>
  <c r="S156" i="1"/>
  <c r="T156" i="1"/>
  <c r="U156" i="1"/>
  <c r="V156" i="1"/>
  <c r="W156" i="1"/>
  <c r="X156" i="1"/>
  <c r="Y156" i="1"/>
  <c r="Z156" i="1"/>
  <c r="A157" i="1"/>
  <c r="B157" i="1"/>
  <c r="C157" i="1"/>
  <c r="D157" i="1"/>
  <c r="E157" i="1"/>
  <c r="F157" i="1"/>
  <c r="G157" i="1"/>
  <c r="I157" i="1"/>
  <c r="J157" i="1"/>
  <c r="K157" i="1"/>
  <c r="L157" i="1"/>
  <c r="M157" i="1"/>
  <c r="N157" i="1"/>
  <c r="O157" i="1"/>
  <c r="P157" i="1"/>
  <c r="Q157" i="1"/>
  <c r="R157" i="1"/>
  <c r="S157" i="1"/>
  <c r="T157" i="1"/>
  <c r="U157" i="1"/>
  <c r="V157" i="1"/>
  <c r="W157" i="1"/>
  <c r="X157" i="1"/>
  <c r="Y157" i="1"/>
  <c r="Z157" i="1"/>
  <c r="A158" i="1"/>
  <c r="B158" i="1"/>
  <c r="C158" i="1"/>
  <c r="D158" i="1"/>
  <c r="E158" i="1"/>
  <c r="F158" i="1"/>
  <c r="G158" i="1"/>
  <c r="I158" i="1"/>
  <c r="J158" i="1"/>
  <c r="K158" i="1"/>
  <c r="L158" i="1"/>
  <c r="M158" i="1"/>
  <c r="N158" i="1"/>
  <c r="O158" i="1"/>
  <c r="P158" i="1"/>
  <c r="Q158" i="1"/>
  <c r="R158" i="1"/>
  <c r="S158" i="1"/>
  <c r="T158" i="1"/>
  <c r="U158" i="1"/>
  <c r="V158" i="1"/>
  <c r="W158" i="1"/>
  <c r="X158" i="1"/>
  <c r="Y158" i="1"/>
  <c r="Z158" i="1"/>
  <c r="A159" i="1"/>
  <c r="B159" i="1"/>
  <c r="C159" i="1"/>
  <c r="D159" i="1"/>
  <c r="E159" i="1"/>
  <c r="F159" i="1"/>
  <c r="G159" i="1"/>
  <c r="I159" i="1"/>
  <c r="J159" i="1"/>
  <c r="K159" i="1"/>
  <c r="L159" i="1"/>
  <c r="M159" i="1"/>
  <c r="N159" i="1"/>
  <c r="O159" i="1"/>
  <c r="P159" i="1"/>
  <c r="Q159" i="1"/>
  <c r="R159" i="1"/>
  <c r="S159" i="1"/>
  <c r="T159" i="1"/>
  <c r="U159" i="1"/>
  <c r="V159" i="1"/>
  <c r="W159" i="1"/>
  <c r="X159" i="1"/>
  <c r="Y159" i="1"/>
  <c r="Z159" i="1"/>
  <c r="A160" i="1"/>
  <c r="B160" i="1"/>
  <c r="C160" i="1"/>
  <c r="D160" i="1"/>
  <c r="E160" i="1"/>
  <c r="F160" i="1"/>
  <c r="G160" i="1"/>
  <c r="I160" i="1"/>
  <c r="J160" i="1"/>
  <c r="K160" i="1"/>
  <c r="L160" i="1"/>
  <c r="M160" i="1"/>
  <c r="N160" i="1"/>
  <c r="O160" i="1"/>
  <c r="P160" i="1"/>
  <c r="Q160" i="1"/>
  <c r="R160" i="1"/>
  <c r="S160" i="1"/>
  <c r="T160" i="1"/>
  <c r="U160" i="1"/>
  <c r="V160" i="1"/>
  <c r="W160" i="1"/>
  <c r="X160" i="1"/>
  <c r="Y160" i="1"/>
  <c r="Z160" i="1"/>
  <c r="A161" i="1"/>
  <c r="B161" i="1"/>
  <c r="C161" i="1"/>
  <c r="D161" i="1"/>
  <c r="E161" i="1"/>
  <c r="F161" i="1"/>
  <c r="G161" i="1"/>
  <c r="I161" i="1"/>
  <c r="J161" i="1"/>
  <c r="K161" i="1"/>
  <c r="L161" i="1"/>
  <c r="M161" i="1"/>
  <c r="N161" i="1"/>
  <c r="O161" i="1"/>
  <c r="P161" i="1"/>
  <c r="Q161" i="1"/>
  <c r="R161" i="1"/>
  <c r="S161" i="1"/>
  <c r="T161" i="1"/>
  <c r="U161" i="1"/>
  <c r="V161" i="1"/>
  <c r="W161" i="1"/>
  <c r="X161" i="1"/>
  <c r="Y161" i="1"/>
  <c r="Z161" i="1"/>
  <c r="A162" i="1"/>
  <c r="B162" i="1"/>
  <c r="C162" i="1"/>
  <c r="D162" i="1"/>
  <c r="E162" i="1"/>
  <c r="F162" i="1"/>
  <c r="G162" i="1"/>
  <c r="I162" i="1"/>
  <c r="J162" i="1"/>
  <c r="K162" i="1"/>
  <c r="L162" i="1"/>
  <c r="M162" i="1"/>
  <c r="N162" i="1"/>
  <c r="O162" i="1"/>
  <c r="P162" i="1"/>
  <c r="Q162" i="1"/>
  <c r="R162" i="1"/>
  <c r="S162" i="1"/>
  <c r="T162" i="1"/>
  <c r="U162" i="1"/>
  <c r="V162" i="1"/>
  <c r="W162" i="1"/>
  <c r="X162" i="1"/>
  <c r="Y162" i="1"/>
  <c r="Z162" i="1"/>
  <c r="A163" i="1"/>
  <c r="B163" i="1"/>
  <c r="C163" i="1"/>
  <c r="D163" i="1"/>
  <c r="E163" i="1"/>
  <c r="F163" i="1"/>
  <c r="G163" i="1"/>
  <c r="I163" i="1"/>
  <c r="J163" i="1"/>
  <c r="K163" i="1"/>
  <c r="L163" i="1"/>
  <c r="M163" i="1"/>
  <c r="N163" i="1"/>
  <c r="O163" i="1"/>
  <c r="P163" i="1"/>
  <c r="Q163" i="1"/>
  <c r="R163" i="1"/>
  <c r="S163" i="1"/>
  <c r="T163" i="1"/>
  <c r="U163" i="1"/>
  <c r="V163" i="1"/>
  <c r="W163" i="1"/>
  <c r="X163" i="1"/>
  <c r="Y163" i="1"/>
  <c r="Z163" i="1"/>
  <c r="A164" i="1"/>
  <c r="B164" i="1"/>
  <c r="C164" i="1"/>
  <c r="D164" i="1"/>
  <c r="E164" i="1"/>
  <c r="F164" i="1"/>
  <c r="G164" i="1"/>
  <c r="I164" i="1"/>
  <c r="J164" i="1"/>
  <c r="K164" i="1"/>
  <c r="L164" i="1"/>
  <c r="M164" i="1"/>
  <c r="N164" i="1"/>
  <c r="O164" i="1"/>
  <c r="P164" i="1"/>
  <c r="Q164" i="1"/>
  <c r="R164" i="1"/>
  <c r="S164" i="1"/>
  <c r="T164" i="1"/>
  <c r="U164" i="1"/>
  <c r="V164" i="1"/>
  <c r="W164" i="1"/>
  <c r="X164" i="1"/>
  <c r="Y164" i="1"/>
  <c r="Z164" i="1"/>
  <c r="A165" i="1"/>
  <c r="B165" i="1"/>
  <c r="C165" i="1"/>
  <c r="D165" i="1"/>
  <c r="E165" i="1"/>
  <c r="F165" i="1"/>
  <c r="G165" i="1"/>
  <c r="I165" i="1"/>
  <c r="J165" i="1"/>
  <c r="K165" i="1"/>
  <c r="L165" i="1"/>
  <c r="M165" i="1"/>
  <c r="N165" i="1"/>
  <c r="O165" i="1"/>
  <c r="P165" i="1"/>
  <c r="Q165" i="1"/>
  <c r="R165" i="1"/>
  <c r="S165" i="1"/>
  <c r="T165" i="1"/>
  <c r="U165" i="1"/>
  <c r="V165" i="1"/>
  <c r="W165" i="1"/>
  <c r="X165" i="1"/>
  <c r="Y165" i="1"/>
  <c r="Z165" i="1"/>
  <c r="A166" i="1"/>
  <c r="B166" i="1"/>
  <c r="C166" i="1"/>
  <c r="D166" i="1"/>
  <c r="E166" i="1"/>
  <c r="F166" i="1"/>
  <c r="G166" i="1"/>
  <c r="I166" i="1"/>
  <c r="J166" i="1"/>
  <c r="K166" i="1"/>
  <c r="L166" i="1"/>
  <c r="M166" i="1"/>
  <c r="N166" i="1"/>
  <c r="O166" i="1"/>
  <c r="P166" i="1"/>
  <c r="Q166" i="1"/>
  <c r="R166" i="1"/>
  <c r="S166" i="1"/>
  <c r="T166" i="1"/>
  <c r="U166" i="1"/>
  <c r="V166" i="1"/>
  <c r="W166" i="1"/>
  <c r="X166" i="1"/>
  <c r="Y166" i="1"/>
  <c r="Z166" i="1"/>
  <c r="A167" i="1"/>
  <c r="B167" i="1"/>
  <c r="C167" i="1"/>
  <c r="D167" i="1"/>
  <c r="E167" i="1"/>
  <c r="F167" i="1"/>
  <c r="G167" i="1"/>
  <c r="I167" i="1"/>
  <c r="J167" i="1"/>
  <c r="K167" i="1"/>
  <c r="L167" i="1"/>
  <c r="M167" i="1"/>
  <c r="N167" i="1"/>
  <c r="O167" i="1"/>
  <c r="P167" i="1"/>
  <c r="Q167" i="1"/>
  <c r="R167" i="1"/>
  <c r="S167" i="1"/>
  <c r="T167" i="1"/>
  <c r="U167" i="1"/>
  <c r="V167" i="1"/>
  <c r="W167" i="1"/>
  <c r="X167" i="1"/>
  <c r="Y167" i="1"/>
  <c r="Z167" i="1"/>
  <c r="A168" i="1"/>
  <c r="B168" i="1"/>
  <c r="C168" i="1"/>
  <c r="D168" i="1"/>
  <c r="E168" i="1"/>
  <c r="F168" i="1"/>
  <c r="G168" i="1"/>
  <c r="I168" i="1"/>
  <c r="J168" i="1"/>
  <c r="K168" i="1"/>
  <c r="L168" i="1"/>
  <c r="M168" i="1"/>
  <c r="N168" i="1"/>
  <c r="O168" i="1"/>
  <c r="P168" i="1"/>
  <c r="Q168" i="1"/>
  <c r="R168" i="1"/>
  <c r="S168" i="1"/>
  <c r="T168" i="1"/>
  <c r="U168" i="1"/>
  <c r="V168" i="1"/>
  <c r="W168" i="1"/>
  <c r="X168" i="1"/>
  <c r="Y168" i="1"/>
  <c r="Z168" i="1"/>
  <c r="A169" i="1"/>
  <c r="B169" i="1"/>
  <c r="C169" i="1"/>
  <c r="D169" i="1"/>
  <c r="E169" i="1"/>
  <c r="F169" i="1"/>
  <c r="G169" i="1"/>
  <c r="I169" i="1"/>
  <c r="J169" i="1"/>
  <c r="K169" i="1"/>
  <c r="L169" i="1"/>
  <c r="M169" i="1"/>
  <c r="N169" i="1"/>
  <c r="O169" i="1"/>
  <c r="P169" i="1"/>
  <c r="Q169" i="1"/>
  <c r="R169" i="1"/>
  <c r="S169" i="1"/>
  <c r="T169" i="1"/>
  <c r="U169" i="1"/>
  <c r="V169" i="1"/>
  <c r="W169" i="1"/>
  <c r="X169" i="1"/>
  <c r="Y169" i="1"/>
  <c r="Z169" i="1"/>
  <c r="A170" i="1"/>
  <c r="B170" i="1"/>
  <c r="C170" i="1"/>
  <c r="D170" i="1"/>
  <c r="E170" i="1"/>
  <c r="F170" i="1"/>
  <c r="G170" i="1"/>
  <c r="I170" i="1"/>
  <c r="J170" i="1"/>
  <c r="K170" i="1"/>
  <c r="L170" i="1"/>
  <c r="M170" i="1"/>
  <c r="N170" i="1"/>
  <c r="O170" i="1"/>
  <c r="P170" i="1"/>
  <c r="Q170" i="1"/>
  <c r="R170" i="1"/>
  <c r="S170" i="1"/>
  <c r="T170" i="1"/>
  <c r="U170" i="1"/>
  <c r="V170" i="1"/>
  <c r="W170" i="1"/>
  <c r="X170" i="1"/>
  <c r="Y170" i="1"/>
  <c r="Z170" i="1"/>
  <c r="A171" i="1"/>
  <c r="B171" i="1"/>
  <c r="C171" i="1"/>
  <c r="D171" i="1"/>
  <c r="E171" i="1"/>
  <c r="F171" i="1"/>
  <c r="G171" i="1"/>
  <c r="I171" i="1"/>
  <c r="J171" i="1"/>
  <c r="K171" i="1"/>
  <c r="L171" i="1"/>
  <c r="M171" i="1"/>
  <c r="N171" i="1"/>
  <c r="O171" i="1"/>
  <c r="P171" i="1"/>
  <c r="Q171" i="1"/>
  <c r="R171" i="1"/>
  <c r="S171" i="1"/>
  <c r="T171" i="1"/>
  <c r="U171" i="1"/>
  <c r="V171" i="1"/>
  <c r="W171" i="1"/>
  <c r="X171" i="1"/>
  <c r="Y171" i="1"/>
  <c r="Z171" i="1"/>
  <c r="A172" i="1"/>
  <c r="B172" i="1"/>
  <c r="C172" i="1"/>
  <c r="D172" i="1"/>
  <c r="E172" i="1"/>
  <c r="F172" i="1"/>
  <c r="G172" i="1"/>
  <c r="I172" i="1"/>
  <c r="J172" i="1"/>
  <c r="K172" i="1"/>
  <c r="L172" i="1"/>
  <c r="M172" i="1"/>
  <c r="N172" i="1"/>
  <c r="O172" i="1"/>
  <c r="P172" i="1"/>
  <c r="Q172" i="1"/>
  <c r="R172" i="1"/>
  <c r="S172" i="1"/>
  <c r="T172" i="1"/>
  <c r="U172" i="1"/>
  <c r="V172" i="1"/>
  <c r="W172" i="1"/>
  <c r="X172" i="1"/>
  <c r="Y172" i="1"/>
  <c r="Z172" i="1"/>
  <c r="A173" i="1"/>
  <c r="B173" i="1"/>
  <c r="C173" i="1"/>
  <c r="D173" i="1"/>
  <c r="E173" i="1"/>
  <c r="F173" i="1"/>
  <c r="G173" i="1"/>
  <c r="I173" i="1"/>
  <c r="J173" i="1"/>
  <c r="K173" i="1"/>
  <c r="L173" i="1"/>
  <c r="M173" i="1"/>
  <c r="N173" i="1"/>
  <c r="O173" i="1"/>
  <c r="P173" i="1"/>
  <c r="Q173" i="1"/>
  <c r="R173" i="1"/>
  <c r="S173" i="1"/>
  <c r="T173" i="1"/>
  <c r="U173" i="1"/>
  <c r="V173" i="1"/>
  <c r="W173" i="1"/>
  <c r="X173" i="1"/>
  <c r="Y173" i="1"/>
  <c r="Z173" i="1"/>
  <c r="A174" i="1"/>
  <c r="B174" i="1"/>
  <c r="C174" i="1"/>
  <c r="D174" i="1"/>
  <c r="E174" i="1"/>
  <c r="F174" i="1"/>
  <c r="G174" i="1"/>
  <c r="I174" i="1"/>
  <c r="J174" i="1"/>
  <c r="K174" i="1"/>
  <c r="L174" i="1"/>
  <c r="M174" i="1"/>
  <c r="N174" i="1"/>
  <c r="O174" i="1"/>
  <c r="P174" i="1"/>
  <c r="Q174" i="1"/>
  <c r="R174" i="1"/>
  <c r="S174" i="1"/>
  <c r="T174" i="1"/>
  <c r="U174" i="1"/>
  <c r="V174" i="1"/>
  <c r="W174" i="1"/>
  <c r="X174" i="1"/>
  <c r="Y174" i="1"/>
  <c r="Z174" i="1"/>
  <c r="A175" i="1"/>
  <c r="B175" i="1"/>
  <c r="C175" i="1"/>
  <c r="D175" i="1"/>
  <c r="E175" i="1"/>
  <c r="F175" i="1"/>
  <c r="G175" i="1"/>
  <c r="I175" i="1"/>
  <c r="J175" i="1"/>
  <c r="K175" i="1"/>
  <c r="L175" i="1"/>
  <c r="M175" i="1"/>
  <c r="N175" i="1"/>
  <c r="O175" i="1"/>
  <c r="P175" i="1"/>
  <c r="Q175" i="1"/>
  <c r="R175" i="1"/>
  <c r="S175" i="1"/>
  <c r="T175" i="1"/>
  <c r="U175" i="1"/>
  <c r="V175" i="1"/>
  <c r="W175" i="1"/>
  <c r="X175" i="1"/>
  <c r="Y175" i="1"/>
  <c r="Z175" i="1"/>
  <c r="A176" i="1"/>
  <c r="B176" i="1"/>
  <c r="C176" i="1"/>
  <c r="D176" i="1"/>
  <c r="E176" i="1"/>
  <c r="F176" i="1"/>
  <c r="G176" i="1"/>
  <c r="I176" i="1"/>
  <c r="J176" i="1"/>
  <c r="K176" i="1"/>
  <c r="L176" i="1"/>
  <c r="M176" i="1"/>
  <c r="N176" i="1"/>
  <c r="O176" i="1"/>
  <c r="P176" i="1"/>
  <c r="Q176" i="1"/>
  <c r="R176" i="1"/>
  <c r="S176" i="1"/>
  <c r="T176" i="1"/>
  <c r="U176" i="1"/>
  <c r="V176" i="1"/>
  <c r="W176" i="1"/>
  <c r="X176" i="1"/>
  <c r="Y176" i="1"/>
  <c r="Z176" i="1"/>
  <c r="A177" i="1"/>
  <c r="B177" i="1"/>
  <c r="C177" i="1"/>
  <c r="D177" i="1"/>
  <c r="E177" i="1"/>
  <c r="F177" i="1"/>
  <c r="G177" i="1"/>
  <c r="I177" i="1"/>
  <c r="J177" i="1"/>
  <c r="K177" i="1"/>
  <c r="L177" i="1"/>
  <c r="M177" i="1"/>
  <c r="N177" i="1"/>
  <c r="O177" i="1"/>
  <c r="P177" i="1"/>
  <c r="Q177" i="1"/>
  <c r="R177" i="1"/>
  <c r="S177" i="1"/>
  <c r="T177" i="1"/>
  <c r="U177" i="1"/>
  <c r="V177" i="1"/>
  <c r="W177" i="1"/>
  <c r="X177" i="1"/>
  <c r="Y177" i="1"/>
  <c r="Z177" i="1"/>
  <c r="A178" i="1"/>
  <c r="B178" i="1"/>
  <c r="C178" i="1"/>
  <c r="D178" i="1"/>
  <c r="E178" i="1"/>
  <c r="F178" i="1"/>
  <c r="G178" i="1"/>
  <c r="I178" i="1"/>
  <c r="J178" i="1"/>
  <c r="K178" i="1"/>
  <c r="L178" i="1"/>
  <c r="M178" i="1"/>
  <c r="N178" i="1"/>
  <c r="O178" i="1"/>
  <c r="P178" i="1"/>
  <c r="Q178" i="1"/>
  <c r="R178" i="1"/>
  <c r="S178" i="1"/>
  <c r="T178" i="1"/>
  <c r="U178" i="1"/>
  <c r="V178" i="1"/>
  <c r="W178" i="1"/>
  <c r="X178" i="1"/>
  <c r="Y178" i="1"/>
  <c r="Z178" i="1"/>
  <c r="A179" i="1"/>
  <c r="B179" i="1"/>
  <c r="C179" i="1"/>
  <c r="D179" i="1"/>
  <c r="E179" i="1"/>
  <c r="F179" i="1"/>
  <c r="G179" i="1"/>
  <c r="I179" i="1"/>
  <c r="J179" i="1"/>
  <c r="K179" i="1"/>
  <c r="L179" i="1"/>
  <c r="M179" i="1"/>
  <c r="N179" i="1"/>
  <c r="O179" i="1"/>
  <c r="P179" i="1"/>
  <c r="Q179" i="1"/>
  <c r="R179" i="1"/>
  <c r="S179" i="1"/>
  <c r="T179" i="1"/>
  <c r="U179" i="1"/>
  <c r="V179" i="1"/>
  <c r="W179" i="1"/>
  <c r="X179" i="1"/>
  <c r="Y179" i="1"/>
  <c r="Z179" i="1"/>
  <c r="A180" i="1"/>
  <c r="B180" i="1"/>
  <c r="C180" i="1"/>
  <c r="D180" i="1"/>
  <c r="E180" i="1"/>
  <c r="F180" i="1"/>
  <c r="G180" i="1"/>
  <c r="I180" i="1"/>
  <c r="J180" i="1"/>
  <c r="K180" i="1"/>
  <c r="L180" i="1"/>
  <c r="M180" i="1"/>
  <c r="N180" i="1"/>
  <c r="O180" i="1"/>
  <c r="P180" i="1"/>
  <c r="Q180" i="1"/>
  <c r="R180" i="1"/>
  <c r="S180" i="1"/>
  <c r="T180" i="1"/>
  <c r="U180" i="1"/>
  <c r="V180" i="1"/>
  <c r="W180" i="1"/>
  <c r="X180" i="1"/>
  <c r="Y180" i="1"/>
  <c r="Z180" i="1"/>
  <c r="A181" i="1"/>
  <c r="B181" i="1"/>
  <c r="C181" i="1"/>
  <c r="D181" i="1"/>
  <c r="E181" i="1"/>
  <c r="F181" i="1"/>
  <c r="G181" i="1"/>
  <c r="I181" i="1"/>
  <c r="J181" i="1"/>
  <c r="K181" i="1"/>
  <c r="L181" i="1"/>
  <c r="M181" i="1"/>
  <c r="N181" i="1"/>
  <c r="O181" i="1"/>
  <c r="P181" i="1"/>
  <c r="Q181" i="1"/>
  <c r="R181" i="1"/>
  <c r="S181" i="1"/>
  <c r="T181" i="1"/>
  <c r="U181" i="1"/>
  <c r="V181" i="1"/>
  <c r="W181" i="1"/>
  <c r="X181" i="1"/>
  <c r="Y181" i="1"/>
  <c r="Z181" i="1"/>
  <c r="A182" i="1"/>
  <c r="B182" i="1"/>
  <c r="C182" i="1"/>
  <c r="D182" i="1"/>
  <c r="E182" i="1"/>
  <c r="F182" i="1"/>
  <c r="G182" i="1"/>
  <c r="I182" i="1"/>
  <c r="J182" i="1"/>
  <c r="K182" i="1"/>
  <c r="L182" i="1"/>
  <c r="M182" i="1"/>
  <c r="N182" i="1"/>
  <c r="O182" i="1"/>
  <c r="P182" i="1"/>
  <c r="Q182" i="1"/>
  <c r="R182" i="1"/>
  <c r="S182" i="1"/>
  <c r="T182" i="1"/>
  <c r="U182" i="1"/>
  <c r="V182" i="1"/>
  <c r="W182" i="1"/>
  <c r="X182" i="1"/>
  <c r="Y182" i="1"/>
  <c r="Z182" i="1"/>
  <c r="A183" i="1"/>
  <c r="B183" i="1"/>
  <c r="C183" i="1"/>
  <c r="D183" i="1"/>
  <c r="E183" i="1"/>
  <c r="F183" i="1"/>
  <c r="G183" i="1"/>
  <c r="I183" i="1"/>
  <c r="J183" i="1"/>
  <c r="K183" i="1"/>
  <c r="L183" i="1"/>
  <c r="M183" i="1"/>
  <c r="N183" i="1"/>
  <c r="O183" i="1"/>
  <c r="P183" i="1"/>
  <c r="Q183" i="1"/>
  <c r="R183" i="1"/>
  <c r="S183" i="1"/>
  <c r="T183" i="1"/>
  <c r="U183" i="1"/>
  <c r="V183" i="1"/>
  <c r="W183" i="1"/>
  <c r="X183" i="1"/>
  <c r="Y183" i="1"/>
  <c r="Z183" i="1"/>
  <c r="A184" i="1"/>
  <c r="B184" i="1"/>
  <c r="C184" i="1"/>
  <c r="D184" i="1"/>
  <c r="E184" i="1"/>
  <c r="F184" i="1"/>
  <c r="G184" i="1"/>
  <c r="I184" i="1"/>
  <c r="J184" i="1"/>
  <c r="K184" i="1"/>
  <c r="L184" i="1"/>
  <c r="M184" i="1"/>
  <c r="N184" i="1"/>
  <c r="O184" i="1"/>
  <c r="P184" i="1"/>
  <c r="Q184" i="1"/>
  <c r="R184" i="1"/>
  <c r="S184" i="1"/>
  <c r="T184" i="1"/>
  <c r="U184" i="1"/>
  <c r="V184" i="1"/>
  <c r="W184" i="1"/>
  <c r="X184" i="1"/>
  <c r="Y184" i="1"/>
  <c r="Z184" i="1"/>
  <c r="A185" i="1"/>
  <c r="B185" i="1"/>
  <c r="C185" i="1"/>
  <c r="D185" i="1"/>
  <c r="E185" i="1"/>
  <c r="F185" i="1"/>
  <c r="G185" i="1"/>
  <c r="I185" i="1"/>
  <c r="J185" i="1"/>
  <c r="K185" i="1"/>
  <c r="L185" i="1"/>
  <c r="M185" i="1"/>
  <c r="N185" i="1"/>
  <c r="O185" i="1"/>
  <c r="P185" i="1"/>
  <c r="Q185" i="1"/>
  <c r="R185" i="1"/>
  <c r="S185" i="1"/>
  <c r="T185" i="1"/>
  <c r="U185" i="1"/>
  <c r="V185" i="1"/>
  <c r="W185" i="1"/>
  <c r="X185" i="1"/>
  <c r="Y185" i="1"/>
  <c r="Z185" i="1"/>
  <c r="A186" i="1"/>
  <c r="B186" i="1"/>
  <c r="C186" i="1"/>
  <c r="D186" i="1"/>
  <c r="E186" i="1"/>
  <c r="F186" i="1"/>
  <c r="G186" i="1"/>
  <c r="I186" i="1"/>
  <c r="J186" i="1"/>
  <c r="K186" i="1"/>
  <c r="L186" i="1"/>
  <c r="M186" i="1"/>
  <c r="N186" i="1"/>
  <c r="O186" i="1"/>
  <c r="P186" i="1"/>
  <c r="Q186" i="1"/>
  <c r="R186" i="1"/>
  <c r="S186" i="1"/>
  <c r="T186" i="1"/>
  <c r="U186" i="1"/>
  <c r="V186" i="1"/>
  <c r="W186" i="1"/>
  <c r="X186" i="1"/>
  <c r="Y186" i="1"/>
  <c r="Z186" i="1"/>
  <c r="A187" i="1"/>
  <c r="B187" i="1"/>
  <c r="C187" i="1"/>
  <c r="D187" i="1"/>
  <c r="E187" i="1"/>
  <c r="F187" i="1"/>
  <c r="G187" i="1"/>
  <c r="I187" i="1"/>
  <c r="J187" i="1"/>
  <c r="K187" i="1"/>
  <c r="L187" i="1"/>
  <c r="M187" i="1"/>
  <c r="N187" i="1"/>
  <c r="O187" i="1"/>
  <c r="P187" i="1"/>
  <c r="Q187" i="1"/>
  <c r="R187" i="1"/>
  <c r="S187" i="1"/>
  <c r="T187" i="1"/>
  <c r="U187" i="1"/>
  <c r="V187" i="1"/>
  <c r="W187" i="1"/>
  <c r="X187" i="1"/>
  <c r="Y187" i="1"/>
  <c r="Z187" i="1"/>
  <c r="A188" i="1"/>
  <c r="B188" i="1"/>
  <c r="C188" i="1"/>
  <c r="D188" i="1"/>
  <c r="E188" i="1"/>
  <c r="F188" i="1"/>
  <c r="G188" i="1"/>
  <c r="I188" i="1"/>
  <c r="J188" i="1"/>
  <c r="K188" i="1"/>
  <c r="L188" i="1"/>
  <c r="M188" i="1"/>
  <c r="N188" i="1"/>
  <c r="O188" i="1"/>
  <c r="P188" i="1"/>
  <c r="Q188" i="1"/>
  <c r="R188" i="1"/>
  <c r="S188" i="1"/>
  <c r="T188" i="1"/>
  <c r="U188" i="1"/>
  <c r="V188" i="1"/>
  <c r="W188" i="1"/>
  <c r="X188" i="1"/>
  <c r="Y188" i="1"/>
  <c r="Z188" i="1"/>
  <c r="A189" i="1"/>
  <c r="B189" i="1"/>
  <c r="C189" i="1"/>
  <c r="D189" i="1"/>
  <c r="E189" i="1"/>
  <c r="F189" i="1"/>
  <c r="G189" i="1"/>
  <c r="I189" i="1"/>
  <c r="J189" i="1"/>
  <c r="K189" i="1"/>
  <c r="L189" i="1"/>
  <c r="M189" i="1"/>
  <c r="N189" i="1"/>
  <c r="O189" i="1"/>
  <c r="P189" i="1"/>
  <c r="Q189" i="1"/>
  <c r="R189" i="1"/>
  <c r="S189" i="1"/>
  <c r="T189" i="1"/>
  <c r="U189" i="1"/>
  <c r="V189" i="1"/>
  <c r="W189" i="1"/>
  <c r="X189" i="1"/>
  <c r="Y189" i="1"/>
  <c r="Z189" i="1"/>
  <c r="A190" i="1"/>
  <c r="B190" i="1"/>
  <c r="C190" i="1"/>
  <c r="D190" i="1"/>
  <c r="E190" i="1"/>
  <c r="F190" i="1"/>
  <c r="G190" i="1"/>
  <c r="I190" i="1"/>
  <c r="J190" i="1"/>
  <c r="K190" i="1"/>
  <c r="L190" i="1"/>
  <c r="M190" i="1"/>
  <c r="N190" i="1"/>
  <c r="O190" i="1"/>
  <c r="P190" i="1"/>
  <c r="Q190" i="1"/>
  <c r="R190" i="1"/>
  <c r="S190" i="1"/>
  <c r="T190" i="1"/>
  <c r="U190" i="1"/>
  <c r="V190" i="1"/>
  <c r="W190" i="1"/>
  <c r="X190" i="1"/>
  <c r="Y190" i="1"/>
  <c r="Z190" i="1"/>
  <c r="A191" i="1"/>
  <c r="B191" i="1"/>
  <c r="C191" i="1"/>
  <c r="D191" i="1"/>
  <c r="E191" i="1"/>
  <c r="F191" i="1"/>
  <c r="G191" i="1"/>
  <c r="I191" i="1"/>
  <c r="J191" i="1"/>
  <c r="K191" i="1"/>
  <c r="L191" i="1"/>
  <c r="M191" i="1"/>
  <c r="N191" i="1"/>
  <c r="O191" i="1"/>
  <c r="P191" i="1"/>
  <c r="Q191" i="1"/>
  <c r="R191" i="1"/>
  <c r="S191" i="1"/>
  <c r="T191" i="1"/>
  <c r="U191" i="1"/>
  <c r="V191" i="1"/>
  <c r="W191" i="1"/>
  <c r="X191" i="1"/>
  <c r="Y191" i="1"/>
  <c r="Z191" i="1"/>
  <c r="A192" i="1"/>
  <c r="B192" i="1"/>
  <c r="C192" i="1"/>
  <c r="D192" i="1"/>
  <c r="E192" i="1"/>
  <c r="F192" i="1"/>
  <c r="G192" i="1"/>
  <c r="I192" i="1"/>
  <c r="J192" i="1"/>
  <c r="K192" i="1"/>
  <c r="L192" i="1"/>
  <c r="M192" i="1"/>
  <c r="N192" i="1"/>
  <c r="O192" i="1"/>
  <c r="P192" i="1"/>
  <c r="Q192" i="1"/>
  <c r="R192" i="1"/>
  <c r="S192" i="1"/>
  <c r="T192" i="1"/>
  <c r="U192" i="1"/>
  <c r="V192" i="1"/>
  <c r="W192" i="1"/>
  <c r="X192" i="1"/>
  <c r="Y192" i="1"/>
  <c r="Z192" i="1"/>
  <c r="A193" i="1"/>
  <c r="B193" i="1"/>
  <c r="C193" i="1"/>
  <c r="D193" i="1"/>
  <c r="E193" i="1"/>
  <c r="F193" i="1"/>
  <c r="G193" i="1"/>
  <c r="I193" i="1"/>
  <c r="J193" i="1"/>
  <c r="K193" i="1"/>
  <c r="L193" i="1"/>
  <c r="M193" i="1"/>
  <c r="N193" i="1"/>
  <c r="O193" i="1"/>
  <c r="P193" i="1"/>
  <c r="Q193" i="1"/>
  <c r="R193" i="1"/>
  <c r="S193" i="1"/>
  <c r="T193" i="1"/>
  <c r="U193" i="1"/>
  <c r="V193" i="1"/>
  <c r="W193" i="1"/>
  <c r="X193" i="1"/>
  <c r="Y193" i="1"/>
  <c r="Z193" i="1"/>
  <c r="A194" i="1"/>
  <c r="B194" i="1"/>
  <c r="C194" i="1"/>
  <c r="D194" i="1"/>
  <c r="E194" i="1"/>
  <c r="F194" i="1"/>
  <c r="G194" i="1"/>
  <c r="I194" i="1"/>
  <c r="J194" i="1"/>
  <c r="K194" i="1"/>
  <c r="L194" i="1"/>
  <c r="M194" i="1"/>
  <c r="N194" i="1"/>
  <c r="O194" i="1"/>
  <c r="P194" i="1"/>
  <c r="Q194" i="1"/>
  <c r="R194" i="1"/>
  <c r="S194" i="1"/>
  <c r="T194" i="1"/>
  <c r="U194" i="1"/>
  <c r="V194" i="1"/>
  <c r="W194" i="1"/>
  <c r="X194" i="1"/>
  <c r="Y194" i="1"/>
  <c r="Z194" i="1"/>
  <c r="A195" i="1"/>
  <c r="B195" i="1"/>
  <c r="C195" i="1"/>
  <c r="D195" i="1"/>
  <c r="E195" i="1"/>
  <c r="F195" i="1"/>
  <c r="G195" i="1"/>
  <c r="I195" i="1"/>
  <c r="J195" i="1"/>
  <c r="K195" i="1"/>
  <c r="L195" i="1"/>
  <c r="M195" i="1"/>
  <c r="N195" i="1"/>
  <c r="O195" i="1"/>
  <c r="P195" i="1"/>
  <c r="Q195" i="1"/>
  <c r="R195" i="1"/>
  <c r="S195" i="1"/>
  <c r="T195" i="1"/>
  <c r="U195" i="1"/>
  <c r="V195" i="1"/>
  <c r="W195" i="1"/>
  <c r="X195" i="1"/>
  <c r="Y195" i="1"/>
  <c r="Z195" i="1"/>
  <c r="A196" i="1"/>
  <c r="B196" i="1"/>
  <c r="C196" i="1"/>
  <c r="D196" i="1"/>
  <c r="E196" i="1"/>
  <c r="F196" i="1"/>
  <c r="G196" i="1"/>
  <c r="I196" i="1"/>
  <c r="J196" i="1"/>
  <c r="K196" i="1"/>
  <c r="L196" i="1"/>
  <c r="M196" i="1"/>
  <c r="N196" i="1"/>
  <c r="O196" i="1"/>
  <c r="P196" i="1"/>
  <c r="Q196" i="1"/>
  <c r="R196" i="1"/>
  <c r="S196" i="1"/>
  <c r="T196" i="1"/>
  <c r="U196" i="1"/>
  <c r="V196" i="1"/>
  <c r="W196" i="1"/>
  <c r="X196" i="1"/>
  <c r="Y196" i="1"/>
  <c r="Z196" i="1"/>
  <c r="A197" i="1"/>
  <c r="B197" i="1"/>
  <c r="C197" i="1"/>
  <c r="D197" i="1"/>
  <c r="E197" i="1"/>
  <c r="F197" i="1"/>
  <c r="G197" i="1"/>
  <c r="I197" i="1"/>
  <c r="J197" i="1"/>
  <c r="K197" i="1"/>
  <c r="L197" i="1"/>
  <c r="M197" i="1"/>
  <c r="N197" i="1"/>
  <c r="O197" i="1"/>
  <c r="P197" i="1"/>
  <c r="Q197" i="1"/>
  <c r="R197" i="1"/>
  <c r="S197" i="1"/>
  <c r="T197" i="1"/>
  <c r="U197" i="1"/>
  <c r="V197" i="1"/>
  <c r="W197" i="1"/>
  <c r="X197" i="1"/>
  <c r="Y197" i="1"/>
  <c r="Z197" i="1"/>
  <c r="A198" i="1"/>
  <c r="B198" i="1"/>
  <c r="C198" i="1"/>
  <c r="D198" i="1"/>
  <c r="E198" i="1"/>
  <c r="F198" i="1"/>
  <c r="G198" i="1"/>
  <c r="I198" i="1"/>
  <c r="J198" i="1"/>
  <c r="K198" i="1"/>
  <c r="L198" i="1"/>
  <c r="M198" i="1"/>
  <c r="N198" i="1"/>
  <c r="O198" i="1"/>
  <c r="P198" i="1"/>
  <c r="Q198" i="1"/>
  <c r="R198" i="1"/>
  <c r="S198" i="1"/>
  <c r="T198" i="1"/>
  <c r="U198" i="1"/>
  <c r="V198" i="1"/>
  <c r="W198" i="1"/>
  <c r="X198" i="1"/>
  <c r="Y198" i="1"/>
  <c r="Z198" i="1"/>
  <c r="A199" i="1"/>
  <c r="B199" i="1"/>
  <c r="C199" i="1"/>
  <c r="D199" i="1"/>
  <c r="E199" i="1"/>
  <c r="F199" i="1"/>
  <c r="G199" i="1"/>
  <c r="I199" i="1"/>
  <c r="J199" i="1"/>
  <c r="K199" i="1"/>
  <c r="L199" i="1"/>
  <c r="M199" i="1"/>
  <c r="N199" i="1"/>
  <c r="O199" i="1"/>
  <c r="P199" i="1"/>
  <c r="Q199" i="1"/>
  <c r="R199" i="1"/>
  <c r="S199" i="1"/>
  <c r="T199" i="1"/>
  <c r="U199" i="1"/>
  <c r="V199" i="1"/>
  <c r="W199" i="1"/>
  <c r="X199" i="1"/>
  <c r="Y199" i="1"/>
  <c r="Z199" i="1"/>
  <c r="A200" i="1"/>
  <c r="B200" i="1"/>
  <c r="C200" i="1"/>
  <c r="D200" i="1"/>
  <c r="E200" i="1"/>
  <c r="F200" i="1"/>
  <c r="G200" i="1"/>
  <c r="I200" i="1"/>
  <c r="J200" i="1"/>
  <c r="K200" i="1"/>
  <c r="L200" i="1"/>
  <c r="M200" i="1"/>
  <c r="N200" i="1"/>
  <c r="O200" i="1"/>
  <c r="P200" i="1"/>
  <c r="Q200" i="1"/>
  <c r="R200" i="1"/>
  <c r="S200" i="1"/>
  <c r="T200" i="1"/>
  <c r="U200" i="1"/>
  <c r="V200" i="1"/>
  <c r="W200" i="1"/>
  <c r="X200" i="1"/>
  <c r="Y200" i="1"/>
  <c r="Z200" i="1"/>
  <c r="A201" i="1"/>
  <c r="B201" i="1"/>
  <c r="C201" i="1"/>
  <c r="D201" i="1"/>
  <c r="E201" i="1"/>
  <c r="F201" i="1"/>
  <c r="G201" i="1"/>
  <c r="I201" i="1"/>
  <c r="J201" i="1"/>
  <c r="K201" i="1"/>
  <c r="L201" i="1"/>
  <c r="M201" i="1"/>
  <c r="N201" i="1"/>
  <c r="O201" i="1"/>
  <c r="P201" i="1"/>
  <c r="Q201" i="1"/>
  <c r="R201" i="1"/>
  <c r="S201" i="1"/>
  <c r="T201" i="1"/>
  <c r="U201" i="1"/>
  <c r="V201" i="1"/>
  <c r="W201" i="1"/>
  <c r="X201" i="1"/>
  <c r="Y201" i="1"/>
  <c r="Z201" i="1"/>
  <c r="A202" i="1"/>
  <c r="B202" i="1"/>
  <c r="C202" i="1"/>
  <c r="D202" i="1"/>
  <c r="E202" i="1"/>
  <c r="F202" i="1"/>
  <c r="G202" i="1"/>
  <c r="I202" i="1"/>
  <c r="J202" i="1"/>
  <c r="K202" i="1"/>
  <c r="L202" i="1"/>
  <c r="M202" i="1"/>
  <c r="N202" i="1"/>
  <c r="O202" i="1"/>
  <c r="P202" i="1"/>
  <c r="Q202" i="1"/>
  <c r="R202" i="1"/>
  <c r="S202" i="1"/>
  <c r="T202" i="1"/>
  <c r="U202" i="1"/>
  <c r="V202" i="1"/>
  <c r="W202" i="1"/>
  <c r="X202" i="1"/>
  <c r="Y202" i="1"/>
  <c r="Z202" i="1"/>
  <c r="A203" i="1"/>
  <c r="B203" i="1"/>
  <c r="C203" i="1"/>
  <c r="D203" i="1"/>
  <c r="E203" i="1"/>
  <c r="F203" i="1"/>
  <c r="G203" i="1"/>
  <c r="I203" i="1"/>
  <c r="J203" i="1"/>
  <c r="K203" i="1"/>
  <c r="L203" i="1"/>
  <c r="M203" i="1"/>
  <c r="N203" i="1"/>
  <c r="O203" i="1"/>
  <c r="P203" i="1"/>
  <c r="Q203" i="1"/>
  <c r="R203" i="1"/>
  <c r="S203" i="1"/>
  <c r="T203" i="1"/>
  <c r="U203" i="1"/>
  <c r="V203" i="1"/>
  <c r="W203" i="1"/>
  <c r="X203" i="1"/>
  <c r="Y203" i="1"/>
  <c r="Z203" i="1"/>
  <c r="A204" i="1"/>
  <c r="B204" i="1"/>
  <c r="C204" i="1"/>
  <c r="D204" i="1"/>
  <c r="E204" i="1"/>
  <c r="F204" i="1"/>
  <c r="G204" i="1"/>
  <c r="I204" i="1"/>
  <c r="J204" i="1"/>
  <c r="K204" i="1"/>
  <c r="L204" i="1"/>
  <c r="M204" i="1"/>
  <c r="N204" i="1"/>
  <c r="O204" i="1"/>
  <c r="P204" i="1"/>
  <c r="Q204" i="1"/>
  <c r="R204" i="1"/>
  <c r="S204" i="1"/>
  <c r="T204" i="1"/>
  <c r="U204" i="1"/>
  <c r="V204" i="1"/>
  <c r="W204" i="1"/>
  <c r="X204" i="1"/>
  <c r="Y204" i="1"/>
  <c r="Z204" i="1"/>
  <c r="A205" i="1"/>
  <c r="B205" i="1"/>
  <c r="C205" i="1"/>
  <c r="D205" i="1"/>
  <c r="E205" i="1"/>
  <c r="F205" i="1"/>
  <c r="G205" i="1"/>
  <c r="I205" i="1"/>
  <c r="J205" i="1"/>
  <c r="K205" i="1"/>
  <c r="L205" i="1"/>
  <c r="M205" i="1"/>
  <c r="N205" i="1"/>
  <c r="O205" i="1"/>
  <c r="P205" i="1"/>
  <c r="Q205" i="1"/>
  <c r="R205" i="1"/>
  <c r="S205" i="1"/>
  <c r="T205" i="1"/>
  <c r="U205" i="1"/>
  <c r="V205" i="1"/>
  <c r="W205" i="1"/>
  <c r="X205" i="1"/>
  <c r="Y205" i="1"/>
  <c r="Z205" i="1"/>
  <c r="A206" i="1"/>
  <c r="B206" i="1"/>
  <c r="C206" i="1"/>
  <c r="D206" i="1"/>
  <c r="E206" i="1"/>
  <c r="F206" i="1"/>
  <c r="G206" i="1"/>
  <c r="I206" i="1"/>
  <c r="J206" i="1"/>
  <c r="K206" i="1"/>
  <c r="L206" i="1"/>
  <c r="M206" i="1"/>
  <c r="N206" i="1"/>
  <c r="O206" i="1"/>
  <c r="P206" i="1"/>
  <c r="Q206" i="1"/>
  <c r="R206" i="1"/>
  <c r="S206" i="1"/>
  <c r="T206" i="1"/>
  <c r="U206" i="1"/>
  <c r="V206" i="1"/>
  <c r="W206" i="1"/>
  <c r="X206" i="1"/>
  <c r="Y206" i="1"/>
  <c r="Z206" i="1"/>
  <c r="A207" i="1"/>
  <c r="B207" i="1"/>
  <c r="C207" i="1"/>
  <c r="D207" i="1"/>
  <c r="E207" i="1"/>
  <c r="F207" i="1"/>
  <c r="G207" i="1"/>
  <c r="I207" i="1"/>
  <c r="J207" i="1"/>
  <c r="K207" i="1"/>
  <c r="L207" i="1"/>
  <c r="M207" i="1"/>
  <c r="N207" i="1"/>
  <c r="O207" i="1"/>
  <c r="P207" i="1"/>
  <c r="Q207" i="1"/>
  <c r="R207" i="1"/>
  <c r="S207" i="1"/>
  <c r="T207" i="1"/>
  <c r="U207" i="1"/>
  <c r="V207" i="1"/>
  <c r="W207" i="1"/>
  <c r="X207" i="1"/>
  <c r="Y207" i="1"/>
  <c r="Z207" i="1"/>
  <c r="A208" i="1"/>
  <c r="B208" i="1"/>
  <c r="C208" i="1"/>
  <c r="D208" i="1"/>
  <c r="E208" i="1"/>
  <c r="F208" i="1"/>
  <c r="G208" i="1"/>
  <c r="I208" i="1"/>
  <c r="J208" i="1"/>
  <c r="K208" i="1"/>
  <c r="L208" i="1"/>
  <c r="M208" i="1"/>
  <c r="N208" i="1"/>
  <c r="O208" i="1"/>
  <c r="P208" i="1"/>
  <c r="Q208" i="1"/>
  <c r="R208" i="1"/>
  <c r="S208" i="1"/>
  <c r="T208" i="1"/>
  <c r="U208" i="1"/>
  <c r="V208" i="1"/>
  <c r="W208" i="1"/>
  <c r="X208" i="1"/>
  <c r="Y208" i="1"/>
  <c r="Z208" i="1"/>
  <c r="A209" i="1"/>
  <c r="B209" i="1"/>
  <c r="C209" i="1"/>
  <c r="D209" i="1"/>
  <c r="E209" i="1"/>
  <c r="F209" i="1"/>
  <c r="G209" i="1"/>
  <c r="I209" i="1"/>
  <c r="J209" i="1"/>
  <c r="K209" i="1"/>
  <c r="L209" i="1"/>
  <c r="M209" i="1"/>
  <c r="N209" i="1"/>
  <c r="O209" i="1"/>
  <c r="P209" i="1"/>
  <c r="Q209" i="1"/>
  <c r="R209" i="1"/>
  <c r="S209" i="1"/>
  <c r="T209" i="1"/>
  <c r="U209" i="1"/>
  <c r="V209" i="1"/>
  <c r="W209" i="1"/>
  <c r="X209" i="1"/>
  <c r="Y209" i="1"/>
  <c r="Z209" i="1"/>
  <c r="A210" i="1"/>
  <c r="B210" i="1"/>
  <c r="C210" i="1"/>
  <c r="D210" i="1"/>
  <c r="E210" i="1"/>
  <c r="F210" i="1"/>
  <c r="G210" i="1"/>
  <c r="I210" i="1"/>
  <c r="J210" i="1"/>
  <c r="K210" i="1"/>
  <c r="L210" i="1"/>
  <c r="M210" i="1"/>
  <c r="N210" i="1"/>
  <c r="O210" i="1"/>
  <c r="P210" i="1"/>
  <c r="Q210" i="1"/>
  <c r="R210" i="1"/>
  <c r="S210" i="1"/>
  <c r="T210" i="1"/>
  <c r="U210" i="1"/>
  <c r="V210" i="1"/>
  <c r="W210" i="1"/>
  <c r="X210" i="1"/>
  <c r="Y210" i="1"/>
  <c r="Z210" i="1"/>
  <c r="A211" i="1"/>
  <c r="B211" i="1"/>
  <c r="C211" i="1"/>
  <c r="D211" i="1"/>
  <c r="E211" i="1"/>
  <c r="F211" i="1"/>
  <c r="G211" i="1"/>
  <c r="I211" i="1"/>
  <c r="J211" i="1"/>
  <c r="K211" i="1"/>
  <c r="L211" i="1"/>
  <c r="M211" i="1"/>
  <c r="N211" i="1"/>
  <c r="O211" i="1"/>
  <c r="P211" i="1"/>
  <c r="Q211" i="1"/>
  <c r="R211" i="1"/>
  <c r="S211" i="1"/>
  <c r="T211" i="1"/>
  <c r="U211" i="1"/>
  <c r="V211" i="1"/>
  <c r="W211" i="1"/>
  <c r="X211" i="1"/>
  <c r="Y211" i="1"/>
  <c r="Z211" i="1"/>
  <c r="A212" i="1"/>
  <c r="B212" i="1"/>
  <c r="C212" i="1"/>
  <c r="D212" i="1"/>
  <c r="E212" i="1"/>
  <c r="F212" i="1"/>
  <c r="G212" i="1"/>
  <c r="I212" i="1"/>
  <c r="J212" i="1"/>
  <c r="K212" i="1"/>
  <c r="L212" i="1"/>
  <c r="M212" i="1"/>
  <c r="N212" i="1"/>
  <c r="O212" i="1"/>
  <c r="P212" i="1"/>
  <c r="Q212" i="1"/>
  <c r="R212" i="1"/>
  <c r="S212" i="1"/>
  <c r="T212" i="1"/>
  <c r="U212" i="1"/>
  <c r="V212" i="1"/>
  <c r="W212" i="1"/>
  <c r="X212" i="1"/>
  <c r="Y212" i="1"/>
  <c r="Z212" i="1"/>
  <c r="A213" i="1"/>
  <c r="B213" i="1"/>
  <c r="C213" i="1"/>
  <c r="D213" i="1"/>
  <c r="E213" i="1"/>
  <c r="F213" i="1"/>
  <c r="G213" i="1"/>
  <c r="I213" i="1"/>
  <c r="J213" i="1"/>
  <c r="K213" i="1"/>
  <c r="L213" i="1"/>
  <c r="M213" i="1"/>
  <c r="N213" i="1"/>
  <c r="O213" i="1"/>
  <c r="P213" i="1"/>
  <c r="Q213" i="1"/>
  <c r="R213" i="1"/>
  <c r="S213" i="1"/>
  <c r="T213" i="1"/>
  <c r="U213" i="1"/>
  <c r="V213" i="1"/>
  <c r="W213" i="1"/>
  <c r="X213" i="1"/>
  <c r="Y213" i="1"/>
  <c r="Z213" i="1"/>
  <c r="A214" i="1"/>
  <c r="B214" i="1"/>
  <c r="C214" i="1"/>
  <c r="D214" i="1"/>
  <c r="E214" i="1"/>
  <c r="F214" i="1"/>
  <c r="G214" i="1"/>
  <c r="I214" i="1"/>
  <c r="J214" i="1"/>
  <c r="K214" i="1"/>
  <c r="L214" i="1"/>
  <c r="M214" i="1"/>
  <c r="N214" i="1"/>
  <c r="O214" i="1"/>
  <c r="P214" i="1"/>
  <c r="Q214" i="1"/>
  <c r="R214" i="1"/>
  <c r="S214" i="1"/>
  <c r="T214" i="1"/>
  <c r="U214" i="1"/>
  <c r="V214" i="1"/>
  <c r="W214" i="1"/>
  <c r="X214" i="1"/>
  <c r="Y214" i="1"/>
  <c r="Z214" i="1"/>
  <c r="A215" i="1"/>
  <c r="B215" i="1"/>
  <c r="C215" i="1"/>
  <c r="D215" i="1"/>
  <c r="E215" i="1"/>
  <c r="F215" i="1"/>
  <c r="G215" i="1"/>
  <c r="I215" i="1"/>
  <c r="J215" i="1"/>
  <c r="K215" i="1"/>
  <c r="L215" i="1"/>
  <c r="M215" i="1"/>
  <c r="N215" i="1"/>
  <c r="O215" i="1"/>
  <c r="P215" i="1"/>
  <c r="Q215" i="1"/>
  <c r="R215" i="1"/>
  <c r="S215" i="1"/>
  <c r="T215" i="1"/>
  <c r="U215" i="1"/>
  <c r="V215" i="1"/>
  <c r="W215" i="1"/>
  <c r="X215" i="1"/>
  <c r="Y215" i="1"/>
  <c r="Z215" i="1"/>
  <c r="A216" i="1"/>
  <c r="B216" i="1"/>
  <c r="C216" i="1"/>
  <c r="D216" i="1"/>
  <c r="E216" i="1"/>
  <c r="F216" i="1"/>
  <c r="G216" i="1"/>
  <c r="I216" i="1"/>
  <c r="J216" i="1"/>
  <c r="K216" i="1"/>
  <c r="L216" i="1"/>
  <c r="M216" i="1"/>
  <c r="N216" i="1"/>
  <c r="O216" i="1"/>
  <c r="P216" i="1"/>
  <c r="Q216" i="1"/>
  <c r="R216" i="1"/>
  <c r="S216" i="1"/>
  <c r="T216" i="1"/>
  <c r="U216" i="1"/>
  <c r="V216" i="1"/>
  <c r="W216" i="1"/>
  <c r="X216" i="1"/>
  <c r="Y216" i="1"/>
  <c r="Z216" i="1"/>
  <c r="A217" i="1"/>
  <c r="B217" i="1"/>
  <c r="C217" i="1"/>
  <c r="D217" i="1"/>
  <c r="E217" i="1"/>
  <c r="F217" i="1"/>
  <c r="G217" i="1"/>
  <c r="I217" i="1"/>
  <c r="J217" i="1"/>
  <c r="K217" i="1"/>
  <c r="L217" i="1"/>
  <c r="M217" i="1"/>
  <c r="N217" i="1"/>
  <c r="O217" i="1"/>
  <c r="P217" i="1"/>
  <c r="Q217" i="1"/>
  <c r="R217" i="1"/>
  <c r="S217" i="1"/>
  <c r="T217" i="1"/>
  <c r="U217" i="1"/>
  <c r="V217" i="1"/>
  <c r="W217" i="1"/>
  <c r="X217" i="1"/>
  <c r="Y217" i="1"/>
  <c r="Z217" i="1"/>
  <c r="A218" i="1"/>
  <c r="B218" i="1"/>
  <c r="C218" i="1"/>
  <c r="D218" i="1"/>
  <c r="E218" i="1"/>
  <c r="F218" i="1"/>
  <c r="G218" i="1"/>
  <c r="I218" i="1"/>
  <c r="J218" i="1"/>
  <c r="K218" i="1"/>
  <c r="L218" i="1"/>
  <c r="M218" i="1"/>
  <c r="N218" i="1"/>
  <c r="O218" i="1"/>
  <c r="P218" i="1"/>
  <c r="Q218" i="1"/>
  <c r="R218" i="1"/>
  <c r="S218" i="1"/>
  <c r="T218" i="1"/>
  <c r="U218" i="1"/>
  <c r="V218" i="1"/>
  <c r="W218" i="1"/>
  <c r="X218" i="1"/>
  <c r="Y218" i="1"/>
  <c r="Z218" i="1"/>
  <c r="A219" i="1"/>
  <c r="B219" i="1"/>
  <c r="C219" i="1"/>
  <c r="D219" i="1"/>
  <c r="E219" i="1"/>
  <c r="F219" i="1"/>
  <c r="G219" i="1"/>
  <c r="I219" i="1"/>
  <c r="J219" i="1"/>
  <c r="K219" i="1"/>
  <c r="L219" i="1"/>
  <c r="M219" i="1"/>
  <c r="N219" i="1"/>
  <c r="O219" i="1"/>
  <c r="P219" i="1"/>
  <c r="Q219" i="1"/>
  <c r="R219" i="1"/>
  <c r="S219" i="1"/>
  <c r="T219" i="1"/>
  <c r="U219" i="1"/>
  <c r="V219" i="1"/>
  <c r="W219" i="1"/>
  <c r="X219" i="1"/>
  <c r="Y219" i="1"/>
  <c r="Z219" i="1"/>
  <c r="A220" i="1"/>
  <c r="B220" i="1"/>
  <c r="C220" i="1"/>
  <c r="D220" i="1"/>
  <c r="E220" i="1"/>
  <c r="F220" i="1"/>
  <c r="G220" i="1"/>
  <c r="I220" i="1"/>
  <c r="J220" i="1"/>
  <c r="K220" i="1"/>
  <c r="L220" i="1"/>
  <c r="M220" i="1"/>
  <c r="N220" i="1"/>
  <c r="O220" i="1"/>
  <c r="P220" i="1"/>
  <c r="Q220" i="1"/>
  <c r="R220" i="1"/>
  <c r="S220" i="1"/>
  <c r="T220" i="1"/>
  <c r="U220" i="1"/>
  <c r="V220" i="1"/>
  <c r="W220" i="1"/>
  <c r="X220" i="1"/>
  <c r="Y220" i="1"/>
  <c r="Z220" i="1"/>
  <c r="A221" i="1"/>
  <c r="B221" i="1"/>
  <c r="C221" i="1"/>
  <c r="D221" i="1"/>
  <c r="E221" i="1"/>
  <c r="F221" i="1"/>
  <c r="G221" i="1"/>
  <c r="I221" i="1"/>
  <c r="J221" i="1"/>
  <c r="K221" i="1"/>
  <c r="L221" i="1"/>
  <c r="M221" i="1"/>
  <c r="N221" i="1"/>
  <c r="O221" i="1"/>
  <c r="P221" i="1"/>
  <c r="Q221" i="1"/>
  <c r="R221" i="1"/>
  <c r="S221" i="1"/>
  <c r="T221" i="1"/>
  <c r="U221" i="1"/>
  <c r="V221" i="1"/>
  <c r="W221" i="1"/>
  <c r="X221" i="1"/>
  <c r="Y221" i="1"/>
  <c r="Z221" i="1"/>
  <c r="A222" i="1"/>
  <c r="B222" i="1"/>
  <c r="C222" i="1"/>
  <c r="D222" i="1"/>
  <c r="E222" i="1"/>
  <c r="F222" i="1"/>
  <c r="G222" i="1"/>
  <c r="I222" i="1"/>
  <c r="J222" i="1"/>
  <c r="K222" i="1"/>
  <c r="L222" i="1"/>
  <c r="M222" i="1"/>
  <c r="N222" i="1"/>
  <c r="O222" i="1"/>
  <c r="P222" i="1"/>
  <c r="Q222" i="1"/>
  <c r="R222" i="1"/>
  <c r="S222" i="1"/>
  <c r="T222" i="1"/>
  <c r="U222" i="1"/>
  <c r="V222" i="1"/>
  <c r="W222" i="1"/>
  <c r="X222" i="1"/>
  <c r="Y222" i="1"/>
  <c r="Z222" i="1"/>
  <c r="A223" i="1"/>
  <c r="B223" i="1"/>
  <c r="C223" i="1"/>
  <c r="D223" i="1"/>
  <c r="E223" i="1"/>
  <c r="F223" i="1"/>
  <c r="G223" i="1"/>
  <c r="I223" i="1"/>
  <c r="J223" i="1"/>
  <c r="K223" i="1"/>
  <c r="L223" i="1"/>
  <c r="M223" i="1"/>
  <c r="N223" i="1"/>
  <c r="O223" i="1"/>
  <c r="P223" i="1"/>
  <c r="Q223" i="1"/>
  <c r="R223" i="1"/>
  <c r="S223" i="1"/>
  <c r="T223" i="1"/>
  <c r="U223" i="1"/>
  <c r="V223" i="1"/>
  <c r="W223" i="1"/>
  <c r="X223" i="1"/>
  <c r="Y223" i="1"/>
  <c r="Z223" i="1"/>
  <c r="A224" i="1"/>
  <c r="B224" i="1"/>
  <c r="C224" i="1"/>
  <c r="D224" i="1"/>
  <c r="E224" i="1"/>
  <c r="F224" i="1"/>
  <c r="G224" i="1"/>
  <c r="I224" i="1"/>
  <c r="J224" i="1"/>
  <c r="K224" i="1"/>
  <c r="L224" i="1"/>
  <c r="M224" i="1"/>
  <c r="N224" i="1"/>
  <c r="O224" i="1"/>
  <c r="P224" i="1"/>
  <c r="Q224" i="1"/>
  <c r="R224" i="1"/>
  <c r="S224" i="1"/>
  <c r="T224" i="1"/>
  <c r="U224" i="1"/>
  <c r="V224" i="1"/>
  <c r="W224" i="1"/>
  <c r="X224" i="1"/>
  <c r="Y224" i="1"/>
  <c r="Z224" i="1"/>
  <c r="A225" i="1"/>
  <c r="B225" i="1"/>
  <c r="C225" i="1"/>
  <c r="D225" i="1"/>
  <c r="E225" i="1"/>
  <c r="F225" i="1"/>
  <c r="G225" i="1"/>
  <c r="I225" i="1"/>
  <c r="J225" i="1"/>
  <c r="K225" i="1"/>
  <c r="L225" i="1"/>
  <c r="M225" i="1"/>
  <c r="N225" i="1"/>
  <c r="O225" i="1"/>
  <c r="P225" i="1"/>
  <c r="Q225" i="1"/>
  <c r="R225" i="1"/>
  <c r="S225" i="1"/>
  <c r="T225" i="1"/>
  <c r="U225" i="1"/>
  <c r="V225" i="1"/>
  <c r="W225" i="1"/>
  <c r="X225" i="1"/>
  <c r="Y225" i="1"/>
  <c r="Z225" i="1"/>
  <c r="A226" i="1"/>
  <c r="B226" i="1"/>
  <c r="C226" i="1"/>
  <c r="D226" i="1"/>
  <c r="E226" i="1"/>
  <c r="F226" i="1"/>
  <c r="G226" i="1"/>
  <c r="I226" i="1"/>
  <c r="J226" i="1"/>
  <c r="K226" i="1"/>
  <c r="L226" i="1"/>
  <c r="M226" i="1"/>
  <c r="N226" i="1"/>
  <c r="O226" i="1"/>
  <c r="P226" i="1"/>
  <c r="Q226" i="1"/>
  <c r="R226" i="1"/>
  <c r="S226" i="1"/>
  <c r="T226" i="1"/>
  <c r="U226" i="1"/>
  <c r="V226" i="1"/>
  <c r="W226" i="1"/>
  <c r="X226" i="1"/>
  <c r="Y226" i="1"/>
  <c r="Z226" i="1"/>
  <c r="A227" i="1"/>
  <c r="B227" i="1"/>
  <c r="C227" i="1"/>
  <c r="D227" i="1"/>
  <c r="E227" i="1"/>
  <c r="F227" i="1"/>
  <c r="G227" i="1"/>
  <c r="I227" i="1"/>
  <c r="J227" i="1"/>
  <c r="K227" i="1"/>
  <c r="L227" i="1"/>
  <c r="M227" i="1"/>
  <c r="N227" i="1"/>
  <c r="O227" i="1"/>
  <c r="P227" i="1"/>
  <c r="Q227" i="1"/>
  <c r="R227" i="1"/>
  <c r="S227" i="1"/>
  <c r="T227" i="1"/>
  <c r="U227" i="1"/>
  <c r="V227" i="1"/>
  <c r="W227" i="1"/>
  <c r="X227" i="1"/>
  <c r="Y227" i="1"/>
  <c r="Z227" i="1"/>
  <c r="A228" i="1"/>
  <c r="B228" i="1"/>
  <c r="C228" i="1"/>
  <c r="D228" i="1"/>
  <c r="E228" i="1"/>
  <c r="F228" i="1"/>
  <c r="G228" i="1"/>
  <c r="I228" i="1"/>
  <c r="J228" i="1"/>
  <c r="K228" i="1"/>
  <c r="L228" i="1"/>
  <c r="M228" i="1"/>
  <c r="N228" i="1"/>
  <c r="O228" i="1"/>
  <c r="P228" i="1"/>
  <c r="Q228" i="1"/>
  <c r="R228" i="1"/>
  <c r="S228" i="1"/>
  <c r="T228" i="1"/>
  <c r="U228" i="1"/>
  <c r="V228" i="1"/>
  <c r="W228" i="1"/>
  <c r="X228" i="1"/>
  <c r="Y228" i="1"/>
  <c r="Z228" i="1"/>
  <c r="A229" i="1"/>
  <c r="B229" i="1"/>
  <c r="C229" i="1"/>
  <c r="D229" i="1"/>
  <c r="E229" i="1"/>
  <c r="F229" i="1"/>
  <c r="G229" i="1"/>
  <c r="I229" i="1"/>
  <c r="J229" i="1"/>
  <c r="K229" i="1"/>
  <c r="L229" i="1"/>
  <c r="M229" i="1"/>
  <c r="N229" i="1"/>
  <c r="O229" i="1"/>
  <c r="P229" i="1"/>
  <c r="Q229" i="1"/>
  <c r="R229" i="1"/>
  <c r="S229" i="1"/>
  <c r="T229" i="1"/>
  <c r="U229" i="1"/>
  <c r="V229" i="1"/>
  <c r="W229" i="1"/>
  <c r="X229" i="1"/>
  <c r="Y229" i="1"/>
  <c r="Z229" i="1"/>
  <c r="A230" i="1"/>
  <c r="B230" i="1"/>
  <c r="C230" i="1"/>
  <c r="D230" i="1"/>
  <c r="E230" i="1"/>
  <c r="F230" i="1"/>
  <c r="G230" i="1"/>
  <c r="I230" i="1"/>
  <c r="J230" i="1"/>
  <c r="K230" i="1"/>
  <c r="L230" i="1"/>
  <c r="M230" i="1"/>
  <c r="N230" i="1"/>
  <c r="O230" i="1"/>
  <c r="P230" i="1"/>
  <c r="Q230" i="1"/>
  <c r="R230" i="1"/>
  <c r="S230" i="1"/>
  <c r="T230" i="1"/>
  <c r="U230" i="1"/>
  <c r="V230" i="1"/>
  <c r="W230" i="1"/>
  <c r="X230" i="1"/>
  <c r="Y230" i="1"/>
  <c r="Z230" i="1"/>
  <c r="A231" i="1"/>
  <c r="B231" i="1"/>
  <c r="C231" i="1"/>
  <c r="D231" i="1"/>
  <c r="E231" i="1"/>
  <c r="F231" i="1"/>
  <c r="G231" i="1"/>
  <c r="I231" i="1"/>
  <c r="J231" i="1"/>
  <c r="K231" i="1"/>
  <c r="L231" i="1"/>
  <c r="M231" i="1"/>
  <c r="N231" i="1"/>
  <c r="O231" i="1"/>
  <c r="P231" i="1"/>
  <c r="Q231" i="1"/>
  <c r="R231" i="1"/>
  <c r="S231" i="1"/>
  <c r="T231" i="1"/>
  <c r="U231" i="1"/>
  <c r="V231" i="1"/>
  <c r="W231" i="1"/>
  <c r="X231" i="1"/>
  <c r="Y231" i="1"/>
  <c r="Z231" i="1"/>
  <c r="A232" i="1"/>
  <c r="B232" i="1"/>
  <c r="C232" i="1"/>
  <c r="D232" i="1"/>
  <c r="E232" i="1"/>
  <c r="F232" i="1"/>
  <c r="G232" i="1"/>
  <c r="I232" i="1"/>
  <c r="J232" i="1"/>
  <c r="K232" i="1"/>
  <c r="L232" i="1"/>
  <c r="M232" i="1"/>
  <c r="N232" i="1"/>
  <c r="O232" i="1"/>
  <c r="P232" i="1"/>
  <c r="Q232" i="1"/>
  <c r="R232" i="1"/>
  <c r="S232" i="1"/>
  <c r="T232" i="1"/>
  <c r="U232" i="1"/>
  <c r="V232" i="1"/>
  <c r="W232" i="1"/>
  <c r="X232" i="1"/>
  <c r="Y232" i="1"/>
  <c r="Z232" i="1"/>
  <c r="A233" i="1"/>
  <c r="B233" i="1"/>
  <c r="C233" i="1"/>
  <c r="D233" i="1"/>
  <c r="E233" i="1"/>
  <c r="F233" i="1"/>
  <c r="G233" i="1"/>
  <c r="I233" i="1"/>
  <c r="J233" i="1"/>
  <c r="K233" i="1"/>
  <c r="L233" i="1"/>
  <c r="M233" i="1"/>
  <c r="N233" i="1"/>
  <c r="O233" i="1"/>
  <c r="P233" i="1"/>
  <c r="Q233" i="1"/>
  <c r="R233" i="1"/>
  <c r="S233" i="1"/>
  <c r="T233" i="1"/>
  <c r="U233" i="1"/>
  <c r="V233" i="1"/>
  <c r="W233" i="1"/>
  <c r="X233" i="1"/>
  <c r="Y233" i="1"/>
  <c r="Z233" i="1"/>
  <c r="A234" i="1"/>
  <c r="B234" i="1"/>
  <c r="C234" i="1"/>
  <c r="D234" i="1"/>
  <c r="E234" i="1"/>
  <c r="F234" i="1"/>
  <c r="G234" i="1"/>
  <c r="I234" i="1"/>
  <c r="J234" i="1"/>
  <c r="K234" i="1"/>
  <c r="L234" i="1"/>
  <c r="M234" i="1"/>
  <c r="N234" i="1"/>
  <c r="O234" i="1"/>
  <c r="P234" i="1"/>
  <c r="Q234" i="1"/>
  <c r="R234" i="1"/>
  <c r="S234" i="1"/>
  <c r="T234" i="1"/>
  <c r="U234" i="1"/>
  <c r="V234" i="1"/>
  <c r="W234" i="1"/>
  <c r="X234" i="1"/>
  <c r="Y234" i="1"/>
  <c r="Z234" i="1"/>
  <c r="A235" i="1"/>
  <c r="B235" i="1"/>
  <c r="C235" i="1"/>
  <c r="D235" i="1"/>
  <c r="E235" i="1"/>
  <c r="F235" i="1"/>
  <c r="G235" i="1"/>
  <c r="I235" i="1"/>
  <c r="J235" i="1"/>
  <c r="K235" i="1"/>
  <c r="L235" i="1"/>
  <c r="M235" i="1"/>
  <c r="N235" i="1"/>
  <c r="O235" i="1"/>
  <c r="P235" i="1"/>
  <c r="Q235" i="1"/>
  <c r="R235" i="1"/>
  <c r="S235" i="1"/>
  <c r="T235" i="1"/>
  <c r="U235" i="1"/>
  <c r="V235" i="1"/>
  <c r="W235" i="1"/>
  <c r="X235" i="1"/>
  <c r="Y235" i="1"/>
  <c r="Z235" i="1"/>
  <c r="A236" i="1"/>
  <c r="B236" i="1"/>
  <c r="C236" i="1"/>
  <c r="D236" i="1"/>
  <c r="E236" i="1"/>
  <c r="F236" i="1"/>
  <c r="G236" i="1"/>
  <c r="I236" i="1"/>
  <c r="J236" i="1"/>
  <c r="K236" i="1"/>
  <c r="L236" i="1"/>
  <c r="M236" i="1"/>
  <c r="N236" i="1"/>
  <c r="O236" i="1"/>
  <c r="P236" i="1"/>
  <c r="Q236" i="1"/>
  <c r="R236" i="1"/>
  <c r="S236" i="1"/>
  <c r="T236" i="1"/>
  <c r="U236" i="1"/>
  <c r="V236" i="1"/>
  <c r="W236" i="1"/>
  <c r="X236" i="1"/>
  <c r="Y236" i="1"/>
  <c r="Z236" i="1"/>
  <c r="A237" i="1"/>
  <c r="B237" i="1"/>
  <c r="C237" i="1"/>
  <c r="D237" i="1"/>
  <c r="E237" i="1"/>
  <c r="F237" i="1"/>
  <c r="G237" i="1"/>
  <c r="I237" i="1"/>
  <c r="J237" i="1"/>
  <c r="K237" i="1"/>
  <c r="L237" i="1"/>
  <c r="M237" i="1"/>
  <c r="N237" i="1"/>
  <c r="O237" i="1"/>
  <c r="P237" i="1"/>
  <c r="Q237" i="1"/>
  <c r="R237" i="1"/>
  <c r="S237" i="1"/>
  <c r="T237" i="1"/>
  <c r="U237" i="1"/>
  <c r="V237" i="1"/>
  <c r="W237" i="1"/>
  <c r="X237" i="1"/>
  <c r="Y237" i="1"/>
  <c r="Z237" i="1"/>
  <c r="A238" i="1"/>
  <c r="B238" i="1"/>
  <c r="C238" i="1"/>
  <c r="D238" i="1"/>
  <c r="E238" i="1"/>
  <c r="F238" i="1"/>
  <c r="G238" i="1"/>
  <c r="I238" i="1"/>
  <c r="J238" i="1"/>
  <c r="K238" i="1"/>
  <c r="L238" i="1"/>
  <c r="M238" i="1"/>
  <c r="N238" i="1"/>
  <c r="O238" i="1"/>
  <c r="P238" i="1"/>
  <c r="Q238" i="1"/>
  <c r="R238" i="1"/>
  <c r="S238" i="1"/>
  <c r="T238" i="1"/>
  <c r="U238" i="1"/>
  <c r="V238" i="1"/>
  <c r="W238" i="1"/>
  <c r="X238" i="1"/>
  <c r="Y238" i="1"/>
  <c r="Z238" i="1"/>
  <c r="A239" i="1"/>
  <c r="B239" i="1"/>
  <c r="C239" i="1"/>
  <c r="D239" i="1"/>
  <c r="E239" i="1"/>
  <c r="F239" i="1"/>
  <c r="G239" i="1"/>
  <c r="I239" i="1"/>
  <c r="J239" i="1"/>
  <c r="K239" i="1"/>
  <c r="L239" i="1"/>
  <c r="M239" i="1"/>
  <c r="N239" i="1"/>
  <c r="O239" i="1"/>
  <c r="P239" i="1"/>
  <c r="Q239" i="1"/>
  <c r="R239" i="1"/>
  <c r="S239" i="1"/>
  <c r="T239" i="1"/>
  <c r="U239" i="1"/>
  <c r="V239" i="1"/>
  <c r="W239" i="1"/>
  <c r="X239" i="1"/>
  <c r="Y239" i="1"/>
  <c r="Z239" i="1"/>
  <c r="A240" i="1"/>
  <c r="B240" i="1"/>
  <c r="C240" i="1"/>
  <c r="D240" i="1"/>
  <c r="E240" i="1"/>
  <c r="F240" i="1"/>
  <c r="G240" i="1"/>
  <c r="I240" i="1"/>
  <c r="J240" i="1"/>
  <c r="K240" i="1"/>
  <c r="L240" i="1"/>
  <c r="M240" i="1"/>
  <c r="N240" i="1"/>
  <c r="O240" i="1"/>
  <c r="P240" i="1"/>
  <c r="Q240" i="1"/>
  <c r="R240" i="1"/>
  <c r="S240" i="1"/>
  <c r="T240" i="1"/>
  <c r="U240" i="1"/>
  <c r="V240" i="1"/>
  <c r="W240" i="1"/>
  <c r="X240" i="1"/>
  <c r="Y240" i="1"/>
  <c r="Z240" i="1"/>
  <c r="A241" i="1"/>
  <c r="B241" i="1"/>
  <c r="C241" i="1"/>
  <c r="D241" i="1"/>
  <c r="E241" i="1"/>
  <c r="F241" i="1"/>
  <c r="G241" i="1"/>
  <c r="I241" i="1"/>
  <c r="J241" i="1"/>
  <c r="K241" i="1"/>
  <c r="L241" i="1"/>
  <c r="M241" i="1"/>
  <c r="N241" i="1"/>
  <c r="O241" i="1"/>
  <c r="P241" i="1"/>
  <c r="Q241" i="1"/>
  <c r="R241" i="1"/>
  <c r="S241" i="1"/>
  <c r="T241" i="1"/>
  <c r="U241" i="1"/>
  <c r="V241" i="1"/>
  <c r="W241" i="1"/>
  <c r="X241" i="1"/>
  <c r="Y241" i="1"/>
  <c r="Z241" i="1"/>
  <c r="A242" i="1"/>
  <c r="B242" i="1"/>
  <c r="C242" i="1"/>
  <c r="D242" i="1"/>
  <c r="E242" i="1"/>
  <c r="F242" i="1"/>
  <c r="G242" i="1"/>
  <c r="I242" i="1"/>
  <c r="J242" i="1"/>
  <c r="K242" i="1"/>
  <c r="L242" i="1"/>
  <c r="M242" i="1"/>
  <c r="N242" i="1"/>
  <c r="O242" i="1"/>
  <c r="P242" i="1"/>
  <c r="Q242" i="1"/>
  <c r="R242" i="1"/>
  <c r="S242" i="1"/>
  <c r="T242" i="1"/>
  <c r="U242" i="1"/>
  <c r="V242" i="1"/>
  <c r="W242" i="1"/>
  <c r="X242" i="1"/>
  <c r="Y242" i="1"/>
  <c r="Z242" i="1"/>
  <c r="A243" i="1"/>
  <c r="B243" i="1"/>
  <c r="C243" i="1"/>
  <c r="D243" i="1"/>
  <c r="E243" i="1"/>
  <c r="F243" i="1"/>
  <c r="G243" i="1"/>
  <c r="I243" i="1"/>
  <c r="J243" i="1"/>
  <c r="K243" i="1"/>
  <c r="L243" i="1"/>
  <c r="M243" i="1"/>
  <c r="N243" i="1"/>
  <c r="O243" i="1"/>
  <c r="P243" i="1"/>
  <c r="Q243" i="1"/>
  <c r="R243" i="1"/>
  <c r="S243" i="1"/>
  <c r="T243" i="1"/>
  <c r="U243" i="1"/>
  <c r="V243" i="1"/>
  <c r="W243" i="1"/>
  <c r="X243" i="1"/>
  <c r="Y243" i="1"/>
  <c r="Z243" i="1"/>
  <c r="A244" i="1"/>
  <c r="B244" i="1"/>
  <c r="C244" i="1"/>
  <c r="D244" i="1"/>
  <c r="E244" i="1"/>
  <c r="F244" i="1"/>
  <c r="G244" i="1"/>
  <c r="I244" i="1"/>
  <c r="J244" i="1"/>
  <c r="K244" i="1"/>
  <c r="L244" i="1"/>
  <c r="M244" i="1"/>
  <c r="N244" i="1"/>
  <c r="O244" i="1"/>
  <c r="P244" i="1"/>
  <c r="Q244" i="1"/>
  <c r="R244" i="1"/>
  <c r="S244" i="1"/>
  <c r="T244" i="1"/>
  <c r="U244" i="1"/>
  <c r="V244" i="1"/>
  <c r="W244" i="1"/>
  <c r="X244" i="1"/>
  <c r="Y244" i="1"/>
  <c r="Z244" i="1"/>
  <c r="A245" i="1"/>
  <c r="B245" i="1"/>
  <c r="C245" i="1"/>
  <c r="D245" i="1"/>
  <c r="E245" i="1"/>
  <c r="F245" i="1"/>
  <c r="G245" i="1"/>
  <c r="I245" i="1"/>
  <c r="J245" i="1"/>
  <c r="K245" i="1"/>
  <c r="L245" i="1"/>
  <c r="M245" i="1"/>
  <c r="N245" i="1"/>
  <c r="O245" i="1"/>
  <c r="P245" i="1"/>
  <c r="Q245" i="1"/>
  <c r="R245" i="1"/>
  <c r="S245" i="1"/>
  <c r="T245" i="1"/>
  <c r="U245" i="1"/>
  <c r="V245" i="1"/>
  <c r="W245" i="1"/>
  <c r="X245" i="1"/>
  <c r="Y245" i="1"/>
  <c r="Z245" i="1"/>
  <c r="A246" i="1"/>
  <c r="B246" i="1"/>
  <c r="C246" i="1"/>
  <c r="D246" i="1"/>
  <c r="E246" i="1"/>
  <c r="F246" i="1"/>
  <c r="G246" i="1"/>
  <c r="I246" i="1"/>
  <c r="J246" i="1"/>
  <c r="K246" i="1"/>
  <c r="L246" i="1"/>
  <c r="M246" i="1"/>
  <c r="N246" i="1"/>
  <c r="O246" i="1"/>
  <c r="P246" i="1"/>
  <c r="Q246" i="1"/>
  <c r="R246" i="1"/>
  <c r="S246" i="1"/>
  <c r="T246" i="1"/>
  <c r="U246" i="1"/>
  <c r="V246" i="1"/>
  <c r="W246" i="1"/>
  <c r="X246" i="1"/>
  <c r="Y246" i="1"/>
  <c r="Z246" i="1"/>
  <c r="A247" i="1"/>
  <c r="B247" i="1"/>
  <c r="C247" i="1"/>
  <c r="D247" i="1"/>
  <c r="E247" i="1"/>
  <c r="F247" i="1"/>
  <c r="G247" i="1"/>
  <c r="I247" i="1"/>
  <c r="J247" i="1"/>
  <c r="K247" i="1"/>
  <c r="L247" i="1"/>
  <c r="M247" i="1"/>
  <c r="N247" i="1"/>
  <c r="O247" i="1"/>
  <c r="P247" i="1"/>
  <c r="Q247" i="1"/>
  <c r="R247" i="1"/>
  <c r="S247" i="1"/>
  <c r="T247" i="1"/>
  <c r="U247" i="1"/>
  <c r="V247" i="1"/>
  <c r="W247" i="1"/>
  <c r="X247" i="1"/>
  <c r="Y247" i="1"/>
  <c r="Z247" i="1"/>
  <c r="A248" i="1"/>
  <c r="B248" i="1"/>
  <c r="C248" i="1"/>
  <c r="D248" i="1"/>
  <c r="E248" i="1"/>
  <c r="F248" i="1"/>
  <c r="G248" i="1"/>
  <c r="I248" i="1"/>
  <c r="J248" i="1"/>
  <c r="K248" i="1"/>
  <c r="L248" i="1"/>
  <c r="M248" i="1"/>
  <c r="N248" i="1"/>
  <c r="O248" i="1"/>
  <c r="P248" i="1"/>
  <c r="Q248" i="1"/>
  <c r="R248" i="1"/>
  <c r="S248" i="1"/>
  <c r="T248" i="1"/>
  <c r="U248" i="1"/>
  <c r="V248" i="1"/>
  <c r="W248" i="1"/>
  <c r="X248" i="1"/>
  <c r="Y248" i="1"/>
  <c r="Z248" i="1"/>
  <c r="A249" i="1"/>
  <c r="B249" i="1"/>
  <c r="C249" i="1"/>
  <c r="D249" i="1"/>
  <c r="E249" i="1"/>
  <c r="F249" i="1"/>
  <c r="G249" i="1"/>
  <c r="I249" i="1"/>
  <c r="J249" i="1"/>
  <c r="K249" i="1"/>
  <c r="L249" i="1"/>
  <c r="M249" i="1"/>
  <c r="N249" i="1"/>
  <c r="O249" i="1"/>
  <c r="P249" i="1"/>
  <c r="Q249" i="1"/>
  <c r="R249" i="1"/>
  <c r="S249" i="1"/>
  <c r="T249" i="1"/>
  <c r="U249" i="1"/>
  <c r="V249" i="1"/>
  <c r="W249" i="1"/>
  <c r="X249" i="1"/>
  <c r="Y249" i="1"/>
  <c r="Z249" i="1"/>
  <c r="A250" i="1"/>
  <c r="B250" i="1"/>
  <c r="C250" i="1"/>
  <c r="D250" i="1"/>
  <c r="E250" i="1"/>
  <c r="F250" i="1"/>
  <c r="G250" i="1"/>
  <c r="I250" i="1"/>
  <c r="J250" i="1"/>
  <c r="K250" i="1"/>
  <c r="L250" i="1"/>
  <c r="M250" i="1"/>
  <c r="N250" i="1"/>
  <c r="O250" i="1"/>
  <c r="P250" i="1"/>
  <c r="Q250" i="1"/>
  <c r="R250" i="1"/>
  <c r="S250" i="1"/>
  <c r="T250" i="1"/>
  <c r="U250" i="1"/>
  <c r="V250" i="1"/>
  <c r="W250" i="1"/>
  <c r="X250" i="1"/>
  <c r="Y250" i="1"/>
  <c r="Z250" i="1"/>
  <c r="A251" i="1"/>
  <c r="B251" i="1"/>
  <c r="C251" i="1"/>
  <c r="D251" i="1"/>
  <c r="E251" i="1"/>
  <c r="F251" i="1"/>
  <c r="G251" i="1"/>
  <c r="I251" i="1"/>
  <c r="J251" i="1"/>
  <c r="K251" i="1"/>
  <c r="L251" i="1"/>
  <c r="M251" i="1"/>
  <c r="N251" i="1"/>
  <c r="O251" i="1"/>
  <c r="P251" i="1"/>
  <c r="Q251" i="1"/>
  <c r="R251" i="1"/>
  <c r="S251" i="1"/>
  <c r="T251" i="1"/>
  <c r="U251" i="1"/>
  <c r="V251" i="1"/>
  <c r="W251" i="1"/>
  <c r="X251" i="1"/>
  <c r="Y251" i="1"/>
  <c r="Z251" i="1"/>
  <c r="A252" i="1"/>
  <c r="B252" i="1"/>
  <c r="C252" i="1"/>
  <c r="D252" i="1"/>
  <c r="E252" i="1"/>
  <c r="F252" i="1"/>
  <c r="G252" i="1"/>
  <c r="I252" i="1"/>
  <c r="J252" i="1"/>
  <c r="K252" i="1"/>
  <c r="L252" i="1"/>
  <c r="M252" i="1"/>
  <c r="N252" i="1"/>
  <c r="O252" i="1"/>
  <c r="P252" i="1"/>
  <c r="Q252" i="1"/>
  <c r="R252" i="1"/>
  <c r="S252" i="1"/>
  <c r="T252" i="1"/>
  <c r="U252" i="1"/>
  <c r="V252" i="1"/>
  <c r="W252" i="1"/>
  <c r="X252" i="1"/>
  <c r="Y252" i="1"/>
  <c r="Z252" i="1"/>
  <c r="A253" i="1"/>
  <c r="B253" i="1"/>
  <c r="C253" i="1"/>
  <c r="D253" i="1"/>
  <c r="E253" i="1"/>
  <c r="F253" i="1"/>
  <c r="G253" i="1"/>
  <c r="I253" i="1"/>
  <c r="J253" i="1"/>
  <c r="K253" i="1"/>
  <c r="L253" i="1"/>
  <c r="M253" i="1"/>
  <c r="N253" i="1"/>
  <c r="O253" i="1"/>
  <c r="P253" i="1"/>
  <c r="Q253" i="1"/>
  <c r="R253" i="1"/>
  <c r="S253" i="1"/>
  <c r="T253" i="1"/>
  <c r="U253" i="1"/>
  <c r="V253" i="1"/>
  <c r="W253" i="1"/>
  <c r="X253" i="1"/>
  <c r="Y253" i="1"/>
  <c r="Z253" i="1"/>
  <c r="A254" i="1"/>
  <c r="B254" i="1"/>
  <c r="C254" i="1"/>
  <c r="D254" i="1"/>
  <c r="E254" i="1"/>
  <c r="F254" i="1"/>
  <c r="G254" i="1"/>
  <c r="I254" i="1"/>
  <c r="J254" i="1"/>
  <c r="K254" i="1"/>
  <c r="L254" i="1"/>
  <c r="M254" i="1"/>
  <c r="N254" i="1"/>
  <c r="O254" i="1"/>
  <c r="P254" i="1"/>
  <c r="Q254" i="1"/>
  <c r="R254" i="1"/>
  <c r="S254" i="1"/>
  <c r="T254" i="1"/>
  <c r="U254" i="1"/>
  <c r="V254" i="1"/>
  <c r="W254" i="1"/>
  <c r="X254" i="1"/>
  <c r="Y254" i="1"/>
  <c r="Z254" i="1"/>
  <c r="A255" i="1"/>
  <c r="B255" i="1"/>
  <c r="C255" i="1"/>
  <c r="D255" i="1"/>
  <c r="E255" i="1"/>
  <c r="F255" i="1"/>
  <c r="G255" i="1"/>
  <c r="I255" i="1"/>
  <c r="J255" i="1"/>
  <c r="K255" i="1"/>
  <c r="L255" i="1"/>
  <c r="M255" i="1"/>
  <c r="N255" i="1"/>
  <c r="O255" i="1"/>
  <c r="P255" i="1"/>
  <c r="Q255" i="1"/>
  <c r="R255" i="1"/>
  <c r="S255" i="1"/>
  <c r="T255" i="1"/>
  <c r="U255" i="1"/>
  <c r="V255" i="1"/>
  <c r="W255" i="1"/>
  <c r="X255" i="1"/>
  <c r="Y255" i="1"/>
  <c r="Z255" i="1"/>
  <c r="A256" i="1"/>
  <c r="B256" i="1"/>
  <c r="C256" i="1"/>
  <c r="D256" i="1"/>
  <c r="E256" i="1"/>
  <c r="F256" i="1"/>
  <c r="G256" i="1"/>
  <c r="I256" i="1"/>
  <c r="J256" i="1"/>
  <c r="K256" i="1"/>
  <c r="L256" i="1"/>
  <c r="M256" i="1"/>
  <c r="N256" i="1"/>
  <c r="O256" i="1"/>
  <c r="P256" i="1"/>
  <c r="Q256" i="1"/>
  <c r="R256" i="1"/>
  <c r="S256" i="1"/>
  <c r="T256" i="1"/>
  <c r="U256" i="1"/>
  <c r="V256" i="1"/>
  <c r="W256" i="1"/>
  <c r="X256" i="1"/>
  <c r="Y256" i="1"/>
  <c r="Z256" i="1"/>
  <c r="A257" i="1"/>
  <c r="B257" i="1"/>
  <c r="C257" i="1"/>
  <c r="D257" i="1"/>
  <c r="E257" i="1"/>
  <c r="F257" i="1"/>
  <c r="G257" i="1"/>
  <c r="I257" i="1"/>
  <c r="J257" i="1"/>
  <c r="K257" i="1"/>
  <c r="L257" i="1"/>
  <c r="M257" i="1"/>
  <c r="N257" i="1"/>
  <c r="O257" i="1"/>
  <c r="P257" i="1"/>
  <c r="Q257" i="1"/>
  <c r="R257" i="1"/>
  <c r="S257" i="1"/>
  <c r="T257" i="1"/>
  <c r="U257" i="1"/>
  <c r="V257" i="1"/>
  <c r="W257" i="1"/>
  <c r="X257" i="1"/>
  <c r="Y257" i="1"/>
  <c r="Z257" i="1"/>
  <c r="A258" i="1"/>
  <c r="B258" i="1"/>
  <c r="C258" i="1"/>
  <c r="D258" i="1"/>
  <c r="E258" i="1"/>
  <c r="F258" i="1"/>
  <c r="G258" i="1"/>
  <c r="I258" i="1"/>
  <c r="J258" i="1"/>
  <c r="K258" i="1"/>
  <c r="L258" i="1"/>
  <c r="M258" i="1"/>
  <c r="N258" i="1"/>
  <c r="O258" i="1"/>
  <c r="P258" i="1"/>
  <c r="Q258" i="1"/>
  <c r="R258" i="1"/>
  <c r="S258" i="1"/>
  <c r="T258" i="1"/>
  <c r="U258" i="1"/>
  <c r="V258" i="1"/>
  <c r="W258" i="1"/>
  <c r="X258" i="1"/>
  <c r="Y258" i="1"/>
  <c r="Z258" i="1"/>
  <c r="A259" i="1"/>
  <c r="B259" i="1"/>
  <c r="C259" i="1"/>
  <c r="D259" i="1"/>
  <c r="E259" i="1"/>
  <c r="F259" i="1"/>
  <c r="G259" i="1"/>
  <c r="I259" i="1"/>
  <c r="J259" i="1"/>
  <c r="K259" i="1"/>
  <c r="L259" i="1"/>
  <c r="M259" i="1"/>
  <c r="N259" i="1"/>
  <c r="O259" i="1"/>
  <c r="P259" i="1"/>
  <c r="Q259" i="1"/>
  <c r="R259" i="1"/>
  <c r="S259" i="1"/>
  <c r="T259" i="1"/>
  <c r="U259" i="1"/>
  <c r="V259" i="1"/>
  <c r="W259" i="1"/>
  <c r="X259" i="1"/>
  <c r="Y259" i="1"/>
  <c r="Z259" i="1"/>
  <c r="A260" i="1"/>
  <c r="B260" i="1"/>
  <c r="C260" i="1"/>
  <c r="D260" i="1"/>
  <c r="E260" i="1"/>
  <c r="F260" i="1"/>
  <c r="G260" i="1"/>
  <c r="I260" i="1"/>
  <c r="J260" i="1"/>
  <c r="K260" i="1"/>
  <c r="L260" i="1"/>
  <c r="M260" i="1"/>
  <c r="N260" i="1"/>
  <c r="O260" i="1"/>
  <c r="P260" i="1"/>
  <c r="Q260" i="1"/>
  <c r="R260" i="1"/>
  <c r="S260" i="1"/>
  <c r="T260" i="1"/>
  <c r="U260" i="1"/>
  <c r="V260" i="1"/>
  <c r="W260" i="1"/>
  <c r="X260" i="1"/>
  <c r="Y260" i="1"/>
  <c r="Z260" i="1"/>
  <c r="A261" i="1"/>
  <c r="B261" i="1"/>
  <c r="C261" i="1"/>
  <c r="D261" i="1"/>
  <c r="E261" i="1"/>
  <c r="F261" i="1"/>
  <c r="G261" i="1"/>
  <c r="I261" i="1"/>
  <c r="J261" i="1"/>
  <c r="K261" i="1"/>
  <c r="L261" i="1"/>
  <c r="M261" i="1"/>
  <c r="N261" i="1"/>
  <c r="O261" i="1"/>
  <c r="P261" i="1"/>
  <c r="Q261" i="1"/>
  <c r="R261" i="1"/>
  <c r="S261" i="1"/>
  <c r="T261" i="1"/>
  <c r="U261" i="1"/>
  <c r="V261" i="1"/>
  <c r="W261" i="1"/>
  <c r="X261" i="1"/>
  <c r="Y261" i="1"/>
  <c r="Z261" i="1"/>
  <c r="A262" i="1"/>
  <c r="B262" i="1"/>
  <c r="C262" i="1"/>
  <c r="D262" i="1"/>
  <c r="E262" i="1"/>
  <c r="F262" i="1"/>
  <c r="G262" i="1"/>
  <c r="I262" i="1"/>
  <c r="J262" i="1"/>
  <c r="K262" i="1"/>
  <c r="L262" i="1"/>
  <c r="M262" i="1"/>
  <c r="N262" i="1"/>
  <c r="O262" i="1"/>
  <c r="P262" i="1"/>
  <c r="Q262" i="1"/>
  <c r="R262" i="1"/>
  <c r="S262" i="1"/>
  <c r="T262" i="1"/>
  <c r="U262" i="1"/>
  <c r="V262" i="1"/>
  <c r="W262" i="1"/>
  <c r="X262" i="1"/>
  <c r="Y262" i="1"/>
  <c r="Z262" i="1"/>
  <c r="A263" i="1"/>
  <c r="B263" i="1"/>
  <c r="C263" i="1"/>
  <c r="D263" i="1"/>
  <c r="E263" i="1"/>
  <c r="F263" i="1"/>
  <c r="G263" i="1"/>
  <c r="I263" i="1"/>
  <c r="J263" i="1"/>
  <c r="K263" i="1"/>
  <c r="L263" i="1"/>
  <c r="M263" i="1"/>
  <c r="N263" i="1"/>
  <c r="O263" i="1"/>
  <c r="P263" i="1"/>
  <c r="Q263" i="1"/>
  <c r="R263" i="1"/>
  <c r="S263" i="1"/>
  <c r="T263" i="1"/>
  <c r="U263" i="1"/>
  <c r="V263" i="1"/>
  <c r="W263" i="1"/>
  <c r="X263" i="1"/>
  <c r="Y263" i="1"/>
  <c r="Z263" i="1"/>
  <c r="A264" i="1"/>
  <c r="B264" i="1"/>
  <c r="C264" i="1"/>
  <c r="D264" i="1"/>
  <c r="E264" i="1"/>
  <c r="F264" i="1"/>
  <c r="G264" i="1"/>
  <c r="I264" i="1"/>
  <c r="J264" i="1"/>
  <c r="K264" i="1"/>
  <c r="L264" i="1"/>
  <c r="M264" i="1"/>
  <c r="N264" i="1"/>
  <c r="O264" i="1"/>
  <c r="P264" i="1"/>
  <c r="Q264" i="1"/>
  <c r="R264" i="1"/>
  <c r="S264" i="1"/>
  <c r="T264" i="1"/>
  <c r="U264" i="1"/>
  <c r="V264" i="1"/>
  <c r="W264" i="1"/>
  <c r="X264" i="1"/>
  <c r="Y264" i="1"/>
  <c r="Z264" i="1"/>
  <c r="A265" i="1"/>
  <c r="B265" i="1"/>
  <c r="C265" i="1"/>
  <c r="D265" i="1"/>
  <c r="E265" i="1"/>
  <c r="F265" i="1"/>
  <c r="G265" i="1"/>
  <c r="I265" i="1"/>
  <c r="J265" i="1"/>
  <c r="K265" i="1"/>
  <c r="L265" i="1"/>
  <c r="M265" i="1"/>
  <c r="N265" i="1"/>
  <c r="O265" i="1"/>
  <c r="P265" i="1"/>
  <c r="Q265" i="1"/>
  <c r="R265" i="1"/>
  <c r="S265" i="1"/>
  <c r="T265" i="1"/>
  <c r="U265" i="1"/>
  <c r="V265" i="1"/>
  <c r="W265" i="1"/>
  <c r="X265" i="1"/>
  <c r="Y265" i="1"/>
  <c r="Z265" i="1"/>
  <c r="A266" i="1"/>
  <c r="B266" i="1"/>
  <c r="C266" i="1"/>
  <c r="D266" i="1"/>
  <c r="E266" i="1"/>
  <c r="F266" i="1"/>
  <c r="G266" i="1"/>
  <c r="I266" i="1"/>
  <c r="J266" i="1"/>
  <c r="K266" i="1"/>
  <c r="L266" i="1"/>
  <c r="M266" i="1"/>
  <c r="N266" i="1"/>
  <c r="O266" i="1"/>
  <c r="P266" i="1"/>
  <c r="Q266" i="1"/>
  <c r="R266" i="1"/>
  <c r="S266" i="1"/>
  <c r="T266" i="1"/>
  <c r="U266" i="1"/>
  <c r="V266" i="1"/>
  <c r="W266" i="1"/>
  <c r="X266" i="1"/>
  <c r="Y266" i="1"/>
  <c r="Z266" i="1"/>
  <c r="A267" i="1"/>
  <c r="B267" i="1"/>
  <c r="C267" i="1"/>
  <c r="D267" i="1"/>
  <c r="E267" i="1"/>
  <c r="F267" i="1"/>
  <c r="G267" i="1"/>
  <c r="I267" i="1"/>
  <c r="J267" i="1"/>
  <c r="K267" i="1"/>
  <c r="L267" i="1"/>
  <c r="M267" i="1"/>
  <c r="N267" i="1"/>
  <c r="O267" i="1"/>
  <c r="P267" i="1"/>
  <c r="Q267" i="1"/>
  <c r="R267" i="1"/>
  <c r="S267" i="1"/>
  <c r="T267" i="1"/>
  <c r="U267" i="1"/>
  <c r="V267" i="1"/>
  <c r="W267" i="1"/>
  <c r="X267" i="1"/>
  <c r="Y267" i="1"/>
  <c r="Z267" i="1"/>
  <c r="A268" i="1"/>
  <c r="B268" i="1"/>
  <c r="C268" i="1"/>
  <c r="D268" i="1"/>
  <c r="E268" i="1"/>
  <c r="F268" i="1"/>
  <c r="G268" i="1"/>
  <c r="I268" i="1"/>
  <c r="J268" i="1"/>
  <c r="K268" i="1"/>
  <c r="L268" i="1"/>
  <c r="M268" i="1"/>
  <c r="N268" i="1"/>
  <c r="O268" i="1"/>
  <c r="P268" i="1"/>
  <c r="Q268" i="1"/>
  <c r="R268" i="1"/>
  <c r="S268" i="1"/>
  <c r="T268" i="1"/>
  <c r="U268" i="1"/>
  <c r="V268" i="1"/>
  <c r="W268" i="1"/>
  <c r="X268" i="1"/>
  <c r="Y268" i="1"/>
  <c r="Z268" i="1"/>
  <c r="A269" i="1"/>
  <c r="B269" i="1"/>
  <c r="C269" i="1"/>
  <c r="D269" i="1"/>
  <c r="E269" i="1"/>
  <c r="F269" i="1"/>
  <c r="G269" i="1"/>
  <c r="I269" i="1"/>
  <c r="J269" i="1"/>
  <c r="K269" i="1"/>
  <c r="L269" i="1"/>
  <c r="M269" i="1"/>
  <c r="N269" i="1"/>
  <c r="O269" i="1"/>
  <c r="P269" i="1"/>
  <c r="Q269" i="1"/>
  <c r="R269" i="1"/>
  <c r="S269" i="1"/>
  <c r="T269" i="1"/>
  <c r="U269" i="1"/>
  <c r="V269" i="1"/>
  <c r="W269" i="1"/>
  <c r="X269" i="1"/>
  <c r="Y269" i="1"/>
  <c r="Z269" i="1"/>
  <c r="A270" i="1"/>
  <c r="B270" i="1"/>
  <c r="C270" i="1"/>
  <c r="D270" i="1"/>
  <c r="E270" i="1"/>
  <c r="F270" i="1"/>
  <c r="G270" i="1"/>
  <c r="I270" i="1"/>
  <c r="J270" i="1"/>
  <c r="K270" i="1"/>
  <c r="L270" i="1"/>
  <c r="M270" i="1"/>
  <c r="N270" i="1"/>
  <c r="O270" i="1"/>
  <c r="P270" i="1"/>
  <c r="Q270" i="1"/>
  <c r="R270" i="1"/>
  <c r="S270" i="1"/>
  <c r="T270" i="1"/>
  <c r="U270" i="1"/>
  <c r="V270" i="1"/>
  <c r="W270" i="1"/>
  <c r="X270" i="1"/>
  <c r="Y270" i="1"/>
  <c r="Z270" i="1"/>
  <c r="A271" i="1"/>
  <c r="B271" i="1"/>
  <c r="C271" i="1"/>
  <c r="D271" i="1"/>
  <c r="E271" i="1"/>
  <c r="F271" i="1"/>
  <c r="G271" i="1"/>
  <c r="I271" i="1"/>
  <c r="J271" i="1"/>
  <c r="K271" i="1"/>
  <c r="L271" i="1"/>
  <c r="M271" i="1"/>
  <c r="N271" i="1"/>
  <c r="O271" i="1"/>
  <c r="P271" i="1"/>
  <c r="Q271" i="1"/>
  <c r="R271" i="1"/>
  <c r="S271" i="1"/>
  <c r="T271" i="1"/>
  <c r="U271" i="1"/>
  <c r="V271" i="1"/>
  <c r="W271" i="1"/>
  <c r="X271" i="1"/>
  <c r="Y271" i="1"/>
  <c r="Z271" i="1"/>
  <c r="A272" i="1"/>
  <c r="B272" i="1"/>
  <c r="C272" i="1"/>
  <c r="D272" i="1"/>
  <c r="E272" i="1"/>
  <c r="F272" i="1"/>
  <c r="G272" i="1"/>
  <c r="I272" i="1"/>
  <c r="J272" i="1"/>
  <c r="K272" i="1"/>
  <c r="L272" i="1"/>
  <c r="M272" i="1"/>
  <c r="N272" i="1"/>
  <c r="O272" i="1"/>
  <c r="P272" i="1"/>
  <c r="Q272" i="1"/>
  <c r="R272" i="1"/>
  <c r="S272" i="1"/>
  <c r="T272" i="1"/>
  <c r="U272" i="1"/>
  <c r="V272" i="1"/>
  <c r="W272" i="1"/>
  <c r="X272" i="1"/>
  <c r="Y272" i="1"/>
  <c r="Z272" i="1"/>
  <c r="A273" i="1"/>
  <c r="B273" i="1"/>
  <c r="C273" i="1"/>
  <c r="D273" i="1"/>
  <c r="E273" i="1"/>
  <c r="F273" i="1"/>
  <c r="G273" i="1"/>
  <c r="I273" i="1"/>
  <c r="J273" i="1"/>
  <c r="K273" i="1"/>
  <c r="L273" i="1"/>
  <c r="M273" i="1"/>
  <c r="N273" i="1"/>
  <c r="O273" i="1"/>
  <c r="P273" i="1"/>
  <c r="Q273" i="1"/>
  <c r="R273" i="1"/>
  <c r="S273" i="1"/>
  <c r="T273" i="1"/>
  <c r="U273" i="1"/>
  <c r="V273" i="1"/>
  <c r="W273" i="1"/>
  <c r="X273" i="1"/>
  <c r="Y273" i="1"/>
  <c r="Z273" i="1"/>
  <c r="A274" i="1"/>
  <c r="B274" i="1"/>
  <c r="C274" i="1"/>
  <c r="D274" i="1"/>
  <c r="E274" i="1"/>
  <c r="F274" i="1"/>
  <c r="G274" i="1"/>
  <c r="I274" i="1"/>
  <c r="J274" i="1"/>
  <c r="K274" i="1"/>
  <c r="L274" i="1"/>
  <c r="M274" i="1"/>
  <c r="N274" i="1"/>
  <c r="O274" i="1"/>
  <c r="P274" i="1"/>
  <c r="Q274" i="1"/>
  <c r="R274" i="1"/>
  <c r="S274" i="1"/>
  <c r="T274" i="1"/>
  <c r="U274" i="1"/>
  <c r="V274" i="1"/>
  <c r="W274" i="1"/>
  <c r="X274" i="1"/>
  <c r="Y274" i="1"/>
  <c r="Z274" i="1"/>
  <c r="A275" i="1"/>
  <c r="B275" i="1"/>
  <c r="C275" i="1"/>
  <c r="D275" i="1"/>
  <c r="E275" i="1"/>
  <c r="F275" i="1"/>
  <c r="G275" i="1"/>
  <c r="I275" i="1"/>
  <c r="J275" i="1"/>
  <c r="K275" i="1"/>
  <c r="L275" i="1"/>
  <c r="M275" i="1"/>
  <c r="N275" i="1"/>
  <c r="O275" i="1"/>
  <c r="P275" i="1"/>
  <c r="Q275" i="1"/>
  <c r="R275" i="1"/>
  <c r="S275" i="1"/>
  <c r="T275" i="1"/>
  <c r="U275" i="1"/>
  <c r="V275" i="1"/>
  <c r="W275" i="1"/>
  <c r="X275" i="1"/>
  <c r="Y275" i="1"/>
  <c r="Z275" i="1"/>
  <c r="A276" i="1"/>
  <c r="B276" i="1"/>
  <c r="C276" i="1"/>
  <c r="D276" i="1"/>
  <c r="E276" i="1"/>
  <c r="F276" i="1"/>
  <c r="G276" i="1"/>
  <c r="I276" i="1"/>
  <c r="J276" i="1"/>
  <c r="K276" i="1"/>
  <c r="L276" i="1"/>
  <c r="M276" i="1"/>
  <c r="N276" i="1"/>
  <c r="O276" i="1"/>
  <c r="P276" i="1"/>
  <c r="Q276" i="1"/>
  <c r="R276" i="1"/>
  <c r="S276" i="1"/>
  <c r="T276" i="1"/>
  <c r="U276" i="1"/>
  <c r="V276" i="1"/>
  <c r="W276" i="1"/>
  <c r="X276" i="1"/>
  <c r="Y276" i="1"/>
  <c r="Z276" i="1"/>
  <c r="A277" i="1"/>
  <c r="B277" i="1"/>
  <c r="C277" i="1"/>
  <c r="D277" i="1"/>
  <c r="E277" i="1"/>
  <c r="F277" i="1"/>
  <c r="G277" i="1"/>
  <c r="I277" i="1"/>
  <c r="J277" i="1"/>
  <c r="K277" i="1"/>
  <c r="L277" i="1"/>
  <c r="M277" i="1"/>
  <c r="N277" i="1"/>
  <c r="O277" i="1"/>
  <c r="P277" i="1"/>
  <c r="Q277" i="1"/>
  <c r="R277" i="1"/>
  <c r="S277" i="1"/>
  <c r="T277" i="1"/>
  <c r="U277" i="1"/>
  <c r="V277" i="1"/>
  <c r="W277" i="1"/>
  <c r="X277" i="1"/>
  <c r="Y277" i="1"/>
  <c r="Z277" i="1"/>
  <c r="A278" i="1"/>
  <c r="B278" i="1"/>
  <c r="C278" i="1"/>
  <c r="D278" i="1"/>
  <c r="E278" i="1"/>
  <c r="F278" i="1"/>
  <c r="G278" i="1"/>
  <c r="I278" i="1"/>
  <c r="J278" i="1"/>
  <c r="K278" i="1"/>
  <c r="L278" i="1"/>
  <c r="M278" i="1"/>
  <c r="N278" i="1"/>
  <c r="O278" i="1"/>
  <c r="P278" i="1"/>
  <c r="Q278" i="1"/>
  <c r="R278" i="1"/>
  <c r="S278" i="1"/>
  <c r="T278" i="1"/>
  <c r="U278" i="1"/>
  <c r="V278" i="1"/>
  <c r="W278" i="1"/>
  <c r="X278" i="1"/>
  <c r="Y278" i="1"/>
  <c r="Z278" i="1"/>
  <c r="A279" i="1"/>
  <c r="B279" i="1"/>
  <c r="C279" i="1"/>
  <c r="D279" i="1"/>
  <c r="E279" i="1"/>
  <c r="F279" i="1"/>
  <c r="G279" i="1"/>
  <c r="I279" i="1"/>
  <c r="J279" i="1"/>
  <c r="K279" i="1"/>
  <c r="L279" i="1"/>
  <c r="M279" i="1"/>
  <c r="N279" i="1"/>
  <c r="O279" i="1"/>
  <c r="P279" i="1"/>
  <c r="Q279" i="1"/>
  <c r="R279" i="1"/>
  <c r="S279" i="1"/>
  <c r="T279" i="1"/>
  <c r="U279" i="1"/>
  <c r="V279" i="1"/>
  <c r="W279" i="1"/>
  <c r="X279" i="1"/>
  <c r="Y279" i="1"/>
  <c r="Z279" i="1"/>
  <c r="A280" i="1"/>
  <c r="B280" i="1"/>
  <c r="C280" i="1"/>
  <c r="D280" i="1"/>
  <c r="E280" i="1"/>
  <c r="F280" i="1"/>
  <c r="G280" i="1"/>
  <c r="I280" i="1"/>
  <c r="J280" i="1"/>
  <c r="K280" i="1"/>
  <c r="L280" i="1"/>
  <c r="M280" i="1"/>
  <c r="N280" i="1"/>
  <c r="O280" i="1"/>
  <c r="P280" i="1"/>
  <c r="Q280" i="1"/>
  <c r="R280" i="1"/>
  <c r="S280" i="1"/>
  <c r="T280" i="1"/>
  <c r="U280" i="1"/>
  <c r="V280" i="1"/>
  <c r="W280" i="1"/>
  <c r="X280" i="1"/>
  <c r="Y280" i="1"/>
  <c r="Z280" i="1"/>
  <c r="A281" i="1"/>
  <c r="B281" i="1"/>
  <c r="C281" i="1"/>
  <c r="D281" i="1"/>
  <c r="E281" i="1"/>
  <c r="F281" i="1"/>
  <c r="G281" i="1"/>
  <c r="I281" i="1"/>
  <c r="J281" i="1"/>
  <c r="K281" i="1"/>
  <c r="L281" i="1"/>
  <c r="M281" i="1"/>
  <c r="N281" i="1"/>
  <c r="O281" i="1"/>
  <c r="P281" i="1"/>
  <c r="Q281" i="1"/>
  <c r="R281" i="1"/>
  <c r="S281" i="1"/>
  <c r="T281" i="1"/>
  <c r="U281" i="1"/>
  <c r="V281" i="1"/>
  <c r="W281" i="1"/>
  <c r="X281" i="1"/>
  <c r="Y281" i="1"/>
  <c r="Z281" i="1"/>
  <c r="A282" i="1"/>
  <c r="B282" i="1"/>
  <c r="C282" i="1"/>
  <c r="D282" i="1"/>
  <c r="E282" i="1"/>
  <c r="F282" i="1"/>
  <c r="G282" i="1"/>
  <c r="I282" i="1"/>
  <c r="J282" i="1"/>
  <c r="K282" i="1"/>
  <c r="L282" i="1"/>
  <c r="M282" i="1"/>
  <c r="N282" i="1"/>
  <c r="O282" i="1"/>
  <c r="P282" i="1"/>
  <c r="Q282" i="1"/>
  <c r="R282" i="1"/>
  <c r="S282" i="1"/>
  <c r="T282" i="1"/>
  <c r="U282" i="1"/>
  <c r="V282" i="1"/>
  <c r="W282" i="1"/>
  <c r="X282" i="1"/>
  <c r="Y282" i="1"/>
  <c r="Z282" i="1"/>
  <c r="A283" i="1"/>
  <c r="B283" i="1"/>
  <c r="C283" i="1"/>
  <c r="D283" i="1"/>
  <c r="E283" i="1"/>
  <c r="F283" i="1"/>
  <c r="G283" i="1"/>
  <c r="I283" i="1"/>
  <c r="J283" i="1"/>
  <c r="K283" i="1"/>
  <c r="L283" i="1"/>
  <c r="M283" i="1"/>
  <c r="N283" i="1"/>
  <c r="O283" i="1"/>
  <c r="P283" i="1"/>
  <c r="Q283" i="1"/>
  <c r="R283" i="1"/>
  <c r="S283" i="1"/>
  <c r="T283" i="1"/>
  <c r="U283" i="1"/>
  <c r="V283" i="1"/>
  <c r="W283" i="1"/>
  <c r="X283" i="1"/>
  <c r="Y283" i="1"/>
  <c r="Z283" i="1"/>
  <c r="A284" i="1"/>
  <c r="B284" i="1"/>
  <c r="C284" i="1"/>
  <c r="D284" i="1"/>
  <c r="E284" i="1"/>
  <c r="F284" i="1"/>
  <c r="G284" i="1"/>
  <c r="I284" i="1"/>
  <c r="J284" i="1"/>
  <c r="K284" i="1"/>
  <c r="L284" i="1"/>
  <c r="M284" i="1"/>
  <c r="N284" i="1"/>
  <c r="O284" i="1"/>
  <c r="P284" i="1"/>
  <c r="Q284" i="1"/>
  <c r="R284" i="1"/>
  <c r="S284" i="1"/>
  <c r="T284" i="1"/>
  <c r="U284" i="1"/>
  <c r="V284" i="1"/>
  <c r="W284" i="1"/>
  <c r="X284" i="1"/>
  <c r="Y284" i="1"/>
  <c r="Z284" i="1"/>
  <c r="A285" i="1"/>
  <c r="B285" i="1"/>
  <c r="C285" i="1"/>
  <c r="D285" i="1"/>
  <c r="E285" i="1"/>
  <c r="F285" i="1"/>
  <c r="G285" i="1"/>
  <c r="I285" i="1"/>
  <c r="J285" i="1"/>
  <c r="K285" i="1"/>
  <c r="L285" i="1"/>
  <c r="M285" i="1"/>
  <c r="N285" i="1"/>
  <c r="O285" i="1"/>
  <c r="P285" i="1"/>
  <c r="Q285" i="1"/>
  <c r="R285" i="1"/>
  <c r="S285" i="1"/>
  <c r="T285" i="1"/>
  <c r="U285" i="1"/>
  <c r="V285" i="1"/>
  <c r="W285" i="1"/>
  <c r="X285" i="1"/>
  <c r="Y285" i="1"/>
  <c r="Z285" i="1"/>
  <c r="A286" i="1"/>
  <c r="B286" i="1"/>
  <c r="C286" i="1"/>
  <c r="D286" i="1"/>
  <c r="E286" i="1"/>
  <c r="F286" i="1"/>
  <c r="G286" i="1"/>
  <c r="I286" i="1"/>
  <c r="J286" i="1"/>
  <c r="K286" i="1"/>
  <c r="L286" i="1"/>
  <c r="M286" i="1"/>
  <c r="N286" i="1"/>
  <c r="O286" i="1"/>
  <c r="P286" i="1"/>
  <c r="Q286" i="1"/>
  <c r="R286" i="1"/>
  <c r="S286" i="1"/>
  <c r="T286" i="1"/>
  <c r="U286" i="1"/>
  <c r="V286" i="1"/>
  <c r="W286" i="1"/>
  <c r="X286" i="1"/>
  <c r="Y286" i="1"/>
  <c r="Z286" i="1"/>
  <c r="A287" i="1"/>
  <c r="B287" i="1"/>
  <c r="C287" i="1"/>
  <c r="D287" i="1"/>
  <c r="E287" i="1"/>
  <c r="F287" i="1"/>
  <c r="G287" i="1"/>
  <c r="I287" i="1"/>
  <c r="J287" i="1"/>
  <c r="K287" i="1"/>
  <c r="L287" i="1"/>
  <c r="M287" i="1"/>
  <c r="N287" i="1"/>
  <c r="O287" i="1"/>
  <c r="P287" i="1"/>
  <c r="Q287" i="1"/>
  <c r="R287" i="1"/>
  <c r="S287" i="1"/>
  <c r="T287" i="1"/>
  <c r="U287" i="1"/>
  <c r="V287" i="1"/>
  <c r="W287" i="1"/>
  <c r="X287" i="1"/>
  <c r="Y287" i="1"/>
  <c r="Z287" i="1"/>
  <c r="A288" i="1"/>
  <c r="B288" i="1"/>
  <c r="C288" i="1"/>
  <c r="D288" i="1"/>
  <c r="E288" i="1"/>
  <c r="F288" i="1"/>
  <c r="G288" i="1"/>
  <c r="I288" i="1"/>
  <c r="J288" i="1"/>
  <c r="K288" i="1"/>
  <c r="L288" i="1"/>
  <c r="M288" i="1"/>
  <c r="N288" i="1"/>
  <c r="O288" i="1"/>
  <c r="P288" i="1"/>
  <c r="Q288" i="1"/>
  <c r="R288" i="1"/>
  <c r="S288" i="1"/>
  <c r="T288" i="1"/>
  <c r="U288" i="1"/>
  <c r="V288" i="1"/>
  <c r="W288" i="1"/>
  <c r="X288" i="1"/>
  <c r="Y288" i="1"/>
  <c r="Z288" i="1"/>
  <c r="A289" i="1"/>
  <c r="B289" i="1"/>
  <c r="C289" i="1"/>
  <c r="D289" i="1"/>
  <c r="E289" i="1"/>
  <c r="F289" i="1"/>
  <c r="G289" i="1"/>
  <c r="I289" i="1"/>
  <c r="J289" i="1"/>
  <c r="K289" i="1"/>
  <c r="L289" i="1"/>
  <c r="M289" i="1"/>
  <c r="N289" i="1"/>
  <c r="O289" i="1"/>
  <c r="P289" i="1"/>
  <c r="Q289" i="1"/>
  <c r="R289" i="1"/>
  <c r="S289" i="1"/>
  <c r="T289" i="1"/>
  <c r="U289" i="1"/>
  <c r="V289" i="1"/>
  <c r="W289" i="1"/>
  <c r="X289" i="1"/>
  <c r="Y289" i="1"/>
  <c r="Z289" i="1"/>
  <c r="A290" i="1"/>
  <c r="B290" i="1"/>
  <c r="C290" i="1"/>
  <c r="D290" i="1"/>
  <c r="E290" i="1"/>
  <c r="F290" i="1"/>
  <c r="G290" i="1"/>
  <c r="I290" i="1"/>
  <c r="J290" i="1"/>
  <c r="K290" i="1"/>
  <c r="L290" i="1"/>
  <c r="M290" i="1"/>
  <c r="N290" i="1"/>
  <c r="O290" i="1"/>
  <c r="P290" i="1"/>
  <c r="Q290" i="1"/>
  <c r="R290" i="1"/>
  <c r="S290" i="1"/>
  <c r="T290" i="1"/>
  <c r="U290" i="1"/>
  <c r="V290" i="1"/>
  <c r="W290" i="1"/>
  <c r="X290" i="1"/>
  <c r="Y290" i="1"/>
  <c r="Z290" i="1"/>
  <c r="A291" i="1"/>
  <c r="B291" i="1"/>
  <c r="C291" i="1"/>
  <c r="D291" i="1"/>
  <c r="E291" i="1"/>
  <c r="F291" i="1"/>
  <c r="G291" i="1"/>
  <c r="I291" i="1"/>
  <c r="J291" i="1"/>
  <c r="K291" i="1"/>
  <c r="L291" i="1"/>
  <c r="M291" i="1"/>
  <c r="N291" i="1"/>
  <c r="O291" i="1"/>
  <c r="P291" i="1"/>
  <c r="Q291" i="1"/>
  <c r="R291" i="1"/>
  <c r="S291" i="1"/>
  <c r="T291" i="1"/>
  <c r="U291" i="1"/>
  <c r="V291" i="1"/>
  <c r="W291" i="1"/>
  <c r="X291" i="1"/>
  <c r="Y291" i="1"/>
  <c r="Z291" i="1"/>
  <c r="A292" i="1"/>
  <c r="B292" i="1"/>
  <c r="C292" i="1"/>
  <c r="D292" i="1"/>
  <c r="E292" i="1"/>
  <c r="F292" i="1"/>
  <c r="G292" i="1"/>
  <c r="I292" i="1"/>
  <c r="J292" i="1"/>
  <c r="K292" i="1"/>
  <c r="L292" i="1"/>
  <c r="M292" i="1"/>
  <c r="N292" i="1"/>
  <c r="O292" i="1"/>
  <c r="P292" i="1"/>
  <c r="Q292" i="1"/>
  <c r="R292" i="1"/>
  <c r="S292" i="1"/>
  <c r="T292" i="1"/>
  <c r="U292" i="1"/>
  <c r="V292" i="1"/>
  <c r="W292" i="1"/>
  <c r="X292" i="1"/>
  <c r="Y292" i="1"/>
  <c r="Z292" i="1"/>
  <c r="A293" i="1"/>
  <c r="B293" i="1"/>
  <c r="C293" i="1"/>
  <c r="D293" i="1"/>
  <c r="E293" i="1"/>
  <c r="F293" i="1"/>
  <c r="G293" i="1"/>
  <c r="I293" i="1"/>
  <c r="J293" i="1"/>
  <c r="K293" i="1"/>
  <c r="L293" i="1"/>
  <c r="M293" i="1"/>
  <c r="N293" i="1"/>
  <c r="O293" i="1"/>
  <c r="P293" i="1"/>
  <c r="Q293" i="1"/>
  <c r="R293" i="1"/>
  <c r="S293" i="1"/>
  <c r="T293" i="1"/>
  <c r="U293" i="1"/>
  <c r="V293" i="1"/>
  <c r="W293" i="1"/>
  <c r="X293" i="1"/>
  <c r="Y293" i="1"/>
  <c r="Z293" i="1"/>
  <c r="A294" i="1"/>
  <c r="B294" i="1"/>
  <c r="C294" i="1"/>
  <c r="D294" i="1"/>
  <c r="E294" i="1"/>
  <c r="F294" i="1"/>
  <c r="G294" i="1"/>
  <c r="I294" i="1"/>
  <c r="J294" i="1"/>
  <c r="K294" i="1"/>
  <c r="L294" i="1"/>
  <c r="M294" i="1"/>
  <c r="N294" i="1"/>
  <c r="O294" i="1"/>
  <c r="P294" i="1"/>
  <c r="Q294" i="1"/>
  <c r="R294" i="1"/>
  <c r="S294" i="1"/>
  <c r="T294" i="1"/>
  <c r="U294" i="1"/>
  <c r="V294" i="1"/>
  <c r="W294" i="1"/>
  <c r="X294" i="1"/>
  <c r="Y294" i="1"/>
  <c r="Z294" i="1"/>
  <c r="A295" i="1"/>
  <c r="B295" i="1"/>
  <c r="C295" i="1"/>
  <c r="D295" i="1"/>
  <c r="E295" i="1"/>
  <c r="F295" i="1"/>
  <c r="G295" i="1"/>
  <c r="I295" i="1"/>
  <c r="J295" i="1"/>
  <c r="K295" i="1"/>
  <c r="L295" i="1"/>
  <c r="M295" i="1"/>
  <c r="N295" i="1"/>
  <c r="O295" i="1"/>
  <c r="P295" i="1"/>
  <c r="Q295" i="1"/>
  <c r="R295" i="1"/>
  <c r="S295" i="1"/>
  <c r="T295" i="1"/>
  <c r="U295" i="1"/>
  <c r="V295" i="1"/>
  <c r="W295" i="1"/>
  <c r="X295" i="1"/>
  <c r="Y295" i="1"/>
  <c r="Z295" i="1"/>
  <c r="A296" i="1"/>
  <c r="B296" i="1"/>
  <c r="C296" i="1"/>
  <c r="D296" i="1"/>
  <c r="E296" i="1"/>
  <c r="F296" i="1"/>
  <c r="G296" i="1"/>
  <c r="I296" i="1"/>
  <c r="J296" i="1"/>
  <c r="K296" i="1"/>
  <c r="L296" i="1"/>
  <c r="M296" i="1"/>
  <c r="N296" i="1"/>
  <c r="O296" i="1"/>
  <c r="P296" i="1"/>
  <c r="Q296" i="1"/>
  <c r="R296" i="1"/>
  <c r="S296" i="1"/>
  <c r="T296" i="1"/>
  <c r="U296" i="1"/>
  <c r="V296" i="1"/>
  <c r="W296" i="1"/>
  <c r="X296" i="1"/>
  <c r="Y296" i="1"/>
  <c r="Z296" i="1"/>
  <c r="A297" i="1"/>
  <c r="B297" i="1"/>
  <c r="C297" i="1"/>
  <c r="D297" i="1"/>
  <c r="E297" i="1"/>
  <c r="F297" i="1"/>
  <c r="G297" i="1"/>
  <c r="I297" i="1"/>
  <c r="J297" i="1"/>
  <c r="K297" i="1"/>
  <c r="L297" i="1"/>
  <c r="M297" i="1"/>
  <c r="N297" i="1"/>
  <c r="O297" i="1"/>
  <c r="P297" i="1"/>
  <c r="Q297" i="1"/>
  <c r="R297" i="1"/>
  <c r="S297" i="1"/>
  <c r="T297" i="1"/>
  <c r="U297" i="1"/>
  <c r="V297" i="1"/>
  <c r="W297" i="1"/>
  <c r="X297" i="1"/>
  <c r="Y297" i="1"/>
  <c r="Z297" i="1"/>
  <c r="A298" i="1"/>
  <c r="B298" i="1"/>
  <c r="C298" i="1"/>
  <c r="D298" i="1"/>
  <c r="E298" i="1"/>
  <c r="F298" i="1"/>
  <c r="G298" i="1"/>
  <c r="I298" i="1"/>
  <c r="J298" i="1"/>
  <c r="K298" i="1"/>
  <c r="L298" i="1"/>
  <c r="M298" i="1"/>
  <c r="N298" i="1"/>
  <c r="O298" i="1"/>
  <c r="P298" i="1"/>
  <c r="Q298" i="1"/>
  <c r="R298" i="1"/>
  <c r="S298" i="1"/>
  <c r="T298" i="1"/>
  <c r="U298" i="1"/>
  <c r="V298" i="1"/>
  <c r="W298" i="1"/>
  <c r="X298" i="1"/>
  <c r="Y298" i="1"/>
  <c r="Z298" i="1"/>
  <c r="A299" i="1"/>
  <c r="B299" i="1"/>
  <c r="C299" i="1"/>
  <c r="D299" i="1"/>
  <c r="E299" i="1"/>
  <c r="F299" i="1"/>
  <c r="G299" i="1"/>
  <c r="I299" i="1"/>
  <c r="J299" i="1"/>
  <c r="K299" i="1"/>
  <c r="L299" i="1"/>
  <c r="M299" i="1"/>
  <c r="N299" i="1"/>
  <c r="O299" i="1"/>
  <c r="P299" i="1"/>
  <c r="Q299" i="1"/>
  <c r="R299" i="1"/>
  <c r="S299" i="1"/>
  <c r="T299" i="1"/>
  <c r="U299" i="1"/>
  <c r="V299" i="1"/>
  <c r="W299" i="1"/>
  <c r="X299" i="1"/>
  <c r="Y299" i="1"/>
  <c r="Z299" i="1"/>
  <c r="A300" i="1"/>
  <c r="B300" i="1"/>
  <c r="C300" i="1"/>
  <c r="D300" i="1"/>
  <c r="E300" i="1"/>
  <c r="F300" i="1"/>
  <c r="G300" i="1"/>
  <c r="I300" i="1"/>
  <c r="J300" i="1"/>
  <c r="K300" i="1"/>
  <c r="L300" i="1"/>
  <c r="M300" i="1"/>
  <c r="N300" i="1"/>
  <c r="O300" i="1"/>
  <c r="P300" i="1"/>
  <c r="Q300" i="1"/>
  <c r="R300" i="1"/>
  <c r="S300" i="1"/>
  <c r="T300" i="1"/>
  <c r="U300" i="1"/>
  <c r="V300" i="1"/>
  <c r="W300" i="1"/>
  <c r="X300" i="1"/>
  <c r="Y300" i="1"/>
  <c r="Z300" i="1"/>
  <c r="A301" i="1"/>
  <c r="B301" i="1"/>
  <c r="C301" i="1"/>
  <c r="D301" i="1"/>
  <c r="E301" i="1"/>
  <c r="F301" i="1"/>
  <c r="G301" i="1"/>
  <c r="I301" i="1"/>
  <c r="J301" i="1"/>
  <c r="K301" i="1"/>
  <c r="L301" i="1"/>
  <c r="M301" i="1"/>
  <c r="N301" i="1"/>
  <c r="O301" i="1"/>
  <c r="P301" i="1"/>
  <c r="Q301" i="1"/>
  <c r="R301" i="1"/>
  <c r="S301" i="1"/>
  <c r="T301" i="1"/>
  <c r="U301" i="1"/>
  <c r="V301" i="1"/>
  <c r="W301" i="1"/>
  <c r="X301" i="1"/>
  <c r="Y301" i="1"/>
  <c r="Z301" i="1"/>
  <c r="A302" i="1"/>
  <c r="B302" i="1"/>
  <c r="C302" i="1"/>
  <c r="D302" i="1"/>
  <c r="E302" i="1"/>
  <c r="F302" i="1"/>
  <c r="G302" i="1"/>
  <c r="I302" i="1"/>
  <c r="J302" i="1"/>
  <c r="K302" i="1"/>
  <c r="L302" i="1"/>
  <c r="M302" i="1"/>
  <c r="N302" i="1"/>
  <c r="O302" i="1"/>
  <c r="P302" i="1"/>
  <c r="Q302" i="1"/>
  <c r="R302" i="1"/>
  <c r="S302" i="1"/>
  <c r="T302" i="1"/>
  <c r="U302" i="1"/>
  <c r="V302" i="1"/>
  <c r="W302" i="1"/>
  <c r="X302" i="1"/>
  <c r="Y302" i="1"/>
  <c r="Z302" i="1"/>
  <c r="A303" i="1"/>
  <c r="B303" i="1"/>
  <c r="C303" i="1"/>
  <c r="D303" i="1"/>
  <c r="E303" i="1"/>
  <c r="F303" i="1"/>
  <c r="G303" i="1"/>
  <c r="I303" i="1"/>
  <c r="J303" i="1"/>
  <c r="K303" i="1"/>
  <c r="L303" i="1"/>
  <c r="M303" i="1"/>
  <c r="N303" i="1"/>
  <c r="O303" i="1"/>
  <c r="P303" i="1"/>
  <c r="Q303" i="1"/>
  <c r="R303" i="1"/>
  <c r="S303" i="1"/>
  <c r="T303" i="1"/>
  <c r="U303" i="1"/>
  <c r="V303" i="1"/>
  <c r="W303" i="1"/>
  <c r="X303" i="1"/>
  <c r="Y303" i="1"/>
  <c r="Z303" i="1"/>
  <c r="A304" i="1"/>
  <c r="B304" i="1"/>
  <c r="C304" i="1"/>
  <c r="D304" i="1"/>
  <c r="E304" i="1"/>
  <c r="F304" i="1"/>
  <c r="G304" i="1"/>
  <c r="I304" i="1"/>
  <c r="J304" i="1"/>
  <c r="K304" i="1"/>
  <c r="L304" i="1"/>
  <c r="M304" i="1"/>
  <c r="N304" i="1"/>
  <c r="O304" i="1"/>
  <c r="P304" i="1"/>
  <c r="Q304" i="1"/>
  <c r="R304" i="1"/>
  <c r="S304" i="1"/>
  <c r="T304" i="1"/>
  <c r="U304" i="1"/>
  <c r="V304" i="1"/>
  <c r="W304" i="1"/>
  <c r="X304" i="1"/>
  <c r="Y304" i="1"/>
  <c r="Z304" i="1"/>
  <c r="A305" i="1"/>
  <c r="B305" i="1"/>
  <c r="C305" i="1"/>
  <c r="D305" i="1"/>
  <c r="E305" i="1"/>
  <c r="F305" i="1"/>
  <c r="G305" i="1"/>
  <c r="I305" i="1"/>
  <c r="J305" i="1"/>
  <c r="K305" i="1"/>
  <c r="L305" i="1"/>
  <c r="M305" i="1"/>
  <c r="N305" i="1"/>
  <c r="O305" i="1"/>
  <c r="P305" i="1"/>
  <c r="Q305" i="1"/>
  <c r="R305" i="1"/>
  <c r="S305" i="1"/>
  <c r="T305" i="1"/>
  <c r="U305" i="1"/>
  <c r="V305" i="1"/>
  <c r="W305" i="1"/>
  <c r="X305" i="1"/>
  <c r="Y305" i="1"/>
  <c r="Z305" i="1"/>
  <c r="A306" i="1"/>
  <c r="B306" i="1"/>
  <c r="C306" i="1"/>
  <c r="D306" i="1"/>
  <c r="E306" i="1"/>
  <c r="F306" i="1"/>
  <c r="G306" i="1"/>
  <c r="I306" i="1"/>
  <c r="J306" i="1"/>
  <c r="K306" i="1"/>
  <c r="L306" i="1"/>
  <c r="M306" i="1"/>
  <c r="N306" i="1"/>
  <c r="O306" i="1"/>
  <c r="P306" i="1"/>
  <c r="Q306" i="1"/>
  <c r="R306" i="1"/>
  <c r="S306" i="1"/>
  <c r="T306" i="1"/>
  <c r="U306" i="1"/>
  <c r="V306" i="1"/>
  <c r="W306" i="1"/>
  <c r="X306" i="1"/>
  <c r="Y306" i="1"/>
  <c r="Z306" i="1"/>
  <c r="A307" i="1"/>
  <c r="B307" i="1"/>
  <c r="C307" i="1"/>
  <c r="D307" i="1"/>
  <c r="E307" i="1"/>
  <c r="F307" i="1"/>
  <c r="G307" i="1"/>
  <c r="I307" i="1"/>
  <c r="J307" i="1"/>
  <c r="K307" i="1"/>
  <c r="L307" i="1"/>
  <c r="M307" i="1"/>
  <c r="N307" i="1"/>
  <c r="O307" i="1"/>
  <c r="P307" i="1"/>
  <c r="Q307" i="1"/>
  <c r="R307" i="1"/>
  <c r="S307" i="1"/>
  <c r="T307" i="1"/>
  <c r="U307" i="1"/>
  <c r="V307" i="1"/>
  <c r="W307" i="1"/>
  <c r="X307" i="1"/>
  <c r="Y307" i="1"/>
  <c r="Z307" i="1"/>
  <c r="A308" i="1"/>
  <c r="B308" i="1"/>
  <c r="C308" i="1"/>
  <c r="D308" i="1"/>
  <c r="E308" i="1"/>
  <c r="F308" i="1"/>
  <c r="G308" i="1"/>
  <c r="I308" i="1"/>
  <c r="J308" i="1"/>
  <c r="K308" i="1"/>
  <c r="L308" i="1"/>
  <c r="M308" i="1"/>
  <c r="N308" i="1"/>
  <c r="O308" i="1"/>
  <c r="P308" i="1"/>
  <c r="Q308" i="1"/>
  <c r="R308" i="1"/>
  <c r="S308" i="1"/>
  <c r="T308" i="1"/>
  <c r="U308" i="1"/>
  <c r="V308" i="1"/>
  <c r="W308" i="1"/>
  <c r="X308" i="1"/>
  <c r="Y308" i="1"/>
  <c r="Z308" i="1"/>
  <c r="A309" i="1"/>
  <c r="B309" i="1"/>
  <c r="C309" i="1"/>
  <c r="D309" i="1"/>
  <c r="E309" i="1"/>
  <c r="F309" i="1"/>
  <c r="G309" i="1"/>
  <c r="I309" i="1"/>
  <c r="J309" i="1"/>
  <c r="K309" i="1"/>
  <c r="L309" i="1"/>
  <c r="M309" i="1"/>
  <c r="N309" i="1"/>
  <c r="O309" i="1"/>
  <c r="P309" i="1"/>
  <c r="Q309" i="1"/>
  <c r="R309" i="1"/>
  <c r="S309" i="1"/>
  <c r="T309" i="1"/>
  <c r="U309" i="1"/>
  <c r="V309" i="1"/>
  <c r="W309" i="1"/>
  <c r="X309" i="1"/>
  <c r="Y309" i="1"/>
  <c r="Z309" i="1"/>
  <c r="A310" i="1"/>
  <c r="B310" i="1"/>
  <c r="C310" i="1"/>
  <c r="D310" i="1"/>
  <c r="E310" i="1"/>
  <c r="F310" i="1"/>
  <c r="G310" i="1"/>
  <c r="I310" i="1"/>
  <c r="J310" i="1"/>
  <c r="K310" i="1"/>
  <c r="L310" i="1"/>
  <c r="M310" i="1"/>
  <c r="N310" i="1"/>
  <c r="O310" i="1"/>
  <c r="P310" i="1"/>
  <c r="Q310" i="1"/>
  <c r="R310" i="1"/>
  <c r="S310" i="1"/>
  <c r="T310" i="1"/>
  <c r="U310" i="1"/>
  <c r="V310" i="1"/>
  <c r="W310" i="1"/>
  <c r="X310" i="1"/>
  <c r="Y310" i="1"/>
  <c r="Z310" i="1"/>
  <c r="A311" i="1"/>
  <c r="B311" i="1"/>
  <c r="C311" i="1"/>
  <c r="D311" i="1"/>
  <c r="E311" i="1"/>
  <c r="F311" i="1"/>
  <c r="G311" i="1"/>
  <c r="I311" i="1"/>
  <c r="J311" i="1"/>
  <c r="K311" i="1"/>
  <c r="L311" i="1"/>
  <c r="M311" i="1"/>
  <c r="N311" i="1"/>
  <c r="O311" i="1"/>
  <c r="P311" i="1"/>
  <c r="Q311" i="1"/>
  <c r="R311" i="1"/>
  <c r="S311" i="1"/>
  <c r="T311" i="1"/>
  <c r="U311" i="1"/>
  <c r="V311" i="1"/>
  <c r="W311" i="1"/>
  <c r="X311" i="1"/>
  <c r="Y311" i="1"/>
  <c r="Z311" i="1"/>
  <c r="A312" i="1"/>
  <c r="B312" i="1"/>
  <c r="C312" i="1"/>
  <c r="D312" i="1"/>
  <c r="E312" i="1"/>
  <c r="F312" i="1"/>
  <c r="G312" i="1"/>
  <c r="I312" i="1"/>
  <c r="J312" i="1"/>
  <c r="K312" i="1"/>
  <c r="L312" i="1"/>
  <c r="M312" i="1"/>
  <c r="N312" i="1"/>
  <c r="O312" i="1"/>
  <c r="P312" i="1"/>
  <c r="Q312" i="1"/>
  <c r="R312" i="1"/>
  <c r="S312" i="1"/>
  <c r="T312" i="1"/>
  <c r="U312" i="1"/>
  <c r="V312" i="1"/>
  <c r="W312" i="1"/>
  <c r="X312" i="1"/>
  <c r="Y312" i="1"/>
  <c r="Z312" i="1"/>
  <c r="A313" i="1"/>
  <c r="B313" i="1"/>
  <c r="C313" i="1"/>
  <c r="D313" i="1"/>
  <c r="E313" i="1"/>
  <c r="F313" i="1"/>
  <c r="G313" i="1"/>
  <c r="I313" i="1"/>
  <c r="J313" i="1"/>
  <c r="K313" i="1"/>
  <c r="L313" i="1"/>
  <c r="M313" i="1"/>
  <c r="N313" i="1"/>
  <c r="O313" i="1"/>
  <c r="P313" i="1"/>
  <c r="Q313" i="1"/>
  <c r="R313" i="1"/>
  <c r="S313" i="1"/>
  <c r="T313" i="1"/>
  <c r="U313" i="1"/>
  <c r="V313" i="1"/>
  <c r="W313" i="1"/>
  <c r="X313" i="1"/>
  <c r="Y313" i="1"/>
  <c r="Z313" i="1"/>
  <c r="A314" i="1"/>
  <c r="B314" i="1"/>
  <c r="C314" i="1"/>
  <c r="D314" i="1"/>
  <c r="E314" i="1"/>
  <c r="F314" i="1"/>
  <c r="G314" i="1"/>
  <c r="I314" i="1"/>
  <c r="J314" i="1"/>
  <c r="K314" i="1"/>
  <c r="L314" i="1"/>
  <c r="M314" i="1"/>
  <c r="N314" i="1"/>
  <c r="O314" i="1"/>
  <c r="P314" i="1"/>
  <c r="Q314" i="1"/>
  <c r="R314" i="1"/>
  <c r="S314" i="1"/>
  <c r="T314" i="1"/>
  <c r="U314" i="1"/>
  <c r="V314" i="1"/>
  <c r="W314" i="1"/>
  <c r="X314" i="1"/>
  <c r="Y314" i="1"/>
  <c r="Z314" i="1"/>
  <c r="A315" i="1"/>
  <c r="B315" i="1"/>
  <c r="C315" i="1"/>
  <c r="D315" i="1"/>
  <c r="E315" i="1"/>
  <c r="F315" i="1"/>
  <c r="G315" i="1"/>
  <c r="I315" i="1"/>
  <c r="J315" i="1"/>
  <c r="K315" i="1"/>
  <c r="L315" i="1"/>
  <c r="M315" i="1"/>
  <c r="N315" i="1"/>
  <c r="O315" i="1"/>
  <c r="P315" i="1"/>
  <c r="Q315" i="1"/>
  <c r="R315" i="1"/>
  <c r="S315" i="1"/>
  <c r="T315" i="1"/>
  <c r="U315" i="1"/>
  <c r="V315" i="1"/>
  <c r="W315" i="1"/>
  <c r="X315" i="1"/>
  <c r="Y315" i="1"/>
  <c r="Z315" i="1"/>
  <c r="A316" i="1"/>
  <c r="B316" i="1"/>
  <c r="C316" i="1"/>
  <c r="D316" i="1"/>
  <c r="E316" i="1"/>
  <c r="F316" i="1"/>
  <c r="G316" i="1"/>
  <c r="I316" i="1"/>
  <c r="J316" i="1"/>
  <c r="K316" i="1"/>
  <c r="L316" i="1"/>
  <c r="M316" i="1"/>
  <c r="N316" i="1"/>
  <c r="O316" i="1"/>
  <c r="P316" i="1"/>
  <c r="Q316" i="1"/>
  <c r="R316" i="1"/>
  <c r="S316" i="1"/>
  <c r="T316" i="1"/>
  <c r="U316" i="1"/>
  <c r="V316" i="1"/>
  <c r="W316" i="1"/>
  <c r="X316" i="1"/>
  <c r="Y316" i="1"/>
  <c r="Z316" i="1"/>
  <c r="A317" i="1"/>
  <c r="B317" i="1"/>
  <c r="C317" i="1"/>
  <c r="D317" i="1"/>
  <c r="E317" i="1"/>
  <c r="F317" i="1"/>
  <c r="G317" i="1"/>
  <c r="I317" i="1"/>
  <c r="J317" i="1"/>
  <c r="K317" i="1"/>
  <c r="L317" i="1"/>
  <c r="M317" i="1"/>
  <c r="N317" i="1"/>
  <c r="O317" i="1"/>
  <c r="P317" i="1"/>
  <c r="Q317" i="1"/>
  <c r="R317" i="1"/>
  <c r="S317" i="1"/>
  <c r="T317" i="1"/>
  <c r="U317" i="1"/>
  <c r="V317" i="1"/>
  <c r="W317" i="1"/>
  <c r="X317" i="1"/>
  <c r="Y317" i="1"/>
  <c r="Z317" i="1"/>
  <c r="A318" i="1"/>
  <c r="B318" i="1"/>
  <c r="C318" i="1"/>
  <c r="D318" i="1"/>
  <c r="E318" i="1"/>
  <c r="F318" i="1"/>
  <c r="G318" i="1"/>
  <c r="I318" i="1"/>
  <c r="J318" i="1"/>
  <c r="K318" i="1"/>
  <c r="L318" i="1"/>
  <c r="M318" i="1"/>
  <c r="N318" i="1"/>
  <c r="O318" i="1"/>
  <c r="P318" i="1"/>
  <c r="Q318" i="1"/>
  <c r="R318" i="1"/>
  <c r="S318" i="1"/>
  <c r="T318" i="1"/>
  <c r="U318" i="1"/>
  <c r="V318" i="1"/>
  <c r="W318" i="1"/>
  <c r="X318" i="1"/>
  <c r="Y318" i="1"/>
  <c r="Z318" i="1"/>
  <c r="A319" i="1"/>
  <c r="B319" i="1"/>
  <c r="C319" i="1"/>
  <c r="D319" i="1"/>
  <c r="E319" i="1"/>
  <c r="F319" i="1"/>
  <c r="G319" i="1"/>
  <c r="I319" i="1"/>
  <c r="J319" i="1"/>
  <c r="K319" i="1"/>
  <c r="L319" i="1"/>
  <c r="M319" i="1"/>
  <c r="N319" i="1"/>
  <c r="O319" i="1"/>
  <c r="P319" i="1"/>
  <c r="Q319" i="1"/>
  <c r="R319" i="1"/>
  <c r="S319" i="1"/>
  <c r="T319" i="1"/>
  <c r="U319" i="1"/>
  <c r="V319" i="1"/>
  <c r="W319" i="1"/>
  <c r="X319" i="1"/>
  <c r="Y319" i="1"/>
  <c r="Z319" i="1"/>
  <c r="A320" i="1"/>
  <c r="B320" i="1"/>
  <c r="C320" i="1"/>
  <c r="D320" i="1"/>
  <c r="E320" i="1"/>
  <c r="F320" i="1"/>
  <c r="G320" i="1"/>
  <c r="I320" i="1"/>
  <c r="J320" i="1"/>
  <c r="K320" i="1"/>
  <c r="L320" i="1"/>
  <c r="M320" i="1"/>
  <c r="N320" i="1"/>
  <c r="O320" i="1"/>
  <c r="P320" i="1"/>
  <c r="Q320" i="1"/>
  <c r="R320" i="1"/>
  <c r="S320" i="1"/>
  <c r="T320" i="1"/>
  <c r="U320" i="1"/>
  <c r="V320" i="1"/>
  <c r="W320" i="1"/>
  <c r="X320" i="1"/>
  <c r="Y320" i="1"/>
  <c r="Z320" i="1"/>
  <c r="A321" i="1"/>
  <c r="B321" i="1"/>
  <c r="C321" i="1"/>
  <c r="D321" i="1"/>
  <c r="E321" i="1"/>
  <c r="F321" i="1"/>
  <c r="G321" i="1"/>
  <c r="I321" i="1"/>
  <c r="J321" i="1"/>
  <c r="K321" i="1"/>
  <c r="L321" i="1"/>
  <c r="M321" i="1"/>
  <c r="N321" i="1"/>
  <c r="O321" i="1"/>
  <c r="P321" i="1"/>
  <c r="Q321" i="1"/>
  <c r="R321" i="1"/>
  <c r="S321" i="1"/>
  <c r="T321" i="1"/>
  <c r="U321" i="1"/>
  <c r="V321" i="1"/>
  <c r="W321" i="1"/>
  <c r="X321" i="1"/>
  <c r="Y321" i="1"/>
  <c r="Z321" i="1"/>
  <c r="A322" i="1"/>
  <c r="B322" i="1"/>
  <c r="C322" i="1"/>
  <c r="D322" i="1"/>
  <c r="E322" i="1"/>
  <c r="F322" i="1"/>
  <c r="G322" i="1"/>
  <c r="I322" i="1"/>
  <c r="J322" i="1"/>
  <c r="K322" i="1"/>
  <c r="L322" i="1"/>
  <c r="M322" i="1"/>
  <c r="N322" i="1"/>
  <c r="O322" i="1"/>
  <c r="P322" i="1"/>
  <c r="Q322" i="1"/>
  <c r="R322" i="1"/>
  <c r="S322" i="1"/>
  <c r="T322" i="1"/>
  <c r="U322" i="1"/>
  <c r="V322" i="1"/>
  <c r="W322" i="1"/>
  <c r="X322" i="1"/>
  <c r="Y322" i="1"/>
  <c r="Z322" i="1"/>
  <c r="A323" i="1"/>
  <c r="B323" i="1"/>
  <c r="C323" i="1"/>
  <c r="D323" i="1"/>
  <c r="E323" i="1"/>
  <c r="F323" i="1"/>
  <c r="G323" i="1"/>
  <c r="I323" i="1"/>
  <c r="J323" i="1"/>
  <c r="K323" i="1"/>
  <c r="L323" i="1"/>
  <c r="M323" i="1"/>
  <c r="N323" i="1"/>
  <c r="O323" i="1"/>
  <c r="P323" i="1"/>
  <c r="Q323" i="1"/>
  <c r="R323" i="1"/>
  <c r="S323" i="1"/>
  <c r="T323" i="1"/>
  <c r="U323" i="1"/>
  <c r="V323" i="1"/>
  <c r="W323" i="1"/>
  <c r="X323" i="1"/>
  <c r="Y323" i="1"/>
  <c r="Z323" i="1"/>
  <c r="A324" i="1"/>
  <c r="B324" i="1"/>
  <c r="C324" i="1"/>
  <c r="D324" i="1"/>
  <c r="E324" i="1"/>
  <c r="F324" i="1"/>
  <c r="G324" i="1"/>
  <c r="I324" i="1"/>
  <c r="J324" i="1"/>
  <c r="K324" i="1"/>
  <c r="L324" i="1"/>
  <c r="M324" i="1"/>
  <c r="N324" i="1"/>
  <c r="O324" i="1"/>
  <c r="P324" i="1"/>
  <c r="Q324" i="1"/>
  <c r="R324" i="1"/>
  <c r="S324" i="1"/>
  <c r="T324" i="1"/>
  <c r="U324" i="1"/>
  <c r="V324" i="1"/>
  <c r="W324" i="1"/>
  <c r="X324" i="1"/>
  <c r="Y324" i="1"/>
  <c r="Z324" i="1"/>
  <c r="A325" i="1"/>
  <c r="B325" i="1"/>
  <c r="C325" i="1"/>
  <c r="D325" i="1"/>
  <c r="E325" i="1"/>
  <c r="F325" i="1"/>
  <c r="G325" i="1"/>
  <c r="I325" i="1"/>
  <c r="J325" i="1"/>
  <c r="K325" i="1"/>
  <c r="L325" i="1"/>
  <c r="M325" i="1"/>
  <c r="N325" i="1"/>
  <c r="O325" i="1"/>
  <c r="P325" i="1"/>
  <c r="Q325" i="1"/>
  <c r="R325" i="1"/>
  <c r="S325" i="1"/>
  <c r="T325" i="1"/>
  <c r="U325" i="1"/>
  <c r="V325" i="1"/>
  <c r="W325" i="1"/>
  <c r="X325" i="1"/>
  <c r="Y325" i="1"/>
  <c r="Z325" i="1"/>
  <c r="A326" i="1"/>
  <c r="B326" i="1"/>
  <c r="C326" i="1"/>
  <c r="D326" i="1"/>
  <c r="E326" i="1"/>
  <c r="F326" i="1"/>
  <c r="G326" i="1"/>
  <c r="I326" i="1"/>
  <c r="J326" i="1"/>
  <c r="K326" i="1"/>
  <c r="L326" i="1"/>
  <c r="M326" i="1"/>
  <c r="N326" i="1"/>
  <c r="O326" i="1"/>
  <c r="P326" i="1"/>
  <c r="Q326" i="1"/>
  <c r="R326" i="1"/>
  <c r="S326" i="1"/>
  <c r="T326" i="1"/>
  <c r="U326" i="1"/>
  <c r="V326" i="1"/>
  <c r="W326" i="1"/>
  <c r="X326" i="1"/>
  <c r="Y326" i="1"/>
  <c r="Z326" i="1"/>
  <c r="A327" i="1"/>
  <c r="B327" i="1"/>
  <c r="C327" i="1"/>
  <c r="D327" i="1"/>
  <c r="E327" i="1"/>
  <c r="F327" i="1"/>
  <c r="G327" i="1"/>
  <c r="I327" i="1"/>
  <c r="J327" i="1"/>
  <c r="K327" i="1"/>
  <c r="L327" i="1"/>
  <c r="M327" i="1"/>
  <c r="N327" i="1"/>
  <c r="O327" i="1"/>
  <c r="P327" i="1"/>
  <c r="Q327" i="1"/>
  <c r="R327" i="1"/>
  <c r="S327" i="1"/>
  <c r="T327" i="1"/>
  <c r="U327" i="1"/>
  <c r="V327" i="1"/>
  <c r="W327" i="1"/>
  <c r="X327" i="1"/>
  <c r="Y327" i="1"/>
  <c r="Z327" i="1"/>
  <c r="A328" i="1"/>
  <c r="B328" i="1"/>
  <c r="C328" i="1"/>
  <c r="D328" i="1"/>
  <c r="E328" i="1"/>
  <c r="F328" i="1"/>
  <c r="G328" i="1"/>
  <c r="I328" i="1"/>
  <c r="J328" i="1"/>
  <c r="K328" i="1"/>
  <c r="L328" i="1"/>
  <c r="M328" i="1"/>
  <c r="N328" i="1"/>
  <c r="O328" i="1"/>
  <c r="P328" i="1"/>
  <c r="Q328" i="1"/>
  <c r="R328" i="1"/>
  <c r="S328" i="1"/>
  <c r="T328" i="1"/>
  <c r="U328" i="1"/>
  <c r="V328" i="1"/>
  <c r="W328" i="1"/>
  <c r="X328" i="1"/>
  <c r="Y328" i="1"/>
  <c r="Z328" i="1"/>
  <c r="A329" i="1"/>
  <c r="B329" i="1"/>
  <c r="C329" i="1"/>
  <c r="D329" i="1"/>
  <c r="E329" i="1"/>
  <c r="F329" i="1"/>
  <c r="G329" i="1"/>
  <c r="I329" i="1"/>
  <c r="J329" i="1"/>
  <c r="K329" i="1"/>
  <c r="L329" i="1"/>
  <c r="M329" i="1"/>
  <c r="N329" i="1"/>
  <c r="O329" i="1"/>
  <c r="P329" i="1"/>
  <c r="Q329" i="1"/>
  <c r="R329" i="1"/>
  <c r="S329" i="1"/>
  <c r="T329" i="1"/>
  <c r="U329" i="1"/>
  <c r="V329" i="1"/>
  <c r="W329" i="1"/>
  <c r="X329" i="1"/>
  <c r="Y329" i="1"/>
  <c r="Z329" i="1"/>
  <c r="A330" i="1"/>
  <c r="B330" i="1"/>
  <c r="C330" i="1"/>
  <c r="D330" i="1"/>
  <c r="E330" i="1"/>
  <c r="F330" i="1"/>
  <c r="G330" i="1"/>
  <c r="I330" i="1"/>
  <c r="J330" i="1"/>
  <c r="K330" i="1"/>
  <c r="L330" i="1"/>
  <c r="M330" i="1"/>
  <c r="N330" i="1"/>
  <c r="O330" i="1"/>
  <c r="P330" i="1"/>
  <c r="Q330" i="1"/>
  <c r="R330" i="1"/>
  <c r="S330" i="1"/>
  <c r="T330" i="1"/>
  <c r="U330" i="1"/>
  <c r="V330" i="1"/>
  <c r="W330" i="1"/>
  <c r="X330" i="1"/>
  <c r="Y330" i="1"/>
  <c r="Z330" i="1"/>
  <c r="A331" i="1"/>
  <c r="B331" i="1"/>
  <c r="C331" i="1"/>
  <c r="D331" i="1"/>
  <c r="E331" i="1"/>
  <c r="F331" i="1"/>
  <c r="G331" i="1"/>
  <c r="I331" i="1"/>
  <c r="J331" i="1"/>
  <c r="K331" i="1"/>
  <c r="L331" i="1"/>
  <c r="M331" i="1"/>
  <c r="N331" i="1"/>
  <c r="O331" i="1"/>
  <c r="P331" i="1"/>
  <c r="Q331" i="1"/>
  <c r="R331" i="1"/>
  <c r="S331" i="1"/>
  <c r="T331" i="1"/>
  <c r="U331" i="1"/>
  <c r="V331" i="1"/>
  <c r="W331" i="1"/>
  <c r="X331" i="1"/>
  <c r="Y331" i="1"/>
  <c r="Z331" i="1"/>
  <c r="A332" i="1"/>
  <c r="B332" i="1"/>
  <c r="C332" i="1"/>
  <c r="D332" i="1"/>
  <c r="E332" i="1"/>
  <c r="F332" i="1"/>
  <c r="G332" i="1"/>
  <c r="I332" i="1"/>
  <c r="J332" i="1"/>
  <c r="K332" i="1"/>
  <c r="L332" i="1"/>
  <c r="M332" i="1"/>
  <c r="N332" i="1"/>
  <c r="O332" i="1"/>
  <c r="P332" i="1"/>
  <c r="Q332" i="1"/>
  <c r="R332" i="1"/>
  <c r="S332" i="1"/>
  <c r="T332" i="1"/>
  <c r="U332" i="1"/>
  <c r="V332" i="1"/>
  <c r="W332" i="1"/>
  <c r="X332" i="1"/>
  <c r="Y332" i="1"/>
  <c r="Z332" i="1"/>
  <c r="A333" i="1"/>
  <c r="B333" i="1"/>
  <c r="C333" i="1"/>
  <c r="D333" i="1"/>
  <c r="E333" i="1"/>
  <c r="F333" i="1"/>
  <c r="G333" i="1"/>
  <c r="I333" i="1"/>
  <c r="J333" i="1"/>
  <c r="K333" i="1"/>
  <c r="L333" i="1"/>
  <c r="M333" i="1"/>
  <c r="N333" i="1"/>
  <c r="O333" i="1"/>
  <c r="P333" i="1"/>
  <c r="Q333" i="1"/>
  <c r="R333" i="1"/>
  <c r="S333" i="1"/>
  <c r="T333" i="1"/>
  <c r="U333" i="1"/>
  <c r="V333" i="1"/>
  <c r="W333" i="1"/>
  <c r="X333" i="1"/>
  <c r="Y333" i="1"/>
  <c r="Z333" i="1"/>
  <c r="A334" i="1"/>
  <c r="B334" i="1"/>
  <c r="C334" i="1"/>
  <c r="D334" i="1"/>
  <c r="E334" i="1"/>
  <c r="F334" i="1"/>
  <c r="G334" i="1"/>
  <c r="I334" i="1"/>
  <c r="J334" i="1"/>
  <c r="K334" i="1"/>
  <c r="L334" i="1"/>
  <c r="M334" i="1"/>
  <c r="N334" i="1"/>
  <c r="O334" i="1"/>
  <c r="P334" i="1"/>
  <c r="Q334" i="1"/>
  <c r="R334" i="1"/>
  <c r="S334" i="1"/>
  <c r="T334" i="1"/>
  <c r="U334" i="1"/>
  <c r="V334" i="1"/>
  <c r="W334" i="1"/>
  <c r="X334" i="1"/>
  <c r="Y334" i="1"/>
  <c r="Z334" i="1"/>
  <c r="A335" i="1"/>
  <c r="B335" i="1"/>
  <c r="C335" i="1"/>
  <c r="D335" i="1"/>
  <c r="E335" i="1"/>
  <c r="F335" i="1"/>
  <c r="G335" i="1"/>
  <c r="I335" i="1"/>
  <c r="J335" i="1"/>
  <c r="K335" i="1"/>
  <c r="L335" i="1"/>
  <c r="M335" i="1"/>
  <c r="N335" i="1"/>
  <c r="O335" i="1"/>
  <c r="P335" i="1"/>
  <c r="Q335" i="1"/>
  <c r="R335" i="1"/>
  <c r="S335" i="1"/>
  <c r="T335" i="1"/>
  <c r="U335" i="1"/>
  <c r="V335" i="1"/>
  <c r="W335" i="1"/>
  <c r="X335" i="1"/>
  <c r="Y335" i="1"/>
  <c r="Z335" i="1"/>
  <c r="A336" i="1"/>
  <c r="B336" i="1"/>
  <c r="C336" i="1"/>
  <c r="D336" i="1"/>
  <c r="E336" i="1"/>
  <c r="F336" i="1"/>
  <c r="G336" i="1"/>
  <c r="I336" i="1"/>
  <c r="J336" i="1"/>
  <c r="K336" i="1"/>
  <c r="L336" i="1"/>
  <c r="M336" i="1"/>
  <c r="N336" i="1"/>
  <c r="O336" i="1"/>
  <c r="P336" i="1"/>
  <c r="Q336" i="1"/>
  <c r="R336" i="1"/>
  <c r="S336" i="1"/>
  <c r="T336" i="1"/>
  <c r="U336" i="1"/>
  <c r="V336" i="1"/>
  <c r="W336" i="1"/>
  <c r="X336" i="1"/>
  <c r="Y336" i="1"/>
  <c r="Z336" i="1"/>
  <c r="A337" i="1"/>
  <c r="B337" i="1"/>
  <c r="C337" i="1"/>
  <c r="D337" i="1"/>
  <c r="E337" i="1"/>
  <c r="F337" i="1"/>
  <c r="G337" i="1"/>
  <c r="I337" i="1"/>
  <c r="J337" i="1"/>
  <c r="K337" i="1"/>
  <c r="L337" i="1"/>
  <c r="M337" i="1"/>
  <c r="N337" i="1"/>
  <c r="O337" i="1"/>
  <c r="P337" i="1"/>
  <c r="Q337" i="1"/>
  <c r="R337" i="1"/>
  <c r="S337" i="1"/>
  <c r="T337" i="1"/>
  <c r="U337" i="1"/>
  <c r="V337" i="1"/>
  <c r="W337" i="1"/>
  <c r="X337" i="1"/>
  <c r="Y337" i="1"/>
  <c r="Z337" i="1"/>
  <c r="A338" i="1"/>
  <c r="B338" i="1"/>
  <c r="C338" i="1"/>
  <c r="D338" i="1"/>
  <c r="E338" i="1"/>
  <c r="F338" i="1"/>
  <c r="G338" i="1"/>
  <c r="I338" i="1"/>
  <c r="J338" i="1"/>
  <c r="K338" i="1"/>
  <c r="L338" i="1"/>
  <c r="M338" i="1"/>
  <c r="N338" i="1"/>
  <c r="O338" i="1"/>
  <c r="P338" i="1"/>
  <c r="Q338" i="1"/>
  <c r="R338" i="1"/>
  <c r="S338" i="1"/>
  <c r="T338" i="1"/>
  <c r="U338" i="1"/>
  <c r="V338" i="1"/>
  <c r="W338" i="1"/>
  <c r="X338" i="1"/>
  <c r="Y338" i="1"/>
  <c r="Z338" i="1"/>
  <c r="A339" i="1"/>
  <c r="B339" i="1"/>
  <c r="C339" i="1"/>
  <c r="D339" i="1"/>
  <c r="E339" i="1"/>
  <c r="F339" i="1"/>
  <c r="G339" i="1"/>
  <c r="I339" i="1"/>
  <c r="J339" i="1"/>
  <c r="K339" i="1"/>
  <c r="L339" i="1"/>
  <c r="M339" i="1"/>
  <c r="N339" i="1"/>
  <c r="O339" i="1"/>
  <c r="P339" i="1"/>
  <c r="Q339" i="1"/>
  <c r="R339" i="1"/>
  <c r="S339" i="1"/>
  <c r="T339" i="1"/>
  <c r="U339" i="1"/>
  <c r="V339" i="1"/>
  <c r="W339" i="1"/>
  <c r="X339" i="1"/>
  <c r="Y339" i="1"/>
  <c r="Z339" i="1"/>
  <c r="A340" i="1"/>
  <c r="B340" i="1"/>
  <c r="C340" i="1"/>
  <c r="D340" i="1"/>
  <c r="E340" i="1"/>
  <c r="F340" i="1"/>
  <c r="G340" i="1"/>
  <c r="I340" i="1"/>
  <c r="J340" i="1"/>
  <c r="K340" i="1"/>
  <c r="L340" i="1"/>
  <c r="M340" i="1"/>
  <c r="N340" i="1"/>
  <c r="O340" i="1"/>
  <c r="P340" i="1"/>
  <c r="Q340" i="1"/>
  <c r="R340" i="1"/>
  <c r="S340" i="1"/>
  <c r="T340" i="1"/>
  <c r="U340" i="1"/>
  <c r="V340" i="1"/>
  <c r="W340" i="1"/>
  <c r="X340" i="1"/>
  <c r="Y340" i="1"/>
  <c r="Z340" i="1"/>
  <c r="A341" i="1"/>
  <c r="B341" i="1"/>
  <c r="C341" i="1"/>
  <c r="D341" i="1"/>
  <c r="E341" i="1"/>
  <c r="F341" i="1"/>
  <c r="G341" i="1"/>
  <c r="I341" i="1"/>
  <c r="J341" i="1"/>
  <c r="K341" i="1"/>
  <c r="L341" i="1"/>
  <c r="M341" i="1"/>
  <c r="N341" i="1"/>
  <c r="O341" i="1"/>
  <c r="P341" i="1"/>
  <c r="Q341" i="1"/>
  <c r="R341" i="1"/>
  <c r="S341" i="1"/>
  <c r="T341" i="1"/>
  <c r="U341" i="1"/>
  <c r="V341" i="1"/>
  <c r="W341" i="1"/>
  <c r="X341" i="1"/>
  <c r="Y341" i="1"/>
  <c r="Z341" i="1"/>
  <c r="A342" i="1"/>
  <c r="B342" i="1"/>
  <c r="C342" i="1"/>
  <c r="D342" i="1"/>
  <c r="E342" i="1"/>
  <c r="F342" i="1"/>
  <c r="G342" i="1"/>
  <c r="I342" i="1"/>
  <c r="J342" i="1"/>
  <c r="K342" i="1"/>
  <c r="L342" i="1"/>
  <c r="M342" i="1"/>
  <c r="N342" i="1"/>
  <c r="O342" i="1"/>
  <c r="P342" i="1"/>
  <c r="Q342" i="1"/>
  <c r="R342" i="1"/>
  <c r="S342" i="1"/>
  <c r="T342" i="1"/>
  <c r="U342" i="1"/>
  <c r="V342" i="1"/>
  <c r="W342" i="1"/>
  <c r="X342" i="1"/>
  <c r="Y342" i="1"/>
  <c r="Z342" i="1"/>
  <c r="A343" i="1"/>
  <c r="B343" i="1"/>
  <c r="C343" i="1"/>
  <c r="D343" i="1"/>
  <c r="E343" i="1"/>
  <c r="F343" i="1"/>
  <c r="G343" i="1"/>
  <c r="I343" i="1"/>
  <c r="J343" i="1"/>
  <c r="K343" i="1"/>
  <c r="L343" i="1"/>
  <c r="M343" i="1"/>
  <c r="N343" i="1"/>
  <c r="O343" i="1"/>
  <c r="P343" i="1"/>
  <c r="Q343" i="1"/>
  <c r="R343" i="1"/>
  <c r="S343" i="1"/>
  <c r="T343" i="1"/>
  <c r="U343" i="1"/>
  <c r="V343" i="1"/>
  <c r="W343" i="1"/>
  <c r="X343" i="1"/>
  <c r="Y343" i="1"/>
  <c r="Z343" i="1"/>
  <c r="A344" i="1"/>
  <c r="B344" i="1"/>
  <c r="C344" i="1"/>
  <c r="D344" i="1"/>
  <c r="E344" i="1"/>
  <c r="F344" i="1"/>
  <c r="G344" i="1"/>
  <c r="I344" i="1"/>
  <c r="J344" i="1"/>
  <c r="K344" i="1"/>
  <c r="L344" i="1"/>
  <c r="M344" i="1"/>
  <c r="N344" i="1"/>
  <c r="O344" i="1"/>
  <c r="P344" i="1"/>
  <c r="Q344" i="1"/>
  <c r="R344" i="1"/>
  <c r="S344" i="1"/>
  <c r="T344" i="1"/>
  <c r="U344" i="1"/>
  <c r="V344" i="1"/>
  <c r="W344" i="1"/>
  <c r="X344" i="1"/>
  <c r="Y344" i="1"/>
  <c r="Z344" i="1"/>
  <c r="A345" i="1"/>
  <c r="B345" i="1"/>
  <c r="C345" i="1"/>
  <c r="D345" i="1"/>
  <c r="E345" i="1"/>
  <c r="F345" i="1"/>
  <c r="G345" i="1"/>
  <c r="I345" i="1"/>
  <c r="J345" i="1"/>
  <c r="K345" i="1"/>
  <c r="L345" i="1"/>
  <c r="M345" i="1"/>
  <c r="N345" i="1"/>
  <c r="O345" i="1"/>
  <c r="P345" i="1"/>
  <c r="Q345" i="1"/>
  <c r="R345" i="1"/>
  <c r="S345" i="1"/>
  <c r="T345" i="1"/>
  <c r="U345" i="1"/>
  <c r="V345" i="1"/>
  <c r="W345" i="1"/>
  <c r="X345" i="1"/>
  <c r="Y345" i="1"/>
  <c r="Z345" i="1"/>
  <c r="A346" i="1"/>
  <c r="B346" i="1"/>
  <c r="C346" i="1"/>
  <c r="D346" i="1"/>
  <c r="E346" i="1"/>
  <c r="F346" i="1"/>
  <c r="G346" i="1"/>
  <c r="I346" i="1"/>
  <c r="J346" i="1"/>
  <c r="K346" i="1"/>
  <c r="L346" i="1"/>
  <c r="M346" i="1"/>
  <c r="N346" i="1"/>
  <c r="O346" i="1"/>
  <c r="P346" i="1"/>
  <c r="Q346" i="1"/>
  <c r="R346" i="1"/>
  <c r="S346" i="1"/>
  <c r="T346" i="1"/>
  <c r="U346" i="1"/>
  <c r="V346" i="1"/>
  <c r="W346" i="1"/>
  <c r="X346" i="1"/>
  <c r="Y346" i="1"/>
  <c r="Z346" i="1"/>
  <c r="A347" i="1"/>
  <c r="B347" i="1"/>
  <c r="C347" i="1"/>
  <c r="D347" i="1"/>
  <c r="E347" i="1"/>
  <c r="F347" i="1"/>
  <c r="G347" i="1"/>
  <c r="I347" i="1"/>
  <c r="J347" i="1"/>
  <c r="K347" i="1"/>
  <c r="L347" i="1"/>
  <c r="M347" i="1"/>
  <c r="N347" i="1"/>
  <c r="O347" i="1"/>
  <c r="P347" i="1"/>
  <c r="Q347" i="1"/>
  <c r="R347" i="1"/>
  <c r="S347" i="1"/>
  <c r="T347" i="1"/>
  <c r="U347" i="1"/>
  <c r="V347" i="1"/>
  <c r="W347" i="1"/>
  <c r="X347" i="1"/>
  <c r="Y347" i="1"/>
  <c r="Z347" i="1"/>
  <c r="A348" i="1"/>
  <c r="B348" i="1"/>
  <c r="C348" i="1"/>
  <c r="D348" i="1"/>
  <c r="E348" i="1"/>
  <c r="F348" i="1"/>
  <c r="G348" i="1"/>
  <c r="I348" i="1"/>
  <c r="J348" i="1"/>
  <c r="K348" i="1"/>
  <c r="L348" i="1"/>
  <c r="M348" i="1"/>
  <c r="N348" i="1"/>
  <c r="O348" i="1"/>
  <c r="P348" i="1"/>
  <c r="Q348" i="1"/>
  <c r="R348" i="1"/>
  <c r="S348" i="1"/>
  <c r="T348" i="1"/>
  <c r="U348" i="1"/>
  <c r="V348" i="1"/>
  <c r="W348" i="1"/>
  <c r="X348" i="1"/>
  <c r="Y348" i="1"/>
  <c r="Z348" i="1"/>
  <c r="A349" i="1"/>
  <c r="B349" i="1"/>
  <c r="C349" i="1"/>
  <c r="D349" i="1"/>
  <c r="E349" i="1"/>
  <c r="F349" i="1"/>
  <c r="G349" i="1"/>
  <c r="I349" i="1"/>
  <c r="J349" i="1"/>
  <c r="K349" i="1"/>
  <c r="L349" i="1"/>
  <c r="M349" i="1"/>
  <c r="N349" i="1"/>
  <c r="O349" i="1"/>
  <c r="P349" i="1"/>
  <c r="Q349" i="1"/>
  <c r="R349" i="1"/>
  <c r="S349" i="1"/>
  <c r="T349" i="1"/>
  <c r="U349" i="1"/>
  <c r="V349" i="1"/>
  <c r="W349" i="1"/>
  <c r="X349" i="1"/>
  <c r="Y349" i="1"/>
  <c r="Z349" i="1"/>
  <c r="A350" i="1"/>
  <c r="B350" i="1"/>
  <c r="C350" i="1"/>
  <c r="D350" i="1"/>
  <c r="E350" i="1"/>
  <c r="F350" i="1"/>
  <c r="G350" i="1"/>
  <c r="I350" i="1"/>
  <c r="J350" i="1"/>
  <c r="K350" i="1"/>
  <c r="L350" i="1"/>
  <c r="M350" i="1"/>
  <c r="N350" i="1"/>
  <c r="O350" i="1"/>
  <c r="P350" i="1"/>
  <c r="Q350" i="1"/>
  <c r="R350" i="1"/>
  <c r="S350" i="1"/>
  <c r="T350" i="1"/>
  <c r="U350" i="1"/>
  <c r="V350" i="1"/>
  <c r="W350" i="1"/>
  <c r="X350" i="1"/>
  <c r="Y350" i="1"/>
  <c r="Z350" i="1"/>
  <c r="A351" i="1"/>
  <c r="B351" i="1"/>
  <c r="C351" i="1"/>
  <c r="D351" i="1"/>
  <c r="E351" i="1"/>
  <c r="F351" i="1"/>
  <c r="G351" i="1"/>
  <c r="I351" i="1"/>
  <c r="J351" i="1"/>
  <c r="K351" i="1"/>
  <c r="L351" i="1"/>
  <c r="M351" i="1"/>
  <c r="N351" i="1"/>
  <c r="O351" i="1"/>
  <c r="P351" i="1"/>
  <c r="Q351" i="1"/>
  <c r="R351" i="1"/>
  <c r="S351" i="1"/>
  <c r="T351" i="1"/>
  <c r="U351" i="1"/>
  <c r="V351" i="1"/>
  <c r="W351" i="1"/>
  <c r="X351" i="1"/>
  <c r="Y351" i="1"/>
  <c r="Z351" i="1"/>
  <c r="A352" i="1"/>
  <c r="B352" i="1"/>
  <c r="C352" i="1"/>
  <c r="D352" i="1"/>
  <c r="E352" i="1"/>
  <c r="F352" i="1"/>
  <c r="G352" i="1"/>
  <c r="I352" i="1"/>
  <c r="J352" i="1"/>
  <c r="K352" i="1"/>
  <c r="L352" i="1"/>
  <c r="M352" i="1"/>
  <c r="N352" i="1"/>
  <c r="O352" i="1"/>
  <c r="P352" i="1"/>
  <c r="Q352" i="1"/>
  <c r="R352" i="1"/>
  <c r="S352" i="1"/>
  <c r="T352" i="1"/>
  <c r="U352" i="1"/>
  <c r="V352" i="1"/>
  <c r="W352" i="1"/>
  <c r="X352" i="1"/>
  <c r="Y352" i="1"/>
  <c r="Z352" i="1"/>
  <c r="A353" i="1"/>
  <c r="B353" i="1"/>
  <c r="C353" i="1"/>
  <c r="D353" i="1"/>
  <c r="E353" i="1"/>
  <c r="F353" i="1"/>
  <c r="G353" i="1"/>
  <c r="I353" i="1"/>
  <c r="J353" i="1"/>
  <c r="K353" i="1"/>
  <c r="L353" i="1"/>
  <c r="M353" i="1"/>
  <c r="N353" i="1"/>
  <c r="O353" i="1"/>
  <c r="P353" i="1"/>
  <c r="Q353" i="1"/>
  <c r="R353" i="1"/>
  <c r="S353" i="1"/>
  <c r="T353" i="1"/>
  <c r="U353" i="1"/>
  <c r="V353" i="1"/>
  <c r="W353" i="1"/>
  <c r="X353" i="1"/>
  <c r="Y353" i="1"/>
  <c r="Z353" i="1"/>
  <c r="A354" i="1"/>
  <c r="B354" i="1"/>
  <c r="C354" i="1"/>
  <c r="D354" i="1"/>
  <c r="E354" i="1"/>
  <c r="F354" i="1"/>
  <c r="G354" i="1"/>
  <c r="I354" i="1"/>
  <c r="J354" i="1"/>
  <c r="K354" i="1"/>
  <c r="L354" i="1"/>
  <c r="M354" i="1"/>
  <c r="N354" i="1"/>
  <c r="O354" i="1"/>
  <c r="P354" i="1"/>
  <c r="Q354" i="1"/>
  <c r="R354" i="1"/>
  <c r="S354" i="1"/>
  <c r="T354" i="1"/>
  <c r="U354" i="1"/>
  <c r="V354" i="1"/>
  <c r="W354" i="1"/>
  <c r="X354" i="1"/>
  <c r="Y354" i="1"/>
  <c r="Z354" i="1"/>
  <c r="A355" i="1"/>
  <c r="B355" i="1"/>
  <c r="C355" i="1"/>
  <c r="D355" i="1"/>
  <c r="E355" i="1"/>
  <c r="F355" i="1"/>
  <c r="G355" i="1"/>
  <c r="I355" i="1"/>
  <c r="J355" i="1"/>
  <c r="K355" i="1"/>
  <c r="L355" i="1"/>
  <c r="M355" i="1"/>
  <c r="N355" i="1"/>
  <c r="O355" i="1"/>
  <c r="P355" i="1"/>
  <c r="Q355" i="1"/>
  <c r="R355" i="1"/>
  <c r="S355" i="1"/>
  <c r="T355" i="1"/>
  <c r="U355" i="1"/>
  <c r="V355" i="1"/>
  <c r="W355" i="1"/>
  <c r="X355" i="1"/>
  <c r="Y355" i="1"/>
  <c r="Z355" i="1"/>
  <c r="A356" i="1"/>
  <c r="B356" i="1"/>
  <c r="C356" i="1"/>
  <c r="D356" i="1"/>
  <c r="E356" i="1"/>
  <c r="F356" i="1"/>
  <c r="G356" i="1"/>
  <c r="I356" i="1"/>
  <c r="J356" i="1"/>
  <c r="K356" i="1"/>
  <c r="L356" i="1"/>
  <c r="M356" i="1"/>
  <c r="N356" i="1"/>
  <c r="O356" i="1"/>
  <c r="P356" i="1"/>
  <c r="Q356" i="1"/>
  <c r="R356" i="1"/>
  <c r="S356" i="1"/>
  <c r="T356" i="1"/>
  <c r="U356" i="1"/>
  <c r="V356" i="1"/>
  <c r="W356" i="1"/>
  <c r="X356" i="1"/>
  <c r="Y356" i="1"/>
  <c r="Z356" i="1"/>
  <c r="A357" i="1"/>
  <c r="B357" i="1"/>
  <c r="C357" i="1"/>
  <c r="D357" i="1"/>
  <c r="E357" i="1"/>
  <c r="F357" i="1"/>
  <c r="G357" i="1"/>
  <c r="I357" i="1"/>
  <c r="J357" i="1"/>
  <c r="K357" i="1"/>
  <c r="L357" i="1"/>
  <c r="M357" i="1"/>
  <c r="N357" i="1"/>
  <c r="O357" i="1"/>
  <c r="P357" i="1"/>
  <c r="Q357" i="1"/>
  <c r="R357" i="1"/>
  <c r="S357" i="1"/>
  <c r="T357" i="1"/>
  <c r="U357" i="1"/>
  <c r="V357" i="1"/>
  <c r="W357" i="1"/>
  <c r="X357" i="1"/>
  <c r="Y357" i="1"/>
  <c r="Z357" i="1"/>
  <c r="A358" i="1"/>
  <c r="B358" i="1"/>
  <c r="C358" i="1"/>
  <c r="D358" i="1"/>
  <c r="E358" i="1"/>
  <c r="F358" i="1"/>
  <c r="G358" i="1"/>
  <c r="I358" i="1"/>
  <c r="J358" i="1"/>
  <c r="K358" i="1"/>
  <c r="L358" i="1"/>
  <c r="M358" i="1"/>
  <c r="N358" i="1"/>
  <c r="O358" i="1"/>
  <c r="P358" i="1"/>
  <c r="Q358" i="1"/>
  <c r="R358" i="1"/>
  <c r="S358" i="1"/>
  <c r="T358" i="1"/>
  <c r="U358" i="1"/>
  <c r="V358" i="1"/>
  <c r="W358" i="1"/>
  <c r="X358" i="1"/>
  <c r="Y358" i="1"/>
  <c r="Z358" i="1"/>
  <c r="A359" i="1"/>
  <c r="B359" i="1"/>
  <c r="C359" i="1"/>
  <c r="D359" i="1"/>
  <c r="E359" i="1"/>
  <c r="F359" i="1"/>
  <c r="G359" i="1"/>
  <c r="I359" i="1"/>
  <c r="J359" i="1"/>
  <c r="K359" i="1"/>
  <c r="L359" i="1"/>
  <c r="M359" i="1"/>
  <c r="N359" i="1"/>
  <c r="O359" i="1"/>
  <c r="P359" i="1"/>
  <c r="Q359" i="1"/>
  <c r="R359" i="1"/>
  <c r="S359" i="1"/>
  <c r="T359" i="1"/>
  <c r="U359" i="1"/>
  <c r="V359" i="1"/>
  <c r="W359" i="1"/>
  <c r="X359" i="1"/>
  <c r="Y359" i="1"/>
  <c r="Z359" i="1"/>
  <c r="A360" i="1"/>
  <c r="B360" i="1"/>
  <c r="C360" i="1"/>
  <c r="D360" i="1"/>
  <c r="E360" i="1"/>
  <c r="F360" i="1"/>
  <c r="G360" i="1"/>
  <c r="I360" i="1"/>
  <c r="J360" i="1"/>
  <c r="K360" i="1"/>
  <c r="L360" i="1"/>
  <c r="M360" i="1"/>
  <c r="N360" i="1"/>
  <c r="O360" i="1"/>
  <c r="P360" i="1"/>
  <c r="Q360" i="1"/>
  <c r="R360" i="1"/>
  <c r="S360" i="1"/>
  <c r="T360" i="1"/>
  <c r="U360" i="1"/>
  <c r="V360" i="1"/>
  <c r="W360" i="1"/>
  <c r="X360" i="1"/>
  <c r="Y360" i="1"/>
  <c r="Z360" i="1"/>
  <c r="A361" i="1"/>
  <c r="B361" i="1"/>
  <c r="C361" i="1"/>
  <c r="D361" i="1"/>
  <c r="E361" i="1"/>
  <c r="F361" i="1"/>
  <c r="G361" i="1"/>
  <c r="I361" i="1"/>
  <c r="J361" i="1"/>
  <c r="K361" i="1"/>
  <c r="L361" i="1"/>
  <c r="M361" i="1"/>
  <c r="N361" i="1"/>
  <c r="O361" i="1"/>
  <c r="P361" i="1"/>
  <c r="Q361" i="1"/>
  <c r="R361" i="1"/>
  <c r="S361" i="1"/>
  <c r="T361" i="1"/>
  <c r="U361" i="1"/>
  <c r="V361" i="1"/>
  <c r="W361" i="1"/>
  <c r="X361" i="1"/>
  <c r="Y361" i="1"/>
  <c r="Z361" i="1"/>
  <c r="A362" i="1"/>
  <c r="B362" i="1"/>
  <c r="C362" i="1"/>
  <c r="D362" i="1"/>
  <c r="E362" i="1"/>
  <c r="F362" i="1"/>
  <c r="G362" i="1"/>
  <c r="I362" i="1"/>
  <c r="J362" i="1"/>
  <c r="K362" i="1"/>
  <c r="L362" i="1"/>
  <c r="M362" i="1"/>
  <c r="N362" i="1"/>
  <c r="O362" i="1"/>
  <c r="P362" i="1"/>
  <c r="Q362" i="1"/>
  <c r="R362" i="1"/>
  <c r="S362" i="1"/>
  <c r="T362" i="1"/>
  <c r="U362" i="1"/>
  <c r="V362" i="1"/>
  <c r="W362" i="1"/>
  <c r="X362" i="1"/>
  <c r="Y362" i="1"/>
  <c r="Z362" i="1"/>
  <c r="A363" i="1"/>
  <c r="B363" i="1"/>
  <c r="C363" i="1"/>
  <c r="D363" i="1"/>
  <c r="E363" i="1"/>
  <c r="F363" i="1"/>
  <c r="G363" i="1"/>
  <c r="I363" i="1"/>
  <c r="J363" i="1"/>
  <c r="K363" i="1"/>
  <c r="L363" i="1"/>
  <c r="M363" i="1"/>
  <c r="N363" i="1"/>
  <c r="O363" i="1"/>
  <c r="P363" i="1"/>
  <c r="Q363" i="1"/>
  <c r="R363" i="1"/>
  <c r="S363" i="1"/>
  <c r="T363" i="1"/>
  <c r="U363" i="1"/>
  <c r="V363" i="1"/>
  <c r="W363" i="1"/>
  <c r="X363" i="1"/>
  <c r="Y363" i="1"/>
  <c r="Z363" i="1"/>
  <c r="A364" i="1"/>
  <c r="B364" i="1"/>
  <c r="C364" i="1"/>
  <c r="D364" i="1"/>
  <c r="E364" i="1"/>
  <c r="F364" i="1"/>
  <c r="G364" i="1"/>
  <c r="I364" i="1"/>
  <c r="J364" i="1"/>
  <c r="K364" i="1"/>
  <c r="L364" i="1"/>
  <c r="M364" i="1"/>
  <c r="N364" i="1"/>
  <c r="O364" i="1"/>
  <c r="P364" i="1"/>
  <c r="Q364" i="1"/>
  <c r="R364" i="1"/>
  <c r="S364" i="1"/>
  <c r="T364" i="1"/>
  <c r="U364" i="1"/>
  <c r="V364" i="1"/>
  <c r="W364" i="1"/>
  <c r="X364" i="1"/>
  <c r="Y364" i="1"/>
  <c r="Z364" i="1"/>
  <c r="A365" i="1"/>
  <c r="B365" i="1"/>
  <c r="C365" i="1"/>
  <c r="D365" i="1"/>
  <c r="E365" i="1"/>
  <c r="F365" i="1"/>
  <c r="G365" i="1"/>
  <c r="I365" i="1"/>
  <c r="J365" i="1"/>
  <c r="K365" i="1"/>
  <c r="L365" i="1"/>
  <c r="M365" i="1"/>
  <c r="N365" i="1"/>
  <c r="O365" i="1"/>
  <c r="P365" i="1"/>
  <c r="Q365" i="1"/>
  <c r="R365" i="1"/>
  <c r="S365" i="1"/>
  <c r="T365" i="1"/>
  <c r="U365" i="1"/>
  <c r="V365" i="1"/>
  <c r="W365" i="1"/>
  <c r="X365" i="1"/>
  <c r="Y365" i="1"/>
  <c r="Z365" i="1"/>
  <c r="A366" i="1"/>
  <c r="B366" i="1"/>
  <c r="C366" i="1"/>
  <c r="D366" i="1"/>
  <c r="E366" i="1"/>
  <c r="F366" i="1"/>
  <c r="G366" i="1"/>
  <c r="I366" i="1"/>
  <c r="J366" i="1"/>
  <c r="K366" i="1"/>
  <c r="L366" i="1"/>
  <c r="M366" i="1"/>
  <c r="N366" i="1"/>
  <c r="O366" i="1"/>
  <c r="P366" i="1"/>
  <c r="Q366" i="1"/>
  <c r="R366" i="1"/>
  <c r="S366" i="1"/>
  <c r="T366" i="1"/>
  <c r="U366" i="1"/>
  <c r="V366" i="1"/>
  <c r="W366" i="1"/>
  <c r="X366" i="1"/>
  <c r="Y366" i="1"/>
  <c r="Z366" i="1"/>
  <c r="A367" i="1"/>
  <c r="B367" i="1"/>
  <c r="C367" i="1"/>
  <c r="D367" i="1"/>
  <c r="E367" i="1"/>
  <c r="F367" i="1"/>
  <c r="G367" i="1"/>
  <c r="I367" i="1"/>
  <c r="J367" i="1"/>
  <c r="K367" i="1"/>
  <c r="L367" i="1"/>
  <c r="M367" i="1"/>
  <c r="N367" i="1"/>
  <c r="O367" i="1"/>
  <c r="P367" i="1"/>
  <c r="Q367" i="1"/>
  <c r="R367" i="1"/>
  <c r="S367" i="1"/>
  <c r="T367" i="1"/>
  <c r="U367" i="1"/>
  <c r="V367" i="1"/>
  <c r="W367" i="1"/>
  <c r="X367" i="1"/>
  <c r="Y367" i="1"/>
  <c r="Z367" i="1"/>
  <c r="A368" i="1"/>
  <c r="B368" i="1"/>
  <c r="C368" i="1"/>
  <c r="D368" i="1"/>
  <c r="E368" i="1"/>
  <c r="F368" i="1"/>
  <c r="G368" i="1"/>
  <c r="I368" i="1"/>
  <c r="J368" i="1"/>
  <c r="K368" i="1"/>
  <c r="L368" i="1"/>
  <c r="M368" i="1"/>
  <c r="N368" i="1"/>
  <c r="O368" i="1"/>
  <c r="P368" i="1"/>
  <c r="Q368" i="1"/>
  <c r="R368" i="1"/>
  <c r="S368" i="1"/>
  <c r="T368" i="1"/>
  <c r="U368" i="1"/>
  <c r="V368" i="1"/>
  <c r="W368" i="1"/>
  <c r="X368" i="1"/>
  <c r="Y368" i="1"/>
  <c r="Z368" i="1"/>
  <c r="A369" i="1"/>
  <c r="B369" i="1"/>
  <c r="C369" i="1"/>
  <c r="D369" i="1"/>
  <c r="E369" i="1"/>
  <c r="F369" i="1"/>
  <c r="G369" i="1"/>
  <c r="I369" i="1"/>
  <c r="J369" i="1"/>
  <c r="K369" i="1"/>
  <c r="L369" i="1"/>
  <c r="M369" i="1"/>
  <c r="N369" i="1"/>
  <c r="O369" i="1"/>
  <c r="P369" i="1"/>
  <c r="Q369" i="1"/>
  <c r="R369" i="1"/>
  <c r="S369" i="1"/>
  <c r="T369" i="1"/>
  <c r="U369" i="1"/>
  <c r="V369" i="1"/>
  <c r="W369" i="1"/>
  <c r="X369" i="1"/>
  <c r="Y369" i="1"/>
  <c r="Z369" i="1"/>
  <c r="A370" i="1"/>
  <c r="B370" i="1"/>
  <c r="C370" i="1"/>
  <c r="D370" i="1"/>
  <c r="E370" i="1"/>
  <c r="F370" i="1"/>
  <c r="G370" i="1"/>
  <c r="I370" i="1"/>
  <c r="J370" i="1"/>
  <c r="K370" i="1"/>
  <c r="L370" i="1"/>
  <c r="M370" i="1"/>
  <c r="N370" i="1"/>
  <c r="O370" i="1"/>
  <c r="P370" i="1"/>
  <c r="Q370" i="1"/>
  <c r="R370" i="1"/>
  <c r="S370" i="1"/>
  <c r="T370" i="1"/>
  <c r="U370" i="1"/>
  <c r="V370" i="1"/>
  <c r="W370" i="1"/>
  <c r="X370" i="1"/>
  <c r="Y370" i="1"/>
  <c r="Z370" i="1"/>
  <c r="A371" i="1"/>
  <c r="B371" i="1"/>
  <c r="C371" i="1"/>
  <c r="D371" i="1"/>
  <c r="E371" i="1"/>
  <c r="F371" i="1"/>
  <c r="G371" i="1"/>
  <c r="I371" i="1"/>
  <c r="J371" i="1"/>
  <c r="K371" i="1"/>
  <c r="L371" i="1"/>
  <c r="M371" i="1"/>
  <c r="N371" i="1"/>
  <c r="O371" i="1"/>
  <c r="P371" i="1"/>
  <c r="Q371" i="1"/>
  <c r="R371" i="1"/>
  <c r="S371" i="1"/>
  <c r="T371" i="1"/>
  <c r="U371" i="1"/>
  <c r="V371" i="1"/>
  <c r="W371" i="1"/>
  <c r="X371" i="1"/>
  <c r="Y371" i="1"/>
  <c r="Z371" i="1"/>
  <c r="A372" i="1"/>
  <c r="B372" i="1"/>
  <c r="C372" i="1"/>
  <c r="D372" i="1"/>
  <c r="E372" i="1"/>
  <c r="F372" i="1"/>
  <c r="G372" i="1"/>
  <c r="I372" i="1"/>
  <c r="J372" i="1"/>
  <c r="K372" i="1"/>
  <c r="L372" i="1"/>
  <c r="M372" i="1"/>
  <c r="N372" i="1"/>
  <c r="O372" i="1"/>
  <c r="P372" i="1"/>
  <c r="Q372" i="1"/>
  <c r="R372" i="1"/>
  <c r="S372" i="1"/>
  <c r="T372" i="1"/>
  <c r="U372" i="1"/>
  <c r="V372" i="1"/>
  <c r="W372" i="1"/>
  <c r="X372" i="1"/>
  <c r="Y372" i="1"/>
  <c r="Z372" i="1"/>
  <c r="A373" i="1"/>
  <c r="B373" i="1"/>
  <c r="C373" i="1"/>
  <c r="D373" i="1"/>
  <c r="E373" i="1"/>
  <c r="F373" i="1"/>
  <c r="G373" i="1"/>
  <c r="I373" i="1"/>
  <c r="J373" i="1"/>
  <c r="K373" i="1"/>
  <c r="L373" i="1"/>
  <c r="M373" i="1"/>
  <c r="N373" i="1"/>
  <c r="O373" i="1"/>
  <c r="P373" i="1"/>
  <c r="Q373" i="1"/>
  <c r="R373" i="1"/>
  <c r="S373" i="1"/>
  <c r="T373" i="1"/>
  <c r="U373" i="1"/>
  <c r="V373" i="1"/>
  <c r="W373" i="1"/>
  <c r="X373" i="1"/>
  <c r="Y373" i="1"/>
  <c r="Z373" i="1"/>
  <c r="A374" i="1"/>
  <c r="B374" i="1"/>
  <c r="C374" i="1"/>
  <c r="D374" i="1"/>
  <c r="E374" i="1"/>
  <c r="F374" i="1"/>
  <c r="G374" i="1"/>
  <c r="I374" i="1"/>
  <c r="J374" i="1"/>
  <c r="K374" i="1"/>
  <c r="L374" i="1"/>
  <c r="M374" i="1"/>
  <c r="N374" i="1"/>
  <c r="O374" i="1"/>
  <c r="P374" i="1"/>
  <c r="Q374" i="1"/>
  <c r="R374" i="1"/>
  <c r="S374" i="1"/>
  <c r="T374" i="1"/>
  <c r="U374" i="1"/>
  <c r="V374" i="1"/>
  <c r="W374" i="1"/>
  <c r="X374" i="1"/>
  <c r="Y374" i="1"/>
  <c r="Z374" i="1"/>
  <c r="A375" i="1"/>
  <c r="B375" i="1"/>
  <c r="C375" i="1"/>
  <c r="D375" i="1"/>
  <c r="E375" i="1"/>
  <c r="F375" i="1"/>
  <c r="G375" i="1"/>
  <c r="I375" i="1"/>
  <c r="J375" i="1"/>
  <c r="K375" i="1"/>
  <c r="L375" i="1"/>
  <c r="M375" i="1"/>
  <c r="N375" i="1"/>
  <c r="O375" i="1"/>
  <c r="P375" i="1"/>
  <c r="Q375" i="1"/>
  <c r="R375" i="1"/>
  <c r="S375" i="1"/>
  <c r="T375" i="1"/>
  <c r="U375" i="1"/>
  <c r="V375" i="1"/>
  <c r="W375" i="1"/>
  <c r="X375" i="1"/>
  <c r="Y375" i="1"/>
  <c r="Z375" i="1"/>
  <c r="A376" i="1"/>
  <c r="B376" i="1"/>
  <c r="C376" i="1"/>
  <c r="D376" i="1"/>
  <c r="E376" i="1"/>
  <c r="F376" i="1"/>
  <c r="G376" i="1"/>
  <c r="I376" i="1"/>
  <c r="J376" i="1"/>
  <c r="K376" i="1"/>
  <c r="L376" i="1"/>
  <c r="M376" i="1"/>
  <c r="N376" i="1"/>
  <c r="O376" i="1"/>
  <c r="P376" i="1"/>
  <c r="Q376" i="1"/>
  <c r="R376" i="1"/>
  <c r="S376" i="1"/>
  <c r="T376" i="1"/>
  <c r="U376" i="1"/>
  <c r="V376" i="1"/>
  <c r="W376" i="1"/>
  <c r="X376" i="1"/>
  <c r="Y376" i="1"/>
  <c r="Z376" i="1"/>
  <c r="A377" i="1"/>
  <c r="B377" i="1"/>
  <c r="C377" i="1"/>
  <c r="D377" i="1"/>
  <c r="E377" i="1"/>
  <c r="F377" i="1"/>
  <c r="G377" i="1"/>
  <c r="I377" i="1"/>
  <c r="J377" i="1"/>
  <c r="K377" i="1"/>
  <c r="L377" i="1"/>
  <c r="M377" i="1"/>
  <c r="N377" i="1"/>
  <c r="O377" i="1"/>
  <c r="P377" i="1"/>
  <c r="Q377" i="1"/>
  <c r="R377" i="1"/>
  <c r="S377" i="1"/>
  <c r="T377" i="1"/>
  <c r="U377" i="1"/>
  <c r="V377" i="1"/>
  <c r="W377" i="1"/>
  <c r="X377" i="1"/>
  <c r="Y377" i="1"/>
  <c r="Z377" i="1"/>
  <c r="A378" i="1"/>
  <c r="B378" i="1"/>
  <c r="C378" i="1"/>
  <c r="D378" i="1"/>
  <c r="E378" i="1"/>
  <c r="F378" i="1"/>
  <c r="G378" i="1"/>
  <c r="I378" i="1"/>
  <c r="J378" i="1"/>
  <c r="K378" i="1"/>
  <c r="L378" i="1"/>
  <c r="M378" i="1"/>
  <c r="N378" i="1"/>
  <c r="O378" i="1"/>
  <c r="P378" i="1"/>
  <c r="Q378" i="1"/>
  <c r="R378" i="1"/>
  <c r="S378" i="1"/>
  <c r="T378" i="1"/>
  <c r="U378" i="1"/>
  <c r="V378" i="1"/>
  <c r="W378" i="1"/>
  <c r="X378" i="1"/>
  <c r="Y378" i="1"/>
  <c r="Z378" i="1"/>
  <c r="A379" i="1"/>
  <c r="B379" i="1"/>
  <c r="C379" i="1"/>
  <c r="D379" i="1"/>
  <c r="E379" i="1"/>
  <c r="F379" i="1"/>
  <c r="G379" i="1"/>
  <c r="I379" i="1"/>
  <c r="J379" i="1"/>
  <c r="K379" i="1"/>
  <c r="L379" i="1"/>
  <c r="M379" i="1"/>
  <c r="N379" i="1"/>
  <c r="O379" i="1"/>
  <c r="P379" i="1"/>
  <c r="Q379" i="1"/>
  <c r="R379" i="1"/>
  <c r="S379" i="1"/>
  <c r="T379" i="1"/>
  <c r="U379" i="1"/>
  <c r="V379" i="1"/>
  <c r="W379" i="1"/>
  <c r="X379" i="1"/>
  <c r="Y379" i="1"/>
  <c r="Z379" i="1"/>
  <c r="A380" i="1"/>
  <c r="B380" i="1"/>
  <c r="C380" i="1"/>
  <c r="D380" i="1"/>
  <c r="E380" i="1"/>
  <c r="F380" i="1"/>
  <c r="G380" i="1"/>
  <c r="I380" i="1"/>
  <c r="J380" i="1"/>
  <c r="K380" i="1"/>
  <c r="L380" i="1"/>
  <c r="M380" i="1"/>
  <c r="N380" i="1"/>
  <c r="O380" i="1"/>
  <c r="P380" i="1"/>
  <c r="Q380" i="1"/>
  <c r="R380" i="1"/>
  <c r="S380" i="1"/>
  <c r="T380" i="1"/>
  <c r="U380" i="1"/>
  <c r="V380" i="1"/>
  <c r="W380" i="1"/>
  <c r="X380" i="1"/>
  <c r="Y380" i="1"/>
  <c r="Z380" i="1"/>
  <c r="A381" i="1"/>
  <c r="B381" i="1"/>
  <c r="C381" i="1"/>
  <c r="D381" i="1"/>
  <c r="E381" i="1"/>
  <c r="F381" i="1"/>
  <c r="G381" i="1"/>
  <c r="I381" i="1"/>
  <c r="J381" i="1"/>
  <c r="K381" i="1"/>
  <c r="L381" i="1"/>
  <c r="M381" i="1"/>
  <c r="N381" i="1"/>
  <c r="O381" i="1"/>
  <c r="P381" i="1"/>
  <c r="Q381" i="1"/>
  <c r="R381" i="1"/>
  <c r="S381" i="1"/>
  <c r="T381" i="1"/>
  <c r="U381" i="1"/>
  <c r="V381" i="1"/>
  <c r="W381" i="1"/>
  <c r="X381" i="1"/>
  <c r="Y381" i="1"/>
  <c r="Z381" i="1"/>
  <c r="A382" i="1"/>
  <c r="B382" i="1"/>
  <c r="C382" i="1"/>
  <c r="D382" i="1"/>
  <c r="E382" i="1"/>
  <c r="F382" i="1"/>
  <c r="G382" i="1"/>
  <c r="I382" i="1"/>
  <c r="J382" i="1"/>
  <c r="K382" i="1"/>
  <c r="L382" i="1"/>
  <c r="M382" i="1"/>
  <c r="N382" i="1"/>
  <c r="O382" i="1"/>
  <c r="P382" i="1"/>
  <c r="Q382" i="1"/>
  <c r="R382" i="1"/>
  <c r="S382" i="1"/>
  <c r="T382" i="1"/>
  <c r="U382" i="1"/>
  <c r="V382" i="1"/>
  <c r="W382" i="1"/>
  <c r="X382" i="1"/>
  <c r="Y382" i="1"/>
  <c r="Z382" i="1"/>
  <c r="A383" i="1"/>
  <c r="B383" i="1"/>
  <c r="C383" i="1"/>
  <c r="D383" i="1"/>
  <c r="E383" i="1"/>
  <c r="F383" i="1"/>
  <c r="G383" i="1"/>
  <c r="I383" i="1"/>
  <c r="J383" i="1"/>
  <c r="K383" i="1"/>
  <c r="L383" i="1"/>
  <c r="M383" i="1"/>
  <c r="N383" i="1"/>
  <c r="O383" i="1"/>
  <c r="P383" i="1"/>
  <c r="Q383" i="1"/>
  <c r="R383" i="1"/>
  <c r="S383" i="1"/>
  <c r="T383" i="1"/>
  <c r="U383" i="1"/>
  <c r="V383" i="1"/>
  <c r="W383" i="1"/>
  <c r="X383" i="1"/>
  <c r="Y383" i="1"/>
  <c r="Z383" i="1"/>
  <c r="A384" i="1"/>
  <c r="B384" i="1"/>
  <c r="C384" i="1"/>
  <c r="D384" i="1"/>
  <c r="E384" i="1"/>
  <c r="F384" i="1"/>
  <c r="G384" i="1"/>
  <c r="I384" i="1"/>
  <c r="J384" i="1"/>
  <c r="K384" i="1"/>
  <c r="L384" i="1"/>
  <c r="M384" i="1"/>
  <c r="N384" i="1"/>
  <c r="O384" i="1"/>
  <c r="P384" i="1"/>
  <c r="Q384" i="1"/>
  <c r="R384" i="1"/>
  <c r="S384" i="1"/>
  <c r="T384" i="1"/>
  <c r="U384" i="1"/>
  <c r="V384" i="1"/>
  <c r="W384" i="1"/>
  <c r="X384" i="1"/>
  <c r="Y384" i="1"/>
  <c r="Z384" i="1"/>
  <c r="A385" i="1"/>
  <c r="B385" i="1"/>
  <c r="C385" i="1"/>
  <c r="D385" i="1"/>
  <c r="E385" i="1"/>
  <c r="F385" i="1"/>
  <c r="G385" i="1"/>
  <c r="I385" i="1"/>
  <c r="J385" i="1"/>
  <c r="K385" i="1"/>
  <c r="L385" i="1"/>
  <c r="M385" i="1"/>
  <c r="N385" i="1"/>
  <c r="O385" i="1"/>
  <c r="P385" i="1"/>
  <c r="Q385" i="1"/>
  <c r="R385" i="1"/>
  <c r="S385" i="1"/>
  <c r="T385" i="1"/>
  <c r="U385" i="1"/>
  <c r="V385" i="1"/>
  <c r="W385" i="1"/>
  <c r="X385" i="1"/>
  <c r="Y385" i="1"/>
  <c r="Z385" i="1"/>
  <c r="A386" i="1"/>
  <c r="B386" i="1"/>
  <c r="C386" i="1"/>
  <c r="D386" i="1"/>
  <c r="E386" i="1"/>
  <c r="F386" i="1"/>
  <c r="G386" i="1"/>
  <c r="I386" i="1"/>
  <c r="J386" i="1"/>
  <c r="K386" i="1"/>
  <c r="L386" i="1"/>
  <c r="M386" i="1"/>
  <c r="N386" i="1"/>
  <c r="O386" i="1"/>
  <c r="P386" i="1"/>
  <c r="Q386" i="1"/>
  <c r="R386" i="1"/>
  <c r="S386" i="1"/>
  <c r="T386" i="1"/>
  <c r="U386" i="1"/>
  <c r="V386" i="1"/>
  <c r="W386" i="1"/>
  <c r="X386" i="1"/>
  <c r="Y386" i="1"/>
  <c r="Z386" i="1"/>
  <c r="A387" i="1"/>
  <c r="B387" i="1"/>
  <c r="C387" i="1"/>
  <c r="D387" i="1"/>
  <c r="E387" i="1"/>
  <c r="F387" i="1"/>
  <c r="G387" i="1"/>
  <c r="I387" i="1"/>
  <c r="J387" i="1"/>
  <c r="K387" i="1"/>
  <c r="L387" i="1"/>
  <c r="M387" i="1"/>
  <c r="N387" i="1"/>
  <c r="O387" i="1"/>
  <c r="P387" i="1"/>
  <c r="Q387" i="1"/>
  <c r="R387" i="1"/>
  <c r="S387" i="1"/>
  <c r="T387" i="1"/>
  <c r="U387" i="1"/>
  <c r="V387" i="1"/>
  <c r="W387" i="1"/>
  <c r="X387" i="1"/>
  <c r="Y387" i="1"/>
  <c r="Z387" i="1"/>
  <c r="A388" i="1"/>
  <c r="B388" i="1"/>
  <c r="C388" i="1"/>
  <c r="D388" i="1"/>
  <c r="E388" i="1"/>
  <c r="F388" i="1"/>
  <c r="G388" i="1"/>
  <c r="I388" i="1"/>
  <c r="J388" i="1"/>
  <c r="K388" i="1"/>
  <c r="L388" i="1"/>
  <c r="M388" i="1"/>
  <c r="N388" i="1"/>
  <c r="O388" i="1"/>
  <c r="P388" i="1"/>
  <c r="Q388" i="1"/>
  <c r="R388" i="1"/>
  <c r="S388" i="1"/>
  <c r="T388" i="1"/>
  <c r="U388" i="1"/>
  <c r="V388" i="1"/>
  <c r="W388" i="1"/>
  <c r="X388" i="1"/>
  <c r="Y388" i="1"/>
  <c r="Z388" i="1"/>
  <c r="A389" i="1"/>
  <c r="B389" i="1"/>
  <c r="C389" i="1"/>
  <c r="D389" i="1"/>
  <c r="E389" i="1"/>
  <c r="F389" i="1"/>
  <c r="G389" i="1"/>
  <c r="I389" i="1"/>
  <c r="J389" i="1"/>
  <c r="K389" i="1"/>
  <c r="L389" i="1"/>
  <c r="M389" i="1"/>
  <c r="N389" i="1"/>
  <c r="O389" i="1"/>
  <c r="P389" i="1"/>
  <c r="Q389" i="1"/>
  <c r="R389" i="1"/>
  <c r="S389" i="1"/>
  <c r="T389" i="1"/>
  <c r="U389" i="1"/>
  <c r="V389" i="1"/>
  <c r="W389" i="1"/>
  <c r="X389" i="1"/>
  <c r="Y389" i="1"/>
  <c r="Z389" i="1"/>
  <c r="A390" i="1"/>
  <c r="B390" i="1"/>
  <c r="C390" i="1"/>
  <c r="D390" i="1"/>
  <c r="E390" i="1"/>
  <c r="F390" i="1"/>
  <c r="G390" i="1"/>
  <c r="I390" i="1"/>
  <c r="J390" i="1"/>
  <c r="K390" i="1"/>
  <c r="L390" i="1"/>
  <c r="M390" i="1"/>
  <c r="N390" i="1"/>
  <c r="O390" i="1"/>
  <c r="P390" i="1"/>
  <c r="Q390" i="1"/>
  <c r="R390" i="1"/>
  <c r="S390" i="1"/>
  <c r="T390" i="1"/>
  <c r="U390" i="1"/>
  <c r="V390" i="1"/>
  <c r="W390" i="1"/>
  <c r="X390" i="1"/>
  <c r="Y390" i="1"/>
  <c r="Z390" i="1"/>
  <c r="A391" i="1"/>
  <c r="B391" i="1"/>
  <c r="C391" i="1"/>
  <c r="D391" i="1"/>
  <c r="E391" i="1"/>
  <c r="F391" i="1"/>
  <c r="G391" i="1"/>
  <c r="I391" i="1"/>
  <c r="J391" i="1"/>
  <c r="K391" i="1"/>
  <c r="L391" i="1"/>
  <c r="M391" i="1"/>
  <c r="N391" i="1"/>
  <c r="O391" i="1"/>
  <c r="P391" i="1"/>
  <c r="Q391" i="1"/>
  <c r="R391" i="1"/>
  <c r="S391" i="1"/>
  <c r="T391" i="1"/>
  <c r="U391" i="1"/>
  <c r="V391" i="1"/>
  <c r="W391" i="1"/>
  <c r="X391" i="1"/>
  <c r="Y391" i="1"/>
  <c r="Z391" i="1"/>
  <c r="A392" i="1"/>
  <c r="B392" i="1"/>
  <c r="C392" i="1"/>
  <c r="D392" i="1"/>
  <c r="E392" i="1"/>
  <c r="F392" i="1"/>
  <c r="G392" i="1"/>
  <c r="I392" i="1"/>
  <c r="J392" i="1"/>
  <c r="K392" i="1"/>
  <c r="L392" i="1"/>
  <c r="M392" i="1"/>
  <c r="N392" i="1"/>
  <c r="O392" i="1"/>
  <c r="P392" i="1"/>
  <c r="Q392" i="1"/>
  <c r="R392" i="1"/>
  <c r="S392" i="1"/>
  <c r="T392" i="1"/>
  <c r="U392" i="1"/>
  <c r="V392" i="1"/>
  <c r="W392" i="1"/>
  <c r="X392" i="1"/>
  <c r="Y392" i="1"/>
  <c r="Z392" i="1"/>
  <c r="A393" i="1"/>
  <c r="B393" i="1"/>
  <c r="C393" i="1"/>
  <c r="D393" i="1"/>
  <c r="E393" i="1"/>
  <c r="F393" i="1"/>
  <c r="G393" i="1"/>
  <c r="I393" i="1"/>
  <c r="J393" i="1"/>
  <c r="K393" i="1"/>
  <c r="L393" i="1"/>
  <c r="M393" i="1"/>
  <c r="N393" i="1"/>
  <c r="O393" i="1"/>
  <c r="P393" i="1"/>
  <c r="Q393" i="1"/>
  <c r="R393" i="1"/>
  <c r="S393" i="1"/>
  <c r="T393" i="1"/>
  <c r="U393" i="1"/>
  <c r="V393" i="1"/>
  <c r="W393" i="1"/>
  <c r="X393" i="1"/>
  <c r="Y393" i="1"/>
  <c r="Z393" i="1"/>
  <c r="A394" i="1"/>
  <c r="B394" i="1"/>
  <c r="C394" i="1"/>
  <c r="D394" i="1"/>
  <c r="E394" i="1"/>
  <c r="F394" i="1"/>
  <c r="G394" i="1"/>
  <c r="I394" i="1"/>
  <c r="J394" i="1"/>
  <c r="K394" i="1"/>
  <c r="L394" i="1"/>
  <c r="M394" i="1"/>
  <c r="N394" i="1"/>
  <c r="O394" i="1"/>
  <c r="P394" i="1"/>
  <c r="Q394" i="1"/>
  <c r="R394" i="1"/>
  <c r="S394" i="1"/>
  <c r="T394" i="1"/>
  <c r="U394" i="1"/>
  <c r="V394" i="1"/>
  <c r="W394" i="1"/>
  <c r="X394" i="1"/>
  <c r="Y394" i="1"/>
  <c r="Z394" i="1"/>
  <c r="A395" i="1"/>
  <c r="B395" i="1"/>
  <c r="C395" i="1"/>
  <c r="D395" i="1"/>
  <c r="E395" i="1"/>
  <c r="F395" i="1"/>
  <c r="G395" i="1"/>
  <c r="I395" i="1"/>
  <c r="J395" i="1"/>
  <c r="K395" i="1"/>
  <c r="L395" i="1"/>
  <c r="M395" i="1"/>
  <c r="N395" i="1"/>
  <c r="O395" i="1"/>
  <c r="P395" i="1"/>
  <c r="Q395" i="1"/>
  <c r="R395" i="1"/>
  <c r="S395" i="1"/>
  <c r="T395" i="1"/>
  <c r="U395" i="1"/>
  <c r="V395" i="1"/>
  <c r="W395" i="1"/>
  <c r="X395" i="1"/>
  <c r="Y395" i="1"/>
  <c r="Z395" i="1"/>
  <c r="A396" i="1"/>
  <c r="B396" i="1"/>
  <c r="C396" i="1"/>
  <c r="D396" i="1"/>
  <c r="E396" i="1"/>
  <c r="F396" i="1"/>
  <c r="G396" i="1"/>
  <c r="I396" i="1"/>
  <c r="J396" i="1"/>
  <c r="K396" i="1"/>
  <c r="L396" i="1"/>
  <c r="M396" i="1"/>
  <c r="N396" i="1"/>
  <c r="O396" i="1"/>
  <c r="P396" i="1"/>
  <c r="Q396" i="1"/>
  <c r="R396" i="1"/>
  <c r="S396" i="1"/>
  <c r="T396" i="1"/>
  <c r="U396" i="1"/>
  <c r="V396" i="1"/>
  <c r="W396" i="1"/>
  <c r="X396" i="1"/>
  <c r="Y396" i="1"/>
  <c r="Z396" i="1"/>
  <c r="A397" i="1"/>
  <c r="B397" i="1"/>
  <c r="C397" i="1"/>
  <c r="D397" i="1"/>
  <c r="E397" i="1"/>
  <c r="F397" i="1"/>
  <c r="G397" i="1"/>
  <c r="I397" i="1"/>
  <c r="J397" i="1"/>
  <c r="K397" i="1"/>
  <c r="L397" i="1"/>
  <c r="M397" i="1"/>
  <c r="N397" i="1"/>
  <c r="O397" i="1"/>
  <c r="P397" i="1"/>
  <c r="Q397" i="1"/>
  <c r="R397" i="1"/>
  <c r="S397" i="1"/>
  <c r="T397" i="1"/>
  <c r="U397" i="1"/>
  <c r="V397" i="1"/>
  <c r="W397" i="1"/>
  <c r="X397" i="1"/>
  <c r="Y397" i="1"/>
  <c r="Z397" i="1"/>
  <c r="A398" i="1"/>
  <c r="B398" i="1"/>
  <c r="C398" i="1"/>
  <c r="D398" i="1"/>
  <c r="E398" i="1"/>
  <c r="F398" i="1"/>
  <c r="G398" i="1"/>
  <c r="I398" i="1"/>
  <c r="J398" i="1"/>
  <c r="K398" i="1"/>
  <c r="L398" i="1"/>
  <c r="M398" i="1"/>
  <c r="N398" i="1"/>
  <c r="O398" i="1"/>
  <c r="P398" i="1"/>
  <c r="Q398" i="1"/>
  <c r="R398" i="1"/>
  <c r="S398" i="1"/>
  <c r="T398" i="1"/>
  <c r="U398" i="1"/>
  <c r="V398" i="1"/>
  <c r="W398" i="1"/>
  <c r="X398" i="1"/>
  <c r="Y398" i="1"/>
  <c r="Z398" i="1"/>
  <c r="A399" i="1"/>
  <c r="B399" i="1"/>
  <c r="C399" i="1"/>
  <c r="D399" i="1"/>
  <c r="E399" i="1"/>
  <c r="F399" i="1"/>
  <c r="G399" i="1"/>
  <c r="I399" i="1"/>
  <c r="J399" i="1"/>
  <c r="K399" i="1"/>
  <c r="L399" i="1"/>
  <c r="M399" i="1"/>
  <c r="N399" i="1"/>
  <c r="O399" i="1"/>
  <c r="P399" i="1"/>
  <c r="Q399" i="1"/>
  <c r="R399" i="1"/>
  <c r="S399" i="1"/>
  <c r="T399" i="1"/>
  <c r="U399" i="1"/>
  <c r="V399" i="1"/>
  <c r="W399" i="1"/>
  <c r="X399" i="1"/>
  <c r="Y399" i="1"/>
  <c r="Z399" i="1"/>
  <c r="A400" i="1"/>
  <c r="B400" i="1"/>
  <c r="C400" i="1"/>
  <c r="D400" i="1"/>
  <c r="E400" i="1"/>
  <c r="F400" i="1"/>
  <c r="G400" i="1"/>
  <c r="I400" i="1"/>
  <c r="J400" i="1"/>
  <c r="K400" i="1"/>
  <c r="L400" i="1"/>
  <c r="M400" i="1"/>
  <c r="N400" i="1"/>
  <c r="O400" i="1"/>
  <c r="P400" i="1"/>
  <c r="Q400" i="1"/>
  <c r="R400" i="1"/>
  <c r="S400" i="1"/>
  <c r="T400" i="1"/>
  <c r="U400" i="1"/>
  <c r="V400" i="1"/>
  <c r="W400" i="1"/>
  <c r="X400" i="1"/>
  <c r="Y400" i="1"/>
  <c r="Z400" i="1"/>
  <c r="A401" i="1"/>
  <c r="B401" i="1"/>
  <c r="C401" i="1"/>
  <c r="D401" i="1"/>
  <c r="E401" i="1"/>
  <c r="F401" i="1"/>
  <c r="G401" i="1"/>
  <c r="I401" i="1"/>
  <c r="J401" i="1"/>
  <c r="K401" i="1"/>
  <c r="L401" i="1"/>
  <c r="M401" i="1"/>
  <c r="N401" i="1"/>
  <c r="O401" i="1"/>
  <c r="P401" i="1"/>
  <c r="Q401" i="1"/>
  <c r="R401" i="1"/>
  <c r="S401" i="1"/>
  <c r="T401" i="1"/>
  <c r="U401" i="1"/>
  <c r="V401" i="1"/>
  <c r="W401" i="1"/>
  <c r="X401" i="1"/>
  <c r="Y401" i="1"/>
  <c r="Z401" i="1"/>
  <c r="A402" i="1"/>
  <c r="B402" i="1"/>
  <c r="C402" i="1"/>
  <c r="D402" i="1"/>
  <c r="E402" i="1"/>
  <c r="F402" i="1"/>
  <c r="G402" i="1"/>
  <c r="I402" i="1"/>
  <c r="J402" i="1"/>
  <c r="K402" i="1"/>
  <c r="L402" i="1"/>
  <c r="M402" i="1"/>
  <c r="N402" i="1"/>
  <c r="O402" i="1"/>
  <c r="P402" i="1"/>
  <c r="Q402" i="1"/>
  <c r="R402" i="1"/>
  <c r="S402" i="1"/>
  <c r="T402" i="1"/>
  <c r="U402" i="1"/>
  <c r="V402" i="1"/>
  <c r="W402" i="1"/>
  <c r="X402" i="1"/>
  <c r="Y402" i="1"/>
  <c r="Z402" i="1"/>
  <c r="A403" i="1"/>
  <c r="B403" i="1"/>
  <c r="C403" i="1"/>
  <c r="D403" i="1"/>
  <c r="E403" i="1"/>
  <c r="F403" i="1"/>
  <c r="G403" i="1"/>
  <c r="I403" i="1"/>
  <c r="J403" i="1"/>
  <c r="K403" i="1"/>
  <c r="L403" i="1"/>
  <c r="M403" i="1"/>
  <c r="N403" i="1"/>
  <c r="O403" i="1"/>
  <c r="P403" i="1"/>
  <c r="Q403" i="1"/>
  <c r="R403" i="1"/>
  <c r="S403" i="1"/>
  <c r="T403" i="1"/>
  <c r="U403" i="1"/>
  <c r="V403" i="1"/>
  <c r="W403" i="1"/>
  <c r="X403" i="1"/>
  <c r="Y403" i="1"/>
  <c r="Z403" i="1"/>
  <c r="A404" i="1"/>
  <c r="B404" i="1"/>
  <c r="C404" i="1"/>
  <c r="D404" i="1"/>
  <c r="E404" i="1"/>
  <c r="F404" i="1"/>
  <c r="G404" i="1"/>
  <c r="I404" i="1"/>
  <c r="J404" i="1"/>
  <c r="K404" i="1"/>
  <c r="L404" i="1"/>
  <c r="M404" i="1"/>
  <c r="N404" i="1"/>
  <c r="O404" i="1"/>
  <c r="P404" i="1"/>
  <c r="Q404" i="1"/>
  <c r="R404" i="1"/>
  <c r="S404" i="1"/>
  <c r="T404" i="1"/>
  <c r="U404" i="1"/>
  <c r="V404" i="1"/>
  <c r="W404" i="1"/>
  <c r="X404" i="1"/>
  <c r="Y404" i="1"/>
  <c r="Z404" i="1"/>
  <c r="A405" i="1"/>
  <c r="B405" i="1"/>
  <c r="C405" i="1"/>
  <c r="D405" i="1"/>
  <c r="E405" i="1"/>
  <c r="F405" i="1"/>
  <c r="G405" i="1"/>
  <c r="I405" i="1"/>
  <c r="J405" i="1"/>
  <c r="K405" i="1"/>
  <c r="L405" i="1"/>
  <c r="M405" i="1"/>
  <c r="N405" i="1"/>
  <c r="O405" i="1"/>
  <c r="P405" i="1"/>
  <c r="Q405" i="1"/>
  <c r="R405" i="1"/>
  <c r="S405" i="1"/>
  <c r="T405" i="1"/>
  <c r="U405" i="1"/>
  <c r="V405" i="1"/>
  <c r="W405" i="1"/>
  <c r="X405" i="1"/>
  <c r="Y405" i="1"/>
  <c r="Z405" i="1"/>
  <c r="A406" i="1"/>
  <c r="B406" i="1"/>
  <c r="C406" i="1"/>
  <c r="D406" i="1"/>
  <c r="E406" i="1"/>
  <c r="F406" i="1"/>
  <c r="G406" i="1"/>
  <c r="I406" i="1"/>
  <c r="J406" i="1"/>
  <c r="K406" i="1"/>
  <c r="L406" i="1"/>
  <c r="M406" i="1"/>
  <c r="N406" i="1"/>
  <c r="O406" i="1"/>
  <c r="P406" i="1"/>
  <c r="Q406" i="1"/>
  <c r="R406" i="1"/>
  <c r="S406" i="1"/>
  <c r="T406" i="1"/>
  <c r="U406" i="1"/>
  <c r="V406" i="1"/>
  <c r="W406" i="1"/>
  <c r="X406" i="1"/>
  <c r="Y406" i="1"/>
  <c r="Z406" i="1"/>
  <c r="A407" i="1"/>
  <c r="B407" i="1"/>
  <c r="C407" i="1"/>
  <c r="D407" i="1"/>
  <c r="E407" i="1"/>
  <c r="F407" i="1"/>
  <c r="G407" i="1"/>
  <c r="I407" i="1"/>
  <c r="J407" i="1"/>
  <c r="K407" i="1"/>
  <c r="L407" i="1"/>
  <c r="M407" i="1"/>
  <c r="N407" i="1"/>
  <c r="O407" i="1"/>
  <c r="P407" i="1"/>
  <c r="Q407" i="1"/>
  <c r="R407" i="1"/>
  <c r="S407" i="1"/>
  <c r="T407" i="1"/>
  <c r="U407" i="1"/>
  <c r="V407" i="1"/>
  <c r="W407" i="1"/>
  <c r="X407" i="1"/>
  <c r="Y407" i="1"/>
  <c r="Z407" i="1"/>
  <c r="A408" i="1"/>
  <c r="B408" i="1"/>
  <c r="C408" i="1"/>
  <c r="D408" i="1"/>
  <c r="E408" i="1"/>
  <c r="F408" i="1"/>
  <c r="G408" i="1"/>
  <c r="I408" i="1"/>
  <c r="J408" i="1"/>
  <c r="K408" i="1"/>
  <c r="L408" i="1"/>
  <c r="M408" i="1"/>
  <c r="N408" i="1"/>
  <c r="O408" i="1"/>
  <c r="P408" i="1"/>
  <c r="Q408" i="1"/>
  <c r="R408" i="1"/>
  <c r="S408" i="1"/>
  <c r="T408" i="1"/>
  <c r="U408" i="1"/>
  <c r="V408" i="1"/>
  <c r="W408" i="1"/>
  <c r="X408" i="1"/>
  <c r="Y408" i="1"/>
  <c r="Z408" i="1"/>
  <c r="A409" i="1"/>
  <c r="B409" i="1"/>
  <c r="C409" i="1"/>
  <c r="D409" i="1"/>
  <c r="E409" i="1"/>
  <c r="F409" i="1"/>
  <c r="G409" i="1"/>
  <c r="I409" i="1"/>
  <c r="J409" i="1"/>
  <c r="K409" i="1"/>
  <c r="L409" i="1"/>
  <c r="M409" i="1"/>
  <c r="N409" i="1"/>
  <c r="O409" i="1"/>
  <c r="P409" i="1"/>
  <c r="Q409" i="1"/>
  <c r="R409" i="1"/>
  <c r="S409" i="1"/>
  <c r="T409" i="1"/>
  <c r="U409" i="1"/>
  <c r="V409" i="1"/>
  <c r="W409" i="1"/>
  <c r="X409" i="1"/>
  <c r="Y409" i="1"/>
  <c r="Z409" i="1"/>
  <c r="A410" i="1"/>
  <c r="B410" i="1"/>
  <c r="C410" i="1"/>
  <c r="D410" i="1"/>
  <c r="E410" i="1"/>
  <c r="F410" i="1"/>
  <c r="G410" i="1"/>
  <c r="I410" i="1"/>
  <c r="J410" i="1"/>
  <c r="K410" i="1"/>
  <c r="L410" i="1"/>
  <c r="M410" i="1"/>
  <c r="N410" i="1"/>
  <c r="O410" i="1"/>
  <c r="P410" i="1"/>
  <c r="Q410" i="1"/>
  <c r="R410" i="1"/>
  <c r="S410" i="1"/>
  <c r="T410" i="1"/>
  <c r="U410" i="1"/>
  <c r="V410" i="1"/>
  <c r="W410" i="1"/>
  <c r="X410" i="1"/>
  <c r="Y410" i="1"/>
  <c r="Z410" i="1"/>
  <c r="A411" i="1"/>
  <c r="B411" i="1"/>
  <c r="C411" i="1"/>
  <c r="D411" i="1"/>
  <c r="E411" i="1"/>
  <c r="F411" i="1"/>
  <c r="G411" i="1"/>
  <c r="I411" i="1"/>
  <c r="J411" i="1"/>
  <c r="K411" i="1"/>
  <c r="L411" i="1"/>
  <c r="M411" i="1"/>
  <c r="N411" i="1"/>
  <c r="O411" i="1"/>
  <c r="P411" i="1"/>
  <c r="Q411" i="1"/>
  <c r="R411" i="1"/>
  <c r="S411" i="1"/>
  <c r="T411" i="1"/>
  <c r="U411" i="1"/>
  <c r="V411" i="1"/>
  <c r="W411" i="1"/>
  <c r="X411" i="1"/>
  <c r="Y411" i="1"/>
  <c r="Z411" i="1"/>
  <c r="A412" i="1"/>
  <c r="B412" i="1"/>
  <c r="C412" i="1"/>
  <c r="D412" i="1"/>
  <c r="E412" i="1"/>
  <c r="F412" i="1"/>
  <c r="G412" i="1"/>
  <c r="I412" i="1"/>
  <c r="J412" i="1"/>
  <c r="K412" i="1"/>
  <c r="L412" i="1"/>
  <c r="M412" i="1"/>
  <c r="N412" i="1"/>
  <c r="O412" i="1"/>
  <c r="P412" i="1"/>
  <c r="Q412" i="1"/>
  <c r="R412" i="1"/>
  <c r="S412" i="1"/>
  <c r="T412" i="1"/>
  <c r="U412" i="1"/>
  <c r="V412" i="1"/>
  <c r="W412" i="1"/>
  <c r="X412" i="1"/>
  <c r="Y412" i="1"/>
  <c r="Z412" i="1"/>
  <c r="A413" i="1"/>
  <c r="B413" i="1"/>
  <c r="C413" i="1"/>
  <c r="D413" i="1"/>
  <c r="E413" i="1"/>
  <c r="F413" i="1"/>
  <c r="G413" i="1"/>
  <c r="I413" i="1"/>
  <c r="J413" i="1"/>
  <c r="K413" i="1"/>
  <c r="L413" i="1"/>
  <c r="M413" i="1"/>
  <c r="N413" i="1"/>
  <c r="O413" i="1"/>
  <c r="P413" i="1"/>
  <c r="Q413" i="1"/>
  <c r="R413" i="1"/>
  <c r="S413" i="1"/>
  <c r="T413" i="1"/>
  <c r="U413" i="1"/>
  <c r="V413" i="1"/>
  <c r="W413" i="1"/>
  <c r="X413" i="1"/>
  <c r="Y413" i="1"/>
  <c r="Z413" i="1"/>
  <c r="A414" i="1"/>
  <c r="B414" i="1"/>
  <c r="C414" i="1"/>
  <c r="D414" i="1"/>
  <c r="E414" i="1"/>
  <c r="F414" i="1"/>
  <c r="G414" i="1"/>
  <c r="I414" i="1"/>
  <c r="J414" i="1"/>
  <c r="K414" i="1"/>
  <c r="L414" i="1"/>
  <c r="M414" i="1"/>
  <c r="N414" i="1"/>
  <c r="O414" i="1"/>
  <c r="P414" i="1"/>
  <c r="Q414" i="1"/>
  <c r="R414" i="1"/>
  <c r="S414" i="1"/>
  <c r="T414" i="1"/>
  <c r="U414" i="1"/>
  <c r="V414" i="1"/>
  <c r="W414" i="1"/>
  <c r="X414" i="1"/>
  <c r="Y414" i="1"/>
  <c r="Z414" i="1"/>
  <c r="A415" i="1"/>
  <c r="B415" i="1"/>
  <c r="C415" i="1"/>
  <c r="D415" i="1"/>
  <c r="E415" i="1"/>
  <c r="F415" i="1"/>
  <c r="G415" i="1"/>
  <c r="I415" i="1"/>
  <c r="J415" i="1"/>
  <c r="K415" i="1"/>
  <c r="L415" i="1"/>
  <c r="M415" i="1"/>
  <c r="N415" i="1"/>
  <c r="O415" i="1"/>
  <c r="P415" i="1"/>
  <c r="Q415" i="1"/>
  <c r="R415" i="1"/>
  <c r="S415" i="1"/>
  <c r="T415" i="1"/>
  <c r="U415" i="1"/>
  <c r="V415" i="1"/>
  <c r="W415" i="1"/>
  <c r="X415" i="1"/>
  <c r="Y415" i="1"/>
  <c r="Z415" i="1"/>
  <c r="A416" i="1"/>
  <c r="B416" i="1"/>
  <c r="C416" i="1"/>
  <c r="D416" i="1"/>
  <c r="E416" i="1"/>
  <c r="F416" i="1"/>
  <c r="G416" i="1"/>
  <c r="I416" i="1"/>
  <c r="J416" i="1"/>
  <c r="K416" i="1"/>
  <c r="L416" i="1"/>
  <c r="M416" i="1"/>
  <c r="N416" i="1"/>
  <c r="O416" i="1"/>
  <c r="P416" i="1"/>
  <c r="Q416" i="1"/>
  <c r="R416" i="1"/>
  <c r="S416" i="1"/>
  <c r="T416" i="1"/>
  <c r="U416" i="1"/>
  <c r="V416" i="1"/>
  <c r="W416" i="1"/>
  <c r="X416" i="1"/>
  <c r="Y416" i="1"/>
  <c r="Z416" i="1"/>
  <c r="A417" i="1"/>
  <c r="B417" i="1"/>
  <c r="C417" i="1"/>
  <c r="D417" i="1"/>
  <c r="E417" i="1"/>
  <c r="F417" i="1"/>
  <c r="G417" i="1"/>
  <c r="I417" i="1"/>
  <c r="J417" i="1"/>
  <c r="K417" i="1"/>
  <c r="L417" i="1"/>
  <c r="M417" i="1"/>
  <c r="N417" i="1"/>
  <c r="O417" i="1"/>
  <c r="P417" i="1"/>
  <c r="Q417" i="1"/>
  <c r="R417" i="1"/>
  <c r="S417" i="1"/>
  <c r="T417" i="1"/>
  <c r="U417" i="1"/>
  <c r="V417" i="1"/>
  <c r="W417" i="1"/>
  <c r="X417" i="1"/>
  <c r="Y417" i="1"/>
  <c r="Z417" i="1"/>
  <c r="A418" i="1"/>
  <c r="B418" i="1"/>
  <c r="C418" i="1"/>
  <c r="D418" i="1"/>
  <c r="E418" i="1"/>
  <c r="F418" i="1"/>
  <c r="G418" i="1"/>
  <c r="I418" i="1"/>
  <c r="J418" i="1"/>
  <c r="K418" i="1"/>
  <c r="L418" i="1"/>
  <c r="M418" i="1"/>
  <c r="N418" i="1"/>
  <c r="O418" i="1"/>
  <c r="P418" i="1"/>
  <c r="Q418" i="1"/>
  <c r="R418" i="1"/>
  <c r="S418" i="1"/>
  <c r="T418" i="1"/>
  <c r="U418" i="1"/>
  <c r="V418" i="1"/>
  <c r="W418" i="1"/>
  <c r="X418" i="1"/>
  <c r="Y418" i="1"/>
  <c r="Z418" i="1"/>
  <c r="A419" i="1"/>
  <c r="B419" i="1"/>
  <c r="C419" i="1"/>
  <c r="D419" i="1"/>
  <c r="E419" i="1"/>
  <c r="F419" i="1"/>
  <c r="G419" i="1"/>
  <c r="I419" i="1"/>
  <c r="J419" i="1"/>
  <c r="K419" i="1"/>
  <c r="L419" i="1"/>
  <c r="M419" i="1"/>
  <c r="N419" i="1"/>
  <c r="O419" i="1"/>
  <c r="P419" i="1"/>
  <c r="Q419" i="1"/>
  <c r="R419" i="1"/>
  <c r="S419" i="1"/>
  <c r="T419" i="1"/>
  <c r="U419" i="1"/>
  <c r="V419" i="1"/>
  <c r="W419" i="1"/>
  <c r="X419" i="1"/>
  <c r="Y419" i="1"/>
  <c r="Z419" i="1"/>
  <c r="A420" i="1"/>
  <c r="B420" i="1"/>
  <c r="C420" i="1"/>
  <c r="D420" i="1"/>
  <c r="E420" i="1"/>
  <c r="F420" i="1"/>
  <c r="G420" i="1"/>
  <c r="I420" i="1"/>
  <c r="J420" i="1"/>
  <c r="K420" i="1"/>
  <c r="L420" i="1"/>
  <c r="M420" i="1"/>
  <c r="N420" i="1"/>
  <c r="O420" i="1"/>
  <c r="P420" i="1"/>
  <c r="Q420" i="1"/>
  <c r="R420" i="1"/>
  <c r="S420" i="1"/>
  <c r="T420" i="1"/>
  <c r="U420" i="1"/>
  <c r="V420" i="1"/>
  <c r="W420" i="1"/>
  <c r="X420" i="1"/>
  <c r="Y420" i="1"/>
  <c r="Z420" i="1"/>
  <c r="A421" i="1"/>
  <c r="B421" i="1"/>
  <c r="C421" i="1"/>
  <c r="D421" i="1"/>
  <c r="E421" i="1"/>
  <c r="F421" i="1"/>
  <c r="G421" i="1"/>
  <c r="I421" i="1"/>
  <c r="J421" i="1"/>
  <c r="K421" i="1"/>
  <c r="L421" i="1"/>
  <c r="M421" i="1"/>
  <c r="N421" i="1"/>
  <c r="O421" i="1"/>
  <c r="P421" i="1"/>
  <c r="Q421" i="1"/>
  <c r="R421" i="1"/>
  <c r="S421" i="1"/>
  <c r="T421" i="1"/>
  <c r="U421" i="1"/>
  <c r="V421" i="1"/>
  <c r="W421" i="1"/>
  <c r="X421" i="1"/>
  <c r="Y421" i="1"/>
  <c r="Z421" i="1"/>
  <c r="A422" i="1"/>
  <c r="B422" i="1"/>
  <c r="C422" i="1"/>
  <c r="D422" i="1"/>
  <c r="E422" i="1"/>
  <c r="F422" i="1"/>
  <c r="G422" i="1"/>
  <c r="I422" i="1"/>
  <c r="J422" i="1"/>
  <c r="K422" i="1"/>
  <c r="L422" i="1"/>
  <c r="M422" i="1"/>
  <c r="N422" i="1"/>
  <c r="O422" i="1"/>
  <c r="P422" i="1"/>
  <c r="Q422" i="1"/>
  <c r="R422" i="1"/>
  <c r="S422" i="1"/>
  <c r="T422" i="1"/>
  <c r="U422" i="1"/>
  <c r="V422" i="1"/>
  <c r="W422" i="1"/>
  <c r="X422" i="1"/>
  <c r="Y422" i="1"/>
  <c r="Z422" i="1"/>
  <c r="A423" i="1"/>
  <c r="B423" i="1"/>
  <c r="C423" i="1"/>
  <c r="D423" i="1"/>
  <c r="E423" i="1"/>
  <c r="F423" i="1"/>
  <c r="G423" i="1"/>
  <c r="I423" i="1"/>
  <c r="J423" i="1"/>
  <c r="K423" i="1"/>
  <c r="L423" i="1"/>
  <c r="M423" i="1"/>
  <c r="N423" i="1"/>
  <c r="O423" i="1"/>
  <c r="P423" i="1"/>
  <c r="Q423" i="1"/>
  <c r="R423" i="1"/>
  <c r="S423" i="1"/>
  <c r="T423" i="1"/>
  <c r="U423" i="1"/>
  <c r="V423" i="1"/>
  <c r="W423" i="1"/>
  <c r="X423" i="1"/>
  <c r="Y423" i="1"/>
  <c r="Z423" i="1"/>
  <c r="A424" i="1"/>
  <c r="B424" i="1"/>
  <c r="C424" i="1"/>
  <c r="D424" i="1"/>
  <c r="E424" i="1"/>
  <c r="F424" i="1"/>
  <c r="G424" i="1"/>
  <c r="I424" i="1"/>
  <c r="J424" i="1"/>
  <c r="K424" i="1"/>
  <c r="L424" i="1"/>
  <c r="M424" i="1"/>
  <c r="N424" i="1"/>
  <c r="O424" i="1"/>
  <c r="P424" i="1"/>
  <c r="Q424" i="1"/>
  <c r="R424" i="1"/>
  <c r="S424" i="1"/>
  <c r="T424" i="1"/>
  <c r="U424" i="1"/>
  <c r="V424" i="1"/>
  <c r="W424" i="1"/>
  <c r="X424" i="1"/>
  <c r="Y424" i="1"/>
  <c r="Z424" i="1"/>
  <c r="A425" i="1"/>
  <c r="B425" i="1"/>
  <c r="C425" i="1"/>
  <c r="D425" i="1"/>
  <c r="E425" i="1"/>
  <c r="F425" i="1"/>
  <c r="G425" i="1"/>
  <c r="I425" i="1"/>
  <c r="J425" i="1"/>
  <c r="K425" i="1"/>
  <c r="L425" i="1"/>
  <c r="M425" i="1"/>
  <c r="N425" i="1"/>
  <c r="O425" i="1"/>
  <c r="P425" i="1"/>
  <c r="Q425" i="1"/>
  <c r="R425" i="1"/>
  <c r="S425" i="1"/>
  <c r="T425" i="1"/>
  <c r="U425" i="1"/>
  <c r="V425" i="1"/>
  <c r="W425" i="1"/>
  <c r="X425" i="1"/>
  <c r="Y425" i="1"/>
  <c r="Z425" i="1"/>
  <c r="A426" i="1"/>
  <c r="B426" i="1"/>
  <c r="C426" i="1"/>
  <c r="D426" i="1"/>
  <c r="E426" i="1"/>
  <c r="F426" i="1"/>
  <c r="G426" i="1"/>
  <c r="I426" i="1"/>
  <c r="J426" i="1"/>
  <c r="K426" i="1"/>
  <c r="L426" i="1"/>
  <c r="M426" i="1"/>
  <c r="N426" i="1"/>
  <c r="O426" i="1"/>
  <c r="P426" i="1"/>
  <c r="Q426" i="1"/>
  <c r="R426" i="1"/>
  <c r="S426" i="1"/>
  <c r="T426" i="1"/>
  <c r="U426" i="1"/>
  <c r="V426" i="1"/>
  <c r="W426" i="1"/>
  <c r="X426" i="1"/>
  <c r="Y426" i="1"/>
  <c r="Z426" i="1"/>
  <c r="A427" i="1"/>
  <c r="B427" i="1"/>
  <c r="C427" i="1"/>
  <c r="D427" i="1"/>
  <c r="E427" i="1"/>
  <c r="F427" i="1"/>
  <c r="G427" i="1"/>
  <c r="I427" i="1"/>
  <c r="J427" i="1"/>
  <c r="K427" i="1"/>
  <c r="L427" i="1"/>
  <c r="M427" i="1"/>
  <c r="N427" i="1"/>
  <c r="O427" i="1"/>
  <c r="P427" i="1"/>
  <c r="Q427" i="1"/>
  <c r="R427" i="1"/>
  <c r="S427" i="1"/>
  <c r="T427" i="1"/>
  <c r="U427" i="1"/>
  <c r="V427" i="1"/>
  <c r="W427" i="1"/>
  <c r="X427" i="1"/>
  <c r="Y427" i="1"/>
  <c r="Z427" i="1"/>
  <c r="A428" i="1"/>
  <c r="B428" i="1"/>
  <c r="C428" i="1"/>
  <c r="D428" i="1"/>
  <c r="E428" i="1"/>
  <c r="F428" i="1"/>
  <c r="G428" i="1"/>
  <c r="I428" i="1"/>
  <c r="J428" i="1"/>
  <c r="K428" i="1"/>
  <c r="L428" i="1"/>
  <c r="M428" i="1"/>
  <c r="N428" i="1"/>
  <c r="O428" i="1"/>
  <c r="P428" i="1"/>
  <c r="Q428" i="1"/>
  <c r="R428" i="1"/>
  <c r="S428" i="1"/>
  <c r="T428" i="1"/>
  <c r="U428" i="1"/>
  <c r="V428" i="1"/>
  <c r="W428" i="1"/>
  <c r="X428" i="1"/>
  <c r="Y428" i="1"/>
  <c r="Z428" i="1"/>
  <c r="A429" i="1"/>
  <c r="B429" i="1"/>
  <c r="C429" i="1"/>
  <c r="D429" i="1"/>
  <c r="E429" i="1"/>
  <c r="F429" i="1"/>
  <c r="G429" i="1"/>
  <c r="I429" i="1"/>
  <c r="J429" i="1"/>
  <c r="K429" i="1"/>
  <c r="L429" i="1"/>
  <c r="M429" i="1"/>
  <c r="N429" i="1"/>
  <c r="O429" i="1"/>
  <c r="P429" i="1"/>
  <c r="Q429" i="1"/>
  <c r="R429" i="1"/>
  <c r="S429" i="1"/>
  <c r="T429" i="1"/>
  <c r="U429" i="1"/>
  <c r="V429" i="1"/>
  <c r="W429" i="1"/>
  <c r="X429" i="1"/>
  <c r="Y429" i="1"/>
  <c r="Z429" i="1"/>
  <c r="A430" i="1"/>
  <c r="B430" i="1"/>
  <c r="C430" i="1"/>
  <c r="D430" i="1"/>
  <c r="E430" i="1"/>
  <c r="F430" i="1"/>
  <c r="G430" i="1"/>
  <c r="I430" i="1"/>
  <c r="J430" i="1"/>
  <c r="K430" i="1"/>
  <c r="L430" i="1"/>
  <c r="M430" i="1"/>
  <c r="N430" i="1"/>
  <c r="O430" i="1"/>
  <c r="P430" i="1"/>
  <c r="Q430" i="1"/>
  <c r="R430" i="1"/>
  <c r="S430" i="1"/>
  <c r="T430" i="1"/>
  <c r="U430" i="1"/>
  <c r="V430" i="1"/>
  <c r="W430" i="1"/>
  <c r="X430" i="1"/>
  <c r="Y430" i="1"/>
  <c r="Z430" i="1"/>
  <c r="A431" i="1"/>
  <c r="B431" i="1"/>
  <c r="C431" i="1"/>
  <c r="D431" i="1"/>
  <c r="E431" i="1"/>
  <c r="F431" i="1"/>
  <c r="G431" i="1"/>
  <c r="I431" i="1"/>
  <c r="J431" i="1"/>
  <c r="K431" i="1"/>
  <c r="L431" i="1"/>
  <c r="M431" i="1"/>
  <c r="N431" i="1"/>
  <c r="O431" i="1"/>
  <c r="P431" i="1"/>
  <c r="Q431" i="1"/>
  <c r="R431" i="1"/>
  <c r="S431" i="1"/>
  <c r="T431" i="1"/>
  <c r="U431" i="1"/>
  <c r="V431" i="1"/>
  <c r="W431" i="1"/>
  <c r="X431" i="1"/>
  <c r="Y431" i="1"/>
  <c r="Z431" i="1"/>
  <c r="A432" i="1"/>
  <c r="B432" i="1"/>
  <c r="C432" i="1"/>
  <c r="D432" i="1"/>
  <c r="E432" i="1"/>
  <c r="F432" i="1"/>
  <c r="G432" i="1"/>
  <c r="I432" i="1"/>
  <c r="J432" i="1"/>
  <c r="K432" i="1"/>
  <c r="L432" i="1"/>
  <c r="M432" i="1"/>
  <c r="N432" i="1"/>
  <c r="O432" i="1"/>
  <c r="P432" i="1"/>
  <c r="Q432" i="1"/>
  <c r="R432" i="1"/>
  <c r="S432" i="1"/>
  <c r="T432" i="1"/>
  <c r="U432" i="1"/>
  <c r="V432" i="1"/>
  <c r="W432" i="1"/>
  <c r="X432" i="1"/>
  <c r="Y432" i="1"/>
  <c r="Z432" i="1"/>
  <c r="A433" i="1"/>
  <c r="B433" i="1"/>
  <c r="C433" i="1"/>
  <c r="D433" i="1"/>
  <c r="E433" i="1"/>
  <c r="F433" i="1"/>
  <c r="G433" i="1"/>
  <c r="I433" i="1"/>
  <c r="J433" i="1"/>
  <c r="K433" i="1"/>
  <c r="L433" i="1"/>
  <c r="M433" i="1"/>
  <c r="N433" i="1"/>
  <c r="O433" i="1"/>
  <c r="P433" i="1"/>
  <c r="Q433" i="1"/>
  <c r="R433" i="1"/>
  <c r="S433" i="1"/>
  <c r="T433" i="1"/>
  <c r="U433" i="1"/>
  <c r="V433" i="1"/>
  <c r="W433" i="1"/>
  <c r="X433" i="1"/>
  <c r="Y433" i="1"/>
  <c r="Z433" i="1"/>
  <c r="A434" i="1"/>
  <c r="B434" i="1"/>
  <c r="C434" i="1"/>
  <c r="D434" i="1"/>
  <c r="E434" i="1"/>
  <c r="F434" i="1"/>
  <c r="G434" i="1"/>
  <c r="I434" i="1"/>
  <c r="J434" i="1"/>
  <c r="K434" i="1"/>
  <c r="L434" i="1"/>
  <c r="M434" i="1"/>
  <c r="N434" i="1"/>
  <c r="O434" i="1"/>
  <c r="P434" i="1"/>
  <c r="Q434" i="1"/>
  <c r="R434" i="1"/>
  <c r="S434" i="1"/>
  <c r="T434" i="1"/>
  <c r="U434" i="1"/>
  <c r="V434" i="1"/>
  <c r="W434" i="1"/>
  <c r="X434" i="1"/>
  <c r="Y434" i="1"/>
  <c r="Z434" i="1"/>
  <c r="A435" i="1"/>
  <c r="B435" i="1"/>
  <c r="C435" i="1"/>
  <c r="D435" i="1"/>
  <c r="E435" i="1"/>
  <c r="F435" i="1"/>
  <c r="G435" i="1"/>
  <c r="I435" i="1"/>
  <c r="J435" i="1"/>
  <c r="K435" i="1"/>
  <c r="L435" i="1"/>
  <c r="M435" i="1"/>
  <c r="N435" i="1"/>
  <c r="O435" i="1"/>
  <c r="P435" i="1"/>
  <c r="Q435" i="1"/>
  <c r="R435" i="1"/>
  <c r="S435" i="1"/>
  <c r="T435" i="1"/>
  <c r="U435" i="1"/>
  <c r="V435" i="1"/>
  <c r="W435" i="1"/>
  <c r="X435" i="1"/>
  <c r="Y435" i="1"/>
  <c r="Z435" i="1"/>
  <c r="A436" i="1"/>
  <c r="B436" i="1"/>
  <c r="C436" i="1"/>
  <c r="D436" i="1"/>
  <c r="E436" i="1"/>
  <c r="F436" i="1"/>
  <c r="G436" i="1"/>
  <c r="I436" i="1"/>
  <c r="J436" i="1"/>
  <c r="K436" i="1"/>
  <c r="L436" i="1"/>
  <c r="M436" i="1"/>
  <c r="N436" i="1"/>
  <c r="O436" i="1"/>
  <c r="P436" i="1"/>
  <c r="Q436" i="1"/>
  <c r="R436" i="1"/>
  <c r="S436" i="1"/>
  <c r="T436" i="1"/>
  <c r="U436" i="1"/>
  <c r="V436" i="1"/>
  <c r="W436" i="1"/>
  <c r="X436" i="1"/>
  <c r="Y436" i="1"/>
  <c r="Z436" i="1"/>
  <c r="A437" i="1"/>
  <c r="B437" i="1"/>
  <c r="C437" i="1"/>
  <c r="D437" i="1"/>
  <c r="E437" i="1"/>
  <c r="F437" i="1"/>
  <c r="G437" i="1"/>
  <c r="I437" i="1"/>
  <c r="J437" i="1"/>
  <c r="K437" i="1"/>
  <c r="L437" i="1"/>
  <c r="M437" i="1"/>
  <c r="N437" i="1"/>
  <c r="O437" i="1"/>
  <c r="P437" i="1"/>
  <c r="Q437" i="1"/>
  <c r="R437" i="1"/>
  <c r="S437" i="1"/>
  <c r="T437" i="1"/>
  <c r="U437" i="1"/>
  <c r="V437" i="1"/>
  <c r="W437" i="1"/>
  <c r="X437" i="1"/>
  <c r="Y437" i="1"/>
  <c r="Z437" i="1"/>
  <c r="A438" i="1"/>
  <c r="B438" i="1"/>
  <c r="C438" i="1"/>
  <c r="D438" i="1"/>
  <c r="E438" i="1"/>
  <c r="F438" i="1"/>
  <c r="G438" i="1"/>
  <c r="I438" i="1"/>
  <c r="J438" i="1"/>
  <c r="K438" i="1"/>
  <c r="L438" i="1"/>
  <c r="M438" i="1"/>
  <c r="N438" i="1"/>
  <c r="O438" i="1"/>
  <c r="P438" i="1"/>
  <c r="Q438" i="1"/>
  <c r="R438" i="1"/>
  <c r="S438" i="1"/>
  <c r="T438" i="1"/>
  <c r="U438" i="1"/>
  <c r="V438" i="1"/>
  <c r="W438" i="1"/>
  <c r="X438" i="1"/>
  <c r="Y438" i="1"/>
  <c r="Z438" i="1"/>
  <c r="A439" i="1"/>
  <c r="B439" i="1"/>
  <c r="C439" i="1"/>
  <c r="D439" i="1"/>
  <c r="E439" i="1"/>
  <c r="F439" i="1"/>
  <c r="G439" i="1"/>
  <c r="I439" i="1"/>
  <c r="J439" i="1"/>
  <c r="K439" i="1"/>
  <c r="L439" i="1"/>
  <c r="M439" i="1"/>
  <c r="N439" i="1"/>
  <c r="O439" i="1"/>
  <c r="P439" i="1"/>
  <c r="Q439" i="1"/>
  <c r="R439" i="1"/>
  <c r="S439" i="1"/>
  <c r="T439" i="1"/>
  <c r="U439" i="1"/>
  <c r="V439" i="1"/>
  <c r="W439" i="1"/>
  <c r="X439" i="1"/>
  <c r="Y439" i="1"/>
  <c r="Z439" i="1"/>
  <c r="A440" i="1"/>
  <c r="B440" i="1"/>
  <c r="C440" i="1"/>
  <c r="D440" i="1"/>
  <c r="E440" i="1"/>
  <c r="F440" i="1"/>
  <c r="G440" i="1"/>
  <c r="I440" i="1"/>
  <c r="J440" i="1"/>
  <c r="K440" i="1"/>
  <c r="L440" i="1"/>
  <c r="M440" i="1"/>
  <c r="N440" i="1"/>
  <c r="O440" i="1"/>
  <c r="P440" i="1"/>
  <c r="Q440" i="1"/>
  <c r="R440" i="1"/>
  <c r="S440" i="1"/>
  <c r="T440" i="1"/>
  <c r="U440" i="1"/>
  <c r="V440" i="1"/>
  <c r="W440" i="1"/>
  <c r="X440" i="1"/>
  <c r="Y440" i="1"/>
  <c r="Z440" i="1"/>
  <c r="A441" i="1"/>
  <c r="B441" i="1"/>
  <c r="C441" i="1"/>
  <c r="D441" i="1"/>
  <c r="E441" i="1"/>
  <c r="F441" i="1"/>
  <c r="G441" i="1"/>
  <c r="I441" i="1"/>
  <c r="J441" i="1"/>
  <c r="K441" i="1"/>
  <c r="L441" i="1"/>
  <c r="M441" i="1"/>
  <c r="N441" i="1"/>
  <c r="O441" i="1"/>
  <c r="P441" i="1"/>
  <c r="Q441" i="1"/>
  <c r="R441" i="1"/>
  <c r="S441" i="1"/>
  <c r="T441" i="1"/>
  <c r="U441" i="1"/>
  <c r="V441" i="1"/>
  <c r="W441" i="1"/>
  <c r="X441" i="1"/>
  <c r="Y441" i="1"/>
  <c r="Z441" i="1"/>
  <c r="A442" i="1"/>
  <c r="B442" i="1"/>
  <c r="C442" i="1"/>
  <c r="D442" i="1"/>
  <c r="E442" i="1"/>
  <c r="F442" i="1"/>
  <c r="G442" i="1"/>
  <c r="I442" i="1"/>
  <c r="J442" i="1"/>
  <c r="K442" i="1"/>
  <c r="L442" i="1"/>
  <c r="M442" i="1"/>
  <c r="N442" i="1"/>
  <c r="O442" i="1"/>
  <c r="P442" i="1"/>
  <c r="Q442" i="1"/>
  <c r="R442" i="1"/>
  <c r="S442" i="1"/>
  <c r="T442" i="1"/>
  <c r="U442" i="1"/>
  <c r="V442" i="1"/>
  <c r="W442" i="1"/>
  <c r="X442" i="1"/>
  <c r="Y442" i="1"/>
  <c r="Z442" i="1"/>
  <c r="A443" i="1"/>
  <c r="B443" i="1"/>
  <c r="C443" i="1"/>
  <c r="D443" i="1"/>
  <c r="E443" i="1"/>
  <c r="F443" i="1"/>
  <c r="G443" i="1"/>
  <c r="I443" i="1"/>
  <c r="J443" i="1"/>
  <c r="K443" i="1"/>
  <c r="L443" i="1"/>
  <c r="M443" i="1"/>
  <c r="N443" i="1"/>
  <c r="O443" i="1"/>
  <c r="P443" i="1"/>
  <c r="Q443" i="1"/>
  <c r="R443" i="1"/>
  <c r="S443" i="1"/>
  <c r="T443" i="1"/>
  <c r="U443" i="1"/>
  <c r="V443" i="1"/>
  <c r="W443" i="1"/>
  <c r="X443" i="1"/>
  <c r="Y443" i="1"/>
  <c r="Z443" i="1"/>
  <c r="A444" i="1"/>
  <c r="B444" i="1"/>
  <c r="C444" i="1"/>
  <c r="D444" i="1"/>
  <c r="E444" i="1"/>
  <c r="F444" i="1"/>
  <c r="G444" i="1"/>
  <c r="I444" i="1"/>
  <c r="J444" i="1"/>
  <c r="K444" i="1"/>
  <c r="L444" i="1"/>
  <c r="M444" i="1"/>
  <c r="N444" i="1"/>
  <c r="O444" i="1"/>
  <c r="P444" i="1"/>
  <c r="Q444" i="1"/>
  <c r="R444" i="1"/>
  <c r="S444" i="1"/>
  <c r="T444" i="1"/>
  <c r="U444" i="1"/>
  <c r="V444" i="1"/>
  <c r="W444" i="1"/>
  <c r="X444" i="1"/>
  <c r="Y444" i="1"/>
  <c r="Z444" i="1"/>
  <c r="A445" i="1"/>
  <c r="B445" i="1"/>
  <c r="C445" i="1"/>
  <c r="D445" i="1"/>
  <c r="E445" i="1"/>
  <c r="F445" i="1"/>
  <c r="G445" i="1"/>
  <c r="I445" i="1"/>
  <c r="J445" i="1"/>
  <c r="K445" i="1"/>
  <c r="L445" i="1"/>
  <c r="M445" i="1"/>
  <c r="N445" i="1"/>
  <c r="O445" i="1"/>
  <c r="P445" i="1"/>
  <c r="Q445" i="1"/>
  <c r="R445" i="1"/>
  <c r="S445" i="1"/>
  <c r="T445" i="1"/>
  <c r="U445" i="1"/>
  <c r="V445" i="1"/>
  <c r="W445" i="1"/>
  <c r="X445" i="1"/>
  <c r="Y445" i="1"/>
  <c r="Z445" i="1"/>
  <c r="A446" i="1"/>
  <c r="B446" i="1"/>
  <c r="C446" i="1"/>
  <c r="D446" i="1"/>
  <c r="E446" i="1"/>
  <c r="F446" i="1"/>
  <c r="G446" i="1"/>
  <c r="I446" i="1"/>
  <c r="J446" i="1"/>
  <c r="K446" i="1"/>
  <c r="L446" i="1"/>
  <c r="M446" i="1"/>
  <c r="N446" i="1"/>
  <c r="O446" i="1"/>
  <c r="P446" i="1"/>
  <c r="Q446" i="1"/>
  <c r="R446" i="1"/>
  <c r="S446" i="1"/>
  <c r="T446" i="1"/>
  <c r="U446" i="1"/>
  <c r="V446" i="1"/>
  <c r="W446" i="1"/>
  <c r="X446" i="1"/>
  <c r="Y446" i="1"/>
  <c r="Z446" i="1"/>
  <c r="A447" i="1"/>
  <c r="B447" i="1"/>
  <c r="C447" i="1"/>
  <c r="D447" i="1"/>
  <c r="E447" i="1"/>
  <c r="F447" i="1"/>
  <c r="G447" i="1"/>
  <c r="I447" i="1"/>
  <c r="J447" i="1"/>
  <c r="K447" i="1"/>
  <c r="L447" i="1"/>
  <c r="M447" i="1"/>
  <c r="N447" i="1"/>
  <c r="O447" i="1"/>
  <c r="P447" i="1"/>
  <c r="Q447" i="1"/>
  <c r="R447" i="1"/>
  <c r="S447" i="1"/>
  <c r="T447" i="1"/>
  <c r="U447" i="1"/>
  <c r="V447" i="1"/>
  <c r="W447" i="1"/>
  <c r="X447" i="1"/>
  <c r="Y447" i="1"/>
  <c r="Z447" i="1"/>
  <c r="A448" i="1"/>
  <c r="B448" i="1"/>
  <c r="C448" i="1"/>
  <c r="D448" i="1"/>
  <c r="E448" i="1"/>
  <c r="F448" i="1"/>
  <c r="G448" i="1"/>
  <c r="I448" i="1"/>
  <c r="J448" i="1"/>
  <c r="K448" i="1"/>
  <c r="L448" i="1"/>
  <c r="M448" i="1"/>
  <c r="N448" i="1"/>
  <c r="O448" i="1"/>
  <c r="P448" i="1"/>
  <c r="Q448" i="1"/>
  <c r="R448" i="1"/>
  <c r="S448" i="1"/>
  <c r="T448" i="1"/>
  <c r="U448" i="1"/>
  <c r="V448" i="1"/>
  <c r="W448" i="1"/>
  <c r="X448" i="1"/>
  <c r="Y448" i="1"/>
  <c r="Z448" i="1"/>
  <c r="A449" i="1"/>
  <c r="B449" i="1"/>
  <c r="C449" i="1"/>
  <c r="D449" i="1"/>
  <c r="E449" i="1"/>
  <c r="F449" i="1"/>
  <c r="G449" i="1"/>
  <c r="I449" i="1"/>
  <c r="J449" i="1"/>
  <c r="K449" i="1"/>
  <c r="L449" i="1"/>
  <c r="M449" i="1"/>
  <c r="N449" i="1"/>
  <c r="O449" i="1"/>
  <c r="P449" i="1"/>
  <c r="Q449" i="1"/>
  <c r="R449" i="1"/>
  <c r="S449" i="1"/>
  <c r="T449" i="1"/>
  <c r="U449" i="1"/>
  <c r="V449" i="1"/>
  <c r="W449" i="1"/>
  <c r="X449" i="1"/>
  <c r="Y449" i="1"/>
  <c r="Z449" i="1"/>
  <c r="A450" i="1"/>
  <c r="B450" i="1"/>
  <c r="C450" i="1"/>
  <c r="D450" i="1"/>
  <c r="E450" i="1"/>
  <c r="F450" i="1"/>
  <c r="G450" i="1"/>
  <c r="I450" i="1"/>
  <c r="J450" i="1"/>
  <c r="K450" i="1"/>
  <c r="L450" i="1"/>
  <c r="M450" i="1"/>
  <c r="N450" i="1"/>
  <c r="O450" i="1"/>
  <c r="P450" i="1"/>
  <c r="Q450" i="1"/>
  <c r="R450" i="1"/>
  <c r="S450" i="1"/>
  <c r="T450" i="1"/>
  <c r="U450" i="1"/>
  <c r="V450" i="1"/>
  <c r="W450" i="1"/>
  <c r="X450" i="1"/>
  <c r="Y450" i="1"/>
  <c r="Z450" i="1"/>
  <c r="A451" i="1"/>
  <c r="B451" i="1"/>
  <c r="C451" i="1"/>
  <c r="D451" i="1"/>
  <c r="E451" i="1"/>
  <c r="F451" i="1"/>
  <c r="G451" i="1"/>
  <c r="I451" i="1"/>
  <c r="J451" i="1"/>
  <c r="K451" i="1"/>
  <c r="L451" i="1"/>
  <c r="M451" i="1"/>
  <c r="N451" i="1"/>
  <c r="O451" i="1"/>
  <c r="P451" i="1"/>
  <c r="Q451" i="1"/>
  <c r="R451" i="1"/>
  <c r="S451" i="1"/>
  <c r="T451" i="1"/>
  <c r="U451" i="1"/>
  <c r="V451" i="1"/>
  <c r="W451" i="1"/>
  <c r="X451" i="1"/>
  <c r="Y451" i="1"/>
  <c r="Z451" i="1"/>
  <c r="A452" i="1"/>
  <c r="B452" i="1"/>
  <c r="C452" i="1"/>
  <c r="D452" i="1"/>
  <c r="E452" i="1"/>
  <c r="F452" i="1"/>
  <c r="G452" i="1"/>
  <c r="I452" i="1"/>
  <c r="J452" i="1"/>
  <c r="K452" i="1"/>
  <c r="L452" i="1"/>
  <c r="M452" i="1"/>
  <c r="N452" i="1"/>
  <c r="O452" i="1"/>
  <c r="P452" i="1"/>
  <c r="Q452" i="1"/>
  <c r="R452" i="1"/>
  <c r="S452" i="1"/>
  <c r="T452" i="1"/>
  <c r="U452" i="1"/>
  <c r="V452" i="1"/>
  <c r="W452" i="1"/>
  <c r="X452" i="1"/>
  <c r="Y452" i="1"/>
  <c r="Z452" i="1"/>
  <c r="A453" i="1"/>
  <c r="B453" i="1"/>
  <c r="C453" i="1"/>
  <c r="D453" i="1"/>
  <c r="E453" i="1"/>
  <c r="F453" i="1"/>
  <c r="G453" i="1"/>
  <c r="I453" i="1"/>
  <c r="J453" i="1"/>
  <c r="K453" i="1"/>
  <c r="L453" i="1"/>
  <c r="M453" i="1"/>
  <c r="N453" i="1"/>
  <c r="O453" i="1"/>
  <c r="P453" i="1"/>
  <c r="Q453" i="1"/>
  <c r="R453" i="1"/>
  <c r="S453" i="1"/>
  <c r="T453" i="1"/>
  <c r="U453" i="1"/>
  <c r="V453" i="1"/>
  <c r="W453" i="1"/>
  <c r="X453" i="1"/>
  <c r="Y453" i="1"/>
  <c r="Z453" i="1"/>
  <c r="A454" i="1"/>
  <c r="B454" i="1"/>
  <c r="C454" i="1"/>
  <c r="D454" i="1"/>
  <c r="E454" i="1"/>
  <c r="F454" i="1"/>
  <c r="G454" i="1"/>
  <c r="I454" i="1"/>
  <c r="J454" i="1"/>
  <c r="K454" i="1"/>
  <c r="L454" i="1"/>
  <c r="M454" i="1"/>
  <c r="N454" i="1"/>
  <c r="O454" i="1"/>
  <c r="P454" i="1"/>
  <c r="Q454" i="1"/>
  <c r="R454" i="1"/>
  <c r="S454" i="1"/>
  <c r="T454" i="1"/>
  <c r="U454" i="1"/>
  <c r="V454" i="1"/>
  <c r="W454" i="1"/>
  <c r="X454" i="1"/>
  <c r="Y454" i="1"/>
  <c r="Z454" i="1"/>
  <c r="A455" i="1"/>
  <c r="B455" i="1"/>
  <c r="C455" i="1"/>
  <c r="D455" i="1"/>
  <c r="E455" i="1"/>
  <c r="F455" i="1"/>
  <c r="G455" i="1"/>
  <c r="I455" i="1"/>
  <c r="J455" i="1"/>
  <c r="K455" i="1"/>
  <c r="L455" i="1"/>
  <c r="M455" i="1"/>
  <c r="N455" i="1"/>
  <c r="O455" i="1"/>
  <c r="P455" i="1"/>
  <c r="Q455" i="1"/>
  <c r="R455" i="1"/>
  <c r="S455" i="1"/>
  <c r="T455" i="1"/>
  <c r="U455" i="1"/>
  <c r="V455" i="1"/>
  <c r="W455" i="1"/>
  <c r="X455" i="1"/>
  <c r="Y455" i="1"/>
  <c r="Z455" i="1"/>
  <c r="A456" i="1"/>
  <c r="B456" i="1"/>
  <c r="C456" i="1"/>
  <c r="D456" i="1"/>
  <c r="E456" i="1"/>
  <c r="F456" i="1"/>
  <c r="G456" i="1"/>
  <c r="I456" i="1"/>
  <c r="J456" i="1"/>
  <c r="K456" i="1"/>
  <c r="L456" i="1"/>
  <c r="M456" i="1"/>
  <c r="N456" i="1"/>
  <c r="O456" i="1"/>
  <c r="P456" i="1"/>
  <c r="Q456" i="1"/>
  <c r="R456" i="1"/>
  <c r="S456" i="1"/>
  <c r="T456" i="1"/>
  <c r="U456" i="1"/>
  <c r="V456" i="1"/>
  <c r="W456" i="1"/>
  <c r="X456" i="1"/>
  <c r="Y456" i="1"/>
  <c r="Z456" i="1"/>
  <c r="A457" i="1"/>
  <c r="B457" i="1"/>
  <c r="C457" i="1"/>
  <c r="D457" i="1"/>
  <c r="E457" i="1"/>
  <c r="F457" i="1"/>
  <c r="G457" i="1"/>
  <c r="I457" i="1"/>
  <c r="J457" i="1"/>
  <c r="K457" i="1"/>
  <c r="L457" i="1"/>
  <c r="M457" i="1"/>
  <c r="N457" i="1"/>
  <c r="O457" i="1"/>
  <c r="P457" i="1"/>
  <c r="Q457" i="1"/>
  <c r="R457" i="1"/>
  <c r="S457" i="1"/>
  <c r="T457" i="1"/>
  <c r="U457" i="1"/>
  <c r="V457" i="1"/>
  <c r="W457" i="1"/>
  <c r="X457" i="1"/>
  <c r="Y457" i="1"/>
  <c r="Z457" i="1"/>
  <c r="A458" i="1"/>
  <c r="B458" i="1"/>
  <c r="C458" i="1"/>
  <c r="D458" i="1"/>
  <c r="E458" i="1"/>
  <c r="F458" i="1"/>
  <c r="G458" i="1"/>
  <c r="I458" i="1"/>
  <c r="J458" i="1"/>
  <c r="K458" i="1"/>
  <c r="L458" i="1"/>
  <c r="M458" i="1"/>
  <c r="N458" i="1"/>
  <c r="O458" i="1"/>
  <c r="P458" i="1"/>
  <c r="Q458" i="1"/>
  <c r="R458" i="1"/>
  <c r="S458" i="1"/>
  <c r="T458" i="1"/>
  <c r="U458" i="1"/>
  <c r="V458" i="1"/>
  <c r="W458" i="1"/>
  <c r="X458" i="1"/>
  <c r="Y458" i="1"/>
  <c r="Z458" i="1"/>
  <c r="A459" i="1"/>
  <c r="B459" i="1"/>
  <c r="C459" i="1"/>
  <c r="D459" i="1"/>
  <c r="E459" i="1"/>
  <c r="F459" i="1"/>
  <c r="G459" i="1"/>
  <c r="I459" i="1"/>
  <c r="J459" i="1"/>
  <c r="K459" i="1"/>
  <c r="L459" i="1"/>
  <c r="M459" i="1"/>
  <c r="N459" i="1"/>
  <c r="O459" i="1"/>
  <c r="P459" i="1"/>
  <c r="Q459" i="1"/>
  <c r="R459" i="1"/>
  <c r="S459" i="1"/>
  <c r="T459" i="1"/>
  <c r="U459" i="1"/>
  <c r="V459" i="1"/>
  <c r="W459" i="1"/>
  <c r="X459" i="1"/>
  <c r="Y459" i="1"/>
  <c r="Z459" i="1"/>
  <c r="A460" i="1"/>
  <c r="B460" i="1"/>
  <c r="C460" i="1"/>
  <c r="D460" i="1"/>
  <c r="E460" i="1"/>
  <c r="F460" i="1"/>
  <c r="G460" i="1"/>
  <c r="I460" i="1"/>
  <c r="J460" i="1"/>
  <c r="K460" i="1"/>
  <c r="L460" i="1"/>
  <c r="M460" i="1"/>
  <c r="N460" i="1"/>
  <c r="O460" i="1"/>
  <c r="P460" i="1"/>
  <c r="Q460" i="1"/>
  <c r="R460" i="1"/>
  <c r="S460" i="1"/>
  <c r="T460" i="1"/>
  <c r="U460" i="1"/>
  <c r="V460" i="1"/>
  <c r="W460" i="1"/>
  <c r="X460" i="1"/>
  <c r="Y460" i="1"/>
  <c r="Z460" i="1"/>
  <c r="A461" i="1"/>
  <c r="B461" i="1"/>
  <c r="C461" i="1"/>
  <c r="D461" i="1"/>
  <c r="E461" i="1"/>
  <c r="F461" i="1"/>
  <c r="G461" i="1"/>
  <c r="I461" i="1"/>
  <c r="J461" i="1"/>
  <c r="K461" i="1"/>
  <c r="L461" i="1"/>
  <c r="M461" i="1"/>
  <c r="N461" i="1"/>
  <c r="O461" i="1"/>
  <c r="P461" i="1"/>
  <c r="Q461" i="1"/>
  <c r="R461" i="1"/>
  <c r="S461" i="1"/>
  <c r="T461" i="1"/>
  <c r="U461" i="1"/>
  <c r="V461" i="1"/>
  <c r="W461" i="1"/>
  <c r="X461" i="1"/>
  <c r="Y461" i="1"/>
  <c r="Z461" i="1"/>
  <c r="A462" i="1"/>
  <c r="B462" i="1"/>
  <c r="C462" i="1"/>
  <c r="D462" i="1"/>
  <c r="E462" i="1"/>
  <c r="F462" i="1"/>
  <c r="G462" i="1"/>
  <c r="I462" i="1"/>
  <c r="J462" i="1"/>
  <c r="K462" i="1"/>
  <c r="L462" i="1"/>
  <c r="M462" i="1"/>
  <c r="N462" i="1"/>
  <c r="O462" i="1"/>
  <c r="P462" i="1"/>
  <c r="Q462" i="1"/>
  <c r="R462" i="1"/>
  <c r="S462" i="1"/>
  <c r="T462" i="1"/>
  <c r="U462" i="1"/>
  <c r="V462" i="1"/>
  <c r="W462" i="1"/>
  <c r="X462" i="1"/>
  <c r="Y462" i="1"/>
  <c r="Z462" i="1"/>
  <c r="A463" i="1"/>
  <c r="B463" i="1"/>
  <c r="C463" i="1"/>
  <c r="D463" i="1"/>
  <c r="E463" i="1"/>
  <c r="F463" i="1"/>
  <c r="G463" i="1"/>
  <c r="I463" i="1"/>
  <c r="J463" i="1"/>
  <c r="K463" i="1"/>
  <c r="L463" i="1"/>
  <c r="M463" i="1"/>
  <c r="N463" i="1"/>
  <c r="O463" i="1"/>
  <c r="P463" i="1"/>
  <c r="Q463" i="1"/>
  <c r="R463" i="1"/>
  <c r="S463" i="1"/>
  <c r="T463" i="1"/>
  <c r="U463" i="1"/>
  <c r="V463" i="1"/>
  <c r="W463" i="1"/>
  <c r="X463" i="1"/>
  <c r="Y463" i="1"/>
  <c r="Z463" i="1"/>
  <c r="A464" i="1"/>
  <c r="B464" i="1"/>
  <c r="C464" i="1"/>
  <c r="D464" i="1"/>
  <c r="E464" i="1"/>
  <c r="F464" i="1"/>
  <c r="G464" i="1"/>
  <c r="I464" i="1"/>
  <c r="J464" i="1"/>
  <c r="K464" i="1"/>
  <c r="L464" i="1"/>
  <c r="M464" i="1"/>
  <c r="N464" i="1"/>
  <c r="O464" i="1"/>
  <c r="P464" i="1"/>
  <c r="Q464" i="1"/>
  <c r="R464" i="1"/>
  <c r="S464" i="1"/>
  <c r="T464" i="1"/>
  <c r="U464" i="1"/>
  <c r="V464" i="1"/>
  <c r="W464" i="1"/>
  <c r="X464" i="1"/>
  <c r="Y464" i="1"/>
  <c r="Z464" i="1"/>
  <c r="A465" i="1"/>
  <c r="B465" i="1"/>
  <c r="C465" i="1"/>
  <c r="D465" i="1"/>
  <c r="E465" i="1"/>
  <c r="F465" i="1"/>
  <c r="G465" i="1"/>
  <c r="I465" i="1"/>
  <c r="J465" i="1"/>
  <c r="K465" i="1"/>
  <c r="L465" i="1"/>
  <c r="M465" i="1"/>
  <c r="N465" i="1"/>
  <c r="O465" i="1"/>
  <c r="P465" i="1"/>
  <c r="Q465" i="1"/>
  <c r="R465" i="1"/>
  <c r="S465" i="1"/>
  <c r="T465" i="1"/>
  <c r="U465" i="1"/>
  <c r="V465" i="1"/>
  <c r="W465" i="1"/>
  <c r="X465" i="1"/>
  <c r="Y465" i="1"/>
  <c r="Z465" i="1"/>
  <c r="A466" i="1"/>
  <c r="B466" i="1"/>
  <c r="C466" i="1"/>
  <c r="D466" i="1"/>
  <c r="E466" i="1"/>
  <c r="F466" i="1"/>
  <c r="G466" i="1"/>
  <c r="I466" i="1"/>
  <c r="J466" i="1"/>
  <c r="K466" i="1"/>
  <c r="L466" i="1"/>
  <c r="M466" i="1"/>
  <c r="N466" i="1"/>
  <c r="O466" i="1"/>
  <c r="P466" i="1"/>
  <c r="Q466" i="1"/>
  <c r="R466" i="1"/>
  <c r="S466" i="1"/>
  <c r="T466" i="1"/>
  <c r="U466" i="1"/>
  <c r="V466" i="1"/>
  <c r="W466" i="1"/>
  <c r="X466" i="1"/>
  <c r="Y466" i="1"/>
  <c r="Z466" i="1"/>
  <c r="A467" i="1"/>
  <c r="B467" i="1"/>
  <c r="C467" i="1"/>
  <c r="D467" i="1"/>
  <c r="E467" i="1"/>
  <c r="F467" i="1"/>
  <c r="G467" i="1"/>
  <c r="I467" i="1"/>
  <c r="J467" i="1"/>
  <c r="K467" i="1"/>
  <c r="L467" i="1"/>
  <c r="M467" i="1"/>
  <c r="N467" i="1"/>
  <c r="O467" i="1"/>
  <c r="P467" i="1"/>
  <c r="Q467" i="1"/>
  <c r="R467" i="1"/>
  <c r="S467" i="1"/>
  <c r="T467" i="1"/>
  <c r="U467" i="1"/>
  <c r="V467" i="1"/>
  <c r="W467" i="1"/>
  <c r="X467" i="1"/>
  <c r="Y467" i="1"/>
  <c r="Z467" i="1"/>
  <c r="A468" i="1"/>
  <c r="B468" i="1"/>
  <c r="C468" i="1"/>
  <c r="D468" i="1"/>
  <c r="E468" i="1"/>
  <c r="F468" i="1"/>
  <c r="G468" i="1"/>
  <c r="I468" i="1"/>
  <c r="J468" i="1"/>
  <c r="K468" i="1"/>
  <c r="L468" i="1"/>
  <c r="M468" i="1"/>
  <c r="N468" i="1"/>
  <c r="O468" i="1"/>
  <c r="P468" i="1"/>
  <c r="Q468" i="1"/>
  <c r="R468" i="1"/>
  <c r="S468" i="1"/>
  <c r="T468" i="1"/>
  <c r="U468" i="1"/>
  <c r="V468" i="1"/>
  <c r="W468" i="1"/>
  <c r="X468" i="1"/>
  <c r="Y468" i="1"/>
  <c r="Z468" i="1"/>
  <c r="A469" i="1"/>
  <c r="B469" i="1"/>
  <c r="C469" i="1"/>
  <c r="D469" i="1"/>
  <c r="E469" i="1"/>
  <c r="F469" i="1"/>
  <c r="G469" i="1"/>
  <c r="I469" i="1"/>
  <c r="J469" i="1"/>
  <c r="K469" i="1"/>
  <c r="L469" i="1"/>
  <c r="M469" i="1"/>
  <c r="N469" i="1"/>
  <c r="O469" i="1"/>
  <c r="P469" i="1"/>
  <c r="Q469" i="1"/>
  <c r="R469" i="1"/>
  <c r="S469" i="1"/>
  <c r="T469" i="1"/>
  <c r="U469" i="1"/>
  <c r="V469" i="1"/>
  <c r="W469" i="1"/>
  <c r="X469" i="1"/>
  <c r="Y469" i="1"/>
  <c r="Z469" i="1"/>
  <c r="A470" i="1"/>
  <c r="B470" i="1"/>
  <c r="C470" i="1"/>
  <c r="D470" i="1"/>
  <c r="E470" i="1"/>
  <c r="F470" i="1"/>
  <c r="G470" i="1"/>
  <c r="I470" i="1"/>
  <c r="J470" i="1"/>
  <c r="K470" i="1"/>
  <c r="L470" i="1"/>
  <c r="M470" i="1"/>
  <c r="N470" i="1"/>
  <c r="O470" i="1"/>
  <c r="P470" i="1"/>
  <c r="Q470" i="1"/>
  <c r="R470" i="1"/>
  <c r="S470" i="1"/>
  <c r="T470" i="1"/>
  <c r="U470" i="1"/>
  <c r="V470" i="1"/>
  <c r="W470" i="1"/>
  <c r="X470" i="1"/>
  <c r="Y470" i="1"/>
  <c r="Z470" i="1"/>
  <c r="A471" i="1"/>
  <c r="B471" i="1"/>
  <c r="C471" i="1"/>
  <c r="D471" i="1"/>
  <c r="E471" i="1"/>
  <c r="F471" i="1"/>
  <c r="G471" i="1"/>
  <c r="I471" i="1"/>
  <c r="J471" i="1"/>
  <c r="K471" i="1"/>
  <c r="L471" i="1"/>
  <c r="M471" i="1"/>
  <c r="N471" i="1"/>
  <c r="O471" i="1"/>
  <c r="P471" i="1"/>
  <c r="Q471" i="1"/>
  <c r="R471" i="1"/>
  <c r="S471" i="1"/>
  <c r="T471" i="1"/>
  <c r="U471" i="1"/>
  <c r="V471" i="1"/>
  <c r="W471" i="1"/>
  <c r="X471" i="1"/>
  <c r="Y471" i="1"/>
  <c r="Z471" i="1"/>
  <c r="A472" i="1"/>
  <c r="B472" i="1"/>
  <c r="C472" i="1"/>
  <c r="D472" i="1"/>
  <c r="E472" i="1"/>
  <c r="F472" i="1"/>
  <c r="G472" i="1"/>
  <c r="I472" i="1"/>
  <c r="J472" i="1"/>
  <c r="K472" i="1"/>
  <c r="L472" i="1"/>
  <c r="M472" i="1"/>
  <c r="N472" i="1"/>
  <c r="O472" i="1"/>
  <c r="P472" i="1"/>
  <c r="Q472" i="1"/>
  <c r="R472" i="1"/>
  <c r="S472" i="1"/>
  <c r="T472" i="1"/>
  <c r="U472" i="1"/>
  <c r="V472" i="1"/>
  <c r="W472" i="1"/>
  <c r="X472" i="1"/>
  <c r="Y472" i="1"/>
  <c r="Z472" i="1"/>
  <c r="A473" i="1"/>
  <c r="B473" i="1"/>
  <c r="C473" i="1"/>
  <c r="D473" i="1"/>
  <c r="E473" i="1"/>
  <c r="F473" i="1"/>
  <c r="G473" i="1"/>
  <c r="I473" i="1"/>
  <c r="J473" i="1"/>
  <c r="K473" i="1"/>
  <c r="L473" i="1"/>
  <c r="M473" i="1"/>
  <c r="N473" i="1"/>
  <c r="O473" i="1"/>
  <c r="P473" i="1"/>
  <c r="Q473" i="1"/>
  <c r="R473" i="1"/>
  <c r="S473" i="1"/>
  <c r="T473" i="1"/>
  <c r="U473" i="1"/>
  <c r="V473" i="1"/>
  <c r="W473" i="1"/>
  <c r="X473" i="1"/>
  <c r="Y473" i="1"/>
  <c r="Z473" i="1"/>
  <c r="A474" i="1"/>
  <c r="B474" i="1"/>
  <c r="C474" i="1"/>
  <c r="D474" i="1"/>
  <c r="E474" i="1"/>
  <c r="F474" i="1"/>
  <c r="G474" i="1"/>
  <c r="I474" i="1"/>
  <c r="J474" i="1"/>
  <c r="K474" i="1"/>
  <c r="L474" i="1"/>
  <c r="M474" i="1"/>
  <c r="N474" i="1"/>
  <c r="O474" i="1"/>
  <c r="P474" i="1"/>
  <c r="Q474" i="1"/>
  <c r="R474" i="1"/>
  <c r="S474" i="1"/>
  <c r="T474" i="1"/>
  <c r="U474" i="1"/>
  <c r="V474" i="1"/>
  <c r="W474" i="1"/>
  <c r="X474" i="1"/>
  <c r="Y474" i="1"/>
  <c r="Z474" i="1"/>
  <c r="A475" i="1"/>
  <c r="B475" i="1"/>
  <c r="C475" i="1"/>
  <c r="D475" i="1"/>
  <c r="E475" i="1"/>
  <c r="F475" i="1"/>
  <c r="G475" i="1"/>
  <c r="I475" i="1"/>
  <c r="J475" i="1"/>
  <c r="K475" i="1"/>
  <c r="L475" i="1"/>
  <c r="M475" i="1"/>
  <c r="N475" i="1"/>
  <c r="O475" i="1"/>
  <c r="P475" i="1"/>
  <c r="Q475" i="1"/>
  <c r="R475" i="1"/>
  <c r="S475" i="1"/>
  <c r="T475" i="1"/>
  <c r="U475" i="1"/>
  <c r="V475" i="1"/>
  <c r="W475" i="1"/>
  <c r="X475" i="1"/>
  <c r="Y475" i="1"/>
  <c r="Z475" i="1"/>
  <c r="A476" i="1"/>
  <c r="B476" i="1"/>
  <c r="C476" i="1"/>
  <c r="D476" i="1"/>
  <c r="E476" i="1"/>
  <c r="F476" i="1"/>
  <c r="G476" i="1"/>
  <c r="I476" i="1"/>
  <c r="J476" i="1"/>
  <c r="K476" i="1"/>
  <c r="L476" i="1"/>
  <c r="M476" i="1"/>
  <c r="N476" i="1"/>
  <c r="O476" i="1"/>
  <c r="P476" i="1"/>
  <c r="Q476" i="1"/>
  <c r="R476" i="1"/>
  <c r="S476" i="1"/>
  <c r="T476" i="1"/>
  <c r="U476" i="1"/>
  <c r="V476" i="1"/>
  <c r="W476" i="1"/>
  <c r="X476" i="1"/>
  <c r="Y476" i="1"/>
  <c r="Z476" i="1"/>
  <c r="A477" i="1"/>
  <c r="B477" i="1"/>
  <c r="C477" i="1"/>
  <c r="D477" i="1"/>
  <c r="E477" i="1"/>
  <c r="F477" i="1"/>
  <c r="G477" i="1"/>
  <c r="I477" i="1"/>
  <c r="J477" i="1"/>
  <c r="K477" i="1"/>
  <c r="L477" i="1"/>
  <c r="M477" i="1"/>
  <c r="N477" i="1"/>
  <c r="O477" i="1"/>
  <c r="P477" i="1"/>
  <c r="Q477" i="1"/>
  <c r="R477" i="1"/>
  <c r="S477" i="1"/>
  <c r="T477" i="1"/>
  <c r="U477" i="1"/>
  <c r="V477" i="1"/>
  <c r="W477" i="1"/>
  <c r="X477" i="1"/>
  <c r="Y477" i="1"/>
  <c r="Z477" i="1"/>
  <c r="A478" i="1"/>
  <c r="B478" i="1"/>
  <c r="C478" i="1"/>
  <c r="D478" i="1"/>
  <c r="E478" i="1"/>
  <c r="F478" i="1"/>
  <c r="G478" i="1"/>
  <c r="I478" i="1"/>
  <c r="J478" i="1"/>
  <c r="K478" i="1"/>
  <c r="L478" i="1"/>
  <c r="M478" i="1"/>
  <c r="N478" i="1"/>
  <c r="O478" i="1"/>
  <c r="P478" i="1"/>
  <c r="Q478" i="1"/>
  <c r="R478" i="1"/>
  <c r="S478" i="1"/>
  <c r="T478" i="1"/>
  <c r="U478" i="1"/>
  <c r="V478" i="1"/>
  <c r="W478" i="1"/>
  <c r="X478" i="1"/>
  <c r="Y478" i="1"/>
  <c r="Z478" i="1"/>
  <c r="A479" i="1"/>
  <c r="B479" i="1"/>
  <c r="C479" i="1"/>
  <c r="D479" i="1"/>
  <c r="E479" i="1"/>
  <c r="F479" i="1"/>
  <c r="G479" i="1"/>
  <c r="I479" i="1"/>
  <c r="J479" i="1"/>
  <c r="K479" i="1"/>
  <c r="L479" i="1"/>
  <c r="M479" i="1"/>
  <c r="N479" i="1"/>
  <c r="O479" i="1"/>
  <c r="P479" i="1"/>
  <c r="Q479" i="1"/>
  <c r="R479" i="1"/>
  <c r="S479" i="1"/>
  <c r="T479" i="1"/>
  <c r="U479" i="1"/>
  <c r="V479" i="1"/>
  <c r="W479" i="1"/>
  <c r="X479" i="1"/>
  <c r="Y479" i="1"/>
  <c r="Z479" i="1"/>
  <c r="A480" i="1"/>
  <c r="B480" i="1"/>
  <c r="C480" i="1"/>
  <c r="D480" i="1"/>
  <c r="E480" i="1"/>
  <c r="F480" i="1"/>
  <c r="G480" i="1"/>
  <c r="I480" i="1"/>
  <c r="J480" i="1"/>
  <c r="K480" i="1"/>
  <c r="L480" i="1"/>
  <c r="M480" i="1"/>
  <c r="N480" i="1"/>
  <c r="O480" i="1"/>
  <c r="P480" i="1"/>
  <c r="Q480" i="1"/>
  <c r="R480" i="1"/>
  <c r="S480" i="1"/>
  <c r="T480" i="1"/>
  <c r="U480" i="1"/>
  <c r="V480" i="1"/>
  <c r="W480" i="1"/>
  <c r="X480" i="1"/>
  <c r="Y480" i="1"/>
  <c r="Z480" i="1"/>
  <c r="A481" i="1"/>
  <c r="B481" i="1"/>
  <c r="C481" i="1"/>
  <c r="D481" i="1"/>
  <c r="E481" i="1"/>
  <c r="F481" i="1"/>
  <c r="G481" i="1"/>
  <c r="I481" i="1"/>
  <c r="J481" i="1"/>
  <c r="K481" i="1"/>
  <c r="L481" i="1"/>
  <c r="M481" i="1"/>
  <c r="N481" i="1"/>
  <c r="O481" i="1"/>
  <c r="P481" i="1"/>
  <c r="Q481" i="1"/>
  <c r="R481" i="1"/>
  <c r="S481" i="1"/>
  <c r="T481" i="1"/>
  <c r="U481" i="1"/>
  <c r="V481" i="1"/>
  <c r="W481" i="1"/>
  <c r="X481" i="1"/>
  <c r="Y481" i="1"/>
  <c r="Z481" i="1"/>
  <c r="A482" i="1"/>
  <c r="B482" i="1"/>
  <c r="C482" i="1"/>
  <c r="D482" i="1"/>
  <c r="E482" i="1"/>
  <c r="F482" i="1"/>
  <c r="G482" i="1"/>
  <c r="I482" i="1"/>
  <c r="J482" i="1"/>
  <c r="K482" i="1"/>
  <c r="L482" i="1"/>
  <c r="M482" i="1"/>
  <c r="N482" i="1"/>
  <c r="O482" i="1"/>
  <c r="P482" i="1"/>
  <c r="Q482" i="1"/>
  <c r="R482" i="1"/>
  <c r="S482" i="1"/>
  <c r="T482" i="1"/>
  <c r="U482" i="1"/>
  <c r="V482" i="1"/>
  <c r="W482" i="1"/>
  <c r="X482" i="1"/>
  <c r="Y482" i="1"/>
  <c r="Z482" i="1"/>
  <c r="A483" i="1"/>
  <c r="B483" i="1"/>
  <c r="C483" i="1"/>
  <c r="D483" i="1"/>
  <c r="E483" i="1"/>
  <c r="F483" i="1"/>
  <c r="G483" i="1"/>
  <c r="I483" i="1"/>
  <c r="J483" i="1"/>
  <c r="K483" i="1"/>
  <c r="L483" i="1"/>
  <c r="M483" i="1"/>
  <c r="N483" i="1"/>
  <c r="O483" i="1"/>
  <c r="P483" i="1"/>
  <c r="Q483" i="1"/>
  <c r="R483" i="1"/>
  <c r="S483" i="1"/>
  <c r="T483" i="1"/>
  <c r="U483" i="1"/>
  <c r="V483" i="1"/>
  <c r="W483" i="1"/>
  <c r="X483" i="1"/>
  <c r="Y483" i="1"/>
  <c r="Z483" i="1"/>
  <c r="A484" i="1"/>
  <c r="B484" i="1"/>
  <c r="C484" i="1"/>
  <c r="D484" i="1"/>
  <c r="E484" i="1"/>
  <c r="F484" i="1"/>
  <c r="G484" i="1"/>
  <c r="I484" i="1"/>
  <c r="J484" i="1"/>
  <c r="K484" i="1"/>
  <c r="L484" i="1"/>
  <c r="M484" i="1"/>
  <c r="N484" i="1"/>
  <c r="O484" i="1"/>
  <c r="P484" i="1"/>
  <c r="Q484" i="1"/>
  <c r="R484" i="1"/>
  <c r="S484" i="1"/>
  <c r="T484" i="1"/>
  <c r="U484" i="1"/>
  <c r="V484" i="1"/>
  <c r="W484" i="1"/>
  <c r="X484" i="1"/>
  <c r="Y484" i="1"/>
  <c r="Z484" i="1"/>
  <c r="A485" i="1"/>
  <c r="B485" i="1"/>
  <c r="C485" i="1"/>
  <c r="D485" i="1"/>
  <c r="E485" i="1"/>
  <c r="F485" i="1"/>
  <c r="G485" i="1"/>
  <c r="I485" i="1"/>
  <c r="J485" i="1"/>
  <c r="K485" i="1"/>
  <c r="L485" i="1"/>
  <c r="M485" i="1"/>
  <c r="N485" i="1"/>
  <c r="O485" i="1"/>
  <c r="P485" i="1"/>
  <c r="Q485" i="1"/>
  <c r="R485" i="1"/>
  <c r="S485" i="1"/>
  <c r="T485" i="1"/>
  <c r="U485" i="1"/>
  <c r="V485" i="1"/>
  <c r="W485" i="1"/>
  <c r="X485" i="1"/>
  <c r="Y485" i="1"/>
  <c r="Z485" i="1"/>
  <c r="A486" i="1"/>
  <c r="B486" i="1"/>
  <c r="C486" i="1"/>
  <c r="D486" i="1"/>
  <c r="E486" i="1"/>
  <c r="F486" i="1"/>
  <c r="G486" i="1"/>
  <c r="I486" i="1"/>
  <c r="J486" i="1"/>
  <c r="K486" i="1"/>
  <c r="L486" i="1"/>
  <c r="M486" i="1"/>
  <c r="N486" i="1"/>
  <c r="O486" i="1"/>
  <c r="P486" i="1"/>
  <c r="Q486" i="1"/>
  <c r="R486" i="1"/>
  <c r="S486" i="1"/>
  <c r="T486" i="1"/>
  <c r="U486" i="1"/>
  <c r="V486" i="1"/>
  <c r="W486" i="1"/>
  <c r="X486" i="1"/>
  <c r="Y486" i="1"/>
  <c r="Z486" i="1"/>
  <c r="A487" i="1"/>
  <c r="B487" i="1"/>
  <c r="C487" i="1"/>
  <c r="D487" i="1"/>
  <c r="E487" i="1"/>
  <c r="F487" i="1"/>
  <c r="G487" i="1"/>
  <c r="I487" i="1"/>
  <c r="J487" i="1"/>
  <c r="K487" i="1"/>
  <c r="L487" i="1"/>
  <c r="M487" i="1"/>
  <c r="N487" i="1"/>
  <c r="O487" i="1"/>
  <c r="P487" i="1"/>
  <c r="Q487" i="1"/>
  <c r="R487" i="1"/>
  <c r="S487" i="1"/>
  <c r="T487" i="1"/>
  <c r="U487" i="1"/>
  <c r="V487" i="1"/>
  <c r="W487" i="1"/>
  <c r="X487" i="1"/>
  <c r="Y487" i="1"/>
  <c r="Z487" i="1"/>
  <c r="A488" i="1"/>
  <c r="B488" i="1"/>
  <c r="C488" i="1"/>
  <c r="D488" i="1"/>
  <c r="E488" i="1"/>
  <c r="F488" i="1"/>
  <c r="G488" i="1"/>
  <c r="I488" i="1"/>
  <c r="J488" i="1"/>
  <c r="K488" i="1"/>
  <c r="L488" i="1"/>
  <c r="M488" i="1"/>
  <c r="N488" i="1"/>
  <c r="O488" i="1"/>
  <c r="P488" i="1"/>
  <c r="Q488" i="1"/>
  <c r="R488" i="1"/>
  <c r="S488" i="1"/>
  <c r="T488" i="1"/>
  <c r="U488" i="1"/>
  <c r="V488" i="1"/>
  <c r="W488" i="1"/>
  <c r="X488" i="1"/>
  <c r="Y488" i="1"/>
  <c r="Z488" i="1"/>
  <c r="A489" i="1"/>
  <c r="B489" i="1"/>
  <c r="C489" i="1"/>
  <c r="D489" i="1"/>
  <c r="E489" i="1"/>
  <c r="F489" i="1"/>
  <c r="G489" i="1"/>
  <c r="I489" i="1"/>
  <c r="J489" i="1"/>
  <c r="K489" i="1"/>
  <c r="L489" i="1"/>
  <c r="M489" i="1"/>
  <c r="N489" i="1"/>
  <c r="O489" i="1"/>
  <c r="P489" i="1"/>
  <c r="Q489" i="1"/>
  <c r="R489" i="1"/>
  <c r="S489" i="1"/>
  <c r="T489" i="1"/>
  <c r="U489" i="1"/>
  <c r="V489" i="1"/>
  <c r="W489" i="1"/>
  <c r="X489" i="1"/>
  <c r="Y489" i="1"/>
  <c r="Z489" i="1"/>
  <c r="A490" i="1"/>
  <c r="B490" i="1"/>
  <c r="C490" i="1"/>
  <c r="D490" i="1"/>
  <c r="E490" i="1"/>
  <c r="F490" i="1"/>
  <c r="G490" i="1"/>
  <c r="I490" i="1"/>
  <c r="J490" i="1"/>
  <c r="K490" i="1"/>
  <c r="L490" i="1"/>
  <c r="M490" i="1"/>
  <c r="N490" i="1"/>
  <c r="O490" i="1"/>
  <c r="P490" i="1"/>
  <c r="Q490" i="1"/>
  <c r="R490" i="1"/>
  <c r="S490" i="1"/>
  <c r="T490" i="1"/>
  <c r="U490" i="1"/>
  <c r="V490" i="1"/>
  <c r="W490" i="1"/>
  <c r="X490" i="1"/>
  <c r="Y490" i="1"/>
  <c r="Z490" i="1"/>
  <c r="A491" i="1"/>
  <c r="B491" i="1"/>
  <c r="C491" i="1"/>
  <c r="D491" i="1"/>
  <c r="E491" i="1"/>
  <c r="F491" i="1"/>
  <c r="G491" i="1"/>
  <c r="I491" i="1"/>
  <c r="J491" i="1"/>
  <c r="K491" i="1"/>
  <c r="L491" i="1"/>
  <c r="M491" i="1"/>
  <c r="N491" i="1"/>
  <c r="O491" i="1"/>
  <c r="P491" i="1"/>
  <c r="Q491" i="1"/>
  <c r="R491" i="1"/>
  <c r="S491" i="1"/>
  <c r="T491" i="1"/>
  <c r="U491" i="1"/>
  <c r="V491" i="1"/>
  <c r="W491" i="1"/>
  <c r="X491" i="1"/>
  <c r="Y491" i="1"/>
  <c r="Z491" i="1"/>
  <c r="A492" i="1"/>
  <c r="B492" i="1"/>
  <c r="C492" i="1"/>
  <c r="D492" i="1"/>
  <c r="E492" i="1"/>
  <c r="F492" i="1"/>
  <c r="G492" i="1"/>
  <c r="I492" i="1"/>
  <c r="J492" i="1"/>
  <c r="K492" i="1"/>
  <c r="L492" i="1"/>
  <c r="M492" i="1"/>
  <c r="N492" i="1"/>
  <c r="O492" i="1"/>
  <c r="P492" i="1"/>
  <c r="Q492" i="1"/>
  <c r="R492" i="1"/>
  <c r="S492" i="1"/>
  <c r="T492" i="1"/>
  <c r="U492" i="1"/>
  <c r="V492" i="1"/>
  <c r="W492" i="1"/>
  <c r="X492" i="1"/>
  <c r="Y492" i="1"/>
  <c r="Z492" i="1"/>
  <c r="A493" i="1"/>
  <c r="B493" i="1"/>
  <c r="C493" i="1"/>
  <c r="D493" i="1"/>
  <c r="E493" i="1"/>
  <c r="F493" i="1"/>
  <c r="G493" i="1"/>
  <c r="I493" i="1"/>
  <c r="J493" i="1"/>
  <c r="K493" i="1"/>
  <c r="L493" i="1"/>
  <c r="M493" i="1"/>
  <c r="N493" i="1"/>
  <c r="O493" i="1"/>
  <c r="P493" i="1"/>
  <c r="Q493" i="1"/>
  <c r="R493" i="1"/>
  <c r="S493" i="1"/>
  <c r="T493" i="1"/>
  <c r="U493" i="1"/>
  <c r="V493" i="1"/>
  <c r="W493" i="1"/>
  <c r="X493" i="1"/>
  <c r="Y493" i="1"/>
  <c r="Z493" i="1"/>
  <c r="A494" i="1"/>
  <c r="B494" i="1"/>
  <c r="C494" i="1"/>
  <c r="D494" i="1"/>
  <c r="E494" i="1"/>
  <c r="F494" i="1"/>
  <c r="G494" i="1"/>
  <c r="I494" i="1"/>
  <c r="J494" i="1"/>
  <c r="K494" i="1"/>
  <c r="L494" i="1"/>
  <c r="M494" i="1"/>
  <c r="N494" i="1"/>
  <c r="O494" i="1"/>
  <c r="P494" i="1"/>
  <c r="Q494" i="1"/>
  <c r="R494" i="1"/>
  <c r="S494" i="1"/>
  <c r="T494" i="1"/>
  <c r="U494" i="1"/>
  <c r="V494" i="1"/>
  <c r="W494" i="1"/>
  <c r="X494" i="1"/>
  <c r="Y494" i="1"/>
  <c r="Z494" i="1"/>
  <c r="A495" i="1"/>
  <c r="B495" i="1"/>
  <c r="C495" i="1"/>
  <c r="D495" i="1"/>
  <c r="E495" i="1"/>
  <c r="F495" i="1"/>
  <c r="G495" i="1"/>
  <c r="I495" i="1"/>
  <c r="J495" i="1"/>
  <c r="K495" i="1"/>
  <c r="L495" i="1"/>
  <c r="M495" i="1"/>
  <c r="N495" i="1"/>
  <c r="O495" i="1"/>
  <c r="P495" i="1"/>
  <c r="Q495" i="1"/>
  <c r="R495" i="1"/>
  <c r="S495" i="1"/>
  <c r="T495" i="1"/>
  <c r="U495" i="1"/>
  <c r="V495" i="1"/>
  <c r="W495" i="1"/>
  <c r="X495" i="1"/>
  <c r="Y495" i="1"/>
  <c r="Z495" i="1"/>
  <c r="A496" i="1"/>
  <c r="B496" i="1"/>
  <c r="C496" i="1"/>
  <c r="D496" i="1"/>
  <c r="E496" i="1"/>
  <c r="F496" i="1"/>
  <c r="G496" i="1"/>
  <c r="I496" i="1"/>
  <c r="J496" i="1"/>
  <c r="K496" i="1"/>
  <c r="L496" i="1"/>
  <c r="M496" i="1"/>
  <c r="N496" i="1"/>
  <c r="O496" i="1"/>
  <c r="P496" i="1"/>
  <c r="Q496" i="1"/>
  <c r="R496" i="1"/>
  <c r="S496" i="1"/>
  <c r="T496" i="1"/>
  <c r="U496" i="1"/>
  <c r="V496" i="1"/>
  <c r="W496" i="1"/>
  <c r="X496" i="1"/>
  <c r="Y496" i="1"/>
  <c r="Z496" i="1"/>
  <c r="A497" i="1"/>
  <c r="B497" i="1"/>
  <c r="C497" i="1"/>
  <c r="D497" i="1"/>
  <c r="E497" i="1"/>
  <c r="F497" i="1"/>
  <c r="G497" i="1"/>
  <c r="I497" i="1"/>
  <c r="J497" i="1"/>
  <c r="K497" i="1"/>
  <c r="L497" i="1"/>
  <c r="M497" i="1"/>
  <c r="N497" i="1"/>
  <c r="O497" i="1"/>
  <c r="P497" i="1"/>
  <c r="Q497" i="1"/>
  <c r="R497" i="1"/>
  <c r="S497" i="1"/>
  <c r="T497" i="1"/>
  <c r="U497" i="1"/>
  <c r="V497" i="1"/>
  <c r="W497" i="1"/>
  <c r="X497" i="1"/>
  <c r="Y497" i="1"/>
  <c r="Z497" i="1"/>
  <c r="A498" i="1"/>
  <c r="B498" i="1"/>
  <c r="C498" i="1"/>
  <c r="D498" i="1"/>
  <c r="E498" i="1"/>
  <c r="F498" i="1"/>
  <c r="G498" i="1"/>
  <c r="I498" i="1"/>
  <c r="J498" i="1"/>
  <c r="K498" i="1"/>
  <c r="L498" i="1"/>
  <c r="M498" i="1"/>
  <c r="N498" i="1"/>
  <c r="O498" i="1"/>
  <c r="P498" i="1"/>
  <c r="Q498" i="1"/>
  <c r="R498" i="1"/>
  <c r="S498" i="1"/>
  <c r="T498" i="1"/>
  <c r="U498" i="1"/>
  <c r="V498" i="1"/>
  <c r="W498" i="1"/>
  <c r="X498" i="1"/>
  <c r="Y498" i="1"/>
  <c r="Z498" i="1"/>
  <c r="A499" i="1"/>
  <c r="B499" i="1"/>
  <c r="C499" i="1"/>
  <c r="D499" i="1"/>
  <c r="E499" i="1"/>
  <c r="F499" i="1"/>
  <c r="G499" i="1"/>
  <c r="I499" i="1"/>
  <c r="J499" i="1"/>
  <c r="K499" i="1"/>
  <c r="L499" i="1"/>
  <c r="M499" i="1"/>
  <c r="N499" i="1"/>
  <c r="O499" i="1"/>
  <c r="P499" i="1"/>
  <c r="Q499" i="1"/>
  <c r="R499" i="1"/>
  <c r="S499" i="1"/>
  <c r="T499" i="1"/>
  <c r="U499" i="1"/>
  <c r="V499" i="1"/>
  <c r="W499" i="1"/>
  <c r="X499" i="1"/>
  <c r="Y499" i="1"/>
  <c r="Z499" i="1"/>
  <c r="A500" i="1"/>
  <c r="B500" i="1"/>
  <c r="C500" i="1"/>
  <c r="D500" i="1"/>
  <c r="E500" i="1"/>
  <c r="F500" i="1"/>
  <c r="G500" i="1"/>
  <c r="I500" i="1"/>
  <c r="J500" i="1"/>
  <c r="K500" i="1"/>
  <c r="L500" i="1"/>
  <c r="M500" i="1"/>
  <c r="N500" i="1"/>
  <c r="O500" i="1"/>
  <c r="P500" i="1"/>
  <c r="Q500" i="1"/>
  <c r="R500" i="1"/>
  <c r="S500" i="1"/>
  <c r="T500" i="1"/>
  <c r="U500" i="1"/>
  <c r="V500" i="1"/>
  <c r="W500" i="1"/>
  <c r="X500" i="1"/>
  <c r="Y500" i="1"/>
  <c r="Z500" i="1"/>
  <c r="A501" i="1"/>
  <c r="B501" i="1"/>
  <c r="C501" i="1"/>
  <c r="D501" i="1"/>
  <c r="E501" i="1"/>
  <c r="F501" i="1"/>
  <c r="G501" i="1"/>
  <c r="I501" i="1"/>
  <c r="J501" i="1"/>
  <c r="K501" i="1"/>
  <c r="L501" i="1"/>
  <c r="M501" i="1"/>
  <c r="N501" i="1"/>
  <c r="O501" i="1"/>
  <c r="P501" i="1"/>
  <c r="Q501" i="1"/>
  <c r="R501" i="1"/>
  <c r="S501" i="1"/>
  <c r="T501" i="1"/>
  <c r="U501" i="1"/>
  <c r="V501" i="1"/>
  <c r="W501" i="1"/>
  <c r="X501" i="1"/>
  <c r="Y501" i="1"/>
  <c r="Z501" i="1"/>
  <c r="A502" i="1"/>
  <c r="B502" i="1"/>
  <c r="C502" i="1"/>
  <c r="D502" i="1"/>
  <c r="E502" i="1"/>
  <c r="F502" i="1"/>
  <c r="G502" i="1"/>
  <c r="I502" i="1"/>
  <c r="J502" i="1"/>
  <c r="K502" i="1"/>
  <c r="L502" i="1"/>
  <c r="M502" i="1"/>
  <c r="N502" i="1"/>
  <c r="O502" i="1"/>
  <c r="P502" i="1"/>
  <c r="Q502" i="1"/>
  <c r="R502" i="1"/>
  <c r="S502" i="1"/>
  <c r="T502" i="1"/>
  <c r="U502" i="1"/>
  <c r="V502" i="1"/>
  <c r="W502" i="1"/>
  <c r="X502" i="1"/>
  <c r="Y502" i="1"/>
  <c r="Z502" i="1"/>
  <c r="A503" i="1"/>
  <c r="B503" i="1"/>
  <c r="C503" i="1"/>
  <c r="D503" i="1"/>
  <c r="E503" i="1"/>
  <c r="F503" i="1"/>
  <c r="G503" i="1"/>
  <c r="I503" i="1"/>
  <c r="J503" i="1"/>
  <c r="K503" i="1"/>
  <c r="L503" i="1"/>
  <c r="M503" i="1"/>
  <c r="N503" i="1"/>
  <c r="O503" i="1"/>
  <c r="P503" i="1"/>
  <c r="Q503" i="1"/>
  <c r="R503" i="1"/>
  <c r="S503" i="1"/>
  <c r="T503" i="1"/>
  <c r="U503" i="1"/>
  <c r="V503" i="1"/>
  <c r="W503" i="1"/>
  <c r="X503" i="1"/>
  <c r="Y503" i="1"/>
  <c r="Z503" i="1"/>
  <c r="A504" i="1"/>
  <c r="B504" i="1"/>
  <c r="C504" i="1"/>
  <c r="D504" i="1"/>
  <c r="E504" i="1"/>
  <c r="F504" i="1"/>
  <c r="G504" i="1"/>
  <c r="I504" i="1"/>
  <c r="J504" i="1"/>
  <c r="K504" i="1"/>
  <c r="L504" i="1"/>
  <c r="M504" i="1"/>
  <c r="N504" i="1"/>
  <c r="O504" i="1"/>
  <c r="P504" i="1"/>
  <c r="Q504" i="1"/>
  <c r="R504" i="1"/>
  <c r="S504" i="1"/>
  <c r="T504" i="1"/>
  <c r="U504" i="1"/>
  <c r="V504" i="1"/>
  <c r="W504" i="1"/>
  <c r="X504" i="1"/>
  <c r="Y504" i="1"/>
  <c r="Z504" i="1"/>
  <c r="A505" i="1"/>
  <c r="B505" i="1"/>
  <c r="C505" i="1"/>
  <c r="D505" i="1"/>
  <c r="E505" i="1"/>
  <c r="F505" i="1"/>
  <c r="G505" i="1"/>
  <c r="I505" i="1"/>
  <c r="J505" i="1"/>
  <c r="K505" i="1"/>
  <c r="L505" i="1"/>
  <c r="M505" i="1"/>
  <c r="N505" i="1"/>
  <c r="O505" i="1"/>
  <c r="P505" i="1"/>
  <c r="Q505" i="1"/>
  <c r="R505" i="1"/>
  <c r="S505" i="1"/>
  <c r="T505" i="1"/>
  <c r="U505" i="1"/>
  <c r="V505" i="1"/>
  <c r="W505" i="1"/>
  <c r="X505" i="1"/>
  <c r="Y505" i="1"/>
  <c r="Z505" i="1"/>
  <c r="A506" i="1"/>
  <c r="B506" i="1"/>
  <c r="C506" i="1"/>
  <c r="D506" i="1"/>
  <c r="E506" i="1"/>
  <c r="F506" i="1"/>
  <c r="G506" i="1"/>
  <c r="I506" i="1"/>
  <c r="J506" i="1"/>
  <c r="K506" i="1"/>
  <c r="L506" i="1"/>
  <c r="M506" i="1"/>
  <c r="N506" i="1"/>
  <c r="O506" i="1"/>
  <c r="P506" i="1"/>
  <c r="Q506" i="1"/>
  <c r="R506" i="1"/>
  <c r="S506" i="1"/>
  <c r="T506" i="1"/>
  <c r="U506" i="1"/>
  <c r="V506" i="1"/>
  <c r="W506" i="1"/>
  <c r="X506" i="1"/>
  <c r="Y506" i="1"/>
  <c r="Z506" i="1"/>
  <c r="A507" i="1"/>
  <c r="B507" i="1"/>
  <c r="C507" i="1"/>
  <c r="D507" i="1"/>
  <c r="E507" i="1"/>
  <c r="F507" i="1"/>
  <c r="G507" i="1"/>
  <c r="I507" i="1"/>
  <c r="J507" i="1"/>
  <c r="K507" i="1"/>
  <c r="L507" i="1"/>
  <c r="M507" i="1"/>
  <c r="N507" i="1"/>
  <c r="O507" i="1"/>
  <c r="P507" i="1"/>
  <c r="Q507" i="1"/>
  <c r="R507" i="1"/>
  <c r="S507" i="1"/>
  <c r="T507" i="1"/>
  <c r="U507" i="1"/>
  <c r="V507" i="1"/>
  <c r="W507" i="1"/>
  <c r="X507" i="1"/>
  <c r="Y507" i="1"/>
  <c r="Z507" i="1"/>
  <c r="A508" i="1"/>
  <c r="B508" i="1"/>
  <c r="C508" i="1"/>
  <c r="D508" i="1"/>
  <c r="E508" i="1"/>
  <c r="F508" i="1"/>
  <c r="G508" i="1"/>
  <c r="I508" i="1"/>
  <c r="J508" i="1"/>
  <c r="K508" i="1"/>
  <c r="L508" i="1"/>
  <c r="M508" i="1"/>
  <c r="N508" i="1"/>
  <c r="O508" i="1"/>
  <c r="P508" i="1"/>
  <c r="Q508" i="1"/>
  <c r="R508" i="1"/>
  <c r="S508" i="1"/>
  <c r="T508" i="1"/>
  <c r="U508" i="1"/>
  <c r="V508" i="1"/>
  <c r="W508" i="1"/>
  <c r="X508" i="1"/>
  <c r="Y508" i="1"/>
  <c r="Z508" i="1"/>
  <c r="A509" i="1"/>
  <c r="B509" i="1"/>
  <c r="C509" i="1"/>
  <c r="D509" i="1"/>
  <c r="E509" i="1"/>
  <c r="F509" i="1"/>
  <c r="G509" i="1"/>
  <c r="I509" i="1"/>
  <c r="J509" i="1"/>
  <c r="K509" i="1"/>
  <c r="L509" i="1"/>
  <c r="M509" i="1"/>
  <c r="N509" i="1"/>
  <c r="O509" i="1"/>
  <c r="P509" i="1"/>
  <c r="Q509" i="1"/>
  <c r="R509" i="1"/>
  <c r="S509" i="1"/>
  <c r="T509" i="1"/>
  <c r="U509" i="1"/>
  <c r="V509" i="1"/>
  <c r="W509" i="1"/>
  <c r="X509" i="1"/>
  <c r="Y509" i="1"/>
  <c r="Z509" i="1"/>
  <c r="A510" i="1"/>
  <c r="B510" i="1"/>
  <c r="C510" i="1"/>
  <c r="D510" i="1"/>
  <c r="E510" i="1"/>
  <c r="F510" i="1"/>
  <c r="G510" i="1"/>
  <c r="I510" i="1"/>
  <c r="J510" i="1"/>
  <c r="K510" i="1"/>
  <c r="L510" i="1"/>
  <c r="M510" i="1"/>
  <c r="N510" i="1"/>
  <c r="O510" i="1"/>
  <c r="P510" i="1"/>
  <c r="Q510" i="1"/>
  <c r="R510" i="1"/>
  <c r="S510" i="1"/>
  <c r="T510" i="1"/>
  <c r="U510" i="1"/>
  <c r="V510" i="1"/>
  <c r="W510" i="1"/>
  <c r="X510" i="1"/>
  <c r="Y510" i="1"/>
  <c r="Z510" i="1"/>
  <c r="A511" i="1"/>
  <c r="B511" i="1"/>
  <c r="C511" i="1"/>
  <c r="D511" i="1"/>
  <c r="E511" i="1"/>
  <c r="F511" i="1"/>
  <c r="G511" i="1"/>
  <c r="I511" i="1"/>
  <c r="J511" i="1"/>
  <c r="K511" i="1"/>
  <c r="L511" i="1"/>
  <c r="M511" i="1"/>
  <c r="N511" i="1"/>
  <c r="O511" i="1"/>
  <c r="P511" i="1"/>
  <c r="Q511" i="1"/>
  <c r="R511" i="1"/>
  <c r="S511" i="1"/>
  <c r="T511" i="1"/>
  <c r="U511" i="1"/>
  <c r="V511" i="1"/>
  <c r="W511" i="1"/>
  <c r="X511" i="1"/>
  <c r="Y511" i="1"/>
  <c r="Z511" i="1"/>
  <c r="A512" i="1"/>
  <c r="B512" i="1"/>
  <c r="C512" i="1"/>
  <c r="D512" i="1"/>
  <c r="E512" i="1"/>
  <c r="F512" i="1"/>
  <c r="G512" i="1"/>
  <c r="I512" i="1"/>
  <c r="J512" i="1"/>
  <c r="K512" i="1"/>
  <c r="L512" i="1"/>
  <c r="M512" i="1"/>
  <c r="N512" i="1"/>
  <c r="O512" i="1"/>
  <c r="P512" i="1"/>
  <c r="Q512" i="1"/>
  <c r="R512" i="1"/>
  <c r="S512" i="1"/>
  <c r="T512" i="1"/>
  <c r="U512" i="1"/>
  <c r="V512" i="1"/>
  <c r="W512" i="1"/>
  <c r="X512" i="1"/>
  <c r="Y512" i="1"/>
  <c r="Z512" i="1"/>
  <c r="A513" i="1"/>
  <c r="B513" i="1"/>
  <c r="C513" i="1"/>
  <c r="D513" i="1"/>
  <c r="E513" i="1"/>
  <c r="F513" i="1"/>
  <c r="G513" i="1"/>
  <c r="I513" i="1"/>
  <c r="J513" i="1"/>
  <c r="K513" i="1"/>
  <c r="L513" i="1"/>
  <c r="M513" i="1"/>
  <c r="N513" i="1"/>
  <c r="O513" i="1"/>
  <c r="P513" i="1"/>
  <c r="Q513" i="1"/>
  <c r="R513" i="1"/>
  <c r="S513" i="1"/>
  <c r="T513" i="1"/>
  <c r="U513" i="1"/>
  <c r="V513" i="1"/>
  <c r="W513" i="1"/>
  <c r="X513" i="1"/>
  <c r="Y513" i="1"/>
  <c r="Z513" i="1"/>
  <c r="A514" i="1"/>
  <c r="B514" i="1"/>
  <c r="C514" i="1"/>
  <c r="D514" i="1"/>
  <c r="E514" i="1"/>
  <c r="F514" i="1"/>
  <c r="G514" i="1"/>
  <c r="I514" i="1"/>
  <c r="J514" i="1"/>
  <c r="K514" i="1"/>
  <c r="L514" i="1"/>
  <c r="M514" i="1"/>
  <c r="N514" i="1"/>
  <c r="O514" i="1"/>
  <c r="P514" i="1"/>
  <c r="Q514" i="1"/>
  <c r="R514" i="1"/>
  <c r="S514" i="1"/>
  <c r="T514" i="1"/>
  <c r="U514" i="1"/>
  <c r="V514" i="1"/>
  <c r="W514" i="1"/>
  <c r="X514" i="1"/>
  <c r="Y514" i="1"/>
  <c r="Z514" i="1"/>
  <c r="A515" i="1"/>
  <c r="B515" i="1"/>
  <c r="C515" i="1"/>
  <c r="D515" i="1"/>
  <c r="E515" i="1"/>
  <c r="F515" i="1"/>
  <c r="G515" i="1"/>
  <c r="I515" i="1"/>
  <c r="J515" i="1"/>
  <c r="K515" i="1"/>
  <c r="L515" i="1"/>
  <c r="M515" i="1"/>
  <c r="N515" i="1"/>
  <c r="O515" i="1"/>
  <c r="P515" i="1"/>
  <c r="Q515" i="1"/>
  <c r="R515" i="1"/>
  <c r="S515" i="1"/>
  <c r="T515" i="1"/>
  <c r="U515" i="1"/>
  <c r="V515" i="1"/>
  <c r="W515" i="1"/>
  <c r="X515" i="1"/>
  <c r="Y515" i="1"/>
  <c r="Z515" i="1"/>
  <c r="A516" i="1"/>
  <c r="B516" i="1"/>
  <c r="C516" i="1"/>
  <c r="D516" i="1"/>
  <c r="E516" i="1"/>
  <c r="F516" i="1"/>
  <c r="G516" i="1"/>
  <c r="I516" i="1"/>
  <c r="J516" i="1"/>
  <c r="K516" i="1"/>
  <c r="L516" i="1"/>
  <c r="M516" i="1"/>
  <c r="N516" i="1"/>
  <c r="O516" i="1"/>
  <c r="P516" i="1"/>
  <c r="Q516" i="1"/>
  <c r="R516" i="1"/>
  <c r="S516" i="1"/>
  <c r="T516" i="1"/>
  <c r="U516" i="1"/>
  <c r="V516" i="1"/>
  <c r="W516" i="1"/>
  <c r="X516" i="1"/>
  <c r="Y516" i="1"/>
  <c r="Z516" i="1"/>
  <c r="A517" i="1"/>
  <c r="B517" i="1"/>
  <c r="C517" i="1"/>
  <c r="D517" i="1"/>
  <c r="E517" i="1"/>
  <c r="F517" i="1"/>
  <c r="G517" i="1"/>
  <c r="I517" i="1"/>
  <c r="J517" i="1"/>
  <c r="K517" i="1"/>
  <c r="L517" i="1"/>
  <c r="M517" i="1"/>
  <c r="N517" i="1"/>
  <c r="O517" i="1"/>
  <c r="P517" i="1"/>
  <c r="Q517" i="1"/>
  <c r="R517" i="1"/>
  <c r="S517" i="1"/>
  <c r="T517" i="1"/>
  <c r="U517" i="1"/>
  <c r="V517" i="1"/>
  <c r="W517" i="1"/>
  <c r="X517" i="1"/>
  <c r="Y517" i="1"/>
  <c r="Z517" i="1"/>
  <c r="A518" i="1"/>
  <c r="B518" i="1"/>
  <c r="C518" i="1"/>
  <c r="D518" i="1"/>
  <c r="E518" i="1"/>
  <c r="F518" i="1"/>
  <c r="G518" i="1"/>
  <c r="I518" i="1"/>
  <c r="J518" i="1"/>
  <c r="K518" i="1"/>
  <c r="L518" i="1"/>
  <c r="M518" i="1"/>
  <c r="N518" i="1"/>
  <c r="O518" i="1"/>
  <c r="P518" i="1"/>
  <c r="Q518" i="1"/>
  <c r="R518" i="1"/>
  <c r="S518" i="1"/>
  <c r="T518" i="1"/>
  <c r="U518" i="1"/>
  <c r="V518" i="1"/>
  <c r="W518" i="1"/>
  <c r="X518" i="1"/>
  <c r="Y518" i="1"/>
  <c r="Z518" i="1"/>
  <c r="A519" i="1"/>
  <c r="B519" i="1"/>
  <c r="C519" i="1"/>
  <c r="D519" i="1"/>
  <c r="E519" i="1"/>
  <c r="F519" i="1"/>
  <c r="G519" i="1"/>
  <c r="I519" i="1"/>
  <c r="J519" i="1"/>
  <c r="K519" i="1"/>
  <c r="L519" i="1"/>
  <c r="M519" i="1"/>
  <c r="N519" i="1"/>
  <c r="O519" i="1"/>
  <c r="P519" i="1"/>
  <c r="Q519" i="1"/>
  <c r="R519" i="1"/>
  <c r="S519" i="1"/>
  <c r="T519" i="1"/>
  <c r="U519" i="1"/>
  <c r="V519" i="1"/>
  <c r="W519" i="1"/>
  <c r="X519" i="1"/>
  <c r="Y519" i="1"/>
  <c r="Z519" i="1"/>
  <c r="A520" i="1"/>
  <c r="B520" i="1"/>
  <c r="C520" i="1"/>
  <c r="D520" i="1"/>
  <c r="E520" i="1"/>
  <c r="F520" i="1"/>
  <c r="G520" i="1"/>
  <c r="I520" i="1"/>
  <c r="J520" i="1"/>
  <c r="K520" i="1"/>
  <c r="L520" i="1"/>
  <c r="M520" i="1"/>
  <c r="N520" i="1"/>
  <c r="O520" i="1"/>
  <c r="P520" i="1"/>
  <c r="Q520" i="1"/>
  <c r="R520" i="1"/>
  <c r="S520" i="1"/>
  <c r="T520" i="1"/>
  <c r="U520" i="1"/>
  <c r="V520" i="1"/>
  <c r="W520" i="1"/>
  <c r="X520" i="1"/>
  <c r="Y520" i="1"/>
  <c r="Z520" i="1"/>
  <c r="A521" i="1"/>
  <c r="B521" i="1"/>
  <c r="C521" i="1"/>
  <c r="D521" i="1"/>
  <c r="E521" i="1"/>
  <c r="F521" i="1"/>
  <c r="G521" i="1"/>
  <c r="I521" i="1"/>
  <c r="J521" i="1"/>
  <c r="K521" i="1"/>
  <c r="L521" i="1"/>
  <c r="M521" i="1"/>
  <c r="N521" i="1"/>
  <c r="O521" i="1"/>
  <c r="P521" i="1"/>
  <c r="Q521" i="1"/>
  <c r="R521" i="1"/>
  <c r="S521" i="1"/>
  <c r="T521" i="1"/>
  <c r="U521" i="1"/>
  <c r="V521" i="1"/>
  <c r="W521" i="1"/>
  <c r="X521" i="1"/>
  <c r="Y521" i="1"/>
  <c r="Z521" i="1"/>
  <c r="A522" i="1"/>
  <c r="B522" i="1"/>
  <c r="C522" i="1"/>
  <c r="D522" i="1"/>
  <c r="E522" i="1"/>
  <c r="F522" i="1"/>
  <c r="G522" i="1"/>
  <c r="I522" i="1"/>
  <c r="J522" i="1"/>
  <c r="K522" i="1"/>
  <c r="L522" i="1"/>
  <c r="M522" i="1"/>
  <c r="N522" i="1"/>
  <c r="O522" i="1"/>
  <c r="P522" i="1"/>
  <c r="Q522" i="1"/>
  <c r="R522" i="1"/>
  <c r="S522" i="1"/>
  <c r="T522" i="1"/>
  <c r="U522" i="1"/>
  <c r="V522" i="1"/>
  <c r="W522" i="1"/>
  <c r="X522" i="1"/>
  <c r="Y522" i="1"/>
  <c r="Z522" i="1"/>
  <c r="A523" i="1"/>
  <c r="B523" i="1"/>
  <c r="C523" i="1"/>
  <c r="D523" i="1"/>
  <c r="E523" i="1"/>
  <c r="F523" i="1"/>
  <c r="G523" i="1"/>
  <c r="I523" i="1"/>
  <c r="J523" i="1"/>
  <c r="K523" i="1"/>
  <c r="L523" i="1"/>
  <c r="M523" i="1"/>
  <c r="N523" i="1"/>
  <c r="O523" i="1"/>
  <c r="P523" i="1"/>
  <c r="Q523" i="1"/>
  <c r="R523" i="1"/>
  <c r="S523" i="1"/>
  <c r="T523" i="1"/>
  <c r="U523" i="1"/>
  <c r="V523" i="1"/>
  <c r="W523" i="1"/>
  <c r="X523" i="1"/>
  <c r="Y523" i="1"/>
  <c r="Z523" i="1"/>
  <c r="A524" i="1"/>
  <c r="B524" i="1"/>
  <c r="C524" i="1"/>
  <c r="D524" i="1"/>
  <c r="E524" i="1"/>
  <c r="F524" i="1"/>
  <c r="G524" i="1"/>
  <c r="I524" i="1"/>
  <c r="J524" i="1"/>
  <c r="K524" i="1"/>
  <c r="L524" i="1"/>
  <c r="M524" i="1"/>
  <c r="N524" i="1"/>
  <c r="O524" i="1"/>
  <c r="P524" i="1"/>
  <c r="Q524" i="1"/>
  <c r="R524" i="1"/>
  <c r="S524" i="1"/>
  <c r="T524" i="1"/>
  <c r="U524" i="1"/>
  <c r="V524" i="1"/>
  <c r="W524" i="1"/>
  <c r="X524" i="1"/>
  <c r="Y524" i="1"/>
  <c r="Z524" i="1"/>
  <c r="A525" i="1"/>
  <c r="B525" i="1"/>
  <c r="C525" i="1"/>
  <c r="D525" i="1"/>
  <c r="E525" i="1"/>
  <c r="F525" i="1"/>
  <c r="G525" i="1"/>
  <c r="I525" i="1"/>
  <c r="J525" i="1"/>
  <c r="K525" i="1"/>
  <c r="L525" i="1"/>
  <c r="M525" i="1"/>
  <c r="N525" i="1"/>
  <c r="O525" i="1"/>
  <c r="P525" i="1"/>
  <c r="Q525" i="1"/>
  <c r="R525" i="1"/>
  <c r="S525" i="1"/>
  <c r="T525" i="1"/>
  <c r="U525" i="1"/>
  <c r="V525" i="1"/>
  <c r="W525" i="1"/>
  <c r="X525" i="1"/>
  <c r="Y525" i="1"/>
  <c r="Z525" i="1"/>
  <c r="A526" i="1"/>
  <c r="B526" i="1"/>
  <c r="C526" i="1"/>
  <c r="D526" i="1"/>
  <c r="E526" i="1"/>
  <c r="F526" i="1"/>
  <c r="G526" i="1"/>
  <c r="I526" i="1"/>
  <c r="J526" i="1"/>
  <c r="K526" i="1"/>
  <c r="L526" i="1"/>
  <c r="M526" i="1"/>
  <c r="N526" i="1"/>
  <c r="O526" i="1"/>
  <c r="P526" i="1"/>
  <c r="Q526" i="1"/>
  <c r="R526" i="1"/>
  <c r="S526" i="1"/>
  <c r="T526" i="1"/>
  <c r="U526" i="1"/>
  <c r="V526" i="1"/>
  <c r="W526" i="1"/>
  <c r="X526" i="1"/>
  <c r="Y526" i="1"/>
  <c r="Z526" i="1"/>
  <c r="A527" i="1"/>
  <c r="B527" i="1"/>
  <c r="C527" i="1"/>
  <c r="D527" i="1"/>
  <c r="E527" i="1"/>
  <c r="F527" i="1"/>
  <c r="G527" i="1"/>
  <c r="I527" i="1"/>
  <c r="J527" i="1"/>
  <c r="K527" i="1"/>
  <c r="L527" i="1"/>
  <c r="M527" i="1"/>
  <c r="N527" i="1"/>
  <c r="O527" i="1"/>
  <c r="P527" i="1"/>
  <c r="Q527" i="1"/>
  <c r="R527" i="1"/>
  <c r="S527" i="1"/>
  <c r="T527" i="1"/>
  <c r="U527" i="1"/>
  <c r="V527" i="1"/>
  <c r="W527" i="1"/>
  <c r="X527" i="1"/>
  <c r="Y527" i="1"/>
  <c r="Z527" i="1"/>
  <c r="A528" i="1"/>
  <c r="B528" i="1"/>
  <c r="C528" i="1"/>
  <c r="D528" i="1"/>
  <c r="E528" i="1"/>
  <c r="F528" i="1"/>
  <c r="G528" i="1"/>
  <c r="I528" i="1"/>
  <c r="J528" i="1"/>
  <c r="K528" i="1"/>
  <c r="L528" i="1"/>
  <c r="M528" i="1"/>
  <c r="N528" i="1"/>
  <c r="O528" i="1"/>
  <c r="P528" i="1"/>
  <c r="Q528" i="1"/>
  <c r="R528" i="1"/>
  <c r="S528" i="1"/>
  <c r="T528" i="1"/>
  <c r="U528" i="1"/>
  <c r="V528" i="1"/>
  <c r="W528" i="1"/>
  <c r="X528" i="1"/>
  <c r="Y528" i="1"/>
  <c r="Z528" i="1"/>
  <c r="A529" i="1"/>
  <c r="B529" i="1"/>
  <c r="C529" i="1"/>
  <c r="D529" i="1"/>
  <c r="E529" i="1"/>
  <c r="F529" i="1"/>
  <c r="G529" i="1"/>
  <c r="I529" i="1"/>
  <c r="J529" i="1"/>
  <c r="K529" i="1"/>
  <c r="L529" i="1"/>
  <c r="M529" i="1"/>
  <c r="N529" i="1"/>
  <c r="O529" i="1"/>
  <c r="P529" i="1"/>
  <c r="Q529" i="1"/>
  <c r="R529" i="1"/>
  <c r="S529" i="1"/>
  <c r="T529" i="1"/>
  <c r="U529" i="1"/>
  <c r="V529" i="1"/>
  <c r="W529" i="1"/>
  <c r="X529" i="1"/>
  <c r="Y529" i="1"/>
  <c r="Z529" i="1"/>
  <c r="A530" i="1"/>
  <c r="B530" i="1"/>
  <c r="C530" i="1"/>
  <c r="D530" i="1"/>
  <c r="E530" i="1"/>
  <c r="F530" i="1"/>
  <c r="G530" i="1"/>
  <c r="I530" i="1"/>
  <c r="J530" i="1"/>
  <c r="K530" i="1"/>
  <c r="L530" i="1"/>
  <c r="M530" i="1"/>
  <c r="N530" i="1"/>
  <c r="O530" i="1"/>
  <c r="P530" i="1"/>
  <c r="Q530" i="1"/>
  <c r="R530" i="1"/>
  <c r="S530" i="1"/>
  <c r="T530" i="1"/>
  <c r="U530" i="1"/>
  <c r="V530" i="1"/>
  <c r="W530" i="1"/>
  <c r="X530" i="1"/>
  <c r="Y530" i="1"/>
  <c r="Z530" i="1"/>
  <c r="A531" i="1"/>
  <c r="B531" i="1"/>
  <c r="C531" i="1"/>
  <c r="D531" i="1"/>
  <c r="E531" i="1"/>
  <c r="F531" i="1"/>
  <c r="G531" i="1"/>
  <c r="I531" i="1"/>
  <c r="J531" i="1"/>
  <c r="K531" i="1"/>
  <c r="L531" i="1"/>
  <c r="M531" i="1"/>
  <c r="N531" i="1"/>
  <c r="O531" i="1"/>
  <c r="P531" i="1"/>
  <c r="Q531" i="1"/>
  <c r="R531" i="1"/>
  <c r="S531" i="1"/>
  <c r="T531" i="1"/>
  <c r="U531" i="1"/>
  <c r="V531" i="1"/>
  <c r="W531" i="1"/>
  <c r="X531" i="1"/>
  <c r="Y531" i="1"/>
  <c r="Z531" i="1"/>
  <c r="A532" i="1"/>
  <c r="B532" i="1"/>
  <c r="C532" i="1"/>
  <c r="D532" i="1"/>
  <c r="E532" i="1"/>
  <c r="F532" i="1"/>
  <c r="G532" i="1"/>
  <c r="I532" i="1"/>
  <c r="J532" i="1"/>
  <c r="K532" i="1"/>
  <c r="L532" i="1"/>
  <c r="M532" i="1"/>
  <c r="N532" i="1"/>
  <c r="O532" i="1"/>
  <c r="P532" i="1"/>
  <c r="Q532" i="1"/>
  <c r="R532" i="1"/>
  <c r="S532" i="1"/>
  <c r="T532" i="1"/>
  <c r="U532" i="1"/>
  <c r="V532" i="1"/>
  <c r="W532" i="1"/>
  <c r="X532" i="1"/>
  <c r="Y532" i="1"/>
  <c r="Z532" i="1"/>
  <c r="A533" i="1"/>
  <c r="B533" i="1"/>
  <c r="C533" i="1"/>
  <c r="D533" i="1"/>
  <c r="E533" i="1"/>
  <c r="F533" i="1"/>
  <c r="G533" i="1"/>
  <c r="I533" i="1"/>
  <c r="J533" i="1"/>
  <c r="K533" i="1"/>
  <c r="L533" i="1"/>
  <c r="M533" i="1"/>
  <c r="N533" i="1"/>
  <c r="O533" i="1"/>
  <c r="P533" i="1"/>
  <c r="Q533" i="1"/>
  <c r="R533" i="1"/>
  <c r="S533" i="1"/>
  <c r="T533" i="1"/>
  <c r="U533" i="1"/>
  <c r="V533" i="1"/>
  <c r="W533" i="1"/>
  <c r="X533" i="1"/>
  <c r="Y533" i="1"/>
  <c r="Z533" i="1"/>
  <c r="A534" i="1"/>
  <c r="B534" i="1"/>
  <c r="C534" i="1"/>
  <c r="D534" i="1"/>
  <c r="E534" i="1"/>
  <c r="F534" i="1"/>
  <c r="G534" i="1"/>
  <c r="I534" i="1"/>
  <c r="J534" i="1"/>
  <c r="K534" i="1"/>
  <c r="L534" i="1"/>
  <c r="M534" i="1"/>
  <c r="N534" i="1"/>
  <c r="O534" i="1"/>
  <c r="P534" i="1"/>
  <c r="Q534" i="1"/>
  <c r="R534" i="1"/>
  <c r="S534" i="1"/>
  <c r="T534" i="1"/>
  <c r="U534" i="1"/>
  <c r="V534" i="1"/>
  <c r="W534" i="1"/>
  <c r="X534" i="1"/>
  <c r="Y534" i="1"/>
  <c r="Z534" i="1"/>
  <c r="A535" i="1"/>
  <c r="B535" i="1"/>
  <c r="C535" i="1"/>
  <c r="D535" i="1"/>
  <c r="E535" i="1"/>
  <c r="F535" i="1"/>
  <c r="G535" i="1"/>
  <c r="I535" i="1"/>
  <c r="J535" i="1"/>
  <c r="K535" i="1"/>
  <c r="L535" i="1"/>
  <c r="M535" i="1"/>
  <c r="N535" i="1"/>
  <c r="O535" i="1"/>
  <c r="P535" i="1"/>
  <c r="Q535" i="1"/>
  <c r="R535" i="1"/>
  <c r="S535" i="1"/>
  <c r="T535" i="1"/>
  <c r="U535" i="1"/>
  <c r="V535" i="1"/>
  <c r="W535" i="1"/>
  <c r="X535" i="1"/>
  <c r="Y535" i="1"/>
  <c r="Z535" i="1"/>
  <c r="A536" i="1"/>
  <c r="B536" i="1"/>
  <c r="C536" i="1"/>
  <c r="D536" i="1"/>
  <c r="E536" i="1"/>
  <c r="F536" i="1"/>
  <c r="G536" i="1"/>
  <c r="I536" i="1"/>
  <c r="J536" i="1"/>
  <c r="K536" i="1"/>
  <c r="L536" i="1"/>
  <c r="M536" i="1"/>
  <c r="N536" i="1"/>
  <c r="O536" i="1"/>
  <c r="P536" i="1"/>
  <c r="Q536" i="1"/>
  <c r="R536" i="1"/>
  <c r="S536" i="1"/>
  <c r="T536" i="1"/>
  <c r="U536" i="1"/>
  <c r="V536" i="1"/>
  <c r="W536" i="1"/>
  <c r="X536" i="1"/>
  <c r="Y536" i="1"/>
  <c r="Z536" i="1"/>
  <c r="A537" i="1"/>
  <c r="B537" i="1"/>
  <c r="C537" i="1"/>
  <c r="D537" i="1"/>
  <c r="E537" i="1"/>
  <c r="F537" i="1"/>
  <c r="G537" i="1"/>
  <c r="I537" i="1"/>
  <c r="J537" i="1"/>
  <c r="K537" i="1"/>
  <c r="L537" i="1"/>
  <c r="M537" i="1"/>
  <c r="N537" i="1"/>
  <c r="O537" i="1"/>
  <c r="P537" i="1"/>
  <c r="Q537" i="1"/>
  <c r="R537" i="1"/>
  <c r="S537" i="1"/>
  <c r="T537" i="1"/>
  <c r="U537" i="1"/>
  <c r="V537" i="1"/>
  <c r="W537" i="1"/>
  <c r="X537" i="1"/>
  <c r="Y537" i="1"/>
  <c r="Z537" i="1"/>
  <c r="A538" i="1"/>
  <c r="B538" i="1"/>
  <c r="C538" i="1"/>
  <c r="D538" i="1"/>
  <c r="E538" i="1"/>
  <c r="F538" i="1"/>
  <c r="G538" i="1"/>
  <c r="I538" i="1"/>
  <c r="J538" i="1"/>
  <c r="K538" i="1"/>
  <c r="L538" i="1"/>
  <c r="M538" i="1"/>
  <c r="N538" i="1"/>
  <c r="O538" i="1"/>
  <c r="P538" i="1"/>
  <c r="Q538" i="1"/>
  <c r="R538" i="1"/>
  <c r="S538" i="1"/>
  <c r="T538" i="1"/>
  <c r="U538" i="1"/>
  <c r="V538" i="1"/>
  <c r="W538" i="1"/>
  <c r="X538" i="1"/>
  <c r="Y538" i="1"/>
  <c r="Z538" i="1"/>
  <c r="A539" i="1"/>
  <c r="B539" i="1"/>
  <c r="C539" i="1"/>
  <c r="D539" i="1"/>
  <c r="E539" i="1"/>
  <c r="F539" i="1"/>
  <c r="G539" i="1"/>
  <c r="I539" i="1"/>
  <c r="J539" i="1"/>
  <c r="K539" i="1"/>
  <c r="L539" i="1"/>
  <c r="M539" i="1"/>
  <c r="N539" i="1"/>
  <c r="O539" i="1"/>
  <c r="P539" i="1"/>
  <c r="Q539" i="1"/>
  <c r="R539" i="1"/>
  <c r="S539" i="1"/>
  <c r="T539" i="1"/>
  <c r="U539" i="1"/>
  <c r="V539" i="1"/>
  <c r="W539" i="1"/>
  <c r="X539" i="1"/>
  <c r="Y539" i="1"/>
  <c r="Z539" i="1"/>
  <c r="A540" i="1"/>
  <c r="B540" i="1"/>
  <c r="C540" i="1"/>
  <c r="D540" i="1"/>
  <c r="E540" i="1"/>
  <c r="F540" i="1"/>
  <c r="G540" i="1"/>
  <c r="I540" i="1"/>
  <c r="J540" i="1"/>
  <c r="K540" i="1"/>
  <c r="L540" i="1"/>
  <c r="M540" i="1"/>
  <c r="N540" i="1"/>
  <c r="O540" i="1"/>
  <c r="P540" i="1"/>
  <c r="Q540" i="1"/>
  <c r="R540" i="1"/>
  <c r="S540" i="1"/>
  <c r="T540" i="1"/>
  <c r="U540" i="1"/>
  <c r="V540" i="1"/>
  <c r="W540" i="1"/>
  <c r="X540" i="1"/>
  <c r="Y540" i="1"/>
  <c r="Z540" i="1"/>
  <c r="A541" i="1"/>
  <c r="B541" i="1"/>
  <c r="C541" i="1"/>
  <c r="D541" i="1"/>
  <c r="E541" i="1"/>
  <c r="F541" i="1"/>
  <c r="G541" i="1"/>
  <c r="I541" i="1"/>
  <c r="J541" i="1"/>
  <c r="K541" i="1"/>
  <c r="L541" i="1"/>
  <c r="M541" i="1"/>
  <c r="N541" i="1"/>
  <c r="O541" i="1"/>
  <c r="P541" i="1"/>
  <c r="Q541" i="1"/>
  <c r="R541" i="1"/>
  <c r="S541" i="1"/>
  <c r="T541" i="1"/>
  <c r="U541" i="1"/>
  <c r="V541" i="1"/>
  <c r="W541" i="1"/>
  <c r="X541" i="1"/>
  <c r="Y541" i="1"/>
  <c r="Z541" i="1"/>
  <c r="A542" i="1"/>
  <c r="B542" i="1"/>
  <c r="C542" i="1"/>
  <c r="D542" i="1"/>
  <c r="E542" i="1"/>
  <c r="F542" i="1"/>
  <c r="G542" i="1"/>
  <c r="I542" i="1"/>
  <c r="J542" i="1"/>
  <c r="K542" i="1"/>
  <c r="L542" i="1"/>
  <c r="M542" i="1"/>
  <c r="N542" i="1"/>
  <c r="O542" i="1"/>
  <c r="P542" i="1"/>
  <c r="Q542" i="1"/>
  <c r="R542" i="1"/>
  <c r="S542" i="1"/>
  <c r="T542" i="1"/>
  <c r="U542" i="1"/>
  <c r="V542" i="1"/>
  <c r="W542" i="1"/>
  <c r="X542" i="1"/>
  <c r="Y542" i="1"/>
  <c r="Z542" i="1"/>
  <c r="A543" i="1"/>
  <c r="B543" i="1"/>
  <c r="C543" i="1"/>
  <c r="D543" i="1"/>
  <c r="E543" i="1"/>
  <c r="F543" i="1"/>
  <c r="G543" i="1"/>
  <c r="I543" i="1"/>
  <c r="J543" i="1"/>
  <c r="K543" i="1"/>
  <c r="L543" i="1"/>
  <c r="M543" i="1"/>
  <c r="N543" i="1"/>
  <c r="O543" i="1"/>
  <c r="P543" i="1"/>
  <c r="Q543" i="1"/>
  <c r="R543" i="1"/>
  <c r="S543" i="1"/>
  <c r="T543" i="1"/>
  <c r="U543" i="1"/>
  <c r="V543" i="1"/>
  <c r="W543" i="1"/>
  <c r="X543" i="1"/>
  <c r="Y543" i="1"/>
  <c r="Z543" i="1"/>
  <c r="A544" i="1"/>
  <c r="B544" i="1"/>
  <c r="C544" i="1"/>
  <c r="D544" i="1"/>
  <c r="E544" i="1"/>
  <c r="F544" i="1"/>
  <c r="G544" i="1"/>
  <c r="I544" i="1"/>
  <c r="J544" i="1"/>
  <c r="K544" i="1"/>
  <c r="L544" i="1"/>
  <c r="M544" i="1"/>
  <c r="N544" i="1"/>
  <c r="O544" i="1"/>
  <c r="P544" i="1"/>
  <c r="Q544" i="1"/>
  <c r="R544" i="1"/>
  <c r="S544" i="1"/>
  <c r="T544" i="1"/>
  <c r="U544" i="1"/>
  <c r="V544" i="1"/>
  <c r="W544" i="1"/>
  <c r="X544" i="1"/>
  <c r="Y544" i="1"/>
  <c r="Z544" i="1"/>
  <c r="A545" i="1"/>
  <c r="B545" i="1"/>
  <c r="C545" i="1"/>
  <c r="D545" i="1"/>
  <c r="E545" i="1"/>
  <c r="F545" i="1"/>
  <c r="G545" i="1"/>
  <c r="I545" i="1"/>
  <c r="J545" i="1"/>
  <c r="K545" i="1"/>
  <c r="L545" i="1"/>
  <c r="M545" i="1"/>
  <c r="N545" i="1"/>
  <c r="O545" i="1"/>
  <c r="P545" i="1"/>
  <c r="Q545" i="1"/>
  <c r="R545" i="1"/>
  <c r="S545" i="1"/>
  <c r="T545" i="1"/>
  <c r="U545" i="1"/>
  <c r="V545" i="1"/>
  <c r="W545" i="1"/>
  <c r="X545" i="1"/>
  <c r="Y545" i="1"/>
  <c r="Z545" i="1"/>
  <c r="A546" i="1"/>
  <c r="B546" i="1"/>
  <c r="C546" i="1"/>
  <c r="D546" i="1"/>
  <c r="E546" i="1"/>
  <c r="F546" i="1"/>
  <c r="G546" i="1"/>
  <c r="I546" i="1"/>
  <c r="J546" i="1"/>
  <c r="K546" i="1"/>
  <c r="L546" i="1"/>
  <c r="M546" i="1"/>
  <c r="N546" i="1"/>
  <c r="O546" i="1"/>
  <c r="P546" i="1"/>
  <c r="Q546" i="1"/>
  <c r="R546" i="1"/>
  <c r="S546" i="1"/>
  <c r="T546" i="1"/>
  <c r="U546" i="1"/>
  <c r="V546" i="1"/>
  <c r="W546" i="1"/>
  <c r="X546" i="1"/>
  <c r="Y546" i="1"/>
  <c r="Z546" i="1"/>
  <c r="A547" i="1"/>
  <c r="B547" i="1"/>
  <c r="C547" i="1"/>
  <c r="D547" i="1"/>
  <c r="E547" i="1"/>
  <c r="F547" i="1"/>
  <c r="G547" i="1"/>
  <c r="I547" i="1"/>
  <c r="J547" i="1"/>
  <c r="K547" i="1"/>
  <c r="L547" i="1"/>
  <c r="M547" i="1"/>
  <c r="N547" i="1"/>
  <c r="O547" i="1"/>
  <c r="P547" i="1"/>
  <c r="Q547" i="1"/>
  <c r="R547" i="1"/>
  <c r="S547" i="1"/>
  <c r="T547" i="1"/>
  <c r="U547" i="1"/>
  <c r="V547" i="1"/>
  <c r="W547" i="1"/>
  <c r="X547" i="1"/>
  <c r="Y547" i="1"/>
  <c r="Z547" i="1"/>
  <c r="A548" i="1"/>
  <c r="B548" i="1"/>
  <c r="C548" i="1"/>
  <c r="D548" i="1"/>
  <c r="E548" i="1"/>
  <c r="F548" i="1"/>
  <c r="G548" i="1"/>
  <c r="I548" i="1"/>
  <c r="J548" i="1"/>
  <c r="K548" i="1"/>
  <c r="L548" i="1"/>
  <c r="M548" i="1"/>
  <c r="N548" i="1"/>
  <c r="O548" i="1"/>
  <c r="P548" i="1"/>
  <c r="Q548" i="1"/>
  <c r="R548" i="1"/>
  <c r="S548" i="1"/>
  <c r="T548" i="1"/>
  <c r="U548" i="1"/>
  <c r="V548" i="1"/>
  <c r="W548" i="1"/>
  <c r="X548" i="1"/>
  <c r="Y548" i="1"/>
  <c r="Z548" i="1"/>
  <c r="A549" i="1"/>
  <c r="B549" i="1"/>
  <c r="C549" i="1"/>
  <c r="D549" i="1"/>
  <c r="E549" i="1"/>
  <c r="F549" i="1"/>
  <c r="G549" i="1"/>
  <c r="I549" i="1"/>
  <c r="J549" i="1"/>
  <c r="K549" i="1"/>
  <c r="L549" i="1"/>
  <c r="M549" i="1"/>
  <c r="N549" i="1"/>
  <c r="O549" i="1"/>
  <c r="P549" i="1"/>
  <c r="Q549" i="1"/>
  <c r="R549" i="1"/>
  <c r="S549" i="1"/>
  <c r="T549" i="1"/>
  <c r="U549" i="1"/>
  <c r="V549" i="1"/>
  <c r="W549" i="1"/>
  <c r="X549" i="1"/>
  <c r="Y549" i="1"/>
  <c r="Z549" i="1"/>
  <c r="A550" i="1"/>
  <c r="B550" i="1"/>
  <c r="C550" i="1"/>
  <c r="D550" i="1"/>
  <c r="E550" i="1"/>
  <c r="F550" i="1"/>
  <c r="G550" i="1"/>
  <c r="I550" i="1"/>
  <c r="J550" i="1"/>
  <c r="K550" i="1"/>
  <c r="L550" i="1"/>
  <c r="M550" i="1"/>
  <c r="N550" i="1"/>
  <c r="O550" i="1"/>
  <c r="P550" i="1"/>
  <c r="Q550" i="1"/>
  <c r="R550" i="1"/>
  <c r="S550" i="1"/>
  <c r="T550" i="1"/>
  <c r="U550" i="1"/>
  <c r="V550" i="1"/>
  <c r="W550" i="1"/>
  <c r="X550" i="1"/>
  <c r="Y550" i="1"/>
  <c r="Z550" i="1"/>
  <c r="A551" i="1"/>
  <c r="B551" i="1"/>
  <c r="C551" i="1"/>
  <c r="D551" i="1"/>
  <c r="E551" i="1"/>
  <c r="F551" i="1"/>
  <c r="G551" i="1"/>
  <c r="I551" i="1"/>
  <c r="J551" i="1"/>
  <c r="K551" i="1"/>
  <c r="L551" i="1"/>
  <c r="M551" i="1"/>
  <c r="N551" i="1"/>
  <c r="O551" i="1"/>
  <c r="P551" i="1"/>
  <c r="Q551" i="1"/>
  <c r="R551" i="1"/>
  <c r="S551" i="1"/>
  <c r="T551" i="1"/>
  <c r="U551" i="1"/>
  <c r="V551" i="1"/>
  <c r="W551" i="1"/>
  <c r="X551" i="1"/>
  <c r="Y551" i="1"/>
  <c r="Z551" i="1"/>
  <c r="A552" i="1"/>
  <c r="B552" i="1"/>
  <c r="C552" i="1"/>
  <c r="D552" i="1"/>
  <c r="E552" i="1"/>
  <c r="F552" i="1"/>
  <c r="G552" i="1"/>
  <c r="I552" i="1"/>
  <c r="J552" i="1"/>
  <c r="K552" i="1"/>
  <c r="L552" i="1"/>
  <c r="M552" i="1"/>
  <c r="N552" i="1"/>
  <c r="O552" i="1"/>
  <c r="P552" i="1"/>
  <c r="Q552" i="1"/>
  <c r="R552" i="1"/>
  <c r="S552" i="1"/>
  <c r="T552" i="1"/>
  <c r="U552" i="1"/>
  <c r="V552" i="1"/>
  <c r="W552" i="1"/>
  <c r="X552" i="1"/>
  <c r="Y552" i="1"/>
  <c r="Z552" i="1"/>
  <c r="A553" i="1"/>
  <c r="B553" i="1"/>
  <c r="C553" i="1"/>
  <c r="D553" i="1"/>
  <c r="E553" i="1"/>
  <c r="F553" i="1"/>
  <c r="G553" i="1"/>
  <c r="I553" i="1"/>
  <c r="J553" i="1"/>
  <c r="K553" i="1"/>
  <c r="L553" i="1"/>
  <c r="M553" i="1"/>
  <c r="N553" i="1"/>
  <c r="O553" i="1"/>
  <c r="P553" i="1"/>
  <c r="Q553" i="1"/>
  <c r="R553" i="1"/>
  <c r="S553" i="1"/>
  <c r="T553" i="1"/>
  <c r="U553" i="1"/>
  <c r="V553" i="1"/>
  <c r="W553" i="1"/>
  <c r="X553" i="1"/>
  <c r="Y553" i="1"/>
  <c r="Z553" i="1"/>
  <c r="A554" i="1"/>
  <c r="B554" i="1"/>
  <c r="C554" i="1"/>
  <c r="D554" i="1"/>
  <c r="E554" i="1"/>
  <c r="F554" i="1"/>
  <c r="G554" i="1"/>
  <c r="I554" i="1"/>
  <c r="J554" i="1"/>
  <c r="K554" i="1"/>
  <c r="L554" i="1"/>
  <c r="M554" i="1"/>
  <c r="N554" i="1"/>
  <c r="O554" i="1"/>
  <c r="P554" i="1"/>
  <c r="Q554" i="1"/>
  <c r="R554" i="1"/>
  <c r="S554" i="1"/>
  <c r="T554" i="1"/>
  <c r="U554" i="1"/>
  <c r="V554" i="1"/>
  <c r="W554" i="1"/>
  <c r="X554" i="1"/>
  <c r="Y554" i="1"/>
  <c r="Z554" i="1"/>
  <c r="A555" i="1"/>
  <c r="B555" i="1"/>
  <c r="C555" i="1"/>
  <c r="D555" i="1"/>
  <c r="E555" i="1"/>
  <c r="F555" i="1"/>
  <c r="G555" i="1"/>
  <c r="I555" i="1"/>
  <c r="J555" i="1"/>
  <c r="K555" i="1"/>
  <c r="L555" i="1"/>
  <c r="M555" i="1"/>
  <c r="N555" i="1"/>
  <c r="O555" i="1"/>
  <c r="P555" i="1"/>
  <c r="Q555" i="1"/>
  <c r="R555" i="1"/>
  <c r="S555" i="1"/>
  <c r="T555" i="1"/>
  <c r="U555" i="1"/>
  <c r="V555" i="1"/>
  <c r="W555" i="1"/>
  <c r="X555" i="1"/>
  <c r="Y555" i="1"/>
  <c r="Z555" i="1"/>
  <c r="A556" i="1"/>
  <c r="B556" i="1"/>
  <c r="C556" i="1"/>
  <c r="D556" i="1"/>
  <c r="E556" i="1"/>
  <c r="F556" i="1"/>
  <c r="G556" i="1"/>
  <c r="I556" i="1"/>
  <c r="J556" i="1"/>
  <c r="K556" i="1"/>
  <c r="L556" i="1"/>
  <c r="M556" i="1"/>
  <c r="N556" i="1"/>
  <c r="O556" i="1"/>
  <c r="P556" i="1"/>
  <c r="Q556" i="1"/>
  <c r="R556" i="1"/>
  <c r="S556" i="1"/>
  <c r="T556" i="1"/>
  <c r="U556" i="1"/>
  <c r="V556" i="1"/>
  <c r="W556" i="1"/>
  <c r="X556" i="1"/>
  <c r="Y556" i="1"/>
  <c r="Z556" i="1"/>
  <c r="A557" i="1"/>
  <c r="B557" i="1"/>
  <c r="C557" i="1"/>
  <c r="D557" i="1"/>
  <c r="E557" i="1"/>
  <c r="F557" i="1"/>
  <c r="G557" i="1"/>
  <c r="I557" i="1"/>
  <c r="J557" i="1"/>
  <c r="K557" i="1"/>
  <c r="L557" i="1"/>
  <c r="M557" i="1"/>
  <c r="N557" i="1"/>
  <c r="O557" i="1"/>
  <c r="P557" i="1"/>
  <c r="Q557" i="1"/>
  <c r="R557" i="1"/>
  <c r="S557" i="1"/>
  <c r="T557" i="1"/>
  <c r="U557" i="1"/>
  <c r="V557" i="1"/>
  <c r="W557" i="1"/>
  <c r="X557" i="1"/>
  <c r="Y557" i="1"/>
  <c r="Z557" i="1"/>
  <c r="A558" i="1"/>
  <c r="B558" i="1"/>
  <c r="C558" i="1"/>
  <c r="D558" i="1"/>
  <c r="E558" i="1"/>
  <c r="F558" i="1"/>
  <c r="G558" i="1"/>
  <c r="I558" i="1"/>
  <c r="J558" i="1"/>
  <c r="K558" i="1"/>
  <c r="L558" i="1"/>
  <c r="M558" i="1"/>
  <c r="N558" i="1"/>
  <c r="O558" i="1"/>
  <c r="P558" i="1"/>
  <c r="Q558" i="1"/>
  <c r="R558" i="1"/>
  <c r="S558" i="1"/>
  <c r="T558" i="1"/>
  <c r="U558" i="1"/>
  <c r="V558" i="1"/>
  <c r="W558" i="1"/>
  <c r="X558" i="1"/>
  <c r="Y558" i="1"/>
  <c r="Z558" i="1"/>
  <c r="A559" i="1"/>
  <c r="B559" i="1"/>
  <c r="C559" i="1"/>
  <c r="D559" i="1"/>
  <c r="E559" i="1"/>
  <c r="F559" i="1"/>
  <c r="G559" i="1"/>
  <c r="I559" i="1"/>
  <c r="J559" i="1"/>
  <c r="K559" i="1"/>
  <c r="L559" i="1"/>
  <c r="M559" i="1"/>
  <c r="N559" i="1"/>
  <c r="O559" i="1"/>
  <c r="P559" i="1"/>
  <c r="Q559" i="1"/>
  <c r="R559" i="1"/>
  <c r="S559" i="1"/>
  <c r="T559" i="1"/>
  <c r="U559" i="1"/>
  <c r="V559" i="1"/>
  <c r="W559" i="1"/>
  <c r="X559" i="1"/>
  <c r="Y559" i="1"/>
  <c r="Z559" i="1"/>
  <c r="A560" i="1"/>
  <c r="B560" i="1"/>
  <c r="C560" i="1"/>
  <c r="D560" i="1"/>
  <c r="E560" i="1"/>
  <c r="F560" i="1"/>
  <c r="G560" i="1"/>
  <c r="I560" i="1"/>
  <c r="J560" i="1"/>
  <c r="K560" i="1"/>
  <c r="L560" i="1"/>
  <c r="M560" i="1"/>
  <c r="N560" i="1"/>
  <c r="O560" i="1"/>
  <c r="P560" i="1"/>
  <c r="Q560" i="1"/>
  <c r="R560" i="1"/>
  <c r="S560" i="1"/>
  <c r="T560" i="1"/>
  <c r="U560" i="1"/>
  <c r="V560" i="1"/>
  <c r="W560" i="1"/>
  <c r="X560" i="1"/>
  <c r="Y560" i="1"/>
  <c r="Z560" i="1"/>
  <c r="A561" i="1"/>
  <c r="B561" i="1"/>
  <c r="C561" i="1"/>
  <c r="D561" i="1"/>
  <c r="E561" i="1"/>
  <c r="F561" i="1"/>
  <c r="G561" i="1"/>
  <c r="I561" i="1"/>
  <c r="J561" i="1"/>
  <c r="K561" i="1"/>
  <c r="L561" i="1"/>
  <c r="M561" i="1"/>
  <c r="N561" i="1"/>
  <c r="O561" i="1"/>
  <c r="P561" i="1"/>
  <c r="Q561" i="1"/>
  <c r="R561" i="1"/>
  <c r="S561" i="1"/>
  <c r="T561" i="1"/>
  <c r="U561" i="1"/>
  <c r="V561" i="1"/>
  <c r="W561" i="1"/>
  <c r="X561" i="1"/>
  <c r="Y561" i="1"/>
  <c r="Z561" i="1"/>
  <c r="A562" i="1"/>
  <c r="B562" i="1"/>
  <c r="C562" i="1"/>
  <c r="D562" i="1"/>
  <c r="E562" i="1"/>
  <c r="F562" i="1"/>
  <c r="G562" i="1"/>
  <c r="I562" i="1"/>
  <c r="J562" i="1"/>
  <c r="K562" i="1"/>
  <c r="L562" i="1"/>
  <c r="M562" i="1"/>
  <c r="N562" i="1"/>
  <c r="O562" i="1"/>
  <c r="P562" i="1"/>
  <c r="Q562" i="1"/>
  <c r="R562" i="1"/>
  <c r="S562" i="1"/>
  <c r="T562" i="1"/>
  <c r="U562" i="1"/>
  <c r="V562" i="1"/>
  <c r="W562" i="1"/>
  <c r="X562" i="1"/>
  <c r="Y562" i="1"/>
  <c r="Z562" i="1"/>
  <c r="A563" i="1"/>
  <c r="B563" i="1"/>
  <c r="C563" i="1"/>
  <c r="D563" i="1"/>
  <c r="E563" i="1"/>
  <c r="F563" i="1"/>
  <c r="G563" i="1"/>
  <c r="I563" i="1"/>
  <c r="J563" i="1"/>
  <c r="K563" i="1"/>
  <c r="L563" i="1"/>
  <c r="M563" i="1"/>
  <c r="N563" i="1"/>
  <c r="O563" i="1"/>
  <c r="P563" i="1"/>
  <c r="Q563" i="1"/>
  <c r="R563" i="1"/>
  <c r="S563" i="1"/>
  <c r="T563" i="1"/>
  <c r="U563" i="1"/>
  <c r="V563" i="1"/>
  <c r="W563" i="1"/>
  <c r="X563" i="1"/>
  <c r="Y563" i="1"/>
  <c r="Z563" i="1"/>
  <c r="A564" i="1"/>
  <c r="B564" i="1"/>
  <c r="C564" i="1"/>
  <c r="D564" i="1"/>
  <c r="E564" i="1"/>
  <c r="F564" i="1"/>
  <c r="G564" i="1"/>
  <c r="I564" i="1"/>
  <c r="J564" i="1"/>
  <c r="K564" i="1"/>
  <c r="L564" i="1"/>
  <c r="M564" i="1"/>
  <c r="N564" i="1"/>
  <c r="O564" i="1"/>
  <c r="P564" i="1"/>
  <c r="Q564" i="1"/>
  <c r="R564" i="1"/>
  <c r="S564" i="1"/>
  <c r="T564" i="1"/>
  <c r="U564" i="1"/>
  <c r="V564" i="1"/>
  <c r="W564" i="1"/>
  <c r="X564" i="1"/>
  <c r="Y564" i="1"/>
  <c r="Z564" i="1"/>
  <c r="A565" i="1"/>
  <c r="B565" i="1"/>
  <c r="C565" i="1"/>
  <c r="D565" i="1"/>
  <c r="E565" i="1"/>
  <c r="F565" i="1"/>
  <c r="G565" i="1"/>
  <c r="I565" i="1"/>
  <c r="J565" i="1"/>
  <c r="K565" i="1"/>
  <c r="L565" i="1"/>
  <c r="M565" i="1"/>
  <c r="N565" i="1"/>
  <c r="O565" i="1"/>
  <c r="P565" i="1"/>
  <c r="Q565" i="1"/>
  <c r="R565" i="1"/>
  <c r="S565" i="1"/>
  <c r="T565" i="1"/>
  <c r="U565" i="1"/>
  <c r="V565" i="1"/>
  <c r="W565" i="1"/>
  <c r="X565" i="1"/>
  <c r="Y565" i="1"/>
  <c r="Z565" i="1"/>
  <c r="A566" i="1"/>
  <c r="B566" i="1"/>
  <c r="C566" i="1"/>
  <c r="D566" i="1"/>
  <c r="E566" i="1"/>
  <c r="F566" i="1"/>
  <c r="G566" i="1"/>
  <c r="I566" i="1"/>
  <c r="J566" i="1"/>
  <c r="K566" i="1"/>
  <c r="L566" i="1"/>
  <c r="M566" i="1"/>
  <c r="N566" i="1"/>
  <c r="O566" i="1"/>
  <c r="P566" i="1"/>
  <c r="Q566" i="1"/>
  <c r="R566" i="1"/>
  <c r="S566" i="1"/>
  <c r="T566" i="1"/>
  <c r="U566" i="1"/>
  <c r="V566" i="1"/>
  <c r="W566" i="1"/>
  <c r="X566" i="1"/>
  <c r="Y566" i="1"/>
  <c r="Z566" i="1"/>
  <c r="A567" i="1"/>
  <c r="B567" i="1"/>
  <c r="C567" i="1"/>
  <c r="D567" i="1"/>
  <c r="E567" i="1"/>
  <c r="F567" i="1"/>
  <c r="G567" i="1"/>
  <c r="I567" i="1"/>
  <c r="J567" i="1"/>
  <c r="K567" i="1"/>
  <c r="L567" i="1"/>
  <c r="M567" i="1"/>
  <c r="N567" i="1"/>
  <c r="O567" i="1"/>
  <c r="P567" i="1"/>
  <c r="Q567" i="1"/>
  <c r="R567" i="1"/>
  <c r="S567" i="1"/>
  <c r="T567" i="1"/>
  <c r="U567" i="1"/>
  <c r="V567" i="1"/>
  <c r="W567" i="1"/>
  <c r="X567" i="1"/>
  <c r="Y567" i="1"/>
  <c r="Z567" i="1"/>
  <c r="A568" i="1"/>
  <c r="B568" i="1"/>
  <c r="C568" i="1"/>
  <c r="D568" i="1"/>
  <c r="E568" i="1"/>
  <c r="F568" i="1"/>
  <c r="G568" i="1"/>
  <c r="I568" i="1"/>
  <c r="J568" i="1"/>
  <c r="K568" i="1"/>
  <c r="L568" i="1"/>
  <c r="M568" i="1"/>
  <c r="N568" i="1"/>
  <c r="O568" i="1"/>
  <c r="P568" i="1"/>
  <c r="Q568" i="1"/>
  <c r="R568" i="1"/>
  <c r="S568" i="1"/>
  <c r="T568" i="1"/>
  <c r="U568" i="1"/>
  <c r="V568" i="1"/>
  <c r="W568" i="1"/>
  <c r="X568" i="1"/>
  <c r="Y568" i="1"/>
  <c r="Z568" i="1"/>
  <c r="A569" i="1"/>
  <c r="B569" i="1"/>
  <c r="C569" i="1"/>
  <c r="D569" i="1"/>
  <c r="E569" i="1"/>
  <c r="F569" i="1"/>
  <c r="G569" i="1"/>
  <c r="I569" i="1"/>
  <c r="J569" i="1"/>
  <c r="K569" i="1"/>
  <c r="L569" i="1"/>
  <c r="M569" i="1"/>
  <c r="N569" i="1"/>
  <c r="O569" i="1"/>
  <c r="P569" i="1"/>
  <c r="Q569" i="1"/>
  <c r="R569" i="1"/>
  <c r="S569" i="1"/>
  <c r="T569" i="1"/>
  <c r="U569" i="1"/>
  <c r="V569" i="1"/>
  <c r="W569" i="1"/>
  <c r="X569" i="1"/>
  <c r="Y569" i="1"/>
  <c r="Z569" i="1"/>
  <c r="A570" i="1"/>
  <c r="B570" i="1"/>
  <c r="C570" i="1"/>
  <c r="D570" i="1"/>
  <c r="E570" i="1"/>
  <c r="F570" i="1"/>
  <c r="G570" i="1"/>
  <c r="I570" i="1"/>
  <c r="J570" i="1"/>
  <c r="K570" i="1"/>
  <c r="L570" i="1"/>
  <c r="M570" i="1"/>
  <c r="N570" i="1"/>
  <c r="O570" i="1"/>
  <c r="P570" i="1"/>
  <c r="Q570" i="1"/>
  <c r="R570" i="1"/>
  <c r="S570" i="1"/>
  <c r="T570" i="1"/>
  <c r="U570" i="1"/>
  <c r="V570" i="1"/>
  <c r="W570" i="1"/>
  <c r="X570" i="1"/>
  <c r="Y570" i="1"/>
  <c r="Z570" i="1"/>
  <c r="A571" i="1"/>
  <c r="B571" i="1"/>
  <c r="C571" i="1"/>
  <c r="D571" i="1"/>
  <c r="E571" i="1"/>
  <c r="F571" i="1"/>
  <c r="G571" i="1"/>
  <c r="I571" i="1"/>
  <c r="J571" i="1"/>
  <c r="K571" i="1"/>
  <c r="L571" i="1"/>
  <c r="M571" i="1"/>
  <c r="N571" i="1"/>
  <c r="O571" i="1"/>
  <c r="P571" i="1"/>
  <c r="Q571" i="1"/>
  <c r="R571" i="1"/>
  <c r="S571" i="1"/>
  <c r="T571" i="1"/>
  <c r="U571" i="1"/>
  <c r="V571" i="1"/>
  <c r="W571" i="1"/>
  <c r="X571" i="1"/>
  <c r="Y571" i="1"/>
  <c r="Z571" i="1"/>
  <c r="A572" i="1"/>
  <c r="B572" i="1"/>
  <c r="C572" i="1"/>
  <c r="D572" i="1"/>
  <c r="E572" i="1"/>
  <c r="F572" i="1"/>
  <c r="G572" i="1"/>
  <c r="I572" i="1"/>
  <c r="J572" i="1"/>
  <c r="K572" i="1"/>
  <c r="L572" i="1"/>
  <c r="M572" i="1"/>
  <c r="N572" i="1"/>
  <c r="O572" i="1"/>
  <c r="P572" i="1"/>
  <c r="Q572" i="1"/>
  <c r="R572" i="1"/>
  <c r="S572" i="1"/>
  <c r="T572" i="1"/>
  <c r="U572" i="1"/>
  <c r="V572" i="1"/>
  <c r="W572" i="1"/>
  <c r="X572" i="1"/>
  <c r="Y572" i="1"/>
  <c r="Z572" i="1"/>
  <c r="A573" i="1"/>
  <c r="B573" i="1"/>
  <c r="C573" i="1"/>
  <c r="D573" i="1"/>
  <c r="E573" i="1"/>
  <c r="F573" i="1"/>
  <c r="G573" i="1"/>
  <c r="I573" i="1"/>
  <c r="J573" i="1"/>
  <c r="K573" i="1"/>
  <c r="L573" i="1"/>
  <c r="M573" i="1"/>
  <c r="N573" i="1"/>
  <c r="O573" i="1"/>
  <c r="P573" i="1"/>
  <c r="Q573" i="1"/>
  <c r="R573" i="1"/>
  <c r="S573" i="1"/>
  <c r="T573" i="1"/>
  <c r="U573" i="1"/>
  <c r="V573" i="1"/>
  <c r="W573" i="1"/>
  <c r="X573" i="1"/>
  <c r="Y573" i="1"/>
  <c r="Z573" i="1"/>
  <c r="A574" i="1"/>
  <c r="B574" i="1"/>
  <c r="C574" i="1"/>
  <c r="D574" i="1"/>
  <c r="E574" i="1"/>
  <c r="F574" i="1"/>
  <c r="G574" i="1"/>
  <c r="I574" i="1"/>
  <c r="J574" i="1"/>
  <c r="K574" i="1"/>
  <c r="L574" i="1"/>
  <c r="M574" i="1"/>
  <c r="N574" i="1"/>
  <c r="O574" i="1"/>
  <c r="P574" i="1"/>
  <c r="Q574" i="1"/>
  <c r="R574" i="1"/>
  <c r="S574" i="1"/>
  <c r="T574" i="1"/>
  <c r="U574" i="1"/>
  <c r="V574" i="1"/>
  <c r="W574" i="1"/>
  <c r="X574" i="1"/>
  <c r="Y574" i="1"/>
  <c r="Z574" i="1"/>
  <c r="A575" i="1"/>
  <c r="B575" i="1"/>
  <c r="C575" i="1"/>
  <c r="D575" i="1"/>
  <c r="E575" i="1"/>
  <c r="F575" i="1"/>
  <c r="G575" i="1"/>
  <c r="I575" i="1"/>
  <c r="J575" i="1"/>
  <c r="K575" i="1"/>
  <c r="L575" i="1"/>
  <c r="M575" i="1"/>
  <c r="N575" i="1"/>
  <c r="O575" i="1"/>
  <c r="P575" i="1"/>
  <c r="Q575" i="1"/>
  <c r="R575" i="1"/>
  <c r="S575" i="1"/>
  <c r="T575" i="1"/>
  <c r="U575" i="1"/>
  <c r="V575" i="1"/>
  <c r="W575" i="1"/>
  <c r="X575" i="1"/>
  <c r="Y575" i="1"/>
  <c r="Z575" i="1"/>
  <c r="A576" i="1"/>
  <c r="B576" i="1"/>
  <c r="C576" i="1"/>
  <c r="D576" i="1"/>
  <c r="E576" i="1"/>
  <c r="F576" i="1"/>
  <c r="G576" i="1"/>
  <c r="I576" i="1"/>
  <c r="J576" i="1"/>
  <c r="K576" i="1"/>
  <c r="L576" i="1"/>
  <c r="M576" i="1"/>
  <c r="N576" i="1"/>
  <c r="O576" i="1"/>
  <c r="P576" i="1"/>
  <c r="Q576" i="1"/>
  <c r="R576" i="1"/>
  <c r="S576" i="1"/>
  <c r="T576" i="1"/>
  <c r="U576" i="1"/>
  <c r="V576" i="1"/>
  <c r="W576" i="1"/>
  <c r="X576" i="1"/>
  <c r="Y576" i="1"/>
  <c r="Z576" i="1"/>
  <c r="A577" i="1"/>
  <c r="B577" i="1"/>
  <c r="C577" i="1"/>
  <c r="D577" i="1"/>
  <c r="E577" i="1"/>
  <c r="F577" i="1"/>
  <c r="G577" i="1"/>
  <c r="I577" i="1"/>
  <c r="J577" i="1"/>
  <c r="K577" i="1"/>
  <c r="L577" i="1"/>
  <c r="M577" i="1"/>
  <c r="N577" i="1"/>
  <c r="O577" i="1"/>
  <c r="P577" i="1"/>
  <c r="Q577" i="1"/>
  <c r="R577" i="1"/>
  <c r="S577" i="1"/>
  <c r="T577" i="1"/>
  <c r="U577" i="1"/>
  <c r="V577" i="1"/>
  <c r="W577" i="1"/>
  <c r="X577" i="1"/>
  <c r="Y577" i="1"/>
  <c r="Z577" i="1"/>
  <c r="A578" i="1"/>
  <c r="B578" i="1"/>
  <c r="C578" i="1"/>
  <c r="D578" i="1"/>
  <c r="E578" i="1"/>
  <c r="F578" i="1"/>
  <c r="G578" i="1"/>
  <c r="I578" i="1"/>
  <c r="J578" i="1"/>
  <c r="K578" i="1"/>
  <c r="L578" i="1"/>
  <c r="M578" i="1"/>
  <c r="N578" i="1"/>
  <c r="O578" i="1"/>
  <c r="P578" i="1"/>
  <c r="Q578" i="1"/>
  <c r="R578" i="1"/>
  <c r="S578" i="1"/>
  <c r="T578" i="1"/>
  <c r="U578" i="1"/>
  <c r="V578" i="1"/>
  <c r="W578" i="1"/>
  <c r="X578" i="1"/>
  <c r="Y578" i="1"/>
  <c r="Z578" i="1"/>
  <c r="A579" i="1"/>
  <c r="B579" i="1"/>
  <c r="C579" i="1"/>
  <c r="D579" i="1"/>
  <c r="E579" i="1"/>
  <c r="F579" i="1"/>
  <c r="G579" i="1"/>
  <c r="I579" i="1"/>
  <c r="J579" i="1"/>
  <c r="K579" i="1"/>
  <c r="L579" i="1"/>
  <c r="M579" i="1"/>
  <c r="N579" i="1"/>
  <c r="O579" i="1"/>
  <c r="P579" i="1"/>
  <c r="Q579" i="1"/>
  <c r="R579" i="1"/>
  <c r="S579" i="1"/>
  <c r="T579" i="1"/>
  <c r="U579" i="1"/>
  <c r="V579" i="1"/>
  <c r="W579" i="1"/>
  <c r="X579" i="1"/>
  <c r="Y579" i="1"/>
  <c r="Z579" i="1"/>
  <c r="A580" i="1"/>
  <c r="B580" i="1"/>
  <c r="C580" i="1"/>
  <c r="D580" i="1"/>
  <c r="E580" i="1"/>
  <c r="F580" i="1"/>
  <c r="G580" i="1"/>
  <c r="I580" i="1"/>
  <c r="J580" i="1"/>
  <c r="K580" i="1"/>
  <c r="L580" i="1"/>
  <c r="M580" i="1"/>
  <c r="N580" i="1"/>
  <c r="O580" i="1"/>
  <c r="P580" i="1"/>
  <c r="Q580" i="1"/>
  <c r="R580" i="1"/>
  <c r="S580" i="1"/>
  <c r="T580" i="1"/>
  <c r="U580" i="1"/>
  <c r="V580" i="1"/>
  <c r="W580" i="1"/>
  <c r="X580" i="1"/>
  <c r="Y580" i="1"/>
  <c r="Z580" i="1"/>
  <c r="A581" i="1"/>
  <c r="B581" i="1"/>
  <c r="C581" i="1"/>
  <c r="D581" i="1"/>
  <c r="E581" i="1"/>
  <c r="F581" i="1"/>
  <c r="G581" i="1"/>
  <c r="I581" i="1"/>
  <c r="J581" i="1"/>
  <c r="K581" i="1"/>
  <c r="L581" i="1"/>
  <c r="M581" i="1"/>
  <c r="N581" i="1"/>
  <c r="O581" i="1"/>
  <c r="P581" i="1"/>
  <c r="Q581" i="1"/>
  <c r="R581" i="1"/>
  <c r="S581" i="1"/>
  <c r="T581" i="1"/>
  <c r="U581" i="1"/>
  <c r="V581" i="1"/>
  <c r="W581" i="1"/>
  <c r="X581" i="1"/>
  <c r="Y581" i="1"/>
  <c r="Z581" i="1"/>
  <c r="A582" i="1"/>
  <c r="B582" i="1"/>
  <c r="C582" i="1"/>
  <c r="D582" i="1"/>
  <c r="E582" i="1"/>
  <c r="F582" i="1"/>
  <c r="G582" i="1"/>
  <c r="I582" i="1"/>
  <c r="J582" i="1"/>
  <c r="K582" i="1"/>
  <c r="L582" i="1"/>
  <c r="M582" i="1"/>
  <c r="N582" i="1"/>
  <c r="O582" i="1"/>
  <c r="P582" i="1"/>
  <c r="Q582" i="1"/>
  <c r="R582" i="1"/>
  <c r="S582" i="1"/>
  <c r="T582" i="1"/>
  <c r="U582" i="1"/>
  <c r="V582" i="1"/>
  <c r="W582" i="1"/>
  <c r="X582" i="1"/>
  <c r="Y582" i="1"/>
  <c r="Z582" i="1"/>
  <c r="A583" i="1"/>
  <c r="B583" i="1"/>
  <c r="C583" i="1"/>
  <c r="D583" i="1"/>
  <c r="E583" i="1"/>
  <c r="F583" i="1"/>
  <c r="G583" i="1"/>
  <c r="I583" i="1"/>
  <c r="J583" i="1"/>
  <c r="K583" i="1"/>
  <c r="L583" i="1"/>
  <c r="M583" i="1"/>
  <c r="N583" i="1"/>
  <c r="O583" i="1"/>
  <c r="P583" i="1"/>
  <c r="Q583" i="1"/>
  <c r="R583" i="1"/>
  <c r="S583" i="1"/>
  <c r="T583" i="1"/>
  <c r="U583" i="1"/>
  <c r="V583" i="1"/>
  <c r="W583" i="1"/>
  <c r="X583" i="1"/>
  <c r="Y583" i="1"/>
  <c r="Z583" i="1"/>
  <c r="A584" i="1"/>
  <c r="B584" i="1"/>
  <c r="C584" i="1"/>
  <c r="D584" i="1"/>
  <c r="E584" i="1"/>
  <c r="F584" i="1"/>
  <c r="G584" i="1"/>
  <c r="I584" i="1"/>
  <c r="J584" i="1"/>
  <c r="K584" i="1"/>
  <c r="L584" i="1"/>
  <c r="M584" i="1"/>
  <c r="N584" i="1"/>
  <c r="O584" i="1"/>
  <c r="P584" i="1"/>
  <c r="Q584" i="1"/>
  <c r="R584" i="1"/>
  <c r="S584" i="1"/>
  <c r="T584" i="1"/>
  <c r="U584" i="1"/>
  <c r="V584" i="1"/>
  <c r="W584" i="1"/>
  <c r="X584" i="1"/>
  <c r="Y584" i="1"/>
  <c r="Z584" i="1"/>
  <c r="A585" i="1"/>
  <c r="B585" i="1"/>
  <c r="C585" i="1"/>
  <c r="D585" i="1"/>
  <c r="E585" i="1"/>
  <c r="F585" i="1"/>
  <c r="G585" i="1"/>
  <c r="I585" i="1"/>
  <c r="J585" i="1"/>
  <c r="K585" i="1"/>
  <c r="L585" i="1"/>
  <c r="M585" i="1"/>
  <c r="N585" i="1"/>
  <c r="O585" i="1"/>
  <c r="P585" i="1"/>
  <c r="Q585" i="1"/>
  <c r="R585" i="1"/>
  <c r="S585" i="1"/>
  <c r="T585" i="1"/>
  <c r="U585" i="1"/>
  <c r="V585" i="1"/>
  <c r="W585" i="1"/>
  <c r="X585" i="1"/>
  <c r="Y585" i="1"/>
  <c r="Z585" i="1"/>
  <c r="A586" i="1"/>
  <c r="B586" i="1"/>
  <c r="C586" i="1"/>
  <c r="D586" i="1"/>
  <c r="E586" i="1"/>
  <c r="F586" i="1"/>
  <c r="G586" i="1"/>
  <c r="I586" i="1"/>
  <c r="J586" i="1"/>
  <c r="K586" i="1"/>
  <c r="L586" i="1"/>
  <c r="M586" i="1"/>
  <c r="N586" i="1"/>
  <c r="O586" i="1"/>
  <c r="P586" i="1"/>
  <c r="Q586" i="1"/>
  <c r="R586" i="1"/>
  <c r="S586" i="1"/>
  <c r="T586" i="1"/>
  <c r="U586" i="1"/>
  <c r="V586" i="1"/>
  <c r="W586" i="1"/>
  <c r="X586" i="1"/>
  <c r="Y586" i="1"/>
  <c r="Z586" i="1"/>
  <c r="A587" i="1"/>
  <c r="B587" i="1"/>
  <c r="C587" i="1"/>
  <c r="D587" i="1"/>
  <c r="E587" i="1"/>
  <c r="F587" i="1"/>
  <c r="G587" i="1"/>
  <c r="I587" i="1"/>
  <c r="J587" i="1"/>
  <c r="K587" i="1"/>
  <c r="L587" i="1"/>
  <c r="M587" i="1"/>
  <c r="N587" i="1"/>
  <c r="O587" i="1"/>
  <c r="P587" i="1"/>
  <c r="Q587" i="1"/>
  <c r="R587" i="1"/>
  <c r="S587" i="1"/>
  <c r="T587" i="1"/>
  <c r="U587" i="1"/>
  <c r="V587" i="1"/>
  <c r="W587" i="1"/>
  <c r="X587" i="1"/>
  <c r="Y587" i="1"/>
  <c r="Z587" i="1"/>
  <c r="A588" i="1"/>
  <c r="B588" i="1"/>
  <c r="C588" i="1"/>
  <c r="D588" i="1"/>
  <c r="E588" i="1"/>
  <c r="F588" i="1"/>
  <c r="G588" i="1"/>
  <c r="I588" i="1"/>
  <c r="J588" i="1"/>
  <c r="K588" i="1"/>
  <c r="L588" i="1"/>
  <c r="M588" i="1"/>
  <c r="N588" i="1"/>
  <c r="O588" i="1"/>
  <c r="P588" i="1"/>
  <c r="Q588" i="1"/>
  <c r="R588" i="1"/>
  <c r="S588" i="1"/>
  <c r="T588" i="1"/>
  <c r="U588" i="1"/>
  <c r="V588" i="1"/>
  <c r="W588" i="1"/>
  <c r="X588" i="1"/>
  <c r="Y588" i="1"/>
  <c r="Z588" i="1"/>
  <c r="A589" i="1"/>
  <c r="B589" i="1"/>
  <c r="C589" i="1"/>
  <c r="D589" i="1"/>
  <c r="E589" i="1"/>
  <c r="F589" i="1"/>
  <c r="G589" i="1"/>
  <c r="I589" i="1"/>
  <c r="J589" i="1"/>
  <c r="K589" i="1"/>
  <c r="L589" i="1"/>
  <c r="M589" i="1"/>
  <c r="N589" i="1"/>
  <c r="O589" i="1"/>
  <c r="P589" i="1"/>
  <c r="Q589" i="1"/>
  <c r="R589" i="1"/>
  <c r="S589" i="1"/>
  <c r="T589" i="1"/>
  <c r="U589" i="1"/>
  <c r="V589" i="1"/>
  <c r="W589" i="1"/>
  <c r="X589" i="1"/>
  <c r="Y589" i="1"/>
  <c r="Z589" i="1"/>
  <c r="A590" i="1"/>
  <c r="B590" i="1"/>
  <c r="C590" i="1"/>
  <c r="D590" i="1"/>
  <c r="E590" i="1"/>
  <c r="F590" i="1"/>
  <c r="G590" i="1"/>
  <c r="I590" i="1"/>
  <c r="J590" i="1"/>
  <c r="K590" i="1"/>
  <c r="L590" i="1"/>
  <c r="M590" i="1"/>
  <c r="N590" i="1"/>
  <c r="O590" i="1"/>
  <c r="P590" i="1"/>
  <c r="Q590" i="1"/>
  <c r="R590" i="1"/>
  <c r="S590" i="1"/>
  <c r="T590" i="1"/>
  <c r="U590" i="1"/>
  <c r="V590" i="1"/>
  <c r="W590" i="1"/>
  <c r="X590" i="1"/>
  <c r="Y590" i="1"/>
  <c r="Z590" i="1"/>
  <c r="A591" i="1"/>
  <c r="B591" i="1"/>
  <c r="C591" i="1"/>
  <c r="D591" i="1"/>
  <c r="E591" i="1"/>
  <c r="F591" i="1"/>
  <c r="G591" i="1"/>
  <c r="I591" i="1"/>
  <c r="J591" i="1"/>
  <c r="K591" i="1"/>
  <c r="L591" i="1"/>
  <c r="M591" i="1"/>
  <c r="N591" i="1"/>
  <c r="O591" i="1"/>
  <c r="P591" i="1"/>
  <c r="Q591" i="1"/>
  <c r="R591" i="1"/>
  <c r="S591" i="1"/>
  <c r="T591" i="1"/>
  <c r="U591" i="1"/>
  <c r="V591" i="1"/>
  <c r="W591" i="1"/>
  <c r="X591" i="1"/>
  <c r="Y591" i="1"/>
  <c r="Z591" i="1"/>
  <c r="A592" i="1"/>
  <c r="B592" i="1"/>
  <c r="C592" i="1"/>
  <c r="D592" i="1"/>
  <c r="E592" i="1"/>
  <c r="F592" i="1"/>
  <c r="G592" i="1"/>
  <c r="I592" i="1"/>
  <c r="J592" i="1"/>
  <c r="K592" i="1"/>
  <c r="L592" i="1"/>
  <c r="M592" i="1"/>
  <c r="N592" i="1"/>
  <c r="O592" i="1"/>
  <c r="P592" i="1"/>
  <c r="Q592" i="1"/>
  <c r="R592" i="1"/>
  <c r="S592" i="1"/>
  <c r="T592" i="1"/>
  <c r="U592" i="1"/>
  <c r="V592" i="1"/>
  <c r="W592" i="1"/>
  <c r="X592" i="1"/>
  <c r="Y592" i="1"/>
  <c r="Z592" i="1"/>
  <c r="A593" i="1"/>
  <c r="B593" i="1"/>
  <c r="C593" i="1"/>
  <c r="D593" i="1"/>
  <c r="E593" i="1"/>
  <c r="F593" i="1"/>
  <c r="G593" i="1"/>
  <c r="I593" i="1"/>
  <c r="J593" i="1"/>
  <c r="K593" i="1"/>
  <c r="L593" i="1"/>
  <c r="M593" i="1"/>
  <c r="N593" i="1"/>
  <c r="O593" i="1"/>
  <c r="P593" i="1"/>
  <c r="Q593" i="1"/>
  <c r="R593" i="1"/>
  <c r="S593" i="1"/>
  <c r="T593" i="1"/>
  <c r="U593" i="1"/>
  <c r="V593" i="1"/>
  <c r="W593" i="1"/>
  <c r="X593" i="1"/>
  <c r="Y593" i="1"/>
  <c r="Z593" i="1"/>
  <c r="A594" i="1"/>
  <c r="B594" i="1"/>
  <c r="C594" i="1"/>
  <c r="D594" i="1"/>
  <c r="E594" i="1"/>
  <c r="F594" i="1"/>
  <c r="G594" i="1"/>
  <c r="I594" i="1"/>
  <c r="J594" i="1"/>
  <c r="K594" i="1"/>
  <c r="L594" i="1"/>
  <c r="M594" i="1"/>
  <c r="N594" i="1"/>
  <c r="O594" i="1"/>
  <c r="P594" i="1"/>
  <c r="Q594" i="1"/>
  <c r="R594" i="1"/>
  <c r="S594" i="1"/>
  <c r="T594" i="1"/>
  <c r="U594" i="1"/>
  <c r="V594" i="1"/>
  <c r="W594" i="1"/>
  <c r="X594" i="1"/>
  <c r="Y594" i="1"/>
  <c r="Z594" i="1"/>
  <c r="A595" i="1"/>
  <c r="B595" i="1"/>
  <c r="C595" i="1"/>
  <c r="D595" i="1"/>
  <c r="E595" i="1"/>
  <c r="F595" i="1"/>
  <c r="G595" i="1"/>
  <c r="I595" i="1"/>
  <c r="J595" i="1"/>
  <c r="K595" i="1"/>
  <c r="L595" i="1"/>
  <c r="M595" i="1"/>
  <c r="N595" i="1"/>
  <c r="O595" i="1"/>
  <c r="P595" i="1"/>
  <c r="Q595" i="1"/>
  <c r="R595" i="1"/>
  <c r="S595" i="1"/>
  <c r="T595" i="1"/>
  <c r="U595" i="1"/>
  <c r="V595" i="1"/>
  <c r="W595" i="1"/>
  <c r="X595" i="1"/>
  <c r="Y595" i="1"/>
  <c r="Z595" i="1"/>
  <c r="A596" i="1"/>
  <c r="B596" i="1"/>
  <c r="C596" i="1"/>
  <c r="D596" i="1"/>
  <c r="E596" i="1"/>
  <c r="F596" i="1"/>
  <c r="G596" i="1"/>
  <c r="I596" i="1"/>
  <c r="J596" i="1"/>
  <c r="K596" i="1"/>
  <c r="L596" i="1"/>
  <c r="M596" i="1"/>
  <c r="N596" i="1"/>
  <c r="O596" i="1"/>
  <c r="P596" i="1"/>
  <c r="Q596" i="1"/>
  <c r="R596" i="1"/>
  <c r="S596" i="1"/>
  <c r="T596" i="1"/>
  <c r="U596" i="1"/>
  <c r="V596" i="1"/>
  <c r="W596" i="1"/>
  <c r="X596" i="1"/>
  <c r="Y596" i="1"/>
  <c r="Z596" i="1"/>
  <c r="A597" i="1"/>
  <c r="B597" i="1"/>
  <c r="C597" i="1"/>
  <c r="D597" i="1"/>
  <c r="E597" i="1"/>
  <c r="F597" i="1"/>
  <c r="G597" i="1"/>
  <c r="I597" i="1"/>
  <c r="J597" i="1"/>
  <c r="K597" i="1"/>
  <c r="L597" i="1"/>
  <c r="M597" i="1"/>
  <c r="N597" i="1"/>
  <c r="O597" i="1"/>
  <c r="P597" i="1"/>
  <c r="Q597" i="1"/>
  <c r="R597" i="1"/>
  <c r="S597" i="1"/>
  <c r="T597" i="1"/>
  <c r="U597" i="1"/>
  <c r="V597" i="1"/>
  <c r="W597" i="1"/>
  <c r="X597" i="1"/>
  <c r="Y597" i="1"/>
  <c r="Z597" i="1"/>
  <c r="A598" i="1"/>
  <c r="B598" i="1"/>
  <c r="C598" i="1"/>
  <c r="D598" i="1"/>
  <c r="E598" i="1"/>
  <c r="F598" i="1"/>
  <c r="G598" i="1"/>
  <c r="I598" i="1"/>
  <c r="J598" i="1"/>
  <c r="K598" i="1"/>
  <c r="L598" i="1"/>
  <c r="M598" i="1"/>
  <c r="N598" i="1"/>
  <c r="O598" i="1"/>
  <c r="P598" i="1"/>
  <c r="Q598" i="1"/>
  <c r="R598" i="1"/>
  <c r="S598" i="1"/>
  <c r="T598" i="1"/>
  <c r="U598" i="1"/>
  <c r="V598" i="1"/>
  <c r="W598" i="1"/>
  <c r="X598" i="1"/>
  <c r="Y598" i="1"/>
  <c r="Z598" i="1"/>
  <c r="A599" i="1"/>
  <c r="B599" i="1"/>
  <c r="C599" i="1"/>
  <c r="D599" i="1"/>
  <c r="E599" i="1"/>
  <c r="F599" i="1"/>
  <c r="G599" i="1"/>
  <c r="I599" i="1"/>
  <c r="J599" i="1"/>
  <c r="K599" i="1"/>
  <c r="L599" i="1"/>
  <c r="M599" i="1"/>
  <c r="N599" i="1"/>
  <c r="O599" i="1"/>
  <c r="P599" i="1"/>
  <c r="Q599" i="1"/>
  <c r="R599" i="1"/>
  <c r="S599" i="1"/>
  <c r="T599" i="1"/>
  <c r="U599" i="1"/>
  <c r="V599" i="1"/>
  <c r="W599" i="1"/>
  <c r="X599" i="1"/>
  <c r="Y599" i="1"/>
  <c r="Z599" i="1"/>
  <c r="A600" i="1"/>
  <c r="B600" i="1"/>
  <c r="C600" i="1"/>
  <c r="D600" i="1"/>
  <c r="E600" i="1"/>
  <c r="F600" i="1"/>
  <c r="G600" i="1"/>
  <c r="I600" i="1"/>
  <c r="J600" i="1"/>
  <c r="K600" i="1"/>
  <c r="L600" i="1"/>
  <c r="M600" i="1"/>
  <c r="N600" i="1"/>
  <c r="O600" i="1"/>
  <c r="P600" i="1"/>
  <c r="Q600" i="1"/>
  <c r="R600" i="1"/>
  <c r="S600" i="1"/>
  <c r="T600" i="1"/>
  <c r="U600" i="1"/>
  <c r="V600" i="1"/>
  <c r="W600" i="1"/>
  <c r="X600" i="1"/>
  <c r="Y600" i="1"/>
  <c r="Z600" i="1"/>
  <c r="A601" i="1"/>
  <c r="B601" i="1"/>
  <c r="C601" i="1"/>
  <c r="D601" i="1"/>
  <c r="E601" i="1"/>
  <c r="F601" i="1"/>
  <c r="G601" i="1"/>
  <c r="I601" i="1"/>
  <c r="J601" i="1"/>
  <c r="K601" i="1"/>
  <c r="L601" i="1"/>
  <c r="M601" i="1"/>
  <c r="N601" i="1"/>
  <c r="O601" i="1"/>
  <c r="P601" i="1"/>
  <c r="Q601" i="1"/>
  <c r="R601" i="1"/>
  <c r="S601" i="1"/>
  <c r="T601" i="1"/>
  <c r="U601" i="1"/>
  <c r="V601" i="1"/>
  <c r="W601" i="1"/>
  <c r="X601" i="1"/>
  <c r="Y601" i="1"/>
  <c r="Z601" i="1"/>
  <c r="A602" i="1"/>
  <c r="B602" i="1"/>
  <c r="C602" i="1"/>
  <c r="D602" i="1"/>
  <c r="E602" i="1"/>
  <c r="F602" i="1"/>
  <c r="G602" i="1"/>
  <c r="I602" i="1"/>
  <c r="J602" i="1"/>
  <c r="K602" i="1"/>
  <c r="L602" i="1"/>
  <c r="M602" i="1"/>
  <c r="N602" i="1"/>
  <c r="O602" i="1"/>
  <c r="P602" i="1"/>
  <c r="Q602" i="1"/>
  <c r="R602" i="1"/>
  <c r="S602" i="1"/>
  <c r="T602" i="1"/>
  <c r="U602" i="1"/>
  <c r="V602" i="1"/>
  <c r="W602" i="1"/>
  <c r="X602" i="1"/>
  <c r="Y602" i="1"/>
  <c r="Z602" i="1"/>
  <c r="A603" i="1"/>
  <c r="B603" i="1"/>
  <c r="C603" i="1"/>
  <c r="D603" i="1"/>
  <c r="E603" i="1"/>
  <c r="F603" i="1"/>
  <c r="G603" i="1"/>
  <c r="I603" i="1"/>
  <c r="J603" i="1"/>
  <c r="K603" i="1"/>
  <c r="L603" i="1"/>
  <c r="M603" i="1"/>
  <c r="N603" i="1"/>
  <c r="O603" i="1"/>
  <c r="P603" i="1"/>
  <c r="Q603" i="1"/>
  <c r="R603" i="1"/>
  <c r="S603" i="1"/>
  <c r="T603" i="1"/>
  <c r="U603" i="1"/>
  <c r="V603" i="1"/>
  <c r="W603" i="1"/>
  <c r="X603" i="1"/>
  <c r="Y603" i="1"/>
  <c r="Z603" i="1"/>
  <c r="A604" i="1"/>
  <c r="B604" i="1"/>
  <c r="C604" i="1"/>
  <c r="D604" i="1"/>
  <c r="E604" i="1"/>
  <c r="F604" i="1"/>
  <c r="G604" i="1"/>
  <c r="I604" i="1"/>
  <c r="J604" i="1"/>
  <c r="K604" i="1"/>
  <c r="L604" i="1"/>
  <c r="M604" i="1"/>
  <c r="N604" i="1"/>
  <c r="O604" i="1"/>
  <c r="P604" i="1"/>
  <c r="Q604" i="1"/>
  <c r="R604" i="1"/>
  <c r="S604" i="1"/>
  <c r="T604" i="1"/>
  <c r="U604" i="1"/>
  <c r="V604" i="1"/>
  <c r="W604" i="1"/>
  <c r="X604" i="1"/>
  <c r="Y604" i="1"/>
  <c r="Z604" i="1"/>
  <c r="A605" i="1"/>
  <c r="B605" i="1"/>
  <c r="C605" i="1"/>
  <c r="D605" i="1"/>
  <c r="E605" i="1"/>
  <c r="F605" i="1"/>
  <c r="G605" i="1"/>
  <c r="I605" i="1"/>
  <c r="J605" i="1"/>
  <c r="K605" i="1"/>
  <c r="L605" i="1"/>
  <c r="M605" i="1"/>
  <c r="N605" i="1"/>
  <c r="O605" i="1"/>
  <c r="P605" i="1"/>
  <c r="Q605" i="1"/>
  <c r="R605" i="1"/>
  <c r="S605" i="1"/>
  <c r="T605" i="1"/>
  <c r="U605" i="1"/>
  <c r="V605" i="1"/>
  <c r="W605" i="1"/>
  <c r="X605" i="1"/>
  <c r="Y605" i="1"/>
  <c r="Z605" i="1"/>
  <c r="A606" i="1"/>
  <c r="B606" i="1"/>
  <c r="C606" i="1"/>
  <c r="D606" i="1"/>
  <c r="E606" i="1"/>
  <c r="F606" i="1"/>
  <c r="G606" i="1"/>
  <c r="I606" i="1"/>
  <c r="J606" i="1"/>
  <c r="K606" i="1"/>
  <c r="L606" i="1"/>
  <c r="M606" i="1"/>
  <c r="N606" i="1"/>
  <c r="O606" i="1"/>
  <c r="P606" i="1"/>
  <c r="Q606" i="1"/>
  <c r="R606" i="1"/>
  <c r="S606" i="1"/>
  <c r="T606" i="1"/>
  <c r="U606" i="1"/>
  <c r="V606" i="1"/>
  <c r="W606" i="1"/>
  <c r="X606" i="1"/>
  <c r="Y606" i="1"/>
  <c r="Z606" i="1"/>
  <c r="A607" i="1"/>
  <c r="B607" i="1"/>
  <c r="C607" i="1"/>
  <c r="D607" i="1"/>
  <c r="E607" i="1"/>
  <c r="F607" i="1"/>
  <c r="G607" i="1"/>
  <c r="I607" i="1"/>
  <c r="J607" i="1"/>
  <c r="K607" i="1"/>
  <c r="L607" i="1"/>
  <c r="M607" i="1"/>
  <c r="N607" i="1"/>
  <c r="O607" i="1"/>
  <c r="P607" i="1"/>
  <c r="Q607" i="1"/>
  <c r="R607" i="1"/>
  <c r="S607" i="1"/>
  <c r="T607" i="1"/>
  <c r="U607" i="1"/>
  <c r="V607" i="1"/>
  <c r="W607" i="1"/>
  <c r="X607" i="1"/>
  <c r="Y607" i="1"/>
  <c r="Z607" i="1"/>
  <c r="A608" i="1"/>
  <c r="B608" i="1"/>
  <c r="C608" i="1"/>
  <c r="D608" i="1"/>
  <c r="E608" i="1"/>
  <c r="F608" i="1"/>
  <c r="G608" i="1"/>
  <c r="I608" i="1"/>
  <c r="J608" i="1"/>
  <c r="K608" i="1"/>
  <c r="L608" i="1"/>
  <c r="M608" i="1"/>
  <c r="N608" i="1"/>
  <c r="O608" i="1"/>
  <c r="P608" i="1"/>
  <c r="Q608" i="1"/>
  <c r="R608" i="1"/>
  <c r="S608" i="1"/>
  <c r="T608" i="1"/>
  <c r="U608" i="1"/>
  <c r="V608" i="1"/>
  <c r="W608" i="1"/>
  <c r="X608" i="1"/>
  <c r="Y608" i="1"/>
  <c r="Z608" i="1"/>
  <c r="A609" i="1"/>
  <c r="B609" i="1"/>
  <c r="C609" i="1"/>
  <c r="D609" i="1"/>
  <c r="E609" i="1"/>
  <c r="F609" i="1"/>
  <c r="G609" i="1"/>
  <c r="I609" i="1"/>
  <c r="J609" i="1"/>
  <c r="K609" i="1"/>
  <c r="L609" i="1"/>
  <c r="M609" i="1"/>
  <c r="N609" i="1"/>
  <c r="O609" i="1"/>
  <c r="P609" i="1"/>
  <c r="Q609" i="1"/>
  <c r="R609" i="1"/>
  <c r="S609" i="1"/>
  <c r="T609" i="1"/>
  <c r="U609" i="1"/>
  <c r="V609" i="1"/>
  <c r="W609" i="1"/>
  <c r="X609" i="1"/>
  <c r="Y609" i="1"/>
  <c r="Z609" i="1"/>
  <c r="A610" i="1"/>
  <c r="B610" i="1"/>
  <c r="C610" i="1"/>
  <c r="D610" i="1"/>
  <c r="E610" i="1"/>
  <c r="F610" i="1"/>
  <c r="G610" i="1"/>
  <c r="I610" i="1"/>
  <c r="J610" i="1"/>
  <c r="K610" i="1"/>
  <c r="L610" i="1"/>
  <c r="M610" i="1"/>
  <c r="N610" i="1"/>
  <c r="O610" i="1"/>
  <c r="P610" i="1"/>
  <c r="Q610" i="1"/>
  <c r="R610" i="1"/>
  <c r="S610" i="1"/>
  <c r="T610" i="1"/>
  <c r="U610" i="1"/>
  <c r="V610" i="1"/>
  <c r="W610" i="1"/>
  <c r="X610" i="1"/>
  <c r="Y610" i="1"/>
  <c r="Z610" i="1"/>
  <c r="A611" i="1"/>
  <c r="B611" i="1"/>
  <c r="C611" i="1"/>
  <c r="D611" i="1"/>
  <c r="E611" i="1"/>
  <c r="F611" i="1"/>
  <c r="G611" i="1"/>
  <c r="I611" i="1"/>
  <c r="J611" i="1"/>
  <c r="K611" i="1"/>
  <c r="L611" i="1"/>
  <c r="M611" i="1"/>
  <c r="N611" i="1"/>
  <c r="O611" i="1"/>
  <c r="P611" i="1"/>
  <c r="Q611" i="1"/>
  <c r="R611" i="1"/>
  <c r="S611" i="1"/>
  <c r="T611" i="1"/>
  <c r="U611" i="1"/>
  <c r="V611" i="1"/>
  <c r="W611" i="1"/>
  <c r="X611" i="1"/>
  <c r="Y611" i="1"/>
  <c r="Z611" i="1"/>
  <c r="A612" i="1"/>
  <c r="B612" i="1"/>
  <c r="C612" i="1"/>
  <c r="D612" i="1"/>
  <c r="E612" i="1"/>
  <c r="F612" i="1"/>
  <c r="G612" i="1"/>
  <c r="I612" i="1"/>
  <c r="J612" i="1"/>
  <c r="K612" i="1"/>
  <c r="L612" i="1"/>
  <c r="M612" i="1"/>
  <c r="N612" i="1"/>
  <c r="O612" i="1"/>
  <c r="P612" i="1"/>
  <c r="Q612" i="1"/>
  <c r="R612" i="1"/>
  <c r="S612" i="1"/>
  <c r="T612" i="1"/>
  <c r="U612" i="1"/>
  <c r="V612" i="1"/>
  <c r="W612" i="1"/>
  <c r="X612" i="1"/>
  <c r="Y612" i="1"/>
  <c r="Z612" i="1"/>
  <c r="A613" i="1"/>
  <c r="B613" i="1"/>
  <c r="C613" i="1"/>
  <c r="D613" i="1"/>
  <c r="E613" i="1"/>
  <c r="F613" i="1"/>
  <c r="G613" i="1"/>
  <c r="I613" i="1"/>
  <c r="J613" i="1"/>
  <c r="K613" i="1"/>
  <c r="L613" i="1"/>
  <c r="M613" i="1"/>
  <c r="N613" i="1"/>
  <c r="O613" i="1"/>
  <c r="P613" i="1"/>
  <c r="Q613" i="1"/>
  <c r="R613" i="1"/>
  <c r="S613" i="1"/>
  <c r="T613" i="1"/>
  <c r="U613" i="1"/>
  <c r="V613" i="1"/>
  <c r="W613" i="1"/>
  <c r="X613" i="1"/>
  <c r="Y613" i="1"/>
  <c r="Z613" i="1"/>
  <c r="A614" i="1"/>
  <c r="B614" i="1"/>
  <c r="C614" i="1"/>
  <c r="D614" i="1"/>
  <c r="E614" i="1"/>
  <c r="F614" i="1"/>
  <c r="G614" i="1"/>
  <c r="I614" i="1"/>
  <c r="J614" i="1"/>
  <c r="K614" i="1"/>
  <c r="L614" i="1"/>
  <c r="M614" i="1"/>
  <c r="N614" i="1"/>
  <c r="O614" i="1"/>
  <c r="P614" i="1"/>
  <c r="Q614" i="1"/>
  <c r="R614" i="1"/>
  <c r="S614" i="1"/>
  <c r="T614" i="1"/>
  <c r="U614" i="1"/>
  <c r="V614" i="1"/>
  <c r="W614" i="1"/>
  <c r="X614" i="1"/>
  <c r="Y614" i="1"/>
  <c r="Z614" i="1"/>
  <c r="A615" i="1"/>
  <c r="B615" i="1"/>
  <c r="C615" i="1"/>
  <c r="D615" i="1"/>
  <c r="E615" i="1"/>
  <c r="F615" i="1"/>
  <c r="G615" i="1"/>
  <c r="I615" i="1"/>
  <c r="J615" i="1"/>
  <c r="K615" i="1"/>
  <c r="L615" i="1"/>
  <c r="M615" i="1"/>
  <c r="N615" i="1"/>
  <c r="O615" i="1"/>
  <c r="P615" i="1"/>
  <c r="Q615" i="1"/>
  <c r="R615" i="1"/>
  <c r="S615" i="1"/>
  <c r="T615" i="1"/>
  <c r="U615" i="1"/>
  <c r="V615" i="1"/>
  <c r="W615" i="1"/>
  <c r="X615" i="1"/>
  <c r="Y615" i="1"/>
  <c r="Z615" i="1"/>
  <c r="A616" i="1"/>
  <c r="B616" i="1"/>
  <c r="C616" i="1"/>
  <c r="D616" i="1"/>
  <c r="E616" i="1"/>
  <c r="F616" i="1"/>
  <c r="G616" i="1"/>
  <c r="I616" i="1"/>
  <c r="J616" i="1"/>
  <c r="K616" i="1"/>
  <c r="L616" i="1"/>
  <c r="M616" i="1"/>
  <c r="N616" i="1"/>
  <c r="O616" i="1"/>
  <c r="P616" i="1"/>
  <c r="Q616" i="1"/>
  <c r="R616" i="1"/>
  <c r="S616" i="1"/>
  <c r="T616" i="1"/>
  <c r="U616" i="1"/>
  <c r="V616" i="1"/>
  <c r="W616" i="1"/>
  <c r="X616" i="1"/>
  <c r="Y616" i="1"/>
  <c r="Z616" i="1"/>
  <c r="A617" i="1"/>
  <c r="B617" i="1"/>
  <c r="C617" i="1"/>
  <c r="D617" i="1"/>
  <c r="E617" i="1"/>
  <c r="F617" i="1"/>
  <c r="G617" i="1"/>
  <c r="I617" i="1"/>
  <c r="J617" i="1"/>
  <c r="K617" i="1"/>
  <c r="L617" i="1"/>
  <c r="M617" i="1"/>
  <c r="N617" i="1"/>
  <c r="O617" i="1"/>
  <c r="P617" i="1"/>
  <c r="Q617" i="1"/>
  <c r="R617" i="1"/>
  <c r="S617" i="1"/>
  <c r="T617" i="1"/>
  <c r="U617" i="1"/>
  <c r="V617" i="1"/>
  <c r="W617" i="1"/>
  <c r="X617" i="1"/>
  <c r="Y617" i="1"/>
  <c r="Z617" i="1"/>
  <c r="A618" i="1"/>
  <c r="B618" i="1"/>
  <c r="C618" i="1"/>
  <c r="D618" i="1"/>
  <c r="E618" i="1"/>
  <c r="F618" i="1"/>
  <c r="G618" i="1"/>
  <c r="I618" i="1"/>
  <c r="J618" i="1"/>
  <c r="K618" i="1"/>
  <c r="L618" i="1"/>
  <c r="M618" i="1"/>
  <c r="N618" i="1"/>
  <c r="O618" i="1"/>
  <c r="P618" i="1"/>
  <c r="Q618" i="1"/>
  <c r="R618" i="1"/>
  <c r="S618" i="1"/>
  <c r="T618" i="1"/>
  <c r="U618" i="1"/>
  <c r="V618" i="1"/>
  <c r="W618" i="1"/>
  <c r="X618" i="1"/>
  <c r="Y618" i="1"/>
  <c r="Z618" i="1"/>
  <c r="A619" i="1"/>
  <c r="B619" i="1"/>
  <c r="C619" i="1"/>
  <c r="D619" i="1"/>
  <c r="E619" i="1"/>
  <c r="F619" i="1"/>
  <c r="G619" i="1"/>
  <c r="I619" i="1"/>
  <c r="J619" i="1"/>
  <c r="K619" i="1"/>
  <c r="L619" i="1"/>
  <c r="M619" i="1"/>
  <c r="N619" i="1"/>
  <c r="O619" i="1"/>
  <c r="P619" i="1"/>
  <c r="Q619" i="1"/>
  <c r="R619" i="1"/>
  <c r="S619" i="1"/>
  <c r="T619" i="1"/>
  <c r="U619" i="1"/>
  <c r="V619" i="1"/>
  <c r="W619" i="1"/>
  <c r="X619" i="1"/>
  <c r="Y619" i="1"/>
  <c r="Z619" i="1"/>
  <c r="A620" i="1"/>
  <c r="B620" i="1"/>
  <c r="C620" i="1"/>
  <c r="D620" i="1"/>
  <c r="E620" i="1"/>
  <c r="F620" i="1"/>
  <c r="G620" i="1"/>
  <c r="I620" i="1"/>
  <c r="J620" i="1"/>
  <c r="K620" i="1"/>
  <c r="L620" i="1"/>
  <c r="M620" i="1"/>
  <c r="N620" i="1"/>
  <c r="O620" i="1"/>
  <c r="P620" i="1"/>
  <c r="Q620" i="1"/>
  <c r="R620" i="1"/>
  <c r="S620" i="1"/>
  <c r="T620" i="1"/>
  <c r="U620" i="1"/>
  <c r="V620" i="1"/>
  <c r="W620" i="1"/>
  <c r="X620" i="1"/>
  <c r="Y620" i="1"/>
  <c r="Z620" i="1"/>
  <c r="A621" i="1"/>
  <c r="B621" i="1"/>
  <c r="C621" i="1"/>
  <c r="D621" i="1"/>
  <c r="E621" i="1"/>
  <c r="F621" i="1"/>
  <c r="G621" i="1"/>
  <c r="I621" i="1"/>
  <c r="J621" i="1"/>
  <c r="K621" i="1"/>
  <c r="L621" i="1"/>
  <c r="M621" i="1"/>
  <c r="N621" i="1"/>
  <c r="O621" i="1"/>
  <c r="P621" i="1"/>
  <c r="Q621" i="1"/>
  <c r="R621" i="1"/>
  <c r="S621" i="1"/>
  <c r="T621" i="1"/>
  <c r="U621" i="1"/>
  <c r="V621" i="1"/>
  <c r="W621" i="1"/>
  <c r="X621" i="1"/>
  <c r="Y621" i="1"/>
  <c r="Z621" i="1"/>
  <c r="A622" i="1"/>
  <c r="B622" i="1"/>
  <c r="C622" i="1"/>
  <c r="D622" i="1"/>
  <c r="E622" i="1"/>
  <c r="F622" i="1"/>
  <c r="G622" i="1"/>
  <c r="I622" i="1"/>
  <c r="J622" i="1"/>
  <c r="K622" i="1"/>
  <c r="L622" i="1"/>
  <c r="M622" i="1"/>
  <c r="N622" i="1"/>
  <c r="O622" i="1"/>
  <c r="P622" i="1"/>
  <c r="Q622" i="1"/>
  <c r="R622" i="1"/>
  <c r="S622" i="1"/>
  <c r="T622" i="1"/>
  <c r="U622" i="1"/>
  <c r="V622" i="1"/>
  <c r="W622" i="1"/>
  <c r="X622" i="1"/>
  <c r="Y622" i="1"/>
  <c r="Z622" i="1"/>
  <c r="A623" i="1"/>
  <c r="B623" i="1"/>
  <c r="C623" i="1"/>
  <c r="D623" i="1"/>
  <c r="E623" i="1"/>
  <c r="F623" i="1"/>
  <c r="G623" i="1"/>
  <c r="I623" i="1"/>
  <c r="J623" i="1"/>
  <c r="K623" i="1"/>
  <c r="L623" i="1"/>
  <c r="M623" i="1"/>
  <c r="N623" i="1"/>
  <c r="O623" i="1"/>
  <c r="P623" i="1"/>
  <c r="Q623" i="1"/>
  <c r="R623" i="1"/>
  <c r="S623" i="1"/>
  <c r="T623" i="1"/>
  <c r="U623" i="1"/>
  <c r="V623" i="1"/>
  <c r="W623" i="1"/>
  <c r="X623" i="1"/>
  <c r="Y623" i="1"/>
  <c r="Z623" i="1"/>
  <c r="A624" i="1"/>
  <c r="B624" i="1"/>
  <c r="C624" i="1"/>
  <c r="D624" i="1"/>
  <c r="E624" i="1"/>
  <c r="F624" i="1"/>
  <c r="G624" i="1"/>
  <c r="I624" i="1"/>
  <c r="J624" i="1"/>
  <c r="K624" i="1"/>
  <c r="L624" i="1"/>
  <c r="M624" i="1"/>
  <c r="N624" i="1"/>
  <c r="O624" i="1"/>
  <c r="P624" i="1"/>
  <c r="Q624" i="1"/>
  <c r="R624" i="1"/>
  <c r="S624" i="1"/>
  <c r="T624" i="1"/>
  <c r="U624" i="1"/>
  <c r="V624" i="1"/>
  <c r="W624" i="1"/>
  <c r="X624" i="1"/>
  <c r="Y624" i="1"/>
  <c r="Z624" i="1"/>
  <c r="A625" i="1"/>
  <c r="B625" i="1"/>
  <c r="C625" i="1"/>
  <c r="D625" i="1"/>
  <c r="E625" i="1"/>
  <c r="F625" i="1"/>
  <c r="G625" i="1"/>
  <c r="I625" i="1"/>
  <c r="J625" i="1"/>
  <c r="K625" i="1"/>
  <c r="L625" i="1"/>
  <c r="M625" i="1"/>
  <c r="N625" i="1"/>
  <c r="O625" i="1"/>
  <c r="P625" i="1"/>
  <c r="Q625" i="1"/>
  <c r="R625" i="1"/>
  <c r="S625" i="1"/>
  <c r="T625" i="1"/>
  <c r="U625" i="1"/>
  <c r="V625" i="1"/>
  <c r="W625" i="1"/>
  <c r="X625" i="1"/>
  <c r="Y625" i="1"/>
  <c r="Z625" i="1"/>
  <c r="A626" i="1"/>
  <c r="B626" i="1"/>
  <c r="C626" i="1"/>
  <c r="D626" i="1"/>
  <c r="E626" i="1"/>
  <c r="F626" i="1"/>
  <c r="G626" i="1"/>
  <c r="I626" i="1"/>
  <c r="J626" i="1"/>
  <c r="K626" i="1"/>
  <c r="L626" i="1"/>
  <c r="M626" i="1"/>
  <c r="N626" i="1"/>
  <c r="O626" i="1"/>
  <c r="P626" i="1"/>
  <c r="Q626" i="1"/>
  <c r="R626" i="1"/>
  <c r="S626" i="1"/>
  <c r="T626" i="1"/>
  <c r="U626" i="1"/>
  <c r="V626" i="1"/>
  <c r="W626" i="1"/>
  <c r="X626" i="1"/>
  <c r="Y626" i="1"/>
  <c r="Z626" i="1"/>
  <c r="A627" i="1"/>
  <c r="B627" i="1"/>
  <c r="C627" i="1"/>
  <c r="D627" i="1"/>
  <c r="E627" i="1"/>
  <c r="F627" i="1"/>
  <c r="G627" i="1"/>
  <c r="I627" i="1"/>
  <c r="J627" i="1"/>
  <c r="K627" i="1"/>
  <c r="L627" i="1"/>
  <c r="M627" i="1"/>
  <c r="N627" i="1"/>
  <c r="O627" i="1"/>
  <c r="P627" i="1"/>
  <c r="Q627" i="1"/>
  <c r="R627" i="1"/>
  <c r="S627" i="1"/>
  <c r="T627" i="1"/>
  <c r="U627" i="1"/>
  <c r="V627" i="1"/>
  <c r="W627" i="1"/>
  <c r="X627" i="1"/>
  <c r="Y627" i="1"/>
  <c r="Z627" i="1"/>
  <c r="A628" i="1"/>
  <c r="B628" i="1"/>
  <c r="C628" i="1"/>
  <c r="D628" i="1"/>
  <c r="E628" i="1"/>
  <c r="F628" i="1"/>
  <c r="G628" i="1"/>
  <c r="I628" i="1"/>
  <c r="J628" i="1"/>
  <c r="K628" i="1"/>
  <c r="L628" i="1"/>
  <c r="M628" i="1"/>
  <c r="N628" i="1"/>
  <c r="O628" i="1"/>
  <c r="P628" i="1"/>
  <c r="Q628" i="1"/>
  <c r="R628" i="1"/>
  <c r="S628" i="1"/>
  <c r="T628" i="1"/>
  <c r="U628" i="1"/>
  <c r="V628" i="1"/>
  <c r="W628" i="1"/>
  <c r="X628" i="1"/>
  <c r="Y628" i="1"/>
  <c r="Z628" i="1"/>
  <c r="A629" i="1"/>
  <c r="B629" i="1"/>
  <c r="C629" i="1"/>
  <c r="D629" i="1"/>
  <c r="E629" i="1"/>
  <c r="F629" i="1"/>
  <c r="G629" i="1"/>
  <c r="I629" i="1"/>
  <c r="J629" i="1"/>
  <c r="K629" i="1"/>
  <c r="L629" i="1"/>
  <c r="M629" i="1"/>
  <c r="N629" i="1"/>
  <c r="O629" i="1"/>
  <c r="P629" i="1"/>
  <c r="Q629" i="1"/>
  <c r="R629" i="1"/>
  <c r="S629" i="1"/>
  <c r="T629" i="1"/>
  <c r="U629" i="1"/>
  <c r="V629" i="1"/>
  <c r="W629" i="1"/>
  <c r="X629" i="1"/>
  <c r="Y629" i="1"/>
  <c r="Z629" i="1"/>
  <c r="A630" i="1"/>
  <c r="B630" i="1"/>
  <c r="C630" i="1"/>
  <c r="D630" i="1"/>
  <c r="E630" i="1"/>
  <c r="F630" i="1"/>
  <c r="G630" i="1"/>
  <c r="I630" i="1"/>
  <c r="J630" i="1"/>
  <c r="K630" i="1"/>
  <c r="L630" i="1"/>
  <c r="M630" i="1"/>
  <c r="N630" i="1"/>
  <c r="O630" i="1"/>
  <c r="P630" i="1"/>
  <c r="Q630" i="1"/>
  <c r="R630" i="1"/>
  <c r="S630" i="1"/>
  <c r="T630" i="1"/>
  <c r="U630" i="1"/>
  <c r="V630" i="1"/>
  <c r="W630" i="1"/>
  <c r="X630" i="1"/>
  <c r="Y630" i="1"/>
  <c r="Z630" i="1"/>
  <c r="A631" i="1"/>
  <c r="B631" i="1"/>
  <c r="C631" i="1"/>
  <c r="D631" i="1"/>
  <c r="E631" i="1"/>
  <c r="F631" i="1"/>
  <c r="G631" i="1"/>
  <c r="I631" i="1"/>
  <c r="J631" i="1"/>
  <c r="K631" i="1"/>
  <c r="L631" i="1"/>
  <c r="M631" i="1"/>
  <c r="N631" i="1"/>
  <c r="O631" i="1"/>
  <c r="P631" i="1"/>
  <c r="Q631" i="1"/>
  <c r="R631" i="1"/>
  <c r="S631" i="1"/>
  <c r="T631" i="1"/>
  <c r="U631" i="1"/>
  <c r="V631" i="1"/>
  <c r="W631" i="1"/>
  <c r="X631" i="1"/>
  <c r="Y631" i="1"/>
  <c r="Z631" i="1"/>
  <c r="A632" i="1"/>
  <c r="B632" i="1"/>
  <c r="C632" i="1"/>
  <c r="D632" i="1"/>
  <c r="E632" i="1"/>
  <c r="F632" i="1"/>
  <c r="G632" i="1"/>
  <c r="I632" i="1"/>
  <c r="J632" i="1"/>
  <c r="K632" i="1"/>
  <c r="L632" i="1"/>
  <c r="M632" i="1"/>
  <c r="N632" i="1"/>
  <c r="O632" i="1"/>
  <c r="P632" i="1"/>
  <c r="Q632" i="1"/>
  <c r="R632" i="1"/>
  <c r="S632" i="1"/>
  <c r="T632" i="1"/>
  <c r="U632" i="1"/>
  <c r="V632" i="1"/>
  <c r="W632" i="1"/>
  <c r="X632" i="1"/>
  <c r="Y632" i="1"/>
  <c r="Z632" i="1"/>
  <c r="A633" i="1"/>
  <c r="B633" i="1"/>
  <c r="C633" i="1"/>
  <c r="D633" i="1"/>
  <c r="E633" i="1"/>
  <c r="F633" i="1"/>
  <c r="G633" i="1"/>
  <c r="I633" i="1"/>
  <c r="J633" i="1"/>
  <c r="K633" i="1"/>
  <c r="L633" i="1"/>
  <c r="M633" i="1"/>
  <c r="N633" i="1"/>
  <c r="O633" i="1"/>
  <c r="P633" i="1"/>
  <c r="Q633" i="1"/>
  <c r="R633" i="1"/>
  <c r="S633" i="1"/>
  <c r="T633" i="1"/>
  <c r="U633" i="1"/>
  <c r="V633" i="1"/>
  <c r="W633" i="1"/>
  <c r="X633" i="1"/>
  <c r="Y633" i="1"/>
  <c r="Z633" i="1"/>
  <c r="A634" i="1"/>
  <c r="B634" i="1"/>
  <c r="C634" i="1"/>
  <c r="D634" i="1"/>
  <c r="E634" i="1"/>
  <c r="F634" i="1"/>
  <c r="G634" i="1"/>
  <c r="I634" i="1"/>
  <c r="J634" i="1"/>
  <c r="K634" i="1"/>
  <c r="L634" i="1"/>
  <c r="M634" i="1"/>
  <c r="N634" i="1"/>
  <c r="O634" i="1"/>
  <c r="P634" i="1"/>
  <c r="Q634" i="1"/>
  <c r="R634" i="1"/>
  <c r="S634" i="1"/>
  <c r="T634" i="1"/>
  <c r="U634" i="1"/>
  <c r="V634" i="1"/>
  <c r="W634" i="1"/>
  <c r="X634" i="1"/>
  <c r="Y634" i="1"/>
  <c r="Z634" i="1"/>
  <c r="A635" i="1"/>
  <c r="B635" i="1"/>
  <c r="C635" i="1"/>
  <c r="D635" i="1"/>
  <c r="E635" i="1"/>
  <c r="F635" i="1"/>
  <c r="G635" i="1"/>
  <c r="I635" i="1"/>
  <c r="J635" i="1"/>
  <c r="K635" i="1"/>
  <c r="L635" i="1"/>
  <c r="M635" i="1"/>
  <c r="N635" i="1"/>
  <c r="O635" i="1"/>
  <c r="P635" i="1"/>
  <c r="Q635" i="1"/>
  <c r="R635" i="1"/>
  <c r="S635" i="1"/>
  <c r="T635" i="1"/>
  <c r="U635" i="1"/>
  <c r="V635" i="1"/>
  <c r="W635" i="1"/>
  <c r="X635" i="1"/>
  <c r="Y635" i="1"/>
  <c r="Z635" i="1"/>
  <c r="A636" i="1"/>
  <c r="B636" i="1"/>
  <c r="C636" i="1"/>
  <c r="D636" i="1"/>
  <c r="E636" i="1"/>
  <c r="F636" i="1"/>
  <c r="G636" i="1"/>
  <c r="I636" i="1"/>
  <c r="J636" i="1"/>
  <c r="K636" i="1"/>
  <c r="L636" i="1"/>
  <c r="M636" i="1"/>
  <c r="N636" i="1"/>
  <c r="O636" i="1"/>
  <c r="P636" i="1"/>
  <c r="Q636" i="1"/>
  <c r="R636" i="1"/>
  <c r="S636" i="1"/>
  <c r="T636" i="1"/>
  <c r="U636" i="1"/>
  <c r="V636" i="1"/>
  <c r="W636" i="1"/>
  <c r="X636" i="1"/>
  <c r="Y636" i="1"/>
  <c r="Z636" i="1"/>
  <c r="A637" i="1"/>
  <c r="B637" i="1"/>
  <c r="C637" i="1"/>
  <c r="D637" i="1"/>
  <c r="E637" i="1"/>
  <c r="F637" i="1"/>
  <c r="G637" i="1"/>
  <c r="I637" i="1"/>
  <c r="J637" i="1"/>
  <c r="K637" i="1"/>
  <c r="L637" i="1"/>
  <c r="M637" i="1"/>
  <c r="N637" i="1"/>
  <c r="O637" i="1"/>
  <c r="P637" i="1"/>
  <c r="Q637" i="1"/>
  <c r="R637" i="1"/>
  <c r="S637" i="1"/>
  <c r="T637" i="1"/>
  <c r="U637" i="1"/>
  <c r="V637" i="1"/>
  <c r="W637" i="1"/>
  <c r="X637" i="1"/>
  <c r="Y637" i="1"/>
  <c r="Z637" i="1"/>
  <c r="A638" i="1"/>
  <c r="B638" i="1"/>
  <c r="C638" i="1"/>
  <c r="D638" i="1"/>
  <c r="E638" i="1"/>
  <c r="F638" i="1"/>
  <c r="G638" i="1"/>
  <c r="I638" i="1"/>
  <c r="J638" i="1"/>
  <c r="K638" i="1"/>
  <c r="L638" i="1"/>
  <c r="M638" i="1"/>
  <c r="N638" i="1"/>
  <c r="O638" i="1"/>
  <c r="P638" i="1"/>
  <c r="Q638" i="1"/>
  <c r="R638" i="1"/>
  <c r="S638" i="1"/>
  <c r="T638" i="1"/>
  <c r="U638" i="1"/>
  <c r="V638" i="1"/>
  <c r="W638" i="1"/>
  <c r="X638" i="1"/>
  <c r="Y638" i="1"/>
  <c r="Z638" i="1"/>
  <c r="A639" i="1"/>
  <c r="B639" i="1"/>
  <c r="C639" i="1"/>
  <c r="D639" i="1"/>
  <c r="E639" i="1"/>
  <c r="F639" i="1"/>
  <c r="G639" i="1"/>
  <c r="I639" i="1"/>
  <c r="J639" i="1"/>
  <c r="K639" i="1"/>
  <c r="L639" i="1"/>
  <c r="M639" i="1"/>
  <c r="N639" i="1"/>
  <c r="O639" i="1"/>
  <c r="P639" i="1"/>
  <c r="Q639" i="1"/>
  <c r="R639" i="1"/>
  <c r="S639" i="1"/>
  <c r="T639" i="1"/>
  <c r="U639" i="1"/>
  <c r="V639" i="1"/>
  <c r="W639" i="1"/>
  <c r="X639" i="1"/>
  <c r="Y639" i="1"/>
  <c r="Z639" i="1"/>
  <c r="A640" i="1"/>
  <c r="B640" i="1"/>
  <c r="C640" i="1"/>
  <c r="D640" i="1"/>
  <c r="E640" i="1"/>
  <c r="F640" i="1"/>
  <c r="G640" i="1"/>
  <c r="I640" i="1"/>
  <c r="J640" i="1"/>
  <c r="K640" i="1"/>
  <c r="L640" i="1"/>
  <c r="M640" i="1"/>
  <c r="N640" i="1"/>
  <c r="O640" i="1"/>
  <c r="P640" i="1"/>
  <c r="Q640" i="1"/>
  <c r="R640" i="1"/>
  <c r="S640" i="1"/>
  <c r="T640" i="1"/>
  <c r="U640" i="1"/>
  <c r="V640" i="1"/>
  <c r="W640" i="1"/>
  <c r="X640" i="1"/>
  <c r="Y640" i="1"/>
  <c r="Z640" i="1"/>
  <c r="A641" i="1"/>
  <c r="B641" i="1"/>
  <c r="C641" i="1"/>
  <c r="D641" i="1"/>
  <c r="E641" i="1"/>
  <c r="F641" i="1"/>
  <c r="G641" i="1"/>
  <c r="I641" i="1"/>
  <c r="J641" i="1"/>
  <c r="K641" i="1"/>
  <c r="L641" i="1"/>
  <c r="M641" i="1"/>
  <c r="N641" i="1"/>
  <c r="O641" i="1"/>
  <c r="P641" i="1"/>
  <c r="Q641" i="1"/>
  <c r="R641" i="1"/>
  <c r="S641" i="1"/>
  <c r="T641" i="1"/>
  <c r="U641" i="1"/>
  <c r="V641" i="1"/>
  <c r="W641" i="1"/>
  <c r="X641" i="1"/>
  <c r="Y641" i="1"/>
  <c r="Z641" i="1"/>
  <c r="A642" i="1"/>
  <c r="B642" i="1"/>
  <c r="C642" i="1"/>
  <c r="D642" i="1"/>
  <c r="E642" i="1"/>
  <c r="F642" i="1"/>
  <c r="G642" i="1"/>
  <c r="I642" i="1"/>
  <c r="J642" i="1"/>
  <c r="K642" i="1"/>
  <c r="L642" i="1"/>
  <c r="M642" i="1"/>
  <c r="N642" i="1"/>
  <c r="O642" i="1"/>
  <c r="P642" i="1"/>
  <c r="Q642" i="1"/>
  <c r="R642" i="1"/>
  <c r="S642" i="1"/>
  <c r="T642" i="1"/>
  <c r="U642" i="1"/>
  <c r="V642" i="1"/>
  <c r="W642" i="1"/>
  <c r="X642" i="1"/>
  <c r="Y642" i="1"/>
  <c r="Z642" i="1"/>
  <c r="A643" i="1"/>
  <c r="B643" i="1"/>
  <c r="C643" i="1"/>
  <c r="D643" i="1"/>
  <c r="E643" i="1"/>
  <c r="F643" i="1"/>
  <c r="G643" i="1"/>
  <c r="I643" i="1"/>
  <c r="J643" i="1"/>
  <c r="K643" i="1"/>
  <c r="L643" i="1"/>
  <c r="M643" i="1"/>
  <c r="N643" i="1"/>
  <c r="O643" i="1"/>
  <c r="P643" i="1"/>
  <c r="Q643" i="1"/>
  <c r="R643" i="1"/>
  <c r="S643" i="1"/>
  <c r="T643" i="1"/>
  <c r="U643" i="1"/>
  <c r="V643" i="1"/>
  <c r="W643" i="1"/>
  <c r="X643" i="1"/>
  <c r="Y643" i="1"/>
  <c r="Z643" i="1"/>
  <c r="A644" i="1"/>
  <c r="B644" i="1"/>
  <c r="C644" i="1"/>
  <c r="D644" i="1"/>
  <c r="E644" i="1"/>
  <c r="F644" i="1"/>
  <c r="G644" i="1"/>
  <c r="I644" i="1"/>
  <c r="J644" i="1"/>
  <c r="K644" i="1"/>
  <c r="L644" i="1"/>
  <c r="M644" i="1"/>
  <c r="N644" i="1"/>
  <c r="O644" i="1"/>
  <c r="P644" i="1"/>
  <c r="Q644" i="1"/>
  <c r="R644" i="1"/>
  <c r="S644" i="1"/>
  <c r="T644" i="1"/>
  <c r="U644" i="1"/>
  <c r="V644" i="1"/>
  <c r="W644" i="1"/>
  <c r="X644" i="1"/>
  <c r="Y644" i="1"/>
  <c r="Z644" i="1"/>
  <c r="A645" i="1"/>
  <c r="B645" i="1"/>
  <c r="C645" i="1"/>
  <c r="D645" i="1"/>
  <c r="E645" i="1"/>
  <c r="F645" i="1"/>
  <c r="G645" i="1"/>
  <c r="I645" i="1"/>
  <c r="J645" i="1"/>
  <c r="K645" i="1"/>
  <c r="L645" i="1"/>
  <c r="M645" i="1"/>
  <c r="N645" i="1"/>
  <c r="O645" i="1"/>
  <c r="P645" i="1"/>
  <c r="Q645" i="1"/>
  <c r="R645" i="1"/>
  <c r="S645" i="1"/>
  <c r="T645" i="1"/>
  <c r="U645" i="1"/>
  <c r="V645" i="1"/>
  <c r="W645" i="1"/>
  <c r="X645" i="1"/>
  <c r="Y645" i="1"/>
  <c r="Z645" i="1"/>
  <c r="A646" i="1"/>
  <c r="B646" i="1"/>
  <c r="C646" i="1"/>
  <c r="D646" i="1"/>
  <c r="E646" i="1"/>
  <c r="F646" i="1"/>
  <c r="G646" i="1"/>
  <c r="I646" i="1"/>
  <c r="J646" i="1"/>
  <c r="K646" i="1"/>
  <c r="L646" i="1"/>
  <c r="M646" i="1"/>
  <c r="N646" i="1"/>
  <c r="O646" i="1"/>
  <c r="P646" i="1"/>
  <c r="Q646" i="1"/>
  <c r="R646" i="1"/>
  <c r="S646" i="1"/>
  <c r="T646" i="1"/>
  <c r="U646" i="1"/>
  <c r="V646" i="1"/>
  <c r="W646" i="1"/>
  <c r="X646" i="1"/>
  <c r="Y646" i="1"/>
  <c r="Z646" i="1"/>
  <c r="A647" i="1"/>
  <c r="B647" i="1"/>
  <c r="C647" i="1"/>
  <c r="D647" i="1"/>
  <c r="E647" i="1"/>
  <c r="F647" i="1"/>
  <c r="G647" i="1"/>
  <c r="I647" i="1"/>
  <c r="J647" i="1"/>
  <c r="K647" i="1"/>
  <c r="L647" i="1"/>
  <c r="M647" i="1"/>
  <c r="N647" i="1"/>
  <c r="O647" i="1"/>
  <c r="P647" i="1"/>
  <c r="Q647" i="1"/>
  <c r="R647" i="1"/>
  <c r="S647" i="1"/>
  <c r="T647" i="1"/>
  <c r="U647" i="1"/>
  <c r="V647" i="1"/>
  <c r="W647" i="1"/>
  <c r="X647" i="1"/>
  <c r="Y647" i="1"/>
  <c r="Z647" i="1"/>
  <c r="A648" i="1"/>
  <c r="B648" i="1"/>
  <c r="C648" i="1"/>
  <c r="D648" i="1"/>
  <c r="E648" i="1"/>
  <c r="F648" i="1"/>
  <c r="G648" i="1"/>
  <c r="I648" i="1"/>
  <c r="J648" i="1"/>
  <c r="K648" i="1"/>
  <c r="L648" i="1"/>
  <c r="M648" i="1"/>
  <c r="N648" i="1"/>
  <c r="O648" i="1"/>
  <c r="P648" i="1"/>
  <c r="Q648" i="1"/>
  <c r="R648" i="1"/>
  <c r="S648" i="1"/>
  <c r="T648" i="1"/>
  <c r="U648" i="1"/>
  <c r="V648" i="1"/>
  <c r="W648" i="1"/>
  <c r="X648" i="1"/>
  <c r="Y648" i="1"/>
  <c r="Z648" i="1"/>
  <c r="A649" i="1"/>
  <c r="B649" i="1"/>
  <c r="C649" i="1"/>
  <c r="D649" i="1"/>
  <c r="E649" i="1"/>
  <c r="F649" i="1"/>
  <c r="G649" i="1"/>
  <c r="I649" i="1"/>
  <c r="J649" i="1"/>
  <c r="K649" i="1"/>
  <c r="L649" i="1"/>
  <c r="M649" i="1"/>
  <c r="N649" i="1"/>
  <c r="O649" i="1"/>
  <c r="P649" i="1"/>
  <c r="Q649" i="1"/>
  <c r="R649" i="1"/>
  <c r="S649" i="1"/>
  <c r="T649" i="1"/>
  <c r="U649" i="1"/>
  <c r="V649" i="1"/>
  <c r="W649" i="1"/>
  <c r="X649" i="1"/>
  <c r="Y649" i="1"/>
  <c r="Z649" i="1"/>
  <c r="A650" i="1"/>
  <c r="B650" i="1"/>
  <c r="C650" i="1"/>
  <c r="D650" i="1"/>
  <c r="E650" i="1"/>
  <c r="F650" i="1"/>
  <c r="G650" i="1"/>
  <c r="I650" i="1"/>
  <c r="J650" i="1"/>
  <c r="K650" i="1"/>
  <c r="L650" i="1"/>
  <c r="M650" i="1"/>
  <c r="N650" i="1"/>
  <c r="O650" i="1"/>
  <c r="P650" i="1"/>
  <c r="Q650" i="1"/>
  <c r="R650" i="1"/>
  <c r="S650" i="1"/>
  <c r="T650" i="1"/>
  <c r="U650" i="1"/>
  <c r="V650" i="1"/>
  <c r="W650" i="1"/>
  <c r="X650" i="1"/>
  <c r="Y650" i="1"/>
  <c r="Z650" i="1"/>
  <c r="A651" i="1"/>
  <c r="B651" i="1"/>
  <c r="C651" i="1"/>
  <c r="D651" i="1"/>
  <c r="E651" i="1"/>
  <c r="F651" i="1"/>
  <c r="G651" i="1"/>
  <c r="I651" i="1"/>
  <c r="J651" i="1"/>
  <c r="K651" i="1"/>
  <c r="L651" i="1"/>
  <c r="M651" i="1"/>
  <c r="N651" i="1"/>
  <c r="O651" i="1"/>
  <c r="P651" i="1"/>
  <c r="Q651" i="1"/>
  <c r="R651" i="1"/>
  <c r="S651" i="1"/>
  <c r="T651" i="1"/>
  <c r="U651" i="1"/>
  <c r="V651" i="1"/>
  <c r="W651" i="1"/>
  <c r="X651" i="1"/>
  <c r="Y651" i="1"/>
  <c r="Z651" i="1"/>
  <c r="A652" i="1"/>
  <c r="B652" i="1"/>
  <c r="C652" i="1"/>
  <c r="D652" i="1"/>
  <c r="E652" i="1"/>
  <c r="F652" i="1"/>
  <c r="G652" i="1"/>
  <c r="I652" i="1"/>
  <c r="J652" i="1"/>
  <c r="K652" i="1"/>
  <c r="L652" i="1"/>
  <c r="M652" i="1"/>
  <c r="N652" i="1"/>
  <c r="O652" i="1"/>
  <c r="P652" i="1"/>
  <c r="Q652" i="1"/>
  <c r="R652" i="1"/>
  <c r="S652" i="1"/>
  <c r="T652" i="1"/>
  <c r="U652" i="1"/>
  <c r="V652" i="1"/>
  <c r="W652" i="1"/>
  <c r="X652" i="1"/>
  <c r="Y652" i="1"/>
  <c r="Z652" i="1"/>
  <c r="A653" i="1"/>
  <c r="B653" i="1"/>
  <c r="C653" i="1"/>
  <c r="D653" i="1"/>
  <c r="E653" i="1"/>
  <c r="F653" i="1"/>
  <c r="G653" i="1"/>
  <c r="I653" i="1"/>
  <c r="J653" i="1"/>
  <c r="K653" i="1"/>
  <c r="L653" i="1"/>
  <c r="M653" i="1"/>
  <c r="N653" i="1"/>
  <c r="O653" i="1"/>
  <c r="P653" i="1"/>
  <c r="Q653" i="1"/>
  <c r="R653" i="1"/>
  <c r="S653" i="1"/>
  <c r="T653" i="1"/>
  <c r="U653" i="1"/>
  <c r="V653" i="1"/>
  <c r="W653" i="1"/>
  <c r="X653" i="1"/>
  <c r="Y653" i="1"/>
  <c r="Z653" i="1"/>
  <c r="A654" i="1"/>
  <c r="B654" i="1"/>
  <c r="C654" i="1"/>
  <c r="D654" i="1"/>
  <c r="E654" i="1"/>
  <c r="F654" i="1"/>
  <c r="G654" i="1"/>
  <c r="I654" i="1"/>
  <c r="J654" i="1"/>
  <c r="K654" i="1"/>
  <c r="L654" i="1"/>
  <c r="M654" i="1"/>
  <c r="N654" i="1"/>
  <c r="O654" i="1"/>
  <c r="P654" i="1"/>
  <c r="Q654" i="1"/>
  <c r="R654" i="1"/>
  <c r="S654" i="1"/>
  <c r="T654" i="1"/>
  <c r="U654" i="1"/>
  <c r="V654" i="1"/>
  <c r="W654" i="1"/>
  <c r="X654" i="1"/>
  <c r="Y654" i="1"/>
  <c r="Z654" i="1"/>
  <c r="A655" i="1"/>
  <c r="B655" i="1"/>
  <c r="C655" i="1"/>
  <c r="D655" i="1"/>
  <c r="E655" i="1"/>
  <c r="F655" i="1"/>
  <c r="G655" i="1"/>
  <c r="I655" i="1"/>
  <c r="J655" i="1"/>
  <c r="K655" i="1"/>
  <c r="L655" i="1"/>
  <c r="M655" i="1"/>
  <c r="N655" i="1"/>
  <c r="O655" i="1"/>
  <c r="P655" i="1"/>
  <c r="Q655" i="1"/>
  <c r="R655" i="1"/>
  <c r="S655" i="1"/>
  <c r="T655" i="1"/>
  <c r="U655" i="1"/>
  <c r="V655" i="1"/>
  <c r="W655" i="1"/>
  <c r="X655" i="1"/>
  <c r="Y655" i="1"/>
  <c r="Z655" i="1"/>
  <c r="A656" i="1"/>
  <c r="B656" i="1"/>
  <c r="C656" i="1"/>
  <c r="D656" i="1"/>
  <c r="E656" i="1"/>
  <c r="F656" i="1"/>
  <c r="G656" i="1"/>
  <c r="I656" i="1"/>
  <c r="J656" i="1"/>
  <c r="K656" i="1"/>
  <c r="L656" i="1"/>
  <c r="M656" i="1"/>
  <c r="N656" i="1"/>
  <c r="O656" i="1"/>
  <c r="P656" i="1"/>
  <c r="Q656" i="1"/>
  <c r="R656" i="1"/>
  <c r="S656" i="1"/>
  <c r="T656" i="1"/>
  <c r="U656" i="1"/>
  <c r="V656" i="1"/>
  <c r="W656" i="1"/>
  <c r="X656" i="1"/>
  <c r="Y656" i="1"/>
  <c r="Z656" i="1"/>
  <c r="A657" i="1"/>
  <c r="B657" i="1"/>
  <c r="C657" i="1"/>
  <c r="D657" i="1"/>
  <c r="E657" i="1"/>
  <c r="F657" i="1"/>
  <c r="G657" i="1"/>
  <c r="I657" i="1"/>
  <c r="J657" i="1"/>
  <c r="K657" i="1"/>
  <c r="L657" i="1"/>
  <c r="M657" i="1"/>
  <c r="N657" i="1"/>
  <c r="O657" i="1"/>
  <c r="P657" i="1"/>
  <c r="Q657" i="1"/>
  <c r="R657" i="1"/>
  <c r="S657" i="1"/>
  <c r="T657" i="1"/>
  <c r="U657" i="1"/>
  <c r="V657" i="1"/>
  <c r="W657" i="1"/>
  <c r="X657" i="1"/>
  <c r="Y657" i="1"/>
  <c r="Z657" i="1"/>
  <c r="A658" i="1"/>
  <c r="B658" i="1"/>
  <c r="C658" i="1"/>
  <c r="D658" i="1"/>
  <c r="E658" i="1"/>
  <c r="F658" i="1"/>
  <c r="G658" i="1"/>
  <c r="I658" i="1"/>
  <c r="J658" i="1"/>
  <c r="K658" i="1"/>
  <c r="L658" i="1"/>
  <c r="M658" i="1"/>
  <c r="N658" i="1"/>
  <c r="O658" i="1"/>
  <c r="P658" i="1"/>
  <c r="Q658" i="1"/>
  <c r="R658" i="1"/>
  <c r="S658" i="1"/>
  <c r="T658" i="1"/>
  <c r="U658" i="1"/>
  <c r="V658" i="1"/>
  <c r="W658" i="1"/>
  <c r="X658" i="1"/>
  <c r="Y658" i="1"/>
  <c r="Z658" i="1"/>
  <c r="A659" i="1"/>
  <c r="B659" i="1"/>
  <c r="C659" i="1"/>
  <c r="D659" i="1"/>
  <c r="E659" i="1"/>
  <c r="F659" i="1"/>
  <c r="G659" i="1"/>
  <c r="I659" i="1"/>
  <c r="J659" i="1"/>
  <c r="K659" i="1"/>
  <c r="L659" i="1"/>
  <c r="M659" i="1"/>
  <c r="N659" i="1"/>
  <c r="O659" i="1"/>
  <c r="P659" i="1"/>
  <c r="Q659" i="1"/>
  <c r="R659" i="1"/>
  <c r="S659" i="1"/>
  <c r="T659" i="1"/>
  <c r="U659" i="1"/>
  <c r="V659" i="1"/>
  <c r="W659" i="1"/>
  <c r="X659" i="1"/>
  <c r="Y659" i="1"/>
  <c r="Z659" i="1"/>
  <c r="A660" i="1"/>
  <c r="B660" i="1"/>
  <c r="C660" i="1"/>
  <c r="D660" i="1"/>
  <c r="E660" i="1"/>
  <c r="F660" i="1"/>
  <c r="G660" i="1"/>
  <c r="I660" i="1"/>
  <c r="J660" i="1"/>
  <c r="K660" i="1"/>
  <c r="L660" i="1"/>
  <c r="M660" i="1"/>
  <c r="N660" i="1"/>
  <c r="O660" i="1"/>
  <c r="P660" i="1"/>
  <c r="Q660" i="1"/>
  <c r="R660" i="1"/>
  <c r="S660" i="1"/>
  <c r="T660" i="1"/>
  <c r="U660" i="1"/>
  <c r="V660" i="1"/>
  <c r="W660" i="1"/>
  <c r="X660" i="1"/>
  <c r="Y660" i="1"/>
  <c r="Z660" i="1"/>
  <c r="A661" i="1"/>
  <c r="B661" i="1"/>
  <c r="C661" i="1"/>
  <c r="D661" i="1"/>
  <c r="E661" i="1"/>
  <c r="F661" i="1"/>
  <c r="G661" i="1"/>
  <c r="I661" i="1"/>
  <c r="J661" i="1"/>
  <c r="K661" i="1"/>
  <c r="L661" i="1"/>
  <c r="M661" i="1"/>
  <c r="N661" i="1"/>
  <c r="O661" i="1"/>
  <c r="P661" i="1"/>
  <c r="Q661" i="1"/>
  <c r="R661" i="1"/>
  <c r="S661" i="1"/>
  <c r="T661" i="1"/>
  <c r="U661" i="1"/>
  <c r="V661" i="1"/>
  <c r="W661" i="1"/>
  <c r="X661" i="1"/>
  <c r="Y661" i="1"/>
  <c r="Z661" i="1"/>
  <c r="A662" i="1"/>
  <c r="B662" i="1"/>
  <c r="C662" i="1"/>
  <c r="D662" i="1"/>
  <c r="E662" i="1"/>
  <c r="F662" i="1"/>
  <c r="G662" i="1"/>
  <c r="I662" i="1"/>
  <c r="J662" i="1"/>
  <c r="K662" i="1"/>
  <c r="L662" i="1"/>
  <c r="M662" i="1"/>
  <c r="N662" i="1"/>
  <c r="O662" i="1"/>
  <c r="P662" i="1"/>
  <c r="Q662" i="1"/>
  <c r="R662" i="1"/>
  <c r="S662" i="1"/>
  <c r="T662" i="1"/>
  <c r="U662" i="1"/>
  <c r="V662" i="1"/>
  <c r="W662" i="1"/>
  <c r="X662" i="1"/>
  <c r="Y662" i="1"/>
  <c r="Z662" i="1"/>
  <c r="A663" i="1"/>
  <c r="B663" i="1"/>
  <c r="C663" i="1"/>
  <c r="D663" i="1"/>
  <c r="E663" i="1"/>
  <c r="F663" i="1"/>
  <c r="G663" i="1"/>
  <c r="I663" i="1"/>
  <c r="J663" i="1"/>
  <c r="K663" i="1"/>
  <c r="L663" i="1"/>
  <c r="M663" i="1"/>
  <c r="N663" i="1"/>
  <c r="O663" i="1"/>
  <c r="P663" i="1"/>
  <c r="Q663" i="1"/>
  <c r="R663" i="1"/>
  <c r="S663" i="1"/>
  <c r="T663" i="1"/>
  <c r="U663" i="1"/>
  <c r="V663" i="1"/>
  <c r="W663" i="1"/>
  <c r="X663" i="1"/>
  <c r="Y663" i="1"/>
  <c r="Z663" i="1"/>
  <c r="A664" i="1"/>
  <c r="B664" i="1"/>
  <c r="C664" i="1"/>
  <c r="D664" i="1"/>
  <c r="E664" i="1"/>
  <c r="F664" i="1"/>
  <c r="G664" i="1"/>
  <c r="I664" i="1"/>
  <c r="J664" i="1"/>
  <c r="K664" i="1"/>
  <c r="L664" i="1"/>
  <c r="M664" i="1"/>
  <c r="N664" i="1"/>
  <c r="O664" i="1"/>
  <c r="P664" i="1"/>
  <c r="Q664" i="1"/>
  <c r="R664" i="1"/>
  <c r="S664" i="1"/>
  <c r="T664" i="1"/>
  <c r="U664" i="1"/>
  <c r="V664" i="1"/>
  <c r="W664" i="1"/>
  <c r="X664" i="1"/>
  <c r="Y664" i="1"/>
  <c r="Z664" i="1"/>
  <c r="A665" i="1"/>
  <c r="B665" i="1"/>
  <c r="C665" i="1"/>
  <c r="D665" i="1"/>
  <c r="E665" i="1"/>
  <c r="F665" i="1"/>
  <c r="G665" i="1"/>
  <c r="I665" i="1"/>
  <c r="J665" i="1"/>
  <c r="K665" i="1"/>
  <c r="L665" i="1"/>
  <c r="M665" i="1"/>
  <c r="N665" i="1"/>
  <c r="O665" i="1"/>
  <c r="P665" i="1"/>
  <c r="Q665" i="1"/>
  <c r="R665" i="1"/>
  <c r="S665" i="1"/>
  <c r="T665" i="1"/>
  <c r="U665" i="1"/>
  <c r="V665" i="1"/>
  <c r="W665" i="1"/>
  <c r="X665" i="1"/>
  <c r="Y665" i="1"/>
  <c r="Z665" i="1"/>
  <c r="A666" i="1"/>
  <c r="B666" i="1"/>
  <c r="C666" i="1"/>
  <c r="D666" i="1"/>
  <c r="E666" i="1"/>
  <c r="F666" i="1"/>
  <c r="G666" i="1"/>
  <c r="I666" i="1"/>
  <c r="J666" i="1"/>
  <c r="K666" i="1"/>
  <c r="L666" i="1"/>
  <c r="M666" i="1"/>
  <c r="N666" i="1"/>
  <c r="O666" i="1"/>
  <c r="P666" i="1"/>
  <c r="Q666" i="1"/>
  <c r="R666" i="1"/>
  <c r="S666" i="1"/>
  <c r="T666" i="1"/>
  <c r="U666" i="1"/>
  <c r="V666" i="1"/>
  <c r="W666" i="1"/>
  <c r="X666" i="1"/>
  <c r="Y666" i="1"/>
  <c r="Z666" i="1"/>
  <c r="A667" i="1"/>
  <c r="B667" i="1"/>
  <c r="C667" i="1"/>
  <c r="D667" i="1"/>
  <c r="E667" i="1"/>
  <c r="F667" i="1"/>
  <c r="G667" i="1"/>
  <c r="I667" i="1"/>
  <c r="J667" i="1"/>
  <c r="K667" i="1"/>
  <c r="L667" i="1"/>
  <c r="M667" i="1"/>
  <c r="N667" i="1"/>
  <c r="O667" i="1"/>
  <c r="P667" i="1"/>
  <c r="Q667" i="1"/>
  <c r="R667" i="1"/>
  <c r="S667" i="1"/>
  <c r="T667" i="1"/>
  <c r="U667" i="1"/>
  <c r="V667" i="1"/>
  <c r="W667" i="1"/>
  <c r="X667" i="1"/>
  <c r="Y667" i="1"/>
  <c r="Z667" i="1"/>
  <c r="A668" i="1"/>
  <c r="B668" i="1"/>
  <c r="C668" i="1"/>
  <c r="D668" i="1"/>
  <c r="E668" i="1"/>
  <c r="F668" i="1"/>
  <c r="G668" i="1"/>
  <c r="I668" i="1"/>
  <c r="J668" i="1"/>
  <c r="K668" i="1"/>
  <c r="L668" i="1"/>
  <c r="M668" i="1"/>
  <c r="N668" i="1"/>
  <c r="O668" i="1"/>
  <c r="P668" i="1"/>
  <c r="Q668" i="1"/>
  <c r="R668" i="1"/>
  <c r="S668" i="1"/>
  <c r="T668" i="1"/>
  <c r="U668" i="1"/>
  <c r="V668" i="1"/>
  <c r="W668" i="1"/>
  <c r="X668" i="1"/>
  <c r="Y668" i="1"/>
  <c r="Z668" i="1"/>
  <c r="A669" i="1"/>
  <c r="B669" i="1"/>
  <c r="C669" i="1"/>
  <c r="D669" i="1"/>
  <c r="E669" i="1"/>
  <c r="F669" i="1"/>
  <c r="G669" i="1"/>
  <c r="I669" i="1"/>
  <c r="J669" i="1"/>
  <c r="K669" i="1"/>
  <c r="L669" i="1"/>
  <c r="M669" i="1"/>
  <c r="N669" i="1"/>
  <c r="O669" i="1"/>
  <c r="P669" i="1"/>
  <c r="Q669" i="1"/>
  <c r="R669" i="1"/>
  <c r="S669" i="1"/>
  <c r="T669" i="1"/>
  <c r="U669" i="1"/>
  <c r="V669" i="1"/>
  <c r="W669" i="1"/>
  <c r="X669" i="1"/>
  <c r="Y669" i="1"/>
  <c r="Z669" i="1"/>
  <c r="A670" i="1"/>
  <c r="B670" i="1"/>
  <c r="C670" i="1"/>
  <c r="D670" i="1"/>
  <c r="E670" i="1"/>
  <c r="F670" i="1"/>
  <c r="G670" i="1"/>
  <c r="I670" i="1"/>
  <c r="J670" i="1"/>
  <c r="K670" i="1"/>
  <c r="L670" i="1"/>
  <c r="M670" i="1"/>
  <c r="N670" i="1"/>
  <c r="O670" i="1"/>
  <c r="P670" i="1"/>
  <c r="Q670" i="1"/>
  <c r="R670" i="1"/>
  <c r="S670" i="1"/>
  <c r="T670" i="1"/>
  <c r="U670" i="1"/>
  <c r="V670" i="1"/>
  <c r="W670" i="1"/>
  <c r="X670" i="1"/>
  <c r="Y670" i="1"/>
  <c r="Z670" i="1"/>
  <c r="A671" i="1"/>
  <c r="B671" i="1"/>
  <c r="C671" i="1"/>
  <c r="D671" i="1"/>
  <c r="E671" i="1"/>
  <c r="F671" i="1"/>
  <c r="G671" i="1"/>
  <c r="I671" i="1"/>
  <c r="J671" i="1"/>
  <c r="K671" i="1"/>
  <c r="L671" i="1"/>
  <c r="M671" i="1"/>
  <c r="N671" i="1"/>
  <c r="O671" i="1"/>
  <c r="P671" i="1"/>
  <c r="Q671" i="1"/>
  <c r="R671" i="1"/>
  <c r="S671" i="1"/>
  <c r="T671" i="1"/>
  <c r="U671" i="1"/>
  <c r="V671" i="1"/>
  <c r="W671" i="1"/>
  <c r="X671" i="1"/>
  <c r="Y671" i="1"/>
  <c r="Z671" i="1"/>
  <c r="A672" i="1"/>
  <c r="B672" i="1"/>
  <c r="C672" i="1"/>
  <c r="D672" i="1"/>
  <c r="E672" i="1"/>
  <c r="F672" i="1"/>
  <c r="G672" i="1"/>
  <c r="I672" i="1"/>
  <c r="J672" i="1"/>
  <c r="K672" i="1"/>
  <c r="L672" i="1"/>
  <c r="M672" i="1"/>
  <c r="N672" i="1"/>
  <c r="O672" i="1"/>
  <c r="P672" i="1"/>
  <c r="Q672" i="1"/>
  <c r="R672" i="1"/>
  <c r="S672" i="1"/>
  <c r="T672" i="1"/>
  <c r="U672" i="1"/>
  <c r="V672" i="1"/>
  <c r="W672" i="1"/>
  <c r="X672" i="1"/>
  <c r="Y672" i="1"/>
  <c r="Z672" i="1"/>
  <c r="A673" i="1"/>
  <c r="B673" i="1"/>
  <c r="C673" i="1"/>
  <c r="D673" i="1"/>
  <c r="E673" i="1"/>
  <c r="F673" i="1"/>
  <c r="G673" i="1"/>
  <c r="I673" i="1"/>
  <c r="J673" i="1"/>
  <c r="K673" i="1"/>
  <c r="L673" i="1"/>
  <c r="M673" i="1"/>
  <c r="N673" i="1"/>
  <c r="O673" i="1"/>
  <c r="P673" i="1"/>
  <c r="Q673" i="1"/>
  <c r="R673" i="1"/>
  <c r="S673" i="1"/>
  <c r="T673" i="1"/>
  <c r="U673" i="1"/>
  <c r="V673" i="1"/>
  <c r="W673" i="1"/>
  <c r="X673" i="1"/>
  <c r="Y673" i="1"/>
  <c r="Z673" i="1"/>
  <c r="A674" i="1"/>
  <c r="B674" i="1"/>
  <c r="C674" i="1"/>
  <c r="D674" i="1"/>
  <c r="E674" i="1"/>
  <c r="F674" i="1"/>
  <c r="G674" i="1"/>
  <c r="I674" i="1"/>
  <c r="J674" i="1"/>
  <c r="K674" i="1"/>
  <c r="L674" i="1"/>
  <c r="M674" i="1"/>
  <c r="N674" i="1"/>
  <c r="O674" i="1"/>
  <c r="P674" i="1"/>
  <c r="Q674" i="1"/>
  <c r="R674" i="1"/>
  <c r="S674" i="1"/>
  <c r="T674" i="1"/>
  <c r="U674" i="1"/>
  <c r="V674" i="1"/>
  <c r="W674" i="1"/>
  <c r="X674" i="1"/>
  <c r="Y674" i="1"/>
  <c r="Z674" i="1"/>
  <c r="A675" i="1"/>
  <c r="B675" i="1"/>
  <c r="C675" i="1"/>
  <c r="D675" i="1"/>
  <c r="E675" i="1"/>
  <c r="F675" i="1"/>
  <c r="G675" i="1"/>
  <c r="I675" i="1"/>
  <c r="J675" i="1"/>
  <c r="K675" i="1"/>
  <c r="L675" i="1"/>
  <c r="M675" i="1"/>
  <c r="N675" i="1"/>
  <c r="O675" i="1"/>
  <c r="P675" i="1"/>
  <c r="Q675" i="1"/>
  <c r="R675" i="1"/>
  <c r="S675" i="1"/>
  <c r="T675" i="1"/>
  <c r="U675" i="1"/>
  <c r="V675" i="1"/>
  <c r="W675" i="1"/>
  <c r="X675" i="1"/>
  <c r="Y675" i="1"/>
  <c r="Z675" i="1"/>
  <c r="A676" i="1"/>
  <c r="B676" i="1"/>
  <c r="C676" i="1"/>
  <c r="D676" i="1"/>
  <c r="E676" i="1"/>
  <c r="F676" i="1"/>
  <c r="G676" i="1"/>
  <c r="I676" i="1"/>
  <c r="J676" i="1"/>
  <c r="K676" i="1"/>
  <c r="L676" i="1"/>
  <c r="M676" i="1"/>
  <c r="N676" i="1"/>
  <c r="O676" i="1"/>
  <c r="P676" i="1"/>
  <c r="Q676" i="1"/>
  <c r="R676" i="1"/>
  <c r="S676" i="1"/>
  <c r="T676" i="1"/>
  <c r="U676" i="1"/>
  <c r="V676" i="1"/>
  <c r="W676" i="1"/>
  <c r="X676" i="1"/>
  <c r="Y676" i="1"/>
  <c r="Z676" i="1"/>
  <c r="A677" i="1"/>
  <c r="B677" i="1"/>
  <c r="C677" i="1"/>
  <c r="D677" i="1"/>
  <c r="E677" i="1"/>
  <c r="F677" i="1"/>
  <c r="G677" i="1"/>
  <c r="I677" i="1"/>
  <c r="J677" i="1"/>
  <c r="K677" i="1"/>
  <c r="L677" i="1"/>
  <c r="M677" i="1"/>
  <c r="N677" i="1"/>
  <c r="O677" i="1"/>
  <c r="P677" i="1"/>
  <c r="Q677" i="1"/>
  <c r="R677" i="1"/>
  <c r="S677" i="1"/>
  <c r="T677" i="1"/>
  <c r="U677" i="1"/>
  <c r="V677" i="1"/>
  <c r="W677" i="1"/>
  <c r="X677" i="1"/>
  <c r="Y677" i="1"/>
  <c r="Z677" i="1"/>
  <c r="A678" i="1"/>
  <c r="B678" i="1"/>
  <c r="C678" i="1"/>
  <c r="D678" i="1"/>
  <c r="E678" i="1"/>
  <c r="F678" i="1"/>
  <c r="G678" i="1"/>
  <c r="I678" i="1"/>
  <c r="J678" i="1"/>
  <c r="K678" i="1"/>
  <c r="L678" i="1"/>
  <c r="M678" i="1"/>
  <c r="N678" i="1"/>
  <c r="O678" i="1"/>
  <c r="P678" i="1"/>
  <c r="Q678" i="1"/>
  <c r="R678" i="1"/>
  <c r="S678" i="1"/>
  <c r="T678" i="1"/>
  <c r="U678" i="1"/>
  <c r="V678" i="1"/>
  <c r="W678" i="1"/>
  <c r="X678" i="1"/>
  <c r="Y678" i="1"/>
  <c r="Z678" i="1"/>
  <c r="A679" i="1"/>
  <c r="B679" i="1"/>
  <c r="C679" i="1"/>
  <c r="D679" i="1"/>
  <c r="E679" i="1"/>
  <c r="F679" i="1"/>
  <c r="G679" i="1"/>
  <c r="I679" i="1"/>
  <c r="J679" i="1"/>
  <c r="K679" i="1"/>
  <c r="L679" i="1"/>
  <c r="M679" i="1"/>
  <c r="N679" i="1"/>
  <c r="O679" i="1"/>
  <c r="P679" i="1"/>
  <c r="Q679" i="1"/>
  <c r="R679" i="1"/>
  <c r="S679" i="1"/>
  <c r="T679" i="1"/>
  <c r="U679" i="1"/>
  <c r="V679" i="1"/>
  <c r="W679" i="1"/>
  <c r="X679" i="1"/>
  <c r="Y679" i="1"/>
  <c r="Z679" i="1"/>
  <c r="A680" i="1"/>
  <c r="B680" i="1"/>
  <c r="C680" i="1"/>
  <c r="D680" i="1"/>
  <c r="E680" i="1"/>
  <c r="F680" i="1"/>
  <c r="G680" i="1"/>
  <c r="I680" i="1"/>
  <c r="J680" i="1"/>
  <c r="K680" i="1"/>
  <c r="L680" i="1"/>
  <c r="M680" i="1"/>
  <c r="N680" i="1"/>
  <c r="O680" i="1"/>
  <c r="P680" i="1"/>
  <c r="Q680" i="1"/>
  <c r="R680" i="1"/>
  <c r="S680" i="1"/>
  <c r="T680" i="1"/>
  <c r="U680" i="1"/>
  <c r="V680" i="1"/>
  <c r="W680" i="1"/>
  <c r="X680" i="1"/>
  <c r="Y680" i="1"/>
  <c r="Z680" i="1"/>
  <c r="A681" i="1"/>
  <c r="B681" i="1"/>
  <c r="C681" i="1"/>
  <c r="D681" i="1"/>
  <c r="E681" i="1"/>
  <c r="F681" i="1"/>
  <c r="G681" i="1"/>
  <c r="I681" i="1"/>
  <c r="J681" i="1"/>
  <c r="K681" i="1"/>
  <c r="L681" i="1"/>
  <c r="M681" i="1"/>
  <c r="N681" i="1"/>
  <c r="O681" i="1"/>
  <c r="P681" i="1"/>
  <c r="Q681" i="1"/>
  <c r="R681" i="1"/>
  <c r="S681" i="1"/>
  <c r="T681" i="1"/>
  <c r="U681" i="1"/>
  <c r="V681" i="1"/>
  <c r="W681" i="1"/>
  <c r="X681" i="1"/>
  <c r="Y681" i="1"/>
  <c r="Z681" i="1"/>
  <c r="A682" i="1"/>
  <c r="B682" i="1"/>
  <c r="C682" i="1"/>
  <c r="D682" i="1"/>
  <c r="E682" i="1"/>
  <c r="F682" i="1"/>
  <c r="G682" i="1"/>
  <c r="I682" i="1"/>
  <c r="J682" i="1"/>
  <c r="K682" i="1"/>
  <c r="L682" i="1"/>
  <c r="M682" i="1"/>
  <c r="N682" i="1"/>
  <c r="O682" i="1"/>
  <c r="P682" i="1"/>
  <c r="Q682" i="1"/>
  <c r="R682" i="1"/>
  <c r="S682" i="1"/>
  <c r="T682" i="1"/>
  <c r="U682" i="1"/>
  <c r="V682" i="1"/>
  <c r="W682" i="1"/>
  <c r="X682" i="1"/>
  <c r="Y682" i="1"/>
  <c r="Z682" i="1"/>
  <c r="A683" i="1"/>
  <c r="B683" i="1"/>
  <c r="C683" i="1"/>
  <c r="D683" i="1"/>
  <c r="E683" i="1"/>
  <c r="F683" i="1"/>
  <c r="G683" i="1"/>
  <c r="I683" i="1"/>
  <c r="J683" i="1"/>
  <c r="K683" i="1"/>
  <c r="L683" i="1"/>
  <c r="M683" i="1"/>
  <c r="N683" i="1"/>
  <c r="O683" i="1"/>
  <c r="P683" i="1"/>
  <c r="Q683" i="1"/>
  <c r="R683" i="1"/>
  <c r="S683" i="1"/>
  <c r="T683" i="1"/>
  <c r="U683" i="1"/>
  <c r="V683" i="1"/>
  <c r="W683" i="1"/>
  <c r="X683" i="1"/>
  <c r="Y683" i="1"/>
  <c r="Z683" i="1"/>
  <c r="A684" i="1"/>
  <c r="B684" i="1"/>
  <c r="C684" i="1"/>
  <c r="D684" i="1"/>
  <c r="E684" i="1"/>
  <c r="F684" i="1"/>
  <c r="G684" i="1"/>
  <c r="I684" i="1"/>
  <c r="J684" i="1"/>
  <c r="K684" i="1"/>
  <c r="L684" i="1"/>
  <c r="M684" i="1"/>
  <c r="N684" i="1"/>
  <c r="O684" i="1"/>
  <c r="P684" i="1"/>
  <c r="Q684" i="1"/>
  <c r="R684" i="1"/>
  <c r="S684" i="1"/>
  <c r="T684" i="1"/>
  <c r="U684" i="1"/>
  <c r="V684" i="1"/>
  <c r="W684" i="1"/>
  <c r="X684" i="1"/>
  <c r="Y684" i="1"/>
  <c r="Z684" i="1"/>
  <c r="A685" i="1"/>
  <c r="B685" i="1"/>
  <c r="C685" i="1"/>
  <c r="D685" i="1"/>
  <c r="E685" i="1"/>
  <c r="F685" i="1"/>
  <c r="G685" i="1"/>
  <c r="I685" i="1"/>
  <c r="J685" i="1"/>
  <c r="K685" i="1"/>
  <c r="L685" i="1"/>
  <c r="M685" i="1"/>
  <c r="N685" i="1"/>
  <c r="O685" i="1"/>
  <c r="P685" i="1"/>
  <c r="Q685" i="1"/>
  <c r="R685" i="1"/>
  <c r="S685" i="1"/>
  <c r="T685" i="1"/>
  <c r="U685" i="1"/>
  <c r="V685" i="1"/>
  <c r="W685" i="1"/>
  <c r="X685" i="1"/>
  <c r="Y685" i="1"/>
  <c r="Z685" i="1"/>
  <c r="A686" i="1"/>
  <c r="B686" i="1"/>
  <c r="C686" i="1"/>
  <c r="D686" i="1"/>
  <c r="E686" i="1"/>
  <c r="F686" i="1"/>
  <c r="G686" i="1"/>
  <c r="I686" i="1"/>
  <c r="J686" i="1"/>
  <c r="K686" i="1"/>
  <c r="L686" i="1"/>
  <c r="M686" i="1"/>
  <c r="N686" i="1"/>
  <c r="O686" i="1"/>
  <c r="P686" i="1"/>
  <c r="Q686" i="1"/>
  <c r="R686" i="1"/>
  <c r="S686" i="1"/>
  <c r="T686" i="1"/>
  <c r="U686" i="1"/>
  <c r="V686" i="1"/>
  <c r="W686" i="1"/>
  <c r="X686" i="1"/>
  <c r="Y686" i="1"/>
  <c r="Z686" i="1"/>
  <c r="A687" i="1"/>
  <c r="B687" i="1"/>
  <c r="C687" i="1"/>
  <c r="D687" i="1"/>
  <c r="E687" i="1"/>
  <c r="F687" i="1"/>
  <c r="G687" i="1"/>
  <c r="I687" i="1"/>
  <c r="J687" i="1"/>
  <c r="K687" i="1"/>
  <c r="L687" i="1"/>
  <c r="M687" i="1"/>
  <c r="N687" i="1"/>
  <c r="O687" i="1"/>
  <c r="P687" i="1"/>
  <c r="Q687" i="1"/>
  <c r="R687" i="1"/>
  <c r="S687" i="1"/>
  <c r="T687" i="1"/>
  <c r="U687" i="1"/>
  <c r="V687" i="1"/>
  <c r="W687" i="1"/>
  <c r="X687" i="1"/>
  <c r="Y687" i="1"/>
  <c r="Z687" i="1"/>
  <c r="A688" i="1"/>
  <c r="B688" i="1"/>
  <c r="C688" i="1"/>
  <c r="D688" i="1"/>
  <c r="E688" i="1"/>
  <c r="F688" i="1"/>
  <c r="G688" i="1"/>
  <c r="I688" i="1"/>
  <c r="J688" i="1"/>
  <c r="K688" i="1"/>
  <c r="L688" i="1"/>
  <c r="M688" i="1"/>
  <c r="N688" i="1"/>
  <c r="O688" i="1"/>
  <c r="P688" i="1"/>
  <c r="Q688" i="1"/>
  <c r="R688" i="1"/>
  <c r="S688" i="1"/>
  <c r="T688" i="1"/>
  <c r="U688" i="1"/>
  <c r="V688" i="1"/>
  <c r="W688" i="1"/>
  <c r="X688" i="1"/>
  <c r="Y688" i="1"/>
  <c r="Z688" i="1"/>
  <c r="A689" i="1"/>
  <c r="B689" i="1"/>
  <c r="C689" i="1"/>
  <c r="D689" i="1"/>
  <c r="E689" i="1"/>
  <c r="F689" i="1"/>
  <c r="G689" i="1"/>
  <c r="I689" i="1"/>
  <c r="J689" i="1"/>
  <c r="K689" i="1"/>
  <c r="L689" i="1"/>
  <c r="M689" i="1"/>
  <c r="N689" i="1"/>
  <c r="O689" i="1"/>
  <c r="P689" i="1"/>
  <c r="Q689" i="1"/>
  <c r="R689" i="1"/>
  <c r="S689" i="1"/>
  <c r="T689" i="1"/>
  <c r="U689" i="1"/>
  <c r="V689" i="1"/>
  <c r="W689" i="1"/>
  <c r="X689" i="1"/>
  <c r="Y689" i="1"/>
  <c r="Z689" i="1"/>
  <c r="A690" i="1"/>
  <c r="B690" i="1"/>
  <c r="C690" i="1"/>
  <c r="D690" i="1"/>
  <c r="E690" i="1"/>
  <c r="F690" i="1"/>
  <c r="G690" i="1"/>
  <c r="I690" i="1"/>
  <c r="J690" i="1"/>
  <c r="K690" i="1"/>
  <c r="L690" i="1"/>
  <c r="M690" i="1"/>
  <c r="N690" i="1"/>
  <c r="O690" i="1"/>
  <c r="P690" i="1"/>
  <c r="Q690" i="1"/>
  <c r="R690" i="1"/>
  <c r="S690" i="1"/>
  <c r="T690" i="1"/>
  <c r="U690" i="1"/>
  <c r="V690" i="1"/>
  <c r="W690" i="1"/>
  <c r="X690" i="1"/>
  <c r="Y690" i="1"/>
  <c r="Z690" i="1"/>
  <c r="A691" i="1"/>
  <c r="B691" i="1"/>
  <c r="C691" i="1"/>
  <c r="D691" i="1"/>
  <c r="E691" i="1"/>
  <c r="F691" i="1"/>
  <c r="G691" i="1"/>
  <c r="I691" i="1"/>
  <c r="J691" i="1"/>
  <c r="K691" i="1"/>
  <c r="L691" i="1"/>
  <c r="M691" i="1"/>
  <c r="N691" i="1"/>
  <c r="O691" i="1"/>
  <c r="P691" i="1"/>
  <c r="Q691" i="1"/>
  <c r="R691" i="1"/>
  <c r="S691" i="1"/>
  <c r="T691" i="1"/>
  <c r="U691" i="1"/>
  <c r="V691" i="1"/>
  <c r="W691" i="1"/>
  <c r="X691" i="1"/>
  <c r="Y691" i="1"/>
  <c r="Z691" i="1"/>
  <c r="A692" i="1"/>
  <c r="B692" i="1"/>
  <c r="C692" i="1"/>
  <c r="D692" i="1"/>
  <c r="E692" i="1"/>
  <c r="F692" i="1"/>
  <c r="G692" i="1"/>
  <c r="I692" i="1"/>
  <c r="J692" i="1"/>
  <c r="K692" i="1"/>
  <c r="L692" i="1"/>
  <c r="M692" i="1"/>
  <c r="N692" i="1"/>
  <c r="O692" i="1"/>
  <c r="P692" i="1"/>
  <c r="Q692" i="1"/>
  <c r="R692" i="1"/>
  <c r="S692" i="1"/>
  <c r="T692" i="1"/>
  <c r="U692" i="1"/>
  <c r="V692" i="1"/>
  <c r="W692" i="1"/>
  <c r="X692" i="1"/>
  <c r="Y692" i="1"/>
  <c r="Z692" i="1"/>
  <c r="A693" i="1"/>
  <c r="B693" i="1"/>
  <c r="C693" i="1"/>
  <c r="D693" i="1"/>
  <c r="E693" i="1"/>
  <c r="F693" i="1"/>
  <c r="G693" i="1"/>
  <c r="I693" i="1"/>
  <c r="J693" i="1"/>
  <c r="K693" i="1"/>
  <c r="L693" i="1"/>
  <c r="M693" i="1"/>
  <c r="N693" i="1"/>
  <c r="O693" i="1"/>
  <c r="P693" i="1"/>
  <c r="Q693" i="1"/>
  <c r="R693" i="1"/>
  <c r="S693" i="1"/>
  <c r="T693" i="1"/>
  <c r="U693" i="1"/>
  <c r="V693" i="1"/>
  <c r="W693" i="1"/>
  <c r="X693" i="1"/>
  <c r="Y693" i="1"/>
  <c r="Z693" i="1"/>
  <c r="A694" i="1"/>
  <c r="B694" i="1"/>
  <c r="C694" i="1"/>
  <c r="D694" i="1"/>
  <c r="E694" i="1"/>
  <c r="F694" i="1"/>
  <c r="G694" i="1"/>
  <c r="I694" i="1"/>
  <c r="J694" i="1"/>
  <c r="K694" i="1"/>
  <c r="L694" i="1"/>
  <c r="M694" i="1"/>
  <c r="N694" i="1"/>
  <c r="O694" i="1"/>
  <c r="P694" i="1"/>
  <c r="Q694" i="1"/>
  <c r="R694" i="1"/>
  <c r="S694" i="1"/>
  <c r="T694" i="1"/>
  <c r="U694" i="1"/>
  <c r="V694" i="1"/>
  <c r="W694" i="1"/>
  <c r="X694" i="1"/>
  <c r="Y694" i="1"/>
  <c r="Z694" i="1"/>
  <c r="A695" i="1"/>
  <c r="B695" i="1"/>
  <c r="C695" i="1"/>
  <c r="D695" i="1"/>
  <c r="E695" i="1"/>
  <c r="F695" i="1"/>
  <c r="G695" i="1"/>
  <c r="I695" i="1"/>
  <c r="J695" i="1"/>
  <c r="K695" i="1"/>
  <c r="L695" i="1"/>
  <c r="M695" i="1"/>
  <c r="N695" i="1"/>
  <c r="O695" i="1"/>
  <c r="P695" i="1"/>
  <c r="Q695" i="1"/>
  <c r="R695" i="1"/>
  <c r="S695" i="1"/>
  <c r="T695" i="1"/>
  <c r="U695" i="1"/>
  <c r="V695" i="1"/>
  <c r="W695" i="1"/>
  <c r="X695" i="1"/>
  <c r="Y695" i="1"/>
  <c r="Z695" i="1"/>
  <c r="A696" i="1"/>
  <c r="B696" i="1"/>
  <c r="C696" i="1"/>
  <c r="D696" i="1"/>
  <c r="E696" i="1"/>
  <c r="F696" i="1"/>
  <c r="G696" i="1"/>
  <c r="I696" i="1"/>
  <c r="J696" i="1"/>
  <c r="K696" i="1"/>
  <c r="L696" i="1"/>
  <c r="M696" i="1"/>
  <c r="N696" i="1"/>
  <c r="O696" i="1"/>
  <c r="P696" i="1"/>
  <c r="Q696" i="1"/>
  <c r="R696" i="1"/>
  <c r="S696" i="1"/>
  <c r="T696" i="1"/>
  <c r="U696" i="1"/>
  <c r="V696" i="1"/>
  <c r="W696" i="1"/>
  <c r="X696" i="1"/>
  <c r="Y696" i="1"/>
  <c r="Z696" i="1"/>
  <c r="A697" i="1"/>
  <c r="B697" i="1"/>
  <c r="C697" i="1"/>
  <c r="D697" i="1"/>
  <c r="E697" i="1"/>
  <c r="F697" i="1"/>
  <c r="G697" i="1"/>
  <c r="I697" i="1"/>
  <c r="J697" i="1"/>
  <c r="K697" i="1"/>
  <c r="L697" i="1"/>
  <c r="M697" i="1"/>
  <c r="N697" i="1"/>
  <c r="O697" i="1"/>
  <c r="P697" i="1"/>
  <c r="Q697" i="1"/>
  <c r="R697" i="1"/>
  <c r="S697" i="1"/>
  <c r="T697" i="1"/>
  <c r="U697" i="1"/>
  <c r="V697" i="1"/>
  <c r="W697" i="1"/>
  <c r="X697" i="1"/>
  <c r="Y697" i="1"/>
  <c r="Z697" i="1"/>
  <c r="A698" i="1"/>
  <c r="B698" i="1"/>
  <c r="C698" i="1"/>
  <c r="D698" i="1"/>
  <c r="E698" i="1"/>
  <c r="F698" i="1"/>
  <c r="G698" i="1"/>
  <c r="I698" i="1"/>
  <c r="J698" i="1"/>
  <c r="K698" i="1"/>
  <c r="L698" i="1"/>
  <c r="M698" i="1"/>
  <c r="N698" i="1"/>
  <c r="O698" i="1"/>
  <c r="P698" i="1"/>
  <c r="Q698" i="1"/>
  <c r="R698" i="1"/>
  <c r="S698" i="1"/>
  <c r="T698" i="1"/>
  <c r="U698" i="1"/>
  <c r="V698" i="1"/>
  <c r="W698" i="1"/>
  <c r="X698" i="1"/>
  <c r="Y698" i="1"/>
  <c r="Z698" i="1"/>
  <c r="A699" i="1"/>
  <c r="B699" i="1"/>
  <c r="C699" i="1"/>
  <c r="D699" i="1"/>
  <c r="E699" i="1"/>
  <c r="F699" i="1"/>
  <c r="G699" i="1"/>
  <c r="I699" i="1"/>
  <c r="J699" i="1"/>
  <c r="K699" i="1"/>
  <c r="L699" i="1"/>
  <c r="M699" i="1"/>
  <c r="N699" i="1"/>
  <c r="O699" i="1"/>
  <c r="P699" i="1"/>
  <c r="Q699" i="1"/>
  <c r="R699" i="1"/>
  <c r="S699" i="1"/>
  <c r="T699" i="1"/>
  <c r="U699" i="1"/>
  <c r="V699" i="1"/>
  <c r="W699" i="1"/>
  <c r="X699" i="1"/>
  <c r="Y699" i="1"/>
  <c r="Z699" i="1"/>
  <c r="A700" i="1"/>
  <c r="B700" i="1"/>
  <c r="C700" i="1"/>
  <c r="D700" i="1"/>
  <c r="E700" i="1"/>
  <c r="F700" i="1"/>
  <c r="G700" i="1"/>
  <c r="I700" i="1"/>
  <c r="J700" i="1"/>
  <c r="K700" i="1"/>
  <c r="L700" i="1"/>
  <c r="M700" i="1"/>
  <c r="N700" i="1"/>
  <c r="O700" i="1"/>
  <c r="P700" i="1"/>
  <c r="Q700" i="1"/>
  <c r="R700" i="1"/>
  <c r="S700" i="1"/>
  <c r="T700" i="1"/>
  <c r="U700" i="1"/>
  <c r="V700" i="1"/>
  <c r="W700" i="1"/>
  <c r="X700" i="1"/>
  <c r="Y700" i="1"/>
  <c r="Z700" i="1"/>
  <c r="A701" i="1"/>
  <c r="B701" i="1"/>
  <c r="C701" i="1"/>
  <c r="D701" i="1"/>
  <c r="E701" i="1"/>
  <c r="F701" i="1"/>
  <c r="G701" i="1"/>
  <c r="I701" i="1"/>
  <c r="J701" i="1"/>
  <c r="K701" i="1"/>
  <c r="L701" i="1"/>
  <c r="M701" i="1"/>
  <c r="N701" i="1"/>
  <c r="O701" i="1"/>
  <c r="P701" i="1"/>
  <c r="Q701" i="1"/>
  <c r="R701" i="1"/>
  <c r="S701" i="1"/>
  <c r="T701" i="1"/>
  <c r="U701" i="1"/>
  <c r="V701" i="1"/>
  <c r="W701" i="1"/>
  <c r="X701" i="1"/>
  <c r="Y701" i="1"/>
  <c r="Z701" i="1"/>
  <c r="A702" i="1"/>
  <c r="B702" i="1"/>
  <c r="C702" i="1"/>
  <c r="D702" i="1"/>
  <c r="E702" i="1"/>
  <c r="F702" i="1"/>
  <c r="G702" i="1"/>
  <c r="I702" i="1"/>
  <c r="J702" i="1"/>
  <c r="K702" i="1"/>
  <c r="L702" i="1"/>
  <c r="M702" i="1"/>
  <c r="N702" i="1"/>
  <c r="O702" i="1"/>
  <c r="P702" i="1"/>
  <c r="Q702" i="1"/>
  <c r="R702" i="1"/>
  <c r="S702" i="1"/>
  <c r="T702" i="1"/>
  <c r="U702" i="1"/>
  <c r="V702" i="1"/>
  <c r="W702" i="1"/>
  <c r="X702" i="1"/>
  <c r="Y702" i="1"/>
  <c r="Z702" i="1"/>
  <c r="A703" i="1"/>
  <c r="B703" i="1"/>
  <c r="C703" i="1"/>
  <c r="D703" i="1"/>
  <c r="E703" i="1"/>
  <c r="F703" i="1"/>
  <c r="G703" i="1"/>
  <c r="I703" i="1"/>
  <c r="J703" i="1"/>
  <c r="K703" i="1"/>
  <c r="L703" i="1"/>
  <c r="M703" i="1"/>
  <c r="N703" i="1"/>
  <c r="O703" i="1"/>
  <c r="P703" i="1"/>
  <c r="Q703" i="1"/>
  <c r="R703" i="1"/>
  <c r="S703" i="1"/>
  <c r="T703" i="1"/>
  <c r="U703" i="1"/>
  <c r="V703" i="1"/>
  <c r="W703" i="1"/>
  <c r="X703" i="1"/>
  <c r="Y703" i="1"/>
  <c r="Z703" i="1"/>
  <c r="A704" i="1"/>
  <c r="B704" i="1"/>
  <c r="C704" i="1"/>
  <c r="D704" i="1"/>
  <c r="E704" i="1"/>
  <c r="F704" i="1"/>
  <c r="G704" i="1"/>
  <c r="I704" i="1"/>
  <c r="J704" i="1"/>
  <c r="K704" i="1"/>
  <c r="L704" i="1"/>
  <c r="M704" i="1"/>
  <c r="N704" i="1"/>
  <c r="O704" i="1"/>
  <c r="P704" i="1"/>
  <c r="Q704" i="1"/>
  <c r="R704" i="1"/>
  <c r="S704" i="1"/>
  <c r="T704" i="1"/>
  <c r="U704" i="1"/>
  <c r="V704" i="1"/>
  <c r="W704" i="1"/>
  <c r="X704" i="1"/>
  <c r="Y704" i="1"/>
  <c r="Z704" i="1"/>
  <c r="A705" i="1"/>
  <c r="B705" i="1"/>
  <c r="C705" i="1"/>
  <c r="D705" i="1"/>
  <c r="E705" i="1"/>
  <c r="F705" i="1"/>
  <c r="G705" i="1"/>
  <c r="I705" i="1"/>
  <c r="J705" i="1"/>
  <c r="K705" i="1"/>
  <c r="L705" i="1"/>
  <c r="M705" i="1"/>
  <c r="N705" i="1"/>
  <c r="O705" i="1"/>
  <c r="P705" i="1"/>
  <c r="Q705" i="1"/>
  <c r="R705" i="1"/>
  <c r="S705" i="1"/>
  <c r="T705" i="1"/>
  <c r="U705" i="1"/>
  <c r="V705" i="1"/>
  <c r="W705" i="1"/>
  <c r="X705" i="1"/>
  <c r="Y705" i="1"/>
  <c r="Z705" i="1"/>
  <c r="A706" i="1"/>
  <c r="B706" i="1"/>
  <c r="C706" i="1"/>
  <c r="D706" i="1"/>
  <c r="E706" i="1"/>
  <c r="F706" i="1"/>
  <c r="G706" i="1"/>
  <c r="I706" i="1"/>
  <c r="J706" i="1"/>
  <c r="K706" i="1"/>
  <c r="L706" i="1"/>
  <c r="M706" i="1"/>
  <c r="N706" i="1"/>
  <c r="O706" i="1"/>
  <c r="P706" i="1"/>
  <c r="Q706" i="1"/>
  <c r="R706" i="1"/>
  <c r="S706" i="1"/>
  <c r="T706" i="1"/>
  <c r="U706" i="1"/>
  <c r="V706" i="1"/>
  <c r="W706" i="1"/>
  <c r="X706" i="1"/>
  <c r="Y706" i="1"/>
  <c r="Z706" i="1"/>
  <c r="A707" i="1"/>
  <c r="B707" i="1"/>
  <c r="C707" i="1"/>
  <c r="D707" i="1"/>
  <c r="E707" i="1"/>
  <c r="F707" i="1"/>
  <c r="G707" i="1"/>
  <c r="I707" i="1"/>
  <c r="J707" i="1"/>
  <c r="K707" i="1"/>
  <c r="L707" i="1"/>
  <c r="M707" i="1"/>
  <c r="N707" i="1"/>
  <c r="O707" i="1"/>
  <c r="P707" i="1"/>
  <c r="Q707" i="1"/>
  <c r="R707" i="1"/>
  <c r="S707" i="1"/>
  <c r="T707" i="1"/>
  <c r="U707" i="1"/>
  <c r="V707" i="1"/>
  <c r="W707" i="1"/>
  <c r="X707" i="1"/>
  <c r="Y707" i="1"/>
  <c r="Z707" i="1"/>
  <c r="A708" i="1"/>
  <c r="B708" i="1"/>
  <c r="C708" i="1"/>
  <c r="D708" i="1"/>
  <c r="E708" i="1"/>
  <c r="F708" i="1"/>
  <c r="G708" i="1"/>
  <c r="I708" i="1"/>
  <c r="J708" i="1"/>
  <c r="K708" i="1"/>
  <c r="L708" i="1"/>
  <c r="M708" i="1"/>
  <c r="N708" i="1"/>
  <c r="O708" i="1"/>
  <c r="P708" i="1"/>
  <c r="Q708" i="1"/>
  <c r="R708" i="1"/>
  <c r="S708" i="1"/>
  <c r="T708" i="1"/>
  <c r="U708" i="1"/>
  <c r="V708" i="1"/>
  <c r="W708" i="1"/>
  <c r="X708" i="1"/>
  <c r="Y708" i="1"/>
  <c r="Z708" i="1"/>
  <c r="A709" i="1"/>
  <c r="B709" i="1"/>
  <c r="C709" i="1"/>
  <c r="D709" i="1"/>
  <c r="E709" i="1"/>
  <c r="F709" i="1"/>
  <c r="G709" i="1"/>
  <c r="I709" i="1"/>
  <c r="J709" i="1"/>
  <c r="K709" i="1"/>
  <c r="L709" i="1"/>
  <c r="M709" i="1"/>
  <c r="N709" i="1"/>
  <c r="O709" i="1"/>
  <c r="P709" i="1"/>
  <c r="Q709" i="1"/>
  <c r="R709" i="1"/>
  <c r="S709" i="1"/>
  <c r="T709" i="1"/>
  <c r="U709" i="1"/>
  <c r="V709" i="1"/>
  <c r="W709" i="1"/>
  <c r="X709" i="1"/>
  <c r="Y709" i="1"/>
  <c r="Z709" i="1"/>
  <c r="A710" i="1"/>
  <c r="B710" i="1"/>
  <c r="C710" i="1"/>
  <c r="D710" i="1"/>
  <c r="E710" i="1"/>
  <c r="F710" i="1"/>
  <c r="G710" i="1"/>
  <c r="I710" i="1"/>
  <c r="J710" i="1"/>
  <c r="K710" i="1"/>
  <c r="L710" i="1"/>
  <c r="M710" i="1"/>
  <c r="N710" i="1"/>
  <c r="O710" i="1"/>
  <c r="P710" i="1"/>
  <c r="Q710" i="1"/>
  <c r="R710" i="1"/>
  <c r="S710" i="1"/>
  <c r="T710" i="1"/>
  <c r="U710" i="1"/>
  <c r="V710" i="1"/>
  <c r="W710" i="1"/>
  <c r="X710" i="1"/>
  <c r="Y710" i="1"/>
  <c r="Z710" i="1"/>
  <c r="A711" i="1"/>
  <c r="B711" i="1"/>
  <c r="C711" i="1"/>
  <c r="D711" i="1"/>
  <c r="E711" i="1"/>
  <c r="F711" i="1"/>
  <c r="G711" i="1"/>
  <c r="I711" i="1"/>
  <c r="J711" i="1"/>
  <c r="K711" i="1"/>
  <c r="L711" i="1"/>
  <c r="M711" i="1"/>
  <c r="N711" i="1"/>
  <c r="O711" i="1"/>
  <c r="P711" i="1"/>
  <c r="Q711" i="1"/>
  <c r="R711" i="1"/>
  <c r="S711" i="1"/>
  <c r="T711" i="1"/>
  <c r="U711" i="1"/>
  <c r="V711" i="1"/>
  <c r="W711" i="1"/>
  <c r="X711" i="1"/>
  <c r="Y711" i="1"/>
  <c r="Z711" i="1"/>
  <c r="A712" i="1"/>
  <c r="B712" i="1"/>
  <c r="C712" i="1"/>
  <c r="D712" i="1"/>
  <c r="E712" i="1"/>
  <c r="F712" i="1"/>
  <c r="G712" i="1"/>
  <c r="I712" i="1"/>
  <c r="J712" i="1"/>
  <c r="K712" i="1"/>
  <c r="L712" i="1"/>
  <c r="M712" i="1"/>
  <c r="N712" i="1"/>
  <c r="O712" i="1"/>
  <c r="P712" i="1"/>
  <c r="Q712" i="1"/>
  <c r="R712" i="1"/>
  <c r="S712" i="1"/>
  <c r="T712" i="1"/>
  <c r="U712" i="1"/>
  <c r="V712" i="1"/>
  <c r="W712" i="1"/>
  <c r="X712" i="1"/>
  <c r="Y712" i="1"/>
  <c r="Z712" i="1"/>
  <c r="A713" i="1"/>
  <c r="B713" i="1"/>
  <c r="C713" i="1"/>
  <c r="D713" i="1"/>
  <c r="E713" i="1"/>
  <c r="F713" i="1"/>
  <c r="G713" i="1"/>
  <c r="I713" i="1"/>
  <c r="J713" i="1"/>
  <c r="K713" i="1"/>
  <c r="L713" i="1"/>
  <c r="M713" i="1"/>
  <c r="N713" i="1"/>
  <c r="O713" i="1"/>
  <c r="P713" i="1"/>
  <c r="Q713" i="1"/>
  <c r="R713" i="1"/>
  <c r="S713" i="1"/>
  <c r="T713" i="1"/>
  <c r="U713" i="1"/>
  <c r="V713" i="1"/>
  <c r="W713" i="1"/>
  <c r="X713" i="1"/>
  <c r="Y713" i="1"/>
  <c r="Z713" i="1"/>
  <c r="A714" i="1"/>
  <c r="B714" i="1"/>
  <c r="C714" i="1"/>
  <c r="D714" i="1"/>
  <c r="E714" i="1"/>
  <c r="F714" i="1"/>
  <c r="G714" i="1"/>
  <c r="I714" i="1"/>
  <c r="J714" i="1"/>
  <c r="K714" i="1"/>
  <c r="L714" i="1"/>
  <c r="M714" i="1"/>
  <c r="N714" i="1"/>
  <c r="O714" i="1"/>
  <c r="P714" i="1"/>
  <c r="Q714" i="1"/>
  <c r="R714" i="1"/>
  <c r="S714" i="1"/>
  <c r="T714" i="1"/>
  <c r="U714" i="1"/>
  <c r="V714" i="1"/>
  <c r="W714" i="1"/>
  <c r="X714" i="1"/>
  <c r="Y714" i="1"/>
  <c r="Z714" i="1"/>
  <c r="A715" i="1"/>
  <c r="B715" i="1"/>
  <c r="C715" i="1"/>
  <c r="D715" i="1"/>
  <c r="E715" i="1"/>
  <c r="F715" i="1"/>
  <c r="G715" i="1"/>
  <c r="I715" i="1"/>
  <c r="J715" i="1"/>
  <c r="K715" i="1"/>
  <c r="L715" i="1"/>
  <c r="M715" i="1"/>
  <c r="N715" i="1"/>
  <c r="O715" i="1"/>
  <c r="P715" i="1"/>
  <c r="Q715" i="1"/>
  <c r="R715" i="1"/>
  <c r="S715" i="1"/>
  <c r="T715" i="1"/>
  <c r="U715" i="1"/>
  <c r="V715" i="1"/>
  <c r="W715" i="1"/>
  <c r="X715" i="1"/>
  <c r="Y715" i="1"/>
  <c r="Z715" i="1"/>
  <c r="A716" i="1"/>
  <c r="B716" i="1"/>
  <c r="C716" i="1"/>
  <c r="D716" i="1"/>
  <c r="E716" i="1"/>
  <c r="F716" i="1"/>
  <c r="G716" i="1"/>
  <c r="I716" i="1"/>
  <c r="J716" i="1"/>
  <c r="K716" i="1"/>
  <c r="L716" i="1"/>
  <c r="M716" i="1"/>
  <c r="N716" i="1"/>
  <c r="O716" i="1"/>
  <c r="P716" i="1"/>
  <c r="Q716" i="1"/>
  <c r="R716" i="1"/>
  <c r="S716" i="1"/>
  <c r="T716" i="1"/>
  <c r="U716" i="1"/>
  <c r="V716" i="1"/>
  <c r="W716" i="1"/>
  <c r="X716" i="1"/>
  <c r="Y716" i="1"/>
  <c r="Z716" i="1"/>
  <c r="A717" i="1"/>
  <c r="B717" i="1"/>
  <c r="C717" i="1"/>
  <c r="D717" i="1"/>
  <c r="E717" i="1"/>
  <c r="F717" i="1"/>
  <c r="G717" i="1"/>
  <c r="I717" i="1"/>
  <c r="J717" i="1"/>
  <c r="K717" i="1"/>
  <c r="L717" i="1"/>
  <c r="M717" i="1"/>
  <c r="N717" i="1"/>
  <c r="O717" i="1"/>
  <c r="P717" i="1"/>
  <c r="Q717" i="1"/>
  <c r="R717" i="1"/>
  <c r="S717" i="1"/>
  <c r="T717" i="1"/>
  <c r="U717" i="1"/>
  <c r="V717" i="1"/>
  <c r="W717" i="1"/>
  <c r="X717" i="1"/>
  <c r="Y717" i="1"/>
  <c r="Z717" i="1"/>
  <c r="A718" i="1"/>
  <c r="B718" i="1"/>
  <c r="C718" i="1"/>
  <c r="D718" i="1"/>
  <c r="E718" i="1"/>
  <c r="F718" i="1"/>
  <c r="G718" i="1"/>
  <c r="I718" i="1"/>
  <c r="J718" i="1"/>
  <c r="K718" i="1"/>
  <c r="L718" i="1"/>
  <c r="M718" i="1"/>
  <c r="N718" i="1"/>
  <c r="O718" i="1"/>
  <c r="P718" i="1"/>
  <c r="Q718" i="1"/>
  <c r="R718" i="1"/>
  <c r="S718" i="1"/>
  <c r="T718" i="1"/>
  <c r="U718" i="1"/>
  <c r="V718" i="1"/>
  <c r="W718" i="1"/>
  <c r="X718" i="1"/>
  <c r="Y718" i="1"/>
  <c r="Z718" i="1"/>
  <c r="A719" i="1"/>
  <c r="B719" i="1"/>
  <c r="C719" i="1"/>
  <c r="D719" i="1"/>
  <c r="E719" i="1"/>
  <c r="F719" i="1"/>
  <c r="G719" i="1"/>
  <c r="I719" i="1"/>
  <c r="J719" i="1"/>
  <c r="K719" i="1"/>
  <c r="L719" i="1"/>
  <c r="M719" i="1"/>
  <c r="N719" i="1"/>
  <c r="O719" i="1"/>
  <c r="P719" i="1"/>
  <c r="Q719" i="1"/>
  <c r="R719" i="1"/>
  <c r="S719" i="1"/>
  <c r="T719" i="1"/>
  <c r="U719" i="1"/>
  <c r="V719" i="1"/>
  <c r="W719" i="1"/>
  <c r="X719" i="1"/>
  <c r="Y719" i="1"/>
  <c r="Z719" i="1"/>
  <c r="A720" i="1"/>
  <c r="B720" i="1"/>
  <c r="C720" i="1"/>
  <c r="D720" i="1"/>
  <c r="E720" i="1"/>
  <c r="F720" i="1"/>
  <c r="G720" i="1"/>
  <c r="I720" i="1"/>
  <c r="J720" i="1"/>
  <c r="K720" i="1"/>
  <c r="L720" i="1"/>
  <c r="M720" i="1"/>
  <c r="N720" i="1"/>
  <c r="O720" i="1"/>
  <c r="P720" i="1"/>
  <c r="Q720" i="1"/>
  <c r="R720" i="1"/>
  <c r="S720" i="1"/>
  <c r="T720" i="1"/>
  <c r="U720" i="1"/>
  <c r="V720" i="1"/>
  <c r="W720" i="1"/>
  <c r="X720" i="1"/>
  <c r="Y720" i="1"/>
  <c r="Z720" i="1"/>
  <c r="A721" i="1"/>
  <c r="B721" i="1"/>
  <c r="C721" i="1"/>
  <c r="D721" i="1"/>
  <c r="E721" i="1"/>
  <c r="F721" i="1"/>
  <c r="G721" i="1"/>
  <c r="I721" i="1"/>
  <c r="J721" i="1"/>
  <c r="K721" i="1"/>
  <c r="L721" i="1"/>
  <c r="M721" i="1"/>
  <c r="N721" i="1"/>
  <c r="O721" i="1"/>
  <c r="P721" i="1"/>
  <c r="Q721" i="1"/>
  <c r="R721" i="1"/>
  <c r="S721" i="1"/>
  <c r="T721" i="1"/>
  <c r="U721" i="1"/>
  <c r="V721" i="1"/>
  <c r="W721" i="1"/>
  <c r="X721" i="1"/>
  <c r="Y721" i="1"/>
  <c r="Z721" i="1"/>
  <c r="A722" i="1"/>
  <c r="B722" i="1"/>
  <c r="C722" i="1"/>
  <c r="D722" i="1"/>
  <c r="E722" i="1"/>
  <c r="F722" i="1"/>
  <c r="G722" i="1"/>
  <c r="I722" i="1"/>
  <c r="J722" i="1"/>
  <c r="K722" i="1"/>
  <c r="L722" i="1"/>
  <c r="M722" i="1"/>
  <c r="N722" i="1"/>
  <c r="O722" i="1"/>
  <c r="P722" i="1"/>
  <c r="Q722" i="1"/>
  <c r="R722" i="1"/>
  <c r="S722" i="1"/>
  <c r="T722" i="1"/>
  <c r="U722" i="1"/>
  <c r="V722" i="1"/>
  <c r="W722" i="1"/>
  <c r="X722" i="1"/>
  <c r="Y722" i="1"/>
  <c r="Z722" i="1"/>
  <c r="A723" i="1"/>
  <c r="B723" i="1"/>
  <c r="C723" i="1"/>
  <c r="D723" i="1"/>
  <c r="E723" i="1"/>
  <c r="F723" i="1"/>
  <c r="G723" i="1"/>
  <c r="I723" i="1"/>
  <c r="J723" i="1"/>
  <c r="K723" i="1"/>
  <c r="L723" i="1"/>
  <c r="M723" i="1"/>
  <c r="N723" i="1"/>
  <c r="O723" i="1"/>
  <c r="P723" i="1"/>
  <c r="Q723" i="1"/>
  <c r="R723" i="1"/>
  <c r="S723" i="1"/>
  <c r="T723" i="1"/>
  <c r="U723" i="1"/>
  <c r="V723" i="1"/>
  <c r="W723" i="1"/>
  <c r="X723" i="1"/>
  <c r="Y723" i="1"/>
  <c r="Z723" i="1"/>
  <c r="A724" i="1"/>
  <c r="B724" i="1"/>
  <c r="C724" i="1"/>
  <c r="D724" i="1"/>
  <c r="E724" i="1"/>
  <c r="F724" i="1"/>
  <c r="G724" i="1"/>
  <c r="I724" i="1"/>
  <c r="J724" i="1"/>
  <c r="K724" i="1"/>
  <c r="L724" i="1"/>
  <c r="M724" i="1"/>
  <c r="N724" i="1"/>
  <c r="O724" i="1"/>
  <c r="P724" i="1"/>
  <c r="Q724" i="1"/>
  <c r="R724" i="1"/>
  <c r="S724" i="1"/>
  <c r="T724" i="1"/>
  <c r="U724" i="1"/>
  <c r="V724" i="1"/>
  <c r="W724" i="1"/>
  <c r="X724" i="1"/>
  <c r="Y724" i="1"/>
  <c r="Z724" i="1"/>
  <c r="A725" i="1"/>
  <c r="B725" i="1"/>
  <c r="C725" i="1"/>
  <c r="D725" i="1"/>
  <c r="E725" i="1"/>
  <c r="F725" i="1"/>
  <c r="G725" i="1"/>
  <c r="I725" i="1"/>
  <c r="J725" i="1"/>
  <c r="K725" i="1"/>
  <c r="L725" i="1"/>
  <c r="M725" i="1"/>
  <c r="N725" i="1"/>
  <c r="O725" i="1"/>
  <c r="P725" i="1"/>
  <c r="Q725" i="1"/>
  <c r="R725" i="1"/>
  <c r="S725" i="1"/>
  <c r="T725" i="1"/>
  <c r="U725" i="1"/>
  <c r="V725" i="1"/>
  <c r="W725" i="1"/>
  <c r="X725" i="1"/>
  <c r="Y725" i="1"/>
  <c r="Z725" i="1"/>
  <c r="A726" i="1"/>
  <c r="B726" i="1"/>
  <c r="C726" i="1"/>
  <c r="D726" i="1"/>
  <c r="E726" i="1"/>
  <c r="F726" i="1"/>
  <c r="G726" i="1"/>
  <c r="I726" i="1"/>
  <c r="J726" i="1"/>
  <c r="K726" i="1"/>
  <c r="L726" i="1"/>
  <c r="M726" i="1"/>
  <c r="N726" i="1"/>
  <c r="O726" i="1"/>
  <c r="P726" i="1"/>
  <c r="Q726" i="1"/>
  <c r="R726" i="1"/>
  <c r="S726" i="1"/>
  <c r="T726" i="1"/>
  <c r="U726" i="1"/>
  <c r="V726" i="1"/>
  <c r="W726" i="1"/>
  <c r="X726" i="1"/>
  <c r="Y726" i="1"/>
  <c r="Z726" i="1"/>
  <c r="A727" i="1"/>
  <c r="B727" i="1"/>
  <c r="C727" i="1"/>
  <c r="D727" i="1"/>
  <c r="E727" i="1"/>
  <c r="F727" i="1"/>
  <c r="G727" i="1"/>
  <c r="I727" i="1"/>
  <c r="J727" i="1"/>
  <c r="K727" i="1"/>
  <c r="L727" i="1"/>
  <c r="M727" i="1"/>
  <c r="N727" i="1"/>
  <c r="O727" i="1"/>
  <c r="P727" i="1"/>
  <c r="Q727" i="1"/>
  <c r="R727" i="1"/>
  <c r="S727" i="1"/>
  <c r="T727" i="1"/>
  <c r="U727" i="1"/>
  <c r="V727" i="1"/>
  <c r="W727" i="1"/>
  <c r="X727" i="1"/>
  <c r="Y727" i="1"/>
  <c r="Z727" i="1"/>
  <c r="A728" i="1"/>
  <c r="B728" i="1"/>
  <c r="C728" i="1"/>
  <c r="D728" i="1"/>
  <c r="E728" i="1"/>
  <c r="F728" i="1"/>
  <c r="G728" i="1"/>
  <c r="I728" i="1"/>
  <c r="J728" i="1"/>
  <c r="K728" i="1"/>
  <c r="L728" i="1"/>
  <c r="M728" i="1"/>
  <c r="N728" i="1"/>
  <c r="O728" i="1"/>
  <c r="P728" i="1"/>
  <c r="Q728" i="1"/>
  <c r="R728" i="1"/>
  <c r="S728" i="1"/>
  <c r="T728" i="1"/>
  <c r="U728" i="1"/>
  <c r="V728" i="1"/>
  <c r="W728" i="1"/>
  <c r="X728" i="1"/>
  <c r="Y728" i="1"/>
  <c r="Z728" i="1"/>
  <c r="A729" i="1"/>
  <c r="B729" i="1"/>
  <c r="C729" i="1"/>
  <c r="D729" i="1"/>
  <c r="E729" i="1"/>
  <c r="F729" i="1"/>
  <c r="G729" i="1"/>
  <c r="I729" i="1"/>
  <c r="J729" i="1"/>
  <c r="K729" i="1"/>
  <c r="L729" i="1"/>
  <c r="M729" i="1"/>
  <c r="N729" i="1"/>
  <c r="O729" i="1"/>
  <c r="P729" i="1"/>
  <c r="Q729" i="1"/>
  <c r="R729" i="1"/>
  <c r="S729" i="1"/>
  <c r="T729" i="1"/>
  <c r="U729" i="1"/>
  <c r="V729" i="1"/>
  <c r="W729" i="1"/>
  <c r="X729" i="1"/>
  <c r="Y729" i="1"/>
  <c r="Z729" i="1"/>
  <c r="A730" i="1"/>
  <c r="B730" i="1"/>
  <c r="C730" i="1"/>
  <c r="D730" i="1"/>
  <c r="E730" i="1"/>
  <c r="F730" i="1"/>
  <c r="G730" i="1"/>
  <c r="I730" i="1"/>
  <c r="J730" i="1"/>
  <c r="K730" i="1"/>
  <c r="L730" i="1"/>
  <c r="M730" i="1"/>
  <c r="N730" i="1"/>
  <c r="O730" i="1"/>
  <c r="P730" i="1"/>
  <c r="Q730" i="1"/>
  <c r="R730" i="1"/>
  <c r="S730" i="1"/>
  <c r="T730" i="1"/>
  <c r="U730" i="1"/>
  <c r="V730" i="1"/>
  <c r="W730" i="1"/>
  <c r="X730" i="1"/>
  <c r="Y730" i="1"/>
  <c r="Z730" i="1"/>
  <c r="A731" i="1"/>
  <c r="B731" i="1"/>
  <c r="C731" i="1"/>
  <c r="D731" i="1"/>
  <c r="E731" i="1"/>
  <c r="F731" i="1"/>
  <c r="G731" i="1"/>
  <c r="I731" i="1"/>
  <c r="J731" i="1"/>
  <c r="K731" i="1"/>
  <c r="L731" i="1"/>
  <c r="M731" i="1"/>
  <c r="N731" i="1"/>
  <c r="O731" i="1"/>
  <c r="P731" i="1"/>
  <c r="Q731" i="1"/>
  <c r="R731" i="1"/>
  <c r="S731" i="1"/>
  <c r="T731" i="1"/>
  <c r="U731" i="1"/>
  <c r="V731" i="1"/>
  <c r="W731" i="1"/>
  <c r="X731" i="1"/>
  <c r="Y731" i="1"/>
  <c r="Z731" i="1"/>
  <c r="A732" i="1"/>
  <c r="B732" i="1"/>
  <c r="C732" i="1"/>
  <c r="D732" i="1"/>
  <c r="E732" i="1"/>
  <c r="F732" i="1"/>
  <c r="G732" i="1"/>
  <c r="I732" i="1"/>
  <c r="J732" i="1"/>
  <c r="K732" i="1"/>
  <c r="L732" i="1"/>
  <c r="M732" i="1"/>
  <c r="N732" i="1"/>
  <c r="O732" i="1"/>
  <c r="P732" i="1"/>
  <c r="Q732" i="1"/>
  <c r="R732" i="1"/>
  <c r="S732" i="1"/>
  <c r="T732" i="1"/>
  <c r="U732" i="1"/>
  <c r="V732" i="1"/>
  <c r="W732" i="1"/>
  <c r="X732" i="1"/>
  <c r="Y732" i="1"/>
  <c r="Z732" i="1"/>
  <c r="A733" i="1"/>
  <c r="B733" i="1"/>
  <c r="C733" i="1"/>
  <c r="D733" i="1"/>
  <c r="E733" i="1"/>
  <c r="F733" i="1"/>
  <c r="G733" i="1"/>
  <c r="I733" i="1"/>
  <c r="J733" i="1"/>
  <c r="K733" i="1"/>
  <c r="L733" i="1"/>
  <c r="M733" i="1"/>
  <c r="N733" i="1"/>
  <c r="O733" i="1"/>
  <c r="P733" i="1"/>
  <c r="Q733" i="1"/>
  <c r="R733" i="1"/>
  <c r="S733" i="1"/>
  <c r="T733" i="1"/>
  <c r="U733" i="1"/>
  <c r="V733" i="1"/>
  <c r="W733" i="1"/>
  <c r="X733" i="1"/>
  <c r="Y733" i="1"/>
  <c r="Z733" i="1"/>
  <c r="A734" i="1"/>
  <c r="B734" i="1"/>
  <c r="C734" i="1"/>
  <c r="D734" i="1"/>
  <c r="E734" i="1"/>
  <c r="F734" i="1"/>
  <c r="G734" i="1"/>
  <c r="I734" i="1"/>
  <c r="J734" i="1"/>
  <c r="K734" i="1"/>
  <c r="L734" i="1"/>
  <c r="M734" i="1"/>
  <c r="N734" i="1"/>
  <c r="O734" i="1"/>
  <c r="P734" i="1"/>
  <c r="Q734" i="1"/>
  <c r="R734" i="1"/>
  <c r="S734" i="1"/>
  <c r="T734" i="1"/>
  <c r="U734" i="1"/>
  <c r="V734" i="1"/>
  <c r="W734" i="1"/>
  <c r="X734" i="1"/>
  <c r="Y734" i="1"/>
  <c r="Z734" i="1"/>
  <c r="A735" i="1"/>
  <c r="B735" i="1"/>
  <c r="C735" i="1"/>
  <c r="D735" i="1"/>
  <c r="E735" i="1"/>
  <c r="F735" i="1"/>
  <c r="G735" i="1"/>
  <c r="I735" i="1"/>
  <c r="J735" i="1"/>
  <c r="K735" i="1"/>
  <c r="L735" i="1"/>
  <c r="M735" i="1"/>
  <c r="N735" i="1"/>
  <c r="O735" i="1"/>
  <c r="P735" i="1"/>
  <c r="Q735" i="1"/>
  <c r="R735" i="1"/>
  <c r="S735" i="1"/>
  <c r="T735" i="1"/>
  <c r="U735" i="1"/>
  <c r="V735" i="1"/>
  <c r="W735" i="1"/>
  <c r="X735" i="1"/>
  <c r="Y735" i="1"/>
  <c r="Z735" i="1"/>
  <c r="A736" i="1"/>
  <c r="B736" i="1"/>
  <c r="C736" i="1"/>
  <c r="D736" i="1"/>
  <c r="E736" i="1"/>
  <c r="F736" i="1"/>
  <c r="G736" i="1"/>
  <c r="I736" i="1"/>
  <c r="J736" i="1"/>
  <c r="K736" i="1"/>
  <c r="L736" i="1"/>
  <c r="M736" i="1"/>
  <c r="N736" i="1"/>
  <c r="O736" i="1"/>
  <c r="P736" i="1"/>
  <c r="Q736" i="1"/>
  <c r="R736" i="1"/>
  <c r="S736" i="1"/>
  <c r="T736" i="1"/>
  <c r="U736" i="1"/>
  <c r="V736" i="1"/>
  <c r="W736" i="1"/>
  <c r="X736" i="1"/>
  <c r="Y736" i="1"/>
  <c r="Z736" i="1"/>
  <c r="A737" i="1"/>
  <c r="B737" i="1"/>
  <c r="C737" i="1"/>
  <c r="D737" i="1"/>
  <c r="E737" i="1"/>
  <c r="F737" i="1"/>
  <c r="G737" i="1"/>
  <c r="I737" i="1"/>
  <c r="J737" i="1"/>
  <c r="K737" i="1"/>
  <c r="L737" i="1"/>
  <c r="M737" i="1"/>
  <c r="N737" i="1"/>
  <c r="O737" i="1"/>
  <c r="P737" i="1"/>
  <c r="Q737" i="1"/>
  <c r="R737" i="1"/>
  <c r="S737" i="1"/>
  <c r="T737" i="1"/>
  <c r="U737" i="1"/>
  <c r="V737" i="1"/>
  <c r="W737" i="1"/>
  <c r="X737" i="1"/>
  <c r="Y737" i="1"/>
  <c r="Z737" i="1"/>
  <c r="A738" i="1"/>
  <c r="B738" i="1"/>
  <c r="C738" i="1"/>
  <c r="D738" i="1"/>
  <c r="E738" i="1"/>
  <c r="F738" i="1"/>
  <c r="G738" i="1"/>
  <c r="I738" i="1"/>
  <c r="J738" i="1"/>
  <c r="K738" i="1"/>
  <c r="L738" i="1"/>
  <c r="M738" i="1"/>
  <c r="N738" i="1"/>
  <c r="O738" i="1"/>
  <c r="P738" i="1"/>
  <c r="Q738" i="1"/>
  <c r="R738" i="1"/>
  <c r="S738" i="1"/>
  <c r="T738" i="1"/>
  <c r="U738" i="1"/>
  <c r="V738" i="1"/>
  <c r="W738" i="1"/>
  <c r="X738" i="1"/>
  <c r="Y738" i="1"/>
  <c r="Z738" i="1"/>
  <c r="A739" i="1"/>
  <c r="B739" i="1"/>
  <c r="C739" i="1"/>
  <c r="D739" i="1"/>
  <c r="E739" i="1"/>
  <c r="F739" i="1"/>
  <c r="G739" i="1"/>
  <c r="I739" i="1"/>
  <c r="J739" i="1"/>
  <c r="K739" i="1"/>
  <c r="L739" i="1"/>
  <c r="M739" i="1"/>
  <c r="N739" i="1"/>
  <c r="O739" i="1"/>
  <c r="P739" i="1"/>
  <c r="Q739" i="1"/>
  <c r="R739" i="1"/>
  <c r="S739" i="1"/>
  <c r="T739" i="1"/>
  <c r="U739" i="1"/>
  <c r="V739" i="1"/>
  <c r="W739" i="1"/>
  <c r="X739" i="1"/>
  <c r="Y739" i="1"/>
  <c r="Z739" i="1"/>
  <c r="A740" i="1"/>
  <c r="B740" i="1"/>
  <c r="C740" i="1"/>
  <c r="D740" i="1"/>
  <c r="E740" i="1"/>
  <c r="F740" i="1"/>
  <c r="G740" i="1"/>
  <c r="I740" i="1"/>
  <c r="J740" i="1"/>
  <c r="K740" i="1"/>
  <c r="L740" i="1"/>
  <c r="M740" i="1"/>
  <c r="N740" i="1"/>
  <c r="O740" i="1"/>
  <c r="P740" i="1"/>
  <c r="Q740" i="1"/>
  <c r="R740" i="1"/>
  <c r="S740" i="1"/>
  <c r="T740" i="1"/>
  <c r="U740" i="1"/>
  <c r="V740" i="1"/>
  <c r="W740" i="1"/>
  <c r="X740" i="1"/>
  <c r="Y740" i="1"/>
  <c r="Z740" i="1"/>
  <c r="A741" i="1"/>
  <c r="B741" i="1"/>
  <c r="C741" i="1"/>
  <c r="D741" i="1"/>
  <c r="E741" i="1"/>
  <c r="F741" i="1"/>
  <c r="G741" i="1"/>
  <c r="I741" i="1"/>
  <c r="J741" i="1"/>
  <c r="K741" i="1"/>
  <c r="L741" i="1"/>
  <c r="M741" i="1"/>
  <c r="N741" i="1"/>
  <c r="O741" i="1"/>
  <c r="P741" i="1"/>
  <c r="Q741" i="1"/>
  <c r="R741" i="1"/>
  <c r="S741" i="1"/>
  <c r="T741" i="1"/>
  <c r="U741" i="1"/>
  <c r="V741" i="1"/>
  <c r="W741" i="1"/>
  <c r="X741" i="1"/>
  <c r="Y741" i="1"/>
  <c r="Z741" i="1"/>
  <c r="A742" i="1"/>
  <c r="B742" i="1"/>
  <c r="C742" i="1"/>
  <c r="D742" i="1"/>
  <c r="E742" i="1"/>
  <c r="F742" i="1"/>
  <c r="G742" i="1"/>
  <c r="I742" i="1"/>
  <c r="J742" i="1"/>
  <c r="K742" i="1"/>
  <c r="L742" i="1"/>
  <c r="M742" i="1"/>
  <c r="N742" i="1"/>
  <c r="O742" i="1"/>
  <c r="P742" i="1"/>
  <c r="Q742" i="1"/>
  <c r="R742" i="1"/>
  <c r="S742" i="1"/>
  <c r="T742" i="1"/>
  <c r="U742" i="1"/>
  <c r="V742" i="1"/>
  <c r="W742" i="1"/>
  <c r="X742" i="1"/>
  <c r="Y742" i="1"/>
  <c r="Z742" i="1"/>
  <c r="A743" i="1"/>
  <c r="B743" i="1"/>
  <c r="C743" i="1"/>
  <c r="D743" i="1"/>
  <c r="E743" i="1"/>
  <c r="F743" i="1"/>
  <c r="G743" i="1"/>
  <c r="I743" i="1"/>
  <c r="J743" i="1"/>
  <c r="K743" i="1"/>
  <c r="L743" i="1"/>
  <c r="M743" i="1"/>
  <c r="N743" i="1"/>
  <c r="O743" i="1"/>
  <c r="P743" i="1"/>
  <c r="Q743" i="1"/>
  <c r="R743" i="1"/>
  <c r="S743" i="1"/>
  <c r="T743" i="1"/>
  <c r="U743" i="1"/>
  <c r="V743" i="1"/>
  <c r="W743" i="1"/>
  <c r="X743" i="1"/>
  <c r="Y743" i="1"/>
  <c r="Z743" i="1"/>
  <c r="A744" i="1"/>
  <c r="B744" i="1"/>
  <c r="C744" i="1"/>
  <c r="D744" i="1"/>
  <c r="E744" i="1"/>
  <c r="F744" i="1"/>
  <c r="G744" i="1"/>
  <c r="I744" i="1"/>
  <c r="J744" i="1"/>
  <c r="K744" i="1"/>
  <c r="L744" i="1"/>
  <c r="M744" i="1"/>
  <c r="N744" i="1"/>
  <c r="O744" i="1"/>
  <c r="P744" i="1"/>
  <c r="Q744" i="1"/>
  <c r="R744" i="1"/>
  <c r="S744" i="1"/>
  <c r="T744" i="1"/>
  <c r="U744" i="1"/>
  <c r="V744" i="1"/>
  <c r="W744" i="1"/>
  <c r="X744" i="1"/>
  <c r="Y744" i="1"/>
  <c r="Z744" i="1"/>
  <c r="A745" i="1"/>
  <c r="B745" i="1"/>
  <c r="C745" i="1"/>
  <c r="D745" i="1"/>
  <c r="E745" i="1"/>
  <c r="F745" i="1"/>
  <c r="G745" i="1"/>
  <c r="I745" i="1"/>
  <c r="J745" i="1"/>
  <c r="K745" i="1"/>
  <c r="L745" i="1"/>
  <c r="M745" i="1"/>
  <c r="N745" i="1"/>
  <c r="O745" i="1"/>
  <c r="P745" i="1"/>
  <c r="Q745" i="1"/>
  <c r="R745" i="1"/>
  <c r="S745" i="1"/>
  <c r="T745" i="1"/>
  <c r="U745" i="1"/>
  <c r="V745" i="1"/>
  <c r="W745" i="1"/>
  <c r="X745" i="1"/>
  <c r="Y745" i="1"/>
  <c r="Z745" i="1"/>
  <c r="A746" i="1"/>
  <c r="B746" i="1"/>
  <c r="C746" i="1"/>
  <c r="D746" i="1"/>
  <c r="E746" i="1"/>
  <c r="F746" i="1"/>
  <c r="G746" i="1"/>
  <c r="I746" i="1"/>
  <c r="J746" i="1"/>
  <c r="K746" i="1"/>
  <c r="L746" i="1"/>
  <c r="M746" i="1"/>
  <c r="N746" i="1"/>
  <c r="O746" i="1"/>
  <c r="P746" i="1"/>
  <c r="Q746" i="1"/>
  <c r="R746" i="1"/>
  <c r="S746" i="1"/>
  <c r="T746" i="1"/>
  <c r="U746" i="1"/>
  <c r="V746" i="1"/>
  <c r="W746" i="1"/>
  <c r="X746" i="1"/>
  <c r="Y746" i="1"/>
  <c r="Z746" i="1"/>
  <c r="A747" i="1"/>
  <c r="B747" i="1"/>
  <c r="C747" i="1"/>
  <c r="D747" i="1"/>
  <c r="E747" i="1"/>
  <c r="F747" i="1"/>
  <c r="G747" i="1"/>
  <c r="I747" i="1"/>
  <c r="J747" i="1"/>
  <c r="K747" i="1"/>
  <c r="L747" i="1"/>
  <c r="M747" i="1"/>
  <c r="N747" i="1"/>
  <c r="O747" i="1"/>
  <c r="P747" i="1"/>
  <c r="Q747" i="1"/>
  <c r="R747" i="1"/>
  <c r="S747" i="1"/>
  <c r="T747" i="1"/>
  <c r="U747" i="1"/>
  <c r="V747" i="1"/>
  <c r="W747" i="1"/>
  <c r="X747" i="1"/>
  <c r="Y747" i="1"/>
  <c r="Z747" i="1"/>
  <c r="A748" i="1"/>
  <c r="B748" i="1"/>
  <c r="C748" i="1"/>
  <c r="D748" i="1"/>
  <c r="E748" i="1"/>
  <c r="F748" i="1"/>
  <c r="G748" i="1"/>
  <c r="I748" i="1"/>
  <c r="J748" i="1"/>
  <c r="K748" i="1"/>
  <c r="L748" i="1"/>
  <c r="M748" i="1"/>
  <c r="N748" i="1"/>
  <c r="O748" i="1"/>
  <c r="P748" i="1"/>
  <c r="Q748" i="1"/>
  <c r="R748" i="1"/>
  <c r="S748" i="1"/>
  <c r="T748" i="1"/>
  <c r="U748" i="1"/>
  <c r="V748" i="1"/>
  <c r="W748" i="1"/>
  <c r="X748" i="1"/>
  <c r="Y748" i="1"/>
  <c r="Z748" i="1"/>
  <c r="A749" i="1"/>
  <c r="B749" i="1"/>
  <c r="C749" i="1"/>
  <c r="D749" i="1"/>
  <c r="E749" i="1"/>
  <c r="F749" i="1"/>
  <c r="G749" i="1"/>
  <c r="I749" i="1"/>
  <c r="J749" i="1"/>
  <c r="K749" i="1"/>
  <c r="L749" i="1"/>
  <c r="M749" i="1"/>
  <c r="N749" i="1"/>
  <c r="O749" i="1"/>
  <c r="P749" i="1"/>
  <c r="Q749" i="1"/>
  <c r="R749" i="1"/>
  <c r="S749" i="1"/>
  <c r="T749" i="1"/>
  <c r="U749" i="1"/>
  <c r="V749" i="1"/>
  <c r="W749" i="1"/>
  <c r="X749" i="1"/>
  <c r="Y749" i="1"/>
  <c r="Z749" i="1"/>
  <c r="A750" i="1"/>
  <c r="B750" i="1"/>
  <c r="C750" i="1"/>
  <c r="D750" i="1"/>
  <c r="E750" i="1"/>
  <c r="F750" i="1"/>
  <c r="G750" i="1"/>
  <c r="I750" i="1"/>
  <c r="J750" i="1"/>
  <c r="K750" i="1"/>
  <c r="L750" i="1"/>
  <c r="M750" i="1"/>
  <c r="N750" i="1"/>
  <c r="O750" i="1"/>
  <c r="P750" i="1"/>
  <c r="Q750" i="1"/>
  <c r="R750" i="1"/>
  <c r="S750" i="1"/>
  <c r="T750" i="1"/>
  <c r="U750" i="1"/>
  <c r="V750" i="1"/>
  <c r="W750" i="1"/>
  <c r="X750" i="1"/>
  <c r="Y750" i="1"/>
  <c r="Z750" i="1"/>
  <c r="A751" i="1"/>
  <c r="B751" i="1"/>
  <c r="C751" i="1"/>
  <c r="D751" i="1"/>
  <c r="E751" i="1"/>
  <c r="F751" i="1"/>
  <c r="G751" i="1"/>
  <c r="I751" i="1"/>
  <c r="J751" i="1"/>
  <c r="K751" i="1"/>
  <c r="L751" i="1"/>
  <c r="M751" i="1"/>
  <c r="N751" i="1"/>
  <c r="O751" i="1"/>
  <c r="P751" i="1"/>
  <c r="Q751" i="1"/>
  <c r="R751" i="1"/>
  <c r="S751" i="1"/>
  <c r="T751" i="1"/>
  <c r="U751" i="1"/>
  <c r="V751" i="1"/>
  <c r="W751" i="1"/>
  <c r="X751" i="1"/>
  <c r="Y751" i="1"/>
  <c r="Z751" i="1"/>
  <c r="A752" i="1"/>
  <c r="B752" i="1"/>
  <c r="C752" i="1"/>
  <c r="D752" i="1"/>
  <c r="E752" i="1"/>
  <c r="F752" i="1"/>
  <c r="G752" i="1"/>
  <c r="I752" i="1"/>
  <c r="J752" i="1"/>
  <c r="K752" i="1"/>
  <c r="L752" i="1"/>
  <c r="M752" i="1"/>
  <c r="N752" i="1"/>
  <c r="O752" i="1"/>
  <c r="P752" i="1"/>
  <c r="Q752" i="1"/>
  <c r="R752" i="1"/>
  <c r="S752" i="1"/>
  <c r="T752" i="1"/>
  <c r="U752" i="1"/>
  <c r="V752" i="1"/>
  <c r="W752" i="1"/>
  <c r="X752" i="1"/>
  <c r="Y752" i="1"/>
  <c r="Z752" i="1"/>
  <c r="A753" i="1"/>
  <c r="B753" i="1"/>
  <c r="C753" i="1"/>
  <c r="D753" i="1"/>
  <c r="E753" i="1"/>
  <c r="F753" i="1"/>
  <c r="G753" i="1"/>
  <c r="I753" i="1"/>
  <c r="J753" i="1"/>
  <c r="K753" i="1"/>
  <c r="L753" i="1"/>
  <c r="M753" i="1"/>
  <c r="N753" i="1"/>
  <c r="O753" i="1"/>
  <c r="P753" i="1"/>
  <c r="Q753" i="1"/>
  <c r="R753" i="1"/>
  <c r="S753" i="1"/>
  <c r="T753" i="1"/>
  <c r="U753" i="1"/>
  <c r="V753" i="1"/>
  <c r="W753" i="1"/>
  <c r="X753" i="1"/>
  <c r="Y753" i="1"/>
  <c r="Z753" i="1"/>
  <c r="A754" i="1"/>
  <c r="B754" i="1"/>
  <c r="C754" i="1"/>
  <c r="D754" i="1"/>
  <c r="E754" i="1"/>
  <c r="F754" i="1"/>
  <c r="G754" i="1"/>
  <c r="I754" i="1"/>
  <c r="J754" i="1"/>
  <c r="K754" i="1"/>
  <c r="L754" i="1"/>
  <c r="M754" i="1"/>
  <c r="N754" i="1"/>
  <c r="O754" i="1"/>
  <c r="P754" i="1"/>
  <c r="Q754" i="1"/>
  <c r="R754" i="1"/>
  <c r="S754" i="1"/>
  <c r="T754" i="1"/>
  <c r="U754" i="1"/>
  <c r="V754" i="1"/>
  <c r="W754" i="1"/>
  <c r="X754" i="1"/>
  <c r="Y754" i="1"/>
  <c r="Z754" i="1"/>
  <c r="A755" i="1"/>
  <c r="B755" i="1"/>
  <c r="C755" i="1"/>
  <c r="D755" i="1"/>
  <c r="E755" i="1"/>
  <c r="F755" i="1"/>
  <c r="G755" i="1"/>
  <c r="I755" i="1"/>
  <c r="J755" i="1"/>
  <c r="K755" i="1"/>
  <c r="L755" i="1"/>
  <c r="M755" i="1"/>
  <c r="N755" i="1"/>
  <c r="O755" i="1"/>
  <c r="P755" i="1"/>
  <c r="Q755" i="1"/>
  <c r="R755" i="1"/>
  <c r="S755" i="1"/>
  <c r="T755" i="1"/>
  <c r="U755" i="1"/>
  <c r="V755" i="1"/>
  <c r="W755" i="1"/>
  <c r="X755" i="1"/>
  <c r="Y755" i="1"/>
  <c r="Z755" i="1"/>
  <c r="A756" i="1"/>
  <c r="B756" i="1"/>
  <c r="C756" i="1"/>
  <c r="D756" i="1"/>
  <c r="E756" i="1"/>
  <c r="F756" i="1"/>
  <c r="G756" i="1"/>
  <c r="I756" i="1"/>
  <c r="J756" i="1"/>
  <c r="K756" i="1"/>
  <c r="L756" i="1"/>
  <c r="M756" i="1"/>
  <c r="N756" i="1"/>
  <c r="O756" i="1"/>
  <c r="P756" i="1"/>
  <c r="Q756" i="1"/>
  <c r="R756" i="1"/>
  <c r="S756" i="1"/>
  <c r="T756" i="1"/>
  <c r="U756" i="1"/>
  <c r="V756" i="1"/>
  <c r="W756" i="1"/>
  <c r="X756" i="1"/>
  <c r="Y756" i="1"/>
  <c r="Z756" i="1"/>
  <c r="A757" i="1"/>
  <c r="B757" i="1"/>
  <c r="C757" i="1"/>
  <c r="D757" i="1"/>
  <c r="E757" i="1"/>
  <c r="F757" i="1"/>
  <c r="G757" i="1"/>
  <c r="I757" i="1"/>
  <c r="J757" i="1"/>
  <c r="K757" i="1"/>
  <c r="L757" i="1"/>
  <c r="M757" i="1"/>
  <c r="N757" i="1"/>
  <c r="O757" i="1"/>
  <c r="P757" i="1"/>
  <c r="Q757" i="1"/>
  <c r="R757" i="1"/>
  <c r="S757" i="1"/>
  <c r="T757" i="1"/>
  <c r="U757" i="1"/>
  <c r="V757" i="1"/>
  <c r="W757" i="1"/>
  <c r="X757" i="1"/>
  <c r="Y757" i="1"/>
  <c r="Z757" i="1"/>
  <c r="A758" i="1"/>
  <c r="B758" i="1"/>
  <c r="C758" i="1"/>
  <c r="D758" i="1"/>
  <c r="E758" i="1"/>
  <c r="F758" i="1"/>
  <c r="G758" i="1"/>
  <c r="I758" i="1"/>
  <c r="J758" i="1"/>
  <c r="K758" i="1"/>
  <c r="L758" i="1"/>
  <c r="M758" i="1"/>
  <c r="N758" i="1"/>
  <c r="O758" i="1"/>
  <c r="P758" i="1"/>
  <c r="Q758" i="1"/>
  <c r="R758" i="1"/>
  <c r="S758" i="1"/>
  <c r="T758" i="1"/>
  <c r="U758" i="1"/>
  <c r="V758" i="1"/>
  <c r="W758" i="1"/>
  <c r="X758" i="1"/>
  <c r="Y758" i="1"/>
  <c r="Z758" i="1"/>
  <c r="A759" i="1"/>
  <c r="B759" i="1"/>
  <c r="C759" i="1"/>
  <c r="D759" i="1"/>
  <c r="E759" i="1"/>
  <c r="F759" i="1"/>
  <c r="G759" i="1"/>
  <c r="I759" i="1"/>
  <c r="J759" i="1"/>
  <c r="K759" i="1"/>
  <c r="L759" i="1"/>
  <c r="M759" i="1"/>
  <c r="N759" i="1"/>
  <c r="O759" i="1"/>
  <c r="P759" i="1"/>
  <c r="Q759" i="1"/>
  <c r="R759" i="1"/>
  <c r="S759" i="1"/>
  <c r="T759" i="1"/>
  <c r="U759" i="1"/>
  <c r="V759" i="1"/>
  <c r="W759" i="1"/>
  <c r="X759" i="1"/>
  <c r="Y759" i="1"/>
  <c r="Z759" i="1"/>
  <c r="A760" i="1"/>
  <c r="B760" i="1"/>
  <c r="C760" i="1"/>
  <c r="D760" i="1"/>
  <c r="E760" i="1"/>
  <c r="F760" i="1"/>
  <c r="G760" i="1"/>
  <c r="I760" i="1"/>
  <c r="J760" i="1"/>
  <c r="K760" i="1"/>
  <c r="L760" i="1"/>
  <c r="M760" i="1"/>
  <c r="N760" i="1"/>
  <c r="O760" i="1"/>
  <c r="P760" i="1"/>
  <c r="Q760" i="1"/>
  <c r="R760" i="1"/>
  <c r="S760" i="1"/>
  <c r="T760" i="1"/>
  <c r="U760" i="1"/>
  <c r="V760" i="1"/>
  <c r="W760" i="1"/>
  <c r="X760" i="1"/>
  <c r="Y760" i="1"/>
  <c r="Z760" i="1"/>
  <c r="A761" i="1"/>
  <c r="B761" i="1"/>
  <c r="C761" i="1"/>
  <c r="D761" i="1"/>
  <c r="E761" i="1"/>
  <c r="F761" i="1"/>
  <c r="G761" i="1"/>
  <c r="I761" i="1"/>
  <c r="J761" i="1"/>
  <c r="K761" i="1"/>
  <c r="L761" i="1"/>
  <c r="M761" i="1"/>
  <c r="N761" i="1"/>
  <c r="O761" i="1"/>
  <c r="P761" i="1"/>
  <c r="Q761" i="1"/>
  <c r="R761" i="1"/>
  <c r="S761" i="1"/>
  <c r="T761" i="1"/>
  <c r="U761" i="1"/>
  <c r="V761" i="1"/>
  <c r="W761" i="1"/>
  <c r="X761" i="1"/>
  <c r="Y761" i="1"/>
  <c r="Z761" i="1"/>
  <c r="A762" i="1"/>
  <c r="B762" i="1"/>
  <c r="C762" i="1"/>
  <c r="D762" i="1"/>
  <c r="E762" i="1"/>
  <c r="F762" i="1"/>
  <c r="G762" i="1"/>
  <c r="I762" i="1"/>
  <c r="J762" i="1"/>
  <c r="K762" i="1"/>
  <c r="L762" i="1"/>
  <c r="M762" i="1"/>
  <c r="N762" i="1"/>
  <c r="O762" i="1"/>
  <c r="P762" i="1"/>
  <c r="Q762" i="1"/>
  <c r="R762" i="1"/>
  <c r="S762" i="1"/>
  <c r="T762" i="1"/>
  <c r="U762" i="1"/>
  <c r="V762" i="1"/>
  <c r="W762" i="1"/>
  <c r="X762" i="1"/>
  <c r="Y762" i="1"/>
  <c r="Z762" i="1"/>
  <c r="A763" i="1"/>
  <c r="B763" i="1"/>
  <c r="C763" i="1"/>
  <c r="D763" i="1"/>
  <c r="E763" i="1"/>
  <c r="F763" i="1"/>
  <c r="G763" i="1"/>
  <c r="I763" i="1"/>
  <c r="J763" i="1"/>
  <c r="K763" i="1"/>
  <c r="L763" i="1"/>
  <c r="M763" i="1"/>
  <c r="N763" i="1"/>
  <c r="O763" i="1"/>
  <c r="P763" i="1"/>
  <c r="Q763" i="1"/>
  <c r="R763" i="1"/>
  <c r="S763" i="1"/>
  <c r="T763" i="1"/>
  <c r="U763" i="1"/>
  <c r="V763" i="1"/>
  <c r="W763" i="1"/>
  <c r="X763" i="1"/>
  <c r="Y763" i="1"/>
  <c r="Z763" i="1"/>
  <c r="A764" i="1"/>
  <c r="B764" i="1"/>
  <c r="C764" i="1"/>
  <c r="D764" i="1"/>
  <c r="E764" i="1"/>
  <c r="F764" i="1"/>
  <c r="G764" i="1"/>
  <c r="I764" i="1"/>
  <c r="J764" i="1"/>
  <c r="K764" i="1"/>
  <c r="L764" i="1"/>
  <c r="M764" i="1"/>
  <c r="N764" i="1"/>
  <c r="O764" i="1"/>
  <c r="P764" i="1"/>
  <c r="Q764" i="1"/>
  <c r="R764" i="1"/>
  <c r="S764" i="1"/>
  <c r="T764" i="1"/>
  <c r="U764" i="1"/>
  <c r="V764" i="1"/>
  <c r="W764" i="1"/>
  <c r="X764" i="1"/>
  <c r="Y764" i="1"/>
  <c r="Z764" i="1"/>
  <c r="A765" i="1"/>
  <c r="B765" i="1"/>
  <c r="C765" i="1"/>
  <c r="D765" i="1"/>
  <c r="E765" i="1"/>
  <c r="F765" i="1"/>
  <c r="G765" i="1"/>
  <c r="I765" i="1"/>
  <c r="J765" i="1"/>
  <c r="K765" i="1"/>
  <c r="L765" i="1"/>
  <c r="M765" i="1"/>
  <c r="N765" i="1"/>
  <c r="O765" i="1"/>
  <c r="P765" i="1"/>
  <c r="Q765" i="1"/>
  <c r="R765" i="1"/>
  <c r="S765" i="1"/>
  <c r="T765" i="1"/>
  <c r="U765" i="1"/>
  <c r="V765" i="1"/>
  <c r="W765" i="1"/>
  <c r="X765" i="1"/>
  <c r="Y765" i="1"/>
  <c r="Z765" i="1"/>
  <c r="A766" i="1"/>
  <c r="B766" i="1"/>
  <c r="C766" i="1"/>
  <c r="D766" i="1"/>
  <c r="E766" i="1"/>
  <c r="F766" i="1"/>
  <c r="G766" i="1"/>
  <c r="I766" i="1"/>
  <c r="J766" i="1"/>
  <c r="K766" i="1"/>
  <c r="L766" i="1"/>
  <c r="M766" i="1"/>
  <c r="N766" i="1"/>
  <c r="O766" i="1"/>
  <c r="P766" i="1"/>
  <c r="Q766" i="1"/>
  <c r="R766" i="1"/>
  <c r="S766" i="1"/>
  <c r="T766" i="1"/>
  <c r="U766" i="1"/>
  <c r="V766" i="1"/>
  <c r="W766" i="1"/>
  <c r="X766" i="1"/>
  <c r="Y766" i="1"/>
  <c r="Z766" i="1"/>
  <c r="A767" i="1"/>
  <c r="B767" i="1"/>
  <c r="C767" i="1"/>
  <c r="D767" i="1"/>
  <c r="E767" i="1"/>
  <c r="F767" i="1"/>
  <c r="G767" i="1"/>
  <c r="I767" i="1"/>
  <c r="J767" i="1"/>
  <c r="K767" i="1"/>
  <c r="L767" i="1"/>
  <c r="M767" i="1"/>
  <c r="N767" i="1"/>
  <c r="O767" i="1"/>
  <c r="P767" i="1"/>
  <c r="Q767" i="1"/>
  <c r="R767" i="1"/>
  <c r="S767" i="1"/>
  <c r="T767" i="1"/>
  <c r="U767" i="1"/>
  <c r="V767" i="1"/>
  <c r="W767" i="1"/>
  <c r="X767" i="1"/>
  <c r="Y767" i="1"/>
  <c r="Z767" i="1"/>
  <c r="A768" i="1"/>
  <c r="B768" i="1"/>
  <c r="C768" i="1"/>
  <c r="D768" i="1"/>
  <c r="E768" i="1"/>
  <c r="F768" i="1"/>
  <c r="G768" i="1"/>
  <c r="I768" i="1"/>
  <c r="J768" i="1"/>
  <c r="K768" i="1"/>
  <c r="L768" i="1"/>
  <c r="M768" i="1"/>
  <c r="N768" i="1"/>
  <c r="O768" i="1"/>
  <c r="P768" i="1"/>
  <c r="Q768" i="1"/>
  <c r="R768" i="1"/>
  <c r="S768" i="1"/>
  <c r="T768" i="1"/>
  <c r="U768" i="1"/>
  <c r="V768" i="1"/>
  <c r="W768" i="1"/>
  <c r="X768" i="1"/>
  <c r="Y768" i="1"/>
  <c r="Z768" i="1"/>
  <c r="A769" i="1"/>
  <c r="B769" i="1"/>
  <c r="C769" i="1"/>
  <c r="D769" i="1"/>
  <c r="E769" i="1"/>
  <c r="F769" i="1"/>
  <c r="G769" i="1"/>
  <c r="I769" i="1"/>
  <c r="J769" i="1"/>
  <c r="K769" i="1"/>
  <c r="L769" i="1"/>
  <c r="M769" i="1"/>
  <c r="N769" i="1"/>
  <c r="O769" i="1"/>
  <c r="P769" i="1"/>
  <c r="Q769" i="1"/>
  <c r="R769" i="1"/>
  <c r="S769" i="1"/>
  <c r="T769" i="1"/>
  <c r="U769" i="1"/>
  <c r="V769" i="1"/>
  <c r="W769" i="1"/>
  <c r="X769" i="1"/>
  <c r="Y769" i="1"/>
  <c r="Z769" i="1"/>
  <c r="A770" i="1"/>
  <c r="B770" i="1"/>
  <c r="C770" i="1"/>
  <c r="D770" i="1"/>
  <c r="E770" i="1"/>
  <c r="F770" i="1"/>
  <c r="G770" i="1"/>
  <c r="I770" i="1"/>
  <c r="J770" i="1"/>
  <c r="K770" i="1"/>
  <c r="L770" i="1"/>
  <c r="M770" i="1"/>
  <c r="N770" i="1"/>
  <c r="O770" i="1"/>
  <c r="P770" i="1"/>
  <c r="Q770" i="1"/>
  <c r="R770" i="1"/>
  <c r="S770" i="1"/>
  <c r="T770" i="1"/>
  <c r="U770" i="1"/>
  <c r="V770" i="1"/>
  <c r="W770" i="1"/>
  <c r="X770" i="1"/>
  <c r="Y770" i="1"/>
  <c r="Z770" i="1"/>
  <c r="A771" i="1"/>
  <c r="B771" i="1"/>
  <c r="C771" i="1"/>
  <c r="D771" i="1"/>
  <c r="E771" i="1"/>
  <c r="F771" i="1"/>
  <c r="G771" i="1"/>
  <c r="I771" i="1"/>
  <c r="J771" i="1"/>
  <c r="K771" i="1"/>
  <c r="L771" i="1"/>
  <c r="M771" i="1"/>
  <c r="N771" i="1"/>
  <c r="O771" i="1"/>
  <c r="P771" i="1"/>
  <c r="Q771" i="1"/>
  <c r="R771" i="1"/>
  <c r="S771" i="1"/>
  <c r="T771" i="1"/>
  <c r="U771" i="1"/>
  <c r="V771" i="1"/>
  <c r="W771" i="1"/>
  <c r="X771" i="1"/>
  <c r="Y771" i="1"/>
  <c r="Z771" i="1"/>
  <c r="A772" i="1"/>
  <c r="B772" i="1"/>
  <c r="C772" i="1"/>
  <c r="D772" i="1"/>
  <c r="E772" i="1"/>
  <c r="F772" i="1"/>
  <c r="G772" i="1"/>
  <c r="I772" i="1"/>
  <c r="J772" i="1"/>
  <c r="K772" i="1"/>
  <c r="L772" i="1"/>
  <c r="M772" i="1"/>
  <c r="N772" i="1"/>
  <c r="O772" i="1"/>
  <c r="P772" i="1"/>
  <c r="Q772" i="1"/>
  <c r="R772" i="1"/>
  <c r="S772" i="1"/>
  <c r="T772" i="1"/>
  <c r="U772" i="1"/>
  <c r="V772" i="1"/>
  <c r="W772" i="1"/>
  <c r="X772" i="1"/>
  <c r="Y772" i="1"/>
  <c r="Z772" i="1"/>
  <c r="A773" i="1"/>
  <c r="B773" i="1"/>
  <c r="C773" i="1"/>
  <c r="D773" i="1"/>
  <c r="E773" i="1"/>
  <c r="F773" i="1"/>
  <c r="G773" i="1"/>
  <c r="I773" i="1"/>
  <c r="J773" i="1"/>
  <c r="K773" i="1"/>
  <c r="L773" i="1"/>
  <c r="M773" i="1"/>
  <c r="N773" i="1"/>
  <c r="O773" i="1"/>
  <c r="P773" i="1"/>
  <c r="Q773" i="1"/>
  <c r="R773" i="1"/>
  <c r="S773" i="1"/>
  <c r="T773" i="1"/>
  <c r="U773" i="1"/>
  <c r="V773" i="1"/>
  <c r="W773" i="1"/>
  <c r="X773" i="1"/>
  <c r="Y773" i="1"/>
  <c r="Z773" i="1"/>
  <c r="A774" i="1"/>
  <c r="B774" i="1"/>
  <c r="C774" i="1"/>
  <c r="D774" i="1"/>
  <c r="E774" i="1"/>
  <c r="F774" i="1"/>
  <c r="G774" i="1"/>
  <c r="I774" i="1"/>
  <c r="J774" i="1"/>
  <c r="K774" i="1"/>
  <c r="L774" i="1"/>
  <c r="M774" i="1"/>
  <c r="N774" i="1"/>
  <c r="O774" i="1"/>
  <c r="P774" i="1"/>
  <c r="Q774" i="1"/>
  <c r="R774" i="1"/>
  <c r="S774" i="1"/>
  <c r="T774" i="1"/>
  <c r="U774" i="1"/>
  <c r="V774" i="1"/>
  <c r="W774" i="1"/>
  <c r="X774" i="1"/>
  <c r="Y774" i="1"/>
  <c r="Z774" i="1"/>
  <c r="A775" i="1"/>
  <c r="B775" i="1"/>
  <c r="C775" i="1"/>
  <c r="D775" i="1"/>
  <c r="E775" i="1"/>
  <c r="F775" i="1"/>
  <c r="G775" i="1"/>
  <c r="I775" i="1"/>
  <c r="J775" i="1"/>
  <c r="K775" i="1"/>
  <c r="L775" i="1"/>
  <c r="M775" i="1"/>
  <c r="N775" i="1"/>
  <c r="O775" i="1"/>
  <c r="P775" i="1"/>
  <c r="Q775" i="1"/>
  <c r="R775" i="1"/>
  <c r="S775" i="1"/>
  <c r="T775" i="1"/>
  <c r="U775" i="1"/>
  <c r="V775" i="1"/>
  <c r="W775" i="1"/>
  <c r="X775" i="1"/>
  <c r="Y775" i="1"/>
  <c r="Z775" i="1"/>
  <c r="A776" i="1"/>
  <c r="B776" i="1"/>
  <c r="C776" i="1"/>
  <c r="D776" i="1"/>
  <c r="E776" i="1"/>
  <c r="F776" i="1"/>
  <c r="G776" i="1"/>
  <c r="I776" i="1"/>
  <c r="J776" i="1"/>
  <c r="K776" i="1"/>
  <c r="L776" i="1"/>
  <c r="M776" i="1"/>
  <c r="N776" i="1"/>
  <c r="O776" i="1"/>
  <c r="P776" i="1"/>
  <c r="Q776" i="1"/>
  <c r="R776" i="1"/>
  <c r="S776" i="1"/>
  <c r="T776" i="1"/>
  <c r="U776" i="1"/>
  <c r="V776" i="1"/>
  <c r="W776" i="1"/>
  <c r="X776" i="1"/>
  <c r="Y776" i="1"/>
  <c r="Z776" i="1"/>
  <c r="A777" i="1"/>
  <c r="B777" i="1"/>
  <c r="C777" i="1"/>
  <c r="D777" i="1"/>
  <c r="E777" i="1"/>
  <c r="F777" i="1"/>
  <c r="G777" i="1"/>
  <c r="I777" i="1"/>
  <c r="J777" i="1"/>
  <c r="K777" i="1"/>
  <c r="L777" i="1"/>
  <c r="M777" i="1"/>
  <c r="N777" i="1"/>
  <c r="O777" i="1"/>
  <c r="P777" i="1"/>
  <c r="Q777" i="1"/>
  <c r="R777" i="1"/>
  <c r="S777" i="1"/>
  <c r="T777" i="1"/>
  <c r="U777" i="1"/>
  <c r="V777" i="1"/>
  <c r="W777" i="1"/>
  <c r="X777" i="1"/>
  <c r="Y777" i="1"/>
  <c r="Z777" i="1"/>
  <c r="A778" i="1"/>
  <c r="B778" i="1"/>
  <c r="C778" i="1"/>
  <c r="D778" i="1"/>
  <c r="E778" i="1"/>
  <c r="F778" i="1"/>
  <c r="G778" i="1"/>
  <c r="I778" i="1"/>
  <c r="J778" i="1"/>
  <c r="K778" i="1"/>
  <c r="L778" i="1"/>
  <c r="M778" i="1"/>
  <c r="N778" i="1"/>
  <c r="O778" i="1"/>
  <c r="P778" i="1"/>
  <c r="Q778" i="1"/>
  <c r="R778" i="1"/>
  <c r="S778" i="1"/>
  <c r="T778" i="1"/>
  <c r="U778" i="1"/>
  <c r="V778" i="1"/>
  <c r="W778" i="1"/>
  <c r="X778" i="1"/>
  <c r="Y778" i="1"/>
  <c r="Z778" i="1"/>
  <c r="A779" i="1"/>
  <c r="B779" i="1"/>
  <c r="C779" i="1"/>
  <c r="D779" i="1"/>
  <c r="E779" i="1"/>
  <c r="F779" i="1"/>
  <c r="G779" i="1"/>
  <c r="I779" i="1"/>
  <c r="J779" i="1"/>
  <c r="K779" i="1"/>
  <c r="L779" i="1"/>
  <c r="M779" i="1"/>
  <c r="N779" i="1"/>
  <c r="O779" i="1"/>
  <c r="P779" i="1"/>
  <c r="Q779" i="1"/>
  <c r="R779" i="1"/>
  <c r="S779" i="1"/>
  <c r="T779" i="1"/>
  <c r="U779" i="1"/>
  <c r="V779" i="1"/>
  <c r="W779" i="1"/>
  <c r="X779" i="1"/>
  <c r="Y779" i="1"/>
  <c r="Z779" i="1"/>
  <c r="A780" i="1"/>
  <c r="B780" i="1"/>
  <c r="C780" i="1"/>
  <c r="D780" i="1"/>
  <c r="E780" i="1"/>
  <c r="F780" i="1"/>
  <c r="G780" i="1"/>
  <c r="I780" i="1"/>
  <c r="J780" i="1"/>
  <c r="K780" i="1"/>
  <c r="L780" i="1"/>
  <c r="M780" i="1"/>
  <c r="N780" i="1"/>
  <c r="O780" i="1"/>
  <c r="P780" i="1"/>
  <c r="Q780" i="1"/>
  <c r="R780" i="1"/>
  <c r="S780" i="1"/>
  <c r="T780" i="1"/>
  <c r="U780" i="1"/>
  <c r="V780" i="1"/>
  <c r="W780" i="1"/>
  <c r="X780" i="1"/>
  <c r="Y780" i="1"/>
  <c r="Z780" i="1"/>
  <c r="A781" i="1"/>
  <c r="B781" i="1"/>
  <c r="C781" i="1"/>
  <c r="D781" i="1"/>
  <c r="E781" i="1"/>
  <c r="F781" i="1"/>
  <c r="G781" i="1"/>
  <c r="I781" i="1"/>
  <c r="J781" i="1"/>
  <c r="K781" i="1"/>
  <c r="L781" i="1"/>
  <c r="M781" i="1"/>
  <c r="N781" i="1"/>
  <c r="O781" i="1"/>
  <c r="P781" i="1"/>
  <c r="Q781" i="1"/>
  <c r="R781" i="1"/>
  <c r="S781" i="1"/>
  <c r="T781" i="1"/>
  <c r="U781" i="1"/>
  <c r="V781" i="1"/>
  <c r="W781" i="1"/>
  <c r="X781" i="1"/>
  <c r="Y781" i="1"/>
  <c r="Z781" i="1"/>
  <c r="A782" i="1"/>
  <c r="B782" i="1"/>
  <c r="C782" i="1"/>
  <c r="D782" i="1"/>
  <c r="E782" i="1"/>
  <c r="F782" i="1"/>
  <c r="G782" i="1"/>
  <c r="I782" i="1"/>
  <c r="J782" i="1"/>
  <c r="K782" i="1"/>
  <c r="L782" i="1"/>
  <c r="M782" i="1"/>
  <c r="N782" i="1"/>
  <c r="O782" i="1"/>
  <c r="P782" i="1"/>
  <c r="Q782" i="1"/>
  <c r="R782" i="1"/>
  <c r="S782" i="1"/>
  <c r="T782" i="1"/>
  <c r="U782" i="1"/>
  <c r="V782" i="1"/>
  <c r="W782" i="1"/>
  <c r="X782" i="1"/>
  <c r="Y782" i="1"/>
  <c r="Z782" i="1"/>
  <c r="A783" i="1"/>
  <c r="B783" i="1"/>
  <c r="C783" i="1"/>
  <c r="D783" i="1"/>
  <c r="E783" i="1"/>
  <c r="F783" i="1"/>
  <c r="G783" i="1"/>
  <c r="I783" i="1"/>
  <c r="J783" i="1"/>
  <c r="K783" i="1"/>
  <c r="L783" i="1"/>
  <c r="M783" i="1"/>
  <c r="N783" i="1"/>
  <c r="O783" i="1"/>
  <c r="P783" i="1"/>
  <c r="Q783" i="1"/>
  <c r="R783" i="1"/>
  <c r="S783" i="1"/>
  <c r="T783" i="1"/>
  <c r="U783" i="1"/>
  <c r="V783" i="1"/>
  <c r="W783" i="1"/>
  <c r="X783" i="1"/>
  <c r="Y783" i="1"/>
  <c r="Z783" i="1"/>
  <c r="A784" i="1"/>
  <c r="B784" i="1"/>
  <c r="C784" i="1"/>
  <c r="D784" i="1"/>
  <c r="E784" i="1"/>
  <c r="F784" i="1"/>
  <c r="G784" i="1"/>
  <c r="I784" i="1"/>
  <c r="J784" i="1"/>
  <c r="K784" i="1"/>
  <c r="L784" i="1"/>
  <c r="M784" i="1"/>
  <c r="N784" i="1"/>
  <c r="O784" i="1"/>
  <c r="P784" i="1"/>
  <c r="Q784" i="1"/>
  <c r="R784" i="1"/>
  <c r="S784" i="1"/>
  <c r="T784" i="1"/>
  <c r="U784" i="1"/>
  <c r="V784" i="1"/>
  <c r="W784" i="1"/>
  <c r="X784" i="1"/>
  <c r="Y784" i="1"/>
  <c r="Z784" i="1"/>
  <c r="A785" i="1"/>
  <c r="B785" i="1"/>
  <c r="C785" i="1"/>
  <c r="D785" i="1"/>
  <c r="E785" i="1"/>
  <c r="F785" i="1"/>
  <c r="G785" i="1"/>
  <c r="I785" i="1"/>
  <c r="J785" i="1"/>
  <c r="K785" i="1"/>
  <c r="L785" i="1"/>
  <c r="M785" i="1"/>
  <c r="N785" i="1"/>
  <c r="O785" i="1"/>
  <c r="P785" i="1"/>
  <c r="Q785" i="1"/>
  <c r="R785" i="1"/>
  <c r="S785" i="1"/>
  <c r="T785" i="1"/>
  <c r="U785" i="1"/>
  <c r="V785" i="1"/>
  <c r="W785" i="1"/>
  <c r="X785" i="1"/>
  <c r="Y785" i="1"/>
  <c r="Z785" i="1"/>
  <c r="A786" i="1"/>
  <c r="B786" i="1"/>
  <c r="C786" i="1"/>
  <c r="D786" i="1"/>
  <c r="E786" i="1"/>
  <c r="F786" i="1"/>
  <c r="G786" i="1"/>
  <c r="I786" i="1"/>
  <c r="J786" i="1"/>
  <c r="K786" i="1"/>
  <c r="L786" i="1"/>
  <c r="M786" i="1"/>
  <c r="N786" i="1"/>
  <c r="O786" i="1"/>
  <c r="P786" i="1"/>
  <c r="Q786" i="1"/>
  <c r="R786" i="1"/>
  <c r="S786" i="1"/>
  <c r="T786" i="1"/>
  <c r="U786" i="1"/>
  <c r="V786" i="1"/>
  <c r="W786" i="1"/>
  <c r="X786" i="1"/>
  <c r="Y786" i="1"/>
  <c r="Z786" i="1"/>
  <c r="A787" i="1"/>
  <c r="B787" i="1"/>
  <c r="C787" i="1"/>
  <c r="D787" i="1"/>
  <c r="E787" i="1"/>
  <c r="F787" i="1"/>
  <c r="G787" i="1"/>
  <c r="I787" i="1"/>
  <c r="J787" i="1"/>
  <c r="K787" i="1"/>
  <c r="L787" i="1"/>
  <c r="M787" i="1"/>
  <c r="N787" i="1"/>
  <c r="O787" i="1"/>
  <c r="P787" i="1"/>
  <c r="Q787" i="1"/>
  <c r="R787" i="1"/>
  <c r="S787" i="1"/>
  <c r="T787" i="1"/>
  <c r="U787" i="1"/>
  <c r="V787" i="1"/>
  <c r="W787" i="1"/>
  <c r="X787" i="1"/>
  <c r="Y787" i="1"/>
  <c r="Z787" i="1"/>
  <c r="A788" i="1"/>
  <c r="B788" i="1"/>
  <c r="C788" i="1"/>
  <c r="D788" i="1"/>
  <c r="E788" i="1"/>
  <c r="F788" i="1"/>
  <c r="G788" i="1"/>
  <c r="I788" i="1"/>
  <c r="J788" i="1"/>
  <c r="K788" i="1"/>
  <c r="L788" i="1"/>
  <c r="M788" i="1"/>
  <c r="N788" i="1"/>
  <c r="O788" i="1"/>
  <c r="P788" i="1"/>
  <c r="Q788" i="1"/>
  <c r="R788" i="1"/>
  <c r="S788" i="1"/>
  <c r="T788" i="1"/>
  <c r="U788" i="1"/>
  <c r="V788" i="1"/>
  <c r="W788" i="1"/>
  <c r="X788" i="1"/>
  <c r="Y788" i="1"/>
  <c r="Z788" i="1"/>
  <c r="A789" i="1"/>
  <c r="B789" i="1"/>
  <c r="C789" i="1"/>
  <c r="D789" i="1"/>
  <c r="E789" i="1"/>
  <c r="F789" i="1"/>
  <c r="G789" i="1"/>
  <c r="I789" i="1"/>
  <c r="J789" i="1"/>
  <c r="K789" i="1"/>
  <c r="L789" i="1"/>
  <c r="M789" i="1"/>
  <c r="N789" i="1"/>
  <c r="O789" i="1"/>
  <c r="P789" i="1"/>
  <c r="Q789" i="1"/>
  <c r="R789" i="1"/>
  <c r="S789" i="1"/>
  <c r="T789" i="1"/>
  <c r="U789" i="1"/>
  <c r="V789" i="1"/>
  <c r="W789" i="1"/>
  <c r="X789" i="1"/>
  <c r="Y789" i="1"/>
  <c r="Z789" i="1"/>
  <c r="A790" i="1"/>
  <c r="B790" i="1"/>
  <c r="C790" i="1"/>
  <c r="D790" i="1"/>
  <c r="E790" i="1"/>
  <c r="F790" i="1"/>
  <c r="G790" i="1"/>
  <c r="I790" i="1"/>
  <c r="J790" i="1"/>
  <c r="K790" i="1"/>
  <c r="L790" i="1"/>
  <c r="M790" i="1"/>
  <c r="N790" i="1"/>
  <c r="O790" i="1"/>
  <c r="P790" i="1"/>
  <c r="Q790" i="1"/>
  <c r="R790" i="1"/>
  <c r="S790" i="1"/>
  <c r="T790" i="1"/>
  <c r="U790" i="1"/>
  <c r="V790" i="1"/>
  <c r="W790" i="1"/>
  <c r="X790" i="1"/>
  <c r="Y790" i="1"/>
  <c r="Z790" i="1"/>
  <c r="A791" i="1"/>
  <c r="B791" i="1"/>
  <c r="C791" i="1"/>
  <c r="D791" i="1"/>
  <c r="E791" i="1"/>
  <c r="F791" i="1"/>
  <c r="G791" i="1"/>
  <c r="I791" i="1"/>
  <c r="J791" i="1"/>
  <c r="K791" i="1"/>
  <c r="L791" i="1"/>
  <c r="M791" i="1"/>
  <c r="N791" i="1"/>
  <c r="O791" i="1"/>
  <c r="P791" i="1"/>
  <c r="Q791" i="1"/>
  <c r="R791" i="1"/>
  <c r="S791" i="1"/>
  <c r="T791" i="1"/>
  <c r="U791" i="1"/>
  <c r="V791" i="1"/>
  <c r="W791" i="1"/>
  <c r="X791" i="1"/>
  <c r="Y791" i="1"/>
  <c r="Z791" i="1"/>
  <c r="A792" i="1"/>
  <c r="B792" i="1"/>
  <c r="C792" i="1"/>
  <c r="D792" i="1"/>
  <c r="E792" i="1"/>
  <c r="F792" i="1"/>
  <c r="G792" i="1"/>
  <c r="I792" i="1"/>
  <c r="J792" i="1"/>
  <c r="K792" i="1"/>
  <c r="L792" i="1"/>
  <c r="M792" i="1"/>
  <c r="N792" i="1"/>
  <c r="O792" i="1"/>
  <c r="P792" i="1"/>
  <c r="Q792" i="1"/>
  <c r="R792" i="1"/>
  <c r="S792" i="1"/>
  <c r="T792" i="1"/>
  <c r="U792" i="1"/>
  <c r="V792" i="1"/>
  <c r="W792" i="1"/>
  <c r="X792" i="1"/>
  <c r="Y792" i="1"/>
  <c r="Z792" i="1"/>
  <c r="A793" i="1"/>
  <c r="B793" i="1"/>
  <c r="C793" i="1"/>
  <c r="D793" i="1"/>
  <c r="E793" i="1"/>
  <c r="F793" i="1"/>
  <c r="G793" i="1"/>
  <c r="I793" i="1"/>
  <c r="J793" i="1"/>
  <c r="K793" i="1"/>
  <c r="L793" i="1"/>
  <c r="M793" i="1"/>
  <c r="N793" i="1"/>
  <c r="O793" i="1"/>
  <c r="P793" i="1"/>
  <c r="Q793" i="1"/>
  <c r="R793" i="1"/>
  <c r="S793" i="1"/>
  <c r="T793" i="1"/>
  <c r="U793" i="1"/>
  <c r="V793" i="1"/>
  <c r="W793" i="1"/>
  <c r="X793" i="1"/>
  <c r="Y793" i="1"/>
  <c r="Z793" i="1"/>
  <c r="A794" i="1"/>
  <c r="B794" i="1"/>
  <c r="C794" i="1"/>
  <c r="D794" i="1"/>
  <c r="E794" i="1"/>
  <c r="F794" i="1"/>
  <c r="G794" i="1"/>
  <c r="I794" i="1"/>
  <c r="J794" i="1"/>
  <c r="K794" i="1"/>
  <c r="L794" i="1"/>
  <c r="M794" i="1"/>
  <c r="N794" i="1"/>
  <c r="O794" i="1"/>
  <c r="P794" i="1"/>
  <c r="Q794" i="1"/>
  <c r="R794" i="1"/>
  <c r="S794" i="1"/>
  <c r="T794" i="1"/>
  <c r="U794" i="1"/>
  <c r="V794" i="1"/>
  <c r="W794" i="1"/>
  <c r="X794" i="1"/>
  <c r="Y794" i="1"/>
  <c r="Z794" i="1"/>
  <c r="A795" i="1"/>
  <c r="B795" i="1"/>
  <c r="C795" i="1"/>
  <c r="D795" i="1"/>
  <c r="E795" i="1"/>
  <c r="F795" i="1"/>
  <c r="G795" i="1"/>
  <c r="I795" i="1"/>
  <c r="J795" i="1"/>
  <c r="K795" i="1"/>
  <c r="L795" i="1"/>
  <c r="M795" i="1"/>
  <c r="N795" i="1"/>
  <c r="O795" i="1"/>
  <c r="P795" i="1"/>
  <c r="Q795" i="1"/>
  <c r="R795" i="1"/>
  <c r="S795" i="1"/>
  <c r="T795" i="1"/>
  <c r="U795" i="1"/>
  <c r="V795" i="1"/>
  <c r="W795" i="1"/>
  <c r="X795" i="1"/>
  <c r="Y795" i="1"/>
  <c r="Z795" i="1"/>
  <c r="A796" i="1"/>
  <c r="B796" i="1"/>
  <c r="C796" i="1"/>
  <c r="D796" i="1"/>
  <c r="E796" i="1"/>
  <c r="F796" i="1"/>
  <c r="G796" i="1"/>
  <c r="I796" i="1"/>
  <c r="J796" i="1"/>
  <c r="K796" i="1"/>
  <c r="L796" i="1"/>
  <c r="M796" i="1"/>
  <c r="N796" i="1"/>
  <c r="O796" i="1"/>
  <c r="P796" i="1"/>
  <c r="Q796" i="1"/>
  <c r="R796" i="1"/>
  <c r="S796" i="1"/>
  <c r="T796" i="1"/>
  <c r="U796" i="1"/>
  <c r="V796" i="1"/>
  <c r="W796" i="1"/>
  <c r="X796" i="1"/>
  <c r="Y796" i="1"/>
  <c r="Z796" i="1"/>
  <c r="A797" i="1"/>
  <c r="B797" i="1"/>
  <c r="C797" i="1"/>
  <c r="D797" i="1"/>
  <c r="E797" i="1"/>
  <c r="F797" i="1"/>
  <c r="G797" i="1"/>
  <c r="I797" i="1"/>
  <c r="J797" i="1"/>
  <c r="K797" i="1"/>
  <c r="L797" i="1"/>
  <c r="M797" i="1"/>
  <c r="N797" i="1"/>
  <c r="O797" i="1"/>
  <c r="P797" i="1"/>
  <c r="Q797" i="1"/>
  <c r="R797" i="1"/>
  <c r="S797" i="1"/>
  <c r="T797" i="1"/>
  <c r="U797" i="1"/>
  <c r="V797" i="1"/>
  <c r="W797" i="1"/>
  <c r="X797" i="1"/>
  <c r="Y797" i="1"/>
  <c r="Z797" i="1"/>
  <c r="A798" i="1"/>
  <c r="B798" i="1"/>
  <c r="C798" i="1"/>
  <c r="D798" i="1"/>
  <c r="E798" i="1"/>
  <c r="F798" i="1"/>
  <c r="G798" i="1"/>
  <c r="I798" i="1"/>
  <c r="J798" i="1"/>
  <c r="K798" i="1"/>
  <c r="L798" i="1"/>
  <c r="M798" i="1"/>
  <c r="N798" i="1"/>
  <c r="O798" i="1"/>
  <c r="P798" i="1"/>
  <c r="Q798" i="1"/>
  <c r="R798" i="1"/>
  <c r="S798" i="1"/>
  <c r="T798" i="1"/>
  <c r="U798" i="1"/>
  <c r="V798" i="1"/>
  <c r="W798" i="1"/>
  <c r="X798" i="1"/>
  <c r="Y798" i="1"/>
  <c r="Z798" i="1"/>
  <c r="A799" i="1"/>
  <c r="B799" i="1"/>
  <c r="C799" i="1"/>
  <c r="D799" i="1"/>
  <c r="E799" i="1"/>
  <c r="F799" i="1"/>
  <c r="G799" i="1"/>
  <c r="I799" i="1"/>
  <c r="J799" i="1"/>
  <c r="K799" i="1"/>
  <c r="L799" i="1"/>
  <c r="M799" i="1"/>
  <c r="N799" i="1"/>
  <c r="O799" i="1"/>
  <c r="P799" i="1"/>
  <c r="Q799" i="1"/>
  <c r="R799" i="1"/>
  <c r="S799" i="1"/>
  <c r="T799" i="1"/>
  <c r="U799" i="1"/>
  <c r="V799" i="1"/>
  <c r="W799" i="1"/>
  <c r="X799" i="1"/>
  <c r="Y799" i="1"/>
  <c r="Z799" i="1"/>
  <c r="A800" i="1"/>
  <c r="B800" i="1"/>
  <c r="C800" i="1"/>
  <c r="D800" i="1"/>
  <c r="E800" i="1"/>
  <c r="F800" i="1"/>
  <c r="G800" i="1"/>
  <c r="I800" i="1"/>
  <c r="J800" i="1"/>
  <c r="K800" i="1"/>
  <c r="L800" i="1"/>
  <c r="M800" i="1"/>
  <c r="N800" i="1"/>
  <c r="O800" i="1"/>
  <c r="P800" i="1"/>
  <c r="Q800" i="1"/>
  <c r="R800" i="1"/>
  <c r="S800" i="1"/>
  <c r="T800" i="1"/>
  <c r="U800" i="1"/>
  <c r="V800" i="1"/>
  <c r="W800" i="1"/>
  <c r="X800" i="1"/>
  <c r="Y800" i="1"/>
  <c r="Z800" i="1"/>
  <c r="A801" i="1"/>
  <c r="B801" i="1"/>
  <c r="C801" i="1"/>
  <c r="D801" i="1"/>
  <c r="E801" i="1"/>
  <c r="F801" i="1"/>
  <c r="G801" i="1"/>
  <c r="I801" i="1"/>
  <c r="J801" i="1"/>
  <c r="K801" i="1"/>
  <c r="L801" i="1"/>
  <c r="M801" i="1"/>
  <c r="N801" i="1"/>
  <c r="O801" i="1"/>
  <c r="P801" i="1"/>
  <c r="Q801" i="1"/>
  <c r="R801" i="1"/>
  <c r="S801" i="1"/>
  <c r="T801" i="1"/>
  <c r="U801" i="1"/>
  <c r="V801" i="1"/>
  <c r="W801" i="1"/>
  <c r="X801" i="1"/>
  <c r="Y801" i="1"/>
  <c r="Z801" i="1"/>
  <c r="A802" i="1"/>
  <c r="B802" i="1"/>
  <c r="C802" i="1"/>
  <c r="D802" i="1"/>
  <c r="E802" i="1"/>
  <c r="F802" i="1"/>
  <c r="G802" i="1"/>
  <c r="I802" i="1"/>
  <c r="J802" i="1"/>
  <c r="K802" i="1"/>
  <c r="L802" i="1"/>
  <c r="M802" i="1"/>
  <c r="N802" i="1"/>
  <c r="O802" i="1"/>
  <c r="P802" i="1"/>
  <c r="Q802" i="1"/>
  <c r="R802" i="1"/>
  <c r="S802" i="1"/>
  <c r="T802" i="1"/>
  <c r="U802" i="1"/>
  <c r="V802" i="1"/>
  <c r="W802" i="1"/>
  <c r="X802" i="1"/>
  <c r="Y802" i="1"/>
  <c r="Z802" i="1"/>
  <c r="A803" i="1"/>
  <c r="B803" i="1"/>
  <c r="C803" i="1"/>
  <c r="D803" i="1"/>
  <c r="E803" i="1"/>
  <c r="F803" i="1"/>
  <c r="G803" i="1"/>
  <c r="I803" i="1"/>
  <c r="J803" i="1"/>
  <c r="K803" i="1"/>
  <c r="L803" i="1"/>
  <c r="M803" i="1"/>
  <c r="N803" i="1"/>
  <c r="O803" i="1"/>
  <c r="P803" i="1"/>
  <c r="Q803" i="1"/>
  <c r="R803" i="1"/>
  <c r="S803" i="1"/>
  <c r="T803" i="1"/>
  <c r="U803" i="1"/>
  <c r="V803" i="1"/>
  <c r="W803" i="1"/>
  <c r="X803" i="1"/>
  <c r="Y803" i="1"/>
  <c r="Z803" i="1"/>
  <c r="A804" i="1"/>
  <c r="B804" i="1"/>
  <c r="C804" i="1"/>
  <c r="D804" i="1"/>
  <c r="E804" i="1"/>
  <c r="F804" i="1"/>
  <c r="G804" i="1"/>
  <c r="I804" i="1"/>
  <c r="J804" i="1"/>
  <c r="K804" i="1"/>
  <c r="L804" i="1"/>
  <c r="M804" i="1"/>
  <c r="N804" i="1"/>
  <c r="O804" i="1"/>
  <c r="P804" i="1"/>
  <c r="Q804" i="1"/>
  <c r="R804" i="1"/>
  <c r="S804" i="1"/>
  <c r="T804" i="1"/>
  <c r="U804" i="1"/>
  <c r="V804" i="1"/>
  <c r="W804" i="1"/>
  <c r="X804" i="1"/>
  <c r="Y804" i="1"/>
  <c r="Z804" i="1"/>
  <c r="A805" i="1"/>
  <c r="B805" i="1"/>
  <c r="C805" i="1"/>
  <c r="D805" i="1"/>
  <c r="E805" i="1"/>
  <c r="F805" i="1"/>
  <c r="G805" i="1"/>
  <c r="I805" i="1"/>
  <c r="J805" i="1"/>
  <c r="K805" i="1"/>
  <c r="L805" i="1"/>
  <c r="M805" i="1"/>
  <c r="N805" i="1"/>
  <c r="O805" i="1"/>
  <c r="P805" i="1"/>
  <c r="Q805" i="1"/>
  <c r="R805" i="1"/>
  <c r="S805" i="1"/>
  <c r="T805" i="1"/>
  <c r="U805" i="1"/>
  <c r="V805" i="1"/>
  <c r="W805" i="1"/>
  <c r="X805" i="1"/>
  <c r="Y805" i="1"/>
  <c r="Z805" i="1"/>
  <c r="A806" i="1"/>
  <c r="B806" i="1"/>
  <c r="C806" i="1"/>
  <c r="D806" i="1"/>
  <c r="E806" i="1"/>
  <c r="F806" i="1"/>
  <c r="G806" i="1"/>
  <c r="I806" i="1"/>
  <c r="J806" i="1"/>
  <c r="K806" i="1"/>
  <c r="L806" i="1"/>
  <c r="M806" i="1"/>
  <c r="N806" i="1"/>
  <c r="O806" i="1"/>
  <c r="P806" i="1"/>
  <c r="Q806" i="1"/>
  <c r="R806" i="1"/>
  <c r="S806" i="1"/>
  <c r="T806" i="1"/>
  <c r="U806" i="1"/>
  <c r="V806" i="1"/>
  <c r="W806" i="1"/>
  <c r="X806" i="1"/>
  <c r="Y806" i="1"/>
  <c r="Z806" i="1"/>
  <c r="A807" i="1"/>
  <c r="B807" i="1"/>
  <c r="C807" i="1"/>
  <c r="D807" i="1"/>
  <c r="E807" i="1"/>
  <c r="F807" i="1"/>
  <c r="G807" i="1"/>
  <c r="I807" i="1"/>
  <c r="J807" i="1"/>
  <c r="K807" i="1"/>
  <c r="L807" i="1"/>
  <c r="M807" i="1"/>
  <c r="N807" i="1"/>
  <c r="O807" i="1"/>
  <c r="P807" i="1"/>
  <c r="Q807" i="1"/>
  <c r="R807" i="1"/>
  <c r="S807" i="1"/>
  <c r="T807" i="1"/>
  <c r="U807" i="1"/>
  <c r="V807" i="1"/>
  <c r="W807" i="1"/>
  <c r="X807" i="1"/>
  <c r="Y807" i="1"/>
  <c r="Z807" i="1"/>
  <c r="A808" i="1"/>
  <c r="B808" i="1"/>
  <c r="C808" i="1"/>
  <c r="D808" i="1"/>
  <c r="E808" i="1"/>
  <c r="F808" i="1"/>
  <c r="G808" i="1"/>
  <c r="I808" i="1"/>
  <c r="J808" i="1"/>
  <c r="K808" i="1"/>
  <c r="L808" i="1"/>
  <c r="M808" i="1"/>
  <c r="N808" i="1"/>
  <c r="O808" i="1"/>
  <c r="P808" i="1"/>
  <c r="Q808" i="1"/>
  <c r="R808" i="1"/>
  <c r="S808" i="1"/>
  <c r="T808" i="1"/>
  <c r="U808" i="1"/>
  <c r="V808" i="1"/>
  <c r="W808" i="1"/>
  <c r="X808" i="1"/>
  <c r="Y808" i="1"/>
  <c r="Z808" i="1"/>
  <c r="A809" i="1"/>
  <c r="B809" i="1"/>
  <c r="C809" i="1"/>
  <c r="D809" i="1"/>
  <c r="E809" i="1"/>
  <c r="F809" i="1"/>
  <c r="G809" i="1"/>
  <c r="I809" i="1"/>
  <c r="J809" i="1"/>
  <c r="K809" i="1"/>
  <c r="L809" i="1"/>
  <c r="M809" i="1"/>
  <c r="N809" i="1"/>
  <c r="O809" i="1"/>
  <c r="P809" i="1"/>
  <c r="Q809" i="1"/>
  <c r="R809" i="1"/>
  <c r="S809" i="1"/>
  <c r="T809" i="1"/>
  <c r="U809" i="1"/>
  <c r="V809" i="1"/>
  <c r="W809" i="1"/>
  <c r="X809" i="1"/>
  <c r="Y809" i="1"/>
  <c r="Z809" i="1"/>
  <c r="A810" i="1"/>
  <c r="B810" i="1"/>
  <c r="C810" i="1"/>
  <c r="D810" i="1"/>
  <c r="E810" i="1"/>
  <c r="F810" i="1"/>
  <c r="G810" i="1"/>
  <c r="I810" i="1"/>
  <c r="J810" i="1"/>
  <c r="K810" i="1"/>
  <c r="L810" i="1"/>
  <c r="M810" i="1"/>
  <c r="N810" i="1"/>
  <c r="O810" i="1"/>
  <c r="P810" i="1"/>
  <c r="Q810" i="1"/>
  <c r="R810" i="1"/>
  <c r="S810" i="1"/>
  <c r="T810" i="1"/>
  <c r="U810" i="1"/>
  <c r="V810" i="1"/>
  <c r="W810" i="1"/>
  <c r="X810" i="1"/>
  <c r="Y810" i="1"/>
  <c r="Z810" i="1"/>
  <c r="A811" i="1"/>
  <c r="B811" i="1"/>
  <c r="C811" i="1"/>
  <c r="D811" i="1"/>
  <c r="E811" i="1"/>
  <c r="F811" i="1"/>
  <c r="G811" i="1"/>
  <c r="I811" i="1"/>
  <c r="J811" i="1"/>
  <c r="K811" i="1"/>
  <c r="L811" i="1"/>
  <c r="M811" i="1"/>
  <c r="N811" i="1"/>
  <c r="O811" i="1"/>
  <c r="P811" i="1"/>
  <c r="Q811" i="1"/>
  <c r="R811" i="1"/>
  <c r="S811" i="1"/>
  <c r="T811" i="1"/>
  <c r="U811" i="1"/>
  <c r="V811" i="1"/>
  <c r="W811" i="1"/>
  <c r="X811" i="1"/>
  <c r="Y811" i="1"/>
  <c r="Z811" i="1"/>
  <c r="A812" i="1"/>
  <c r="B812" i="1"/>
  <c r="C812" i="1"/>
  <c r="D812" i="1"/>
  <c r="E812" i="1"/>
  <c r="F812" i="1"/>
  <c r="G812" i="1"/>
  <c r="I812" i="1"/>
  <c r="J812" i="1"/>
  <c r="K812" i="1"/>
  <c r="L812" i="1"/>
  <c r="M812" i="1"/>
  <c r="N812" i="1"/>
  <c r="O812" i="1"/>
  <c r="P812" i="1"/>
  <c r="Q812" i="1"/>
  <c r="R812" i="1"/>
  <c r="S812" i="1"/>
  <c r="T812" i="1"/>
  <c r="U812" i="1"/>
  <c r="V812" i="1"/>
  <c r="W812" i="1"/>
  <c r="X812" i="1"/>
  <c r="Y812" i="1"/>
  <c r="Z812" i="1"/>
  <c r="A813" i="1"/>
  <c r="B813" i="1"/>
  <c r="C813" i="1"/>
  <c r="D813" i="1"/>
  <c r="E813" i="1"/>
  <c r="F813" i="1"/>
  <c r="G813" i="1"/>
  <c r="I813" i="1"/>
  <c r="J813" i="1"/>
  <c r="K813" i="1"/>
  <c r="L813" i="1"/>
  <c r="M813" i="1"/>
  <c r="N813" i="1"/>
  <c r="O813" i="1"/>
  <c r="P813" i="1"/>
  <c r="Q813" i="1"/>
  <c r="R813" i="1"/>
  <c r="S813" i="1"/>
  <c r="T813" i="1"/>
  <c r="U813" i="1"/>
  <c r="V813" i="1"/>
  <c r="W813" i="1"/>
  <c r="X813" i="1"/>
  <c r="Y813" i="1"/>
  <c r="Z813" i="1"/>
  <c r="A814" i="1"/>
  <c r="B814" i="1"/>
  <c r="C814" i="1"/>
  <c r="D814" i="1"/>
  <c r="E814" i="1"/>
  <c r="F814" i="1"/>
  <c r="G814" i="1"/>
  <c r="I814" i="1"/>
  <c r="J814" i="1"/>
  <c r="K814" i="1"/>
  <c r="L814" i="1"/>
  <c r="M814" i="1"/>
  <c r="N814" i="1"/>
  <c r="O814" i="1"/>
  <c r="P814" i="1"/>
  <c r="Q814" i="1"/>
  <c r="R814" i="1"/>
  <c r="S814" i="1"/>
  <c r="T814" i="1"/>
  <c r="U814" i="1"/>
  <c r="V814" i="1"/>
  <c r="W814" i="1"/>
  <c r="X814" i="1"/>
  <c r="Y814" i="1"/>
  <c r="Z814" i="1"/>
  <c r="A815" i="1"/>
  <c r="B815" i="1"/>
  <c r="C815" i="1"/>
  <c r="D815" i="1"/>
  <c r="E815" i="1"/>
  <c r="F815" i="1"/>
  <c r="G815" i="1"/>
  <c r="I815" i="1"/>
  <c r="J815" i="1"/>
  <c r="K815" i="1"/>
  <c r="L815" i="1"/>
  <c r="M815" i="1"/>
  <c r="N815" i="1"/>
  <c r="O815" i="1"/>
  <c r="P815" i="1"/>
  <c r="Q815" i="1"/>
  <c r="R815" i="1"/>
  <c r="S815" i="1"/>
  <c r="T815" i="1"/>
  <c r="U815" i="1"/>
  <c r="V815" i="1"/>
  <c r="W815" i="1"/>
  <c r="X815" i="1"/>
  <c r="Y815" i="1"/>
  <c r="Z815" i="1"/>
  <c r="A816" i="1"/>
  <c r="B816" i="1"/>
  <c r="C816" i="1"/>
  <c r="D816" i="1"/>
  <c r="E816" i="1"/>
  <c r="F816" i="1"/>
  <c r="G816" i="1"/>
  <c r="I816" i="1"/>
  <c r="J816" i="1"/>
  <c r="K816" i="1"/>
  <c r="L816" i="1"/>
  <c r="M816" i="1"/>
  <c r="N816" i="1"/>
  <c r="O816" i="1"/>
  <c r="P816" i="1"/>
  <c r="Q816" i="1"/>
  <c r="R816" i="1"/>
  <c r="S816" i="1"/>
  <c r="T816" i="1"/>
  <c r="U816" i="1"/>
  <c r="V816" i="1"/>
  <c r="W816" i="1"/>
  <c r="X816" i="1"/>
  <c r="Y816" i="1"/>
  <c r="Z816" i="1"/>
  <c r="A817" i="1"/>
  <c r="B817" i="1"/>
  <c r="C817" i="1"/>
  <c r="D817" i="1"/>
  <c r="E817" i="1"/>
  <c r="F817" i="1"/>
  <c r="G817" i="1"/>
  <c r="I817" i="1"/>
  <c r="J817" i="1"/>
  <c r="K817" i="1"/>
  <c r="L817" i="1"/>
  <c r="M817" i="1"/>
  <c r="N817" i="1"/>
  <c r="O817" i="1"/>
  <c r="P817" i="1"/>
  <c r="Q817" i="1"/>
  <c r="R817" i="1"/>
  <c r="S817" i="1"/>
  <c r="T817" i="1"/>
  <c r="U817" i="1"/>
  <c r="V817" i="1"/>
  <c r="W817" i="1"/>
  <c r="X817" i="1"/>
  <c r="Y817" i="1"/>
  <c r="Z817" i="1"/>
  <c r="A818" i="1"/>
  <c r="B818" i="1"/>
  <c r="C818" i="1"/>
  <c r="D818" i="1"/>
  <c r="E818" i="1"/>
  <c r="F818" i="1"/>
  <c r="G818" i="1"/>
  <c r="I818" i="1"/>
  <c r="J818" i="1"/>
  <c r="K818" i="1"/>
  <c r="L818" i="1"/>
  <c r="M818" i="1"/>
  <c r="N818" i="1"/>
  <c r="O818" i="1"/>
  <c r="P818" i="1"/>
  <c r="Q818" i="1"/>
  <c r="R818" i="1"/>
  <c r="S818" i="1"/>
  <c r="T818" i="1"/>
  <c r="U818" i="1"/>
  <c r="V818" i="1"/>
  <c r="W818" i="1"/>
  <c r="X818" i="1"/>
  <c r="Y818" i="1"/>
  <c r="Z818" i="1"/>
  <c r="A819" i="1"/>
  <c r="B819" i="1"/>
  <c r="C819" i="1"/>
  <c r="D819" i="1"/>
  <c r="E819" i="1"/>
  <c r="F819" i="1"/>
  <c r="G819" i="1"/>
  <c r="I819" i="1"/>
  <c r="J819" i="1"/>
  <c r="K819" i="1"/>
  <c r="L819" i="1"/>
  <c r="M819" i="1"/>
  <c r="N819" i="1"/>
  <c r="O819" i="1"/>
  <c r="P819" i="1"/>
  <c r="Q819" i="1"/>
  <c r="R819" i="1"/>
  <c r="S819" i="1"/>
  <c r="T819" i="1"/>
  <c r="U819" i="1"/>
  <c r="V819" i="1"/>
  <c r="W819" i="1"/>
  <c r="X819" i="1"/>
  <c r="Y819" i="1"/>
  <c r="Z819" i="1"/>
  <c r="A820" i="1"/>
  <c r="B820" i="1"/>
  <c r="C820" i="1"/>
  <c r="D820" i="1"/>
  <c r="E820" i="1"/>
  <c r="F820" i="1"/>
  <c r="G820" i="1"/>
  <c r="I820" i="1"/>
  <c r="J820" i="1"/>
  <c r="K820" i="1"/>
  <c r="L820" i="1"/>
  <c r="M820" i="1"/>
  <c r="N820" i="1"/>
  <c r="O820" i="1"/>
  <c r="P820" i="1"/>
  <c r="Q820" i="1"/>
  <c r="R820" i="1"/>
  <c r="S820" i="1"/>
  <c r="T820" i="1"/>
  <c r="U820" i="1"/>
  <c r="V820" i="1"/>
  <c r="W820" i="1"/>
  <c r="X820" i="1"/>
  <c r="Y820" i="1"/>
  <c r="Z820" i="1"/>
  <c r="A821" i="1"/>
  <c r="B821" i="1"/>
  <c r="C821" i="1"/>
  <c r="D821" i="1"/>
  <c r="E821" i="1"/>
  <c r="F821" i="1"/>
  <c r="G821" i="1"/>
  <c r="I821" i="1"/>
  <c r="J821" i="1"/>
  <c r="K821" i="1"/>
  <c r="L821" i="1"/>
  <c r="M821" i="1"/>
  <c r="N821" i="1"/>
  <c r="O821" i="1"/>
  <c r="P821" i="1"/>
  <c r="Q821" i="1"/>
  <c r="R821" i="1"/>
  <c r="S821" i="1"/>
  <c r="T821" i="1"/>
  <c r="U821" i="1"/>
  <c r="V821" i="1"/>
  <c r="W821" i="1"/>
  <c r="X821" i="1"/>
  <c r="Y821" i="1"/>
  <c r="Z821" i="1"/>
  <c r="A822" i="1"/>
  <c r="B822" i="1"/>
  <c r="C822" i="1"/>
  <c r="D822" i="1"/>
  <c r="E822" i="1"/>
  <c r="F822" i="1"/>
  <c r="G822" i="1"/>
  <c r="I822" i="1"/>
  <c r="J822" i="1"/>
  <c r="K822" i="1"/>
  <c r="L822" i="1"/>
  <c r="M822" i="1"/>
  <c r="N822" i="1"/>
  <c r="O822" i="1"/>
  <c r="P822" i="1"/>
  <c r="Q822" i="1"/>
  <c r="R822" i="1"/>
  <c r="S822" i="1"/>
  <c r="T822" i="1"/>
  <c r="U822" i="1"/>
  <c r="V822" i="1"/>
  <c r="W822" i="1"/>
  <c r="X822" i="1"/>
  <c r="Y822" i="1"/>
  <c r="Z822" i="1"/>
  <c r="A823" i="1"/>
  <c r="B823" i="1"/>
  <c r="C823" i="1"/>
  <c r="D823" i="1"/>
  <c r="E823" i="1"/>
  <c r="F823" i="1"/>
  <c r="G823" i="1"/>
  <c r="I823" i="1"/>
  <c r="J823" i="1"/>
  <c r="K823" i="1"/>
  <c r="L823" i="1"/>
  <c r="M823" i="1"/>
  <c r="N823" i="1"/>
  <c r="O823" i="1"/>
  <c r="P823" i="1"/>
  <c r="Q823" i="1"/>
  <c r="R823" i="1"/>
  <c r="S823" i="1"/>
  <c r="T823" i="1"/>
  <c r="U823" i="1"/>
  <c r="V823" i="1"/>
  <c r="W823" i="1"/>
  <c r="X823" i="1"/>
  <c r="Y823" i="1"/>
  <c r="Z823" i="1"/>
  <c r="A824" i="1"/>
  <c r="B824" i="1"/>
  <c r="C824" i="1"/>
  <c r="D824" i="1"/>
  <c r="E824" i="1"/>
  <c r="F824" i="1"/>
  <c r="G824" i="1"/>
  <c r="I824" i="1"/>
  <c r="J824" i="1"/>
  <c r="K824" i="1"/>
  <c r="L824" i="1"/>
  <c r="M824" i="1"/>
  <c r="N824" i="1"/>
  <c r="O824" i="1"/>
  <c r="P824" i="1"/>
  <c r="Q824" i="1"/>
  <c r="R824" i="1"/>
  <c r="S824" i="1"/>
  <c r="T824" i="1"/>
  <c r="U824" i="1"/>
  <c r="V824" i="1"/>
  <c r="W824" i="1"/>
  <c r="X824" i="1"/>
  <c r="Y824" i="1"/>
  <c r="Z824" i="1"/>
  <c r="A825" i="1"/>
  <c r="B825" i="1"/>
  <c r="C825" i="1"/>
  <c r="D825" i="1"/>
  <c r="E825" i="1"/>
  <c r="F825" i="1"/>
  <c r="G825" i="1"/>
  <c r="I825" i="1"/>
  <c r="J825" i="1"/>
  <c r="K825" i="1"/>
  <c r="L825" i="1"/>
  <c r="M825" i="1"/>
  <c r="N825" i="1"/>
  <c r="O825" i="1"/>
  <c r="P825" i="1"/>
  <c r="Q825" i="1"/>
  <c r="R825" i="1"/>
  <c r="S825" i="1"/>
  <c r="T825" i="1"/>
  <c r="U825" i="1"/>
  <c r="V825" i="1"/>
  <c r="W825" i="1"/>
  <c r="X825" i="1"/>
  <c r="Y825" i="1"/>
  <c r="Z825" i="1"/>
  <c r="A826" i="1"/>
  <c r="B826" i="1"/>
  <c r="C826" i="1"/>
  <c r="D826" i="1"/>
  <c r="E826" i="1"/>
  <c r="F826" i="1"/>
  <c r="G826" i="1"/>
  <c r="I826" i="1"/>
  <c r="J826" i="1"/>
  <c r="K826" i="1"/>
  <c r="L826" i="1"/>
  <c r="M826" i="1"/>
  <c r="N826" i="1"/>
  <c r="O826" i="1"/>
  <c r="P826" i="1"/>
  <c r="Q826" i="1"/>
  <c r="R826" i="1"/>
  <c r="S826" i="1"/>
  <c r="T826" i="1"/>
  <c r="U826" i="1"/>
  <c r="V826" i="1"/>
  <c r="W826" i="1"/>
  <c r="X826" i="1"/>
  <c r="Y826" i="1"/>
  <c r="Z826" i="1"/>
  <c r="A827" i="1"/>
  <c r="B827" i="1"/>
  <c r="C827" i="1"/>
  <c r="D827" i="1"/>
  <c r="E827" i="1"/>
  <c r="F827" i="1"/>
  <c r="G827" i="1"/>
  <c r="I827" i="1"/>
  <c r="J827" i="1"/>
  <c r="K827" i="1"/>
  <c r="L827" i="1"/>
  <c r="M827" i="1"/>
  <c r="N827" i="1"/>
  <c r="O827" i="1"/>
  <c r="P827" i="1"/>
  <c r="Q827" i="1"/>
  <c r="R827" i="1"/>
  <c r="S827" i="1"/>
  <c r="T827" i="1"/>
  <c r="U827" i="1"/>
  <c r="V827" i="1"/>
  <c r="W827" i="1"/>
  <c r="X827" i="1"/>
  <c r="Y827" i="1"/>
  <c r="Z827" i="1"/>
  <c r="A828" i="1"/>
  <c r="B828" i="1"/>
  <c r="C828" i="1"/>
  <c r="D828" i="1"/>
  <c r="E828" i="1"/>
  <c r="F828" i="1"/>
  <c r="G828" i="1"/>
  <c r="I828" i="1"/>
  <c r="J828" i="1"/>
  <c r="K828" i="1"/>
  <c r="L828" i="1"/>
  <c r="M828" i="1"/>
  <c r="N828" i="1"/>
  <c r="O828" i="1"/>
  <c r="P828" i="1"/>
  <c r="Q828" i="1"/>
  <c r="R828" i="1"/>
  <c r="S828" i="1"/>
  <c r="T828" i="1"/>
  <c r="U828" i="1"/>
  <c r="V828" i="1"/>
  <c r="W828" i="1"/>
  <c r="X828" i="1"/>
  <c r="Y828" i="1"/>
  <c r="Z828" i="1"/>
  <c r="A829" i="1"/>
  <c r="B829" i="1"/>
  <c r="C829" i="1"/>
  <c r="D829" i="1"/>
  <c r="E829" i="1"/>
  <c r="F829" i="1"/>
  <c r="G829" i="1"/>
  <c r="I829" i="1"/>
  <c r="J829" i="1"/>
  <c r="K829" i="1"/>
  <c r="L829" i="1"/>
  <c r="M829" i="1"/>
  <c r="N829" i="1"/>
  <c r="O829" i="1"/>
  <c r="P829" i="1"/>
  <c r="Q829" i="1"/>
  <c r="R829" i="1"/>
  <c r="S829" i="1"/>
  <c r="T829" i="1"/>
  <c r="U829" i="1"/>
  <c r="V829" i="1"/>
  <c r="W829" i="1"/>
  <c r="X829" i="1"/>
  <c r="Y829" i="1"/>
  <c r="Z829" i="1"/>
  <c r="A830" i="1"/>
  <c r="B830" i="1"/>
  <c r="C830" i="1"/>
  <c r="D830" i="1"/>
  <c r="E830" i="1"/>
  <c r="F830" i="1"/>
  <c r="G830" i="1"/>
  <c r="I830" i="1"/>
  <c r="J830" i="1"/>
  <c r="K830" i="1"/>
  <c r="L830" i="1"/>
  <c r="M830" i="1"/>
  <c r="N830" i="1"/>
  <c r="O830" i="1"/>
  <c r="P830" i="1"/>
  <c r="Q830" i="1"/>
  <c r="R830" i="1"/>
  <c r="S830" i="1"/>
  <c r="T830" i="1"/>
  <c r="U830" i="1"/>
  <c r="V830" i="1"/>
  <c r="W830" i="1"/>
  <c r="X830" i="1"/>
  <c r="Y830" i="1"/>
  <c r="Z830" i="1"/>
  <c r="A831" i="1"/>
  <c r="B831" i="1"/>
  <c r="C831" i="1"/>
  <c r="D831" i="1"/>
  <c r="E831" i="1"/>
  <c r="F831" i="1"/>
  <c r="G831" i="1"/>
  <c r="I831" i="1"/>
  <c r="J831" i="1"/>
  <c r="K831" i="1"/>
  <c r="L831" i="1"/>
  <c r="M831" i="1"/>
  <c r="N831" i="1"/>
  <c r="O831" i="1"/>
  <c r="P831" i="1"/>
  <c r="Q831" i="1"/>
  <c r="R831" i="1"/>
  <c r="S831" i="1"/>
  <c r="T831" i="1"/>
  <c r="U831" i="1"/>
  <c r="V831" i="1"/>
  <c r="W831" i="1"/>
  <c r="X831" i="1"/>
  <c r="Y831" i="1"/>
  <c r="Z831" i="1"/>
  <c r="A832" i="1"/>
  <c r="B832" i="1"/>
  <c r="C832" i="1"/>
  <c r="D832" i="1"/>
  <c r="E832" i="1"/>
  <c r="F832" i="1"/>
  <c r="G832" i="1"/>
  <c r="I832" i="1"/>
  <c r="J832" i="1"/>
  <c r="K832" i="1"/>
  <c r="L832" i="1"/>
  <c r="M832" i="1"/>
  <c r="N832" i="1"/>
  <c r="O832" i="1"/>
  <c r="P832" i="1"/>
  <c r="Q832" i="1"/>
  <c r="R832" i="1"/>
  <c r="S832" i="1"/>
  <c r="T832" i="1"/>
  <c r="U832" i="1"/>
  <c r="V832" i="1"/>
  <c r="W832" i="1"/>
  <c r="X832" i="1"/>
  <c r="Y832" i="1"/>
  <c r="Z832" i="1"/>
  <c r="A833" i="1"/>
  <c r="B833" i="1"/>
  <c r="C833" i="1"/>
  <c r="D833" i="1"/>
  <c r="E833" i="1"/>
  <c r="F833" i="1"/>
  <c r="G833" i="1"/>
  <c r="I833" i="1"/>
  <c r="J833" i="1"/>
  <c r="K833" i="1"/>
  <c r="L833" i="1"/>
  <c r="M833" i="1"/>
  <c r="N833" i="1"/>
  <c r="O833" i="1"/>
  <c r="P833" i="1"/>
  <c r="Q833" i="1"/>
  <c r="R833" i="1"/>
  <c r="S833" i="1"/>
  <c r="T833" i="1"/>
  <c r="U833" i="1"/>
  <c r="V833" i="1"/>
  <c r="W833" i="1"/>
  <c r="X833" i="1"/>
  <c r="Y833" i="1"/>
  <c r="Z833" i="1"/>
  <c r="A834" i="1"/>
  <c r="B834" i="1"/>
  <c r="C834" i="1"/>
  <c r="D834" i="1"/>
  <c r="E834" i="1"/>
  <c r="F834" i="1"/>
  <c r="G834" i="1"/>
  <c r="I834" i="1"/>
  <c r="J834" i="1"/>
  <c r="K834" i="1"/>
  <c r="L834" i="1"/>
  <c r="M834" i="1"/>
  <c r="N834" i="1"/>
  <c r="O834" i="1"/>
  <c r="P834" i="1"/>
  <c r="Q834" i="1"/>
  <c r="R834" i="1"/>
  <c r="S834" i="1"/>
  <c r="T834" i="1"/>
  <c r="U834" i="1"/>
  <c r="V834" i="1"/>
  <c r="W834" i="1"/>
  <c r="X834" i="1"/>
  <c r="Y834" i="1"/>
  <c r="Z834" i="1"/>
  <c r="A835" i="1"/>
  <c r="B835" i="1"/>
  <c r="C835" i="1"/>
  <c r="D835" i="1"/>
  <c r="E835" i="1"/>
  <c r="F835" i="1"/>
  <c r="G835" i="1"/>
  <c r="I835" i="1"/>
  <c r="J835" i="1"/>
  <c r="K835" i="1"/>
  <c r="L835" i="1"/>
  <c r="M835" i="1"/>
  <c r="N835" i="1"/>
  <c r="O835" i="1"/>
  <c r="P835" i="1"/>
  <c r="Q835" i="1"/>
  <c r="R835" i="1"/>
  <c r="S835" i="1"/>
  <c r="T835" i="1"/>
  <c r="U835" i="1"/>
  <c r="V835" i="1"/>
  <c r="W835" i="1"/>
  <c r="X835" i="1"/>
  <c r="Y835" i="1"/>
  <c r="Z835" i="1"/>
  <c r="A836" i="1"/>
  <c r="B836" i="1"/>
  <c r="C836" i="1"/>
  <c r="D836" i="1"/>
  <c r="E836" i="1"/>
  <c r="F836" i="1"/>
  <c r="G836" i="1"/>
  <c r="I836" i="1"/>
  <c r="J836" i="1"/>
  <c r="K836" i="1"/>
  <c r="L836" i="1"/>
  <c r="M836" i="1"/>
  <c r="N836" i="1"/>
  <c r="O836" i="1"/>
  <c r="P836" i="1"/>
  <c r="Q836" i="1"/>
  <c r="R836" i="1"/>
  <c r="S836" i="1"/>
  <c r="T836" i="1"/>
  <c r="U836" i="1"/>
  <c r="V836" i="1"/>
  <c r="W836" i="1"/>
  <c r="X836" i="1"/>
  <c r="Y836" i="1"/>
  <c r="Z836" i="1"/>
  <c r="A837" i="1"/>
  <c r="B837" i="1"/>
  <c r="C837" i="1"/>
  <c r="D837" i="1"/>
  <c r="E837" i="1"/>
  <c r="F837" i="1"/>
  <c r="G837" i="1"/>
  <c r="I837" i="1"/>
  <c r="J837" i="1"/>
  <c r="K837" i="1"/>
  <c r="L837" i="1"/>
  <c r="M837" i="1"/>
  <c r="N837" i="1"/>
  <c r="O837" i="1"/>
  <c r="P837" i="1"/>
  <c r="Q837" i="1"/>
  <c r="R837" i="1"/>
  <c r="S837" i="1"/>
  <c r="T837" i="1"/>
  <c r="U837" i="1"/>
  <c r="V837" i="1"/>
  <c r="W837" i="1"/>
  <c r="X837" i="1"/>
  <c r="Y837" i="1"/>
  <c r="Z837" i="1"/>
  <c r="A838" i="1"/>
  <c r="B838" i="1"/>
  <c r="C838" i="1"/>
  <c r="D838" i="1"/>
  <c r="E838" i="1"/>
  <c r="F838" i="1"/>
  <c r="G838" i="1"/>
  <c r="I838" i="1"/>
  <c r="J838" i="1"/>
  <c r="K838" i="1"/>
  <c r="L838" i="1"/>
  <c r="M838" i="1"/>
  <c r="N838" i="1"/>
  <c r="O838" i="1"/>
  <c r="P838" i="1"/>
  <c r="Q838" i="1"/>
  <c r="R838" i="1"/>
  <c r="S838" i="1"/>
  <c r="T838" i="1"/>
  <c r="U838" i="1"/>
  <c r="V838" i="1"/>
  <c r="W838" i="1"/>
  <c r="X838" i="1"/>
  <c r="Y838" i="1"/>
  <c r="Z838" i="1"/>
  <c r="A839" i="1"/>
  <c r="B839" i="1"/>
  <c r="C839" i="1"/>
  <c r="D839" i="1"/>
  <c r="E839" i="1"/>
  <c r="F839" i="1"/>
  <c r="G839" i="1"/>
  <c r="I839" i="1"/>
  <c r="J839" i="1"/>
  <c r="K839" i="1"/>
  <c r="L839" i="1"/>
  <c r="M839" i="1"/>
  <c r="N839" i="1"/>
  <c r="O839" i="1"/>
  <c r="P839" i="1"/>
  <c r="Q839" i="1"/>
  <c r="R839" i="1"/>
  <c r="S839" i="1"/>
  <c r="T839" i="1"/>
  <c r="U839" i="1"/>
  <c r="V839" i="1"/>
  <c r="W839" i="1"/>
  <c r="X839" i="1"/>
  <c r="Y839" i="1"/>
  <c r="Z839" i="1"/>
  <c r="A840" i="1"/>
  <c r="B840" i="1"/>
  <c r="C840" i="1"/>
  <c r="D840" i="1"/>
  <c r="E840" i="1"/>
  <c r="F840" i="1"/>
  <c r="G840" i="1"/>
  <c r="I840" i="1"/>
  <c r="J840" i="1"/>
  <c r="K840" i="1"/>
  <c r="L840" i="1"/>
  <c r="M840" i="1"/>
  <c r="N840" i="1"/>
  <c r="O840" i="1"/>
  <c r="P840" i="1"/>
  <c r="Q840" i="1"/>
  <c r="R840" i="1"/>
  <c r="S840" i="1"/>
  <c r="T840" i="1"/>
  <c r="U840" i="1"/>
  <c r="V840" i="1"/>
  <c r="W840" i="1"/>
  <c r="X840" i="1"/>
  <c r="Y840" i="1"/>
  <c r="Z840" i="1"/>
  <c r="A841" i="1"/>
  <c r="B841" i="1"/>
  <c r="C841" i="1"/>
  <c r="D841" i="1"/>
  <c r="E841" i="1"/>
  <c r="F841" i="1"/>
  <c r="G841" i="1"/>
  <c r="I841" i="1"/>
  <c r="J841" i="1"/>
  <c r="K841" i="1"/>
  <c r="L841" i="1"/>
  <c r="M841" i="1"/>
  <c r="N841" i="1"/>
  <c r="O841" i="1"/>
  <c r="P841" i="1"/>
  <c r="Q841" i="1"/>
  <c r="R841" i="1"/>
  <c r="S841" i="1"/>
  <c r="T841" i="1"/>
  <c r="U841" i="1"/>
  <c r="V841" i="1"/>
  <c r="W841" i="1"/>
  <c r="X841" i="1"/>
  <c r="Y841" i="1"/>
  <c r="Z841" i="1"/>
  <c r="A842" i="1"/>
  <c r="B842" i="1"/>
  <c r="C842" i="1"/>
  <c r="D842" i="1"/>
  <c r="E842" i="1"/>
  <c r="F842" i="1"/>
  <c r="G842" i="1"/>
  <c r="I842" i="1"/>
  <c r="J842" i="1"/>
  <c r="K842" i="1"/>
  <c r="L842" i="1"/>
  <c r="M842" i="1"/>
  <c r="N842" i="1"/>
  <c r="O842" i="1"/>
  <c r="P842" i="1"/>
  <c r="Q842" i="1"/>
  <c r="R842" i="1"/>
  <c r="S842" i="1"/>
  <c r="T842" i="1"/>
  <c r="U842" i="1"/>
  <c r="V842" i="1"/>
  <c r="W842" i="1"/>
  <c r="X842" i="1"/>
  <c r="Y842" i="1"/>
  <c r="Z842" i="1"/>
  <c r="A843" i="1"/>
  <c r="B843" i="1"/>
  <c r="C843" i="1"/>
  <c r="D843" i="1"/>
  <c r="E843" i="1"/>
  <c r="F843" i="1"/>
  <c r="G843" i="1"/>
  <c r="I843" i="1"/>
  <c r="J843" i="1"/>
  <c r="K843" i="1"/>
  <c r="L843" i="1"/>
  <c r="M843" i="1"/>
  <c r="N843" i="1"/>
  <c r="O843" i="1"/>
  <c r="P843" i="1"/>
  <c r="Q843" i="1"/>
  <c r="R843" i="1"/>
  <c r="S843" i="1"/>
  <c r="T843" i="1"/>
  <c r="U843" i="1"/>
  <c r="V843" i="1"/>
  <c r="W843" i="1"/>
  <c r="X843" i="1"/>
  <c r="Y843" i="1"/>
  <c r="Z843" i="1"/>
  <c r="A844" i="1"/>
  <c r="B844" i="1"/>
  <c r="C844" i="1"/>
  <c r="D844" i="1"/>
  <c r="E844" i="1"/>
  <c r="F844" i="1"/>
  <c r="G844" i="1"/>
  <c r="I844" i="1"/>
  <c r="J844" i="1"/>
  <c r="K844" i="1"/>
  <c r="L844" i="1"/>
  <c r="M844" i="1"/>
  <c r="N844" i="1"/>
  <c r="O844" i="1"/>
  <c r="P844" i="1"/>
  <c r="Q844" i="1"/>
  <c r="R844" i="1"/>
  <c r="S844" i="1"/>
  <c r="T844" i="1"/>
  <c r="U844" i="1"/>
  <c r="V844" i="1"/>
  <c r="W844" i="1"/>
  <c r="X844" i="1"/>
  <c r="Y844" i="1"/>
  <c r="Z844" i="1"/>
  <c r="A845" i="1"/>
  <c r="B845" i="1"/>
  <c r="C845" i="1"/>
  <c r="D845" i="1"/>
  <c r="E845" i="1"/>
  <c r="F845" i="1"/>
  <c r="G845" i="1"/>
  <c r="I845" i="1"/>
  <c r="J845" i="1"/>
  <c r="K845" i="1"/>
  <c r="L845" i="1"/>
  <c r="M845" i="1"/>
  <c r="N845" i="1"/>
  <c r="O845" i="1"/>
  <c r="P845" i="1"/>
  <c r="Q845" i="1"/>
  <c r="R845" i="1"/>
  <c r="S845" i="1"/>
  <c r="T845" i="1"/>
  <c r="U845" i="1"/>
  <c r="V845" i="1"/>
  <c r="W845" i="1"/>
  <c r="X845" i="1"/>
  <c r="Y845" i="1"/>
  <c r="Z845" i="1"/>
  <c r="A846" i="1"/>
  <c r="B846" i="1"/>
  <c r="C846" i="1"/>
  <c r="D846" i="1"/>
  <c r="E846" i="1"/>
  <c r="F846" i="1"/>
  <c r="G846" i="1"/>
  <c r="I846" i="1"/>
  <c r="J846" i="1"/>
  <c r="K846" i="1"/>
  <c r="L846" i="1"/>
  <c r="M846" i="1"/>
  <c r="N846" i="1"/>
  <c r="O846" i="1"/>
  <c r="P846" i="1"/>
  <c r="Q846" i="1"/>
  <c r="R846" i="1"/>
  <c r="S846" i="1"/>
  <c r="T846" i="1"/>
  <c r="U846" i="1"/>
  <c r="V846" i="1"/>
  <c r="W846" i="1"/>
  <c r="X846" i="1"/>
  <c r="Y846" i="1"/>
  <c r="Z846" i="1"/>
  <c r="A847" i="1"/>
  <c r="B847" i="1"/>
  <c r="C847" i="1"/>
  <c r="D847" i="1"/>
  <c r="E847" i="1"/>
  <c r="F847" i="1"/>
  <c r="G847" i="1"/>
  <c r="I847" i="1"/>
  <c r="J847" i="1"/>
  <c r="K847" i="1"/>
  <c r="L847" i="1"/>
  <c r="M847" i="1"/>
  <c r="N847" i="1"/>
  <c r="O847" i="1"/>
  <c r="P847" i="1"/>
  <c r="Q847" i="1"/>
  <c r="R847" i="1"/>
  <c r="S847" i="1"/>
  <c r="T847" i="1"/>
  <c r="U847" i="1"/>
  <c r="V847" i="1"/>
  <c r="W847" i="1"/>
  <c r="X847" i="1"/>
  <c r="Y847" i="1"/>
  <c r="Z847" i="1"/>
  <c r="A848" i="1"/>
  <c r="B848" i="1"/>
  <c r="C848" i="1"/>
  <c r="D848" i="1"/>
  <c r="E848" i="1"/>
  <c r="F848" i="1"/>
  <c r="G848" i="1"/>
  <c r="I848" i="1"/>
  <c r="J848" i="1"/>
  <c r="K848" i="1"/>
  <c r="L848" i="1"/>
  <c r="M848" i="1"/>
  <c r="N848" i="1"/>
  <c r="O848" i="1"/>
  <c r="P848" i="1"/>
  <c r="Q848" i="1"/>
  <c r="R848" i="1"/>
  <c r="S848" i="1"/>
  <c r="T848" i="1"/>
  <c r="U848" i="1"/>
  <c r="V848" i="1"/>
  <c r="W848" i="1"/>
  <c r="X848" i="1"/>
  <c r="Y848" i="1"/>
  <c r="Z848" i="1"/>
  <c r="A849" i="1"/>
  <c r="B849" i="1"/>
  <c r="C849" i="1"/>
  <c r="D849" i="1"/>
  <c r="E849" i="1"/>
  <c r="F849" i="1"/>
  <c r="G849" i="1"/>
  <c r="I849" i="1"/>
  <c r="J849" i="1"/>
  <c r="K849" i="1"/>
  <c r="L849" i="1"/>
  <c r="M849" i="1"/>
  <c r="N849" i="1"/>
  <c r="O849" i="1"/>
  <c r="P849" i="1"/>
  <c r="Q849" i="1"/>
  <c r="R849" i="1"/>
  <c r="S849" i="1"/>
  <c r="T849" i="1"/>
  <c r="U849" i="1"/>
  <c r="V849" i="1"/>
  <c r="W849" i="1"/>
  <c r="X849" i="1"/>
  <c r="Y849" i="1"/>
  <c r="Z849" i="1"/>
  <c r="A850" i="1"/>
  <c r="B850" i="1"/>
  <c r="C850" i="1"/>
  <c r="D850" i="1"/>
  <c r="E850" i="1"/>
  <c r="F850" i="1"/>
  <c r="G850" i="1"/>
  <c r="I850" i="1"/>
  <c r="J850" i="1"/>
  <c r="K850" i="1"/>
  <c r="L850" i="1"/>
  <c r="M850" i="1"/>
  <c r="N850" i="1"/>
  <c r="O850" i="1"/>
  <c r="P850" i="1"/>
  <c r="Q850" i="1"/>
  <c r="R850" i="1"/>
  <c r="S850" i="1"/>
  <c r="T850" i="1"/>
  <c r="U850" i="1"/>
  <c r="V850" i="1"/>
  <c r="W850" i="1"/>
  <c r="X850" i="1"/>
  <c r="Y850" i="1"/>
  <c r="Z850" i="1"/>
  <c r="A851" i="1"/>
  <c r="B851" i="1"/>
  <c r="C851" i="1"/>
  <c r="D851" i="1"/>
  <c r="E851" i="1"/>
  <c r="F851" i="1"/>
  <c r="G851" i="1"/>
  <c r="I851" i="1"/>
  <c r="J851" i="1"/>
  <c r="K851" i="1"/>
  <c r="L851" i="1"/>
  <c r="M851" i="1"/>
  <c r="N851" i="1"/>
  <c r="O851" i="1"/>
  <c r="P851" i="1"/>
  <c r="Q851" i="1"/>
  <c r="R851" i="1"/>
  <c r="S851" i="1"/>
  <c r="T851" i="1"/>
  <c r="U851" i="1"/>
  <c r="V851" i="1"/>
  <c r="W851" i="1"/>
  <c r="X851" i="1"/>
  <c r="Y851" i="1"/>
  <c r="Z851" i="1"/>
  <c r="A852" i="1"/>
  <c r="B852" i="1"/>
  <c r="C852" i="1"/>
  <c r="D852" i="1"/>
  <c r="E852" i="1"/>
  <c r="F852" i="1"/>
  <c r="G852" i="1"/>
  <c r="I852" i="1"/>
  <c r="J852" i="1"/>
  <c r="K852" i="1"/>
  <c r="L852" i="1"/>
  <c r="M852" i="1"/>
  <c r="N852" i="1"/>
  <c r="O852" i="1"/>
  <c r="P852" i="1"/>
  <c r="Q852" i="1"/>
  <c r="R852" i="1"/>
  <c r="S852" i="1"/>
  <c r="T852" i="1"/>
  <c r="U852" i="1"/>
  <c r="V852" i="1"/>
  <c r="W852" i="1"/>
  <c r="X852" i="1"/>
  <c r="Y852" i="1"/>
  <c r="Z852" i="1"/>
  <c r="A853" i="1"/>
  <c r="B853" i="1"/>
  <c r="C853" i="1"/>
  <c r="D853" i="1"/>
  <c r="E853" i="1"/>
  <c r="F853" i="1"/>
  <c r="G853" i="1"/>
  <c r="I853" i="1"/>
  <c r="J853" i="1"/>
  <c r="K853" i="1"/>
  <c r="L853" i="1"/>
  <c r="M853" i="1"/>
  <c r="N853" i="1"/>
  <c r="O853" i="1"/>
  <c r="P853" i="1"/>
  <c r="Q853" i="1"/>
  <c r="R853" i="1"/>
  <c r="S853" i="1"/>
  <c r="T853" i="1"/>
  <c r="U853" i="1"/>
  <c r="V853" i="1"/>
  <c r="W853" i="1"/>
  <c r="X853" i="1"/>
  <c r="Y853" i="1"/>
  <c r="Z853" i="1"/>
  <c r="A854" i="1"/>
  <c r="B854" i="1"/>
  <c r="C854" i="1"/>
  <c r="D854" i="1"/>
  <c r="E854" i="1"/>
  <c r="F854" i="1"/>
  <c r="G854" i="1"/>
  <c r="I854" i="1"/>
  <c r="J854" i="1"/>
  <c r="K854" i="1"/>
  <c r="L854" i="1"/>
  <c r="M854" i="1"/>
  <c r="N854" i="1"/>
  <c r="O854" i="1"/>
  <c r="P854" i="1"/>
  <c r="Q854" i="1"/>
  <c r="R854" i="1"/>
  <c r="S854" i="1"/>
  <c r="T854" i="1"/>
  <c r="U854" i="1"/>
  <c r="V854" i="1"/>
  <c r="W854" i="1"/>
  <c r="X854" i="1"/>
  <c r="Y854" i="1"/>
  <c r="Z854" i="1"/>
  <c r="A855" i="1"/>
  <c r="B855" i="1"/>
  <c r="C855" i="1"/>
  <c r="D855" i="1"/>
  <c r="E855" i="1"/>
  <c r="F855" i="1"/>
  <c r="G855" i="1"/>
  <c r="I855" i="1"/>
  <c r="J855" i="1"/>
  <c r="K855" i="1"/>
  <c r="L855" i="1"/>
  <c r="M855" i="1"/>
  <c r="N855" i="1"/>
  <c r="O855" i="1"/>
  <c r="P855" i="1"/>
  <c r="Q855" i="1"/>
  <c r="R855" i="1"/>
  <c r="S855" i="1"/>
  <c r="T855" i="1"/>
  <c r="U855" i="1"/>
  <c r="V855" i="1"/>
  <c r="W855" i="1"/>
  <c r="X855" i="1"/>
  <c r="Y855" i="1"/>
  <c r="Z855" i="1"/>
  <c r="A856" i="1"/>
  <c r="B856" i="1"/>
  <c r="C856" i="1"/>
  <c r="D856" i="1"/>
  <c r="E856" i="1"/>
  <c r="F856" i="1"/>
  <c r="G856" i="1"/>
  <c r="I856" i="1"/>
  <c r="J856" i="1"/>
  <c r="K856" i="1"/>
  <c r="L856" i="1"/>
  <c r="M856" i="1"/>
  <c r="N856" i="1"/>
  <c r="O856" i="1"/>
  <c r="P856" i="1"/>
  <c r="Q856" i="1"/>
  <c r="R856" i="1"/>
  <c r="S856" i="1"/>
  <c r="T856" i="1"/>
  <c r="U856" i="1"/>
  <c r="V856" i="1"/>
  <c r="W856" i="1"/>
  <c r="X856" i="1"/>
  <c r="Y856" i="1"/>
  <c r="Z856" i="1"/>
  <c r="A857" i="1"/>
  <c r="B857" i="1"/>
  <c r="C857" i="1"/>
  <c r="D857" i="1"/>
  <c r="E857" i="1"/>
  <c r="F857" i="1"/>
  <c r="G857" i="1"/>
  <c r="I857" i="1"/>
  <c r="J857" i="1"/>
  <c r="K857" i="1"/>
  <c r="L857" i="1"/>
  <c r="M857" i="1"/>
  <c r="N857" i="1"/>
  <c r="O857" i="1"/>
  <c r="P857" i="1"/>
  <c r="Q857" i="1"/>
  <c r="R857" i="1"/>
  <c r="S857" i="1"/>
  <c r="T857" i="1"/>
  <c r="U857" i="1"/>
  <c r="V857" i="1"/>
  <c r="W857" i="1"/>
  <c r="X857" i="1"/>
  <c r="Y857" i="1"/>
  <c r="Z857" i="1"/>
  <c r="A858" i="1"/>
  <c r="B858" i="1"/>
  <c r="C858" i="1"/>
  <c r="D858" i="1"/>
  <c r="E858" i="1"/>
  <c r="F858" i="1"/>
  <c r="G858" i="1"/>
  <c r="I858" i="1"/>
  <c r="J858" i="1"/>
  <c r="K858" i="1"/>
  <c r="L858" i="1"/>
  <c r="M858" i="1"/>
  <c r="N858" i="1"/>
  <c r="O858" i="1"/>
  <c r="P858" i="1"/>
  <c r="Q858" i="1"/>
  <c r="R858" i="1"/>
  <c r="S858" i="1"/>
  <c r="T858" i="1"/>
  <c r="U858" i="1"/>
  <c r="V858" i="1"/>
  <c r="W858" i="1"/>
  <c r="X858" i="1"/>
  <c r="Y858" i="1"/>
  <c r="Z858" i="1"/>
  <c r="A859" i="1"/>
  <c r="B859" i="1"/>
  <c r="C859" i="1"/>
  <c r="D859" i="1"/>
  <c r="E859" i="1"/>
  <c r="F859" i="1"/>
  <c r="G859" i="1"/>
  <c r="I859" i="1"/>
  <c r="J859" i="1"/>
  <c r="K859" i="1"/>
  <c r="L859" i="1"/>
  <c r="M859" i="1"/>
  <c r="N859" i="1"/>
  <c r="O859" i="1"/>
  <c r="P859" i="1"/>
  <c r="Q859" i="1"/>
  <c r="R859" i="1"/>
  <c r="S859" i="1"/>
  <c r="T859" i="1"/>
  <c r="U859" i="1"/>
  <c r="V859" i="1"/>
  <c r="W859" i="1"/>
  <c r="X859" i="1"/>
  <c r="Y859" i="1"/>
  <c r="Z859" i="1"/>
  <c r="A860" i="1"/>
  <c r="B860" i="1"/>
  <c r="C860" i="1"/>
  <c r="D860" i="1"/>
  <c r="E860" i="1"/>
  <c r="F860" i="1"/>
  <c r="G860" i="1"/>
  <c r="I860" i="1"/>
  <c r="J860" i="1"/>
  <c r="K860" i="1"/>
  <c r="L860" i="1"/>
  <c r="M860" i="1"/>
  <c r="N860" i="1"/>
  <c r="O860" i="1"/>
  <c r="P860" i="1"/>
  <c r="Q860" i="1"/>
  <c r="R860" i="1"/>
  <c r="S860" i="1"/>
  <c r="T860" i="1"/>
  <c r="U860" i="1"/>
  <c r="V860" i="1"/>
  <c r="W860" i="1"/>
  <c r="X860" i="1"/>
  <c r="Y860" i="1"/>
  <c r="Z860" i="1"/>
  <c r="A861" i="1"/>
  <c r="B861" i="1"/>
  <c r="C861" i="1"/>
  <c r="D861" i="1"/>
  <c r="E861" i="1"/>
  <c r="F861" i="1"/>
  <c r="G861" i="1"/>
  <c r="I861" i="1"/>
  <c r="J861" i="1"/>
  <c r="K861" i="1"/>
  <c r="L861" i="1"/>
  <c r="M861" i="1"/>
  <c r="N861" i="1"/>
  <c r="O861" i="1"/>
  <c r="P861" i="1"/>
  <c r="Q861" i="1"/>
  <c r="R861" i="1"/>
  <c r="S861" i="1"/>
  <c r="T861" i="1"/>
  <c r="U861" i="1"/>
  <c r="V861" i="1"/>
  <c r="W861" i="1"/>
  <c r="X861" i="1"/>
  <c r="Y861" i="1"/>
  <c r="Z861" i="1"/>
  <c r="A862" i="1"/>
  <c r="B862" i="1"/>
  <c r="C862" i="1"/>
  <c r="D862" i="1"/>
  <c r="E862" i="1"/>
  <c r="F862" i="1"/>
  <c r="G862" i="1"/>
  <c r="I862" i="1"/>
  <c r="J862" i="1"/>
  <c r="K862" i="1"/>
  <c r="L862" i="1"/>
  <c r="M862" i="1"/>
  <c r="N862" i="1"/>
  <c r="O862" i="1"/>
  <c r="P862" i="1"/>
  <c r="Q862" i="1"/>
  <c r="R862" i="1"/>
  <c r="S862" i="1"/>
  <c r="T862" i="1"/>
  <c r="U862" i="1"/>
  <c r="V862" i="1"/>
  <c r="W862" i="1"/>
  <c r="X862" i="1"/>
  <c r="Y862" i="1"/>
  <c r="Z862" i="1"/>
  <c r="A863" i="1"/>
  <c r="B863" i="1"/>
  <c r="C863" i="1"/>
  <c r="D863" i="1"/>
  <c r="E863" i="1"/>
  <c r="F863" i="1"/>
  <c r="G863" i="1"/>
  <c r="I863" i="1"/>
  <c r="J863" i="1"/>
  <c r="K863" i="1"/>
  <c r="L863" i="1"/>
  <c r="M863" i="1"/>
  <c r="N863" i="1"/>
  <c r="O863" i="1"/>
  <c r="P863" i="1"/>
  <c r="Q863" i="1"/>
  <c r="R863" i="1"/>
  <c r="S863" i="1"/>
  <c r="T863" i="1"/>
  <c r="U863" i="1"/>
  <c r="V863" i="1"/>
  <c r="W863" i="1"/>
  <c r="X863" i="1"/>
  <c r="Y863" i="1"/>
  <c r="Z863" i="1"/>
  <c r="A864" i="1"/>
  <c r="B864" i="1"/>
  <c r="C864" i="1"/>
  <c r="D864" i="1"/>
  <c r="E864" i="1"/>
  <c r="F864" i="1"/>
  <c r="G864" i="1"/>
  <c r="I864" i="1"/>
  <c r="J864" i="1"/>
  <c r="K864" i="1"/>
  <c r="L864" i="1"/>
  <c r="M864" i="1"/>
  <c r="N864" i="1"/>
  <c r="O864" i="1"/>
  <c r="P864" i="1"/>
  <c r="Q864" i="1"/>
  <c r="R864" i="1"/>
  <c r="S864" i="1"/>
  <c r="T864" i="1"/>
  <c r="U864" i="1"/>
  <c r="V864" i="1"/>
  <c r="W864" i="1"/>
  <c r="X864" i="1"/>
  <c r="Y864" i="1"/>
  <c r="Z864" i="1"/>
  <c r="A865" i="1"/>
  <c r="B865" i="1"/>
  <c r="C865" i="1"/>
  <c r="D865" i="1"/>
  <c r="E865" i="1"/>
  <c r="F865" i="1"/>
  <c r="G865" i="1"/>
  <c r="I865" i="1"/>
  <c r="J865" i="1"/>
  <c r="K865" i="1"/>
  <c r="L865" i="1"/>
  <c r="M865" i="1"/>
  <c r="N865" i="1"/>
  <c r="O865" i="1"/>
  <c r="P865" i="1"/>
  <c r="Q865" i="1"/>
  <c r="R865" i="1"/>
  <c r="S865" i="1"/>
  <c r="T865" i="1"/>
  <c r="U865" i="1"/>
  <c r="V865" i="1"/>
  <c r="W865" i="1"/>
  <c r="X865" i="1"/>
  <c r="Y865" i="1"/>
  <c r="Z865" i="1"/>
  <c r="A866" i="1"/>
  <c r="B866" i="1"/>
  <c r="C866" i="1"/>
  <c r="D866" i="1"/>
  <c r="E866" i="1"/>
  <c r="F866" i="1"/>
  <c r="G866" i="1"/>
  <c r="I866" i="1"/>
  <c r="J866" i="1"/>
  <c r="K866" i="1"/>
  <c r="L866" i="1"/>
  <c r="M866" i="1"/>
  <c r="N866" i="1"/>
  <c r="O866" i="1"/>
  <c r="P866" i="1"/>
  <c r="Q866" i="1"/>
  <c r="R866" i="1"/>
  <c r="S866" i="1"/>
  <c r="T866" i="1"/>
  <c r="U866" i="1"/>
  <c r="V866" i="1"/>
  <c r="W866" i="1"/>
  <c r="X866" i="1"/>
  <c r="Y866" i="1"/>
  <c r="Z866" i="1"/>
  <c r="A867" i="1"/>
  <c r="B867" i="1"/>
  <c r="C867" i="1"/>
  <c r="D867" i="1"/>
  <c r="E867" i="1"/>
  <c r="F867" i="1"/>
  <c r="G867" i="1"/>
  <c r="I867" i="1"/>
  <c r="J867" i="1"/>
  <c r="K867" i="1"/>
  <c r="L867" i="1"/>
  <c r="M867" i="1"/>
  <c r="N867" i="1"/>
  <c r="O867" i="1"/>
  <c r="P867" i="1"/>
  <c r="Q867" i="1"/>
  <c r="R867" i="1"/>
  <c r="S867" i="1"/>
  <c r="T867" i="1"/>
  <c r="U867" i="1"/>
  <c r="V867" i="1"/>
  <c r="W867" i="1"/>
  <c r="X867" i="1"/>
  <c r="Y867" i="1"/>
  <c r="Z867" i="1"/>
  <c r="A868" i="1"/>
  <c r="B868" i="1"/>
  <c r="C868" i="1"/>
  <c r="D868" i="1"/>
  <c r="E868" i="1"/>
  <c r="F868" i="1"/>
  <c r="G868" i="1"/>
  <c r="I868" i="1"/>
  <c r="J868" i="1"/>
  <c r="K868" i="1"/>
  <c r="L868" i="1"/>
  <c r="M868" i="1"/>
  <c r="N868" i="1"/>
  <c r="O868" i="1"/>
  <c r="P868" i="1"/>
  <c r="Q868" i="1"/>
  <c r="R868" i="1"/>
  <c r="S868" i="1"/>
  <c r="T868" i="1"/>
  <c r="U868" i="1"/>
  <c r="V868" i="1"/>
  <c r="W868" i="1"/>
  <c r="X868" i="1"/>
  <c r="Y868" i="1"/>
  <c r="Z868" i="1"/>
  <c r="A869" i="1"/>
  <c r="B869" i="1"/>
  <c r="C869" i="1"/>
  <c r="D869" i="1"/>
  <c r="E869" i="1"/>
  <c r="F869" i="1"/>
  <c r="G869" i="1"/>
  <c r="I869" i="1"/>
  <c r="J869" i="1"/>
  <c r="K869" i="1"/>
  <c r="L869" i="1"/>
  <c r="M869" i="1"/>
  <c r="N869" i="1"/>
  <c r="O869" i="1"/>
  <c r="P869" i="1"/>
  <c r="Q869" i="1"/>
  <c r="R869" i="1"/>
  <c r="S869" i="1"/>
  <c r="T869" i="1"/>
  <c r="U869" i="1"/>
  <c r="V869" i="1"/>
  <c r="W869" i="1"/>
  <c r="X869" i="1"/>
  <c r="Y869" i="1"/>
  <c r="Z869" i="1"/>
  <c r="A870" i="1"/>
  <c r="B870" i="1"/>
  <c r="C870" i="1"/>
  <c r="D870" i="1"/>
  <c r="E870" i="1"/>
  <c r="F870" i="1"/>
  <c r="G870" i="1"/>
  <c r="I870" i="1"/>
  <c r="J870" i="1"/>
  <c r="K870" i="1"/>
  <c r="L870" i="1"/>
  <c r="M870" i="1"/>
  <c r="N870" i="1"/>
  <c r="O870" i="1"/>
  <c r="P870" i="1"/>
  <c r="Q870" i="1"/>
  <c r="R870" i="1"/>
  <c r="S870" i="1"/>
  <c r="T870" i="1"/>
  <c r="U870" i="1"/>
  <c r="V870" i="1"/>
  <c r="W870" i="1"/>
  <c r="X870" i="1"/>
  <c r="Y870" i="1"/>
  <c r="Z870" i="1"/>
  <c r="A871" i="1"/>
  <c r="B871" i="1"/>
  <c r="C871" i="1"/>
  <c r="D871" i="1"/>
  <c r="E871" i="1"/>
  <c r="F871" i="1"/>
  <c r="G871" i="1"/>
  <c r="I871" i="1"/>
  <c r="J871" i="1"/>
  <c r="K871" i="1"/>
  <c r="L871" i="1"/>
  <c r="M871" i="1"/>
  <c r="N871" i="1"/>
  <c r="O871" i="1"/>
  <c r="P871" i="1"/>
  <c r="Q871" i="1"/>
  <c r="R871" i="1"/>
  <c r="S871" i="1"/>
  <c r="T871" i="1"/>
  <c r="U871" i="1"/>
  <c r="V871" i="1"/>
  <c r="W871" i="1"/>
  <c r="X871" i="1"/>
  <c r="Y871" i="1"/>
  <c r="Z871" i="1"/>
  <c r="A872" i="1"/>
  <c r="B872" i="1"/>
  <c r="C872" i="1"/>
  <c r="D872" i="1"/>
  <c r="E872" i="1"/>
  <c r="F872" i="1"/>
  <c r="G872" i="1"/>
  <c r="I872" i="1"/>
  <c r="J872" i="1"/>
  <c r="K872" i="1"/>
  <c r="L872" i="1"/>
  <c r="M872" i="1"/>
  <c r="N872" i="1"/>
  <c r="O872" i="1"/>
  <c r="P872" i="1"/>
  <c r="Q872" i="1"/>
  <c r="R872" i="1"/>
  <c r="S872" i="1"/>
  <c r="T872" i="1"/>
  <c r="U872" i="1"/>
  <c r="V872" i="1"/>
  <c r="W872" i="1"/>
  <c r="X872" i="1"/>
  <c r="Y872" i="1"/>
  <c r="Z872" i="1"/>
  <c r="A873" i="1"/>
  <c r="B873" i="1"/>
  <c r="C873" i="1"/>
  <c r="D873" i="1"/>
  <c r="E873" i="1"/>
  <c r="F873" i="1"/>
  <c r="G873" i="1"/>
  <c r="I873" i="1"/>
  <c r="J873" i="1"/>
  <c r="K873" i="1"/>
  <c r="L873" i="1"/>
  <c r="M873" i="1"/>
  <c r="N873" i="1"/>
  <c r="O873" i="1"/>
  <c r="P873" i="1"/>
  <c r="Q873" i="1"/>
  <c r="R873" i="1"/>
  <c r="S873" i="1"/>
  <c r="T873" i="1"/>
  <c r="U873" i="1"/>
  <c r="V873" i="1"/>
  <c r="W873" i="1"/>
  <c r="X873" i="1"/>
  <c r="Y873" i="1"/>
  <c r="Z873" i="1"/>
  <c r="A874" i="1"/>
  <c r="B874" i="1"/>
  <c r="C874" i="1"/>
  <c r="D874" i="1"/>
  <c r="E874" i="1"/>
  <c r="F874" i="1"/>
  <c r="G874" i="1"/>
  <c r="I874" i="1"/>
  <c r="J874" i="1"/>
  <c r="K874" i="1"/>
  <c r="L874" i="1"/>
  <c r="M874" i="1"/>
  <c r="N874" i="1"/>
  <c r="O874" i="1"/>
  <c r="P874" i="1"/>
  <c r="Q874" i="1"/>
  <c r="R874" i="1"/>
  <c r="S874" i="1"/>
  <c r="T874" i="1"/>
  <c r="U874" i="1"/>
  <c r="V874" i="1"/>
  <c r="W874" i="1"/>
  <c r="X874" i="1"/>
  <c r="Y874" i="1"/>
  <c r="Z874" i="1"/>
  <c r="A875" i="1"/>
  <c r="B875" i="1"/>
  <c r="C875" i="1"/>
  <c r="D875" i="1"/>
  <c r="E875" i="1"/>
  <c r="F875" i="1"/>
  <c r="G875" i="1"/>
  <c r="I875" i="1"/>
  <c r="J875" i="1"/>
  <c r="K875" i="1"/>
  <c r="L875" i="1"/>
  <c r="M875" i="1"/>
  <c r="N875" i="1"/>
  <c r="O875" i="1"/>
  <c r="P875" i="1"/>
  <c r="Q875" i="1"/>
  <c r="R875" i="1"/>
  <c r="S875" i="1"/>
  <c r="T875" i="1"/>
  <c r="U875" i="1"/>
  <c r="V875" i="1"/>
  <c r="W875" i="1"/>
  <c r="X875" i="1"/>
  <c r="Y875" i="1"/>
  <c r="Z875" i="1"/>
  <c r="A876" i="1"/>
  <c r="B876" i="1"/>
  <c r="C876" i="1"/>
  <c r="D876" i="1"/>
  <c r="E876" i="1"/>
  <c r="F876" i="1"/>
  <c r="G876" i="1"/>
  <c r="I876" i="1"/>
  <c r="J876" i="1"/>
  <c r="K876" i="1"/>
  <c r="L876" i="1"/>
  <c r="M876" i="1"/>
  <c r="N876" i="1"/>
  <c r="O876" i="1"/>
  <c r="P876" i="1"/>
  <c r="Q876" i="1"/>
  <c r="R876" i="1"/>
  <c r="S876" i="1"/>
  <c r="T876" i="1"/>
  <c r="U876" i="1"/>
  <c r="V876" i="1"/>
  <c r="W876" i="1"/>
  <c r="X876" i="1"/>
  <c r="Y876" i="1"/>
  <c r="Z876" i="1"/>
  <c r="A877" i="1"/>
  <c r="B877" i="1"/>
  <c r="C877" i="1"/>
  <c r="D877" i="1"/>
  <c r="E877" i="1"/>
  <c r="F877" i="1"/>
  <c r="G877" i="1"/>
  <c r="I877" i="1"/>
  <c r="J877" i="1"/>
  <c r="K877" i="1"/>
  <c r="L877" i="1"/>
  <c r="M877" i="1"/>
  <c r="N877" i="1"/>
  <c r="O877" i="1"/>
  <c r="P877" i="1"/>
  <c r="Q877" i="1"/>
  <c r="R877" i="1"/>
  <c r="S877" i="1"/>
  <c r="T877" i="1"/>
  <c r="U877" i="1"/>
  <c r="V877" i="1"/>
  <c r="W877" i="1"/>
  <c r="X877" i="1"/>
  <c r="Y877" i="1"/>
  <c r="Z877" i="1"/>
  <c r="A878" i="1"/>
  <c r="B878" i="1"/>
  <c r="C878" i="1"/>
  <c r="D878" i="1"/>
  <c r="E878" i="1"/>
  <c r="F878" i="1"/>
  <c r="G878" i="1"/>
  <c r="I878" i="1"/>
  <c r="J878" i="1"/>
  <c r="K878" i="1"/>
  <c r="L878" i="1"/>
  <c r="M878" i="1"/>
  <c r="N878" i="1"/>
  <c r="O878" i="1"/>
  <c r="P878" i="1"/>
  <c r="Q878" i="1"/>
  <c r="R878" i="1"/>
  <c r="S878" i="1"/>
  <c r="T878" i="1"/>
  <c r="U878" i="1"/>
  <c r="V878" i="1"/>
  <c r="W878" i="1"/>
  <c r="X878" i="1"/>
  <c r="Y878" i="1"/>
  <c r="Z878" i="1"/>
  <c r="A879" i="1"/>
  <c r="B879" i="1"/>
  <c r="C879" i="1"/>
  <c r="D879" i="1"/>
  <c r="E879" i="1"/>
  <c r="F879" i="1"/>
  <c r="G879" i="1"/>
  <c r="I879" i="1"/>
  <c r="J879" i="1"/>
  <c r="K879" i="1"/>
  <c r="L879" i="1"/>
  <c r="M879" i="1"/>
  <c r="N879" i="1"/>
  <c r="O879" i="1"/>
  <c r="P879" i="1"/>
  <c r="Q879" i="1"/>
  <c r="R879" i="1"/>
  <c r="S879" i="1"/>
  <c r="T879" i="1"/>
  <c r="U879" i="1"/>
  <c r="V879" i="1"/>
  <c r="W879" i="1"/>
  <c r="X879" i="1"/>
  <c r="Y879" i="1"/>
  <c r="Z879" i="1"/>
  <c r="A880" i="1"/>
  <c r="B880" i="1"/>
  <c r="C880" i="1"/>
  <c r="D880" i="1"/>
  <c r="E880" i="1"/>
  <c r="F880" i="1"/>
  <c r="G880" i="1"/>
  <c r="I880" i="1"/>
  <c r="J880" i="1"/>
  <c r="K880" i="1"/>
  <c r="L880" i="1"/>
  <c r="M880" i="1"/>
  <c r="N880" i="1"/>
  <c r="O880" i="1"/>
  <c r="P880" i="1"/>
  <c r="Q880" i="1"/>
  <c r="R880" i="1"/>
  <c r="S880" i="1"/>
  <c r="T880" i="1"/>
  <c r="U880" i="1"/>
  <c r="V880" i="1"/>
  <c r="W880" i="1"/>
  <c r="X880" i="1"/>
  <c r="Y880" i="1"/>
  <c r="Z880" i="1"/>
  <c r="A881" i="1"/>
  <c r="B881" i="1"/>
  <c r="C881" i="1"/>
  <c r="D881" i="1"/>
  <c r="E881" i="1"/>
  <c r="F881" i="1"/>
  <c r="G881" i="1"/>
  <c r="I881" i="1"/>
  <c r="J881" i="1"/>
  <c r="K881" i="1"/>
  <c r="L881" i="1"/>
  <c r="M881" i="1"/>
  <c r="N881" i="1"/>
  <c r="O881" i="1"/>
  <c r="P881" i="1"/>
  <c r="Q881" i="1"/>
  <c r="R881" i="1"/>
  <c r="S881" i="1"/>
  <c r="T881" i="1"/>
  <c r="U881" i="1"/>
  <c r="V881" i="1"/>
  <c r="W881" i="1"/>
  <c r="X881" i="1"/>
  <c r="Y881" i="1"/>
  <c r="Z881" i="1"/>
  <c r="A882" i="1"/>
  <c r="B882" i="1"/>
  <c r="C882" i="1"/>
  <c r="D882" i="1"/>
  <c r="E882" i="1"/>
  <c r="F882" i="1"/>
  <c r="G882" i="1"/>
  <c r="I882" i="1"/>
  <c r="J882" i="1"/>
  <c r="K882" i="1"/>
  <c r="L882" i="1"/>
  <c r="M882" i="1"/>
  <c r="N882" i="1"/>
  <c r="O882" i="1"/>
  <c r="P882" i="1"/>
  <c r="Q882" i="1"/>
  <c r="R882" i="1"/>
  <c r="S882" i="1"/>
  <c r="T882" i="1"/>
  <c r="U882" i="1"/>
  <c r="V882" i="1"/>
  <c r="W882" i="1"/>
  <c r="X882" i="1"/>
  <c r="Y882" i="1"/>
  <c r="Z882" i="1"/>
  <c r="A883" i="1"/>
  <c r="B883" i="1"/>
  <c r="C883" i="1"/>
  <c r="D883" i="1"/>
  <c r="E883" i="1"/>
  <c r="F883" i="1"/>
  <c r="G883" i="1"/>
  <c r="I883" i="1"/>
  <c r="J883" i="1"/>
  <c r="K883" i="1"/>
  <c r="L883" i="1"/>
  <c r="M883" i="1"/>
  <c r="N883" i="1"/>
  <c r="O883" i="1"/>
  <c r="P883" i="1"/>
  <c r="Q883" i="1"/>
  <c r="R883" i="1"/>
  <c r="S883" i="1"/>
  <c r="T883" i="1"/>
  <c r="U883" i="1"/>
  <c r="V883" i="1"/>
  <c r="W883" i="1"/>
  <c r="X883" i="1"/>
  <c r="Y883" i="1"/>
  <c r="Z883" i="1"/>
  <c r="A884" i="1"/>
  <c r="B884" i="1"/>
  <c r="C884" i="1"/>
  <c r="D884" i="1"/>
  <c r="E884" i="1"/>
  <c r="F884" i="1"/>
  <c r="G884" i="1"/>
  <c r="I884" i="1"/>
  <c r="J884" i="1"/>
  <c r="K884" i="1"/>
  <c r="L884" i="1"/>
  <c r="M884" i="1"/>
  <c r="N884" i="1"/>
  <c r="O884" i="1"/>
  <c r="P884" i="1"/>
  <c r="Q884" i="1"/>
  <c r="R884" i="1"/>
  <c r="S884" i="1"/>
  <c r="T884" i="1"/>
  <c r="U884" i="1"/>
  <c r="V884" i="1"/>
  <c r="W884" i="1"/>
  <c r="X884" i="1"/>
  <c r="Y884" i="1"/>
  <c r="Z884" i="1"/>
  <c r="A885" i="1"/>
  <c r="B885" i="1"/>
  <c r="C885" i="1"/>
  <c r="D885" i="1"/>
  <c r="E885" i="1"/>
  <c r="F885" i="1"/>
  <c r="G885" i="1"/>
  <c r="I885" i="1"/>
  <c r="J885" i="1"/>
  <c r="K885" i="1"/>
  <c r="L885" i="1"/>
  <c r="M885" i="1"/>
  <c r="N885" i="1"/>
  <c r="O885" i="1"/>
  <c r="P885" i="1"/>
  <c r="Q885" i="1"/>
  <c r="R885" i="1"/>
  <c r="S885" i="1"/>
  <c r="T885" i="1"/>
  <c r="U885" i="1"/>
  <c r="V885" i="1"/>
  <c r="W885" i="1"/>
  <c r="X885" i="1"/>
  <c r="Y885" i="1"/>
  <c r="Z885" i="1"/>
  <c r="A886" i="1"/>
  <c r="B886" i="1"/>
  <c r="C886" i="1"/>
  <c r="D886" i="1"/>
  <c r="E886" i="1"/>
  <c r="F886" i="1"/>
  <c r="G886" i="1"/>
  <c r="I886" i="1"/>
  <c r="J886" i="1"/>
  <c r="K886" i="1"/>
  <c r="L886" i="1"/>
  <c r="M886" i="1"/>
  <c r="N886" i="1"/>
  <c r="O886" i="1"/>
  <c r="P886" i="1"/>
  <c r="Q886" i="1"/>
  <c r="R886" i="1"/>
  <c r="S886" i="1"/>
  <c r="T886" i="1"/>
  <c r="U886" i="1"/>
  <c r="V886" i="1"/>
  <c r="W886" i="1"/>
  <c r="X886" i="1"/>
  <c r="Y886" i="1"/>
  <c r="Z886" i="1"/>
  <c r="A887" i="1"/>
  <c r="B887" i="1"/>
  <c r="C887" i="1"/>
  <c r="D887" i="1"/>
  <c r="E887" i="1"/>
  <c r="F887" i="1"/>
  <c r="G887" i="1"/>
  <c r="I887" i="1"/>
  <c r="J887" i="1"/>
  <c r="K887" i="1"/>
  <c r="L887" i="1"/>
  <c r="M887" i="1"/>
  <c r="N887" i="1"/>
  <c r="O887" i="1"/>
  <c r="P887" i="1"/>
  <c r="Q887" i="1"/>
  <c r="R887" i="1"/>
  <c r="S887" i="1"/>
  <c r="T887" i="1"/>
  <c r="U887" i="1"/>
  <c r="V887" i="1"/>
  <c r="W887" i="1"/>
  <c r="X887" i="1"/>
  <c r="Y887" i="1"/>
  <c r="Z887" i="1"/>
  <c r="A888" i="1"/>
  <c r="B888" i="1"/>
  <c r="C888" i="1"/>
  <c r="D888" i="1"/>
  <c r="E888" i="1"/>
  <c r="F888" i="1"/>
  <c r="G888" i="1"/>
  <c r="I888" i="1"/>
  <c r="J888" i="1"/>
  <c r="K888" i="1"/>
  <c r="L888" i="1"/>
  <c r="M888" i="1"/>
  <c r="N888" i="1"/>
  <c r="O888" i="1"/>
  <c r="P888" i="1"/>
  <c r="Q888" i="1"/>
  <c r="R888" i="1"/>
  <c r="S888" i="1"/>
  <c r="T888" i="1"/>
  <c r="U888" i="1"/>
  <c r="V888" i="1"/>
  <c r="W888" i="1"/>
  <c r="X888" i="1"/>
  <c r="Y888" i="1"/>
  <c r="Z888" i="1"/>
  <c r="A889" i="1"/>
  <c r="B889" i="1"/>
  <c r="C889" i="1"/>
  <c r="D889" i="1"/>
  <c r="E889" i="1"/>
  <c r="F889" i="1"/>
  <c r="G889" i="1"/>
  <c r="I889" i="1"/>
  <c r="J889" i="1"/>
  <c r="K889" i="1"/>
  <c r="L889" i="1"/>
  <c r="M889" i="1"/>
  <c r="N889" i="1"/>
  <c r="O889" i="1"/>
  <c r="P889" i="1"/>
  <c r="Q889" i="1"/>
  <c r="R889" i="1"/>
  <c r="S889" i="1"/>
  <c r="T889" i="1"/>
  <c r="U889" i="1"/>
  <c r="V889" i="1"/>
  <c r="W889" i="1"/>
  <c r="X889" i="1"/>
  <c r="Y889" i="1"/>
  <c r="Z889" i="1"/>
  <c r="A890" i="1"/>
  <c r="B890" i="1"/>
  <c r="C890" i="1"/>
  <c r="D890" i="1"/>
  <c r="E890" i="1"/>
  <c r="F890" i="1"/>
  <c r="G890" i="1"/>
  <c r="I890" i="1"/>
  <c r="J890" i="1"/>
  <c r="K890" i="1"/>
  <c r="L890" i="1"/>
  <c r="M890" i="1"/>
  <c r="N890" i="1"/>
  <c r="O890" i="1"/>
  <c r="P890" i="1"/>
  <c r="Q890" i="1"/>
  <c r="R890" i="1"/>
  <c r="S890" i="1"/>
  <c r="T890" i="1"/>
  <c r="U890" i="1"/>
  <c r="V890" i="1"/>
  <c r="W890" i="1"/>
  <c r="X890" i="1"/>
  <c r="Y890" i="1"/>
  <c r="Z890" i="1"/>
  <c r="A891" i="1"/>
  <c r="B891" i="1"/>
  <c r="C891" i="1"/>
  <c r="D891" i="1"/>
  <c r="E891" i="1"/>
  <c r="F891" i="1"/>
  <c r="G891" i="1"/>
  <c r="I891" i="1"/>
  <c r="J891" i="1"/>
  <c r="K891" i="1"/>
  <c r="L891" i="1"/>
  <c r="M891" i="1"/>
  <c r="N891" i="1"/>
  <c r="O891" i="1"/>
  <c r="P891" i="1"/>
  <c r="Q891" i="1"/>
  <c r="R891" i="1"/>
  <c r="S891" i="1"/>
  <c r="T891" i="1"/>
  <c r="U891" i="1"/>
  <c r="V891" i="1"/>
  <c r="W891" i="1"/>
  <c r="X891" i="1"/>
  <c r="Y891" i="1"/>
  <c r="Z891" i="1"/>
  <c r="A892" i="1"/>
  <c r="B892" i="1"/>
  <c r="C892" i="1"/>
  <c r="D892" i="1"/>
  <c r="E892" i="1"/>
  <c r="F892" i="1"/>
  <c r="G892" i="1"/>
  <c r="I892" i="1"/>
  <c r="J892" i="1"/>
  <c r="K892" i="1"/>
  <c r="L892" i="1"/>
  <c r="M892" i="1"/>
  <c r="N892" i="1"/>
  <c r="O892" i="1"/>
  <c r="P892" i="1"/>
  <c r="Q892" i="1"/>
  <c r="R892" i="1"/>
  <c r="S892" i="1"/>
  <c r="T892" i="1"/>
  <c r="U892" i="1"/>
  <c r="V892" i="1"/>
  <c r="W892" i="1"/>
  <c r="X892" i="1"/>
  <c r="Y892" i="1"/>
  <c r="Z892" i="1"/>
  <c r="A893" i="1"/>
  <c r="B893" i="1"/>
  <c r="C893" i="1"/>
  <c r="D893" i="1"/>
  <c r="E893" i="1"/>
  <c r="F893" i="1"/>
  <c r="G893" i="1"/>
  <c r="I893" i="1"/>
  <c r="J893" i="1"/>
  <c r="K893" i="1"/>
  <c r="L893" i="1"/>
  <c r="M893" i="1"/>
  <c r="N893" i="1"/>
  <c r="O893" i="1"/>
  <c r="P893" i="1"/>
  <c r="Q893" i="1"/>
  <c r="R893" i="1"/>
  <c r="S893" i="1"/>
  <c r="T893" i="1"/>
  <c r="U893" i="1"/>
  <c r="V893" i="1"/>
  <c r="W893" i="1"/>
  <c r="X893" i="1"/>
  <c r="Y893" i="1"/>
  <c r="Z893" i="1"/>
  <c r="A894" i="1"/>
  <c r="B894" i="1"/>
  <c r="C894" i="1"/>
  <c r="D894" i="1"/>
  <c r="E894" i="1"/>
  <c r="F894" i="1"/>
  <c r="G894" i="1"/>
  <c r="I894" i="1"/>
  <c r="J894" i="1"/>
  <c r="K894" i="1"/>
  <c r="L894" i="1"/>
  <c r="M894" i="1"/>
  <c r="N894" i="1"/>
  <c r="O894" i="1"/>
  <c r="P894" i="1"/>
  <c r="Q894" i="1"/>
  <c r="R894" i="1"/>
  <c r="S894" i="1"/>
  <c r="T894" i="1"/>
  <c r="U894" i="1"/>
  <c r="V894" i="1"/>
  <c r="W894" i="1"/>
  <c r="X894" i="1"/>
  <c r="Y894" i="1"/>
  <c r="Z894" i="1"/>
  <c r="A895" i="1"/>
  <c r="B895" i="1"/>
  <c r="C895" i="1"/>
  <c r="D895" i="1"/>
  <c r="E895" i="1"/>
  <c r="F895" i="1"/>
  <c r="G895" i="1"/>
  <c r="I895" i="1"/>
  <c r="J895" i="1"/>
  <c r="K895" i="1"/>
  <c r="L895" i="1"/>
  <c r="M895" i="1"/>
  <c r="N895" i="1"/>
  <c r="O895" i="1"/>
  <c r="P895" i="1"/>
  <c r="Q895" i="1"/>
  <c r="R895" i="1"/>
  <c r="S895" i="1"/>
  <c r="T895" i="1"/>
  <c r="U895" i="1"/>
  <c r="V895" i="1"/>
  <c r="W895" i="1"/>
  <c r="X895" i="1"/>
  <c r="Y895" i="1"/>
  <c r="Z895" i="1"/>
  <c r="A896" i="1"/>
  <c r="B896" i="1"/>
  <c r="C896" i="1"/>
  <c r="D896" i="1"/>
  <c r="E896" i="1"/>
  <c r="F896" i="1"/>
  <c r="G896" i="1"/>
  <c r="I896" i="1"/>
  <c r="J896" i="1"/>
  <c r="K896" i="1"/>
  <c r="L896" i="1"/>
  <c r="M896" i="1"/>
  <c r="N896" i="1"/>
  <c r="O896" i="1"/>
  <c r="P896" i="1"/>
  <c r="Q896" i="1"/>
  <c r="R896" i="1"/>
  <c r="S896" i="1"/>
  <c r="T896" i="1"/>
  <c r="U896" i="1"/>
  <c r="V896" i="1"/>
  <c r="W896" i="1"/>
  <c r="X896" i="1"/>
  <c r="Y896" i="1"/>
  <c r="Z896" i="1"/>
  <c r="A897" i="1"/>
  <c r="B897" i="1"/>
  <c r="C897" i="1"/>
  <c r="D897" i="1"/>
  <c r="E897" i="1"/>
  <c r="F897" i="1"/>
  <c r="G897" i="1"/>
  <c r="I897" i="1"/>
  <c r="J897" i="1"/>
  <c r="K897" i="1"/>
  <c r="L897" i="1"/>
  <c r="M897" i="1"/>
  <c r="N897" i="1"/>
  <c r="O897" i="1"/>
  <c r="P897" i="1"/>
  <c r="Q897" i="1"/>
  <c r="R897" i="1"/>
  <c r="S897" i="1"/>
  <c r="T897" i="1"/>
  <c r="U897" i="1"/>
  <c r="V897" i="1"/>
  <c r="W897" i="1"/>
  <c r="X897" i="1"/>
  <c r="Y897" i="1"/>
  <c r="Z897" i="1"/>
  <c r="A898" i="1"/>
  <c r="B898" i="1"/>
  <c r="C898" i="1"/>
  <c r="D898" i="1"/>
  <c r="E898" i="1"/>
  <c r="F898" i="1"/>
  <c r="G898" i="1"/>
  <c r="I898" i="1"/>
  <c r="J898" i="1"/>
  <c r="K898" i="1"/>
  <c r="L898" i="1"/>
  <c r="M898" i="1"/>
  <c r="N898" i="1"/>
  <c r="O898" i="1"/>
  <c r="P898" i="1"/>
  <c r="Q898" i="1"/>
  <c r="R898" i="1"/>
  <c r="S898" i="1"/>
  <c r="T898" i="1"/>
  <c r="U898" i="1"/>
  <c r="V898" i="1"/>
  <c r="W898" i="1"/>
  <c r="X898" i="1"/>
  <c r="Y898" i="1"/>
  <c r="Z898" i="1"/>
  <c r="A899" i="1"/>
  <c r="B899" i="1"/>
  <c r="C899" i="1"/>
  <c r="D899" i="1"/>
  <c r="E899" i="1"/>
  <c r="F899" i="1"/>
  <c r="G899" i="1"/>
  <c r="I899" i="1"/>
  <c r="J899" i="1"/>
  <c r="K899" i="1"/>
  <c r="L899" i="1"/>
  <c r="M899" i="1"/>
  <c r="N899" i="1"/>
  <c r="O899" i="1"/>
  <c r="P899" i="1"/>
  <c r="Q899" i="1"/>
  <c r="R899" i="1"/>
  <c r="S899" i="1"/>
  <c r="T899" i="1"/>
  <c r="U899" i="1"/>
  <c r="V899" i="1"/>
  <c r="W899" i="1"/>
  <c r="X899" i="1"/>
  <c r="Y899" i="1"/>
  <c r="Z899" i="1"/>
  <c r="A900" i="1"/>
  <c r="B900" i="1"/>
  <c r="C900" i="1"/>
  <c r="D900" i="1"/>
  <c r="E900" i="1"/>
  <c r="F900" i="1"/>
  <c r="G900" i="1"/>
  <c r="I900" i="1"/>
  <c r="J900" i="1"/>
  <c r="K900" i="1"/>
  <c r="L900" i="1"/>
  <c r="M900" i="1"/>
  <c r="N900" i="1"/>
  <c r="O900" i="1"/>
  <c r="P900" i="1"/>
  <c r="Q900" i="1"/>
  <c r="R900" i="1"/>
  <c r="S900" i="1"/>
  <c r="T900" i="1"/>
  <c r="U900" i="1"/>
  <c r="V900" i="1"/>
  <c r="W900" i="1"/>
  <c r="X900" i="1"/>
  <c r="Y900" i="1"/>
  <c r="Z900" i="1"/>
  <c r="A901" i="1"/>
  <c r="B901" i="1"/>
  <c r="C901" i="1"/>
  <c r="D901" i="1"/>
  <c r="E901" i="1"/>
  <c r="F901" i="1"/>
  <c r="G901" i="1"/>
  <c r="I901" i="1"/>
  <c r="J901" i="1"/>
  <c r="K901" i="1"/>
  <c r="L901" i="1"/>
  <c r="M901" i="1"/>
  <c r="N901" i="1"/>
  <c r="O901" i="1"/>
  <c r="P901" i="1"/>
  <c r="Q901" i="1"/>
  <c r="R901" i="1"/>
  <c r="S901" i="1"/>
  <c r="T901" i="1"/>
  <c r="U901" i="1"/>
  <c r="V901" i="1"/>
  <c r="W901" i="1"/>
  <c r="X901" i="1"/>
  <c r="Y901" i="1"/>
  <c r="Z901" i="1"/>
  <c r="A902" i="1"/>
  <c r="B902" i="1"/>
  <c r="C902" i="1"/>
  <c r="D902" i="1"/>
  <c r="E902" i="1"/>
  <c r="F902" i="1"/>
  <c r="G902" i="1"/>
  <c r="I902" i="1"/>
  <c r="J902" i="1"/>
  <c r="K902" i="1"/>
  <c r="L902" i="1"/>
  <c r="M902" i="1"/>
  <c r="N902" i="1"/>
  <c r="O902" i="1"/>
  <c r="P902" i="1"/>
  <c r="Q902" i="1"/>
  <c r="R902" i="1"/>
  <c r="S902" i="1"/>
  <c r="T902" i="1"/>
  <c r="U902" i="1"/>
  <c r="V902" i="1"/>
  <c r="W902" i="1"/>
  <c r="X902" i="1"/>
  <c r="Y902" i="1"/>
  <c r="Z902" i="1"/>
  <c r="A903" i="1"/>
  <c r="B903" i="1"/>
  <c r="C903" i="1"/>
  <c r="D903" i="1"/>
  <c r="E903" i="1"/>
  <c r="F903" i="1"/>
  <c r="G903" i="1"/>
  <c r="I903" i="1"/>
  <c r="J903" i="1"/>
  <c r="K903" i="1"/>
  <c r="L903" i="1"/>
  <c r="M903" i="1"/>
  <c r="N903" i="1"/>
  <c r="O903" i="1"/>
  <c r="P903" i="1"/>
  <c r="Q903" i="1"/>
  <c r="R903" i="1"/>
  <c r="S903" i="1"/>
  <c r="T903" i="1"/>
  <c r="U903" i="1"/>
  <c r="V903" i="1"/>
  <c r="W903" i="1"/>
  <c r="X903" i="1"/>
  <c r="Y903" i="1"/>
  <c r="Z903" i="1"/>
  <c r="A904" i="1"/>
  <c r="B904" i="1"/>
  <c r="C904" i="1"/>
  <c r="D904" i="1"/>
  <c r="E904" i="1"/>
  <c r="F904" i="1"/>
  <c r="G904" i="1"/>
  <c r="I904" i="1"/>
  <c r="J904" i="1"/>
  <c r="K904" i="1"/>
  <c r="L904" i="1"/>
  <c r="M904" i="1"/>
  <c r="N904" i="1"/>
  <c r="O904" i="1"/>
  <c r="P904" i="1"/>
  <c r="Q904" i="1"/>
  <c r="R904" i="1"/>
  <c r="S904" i="1"/>
  <c r="T904" i="1"/>
  <c r="U904" i="1"/>
  <c r="V904" i="1"/>
  <c r="W904" i="1"/>
  <c r="X904" i="1"/>
  <c r="Y904" i="1"/>
  <c r="Z904" i="1"/>
  <c r="A905" i="1"/>
  <c r="B905" i="1"/>
  <c r="C905" i="1"/>
  <c r="D905" i="1"/>
  <c r="E905" i="1"/>
  <c r="F905" i="1"/>
  <c r="G905" i="1"/>
  <c r="I905" i="1"/>
  <c r="J905" i="1"/>
  <c r="K905" i="1"/>
  <c r="L905" i="1"/>
  <c r="M905" i="1"/>
  <c r="N905" i="1"/>
  <c r="O905" i="1"/>
  <c r="P905" i="1"/>
  <c r="Q905" i="1"/>
  <c r="R905" i="1"/>
  <c r="S905" i="1"/>
  <c r="T905" i="1"/>
  <c r="U905" i="1"/>
  <c r="V905" i="1"/>
  <c r="W905" i="1"/>
  <c r="X905" i="1"/>
  <c r="Y905" i="1"/>
  <c r="Z905" i="1"/>
  <c r="A906" i="1"/>
  <c r="B906" i="1"/>
  <c r="C906" i="1"/>
  <c r="D906" i="1"/>
  <c r="E906" i="1"/>
  <c r="F906" i="1"/>
  <c r="G906" i="1"/>
  <c r="I906" i="1"/>
  <c r="J906" i="1"/>
  <c r="K906" i="1"/>
  <c r="L906" i="1"/>
  <c r="M906" i="1"/>
  <c r="N906" i="1"/>
  <c r="O906" i="1"/>
  <c r="P906" i="1"/>
  <c r="Q906" i="1"/>
  <c r="R906" i="1"/>
  <c r="S906" i="1"/>
  <c r="T906" i="1"/>
  <c r="U906" i="1"/>
  <c r="V906" i="1"/>
  <c r="W906" i="1"/>
  <c r="X906" i="1"/>
  <c r="Y906" i="1"/>
  <c r="Z906" i="1"/>
  <c r="A907" i="1"/>
  <c r="B907" i="1"/>
  <c r="C907" i="1"/>
  <c r="D907" i="1"/>
  <c r="E907" i="1"/>
  <c r="F907" i="1"/>
  <c r="G907" i="1"/>
  <c r="I907" i="1"/>
  <c r="J907" i="1"/>
  <c r="K907" i="1"/>
  <c r="L907" i="1"/>
  <c r="M907" i="1"/>
  <c r="N907" i="1"/>
  <c r="O907" i="1"/>
  <c r="P907" i="1"/>
  <c r="Q907" i="1"/>
  <c r="R907" i="1"/>
  <c r="S907" i="1"/>
  <c r="T907" i="1"/>
  <c r="U907" i="1"/>
  <c r="V907" i="1"/>
  <c r="W907" i="1"/>
  <c r="X907" i="1"/>
  <c r="Y907" i="1"/>
  <c r="Z907" i="1"/>
  <c r="A908" i="1"/>
  <c r="B908" i="1"/>
  <c r="C908" i="1"/>
  <c r="D908" i="1"/>
  <c r="E908" i="1"/>
  <c r="F908" i="1"/>
  <c r="G908" i="1"/>
  <c r="I908" i="1"/>
  <c r="J908" i="1"/>
  <c r="K908" i="1"/>
  <c r="L908" i="1"/>
  <c r="M908" i="1"/>
  <c r="N908" i="1"/>
  <c r="O908" i="1"/>
  <c r="P908" i="1"/>
  <c r="Q908" i="1"/>
  <c r="R908" i="1"/>
  <c r="S908" i="1"/>
  <c r="T908" i="1"/>
  <c r="U908" i="1"/>
  <c r="V908" i="1"/>
  <c r="W908" i="1"/>
  <c r="X908" i="1"/>
  <c r="Y908" i="1"/>
  <c r="Z908" i="1"/>
  <c r="A909" i="1"/>
  <c r="B909" i="1"/>
  <c r="C909" i="1"/>
  <c r="D909" i="1"/>
  <c r="E909" i="1"/>
  <c r="F909" i="1"/>
  <c r="G909" i="1"/>
  <c r="I909" i="1"/>
  <c r="J909" i="1"/>
  <c r="K909" i="1"/>
  <c r="L909" i="1"/>
  <c r="M909" i="1"/>
  <c r="N909" i="1"/>
  <c r="O909" i="1"/>
  <c r="P909" i="1"/>
  <c r="Q909" i="1"/>
  <c r="R909" i="1"/>
  <c r="S909" i="1"/>
  <c r="T909" i="1"/>
  <c r="U909" i="1"/>
  <c r="V909" i="1"/>
  <c r="W909" i="1"/>
  <c r="X909" i="1"/>
  <c r="Y909" i="1"/>
  <c r="Z909" i="1"/>
  <c r="A910" i="1"/>
  <c r="B910" i="1"/>
  <c r="C910" i="1"/>
  <c r="D910" i="1"/>
  <c r="E910" i="1"/>
  <c r="F910" i="1"/>
  <c r="G910" i="1"/>
  <c r="I910" i="1"/>
  <c r="J910" i="1"/>
  <c r="K910" i="1"/>
  <c r="L910" i="1"/>
  <c r="M910" i="1"/>
  <c r="N910" i="1"/>
  <c r="O910" i="1"/>
  <c r="P910" i="1"/>
  <c r="Q910" i="1"/>
  <c r="R910" i="1"/>
  <c r="S910" i="1"/>
  <c r="T910" i="1"/>
  <c r="U910" i="1"/>
  <c r="V910" i="1"/>
  <c r="W910" i="1"/>
  <c r="X910" i="1"/>
  <c r="Y910" i="1"/>
  <c r="Z910" i="1"/>
  <c r="A911" i="1"/>
  <c r="B911" i="1"/>
  <c r="C911" i="1"/>
  <c r="D911" i="1"/>
  <c r="E911" i="1"/>
  <c r="F911" i="1"/>
  <c r="G911" i="1"/>
  <c r="I911" i="1"/>
  <c r="J911" i="1"/>
  <c r="K911" i="1"/>
  <c r="L911" i="1"/>
  <c r="M911" i="1"/>
  <c r="N911" i="1"/>
  <c r="O911" i="1"/>
  <c r="P911" i="1"/>
  <c r="Q911" i="1"/>
  <c r="R911" i="1"/>
  <c r="S911" i="1"/>
  <c r="T911" i="1"/>
  <c r="U911" i="1"/>
  <c r="V911" i="1"/>
  <c r="W911" i="1"/>
  <c r="X911" i="1"/>
  <c r="Y911" i="1"/>
  <c r="Z911" i="1"/>
  <c r="A912" i="1"/>
  <c r="B912" i="1"/>
  <c r="C912" i="1"/>
  <c r="D912" i="1"/>
  <c r="E912" i="1"/>
  <c r="F912" i="1"/>
  <c r="G912" i="1"/>
  <c r="I912" i="1"/>
  <c r="J912" i="1"/>
  <c r="K912" i="1"/>
  <c r="L912" i="1"/>
  <c r="M912" i="1"/>
  <c r="N912" i="1"/>
  <c r="O912" i="1"/>
  <c r="P912" i="1"/>
  <c r="Q912" i="1"/>
  <c r="R912" i="1"/>
  <c r="S912" i="1"/>
  <c r="T912" i="1"/>
  <c r="U912" i="1"/>
  <c r="V912" i="1"/>
  <c r="W912" i="1"/>
  <c r="X912" i="1"/>
  <c r="Y912" i="1"/>
  <c r="Z912" i="1"/>
  <c r="A913" i="1"/>
  <c r="B913" i="1"/>
  <c r="C913" i="1"/>
  <c r="D913" i="1"/>
  <c r="E913" i="1"/>
  <c r="F913" i="1"/>
  <c r="G913" i="1"/>
  <c r="I913" i="1"/>
  <c r="J913" i="1"/>
  <c r="K913" i="1"/>
  <c r="L913" i="1"/>
  <c r="M913" i="1"/>
  <c r="N913" i="1"/>
  <c r="O913" i="1"/>
  <c r="P913" i="1"/>
  <c r="Q913" i="1"/>
  <c r="R913" i="1"/>
  <c r="S913" i="1"/>
  <c r="T913" i="1"/>
  <c r="U913" i="1"/>
  <c r="V913" i="1"/>
  <c r="W913" i="1"/>
  <c r="X913" i="1"/>
  <c r="Y913" i="1"/>
  <c r="Z913" i="1"/>
  <c r="A914" i="1"/>
  <c r="B914" i="1"/>
  <c r="C914" i="1"/>
  <c r="D914" i="1"/>
  <c r="E914" i="1"/>
  <c r="F914" i="1"/>
  <c r="G914" i="1"/>
  <c r="I914" i="1"/>
  <c r="J914" i="1"/>
  <c r="K914" i="1"/>
  <c r="L914" i="1"/>
  <c r="M914" i="1"/>
  <c r="N914" i="1"/>
  <c r="O914" i="1"/>
  <c r="P914" i="1"/>
  <c r="Q914" i="1"/>
  <c r="R914" i="1"/>
  <c r="S914" i="1"/>
  <c r="T914" i="1"/>
  <c r="U914" i="1"/>
  <c r="V914" i="1"/>
  <c r="W914" i="1"/>
  <c r="X914" i="1"/>
  <c r="Y914" i="1"/>
  <c r="Z914" i="1"/>
  <c r="A915" i="1"/>
  <c r="B915" i="1"/>
  <c r="C915" i="1"/>
  <c r="D915" i="1"/>
  <c r="E915" i="1"/>
  <c r="F915" i="1"/>
  <c r="G915" i="1"/>
  <c r="I915" i="1"/>
  <c r="J915" i="1"/>
  <c r="K915" i="1"/>
  <c r="L915" i="1"/>
  <c r="M915" i="1"/>
  <c r="N915" i="1"/>
  <c r="O915" i="1"/>
  <c r="P915" i="1"/>
  <c r="Q915" i="1"/>
  <c r="R915" i="1"/>
  <c r="S915" i="1"/>
  <c r="T915" i="1"/>
  <c r="U915" i="1"/>
  <c r="V915" i="1"/>
  <c r="W915" i="1"/>
  <c r="X915" i="1"/>
  <c r="Y915" i="1"/>
  <c r="Z915" i="1"/>
  <c r="A916" i="1"/>
  <c r="B916" i="1"/>
  <c r="C916" i="1"/>
  <c r="D916" i="1"/>
  <c r="E916" i="1"/>
  <c r="F916" i="1"/>
  <c r="G916" i="1"/>
  <c r="I916" i="1"/>
  <c r="J916" i="1"/>
  <c r="K916" i="1"/>
  <c r="L916" i="1"/>
  <c r="M916" i="1"/>
  <c r="N916" i="1"/>
  <c r="O916" i="1"/>
  <c r="P916" i="1"/>
  <c r="Q916" i="1"/>
  <c r="R916" i="1"/>
  <c r="S916" i="1"/>
  <c r="T916" i="1"/>
  <c r="U916" i="1"/>
  <c r="V916" i="1"/>
  <c r="W916" i="1"/>
  <c r="X916" i="1"/>
  <c r="Y916" i="1"/>
  <c r="Z916" i="1"/>
  <c r="A917" i="1"/>
  <c r="B917" i="1"/>
  <c r="C917" i="1"/>
  <c r="D917" i="1"/>
  <c r="E917" i="1"/>
  <c r="F917" i="1"/>
  <c r="G917" i="1"/>
  <c r="I917" i="1"/>
  <c r="J917" i="1"/>
  <c r="K917" i="1"/>
  <c r="L917" i="1"/>
  <c r="M917" i="1"/>
  <c r="N917" i="1"/>
  <c r="O917" i="1"/>
  <c r="P917" i="1"/>
  <c r="Q917" i="1"/>
  <c r="R917" i="1"/>
  <c r="S917" i="1"/>
  <c r="T917" i="1"/>
  <c r="U917" i="1"/>
  <c r="V917" i="1"/>
  <c r="W917" i="1"/>
  <c r="X917" i="1"/>
  <c r="Y917" i="1"/>
  <c r="Z917" i="1"/>
  <c r="A918" i="1"/>
  <c r="B918" i="1"/>
  <c r="C918" i="1"/>
  <c r="D918" i="1"/>
  <c r="E918" i="1"/>
  <c r="F918" i="1"/>
  <c r="G918" i="1"/>
  <c r="I918" i="1"/>
  <c r="J918" i="1"/>
  <c r="K918" i="1"/>
  <c r="L918" i="1"/>
  <c r="M918" i="1"/>
  <c r="N918" i="1"/>
  <c r="O918" i="1"/>
  <c r="P918" i="1"/>
  <c r="Q918" i="1"/>
  <c r="R918" i="1"/>
  <c r="S918" i="1"/>
  <c r="T918" i="1"/>
  <c r="U918" i="1"/>
  <c r="V918" i="1"/>
  <c r="W918" i="1"/>
  <c r="X918" i="1"/>
  <c r="Y918" i="1"/>
  <c r="Z918" i="1"/>
  <c r="A919" i="1"/>
  <c r="B919" i="1"/>
  <c r="C919" i="1"/>
  <c r="D919" i="1"/>
  <c r="E919" i="1"/>
  <c r="F919" i="1"/>
  <c r="G919" i="1"/>
  <c r="I919" i="1"/>
  <c r="J919" i="1"/>
  <c r="K919" i="1"/>
  <c r="L919" i="1"/>
  <c r="M919" i="1"/>
  <c r="N919" i="1"/>
  <c r="O919" i="1"/>
  <c r="P919" i="1"/>
  <c r="Q919" i="1"/>
  <c r="R919" i="1"/>
  <c r="S919" i="1"/>
  <c r="T919" i="1"/>
  <c r="U919" i="1"/>
  <c r="V919" i="1"/>
  <c r="W919" i="1"/>
  <c r="X919" i="1"/>
  <c r="Y919" i="1"/>
  <c r="Z919" i="1"/>
  <c r="A920" i="1"/>
  <c r="B920" i="1"/>
  <c r="C920" i="1"/>
  <c r="D920" i="1"/>
  <c r="E920" i="1"/>
  <c r="F920" i="1"/>
  <c r="G920" i="1"/>
  <c r="I920" i="1"/>
  <c r="J920" i="1"/>
  <c r="K920" i="1"/>
  <c r="L920" i="1"/>
  <c r="M920" i="1"/>
  <c r="N920" i="1"/>
  <c r="O920" i="1"/>
  <c r="P920" i="1"/>
  <c r="Q920" i="1"/>
  <c r="R920" i="1"/>
  <c r="S920" i="1"/>
  <c r="T920" i="1"/>
  <c r="U920" i="1"/>
  <c r="V920" i="1"/>
  <c r="W920" i="1"/>
  <c r="X920" i="1"/>
  <c r="Y920" i="1"/>
  <c r="Z920" i="1"/>
  <c r="A921" i="1"/>
  <c r="B921" i="1"/>
  <c r="C921" i="1"/>
  <c r="D921" i="1"/>
  <c r="E921" i="1"/>
  <c r="F921" i="1"/>
  <c r="G921" i="1"/>
  <c r="I921" i="1"/>
  <c r="J921" i="1"/>
  <c r="K921" i="1"/>
  <c r="L921" i="1"/>
  <c r="M921" i="1"/>
  <c r="N921" i="1"/>
  <c r="O921" i="1"/>
  <c r="P921" i="1"/>
  <c r="Q921" i="1"/>
  <c r="R921" i="1"/>
  <c r="S921" i="1"/>
  <c r="T921" i="1"/>
  <c r="U921" i="1"/>
  <c r="V921" i="1"/>
  <c r="W921" i="1"/>
  <c r="X921" i="1"/>
  <c r="Y921" i="1"/>
  <c r="Z921" i="1"/>
  <c r="A922" i="1"/>
  <c r="B922" i="1"/>
  <c r="C922" i="1"/>
  <c r="D922" i="1"/>
  <c r="E922" i="1"/>
  <c r="F922" i="1"/>
  <c r="G922" i="1"/>
  <c r="I922" i="1"/>
  <c r="J922" i="1"/>
  <c r="K922" i="1"/>
  <c r="L922" i="1"/>
  <c r="M922" i="1"/>
  <c r="N922" i="1"/>
  <c r="O922" i="1"/>
  <c r="P922" i="1"/>
  <c r="Q922" i="1"/>
  <c r="R922" i="1"/>
  <c r="S922" i="1"/>
  <c r="T922" i="1"/>
  <c r="U922" i="1"/>
  <c r="V922" i="1"/>
  <c r="W922" i="1"/>
  <c r="X922" i="1"/>
  <c r="Y922" i="1"/>
  <c r="Z922" i="1"/>
  <c r="A923" i="1"/>
  <c r="B923" i="1"/>
  <c r="C923" i="1"/>
  <c r="D923" i="1"/>
  <c r="E923" i="1"/>
  <c r="F923" i="1"/>
  <c r="G923" i="1"/>
  <c r="I923" i="1"/>
  <c r="J923" i="1"/>
  <c r="K923" i="1"/>
  <c r="L923" i="1"/>
  <c r="M923" i="1"/>
  <c r="N923" i="1"/>
  <c r="O923" i="1"/>
  <c r="P923" i="1"/>
  <c r="Q923" i="1"/>
  <c r="R923" i="1"/>
  <c r="S923" i="1"/>
  <c r="T923" i="1"/>
  <c r="U923" i="1"/>
  <c r="V923" i="1"/>
  <c r="W923" i="1"/>
  <c r="X923" i="1"/>
  <c r="Y923" i="1"/>
  <c r="Z923" i="1"/>
  <c r="A924" i="1"/>
  <c r="B924" i="1"/>
  <c r="C924" i="1"/>
  <c r="D924" i="1"/>
  <c r="E924" i="1"/>
  <c r="F924" i="1"/>
  <c r="G924" i="1"/>
  <c r="I924" i="1"/>
  <c r="J924" i="1"/>
  <c r="K924" i="1"/>
  <c r="L924" i="1"/>
  <c r="M924" i="1"/>
  <c r="N924" i="1"/>
  <c r="O924" i="1"/>
  <c r="P924" i="1"/>
  <c r="Q924" i="1"/>
  <c r="R924" i="1"/>
  <c r="S924" i="1"/>
  <c r="T924" i="1"/>
  <c r="U924" i="1"/>
  <c r="V924" i="1"/>
  <c r="W924" i="1"/>
  <c r="X924" i="1"/>
  <c r="Y924" i="1"/>
  <c r="Z924" i="1"/>
  <c r="A925" i="1"/>
  <c r="B925" i="1"/>
  <c r="C925" i="1"/>
  <c r="D925" i="1"/>
  <c r="E925" i="1"/>
  <c r="F925" i="1"/>
  <c r="G925" i="1"/>
  <c r="I925" i="1"/>
  <c r="J925" i="1"/>
  <c r="K925" i="1"/>
  <c r="L925" i="1"/>
  <c r="M925" i="1"/>
  <c r="N925" i="1"/>
  <c r="O925" i="1"/>
  <c r="P925" i="1"/>
  <c r="Q925" i="1"/>
  <c r="R925" i="1"/>
  <c r="S925" i="1"/>
  <c r="T925" i="1"/>
  <c r="U925" i="1"/>
  <c r="V925" i="1"/>
  <c r="W925" i="1"/>
  <c r="X925" i="1"/>
  <c r="Y925" i="1"/>
  <c r="Z925" i="1"/>
  <c r="A926" i="1"/>
  <c r="B926" i="1"/>
  <c r="C926" i="1"/>
  <c r="D926" i="1"/>
  <c r="E926" i="1"/>
  <c r="F926" i="1"/>
  <c r="G926" i="1"/>
  <c r="I926" i="1"/>
  <c r="J926" i="1"/>
  <c r="K926" i="1"/>
  <c r="L926" i="1"/>
  <c r="M926" i="1"/>
  <c r="N926" i="1"/>
  <c r="O926" i="1"/>
  <c r="P926" i="1"/>
  <c r="Q926" i="1"/>
  <c r="R926" i="1"/>
  <c r="S926" i="1"/>
  <c r="T926" i="1"/>
  <c r="U926" i="1"/>
  <c r="V926" i="1"/>
  <c r="W926" i="1"/>
  <c r="X926" i="1"/>
  <c r="Y926" i="1"/>
  <c r="Z926" i="1"/>
  <c r="A927" i="1"/>
  <c r="B927" i="1"/>
  <c r="C927" i="1"/>
  <c r="D927" i="1"/>
  <c r="E927" i="1"/>
  <c r="F927" i="1"/>
  <c r="G927" i="1"/>
  <c r="I927" i="1"/>
  <c r="J927" i="1"/>
  <c r="K927" i="1"/>
  <c r="L927" i="1"/>
  <c r="M927" i="1"/>
  <c r="N927" i="1"/>
  <c r="O927" i="1"/>
  <c r="P927" i="1"/>
  <c r="Q927" i="1"/>
  <c r="R927" i="1"/>
  <c r="S927" i="1"/>
  <c r="T927" i="1"/>
  <c r="U927" i="1"/>
  <c r="V927" i="1"/>
  <c r="W927" i="1"/>
  <c r="X927" i="1"/>
  <c r="Y927" i="1"/>
  <c r="Z927" i="1"/>
  <c r="A928" i="1"/>
  <c r="B928" i="1"/>
  <c r="C928" i="1"/>
  <c r="D928" i="1"/>
  <c r="E928" i="1"/>
  <c r="F928" i="1"/>
  <c r="G928" i="1"/>
  <c r="I928" i="1"/>
  <c r="J928" i="1"/>
  <c r="K928" i="1"/>
  <c r="L928" i="1"/>
  <c r="M928" i="1"/>
  <c r="N928" i="1"/>
  <c r="O928" i="1"/>
  <c r="P928" i="1"/>
  <c r="Q928" i="1"/>
  <c r="R928" i="1"/>
  <c r="S928" i="1"/>
  <c r="T928" i="1"/>
  <c r="U928" i="1"/>
  <c r="V928" i="1"/>
  <c r="W928" i="1"/>
  <c r="X928" i="1"/>
  <c r="Y928" i="1"/>
  <c r="Z928" i="1"/>
  <c r="A929" i="1"/>
  <c r="B929" i="1"/>
  <c r="C929" i="1"/>
  <c r="D929" i="1"/>
  <c r="E929" i="1"/>
  <c r="F929" i="1"/>
  <c r="G929" i="1"/>
  <c r="I929" i="1"/>
  <c r="J929" i="1"/>
  <c r="K929" i="1"/>
  <c r="L929" i="1"/>
  <c r="M929" i="1"/>
  <c r="N929" i="1"/>
  <c r="O929" i="1"/>
  <c r="P929" i="1"/>
  <c r="Q929" i="1"/>
  <c r="R929" i="1"/>
  <c r="S929" i="1"/>
  <c r="T929" i="1"/>
  <c r="U929" i="1"/>
  <c r="V929" i="1"/>
  <c r="W929" i="1"/>
  <c r="X929" i="1"/>
  <c r="Y929" i="1"/>
  <c r="Z929" i="1"/>
  <c r="A930" i="1"/>
  <c r="B930" i="1"/>
  <c r="C930" i="1"/>
  <c r="D930" i="1"/>
  <c r="E930" i="1"/>
  <c r="F930" i="1"/>
  <c r="G930" i="1"/>
  <c r="I930" i="1"/>
  <c r="J930" i="1"/>
  <c r="K930" i="1"/>
  <c r="L930" i="1"/>
  <c r="M930" i="1"/>
  <c r="N930" i="1"/>
  <c r="O930" i="1"/>
  <c r="P930" i="1"/>
  <c r="Q930" i="1"/>
  <c r="R930" i="1"/>
  <c r="S930" i="1"/>
  <c r="T930" i="1"/>
  <c r="U930" i="1"/>
  <c r="V930" i="1"/>
  <c r="W930" i="1"/>
  <c r="X930" i="1"/>
  <c r="Y930" i="1"/>
  <c r="Z930" i="1"/>
  <c r="A931" i="1"/>
  <c r="B931" i="1"/>
  <c r="C931" i="1"/>
  <c r="D931" i="1"/>
  <c r="E931" i="1"/>
  <c r="F931" i="1"/>
  <c r="G931" i="1"/>
  <c r="I931" i="1"/>
  <c r="J931" i="1"/>
  <c r="K931" i="1"/>
  <c r="L931" i="1"/>
  <c r="M931" i="1"/>
  <c r="N931" i="1"/>
  <c r="O931" i="1"/>
  <c r="P931" i="1"/>
  <c r="Q931" i="1"/>
  <c r="R931" i="1"/>
  <c r="S931" i="1"/>
  <c r="T931" i="1"/>
  <c r="U931" i="1"/>
  <c r="V931" i="1"/>
  <c r="W931" i="1"/>
  <c r="X931" i="1"/>
  <c r="Y931" i="1"/>
  <c r="Z931" i="1"/>
  <c r="A932" i="1"/>
  <c r="B932" i="1"/>
  <c r="C932" i="1"/>
  <c r="D932" i="1"/>
  <c r="E932" i="1"/>
  <c r="F932" i="1"/>
  <c r="G932" i="1"/>
  <c r="I932" i="1"/>
  <c r="J932" i="1"/>
  <c r="K932" i="1"/>
  <c r="L932" i="1"/>
  <c r="M932" i="1"/>
  <c r="N932" i="1"/>
  <c r="O932" i="1"/>
  <c r="P932" i="1"/>
  <c r="Q932" i="1"/>
  <c r="R932" i="1"/>
  <c r="S932" i="1"/>
  <c r="T932" i="1"/>
  <c r="U932" i="1"/>
  <c r="V932" i="1"/>
  <c r="W932" i="1"/>
  <c r="X932" i="1"/>
  <c r="Y932" i="1"/>
  <c r="Z932" i="1"/>
  <c r="A933" i="1"/>
  <c r="B933" i="1"/>
  <c r="C933" i="1"/>
  <c r="D933" i="1"/>
  <c r="E933" i="1"/>
  <c r="F933" i="1"/>
  <c r="G933" i="1"/>
  <c r="I933" i="1"/>
  <c r="J933" i="1"/>
  <c r="K933" i="1"/>
  <c r="L933" i="1"/>
  <c r="M933" i="1"/>
  <c r="N933" i="1"/>
  <c r="O933" i="1"/>
  <c r="P933" i="1"/>
  <c r="Q933" i="1"/>
  <c r="R933" i="1"/>
  <c r="S933" i="1"/>
  <c r="T933" i="1"/>
  <c r="U933" i="1"/>
  <c r="V933" i="1"/>
  <c r="W933" i="1"/>
  <c r="X933" i="1"/>
  <c r="Y933" i="1"/>
  <c r="Z933" i="1"/>
  <c r="A934" i="1"/>
  <c r="B934" i="1"/>
  <c r="C934" i="1"/>
  <c r="D934" i="1"/>
  <c r="E934" i="1"/>
  <c r="F934" i="1"/>
  <c r="G934" i="1"/>
  <c r="I934" i="1"/>
  <c r="J934" i="1"/>
  <c r="K934" i="1"/>
  <c r="L934" i="1"/>
  <c r="M934" i="1"/>
  <c r="N934" i="1"/>
  <c r="O934" i="1"/>
  <c r="P934" i="1"/>
  <c r="Q934" i="1"/>
  <c r="R934" i="1"/>
  <c r="S934" i="1"/>
  <c r="T934" i="1"/>
  <c r="U934" i="1"/>
  <c r="V934" i="1"/>
  <c r="W934" i="1"/>
  <c r="X934" i="1"/>
  <c r="Y934" i="1"/>
  <c r="Z934" i="1"/>
  <c r="A935" i="1"/>
  <c r="B935" i="1"/>
  <c r="C935" i="1"/>
  <c r="D935" i="1"/>
  <c r="E935" i="1"/>
  <c r="F935" i="1"/>
  <c r="G935" i="1"/>
  <c r="I935" i="1"/>
  <c r="J935" i="1"/>
  <c r="K935" i="1"/>
  <c r="L935" i="1"/>
  <c r="M935" i="1"/>
  <c r="N935" i="1"/>
  <c r="O935" i="1"/>
  <c r="P935" i="1"/>
  <c r="Q935" i="1"/>
  <c r="R935" i="1"/>
  <c r="S935" i="1"/>
  <c r="T935" i="1"/>
  <c r="U935" i="1"/>
  <c r="V935" i="1"/>
  <c r="W935" i="1"/>
  <c r="X935" i="1"/>
  <c r="Y935" i="1"/>
  <c r="Z935" i="1"/>
  <c r="A936" i="1"/>
  <c r="B936" i="1"/>
  <c r="C936" i="1"/>
  <c r="D936" i="1"/>
  <c r="E936" i="1"/>
  <c r="F936" i="1"/>
  <c r="G936" i="1"/>
  <c r="I936" i="1"/>
  <c r="J936" i="1"/>
  <c r="K936" i="1"/>
  <c r="L936" i="1"/>
  <c r="M936" i="1"/>
  <c r="N936" i="1"/>
  <c r="O936" i="1"/>
  <c r="P936" i="1"/>
  <c r="Q936" i="1"/>
  <c r="R936" i="1"/>
  <c r="S936" i="1"/>
  <c r="T936" i="1"/>
  <c r="U936" i="1"/>
  <c r="V936" i="1"/>
  <c r="W936" i="1"/>
  <c r="X936" i="1"/>
  <c r="Y936" i="1"/>
  <c r="Z936" i="1"/>
  <c r="A937" i="1"/>
  <c r="B937" i="1"/>
  <c r="C937" i="1"/>
  <c r="D937" i="1"/>
  <c r="E937" i="1"/>
  <c r="F937" i="1"/>
  <c r="G937" i="1"/>
  <c r="I937" i="1"/>
  <c r="J937" i="1"/>
  <c r="K937" i="1"/>
  <c r="L937" i="1"/>
  <c r="M937" i="1"/>
  <c r="N937" i="1"/>
  <c r="O937" i="1"/>
  <c r="P937" i="1"/>
  <c r="Q937" i="1"/>
  <c r="R937" i="1"/>
  <c r="S937" i="1"/>
  <c r="T937" i="1"/>
  <c r="U937" i="1"/>
  <c r="V937" i="1"/>
  <c r="W937" i="1"/>
  <c r="X937" i="1"/>
  <c r="Y937" i="1"/>
  <c r="Z937" i="1"/>
  <c r="A938" i="1"/>
  <c r="B938" i="1"/>
  <c r="C938" i="1"/>
  <c r="D938" i="1"/>
  <c r="E938" i="1"/>
  <c r="F938" i="1"/>
  <c r="G938" i="1"/>
  <c r="I938" i="1"/>
  <c r="J938" i="1"/>
  <c r="K938" i="1"/>
  <c r="L938" i="1"/>
  <c r="M938" i="1"/>
  <c r="N938" i="1"/>
  <c r="O938" i="1"/>
  <c r="P938" i="1"/>
  <c r="Q938" i="1"/>
  <c r="R938" i="1"/>
  <c r="S938" i="1"/>
  <c r="T938" i="1"/>
  <c r="U938" i="1"/>
  <c r="V938" i="1"/>
  <c r="W938" i="1"/>
  <c r="X938" i="1"/>
  <c r="Y938" i="1"/>
  <c r="Z938" i="1"/>
  <c r="A939" i="1"/>
  <c r="B939" i="1"/>
  <c r="C939" i="1"/>
  <c r="D939" i="1"/>
  <c r="E939" i="1"/>
  <c r="F939" i="1"/>
  <c r="G939" i="1"/>
  <c r="I939" i="1"/>
  <c r="J939" i="1"/>
  <c r="K939" i="1"/>
  <c r="L939" i="1"/>
  <c r="M939" i="1"/>
  <c r="N939" i="1"/>
  <c r="O939" i="1"/>
  <c r="P939" i="1"/>
  <c r="Q939" i="1"/>
  <c r="R939" i="1"/>
  <c r="S939" i="1"/>
  <c r="T939" i="1"/>
  <c r="U939" i="1"/>
  <c r="V939" i="1"/>
  <c r="W939" i="1"/>
  <c r="X939" i="1"/>
  <c r="Y939" i="1"/>
  <c r="Z939" i="1"/>
  <c r="A940" i="1"/>
  <c r="B940" i="1"/>
  <c r="C940" i="1"/>
  <c r="D940" i="1"/>
  <c r="E940" i="1"/>
  <c r="F940" i="1"/>
  <c r="G940" i="1"/>
  <c r="I940" i="1"/>
  <c r="J940" i="1"/>
  <c r="K940" i="1"/>
  <c r="L940" i="1"/>
  <c r="M940" i="1"/>
  <c r="N940" i="1"/>
  <c r="O940" i="1"/>
  <c r="P940" i="1"/>
  <c r="Q940" i="1"/>
  <c r="R940" i="1"/>
  <c r="S940" i="1"/>
  <c r="T940" i="1"/>
  <c r="U940" i="1"/>
  <c r="V940" i="1"/>
  <c r="W940" i="1"/>
  <c r="X940" i="1"/>
  <c r="Y940" i="1"/>
  <c r="Z940" i="1"/>
  <c r="A941" i="1"/>
  <c r="B941" i="1"/>
  <c r="C941" i="1"/>
  <c r="D941" i="1"/>
  <c r="E941" i="1"/>
  <c r="F941" i="1"/>
  <c r="G941" i="1"/>
  <c r="I941" i="1"/>
  <c r="J941" i="1"/>
  <c r="K941" i="1"/>
  <c r="L941" i="1"/>
  <c r="M941" i="1"/>
  <c r="N941" i="1"/>
  <c r="O941" i="1"/>
  <c r="P941" i="1"/>
  <c r="Q941" i="1"/>
  <c r="R941" i="1"/>
  <c r="S941" i="1"/>
  <c r="T941" i="1"/>
  <c r="U941" i="1"/>
  <c r="V941" i="1"/>
  <c r="W941" i="1"/>
  <c r="X941" i="1"/>
  <c r="Y941" i="1"/>
  <c r="Z941" i="1"/>
  <c r="A942" i="1"/>
  <c r="B942" i="1"/>
  <c r="C942" i="1"/>
  <c r="D942" i="1"/>
  <c r="E942" i="1"/>
  <c r="F942" i="1"/>
  <c r="G942" i="1"/>
  <c r="I942" i="1"/>
  <c r="J942" i="1"/>
  <c r="K942" i="1"/>
  <c r="L942" i="1"/>
  <c r="M942" i="1"/>
  <c r="N942" i="1"/>
  <c r="O942" i="1"/>
  <c r="P942" i="1"/>
  <c r="Q942" i="1"/>
  <c r="R942" i="1"/>
  <c r="S942" i="1"/>
  <c r="T942" i="1"/>
  <c r="U942" i="1"/>
  <c r="V942" i="1"/>
  <c r="W942" i="1"/>
  <c r="X942" i="1"/>
  <c r="Y942" i="1"/>
  <c r="Z942" i="1"/>
  <c r="A943" i="1"/>
  <c r="B943" i="1"/>
  <c r="C943" i="1"/>
  <c r="D943" i="1"/>
  <c r="E943" i="1"/>
  <c r="F943" i="1"/>
  <c r="G943" i="1"/>
  <c r="I943" i="1"/>
  <c r="J943" i="1"/>
  <c r="K943" i="1"/>
  <c r="L943" i="1"/>
  <c r="M943" i="1"/>
  <c r="N943" i="1"/>
  <c r="O943" i="1"/>
  <c r="P943" i="1"/>
  <c r="Q943" i="1"/>
  <c r="R943" i="1"/>
  <c r="S943" i="1"/>
  <c r="T943" i="1"/>
  <c r="U943" i="1"/>
  <c r="V943" i="1"/>
  <c r="W943" i="1"/>
  <c r="X943" i="1"/>
  <c r="Y943" i="1"/>
  <c r="Z943" i="1"/>
  <c r="A944" i="1"/>
  <c r="B944" i="1"/>
  <c r="C944" i="1"/>
  <c r="D944" i="1"/>
  <c r="E944" i="1"/>
  <c r="F944" i="1"/>
  <c r="G944" i="1"/>
  <c r="I944" i="1"/>
  <c r="J944" i="1"/>
  <c r="K944" i="1"/>
  <c r="L944" i="1"/>
  <c r="M944" i="1"/>
  <c r="N944" i="1"/>
  <c r="O944" i="1"/>
  <c r="P944" i="1"/>
  <c r="Q944" i="1"/>
  <c r="R944" i="1"/>
  <c r="S944" i="1"/>
  <c r="T944" i="1"/>
  <c r="U944" i="1"/>
  <c r="V944" i="1"/>
  <c r="W944" i="1"/>
  <c r="X944" i="1"/>
  <c r="Y944" i="1"/>
  <c r="Z944" i="1"/>
  <c r="A945" i="1"/>
  <c r="B945" i="1"/>
  <c r="C945" i="1"/>
  <c r="D945" i="1"/>
  <c r="E945" i="1"/>
  <c r="F945" i="1"/>
  <c r="G945" i="1"/>
  <c r="I945" i="1"/>
  <c r="J945" i="1"/>
  <c r="K945" i="1"/>
  <c r="L945" i="1"/>
  <c r="M945" i="1"/>
  <c r="N945" i="1"/>
  <c r="O945" i="1"/>
  <c r="P945" i="1"/>
  <c r="Q945" i="1"/>
  <c r="R945" i="1"/>
  <c r="S945" i="1"/>
  <c r="T945" i="1"/>
  <c r="U945" i="1"/>
  <c r="V945" i="1"/>
  <c r="W945" i="1"/>
  <c r="X945" i="1"/>
  <c r="Y945" i="1"/>
  <c r="Z945" i="1"/>
  <c r="A946" i="1"/>
  <c r="B946" i="1"/>
  <c r="C946" i="1"/>
  <c r="D946" i="1"/>
  <c r="E946" i="1"/>
  <c r="F946" i="1"/>
  <c r="G946" i="1"/>
  <c r="I946" i="1"/>
  <c r="J946" i="1"/>
  <c r="K946" i="1"/>
  <c r="L946" i="1"/>
  <c r="M946" i="1"/>
  <c r="N946" i="1"/>
  <c r="O946" i="1"/>
  <c r="P946" i="1"/>
  <c r="Q946" i="1"/>
  <c r="R946" i="1"/>
  <c r="S946" i="1"/>
  <c r="T946" i="1"/>
  <c r="U946" i="1"/>
  <c r="V946" i="1"/>
  <c r="W946" i="1"/>
  <c r="X946" i="1"/>
  <c r="Y946" i="1"/>
  <c r="Z946" i="1"/>
  <c r="A947" i="1"/>
  <c r="B947" i="1"/>
  <c r="C947" i="1"/>
  <c r="D947" i="1"/>
  <c r="E947" i="1"/>
  <c r="F947" i="1"/>
  <c r="G947" i="1"/>
  <c r="I947" i="1"/>
  <c r="J947" i="1"/>
  <c r="K947" i="1"/>
  <c r="L947" i="1"/>
  <c r="M947" i="1"/>
  <c r="N947" i="1"/>
  <c r="O947" i="1"/>
  <c r="P947" i="1"/>
  <c r="Q947" i="1"/>
  <c r="R947" i="1"/>
  <c r="S947" i="1"/>
  <c r="T947" i="1"/>
  <c r="U947" i="1"/>
  <c r="V947" i="1"/>
  <c r="W947" i="1"/>
  <c r="X947" i="1"/>
  <c r="Y947" i="1"/>
  <c r="Z947" i="1"/>
  <c r="A948" i="1"/>
  <c r="B948" i="1"/>
  <c r="C948" i="1"/>
  <c r="D948" i="1"/>
  <c r="E948" i="1"/>
  <c r="F948" i="1"/>
  <c r="G948" i="1"/>
  <c r="I948" i="1"/>
  <c r="J948" i="1"/>
  <c r="K948" i="1"/>
  <c r="L948" i="1"/>
  <c r="M948" i="1"/>
  <c r="N948" i="1"/>
  <c r="O948" i="1"/>
  <c r="P948" i="1"/>
  <c r="Q948" i="1"/>
  <c r="R948" i="1"/>
  <c r="S948" i="1"/>
  <c r="T948" i="1"/>
  <c r="U948" i="1"/>
  <c r="V948" i="1"/>
  <c r="W948" i="1"/>
  <c r="X948" i="1"/>
  <c r="Y948" i="1"/>
  <c r="Z948" i="1"/>
  <c r="A949" i="1"/>
  <c r="B949" i="1"/>
  <c r="C949" i="1"/>
  <c r="D949" i="1"/>
  <c r="E949" i="1"/>
  <c r="F949" i="1"/>
  <c r="G949" i="1"/>
  <c r="I949" i="1"/>
  <c r="J949" i="1"/>
  <c r="K949" i="1"/>
  <c r="L949" i="1"/>
  <c r="M949" i="1"/>
  <c r="N949" i="1"/>
  <c r="O949" i="1"/>
  <c r="P949" i="1"/>
  <c r="Q949" i="1"/>
  <c r="R949" i="1"/>
  <c r="S949" i="1"/>
  <c r="T949" i="1"/>
  <c r="U949" i="1"/>
  <c r="V949" i="1"/>
  <c r="W949" i="1"/>
  <c r="X949" i="1"/>
  <c r="Y949" i="1"/>
  <c r="Z949" i="1"/>
  <c r="A950" i="1"/>
  <c r="B950" i="1"/>
  <c r="C950" i="1"/>
  <c r="D950" i="1"/>
  <c r="E950" i="1"/>
  <c r="F950" i="1"/>
  <c r="G950" i="1"/>
  <c r="I950" i="1"/>
  <c r="J950" i="1"/>
  <c r="K950" i="1"/>
  <c r="L950" i="1"/>
  <c r="M950" i="1"/>
  <c r="N950" i="1"/>
  <c r="O950" i="1"/>
  <c r="P950" i="1"/>
  <c r="Q950" i="1"/>
  <c r="R950" i="1"/>
  <c r="S950" i="1"/>
  <c r="T950" i="1"/>
  <c r="U950" i="1"/>
  <c r="V950" i="1"/>
  <c r="W950" i="1"/>
  <c r="X950" i="1"/>
  <c r="Y950" i="1"/>
  <c r="Z950" i="1"/>
  <c r="A951" i="1"/>
  <c r="B951" i="1"/>
  <c r="C951" i="1"/>
  <c r="D951" i="1"/>
  <c r="E951" i="1"/>
  <c r="F951" i="1"/>
  <c r="G951" i="1"/>
  <c r="I951" i="1"/>
  <c r="J951" i="1"/>
  <c r="K951" i="1"/>
  <c r="L951" i="1"/>
  <c r="M951" i="1"/>
  <c r="N951" i="1"/>
  <c r="O951" i="1"/>
  <c r="P951" i="1"/>
  <c r="Q951" i="1"/>
  <c r="R951" i="1"/>
  <c r="S951" i="1"/>
  <c r="T951" i="1"/>
  <c r="U951" i="1"/>
  <c r="V951" i="1"/>
  <c r="W951" i="1"/>
  <c r="X951" i="1"/>
  <c r="Y951" i="1"/>
  <c r="Z951" i="1"/>
  <c r="A952" i="1"/>
  <c r="B952" i="1"/>
  <c r="C952" i="1"/>
  <c r="D952" i="1"/>
  <c r="E952" i="1"/>
  <c r="F952" i="1"/>
  <c r="G952" i="1"/>
  <c r="I952" i="1"/>
  <c r="J952" i="1"/>
  <c r="K952" i="1"/>
  <c r="L952" i="1"/>
  <c r="M952" i="1"/>
  <c r="N952" i="1"/>
  <c r="O952" i="1"/>
  <c r="P952" i="1"/>
  <c r="Q952" i="1"/>
  <c r="R952" i="1"/>
  <c r="S952" i="1"/>
  <c r="T952" i="1"/>
  <c r="U952" i="1"/>
  <c r="V952" i="1"/>
  <c r="W952" i="1"/>
  <c r="X952" i="1"/>
  <c r="Y952" i="1"/>
  <c r="Z952" i="1"/>
  <c r="A953" i="1"/>
  <c r="B953" i="1"/>
  <c r="C953" i="1"/>
  <c r="D953" i="1"/>
  <c r="E953" i="1"/>
  <c r="F953" i="1"/>
  <c r="G953" i="1"/>
  <c r="I953" i="1"/>
  <c r="J953" i="1"/>
  <c r="K953" i="1"/>
  <c r="L953" i="1"/>
  <c r="M953" i="1"/>
  <c r="N953" i="1"/>
  <c r="O953" i="1"/>
  <c r="P953" i="1"/>
  <c r="Q953" i="1"/>
  <c r="R953" i="1"/>
  <c r="S953" i="1"/>
  <c r="T953" i="1"/>
  <c r="U953" i="1"/>
  <c r="V953" i="1"/>
  <c r="W953" i="1"/>
  <c r="X953" i="1"/>
  <c r="Y953" i="1"/>
  <c r="Z953" i="1"/>
  <c r="A954" i="1"/>
  <c r="B954" i="1"/>
  <c r="C954" i="1"/>
  <c r="D954" i="1"/>
  <c r="E954" i="1"/>
  <c r="F954" i="1"/>
  <c r="G954" i="1"/>
  <c r="I954" i="1"/>
  <c r="J954" i="1"/>
  <c r="K954" i="1"/>
  <c r="L954" i="1"/>
  <c r="M954" i="1"/>
  <c r="N954" i="1"/>
  <c r="O954" i="1"/>
  <c r="P954" i="1"/>
  <c r="Q954" i="1"/>
  <c r="R954" i="1"/>
  <c r="S954" i="1"/>
  <c r="T954" i="1"/>
  <c r="U954" i="1"/>
  <c r="V954" i="1"/>
  <c r="W954" i="1"/>
  <c r="X954" i="1"/>
  <c r="Y954" i="1"/>
  <c r="Z954" i="1"/>
  <c r="A955" i="1"/>
  <c r="B955" i="1"/>
  <c r="C955" i="1"/>
  <c r="D955" i="1"/>
  <c r="E955" i="1"/>
  <c r="F955" i="1"/>
  <c r="G955" i="1"/>
  <c r="I955" i="1"/>
  <c r="J955" i="1"/>
  <c r="K955" i="1"/>
  <c r="L955" i="1"/>
  <c r="M955" i="1"/>
  <c r="N955" i="1"/>
  <c r="O955" i="1"/>
  <c r="P955" i="1"/>
  <c r="Q955" i="1"/>
  <c r="R955" i="1"/>
  <c r="S955" i="1"/>
  <c r="T955" i="1"/>
  <c r="U955" i="1"/>
  <c r="V955" i="1"/>
  <c r="W955" i="1"/>
  <c r="X955" i="1"/>
  <c r="Y955" i="1"/>
  <c r="Z955" i="1"/>
  <c r="A956" i="1"/>
  <c r="B956" i="1"/>
  <c r="C956" i="1"/>
  <c r="D956" i="1"/>
  <c r="E956" i="1"/>
  <c r="F956" i="1"/>
  <c r="G956" i="1"/>
  <c r="I956" i="1"/>
  <c r="J956" i="1"/>
  <c r="K956" i="1"/>
  <c r="L956" i="1"/>
  <c r="M956" i="1"/>
  <c r="N956" i="1"/>
  <c r="O956" i="1"/>
  <c r="P956" i="1"/>
  <c r="Q956" i="1"/>
  <c r="R956" i="1"/>
  <c r="S956" i="1"/>
  <c r="T956" i="1"/>
  <c r="U956" i="1"/>
  <c r="V956" i="1"/>
  <c r="W956" i="1"/>
  <c r="X956" i="1"/>
  <c r="Y956" i="1"/>
  <c r="Z956" i="1"/>
  <c r="A957" i="1"/>
  <c r="B957" i="1"/>
  <c r="C957" i="1"/>
  <c r="D957" i="1"/>
  <c r="E957" i="1"/>
  <c r="F957" i="1"/>
  <c r="G957" i="1"/>
  <c r="I957" i="1"/>
  <c r="J957" i="1"/>
  <c r="K957" i="1"/>
  <c r="L957" i="1"/>
  <c r="M957" i="1"/>
  <c r="N957" i="1"/>
  <c r="O957" i="1"/>
  <c r="P957" i="1"/>
  <c r="Q957" i="1"/>
  <c r="R957" i="1"/>
  <c r="S957" i="1"/>
  <c r="T957" i="1"/>
  <c r="U957" i="1"/>
  <c r="V957" i="1"/>
  <c r="W957" i="1"/>
  <c r="X957" i="1"/>
  <c r="Y957" i="1"/>
  <c r="Z957" i="1"/>
  <c r="A958" i="1"/>
  <c r="B958" i="1"/>
  <c r="C958" i="1"/>
  <c r="D958" i="1"/>
  <c r="E958" i="1"/>
  <c r="F958" i="1"/>
  <c r="G958" i="1"/>
  <c r="I958" i="1"/>
  <c r="J958" i="1"/>
  <c r="K958" i="1"/>
  <c r="L958" i="1"/>
  <c r="M958" i="1"/>
  <c r="N958" i="1"/>
  <c r="O958" i="1"/>
  <c r="P958" i="1"/>
  <c r="Q958" i="1"/>
  <c r="R958" i="1"/>
  <c r="S958" i="1"/>
  <c r="T958" i="1"/>
  <c r="U958" i="1"/>
  <c r="V958" i="1"/>
  <c r="W958" i="1"/>
  <c r="X958" i="1"/>
  <c r="Y958" i="1"/>
  <c r="Z958" i="1"/>
  <c r="A959" i="1"/>
  <c r="B959" i="1"/>
  <c r="C959" i="1"/>
  <c r="D959" i="1"/>
  <c r="E959" i="1"/>
  <c r="F959" i="1"/>
  <c r="G959" i="1"/>
  <c r="I959" i="1"/>
  <c r="J959" i="1"/>
  <c r="K959" i="1"/>
  <c r="L959" i="1"/>
  <c r="M959" i="1"/>
  <c r="N959" i="1"/>
  <c r="O959" i="1"/>
  <c r="P959" i="1"/>
  <c r="Q959" i="1"/>
  <c r="R959" i="1"/>
  <c r="S959" i="1"/>
  <c r="T959" i="1"/>
  <c r="U959" i="1"/>
  <c r="V959" i="1"/>
  <c r="W959" i="1"/>
  <c r="X959" i="1"/>
  <c r="Y959" i="1"/>
  <c r="Z959" i="1"/>
  <c r="A960" i="1"/>
  <c r="B960" i="1"/>
  <c r="C960" i="1"/>
  <c r="D960" i="1"/>
  <c r="E960" i="1"/>
  <c r="F960" i="1"/>
  <c r="G960" i="1"/>
  <c r="I960" i="1"/>
  <c r="J960" i="1"/>
  <c r="K960" i="1"/>
  <c r="L960" i="1"/>
  <c r="M960" i="1"/>
  <c r="N960" i="1"/>
  <c r="O960" i="1"/>
  <c r="P960" i="1"/>
  <c r="Q960" i="1"/>
  <c r="R960" i="1"/>
  <c r="S960" i="1"/>
  <c r="T960" i="1"/>
  <c r="U960" i="1"/>
  <c r="V960" i="1"/>
  <c r="W960" i="1"/>
  <c r="X960" i="1"/>
  <c r="Y960" i="1"/>
  <c r="Z960" i="1"/>
  <c r="A961" i="1"/>
  <c r="B961" i="1"/>
  <c r="C961" i="1"/>
  <c r="D961" i="1"/>
  <c r="E961" i="1"/>
  <c r="F961" i="1"/>
  <c r="G961" i="1"/>
  <c r="I961" i="1"/>
  <c r="J961" i="1"/>
  <c r="K961" i="1"/>
  <c r="L961" i="1"/>
  <c r="M961" i="1"/>
  <c r="N961" i="1"/>
  <c r="O961" i="1"/>
  <c r="P961" i="1"/>
  <c r="Q961" i="1"/>
  <c r="R961" i="1"/>
  <c r="S961" i="1"/>
  <c r="T961" i="1"/>
  <c r="U961" i="1"/>
  <c r="V961" i="1"/>
  <c r="W961" i="1"/>
  <c r="X961" i="1"/>
  <c r="Y961" i="1"/>
  <c r="Z961" i="1"/>
  <c r="A962" i="1"/>
  <c r="B962" i="1"/>
  <c r="C962" i="1"/>
  <c r="D962" i="1"/>
  <c r="E962" i="1"/>
  <c r="F962" i="1"/>
  <c r="G962" i="1"/>
  <c r="I962" i="1"/>
  <c r="J962" i="1"/>
  <c r="K962" i="1"/>
  <c r="L962" i="1"/>
  <c r="M962" i="1"/>
  <c r="N962" i="1"/>
  <c r="O962" i="1"/>
  <c r="P962" i="1"/>
  <c r="Q962" i="1"/>
  <c r="R962" i="1"/>
  <c r="S962" i="1"/>
  <c r="T962" i="1"/>
  <c r="U962" i="1"/>
  <c r="V962" i="1"/>
  <c r="W962" i="1"/>
  <c r="X962" i="1"/>
  <c r="Y962" i="1"/>
  <c r="Z962" i="1"/>
  <c r="A963" i="1"/>
  <c r="B963" i="1"/>
  <c r="C963" i="1"/>
  <c r="D963" i="1"/>
  <c r="E963" i="1"/>
  <c r="F963" i="1"/>
  <c r="G963" i="1"/>
  <c r="I963" i="1"/>
  <c r="J963" i="1"/>
  <c r="K963" i="1"/>
  <c r="L963" i="1"/>
  <c r="M963" i="1"/>
  <c r="N963" i="1"/>
  <c r="O963" i="1"/>
  <c r="P963" i="1"/>
  <c r="Q963" i="1"/>
  <c r="R963" i="1"/>
  <c r="S963" i="1"/>
  <c r="T963" i="1"/>
  <c r="U963" i="1"/>
  <c r="V963" i="1"/>
  <c r="W963" i="1"/>
  <c r="X963" i="1"/>
  <c r="Y963" i="1"/>
  <c r="Z963" i="1"/>
  <c r="A964" i="1"/>
  <c r="B964" i="1"/>
  <c r="C964" i="1"/>
  <c r="D964" i="1"/>
  <c r="E964" i="1"/>
  <c r="F964" i="1"/>
  <c r="G964" i="1"/>
  <c r="I964" i="1"/>
  <c r="J964" i="1"/>
  <c r="K964" i="1"/>
  <c r="L964" i="1"/>
  <c r="M964" i="1"/>
  <c r="N964" i="1"/>
  <c r="O964" i="1"/>
  <c r="P964" i="1"/>
  <c r="Q964" i="1"/>
  <c r="R964" i="1"/>
  <c r="S964" i="1"/>
  <c r="T964" i="1"/>
  <c r="U964" i="1"/>
  <c r="V964" i="1"/>
  <c r="W964" i="1"/>
  <c r="X964" i="1"/>
  <c r="Y964" i="1"/>
  <c r="Z964" i="1"/>
  <c r="A965" i="1"/>
  <c r="B965" i="1"/>
  <c r="C965" i="1"/>
  <c r="D965" i="1"/>
  <c r="E965" i="1"/>
  <c r="F965" i="1"/>
  <c r="G965" i="1"/>
  <c r="I965" i="1"/>
  <c r="J965" i="1"/>
  <c r="K965" i="1"/>
  <c r="L965" i="1"/>
  <c r="M965" i="1"/>
  <c r="N965" i="1"/>
  <c r="O965" i="1"/>
  <c r="P965" i="1"/>
  <c r="Q965" i="1"/>
  <c r="R965" i="1"/>
  <c r="S965" i="1"/>
  <c r="T965" i="1"/>
  <c r="U965" i="1"/>
  <c r="V965" i="1"/>
  <c r="W965" i="1"/>
  <c r="X965" i="1"/>
  <c r="Y965" i="1"/>
  <c r="Z965" i="1"/>
  <c r="A966" i="1"/>
  <c r="B966" i="1"/>
  <c r="C966" i="1"/>
  <c r="D966" i="1"/>
  <c r="E966" i="1"/>
  <c r="F966" i="1"/>
  <c r="G966" i="1"/>
  <c r="I966" i="1"/>
  <c r="J966" i="1"/>
  <c r="K966" i="1"/>
  <c r="L966" i="1"/>
  <c r="M966" i="1"/>
  <c r="N966" i="1"/>
  <c r="O966" i="1"/>
  <c r="P966" i="1"/>
  <c r="Q966" i="1"/>
  <c r="R966" i="1"/>
  <c r="S966" i="1"/>
  <c r="T966" i="1"/>
  <c r="U966" i="1"/>
  <c r="V966" i="1"/>
  <c r="W966" i="1"/>
  <c r="X966" i="1"/>
  <c r="Y966" i="1"/>
  <c r="Z966" i="1"/>
  <c r="A967" i="1"/>
  <c r="B967" i="1"/>
  <c r="C967" i="1"/>
  <c r="D967" i="1"/>
  <c r="E967" i="1"/>
  <c r="F967" i="1"/>
  <c r="G967" i="1"/>
  <c r="I967" i="1"/>
  <c r="J967" i="1"/>
  <c r="K967" i="1"/>
  <c r="L967" i="1"/>
  <c r="M967" i="1"/>
  <c r="N967" i="1"/>
  <c r="O967" i="1"/>
  <c r="P967" i="1"/>
  <c r="Q967" i="1"/>
  <c r="R967" i="1"/>
  <c r="S967" i="1"/>
  <c r="T967" i="1"/>
  <c r="U967" i="1"/>
  <c r="V967" i="1"/>
  <c r="W967" i="1"/>
  <c r="X967" i="1"/>
  <c r="Y967" i="1"/>
  <c r="Z967" i="1"/>
  <c r="A968" i="1"/>
  <c r="B968" i="1"/>
  <c r="C968" i="1"/>
  <c r="D968" i="1"/>
  <c r="E968" i="1"/>
  <c r="F968" i="1"/>
  <c r="G968" i="1"/>
  <c r="I968" i="1"/>
  <c r="J968" i="1"/>
  <c r="K968" i="1"/>
  <c r="L968" i="1"/>
  <c r="M968" i="1"/>
  <c r="N968" i="1"/>
  <c r="O968" i="1"/>
  <c r="P968" i="1"/>
  <c r="Q968" i="1"/>
  <c r="R968" i="1"/>
  <c r="S968" i="1"/>
  <c r="T968" i="1"/>
  <c r="U968" i="1"/>
  <c r="V968" i="1"/>
  <c r="W968" i="1"/>
  <c r="X968" i="1"/>
  <c r="Y968" i="1"/>
  <c r="Z968" i="1"/>
  <c r="A969" i="1"/>
  <c r="B969" i="1"/>
  <c r="C969" i="1"/>
  <c r="D969" i="1"/>
  <c r="E969" i="1"/>
  <c r="F969" i="1"/>
  <c r="G969" i="1"/>
  <c r="I969" i="1"/>
  <c r="J969" i="1"/>
  <c r="K969" i="1"/>
  <c r="L969" i="1"/>
  <c r="M969" i="1"/>
  <c r="N969" i="1"/>
  <c r="O969" i="1"/>
  <c r="P969" i="1"/>
  <c r="Q969" i="1"/>
  <c r="R969" i="1"/>
  <c r="S969" i="1"/>
  <c r="T969" i="1"/>
  <c r="U969" i="1"/>
  <c r="V969" i="1"/>
  <c r="W969" i="1"/>
  <c r="X969" i="1"/>
  <c r="Y969" i="1"/>
  <c r="Z969" i="1"/>
  <c r="A970" i="1"/>
  <c r="B970" i="1"/>
  <c r="C970" i="1"/>
  <c r="D970" i="1"/>
  <c r="E970" i="1"/>
  <c r="F970" i="1"/>
  <c r="G970" i="1"/>
  <c r="I970" i="1"/>
  <c r="J970" i="1"/>
  <c r="K970" i="1"/>
  <c r="L970" i="1"/>
  <c r="M970" i="1"/>
  <c r="N970" i="1"/>
  <c r="O970" i="1"/>
  <c r="P970" i="1"/>
  <c r="Q970" i="1"/>
  <c r="R970" i="1"/>
  <c r="S970" i="1"/>
  <c r="T970" i="1"/>
  <c r="U970" i="1"/>
  <c r="V970" i="1"/>
  <c r="W970" i="1"/>
  <c r="X970" i="1"/>
  <c r="Y970" i="1"/>
  <c r="Z970" i="1"/>
  <c r="A971" i="1"/>
  <c r="B971" i="1"/>
  <c r="C971" i="1"/>
  <c r="D971" i="1"/>
  <c r="E971" i="1"/>
  <c r="F971" i="1"/>
  <c r="G971" i="1"/>
  <c r="I971" i="1"/>
  <c r="J971" i="1"/>
  <c r="K971" i="1"/>
  <c r="L971" i="1"/>
  <c r="M971" i="1"/>
  <c r="N971" i="1"/>
  <c r="O971" i="1"/>
  <c r="P971" i="1"/>
  <c r="Q971" i="1"/>
  <c r="R971" i="1"/>
  <c r="S971" i="1"/>
  <c r="T971" i="1"/>
  <c r="U971" i="1"/>
  <c r="V971" i="1"/>
  <c r="W971" i="1"/>
  <c r="X971" i="1"/>
  <c r="Y971" i="1"/>
  <c r="Z971" i="1"/>
  <c r="A972" i="1"/>
  <c r="B972" i="1"/>
  <c r="C972" i="1"/>
  <c r="D972" i="1"/>
  <c r="E972" i="1"/>
  <c r="F972" i="1"/>
  <c r="G972" i="1"/>
  <c r="I972" i="1"/>
  <c r="J972" i="1"/>
  <c r="K972" i="1"/>
  <c r="L972" i="1"/>
  <c r="M972" i="1"/>
  <c r="N972" i="1"/>
  <c r="O972" i="1"/>
  <c r="P972" i="1"/>
  <c r="Q972" i="1"/>
  <c r="R972" i="1"/>
  <c r="S972" i="1"/>
  <c r="T972" i="1"/>
  <c r="U972" i="1"/>
  <c r="V972" i="1"/>
  <c r="W972" i="1"/>
  <c r="X972" i="1"/>
  <c r="Y972" i="1"/>
  <c r="Z972" i="1"/>
  <c r="A973" i="1"/>
  <c r="B973" i="1"/>
  <c r="C973" i="1"/>
  <c r="D973" i="1"/>
  <c r="E973" i="1"/>
  <c r="F973" i="1"/>
  <c r="G973" i="1"/>
  <c r="I973" i="1"/>
  <c r="J973" i="1"/>
  <c r="K973" i="1"/>
  <c r="L973" i="1"/>
  <c r="M973" i="1"/>
  <c r="N973" i="1"/>
  <c r="O973" i="1"/>
  <c r="P973" i="1"/>
  <c r="Q973" i="1"/>
  <c r="R973" i="1"/>
  <c r="S973" i="1"/>
  <c r="T973" i="1"/>
  <c r="U973" i="1"/>
  <c r="V973" i="1"/>
  <c r="W973" i="1"/>
  <c r="X973" i="1"/>
  <c r="Y973" i="1"/>
  <c r="Z973" i="1"/>
  <c r="A974" i="1"/>
  <c r="B974" i="1"/>
  <c r="C974" i="1"/>
  <c r="D974" i="1"/>
  <c r="E974" i="1"/>
  <c r="F974" i="1"/>
  <c r="G974" i="1"/>
  <c r="I974" i="1"/>
  <c r="J974" i="1"/>
  <c r="K974" i="1"/>
  <c r="L974" i="1"/>
  <c r="M974" i="1"/>
  <c r="N974" i="1"/>
  <c r="O974" i="1"/>
  <c r="P974" i="1"/>
  <c r="Q974" i="1"/>
  <c r="R974" i="1"/>
  <c r="S974" i="1"/>
  <c r="T974" i="1"/>
  <c r="U974" i="1"/>
  <c r="V974" i="1"/>
  <c r="W974" i="1"/>
  <c r="X974" i="1"/>
  <c r="Y974" i="1"/>
  <c r="Z974" i="1"/>
  <c r="A975" i="1"/>
  <c r="B975" i="1"/>
  <c r="C975" i="1"/>
  <c r="D975" i="1"/>
  <c r="E975" i="1"/>
  <c r="F975" i="1"/>
  <c r="G975" i="1"/>
  <c r="I975" i="1"/>
  <c r="J975" i="1"/>
  <c r="K975" i="1"/>
  <c r="L975" i="1"/>
  <c r="M975" i="1"/>
  <c r="N975" i="1"/>
  <c r="O975" i="1"/>
  <c r="P975" i="1"/>
  <c r="Q975" i="1"/>
  <c r="R975" i="1"/>
  <c r="S975" i="1"/>
  <c r="T975" i="1"/>
  <c r="U975" i="1"/>
  <c r="V975" i="1"/>
  <c r="W975" i="1"/>
  <c r="X975" i="1"/>
  <c r="Y975" i="1"/>
  <c r="Z975" i="1"/>
  <c r="A976" i="1"/>
  <c r="B976" i="1"/>
  <c r="C976" i="1"/>
  <c r="D976" i="1"/>
  <c r="E976" i="1"/>
  <c r="F976" i="1"/>
  <c r="G976" i="1"/>
  <c r="I976" i="1"/>
  <c r="J976" i="1"/>
  <c r="K976" i="1"/>
  <c r="L976" i="1"/>
  <c r="M976" i="1"/>
  <c r="N976" i="1"/>
  <c r="O976" i="1"/>
  <c r="P976" i="1"/>
  <c r="Q976" i="1"/>
  <c r="R976" i="1"/>
  <c r="S976" i="1"/>
  <c r="T976" i="1"/>
  <c r="U976" i="1"/>
  <c r="V976" i="1"/>
  <c r="W976" i="1"/>
  <c r="X976" i="1"/>
  <c r="Y976" i="1"/>
  <c r="Z976" i="1"/>
  <c r="A977" i="1"/>
  <c r="B977" i="1"/>
  <c r="C977" i="1"/>
  <c r="D977" i="1"/>
  <c r="E977" i="1"/>
  <c r="F977" i="1"/>
  <c r="G977" i="1"/>
  <c r="I977" i="1"/>
  <c r="J977" i="1"/>
  <c r="K977" i="1"/>
  <c r="L977" i="1"/>
  <c r="M977" i="1"/>
  <c r="N977" i="1"/>
  <c r="O977" i="1"/>
  <c r="P977" i="1"/>
  <c r="Q977" i="1"/>
  <c r="R977" i="1"/>
  <c r="S977" i="1"/>
  <c r="T977" i="1"/>
  <c r="U977" i="1"/>
  <c r="V977" i="1"/>
  <c r="W977" i="1"/>
  <c r="X977" i="1"/>
  <c r="Y977" i="1"/>
  <c r="Z977" i="1"/>
  <c r="A978" i="1"/>
  <c r="B978" i="1"/>
  <c r="C978" i="1"/>
  <c r="D978" i="1"/>
  <c r="E978" i="1"/>
  <c r="F978" i="1"/>
  <c r="G978" i="1"/>
  <c r="I978" i="1"/>
  <c r="J978" i="1"/>
  <c r="K978" i="1"/>
  <c r="L978" i="1"/>
  <c r="M978" i="1"/>
  <c r="N978" i="1"/>
  <c r="O978" i="1"/>
  <c r="P978" i="1"/>
  <c r="Q978" i="1"/>
  <c r="R978" i="1"/>
  <c r="S978" i="1"/>
  <c r="T978" i="1"/>
  <c r="U978" i="1"/>
  <c r="V978" i="1"/>
  <c r="W978" i="1"/>
  <c r="X978" i="1"/>
  <c r="Y978" i="1"/>
  <c r="Z978" i="1"/>
  <c r="A979" i="1"/>
  <c r="B979" i="1"/>
  <c r="C979" i="1"/>
  <c r="D979" i="1"/>
  <c r="E979" i="1"/>
  <c r="F979" i="1"/>
  <c r="G979" i="1"/>
  <c r="I979" i="1"/>
  <c r="J979" i="1"/>
  <c r="K979" i="1"/>
  <c r="L979" i="1"/>
  <c r="M979" i="1"/>
  <c r="N979" i="1"/>
  <c r="O979" i="1"/>
  <c r="P979" i="1"/>
  <c r="Q979" i="1"/>
  <c r="R979" i="1"/>
  <c r="S979" i="1"/>
  <c r="T979" i="1"/>
  <c r="U979" i="1"/>
  <c r="V979" i="1"/>
  <c r="W979" i="1"/>
  <c r="X979" i="1"/>
  <c r="Y979" i="1"/>
  <c r="Z979" i="1"/>
  <c r="A980" i="1"/>
  <c r="B980" i="1"/>
  <c r="C980" i="1"/>
  <c r="D980" i="1"/>
  <c r="E980" i="1"/>
  <c r="F980" i="1"/>
  <c r="G980" i="1"/>
  <c r="I980" i="1"/>
  <c r="J980" i="1"/>
  <c r="K980" i="1"/>
  <c r="L980" i="1"/>
  <c r="M980" i="1"/>
  <c r="N980" i="1"/>
  <c r="O980" i="1"/>
  <c r="P980" i="1"/>
  <c r="Q980" i="1"/>
  <c r="R980" i="1"/>
  <c r="S980" i="1"/>
  <c r="T980" i="1"/>
  <c r="U980" i="1"/>
  <c r="V980" i="1"/>
  <c r="W980" i="1"/>
  <c r="X980" i="1"/>
  <c r="Y980" i="1"/>
  <c r="Z980" i="1"/>
  <c r="A981" i="1"/>
  <c r="B981" i="1"/>
  <c r="C981" i="1"/>
  <c r="D981" i="1"/>
  <c r="E981" i="1"/>
  <c r="F981" i="1"/>
  <c r="G981" i="1"/>
  <c r="I981" i="1"/>
  <c r="J981" i="1"/>
  <c r="K981" i="1"/>
  <c r="L981" i="1"/>
  <c r="M981" i="1"/>
  <c r="N981" i="1"/>
  <c r="O981" i="1"/>
  <c r="P981" i="1"/>
  <c r="Q981" i="1"/>
  <c r="R981" i="1"/>
  <c r="S981" i="1"/>
  <c r="T981" i="1"/>
  <c r="U981" i="1"/>
  <c r="V981" i="1"/>
  <c r="W981" i="1"/>
  <c r="X981" i="1"/>
  <c r="Y981" i="1"/>
  <c r="Z981" i="1"/>
  <c r="A982" i="1"/>
  <c r="B982" i="1"/>
  <c r="C982" i="1"/>
  <c r="D982" i="1"/>
  <c r="E982" i="1"/>
  <c r="F982" i="1"/>
  <c r="G982" i="1"/>
  <c r="I982" i="1"/>
  <c r="J982" i="1"/>
  <c r="K982" i="1"/>
  <c r="L982" i="1"/>
  <c r="M982" i="1"/>
  <c r="N982" i="1"/>
  <c r="O982" i="1"/>
  <c r="P982" i="1"/>
  <c r="Q982" i="1"/>
  <c r="R982" i="1"/>
  <c r="S982" i="1"/>
  <c r="T982" i="1"/>
  <c r="U982" i="1"/>
  <c r="V982" i="1"/>
  <c r="W982" i="1"/>
  <c r="X982" i="1"/>
  <c r="Y982" i="1"/>
  <c r="Z982" i="1"/>
  <c r="A983" i="1"/>
  <c r="B983" i="1"/>
  <c r="C983" i="1"/>
  <c r="D983" i="1"/>
  <c r="E983" i="1"/>
  <c r="F983" i="1"/>
  <c r="G983" i="1"/>
  <c r="I983" i="1"/>
  <c r="J983" i="1"/>
  <c r="K983" i="1"/>
  <c r="L983" i="1"/>
  <c r="M983" i="1"/>
  <c r="N983" i="1"/>
  <c r="O983" i="1"/>
  <c r="P983" i="1"/>
  <c r="Q983" i="1"/>
  <c r="R983" i="1"/>
  <c r="S983" i="1"/>
  <c r="T983" i="1"/>
  <c r="U983" i="1"/>
  <c r="V983" i="1"/>
  <c r="W983" i="1"/>
  <c r="X983" i="1"/>
  <c r="Y983" i="1"/>
  <c r="Z983" i="1"/>
  <c r="A984" i="1"/>
  <c r="B984" i="1"/>
  <c r="C984" i="1"/>
  <c r="D984" i="1"/>
  <c r="E984" i="1"/>
  <c r="F984" i="1"/>
  <c r="G984" i="1"/>
  <c r="I984" i="1"/>
  <c r="J984" i="1"/>
  <c r="K984" i="1"/>
  <c r="L984" i="1"/>
  <c r="M984" i="1"/>
  <c r="N984" i="1"/>
  <c r="O984" i="1"/>
  <c r="P984" i="1"/>
  <c r="Q984" i="1"/>
  <c r="R984" i="1"/>
  <c r="S984" i="1"/>
  <c r="T984" i="1"/>
  <c r="U984" i="1"/>
  <c r="V984" i="1"/>
  <c r="W984" i="1"/>
  <c r="X984" i="1"/>
  <c r="Y984" i="1"/>
  <c r="Z984" i="1"/>
  <c r="A985" i="1"/>
  <c r="B985" i="1"/>
  <c r="C985" i="1"/>
  <c r="D985" i="1"/>
  <c r="E985" i="1"/>
  <c r="F985" i="1"/>
  <c r="G985" i="1"/>
  <c r="I985" i="1"/>
  <c r="J985" i="1"/>
  <c r="K985" i="1"/>
  <c r="L985" i="1"/>
  <c r="M985" i="1"/>
  <c r="N985" i="1"/>
  <c r="O985" i="1"/>
  <c r="P985" i="1"/>
  <c r="Q985" i="1"/>
  <c r="R985" i="1"/>
  <c r="S985" i="1"/>
  <c r="T985" i="1"/>
  <c r="U985" i="1"/>
  <c r="V985" i="1"/>
  <c r="W985" i="1"/>
  <c r="X985" i="1"/>
  <c r="Y985" i="1"/>
  <c r="Z985" i="1"/>
  <c r="A986" i="1"/>
  <c r="B986" i="1"/>
  <c r="C986" i="1"/>
  <c r="D986" i="1"/>
  <c r="E986" i="1"/>
  <c r="F986" i="1"/>
  <c r="G986" i="1"/>
  <c r="I986" i="1"/>
  <c r="J986" i="1"/>
  <c r="K986" i="1"/>
  <c r="L986" i="1"/>
  <c r="M986" i="1"/>
  <c r="N986" i="1"/>
  <c r="O986" i="1"/>
  <c r="P986" i="1"/>
  <c r="Q986" i="1"/>
  <c r="R986" i="1"/>
  <c r="S986" i="1"/>
  <c r="T986" i="1"/>
  <c r="U986" i="1"/>
  <c r="V986" i="1"/>
  <c r="W986" i="1"/>
  <c r="X986" i="1"/>
  <c r="Y986" i="1"/>
  <c r="Z986" i="1"/>
  <c r="A987" i="1"/>
  <c r="B987" i="1"/>
  <c r="C987" i="1"/>
  <c r="D987" i="1"/>
  <c r="E987" i="1"/>
  <c r="F987" i="1"/>
  <c r="G987" i="1"/>
  <c r="I987" i="1"/>
  <c r="J987" i="1"/>
  <c r="K987" i="1"/>
  <c r="L987" i="1"/>
  <c r="M987" i="1"/>
  <c r="N987" i="1"/>
  <c r="O987" i="1"/>
  <c r="P987" i="1"/>
  <c r="Q987" i="1"/>
  <c r="R987" i="1"/>
  <c r="S987" i="1"/>
  <c r="T987" i="1"/>
  <c r="U987" i="1"/>
  <c r="V987" i="1"/>
  <c r="W987" i="1"/>
  <c r="X987" i="1"/>
  <c r="Y987" i="1"/>
  <c r="Z987" i="1"/>
  <c r="A988" i="1"/>
  <c r="B988" i="1"/>
  <c r="C988" i="1"/>
  <c r="D988" i="1"/>
  <c r="E988" i="1"/>
  <c r="F988" i="1"/>
  <c r="G988" i="1"/>
  <c r="I988" i="1"/>
  <c r="J988" i="1"/>
  <c r="K988" i="1"/>
  <c r="L988" i="1"/>
  <c r="M988" i="1"/>
  <c r="N988" i="1"/>
  <c r="O988" i="1"/>
  <c r="P988" i="1"/>
  <c r="Q988" i="1"/>
  <c r="R988" i="1"/>
  <c r="S988" i="1"/>
  <c r="T988" i="1"/>
  <c r="U988" i="1"/>
  <c r="V988" i="1"/>
  <c r="W988" i="1"/>
  <c r="X988" i="1"/>
  <c r="Y988" i="1"/>
  <c r="Z988" i="1"/>
  <c r="A989" i="1"/>
  <c r="B989" i="1"/>
  <c r="C989" i="1"/>
  <c r="D989" i="1"/>
  <c r="E989" i="1"/>
  <c r="F989" i="1"/>
  <c r="G989" i="1"/>
  <c r="I989" i="1"/>
  <c r="J989" i="1"/>
  <c r="K989" i="1"/>
  <c r="L989" i="1"/>
  <c r="M989" i="1"/>
  <c r="N989" i="1"/>
  <c r="O989" i="1"/>
  <c r="P989" i="1"/>
  <c r="Q989" i="1"/>
  <c r="R989" i="1"/>
  <c r="S989" i="1"/>
  <c r="T989" i="1"/>
  <c r="U989" i="1"/>
  <c r="V989" i="1"/>
  <c r="W989" i="1"/>
  <c r="X989" i="1"/>
  <c r="Y989" i="1"/>
  <c r="Z989" i="1"/>
  <c r="A990" i="1"/>
  <c r="B990" i="1"/>
  <c r="C990" i="1"/>
  <c r="D990" i="1"/>
  <c r="E990" i="1"/>
  <c r="F990" i="1"/>
  <c r="G990" i="1"/>
  <c r="I990" i="1"/>
  <c r="J990" i="1"/>
  <c r="K990" i="1"/>
  <c r="L990" i="1"/>
  <c r="M990" i="1"/>
  <c r="N990" i="1"/>
  <c r="O990" i="1"/>
  <c r="P990" i="1"/>
  <c r="Q990" i="1"/>
  <c r="R990" i="1"/>
  <c r="S990" i="1"/>
  <c r="T990" i="1"/>
  <c r="U990" i="1"/>
  <c r="V990" i="1"/>
  <c r="W990" i="1"/>
  <c r="X990" i="1"/>
  <c r="Y990" i="1"/>
  <c r="Z990" i="1"/>
  <c r="A991" i="1"/>
  <c r="B991" i="1"/>
  <c r="C991" i="1"/>
  <c r="D991" i="1"/>
  <c r="E991" i="1"/>
  <c r="F991" i="1"/>
  <c r="G991" i="1"/>
  <c r="I991" i="1"/>
  <c r="J991" i="1"/>
  <c r="K991" i="1"/>
  <c r="L991" i="1"/>
  <c r="M991" i="1"/>
  <c r="N991" i="1"/>
  <c r="O991" i="1"/>
  <c r="P991" i="1"/>
  <c r="Q991" i="1"/>
  <c r="R991" i="1"/>
  <c r="S991" i="1"/>
  <c r="T991" i="1"/>
  <c r="U991" i="1"/>
  <c r="V991" i="1"/>
  <c r="W991" i="1"/>
  <c r="X991" i="1"/>
  <c r="Y991" i="1"/>
  <c r="Z991" i="1"/>
  <c r="A992" i="1"/>
  <c r="B992" i="1"/>
  <c r="C992" i="1"/>
  <c r="D992" i="1"/>
  <c r="E992" i="1"/>
  <c r="F992" i="1"/>
  <c r="G992" i="1"/>
  <c r="I992" i="1"/>
  <c r="J992" i="1"/>
  <c r="K992" i="1"/>
  <c r="L992" i="1"/>
  <c r="M992" i="1"/>
  <c r="N992" i="1"/>
  <c r="O992" i="1"/>
  <c r="P992" i="1"/>
  <c r="Q992" i="1"/>
  <c r="R992" i="1"/>
  <c r="S992" i="1"/>
  <c r="T992" i="1"/>
  <c r="U992" i="1"/>
  <c r="V992" i="1"/>
  <c r="W992" i="1"/>
  <c r="X992" i="1"/>
  <c r="Y992" i="1"/>
  <c r="Z992" i="1"/>
  <c r="A993" i="1"/>
  <c r="B993" i="1"/>
  <c r="C993" i="1"/>
  <c r="D993" i="1"/>
  <c r="E993" i="1"/>
  <c r="F993" i="1"/>
  <c r="G993" i="1"/>
  <c r="I993" i="1"/>
  <c r="J993" i="1"/>
  <c r="K993" i="1"/>
  <c r="L993" i="1"/>
  <c r="M993" i="1"/>
  <c r="N993" i="1"/>
  <c r="O993" i="1"/>
  <c r="P993" i="1"/>
  <c r="Q993" i="1"/>
  <c r="R993" i="1"/>
  <c r="S993" i="1"/>
  <c r="T993" i="1"/>
  <c r="U993" i="1"/>
  <c r="V993" i="1"/>
  <c r="W993" i="1"/>
  <c r="X993" i="1"/>
  <c r="Y993" i="1"/>
  <c r="Z993" i="1"/>
  <c r="A994" i="1"/>
  <c r="B994" i="1"/>
  <c r="C994" i="1"/>
  <c r="D994" i="1"/>
  <c r="E994" i="1"/>
  <c r="F994" i="1"/>
  <c r="G994" i="1"/>
  <c r="I994" i="1"/>
  <c r="J994" i="1"/>
  <c r="K994" i="1"/>
  <c r="L994" i="1"/>
  <c r="M994" i="1"/>
  <c r="N994" i="1"/>
  <c r="O994" i="1"/>
  <c r="P994" i="1"/>
  <c r="Q994" i="1"/>
  <c r="R994" i="1"/>
  <c r="S994" i="1"/>
  <c r="T994" i="1"/>
  <c r="U994" i="1"/>
  <c r="V994" i="1"/>
  <c r="W994" i="1"/>
  <c r="X994" i="1"/>
  <c r="Y994" i="1"/>
  <c r="Z994" i="1"/>
  <c r="A995" i="1"/>
  <c r="B995" i="1"/>
  <c r="C995" i="1"/>
  <c r="D995" i="1"/>
  <c r="E995" i="1"/>
  <c r="F995" i="1"/>
  <c r="G995" i="1"/>
  <c r="I995" i="1"/>
  <c r="J995" i="1"/>
  <c r="K995" i="1"/>
  <c r="L995" i="1"/>
  <c r="M995" i="1"/>
  <c r="N995" i="1"/>
  <c r="O995" i="1"/>
  <c r="P995" i="1"/>
  <c r="Q995" i="1"/>
  <c r="R995" i="1"/>
  <c r="S995" i="1"/>
  <c r="T995" i="1"/>
  <c r="U995" i="1"/>
  <c r="V995" i="1"/>
  <c r="W995" i="1"/>
  <c r="X995" i="1"/>
  <c r="Y995" i="1"/>
  <c r="Z995" i="1"/>
  <c r="A996" i="1"/>
  <c r="B996" i="1"/>
  <c r="C996" i="1"/>
  <c r="D996" i="1"/>
  <c r="E996" i="1"/>
  <c r="F996" i="1"/>
  <c r="G996" i="1"/>
  <c r="I996" i="1"/>
  <c r="J996" i="1"/>
  <c r="K996" i="1"/>
  <c r="L996" i="1"/>
  <c r="M996" i="1"/>
  <c r="N996" i="1"/>
  <c r="O996" i="1"/>
  <c r="P996" i="1"/>
  <c r="Q996" i="1"/>
  <c r="R996" i="1"/>
  <c r="S996" i="1"/>
  <c r="T996" i="1"/>
  <c r="U996" i="1"/>
  <c r="V996" i="1"/>
  <c r="W996" i="1"/>
  <c r="X996" i="1"/>
  <c r="Y996" i="1"/>
  <c r="Z996" i="1"/>
  <c r="A997" i="1"/>
  <c r="B997" i="1"/>
  <c r="C997" i="1"/>
  <c r="D997" i="1"/>
  <c r="E997" i="1"/>
  <c r="F997" i="1"/>
  <c r="G997" i="1"/>
  <c r="I997" i="1"/>
  <c r="J997" i="1"/>
  <c r="K997" i="1"/>
  <c r="L997" i="1"/>
  <c r="M997" i="1"/>
  <c r="N997" i="1"/>
  <c r="O997" i="1"/>
  <c r="P997" i="1"/>
  <c r="Q997" i="1"/>
  <c r="R997" i="1"/>
  <c r="S997" i="1"/>
  <c r="T997" i="1"/>
  <c r="U997" i="1"/>
  <c r="V997" i="1"/>
  <c r="W997" i="1"/>
  <c r="X997" i="1"/>
  <c r="Y997" i="1"/>
  <c r="Z997" i="1"/>
  <c r="A998" i="1"/>
  <c r="B998" i="1"/>
  <c r="C998" i="1"/>
  <c r="D998" i="1"/>
  <c r="E998" i="1"/>
  <c r="F998" i="1"/>
  <c r="G998" i="1"/>
  <c r="I998" i="1"/>
  <c r="J998" i="1"/>
  <c r="K998" i="1"/>
  <c r="L998" i="1"/>
  <c r="M998" i="1"/>
  <c r="N998" i="1"/>
  <c r="O998" i="1"/>
  <c r="P998" i="1"/>
  <c r="Q998" i="1"/>
  <c r="R998" i="1"/>
  <c r="S998" i="1"/>
  <c r="T998" i="1"/>
  <c r="U998" i="1"/>
  <c r="V998" i="1"/>
  <c r="W998" i="1"/>
  <c r="X998" i="1"/>
  <c r="Y998" i="1"/>
  <c r="Z998" i="1"/>
  <c r="A999" i="1"/>
  <c r="B999" i="1"/>
  <c r="C999" i="1"/>
  <c r="D999" i="1"/>
  <c r="E999" i="1"/>
  <c r="F999" i="1"/>
  <c r="G999" i="1"/>
  <c r="I999" i="1"/>
  <c r="J999" i="1"/>
  <c r="K999" i="1"/>
  <c r="L999" i="1"/>
  <c r="M999" i="1"/>
  <c r="N999" i="1"/>
  <c r="O999" i="1"/>
  <c r="P999" i="1"/>
  <c r="Q999" i="1"/>
  <c r="R999" i="1"/>
  <c r="S999" i="1"/>
  <c r="T999" i="1"/>
  <c r="U999" i="1"/>
  <c r="V999" i="1"/>
  <c r="W999" i="1"/>
  <c r="X999" i="1"/>
  <c r="Y999" i="1"/>
  <c r="Z999" i="1"/>
  <c r="A1000" i="1"/>
  <c r="B1000" i="1"/>
  <c r="C1000" i="1"/>
  <c r="D1000" i="1"/>
  <c r="E1000" i="1"/>
  <c r="F1000" i="1"/>
  <c r="G1000" i="1"/>
  <c r="I1000" i="1"/>
  <c r="J1000" i="1"/>
  <c r="K1000" i="1"/>
  <c r="L1000" i="1"/>
  <c r="M1000" i="1"/>
  <c r="N1000" i="1"/>
  <c r="O1000" i="1"/>
  <c r="P1000" i="1"/>
  <c r="Q1000" i="1"/>
  <c r="R1000" i="1"/>
  <c r="S1000" i="1"/>
  <c r="T1000" i="1"/>
  <c r="U1000" i="1"/>
  <c r="V1000" i="1"/>
  <c r="W1000" i="1"/>
  <c r="X1000" i="1"/>
  <c r="Y1000" i="1"/>
  <c r="Z1000" i="1"/>
  <c r="A1001" i="1"/>
  <c r="B1001" i="1"/>
  <c r="C1001" i="1"/>
  <c r="D1001" i="1"/>
  <c r="E1001" i="1"/>
  <c r="F1001" i="1"/>
  <c r="G1001" i="1"/>
  <c r="I1001" i="1"/>
  <c r="J1001" i="1"/>
  <c r="K1001" i="1"/>
  <c r="L1001" i="1"/>
  <c r="M1001" i="1"/>
  <c r="N1001" i="1"/>
  <c r="O1001" i="1"/>
  <c r="P1001" i="1"/>
  <c r="Q1001" i="1"/>
  <c r="R1001" i="1"/>
  <c r="S1001" i="1"/>
  <c r="T1001" i="1"/>
  <c r="U1001" i="1"/>
  <c r="V1001" i="1"/>
  <c r="W1001" i="1"/>
  <c r="X1001" i="1"/>
  <c r="Y1001" i="1"/>
  <c r="Z1001" i="1"/>
  <c r="A1002" i="1"/>
  <c r="B1002" i="1"/>
  <c r="C1002" i="1"/>
  <c r="D1002" i="1"/>
  <c r="E1002" i="1"/>
  <c r="F1002" i="1"/>
  <c r="G1002" i="1"/>
  <c r="I1002" i="1"/>
  <c r="J1002" i="1"/>
  <c r="K1002" i="1"/>
  <c r="L1002" i="1"/>
  <c r="M1002" i="1"/>
  <c r="N1002" i="1"/>
  <c r="O1002" i="1"/>
  <c r="P1002" i="1"/>
  <c r="Q1002" i="1"/>
  <c r="R1002" i="1"/>
  <c r="S1002" i="1"/>
  <c r="T1002" i="1"/>
  <c r="U1002" i="1"/>
  <c r="V1002" i="1"/>
  <c r="W1002" i="1"/>
  <c r="X1002" i="1"/>
  <c r="Y1002" i="1"/>
  <c r="Z1002" i="1"/>
  <c r="A1003" i="1"/>
  <c r="B1003" i="1"/>
  <c r="C1003" i="1"/>
  <c r="D1003" i="1"/>
  <c r="E1003" i="1"/>
  <c r="F1003" i="1"/>
  <c r="G1003" i="1"/>
  <c r="I1003" i="1"/>
  <c r="J1003" i="1"/>
  <c r="K1003" i="1"/>
  <c r="L1003" i="1"/>
  <c r="M1003" i="1"/>
  <c r="N1003" i="1"/>
  <c r="O1003" i="1"/>
  <c r="P1003" i="1"/>
  <c r="Q1003" i="1"/>
  <c r="R1003" i="1"/>
  <c r="S1003" i="1"/>
  <c r="T1003" i="1"/>
  <c r="U1003" i="1"/>
  <c r="V1003" i="1"/>
  <c r="W1003" i="1"/>
  <c r="X1003" i="1"/>
  <c r="Y1003" i="1"/>
  <c r="Z1003" i="1"/>
  <c r="A1004" i="1"/>
  <c r="B1004" i="1"/>
  <c r="C1004" i="1"/>
  <c r="D1004" i="1"/>
  <c r="E1004" i="1"/>
  <c r="F1004" i="1"/>
  <c r="G1004" i="1"/>
  <c r="I1004" i="1"/>
  <c r="J1004" i="1"/>
  <c r="K1004" i="1"/>
  <c r="L1004" i="1"/>
  <c r="M1004" i="1"/>
  <c r="N1004" i="1"/>
  <c r="O1004" i="1"/>
  <c r="P1004" i="1"/>
  <c r="Q1004" i="1"/>
  <c r="R1004" i="1"/>
  <c r="S1004" i="1"/>
  <c r="T1004" i="1"/>
  <c r="U1004" i="1"/>
  <c r="V1004" i="1"/>
  <c r="W1004" i="1"/>
  <c r="X1004" i="1"/>
  <c r="Y1004" i="1"/>
  <c r="Z1004" i="1"/>
  <c r="A1005" i="1"/>
  <c r="B1005" i="1"/>
  <c r="C1005" i="1"/>
  <c r="D1005" i="1"/>
  <c r="E1005" i="1"/>
  <c r="F1005" i="1"/>
  <c r="G1005" i="1"/>
  <c r="I1005" i="1"/>
  <c r="J1005" i="1"/>
  <c r="K1005" i="1"/>
  <c r="L1005" i="1"/>
  <c r="M1005" i="1"/>
  <c r="N1005" i="1"/>
  <c r="O1005" i="1"/>
  <c r="P1005" i="1"/>
  <c r="Q1005" i="1"/>
  <c r="R1005" i="1"/>
  <c r="S1005" i="1"/>
  <c r="T1005" i="1"/>
  <c r="U1005" i="1"/>
  <c r="V1005" i="1"/>
  <c r="W1005" i="1"/>
  <c r="X1005" i="1"/>
  <c r="Y1005" i="1"/>
  <c r="Z1005" i="1"/>
  <c r="A1006" i="1"/>
  <c r="B1006" i="1"/>
  <c r="C1006" i="1"/>
  <c r="D1006" i="1"/>
  <c r="E1006" i="1"/>
  <c r="F1006" i="1"/>
  <c r="G1006" i="1"/>
  <c r="I1006" i="1"/>
  <c r="J1006" i="1"/>
  <c r="K1006" i="1"/>
  <c r="L1006" i="1"/>
  <c r="M1006" i="1"/>
  <c r="N1006" i="1"/>
  <c r="O1006" i="1"/>
  <c r="P1006" i="1"/>
  <c r="Q1006" i="1"/>
  <c r="R1006" i="1"/>
  <c r="S1006" i="1"/>
  <c r="T1006" i="1"/>
  <c r="U1006" i="1"/>
  <c r="V1006" i="1"/>
  <c r="W1006" i="1"/>
  <c r="X1006" i="1"/>
  <c r="Y1006" i="1"/>
  <c r="Z1006" i="1"/>
  <c r="A1007" i="1"/>
  <c r="B1007" i="1"/>
  <c r="C1007" i="1"/>
  <c r="D1007" i="1"/>
  <c r="E1007" i="1"/>
  <c r="F1007" i="1"/>
  <c r="G1007" i="1"/>
  <c r="I1007" i="1"/>
  <c r="J1007" i="1"/>
  <c r="K1007" i="1"/>
  <c r="L1007" i="1"/>
  <c r="M1007" i="1"/>
  <c r="N1007" i="1"/>
  <c r="O1007" i="1"/>
  <c r="P1007" i="1"/>
  <c r="Q1007" i="1"/>
  <c r="R1007" i="1"/>
  <c r="S1007" i="1"/>
  <c r="T1007" i="1"/>
  <c r="U1007" i="1"/>
  <c r="V1007" i="1"/>
  <c r="W1007" i="1"/>
  <c r="X1007" i="1"/>
  <c r="Y1007" i="1"/>
  <c r="Z1007" i="1"/>
  <c r="A1008" i="1"/>
  <c r="B1008" i="1"/>
  <c r="C1008" i="1"/>
  <c r="D1008" i="1"/>
  <c r="E1008" i="1"/>
  <c r="F1008" i="1"/>
  <c r="G1008" i="1"/>
  <c r="I1008" i="1"/>
  <c r="J1008" i="1"/>
  <c r="K1008" i="1"/>
  <c r="L1008" i="1"/>
  <c r="M1008" i="1"/>
  <c r="N1008" i="1"/>
  <c r="O1008" i="1"/>
  <c r="P1008" i="1"/>
  <c r="Q1008" i="1"/>
  <c r="R1008" i="1"/>
  <c r="S1008" i="1"/>
  <c r="T1008" i="1"/>
  <c r="U1008" i="1"/>
  <c r="V1008" i="1"/>
  <c r="W1008" i="1"/>
  <c r="X1008" i="1"/>
  <c r="Y1008" i="1"/>
  <c r="Z1008" i="1"/>
  <c r="A1009" i="1"/>
  <c r="B1009" i="1"/>
  <c r="C1009" i="1"/>
  <c r="D1009" i="1"/>
  <c r="E1009" i="1"/>
  <c r="F1009" i="1"/>
  <c r="G1009" i="1"/>
  <c r="I1009" i="1"/>
  <c r="J1009" i="1"/>
  <c r="K1009" i="1"/>
  <c r="L1009" i="1"/>
  <c r="M1009" i="1"/>
  <c r="N1009" i="1"/>
  <c r="O1009" i="1"/>
  <c r="P1009" i="1"/>
  <c r="Q1009" i="1"/>
  <c r="R1009" i="1"/>
  <c r="S1009" i="1"/>
  <c r="T1009" i="1"/>
  <c r="U1009" i="1"/>
  <c r="V1009" i="1"/>
  <c r="W1009" i="1"/>
  <c r="X1009" i="1"/>
  <c r="Y1009" i="1"/>
  <c r="Z1009" i="1"/>
  <c r="A1010" i="1"/>
  <c r="B1010" i="1"/>
  <c r="C1010" i="1"/>
  <c r="D1010" i="1"/>
  <c r="E1010" i="1"/>
  <c r="F1010" i="1"/>
  <c r="G1010" i="1"/>
  <c r="I1010" i="1"/>
  <c r="J1010" i="1"/>
  <c r="K1010" i="1"/>
  <c r="L1010" i="1"/>
  <c r="M1010" i="1"/>
  <c r="N1010" i="1"/>
  <c r="O1010" i="1"/>
  <c r="P1010" i="1"/>
  <c r="Q1010" i="1"/>
  <c r="R1010" i="1"/>
  <c r="S1010" i="1"/>
  <c r="T1010" i="1"/>
  <c r="U1010" i="1"/>
  <c r="V1010" i="1"/>
  <c r="W1010" i="1"/>
  <c r="X1010" i="1"/>
  <c r="Y1010" i="1"/>
  <c r="Z1010" i="1"/>
  <c r="A1011" i="1"/>
  <c r="B1011" i="1"/>
  <c r="C1011" i="1"/>
  <c r="D1011" i="1"/>
  <c r="E1011" i="1"/>
  <c r="F1011" i="1"/>
  <c r="G1011" i="1"/>
  <c r="I1011" i="1"/>
  <c r="J1011" i="1"/>
  <c r="K1011" i="1"/>
  <c r="L1011" i="1"/>
  <c r="M1011" i="1"/>
  <c r="N1011" i="1"/>
  <c r="O1011" i="1"/>
  <c r="P1011" i="1"/>
  <c r="Q1011" i="1"/>
  <c r="R1011" i="1"/>
  <c r="S1011" i="1"/>
  <c r="T1011" i="1"/>
  <c r="U1011" i="1"/>
  <c r="V1011" i="1"/>
  <c r="W1011" i="1"/>
  <c r="X1011" i="1"/>
  <c r="Y1011" i="1"/>
  <c r="Z1011" i="1"/>
  <c r="A1012" i="1"/>
  <c r="B1012" i="1"/>
  <c r="C1012" i="1"/>
  <c r="D1012" i="1"/>
  <c r="E1012" i="1"/>
  <c r="F1012" i="1"/>
  <c r="G1012" i="1"/>
  <c r="I1012" i="1"/>
  <c r="J1012" i="1"/>
  <c r="K1012" i="1"/>
  <c r="L1012" i="1"/>
  <c r="M1012" i="1"/>
  <c r="N1012" i="1"/>
  <c r="O1012" i="1"/>
  <c r="P1012" i="1"/>
  <c r="Q1012" i="1"/>
  <c r="R1012" i="1"/>
  <c r="S1012" i="1"/>
  <c r="T1012" i="1"/>
  <c r="U1012" i="1"/>
  <c r="V1012" i="1"/>
  <c r="W1012" i="1"/>
  <c r="X1012" i="1"/>
  <c r="Y1012" i="1"/>
  <c r="Z1012" i="1"/>
  <c r="A1013" i="1"/>
  <c r="B1013" i="1"/>
  <c r="C1013" i="1"/>
  <c r="D1013" i="1"/>
  <c r="E1013" i="1"/>
  <c r="F1013" i="1"/>
  <c r="G1013" i="1"/>
  <c r="I1013" i="1"/>
  <c r="J1013" i="1"/>
  <c r="K1013" i="1"/>
  <c r="L1013" i="1"/>
  <c r="M1013" i="1"/>
  <c r="N1013" i="1"/>
  <c r="O1013" i="1"/>
  <c r="P1013" i="1"/>
  <c r="Q1013" i="1"/>
  <c r="R1013" i="1"/>
  <c r="S1013" i="1"/>
  <c r="T1013" i="1"/>
  <c r="U1013" i="1"/>
  <c r="V1013" i="1"/>
  <c r="W1013" i="1"/>
  <c r="X1013" i="1"/>
  <c r="Y1013" i="1"/>
  <c r="Z1013" i="1"/>
  <c r="A1014" i="1"/>
  <c r="B1014" i="1"/>
  <c r="C1014" i="1"/>
  <c r="D1014" i="1"/>
  <c r="E1014" i="1"/>
  <c r="F1014" i="1"/>
  <c r="G1014" i="1"/>
  <c r="I1014" i="1"/>
  <c r="J1014" i="1"/>
  <c r="K1014" i="1"/>
  <c r="L1014" i="1"/>
  <c r="M1014" i="1"/>
  <c r="N1014" i="1"/>
  <c r="O1014" i="1"/>
  <c r="P1014" i="1"/>
  <c r="Q1014" i="1"/>
  <c r="R1014" i="1"/>
  <c r="S1014" i="1"/>
  <c r="T1014" i="1"/>
  <c r="U1014" i="1"/>
  <c r="V1014" i="1"/>
  <c r="W1014" i="1"/>
  <c r="X1014" i="1"/>
  <c r="Y1014" i="1"/>
  <c r="Z1014" i="1"/>
  <c r="A1015" i="1"/>
  <c r="B1015" i="1"/>
  <c r="C1015" i="1"/>
  <c r="D1015" i="1"/>
  <c r="E1015" i="1"/>
  <c r="F1015" i="1"/>
  <c r="G1015" i="1"/>
  <c r="I1015" i="1"/>
  <c r="J1015" i="1"/>
  <c r="K1015" i="1"/>
  <c r="L1015" i="1"/>
  <c r="M1015" i="1"/>
  <c r="N1015" i="1"/>
  <c r="O1015" i="1"/>
  <c r="P1015" i="1"/>
  <c r="Q1015" i="1"/>
  <c r="R1015" i="1"/>
  <c r="S1015" i="1"/>
  <c r="T1015" i="1"/>
  <c r="U1015" i="1"/>
  <c r="V1015" i="1"/>
  <c r="W1015" i="1"/>
  <c r="X1015" i="1"/>
  <c r="Y1015" i="1"/>
  <c r="Z1015" i="1"/>
  <c r="A1016" i="1"/>
  <c r="B1016" i="1"/>
  <c r="C1016" i="1"/>
  <c r="D1016" i="1"/>
  <c r="E1016" i="1"/>
  <c r="F1016" i="1"/>
  <c r="G1016" i="1"/>
  <c r="I1016" i="1"/>
  <c r="J1016" i="1"/>
  <c r="K1016" i="1"/>
  <c r="L1016" i="1"/>
  <c r="M1016" i="1"/>
  <c r="N1016" i="1"/>
  <c r="O1016" i="1"/>
  <c r="P1016" i="1"/>
  <c r="Q1016" i="1"/>
  <c r="R1016" i="1"/>
  <c r="S1016" i="1"/>
  <c r="T1016" i="1"/>
  <c r="U1016" i="1"/>
  <c r="V1016" i="1"/>
  <c r="W1016" i="1"/>
  <c r="X1016" i="1"/>
  <c r="Y1016" i="1"/>
  <c r="Z1016" i="1"/>
  <c r="A1017" i="1"/>
  <c r="B1017" i="1"/>
  <c r="C1017" i="1"/>
  <c r="D1017" i="1"/>
  <c r="E1017" i="1"/>
  <c r="F1017" i="1"/>
  <c r="G1017" i="1"/>
  <c r="I1017" i="1"/>
  <c r="J1017" i="1"/>
  <c r="K1017" i="1"/>
  <c r="L1017" i="1"/>
  <c r="M1017" i="1"/>
  <c r="N1017" i="1"/>
  <c r="O1017" i="1"/>
  <c r="P1017" i="1"/>
  <c r="Q1017" i="1"/>
  <c r="R1017" i="1"/>
  <c r="S1017" i="1"/>
  <c r="T1017" i="1"/>
  <c r="U1017" i="1"/>
  <c r="V1017" i="1"/>
  <c r="W1017" i="1"/>
  <c r="X1017" i="1"/>
  <c r="Y1017" i="1"/>
  <c r="Z1017" i="1"/>
  <c r="A1018" i="1"/>
  <c r="B1018" i="1"/>
  <c r="C1018" i="1"/>
  <c r="D1018" i="1"/>
  <c r="E1018" i="1"/>
  <c r="F1018" i="1"/>
  <c r="G1018" i="1"/>
  <c r="I1018" i="1"/>
  <c r="J1018" i="1"/>
  <c r="K1018" i="1"/>
  <c r="L1018" i="1"/>
  <c r="M1018" i="1"/>
  <c r="N1018" i="1"/>
  <c r="O1018" i="1"/>
  <c r="P1018" i="1"/>
  <c r="Q1018" i="1"/>
  <c r="R1018" i="1"/>
  <c r="S1018" i="1"/>
  <c r="T1018" i="1"/>
  <c r="U1018" i="1"/>
  <c r="V1018" i="1"/>
  <c r="W1018" i="1"/>
  <c r="X1018" i="1"/>
  <c r="Y1018" i="1"/>
  <c r="Z1018" i="1"/>
  <c r="A1019" i="1"/>
  <c r="B1019" i="1"/>
  <c r="C1019" i="1"/>
  <c r="D1019" i="1"/>
  <c r="E1019" i="1"/>
  <c r="F1019" i="1"/>
  <c r="G1019" i="1"/>
  <c r="I1019" i="1"/>
  <c r="J1019" i="1"/>
  <c r="K1019" i="1"/>
  <c r="L1019" i="1"/>
  <c r="M1019" i="1"/>
  <c r="N1019" i="1"/>
  <c r="O1019" i="1"/>
  <c r="P1019" i="1"/>
  <c r="Q1019" i="1"/>
  <c r="R1019" i="1"/>
  <c r="S1019" i="1"/>
  <c r="T1019" i="1"/>
  <c r="U1019" i="1"/>
  <c r="V1019" i="1"/>
  <c r="W1019" i="1"/>
  <c r="X1019" i="1"/>
  <c r="Y1019" i="1"/>
  <c r="Z1019" i="1"/>
  <c r="A1020" i="1"/>
  <c r="B1020" i="1"/>
  <c r="C1020" i="1"/>
  <c r="D1020" i="1"/>
  <c r="E1020" i="1"/>
  <c r="F1020" i="1"/>
  <c r="G1020" i="1"/>
  <c r="I1020" i="1"/>
  <c r="J1020" i="1"/>
  <c r="K1020" i="1"/>
  <c r="L1020" i="1"/>
  <c r="M1020" i="1"/>
  <c r="N1020" i="1"/>
  <c r="O1020" i="1"/>
  <c r="P1020" i="1"/>
  <c r="Q1020" i="1"/>
  <c r="R1020" i="1"/>
  <c r="S1020" i="1"/>
  <c r="T1020" i="1"/>
  <c r="U1020" i="1"/>
  <c r="V1020" i="1"/>
  <c r="W1020" i="1"/>
  <c r="X1020" i="1"/>
  <c r="Y1020" i="1"/>
  <c r="Z1020" i="1"/>
  <c r="A1021" i="1"/>
  <c r="B1021" i="1"/>
  <c r="C1021" i="1"/>
  <c r="D1021" i="1"/>
  <c r="E1021" i="1"/>
  <c r="F1021" i="1"/>
  <c r="G1021" i="1"/>
  <c r="I1021" i="1"/>
  <c r="J1021" i="1"/>
  <c r="K1021" i="1"/>
  <c r="L1021" i="1"/>
  <c r="M1021" i="1"/>
  <c r="N1021" i="1"/>
  <c r="O1021" i="1"/>
  <c r="P1021" i="1"/>
  <c r="Q1021" i="1"/>
  <c r="R1021" i="1"/>
  <c r="S1021" i="1"/>
  <c r="T1021" i="1"/>
  <c r="U1021" i="1"/>
  <c r="V1021" i="1"/>
  <c r="W1021" i="1"/>
  <c r="X1021" i="1"/>
  <c r="Y1021" i="1"/>
  <c r="Z1021" i="1"/>
  <c r="A1022" i="1"/>
  <c r="B1022" i="1"/>
  <c r="C1022" i="1"/>
  <c r="D1022" i="1"/>
  <c r="E1022" i="1"/>
  <c r="F1022" i="1"/>
  <c r="G1022" i="1"/>
  <c r="I1022" i="1"/>
  <c r="J1022" i="1"/>
  <c r="K1022" i="1"/>
  <c r="L1022" i="1"/>
  <c r="M1022" i="1"/>
  <c r="N1022" i="1"/>
  <c r="O1022" i="1"/>
  <c r="P1022" i="1"/>
  <c r="Q1022" i="1"/>
  <c r="R1022" i="1"/>
  <c r="S1022" i="1"/>
  <c r="T1022" i="1"/>
  <c r="U1022" i="1"/>
  <c r="V1022" i="1"/>
  <c r="W1022" i="1"/>
  <c r="X1022" i="1"/>
  <c r="Y1022" i="1"/>
  <c r="Z1022" i="1"/>
  <c r="A1023" i="1"/>
  <c r="B1023" i="1"/>
  <c r="C1023" i="1"/>
  <c r="D1023" i="1"/>
  <c r="E1023" i="1"/>
  <c r="F1023" i="1"/>
  <c r="G1023" i="1"/>
  <c r="I1023" i="1"/>
  <c r="J1023" i="1"/>
  <c r="K1023" i="1"/>
  <c r="L1023" i="1"/>
  <c r="M1023" i="1"/>
  <c r="N1023" i="1"/>
  <c r="O1023" i="1"/>
  <c r="P1023" i="1"/>
  <c r="Q1023" i="1"/>
  <c r="R1023" i="1"/>
  <c r="S1023" i="1"/>
  <c r="T1023" i="1"/>
  <c r="U1023" i="1"/>
  <c r="V1023" i="1"/>
  <c r="W1023" i="1"/>
  <c r="X1023" i="1"/>
  <c r="Y1023" i="1"/>
  <c r="Z1023" i="1"/>
  <c r="A1024" i="1"/>
  <c r="B1024" i="1"/>
  <c r="C1024" i="1"/>
  <c r="D1024" i="1"/>
  <c r="E1024" i="1"/>
  <c r="F1024" i="1"/>
  <c r="G1024" i="1"/>
  <c r="I1024" i="1"/>
  <c r="J1024" i="1"/>
  <c r="K1024" i="1"/>
  <c r="L1024" i="1"/>
  <c r="M1024" i="1"/>
  <c r="N1024" i="1"/>
  <c r="O1024" i="1"/>
  <c r="P1024" i="1"/>
  <c r="Q1024" i="1"/>
  <c r="R1024" i="1"/>
  <c r="S1024" i="1"/>
  <c r="T1024" i="1"/>
  <c r="U1024" i="1"/>
  <c r="V1024" i="1"/>
  <c r="W1024" i="1"/>
  <c r="X1024" i="1"/>
  <c r="Y1024" i="1"/>
  <c r="Z1024" i="1"/>
  <c r="A1025" i="1"/>
  <c r="B1025" i="1"/>
  <c r="C1025" i="1"/>
  <c r="D1025" i="1"/>
  <c r="E1025" i="1"/>
  <c r="F1025" i="1"/>
  <c r="G1025" i="1"/>
  <c r="I1025" i="1"/>
  <c r="J1025" i="1"/>
  <c r="K1025" i="1"/>
  <c r="L1025" i="1"/>
  <c r="M1025" i="1"/>
  <c r="N1025" i="1"/>
  <c r="O1025" i="1"/>
  <c r="P1025" i="1"/>
  <c r="Q1025" i="1"/>
  <c r="R1025" i="1"/>
  <c r="S1025" i="1"/>
  <c r="T1025" i="1"/>
  <c r="U1025" i="1"/>
  <c r="V1025" i="1"/>
  <c r="W1025" i="1"/>
  <c r="X1025" i="1"/>
  <c r="Y1025" i="1"/>
  <c r="Z1025" i="1"/>
  <c r="A1026" i="1"/>
  <c r="B1026" i="1"/>
  <c r="C1026" i="1"/>
  <c r="D1026" i="1"/>
  <c r="E1026" i="1"/>
  <c r="F1026" i="1"/>
  <c r="G1026" i="1"/>
  <c r="I1026" i="1"/>
  <c r="J1026" i="1"/>
  <c r="K1026" i="1"/>
  <c r="L1026" i="1"/>
  <c r="M1026" i="1"/>
  <c r="N1026" i="1"/>
  <c r="O1026" i="1"/>
  <c r="P1026" i="1"/>
  <c r="Q1026" i="1"/>
  <c r="R1026" i="1"/>
  <c r="S1026" i="1"/>
  <c r="T1026" i="1"/>
  <c r="U1026" i="1"/>
  <c r="V1026" i="1"/>
  <c r="W1026" i="1"/>
  <c r="X1026" i="1"/>
  <c r="Y1026" i="1"/>
  <c r="Z1026" i="1"/>
  <c r="A1027" i="1"/>
  <c r="B1027" i="1"/>
  <c r="C1027" i="1"/>
  <c r="D1027" i="1"/>
  <c r="E1027" i="1"/>
  <c r="F1027" i="1"/>
  <c r="G1027" i="1"/>
  <c r="I1027" i="1"/>
  <c r="J1027" i="1"/>
  <c r="K1027" i="1"/>
  <c r="L1027" i="1"/>
  <c r="M1027" i="1"/>
  <c r="N1027" i="1"/>
  <c r="O1027" i="1"/>
  <c r="P1027" i="1"/>
  <c r="Q1027" i="1"/>
  <c r="R1027" i="1"/>
  <c r="S1027" i="1"/>
  <c r="T1027" i="1"/>
  <c r="U1027" i="1"/>
  <c r="V1027" i="1"/>
  <c r="W1027" i="1"/>
  <c r="X1027" i="1"/>
  <c r="Y1027" i="1"/>
  <c r="Z1027" i="1"/>
  <c r="A1028" i="1"/>
  <c r="B1028" i="1"/>
  <c r="C1028" i="1"/>
  <c r="D1028" i="1"/>
  <c r="E1028" i="1"/>
  <c r="F1028" i="1"/>
  <c r="G1028" i="1"/>
  <c r="I1028" i="1"/>
  <c r="J1028" i="1"/>
  <c r="K1028" i="1"/>
  <c r="L1028" i="1"/>
  <c r="M1028" i="1"/>
  <c r="N1028" i="1"/>
  <c r="O1028" i="1"/>
  <c r="P1028" i="1"/>
  <c r="Q1028" i="1"/>
  <c r="R1028" i="1"/>
  <c r="S1028" i="1"/>
  <c r="T1028" i="1"/>
  <c r="U1028" i="1"/>
  <c r="V1028" i="1"/>
  <c r="W1028" i="1"/>
  <c r="X1028" i="1"/>
  <c r="Y1028" i="1"/>
  <c r="Z1028" i="1"/>
  <c r="A1029" i="1"/>
  <c r="B1029" i="1"/>
  <c r="C1029" i="1"/>
  <c r="D1029" i="1"/>
  <c r="E1029" i="1"/>
  <c r="F1029" i="1"/>
  <c r="G1029" i="1"/>
  <c r="I1029" i="1"/>
  <c r="J1029" i="1"/>
  <c r="K1029" i="1"/>
  <c r="L1029" i="1"/>
  <c r="M1029" i="1"/>
  <c r="N1029" i="1"/>
  <c r="O1029" i="1"/>
  <c r="P1029" i="1"/>
  <c r="Q1029" i="1"/>
  <c r="R1029" i="1"/>
  <c r="S1029" i="1"/>
  <c r="T1029" i="1"/>
  <c r="U1029" i="1"/>
  <c r="V1029" i="1"/>
  <c r="W1029" i="1"/>
  <c r="X1029" i="1"/>
  <c r="Y1029" i="1"/>
  <c r="Z1029" i="1"/>
  <c r="A1030" i="1"/>
  <c r="B1030" i="1"/>
  <c r="C1030" i="1"/>
  <c r="D1030" i="1"/>
  <c r="E1030" i="1"/>
  <c r="F1030" i="1"/>
  <c r="G1030" i="1"/>
  <c r="I1030" i="1"/>
  <c r="J1030" i="1"/>
  <c r="K1030" i="1"/>
  <c r="L1030" i="1"/>
  <c r="M1030" i="1"/>
  <c r="N1030" i="1"/>
  <c r="O1030" i="1"/>
  <c r="P1030" i="1"/>
  <c r="Q1030" i="1"/>
  <c r="R1030" i="1"/>
  <c r="S1030" i="1"/>
  <c r="T1030" i="1"/>
  <c r="U1030" i="1"/>
  <c r="V1030" i="1"/>
  <c r="W1030" i="1"/>
  <c r="X1030" i="1"/>
  <c r="Y1030" i="1"/>
  <c r="Z1030" i="1"/>
  <c r="A1031" i="1"/>
  <c r="B1031" i="1"/>
  <c r="C1031" i="1"/>
  <c r="D1031" i="1"/>
  <c r="E1031" i="1"/>
  <c r="F1031" i="1"/>
  <c r="G1031" i="1"/>
  <c r="I1031" i="1"/>
  <c r="J1031" i="1"/>
  <c r="K1031" i="1"/>
  <c r="L1031" i="1"/>
  <c r="M1031" i="1"/>
  <c r="N1031" i="1"/>
  <c r="O1031" i="1"/>
  <c r="P1031" i="1"/>
  <c r="Q1031" i="1"/>
  <c r="R1031" i="1"/>
  <c r="S1031" i="1"/>
  <c r="T1031" i="1"/>
  <c r="U1031" i="1"/>
  <c r="V1031" i="1"/>
  <c r="W1031" i="1"/>
  <c r="X1031" i="1"/>
  <c r="Y1031" i="1"/>
  <c r="Z1031" i="1"/>
  <c r="A1032" i="1"/>
  <c r="B1032" i="1"/>
  <c r="C1032" i="1"/>
  <c r="D1032" i="1"/>
  <c r="E1032" i="1"/>
  <c r="F1032" i="1"/>
  <c r="G1032" i="1"/>
  <c r="I1032" i="1"/>
  <c r="J1032" i="1"/>
  <c r="K1032" i="1"/>
  <c r="L1032" i="1"/>
  <c r="M1032" i="1"/>
  <c r="N1032" i="1"/>
  <c r="O1032" i="1"/>
  <c r="P1032" i="1"/>
  <c r="Q1032" i="1"/>
  <c r="R1032" i="1"/>
  <c r="S1032" i="1"/>
  <c r="T1032" i="1"/>
  <c r="U1032" i="1"/>
  <c r="V1032" i="1"/>
  <c r="W1032" i="1"/>
  <c r="X1032" i="1"/>
  <c r="Y1032" i="1"/>
  <c r="Z1032" i="1"/>
  <c r="A1033" i="1"/>
  <c r="B1033" i="1"/>
  <c r="C1033" i="1"/>
  <c r="D1033" i="1"/>
  <c r="E1033" i="1"/>
  <c r="F1033" i="1"/>
  <c r="G1033" i="1"/>
  <c r="I1033" i="1"/>
  <c r="J1033" i="1"/>
  <c r="K1033" i="1"/>
  <c r="L1033" i="1"/>
  <c r="M1033" i="1"/>
  <c r="N1033" i="1"/>
  <c r="O1033" i="1"/>
  <c r="P1033" i="1"/>
  <c r="Q1033" i="1"/>
  <c r="R1033" i="1"/>
  <c r="S1033" i="1"/>
  <c r="T1033" i="1"/>
  <c r="U1033" i="1"/>
  <c r="V1033" i="1"/>
  <c r="W1033" i="1"/>
  <c r="X1033" i="1"/>
  <c r="Y1033" i="1"/>
  <c r="Z1033" i="1"/>
  <c r="A1034" i="1"/>
  <c r="B1034" i="1"/>
  <c r="C1034" i="1"/>
  <c r="D1034" i="1"/>
  <c r="E1034" i="1"/>
  <c r="F1034" i="1"/>
  <c r="G1034" i="1"/>
  <c r="I1034" i="1"/>
  <c r="J1034" i="1"/>
  <c r="K1034" i="1"/>
  <c r="L1034" i="1"/>
  <c r="M1034" i="1"/>
  <c r="N1034" i="1"/>
  <c r="O1034" i="1"/>
  <c r="P1034" i="1"/>
  <c r="Q1034" i="1"/>
  <c r="R1034" i="1"/>
  <c r="S1034" i="1"/>
  <c r="T1034" i="1"/>
  <c r="U1034" i="1"/>
  <c r="V1034" i="1"/>
  <c r="W1034" i="1"/>
  <c r="X1034" i="1"/>
  <c r="Y1034" i="1"/>
  <c r="Z1034" i="1"/>
  <c r="A1035" i="1"/>
  <c r="B1035" i="1"/>
  <c r="C1035" i="1"/>
  <c r="D1035" i="1"/>
  <c r="E1035" i="1"/>
  <c r="F1035" i="1"/>
  <c r="G1035" i="1"/>
  <c r="I1035" i="1"/>
  <c r="J1035" i="1"/>
  <c r="K1035" i="1"/>
  <c r="L1035" i="1"/>
  <c r="M1035" i="1"/>
  <c r="N1035" i="1"/>
  <c r="O1035" i="1"/>
  <c r="P1035" i="1"/>
  <c r="Q1035" i="1"/>
  <c r="R1035" i="1"/>
  <c r="S1035" i="1"/>
  <c r="T1035" i="1"/>
  <c r="U1035" i="1"/>
  <c r="V1035" i="1"/>
  <c r="W1035" i="1"/>
  <c r="X1035" i="1"/>
  <c r="Y1035" i="1"/>
  <c r="Z1035" i="1"/>
  <c r="A1036" i="1"/>
  <c r="B1036" i="1"/>
  <c r="C1036" i="1"/>
  <c r="D1036" i="1"/>
  <c r="E1036" i="1"/>
  <c r="F1036" i="1"/>
  <c r="G1036" i="1"/>
  <c r="I1036" i="1"/>
  <c r="J1036" i="1"/>
  <c r="K1036" i="1"/>
  <c r="L1036" i="1"/>
  <c r="M1036" i="1"/>
  <c r="N1036" i="1"/>
  <c r="O1036" i="1"/>
  <c r="P1036" i="1"/>
  <c r="Q1036" i="1"/>
  <c r="R1036" i="1"/>
  <c r="S1036" i="1"/>
  <c r="T1036" i="1"/>
  <c r="U1036" i="1"/>
  <c r="V1036" i="1"/>
  <c r="W1036" i="1"/>
  <c r="X1036" i="1"/>
  <c r="Y1036" i="1"/>
  <c r="Z1036" i="1"/>
  <c r="A1037" i="1"/>
  <c r="B1037" i="1"/>
  <c r="C1037" i="1"/>
  <c r="D1037" i="1"/>
  <c r="E1037" i="1"/>
  <c r="F1037" i="1"/>
  <c r="G1037" i="1"/>
  <c r="I1037" i="1"/>
  <c r="J1037" i="1"/>
  <c r="K1037" i="1"/>
  <c r="L1037" i="1"/>
  <c r="M1037" i="1"/>
  <c r="N1037" i="1"/>
  <c r="O1037" i="1"/>
  <c r="P1037" i="1"/>
  <c r="Q1037" i="1"/>
  <c r="R1037" i="1"/>
  <c r="S1037" i="1"/>
  <c r="T1037" i="1"/>
  <c r="U1037" i="1"/>
  <c r="V1037" i="1"/>
  <c r="W1037" i="1"/>
  <c r="X1037" i="1"/>
  <c r="Y1037" i="1"/>
  <c r="Z1037" i="1"/>
  <c r="A1038" i="1"/>
  <c r="B1038" i="1"/>
  <c r="C1038" i="1"/>
  <c r="D1038" i="1"/>
  <c r="E1038" i="1"/>
  <c r="F1038" i="1"/>
  <c r="G1038" i="1"/>
  <c r="I1038" i="1"/>
  <c r="J1038" i="1"/>
  <c r="K1038" i="1"/>
  <c r="L1038" i="1"/>
  <c r="M1038" i="1"/>
  <c r="N1038" i="1"/>
  <c r="O1038" i="1"/>
  <c r="P1038" i="1"/>
  <c r="Q1038" i="1"/>
  <c r="R1038" i="1"/>
  <c r="S1038" i="1"/>
  <c r="T1038" i="1"/>
  <c r="U1038" i="1"/>
  <c r="V1038" i="1"/>
  <c r="W1038" i="1"/>
  <c r="X1038" i="1"/>
  <c r="Y1038" i="1"/>
  <c r="Z1038" i="1"/>
  <c r="A1039" i="1"/>
  <c r="B1039" i="1"/>
  <c r="C1039" i="1"/>
  <c r="D1039" i="1"/>
  <c r="E1039" i="1"/>
  <c r="F1039" i="1"/>
  <c r="G1039" i="1"/>
  <c r="I1039" i="1"/>
  <c r="J1039" i="1"/>
  <c r="K1039" i="1"/>
  <c r="L1039" i="1"/>
  <c r="M1039" i="1"/>
  <c r="N1039" i="1"/>
  <c r="O1039" i="1"/>
  <c r="P1039" i="1"/>
  <c r="Q1039" i="1"/>
  <c r="R1039" i="1"/>
  <c r="S1039" i="1"/>
  <c r="T1039" i="1"/>
  <c r="U1039" i="1"/>
  <c r="V1039" i="1"/>
  <c r="W1039" i="1"/>
  <c r="X1039" i="1"/>
  <c r="Y1039" i="1"/>
  <c r="Z1039" i="1"/>
  <c r="A1040" i="1"/>
  <c r="B1040" i="1"/>
  <c r="C1040" i="1"/>
  <c r="D1040" i="1"/>
  <c r="E1040" i="1"/>
  <c r="F1040" i="1"/>
  <c r="G1040" i="1"/>
  <c r="I1040" i="1"/>
  <c r="J1040" i="1"/>
  <c r="K1040" i="1"/>
  <c r="L1040" i="1"/>
  <c r="M1040" i="1"/>
  <c r="N1040" i="1"/>
  <c r="O1040" i="1"/>
  <c r="P1040" i="1"/>
  <c r="Q1040" i="1"/>
  <c r="R1040" i="1"/>
  <c r="S1040" i="1"/>
  <c r="T1040" i="1"/>
  <c r="U1040" i="1"/>
  <c r="V1040" i="1"/>
  <c r="W1040" i="1"/>
  <c r="X1040" i="1"/>
  <c r="Y1040" i="1"/>
  <c r="Z1040" i="1"/>
  <c r="A1041" i="1"/>
  <c r="B1041" i="1"/>
  <c r="C1041" i="1"/>
  <c r="D1041" i="1"/>
  <c r="E1041" i="1"/>
  <c r="F1041" i="1"/>
  <c r="G1041" i="1"/>
  <c r="I1041" i="1"/>
  <c r="J1041" i="1"/>
  <c r="K1041" i="1"/>
  <c r="L1041" i="1"/>
  <c r="M1041" i="1"/>
  <c r="N1041" i="1"/>
  <c r="O1041" i="1"/>
  <c r="P1041" i="1"/>
  <c r="Q1041" i="1"/>
  <c r="R1041" i="1"/>
  <c r="S1041" i="1"/>
  <c r="T1041" i="1"/>
  <c r="U1041" i="1"/>
  <c r="V1041" i="1"/>
  <c r="W1041" i="1"/>
  <c r="X1041" i="1"/>
  <c r="Y1041" i="1"/>
  <c r="Z1041" i="1"/>
  <c r="A1042" i="1"/>
  <c r="B1042" i="1"/>
  <c r="C1042" i="1"/>
  <c r="D1042" i="1"/>
  <c r="E1042" i="1"/>
  <c r="F1042" i="1"/>
  <c r="G1042" i="1"/>
  <c r="I1042" i="1"/>
  <c r="J1042" i="1"/>
  <c r="K1042" i="1"/>
  <c r="L1042" i="1"/>
  <c r="M1042" i="1"/>
  <c r="N1042" i="1"/>
  <c r="O1042" i="1"/>
  <c r="P1042" i="1"/>
  <c r="Q1042" i="1"/>
  <c r="R1042" i="1"/>
  <c r="S1042" i="1"/>
  <c r="T1042" i="1"/>
  <c r="U1042" i="1"/>
  <c r="V1042" i="1"/>
  <c r="W1042" i="1"/>
  <c r="X1042" i="1"/>
  <c r="Y1042" i="1"/>
  <c r="Z1042" i="1"/>
  <c r="A1043" i="1"/>
  <c r="B1043" i="1"/>
  <c r="C1043" i="1"/>
  <c r="D1043" i="1"/>
  <c r="E1043" i="1"/>
  <c r="F1043" i="1"/>
  <c r="G1043" i="1"/>
  <c r="I1043" i="1"/>
  <c r="J1043" i="1"/>
  <c r="K1043" i="1"/>
  <c r="L1043" i="1"/>
  <c r="M1043" i="1"/>
  <c r="N1043" i="1"/>
  <c r="O1043" i="1"/>
  <c r="P1043" i="1"/>
  <c r="Q1043" i="1"/>
  <c r="R1043" i="1"/>
  <c r="S1043" i="1"/>
  <c r="T1043" i="1"/>
  <c r="U1043" i="1"/>
  <c r="V1043" i="1"/>
  <c r="W1043" i="1"/>
  <c r="X1043" i="1"/>
  <c r="Y1043" i="1"/>
  <c r="Z1043" i="1"/>
  <c r="A1044" i="1"/>
  <c r="B1044" i="1"/>
  <c r="C1044" i="1"/>
  <c r="D1044" i="1"/>
  <c r="E1044" i="1"/>
  <c r="F1044" i="1"/>
  <c r="G1044" i="1"/>
  <c r="I1044" i="1"/>
  <c r="J1044" i="1"/>
  <c r="K1044" i="1"/>
  <c r="L1044" i="1"/>
  <c r="M1044" i="1"/>
  <c r="N1044" i="1"/>
  <c r="O1044" i="1"/>
  <c r="P1044" i="1"/>
  <c r="Q1044" i="1"/>
  <c r="R1044" i="1"/>
  <c r="S1044" i="1"/>
  <c r="T1044" i="1"/>
  <c r="U1044" i="1"/>
  <c r="V1044" i="1"/>
  <c r="W1044" i="1"/>
  <c r="X1044" i="1"/>
  <c r="Y1044" i="1"/>
  <c r="Z1044" i="1"/>
  <c r="A1045" i="1"/>
  <c r="B1045" i="1"/>
  <c r="C1045" i="1"/>
  <c r="D1045" i="1"/>
  <c r="E1045" i="1"/>
  <c r="F1045" i="1"/>
  <c r="G1045" i="1"/>
  <c r="I1045" i="1"/>
  <c r="J1045" i="1"/>
  <c r="K1045" i="1"/>
  <c r="L1045" i="1"/>
  <c r="M1045" i="1"/>
  <c r="N1045" i="1"/>
  <c r="O1045" i="1"/>
  <c r="P1045" i="1"/>
  <c r="Q1045" i="1"/>
  <c r="R1045" i="1"/>
  <c r="S1045" i="1"/>
  <c r="T1045" i="1"/>
  <c r="U1045" i="1"/>
  <c r="V1045" i="1"/>
  <c r="W1045" i="1"/>
  <c r="X1045" i="1"/>
  <c r="Y1045" i="1"/>
  <c r="Z1045" i="1"/>
  <c r="A1046" i="1"/>
  <c r="B1046" i="1"/>
  <c r="C1046" i="1"/>
  <c r="D1046" i="1"/>
  <c r="E1046" i="1"/>
  <c r="F1046" i="1"/>
  <c r="G1046" i="1"/>
  <c r="I1046" i="1"/>
  <c r="J1046" i="1"/>
  <c r="K1046" i="1"/>
  <c r="L1046" i="1"/>
  <c r="M1046" i="1"/>
  <c r="N1046" i="1"/>
  <c r="O1046" i="1"/>
  <c r="P1046" i="1"/>
  <c r="Q1046" i="1"/>
  <c r="R1046" i="1"/>
  <c r="S1046" i="1"/>
  <c r="T1046" i="1"/>
  <c r="U1046" i="1"/>
  <c r="V1046" i="1"/>
  <c r="W1046" i="1"/>
  <c r="X1046" i="1"/>
  <c r="Y1046" i="1"/>
  <c r="Z1046" i="1"/>
  <c r="A1047" i="1"/>
  <c r="B1047" i="1"/>
  <c r="C1047" i="1"/>
  <c r="D1047" i="1"/>
  <c r="E1047" i="1"/>
  <c r="F1047" i="1"/>
  <c r="G1047" i="1"/>
  <c r="I1047" i="1"/>
  <c r="J1047" i="1"/>
  <c r="K1047" i="1"/>
  <c r="L1047" i="1"/>
  <c r="M1047" i="1"/>
  <c r="N1047" i="1"/>
  <c r="O1047" i="1"/>
  <c r="P1047" i="1"/>
  <c r="Q1047" i="1"/>
  <c r="R1047" i="1"/>
  <c r="S1047" i="1"/>
  <c r="T1047" i="1"/>
  <c r="U1047" i="1"/>
  <c r="V1047" i="1"/>
  <c r="W1047" i="1"/>
  <c r="X1047" i="1"/>
  <c r="Y1047" i="1"/>
  <c r="Z1047" i="1"/>
  <c r="A1048" i="1"/>
  <c r="B1048" i="1"/>
  <c r="C1048" i="1"/>
  <c r="D1048" i="1"/>
  <c r="E1048" i="1"/>
  <c r="F1048" i="1"/>
  <c r="G1048" i="1"/>
  <c r="I1048" i="1"/>
  <c r="J1048" i="1"/>
  <c r="K1048" i="1"/>
  <c r="L1048" i="1"/>
  <c r="M1048" i="1"/>
  <c r="N1048" i="1"/>
  <c r="O1048" i="1"/>
  <c r="P1048" i="1"/>
  <c r="Q1048" i="1"/>
  <c r="R1048" i="1"/>
  <c r="S1048" i="1"/>
  <c r="T1048" i="1"/>
  <c r="U1048" i="1"/>
  <c r="V1048" i="1"/>
  <c r="W1048" i="1"/>
  <c r="X1048" i="1"/>
  <c r="Y1048" i="1"/>
  <c r="Z1048" i="1"/>
  <c r="A1049" i="1"/>
  <c r="B1049" i="1"/>
  <c r="C1049" i="1"/>
  <c r="D1049" i="1"/>
  <c r="E1049" i="1"/>
  <c r="F1049" i="1"/>
  <c r="G1049" i="1"/>
  <c r="I1049" i="1"/>
  <c r="J1049" i="1"/>
  <c r="K1049" i="1"/>
  <c r="L1049" i="1"/>
  <c r="M1049" i="1"/>
  <c r="N1049" i="1"/>
  <c r="O1049" i="1"/>
  <c r="P1049" i="1"/>
  <c r="Q1049" i="1"/>
  <c r="R1049" i="1"/>
  <c r="S1049" i="1"/>
  <c r="T1049" i="1"/>
  <c r="U1049" i="1"/>
  <c r="V1049" i="1"/>
  <c r="W1049" i="1"/>
  <c r="X1049" i="1"/>
  <c r="Y1049" i="1"/>
  <c r="Z1049" i="1"/>
  <c r="A1050" i="1"/>
  <c r="B1050" i="1"/>
  <c r="C1050" i="1"/>
  <c r="D1050" i="1"/>
  <c r="E1050" i="1"/>
  <c r="F1050" i="1"/>
  <c r="G1050" i="1"/>
  <c r="I1050" i="1"/>
  <c r="J1050" i="1"/>
  <c r="K1050" i="1"/>
  <c r="L1050" i="1"/>
  <c r="M1050" i="1"/>
  <c r="N1050" i="1"/>
  <c r="O1050" i="1"/>
  <c r="P1050" i="1"/>
  <c r="Q1050" i="1"/>
  <c r="R1050" i="1"/>
  <c r="S1050" i="1"/>
  <c r="T1050" i="1"/>
  <c r="U1050" i="1"/>
  <c r="V1050" i="1"/>
  <c r="W1050" i="1"/>
  <c r="X1050" i="1"/>
  <c r="Y1050" i="1"/>
  <c r="Z1050" i="1"/>
  <c r="A1051" i="1"/>
  <c r="B1051" i="1"/>
  <c r="C1051" i="1"/>
  <c r="D1051" i="1"/>
  <c r="E1051" i="1"/>
  <c r="F1051" i="1"/>
  <c r="G1051" i="1"/>
  <c r="I1051" i="1"/>
  <c r="J1051" i="1"/>
  <c r="K1051" i="1"/>
  <c r="L1051" i="1"/>
  <c r="M1051" i="1"/>
  <c r="N1051" i="1"/>
  <c r="O1051" i="1"/>
  <c r="P1051" i="1"/>
  <c r="Q1051" i="1"/>
  <c r="R1051" i="1"/>
  <c r="S1051" i="1"/>
  <c r="T1051" i="1"/>
  <c r="U1051" i="1"/>
  <c r="V1051" i="1"/>
  <c r="W1051" i="1"/>
  <c r="X1051" i="1"/>
  <c r="Y1051" i="1"/>
  <c r="Z1051" i="1"/>
  <c r="A1052" i="1"/>
  <c r="B1052" i="1"/>
  <c r="C1052" i="1"/>
  <c r="D1052" i="1"/>
  <c r="E1052" i="1"/>
  <c r="F1052" i="1"/>
  <c r="G1052" i="1"/>
  <c r="I1052" i="1"/>
  <c r="J1052" i="1"/>
  <c r="K1052" i="1"/>
  <c r="L1052" i="1"/>
  <c r="M1052" i="1"/>
  <c r="N1052" i="1"/>
  <c r="O1052" i="1"/>
  <c r="P1052" i="1"/>
  <c r="Q1052" i="1"/>
  <c r="R1052" i="1"/>
  <c r="S1052" i="1"/>
  <c r="T1052" i="1"/>
  <c r="U1052" i="1"/>
  <c r="V1052" i="1"/>
  <c r="W1052" i="1"/>
  <c r="X1052" i="1"/>
  <c r="Y1052" i="1"/>
  <c r="Z1052" i="1"/>
  <c r="A1053" i="1"/>
  <c r="B1053" i="1"/>
  <c r="C1053" i="1"/>
  <c r="D1053" i="1"/>
  <c r="E1053" i="1"/>
  <c r="F1053" i="1"/>
  <c r="G1053" i="1"/>
  <c r="I1053" i="1"/>
  <c r="J1053" i="1"/>
  <c r="K1053" i="1"/>
  <c r="L1053" i="1"/>
  <c r="M1053" i="1"/>
  <c r="N1053" i="1"/>
  <c r="O1053" i="1"/>
  <c r="P1053" i="1"/>
  <c r="Q1053" i="1"/>
  <c r="R1053" i="1"/>
  <c r="S1053" i="1"/>
  <c r="T1053" i="1"/>
  <c r="U1053" i="1"/>
  <c r="V1053" i="1"/>
  <c r="W1053" i="1"/>
  <c r="X1053" i="1"/>
  <c r="Y1053" i="1"/>
  <c r="Z1053" i="1"/>
  <c r="A1054" i="1"/>
  <c r="B1054" i="1"/>
  <c r="C1054" i="1"/>
  <c r="D1054" i="1"/>
  <c r="E1054" i="1"/>
  <c r="F1054" i="1"/>
  <c r="G1054" i="1"/>
  <c r="I1054" i="1"/>
  <c r="J1054" i="1"/>
  <c r="K1054" i="1"/>
  <c r="L1054" i="1"/>
  <c r="M1054" i="1"/>
  <c r="N1054" i="1"/>
  <c r="O1054" i="1"/>
  <c r="P1054" i="1"/>
  <c r="Q1054" i="1"/>
  <c r="R1054" i="1"/>
  <c r="S1054" i="1"/>
  <c r="T1054" i="1"/>
  <c r="U1054" i="1"/>
  <c r="V1054" i="1"/>
  <c r="W1054" i="1"/>
  <c r="X1054" i="1"/>
  <c r="Y1054" i="1"/>
  <c r="Z1054" i="1"/>
  <c r="A1055" i="1"/>
  <c r="B1055" i="1"/>
  <c r="C1055" i="1"/>
  <c r="D1055" i="1"/>
  <c r="E1055" i="1"/>
  <c r="F1055" i="1"/>
  <c r="G1055" i="1"/>
  <c r="I1055" i="1"/>
  <c r="J1055" i="1"/>
  <c r="K1055" i="1"/>
  <c r="L1055" i="1"/>
  <c r="M1055" i="1"/>
  <c r="N1055" i="1"/>
  <c r="O1055" i="1"/>
  <c r="P1055" i="1"/>
  <c r="Q1055" i="1"/>
  <c r="R1055" i="1"/>
  <c r="S1055" i="1"/>
  <c r="T1055" i="1"/>
  <c r="U1055" i="1"/>
  <c r="V1055" i="1"/>
  <c r="W1055" i="1"/>
  <c r="X1055" i="1"/>
  <c r="Y1055" i="1"/>
  <c r="Z1055" i="1"/>
  <c r="A1056" i="1"/>
  <c r="B1056" i="1"/>
  <c r="C1056" i="1"/>
  <c r="D1056" i="1"/>
  <c r="E1056" i="1"/>
  <c r="F1056" i="1"/>
  <c r="G1056" i="1"/>
  <c r="I1056" i="1"/>
  <c r="J1056" i="1"/>
  <c r="K1056" i="1"/>
  <c r="L1056" i="1"/>
  <c r="M1056" i="1"/>
  <c r="N1056" i="1"/>
  <c r="O1056" i="1"/>
  <c r="P1056" i="1"/>
  <c r="Q1056" i="1"/>
  <c r="R1056" i="1"/>
  <c r="S1056" i="1"/>
  <c r="T1056" i="1"/>
  <c r="U1056" i="1"/>
  <c r="V1056" i="1"/>
  <c r="W1056" i="1"/>
  <c r="X1056" i="1"/>
  <c r="Y1056" i="1"/>
  <c r="Z1056" i="1"/>
  <c r="A1057" i="1"/>
  <c r="B1057" i="1"/>
  <c r="C1057" i="1"/>
  <c r="D1057" i="1"/>
  <c r="E1057" i="1"/>
  <c r="F1057" i="1"/>
  <c r="G1057" i="1"/>
  <c r="I1057" i="1"/>
  <c r="J1057" i="1"/>
  <c r="K1057" i="1"/>
  <c r="L1057" i="1"/>
  <c r="M1057" i="1"/>
  <c r="N1057" i="1"/>
  <c r="O1057" i="1"/>
  <c r="P1057" i="1"/>
  <c r="Q1057" i="1"/>
  <c r="R1057" i="1"/>
  <c r="S1057" i="1"/>
  <c r="T1057" i="1"/>
  <c r="U1057" i="1"/>
  <c r="V1057" i="1"/>
  <c r="W1057" i="1"/>
  <c r="X1057" i="1"/>
  <c r="Y1057" i="1"/>
  <c r="Z1057" i="1"/>
  <c r="A1058" i="1"/>
  <c r="B1058" i="1"/>
  <c r="C1058" i="1"/>
  <c r="D1058" i="1"/>
  <c r="E1058" i="1"/>
  <c r="F1058" i="1"/>
  <c r="G1058" i="1"/>
  <c r="I1058" i="1"/>
  <c r="J1058" i="1"/>
  <c r="K1058" i="1"/>
  <c r="L1058" i="1"/>
  <c r="M1058" i="1"/>
  <c r="N1058" i="1"/>
  <c r="O1058" i="1"/>
  <c r="P1058" i="1"/>
  <c r="Q1058" i="1"/>
  <c r="R1058" i="1"/>
  <c r="S1058" i="1"/>
  <c r="T1058" i="1"/>
  <c r="U1058" i="1"/>
  <c r="V1058" i="1"/>
  <c r="W1058" i="1"/>
  <c r="X1058" i="1"/>
  <c r="Y1058" i="1"/>
  <c r="Z1058" i="1"/>
  <c r="A1059" i="1"/>
  <c r="B1059" i="1"/>
  <c r="C1059" i="1"/>
  <c r="D1059" i="1"/>
  <c r="E1059" i="1"/>
  <c r="F1059" i="1"/>
  <c r="G1059" i="1"/>
  <c r="I1059" i="1"/>
  <c r="J1059" i="1"/>
  <c r="K1059" i="1"/>
  <c r="L1059" i="1"/>
  <c r="M1059" i="1"/>
  <c r="N1059" i="1"/>
  <c r="O1059" i="1"/>
  <c r="P1059" i="1"/>
  <c r="Q1059" i="1"/>
  <c r="R1059" i="1"/>
  <c r="S1059" i="1"/>
  <c r="T1059" i="1"/>
  <c r="U1059" i="1"/>
  <c r="V1059" i="1"/>
  <c r="W1059" i="1"/>
  <c r="X1059" i="1"/>
  <c r="Y1059" i="1"/>
  <c r="Z1059" i="1"/>
  <c r="A1060" i="1"/>
  <c r="B1060" i="1"/>
  <c r="C1060" i="1"/>
  <c r="D1060" i="1"/>
  <c r="E1060" i="1"/>
  <c r="F1060" i="1"/>
  <c r="G1060" i="1"/>
  <c r="I1060" i="1"/>
  <c r="J1060" i="1"/>
  <c r="K1060" i="1"/>
  <c r="L1060" i="1"/>
  <c r="M1060" i="1"/>
  <c r="N1060" i="1"/>
  <c r="O1060" i="1"/>
  <c r="P1060" i="1"/>
  <c r="Q1060" i="1"/>
  <c r="R1060" i="1"/>
  <c r="S1060" i="1"/>
  <c r="T1060" i="1"/>
  <c r="U1060" i="1"/>
  <c r="V1060" i="1"/>
  <c r="W1060" i="1"/>
  <c r="X1060" i="1"/>
  <c r="Y1060" i="1"/>
  <c r="Z1060" i="1"/>
  <c r="A1061" i="1"/>
  <c r="B1061" i="1"/>
  <c r="C1061" i="1"/>
  <c r="D1061" i="1"/>
  <c r="E1061" i="1"/>
  <c r="F1061" i="1"/>
  <c r="G1061" i="1"/>
  <c r="I1061" i="1"/>
  <c r="J1061" i="1"/>
  <c r="K1061" i="1"/>
  <c r="L1061" i="1"/>
  <c r="M1061" i="1"/>
  <c r="N1061" i="1"/>
  <c r="O1061" i="1"/>
  <c r="P1061" i="1"/>
  <c r="Q1061" i="1"/>
  <c r="R1061" i="1"/>
  <c r="S1061" i="1"/>
  <c r="T1061" i="1"/>
  <c r="U1061" i="1"/>
  <c r="V1061" i="1"/>
  <c r="W1061" i="1"/>
  <c r="X1061" i="1"/>
  <c r="Y1061" i="1"/>
  <c r="Z1061" i="1"/>
  <c r="A1062" i="1"/>
  <c r="B1062" i="1"/>
  <c r="C1062" i="1"/>
  <c r="D1062" i="1"/>
  <c r="E1062" i="1"/>
  <c r="F1062" i="1"/>
  <c r="G1062" i="1"/>
  <c r="I1062" i="1"/>
  <c r="J1062" i="1"/>
  <c r="K1062" i="1"/>
  <c r="L1062" i="1"/>
  <c r="M1062" i="1"/>
  <c r="N1062" i="1"/>
  <c r="O1062" i="1"/>
  <c r="P1062" i="1"/>
  <c r="Q1062" i="1"/>
  <c r="R1062" i="1"/>
  <c r="S1062" i="1"/>
  <c r="T1062" i="1"/>
  <c r="U1062" i="1"/>
  <c r="V1062" i="1"/>
  <c r="W1062" i="1"/>
  <c r="X1062" i="1"/>
  <c r="Y1062" i="1"/>
  <c r="Z1062" i="1"/>
  <c r="A1063" i="1"/>
  <c r="B1063" i="1"/>
  <c r="C1063" i="1"/>
  <c r="D1063" i="1"/>
  <c r="E1063" i="1"/>
  <c r="F1063" i="1"/>
  <c r="G1063" i="1"/>
  <c r="I1063" i="1"/>
  <c r="J1063" i="1"/>
  <c r="K1063" i="1"/>
  <c r="L1063" i="1"/>
  <c r="M1063" i="1"/>
  <c r="N1063" i="1"/>
  <c r="O1063" i="1"/>
  <c r="P1063" i="1"/>
  <c r="Q1063" i="1"/>
  <c r="R1063" i="1"/>
  <c r="S1063" i="1"/>
  <c r="T1063" i="1"/>
  <c r="U1063" i="1"/>
  <c r="V1063" i="1"/>
  <c r="W1063" i="1"/>
  <c r="X1063" i="1"/>
  <c r="Y1063" i="1"/>
  <c r="Z1063" i="1"/>
  <c r="A1064" i="1"/>
  <c r="B1064" i="1"/>
  <c r="C1064" i="1"/>
  <c r="D1064" i="1"/>
  <c r="E1064" i="1"/>
  <c r="F1064" i="1"/>
  <c r="G1064" i="1"/>
  <c r="I1064" i="1"/>
  <c r="J1064" i="1"/>
  <c r="K1064" i="1"/>
  <c r="L1064" i="1"/>
  <c r="M1064" i="1"/>
  <c r="N1064" i="1"/>
  <c r="O1064" i="1"/>
  <c r="P1064" i="1"/>
  <c r="Q1064" i="1"/>
  <c r="R1064" i="1"/>
  <c r="S1064" i="1"/>
  <c r="T1064" i="1"/>
  <c r="U1064" i="1"/>
  <c r="V1064" i="1"/>
  <c r="W1064" i="1"/>
  <c r="X1064" i="1"/>
  <c r="Y1064" i="1"/>
  <c r="Z1064" i="1"/>
  <c r="A1065" i="1"/>
  <c r="B1065" i="1"/>
  <c r="C1065" i="1"/>
  <c r="D1065" i="1"/>
  <c r="E1065" i="1"/>
  <c r="F1065" i="1"/>
  <c r="G1065" i="1"/>
  <c r="I1065" i="1"/>
  <c r="J1065" i="1"/>
  <c r="K1065" i="1"/>
  <c r="L1065" i="1"/>
  <c r="M1065" i="1"/>
  <c r="N1065" i="1"/>
  <c r="O1065" i="1"/>
  <c r="P1065" i="1"/>
  <c r="Q1065" i="1"/>
  <c r="R1065" i="1"/>
  <c r="S1065" i="1"/>
  <c r="T1065" i="1"/>
  <c r="U1065" i="1"/>
  <c r="V1065" i="1"/>
  <c r="W1065" i="1"/>
  <c r="X1065" i="1"/>
  <c r="Y1065" i="1"/>
  <c r="Z1065" i="1"/>
  <c r="A1066" i="1"/>
  <c r="B1066" i="1"/>
  <c r="C1066" i="1"/>
  <c r="D1066" i="1"/>
  <c r="E1066" i="1"/>
  <c r="F1066" i="1"/>
  <c r="G1066" i="1"/>
  <c r="I1066" i="1"/>
  <c r="J1066" i="1"/>
  <c r="K1066" i="1"/>
  <c r="L1066" i="1"/>
  <c r="M1066" i="1"/>
  <c r="N1066" i="1"/>
  <c r="O1066" i="1"/>
  <c r="P1066" i="1"/>
  <c r="Q1066" i="1"/>
  <c r="R1066" i="1"/>
  <c r="S1066" i="1"/>
  <c r="T1066" i="1"/>
  <c r="U1066" i="1"/>
  <c r="V1066" i="1"/>
  <c r="W1066" i="1"/>
  <c r="X1066" i="1"/>
  <c r="Y1066" i="1"/>
  <c r="Z1066" i="1"/>
  <c r="A1067" i="1"/>
  <c r="B1067" i="1"/>
  <c r="C1067" i="1"/>
  <c r="D1067" i="1"/>
  <c r="E1067" i="1"/>
  <c r="F1067" i="1"/>
  <c r="G1067" i="1"/>
  <c r="I1067" i="1"/>
  <c r="J1067" i="1"/>
  <c r="K1067" i="1"/>
  <c r="L1067" i="1"/>
  <c r="M1067" i="1"/>
  <c r="N1067" i="1"/>
  <c r="O1067" i="1"/>
  <c r="P1067" i="1"/>
  <c r="Q1067" i="1"/>
  <c r="R1067" i="1"/>
  <c r="S1067" i="1"/>
  <c r="T1067" i="1"/>
  <c r="U1067" i="1"/>
  <c r="V1067" i="1"/>
  <c r="W1067" i="1"/>
  <c r="X1067" i="1"/>
  <c r="Y1067" i="1"/>
  <c r="Z1067" i="1"/>
  <c r="A1068" i="1"/>
  <c r="B1068" i="1"/>
  <c r="C1068" i="1"/>
  <c r="D1068" i="1"/>
  <c r="E1068" i="1"/>
  <c r="F1068" i="1"/>
  <c r="G1068" i="1"/>
  <c r="I1068" i="1"/>
  <c r="J1068" i="1"/>
  <c r="K1068" i="1"/>
  <c r="L1068" i="1"/>
  <c r="M1068" i="1"/>
  <c r="N1068" i="1"/>
  <c r="O1068" i="1"/>
  <c r="P1068" i="1"/>
  <c r="Q1068" i="1"/>
  <c r="R1068" i="1"/>
  <c r="S1068" i="1"/>
  <c r="T1068" i="1"/>
  <c r="U1068" i="1"/>
  <c r="V1068" i="1"/>
  <c r="W1068" i="1"/>
  <c r="X1068" i="1"/>
  <c r="Y1068" i="1"/>
  <c r="Z1068" i="1"/>
  <c r="A1069" i="1"/>
  <c r="B1069" i="1"/>
  <c r="C1069" i="1"/>
  <c r="D1069" i="1"/>
  <c r="E1069" i="1"/>
  <c r="F1069" i="1"/>
  <c r="G1069" i="1"/>
  <c r="I1069" i="1"/>
  <c r="J1069" i="1"/>
  <c r="K1069" i="1"/>
  <c r="L1069" i="1"/>
  <c r="M1069" i="1"/>
  <c r="N1069" i="1"/>
  <c r="O1069" i="1"/>
  <c r="P1069" i="1"/>
  <c r="Q1069" i="1"/>
  <c r="R1069" i="1"/>
  <c r="S1069" i="1"/>
  <c r="T1069" i="1"/>
  <c r="U1069" i="1"/>
  <c r="V1069" i="1"/>
  <c r="W1069" i="1"/>
  <c r="X1069" i="1"/>
  <c r="Y1069" i="1"/>
  <c r="Z1069" i="1"/>
  <c r="A1070" i="1"/>
  <c r="B1070" i="1"/>
  <c r="C1070" i="1"/>
  <c r="D1070" i="1"/>
  <c r="E1070" i="1"/>
  <c r="F1070" i="1"/>
  <c r="G1070" i="1"/>
  <c r="I1070" i="1"/>
  <c r="J1070" i="1"/>
  <c r="K1070" i="1"/>
  <c r="L1070" i="1"/>
  <c r="M1070" i="1"/>
  <c r="N1070" i="1"/>
  <c r="O1070" i="1"/>
  <c r="P1070" i="1"/>
  <c r="Q1070" i="1"/>
  <c r="R1070" i="1"/>
  <c r="S1070" i="1"/>
  <c r="T1070" i="1"/>
  <c r="U1070" i="1"/>
  <c r="V1070" i="1"/>
  <c r="W1070" i="1"/>
  <c r="X1070" i="1"/>
  <c r="Y1070" i="1"/>
  <c r="Z1070" i="1"/>
  <c r="A1071" i="1"/>
  <c r="B1071" i="1"/>
  <c r="C1071" i="1"/>
  <c r="D1071" i="1"/>
  <c r="E1071" i="1"/>
  <c r="F1071" i="1"/>
  <c r="G1071" i="1"/>
  <c r="I1071" i="1"/>
  <c r="J1071" i="1"/>
  <c r="K1071" i="1"/>
  <c r="L1071" i="1"/>
  <c r="M1071" i="1"/>
  <c r="N1071" i="1"/>
  <c r="O1071" i="1"/>
  <c r="P1071" i="1"/>
  <c r="Q1071" i="1"/>
  <c r="R1071" i="1"/>
  <c r="S1071" i="1"/>
  <c r="T1071" i="1"/>
  <c r="U1071" i="1"/>
  <c r="V1071" i="1"/>
  <c r="W1071" i="1"/>
  <c r="X1071" i="1"/>
  <c r="Y1071" i="1"/>
  <c r="Z1071" i="1"/>
  <c r="A1072" i="1"/>
  <c r="B1072" i="1"/>
  <c r="C1072" i="1"/>
  <c r="D1072" i="1"/>
  <c r="E1072" i="1"/>
  <c r="F1072" i="1"/>
  <c r="G1072" i="1"/>
  <c r="I1072" i="1"/>
  <c r="J1072" i="1"/>
  <c r="K1072" i="1"/>
  <c r="L1072" i="1"/>
  <c r="M1072" i="1"/>
  <c r="N1072" i="1"/>
  <c r="O1072" i="1"/>
  <c r="P1072" i="1"/>
  <c r="Q1072" i="1"/>
  <c r="R1072" i="1"/>
  <c r="S1072" i="1"/>
  <c r="T1072" i="1"/>
  <c r="U1072" i="1"/>
  <c r="V1072" i="1"/>
  <c r="W1072" i="1"/>
  <c r="X1072" i="1"/>
  <c r="Y1072" i="1"/>
  <c r="Z1072" i="1"/>
  <c r="A1073" i="1"/>
  <c r="B1073" i="1"/>
  <c r="C1073" i="1"/>
  <c r="D1073" i="1"/>
  <c r="E1073" i="1"/>
  <c r="F1073" i="1"/>
  <c r="G1073" i="1"/>
  <c r="I1073" i="1"/>
  <c r="J1073" i="1"/>
  <c r="K1073" i="1"/>
  <c r="L1073" i="1"/>
  <c r="M1073" i="1"/>
  <c r="N1073" i="1"/>
  <c r="O1073" i="1"/>
  <c r="P1073" i="1"/>
  <c r="Q1073" i="1"/>
  <c r="R1073" i="1"/>
  <c r="S1073" i="1"/>
  <c r="T1073" i="1"/>
  <c r="U1073" i="1"/>
  <c r="V1073" i="1"/>
  <c r="W1073" i="1"/>
  <c r="X1073" i="1"/>
  <c r="Y1073" i="1"/>
  <c r="Z1073" i="1"/>
  <c r="A1074" i="1"/>
  <c r="B1074" i="1"/>
  <c r="C1074" i="1"/>
  <c r="D1074" i="1"/>
  <c r="E1074" i="1"/>
  <c r="F1074" i="1"/>
  <c r="G1074" i="1"/>
  <c r="I1074" i="1"/>
  <c r="J1074" i="1"/>
  <c r="K1074" i="1"/>
  <c r="L1074" i="1"/>
  <c r="M1074" i="1"/>
  <c r="N1074" i="1"/>
  <c r="O1074" i="1"/>
  <c r="P1074" i="1"/>
  <c r="Q1074" i="1"/>
  <c r="R1074" i="1"/>
  <c r="S1074" i="1"/>
  <c r="T1074" i="1"/>
  <c r="U1074" i="1"/>
  <c r="V1074" i="1"/>
  <c r="W1074" i="1"/>
  <c r="X1074" i="1"/>
  <c r="Y1074" i="1"/>
  <c r="Z1074" i="1"/>
  <c r="A1075" i="1"/>
  <c r="B1075" i="1"/>
  <c r="C1075" i="1"/>
  <c r="D1075" i="1"/>
  <c r="E1075" i="1"/>
  <c r="F1075" i="1"/>
  <c r="G1075" i="1"/>
  <c r="I1075" i="1"/>
  <c r="J1075" i="1"/>
  <c r="K1075" i="1"/>
  <c r="L1075" i="1"/>
  <c r="M1075" i="1"/>
  <c r="N1075" i="1"/>
  <c r="O1075" i="1"/>
  <c r="P1075" i="1"/>
  <c r="Q1075" i="1"/>
  <c r="R1075" i="1"/>
  <c r="S1075" i="1"/>
  <c r="T1075" i="1"/>
  <c r="U1075" i="1"/>
  <c r="V1075" i="1"/>
  <c r="W1075" i="1"/>
  <c r="X1075" i="1"/>
  <c r="Y1075" i="1"/>
  <c r="Z1075" i="1"/>
  <c r="A1076" i="1"/>
  <c r="B1076" i="1"/>
  <c r="C1076" i="1"/>
  <c r="D1076" i="1"/>
  <c r="E1076" i="1"/>
  <c r="F1076" i="1"/>
  <c r="G1076" i="1"/>
  <c r="I1076" i="1"/>
  <c r="J1076" i="1"/>
  <c r="K1076" i="1"/>
  <c r="L1076" i="1"/>
  <c r="M1076" i="1"/>
  <c r="N1076" i="1"/>
  <c r="O1076" i="1"/>
  <c r="P1076" i="1"/>
  <c r="Q1076" i="1"/>
  <c r="R1076" i="1"/>
  <c r="S1076" i="1"/>
  <c r="T1076" i="1"/>
  <c r="U1076" i="1"/>
  <c r="V1076" i="1"/>
  <c r="W1076" i="1"/>
  <c r="X1076" i="1"/>
  <c r="Y1076" i="1"/>
  <c r="Z1076" i="1"/>
  <c r="A1077" i="1"/>
  <c r="B1077" i="1"/>
  <c r="C1077" i="1"/>
  <c r="D1077" i="1"/>
  <c r="E1077" i="1"/>
  <c r="F1077" i="1"/>
  <c r="G1077" i="1"/>
  <c r="I1077" i="1"/>
  <c r="J1077" i="1"/>
  <c r="K1077" i="1"/>
  <c r="L1077" i="1"/>
  <c r="M1077" i="1"/>
  <c r="N1077" i="1"/>
  <c r="O1077" i="1"/>
  <c r="P1077" i="1"/>
  <c r="Q1077" i="1"/>
  <c r="R1077" i="1"/>
  <c r="S1077" i="1"/>
  <c r="T1077" i="1"/>
  <c r="U1077" i="1"/>
  <c r="V1077" i="1"/>
  <c r="W1077" i="1"/>
  <c r="X1077" i="1"/>
  <c r="Y1077" i="1"/>
  <c r="Z1077" i="1"/>
  <c r="A1078" i="1"/>
  <c r="B1078" i="1"/>
  <c r="C1078" i="1"/>
  <c r="D1078" i="1"/>
  <c r="E1078" i="1"/>
  <c r="F1078" i="1"/>
  <c r="G1078" i="1"/>
  <c r="I1078" i="1"/>
  <c r="J1078" i="1"/>
  <c r="K1078" i="1"/>
  <c r="L1078" i="1"/>
  <c r="M1078" i="1"/>
  <c r="N1078" i="1"/>
  <c r="O1078" i="1"/>
  <c r="P1078" i="1"/>
  <c r="Q1078" i="1"/>
  <c r="R1078" i="1"/>
  <c r="S1078" i="1"/>
  <c r="T1078" i="1"/>
  <c r="U1078" i="1"/>
  <c r="V1078" i="1"/>
  <c r="W1078" i="1"/>
  <c r="X1078" i="1"/>
  <c r="Y1078" i="1"/>
  <c r="Z1078" i="1"/>
  <c r="A1079" i="1"/>
  <c r="B1079" i="1"/>
  <c r="C1079" i="1"/>
  <c r="D1079" i="1"/>
  <c r="E1079" i="1"/>
  <c r="F1079" i="1"/>
  <c r="G1079" i="1"/>
  <c r="I1079" i="1"/>
  <c r="J1079" i="1"/>
  <c r="K1079" i="1"/>
  <c r="L1079" i="1"/>
  <c r="M1079" i="1"/>
  <c r="N1079" i="1"/>
  <c r="O1079" i="1"/>
  <c r="P1079" i="1"/>
  <c r="Q1079" i="1"/>
  <c r="R1079" i="1"/>
  <c r="S1079" i="1"/>
  <c r="T1079" i="1"/>
  <c r="U1079" i="1"/>
  <c r="V1079" i="1"/>
  <c r="W1079" i="1"/>
  <c r="X1079" i="1"/>
  <c r="Y1079" i="1"/>
  <c r="Z1079" i="1"/>
  <c r="A1080" i="1"/>
  <c r="B1080" i="1"/>
  <c r="C1080" i="1"/>
  <c r="D1080" i="1"/>
  <c r="E1080" i="1"/>
  <c r="F1080" i="1"/>
  <c r="G1080" i="1"/>
  <c r="I1080" i="1"/>
  <c r="J1080" i="1"/>
  <c r="K1080" i="1"/>
  <c r="L1080" i="1"/>
  <c r="M1080" i="1"/>
  <c r="N1080" i="1"/>
  <c r="O1080" i="1"/>
  <c r="P1080" i="1"/>
  <c r="Q1080" i="1"/>
  <c r="R1080" i="1"/>
  <c r="S1080" i="1"/>
  <c r="T1080" i="1"/>
  <c r="U1080" i="1"/>
  <c r="V1080" i="1"/>
  <c r="W1080" i="1"/>
  <c r="X1080" i="1"/>
  <c r="Y1080" i="1"/>
  <c r="Z1080" i="1"/>
  <c r="A1081" i="1"/>
  <c r="B1081" i="1"/>
  <c r="C1081" i="1"/>
  <c r="D1081" i="1"/>
  <c r="E1081" i="1"/>
  <c r="F1081" i="1"/>
  <c r="G1081" i="1"/>
  <c r="I1081" i="1"/>
  <c r="J1081" i="1"/>
  <c r="K1081" i="1"/>
  <c r="L1081" i="1"/>
  <c r="M1081" i="1"/>
  <c r="N1081" i="1"/>
  <c r="O1081" i="1"/>
  <c r="P1081" i="1"/>
  <c r="Q1081" i="1"/>
  <c r="R1081" i="1"/>
  <c r="S1081" i="1"/>
  <c r="T1081" i="1"/>
  <c r="U1081" i="1"/>
  <c r="V1081" i="1"/>
  <c r="W1081" i="1"/>
  <c r="X1081" i="1"/>
  <c r="Y1081" i="1"/>
  <c r="Z1081" i="1"/>
  <c r="A1082" i="1"/>
  <c r="B1082" i="1"/>
  <c r="C1082" i="1"/>
  <c r="D1082" i="1"/>
  <c r="E1082" i="1"/>
  <c r="F1082" i="1"/>
  <c r="G1082" i="1"/>
  <c r="I1082" i="1"/>
  <c r="J1082" i="1"/>
  <c r="K1082" i="1"/>
  <c r="L1082" i="1"/>
  <c r="M1082" i="1"/>
  <c r="N1082" i="1"/>
  <c r="O1082" i="1"/>
  <c r="P1082" i="1"/>
  <c r="Q1082" i="1"/>
  <c r="R1082" i="1"/>
  <c r="S1082" i="1"/>
  <c r="T1082" i="1"/>
  <c r="U1082" i="1"/>
  <c r="V1082" i="1"/>
  <c r="W1082" i="1"/>
  <c r="X1082" i="1"/>
  <c r="Y1082" i="1"/>
  <c r="Z1082" i="1"/>
  <c r="A1083" i="1"/>
  <c r="B1083" i="1"/>
  <c r="C1083" i="1"/>
  <c r="D1083" i="1"/>
  <c r="E1083" i="1"/>
  <c r="F1083" i="1"/>
  <c r="G1083" i="1"/>
  <c r="I1083" i="1"/>
  <c r="J1083" i="1"/>
  <c r="K1083" i="1"/>
  <c r="L1083" i="1"/>
  <c r="M1083" i="1"/>
  <c r="N1083" i="1"/>
  <c r="O1083" i="1"/>
  <c r="P1083" i="1"/>
  <c r="Q1083" i="1"/>
  <c r="R1083" i="1"/>
  <c r="S1083" i="1"/>
  <c r="T1083" i="1"/>
  <c r="U1083" i="1"/>
  <c r="V1083" i="1"/>
  <c r="W1083" i="1"/>
  <c r="X1083" i="1"/>
  <c r="Y1083" i="1"/>
  <c r="Z1083" i="1"/>
  <c r="A1084" i="1"/>
  <c r="B1084" i="1"/>
  <c r="C1084" i="1"/>
  <c r="D1084" i="1"/>
  <c r="E1084" i="1"/>
  <c r="F1084" i="1"/>
  <c r="G1084" i="1"/>
  <c r="I1084" i="1"/>
  <c r="J1084" i="1"/>
  <c r="K1084" i="1"/>
  <c r="L1084" i="1"/>
  <c r="M1084" i="1"/>
  <c r="N1084" i="1"/>
  <c r="O1084" i="1"/>
  <c r="P1084" i="1"/>
  <c r="Q1084" i="1"/>
  <c r="R1084" i="1"/>
  <c r="S1084" i="1"/>
  <c r="T1084" i="1"/>
  <c r="U1084" i="1"/>
  <c r="V1084" i="1"/>
  <c r="W1084" i="1"/>
  <c r="X1084" i="1"/>
  <c r="Y1084" i="1"/>
  <c r="Z1084" i="1"/>
  <c r="A1085" i="1"/>
  <c r="B1085" i="1"/>
  <c r="C1085" i="1"/>
  <c r="D1085" i="1"/>
  <c r="E1085" i="1"/>
  <c r="F1085" i="1"/>
  <c r="G1085" i="1"/>
  <c r="I1085" i="1"/>
  <c r="J1085" i="1"/>
  <c r="K1085" i="1"/>
  <c r="L1085" i="1"/>
  <c r="M1085" i="1"/>
  <c r="N1085" i="1"/>
  <c r="O1085" i="1"/>
  <c r="P1085" i="1"/>
  <c r="Q1085" i="1"/>
  <c r="R1085" i="1"/>
  <c r="S1085" i="1"/>
  <c r="T1085" i="1"/>
  <c r="U1085" i="1"/>
  <c r="V1085" i="1"/>
  <c r="W1085" i="1"/>
  <c r="X1085" i="1"/>
  <c r="Y1085" i="1"/>
  <c r="Z1085" i="1"/>
  <c r="A1086" i="1"/>
  <c r="B1086" i="1"/>
  <c r="C1086" i="1"/>
  <c r="D1086" i="1"/>
  <c r="E1086" i="1"/>
  <c r="F1086" i="1"/>
  <c r="G1086" i="1"/>
  <c r="I1086" i="1"/>
  <c r="J1086" i="1"/>
  <c r="K1086" i="1"/>
  <c r="L1086" i="1"/>
  <c r="M1086" i="1"/>
  <c r="N1086" i="1"/>
  <c r="O1086" i="1"/>
  <c r="P1086" i="1"/>
  <c r="Q1086" i="1"/>
  <c r="R1086" i="1"/>
  <c r="S1086" i="1"/>
  <c r="T1086" i="1"/>
  <c r="U1086" i="1"/>
  <c r="V1086" i="1"/>
  <c r="W1086" i="1"/>
  <c r="X1086" i="1"/>
  <c r="Y1086" i="1"/>
  <c r="Z1086" i="1"/>
  <c r="A1087" i="1"/>
  <c r="B1087" i="1"/>
  <c r="C1087" i="1"/>
  <c r="D1087" i="1"/>
  <c r="E1087" i="1"/>
  <c r="F1087" i="1"/>
  <c r="G1087" i="1"/>
  <c r="I1087" i="1"/>
  <c r="J1087" i="1"/>
  <c r="K1087" i="1"/>
  <c r="L1087" i="1"/>
  <c r="M1087" i="1"/>
  <c r="N1087" i="1"/>
  <c r="O1087" i="1"/>
  <c r="P1087" i="1"/>
  <c r="Q1087" i="1"/>
  <c r="R1087" i="1"/>
  <c r="S1087" i="1"/>
  <c r="T1087" i="1"/>
  <c r="U1087" i="1"/>
  <c r="V1087" i="1"/>
  <c r="W1087" i="1"/>
  <c r="X1087" i="1"/>
  <c r="Y1087" i="1"/>
  <c r="Z1087" i="1"/>
  <c r="A1088" i="1"/>
  <c r="B1088" i="1"/>
  <c r="C1088" i="1"/>
  <c r="D1088" i="1"/>
  <c r="E1088" i="1"/>
  <c r="F1088" i="1"/>
  <c r="G1088" i="1"/>
  <c r="I1088" i="1"/>
  <c r="J1088" i="1"/>
  <c r="K1088" i="1"/>
  <c r="L1088" i="1"/>
  <c r="M1088" i="1"/>
  <c r="N1088" i="1"/>
  <c r="O1088" i="1"/>
  <c r="P1088" i="1"/>
  <c r="Q1088" i="1"/>
  <c r="R1088" i="1"/>
  <c r="S1088" i="1"/>
  <c r="T1088" i="1"/>
  <c r="U1088" i="1"/>
  <c r="V1088" i="1"/>
  <c r="W1088" i="1"/>
  <c r="X1088" i="1"/>
  <c r="Y1088" i="1"/>
  <c r="Z1088" i="1"/>
  <c r="A1089" i="1"/>
  <c r="B1089" i="1"/>
  <c r="C1089" i="1"/>
  <c r="D1089" i="1"/>
  <c r="E1089" i="1"/>
  <c r="F1089" i="1"/>
  <c r="G1089" i="1"/>
  <c r="I1089" i="1"/>
  <c r="J1089" i="1"/>
  <c r="K1089" i="1"/>
  <c r="L1089" i="1"/>
  <c r="M1089" i="1"/>
  <c r="N1089" i="1"/>
  <c r="O1089" i="1"/>
  <c r="P1089" i="1"/>
  <c r="Q1089" i="1"/>
  <c r="R1089" i="1"/>
  <c r="S1089" i="1"/>
  <c r="T1089" i="1"/>
  <c r="U1089" i="1"/>
  <c r="V1089" i="1"/>
  <c r="W1089" i="1"/>
  <c r="X1089" i="1"/>
  <c r="Y1089" i="1"/>
  <c r="Z1089" i="1"/>
  <c r="A1090" i="1"/>
  <c r="B1090" i="1"/>
  <c r="C1090" i="1"/>
  <c r="D1090" i="1"/>
  <c r="E1090" i="1"/>
  <c r="F1090" i="1"/>
  <c r="G1090" i="1"/>
  <c r="I1090" i="1"/>
  <c r="J1090" i="1"/>
  <c r="K1090" i="1"/>
  <c r="L1090" i="1"/>
  <c r="M1090" i="1"/>
  <c r="N1090" i="1"/>
  <c r="O1090" i="1"/>
  <c r="P1090" i="1"/>
  <c r="Q1090" i="1"/>
  <c r="R1090" i="1"/>
  <c r="S1090" i="1"/>
  <c r="T1090" i="1"/>
  <c r="U1090" i="1"/>
  <c r="V1090" i="1"/>
  <c r="W1090" i="1"/>
  <c r="X1090" i="1"/>
  <c r="Y1090" i="1"/>
  <c r="Z1090" i="1"/>
  <c r="A1091" i="1"/>
  <c r="B1091" i="1"/>
  <c r="C1091" i="1"/>
  <c r="D1091" i="1"/>
  <c r="E1091" i="1"/>
  <c r="F1091" i="1"/>
  <c r="G1091" i="1"/>
  <c r="I1091" i="1"/>
  <c r="J1091" i="1"/>
  <c r="K1091" i="1"/>
  <c r="L1091" i="1"/>
  <c r="M1091" i="1"/>
  <c r="N1091" i="1"/>
  <c r="O1091" i="1"/>
  <c r="P1091" i="1"/>
  <c r="Q1091" i="1"/>
  <c r="R1091" i="1"/>
  <c r="S1091" i="1"/>
  <c r="T1091" i="1"/>
  <c r="U1091" i="1"/>
  <c r="V1091" i="1"/>
  <c r="W1091" i="1"/>
  <c r="X1091" i="1"/>
  <c r="Y1091" i="1"/>
  <c r="Z1091" i="1"/>
  <c r="A1092" i="1"/>
  <c r="B1092" i="1"/>
  <c r="C1092" i="1"/>
  <c r="D1092" i="1"/>
  <c r="E1092" i="1"/>
  <c r="F1092" i="1"/>
  <c r="G1092" i="1"/>
  <c r="I1092" i="1"/>
  <c r="J1092" i="1"/>
  <c r="K1092" i="1"/>
  <c r="L1092" i="1"/>
  <c r="M1092" i="1"/>
  <c r="N1092" i="1"/>
  <c r="O1092" i="1"/>
  <c r="P1092" i="1"/>
  <c r="Q1092" i="1"/>
  <c r="R1092" i="1"/>
  <c r="S1092" i="1"/>
  <c r="T1092" i="1"/>
  <c r="U1092" i="1"/>
  <c r="V1092" i="1"/>
  <c r="W1092" i="1"/>
  <c r="X1092" i="1"/>
  <c r="Y1092" i="1"/>
  <c r="Z1092" i="1"/>
  <c r="A1093" i="1"/>
  <c r="B1093" i="1"/>
  <c r="C1093" i="1"/>
  <c r="D1093" i="1"/>
  <c r="E1093" i="1"/>
  <c r="F1093" i="1"/>
  <c r="G1093" i="1"/>
  <c r="I1093" i="1"/>
  <c r="J1093" i="1"/>
  <c r="K1093" i="1"/>
  <c r="L1093" i="1"/>
  <c r="M1093" i="1"/>
  <c r="N1093" i="1"/>
  <c r="O1093" i="1"/>
  <c r="P1093" i="1"/>
  <c r="Q1093" i="1"/>
  <c r="R1093" i="1"/>
  <c r="S1093" i="1"/>
  <c r="T1093" i="1"/>
  <c r="U1093" i="1"/>
  <c r="V1093" i="1"/>
  <c r="W1093" i="1"/>
  <c r="X1093" i="1"/>
  <c r="Y1093" i="1"/>
  <c r="Z1093" i="1"/>
  <c r="A1094" i="1"/>
  <c r="B1094" i="1"/>
  <c r="C1094" i="1"/>
  <c r="D1094" i="1"/>
  <c r="E1094" i="1"/>
  <c r="F1094" i="1"/>
  <c r="G1094" i="1"/>
  <c r="I1094" i="1"/>
  <c r="J1094" i="1"/>
  <c r="K1094" i="1"/>
  <c r="L1094" i="1"/>
  <c r="M1094" i="1"/>
  <c r="N1094" i="1"/>
  <c r="O1094" i="1"/>
  <c r="P1094" i="1"/>
  <c r="Q1094" i="1"/>
  <c r="R1094" i="1"/>
  <c r="S1094" i="1"/>
  <c r="T1094" i="1"/>
  <c r="U1094" i="1"/>
  <c r="V1094" i="1"/>
  <c r="W1094" i="1"/>
  <c r="X1094" i="1"/>
  <c r="Y1094" i="1"/>
  <c r="Z1094" i="1"/>
  <c r="A1095" i="1"/>
  <c r="B1095" i="1"/>
  <c r="C1095" i="1"/>
  <c r="D1095" i="1"/>
  <c r="E1095" i="1"/>
  <c r="F1095" i="1"/>
  <c r="G1095" i="1"/>
  <c r="I1095" i="1"/>
  <c r="J1095" i="1"/>
  <c r="K1095" i="1"/>
  <c r="L1095" i="1"/>
  <c r="M1095" i="1"/>
  <c r="N1095" i="1"/>
  <c r="O1095" i="1"/>
  <c r="P1095" i="1"/>
  <c r="Q1095" i="1"/>
  <c r="R1095" i="1"/>
  <c r="S1095" i="1"/>
  <c r="T1095" i="1"/>
  <c r="U1095" i="1"/>
  <c r="V1095" i="1"/>
  <c r="W1095" i="1"/>
  <c r="X1095" i="1"/>
  <c r="Y1095" i="1"/>
  <c r="Z1095" i="1"/>
  <c r="A1096" i="1"/>
  <c r="B1096" i="1"/>
  <c r="C1096" i="1"/>
  <c r="D1096" i="1"/>
  <c r="E1096" i="1"/>
  <c r="F1096" i="1"/>
  <c r="G1096" i="1"/>
  <c r="I1096" i="1"/>
  <c r="J1096" i="1"/>
  <c r="K1096" i="1"/>
  <c r="L1096" i="1"/>
  <c r="M1096" i="1"/>
  <c r="N1096" i="1"/>
  <c r="O1096" i="1"/>
  <c r="P1096" i="1"/>
  <c r="Q1096" i="1"/>
  <c r="R1096" i="1"/>
  <c r="S1096" i="1"/>
  <c r="T1096" i="1"/>
  <c r="U1096" i="1"/>
  <c r="V1096" i="1"/>
  <c r="W1096" i="1"/>
  <c r="X1096" i="1"/>
  <c r="Y1096" i="1"/>
  <c r="Z1096" i="1"/>
  <c r="A1097" i="1"/>
  <c r="B1097" i="1"/>
  <c r="C1097" i="1"/>
  <c r="D1097" i="1"/>
  <c r="E1097" i="1"/>
  <c r="F1097" i="1"/>
  <c r="G1097" i="1"/>
  <c r="I1097" i="1"/>
  <c r="J1097" i="1"/>
  <c r="K1097" i="1"/>
  <c r="L1097" i="1"/>
  <c r="M1097" i="1"/>
  <c r="N1097" i="1"/>
  <c r="O1097" i="1"/>
  <c r="P1097" i="1"/>
  <c r="Q1097" i="1"/>
  <c r="R1097" i="1"/>
  <c r="S1097" i="1"/>
  <c r="T1097" i="1"/>
  <c r="U1097" i="1"/>
  <c r="V1097" i="1"/>
  <c r="W1097" i="1"/>
  <c r="X1097" i="1"/>
  <c r="Y1097" i="1"/>
  <c r="Z1097" i="1"/>
  <c r="A1098" i="1"/>
  <c r="B1098" i="1"/>
  <c r="C1098" i="1"/>
  <c r="D1098" i="1"/>
  <c r="E1098" i="1"/>
  <c r="F1098" i="1"/>
  <c r="G1098" i="1"/>
  <c r="I1098" i="1"/>
  <c r="J1098" i="1"/>
  <c r="K1098" i="1"/>
  <c r="L1098" i="1"/>
  <c r="M1098" i="1"/>
  <c r="N1098" i="1"/>
  <c r="O1098" i="1"/>
  <c r="P1098" i="1"/>
  <c r="Q1098" i="1"/>
  <c r="R1098" i="1"/>
  <c r="S1098" i="1"/>
  <c r="T1098" i="1"/>
  <c r="U1098" i="1"/>
  <c r="V1098" i="1"/>
  <c r="W1098" i="1"/>
  <c r="X1098" i="1"/>
  <c r="Y1098" i="1"/>
  <c r="Z1098" i="1"/>
  <c r="A1099" i="1"/>
  <c r="B1099" i="1"/>
  <c r="C1099" i="1"/>
  <c r="D1099" i="1"/>
  <c r="E1099" i="1"/>
  <c r="F1099" i="1"/>
  <c r="G1099" i="1"/>
  <c r="I1099" i="1"/>
  <c r="J1099" i="1"/>
  <c r="K1099" i="1"/>
  <c r="L1099" i="1"/>
  <c r="M1099" i="1"/>
  <c r="N1099" i="1"/>
  <c r="O1099" i="1"/>
  <c r="P1099" i="1"/>
  <c r="Q1099" i="1"/>
  <c r="R1099" i="1"/>
  <c r="S1099" i="1"/>
  <c r="T1099" i="1"/>
  <c r="U1099" i="1"/>
  <c r="V1099" i="1"/>
  <c r="W1099" i="1"/>
  <c r="X1099" i="1"/>
  <c r="Y1099" i="1"/>
  <c r="Z1099" i="1"/>
  <c r="A1100" i="1"/>
  <c r="B1100" i="1"/>
  <c r="C1100" i="1"/>
  <c r="D1100" i="1"/>
  <c r="E1100" i="1"/>
  <c r="F1100" i="1"/>
  <c r="G1100" i="1"/>
  <c r="I1100" i="1"/>
  <c r="J1100" i="1"/>
  <c r="K1100" i="1"/>
  <c r="L1100" i="1"/>
  <c r="M1100" i="1"/>
  <c r="N1100" i="1"/>
  <c r="O1100" i="1"/>
  <c r="P1100" i="1"/>
  <c r="Q1100" i="1"/>
  <c r="R1100" i="1"/>
  <c r="S1100" i="1"/>
  <c r="T1100" i="1"/>
  <c r="U1100" i="1"/>
  <c r="V1100" i="1"/>
  <c r="W1100" i="1"/>
  <c r="X1100" i="1"/>
  <c r="Y1100" i="1"/>
  <c r="Z1100" i="1"/>
  <c r="A1101" i="1"/>
  <c r="B1101" i="1"/>
  <c r="C1101" i="1"/>
  <c r="D1101" i="1"/>
  <c r="E1101" i="1"/>
  <c r="F1101" i="1"/>
  <c r="G1101" i="1"/>
  <c r="I1101" i="1"/>
  <c r="J1101" i="1"/>
  <c r="K1101" i="1"/>
  <c r="L1101" i="1"/>
  <c r="M1101" i="1"/>
  <c r="N1101" i="1"/>
  <c r="O1101" i="1"/>
  <c r="P1101" i="1"/>
  <c r="Q1101" i="1"/>
  <c r="R1101" i="1"/>
  <c r="S1101" i="1"/>
  <c r="T1101" i="1"/>
  <c r="U1101" i="1"/>
  <c r="V1101" i="1"/>
  <c r="W1101" i="1"/>
  <c r="X1101" i="1"/>
  <c r="Y1101" i="1"/>
  <c r="Z1101" i="1"/>
  <c r="A1102" i="1"/>
  <c r="B1102" i="1"/>
  <c r="C1102" i="1"/>
  <c r="D1102" i="1"/>
  <c r="E1102" i="1"/>
  <c r="F1102" i="1"/>
  <c r="G1102" i="1"/>
  <c r="I1102" i="1"/>
  <c r="J1102" i="1"/>
  <c r="K1102" i="1"/>
  <c r="L1102" i="1"/>
  <c r="M1102" i="1"/>
  <c r="N1102" i="1"/>
  <c r="O1102" i="1"/>
  <c r="P1102" i="1"/>
  <c r="Q1102" i="1"/>
  <c r="R1102" i="1"/>
  <c r="S1102" i="1"/>
  <c r="T1102" i="1"/>
  <c r="U1102" i="1"/>
  <c r="V1102" i="1"/>
  <c r="W1102" i="1"/>
  <c r="X1102" i="1"/>
  <c r="Y1102" i="1"/>
  <c r="Z1102" i="1"/>
  <c r="A1103" i="1"/>
  <c r="B1103" i="1"/>
  <c r="C1103" i="1"/>
  <c r="D1103" i="1"/>
  <c r="E1103" i="1"/>
  <c r="F1103" i="1"/>
  <c r="G1103" i="1"/>
  <c r="I1103" i="1"/>
  <c r="J1103" i="1"/>
  <c r="K1103" i="1"/>
  <c r="L1103" i="1"/>
  <c r="M1103" i="1"/>
  <c r="N1103" i="1"/>
  <c r="O1103" i="1"/>
  <c r="P1103" i="1"/>
  <c r="Q1103" i="1"/>
  <c r="R1103" i="1"/>
  <c r="S1103" i="1"/>
  <c r="T1103" i="1"/>
  <c r="U1103" i="1"/>
  <c r="V1103" i="1"/>
  <c r="W1103" i="1"/>
  <c r="X1103" i="1"/>
  <c r="Y1103" i="1"/>
  <c r="Z1103" i="1"/>
  <c r="A1104" i="1"/>
  <c r="B1104" i="1"/>
  <c r="C1104" i="1"/>
  <c r="D1104" i="1"/>
  <c r="E1104" i="1"/>
  <c r="F1104" i="1"/>
  <c r="G1104" i="1"/>
  <c r="I1104" i="1"/>
  <c r="J1104" i="1"/>
  <c r="K1104" i="1"/>
  <c r="L1104" i="1"/>
  <c r="M1104" i="1"/>
  <c r="N1104" i="1"/>
  <c r="O1104" i="1"/>
  <c r="P1104" i="1"/>
  <c r="Q1104" i="1"/>
  <c r="R1104" i="1"/>
  <c r="S1104" i="1"/>
  <c r="T1104" i="1"/>
  <c r="U1104" i="1"/>
  <c r="V1104" i="1"/>
  <c r="W1104" i="1"/>
  <c r="X1104" i="1"/>
  <c r="Y1104" i="1"/>
  <c r="Z1104" i="1"/>
  <c r="A1105" i="1"/>
  <c r="B1105" i="1"/>
  <c r="C1105" i="1"/>
  <c r="D1105" i="1"/>
  <c r="E1105" i="1"/>
  <c r="F1105" i="1"/>
  <c r="G1105" i="1"/>
  <c r="I1105" i="1"/>
  <c r="J1105" i="1"/>
  <c r="K1105" i="1"/>
  <c r="L1105" i="1"/>
  <c r="M1105" i="1"/>
  <c r="N1105" i="1"/>
  <c r="O1105" i="1"/>
  <c r="P1105" i="1"/>
  <c r="Q1105" i="1"/>
  <c r="R1105" i="1"/>
  <c r="S1105" i="1"/>
  <c r="T1105" i="1"/>
  <c r="U1105" i="1"/>
  <c r="V1105" i="1"/>
  <c r="W1105" i="1"/>
  <c r="X1105" i="1"/>
  <c r="Y1105" i="1"/>
  <c r="Z1105" i="1"/>
  <c r="A1106" i="1"/>
  <c r="B1106" i="1"/>
  <c r="C1106" i="1"/>
  <c r="D1106" i="1"/>
  <c r="E1106" i="1"/>
  <c r="F1106" i="1"/>
  <c r="G1106" i="1"/>
  <c r="I1106" i="1"/>
  <c r="J1106" i="1"/>
  <c r="K1106" i="1"/>
  <c r="L1106" i="1"/>
  <c r="M1106" i="1"/>
  <c r="N1106" i="1"/>
  <c r="O1106" i="1"/>
  <c r="P1106" i="1"/>
  <c r="Q1106" i="1"/>
  <c r="R1106" i="1"/>
  <c r="S1106" i="1"/>
  <c r="T1106" i="1"/>
  <c r="U1106" i="1"/>
  <c r="V1106" i="1"/>
  <c r="W1106" i="1"/>
  <c r="X1106" i="1"/>
  <c r="Y1106" i="1"/>
  <c r="Z1106" i="1"/>
  <c r="A1107" i="1"/>
  <c r="B1107" i="1"/>
  <c r="C1107" i="1"/>
  <c r="D1107" i="1"/>
  <c r="E1107" i="1"/>
  <c r="F1107" i="1"/>
  <c r="G1107" i="1"/>
  <c r="I1107" i="1"/>
  <c r="J1107" i="1"/>
  <c r="K1107" i="1"/>
  <c r="L1107" i="1"/>
  <c r="M1107" i="1"/>
  <c r="N1107" i="1"/>
  <c r="O1107" i="1"/>
  <c r="P1107" i="1"/>
  <c r="Q1107" i="1"/>
  <c r="R1107" i="1"/>
  <c r="S1107" i="1"/>
  <c r="T1107" i="1"/>
  <c r="U1107" i="1"/>
  <c r="V1107" i="1"/>
  <c r="W1107" i="1"/>
  <c r="X1107" i="1"/>
  <c r="Y1107" i="1"/>
  <c r="Z1107" i="1"/>
  <c r="A1108" i="1"/>
  <c r="B1108" i="1"/>
  <c r="C1108" i="1"/>
  <c r="D1108" i="1"/>
  <c r="E1108" i="1"/>
  <c r="F1108" i="1"/>
  <c r="G1108" i="1"/>
  <c r="I1108" i="1"/>
  <c r="J1108" i="1"/>
  <c r="K1108" i="1"/>
  <c r="L1108" i="1"/>
  <c r="M1108" i="1"/>
  <c r="N1108" i="1"/>
  <c r="O1108" i="1"/>
  <c r="P1108" i="1"/>
  <c r="Q1108" i="1"/>
  <c r="R1108" i="1"/>
  <c r="S1108" i="1"/>
  <c r="T1108" i="1"/>
  <c r="U1108" i="1"/>
  <c r="V1108" i="1"/>
  <c r="W1108" i="1"/>
  <c r="X1108" i="1"/>
  <c r="Y1108" i="1"/>
  <c r="Z1108" i="1"/>
  <c r="A1109" i="1"/>
  <c r="B1109" i="1"/>
  <c r="C1109" i="1"/>
  <c r="D1109" i="1"/>
  <c r="E1109" i="1"/>
  <c r="F1109" i="1"/>
  <c r="G1109" i="1"/>
  <c r="I1109" i="1"/>
  <c r="J1109" i="1"/>
  <c r="K1109" i="1"/>
  <c r="L1109" i="1"/>
  <c r="M1109" i="1"/>
  <c r="N1109" i="1"/>
  <c r="O1109" i="1"/>
  <c r="P1109" i="1"/>
  <c r="Q1109" i="1"/>
  <c r="R1109" i="1"/>
  <c r="S1109" i="1"/>
  <c r="T1109" i="1"/>
  <c r="U1109" i="1"/>
  <c r="V1109" i="1"/>
  <c r="W1109" i="1"/>
  <c r="X1109" i="1"/>
  <c r="Y1109" i="1"/>
  <c r="Z1109" i="1"/>
  <c r="A1110" i="1"/>
  <c r="B1110" i="1"/>
  <c r="C1110" i="1"/>
  <c r="D1110" i="1"/>
  <c r="E1110" i="1"/>
  <c r="F1110" i="1"/>
  <c r="G1110" i="1"/>
  <c r="I1110" i="1"/>
  <c r="J1110" i="1"/>
  <c r="K1110" i="1"/>
  <c r="L1110" i="1"/>
  <c r="M1110" i="1"/>
  <c r="N1110" i="1"/>
  <c r="O1110" i="1"/>
  <c r="P1110" i="1"/>
  <c r="Q1110" i="1"/>
  <c r="R1110" i="1"/>
  <c r="S1110" i="1"/>
  <c r="T1110" i="1"/>
  <c r="U1110" i="1"/>
  <c r="V1110" i="1"/>
  <c r="W1110" i="1"/>
  <c r="X1110" i="1"/>
  <c r="Y1110" i="1"/>
  <c r="Z1110" i="1"/>
  <c r="A1111" i="1"/>
  <c r="B1111" i="1"/>
  <c r="C1111" i="1"/>
  <c r="D1111" i="1"/>
  <c r="E1111" i="1"/>
  <c r="F1111" i="1"/>
  <c r="G1111" i="1"/>
  <c r="I1111" i="1"/>
  <c r="J1111" i="1"/>
  <c r="K1111" i="1"/>
  <c r="L1111" i="1"/>
  <c r="M1111" i="1"/>
  <c r="N1111" i="1"/>
  <c r="O1111" i="1"/>
  <c r="P1111" i="1"/>
  <c r="Q1111" i="1"/>
  <c r="R1111" i="1"/>
  <c r="S1111" i="1"/>
  <c r="T1111" i="1"/>
  <c r="U1111" i="1"/>
  <c r="V1111" i="1"/>
  <c r="W1111" i="1"/>
  <c r="X1111" i="1"/>
  <c r="Y1111" i="1"/>
  <c r="Z1111" i="1"/>
  <c r="A1112" i="1"/>
  <c r="B1112" i="1"/>
  <c r="C1112" i="1"/>
  <c r="D1112" i="1"/>
  <c r="E1112" i="1"/>
  <c r="F1112" i="1"/>
  <c r="G1112" i="1"/>
  <c r="I1112" i="1"/>
  <c r="J1112" i="1"/>
  <c r="K1112" i="1"/>
  <c r="L1112" i="1"/>
  <c r="M1112" i="1"/>
  <c r="N1112" i="1"/>
  <c r="O1112" i="1"/>
  <c r="P1112" i="1"/>
  <c r="Q1112" i="1"/>
  <c r="R1112" i="1"/>
  <c r="S1112" i="1"/>
  <c r="T1112" i="1"/>
  <c r="U1112" i="1"/>
  <c r="V1112" i="1"/>
  <c r="W1112" i="1"/>
  <c r="X1112" i="1"/>
  <c r="Y1112" i="1"/>
  <c r="Z1112" i="1"/>
  <c r="A1113" i="1"/>
  <c r="B1113" i="1"/>
  <c r="C1113" i="1"/>
  <c r="D1113" i="1"/>
  <c r="E1113" i="1"/>
  <c r="F1113" i="1"/>
  <c r="G1113" i="1"/>
  <c r="I1113" i="1"/>
  <c r="J1113" i="1"/>
  <c r="K1113" i="1"/>
  <c r="L1113" i="1"/>
  <c r="M1113" i="1"/>
  <c r="N1113" i="1"/>
  <c r="O1113" i="1"/>
  <c r="P1113" i="1"/>
  <c r="Q1113" i="1"/>
  <c r="R1113" i="1"/>
  <c r="S1113" i="1"/>
  <c r="T1113" i="1"/>
  <c r="U1113" i="1"/>
  <c r="V1113" i="1"/>
  <c r="W1113" i="1"/>
  <c r="X1113" i="1"/>
  <c r="Y1113" i="1"/>
  <c r="Z1113" i="1"/>
  <c r="A1114" i="1"/>
  <c r="B1114" i="1"/>
  <c r="C1114" i="1"/>
  <c r="D1114" i="1"/>
  <c r="E1114" i="1"/>
  <c r="F1114" i="1"/>
  <c r="G1114" i="1"/>
  <c r="I1114" i="1"/>
  <c r="J1114" i="1"/>
  <c r="K1114" i="1"/>
  <c r="L1114" i="1"/>
  <c r="M1114" i="1"/>
  <c r="N1114" i="1"/>
  <c r="O1114" i="1"/>
  <c r="P1114" i="1"/>
  <c r="Q1114" i="1"/>
  <c r="R1114" i="1"/>
  <c r="S1114" i="1"/>
  <c r="T1114" i="1"/>
  <c r="U1114" i="1"/>
  <c r="V1114" i="1"/>
  <c r="W1114" i="1"/>
  <c r="X1114" i="1"/>
  <c r="Y1114" i="1"/>
  <c r="Z1114" i="1"/>
  <c r="A1115" i="1"/>
  <c r="B1115" i="1"/>
  <c r="C1115" i="1"/>
  <c r="D1115" i="1"/>
  <c r="E1115" i="1"/>
  <c r="F1115" i="1"/>
  <c r="G1115" i="1"/>
  <c r="I1115" i="1"/>
  <c r="J1115" i="1"/>
  <c r="K1115" i="1"/>
  <c r="L1115" i="1"/>
  <c r="M1115" i="1"/>
  <c r="N1115" i="1"/>
  <c r="O1115" i="1"/>
  <c r="P1115" i="1"/>
  <c r="Q1115" i="1"/>
  <c r="R1115" i="1"/>
  <c r="S1115" i="1"/>
  <c r="T1115" i="1"/>
  <c r="U1115" i="1"/>
  <c r="V1115" i="1"/>
  <c r="W1115" i="1"/>
  <c r="X1115" i="1"/>
  <c r="Y1115" i="1"/>
  <c r="Z1115" i="1"/>
  <c r="A1116" i="1"/>
  <c r="B1116" i="1"/>
  <c r="C1116" i="1"/>
  <c r="D1116" i="1"/>
  <c r="E1116" i="1"/>
  <c r="F1116" i="1"/>
  <c r="G1116" i="1"/>
  <c r="I1116" i="1"/>
  <c r="J1116" i="1"/>
  <c r="K1116" i="1"/>
  <c r="L1116" i="1"/>
  <c r="M1116" i="1"/>
  <c r="N1116" i="1"/>
  <c r="O1116" i="1"/>
  <c r="P1116" i="1"/>
  <c r="Q1116" i="1"/>
  <c r="R1116" i="1"/>
  <c r="S1116" i="1"/>
  <c r="T1116" i="1"/>
  <c r="U1116" i="1"/>
  <c r="V1116" i="1"/>
  <c r="W1116" i="1"/>
  <c r="X1116" i="1"/>
  <c r="Y1116" i="1"/>
  <c r="Z1116" i="1"/>
  <c r="A1117" i="1"/>
  <c r="B1117" i="1"/>
  <c r="C1117" i="1"/>
  <c r="D1117" i="1"/>
  <c r="E1117" i="1"/>
  <c r="F1117" i="1"/>
  <c r="G1117" i="1"/>
  <c r="I1117" i="1"/>
  <c r="J1117" i="1"/>
  <c r="K1117" i="1"/>
  <c r="L1117" i="1"/>
  <c r="M1117" i="1"/>
  <c r="N1117" i="1"/>
  <c r="O1117" i="1"/>
  <c r="P1117" i="1"/>
  <c r="Q1117" i="1"/>
  <c r="R1117" i="1"/>
  <c r="S1117" i="1"/>
  <c r="T1117" i="1"/>
  <c r="U1117" i="1"/>
  <c r="V1117" i="1"/>
  <c r="W1117" i="1"/>
  <c r="X1117" i="1"/>
  <c r="Y1117" i="1"/>
  <c r="Z1117" i="1"/>
  <c r="A1118" i="1"/>
  <c r="B1118" i="1"/>
  <c r="C1118" i="1"/>
  <c r="D1118" i="1"/>
  <c r="E1118" i="1"/>
  <c r="F1118" i="1"/>
  <c r="G1118" i="1"/>
  <c r="I1118" i="1"/>
  <c r="J1118" i="1"/>
  <c r="K1118" i="1"/>
  <c r="L1118" i="1"/>
  <c r="M1118" i="1"/>
  <c r="N1118" i="1"/>
  <c r="O1118" i="1"/>
  <c r="P1118" i="1"/>
  <c r="Q1118" i="1"/>
  <c r="R1118" i="1"/>
  <c r="S1118" i="1"/>
  <c r="T1118" i="1"/>
  <c r="U1118" i="1"/>
  <c r="V1118" i="1"/>
  <c r="W1118" i="1"/>
  <c r="X1118" i="1"/>
  <c r="Y1118" i="1"/>
  <c r="Z1118" i="1"/>
  <c r="A1119" i="1"/>
  <c r="B1119" i="1"/>
  <c r="C1119" i="1"/>
  <c r="D1119" i="1"/>
  <c r="E1119" i="1"/>
  <c r="F1119" i="1"/>
  <c r="G1119" i="1"/>
  <c r="I1119" i="1"/>
  <c r="J1119" i="1"/>
  <c r="K1119" i="1"/>
  <c r="L1119" i="1"/>
  <c r="M1119" i="1"/>
  <c r="N1119" i="1"/>
  <c r="O1119" i="1"/>
  <c r="P1119" i="1"/>
  <c r="Q1119" i="1"/>
  <c r="R1119" i="1"/>
  <c r="S1119" i="1"/>
  <c r="T1119" i="1"/>
  <c r="U1119" i="1"/>
  <c r="V1119" i="1"/>
  <c r="W1119" i="1"/>
  <c r="X1119" i="1"/>
  <c r="Y1119" i="1"/>
  <c r="Z1119" i="1"/>
  <c r="A1120" i="1"/>
  <c r="B1120" i="1"/>
  <c r="C1120" i="1"/>
  <c r="D1120" i="1"/>
  <c r="E1120" i="1"/>
  <c r="F1120" i="1"/>
  <c r="G1120" i="1"/>
  <c r="I1120" i="1"/>
  <c r="J1120" i="1"/>
  <c r="K1120" i="1"/>
  <c r="L1120" i="1"/>
  <c r="M1120" i="1"/>
  <c r="N1120" i="1"/>
  <c r="O1120" i="1"/>
  <c r="P1120" i="1"/>
  <c r="Q1120" i="1"/>
  <c r="R1120" i="1"/>
  <c r="S1120" i="1"/>
  <c r="T1120" i="1"/>
  <c r="U1120" i="1"/>
  <c r="V1120" i="1"/>
  <c r="W1120" i="1"/>
  <c r="X1120" i="1"/>
  <c r="Y1120" i="1"/>
  <c r="Z1120" i="1"/>
  <c r="A1121" i="1"/>
  <c r="B1121" i="1"/>
  <c r="C1121" i="1"/>
  <c r="D1121" i="1"/>
  <c r="E1121" i="1"/>
  <c r="F1121" i="1"/>
  <c r="G1121" i="1"/>
  <c r="I1121" i="1"/>
  <c r="J1121" i="1"/>
  <c r="K1121" i="1"/>
  <c r="L1121" i="1"/>
  <c r="M1121" i="1"/>
  <c r="N1121" i="1"/>
  <c r="O1121" i="1"/>
  <c r="P1121" i="1"/>
  <c r="Q1121" i="1"/>
  <c r="R1121" i="1"/>
  <c r="S1121" i="1"/>
  <c r="T1121" i="1"/>
  <c r="U1121" i="1"/>
  <c r="V1121" i="1"/>
  <c r="W1121" i="1"/>
  <c r="X1121" i="1"/>
  <c r="Y1121" i="1"/>
  <c r="Z1121" i="1"/>
  <c r="A1122" i="1"/>
  <c r="B1122" i="1"/>
  <c r="C1122" i="1"/>
  <c r="D1122" i="1"/>
  <c r="E1122" i="1"/>
  <c r="F1122" i="1"/>
  <c r="G1122" i="1"/>
  <c r="I1122" i="1"/>
  <c r="J1122" i="1"/>
  <c r="K1122" i="1"/>
  <c r="L1122" i="1"/>
  <c r="M1122" i="1"/>
  <c r="N1122" i="1"/>
  <c r="O1122" i="1"/>
  <c r="P1122" i="1"/>
  <c r="Q1122" i="1"/>
  <c r="R1122" i="1"/>
  <c r="S1122" i="1"/>
  <c r="T1122" i="1"/>
  <c r="U1122" i="1"/>
  <c r="V1122" i="1"/>
  <c r="W1122" i="1"/>
  <c r="X1122" i="1"/>
  <c r="Y1122" i="1"/>
  <c r="Z1122" i="1"/>
  <c r="A1123" i="1"/>
  <c r="B1123" i="1"/>
  <c r="C1123" i="1"/>
  <c r="D1123" i="1"/>
  <c r="E1123" i="1"/>
  <c r="F1123" i="1"/>
  <c r="G1123" i="1"/>
  <c r="I1123" i="1"/>
  <c r="J1123" i="1"/>
  <c r="K1123" i="1"/>
  <c r="L1123" i="1"/>
  <c r="M1123" i="1"/>
  <c r="N1123" i="1"/>
  <c r="O1123" i="1"/>
  <c r="P1123" i="1"/>
  <c r="Q1123" i="1"/>
  <c r="R1123" i="1"/>
  <c r="S1123" i="1"/>
  <c r="T1123" i="1"/>
  <c r="U1123" i="1"/>
  <c r="V1123" i="1"/>
  <c r="W1123" i="1"/>
  <c r="X1123" i="1"/>
  <c r="Y1123" i="1"/>
  <c r="Z1123" i="1"/>
  <c r="A1124" i="1"/>
  <c r="B1124" i="1"/>
  <c r="C1124" i="1"/>
  <c r="D1124" i="1"/>
  <c r="E1124" i="1"/>
  <c r="F1124" i="1"/>
  <c r="G1124" i="1"/>
  <c r="I1124" i="1"/>
  <c r="J1124" i="1"/>
  <c r="K1124" i="1"/>
  <c r="L1124" i="1"/>
  <c r="M1124" i="1"/>
  <c r="N1124" i="1"/>
  <c r="O1124" i="1"/>
  <c r="P1124" i="1"/>
  <c r="Q1124" i="1"/>
  <c r="R1124" i="1"/>
  <c r="S1124" i="1"/>
  <c r="T1124" i="1"/>
  <c r="U1124" i="1"/>
  <c r="V1124" i="1"/>
  <c r="W1124" i="1"/>
  <c r="X1124" i="1"/>
  <c r="Y1124" i="1"/>
  <c r="Z1124" i="1"/>
  <c r="A1125" i="1"/>
  <c r="B1125" i="1"/>
  <c r="C1125" i="1"/>
  <c r="D1125" i="1"/>
  <c r="E1125" i="1"/>
  <c r="F1125" i="1"/>
  <c r="G1125" i="1"/>
  <c r="I1125" i="1"/>
  <c r="J1125" i="1"/>
  <c r="K1125" i="1"/>
  <c r="L1125" i="1"/>
  <c r="M1125" i="1"/>
  <c r="N1125" i="1"/>
  <c r="O1125" i="1"/>
  <c r="P1125" i="1"/>
  <c r="Q1125" i="1"/>
  <c r="R1125" i="1"/>
  <c r="S1125" i="1"/>
  <c r="T1125" i="1"/>
  <c r="U1125" i="1"/>
  <c r="V1125" i="1"/>
  <c r="W1125" i="1"/>
  <c r="X1125" i="1"/>
  <c r="Y1125" i="1"/>
  <c r="Z1125" i="1"/>
  <c r="A1126" i="1"/>
  <c r="B1126" i="1"/>
  <c r="C1126" i="1"/>
  <c r="D1126" i="1"/>
  <c r="E1126" i="1"/>
  <c r="F1126" i="1"/>
  <c r="G1126" i="1"/>
  <c r="I1126" i="1"/>
  <c r="J1126" i="1"/>
  <c r="K1126" i="1"/>
  <c r="L1126" i="1"/>
  <c r="M1126" i="1"/>
  <c r="N1126" i="1"/>
  <c r="O1126" i="1"/>
  <c r="P1126" i="1"/>
  <c r="Q1126" i="1"/>
  <c r="R1126" i="1"/>
  <c r="S1126" i="1"/>
  <c r="T1126" i="1"/>
  <c r="U1126" i="1"/>
  <c r="V1126" i="1"/>
  <c r="W1126" i="1"/>
  <c r="X1126" i="1"/>
  <c r="Y1126" i="1"/>
  <c r="Z1126" i="1"/>
  <c r="A1127" i="1"/>
  <c r="B1127" i="1"/>
  <c r="C1127" i="1"/>
  <c r="D1127" i="1"/>
  <c r="E1127" i="1"/>
  <c r="F1127" i="1"/>
  <c r="G1127" i="1"/>
  <c r="I1127" i="1"/>
  <c r="J1127" i="1"/>
  <c r="K1127" i="1"/>
  <c r="L1127" i="1"/>
  <c r="M1127" i="1"/>
  <c r="N1127" i="1"/>
  <c r="O1127" i="1"/>
  <c r="P1127" i="1"/>
  <c r="Q1127" i="1"/>
  <c r="R1127" i="1"/>
  <c r="S1127" i="1"/>
  <c r="T1127" i="1"/>
  <c r="U1127" i="1"/>
  <c r="V1127" i="1"/>
  <c r="W1127" i="1"/>
  <c r="X1127" i="1"/>
  <c r="Y1127" i="1"/>
  <c r="Z1127" i="1"/>
  <c r="A1128" i="1"/>
  <c r="B1128" i="1"/>
  <c r="C1128" i="1"/>
  <c r="D1128" i="1"/>
  <c r="E1128" i="1"/>
  <c r="F1128" i="1"/>
  <c r="G1128" i="1"/>
  <c r="I1128" i="1"/>
  <c r="J1128" i="1"/>
  <c r="K1128" i="1"/>
  <c r="L1128" i="1"/>
  <c r="M1128" i="1"/>
  <c r="N1128" i="1"/>
  <c r="O1128" i="1"/>
  <c r="P1128" i="1"/>
  <c r="Q1128" i="1"/>
  <c r="R1128" i="1"/>
  <c r="S1128" i="1"/>
  <c r="T1128" i="1"/>
  <c r="U1128" i="1"/>
  <c r="V1128" i="1"/>
  <c r="W1128" i="1"/>
  <c r="X1128" i="1"/>
  <c r="Y1128" i="1"/>
  <c r="Z1128" i="1"/>
  <c r="A1129" i="1"/>
  <c r="B1129" i="1"/>
  <c r="C1129" i="1"/>
  <c r="D1129" i="1"/>
  <c r="E1129" i="1"/>
  <c r="F1129" i="1"/>
  <c r="G1129" i="1"/>
  <c r="I1129" i="1"/>
  <c r="J1129" i="1"/>
  <c r="K1129" i="1"/>
  <c r="L1129" i="1"/>
  <c r="M1129" i="1"/>
  <c r="N1129" i="1"/>
  <c r="O1129" i="1"/>
  <c r="P1129" i="1"/>
  <c r="Q1129" i="1"/>
  <c r="R1129" i="1"/>
  <c r="S1129" i="1"/>
  <c r="T1129" i="1"/>
  <c r="U1129" i="1"/>
  <c r="V1129" i="1"/>
  <c r="W1129" i="1"/>
  <c r="X1129" i="1"/>
  <c r="Y1129" i="1"/>
  <c r="Z1129" i="1"/>
  <c r="A1130" i="1"/>
  <c r="B1130" i="1"/>
  <c r="C1130" i="1"/>
  <c r="D1130" i="1"/>
  <c r="E1130" i="1"/>
  <c r="F1130" i="1"/>
  <c r="G1130" i="1"/>
  <c r="I1130" i="1"/>
  <c r="J1130" i="1"/>
  <c r="K1130" i="1"/>
  <c r="L1130" i="1"/>
  <c r="M1130" i="1"/>
  <c r="N1130" i="1"/>
  <c r="O1130" i="1"/>
  <c r="P1130" i="1"/>
  <c r="Q1130" i="1"/>
  <c r="R1130" i="1"/>
  <c r="S1130" i="1"/>
  <c r="T1130" i="1"/>
  <c r="U1130" i="1"/>
  <c r="V1130" i="1"/>
  <c r="W1130" i="1"/>
  <c r="X1130" i="1"/>
  <c r="Y1130" i="1"/>
  <c r="Z1130" i="1"/>
  <c r="A1131" i="1"/>
  <c r="B1131" i="1"/>
  <c r="C1131" i="1"/>
  <c r="D1131" i="1"/>
  <c r="E1131" i="1"/>
  <c r="F1131" i="1"/>
  <c r="G1131" i="1"/>
  <c r="I1131" i="1"/>
  <c r="J1131" i="1"/>
  <c r="K1131" i="1"/>
  <c r="L1131" i="1"/>
  <c r="M1131" i="1"/>
  <c r="N1131" i="1"/>
  <c r="O1131" i="1"/>
  <c r="P1131" i="1"/>
  <c r="Q1131" i="1"/>
  <c r="R1131" i="1"/>
  <c r="S1131" i="1"/>
  <c r="T1131" i="1"/>
  <c r="U1131" i="1"/>
  <c r="V1131" i="1"/>
  <c r="W1131" i="1"/>
  <c r="X1131" i="1"/>
  <c r="Y1131" i="1"/>
  <c r="Z1131" i="1"/>
  <c r="A1132" i="1"/>
  <c r="B1132" i="1"/>
  <c r="C1132" i="1"/>
  <c r="D1132" i="1"/>
  <c r="E1132" i="1"/>
  <c r="F1132" i="1"/>
  <c r="G1132" i="1"/>
  <c r="I1132" i="1"/>
  <c r="J1132" i="1"/>
  <c r="K1132" i="1"/>
  <c r="L1132" i="1"/>
  <c r="M1132" i="1"/>
  <c r="N1132" i="1"/>
  <c r="O1132" i="1"/>
  <c r="P1132" i="1"/>
  <c r="Q1132" i="1"/>
  <c r="R1132" i="1"/>
  <c r="S1132" i="1"/>
  <c r="T1132" i="1"/>
  <c r="U1132" i="1"/>
  <c r="V1132" i="1"/>
  <c r="W1132" i="1"/>
  <c r="X1132" i="1"/>
  <c r="Y1132" i="1"/>
  <c r="Z1132" i="1"/>
  <c r="A1133" i="1"/>
  <c r="B1133" i="1"/>
  <c r="C1133" i="1"/>
  <c r="D1133" i="1"/>
  <c r="E1133" i="1"/>
  <c r="F1133" i="1"/>
  <c r="G1133" i="1"/>
  <c r="I1133" i="1"/>
  <c r="J1133" i="1"/>
  <c r="K1133" i="1"/>
  <c r="L1133" i="1"/>
  <c r="M1133" i="1"/>
  <c r="N1133" i="1"/>
  <c r="O1133" i="1"/>
  <c r="P1133" i="1"/>
  <c r="Q1133" i="1"/>
  <c r="R1133" i="1"/>
  <c r="S1133" i="1"/>
  <c r="T1133" i="1"/>
  <c r="U1133" i="1"/>
  <c r="V1133" i="1"/>
  <c r="W1133" i="1"/>
  <c r="X1133" i="1"/>
  <c r="Y1133" i="1"/>
  <c r="Z1133" i="1"/>
  <c r="A1134" i="1"/>
  <c r="B1134" i="1"/>
  <c r="C1134" i="1"/>
  <c r="D1134" i="1"/>
  <c r="E1134" i="1"/>
  <c r="F1134" i="1"/>
  <c r="G1134" i="1"/>
  <c r="I1134" i="1"/>
  <c r="J1134" i="1"/>
  <c r="K1134" i="1"/>
  <c r="L1134" i="1"/>
  <c r="M1134" i="1"/>
  <c r="N1134" i="1"/>
  <c r="O1134" i="1"/>
  <c r="P1134" i="1"/>
  <c r="Q1134" i="1"/>
  <c r="R1134" i="1"/>
  <c r="S1134" i="1"/>
  <c r="T1134" i="1"/>
  <c r="U1134" i="1"/>
  <c r="V1134" i="1"/>
  <c r="W1134" i="1"/>
  <c r="X1134" i="1"/>
  <c r="Y1134" i="1"/>
  <c r="Z1134" i="1"/>
  <c r="A1135" i="1"/>
  <c r="B1135" i="1"/>
  <c r="C1135" i="1"/>
  <c r="D1135" i="1"/>
  <c r="E1135" i="1"/>
  <c r="F1135" i="1"/>
  <c r="G1135" i="1"/>
  <c r="I1135" i="1"/>
  <c r="J1135" i="1"/>
  <c r="K1135" i="1"/>
  <c r="L1135" i="1"/>
  <c r="M1135" i="1"/>
  <c r="N1135" i="1"/>
  <c r="O1135" i="1"/>
  <c r="P1135" i="1"/>
  <c r="Q1135" i="1"/>
  <c r="R1135" i="1"/>
  <c r="S1135" i="1"/>
  <c r="T1135" i="1"/>
  <c r="U1135" i="1"/>
  <c r="V1135" i="1"/>
  <c r="W1135" i="1"/>
  <c r="X1135" i="1"/>
  <c r="Y1135" i="1"/>
  <c r="Z1135" i="1"/>
  <c r="A1136" i="1"/>
  <c r="B1136" i="1"/>
  <c r="C1136" i="1"/>
  <c r="D1136" i="1"/>
  <c r="E1136" i="1"/>
  <c r="F1136" i="1"/>
  <c r="G1136" i="1"/>
  <c r="I1136" i="1"/>
  <c r="J1136" i="1"/>
  <c r="K1136" i="1"/>
  <c r="L1136" i="1"/>
  <c r="M1136" i="1"/>
  <c r="N1136" i="1"/>
  <c r="O1136" i="1"/>
  <c r="P1136" i="1"/>
  <c r="Q1136" i="1"/>
  <c r="R1136" i="1"/>
  <c r="S1136" i="1"/>
  <c r="T1136" i="1"/>
  <c r="U1136" i="1"/>
  <c r="V1136" i="1"/>
  <c r="W1136" i="1"/>
  <c r="X1136" i="1"/>
  <c r="Y1136" i="1"/>
  <c r="Z1136" i="1"/>
  <c r="A1137" i="1"/>
  <c r="B1137" i="1"/>
  <c r="C1137" i="1"/>
  <c r="D1137" i="1"/>
  <c r="E1137" i="1"/>
  <c r="F1137" i="1"/>
  <c r="G1137" i="1"/>
  <c r="I1137" i="1"/>
  <c r="J1137" i="1"/>
  <c r="K1137" i="1"/>
  <c r="L1137" i="1"/>
  <c r="M1137" i="1"/>
  <c r="N1137" i="1"/>
  <c r="O1137" i="1"/>
  <c r="P1137" i="1"/>
  <c r="Q1137" i="1"/>
  <c r="R1137" i="1"/>
  <c r="S1137" i="1"/>
  <c r="T1137" i="1"/>
  <c r="U1137" i="1"/>
  <c r="V1137" i="1"/>
  <c r="W1137" i="1"/>
  <c r="X1137" i="1"/>
  <c r="Y1137" i="1"/>
  <c r="Z1137" i="1"/>
  <c r="A1138" i="1"/>
  <c r="B1138" i="1"/>
  <c r="C1138" i="1"/>
  <c r="D1138" i="1"/>
  <c r="E1138" i="1"/>
  <c r="F1138" i="1"/>
  <c r="G1138" i="1"/>
  <c r="I1138" i="1"/>
  <c r="J1138" i="1"/>
  <c r="K1138" i="1"/>
  <c r="L1138" i="1"/>
  <c r="M1138" i="1"/>
  <c r="N1138" i="1"/>
  <c r="O1138" i="1"/>
  <c r="P1138" i="1"/>
  <c r="Q1138" i="1"/>
  <c r="R1138" i="1"/>
  <c r="S1138" i="1"/>
  <c r="T1138" i="1"/>
  <c r="U1138" i="1"/>
  <c r="V1138" i="1"/>
  <c r="W1138" i="1"/>
  <c r="X1138" i="1"/>
  <c r="Y1138" i="1"/>
  <c r="Z1138" i="1"/>
  <c r="A1139" i="1"/>
  <c r="B1139" i="1"/>
  <c r="C1139" i="1"/>
  <c r="D1139" i="1"/>
  <c r="E1139" i="1"/>
  <c r="F1139" i="1"/>
  <c r="G1139" i="1"/>
  <c r="I1139" i="1"/>
  <c r="J1139" i="1"/>
  <c r="K1139" i="1"/>
  <c r="L1139" i="1"/>
  <c r="M1139" i="1"/>
  <c r="N1139" i="1"/>
  <c r="O1139" i="1"/>
  <c r="P1139" i="1"/>
  <c r="Q1139" i="1"/>
  <c r="R1139" i="1"/>
  <c r="S1139" i="1"/>
  <c r="T1139" i="1"/>
  <c r="U1139" i="1"/>
  <c r="V1139" i="1"/>
  <c r="W1139" i="1"/>
  <c r="X1139" i="1"/>
  <c r="Y1139" i="1"/>
  <c r="Z1139" i="1"/>
  <c r="A1140" i="1"/>
  <c r="B1140" i="1"/>
  <c r="C1140" i="1"/>
  <c r="D1140" i="1"/>
  <c r="E1140" i="1"/>
  <c r="F1140" i="1"/>
  <c r="G1140" i="1"/>
  <c r="I1140" i="1"/>
  <c r="J1140" i="1"/>
  <c r="K1140" i="1"/>
  <c r="L1140" i="1"/>
  <c r="M1140" i="1"/>
  <c r="N1140" i="1"/>
  <c r="O1140" i="1"/>
  <c r="P1140" i="1"/>
  <c r="Q1140" i="1"/>
  <c r="R1140" i="1"/>
  <c r="S1140" i="1"/>
  <c r="T1140" i="1"/>
  <c r="U1140" i="1"/>
  <c r="V1140" i="1"/>
  <c r="W1140" i="1"/>
  <c r="X1140" i="1"/>
  <c r="Y1140" i="1"/>
  <c r="Z1140" i="1"/>
  <c r="A1141" i="1"/>
  <c r="B1141" i="1"/>
  <c r="C1141" i="1"/>
  <c r="D1141" i="1"/>
  <c r="E1141" i="1"/>
  <c r="F1141" i="1"/>
  <c r="G1141" i="1"/>
  <c r="I1141" i="1"/>
  <c r="J1141" i="1"/>
  <c r="K1141" i="1"/>
  <c r="L1141" i="1"/>
  <c r="M1141" i="1"/>
  <c r="N1141" i="1"/>
  <c r="O1141" i="1"/>
  <c r="P1141" i="1"/>
  <c r="Q1141" i="1"/>
  <c r="R1141" i="1"/>
  <c r="S1141" i="1"/>
  <c r="T1141" i="1"/>
  <c r="U1141" i="1"/>
  <c r="V1141" i="1"/>
  <c r="W1141" i="1"/>
  <c r="X1141" i="1"/>
  <c r="Y1141" i="1"/>
  <c r="Z1141" i="1"/>
  <c r="A1142" i="1"/>
  <c r="B1142" i="1"/>
  <c r="C1142" i="1"/>
  <c r="D1142" i="1"/>
  <c r="E1142" i="1"/>
  <c r="F1142" i="1"/>
  <c r="G1142" i="1"/>
  <c r="I1142" i="1"/>
  <c r="J1142" i="1"/>
  <c r="K1142" i="1"/>
  <c r="L1142" i="1"/>
  <c r="M1142" i="1"/>
  <c r="N1142" i="1"/>
  <c r="O1142" i="1"/>
  <c r="P1142" i="1"/>
  <c r="Q1142" i="1"/>
  <c r="R1142" i="1"/>
  <c r="S1142" i="1"/>
  <c r="T1142" i="1"/>
  <c r="U1142" i="1"/>
  <c r="V1142" i="1"/>
  <c r="W1142" i="1"/>
  <c r="X1142" i="1"/>
  <c r="Y1142" i="1"/>
  <c r="Z1142" i="1"/>
  <c r="A1143" i="1"/>
  <c r="B1143" i="1"/>
  <c r="C1143" i="1"/>
  <c r="D1143" i="1"/>
  <c r="E1143" i="1"/>
  <c r="F1143" i="1"/>
  <c r="G1143" i="1"/>
  <c r="I1143" i="1"/>
  <c r="J1143" i="1"/>
  <c r="K1143" i="1"/>
  <c r="L1143" i="1"/>
  <c r="M1143" i="1"/>
  <c r="N1143" i="1"/>
  <c r="O1143" i="1"/>
  <c r="P1143" i="1"/>
  <c r="Q1143" i="1"/>
  <c r="R1143" i="1"/>
  <c r="S1143" i="1"/>
  <c r="T1143" i="1"/>
  <c r="U1143" i="1"/>
  <c r="V1143" i="1"/>
  <c r="W1143" i="1"/>
  <c r="X1143" i="1"/>
  <c r="Y1143" i="1"/>
  <c r="Z1143" i="1"/>
  <c r="A1144" i="1"/>
  <c r="B1144" i="1"/>
  <c r="C1144" i="1"/>
  <c r="D1144" i="1"/>
  <c r="E1144" i="1"/>
  <c r="F1144" i="1"/>
  <c r="G1144" i="1"/>
  <c r="I1144" i="1"/>
  <c r="J1144" i="1"/>
  <c r="K1144" i="1"/>
  <c r="L1144" i="1"/>
  <c r="M1144" i="1"/>
  <c r="N1144" i="1"/>
  <c r="O1144" i="1"/>
  <c r="P1144" i="1"/>
  <c r="Q1144" i="1"/>
  <c r="R1144" i="1"/>
  <c r="S1144" i="1"/>
  <c r="T1144" i="1"/>
  <c r="U1144" i="1"/>
  <c r="V1144" i="1"/>
  <c r="W1144" i="1"/>
  <c r="X1144" i="1"/>
  <c r="Y1144" i="1"/>
  <c r="Z1144" i="1"/>
  <c r="A1145" i="1"/>
  <c r="B1145" i="1"/>
  <c r="C1145" i="1"/>
  <c r="D1145" i="1"/>
  <c r="E1145" i="1"/>
  <c r="F1145" i="1"/>
  <c r="G1145" i="1"/>
  <c r="I1145" i="1"/>
  <c r="J1145" i="1"/>
  <c r="K1145" i="1"/>
  <c r="L1145" i="1"/>
  <c r="M1145" i="1"/>
  <c r="N1145" i="1"/>
  <c r="O1145" i="1"/>
  <c r="P1145" i="1"/>
  <c r="Q1145" i="1"/>
  <c r="R1145" i="1"/>
  <c r="S1145" i="1"/>
  <c r="T1145" i="1"/>
  <c r="U1145" i="1"/>
  <c r="V1145" i="1"/>
  <c r="W1145" i="1"/>
  <c r="X1145" i="1"/>
  <c r="Y1145" i="1"/>
  <c r="Z1145" i="1"/>
  <c r="A1146" i="1"/>
  <c r="B1146" i="1"/>
  <c r="C1146" i="1"/>
  <c r="D1146" i="1"/>
  <c r="E1146" i="1"/>
  <c r="F1146" i="1"/>
  <c r="G1146" i="1"/>
  <c r="I1146" i="1"/>
  <c r="J1146" i="1"/>
  <c r="K1146" i="1"/>
  <c r="L1146" i="1"/>
  <c r="M1146" i="1"/>
  <c r="N1146" i="1"/>
  <c r="O1146" i="1"/>
  <c r="P1146" i="1"/>
  <c r="Q1146" i="1"/>
  <c r="R1146" i="1"/>
  <c r="S1146" i="1"/>
  <c r="T1146" i="1"/>
  <c r="U1146" i="1"/>
  <c r="V1146" i="1"/>
  <c r="W1146" i="1"/>
  <c r="X1146" i="1"/>
  <c r="Y1146" i="1"/>
  <c r="Z1146" i="1"/>
  <c r="A1147" i="1"/>
  <c r="B1147" i="1"/>
  <c r="C1147" i="1"/>
  <c r="D1147" i="1"/>
  <c r="E1147" i="1"/>
  <c r="F1147" i="1"/>
  <c r="G1147" i="1"/>
  <c r="I1147" i="1"/>
  <c r="J1147" i="1"/>
  <c r="K1147" i="1"/>
  <c r="L1147" i="1"/>
  <c r="M1147" i="1"/>
  <c r="N1147" i="1"/>
  <c r="O1147" i="1"/>
  <c r="P1147" i="1"/>
  <c r="Q1147" i="1"/>
  <c r="R1147" i="1"/>
  <c r="S1147" i="1"/>
  <c r="T1147" i="1"/>
  <c r="U1147" i="1"/>
  <c r="V1147" i="1"/>
  <c r="W1147" i="1"/>
  <c r="X1147" i="1"/>
  <c r="Y1147" i="1"/>
  <c r="Z1147" i="1"/>
  <c r="A1148" i="1"/>
  <c r="B1148" i="1"/>
  <c r="C1148" i="1"/>
  <c r="D1148" i="1"/>
  <c r="E1148" i="1"/>
  <c r="F1148" i="1"/>
  <c r="G1148" i="1"/>
  <c r="I1148" i="1"/>
  <c r="J1148" i="1"/>
  <c r="K1148" i="1"/>
  <c r="L1148" i="1"/>
  <c r="M1148" i="1"/>
  <c r="N1148" i="1"/>
  <c r="O1148" i="1"/>
  <c r="P1148" i="1"/>
  <c r="Q1148" i="1"/>
  <c r="R1148" i="1"/>
  <c r="S1148" i="1"/>
  <c r="T1148" i="1"/>
  <c r="U1148" i="1"/>
  <c r="V1148" i="1"/>
  <c r="W1148" i="1"/>
  <c r="X1148" i="1"/>
  <c r="Y1148" i="1"/>
  <c r="Z1148" i="1"/>
  <c r="A1149" i="1"/>
  <c r="B1149" i="1"/>
  <c r="C1149" i="1"/>
  <c r="D1149" i="1"/>
  <c r="E1149" i="1"/>
  <c r="F1149" i="1"/>
  <c r="G1149" i="1"/>
  <c r="I1149" i="1"/>
  <c r="J1149" i="1"/>
  <c r="K1149" i="1"/>
  <c r="L1149" i="1"/>
  <c r="M1149" i="1"/>
  <c r="N1149" i="1"/>
  <c r="O1149" i="1"/>
  <c r="P1149" i="1"/>
  <c r="Q1149" i="1"/>
  <c r="R1149" i="1"/>
  <c r="S1149" i="1"/>
  <c r="T1149" i="1"/>
  <c r="U1149" i="1"/>
  <c r="V1149" i="1"/>
  <c r="W1149" i="1"/>
  <c r="X1149" i="1"/>
  <c r="Y1149" i="1"/>
  <c r="Z1149" i="1"/>
  <c r="A1150" i="1"/>
  <c r="B1150" i="1"/>
  <c r="C1150" i="1"/>
  <c r="D1150" i="1"/>
  <c r="E1150" i="1"/>
  <c r="F1150" i="1"/>
  <c r="G1150" i="1"/>
  <c r="I1150" i="1"/>
  <c r="J1150" i="1"/>
  <c r="K1150" i="1"/>
  <c r="L1150" i="1"/>
  <c r="M1150" i="1"/>
  <c r="N1150" i="1"/>
  <c r="O1150" i="1"/>
  <c r="P1150" i="1"/>
  <c r="Q1150" i="1"/>
  <c r="R1150" i="1"/>
  <c r="S1150" i="1"/>
  <c r="T1150" i="1"/>
  <c r="U1150" i="1"/>
  <c r="V1150" i="1"/>
  <c r="W1150" i="1"/>
  <c r="X1150" i="1"/>
  <c r="Y1150" i="1"/>
  <c r="Z1150" i="1"/>
  <c r="A1151" i="1"/>
  <c r="B1151" i="1"/>
  <c r="C1151" i="1"/>
  <c r="D1151" i="1"/>
  <c r="E1151" i="1"/>
  <c r="F1151" i="1"/>
  <c r="G1151" i="1"/>
  <c r="I1151" i="1"/>
  <c r="J1151" i="1"/>
  <c r="K1151" i="1"/>
  <c r="L1151" i="1"/>
  <c r="M1151" i="1"/>
  <c r="N1151" i="1"/>
  <c r="O1151" i="1"/>
  <c r="P1151" i="1"/>
  <c r="Q1151" i="1"/>
  <c r="R1151" i="1"/>
  <c r="S1151" i="1"/>
  <c r="T1151" i="1"/>
  <c r="U1151" i="1"/>
  <c r="V1151" i="1"/>
  <c r="W1151" i="1"/>
  <c r="X1151" i="1"/>
  <c r="Y1151" i="1"/>
  <c r="Z1151" i="1"/>
  <c r="A1152" i="1"/>
  <c r="B1152" i="1"/>
  <c r="C1152" i="1"/>
  <c r="D1152" i="1"/>
  <c r="E1152" i="1"/>
  <c r="F1152" i="1"/>
  <c r="G1152" i="1"/>
  <c r="I1152" i="1"/>
  <c r="J1152" i="1"/>
  <c r="K1152" i="1"/>
  <c r="L1152" i="1"/>
  <c r="M1152" i="1"/>
  <c r="N1152" i="1"/>
  <c r="O1152" i="1"/>
  <c r="P1152" i="1"/>
  <c r="Q1152" i="1"/>
  <c r="R1152" i="1"/>
  <c r="S1152" i="1"/>
  <c r="T1152" i="1"/>
  <c r="U1152" i="1"/>
  <c r="V1152" i="1"/>
  <c r="W1152" i="1"/>
  <c r="X1152" i="1"/>
  <c r="Y1152" i="1"/>
  <c r="Z1152" i="1"/>
  <c r="A1153" i="1"/>
  <c r="B1153" i="1"/>
  <c r="C1153" i="1"/>
  <c r="D1153" i="1"/>
  <c r="E1153" i="1"/>
  <c r="F1153" i="1"/>
  <c r="G1153" i="1"/>
  <c r="I1153" i="1"/>
  <c r="J1153" i="1"/>
  <c r="K1153" i="1"/>
  <c r="L1153" i="1"/>
  <c r="M1153" i="1"/>
  <c r="N1153" i="1"/>
  <c r="O1153" i="1"/>
  <c r="P1153" i="1"/>
  <c r="Q1153" i="1"/>
  <c r="R1153" i="1"/>
  <c r="S1153" i="1"/>
  <c r="T1153" i="1"/>
  <c r="U1153" i="1"/>
  <c r="V1153" i="1"/>
  <c r="W1153" i="1"/>
  <c r="X1153" i="1"/>
  <c r="Y1153" i="1"/>
  <c r="Z1153" i="1"/>
  <c r="A1154" i="1"/>
  <c r="B1154" i="1"/>
  <c r="C1154" i="1"/>
  <c r="D1154" i="1"/>
  <c r="E1154" i="1"/>
  <c r="F1154" i="1"/>
  <c r="G1154" i="1"/>
  <c r="I1154" i="1"/>
  <c r="J1154" i="1"/>
  <c r="K1154" i="1"/>
  <c r="L1154" i="1"/>
  <c r="M1154" i="1"/>
  <c r="N1154" i="1"/>
  <c r="O1154" i="1"/>
  <c r="P1154" i="1"/>
  <c r="Q1154" i="1"/>
  <c r="R1154" i="1"/>
  <c r="S1154" i="1"/>
  <c r="T1154" i="1"/>
  <c r="U1154" i="1"/>
  <c r="V1154" i="1"/>
  <c r="W1154" i="1"/>
  <c r="X1154" i="1"/>
  <c r="Y1154" i="1"/>
  <c r="Z1154" i="1"/>
  <c r="A1155" i="1"/>
  <c r="B1155" i="1"/>
  <c r="C1155" i="1"/>
  <c r="D1155" i="1"/>
  <c r="E1155" i="1"/>
  <c r="F1155" i="1"/>
  <c r="G1155" i="1"/>
  <c r="I1155" i="1"/>
  <c r="J1155" i="1"/>
  <c r="K1155" i="1"/>
  <c r="L1155" i="1"/>
  <c r="M1155" i="1"/>
  <c r="N1155" i="1"/>
  <c r="O1155" i="1"/>
  <c r="P1155" i="1"/>
  <c r="Q1155" i="1"/>
  <c r="R1155" i="1"/>
  <c r="S1155" i="1"/>
  <c r="T1155" i="1"/>
  <c r="U1155" i="1"/>
  <c r="V1155" i="1"/>
  <c r="W1155" i="1"/>
  <c r="X1155" i="1"/>
  <c r="Y1155" i="1"/>
  <c r="Z1155" i="1"/>
  <c r="A1156" i="1"/>
  <c r="B1156" i="1"/>
  <c r="C1156" i="1"/>
  <c r="D1156" i="1"/>
  <c r="E1156" i="1"/>
  <c r="F1156" i="1"/>
  <c r="G1156" i="1"/>
  <c r="I1156" i="1"/>
  <c r="J1156" i="1"/>
  <c r="K1156" i="1"/>
  <c r="L1156" i="1"/>
  <c r="M1156" i="1"/>
  <c r="N1156" i="1"/>
  <c r="O1156" i="1"/>
  <c r="P1156" i="1"/>
  <c r="Q1156" i="1"/>
  <c r="R1156" i="1"/>
  <c r="S1156" i="1"/>
  <c r="T1156" i="1"/>
  <c r="U1156" i="1"/>
  <c r="V1156" i="1"/>
  <c r="W1156" i="1"/>
  <c r="X1156" i="1"/>
  <c r="Y1156" i="1"/>
  <c r="Z1156" i="1"/>
  <c r="A1157" i="1"/>
  <c r="B1157" i="1"/>
  <c r="C1157" i="1"/>
  <c r="D1157" i="1"/>
  <c r="E1157" i="1"/>
  <c r="F1157" i="1"/>
  <c r="G1157" i="1"/>
  <c r="I1157" i="1"/>
  <c r="J1157" i="1"/>
  <c r="K1157" i="1"/>
  <c r="L1157" i="1"/>
  <c r="M1157" i="1"/>
  <c r="N1157" i="1"/>
  <c r="O1157" i="1"/>
  <c r="P1157" i="1"/>
  <c r="Q1157" i="1"/>
  <c r="R1157" i="1"/>
  <c r="S1157" i="1"/>
  <c r="T1157" i="1"/>
  <c r="U1157" i="1"/>
  <c r="V1157" i="1"/>
  <c r="W1157" i="1"/>
  <c r="X1157" i="1"/>
  <c r="Y1157" i="1"/>
  <c r="Z1157" i="1"/>
  <c r="A1158" i="1"/>
  <c r="B1158" i="1"/>
  <c r="C1158" i="1"/>
  <c r="D1158" i="1"/>
  <c r="E1158" i="1"/>
  <c r="F1158" i="1"/>
  <c r="G1158" i="1"/>
  <c r="I1158" i="1"/>
  <c r="J1158" i="1"/>
  <c r="K1158" i="1"/>
  <c r="L1158" i="1"/>
  <c r="M1158" i="1"/>
  <c r="N1158" i="1"/>
  <c r="O1158" i="1"/>
  <c r="P1158" i="1"/>
  <c r="Q1158" i="1"/>
  <c r="R1158" i="1"/>
  <c r="S1158" i="1"/>
  <c r="T1158" i="1"/>
  <c r="U1158" i="1"/>
  <c r="V1158" i="1"/>
  <c r="W1158" i="1"/>
  <c r="X1158" i="1"/>
  <c r="Y1158" i="1"/>
  <c r="Z1158" i="1"/>
  <c r="A1159" i="1"/>
  <c r="B1159" i="1"/>
  <c r="C1159" i="1"/>
  <c r="D1159" i="1"/>
  <c r="E1159" i="1"/>
  <c r="F1159" i="1"/>
  <c r="G1159" i="1"/>
  <c r="I1159" i="1"/>
  <c r="J1159" i="1"/>
  <c r="K1159" i="1"/>
  <c r="L1159" i="1"/>
  <c r="M1159" i="1"/>
  <c r="N1159" i="1"/>
  <c r="O1159" i="1"/>
  <c r="P1159" i="1"/>
  <c r="Q1159" i="1"/>
  <c r="R1159" i="1"/>
  <c r="S1159" i="1"/>
  <c r="T1159" i="1"/>
  <c r="U1159" i="1"/>
  <c r="V1159" i="1"/>
  <c r="W1159" i="1"/>
  <c r="X1159" i="1"/>
  <c r="Y1159" i="1"/>
  <c r="Z1159" i="1"/>
  <c r="A1160" i="1"/>
  <c r="B1160" i="1"/>
  <c r="C1160" i="1"/>
  <c r="D1160" i="1"/>
  <c r="E1160" i="1"/>
  <c r="F1160" i="1"/>
  <c r="G1160" i="1"/>
  <c r="I1160" i="1"/>
  <c r="J1160" i="1"/>
  <c r="K1160" i="1"/>
  <c r="L1160" i="1"/>
  <c r="M1160" i="1"/>
  <c r="N1160" i="1"/>
  <c r="O1160" i="1"/>
  <c r="P1160" i="1"/>
  <c r="Q1160" i="1"/>
  <c r="R1160" i="1"/>
  <c r="S1160" i="1"/>
  <c r="T1160" i="1"/>
  <c r="U1160" i="1"/>
  <c r="V1160" i="1"/>
  <c r="W1160" i="1"/>
  <c r="X1160" i="1"/>
  <c r="Y1160" i="1"/>
  <c r="Z1160" i="1"/>
  <c r="A1161" i="1"/>
  <c r="B1161" i="1"/>
  <c r="C1161" i="1"/>
  <c r="D1161" i="1"/>
  <c r="E1161" i="1"/>
  <c r="F1161" i="1"/>
  <c r="G1161" i="1"/>
  <c r="I1161" i="1"/>
  <c r="J1161" i="1"/>
  <c r="K1161" i="1"/>
  <c r="L1161" i="1"/>
  <c r="M1161" i="1"/>
  <c r="N1161" i="1"/>
  <c r="O1161" i="1"/>
  <c r="P1161" i="1"/>
  <c r="Q1161" i="1"/>
  <c r="R1161" i="1"/>
  <c r="S1161" i="1"/>
  <c r="T1161" i="1"/>
  <c r="U1161" i="1"/>
  <c r="V1161" i="1"/>
  <c r="W1161" i="1"/>
  <c r="X1161" i="1"/>
  <c r="Y1161" i="1"/>
  <c r="Z1161" i="1"/>
  <c r="A1162" i="1"/>
  <c r="B1162" i="1"/>
  <c r="C1162" i="1"/>
  <c r="D1162" i="1"/>
  <c r="E1162" i="1"/>
  <c r="F1162" i="1"/>
  <c r="G1162" i="1"/>
  <c r="I1162" i="1"/>
  <c r="J1162" i="1"/>
  <c r="K1162" i="1"/>
  <c r="L1162" i="1"/>
  <c r="M1162" i="1"/>
  <c r="N1162" i="1"/>
  <c r="O1162" i="1"/>
  <c r="P1162" i="1"/>
  <c r="Q1162" i="1"/>
  <c r="R1162" i="1"/>
  <c r="S1162" i="1"/>
  <c r="T1162" i="1"/>
  <c r="U1162" i="1"/>
  <c r="V1162" i="1"/>
  <c r="W1162" i="1"/>
  <c r="X1162" i="1"/>
  <c r="Y1162" i="1"/>
  <c r="Z1162" i="1"/>
  <c r="A1163" i="1"/>
  <c r="B1163" i="1"/>
  <c r="C1163" i="1"/>
  <c r="D1163" i="1"/>
  <c r="E1163" i="1"/>
  <c r="F1163" i="1"/>
  <c r="G1163" i="1"/>
  <c r="I1163" i="1"/>
  <c r="J1163" i="1"/>
  <c r="K1163" i="1"/>
  <c r="L1163" i="1"/>
  <c r="M1163" i="1"/>
  <c r="N1163" i="1"/>
  <c r="O1163" i="1"/>
  <c r="P1163" i="1"/>
  <c r="Q1163" i="1"/>
  <c r="R1163" i="1"/>
  <c r="S1163" i="1"/>
  <c r="T1163" i="1"/>
  <c r="U1163" i="1"/>
  <c r="V1163" i="1"/>
  <c r="W1163" i="1"/>
  <c r="X1163" i="1"/>
  <c r="Y1163" i="1"/>
  <c r="Z1163" i="1"/>
  <c r="A1164" i="1"/>
  <c r="B1164" i="1"/>
  <c r="C1164" i="1"/>
  <c r="D1164" i="1"/>
  <c r="E1164" i="1"/>
  <c r="F1164" i="1"/>
  <c r="G1164" i="1"/>
  <c r="I1164" i="1"/>
  <c r="J1164" i="1"/>
  <c r="K1164" i="1"/>
  <c r="L1164" i="1"/>
  <c r="M1164" i="1"/>
  <c r="N1164" i="1"/>
  <c r="O1164" i="1"/>
  <c r="P1164" i="1"/>
  <c r="Q1164" i="1"/>
  <c r="R1164" i="1"/>
  <c r="S1164" i="1"/>
  <c r="T1164" i="1"/>
  <c r="U1164" i="1"/>
  <c r="V1164" i="1"/>
  <c r="W1164" i="1"/>
  <c r="X1164" i="1"/>
  <c r="Y1164" i="1"/>
  <c r="Z1164" i="1"/>
  <c r="A1165" i="1"/>
  <c r="B1165" i="1"/>
  <c r="C1165" i="1"/>
  <c r="D1165" i="1"/>
  <c r="E1165" i="1"/>
  <c r="F1165" i="1"/>
  <c r="G1165" i="1"/>
  <c r="I1165" i="1"/>
  <c r="J1165" i="1"/>
  <c r="K1165" i="1"/>
  <c r="L1165" i="1"/>
  <c r="M1165" i="1"/>
  <c r="N1165" i="1"/>
  <c r="O1165" i="1"/>
  <c r="P1165" i="1"/>
  <c r="Q1165" i="1"/>
  <c r="R1165" i="1"/>
  <c r="S1165" i="1"/>
  <c r="T1165" i="1"/>
  <c r="U1165" i="1"/>
  <c r="V1165" i="1"/>
  <c r="W1165" i="1"/>
  <c r="X1165" i="1"/>
  <c r="Y1165" i="1"/>
  <c r="Z1165" i="1"/>
  <c r="A1166" i="1"/>
  <c r="B1166" i="1"/>
  <c r="C1166" i="1"/>
  <c r="D1166" i="1"/>
  <c r="E1166" i="1"/>
  <c r="F1166" i="1"/>
  <c r="G1166" i="1"/>
  <c r="I1166" i="1"/>
  <c r="J1166" i="1"/>
  <c r="K1166" i="1"/>
  <c r="L1166" i="1"/>
  <c r="M1166" i="1"/>
  <c r="N1166" i="1"/>
  <c r="O1166" i="1"/>
  <c r="P1166" i="1"/>
  <c r="Q1166" i="1"/>
  <c r="R1166" i="1"/>
  <c r="S1166" i="1"/>
  <c r="T1166" i="1"/>
  <c r="U1166" i="1"/>
  <c r="V1166" i="1"/>
  <c r="W1166" i="1"/>
  <c r="X1166" i="1"/>
  <c r="Y1166" i="1"/>
  <c r="Z1166" i="1"/>
  <c r="A1167" i="1"/>
  <c r="B1167" i="1"/>
  <c r="C1167" i="1"/>
  <c r="D1167" i="1"/>
  <c r="E1167" i="1"/>
  <c r="F1167" i="1"/>
  <c r="G1167" i="1"/>
  <c r="I1167" i="1"/>
  <c r="J1167" i="1"/>
  <c r="K1167" i="1"/>
  <c r="L1167" i="1"/>
  <c r="M1167" i="1"/>
  <c r="N1167" i="1"/>
  <c r="O1167" i="1"/>
  <c r="P1167" i="1"/>
  <c r="Q1167" i="1"/>
  <c r="R1167" i="1"/>
  <c r="S1167" i="1"/>
  <c r="T1167" i="1"/>
  <c r="U1167" i="1"/>
  <c r="V1167" i="1"/>
  <c r="W1167" i="1"/>
  <c r="X1167" i="1"/>
  <c r="Y1167" i="1"/>
  <c r="Z1167" i="1"/>
  <c r="A1168" i="1"/>
  <c r="B1168" i="1"/>
  <c r="C1168" i="1"/>
  <c r="D1168" i="1"/>
  <c r="E1168" i="1"/>
  <c r="F1168" i="1"/>
  <c r="G1168" i="1"/>
  <c r="I1168" i="1"/>
  <c r="J1168" i="1"/>
  <c r="K1168" i="1"/>
  <c r="L1168" i="1"/>
  <c r="M1168" i="1"/>
  <c r="N1168" i="1"/>
  <c r="O1168" i="1"/>
  <c r="P1168" i="1"/>
  <c r="Q1168" i="1"/>
  <c r="R1168" i="1"/>
  <c r="S1168" i="1"/>
  <c r="T1168" i="1"/>
  <c r="U1168" i="1"/>
  <c r="V1168" i="1"/>
  <c r="W1168" i="1"/>
  <c r="X1168" i="1"/>
  <c r="Y1168" i="1"/>
  <c r="Z1168" i="1"/>
  <c r="A1169" i="1"/>
  <c r="B1169" i="1"/>
  <c r="C1169" i="1"/>
  <c r="D1169" i="1"/>
  <c r="E1169" i="1"/>
  <c r="F1169" i="1"/>
  <c r="G1169" i="1"/>
  <c r="I1169" i="1"/>
  <c r="J1169" i="1"/>
  <c r="K1169" i="1"/>
  <c r="L1169" i="1"/>
  <c r="M1169" i="1"/>
  <c r="N1169" i="1"/>
  <c r="O1169" i="1"/>
  <c r="P1169" i="1"/>
  <c r="Q1169" i="1"/>
  <c r="R1169" i="1"/>
  <c r="S1169" i="1"/>
  <c r="T1169" i="1"/>
  <c r="U1169" i="1"/>
  <c r="V1169" i="1"/>
  <c r="W1169" i="1"/>
  <c r="X1169" i="1"/>
  <c r="Y1169" i="1"/>
  <c r="Z1169" i="1"/>
  <c r="A1170" i="1"/>
  <c r="B1170" i="1"/>
  <c r="C1170" i="1"/>
  <c r="D1170" i="1"/>
  <c r="E1170" i="1"/>
  <c r="F1170" i="1"/>
  <c r="G1170" i="1"/>
  <c r="I1170" i="1"/>
  <c r="J1170" i="1"/>
  <c r="K1170" i="1"/>
  <c r="L1170" i="1"/>
  <c r="M1170" i="1"/>
  <c r="N1170" i="1"/>
  <c r="O1170" i="1"/>
  <c r="P1170" i="1"/>
  <c r="Q1170" i="1"/>
  <c r="R1170" i="1"/>
  <c r="S1170" i="1"/>
  <c r="T1170" i="1"/>
  <c r="U1170" i="1"/>
  <c r="V1170" i="1"/>
  <c r="W1170" i="1"/>
  <c r="X1170" i="1"/>
  <c r="Y1170" i="1"/>
  <c r="Z1170" i="1"/>
  <c r="A1171" i="1"/>
  <c r="B1171" i="1"/>
  <c r="C1171" i="1"/>
  <c r="D1171" i="1"/>
  <c r="E1171" i="1"/>
  <c r="F1171" i="1"/>
  <c r="G1171" i="1"/>
  <c r="I1171" i="1"/>
  <c r="J1171" i="1"/>
  <c r="K1171" i="1"/>
  <c r="L1171" i="1"/>
  <c r="M1171" i="1"/>
  <c r="N1171" i="1"/>
  <c r="O1171" i="1"/>
  <c r="P1171" i="1"/>
  <c r="Q1171" i="1"/>
  <c r="R1171" i="1"/>
  <c r="S1171" i="1"/>
  <c r="T1171" i="1"/>
  <c r="U1171" i="1"/>
  <c r="V1171" i="1"/>
  <c r="W1171" i="1"/>
  <c r="X1171" i="1"/>
  <c r="Y1171" i="1"/>
  <c r="Z1171" i="1"/>
  <c r="A1172" i="1"/>
  <c r="B1172" i="1"/>
  <c r="C1172" i="1"/>
  <c r="D1172" i="1"/>
  <c r="E1172" i="1"/>
  <c r="F1172" i="1"/>
  <c r="G1172" i="1"/>
  <c r="I1172" i="1"/>
  <c r="J1172" i="1"/>
  <c r="K1172" i="1"/>
  <c r="L1172" i="1"/>
  <c r="M1172" i="1"/>
  <c r="N1172" i="1"/>
  <c r="O1172" i="1"/>
  <c r="P1172" i="1"/>
  <c r="Q1172" i="1"/>
  <c r="R1172" i="1"/>
  <c r="S1172" i="1"/>
  <c r="T1172" i="1"/>
  <c r="U1172" i="1"/>
  <c r="V1172" i="1"/>
  <c r="W1172" i="1"/>
  <c r="X1172" i="1"/>
  <c r="Y1172" i="1"/>
  <c r="Z1172" i="1"/>
  <c r="A1173" i="1"/>
  <c r="B1173" i="1"/>
  <c r="C1173" i="1"/>
  <c r="D1173" i="1"/>
  <c r="E1173" i="1"/>
  <c r="F1173" i="1"/>
  <c r="G1173" i="1"/>
  <c r="I1173" i="1"/>
  <c r="J1173" i="1"/>
  <c r="K1173" i="1"/>
  <c r="L1173" i="1"/>
  <c r="M1173" i="1"/>
  <c r="N1173" i="1"/>
  <c r="O1173" i="1"/>
  <c r="P1173" i="1"/>
  <c r="Q1173" i="1"/>
  <c r="R1173" i="1"/>
  <c r="S1173" i="1"/>
  <c r="T1173" i="1"/>
  <c r="U1173" i="1"/>
  <c r="V1173" i="1"/>
  <c r="W1173" i="1"/>
  <c r="X1173" i="1"/>
  <c r="Y1173" i="1"/>
  <c r="Z1173" i="1"/>
  <c r="A1174" i="1"/>
  <c r="B1174" i="1"/>
  <c r="C1174" i="1"/>
  <c r="D1174" i="1"/>
  <c r="E1174" i="1"/>
  <c r="F1174" i="1"/>
  <c r="G1174" i="1"/>
  <c r="I1174" i="1"/>
  <c r="J1174" i="1"/>
  <c r="K1174" i="1"/>
  <c r="L1174" i="1"/>
  <c r="M1174" i="1"/>
  <c r="N1174" i="1"/>
  <c r="O1174" i="1"/>
  <c r="P1174" i="1"/>
  <c r="Q1174" i="1"/>
  <c r="R1174" i="1"/>
  <c r="S1174" i="1"/>
  <c r="T1174" i="1"/>
  <c r="U1174" i="1"/>
  <c r="V1174" i="1"/>
  <c r="W1174" i="1"/>
  <c r="X1174" i="1"/>
  <c r="Y1174" i="1"/>
  <c r="Z1174" i="1"/>
  <c r="A1175" i="1"/>
  <c r="B1175" i="1"/>
  <c r="C1175" i="1"/>
  <c r="D1175" i="1"/>
  <c r="E1175" i="1"/>
  <c r="F1175" i="1"/>
  <c r="G1175" i="1"/>
  <c r="I1175" i="1"/>
  <c r="J1175" i="1"/>
  <c r="K1175" i="1"/>
  <c r="L1175" i="1"/>
  <c r="M1175" i="1"/>
  <c r="N1175" i="1"/>
  <c r="O1175" i="1"/>
  <c r="P1175" i="1"/>
  <c r="Q1175" i="1"/>
  <c r="R1175" i="1"/>
  <c r="S1175" i="1"/>
  <c r="T1175" i="1"/>
  <c r="U1175" i="1"/>
  <c r="V1175" i="1"/>
  <c r="W1175" i="1"/>
  <c r="X1175" i="1"/>
  <c r="Y1175" i="1"/>
  <c r="Z1175" i="1"/>
  <c r="A1176" i="1"/>
  <c r="B1176" i="1"/>
  <c r="C1176" i="1"/>
  <c r="D1176" i="1"/>
  <c r="E1176" i="1"/>
  <c r="F1176" i="1"/>
  <c r="G1176" i="1"/>
  <c r="I1176" i="1"/>
  <c r="J1176" i="1"/>
  <c r="K1176" i="1"/>
  <c r="L1176" i="1"/>
  <c r="M1176" i="1"/>
  <c r="N1176" i="1"/>
  <c r="O1176" i="1"/>
  <c r="P1176" i="1"/>
  <c r="Q1176" i="1"/>
  <c r="R1176" i="1"/>
  <c r="S1176" i="1"/>
  <c r="T1176" i="1"/>
  <c r="U1176" i="1"/>
  <c r="V1176" i="1"/>
  <c r="W1176" i="1"/>
  <c r="X1176" i="1"/>
  <c r="Y1176" i="1"/>
  <c r="Z1176" i="1"/>
  <c r="A1177" i="1"/>
  <c r="B1177" i="1"/>
  <c r="C1177" i="1"/>
  <c r="D1177" i="1"/>
  <c r="E1177" i="1"/>
  <c r="F1177" i="1"/>
  <c r="G1177" i="1"/>
  <c r="I1177" i="1"/>
  <c r="J1177" i="1"/>
  <c r="K1177" i="1"/>
  <c r="L1177" i="1"/>
  <c r="M1177" i="1"/>
  <c r="N1177" i="1"/>
  <c r="O1177" i="1"/>
  <c r="P1177" i="1"/>
  <c r="Q1177" i="1"/>
  <c r="R1177" i="1"/>
  <c r="S1177" i="1"/>
  <c r="T1177" i="1"/>
  <c r="U1177" i="1"/>
  <c r="V1177" i="1"/>
  <c r="W1177" i="1"/>
  <c r="X1177" i="1"/>
  <c r="Y1177" i="1"/>
  <c r="Z1177" i="1"/>
  <c r="A1178" i="1"/>
  <c r="B1178" i="1"/>
  <c r="C1178" i="1"/>
  <c r="D1178" i="1"/>
  <c r="E1178" i="1"/>
  <c r="F1178" i="1"/>
  <c r="G1178" i="1"/>
  <c r="I1178" i="1"/>
  <c r="J1178" i="1"/>
  <c r="K1178" i="1"/>
  <c r="L1178" i="1"/>
  <c r="M1178" i="1"/>
  <c r="N1178" i="1"/>
  <c r="O1178" i="1"/>
  <c r="P1178" i="1"/>
  <c r="Q1178" i="1"/>
  <c r="R1178" i="1"/>
  <c r="S1178" i="1"/>
  <c r="T1178" i="1"/>
  <c r="U1178" i="1"/>
  <c r="V1178" i="1"/>
  <c r="W1178" i="1"/>
  <c r="X1178" i="1"/>
  <c r="Y1178" i="1"/>
  <c r="Z1178" i="1"/>
  <c r="A1179" i="1"/>
  <c r="B1179" i="1"/>
  <c r="C1179" i="1"/>
  <c r="D1179" i="1"/>
  <c r="E1179" i="1"/>
  <c r="F1179" i="1"/>
  <c r="G1179" i="1"/>
  <c r="I1179" i="1"/>
  <c r="J1179" i="1"/>
  <c r="K1179" i="1"/>
  <c r="L1179" i="1"/>
  <c r="M1179" i="1"/>
  <c r="N1179" i="1"/>
  <c r="O1179" i="1"/>
  <c r="P1179" i="1"/>
  <c r="Q1179" i="1"/>
  <c r="R1179" i="1"/>
  <c r="S1179" i="1"/>
  <c r="T1179" i="1"/>
  <c r="U1179" i="1"/>
  <c r="V1179" i="1"/>
  <c r="W1179" i="1"/>
  <c r="X1179" i="1"/>
  <c r="Y1179" i="1"/>
  <c r="Z1179" i="1"/>
  <c r="A1180" i="1"/>
  <c r="B1180" i="1"/>
  <c r="C1180" i="1"/>
  <c r="D1180" i="1"/>
  <c r="E1180" i="1"/>
  <c r="F1180" i="1"/>
  <c r="G1180" i="1"/>
  <c r="I1180" i="1"/>
  <c r="J1180" i="1"/>
  <c r="K1180" i="1"/>
  <c r="L1180" i="1"/>
  <c r="M1180" i="1"/>
  <c r="N1180" i="1"/>
  <c r="O1180" i="1"/>
  <c r="P1180" i="1"/>
  <c r="Q1180" i="1"/>
  <c r="R1180" i="1"/>
  <c r="S1180" i="1"/>
  <c r="T1180" i="1"/>
  <c r="U1180" i="1"/>
  <c r="V1180" i="1"/>
  <c r="W1180" i="1"/>
  <c r="X1180" i="1"/>
  <c r="Y1180" i="1"/>
  <c r="Z1180" i="1"/>
  <c r="A1181" i="1"/>
  <c r="B1181" i="1"/>
  <c r="C1181" i="1"/>
  <c r="D1181" i="1"/>
  <c r="E1181" i="1"/>
  <c r="F1181" i="1"/>
  <c r="G1181" i="1"/>
  <c r="I1181" i="1"/>
  <c r="J1181" i="1"/>
  <c r="K1181" i="1"/>
  <c r="L1181" i="1"/>
  <c r="M1181" i="1"/>
  <c r="N1181" i="1"/>
  <c r="O1181" i="1"/>
  <c r="P1181" i="1"/>
  <c r="Q1181" i="1"/>
  <c r="R1181" i="1"/>
  <c r="S1181" i="1"/>
  <c r="T1181" i="1"/>
  <c r="U1181" i="1"/>
  <c r="V1181" i="1"/>
  <c r="W1181" i="1"/>
  <c r="X1181" i="1"/>
  <c r="Y1181" i="1"/>
  <c r="Z1181" i="1"/>
  <c r="A1182" i="1"/>
  <c r="B1182" i="1"/>
  <c r="C1182" i="1"/>
  <c r="D1182" i="1"/>
  <c r="E1182" i="1"/>
  <c r="F1182" i="1"/>
  <c r="G1182" i="1"/>
  <c r="I1182" i="1"/>
  <c r="J1182" i="1"/>
  <c r="K1182" i="1"/>
  <c r="L1182" i="1"/>
  <c r="M1182" i="1"/>
  <c r="N1182" i="1"/>
  <c r="O1182" i="1"/>
  <c r="P1182" i="1"/>
  <c r="Q1182" i="1"/>
  <c r="R1182" i="1"/>
  <c r="S1182" i="1"/>
  <c r="T1182" i="1"/>
  <c r="U1182" i="1"/>
  <c r="V1182" i="1"/>
  <c r="W1182" i="1"/>
  <c r="X1182" i="1"/>
  <c r="Y1182" i="1"/>
  <c r="Z1182" i="1"/>
  <c r="A1183" i="1"/>
  <c r="B1183" i="1"/>
  <c r="C1183" i="1"/>
  <c r="D1183" i="1"/>
  <c r="E1183" i="1"/>
  <c r="F1183" i="1"/>
  <c r="G1183" i="1"/>
  <c r="I1183" i="1"/>
  <c r="J1183" i="1"/>
  <c r="K1183" i="1"/>
  <c r="L1183" i="1"/>
  <c r="M1183" i="1"/>
  <c r="N1183" i="1"/>
  <c r="O1183" i="1"/>
  <c r="P1183" i="1"/>
  <c r="Q1183" i="1"/>
  <c r="R1183" i="1"/>
  <c r="S1183" i="1"/>
  <c r="T1183" i="1"/>
  <c r="U1183" i="1"/>
  <c r="V1183" i="1"/>
  <c r="W1183" i="1"/>
  <c r="X1183" i="1"/>
  <c r="Y1183" i="1"/>
  <c r="Z1183" i="1"/>
  <c r="A1184" i="1"/>
  <c r="B1184" i="1"/>
  <c r="C1184" i="1"/>
  <c r="D1184" i="1"/>
  <c r="E1184" i="1"/>
  <c r="F1184" i="1"/>
  <c r="G1184" i="1"/>
  <c r="I1184" i="1"/>
  <c r="J1184" i="1"/>
  <c r="K1184" i="1"/>
  <c r="L1184" i="1"/>
  <c r="M1184" i="1"/>
  <c r="N1184" i="1"/>
  <c r="O1184" i="1"/>
  <c r="P1184" i="1"/>
  <c r="Q1184" i="1"/>
  <c r="R1184" i="1"/>
  <c r="S1184" i="1"/>
  <c r="T1184" i="1"/>
  <c r="U1184" i="1"/>
  <c r="V1184" i="1"/>
  <c r="W1184" i="1"/>
  <c r="X1184" i="1"/>
  <c r="Y1184" i="1"/>
  <c r="Z1184" i="1"/>
  <c r="A1185" i="1"/>
  <c r="B1185" i="1"/>
  <c r="C1185" i="1"/>
  <c r="D1185" i="1"/>
  <c r="E1185" i="1"/>
  <c r="F1185" i="1"/>
  <c r="G1185" i="1"/>
  <c r="I1185" i="1"/>
  <c r="J1185" i="1"/>
  <c r="K1185" i="1"/>
  <c r="L1185" i="1"/>
  <c r="M1185" i="1"/>
  <c r="N1185" i="1"/>
  <c r="O1185" i="1"/>
  <c r="P1185" i="1"/>
  <c r="Q1185" i="1"/>
  <c r="R1185" i="1"/>
  <c r="S1185" i="1"/>
  <c r="T1185" i="1"/>
  <c r="U1185" i="1"/>
  <c r="V1185" i="1"/>
  <c r="W1185" i="1"/>
  <c r="X1185" i="1"/>
  <c r="Y1185" i="1"/>
  <c r="Z1185" i="1"/>
  <c r="A1186" i="1"/>
  <c r="B1186" i="1"/>
  <c r="C1186" i="1"/>
  <c r="D1186" i="1"/>
  <c r="E1186" i="1"/>
  <c r="F1186" i="1"/>
  <c r="G1186" i="1"/>
  <c r="I1186" i="1"/>
  <c r="J1186" i="1"/>
  <c r="K1186" i="1"/>
  <c r="L1186" i="1"/>
  <c r="M1186" i="1"/>
  <c r="N1186" i="1"/>
  <c r="O1186" i="1"/>
  <c r="P1186" i="1"/>
  <c r="Q1186" i="1"/>
  <c r="R1186" i="1"/>
  <c r="S1186" i="1"/>
  <c r="T1186" i="1"/>
  <c r="U1186" i="1"/>
  <c r="V1186" i="1"/>
  <c r="W1186" i="1"/>
  <c r="X1186" i="1"/>
  <c r="Y1186" i="1"/>
  <c r="Z1186" i="1"/>
  <c r="A1187" i="1"/>
  <c r="B1187" i="1"/>
  <c r="C1187" i="1"/>
  <c r="D1187" i="1"/>
  <c r="E1187" i="1"/>
  <c r="F1187" i="1"/>
  <c r="G1187" i="1"/>
  <c r="I1187" i="1"/>
  <c r="J1187" i="1"/>
  <c r="K1187" i="1"/>
  <c r="L1187" i="1"/>
  <c r="M1187" i="1"/>
  <c r="N1187" i="1"/>
  <c r="O1187" i="1"/>
  <c r="P1187" i="1"/>
  <c r="Q1187" i="1"/>
  <c r="R1187" i="1"/>
  <c r="S1187" i="1"/>
  <c r="T1187" i="1"/>
  <c r="U1187" i="1"/>
  <c r="V1187" i="1"/>
  <c r="W1187" i="1"/>
  <c r="X1187" i="1"/>
  <c r="Y1187" i="1"/>
  <c r="Z1187" i="1"/>
  <c r="A1188" i="1"/>
  <c r="B1188" i="1"/>
  <c r="C1188" i="1"/>
  <c r="D1188" i="1"/>
  <c r="E1188" i="1"/>
  <c r="F1188" i="1"/>
  <c r="G1188" i="1"/>
  <c r="I1188" i="1"/>
  <c r="J1188" i="1"/>
  <c r="K1188" i="1"/>
  <c r="L1188" i="1"/>
  <c r="M1188" i="1"/>
  <c r="N1188" i="1"/>
  <c r="O1188" i="1"/>
  <c r="P1188" i="1"/>
  <c r="Q1188" i="1"/>
  <c r="R1188" i="1"/>
  <c r="S1188" i="1"/>
  <c r="T1188" i="1"/>
  <c r="U1188" i="1"/>
  <c r="V1188" i="1"/>
  <c r="W1188" i="1"/>
  <c r="X1188" i="1"/>
  <c r="Y1188" i="1"/>
  <c r="Z1188" i="1"/>
  <c r="A1189" i="1"/>
  <c r="B1189" i="1"/>
  <c r="C1189" i="1"/>
  <c r="D1189" i="1"/>
  <c r="E1189" i="1"/>
  <c r="F1189" i="1"/>
  <c r="G1189" i="1"/>
  <c r="I1189" i="1"/>
  <c r="J1189" i="1"/>
  <c r="K1189" i="1"/>
  <c r="L1189" i="1"/>
  <c r="M1189" i="1"/>
  <c r="N1189" i="1"/>
  <c r="O1189" i="1"/>
  <c r="P1189" i="1"/>
  <c r="Q1189" i="1"/>
  <c r="R1189" i="1"/>
  <c r="S1189" i="1"/>
  <c r="T1189" i="1"/>
  <c r="U1189" i="1"/>
  <c r="V1189" i="1"/>
  <c r="W1189" i="1"/>
  <c r="X1189" i="1"/>
  <c r="Y1189" i="1"/>
  <c r="Z1189" i="1"/>
  <c r="A1190" i="1"/>
  <c r="B1190" i="1"/>
  <c r="C1190" i="1"/>
  <c r="D1190" i="1"/>
  <c r="E1190" i="1"/>
  <c r="F1190" i="1"/>
  <c r="G1190" i="1"/>
  <c r="I1190" i="1"/>
  <c r="J1190" i="1"/>
  <c r="K1190" i="1"/>
  <c r="L1190" i="1"/>
  <c r="M1190" i="1"/>
  <c r="N1190" i="1"/>
  <c r="O1190" i="1"/>
  <c r="P1190" i="1"/>
  <c r="Q1190" i="1"/>
  <c r="R1190" i="1"/>
  <c r="S1190" i="1"/>
  <c r="T1190" i="1"/>
  <c r="U1190" i="1"/>
  <c r="V1190" i="1"/>
  <c r="W1190" i="1"/>
  <c r="X1190" i="1"/>
  <c r="Y1190" i="1"/>
  <c r="Z1190" i="1"/>
  <c r="A1191" i="1"/>
  <c r="B1191" i="1"/>
  <c r="C1191" i="1"/>
  <c r="D1191" i="1"/>
  <c r="E1191" i="1"/>
  <c r="F1191" i="1"/>
  <c r="G1191" i="1"/>
  <c r="I1191" i="1"/>
  <c r="J1191" i="1"/>
  <c r="K1191" i="1"/>
  <c r="L1191" i="1"/>
  <c r="M1191" i="1"/>
  <c r="N1191" i="1"/>
  <c r="O1191" i="1"/>
  <c r="P1191" i="1"/>
  <c r="Q1191" i="1"/>
  <c r="R1191" i="1"/>
  <c r="S1191" i="1"/>
  <c r="T1191" i="1"/>
  <c r="U1191" i="1"/>
  <c r="V1191" i="1"/>
  <c r="W1191" i="1"/>
  <c r="X1191" i="1"/>
  <c r="Y1191" i="1"/>
  <c r="Z1191" i="1"/>
  <c r="A1192" i="1"/>
  <c r="B1192" i="1"/>
  <c r="C1192" i="1"/>
  <c r="D1192" i="1"/>
  <c r="E1192" i="1"/>
  <c r="F1192" i="1"/>
  <c r="G1192" i="1"/>
  <c r="I1192" i="1"/>
  <c r="J1192" i="1"/>
  <c r="K1192" i="1"/>
  <c r="L1192" i="1"/>
  <c r="M1192" i="1"/>
  <c r="N1192" i="1"/>
  <c r="O1192" i="1"/>
  <c r="P1192" i="1"/>
  <c r="Q1192" i="1"/>
  <c r="R1192" i="1"/>
  <c r="S1192" i="1"/>
  <c r="T1192" i="1"/>
  <c r="U1192" i="1"/>
  <c r="V1192" i="1"/>
  <c r="W1192" i="1"/>
  <c r="X1192" i="1"/>
  <c r="Y1192" i="1"/>
  <c r="Z1192" i="1"/>
  <c r="A1193" i="1"/>
  <c r="B1193" i="1"/>
  <c r="C1193" i="1"/>
  <c r="D1193" i="1"/>
  <c r="E1193" i="1"/>
  <c r="F1193" i="1"/>
  <c r="G1193" i="1"/>
  <c r="I1193" i="1"/>
  <c r="J1193" i="1"/>
  <c r="K1193" i="1"/>
  <c r="L1193" i="1"/>
  <c r="M1193" i="1"/>
  <c r="N1193" i="1"/>
  <c r="O1193" i="1"/>
  <c r="P1193" i="1"/>
  <c r="Q1193" i="1"/>
  <c r="R1193" i="1"/>
  <c r="S1193" i="1"/>
  <c r="T1193" i="1"/>
  <c r="U1193" i="1"/>
  <c r="V1193" i="1"/>
  <c r="W1193" i="1"/>
  <c r="X1193" i="1"/>
  <c r="Y1193" i="1"/>
  <c r="Z1193" i="1"/>
  <c r="A1194" i="1"/>
  <c r="B1194" i="1"/>
  <c r="C1194" i="1"/>
  <c r="D1194" i="1"/>
  <c r="E1194" i="1"/>
  <c r="F1194" i="1"/>
  <c r="G1194" i="1"/>
  <c r="I1194" i="1"/>
  <c r="J1194" i="1"/>
  <c r="K1194" i="1"/>
  <c r="L1194" i="1"/>
  <c r="M1194" i="1"/>
  <c r="N1194" i="1"/>
  <c r="O1194" i="1"/>
  <c r="P1194" i="1"/>
  <c r="Q1194" i="1"/>
  <c r="R1194" i="1"/>
  <c r="S1194" i="1"/>
  <c r="T1194" i="1"/>
  <c r="U1194" i="1"/>
  <c r="V1194" i="1"/>
  <c r="W1194" i="1"/>
  <c r="X1194" i="1"/>
  <c r="Y1194" i="1"/>
  <c r="Z1194" i="1"/>
  <c r="A1195" i="1"/>
  <c r="B1195" i="1"/>
  <c r="C1195" i="1"/>
  <c r="D1195" i="1"/>
  <c r="E1195" i="1"/>
  <c r="F1195" i="1"/>
  <c r="G1195" i="1"/>
  <c r="I1195" i="1"/>
  <c r="J1195" i="1"/>
  <c r="K1195" i="1"/>
  <c r="L1195" i="1"/>
  <c r="M1195" i="1"/>
  <c r="N1195" i="1"/>
  <c r="O1195" i="1"/>
  <c r="P1195" i="1"/>
  <c r="Q1195" i="1"/>
  <c r="R1195" i="1"/>
  <c r="S1195" i="1"/>
  <c r="T1195" i="1"/>
  <c r="U1195" i="1"/>
  <c r="V1195" i="1"/>
  <c r="W1195" i="1"/>
  <c r="X1195" i="1"/>
  <c r="Y1195" i="1"/>
  <c r="Z1195" i="1"/>
  <c r="A1196" i="1"/>
  <c r="B1196" i="1"/>
  <c r="C1196" i="1"/>
  <c r="D1196" i="1"/>
  <c r="E1196" i="1"/>
  <c r="F1196" i="1"/>
  <c r="G1196" i="1"/>
  <c r="I1196" i="1"/>
  <c r="J1196" i="1"/>
  <c r="K1196" i="1"/>
  <c r="L1196" i="1"/>
  <c r="M1196" i="1"/>
  <c r="N1196" i="1"/>
  <c r="O1196" i="1"/>
  <c r="P1196" i="1"/>
  <c r="Q1196" i="1"/>
  <c r="R1196" i="1"/>
  <c r="S1196" i="1"/>
  <c r="T1196" i="1"/>
  <c r="U1196" i="1"/>
  <c r="V1196" i="1"/>
  <c r="W1196" i="1"/>
  <c r="X1196" i="1"/>
  <c r="Y1196" i="1"/>
  <c r="Z1196" i="1"/>
  <c r="A1197" i="1"/>
  <c r="B1197" i="1"/>
  <c r="C1197" i="1"/>
  <c r="D1197" i="1"/>
  <c r="E1197" i="1"/>
  <c r="F1197" i="1"/>
  <c r="G1197" i="1"/>
  <c r="I1197" i="1"/>
  <c r="J1197" i="1"/>
  <c r="K1197" i="1"/>
  <c r="L1197" i="1"/>
  <c r="M1197" i="1"/>
  <c r="N1197" i="1"/>
  <c r="O1197" i="1"/>
  <c r="P1197" i="1"/>
  <c r="Q1197" i="1"/>
  <c r="R1197" i="1"/>
  <c r="S1197" i="1"/>
  <c r="T1197" i="1"/>
  <c r="U1197" i="1"/>
  <c r="V1197" i="1"/>
  <c r="W1197" i="1"/>
  <c r="X1197" i="1"/>
  <c r="Y1197" i="1"/>
  <c r="Z1197" i="1"/>
  <c r="A1198" i="1"/>
  <c r="B1198" i="1"/>
  <c r="C1198" i="1"/>
  <c r="D1198" i="1"/>
  <c r="E1198" i="1"/>
  <c r="F1198" i="1"/>
  <c r="G1198" i="1"/>
  <c r="I1198" i="1"/>
  <c r="J1198" i="1"/>
  <c r="K1198" i="1"/>
  <c r="L1198" i="1"/>
  <c r="M1198" i="1"/>
  <c r="N1198" i="1"/>
  <c r="O1198" i="1"/>
  <c r="P1198" i="1"/>
  <c r="Q1198" i="1"/>
  <c r="R1198" i="1"/>
  <c r="S1198" i="1"/>
  <c r="T1198" i="1"/>
  <c r="U1198" i="1"/>
  <c r="V1198" i="1"/>
  <c r="W1198" i="1"/>
  <c r="X1198" i="1"/>
  <c r="Y1198" i="1"/>
  <c r="Z1198" i="1"/>
  <c r="A1199" i="1"/>
  <c r="B1199" i="1"/>
  <c r="C1199" i="1"/>
  <c r="D1199" i="1"/>
  <c r="E1199" i="1"/>
  <c r="F1199" i="1"/>
  <c r="G1199" i="1"/>
  <c r="I1199" i="1"/>
  <c r="J1199" i="1"/>
  <c r="K1199" i="1"/>
  <c r="L1199" i="1"/>
  <c r="M1199" i="1"/>
  <c r="N1199" i="1"/>
  <c r="O1199" i="1"/>
  <c r="P1199" i="1"/>
  <c r="Q1199" i="1"/>
  <c r="R1199" i="1"/>
  <c r="S1199" i="1"/>
  <c r="T1199" i="1"/>
  <c r="U1199" i="1"/>
  <c r="V1199" i="1"/>
  <c r="W1199" i="1"/>
  <c r="X1199" i="1"/>
  <c r="Y1199" i="1"/>
  <c r="Z1199" i="1"/>
  <c r="A1200" i="1"/>
  <c r="B1200" i="1"/>
  <c r="C1200" i="1"/>
  <c r="D1200" i="1"/>
  <c r="E1200" i="1"/>
  <c r="F1200" i="1"/>
  <c r="G1200" i="1"/>
  <c r="I1200" i="1"/>
  <c r="J1200" i="1"/>
  <c r="K1200" i="1"/>
  <c r="L1200" i="1"/>
  <c r="M1200" i="1"/>
  <c r="N1200" i="1"/>
  <c r="O1200" i="1"/>
  <c r="P1200" i="1"/>
  <c r="Q1200" i="1"/>
  <c r="R1200" i="1"/>
  <c r="S1200" i="1"/>
  <c r="T1200" i="1"/>
  <c r="U1200" i="1"/>
  <c r="V1200" i="1"/>
  <c r="W1200" i="1"/>
  <c r="X1200" i="1"/>
  <c r="Y1200" i="1"/>
  <c r="Z1200" i="1"/>
  <c r="A1201" i="1"/>
  <c r="B1201" i="1"/>
  <c r="C1201" i="1"/>
  <c r="D1201" i="1"/>
  <c r="E1201" i="1"/>
  <c r="F1201" i="1"/>
  <c r="G1201" i="1"/>
  <c r="I1201" i="1"/>
  <c r="J1201" i="1"/>
  <c r="K1201" i="1"/>
  <c r="L1201" i="1"/>
  <c r="M1201" i="1"/>
  <c r="N1201" i="1"/>
  <c r="O1201" i="1"/>
  <c r="P1201" i="1"/>
  <c r="Q1201" i="1"/>
  <c r="R1201" i="1"/>
  <c r="S1201" i="1"/>
  <c r="T1201" i="1"/>
  <c r="U1201" i="1"/>
  <c r="V1201" i="1"/>
  <c r="W1201" i="1"/>
  <c r="X1201" i="1"/>
  <c r="Y1201" i="1"/>
  <c r="Z1201" i="1"/>
  <c r="A1202" i="1"/>
  <c r="B1202" i="1"/>
  <c r="C1202" i="1"/>
  <c r="D1202" i="1"/>
  <c r="E1202" i="1"/>
  <c r="F1202" i="1"/>
  <c r="G1202" i="1"/>
  <c r="I1202" i="1"/>
  <c r="J1202" i="1"/>
  <c r="K1202" i="1"/>
  <c r="L1202" i="1"/>
  <c r="M1202" i="1"/>
  <c r="N1202" i="1"/>
  <c r="O1202" i="1"/>
  <c r="P1202" i="1"/>
  <c r="Q1202" i="1"/>
  <c r="R1202" i="1"/>
  <c r="S1202" i="1"/>
  <c r="T1202" i="1"/>
  <c r="U1202" i="1"/>
  <c r="V1202" i="1"/>
  <c r="W1202" i="1"/>
  <c r="X1202" i="1"/>
  <c r="Y1202" i="1"/>
  <c r="Z1202" i="1"/>
  <c r="A1203" i="1"/>
  <c r="B1203" i="1"/>
  <c r="C1203" i="1"/>
  <c r="D1203" i="1"/>
  <c r="E1203" i="1"/>
  <c r="F1203" i="1"/>
  <c r="G1203" i="1"/>
  <c r="I1203" i="1"/>
  <c r="J1203" i="1"/>
  <c r="K1203" i="1"/>
  <c r="L1203" i="1"/>
  <c r="M1203" i="1"/>
  <c r="N1203" i="1"/>
  <c r="O1203" i="1"/>
  <c r="P1203" i="1"/>
  <c r="Q1203" i="1"/>
  <c r="R1203" i="1"/>
  <c r="S1203" i="1"/>
  <c r="T1203" i="1"/>
  <c r="U1203" i="1"/>
  <c r="V1203" i="1"/>
  <c r="W1203" i="1"/>
  <c r="X1203" i="1"/>
  <c r="Y1203" i="1"/>
  <c r="Z1203" i="1"/>
  <c r="A1204" i="1"/>
  <c r="B1204" i="1"/>
  <c r="C1204" i="1"/>
  <c r="D1204" i="1"/>
  <c r="E1204" i="1"/>
  <c r="F1204" i="1"/>
  <c r="G1204" i="1"/>
  <c r="I1204" i="1"/>
  <c r="J1204" i="1"/>
  <c r="K1204" i="1"/>
  <c r="L1204" i="1"/>
  <c r="M1204" i="1"/>
  <c r="N1204" i="1"/>
  <c r="O1204" i="1"/>
  <c r="P1204" i="1"/>
  <c r="Q1204" i="1"/>
  <c r="R1204" i="1"/>
  <c r="S1204" i="1"/>
  <c r="T1204" i="1"/>
  <c r="U1204" i="1"/>
  <c r="V1204" i="1"/>
  <c r="W1204" i="1"/>
  <c r="X1204" i="1"/>
  <c r="Y1204" i="1"/>
  <c r="Z1204" i="1"/>
  <c r="A1205" i="1"/>
  <c r="B1205" i="1"/>
  <c r="C1205" i="1"/>
  <c r="D1205" i="1"/>
  <c r="E1205" i="1"/>
  <c r="F1205" i="1"/>
  <c r="G1205" i="1"/>
  <c r="I1205" i="1"/>
  <c r="J1205" i="1"/>
  <c r="K1205" i="1"/>
  <c r="L1205" i="1"/>
  <c r="M1205" i="1"/>
  <c r="N1205" i="1"/>
  <c r="O1205" i="1"/>
  <c r="P1205" i="1"/>
  <c r="Q1205" i="1"/>
  <c r="R1205" i="1"/>
  <c r="S1205" i="1"/>
  <c r="T1205" i="1"/>
  <c r="U1205" i="1"/>
  <c r="V1205" i="1"/>
  <c r="W1205" i="1"/>
  <c r="X1205" i="1"/>
  <c r="Y1205" i="1"/>
  <c r="Z1205" i="1"/>
  <c r="A1206" i="1"/>
  <c r="B1206" i="1"/>
  <c r="C1206" i="1"/>
  <c r="D1206" i="1"/>
  <c r="E1206" i="1"/>
  <c r="F1206" i="1"/>
  <c r="G1206" i="1"/>
  <c r="I1206" i="1"/>
  <c r="J1206" i="1"/>
  <c r="K1206" i="1"/>
  <c r="L1206" i="1"/>
  <c r="M1206" i="1"/>
  <c r="N1206" i="1"/>
  <c r="O1206" i="1"/>
  <c r="P1206" i="1"/>
  <c r="Q1206" i="1"/>
  <c r="R1206" i="1"/>
  <c r="S1206" i="1"/>
  <c r="T1206" i="1"/>
  <c r="U1206" i="1"/>
  <c r="V1206" i="1"/>
  <c r="W1206" i="1"/>
  <c r="X1206" i="1"/>
  <c r="Y1206" i="1"/>
  <c r="Z1206" i="1"/>
  <c r="A1207" i="1"/>
  <c r="B1207" i="1"/>
  <c r="C1207" i="1"/>
  <c r="D1207" i="1"/>
  <c r="E1207" i="1"/>
  <c r="F1207" i="1"/>
  <c r="G1207" i="1"/>
  <c r="I1207" i="1"/>
  <c r="J1207" i="1"/>
  <c r="K1207" i="1"/>
  <c r="L1207" i="1"/>
  <c r="M1207" i="1"/>
  <c r="N1207" i="1"/>
  <c r="O1207" i="1"/>
  <c r="P1207" i="1"/>
  <c r="Q1207" i="1"/>
  <c r="R1207" i="1"/>
  <c r="S1207" i="1"/>
  <c r="T1207" i="1"/>
  <c r="U1207" i="1"/>
  <c r="V1207" i="1"/>
  <c r="W1207" i="1"/>
  <c r="X1207" i="1"/>
  <c r="Y1207" i="1"/>
  <c r="Z1207" i="1"/>
  <c r="A1208" i="1"/>
  <c r="B1208" i="1"/>
  <c r="C1208" i="1"/>
  <c r="D1208" i="1"/>
  <c r="E1208" i="1"/>
  <c r="F1208" i="1"/>
  <c r="G1208" i="1"/>
  <c r="I1208" i="1"/>
  <c r="J1208" i="1"/>
  <c r="K1208" i="1"/>
  <c r="L1208" i="1"/>
  <c r="M1208" i="1"/>
  <c r="N1208" i="1"/>
  <c r="O1208" i="1"/>
  <c r="P1208" i="1"/>
  <c r="Q1208" i="1"/>
  <c r="R1208" i="1"/>
  <c r="S1208" i="1"/>
  <c r="T1208" i="1"/>
  <c r="U1208" i="1"/>
  <c r="V1208" i="1"/>
  <c r="W1208" i="1"/>
  <c r="X1208" i="1"/>
  <c r="Y1208" i="1"/>
  <c r="Z1208" i="1"/>
  <c r="A1209" i="1"/>
  <c r="B1209" i="1"/>
  <c r="C1209" i="1"/>
  <c r="D1209" i="1"/>
  <c r="E1209" i="1"/>
  <c r="F1209" i="1"/>
  <c r="G1209" i="1"/>
  <c r="I1209" i="1"/>
  <c r="J1209" i="1"/>
  <c r="K1209" i="1"/>
  <c r="L1209" i="1"/>
  <c r="M1209" i="1"/>
  <c r="N1209" i="1"/>
  <c r="O1209" i="1"/>
  <c r="P1209" i="1"/>
  <c r="Q1209" i="1"/>
  <c r="R1209" i="1"/>
  <c r="S1209" i="1"/>
  <c r="T1209" i="1"/>
  <c r="U1209" i="1"/>
  <c r="V1209" i="1"/>
  <c r="W1209" i="1"/>
  <c r="X1209" i="1"/>
  <c r="Y1209" i="1"/>
  <c r="Z1209" i="1"/>
  <c r="A1210" i="1"/>
  <c r="B1210" i="1"/>
  <c r="C1210" i="1"/>
  <c r="D1210" i="1"/>
  <c r="E1210" i="1"/>
  <c r="F1210" i="1"/>
  <c r="G1210" i="1"/>
  <c r="I1210" i="1"/>
  <c r="J1210" i="1"/>
  <c r="K1210" i="1"/>
  <c r="L1210" i="1"/>
  <c r="M1210" i="1"/>
  <c r="N1210" i="1"/>
  <c r="O1210" i="1"/>
  <c r="P1210" i="1"/>
  <c r="Q1210" i="1"/>
  <c r="R1210" i="1"/>
  <c r="S1210" i="1"/>
  <c r="T1210" i="1"/>
  <c r="U1210" i="1"/>
  <c r="V1210" i="1"/>
  <c r="W1210" i="1"/>
  <c r="X1210" i="1"/>
  <c r="Y1210" i="1"/>
  <c r="Z1210" i="1"/>
  <c r="A1211" i="1"/>
  <c r="B1211" i="1"/>
  <c r="C1211" i="1"/>
  <c r="D1211" i="1"/>
  <c r="E1211" i="1"/>
  <c r="F1211" i="1"/>
  <c r="G1211" i="1"/>
  <c r="I1211" i="1"/>
  <c r="J1211" i="1"/>
  <c r="K1211" i="1"/>
  <c r="L1211" i="1"/>
  <c r="M1211" i="1"/>
  <c r="N1211" i="1"/>
  <c r="O1211" i="1"/>
  <c r="P1211" i="1"/>
  <c r="Q1211" i="1"/>
  <c r="R1211" i="1"/>
  <c r="S1211" i="1"/>
  <c r="T1211" i="1"/>
  <c r="U1211" i="1"/>
  <c r="V1211" i="1"/>
  <c r="W1211" i="1"/>
  <c r="X1211" i="1"/>
  <c r="Y1211" i="1"/>
  <c r="Z1211" i="1"/>
  <c r="A1212" i="1"/>
  <c r="B1212" i="1"/>
  <c r="C1212" i="1"/>
  <c r="D1212" i="1"/>
  <c r="E1212" i="1"/>
  <c r="F1212" i="1"/>
  <c r="G1212" i="1"/>
  <c r="I1212" i="1"/>
  <c r="J1212" i="1"/>
  <c r="K1212" i="1"/>
  <c r="L1212" i="1"/>
  <c r="M1212" i="1"/>
  <c r="N1212" i="1"/>
  <c r="O1212" i="1"/>
  <c r="P1212" i="1"/>
  <c r="Q1212" i="1"/>
  <c r="R1212" i="1"/>
  <c r="S1212" i="1"/>
  <c r="T1212" i="1"/>
  <c r="U1212" i="1"/>
  <c r="V1212" i="1"/>
  <c r="W1212" i="1"/>
  <c r="X1212" i="1"/>
  <c r="Y1212" i="1"/>
  <c r="Z1212" i="1"/>
  <c r="A1213" i="1"/>
  <c r="B1213" i="1"/>
  <c r="C1213" i="1"/>
  <c r="D1213" i="1"/>
  <c r="E1213" i="1"/>
  <c r="F1213" i="1"/>
  <c r="G1213" i="1"/>
  <c r="I1213" i="1"/>
  <c r="J1213" i="1"/>
  <c r="K1213" i="1"/>
  <c r="L1213" i="1"/>
  <c r="M1213" i="1"/>
  <c r="N1213" i="1"/>
  <c r="O1213" i="1"/>
  <c r="P1213" i="1"/>
  <c r="Q1213" i="1"/>
  <c r="R1213" i="1"/>
  <c r="S1213" i="1"/>
  <c r="T1213" i="1"/>
  <c r="U1213" i="1"/>
  <c r="V1213" i="1"/>
  <c r="W1213" i="1"/>
  <c r="X1213" i="1"/>
  <c r="Y1213" i="1"/>
  <c r="Z1213" i="1"/>
  <c r="A1214" i="1"/>
  <c r="B1214" i="1"/>
  <c r="C1214" i="1"/>
  <c r="D1214" i="1"/>
  <c r="E1214" i="1"/>
  <c r="F1214" i="1"/>
  <c r="G1214" i="1"/>
  <c r="I1214" i="1"/>
  <c r="J1214" i="1"/>
  <c r="K1214" i="1"/>
  <c r="L1214" i="1"/>
  <c r="M1214" i="1"/>
  <c r="N1214" i="1"/>
  <c r="O1214" i="1"/>
  <c r="P1214" i="1"/>
  <c r="Q1214" i="1"/>
  <c r="R1214" i="1"/>
  <c r="S1214" i="1"/>
  <c r="T1214" i="1"/>
  <c r="U1214" i="1"/>
  <c r="V1214" i="1"/>
  <c r="W1214" i="1"/>
  <c r="X1214" i="1"/>
  <c r="Y1214" i="1"/>
  <c r="Z1214" i="1"/>
  <c r="A1215" i="1"/>
  <c r="B1215" i="1"/>
  <c r="C1215" i="1"/>
  <c r="D1215" i="1"/>
  <c r="E1215" i="1"/>
  <c r="F1215" i="1"/>
  <c r="G1215" i="1"/>
  <c r="I1215" i="1"/>
  <c r="J1215" i="1"/>
  <c r="K1215" i="1"/>
  <c r="L1215" i="1"/>
  <c r="M1215" i="1"/>
  <c r="N1215" i="1"/>
  <c r="O1215" i="1"/>
  <c r="P1215" i="1"/>
  <c r="Q1215" i="1"/>
  <c r="R1215" i="1"/>
  <c r="S1215" i="1"/>
  <c r="T1215" i="1"/>
  <c r="U1215" i="1"/>
  <c r="V1215" i="1"/>
  <c r="W1215" i="1"/>
  <c r="X1215" i="1"/>
  <c r="Y1215" i="1"/>
  <c r="Z1215" i="1"/>
  <c r="A1216" i="1"/>
  <c r="B1216" i="1"/>
  <c r="C1216" i="1"/>
  <c r="D1216" i="1"/>
  <c r="E1216" i="1"/>
  <c r="F1216" i="1"/>
  <c r="G1216" i="1"/>
  <c r="I1216" i="1"/>
  <c r="J1216" i="1"/>
  <c r="K1216" i="1"/>
  <c r="L1216" i="1"/>
  <c r="M1216" i="1"/>
  <c r="N1216" i="1"/>
  <c r="O1216" i="1"/>
  <c r="P1216" i="1"/>
  <c r="Q1216" i="1"/>
  <c r="R1216" i="1"/>
  <c r="S1216" i="1"/>
  <c r="T1216" i="1"/>
  <c r="U1216" i="1"/>
  <c r="V1216" i="1"/>
  <c r="W1216" i="1"/>
  <c r="X1216" i="1"/>
  <c r="Y1216" i="1"/>
  <c r="Z1216" i="1"/>
  <c r="A1217" i="1"/>
  <c r="B1217" i="1"/>
  <c r="C1217" i="1"/>
  <c r="D1217" i="1"/>
  <c r="E1217" i="1"/>
  <c r="F1217" i="1"/>
  <c r="G1217" i="1"/>
  <c r="I1217" i="1"/>
  <c r="J1217" i="1"/>
  <c r="K1217" i="1"/>
  <c r="L1217" i="1"/>
  <c r="M1217" i="1"/>
  <c r="N1217" i="1"/>
  <c r="O1217" i="1"/>
  <c r="P1217" i="1"/>
  <c r="Q1217" i="1"/>
  <c r="R1217" i="1"/>
  <c r="S1217" i="1"/>
  <c r="T1217" i="1"/>
  <c r="U1217" i="1"/>
  <c r="V1217" i="1"/>
  <c r="W1217" i="1"/>
  <c r="X1217" i="1"/>
  <c r="Y1217" i="1"/>
  <c r="Z1217" i="1"/>
  <c r="A1218" i="1"/>
  <c r="B1218" i="1"/>
  <c r="C1218" i="1"/>
  <c r="D1218" i="1"/>
  <c r="E1218" i="1"/>
  <c r="F1218" i="1"/>
  <c r="G1218" i="1"/>
  <c r="I1218" i="1"/>
  <c r="J1218" i="1"/>
  <c r="K1218" i="1"/>
  <c r="L1218" i="1"/>
  <c r="M1218" i="1"/>
  <c r="N1218" i="1"/>
  <c r="O1218" i="1"/>
  <c r="P1218" i="1"/>
  <c r="Q1218" i="1"/>
  <c r="R1218" i="1"/>
  <c r="S1218" i="1"/>
  <c r="T1218" i="1"/>
  <c r="U1218" i="1"/>
  <c r="V1218" i="1"/>
  <c r="W1218" i="1"/>
  <c r="X1218" i="1"/>
  <c r="Y1218" i="1"/>
  <c r="Z1218" i="1"/>
  <c r="A1219" i="1"/>
  <c r="B1219" i="1"/>
  <c r="C1219" i="1"/>
  <c r="D1219" i="1"/>
  <c r="E1219" i="1"/>
  <c r="F1219" i="1"/>
  <c r="G1219" i="1"/>
  <c r="I1219" i="1"/>
  <c r="J1219" i="1"/>
  <c r="K1219" i="1"/>
  <c r="L1219" i="1"/>
  <c r="M1219" i="1"/>
  <c r="N1219" i="1"/>
  <c r="O1219" i="1"/>
  <c r="P1219" i="1"/>
  <c r="Q1219" i="1"/>
  <c r="R1219" i="1"/>
  <c r="S1219" i="1"/>
  <c r="T1219" i="1"/>
  <c r="U1219" i="1"/>
  <c r="V1219" i="1"/>
  <c r="W1219" i="1"/>
  <c r="X1219" i="1"/>
  <c r="Y1219" i="1"/>
  <c r="Z1219" i="1"/>
  <c r="A1220" i="1"/>
  <c r="B1220" i="1"/>
  <c r="C1220" i="1"/>
  <c r="D1220" i="1"/>
  <c r="E1220" i="1"/>
  <c r="F1220" i="1"/>
  <c r="G1220" i="1"/>
  <c r="I1220" i="1"/>
  <c r="J1220" i="1"/>
  <c r="K1220" i="1"/>
  <c r="L1220" i="1"/>
  <c r="M1220" i="1"/>
  <c r="N1220" i="1"/>
  <c r="O1220" i="1"/>
  <c r="P1220" i="1"/>
  <c r="Q1220" i="1"/>
  <c r="R1220" i="1"/>
  <c r="S1220" i="1"/>
  <c r="T1220" i="1"/>
  <c r="U1220" i="1"/>
  <c r="V1220" i="1"/>
  <c r="W1220" i="1"/>
  <c r="X1220" i="1"/>
  <c r="Y1220" i="1"/>
  <c r="Z1220" i="1"/>
  <c r="A1221" i="1"/>
  <c r="B1221" i="1"/>
  <c r="C1221" i="1"/>
  <c r="D1221" i="1"/>
  <c r="E1221" i="1"/>
  <c r="F1221" i="1"/>
  <c r="G1221" i="1"/>
  <c r="I1221" i="1"/>
  <c r="J1221" i="1"/>
  <c r="K1221" i="1"/>
  <c r="L1221" i="1"/>
  <c r="M1221" i="1"/>
  <c r="N1221" i="1"/>
  <c r="O1221" i="1"/>
  <c r="P1221" i="1"/>
  <c r="Q1221" i="1"/>
  <c r="R1221" i="1"/>
  <c r="S1221" i="1"/>
  <c r="T1221" i="1"/>
  <c r="U1221" i="1"/>
  <c r="V1221" i="1"/>
  <c r="W1221" i="1"/>
  <c r="X1221" i="1"/>
  <c r="Y1221" i="1"/>
  <c r="Z1221" i="1"/>
  <c r="A1222" i="1"/>
  <c r="B1222" i="1"/>
  <c r="C1222" i="1"/>
  <c r="D1222" i="1"/>
  <c r="E1222" i="1"/>
  <c r="F1222" i="1"/>
  <c r="G1222" i="1"/>
  <c r="I1222" i="1"/>
  <c r="J1222" i="1"/>
  <c r="K1222" i="1"/>
  <c r="L1222" i="1"/>
  <c r="M1222" i="1"/>
  <c r="N1222" i="1"/>
  <c r="O1222" i="1"/>
  <c r="P1222" i="1"/>
  <c r="Q1222" i="1"/>
  <c r="R1222" i="1"/>
  <c r="S1222" i="1"/>
  <c r="T1222" i="1"/>
  <c r="U1222" i="1"/>
  <c r="V1222" i="1"/>
  <c r="W1222" i="1"/>
  <c r="X1222" i="1"/>
  <c r="Y1222" i="1"/>
  <c r="Z1222" i="1"/>
  <c r="A1223" i="1"/>
  <c r="B1223" i="1"/>
  <c r="C1223" i="1"/>
  <c r="D1223" i="1"/>
  <c r="E1223" i="1"/>
  <c r="F1223" i="1"/>
  <c r="G1223" i="1"/>
  <c r="I1223" i="1"/>
  <c r="J1223" i="1"/>
  <c r="K1223" i="1"/>
  <c r="L1223" i="1"/>
  <c r="M1223" i="1"/>
  <c r="N1223" i="1"/>
  <c r="O1223" i="1"/>
  <c r="P1223" i="1"/>
  <c r="Q1223" i="1"/>
  <c r="R1223" i="1"/>
  <c r="S1223" i="1"/>
  <c r="T1223" i="1"/>
  <c r="U1223" i="1"/>
  <c r="V1223" i="1"/>
  <c r="W1223" i="1"/>
  <c r="X1223" i="1"/>
  <c r="Y1223" i="1"/>
  <c r="Z1223" i="1"/>
  <c r="A1224" i="1"/>
  <c r="B1224" i="1"/>
  <c r="C1224" i="1"/>
  <c r="D1224" i="1"/>
  <c r="E1224" i="1"/>
  <c r="F1224" i="1"/>
  <c r="G1224" i="1"/>
  <c r="I1224" i="1"/>
  <c r="J1224" i="1"/>
  <c r="K1224" i="1"/>
  <c r="L1224" i="1"/>
  <c r="M1224" i="1"/>
  <c r="N1224" i="1"/>
  <c r="O1224" i="1"/>
  <c r="P1224" i="1"/>
  <c r="Q1224" i="1"/>
  <c r="R1224" i="1"/>
  <c r="S1224" i="1"/>
  <c r="T1224" i="1"/>
  <c r="U1224" i="1"/>
  <c r="V1224" i="1"/>
  <c r="W1224" i="1"/>
  <c r="X1224" i="1"/>
  <c r="Y1224" i="1"/>
  <c r="Z1224" i="1"/>
  <c r="A1225" i="1"/>
  <c r="B1225" i="1"/>
  <c r="C1225" i="1"/>
  <c r="D1225" i="1"/>
  <c r="E1225" i="1"/>
  <c r="F1225" i="1"/>
  <c r="G1225" i="1"/>
  <c r="I1225" i="1"/>
  <c r="J1225" i="1"/>
  <c r="K1225" i="1"/>
  <c r="L1225" i="1"/>
  <c r="M1225" i="1"/>
  <c r="N1225" i="1"/>
  <c r="O1225" i="1"/>
  <c r="P1225" i="1"/>
  <c r="Q1225" i="1"/>
  <c r="R1225" i="1"/>
  <c r="S1225" i="1"/>
  <c r="T1225" i="1"/>
  <c r="U1225" i="1"/>
  <c r="V1225" i="1"/>
  <c r="W1225" i="1"/>
  <c r="X1225" i="1"/>
  <c r="Y1225" i="1"/>
  <c r="Z1225" i="1"/>
  <c r="A1226" i="1"/>
  <c r="B1226" i="1"/>
  <c r="C1226" i="1"/>
  <c r="D1226" i="1"/>
  <c r="E1226" i="1"/>
  <c r="F1226" i="1"/>
  <c r="G1226" i="1"/>
  <c r="I1226" i="1"/>
  <c r="J1226" i="1"/>
  <c r="K1226" i="1"/>
  <c r="L1226" i="1"/>
  <c r="M1226" i="1"/>
  <c r="N1226" i="1"/>
  <c r="O1226" i="1"/>
  <c r="P1226" i="1"/>
  <c r="Q1226" i="1"/>
  <c r="R1226" i="1"/>
  <c r="S1226" i="1"/>
  <c r="T1226" i="1"/>
  <c r="U1226" i="1"/>
  <c r="V1226" i="1"/>
  <c r="W1226" i="1"/>
  <c r="X1226" i="1"/>
  <c r="Y1226" i="1"/>
  <c r="Z1226" i="1"/>
  <c r="A1227" i="1"/>
  <c r="B1227" i="1"/>
  <c r="C1227" i="1"/>
  <c r="D1227" i="1"/>
  <c r="E1227" i="1"/>
  <c r="F1227" i="1"/>
  <c r="G1227" i="1"/>
  <c r="I1227" i="1"/>
  <c r="J1227" i="1"/>
  <c r="K1227" i="1"/>
  <c r="L1227" i="1"/>
  <c r="M1227" i="1"/>
  <c r="N1227" i="1"/>
  <c r="O1227" i="1"/>
  <c r="P1227" i="1"/>
  <c r="Q1227" i="1"/>
  <c r="R1227" i="1"/>
  <c r="S1227" i="1"/>
  <c r="T1227" i="1"/>
  <c r="U1227" i="1"/>
  <c r="V1227" i="1"/>
  <c r="W1227" i="1"/>
  <c r="X1227" i="1"/>
  <c r="Y1227" i="1"/>
  <c r="Z1227" i="1"/>
  <c r="A1228" i="1"/>
  <c r="B1228" i="1"/>
  <c r="C1228" i="1"/>
  <c r="D1228" i="1"/>
  <c r="E1228" i="1"/>
  <c r="F1228" i="1"/>
  <c r="G1228" i="1"/>
  <c r="I1228" i="1"/>
  <c r="J1228" i="1"/>
  <c r="K1228" i="1"/>
  <c r="L1228" i="1"/>
  <c r="M1228" i="1"/>
  <c r="N1228" i="1"/>
  <c r="O1228" i="1"/>
  <c r="P1228" i="1"/>
  <c r="Q1228" i="1"/>
  <c r="R1228" i="1"/>
  <c r="S1228" i="1"/>
  <c r="T1228" i="1"/>
  <c r="U1228" i="1"/>
  <c r="V1228" i="1"/>
  <c r="W1228" i="1"/>
  <c r="X1228" i="1"/>
  <c r="Y1228" i="1"/>
  <c r="Z1228" i="1"/>
  <c r="A1229" i="1"/>
  <c r="B1229" i="1"/>
  <c r="C1229" i="1"/>
  <c r="D1229" i="1"/>
  <c r="E1229" i="1"/>
  <c r="F1229" i="1"/>
  <c r="G1229" i="1"/>
  <c r="I1229" i="1"/>
  <c r="J1229" i="1"/>
  <c r="K1229" i="1"/>
  <c r="L1229" i="1"/>
  <c r="M1229" i="1"/>
  <c r="N1229" i="1"/>
  <c r="O1229" i="1"/>
  <c r="P1229" i="1"/>
  <c r="Q1229" i="1"/>
  <c r="R1229" i="1"/>
  <c r="S1229" i="1"/>
  <c r="T1229" i="1"/>
  <c r="U1229" i="1"/>
  <c r="V1229" i="1"/>
  <c r="W1229" i="1"/>
  <c r="X1229" i="1"/>
  <c r="Y1229" i="1"/>
  <c r="Z1229" i="1"/>
  <c r="A1230" i="1"/>
  <c r="B1230" i="1"/>
  <c r="C1230" i="1"/>
  <c r="D1230" i="1"/>
  <c r="E1230" i="1"/>
  <c r="F1230" i="1"/>
  <c r="G1230" i="1"/>
  <c r="I1230" i="1"/>
  <c r="J1230" i="1"/>
  <c r="K1230" i="1"/>
  <c r="L1230" i="1"/>
  <c r="M1230" i="1"/>
  <c r="N1230" i="1"/>
  <c r="O1230" i="1"/>
  <c r="P1230" i="1"/>
  <c r="Q1230" i="1"/>
  <c r="R1230" i="1"/>
  <c r="S1230" i="1"/>
  <c r="T1230" i="1"/>
  <c r="U1230" i="1"/>
  <c r="V1230" i="1"/>
  <c r="W1230" i="1"/>
  <c r="X1230" i="1"/>
  <c r="Y1230" i="1"/>
  <c r="Z1230" i="1"/>
  <c r="A1231" i="1"/>
  <c r="B1231" i="1"/>
  <c r="C1231" i="1"/>
  <c r="D1231" i="1"/>
  <c r="E1231" i="1"/>
  <c r="F1231" i="1"/>
  <c r="G1231" i="1"/>
  <c r="I1231" i="1"/>
  <c r="J1231" i="1"/>
  <c r="K1231" i="1"/>
  <c r="L1231" i="1"/>
  <c r="M1231" i="1"/>
  <c r="N1231" i="1"/>
  <c r="O1231" i="1"/>
  <c r="P1231" i="1"/>
  <c r="Q1231" i="1"/>
  <c r="R1231" i="1"/>
  <c r="S1231" i="1"/>
  <c r="T1231" i="1"/>
  <c r="U1231" i="1"/>
  <c r="V1231" i="1"/>
  <c r="W1231" i="1"/>
  <c r="X1231" i="1"/>
  <c r="Y1231" i="1"/>
  <c r="Z1231" i="1"/>
  <c r="A1232" i="1"/>
  <c r="B1232" i="1"/>
  <c r="C1232" i="1"/>
  <c r="D1232" i="1"/>
  <c r="E1232" i="1"/>
  <c r="F1232" i="1"/>
  <c r="G1232" i="1"/>
  <c r="I1232" i="1"/>
  <c r="J1232" i="1"/>
  <c r="K1232" i="1"/>
  <c r="L1232" i="1"/>
  <c r="M1232" i="1"/>
  <c r="N1232" i="1"/>
  <c r="O1232" i="1"/>
  <c r="P1232" i="1"/>
  <c r="Q1232" i="1"/>
  <c r="R1232" i="1"/>
  <c r="S1232" i="1"/>
  <c r="T1232" i="1"/>
  <c r="U1232" i="1"/>
  <c r="V1232" i="1"/>
  <c r="W1232" i="1"/>
  <c r="X1232" i="1"/>
  <c r="Y1232" i="1"/>
  <c r="Z1232" i="1"/>
  <c r="A1233" i="1"/>
  <c r="B1233" i="1"/>
  <c r="C1233" i="1"/>
  <c r="D1233" i="1"/>
  <c r="E1233" i="1"/>
  <c r="F1233" i="1"/>
  <c r="G1233" i="1"/>
  <c r="I1233" i="1"/>
  <c r="J1233" i="1"/>
  <c r="K1233" i="1"/>
  <c r="L1233" i="1"/>
  <c r="M1233" i="1"/>
  <c r="N1233" i="1"/>
  <c r="O1233" i="1"/>
  <c r="P1233" i="1"/>
  <c r="Q1233" i="1"/>
  <c r="R1233" i="1"/>
  <c r="S1233" i="1"/>
  <c r="T1233" i="1"/>
  <c r="U1233" i="1"/>
  <c r="V1233" i="1"/>
  <c r="W1233" i="1"/>
  <c r="X1233" i="1"/>
  <c r="Y1233" i="1"/>
  <c r="Z1233" i="1"/>
  <c r="A1234" i="1"/>
  <c r="B1234" i="1"/>
  <c r="C1234" i="1"/>
  <c r="D1234" i="1"/>
  <c r="E1234" i="1"/>
  <c r="F1234" i="1"/>
  <c r="G1234" i="1"/>
  <c r="I1234" i="1"/>
  <c r="J1234" i="1"/>
  <c r="K1234" i="1"/>
  <c r="L1234" i="1"/>
  <c r="M1234" i="1"/>
  <c r="N1234" i="1"/>
  <c r="O1234" i="1"/>
  <c r="P1234" i="1"/>
  <c r="Q1234" i="1"/>
  <c r="R1234" i="1"/>
  <c r="S1234" i="1"/>
  <c r="T1234" i="1"/>
  <c r="U1234" i="1"/>
  <c r="V1234" i="1"/>
  <c r="W1234" i="1"/>
  <c r="X1234" i="1"/>
  <c r="Y1234" i="1"/>
  <c r="Z1234" i="1"/>
  <c r="A1235" i="1"/>
  <c r="B1235" i="1"/>
  <c r="C1235" i="1"/>
  <c r="D1235" i="1"/>
  <c r="E1235" i="1"/>
  <c r="F1235" i="1"/>
  <c r="G1235" i="1"/>
  <c r="I1235" i="1"/>
  <c r="J1235" i="1"/>
  <c r="K1235" i="1"/>
  <c r="L1235" i="1"/>
  <c r="M1235" i="1"/>
  <c r="N1235" i="1"/>
  <c r="O1235" i="1"/>
  <c r="P1235" i="1"/>
  <c r="Q1235" i="1"/>
  <c r="R1235" i="1"/>
  <c r="S1235" i="1"/>
  <c r="T1235" i="1"/>
  <c r="U1235" i="1"/>
  <c r="V1235" i="1"/>
  <c r="W1235" i="1"/>
  <c r="X1235" i="1"/>
  <c r="Y1235" i="1"/>
  <c r="Z1235" i="1"/>
  <c r="A1236" i="1"/>
  <c r="B1236" i="1"/>
  <c r="C1236" i="1"/>
  <c r="D1236" i="1"/>
  <c r="E1236" i="1"/>
  <c r="F1236" i="1"/>
  <c r="G1236" i="1"/>
  <c r="I1236" i="1"/>
  <c r="J1236" i="1"/>
  <c r="K1236" i="1"/>
  <c r="L1236" i="1"/>
  <c r="M1236" i="1"/>
  <c r="N1236" i="1"/>
  <c r="O1236" i="1"/>
  <c r="P1236" i="1"/>
  <c r="Q1236" i="1"/>
  <c r="R1236" i="1"/>
  <c r="S1236" i="1"/>
  <c r="T1236" i="1"/>
  <c r="U1236" i="1"/>
  <c r="V1236" i="1"/>
  <c r="W1236" i="1"/>
  <c r="X1236" i="1"/>
  <c r="Y1236" i="1"/>
  <c r="Z1236" i="1"/>
  <c r="A1237" i="1"/>
  <c r="B1237" i="1"/>
  <c r="C1237" i="1"/>
  <c r="D1237" i="1"/>
  <c r="E1237" i="1"/>
  <c r="F1237" i="1"/>
  <c r="G1237" i="1"/>
  <c r="I1237" i="1"/>
  <c r="J1237" i="1"/>
  <c r="K1237" i="1"/>
  <c r="L1237" i="1"/>
  <c r="M1237" i="1"/>
  <c r="N1237" i="1"/>
  <c r="O1237" i="1"/>
  <c r="P1237" i="1"/>
  <c r="Q1237" i="1"/>
  <c r="R1237" i="1"/>
  <c r="S1237" i="1"/>
  <c r="T1237" i="1"/>
  <c r="U1237" i="1"/>
  <c r="V1237" i="1"/>
  <c r="W1237" i="1"/>
  <c r="X1237" i="1"/>
  <c r="Y1237" i="1"/>
  <c r="Z1237" i="1"/>
  <c r="A1238" i="1"/>
  <c r="B1238" i="1"/>
  <c r="C1238" i="1"/>
  <c r="D1238" i="1"/>
  <c r="E1238" i="1"/>
  <c r="F1238" i="1"/>
  <c r="G1238" i="1"/>
  <c r="I1238" i="1"/>
  <c r="J1238" i="1"/>
  <c r="K1238" i="1"/>
  <c r="L1238" i="1"/>
  <c r="M1238" i="1"/>
  <c r="N1238" i="1"/>
  <c r="O1238" i="1"/>
  <c r="P1238" i="1"/>
  <c r="Q1238" i="1"/>
  <c r="R1238" i="1"/>
  <c r="S1238" i="1"/>
  <c r="T1238" i="1"/>
  <c r="U1238" i="1"/>
  <c r="V1238" i="1"/>
  <c r="W1238" i="1"/>
  <c r="X1238" i="1"/>
  <c r="Y1238" i="1"/>
  <c r="Z1238" i="1"/>
  <c r="A1239" i="1"/>
  <c r="B1239" i="1"/>
  <c r="C1239" i="1"/>
  <c r="D1239" i="1"/>
  <c r="E1239" i="1"/>
  <c r="F1239" i="1"/>
  <c r="G1239" i="1"/>
  <c r="I1239" i="1"/>
  <c r="J1239" i="1"/>
  <c r="K1239" i="1"/>
  <c r="L1239" i="1"/>
  <c r="M1239" i="1"/>
  <c r="N1239" i="1"/>
  <c r="O1239" i="1"/>
  <c r="P1239" i="1"/>
  <c r="Q1239" i="1"/>
  <c r="R1239" i="1"/>
  <c r="S1239" i="1"/>
  <c r="T1239" i="1"/>
  <c r="U1239" i="1"/>
  <c r="V1239" i="1"/>
  <c r="W1239" i="1"/>
  <c r="X1239" i="1"/>
  <c r="Y1239" i="1"/>
  <c r="Z1239" i="1"/>
  <c r="A1240" i="1"/>
  <c r="B1240" i="1"/>
  <c r="C1240" i="1"/>
  <c r="D1240" i="1"/>
  <c r="E1240" i="1"/>
  <c r="F1240" i="1"/>
  <c r="G1240" i="1"/>
  <c r="I1240" i="1"/>
  <c r="J1240" i="1"/>
  <c r="K1240" i="1"/>
  <c r="L1240" i="1"/>
  <c r="M1240" i="1"/>
  <c r="N1240" i="1"/>
  <c r="O1240" i="1"/>
  <c r="P1240" i="1"/>
  <c r="Q1240" i="1"/>
  <c r="R1240" i="1"/>
  <c r="S1240" i="1"/>
  <c r="T1240" i="1"/>
  <c r="U1240" i="1"/>
  <c r="V1240" i="1"/>
  <c r="W1240" i="1"/>
  <c r="X1240" i="1"/>
  <c r="Y1240" i="1"/>
  <c r="Z1240" i="1"/>
  <c r="A1241" i="1"/>
  <c r="B1241" i="1"/>
  <c r="C1241" i="1"/>
  <c r="D1241" i="1"/>
  <c r="E1241" i="1"/>
  <c r="F1241" i="1"/>
  <c r="G1241" i="1"/>
  <c r="I1241" i="1"/>
  <c r="J1241" i="1"/>
  <c r="K1241" i="1"/>
  <c r="L1241" i="1"/>
  <c r="M1241" i="1"/>
  <c r="N1241" i="1"/>
  <c r="O1241" i="1"/>
  <c r="P1241" i="1"/>
  <c r="Q1241" i="1"/>
  <c r="R1241" i="1"/>
  <c r="S1241" i="1"/>
  <c r="T1241" i="1"/>
  <c r="U1241" i="1"/>
  <c r="V1241" i="1"/>
  <c r="W1241" i="1"/>
  <c r="X1241" i="1"/>
  <c r="Y1241" i="1"/>
  <c r="Z1241" i="1"/>
  <c r="A1242" i="1"/>
  <c r="B1242" i="1"/>
  <c r="C1242" i="1"/>
  <c r="D1242" i="1"/>
  <c r="E1242" i="1"/>
  <c r="F1242" i="1"/>
  <c r="G1242" i="1"/>
  <c r="I1242" i="1"/>
  <c r="J1242" i="1"/>
  <c r="K1242" i="1"/>
  <c r="L1242" i="1"/>
  <c r="M1242" i="1"/>
  <c r="N1242" i="1"/>
  <c r="O1242" i="1"/>
  <c r="P1242" i="1"/>
  <c r="Q1242" i="1"/>
  <c r="R1242" i="1"/>
  <c r="S1242" i="1"/>
  <c r="T1242" i="1"/>
  <c r="U1242" i="1"/>
  <c r="V1242" i="1"/>
  <c r="W1242" i="1"/>
  <c r="X1242" i="1"/>
  <c r="Y1242" i="1"/>
  <c r="Z1242" i="1"/>
  <c r="A1243" i="1"/>
  <c r="B1243" i="1"/>
  <c r="C1243" i="1"/>
  <c r="D1243" i="1"/>
  <c r="E1243" i="1"/>
  <c r="F1243" i="1"/>
  <c r="G1243" i="1"/>
  <c r="I1243" i="1"/>
  <c r="J1243" i="1"/>
  <c r="K1243" i="1"/>
  <c r="L1243" i="1"/>
  <c r="M1243" i="1"/>
  <c r="N1243" i="1"/>
  <c r="O1243" i="1"/>
  <c r="P1243" i="1"/>
  <c r="Q1243" i="1"/>
  <c r="R1243" i="1"/>
  <c r="S1243" i="1"/>
  <c r="T1243" i="1"/>
  <c r="U1243" i="1"/>
  <c r="V1243" i="1"/>
  <c r="W1243" i="1"/>
  <c r="X1243" i="1"/>
  <c r="Y1243" i="1"/>
  <c r="Z1243" i="1"/>
  <c r="A1244" i="1"/>
  <c r="B1244" i="1"/>
  <c r="C1244" i="1"/>
  <c r="D1244" i="1"/>
  <c r="E1244" i="1"/>
  <c r="F1244" i="1"/>
  <c r="G1244" i="1"/>
  <c r="I1244" i="1"/>
  <c r="J1244" i="1"/>
  <c r="K1244" i="1"/>
  <c r="L1244" i="1"/>
  <c r="M1244" i="1"/>
  <c r="N1244" i="1"/>
  <c r="O1244" i="1"/>
  <c r="P1244" i="1"/>
  <c r="Q1244" i="1"/>
  <c r="R1244" i="1"/>
  <c r="S1244" i="1"/>
  <c r="T1244" i="1"/>
  <c r="U1244" i="1"/>
  <c r="V1244" i="1"/>
  <c r="W1244" i="1"/>
  <c r="X1244" i="1"/>
  <c r="Y1244" i="1"/>
  <c r="Z1244" i="1"/>
  <c r="A1245" i="1"/>
  <c r="B1245" i="1"/>
  <c r="C1245" i="1"/>
  <c r="D1245" i="1"/>
  <c r="E1245" i="1"/>
  <c r="F1245" i="1"/>
  <c r="G1245" i="1"/>
  <c r="I1245" i="1"/>
  <c r="J1245" i="1"/>
  <c r="K1245" i="1"/>
  <c r="L1245" i="1"/>
  <c r="M1245" i="1"/>
  <c r="N1245" i="1"/>
  <c r="O1245" i="1"/>
  <c r="P1245" i="1"/>
  <c r="Q1245" i="1"/>
  <c r="R1245" i="1"/>
  <c r="S1245" i="1"/>
  <c r="T1245" i="1"/>
  <c r="U1245" i="1"/>
  <c r="V1245" i="1"/>
  <c r="W1245" i="1"/>
  <c r="X1245" i="1"/>
  <c r="Y1245" i="1"/>
  <c r="Z1245" i="1"/>
  <c r="A1246" i="1"/>
  <c r="B1246" i="1"/>
  <c r="C1246" i="1"/>
  <c r="D1246" i="1"/>
  <c r="E1246" i="1"/>
  <c r="F1246" i="1"/>
  <c r="G1246" i="1"/>
  <c r="I1246" i="1"/>
  <c r="J1246" i="1"/>
  <c r="K1246" i="1"/>
  <c r="L1246" i="1"/>
  <c r="M1246" i="1"/>
  <c r="N1246" i="1"/>
  <c r="O1246" i="1"/>
  <c r="P1246" i="1"/>
  <c r="Q1246" i="1"/>
  <c r="R1246" i="1"/>
  <c r="S1246" i="1"/>
  <c r="T1246" i="1"/>
  <c r="U1246" i="1"/>
  <c r="V1246" i="1"/>
  <c r="W1246" i="1"/>
  <c r="X1246" i="1"/>
  <c r="Y1246" i="1"/>
  <c r="Z1246" i="1"/>
  <c r="A1247" i="1"/>
  <c r="B1247" i="1"/>
  <c r="C1247" i="1"/>
  <c r="D1247" i="1"/>
  <c r="E1247" i="1"/>
  <c r="F1247" i="1"/>
  <c r="G1247" i="1"/>
  <c r="I1247" i="1"/>
  <c r="J1247" i="1"/>
  <c r="K1247" i="1"/>
  <c r="L1247" i="1"/>
  <c r="M1247" i="1"/>
  <c r="N1247" i="1"/>
  <c r="O1247" i="1"/>
  <c r="P1247" i="1"/>
  <c r="Q1247" i="1"/>
  <c r="R1247" i="1"/>
  <c r="S1247" i="1"/>
  <c r="T1247" i="1"/>
  <c r="U1247" i="1"/>
  <c r="V1247" i="1"/>
  <c r="W1247" i="1"/>
  <c r="X1247" i="1"/>
  <c r="Y1247" i="1"/>
  <c r="Z1247" i="1"/>
  <c r="A1248" i="1"/>
  <c r="B1248" i="1"/>
  <c r="C1248" i="1"/>
  <c r="D1248" i="1"/>
  <c r="E1248" i="1"/>
  <c r="F1248" i="1"/>
  <c r="G1248" i="1"/>
  <c r="I1248" i="1"/>
  <c r="J1248" i="1"/>
  <c r="K1248" i="1"/>
  <c r="L1248" i="1"/>
  <c r="M1248" i="1"/>
  <c r="N1248" i="1"/>
  <c r="O1248" i="1"/>
  <c r="P1248" i="1"/>
  <c r="Q1248" i="1"/>
  <c r="R1248" i="1"/>
  <c r="S1248" i="1"/>
  <c r="T1248" i="1"/>
  <c r="U1248" i="1"/>
  <c r="V1248" i="1"/>
  <c r="W1248" i="1"/>
  <c r="X1248" i="1"/>
  <c r="Y1248" i="1"/>
  <c r="Z1248" i="1"/>
  <c r="A1249" i="1"/>
  <c r="B1249" i="1"/>
  <c r="C1249" i="1"/>
  <c r="D1249" i="1"/>
  <c r="E1249" i="1"/>
  <c r="F1249" i="1"/>
  <c r="G1249" i="1"/>
  <c r="I1249" i="1"/>
  <c r="J1249" i="1"/>
  <c r="K1249" i="1"/>
  <c r="L1249" i="1"/>
  <c r="M1249" i="1"/>
  <c r="N1249" i="1"/>
  <c r="O1249" i="1"/>
  <c r="P1249" i="1"/>
  <c r="Q1249" i="1"/>
  <c r="R1249" i="1"/>
  <c r="S1249" i="1"/>
  <c r="T1249" i="1"/>
  <c r="U1249" i="1"/>
  <c r="V1249" i="1"/>
  <c r="W1249" i="1"/>
  <c r="X1249" i="1"/>
  <c r="Y1249" i="1"/>
  <c r="Z1249" i="1"/>
  <c r="A1250" i="1"/>
  <c r="B1250" i="1"/>
  <c r="C1250" i="1"/>
  <c r="D1250" i="1"/>
  <c r="E1250" i="1"/>
  <c r="F1250" i="1"/>
  <c r="G1250" i="1"/>
  <c r="I1250" i="1"/>
  <c r="J1250" i="1"/>
  <c r="K1250" i="1"/>
  <c r="L1250" i="1"/>
  <c r="M1250" i="1"/>
  <c r="N1250" i="1"/>
  <c r="O1250" i="1"/>
  <c r="P1250" i="1"/>
  <c r="Q1250" i="1"/>
  <c r="R1250" i="1"/>
  <c r="S1250" i="1"/>
  <c r="T1250" i="1"/>
  <c r="U1250" i="1"/>
  <c r="V1250" i="1"/>
  <c r="W1250" i="1"/>
  <c r="X1250" i="1"/>
  <c r="Y1250" i="1"/>
  <c r="Z1250" i="1"/>
  <c r="A1251" i="1"/>
  <c r="B1251" i="1"/>
  <c r="C1251" i="1"/>
  <c r="D1251" i="1"/>
  <c r="E1251" i="1"/>
  <c r="F1251" i="1"/>
  <c r="G1251" i="1"/>
  <c r="I1251" i="1"/>
  <c r="J1251" i="1"/>
  <c r="K1251" i="1"/>
  <c r="L1251" i="1"/>
  <c r="M1251" i="1"/>
  <c r="N1251" i="1"/>
  <c r="O1251" i="1"/>
  <c r="P1251" i="1"/>
  <c r="Q1251" i="1"/>
  <c r="R1251" i="1"/>
  <c r="S1251" i="1"/>
  <c r="T1251" i="1"/>
  <c r="U1251" i="1"/>
  <c r="V1251" i="1"/>
  <c r="W1251" i="1"/>
  <c r="X1251" i="1"/>
  <c r="Y1251" i="1"/>
  <c r="Z1251" i="1"/>
  <c r="A1252" i="1"/>
  <c r="B1252" i="1"/>
  <c r="C1252" i="1"/>
  <c r="D1252" i="1"/>
  <c r="E1252" i="1"/>
  <c r="F1252" i="1"/>
  <c r="G1252" i="1"/>
  <c r="I1252" i="1"/>
  <c r="J1252" i="1"/>
  <c r="K1252" i="1"/>
  <c r="L1252" i="1"/>
  <c r="M1252" i="1"/>
  <c r="N1252" i="1"/>
  <c r="O1252" i="1"/>
  <c r="P1252" i="1"/>
  <c r="Q1252" i="1"/>
  <c r="R1252" i="1"/>
  <c r="S1252" i="1"/>
  <c r="T1252" i="1"/>
  <c r="U1252" i="1"/>
  <c r="V1252" i="1"/>
  <c r="W1252" i="1"/>
  <c r="X1252" i="1"/>
  <c r="Y1252" i="1"/>
  <c r="Z1252" i="1"/>
  <c r="A1253" i="1"/>
  <c r="B1253" i="1"/>
  <c r="C1253" i="1"/>
  <c r="D1253" i="1"/>
  <c r="E1253" i="1"/>
  <c r="F1253" i="1"/>
  <c r="G1253" i="1"/>
  <c r="I1253" i="1"/>
  <c r="J1253" i="1"/>
  <c r="K1253" i="1"/>
  <c r="L1253" i="1"/>
  <c r="M1253" i="1"/>
  <c r="N1253" i="1"/>
  <c r="O1253" i="1"/>
  <c r="P1253" i="1"/>
  <c r="Q1253" i="1"/>
  <c r="R1253" i="1"/>
  <c r="S1253" i="1"/>
  <c r="T1253" i="1"/>
  <c r="U1253" i="1"/>
  <c r="V1253" i="1"/>
  <c r="W1253" i="1"/>
  <c r="X1253" i="1"/>
  <c r="Y1253" i="1"/>
  <c r="Z1253" i="1"/>
  <c r="A1254" i="1"/>
  <c r="B1254" i="1"/>
  <c r="C1254" i="1"/>
  <c r="D1254" i="1"/>
  <c r="E1254" i="1"/>
  <c r="F1254" i="1"/>
  <c r="G1254" i="1"/>
  <c r="I1254" i="1"/>
  <c r="J1254" i="1"/>
  <c r="K1254" i="1"/>
  <c r="L1254" i="1"/>
  <c r="M1254" i="1"/>
  <c r="N1254" i="1"/>
  <c r="O1254" i="1"/>
  <c r="P1254" i="1"/>
  <c r="Q1254" i="1"/>
  <c r="R1254" i="1"/>
  <c r="S1254" i="1"/>
  <c r="T1254" i="1"/>
  <c r="U1254" i="1"/>
  <c r="V1254" i="1"/>
  <c r="W1254" i="1"/>
  <c r="X1254" i="1"/>
  <c r="Y1254" i="1"/>
  <c r="Z1254" i="1"/>
  <c r="A1255" i="1"/>
  <c r="B1255" i="1"/>
  <c r="C1255" i="1"/>
  <c r="D1255" i="1"/>
  <c r="E1255" i="1"/>
  <c r="F1255" i="1"/>
  <c r="G1255" i="1"/>
  <c r="I1255" i="1"/>
  <c r="J1255" i="1"/>
  <c r="K1255" i="1"/>
  <c r="L1255" i="1"/>
  <c r="M1255" i="1"/>
  <c r="N1255" i="1"/>
  <c r="O1255" i="1"/>
  <c r="P1255" i="1"/>
  <c r="Q1255" i="1"/>
  <c r="R1255" i="1"/>
  <c r="S1255" i="1"/>
  <c r="T1255" i="1"/>
  <c r="U1255" i="1"/>
  <c r="V1255" i="1"/>
  <c r="W1255" i="1"/>
  <c r="X1255" i="1"/>
  <c r="Y1255" i="1"/>
  <c r="Z1255" i="1"/>
  <c r="A1256" i="1"/>
  <c r="B1256" i="1"/>
  <c r="C1256" i="1"/>
  <c r="D1256" i="1"/>
  <c r="E1256" i="1"/>
  <c r="F1256" i="1"/>
  <c r="G1256" i="1"/>
  <c r="I1256" i="1"/>
  <c r="J1256" i="1"/>
  <c r="K1256" i="1"/>
  <c r="L1256" i="1"/>
  <c r="M1256" i="1"/>
  <c r="N1256" i="1"/>
  <c r="O1256" i="1"/>
  <c r="P1256" i="1"/>
  <c r="Q1256" i="1"/>
  <c r="R1256" i="1"/>
  <c r="S1256" i="1"/>
  <c r="T1256" i="1"/>
  <c r="U1256" i="1"/>
  <c r="V1256" i="1"/>
  <c r="W1256" i="1"/>
  <c r="X1256" i="1"/>
  <c r="Y1256" i="1"/>
  <c r="Z1256" i="1"/>
  <c r="A1257" i="1"/>
  <c r="B1257" i="1"/>
  <c r="C1257" i="1"/>
  <c r="D1257" i="1"/>
  <c r="E1257" i="1"/>
  <c r="F1257" i="1"/>
  <c r="G1257" i="1"/>
  <c r="I1257" i="1"/>
  <c r="J1257" i="1"/>
  <c r="K1257" i="1"/>
  <c r="L1257" i="1"/>
  <c r="M1257" i="1"/>
  <c r="N1257" i="1"/>
  <c r="O1257" i="1"/>
  <c r="P1257" i="1"/>
  <c r="Q1257" i="1"/>
  <c r="R1257" i="1"/>
  <c r="S1257" i="1"/>
  <c r="T1257" i="1"/>
  <c r="U1257" i="1"/>
  <c r="V1257" i="1"/>
  <c r="W1257" i="1"/>
  <c r="X1257" i="1"/>
  <c r="Y1257" i="1"/>
  <c r="Z1257" i="1"/>
  <c r="A1258" i="1"/>
  <c r="B1258" i="1"/>
  <c r="C1258" i="1"/>
  <c r="D1258" i="1"/>
  <c r="E1258" i="1"/>
  <c r="F1258" i="1"/>
  <c r="G1258" i="1"/>
  <c r="I1258" i="1"/>
  <c r="J1258" i="1"/>
  <c r="K1258" i="1"/>
  <c r="L1258" i="1"/>
  <c r="M1258" i="1"/>
  <c r="N1258" i="1"/>
  <c r="O1258" i="1"/>
  <c r="P1258" i="1"/>
  <c r="Q1258" i="1"/>
  <c r="R1258" i="1"/>
  <c r="S1258" i="1"/>
  <c r="T1258" i="1"/>
  <c r="U1258" i="1"/>
  <c r="V1258" i="1"/>
  <c r="W1258" i="1"/>
  <c r="X1258" i="1"/>
  <c r="Y1258" i="1"/>
  <c r="Z1258" i="1"/>
  <c r="A1259" i="1"/>
  <c r="B1259" i="1"/>
  <c r="C1259" i="1"/>
  <c r="D1259" i="1"/>
  <c r="E1259" i="1"/>
  <c r="F1259" i="1"/>
  <c r="G1259" i="1"/>
  <c r="I1259" i="1"/>
  <c r="J1259" i="1"/>
  <c r="K1259" i="1"/>
  <c r="L1259" i="1"/>
  <c r="M1259" i="1"/>
  <c r="N1259" i="1"/>
  <c r="O1259" i="1"/>
  <c r="P1259" i="1"/>
  <c r="Q1259" i="1"/>
  <c r="R1259" i="1"/>
  <c r="S1259" i="1"/>
  <c r="T1259" i="1"/>
  <c r="U1259" i="1"/>
  <c r="V1259" i="1"/>
  <c r="W1259" i="1"/>
  <c r="X1259" i="1"/>
  <c r="Y1259" i="1"/>
  <c r="Z1259" i="1"/>
  <c r="A1260" i="1"/>
  <c r="B1260" i="1"/>
  <c r="C1260" i="1"/>
  <c r="D1260" i="1"/>
  <c r="E1260" i="1"/>
  <c r="F1260" i="1"/>
  <c r="G1260" i="1"/>
  <c r="I1260" i="1"/>
  <c r="J1260" i="1"/>
  <c r="K1260" i="1"/>
  <c r="L1260" i="1"/>
  <c r="M1260" i="1"/>
  <c r="N1260" i="1"/>
  <c r="O1260" i="1"/>
  <c r="P1260" i="1"/>
  <c r="Q1260" i="1"/>
  <c r="R1260" i="1"/>
  <c r="S1260" i="1"/>
  <c r="T1260" i="1"/>
  <c r="U1260" i="1"/>
  <c r="V1260" i="1"/>
  <c r="W1260" i="1"/>
  <c r="X1260" i="1"/>
  <c r="Y1260" i="1"/>
  <c r="Z1260" i="1"/>
  <c r="A1261" i="1"/>
  <c r="B1261" i="1"/>
  <c r="C1261" i="1"/>
  <c r="D1261" i="1"/>
  <c r="E1261" i="1"/>
  <c r="F1261" i="1"/>
  <c r="G1261" i="1"/>
  <c r="I1261" i="1"/>
  <c r="J1261" i="1"/>
  <c r="K1261" i="1"/>
  <c r="L1261" i="1"/>
  <c r="M1261" i="1"/>
  <c r="N1261" i="1"/>
  <c r="O1261" i="1"/>
  <c r="P1261" i="1"/>
  <c r="Q1261" i="1"/>
  <c r="R1261" i="1"/>
  <c r="S1261" i="1"/>
  <c r="T1261" i="1"/>
  <c r="U1261" i="1"/>
  <c r="V1261" i="1"/>
  <c r="W1261" i="1"/>
  <c r="X1261" i="1"/>
  <c r="Y1261" i="1"/>
  <c r="Z1261" i="1"/>
  <c r="A1262" i="1"/>
  <c r="B1262" i="1"/>
  <c r="C1262" i="1"/>
  <c r="D1262" i="1"/>
  <c r="E1262" i="1"/>
  <c r="F1262" i="1"/>
  <c r="G1262" i="1"/>
  <c r="I1262" i="1"/>
  <c r="J1262" i="1"/>
  <c r="K1262" i="1"/>
  <c r="L1262" i="1"/>
  <c r="M1262" i="1"/>
  <c r="N1262" i="1"/>
  <c r="O1262" i="1"/>
  <c r="P1262" i="1"/>
  <c r="Q1262" i="1"/>
  <c r="R1262" i="1"/>
  <c r="S1262" i="1"/>
  <c r="T1262" i="1"/>
  <c r="U1262" i="1"/>
  <c r="V1262" i="1"/>
  <c r="W1262" i="1"/>
  <c r="X1262" i="1"/>
  <c r="Y1262" i="1"/>
  <c r="Z1262" i="1"/>
  <c r="A1263" i="1"/>
  <c r="B1263" i="1"/>
  <c r="C1263" i="1"/>
  <c r="D1263" i="1"/>
  <c r="E1263" i="1"/>
  <c r="F1263" i="1"/>
  <c r="G1263" i="1"/>
  <c r="I1263" i="1"/>
  <c r="J1263" i="1"/>
  <c r="K1263" i="1"/>
  <c r="L1263" i="1"/>
  <c r="M1263" i="1"/>
  <c r="N1263" i="1"/>
  <c r="O1263" i="1"/>
  <c r="P1263" i="1"/>
  <c r="Q1263" i="1"/>
  <c r="R1263" i="1"/>
  <c r="S1263" i="1"/>
  <c r="T1263" i="1"/>
  <c r="U1263" i="1"/>
  <c r="V1263" i="1"/>
  <c r="W1263" i="1"/>
  <c r="X1263" i="1"/>
  <c r="Y1263" i="1"/>
  <c r="Z1263" i="1"/>
  <c r="A1264" i="1"/>
  <c r="B1264" i="1"/>
  <c r="C1264" i="1"/>
  <c r="D1264" i="1"/>
  <c r="E1264" i="1"/>
  <c r="F1264" i="1"/>
  <c r="G1264" i="1"/>
  <c r="I1264" i="1"/>
  <c r="J1264" i="1"/>
  <c r="K1264" i="1"/>
  <c r="L1264" i="1"/>
  <c r="M1264" i="1"/>
  <c r="N1264" i="1"/>
  <c r="O1264" i="1"/>
  <c r="P1264" i="1"/>
  <c r="Q1264" i="1"/>
  <c r="R1264" i="1"/>
  <c r="S1264" i="1"/>
  <c r="T1264" i="1"/>
  <c r="U1264" i="1"/>
  <c r="V1264" i="1"/>
  <c r="W1264" i="1"/>
  <c r="X1264" i="1"/>
  <c r="Y1264" i="1"/>
  <c r="Z1264" i="1"/>
  <c r="A1265" i="1"/>
  <c r="B1265" i="1"/>
  <c r="C1265" i="1"/>
  <c r="D1265" i="1"/>
  <c r="E1265" i="1"/>
  <c r="F1265" i="1"/>
  <c r="G1265" i="1"/>
  <c r="I1265" i="1"/>
  <c r="J1265" i="1"/>
  <c r="K1265" i="1"/>
  <c r="L1265" i="1"/>
  <c r="M1265" i="1"/>
  <c r="N1265" i="1"/>
  <c r="O1265" i="1"/>
  <c r="P1265" i="1"/>
  <c r="Q1265" i="1"/>
  <c r="R1265" i="1"/>
  <c r="S1265" i="1"/>
  <c r="T1265" i="1"/>
  <c r="U1265" i="1"/>
  <c r="V1265" i="1"/>
  <c r="W1265" i="1"/>
  <c r="X1265" i="1"/>
  <c r="Y1265" i="1"/>
  <c r="Z1265" i="1"/>
  <c r="A1266" i="1"/>
  <c r="B1266" i="1"/>
  <c r="C1266" i="1"/>
  <c r="D1266" i="1"/>
  <c r="E1266" i="1"/>
  <c r="F1266" i="1"/>
  <c r="G1266" i="1"/>
  <c r="I1266" i="1"/>
  <c r="J1266" i="1"/>
  <c r="K1266" i="1"/>
  <c r="L1266" i="1"/>
  <c r="M1266" i="1"/>
  <c r="N1266" i="1"/>
  <c r="O1266" i="1"/>
  <c r="P1266" i="1"/>
  <c r="Q1266" i="1"/>
  <c r="R1266" i="1"/>
  <c r="S1266" i="1"/>
  <c r="T1266" i="1"/>
  <c r="U1266" i="1"/>
  <c r="V1266" i="1"/>
  <c r="W1266" i="1"/>
  <c r="X1266" i="1"/>
  <c r="Y1266" i="1"/>
  <c r="Z1266" i="1"/>
  <c r="A1267" i="1"/>
  <c r="B1267" i="1"/>
  <c r="C1267" i="1"/>
  <c r="D1267" i="1"/>
  <c r="E1267" i="1"/>
  <c r="F1267" i="1"/>
  <c r="G1267" i="1"/>
  <c r="I1267" i="1"/>
  <c r="J1267" i="1"/>
  <c r="K1267" i="1"/>
  <c r="L1267" i="1"/>
  <c r="M1267" i="1"/>
  <c r="N1267" i="1"/>
  <c r="O1267" i="1"/>
  <c r="P1267" i="1"/>
  <c r="Q1267" i="1"/>
  <c r="R1267" i="1"/>
  <c r="S1267" i="1"/>
  <c r="T1267" i="1"/>
  <c r="U1267" i="1"/>
  <c r="V1267" i="1"/>
  <c r="W1267" i="1"/>
  <c r="X1267" i="1"/>
  <c r="Y1267" i="1"/>
  <c r="Z1267" i="1"/>
  <c r="A1268" i="1"/>
  <c r="B1268" i="1"/>
  <c r="C1268" i="1"/>
  <c r="D1268" i="1"/>
  <c r="E1268" i="1"/>
  <c r="F1268" i="1"/>
  <c r="G1268" i="1"/>
  <c r="I1268" i="1"/>
  <c r="J1268" i="1"/>
  <c r="K1268" i="1"/>
  <c r="L1268" i="1"/>
  <c r="M1268" i="1"/>
  <c r="N1268" i="1"/>
  <c r="O1268" i="1"/>
  <c r="P1268" i="1"/>
  <c r="Q1268" i="1"/>
  <c r="R1268" i="1"/>
  <c r="S1268" i="1"/>
  <c r="T1268" i="1"/>
  <c r="U1268" i="1"/>
  <c r="V1268" i="1"/>
  <c r="W1268" i="1"/>
  <c r="X1268" i="1"/>
  <c r="Y1268" i="1"/>
  <c r="Z1268" i="1"/>
  <c r="A1269" i="1"/>
  <c r="B1269" i="1"/>
  <c r="C1269" i="1"/>
  <c r="D1269" i="1"/>
  <c r="E1269" i="1"/>
  <c r="F1269" i="1"/>
  <c r="G1269" i="1"/>
  <c r="I1269" i="1"/>
  <c r="J1269" i="1"/>
  <c r="K1269" i="1"/>
  <c r="L1269" i="1"/>
  <c r="M1269" i="1"/>
  <c r="N1269" i="1"/>
  <c r="O1269" i="1"/>
  <c r="P1269" i="1"/>
  <c r="Q1269" i="1"/>
  <c r="R1269" i="1"/>
  <c r="S1269" i="1"/>
  <c r="T1269" i="1"/>
  <c r="U1269" i="1"/>
  <c r="V1269" i="1"/>
  <c r="W1269" i="1"/>
  <c r="X1269" i="1"/>
  <c r="Y1269" i="1"/>
  <c r="Z1269" i="1"/>
  <c r="A1270" i="1"/>
  <c r="B1270" i="1"/>
  <c r="C1270" i="1"/>
  <c r="D1270" i="1"/>
  <c r="E1270" i="1"/>
  <c r="F1270" i="1"/>
  <c r="G1270" i="1"/>
  <c r="I1270" i="1"/>
  <c r="J1270" i="1"/>
  <c r="K1270" i="1"/>
  <c r="L1270" i="1"/>
  <c r="M1270" i="1"/>
  <c r="N1270" i="1"/>
  <c r="O1270" i="1"/>
  <c r="P1270" i="1"/>
  <c r="Q1270" i="1"/>
  <c r="R1270" i="1"/>
  <c r="S1270" i="1"/>
  <c r="T1270" i="1"/>
  <c r="U1270" i="1"/>
  <c r="V1270" i="1"/>
  <c r="W1270" i="1"/>
  <c r="X1270" i="1"/>
  <c r="Y1270" i="1"/>
  <c r="Z1270" i="1"/>
  <c r="A1271" i="1"/>
  <c r="B1271" i="1"/>
  <c r="C1271" i="1"/>
  <c r="D1271" i="1"/>
  <c r="E1271" i="1"/>
  <c r="F1271" i="1"/>
  <c r="G1271" i="1"/>
  <c r="I1271" i="1"/>
  <c r="J1271" i="1"/>
  <c r="K1271" i="1"/>
  <c r="L1271" i="1"/>
  <c r="M1271" i="1"/>
  <c r="N1271" i="1"/>
  <c r="O1271" i="1"/>
  <c r="P1271" i="1"/>
  <c r="Q1271" i="1"/>
  <c r="R1271" i="1"/>
  <c r="S1271" i="1"/>
  <c r="T1271" i="1"/>
  <c r="U1271" i="1"/>
  <c r="V1271" i="1"/>
  <c r="W1271" i="1"/>
  <c r="X1271" i="1"/>
  <c r="Y1271" i="1"/>
  <c r="Z1271" i="1"/>
  <c r="A1272" i="1"/>
  <c r="B1272" i="1"/>
  <c r="C1272" i="1"/>
  <c r="D1272" i="1"/>
  <c r="E1272" i="1"/>
  <c r="F1272" i="1"/>
  <c r="G1272" i="1"/>
  <c r="I1272" i="1"/>
  <c r="J1272" i="1"/>
  <c r="K1272" i="1"/>
  <c r="L1272" i="1"/>
  <c r="M1272" i="1"/>
  <c r="N1272" i="1"/>
  <c r="O1272" i="1"/>
  <c r="P1272" i="1"/>
  <c r="Q1272" i="1"/>
  <c r="R1272" i="1"/>
  <c r="S1272" i="1"/>
  <c r="T1272" i="1"/>
  <c r="U1272" i="1"/>
  <c r="V1272" i="1"/>
  <c r="W1272" i="1"/>
  <c r="X1272" i="1"/>
  <c r="Y1272" i="1"/>
  <c r="Z1272" i="1"/>
  <c r="A1273" i="1"/>
  <c r="B1273" i="1"/>
  <c r="C1273" i="1"/>
  <c r="D1273" i="1"/>
  <c r="E1273" i="1"/>
  <c r="F1273" i="1"/>
  <c r="G1273" i="1"/>
  <c r="I1273" i="1"/>
  <c r="J1273" i="1"/>
  <c r="K1273" i="1"/>
  <c r="L1273" i="1"/>
  <c r="M1273" i="1"/>
  <c r="N1273" i="1"/>
  <c r="O1273" i="1"/>
  <c r="P1273" i="1"/>
  <c r="Q1273" i="1"/>
  <c r="R1273" i="1"/>
  <c r="S1273" i="1"/>
  <c r="T1273" i="1"/>
  <c r="U1273" i="1"/>
  <c r="V1273" i="1"/>
  <c r="W1273" i="1"/>
  <c r="X1273" i="1"/>
  <c r="Y1273" i="1"/>
  <c r="Z1273" i="1"/>
  <c r="A1274" i="1"/>
  <c r="B1274" i="1"/>
  <c r="C1274" i="1"/>
  <c r="D1274" i="1"/>
  <c r="E1274" i="1"/>
  <c r="F1274" i="1"/>
  <c r="G1274" i="1"/>
  <c r="I1274" i="1"/>
  <c r="J1274" i="1"/>
  <c r="K1274" i="1"/>
  <c r="L1274" i="1"/>
  <c r="M1274" i="1"/>
  <c r="N1274" i="1"/>
  <c r="O1274" i="1"/>
  <c r="P1274" i="1"/>
  <c r="Q1274" i="1"/>
  <c r="R1274" i="1"/>
  <c r="S1274" i="1"/>
  <c r="T1274" i="1"/>
  <c r="U1274" i="1"/>
  <c r="V1274" i="1"/>
  <c r="W1274" i="1"/>
  <c r="X1274" i="1"/>
  <c r="Y1274" i="1"/>
  <c r="Z1274" i="1"/>
  <c r="A1275" i="1"/>
  <c r="B1275" i="1"/>
  <c r="C1275" i="1"/>
  <c r="D1275" i="1"/>
  <c r="E1275" i="1"/>
  <c r="F1275" i="1"/>
  <c r="G1275" i="1"/>
  <c r="I1275" i="1"/>
  <c r="J1275" i="1"/>
  <c r="K1275" i="1"/>
  <c r="L1275" i="1"/>
  <c r="M1275" i="1"/>
  <c r="N1275" i="1"/>
  <c r="O1275" i="1"/>
  <c r="P1275" i="1"/>
  <c r="Q1275" i="1"/>
  <c r="R1275" i="1"/>
  <c r="S1275" i="1"/>
  <c r="T1275" i="1"/>
  <c r="U1275" i="1"/>
  <c r="V1275" i="1"/>
  <c r="W1275" i="1"/>
  <c r="X1275" i="1"/>
  <c r="Y1275" i="1"/>
  <c r="Z1275" i="1"/>
  <c r="A1276" i="1"/>
  <c r="B1276" i="1"/>
  <c r="C1276" i="1"/>
  <c r="D1276" i="1"/>
  <c r="E1276" i="1"/>
  <c r="F1276" i="1"/>
  <c r="G1276" i="1"/>
  <c r="I1276" i="1"/>
  <c r="J1276" i="1"/>
  <c r="K1276" i="1"/>
  <c r="L1276" i="1"/>
  <c r="M1276" i="1"/>
  <c r="N1276" i="1"/>
  <c r="O1276" i="1"/>
  <c r="P1276" i="1"/>
  <c r="Q1276" i="1"/>
  <c r="R1276" i="1"/>
  <c r="S1276" i="1"/>
  <c r="T1276" i="1"/>
  <c r="U1276" i="1"/>
  <c r="V1276" i="1"/>
  <c r="W1276" i="1"/>
  <c r="X1276" i="1"/>
  <c r="Y1276" i="1"/>
  <c r="Z1276" i="1"/>
  <c r="A1277" i="1"/>
  <c r="B1277" i="1"/>
  <c r="C1277" i="1"/>
  <c r="D1277" i="1"/>
  <c r="E1277" i="1"/>
  <c r="F1277" i="1"/>
  <c r="G1277" i="1"/>
  <c r="I1277" i="1"/>
  <c r="J1277" i="1"/>
  <c r="K1277" i="1"/>
  <c r="L1277" i="1"/>
  <c r="M1277" i="1"/>
  <c r="N1277" i="1"/>
  <c r="O1277" i="1"/>
  <c r="P1277" i="1"/>
  <c r="Q1277" i="1"/>
  <c r="R1277" i="1"/>
  <c r="S1277" i="1"/>
  <c r="T1277" i="1"/>
  <c r="U1277" i="1"/>
  <c r="V1277" i="1"/>
  <c r="W1277" i="1"/>
  <c r="X1277" i="1"/>
  <c r="Y1277" i="1"/>
  <c r="Z1277" i="1"/>
  <c r="A1278" i="1"/>
  <c r="B1278" i="1"/>
  <c r="C1278" i="1"/>
  <c r="D1278" i="1"/>
  <c r="E1278" i="1"/>
  <c r="F1278" i="1"/>
  <c r="G1278" i="1"/>
  <c r="I1278" i="1"/>
  <c r="J1278" i="1"/>
  <c r="K1278" i="1"/>
  <c r="L1278" i="1"/>
  <c r="M1278" i="1"/>
  <c r="N1278" i="1"/>
  <c r="O1278" i="1"/>
  <c r="P1278" i="1"/>
  <c r="Q1278" i="1"/>
  <c r="R1278" i="1"/>
  <c r="S1278" i="1"/>
  <c r="T1278" i="1"/>
  <c r="U1278" i="1"/>
  <c r="V1278" i="1"/>
  <c r="W1278" i="1"/>
  <c r="X1278" i="1"/>
  <c r="Y1278" i="1"/>
  <c r="Z1278" i="1"/>
  <c r="A1279" i="1"/>
  <c r="B1279" i="1"/>
  <c r="C1279" i="1"/>
  <c r="D1279" i="1"/>
  <c r="E1279" i="1"/>
  <c r="F1279" i="1"/>
  <c r="G1279" i="1"/>
  <c r="I1279" i="1"/>
  <c r="J1279" i="1"/>
  <c r="K1279" i="1"/>
  <c r="L1279" i="1"/>
  <c r="M1279" i="1"/>
  <c r="N1279" i="1"/>
  <c r="O1279" i="1"/>
  <c r="P1279" i="1"/>
  <c r="Q1279" i="1"/>
  <c r="R1279" i="1"/>
  <c r="S1279" i="1"/>
  <c r="T1279" i="1"/>
  <c r="U1279" i="1"/>
  <c r="V1279" i="1"/>
  <c r="W1279" i="1"/>
  <c r="X1279" i="1"/>
  <c r="Y1279" i="1"/>
  <c r="Z1279" i="1"/>
  <c r="A1280" i="1"/>
  <c r="B1280" i="1"/>
  <c r="C1280" i="1"/>
  <c r="D1280" i="1"/>
  <c r="E1280" i="1"/>
  <c r="F1280" i="1"/>
  <c r="G1280" i="1"/>
  <c r="I1280" i="1"/>
  <c r="J1280" i="1"/>
  <c r="K1280" i="1"/>
  <c r="L1280" i="1"/>
  <c r="M1280" i="1"/>
  <c r="N1280" i="1"/>
  <c r="O1280" i="1"/>
  <c r="P1280" i="1"/>
  <c r="Q1280" i="1"/>
  <c r="R1280" i="1"/>
  <c r="S1280" i="1"/>
  <c r="T1280" i="1"/>
  <c r="U1280" i="1"/>
  <c r="V1280" i="1"/>
  <c r="W1280" i="1"/>
  <c r="X1280" i="1"/>
  <c r="Y1280" i="1"/>
  <c r="Z1280" i="1"/>
  <c r="A1281" i="1"/>
  <c r="B1281" i="1"/>
  <c r="C1281" i="1"/>
  <c r="D1281" i="1"/>
  <c r="E1281" i="1"/>
  <c r="F1281" i="1"/>
  <c r="G1281" i="1"/>
  <c r="I1281" i="1"/>
  <c r="J1281" i="1"/>
  <c r="K1281" i="1"/>
  <c r="L1281" i="1"/>
  <c r="M1281" i="1"/>
  <c r="N1281" i="1"/>
  <c r="O1281" i="1"/>
  <c r="P1281" i="1"/>
  <c r="Q1281" i="1"/>
  <c r="R1281" i="1"/>
  <c r="S1281" i="1"/>
  <c r="T1281" i="1"/>
  <c r="U1281" i="1"/>
  <c r="V1281" i="1"/>
  <c r="W1281" i="1"/>
  <c r="X1281" i="1"/>
  <c r="Y1281" i="1"/>
  <c r="Z1281" i="1"/>
  <c r="A1282" i="1"/>
  <c r="B1282" i="1"/>
  <c r="C1282" i="1"/>
  <c r="D1282" i="1"/>
  <c r="E1282" i="1"/>
  <c r="F1282" i="1"/>
  <c r="G1282" i="1"/>
  <c r="I1282" i="1"/>
  <c r="J1282" i="1"/>
  <c r="K1282" i="1"/>
  <c r="L1282" i="1"/>
  <c r="M1282" i="1"/>
  <c r="N1282" i="1"/>
  <c r="O1282" i="1"/>
  <c r="P1282" i="1"/>
  <c r="Q1282" i="1"/>
  <c r="R1282" i="1"/>
  <c r="S1282" i="1"/>
  <c r="T1282" i="1"/>
  <c r="U1282" i="1"/>
  <c r="V1282" i="1"/>
  <c r="W1282" i="1"/>
  <c r="X1282" i="1"/>
  <c r="Y1282" i="1"/>
  <c r="Z1282" i="1"/>
  <c r="A1283" i="1"/>
  <c r="B1283" i="1"/>
  <c r="C1283" i="1"/>
  <c r="D1283" i="1"/>
  <c r="E1283" i="1"/>
  <c r="F1283" i="1"/>
  <c r="G1283" i="1"/>
  <c r="I1283" i="1"/>
  <c r="J1283" i="1"/>
  <c r="K1283" i="1"/>
  <c r="L1283" i="1"/>
  <c r="M1283" i="1"/>
  <c r="N1283" i="1"/>
  <c r="O1283" i="1"/>
  <c r="P1283" i="1"/>
  <c r="Q1283" i="1"/>
  <c r="R1283" i="1"/>
  <c r="S1283" i="1"/>
  <c r="T1283" i="1"/>
  <c r="U1283" i="1"/>
  <c r="V1283" i="1"/>
  <c r="W1283" i="1"/>
  <c r="X1283" i="1"/>
  <c r="Y1283" i="1"/>
  <c r="Z1283" i="1"/>
  <c r="A1284" i="1"/>
  <c r="B1284" i="1"/>
  <c r="C1284" i="1"/>
  <c r="D1284" i="1"/>
  <c r="E1284" i="1"/>
  <c r="F1284" i="1"/>
  <c r="G1284" i="1"/>
  <c r="I1284" i="1"/>
  <c r="J1284" i="1"/>
  <c r="K1284" i="1"/>
  <c r="L1284" i="1"/>
  <c r="M1284" i="1"/>
  <c r="N1284" i="1"/>
  <c r="O1284" i="1"/>
  <c r="P1284" i="1"/>
  <c r="Q1284" i="1"/>
  <c r="R1284" i="1"/>
  <c r="S1284" i="1"/>
  <c r="T1284" i="1"/>
  <c r="U1284" i="1"/>
  <c r="V1284" i="1"/>
  <c r="W1284" i="1"/>
  <c r="X1284" i="1"/>
  <c r="Y1284" i="1"/>
  <c r="Z1284" i="1"/>
  <c r="A1285" i="1"/>
  <c r="B1285" i="1"/>
  <c r="C1285" i="1"/>
  <c r="D1285" i="1"/>
  <c r="E1285" i="1"/>
  <c r="F1285" i="1"/>
  <c r="G1285" i="1"/>
  <c r="I1285" i="1"/>
  <c r="J1285" i="1"/>
  <c r="K1285" i="1"/>
  <c r="L1285" i="1"/>
  <c r="M1285" i="1"/>
  <c r="N1285" i="1"/>
  <c r="O1285" i="1"/>
  <c r="P1285" i="1"/>
  <c r="Q1285" i="1"/>
  <c r="R1285" i="1"/>
  <c r="S1285" i="1"/>
  <c r="T1285" i="1"/>
  <c r="U1285" i="1"/>
  <c r="V1285" i="1"/>
  <c r="W1285" i="1"/>
  <c r="X1285" i="1"/>
  <c r="Y1285" i="1"/>
  <c r="Z1285" i="1"/>
  <c r="A1286" i="1"/>
  <c r="B1286" i="1"/>
  <c r="C1286" i="1"/>
  <c r="D1286" i="1"/>
  <c r="E1286" i="1"/>
  <c r="F1286" i="1"/>
  <c r="G1286" i="1"/>
  <c r="I1286" i="1"/>
  <c r="J1286" i="1"/>
  <c r="K1286" i="1"/>
  <c r="L1286" i="1"/>
  <c r="M1286" i="1"/>
  <c r="N1286" i="1"/>
  <c r="O1286" i="1"/>
  <c r="P1286" i="1"/>
  <c r="Q1286" i="1"/>
  <c r="R1286" i="1"/>
  <c r="S1286" i="1"/>
  <c r="T1286" i="1"/>
  <c r="U1286" i="1"/>
  <c r="V1286" i="1"/>
  <c r="W1286" i="1"/>
  <c r="X1286" i="1"/>
  <c r="Y1286" i="1"/>
  <c r="Z1286" i="1"/>
  <c r="A1287" i="1"/>
  <c r="B1287" i="1"/>
  <c r="C1287" i="1"/>
  <c r="D1287" i="1"/>
  <c r="E1287" i="1"/>
  <c r="F1287" i="1"/>
  <c r="G1287" i="1"/>
  <c r="I1287" i="1"/>
  <c r="J1287" i="1"/>
  <c r="K1287" i="1"/>
  <c r="L1287" i="1"/>
  <c r="M1287" i="1"/>
  <c r="N1287" i="1"/>
  <c r="O1287" i="1"/>
  <c r="P1287" i="1"/>
  <c r="Q1287" i="1"/>
  <c r="R1287" i="1"/>
  <c r="S1287" i="1"/>
  <c r="T1287" i="1"/>
  <c r="U1287" i="1"/>
  <c r="V1287" i="1"/>
  <c r="W1287" i="1"/>
  <c r="X1287" i="1"/>
  <c r="Y1287" i="1"/>
  <c r="Z1287" i="1"/>
  <c r="A1288" i="1"/>
  <c r="B1288" i="1"/>
  <c r="C1288" i="1"/>
  <c r="D1288" i="1"/>
  <c r="E1288" i="1"/>
  <c r="F1288" i="1"/>
  <c r="G1288" i="1"/>
  <c r="I1288" i="1"/>
  <c r="J1288" i="1"/>
  <c r="K1288" i="1"/>
  <c r="L1288" i="1"/>
  <c r="M1288" i="1"/>
  <c r="N1288" i="1"/>
  <c r="O1288" i="1"/>
  <c r="P1288" i="1"/>
  <c r="Q1288" i="1"/>
  <c r="R1288" i="1"/>
  <c r="S1288" i="1"/>
  <c r="T1288" i="1"/>
  <c r="U1288" i="1"/>
  <c r="V1288" i="1"/>
  <c r="W1288" i="1"/>
  <c r="X1288" i="1"/>
  <c r="Y1288" i="1"/>
  <c r="Z1288" i="1"/>
  <c r="A1289" i="1"/>
  <c r="B1289" i="1"/>
  <c r="C1289" i="1"/>
  <c r="D1289" i="1"/>
  <c r="E1289" i="1"/>
  <c r="F1289" i="1"/>
  <c r="G1289" i="1"/>
  <c r="I1289" i="1"/>
  <c r="J1289" i="1"/>
  <c r="K1289" i="1"/>
  <c r="L1289" i="1"/>
  <c r="M1289" i="1"/>
  <c r="N1289" i="1"/>
  <c r="O1289" i="1"/>
  <c r="P1289" i="1"/>
  <c r="Q1289" i="1"/>
  <c r="R1289" i="1"/>
  <c r="S1289" i="1"/>
  <c r="T1289" i="1"/>
  <c r="U1289" i="1"/>
  <c r="V1289" i="1"/>
  <c r="W1289" i="1"/>
  <c r="X1289" i="1"/>
  <c r="Y1289" i="1"/>
  <c r="Z1289" i="1"/>
  <c r="A1290" i="1"/>
  <c r="B1290" i="1"/>
  <c r="C1290" i="1"/>
  <c r="D1290" i="1"/>
  <c r="E1290" i="1"/>
  <c r="F1290" i="1"/>
  <c r="G1290" i="1"/>
  <c r="I1290" i="1"/>
  <c r="J1290" i="1"/>
  <c r="K1290" i="1"/>
  <c r="L1290" i="1"/>
  <c r="M1290" i="1"/>
  <c r="N1290" i="1"/>
  <c r="O1290" i="1"/>
  <c r="P1290" i="1"/>
  <c r="Q1290" i="1"/>
  <c r="R1290" i="1"/>
  <c r="S1290" i="1"/>
  <c r="T1290" i="1"/>
  <c r="U1290" i="1"/>
  <c r="V1290" i="1"/>
  <c r="W1290" i="1"/>
  <c r="X1290" i="1"/>
  <c r="Y1290" i="1"/>
  <c r="Z1290" i="1"/>
  <c r="A1291" i="1"/>
  <c r="B1291" i="1"/>
  <c r="C1291" i="1"/>
  <c r="D1291" i="1"/>
  <c r="E1291" i="1"/>
  <c r="F1291" i="1"/>
  <c r="G1291" i="1"/>
  <c r="I1291" i="1"/>
  <c r="J1291" i="1"/>
  <c r="K1291" i="1"/>
  <c r="L1291" i="1"/>
  <c r="M1291" i="1"/>
  <c r="N1291" i="1"/>
  <c r="O1291" i="1"/>
  <c r="P1291" i="1"/>
  <c r="Q1291" i="1"/>
  <c r="R1291" i="1"/>
  <c r="S1291" i="1"/>
  <c r="T1291" i="1"/>
  <c r="U1291" i="1"/>
  <c r="V1291" i="1"/>
  <c r="W1291" i="1"/>
  <c r="X1291" i="1"/>
  <c r="Y1291" i="1"/>
  <c r="Z1291" i="1"/>
  <c r="A1292" i="1"/>
  <c r="B1292" i="1"/>
  <c r="C1292" i="1"/>
  <c r="D1292" i="1"/>
  <c r="E1292" i="1"/>
  <c r="F1292" i="1"/>
  <c r="G1292" i="1"/>
  <c r="I1292" i="1"/>
  <c r="J1292" i="1"/>
  <c r="K1292" i="1"/>
  <c r="L1292" i="1"/>
  <c r="M1292" i="1"/>
  <c r="N1292" i="1"/>
  <c r="O1292" i="1"/>
  <c r="P1292" i="1"/>
  <c r="Q1292" i="1"/>
  <c r="R1292" i="1"/>
  <c r="S1292" i="1"/>
  <c r="T1292" i="1"/>
  <c r="U1292" i="1"/>
  <c r="V1292" i="1"/>
  <c r="W1292" i="1"/>
  <c r="X1292" i="1"/>
  <c r="Y1292" i="1"/>
  <c r="Z1292" i="1"/>
  <c r="A1293" i="1"/>
  <c r="B1293" i="1"/>
  <c r="C1293" i="1"/>
  <c r="D1293" i="1"/>
  <c r="E1293" i="1"/>
  <c r="F1293" i="1"/>
  <c r="G1293" i="1"/>
  <c r="I1293" i="1"/>
  <c r="J1293" i="1"/>
  <c r="K1293" i="1"/>
  <c r="L1293" i="1"/>
  <c r="M1293" i="1"/>
  <c r="N1293" i="1"/>
  <c r="O1293" i="1"/>
  <c r="P1293" i="1"/>
  <c r="Q1293" i="1"/>
  <c r="R1293" i="1"/>
  <c r="S1293" i="1"/>
  <c r="T1293" i="1"/>
  <c r="U1293" i="1"/>
  <c r="V1293" i="1"/>
  <c r="W1293" i="1"/>
  <c r="X1293" i="1"/>
  <c r="Y1293" i="1"/>
  <c r="Z1293" i="1"/>
  <c r="A1294" i="1"/>
  <c r="B1294" i="1"/>
  <c r="C1294" i="1"/>
  <c r="D1294" i="1"/>
  <c r="E1294" i="1"/>
  <c r="F1294" i="1"/>
  <c r="G1294" i="1"/>
  <c r="I1294" i="1"/>
  <c r="J1294" i="1"/>
  <c r="K1294" i="1"/>
  <c r="L1294" i="1"/>
  <c r="M1294" i="1"/>
  <c r="N1294" i="1"/>
  <c r="O1294" i="1"/>
  <c r="P1294" i="1"/>
  <c r="Q1294" i="1"/>
  <c r="R1294" i="1"/>
  <c r="S1294" i="1"/>
  <c r="T1294" i="1"/>
  <c r="U1294" i="1"/>
  <c r="V1294" i="1"/>
  <c r="W1294" i="1"/>
  <c r="X1294" i="1"/>
  <c r="Y1294" i="1"/>
  <c r="Z1294" i="1"/>
  <c r="A1295" i="1"/>
  <c r="B1295" i="1"/>
  <c r="C1295" i="1"/>
  <c r="D1295" i="1"/>
  <c r="E1295" i="1"/>
  <c r="F1295" i="1"/>
  <c r="G1295" i="1"/>
  <c r="I1295" i="1"/>
  <c r="J1295" i="1"/>
  <c r="K1295" i="1"/>
  <c r="L1295" i="1"/>
  <c r="M1295" i="1"/>
  <c r="N1295" i="1"/>
  <c r="O1295" i="1"/>
  <c r="P1295" i="1"/>
  <c r="Q1295" i="1"/>
  <c r="R1295" i="1"/>
  <c r="S1295" i="1"/>
  <c r="T1295" i="1"/>
  <c r="U1295" i="1"/>
  <c r="V1295" i="1"/>
  <c r="W1295" i="1"/>
  <c r="X1295" i="1"/>
  <c r="Y1295" i="1"/>
  <c r="Z1295" i="1"/>
  <c r="A1296" i="1"/>
  <c r="B1296" i="1"/>
  <c r="C1296" i="1"/>
  <c r="D1296" i="1"/>
  <c r="E1296" i="1"/>
  <c r="F1296" i="1"/>
  <c r="G1296" i="1"/>
  <c r="I1296" i="1"/>
  <c r="J1296" i="1"/>
  <c r="K1296" i="1"/>
  <c r="L1296" i="1"/>
  <c r="M1296" i="1"/>
  <c r="N1296" i="1"/>
  <c r="O1296" i="1"/>
  <c r="P1296" i="1"/>
  <c r="Q1296" i="1"/>
  <c r="R1296" i="1"/>
  <c r="S1296" i="1"/>
  <c r="T1296" i="1"/>
  <c r="U1296" i="1"/>
  <c r="V1296" i="1"/>
  <c r="W1296" i="1"/>
  <c r="X1296" i="1"/>
  <c r="Y1296" i="1"/>
  <c r="Z1296" i="1"/>
  <c r="A1297" i="1"/>
  <c r="B1297" i="1"/>
  <c r="C1297" i="1"/>
  <c r="D1297" i="1"/>
  <c r="E1297" i="1"/>
  <c r="F1297" i="1"/>
  <c r="G1297" i="1"/>
  <c r="I1297" i="1"/>
  <c r="J1297" i="1"/>
  <c r="K1297" i="1"/>
  <c r="L1297" i="1"/>
  <c r="M1297" i="1"/>
  <c r="N1297" i="1"/>
  <c r="O1297" i="1"/>
  <c r="P1297" i="1"/>
  <c r="Q1297" i="1"/>
  <c r="R1297" i="1"/>
  <c r="S1297" i="1"/>
  <c r="T1297" i="1"/>
  <c r="U1297" i="1"/>
  <c r="V1297" i="1"/>
  <c r="W1297" i="1"/>
  <c r="X1297" i="1"/>
  <c r="Y1297" i="1"/>
  <c r="Z1297" i="1"/>
  <c r="A1298" i="1"/>
  <c r="B1298" i="1"/>
  <c r="C1298" i="1"/>
  <c r="D1298" i="1"/>
  <c r="E1298" i="1"/>
  <c r="F1298" i="1"/>
  <c r="G1298" i="1"/>
  <c r="I1298" i="1"/>
  <c r="J1298" i="1"/>
  <c r="K1298" i="1"/>
  <c r="L1298" i="1"/>
  <c r="M1298" i="1"/>
  <c r="N1298" i="1"/>
  <c r="O1298" i="1"/>
  <c r="P1298" i="1"/>
  <c r="Q1298" i="1"/>
  <c r="R1298" i="1"/>
  <c r="S1298" i="1"/>
  <c r="T1298" i="1"/>
  <c r="U1298" i="1"/>
  <c r="V1298" i="1"/>
  <c r="W1298" i="1"/>
  <c r="X1298" i="1"/>
  <c r="Y1298" i="1"/>
  <c r="Z1298" i="1"/>
  <c r="A1299" i="1"/>
  <c r="B1299" i="1"/>
  <c r="C1299" i="1"/>
  <c r="D1299" i="1"/>
  <c r="E1299" i="1"/>
  <c r="F1299" i="1"/>
  <c r="G1299" i="1"/>
  <c r="I1299" i="1"/>
  <c r="J1299" i="1"/>
  <c r="K1299" i="1"/>
  <c r="L1299" i="1"/>
  <c r="M1299" i="1"/>
  <c r="N1299" i="1"/>
  <c r="O1299" i="1"/>
  <c r="P1299" i="1"/>
  <c r="Q1299" i="1"/>
  <c r="R1299" i="1"/>
  <c r="S1299" i="1"/>
  <c r="T1299" i="1"/>
  <c r="U1299" i="1"/>
  <c r="V1299" i="1"/>
  <c r="W1299" i="1"/>
  <c r="X1299" i="1"/>
  <c r="Y1299" i="1"/>
  <c r="Z1299" i="1"/>
  <c r="A1300" i="1"/>
  <c r="B1300" i="1"/>
  <c r="C1300" i="1"/>
  <c r="D1300" i="1"/>
  <c r="E1300" i="1"/>
  <c r="F1300" i="1"/>
  <c r="G1300" i="1"/>
  <c r="I1300" i="1"/>
  <c r="J1300" i="1"/>
  <c r="K1300" i="1"/>
  <c r="L1300" i="1"/>
  <c r="M1300" i="1"/>
  <c r="N1300" i="1"/>
  <c r="O1300" i="1"/>
  <c r="P1300" i="1"/>
  <c r="Q1300" i="1"/>
  <c r="R1300" i="1"/>
  <c r="S1300" i="1"/>
  <c r="T1300" i="1"/>
  <c r="U1300" i="1"/>
  <c r="V1300" i="1"/>
  <c r="W1300" i="1"/>
  <c r="X1300" i="1"/>
  <c r="Y1300" i="1"/>
  <c r="Z1300" i="1"/>
  <c r="A1301" i="1"/>
  <c r="B1301" i="1"/>
  <c r="C1301" i="1"/>
  <c r="D1301" i="1"/>
  <c r="E1301" i="1"/>
  <c r="F1301" i="1"/>
  <c r="G1301" i="1"/>
  <c r="I1301" i="1"/>
  <c r="J1301" i="1"/>
  <c r="K1301" i="1"/>
  <c r="L1301" i="1"/>
  <c r="M1301" i="1"/>
  <c r="N1301" i="1"/>
  <c r="O1301" i="1"/>
  <c r="P1301" i="1"/>
  <c r="Q1301" i="1"/>
  <c r="R1301" i="1"/>
  <c r="S1301" i="1"/>
  <c r="T1301" i="1"/>
  <c r="U1301" i="1"/>
  <c r="V1301" i="1"/>
  <c r="W1301" i="1"/>
  <c r="X1301" i="1"/>
  <c r="Y1301" i="1"/>
  <c r="Z1301" i="1"/>
  <c r="A1302" i="1"/>
  <c r="B1302" i="1"/>
  <c r="C1302" i="1"/>
  <c r="D1302" i="1"/>
  <c r="E1302" i="1"/>
  <c r="F1302" i="1"/>
  <c r="G1302" i="1"/>
  <c r="I1302" i="1"/>
  <c r="J1302" i="1"/>
  <c r="K1302" i="1"/>
  <c r="L1302" i="1"/>
  <c r="M1302" i="1"/>
  <c r="N1302" i="1"/>
  <c r="O1302" i="1"/>
  <c r="P1302" i="1"/>
  <c r="Q1302" i="1"/>
  <c r="R1302" i="1"/>
  <c r="S1302" i="1"/>
  <c r="T1302" i="1"/>
  <c r="U1302" i="1"/>
  <c r="V1302" i="1"/>
  <c r="W1302" i="1"/>
  <c r="X1302" i="1"/>
  <c r="Y1302" i="1"/>
  <c r="Z1302" i="1"/>
  <c r="A1303" i="1"/>
  <c r="B1303" i="1"/>
  <c r="C1303" i="1"/>
  <c r="D1303" i="1"/>
  <c r="E1303" i="1"/>
  <c r="F1303" i="1"/>
  <c r="G1303" i="1"/>
  <c r="I1303" i="1"/>
  <c r="J1303" i="1"/>
  <c r="K1303" i="1"/>
  <c r="L1303" i="1"/>
  <c r="M1303" i="1"/>
  <c r="N1303" i="1"/>
  <c r="O1303" i="1"/>
  <c r="P1303" i="1"/>
  <c r="Q1303" i="1"/>
  <c r="R1303" i="1"/>
  <c r="S1303" i="1"/>
  <c r="T1303" i="1"/>
  <c r="U1303" i="1"/>
  <c r="V1303" i="1"/>
  <c r="W1303" i="1"/>
  <c r="X1303" i="1"/>
  <c r="Y1303" i="1"/>
  <c r="Z1303" i="1"/>
  <c r="A1304" i="1"/>
  <c r="B1304" i="1"/>
  <c r="C1304" i="1"/>
  <c r="D1304" i="1"/>
  <c r="E1304" i="1"/>
  <c r="F1304" i="1"/>
  <c r="G1304" i="1"/>
  <c r="I1304" i="1"/>
  <c r="J1304" i="1"/>
  <c r="K1304" i="1"/>
  <c r="L1304" i="1"/>
  <c r="M1304" i="1"/>
  <c r="N1304" i="1"/>
  <c r="O1304" i="1"/>
  <c r="P1304" i="1"/>
  <c r="Q1304" i="1"/>
  <c r="R1304" i="1"/>
  <c r="S1304" i="1"/>
  <c r="T1304" i="1"/>
  <c r="U1304" i="1"/>
  <c r="V1304" i="1"/>
  <c r="W1304" i="1"/>
  <c r="X1304" i="1"/>
  <c r="Y1304" i="1"/>
  <c r="Z1304" i="1"/>
  <c r="A1305" i="1"/>
  <c r="B1305" i="1"/>
  <c r="C1305" i="1"/>
  <c r="D1305" i="1"/>
  <c r="E1305" i="1"/>
  <c r="F1305" i="1"/>
  <c r="G1305" i="1"/>
  <c r="I1305" i="1"/>
  <c r="J1305" i="1"/>
  <c r="K1305" i="1"/>
  <c r="L1305" i="1"/>
  <c r="M1305" i="1"/>
  <c r="N1305" i="1"/>
  <c r="O1305" i="1"/>
  <c r="P1305" i="1"/>
  <c r="Q1305" i="1"/>
  <c r="R1305" i="1"/>
  <c r="S1305" i="1"/>
  <c r="T1305" i="1"/>
  <c r="U1305" i="1"/>
  <c r="V1305" i="1"/>
  <c r="W1305" i="1"/>
  <c r="X1305" i="1"/>
  <c r="Y1305" i="1"/>
  <c r="Z1305" i="1"/>
  <c r="A1306" i="1"/>
  <c r="B1306" i="1"/>
  <c r="C1306" i="1"/>
  <c r="D1306" i="1"/>
  <c r="E1306" i="1"/>
  <c r="F1306" i="1"/>
  <c r="G1306" i="1"/>
  <c r="I1306" i="1"/>
  <c r="J1306" i="1"/>
  <c r="K1306" i="1"/>
  <c r="L1306" i="1"/>
  <c r="M1306" i="1"/>
  <c r="N1306" i="1"/>
  <c r="O1306" i="1"/>
  <c r="P1306" i="1"/>
  <c r="Q1306" i="1"/>
  <c r="R1306" i="1"/>
  <c r="S1306" i="1"/>
  <c r="T1306" i="1"/>
  <c r="U1306" i="1"/>
  <c r="V1306" i="1"/>
  <c r="W1306" i="1"/>
  <c r="X1306" i="1"/>
  <c r="Y1306" i="1"/>
  <c r="Z1306" i="1"/>
  <c r="A1307" i="1"/>
  <c r="B1307" i="1"/>
  <c r="C1307" i="1"/>
  <c r="D1307" i="1"/>
  <c r="E1307" i="1"/>
  <c r="F1307" i="1"/>
  <c r="G1307" i="1"/>
  <c r="I1307" i="1"/>
  <c r="J1307" i="1"/>
  <c r="K1307" i="1"/>
  <c r="L1307" i="1"/>
  <c r="M1307" i="1"/>
  <c r="N1307" i="1"/>
  <c r="O1307" i="1"/>
  <c r="P1307" i="1"/>
  <c r="Q1307" i="1"/>
  <c r="R1307" i="1"/>
  <c r="S1307" i="1"/>
  <c r="T1307" i="1"/>
  <c r="U1307" i="1"/>
  <c r="V1307" i="1"/>
  <c r="W1307" i="1"/>
  <c r="X1307" i="1"/>
  <c r="Y1307" i="1"/>
  <c r="Z1307" i="1"/>
  <c r="A1308" i="1"/>
  <c r="B1308" i="1"/>
  <c r="C1308" i="1"/>
  <c r="D1308" i="1"/>
  <c r="E1308" i="1"/>
  <c r="F1308" i="1"/>
  <c r="G1308" i="1"/>
  <c r="I1308" i="1"/>
  <c r="J1308" i="1"/>
  <c r="K1308" i="1"/>
  <c r="L1308" i="1"/>
  <c r="M1308" i="1"/>
  <c r="N1308" i="1"/>
  <c r="O1308" i="1"/>
  <c r="P1308" i="1"/>
  <c r="Q1308" i="1"/>
  <c r="R1308" i="1"/>
  <c r="S1308" i="1"/>
  <c r="T1308" i="1"/>
  <c r="U1308" i="1"/>
  <c r="V1308" i="1"/>
  <c r="W1308" i="1"/>
  <c r="X1308" i="1"/>
  <c r="Y1308" i="1"/>
  <c r="Z1308" i="1"/>
  <c r="A1309" i="1"/>
  <c r="B1309" i="1"/>
  <c r="C1309" i="1"/>
  <c r="D1309" i="1"/>
  <c r="E1309" i="1"/>
  <c r="F1309" i="1"/>
  <c r="G1309" i="1"/>
  <c r="I1309" i="1"/>
  <c r="J1309" i="1"/>
  <c r="K1309" i="1"/>
  <c r="L1309" i="1"/>
  <c r="M1309" i="1"/>
  <c r="N1309" i="1"/>
  <c r="O1309" i="1"/>
  <c r="P1309" i="1"/>
  <c r="Q1309" i="1"/>
  <c r="R1309" i="1"/>
  <c r="S1309" i="1"/>
  <c r="T1309" i="1"/>
  <c r="U1309" i="1"/>
  <c r="V1309" i="1"/>
  <c r="W1309" i="1"/>
  <c r="X1309" i="1"/>
  <c r="Y1309" i="1"/>
  <c r="Z1309" i="1"/>
  <c r="A1310" i="1"/>
  <c r="B1310" i="1"/>
  <c r="C1310" i="1"/>
  <c r="D1310" i="1"/>
  <c r="E1310" i="1"/>
  <c r="F1310" i="1"/>
  <c r="G1310" i="1"/>
  <c r="I1310" i="1"/>
  <c r="J1310" i="1"/>
  <c r="K1310" i="1"/>
  <c r="L1310" i="1"/>
  <c r="M1310" i="1"/>
  <c r="N1310" i="1"/>
  <c r="O1310" i="1"/>
  <c r="P1310" i="1"/>
  <c r="Q1310" i="1"/>
  <c r="R1310" i="1"/>
  <c r="S1310" i="1"/>
  <c r="T1310" i="1"/>
  <c r="U1310" i="1"/>
  <c r="V1310" i="1"/>
  <c r="W1310" i="1"/>
  <c r="X1310" i="1"/>
  <c r="Y1310" i="1"/>
  <c r="Z1310" i="1"/>
  <c r="A1311" i="1"/>
  <c r="B1311" i="1"/>
  <c r="C1311" i="1"/>
  <c r="D1311" i="1"/>
  <c r="E1311" i="1"/>
  <c r="F1311" i="1"/>
  <c r="G1311" i="1"/>
  <c r="I1311" i="1"/>
  <c r="J1311" i="1"/>
  <c r="K1311" i="1"/>
  <c r="L1311" i="1"/>
  <c r="M1311" i="1"/>
  <c r="N1311" i="1"/>
  <c r="O1311" i="1"/>
  <c r="P1311" i="1"/>
  <c r="Q1311" i="1"/>
  <c r="R1311" i="1"/>
  <c r="S1311" i="1"/>
  <c r="T1311" i="1"/>
  <c r="U1311" i="1"/>
  <c r="V1311" i="1"/>
  <c r="W1311" i="1"/>
  <c r="X1311" i="1"/>
  <c r="Y1311" i="1"/>
  <c r="Z1311" i="1"/>
  <c r="A1312" i="1"/>
  <c r="B1312" i="1"/>
  <c r="C1312" i="1"/>
  <c r="D1312" i="1"/>
  <c r="E1312" i="1"/>
  <c r="F1312" i="1"/>
  <c r="G1312" i="1"/>
  <c r="I1312" i="1"/>
  <c r="J1312" i="1"/>
  <c r="K1312" i="1"/>
  <c r="L1312" i="1"/>
  <c r="M1312" i="1"/>
  <c r="N1312" i="1"/>
  <c r="O1312" i="1"/>
  <c r="P1312" i="1"/>
  <c r="Q1312" i="1"/>
  <c r="R1312" i="1"/>
  <c r="S1312" i="1"/>
  <c r="T1312" i="1"/>
  <c r="U1312" i="1"/>
  <c r="V1312" i="1"/>
  <c r="W1312" i="1"/>
  <c r="X1312" i="1"/>
  <c r="Y1312" i="1"/>
  <c r="Z1312" i="1"/>
  <c r="A1313" i="1"/>
  <c r="B1313" i="1"/>
  <c r="C1313" i="1"/>
  <c r="D1313" i="1"/>
  <c r="E1313" i="1"/>
  <c r="F1313" i="1"/>
  <c r="G1313" i="1"/>
  <c r="I1313" i="1"/>
  <c r="J1313" i="1"/>
  <c r="K1313" i="1"/>
  <c r="L1313" i="1"/>
  <c r="M1313" i="1"/>
  <c r="N1313" i="1"/>
  <c r="O1313" i="1"/>
  <c r="P1313" i="1"/>
  <c r="Q1313" i="1"/>
  <c r="R1313" i="1"/>
  <c r="S1313" i="1"/>
  <c r="T1313" i="1"/>
  <c r="U1313" i="1"/>
  <c r="V1313" i="1"/>
  <c r="W1313" i="1"/>
  <c r="X1313" i="1"/>
  <c r="Y1313" i="1"/>
  <c r="Z1313" i="1"/>
  <c r="A1314" i="1"/>
  <c r="B1314" i="1"/>
  <c r="C1314" i="1"/>
  <c r="D1314" i="1"/>
  <c r="E1314" i="1"/>
  <c r="F1314" i="1"/>
  <c r="G1314" i="1"/>
  <c r="I1314" i="1"/>
  <c r="J1314" i="1"/>
  <c r="K1314" i="1"/>
  <c r="L1314" i="1"/>
  <c r="M1314" i="1"/>
  <c r="N1314" i="1"/>
  <c r="O1314" i="1"/>
  <c r="P1314" i="1"/>
  <c r="Q1314" i="1"/>
  <c r="R1314" i="1"/>
  <c r="S1314" i="1"/>
  <c r="T1314" i="1"/>
  <c r="U1314" i="1"/>
  <c r="V1314" i="1"/>
  <c r="W1314" i="1"/>
  <c r="X1314" i="1"/>
  <c r="Y1314" i="1"/>
  <c r="Z1314" i="1"/>
  <c r="A1315" i="1"/>
  <c r="B1315" i="1"/>
  <c r="C1315" i="1"/>
  <c r="D1315" i="1"/>
  <c r="E1315" i="1"/>
  <c r="F1315" i="1"/>
  <c r="G1315" i="1"/>
  <c r="I1315" i="1"/>
  <c r="J1315" i="1"/>
  <c r="K1315" i="1"/>
  <c r="L1315" i="1"/>
  <c r="M1315" i="1"/>
  <c r="N1315" i="1"/>
  <c r="O1315" i="1"/>
  <c r="P1315" i="1"/>
  <c r="Q1315" i="1"/>
  <c r="R1315" i="1"/>
  <c r="S1315" i="1"/>
  <c r="T1315" i="1"/>
  <c r="U1315" i="1"/>
  <c r="V1315" i="1"/>
  <c r="W1315" i="1"/>
  <c r="X1315" i="1"/>
  <c r="Y1315" i="1"/>
  <c r="Z1315" i="1"/>
  <c r="A1316" i="1"/>
  <c r="B1316" i="1"/>
  <c r="C1316" i="1"/>
  <c r="D1316" i="1"/>
  <c r="E1316" i="1"/>
  <c r="F1316" i="1"/>
  <c r="G1316" i="1"/>
  <c r="I1316" i="1"/>
  <c r="J1316" i="1"/>
  <c r="K1316" i="1"/>
  <c r="L1316" i="1"/>
  <c r="M1316" i="1"/>
  <c r="N1316" i="1"/>
  <c r="O1316" i="1"/>
  <c r="P1316" i="1"/>
  <c r="Q1316" i="1"/>
  <c r="R1316" i="1"/>
  <c r="S1316" i="1"/>
  <c r="T1316" i="1"/>
  <c r="U1316" i="1"/>
  <c r="V1316" i="1"/>
  <c r="W1316" i="1"/>
  <c r="X1316" i="1"/>
  <c r="Y1316" i="1"/>
  <c r="Z1316" i="1"/>
  <c r="A1317" i="1"/>
  <c r="B1317" i="1"/>
  <c r="C1317" i="1"/>
  <c r="D1317" i="1"/>
  <c r="E1317" i="1"/>
  <c r="F1317" i="1"/>
  <c r="G1317" i="1"/>
  <c r="I1317" i="1"/>
  <c r="J1317" i="1"/>
  <c r="K1317" i="1"/>
  <c r="L1317" i="1"/>
  <c r="M1317" i="1"/>
  <c r="N1317" i="1"/>
  <c r="O1317" i="1"/>
  <c r="P1317" i="1"/>
  <c r="Q1317" i="1"/>
  <c r="R1317" i="1"/>
  <c r="S1317" i="1"/>
  <c r="T1317" i="1"/>
  <c r="U1317" i="1"/>
  <c r="V1317" i="1"/>
  <c r="W1317" i="1"/>
  <c r="X1317" i="1"/>
  <c r="Y1317" i="1"/>
  <c r="Z1317" i="1"/>
  <c r="A1318" i="1"/>
  <c r="B1318" i="1"/>
  <c r="C1318" i="1"/>
  <c r="D1318" i="1"/>
  <c r="E1318" i="1"/>
  <c r="F1318" i="1"/>
  <c r="G1318" i="1"/>
  <c r="I1318" i="1"/>
  <c r="J1318" i="1"/>
  <c r="K1318" i="1"/>
  <c r="L1318" i="1"/>
  <c r="M1318" i="1"/>
  <c r="N1318" i="1"/>
  <c r="O1318" i="1"/>
  <c r="P1318" i="1"/>
  <c r="Q1318" i="1"/>
  <c r="R1318" i="1"/>
  <c r="S1318" i="1"/>
  <c r="T1318" i="1"/>
  <c r="U1318" i="1"/>
  <c r="V1318" i="1"/>
  <c r="W1318" i="1"/>
  <c r="X1318" i="1"/>
  <c r="Y1318" i="1"/>
  <c r="Z1318" i="1"/>
  <c r="A1319" i="1"/>
  <c r="B1319" i="1"/>
  <c r="C1319" i="1"/>
  <c r="D1319" i="1"/>
  <c r="E1319" i="1"/>
  <c r="F1319" i="1"/>
  <c r="G1319" i="1"/>
  <c r="I1319" i="1"/>
  <c r="J1319" i="1"/>
  <c r="K1319" i="1"/>
  <c r="L1319" i="1"/>
  <c r="M1319" i="1"/>
  <c r="N1319" i="1"/>
  <c r="O1319" i="1"/>
  <c r="P1319" i="1"/>
  <c r="Q1319" i="1"/>
  <c r="R1319" i="1"/>
  <c r="S1319" i="1"/>
  <c r="T1319" i="1"/>
  <c r="U1319" i="1"/>
  <c r="V1319" i="1"/>
  <c r="W1319" i="1"/>
  <c r="X1319" i="1"/>
  <c r="Y1319" i="1"/>
  <c r="Z1319" i="1"/>
  <c r="A1320" i="1"/>
  <c r="B1320" i="1"/>
  <c r="C1320" i="1"/>
  <c r="D1320" i="1"/>
  <c r="E1320" i="1"/>
  <c r="F1320" i="1"/>
  <c r="G1320" i="1"/>
  <c r="I1320" i="1"/>
  <c r="J1320" i="1"/>
  <c r="K1320" i="1"/>
  <c r="L1320" i="1"/>
  <c r="M1320" i="1"/>
  <c r="N1320" i="1"/>
  <c r="O1320" i="1"/>
  <c r="P1320" i="1"/>
  <c r="Q1320" i="1"/>
  <c r="R1320" i="1"/>
  <c r="S1320" i="1"/>
  <c r="T1320" i="1"/>
  <c r="U1320" i="1"/>
  <c r="V1320" i="1"/>
  <c r="W1320" i="1"/>
  <c r="X1320" i="1"/>
  <c r="Y1320" i="1"/>
  <c r="Z1320" i="1"/>
  <c r="A1321" i="1"/>
  <c r="B1321" i="1"/>
  <c r="C1321" i="1"/>
  <c r="D1321" i="1"/>
  <c r="E1321" i="1"/>
  <c r="F1321" i="1"/>
  <c r="G1321" i="1"/>
  <c r="I1321" i="1"/>
  <c r="J1321" i="1"/>
  <c r="K1321" i="1"/>
  <c r="L1321" i="1"/>
  <c r="M1321" i="1"/>
  <c r="N1321" i="1"/>
  <c r="O1321" i="1"/>
  <c r="P1321" i="1"/>
  <c r="Q1321" i="1"/>
  <c r="R1321" i="1"/>
  <c r="S1321" i="1"/>
  <c r="T1321" i="1"/>
  <c r="U1321" i="1"/>
  <c r="V1321" i="1"/>
  <c r="W1321" i="1"/>
  <c r="X1321" i="1"/>
  <c r="Y1321" i="1"/>
  <c r="Z1321" i="1"/>
  <c r="A1322" i="1"/>
  <c r="B1322" i="1"/>
  <c r="C1322" i="1"/>
  <c r="D1322" i="1"/>
  <c r="E1322" i="1"/>
  <c r="F1322" i="1"/>
  <c r="G1322" i="1"/>
  <c r="I1322" i="1"/>
  <c r="J1322" i="1"/>
  <c r="K1322" i="1"/>
  <c r="L1322" i="1"/>
  <c r="M1322" i="1"/>
  <c r="N1322" i="1"/>
  <c r="O1322" i="1"/>
  <c r="P1322" i="1"/>
  <c r="Q1322" i="1"/>
  <c r="R1322" i="1"/>
  <c r="S1322" i="1"/>
  <c r="T1322" i="1"/>
  <c r="U1322" i="1"/>
  <c r="V1322" i="1"/>
  <c r="W1322" i="1"/>
  <c r="X1322" i="1"/>
  <c r="Y1322" i="1"/>
  <c r="Z1322" i="1"/>
  <c r="A1323" i="1"/>
  <c r="B1323" i="1"/>
  <c r="C1323" i="1"/>
  <c r="D1323" i="1"/>
  <c r="E1323" i="1"/>
  <c r="F1323" i="1"/>
  <c r="G1323" i="1"/>
  <c r="I1323" i="1"/>
  <c r="J1323" i="1"/>
  <c r="K1323" i="1"/>
  <c r="L1323" i="1"/>
  <c r="M1323" i="1"/>
  <c r="N1323" i="1"/>
  <c r="O1323" i="1"/>
  <c r="P1323" i="1"/>
  <c r="Q1323" i="1"/>
  <c r="R1323" i="1"/>
  <c r="S1323" i="1"/>
  <c r="T1323" i="1"/>
  <c r="U1323" i="1"/>
  <c r="V1323" i="1"/>
  <c r="W1323" i="1"/>
  <c r="X1323" i="1"/>
  <c r="Y1323" i="1"/>
  <c r="Z1323" i="1"/>
  <c r="A1324" i="1"/>
  <c r="B1324" i="1"/>
  <c r="C1324" i="1"/>
  <c r="D1324" i="1"/>
  <c r="E1324" i="1"/>
  <c r="F1324" i="1"/>
  <c r="G1324" i="1"/>
  <c r="I1324" i="1"/>
  <c r="J1324" i="1"/>
  <c r="K1324" i="1"/>
  <c r="L1324" i="1"/>
  <c r="M1324" i="1"/>
  <c r="N1324" i="1"/>
  <c r="O1324" i="1"/>
  <c r="P1324" i="1"/>
  <c r="Q1324" i="1"/>
  <c r="R1324" i="1"/>
  <c r="S1324" i="1"/>
  <c r="T1324" i="1"/>
  <c r="U1324" i="1"/>
  <c r="V1324" i="1"/>
  <c r="W1324" i="1"/>
  <c r="X1324" i="1"/>
  <c r="Y1324" i="1"/>
  <c r="Z1324" i="1"/>
  <c r="A1325" i="1"/>
  <c r="B1325" i="1"/>
  <c r="C1325" i="1"/>
  <c r="D1325" i="1"/>
  <c r="E1325" i="1"/>
  <c r="F1325" i="1"/>
  <c r="G1325" i="1"/>
  <c r="I1325" i="1"/>
  <c r="J1325" i="1"/>
  <c r="K1325" i="1"/>
  <c r="L1325" i="1"/>
  <c r="M1325" i="1"/>
  <c r="N1325" i="1"/>
  <c r="O1325" i="1"/>
  <c r="P1325" i="1"/>
  <c r="Q1325" i="1"/>
  <c r="R1325" i="1"/>
  <c r="S1325" i="1"/>
  <c r="T1325" i="1"/>
  <c r="U1325" i="1"/>
  <c r="V1325" i="1"/>
  <c r="W1325" i="1"/>
  <c r="X1325" i="1"/>
  <c r="Y1325" i="1"/>
  <c r="Z1325" i="1"/>
  <c r="A1326" i="1"/>
  <c r="B1326" i="1"/>
  <c r="C1326" i="1"/>
  <c r="D1326" i="1"/>
  <c r="E1326" i="1"/>
  <c r="F1326" i="1"/>
  <c r="G1326" i="1"/>
  <c r="I1326" i="1"/>
  <c r="J1326" i="1"/>
  <c r="K1326" i="1"/>
  <c r="L1326" i="1"/>
  <c r="M1326" i="1"/>
  <c r="N1326" i="1"/>
  <c r="O1326" i="1"/>
  <c r="P1326" i="1"/>
  <c r="Q1326" i="1"/>
  <c r="R1326" i="1"/>
  <c r="S1326" i="1"/>
  <c r="T1326" i="1"/>
  <c r="U1326" i="1"/>
  <c r="V1326" i="1"/>
  <c r="W1326" i="1"/>
  <c r="X1326" i="1"/>
  <c r="Y1326" i="1"/>
  <c r="Z1326" i="1"/>
  <c r="A1327" i="1"/>
  <c r="B1327" i="1"/>
  <c r="C1327" i="1"/>
  <c r="D1327" i="1"/>
  <c r="E1327" i="1"/>
  <c r="F1327" i="1"/>
  <c r="G1327" i="1"/>
  <c r="I1327" i="1"/>
  <c r="J1327" i="1"/>
  <c r="K1327" i="1"/>
  <c r="L1327" i="1"/>
  <c r="M1327" i="1"/>
  <c r="N1327" i="1"/>
  <c r="O1327" i="1"/>
  <c r="P1327" i="1"/>
  <c r="Q1327" i="1"/>
  <c r="R1327" i="1"/>
  <c r="S1327" i="1"/>
  <c r="T1327" i="1"/>
  <c r="U1327" i="1"/>
  <c r="V1327" i="1"/>
  <c r="W1327" i="1"/>
  <c r="X1327" i="1"/>
  <c r="Y1327" i="1"/>
  <c r="Z1327" i="1"/>
  <c r="A1328" i="1"/>
  <c r="B1328" i="1"/>
  <c r="C1328" i="1"/>
  <c r="D1328" i="1"/>
  <c r="E1328" i="1"/>
  <c r="F1328" i="1"/>
  <c r="G1328" i="1"/>
  <c r="I1328" i="1"/>
  <c r="J1328" i="1"/>
  <c r="K1328" i="1"/>
  <c r="L1328" i="1"/>
  <c r="M1328" i="1"/>
  <c r="N1328" i="1"/>
  <c r="O1328" i="1"/>
  <c r="P1328" i="1"/>
  <c r="Q1328" i="1"/>
  <c r="R1328" i="1"/>
  <c r="S1328" i="1"/>
  <c r="T1328" i="1"/>
  <c r="U1328" i="1"/>
  <c r="V1328" i="1"/>
  <c r="W1328" i="1"/>
  <c r="X1328" i="1"/>
  <c r="Y1328" i="1"/>
  <c r="Z1328" i="1"/>
  <c r="A1329" i="1"/>
  <c r="B1329" i="1"/>
  <c r="C1329" i="1"/>
  <c r="D1329" i="1"/>
  <c r="E1329" i="1"/>
  <c r="F1329" i="1"/>
  <c r="G1329" i="1"/>
  <c r="I1329" i="1"/>
  <c r="J1329" i="1"/>
  <c r="K1329" i="1"/>
  <c r="L1329" i="1"/>
  <c r="M1329" i="1"/>
  <c r="N1329" i="1"/>
  <c r="O1329" i="1"/>
  <c r="P1329" i="1"/>
  <c r="Q1329" i="1"/>
  <c r="R1329" i="1"/>
  <c r="S1329" i="1"/>
  <c r="T1329" i="1"/>
  <c r="U1329" i="1"/>
  <c r="V1329" i="1"/>
  <c r="W1329" i="1"/>
  <c r="X1329" i="1"/>
  <c r="Y1329" i="1"/>
  <c r="Z1329" i="1"/>
  <c r="A1330" i="1"/>
  <c r="B1330" i="1"/>
  <c r="C1330" i="1"/>
  <c r="D1330" i="1"/>
  <c r="E1330" i="1"/>
  <c r="F1330" i="1"/>
  <c r="G1330" i="1"/>
  <c r="I1330" i="1"/>
  <c r="J1330" i="1"/>
  <c r="K1330" i="1"/>
  <c r="L1330" i="1"/>
  <c r="M1330" i="1"/>
  <c r="N1330" i="1"/>
  <c r="O1330" i="1"/>
  <c r="P1330" i="1"/>
  <c r="Q1330" i="1"/>
  <c r="R1330" i="1"/>
  <c r="S1330" i="1"/>
  <c r="T1330" i="1"/>
  <c r="U1330" i="1"/>
  <c r="V1330" i="1"/>
  <c r="W1330" i="1"/>
  <c r="X1330" i="1"/>
  <c r="Y1330" i="1"/>
  <c r="Z1330" i="1"/>
  <c r="A1331" i="1"/>
  <c r="B1331" i="1"/>
  <c r="C1331" i="1"/>
  <c r="D1331" i="1"/>
  <c r="E1331" i="1"/>
  <c r="F1331" i="1"/>
  <c r="G1331" i="1"/>
  <c r="I1331" i="1"/>
  <c r="J1331" i="1"/>
  <c r="K1331" i="1"/>
  <c r="L1331" i="1"/>
  <c r="M1331" i="1"/>
  <c r="N1331" i="1"/>
  <c r="O1331" i="1"/>
  <c r="P1331" i="1"/>
  <c r="Q1331" i="1"/>
  <c r="R1331" i="1"/>
  <c r="S1331" i="1"/>
  <c r="T1331" i="1"/>
  <c r="U1331" i="1"/>
  <c r="V1331" i="1"/>
  <c r="W1331" i="1"/>
  <c r="X1331" i="1"/>
  <c r="Y1331" i="1"/>
  <c r="Z1331" i="1"/>
  <c r="A1332" i="1"/>
  <c r="B1332" i="1"/>
  <c r="C1332" i="1"/>
  <c r="D1332" i="1"/>
  <c r="E1332" i="1"/>
  <c r="F1332" i="1"/>
  <c r="G1332" i="1"/>
  <c r="I1332" i="1"/>
  <c r="J1332" i="1"/>
  <c r="K1332" i="1"/>
  <c r="L1332" i="1"/>
  <c r="M1332" i="1"/>
  <c r="N1332" i="1"/>
  <c r="O1332" i="1"/>
  <c r="P1332" i="1"/>
  <c r="Q1332" i="1"/>
  <c r="R1332" i="1"/>
  <c r="S1332" i="1"/>
  <c r="T1332" i="1"/>
  <c r="U1332" i="1"/>
  <c r="V1332" i="1"/>
  <c r="W1332" i="1"/>
  <c r="X1332" i="1"/>
  <c r="Y1332" i="1"/>
  <c r="Z1332" i="1"/>
  <c r="A1333" i="1"/>
  <c r="B1333" i="1"/>
  <c r="C1333" i="1"/>
  <c r="D1333" i="1"/>
  <c r="E1333" i="1"/>
  <c r="F1333" i="1"/>
  <c r="G1333" i="1"/>
  <c r="I1333" i="1"/>
  <c r="J1333" i="1"/>
  <c r="K1333" i="1"/>
  <c r="L1333" i="1"/>
  <c r="M1333" i="1"/>
  <c r="N1333" i="1"/>
  <c r="O1333" i="1"/>
  <c r="P1333" i="1"/>
  <c r="Q1333" i="1"/>
  <c r="R1333" i="1"/>
  <c r="S1333" i="1"/>
  <c r="T1333" i="1"/>
  <c r="U1333" i="1"/>
  <c r="V1333" i="1"/>
  <c r="W1333" i="1"/>
  <c r="X1333" i="1"/>
  <c r="Y1333" i="1"/>
  <c r="Z1333" i="1"/>
  <c r="A1334" i="1"/>
  <c r="B1334" i="1"/>
  <c r="C1334" i="1"/>
  <c r="D1334" i="1"/>
  <c r="E1334" i="1"/>
  <c r="F1334" i="1"/>
  <c r="G1334" i="1"/>
  <c r="I1334" i="1"/>
  <c r="J1334" i="1"/>
  <c r="K1334" i="1"/>
  <c r="L1334" i="1"/>
  <c r="M1334" i="1"/>
  <c r="N1334" i="1"/>
  <c r="O1334" i="1"/>
  <c r="P1334" i="1"/>
  <c r="Q1334" i="1"/>
  <c r="R1334" i="1"/>
  <c r="S1334" i="1"/>
  <c r="T1334" i="1"/>
  <c r="U1334" i="1"/>
  <c r="V1334" i="1"/>
  <c r="W1334" i="1"/>
  <c r="X1334" i="1"/>
  <c r="Y1334" i="1"/>
  <c r="Z1334" i="1"/>
  <c r="A1335" i="1"/>
  <c r="B1335" i="1"/>
  <c r="C1335" i="1"/>
  <c r="D1335" i="1"/>
  <c r="E1335" i="1"/>
  <c r="F1335" i="1"/>
  <c r="G1335" i="1"/>
  <c r="I1335" i="1"/>
  <c r="J1335" i="1"/>
  <c r="K1335" i="1"/>
  <c r="L1335" i="1"/>
  <c r="M1335" i="1"/>
  <c r="N1335" i="1"/>
  <c r="O1335" i="1"/>
  <c r="P1335" i="1"/>
  <c r="Q1335" i="1"/>
  <c r="R1335" i="1"/>
  <c r="S1335" i="1"/>
  <c r="T1335" i="1"/>
  <c r="U1335" i="1"/>
  <c r="V1335" i="1"/>
  <c r="W1335" i="1"/>
  <c r="X1335" i="1"/>
  <c r="Y1335" i="1"/>
  <c r="Z1335" i="1"/>
  <c r="A1336" i="1"/>
  <c r="B1336" i="1"/>
  <c r="C1336" i="1"/>
  <c r="D1336" i="1"/>
  <c r="E1336" i="1"/>
  <c r="F1336" i="1"/>
  <c r="G1336" i="1"/>
  <c r="I1336" i="1"/>
  <c r="J1336" i="1"/>
  <c r="K1336" i="1"/>
  <c r="L1336" i="1"/>
  <c r="M1336" i="1"/>
  <c r="N1336" i="1"/>
  <c r="O1336" i="1"/>
  <c r="P1336" i="1"/>
  <c r="Q1336" i="1"/>
  <c r="R1336" i="1"/>
  <c r="S1336" i="1"/>
  <c r="T1336" i="1"/>
  <c r="U1336" i="1"/>
  <c r="V1336" i="1"/>
  <c r="W1336" i="1"/>
  <c r="X1336" i="1"/>
  <c r="Y1336" i="1"/>
  <c r="Z1336" i="1"/>
  <c r="A1337" i="1"/>
  <c r="B1337" i="1"/>
  <c r="C1337" i="1"/>
  <c r="D1337" i="1"/>
  <c r="E1337" i="1"/>
  <c r="F1337" i="1"/>
  <c r="G1337" i="1"/>
  <c r="I1337" i="1"/>
  <c r="J1337" i="1"/>
  <c r="K1337" i="1"/>
  <c r="L1337" i="1"/>
  <c r="M1337" i="1"/>
  <c r="N1337" i="1"/>
  <c r="O1337" i="1"/>
  <c r="P1337" i="1"/>
  <c r="Q1337" i="1"/>
  <c r="R1337" i="1"/>
  <c r="S1337" i="1"/>
  <c r="T1337" i="1"/>
  <c r="U1337" i="1"/>
  <c r="V1337" i="1"/>
  <c r="W1337" i="1"/>
  <c r="X1337" i="1"/>
  <c r="Y1337" i="1"/>
  <c r="Z1337" i="1"/>
  <c r="A1338" i="1"/>
  <c r="B1338" i="1"/>
  <c r="C1338" i="1"/>
  <c r="D1338" i="1"/>
  <c r="E1338" i="1"/>
  <c r="F1338" i="1"/>
  <c r="G1338" i="1"/>
  <c r="I1338" i="1"/>
  <c r="J1338" i="1"/>
  <c r="K1338" i="1"/>
  <c r="L1338" i="1"/>
  <c r="M1338" i="1"/>
  <c r="N1338" i="1"/>
  <c r="O1338" i="1"/>
  <c r="P1338" i="1"/>
  <c r="Q1338" i="1"/>
  <c r="R1338" i="1"/>
  <c r="S1338" i="1"/>
  <c r="T1338" i="1"/>
  <c r="U1338" i="1"/>
  <c r="V1338" i="1"/>
  <c r="W1338" i="1"/>
  <c r="X1338" i="1"/>
  <c r="Y1338" i="1"/>
  <c r="Z1338" i="1"/>
  <c r="A1339" i="1"/>
  <c r="B1339" i="1"/>
  <c r="C1339" i="1"/>
  <c r="D1339" i="1"/>
  <c r="E1339" i="1"/>
  <c r="F1339" i="1"/>
  <c r="G1339" i="1"/>
  <c r="I1339" i="1"/>
  <c r="J1339" i="1"/>
  <c r="K1339" i="1"/>
  <c r="L1339" i="1"/>
  <c r="M1339" i="1"/>
  <c r="N1339" i="1"/>
  <c r="O1339" i="1"/>
  <c r="P1339" i="1"/>
  <c r="Q1339" i="1"/>
  <c r="R1339" i="1"/>
  <c r="S1339" i="1"/>
  <c r="T1339" i="1"/>
  <c r="U1339" i="1"/>
  <c r="V1339" i="1"/>
  <c r="W1339" i="1"/>
  <c r="X1339" i="1"/>
  <c r="Y1339" i="1"/>
  <c r="Z1339" i="1"/>
  <c r="A1340" i="1"/>
  <c r="B1340" i="1"/>
  <c r="C1340" i="1"/>
  <c r="D1340" i="1"/>
  <c r="E1340" i="1"/>
  <c r="F1340" i="1"/>
  <c r="G1340" i="1"/>
  <c r="I1340" i="1"/>
  <c r="J1340" i="1"/>
  <c r="K1340" i="1"/>
  <c r="L1340" i="1"/>
  <c r="M1340" i="1"/>
  <c r="N1340" i="1"/>
  <c r="O1340" i="1"/>
  <c r="P1340" i="1"/>
  <c r="Q1340" i="1"/>
  <c r="R1340" i="1"/>
  <c r="S1340" i="1"/>
  <c r="T1340" i="1"/>
  <c r="U1340" i="1"/>
  <c r="V1340" i="1"/>
  <c r="W1340" i="1"/>
  <c r="X1340" i="1"/>
  <c r="Y1340" i="1"/>
  <c r="Z1340" i="1"/>
  <c r="A1341" i="1"/>
  <c r="B1341" i="1"/>
  <c r="C1341" i="1"/>
  <c r="D1341" i="1"/>
  <c r="E1341" i="1"/>
  <c r="F1341" i="1"/>
  <c r="G1341" i="1"/>
  <c r="I1341" i="1"/>
  <c r="J1341" i="1"/>
  <c r="K1341" i="1"/>
  <c r="L1341" i="1"/>
  <c r="M1341" i="1"/>
  <c r="N1341" i="1"/>
  <c r="O1341" i="1"/>
  <c r="P1341" i="1"/>
  <c r="Q1341" i="1"/>
  <c r="R1341" i="1"/>
  <c r="S1341" i="1"/>
  <c r="T1341" i="1"/>
  <c r="U1341" i="1"/>
  <c r="V1341" i="1"/>
  <c r="W1341" i="1"/>
  <c r="X1341" i="1"/>
  <c r="Y1341" i="1"/>
  <c r="Z1341" i="1"/>
  <c r="A1342" i="1"/>
  <c r="B1342" i="1"/>
  <c r="C1342" i="1"/>
  <c r="D1342" i="1"/>
  <c r="E1342" i="1"/>
  <c r="F1342" i="1"/>
  <c r="G1342" i="1"/>
  <c r="I1342" i="1"/>
  <c r="J1342" i="1"/>
  <c r="K1342" i="1"/>
  <c r="L1342" i="1"/>
  <c r="M1342" i="1"/>
  <c r="N1342" i="1"/>
  <c r="O1342" i="1"/>
  <c r="P1342" i="1"/>
  <c r="Q1342" i="1"/>
  <c r="R1342" i="1"/>
  <c r="S1342" i="1"/>
  <c r="T1342" i="1"/>
  <c r="U1342" i="1"/>
  <c r="V1342" i="1"/>
  <c r="W1342" i="1"/>
  <c r="X1342" i="1"/>
  <c r="Y1342" i="1"/>
  <c r="Z1342" i="1"/>
  <c r="A1343" i="1"/>
  <c r="B1343" i="1"/>
  <c r="C1343" i="1"/>
  <c r="D1343" i="1"/>
  <c r="E1343" i="1"/>
  <c r="F1343" i="1"/>
  <c r="G1343" i="1"/>
  <c r="I1343" i="1"/>
  <c r="J1343" i="1"/>
  <c r="K1343" i="1"/>
  <c r="L1343" i="1"/>
  <c r="M1343" i="1"/>
  <c r="N1343" i="1"/>
  <c r="O1343" i="1"/>
  <c r="P1343" i="1"/>
  <c r="Q1343" i="1"/>
  <c r="R1343" i="1"/>
  <c r="S1343" i="1"/>
  <c r="T1343" i="1"/>
  <c r="U1343" i="1"/>
  <c r="V1343" i="1"/>
  <c r="W1343" i="1"/>
  <c r="X1343" i="1"/>
  <c r="Y1343" i="1"/>
  <c r="Z1343" i="1"/>
  <c r="A1344" i="1"/>
  <c r="B1344" i="1"/>
  <c r="C1344" i="1"/>
  <c r="D1344" i="1"/>
  <c r="E1344" i="1"/>
  <c r="F1344" i="1"/>
  <c r="G1344" i="1"/>
  <c r="I1344" i="1"/>
  <c r="J1344" i="1"/>
  <c r="K1344" i="1"/>
  <c r="L1344" i="1"/>
  <c r="M1344" i="1"/>
  <c r="N1344" i="1"/>
  <c r="O1344" i="1"/>
  <c r="P1344" i="1"/>
  <c r="Q1344" i="1"/>
  <c r="R1344" i="1"/>
  <c r="S1344" i="1"/>
  <c r="T1344" i="1"/>
  <c r="U1344" i="1"/>
  <c r="V1344" i="1"/>
  <c r="W1344" i="1"/>
  <c r="X1344" i="1"/>
  <c r="Y1344" i="1"/>
  <c r="Z1344" i="1"/>
  <c r="A1345" i="1"/>
  <c r="B1345" i="1"/>
  <c r="C1345" i="1"/>
  <c r="D1345" i="1"/>
  <c r="E1345" i="1"/>
  <c r="F1345" i="1"/>
  <c r="G1345" i="1"/>
  <c r="I1345" i="1"/>
  <c r="J1345" i="1"/>
  <c r="K1345" i="1"/>
  <c r="L1345" i="1"/>
  <c r="M1345" i="1"/>
  <c r="N1345" i="1"/>
  <c r="O1345" i="1"/>
  <c r="P1345" i="1"/>
  <c r="Q1345" i="1"/>
  <c r="R1345" i="1"/>
  <c r="S1345" i="1"/>
  <c r="T1345" i="1"/>
  <c r="U1345" i="1"/>
  <c r="V1345" i="1"/>
  <c r="W1345" i="1"/>
  <c r="X1345" i="1"/>
  <c r="Y1345" i="1"/>
  <c r="Z1345" i="1"/>
  <c r="A1346" i="1"/>
  <c r="B1346" i="1"/>
  <c r="C1346" i="1"/>
  <c r="D1346" i="1"/>
  <c r="E1346" i="1"/>
  <c r="F1346" i="1"/>
  <c r="G1346" i="1"/>
  <c r="I1346" i="1"/>
  <c r="J1346" i="1"/>
  <c r="K1346" i="1"/>
  <c r="L1346" i="1"/>
  <c r="M1346" i="1"/>
  <c r="N1346" i="1"/>
  <c r="O1346" i="1"/>
  <c r="P1346" i="1"/>
  <c r="Q1346" i="1"/>
  <c r="R1346" i="1"/>
  <c r="S1346" i="1"/>
  <c r="T1346" i="1"/>
  <c r="U1346" i="1"/>
  <c r="V1346" i="1"/>
  <c r="W1346" i="1"/>
  <c r="X1346" i="1"/>
  <c r="Y1346" i="1"/>
  <c r="Z1346" i="1"/>
  <c r="A1347" i="1"/>
  <c r="B1347" i="1"/>
  <c r="C1347" i="1"/>
  <c r="D1347" i="1"/>
  <c r="E1347" i="1"/>
  <c r="F1347" i="1"/>
  <c r="G1347" i="1"/>
  <c r="I1347" i="1"/>
  <c r="J1347" i="1"/>
  <c r="K1347" i="1"/>
  <c r="L1347" i="1"/>
  <c r="M1347" i="1"/>
  <c r="N1347" i="1"/>
  <c r="O1347" i="1"/>
  <c r="P1347" i="1"/>
  <c r="Q1347" i="1"/>
  <c r="R1347" i="1"/>
  <c r="S1347" i="1"/>
  <c r="T1347" i="1"/>
  <c r="U1347" i="1"/>
  <c r="V1347" i="1"/>
  <c r="W1347" i="1"/>
  <c r="X1347" i="1"/>
  <c r="Y1347" i="1"/>
  <c r="Z1347" i="1"/>
  <c r="A1348" i="1"/>
  <c r="B1348" i="1"/>
  <c r="C1348" i="1"/>
  <c r="D1348" i="1"/>
  <c r="E1348" i="1"/>
  <c r="F1348" i="1"/>
  <c r="G1348" i="1"/>
  <c r="I1348" i="1"/>
  <c r="J1348" i="1"/>
  <c r="K1348" i="1"/>
  <c r="L1348" i="1"/>
  <c r="M1348" i="1"/>
  <c r="N1348" i="1"/>
  <c r="O1348" i="1"/>
  <c r="P1348" i="1"/>
  <c r="Q1348" i="1"/>
  <c r="R1348" i="1"/>
  <c r="S1348" i="1"/>
  <c r="T1348" i="1"/>
  <c r="U1348" i="1"/>
  <c r="V1348" i="1"/>
  <c r="W1348" i="1"/>
  <c r="X1348" i="1"/>
  <c r="Y1348" i="1"/>
  <c r="Z1348" i="1"/>
  <c r="A1349" i="1"/>
  <c r="B1349" i="1"/>
  <c r="C1349" i="1"/>
  <c r="D1349" i="1"/>
  <c r="E1349" i="1"/>
  <c r="F1349" i="1"/>
  <c r="G1349" i="1"/>
  <c r="I1349" i="1"/>
  <c r="J1349" i="1"/>
  <c r="K1349" i="1"/>
  <c r="L1349" i="1"/>
  <c r="M1349" i="1"/>
  <c r="N1349" i="1"/>
  <c r="O1349" i="1"/>
  <c r="P1349" i="1"/>
  <c r="Q1349" i="1"/>
  <c r="R1349" i="1"/>
  <c r="S1349" i="1"/>
  <c r="T1349" i="1"/>
  <c r="U1349" i="1"/>
  <c r="V1349" i="1"/>
  <c r="W1349" i="1"/>
  <c r="X1349" i="1"/>
  <c r="Y1349" i="1"/>
  <c r="Z1349" i="1"/>
  <c r="A1350" i="1"/>
  <c r="B1350" i="1"/>
  <c r="C1350" i="1"/>
  <c r="D1350" i="1"/>
  <c r="E1350" i="1"/>
  <c r="F1350" i="1"/>
  <c r="G1350" i="1"/>
  <c r="I1350" i="1"/>
  <c r="J1350" i="1"/>
  <c r="K1350" i="1"/>
  <c r="L1350" i="1"/>
  <c r="M1350" i="1"/>
  <c r="N1350" i="1"/>
  <c r="O1350" i="1"/>
  <c r="P1350" i="1"/>
  <c r="Q1350" i="1"/>
  <c r="R1350" i="1"/>
  <c r="S1350" i="1"/>
  <c r="T1350" i="1"/>
  <c r="U1350" i="1"/>
  <c r="V1350" i="1"/>
  <c r="W1350" i="1"/>
  <c r="X1350" i="1"/>
  <c r="Y1350" i="1"/>
  <c r="Z1350" i="1"/>
  <c r="A1351" i="1"/>
  <c r="B1351" i="1"/>
  <c r="C1351" i="1"/>
  <c r="D1351" i="1"/>
  <c r="E1351" i="1"/>
  <c r="F1351" i="1"/>
  <c r="G1351" i="1"/>
  <c r="I1351" i="1"/>
  <c r="J1351" i="1"/>
  <c r="K1351" i="1"/>
  <c r="L1351" i="1"/>
  <c r="M1351" i="1"/>
  <c r="N1351" i="1"/>
  <c r="O1351" i="1"/>
  <c r="P1351" i="1"/>
  <c r="Q1351" i="1"/>
  <c r="R1351" i="1"/>
  <c r="S1351" i="1"/>
  <c r="T1351" i="1"/>
  <c r="U1351" i="1"/>
  <c r="V1351" i="1"/>
  <c r="W1351" i="1"/>
  <c r="X1351" i="1"/>
  <c r="Y1351" i="1"/>
  <c r="Z1351" i="1"/>
  <c r="A1352" i="1"/>
  <c r="B1352" i="1"/>
  <c r="C1352" i="1"/>
  <c r="D1352" i="1"/>
  <c r="E1352" i="1"/>
  <c r="F1352" i="1"/>
  <c r="G1352" i="1"/>
  <c r="I1352" i="1"/>
  <c r="J1352" i="1"/>
  <c r="K1352" i="1"/>
  <c r="L1352" i="1"/>
  <c r="M1352" i="1"/>
  <c r="N1352" i="1"/>
  <c r="O1352" i="1"/>
  <c r="P1352" i="1"/>
  <c r="Q1352" i="1"/>
  <c r="R1352" i="1"/>
  <c r="S1352" i="1"/>
  <c r="T1352" i="1"/>
  <c r="U1352" i="1"/>
  <c r="V1352" i="1"/>
  <c r="W1352" i="1"/>
  <c r="X1352" i="1"/>
  <c r="Y1352" i="1"/>
  <c r="Z1352" i="1"/>
  <c r="A1353" i="1"/>
  <c r="B1353" i="1"/>
  <c r="C1353" i="1"/>
  <c r="D1353" i="1"/>
  <c r="E1353" i="1"/>
  <c r="F1353" i="1"/>
  <c r="G1353" i="1"/>
  <c r="I1353" i="1"/>
  <c r="J1353" i="1"/>
  <c r="K1353" i="1"/>
  <c r="L1353" i="1"/>
  <c r="M1353" i="1"/>
  <c r="N1353" i="1"/>
  <c r="O1353" i="1"/>
  <c r="P1353" i="1"/>
  <c r="Q1353" i="1"/>
  <c r="R1353" i="1"/>
  <c r="S1353" i="1"/>
  <c r="T1353" i="1"/>
  <c r="U1353" i="1"/>
  <c r="V1353" i="1"/>
  <c r="W1353" i="1"/>
  <c r="X1353" i="1"/>
  <c r="Y1353" i="1"/>
  <c r="Z1353" i="1"/>
  <c r="A1354" i="1"/>
  <c r="B1354" i="1"/>
  <c r="C1354" i="1"/>
  <c r="D1354" i="1"/>
  <c r="E1354" i="1"/>
  <c r="F1354" i="1"/>
  <c r="G1354" i="1"/>
  <c r="I1354" i="1"/>
  <c r="J1354" i="1"/>
  <c r="K1354" i="1"/>
  <c r="L1354" i="1"/>
  <c r="M1354" i="1"/>
  <c r="N1354" i="1"/>
  <c r="O1354" i="1"/>
  <c r="P1354" i="1"/>
  <c r="Q1354" i="1"/>
  <c r="R1354" i="1"/>
  <c r="S1354" i="1"/>
  <c r="T1354" i="1"/>
  <c r="U1354" i="1"/>
  <c r="V1354" i="1"/>
  <c r="W1354" i="1"/>
  <c r="X1354" i="1"/>
  <c r="Y1354" i="1"/>
  <c r="Z1354" i="1"/>
  <c r="A1355" i="1"/>
  <c r="B1355" i="1"/>
  <c r="C1355" i="1"/>
  <c r="D1355" i="1"/>
  <c r="E1355" i="1"/>
  <c r="F1355" i="1"/>
  <c r="G1355" i="1"/>
  <c r="I1355" i="1"/>
  <c r="J1355" i="1"/>
  <c r="K1355" i="1"/>
  <c r="L1355" i="1"/>
  <c r="M1355" i="1"/>
  <c r="N1355" i="1"/>
  <c r="O1355" i="1"/>
  <c r="P1355" i="1"/>
  <c r="Q1355" i="1"/>
  <c r="R1355" i="1"/>
  <c r="S1355" i="1"/>
  <c r="T1355" i="1"/>
  <c r="U1355" i="1"/>
  <c r="V1355" i="1"/>
  <c r="W1355" i="1"/>
  <c r="X1355" i="1"/>
  <c r="Y1355" i="1"/>
  <c r="Z1355" i="1"/>
  <c r="A1356" i="1"/>
  <c r="B1356" i="1"/>
  <c r="C1356" i="1"/>
  <c r="D1356" i="1"/>
  <c r="E1356" i="1"/>
  <c r="F1356" i="1"/>
  <c r="G1356" i="1"/>
  <c r="I1356" i="1"/>
  <c r="J1356" i="1"/>
  <c r="K1356" i="1"/>
  <c r="L1356" i="1"/>
  <c r="M1356" i="1"/>
  <c r="N1356" i="1"/>
  <c r="O1356" i="1"/>
  <c r="P1356" i="1"/>
  <c r="Q1356" i="1"/>
  <c r="R1356" i="1"/>
  <c r="S1356" i="1"/>
  <c r="T1356" i="1"/>
  <c r="U1356" i="1"/>
  <c r="V1356" i="1"/>
  <c r="W1356" i="1"/>
  <c r="X1356" i="1"/>
  <c r="Y1356" i="1"/>
  <c r="Z1356" i="1"/>
  <c r="A1357" i="1"/>
  <c r="B1357" i="1"/>
  <c r="C1357" i="1"/>
  <c r="D1357" i="1"/>
  <c r="E1357" i="1"/>
  <c r="F1357" i="1"/>
  <c r="G1357" i="1"/>
  <c r="I1357" i="1"/>
  <c r="J1357" i="1"/>
  <c r="K1357" i="1"/>
  <c r="L1357" i="1"/>
  <c r="M1357" i="1"/>
  <c r="N1357" i="1"/>
  <c r="O1357" i="1"/>
  <c r="P1357" i="1"/>
  <c r="Q1357" i="1"/>
  <c r="R1357" i="1"/>
  <c r="S1357" i="1"/>
  <c r="T1357" i="1"/>
  <c r="U1357" i="1"/>
  <c r="V1357" i="1"/>
  <c r="W1357" i="1"/>
  <c r="X1357" i="1"/>
  <c r="Y1357" i="1"/>
  <c r="Z1357" i="1"/>
  <c r="A1358" i="1"/>
  <c r="B1358" i="1"/>
  <c r="C1358" i="1"/>
  <c r="D1358" i="1"/>
  <c r="E1358" i="1"/>
  <c r="F1358" i="1"/>
  <c r="G1358" i="1"/>
  <c r="I1358" i="1"/>
  <c r="J1358" i="1"/>
  <c r="K1358" i="1"/>
  <c r="L1358" i="1"/>
  <c r="M1358" i="1"/>
  <c r="N1358" i="1"/>
  <c r="O1358" i="1"/>
  <c r="P1358" i="1"/>
  <c r="Q1358" i="1"/>
  <c r="R1358" i="1"/>
  <c r="S1358" i="1"/>
  <c r="T1358" i="1"/>
  <c r="U1358" i="1"/>
  <c r="V1358" i="1"/>
  <c r="W1358" i="1"/>
  <c r="X1358" i="1"/>
  <c r="Y1358" i="1"/>
  <c r="Z1358" i="1"/>
  <c r="A1359" i="1"/>
  <c r="B1359" i="1"/>
  <c r="C1359" i="1"/>
  <c r="D1359" i="1"/>
  <c r="E1359" i="1"/>
  <c r="F1359" i="1"/>
  <c r="G1359" i="1"/>
  <c r="I1359" i="1"/>
  <c r="J1359" i="1"/>
  <c r="K1359" i="1"/>
  <c r="L1359" i="1"/>
  <c r="M1359" i="1"/>
  <c r="N1359" i="1"/>
  <c r="O1359" i="1"/>
  <c r="P1359" i="1"/>
  <c r="Q1359" i="1"/>
  <c r="R1359" i="1"/>
  <c r="S1359" i="1"/>
  <c r="T1359" i="1"/>
  <c r="U1359" i="1"/>
  <c r="V1359" i="1"/>
  <c r="W1359" i="1"/>
  <c r="X1359" i="1"/>
  <c r="Y1359" i="1"/>
  <c r="Z1359" i="1"/>
  <c r="A1360" i="1"/>
  <c r="B1360" i="1"/>
  <c r="C1360" i="1"/>
  <c r="D1360" i="1"/>
  <c r="E1360" i="1"/>
  <c r="F1360" i="1"/>
  <c r="G1360" i="1"/>
  <c r="I1360" i="1"/>
  <c r="J1360" i="1"/>
  <c r="K1360" i="1"/>
  <c r="L1360" i="1"/>
  <c r="M1360" i="1"/>
  <c r="N1360" i="1"/>
  <c r="O1360" i="1"/>
  <c r="P1360" i="1"/>
  <c r="Q1360" i="1"/>
  <c r="R1360" i="1"/>
  <c r="S1360" i="1"/>
  <c r="T1360" i="1"/>
  <c r="U1360" i="1"/>
  <c r="V1360" i="1"/>
  <c r="W1360" i="1"/>
  <c r="X1360" i="1"/>
  <c r="Y1360" i="1"/>
  <c r="Z1360" i="1"/>
  <c r="A1361" i="1"/>
  <c r="B1361" i="1"/>
  <c r="C1361" i="1"/>
  <c r="D1361" i="1"/>
  <c r="E1361" i="1"/>
  <c r="F1361" i="1"/>
  <c r="G1361" i="1"/>
  <c r="I1361" i="1"/>
  <c r="J1361" i="1"/>
  <c r="K1361" i="1"/>
  <c r="L1361" i="1"/>
  <c r="M1361" i="1"/>
  <c r="N1361" i="1"/>
  <c r="O1361" i="1"/>
  <c r="P1361" i="1"/>
  <c r="Q1361" i="1"/>
  <c r="R1361" i="1"/>
  <c r="S1361" i="1"/>
  <c r="T1361" i="1"/>
  <c r="U1361" i="1"/>
  <c r="V1361" i="1"/>
  <c r="W1361" i="1"/>
  <c r="X1361" i="1"/>
  <c r="Y1361" i="1"/>
  <c r="Z1361" i="1"/>
  <c r="A1362" i="1"/>
  <c r="B1362" i="1"/>
  <c r="C1362" i="1"/>
  <c r="D1362" i="1"/>
  <c r="E1362" i="1"/>
  <c r="F1362" i="1"/>
  <c r="G1362" i="1"/>
  <c r="I1362" i="1"/>
  <c r="J1362" i="1"/>
  <c r="K1362" i="1"/>
  <c r="L1362" i="1"/>
  <c r="M1362" i="1"/>
  <c r="N1362" i="1"/>
  <c r="O1362" i="1"/>
  <c r="P1362" i="1"/>
  <c r="Q1362" i="1"/>
  <c r="R1362" i="1"/>
  <c r="S1362" i="1"/>
  <c r="T1362" i="1"/>
  <c r="U1362" i="1"/>
  <c r="V1362" i="1"/>
  <c r="W1362" i="1"/>
  <c r="X1362" i="1"/>
  <c r="Y1362" i="1"/>
  <c r="Z1362" i="1"/>
  <c r="A1363" i="1"/>
  <c r="B1363" i="1"/>
  <c r="C1363" i="1"/>
  <c r="D1363" i="1"/>
  <c r="E1363" i="1"/>
  <c r="F1363" i="1"/>
  <c r="G1363" i="1"/>
  <c r="I1363" i="1"/>
  <c r="J1363" i="1"/>
  <c r="K1363" i="1"/>
  <c r="L1363" i="1"/>
  <c r="M1363" i="1"/>
  <c r="N1363" i="1"/>
  <c r="O1363" i="1"/>
  <c r="P1363" i="1"/>
  <c r="Q1363" i="1"/>
  <c r="R1363" i="1"/>
  <c r="S1363" i="1"/>
  <c r="T1363" i="1"/>
  <c r="U1363" i="1"/>
  <c r="V1363" i="1"/>
  <c r="W1363" i="1"/>
  <c r="X1363" i="1"/>
  <c r="Y1363" i="1"/>
  <c r="Z1363" i="1"/>
  <c r="A1364" i="1"/>
  <c r="B1364" i="1"/>
  <c r="C1364" i="1"/>
  <c r="D1364" i="1"/>
  <c r="E1364" i="1"/>
  <c r="F1364" i="1"/>
  <c r="G1364" i="1"/>
  <c r="I1364" i="1"/>
  <c r="J1364" i="1"/>
  <c r="K1364" i="1"/>
  <c r="L1364" i="1"/>
  <c r="M1364" i="1"/>
  <c r="N1364" i="1"/>
  <c r="O1364" i="1"/>
  <c r="P1364" i="1"/>
  <c r="Q1364" i="1"/>
  <c r="R1364" i="1"/>
  <c r="S1364" i="1"/>
  <c r="T1364" i="1"/>
  <c r="U1364" i="1"/>
  <c r="V1364" i="1"/>
  <c r="W1364" i="1"/>
  <c r="X1364" i="1"/>
  <c r="Y1364" i="1"/>
  <c r="Z1364" i="1"/>
  <c r="A1365" i="1"/>
  <c r="B1365" i="1"/>
  <c r="C1365" i="1"/>
  <c r="D1365" i="1"/>
  <c r="E1365" i="1"/>
  <c r="F1365" i="1"/>
  <c r="G1365" i="1"/>
  <c r="I1365" i="1"/>
  <c r="J1365" i="1"/>
  <c r="K1365" i="1"/>
  <c r="L1365" i="1"/>
  <c r="M1365" i="1"/>
  <c r="N1365" i="1"/>
  <c r="O1365" i="1"/>
  <c r="P1365" i="1"/>
  <c r="Q1365" i="1"/>
  <c r="R1365" i="1"/>
  <c r="S1365" i="1"/>
  <c r="T1365" i="1"/>
  <c r="U1365" i="1"/>
  <c r="V1365" i="1"/>
  <c r="W1365" i="1"/>
  <c r="X1365" i="1"/>
  <c r="Y1365" i="1"/>
  <c r="Z1365" i="1"/>
  <c r="A1366" i="1"/>
  <c r="B1366" i="1"/>
  <c r="C1366" i="1"/>
  <c r="D1366" i="1"/>
  <c r="E1366" i="1"/>
  <c r="F1366" i="1"/>
  <c r="G1366" i="1"/>
  <c r="I1366" i="1"/>
  <c r="J1366" i="1"/>
  <c r="K1366" i="1"/>
  <c r="L1366" i="1"/>
  <c r="M1366" i="1"/>
  <c r="N1366" i="1"/>
  <c r="O1366" i="1"/>
  <c r="P1366" i="1"/>
  <c r="Q1366" i="1"/>
  <c r="R1366" i="1"/>
  <c r="S1366" i="1"/>
  <c r="T1366" i="1"/>
  <c r="U1366" i="1"/>
  <c r="V1366" i="1"/>
  <c r="W1366" i="1"/>
  <c r="X1366" i="1"/>
  <c r="Y1366" i="1"/>
  <c r="Z1366" i="1"/>
  <c r="A1367" i="1"/>
  <c r="B1367" i="1"/>
  <c r="C1367" i="1"/>
  <c r="D1367" i="1"/>
  <c r="E1367" i="1"/>
  <c r="F1367" i="1"/>
  <c r="G1367" i="1"/>
  <c r="I1367" i="1"/>
  <c r="J1367" i="1"/>
  <c r="K1367" i="1"/>
  <c r="L1367" i="1"/>
  <c r="M1367" i="1"/>
  <c r="N1367" i="1"/>
  <c r="O1367" i="1"/>
  <c r="P1367" i="1"/>
  <c r="Q1367" i="1"/>
  <c r="R1367" i="1"/>
  <c r="S1367" i="1"/>
  <c r="T1367" i="1"/>
  <c r="U1367" i="1"/>
  <c r="V1367" i="1"/>
  <c r="W1367" i="1"/>
  <c r="X1367" i="1"/>
  <c r="Y1367" i="1"/>
  <c r="Z1367" i="1"/>
  <c r="A1368" i="1"/>
  <c r="B1368" i="1"/>
  <c r="C1368" i="1"/>
  <c r="D1368" i="1"/>
  <c r="E1368" i="1"/>
  <c r="F1368" i="1"/>
  <c r="G1368" i="1"/>
  <c r="I1368" i="1"/>
  <c r="J1368" i="1"/>
  <c r="K1368" i="1"/>
  <c r="L1368" i="1"/>
  <c r="M1368" i="1"/>
  <c r="N1368" i="1"/>
  <c r="O1368" i="1"/>
  <c r="P1368" i="1"/>
  <c r="Q1368" i="1"/>
  <c r="R1368" i="1"/>
  <c r="S1368" i="1"/>
  <c r="T1368" i="1"/>
  <c r="U1368" i="1"/>
  <c r="V1368" i="1"/>
  <c r="W1368" i="1"/>
  <c r="X1368" i="1"/>
  <c r="Y1368" i="1"/>
  <c r="Z1368" i="1"/>
  <c r="A1369" i="1"/>
  <c r="B1369" i="1"/>
  <c r="C1369" i="1"/>
  <c r="D1369" i="1"/>
  <c r="E1369" i="1"/>
  <c r="F1369" i="1"/>
  <c r="G1369" i="1"/>
  <c r="I1369" i="1"/>
  <c r="J1369" i="1"/>
  <c r="K1369" i="1"/>
  <c r="L1369" i="1"/>
  <c r="M1369" i="1"/>
  <c r="N1369" i="1"/>
  <c r="O1369" i="1"/>
  <c r="P1369" i="1"/>
  <c r="Q1369" i="1"/>
  <c r="R1369" i="1"/>
  <c r="S1369" i="1"/>
  <c r="T1369" i="1"/>
  <c r="U1369" i="1"/>
  <c r="V1369" i="1"/>
  <c r="W1369" i="1"/>
  <c r="X1369" i="1"/>
  <c r="Y1369" i="1"/>
  <c r="Z1369" i="1"/>
  <c r="A1370" i="1"/>
  <c r="B1370" i="1"/>
  <c r="C1370" i="1"/>
  <c r="D1370" i="1"/>
  <c r="E1370" i="1"/>
  <c r="F1370" i="1"/>
  <c r="G1370" i="1"/>
  <c r="I1370" i="1"/>
  <c r="J1370" i="1"/>
  <c r="K1370" i="1"/>
  <c r="L1370" i="1"/>
  <c r="M1370" i="1"/>
  <c r="N1370" i="1"/>
  <c r="O1370" i="1"/>
  <c r="P1370" i="1"/>
  <c r="Q1370" i="1"/>
  <c r="R1370" i="1"/>
  <c r="S1370" i="1"/>
  <c r="T1370" i="1"/>
  <c r="U1370" i="1"/>
  <c r="V1370" i="1"/>
  <c r="W1370" i="1"/>
  <c r="X1370" i="1"/>
  <c r="Y1370" i="1"/>
  <c r="Z1370" i="1"/>
  <c r="A1371" i="1"/>
  <c r="B1371" i="1"/>
  <c r="C1371" i="1"/>
  <c r="D1371" i="1"/>
  <c r="E1371" i="1"/>
  <c r="F1371" i="1"/>
  <c r="G1371" i="1"/>
  <c r="I1371" i="1"/>
  <c r="J1371" i="1"/>
  <c r="K1371" i="1"/>
  <c r="L1371" i="1"/>
  <c r="M1371" i="1"/>
  <c r="N1371" i="1"/>
  <c r="O1371" i="1"/>
  <c r="P1371" i="1"/>
  <c r="Q1371" i="1"/>
  <c r="R1371" i="1"/>
  <c r="S1371" i="1"/>
  <c r="T1371" i="1"/>
  <c r="U1371" i="1"/>
  <c r="V1371" i="1"/>
  <c r="W1371" i="1"/>
  <c r="X1371" i="1"/>
  <c r="Y1371" i="1"/>
  <c r="Z1371" i="1"/>
  <c r="A1372" i="1"/>
  <c r="B1372" i="1"/>
  <c r="C1372" i="1"/>
  <c r="D1372" i="1"/>
  <c r="E1372" i="1"/>
  <c r="F1372" i="1"/>
  <c r="G1372" i="1"/>
  <c r="I1372" i="1"/>
  <c r="J1372" i="1"/>
  <c r="K1372" i="1"/>
  <c r="L1372" i="1"/>
  <c r="M1372" i="1"/>
  <c r="N1372" i="1"/>
  <c r="O1372" i="1"/>
  <c r="P1372" i="1"/>
  <c r="Q1372" i="1"/>
  <c r="R1372" i="1"/>
  <c r="S1372" i="1"/>
  <c r="T1372" i="1"/>
  <c r="U1372" i="1"/>
  <c r="V1372" i="1"/>
  <c r="W1372" i="1"/>
  <c r="X1372" i="1"/>
  <c r="Y1372" i="1"/>
  <c r="Z1372" i="1"/>
  <c r="A1373" i="1"/>
  <c r="B1373" i="1"/>
  <c r="C1373" i="1"/>
  <c r="D1373" i="1"/>
  <c r="E1373" i="1"/>
  <c r="F1373" i="1"/>
  <c r="G1373" i="1"/>
  <c r="I1373" i="1"/>
  <c r="J1373" i="1"/>
  <c r="K1373" i="1"/>
  <c r="L1373" i="1"/>
  <c r="M1373" i="1"/>
  <c r="N1373" i="1"/>
  <c r="O1373" i="1"/>
  <c r="P1373" i="1"/>
  <c r="Q1373" i="1"/>
  <c r="R1373" i="1"/>
  <c r="S1373" i="1"/>
  <c r="T1373" i="1"/>
  <c r="U1373" i="1"/>
  <c r="V1373" i="1"/>
  <c r="W1373" i="1"/>
  <c r="X1373" i="1"/>
  <c r="Y1373" i="1"/>
  <c r="Z1373" i="1"/>
  <c r="A1374" i="1"/>
  <c r="B1374" i="1"/>
  <c r="C1374" i="1"/>
  <c r="D1374" i="1"/>
  <c r="E1374" i="1"/>
  <c r="F1374" i="1"/>
  <c r="G1374" i="1"/>
  <c r="I1374" i="1"/>
  <c r="J1374" i="1"/>
  <c r="K1374" i="1"/>
  <c r="L1374" i="1"/>
  <c r="M1374" i="1"/>
  <c r="N1374" i="1"/>
  <c r="O1374" i="1"/>
  <c r="P1374" i="1"/>
  <c r="Q1374" i="1"/>
  <c r="R1374" i="1"/>
  <c r="S1374" i="1"/>
  <c r="T1374" i="1"/>
  <c r="U1374" i="1"/>
  <c r="V1374" i="1"/>
  <c r="W1374" i="1"/>
  <c r="X1374" i="1"/>
  <c r="Y1374" i="1"/>
  <c r="Z1374" i="1"/>
  <c r="A1375" i="1"/>
  <c r="B1375" i="1"/>
  <c r="C1375" i="1"/>
  <c r="D1375" i="1"/>
  <c r="E1375" i="1"/>
  <c r="F1375" i="1"/>
  <c r="G1375" i="1"/>
  <c r="I1375" i="1"/>
  <c r="J1375" i="1"/>
  <c r="K1375" i="1"/>
  <c r="L1375" i="1"/>
  <c r="M1375" i="1"/>
  <c r="N1375" i="1"/>
  <c r="O1375" i="1"/>
  <c r="P1375" i="1"/>
  <c r="Q1375" i="1"/>
  <c r="R1375" i="1"/>
  <c r="S1375" i="1"/>
  <c r="T1375" i="1"/>
  <c r="U1375" i="1"/>
  <c r="V1375" i="1"/>
  <c r="W1375" i="1"/>
  <c r="X1375" i="1"/>
  <c r="Y1375" i="1"/>
  <c r="Z1375" i="1"/>
  <c r="A1376" i="1"/>
  <c r="B1376" i="1"/>
  <c r="C1376" i="1"/>
  <c r="D1376" i="1"/>
  <c r="E1376" i="1"/>
  <c r="F1376" i="1"/>
  <c r="G1376" i="1"/>
  <c r="I1376" i="1"/>
  <c r="J1376" i="1"/>
  <c r="K1376" i="1"/>
  <c r="L1376" i="1"/>
  <c r="M1376" i="1"/>
  <c r="N1376" i="1"/>
  <c r="O1376" i="1"/>
  <c r="P1376" i="1"/>
  <c r="Q1376" i="1"/>
  <c r="R1376" i="1"/>
  <c r="S1376" i="1"/>
  <c r="T1376" i="1"/>
  <c r="U1376" i="1"/>
  <c r="V1376" i="1"/>
  <c r="W1376" i="1"/>
  <c r="X1376" i="1"/>
  <c r="Y1376" i="1"/>
  <c r="Z1376" i="1"/>
  <c r="A1377" i="1"/>
  <c r="B1377" i="1"/>
  <c r="C1377" i="1"/>
  <c r="D1377" i="1"/>
  <c r="E1377" i="1"/>
  <c r="F1377" i="1"/>
  <c r="G1377" i="1"/>
  <c r="I1377" i="1"/>
  <c r="J1377" i="1"/>
  <c r="K1377" i="1"/>
  <c r="L1377" i="1"/>
  <c r="M1377" i="1"/>
  <c r="N1377" i="1"/>
  <c r="O1377" i="1"/>
  <c r="P1377" i="1"/>
  <c r="Q1377" i="1"/>
  <c r="R1377" i="1"/>
  <c r="S1377" i="1"/>
  <c r="T1377" i="1"/>
  <c r="U1377" i="1"/>
  <c r="V1377" i="1"/>
  <c r="W1377" i="1"/>
  <c r="X1377" i="1"/>
  <c r="Y1377" i="1"/>
  <c r="Z1377" i="1"/>
  <c r="A1378" i="1"/>
  <c r="B1378" i="1"/>
  <c r="C1378" i="1"/>
  <c r="D1378" i="1"/>
  <c r="E1378" i="1"/>
  <c r="F1378" i="1"/>
  <c r="G1378" i="1"/>
  <c r="I1378" i="1"/>
  <c r="J1378" i="1"/>
  <c r="K1378" i="1"/>
  <c r="L1378" i="1"/>
  <c r="M1378" i="1"/>
  <c r="N1378" i="1"/>
  <c r="O1378" i="1"/>
  <c r="P1378" i="1"/>
  <c r="Q1378" i="1"/>
  <c r="R1378" i="1"/>
  <c r="S1378" i="1"/>
  <c r="T1378" i="1"/>
  <c r="U1378" i="1"/>
  <c r="V1378" i="1"/>
  <c r="W1378" i="1"/>
  <c r="X1378" i="1"/>
  <c r="Y1378" i="1"/>
  <c r="Z1378" i="1"/>
  <c r="A1379" i="1"/>
  <c r="B1379" i="1"/>
  <c r="C1379" i="1"/>
  <c r="D1379" i="1"/>
  <c r="E1379" i="1"/>
  <c r="F1379" i="1"/>
  <c r="G1379" i="1"/>
  <c r="I1379" i="1"/>
  <c r="J1379" i="1"/>
  <c r="K1379" i="1"/>
  <c r="L1379" i="1"/>
  <c r="M1379" i="1"/>
  <c r="N1379" i="1"/>
  <c r="O1379" i="1"/>
  <c r="P1379" i="1"/>
  <c r="Q1379" i="1"/>
  <c r="R1379" i="1"/>
  <c r="S1379" i="1"/>
  <c r="T1379" i="1"/>
  <c r="U1379" i="1"/>
  <c r="V1379" i="1"/>
  <c r="W1379" i="1"/>
  <c r="X1379" i="1"/>
  <c r="Y1379" i="1"/>
  <c r="Z1379" i="1"/>
  <c r="A1380" i="1"/>
  <c r="B1380" i="1"/>
  <c r="C1380" i="1"/>
  <c r="D1380" i="1"/>
  <c r="E1380" i="1"/>
  <c r="F1380" i="1"/>
  <c r="G1380" i="1"/>
  <c r="I1380" i="1"/>
  <c r="J1380" i="1"/>
  <c r="K1380" i="1"/>
  <c r="L1380" i="1"/>
  <c r="M1380" i="1"/>
  <c r="N1380" i="1"/>
  <c r="O1380" i="1"/>
  <c r="P1380" i="1"/>
  <c r="Q1380" i="1"/>
  <c r="R1380" i="1"/>
  <c r="S1380" i="1"/>
  <c r="T1380" i="1"/>
  <c r="U1380" i="1"/>
  <c r="V1380" i="1"/>
  <c r="W1380" i="1"/>
  <c r="X1380" i="1"/>
  <c r="Y1380" i="1"/>
  <c r="Z1380" i="1"/>
  <c r="A1381" i="1"/>
  <c r="B1381" i="1"/>
  <c r="C1381" i="1"/>
  <c r="D1381" i="1"/>
  <c r="E1381" i="1"/>
  <c r="F1381" i="1"/>
  <c r="G1381" i="1"/>
  <c r="I1381" i="1"/>
  <c r="J1381" i="1"/>
  <c r="K1381" i="1"/>
  <c r="L1381" i="1"/>
  <c r="M1381" i="1"/>
  <c r="N1381" i="1"/>
  <c r="O1381" i="1"/>
  <c r="P1381" i="1"/>
  <c r="Q1381" i="1"/>
  <c r="R1381" i="1"/>
  <c r="S1381" i="1"/>
  <c r="T1381" i="1"/>
  <c r="U1381" i="1"/>
  <c r="V1381" i="1"/>
  <c r="W1381" i="1"/>
  <c r="X1381" i="1"/>
  <c r="Y1381" i="1"/>
  <c r="Z1381" i="1"/>
  <c r="A1382" i="1"/>
  <c r="B1382" i="1"/>
  <c r="C1382" i="1"/>
  <c r="D1382" i="1"/>
  <c r="E1382" i="1"/>
  <c r="F1382" i="1"/>
  <c r="G1382" i="1"/>
  <c r="I1382" i="1"/>
  <c r="J1382" i="1"/>
  <c r="K1382" i="1"/>
  <c r="L1382" i="1"/>
  <c r="M1382" i="1"/>
  <c r="N1382" i="1"/>
  <c r="O1382" i="1"/>
  <c r="P1382" i="1"/>
  <c r="Q1382" i="1"/>
  <c r="R1382" i="1"/>
  <c r="S1382" i="1"/>
  <c r="T1382" i="1"/>
  <c r="U1382" i="1"/>
  <c r="V1382" i="1"/>
  <c r="W1382" i="1"/>
  <c r="X1382" i="1"/>
  <c r="Y1382" i="1"/>
  <c r="Z1382" i="1"/>
  <c r="A1383" i="1"/>
  <c r="B1383" i="1"/>
  <c r="C1383" i="1"/>
  <c r="D1383" i="1"/>
  <c r="E1383" i="1"/>
  <c r="F1383" i="1"/>
  <c r="G1383" i="1"/>
  <c r="I1383" i="1"/>
  <c r="J1383" i="1"/>
  <c r="K1383" i="1"/>
  <c r="L1383" i="1"/>
  <c r="M1383" i="1"/>
  <c r="N1383" i="1"/>
  <c r="O1383" i="1"/>
  <c r="P1383" i="1"/>
  <c r="Q1383" i="1"/>
  <c r="R1383" i="1"/>
  <c r="S1383" i="1"/>
  <c r="T1383" i="1"/>
  <c r="U1383" i="1"/>
  <c r="V1383" i="1"/>
  <c r="W1383" i="1"/>
  <c r="X1383" i="1"/>
  <c r="Y1383" i="1"/>
  <c r="Z1383" i="1"/>
  <c r="A1384" i="1"/>
  <c r="B1384" i="1"/>
  <c r="C1384" i="1"/>
  <c r="D1384" i="1"/>
  <c r="E1384" i="1"/>
  <c r="F1384" i="1"/>
  <c r="G1384" i="1"/>
  <c r="I1384" i="1"/>
  <c r="J1384" i="1"/>
  <c r="K1384" i="1"/>
  <c r="L1384" i="1"/>
  <c r="M1384" i="1"/>
  <c r="N1384" i="1"/>
  <c r="O1384" i="1"/>
  <c r="P1384" i="1"/>
  <c r="Q1384" i="1"/>
  <c r="R1384" i="1"/>
  <c r="S1384" i="1"/>
  <c r="T1384" i="1"/>
  <c r="U1384" i="1"/>
  <c r="V1384" i="1"/>
  <c r="W1384" i="1"/>
  <c r="X1384" i="1"/>
  <c r="Y1384" i="1"/>
  <c r="Z1384" i="1"/>
  <c r="A1385" i="1"/>
  <c r="B1385" i="1"/>
  <c r="C1385" i="1"/>
  <c r="D1385" i="1"/>
  <c r="E1385" i="1"/>
  <c r="F1385" i="1"/>
  <c r="G1385" i="1"/>
  <c r="I1385" i="1"/>
  <c r="J1385" i="1"/>
  <c r="K1385" i="1"/>
  <c r="L1385" i="1"/>
  <c r="M1385" i="1"/>
  <c r="N1385" i="1"/>
  <c r="O1385" i="1"/>
  <c r="P1385" i="1"/>
  <c r="Q1385" i="1"/>
  <c r="R1385" i="1"/>
  <c r="S1385" i="1"/>
  <c r="T1385" i="1"/>
  <c r="U1385" i="1"/>
  <c r="V1385" i="1"/>
  <c r="W1385" i="1"/>
  <c r="X1385" i="1"/>
  <c r="Y1385" i="1"/>
  <c r="Z1385" i="1"/>
  <c r="A1386" i="1"/>
  <c r="B1386" i="1"/>
  <c r="C1386" i="1"/>
  <c r="D1386" i="1"/>
  <c r="E1386" i="1"/>
  <c r="F1386" i="1"/>
  <c r="G1386" i="1"/>
  <c r="I1386" i="1"/>
  <c r="J1386" i="1"/>
  <c r="K1386" i="1"/>
  <c r="L1386" i="1"/>
  <c r="M1386" i="1"/>
  <c r="N1386" i="1"/>
  <c r="O1386" i="1"/>
  <c r="P1386" i="1"/>
  <c r="Q1386" i="1"/>
  <c r="R1386" i="1"/>
  <c r="S1386" i="1"/>
  <c r="T1386" i="1"/>
  <c r="U1386" i="1"/>
  <c r="V1386" i="1"/>
  <c r="W1386" i="1"/>
  <c r="X1386" i="1"/>
  <c r="Y1386" i="1"/>
  <c r="Z1386" i="1"/>
  <c r="A1387" i="1"/>
  <c r="B1387" i="1"/>
  <c r="C1387" i="1"/>
  <c r="D1387" i="1"/>
  <c r="E1387" i="1"/>
  <c r="F1387" i="1"/>
  <c r="G1387" i="1"/>
  <c r="I1387" i="1"/>
  <c r="J1387" i="1"/>
  <c r="K1387" i="1"/>
  <c r="L1387" i="1"/>
  <c r="M1387" i="1"/>
  <c r="N1387" i="1"/>
  <c r="O1387" i="1"/>
  <c r="P1387" i="1"/>
  <c r="Q1387" i="1"/>
  <c r="R1387" i="1"/>
  <c r="S1387" i="1"/>
  <c r="T1387" i="1"/>
  <c r="U1387" i="1"/>
  <c r="V1387" i="1"/>
  <c r="W1387" i="1"/>
  <c r="X1387" i="1"/>
  <c r="Y1387" i="1"/>
  <c r="Z1387" i="1"/>
  <c r="A1388" i="1"/>
  <c r="B1388" i="1"/>
  <c r="C1388" i="1"/>
  <c r="D1388" i="1"/>
  <c r="E1388" i="1"/>
  <c r="F1388" i="1"/>
  <c r="G1388" i="1"/>
  <c r="I1388" i="1"/>
  <c r="J1388" i="1"/>
  <c r="K1388" i="1"/>
  <c r="L1388" i="1"/>
  <c r="M1388" i="1"/>
  <c r="N1388" i="1"/>
  <c r="O1388" i="1"/>
  <c r="P1388" i="1"/>
  <c r="Q1388" i="1"/>
  <c r="R1388" i="1"/>
  <c r="S1388" i="1"/>
  <c r="T1388" i="1"/>
  <c r="U1388" i="1"/>
  <c r="V1388" i="1"/>
  <c r="W1388" i="1"/>
  <c r="X1388" i="1"/>
  <c r="Y1388" i="1"/>
  <c r="Z1388" i="1"/>
  <c r="A1389" i="1"/>
  <c r="B1389" i="1"/>
  <c r="C1389" i="1"/>
  <c r="D1389" i="1"/>
  <c r="E1389" i="1"/>
  <c r="F1389" i="1"/>
  <c r="G1389" i="1"/>
  <c r="I1389" i="1"/>
  <c r="J1389" i="1"/>
  <c r="K1389" i="1"/>
  <c r="L1389" i="1"/>
  <c r="M1389" i="1"/>
  <c r="N1389" i="1"/>
  <c r="O1389" i="1"/>
  <c r="P1389" i="1"/>
  <c r="Q1389" i="1"/>
  <c r="R1389" i="1"/>
  <c r="S1389" i="1"/>
  <c r="T1389" i="1"/>
  <c r="U1389" i="1"/>
  <c r="V1389" i="1"/>
  <c r="W1389" i="1"/>
  <c r="X1389" i="1"/>
  <c r="Y1389" i="1"/>
  <c r="Z1389" i="1"/>
  <c r="A1390" i="1"/>
  <c r="B1390" i="1"/>
  <c r="C1390" i="1"/>
  <c r="D1390" i="1"/>
  <c r="E1390" i="1"/>
  <c r="F1390" i="1"/>
  <c r="G1390" i="1"/>
  <c r="I1390" i="1"/>
  <c r="J1390" i="1"/>
  <c r="K1390" i="1"/>
  <c r="L1390" i="1"/>
  <c r="M1390" i="1"/>
  <c r="N1390" i="1"/>
  <c r="O1390" i="1"/>
  <c r="P1390" i="1"/>
  <c r="Q1390" i="1"/>
  <c r="R1390" i="1"/>
  <c r="S1390" i="1"/>
  <c r="T1390" i="1"/>
  <c r="U1390" i="1"/>
  <c r="V1390" i="1"/>
  <c r="W1390" i="1"/>
  <c r="X1390" i="1"/>
  <c r="Y1390" i="1"/>
  <c r="Z1390" i="1"/>
  <c r="A1391" i="1"/>
  <c r="B1391" i="1"/>
  <c r="C1391" i="1"/>
  <c r="D1391" i="1"/>
  <c r="E1391" i="1"/>
  <c r="F1391" i="1"/>
  <c r="G1391" i="1"/>
  <c r="I1391" i="1"/>
  <c r="J1391" i="1"/>
  <c r="K1391" i="1"/>
  <c r="L1391" i="1"/>
  <c r="M1391" i="1"/>
  <c r="N1391" i="1"/>
  <c r="O1391" i="1"/>
  <c r="P1391" i="1"/>
  <c r="Q1391" i="1"/>
  <c r="R1391" i="1"/>
  <c r="S1391" i="1"/>
  <c r="T1391" i="1"/>
  <c r="U1391" i="1"/>
  <c r="V1391" i="1"/>
  <c r="W1391" i="1"/>
  <c r="X1391" i="1"/>
  <c r="Y1391" i="1"/>
  <c r="Z1391" i="1"/>
  <c r="A1392" i="1"/>
  <c r="B1392" i="1"/>
  <c r="C1392" i="1"/>
  <c r="D1392" i="1"/>
  <c r="E1392" i="1"/>
  <c r="F1392" i="1"/>
  <c r="G1392" i="1"/>
  <c r="I1392" i="1"/>
  <c r="J1392" i="1"/>
  <c r="K1392" i="1"/>
  <c r="L1392" i="1"/>
  <c r="M1392" i="1"/>
  <c r="N1392" i="1"/>
  <c r="O1392" i="1"/>
  <c r="P1392" i="1"/>
  <c r="Q1392" i="1"/>
  <c r="R1392" i="1"/>
  <c r="S1392" i="1"/>
  <c r="T1392" i="1"/>
  <c r="U1392" i="1"/>
  <c r="V1392" i="1"/>
  <c r="W1392" i="1"/>
  <c r="X1392" i="1"/>
  <c r="Y1392" i="1"/>
  <c r="Z1392" i="1"/>
  <c r="A1393" i="1"/>
  <c r="B1393" i="1"/>
  <c r="C1393" i="1"/>
  <c r="D1393" i="1"/>
  <c r="E1393" i="1"/>
  <c r="F1393" i="1"/>
  <c r="G1393" i="1"/>
  <c r="I1393" i="1"/>
  <c r="J1393" i="1"/>
  <c r="K1393" i="1"/>
  <c r="L1393" i="1"/>
  <c r="M1393" i="1"/>
  <c r="N1393" i="1"/>
  <c r="O1393" i="1"/>
  <c r="P1393" i="1"/>
  <c r="Q1393" i="1"/>
  <c r="R1393" i="1"/>
  <c r="S1393" i="1"/>
  <c r="T1393" i="1"/>
  <c r="U1393" i="1"/>
  <c r="V1393" i="1"/>
  <c r="W1393" i="1"/>
  <c r="X1393" i="1"/>
  <c r="Y1393" i="1"/>
  <c r="Z1393" i="1"/>
  <c r="A1394" i="1"/>
  <c r="B1394" i="1"/>
  <c r="C1394" i="1"/>
  <c r="D1394" i="1"/>
  <c r="E1394" i="1"/>
  <c r="F1394" i="1"/>
  <c r="G1394" i="1"/>
  <c r="I1394" i="1"/>
  <c r="J1394" i="1"/>
  <c r="K1394" i="1"/>
  <c r="L1394" i="1"/>
  <c r="M1394" i="1"/>
  <c r="N1394" i="1"/>
  <c r="O1394" i="1"/>
  <c r="P1394" i="1"/>
  <c r="Q1394" i="1"/>
  <c r="R1394" i="1"/>
  <c r="S1394" i="1"/>
  <c r="T1394" i="1"/>
  <c r="U1394" i="1"/>
  <c r="V1394" i="1"/>
  <c r="W1394" i="1"/>
  <c r="X1394" i="1"/>
  <c r="Y1394" i="1"/>
  <c r="Z1394" i="1"/>
  <c r="A1395" i="1"/>
  <c r="B1395" i="1"/>
  <c r="C1395" i="1"/>
  <c r="D1395" i="1"/>
  <c r="E1395" i="1"/>
  <c r="F1395" i="1"/>
  <c r="G1395" i="1"/>
  <c r="I1395" i="1"/>
  <c r="J1395" i="1"/>
  <c r="K1395" i="1"/>
  <c r="L1395" i="1"/>
  <c r="M1395" i="1"/>
  <c r="N1395" i="1"/>
  <c r="O1395" i="1"/>
  <c r="P1395" i="1"/>
  <c r="Q1395" i="1"/>
  <c r="R1395" i="1"/>
  <c r="S1395" i="1"/>
  <c r="T1395" i="1"/>
  <c r="U1395" i="1"/>
  <c r="V1395" i="1"/>
  <c r="W1395" i="1"/>
  <c r="X1395" i="1"/>
  <c r="Y1395" i="1"/>
  <c r="Z1395" i="1"/>
  <c r="A1396" i="1"/>
  <c r="B1396" i="1"/>
  <c r="C1396" i="1"/>
  <c r="D1396" i="1"/>
  <c r="E1396" i="1"/>
  <c r="F1396" i="1"/>
  <c r="G1396" i="1"/>
  <c r="I1396" i="1"/>
  <c r="J1396" i="1"/>
  <c r="K1396" i="1"/>
  <c r="L1396" i="1"/>
  <c r="M1396" i="1"/>
  <c r="N1396" i="1"/>
  <c r="O1396" i="1"/>
  <c r="P1396" i="1"/>
  <c r="Q1396" i="1"/>
  <c r="R1396" i="1"/>
  <c r="S1396" i="1"/>
  <c r="T1396" i="1"/>
  <c r="U1396" i="1"/>
  <c r="V1396" i="1"/>
  <c r="W1396" i="1"/>
  <c r="X1396" i="1"/>
  <c r="Y1396" i="1"/>
  <c r="Z1396" i="1"/>
  <c r="A1397" i="1"/>
  <c r="B1397" i="1"/>
  <c r="C1397" i="1"/>
  <c r="D1397" i="1"/>
  <c r="E1397" i="1"/>
  <c r="F1397" i="1"/>
  <c r="G1397" i="1"/>
  <c r="I1397" i="1"/>
  <c r="J1397" i="1"/>
  <c r="K1397" i="1"/>
  <c r="L1397" i="1"/>
  <c r="M1397" i="1"/>
  <c r="N1397" i="1"/>
  <c r="O1397" i="1"/>
  <c r="P1397" i="1"/>
  <c r="Q1397" i="1"/>
  <c r="R1397" i="1"/>
  <c r="S1397" i="1"/>
  <c r="T1397" i="1"/>
  <c r="U1397" i="1"/>
  <c r="V1397" i="1"/>
  <c r="W1397" i="1"/>
  <c r="X1397" i="1"/>
  <c r="Y1397" i="1"/>
  <c r="Z1397" i="1"/>
  <c r="A1398" i="1"/>
  <c r="B1398" i="1"/>
  <c r="C1398" i="1"/>
  <c r="D1398" i="1"/>
  <c r="E1398" i="1"/>
  <c r="F1398" i="1"/>
  <c r="G1398" i="1"/>
  <c r="I1398" i="1"/>
  <c r="J1398" i="1"/>
  <c r="K1398" i="1"/>
  <c r="L1398" i="1"/>
  <c r="M1398" i="1"/>
  <c r="N1398" i="1"/>
  <c r="O1398" i="1"/>
  <c r="P1398" i="1"/>
  <c r="Q1398" i="1"/>
  <c r="R1398" i="1"/>
  <c r="S1398" i="1"/>
  <c r="T1398" i="1"/>
  <c r="U1398" i="1"/>
  <c r="V1398" i="1"/>
  <c r="W1398" i="1"/>
  <c r="X1398" i="1"/>
  <c r="Y1398" i="1"/>
  <c r="Z1398" i="1"/>
  <c r="A1399" i="1"/>
  <c r="B1399" i="1"/>
  <c r="C1399" i="1"/>
  <c r="D1399" i="1"/>
  <c r="E1399" i="1"/>
  <c r="F1399" i="1"/>
  <c r="G1399" i="1"/>
  <c r="I1399" i="1"/>
  <c r="J1399" i="1"/>
  <c r="K1399" i="1"/>
  <c r="L1399" i="1"/>
  <c r="M1399" i="1"/>
  <c r="N1399" i="1"/>
  <c r="O1399" i="1"/>
  <c r="P1399" i="1"/>
  <c r="Q1399" i="1"/>
  <c r="R1399" i="1"/>
  <c r="S1399" i="1"/>
  <c r="T1399" i="1"/>
  <c r="U1399" i="1"/>
  <c r="V1399" i="1"/>
  <c r="W1399" i="1"/>
  <c r="X1399" i="1"/>
  <c r="Y1399" i="1"/>
  <c r="Z1399" i="1"/>
  <c r="A1400" i="1"/>
  <c r="B1400" i="1"/>
  <c r="C1400" i="1"/>
  <c r="D1400" i="1"/>
  <c r="E1400" i="1"/>
  <c r="F1400" i="1"/>
  <c r="G1400" i="1"/>
  <c r="I1400" i="1"/>
  <c r="J1400" i="1"/>
  <c r="K1400" i="1"/>
  <c r="L1400" i="1"/>
  <c r="M1400" i="1"/>
  <c r="N1400" i="1"/>
  <c r="O1400" i="1"/>
  <c r="P1400" i="1"/>
  <c r="Q1400" i="1"/>
  <c r="R1400" i="1"/>
  <c r="S1400" i="1"/>
  <c r="T1400" i="1"/>
  <c r="U1400" i="1"/>
  <c r="V1400" i="1"/>
  <c r="W1400" i="1"/>
  <c r="X1400" i="1"/>
  <c r="Y1400" i="1"/>
  <c r="Z1400" i="1"/>
  <c r="A1401" i="1"/>
  <c r="B1401" i="1"/>
  <c r="C1401" i="1"/>
  <c r="D1401" i="1"/>
  <c r="E1401" i="1"/>
  <c r="F1401" i="1"/>
  <c r="G1401" i="1"/>
  <c r="I1401" i="1"/>
  <c r="J1401" i="1"/>
  <c r="K1401" i="1"/>
  <c r="L1401" i="1"/>
  <c r="M1401" i="1"/>
  <c r="N1401" i="1"/>
  <c r="O1401" i="1"/>
  <c r="P1401" i="1"/>
  <c r="Q1401" i="1"/>
  <c r="R1401" i="1"/>
  <c r="S1401" i="1"/>
  <c r="T1401" i="1"/>
  <c r="U1401" i="1"/>
  <c r="V1401" i="1"/>
  <c r="W1401" i="1"/>
  <c r="X1401" i="1"/>
  <c r="Y1401" i="1"/>
  <c r="Z1401" i="1"/>
  <c r="A1402" i="1"/>
  <c r="B1402" i="1"/>
  <c r="C1402" i="1"/>
  <c r="D1402" i="1"/>
  <c r="E1402" i="1"/>
  <c r="F1402" i="1"/>
  <c r="G1402" i="1"/>
  <c r="I1402" i="1"/>
  <c r="J1402" i="1"/>
  <c r="K1402" i="1"/>
  <c r="L1402" i="1"/>
  <c r="M1402" i="1"/>
  <c r="N1402" i="1"/>
  <c r="O1402" i="1"/>
  <c r="P1402" i="1"/>
  <c r="Q1402" i="1"/>
  <c r="R1402" i="1"/>
  <c r="S1402" i="1"/>
  <c r="T1402" i="1"/>
  <c r="U1402" i="1"/>
  <c r="V1402" i="1"/>
  <c r="W1402" i="1"/>
  <c r="X1402" i="1"/>
  <c r="Y1402" i="1"/>
  <c r="Z1402" i="1"/>
  <c r="A1403" i="1"/>
  <c r="B1403" i="1"/>
  <c r="C1403" i="1"/>
  <c r="D1403" i="1"/>
  <c r="E1403" i="1"/>
  <c r="F1403" i="1"/>
  <c r="G1403" i="1"/>
  <c r="I1403" i="1"/>
  <c r="J1403" i="1"/>
  <c r="K1403" i="1"/>
  <c r="L1403" i="1"/>
  <c r="M1403" i="1"/>
  <c r="N1403" i="1"/>
  <c r="O1403" i="1"/>
  <c r="P1403" i="1"/>
  <c r="Q1403" i="1"/>
  <c r="R1403" i="1"/>
  <c r="S1403" i="1"/>
  <c r="T1403" i="1"/>
  <c r="U1403" i="1"/>
  <c r="V1403" i="1"/>
  <c r="W1403" i="1"/>
  <c r="X1403" i="1"/>
  <c r="Y1403" i="1"/>
  <c r="Z1403" i="1"/>
  <c r="A1404" i="1"/>
  <c r="B1404" i="1"/>
  <c r="C1404" i="1"/>
  <c r="D1404" i="1"/>
  <c r="E1404" i="1"/>
  <c r="F1404" i="1"/>
  <c r="G1404" i="1"/>
  <c r="I1404" i="1"/>
  <c r="J1404" i="1"/>
  <c r="K1404" i="1"/>
  <c r="L1404" i="1"/>
  <c r="M1404" i="1"/>
  <c r="N1404" i="1"/>
  <c r="O1404" i="1"/>
  <c r="P1404" i="1"/>
  <c r="Q1404" i="1"/>
  <c r="R1404" i="1"/>
  <c r="S1404" i="1"/>
  <c r="T1404" i="1"/>
  <c r="U1404" i="1"/>
  <c r="V1404" i="1"/>
  <c r="W1404" i="1"/>
  <c r="X1404" i="1"/>
  <c r="Y1404" i="1"/>
  <c r="Z1404" i="1"/>
  <c r="A1405" i="1"/>
  <c r="B1405" i="1"/>
  <c r="C1405" i="1"/>
  <c r="D1405" i="1"/>
  <c r="E1405" i="1"/>
  <c r="F1405" i="1"/>
  <c r="G1405" i="1"/>
  <c r="I1405" i="1"/>
  <c r="J1405" i="1"/>
  <c r="K1405" i="1"/>
  <c r="L1405" i="1"/>
  <c r="M1405" i="1"/>
  <c r="N1405" i="1"/>
  <c r="O1405" i="1"/>
  <c r="P1405" i="1"/>
  <c r="Q1405" i="1"/>
  <c r="R1405" i="1"/>
  <c r="S1405" i="1"/>
  <c r="T1405" i="1"/>
  <c r="U1405" i="1"/>
  <c r="V1405" i="1"/>
  <c r="W1405" i="1"/>
  <c r="X1405" i="1"/>
  <c r="Y1405" i="1"/>
  <c r="Z1405" i="1"/>
  <c r="A1406" i="1"/>
  <c r="B1406" i="1"/>
  <c r="C1406" i="1"/>
  <c r="D1406" i="1"/>
  <c r="E1406" i="1"/>
  <c r="F1406" i="1"/>
  <c r="G1406" i="1"/>
  <c r="I1406" i="1"/>
  <c r="J1406" i="1"/>
  <c r="K1406" i="1"/>
  <c r="L1406" i="1"/>
  <c r="M1406" i="1"/>
  <c r="N1406" i="1"/>
  <c r="O1406" i="1"/>
  <c r="P1406" i="1"/>
  <c r="Q1406" i="1"/>
  <c r="R1406" i="1"/>
  <c r="S1406" i="1"/>
  <c r="T1406" i="1"/>
  <c r="U1406" i="1"/>
  <c r="V1406" i="1"/>
  <c r="W1406" i="1"/>
  <c r="X1406" i="1"/>
  <c r="Y1406" i="1"/>
  <c r="Z1406" i="1"/>
  <c r="A1407" i="1"/>
  <c r="B1407" i="1"/>
  <c r="C1407" i="1"/>
  <c r="D1407" i="1"/>
  <c r="E1407" i="1"/>
  <c r="F1407" i="1"/>
  <c r="G1407" i="1"/>
  <c r="I1407" i="1"/>
  <c r="J1407" i="1"/>
  <c r="K1407" i="1"/>
  <c r="L1407" i="1"/>
  <c r="M1407" i="1"/>
  <c r="N1407" i="1"/>
  <c r="O1407" i="1"/>
  <c r="P1407" i="1"/>
  <c r="Q1407" i="1"/>
  <c r="R1407" i="1"/>
  <c r="S1407" i="1"/>
  <c r="T1407" i="1"/>
  <c r="U1407" i="1"/>
  <c r="V1407" i="1"/>
  <c r="W1407" i="1"/>
  <c r="X1407" i="1"/>
  <c r="Y1407" i="1"/>
  <c r="Z1407" i="1"/>
  <c r="A1408" i="1"/>
  <c r="B1408" i="1"/>
  <c r="C1408" i="1"/>
  <c r="D1408" i="1"/>
  <c r="E1408" i="1"/>
  <c r="F1408" i="1"/>
  <c r="G1408" i="1"/>
  <c r="I1408" i="1"/>
  <c r="J1408" i="1"/>
  <c r="K1408" i="1"/>
  <c r="L1408" i="1"/>
  <c r="M1408" i="1"/>
  <c r="N1408" i="1"/>
  <c r="O1408" i="1"/>
  <c r="P1408" i="1"/>
  <c r="Q1408" i="1"/>
  <c r="R1408" i="1"/>
  <c r="S1408" i="1"/>
  <c r="T1408" i="1"/>
  <c r="U1408" i="1"/>
  <c r="V1408" i="1"/>
  <c r="W1408" i="1"/>
  <c r="X1408" i="1"/>
  <c r="Y1408" i="1"/>
  <c r="Z1408" i="1"/>
  <c r="A1409" i="1"/>
  <c r="B1409" i="1"/>
  <c r="C1409" i="1"/>
  <c r="D1409" i="1"/>
  <c r="E1409" i="1"/>
  <c r="F1409" i="1"/>
  <c r="G1409" i="1"/>
  <c r="I1409" i="1"/>
  <c r="J1409" i="1"/>
  <c r="K1409" i="1"/>
  <c r="L1409" i="1"/>
  <c r="M1409" i="1"/>
  <c r="N1409" i="1"/>
  <c r="O1409" i="1"/>
  <c r="P1409" i="1"/>
  <c r="Q1409" i="1"/>
  <c r="R1409" i="1"/>
  <c r="S1409" i="1"/>
  <c r="T1409" i="1"/>
  <c r="U1409" i="1"/>
  <c r="V1409" i="1"/>
  <c r="W1409" i="1"/>
  <c r="X1409" i="1"/>
  <c r="Y1409" i="1"/>
  <c r="Z1409" i="1"/>
  <c r="A1410" i="1"/>
  <c r="B1410" i="1"/>
  <c r="C1410" i="1"/>
  <c r="D1410" i="1"/>
  <c r="E1410" i="1"/>
  <c r="F1410" i="1"/>
  <c r="G1410" i="1"/>
  <c r="I1410" i="1"/>
  <c r="J1410" i="1"/>
  <c r="K1410" i="1"/>
  <c r="L1410" i="1"/>
  <c r="M1410" i="1"/>
  <c r="N1410" i="1"/>
  <c r="O1410" i="1"/>
  <c r="P1410" i="1"/>
  <c r="Q1410" i="1"/>
  <c r="R1410" i="1"/>
  <c r="S1410" i="1"/>
  <c r="T1410" i="1"/>
  <c r="U1410" i="1"/>
  <c r="V1410" i="1"/>
  <c r="W1410" i="1"/>
  <c r="X1410" i="1"/>
  <c r="Y1410" i="1"/>
  <c r="Z1410" i="1"/>
  <c r="A1411" i="1"/>
  <c r="B1411" i="1"/>
  <c r="C1411" i="1"/>
  <c r="D1411" i="1"/>
  <c r="E1411" i="1"/>
  <c r="F1411" i="1"/>
  <c r="G1411" i="1"/>
  <c r="I1411" i="1"/>
  <c r="J1411" i="1"/>
  <c r="K1411" i="1"/>
  <c r="L1411" i="1"/>
  <c r="M1411" i="1"/>
  <c r="N1411" i="1"/>
  <c r="O1411" i="1"/>
  <c r="P1411" i="1"/>
  <c r="Q1411" i="1"/>
  <c r="R1411" i="1"/>
  <c r="S1411" i="1"/>
  <c r="T1411" i="1"/>
  <c r="U1411" i="1"/>
  <c r="V1411" i="1"/>
  <c r="W1411" i="1"/>
  <c r="X1411" i="1"/>
  <c r="Y1411" i="1"/>
  <c r="Z1411" i="1"/>
  <c r="A1412" i="1"/>
  <c r="B1412" i="1"/>
  <c r="C1412" i="1"/>
  <c r="D1412" i="1"/>
  <c r="E1412" i="1"/>
  <c r="F1412" i="1"/>
  <c r="G1412" i="1"/>
  <c r="I1412" i="1"/>
  <c r="J1412" i="1"/>
  <c r="K1412" i="1"/>
  <c r="L1412" i="1"/>
  <c r="M1412" i="1"/>
  <c r="N1412" i="1"/>
  <c r="O1412" i="1"/>
  <c r="P1412" i="1"/>
  <c r="Q1412" i="1"/>
  <c r="R1412" i="1"/>
  <c r="S1412" i="1"/>
  <c r="T1412" i="1"/>
  <c r="U1412" i="1"/>
  <c r="V1412" i="1"/>
  <c r="W1412" i="1"/>
  <c r="X1412" i="1"/>
  <c r="Y1412" i="1"/>
  <c r="Z1412" i="1"/>
  <c r="A1413" i="1"/>
  <c r="B1413" i="1"/>
  <c r="C1413" i="1"/>
  <c r="D1413" i="1"/>
  <c r="E1413" i="1"/>
  <c r="F1413" i="1"/>
  <c r="G1413" i="1"/>
  <c r="I1413" i="1"/>
  <c r="J1413" i="1"/>
  <c r="K1413" i="1"/>
  <c r="L1413" i="1"/>
  <c r="M1413" i="1"/>
  <c r="N1413" i="1"/>
  <c r="O1413" i="1"/>
  <c r="P1413" i="1"/>
  <c r="Q1413" i="1"/>
  <c r="R1413" i="1"/>
  <c r="S1413" i="1"/>
  <c r="T1413" i="1"/>
  <c r="U1413" i="1"/>
  <c r="V1413" i="1"/>
  <c r="W1413" i="1"/>
  <c r="X1413" i="1"/>
  <c r="Y1413" i="1"/>
  <c r="Z1413" i="1"/>
  <c r="A1414" i="1"/>
  <c r="B1414" i="1"/>
  <c r="C1414" i="1"/>
  <c r="D1414" i="1"/>
  <c r="E1414" i="1"/>
  <c r="F1414" i="1"/>
  <c r="G1414" i="1"/>
  <c r="I1414" i="1"/>
  <c r="J1414" i="1"/>
  <c r="K1414" i="1"/>
  <c r="L1414" i="1"/>
  <c r="M1414" i="1"/>
  <c r="N1414" i="1"/>
  <c r="O1414" i="1"/>
  <c r="P1414" i="1"/>
  <c r="Q1414" i="1"/>
  <c r="R1414" i="1"/>
  <c r="S1414" i="1"/>
  <c r="T1414" i="1"/>
  <c r="U1414" i="1"/>
  <c r="V1414" i="1"/>
  <c r="W1414" i="1"/>
  <c r="X1414" i="1"/>
  <c r="Y1414" i="1"/>
  <c r="Z1414" i="1"/>
  <c r="A1415" i="1"/>
  <c r="B1415" i="1"/>
  <c r="C1415" i="1"/>
  <c r="D1415" i="1"/>
  <c r="E1415" i="1"/>
  <c r="F1415" i="1"/>
  <c r="G1415" i="1"/>
  <c r="I1415" i="1"/>
  <c r="J1415" i="1"/>
  <c r="K1415" i="1"/>
  <c r="L1415" i="1"/>
  <c r="M1415" i="1"/>
  <c r="N1415" i="1"/>
  <c r="O1415" i="1"/>
  <c r="P1415" i="1"/>
  <c r="Q1415" i="1"/>
  <c r="R1415" i="1"/>
  <c r="S1415" i="1"/>
  <c r="T1415" i="1"/>
  <c r="U1415" i="1"/>
  <c r="V1415" i="1"/>
  <c r="W1415" i="1"/>
  <c r="X1415" i="1"/>
  <c r="Y1415" i="1"/>
  <c r="Z1415" i="1"/>
  <c r="A1416" i="1"/>
  <c r="B1416" i="1"/>
  <c r="C1416" i="1"/>
  <c r="D1416" i="1"/>
  <c r="E1416" i="1"/>
  <c r="F1416" i="1"/>
  <c r="G1416" i="1"/>
  <c r="I1416" i="1"/>
  <c r="J1416" i="1"/>
  <c r="K1416" i="1"/>
  <c r="L1416" i="1"/>
  <c r="M1416" i="1"/>
  <c r="N1416" i="1"/>
  <c r="O1416" i="1"/>
  <c r="P1416" i="1"/>
  <c r="Q1416" i="1"/>
  <c r="R1416" i="1"/>
  <c r="S1416" i="1"/>
  <c r="T1416" i="1"/>
  <c r="U1416" i="1"/>
  <c r="V1416" i="1"/>
  <c r="W1416" i="1"/>
  <c r="X1416" i="1"/>
  <c r="Y1416" i="1"/>
  <c r="Z1416" i="1"/>
  <c r="A1417" i="1"/>
  <c r="B1417" i="1"/>
  <c r="C1417" i="1"/>
  <c r="D1417" i="1"/>
  <c r="E1417" i="1"/>
  <c r="F1417" i="1"/>
  <c r="G1417" i="1"/>
  <c r="I1417" i="1"/>
  <c r="J1417" i="1"/>
  <c r="K1417" i="1"/>
  <c r="L1417" i="1"/>
  <c r="M1417" i="1"/>
  <c r="N1417" i="1"/>
  <c r="O1417" i="1"/>
  <c r="P1417" i="1"/>
  <c r="Q1417" i="1"/>
  <c r="R1417" i="1"/>
  <c r="S1417" i="1"/>
  <c r="T1417" i="1"/>
  <c r="U1417" i="1"/>
  <c r="V1417" i="1"/>
  <c r="W1417" i="1"/>
  <c r="X1417" i="1"/>
  <c r="Y1417" i="1"/>
  <c r="Z1417" i="1"/>
  <c r="A1418" i="1"/>
  <c r="B1418" i="1"/>
  <c r="C1418" i="1"/>
  <c r="D1418" i="1"/>
  <c r="E1418" i="1"/>
  <c r="F1418" i="1"/>
  <c r="G1418" i="1"/>
  <c r="I1418" i="1"/>
  <c r="J1418" i="1"/>
  <c r="K1418" i="1"/>
  <c r="L1418" i="1"/>
  <c r="M1418" i="1"/>
  <c r="N1418" i="1"/>
  <c r="O1418" i="1"/>
  <c r="P1418" i="1"/>
  <c r="Q1418" i="1"/>
  <c r="R1418" i="1"/>
  <c r="S1418" i="1"/>
  <c r="T1418" i="1"/>
  <c r="U1418" i="1"/>
  <c r="V1418" i="1"/>
  <c r="W1418" i="1"/>
  <c r="X1418" i="1"/>
  <c r="Y1418" i="1"/>
  <c r="Z1418" i="1"/>
  <c r="A1419" i="1"/>
  <c r="B1419" i="1"/>
  <c r="C1419" i="1"/>
  <c r="D1419" i="1"/>
  <c r="E1419" i="1"/>
  <c r="F1419" i="1"/>
  <c r="G1419" i="1"/>
  <c r="I1419" i="1"/>
  <c r="J1419" i="1"/>
  <c r="K1419" i="1"/>
  <c r="L1419" i="1"/>
  <c r="M1419" i="1"/>
  <c r="N1419" i="1"/>
  <c r="O1419" i="1"/>
  <c r="P1419" i="1"/>
  <c r="Q1419" i="1"/>
  <c r="R1419" i="1"/>
  <c r="S1419" i="1"/>
  <c r="T1419" i="1"/>
  <c r="U1419" i="1"/>
  <c r="V1419" i="1"/>
  <c r="W1419" i="1"/>
  <c r="X1419" i="1"/>
  <c r="Y1419" i="1"/>
  <c r="Z1419" i="1"/>
  <c r="A1420" i="1"/>
  <c r="B1420" i="1"/>
  <c r="C1420" i="1"/>
  <c r="D1420" i="1"/>
  <c r="E1420" i="1"/>
  <c r="F1420" i="1"/>
  <c r="G1420" i="1"/>
  <c r="I1420" i="1"/>
  <c r="J1420" i="1"/>
  <c r="K1420" i="1"/>
  <c r="L1420" i="1"/>
  <c r="M1420" i="1"/>
  <c r="N1420" i="1"/>
  <c r="O1420" i="1"/>
  <c r="P1420" i="1"/>
  <c r="Q1420" i="1"/>
  <c r="R1420" i="1"/>
  <c r="S1420" i="1"/>
  <c r="T1420" i="1"/>
  <c r="U1420" i="1"/>
  <c r="V1420" i="1"/>
  <c r="W1420" i="1"/>
  <c r="X1420" i="1"/>
  <c r="Y1420" i="1"/>
  <c r="Z1420" i="1"/>
  <c r="A1421" i="1"/>
  <c r="B1421" i="1"/>
  <c r="C1421" i="1"/>
  <c r="D1421" i="1"/>
  <c r="E1421" i="1"/>
  <c r="F1421" i="1"/>
  <c r="G1421" i="1"/>
  <c r="I1421" i="1"/>
  <c r="J1421" i="1"/>
  <c r="K1421" i="1"/>
  <c r="L1421" i="1"/>
  <c r="M1421" i="1"/>
  <c r="N1421" i="1"/>
  <c r="O1421" i="1"/>
  <c r="P1421" i="1"/>
  <c r="Q1421" i="1"/>
  <c r="R1421" i="1"/>
  <c r="S1421" i="1"/>
  <c r="T1421" i="1"/>
  <c r="U1421" i="1"/>
  <c r="V1421" i="1"/>
  <c r="W1421" i="1"/>
  <c r="X1421" i="1"/>
  <c r="Y1421" i="1"/>
  <c r="Z1421" i="1"/>
  <c r="A1422" i="1"/>
  <c r="B1422" i="1"/>
  <c r="C1422" i="1"/>
  <c r="D1422" i="1"/>
  <c r="E1422" i="1"/>
  <c r="F1422" i="1"/>
  <c r="G1422" i="1"/>
  <c r="I1422" i="1"/>
  <c r="J1422" i="1"/>
  <c r="K1422" i="1"/>
  <c r="L1422" i="1"/>
  <c r="M1422" i="1"/>
  <c r="N1422" i="1"/>
  <c r="O1422" i="1"/>
  <c r="P1422" i="1"/>
  <c r="Q1422" i="1"/>
  <c r="R1422" i="1"/>
  <c r="S1422" i="1"/>
  <c r="T1422" i="1"/>
  <c r="U1422" i="1"/>
  <c r="V1422" i="1"/>
  <c r="W1422" i="1"/>
  <c r="X1422" i="1"/>
  <c r="Y1422" i="1"/>
  <c r="Z1422" i="1"/>
  <c r="A1423" i="1"/>
  <c r="B1423" i="1"/>
  <c r="C1423" i="1"/>
  <c r="D1423" i="1"/>
  <c r="E1423" i="1"/>
  <c r="F1423" i="1"/>
  <c r="G1423" i="1"/>
  <c r="I1423" i="1"/>
  <c r="J1423" i="1"/>
  <c r="K1423" i="1"/>
  <c r="L1423" i="1"/>
  <c r="M1423" i="1"/>
  <c r="N1423" i="1"/>
  <c r="O1423" i="1"/>
  <c r="P1423" i="1"/>
  <c r="Q1423" i="1"/>
  <c r="R1423" i="1"/>
  <c r="S1423" i="1"/>
  <c r="T1423" i="1"/>
  <c r="U1423" i="1"/>
  <c r="V1423" i="1"/>
  <c r="W1423" i="1"/>
  <c r="X1423" i="1"/>
  <c r="Y1423" i="1"/>
  <c r="Z1423" i="1"/>
  <c r="A1424" i="1"/>
  <c r="B1424" i="1"/>
  <c r="C1424" i="1"/>
  <c r="D1424" i="1"/>
  <c r="E1424" i="1"/>
  <c r="F1424" i="1"/>
  <c r="G1424" i="1"/>
  <c r="I1424" i="1"/>
  <c r="J1424" i="1"/>
  <c r="K1424" i="1"/>
  <c r="L1424" i="1"/>
  <c r="M1424" i="1"/>
  <c r="N1424" i="1"/>
  <c r="O1424" i="1"/>
  <c r="P1424" i="1"/>
  <c r="Q1424" i="1"/>
  <c r="R1424" i="1"/>
  <c r="S1424" i="1"/>
  <c r="T1424" i="1"/>
  <c r="U1424" i="1"/>
  <c r="V1424" i="1"/>
  <c r="W1424" i="1"/>
  <c r="X1424" i="1"/>
  <c r="Y1424" i="1"/>
  <c r="Z1424" i="1"/>
  <c r="A1425" i="1"/>
  <c r="B1425" i="1"/>
  <c r="C1425" i="1"/>
  <c r="D1425" i="1"/>
  <c r="E1425" i="1"/>
  <c r="F1425" i="1"/>
  <c r="G1425" i="1"/>
  <c r="I1425" i="1"/>
  <c r="J1425" i="1"/>
  <c r="K1425" i="1"/>
  <c r="L1425" i="1"/>
  <c r="M1425" i="1"/>
  <c r="N1425" i="1"/>
  <c r="O1425" i="1"/>
  <c r="P1425" i="1"/>
  <c r="Q1425" i="1"/>
  <c r="R1425" i="1"/>
  <c r="S1425" i="1"/>
  <c r="T1425" i="1"/>
  <c r="U1425" i="1"/>
  <c r="V1425" i="1"/>
  <c r="W1425" i="1"/>
  <c r="X1425" i="1"/>
  <c r="Y1425" i="1"/>
  <c r="Z1425" i="1"/>
  <c r="A1426" i="1"/>
  <c r="B1426" i="1"/>
  <c r="C1426" i="1"/>
  <c r="D1426" i="1"/>
  <c r="E1426" i="1"/>
  <c r="F1426" i="1"/>
  <c r="G1426" i="1"/>
  <c r="I1426" i="1"/>
  <c r="J1426" i="1"/>
  <c r="K1426" i="1"/>
  <c r="L1426" i="1"/>
  <c r="M1426" i="1"/>
  <c r="N1426" i="1"/>
  <c r="O1426" i="1"/>
  <c r="P1426" i="1"/>
  <c r="Q1426" i="1"/>
  <c r="R1426" i="1"/>
  <c r="S1426" i="1"/>
  <c r="T1426" i="1"/>
  <c r="U1426" i="1"/>
  <c r="V1426" i="1"/>
  <c r="W1426" i="1"/>
  <c r="X1426" i="1"/>
  <c r="Y1426" i="1"/>
  <c r="Z1426" i="1"/>
  <c r="A1427" i="1"/>
  <c r="B1427" i="1"/>
  <c r="C1427" i="1"/>
  <c r="D1427" i="1"/>
  <c r="E1427" i="1"/>
  <c r="F1427" i="1"/>
  <c r="G1427" i="1"/>
  <c r="I1427" i="1"/>
  <c r="J1427" i="1"/>
  <c r="K1427" i="1"/>
  <c r="L1427" i="1"/>
  <c r="M1427" i="1"/>
  <c r="N1427" i="1"/>
  <c r="O1427" i="1"/>
  <c r="P1427" i="1"/>
  <c r="Q1427" i="1"/>
  <c r="R1427" i="1"/>
  <c r="S1427" i="1"/>
  <c r="T1427" i="1"/>
  <c r="U1427" i="1"/>
  <c r="V1427" i="1"/>
  <c r="W1427" i="1"/>
  <c r="X1427" i="1"/>
  <c r="Y1427" i="1"/>
  <c r="Z1427" i="1"/>
  <c r="A1428" i="1"/>
  <c r="B1428" i="1"/>
  <c r="C1428" i="1"/>
  <c r="D1428" i="1"/>
  <c r="E1428" i="1"/>
  <c r="F1428" i="1"/>
  <c r="G1428" i="1"/>
  <c r="I1428" i="1"/>
  <c r="J1428" i="1"/>
  <c r="K1428" i="1"/>
  <c r="L1428" i="1"/>
  <c r="M1428" i="1"/>
  <c r="N1428" i="1"/>
  <c r="O1428" i="1"/>
  <c r="P1428" i="1"/>
  <c r="Q1428" i="1"/>
  <c r="R1428" i="1"/>
  <c r="S1428" i="1"/>
  <c r="T1428" i="1"/>
  <c r="U1428" i="1"/>
  <c r="V1428" i="1"/>
  <c r="W1428" i="1"/>
  <c r="X1428" i="1"/>
  <c r="Y1428" i="1"/>
  <c r="Z1428" i="1"/>
  <c r="A1429" i="1"/>
  <c r="B1429" i="1"/>
  <c r="C1429" i="1"/>
  <c r="D1429" i="1"/>
  <c r="E1429" i="1"/>
  <c r="F1429" i="1"/>
  <c r="G1429" i="1"/>
  <c r="I1429" i="1"/>
  <c r="J1429" i="1"/>
  <c r="K1429" i="1"/>
  <c r="L1429" i="1"/>
  <c r="M1429" i="1"/>
  <c r="N1429" i="1"/>
  <c r="O1429" i="1"/>
  <c r="P1429" i="1"/>
  <c r="Q1429" i="1"/>
  <c r="R1429" i="1"/>
  <c r="S1429" i="1"/>
  <c r="T1429" i="1"/>
  <c r="U1429" i="1"/>
  <c r="V1429" i="1"/>
  <c r="W1429" i="1"/>
  <c r="X1429" i="1"/>
  <c r="Y1429" i="1"/>
  <c r="Z1429" i="1"/>
  <c r="A1430" i="1"/>
  <c r="B1430" i="1"/>
  <c r="C1430" i="1"/>
  <c r="D1430" i="1"/>
  <c r="E1430" i="1"/>
  <c r="F1430" i="1"/>
  <c r="G1430" i="1"/>
  <c r="I1430" i="1"/>
  <c r="J1430" i="1"/>
  <c r="K1430" i="1"/>
  <c r="L1430" i="1"/>
  <c r="M1430" i="1"/>
  <c r="N1430" i="1"/>
  <c r="O1430" i="1"/>
  <c r="P1430" i="1"/>
  <c r="Q1430" i="1"/>
  <c r="R1430" i="1"/>
  <c r="S1430" i="1"/>
  <c r="T1430" i="1"/>
  <c r="U1430" i="1"/>
  <c r="V1430" i="1"/>
  <c r="W1430" i="1"/>
  <c r="X1430" i="1"/>
  <c r="Y1430" i="1"/>
  <c r="Z1430" i="1"/>
  <c r="A1431" i="1"/>
  <c r="B1431" i="1"/>
  <c r="C1431" i="1"/>
  <c r="D1431" i="1"/>
  <c r="E1431" i="1"/>
  <c r="F1431" i="1"/>
  <c r="G1431" i="1"/>
  <c r="I1431" i="1"/>
  <c r="J1431" i="1"/>
  <c r="K1431" i="1"/>
  <c r="L1431" i="1"/>
  <c r="M1431" i="1"/>
  <c r="N1431" i="1"/>
  <c r="O1431" i="1"/>
  <c r="P1431" i="1"/>
  <c r="Q1431" i="1"/>
  <c r="R1431" i="1"/>
  <c r="S1431" i="1"/>
  <c r="T1431" i="1"/>
  <c r="U1431" i="1"/>
  <c r="V1431" i="1"/>
  <c r="W1431" i="1"/>
  <c r="X1431" i="1"/>
  <c r="Y1431" i="1"/>
  <c r="Z1431" i="1"/>
  <c r="A1432" i="1"/>
  <c r="B1432" i="1"/>
  <c r="C1432" i="1"/>
  <c r="D1432" i="1"/>
  <c r="E1432" i="1"/>
  <c r="F1432" i="1"/>
  <c r="G1432" i="1"/>
  <c r="I1432" i="1"/>
  <c r="J1432" i="1"/>
  <c r="K1432" i="1"/>
  <c r="L1432" i="1"/>
  <c r="M1432" i="1"/>
  <c r="N1432" i="1"/>
  <c r="O1432" i="1"/>
  <c r="P1432" i="1"/>
  <c r="Q1432" i="1"/>
  <c r="R1432" i="1"/>
  <c r="S1432" i="1"/>
  <c r="T1432" i="1"/>
  <c r="U1432" i="1"/>
  <c r="V1432" i="1"/>
  <c r="W1432" i="1"/>
  <c r="X1432" i="1"/>
  <c r="Y1432" i="1"/>
  <c r="Z1432" i="1"/>
  <c r="A1433" i="1"/>
  <c r="B1433" i="1"/>
  <c r="C1433" i="1"/>
  <c r="D1433" i="1"/>
  <c r="E1433" i="1"/>
  <c r="F1433" i="1"/>
  <c r="G1433" i="1"/>
  <c r="I1433" i="1"/>
  <c r="J1433" i="1"/>
  <c r="K1433" i="1"/>
  <c r="L1433" i="1"/>
  <c r="M1433" i="1"/>
  <c r="N1433" i="1"/>
  <c r="O1433" i="1"/>
  <c r="P1433" i="1"/>
  <c r="Q1433" i="1"/>
  <c r="R1433" i="1"/>
  <c r="S1433" i="1"/>
  <c r="T1433" i="1"/>
  <c r="U1433" i="1"/>
  <c r="V1433" i="1"/>
  <c r="W1433" i="1"/>
  <c r="X1433" i="1"/>
  <c r="Y1433" i="1"/>
  <c r="Z1433" i="1"/>
  <c r="A1434" i="1"/>
  <c r="B1434" i="1"/>
  <c r="C1434" i="1"/>
  <c r="D1434" i="1"/>
  <c r="E1434" i="1"/>
  <c r="F1434" i="1"/>
  <c r="G1434" i="1"/>
  <c r="I1434" i="1"/>
  <c r="J1434" i="1"/>
  <c r="K1434" i="1"/>
  <c r="L1434" i="1"/>
  <c r="M1434" i="1"/>
  <c r="N1434" i="1"/>
  <c r="O1434" i="1"/>
  <c r="P1434" i="1"/>
  <c r="Q1434" i="1"/>
  <c r="R1434" i="1"/>
  <c r="S1434" i="1"/>
  <c r="T1434" i="1"/>
  <c r="U1434" i="1"/>
  <c r="V1434" i="1"/>
  <c r="W1434" i="1"/>
  <c r="X1434" i="1"/>
  <c r="Y1434" i="1"/>
  <c r="Z1434" i="1"/>
  <c r="A1435" i="1"/>
  <c r="B1435" i="1"/>
  <c r="C1435" i="1"/>
  <c r="D1435" i="1"/>
  <c r="E1435" i="1"/>
  <c r="F1435" i="1"/>
  <c r="G1435" i="1"/>
  <c r="I1435" i="1"/>
  <c r="J1435" i="1"/>
  <c r="K1435" i="1"/>
  <c r="L1435" i="1"/>
  <c r="M1435" i="1"/>
  <c r="N1435" i="1"/>
  <c r="O1435" i="1"/>
  <c r="P1435" i="1"/>
  <c r="Q1435" i="1"/>
  <c r="R1435" i="1"/>
  <c r="S1435" i="1"/>
  <c r="T1435" i="1"/>
  <c r="U1435" i="1"/>
  <c r="V1435" i="1"/>
  <c r="W1435" i="1"/>
  <c r="X1435" i="1"/>
  <c r="Y1435" i="1"/>
  <c r="Z1435" i="1"/>
  <c r="A1436" i="1"/>
  <c r="B1436" i="1"/>
  <c r="C1436" i="1"/>
  <c r="D1436" i="1"/>
  <c r="E1436" i="1"/>
  <c r="F1436" i="1"/>
  <c r="G1436" i="1"/>
  <c r="I1436" i="1"/>
  <c r="J1436" i="1"/>
  <c r="K1436" i="1"/>
  <c r="L1436" i="1"/>
  <c r="M1436" i="1"/>
  <c r="N1436" i="1"/>
  <c r="O1436" i="1"/>
  <c r="P1436" i="1"/>
  <c r="Q1436" i="1"/>
  <c r="R1436" i="1"/>
  <c r="S1436" i="1"/>
  <c r="T1436" i="1"/>
  <c r="U1436" i="1"/>
  <c r="V1436" i="1"/>
  <c r="W1436" i="1"/>
  <c r="X1436" i="1"/>
  <c r="Y1436" i="1"/>
  <c r="Z1436" i="1"/>
  <c r="A1437" i="1"/>
  <c r="B1437" i="1"/>
  <c r="C1437" i="1"/>
  <c r="D1437" i="1"/>
  <c r="E1437" i="1"/>
  <c r="F1437" i="1"/>
  <c r="G1437" i="1"/>
  <c r="I1437" i="1"/>
  <c r="J1437" i="1"/>
  <c r="K1437" i="1"/>
  <c r="L1437" i="1"/>
  <c r="M1437" i="1"/>
  <c r="N1437" i="1"/>
  <c r="O1437" i="1"/>
  <c r="P1437" i="1"/>
  <c r="Q1437" i="1"/>
  <c r="R1437" i="1"/>
  <c r="S1437" i="1"/>
  <c r="T1437" i="1"/>
  <c r="U1437" i="1"/>
  <c r="V1437" i="1"/>
  <c r="W1437" i="1"/>
  <c r="X1437" i="1"/>
  <c r="Y1437" i="1"/>
  <c r="Z1437" i="1"/>
  <c r="A1438" i="1"/>
  <c r="B1438" i="1"/>
  <c r="C1438" i="1"/>
  <c r="D1438" i="1"/>
  <c r="E1438" i="1"/>
  <c r="F1438" i="1"/>
  <c r="G1438" i="1"/>
  <c r="I1438" i="1"/>
  <c r="J1438" i="1"/>
  <c r="K1438" i="1"/>
  <c r="L1438" i="1"/>
  <c r="M1438" i="1"/>
  <c r="N1438" i="1"/>
  <c r="O1438" i="1"/>
  <c r="P1438" i="1"/>
  <c r="Q1438" i="1"/>
  <c r="R1438" i="1"/>
  <c r="S1438" i="1"/>
  <c r="T1438" i="1"/>
  <c r="U1438" i="1"/>
  <c r="V1438" i="1"/>
  <c r="W1438" i="1"/>
  <c r="X1438" i="1"/>
  <c r="Y1438" i="1"/>
  <c r="Z1438" i="1"/>
  <c r="A1439" i="1"/>
  <c r="B1439" i="1"/>
  <c r="C1439" i="1"/>
  <c r="D1439" i="1"/>
  <c r="E1439" i="1"/>
  <c r="F1439" i="1"/>
  <c r="G1439" i="1"/>
  <c r="I1439" i="1"/>
  <c r="J1439" i="1"/>
  <c r="K1439" i="1"/>
  <c r="L1439" i="1"/>
  <c r="M1439" i="1"/>
  <c r="N1439" i="1"/>
  <c r="O1439" i="1"/>
  <c r="P1439" i="1"/>
  <c r="Q1439" i="1"/>
  <c r="R1439" i="1"/>
  <c r="S1439" i="1"/>
  <c r="T1439" i="1"/>
  <c r="U1439" i="1"/>
  <c r="V1439" i="1"/>
  <c r="W1439" i="1"/>
  <c r="X1439" i="1"/>
  <c r="Y1439" i="1"/>
  <c r="Z1439" i="1"/>
  <c r="A1440" i="1"/>
  <c r="B1440" i="1"/>
  <c r="C1440" i="1"/>
  <c r="D1440" i="1"/>
  <c r="E1440" i="1"/>
  <c r="F1440" i="1"/>
  <c r="G1440" i="1"/>
  <c r="I1440" i="1"/>
  <c r="J1440" i="1"/>
  <c r="K1440" i="1"/>
  <c r="L1440" i="1"/>
  <c r="M1440" i="1"/>
  <c r="N1440" i="1"/>
  <c r="O1440" i="1"/>
  <c r="P1440" i="1"/>
  <c r="Q1440" i="1"/>
  <c r="R1440" i="1"/>
  <c r="S1440" i="1"/>
  <c r="T1440" i="1"/>
  <c r="U1440" i="1"/>
  <c r="V1440" i="1"/>
  <c r="W1440" i="1"/>
  <c r="X1440" i="1"/>
  <c r="Y1440" i="1"/>
  <c r="Z1440" i="1"/>
  <c r="A1441" i="1"/>
  <c r="B1441" i="1"/>
  <c r="C1441" i="1"/>
  <c r="D1441" i="1"/>
  <c r="E1441" i="1"/>
  <c r="F1441" i="1"/>
  <c r="G1441" i="1"/>
  <c r="I1441" i="1"/>
  <c r="J1441" i="1"/>
  <c r="K1441" i="1"/>
  <c r="L1441" i="1"/>
  <c r="M1441" i="1"/>
  <c r="N1441" i="1"/>
  <c r="O1441" i="1"/>
  <c r="P1441" i="1"/>
  <c r="Q1441" i="1"/>
  <c r="R1441" i="1"/>
  <c r="S1441" i="1"/>
  <c r="T1441" i="1"/>
  <c r="U1441" i="1"/>
  <c r="V1441" i="1"/>
  <c r="W1441" i="1"/>
  <c r="X1441" i="1"/>
  <c r="Y1441" i="1"/>
  <c r="Z1441" i="1"/>
  <c r="A1442" i="1"/>
  <c r="B1442" i="1"/>
  <c r="C1442" i="1"/>
  <c r="D1442" i="1"/>
  <c r="E1442" i="1"/>
  <c r="F1442" i="1"/>
  <c r="G1442" i="1"/>
  <c r="I1442" i="1"/>
  <c r="J1442" i="1"/>
  <c r="K1442" i="1"/>
  <c r="L1442" i="1"/>
  <c r="M1442" i="1"/>
  <c r="N1442" i="1"/>
  <c r="O1442" i="1"/>
  <c r="P1442" i="1"/>
  <c r="Q1442" i="1"/>
  <c r="R1442" i="1"/>
  <c r="S1442" i="1"/>
  <c r="T1442" i="1"/>
  <c r="U1442" i="1"/>
  <c r="V1442" i="1"/>
  <c r="W1442" i="1"/>
  <c r="X1442" i="1"/>
  <c r="Y1442" i="1"/>
  <c r="Z1442" i="1"/>
  <c r="A1443" i="1"/>
  <c r="B1443" i="1"/>
  <c r="C1443" i="1"/>
  <c r="D1443" i="1"/>
  <c r="E1443" i="1"/>
  <c r="F1443" i="1"/>
  <c r="G1443" i="1"/>
  <c r="I1443" i="1"/>
  <c r="J1443" i="1"/>
  <c r="K1443" i="1"/>
  <c r="L1443" i="1"/>
  <c r="M1443" i="1"/>
  <c r="N1443" i="1"/>
  <c r="O1443" i="1"/>
  <c r="P1443" i="1"/>
  <c r="Q1443" i="1"/>
  <c r="R1443" i="1"/>
  <c r="S1443" i="1"/>
  <c r="T1443" i="1"/>
  <c r="U1443" i="1"/>
  <c r="V1443" i="1"/>
  <c r="W1443" i="1"/>
  <c r="X1443" i="1"/>
  <c r="Y1443" i="1"/>
  <c r="Z1443" i="1"/>
  <c r="A1444" i="1"/>
  <c r="B1444" i="1"/>
  <c r="C1444" i="1"/>
  <c r="D1444" i="1"/>
  <c r="E1444" i="1"/>
  <c r="F1444" i="1"/>
  <c r="G1444" i="1"/>
  <c r="I1444" i="1"/>
  <c r="J1444" i="1"/>
  <c r="K1444" i="1"/>
  <c r="L1444" i="1"/>
  <c r="M1444" i="1"/>
  <c r="N1444" i="1"/>
  <c r="O1444" i="1"/>
  <c r="P1444" i="1"/>
  <c r="Q1444" i="1"/>
  <c r="R1444" i="1"/>
  <c r="S1444" i="1"/>
  <c r="T1444" i="1"/>
  <c r="U1444" i="1"/>
  <c r="V1444" i="1"/>
  <c r="W1444" i="1"/>
  <c r="X1444" i="1"/>
  <c r="Y1444" i="1"/>
  <c r="Z1444" i="1"/>
  <c r="A1445" i="1"/>
  <c r="B1445" i="1"/>
  <c r="C1445" i="1"/>
  <c r="D1445" i="1"/>
  <c r="E1445" i="1"/>
  <c r="F1445" i="1"/>
  <c r="G1445" i="1"/>
  <c r="I1445" i="1"/>
  <c r="J1445" i="1"/>
  <c r="K1445" i="1"/>
  <c r="L1445" i="1"/>
  <c r="M1445" i="1"/>
  <c r="N1445" i="1"/>
  <c r="O1445" i="1"/>
  <c r="P1445" i="1"/>
  <c r="Q1445" i="1"/>
  <c r="R1445" i="1"/>
  <c r="S1445" i="1"/>
  <c r="T1445" i="1"/>
  <c r="U1445" i="1"/>
  <c r="V1445" i="1"/>
  <c r="W1445" i="1"/>
  <c r="X1445" i="1"/>
  <c r="Y1445" i="1"/>
  <c r="Z1445" i="1"/>
  <c r="A1446" i="1"/>
  <c r="B1446" i="1"/>
  <c r="C1446" i="1"/>
  <c r="D1446" i="1"/>
  <c r="E1446" i="1"/>
  <c r="F1446" i="1"/>
  <c r="G1446" i="1"/>
  <c r="I1446" i="1"/>
  <c r="J1446" i="1"/>
  <c r="K1446" i="1"/>
  <c r="L1446" i="1"/>
  <c r="M1446" i="1"/>
  <c r="N1446" i="1"/>
  <c r="O1446" i="1"/>
  <c r="P1446" i="1"/>
  <c r="Q1446" i="1"/>
  <c r="R1446" i="1"/>
  <c r="S1446" i="1"/>
  <c r="T1446" i="1"/>
  <c r="U1446" i="1"/>
  <c r="V1446" i="1"/>
  <c r="W1446" i="1"/>
  <c r="X1446" i="1"/>
  <c r="Y1446" i="1"/>
  <c r="Z1446" i="1"/>
  <c r="A1447" i="1"/>
  <c r="B1447" i="1"/>
  <c r="C1447" i="1"/>
  <c r="D1447" i="1"/>
  <c r="E1447" i="1"/>
  <c r="F1447" i="1"/>
  <c r="G1447" i="1"/>
  <c r="I1447" i="1"/>
  <c r="J1447" i="1"/>
  <c r="K1447" i="1"/>
  <c r="L1447" i="1"/>
  <c r="M1447" i="1"/>
  <c r="N1447" i="1"/>
  <c r="O1447" i="1"/>
  <c r="P1447" i="1"/>
  <c r="Q1447" i="1"/>
  <c r="R1447" i="1"/>
  <c r="S1447" i="1"/>
  <c r="T1447" i="1"/>
  <c r="U1447" i="1"/>
  <c r="V1447" i="1"/>
  <c r="W1447" i="1"/>
  <c r="X1447" i="1"/>
  <c r="Y1447" i="1"/>
  <c r="Z1447" i="1"/>
  <c r="A1448" i="1"/>
  <c r="B1448" i="1"/>
  <c r="C1448" i="1"/>
  <c r="D1448" i="1"/>
  <c r="E1448" i="1"/>
  <c r="F1448" i="1"/>
  <c r="G1448" i="1"/>
  <c r="I1448" i="1"/>
  <c r="J1448" i="1"/>
  <c r="K1448" i="1"/>
  <c r="L1448" i="1"/>
  <c r="M1448" i="1"/>
  <c r="N1448" i="1"/>
  <c r="O1448" i="1"/>
  <c r="P1448" i="1"/>
  <c r="Q1448" i="1"/>
  <c r="R1448" i="1"/>
  <c r="S1448" i="1"/>
  <c r="T1448" i="1"/>
  <c r="U1448" i="1"/>
  <c r="V1448" i="1"/>
  <c r="W1448" i="1"/>
  <c r="X1448" i="1"/>
  <c r="Y1448" i="1"/>
  <c r="Z1448" i="1"/>
  <c r="A1449" i="1"/>
  <c r="B1449" i="1"/>
  <c r="C1449" i="1"/>
  <c r="D1449" i="1"/>
  <c r="E1449" i="1"/>
  <c r="F1449" i="1"/>
  <c r="G1449" i="1"/>
  <c r="I1449" i="1"/>
  <c r="J1449" i="1"/>
  <c r="K1449" i="1"/>
  <c r="L1449" i="1"/>
  <c r="M1449" i="1"/>
  <c r="N1449" i="1"/>
  <c r="O1449" i="1"/>
  <c r="P1449" i="1"/>
  <c r="Q1449" i="1"/>
  <c r="R1449" i="1"/>
  <c r="S1449" i="1"/>
  <c r="T1449" i="1"/>
  <c r="U1449" i="1"/>
  <c r="V1449" i="1"/>
  <c r="W1449" i="1"/>
  <c r="X1449" i="1"/>
  <c r="Y1449" i="1"/>
  <c r="Z1449" i="1"/>
  <c r="A1450" i="1"/>
  <c r="B1450" i="1"/>
  <c r="C1450" i="1"/>
  <c r="D1450" i="1"/>
  <c r="E1450" i="1"/>
  <c r="F1450" i="1"/>
  <c r="G1450" i="1"/>
  <c r="I1450" i="1"/>
  <c r="J1450" i="1"/>
  <c r="K1450" i="1"/>
  <c r="L1450" i="1"/>
  <c r="M1450" i="1"/>
  <c r="N1450" i="1"/>
  <c r="O1450" i="1"/>
  <c r="P1450" i="1"/>
  <c r="Q1450" i="1"/>
  <c r="R1450" i="1"/>
  <c r="S1450" i="1"/>
  <c r="T1450" i="1"/>
  <c r="U1450" i="1"/>
  <c r="V1450" i="1"/>
  <c r="W1450" i="1"/>
  <c r="X1450" i="1"/>
  <c r="Y1450" i="1"/>
  <c r="Z1450" i="1"/>
  <c r="A1451" i="1"/>
  <c r="B1451" i="1"/>
  <c r="C1451" i="1"/>
  <c r="D1451" i="1"/>
  <c r="E1451" i="1"/>
  <c r="F1451" i="1"/>
  <c r="G1451" i="1"/>
  <c r="I1451" i="1"/>
  <c r="J1451" i="1"/>
  <c r="K1451" i="1"/>
  <c r="L1451" i="1"/>
  <c r="M1451" i="1"/>
  <c r="N1451" i="1"/>
  <c r="O1451" i="1"/>
  <c r="P1451" i="1"/>
  <c r="Q1451" i="1"/>
  <c r="R1451" i="1"/>
  <c r="S1451" i="1"/>
  <c r="T1451" i="1"/>
  <c r="U1451" i="1"/>
  <c r="V1451" i="1"/>
  <c r="W1451" i="1"/>
  <c r="X1451" i="1"/>
  <c r="Y1451" i="1"/>
  <c r="Z1451" i="1"/>
  <c r="A1452" i="1"/>
  <c r="B1452" i="1"/>
  <c r="C1452" i="1"/>
  <c r="D1452" i="1"/>
  <c r="E1452" i="1"/>
  <c r="F1452" i="1"/>
  <c r="G1452" i="1"/>
  <c r="I1452" i="1"/>
  <c r="J1452" i="1"/>
  <c r="K1452" i="1"/>
  <c r="L1452" i="1"/>
  <c r="M1452" i="1"/>
  <c r="N1452" i="1"/>
  <c r="O1452" i="1"/>
  <c r="P1452" i="1"/>
  <c r="Q1452" i="1"/>
  <c r="R1452" i="1"/>
  <c r="S1452" i="1"/>
  <c r="T1452" i="1"/>
  <c r="U1452" i="1"/>
  <c r="V1452" i="1"/>
  <c r="W1452" i="1"/>
  <c r="X1452" i="1"/>
  <c r="Y1452" i="1"/>
  <c r="Z1452" i="1"/>
  <c r="A1453" i="1"/>
  <c r="B1453" i="1"/>
  <c r="C1453" i="1"/>
  <c r="D1453" i="1"/>
  <c r="E1453" i="1"/>
  <c r="F1453" i="1"/>
  <c r="G1453" i="1"/>
  <c r="I1453" i="1"/>
  <c r="J1453" i="1"/>
  <c r="K1453" i="1"/>
  <c r="L1453" i="1"/>
  <c r="M1453" i="1"/>
  <c r="N1453" i="1"/>
  <c r="O1453" i="1"/>
  <c r="P1453" i="1"/>
  <c r="Q1453" i="1"/>
  <c r="R1453" i="1"/>
  <c r="S1453" i="1"/>
  <c r="T1453" i="1"/>
  <c r="U1453" i="1"/>
  <c r="V1453" i="1"/>
  <c r="W1453" i="1"/>
  <c r="X1453" i="1"/>
  <c r="Y1453" i="1"/>
  <c r="Z1453" i="1"/>
  <c r="A1454" i="1"/>
  <c r="B1454" i="1"/>
  <c r="C1454" i="1"/>
  <c r="D1454" i="1"/>
  <c r="E1454" i="1"/>
  <c r="F1454" i="1"/>
  <c r="G1454" i="1"/>
  <c r="I1454" i="1"/>
  <c r="J1454" i="1"/>
  <c r="K1454" i="1"/>
  <c r="L1454" i="1"/>
  <c r="M1454" i="1"/>
  <c r="N1454" i="1"/>
  <c r="O1454" i="1"/>
  <c r="P1454" i="1"/>
  <c r="Q1454" i="1"/>
  <c r="R1454" i="1"/>
  <c r="S1454" i="1"/>
  <c r="T1454" i="1"/>
  <c r="U1454" i="1"/>
  <c r="V1454" i="1"/>
  <c r="W1454" i="1"/>
  <c r="X1454" i="1"/>
  <c r="Y1454" i="1"/>
  <c r="Z1454" i="1"/>
  <c r="A1455" i="1"/>
  <c r="B1455" i="1"/>
  <c r="C1455" i="1"/>
  <c r="D1455" i="1"/>
  <c r="E1455" i="1"/>
  <c r="F1455" i="1"/>
  <c r="G1455" i="1"/>
  <c r="I1455" i="1"/>
  <c r="J1455" i="1"/>
  <c r="K1455" i="1"/>
  <c r="L1455" i="1"/>
  <c r="M1455" i="1"/>
  <c r="N1455" i="1"/>
  <c r="O1455" i="1"/>
  <c r="P1455" i="1"/>
  <c r="Q1455" i="1"/>
  <c r="R1455" i="1"/>
  <c r="S1455" i="1"/>
  <c r="T1455" i="1"/>
  <c r="U1455" i="1"/>
  <c r="V1455" i="1"/>
  <c r="W1455" i="1"/>
  <c r="X1455" i="1"/>
  <c r="Y1455" i="1"/>
  <c r="Z1455" i="1"/>
  <c r="A1456" i="1"/>
  <c r="B1456" i="1"/>
  <c r="C1456" i="1"/>
  <c r="D1456" i="1"/>
  <c r="E1456" i="1"/>
  <c r="F1456" i="1"/>
  <c r="G1456" i="1"/>
  <c r="I1456" i="1"/>
  <c r="J1456" i="1"/>
  <c r="K1456" i="1"/>
  <c r="L1456" i="1"/>
  <c r="M1456" i="1"/>
  <c r="N1456" i="1"/>
  <c r="O1456" i="1"/>
  <c r="P1456" i="1"/>
  <c r="Q1456" i="1"/>
  <c r="R1456" i="1"/>
  <c r="S1456" i="1"/>
  <c r="T1456" i="1"/>
  <c r="U1456" i="1"/>
  <c r="V1456" i="1"/>
  <c r="W1456" i="1"/>
  <c r="X1456" i="1"/>
  <c r="Y1456" i="1"/>
  <c r="Z1456" i="1"/>
  <c r="A1457" i="1"/>
  <c r="B1457" i="1"/>
  <c r="C1457" i="1"/>
  <c r="D1457" i="1"/>
  <c r="E1457" i="1"/>
  <c r="F1457" i="1"/>
  <c r="G1457" i="1"/>
  <c r="I1457" i="1"/>
  <c r="J1457" i="1"/>
  <c r="K1457" i="1"/>
  <c r="L1457" i="1"/>
  <c r="M1457" i="1"/>
  <c r="N1457" i="1"/>
  <c r="O1457" i="1"/>
  <c r="P1457" i="1"/>
  <c r="Q1457" i="1"/>
  <c r="R1457" i="1"/>
  <c r="S1457" i="1"/>
  <c r="T1457" i="1"/>
  <c r="U1457" i="1"/>
  <c r="V1457" i="1"/>
  <c r="W1457" i="1"/>
  <c r="X1457" i="1"/>
  <c r="Y1457" i="1"/>
  <c r="Z1457" i="1"/>
  <c r="A1458" i="1"/>
  <c r="B1458" i="1"/>
  <c r="C1458" i="1"/>
  <c r="D1458" i="1"/>
  <c r="E1458" i="1"/>
  <c r="F1458" i="1"/>
  <c r="G1458" i="1"/>
  <c r="I1458" i="1"/>
  <c r="J1458" i="1"/>
  <c r="K1458" i="1"/>
  <c r="L1458" i="1"/>
  <c r="M1458" i="1"/>
  <c r="N1458" i="1"/>
  <c r="O1458" i="1"/>
  <c r="P1458" i="1"/>
  <c r="Q1458" i="1"/>
  <c r="R1458" i="1"/>
  <c r="S1458" i="1"/>
  <c r="T1458" i="1"/>
  <c r="U1458" i="1"/>
  <c r="V1458" i="1"/>
  <c r="W1458" i="1"/>
  <c r="X1458" i="1"/>
  <c r="Y1458" i="1"/>
  <c r="Z1458" i="1"/>
  <c r="A1459" i="1"/>
  <c r="B1459" i="1"/>
  <c r="C1459" i="1"/>
  <c r="D1459" i="1"/>
  <c r="E1459" i="1"/>
  <c r="F1459" i="1"/>
  <c r="G1459" i="1"/>
  <c r="I1459" i="1"/>
  <c r="J1459" i="1"/>
  <c r="K1459" i="1"/>
  <c r="L1459" i="1"/>
  <c r="M1459" i="1"/>
  <c r="N1459" i="1"/>
  <c r="O1459" i="1"/>
  <c r="P1459" i="1"/>
  <c r="Q1459" i="1"/>
  <c r="R1459" i="1"/>
  <c r="S1459" i="1"/>
  <c r="T1459" i="1"/>
  <c r="U1459" i="1"/>
  <c r="V1459" i="1"/>
  <c r="W1459" i="1"/>
  <c r="X1459" i="1"/>
  <c r="Y1459" i="1"/>
  <c r="Z1459" i="1"/>
  <c r="A1460" i="1"/>
  <c r="B1460" i="1"/>
  <c r="C1460" i="1"/>
  <c r="D1460" i="1"/>
  <c r="E1460" i="1"/>
  <c r="F1460" i="1"/>
  <c r="G1460" i="1"/>
  <c r="I1460" i="1"/>
  <c r="J1460" i="1"/>
  <c r="K1460" i="1"/>
  <c r="L1460" i="1"/>
  <c r="M1460" i="1"/>
  <c r="N1460" i="1"/>
  <c r="O1460" i="1"/>
  <c r="P1460" i="1"/>
  <c r="Q1460" i="1"/>
  <c r="R1460" i="1"/>
  <c r="S1460" i="1"/>
  <c r="T1460" i="1"/>
  <c r="U1460" i="1"/>
  <c r="V1460" i="1"/>
  <c r="W1460" i="1"/>
  <c r="X1460" i="1"/>
  <c r="Y1460" i="1"/>
  <c r="Z1460" i="1"/>
  <c r="A1461" i="1"/>
  <c r="B1461" i="1"/>
  <c r="C1461" i="1"/>
  <c r="D1461" i="1"/>
  <c r="E1461" i="1"/>
  <c r="F1461" i="1"/>
  <c r="G1461" i="1"/>
  <c r="I1461" i="1"/>
  <c r="J1461" i="1"/>
  <c r="K1461" i="1"/>
  <c r="L1461" i="1"/>
  <c r="M1461" i="1"/>
  <c r="N1461" i="1"/>
  <c r="O1461" i="1"/>
  <c r="P1461" i="1"/>
  <c r="Q1461" i="1"/>
  <c r="R1461" i="1"/>
  <c r="S1461" i="1"/>
  <c r="T1461" i="1"/>
  <c r="U1461" i="1"/>
  <c r="V1461" i="1"/>
  <c r="W1461" i="1"/>
  <c r="X1461" i="1"/>
  <c r="Y1461" i="1"/>
  <c r="Z1461" i="1"/>
  <c r="A1462" i="1"/>
  <c r="B1462" i="1"/>
  <c r="C1462" i="1"/>
  <c r="D1462" i="1"/>
  <c r="E1462" i="1"/>
  <c r="F1462" i="1"/>
  <c r="G1462" i="1"/>
  <c r="I1462" i="1"/>
  <c r="J1462" i="1"/>
  <c r="K1462" i="1"/>
  <c r="L1462" i="1"/>
  <c r="M1462" i="1"/>
  <c r="N1462" i="1"/>
  <c r="O1462" i="1"/>
  <c r="P1462" i="1"/>
  <c r="Q1462" i="1"/>
  <c r="R1462" i="1"/>
  <c r="S1462" i="1"/>
  <c r="T1462" i="1"/>
  <c r="U1462" i="1"/>
  <c r="V1462" i="1"/>
  <c r="W1462" i="1"/>
  <c r="X1462" i="1"/>
  <c r="Y1462" i="1"/>
  <c r="Z1462" i="1"/>
  <c r="A1463" i="1"/>
  <c r="B1463" i="1"/>
  <c r="C1463" i="1"/>
  <c r="D1463" i="1"/>
  <c r="E1463" i="1"/>
  <c r="F1463" i="1"/>
  <c r="G1463" i="1"/>
  <c r="I1463" i="1"/>
  <c r="J1463" i="1"/>
  <c r="K1463" i="1"/>
  <c r="L1463" i="1"/>
  <c r="M1463" i="1"/>
  <c r="N1463" i="1"/>
  <c r="O1463" i="1"/>
  <c r="P1463" i="1"/>
  <c r="Q1463" i="1"/>
  <c r="R1463" i="1"/>
  <c r="S1463" i="1"/>
  <c r="T1463" i="1"/>
  <c r="U1463" i="1"/>
  <c r="V1463" i="1"/>
  <c r="W1463" i="1"/>
  <c r="X1463" i="1"/>
  <c r="Y1463" i="1"/>
  <c r="Z1463" i="1"/>
  <c r="A1464" i="1"/>
  <c r="B1464" i="1"/>
  <c r="C1464" i="1"/>
  <c r="D1464" i="1"/>
  <c r="E1464" i="1"/>
  <c r="F1464" i="1"/>
  <c r="G1464" i="1"/>
  <c r="I1464" i="1"/>
  <c r="J1464" i="1"/>
  <c r="K1464" i="1"/>
  <c r="L1464" i="1"/>
  <c r="M1464" i="1"/>
  <c r="N1464" i="1"/>
  <c r="O1464" i="1"/>
  <c r="P1464" i="1"/>
  <c r="Q1464" i="1"/>
  <c r="R1464" i="1"/>
  <c r="S1464" i="1"/>
  <c r="T1464" i="1"/>
  <c r="U1464" i="1"/>
  <c r="V1464" i="1"/>
  <c r="W1464" i="1"/>
  <c r="X1464" i="1"/>
  <c r="Y1464" i="1"/>
  <c r="Z1464" i="1"/>
  <c r="A1465" i="1"/>
  <c r="B1465" i="1"/>
  <c r="C1465" i="1"/>
  <c r="D1465" i="1"/>
  <c r="E1465" i="1"/>
  <c r="F1465" i="1"/>
  <c r="G1465" i="1"/>
  <c r="I1465" i="1"/>
  <c r="J1465" i="1"/>
  <c r="K1465" i="1"/>
  <c r="L1465" i="1"/>
  <c r="M1465" i="1"/>
  <c r="N1465" i="1"/>
  <c r="O1465" i="1"/>
  <c r="P1465" i="1"/>
  <c r="Q1465" i="1"/>
  <c r="R1465" i="1"/>
  <c r="S1465" i="1"/>
  <c r="T1465" i="1"/>
  <c r="U1465" i="1"/>
  <c r="V1465" i="1"/>
  <c r="W1465" i="1"/>
  <c r="X1465" i="1"/>
  <c r="Y1465" i="1"/>
  <c r="Z1465" i="1"/>
  <c r="A1466" i="1"/>
  <c r="B1466" i="1"/>
  <c r="C1466" i="1"/>
  <c r="D1466" i="1"/>
  <c r="E1466" i="1"/>
  <c r="F1466" i="1"/>
  <c r="G1466" i="1"/>
  <c r="I1466" i="1"/>
  <c r="J1466" i="1"/>
  <c r="K1466" i="1"/>
  <c r="L1466" i="1"/>
  <c r="M1466" i="1"/>
  <c r="N1466" i="1"/>
  <c r="O1466" i="1"/>
  <c r="P1466" i="1"/>
  <c r="Q1466" i="1"/>
  <c r="R1466" i="1"/>
  <c r="S1466" i="1"/>
  <c r="T1466" i="1"/>
  <c r="U1466" i="1"/>
  <c r="V1466" i="1"/>
  <c r="W1466" i="1"/>
  <c r="X1466" i="1"/>
  <c r="Y1466" i="1"/>
  <c r="Z1466" i="1"/>
  <c r="A1467" i="1"/>
  <c r="B1467" i="1"/>
  <c r="C1467" i="1"/>
  <c r="D1467" i="1"/>
  <c r="E1467" i="1"/>
  <c r="F1467" i="1"/>
  <c r="G1467" i="1"/>
  <c r="I1467" i="1"/>
  <c r="J1467" i="1"/>
  <c r="K1467" i="1"/>
  <c r="L1467" i="1"/>
  <c r="M1467" i="1"/>
  <c r="N1467" i="1"/>
  <c r="O1467" i="1"/>
  <c r="P1467" i="1"/>
  <c r="Q1467" i="1"/>
  <c r="R1467" i="1"/>
  <c r="S1467" i="1"/>
  <c r="T1467" i="1"/>
  <c r="U1467" i="1"/>
  <c r="V1467" i="1"/>
  <c r="W1467" i="1"/>
  <c r="X1467" i="1"/>
  <c r="Y1467" i="1"/>
  <c r="Z1467" i="1"/>
  <c r="A1468" i="1"/>
  <c r="B1468" i="1"/>
  <c r="C1468" i="1"/>
  <c r="D1468" i="1"/>
  <c r="E1468" i="1"/>
  <c r="F1468" i="1"/>
  <c r="G1468" i="1"/>
  <c r="I1468" i="1"/>
  <c r="J1468" i="1"/>
  <c r="K1468" i="1"/>
  <c r="L1468" i="1"/>
  <c r="M1468" i="1"/>
  <c r="N1468" i="1"/>
  <c r="O1468" i="1"/>
  <c r="P1468" i="1"/>
  <c r="Q1468" i="1"/>
  <c r="R1468" i="1"/>
  <c r="S1468" i="1"/>
  <c r="T1468" i="1"/>
  <c r="U1468" i="1"/>
  <c r="V1468" i="1"/>
  <c r="W1468" i="1"/>
  <c r="X1468" i="1"/>
  <c r="Y1468" i="1"/>
  <c r="Z1468" i="1"/>
  <c r="A1469" i="1"/>
  <c r="B1469" i="1"/>
  <c r="C1469" i="1"/>
  <c r="D1469" i="1"/>
  <c r="E1469" i="1"/>
  <c r="F1469" i="1"/>
  <c r="G1469" i="1"/>
  <c r="I1469" i="1"/>
  <c r="J1469" i="1"/>
  <c r="K1469" i="1"/>
  <c r="L1469" i="1"/>
  <c r="M1469" i="1"/>
  <c r="N1469" i="1"/>
  <c r="O1469" i="1"/>
  <c r="P1469" i="1"/>
  <c r="Q1469" i="1"/>
  <c r="R1469" i="1"/>
  <c r="S1469" i="1"/>
  <c r="T1469" i="1"/>
  <c r="U1469" i="1"/>
  <c r="V1469" i="1"/>
  <c r="W1469" i="1"/>
  <c r="X1469" i="1"/>
  <c r="Y1469" i="1"/>
  <c r="Z1469" i="1"/>
  <c r="A1470" i="1"/>
  <c r="B1470" i="1"/>
  <c r="C1470" i="1"/>
  <c r="D1470" i="1"/>
  <c r="E1470" i="1"/>
  <c r="F1470" i="1"/>
  <c r="G1470" i="1"/>
  <c r="I1470" i="1"/>
  <c r="J1470" i="1"/>
  <c r="K1470" i="1"/>
  <c r="L1470" i="1"/>
  <c r="M1470" i="1"/>
  <c r="N1470" i="1"/>
  <c r="O1470" i="1"/>
  <c r="P1470" i="1"/>
  <c r="Q1470" i="1"/>
  <c r="R1470" i="1"/>
  <c r="S1470" i="1"/>
  <c r="T1470" i="1"/>
  <c r="U1470" i="1"/>
  <c r="V1470" i="1"/>
  <c r="W1470" i="1"/>
  <c r="X1470" i="1"/>
  <c r="Y1470" i="1"/>
  <c r="Z1470" i="1"/>
  <c r="A1471" i="1"/>
  <c r="B1471" i="1"/>
  <c r="C1471" i="1"/>
  <c r="D1471" i="1"/>
  <c r="E1471" i="1"/>
  <c r="F1471" i="1"/>
  <c r="G1471" i="1"/>
  <c r="I1471" i="1"/>
  <c r="J1471" i="1"/>
  <c r="K1471" i="1"/>
  <c r="L1471" i="1"/>
  <c r="M1471" i="1"/>
  <c r="N1471" i="1"/>
  <c r="O1471" i="1"/>
  <c r="P1471" i="1"/>
  <c r="Q1471" i="1"/>
  <c r="R1471" i="1"/>
  <c r="S1471" i="1"/>
  <c r="T1471" i="1"/>
  <c r="U1471" i="1"/>
  <c r="V1471" i="1"/>
  <c r="W1471" i="1"/>
  <c r="X1471" i="1"/>
  <c r="Y1471" i="1"/>
  <c r="Z1471" i="1"/>
  <c r="A1472" i="1"/>
  <c r="B1472" i="1"/>
  <c r="C1472" i="1"/>
  <c r="D1472" i="1"/>
  <c r="E1472" i="1"/>
  <c r="F1472" i="1"/>
  <c r="G1472" i="1"/>
  <c r="I1472" i="1"/>
  <c r="J1472" i="1"/>
  <c r="K1472" i="1"/>
  <c r="L1472" i="1"/>
  <c r="M1472" i="1"/>
  <c r="N1472" i="1"/>
  <c r="O1472" i="1"/>
  <c r="P1472" i="1"/>
  <c r="Q1472" i="1"/>
  <c r="R1472" i="1"/>
  <c r="S1472" i="1"/>
  <c r="T1472" i="1"/>
  <c r="U1472" i="1"/>
  <c r="V1472" i="1"/>
  <c r="W1472" i="1"/>
  <c r="X1472" i="1"/>
  <c r="Y1472" i="1"/>
  <c r="Z1472" i="1"/>
  <c r="A1473" i="1"/>
  <c r="B1473" i="1"/>
  <c r="C1473" i="1"/>
  <c r="D1473" i="1"/>
  <c r="E1473" i="1"/>
  <c r="F1473" i="1"/>
  <c r="G1473" i="1"/>
  <c r="I1473" i="1"/>
  <c r="J1473" i="1"/>
  <c r="K1473" i="1"/>
  <c r="L1473" i="1"/>
  <c r="M1473" i="1"/>
  <c r="N1473" i="1"/>
  <c r="O1473" i="1"/>
  <c r="P1473" i="1"/>
  <c r="Q1473" i="1"/>
  <c r="R1473" i="1"/>
  <c r="S1473" i="1"/>
  <c r="T1473" i="1"/>
  <c r="U1473" i="1"/>
  <c r="V1473" i="1"/>
  <c r="W1473" i="1"/>
  <c r="X1473" i="1"/>
  <c r="Y1473" i="1"/>
  <c r="Z1473" i="1"/>
  <c r="A1474" i="1"/>
  <c r="B1474" i="1"/>
  <c r="C1474" i="1"/>
  <c r="D1474" i="1"/>
  <c r="E1474" i="1"/>
  <c r="F1474" i="1"/>
  <c r="G1474" i="1"/>
  <c r="I1474" i="1"/>
  <c r="J1474" i="1"/>
  <c r="K1474" i="1"/>
  <c r="L1474" i="1"/>
  <c r="M1474" i="1"/>
  <c r="N1474" i="1"/>
  <c r="O1474" i="1"/>
  <c r="P1474" i="1"/>
  <c r="Q1474" i="1"/>
  <c r="R1474" i="1"/>
  <c r="S1474" i="1"/>
  <c r="T1474" i="1"/>
  <c r="U1474" i="1"/>
  <c r="V1474" i="1"/>
  <c r="W1474" i="1"/>
  <c r="X1474" i="1"/>
  <c r="Y1474" i="1"/>
  <c r="Z1474" i="1"/>
  <c r="A1475" i="1"/>
  <c r="B1475" i="1"/>
  <c r="C1475" i="1"/>
  <c r="D1475" i="1"/>
  <c r="E1475" i="1"/>
  <c r="F1475" i="1"/>
  <c r="G1475" i="1"/>
  <c r="I1475" i="1"/>
  <c r="J1475" i="1"/>
  <c r="K1475" i="1"/>
  <c r="L1475" i="1"/>
  <c r="M1475" i="1"/>
  <c r="N1475" i="1"/>
  <c r="O1475" i="1"/>
  <c r="P1475" i="1"/>
  <c r="Q1475" i="1"/>
  <c r="R1475" i="1"/>
  <c r="S1475" i="1"/>
  <c r="T1475" i="1"/>
  <c r="U1475" i="1"/>
  <c r="V1475" i="1"/>
  <c r="W1475" i="1"/>
  <c r="X1475" i="1"/>
  <c r="Y1475" i="1"/>
  <c r="Z1475" i="1"/>
  <c r="A1476" i="1"/>
  <c r="B1476" i="1"/>
  <c r="C1476" i="1"/>
  <c r="D1476" i="1"/>
  <c r="E1476" i="1"/>
  <c r="F1476" i="1"/>
  <c r="G1476" i="1"/>
  <c r="I1476" i="1"/>
  <c r="J1476" i="1"/>
  <c r="K1476" i="1"/>
  <c r="L1476" i="1"/>
  <c r="M1476" i="1"/>
  <c r="N1476" i="1"/>
  <c r="O1476" i="1"/>
  <c r="P1476" i="1"/>
  <c r="Q1476" i="1"/>
  <c r="R1476" i="1"/>
  <c r="S1476" i="1"/>
  <c r="T1476" i="1"/>
  <c r="U1476" i="1"/>
  <c r="V1476" i="1"/>
  <c r="W1476" i="1"/>
  <c r="X1476" i="1"/>
  <c r="Y1476" i="1"/>
  <c r="Z1476" i="1"/>
  <c r="A1477" i="1"/>
  <c r="B1477" i="1"/>
  <c r="C1477" i="1"/>
  <c r="D1477" i="1"/>
  <c r="E1477" i="1"/>
  <c r="F1477" i="1"/>
  <c r="G1477" i="1"/>
  <c r="I1477" i="1"/>
  <c r="J1477" i="1"/>
  <c r="K1477" i="1"/>
  <c r="L1477" i="1"/>
  <c r="M1477" i="1"/>
  <c r="N1477" i="1"/>
  <c r="O1477" i="1"/>
  <c r="P1477" i="1"/>
  <c r="Q1477" i="1"/>
  <c r="R1477" i="1"/>
  <c r="S1477" i="1"/>
  <c r="T1477" i="1"/>
  <c r="U1477" i="1"/>
  <c r="V1477" i="1"/>
  <c r="W1477" i="1"/>
  <c r="X1477" i="1"/>
  <c r="Y1477" i="1"/>
  <c r="Z1477" i="1"/>
  <c r="A1478" i="1"/>
  <c r="B1478" i="1"/>
  <c r="C1478" i="1"/>
  <c r="D1478" i="1"/>
  <c r="E1478" i="1"/>
  <c r="F1478" i="1"/>
  <c r="G1478" i="1"/>
  <c r="I1478" i="1"/>
  <c r="J1478" i="1"/>
  <c r="K1478" i="1"/>
  <c r="L1478" i="1"/>
  <c r="M1478" i="1"/>
  <c r="N1478" i="1"/>
  <c r="O1478" i="1"/>
  <c r="P1478" i="1"/>
  <c r="Q1478" i="1"/>
  <c r="R1478" i="1"/>
  <c r="S1478" i="1"/>
  <c r="T1478" i="1"/>
  <c r="U1478" i="1"/>
  <c r="V1478" i="1"/>
  <c r="W1478" i="1"/>
  <c r="X1478" i="1"/>
  <c r="Y1478" i="1"/>
  <c r="Z1478" i="1"/>
  <c r="A1479" i="1"/>
  <c r="B1479" i="1"/>
  <c r="C1479" i="1"/>
  <c r="D1479" i="1"/>
  <c r="E1479" i="1"/>
  <c r="F1479" i="1"/>
  <c r="G1479" i="1"/>
  <c r="I1479" i="1"/>
  <c r="J1479" i="1"/>
  <c r="K1479" i="1"/>
  <c r="L1479" i="1"/>
  <c r="M1479" i="1"/>
  <c r="N1479" i="1"/>
  <c r="O1479" i="1"/>
  <c r="P1479" i="1"/>
  <c r="Q1479" i="1"/>
  <c r="R1479" i="1"/>
  <c r="S1479" i="1"/>
  <c r="T1479" i="1"/>
  <c r="U1479" i="1"/>
  <c r="V1479" i="1"/>
  <c r="W1479" i="1"/>
  <c r="X1479" i="1"/>
  <c r="Y1479" i="1"/>
  <c r="Z1479" i="1"/>
  <c r="A1480" i="1"/>
  <c r="B1480" i="1"/>
  <c r="C1480" i="1"/>
  <c r="D1480" i="1"/>
  <c r="E1480" i="1"/>
  <c r="F1480" i="1"/>
  <c r="G1480" i="1"/>
  <c r="I1480" i="1"/>
  <c r="J1480" i="1"/>
  <c r="K1480" i="1"/>
  <c r="L1480" i="1"/>
  <c r="M1480" i="1"/>
  <c r="N1480" i="1"/>
  <c r="O1480" i="1"/>
  <c r="P1480" i="1"/>
  <c r="Q1480" i="1"/>
  <c r="R1480" i="1"/>
  <c r="S1480" i="1"/>
  <c r="T1480" i="1"/>
  <c r="U1480" i="1"/>
  <c r="V1480" i="1"/>
  <c r="W1480" i="1"/>
  <c r="X1480" i="1"/>
  <c r="Y1480" i="1"/>
  <c r="Z1480" i="1"/>
  <c r="A1481" i="1"/>
  <c r="B1481" i="1"/>
  <c r="C1481" i="1"/>
  <c r="D1481" i="1"/>
  <c r="E1481" i="1"/>
  <c r="F1481" i="1"/>
  <c r="G1481" i="1"/>
  <c r="I1481" i="1"/>
  <c r="J1481" i="1"/>
  <c r="K1481" i="1"/>
  <c r="L1481" i="1"/>
  <c r="M1481" i="1"/>
  <c r="N1481" i="1"/>
  <c r="O1481" i="1"/>
  <c r="P1481" i="1"/>
  <c r="Q1481" i="1"/>
  <c r="R1481" i="1"/>
  <c r="S1481" i="1"/>
  <c r="T1481" i="1"/>
  <c r="U1481" i="1"/>
  <c r="V1481" i="1"/>
  <c r="W1481" i="1"/>
  <c r="X1481" i="1"/>
  <c r="Y1481" i="1"/>
  <c r="Z1481" i="1"/>
  <c r="A1482" i="1"/>
  <c r="B1482" i="1"/>
  <c r="C1482" i="1"/>
  <c r="D1482" i="1"/>
  <c r="E1482" i="1"/>
  <c r="F1482" i="1"/>
  <c r="G1482" i="1"/>
  <c r="I1482" i="1"/>
  <c r="J1482" i="1"/>
  <c r="K1482" i="1"/>
  <c r="L1482" i="1"/>
  <c r="M1482" i="1"/>
  <c r="N1482" i="1"/>
  <c r="O1482" i="1"/>
  <c r="P1482" i="1"/>
  <c r="Q1482" i="1"/>
  <c r="R1482" i="1"/>
  <c r="S1482" i="1"/>
  <c r="T1482" i="1"/>
  <c r="U1482" i="1"/>
  <c r="V1482" i="1"/>
  <c r="W1482" i="1"/>
  <c r="X1482" i="1"/>
  <c r="Y1482" i="1"/>
  <c r="Z1482" i="1"/>
  <c r="A1483" i="1"/>
  <c r="B1483" i="1"/>
  <c r="C1483" i="1"/>
  <c r="D1483" i="1"/>
  <c r="E1483" i="1"/>
  <c r="F1483" i="1"/>
  <c r="G1483" i="1"/>
  <c r="I1483" i="1"/>
  <c r="J1483" i="1"/>
  <c r="K1483" i="1"/>
  <c r="L1483" i="1"/>
  <c r="M1483" i="1"/>
  <c r="N1483" i="1"/>
  <c r="O1483" i="1"/>
  <c r="P1483" i="1"/>
  <c r="Q1483" i="1"/>
  <c r="R1483" i="1"/>
  <c r="S1483" i="1"/>
  <c r="T1483" i="1"/>
  <c r="U1483" i="1"/>
  <c r="V1483" i="1"/>
  <c r="W1483" i="1"/>
  <c r="X1483" i="1"/>
  <c r="Y1483" i="1"/>
  <c r="Z1483" i="1"/>
  <c r="A1484" i="1"/>
  <c r="B1484" i="1"/>
  <c r="C1484" i="1"/>
  <c r="D1484" i="1"/>
  <c r="E1484" i="1"/>
  <c r="F1484" i="1"/>
  <c r="G1484" i="1"/>
  <c r="I1484" i="1"/>
  <c r="J1484" i="1"/>
  <c r="K1484" i="1"/>
  <c r="L1484" i="1"/>
  <c r="M1484" i="1"/>
  <c r="N1484" i="1"/>
  <c r="O1484" i="1"/>
  <c r="P1484" i="1"/>
  <c r="Q1484" i="1"/>
  <c r="R1484" i="1"/>
  <c r="S1484" i="1"/>
  <c r="T1484" i="1"/>
  <c r="U1484" i="1"/>
  <c r="V1484" i="1"/>
  <c r="W1484" i="1"/>
  <c r="X1484" i="1"/>
  <c r="Y1484" i="1"/>
  <c r="Z1484" i="1"/>
  <c r="A1485" i="1"/>
  <c r="B1485" i="1"/>
  <c r="C1485" i="1"/>
  <c r="D1485" i="1"/>
  <c r="E1485" i="1"/>
  <c r="F1485" i="1"/>
  <c r="G1485" i="1"/>
  <c r="I1485" i="1"/>
  <c r="J1485" i="1"/>
  <c r="K1485" i="1"/>
  <c r="L1485" i="1"/>
  <c r="M1485" i="1"/>
  <c r="N1485" i="1"/>
  <c r="O1485" i="1"/>
  <c r="P1485" i="1"/>
  <c r="Q1485" i="1"/>
  <c r="R1485" i="1"/>
  <c r="S1485" i="1"/>
  <c r="T1485" i="1"/>
  <c r="U1485" i="1"/>
  <c r="V1485" i="1"/>
  <c r="W1485" i="1"/>
  <c r="X1485" i="1"/>
  <c r="Y1485" i="1"/>
  <c r="Z1485" i="1"/>
  <c r="A1486" i="1"/>
  <c r="B1486" i="1"/>
  <c r="C1486" i="1"/>
  <c r="D1486" i="1"/>
  <c r="E1486" i="1"/>
  <c r="F1486" i="1"/>
  <c r="G1486" i="1"/>
  <c r="I1486" i="1"/>
  <c r="J1486" i="1"/>
  <c r="K1486" i="1"/>
  <c r="L1486" i="1"/>
  <c r="M1486" i="1"/>
  <c r="N1486" i="1"/>
  <c r="O1486" i="1"/>
  <c r="P1486" i="1"/>
  <c r="Q1486" i="1"/>
  <c r="R1486" i="1"/>
  <c r="S1486" i="1"/>
  <c r="T1486" i="1"/>
  <c r="U1486" i="1"/>
  <c r="V1486" i="1"/>
  <c r="W1486" i="1"/>
  <c r="X1486" i="1"/>
  <c r="Y1486" i="1"/>
  <c r="Z1486" i="1"/>
  <c r="A1487" i="1"/>
  <c r="B1487" i="1"/>
  <c r="C1487" i="1"/>
  <c r="D1487" i="1"/>
  <c r="E1487" i="1"/>
  <c r="F1487" i="1"/>
  <c r="G1487" i="1"/>
  <c r="I1487" i="1"/>
  <c r="J1487" i="1"/>
  <c r="K1487" i="1"/>
  <c r="L1487" i="1"/>
  <c r="M1487" i="1"/>
  <c r="N1487" i="1"/>
  <c r="O1487" i="1"/>
  <c r="P1487" i="1"/>
  <c r="Q1487" i="1"/>
  <c r="R1487" i="1"/>
  <c r="S1487" i="1"/>
  <c r="T1487" i="1"/>
  <c r="U1487" i="1"/>
  <c r="V1487" i="1"/>
  <c r="W1487" i="1"/>
  <c r="X1487" i="1"/>
  <c r="Y1487" i="1"/>
  <c r="Z1487" i="1"/>
  <c r="A1488" i="1"/>
  <c r="B1488" i="1"/>
  <c r="C1488" i="1"/>
  <c r="D1488" i="1"/>
  <c r="E1488" i="1"/>
  <c r="F1488" i="1"/>
  <c r="G1488" i="1"/>
  <c r="I1488" i="1"/>
  <c r="J1488" i="1"/>
  <c r="K1488" i="1"/>
  <c r="L1488" i="1"/>
  <c r="M1488" i="1"/>
  <c r="N1488" i="1"/>
  <c r="O1488" i="1"/>
  <c r="P1488" i="1"/>
  <c r="Q1488" i="1"/>
  <c r="R1488" i="1"/>
  <c r="S1488" i="1"/>
  <c r="T1488" i="1"/>
  <c r="U1488" i="1"/>
  <c r="V1488" i="1"/>
  <c r="W1488" i="1"/>
  <c r="X1488" i="1"/>
  <c r="Y1488" i="1"/>
  <c r="Z1488" i="1"/>
  <c r="A1489" i="1"/>
  <c r="B1489" i="1"/>
  <c r="C1489" i="1"/>
  <c r="D1489" i="1"/>
  <c r="E1489" i="1"/>
  <c r="F1489" i="1"/>
  <c r="G1489" i="1"/>
  <c r="I1489" i="1"/>
  <c r="J1489" i="1"/>
  <c r="K1489" i="1"/>
  <c r="L1489" i="1"/>
  <c r="M1489" i="1"/>
  <c r="N1489" i="1"/>
  <c r="O1489" i="1"/>
  <c r="P1489" i="1"/>
  <c r="Q1489" i="1"/>
  <c r="R1489" i="1"/>
  <c r="S1489" i="1"/>
  <c r="T1489" i="1"/>
  <c r="U1489" i="1"/>
  <c r="V1489" i="1"/>
  <c r="W1489" i="1"/>
  <c r="X1489" i="1"/>
  <c r="Y1489" i="1"/>
  <c r="Z1489" i="1"/>
  <c r="A1490" i="1"/>
  <c r="B1490" i="1"/>
  <c r="C1490" i="1"/>
  <c r="D1490" i="1"/>
  <c r="E1490" i="1"/>
  <c r="F1490" i="1"/>
  <c r="G1490" i="1"/>
  <c r="I1490" i="1"/>
  <c r="J1490" i="1"/>
  <c r="K1490" i="1"/>
  <c r="L1490" i="1"/>
  <c r="M1490" i="1"/>
  <c r="N1490" i="1"/>
  <c r="O1490" i="1"/>
  <c r="P1490" i="1"/>
  <c r="Q1490" i="1"/>
  <c r="R1490" i="1"/>
  <c r="S1490" i="1"/>
  <c r="T1490" i="1"/>
  <c r="U1490" i="1"/>
  <c r="V1490" i="1"/>
  <c r="W1490" i="1"/>
  <c r="X1490" i="1"/>
  <c r="Y1490" i="1"/>
  <c r="Z1490" i="1"/>
  <c r="A1491" i="1"/>
  <c r="B1491" i="1"/>
  <c r="C1491" i="1"/>
  <c r="D1491" i="1"/>
  <c r="E1491" i="1"/>
  <c r="F1491" i="1"/>
  <c r="G1491" i="1"/>
  <c r="I1491" i="1"/>
  <c r="J1491" i="1"/>
  <c r="K1491" i="1"/>
  <c r="L1491" i="1"/>
  <c r="M1491" i="1"/>
  <c r="N1491" i="1"/>
  <c r="O1491" i="1"/>
  <c r="P1491" i="1"/>
  <c r="Q1491" i="1"/>
  <c r="R1491" i="1"/>
  <c r="S1491" i="1"/>
  <c r="T1491" i="1"/>
  <c r="U1491" i="1"/>
  <c r="V1491" i="1"/>
  <c r="W1491" i="1"/>
  <c r="X1491" i="1"/>
  <c r="Y1491" i="1"/>
  <c r="Z1491" i="1"/>
  <c r="A1492" i="1"/>
  <c r="B1492" i="1"/>
  <c r="C1492" i="1"/>
  <c r="D1492" i="1"/>
  <c r="E1492" i="1"/>
  <c r="F1492" i="1"/>
  <c r="G1492" i="1"/>
  <c r="I1492" i="1"/>
  <c r="J1492" i="1"/>
  <c r="K1492" i="1"/>
  <c r="L1492" i="1"/>
  <c r="M1492" i="1"/>
  <c r="N1492" i="1"/>
  <c r="O1492" i="1"/>
  <c r="P1492" i="1"/>
  <c r="Q1492" i="1"/>
  <c r="R1492" i="1"/>
  <c r="S1492" i="1"/>
  <c r="T1492" i="1"/>
  <c r="U1492" i="1"/>
  <c r="V1492" i="1"/>
  <c r="W1492" i="1"/>
  <c r="X1492" i="1"/>
  <c r="Y1492" i="1"/>
  <c r="Z1492" i="1"/>
  <c r="A1493" i="1"/>
  <c r="B1493" i="1"/>
  <c r="C1493" i="1"/>
  <c r="D1493" i="1"/>
  <c r="E1493" i="1"/>
  <c r="F1493" i="1"/>
  <c r="G1493" i="1"/>
  <c r="I1493" i="1"/>
  <c r="J1493" i="1"/>
  <c r="K1493" i="1"/>
  <c r="L1493" i="1"/>
  <c r="M1493" i="1"/>
  <c r="N1493" i="1"/>
  <c r="O1493" i="1"/>
  <c r="P1493" i="1"/>
  <c r="Q1493" i="1"/>
  <c r="R1493" i="1"/>
  <c r="S1493" i="1"/>
  <c r="T1493" i="1"/>
  <c r="U1493" i="1"/>
  <c r="V1493" i="1"/>
  <c r="W1493" i="1"/>
  <c r="X1493" i="1"/>
  <c r="Y1493" i="1"/>
  <c r="Z1493" i="1"/>
  <c r="A1494" i="1"/>
  <c r="B1494" i="1"/>
  <c r="C1494" i="1"/>
  <c r="D1494" i="1"/>
  <c r="E1494" i="1"/>
  <c r="F1494" i="1"/>
  <c r="G1494" i="1"/>
  <c r="I1494" i="1"/>
  <c r="J1494" i="1"/>
  <c r="K1494" i="1"/>
  <c r="L1494" i="1"/>
  <c r="M1494" i="1"/>
  <c r="N1494" i="1"/>
  <c r="O1494" i="1"/>
  <c r="P1494" i="1"/>
  <c r="Q1494" i="1"/>
  <c r="R1494" i="1"/>
  <c r="S1494" i="1"/>
  <c r="T1494" i="1"/>
  <c r="U1494" i="1"/>
  <c r="V1494" i="1"/>
  <c r="W1494" i="1"/>
  <c r="X1494" i="1"/>
  <c r="Y1494" i="1"/>
  <c r="Z1494" i="1"/>
  <c r="A1495" i="1"/>
  <c r="B1495" i="1"/>
  <c r="C1495" i="1"/>
  <c r="D1495" i="1"/>
  <c r="E1495" i="1"/>
  <c r="F1495" i="1"/>
  <c r="G1495" i="1"/>
  <c r="I1495" i="1"/>
  <c r="J1495" i="1"/>
  <c r="K1495" i="1"/>
  <c r="L1495" i="1"/>
  <c r="M1495" i="1"/>
  <c r="N1495" i="1"/>
  <c r="O1495" i="1"/>
  <c r="P1495" i="1"/>
  <c r="Q1495" i="1"/>
  <c r="R1495" i="1"/>
  <c r="S1495" i="1"/>
  <c r="T1495" i="1"/>
  <c r="U1495" i="1"/>
  <c r="V1495" i="1"/>
  <c r="W1495" i="1"/>
  <c r="X1495" i="1"/>
  <c r="Y1495" i="1"/>
  <c r="Z1495" i="1"/>
  <c r="A1496" i="1"/>
  <c r="B1496" i="1"/>
  <c r="C1496" i="1"/>
  <c r="D1496" i="1"/>
  <c r="E1496" i="1"/>
  <c r="F1496" i="1"/>
  <c r="G1496" i="1"/>
  <c r="I1496" i="1"/>
  <c r="J1496" i="1"/>
  <c r="K1496" i="1"/>
  <c r="L1496" i="1"/>
  <c r="M1496" i="1"/>
  <c r="N1496" i="1"/>
  <c r="O1496" i="1"/>
  <c r="P1496" i="1"/>
  <c r="Q1496" i="1"/>
  <c r="R1496" i="1"/>
  <c r="S1496" i="1"/>
  <c r="T1496" i="1"/>
  <c r="U1496" i="1"/>
  <c r="V1496" i="1"/>
  <c r="W1496" i="1"/>
  <c r="X1496" i="1"/>
  <c r="Y1496" i="1"/>
  <c r="Z1496" i="1"/>
  <c r="A1497" i="1"/>
  <c r="B1497" i="1"/>
  <c r="C1497" i="1"/>
  <c r="D1497" i="1"/>
  <c r="E1497" i="1"/>
  <c r="F1497" i="1"/>
  <c r="G1497" i="1"/>
  <c r="I1497" i="1"/>
  <c r="J1497" i="1"/>
  <c r="K1497" i="1"/>
  <c r="L1497" i="1"/>
  <c r="M1497" i="1"/>
  <c r="N1497" i="1"/>
  <c r="O1497" i="1"/>
  <c r="P1497" i="1"/>
  <c r="Q1497" i="1"/>
  <c r="R1497" i="1"/>
  <c r="S1497" i="1"/>
  <c r="T1497" i="1"/>
  <c r="U1497" i="1"/>
  <c r="V1497" i="1"/>
  <c r="W1497" i="1"/>
  <c r="X1497" i="1"/>
  <c r="Y1497" i="1"/>
  <c r="Z1497" i="1"/>
  <c r="A1498" i="1"/>
  <c r="B1498" i="1"/>
  <c r="C1498" i="1"/>
  <c r="D1498" i="1"/>
  <c r="E1498" i="1"/>
  <c r="F1498" i="1"/>
  <c r="G1498" i="1"/>
  <c r="I1498" i="1"/>
  <c r="J1498" i="1"/>
  <c r="K1498" i="1"/>
  <c r="L1498" i="1"/>
  <c r="M1498" i="1"/>
  <c r="N1498" i="1"/>
  <c r="O1498" i="1"/>
  <c r="P1498" i="1"/>
  <c r="Q1498" i="1"/>
  <c r="R1498" i="1"/>
  <c r="S1498" i="1"/>
  <c r="T1498" i="1"/>
  <c r="U1498" i="1"/>
  <c r="V1498" i="1"/>
  <c r="W1498" i="1"/>
  <c r="X1498" i="1"/>
  <c r="Y1498" i="1"/>
  <c r="Z1498" i="1"/>
  <c r="A1499" i="1"/>
  <c r="B1499" i="1"/>
  <c r="C1499" i="1"/>
  <c r="D1499" i="1"/>
  <c r="E1499" i="1"/>
  <c r="F1499" i="1"/>
  <c r="G1499" i="1"/>
  <c r="I1499" i="1"/>
  <c r="J1499" i="1"/>
  <c r="K1499" i="1"/>
  <c r="L1499" i="1"/>
  <c r="M1499" i="1"/>
  <c r="N1499" i="1"/>
  <c r="O1499" i="1"/>
  <c r="P1499" i="1"/>
  <c r="Q1499" i="1"/>
  <c r="R1499" i="1"/>
  <c r="S1499" i="1"/>
  <c r="T1499" i="1"/>
  <c r="U1499" i="1"/>
  <c r="V1499" i="1"/>
  <c r="W1499" i="1"/>
  <c r="X1499" i="1"/>
  <c r="Y1499" i="1"/>
  <c r="Z1499" i="1"/>
  <c r="A1500" i="1"/>
  <c r="B1500" i="1"/>
  <c r="C1500" i="1"/>
  <c r="D1500" i="1"/>
  <c r="E1500" i="1"/>
  <c r="F1500" i="1"/>
  <c r="G1500" i="1"/>
  <c r="I1500" i="1"/>
  <c r="J1500" i="1"/>
  <c r="K1500" i="1"/>
  <c r="L1500" i="1"/>
  <c r="M1500" i="1"/>
  <c r="N1500" i="1"/>
  <c r="O1500" i="1"/>
  <c r="P1500" i="1"/>
  <c r="Q1500" i="1"/>
  <c r="R1500" i="1"/>
  <c r="S1500" i="1"/>
  <c r="T1500" i="1"/>
  <c r="U1500" i="1"/>
  <c r="V1500" i="1"/>
  <c r="W1500" i="1"/>
  <c r="X1500" i="1"/>
  <c r="Y1500" i="1"/>
  <c r="Z1500" i="1"/>
  <c r="A1501" i="1"/>
  <c r="B1501" i="1"/>
  <c r="C1501" i="1"/>
  <c r="D1501" i="1"/>
  <c r="E1501" i="1"/>
  <c r="F1501" i="1"/>
  <c r="G1501" i="1"/>
  <c r="I1501" i="1"/>
  <c r="J1501" i="1"/>
  <c r="K1501" i="1"/>
  <c r="L1501" i="1"/>
  <c r="M1501" i="1"/>
  <c r="N1501" i="1"/>
  <c r="O1501" i="1"/>
  <c r="P1501" i="1"/>
  <c r="Q1501" i="1"/>
  <c r="R1501" i="1"/>
  <c r="S1501" i="1"/>
  <c r="T1501" i="1"/>
  <c r="U1501" i="1"/>
  <c r="V1501" i="1"/>
  <c r="W1501" i="1"/>
  <c r="X1501" i="1"/>
  <c r="Y1501" i="1"/>
  <c r="Z1501" i="1"/>
  <c r="A1502" i="1"/>
  <c r="B1502" i="1"/>
  <c r="C1502" i="1"/>
  <c r="D1502" i="1"/>
  <c r="E1502" i="1"/>
  <c r="F1502" i="1"/>
  <c r="G1502" i="1"/>
  <c r="I1502" i="1"/>
  <c r="J1502" i="1"/>
  <c r="K1502" i="1"/>
  <c r="L1502" i="1"/>
  <c r="M1502" i="1"/>
  <c r="N1502" i="1"/>
  <c r="O1502" i="1"/>
  <c r="P1502" i="1"/>
  <c r="Q1502" i="1"/>
  <c r="R1502" i="1"/>
  <c r="S1502" i="1"/>
  <c r="T1502" i="1"/>
  <c r="U1502" i="1"/>
  <c r="V1502" i="1"/>
  <c r="W1502" i="1"/>
  <c r="X1502" i="1"/>
  <c r="Y1502" i="1"/>
  <c r="Z1502" i="1"/>
  <c r="A1503" i="1"/>
  <c r="B1503" i="1"/>
  <c r="C1503" i="1"/>
  <c r="D1503" i="1"/>
  <c r="E1503" i="1"/>
  <c r="F1503" i="1"/>
  <c r="G1503" i="1"/>
  <c r="I1503" i="1"/>
  <c r="J1503" i="1"/>
  <c r="K1503" i="1"/>
  <c r="L1503" i="1"/>
  <c r="M1503" i="1"/>
  <c r="N1503" i="1"/>
  <c r="O1503" i="1"/>
  <c r="P1503" i="1"/>
  <c r="Q1503" i="1"/>
  <c r="R1503" i="1"/>
  <c r="S1503" i="1"/>
  <c r="T1503" i="1"/>
  <c r="U1503" i="1"/>
  <c r="V1503" i="1"/>
  <c r="W1503" i="1"/>
  <c r="X1503" i="1"/>
  <c r="Y1503" i="1"/>
  <c r="Z1503" i="1"/>
  <c r="A1504" i="1"/>
  <c r="B1504" i="1"/>
  <c r="C1504" i="1"/>
  <c r="D1504" i="1"/>
  <c r="E1504" i="1"/>
  <c r="F1504" i="1"/>
  <c r="G1504" i="1"/>
  <c r="I1504" i="1"/>
  <c r="J1504" i="1"/>
  <c r="K1504" i="1"/>
  <c r="L1504" i="1"/>
  <c r="M1504" i="1"/>
  <c r="N1504" i="1"/>
  <c r="O1504" i="1"/>
  <c r="P1504" i="1"/>
  <c r="Q1504" i="1"/>
  <c r="R1504" i="1"/>
  <c r="S1504" i="1"/>
  <c r="T1504" i="1"/>
  <c r="U1504" i="1"/>
  <c r="V1504" i="1"/>
  <c r="W1504" i="1"/>
  <c r="X1504" i="1"/>
  <c r="Y1504" i="1"/>
  <c r="Z1504" i="1"/>
  <c r="A1505" i="1"/>
  <c r="B1505" i="1"/>
  <c r="C1505" i="1"/>
  <c r="D1505" i="1"/>
  <c r="E1505" i="1"/>
  <c r="F1505" i="1"/>
  <c r="G1505" i="1"/>
  <c r="I1505" i="1"/>
  <c r="J1505" i="1"/>
  <c r="K1505" i="1"/>
  <c r="L1505" i="1"/>
  <c r="M1505" i="1"/>
  <c r="N1505" i="1"/>
  <c r="O1505" i="1"/>
  <c r="P1505" i="1"/>
  <c r="Q1505" i="1"/>
  <c r="R1505" i="1"/>
  <c r="S1505" i="1"/>
  <c r="T1505" i="1"/>
  <c r="U1505" i="1"/>
  <c r="V1505" i="1"/>
  <c r="W1505" i="1"/>
  <c r="X1505" i="1"/>
  <c r="Y1505" i="1"/>
  <c r="Z1505" i="1"/>
  <c r="A1506" i="1"/>
  <c r="B1506" i="1"/>
  <c r="C1506" i="1"/>
  <c r="D1506" i="1"/>
  <c r="E1506" i="1"/>
  <c r="F1506" i="1"/>
  <c r="G1506" i="1"/>
  <c r="I1506" i="1"/>
  <c r="J1506" i="1"/>
  <c r="K1506" i="1"/>
  <c r="L1506" i="1"/>
  <c r="M1506" i="1"/>
  <c r="N1506" i="1"/>
  <c r="O1506" i="1"/>
  <c r="P1506" i="1"/>
  <c r="Q1506" i="1"/>
  <c r="R1506" i="1"/>
  <c r="S1506" i="1"/>
  <c r="T1506" i="1"/>
  <c r="U1506" i="1"/>
  <c r="V1506" i="1"/>
  <c r="W1506" i="1"/>
  <c r="X1506" i="1"/>
  <c r="Y1506" i="1"/>
  <c r="Z1506" i="1"/>
  <c r="A1507" i="1"/>
  <c r="B1507" i="1"/>
  <c r="C1507" i="1"/>
  <c r="D1507" i="1"/>
  <c r="E1507" i="1"/>
  <c r="F1507" i="1"/>
  <c r="G1507" i="1"/>
  <c r="I1507" i="1"/>
  <c r="J1507" i="1"/>
  <c r="K1507" i="1"/>
  <c r="L1507" i="1"/>
  <c r="M1507" i="1"/>
  <c r="N1507" i="1"/>
  <c r="O1507" i="1"/>
  <c r="P1507" i="1"/>
  <c r="Q1507" i="1"/>
  <c r="R1507" i="1"/>
  <c r="S1507" i="1"/>
  <c r="T1507" i="1"/>
  <c r="U1507" i="1"/>
  <c r="V1507" i="1"/>
  <c r="W1507" i="1"/>
  <c r="X1507" i="1"/>
  <c r="Y1507" i="1"/>
  <c r="Z1507" i="1"/>
  <c r="A1508" i="1"/>
  <c r="B1508" i="1"/>
  <c r="C1508" i="1"/>
  <c r="D1508" i="1"/>
  <c r="E1508" i="1"/>
  <c r="F1508" i="1"/>
  <c r="G1508" i="1"/>
  <c r="I1508" i="1"/>
  <c r="J1508" i="1"/>
  <c r="K1508" i="1"/>
  <c r="L1508" i="1"/>
  <c r="M1508" i="1"/>
  <c r="N1508" i="1"/>
  <c r="O1508" i="1"/>
  <c r="P1508" i="1"/>
  <c r="Q1508" i="1"/>
  <c r="R1508" i="1"/>
  <c r="S1508" i="1"/>
  <c r="T1508" i="1"/>
  <c r="U1508" i="1"/>
  <c r="V1508" i="1"/>
  <c r="W1508" i="1"/>
  <c r="X1508" i="1"/>
  <c r="Y1508" i="1"/>
  <c r="Z1508" i="1"/>
  <c r="A1509" i="1"/>
  <c r="B1509" i="1"/>
  <c r="C1509" i="1"/>
  <c r="D1509" i="1"/>
  <c r="E1509" i="1"/>
  <c r="F1509" i="1"/>
  <c r="G1509" i="1"/>
  <c r="I1509" i="1"/>
  <c r="J1509" i="1"/>
  <c r="K1509" i="1"/>
  <c r="L1509" i="1"/>
  <c r="M1509" i="1"/>
  <c r="N1509" i="1"/>
  <c r="O1509" i="1"/>
  <c r="P1509" i="1"/>
  <c r="Q1509" i="1"/>
  <c r="R1509" i="1"/>
  <c r="S1509" i="1"/>
  <c r="T1509" i="1"/>
  <c r="U1509" i="1"/>
  <c r="V1509" i="1"/>
  <c r="W1509" i="1"/>
  <c r="X1509" i="1"/>
  <c r="Y1509" i="1"/>
  <c r="Z1509" i="1"/>
  <c r="A1510" i="1"/>
  <c r="B1510" i="1"/>
  <c r="C1510" i="1"/>
  <c r="D1510" i="1"/>
  <c r="E1510" i="1"/>
  <c r="F1510" i="1"/>
  <c r="G1510" i="1"/>
  <c r="I1510" i="1"/>
  <c r="J1510" i="1"/>
  <c r="K1510" i="1"/>
  <c r="L1510" i="1"/>
  <c r="M1510" i="1"/>
  <c r="N1510" i="1"/>
  <c r="O1510" i="1"/>
  <c r="P1510" i="1"/>
  <c r="Q1510" i="1"/>
  <c r="R1510" i="1"/>
  <c r="S1510" i="1"/>
  <c r="T1510" i="1"/>
  <c r="U1510" i="1"/>
  <c r="V1510" i="1"/>
  <c r="W1510" i="1"/>
  <c r="X1510" i="1"/>
  <c r="Y1510" i="1"/>
  <c r="Z1510" i="1"/>
  <c r="A1511" i="1"/>
  <c r="B1511" i="1"/>
  <c r="C1511" i="1"/>
  <c r="D1511" i="1"/>
  <c r="E1511" i="1"/>
  <c r="F1511" i="1"/>
  <c r="G1511" i="1"/>
  <c r="I1511" i="1"/>
  <c r="J1511" i="1"/>
  <c r="K1511" i="1"/>
  <c r="L1511" i="1"/>
  <c r="M1511" i="1"/>
  <c r="N1511" i="1"/>
  <c r="O1511" i="1"/>
  <c r="P1511" i="1"/>
  <c r="Q1511" i="1"/>
  <c r="R1511" i="1"/>
  <c r="S1511" i="1"/>
  <c r="T1511" i="1"/>
  <c r="U1511" i="1"/>
  <c r="V1511" i="1"/>
  <c r="W1511" i="1"/>
  <c r="X1511" i="1"/>
  <c r="Y1511" i="1"/>
  <c r="Z1511" i="1"/>
  <c r="A1512" i="1"/>
  <c r="B1512" i="1"/>
  <c r="C1512" i="1"/>
  <c r="D1512" i="1"/>
  <c r="E1512" i="1"/>
  <c r="F1512" i="1"/>
  <c r="G1512" i="1"/>
  <c r="I1512" i="1"/>
  <c r="J1512" i="1"/>
  <c r="K1512" i="1"/>
  <c r="L1512" i="1"/>
  <c r="M1512" i="1"/>
  <c r="N1512" i="1"/>
  <c r="O1512" i="1"/>
  <c r="P1512" i="1"/>
  <c r="Q1512" i="1"/>
  <c r="R1512" i="1"/>
  <c r="S1512" i="1"/>
  <c r="T1512" i="1"/>
  <c r="U1512" i="1"/>
  <c r="V1512" i="1"/>
  <c r="W1512" i="1"/>
  <c r="X1512" i="1"/>
  <c r="Y1512" i="1"/>
  <c r="Z1512" i="1"/>
  <c r="A1513" i="1"/>
  <c r="B1513" i="1"/>
  <c r="C1513" i="1"/>
  <c r="D1513" i="1"/>
  <c r="E1513" i="1"/>
  <c r="F1513" i="1"/>
  <c r="G1513" i="1"/>
  <c r="I1513" i="1"/>
  <c r="J1513" i="1"/>
  <c r="K1513" i="1"/>
  <c r="L1513" i="1"/>
  <c r="M1513" i="1"/>
  <c r="N1513" i="1"/>
  <c r="O1513" i="1"/>
  <c r="P1513" i="1"/>
  <c r="Q1513" i="1"/>
  <c r="R1513" i="1"/>
  <c r="S1513" i="1"/>
  <c r="T1513" i="1"/>
  <c r="U1513" i="1"/>
  <c r="V1513" i="1"/>
  <c r="W1513" i="1"/>
  <c r="X1513" i="1"/>
  <c r="Y1513" i="1"/>
  <c r="Z1513" i="1"/>
  <c r="A1514" i="1"/>
  <c r="B1514" i="1"/>
  <c r="C1514" i="1"/>
  <c r="D1514" i="1"/>
  <c r="E1514" i="1"/>
  <c r="F1514" i="1"/>
  <c r="G1514" i="1"/>
  <c r="I1514" i="1"/>
  <c r="J1514" i="1"/>
  <c r="K1514" i="1"/>
  <c r="L1514" i="1"/>
  <c r="M1514" i="1"/>
  <c r="N1514" i="1"/>
  <c r="O1514" i="1"/>
  <c r="P1514" i="1"/>
  <c r="Q1514" i="1"/>
  <c r="R1514" i="1"/>
  <c r="S1514" i="1"/>
  <c r="T1514" i="1"/>
  <c r="U1514" i="1"/>
  <c r="V1514" i="1"/>
  <c r="W1514" i="1"/>
  <c r="X1514" i="1"/>
  <c r="Y1514" i="1"/>
  <c r="Z1514" i="1"/>
  <c r="A1515" i="1"/>
  <c r="B1515" i="1"/>
  <c r="C1515" i="1"/>
  <c r="D1515" i="1"/>
  <c r="E1515" i="1"/>
  <c r="F1515" i="1"/>
  <c r="G1515" i="1"/>
  <c r="I1515" i="1"/>
  <c r="J1515" i="1"/>
  <c r="K1515" i="1"/>
  <c r="L1515" i="1"/>
  <c r="M1515" i="1"/>
  <c r="N1515" i="1"/>
  <c r="O1515" i="1"/>
  <c r="P1515" i="1"/>
  <c r="Q1515" i="1"/>
  <c r="R1515" i="1"/>
  <c r="S1515" i="1"/>
  <c r="T1515" i="1"/>
  <c r="U1515" i="1"/>
  <c r="V1515" i="1"/>
  <c r="W1515" i="1"/>
  <c r="X1515" i="1"/>
  <c r="Y1515" i="1"/>
  <c r="Z1515" i="1"/>
  <c r="A1516" i="1"/>
  <c r="B1516" i="1"/>
  <c r="C1516" i="1"/>
  <c r="D1516" i="1"/>
  <c r="E1516" i="1"/>
  <c r="F1516" i="1"/>
  <c r="G1516" i="1"/>
  <c r="I1516" i="1"/>
  <c r="J1516" i="1"/>
  <c r="K1516" i="1"/>
  <c r="L1516" i="1"/>
  <c r="M1516" i="1"/>
  <c r="N1516" i="1"/>
  <c r="O1516" i="1"/>
  <c r="P1516" i="1"/>
  <c r="Q1516" i="1"/>
  <c r="R1516" i="1"/>
  <c r="S1516" i="1"/>
  <c r="T1516" i="1"/>
  <c r="U1516" i="1"/>
  <c r="V1516" i="1"/>
  <c r="W1516" i="1"/>
  <c r="X1516" i="1"/>
  <c r="Y1516" i="1"/>
  <c r="Z1516" i="1"/>
  <c r="A1517" i="1"/>
  <c r="B1517" i="1"/>
  <c r="C1517" i="1"/>
  <c r="D1517" i="1"/>
  <c r="E1517" i="1"/>
  <c r="F1517" i="1"/>
  <c r="G1517" i="1"/>
  <c r="I1517" i="1"/>
  <c r="J1517" i="1"/>
  <c r="K1517" i="1"/>
  <c r="L1517" i="1"/>
  <c r="M1517" i="1"/>
  <c r="N1517" i="1"/>
  <c r="O1517" i="1"/>
  <c r="P1517" i="1"/>
  <c r="Q1517" i="1"/>
  <c r="R1517" i="1"/>
  <c r="S1517" i="1"/>
  <c r="T1517" i="1"/>
  <c r="U1517" i="1"/>
  <c r="V1517" i="1"/>
  <c r="W1517" i="1"/>
  <c r="X1517" i="1"/>
  <c r="Y1517" i="1"/>
  <c r="Z1517" i="1"/>
  <c r="A1518" i="1"/>
  <c r="B1518" i="1"/>
  <c r="C1518" i="1"/>
  <c r="D1518" i="1"/>
  <c r="E1518" i="1"/>
  <c r="F1518" i="1"/>
  <c r="G1518" i="1"/>
  <c r="I1518" i="1"/>
  <c r="J1518" i="1"/>
  <c r="K1518" i="1"/>
  <c r="L1518" i="1"/>
  <c r="M1518" i="1"/>
  <c r="N1518" i="1"/>
  <c r="O1518" i="1"/>
  <c r="P1518" i="1"/>
  <c r="Q1518" i="1"/>
  <c r="R1518" i="1"/>
  <c r="S1518" i="1"/>
  <c r="T1518" i="1"/>
  <c r="U1518" i="1"/>
  <c r="V1518" i="1"/>
  <c r="W1518" i="1"/>
  <c r="X1518" i="1"/>
  <c r="Y1518" i="1"/>
  <c r="Z1518" i="1"/>
  <c r="A1519" i="1"/>
  <c r="B1519" i="1"/>
  <c r="C1519" i="1"/>
  <c r="D1519" i="1"/>
  <c r="E1519" i="1"/>
  <c r="F1519" i="1"/>
  <c r="G1519" i="1"/>
  <c r="I1519" i="1"/>
  <c r="J1519" i="1"/>
  <c r="K1519" i="1"/>
  <c r="L1519" i="1"/>
  <c r="M1519" i="1"/>
  <c r="N1519" i="1"/>
  <c r="O1519" i="1"/>
  <c r="P1519" i="1"/>
  <c r="Q1519" i="1"/>
  <c r="R1519" i="1"/>
  <c r="S1519" i="1"/>
  <c r="T1519" i="1"/>
  <c r="U1519" i="1"/>
  <c r="V1519" i="1"/>
  <c r="W1519" i="1"/>
  <c r="X1519" i="1"/>
  <c r="Y1519" i="1"/>
  <c r="Z1519" i="1"/>
  <c r="A1520" i="1"/>
  <c r="B1520" i="1"/>
  <c r="C1520" i="1"/>
  <c r="D1520" i="1"/>
  <c r="E1520" i="1"/>
  <c r="F1520" i="1"/>
  <c r="G1520" i="1"/>
  <c r="I1520" i="1"/>
  <c r="J1520" i="1"/>
  <c r="K1520" i="1"/>
  <c r="L1520" i="1"/>
  <c r="M1520" i="1"/>
  <c r="N1520" i="1"/>
  <c r="O1520" i="1"/>
  <c r="P1520" i="1"/>
  <c r="Q1520" i="1"/>
  <c r="R1520" i="1"/>
  <c r="S1520" i="1"/>
  <c r="T1520" i="1"/>
  <c r="U1520" i="1"/>
  <c r="V1520" i="1"/>
  <c r="W1520" i="1"/>
  <c r="X1520" i="1"/>
  <c r="Y1520" i="1"/>
  <c r="Z1520" i="1"/>
  <c r="A1521" i="1"/>
  <c r="B1521" i="1"/>
  <c r="C1521" i="1"/>
  <c r="D1521" i="1"/>
  <c r="E1521" i="1"/>
  <c r="F1521" i="1"/>
  <c r="G1521" i="1"/>
  <c r="I1521" i="1"/>
  <c r="J1521" i="1"/>
  <c r="K1521" i="1"/>
  <c r="L1521" i="1"/>
  <c r="M1521" i="1"/>
  <c r="N1521" i="1"/>
  <c r="O1521" i="1"/>
  <c r="P1521" i="1"/>
  <c r="Q1521" i="1"/>
  <c r="R1521" i="1"/>
  <c r="S1521" i="1"/>
  <c r="T1521" i="1"/>
  <c r="U1521" i="1"/>
  <c r="V1521" i="1"/>
  <c r="W1521" i="1"/>
  <c r="X1521" i="1"/>
  <c r="Y1521" i="1"/>
  <c r="Z1521" i="1"/>
  <c r="A1522" i="1"/>
  <c r="B1522" i="1"/>
  <c r="C1522" i="1"/>
  <c r="D1522" i="1"/>
  <c r="E1522" i="1"/>
  <c r="F1522" i="1"/>
  <c r="G1522" i="1"/>
  <c r="I1522" i="1"/>
  <c r="J1522" i="1"/>
  <c r="K1522" i="1"/>
  <c r="L1522" i="1"/>
  <c r="M1522" i="1"/>
  <c r="N1522" i="1"/>
  <c r="O1522" i="1"/>
  <c r="P1522" i="1"/>
  <c r="Q1522" i="1"/>
  <c r="R1522" i="1"/>
  <c r="S1522" i="1"/>
  <c r="T1522" i="1"/>
  <c r="U1522" i="1"/>
  <c r="V1522" i="1"/>
  <c r="W1522" i="1"/>
  <c r="X1522" i="1"/>
  <c r="Y1522" i="1"/>
  <c r="Z1522" i="1"/>
  <c r="A1523" i="1"/>
  <c r="B1523" i="1"/>
  <c r="C1523" i="1"/>
  <c r="D1523" i="1"/>
  <c r="E1523" i="1"/>
  <c r="F1523" i="1"/>
  <c r="G1523" i="1"/>
  <c r="I1523" i="1"/>
  <c r="J1523" i="1"/>
  <c r="K1523" i="1"/>
  <c r="L1523" i="1"/>
  <c r="M1523" i="1"/>
  <c r="N1523" i="1"/>
  <c r="O1523" i="1"/>
  <c r="P1523" i="1"/>
  <c r="Q1523" i="1"/>
  <c r="R1523" i="1"/>
  <c r="S1523" i="1"/>
  <c r="T1523" i="1"/>
  <c r="U1523" i="1"/>
  <c r="V1523" i="1"/>
  <c r="W1523" i="1"/>
  <c r="X1523" i="1"/>
  <c r="Y1523" i="1"/>
  <c r="Z1523" i="1"/>
  <c r="A1524" i="1"/>
  <c r="B1524" i="1"/>
  <c r="C1524" i="1"/>
  <c r="D1524" i="1"/>
  <c r="E1524" i="1"/>
  <c r="F1524" i="1"/>
  <c r="G1524" i="1"/>
  <c r="I1524" i="1"/>
  <c r="J1524" i="1"/>
  <c r="K1524" i="1"/>
  <c r="L1524" i="1"/>
  <c r="M1524" i="1"/>
  <c r="N1524" i="1"/>
  <c r="O1524" i="1"/>
  <c r="P1524" i="1"/>
  <c r="Q1524" i="1"/>
  <c r="R1524" i="1"/>
  <c r="S1524" i="1"/>
  <c r="T1524" i="1"/>
  <c r="U1524" i="1"/>
  <c r="V1524" i="1"/>
  <c r="W1524" i="1"/>
  <c r="X1524" i="1"/>
  <c r="Y1524" i="1"/>
  <c r="Z1524" i="1"/>
  <c r="A1525" i="1"/>
  <c r="B1525" i="1"/>
  <c r="C1525" i="1"/>
  <c r="D1525" i="1"/>
  <c r="E1525" i="1"/>
  <c r="F1525" i="1"/>
  <c r="G1525" i="1"/>
  <c r="I1525" i="1"/>
  <c r="J1525" i="1"/>
  <c r="K1525" i="1"/>
  <c r="L1525" i="1"/>
  <c r="M1525" i="1"/>
  <c r="N1525" i="1"/>
  <c r="O1525" i="1"/>
  <c r="P1525" i="1"/>
  <c r="Q1525" i="1"/>
  <c r="R1525" i="1"/>
  <c r="S1525" i="1"/>
  <c r="T1525" i="1"/>
  <c r="U1525" i="1"/>
  <c r="V1525" i="1"/>
  <c r="W1525" i="1"/>
  <c r="X1525" i="1"/>
  <c r="Y1525" i="1"/>
  <c r="Z1525" i="1"/>
  <c r="A1526" i="1"/>
  <c r="B1526" i="1"/>
  <c r="C1526" i="1"/>
  <c r="D1526" i="1"/>
  <c r="E1526" i="1"/>
  <c r="F1526" i="1"/>
  <c r="G1526" i="1"/>
  <c r="I1526" i="1"/>
  <c r="J1526" i="1"/>
  <c r="K1526" i="1"/>
  <c r="L1526" i="1"/>
  <c r="M1526" i="1"/>
  <c r="N1526" i="1"/>
  <c r="O1526" i="1"/>
  <c r="P1526" i="1"/>
  <c r="Q1526" i="1"/>
  <c r="R1526" i="1"/>
  <c r="S1526" i="1"/>
  <c r="T1526" i="1"/>
  <c r="U1526" i="1"/>
  <c r="V1526" i="1"/>
  <c r="W1526" i="1"/>
  <c r="X1526" i="1"/>
  <c r="Y1526" i="1"/>
  <c r="Z1526" i="1"/>
  <c r="A1527" i="1"/>
  <c r="B1527" i="1"/>
  <c r="C1527" i="1"/>
  <c r="D1527" i="1"/>
  <c r="E1527" i="1"/>
  <c r="F1527" i="1"/>
  <c r="G1527" i="1"/>
  <c r="I1527" i="1"/>
  <c r="J1527" i="1"/>
  <c r="K1527" i="1"/>
  <c r="L1527" i="1"/>
  <c r="M1527" i="1"/>
  <c r="N1527" i="1"/>
  <c r="O1527" i="1"/>
  <c r="P1527" i="1"/>
  <c r="Q1527" i="1"/>
  <c r="R1527" i="1"/>
  <c r="S1527" i="1"/>
  <c r="T1527" i="1"/>
  <c r="U1527" i="1"/>
  <c r="V1527" i="1"/>
  <c r="W1527" i="1"/>
  <c r="X1527" i="1"/>
  <c r="Y1527" i="1"/>
  <c r="Z1527" i="1"/>
  <c r="A1528" i="1"/>
  <c r="B1528" i="1"/>
  <c r="C1528" i="1"/>
  <c r="D1528" i="1"/>
  <c r="E1528" i="1"/>
  <c r="F1528" i="1"/>
  <c r="G1528" i="1"/>
  <c r="I1528" i="1"/>
  <c r="J1528" i="1"/>
  <c r="K1528" i="1"/>
  <c r="L1528" i="1"/>
  <c r="M1528" i="1"/>
  <c r="N1528" i="1"/>
  <c r="O1528" i="1"/>
  <c r="P1528" i="1"/>
  <c r="Q1528" i="1"/>
  <c r="R1528" i="1"/>
  <c r="S1528" i="1"/>
  <c r="T1528" i="1"/>
  <c r="U1528" i="1"/>
  <c r="V1528" i="1"/>
  <c r="W1528" i="1"/>
  <c r="X1528" i="1"/>
  <c r="Y1528" i="1"/>
  <c r="Z1528" i="1"/>
  <c r="A1529" i="1"/>
  <c r="B1529" i="1"/>
  <c r="C1529" i="1"/>
  <c r="D1529" i="1"/>
  <c r="E1529" i="1"/>
  <c r="F1529" i="1"/>
  <c r="G1529" i="1"/>
  <c r="I1529" i="1"/>
  <c r="J1529" i="1"/>
  <c r="K1529" i="1"/>
  <c r="L1529" i="1"/>
  <c r="M1529" i="1"/>
  <c r="N1529" i="1"/>
  <c r="O1529" i="1"/>
  <c r="P1529" i="1"/>
  <c r="Q1529" i="1"/>
  <c r="R1529" i="1"/>
  <c r="S1529" i="1"/>
  <c r="T1529" i="1"/>
  <c r="U1529" i="1"/>
  <c r="V1529" i="1"/>
  <c r="W1529" i="1"/>
  <c r="X1529" i="1"/>
  <c r="Y1529" i="1"/>
  <c r="Z1529" i="1"/>
  <c r="A1530" i="1"/>
  <c r="B1530" i="1"/>
  <c r="C1530" i="1"/>
  <c r="D1530" i="1"/>
  <c r="E1530" i="1"/>
  <c r="F1530" i="1"/>
  <c r="G1530" i="1"/>
  <c r="I1530" i="1"/>
  <c r="J1530" i="1"/>
  <c r="K1530" i="1"/>
  <c r="L1530" i="1"/>
  <c r="M1530" i="1"/>
  <c r="N1530" i="1"/>
  <c r="O1530" i="1"/>
  <c r="P1530" i="1"/>
  <c r="Q1530" i="1"/>
  <c r="R1530" i="1"/>
  <c r="S1530" i="1"/>
  <c r="T1530" i="1"/>
  <c r="U1530" i="1"/>
  <c r="V1530" i="1"/>
  <c r="W1530" i="1"/>
  <c r="X1530" i="1"/>
  <c r="Y1530" i="1"/>
  <c r="Z1530" i="1"/>
  <c r="A1531" i="1"/>
  <c r="B1531" i="1"/>
  <c r="C1531" i="1"/>
  <c r="D1531" i="1"/>
  <c r="E1531" i="1"/>
  <c r="F1531" i="1"/>
  <c r="G1531" i="1"/>
  <c r="I1531" i="1"/>
  <c r="J1531" i="1"/>
  <c r="K1531" i="1"/>
  <c r="L1531" i="1"/>
  <c r="M1531" i="1"/>
  <c r="N1531" i="1"/>
  <c r="O1531" i="1"/>
  <c r="P1531" i="1"/>
  <c r="Q1531" i="1"/>
  <c r="R1531" i="1"/>
  <c r="S1531" i="1"/>
  <c r="T1531" i="1"/>
  <c r="U1531" i="1"/>
  <c r="V1531" i="1"/>
  <c r="W1531" i="1"/>
  <c r="X1531" i="1"/>
  <c r="Y1531" i="1"/>
  <c r="Z1531" i="1"/>
  <c r="A1532" i="1"/>
  <c r="B1532" i="1"/>
  <c r="C1532" i="1"/>
  <c r="D1532" i="1"/>
  <c r="E1532" i="1"/>
  <c r="F1532" i="1"/>
  <c r="G1532" i="1"/>
  <c r="I1532" i="1"/>
  <c r="J1532" i="1"/>
  <c r="K1532" i="1"/>
  <c r="L1532" i="1"/>
  <c r="M1532" i="1"/>
  <c r="N1532" i="1"/>
  <c r="O1532" i="1"/>
  <c r="P1532" i="1"/>
  <c r="Q1532" i="1"/>
  <c r="R1532" i="1"/>
  <c r="S1532" i="1"/>
  <c r="T1532" i="1"/>
  <c r="U1532" i="1"/>
  <c r="V1532" i="1"/>
  <c r="W1532" i="1"/>
  <c r="X1532" i="1"/>
  <c r="Y1532" i="1"/>
  <c r="Z1532" i="1"/>
  <c r="A1533" i="1"/>
  <c r="B1533" i="1"/>
  <c r="C1533" i="1"/>
  <c r="D1533" i="1"/>
  <c r="E1533" i="1"/>
  <c r="F1533" i="1"/>
  <c r="G1533" i="1"/>
  <c r="I1533" i="1"/>
  <c r="J1533" i="1"/>
  <c r="K1533" i="1"/>
  <c r="L1533" i="1"/>
  <c r="M1533" i="1"/>
  <c r="N1533" i="1"/>
  <c r="O1533" i="1"/>
  <c r="P1533" i="1"/>
  <c r="Q1533" i="1"/>
  <c r="R1533" i="1"/>
  <c r="S1533" i="1"/>
  <c r="T1533" i="1"/>
  <c r="U1533" i="1"/>
  <c r="V1533" i="1"/>
  <c r="W1533" i="1"/>
  <c r="X1533" i="1"/>
  <c r="Y1533" i="1"/>
  <c r="Z1533" i="1"/>
  <c r="A1534" i="1"/>
  <c r="B1534" i="1"/>
  <c r="C1534" i="1"/>
  <c r="D1534" i="1"/>
  <c r="E1534" i="1"/>
  <c r="F1534" i="1"/>
  <c r="G1534" i="1"/>
  <c r="I1534" i="1"/>
  <c r="J1534" i="1"/>
  <c r="K1534" i="1"/>
  <c r="L1534" i="1"/>
  <c r="M1534" i="1"/>
  <c r="N1534" i="1"/>
  <c r="O1534" i="1"/>
  <c r="P1534" i="1"/>
  <c r="Q1534" i="1"/>
  <c r="R1534" i="1"/>
  <c r="S1534" i="1"/>
  <c r="T1534" i="1"/>
  <c r="U1534" i="1"/>
  <c r="V1534" i="1"/>
  <c r="W1534" i="1"/>
  <c r="X1534" i="1"/>
  <c r="Y1534" i="1"/>
  <c r="Z1534" i="1"/>
  <c r="A1535" i="1"/>
  <c r="B1535" i="1"/>
  <c r="C1535" i="1"/>
  <c r="D1535" i="1"/>
  <c r="E1535" i="1"/>
  <c r="F1535" i="1"/>
  <c r="G1535" i="1"/>
  <c r="I1535" i="1"/>
  <c r="J1535" i="1"/>
  <c r="K1535" i="1"/>
  <c r="L1535" i="1"/>
  <c r="M1535" i="1"/>
  <c r="N1535" i="1"/>
  <c r="O1535" i="1"/>
  <c r="P1535" i="1"/>
  <c r="Q1535" i="1"/>
  <c r="R1535" i="1"/>
  <c r="S1535" i="1"/>
  <c r="T1535" i="1"/>
  <c r="U1535" i="1"/>
  <c r="V1535" i="1"/>
  <c r="W1535" i="1"/>
  <c r="X1535" i="1"/>
  <c r="Y1535" i="1"/>
  <c r="Z1535" i="1"/>
  <c r="A1536" i="1"/>
  <c r="B1536" i="1"/>
  <c r="C1536" i="1"/>
  <c r="D1536" i="1"/>
  <c r="E1536" i="1"/>
  <c r="F1536" i="1"/>
  <c r="G1536" i="1"/>
  <c r="I1536" i="1"/>
  <c r="J1536" i="1"/>
  <c r="K1536" i="1"/>
  <c r="L1536" i="1"/>
  <c r="M1536" i="1"/>
  <c r="N1536" i="1"/>
  <c r="O1536" i="1"/>
  <c r="P1536" i="1"/>
  <c r="Q1536" i="1"/>
  <c r="R1536" i="1"/>
  <c r="S1536" i="1"/>
  <c r="T1536" i="1"/>
  <c r="U1536" i="1"/>
  <c r="V1536" i="1"/>
  <c r="W1536" i="1"/>
  <c r="X1536" i="1"/>
  <c r="Y1536" i="1"/>
  <c r="Z1536" i="1"/>
  <c r="A1537" i="1"/>
  <c r="B1537" i="1"/>
  <c r="C1537" i="1"/>
  <c r="D1537" i="1"/>
  <c r="E1537" i="1"/>
  <c r="F1537" i="1"/>
  <c r="G1537" i="1"/>
  <c r="I1537" i="1"/>
  <c r="J1537" i="1"/>
  <c r="K1537" i="1"/>
  <c r="L1537" i="1"/>
  <c r="M1537" i="1"/>
  <c r="N1537" i="1"/>
  <c r="O1537" i="1"/>
  <c r="P1537" i="1"/>
  <c r="Q1537" i="1"/>
  <c r="R1537" i="1"/>
  <c r="S1537" i="1"/>
  <c r="T1537" i="1"/>
  <c r="U1537" i="1"/>
  <c r="V1537" i="1"/>
  <c r="W1537" i="1"/>
  <c r="X1537" i="1"/>
  <c r="Y1537" i="1"/>
  <c r="Z1537" i="1"/>
  <c r="A1538" i="1"/>
  <c r="B1538" i="1"/>
  <c r="C1538" i="1"/>
  <c r="D1538" i="1"/>
  <c r="E1538" i="1"/>
  <c r="F1538" i="1"/>
  <c r="G1538" i="1"/>
  <c r="I1538" i="1"/>
  <c r="J1538" i="1"/>
  <c r="K1538" i="1"/>
  <c r="L1538" i="1"/>
  <c r="M1538" i="1"/>
  <c r="N1538" i="1"/>
  <c r="O1538" i="1"/>
  <c r="P1538" i="1"/>
  <c r="Q1538" i="1"/>
  <c r="R1538" i="1"/>
  <c r="S1538" i="1"/>
  <c r="T1538" i="1"/>
  <c r="U1538" i="1"/>
  <c r="V1538" i="1"/>
  <c r="W1538" i="1"/>
  <c r="X1538" i="1"/>
  <c r="Y1538" i="1"/>
  <c r="Z1538" i="1"/>
  <c r="A1539" i="1"/>
  <c r="B1539" i="1"/>
  <c r="C1539" i="1"/>
  <c r="D1539" i="1"/>
  <c r="E1539" i="1"/>
  <c r="F1539" i="1"/>
  <c r="G1539" i="1"/>
  <c r="I1539" i="1"/>
  <c r="J1539" i="1"/>
  <c r="K1539" i="1"/>
  <c r="L1539" i="1"/>
  <c r="M1539" i="1"/>
  <c r="N1539" i="1"/>
  <c r="O1539" i="1"/>
  <c r="P1539" i="1"/>
  <c r="Q1539" i="1"/>
  <c r="R1539" i="1"/>
  <c r="S1539" i="1"/>
  <c r="T1539" i="1"/>
  <c r="U1539" i="1"/>
  <c r="V1539" i="1"/>
  <c r="W1539" i="1"/>
  <c r="X1539" i="1"/>
  <c r="Y1539" i="1"/>
  <c r="Z1539" i="1"/>
  <c r="A1540" i="1"/>
  <c r="B1540" i="1"/>
  <c r="C1540" i="1"/>
  <c r="D1540" i="1"/>
  <c r="E1540" i="1"/>
  <c r="F1540" i="1"/>
  <c r="G1540" i="1"/>
  <c r="I1540" i="1"/>
  <c r="J1540" i="1"/>
  <c r="K1540" i="1"/>
  <c r="L1540" i="1"/>
  <c r="M1540" i="1"/>
  <c r="N1540" i="1"/>
  <c r="O1540" i="1"/>
  <c r="P1540" i="1"/>
  <c r="Q1540" i="1"/>
  <c r="R1540" i="1"/>
  <c r="S1540" i="1"/>
  <c r="T1540" i="1"/>
  <c r="U1540" i="1"/>
  <c r="V1540" i="1"/>
  <c r="W1540" i="1"/>
  <c r="X1540" i="1"/>
  <c r="Y1540" i="1"/>
  <c r="Z1540" i="1"/>
  <c r="A1541" i="1"/>
  <c r="B1541" i="1"/>
  <c r="C1541" i="1"/>
  <c r="D1541" i="1"/>
  <c r="E1541" i="1"/>
  <c r="F1541" i="1"/>
  <c r="G1541" i="1"/>
  <c r="I1541" i="1"/>
  <c r="J1541" i="1"/>
  <c r="K1541" i="1"/>
  <c r="L1541" i="1"/>
  <c r="M1541" i="1"/>
  <c r="N1541" i="1"/>
  <c r="O1541" i="1"/>
  <c r="P1541" i="1"/>
  <c r="Q1541" i="1"/>
  <c r="R1541" i="1"/>
  <c r="S1541" i="1"/>
  <c r="T1541" i="1"/>
  <c r="U1541" i="1"/>
  <c r="V1541" i="1"/>
  <c r="W1541" i="1"/>
  <c r="X1541" i="1"/>
  <c r="Y1541" i="1"/>
  <c r="Z1541" i="1"/>
  <c r="A1542" i="1"/>
  <c r="B1542" i="1"/>
  <c r="C1542" i="1"/>
  <c r="D1542" i="1"/>
  <c r="E1542" i="1"/>
  <c r="F1542" i="1"/>
  <c r="G1542" i="1"/>
  <c r="I1542" i="1"/>
  <c r="J1542" i="1"/>
  <c r="K1542" i="1"/>
  <c r="L1542" i="1"/>
  <c r="M1542" i="1"/>
  <c r="N1542" i="1"/>
  <c r="O1542" i="1"/>
  <c r="P1542" i="1"/>
  <c r="Q1542" i="1"/>
  <c r="R1542" i="1"/>
  <c r="S1542" i="1"/>
  <c r="T1542" i="1"/>
  <c r="U1542" i="1"/>
  <c r="V1542" i="1"/>
  <c r="W1542" i="1"/>
  <c r="X1542" i="1"/>
  <c r="Y1542" i="1"/>
  <c r="Z1542" i="1"/>
  <c r="A1543" i="1"/>
  <c r="B1543" i="1"/>
  <c r="C1543" i="1"/>
  <c r="D1543" i="1"/>
  <c r="E1543" i="1"/>
  <c r="F1543" i="1"/>
  <c r="G1543" i="1"/>
  <c r="I1543" i="1"/>
  <c r="J1543" i="1"/>
  <c r="K1543" i="1"/>
  <c r="L1543" i="1"/>
  <c r="M1543" i="1"/>
  <c r="N1543" i="1"/>
  <c r="O1543" i="1"/>
  <c r="P1543" i="1"/>
  <c r="Q1543" i="1"/>
  <c r="R1543" i="1"/>
  <c r="S1543" i="1"/>
  <c r="T1543" i="1"/>
  <c r="U1543" i="1"/>
  <c r="V1543" i="1"/>
  <c r="W1543" i="1"/>
  <c r="X1543" i="1"/>
  <c r="Y1543" i="1"/>
  <c r="Z1543" i="1"/>
  <c r="A1544" i="1"/>
  <c r="B1544" i="1"/>
  <c r="C1544" i="1"/>
  <c r="D1544" i="1"/>
  <c r="E1544" i="1"/>
  <c r="F1544" i="1"/>
  <c r="G1544" i="1"/>
  <c r="I1544" i="1"/>
  <c r="J1544" i="1"/>
  <c r="K1544" i="1"/>
  <c r="L1544" i="1"/>
  <c r="M1544" i="1"/>
  <c r="N1544" i="1"/>
  <c r="O1544" i="1"/>
  <c r="P1544" i="1"/>
  <c r="Q1544" i="1"/>
  <c r="R1544" i="1"/>
  <c r="S1544" i="1"/>
  <c r="T1544" i="1"/>
  <c r="U1544" i="1"/>
  <c r="V1544" i="1"/>
  <c r="W1544" i="1"/>
  <c r="X1544" i="1"/>
  <c r="Y1544" i="1"/>
  <c r="Z1544" i="1"/>
  <c r="A1545" i="1"/>
  <c r="B1545" i="1"/>
  <c r="C1545" i="1"/>
  <c r="D1545" i="1"/>
  <c r="E1545" i="1"/>
  <c r="F1545" i="1"/>
  <c r="G1545" i="1"/>
  <c r="I1545" i="1"/>
  <c r="J1545" i="1"/>
  <c r="K1545" i="1"/>
  <c r="L1545" i="1"/>
  <c r="M1545" i="1"/>
  <c r="N1545" i="1"/>
  <c r="O1545" i="1"/>
  <c r="P1545" i="1"/>
  <c r="Q1545" i="1"/>
  <c r="R1545" i="1"/>
  <c r="S1545" i="1"/>
  <c r="T1545" i="1"/>
  <c r="U1545" i="1"/>
  <c r="V1545" i="1"/>
  <c r="W1545" i="1"/>
  <c r="X1545" i="1"/>
  <c r="Y1545" i="1"/>
  <c r="Z1545" i="1"/>
  <c r="A1546" i="1"/>
  <c r="B1546" i="1"/>
  <c r="C1546" i="1"/>
  <c r="D1546" i="1"/>
  <c r="E1546" i="1"/>
  <c r="F1546" i="1"/>
  <c r="G1546" i="1"/>
  <c r="I1546" i="1"/>
  <c r="J1546" i="1"/>
  <c r="K1546" i="1"/>
  <c r="L1546" i="1"/>
  <c r="M1546" i="1"/>
  <c r="N1546" i="1"/>
  <c r="O1546" i="1"/>
  <c r="P1546" i="1"/>
  <c r="Q1546" i="1"/>
  <c r="R1546" i="1"/>
  <c r="S1546" i="1"/>
  <c r="T1546" i="1"/>
  <c r="U1546" i="1"/>
  <c r="V1546" i="1"/>
  <c r="W1546" i="1"/>
  <c r="X1546" i="1"/>
  <c r="Y1546" i="1"/>
  <c r="Z1546" i="1"/>
  <c r="A1547" i="1"/>
  <c r="B1547" i="1"/>
  <c r="C1547" i="1"/>
  <c r="D1547" i="1"/>
  <c r="E1547" i="1"/>
  <c r="F1547" i="1"/>
  <c r="G1547" i="1"/>
  <c r="I1547" i="1"/>
  <c r="J1547" i="1"/>
  <c r="K1547" i="1"/>
  <c r="L1547" i="1"/>
  <c r="M1547" i="1"/>
  <c r="N1547" i="1"/>
  <c r="O1547" i="1"/>
  <c r="P1547" i="1"/>
  <c r="Q1547" i="1"/>
  <c r="R1547" i="1"/>
  <c r="S1547" i="1"/>
  <c r="T1547" i="1"/>
  <c r="U1547" i="1"/>
  <c r="V1547" i="1"/>
  <c r="W1547" i="1"/>
  <c r="X1547" i="1"/>
  <c r="Y1547" i="1"/>
  <c r="Z1547" i="1"/>
  <c r="A1548" i="1"/>
  <c r="B1548" i="1"/>
  <c r="C1548" i="1"/>
  <c r="D1548" i="1"/>
  <c r="E1548" i="1"/>
  <c r="F1548" i="1"/>
  <c r="G1548" i="1"/>
  <c r="I1548" i="1"/>
  <c r="J1548" i="1"/>
  <c r="K1548" i="1"/>
  <c r="L1548" i="1"/>
  <c r="M1548" i="1"/>
  <c r="N1548" i="1"/>
  <c r="O1548" i="1"/>
  <c r="P1548" i="1"/>
  <c r="Q1548" i="1"/>
  <c r="R1548" i="1"/>
  <c r="S1548" i="1"/>
  <c r="T1548" i="1"/>
  <c r="U1548" i="1"/>
  <c r="V1548" i="1"/>
  <c r="W1548" i="1"/>
  <c r="X1548" i="1"/>
  <c r="Y1548" i="1"/>
  <c r="Z1548" i="1"/>
  <c r="A1549" i="1"/>
  <c r="B1549" i="1"/>
  <c r="C1549" i="1"/>
  <c r="D1549" i="1"/>
  <c r="E1549" i="1"/>
  <c r="F1549" i="1"/>
  <c r="G1549" i="1"/>
  <c r="I1549" i="1"/>
  <c r="J1549" i="1"/>
  <c r="K1549" i="1"/>
  <c r="L1549" i="1"/>
  <c r="M1549" i="1"/>
  <c r="N1549" i="1"/>
  <c r="O1549" i="1"/>
  <c r="P1549" i="1"/>
  <c r="Q1549" i="1"/>
  <c r="R1549" i="1"/>
  <c r="S1549" i="1"/>
  <c r="T1549" i="1"/>
  <c r="U1549" i="1"/>
  <c r="V1549" i="1"/>
  <c r="W1549" i="1"/>
  <c r="X1549" i="1"/>
  <c r="Y1549" i="1"/>
  <c r="Z1549" i="1"/>
  <c r="A1550" i="1"/>
  <c r="B1550" i="1"/>
  <c r="C1550" i="1"/>
  <c r="D1550" i="1"/>
  <c r="E1550" i="1"/>
  <c r="F1550" i="1"/>
  <c r="G1550" i="1"/>
  <c r="I1550" i="1"/>
  <c r="J1550" i="1"/>
  <c r="K1550" i="1"/>
  <c r="L1550" i="1"/>
  <c r="M1550" i="1"/>
  <c r="N1550" i="1"/>
  <c r="O1550" i="1"/>
  <c r="P1550" i="1"/>
  <c r="Q1550" i="1"/>
  <c r="R1550" i="1"/>
  <c r="S1550" i="1"/>
  <c r="T1550" i="1"/>
  <c r="U1550" i="1"/>
  <c r="V1550" i="1"/>
  <c r="W1550" i="1"/>
  <c r="X1550" i="1"/>
  <c r="Y1550" i="1"/>
  <c r="Z1550" i="1"/>
  <c r="A1551" i="1"/>
  <c r="B1551" i="1"/>
  <c r="C1551" i="1"/>
  <c r="D1551" i="1"/>
  <c r="E1551" i="1"/>
  <c r="F1551" i="1"/>
  <c r="G1551" i="1"/>
  <c r="I1551" i="1"/>
  <c r="J1551" i="1"/>
  <c r="K1551" i="1"/>
  <c r="L1551" i="1"/>
  <c r="M1551" i="1"/>
  <c r="N1551" i="1"/>
  <c r="O1551" i="1"/>
  <c r="P1551" i="1"/>
  <c r="Q1551" i="1"/>
  <c r="R1551" i="1"/>
  <c r="S1551" i="1"/>
  <c r="T1551" i="1"/>
  <c r="U1551" i="1"/>
  <c r="V1551" i="1"/>
  <c r="W1551" i="1"/>
  <c r="X1551" i="1"/>
  <c r="Y1551" i="1"/>
  <c r="Z1551" i="1"/>
  <c r="A1552" i="1"/>
  <c r="B1552" i="1"/>
  <c r="C1552" i="1"/>
  <c r="D1552" i="1"/>
  <c r="E1552" i="1"/>
  <c r="F1552" i="1"/>
  <c r="G1552" i="1"/>
  <c r="I1552" i="1"/>
  <c r="J1552" i="1"/>
  <c r="K1552" i="1"/>
  <c r="L1552" i="1"/>
  <c r="M1552" i="1"/>
  <c r="N1552" i="1"/>
  <c r="O1552" i="1"/>
  <c r="P1552" i="1"/>
  <c r="Q1552" i="1"/>
  <c r="R1552" i="1"/>
  <c r="S1552" i="1"/>
  <c r="T1552" i="1"/>
  <c r="U1552" i="1"/>
  <c r="V1552" i="1"/>
  <c r="W1552" i="1"/>
  <c r="X1552" i="1"/>
  <c r="Y1552" i="1"/>
  <c r="Z1552" i="1"/>
  <c r="A1553" i="1"/>
  <c r="B1553" i="1"/>
  <c r="C1553" i="1"/>
  <c r="D1553" i="1"/>
  <c r="E1553" i="1"/>
  <c r="F1553" i="1"/>
  <c r="G1553" i="1"/>
  <c r="I1553" i="1"/>
  <c r="J1553" i="1"/>
  <c r="K1553" i="1"/>
  <c r="L1553" i="1"/>
  <c r="M1553" i="1"/>
  <c r="N1553" i="1"/>
  <c r="O1553" i="1"/>
  <c r="P1553" i="1"/>
  <c r="Q1553" i="1"/>
  <c r="R1553" i="1"/>
  <c r="S1553" i="1"/>
  <c r="T1553" i="1"/>
  <c r="U1553" i="1"/>
  <c r="V1553" i="1"/>
  <c r="W1553" i="1"/>
  <c r="X1553" i="1"/>
  <c r="Y1553" i="1"/>
  <c r="Z1553" i="1"/>
  <c r="A1554" i="1"/>
  <c r="B1554" i="1"/>
  <c r="C1554" i="1"/>
  <c r="D1554" i="1"/>
  <c r="E1554" i="1"/>
  <c r="F1554" i="1"/>
  <c r="G1554" i="1"/>
  <c r="I1554" i="1"/>
  <c r="J1554" i="1"/>
  <c r="K1554" i="1"/>
  <c r="L1554" i="1"/>
  <c r="M1554" i="1"/>
  <c r="N1554" i="1"/>
  <c r="O1554" i="1"/>
  <c r="P1554" i="1"/>
  <c r="Q1554" i="1"/>
  <c r="R1554" i="1"/>
  <c r="S1554" i="1"/>
  <c r="T1554" i="1"/>
  <c r="U1554" i="1"/>
  <c r="V1554" i="1"/>
  <c r="W1554" i="1"/>
  <c r="X1554" i="1"/>
  <c r="Y1554" i="1"/>
  <c r="Z1554" i="1"/>
  <c r="A1555" i="1"/>
  <c r="B1555" i="1"/>
  <c r="C1555" i="1"/>
  <c r="D1555" i="1"/>
  <c r="E1555" i="1"/>
  <c r="F1555" i="1"/>
  <c r="G1555" i="1"/>
  <c r="I1555" i="1"/>
  <c r="J1555" i="1"/>
  <c r="K1555" i="1"/>
  <c r="L1555" i="1"/>
  <c r="M1555" i="1"/>
  <c r="N1555" i="1"/>
  <c r="O1555" i="1"/>
  <c r="P1555" i="1"/>
  <c r="Q1555" i="1"/>
  <c r="R1555" i="1"/>
  <c r="S1555" i="1"/>
  <c r="T1555" i="1"/>
  <c r="U1555" i="1"/>
  <c r="V1555" i="1"/>
  <c r="W1555" i="1"/>
  <c r="X1555" i="1"/>
  <c r="Y1555" i="1"/>
  <c r="Z1555" i="1"/>
  <c r="A1556" i="1"/>
  <c r="B1556" i="1"/>
  <c r="C1556" i="1"/>
  <c r="D1556" i="1"/>
  <c r="E1556" i="1"/>
  <c r="F1556" i="1"/>
  <c r="G1556" i="1"/>
  <c r="I1556" i="1"/>
  <c r="J1556" i="1"/>
  <c r="K1556" i="1"/>
  <c r="L1556" i="1"/>
  <c r="M1556" i="1"/>
  <c r="N1556" i="1"/>
  <c r="O1556" i="1"/>
  <c r="P1556" i="1"/>
  <c r="Q1556" i="1"/>
  <c r="R1556" i="1"/>
  <c r="S1556" i="1"/>
  <c r="T1556" i="1"/>
  <c r="U1556" i="1"/>
  <c r="V1556" i="1"/>
  <c r="W1556" i="1"/>
  <c r="X1556" i="1"/>
  <c r="Y1556" i="1"/>
  <c r="Z1556" i="1"/>
  <c r="A1557" i="1"/>
  <c r="B1557" i="1"/>
  <c r="C1557" i="1"/>
  <c r="D1557" i="1"/>
  <c r="E1557" i="1"/>
  <c r="F1557" i="1"/>
  <c r="G1557" i="1"/>
  <c r="I1557" i="1"/>
  <c r="J1557" i="1"/>
  <c r="K1557" i="1"/>
  <c r="L1557" i="1"/>
  <c r="M1557" i="1"/>
  <c r="N1557" i="1"/>
  <c r="O1557" i="1"/>
  <c r="P1557" i="1"/>
  <c r="Q1557" i="1"/>
  <c r="R1557" i="1"/>
  <c r="S1557" i="1"/>
  <c r="T1557" i="1"/>
  <c r="U1557" i="1"/>
  <c r="V1557" i="1"/>
  <c r="W1557" i="1"/>
  <c r="X1557" i="1"/>
  <c r="Y1557" i="1"/>
  <c r="Z1557" i="1"/>
  <c r="A1558" i="1"/>
  <c r="B1558" i="1"/>
  <c r="C1558" i="1"/>
  <c r="D1558" i="1"/>
  <c r="E1558" i="1"/>
  <c r="F1558" i="1"/>
  <c r="G1558" i="1"/>
  <c r="I1558" i="1"/>
  <c r="J1558" i="1"/>
  <c r="K1558" i="1"/>
  <c r="L1558" i="1"/>
  <c r="M1558" i="1"/>
  <c r="N1558" i="1"/>
  <c r="O1558" i="1"/>
  <c r="P1558" i="1"/>
  <c r="Q1558" i="1"/>
  <c r="R1558" i="1"/>
  <c r="S1558" i="1"/>
  <c r="T1558" i="1"/>
  <c r="U1558" i="1"/>
  <c r="V1558" i="1"/>
  <c r="W1558" i="1"/>
  <c r="X1558" i="1"/>
  <c r="Y1558" i="1"/>
  <c r="Z1558" i="1"/>
  <c r="A1559" i="1"/>
  <c r="B1559" i="1"/>
  <c r="C1559" i="1"/>
  <c r="D1559" i="1"/>
  <c r="E1559" i="1"/>
  <c r="F1559" i="1"/>
  <c r="G1559" i="1"/>
  <c r="I1559" i="1"/>
  <c r="J1559" i="1"/>
  <c r="K1559" i="1"/>
  <c r="L1559" i="1"/>
  <c r="M1559" i="1"/>
  <c r="N1559" i="1"/>
  <c r="O1559" i="1"/>
  <c r="P1559" i="1"/>
  <c r="Q1559" i="1"/>
  <c r="R1559" i="1"/>
  <c r="S1559" i="1"/>
  <c r="T1559" i="1"/>
  <c r="U1559" i="1"/>
  <c r="V1559" i="1"/>
  <c r="W1559" i="1"/>
  <c r="X1559" i="1"/>
  <c r="Y1559" i="1"/>
  <c r="Z1559" i="1"/>
  <c r="A1560" i="1"/>
  <c r="B1560" i="1"/>
  <c r="C1560" i="1"/>
  <c r="D1560" i="1"/>
  <c r="E1560" i="1"/>
  <c r="F1560" i="1"/>
  <c r="G1560" i="1"/>
  <c r="I1560" i="1"/>
  <c r="J1560" i="1"/>
  <c r="K1560" i="1"/>
  <c r="L1560" i="1"/>
  <c r="M1560" i="1"/>
  <c r="N1560" i="1"/>
  <c r="O1560" i="1"/>
  <c r="P1560" i="1"/>
  <c r="Q1560" i="1"/>
  <c r="R1560" i="1"/>
  <c r="S1560" i="1"/>
  <c r="T1560" i="1"/>
  <c r="U1560" i="1"/>
  <c r="V1560" i="1"/>
  <c r="W1560" i="1"/>
  <c r="X1560" i="1"/>
  <c r="Y1560" i="1"/>
  <c r="Z1560" i="1"/>
  <c r="A1561" i="1"/>
  <c r="B1561" i="1"/>
  <c r="C1561" i="1"/>
  <c r="D1561" i="1"/>
  <c r="E1561" i="1"/>
  <c r="F1561" i="1"/>
  <c r="G1561" i="1"/>
  <c r="I1561" i="1"/>
  <c r="J1561" i="1"/>
  <c r="K1561" i="1"/>
  <c r="L1561" i="1"/>
  <c r="M1561" i="1"/>
  <c r="N1561" i="1"/>
  <c r="O1561" i="1"/>
  <c r="P1561" i="1"/>
  <c r="Q1561" i="1"/>
  <c r="R1561" i="1"/>
  <c r="S1561" i="1"/>
  <c r="T1561" i="1"/>
  <c r="U1561" i="1"/>
  <c r="V1561" i="1"/>
  <c r="W1561" i="1"/>
  <c r="X1561" i="1"/>
  <c r="Y1561" i="1"/>
  <c r="Z1561" i="1"/>
  <c r="A1562" i="1"/>
  <c r="B1562" i="1"/>
  <c r="C1562" i="1"/>
  <c r="D1562" i="1"/>
  <c r="E1562" i="1"/>
  <c r="F1562" i="1"/>
  <c r="G1562" i="1"/>
  <c r="I1562" i="1"/>
  <c r="J1562" i="1"/>
  <c r="K1562" i="1"/>
  <c r="L1562" i="1"/>
  <c r="M1562" i="1"/>
  <c r="N1562" i="1"/>
  <c r="O1562" i="1"/>
  <c r="P1562" i="1"/>
  <c r="Q1562" i="1"/>
  <c r="R1562" i="1"/>
  <c r="S1562" i="1"/>
  <c r="T1562" i="1"/>
  <c r="U1562" i="1"/>
  <c r="V1562" i="1"/>
  <c r="W1562" i="1"/>
  <c r="X1562" i="1"/>
  <c r="Y1562" i="1"/>
  <c r="Z1562" i="1"/>
  <c r="A1563" i="1"/>
  <c r="B1563" i="1"/>
  <c r="C1563" i="1"/>
  <c r="D1563" i="1"/>
  <c r="E1563" i="1"/>
  <c r="F1563" i="1"/>
  <c r="G1563" i="1"/>
  <c r="I1563" i="1"/>
  <c r="J1563" i="1"/>
  <c r="K1563" i="1"/>
  <c r="L1563" i="1"/>
  <c r="M1563" i="1"/>
  <c r="N1563" i="1"/>
  <c r="O1563" i="1"/>
  <c r="P1563" i="1"/>
  <c r="Q1563" i="1"/>
  <c r="R1563" i="1"/>
  <c r="S1563" i="1"/>
  <c r="T1563" i="1"/>
  <c r="U1563" i="1"/>
  <c r="V1563" i="1"/>
  <c r="W1563" i="1"/>
  <c r="X1563" i="1"/>
  <c r="Y1563" i="1"/>
  <c r="Z1563" i="1"/>
  <c r="A1564" i="1"/>
  <c r="B1564" i="1"/>
  <c r="C1564" i="1"/>
  <c r="D1564" i="1"/>
  <c r="E1564" i="1"/>
  <c r="F1564" i="1"/>
  <c r="G1564" i="1"/>
  <c r="I1564" i="1"/>
  <c r="J1564" i="1"/>
  <c r="K1564" i="1"/>
  <c r="L1564" i="1"/>
  <c r="M1564" i="1"/>
  <c r="N1564" i="1"/>
  <c r="O1564" i="1"/>
  <c r="P1564" i="1"/>
  <c r="Q1564" i="1"/>
  <c r="R1564" i="1"/>
  <c r="S1564" i="1"/>
  <c r="T1564" i="1"/>
  <c r="U1564" i="1"/>
  <c r="V1564" i="1"/>
  <c r="W1564" i="1"/>
  <c r="X1564" i="1"/>
  <c r="Y1564" i="1"/>
  <c r="Z1564" i="1"/>
  <c r="A1565" i="1"/>
  <c r="B1565" i="1"/>
  <c r="C1565" i="1"/>
  <c r="D1565" i="1"/>
  <c r="E1565" i="1"/>
  <c r="F1565" i="1"/>
  <c r="G1565" i="1"/>
  <c r="I1565" i="1"/>
  <c r="J1565" i="1"/>
  <c r="K1565" i="1"/>
  <c r="L1565" i="1"/>
  <c r="M1565" i="1"/>
  <c r="N1565" i="1"/>
  <c r="O1565" i="1"/>
  <c r="P1565" i="1"/>
  <c r="Q1565" i="1"/>
  <c r="R1565" i="1"/>
  <c r="S1565" i="1"/>
  <c r="T1565" i="1"/>
  <c r="U1565" i="1"/>
  <c r="V1565" i="1"/>
  <c r="W1565" i="1"/>
  <c r="X1565" i="1"/>
  <c r="Y1565" i="1"/>
  <c r="Z1565" i="1"/>
  <c r="A1566" i="1"/>
  <c r="B1566" i="1"/>
  <c r="C1566" i="1"/>
  <c r="D1566" i="1"/>
  <c r="E1566" i="1"/>
  <c r="F1566" i="1"/>
  <c r="G1566" i="1"/>
  <c r="I1566" i="1"/>
  <c r="J1566" i="1"/>
  <c r="K1566" i="1"/>
  <c r="L1566" i="1"/>
  <c r="M1566" i="1"/>
  <c r="N1566" i="1"/>
  <c r="O1566" i="1"/>
  <c r="P1566" i="1"/>
  <c r="Q1566" i="1"/>
  <c r="R1566" i="1"/>
  <c r="S1566" i="1"/>
  <c r="T1566" i="1"/>
  <c r="U1566" i="1"/>
  <c r="V1566" i="1"/>
  <c r="W1566" i="1"/>
  <c r="X1566" i="1"/>
  <c r="Y1566" i="1"/>
  <c r="Z1566" i="1"/>
  <c r="A1567" i="1"/>
  <c r="B1567" i="1"/>
  <c r="C1567" i="1"/>
  <c r="D1567" i="1"/>
  <c r="E1567" i="1"/>
  <c r="F1567" i="1"/>
  <c r="G1567" i="1"/>
  <c r="I1567" i="1"/>
  <c r="J1567" i="1"/>
  <c r="K1567" i="1"/>
  <c r="L1567" i="1"/>
  <c r="M1567" i="1"/>
  <c r="N1567" i="1"/>
  <c r="O1567" i="1"/>
  <c r="P1567" i="1"/>
  <c r="Q1567" i="1"/>
  <c r="R1567" i="1"/>
  <c r="S1567" i="1"/>
  <c r="T1567" i="1"/>
  <c r="U1567" i="1"/>
  <c r="V1567" i="1"/>
  <c r="W1567" i="1"/>
  <c r="X1567" i="1"/>
  <c r="Y1567" i="1"/>
  <c r="Z1567" i="1"/>
  <c r="A1568" i="1"/>
  <c r="B1568" i="1"/>
  <c r="C1568" i="1"/>
  <c r="D1568" i="1"/>
  <c r="E1568" i="1"/>
  <c r="F1568" i="1"/>
  <c r="G1568" i="1"/>
  <c r="I1568" i="1"/>
  <c r="J1568" i="1"/>
  <c r="K1568" i="1"/>
  <c r="L1568" i="1"/>
  <c r="M1568" i="1"/>
  <c r="N1568" i="1"/>
  <c r="O1568" i="1"/>
  <c r="P1568" i="1"/>
  <c r="Q1568" i="1"/>
  <c r="R1568" i="1"/>
  <c r="S1568" i="1"/>
  <c r="T1568" i="1"/>
  <c r="U1568" i="1"/>
  <c r="V1568" i="1"/>
  <c r="W1568" i="1"/>
  <c r="X1568" i="1"/>
  <c r="Y1568" i="1"/>
  <c r="Z1568" i="1"/>
  <c r="A1569" i="1"/>
  <c r="B1569" i="1"/>
  <c r="C1569" i="1"/>
  <c r="D1569" i="1"/>
  <c r="E1569" i="1"/>
  <c r="F1569" i="1"/>
  <c r="G1569" i="1"/>
  <c r="I1569" i="1"/>
  <c r="J1569" i="1"/>
  <c r="K1569" i="1"/>
  <c r="L1569" i="1"/>
  <c r="M1569" i="1"/>
  <c r="N1569" i="1"/>
  <c r="O1569" i="1"/>
  <c r="P1569" i="1"/>
  <c r="Q1569" i="1"/>
  <c r="R1569" i="1"/>
  <c r="S1569" i="1"/>
  <c r="T1569" i="1"/>
  <c r="U1569" i="1"/>
  <c r="V1569" i="1"/>
  <c r="W1569" i="1"/>
  <c r="X1569" i="1"/>
  <c r="Y1569" i="1"/>
  <c r="Z1569" i="1"/>
  <c r="A1570" i="1"/>
  <c r="B1570" i="1"/>
  <c r="C1570" i="1"/>
  <c r="D1570" i="1"/>
  <c r="E1570" i="1"/>
  <c r="F1570" i="1"/>
  <c r="G1570" i="1"/>
  <c r="I1570" i="1"/>
  <c r="J1570" i="1"/>
  <c r="K1570" i="1"/>
  <c r="L1570" i="1"/>
  <c r="M1570" i="1"/>
  <c r="N1570" i="1"/>
  <c r="O1570" i="1"/>
  <c r="P1570" i="1"/>
  <c r="Q1570" i="1"/>
  <c r="R1570" i="1"/>
  <c r="S1570" i="1"/>
  <c r="T1570" i="1"/>
  <c r="U1570" i="1"/>
  <c r="V1570" i="1"/>
  <c r="W1570" i="1"/>
  <c r="X1570" i="1"/>
  <c r="Y1570" i="1"/>
  <c r="Z1570" i="1"/>
  <c r="A1571" i="1"/>
  <c r="B1571" i="1"/>
  <c r="C1571" i="1"/>
  <c r="D1571" i="1"/>
  <c r="E1571" i="1"/>
  <c r="F1571" i="1"/>
  <c r="G1571" i="1"/>
  <c r="I1571" i="1"/>
  <c r="J1571" i="1"/>
  <c r="K1571" i="1"/>
  <c r="L1571" i="1"/>
  <c r="M1571" i="1"/>
  <c r="N1571" i="1"/>
  <c r="O1571" i="1"/>
  <c r="P1571" i="1"/>
  <c r="Q1571" i="1"/>
  <c r="R1571" i="1"/>
  <c r="S1571" i="1"/>
  <c r="T1571" i="1"/>
  <c r="U1571" i="1"/>
  <c r="V1571" i="1"/>
  <c r="W1571" i="1"/>
  <c r="X1571" i="1"/>
  <c r="Y1571" i="1"/>
  <c r="Z1571" i="1"/>
  <c r="A1572" i="1"/>
  <c r="B1572" i="1"/>
  <c r="C1572" i="1"/>
  <c r="D1572" i="1"/>
  <c r="E1572" i="1"/>
  <c r="F1572" i="1"/>
  <c r="G1572" i="1"/>
  <c r="I1572" i="1"/>
  <c r="J1572" i="1"/>
  <c r="K1572" i="1"/>
  <c r="L1572" i="1"/>
  <c r="M1572" i="1"/>
  <c r="N1572" i="1"/>
  <c r="O1572" i="1"/>
  <c r="P1572" i="1"/>
  <c r="Q1572" i="1"/>
  <c r="R1572" i="1"/>
  <c r="S1572" i="1"/>
  <c r="T1572" i="1"/>
  <c r="U1572" i="1"/>
  <c r="V1572" i="1"/>
  <c r="W1572" i="1"/>
  <c r="X1572" i="1"/>
  <c r="Y1572" i="1"/>
  <c r="Z1572" i="1"/>
  <c r="A1573" i="1"/>
  <c r="B1573" i="1"/>
  <c r="C1573" i="1"/>
  <c r="D1573" i="1"/>
  <c r="E1573" i="1"/>
  <c r="F1573" i="1"/>
  <c r="G1573" i="1"/>
  <c r="I1573" i="1"/>
  <c r="J1573" i="1"/>
  <c r="K1573" i="1"/>
  <c r="L1573" i="1"/>
  <c r="M1573" i="1"/>
  <c r="N1573" i="1"/>
  <c r="O1573" i="1"/>
  <c r="P1573" i="1"/>
  <c r="Q1573" i="1"/>
  <c r="R1573" i="1"/>
  <c r="S1573" i="1"/>
  <c r="T1573" i="1"/>
  <c r="U1573" i="1"/>
  <c r="V1573" i="1"/>
  <c r="W1573" i="1"/>
  <c r="X1573" i="1"/>
  <c r="Y1573" i="1"/>
  <c r="Z1573" i="1"/>
  <c r="A1574" i="1"/>
  <c r="B1574" i="1"/>
  <c r="C1574" i="1"/>
  <c r="D1574" i="1"/>
  <c r="E1574" i="1"/>
  <c r="F1574" i="1"/>
  <c r="G1574" i="1"/>
  <c r="I1574" i="1"/>
  <c r="J1574" i="1"/>
  <c r="K1574" i="1"/>
  <c r="L1574" i="1"/>
  <c r="M1574" i="1"/>
  <c r="N1574" i="1"/>
  <c r="O1574" i="1"/>
  <c r="P1574" i="1"/>
  <c r="Q1574" i="1"/>
  <c r="R1574" i="1"/>
  <c r="S1574" i="1"/>
  <c r="T1574" i="1"/>
  <c r="U1574" i="1"/>
  <c r="V1574" i="1"/>
  <c r="W1574" i="1"/>
  <c r="X1574" i="1"/>
  <c r="Y1574" i="1"/>
  <c r="Z1574" i="1"/>
  <c r="A1575" i="1"/>
  <c r="B1575" i="1"/>
  <c r="C1575" i="1"/>
  <c r="D1575" i="1"/>
  <c r="E1575" i="1"/>
  <c r="F1575" i="1"/>
  <c r="G1575" i="1"/>
  <c r="I1575" i="1"/>
  <c r="J1575" i="1"/>
  <c r="K1575" i="1"/>
  <c r="L1575" i="1"/>
  <c r="M1575" i="1"/>
  <c r="N1575" i="1"/>
  <c r="O1575" i="1"/>
  <c r="P1575" i="1"/>
  <c r="Q1575" i="1"/>
  <c r="R1575" i="1"/>
  <c r="S1575" i="1"/>
  <c r="T1575" i="1"/>
  <c r="U1575" i="1"/>
  <c r="V1575" i="1"/>
  <c r="W1575" i="1"/>
  <c r="X1575" i="1"/>
  <c r="Y1575" i="1"/>
  <c r="Z1575" i="1"/>
  <c r="A1576" i="1"/>
  <c r="B1576" i="1"/>
  <c r="C1576" i="1"/>
  <c r="D1576" i="1"/>
  <c r="E1576" i="1"/>
  <c r="F1576" i="1"/>
  <c r="G1576" i="1"/>
  <c r="I1576" i="1"/>
  <c r="J1576" i="1"/>
  <c r="K1576" i="1"/>
  <c r="L1576" i="1"/>
  <c r="M1576" i="1"/>
  <c r="N1576" i="1"/>
  <c r="O1576" i="1"/>
  <c r="P1576" i="1"/>
  <c r="Q1576" i="1"/>
  <c r="R1576" i="1"/>
  <c r="S1576" i="1"/>
  <c r="T1576" i="1"/>
  <c r="U1576" i="1"/>
  <c r="V1576" i="1"/>
  <c r="W1576" i="1"/>
  <c r="X1576" i="1"/>
  <c r="Y1576" i="1"/>
  <c r="Z1576" i="1"/>
  <c r="A1577" i="1"/>
  <c r="B1577" i="1"/>
  <c r="C1577" i="1"/>
  <c r="D1577" i="1"/>
  <c r="E1577" i="1"/>
  <c r="F1577" i="1"/>
  <c r="G1577" i="1"/>
  <c r="I1577" i="1"/>
  <c r="J1577" i="1"/>
  <c r="K1577" i="1"/>
  <c r="L1577" i="1"/>
  <c r="M1577" i="1"/>
  <c r="N1577" i="1"/>
  <c r="O1577" i="1"/>
  <c r="P1577" i="1"/>
  <c r="Q1577" i="1"/>
  <c r="R1577" i="1"/>
  <c r="S1577" i="1"/>
  <c r="T1577" i="1"/>
  <c r="U1577" i="1"/>
  <c r="V1577" i="1"/>
  <c r="W1577" i="1"/>
  <c r="X1577" i="1"/>
  <c r="Y1577" i="1"/>
  <c r="Z1577" i="1"/>
  <c r="A1578" i="1"/>
  <c r="B1578" i="1"/>
  <c r="C1578" i="1"/>
  <c r="D1578" i="1"/>
  <c r="E1578" i="1"/>
  <c r="F1578" i="1"/>
  <c r="G1578" i="1"/>
  <c r="I1578" i="1"/>
  <c r="J1578" i="1"/>
  <c r="K1578" i="1"/>
  <c r="L1578" i="1"/>
  <c r="M1578" i="1"/>
  <c r="N1578" i="1"/>
  <c r="O1578" i="1"/>
  <c r="P1578" i="1"/>
  <c r="Q1578" i="1"/>
  <c r="R1578" i="1"/>
  <c r="S1578" i="1"/>
  <c r="T1578" i="1"/>
  <c r="U1578" i="1"/>
  <c r="V1578" i="1"/>
  <c r="W1578" i="1"/>
  <c r="X1578" i="1"/>
  <c r="Y1578" i="1"/>
  <c r="Z1578" i="1"/>
  <c r="A1579" i="1"/>
  <c r="B1579" i="1"/>
  <c r="C1579" i="1"/>
  <c r="D1579" i="1"/>
  <c r="E1579" i="1"/>
  <c r="F1579" i="1"/>
  <c r="G1579" i="1"/>
  <c r="I1579" i="1"/>
  <c r="J1579" i="1"/>
  <c r="K1579" i="1"/>
  <c r="L1579" i="1"/>
  <c r="M1579" i="1"/>
  <c r="N1579" i="1"/>
  <c r="O1579" i="1"/>
  <c r="P1579" i="1"/>
  <c r="Q1579" i="1"/>
  <c r="R1579" i="1"/>
  <c r="S1579" i="1"/>
  <c r="T1579" i="1"/>
  <c r="U1579" i="1"/>
  <c r="V1579" i="1"/>
  <c r="W1579" i="1"/>
  <c r="X1579" i="1"/>
  <c r="Y1579" i="1"/>
  <c r="Z1579" i="1"/>
  <c r="A1580" i="1"/>
  <c r="B1580" i="1"/>
  <c r="C1580" i="1"/>
  <c r="D1580" i="1"/>
  <c r="E1580" i="1"/>
  <c r="F1580" i="1"/>
  <c r="G1580" i="1"/>
  <c r="I1580" i="1"/>
  <c r="J1580" i="1"/>
  <c r="K1580" i="1"/>
  <c r="L1580" i="1"/>
  <c r="M1580" i="1"/>
  <c r="N1580" i="1"/>
  <c r="O1580" i="1"/>
  <c r="P1580" i="1"/>
  <c r="Q1580" i="1"/>
  <c r="R1580" i="1"/>
  <c r="S1580" i="1"/>
  <c r="T1580" i="1"/>
  <c r="U1580" i="1"/>
  <c r="V1580" i="1"/>
  <c r="W1580" i="1"/>
  <c r="X1580" i="1"/>
  <c r="Y1580" i="1"/>
  <c r="Z1580" i="1"/>
  <c r="A1581" i="1"/>
  <c r="B1581" i="1"/>
  <c r="C1581" i="1"/>
  <c r="D1581" i="1"/>
  <c r="E1581" i="1"/>
  <c r="F1581" i="1"/>
  <c r="G1581" i="1"/>
  <c r="I1581" i="1"/>
  <c r="J1581" i="1"/>
  <c r="K1581" i="1"/>
  <c r="L1581" i="1"/>
  <c r="M1581" i="1"/>
  <c r="N1581" i="1"/>
  <c r="O1581" i="1"/>
  <c r="P1581" i="1"/>
  <c r="Q1581" i="1"/>
  <c r="R1581" i="1"/>
  <c r="S1581" i="1"/>
  <c r="T1581" i="1"/>
  <c r="U1581" i="1"/>
  <c r="V1581" i="1"/>
  <c r="W1581" i="1"/>
  <c r="X1581" i="1"/>
  <c r="Y1581" i="1"/>
  <c r="Z1581" i="1"/>
  <c r="A1582" i="1"/>
  <c r="B1582" i="1"/>
  <c r="C1582" i="1"/>
  <c r="D1582" i="1"/>
  <c r="E1582" i="1"/>
  <c r="F1582" i="1"/>
  <c r="G1582" i="1"/>
  <c r="I1582" i="1"/>
  <c r="J1582" i="1"/>
  <c r="K1582" i="1"/>
  <c r="L1582" i="1"/>
  <c r="M1582" i="1"/>
  <c r="N1582" i="1"/>
  <c r="O1582" i="1"/>
  <c r="P1582" i="1"/>
  <c r="Q1582" i="1"/>
  <c r="R1582" i="1"/>
  <c r="S1582" i="1"/>
  <c r="T1582" i="1"/>
  <c r="U1582" i="1"/>
  <c r="V1582" i="1"/>
  <c r="W1582" i="1"/>
  <c r="X1582" i="1"/>
  <c r="Y1582" i="1"/>
  <c r="Z1582" i="1"/>
  <c r="A1583" i="1"/>
  <c r="B1583" i="1"/>
  <c r="C1583" i="1"/>
  <c r="D1583" i="1"/>
  <c r="E1583" i="1"/>
  <c r="F1583" i="1"/>
  <c r="G1583" i="1"/>
  <c r="I1583" i="1"/>
  <c r="J1583" i="1"/>
  <c r="K1583" i="1"/>
  <c r="L1583" i="1"/>
  <c r="M1583" i="1"/>
  <c r="N1583" i="1"/>
  <c r="O1583" i="1"/>
  <c r="P1583" i="1"/>
  <c r="Q1583" i="1"/>
  <c r="R1583" i="1"/>
  <c r="S1583" i="1"/>
  <c r="T1583" i="1"/>
  <c r="U1583" i="1"/>
  <c r="V1583" i="1"/>
  <c r="W1583" i="1"/>
  <c r="X1583" i="1"/>
  <c r="Y1583" i="1"/>
  <c r="Z1583" i="1"/>
  <c r="A1584" i="1"/>
  <c r="B1584" i="1"/>
  <c r="C1584" i="1"/>
  <c r="D1584" i="1"/>
  <c r="E1584" i="1"/>
  <c r="F1584" i="1"/>
  <c r="G1584" i="1"/>
  <c r="I1584" i="1"/>
  <c r="J1584" i="1"/>
  <c r="K1584" i="1"/>
  <c r="L1584" i="1"/>
  <c r="M1584" i="1"/>
  <c r="N1584" i="1"/>
  <c r="O1584" i="1"/>
  <c r="P1584" i="1"/>
  <c r="Q1584" i="1"/>
  <c r="R1584" i="1"/>
  <c r="S1584" i="1"/>
  <c r="T1584" i="1"/>
  <c r="U1584" i="1"/>
  <c r="V1584" i="1"/>
  <c r="W1584" i="1"/>
  <c r="X1584" i="1"/>
  <c r="Y1584" i="1"/>
  <c r="Z1584" i="1"/>
  <c r="A1585" i="1"/>
  <c r="B1585" i="1"/>
  <c r="C1585" i="1"/>
  <c r="D1585" i="1"/>
  <c r="E1585" i="1"/>
  <c r="F1585" i="1"/>
  <c r="G1585" i="1"/>
  <c r="I1585" i="1"/>
  <c r="J1585" i="1"/>
  <c r="K1585" i="1"/>
  <c r="L1585" i="1"/>
  <c r="M1585" i="1"/>
  <c r="N1585" i="1"/>
  <c r="O1585" i="1"/>
  <c r="P1585" i="1"/>
  <c r="Q1585" i="1"/>
  <c r="R1585" i="1"/>
  <c r="S1585" i="1"/>
  <c r="T1585" i="1"/>
  <c r="U1585" i="1"/>
  <c r="V1585" i="1"/>
  <c r="W1585" i="1"/>
  <c r="X1585" i="1"/>
  <c r="Y1585" i="1"/>
  <c r="Z1585" i="1"/>
  <c r="A1586" i="1"/>
  <c r="B1586" i="1"/>
  <c r="C1586" i="1"/>
  <c r="D1586" i="1"/>
  <c r="E1586" i="1"/>
  <c r="F1586" i="1"/>
  <c r="G1586" i="1"/>
  <c r="I1586" i="1"/>
  <c r="J1586" i="1"/>
  <c r="K1586" i="1"/>
  <c r="L1586" i="1"/>
  <c r="M1586" i="1"/>
  <c r="N1586" i="1"/>
  <c r="O1586" i="1"/>
  <c r="P1586" i="1"/>
  <c r="Q1586" i="1"/>
  <c r="R1586" i="1"/>
  <c r="S1586" i="1"/>
  <c r="T1586" i="1"/>
  <c r="U1586" i="1"/>
  <c r="V1586" i="1"/>
  <c r="W1586" i="1"/>
  <c r="X1586" i="1"/>
  <c r="Y1586" i="1"/>
  <c r="Z1586" i="1"/>
  <c r="A1587" i="1"/>
  <c r="B1587" i="1"/>
  <c r="C1587" i="1"/>
  <c r="D1587" i="1"/>
  <c r="E1587" i="1"/>
  <c r="F1587" i="1"/>
  <c r="G1587" i="1"/>
  <c r="I1587" i="1"/>
  <c r="J1587" i="1"/>
  <c r="K1587" i="1"/>
  <c r="L1587" i="1"/>
  <c r="M1587" i="1"/>
  <c r="N1587" i="1"/>
  <c r="O1587" i="1"/>
  <c r="P1587" i="1"/>
  <c r="Q1587" i="1"/>
  <c r="R1587" i="1"/>
  <c r="S1587" i="1"/>
  <c r="T1587" i="1"/>
  <c r="U1587" i="1"/>
  <c r="V1587" i="1"/>
  <c r="W1587" i="1"/>
  <c r="X1587" i="1"/>
  <c r="Y1587" i="1"/>
  <c r="Z1587" i="1"/>
  <c r="A1588" i="1"/>
  <c r="B1588" i="1"/>
  <c r="C1588" i="1"/>
  <c r="D1588" i="1"/>
  <c r="E1588" i="1"/>
  <c r="F1588" i="1"/>
  <c r="G1588" i="1"/>
  <c r="I1588" i="1"/>
  <c r="J1588" i="1"/>
  <c r="K1588" i="1"/>
  <c r="L1588" i="1"/>
  <c r="M1588" i="1"/>
  <c r="N1588" i="1"/>
  <c r="O1588" i="1"/>
  <c r="P1588" i="1"/>
  <c r="Q1588" i="1"/>
  <c r="R1588" i="1"/>
  <c r="S1588" i="1"/>
  <c r="T1588" i="1"/>
  <c r="U1588" i="1"/>
  <c r="V1588" i="1"/>
  <c r="W1588" i="1"/>
  <c r="X1588" i="1"/>
  <c r="Y1588" i="1"/>
  <c r="Z1588" i="1"/>
  <c r="A1589" i="1"/>
  <c r="B1589" i="1"/>
  <c r="C1589" i="1"/>
  <c r="D1589" i="1"/>
  <c r="E1589" i="1"/>
  <c r="F1589" i="1"/>
  <c r="G1589" i="1"/>
  <c r="I1589" i="1"/>
  <c r="J1589" i="1"/>
  <c r="K1589" i="1"/>
  <c r="L1589" i="1"/>
  <c r="M1589" i="1"/>
  <c r="N1589" i="1"/>
  <c r="O1589" i="1"/>
  <c r="P1589" i="1"/>
  <c r="Q1589" i="1"/>
  <c r="R1589" i="1"/>
  <c r="S1589" i="1"/>
  <c r="T1589" i="1"/>
  <c r="U1589" i="1"/>
  <c r="V1589" i="1"/>
  <c r="W1589" i="1"/>
  <c r="X1589" i="1"/>
  <c r="Y1589" i="1"/>
  <c r="Z1589" i="1"/>
  <c r="A1590" i="1"/>
  <c r="B1590" i="1"/>
  <c r="C1590" i="1"/>
  <c r="D1590" i="1"/>
  <c r="E1590" i="1"/>
  <c r="F1590" i="1"/>
  <c r="G1590" i="1"/>
  <c r="I1590" i="1"/>
  <c r="J1590" i="1"/>
  <c r="K1590" i="1"/>
  <c r="L1590" i="1"/>
  <c r="M1590" i="1"/>
  <c r="N1590" i="1"/>
  <c r="O1590" i="1"/>
  <c r="P1590" i="1"/>
  <c r="Q1590" i="1"/>
  <c r="R1590" i="1"/>
  <c r="S1590" i="1"/>
  <c r="T1590" i="1"/>
  <c r="U1590" i="1"/>
  <c r="V1590" i="1"/>
  <c r="W1590" i="1"/>
  <c r="X1590" i="1"/>
  <c r="Y1590" i="1"/>
  <c r="Z1590" i="1"/>
  <c r="A1591" i="1"/>
  <c r="B1591" i="1"/>
  <c r="C1591" i="1"/>
  <c r="D1591" i="1"/>
  <c r="E1591" i="1"/>
  <c r="F1591" i="1"/>
  <c r="G1591" i="1"/>
  <c r="I1591" i="1"/>
  <c r="J1591" i="1"/>
  <c r="K1591" i="1"/>
  <c r="L1591" i="1"/>
  <c r="M1591" i="1"/>
  <c r="N1591" i="1"/>
  <c r="O1591" i="1"/>
  <c r="P1591" i="1"/>
  <c r="Q1591" i="1"/>
  <c r="R1591" i="1"/>
  <c r="S1591" i="1"/>
  <c r="T1591" i="1"/>
  <c r="U1591" i="1"/>
  <c r="V1591" i="1"/>
  <c r="W1591" i="1"/>
  <c r="X1591" i="1"/>
  <c r="Y1591" i="1"/>
  <c r="Z1591" i="1"/>
  <c r="A1592" i="1"/>
  <c r="B1592" i="1"/>
  <c r="C1592" i="1"/>
  <c r="D1592" i="1"/>
  <c r="E1592" i="1"/>
  <c r="F1592" i="1"/>
  <c r="G1592" i="1"/>
  <c r="I1592" i="1"/>
  <c r="J1592" i="1"/>
  <c r="K1592" i="1"/>
  <c r="L1592" i="1"/>
  <c r="M1592" i="1"/>
  <c r="N1592" i="1"/>
  <c r="O1592" i="1"/>
  <c r="P1592" i="1"/>
  <c r="Q1592" i="1"/>
  <c r="R1592" i="1"/>
  <c r="S1592" i="1"/>
  <c r="T1592" i="1"/>
  <c r="U1592" i="1"/>
  <c r="V1592" i="1"/>
  <c r="W1592" i="1"/>
  <c r="X1592" i="1"/>
  <c r="Y1592" i="1"/>
  <c r="Z1592" i="1"/>
  <c r="A1593" i="1"/>
  <c r="B1593" i="1"/>
  <c r="C1593" i="1"/>
  <c r="D1593" i="1"/>
  <c r="E1593" i="1"/>
  <c r="F1593" i="1"/>
  <c r="G1593" i="1"/>
  <c r="I1593" i="1"/>
  <c r="J1593" i="1"/>
  <c r="K1593" i="1"/>
  <c r="L1593" i="1"/>
  <c r="M1593" i="1"/>
  <c r="N1593" i="1"/>
  <c r="O1593" i="1"/>
  <c r="P1593" i="1"/>
  <c r="Q1593" i="1"/>
  <c r="R1593" i="1"/>
  <c r="S1593" i="1"/>
  <c r="T1593" i="1"/>
  <c r="U1593" i="1"/>
  <c r="V1593" i="1"/>
  <c r="W1593" i="1"/>
  <c r="X1593" i="1"/>
  <c r="Y1593" i="1"/>
  <c r="Z1593" i="1"/>
  <c r="A1594" i="1"/>
  <c r="B1594" i="1"/>
  <c r="C1594" i="1"/>
  <c r="D1594" i="1"/>
  <c r="E1594" i="1"/>
  <c r="F1594" i="1"/>
  <c r="G1594" i="1"/>
  <c r="I1594" i="1"/>
  <c r="J1594" i="1"/>
  <c r="K1594" i="1"/>
  <c r="L1594" i="1"/>
  <c r="M1594" i="1"/>
  <c r="N1594" i="1"/>
  <c r="O1594" i="1"/>
  <c r="P1594" i="1"/>
  <c r="Q1594" i="1"/>
  <c r="R1594" i="1"/>
  <c r="S1594" i="1"/>
  <c r="T1594" i="1"/>
  <c r="U1594" i="1"/>
  <c r="V1594" i="1"/>
  <c r="W1594" i="1"/>
  <c r="X1594" i="1"/>
  <c r="Y1594" i="1"/>
  <c r="Z1594" i="1"/>
  <c r="A1595" i="1"/>
  <c r="B1595" i="1"/>
  <c r="C1595" i="1"/>
  <c r="D1595" i="1"/>
  <c r="E1595" i="1"/>
  <c r="F1595" i="1"/>
  <c r="G1595" i="1"/>
  <c r="I1595" i="1"/>
  <c r="J1595" i="1"/>
  <c r="K1595" i="1"/>
  <c r="L1595" i="1"/>
  <c r="M1595" i="1"/>
  <c r="N1595" i="1"/>
  <c r="O1595" i="1"/>
  <c r="P1595" i="1"/>
  <c r="Q1595" i="1"/>
  <c r="R1595" i="1"/>
  <c r="S1595" i="1"/>
  <c r="T1595" i="1"/>
  <c r="U1595" i="1"/>
  <c r="V1595" i="1"/>
  <c r="W1595" i="1"/>
  <c r="X1595" i="1"/>
  <c r="Y1595" i="1"/>
  <c r="Z1595" i="1"/>
  <c r="A1596" i="1"/>
  <c r="B1596" i="1"/>
  <c r="C1596" i="1"/>
  <c r="D1596" i="1"/>
  <c r="E1596" i="1"/>
  <c r="F1596" i="1"/>
  <c r="G1596" i="1"/>
  <c r="I1596" i="1"/>
  <c r="J1596" i="1"/>
  <c r="K1596" i="1"/>
  <c r="L1596" i="1"/>
  <c r="M1596" i="1"/>
  <c r="N1596" i="1"/>
  <c r="O1596" i="1"/>
  <c r="P1596" i="1"/>
  <c r="Q1596" i="1"/>
  <c r="R1596" i="1"/>
  <c r="S1596" i="1"/>
  <c r="T1596" i="1"/>
  <c r="U1596" i="1"/>
  <c r="V1596" i="1"/>
  <c r="W1596" i="1"/>
  <c r="X1596" i="1"/>
  <c r="Y1596" i="1"/>
  <c r="Z1596" i="1"/>
  <c r="A1597" i="1"/>
  <c r="B1597" i="1"/>
  <c r="C1597" i="1"/>
  <c r="D1597" i="1"/>
  <c r="E1597" i="1"/>
  <c r="F1597" i="1"/>
  <c r="G1597" i="1"/>
  <c r="I1597" i="1"/>
  <c r="J1597" i="1"/>
  <c r="K1597" i="1"/>
  <c r="L1597" i="1"/>
  <c r="M1597" i="1"/>
  <c r="N1597" i="1"/>
  <c r="O1597" i="1"/>
  <c r="P1597" i="1"/>
  <c r="Q1597" i="1"/>
  <c r="R1597" i="1"/>
  <c r="S1597" i="1"/>
  <c r="T1597" i="1"/>
  <c r="U1597" i="1"/>
  <c r="V1597" i="1"/>
  <c r="W1597" i="1"/>
  <c r="X1597" i="1"/>
  <c r="Y1597" i="1"/>
  <c r="Z1597" i="1"/>
  <c r="A1598" i="1"/>
  <c r="B1598" i="1"/>
  <c r="C1598" i="1"/>
  <c r="D1598" i="1"/>
  <c r="E1598" i="1"/>
  <c r="F1598" i="1"/>
  <c r="G1598" i="1"/>
  <c r="I1598" i="1"/>
  <c r="J1598" i="1"/>
  <c r="K1598" i="1"/>
  <c r="L1598" i="1"/>
  <c r="M1598" i="1"/>
  <c r="N1598" i="1"/>
  <c r="O1598" i="1"/>
  <c r="P1598" i="1"/>
  <c r="Q1598" i="1"/>
  <c r="R1598" i="1"/>
  <c r="S1598" i="1"/>
  <c r="T1598" i="1"/>
  <c r="U1598" i="1"/>
  <c r="V1598" i="1"/>
  <c r="W1598" i="1"/>
  <c r="X1598" i="1"/>
  <c r="Y1598" i="1"/>
  <c r="Z1598" i="1"/>
  <c r="A1599" i="1"/>
  <c r="B1599" i="1"/>
  <c r="C1599" i="1"/>
  <c r="D1599" i="1"/>
  <c r="E1599" i="1"/>
  <c r="F1599" i="1"/>
  <c r="G1599" i="1"/>
  <c r="I1599" i="1"/>
  <c r="J1599" i="1"/>
  <c r="K1599" i="1"/>
  <c r="L1599" i="1"/>
  <c r="M1599" i="1"/>
  <c r="N1599" i="1"/>
  <c r="O1599" i="1"/>
  <c r="P1599" i="1"/>
  <c r="Q1599" i="1"/>
  <c r="R1599" i="1"/>
  <c r="S1599" i="1"/>
  <c r="T1599" i="1"/>
  <c r="U1599" i="1"/>
  <c r="V1599" i="1"/>
  <c r="W1599" i="1"/>
  <c r="X1599" i="1"/>
  <c r="Y1599" i="1"/>
  <c r="Z1599" i="1"/>
  <c r="A1600" i="1"/>
  <c r="B1600" i="1"/>
  <c r="C1600" i="1"/>
  <c r="D1600" i="1"/>
  <c r="E1600" i="1"/>
  <c r="F1600" i="1"/>
  <c r="G1600" i="1"/>
  <c r="I1600" i="1"/>
  <c r="J1600" i="1"/>
  <c r="K1600" i="1"/>
  <c r="L1600" i="1"/>
  <c r="M1600" i="1"/>
  <c r="N1600" i="1"/>
  <c r="O1600" i="1"/>
  <c r="P1600" i="1"/>
  <c r="Q1600" i="1"/>
  <c r="R1600" i="1"/>
  <c r="S1600" i="1"/>
  <c r="T1600" i="1"/>
  <c r="U1600" i="1"/>
  <c r="V1600" i="1"/>
  <c r="W1600" i="1"/>
  <c r="X1600" i="1"/>
  <c r="Y1600" i="1"/>
  <c r="Z1600" i="1"/>
  <c r="A1601" i="1"/>
  <c r="B1601" i="1"/>
  <c r="C1601" i="1"/>
  <c r="D1601" i="1"/>
  <c r="E1601" i="1"/>
  <c r="F1601" i="1"/>
  <c r="G1601" i="1"/>
  <c r="I1601" i="1"/>
  <c r="J1601" i="1"/>
  <c r="K1601" i="1"/>
  <c r="L1601" i="1"/>
  <c r="M1601" i="1"/>
  <c r="N1601" i="1"/>
  <c r="O1601" i="1"/>
  <c r="P1601" i="1"/>
  <c r="Q1601" i="1"/>
  <c r="R1601" i="1"/>
  <c r="S1601" i="1"/>
  <c r="T1601" i="1"/>
  <c r="U1601" i="1"/>
  <c r="V1601" i="1"/>
  <c r="W1601" i="1"/>
  <c r="X1601" i="1"/>
  <c r="Y1601" i="1"/>
  <c r="Z1601" i="1"/>
  <c r="A1602" i="1"/>
  <c r="B1602" i="1"/>
  <c r="C1602" i="1"/>
  <c r="D1602" i="1"/>
  <c r="E1602" i="1"/>
  <c r="F1602" i="1"/>
  <c r="G1602" i="1"/>
  <c r="I1602" i="1"/>
  <c r="J1602" i="1"/>
  <c r="K1602" i="1"/>
  <c r="L1602" i="1"/>
  <c r="M1602" i="1"/>
  <c r="N1602" i="1"/>
  <c r="O1602" i="1"/>
  <c r="P1602" i="1"/>
  <c r="Q1602" i="1"/>
  <c r="R1602" i="1"/>
  <c r="S1602" i="1"/>
  <c r="T1602" i="1"/>
  <c r="U1602" i="1"/>
  <c r="V1602" i="1"/>
  <c r="W1602" i="1"/>
  <c r="X1602" i="1"/>
  <c r="Y1602" i="1"/>
  <c r="Z1602" i="1"/>
  <c r="A1603" i="1"/>
  <c r="B1603" i="1"/>
  <c r="C1603" i="1"/>
  <c r="D1603" i="1"/>
  <c r="E1603" i="1"/>
  <c r="F1603" i="1"/>
  <c r="G1603" i="1"/>
  <c r="I1603" i="1"/>
  <c r="J1603" i="1"/>
  <c r="K1603" i="1"/>
  <c r="L1603" i="1"/>
  <c r="M1603" i="1"/>
  <c r="N1603" i="1"/>
  <c r="O1603" i="1"/>
  <c r="P1603" i="1"/>
  <c r="Q1603" i="1"/>
  <c r="R1603" i="1"/>
  <c r="S1603" i="1"/>
  <c r="T1603" i="1"/>
  <c r="U1603" i="1"/>
  <c r="V1603" i="1"/>
  <c r="W1603" i="1"/>
  <c r="X1603" i="1"/>
  <c r="Y1603" i="1"/>
  <c r="Z1603" i="1"/>
  <c r="A1604" i="1"/>
  <c r="B1604" i="1"/>
  <c r="C1604" i="1"/>
  <c r="D1604" i="1"/>
  <c r="E1604" i="1"/>
  <c r="F1604" i="1"/>
  <c r="G1604" i="1"/>
  <c r="I1604" i="1"/>
  <c r="J1604" i="1"/>
  <c r="K1604" i="1"/>
  <c r="L1604" i="1"/>
  <c r="M1604" i="1"/>
  <c r="N1604" i="1"/>
  <c r="O1604" i="1"/>
  <c r="P1604" i="1"/>
  <c r="Q1604" i="1"/>
  <c r="R1604" i="1"/>
  <c r="S1604" i="1"/>
  <c r="T1604" i="1"/>
  <c r="U1604" i="1"/>
  <c r="V1604" i="1"/>
  <c r="W1604" i="1"/>
  <c r="X1604" i="1"/>
  <c r="Y1604" i="1"/>
  <c r="Z1604" i="1"/>
  <c r="A1605" i="1"/>
  <c r="B1605" i="1"/>
  <c r="C1605" i="1"/>
  <c r="D1605" i="1"/>
  <c r="E1605" i="1"/>
  <c r="F1605" i="1"/>
  <c r="G1605" i="1"/>
  <c r="I1605" i="1"/>
  <c r="J1605" i="1"/>
  <c r="K1605" i="1"/>
  <c r="L1605" i="1"/>
  <c r="M1605" i="1"/>
  <c r="N1605" i="1"/>
  <c r="O1605" i="1"/>
  <c r="P1605" i="1"/>
  <c r="Q1605" i="1"/>
  <c r="R1605" i="1"/>
  <c r="S1605" i="1"/>
  <c r="T1605" i="1"/>
  <c r="U1605" i="1"/>
  <c r="V1605" i="1"/>
  <c r="W1605" i="1"/>
  <c r="X1605" i="1"/>
  <c r="Y1605" i="1"/>
  <c r="Z1605" i="1"/>
  <c r="A1606" i="1"/>
  <c r="B1606" i="1"/>
  <c r="C1606" i="1"/>
  <c r="D1606" i="1"/>
  <c r="E1606" i="1"/>
  <c r="F1606" i="1"/>
  <c r="G1606" i="1"/>
  <c r="I1606" i="1"/>
  <c r="J1606" i="1"/>
  <c r="K1606" i="1"/>
  <c r="L1606" i="1"/>
  <c r="M1606" i="1"/>
  <c r="N1606" i="1"/>
  <c r="O1606" i="1"/>
  <c r="P1606" i="1"/>
  <c r="Q1606" i="1"/>
  <c r="R1606" i="1"/>
  <c r="S1606" i="1"/>
  <c r="T1606" i="1"/>
  <c r="U1606" i="1"/>
  <c r="V1606" i="1"/>
  <c r="W1606" i="1"/>
  <c r="X1606" i="1"/>
  <c r="Y1606" i="1"/>
  <c r="Z1606" i="1"/>
  <c r="A1607" i="1"/>
  <c r="B1607" i="1"/>
  <c r="C1607" i="1"/>
  <c r="D1607" i="1"/>
  <c r="E1607" i="1"/>
  <c r="F1607" i="1"/>
  <c r="G1607" i="1"/>
  <c r="I1607" i="1"/>
  <c r="J1607" i="1"/>
  <c r="K1607" i="1"/>
  <c r="L1607" i="1"/>
  <c r="M1607" i="1"/>
  <c r="N1607" i="1"/>
  <c r="O1607" i="1"/>
  <c r="P1607" i="1"/>
  <c r="Q1607" i="1"/>
  <c r="R1607" i="1"/>
  <c r="S1607" i="1"/>
  <c r="T1607" i="1"/>
  <c r="U1607" i="1"/>
  <c r="V1607" i="1"/>
  <c r="W1607" i="1"/>
  <c r="X1607" i="1"/>
  <c r="Y1607" i="1"/>
  <c r="Z1607" i="1"/>
  <c r="A1608" i="1"/>
  <c r="B1608" i="1"/>
  <c r="C1608" i="1"/>
  <c r="D1608" i="1"/>
  <c r="E1608" i="1"/>
  <c r="F1608" i="1"/>
  <c r="G1608" i="1"/>
  <c r="I1608" i="1"/>
  <c r="J1608" i="1"/>
  <c r="K1608" i="1"/>
  <c r="L1608" i="1"/>
  <c r="M1608" i="1"/>
  <c r="N1608" i="1"/>
  <c r="O1608" i="1"/>
  <c r="P1608" i="1"/>
  <c r="Q1608" i="1"/>
  <c r="R1608" i="1"/>
  <c r="S1608" i="1"/>
  <c r="T1608" i="1"/>
  <c r="U1608" i="1"/>
  <c r="V1608" i="1"/>
  <c r="W1608" i="1"/>
  <c r="X1608" i="1"/>
  <c r="Y1608" i="1"/>
  <c r="Z1608" i="1"/>
  <c r="A1609" i="1"/>
  <c r="B1609" i="1"/>
  <c r="C1609" i="1"/>
  <c r="D1609" i="1"/>
  <c r="E1609" i="1"/>
  <c r="F1609" i="1"/>
  <c r="G1609" i="1"/>
  <c r="I1609" i="1"/>
  <c r="J1609" i="1"/>
  <c r="K1609" i="1"/>
  <c r="L1609" i="1"/>
  <c r="M1609" i="1"/>
  <c r="N1609" i="1"/>
  <c r="O1609" i="1"/>
  <c r="P1609" i="1"/>
  <c r="Q1609" i="1"/>
  <c r="R1609" i="1"/>
  <c r="S1609" i="1"/>
  <c r="T1609" i="1"/>
  <c r="U1609" i="1"/>
  <c r="V1609" i="1"/>
  <c r="W1609" i="1"/>
  <c r="X1609" i="1"/>
  <c r="Y1609" i="1"/>
  <c r="Z1609" i="1"/>
  <c r="A1610" i="1"/>
  <c r="B1610" i="1"/>
  <c r="C1610" i="1"/>
  <c r="D1610" i="1"/>
  <c r="E1610" i="1"/>
  <c r="F1610" i="1"/>
  <c r="G1610" i="1"/>
  <c r="I1610" i="1"/>
  <c r="J1610" i="1"/>
  <c r="K1610" i="1"/>
  <c r="L1610" i="1"/>
  <c r="M1610" i="1"/>
  <c r="N1610" i="1"/>
  <c r="O1610" i="1"/>
  <c r="P1610" i="1"/>
  <c r="Q1610" i="1"/>
  <c r="R1610" i="1"/>
  <c r="S1610" i="1"/>
  <c r="T1610" i="1"/>
  <c r="U1610" i="1"/>
  <c r="V1610" i="1"/>
  <c r="W1610" i="1"/>
  <c r="X1610" i="1"/>
  <c r="Y1610" i="1"/>
  <c r="Z1610" i="1"/>
  <c r="A1611" i="1"/>
  <c r="B1611" i="1"/>
  <c r="C1611" i="1"/>
  <c r="D1611" i="1"/>
  <c r="E1611" i="1"/>
  <c r="F1611" i="1"/>
  <c r="G1611" i="1"/>
  <c r="I1611" i="1"/>
  <c r="J1611" i="1"/>
  <c r="K1611" i="1"/>
  <c r="L1611" i="1"/>
  <c r="M1611" i="1"/>
  <c r="N1611" i="1"/>
  <c r="O1611" i="1"/>
  <c r="P1611" i="1"/>
  <c r="Q1611" i="1"/>
  <c r="R1611" i="1"/>
  <c r="S1611" i="1"/>
  <c r="T1611" i="1"/>
  <c r="U1611" i="1"/>
  <c r="V1611" i="1"/>
  <c r="W1611" i="1"/>
  <c r="X1611" i="1"/>
  <c r="Y1611" i="1"/>
  <c r="Z1611" i="1"/>
  <c r="A1612" i="1"/>
  <c r="B1612" i="1"/>
  <c r="C1612" i="1"/>
  <c r="D1612" i="1"/>
  <c r="E1612" i="1"/>
  <c r="F1612" i="1"/>
  <c r="G1612" i="1"/>
  <c r="I1612" i="1"/>
  <c r="J1612" i="1"/>
  <c r="K1612" i="1"/>
  <c r="L1612" i="1"/>
  <c r="M1612" i="1"/>
  <c r="N1612" i="1"/>
  <c r="O1612" i="1"/>
  <c r="P1612" i="1"/>
  <c r="Q1612" i="1"/>
  <c r="R1612" i="1"/>
  <c r="S1612" i="1"/>
  <c r="T1612" i="1"/>
  <c r="U1612" i="1"/>
  <c r="V1612" i="1"/>
  <c r="W1612" i="1"/>
  <c r="X1612" i="1"/>
  <c r="Y1612" i="1"/>
  <c r="Z1612" i="1"/>
  <c r="A1613" i="1"/>
  <c r="B1613" i="1"/>
  <c r="C1613" i="1"/>
  <c r="D1613" i="1"/>
  <c r="E1613" i="1"/>
  <c r="F1613" i="1"/>
  <c r="G1613" i="1"/>
  <c r="I1613" i="1"/>
  <c r="J1613" i="1"/>
  <c r="K1613" i="1"/>
  <c r="L1613" i="1"/>
  <c r="M1613" i="1"/>
  <c r="N1613" i="1"/>
  <c r="O1613" i="1"/>
  <c r="P1613" i="1"/>
  <c r="Q1613" i="1"/>
  <c r="R1613" i="1"/>
  <c r="S1613" i="1"/>
  <c r="T1613" i="1"/>
  <c r="U1613" i="1"/>
  <c r="V1613" i="1"/>
  <c r="W1613" i="1"/>
  <c r="X1613" i="1"/>
  <c r="Y1613" i="1"/>
  <c r="Z1613" i="1"/>
  <c r="A1614" i="1"/>
  <c r="B1614" i="1"/>
  <c r="C1614" i="1"/>
  <c r="D1614" i="1"/>
  <c r="E1614" i="1"/>
  <c r="F1614" i="1"/>
  <c r="G1614" i="1"/>
  <c r="I1614" i="1"/>
  <c r="J1614" i="1"/>
  <c r="K1614" i="1"/>
  <c r="L1614" i="1"/>
  <c r="M1614" i="1"/>
  <c r="N1614" i="1"/>
  <c r="O1614" i="1"/>
  <c r="P1614" i="1"/>
  <c r="Q1614" i="1"/>
  <c r="R1614" i="1"/>
  <c r="S1614" i="1"/>
  <c r="T1614" i="1"/>
  <c r="U1614" i="1"/>
  <c r="V1614" i="1"/>
  <c r="W1614" i="1"/>
  <c r="X1614" i="1"/>
  <c r="Y1614" i="1"/>
  <c r="Z1614" i="1"/>
  <c r="A1615" i="1"/>
  <c r="B1615" i="1"/>
  <c r="C1615" i="1"/>
  <c r="D1615" i="1"/>
  <c r="E1615" i="1"/>
  <c r="F1615" i="1"/>
  <c r="G1615" i="1"/>
  <c r="I1615" i="1"/>
  <c r="J1615" i="1"/>
  <c r="K1615" i="1"/>
  <c r="L1615" i="1"/>
  <c r="M1615" i="1"/>
  <c r="N1615" i="1"/>
  <c r="O1615" i="1"/>
  <c r="P1615" i="1"/>
  <c r="Q1615" i="1"/>
  <c r="R1615" i="1"/>
  <c r="S1615" i="1"/>
  <c r="T1615" i="1"/>
  <c r="U1615" i="1"/>
  <c r="V1615" i="1"/>
  <c r="W1615" i="1"/>
  <c r="X1615" i="1"/>
  <c r="Y1615" i="1"/>
  <c r="Z1615" i="1"/>
  <c r="A1616" i="1"/>
  <c r="B1616" i="1"/>
  <c r="C1616" i="1"/>
  <c r="D1616" i="1"/>
  <c r="E1616" i="1"/>
  <c r="F1616" i="1"/>
  <c r="G1616" i="1"/>
  <c r="I1616" i="1"/>
  <c r="J1616" i="1"/>
  <c r="K1616" i="1"/>
  <c r="L1616" i="1"/>
  <c r="M1616" i="1"/>
  <c r="N1616" i="1"/>
  <c r="O1616" i="1"/>
  <c r="P1616" i="1"/>
  <c r="Q1616" i="1"/>
  <c r="R1616" i="1"/>
  <c r="S1616" i="1"/>
  <c r="T1616" i="1"/>
  <c r="U1616" i="1"/>
  <c r="V1616" i="1"/>
  <c r="W1616" i="1"/>
  <c r="X1616" i="1"/>
  <c r="Y1616" i="1"/>
  <c r="Z1616" i="1"/>
  <c r="A1617" i="1"/>
  <c r="B1617" i="1"/>
  <c r="C1617" i="1"/>
  <c r="D1617" i="1"/>
  <c r="E1617" i="1"/>
  <c r="F1617" i="1"/>
  <c r="G1617" i="1"/>
  <c r="I1617" i="1"/>
  <c r="J1617" i="1"/>
  <c r="K1617" i="1"/>
  <c r="L1617" i="1"/>
  <c r="M1617" i="1"/>
  <c r="N1617" i="1"/>
  <c r="O1617" i="1"/>
  <c r="P1617" i="1"/>
  <c r="Q1617" i="1"/>
  <c r="R1617" i="1"/>
  <c r="S1617" i="1"/>
  <c r="T1617" i="1"/>
  <c r="U1617" i="1"/>
  <c r="V1617" i="1"/>
  <c r="W1617" i="1"/>
  <c r="X1617" i="1"/>
  <c r="Y1617" i="1"/>
  <c r="Z1617" i="1"/>
  <c r="A1618" i="1"/>
  <c r="B1618" i="1"/>
  <c r="C1618" i="1"/>
  <c r="D1618" i="1"/>
  <c r="E1618" i="1"/>
  <c r="F1618" i="1"/>
  <c r="G1618" i="1"/>
  <c r="I1618" i="1"/>
  <c r="J1618" i="1"/>
  <c r="K1618" i="1"/>
  <c r="L1618" i="1"/>
  <c r="M1618" i="1"/>
  <c r="N1618" i="1"/>
  <c r="O1618" i="1"/>
  <c r="P1618" i="1"/>
  <c r="Q1618" i="1"/>
  <c r="R1618" i="1"/>
  <c r="S1618" i="1"/>
  <c r="T1618" i="1"/>
  <c r="U1618" i="1"/>
  <c r="V1618" i="1"/>
  <c r="W1618" i="1"/>
  <c r="X1618" i="1"/>
  <c r="Y1618" i="1"/>
  <c r="Z1618" i="1"/>
  <c r="A1619" i="1"/>
  <c r="B1619" i="1"/>
  <c r="C1619" i="1"/>
  <c r="D1619" i="1"/>
  <c r="E1619" i="1"/>
  <c r="F1619" i="1"/>
  <c r="G1619" i="1"/>
  <c r="I1619" i="1"/>
  <c r="J1619" i="1"/>
  <c r="K1619" i="1"/>
  <c r="L1619" i="1"/>
  <c r="M1619" i="1"/>
  <c r="N1619" i="1"/>
  <c r="O1619" i="1"/>
  <c r="P1619" i="1"/>
  <c r="Q1619" i="1"/>
  <c r="R1619" i="1"/>
  <c r="S1619" i="1"/>
  <c r="T1619" i="1"/>
  <c r="U1619" i="1"/>
  <c r="V1619" i="1"/>
  <c r="W1619" i="1"/>
  <c r="X1619" i="1"/>
  <c r="Y1619" i="1"/>
  <c r="Z1619" i="1"/>
  <c r="A1620" i="1"/>
  <c r="B1620" i="1"/>
  <c r="C1620" i="1"/>
  <c r="D1620" i="1"/>
  <c r="E1620" i="1"/>
  <c r="F1620" i="1"/>
  <c r="G1620" i="1"/>
  <c r="I1620" i="1"/>
  <c r="J1620" i="1"/>
  <c r="K1620" i="1"/>
  <c r="L1620" i="1"/>
  <c r="M1620" i="1"/>
  <c r="N1620" i="1"/>
  <c r="O1620" i="1"/>
  <c r="P1620" i="1"/>
  <c r="Q1620" i="1"/>
  <c r="R1620" i="1"/>
  <c r="S1620" i="1"/>
  <c r="T1620" i="1"/>
  <c r="U1620" i="1"/>
  <c r="V1620" i="1"/>
  <c r="W1620" i="1"/>
  <c r="X1620" i="1"/>
  <c r="Y1620" i="1"/>
  <c r="Z1620" i="1"/>
  <c r="A1621" i="1"/>
  <c r="B1621" i="1"/>
  <c r="C1621" i="1"/>
  <c r="D1621" i="1"/>
  <c r="E1621" i="1"/>
  <c r="F1621" i="1"/>
  <c r="G1621" i="1"/>
  <c r="I1621" i="1"/>
  <c r="J1621" i="1"/>
  <c r="K1621" i="1"/>
  <c r="L1621" i="1"/>
  <c r="M1621" i="1"/>
  <c r="N1621" i="1"/>
  <c r="O1621" i="1"/>
  <c r="P1621" i="1"/>
  <c r="Q1621" i="1"/>
  <c r="R1621" i="1"/>
  <c r="S1621" i="1"/>
  <c r="T1621" i="1"/>
  <c r="U1621" i="1"/>
  <c r="V1621" i="1"/>
  <c r="W1621" i="1"/>
  <c r="X1621" i="1"/>
  <c r="Y1621" i="1"/>
  <c r="Z1621" i="1"/>
  <c r="A1622" i="1"/>
  <c r="B1622" i="1"/>
  <c r="C1622" i="1"/>
  <c r="D1622" i="1"/>
  <c r="E1622" i="1"/>
  <c r="F1622" i="1"/>
  <c r="G1622" i="1"/>
  <c r="I1622" i="1"/>
  <c r="J1622" i="1"/>
  <c r="K1622" i="1"/>
  <c r="L1622" i="1"/>
  <c r="M1622" i="1"/>
  <c r="N1622" i="1"/>
  <c r="O1622" i="1"/>
  <c r="P1622" i="1"/>
  <c r="Q1622" i="1"/>
  <c r="R1622" i="1"/>
  <c r="S1622" i="1"/>
  <c r="T1622" i="1"/>
  <c r="U1622" i="1"/>
  <c r="V1622" i="1"/>
  <c r="W1622" i="1"/>
  <c r="X1622" i="1"/>
  <c r="Y1622" i="1"/>
  <c r="Z1622" i="1"/>
  <c r="A1623" i="1"/>
  <c r="B1623" i="1"/>
  <c r="C1623" i="1"/>
  <c r="D1623" i="1"/>
  <c r="E1623" i="1"/>
  <c r="F1623" i="1"/>
  <c r="G1623" i="1"/>
  <c r="I1623" i="1"/>
  <c r="J1623" i="1"/>
  <c r="K1623" i="1"/>
  <c r="L1623" i="1"/>
  <c r="M1623" i="1"/>
  <c r="N1623" i="1"/>
  <c r="O1623" i="1"/>
  <c r="P1623" i="1"/>
  <c r="Q1623" i="1"/>
  <c r="R1623" i="1"/>
  <c r="S1623" i="1"/>
  <c r="T1623" i="1"/>
  <c r="U1623" i="1"/>
  <c r="V1623" i="1"/>
  <c r="W1623" i="1"/>
  <c r="X1623" i="1"/>
  <c r="Y1623" i="1"/>
  <c r="Z1623" i="1"/>
  <c r="A1624" i="1"/>
  <c r="B1624" i="1"/>
  <c r="C1624" i="1"/>
  <c r="D1624" i="1"/>
  <c r="E1624" i="1"/>
  <c r="F1624" i="1"/>
  <c r="G1624" i="1"/>
  <c r="I1624" i="1"/>
  <c r="J1624" i="1"/>
  <c r="K1624" i="1"/>
  <c r="L1624" i="1"/>
  <c r="M1624" i="1"/>
  <c r="N1624" i="1"/>
  <c r="O1624" i="1"/>
  <c r="P1624" i="1"/>
  <c r="Q1624" i="1"/>
  <c r="R1624" i="1"/>
  <c r="S1624" i="1"/>
  <c r="T1624" i="1"/>
  <c r="U1624" i="1"/>
  <c r="V1624" i="1"/>
  <c r="W1624" i="1"/>
  <c r="X1624" i="1"/>
  <c r="Y1624" i="1"/>
  <c r="Z1624" i="1"/>
  <c r="A1625" i="1"/>
  <c r="B1625" i="1"/>
  <c r="C1625" i="1"/>
  <c r="D1625" i="1"/>
  <c r="E1625" i="1"/>
  <c r="F1625" i="1"/>
  <c r="G1625" i="1"/>
  <c r="I1625" i="1"/>
  <c r="J1625" i="1"/>
  <c r="K1625" i="1"/>
  <c r="L1625" i="1"/>
  <c r="M1625" i="1"/>
  <c r="N1625" i="1"/>
  <c r="O1625" i="1"/>
  <c r="P1625" i="1"/>
  <c r="Q1625" i="1"/>
  <c r="R1625" i="1"/>
  <c r="S1625" i="1"/>
  <c r="T1625" i="1"/>
  <c r="U1625" i="1"/>
  <c r="V1625" i="1"/>
  <c r="W1625" i="1"/>
  <c r="X1625" i="1"/>
  <c r="Y1625" i="1"/>
  <c r="Z1625" i="1"/>
  <c r="A1626" i="1"/>
  <c r="B1626" i="1"/>
  <c r="C1626" i="1"/>
  <c r="D1626" i="1"/>
  <c r="E1626" i="1"/>
  <c r="F1626" i="1"/>
  <c r="G1626" i="1"/>
  <c r="I1626" i="1"/>
  <c r="J1626" i="1"/>
  <c r="K1626" i="1"/>
  <c r="L1626" i="1"/>
  <c r="M1626" i="1"/>
  <c r="N1626" i="1"/>
  <c r="O1626" i="1"/>
  <c r="P1626" i="1"/>
  <c r="Q1626" i="1"/>
  <c r="R1626" i="1"/>
  <c r="S1626" i="1"/>
  <c r="T1626" i="1"/>
  <c r="U1626" i="1"/>
  <c r="V1626" i="1"/>
  <c r="W1626" i="1"/>
  <c r="X1626" i="1"/>
  <c r="Y1626" i="1"/>
  <c r="Z1626" i="1"/>
  <c r="A1627" i="1"/>
  <c r="B1627" i="1"/>
  <c r="C1627" i="1"/>
  <c r="D1627" i="1"/>
  <c r="E1627" i="1"/>
  <c r="F1627" i="1"/>
  <c r="G1627" i="1"/>
  <c r="I1627" i="1"/>
  <c r="J1627" i="1"/>
  <c r="K1627" i="1"/>
  <c r="L1627" i="1"/>
  <c r="M1627" i="1"/>
  <c r="N1627" i="1"/>
  <c r="O1627" i="1"/>
  <c r="P1627" i="1"/>
  <c r="Q1627" i="1"/>
  <c r="R1627" i="1"/>
  <c r="S1627" i="1"/>
  <c r="T1627" i="1"/>
  <c r="U1627" i="1"/>
  <c r="V1627" i="1"/>
  <c r="W1627" i="1"/>
  <c r="X1627" i="1"/>
  <c r="Y1627" i="1"/>
  <c r="Z1627" i="1"/>
  <c r="A1628" i="1"/>
  <c r="B1628" i="1"/>
  <c r="C1628" i="1"/>
  <c r="D1628" i="1"/>
  <c r="E1628" i="1"/>
  <c r="F1628" i="1"/>
  <c r="G1628" i="1"/>
  <c r="I1628" i="1"/>
  <c r="J1628" i="1"/>
  <c r="K1628" i="1"/>
  <c r="L1628" i="1"/>
  <c r="M1628" i="1"/>
  <c r="N1628" i="1"/>
  <c r="O1628" i="1"/>
  <c r="P1628" i="1"/>
  <c r="Q1628" i="1"/>
  <c r="R1628" i="1"/>
  <c r="S1628" i="1"/>
  <c r="T1628" i="1"/>
  <c r="U1628" i="1"/>
  <c r="V1628" i="1"/>
  <c r="W1628" i="1"/>
  <c r="X1628" i="1"/>
  <c r="Y1628" i="1"/>
  <c r="Z1628" i="1"/>
  <c r="A1629" i="1"/>
  <c r="B1629" i="1"/>
  <c r="C1629" i="1"/>
  <c r="D1629" i="1"/>
  <c r="E1629" i="1"/>
  <c r="F1629" i="1"/>
  <c r="G1629" i="1"/>
  <c r="I1629" i="1"/>
  <c r="J1629" i="1"/>
  <c r="K1629" i="1"/>
  <c r="L1629" i="1"/>
  <c r="M1629" i="1"/>
  <c r="N1629" i="1"/>
  <c r="O1629" i="1"/>
  <c r="P1629" i="1"/>
  <c r="Q1629" i="1"/>
  <c r="R1629" i="1"/>
  <c r="S1629" i="1"/>
  <c r="T1629" i="1"/>
  <c r="U1629" i="1"/>
  <c r="V1629" i="1"/>
  <c r="W1629" i="1"/>
  <c r="X1629" i="1"/>
  <c r="Y1629" i="1"/>
  <c r="Z1629" i="1"/>
  <c r="A1630" i="1"/>
  <c r="B1630" i="1"/>
  <c r="C1630" i="1"/>
  <c r="D1630" i="1"/>
  <c r="E1630" i="1"/>
  <c r="F1630" i="1"/>
  <c r="G1630" i="1"/>
  <c r="I1630" i="1"/>
  <c r="J1630" i="1"/>
  <c r="K1630" i="1"/>
  <c r="L1630" i="1"/>
  <c r="M1630" i="1"/>
  <c r="N1630" i="1"/>
  <c r="O1630" i="1"/>
  <c r="P1630" i="1"/>
  <c r="Q1630" i="1"/>
  <c r="R1630" i="1"/>
  <c r="S1630" i="1"/>
  <c r="T1630" i="1"/>
  <c r="U1630" i="1"/>
  <c r="V1630" i="1"/>
  <c r="W1630" i="1"/>
  <c r="X1630" i="1"/>
  <c r="Y1630" i="1"/>
  <c r="Z1630" i="1"/>
  <c r="A1631" i="1"/>
  <c r="B1631" i="1"/>
  <c r="C1631" i="1"/>
  <c r="D1631" i="1"/>
  <c r="E1631" i="1"/>
  <c r="F1631" i="1"/>
  <c r="G1631" i="1"/>
  <c r="I1631" i="1"/>
  <c r="J1631" i="1"/>
  <c r="K1631" i="1"/>
  <c r="L1631" i="1"/>
  <c r="M1631" i="1"/>
  <c r="N1631" i="1"/>
  <c r="O1631" i="1"/>
  <c r="P1631" i="1"/>
  <c r="Q1631" i="1"/>
  <c r="R1631" i="1"/>
  <c r="S1631" i="1"/>
  <c r="T1631" i="1"/>
  <c r="U1631" i="1"/>
  <c r="V1631" i="1"/>
  <c r="W1631" i="1"/>
  <c r="X1631" i="1"/>
  <c r="Y1631" i="1"/>
  <c r="Z1631" i="1"/>
  <c r="A1632" i="1"/>
  <c r="B1632" i="1"/>
  <c r="C1632" i="1"/>
  <c r="D1632" i="1"/>
  <c r="E1632" i="1"/>
  <c r="F1632" i="1"/>
  <c r="G1632" i="1"/>
  <c r="I1632" i="1"/>
  <c r="J1632" i="1"/>
  <c r="K1632" i="1"/>
  <c r="L1632" i="1"/>
  <c r="M1632" i="1"/>
  <c r="N1632" i="1"/>
  <c r="O1632" i="1"/>
  <c r="P1632" i="1"/>
  <c r="Q1632" i="1"/>
  <c r="R1632" i="1"/>
  <c r="S1632" i="1"/>
  <c r="T1632" i="1"/>
  <c r="U1632" i="1"/>
  <c r="V1632" i="1"/>
  <c r="W1632" i="1"/>
  <c r="X1632" i="1"/>
  <c r="Y1632" i="1"/>
  <c r="Z1632" i="1"/>
  <c r="A1633" i="1"/>
  <c r="B1633" i="1"/>
  <c r="C1633" i="1"/>
  <c r="D1633" i="1"/>
  <c r="E1633" i="1"/>
  <c r="F1633" i="1"/>
  <c r="G1633" i="1"/>
  <c r="I1633" i="1"/>
  <c r="J1633" i="1"/>
  <c r="K1633" i="1"/>
  <c r="L1633" i="1"/>
  <c r="M1633" i="1"/>
  <c r="N1633" i="1"/>
  <c r="O1633" i="1"/>
  <c r="P1633" i="1"/>
  <c r="Q1633" i="1"/>
  <c r="R1633" i="1"/>
  <c r="S1633" i="1"/>
  <c r="T1633" i="1"/>
  <c r="U1633" i="1"/>
  <c r="V1633" i="1"/>
  <c r="W1633" i="1"/>
  <c r="X1633" i="1"/>
  <c r="Y1633" i="1"/>
  <c r="Z1633" i="1"/>
  <c r="A1634" i="1"/>
  <c r="B1634" i="1"/>
  <c r="C1634" i="1"/>
  <c r="D1634" i="1"/>
  <c r="E1634" i="1"/>
  <c r="F1634" i="1"/>
  <c r="G1634" i="1"/>
  <c r="I1634" i="1"/>
  <c r="J1634" i="1"/>
  <c r="K1634" i="1"/>
  <c r="L1634" i="1"/>
  <c r="M1634" i="1"/>
  <c r="N1634" i="1"/>
  <c r="O1634" i="1"/>
  <c r="P1634" i="1"/>
  <c r="Q1634" i="1"/>
  <c r="R1634" i="1"/>
  <c r="S1634" i="1"/>
  <c r="T1634" i="1"/>
  <c r="U1634" i="1"/>
  <c r="V1634" i="1"/>
  <c r="W1634" i="1"/>
  <c r="X1634" i="1"/>
  <c r="Y1634" i="1"/>
  <c r="Z1634" i="1"/>
  <c r="A1635" i="1"/>
  <c r="B1635" i="1"/>
  <c r="C1635" i="1"/>
  <c r="D1635" i="1"/>
  <c r="E1635" i="1"/>
  <c r="F1635" i="1"/>
  <c r="G1635" i="1"/>
  <c r="I1635" i="1"/>
  <c r="J1635" i="1"/>
  <c r="K1635" i="1"/>
  <c r="L1635" i="1"/>
  <c r="M1635" i="1"/>
  <c r="N1635" i="1"/>
  <c r="O1635" i="1"/>
  <c r="P1635" i="1"/>
  <c r="Q1635" i="1"/>
  <c r="R1635" i="1"/>
  <c r="S1635" i="1"/>
  <c r="T1635" i="1"/>
  <c r="U1635" i="1"/>
  <c r="V1635" i="1"/>
  <c r="W1635" i="1"/>
  <c r="X1635" i="1"/>
  <c r="Y1635" i="1"/>
  <c r="Z1635" i="1"/>
  <c r="A1636" i="1"/>
  <c r="B1636" i="1"/>
  <c r="C1636" i="1"/>
  <c r="D1636" i="1"/>
  <c r="E1636" i="1"/>
  <c r="F1636" i="1"/>
  <c r="G1636" i="1"/>
  <c r="I1636" i="1"/>
  <c r="J1636" i="1"/>
  <c r="K1636" i="1"/>
  <c r="L1636" i="1"/>
  <c r="M1636" i="1"/>
  <c r="N1636" i="1"/>
  <c r="O1636" i="1"/>
  <c r="P1636" i="1"/>
  <c r="Q1636" i="1"/>
  <c r="R1636" i="1"/>
  <c r="S1636" i="1"/>
  <c r="T1636" i="1"/>
  <c r="U1636" i="1"/>
  <c r="V1636" i="1"/>
  <c r="W1636" i="1"/>
  <c r="X1636" i="1"/>
  <c r="Y1636" i="1"/>
  <c r="Z1636" i="1"/>
  <c r="A1637" i="1"/>
  <c r="B1637" i="1"/>
  <c r="C1637" i="1"/>
  <c r="D1637" i="1"/>
  <c r="E1637" i="1"/>
  <c r="F1637" i="1"/>
  <c r="G1637" i="1"/>
  <c r="I1637" i="1"/>
  <c r="J1637" i="1"/>
  <c r="K1637" i="1"/>
  <c r="L1637" i="1"/>
  <c r="M1637" i="1"/>
  <c r="N1637" i="1"/>
  <c r="O1637" i="1"/>
  <c r="P1637" i="1"/>
  <c r="Q1637" i="1"/>
  <c r="R1637" i="1"/>
  <c r="S1637" i="1"/>
  <c r="T1637" i="1"/>
  <c r="U1637" i="1"/>
  <c r="V1637" i="1"/>
  <c r="W1637" i="1"/>
  <c r="X1637" i="1"/>
  <c r="Y1637" i="1"/>
  <c r="Z1637" i="1"/>
  <c r="A1638" i="1"/>
  <c r="B1638" i="1"/>
  <c r="C1638" i="1"/>
  <c r="D1638" i="1"/>
  <c r="E1638" i="1"/>
  <c r="F1638" i="1"/>
  <c r="G1638" i="1"/>
  <c r="I1638" i="1"/>
  <c r="J1638" i="1"/>
  <c r="K1638" i="1"/>
  <c r="L1638" i="1"/>
  <c r="M1638" i="1"/>
  <c r="N1638" i="1"/>
  <c r="O1638" i="1"/>
  <c r="P1638" i="1"/>
  <c r="Q1638" i="1"/>
  <c r="R1638" i="1"/>
  <c r="S1638" i="1"/>
  <c r="T1638" i="1"/>
  <c r="U1638" i="1"/>
  <c r="V1638" i="1"/>
  <c r="W1638" i="1"/>
  <c r="X1638" i="1"/>
  <c r="Y1638" i="1"/>
  <c r="Z1638" i="1"/>
  <c r="A1639" i="1"/>
  <c r="B1639" i="1"/>
  <c r="C1639" i="1"/>
  <c r="D1639" i="1"/>
  <c r="E1639" i="1"/>
  <c r="F1639" i="1"/>
  <c r="G1639" i="1"/>
  <c r="I1639" i="1"/>
  <c r="J1639" i="1"/>
  <c r="K1639" i="1"/>
  <c r="L1639" i="1"/>
  <c r="M1639" i="1"/>
  <c r="N1639" i="1"/>
  <c r="O1639" i="1"/>
  <c r="P1639" i="1"/>
  <c r="Q1639" i="1"/>
  <c r="R1639" i="1"/>
  <c r="S1639" i="1"/>
  <c r="T1639" i="1"/>
  <c r="U1639" i="1"/>
  <c r="V1639" i="1"/>
  <c r="W1639" i="1"/>
  <c r="X1639" i="1"/>
  <c r="Y1639" i="1"/>
  <c r="Z1639" i="1"/>
  <c r="A1640" i="1"/>
  <c r="B1640" i="1"/>
  <c r="C1640" i="1"/>
  <c r="D1640" i="1"/>
  <c r="E1640" i="1"/>
  <c r="F1640" i="1"/>
  <c r="G1640" i="1"/>
  <c r="I1640" i="1"/>
  <c r="J1640" i="1"/>
  <c r="K1640" i="1"/>
  <c r="L1640" i="1"/>
  <c r="M1640" i="1"/>
  <c r="N1640" i="1"/>
  <c r="O1640" i="1"/>
  <c r="P1640" i="1"/>
  <c r="Q1640" i="1"/>
  <c r="R1640" i="1"/>
  <c r="S1640" i="1"/>
  <c r="T1640" i="1"/>
  <c r="U1640" i="1"/>
  <c r="V1640" i="1"/>
  <c r="W1640" i="1"/>
  <c r="X1640" i="1"/>
  <c r="Y1640" i="1"/>
  <c r="Z1640" i="1"/>
  <c r="A1641" i="1"/>
  <c r="B1641" i="1"/>
  <c r="C1641" i="1"/>
  <c r="D1641" i="1"/>
  <c r="E1641" i="1"/>
  <c r="F1641" i="1"/>
  <c r="G1641" i="1"/>
  <c r="I1641" i="1"/>
  <c r="J1641" i="1"/>
  <c r="K1641" i="1"/>
  <c r="L1641" i="1"/>
  <c r="M1641" i="1"/>
  <c r="N1641" i="1"/>
  <c r="O1641" i="1"/>
  <c r="P1641" i="1"/>
  <c r="Q1641" i="1"/>
  <c r="R1641" i="1"/>
  <c r="S1641" i="1"/>
  <c r="T1641" i="1"/>
  <c r="U1641" i="1"/>
  <c r="V1641" i="1"/>
  <c r="W1641" i="1"/>
  <c r="X1641" i="1"/>
  <c r="Y1641" i="1"/>
  <c r="Z1641" i="1"/>
  <c r="A1642" i="1"/>
  <c r="B1642" i="1"/>
  <c r="C1642" i="1"/>
  <c r="D1642" i="1"/>
  <c r="E1642" i="1"/>
  <c r="F1642" i="1"/>
  <c r="G1642" i="1"/>
  <c r="I1642" i="1"/>
  <c r="J1642" i="1"/>
  <c r="K1642" i="1"/>
  <c r="L1642" i="1"/>
  <c r="M1642" i="1"/>
  <c r="N1642" i="1"/>
  <c r="O1642" i="1"/>
  <c r="P1642" i="1"/>
  <c r="Q1642" i="1"/>
  <c r="R1642" i="1"/>
  <c r="S1642" i="1"/>
  <c r="T1642" i="1"/>
  <c r="U1642" i="1"/>
  <c r="V1642" i="1"/>
  <c r="W1642" i="1"/>
  <c r="X1642" i="1"/>
  <c r="Y1642" i="1"/>
  <c r="Z1642" i="1"/>
  <c r="A1643" i="1"/>
  <c r="B1643" i="1"/>
  <c r="C1643" i="1"/>
  <c r="D1643" i="1"/>
  <c r="E1643" i="1"/>
  <c r="F1643" i="1"/>
  <c r="G1643" i="1"/>
  <c r="I1643" i="1"/>
  <c r="J1643" i="1"/>
  <c r="K1643" i="1"/>
  <c r="L1643" i="1"/>
  <c r="M1643" i="1"/>
  <c r="N1643" i="1"/>
  <c r="O1643" i="1"/>
  <c r="P1643" i="1"/>
  <c r="Q1643" i="1"/>
  <c r="R1643" i="1"/>
  <c r="S1643" i="1"/>
  <c r="T1643" i="1"/>
  <c r="U1643" i="1"/>
  <c r="V1643" i="1"/>
  <c r="W1643" i="1"/>
  <c r="X1643" i="1"/>
  <c r="Y1643" i="1"/>
  <c r="Z1643" i="1"/>
  <c r="A1644" i="1"/>
  <c r="B1644" i="1"/>
  <c r="C1644" i="1"/>
  <c r="D1644" i="1"/>
  <c r="E1644" i="1"/>
  <c r="F1644" i="1"/>
  <c r="G1644" i="1"/>
  <c r="I1644" i="1"/>
  <c r="J1644" i="1"/>
  <c r="K1644" i="1"/>
  <c r="L1644" i="1"/>
  <c r="M1644" i="1"/>
  <c r="N1644" i="1"/>
  <c r="O1644" i="1"/>
  <c r="P1644" i="1"/>
  <c r="Q1644" i="1"/>
  <c r="R1644" i="1"/>
  <c r="S1644" i="1"/>
  <c r="T1644" i="1"/>
  <c r="U1644" i="1"/>
  <c r="V1644" i="1"/>
  <c r="W1644" i="1"/>
  <c r="X1644" i="1"/>
  <c r="Y1644" i="1"/>
  <c r="Z1644" i="1"/>
  <c r="A1645" i="1"/>
  <c r="B1645" i="1"/>
  <c r="C1645" i="1"/>
  <c r="D1645" i="1"/>
  <c r="E1645" i="1"/>
  <c r="F1645" i="1"/>
  <c r="G1645" i="1"/>
  <c r="I1645" i="1"/>
  <c r="J1645" i="1"/>
  <c r="K1645" i="1"/>
  <c r="L1645" i="1"/>
  <c r="M1645" i="1"/>
  <c r="N1645" i="1"/>
  <c r="O1645" i="1"/>
  <c r="P1645" i="1"/>
  <c r="Q1645" i="1"/>
  <c r="R1645" i="1"/>
  <c r="S1645" i="1"/>
  <c r="T1645" i="1"/>
  <c r="U1645" i="1"/>
  <c r="V1645" i="1"/>
  <c r="W1645" i="1"/>
  <c r="X1645" i="1"/>
  <c r="Y1645" i="1"/>
  <c r="Z1645" i="1"/>
  <c r="A1646" i="1"/>
  <c r="B1646" i="1"/>
  <c r="C1646" i="1"/>
  <c r="D1646" i="1"/>
  <c r="E1646" i="1"/>
  <c r="F1646" i="1"/>
  <c r="G1646" i="1"/>
  <c r="I1646" i="1"/>
  <c r="J1646" i="1"/>
  <c r="K1646" i="1"/>
  <c r="L1646" i="1"/>
  <c r="M1646" i="1"/>
  <c r="N1646" i="1"/>
  <c r="O1646" i="1"/>
  <c r="P1646" i="1"/>
  <c r="Q1646" i="1"/>
  <c r="R1646" i="1"/>
  <c r="S1646" i="1"/>
  <c r="T1646" i="1"/>
  <c r="U1646" i="1"/>
  <c r="V1646" i="1"/>
  <c r="W1646" i="1"/>
  <c r="X1646" i="1"/>
  <c r="Y1646" i="1"/>
  <c r="Z1646" i="1"/>
  <c r="A1647" i="1"/>
  <c r="B1647" i="1"/>
  <c r="C1647" i="1"/>
  <c r="D1647" i="1"/>
  <c r="E1647" i="1"/>
  <c r="F1647" i="1"/>
  <c r="G1647" i="1"/>
  <c r="I1647" i="1"/>
  <c r="J1647" i="1"/>
  <c r="K1647" i="1"/>
  <c r="L1647" i="1"/>
  <c r="M1647" i="1"/>
  <c r="N1647" i="1"/>
  <c r="O1647" i="1"/>
  <c r="P1647" i="1"/>
  <c r="Q1647" i="1"/>
  <c r="R1647" i="1"/>
  <c r="S1647" i="1"/>
  <c r="T1647" i="1"/>
  <c r="U1647" i="1"/>
  <c r="V1647" i="1"/>
  <c r="W1647" i="1"/>
  <c r="X1647" i="1"/>
  <c r="Y1647" i="1"/>
  <c r="Z1647" i="1"/>
  <c r="A1648" i="1"/>
  <c r="B1648" i="1"/>
  <c r="C1648" i="1"/>
  <c r="D1648" i="1"/>
  <c r="E1648" i="1"/>
  <c r="F1648" i="1"/>
  <c r="G1648" i="1"/>
  <c r="I1648" i="1"/>
  <c r="J1648" i="1"/>
  <c r="K1648" i="1"/>
  <c r="L1648" i="1"/>
  <c r="M1648" i="1"/>
  <c r="N1648" i="1"/>
  <c r="O1648" i="1"/>
  <c r="P1648" i="1"/>
  <c r="Q1648" i="1"/>
  <c r="R1648" i="1"/>
  <c r="S1648" i="1"/>
  <c r="T1648" i="1"/>
  <c r="U1648" i="1"/>
  <c r="V1648" i="1"/>
  <c r="W1648" i="1"/>
  <c r="X1648" i="1"/>
  <c r="Y1648" i="1"/>
  <c r="Z1648" i="1"/>
  <c r="A1649" i="1"/>
  <c r="B1649" i="1"/>
  <c r="C1649" i="1"/>
  <c r="D1649" i="1"/>
  <c r="E1649" i="1"/>
  <c r="F1649" i="1"/>
  <c r="G1649" i="1"/>
  <c r="I1649" i="1"/>
  <c r="J1649" i="1"/>
  <c r="K1649" i="1"/>
  <c r="L1649" i="1"/>
  <c r="M1649" i="1"/>
  <c r="N1649" i="1"/>
  <c r="O1649" i="1"/>
  <c r="P1649" i="1"/>
  <c r="Q1649" i="1"/>
  <c r="R1649" i="1"/>
  <c r="S1649" i="1"/>
  <c r="T1649" i="1"/>
  <c r="U1649" i="1"/>
  <c r="V1649" i="1"/>
  <c r="W1649" i="1"/>
  <c r="X1649" i="1"/>
  <c r="Y1649" i="1"/>
  <c r="Z1649" i="1"/>
  <c r="A1650" i="1"/>
  <c r="B1650" i="1"/>
  <c r="C1650" i="1"/>
  <c r="D1650" i="1"/>
  <c r="E1650" i="1"/>
  <c r="F1650" i="1"/>
  <c r="G1650" i="1"/>
  <c r="I1650" i="1"/>
  <c r="J1650" i="1"/>
  <c r="K1650" i="1"/>
  <c r="L1650" i="1"/>
  <c r="M1650" i="1"/>
  <c r="N1650" i="1"/>
  <c r="O1650" i="1"/>
  <c r="P1650" i="1"/>
  <c r="Q1650" i="1"/>
  <c r="R1650" i="1"/>
  <c r="S1650" i="1"/>
  <c r="T1650" i="1"/>
  <c r="U1650" i="1"/>
  <c r="V1650" i="1"/>
  <c r="W1650" i="1"/>
  <c r="X1650" i="1"/>
  <c r="Y1650" i="1"/>
  <c r="Z1650" i="1"/>
  <c r="A1651" i="1"/>
  <c r="B1651" i="1"/>
  <c r="C1651" i="1"/>
  <c r="D1651" i="1"/>
  <c r="E1651" i="1"/>
  <c r="F1651" i="1"/>
  <c r="G1651" i="1"/>
  <c r="I1651" i="1"/>
  <c r="J1651" i="1"/>
  <c r="K1651" i="1"/>
  <c r="L1651" i="1"/>
  <c r="M1651" i="1"/>
  <c r="N1651" i="1"/>
  <c r="O1651" i="1"/>
  <c r="P1651" i="1"/>
  <c r="Q1651" i="1"/>
  <c r="R1651" i="1"/>
  <c r="S1651" i="1"/>
  <c r="T1651" i="1"/>
  <c r="U1651" i="1"/>
  <c r="V1651" i="1"/>
  <c r="W1651" i="1"/>
  <c r="X1651" i="1"/>
  <c r="Y1651" i="1"/>
  <c r="Z1651" i="1"/>
  <c r="A1652" i="1"/>
  <c r="B1652" i="1"/>
  <c r="C1652" i="1"/>
  <c r="D1652" i="1"/>
  <c r="E1652" i="1"/>
  <c r="F1652" i="1"/>
  <c r="G1652" i="1"/>
  <c r="I1652" i="1"/>
  <c r="J1652" i="1"/>
  <c r="K1652" i="1"/>
  <c r="L1652" i="1"/>
  <c r="M1652" i="1"/>
  <c r="N1652" i="1"/>
  <c r="O1652" i="1"/>
  <c r="P1652" i="1"/>
  <c r="Q1652" i="1"/>
  <c r="R1652" i="1"/>
  <c r="S1652" i="1"/>
  <c r="T1652" i="1"/>
  <c r="U1652" i="1"/>
  <c r="V1652" i="1"/>
  <c r="W1652" i="1"/>
  <c r="X1652" i="1"/>
  <c r="Y1652" i="1"/>
  <c r="Z1652" i="1"/>
  <c r="A1653" i="1"/>
  <c r="B1653" i="1"/>
  <c r="C1653" i="1"/>
  <c r="D1653" i="1"/>
  <c r="E1653" i="1"/>
  <c r="F1653" i="1"/>
  <c r="G1653" i="1"/>
  <c r="I1653" i="1"/>
  <c r="J1653" i="1"/>
  <c r="K1653" i="1"/>
  <c r="L1653" i="1"/>
  <c r="M1653" i="1"/>
  <c r="N1653" i="1"/>
  <c r="O1653" i="1"/>
  <c r="P1653" i="1"/>
  <c r="Q1653" i="1"/>
  <c r="R1653" i="1"/>
  <c r="S1653" i="1"/>
  <c r="T1653" i="1"/>
  <c r="U1653" i="1"/>
  <c r="V1653" i="1"/>
  <c r="W1653" i="1"/>
  <c r="X1653" i="1"/>
  <c r="Y1653" i="1"/>
  <c r="Z1653" i="1"/>
  <c r="A1654" i="1"/>
  <c r="B1654" i="1"/>
  <c r="C1654" i="1"/>
  <c r="D1654" i="1"/>
  <c r="E1654" i="1"/>
  <c r="F1654" i="1"/>
  <c r="G1654" i="1"/>
  <c r="I1654" i="1"/>
  <c r="J1654" i="1"/>
  <c r="K1654" i="1"/>
  <c r="L1654" i="1"/>
  <c r="M1654" i="1"/>
  <c r="N1654" i="1"/>
  <c r="O1654" i="1"/>
  <c r="P1654" i="1"/>
  <c r="Q1654" i="1"/>
  <c r="R1654" i="1"/>
  <c r="S1654" i="1"/>
  <c r="T1654" i="1"/>
  <c r="U1654" i="1"/>
  <c r="V1654" i="1"/>
  <c r="W1654" i="1"/>
  <c r="X1654" i="1"/>
  <c r="Y1654" i="1"/>
  <c r="Z1654" i="1"/>
  <c r="A1655" i="1"/>
  <c r="B1655" i="1"/>
  <c r="C1655" i="1"/>
  <c r="D1655" i="1"/>
  <c r="E1655" i="1"/>
  <c r="F1655" i="1"/>
  <c r="G1655" i="1"/>
  <c r="I1655" i="1"/>
  <c r="J1655" i="1"/>
  <c r="K1655" i="1"/>
  <c r="L1655" i="1"/>
  <c r="M1655" i="1"/>
  <c r="N1655" i="1"/>
  <c r="O1655" i="1"/>
  <c r="P1655" i="1"/>
  <c r="Q1655" i="1"/>
  <c r="R1655" i="1"/>
  <c r="S1655" i="1"/>
  <c r="T1655" i="1"/>
  <c r="U1655" i="1"/>
  <c r="V1655" i="1"/>
  <c r="W1655" i="1"/>
  <c r="X1655" i="1"/>
  <c r="Y1655" i="1"/>
  <c r="Z1655" i="1"/>
  <c r="A1656" i="1"/>
  <c r="B1656" i="1"/>
  <c r="C1656" i="1"/>
  <c r="D1656" i="1"/>
  <c r="E1656" i="1"/>
  <c r="F1656" i="1"/>
  <c r="G1656" i="1"/>
  <c r="I1656" i="1"/>
  <c r="J1656" i="1"/>
  <c r="K1656" i="1"/>
  <c r="L1656" i="1"/>
  <c r="M1656" i="1"/>
  <c r="N1656" i="1"/>
  <c r="O1656" i="1"/>
  <c r="P1656" i="1"/>
  <c r="Q1656" i="1"/>
  <c r="R1656" i="1"/>
  <c r="S1656" i="1"/>
  <c r="T1656" i="1"/>
  <c r="U1656" i="1"/>
  <c r="V1656" i="1"/>
  <c r="W1656" i="1"/>
  <c r="X1656" i="1"/>
  <c r="Y1656" i="1"/>
  <c r="Z1656" i="1"/>
  <c r="A1657" i="1"/>
  <c r="B1657" i="1"/>
  <c r="C1657" i="1"/>
  <c r="D1657" i="1"/>
  <c r="E1657" i="1"/>
  <c r="F1657" i="1"/>
  <c r="G1657" i="1"/>
  <c r="I1657" i="1"/>
  <c r="J1657" i="1"/>
  <c r="K1657" i="1"/>
  <c r="L1657" i="1"/>
  <c r="M1657" i="1"/>
  <c r="N1657" i="1"/>
  <c r="O1657" i="1"/>
  <c r="P1657" i="1"/>
  <c r="Q1657" i="1"/>
  <c r="R1657" i="1"/>
  <c r="S1657" i="1"/>
  <c r="T1657" i="1"/>
  <c r="U1657" i="1"/>
  <c r="V1657" i="1"/>
  <c r="W1657" i="1"/>
  <c r="X1657" i="1"/>
  <c r="Y1657" i="1"/>
  <c r="Z1657" i="1"/>
  <c r="A1658" i="1"/>
  <c r="B1658" i="1"/>
  <c r="C1658" i="1"/>
  <c r="D1658" i="1"/>
  <c r="E1658" i="1"/>
  <c r="F1658" i="1"/>
  <c r="G1658" i="1"/>
  <c r="I1658" i="1"/>
  <c r="J1658" i="1"/>
  <c r="K1658" i="1"/>
  <c r="L1658" i="1"/>
  <c r="M1658" i="1"/>
  <c r="N1658" i="1"/>
  <c r="O1658" i="1"/>
  <c r="P1658" i="1"/>
  <c r="Q1658" i="1"/>
  <c r="R1658" i="1"/>
  <c r="S1658" i="1"/>
  <c r="T1658" i="1"/>
  <c r="U1658" i="1"/>
  <c r="V1658" i="1"/>
  <c r="W1658" i="1"/>
  <c r="X1658" i="1"/>
  <c r="Y1658" i="1"/>
  <c r="Z1658" i="1"/>
  <c r="A1659" i="1"/>
  <c r="B1659" i="1"/>
  <c r="C1659" i="1"/>
  <c r="D1659" i="1"/>
  <c r="E1659" i="1"/>
  <c r="F1659" i="1"/>
  <c r="G1659" i="1"/>
  <c r="I1659" i="1"/>
  <c r="J1659" i="1"/>
  <c r="K1659" i="1"/>
  <c r="L1659" i="1"/>
  <c r="M1659" i="1"/>
  <c r="N1659" i="1"/>
  <c r="O1659" i="1"/>
  <c r="P1659" i="1"/>
  <c r="Q1659" i="1"/>
  <c r="R1659" i="1"/>
  <c r="S1659" i="1"/>
  <c r="T1659" i="1"/>
  <c r="U1659" i="1"/>
  <c r="V1659" i="1"/>
  <c r="W1659" i="1"/>
  <c r="X1659" i="1"/>
  <c r="Y1659" i="1"/>
  <c r="Z1659" i="1"/>
  <c r="A1660" i="1"/>
  <c r="B1660" i="1"/>
  <c r="C1660" i="1"/>
  <c r="D1660" i="1"/>
  <c r="E1660" i="1"/>
  <c r="F1660" i="1"/>
  <c r="G1660" i="1"/>
  <c r="I1660" i="1"/>
  <c r="J1660" i="1"/>
  <c r="K1660" i="1"/>
  <c r="L1660" i="1"/>
  <c r="M1660" i="1"/>
  <c r="N1660" i="1"/>
  <c r="O1660" i="1"/>
  <c r="P1660" i="1"/>
  <c r="Q1660" i="1"/>
  <c r="R1660" i="1"/>
  <c r="S1660" i="1"/>
  <c r="T1660" i="1"/>
  <c r="U1660" i="1"/>
  <c r="V1660" i="1"/>
  <c r="W1660" i="1"/>
  <c r="X1660" i="1"/>
  <c r="Y1660" i="1"/>
  <c r="Z1660" i="1"/>
  <c r="A1661" i="1"/>
  <c r="B1661" i="1"/>
  <c r="C1661" i="1"/>
  <c r="D1661" i="1"/>
  <c r="E1661" i="1"/>
  <c r="F1661" i="1"/>
  <c r="G1661" i="1"/>
  <c r="I1661" i="1"/>
  <c r="J1661" i="1"/>
  <c r="K1661" i="1"/>
  <c r="L1661" i="1"/>
  <c r="M1661" i="1"/>
  <c r="N1661" i="1"/>
  <c r="O1661" i="1"/>
  <c r="P1661" i="1"/>
  <c r="Q1661" i="1"/>
  <c r="R1661" i="1"/>
  <c r="S1661" i="1"/>
  <c r="T1661" i="1"/>
  <c r="U1661" i="1"/>
  <c r="V1661" i="1"/>
  <c r="W1661" i="1"/>
  <c r="X1661" i="1"/>
  <c r="Y1661" i="1"/>
  <c r="Z1661" i="1"/>
  <c r="A1662" i="1"/>
  <c r="B1662" i="1"/>
  <c r="C1662" i="1"/>
  <c r="D1662" i="1"/>
  <c r="E1662" i="1"/>
  <c r="F1662" i="1"/>
  <c r="G1662" i="1"/>
  <c r="I1662" i="1"/>
  <c r="J1662" i="1"/>
  <c r="K1662" i="1"/>
  <c r="L1662" i="1"/>
  <c r="M1662" i="1"/>
  <c r="N1662" i="1"/>
  <c r="O1662" i="1"/>
  <c r="P1662" i="1"/>
  <c r="Q1662" i="1"/>
  <c r="R1662" i="1"/>
  <c r="S1662" i="1"/>
  <c r="T1662" i="1"/>
  <c r="U1662" i="1"/>
  <c r="V1662" i="1"/>
  <c r="W1662" i="1"/>
  <c r="X1662" i="1"/>
  <c r="Y1662" i="1"/>
  <c r="Z1662" i="1"/>
  <c r="A1663" i="1"/>
  <c r="B1663" i="1"/>
  <c r="C1663" i="1"/>
  <c r="D1663" i="1"/>
  <c r="E1663" i="1"/>
  <c r="F1663" i="1"/>
  <c r="G1663" i="1"/>
  <c r="I1663" i="1"/>
  <c r="J1663" i="1"/>
  <c r="K1663" i="1"/>
  <c r="L1663" i="1"/>
  <c r="M1663" i="1"/>
  <c r="N1663" i="1"/>
  <c r="O1663" i="1"/>
  <c r="P1663" i="1"/>
  <c r="Q1663" i="1"/>
  <c r="R1663" i="1"/>
  <c r="S1663" i="1"/>
  <c r="T1663" i="1"/>
  <c r="U1663" i="1"/>
  <c r="V1663" i="1"/>
  <c r="W1663" i="1"/>
  <c r="X1663" i="1"/>
  <c r="Y1663" i="1"/>
  <c r="Z1663" i="1"/>
  <c r="A1664" i="1"/>
  <c r="B1664" i="1"/>
  <c r="C1664" i="1"/>
  <c r="D1664" i="1"/>
  <c r="E1664" i="1"/>
  <c r="F1664" i="1"/>
  <c r="G1664" i="1"/>
  <c r="I1664" i="1"/>
  <c r="J1664" i="1"/>
  <c r="K1664" i="1"/>
  <c r="L1664" i="1"/>
  <c r="M1664" i="1"/>
  <c r="N1664" i="1"/>
  <c r="O1664" i="1"/>
  <c r="P1664" i="1"/>
  <c r="Q1664" i="1"/>
  <c r="R1664" i="1"/>
  <c r="S1664" i="1"/>
  <c r="T1664" i="1"/>
  <c r="U1664" i="1"/>
  <c r="V1664" i="1"/>
  <c r="W1664" i="1"/>
  <c r="X1664" i="1"/>
  <c r="Y1664" i="1"/>
  <c r="Z1664" i="1"/>
  <c r="A1665" i="1"/>
  <c r="B1665" i="1"/>
  <c r="C1665" i="1"/>
  <c r="D1665" i="1"/>
  <c r="E1665" i="1"/>
  <c r="F1665" i="1"/>
  <c r="G1665" i="1"/>
  <c r="I1665" i="1"/>
  <c r="J1665" i="1"/>
  <c r="K1665" i="1"/>
  <c r="L1665" i="1"/>
  <c r="M1665" i="1"/>
  <c r="N1665" i="1"/>
  <c r="O1665" i="1"/>
  <c r="P1665" i="1"/>
  <c r="Q1665" i="1"/>
  <c r="R1665" i="1"/>
  <c r="S1665" i="1"/>
  <c r="T1665" i="1"/>
  <c r="U1665" i="1"/>
  <c r="V1665" i="1"/>
  <c r="W1665" i="1"/>
  <c r="X1665" i="1"/>
  <c r="Y1665" i="1"/>
  <c r="Z1665" i="1"/>
  <c r="A1666" i="1"/>
  <c r="B1666" i="1"/>
  <c r="C1666" i="1"/>
  <c r="D1666" i="1"/>
  <c r="E1666" i="1"/>
  <c r="F1666" i="1"/>
  <c r="G1666" i="1"/>
  <c r="I1666" i="1"/>
  <c r="J1666" i="1"/>
  <c r="K1666" i="1"/>
  <c r="L1666" i="1"/>
  <c r="M1666" i="1"/>
  <c r="N1666" i="1"/>
  <c r="O1666" i="1"/>
  <c r="P1666" i="1"/>
  <c r="Q1666" i="1"/>
  <c r="R1666" i="1"/>
  <c r="S1666" i="1"/>
  <c r="T1666" i="1"/>
  <c r="U1666" i="1"/>
  <c r="V1666" i="1"/>
  <c r="W1666" i="1"/>
  <c r="X1666" i="1"/>
  <c r="Y1666" i="1"/>
  <c r="Z1666" i="1"/>
  <c r="A1667" i="1"/>
  <c r="B1667" i="1"/>
  <c r="C1667" i="1"/>
  <c r="D1667" i="1"/>
  <c r="E1667" i="1"/>
  <c r="F1667" i="1"/>
  <c r="G1667" i="1"/>
  <c r="I1667" i="1"/>
  <c r="J1667" i="1"/>
  <c r="K1667" i="1"/>
  <c r="L1667" i="1"/>
  <c r="M1667" i="1"/>
  <c r="N1667" i="1"/>
  <c r="O1667" i="1"/>
  <c r="P1667" i="1"/>
  <c r="Q1667" i="1"/>
  <c r="R1667" i="1"/>
  <c r="S1667" i="1"/>
  <c r="T1667" i="1"/>
  <c r="U1667" i="1"/>
  <c r="V1667" i="1"/>
  <c r="W1667" i="1"/>
  <c r="X1667" i="1"/>
  <c r="Y1667" i="1"/>
  <c r="Z1667" i="1"/>
  <c r="A1668" i="1"/>
  <c r="B1668" i="1"/>
  <c r="C1668" i="1"/>
  <c r="D1668" i="1"/>
  <c r="E1668" i="1"/>
  <c r="F1668" i="1"/>
  <c r="G1668" i="1"/>
  <c r="I1668" i="1"/>
  <c r="J1668" i="1"/>
  <c r="K1668" i="1"/>
  <c r="L1668" i="1"/>
  <c r="M1668" i="1"/>
  <c r="N1668" i="1"/>
  <c r="O1668" i="1"/>
  <c r="P1668" i="1"/>
  <c r="Q1668" i="1"/>
  <c r="R1668" i="1"/>
  <c r="S1668" i="1"/>
  <c r="T1668" i="1"/>
  <c r="U1668" i="1"/>
  <c r="V1668" i="1"/>
  <c r="W1668" i="1"/>
  <c r="X1668" i="1"/>
  <c r="Y1668" i="1"/>
  <c r="Z1668" i="1"/>
  <c r="A1669" i="1"/>
  <c r="B1669" i="1"/>
  <c r="C1669" i="1"/>
  <c r="D1669" i="1"/>
  <c r="E1669" i="1"/>
  <c r="F1669" i="1"/>
  <c r="G1669" i="1"/>
  <c r="I1669" i="1"/>
  <c r="J1669" i="1"/>
  <c r="K1669" i="1"/>
  <c r="L1669" i="1"/>
  <c r="M1669" i="1"/>
  <c r="N1669" i="1"/>
  <c r="O1669" i="1"/>
  <c r="P1669" i="1"/>
  <c r="Q1669" i="1"/>
  <c r="R1669" i="1"/>
  <c r="S1669" i="1"/>
  <c r="T1669" i="1"/>
  <c r="U1669" i="1"/>
  <c r="V1669" i="1"/>
  <c r="W1669" i="1"/>
  <c r="X1669" i="1"/>
  <c r="Y1669" i="1"/>
  <c r="Z1669" i="1"/>
  <c r="A1670" i="1"/>
  <c r="B1670" i="1"/>
  <c r="C1670" i="1"/>
  <c r="D1670" i="1"/>
  <c r="E1670" i="1"/>
  <c r="F1670" i="1"/>
  <c r="G1670" i="1"/>
  <c r="I1670" i="1"/>
  <c r="J1670" i="1"/>
  <c r="K1670" i="1"/>
  <c r="L1670" i="1"/>
  <c r="M1670" i="1"/>
  <c r="N1670" i="1"/>
  <c r="O1670" i="1"/>
  <c r="P1670" i="1"/>
  <c r="Q1670" i="1"/>
  <c r="R1670" i="1"/>
  <c r="S1670" i="1"/>
  <c r="T1670" i="1"/>
  <c r="U1670" i="1"/>
  <c r="V1670" i="1"/>
  <c r="W1670" i="1"/>
  <c r="X1670" i="1"/>
  <c r="Y1670" i="1"/>
  <c r="Z1670" i="1"/>
  <c r="A1671" i="1"/>
  <c r="B1671" i="1"/>
  <c r="C1671" i="1"/>
  <c r="D1671" i="1"/>
  <c r="E1671" i="1"/>
  <c r="F1671" i="1"/>
  <c r="G1671" i="1"/>
  <c r="I1671" i="1"/>
  <c r="J1671" i="1"/>
  <c r="K1671" i="1"/>
  <c r="L1671" i="1"/>
  <c r="M1671" i="1"/>
  <c r="N1671" i="1"/>
  <c r="O1671" i="1"/>
  <c r="P1671" i="1"/>
  <c r="Q1671" i="1"/>
  <c r="R1671" i="1"/>
  <c r="S1671" i="1"/>
  <c r="T1671" i="1"/>
  <c r="U1671" i="1"/>
  <c r="V1671" i="1"/>
  <c r="W1671" i="1"/>
  <c r="X1671" i="1"/>
  <c r="Y1671" i="1"/>
  <c r="Z1671" i="1"/>
  <c r="A1672" i="1"/>
  <c r="B1672" i="1"/>
  <c r="C1672" i="1"/>
  <c r="D1672" i="1"/>
  <c r="E1672" i="1"/>
  <c r="F1672" i="1"/>
  <c r="G1672" i="1"/>
  <c r="I1672" i="1"/>
  <c r="J1672" i="1"/>
  <c r="K1672" i="1"/>
  <c r="L1672" i="1"/>
  <c r="M1672" i="1"/>
  <c r="N1672" i="1"/>
  <c r="O1672" i="1"/>
  <c r="P1672" i="1"/>
  <c r="Q1672" i="1"/>
  <c r="R1672" i="1"/>
  <c r="S1672" i="1"/>
  <c r="T1672" i="1"/>
  <c r="U1672" i="1"/>
  <c r="V1672" i="1"/>
  <c r="W1672" i="1"/>
  <c r="X1672" i="1"/>
  <c r="Y1672" i="1"/>
  <c r="Z1672" i="1"/>
  <c r="A1673" i="1"/>
  <c r="B1673" i="1"/>
  <c r="C1673" i="1"/>
  <c r="D1673" i="1"/>
  <c r="E1673" i="1"/>
  <c r="F1673" i="1"/>
  <c r="G1673" i="1"/>
  <c r="I1673" i="1"/>
  <c r="J1673" i="1"/>
  <c r="K1673" i="1"/>
  <c r="L1673" i="1"/>
  <c r="M1673" i="1"/>
  <c r="N1673" i="1"/>
  <c r="O1673" i="1"/>
  <c r="P1673" i="1"/>
  <c r="Q1673" i="1"/>
  <c r="R1673" i="1"/>
  <c r="S1673" i="1"/>
  <c r="T1673" i="1"/>
  <c r="U1673" i="1"/>
  <c r="V1673" i="1"/>
  <c r="W1673" i="1"/>
  <c r="X1673" i="1"/>
  <c r="Y1673" i="1"/>
  <c r="Z1673" i="1"/>
  <c r="A1674" i="1"/>
  <c r="B1674" i="1"/>
  <c r="C1674" i="1"/>
  <c r="D1674" i="1"/>
  <c r="E1674" i="1"/>
  <c r="F1674" i="1"/>
  <c r="G1674" i="1"/>
  <c r="I1674" i="1"/>
  <c r="J1674" i="1"/>
  <c r="K1674" i="1"/>
  <c r="L1674" i="1"/>
  <c r="M1674" i="1"/>
  <c r="N1674" i="1"/>
  <c r="O1674" i="1"/>
  <c r="P1674" i="1"/>
  <c r="Q1674" i="1"/>
  <c r="R1674" i="1"/>
  <c r="S1674" i="1"/>
  <c r="T1674" i="1"/>
  <c r="U1674" i="1"/>
  <c r="V1674" i="1"/>
  <c r="W1674" i="1"/>
  <c r="X1674" i="1"/>
  <c r="Y1674" i="1"/>
  <c r="Z1674" i="1"/>
  <c r="A1675" i="1"/>
  <c r="B1675" i="1"/>
  <c r="C1675" i="1"/>
  <c r="D1675" i="1"/>
  <c r="E1675" i="1"/>
  <c r="F1675" i="1"/>
  <c r="G1675" i="1"/>
  <c r="I1675" i="1"/>
  <c r="J1675" i="1"/>
  <c r="K1675" i="1"/>
  <c r="L1675" i="1"/>
  <c r="M1675" i="1"/>
  <c r="N1675" i="1"/>
  <c r="O1675" i="1"/>
  <c r="P1675" i="1"/>
  <c r="Q1675" i="1"/>
  <c r="R1675" i="1"/>
  <c r="S1675" i="1"/>
  <c r="T1675" i="1"/>
  <c r="U1675" i="1"/>
  <c r="V1675" i="1"/>
  <c r="W1675" i="1"/>
  <c r="X1675" i="1"/>
  <c r="Y1675" i="1"/>
  <c r="Z1675" i="1"/>
  <c r="A1676" i="1"/>
  <c r="B1676" i="1"/>
  <c r="C1676" i="1"/>
  <c r="D1676" i="1"/>
  <c r="E1676" i="1"/>
  <c r="F1676" i="1"/>
  <c r="G1676" i="1"/>
  <c r="I1676" i="1"/>
  <c r="J1676" i="1"/>
  <c r="K1676" i="1"/>
  <c r="L1676" i="1"/>
  <c r="M1676" i="1"/>
  <c r="N1676" i="1"/>
  <c r="O1676" i="1"/>
  <c r="P1676" i="1"/>
  <c r="Q1676" i="1"/>
  <c r="R1676" i="1"/>
  <c r="S1676" i="1"/>
  <c r="T1676" i="1"/>
  <c r="U1676" i="1"/>
  <c r="V1676" i="1"/>
  <c r="W1676" i="1"/>
  <c r="X1676" i="1"/>
  <c r="Y1676" i="1"/>
  <c r="Z1676" i="1"/>
  <c r="A1677" i="1"/>
  <c r="B1677" i="1"/>
  <c r="C1677" i="1"/>
  <c r="D1677" i="1"/>
  <c r="E1677" i="1"/>
  <c r="F1677" i="1"/>
  <c r="G1677" i="1"/>
  <c r="I1677" i="1"/>
  <c r="J1677" i="1"/>
  <c r="K1677" i="1"/>
  <c r="L1677" i="1"/>
  <c r="M1677" i="1"/>
  <c r="N1677" i="1"/>
  <c r="O1677" i="1"/>
  <c r="P1677" i="1"/>
  <c r="Q1677" i="1"/>
  <c r="R1677" i="1"/>
  <c r="S1677" i="1"/>
  <c r="T1677" i="1"/>
  <c r="U1677" i="1"/>
  <c r="V1677" i="1"/>
  <c r="W1677" i="1"/>
  <c r="X1677" i="1"/>
  <c r="Y1677" i="1"/>
  <c r="Z1677" i="1"/>
  <c r="A1678" i="1"/>
  <c r="B1678" i="1"/>
  <c r="C1678" i="1"/>
  <c r="D1678" i="1"/>
  <c r="E1678" i="1"/>
  <c r="F1678" i="1"/>
  <c r="G1678" i="1"/>
  <c r="I1678" i="1"/>
  <c r="J1678" i="1"/>
  <c r="K1678" i="1"/>
  <c r="L1678" i="1"/>
  <c r="M1678" i="1"/>
  <c r="N1678" i="1"/>
  <c r="O1678" i="1"/>
  <c r="P1678" i="1"/>
  <c r="Q1678" i="1"/>
  <c r="R1678" i="1"/>
  <c r="S1678" i="1"/>
  <c r="T1678" i="1"/>
  <c r="U1678" i="1"/>
  <c r="V1678" i="1"/>
  <c r="W1678" i="1"/>
  <c r="X1678" i="1"/>
  <c r="Y1678" i="1"/>
  <c r="Z1678" i="1"/>
  <c r="A1679" i="1"/>
  <c r="B1679" i="1"/>
  <c r="C1679" i="1"/>
  <c r="D1679" i="1"/>
  <c r="E1679" i="1"/>
  <c r="F1679" i="1"/>
  <c r="G1679" i="1"/>
  <c r="I1679" i="1"/>
  <c r="J1679" i="1"/>
  <c r="K1679" i="1"/>
  <c r="L1679" i="1"/>
  <c r="M1679" i="1"/>
  <c r="N1679" i="1"/>
  <c r="O1679" i="1"/>
  <c r="P1679" i="1"/>
  <c r="Q1679" i="1"/>
  <c r="R1679" i="1"/>
  <c r="S1679" i="1"/>
  <c r="T1679" i="1"/>
  <c r="U1679" i="1"/>
  <c r="V1679" i="1"/>
  <c r="W1679" i="1"/>
  <c r="X1679" i="1"/>
  <c r="Y1679" i="1"/>
  <c r="Z1679" i="1"/>
  <c r="A1680" i="1"/>
  <c r="B1680" i="1"/>
  <c r="C1680" i="1"/>
  <c r="D1680" i="1"/>
  <c r="E1680" i="1"/>
  <c r="F1680" i="1"/>
  <c r="G1680" i="1"/>
  <c r="I1680" i="1"/>
  <c r="J1680" i="1"/>
  <c r="K1680" i="1"/>
  <c r="L1680" i="1"/>
  <c r="M1680" i="1"/>
  <c r="N1680" i="1"/>
  <c r="O1680" i="1"/>
  <c r="P1680" i="1"/>
  <c r="Q1680" i="1"/>
  <c r="R1680" i="1"/>
  <c r="S1680" i="1"/>
  <c r="T1680" i="1"/>
  <c r="U1680" i="1"/>
  <c r="V1680" i="1"/>
  <c r="W1680" i="1"/>
  <c r="X1680" i="1"/>
  <c r="Y1680" i="1"/>
  <c r="Z1680" i="1"/>
  <c r="A1681" i="1"/>
  <c r="B1681" i="1"/>
  <c r="C1681" i="1"/>
  <c r="D1681" i="1"/>
  <c r="E1681" i="1"/>
  <c r="F1681" i="1"/>
  <c r="G1681" i="1"/>
  <c r="I1681" i="1"/>
  <c r="J1681" i="1"/>
  <c r="K1681" i="1"/>
  <c r="L1681" i="1"/>
  <c r="M1681" i="1"/>
  <c r="N1681" i="1"/>
  <c r="O1681" i="1"/>
  <c r="P1681" i="1"/>
  <c r="Q1681" i="1"/>
  <c r="R1681" i="1"/>
  <c r="S1681" i="1"/>
  <c r="T1681" i="1"/>
  <c r="U1681" i="1"/>
  <c r="V1681" i="1"/>
  <c r="W1681" i="1"/>
  <c r="X1681" i="1"/>
  <c r="Y1681" i="1"/>
  <c r="Z1681" i="1"/>
  <c r="A1682" i="1"/>
  <c r="B1682" i="1"/>
  <c r="C1682" i="1"/>
  <c r="D1682" i="1"/>
  <c r="E1682" i="1"/>
  <c r="F1682" i="1"/>
  <c r="G1682" i="1"/>
  <c r="I1682" i="1"/>
  <c r="J1682" i="1"/>
  <c r="K1682" i="1"/>
  <c r="L1682" i="1"/>
  <c r="M1682" i="1"/>
  <c r="N1682" i="1"/>
  <c r="O1682" i="1"/>
  <c r="P1682" i="1"/>
  <c r="Q1682" i="1"/>
  <c r="R1682" i="1"/>
  <c r="S1682" i="1"/>
  <c r="T1682" i="1"/>
  <c r="U1682" i="1"/>
  <c r="V1682" i="1"/>
  <c r="W1682" i="1"/>
  <c r="X1682" i="1"/>
  <c r="Y1682" i="1"/>
  <c r="Z1682" i="1"/>
  <c r="A1683" i="1"/>
  <c r="B1683" i="1"/>
  <c r="C1683" i="1"/>
  <c r="D1683" i="1"/>
  <c r="E1683" i="1"/>
  <c r="F1683" i="1"/>
  <c r="G1683" i="1"/>
  <c r="I1683" i="1"/>
  <c r="J1683" i="1"/>
  <c r="K1683" i="1"/>
  <c r="L1683" i="1"/>
  <c r="M1683" i="1"/>
  <c r="N1683" i="1"/>
  <c r="O1683" i="1"/>
  <c r="P1683" i="1"/>
  <c r="Q1683" i="1"/>
  <c r="R1683" i="1"/>
  <c r="S1683" i="1"/>
  <c r="T1683" i="1"/>
  <c r="U1683" i="1"/>
  <c r="V1683" i="1"/>
  <c r="W1683" i="1"/>
  <c r="X1683" i="1"/>
  <c r="Y1683" i="1"/>
  <c r="Z1683" i="1"/>
  <c r="A1684" i="1"/>
  <c r="B1684" i="1"/>
  <c r="C1684" i="1"/>
  <c r="D1684" i="1"/>
  <c r="E1684" i="1"/>
  <c r="F1684" i="1"/>
  <c r="G1684" i="1"/>
  <c r="I1684" i="1"/>
  <c r="J1684" i="1"/>
  <c r="K1684" i="1"/>
  <c r="L1684" i="1"/>
  <c r="M1684" i="1"/>
  <c r="N1684" i="1"/>
  <c r="O1684" i="1"/>
  <c r="P1684" i="1"/>
  <c r="Q1684" i="1"/>
  <c r="R1684" i="1"/>
  <c r="S1684" i="1"/>
  <c r="T1684" i="1"/>
  <c r="U1684" i="1"/>
  <c r="V1684" i="1"/>
  <c r="W1684" i="1"/>
  <c r="X1684" i="1"/>
  <c r="Y1684" i="1"/>
  <c r="Z1684" i="1"/>
  <c r="A1685" i="1"/>
  <c r="B1685" i="1"/>
  <c r="C1685" i="1"/>
  <c r="D1685" i="1"/>
  <c r="E1685" i="1"/>
  <c r="F1685" i="1"/>
  <c r="G1685" i="1"/>
  <c r="I1685" i="1"/>
  <c r="J1685" i="1"/>
  <c r="K1685" i="1"/>
  <c r="L1685" i="1"/>
  <c r="M1685" i="1"/>
  <c r="N1685" i="1"/>
  <c r="O1685" i="1"/>
  <c r="P1685" i="1"/>
  <c r="Q1685" i="1"/>
  <c r="R1685" i="1"/>
  <c r="S1685" i="1"/>
  <c r="T1685" i="1"/>
  <c r="U1685" i="1"/>
  <c r="V1685" i="1"/>
  <c r="W1685" i="1"/>
  <c r="X1685" i="1"/>
  <c r="Y1685" i="1"/>
  <c r="Z1685" i="1"/>
  <c r="A1686" i="1"/>
  <c r="B1686" i="1"/>
  <c r="C1686" i="1"/>
  <c r="D1686" i="1"/>
  <c r="E1686" i="1"/>
  <c r="F1686" i="1"/>
  <c r="G1686" i="1"/>
  <c r="I1686" i="1"/>
  <c r="J1686" i="1"/>
  <c r="K1686" i="1"/>
  <c r="L1686" i="1"/>
  <c r="M1686" i="1"/>
  <c r="N1686" i="1"/>
  <c r="O1686" i="1"/>
  <c r="P1686" i="1"/>
  <c r="Q1686" i="1"/>
  <c r="R1686" i="1"/>
  <c r="S1686" i="1"/>
  <c r="T1686" i="1"/>
  <c r="U1686" i="1"/>
  <c r="V1686" i="1"/>
  <c r="W1686" i="1"/>
  <c r="X1686" i="1"/>
  <c r="Y1686" i="1"/>
  <c r="Z1686" i="1"/>
  <c r="A1687" i="1"/>
  <c r="B1687" i="1"/>
  <c r="C1687" i="1"/>
  <c r="D1687" i="1"/>
  <c r="E1687" i="1"/>
  <c r="F1687" i="1"/>
  <c r="G1687" i="1"/>
  <c r="I1687" i="1"/>
  <c r="J1687" i="1"/>
  <c r="K1687" i="1"/>
  <c r="L1687" i="1"/>
  <c r="M1687" i="1"/>
  <c r="N1687" i="1"/>
  <c r="O1687" i="1"/>
  <c r="P1687" i="1"/>
  <c r="Q1687" i="1"/>
  <c r="R1687" i="1"/>
  <c r="S1687" i="1"/>
  <c r="T1687" i="1"/>
  <c r="U1687" i="1"/>
  <c r="V1687" i="1"/>
  <c r="W1687" i="1"/>
  <c r="X1687" i="1"/>
  <c r="Y1687" i="1"/>
  <c r="Z1687" i="1"/>
  <c r="A1688" i="1"/>
  <c r="B1688" i="1"/>
  <c r="C1688" i="1"/>
  <c r="D1688" i="1"/>
  <c r="E1688" i="1"/>
  <c r="F1688" i="1"/>
  <c r="G1688" i="1"/>
  <c r="I1688" i="1"/>
  <c r="J1688" i="1"/>
  <c r="K1688" i="1"/>
  <c r="L1688" i="1"/>
  <c r="M1688" i="1"/>
  <c r="N1688" i="1"/>
  <c r="O1688" i="1"/>
  <c r="P1688" i="1"/>
  <c r="Q1688" i="1"/>
  <c r="R1688" i="1"/>
  <c r="S1688" i="1"/>
  <c r="T1688" i="1"/>
  <c r="U1688" i="1"/>
  <c r="V1688" i="1"/>
  <c r="W1688" i="1"/>
  <c r="X1688" i="1"/>
  <c r="Y1688" i="1"/>
  <c r="Z1688" i="1"/>
  <c r="A1689" i="1"/>
  <c r="B1689" i="1"/>
  <c r="C1689" i="1"/>
  <c r="D1689" i="1"/>
  <c r="E1689" i="1"/>
  <c r="F1689" i="1"/>
  <c r="G1689" i="1"/>
  <c r="I1689" i="1"/>
  <c r="J1689" i="1"/>
  <c r="K1689" i="1"/>
  <c r="L1689" i="1"/>
  <c r="M1689" i="1"/>
  <c r="N1689" i="1"/>
  <c r="O1689" i="1"/>
  <c r="P1689" i="1"/>
  <c r="Q1689" i="1"/>
  <c r="R1689" i="1"/>
  <c r="S1689" i="1"/>
  <c r="T1689" i="1"/>
  <c r="U1689" i="1"/>
  <c r="V1689" i="1"/>
  <c r="W1689" i="1"/>
  <c r="X1689" i="1"/>
  <c r="Y1689" i="1"/>
  <c r="Z1689" i="1"/>
  <c r="A1690" i="1"/>
  <c r="B1690" i="1"/>
  <c r="C1690" i="1"/>
  <c r="D1690" i="1"/>
  <c r="E1690" i="1"/>
  <c r="F1690" i="1"/>
  <c r="G1690" i="1"/>
  <c r="I1690" i="1"/>
  <c r="J1690" i="1"/>
  <c r="K1690" i="1"/>
  <c r="L1690" i="1"/>
  <c r="M1690" i="1"/>
  <c r="N1690" i="1"/>
  <c r="O1690" i="1"/>
  <c r="P1690" i="1"/>
  <c r="Q1690" i="1"/>
  <c r="R1690" i="1"/>
  <c r="S1690" i="1"/>
  <c r="T1690" i="1"/>
  <c r="U1690" i="1"/>
  <c r="V1690" i="1"/>
  <c r="W1690" i="1"/>
  <c r="X1690" i="1"/>
  <c r="Y1690" i="1"/>
  <c r="Z1690" i="1"/>
  <c r="A1691" i="1"/>
  <c r="B1691" i="1"/>
  <c r="C1691" i="1"/>
  <c r="D1691" i="1"/>
  <c r="E1691" i="1"/>
  <c r="F1691" i="1"/>
  <c r="G1691" i="1"/>
  <c r="I1691" i="1"/>
  <c r="J1691" i="1"/>
  <c r="K1691" i="1"/>
  <c r="L1691" i="1"/>
  <c r="M1691" i="1"/>
  <c r="N1691" i="1"/>
  <c r="O1691" i="1"/>
  <c r="P1691" i="1"/>
  <c r="Q1691" i="1"/>
  <c r="R1691" i="1"/>
  <c r="S1691" i="1"/>
  <c r="T1691" i="1"/>
  <c r="U1691" i="1"/>
  <c r="V1691" i="1"/>
  <c r="W1691" i="1"/>
  <c r="X1691" i="1"/>
  <c r="Y1691" i="1"/>
  <c r="Z1691" i="1"/>
  <c r="A1692" i="1"/>
  <c r="B1692" i="1"/>
  <c r="C1692" i="1"/>
  <c r="D1692" i="1"/>
  <c r="E1692" i="1"/>
  <c r="F1692" i="1"/>
  <c r="G1692" i="1"/>
  <c r="I1692" i="1"/>
  <c r="J1692" i="1"/>
  <c r="K1692" i="1"/>
  <c r="L1692" i="1"/>
  <c r="M1692" i="1"/>
  <c r="N1692" i="1"/>
  <c r="O1692" i="1"/>
  <c r="P1692" i="1"/>
  <c r="Q1692" i="1"/>
  <c r="R1692" i="1"/>
  <c r="S1692" i="1"/>
  <c r="T1692" i="1"/>
  <c r="U1692" i="1"/>
  <c r="V1692" i="1"/>
  <c r="W1692" i="1"/>
  <c r="X1692" i="1"/>
  <c r="Y1692" i="1"/>
  <c r="Z1692" i="1"/>
  <c r="A1693" i="1"/>
  <c r="B1693" i="1"/>
  <c r="C1693" i="1"/>
  <c r="D1693" i="1"/>
  <c r="E1693" i="1"/>
  <c r="F1693" i="1"/>
  <c r="G1693" i="1"/>
  <c r="I1693" i="1"/>
  <c r="J1693" i="1"/>
  <c r="K1693" i="1"/>
  <c r="L1693" i="1"/>
  <c r="M1693" i="1"/>
  <c r="N1693" i="1"/>
  <c r="O1693" i="1"/>
  <c r="P1693" i="1"/>
  <c r="Q1693" i="1"/>
  <c r="R1693" i="1"/>
  <c r="S1693" i="1"/>
  <c r="T1693" i="1"/>
  <c r="U1693" i="1"/>
  <c r="V1693" i="1"/>
  <c r="W1693" i="1"/>
  <c r="X1693" i="1"/>
  <c r="Y1693" i="1"/>
  <c r="Z1693" i="1"/>
  <c r="A1694" i="1"/>
  <c r="B1694" i="1"/>
  <c r="C1694" i="1"/>
  <c r="D1694" i="1"/>
  <c r="E1694" i="1"/>
  <c r="F1694" i="1"/>
  <c r="G1694" i="1"/>
  <c r="I1694" i="1"/>
  <c r="J1694" i="1"/>
  <c r="K1694" i="1"/>
  <c r="L1694" i="1"/>
  <c r="M1694" i="1"/>
  <c r="N1694" i="1"/>
  <c r="O1694" i="1"/>
  <c r="P1694" i="1"/>
  <c r="Q1694" i="1"/>
  <c r="R1694" i="1"/>
  <c r="S1694" i="1"/>
  <c r="T1694" i="1"/>
  <c r="U1694" i="1"/>
  <c r="V1694" i="1"/>
  <c r="W1694" i="1"/>
  <c r="X1694" i="1"/>
  <c r="Y1694" i="1"/>
  <c r="Z1694" i="1"/>
  <c r="A1695" i="1"/>
  <c r="B1695" i="1"/>
  <c r="C1695" i="1"/>
  <c r="D1695" i="1"/>
  <c r="E1695" i="1"/>
  <c r="F1695" i="1"/>
  <c r="G1695" i="1"/>
  <c r="I1695" i="1"/>
  <c r="J1695" i="1"/>
  <c r="K1695" i="1"/>
  <c r="L1695" i="1"/>
  <c r="M1695" i="1"/>
  <c r="N1695" i="1"/>
  <c r="O1695" i="1"/>
  <c r="P1695" i="1"/>
  <c r="Q1695" i="1"/>
  <c r="R1695" i="1"/>
  <c r="S1695" i="1"/>
  <c r="T1695" i="1"/>
  <c r="U1695" i="1"/>
  <c r="V1695" i="1"/>
  <c r="W1695" i="1"/>
  <c r="X1695" i="1"/>
  <c r="Y1695" i="1"/>
  <c r="Z1695" i="1"/>
  <c r="A1696" i="1"/>
  <c r="B1696" i="1"/>
  <c r="C1696" i="1"/>
  <c r="D1696" i="1"/>
  <c r="E1696" i="1"/>
  <c r="F1696" i="1"/>
  <c r="G1696" i="1"/>
  <c r="I1696" i="1"/>
  <c r="J1696" i="1"/>
  <c r="K1696" i="1"/>
  <c r="L1696" i="1"/>
  <c r="M1696" i="1"/>
  <c r="N1696" i="1"/>
  <c r="O1696" i="1"/>
  <c r="P1696" i="1"/>
  <c r="Q1696" i="1"/>
  <c r="R1696" i="1"/>
  <c r="S1696" i="1"/>
  <c r="T1696" i="1"/>
  <c r="U1696" i="1"/>
  <c r="V1696" i="1"/>
  <c r="W1696" i="1"/>
  <c r="X1696" i="1"/>
  <c r="Y1696" i="1"/>
  <c r="Z1696" i="1"/>
  <c r="A1697" i="1"/>
  <c r="B1697" i="1"/>
  <c r="C1697" i="1"/>
  <c r="D1697" i="1"/>
  <c r="E1697" i="1"/>
  <c r="F1697" i="1"/>
  <c r="G1697" i="1"/>
  <c r="I1697" i="1"/>
  <c r="J1697" i="1"/>
  <c r="K1697" i="1"/>
  <c r="L1697" i="1"/>
  <c r="M1697" i="1"/>
  <c r="N1697" i="1"/>
  <c r="O1697" i="1"/>
  <c r="P1697" i="1"/>
  <c r="Q1697" i="1"/>
  <c r="R1697" i="1"/>
  <c r="S1697" i="1"/>
  <c r="T1697" i="1"/>
  <c r="U1697" i="1"/>
  <c r="V1697" i="1"/>
  <c r="W1697" i="1"/>
  <c r="X1697" i="1"/>
  <c r="Y1697" i="1"/>
  <c r="Z1697" i="1"/>
  <c r="A1698" i="1"/>
  <c r="B1698" i="1"/>
  <c r="C1698" i="1"/>
  <c r="D1698" i="1"/>
  <c r="E1698" i="1"/>
  <c r="F1698" i="1"/>
  <c r="G1698" i="1"/>
  <c r="I1698" i="1"/>
  <c r="J1698" i="1"/>
  <c r="K1698" i="1"/>
  <c r="L1698" i="1"/>
  <c r="M1698" i="1"/>
  <c r="N1698" i="1"/>
  <c r="O1698" i="1"/>
  <c r="P1698" i="1"/>
  <c r="Q1698" i="1"/>
  <c r="R1698" i="1"/>
  <c r="S1698" i="1"/>
  <c r="T1698" i="1"/>
  <c r="U1698" i="1"/>
  <c r="V1698" i="1"/>
  <c r="W1698" i="1"/>
  <c r="X1698" i="1"/>
  <c r="Y1698" i="1"/>
  <c r="Z1698" i="1"/>
  <c r="A1699" i="1"/>
  <c r="B1699" i="1"/>
  <c r="C1699" i="1"/>
  <c r="D1699" i="1"/>
  <c r="E1699" i="1"/>
  <c r="F1699" i="1"/>
  <c r="G1699" i="1"/>
  <c r="I1699" i="1"/>
  <c r="J1699" i="1"/>
  <c r="K1699" i="1"/>
  <c r="L1699" i="1"/>
  <c r="M1699" i="1"/>
  <c r="N1699" i="1"/>
  <c r="O1699" i="1"/>
  <c r="P1699" i="1"/>
  <c r="Q1699" i="1"/>
  <c r="R1699" i="1"/>
  <c r="S1699" i="1"/>
  <c r="T1699" i="1"/>
  <c r="U1699" i="1"/>
  <c r="V1699" i="1"/>
  <c r="W1699" i="1"/>
  <c r="X1699" i="1"/>
  <c r="Y1699" i="1"/>
  <c r="Z1699" i="1"/>
  <c r="A1700" i="1"/>
  <c r="B1700" i="1"/>
  <c r="C1700" i="1"/>
  <c r="D1700" i="1"/>
  <c r="E1700" i="1"/>
  <c r="F1700" i="1"/>
  <c r="G1700" i="1"/>
  <c r="I1700" i="1"/>
  <c r="J1700" i="1"/>
  <c r="K1700" i="1"/>
  <c r="L1700" i="1"/>
  <c r="M1700" i="1"/>
  <c r="N1700" i="1"/>
  <c r="O1700" i="1"/>
  <c r="P1700" i="1"/>
  <c r="Q1700" i="1"/>
  <c r="R1700" i="1"/>
  <c r="S1700" i="1"/>
  <c r="T1700" i="1"/>
  <c r="U1700" i="1"/>
  <c r="V1700" i="1"/>
  <c r="W1700" i="1"/>
  <c r="X1700" i="1"/>
  <c r="Y1700" i="1"/>
  <c r="Z1700" i="1"/>
  <c r="A1701" i="1"/>
  <c r="B1701" i="1"/>
  <c r="C1701" i="1"/>
  <c r="D1701" i="1"/>
  <c r="E1701" i="1"/>
  <c r="F1701" i="1"/>
  <c r="G1701" i="1"/>
  <c r="I1701" i="1"/>
  <c r="J1701" i="1"/>
  <c r="K1701" i="1"/>
  <c r="L1701" i="1"/>
  <c r="M1701" i="1"/>
  <c r="N1701" i="1"/>
  <c r="O1701" i="1"/>
  <c r="P1701" i="1"/>
  <c r="Q1701" i="1"/>
  <c r="R1701" i="1"/>
  <c r="S1701" i="1"/>
  <c r="T1701" i="1"/>
  <c r="U1701" i="1"/>
  <c r="V1701" i="1"/>
  <c r="W1701" i="1"/>
  <c r="X1701" i="1"/>
  <c r="Y1701" i="1"/>
  <c r="Z1701" i="1"/>
  <c r="A1702" i="1"/>
  <c r="B1702" i="1"/>
  <c r="C1702" i="1"/>
  <c r="D1702" i="1"/>
  <c r="E1702" i="1"/>
  <c r="F1702" i="1"/>
  <c r="G1702" i="1"/>
  <c r="I1702" i="1"/>
  <c r="J1702" i="1"/>
  <c r="K1702" i="1"/>
  <c r="L1702" i="1"/>
  <c r="M1702" i="1"/>
  <c r="N1702" i="1"/>
  <c r="O1702" i="1"/>
  <c r="P1702" i="1"/>
  <c r="Q1702" i="1"/>
  <c r="R1702" i="1"/>
  <c r="S1702" i="1"/>
  <c r="T1702" i="1"/>
  <c r="U1702" i="1"/>
  <c r="V1702" i="1"/>
  <c r="W1702" i="1"/>
  <c r="X1702" i="1"/>
  <c r="Y1702" i="1"/>
  <c r="Z1702" i="1"/>
  <c r="A1703" i="1"/>
  <c r="B1703" i="1"/>
  <c r="C1703" i="1"/>
  <c r="D1703" i="1"/>
  <c r="E1703" i="1"/>
  <c r="F1703" i="1"/>
  <c r="G1703" i="1"/>
  <c r="I1703" i="1"/>
  <c r="J1703" i="1"/>
  <c r="K1703" i="1"/>
  <c r="L1703" i="1"/>
  <c r="M1703" i="1"/>
  <c r="N1703" i="1"/>
  <c r="O1703" i="1"/>
  <c r="P1703" i="1"/>
  <c r="Q1703" i="1"/>
  <c r="R1703" i="1"/>
  <c r="S1703" i="1"/>
  <c r="T1703" i="1"/>
  <c r="U1703" i="1"/>
  <c r="V1703" i="1"/>
  <c r="W1703" i="1"/>
  <c r="X1703" i="1"/>
  <c r="Y1703" i="1"/>
  <c r="Z1703" i="1"/>
  <c r="A1704" i="1"/>
  <c r="B1704" i="1"/>
  <c r="C1704" i="1"/>
  <c r="D1704" i="1"/>
  <c r="E1704" i="1"/>
  <c r="F1704" i="1"/>
  <c r="G1704" i="1"/>
  <c r="I1704" i="1"/>
  <c r="J1704" i="1"/>
  <c r="K1704" i="1"/>
  <c r="L1704" i="1"/>
  <c r="M1704" i="1"/>
  <c r="N1704" i="1"/>
  <c r="O1704" i="1"/>
  <c r="P1704" i="1"/>
  <c r="Q1704" i="1"/>
  <c r="R1704" i="1"/>
  <c r="S1704" i="1"/>
  <c r="T1704" i="1"/>
  <c r="U1704" i="1"/>
  <c r="V1704" i="1"/>
  <c r="W1704" i="1"/>
  <c r="X1704" i="1"/>
  <c r="Y1704" i="1"/>
  <c r="Z1704" i="1"/>
  <c r="A1705" i="1"/>
  <c r="B1705" i="1"/>
  <c r="C1705" i="1"/>
  <c r="D1705" i="1"/>
  <c r="E1705" i="1"/>
  <c r="F1705" i="1"/>
  <c r="G1705" i="1"/>
  <c r="I1705" i="1"/>
  <c r="J1705" i="1"/>
  <c r="K1705" i="1"/>
  <c r="L1705" i="1"/>
  <c r="M1705" i="1"/>
  <c r="N1705" i="1"/>
  <c r="O1705" i="1"/>
  <c r="P1705" i="1"/>
  <c r="Q1705" i="1"/>
  <c r="R1705" i="1"/>
  <c r="S1705" i="1"/>
  <c r="T1705" i="1"/>
  <c r="U1705" i="1"/>
  <c r="V1705" i="1"/>
  <c r="W1705" i="1"/>
  <c r="X1705" i="1"/>
  <c r="Y1705" i="1"/>
  <c r="Z1705" i="1"/>
  <c r="A1706" i="1"/>
  <c r="B1706" i="1"/>
  <c r="C1706" i="1"/>
  <c r="D1706" i="1"/>
  <c r="E1706" i="1"/>
  <c r="F1706" i="1"/>
  <c r="G1706" i="1"/>
  <c r="I1706" i="1"/>
  <c r="J1706" i="1"/>
  <c r="K1706" i="1"/>
  <c r="L1706" i="1"/>
  <c r="M1706" i="1"/>
  <c r="N1706" i="1"/>
  <c r="O1706" i="1"/>
  <c r="P1706" i="1"/>
  <c r="Q1706" i="1"/>
  <c r="R1706" i="1"/>
  <c r="S1706" i="1"/>
  <c r="T1706" i="1"/>
  <c r="U1706" i="1"/>
  <c r="V1706" i="1"/>
  <c r="W1706" i="1"/>
  <c r="X1706" i="1"/>
  <c r="Y1706" i="1"/>
  <c r="Z1706" i="1"/>
  <c r="A1707" i="1"/>
  <c r="B1707" i="1"/>
  <c r="C1707" i="1"/>
  <c r="D1707" i="1"/>
  <c r="E1707" i="1"/>
  <c r="F1707" i="1"/>
  <c r="G1707" i="1"/>
  <c r="I1707" i="1"/>
  <c r="J1707" i="1"/>
  <c r="K1707" i="1"/>
  <c r="L1707" i="1"/>
  <c r="M1707" i="1"/>
  <c r="N1707" i="1"/>
  <c r="O1707" i="1"/>
  <c r="P1707" i="1"/>
  <c r="Q1707" i="1"/>
  <c r="R1707" i="1"/>
  <c r="S1707" i="1"/>
  <c r="T1707" i="1"/>
  <c r="U1707" i="1"/>
  <c r="V1707" i="1"/>
  <c r="W1707" i="1"/>
  <c r="X1707" i="1"/>
  <c r="Y1707" i="1"/>
  <c r="Z1707" i="1"/>
  <c r="A1708" i="1"/>
  <c r="B1708" i="1"/>
  <c r="C1708" i="1"/>
  <c r="D1708" i="1"/>
  <c r="E1708" i="1"/>
  <c r="F1708" i="1"/>
  <c r="G1708" i="1"/>
  <c r="I1708" i="1"/>
  <c r="J1708" i="1"/>
  <c r="K1708" i="1"/>
  <c r="L1708" i="1"/>
  <c r="M1708" i="1"/>
  <c r="N1708" i="1"/>
  <c r="O1708" i="1"/>
  <c r="P1708" i="1"/>
  <c r="Q1708" i="1"/>
  <c r="R1708" i="1"/>
  <c r="S1708" i="1"/>
  <c r="T1708" i="1"/>
  <c r="U1708" i="1"/>
  <c r="V1708" i="1"/>
  <c r="W1708" i="1"/>
  <c r="X1708" i="1"/>
  <c r="Y1708" i="1"/>
  <c r="Z1708" i="1"/>
  <c r="A1709" i="1"/>
  <c r="B1709" i="1"/>
  <c r="C1709" i="1"/>
  <c r="D1709" i="1"/>
  <c r="E1709" i="1"/>
  <c r="F1709" i="1"/>
  <c r="G1709" i="1"/>
  <c r="I1709" i="1"/>
  <c r="J1709" i="1"/>
  <c r="K1709" i="1"/>
  <c r="L1709" i="1"/>
  <c r="M1709" i="1"/>
  <c r="N1709" i="1"/>
  <c r="O1709" i="1"/>
  <c r="P1709" i="1"/>
  <c r="Q1709" i="1"/>
  <c r="R1709" i="1"/>
  <c r="S1709" i="1"/>
  <c r="T1709" i="1"/>
  <c r="U1709" i="1"/>
  <c r="V1709" i="1"/>
  <c r="W1709" i="1"/>
  <c r="X1709" i="1"/>
  <c r="Y1709" i="1"/>
  <c r="Z1709" i="1"/>
  <c r="A1710" i="1"/>
  <c r="B1710" i="1"/>
  <c r="C1710" i="1"/>
  <c r="D1710" i="1"/>
  <c r="E1710" i="1"/>
  <c r="F1710" i="1"/>
  <c r="G1710" i="1"/>
  <c r="I1710" i="1"/>
  <c r="J1710" i="1"/>
  <c r="K1710" i="1"/>
  <c r="L1710" i="1"/>
  <c r="M1710" i="1"/>
  <c r="N1710" i="1"/>
  <c r="O1710" i="1"/>
  <c r="P1710" i="1"/>
  <c r="Q1710" i="1"/>
  <c r="R1710" i="1"/>
  <c r="S1710" i="1"/>
  <c r="T1710" i="1"/>
  <c r="U1710" i="1"/>
  <c r="V1710" i="1"/>
  <c r="W1710" i="1"/>
  <c r="X1710" i="1"/>
  <c r="Y1710" i="1"/>
  <c r="Z1710" i="1"/>
  <c r="A1711" i="1"/>
  <c r="B1711" i="1"/>
  <c r="C1711" i="1"/>
  <c r="D1711" i="1"/>
  <c r="E1711" i="1"/>
  <c r="F1711" i="1"/>
  <c r="G1711" i="1"/>
  <c r="I1711" i="1"/>
  <c r="J1711" i="1"/>
  <c r="K1711" i="1"/>
  <c r="L1711" i="1"/>
  <c r="M1711" i="1"/>
  <c r="N1711" i="1"/>
  <c r="O1711" i="1"/>
  <c r="P1711" i="1"/>
  <c r="Q1711" i="1"/>
  <c r="R1711" i="1"/>
  <c r="S1711" i="1"/>
  <c r="T1711" i="1"/>
  <c r="U1711" i="1"/>
  <c r="V1711" i="1"/>
  <c r="W1711" i="1"/>
  <c r="X1711" i="1"/>
  <c r="Y1711" i="1"/>
  <c r="Z1711" i="1"/>
  <c r="A1712" i="1"/>
  <c r="B1712" i="1"/>
  <c r="C1712" i="1"/>
  <c r="D1712" i="1"/>
  <c r="E1712" i="1"/>
  <c r="F1712" i="1"/>
  <c r="G1712" i="1"/>
  <c r="I1712" i="1"/>
  <c r="J1712" i="1"/>
  <c r="K1712" i="1"/>
  <c r="L1712" i="1"/>
  <c r="M1712" i="1"/>
  <c r="N1712" i="1"/>
  <c r="O1712" i="1"/>
  <c r="P1712" i="1"/>
  <c r="Q1712" i="1"/>
  <c r="R1712" i="1"/>
  <c r="S1712" i="1"/>
  <c r="T1712" i="1"/>
  <c r="U1712" i="1"/>
  <c r="V1712" i="1"/>
  <c r="W1712" i="1"/>
  <c r="X1712" i="1"/>
  <c r="Y1712" i="1"/>
  <c r="Z1712" i="1"/>
  <c r="A1713" i="1"/>
  <c r="B1713" i="1"/>
  <c r="C1713" i="1"/>
  <c r="D1713" i="1"/>
  <c r="E1713" i="1"/>
  <c r="F1713" i="1"/>
  <c r="G1713" i="1"/>
  <c r="I1713" i="1"/>
  <c r="J1713" i="1"/>
  <c r="K1713" i="1"/>
  <c r="L1713" i="1"/>
  <c r="M1713" i="1"/>
  <c r="N1713" i="1"/>
  <c r="O1713" i="1"/>
  <c r="P1713" i="1"/>
  <c r="Q1713" i="1"/>
  <c r="R1713" i="1"/>
  <c r="S1713" i="1"/>
  <c r="T1713" i="1"/>
  <c r="U1713" i="1"/>
  <c r="V1713" i="1"/>
  <c r="W1713" i="1"/>
  <c r="X1713" i="1"/>
  <c r="Y1713" i="1"/>
  <c r="Z1713" i="1"/>
  <c r="A1714" i="1"/>
  <c r="B1714" i="1"/>
  <c r="C1714" i="1"/>
  <c r="D1714" i="1"/>
  <c r="E1714" i="1"/>
  <c r="F1714" i="1"/>
  <c r="G1714" i="1"/>
  <c r="I1714" i="1"/>
  <c r="J1714" i="1"/>
  <c r="K1714" i="1"/>
  <c r="L1714" i="1"/>
  <c r="M1714" i="1"/>
  <c r="N1714" i="1"/>
  <c r="O1714" i="1"/>
  <c r="P1714" i="1"/>
  <c r="Q1714" i="1"/>
  <c r="R1714" i="1"/>
  <c r="S1714" i="1"/>
  <c r="T1714" i="1"/>
  <c r="U1714" i="1"/>
  <c r="V1714" i="1"/>
  <c r="W1714" i="1"/>
  <c r="X1714" i="1"/>
  <c r="Y1714" i="1"/>
  <c r="Z1714" i="1"/>
  <c r="A1715" i="1"/>
  <c r="B1715" i="1"/>
  <c r="C1715" i="1"/>
  <c r="D1715" i="1"/>
  <c r="E1715" i="1"/>
  <c r="F1715" i="1"/>
  <c r="G1715" i="1"/>
  <c r="I1715" i="1"/>
  <c r="J1715" i="1"/>
  <c r="K1715" i="1"/>
  <c r="L1715" i="1"/>
  <c r="M1715" i="1"/>
  <c r="N1715" i="1"/>
  <c r="O1715" i="1"/>
  <c r="P1715" i="1"/>
  <c r="Q1715" i="1"/>
  <c r="R1715" i="1"/>
  <c r="S1715" i="1"/>
  <c r="T1715" i="1"/>
  <c r="U1715" i="1"/>
  <c r="V1715" i="1"/>
  <c r="W1715" i="1"/>
  <c r="X1715" i="1"/>
  <c r="Y1715" i="1"/>
  <c r="Z1715" i="1"/>
  <c r="A1716" i="1"/>
  <c r="B1716" i="1"/>
  <c r="C1716" i="1"/>
  <c r="D1716" i="1"/>
  <c r="E1716" i="1"/>
  <c r="F1716" i="1"/>
  <c r="G1716" i="1"/>
  <c r="I1716" i="1"/>
  <c r="J1716" i="1"/>
  <c r="K1716" i="1"/>
  <c r="L1716" i="1"/>
  <c r="M1716" i="1"/>
  <c r="N1716" i="1"/>
  <c r="O1716" i="1"/>
  <c r="P1716" i="1"/>
  <c r="Q1716" i="1"/>
  <c r="R1716" i="1"/>
  <c r="S1716" i="1"/>
  <c r="T1716" i="1"/>
  <c r="U1716" i="1"/>
  <c r="V1716" i="1"/>
  <c r="W1716" i="1"/>
  <c r="X1716" i="1"/>
  <c r="Y1716" i="1"/>
  <c r="Z1716" i="1"/>
  <c r="A1717" i="1"/>
  <c r="B1717" i="1"/>
  <c r="C1717" i="1"/>
  <c r="D1717" i="1"/>
  <c r="E1717" i="1"/>
  <c r="F1717" i="1"/>
  <c r="G1717" i="1"/>
  <c r="I1717" i="1"/>
  <c r="J1717" i="1"/>
  <c r="K1717" i="1"/>
  <c r="L1717" i="1"/>
  <c r="M1717" i="1"/>
  <c r="N1717" i="1"/>
  <c r="O1717" i="1"/>
  <c r="P1717" i="1"/>
  <c r="Q1717" i="1"/>
  <c r="R1717" i="1"/>
  <c r="S1717" i="1"/>
  <c r="T1717" i="1"/>
  <c r="U1717" i="1"/>
  <c r="V1717" i="1"/>
  <c r="W1717" i="1"/>
  <c r="X1717" i="1"/>
  <c r="Y1717" i="1"/>
  <c r="Z1717" i="1"/>
  <c r="A1718" i="1"/>
  <c r="B1718" i="1"/>
  <c r="C1718" i="1"/>
  <c r="D1718" i="1"/>
  <c r="E1718" i="1"/>
  <c r="F1718" i="1"/>
  <c r="G1718" i="1"/>
  <c r="I1718" i="1"/>
  <c r="J1718" i="1"/>
  <c r="K1718" i="1"/>
  <c r="L1718" i="1"/>
  <c r="M1718" i="1"/>
  <c r="N1718" i="1"/>
  <c r="O1718" i="1"/>
  <c r="P1718" i="1"/>
  <c r="Q1718" i="1"/>
  <c r="R1718" i="1"/>
  <c r="S1718" i="1"/>
  <c r="T1718" i="1"/>
  <c r="U1718" i="1"/>
  <c r="V1718" i="1"/>
  <c r="W1718" i="1"/>
  <c r="X1718" i="1"/>
  <c r="Y1718" i="1"/>
  <c r="Z1718" i="1"/>
  <c r="A1719" i="1"/>
  <c r="B1719" i="1"/>
  <c r="C1719" i="1"/>
  <c r="D1719" i="1"/>
  <c r="E1719" i="1"/>
  <c r="F1719" i="1"/>
  <c r="G1719" i="1"/>
  <c r="I1719" i="1"/>
  <c r="J1719" i="1"/>
  <c r="K1719" i="1"/>
  <c r="L1719" i="1"/>
  <c r="M1719" i="1"/>
  <c r="N1719" i="1"/>
  <c r="O1719" i="1"/>
  <c r="P1719" i="1"/>
  <c r="Q1719" i="1"/>
  <c r="R1719" i="1"/>
  <c r="S1719" i="1"/>
  <c r="T1719" i="1"/>
  <c r="U1719" i="1"/>
  <c r="V1719" i="1"/>
  <c r="W1719" i="1"/>
  <c r="X1719" i="1"/>
  <c r="Y1719" i="1"/>
  <c r="Z1719" i="1"/>
  <c r="A1720" i="1"/>
  <c r="B1720" i="1"/>
  <c r="C1720" i="1"/>
  <c r="D1720" i="1"/>
  <c r="E1720" i="1"/>
  <c r="F1720" i="1"/>
  <c r="G1720" i="1"/>
  <c r="I1720" i="1"/>
  <c r="J1720" i="1"/>
  <c r="K1720" i="1"/>
  <c r="L1720" i="1"/>
  <c r="M1720" i="1"/>
  <c r="N1720" i="1"/>
  <c r="O1720" i="1"/>
  <c r="P1720" i="1"/>
  <c r="Q1720" i="1"/>
  <c r="R1720" i="1"/>
  <c r="S1720" i="1"/>
  <c r="T1720" i="1"/>
  <c r="U1720" i="1"/>
  <c r="V1720" i="1"/>
  <c r="W1720" i="1"/>
  <c r="X1720" i="1"/>
  <c r="Y1720" i="1"/>
  <c r="Z1720" i="1"/>
  <c r="A1721" i="1"/>
  <c r="B1721" i="1"/>
  <c r="C1721" i="1"/>
  <c r="D1721" i="1"/>
  <c r="E1721" i="1"/>
  <c r="F1721" i="1"/>
  <c r="G1721" i="1"/>
  <c r="I1721" i="1"/>
  <c r="J1721" i="1"/>
  <c r="K1721" i="1"/>
  <c r="L1721" i="1"/>
  <c r="M1721" i="1"/>
  <c r="N1721" i="1"/>
  <c r="O1721" i="1"/>
  <c r="P1721" i="1"/>
  <c r="Q1721" i="1"/>
  <c r="R1721" i="1"/>
  <c r="S1721" i="1"/>
  <c r="T1721" i="1"/>
  <c r="U1721" i="1"/>
  <c r="V1721" i="1"/>
  <c r="W1721" i="1"/>
  <c r="X1721" i="1"/>
  <c r="Y1721" i="1"/>
  <c r="Z1721" i="1"/>
  <c r="A1722" i="1"/>
  <c r="B1722" i="1"/>
  <c r="C1722" i="1"/>
  <c r="D1722" i="1"/>
  <c r="E1722" i="1"/>
  <c r="F1722" i="1"/>
  <c r="G1722" i="1"/>
  <c r="I1722" i="1"/>
  <c r="J1722" i="1"/>
  <c r="K1722" i="1"/>
  <c r="L1722" i="1"/>
  <c r="M1722" i="1"/>
  <c r="N1722" i="1"/>
  <c r="O1722" i="1"/>
  <c r="P1722" i="1"/>
  <c r="Q1722" i="1"/>
  <c r="R1722" i="1"/>
  <c r="S1722" i="1"/>
  <c r="T1722" i="1"/>
  <c r="U1722" i="1"/>
  <c r="V1722" i="1"/>
  <c r="W1722" i="1"/>
  <c r="X1722" i="1"/>
  <c r="Y1722" i="1"/>
  <c r="Z1722" i="1"/>
  <c r="A1723" i="1"/>
  <c r="B1723" i="1"/>
  <c r="C1723" i="1"/>
  <c r="D1723" i="1"/>
  <c r="E1723" i="1"/>
  <c r="F1723" i="1"/>
  <c r="G1723" i="1"/>
  <c r="I1723" i="1"/>
  <c r="J1723" i="1"/>
  <c r="K1723" i="1"/>
  <c r="L1723" i="1"/>
  <c r="M1723" i="1"/>
  <c r="N1723" i="1"/>
  <c r="O1723" i="1"/>
  <c r="P1723" i="1"/>
  <c r="Q1723" i="1"/>
  <c r="R1723" i="1"/>
  <c r="S1723" i="1"/>
  <c r="T1723" i="1"/>
  <c r="U1723" i="1"/>
  <c r="V1723" i="1"/>
  <c r="W1723" i="1"/>
  <c r="X1723" i="1"/>
  <c r="Y1723" i="1"/>
  <c r="Z1723" i="1"/>
  <c r="A1724" i="1"/>
  <c r="B1724" i="1"/>
  <c r="C1724" i="1"/>
  <c r="D1724" i="1"/>
  <c r="E1724" i="1"/>
  <c r="F1724" i="1"/>
  <c r="G1724" i="1"/>
  <c r="I1724" i="1"/>
  <c r="J1724" i="1"/>
  <c r="K1724" i="1"/>
  <c r="L1724" i="1"/>
  <c r="M1724" i="1"/>
  <c r="N1724" i="1"/>
  <c r="O1724" i="1"/>
  <c r="P1724" i="1"/>
  <c r="Q1724" i="1"/>
  <c r="R1724" i="1"/>
  <c r="S1724" i="1"/>
  <c r="T1724" i="1"/>
  <c r="U1724" i="1"/>
  <c r="V1724" i="1"/>
  <c r="W1724" i="1"/>
  <c r="X1724" i="1"/>
  <c r="Y1724" i="1"/>
  <c r="Z1724" i="1"/>
  <c r="A1725" i="1"/>
  <c r="B1725" i="1"/>
  <c r="C1725" i="1"/>
  <c r="D1725" i="1"/>
  <c r="E1725" i="1"/>
  <c r="F1725" i="1"/>
  <c r="G1725" i="1"/>
  <c r="I1725" i="1"/>
  <c r="J1725" i="1"/>
  <c r="K1725" i="1"/>
  <c r="L1725" i="1"/>
  <c r="M1725" i="1"/>
  <c r="N1725" i="1"/>
  <c r="O1725" i="1"/>
  <c r="P1725" i="1"/>
  <c r="Q1725" i="1"/>
  <c r="R1725" i="1"/>
  <c r="S1725" i="1"/>
  <c r="T1725" i="1"/>
  <c r="U1725" i="1"/>
  <c r="V1725" i="1"/>
  <c r="W1725" i="1"/>
  <c r="X1725" i="1"/>
  <c r="Y1725" i="1"/>
  <c r="Z1725" i="1"/>
  <c r="A1726" i="1"/>
  <c r="B1726" i="1"/>
  <c r="C1726" i="1"/>
  <c r="D1726" i="1"/>
  <c r="E1726" i="1"/>
  <c r="F1726" i="1"/>
  <c r="G1726" i="1"/>
  <c r="I1726" i="1"/>
  <c r="J1726" i="1"/>
  <c r="K1726" i="1"/>
  <c r="L1726" i="1"/>
  <c r="M1726" i="1"/>
  <c r="N1726" i="1"/>
  <c r="O1726" i="1"/>
  <c r="P1726" i="1"/>
  <c r="Q1726" i="1"/>
  <c r="R1726" i="1"/>
  <c r="S1726" i="1"/>
  <c r="T1726" i="1"/>
  <c r="U1726" i="1"/>
  <c r="V1726" i="1"/>
  <c r="W1726" i="1"/>
  <c r="X1726" i="1"/>
  <c r="Y1726" i="1"/>
  <c r="Z1726" i="1"/>
  <c r="A1727" i="1"/>
  <c r="B1727" i="1"/>
  <c r="C1727" i="1"/>
  <c r="D1727" i="1"/>
  <c r="E1727" i="1"/>
  <c r="F1727" i="1"/>
  <c r="G1727" i="1"/>
  <c r="I1727" i="1"/>
  <c r="J1727" i="1"/>
  <c r="K1727" i="1"/>
  <c r="L1727" i="1"/>
  <c r="M1727" i="1"/>
  <c r="N1727" i="1"/>
  <c r="O1727" i="1"/>
  <c r="P1727" i="1"/>
  <c r="Q1727" i="1"/>
  <c r="R1727" i="1"/>
  <c r="S1727" i="1"/>
  <c r="T1727" i="1"/>
  <c r="U1727" i="1"/>
  <c r="V1727" i="1"/>
  <c r="W1727" i="1"/>
  <c r="X1727" i="1"/>
  <c r="Y1727" i="1"/>
  <c r="Z1727" i="1"/>
  <c r="A1728" i="1"/>
  <c r="B1728" i="1"/>
  <c r="C1728" i="1"/>
  <c r="D1728" i="1"/>
  <c r="E1728" i="1"/>
  <c r="F1728" i="1"/>
  <c r="G1728" i="1"/>
  <c r="I1728" i="1"/>
  <c r="J1728" i="1"/>
  <c r="K1728" i="1"/>
  <c r="L1728" i="1"/>
  <c r="M1728" i="1"/>
  <c r="N1728" i="1"/>
  <c r="O1728" i="1"/>
  <c r="P1728" i="1"/>
  <c r="Q1728" i="1"/>
  <c r="R1728" i="1"/>
  <c r="S1728" i="1"/>
  <c r="T1728" i="1"/>
  <c r="U1728" i="1"/>
  <c r="V1728" i="1"/>
  <c r="W1728" i="1"/>
  <c r="X1728" i="1"/>
  <c r="Y1728" i="1"/>
  <c r="Z1728" i="1"/>
  <c r="A1729" i="1"/>
  <c r="B1729" i="1"/>
  <c r="C1729" i="1"/>
  <c r="D1729" i="1"/>
  <c r="E1729" i="1"/>
  <c r="F1729" i="1"/>
  <c r="G1729" i="1"/>
  <c r="I1729" i="1"/>
  <c r="J1729" i="1"/>
  <c r="K1729" i="1"/>
  <c r="L1729" i="1"/>
  <c r="M1729" i="1"/>
  <c r="N1729" i="1"/>
  <c r="O1729" i="1"/>
  <c r="P1729" i="1"/>
  <c r="Q1729" i="1"/>
  <c r="R1729" i="1"/>
  <c r="S1729" i="1"/>
  <c r="T1729" i="1"/>
  <c r="U1729" i="1"/>
  <c r="V1729" i="1"/>
  <c r="W1729" i="1"/>
  <c r="X1729" i="1"/>
  <c r="Y1729" i="1"/>
  <c r="Z1729" i="1"/>
  <c r="A1730" i="1"/>
  <c r="B1730" i="1"/>
  <c r="C1730" i="1"/>
  <c r="D1730" i="1"/>
  <c r="E1730" i="1"/>
  <c r="F1730" i="1"/>
  <c r="G1730" i="1"/>
  <c r="I1730" i="1"/>
  <c r="J1730" i="1"/>
  <c r="K1730" i="1"/>
  <c r="L1730" i="1"/>
  <c r="M1730" i="1"/>
  <c r="N1730" i="1"/>
  <c r="O1730" i="1"/>
  <c r="P1730" i="1"/>
  <c r="Q1730" i="1"/>
  <c r="R1730" i="1"/>
  <c r="S1730" i="1"/>
  <c r="T1730" i="1"/>
  <c r="U1730" i="1"/>
  <c r="V1730" i="1"/>
  <c r="W1730" i="1"/>
  <c r="X1730" i="1"/>
  <c r="Y1730" i="1"/>
  <c r="Z1730" i="1"/>
  <c r="A1731" i="1"/>
  <c r="B1731" i="1"/>
  <c r="C1731" i="1"/>
  <c r="D1731" i="1"/>
  <c r="E1731" i="1"/>
  <c r="F1731" i="1"/>
  <c r="G1731" i="1"/>
  <c r="I1731" i="1"/>
  <c r="J1731" i="1"/>
  <c r="K1731" i="1"/>
  <c r="L1731" i="1"/>
  <c r="M1731" i="1"/>
  <c r="N1731" i="1"/>
  <c r="O1731" i="1"/>
  <c r="P1731" i="1"/>
  <c r="Q1731" i="1"/>
  <c r="R1731" i="1"/>
  <c r="S1731" i="1"/>
  <c r="T1731" i="1"/>
  <c r="U1731" i="1"/>
  <c r="V1731" i="1"/>
  <c r="W1731" i="1"/>
  <c r="X1731" i="1"/>
  <c r="Y1731" i="1"/>
  <c r="Z1731" i="1"/>
  <c r="A1732" i="1"/>
  <c r="B1732" i="1"/>
  <c r="C1732" i="1"/>
  <c r="D1732" i="1"/>
  <c r="E1732" i="1"/>
  <c r="F1732" i="1"/>
  <c r="G1732" i="1"/>
  <c r="I1732" i="1"/>
  <c r="J1732" i="1"/>
  <c r="K1732" i="1"/>
  <c r="L1732" i="1"/>
  <c r="M1732" i="1"/>
  <c r="N1732" i="1"/>
  <c r="O1732" i="1"/>
  <c r="P1732" i="1"/>
  <c r="Q1732" i="1"/>
  <c r="R1732" i="1"/>
  <c r="S1732" i="1"/>
  <c r="T1732" i="1"/>
  <c r="U1732" i="1"/>
  <c r="V1732" i="1"/>
  <c r="W1732" i="1"/>
  <c r="X1732" i="1"/>
  <c r="Y1732" i="1"/>
  <c r="Z1732" i="1"/>
  <c r="A1733" i="1"/>
  <c r="B1733" i="1"/>
  <c r="C1733" i="1"/>
  <c r="D1733" i="1"/>
  <c r="E1733" i="1"/>
  <c r="F1733" i="1"/>
  <c r="G1733" i="1"/>
  <c r="I1733" i="1"/>
  <c r="J1733" i="1"/>
  <c r="K1733" i="1"/>
  <c r="L1733" i="1"/>
  <c r="M1733" i="1"/>
  <c r="N1733" i="1"/>
  <c r="O1733" i="1"/>
  <c r="P1733" i="1"/>
  <c r="Q1733" i="1"/>
  <c r="R1733" i="1"/>
  <c r="S1733" i="1"/>
  <c r="T1733" i="1"/>
  <c r="U1733" i="1"/>
  <c r="V1733" i="1"/>
  <c r="W1733" i="1"/>
  <c r="X1733" i="1"/>
  <c r="Y1733" i="1"/>
  <c r="Z1733" i="1"/>
  <c r="A1734" i="1"/>
  <c r="B1734" i="1"/>
  <c r="C1734" i="1"/>
  <c r="D1734" i="1"/>
  <c r="E1734" i="1"/>
  <c r="F1734" i="1"/>
  <c r="G1734" i="1"/>
  <c r="I1734" i="1"/>
  <c r="J1734" i="1"/>
  <c r="K1734" i="1"/>
  <c r="L1734" i="1"/>
  <c r="M1734" i="1"/>
  <c r="N1734" i="1"/>
  <c r="O1734" i="1"/>
  <c r="P1734" i="1"/>
  <c r="Q1734" i="1"/>
  <c r="R1734" i="1"/>
  <c r="S1734" i="1"/>
  <c r="T1734" i="1"/>
  <c r="U1734" i="1"/>
  <c r="V1734" i="1"/>
  <c r="W1734" i="1"/>
  <c r="X1734" i="1"/>
  <c r="Y1734" i="1"/>
  <c r="Z1734" i="1"/>
  <c r="A1735" i="1"/>
  <c r="B1735" i="1"/>
  <c r="C1735" i="1"/>
  <c r="D1735" i="1"/>
  <c r="E1735" i="1"/>
  <c r="F1735" i="1"/>
  <c r="G1735" i="1"/>
  <c r="I1735" i="1"/>
  <c r="J1735" i="1"/>
  <c r="K1735" i="1"/>
  <c r="L1735" i="1"/>
  <c r="M1735" i="1"/>
  <c r="N1735" i="1"/>
  <c r="O1735" i="1"/>
  <c r="P1735" i="1"/>
  <c r="Q1735" i="1"/>
  <c r="R1735" i="1"/>
  <c r="S1735" i="1"/>
  <c r="T1735" i="1"/>
  <c r="U1735" i="1"/>
  <c r="V1735" i="1"/>
  <c r="W1735" i="1"/>
  <c r="X1735" i="1"/>
  <c r="Y1735" i="1"/>
  <c r="Z1735" i="1"/>
  <c r="A1736" i="1"/>
  <c r="B1736" i="1"/>
  <c r="C1736" i="1"/>
  <c r="D1736" i="1"/>
  <c r="E1736" i="1"/>
  <c r="F1736" i="1"/>
  <c r="G1736" i="1"/>
  <c r="I1736" i="1"/>
  <c r="J1736" i="1"/>
  <c r="K1736" i="1"/>
  <c r="L1736" i="1"/>
  <c r="M1736" i="1"/>
  <c r="N1736" i="1"/>
  <c r="O1736" i="1"/>
  <c r="P1736" i="1"/>
  <c r="Q1736" i="1"/>
  <c r="R1736" i="1"/>
  <c r="S1736" i="1"/>
  <c r="T1736" i="1"/>
  <c r="U1736" i="1"/>
  <c r="V1736" i="1"/>
  <c r="W1736" i="1"/>
  <c r="X1736" i="1"/>
  <c r="Y1736" i="1"/>
  <c r="Z1736" i="1"/>
  <c r="A1737" i="1"/>
  <c r="B1737" i="1"/>
  <c r="C1737" i="1"/>
  <c r="D1737" i="1"/>
  <c r="E1737" i="1"/>
  <c r="F1737" i="1"/>
  <c r="G1737" i="1"/>
  <c r="I1737" i="1"/>
  <c r="J1737" i="1"/>
  <c r="K1737" i="1"/>
  <c r="L1737" i="1"/>
  <c r="M1737" i="1"/>
  <c r="N1737" i="1"/>
  <c r="O1737" i="1"/>
  <c r="P1737" i="1"/>
  <c r="Q1737" i="1"/>
  <c r="R1737" i="1"/>
  <c r="S1737" i="1"/>
  <c r="T1737" i="1"/>
  <c r="U1737" i="1"/>
  <c r="V1737" i="1"/>
  <c r="W1737" i="1"/>
  <c r="X1737" i="1"/>
  <c r="Y1737" i="1"/>
  <c r="Z1737" i="1"/>
  <c r="A1738" i="1"/>
  <c r="B1738" i="1"/>
  <c r="C1738" i="1"/>
  <c r="D1738" i="1"/>
  <c r="E1738" i="1"/>
  <c r="F1738" i="1"/>
  <c r="G1738" i="1"/>
  <c r="I1738" i="1"/>
  <c r="J1738" i="1"/>
  <c r="K1738" i="1"/>
  <c r="L1738" i="1"/>
  <c r="M1738" i="1"/>
  <c r="N1738" i="1"/>
  <c r="O1738" i="1"/>
  <c r="P1738" i="1"/>
  <c r="Q1738" i="1"/>
  <c r="R1738" i="1"/>
  <c r="S1738" i="1"/>
  <c r="T1738" i="1"/>
  <c r="U1738" i="1"/>
  <c r="V1738" i="1"/>
  <c r="W1738" i="1"/>
  <c r="X1738" i="1"/>
  <c r="Y1738" i="1"/>
  <c r="Z1738" i="1"/>
  <c r="A1739" i="1"/>
  <c r="B1739" i="1"/>
  <c r="C1739" i="1"/>
  <c r="D1739" i="1"/>
  <c r="E1739" i="1"/>
  <c r="F1739" i="1"/>
  <c r="G1739" i="1"/>
  <c r="I1739" i="1"/>
  <c r="J1739" i="1"/>
  <c r="K1739" i="1"/>
  <c r="L1739" i="1"/>
  <c r="M1739" i="1"/>
  <c r="N1739" i="1"/>
  <c r="O1739" i="1"/>
  <c r="P1739" i="1"/>
  <c r="Q1739" i="1"/>
  <c r="R1739" i="1"/>
  <c r="S1739" i="1"/>
  <c r="T1739" i="1"/>
  <c r="U1739" i="1"/>
  <c r="V1739" i="1"/>
  <c r="W1739" i="1"/>
  <c r="X1739" i="1"/>
  <c r="Y1739" i="1"/>
  <c r="Z1739" i="1"/>
  <c r="A1740" i="1"/>
  <c r="B1740" i="1"/>
  <c r="C1740" i="1"/>
  <c r="D1740" i="1"/>
  <c r="E1740" i="1"/>
  <c r="F1740" i="1"/>
  <c r="G1740" i="1"/>
  <c r="I1740" i="1"/>
  <c r="J1740" i="1"/>
  <c r="K1740" i="1"/>
  <c r="L1740" i="1"/>
  <c r="M1740" i="1"/>
  <c r="N1740" i="1"/>
  <c r="O1740" i="1"/>
  <c r="P1740" i="1"/>
  <c r="Q1740" i="1"/>
  <c r="R1740" i="1"/>
  <c r="S1740" i="1"/>
  <c r="T1740" i="1"/>
  <c r="U1740" i="1"/>
  <c r="V1740" i="1"/>
  <c r="W1740" i="1"/>
  <c r="X1740" i="1"/>
  <c r="Y1740" i="1"/>
  <c r="Z1740" i="1"/>
  <c r="A1741" i="1"/>
  <c r="B1741" i="1"/>
  <c r="C1741" i="1"/>
  <c r="D1741" i="1"/>
  <c r="E1741" i="1"/>
  <c r="F1741" i="1"/>
  <c r="G1741" i="1"/>
  <c r="I1741" i="1"/>
  <c r="J1741" i="1"/>
  <c r="K1741" i="1"/>
  <c r="L1741" i="1"/>
  <c r="M1741" i="1"/>
  <c r="N1741" i="1"/>
  <c r="O1741" i="1"/>
  <c r="P1741" i="1"/>
  <c r="Q1741" i="1"/>
  <c r="R1741" i="1"/>
  <c r="S1741" i="1"/>
  <c r="T1741" i="1"/>
  <c r="U1741" i="1"/>
  <c r="V1741" i="1"/>
  <c r="W1741" i="1"/>
  <c r="X1741" i="1"/>
  <c r="Y1741" i="1"/>
  <c r="Z1741" i="1"/>
  <c r="A1742" i="1"/>
  <c r="B1742" i="1"/>
  <c r="C1742" i="1"/>
  <c r="D1742" i="1"/>
  <c r="E1742" i="1"/>
  <c r="F1742" i="1"/>
  <c r="G1742" i="1"/>
  <c r="I1742" i="1"/>
  <c r="J1742" i="1"/>
  <c r="K1742" i="1"/>
  <c r="L1742" i="1"/>
  <c r="M1742" i="1"/>
  <c r="N1742" i="1"/>
  <c r="O1742" i="1"/>
  <c r="P1742" i="1"/>
  <c r="Q1742" i="1"/>
  <c r="R1742" i="1"/>
  <c r="S1742" i="1"/>
  <c r="T1742" i="1"/>
  <c r="U1742" i="1"/>
  <c r="V1742" i="1"/>
  <c r="W1742" i="1"/>
  <c r="X1742" i="1"/>
  <c r="Y1742" i="1"/>
  <c r="Z1742" i="1"/>
  <c r="A1743" i="1"/>
  <c r="B1743" i="1"/>
  <c r="C1743" i="1"/>
  <c r="D1743" i="1"/>
  <c r="E1743" i="1"/>
  <c r="F1743" i="1"/>
  <c r="G1743" i="1"/>
  <c r="I1743" i="1"/>
  <c r="J1743" i="1"/>
  <c r="K1743" i="1"/>
  <c r="L1743" i="1"/>
  <c r="M1743" i="1"/>
  <c r="N1743" i="1"/>
  <c r="O1743" i="1"/>
  <c r="P1743" i="1"/>
  <c r="Q1743" i="1"/>
  <c r="R1743" i="1"/>
  <c r="S1743" i="1"/>
  <c r="T1743" i="1"/>
  <c r="U1743" i="1"/>
  <c r="V1743" i="1"/>
  <c r="W1743" i="1"/>
  <c r="X1743" i="1"/>
  <c r="Y1743" i="1"/>
  <c r="Z1743" i="1"/>
  <c r="A1744" i="1"/>
  <c r="B1744" i="1"/>
  <c r="C1744" i="1"/>
  <c r="D1744" i="1"/>
  <c r="E1744" i="1"/>
  <c r="F1744" i="1"/>
  <c r="G1744" i="1"/>
  <c r="I1744" i="1"/>
  <c r="J1744" i="1"/>
  <c r="K1744" i="1"/>
  <c r="L1744" i="1"/>
  <c r="M1744" i="1"/>
  <c r="N1744" i="1"/>
  <c r="O1744" i="1"/>
  <c r="P1744" i="1"/>
  <c r="Q1744" i="1"/>
  <c r="R1744" i="1"/>
  <c r="S1744" i="1"/>
  <c r="T1744" i="1"/>
  <c r="U1744" i="1"/>
  <c r="V1744" i="1"/>
  <c r="W1744" i="1"/>
  <c r="X1744" i="1"/>
  <c r="Y1744" i="1"/>
  <c r="Z1744" i="1"/>
  <c r="A1745" i="1"/>
  <c r="B1745" i="1"/>
  <c r="C1745" i="1"/>
  <c r="D1745" i="1"/>
  <c r="E1745" i="1"/>
  <c r="F1745" i="1"/>
  <c r="G1745" i="1"/>
  <c r="I1745" i="1"/>
  <c r="J1745" i="1"/>
  <c r="K1745" i="1"/>
  <c r="L1745" i="1"/>
  <c r="M1745" i="1"/>
  <c r="N1745" i="1"/>
  <c r="O1745" i="1"/>
  <c r="P1745" i="1"/>
  <c r="Q1745" i="1"/>
  <c r="R1745" i="1"/>
  <c r="S1745" i="1"/>
  <c r="T1745" i="1"/>
  <c r="U1745" i="1"/>
  <c r="V1745" i="1"/>
  <c r="W1745" i="1"/>
  <c r="X1745" i="1"/>
  <c r="Y1745" i="1"/>
  <c r="Z1745" i="1"/>
  <c r="A1746" i="1"/>
  <c r="B1746" i="1"/>
  <c r="C1746" i="1"/>
  <c r="D1746" i="1"/>
  <c r="E1746" i="1"/>
  <c r="F1746" i="1"/>
  <c r="G1746" i="1"/>
  <c r="I1746" i="1"/>
  <c r="J1746" i="1"/>
  <c r="K1746" i="1"/>
  <c r="L1746" i="1"/>
  <c r="M1746" i="1"/>
  <c r="N1746" i="1"/>
  <c r="O1746" i="1"/>
  <c r="P1746" i="1"/>
  <c r="Q1746" i="1"/>
  <c r="R1746" i="1"/>
  <c r="S1746" i="1"/>
  <c r="T1746" i="1"/>
  <c r="U1746" i="1"/>
  <c r="V1746" i="1"/>
  <c r="W1746" i="1"/>
  <c r="X1746" i="1"/>
  <c r="Y1746" i="1"/>
  <c r="Z1746" i="1"/>
  <c r="A1747" i="1"/>
  <c r="B1747" i="1"/>
  <c r="C1747" i="1"/>
  <c r="D1747" i="1"/>
  <c r="E1747" i="1"/>
  <c r="F1747" i="1"/>
  <c r="G1747" i="1"/>
  <c r="I1747" i="1"/>
  <c r="J1747" i="1"/>
  <c r="K1747" i="1"/>
  <c r="L1747" i="1"/>
  <c r="M1747" i="1"/>
  <c r="N1747" i="1"/>
  <c r="O1747" i="1"/>
  <c r="P1747" i="1"/>
  <c r="Q1747" i="1"/>
  <c r="R1747" i="1"/>
  <c r="S1747" i="1"/>
  <c r="T1747" i="1"/>
  <c r="U1747" i="1"/>
  <c r="V1747" i="1"/>
  <c r="W1747" i="1"/>
  <c r="X1747" i="1"/>
  <c r="Y1747" i="1"/>
  <c r="Z1747" i="1"/>
  <c r="A1748" i="1"/>
  <c r="B1748" i="1"/>
  <c r="C1748" i="1"/>
  <c r="D1748" i="1"/>
  <c r="E1748" i="1"/>
  <c r="F1748" i="1"/>
  <c r="G1748" i="1"/>
  <c r="I1748" i="1"/>
  <c r="J1748" i="1"/>
  <c r="K1748" i="1"/>
  <c r="L1748" i="1"/>
  <c r="M1748" i="1"/>
  <c r="N1748" i="1"/>
  <c r="O1748" i="1"/>
  <c r="P1748" i="1"/>
  <c r="Q1748" i="1"/>
  <c r="R1748" i="1"/>
  <c r="S1748" i="1"/>
  <c r="T1748" i="1"/>
  <c r="U1748" i="1"/>
  <c r="V1748" i="1"/>
  <c r="W1748" i="1"/>
  <c r="X1748" i="1"/>
  <c r="Y1748" i="1"/>
  <c r="Z1748" i="1"/>
  <c r="A1749" i="1"/>
  <c r="B1749" i="1"/>
  <c r="C1749" i="1"/>
  <c r="D1749" i="1"/>
  <c r="E1749" i="1"/>
  <c r="F1749" i="1"/>
  <c r="G1749" i="1"/>
  <c r="I1749" i="1"/>
  <c r="J1749" i="1"/>
  <c r="K1749" i="1"/>
  <c r="L1749" i="1"/>
  <c r="M1749" i="1"/>
  <c r="N1749" i="1"/>
  <c r="O1749" i="1"/>
  <c r="P1749" i="1"/>
  <c r="Q1749" i="1"/>
  <c r="R1749" i="1"/>
  <c r="S1749" i="1"/>
  <c r="T1749" i="1"/>
  <c r="U1749" i="1"/>
  <c r="V1749" i="1"/>
  <c r="W1749" i="1"/>
  <c r="X1749" i="1"/>
  <c r="Y1749" i="1"/>
  <c r="Z1749" i="1"/>
  <c r="A1750" i="1"/>
  <c r="B1750" i="1"/>
  <c r="C1750" i="1"/>
  <c r="D1750" i="1"/>
  <c r="E1750" i="1"/>
  <c r="F1750" i="1"/>
  <c r="G1750" i="1"/>
  <c r="I1750" i="1"/>
  <c r="J1750" i="1"/>
  <c r="K1750" i="1"/>
  <c r="L1750" i="1"/>
  <c r="M1750" i="1"/>
  <c r="N1750" i="1"/>
  <c r="O1750" i="1"/>
  <c r="P1750" i="1"/>
  <c r="Q1750" i="1"/>
  <c r="R1750" i="1"/>
  <c r="S1750" i="1"/>
  <c r="T1750" i="1"/>
  <c r="U1750" i="1"/>
  <c r="V1750" i="1"/>
  <c r="W1750" i="1"/>
  <c r="X1750" i="1"/>
  <c r="Y1750" i="1"/>
  <c r="Z1750" i="1"/>
  <c r="A1751" i="1"/>
  <c r="B1751" i="1"/>
  <c r="C1751" i="1"/>
  <c r="D1751" i="1"/>
  <c r="E1751" i="1"/>
  <c r="F1751" i="1"/>
  <c r="G1751" i="1"/>
  <c r="I1751" i="1"/>
  <c r="J1751" i="1"/>
  <c r="K1751" i="1"/>
  <c r="L1751" i="1"/>
  <c r="M1751" i="1"/>
  <c r="N1751" i="1"/>
  <c r="O1751" i="1"/>
  <c r="P1751" i="1"/>
  <c r="Q1751" i="1"/>
  <c r="R1751" i="1"/>
  <c r="S1751" i="1"/>
  <c r="T1751" i="1"/>
  <c r="U1751" i="1"/>
  <c r="V1751" i="1"/>
  <c r="W1751" i="1"/>
  <c r="X1751" i="1"/>
  <c r="Y1751" i="1"/>
  <c r="Z1751" i="1"/>
  <c r="A1752" i="1"/>
  <c r="B1752" i="1"/>
  <c r="C1752" i="1"/>
  <c r="D1752" i="1"/>
  <c r="E1752" i="1"/>
  <c r="F1752" i="1"/>
  <c r="G1752" i="1"/>
  <c r="I1752" i="1"/>
  <c r="J1752" i="1"/>
  <c r="K1752" i="1"/>
  <c r="L1752" i="1"/>
  <c r="M1752" i="1"/>
  <c r="N1752" i="1"/>
  <c r="O1752" i="1"/>
  <c r="P1752" i="1"/>
  <c r="Q1752" i="1"/>
  <c r="R1752" i="1"/>
  <c r="S1752" i="1"/>
  <c r="T1752" i="1"/>
  <c r="U1752" i="1"/>
  <c r="V1752" i="1"/>
  <c r="W1752" i="1"/>
  <c r="X1752" i="1"/>
  <c r="Y1752" i="1"/>
  <c r="Z1752" i="1"/>
  <c r="A1753" i="1"/>
  <c r="B1753" i="1"/>
  <c r="C1753" i="1"/>
  <c r="D1753" i="1"/>
  <c r="E1753" i="1"/>
  <c r="F1753" i="1"/>
  <c r="G1753" i="1"/>
  <c r="I1753" i="1"/>
  <c r="J1753" i="1"/>
  <c r="K1753" i="1"/>
  <c r="L1753" i="1"/>
  <c r="M1753" i="1"/>
  <c r="N1753" i="1"/>
  <c r="O1753" i="1"/>
  <c r="P1753" i="1"/>
  <c r="Q1753" i="1"/>
  <c r="R1753" i="1"/>
  <c r="S1753" i="1"/>
  <c r="T1753" i="1"/>
  <c r="U1753" i="1"/>
  <c r="V1753" i="1"/>
  <c r="W1753" i="1"/>
  <c r="X1753" i="1"/>
  <c r="Y1753" i="1"/>
  <c r="Z1753" i="1"/>
  <c r="A1754" i="1"/>
  <c r="B1754" i="1"/>
  <c r="C1754" i="1"/>
  <c r="D1754" i="1"/>
  <c r="E1754" i="1"/>
  <c r="F1754" i="1"/>
  <c r="G1754" i="1"/>
  <c r="I1754" i="1"/>
  <c r="J1754" i="1"/>
  <c r="K1754" i="1"/>
  <c r="L1754" i="1"/>
  <c r="M1754" i="1"/>
  <c r="N1754" i="1"/>
  <c r="O1754" i="1"/>
  <c r="P1754" i="1"/>
  <c r="Q1754" i="1"/>
  <c r="R1754" i="1"/>
  <c r="S1754" i="1"/>
  <c r="T1754" i="1"/>
  <c r="U1754" i="1"/>
  <c r="V1754" i="1"/>
  <c r="W1754" i="1"/>
  <c r="X1754" i="1"/>
  <c r="Y1754" i="1"/>
  <c r="Z1754" i="1"/>
  <c r="A1755" i="1"/>
  <c r="B1755" i="1"/>
  <c r="C1755" i="1"/>
  <c r="D1755" i="1"/>
  <c r="E1755" i="1"/>
  <c r="F1755" i="1"/>
  <c r="G1755" i="1"/>
  <c r="I1755" i="1"/>
  <c r="J1755" i="1"/>
  <c r="K1755" i="1"/>
  <c r="L1755" i="1"/>
  <c r="M1755" i="1"/>
  <c r="N1755" i="1"/>
  <c r="O1755" i="1"/>
  <c r="P1755" i="1"/>
  <c r="Q1755" i="1"/>
  <c r="R1755" i="1"/>
  <c r="S1755" i="1"/>
  <c r="T1755" i="1"/>
  <c r="U1755" i="1"/>
  <c r="V1755" i="1"/>
  <c r="W1755" i="1"/>
  <c r="X1755" i="1"/>
  <c r="Y1755" i="1"/>
  <c r="Z1755" i="1"/>
  <c r="A1756" i="1"/>
  <c r="B1756" i="1"/>
  <c r="C1756" i="1"/>
  <c r="D1756" i="1"/>
  <c r="E1756" i="1"/>
  <c r="F1756" i="1"/>
  <c r="G1756" i="1"/>
  <c r="I1756" i="1"/>
  <c r="J1756" i="1"/>
  <c r="K1756" i="1"/>
  <c r="L1756" i="1"/>
  <c r="M1756" i="1"/>
  <c r="N1756" i="1"/>
  <c r="O1756" i="1"/>
  <c r="P1756" i="1"/>
  <c r="Q1756" i="1"/>
  <c r="R1756" i="1"/>
  <c r="S1756" i="1"/>
  <c r="T1756" i="1"/>
  <c r="U1756" i="1"/>
  <c r="V1756" i="1"/>
  <c r="W1756" i="1"/>
  <c r="X1756" i="1"/>
  <c r="Y1756" i="1"/>
  <c r="Z1756" i="1"/>
  <c r="A1757" i="1"/>
  <c r="B1757" i="1"/>
  <c r="C1757" i="1"/>
  <c r="D1757" i="1"/>
  <c r="E1757" i="1"/>
  <c r="F1757" i="1"/>
  <c r="G1757" i="1"/>
  <c r="I1757" i="1"/>
  <c r="J1757" i="1"/>
  <c r="K1757" i="1"/>
  <c r="L1757" i="1"/>
  <c r="M1757" i="1"/>
  <c r="N1757" i="1"/>
  <c r="O1757" i="1"/>
  <c r="P1757" i="1"/>
  <c r="Q1757" i="1"/>
  <c r="R1757" i="1"/>
  <c r="S1757" i="1"/>
  <c r="T1757" i="1"/>
  <c r="U1757" i="1"/>
  <c r="V1757" i="1"/>
  <c r="W1757" i="1"/>
  <c r="X1757" i="1"/>
  <c r="Y1757" i="1"/>
  <c r="Z1757" i="1"/>
  <c r="A1758" i="1"/>
  <c r="B1758" i="1"/>
  <c r="C1758" i="1"/>
  <c r="D1758" i="1"/>
  <c r="E1758" i="1"/>
  <c r="F1758" i="1"/>
  <c r="G1758" i="1"/>
  <c r="I1758" i="1"/>
  <c r="J1758" i="1"/>
  <c r="K1758" i="1"/>
  <c r="L1758" i="1"/>
  <c r="M1758" i="1"/>
  <c r="N1758" i="1"/>
  <c r="O1758" i="1"/>
  <c r="P1758" i="1"/>
  <c r="Q1758" i="1"/>
  <c r="R1758" i="1"/>
  <c r="S1758" i="1"/>
  <c r="T1758" i="1"/>
  <c r="U1758" i="1"/>
  <c r="V1758" i="1"/>
  <c r="W1758" i="1"/>
  <c r="X1758" i="1"/>
  <c r="Y1758" i="1"/>
  <c r="Z1758" i="1"/>
  <c r="A1759" i="1"/>
  <c r="B1759" i="1"/>
  <c r="C1759" i="1"/>
  <c r="D1759" i="1"/>
  <c r="E1759" i="1"/>
  <c r="F1759" i="1"/>
  <c r="G1759" i="1"/>
  <c r="I1759" i="1"/>
  <c r="J1759" i="1"/>
  <c r="K1759" i="1"/>
  <c r="L1759" i="1"/>
  <c r="M1759" i="1"/>
  <c r="N1759" i="1"/>
  <c r="O1759" i="1"/>
  <c r="P1759" i="1"/>
  <c r="Q1759" i="1"/>
  <c r="R1759" i="1"/>
  <c r="S1759" i="1"/>
  <c r="T1759" i="1"/>
  <c r="U1759" i="1"/>
  <c r="V1759" i="1"/>
  <c r="W1759" i="1"/>
  <c r="X1759" i="1"/>
  <c r="Y1759" i="1"/>
  <c r="Z1759" i="1"/>
  <c r="A1760" i="1"/>
  <c r="B1760" i="1"/>
  <c r="C1760" i="1"/>
  <c r="D1760" i="1"/>
  <c r="E1760" i="1"/>
  <c r="F1760" i="1"/>
  <c r="G1760" i="1"/>
  <c r="I1760" i="1"/>
  <c r="J1760" i="1"/>
  <c r="K1760" i="1"/>
  <c r="L1760" i="1"/>
  <c r="M1760" i="1"/>
  <c r="N1760" i="1"/>
  <c r="O1760" i="1"/>
  <c r="P1760" i="1"/>
  <c r="Q1760" i="1"/>
  <c r="R1760" i="1"/>
  <c r="S1760" i="1"/>
  <c r="T1760" i="1"/>
  <c r="U1760" i="1"/>
  <c r="V1760" i="1"/>
  <c r="W1760" i="1"/>
  <c r="X1760" i="1"/>
  <c r="Y1760" i="1"/>
  <c r="Z1760" i="1"/>
  <c r="A1761" i="1"/>
  <c r="B1761" i="1"/>
  <c r="C1761" i="1"/>
  <c r="D1761" i="1"/>
  <c r="E1761" i="1"/>
  <c r="F1761" i="1"/>
  <c r="G1761" i="1"/>
  <c r="I1761" i="1"/>
  <c r="J1761" i="1"/>
  <c r="K1761" i="1"/>
  <c r="L1761" i="1"/>
  <c r="M1761" i="1"/>
  <c r="N1761" i="1"/>
  <c r="O1761" i="1"/>
  <c r="P1761" i="1"/>
  <c r="Q1761" i="1"/>
  <c r="R1761" i="1"/>
  <c r="S1761" i="1"/>
  <c r="T1761" i="1"/>
  <c r="U1761" i="1"/>
  <c r="V1761" i="1"/>
  <c r="W1761" i="1"/>
  <c r="X1761" i="1"/>
  <c r="Y1761" i="1"/>
  <c r="Z1761" i="1"/>
  <c r="A1762" i="1"/>
  <c r="B1762" i="1"/>
  <c r="C1762" i="1"/>
  <c r="D1762" i="1"/>
  <c r="E1762" i="1"/>
  <c r="F1762" i="1"/>
  <c r="G1762" i="1"/>
  <c r="I1762" i="1"/>
  <c r="J1762" i="1"/>
  <c r="K1762" i="1"/>
  <c r="L1762" i="1"/>
  <c r="M1762" i="1"/>
  <c r="N1762" i="1"/>
  <c r="O1762" i="1"/>
  <c r="P1762" i="1"/>
  <c r="Q1762" i="1"/>
  <c r="R1762" i="1"/>
  <c r="S1762" i="1"/>
  <c r="T1762" i="1"/>
  <c r="U1762" i="1"/>
  <c r="V1762" i="1"/>
  <c r="W1762" i="1"/>
  <c r="X1762" i="1"/>
  <c r="Y1762" i="1"/>
  <c r="Z1762" i="1"/>
  <c r="A1763" i="1"/>
  <c r="B1763" i="1"/>
  <c r="C1763" i="1"/>
  <c r="D1763" i="1"/>
  <c r="E1763" i="1"/>
  <c r="F1763" i="1"/>
  <c r="G1763" i="1"/>
  <c r="I1763" i="1"/>
  <c r="J1763" i="1"/>
  <c r="K1763" i="1"/>
  <c r="L1763" i="1"/>
  <c r="M1763" i="1"/>
  <c r="N1763" i="1"/>
  <c r="O1763" i="1"/>
  <c r="P1763" i="1"/>
  <c r="Q1763" i="1"/>
  <c r="R1763" i="1"/>
  <c r="S1763" i="1"/>
  <c r="T1763" i="1"/>
  <c r="U1763" i="1"/>
  <c r="V1763" i="1"/>
  <c r="W1763" i="1"/>
  <c r="X1763" i="1"/>
  <c r="Y1763" i="1"/>
  <c r="Z1763" i="1"/>
  <c r="A1764" i="1"/>
  <c r="B1764" i="1"/>
  <c r="C1764" i="1"/>
  <c r="D1764" i="1"/>
  <c r="E1764" i="1"/>
  <c r="F1764" i="1"/>
  <c r="G1764" i="1"/>
  <c r="I1764" i="1"/>
  <c r="J1764" i="1"/>
  <c r="K1764" i="1"/>
  <c r="L1764" i="1"/>
  <c r="M1764" i="1"/>
  <c r="N1764" i="1"/>
  <c r="O1764" i="1"/>
  <c r="P1764" i="1"/>
  <c r="Q1764" i="1"/>
  <c r="R1764" i="1"/>
  <c r="S1764" i="1"/>
  <c r="T1764" i="1"/>
  <c r="U1764" i="1"/>
  <c r="V1764" i="1"/>
  <c r="W1764" i="1"/>
  <c r="X1764" i="1"/>
  <c r="Y1764" i="1"/>
  <c r="Z1764" i="1"/>
  <c r="A1765" i="1"/>
  <c r="B1765" i="1"/>
  <c r="C1765" i="1"/>
  <c r="D1765" i="1"/>
  <c r="E1765" i="1"/>
  <c r="F1765" i="1"/>
  <c r="G1765" i="1"/>
  <c r="I1765" i="1"/>
  <c r="J1765" i="1"/>
  <c r="K1765" i="1"/>
  <c r="L1765" i="1"/>
  <c r="M1765" i="1"/>
  <c r="N1765" i="1"/>
  <c r="O1765" i="1"/>
  <c r="P1765" i="1"/>
  <c r="Q1765" i="1"/>
  <c r="R1765" i="1"/>
  <c r="S1765" i="1"/>
  <c r="T1765" i="1"/>
  <c r="U1765" i="1"/>
  <c r="V1765" i="1"/>
  <c r="W1765" i="1"/>
  <c r="X1765" i="1"/>
  <c r="Y1765" i="1"/>
  <c r="Z1765" i="1"/>
  <c r="A1766" i="1"/>
  <c r="B1766" i="1"/>
  <c r="C1766" i="1"/>
  <c r="D1766" i="1"/>
  <c r="E1766" i="1"/>
  <c r="F1766" i="1"/>
  <c r="G1766" i="1"/>
  <c r="I1766" i="1"/>
  <c r="J1766" i="1"/>
  <c r="K1766" i="1"/>
  <c r="L1766" i="1"/>
  <c r="M1766" i="1"/>
  <c r="N1766" i="1"/>
  <c r="O1766" i="1"/>
  <c r="P1766" i="1"/>
  <c r="Q1766" i="1"/>
  <c r="R1766" i="1"/>
  <c r="S1766" i="1"/>
  <c r="T1766" i="1"/>
  <c r="U1766" i="1"/>
  <c r="V1766" i="1"/>
  <c r="W1766" i="1"/>
  <c r="X1766" i="1"/>
  <c r="Y1766" i="1"/>
  <c r="Z1766" i="1"/>
  <c r="A1767" i="1"/>
  <c r="B1767" i="1"/>
  <c r="C1767" i="1"/>
  <c r="D1767" i="1"/>
  <c r="E1767" i="1"/>
  <c r="F1767" i="1"/>
  <c r="G1767" i="1"/>
  <c r="I1767" i="1"/>
  <c r="J1767" i="1"/>
  <c r="K1767" i="1"/>
  <c r="L1767" i="1"/>
  <c r="M1767" i="1"/>
  <c r="N1767" i="1"/>
  <c r="O1767" i="1"/>
  <c r="P1767" i="1"/>
  <c r="Q1767" i="1"/>
  <c r="R1767" i="1"/>
  <c r="S1767" i="1"/>
  <c r="T1767" i="1"/>
  <c r="U1767" i="1"/>
  <c r="V1767" i="1"/>
  <c r="W1767" i="1"/>
  <c r="X1767" i="1"/>
  <c r="Y1767" i="1"/>
  <c r="Z1767" i="1"/>
  <c r="A1768" i="1"/>
  <c r="B1768" i="1"/>
  <c r="C1768" i="1"/>
  <c r="D1768" i="1"/>
  <c r="E1768" i="1"/>
  <c r="F1768" i="1"/>
  <c r="G1768" i="1"/>
  <c r="I1768" i="1"/>
  <c r="J1768" i="1"/>
  <c r="K1768" i="1"/>
  <c r="L1768" i="1"/>
  <c r="M1768" i="1"/>
  <c r="N1768" i="1"/>
  <c r="O1768" i="1"/>
  <c r="P1768" i="1"/>
  <c r="Q1768" i="1"/>
  <c r="R1768" i="1"/>
  <c r="S1768" i="1"/>
  <c r="T1768" i="1"/>
  <c r="U1768" i="1"/>
  <c r="V1768" i="1"/>
  <c r="W1768" i="1"/>
  <c r="X1768" i="1"/>
  <c r="Y1768" i="1"/>
  <c r="Z1768" i="1"/>
  <c r="A1769" i="1"/>
  <c r="B1769" i="1"/>
  <c r="C1769" i="1"/>
  <c r="D1769" i="1"/>
  <c r="E1769" i="1"/>
  <c r="F1769" i="1"/>
  <c r="G1769" i="1"/>
  <c r="I1769" i="1"/>
  <c r="J1769" i="1"/>
  <c r="K1769" i="1"/>
  <c r="L1769" i="1"/>
  <c r="M1769" i="1"/>
  <c r="N1769" i="1"/>
  <c r="O1769" i="1"/>
  <c r="P1769" i="1"/>
  <c r="Q1769" i="1"/>
  <c r="R1769" i="1"/>
  <c r="S1769" i="1"/>
  <c r="T1769" i="1"/>
  <c r="U1769" i="1"/>
  <c r="V1769" i="1"/>
  <c r="W1769" i="1"/>
  <c r="X1769" i="1"/>
  <c r="Y1769" i="1"/>
  <c r="Z1769" i="1"/>
  <c r="A1770" i="1"/>
  <c r="B1770" i="1"/>
  <c r="C1770" i="1"/>
  <c r="D1770" i="1"/>
  <c r="E1770" i="1"/>
  <c r="F1770" i="1"/>
  <c r="G1770" i="1"/>
  <c r="I1770" i="1"/>
  <c r="J1770" i="1"/>
  <c r="K1770" i="1"/>
  <c r="L1770" i="1"/>
  <c r="M1770" i="1"/>
  <c r="N1770" i="1"/>
  <c r="O1770" i="1"/>
  <c r="P1770" i="1"/>
  <c r="Q1770" i="1"/>
  <c r="R1770" i="1"/>
  <c r="S1770" i="1"/>
  <c r="T1770" i="1"/>
  <c r="U1770" i="1"/>
  <c r="V1770" i="1"/>
  <c r="W1770" i="1"/>
  <c r="X1770" i="1"/>
  <c r="Y1770" i="1"/>
  <c r="Z1770" i="1"/>
  <c r="A1771" i="1"/>
  <c r="B1771" i="1"/>
  <c r="C1771" i="1"/>
  <c r="D1771" i="1"/>
  <c r="E1771" i="1"/>
  <c r="F1771" i="1"/>
  <c r="G1771" i="1"/>
  <c r="I1771" i="1"/>
  <c r="J1771" i="1"/>
  <c r="K1771" i="1"/>
  <c r="L1771" i="1"/>
  <c r="M1771" i="1"/>
  <c r="N1771" i="1"/>
  <c r="O1771" i="1"/>
  <c r="P1771" i="1"/>
  <c r="Q1771" i="1"/>
  <c r="R1771" i="1"/>
  <c r="S1771" i="1"/>
  <c r="T1771" i="1"/>
  <c r="U1771" i="1"/>
  <c r="V1771" i="1"/>
  <c r="W1771" i="1"/>
  <c r="X1771" i="1"/>
  <c r="Y1771" i="1"/>
  <c r="Z1771" i="1"/>
  <c r="A1772" i="1"/>
  <c r="B1772" i="1"/>
  <c r="C1772" i="1"/>
  <c r="D1772" i="1"/>
  <c r="E1772" i="1"/>
  <c r="F1772" i="1"/>
  <c r="G1772" i="1"/>
  <c r="I1772" i="1"/>
  <c r="J1772" i="1"/>
  <c r="K1772" i="1"/>
  <c r="L1772" i="1"/>
  <c r="M1772" i="1"/>
  <c r="N1772" i="1"/>
  <c r="O1772" i="1"/>
  <c r="P1772" i="1"/>
  <c r="Q1772" i="1"/>
  <c r="R1772" i="1"/>
  <c r="S1772" i="1"/>
  <c r="T1772" i="1"/>
  <c r="U1772" i="1"/>
  <c r="V1772" i="1"/>
  <c r="W1772" i="1"/>
  <c r="X1772" i="1"/>
  <c r="Y1772" i="1"/>
  <c r="Z1772" i="1"/>
  <c r="A1773" i="1"/>
  <c r="B1773" i="1"/>
  <c r="C1773" i="1"/>
  <c r="D1773" i="1"/>
  <c r="E1773" i="1"/>
  <c r="F1773" i="1"/>
  <c r="G1773" i="1"/>
  <c r="I1773" i="1"/>
  <c r="J1773" i="1"/>
  <c r="K1773" i="1"/>
  <c r="L1773" i="1"/>
  <c r="M1773" i="1"/>
  <c r="N1773" i="1"/>
  <c r="O1773" i="1"/>
  <c r="P1773" i="1"/>
  <c r="Q1773" i="1"/>
  <c r="R1773" i="1"/>
  <c r="S1773" i="1"/>
  <c r="T1773" i="1"/>
  <c r="U1773" i="1"/>
  <c r="V1773" i="1"/>
  <c r="W1773" i="1"/>
  <c r="X1773" i="1"/>
  <c r="Y1773" i="1"/>
  <c r="Z1773" i="1"/>
  <c r="A1774" i="1"/>
  <c r="B1774" i="1"/>
  <c r="C1774" i="1"/>
  <c r="D1774" i="1"/>
  <c r="E1774" i="1"/>
  <c r="F1774" i="1"/>
  <c r="G1774" i="1"/>
  <c r="I1774" i="1"/>
  <c r="J1774" i="1"/>
  <c r="K1774" i="1"/>
  <c r="L1774" i="1"/>
  <c r="M1774" i="1"/>
  <c r="N1774" i="1"/>
  <c r="O1774" i="1"/>
  <c r="P1774" i="1"/>
  <c r="Q1774" i="1"/>
  <c r="R1774" i="1"/>
  <c r="S1774" i="1"/>
  <c r="T1774" i="1"/>
  <c r="U1774" i="1"/>
  <c r="V1774" i="1"/>
  <c r="W1774" i="1"/>
  <c r="X1774" i="1"/>
  <c r="Y1774" i="1"/>
  <c r="Z1774" i="1"/>
  <c r="A1775" i="1"/>
  <c r="B1775" i="1"/>
  <c r="C1775" i="1"/>
  <c r="D1775" i="1"/>
  <c r="E1775" i="1"/>
  <c r="F1775" i="1"/>
  <c r="G1775" i="1"/>
  <c r="I1775" i="1"/>
  <c r="J1775" i="1"/>
  <c r="K1775" i="1"/>
  <c r="L1775" i="1"/>
  <c r="M1775" i="1"/>
  <c r="N1775" i="1"/>
  <c r="O1775" i="1"/>
  <c r="P1775" i="1"/>
  <c r="Q1775" i="1"/>
  <c r="R1775" i="1"/>
  <c r="S1775" i="1"/>
  <c r="T1775" i="1"/>
  <c r="U1775" i="1"/>
  <c r="V1775" i="1"/>
  <c r="W1775" i="1"/>
  <c r="X1775" i="1"/>
  <c r="Y1775" i="1"/>
  <c r="Z1775" i="1"/>
  <c r="A1776" i="1"/>
  <c r="B1776" i="1"/>
  <c r="C1776" i="1"/>
  <c r="D1776" i="1"/>
  <c r="E1776" i="1"/>
  <c r="F1776" i="1"/>
  <c r="G1776" i="1"/>
  <c r="I1776" i="1"/>
  <c r="J1776" i="1"/>
  <c r="K1776" i="1"/>
  <c r="L1776" i="1"/>
  <c r="M1776" i="1"/>
  <c r="N1776" i="1"/>
  <c r="O1776" i="1"/>
  <c r="P1776" i="1"/>
  <c r="Q1776" i="1"/>
  <c r="R1776" i="1"/>
  <c r="S1776" i="1"/>
  <c r="T1776" i="1"/>
  <c r="U1776" i="1"/>
  <c r="V1776" i="1"/>
  <c r="W1776" i="1"/>
  <c r="X1776" i="1"/>
  <c r="Y1776" i="1"/>
  <c r="Z1776" i="1"/>
  <c r="A1777" i="1"/>
  <c r="B1777" i="1"/>
  <c r="C1777" i="1"/>
  <c r="D1777" i="1"/>
  <c r="E1777" i="1"/>
  <c r="F1777" i="1"/>
  <c r="G1777" i="1"/>
  <c r="I1777" i="1"/>
  <c r="J1777" i="1"/>
  <c r="K1777" i="1"/>
  <c r="L1777" i="1"/>
  <c r="M1777" i="1"/>
  <c r="N1777" i="1"/>
  <c r="O1777" i="1"/>
  <c r="P1777" i="1"/>
  <c r="Q1777" i="1"/>
  <c r="R1777" i="1"/>
  <c r="S1777" i="1"/>
  <c r="T1777" i="1"/>
  <c r="U1777" i="1"/>
  <c r="V1777" i="1"/>
  <c r="W1777" i="1"/>
  <c r="X1777" i="1"/>
  <c r="Y1777" i="1"/>
  <c r="Z1777" i="1"/>
  <c r="A1778" i="1"/>
  <c r="B1778" i="1"/>
  <c r="C1778" i="1"/>
  <c r="D1778" i="1"/>
  <c r="E1778" i="1"/>
  <c r="F1778" i="1"/>
  <c r="G1778" i="1"/>
  <c r="I1778" i="1"/>
  <c r="J1778" i="1"/>
  <c r="K1778" i="1"/>
  <c r="L1778" i="1"/>
  <c r="M1778" i="1"/>
  <c r="N1778" i="1"/>
  <c r="O1778" i="1"/>
  <c r="P1778" i="1"/>
  <c r="Q1778" i="1"/>
  <c r="R1778" i="1"/>
  <c r="S1778" i="1"/>
  <c r="T1778" i="1"/>
  <c r="U1778" i="1"/>
  <c r="V1778" i="1"/>
  <c r="W1778" i="1"/>
  <c r="X1778" i="1"/>
  <c r="Y1778" i="1"/>
  <c r="Z1778" i="1"/>
  <c r="A1779" i="1"/>
  <c r="B1779" i="1"/>
  <c r="C1779" i="1"/>
  <c r="D1779" i="1"/>
  <c r="E1779" i="1"/>
  <c r="F1779" i="1"/>
  <c r="G1779" i="1"/>
  <c r="I1779" i="1"/>
  <c r="J1779" i="1"/>
  <c r="K1779" i="1"/>
  <c r="L1779" i="1"/>
  <c r="M1779" i="1"/>
  <c r="N1779" i="1"/>
  <c r="O1779" i="1"/>
  <c r="P1779" i="1"/>
  <c r="Q1779" i="1"/>
  <c r="R1779" i="1"/>
  <c r="S1779" i="1"/>
  <c r="T1779" i="1"/>
  <c r="U1779" i="1"/>
  <c r="V1779" i="1"/>
  <c r="W1779" i="1"/>
  <c r="X1779" i="1"/>
  <c r="Y1779" i="1"/>
  <c r="Z1779" i="1"/>
  <c r="A1780" i="1"/>
  <c r="B1780" i="1"/>
  <c r="C1780" i="1"/>
  <c r="D1780" i="1"/>
  <c r="E1780" i="1"/>
  <c r="F1780" i="1"/>
  <c r="G1780" i="1"/>
  <c r="I1780" i="1"/>
  <c r="J1780" i="1"/>
  <c r="K1780" i="1"/>
  <c r="L1780" i="1"/>
  <c r="M1780" i="1"/>
  <c r="N1780" i="1"/>
  <c r="O1780" i="1"/>
  <c r="P1780" i="1"/>
  <c r="Q1780" i="1"/>
  <c r="R1780" i="1"/>
  <c r="S1780" i="1"/>
  <c r="T1780" i="1"/>
  <c r="U1780" i="1"/>
  <c r="V1780" i="1"/>
  <c r="W1780" i="1"/>
  <c r="X1780" i="1"/>
  <c r="Y1780" i="1"/>
  <c r="Z1780" i="1"/>
  <c r="A1781" i="1"/>
  <c r="B1781" i="1"/>
  <c r="C1781" i="1"/>
  <c r="D1781" i="1"/>
  <c r="E1781" i="1"/>
  <c r="F1781" i="1"/>
  <c r="G1781" i="1"/>
  <c r="I1781" i="1"/>
  <c r="J1781" i="1"/>
  <c r="K1781" i="1"/>
  <c r="L1781" i="1"/>
  <c r="M1781" i="1"/>
  <c r="N1781" i="1"/>
  <c r="O1781" i="1"/>
  <c r="P1781" i="1"/>
  <c r="Q1781" i="1"/>
  <c r="R1781" i="1"/>
  <c r="S1781" i="1"/>
  <c r="T1781" i="1"/>
  <c r="U1781" i="1"/>
  <c r="V1781" i="1"/>
  <c r="W1781" i="1"/>
  <c r="X1781" i="1"/>
  <c r="Y1781" i="1"/>
  <c r="Z1781" i="1"/>
  <c r="A1782" i="1"/>
  <c r="B1782" i="1"/>
  <c r="C1782" i="1"/>
  <c r="D1782" i="1"/>
  <c r="E1782" i="1"/>
  <c r="F1782" i="1"/>
  <c r="G1782" i="1"/>
  <c r="I1782" i="1"/>
  <c r="J1782" i="1"/>
  <c r="K1782" i="1"/>
  <c r="L1782" i="1"/>
  <c r="M1782" i="1"/>
  <c r="N1782" i="1"/>
  <c r="O1782" i="1"/>
  <c r="P1782" i="1"/>
  <c r="Q1782" i="1"/>
  <c r="R1782" i="1"/>
  <c r="S1782" i="1"/>
  <c r="T1782" i="1"/>
  <c r="U1782" i="1"/>
  <c r="V1782" i="1"/>
  <c r="W1782" i="1"/>
  <c r="X1782" i="1"/>
  <c r="Y1782" i="1"/>
  <c r="Z1782" i="1"/>
  <c r="A1783" i="1"/>
  <c r="B1783" i="1"/>
  <c r="C1783" i="1"/>
  <c r="D1783" i="1"/>
  <c r="E1783" i="1"/>
  <c r="F1783" i="1"/>
  <c r="G1783" i="1"/>
  <c r="I1783" i="1"/>
  <c r="J1783" i="1"/>
  <c r="K1783" i="1"/>
  <c r="L1783" i="1"/>
  <c r="M1783" i="1"/>
  <c r="N1783" i="1"/>
  <c r="O1783" i="1"/>
  <c r="P1783" i="1"/>
  <c r="Q1783" i="1"/>
  <c r="R1783" i="1"/>
  <c r="S1783" i="1"/>
  <c r="T1783" i="1"/>
  <c r="U1783" i="1"/>
  <c r="V1783" i="1"/>
  <c r="W1783" i="1"/>
  <c r="X1783" i="1"/>
  <c r="Y1783" i="1"/>
  <c r="Z1783" i="1"/>
  <c r="A1784" i="1"/>
  <c r="B1784" i="1"/>
  <c r="C1784" i="1"/>
  <c r="D1784" i="1"/>
  <c r="E1784" i="1"/>
  <c r="F1784" i="1"/>
  <c r="G1784" i="1"/>
  <c r="I1784" i="1"/>
  <c r="J1784" i="1"/>
  <c r="K1784" i="1"/>
  <c r="L1784" i="1"/>
  <c r="M1784" i="1"/>
  <c r="N1784" i="1"/>
  <c r="O1784" i="1"/>
  <c r="P1784" i="1"/>
  <c r="Q1784" i="1"/>
  <c r="R1784" i="1"/>
  <c r="S1784" i="1"/>
  <c r="T1784" i="1"/>
  <c r="U1784" i="1"/>
  <c r="V1784" i="1"/>
  <c r="W1784" i="1"/>
  <c r="X1784" i="1"/>
  <c r="Y1784" i="1"/>
  <c r="Z1784" i="1"/>
  <c r="A1785" i="1"/>
  <c r="B1785" i="1"/>
  <c r="C1785" i="1"/>
  <c r="D1785" i="1"/>
  <c r="E1785" i="1"/>
  <c r="F1785" i="1"/>
  <c r="G1785" i="1"/>
  <c r="I1785" i="1"/>
  <c r="J1785" i="1"/>
  <c r="K1785" i="1"/>
  <c r="L1785" i="1"/>
  <c r="M1785" i="1"/>
  <c r="N1785" i="1"/>
  <c r="O1785" i="1"/>
  <c r="P1785" i="1"/>
  <c r="Q1785" i="1"/>
  <c r="R1785" i="1"/>
  <c r="S1785" i="1"/>
  <c r="T1785" i="1"/>
  <c r="U1785" i="1"/>
  <c r="V1785" i="1"/>
  <c r="W1785" i="1"/>
  <c r="X1785" i="1"/>
  <c r="Y1785" i="1"/>
  <c r="Z1785" i="1"/>
  <c r="A1786" i="1"/>
  <c r="B1786" i="1"/>
  <c r="C1786" i="1"/>
  <c r="D1786" i="1"/>
  <c r="E1786" i="1"/>
  <c r="F1786" i="1"/>
  <c r="G1786" i="1"/>
  <c r="I1786" i="1"/>
  <c r="J1786" i="1"/>
  <c r="K1786" i="1"/>
  <c r="L1786" i="1"/>
  <c r="M1786" i="1"/>
  <c r="N1786" i="1"/>
  <c r="O1786" i="1"/>
  <c r="P1786" i="1"/>
  <c r="Q1786" i="1"/>
  <c r="R1786" i="1"/>
  <c r="S1786" i="1"/>
  <c r="T1786" i="1"/>
  <c r="U1786" i="1"/>
  <c r="V1786" i="1"/>
  <c r="W1786" i="1"/>
  <c r="X1786" i="1"/>
  <c r="Y1786" i="1"/>
  <c r="Z1786" i="1"/>
  <c r="A1787" i="1"/>
  <c r="B1787" i="1"/>
  <c r="C1787" i="1"/>
  <c r="D1787" i="1"/>
  <c r="E1787" i="1"/>
  <c r="F1787" i="1"/>
  <c r="G1787" i="1"/>
  <c r="I1787" i="1"/>
  <c r="J1787" i="1"/>
  <c r="K1787" i="1"/>
  <c r="L1787" i="1"/>
  <c r="M1787" i="1"/>
  <c r="N1787" i="1"/>
  <c r="O1787" i="1"/>
  <c r="P1787" i="1"/>
  <c r="Q1787" i="1"/>
  <c r="R1787" i="1"/>
  <c r="S1787" i="1"/>
  <c r="T1787" i="1"/>
  <c r="U1787" i="1"/>
  <c r="V1787" i="1"/>
  <c r="W1787" i="1"/>
  <c r="X1787" i="1"/>
  <c r="Y1787" i="1"/>
  <c r="Z1787" i="1"/>
  <c r="A1788" i="1"/>
  <c r="B1788" i="1"/>
  <c r="C1788" i="1"/>
  <c r="D1788" i="1"/>
  <c r="E1788" i="1"/>
  <c r="F1788" i="1"/>
  <c r="G1788" i="1"/>
  <c r="I1788" i="1"/>
  <c r="J1788" i="1"/>
  <c r="K1788" i="1"/>
  <c r="L1788" i="1"/>
  <c r="M1788" i="1"/>
  <c r="N1788" i="1"/>
  <c r="O1788" i="1"/>
  <c r="P1788" i="1"/>
  <c r="Q1788" i="1"/>
  <c r="R1788" i="1"/>
  <c r="S1788" i="1"/>
  <c r="T1788" i="1"/>
  <c r="U1788" i="1"/>
  <c r="V1788" i="1"/>
  <c r="W1788" i="1"/>
  <c r="X1788" i="1"/>
  <c r="Y1788" i="1"/>
  <c r="Z1788" i="1"/>
  <c r="A1789" i="1"/>
  <c r="B1789" i="1"/>
  <c r="C1789" i="1"/>
  <c r="D1789" i="1"/>
  <c r="E1789" i="1"/>
  <c r="F1789" i="1"/>
  <c r="G1789" i="1"/>
  <c r="I1789" i="1"/>
  <c r="J1789" i="1"/>
  <c r="K1789" i="1"/>
  <c r="L1789" i="1"/>
  <c r="M1789" i="1"/>
  <c r="N1789" i="1"/>
  <c r="O1789" i="1"/>
  <c r="P1789" i="1"/>
  <c r="Q1789" i="1"/>
  <c r="R1789" i="1"/>
  <c r="S1789" i="1"/>
  <c r="T1789" i="1"/>
  <c r="U1789" i="1"/>
  <c r="V1789" i="1"/>
  <c r="W1789" i="1"/>
  <c r="X1789" i="1"/>
  <c r="Y1789" i="1"/>
  <c r="Z1789" i="1"/>
  <c r="A1790" i="1"/>
  <c r="B1790" i="1"/>
  <c r="C1790" i="1"/>
  <c r="D1790" i="1"/>
  <c r="E1790" i="1"/>
  <c r="F1790" i="1"/>
  <c r="G1790" i="1"/>
  <c r="I1790" i="1"/>
  <c r="J1790" i="1"/>
  <c r="K1790" i="1"/>
  <c r="L1790" i="1"/>
  <c r="M1790" i="1"/>
  <c r="N1790" i="1"/>
  <c r="O1790" i="1"/>
  <c r="P1790" i="1"/>
  <c r="Q1790" i="1"/>
  <c r="R1790" i="1"/>
  <c r="S1790" i="1"/>
  <c r="T1790" i="1"/>
  <c r="U1790" i="1"/>
  <c r="V1790" i="1"/>
  <c r="W1790" i="1"/>
  <c r="X1790" i="1"/>
  <c r="Y1790" i="1"/>
  <c r="Z1790" i="1"/>
  <c r="A1791" i="1"/>
  <c r="B1791" i="1"/>
  <c r="C1791" i="1"/>
  <c r="D1791" i="1"/>
  <c r="E1791" i="1"/>
  <c r="F1791" i="1"/>
  <c r="G1791" i="1"/>
  <c r="I1791" i="1"/>
  <c r="J1791" i="1"/>
  <c r="K1791" i="1"/>
  <c r="L1791" i="1"/>
  <c r="M1791" i="1"/>
  <c r="N1791" i="1"/>
  <c r="O1791" i="1"/>
  <c r="P1791" i="1"/>
  <c r="Q1791" i="1"/>
  <c r="R1791" i="1"/>
  <c r="S1791" i="1"/>
  <c r="T1791" i="1"/>
  <c r="U1791" i="1"/>
  <c r="V1791" i="1"/>
  <c r="W1791" i="1"/>
  <c r="X1791" i="1"/>
  <c r="Y1791" i="1"/>
  <c r="Z1791" i="1"/>
  <c r="A1792" i="1"/>
  <c r="B1792" i="1"/>
  <c r="C1792" i="1"/>
  <c r="D1792" i="1"/>
  <c r="E1792" i="1"/>
  <c r="F1792" i="1"/>
  <c r="G1792" i="1"/>
  <c r="I1792" i="1"/>
  <c r="J1792" i="1"/>
  <c r="K1792" i="1"/>
  <c r="L1792" i="1"/>
  <c r="M1792" i="1"/>
  <c r="N1792" i="1"/>
  <c r="O1792" i="1"/>
  <c r="P1792" i="1"/>
  <c r="Q1792" i="1"/>
  <c r="R1792" i="1"/>
  <c r="S1792" i="1"/>
  <c r="T1792" i="1"/>
  <c r="U1792" i="1"/>
  <c r="V1792" i="1"/>
  <c r="W1792" i="1"/>
  <c r="X1792" i="1"/>
  <c r="Y1792" i="1"/>
  <c r="Z1792" i="1"/>
  <c r="A1793" i="1"/>
  <c r="B1793" i="1"/>
  <c r="C1793" i="1"/>
  <c r="D1793" i="1"/>
  <c r="E1793" i="1"/>
  <c r="F1793" i="1"/>
  <c r="G1793" i="1"/>
  <c r="I1793" i="1"/>
  <c r="J1793" i="1"/>
  <c r="K1793" i="1"/>
  <c r="L1793" i="1"/>
  <c r="M1793" i="1"/>
  <c r="N1793" i="1"/>
  <c r="O1793" i="1"/>
  <c r="P1793" i="1"/>
  <c r="Q1793" i="1"/>
  <c r="R1793" i="1"/>
  <c r="S1793" i="1"/>
  <c r="T1793" i="1"/>
  <c r="U1793" i="1"/>
  <c r="V1793" i="1"/>
  <c r="W1793" i="1"/>
  <c r="X1793" i="1"/>
  <c r="Y1793" i="1"/>
  <c r="Z1793" i="1"/>
  <c r="A1794" i="1"/>
  <c r="B1794" i="1"/>
  <c r="C1794" i="1"/>
  <c r="D1794" i="1"/>
  <c r="E1794" i="1"/>
  <c r="F1794" i="1"/>
  <c r="G1794" i="1"/>
  <c r="I1794" i="1"/>
  <c r="J1794" i="1"/>
  <c r="K1794" i="1"/>
  <c r="L1794" i="1"/>
  <c r="M1794" i="1"/>
  <c r="N1794" i="1"/>
  <c r="O1794" i="1"/>
  <c r="P1794" i="1"/>
  <c r="Q1794" i="1"/>
  <c r="R1794" i="1"/>
  <c r="S1794" i="1"/>
  <c r="T1794" i="1"/>
  <c r="U1794" i="1"/>
  <c r="V1794" i="1"/>
  <c r="W1794" i="1"/>
  <c r="X1794" i="1"/>
  <c r="Y1794" i="1"/>
  <c r="Z1794" i="1"/>
  <c r="A1795" i="1"/>
  <c r="B1795" i="1"/>
  <c r="C1795" i="1"/>
  <c r="D1795" i="1"/>
  <c r="E1795" i="1"/>
  <c r="F1795" i="1"/>
  <c r="G1795" i="1"/>
  <c r="I1795" i="1"/>
  <c r="J1795" i="1"/>
  <c r="K1795" i="1"/>
  <c r="L1795" i="1"/>
  <c r="M1795" i="1"/>
  <c r="N1795" i="1"/>
  <c r="O1795" i="1"/>
  <c r="P1795" i="1"/>
  <c r="Q1795" i="1"/>
  <c r="R1795" i="1"/>
  <c r="S1795" i="1"/>
  <c r="T1795" i="1"/>
  <c r="U1795" i="1"/>
  <c r="V1795" i="1"/>
  <c r="W1795" i="1"/>
  <c r="X1795" i="1"/>
  <c r="Y1795" i="1"/>
  <c r="Z1795" i="1"/>
  <c r="A1796" i="1"/>
  <c r="B1796" i="1"/>
  <c r="C1796" i="1"/>
  <c r="D1796" i="1"/>
  <c r="E1796" i="1"/>
  <c r="F1796" i="1"/>
  <c r="G1796" i="1"/>
  <c r="I1796" i="1"/>
  <c r="J1796" i="1"/>
  <c r="K1796" i="1"/>
  <c r="L1796" i="1"/>
  <c r="M1796" i="1"/>
  <c r="N1796" i="1"/>
  <c r="O1796" i="1"/>
  <c r="P1796" i="1"/>
  <c r="Q1796" i="1"/>
  <c r="R1796" i="1"/>
  <c r="S1796" i="1"/>
  <c r="T1796" i="1"/>
  <c r="U1796" i="1"/>
  <c r="V1796" i="1"/>
  <c r="W1796" i="1"/>
  <c r="X1796" i="1"/>
  <c r="Y1796" i="1"/>
  <c r="Z1796" i="1"/>
  <c r="A1797" i="1"/>
  <c r="B1797" i="1"/>
  <c r="C1797" i="1"/>
  <c r="D1797" i="1"/>
  <c r="E1797" i="1"/>
  <c r="F1797" i="1"/>
  <c r="G1797" i="1"/>
  <c r="I1797" i="1"/>
  <c r="J1797" i="1"/>
  <c r="K1797" i="1"/>
  <c r="L1797" i="1"/>
  <c r="M1797" i="1"/>
  <c r="N1797" i="1"/>
  <c r="O1797" i="1"/>
  <c r="P1797" i="1"/>
  <c r="Q1797" i="1"/>
  <c r="R1797" i="1"/>
  <c r="S1797" i="1"/>
  <c r="T1797" i="1"/>
  <c r="U1797" i="1"/>
  <c r="V1797" i="1"/>
  <c r="W1797" i="1"/>
  <c r="X1797" i="1"/>
  <c r="Y1797" i="1"/>
  <c r="Z1797" i="1"/>
  <c r="A1798" i="1"/>
  <c r="B1798" i="1"/>
  <c r="C1798" i="1"/>
  <c r="D1798" i="1"/>
  <c r="E1798" i="1"/>
  <c r="F1798" i="1"/>
  <c r="G1798" i="1"/>
  <c r="I1798" i="1"/>
  <c r="J1798" i="1"/>
  <c r="K1798" i="1"/>
  <c r="L1798" i="1"/>
  <c r="M1798" i="1"/>
  <c r="N1798" i="1"/>
  <c r="O1798" i="1"/>
  <c r="P1798" i="1"/>
  <c r="Q1798" i="1"/>
  <c r="R1798" i="1"/>
  <c r="S1798" i="1"/>
  <c r="T1798" i="1"/>
  <c r="U1798" i="1"/>
  <c r="V1798" i="1"/>
  <c r="W1798" i="1"/>
  <c r="X1798" i="1"/>
  <c r="Y1798" i="1"/>
  <c r="Z1798" i="1"/>
  <c r="A1799" i="1"/>
  <c r="B1799" i="1"/>
  <c r="C1799" i="1"/>
  <c r="D1799" i="1"/>
  <c r="E1799" i="1"/>
  <c r="F1799" i="1"/>
  <c r="G1799" i="1"/>
  <c r="I1799" i="1"/>
  <c r="J1799" i="1"/>
  <c r="K1799" i="1"/>
  <c r="L1799" i="1"/>
  <c r="M1799" i="1"/>
  <c r="N1799" i="1"/>
  <c r="O1799" i="1"/>
  <c r="P1799" i="1"/>
  <c r="Q1799" i="1"/>
  <c r="R1799" i="1"/>
  <c r="S1799" i="1"/>
  <c r="T1799" i="1"/>
  <c r="U1799" i="1"/>
  <c r="V1799" i="1"/>
  <c r="W1799" i="1"/>
  <c r="X1799" i="1"/>
  <c r="Y1799" i="1"/>
  <c r="Z1799" i="1"/>
  <c r="A1800" i="1"/>
  <c r="B1800" i="1"/>
  <c r="C1800" i="1"/>
  <c r="D1800" i="1"/>
  <c r="E1800" i="1"/>
  <c r="F1800" i="1"/>
  <c r="G1800" i="1"/>
  <c r="I1800" i="1"/>
  <c r="J1800" i="1"/>
  <c r="K1800" i="1"/>
  <c r="L1800" i="1"/>
  <c r="M1800" i="1"/>
  <c r="N1800" i="1"/>
  <c r="O1800" i="1"/>
  <c r="P1800" i="1"/>
  <c r="Q1800" i="1"/>
  <c r="R1800" i="1"/>
  <c r="S1800" i="1"/>
  <c r="T1800" i="1"/>
  <c r="U1800" i="1"/>
  <c r="V1800" i="1"/>
  <c r="W1800" i="1"/>
  <c r="X1800" i="1"/>
  <c r="Y1800" i="1"/>
  <c r="Z1800" i="1"/>
  <c r="A1801" i="1"/>
  <c r="B1801" i="1"/>
  <c r="C1801" i="1"/>
  <c r="D1801" i="1"/>
  <c r="E1801" i="1"/>
  <c r="F1801" i="1"/>
  <c r="G1801" i="1"/>
  <c r="I1801" i="1"/>
  <c r="J1801" i="1"/>
  <c r="K1801" i="1"/>
  <c r="L1801" i="1"/>
  <c r="M1801" i="1"/>
  <c r="N1801" i="1"/>
  <c r="O1801" i="1"/>
  <c r="P1801" i="1"/>
  <c r="Q1801" i="1"/>
  <c r="R1801" i="1"/>
  <c r="S1801" i="1"/>
  <c r="T1801" i="1"/>
  <c r="U1801" i="1"/>
  <c r="V1801" i="1"/>
  <c r="W1801" i="1"/>
  <c r="X1801" i="1"/>
  <c r="Y1801" i="1"/>
  <c r="Z1801" i="1"/>
  <c r="A1802" i="1"/>
  <c r="B1802" i="1"/>
  <c r="C1802" i="1"/>
  <c r="D1802" i="1"/>
  <c r="E1802" i="1"/>
  <c r="F1802" i="1"/>
  <c r="G1802" i="1"/>
  <c r="I1802" i="1"/>
  <c r="J1802" i="1"/>
  <c r="K1802" i="1"/>
  <c r="L1802" i="1"/>
  <c r="M1802" i="1"/>
  <c r="N1802" i="1"/>
  <c r="O1802" i="1"/>
  <c r="P1802" i="1"/>
  <c r="Q1802" i="1"/>
  <c r="R1802" i="1"/>
  <c r="S1802" i="1"/>
  <c r="T1802" i="1"/>
  <c r="U1802" i="1"/>
  <c r="V1802" i="1"/>
  <c r="W1802" i="1"/>
  <c r="X1802" i="1"/>
  <c r="Y1802" i="1"/>
  <c r="Z1802" i="1"/>
  <c r="A1803" i="1"/>
  <c r="B1803" i="1"/>
  <c r="C1803" i="1"/>
  <c r="D1803" i="1"/>
  <c r="E1803" i="1"/>
  <c r="F1803" i="1"/>
  <c r="G1803" i="1"/>
  <c r="I1803" i="1"/>
  <c r="J1803" i="1"/>
  <c r="K1803" i="1"/>
  <c r="L1803" i="1"/>
  <c r="M1803" i="1"/>
  <c r="N1803" i="1"/>
  <c r="O1803" i="1"/>
  <c r="P1803" i="1"/>
  <c r="Q1803" i="1"/>
  <c r="R1803" i="1"/>
  <c r="S1803" i="1"/>
  <c r="T1803" i="1"/>
  <c r="U1803" i="1"/>
  <c r="V1803" i="1"/>
  <c r="W1803" i="1"/>
  <c r="X1803" i="1"/>
  <c r="Y1803" i="1"/>
  <c r="Z1803" i="1"/>
  <c r="A1804" i="1"/>
  <c r="B1804" i="1"/>
  <c r="C1804" i="1"/>
  <c r="D1804" i="1"/>
  <c r="E1804" i="1"/>
  <c r="F1804" i="1"/>
  <c r="G1804" i="1"/>
  <c r="I1804" i="1"/>
  <c r="J1804" i="1"/>
  <c r="K1804" i="1"/>
  <c r="L1804" i="1"/>
  <c r="M1804" i="1"/>
  <c r="N1804" i="1"/>
  <c r="O1804" i="1"/>
  <c r="P1804" i="1"/>
  <c r="Q1804" i="1"/>
  <c r="R1804" i="1"/>
  <c r="S1804" i="1"/>
  <c r="T1804" i="1"/>
  <c r="U1804" i="1"/>
  <c r="V1804" i="1"/>
  <c r="W1804" i="1"/>
  <c r="X1804" i="1"/>
  <c r="Y1804" i="1"/>
  <c r="Z1804" i="1"/>
  <c r="A1805" i="1"/>
  <c r="B1805" i="1"/>
  <c r="C1805" i="1"/>
  <c r="D1805" i="1"/>
  <c r="E1805" i="1"/>
  <c r="F1805" i="1"/>
  <c r="G1805" i="1"/>
  <c r="I1805" i="1"/>
  <c r="J1805" i="1"/>
  <c r="K1805" i="1"/>
  <c r="L1805" i="1"/>
  <c r="M1805" i="1"/>
  <c r="N1805" i="1"/>
  <c r="O1805" i="1"/>
  <c r="P1805" i="1"/>
  <c r="Q1805" i="1"/>
  <c r="R1805" i="1"/>
  <c r="S1805" i="1"/>
  <c r="T1805" i="1"/>
  <c r="U1805" i="1"/>
  <c r="V1805" i="1"/>
  <c r="W1805" i="1"/>
  <c r="X1805" i="1"/>
  <c r="Y1805" i="1"/>
  <c r="Z1805" i="1"/>
  <c r="A1806" i="1"/>
  <c r="B1806" i="1"/>
  <c r="C1806" i="1"/>
  <c r="D1806" i="1"/>
  <c r="E1806" i="1"/>
  <c r="F1806" i="1"/>
  <c r="G1806" i="1"/>
  <c r="I1806" i="1"/>
  <c r="J1806" i="1"/>
  <c r="K1806" i="1"/>
  <c r="L1806" i="1"/>
  <c r="M1806" i="1"/>
  <c r="N1806" i="1"/>
  <c r="O1806" i="1"/>
  <c r="P1806" i="1"/>
  <c r="Q1806" i="1"/>
  <c r="R1806" i="1"/>
  <c r="S1806" i="1"/>
  <c r="T1806" i="1"/>
  <c r="U1806" i="1"/>
  <c r="V1806" i="1"/>
  <c r="W1806" i="1"/>
  <c r="X1806" i="1"/>
  <c r="Y1806" i="1"/>
  <c r="Z1806" i="1"/>
  <c r="A1807" i="1"/>
  <c r="B1807" i="1"/>
  <c r="C1807" i="1"/>
  <c r="D1807" i="1"/>
  <c r="E1807" i="1"/>
  <c r="F1807" i="1"/>
  <c r="G1807" i="1"/>
  <c r="I1807" i="1"/>
  <c r="J1807" i="1"/>
  <c r="K1807" i="1"/>
  <c r="L1807" i="1"/>
  <c r="M1807" i="1"/>
  <c r="N1807" i="1"/>
  <c r="O1807" i="1"/>
  <c r="P1807" i="1"/>
  <c r="Q1807" i="1"/>
  <c r="R1807" i="1"/>
  <c r="S1807" i="1"/>
  <c r="T1807" i="1"/>
  <c r="U1807" i="1"/>
  <c r="V1807" i="1"/>
  <c r="W1807" i="1"/>
  <c r="X1807" i="1"/>
  <c r="Y1807" i="1"/>
  <c r="Z1807" i="1"/>
  <c r="A1808" i="1"/>
  <c r="B1808" i="1"/>
  <c r="C1808" i="1"/>
  <c r="D1808" i="1"/>
  <c r="E1808" i="1"/>
  <c r="F1808" i="1"/>
  <c r="G1808" i="1"/>
  <c r="I1808" i="1"/>
  <c r="J1808" i="1"/>
  <c r="K1808" i="1"/>
  <c r="L1808" i="1"/>
  <c r="M1808" i="1"/>
  <c r="N1808" i="1"/>
  <c r="O1808" i="1"/>
  <c r="P1808" i="1"/>
  <c r="Q1808" i="1"/>
  <c r="R1808" i="1"/>
  <c r="S1808" i="1"/>
  <c r="T1808" i="1"/>
  <c r="U1808" i="1"/>
  <c r="V1808" i="1"/>
  <c r="W1808" i="1"/>
  <c r="X1808" i="1"/>
  <c r="Y1808" i="1"/>
  <c r="Z1808" i="1"/>
  <c r="A1809" i="1"/>
  <c r="B1809" i="1"/>
  <c r="C1809" i="1"/>
  <c r="D1809" i="1"/>
  <c r="E1809" i="1"/>
  <c r="F1809" i="1"/>
  <c r="G1809" i="1"/>
  <c r="I1809" i="1"/>
  <c r="J1809" i="1"/>
  <c r="K1809" i="1"/>
  <c r="L1809" i="1"/>
  <c r="M1809" i="1"/>
  <c r="N1809" i="1"/>
  <c r="O1809" i="1"/>
  <c r="P1809" i="1"/>
  <c r="Q1809" i="1"/>
  <c r="R1809" i="1"/>
  <c r="S1809" i="1"/>
  <c r="T1809" i="1"/>
  <c r="U1809" i="1"/>
  <c r="V1809" i="1"/>
  <c r="W1809" i="1"/>
  <c r="X1809" i="1"/>
  <c r="Y1809" i="1"/>
  <c r="Z1809" i="1"/>
  <c r="A1810" i="1"/>
  <c r="B1810" i="1"/>
  <c r="C1810" i="1"/>
  <c r="D1810" i="1"/>
  <c r="E1810" i="1"/>
  <c r="F1810" i="1"/>
  <c r="G1810" i="1"/>
  <c r="I1810" i="1"/>
  <c r="J1810" i="1"/>
  <c r="K1810" i="1"/>
  <c r="L1810" i="1"/>
  <c r="M1810" i="1"/>
  <c r="N1810" i="1"/>
  <c r="O1810" i="1"/>
  <c r="P1810" i="1"/>
  <c r="Q1810" i="1"/>
  <c r="R1810" i="1"/>
  <c r="S1810" i="1"/>
  <c r="T1810" i="1"/>
  <c r="U1810" i="1"/>
  <c r="V1810" i="1"/>
  <c r="W1810" i="1"/>
  <c r="X1810" i="1"/>
  <c r="Y1810" i="1"/>
  <c r="Z1810" i="1"/>
  <c r="A1811" i="1"/>
  <c r="B1811" i="1"/>
  <c r="C1811" i="1"/>
  <c r="D1811" i="1"/>
  <c r="E1811" i="1"/>
  <c r="F1811" i="1"/>
  <c r="G1811" i="1"/>
  <c r="I1811" i="1"/>
  <c r="J1811" i="1"/>
  <c r="K1811" i="1"/>
  <c r="L1811" i="1"/>
  <c r="M1811" i="1"/>
  <c r="N1811" i="1"/>
  <c r="O1811" i="1"/>
  <c r="P1811" i="1"/>
  <c r="Q1811" i="1"/>
  <c r="R1811" i="1"/>
  <c r="S1811" i="1"/>
  <c r="T1811" i="1"/>
  <c r="U1811" i="1"/>
  <c r="V1811" i="1"/>
  <c r="W1811" i="1"/>
  <c r="X1811" i="1"/>
  <c r="Y1811" i="1"/>
  <c r="Z1811" i="1"/>
  <c r="A1812" i="1"/>
  <c r="B1812" i="1"/>
  <c r="C1812" i="1"/>
  <c r="D1812" i="1"/>
  <c r="E1812" i="1"/>
  <c r="F1812" i="1"/>
  <c r="G1812" i="1"/>
  <c r="I1812" i="1"/>
  <c r="J1812" i="1"/>
  <c r="K1812" i="1"/>
  <c r="L1812" i="1"/>
  <c r="M1812" i="1"/>
  <c r="N1812" i="1"/>
  <c r="O1812" i="1"/>
  <c r="P1812" i="1"/>
  <c r="Q1812" i="1"/>
  <c r="R1812" i="1"/>
  <c r="S1812" i="1"/>
  <c r="T1812" i="1"/>
  <c r="U1812" i="1"/>
  <c r="V1812" i="1"/>
  <c r="W1812" i="1"/>
  <c r="X1812" i="1"/>
  <c r="Y1812" i="1"/>
  <c r="Z1812" i="1"/>
  <c r="A1813" i="1"/>
  <c r="B1813" i="1"/>
  <c r="C1813" i="1"/>
  <c r="D1813" i="1"/>
  <c r="E1813" i="1"/>
  <c r="F1813" i="1"/>
  <c r="G1813" i="1"/>
  <c r="I1813" i="1"/>
  <c r="J1813" i="1"/>
  <c r="K1813" i="1"/>
  <c r="L1813" i="1"/>
  <c r="M1813" i="1"/>
  <c r="N1813" i="1"/>
  <c r="O1813" i="1"/>
  <c r="P1813" i="1"/>
  <c r="Q1813" i="1"/>
  <c r="R1813" i="1"/>
  <c r="S1813" i="1"/>
  <c r="T1813" i="1"/>
  <c r="U1813" i="1"/>
  <c r="V1813" i="1"/>
  <c r="W1813" i="1"/>
  <c r="X1813" i="1"/>
  <c r="Y1813" i="1"/>
  <c r="Z1813" i="1"/>
  <c r="A1814" i="1"/>
  <c r="B1814" i="1"/>
  <c r="C1814" i="1"/>
  <c r="D1814" i="1"/>
  <c r="E1814" i="1"/>
  <c r="F1814" i="1"/>
  <c r="G1814" i="1"/>
  <c r="I1814" i="1"/>
  <c r="J1814" i="1"/>
  <c r="K1814" i="1"/>
  <c r="L1814" i="1"/>
  <c r="M1814" i="1"/>
  <c r="N1814" i="1"/>
  <c r="O1814" i="1"/>
  <c r="P1814" i="1"/>
  <c r="Q1814" i="1"/>
  <c r="R1814" i="1"/>
  <c r="S1814" i="1"/>
  <c r="T1814" i="1"/>
  <c r="U1814" i="1"/>
  <c r="V1814" i="1"/>
  <c r="W1814" i="1"/>
  <c r="X1814" i="1"/>
  <c r="Y1814" i="1"/>
  <c r="Z1814" i="1"/>
  <c r="A1815" i="1"/>
  <c r="B1815" i="1"/>
  <c r="C1815" i="1"/>
  <c r="D1815" i="1"/>
  <c r="E1815" i="1"/>
  <c r="F1815" i="1"/>
  <c r="G1815" i="1"/>
  <c r="I1815" i="1"/>
  <c r="J1815" i="1"/>
  <c r="K1815" i="1"/>
  <c r="L1815" i="1"/>
  <c r="M1815" i="1"/>
  <c r="N1815" i="1"/>
  <c r="O1815" i="1"/>
  <c r="P1815" i="1"/>
  <c r="Q1815" i="1"/>
  <c r="R1815" i="1"/>
  <c r="S1815" i="1"/>
  <c r="T1815" i="1"/>
  <c r="U1815" i="1"/>
  <c r="V1815" i="1"/>
  <c r="W1815" i="1"/>
  <c r="X1815" i="1"/>
  <c r="Y1815" i="1"/>
  <c r="Z1815" i="1"/>
  <c r="A1816" i="1"/>
  <c r="B1816" i="1"/>
  <c r="C1816" i="1"/>
  <c r="D1816" i="1"/>
  <c r="E1816" i="1"/>
  <c r="F1816" i="1"/>
  <c r="G1816" i="1"/>
  <c r="I1816" i="1"/>
  <c r="J1816" i="1"/>
  <c r="K1816" i="1"/>
  <c r="L1816" i="1"/>
  <c r="M1816" i="1"/>
  <c r="N1816" i="1"/>
  <c r="O1816" i="1"/>
  <c r="P1816" i="1"/>
  <c r="Q1816" i="1"/>
  <c r="R1816" i="1"/>
  <c r="S1816" i="1"/>
  <c r="T1816" i="1"/>
  <c r="U1816" i="1"/>
  <c r="V1816" i="1"/>
  <c r="W1816" i="1"/>
  <c r="X1816" i="1"/>
  <c r="Y1816" i="1"/>
  <c r="Z1816" i="1"/>
  <c r="A1817" i="1"/>
  <c r="B1817" i="1"/>
  <c r="C1817" i="1"/>
  <c r="D1817" i="1"/>
  <c r="E1817" i="1"/>
  <c r="F1817" i="1"/>
  <c r="G1817" i="1"/>
  <c r="I1817" i="1"/>
  <c r="J1817" i="1"/>
  <c r="K1817" i="1"/>
  <c r="L1817" i="1"/>
  <c r="M1817" i="1"/>
  <c r="N1817" i="1"/>
  <c r="O1817" i="1"/>
  <c r="P1817" i="1"/>
  <c r="Q1817" i="1"/>
  <c r="R1817" i="1"/>
  <c r="S1817" i="1"/>
  <c r="T1817" i="1"/>
  <c r="U1817" i="1"/>
  <c r="V1817" i="1"/>
  <c r="W1817" i="1"/>
  <c r="X1817" i="1"/>
  <c r="Y1817" i="1"/>
  <c r="Z1817" i="1"/>
  <c r="A1818" i="1"/>
  <c r="B1818" i="1"/>
  <c r="C1818" i="1"/>
  <c r="D1818" i="1"/>
  <c r="E1818" i="1"/>
  <c r="F1818" i="1"/>
  <c r="G1818" i="1"/>
  <c r="I1818" i="1"/>
  <c r="J1818" i="1"/>
  <c r="K1818" i="1"/>
  <c r="L1818" i="1"/>
  <c r="M1818" i="1"/>
  <c r="N1818" i="1"/>
  <c r="O1818" i="1"/>
  <c r="P1818" i="1"/>
  <c r="Q1818" i="1"/>
  <c r="R1818" i="1"/>
  <c r="S1818" i="1"/>
  <c r="T1818" i="1"/>
  <c r="U1818" i="1"/>
  <c r="V1818" i="1"/>
  <c r="W1818" i="1"/>
  <c r="X1818" i="1"/>
  <c r="Y1818" i="1"/>
  <c r="Z1818" i="1"/>
  <c r="A1819" i="1"/>
  <c r="B1819" i="1"/>
  <c r="C1819" i="1"/>
  <c r="D1819" i="1"/>
  <c r="E1819" i="1"/>
  <c r="F1819" i="1"/>
  <c r="G1819" i="1"/>
  <c r="I1819" i="1"/>
  <c r="J1819" i="1"/>
  <c r="K1819" i="1"/>
  <c r="L1819" i="1"/>
  <c r="M1819" i="1"/>
  <c r="N1819" i="1"/>
  <c r="O1819" i="1"/>
  <c r="P1819" i="1"/>
  <c r="Q1819" i="1"/>
  <c r="R1819" i="1"/>
  <c r="S1819" i="1"/>
  <c r="T1819" i="1"/>
  <c r="U1819" i="1"/>
  <c r="V1819" i="1"/>
  <c r="W1819" i="1"/>
  <c r="X1819" i="1"/>
  <c r="Y1819" i="1"/>
  <c r="Z1819" i="1"/>
  <c r="A1820" i="1"/>
  <c r="B1820" i="1"/>
  <c r="C1820" i="1"/>
  <c r="D1820" i="1"/>
  <c r="E1820" i="1"/>
  <c r="F1820" i="1"/>
  <c r="G1820" i="1"/>
  <c r="I1820" i="1"/>
  <c r="J1820" i="1"/>
  <c r="K1820" i="1"/>
  <c r="L1820" i="1"/>
  <c r="M1820" i="1"/>
  <c r="N1820" i="1"/>
  <c r="O1820" i="1"/>
  <c r="P1820" i="1"/>
  <c r="Q1820" i="1"/>
  <c r="R1820" i="1"/>
  <c r="S1820" i="1"/>
  <c r="T1820" i="1"/>
  <c r="U1820" i="1"/>
  <c r="V1820" i="1"/>
  <c r="W1820" i="1"/>
  <c r="X1820" i="1"/>
  <c r="Y1820" i="1"/>
  <c r="Z1820" i="1"/>
  <c r="A1821" i="1"/>
  <c r="B1821" i="1"/>
  <c r="C1821" i="1"/>
  <c r="D1821" i="1"/>
  <c r="E1821" i="1"/>
  <c r="F1821" i="1"/>
  <c r="G1821" i="1"/>
  <c r="I1821" i="1"/>
  <c r="J1821" i="1"/>
  <c r="K1821" i="1"/>
  <c r="L1821" i="1"/>
  <c r="M1821" i="1"/>
  <c r="N1821" i="1"/>
  <c r="O1821" i="1"/>
  <c r="P1821" i="1"/>
  <c r="Q1821" i="1"/>
  <c r="R1821" i="1"/>
  <c r="S1821" i="1"/>
  <c r="T1821" i="1"/>
  <c r="U1821" i="1"/>
  <c r="V1821" i="1"/>
  <c r="W1821" i="1"/>
  <c r="X1821" i="1"/>
  <c r="Y1821" i="1"/>
  <c r="Z1821" i="1"/>
  <c r="A1822" i="1"/>
  <c r="B1822" i="1"/>
  <c r="C1822" i="1"/>
  <c r="D1822" i="1"/>
  <c r="E1822" i="1"/>
  <c r="F1822" i="1"/>
  <c r="G1822" i="1"/>
  <c r="I1822" i="1"/>
  <c r="J1822" i="1"/>
  <c r="K1822" i="1"/>
  <c r="L1822" i="1"/>
  <c r="M1822" i="1"/>
  <c r="N1822" i="1"/>
  <c r="O1822" i="1"/>
  <c r="P1822" i="1"/>
  <c r="Q1822" i="1"/>
  <c r="R1822" i="1"/>
  <c r="S1822" i="1"/>
  <c r="T1822" i="1"/>
  <c r="U1822" i="1"/>
  <c r="V1822" i="1"/>
  <c r="W1822" i="1"/>
  <c r="X1822" i="1"/>
  <c r="Y1822" i="1"/>
  <c r="Z1822" i="1"/>
  <c r="A1823" i="1"/>
  <c r="B1823" i="1"/>
  <c r="C1823" i="1"/>
  <c r="D1823" i="1"/>
  <c r="E1823" i="1"/>
  <c r="F1823" i="1"/>
  <c r="G1823" i="1"/>
  <c r="I1823" i="1"/>
  <c r="J1823" i="1"/>
  <c r="K1823" i="1"/>
  <c r="L1823" i="1"/>
  <c r="M1823" i="1"/>
  <c r="N1823" i="1"/>
  <c r="O1823" i="1"/>
  <c r="P1823" i="1"/>
  <c r="Q1823" i="1"/>
  <c r="R1823" i="1"/>
  <c r="S1823" i="1"/>
  <c r="T1823" i="1"/>
  <c r="U1823" i="1"/>
  <c r="V1823" i="1"/>
  <c r="W1823" i="1"/>
  <c r="X1823" i="1"/>
  <c r="Y1823" i="1"/>
  <c r="Z1823" i="1"/>
  <c r="A1824" i="1"/>
  <c r="B1824" i="1"/>
  <c r="C1824" i="1"/>
  <c r="D1824" i="1"/>
  <c r="E1824" i="1"/>
  <c r="F1824" i="1"/>
  <c r="G1824" i="1"/>
  <c r="I1824" i="1"/>
  <c r="J1824" i="1"/>
  <c r="K1824" i="1"/>
  <c r="L1824" i="1"/>
  <c r="M1824" i="1"/>
  <c r="N1824" i="1"/>
  <c r="O1824" i="1"/>
  <c r="P1824" i="1"/>
  <c r="Q1824" i="1"/>
  <c r="R1824" i="1"/>
  <c r="S1824" i="1"/>
  <c r="T1824" i="1"/>
  <c r="U1824" i="1"/>
  <c r="V1824" i="1"/>
  <c r="W1824" i="1"/>
  <c r="X1824" i="1"/>
  <c r="Y1824" i="1"/>
  <c r="Z1824" i="1"/>
  <c r="A1825" i="1"/>
  <c r="B1825" i="1"/>
  <c r="C1825" i="1"/>
  <c r="D1825" i="1"/>
  <c r="E1825" i="1"/>
  <c r="F1825" i="1"/>
  <c r="G1825" i="1"/>
  <c r="I1825" i="1"/>
  <c r="J1825" i="1"/>
  <c r="K1825" i="1"/>
  <c r="L1825" i="1"/>
  <c r="M1825" i="1"/>
  <c r="N1825" i="1"/>
  <c r="O1825" i="1"/>
  <c r="P1825" i="1"/>
  <c r="Q1825" i="1"/>
  <c r="R1825" i="1"/>
  <c r="S1825" i="1"/>
  <c r="T1825" i="1"/>
  <c r="U1825" i="1"/>
  <c r="V1825" i="1"/>
  <c r="W1825" i="1"/>
  <c r="X1825" i="1"/>
  <c r="Y1825" i="1"/>
  <c r="Z1825" i="1"/>
  <c r="A1826" i="1"/>
  <c r="B1826" i="1"/>
  <c r="C1826" i="1"/>
  <c r="D1826" i="1"/>
  <c r="E1826" i="1"/>
  <c r="F1826" i="1"/>
  <c r="G1826" i="1"/>
  <c r="I1826" i="1"/>
  <c r="J1826" i="1"/>
  <c r="K1826" i="1"/>
  <c r="L1826" i="1"/>
  <c r="M1826" i="1"/>
  <c r="N1826" i="1"/>
  <c r="O1826" i="1"/>
  <c r="P1826" i="1"/>
  <c r="Q1826" i="1"/>
  <c r="R1826" i="1"/>
  <c r="S1826" i="1"/>
  <c r="T1826" i="1"/>
  <c r="U1826" i="1"/>
  <c r="V1826" i="1"/>
  <c r="W1826" i="1"/>
  <c r="X1826" i="1"/>
  <c r="Y1826" i="1"/>
  <c r="Z1826" i="1"/>
  <c r="A1827" i="1"/>
  <c r="B1827" i="1"/>
  <c r="C1827" i="1"/>
  <c r="D1827" i="1"/>
  <c r="E1827" i="1"/>
  <c r="F1827" i="1"/>
  <c r="G1827" i="1"/>
  <c r="I1827" i="1"/>
  <c r="J1827" i="1"/>
  <c r="K1827" i="1"/>
  <c r="L1827" i="1"/>
  <c r="M1827" i="1"/>
  <c r="N1827" i="1"/>
  <c r="O1827" i="1"/>
  <c r="P1827" i="1"/>
  <c r="Q1827" i="1"/>
  <c r="R1827" i="1"/>
  <c r="S1827" i="1"/>
  <c r="T1827" i="1"/>
  <c r="U1827" i="1"/>
  <c r="V1827" i="1"/>
  <c r="W1827" i="1"/>
  <c r="X1827" i="1"/>
  <c r="Y1827" i="1"/>
  <c r="Z1827" i="1"/>
  <c r="A1828" i="1"/>
  <c r="B1828" i="1"/>
  <c r="C1828" i="1"/>
  <c r="D1828" i="1"/>
  <c r="E1828" i="1"/>
  <c r="F1828" i="1"/>
  <c r="G1828" i="1"/>
  <c r="I1828" i="1"/>
  <c r="J1828" i="1"/>
  <c r="K1828" i="1"/>
  <c r="L1828" i="1"/>
  <c r="M1828" i="1"/>
  <c r="N1828" i="1"/>
  <c r="O1828" i="1"/>
  <c r="P1828" i="1"/>
  <c r="Q1828" i="1"/>
  <c r="R1828" i="1"/>
  <c r="S1828" i="1"/>
  <c r="T1828" i="1"/>
  <c r="U1828" i="1"/>
  <c r="V1828" i="1"/>
  <c r="W1828" i="1"/>
  <c r="X1828" i="1"/>
  <c r="Y1828" i="1"/>
  <c r="Z1828" i="1"/>
  <c r="A1829" i="1"/>
  <c r="B1829" i="1"/>
  <c r="C1829" i="1"/>
  <c r="D1829" i="1"/>
  <c r="E1829" i="1"/>
  <c r="F1829" i="1"/>
  <c r="G1829" i="1"/>
  <c r="I1829" i="1"/>
  <c r="J1829" i="1"/>
  <c r="K1829" i="1"/>
  <c r="L1829" i="1"/>
  <c r="M1829" i="1"/>
  <c r="N1829" i="1"/>
  <c r="O1829" i="1"/>
  <c r="P1829" i="1"/>
  <c r="Q1829" i="1"/>
  <c r="R1829" i="1"/>
  <c r="S1829" i="1"/>
  <c r="T1829" i="1"/>
  <c r="U1829" i="1"/>
  <c r="V1829" i="1"/>
  <c r="W1829" i="1"/>
  <c r="X1829" i="1"/>
  <c r="Y1829" i="1"/>
  <c r="Z1829" i="1"/>
  <c r="A1830" i="1"/>
  <c r="B1830" i="1"/>
  <c r="C1830" i="1"/>
  <c r="D1830" i="1"/>
  <c r="E1830" i="1"/>
  <c r="F1830" i="1"/>
  <c r="G1830" i="1"/>
  <c r="I1830" i="1"/>
  <c r="J1830" i="1"/>
  <c r="K1830" i="1"/>
  <c r="L1830" i="1"/>
  <c r="M1830" i="1"/>
  <c r="N1830" i="1"/>
  <c r="O1830" i="1"/>
  <c r="P1830" i="1"/>
  <c r="Q1830" i="1"/>
  <c r="R1830" i="1"/>
  <c r="S1830" i="1"/>
  <c r="T1830" i="1"/>
  <c r="U1830" i="1"/>
  <c r="V1830" i="1"/>
  <c r="W1830" i="1"/>
  <c r="X1830" i="1"/>
  <c r="Y1830" i="1"/>
  <c r="Z1830" i="1"/>
  <c r="A1831" i="1"/>
  <c r="B1831" i="1"/>
  <c r="C1831" i="1"/>
  <c r="D1831" i="1"/>
  <c r="E1831" i="1"/>
  <c r="F1831" i="1"/>
  <c r="G1831" i="1"/>
  <c r="I1831" i="1"/>
  <c r="J1831" i="1"/>
  <c r="K1831" i="1"/>
  <c r="L1831" i="1"/>
  <c r="M1831" i="1"/>
  <c r="N1831" i="1"/>
  <c r="O1831" i="1"/>
  <c r="P1831" i="1"/>
  <c r="Q1831" i="1"/>
  <c r="R1831" i="1"/>
  <c r="S1831" i="1"/>
  <c r="T1831" i="1"/>
  <c r="U1831" i="1"/>
  <c r="V1831" i="1"/>
  <c r="W1831" i="1"/>
  <c r="X1831" i="1"/>
  <c r="Y1831" i="1"/>
  <c r="Z1831" i="1"/>
  <c r="A1832" i="1"/>
  <c r="B1832" i="1"/>
  <c r="C1832" i="1"/>
  <c r="D1832" i="1"/>
  <c r="E1832" i="1"/>
  <c r="F1832" i="1"/>
  <c r="G1832" i="1"/>
  <c r="I1832" i="1"/>
  <c r="J1832" i="1"/>
  <c r="K1832" i="1"/>
  <c r="L1832" i="1"/>
  <c r="M1832" i="1"/>
  <c r="N1832" i="1"/>
  <c r="O1832" i="1"/>
  <c r="P1832" i="1"/>
  <c r="Q1832" i="1"/>
  <c r="R1832" i="1"/>
  <c r="S1832" i="1"/>
  <c r="T1832" i="1"/>
  <c r="U1832" i="1"/>
  <c r="V1832" i="1"/>
  <c r="W1832" i="1"/>
  <c r="X1832" i="1"/>
  <c r="Y1832" i="1"/>
  <c r="Z1832" i="1"/>
  <c r="A1833" i="1"/>
  <c r="B1833" i="1"/>
  <c r="C1833" i="1"/>
  <c r="D1833" i="1"/>
  <c r="E1833" i="1"/>
  <c r="F1833" i="1"/>
  <c r="G1833" i="1"/>
  <c r="I1833" i="1"/>
  <c r="J1833" i="1"/>
  <c r="K1833" i="1"/>
  <c r="L1833" i="1"/>
  <c r="M1833" i="1"/>
  <c r="N1833" i="1"/>
  <c r="O1833" i="1"/>
  <c r="P1833" i="1"/>
  <c r="Q1833" i="1"/>
  <c r="R1833" i="1"/>
  <c r="S1833" i="1"/>
  <c r="T1833" i="1"/>
  <c r="U1833" i="1"/>
  <c r="V1833" i="1"/>
  <c r="W1833" i="1"/>
  <c r="X1833" i="1"/>
  <c r="Y1833" i="1"/>
  <c r="Z1833" i="1"/>
  <c r="A1834" i="1"/>
  <c r="B1834" i="1"/>
  <c r="C1834" i="1"/>
  <c r="D1834" i="1"/>
  <c r="E1834" i="1"/>
  <c r="F1834" i="1"/>
  <c r="G1834" i="1"/>
  <c r="I1834" i="1"/>
  <c r="J1834" i="1"/>
  <c r="K1834" i="1"/>
  <c r="L1834" i="1"/>
  <c r="M1834" i="1"/>
  <c r="N1834" i="1"/>
  <c r="O1834" i="1"/>
  <c r="P1834" i="1"/>
  <c r="Q1834" i="1"/>
  <c r="R1834" i="1"/>
  <c r="S1834" i="1"/>
  <c r="T1834" i="1"/>
  <c r="U1834" i="1"/>
  <c r="V1834" i="1"/>
  <c r="W1834" i="1"/>
  <c r="X1834" i="1"/>
  <c r="Y1834" i="1"/>
  <c r="Z1834" i="1"/>
  <c r="A1835" i="1"/>
  <c r="B1835" i="1"/>
  <c r="C1835" i="1"/>
  <c r="D1835" i="1"/>
  <c r="E1835" i="1"/>
  <c r="F1835" i="1"/>
  <c r="G1835" i="1"/>
  <c r="I1835" i="1"/>
  <c r="J1835" i="1"/>
  <c r="K1835" i="1"/>
  <c r="L1835" i="1"/>
  <c r="M1835" i="1"/>
  <c r="N1835" i="1"/>
  <c r="O1835" i="1"/>
  <c r="P1835" i="1"/>
  <c r="Q1835" i="1"/>
  <c r="R1835" i="1"/>
  <c r="S1835" i="1"/>
  <c r="T1835" i="1"/>
  <c r="U1835" i="1"/>
  <c r="V1835" i="1"/>
  <c r="W1835" i="1"/>
  <c r="X1835" i="1"/>
  <c r="Y1835" i="1"/>
  <c r="Z1835" i="1"/>
  <c r="A1836" i="1"/>
  <c r="B1836" i="1"/>
  <c r="C1836" i="1"/>
  <c r="D1836" i="1"/>
  <c r="E1836" i="1"/>
  <c r="F1836" i="1"/>
  <c r="G1836" i="1"/>
  <c r="I1836" i="1"/>
  <c r="J1836" i="1"/>
  <c r="K1836" i="1"/>
  <c r="L1836" i="1"/>
  <c r="M1836" i="1"/>
  <c r="N1836" i="1"/>
  <c r="O1836" i="1"/>
  <c r="P1836" i="1"/>
  <c r="Q1836" i="1"/>
  <c r="R1836" i="1"/>
  <c r="S1836" i="1"/>
  <c r="T1836" i="1"/>
  <c r="U1836" i="1"/>
  <c r="V1836" i="1"/>
  <c r="W1836" i="1"/>
  <c r="X1836" i="1"/>
  <c r="Y1836" i="1"/>
  <c r="Z1836" i="1"/>
  <c r="A1837" i="1"/>
  <c r="B1837" i="1"/>
  <c r="C1837" i="1"/>
  <c r="D1837" i="1"/>
  <c r="E1837" i="1"/>
  <c r="F1837" i="1"/>
  <c r="G1837" i="1"/>
  <c r="I1837" i="1"/>
  <c r="J1837" i="1"/>
  <c r="K1837" i="1"/>
  <c r="L1837" i="1"/>
  <c r="M1837" i="1"/>
  <c r="N1837" i="1"/>
  <c r="O1837" i="1"/>
  <c r="P1837" i="1"/>
  <c r="Q1837" i="1"/>
  <c r="R1837" i="1"/>
  <c r="S1837" i="1"/>
  <c r="T1837" i="1"/>
  <c r="U1837" i="1"/>
  <c r="V1837" i="1"/>
  <c r="W1837" i="1"/>
  <c r="X1837" i="1"/>
  <c r="Y1837" i="1"/>
  <c r="Z1837" i="1"/>
  <c r="A1838" i="1"/>
  <c r="B1838" i="1"/>
  <c r="C1838" i="1"/>
  <c r="D1838" i="1"/>
  <c r="E1838" i="1"/>
  <c r="F1838" i="1"/>
  <c r="G1838" i="1"/>
  <c r="I1838" i="1"/>
  <c r="J1838" i="1"/>
  <c r="K1838" i="1"/>
  <c r="L1838" i="1"/>
  <c r="M1838" i="1"/>
  <c r="N1838" i="1"/>
  <c r="O1838" i="1"/>
  <c r="P1838" i="1"/>
  <c r="Q1838" i="1"/>
  <c r="R1838" i="1"/>
  <c r="S1838" i="1"/>
  <c r="T1838" i="1"/>
  <c r="U1838" i="1"/>
  <c r="V1838" i="1"/>
  <c r="W1838" i="1"/>
  <c r="X1838" i="1"/>
  <c r="Y1838" i="1"/>
  <c r="Z1838" i="1"/>
  <c r="A1839" i="1"/>
  <c r="B1839" i="1"/>
  <c r="C1839" i="1"/>
  <c r="D1839" i="1"/>
  <c r="E1839" i="1"/>
  <c r="F1839" i="1"/>
  <c r="G1839" i="1"/>
  <c r="I1839" i="1"/>
  <c r="J1839" i="1"/>
  <c r="K1839" i="1"/>
  <c r="L1839" i="1"/>
  <c r="M1839" i="1"/>
  <c r="N1839" i="1"/>
  <c r="O1839" i="1"/>
  <c r="P1839" i="1"/>
  <c r="Q1839" i="1"/>
  <c r="R1839" i="1"/>
  <c r="S1839" i="1"/>
  <c r="T1839" i="1"/>
  <c r="U1839" i="1"/>
  <c r="V1839" i="1"/>
  <c r="W1839" i="1"/>
  <c r="X1839" i="1"/>
  <c r="Y1839" i="1"/>
  <c r="Z1839" i="1"/>
  <c r="A1840" i="1"/>
  <c r="B1840" i="1"/>
  <c r="C1840" i="1"/>
  <c r="D1840" i="1"/>
  <c r="E1840" i="1"/>
  <c r="F1840" i="1"/>
  <c r="G1840" i="1"/>
  <c r="I1840" i="1"/>
  <c r="J1840" i="1"/>
  <c r="K1840" i="1"/>
  <c r="L1840" i="1"/>
  <c r="M1840" i="1"/>
  <c r="N1840" i="1"/>
  <c r="O1840" i="1"/>
  <c r="P1840" i="1"/>
  <c r="Q1840" i="1"/>
  <c r="R1840" i="1"/>
  <c r="S1840" i="1"/>
  <c r="T1840" i="1"/>
  <c r="U1840" i="1"/>
  <c r="V1840" i="1"/>
  <c r="W1840" i="1"/>
  <c r="X1840" i="1"/>
  <c r="Y1840" i="1"/>
  <c r="Z1840" i="1"/>
  <c r="A1841" i="1"/>
  <c r="B1841" i="1"/>
  <c r="C1841" i="1"/>
  <c r="D1841" i="1"/>
  <c r="E1841" i="1"/>
  <c r="F1841" i="1"/>
  <c r="G1841" i="1"/>
  <c r="I1841" i="1"/>
  <c r="J1841" i="1"/>
  <c r="K1841" i="1"/>
  <c r="L1841" i="1"/>
  <c r="M1841" i="1"/>
  <c r="N1841" i="1"/>
  <c r="O1841" i="1"/>
  <c r="P1841" i="1"/>
  <c r="Q1841" i="1"/>
  <c r="R1841" i="1"/>
  <c r="S1841" i="1"/>
  <c r="T1841" i="1"/>
  <c r="U1841" i="1"/>
  <c r="V1841" i="1"/>
  <c r="W1841" i="1"/>
  <c r="X1841" i="1"/>
  <c r="Y1841" i="1"/>
  <c r="Z1841" i="1"/>
  <c r="A1842" i="1"/>
  <c r="B1842" i="1"/>
  <c r="C1842" i="1"/>
  <c r="D1842" i="1"/>
  <c r="E1842" i="1"/>
  <c r="F1842" i="1"/>
  <c r="G1842" i="1"/>
  <c r="I1842" i="1"/>
  <c r="J1842" i="1"/>
  <c r="K1842" i="1"/>
  <c r="L1842" i="1"/>
  <c r="M1842" i="1"/>
  <c r="N1842" i="1"/>
  <c r="O1842" i="1"/>
  <c r="P1842" i="1"/>
  <c r="Q1842" i="1"/>
  <c r="R1842" i="1"/>
  <c r="S1842" i="1"/>
  <c r="T1842" i="1"/>
  <c r="U1842" i="1"/>
  <c r="V1842" i="1"/>
  <c r="W1842" i="1"/>
  <c r="X1842" i="1"/>
  <c r="Y1842" i="1"/>
  <c r="Z1842" i="1"/>
  <c r="A1843" i="1"/>
  <c r="B1843" i="1"/>
  <c r="C1843" i="1"/>
  <c r="D1843" i="1"/>
  <c r="E1843" i="1"/>
  <c r="F1843" i="1"/>
  <c r="G1843" i="1"/>
  <c r="I1843" i="1"/>
  <c r="J1843" i="1"/>
  <c r="K1843" i="1"/>
  <c r="L1843" i="1"/>
  <c r="M1843" i="1"/>
  <c r="N1843" i="1"/>
  <c r="O1843" i="1"/>
  <c r="P1843" i="1"/>
  <c r="Q1843" i="1"/>
  <c r="R1843" i="1"/>
  <c r="S1843" i="1"/>
  <c r="T1843" i="1"/>
  <c r="U1843" i="1"/>
  <c r="V1843" i="1"/>
  <c r="W1843" i="1"/>
  <c r="X1843" i="1"/>
  <c r="Y1843" i="1"/>
  <c r="Z1843" i="1"/>
  <c r="A1844" i="1"/>
  <c r="B1844" i="1"/>
  <c r="C1844" i="1"/>
  <c r="D1844" i="1"/>
  <c r="E1844" i="1"/>
  <c r="F1844" i="1"/>
  <c r="G1844" i="1"/>
  <c r="I1844" i="1"/>
  <c r="J1844" i="1"/>
  <c r="K1844" i="1"/>
  <c r="L1844" i="1"/>
  <c r="M1844" i="1"/>
  <c r="N1844" i="1"/>
  <c r="O1844" i="1"/>
  <c r="P1844" i="1"/>
  <c r="Q1844" i="1"/>
  <c r="R1844" i="1"/>
  <c r="S1844" i="1"/>
  <c r="T1844" i="1"/>
  <c r="U1844" i="1"/>
  <c r="V1844" i="1"/>
  <c r="W1844" i="1"/>
  <c r="X1844" i="1"/>
  <c r="Y1844" i="1"/>
  <c r="Z1844" i="1"/>
  <c r="A1845" i="1"/>
  <c r="B1845" i="1"/>
  <c r="C1845" i="1"/>
  <c r="D1845" i="1"/>
  <c r="E1845" i="1"/>
  <c r="F1845" i="1"/>
  <c r="G1845" i="1"/>
  <c r="I1845" i="1"/>
  <c r="J1845" i="1"/>
  <c r="K1845" i="1"/>
  <c r="L1845" i="1"/>
  <c r="M1845" i="1"/>
  <c r="N1845" i="1"/>
  <c r="O1845" i="1"/>
  <c r="P1845" i="1"/>
  <c r="Q1845" i="1"/>
  <c r="R1845" i="1"/>
  <c r="S1845" i="1"/>
  <c r="T1845" i="1"/>
  <c r="U1845" i="1"/>
  <c r="V1845" i="1"/>
  <c r="W1845" i="1"/>
  <c r="X1845" i="1"/>
  <c r="Y1845" i="1"/>
  <c r="Z1845" i="1"/>
  <c r="A1846" i="1"/>
  <c r="B1846" i="1"/>
  <c r="C1846" i="1"/>
  <c r="D1846" i="1"/>
  <c r="E1846" i="1"/>
  <c r="F1846" i="1"/>
  <c r="G1846" i="1"/>
  <c r="I1846" i="1"/>
  <c r="J1846" i="1"/>
  <c r="K1846" i="1"/>
  <c r="L1846" i="1"/>
  <c r="M1846" i="1"/>
  <c r="N1846" i="1"/>
  <c r="O1846" i="1"/>
  <c r="P1846" i="1"/>
  <c r="Q1846" i="1"/>
  <c r="R1846" i="1"/>
  <c r="S1846" i="1"/>
  <c r="T1846" i="1"/>
  <c r="U1846" i="1"/>
  <c r="V1846" i="1"/>
  <c r="W1846" i="1"/>
  <c r="X1846" i="1"/>
  <c r="Y1846" i="1"/>
  <c r="Z1846" i="1"/>
  <c r="A1847" i="1"/>
  <c r="B1847" i="1"/>
  <c r="C1847" i="1"/>
  <c r="D1847" i="1"/>
  <c r="E1847" i="1"/>
  <c r="F1847" i="1"/>
  <c r="G1847" i="1"/>
  <c r="I1847" i="1"/>
  <c r="J1847" i="1"/>
  <c r="K1847" i="1"/>
  <c r="L1847" i="1"/>
  <c r="M1847" i="1"/>
  <c r="N1847" i="1"/>
  <c r="O1847" i="1"/>
  <c r="P1847" i="1"/>
  <c r="Q1847" i="1"/>
  <c r="R1847" i="1"/>
  <c r="S1847" i="1"/>
  <c r="T1847" i="1"/>
  <c r="U1847" i="1"/>
  <c r="V1847" i="1"/>
  <c r="W1847" i="1"/>
  <c r="X1847" i="1"/>
  <c r="Y1847" i="1"/>
  <c r="Z1847" i="1"/>
  <c r="A1848" i="1"/>
  <c r="B1848" i="1"/>
  <c r="C1848" i="1"/>
  <c r="D1848" i="1"/>
  <c r="E1848" i="1"/>
  <c r="F1848" i="1"/>
  <c r="G1848" i="1"/>
  <c r="I1848" i="1"/>
  <c r="J1848" i="1"/>
  <c r="K1848" i="1"/>
  <c r="L1848" i="1"/>
  <c r="M1848" i="1"/>
  <c r="N1848" i="1"/>
  <c r="O1848" i="1"/>
  <c r="P1848" i="1"/>
  <c r="Q1848" i="1"/>
  <c r="R1848" i="1"/>
  <c r="S1848" i="1"/>
  <c r="T1848" i="1"/>
  <c r="U1848" i="1"/>
  <c r="V1848" i="1"/>
  <c r="W1848" i="1"/>
  <c r="X1848" i="1"/>
  <c r="Y1848" i="1"/>
  <c r="Z1848" i="1"/>
  <c r="A1849" i="1"/>
  <c r="B1849" i="1"/>
  <c r="C1849" i="1"/>
  <c r="D1849" i="1"/>
  <c r="E1849" i="1"/>
  <c r="F1849" i="1"/>
  <c r="G1849" i="1"/>
  <c r="I1849" i="1"/>
  <c r="J1849" i="1"/>
  <c r="K1849" i="1"/>
  <c r="L1849" i="1"/>
  <c r="M1849" i="1"/>
  <c r="N1849" i="1"/>
  <c r="O1849" i="1"/>
  <c r="P1849" i="1"/>
  <c r="Q1849" i="1"/>
  <c r="R1849" i="1"/>
  <c r="S1849" i="1"/>
  <c r="T1849" i="1"/>
  <c r="U1849" i="1"/>
  <c r="V1849" i="1"/>
  <c r="W1849" i="1"/>
  <c r="X1849" i="1"/>
  <c r="Y1849" i="1"/>
  <c r="Z1849" i="1"/>
  <c r="A1850" i="1"/>
  <c r="B1850" i="1"/>
  <c r="C1850" i="1"/>
  <c r="D1850" i="1"/>
  <c r="E1850" i="1"/>
  <c r="F1850" i="1"/>
  <c r="G1850" i="1"/>
  <c r="I1850" i="1"/>
  <c r="J1850" i="1"/>
  <c r="K1850" i="1"/>
  <c r="L1850" i="1"/>
  <c r="M1850" i="1"/>
  <c r="N1850" i="1"/>
  <c r="O1850" i="1"/>
  <c r="P1850" i="1"/>
  <c r="Q1850" i="1"/>
  <c r="R1850" i="1"/>
  <c r="S1850" i="1"/>
  <c r="T1850" i="1"/>
  <c r="U1850" i="1"/>
  <c r="V1850" i="1"/>
  <c r="W1850" i="1"/>
  <c r="X1850" i="1"/>
  <c r="Y1850" i="1"/>
  <c r="Z1850" i="1"/>
  <c r="A1851" i="1"/>
  <c r="B1851" i="1"/>
  <c r="C1851" i="1"/>
  <c r="D1851" i="1"/>
  <c r="E1851" i="1"/>
  <c r="F1851" i="1"/>
  <c r="G1851" i="1"/>
  <c r="I1851" i="1"/>
  <c r="J1851" i="1"/>
  <c r="K1851" i="1"/>
  <c r="L1851" i="1"/>
  <c r="M1851" i="1"/>
  <c r="N1851" i="1"/>
  <c r="O1851" i="1"/>
  <c r="P1851" i="1"/>
  <c r="Q1851" i="1"/>
  <c r="R1851" i="1"/>
  <c r="S1851" i="1"/>
  <c r="T1851" i="1"/>
  <c r="U1851" i="1"/>
  <c r="V1851" i="1"/>
  <c r="W1851" i="1"/>
  <c r="X1851" i="1"/>
  <c r="Y1851" i="1"/>
  <c r="Z1851" i="1"/>
  <c r="A1852" i="1"/>
  <c r="B1852" i="1"/>
  <c r="C1852" i="1"/>
  <c r="D1852" i="1"/>
  <c r="E1852" i="1"/>
  <c r="F1852" i="1"/>
  <c r="G1852" i="1"/>
  <c r="I1852" i="1"/>
  <c r="J1852" i="1"/>
  <c r="K1852" i="1"/>
  <c r="L1852" i="1"/>
  <c r="M1852" i="1"/>
  <c r="N1852" i="1"/>
  <c r="O1852" i="1"/>
  <c r="P1852" i="1"/>
  <c r="Q1852" i="1"/>
  <c r="R1852" i="1"/>
  <c r="S1852" i="1"/>
  <c r="T1852" i="1"/>
  <c r="U1852" i="1"/>
  <c r="V1852" i="1"/>
  <c r="W1852" i="1"/>
  <c r="X1852" i="1"/>
  <c r="Y1852" i="1"/>
  <c r="Z1852" i="1"/>
  <c r="A1853" i="1"/>
  <c r="B1853" i="1"/>
  <c r="C1853" i="1"/>
  <c r="D1853" i="1"/>
  <c r="E1853" i="1"/>
  <c r="F1853" i="1"/>
  <c r="G1853" i="1"/>
  <c r="I1853" i="1"/>
  <c r="J1853" i="1"/>
  <c r="K1853" i="1"/>
  <c r="L1853" i="1"/>
  <c r="M1853" i="1"/>
  <c r="N1853" i="1"/>
  <c r="O1853" i="1"/>
  <c r="P1853" i="1"/>
  <c r="Q1853" i="1"/>
  <c r="R1853" i="1"/>
  <c r="S1853" i="1"/>
  <c r="T1853" i="1"/>
  <c r="U1853" i="1"/>
  <c r="V1853" i="1"/>
  <c r="W1853" i="1"/>
  <c r="X1853" i="1"/>
  <c r="Y1853" i="1"/>
  <c r="Z1853" i="1"/>
  <c r="A1854" i="1"/>
  <c r="B1854" i="1"/>
  <c r="C1854" i="1"/>
  <c r="D1854" i="1"/>
  <c r="E1854" i="1"/>
  <c r="F1854" i="1"/>
  <c r="G1854" i="1"/>
  <c r="I1854" i="1"/>
  <c r="J1854" i="1"/>
  <c r="K1854" i="1"/>
  <c r="L1854" i="1"/>
  <c r="M1854" i="1"/>
  <c r="N1854" i="1"/>
  <c r="O1854" i="1"/>
  <c r="P1854" i="1"/>
  <c r="Q1854" i="1"/>
  <c r="R1854" i="1"/>
  <c r="S1854" i="1"/>
  <c r="T1854" i="1"/>
  <c r="U1854" i="1"/>
  <c r="V1854" i="1"/>
  <c r="W1854" i="1"/>
  <c r="X1854" i="1"/>
  <c r="Y1854" i="1"/>
  <c r="Z1854" i="1"/>
  <c r="A1855" i="1"/>
  <c r="B1855" i="1"/>
  <c r="C1855" i="1"/>
  <c r="D1855" i="1"/>
  <c r="E1855" i="1"/>
  <c r="F1855" i="1"/>
  <c r="G1855" i="1"/>
  <c r="I1855" i="1"/>
  <c r="J1855" i="1"/>
  <c r="K1855" i="1"/>
  <c r="L1855" i="1"/>
  <c r="M1855" i="1"/>
  <c r="N1855" i="1"/>
  <c r="O1855" i="1"/>
  <c r="P1855" i="1"/>
  <c r="Q1855" i="1"/>
  <c r="R1855" i="1"/>
  <c r="S1855" i="1"/>
  <c r="T1855" i="1"/>
  <c r="U1855" i="1"/>
  <c r="V1855" i="1"/>
  <c r="W1855" i="1"/>
  <c r="X1855" i="1"/>
  <c r="Y1855" i="1"/>
  <c r="Z1855" i="1"/>
  <c r="A1856" i="1"/>
  <c r="B1856" i="1"/>
  <c r="C1856" i="1"/>
  <c r="D1856" i="1"/>
  <c r="E1856" i="1"/>
  <c r="F1856" i="1"/>
  <c r="G1856" i="1"/>
  <c r="I1856" i="1"/>
  <c r="J1856" i="1"/>
  <c r="K1856" i="1"/>
  <c r="L1856" i="1"/>
  <c r="M1856" i="1"/>
  <c r="N1856" i="1"/>
  <c r="O1856" i="1"/>
  <c r="P1856" i="1"/>
  <c r="Q1856" i="1"/>
  <c r="R1856" i="1"/>
  <c r="S1856" i="1"/>
  <c r="T1856" i="1"/>
  <c r="U1856" i="1"/>
  <c r="V1856" i="1"/>
  <c r="W1856" i="1"/>
  <c r="X1856" i="1"/>
  <c r="Y1856" i="1"/>
  <c r="Z1856" i="1"/>
  <c r="A1857" i="1"/>
  <c r="B1857" i="1"/>
  <c r="C1857" i="1"/>
  <c r="D1857" i="1"/>
  <c r="E1857" i="1"/>
  <c r="F1857" i="1"/>
  <c r="G1857" i="1"/>
  <c r="I1857" i="1"/>
  <c r="J1857" i="1"/>
  <c r="K1857" i="1"/>
  <c r="L1857" i="1"/>
  <c r="M1857" i="1"/>
  <c r="N1857" i="1"/>
  <c r="O1857" i="1"/>
  <c r="P1857" i="1"/>
  <c r="Q1857" i="1"/>
  <c r="R1857" i="1"/>
  <c r="S1857" i="1"/>
  <c r="T1857" i="1"/>
  <c r="U1857" i="1"/>
  <c r="V1857" i="1"/>
  <c r="W1857" i="1"/>
  <c r="X1857" i="1"/>
  <c r="Y1857" i="1"/>
  <c r="Z1857" i="1"/>
  <c r="A1858" i="1"/>
  <c r="B1858" i="1"/>
  <c r="C1858" i="1"/>
  <c r="D1858" i="1"/>
  <c r="E1858" i="1"/>
  <c r="F1858" i="1"/>
  <c r="G1858" i="1"/>
  <c r="I1858" i="1"/>
  <c r="J1858" i="1"/>
  <c r="K1858" i="1"/>
  <c r="L1858" i="1"/>
  <c r="M1858" i="1"/>
  <c r="N1858" i="1"/>
  <c r="O1858" i="1"/>
  <c r="P1858" i="1"/>
  <c r="Q1858" i="1"/>
  <c r="R1858" i="1"/>
  <c r="S1858" i="1"/>
  <c r="T1858" i="1"/>
  <c r="U1858" i="1"/>
  <c r="V1858" i="1"/>
  <c r="W1858" i="1"/>
  <c r="X1858" i="1"/>
  <c r="Y1858" i="1"/>
  <c r="Z1858" i="1"/>
  <c r="A1859" i="1"/>
  <c r="B1859" i="1"/>
  <c r="C1859" i="1"/>
  <c r="D1859" i="1"/>
  <c r="E1859" i="1"/>
  <c r="F1859" i="1"/>
  <c r="G1859" i="1"/>
  <c r="I1859" i="1"/>
  <c r="J1859" i="1"/>
  <c r="K1859" i="1"/>
  <c r="L1859" i="1"/>
  <c r="M1859" i="1"/>
  <c r="N1859" i="1"/>
  <c r="O1859" i="1"/>
  <c r="P1859" i="1"/>
  <c r="Q1859" i="1"/>
  <c r="R1859" i="1"/>
  <c r="S1859" i="1"/>
  <c r="T1859" i="1"/>
  <c r="U1859" i="1"/>
  <c r="V1859" i="1"/>
  <c r="W1859" i="1"/>
  <c r="X1859" i="1"/>
  <c r="Y1859" i="1"/>
  <c r="Z1859" i="1"/>
  <c r="A1860" i="1"/>
  <c r="B1860" i="1"/>
  <c r="C1860" i="1"/>
  <c r="D1860" i="1"/>
  <c r="E1860" i="1"/>
  <c r="F1860" i="1"/>
  <c r="G1860" i="1"/>
  <c r="I1860" i="1"/>
  <c r="J1860" i="1"/>
  <c r="K1860" i="1"/>
  <c r="L1860" i="1"/>
  <c r="M1860" i="1"/>
  <c r="N1860" i="1"/>
  <c r="O1860" i="1"/>
  <c r="P1860" i="1"/>
  <c r="Q1860" i="1"/>
  <c r="R1860" i="1"/>
  <c r="S1860" i="1"/>
  <c r="T1860" i="1"/>
  <c r="U1860" i="1"/>
  <c r="V1860" i="1"/>
  <c r="W1860" i="1"/>
  <c r="X1860" i="1"/>
  <c r="Y1860" i="1"/>
  <c r="Z1860" i="1"/>
  <c r="A1861" i="1"/>
  <c r="B1861" i="1"/>
  <c r="C1861" i="1"/>
  <c r="D1861" i="1"/>
  <c r="E1861" i="1"/>
  <c r="F1861" i="1"/>
  <c r="G1861" i="1"/>
  <c r="I1861" i="1"/>
  <c r="J1861" i="1"/>
  <c r="K1861" i="1"/>
  <c r="L1861" i="1"/>
  <c r="M1861" i="1"/>
  <c r="N1861" i="1"/>
  <c r="O1861" i="1"/>
  <c r="P1861" i="1"/>
  <c r="Q1861" i="1"/>
  <c r="R1861" i="1"/>
  <c r="S1861" i="1"/>
  <c r="T1861" i="1"/>
  <c r="U1861" i="1"/>
  <c r="V1861" i="1"/>
  <c r="W1861" i="1"/>
  <c r="X1861" i="1"/>
  <c r="Y1861" i="1"/>
  <c r="Z1861" i="1"/>
  <c r="A1862" i="1"/>
  <c r="B1862" i="1"/>
  <c r="C1862" i="1"/>
  <c r="D1862" i="1"/>
  <c r="E1862" i="1"/>
  <c r="F1862" i="1"/>
  <c r="G1862" i="1"/>
  <c r="I1862" i="1"/>
  <c r="J1862" i="1"/>
  <c r="K1862" i="1"/>
  <c r="L1862" i="1"/>
  <c r="M1862" i="1"/>
  <c r="N1862" i="1"/>
  <c r="O1862" i="1"/>
  <c r="P1862" i="1"/>
  <c r="Q1862" i="1"/>
  <c r="R1862" i="1"/>
  <c r="S1862" i="1"/>
  <c r="T1862" i="1"/>
  <c r="U1862" i="1"/>
  <c r="V1862" i="1"/>
  <c r="W1862" i="1"/>
  <c r="X1862" i="1"/>
  <c r="Y1862" i="1"/>
  <c r="Z1862" i="1"/>
  <c r="A1863" i="1"/>
  <c r="B1863" i="1"/>
  <c r="C1863" i="1"/>
  <c r="D1863" i="1"/>
  <c r="E1863" i="1"/>
  <c r="F1863" i="1"/>
  <c r="G1863" i="1"/>
  <c r="I1863" i="1"/>
  <c r="J1863" i="1"/>
  <c r="K1863" i="1"/>
  <c r="L1863" i="1"/>
  <c r="M1863" i="1"/>
  <c r="N1863" i="1"/>
  <c r="O1863" i="1"/>
  <c r="P1863" i="1"/>
  <c r="Q1863" i="1"/>
  <c r="R1863" i="1"/>
  <c r="S1863" i="1"/>
  <c r="T1863" i="1"/>
  <c r="U1863" i="1"/>
  <c r="V1863" i="1"/>
  <c r="W1863" i="1"/>
  <c r="X1863" i="1"/>
  <c r="Y1863" i="1"/>
  <c r="Z1863" i="1"/>
  <c r="A1864" i="1"/>
  <c r="B1864" i="1"/>
  <c r="C1864" i="1"/>
  <c r="D1864" i="1"/>
  <c r="E1864" i="1"/>
  <c r="F1864" i="1"/>
  <c r="G1864" i="1"/>
  <c r="I1864" i="1"/>
  <c r="J1864" i="1"/>
  <c r="K1864" i="1"/>
  <c r="L1864" i="1"/>
  <c r="M1864" i="1"/>
  <c r="N1864" i="1"/>
  <c r="O1864" i="1"/>
  <c r="P1864" i="1"/>
  <c r="Q1864" i="1"/>
  <c r="R1864" i="1"/>
  <c r="S1864" i="1"/>
  <c r="T1864" i="1"/>
  <c r="U1864" i="1"/>
  <c r="V1864" i="1"/>
  <c r="W1864" i="1"/>
  <c r="X1864" i="1"/>
  <c r="Y1864" i="1"/>
  <c r="Z1864" i="1"/>
  <c r="A1865" i="1"/>
  <c r="B1865" i="1"/>
  <c r="C1865" i="1"/>
  <c r="D1865" i="1"/>
  <c r="E1865" i="1"/>
  <c r="F1865" i="1"/>
  <c r="G1865" i="1"/>
  <c r="I1865" i="1"/>
  <c r="J1865" i="1"/>
  <c r="K1865" i="1"/>
  <c r="L1865" i="1"/>
  <c r="M1865" i="1"/>
  <c r="N1865" i="1"/>
  <c r="O1865" i="1"/>
  <c r="P1865" i="1"/>
  <c r="Q1865" i="1"/>
  <c r="R1865" i="1"/>
  <c r="S1865" i="1"/>
  <c r="T1865" i="1"/>
  <c r="U1865" i="1"/>
  <c r="V1865" i="1"/>
  <c r="W1865" i="1"/>
  <c r="X1865" i="1"/>
  <c r="Y1865" i="1"/>
  <c r="Z1865" i="1"/>
  <c r="A1866" i="1"/>
  <c r="B1866" i="1"/>
  <c r="C1866" i="1"/>
  <c r="D1866" i="1"/>
  <c r="E1866" i="1"/>
  <c r="F1866" i="1"/>
  <c r="G1866" i="1"/>
  <c r="I1866" i="1"/>
  <c r="J1866" i="1"/>
  <c r="K1866" i="1"/>
  <c r="L1866" i="1"/>
  <c r="M1866" i="1"/>
  <c r="N1866" i="1"/>
  <c r="O1866" i="1"/>
  <c r="P1866" i="1"/>
  <c r="Q1866" i="1"/>
  <c r="R1866" i="1"/>
  <c r="S1866" i="1"/>
  <c r="T1866" i="1"/>
  <c r="U1866" i="1"/>
  <c r="V1866" i="1"/>
  <c r="W1866" i="1"/>
  <c r="X1866" i="1"/>
  <c r="Y1866" i="1"/>
  <c r="Z1866" i="1"/>
  <c r="A1867" i="1"/>
  <c r="B1867" i="1"/>
  <c r="C1867" i="1"/>
  <c r="D1867" i="1"/>
  <c r="E1867" i="1"/>
  <c r="F1867" i="1"/>
  <c r="G1867" i="1"/>
  <c r="I1867" i="1"/>
  <c r="J1867" i="1"/>
  <c r="K1867" i="1"/>
  <c r="L1867" i="1"/>
  <c r="M1867" i="1"/>
  <c r="N1867" i="1"/>
  <c r="O1867" i="1"/>
  <c r="P1867" i="1"/>
  <c r="Q1867" i="1"/>
  <c r="R1867" i="1"/>
  <c r="S1867" i="1"/>
  <c r="T1867" i="1"/>
  <c r="U1867" i="1"/>
  <c r="V1867" i="1"/>
  <c r="W1867" i="1"/>
  <c r="X1867" i="1"/>
  <c r="Y1867" i="1"/>
  <c r="Z1867" i="1"/>
  <c r="A1868" i="1"/>
  <c r="B1868" i="1"/>
  <c r="C1868" i="1"/>
  <c r="D1868" i="1"/>
  <c r="E1868" i="1"/>
  <c r="F1868" i="1"/>
  <c r="G1868" i="1"/>
  <c r="I1868" i="1"/>
  <c r="J1868" i="1"/>
  <c r="K1868" i="1"/>
  <c r="L1868" i="1"/>
  <c r="M1868" i="1"/>
  <c r="N1868" i="1"/>
  <c r="O1868" i="1"/>
  <c r="P1868" i="1"/>
  <c r="Q1868" i="1"/>
  <c r="R1868" i="1"/>
  <c r="S1868" i="1"/>
  <c r="T1868" i="1"/>
  <c r="U1868" i="1"/>
  <c r="V1868" i="1"/>
  <c r="W1868" i="1"/>
  <c r="X1868" i="1"/>
  <c r="Y1868" i="1"/>
  <c r="Z1868" i="1"/>
  <c r="A1869" i="1"/>
  <c r="B1869" i="1"/>
  <c r="C1869" i="1"/>
  <c r="D1869" i="1"/>
  <c r="E1869" i="1"/>
  <c r="F1869" i="1"/>
  <c r="G1869" i="1"/>
  <c r="I1869" i="1"/>
  <c r="J1869" i="1"/>
  <c r="K1869" i="1"/>
  <c r="L1869" i="1"/>
  <c r="M1869" i="1"/>
  <c r="N1869" i="1"/>
  <c r="O1869" i="1"/>
  <c r="P1869" i="1"/>
  <c r="Q1869" i="1"/>
  <c r="R1869" i="1"/>
  <c r="S1869" i="1"/>
  <c r="T1869" i="1"/>
  <c r="U1869" i="1"/>
  <c r="V1869" i="1"/>
  <c r="W1869" i="1"/>
  <c r="X1869" i="1"/>
  <c r="Y1869" i="1"/>
  <c r="Z1869" i="1"/>
  <c r="A1870" i="1"/>
  <c r="B1870" i="1"/>
  <c r="C1870" i="1"/>
  <c r="D1870" i="1"/>
  <c r="E1870" i="1"/>
  <c r="F1870" i="1"/>
  <c r="G1870" i="1"/>
  <c r="I1870" i="1"/>
  <c r="J1870" i="1"/>
  <c r="K1870" i="1"/>
  <c r="L1870" i="1"/>
  <c r="M1870" i="1"/>
  <c r="N1870" i="1"/>
  <c r="O1870" i="1"/>
  <c r="P1870" i="1"/>
  <c r="Q1870" i="1"/>
  <c r="R1870" i="1"/>
  <c r="S1870" i="1"/>
  <c r="T1870" i="1"/>
  <c r="U1870" i="1"/>
  <c r="V1870" i="1"/>
  <c r="W1870" i="1"/>
  <c r="X1870" i="1"/>
  <c r="Y1870" i="1"/>
  <c r="Z1870" i="1"/>
  <c r="A1871" i="1"/>
  <c r="B1871" i="1"/>
  <c r="C1871" i="1"/>
  <c r="D1871" i="1"/>
  <c r="E1871" i="1"/>
  <c r="F1871" i="1"/>
  <c r="G1871" i="1"/>
  <c r="I1871" i="1"/>
  <c r="J1871" i="1"/>
  <c r="K1871" i="1"/>
  <c r="L1871" i="1"/>
  <c r="M1871" i="1"/>
  <c r="N1871" i="1"/>
  <c r="O1871" i="1"/>
  <c r="P1871" i="1"/>
  <c r="Q1871" i="1"/>
  <c r="R1871" i="1"/>
  <c r="S1871" i="1"/>
  <c r="T1871" i="1"/>
  <c r="U1871" i="1"/>
  <c r="V1871" i="1"/>
  <c r="W1871" i="1"/>
  <c r="X1871" i="1"/>
  <c r="Y1871" i="1"/>
  <c r="Z1871" i="1"/>
  <c r="A1872" i="1"/>
  <c r="B1872" i="1"/>
  <c r="C1872" i="1"/>
  <c r="D1872" i="1"/>
  <c r="E1872" i="1"/>
  <c r="F1872" i="1"/>
  <c r="G1872" i="1"/>
  <c r="I1872" i="1"/>
  <c r="J1872" i="1"/>
  <c r="K1872" i="1"/>
  <c r="L1872" i="1"/>
  <c r="M1872" i="1"/>
  <c r="N1872" i="1"/>
  <c r="O1872" i="1"/>
  <c r="P1872" i="1"/>
  <c r="Q1872" i="1"/>
  <c r="R1872" i="1"/>
  <c r="S1872" i="1"/>
  <c r="T1872" i="1"/>
  <c r="U1872" i="1"/>
  <c r="V1872" i="1"/>
  <c r="W1872" i="1"/>
  <c r="X1872" i="1"/>
  <c r="Y1872" i="1"/>
  <c r="Z1872" i="1"/>
  <c r="A1873" i="1"/>
  <c r="B1873" i="1"/>
  <c r="C1873" i="1"/>
  <c r="D1873" i="1"/>
  <c r="E1873" i="1"/>
  <c r="F1873" i="1"/>
  <c r="G1873" i="1"/>
  <c r="I1873" i="1"/>
  <c r="J1873" i="1"/>
  <c r="K1873" i="1"/>
  <c r="L1873" i="1"/>
  <c r="M1873" i="1"/>
  <c r="N1873" i="1"/>
  <c r="O1873" i="1"/>
  <c r="P1873" i="1"/>
  <c r="Q1873" i="1"/>
  <c r="R1873" i="1"/>
  <c r="S1873" i="1"/>
  <c r="T1873" i="1"/>
  <c r="U1873" i="1"/>
  <c r="V1873" i="1"/>
  <c r="W1873" i="1"/>
  <c r="X1873" i="1"/>
  <c r="Y1873" i="1"/>
  <c r="Z1873" i="1"/>
  <c r="A1874" i="1"/>
  <c r="B1874" i="1"/>
  <c r="C1874" i="1"/>
  <c r="D1874" i="1"/>
  <c r="E1874" i="1"/>
  <c r="F1874" i="1"/>
  <c r="G1874" i="1"/>
  <c r="I1874" i="1"/>
  <c r="J1874" i="1"/>
  <c r="K1874" i="1"/>
  <c r="L1874" i="1"/>
  <c r="M1874" i="1"/>
  <c r="N1874" i="1"/>
  <c r="O1874" i="1"/>
  <c r="P1874" i="1"/>
  <c r="Q1874" i="1"/>
  <c r="R1874" i="1"/>
  <c r="S1874" i="1"/>
  <c r="T1874" i="1"/>
  <c r="U1874" i="1"/>
  <c r="V1874" i="1"/>
  <c r="W1874" i="1"/>
  <c r="X1874" i="1"/>
  <c r="Y1874" i="1"/>
  <c r="Z1874" i="1"/>
  <c r="A1875" i="1"/>
  <c r="B1875" i="1"/>
  <c r="C1875" i="1"/>
  <c r="D1875" i="1"/>
  <c r="E1875" i="1"/>
  <c r="F1875" i="1"/>
  <c r="G1875" i="1"/>
  <c r="I1875" i="1"/>
  <c r="J1875" i="1"/>
  <c r="K1875" i="1"/>
  <c r="L1875" i="1"/>
  <c r="M1875" i="1"/>
  <c r="N1875" i="1"/>
  <c r="O1875" i="1"/>
  <c r="P1875" i="1"/>
  <c r="Q1875" i="1"/>
  <c r="R1875" i="1"/>
  <c r="S1875" i="1"/>
  <c r="T1875" i="1"/>
  <c r="U1875" i="1"/>
  <c r="V1875" i="1"/>
  <c r="W1875" i="1"/>
  <c r="X1875" i="1"/>
  <c r="Y1875" i="1"/>
  <c r="Z1875" i="1"/>
  <c r="A1876" i="1"/>
  <c r="B1876" i="1"/>
  <c r="C1876" i="1"/>
  <c r="D1876" i="1"/>
  <c r="E1876" i="1"/>
  <c r="F1876" i="1"/>
  <c r="G1876" i="1"/>
  <c r="I1876" i="1"/>
  <c r="J1876" i="1"/>
  <c r="K1876" i="1"/>
  <c r="L1876" i="1"/>
  <c r="M1876" i="1"/>
  <c r="N1876" i="1"/>
  <c r="O1876" i="1"/>
  <c r="P1876" i="1"/>
  <c r="Q1876" i="1"/>
  <c r="R1876" i="1"/>
  <c r="S1876" i="1"/>
  <c r="T1876" i="1"/>
  <c r="U1876" i="1"/>
  <c r="V1876" i="1"/>
  <c r="W1876" i="1"/>
  <c r="X1876" i="1"/>
  <c r="Y1876" i="1"/>
  <c r="Z1876" i="1"/>
  <c r="A1877" i="1"/>
  <c r="B1877" i="1"/>
  <c r="C1877" i="1"/>
  <c r="D1877" i="1"/>
  <c r="E1877" i="1"/>
  <c r="F1877" i="1"/>
  <c r="G1877" i="1"/>
  <c r="I1877" i="1"/>
  <c r="J1877" i="1"/>
  <c r="K1877" i="1"/>
  <c r="L1877" i="1"/>
  <c r="M1877" i="1"/>
  <c r="N1877" i="1"/>
  <c r="O1877" i="1"/>
  <c r="P1877" i="1"/>
  <c r="Q1877" i="1"/>
  <c r="R1877" i="1"/>
  <c r="S1877" i="1"/>
  <c r="T1877" i="1"/>
  <c r="U1877" i="1"/>
  <c r="V1877" i="1"/>
  <c r="W1877" i="1"/>
  <c r="X1877" i="1"/>
  <c r="Y1877" i="1"/>
  <c r="Z1877" i="1"/>
  <c r="A1878" i="1"/>
  <c r="B1878" i="1"/>
  <c r="C1878" i="1"/>
  <c r="D1878" i="1"/>
  <c r="E1878" i="1"/>
  <c r="F1878" i="1"/>
  <c r="G1878" i="1"/>
  <c r="I1878" i="1"/>
  <c r="J1878" i="1"/>
  <c r="K1878" i="1"/>
  <c r="L1878" i="1"/>
  <c r="M1878" i="1"/>
  <c r="N1878" i="1"/>
  <c r="O1878" i="1"/>
  <c r="P1878" i="1"/>
  <c r="Q1878" i="1"/>
  <c r="R1878" i="1"/>
  <c r="S1878" i="1"/>
  <c r="T1878" i="1"/>
  <c r="U1878" i="1"/>
  <c r="V1878" i="1"/>
  <c r="W1878" i="1"/>
  <c r="X1878" i="1"/>
  <c r="Y1878" i="1"/>
  <c r="Z1878" i="1"/>
  <c r="A1879" i="1"/>
  <c r="B1879" i="1"/>
  <c r="C1879" i="1"/>
  <c r="D1879" i="1"/>
  <c r="E1879" i="1"/>
  <c r="F1879" i="1"/>
  <c r="G1879" i="1"/>
  <c r="I1879" i="1"/>
  <c r="J1879" i="1"/>
  <c r="K1879" i="1"/>
  <c r="L1879" i="1"/>
  <c r="M1879" i="1"/>
  <c r="N1879" i="1"/>
  <c r="O1879" i="1"/>
  <c r="P1879" i="1"/>
  <c r="Q1879" i="1"/>
  <c r="R1879" i="1"/>
  <c r="S1879" i="1"/>
  <c r="T1879" i="1"/>
  <c r="U1879" i="1"/>
  <c r="V1879" i="1"/>
  <c r="W1879" i="1"/>
  <c r="X1879" i="1"/>
  <c r="Y1879" i="1"/>
  <c r="Z1879" i="1"/>
  <c r="A1880" i="1"/>
  <c r="B1880" i="1"/>
  <c r="C1880" i="1"/>
  <c r="D1880" i="1"/>
  <c r="E1880" i="1"/>
  <c r="F1880" i="1"/>
  <c r="G1880" i="1"/>
  <c r="I1880" i="1"/>
  <c r="J1880" i="1"/>
  <c r="K1880" i="1"/>
  <c r="L1880" i="1"/>
  <c r="M1880" i="1"/>
  <c r="N1880" i="1"/>
  <c r="O1880" i="1"/>
  <c r="P1880" i="1"/>
  <c r="Q1880" i="1"/>
  <c r="R1880" i="1"/>
  <c r="S1880" i="1"/>
  <c r="T1880" i="1"/>
  <c r="U1880" i="1"/>
  <c r="V1880" i="1"/>
  <c r="W1880" i="1"/>
  <c r="X1880" i="1"/>
  <c r="Y1880" i="1"/>
  <c r="Z1880" i="1"/>
  <c r="A1881" i="1"/>
  <c r="B1881" i="1"/>
  <c r="C1881" i="1"/>
  <c r="D1881" i="1"/>
  <c r="E1881" i="1"/>
  <c r="F1881" i="1"/>
  <c r="G1881" i="1"/>
  <c r="I1881" i="1"/>
  <c r="J1881" i="1"/>
  <c r="K1881" i="1"/>
  <c r="L1881" i="1"/>
  <c r="M1881" i="1"/>
  <c r="N1881" i="1"/>
  <c r="O1881" i="1"/>
  <c r="P1881" i="1"/>
  <c r="Q1881" i="1"/>
  <c r="R1881" i="1"/>
  <c r="S1881" i="1"/>
  <c r="T1881" i="1"/>
  <c r="U1881" i="1"/>
  <c r="V1881" i="1"/>
  <c r="W1881" i="1"/>
  <c r="X1881" i="1"/>
  <c r="Y1881" i="1"/>
  <c r="Z1881" i="1"/>
  <c r="A1882" i="1"/>
  <c r="B1882" i="1"/>
  <c r="C1882" i="1"/>
  <c r="D1882" i="1"/>
  <c r="E1882" i="1"/>
  <c r="F1882" i="1"/>
  <c r="G1882" i="1"/>
  <c r="I1882" i="1"/>
  <c r="J1882" i="1"/>
  <c r="K1882" i="1"/>
  <c r="L1882" i="1"/>
  <c r="M1882" i="1"/>
  <c r="N1882" i="1"/>
  <c r="O1882" i="1"/>
  <c r="P1882" i="1"/>
  <c r="Q1882" i="1"/>
  <c r="R1882" i="1"/>
  <c r="S1882" i="1"/>
  <c r="T1882" i="1"/>
  <c r="U1882" i="1"/>
  <c r="V1882" i="1"/>
  <c r="W1882" i="1"/>
  <c r="X1882" i="1"/>
  <c r="Y1882" i="1"/>
  <c r="Z1882" i="1"/>
  <c r="A1883" i="1"/>
  <c r="B1883" i="1"/>
  <c r="C1883" i="1"/>
  <c r="D1883" i="1"/>
  <c r="E1883" i="1"/>
  <c r="F1883" i="1"/>
  <c r="G1883" i="1"/>
  <c r="I1883" i="1"/>
  <c r="J1883" i="1"/>
  <c r="K1883" i="1"/>
  <c r="L1883" i="1"/>
  <c r="M1883" i="1"/>
  <c r="N1883" i="1"/>
  <c r="O1883" i="1"/>
  <c r="P1883" i="1"/>
  <c r="Q1883" i="1"/>
  <c r="R1883" i="1"/>
  <c r="S1883" i="1"/>
  <c r="T1883" i="1"/>
  <c r="U1883" i="1"/>
  <c r="V1883" i="1"/>
  <c r="W1883" i="1"/>
  <c r="X1883" i="1"/>
  <c r="Y1883" i="1"/>
  <c r="Z1883" i="1"/>
  <c r="A1884" i="1"/>
  <c r="B1884" i="1"/>
  <c r="C1884" i="1"/>
  <c r="D1884" i="1"/>
  <c r="E1884" i="1"/>
  <c r="F1884" i="1"/>
  <c r="G1884" i="1"/>
  <c r="I1884" i="1"/>
  <c r="J1884" i="1"/>
  <c r="K1884" i="1"/>
  <c r="L1884" i="1"/>
  <c r="M1884" i="1"/>
  <c r="N1884" i="1"/>
  <c r="O1884" i="1"/>
  <c r="P1884" i="1"/>
  <c r="Q1884" i="1"/>
  <c r="R1884" i="1"/>
  <c r="S1884" i="1"/>
  <c r="T1884" i="1"/>
  <c r="U1884" i="1"/>
  <c r="V1884" i="1"/>
  <c r="W1884" i="1"/>
  <c r="X1884" i="1"/>
  <c r="Y1884" i="1"/>
  <c r="Z1884" i="1"/>
  <c r="A1885" i="1"/>
  <c r="B1885" i="1"/>
  <c r="C1885" i="1"/>
  <c r="D1885" i="1"/>
  <c r="E1885" i="1"/>
  <c r="F1885" i="1"/>
  <c r="G1885" i="1"/>
  <c r="I1885" i="1"/>
  <c r="J1885" i="1"/>
  <c r="K1885" i="1"/>
  <c r="L1885" i="1"/>
  <c r="M1885" i="1"/>
  <c r="N1885" i="1"/>
  <c r="O1885" i="1"/>
  <c r="P1885" i="1"/>
  <c r="Q1885" i="1"/>
  <c r="R1885" i="1"/>
  <c r="S1885" i="1"/>
  <c r="T1885" i="1"/>
  <c r="U1885" i="1"/>
  <c r="V1885" i="1"/>
  <c r="W1885" i="1"/>
  <c r="X1885" i="1"/>
  <c r="Y1885" i="1"/>
  <c r="Z1885" i="1"/>
  <c r="A1886" i="1"/>
  <c r="B1886" i="1"/>
  <c r="C1886" i="1"/>
  <c r="D1886" i="1"/>
  <c r="E1886" i="1"/>
  <c r="F1886" i="1"/>
  <c r="G1886" i="1"/>
  <c r="I1886" i="1"/>
  <c r="J1886" i="1"/>
  <c r="K1886" i="1"/>
  <c r="L1886" i="1"/>
  <c r="M1886" i="1"/>
  <c r="N1886" i="1"/>
  <c r="O1886" i="1"/>
  <c r="P1886" i="1"/>
  <c r="Q1886" i="1"/>
  <c r="R1886" i="1"/>
  <c r="S1886" i="1"/>
  <c r="T1886" i="1"/>
  <c r="U1886" i="1"/>
  <c r="V1886" i="1"/>
  <c r="W1886" i="1"/>
  <c r="X1886" i="1"/>
  <c r="Y1886" i="1"/>
  <c r="Z1886" i="1"/>
  <c r="A1887" i="1"/>
  <c r="B1887" i="1"/>
  <c r="C1887" i="1"/>
  <c r="D1887" i="1"/>
  <c r="E1887" i="1"/>
  <c r="F1887" i="1"/>
  <c r="G1887" i="1"/>
  <c r="I1887" i="1"/>
  <c r="J1887" i="1"/>
  <c r="K1887" i="1"/>
  <c r="L1887" i="1"/>
  <c r="M1887" i="1"/>
  <c r="N1887" i="1"/>
  <c r="O1887" i="1"/>
  <c r="P1887" i="1"/>
  <c r="Q1887" i="1"/>
  <c r="R1887" i="1"/>
  <c r="S1887" i="1"/>
  <c r="T1887" i="1"/>
  <c r="U1887" i="1"/>
  <c r="V1887" i="1"/>
  <c r="W1887" i="1"/>
  <c r="X1887" i="1"/>
  <c r="Y1887" i="1"/>
  <c r="Z1887" i="1"/>
  <c r="A1888" i="1"/>
  <c r="B1888" i="1"/>
  <c r="C1888" i="1"/>
  <c r="D1888" i="1"/>
  <c r="E1888" i="1"/>
  <c r="F1888" i="1"/>
  <c r="G1888" i="1"/>
  <c r="I1888" i="1"/>
  <c r="J1888" i="1"/>
  <c r="K1888" i="1"/>
  <c r="L1888" i="1"/>
  <c r="M1888" i="1"/>
  <c r="N1888" i="1"/>
  <c r="O1888" i="1"/>
  <c r="P1888" i="1"/>
  <c r="Q1888" i="1"/>
  <c r="R1888" i="1"/>
  <c r="S1888" i="1"/>
  <c r="T1888" i="1"/>
  <c r="U1888" i="1"/>
  <c r="V1888" i="1"/>
  <c r="W1888" i="1"/>
  <c r="X1888" i="1"/>
  <c r="Y1888" i="1"/>
  <c r="Z1888" i="1"/>
  <c r="A1889" i="1"/>
  <c r="B1889" i="1"/>
  <c r="C1889" i="1"/>
  <c r="D1889" i="1"/>
  <c r="E1889" i="1"/>
  <c r="F1889" i="1"/>
  <c r="G1889" i="1"/>
  <c r="I1889" i="1"/>
  <c r="J1889" i="1"/>
  <c r="K1889" i="1"/>
  <c r="L1889" i="1"/>
  <c r="M1889" i="1"/>
  <c r="N1889" i="1"/>
  <c r="O1889" i="1"/>
  <c r="P1889" i="1"/>
  <c r="Q1889" i="1"/>
  <c r="R1889" i="1"/>
  <c r="S1889" i="1"/>
  <c r="T1889" i="1"/>
  <c r="U1889" i="1"/>
  <c r="V1889" i="1"/>
  <c r="W1889" i="1"/>
  <c r="X1889" i="1"/>
  <c r="Y1889" i="1"/>
  <c r="Z1889" i="1"/>
  <c r="A1890" i="1"/>
  <c r="B1890" i="1"/>
  <c r="C1890" i="1"/>
  <c r="D1890" i="1"/>
  <c r="E1890" i="1"/>
  <c r="F1890" i="1"/>
  <c r="G1890" i="1"/>
  <c r="I1890" i="1"/>
  <c r="J1890" i="1"/>
  <c r="K1890" i="1"/>
  <c r="L1890" i="1"/>
  <c r="M1890" i="1"/>
  <c r="N1890" i="1"/>
  <c r="O1890" i="1"/>
  <c r="P1890" i="1"/>
  <c r="Q1890" i="1"/>
  <c r="R1890" i="1"/>
  <c r="S1890" i="1"/>
  <c r="T1890" i="1"/>
  <c r="U1890" i="1"/>
  <c r="V1890" i="1"/>
  <c r="W1890" i="1"/>
  <c r="X1890" i="1"/>
  <c r="Y1890" i="1"/>
  <c r="Z1890" i="1"/>
  <c r="A1891" i="1"/>
  <c r="B1891" i="1"/>
  <c r="C1891" i="1"/>
  <c r="D1891" i="1"/>
  <c r="E1891" i="1"/>
  <c r="F1891" i="1"/>
  <c r="G1891" i="1"/>
  <c r="I1891" i="1"/>
  <c r="J1891" i="1"/>
  <c r="K1891" i="1"/>
  <c r="L1891" i="1"/>
  <c r="M1891" i="1"/>
  <c r="N1891" i="1"/>
  <c r="O1891" i="1"/>
  <c r="P1891" i="1"/>
  <c r="Q1891" i="1"/>
  <c r="R1891" i="1"/>
  <c r="S1891" i="1"/>
  <c r="T1891" i="1"/>
  <c r="U1891" i="1"/>
  <c r="V1891" i="1"/>
  <c r="W1891" i="1"/>
  <c r="X1891" i="1"/>
  <c r="Y1891" i="1"/>
  <c r="Z1891" i="1"/>
  <c r="A1892" i="1"/>
  <c r="B1892" i="1"/>
  <c r="C1892" i="1"/>
  <c r="D1892" i="1"/>
  <c r="E1892" i="1"/>
  <c r="F1892" i="1"/>
  <c r="G1892" i="1"/>
  <c r="I1892" i="1"/>
  <c r="J1892" i="1"/>
  <c r="K1892" i="1"/>
  <c r="L1892" i="1"/>
  <c r="M1892" i="1"/>
  <c r="N1892" i="1"/>
  <c r="O1892" i="1"/>
  <c r="P1892" i="1"/>
  <c r="Q1892" i="1"/>
  <c r="R1892" i="1"/>
  <c r="S1892" i="1"/>
  <c r="T1892" i="1"/>
  <c r="U1892" i="1"/>
  <c r="V1892" i="1"/>
  <c r="W1892" i="1"/>
  <c r="X1892" i="1"/>
  <c r="Y1892" i="1"/>
  <c r="Z1892" i="1"/>
  <c r="A1893" i="1"/>
  <c r="B1893" i="1"/>
  <c r="C1893" i="1"/>
  <c r="D1893" i="1"/>
  <c r="E1893" i="1"/>
  <c r="F1893" i="1"/>
  <c r="G1893" i="1"/>
  <c r="I1893" i="1"/>
  <c r="J1893" i="1"/>
  <c r="K1893" i="1"/>
  <c r="L1893" i="1"/>
  <c r="M1893" i="1"/>
  <c r="N1893" i="1"/>
  <c r="O1893" i="1"/>
  <c r="P1893" i="1"/>
  <c r="Q1893" i="1"/>
  <c r="R1893" i="1"/>
  <c r="S1893" i="1"/>
  <c r="T1893" i="1"/>
  <c r="U1893" i="1"/>
  <c r="V1893" i="1"/>
  <c r="W1893" i="1"/>
  <c r="X1893" i="1"/>
  <c r="Y1893" i="1"/>
  <c r="Z1893" i="1"/>
  <c r="A1894" i="1"/>
  <c r="B1894" i="1"/>
  <c r="C1894" i="1"/>
  <c r="D1894" i="1"/>
  <c r="E1894" i="1"/>
  <c r="F1894" i="1"/>
  <c r="G1894" i="1"/>
  <c r="I1894" i="1"/>
  <c r="J1894" i="1"/>
  <c r="K1894" i="1"/>
  <c r="L1894" i="1"/>
  <c r="M1894" i="1"/>
  <c r="N1894" i="1"/>
  <c r="O1894" i="1"/>
  <c r="P1894" i="1"/>
  <c r="Q1894" i="1"/>
  <c r="R1894" i="1"/>
  <c r="S1894" i="1"/>
  <c r="T1894" i="1"/>
  <c r="U1894" i="1"/>
  <c r="V1894" i="1"/>
  <c r="W1894" i="1"/>
  <c r="X1894" i="1"/>
  <c r="Y1894" i="1"/>
  <c r="Z1894" i="1"/>
  <c r="A1895" i="1"/>
  <c r="B1895" i="1"/>
  <c r="C1895" i="1"/>
  <c r="D1895" i="1"/>
  <c r="E1895" i="1"/>
  <c r="F1895" i="1"/>
  <c r="G1895" i="1"/>
  <c r="I1895" i="1"/>
  <c r="J1895" i="1"/>
  <c r="K1895" i="1"/>
  <c r="L1895" i="1"/>
  <c r="M1895" i="1"/>
  <c r="N1895" i="1"/>
  <c r="O1895" i="1"/>
  <c r="P1895" i="1"/>
  <c r="Q1895" i="1"/>
  <c r="R1895" i="1"/>
  <c r="S1895" i="1"/>
  <c r="T1895" i="1"/>
  <c r="U1895" i="1"/>
  <c r="V1895" i="1"/>
  <c r="W1895" i="1"/>
  <c r="X1895" i="1"/>
  <c r="Y1895" i="1"/>
  <c r="Z1895" i="1"/>
  <c r="A1896" i="1"/>
  <c r="B1896" i="1"/>
  <c r="C1896" i="1"/>
  <c r="D1896" i="1"/>
  <c r="E1896" i="1"/>
  <c r="F1896" i="1"/>
  <c r="G1896" i="1"/>
  <c r="I1896" i="1"/>
  <c r="J1896" i="1"/>
  <c r="K1896" i="1"/>
  <c r="L1896" i="1"/>
  <c r="M1896" i="1"/>
  <c r="N1896" i="1"/>
  <c r="O1896" i="1"/>
  <c r="P1896" i="1"/>
  <c r="Q1896" i="1"/>
  <c r="R1896" i="1"/>
  <c r="S1896" i="1"/>
  <c r="T1896" i="1"/>
  <c r="U1896" i="1"/>
  <c r="V1896" i="1"/>
  <c r="W1896" i="1"/>
  <c r="X1896" i="1"/>
  <c r="Y1896" i="1"/>
  <c r="Z1896" i="1"/>
  <c r="A1897" i="1"/>
  <c r="B1897" i="1"/>
  <c r="C1897" i="1"/>
  <c r="D1897" i="1"/>
  <c r="E1897" i="1"/>
  <c r="F1897" i="1"/>
  <c r="G1897" i="1"/>
  <c r="I1897" i="1"/>
  <c r="J1897" i="1"/>
  <c r="K1897" i="1"/>
  <c r="L1897" i="1"/>
  <c r="M1897" i="1"/>
  <c r="N1897" i="1"/>
  <c r="O1897" i="1"/>
  <c r="P1897" i="1"/>
  <c r="Q1897" i="1"/>
  <c r="R1897" i="1"/>
  <c r="S1897" i="1"/>
  <c r="T1897" i="1"/>
  <c r="U1897" i="1"/>
  <c r="V1897" i="1"/>
  <c r="W1897" i="1"/>
  <c r="X1897" i="1"/>
  <c r="Y1897" i="1"/>
  <c r="Z1897" i="1"/>
  <c r="A1898" i="1"/>
  <c r="B1898" i="1"/>
  <c r="C1898" i="1"/>
  <c r="D1898" i="1"/>
  <c r="E1898" i="1"/>
  <c r="F1898" i="1"/>
  <c r="G1898" i="1"/>
  <c r="I1898" i="1"/>
  <c r="J1898" i="1"/>
  <c r="K1898" i="1"/>
  <c r="L1898" i="1"/>
  <c r="M1898" i="1"/>
  <c r="N1898" i="1"/>
  <c r="O1898" i="1"/>
  <c r="P1898" i="1"/>
  <c r="Q1898" i="1"/>
  <c r="R1898" i="1"/>
  <c r="S1898" i="1"/>
  <c r="T1898" i="1"/>
  <c r="U1898" i="1"/>
  <c r="V1898" i="1"/>
  <c r="W1898" i="1"/>
  <c r="X1898" i="1"/>
  <c r="Y1898" i="1"/>
  <c r="Z1898" i="1"/>
  <c r="A1899" i="1"/>
  <c r="B1899" i="1"/>
  <c r="C1899" i="1"/>
  <c r="D1899" i="1"/>
  <c r="E1899" i="1"/>
  <c r="F1899" i="1"/>
  <c r="G1899" i="1"/>
  <c r="I1899" i="1"/>
  <c r="J1899" i="1"/>
  <c r="K1899" i="1"/>
  <c r="L1899" i="1"/>
  <c r="M1899" i="1"/>
  <c r="N1899" i="1"/>
  <c r="O1899" i="1"/>
  <c r="P1899" i="1"/>
  <c r="Q1899" i="1"/>
  <c r="R1899" i="1"/>
  <c r="S1899" i="1"/>
  <c r="T1899" i="1"/>
  <c r="U1899" i="1"/>
  <c r="V1899" i="1"/>
  <c r="W1899" i="1"/>
  <c r="X1899" i="1"/>
  <c r="Y1899" i="1"/>
  <c r="Z1899" i="1"/>
  <c r="A1900" i="1"/>
  <c r="B1900" i="1"/>
  <c r="C1900" i="1"/>
  <c r="D1900" i="1"/>
  <c r="E1900" i="1"/>
  <c r="F1900" i="1"/>
  <c r="G1900" i="1"/>
  <c r="I1900" i="1"/>
  <c r="J1900" i="1"/>
  <c r="K1900" i="1"/>
  <c r="L1900" i="1"/>
  <c r="M1900" i="1"/>
  <c r="N1900" i="1"/>
  <c r="O1900" i="1"/>
  <c r="P1900" i="1"/>
  <c r="Q1900" i="1"/>
  <c r="R1900" i="1"/>
  <c r="S1900" i="1"/>
  <c r="T1900" i="1"/>
  <c r="U1900" i="1"/>
  <c r="V1900" i="1"/>
  <c r="W1900" i="1"/>
  <c r="X1900" i="1"/>
  <c r="Y1900" i="1"/>
  <c r="Z1900" i="1"/>
  <c r="A1901" i="1"/>
  <c r="B1901" i="1"/>
  <c r="C1901" i="1"/>
  <c r="D1901" i="1"/>
  <c r="E1901" i="1"/>
  <c r="F1901" i="1"/>
  <c r="G1901" i="1"/>
  <c r="I1901" i="1"/>
  <c r="J1901" i="1"/>
  <c r="K1901" i="1"/>
  <c r="L1901" i="1"/>
  <c r="M1901" i="1"/>
  <c r="N1901" i="1"/>
  <c r="O1901" i="1"/>
  <c r="P1901" i="1"/>
  <c r="Q1901" i="1"/>
  <c r="R1901" i="1"/>
  <c r="S1901" i="1"/>
  <c r="T1901" i="1"/>
  <c r="U1901" i="1"/>
  <c r="V1901" i="1"/>
  <c r="W1901" i="1"/>
  <c r="X1901" i="1"/>
  <c r="Y1901" i="1"/>
  <c r="Z1901" i="1"/>
  <c r="A1902" i="1"/>
  <c r="B1902" i="1"/>
  <c r="C1902" i="1"/>
  <c r="D1902" i="1"/>
  <c r="E1902" i="1"/>
  <c r="F1902" i="1"/>
  <c r="G1902" i="1"/>
  <c r="I1902" i="1"/>
  <c r="J1902" i="1"/>
  <c r="K1902" i="1"/>
  <c r="L1902" i="1"/>
  <c r="M1902" i="1"/>
  <c r="N1902" i="1"/>
  <c r="O1902" i="1"/>
  <c r="P1902" i="1"/>
  <c r="Q1902" i="1"/>
  <c r="R1902" i="1"/>
  <c r="S1902" i="1"/>
  <c r="T1902" i="1"/>
  <c r="U1902" i="1"/>
  <c r="V1902" i="1"/>
  <c r="W1902" i="1"/>
  <c r="X1902" i="1"/>
  <c r="Y1902" i="1"/>
  <c r="Z1902" i="1"/>
  <c r="A1903" i="1"/>
  <c r="B1903" i="1"/>
  <c r="C1903" i="1"/>
  <c r="D1903" i="1"/>
  <c r="E1903" i="1"/>
  <c r="F1903" i="1"/>
  <c r="G1903" i="1"/>
  <c r="I1903" i="1"/>
  <c r="J1903" i="1"/>
  <c r="K1903" i="1"/>
  <c r="L1903" i="1"/>
  <c r="M1903" i="1"/>
  <c r="N1903" i="1"/>
  <c r="O1903" i="1"/>
  <c r="P1903" i="1"/>
  <c r="Q1903" i="1"/>
  <c r="R1903" i="1"/>
  <c r="S1903" i="1"/>
  <c r="T1903" i="1"/>
  <c r="U1903" i="1"/>
  <c r="V1903" i="1"/>
  <c r="W1903" i="1"/>
  <c r="X1903" i="1"/>
  <c r="Y1903" i="1"/>
  <c r="Z1903" i="1"/>
  <c r="A1904" i="1"/>
  <c r="B1904" i="1"/>
  <c r="C1904" i="1"/>
  <c r="D1904" i="1"/>
  <c r="E1904" i="1"/>
  <c r="F1904" i="1"/>
  <c r="G1904" i="1"/>
  <c r="I1904" i="1"/>
  <c r="J1904" i="1"/>
  <c r="K1904" i="1"/>
  <c r="L1904" i="1"/>
  <c r="M1904" i="1"/>
  <c r="N1904" i="1"/>
  <c r="O1904" i="1"/>
  <c r="P1904" i="1"/>
  <c r="Q1904" i="1"/>
  <c r="R1904" i="1"/>
  <c r="S1904" i="1"/>
  <c r="T1904" i="1"/>
  <c r="U1904" i="1"/>
  <c r="V1904" i="1"/>
  <c r="W1904" i="1"/>
  <c r="X1904" i="1"/>
  <c r="Y1904" i="1"/>
  <c r="Z1904" i="1"/>
  <c r="A1905" i="1"/>
  <c r="B1905" i="1"/>
  <c r="C1905" i="1"/>
  <c r="D1905" i="1"/>
  <c r="E1905" i="1"/>
  <c r="F1905" i="1"/>
  <c r="G1905" i="1"/>
  <c r="I1905" i="1"/>
  <c r="J1905" i="1"/>
  <c r="K1905" i="1"/>
  <c r="L1905" i="1"/>
  <c r="M1905" i="1"/>
  <c r="N1905" i="1"/>
  <c r="O1905" i="1"/>
  <c r="P1905" i="1"/>
  <c r="Q1905" i="1"/>
  <c r="R1905" i="1"/>
  <c r="S1905" i="1"/>
  <c r="T1905" i="1"/>
  <c r="U1905" i="1"/>
  <c r="V1905" i="1"/>
  <c r="W1905" i="1"/>
  <c r="X1905" i="1"/>
  <c r="Y1905" i="1"/>
  <c r="Z1905" i="1"/>
  <c r="A1906" i="1"/>
  <c r="B1906" i="1"/>
  <c r="C1906" i="1"/>
  <c r="D1906" i="1"/>
  <c r="E1906" i="1"/>
  <c r="F1906" i="1"/>
  <c r="G1906" i="1"/>
  <c r="I1906" i="1"/>
  <c r="J1906" i="1"/>
  <c r="K1906" i="1"/>
  <c r="L1906" i="1"/>
  <c r="M1906" i="1"/>
  <c r="N1906" i="1"/>
  <c r="O1906" i="1"/>
  <c r="P1906" i="1"/>
  <c r="Q1906" i="1"/>
  <c r="R1906" i="1"/>
  <c r="S1906" i="1"/>
  <c r="T1906" i="1"/>
  <c r="U1906" i="1"/>
  <c r="V1906" i="1"/>
  <c r="W1906" i="1"/>
  <c r="X1906" i="1"/>
  <c r="Y1906" i="1"/>
  <c r="Z1906" i="1"/>
  <c r="A1907" i="1"/>
  <c r="B1907" i="1"/>
  <c r="C1907" i="1"/>
  <c r="D1907" i="1"/>
  <c r="E1907" i="1"/>
  <c r="F1907" i="1"/>
  <c r="G1907" i="1"/>
  <c r="I1907" i="1"/>
  <c r="J1907" i="1"/>
  <c r="K1907" i="1"/>
  <c r="L1907" i="1"/>
  <c r="M1907" i="1"/>
  <c r="N1907" i="1"/>
  <c r="O1907" i="1"/>
  <c r="P1907" i="1"/>
  <c r="Q1907" i="1"/>
  <c r="R1907" i="1"/>
  <c r="S1907" i="1"/>
  <c r="T1907" i="1"/>
  <c r="U1907" i="1"/>
  <c r="V1907" i="1"/>
  <c r="W1907" i="1"/>
  <c r="X1907" i="1"/>
  <c r="Y1907" i="1"/>
  <c r="Z1907" i="1"/>
  <c r="A1908" i="1"/>
  <c r="B1908" i="1"/>
  <c r="C1908" i="1"/>
  <c r="D1908" i="1"/>
  <c r="E1908" i="1"/>
  <c r="F1908" i="1"/>
  <c r="G1908" i="1"/>
  <c r="I1908" i="1"/>
  <c r="J1908" i="1"/>
  <c r="K1908" i="1"/>
  <c r="L1908" i="1"/>
  <c r="M1908" i="1"/>
  <c r="N1908" i="1"/>
  <c r="O1908" i="1"/>
  <c r="P1908" i="1"/>
  <c r="Q1908" i="1"/>
  <c r="R1908" i="1"/>
  <c r="S1908" i="1"/>
  <c r="T1908" i="1"/>
  <c r="U1908" i="1"/>
  <c r="V1908" i="1"/>
  <c r="W1908" i="1"/>
  <c r="X1908" i="1"/>
  <c r="Y1908" i="1"/>
  <c r="Z1908" i="1"/>
  <c r="A1909" i="1"/>
  <c r="B1909" i="1"/>
  <c r="C1909" i="1"/>
  <c r="D1909" i="1"/>
  <c r="E1909" i="1"/>
  <c r="F1909" i="1"/>
  <c r="G1909" i="1"/>
  <c r="I1909" i="1"/>
  <c r="J1909" i="1"/>
  <c r="K1909" i="1"/>
  <c r="L1909" i="1"/>
  <c r="M1909" i="1"/>
  <c r="N1909" i="1"/>
  <c r="O1909" i="1"/>
  <c r="P1909" i="1"/>
  <c r="Q1909" i="1"/>
  <c r="R1909" i="1"/>
  <c r="S1909" i="1"/>
  <c r="T1909" i="1"/>
  <c r="U1909" i="1"/>
  <c r="V1909" i="1"/>
  <c r="W1909" i="1"/>
  <c r="X1909" i="1"/>
  <c r="Y1909" i="1"/>
  <c r="Z1909" i="1"/>
  <c r="A1910" i="1"/>
  <c r="B1910" i="1"/>
  <c r="C1910" i="1"/>
  <c r="D1910" i="1"/>
  <c r="E1910" i="1"/>
  <c r="F1910" i="1"/>
  <c r="G1910" i="1"/>
  <c r="I1910" i="1"/>
  <c r="J1910" i="1"/>
  <c r="K1910" i="1"/>
  <c r="L1910" i="1"/>
  <c r="M1910" i="1"/>
  <c r="N1910" i="1"/>
  <c r="O1910" i="1"/>
  <c r="P1910" i="1"/>
  <c r="Q1910" i="1"/>
  <c r="R1910" i="1"/>
  <c r="S1910" i="1"/>
  <c r="T1910" i="1"/>
  <c r="U1910" i="1"/>
  <c r="V1910" i="1"/>
  <c r="W1910" i="1"/>
  <c r="X1910" i="1"/>
  <c r="Y1910" i="1"/>
  <c r="Z1910" i="1"/>
  <c r="A1911" i="1"/>
  <c r="B1911" i="1"/>
  <c r="C1911" i="1"/>
  <c r="D1911" i="1"/>
  <c r="E1911" i="1"/>
  <c r="F1911" i="1"/>
  <c r="G1911" i="1"/>
  <c r="I1911" i="1"/>
  <c r="J1911" i="1"/>
  <c r="K1911" i="1"/>
  <c r="L1911" i="1"/>
  <c r="M1911" i="1"/>
  <c r="N1911" i="1"/>
  <c r="O1911" i="1"/>
  <c r="P1911" i="1"/>
  <c r="Q1911" i="1"/>
  <c r="R1911" i="1"/>
  <c r="S1911" i="1"/>
  <c r="T1911" i="1"/>
  <c r="U1911" i="1"/>
  <c r="V1911" i="1"/>
  <c r="W1911" i="1"/>
  <c r="X1911" i="1"/>
  <c r="Y1911" i="1"/>
  <c r="Z1911" i="1"/>
  <c r="A1912" i="1"/>
  <c r="B1912" i="1"/>
  <c r="C1912" i="1"/>
  <c r="D1912" i="1"/>
  <c r="E1912" i="1"/>
  <c r="F1912" i="1"/>
  <c r="G1912" i="1"/>
  <c r="I1912" i="1"/>
  <c r="J1912" i="1"/>
  <c r="K1912" i="1"/>
  <c r="L1912" i="1"/>
  <c r="M1912" i="1"/>
  <c r="N1912" i="1"/>
  <c r="O1912" i="1"/>
  <c r="P1912" i="1"/>
  <c r="Q1912" i="1"/>
  <c r="R1912" i="1"/>
  <c r="S1912" i="1"/>
  <c r="T1912" i="1"/>
  <c r="U1912" i="1"/>
  <c r="V1912" i="1"/>
  <c r="W1912" i="1"/>
  <c r="X1912" i="1"/>
  <c r="Y1912" i="1"/>
  <c r="Z1912" i="1"/>
  <c r="A1913" i="1"/>
  <c r="B1913" i="1"/>
  <c r="C1913" i="1"/>
  <c r="D1913" i="1"/>
  <c r="E1913" i="1"/>
  <c r="F1913" i="1"/>
  <c r="G1913" i="1"/>
  <c r="I1913" i="1"/>
  <c r="J1913" i="1"/>
  <c r="K1913" i="1"/>
  <c r="L1913" i="1"/>
  <c r="M1913" i="1"/>
  <c r="N1913" i="1"/>
  <c r="O1913" i="1"/>
  <c r="P1913" i="1"/>
  <c r="Q1913" i="1"/>
  <c r="R1913" i="1"/>
  <c r="S1913" i="1"/>
  <c r="T1913" i="1"/>
  <c r="U1913" i="1"/>
  <c r="V1913" i="1"/>
  <c r="W1913" i="1"/>
  <c r="X1913" i="1"/>
  <c r="Y1913" i="1"/>
  <c r="Z1913" i="1"/>
  <c r="A1914" i="1"/>
  <c r="B1914" i="1"/>
  <c r="C1914" i="1"/>
  <c r="D1914" i="1"/>
  <c r="E1914" i="1"/>
  <c r="F1914" i="1"/>
  <c r="G1914" i="1"/>
  <c r="I1914" i="1"/>
  <c r="J1914" i="1"/>
  <c r="K1914" i="1"/>
  <c r="L1914" i="1"/>
  <c r="M1914" i="1"/>
  <c r="N1914" i="1"/>
  <c r="O1914" i="1"/>
  <c r="P1914" i="1"/>
  <c r="Q1914" i="1"/>
  <c r="R1914" i="1"/>
  <c r="S1914" i="1"/>
  <c r="T1914" i="1"/>
  <c r="U1914" i="1"/>
  <c r="V1914" i="1"/>
  <c r="W1914" i="1"/>
  <c r="X1914" i="1"/>
  <c r="Y1914" i="1"/>
  <c r="Z1914" i="1"/>
  <c r="A1915" i="1"/>
  <c r="B1915" i="1"/>
  <c r="C1915" i="1"/>
  <c r="D1915" i="1"/>
  <c r="E1915" i="1"/>
  <c r="F1915" i="1"/>
  <c r="G1915" i="1"/>
  <c r="I1915" i="1"/>
  <c r="J1915" i="1"/>
  <c r="K1915" i="1"/>
  <c r="L1915" i="1"/>
  <c r="M1915" i="1"/>
  <c r="N1915" i="1"/>
  <c r="O1915" i="1"/>
  <c r="P1915" i="1"/>
  <c r="Q1915" i="1"/>
  <c r="R1915" i="1"/>
  <c r="S1915" i="1"/>
  <c r="T1915" i="1"/>
  <c r="U1915" i="1"/>
  <c r="V1915" i="1"/>
  <c r="W1915" i="1"/>
  <c r="X1915" i="1"/>
  <c r="Y1915" i="1"/>
  <c r="Z1915" i="1"/>
  <c r="A1916" i="1"/>
  <c r="B1916" i="1"/>
  <c r="C1916" i="1"/>
  <c r="D1916" i="1"/>
  <c r="E1916" i="1"/>
  <c r="F1916" i="1"/>
  <c r="G1916" i="1"/>
  <c r="I1916" i="1"/>
  <c r="J1916" i="1"/>
  <c r="K1916" i="1"/>
  <c r="L1916" i="1"/>
  <c r="M1916" i="1"/>
  <c r="N1916" i="1"/>
  <c r="O1916" i="1"/>
  <c r="P1916" i="1"/>
  <c r="Q1916" i="1"/>
  <c r="R1916" i="1"/>
  <c r="S1916" i="1"/>
  <c r="T1916" i="1"/>
  <c r="U1916" i="1"/>
  <c r="V1916" i="1"/>
  <c r="W1916" i="1"/>
  <c r="X1916" i="1"/>
  <c r="Y1916" i="1"/>
  <c r="Z1916" i="1"/>
  <c r="A1917" i="1"/>
  <c r="B1917" i="1"/>
  <c r="C1917" i="1"/>
  <c r="D1917" i="1"/>
  <c r="E1917" i="1"/>
  <c r="F1917" i="1"/>
  <c r="G1917" i="1"/>
  <c r="I1917" i="1"/>
  <c r="J1917" i="1"/>
  <c r="K1917" i="1"/>
  <c r="L1917" i="1"/>
  <c r="M1917" i="1"/>
  <c r="N1917" i="1"/>
  <c r="O1917" i="1"/>
  <c r="P1917" i="1"/>
  <c r="Q1917" i="1"/>
  <c r="R1917" i="1"/>
  <c r="S1917" i="1"/>
  <c r="T1917" i="1"/>
  <c r="U1917" i="1"/>
  <c r="V1917" i="1"/>
  <c r="W1917" i="1"/>
  <c r="X1917" i="1"/>
  <c r="Y1917" i="1"/>
  <c r="Z1917" i="1"/>
  <c r="A1918" i="1"/>
  <c r="B1918" i="1"/>
  <c r="C1918" i="1"/>
  <c r="D1918" i="1"/>
  <c r="E1918" i="1"/>
  <c r="F1918" i="1"/>
  <c r="G1918" i="1"/>
  <c r="I1918" i="1"/>
  <c r="J1918" i="1"/>
  <c r="K1918" i="1"/>
  <c r="L1918" i="1"/>
  <c r="M1918" i="1"/>
  <c r="N1918" i="1"/>
  <c r="O1918" i="1"/>
  <c r="P1918" i="1"/>
  <c r="Q1918" i="1"/>
  <c r="R1918" i="1"/>
  <c r="S1918" i="1"/>
  <c r="T1918" i="1"/>
  <c r="U1918" i="1"/>
  <c r="V1918" i="1"/>
  <c r="W1918" i="1"/>
  <c r="X1918" i="1"/>
  <c r="Y1918" i="1"/>
  <c r="Z1918" i="1"/>
  <c r="A1919" i="1"/>
  <c r="B1919" i="1"/>
  <c r="C1919" i="1"/>
  <c r="D1919" i="1"/>
  <c r="E1919" i="1"/>
  <c r="F1919" i="1"/>
  <c r="G1919" i="1"/>
  <c r="I1919" i="1"/>
  <c r="J1919" i="1"/>
  <c r="K1919" i="1"/>
  <c r="L1919" i="1"/>
  <c r="M1919" i="1"/>
  <c r="N1919" i="1"/>
  <c r="O1919" i="1"/>
  <c r="P1919" i="1"/>
  <c r="Q1919" i="1"/>
  <c r="R1919" i="1"/>
  <c r="S1919" i="1"/>
  <c r="T1919" i="1"/>
  <c r="U1919" i="1"/>
  <c r="V1919" i="1"/>
  <c r="W1919" i="1"/>
  <c r="X1919" i="1"/>
  <c r="Y1919" i="1"/>
  <c r="Z1919" i="1"/>
  <c r="A1920" i="1"/>
  <c r="B1920" i="1"/>
  <c r="C1920" i="1"/>
  <c r="D1920" i="1"/>
  <c r="E1920" i="1"/>
  <c r="F1920" i="1"/>
  <c r="G1920" i="1"/>
  <c r="I1920" i="1"/>
  <c r="J1920" i="1"/>
  <c r="K1920" i="1"/>
  <c r="L1920" i="1"/>
  <c r="M1920" i="1"/>
  <c r="N1920" i="1"/>
  <c r="O1920" i="1"/>
  <c r="P1920" i="1"/>
  <c r="Q1920" i="1"/>
  <c r="R1920" i="1"/>
  <c r="S1920" i="1"/>
  <c r="T1920" i="1"/>
  <c r="U1920" i="1"/>
  <c r="V1920" i="1"/>
  <c r="W1920" i="1"/>
  <c r="X1920" i="1"/>
  <c r="Y1920" i="1"/>
  <c r="Z1920" i="1"/>
  <c r="A1921" i="1"/>
  <c r="B1921" i="1"/>
  <c r="C1921" i="1"/>
  <c r="D1921" i="1"/>
  <c r="E1921" i="1"/>
  <c r="F1921" i="1"/>
  <c r="G1921" i="1"/>
  <c r="I1921" i="1"/>
  <c r="J1921" i="1"/>
  <c r="K1921" i="1"/>
  <c r="L1921" i="1"/>
  <c r="M1921" i="1"/>
  <c r="N1921" i="1"/>
  <c r="O1921" i="1"/>
  <c r="P1921" i="1"/>
  <c r="Q1921" i="1"/>
  <c r="R1921" i="1"/>
  <c r="S1921" i="1"/>
  <c r="T1921" i="1"/>
  <c r="U1921" i="1"/>
  <c r="V1921" i="1"/>
  <c r="W1921" i="1"/>
  <c r="X1921" i="1"/>
  <c r="Y1921" i="1"/>
  <c r="Z1921" i="1"/>
  <c r="A1922" i="1"/>
  <c r="B1922" i="1"/>
  <c r="C1922" i="1"/>
  <c r="D1922" i="1"/>
  <c r="E1922" i="1"/>
  <c r="F1922" i="1"/>
  <c r="G1922" i="1"/>
  <c r="I1922" i="1"/>
  <c r="J1922" i="1"/>
  <c r="K1922" i="1"/>
  <c r="L1922" i="1"/>
  <c r="M1922" i="1"/>
  <c r="N1922" i="1"/>
  <c r="O1922" i="1"/>
  <c r="P1922" i="1"/>
  <c r="Q1922" i="1"/>
  <c r="R1922" i="1"/>
  <c r="S1922" i="1"/>
  <c r="T1922" i="1"/>
  <c r="U1922" i="1"/>
  <c r="V1922" i="1"/>
  <c r="W1922" i="1"/>
  <c r="X1922" i="1"/>
  <c r="Y1922" i="1"/>
  <c r="Z1922" i="1"/>
  <c r="A1923" i="1"/>
  <c r="B1923" i="1"/>
  <c r="C1923" i="1"/>
  <c r="D1923" i="1"/>
  <c r="E1923" i="1"/>
  <c r="F1923" i="1"/>
  <c r="G1923" i="1"/>
  <c r="I1923" i="1"/>
  <c r="J1923" i="1"/>
  <c r="K1923" i="1"/>
  <c r="L1923" i="1"/>
  <c r="M1923" i="1"/>
  <c r="N1923" i="1"/>
  <c r="O1923" i="1"/>
  <c r="P1923" i="1"/>
  <c r="Q1923" i="1"/>
  <c r="R1923" i="1"/>
  <c r="S1923" i="1"/>
  <c r="T1923" i="1"/>
  <c r="U1923" i="1"/>
  <c r="V1923" i="1"/>
  <c r="W1923" i="1"/>
  <c r="X1923" i="1"/>
  <c r="Y1923" i="1"/>
  <c r="Z1923" i="1"/>
  <c r="A1924" i="1"/>
  <c r="B1924" i="1"/>
  <c r="C1924" i="1"/>
  <c r="D1924" i="1"/>
  <c r="E1924" i="1"/>
  <c r="F1924" i="1"/>
  <c r="G1924" i="1"/>
  <c r="I1924" i="1"/>
  <c r="J1924" i="1"/>
  <c r="K1924" i="1"/>
  <c r="L1924" i="1"/>
  <c r="M1924" i="1"/>
  <c r="N1924" i="1"/>
  <c r="O1924" i="1"/>
  <c r="P1924" i="1"/>
  <c r="Q1924" i="1"/>
  <c r="R1924" i="1"/>
  <c r="S1924" i="1"/>
  <c r="T1924" i="1"/>
  <c r="U1924" i="1"/>
  <c r="V1924" i="1"/>
  <c r="W1924" i="1"/>
  <c r="X1924" i="1"/>
  <c r="Y1924" i="1"/>
  <c r="Z1924" i="1"/>
  <c r="A1925" i="1"/>
  <c r="B1925" i="1"/>
  <c r="C1925" i="1"/>
  <c r="D1925" i="1"/>
  <c r="E1925" i="1"/>
  <c r="F1925" i="1"/>
  <c r="G1925" i="1"/>
  <c r="I1925" i="1"/>
  <c r="J1925" i="1"/>
  <c r="K1925" i="1"/>
  <c r="L1925" i="1"/>
  <c r="M1925" i="1"/>
  <c r="N1925" i="1"/>
  <c r="O1925" i="1"/>
  <c r="P1925" i="1"/>
  <c r="Q1925" i="1"/>
  <c r="R1925" i="1"/>
  <c r="S1925" i="1"/>
  <c r="T1925" i="1"/>
  <c r="U1925" i="1"/>
  <c r="V1925" i="1"/>
  <c r="W1925" i="1"/>
  <c r="X1925" i="1"/>
  <c r="Y1925" i="1"/>
  <c r="Z1925" i="1"/>
  <c r="A1926" i="1"/>
  <c r="B1926" i="1"/>
  <c r="C1926" i="1"/>
  <c r="D1926" i="1"/>
  <c r="E1926" i="1"/>
  <c r="F1926" i="1"/>
  <c r="G1926" i="1"/>
  <c r="I1926" i="1"/>
  <c r="J1926" i="1"/>
  <c r="K1926" i="1"/>
  <c r="L1926" i="1"/>
  <c r="M1926" i="1"/>
  <c r="N1926" i="1"/>
  <c r="O1926" i="1"/>
  <c r="P1926" i="1"/>
  <c r="Q1926" i="1"/>
  <c r="R1926" i="1"/>
  <c r="S1926" i="1"/>
  <c r="T1926" i="1"/>
  <c r="U1926" i="1"/>
  <c r="V1926" i="1"/>
  <c r="W1926" i="1"/>
  <c r="X1926" i="1"/>
  <c r="Y1926" i="1"/>
  <c r="Z1926" i="1"/>
  <c r="A1927" i="1"/>
  <c r="B1927" i="1"/>
  <c r="C1927" i="1"/>
  <c r="D1927" i="1"/>
  <c r="E1927" i="1"/>
  <c r="F1927" i="1"/>
  <c r="G1927" i="1"/>
  <c r="I1927" i="1"/>
  <c r="J1927" i="1"/>
  <c r="K1927" i="1"/>
  <c r="L1927" i="1"/>
  <c r="M1927" i="1"/>
  <c r="N1927" i="1"/>
  <c r="O1927" i="1"/>
  <c r="P1927" i="1"/>
  <c r="Q1927" i="1"/>
  <c r="R1927" i="1"/>
  <c r="S1927" i="1"/>
  <c r="T1927" i="1"/>
  <c r="U1927" i="1"/>
  <c r="V1927" i="1"/>
  <c r="W1927" i="1"/>
  <c r="X1927" i="1"/>
  <c r="Y1927" i="1"/>
  <c r="Z1927" i="1"/>
  <c r="A1928" i="1"/>
  <c r="B1928" i="1"/>
  <c r="C1928" i="1"/>
  <c r="D1928" i="1"/>
  <c r="E1928" i="1"/>
  <c r="F1928" i="1"/>
  <c r="G1928" i="1"/>
  <c r="I1928" i="1"/>
  <c r="J1928" i="1"/>
  <c r="K1928" i="1"/>
  <c r="L1928" i="1"/>
  <c r="M1928" i="1"/>
  <c r="N1928" i="1"/>
  <c r="O1928" i="1"/>
  <c r="P1928" i="1"/>
  <c r="Q1928" i="1"/>
  <c r="R1928" i="1"/>
  <c r="S1928" i="1"/>
  <c r="T1928" i="1"/>
  <c r="U1928" i="1"/>
  <c r="V1928" i="1"/>
  <c r="W1928" i="1"/>
  <c r="X1928" i="1"/>
  <c r="Y1928" i="1"/>
  <c r="Z1928" i="1"/>
  <c r="A1929" i="1"/>
  <c r="B1929" i="1"/>
  <c r="C1929" i="1"/>
  <c r="D1929" i="1"/>
  <c r="E1929" i="1"/>
  <c r="F1929" i="1"/>
  <c r="G1929" i="1"/>
  <c r="I1929" i="1"/>
  <c r="J1929" i="1"/>
  <c r="K1929" i="1"/>
  <c r="L1929" i="1"/>
  <c r="M1929" i="1"/>
  <c r="N1929" i="1"/>
  <c r="O1929" i="1"/>
  <c r="P1929" i="1"/>
  <c r="Q1929" i="1"/>
  <c r="R1929" i="1"/>
  <c r="S1929" i="1"/>
  <c r="T1929" i="1"/>
  <c r="U1929" i="1"/>
  <c r="V1929" i="1"/>
  <c r="W1929" i="1"/>
  <c r="X1929" i="1"/>
  <c r="Y1929" i="1"/>
  <c r="Z1929" i="1"/>
  <c r="A1930" i="1"/>
  <c r="B1930" i="1"/>
  <c r="C1930" i="1"/>
  <c r="D1930" i="1"/>
  <c r="E1930" i="1"/>
  <c r="F1930" i="1"/>
  <c r="G1930" i="1"/>
  <c r="I1930" i="1"/>
  <c r="J1930" i="1"/>
  <c r="K1930" i="1"/>
  <c r="L1930" i="1"/>
  <c r="M1930" i="1"/>
  <c r="N1930" i="1"/>
  <c r="O1930" i="1"/>
  <c r="P1930" i="1"/>
  <c r="Q1930" i="1"/>
  <c r="R1930" i="1"/>
  <c r="S1930" i="1"/>
  <c r="T1930" i="1"/>
  <c r="U1930" i="1"/>
  <c r="V1930" i="1"/>
  <c r="W1930" i="1"/>
  <c r="X1930" i="1"/>
  <c r="Y1930" i="1"/>
  <c r="Z1930" i="1"/>
  <c r="A1931" i="1"/>
  <c r="B1931" i="1"/>
  <c r="C1931" i="1"/>
  <c r="D1931" i="1"/>
  <c r="E1931" i="1"/>
  <c r="F1931" i="1"/>
  <c r="G1931" i="1"/>
  <c r="I1931" i="1"/>
  <c r="J1931" i="1"/>
  <c r="K1931" i="1"/>
  <c r="L1931" i="1"/>
  <c r="M1931" i="1"/>
  <c r="N1931" i="1"/>
  <c r="O1931" i="1"/>
  <c r="P1931" i="1"/>
  <c r="Q1931" i="1"/>
  <c r="R1931" i="1"/>
  <c r="S1931" i="1"/>
  <c r="T1931" i="1"/>
  <c r="U1931" i="1"/>
  <c r="V1931" i="1"/>
  <c r="W1931" i="1"/>
  <c r="X1931" i="1"/>
  <c r="Y1931" i="1"/>
  <c r="Z1931" i="1"/>
  <c r="A1932" i="1"/>
  <c r="B1932" i="1"/>
  <c r="C1932" i="1"/>
  <c r="D1932" i="1"/>
  <c r="E1932" i="1"/>
  <c r="F1932" i="1"/>
  <c r="G1932" i="1"/>
  <c r="I1932" i="1"/>
  <c r="J1932" i="1"/>
  <c r="K1932" i="1"/>
  <c r="L1932" i="1"/>
  <c r="M1932" i="1"/>
  <c r="N1932" i="1"/>
  <c r="O1932" i="1"/>
  <c r="P1932" i="1"/>
  <c r="Q1932" i="1"/>
  <c r="R1932" i="1"/>
  <c r="S1932" i="1"/>
  <c r="T1932" i="1"/>
  <c r="U1932" i="1"/>
  <c r="V1932" i="1"/>
  <c r="W1932" i="1"/>
  <c r="X1932" i="1"/>
  <c r="Y1932" i="1"/>
  <c r="Z1932" i="1"/>
  <c r="A1933" i="1"/>
  <c r="B1933" i="1"/>
  <c r="C1933" i="1"/>
  <c r="D1933" i="1"/>
  <c r="E1933" i="1"/>
  <c r="F1933" i="1"/>
  <c r="G1933" i="1"/>
  <c r="I1933" i="1"/>
  <c r="J1933" i="1"/>
  <c r="K1933" i="1"/>
  <c r="L1933" i="1"/>
  <c r="M1933" i="1"/>
  <c r="N1933" i="1"/>
  <c r="O1933" i="1"/>
  <c r="P1933" i="1"/>
  <c r="Q1933" i="1"/>
  <c r="R1933" i="1"/>
  <c r="S1933" i="1"/>
  <c r="T1933" i="1"/>
  <c r="U1933" i="1"/>
  <c r="V1933" i="1"/>
  <c r="W1933" i="1"/>
  <c r="X1933" i="1"/>
  <c r="Y1933" i="1"/>
  <c r="Z1933" i="1"/>
  <c r="A1934" i="1"/>
  <c r="B1934" i="1"/>
  <c r="C1934" i="1"/>
  <c r="D1934" i="1"/>
  <c r="E1934" i="1"/>
  <c r="F1934" i="1"/>
  <c r="G1934" i="1"/>
  <c r="I1934" i="1"/>
  <c r="J1934" i="1"/>
  <c r="K1934" i="1"/>
  <c r="L1934" i="1"/>
  <c r="M1934" i="1"/>
  <c r="N1934" i="1"/>
  <c r="O1934" i="1"/>
  <c r="P1934" i="1"/>
  <c r="Q1934" i="1"/>
  <c r="R1934" i="1"/>
  <c r="S1934" i="1"/>
  <c r="T1934" i="1"/>
  <c r="U1934" i="1"/>
  <c r="V1934" i="1"/>
  <c r="W1934" i="1"/>
  <c r="X1934" i="1"/>
  <c r="Y1934" i="1"/>
  <c r="Z1934" i="1"/>
  <c r="A1935" i="1"/>
  <c r="B1935" i="1"/>
  <c r="C1935" i="1"/>
  <c r="D1935" i="1"/>
  <c r="E1935" i="1"/>
  <c r="F1935" i="1"/>
  <c r="G1935" i="1"/>
  <c r="I1935" i="1"/>
  <c r="J1935" i="1"/>
  <c r="K1935" i="1"/>
  <c r="L1935" i="1"/>
  <c r="M1935" i="1"/>
  <c r="N1935" i="1"/>
  <c r="O1935" i="1"/>
  <c r="P1935" i="1"/>
  <c r="Q1935" i="1"/>
  <c r="R1935" i="1"/>
  <c r="S1935" i="1"/>
  <c r="T1935" i="1"/>
  <c r="U1935" i="1"/>
  <c r="V1935" i="1"/>
  <c r="W1935" i="1"/>
  <c r="X1935" i="1"/>
  <c r="Y1935" i="1"/>
  <c r="Z1935" i="1"/>
  <c r="A1936" i="1"/>
  <c r="B1936" i="1"/>
  <c r="C1936" i="1"/>
  <c r="D1936" i="1"/>
  <c r="E1936" i="1"/>
  <c r="F1936" i="1"/>
  <c r="G1936" i="1"/>
  <c r="I1936" i="1"/>
  <c r="J1936" i="1"/>
  <c r="K1936" i="1"/>
  <c r="L1936" i="1"/>
  <c r="M1936" i="1"/>
  <c r="N1936" i="1"/>
  <c r="O1936" i="1"/>
  <c r="P1936" i="1"/>
  <c r="Q1936" i="1"/>
  <c r="R1936" i="1"/>
  <c r="S1936" i="1"/>
  <c r="T1936" i="1"/>
  <c r="U1936" i="1"/>
  <c r="V1936" i="1"/>
  <c r="W1936" i="1"/>
  <c r="X1936" i="1"/>
  <c r="Y1936" i="1"/>
  <c r="Z1936" i="1"/>
  <c r="A1937" i="1"/>
  <c r="B1937" i="1"/>
  <c r="C1937" i="1"/>
  <c r="D1937" i="1"/>
  <c r="E1937" i="1"/>
  <c r="F1937" i="1"/>
  <c r="G1937" i="1"/>
  <c r="I1937" i="1"/>
  <c r="J1937" i="1"/>
  <c r="K1937" i="1"/>
  <c r="L1937" i="1"/>
  <c r="M1937" i="1"/>
  <c r="N1937" i="1"/>
  <c r="O1937" i="1"/>
  <c r="P1937" i="1"/>
  <c r="Q1937" i="1"/>
  <c r="R1937" i="1"/>
  <c r="S1937" i="1"/>
  <c r="T1937" i="1"/>
  <c r="U1937" i="1"/>
  <c r="V1937" i="1"/>
  <c r="W1937" i="1"/>
  <c r="X1937" i="1"/>
  <c r="Y1937" i="1"/>
  <c r="Z1937" i="1"/>
  <c r="A1938" i="1"/>
  <c r="B1938" i="1"/>
  <c r="C1938" i="1"/>
  <c r="D1938" i="1"/>
  <c r="E1938" i="1"/>
  <c r="F1938" i="1"/>
  <c r="G1938" i="1"/>
  <c r="I1938" i="1"/>
  <c r="J1938" i="1"/>
  <c r="K1938" i="1"/>
  <c r="L1938" i="1"/>
  <c r="M1938" i="1"/>
  <c r="N1938" i="1"/>
  <c r="O1938" i="1"/>
  <c r="P1938" i="1"/>
  <c r="Q1938" i="1"/>
  <c r="R1938" i="1"/>
  <c r="S1938" i="1"/>
  <c r="T1938" i="1"/>
  <c r="U1938" i="1"/>
  <c r="V1938" i="1"/>
  <c r="W1938" i="1"/>
  <c r="X1938" i="1"/>
  <c r="Y1938" i="1"/>
  <c r="Z1938" i="1"/>
  <c r="A1939" i="1"/>
  <c r="B1939" i="1"/>
  <c r="C1939" i="1"/>
  <c r="D1939" i="1"/>
  <c r="E1939" i="1"/>
  <c r="F1939" i="1"/>
  <c r="G1939" i="1"/>
  <c r="I1939" i="1"/>
  <c r="J1939" i="1"/>
  <c r="K1939" i="1"/>
  <c r="L1939" i="1"/>
  <c r="M1939" i="1"/>
  <c r="N1939" i="1"/>
  <c r="O1939" i="1"/>
  <c r="P1939" i="1"/>
  <c r="Q1939" i="1"/>
  <c r="R1939" i="1"/>
  <c r="S1939" i="1"/>
  <c r="T1939" i="1"/>
  <c r="U1939" i="1"/>
  <c r="V1939" i="1"/>
  <c r="W1939" i="1"/>
  <c r="X1939" i="1"/>
  <c r="Y1939" i="1"/>
  <c r="Z1939" i="1"/>
  <c r="A1940" i="1"/>
  <c r="B1940" i="1"/>
  <c r="C1940" i="1"/>
  <c r="D1940" i="1"/>
  <c r="E1940" i="1"/>
  <c r="F1940" i="1"/>
  <c r="G1940" i="1"/>
  <c r="I1940" i="1"/>
  <c r="J1940" i="1"/>
  <c r="K1940" i="1"/>
  <c r="L1940" i="1"/>
  <c r="M1940" i="1"/>
  <c r="N1940" i="1"/>
  <c r="O1940" i="1"/>
  <c r="P1940" i="1"/>
  <c r="Q1940" i="1"/>
  <c r="R1940" i="1"/>
  <c r="S1940" i="1"/>
  <c r="T1940" i="1"/>
  <c r="U1940" i="1"/>
  <c r="V1940" i="1"/>
  <c r="W1940" i="1"/>
  <c r="X1940" i="1"/>
  <c r="Y1940" i="1"/>
  <c r="Z1940" i="1"/>
  <c r="A1941" i="1"/>
  <c r="B1941" i="1"/>
  <c r="C1941" i="1"/>
  <c r="D1941" i="1"/>
  <c r="E1941" i="1"/>
  <c r="F1941" i="1"/>
  <c r="G1941" i="1"/>
  <c r="I1941" i="1"/>
  <c r="J1941" i="1"/>
  <c r="K1941" i="1"/>
  <c r="L1941" i="1"/>
  <c r="M1941" i="1"/>
  <c r="N1941" i="1"/>
  <c r="O1941" i="1"/>
  <c r="P1941" i="1"/>
  <c r="Q1941" i="1"/>
  <c r="R1941" i="1"/>
  <c r="S1941" i="1"/>
  <c r="T1941" i="1"/>
  <c r="U1941" i="1"/>
  <c r="V1941" i="1"/>
  <c r="W1941" i="1"/>
  <c r="X1941" i="1"/>
  <c r="Y1941" i="1"/>
  <c r="Z1941" i="1"/>
  <c r="A1942" i="1"/>
  <c r="B1942" i="1"/>
  <c r="C1942" i="1"/>
  <c r="D1942" i="1"/>
  <c r="E1942" i="1"/>
  <c r="F1942" i="1"/>
  <c r="G1942" i="1"/>
  <c r="I1942" i="1"/>
  <c r="J1942" i="1"/>
  <c r="K1942" i="1"/>
  <c r="L1942" i="1"/>
  <c r="M1942" i="1"/>
  <c r="N1942" i="1"/>
  <c r="O1942" i="1"/>
  <c r="P1942" i="1"/>
  <c r="Q1942" i="1"/>
  <c r="R1942" i="1"/>
  <c r="S1942" i="1"/>
  <c r="T1942" i="1"/>
  <c r="U1942" i="1"/>
  <c r="V1942" i="1"/>
  <c r="W1942" i="1"/>
  <c r="X1942" i="1"/>
  <c r="Y1942" i="1"/>
  <c r="Z1942" i="1"/>
  <c r="A1943" i="1"/>
  <c r="B1943" i="1"/>
  <c r="C1943" i="1"/>
  <c r="D1943" i="1"/>
  <c r="E1943" i="1"/>
  <c r="F1943" i="1"/>
  <c r="G1943" i="1"/>
  <c r="I1943" i="1"/>
  <c r="J1943" i="1"/>
  <c r="K1943" i="1"/>
  <c r="L1943" i="1"/>
  <c r="M1943" i="1"/>
  <c r="N1943" i="1"/>
  <c r="O1943" i="1"/>
  <c r="P1943" i="1"/>
  <c r="Q1943" i="1"/>
  <c r="R1943" i="1"/>
  <c r="S1943" i="1"/>
  <c r="T1943" i="1"/>
  <c r="U1943" i="1"/>
  <c r="V1943" i="1"/>
  <c r="W1943" i="1"/>
  <c r="X1943" i="1"/>
  <c r="Y1943" i="1"/>
  <c r="Z1943" i="1"/>
  <c r="A1944" i="1"/>
  <c r="B1944" i="1"/>
  <c r="C1944" i="1"/>
  <c r="D1944" i="1"/>
  <c r="E1944" i="1"/>
  <c r="F1944" i="1"/>
  <c r="G1944" i="1"/>
  <c r="I1944" i="1"/>
  <c r="J1944" i="1"/>
  <c r="K1944" i="1"/>
  <c r="L1944" i="1"/>
  <c r="M1944" i="1"/>
  <c r="N1944" i="1"/>
  <c r="O1944" i="1"/>
  <c r="P1944" i="1"/>
  <c r="Q1944" i="1"/>
  <c r="R1944" i="1"/>
  <c r="S1944" i="1"/>
  <c r="T1944" i="1"/>
  <c r="U1944" i="1"/>
  <c r="V1944" i="1"/>
  <c r="W1944" i="1"/>
  <c r="X1944" i="1"/>
  <c r="Y1944" i="1"/>
  <c r="Z1944" i="1"/>
  <c r="A1945" i="1"/>
  <c r="B1945" i="1"/>
  <c r="C1945" i="1"/>
  <c r="D1945" i="1"/>
  <c r="E1945" i="1"/>
  <c r="F1945" i="1"/>
  <c r="G1945" i="1"/>
  <c r="I1945" i="1"/>
  <c r="J1945" i="1"/>
  <c r="K1945" i="1"/>
  <c r="L1945" i="1"/>
  <c r="M1945" i="1"/>
  <c r="N1945" i="1"/>
  <c r="O1945" i="1"/>
  <c r="P1945" i="1"/>
  <c r="Q1945" i="1"/>
  <c r="R1945" i="1"/>
  <c r="S1945" i="1"/>
  <c r="T1945" i="1"/>
  <c r="U1945" i="1"/>
  <c r="V1945" i="1"/>
  <c r="W1945" i="1"/>
  <c r="X1945" i="1"/>
  <c r="Y1945" i="1"/>
  <c r="Z1945" i="1"/>
  <c r="A1946" i="1"/>
  <c r="B1946" i="1"/>
  <c r="C1946" i="1"/>
  <c r="D1946" i="1"/>
  <c r="E1946" i="1"/>
  <c r="F1946" i="1"/>
  <c r="G1946" i="1"/>
  <c r="I1946" i="1"/>
  <c r="J1946" i="1"/>
  <c r="K1946" i="1"/>
  <c r="L1946" i="1"/>
  <c r="M1946" i="1"/>
  <c r="N1946" i="1"/>
  <c r="O1946" i="1"/>
  <c r="P1946" i="1"/>
  <c r="Q1946" i="1"/>
  <c r="R1946" i="1"/>
  <c r="S1946" i="1"/>
  <c r="T1946" i="1"/>
  <c r="U1946" i="1"/>
  <c r="V1946" i="1"/>
  <c r="W1946" i="1"/>
  <c r="X1946" i="1"/>
  <c r="Y1946" i="1"/>
  <c r="Z1946" i="1"/>
  <c r="A1947" i="1"/>
  <c r="B1947" i="1"/>
  <c r="C1947" i="1"/>
  <c r="D1947" i="1"/>
  <c r="E1947" i="1"/>
  <c r="F1947" i="1"/>
  <c r="G1947" i="1"/>
  <c r="I1947" i="1"/>
  <c r="J1947" i="1"/>
  <c r="K1947" i="1"/>
  <c r="L1947" i="1"/>
  <c r="M1947" i="1"/>
  <c r="N1947" i="1"/>
  <c r="O1947" i="1"/>
  <c r="P1947" i="1"/>
  <c r="Q1947" i="1"/>
  <c r="R1947" i="1"/>
  <c r="S1947" i="1"/>
  <c r="T1947" i="1"/>
  <c r="U1947" i="1"/>
  <c r="V1947" i="1"/>
  <c r="W1947" i="1"/>
  <c r="X1947" i="1"/>
  <c r="Y1947" i="1"/>
  <c r="Z1947" i="1"/>
  <c r="A1948" i="1"/>
  <c r="B1948" i="1"/>
  <c r="C1948" i="1"/>
  <c r="D1948" i="1"/>
  <c r="E1948" i="1"/>
  <c r="F1948" i="1"/>
  <c r="G1948" i="1"/>
  <c r="I1948" i="1"/>
  <c r="J1948" i="1"/>
  <c r="K1948" i="1"/>
  <c r="L1948" i="1"/>
  <c r="M1948" i="1"/>
  <c r="N1948" i="1"/>
  <c r="O1948" i="1"/>
  <c r="P1948" i="1"/>
  <c r="Q1948" i="1"/>
  <c r="R1948" i="1"/>
  <c r="S1948" i="1"/>
  <c r="T1948" i="1"/>
  <c r="U1948" i="1"/>
  <c r="V1948" i="1"/>
  <c r="W1948" i="1"/>
  <c r="X1948" i="1"/>
  <c r="Y1948" i="1"/>
  <c r="Z1948" i="1"/>
  <c r="A1949" i="1"/>
  <c r="B1949" i="1"/>
  <c r="C1949" i="1"/>
  <c r="D1949" i="1"/>
  <c r="E1949" i="1"/>
  <c r="F1949" i="1"/>
  <c r="G1949" i="1"/>
  <c r="I1949" i="1"/>
  <c r="J1949" i="1"/>
  <c r="K1949" i="1"/>
  <c r="L1949" i="1"/>
  <c r="M1949" i="1"/>
  <c r="N1949" i="1"/>
  <c r="O1949" i="1"/>
  <c r="P1949" i="1"/>
  <c r="Q1949" i="1"/>
  <c r="R1949" i="1"/>
  <c r="S1949" i="1"/>
  <c r="T1949" i="1"/>
  <c r="U1949" i="1"/>
  <c r="V1949" i="1"/>
  <c r="W1949" i="1"/>
  <c r="X1949" i="1"/>
  <c r="Y1949" i="1"/>
  <c r="Z1949" i="1"/>
  <c r="A1950" i="1"/>
  <c r="B1950" i="1"/>
  <c r="C1950" i="1"/>
  <c r="D1950" i="1"/>
  <c r="E1950" i="1"/>
  <c r="F1950" i="1"/>
  <c r="G1950" i="1"/>
  <c r="I1950" i="1"/>
  <c r="J1950" i="1"/>
  <c r="K1950" i="1"/>
  <c r="L1950" i="1"/>
  <c r="M1950" i="1"/>
  <c r="N1950" i="1"/>
  <c r="O1950" i="1"/>
  <c r="P1950" i="1"/>
  <c r="Q1950" i="1"/>
  <c r="R1950" i="1"/>
  <c r="S1950" i="1"/>
  <c r="T1950" i="1"/>
  <c r="U1950" i="1"/>
  <c r="V1950" i="1"/>
  <c r="W1950" i="1"/>
  <c r="X1950" i="1"/>
  <c r="Y1950" i="1"/>
  <c r="Z1950" i="1"/>
  <c r="A1951" i="1"/>
  <c r="B1951" i="1"/>
  <c r="C1951" i="1"/>
  <c r="D1951" i="1"/>
  <c r="E1951" i="1"/>
  <c r="F1951" i="1"/>
  <c r="G1951" i="1"/>
  <c r="I1951" i="1"/>
  <c r="J1951" i="1"/>
  <c r="K1951" i="1"/>
  <c r="L1951" i="1"/>
  <c r="M1951" i="1"/>
  <c r="N1951" i="1"/>
  <c r="O1951" i="1"/>
  <c r="P1951" i="1"/>
  <c r="Q1951" i="1"/>
  <c r="R1951" i="1"/>
  <c r="S1951" i="1"/>
  <c r="T1951" i="1"/>
  <c r="U1951" i="1"/>
  <c r="V1951" i="1"/>
  <c r="W1951" i="1"/>
  <c r="X1951" i="1"/>
  <c r="Y1951" i="1"/>
  <c r="Z1951" i="1"/>
  <c r="A1952" i="1"/>
  <c r="B1952" i="1"/>
  <c r="C1952" i="1"/>
  <c r="D1952" i="1"/>
  <c r="E1952" i="1"/>
  <c r="F1952" i="1"/>
  <c r="G1952" i="1"/>
  <c r="I1952" i="1"/>
  <c r="J1952" i="1"/>
  <c r="K1952" i="1"/>
  <c r="L1952" i="1"/>
  <c r="M1952" i="1"/>
  <c r="N1952" i="1"/>
  <c r="O1952" i="1"/>
  <c r="P1952" i="1"/>
  <c r="Q1952" i="1"/>
  <c r="R1952" i="1"/>
  <c r="S1952" i="1"/>
  <c r="T1952" i="1"/>
  <c r="U1952" i="1"/>
  <c r="V1952" i="1"/>
  <c r="W1952" i="1"/>
  <c r="X1952" i="1"/>
  <c r="Y1952" i="1"/>
  <c r="Z1952" i="1"/>
  <c r="A1953" i="1"/>
  <c r="B1953" i="1"/>
  <c r="C1953" i="1"/>
  <c r="D1953" i="1"/>
  <c r="E1953" i="1"/>
  <c r="F1953" i="1"/>
  <c r="G1953" i="1"/>
  <c r="I1953" i="1"/>
  <c r="J1953" i="1"/>
  <c r="K1953" i="1"/>
  <c r="L1953" i="1"/>
  <c r="M1953" i="1"/>
  <c r="N1953" i="1"/>
  <c r="O1953" i="1"/>
  <c r="P1953" i="1"/>
  <c r="Q1953" i="1"/>
  <c r="R1953" i="1"/>
  <c r="S1953" i="1"/>
  <c r="T1953" i="1"/>
  <c r="U1953" i="1"/>
  <c r="V1953" i="1"/>
  <c r="W1953" i="1"/>
  <c r="X1953" i="1"/>
  <c r="Y1953" i="1"/>
  <c r="Z1953" i="1"/>
  <c r="A1954" i="1"/>
  <c r="B1954" i="1"/>
  <c r="C1954" i="1"/>
  <c r="D1954" i="1"/>
  <c r="E1954" i="1"/>
  <c r="F1954" i="1"/>
  <c r="G1954" i="1"/>
  <c r="I1954" i="1"/>
  <c r="J1954" i="1"/>
  <c r="K1954" i="1"/>
  <c r="L1954" i="1"/>
  <c r="M1954" i="1"/>
  <c r="N1954" i="1"/>
  <c r="O1954" i="1"/>
  <c r="P1954" i="1"/>
  <c r="Q1954" i="1"/>
  <c r="R1954" i="1"/>
  <c r="S1954" i="1"/>
  <c r="T1954" i="1"/>
  <c r="U1954" i="1"/>
  <c r="V1954" i="1"/>
  <c r="W1954" i="1"/>
  <c r="X1954" i="1"/>
  <c r="Y1954" i="1"/>
  <c r="Z1954" i="1"/>
  <c r="A1955" i="1"/>
  <c r="B1955" i="1"/>
  <c r="C1955" i="1"/>
  <c r="D1955" i="1"/>
  <c r="E1955" i="1"/>
  <c r="F1955" i="1"/>
  <c r="G1955" i="1"/>
  <c r="I1955" i="1"/>
  <c r="J1955" i="1"/>
  <c r="K1955" i="1"/>
  <c r="L1955" i="1"/>
  <c r="M1955" i="1"/>
  <c r="N1955" i="1"/>
  <c r="O1955" i="1"/>
  <c r="P1955" i="1"/>
  <c r="Q1955" i="1"/>
  <c r="R1955" i="1"/>
  <c r="S1955" i="1"/>
  <c r="T1955" i="1"/>
  <c r="U1955" i="1"/>
  <c r="V1955" i="1"/>
  <c r="W1955" i="1"/>
  <c r="X1955" i="1"/>
  <c r="Y1955" i="1"/>
  <c r="Z1955" i="1"/>
  <c r="A1956" i="1"/>
  <c r="B1956" i="1"/>
  <c r="C1956" i="1"/>
  <c r="D1956" i="1"/>
  <c r="E1956" i="1"/>
  <c r="F1956" i="1"/>
  <c r="G1956" i="1"/>
  <c r="I1956" i="1"/>
  <c r="J1956" i="1"/>
  <c r="K1956" i="1"/>
  <c r="L1956" i="1"/>
  <c r="M1956" i="1"/>
  <c r="N1956" i="1"/>
  <c r="O1956" i="1"/>
  <c r="P1956" i="1"/>
  <c r="Q1956" i="1"/>
  <c r="R1956" i="1"/>
  <c r="S1956" i="1"/>
  <c r="T1956" i="1"/>
  <c r="U1956" i="1"/>
  <c r="V1956" i="1"/>
  <c r="W1956" i="1"/>
  <c r="X1956" i="1"/>
  <c r="Y1956" i="1"/>
  <c r="Z1956" i="1"/>
  <c r="A1957" i="1"/>
  <c r="B1957" i="1"/>
  <c r="C1957" i="1"/>
  <c r="D1957" i="1"/>
  <c r="E1957" i="1"/>
  <c r="F1957" i="1"/>
  <c r="G1957" i="1"/>
  <c r="I1957" i="1"/>
  <c r="J1957" i="1"/>
  <c r="K1957" i="1"/>
  <c r="L1957" i="1"/>
  <c r="M1957" i="1"/>
  <c r="N1957" i="1"/>
  <c r="O1957" i="1"/>
  <c r="P1957" i="1"/>
  <c r="Q1957" i="1"/>
  <c r="R1957" i="1"/>
  <c r="S1957" i="1"/>
  <c r="T1957" i="1"/>
  <c r="U1957" i="1"/>
  <c r="V1957" i="1"/>
  <c r="W1957" i="1"/>
  <c r="X1957" i="1"/>
  <c r="Y1957" i="1"/>
  <c r="Z1957" i="1"/>
  <c r="A1958" i="1"/>
  <c r="B1958" i="1"/>
  <c r="C1958" i="1"/>
  <c r="D1958" i="1"/>
  <c r="E1958" i="1"/>
  <c r="F1958" i="1"/>
  <c r="G1958" i="1"/>
  <c r="I1958" i="1"/>
  <c r="J1958" i="1"/>
  <c r="K1958" i="1"/>
  <c r="L1958" i="1"/>
  <c r="M1958" i="1"/>
  <c r="N1958" i="1"/>
  <c r="O1958" i="1"/>
  <c r="P1958" i="1"/>
  <c r="Q1958" i="1"/>
  <c r="R1958" i="1"/>
  <c r="S1958" i="1"/>
  <c r="T1958" i="1"/>
  <c r="U1958" i="1"/>
  <c r="V1958" i="1"/>
  <c r="W1958" i="1"/>
  <c r="X1958" i="1"/>
  <c r="Y1958" i="1"/>
  <c r="Z1958" i="1"/>
  <c r="A1959" i="1"/>
  <c r="B1959" i="1"/>
  <c r="C1959" i="1"/>
  <c r="D1959" i="1"/>
  <c r="E1959" i="1"/>
  <c r="F1959" i="1"/>
  <c r="G1959" i="1"/>
  <c r="I1959" i="1"/>
  <c r="J1959" i="1"/>
  <c r="K1959" i="1"/>
  <c r="L1959" i="1"/>
  <c r="M1959" i="1"/>
  <c r="N1959" i="1"/>
  <c r="O1959" i="1"/>
  <c r="P1959" i="1"/>
  <c r="Q1959" i="1"/>
  <c r="R1959" i="1"/>
  <c r="S1959" i="1"/>
  <c r="T1959" i="1"/>
  <c r="U1959" i="1"/>
  <c r="V1959" i="1"/>
  <c r="W1959" i="1"/>
  <c r="X1959" i="1"/>
  <c r="Y1959" i="1"/>
  <c r="Z1959" i="1"/>
  <c r="A1960" i="1"/>
  <c r="B1960" i="1"/>
  <c r="C1960" i="1"/>
  <c r="D1960" i="1"/>
  <c r="E1960" i="1"/>
  <c r="F1960" i="1"/>
  <c r="G1960" i="1"/>
  <c r="I1960" i="1"/>
  <c r="J1960" i="1"/>
  <c r="K1960" i="1"/>
  <c r="L1960" i="1"/>
  <c r="M1960" i="1"/>
  <c r="N1960" i="1"/>
  <c r="O1960" i="1"/>
  <c r="P1960" i="1"/>
  <c r="Q1960" i="1"/>
  <c r="R1960" i="1"/>
  <c r="S1960" i="1"/>
  <c r="T1960" i="1"/>
  <c r="U1960" i="1"/>
  <c r="V1960" i="1"/>
  <c r="W1960" i="1"/>
  <c r="X1960" i="1"/>
  <c r="Y1960" i="1"/>
  <c r="Z1960" i="1"/>
  <c r="A1961" i="1"/>
  <c r="B1961" i="1"/>
  <c r="C1961" i="1"/>
  <c r="D1961" i="1"/>
  <c r="E1961" i="1"/>
  <c r="F1961" i="1"/>
  <c r="G1961" i="1"/>
  <c r="I1961" i="1"/>
  <c r="J1961" i="1"/>
  <c r="K1961" i="1"/>
  <c r="L1961" i="1"/>
  <c r="M1961" i="1"/>
  <c r="N1961" i="1"/>
  <c r="O1961" i="1"/>
  <c r="P1961" i="1"/>
  <c r="Q1961" i="1"/>
  <c r="R1961" i="1"/>
  <c r="S1961" i="1"/>
  <c r="T1961" i="1"/>
  <c r="U1961" i="1"/>
  <c r="V1961" i="1"/>
  <c r="W1961" i="1"/>
  <c r="X1961" i="1"/>
  <c r="Y1961" i="1"/>
  <c r="Z1961" i="1"/>
  <c r="A1962" i="1"/>
  <c r="B1962" i="1"/>
  <c r="C1962" i="1"/>
  <c r="D1962" i="1"/>
  <c r="E1962" i="1"/>
  <c r="F1962" i="1"/>
  <c r="G1962" i="1"/>
  <c r="I1962" i="1"/>
  <c r="J1962" i="1"/>
  <c r="K1962" i="1"/>
  <c r="L1962" i="1"/>
  <c r="M1962" i="1"/>
  <c r="N1962" i="1"/>
  <c r="O1962" i="1"/>
  <c r="P1962" i="1"/>
  <c r="Q1962" i="1"/>
  <c r="R1962" i="1"/>
  <c r="S1962" i="1"/>
  <c r="T1962" i="1"/>
  <c r="U1962" i="1"/>
  <c r="V1962" i="1"/>
  <c r="W1962" i="1"/>
  <c r="X1962" i="1"/>
  <c r="Y1962" i="1"/>
  <c r="Z1962" i="1"/>
  <c r="A1963" i="1"/>
  <c r="B1963" i="1"/>
  <c r="C1963" i="1"/>
  <c r="D1963" i="1"/>
  <c r="E1963" i="1"/>
  <c r="F1963" i="1"/>
  <c r="G1963" i="1"/>
  <c r="I1963" i="1"/>
  <c r="J1963" i="1"/>
  <c r="K1963" i="1"/>
  <c r="L1963" i="1"/>
  <c r="M1963" i="1"/>
  <c r="N1963" i="1"/>
  <c r="O1963" i="1"/>
  <c r="P1963" i="1"/>
  <c r="Q1963" i="1"/>
  <c r="R1963" i="1"/>
  <c r="S1963" i="1"/>
  <c r="T1963" i="1"/>
  <c r="U1963" i="1"/>
  <c r="V1963" i="1"/>
  <c r="W1963" i="1"/>
  <c r="X1963" i="1"/>
  <c r="Y1963" i="1"/>
  <c r="Z1963" i="1"/>
  <c r="A1964" i="1"/>
  <c r="B1964" i="1"/>
  <c r="C1964" i="1"/>
  <c r="D1964" i="1"/>
  <c r="E1964" i="1"/>
  <c r="F1964" i="1"/>
  <c r="G1964" i="1"/>
  <c r="I1964" i="1"/>
  <c r="J1964" i="1"/>
  <c r="K1964" i="1"/>
  <c r="L1964" i="1"/>
  <c r="M1964" i="1"/>
  <c r="N1964" i="1"/>
  <c r="O1964" i="1"/>
  <c r="P1964" i="1"/>
  <c r="Q1964" i="1"/>
  <c r="R1964" i="1"/>
  <c r="S1964" i="1"/>
  <c r="T1964" i="1"/>
  <c r="U1964" i="1"/>
  <c r="V1964" i="1"/>
  <c r="W1964" i="1"/>
  <c r="X1964" i="1"/>
  <c r="Y1964" i="1"/>
  <c r="Z1964" i="1"/>
  <c r="A1965" i="1"/>
  <c r="B1965" i="1"/>
  <c r="C1965" i="1"/>
  <c r="D1965" i="1"/>
  <c r="E1965" i="1"/>
  <c r="F1965" i="1"/>
  <c r="G1965" i="1"/>
  <c r="I1965" i="1"/>
  <c r="J1965" i="1"/>
  <c r="K1965" i="1"/>
  <c r="L1965" i="1"/>
  <c r="M1965" i="1"/>
  <c r="N1965" i="1"/>
  <c r="O1965" i="1"/>
  <c r="P1965" i="1"/>
  <c r="Q1965" i="1"/>
  <c r="R1965" i="1"/>
  <c r="S1965" i="1"/>
  <c r="T1965" i="1"/>
  <c r="U1965" i="1"/>
  <c r="V1965" i="1"/>
  <c r="W1965" i="1"/>
  <c r="X1965" i="1"/>
  <c r="Y1965" i="1"/>
  <c r="Z1965" i="1"/>
  <c r="A1966" i="1"/>
  <c r="B1966" i="1"/>
  <c r="C1966" i="1"/>
  <c r="D1966" i="1"/>
  <c r="E1966" i="1"/>
  <c r="F1966" i="1"/>
  <c r="G1966" i="1"/>
  <c r="I1966" i="1"/>
  <c r="J1966" i="1"/>
  <c r="K1966" i="1"/>
  <c r="L1966" i="1"/>
  <c r="M1966" i="1"/>
  <c r="N1966" i="1"/>
  <c r="O1966" i="1"/>
  <c r="P1966" i="1"/>
  <c r="Q1966" i="1"/>
  <c r="R1966" i="1"/>
  <c r="S1966" i="1"/>
  <c r="T1966" i="1"/>
  <c r="U1966" i="1"/>
  <c r="V1966" i="1"/>
  <c r="W1966" i="1"/>
  <c r="X1966" i="1"/>
  <c r="Y1966" i="1"/>
  <c r="Z1966" i="1"/>
  <c r="A1967" i="1"/>
  <c r="B1967" i="1"/>
  <c r="C1967" i="1"/>
  <c r="D1967" i="1"/>
  <c r="E1967" i="1"/>
  <c r="F1967" i="1"/>
  <c r="G1967" i="1"/>
  <c r="I1967" i="1"/>
  <c r="J1967" i="1"/>
  <c r="K1967" i="1"/>
  <c r="L1967" i="1"/>
  <c r="M1967" i="1"/>
  <c r="N1967" i="1"/>
  <c r="O1967" i="1"/>
  <c r="P1967" i="1"/>
  <c r="Q1967" i="1"/>
  <c r="R1967" i="1"/>
  <c r="S1967" i="1"/>
  <c r="T1967" i="1"/>
  <c r="U1967" i="1"/>
  <c r="V1967" i="1"/>
  <c r="W1967" i="1"/>
  <c r="X1967" i="1"/>
  <c r="Y1967" i="1"/>
  <c r="Z1967" i="1"/>
  <c r="A1968" i="1"/>
  <c r="B1968" i="1"/>
  <c r="C1968" i="1"/>
  <c r="D1968" i="1"/>
  <c r="E1968" i="1"/>
  <c r="F1968" i="1"/>
  <c r="G1968" i="1"/>
  <c r="I1968" i="1"/>
  <c r="J1968" i="1"/>
  <c r="K1968" i="1"/>
  <c r="L1968" i="1"/>
  <c r="M1968" i="1"/>
  <c r="N1968" i="1"/>
  <c r="O1968" i="1"/>
  <c r="P1968" i="1"/>
  <c r="Q1968" i="1"/>
  <c r="R1968" i="1"/>
  <c r="S1968" i="1"/>
  <c r="T1968" i="1"/>
  <c r="U1968" i="1"/>
  <c r="V1968" i="1"/>
  <c r="W1968" i="1"/>
  <c r="X1968" i="1"/>
  <c r="Y1968" i="1"/>
  <c r="Z1968" i="1"/>
  <c r="A1969" i="1"/>
  <c r="B1969" i="1"/>
  <c r="C1969" i="1"/>
  <c r="D1969" i="1"/>
  <c r="E1969" i="1"/>
  <c r="F1969" i="1"/>
  <c r="G1969" i="1"/>
  <c r="I1969" i="1"/>
  <c r="J1969" i="1"/>
  <c r="K1969" i="1"/>
  <c r="L1969" i="1"/>
  <c r="M1969" i="1"/>
  <c r="N1969" i="1"/>
  <c r="O1969" i="1"/>
  <c r="P1969" i="1"/>
  <c r="Q1969" i="1"/>
  <c r="R1969" i="1"/>
  <c r="S1969" i="1"/>
  <c r="T1969" i="1"/>
  <c r="U1969" i="1"/>
  <c r="V1969" i="1"/>
  <c r="W1969" i="1"/>
  <c r="X1969" i="1"/>
  <c r="Y1969" i="1"/>
  <c r="Z1969" i="1"/>
  <c r="A1970" i="1"/>
  <c r="B1970" i="1"/>
  <c r="C1970" i="1"/>
  <c r="D1970" i="1"/>
  <c r="E1970" i="1"/>
  <c r="F1970" i="1"/>
  <c r="G1970" i="1"/>
  <c r="I1970" i="1"/>
  <c r="J1970" i="1"/>
  <c r="K1970" i="1"/>
  <c r="L1970" i="1"/>
  <c r="M1970" i="1"/>
  <c r="N1970" i="1"/>
  <c r="O1970" i="1"/>
  <c r="P1970" i="1"/>
  <c r="Q1970" i="1"/>
  <c r="R1970" i="1"/>
  <c r="S1970" i="1"/>
  <c r="T1970" i="1"/>
  <c r="U1970" i="1"/>
  <c r="V1970" i="1"/>
  <c r="W1970" i="1"/>
  <c r="X1970" i="1"/>
  <c r="Y1970" i="1"/>
  <c r="Z1970" i="1"/>
  <c r="A1971" i="1"/>
  <c r="B1971" i="1"/>
  <c r="C1971" i="1"/>
  <c r="D1971" i="1"/>
  <c r="E1971" i="1"/>
  <c r="F1971" i="1"/>
  <c r="G1971" i="1"/>
  <c r="I1971" i="1"/>
  <c r="J1971" i="1"/>
  <c r="K1971" i="1"/>
  <c r="L1971" i="1"/>
  <c r="M1971" i="1"/>
  <c r="N1971" i="1"/>
  <c r="O1971" i="1"/>
  <c r="P1971" i="1"/>
  <c r="Q1971" i="1"/>
  <c r="R1971" i="1"/>
  <c r="S1971" i="1"/>
  <c r="T1971" i="1"/>
  <c r="U1971" i="1"/>
  <c r="V1971" i="1"/>
  <c r="W1971" i="1"/>
  <c r="X1971" i="1"/>
  <c r="Y1971" i="1"/>
  <c r="Z1971" i="1"/>
  <c r="A1972" i="1"/>
  <c r="B1972" i="1"/>
  <c r="C1972" i="1"/>
  <c r="D1972" i="1"/>
  <c r="E1972" i="1"/>
  <c r="F1972" i="1"/>
  <c r="G1972" i="1"/>
  <c r="I1972" i="1"/>
  <c r="J1972" i="1"/>
  <c r="K1972" i="1"/>
  <c r="L1972" i="1"/>
  <c r="M1972" i="1"/>
  <c r="N1972" i="1"/>
  <c r="O1972" i="1"/>
  <c r="P1972" i="1"/>
  <c r="Q1972" i="1"/>
  <c r="R1972" i="1"/>
  <c r="S1972" i="1"/>
  <c r="T1972" i="1"/>
  <c r="U1972" i="1"/>
  <c r="V1972" i="1"/>
  <c r="W1972" i="1"/>
  <c r="X1972" i="1"/>
  <c r="Y1972" i="1"/>
  <c r="Z1972" i="1"/>
  <c r="A1973" i="1"/>
  <c r="B1973" i="1"/>
  <c r="C1973" i="1"/>
  <c r="D1973" i="1"/>
  <c r="E1973" i="1"/>
  <c r="F1973" i="1"/>
  <c r="G1973" i="1"/>
  <c r="I1973" i="1"/>
  <c r="J1973" i="1"/>
  <c r="K1973" i="1"/>
  <c r="L1973" i="1"/>
  <c r="M1973" i="1"/>
  <c r="N1973" i="1"/>
  <c r="O1973" i="1"/>
  <c r="P1973" i="1"/>
  <c r="Q1973" i="1"/>
  <c r="R1973" i="1"/>
  <c r="S1973" i="1"/>
  <c r="T1973" i="1"/>
  <c r="U1973" i="1"/>
  <c r="V1973" i="1"/>
  <c r="W1973" i="1"/>
  <c r="X1973" i="1"/>
  <c r="Y1973" i="1"/>
  <c r="Z1973" i="1"/>
  <c r="A1974" i="1"/>
  <c r="B1974" i="1"/>
  <c r="C1974" i="1"/>
  <c r="D1974" i="1"/>
  <c r="E1974" i="1"/>
  <c r="F1974" i="1"/>
  <c r="G1974" i="1"/>
  <c r="I1974" i="1"/>
  <c r="J1974" i="1"/>
  <c r="K1974" i="1"/>
  <c r="L1974" i="1"/>
  <c r="M1974" i="1"/>
  <c r="N1974" i="1"/>
  <c r="O1974" i="1"/>
  <c r="P1974" i="1"/>
  <c r="Q1974" i="1"/>
  <c r="R1974" i="1"/>
  <c r="S1974" i="1"/>
  <c r="T1974" i="1"/>
  <c r="U1974" i="1"/>
  <c r="V1974" i="1"/>
  <c r="W1974" i="1"/>
  <c r="X1974" i="1"/>
  <c r="Y1974" i="1"/>
  <c r="Z1974" i="1"/>
  <c r="A1975" i="1"/>
  <c r="B1975" i="1"/>
  <c r="C1975" i="1"/>
  <c r="D1975" i="1"/>
  <c r="E1975" i="1"/>
  <c r="F1975" i="1"/>
  <c r="G1975" i="1"/>
  <c r="I1975" i="1"/>
  <c r="J1975" i="1"/>
  <c r="K1975" i="1"/>
  <c r="L1975" i="1"/>
  <c r="M1975" i="1"/>
  <c r="N1975" i="1"/>
  <c r="O1975" i="1"/>
  <c r="P1975" i="1"/>
  <c r="Q1975" i="1"/>
  <c r="R1975" i="1"/>
  <c r="S1975" i="1"/>
  <c r="T1975" i="1"/>
  <c r="U1975" i="1"/>
  <c r="V1975" i="1"/>
  <c r="W1975" i="1"/>
  <c r="X1975" i="1"/>
  <c r="Y1975" i="1"/>
  <c r="Z1975" i="1"/>
  <c r="A1976" i="1"/>
  <c r="B1976" i="1"/>
  <c r="C1976" i="1"/>
  <c r="D1976" i="1"/>
  <c r="E1976" i="1"/>
  <c r="F1976" i="1"/>
  <c r="G1976" i="1"/>
  <c r="I1976" i="1"/>
  <c r="J1976" i="1"/>
  <c r="K1976" i="1"/>
  <c r="L1976" i="1"/>
  <c r="M1976" i="1"/>
  <c r="N1976" i="1"/>
  <c r="O1976" i="1"/>
  <c r="P1976" i="1"/>
  <c r="Q1976" i="1"/>
  <c r="R1976" i="1"/>
  <c r="S1976" i="1"/>
  <c r="T1976" i="1"/>
  <c r="U1976" i="1"/>
  <c r="V1976" i="1"/>
  <c r="W1976" i="1"/>
  <c r="X1976" i="1"/>
  <c r="Y1976" i="1"/>
  <c r="Z1976" i="1"/>
  <c r="A1977" i="1"/>
  <c r="B1977" i="1"/>
  <c r="C1977" i="1"/>
  <c r="D1977" i="1"/>
  <c r="E1977" i="1"/>
  <c r="F1977" i="1"/>
  <c r="G1977" i="1"/>
  <c r="I1977" i="1"/>
  <c r="J1977" i="1"/>
  <c r="K1977" i="1"/>
  <c r="L1977" i="1"/>
  <c r="M1977" i="1"/>
  <c r="N1977" i="1"/>
  <c r="O1977" i="1"/>
  <c r="P1977" i="1"/>
  <c r="Q1977" i="1"/>
  <c r="R1977" i="1"/>
  <c r="S1977" i="1"/>
  <c r="T1977" i="1"/>
  <c r="U1977" i="1"/>
  <c r="V1977" i="1"/>
  <c r="W1977" i="1"/>
  <c r="X1977" i="1"/>
  <c r="Y1977" i="1"/>
  <c r="Z1977" i="1"/>
  <c r="A1978" i="1"/>
  <c r="B1978" i="1"/>
  <c r="C1978" i="1"/>
  <c r="D1978" i="1"/>
  <c r="E1978" i="1"/>
  <c r="F1978" i="1"/>
  <c r="G1978" i="1"/>
  <c r="I1978" i="1"/>
  <c r="J1978" i="1"/>
  <c r="K1978" i="1"/>
  <c r="L1978" i="1"/>
  <c r="M1978" i="1"/>
  <c r="N1978" i="1"/>
  <c r="O1978" i="1"/>
  <c r="P1978" i="1"/>
  <c r="Q1978" i="1"/>
  <c r="R1978" i="1"/>
  <c r="S1978" i="1"/>
  <c r="T1978" i="1"/>
  <c r="U1978" i="1"/>
  <c r="V1978" i="1"/>
  <c r="W1978" i="1"/>
  <c r="X1978" i="1"/>
  <c r="Y1978" i="1"/>
  <c r="Z1978" i="1"/>
  <c r="A1979" i="1"/>
  <c r="B1979" i="1"/>
  <c r="C1979" i="1"/>
  <c r="D1979" i="1"/>
  <c r="E1979" i="1"/>
  <c r="F1979" i="1"/>
  <c r="G1979" i="1"/>
  <c r="I1979" i="1"/>
  <c r="J1979" i="1"/>
  <c r="K1979" i="1"/>
  <c r="L1979" i="1"/>
  <c r="M1979" i="1"/>
  <c r="N1979" i="1"/>
  <c r="O1979" i="1"/>
  <c r="P1979" i="1"/>
  <c r="Q1979" i="1"/>
  <c r="R1979" i="1"/>
  <c r="S1979" i="1"/>
  <c r="T1979" i="1"/>
  <c r="U1979" i="1"/>
  <c r="V1979" i="1"/>
  <c r="W1979" i="1"/>
  <c r="X1979" i="1"/>
  <c r="Y1979" i="1"/>
  <c r="Z1979" i="1"/>
  <c r="A1980" i="1"/>
  <c r="B1980" i="1"/>
  <c r="C1980" i="1"/>
  <c r="D1980" i="1"/>
  <c r="E1980" i="1"/>
  <c r="F1980" i="1"/>
  <c r="G1980" i="1"/>
  <c r="I1980" i="1"/>
  <c r="J1980" i="1"/>
  <c r="K1980" i="1"/>
  <c r="L1980" i="1"/>
  <c r="M1980" i="1"/>
  <c r="N1980" i="1"/>
  <c r="O1980" i="1"/>
  <c r="P1980" i="1"/>
  <c r="Q1980" i="1"/>
  <c r="R1980" i="1"/>
  <c r="S1980" i="1"/>
  <c r="T1980" i="1"/>
  <c r="U1980" i="1"/>
  <c r="V1980" i="1"/>
  <c r="W1980" i="1"/>
  <c r="X1980" i="1"/>
  <c r="Y1980" i="1"/>
  <c r="Z1980" i="1"/>
  <c r="A1981" i="1"/>
  <c r="B1981" i="1"/>
  <c r="C1981" i="1"/>
  <c r="D1981" i="1"/>
  <c r="E1981" i="1"/>
  <c r="F1981" i="1"/>
  <c r="G1981" i="1"/>
  <c r="I1981" i="1"/>
  <c r="J1981" i="1"/>
  <c r="K1981" i="1"/>
  <c r="L1981" i="1"/>
  <c r="M1981" i="1"/>
  <c r="N1981" i="1"/>
  <c r="O1981" i="1"/>
  <c r="P1981" i="1"/>
  <c r="Q1981" i="1"/>
  <c r="R1981" i="1"/>
  <c r="S1981" i="1"/>
  <c r="T1981" i="1"/>
  <c r="U1981" i="1"/>
  <c r="V1981" i="1"/>
  <c r="W1981" i="1"/>
  <c r="X1981" i="1"/>
  <c r="Y1981" i="1"/>
  <c r="Z1981" i="1"/>
  <c r="A1982" i="1"/>
  <c r="B1982" i="1"/>
  <c r="C1982" i="1"/>
  <c r="D1982" i="1"/>
  <c r="E1982" i="1"/>
  <c r="F1982" i="1"/>
  <c r="G1982" i="1"/>
  <c r="I1982" i="1"/>
  <c r="J1982" i="1"/>
  <c r="K1982" i="1"/>
  <c r="L1982" i="1"/>
  <c r="M1982" i="1"/>
  <c r="N1982" i="1"/>
  <c r="O1982" i="1"/>
  <c r="P1982" i="1"/>
  <c r="Q1982" i="1"/>
  <c r="R1982" i="1"/>
  <c r="S1982" i="1"/>
  <c r="T1982" i="1"/>
  <c r="U1982" i="1"/>
  <c r="V1982" i="1"/>
  <c r="W1982" i="1"/>
  <c r="X1982" i="1"/>
  <c r="Y1982" i="1"/>
  <c r="Z1982" i="1"/>
  <c r="A1983" i="1"/>
  <c r="B1983" i="1"/>
  <c r="C1983" i="1"/>
  <c r="D1983" i="1"/>
  <c r="E1983" i="1"/>
  <c r="F1983" i="1"/>
  <c r="G1983" i="1"/>
  <c r="I1983" i="1"/>
  <c r="J1983" i="1"/>
  <c r="K1983" i="1"/>
  <c r="L1983" i="1"/>
  <c r="M1983" i="1"/>
  <c r="N1983" i="1"/>
  <c r="O1983" i="1"/>
  <c r="P1983" i="1"/>
  <c r="Q1983" i="1"/>
  <c r="R1983" i="1"/>
  <c r="S1983" i="1"/>
  <c r="T1983" i="1"/>
  <c r="U1983" i="1"/>
  <c r="V1983" i="1"/>
  <c r="W1983" i="1"/>
  <c r="X1983" i="1"/>
  <c r="Y1983" i="1"/>
  <c r="Z1983" i="1"/>
  <c r="A1984" i="1"/>
  <c r="B1984" i="1"/>
  <c r="C1984" i="1"/>
  <c r="D1984" i="1"/>
  <c r="E1984" i="1"/>
  <c r="F1984" i="1"/>
  <c r="G1984" i="1"/>
  <c r="I1984" i="1"/>
  <c r="J1984" i="1"/>
  <c r="K1984" i="1"/>
  <c r="L1984" i="1"/>
  <c r="M1984" i="1"/>
  <c r="N1984" i="1"/>
  <c r="O1984" i="1"/>
  <c r="P1984" i="1"/>
  <c r="Q1984" i="1"/>
  <c r="R1984" i="1"/>
  <c r="S1984" i="1"/>
  <c r="T1984" i="1"/>
  <c r="U1984" i="1"/>
  <c r="V1984" i="1"/>
  <c r="W1984" i="1"/>
  <c r="X1984" i="1"/>
  <c r="Y1984" i="1"/>
  <c r="Z1984" i="1"/>
  <c r="A1985" i="1"/>
  <c r="B1985" i="1"/>
  <c r="C1985" i="1"/>
  <c r="D1985" i="1"/>
  <c r="E1985" i="1"/>
  <c r="F1985" i="1"/>
  <c r="G1985" i="1"/>
  <c r="I1985" i="1"/>
  <c r="J1985" i="1"/>
  <c r="K1985" i="1"/>
  <c r="L1985" i="1"/>
  <c r="M1985" i="1"/>
  <c r="N1985" i="1"/>
  <c r="O1985" i="1"/>
  <c r="P1985" i="1"/>
  <c r="Q1985" i="1"/>
  <c r="R1985" i="1"/>
  <c r="S1985" i="1"/>
  <c r="T1985" i="1"/>
  <c r="U1985" i="1"/>
  <c r="V1985" i="1"/>
  <c r="W1985" i="1"/>
  <c r="X1985" i="1"/>
  <c r="Y1985" i="1"/>
  <c r="Z1985" i="1"/>
  <c r="A1986" i="1"/>
  <c r="B1986" i="1"/>
  <c r="C1986" i="1"/>
  <c r="D1986" i="1"/>
  <c r="E1986" i="1"/>
  <c r="F1986" i="1"/>
  <c r="G1986" i="1"/>
  <c r="I1986" i="1"/>
  <c r="J1986" i="1"/>
  <c r="K1986" i="1"/>
  <c r="L1986" i="1"/>
  <c r="M1986" i="1"/>
  <c r="N1986" i="1"/>
  <c r="O1986" i="1"/>
  <c r="P1986" i="1"/>
  <c r="Q1986" i="1"/>
  <c r="R1986" i="1"/>
  <c r="S1986" i="1"/>
  <c r="T1986" i="1"/>
  <c r="U1986" i="1"/>
  <c r="V1986" i="1"/>
  <c r="W1986" i="1"/>
  <c r="X1986" i="1"/>
  <c r="Y1986" i="1"/>
  <c r="Z1986" i="1"/>
  <c r="A1987" i="1"/>
  <c r="B1987" i="1"/>
  <c r="C1987" i="1"/>
  <c r="D1987" i="1"/>
  <c r="E1987" i="1"/>
  <c r="F1987" i="1"/>
  <c r="G1987" i="1"/>
  <c r="I1987" i="1"/>
  <c r="J1987" i="1"/>
  <c r="K1987" i="1"/>
  <c r="L1987" i="1"/>
  <c r="M1987" i="1"/>
  <c r="N1987" i="1"/>
  <c r="O1987" i="1"/>
  <c r="P1987" i="1"/>
  <c r="Q1987" i="1"/>
  <c r="R1987" i="1"/>
  <c r="S1987" i="1"/>
  <c r="T1987" i="1"/>
  <c r="U1987" i="1"/>
  <c r="V1987" i="1"/>
  <c r="W1987" i="1"/>
  <c r="X1987" i="1"/>
  <c r="Y1987" i="1"/>
  <c r="Z1987" i="1"/>
  <c r="A1988" i="1"/>
  <c r="B1988" i="1"/>
  <c r="C1988" i="1"/>
  <c r="D1988" i="1"/>
  <c r="E1988" i="1"/>
  <c r="F1988" i="1"/>
  <c r="G1988" i="1"/>
  <c r="I1988" i="1"/>
  <c r="J1988" i="1"/>
  <c r="K1988" i="1"/>
  <c r="L1988" i="1"/>
  <c r="M1988" i="1"/>
  <c r="N1988" i="1"/>
  <c r="O1988" i="1"/>
  <c r="P1988" i="1"/>
  <c r="Q1988" i="1"/>
  <c r="R1988" i="1"/>
  <c r="S1988" i="1"/>
  <c r="T1988" i="1"/>
  <c r="U1988" i="1"/>
  <c r="V1988" i="1"/>
  <c r="W1988" i="1"/>
  <c r="X1988" i="1"/>
  <c r="Y1988" i="1"/>
  <c r="Z1988" i="1"/>
  <c r="A1989" i="1"/>
  <c r="B1989" i="1"/>
  <c r="C1989" i="1"/>
  <c r="D1989" i="1"/>
  <c r="E1989" i="1"/>
  <c r="F1989" i="1"/>
  <c r="G1989" i="1"/>
  <c r="I1989" i="1"/>
  <c r="J1989" i="1"/>
  <c r="K1989" i="1"/>
  <c r="L1989" i="1"/>
  <c r="M1989" i="1"/>
  <c r="N1989" i="1"/>
  <c r="O1989" i="1"/>
  <c r="P1989" i="1"/>
  <c r="Q1989" i="1"/>
  <c r="R1989" i="1"/>
  <c r="S1989" i="1"/>
  <c r="T1989" i="1"/>
  <c r="U1989" i="1"/>
  <c r="V1989" i="1"/>
  <c r="W1989" i="1"/>
  <c r="X1989" i="1"/>
  <c r="Y1989" i="1"/>
  <c r="Z1989" i="1"/>
  <c r="A1990" i="1"/>
  <c r="B1990" i="1"/>
  <c r="C1990" i="1"/>
  <c r="D1990" i="1"/>
  <c r="E1990" i="1"/>
  <c r="F1990" i="1"/>
  <c r="G1990" i="1"/>
  <c r="I1990" i="1"/>
  <c r="J1990" i="1"/>
  <c r="K1990" i="1"/>
  <c r="L1990" i="1"/>
  <c r="M1990" i="1"/>
  <c r="N1990" i="1"/>
  <c r="O1990" i="1"/>
  <c r="P1990" i="1"/>
  <c r="Q1990" i="1"/>
  <c r="R1990" i="1"/>
  <c r="S1990" i="1"/>
  <c r="T1990" i="1"/>
  <c r="U1990" i="1"/>
  <c r="V1990" i="1"/>
  <c r="W1990" i="1"/>
  <c r="X1990" i="1"/>
  <c r="Y1990" i="1"/>
  <c r="Z1990" i="1"/>
  <c r="A1991" i="1"/>
  <c r="B1991" i="1"/>
  <c r="C1991" i="1"/>
  <c r="D1991" i="1"/>
  <c r="E1991" i="1"/>
  <c r="F1991" i="1"/>
  <c r="G1991" i="1"/>
  <c r="I1991" i="1"/>
  <c r="J1991" i="1"/>
  <c r="K1991" i="1"/>
  <c r="L1991" i="1"/>
  <c r="M1991" i="1"/>
  <c r="N1991" i="1"/>
  <c r="O1991" i="1"/>
  <c r="P1991" i="1"/>
  <c r="Q1991" i="1"/>
  <c r="R1991" i="1"/>
  <c r="S1991" i="1"/>
  <c r="T1991" i="1"/>
  <c r="U1991" i="1"/>
  <c r="V1991" i="1"/>
  <c r="W1991" i="1"/>
  <c r="X1991" i="1"/>
  <c r="Y1991" i="1"/>
  <c r="Z1991" i="1"/>
  <c r="A1992" i="1"/>
  <c r="B1992" i="1"/>
  <c r="C1992" i="1"/>
  <c r="D1992" i="1"/>
  <c r="E1992" i="1"/>
  <c r="F1992" i="1"/>
  <c r="G1992" i="1"/>
  <c r="I1992" i="1"/>
  <c r="J1992" i="1"/>
  <c r="K1992" i="1"/>
  <c r="L1992" i="1"/>
  <c r="M1992" i="1"/>
  <c r="N1992" i="1"/>
  <c r="O1992" i="1"/>
  <c r="P1992" i="1"/>
  <c r="Q1992" i="1"/>
  <c r="R1992" i="1"/>
  <c r="S1992" i="1"/>
  <c r="T1992" i="1"/>
  <c r="U1992" i="1"/>
  <c r="V1992" i="1"/>
  <c r="W1992" i="1"/>
  <c r="X1992" i="1"/>
  <c r="Y1992" i="1"/>
  <c r="Z1992" i="1"/>
  <c r="A1993" i="1"/>
  <c r="B1993" i="1"/>
  <c r="C1993" i="1"/>
  <c r="D1993" i="1"/>
  <c r="E1993" i="1"/>
  <c r="F1993" i="1"/>
  <c r="G1993" i="1"/>
  <c r="I1993" i="1"/>
  <c r="J1993" i="1"/>
  <c r="K1993" i="1"/>
  <c r="L1993" i="1"/>
  <c r="M1993" i="1"/>
  <c r="N1993" i="1"/>
  <c r="O1993" i="1"/>
  <c r="P1993" i="1"/>
  <c r="Q1993" i="1"/>
  <c r="R1993" i="1"/>
  <c r="S1993" i="1"/>
  <c r="T1993" i="1"/>
  <c r="U1993" i="1"/>
  <c r="V1993" i="1"/>
  <c r="W1993" i="1"/>
  <c r="X1993" i="1"/>
  <c r="Y1993" i="1"/>
  <c r="Z1993" i="1"/>
  <c r="A1994" i="1"/>
  <c r="B1994" i="1"/>
  <c r="C1994" i="1"/>
  <c r="D1994" i="1"/>
  <c r="E1994" i="1"/>
  <c r="F1994" i="1"/>
  <c r="G1994" i="1"/>
  <c r="I1994" i="1"/>
  <c r="J1994" i="1"/>
  <c r="K1994" i="1"/>
  <c r="L1994" i="1"/>
  <c r="M1994" i="1"/>
  <c r="N1994" i="1"/>
  <c r="O1994" i="1"/>
  <c r="P1994" i="1"/>
  <c r="Q1994" i="1"/>
  <c r="R1994" i="1"/>
  <c r="S1994" i="1"/>
  <c r="T1994" i="1"/>
  <c r="U1994" i="1"/>
  <c r="V1994" i="1"/>
  <c r="W1994" i="1"/>
  <c r="X1994" i="1"/>
  <c r="Y1994" i="1"/>
  <c r="Z1994" i="1"/>
  <c r="A1995" i="1"/>
  <c r="B1995" i="1"/>
  <c r="C1995" i="1"/>
  <c r="D1995" i="1"/>
  <c r="E1995" i="1"/>
  <c r="F1995" i="1"/>
  <c r="G1995" i="1"/>
  <c r="I1995" i="1"/>
  <c r="J1995" i="1"/>
  <c r="K1995" i="1"/>
  <c r="L1995" i="1"/>
  <c r="M1995" i="1"/>
  <c r="N1995" i="1"/>
  <c r="O1995" i="1"/>
  <c r="P1995" i="1"/>
  <c r="Q1995" i="1"/>
  <c r="R1995" i="1"/>
  <c r="S1995" i="1"/>
  <c r="T1995" i="1"/>
  <c r="U1995" i="1"/>
  <c r="V1995" i="1"/>
  <c r="W1995" i="1"/>
  <c r="X1995" i="1"/>
  <c r="Y1995" i="1"/>
  <c r="Z1995" i="1"/>
  <c r="A1996" i="1"/>
  <c r="B1996" i="1"/>
  <c r="C1996" i="1"/>
  <c r="D1996" i="1"/>
  <c r="E1996" i="1"/>
  <c r="F1996" i="1"/>
  <c r="G1996" i="1"/>
  <c r="I1996" i="1"/>
  <c r="J1996" i="1"/>
  <c r="K1996" i="1"/>
  <c r="L1996" i="1"/>
  <c r="M1996" i="1"/>
  <c r="N1996" i="1"/>
  <c r="O1996" i="1"/>
  <c r="P1996" i="1"/>
  <c r="Q1996" i="1"/>
  <c r="R1996" i="1"/>
  <c r="S1996" i="1"/>
  <c r="T1996" i="1"/>
  <c r="U1996" i="1"/>
  <c r="V1996" i="1"/>
  <c r="W1996" i="1"/>
  <c r="X1996" i="1"/>
  <c r="Y1996" i="1"/>
  <c r="Z1996" i="1"/>
  <c r="A1997" i="1"/>
  <c r="B1997" i="1"/>
  <c r="C1997" i="1"/>
  <c r="D1997" i="1"/>
  <c r="E1997" i="1"/>
  <c r="F1997" i="1"/>
  <c r="G1997" i="1"/>
  <c r="I1997" i="1"/>
  <c r="J1997" i="1"/>
  <c r="K1997" i="1"/>
  <c r="L1997" i="1"/>
  <c r="M1997" i="1"/>
  <c r="N1997" i="1"/>
  <c r="O1997" i="1"/>
  <c r="P1997" i="1"/>
  <c r="Q1997" i="1"/>
  <c r="R1997" i="1"/>
  <c r="S1997" i="1"/>
  <c r="T1997" i="1"/>
  <c r="U1997" i="1"/>
  <c r="V1997" i="1"/>
  <c r="W1997" i="1"/>
  <c r="X1997" i="1"/>
  <c r="Y1997" i="1"/>
  <c r="Z1997" i="1"/>
  <c r="A1998" i="1"/>
  <c r="B1998" i="1"/>
  <c r="C1998" i="1"/>
  <c r="D1998" i="1"/>
  <c r="E1998" i="1"/>
  <c r="F1998" i="1"/>
  <c r="G1998" i="1"/>
  <c r="I1998" i="1"/>
  <c r="J1998" i="1"/>
  <c r="K1998" i="1"/>
  <c r="L1998" i="1"/>
  <c r="M1998" i="1"/>
  <c r="N1998" i="1"/>
  <c r="O1998" i="1"/>
  <c r="P1998" i="1"/>
  <c r="Q1998" i="1"/>
  <c r="R1998" i="1"/>
  <c r="S1998" i="1"/>
  <c r="T1998" i="1"/>
  <c r="U1998" i="1"/>
  <c r="V1998" i="1"/>
  <c r="W1998" i="1"/>
  <c r="X1998" i="1"/>
  <c r="Y1998" i="1"/>
  <c r="Z1998" i="1"/>
  <c r="A1999" i="1"/>
  <c r="B1999" i="1"/>
  <c r="C1999" i="1"/>
  <c r="D1999" i="1"/>
  <c r="E1999" i="1"/>
  <c r="F1999" i="1"/>
  <c r="G1999" i="1"/>
  <c r="I1999" i="1"/>
  <c r="J1999" i="1"/>
  <c r="K1999" i="1"/>
  <c r="L1999" i="1"/>
  <c r="M1999" i="1"/>
  <c r="N1999" i="1"/>
  <c r="O1999" i="1"/>
  <c r="P1999" i="1"/>
  <c r="Q1999" i="1"/>
  <c r="R1999" i="1"/>
  <c r="S1999" i="1"/>
  <c r="T1999" i="1"/>
  <c r="U1999" i="1"/>
  <c r="V1999" i="1"/>
  <c r="W1999" i="1"/>
  <c r="X1999" i="1"/>
  <c r="Y1999" i="1"/>
  <c r="Z1999" i="1"/>
  <c r="A2000" i="1"/>
  <c r="B2000" i="1"/>
  <c r="C2000" i="1"/>
  <c r="D2000" i="1"/>
  <c r="E2000" i="1"/>
  <c r="F2000" i="1"/>
  <c r="G2000" i="1"/>
  <c r="I2000" i="1"/>
  <c r="J2000" i="1"/>
  <c r="K2000" i="1"/>
  <c r="L2000" i="1"/>
  <c r="M2000" i="1"/>
  <c r="N2000" i="1"/>
  <c r="O2000" i="1"/>
  <c r="P2000" i="1"/>
  <c r="Q2000" i="1"/>
  <c r="R2000" i="1"/>
  <c r="S2000" i="1"/>
  <c r="T2000" i="1"/>
  <c r="U2000" i="1"/>
  <c r="V2000" i="1"/>
  <c r="W2000" i="1"/>
  <c r="X2000" i="1"/>
  <c r="Y2000" i="1"/>
  <c r="Z2000" i="1"/>
  <c r="A2001" i="1"/>
  <c r="B2001" i="1"/>
  <c r="C2001" i="1"/>
  <c r="D2001" i="1"/>
  <c r="E2001" i="1"/>
  <c r="F2001" i="1"/>
  <c r="G2001" i="1"/>
  <c r="I2001" i="1"/>
  <c r="J2001" i="1"/>
  <c r="K2001" i="1"/>
  <c r="L2001" i="1"/>
  <c r="M2001" i="1"/>
  <c r="N2001" i="1"/>
  <c r="O2001" i="1"/>
  <c r="P2001" i="1"/>
  <c r="Q2001" i="1"/>
  <c r="R2001" i="1"/>
  <c r="S2001" i="1"/>
  <c r="T2001" i="1"/>
  <c r="U2001" i="1"/>
  <c r="V2001" i="1"/>
  <c r="W2001" i="1"/>
  <c r="X2001" i="1"/>
  <c r="Y2001" i="1"/>
  <c r="Z2001" i="1"/>
  <c r="A2002" i="1"/>
  <c r="B2002" i="1"/>
  <c r="C2002" i="1"/>
  <c r="D2002" i="1"/>
  <c r="E2002" i="1"/>
  <c r="F2002" i="1"/>
  <c r="G2002" i="1"/>
  <c r="I2002" i="1"/>
  <c r="J2002" i="1"/>
  <c r="K2002" i="1"/>
  <c r="L2002" i="1"/>
  <c r="M2002" i="1"/>
  <c r="N2002" i="1"/>
  <c r="O2002" i="1"/>
  <c r="P2002" i="1"/>
  <c r="Q2002" i="1"/>
  <c r="R2002" i="1"/>
  <c r="S2002" i="1"/>
  <c r="T2002" i="1"/>
  <c r="U2002" i="1"/>
  <c r="V2002" i="1"/>
  <c r="W2002" i="1"/>
  <c r="X2002" i="1"/>
  <c r="Y2002" i="1"/>
  <c r="Z2002" i="1"/>
  <c r="A2003" i="1"/>
  <c r="B2003" i="1"/>
  <c r="C2003" i="1"/>
  <c r="D2003" i="1"/>
  <c r="E2003" i="1"/>
  <c r="F2003" i="1"/>
  <c r="G2003" i="1"/>
  <c r="I2003" i="1"/>
  <c r="J2003" i="1"/>
  <c r="K2003" i="1"/>
  <c r="L2003" i="1"/>
  <c r="M2003" i="1"/>
  <c r="N2003" i="1"/>
  <c r="O2003" i="1"/>
  <c r="P2003" i="1"/>
  <c r="Q2003" i="1"/>
  <c r="R2003" i="1"/>
  <c r="S2003" i="1"/>
  <c r="T2003" i="1"/>
  <c r="U2003" i="1"/>
  <c r="V2003" i="1"/>
  <c r="W2003" i="1"/>
  <c r="X2003" i="1"/>
  <c r="Y2003" i="1"/>
  <c r="Z2003" i="1"/>
  <c r="A2004" i="1"/>
  <c r="B2004" i="1"/>
  <c r="C2004" i="1"/>
  <c r="D2004" i="1"/>
  <c r="E2004" i="1"/>
  <c r="F2004" i="1"/>
  <c r="G2004" i="1"/>
  <c r="I2004" i="1"/>
  <c r="J2004" i="1"/>
  <c r="K2004" i="1"/>
  <c r="L2004" i="1"/>
  <c r="M2004" i="1"/>
  <c r="N2004" i="1"/>
  <c r="O2004" i="1"/>
  <c r="P2004" i="1"/>
  <c r="Q2004" i="1"/>
  <c r="R2004" i="1"/>
  <c r="S2004" i="1"/>
  <c r="T2004" i="1"/>
  <c r="U2004" i="1"/>
  <c r="V2004" i="1"/>
  <c r="W2004" i="1"/>
  <c r="X2004" i="1"/>
  <c r="Y2004" i="1"/>
  <c r="Z2004" i="1"/>
  <c r="A2005" i="1"/>
  <c r="B2005" i="1"/>
  <c r="C2005" i="1"/>
  <c r="D2005" i="1"/>
  <c r="E2005" i="1"/>
  <c r="F2005" i="1"/>
  <c r="G2005" i="1"/>
  <c r="I2005" i="1"/>
  <c r="J2005" i="1"/>
  <c r="K2005" i="1"/>
  <c r="L2005" i="1"/>
  <c r="M2005" i="1"/>
  <c r="N2005" i="1"/>
  <c r="O2005" i="1"/>
  <c r="P2005" i="1"/>
  <c r="Q2005" i="1"/>
  <c r="R2005" i="1"/>
  <c r="S2005" i="1"/>
  <c r="T2005" i="1"/>
  <c r="U2005" i="1"/>
  <c r="V2005" i="1"/>
  <c r="W2005" i="1"/>
  <c r="X2005" i="1"/>
  <c r="Y2005" i="1"/>
  <c r="Z2005" i="1"/>
  <c r="A2006" i="1"/>
  <c r="B2006" i="1"/>
  <c r="C2006" i="1"/>
  <c r="D2006" i="1"/>
  <c r="E2006" i="1"/>
  <c r="F2006" i="1"/>
  <c r="G2006" i="1"/>
  <c r="I2006" i="1"/>
  <c r="J2006" i="1"/>
  <c r="K2006" i="1"/>
  <c r="L2006" i="1"/>
  <c r="M2006" i="1"/>
  <c r="N2006" i="1"/>
  <c r="O2006" i="1"/>
  <c r="P2006" i="1"/>
  <c r="Q2006" i="1"/>
  <c r="R2006" i="1"/>
  <c r="S2006" i="1"/>
  <c r="T2006" i="1"/>
  <c r="U2006" i="1"/>
  <c r="V2006" i="1"/>
  <c r="W2006" i="1"/>
  <c r="X2006" i="1"/>
  <c r="Y2006" i="1"/>
  <c r="Z2006" i="1"/>
  <c r="A2007" i="1"/>
  <c r="B2007" i="1"/>
  <c r="C2007" i="1"/>
  <c r="D2007" i="1"/>
  <c r="E2007" i="1"/>
  <c r="F2007" i="1"/>
  <c r="G2007" i="1"/>
  <c r="I2007" i="1"/>
  <c r="J2007" i="1"/>
  <c r="K2007" i="1"/>
  <c r="L2007" i="1"/>
  <c r="M2007" i="1"/>
  <c r="N2007" i="1"/>
  <c r="O2007" i="1"/>
  <c r="P2007" i="1"/>
  <c r="Q2007" i="1"/>
  <c r="R2007" i="1"/>
  <c r="S2007" i="1"/>
  <c r="T2007" i="1"/>
  <c r="U2007" i="1"/>
  <c r="V2007" i="1"/>
  <c r="W2007" i="1"/>
  <c r="X2007" i="1"/>
  <c r="Y2007" i="1"/>
  <c r="Z2007" i="1"/>
  <c r="A2008" i="1"/>
  <c r="B2008" i="1"/>
  <c r="C2008" i="1"/>
  <c r="D2008" i="1"/>
  <c r="E2008" i="1"/>
  <c r="F2008" i="1"/>
  <c r="G2008" i="1"/>
  <c r="I2008" i="1"/>
  <c r="J2008" i="1"/>
  <c r="K2008" i="1"/>
  <c r="L2008" i="1"/>
  <c r="M2008" i="1"/>
  <c r="N2008" i="1"/>
  <c r="O2008" i="1"/>
  <c r="P2008" i="1"/>
  <c r="Q2008" i="1"/>
  <c r="R2008" i="1"/>
  <c r="S2008" i="1"/>
  <c r="T2008" i="1"/>
  <c r="U2008" i="1"/>
  <c r="V2008" i="1"/>
  <c r="W2008" i="1"/>
  <c r="X2008" i="1"/>
  <c r="Y2008" i="1"/>
  <c r="Z2008" i="1"/>
  <c r="A2009" i="1"/>
  <c r="B2009" i="1"/>
  <c r="C2009" i="1"/>
  <c r="D2009" i="1"/>
  <c r="E2009" i="1"/>
  <c r="F2009" i="1"/>
  <c r="G2009" i="1"/>
  <c r="I2009" i="1"/>
  <c r="J2009" i="1"/>
  <c r="K2009" i="1"/>
  <c r="L2009" i="1"/>
  <c r="M2009" i="1"/>
  <c r="N2009" i="1"/>
  <c r="O2009" i="1"/>
  <c r="P2009" i="1"/>
  <c r="Q2009" i="1"/>
  <c r="R2009" i="1"/>
  <c r="S2009" i="1"/>
  <c r="T2009" i="1"/>
  <c r="U2009" i="1"/>
  <c r="V2009" i="1"/>
  <c r="W2009" i="1"/>
  <c r="X2009" i="1"/>
  <c r="Y2009" i="1"/>
  <c r="Z2009" i="1"/>
  <c r="A2010" i="1"/>
  <c r="B2010" i="1"/>
  <c r="C2010" i="1"/>
  <c r="D2010" i="1"/>
  <c r="E2010" i="1"/>
  <c r="F2010" i="1"/>
  <c r="G2010" i="1"/>
  <c r="I2010" i="1"/>
  <c r="J2010" i="1"/>
  <c r="K2010" i="1"/>
  <c r="L2010" i="1"/>
  <c r="M2010" i="1"/>
  <c r="N2010" i="1"/>
  <c r="O2010" i="1"/>
  <c r="P2010" i="1"/>
  <c r="Q2010" i="1"/>
  <c r="R2010" i="1"/>
  <c r="S2010" i="1"/>
  <c r="T2010" i="1"/>
  <c r="U2010" i="1"/>
  <c r="V2010" i="1"/>
  <c r="W2010" i="1"/>
  <c r="X2010" i="1"/>
  <c r="Y2010" i="1"/>
  <c r="Z2010" i="1"/>
  <c r="A2011" i="1"/>
  <c r="B2011" i="1"/>
  <c r="C2011" i="1"/>
  <c r="D2011" i="1"/>
  <c r="E2011" i="1"/>
  <c r="F2011" i="1"/>
  <c r="G2011" i="1"/>
  <c r="I2011" i="1"/>
  <c r="J2011" i="1"/>
  <c r="K2011" i="1"/>
  <c r="L2011" i="1"/>
  <c r="M2011" i="1"/>
  <c r="N2011" i="1"/>
  <c r="O2011" i="1"/>
  <c r="P2011" i="1"/>
  <c r="Q2011" i="1"/>
  <c r="R2011" i="1"/>
  <c r="S2011" i="1"/>
  <c r="T2011" i="1"/>
  <c r="U2011" i="1"/>
  <c r="V2011" i="1"/>
  <c r="W2011" i="1"/>
  <c r="X2011" i="1"/>
  <c r="Y2011" i="1"/>
  <c r="Z2011" i="1"/>
  <c r="A2012" i="1"/>
  <c r="B2012" i="1"/>
  <c r="C2012" i="1"/>
  <c r="D2012" i="1"/>
  <c r="E2012" i="1"/>
  <c r="F2012" i="1"/>
  <c r="G2012" i="1"/>
  <c r="I2012" i="1"/>
  <c r="J2012" i="1"/>
  <c r="K2012" i="1"/>
  <c r="L2012" i="1"/>
  <c r="M2012" i="1"/>
  <c r="N2012" i="1"/>
  <c r="O2012" i="1"/>
  <c r="P2012" i="1"/>
  <c r="Q2012" i="1"/>
  <c r="R2012" i="1"/>
  <c r="S2012" i="1"/>
  <c r="T2012" i="1"/>
  <c r="U2012" i="1"/>
  <c r="V2012" i="1"/>
  <c r="W2012" i="1"/>
  <c r="X2012" i="1"/>
  <c r="Y2012" i="1"/>
  <c r="Z2012" i="1"/>
  <c r="A2013" i="1"/>
  <c r="B2013" i="1"/>
  <c r="C2013" i="1"/>
  <c r="D2013" i="1"/>
  <c r="E2013" i="1"/>
  <c r="F2013" i="1"/>
  <c r="G2013" i="1"/>
  <c r="I2013" i="1"/>
  <c r="J2013" i="1"/>
  <c r="K2013" i="1"/>
  <c r="L2013" i="1"/>
  <c r="M2013" i="1"/>
  <c r="N2013" i="1"/>
  <c r="O2013" i="1"/>
  <c r="P2013" i="1"/>
  <c r="Q2013" i="1"/>
  <c r="R2013" i="1"/>
  <c r="S2013" i="1"/>
  <c r="T2013" i="1"/>
  <c r="U2013" i="1"/>
  <c r="V2013" i="1"/>
  <c r="W2013" i="1"/>
  <c r="X2013" i="1"/>
  <c r="Y2013" i="1"/>
  <c r="Z2013" i="1"/>
  <c r="A2014" i="1"/>
  <c r="B2014" i="1"/>
  <c r="C2014" i="1"/>
  <c r="D2014" i="1"/>
  <c r="E2014" i="1"/>
  <c r="F2014" i="1"/>
  <c r="G2014" i="1"/>
  <c r="I2014" i="1"/>
  <c r="J2014" i="1"/>
  <c r="K2014" i="1"/>
  <c r="L2014" i="1"/>
  <c r="M2014" i="1"/>
  <c r="N2014" i="1"/>
  <c r="O2014" i="1"/>
  <c r="P2014" i="1"/>
  <c r="Q2014" i="1"/>
  <c r="R2014" i="1"/>
  <c r="S2014" i="1"/>
  <c r="T2014" i="1"/>
  <c r="U2014" i="1"/>
  <c r="V2014" i="1"/>
  <c r="W2014" i="1"/>
  <c r="X2014" i="1"/>
  <c r="Y2014" i="1"/>
  <c r="Z2014" i="1"/>
  <c r="A2015" i="1"/>
  <c r="B2015" i="1"/>
  <c r="C2015" i="1"/>
  <c r="D2015" i="1"/>
  <c r="E2015" i="1"/>
  <c r="F2015" i="1"/>
  <c r="G2015" i="1"/>
  <c r="I2015" i="1"/>
  <c r="J2015" i="1"/>
  <c r="K2015" i="1"/>
  <c r="L2015" i="1"/>
  <c r="M2015" i="1"/>
  <c r="N2015" i="1"/>
  <c r="O2015" i="1"/>
  <c r="P2015" i="1"/>
  <c r="Q2015" i="1"/>
  <c r="R2015" i="1"/>
  <c r="S2015" i="1"/>
  <c r="T2015" i="1"/>
  <c r="U2015" i="1"/>
  <c r="V2015" i="1"/>
  <c r="W2015" i="1"/>
  <c r="X2015" i="1"/>
  <c r="Y2015" i="1"/>
  <c r="Z2015" i="1"/>
  <c r="A2016" i="1"/>
  <c r="B2016" i="1"/>
  <c r="C2016" i="1"/>
  <c r="D2016" i="1"/>
  <c r="E2016" i="1"/>
  <c r="F2016" i="1"/>
  <c r="G2016" i="1"/>
  <c r="I2016" i="1"/>
  <c r="J2016" i="1"/>
  <c r="K2016" i="1"/>
  <c r="L2016" i="1"/>
  <c r="M2016" i="1"/>
  <c r="N2016" i="1"/>
  <c r="O2016" i="1"/>
  <c r="P2016" i="1"/>
  <c r="Q2016" i="1"/>
  <c r="R2016" i="1"/>
  <c r="S2016" i="1"/>
  <c r="T2016" i="1"/>
  <c r="U2016" i="1"/>
  <c r="V2016" i="1"/>
  <c r="W2016" i="1"/>
  <c r="X2016" i="1"/>
  <c r="Y2016" i="1"/>
  <c r="Z2016" i="1"/>
  <c r="A2017" i="1"/>
  <c r="B2017" i="1"/>
  <c r="C2017" i="1"/>
  <c r="D2017" i="1"/>
  <c r="E2017" i="1"/>
  <c r="F2017" i="1"/>
  <c r="G2017" i="1"/>
  <c r="I2017" i="1"/>
  <c r="J2017" i="1"/>
  <c r="K2017" i="1"/>
  <c r="L2017" i="1"/>
  <c r="M2017" i="1"/>
  <c r="N2017" i="1"/>
  <c r="O2017" i="1"/>
  <c r="P2017" i="1"/>
  <c r="Q2017" i="1"/>
  <c r="R2017" i="1"/>
  <c r="S2017" i="1"/>
  <c r="T2017" i="1"/>
  <c r="U2017" i="1"/>
  <c r="V2017" i="1"/>
  <c r="W2017" i="1"/>
  <c r="X2017" i="1"/>
  <c r="Y2017" i="1"/>
  <c r="Z2017" i="1"/>
  <c r="A2018" i="1"/>
  <c r="B2018" i="1"/>
  <c r="C2018" i="1"/>
  <c r="D2018" i="1"/>
  <c r="E2018" i="1"/>
  <c r="F2018" i="1"/>
  <c r="G2018" i="1"/>
  <c r="I2018" i="1"/>
  <c r="J2018" i="1"/>
  <c r="K2018" i="1"/>
  <c r="L2018" i="1"/>
  <c r="M2018" i="1"/>
  <c r="N2018" i="1"/>
  <c r="O2018" i="1"/>
  <c r="P2018" i="1"/>
  <c r="Q2018" i="1"/>
  <c r="R2018" i="1"/>
  <c r="S2018" i="1"/>
  <c r="T2018" i="1"/>
  <c r="U2018" i="1"/>
  <c r="V2018" i="1"/>
  <c r="W2018" i="1"/>
  <c r="X2018" i="1"/>
  <c r="Y2018" i="1"/>
  <c r="Z2018" i="1"/>
  <c r="A2019" i="1"/>
  <c r="B2019" i="1"/>
  <c r="C2019" i="1"/>
  <c r="D2019" i="1"/>
  <c r="E2019" i="1"/>
  <c r="F2019" i="1"/>
  <c r="G2019" i="1"/>
  <c r="I2019" i="1"/>
  <c r="J2019" i="1"/>
  <c r="K2019" i="1"/>
  <c r="L2019" i="1"/>
  <c r="M2019" i="1"/>
  <c r="N2019" i="1"/>
  <c r="O2019" i="1"/>
  <c r="P2019" i="1"/>
  <c r="Q2019" i="1"/>
  <c r="R2019" i="1"/>
  <c r="S2019" i="1"/>
  <c r="T2019" i="1"/>
  <c r="U2019" i="1"/>
  <c r="V2019" i="1"/>
  <c r="W2019" i="1"/>
  <c r="X2019" i="1"/>
  <c r="Y2019" i="1"/>
  <c r="Z2019" i="1"/>
  <c r="A2020" i="1"/>
  <c r="B2020" i="1"/>
  <c r="C2020" i="1"/>
  <c r="D2020" i="1"/>
  <c r="E2020" i="1"/>
  <c r="F2020" i="1"/>
  <c r="G2020" i="1"/>
  <c r="I2020" i="1"/>
  <c r="J2020" i="1"/>
  <c r="K2020" i="1"/>
  <c r="L2020" i="1"/>
  <c r="M2020" i="1"/>
  <c r="N2020" i="1"/>
  <c r="O2020" i="1"/>
  <c r="P2020" i="1"/>
  <c r="Q2020" i="1"/>
  <c r="R2020" i="1"/>
  <c r="S2020" i="1"/>
  <c r="T2020" i="1"/>
  <c r="U2020" i="1"/>
  <c r="V2020" i="1"/>
  <c r="W2020" i="1"/>
  <c r="X2020" i="1"/>
  <c r="Y2020" i="1"/>
  <c r="Z2020" i="1"/>
  <c r="A2021" i="1"/>
  <c r="B2021" i="1"/>
  <c r="C2021" i="1"/>
  <c r="D2021" i="1"/>
  <c r="E2021" i="1"/>
  <c r="F2021" i="1"/>
  <c r="G2021" i="1"/>
  <c r="I2021" i="1"/>
  <c r="J2021" i="1"/>
  <c r="K2021" i="1"/>
  <c r="L2021" i="1"/>
  <c r="M2021" i="1"/>
  <c r="N2021" i="1"/>
  <c r="O2021" i="1"/>
  <c r="P2021" i="1"/>
  <c r="Q2021" i="1"/>
  <c r="R2021" i="1"/>
  <c r="S2021" i="1"/>
  <c r="T2021" i="1"/>
  <c r="U2021" i="1"/>
  <c r="V2021" i="1"/>
  <c r="W2021" i="1"/>
  <c r="X2021" i="1"/>
  <c r="Y2021" i="1"/>
  <c r="Z2021" i="1"/>
  <c r="A2022" i="1"/>
  <c r="B2022" i="1"/>
  <c r="C2022" i="1"/>
  <c r="D2022" i="1"/>
  <c r="E2022" i="1"/>
  <c r="F2022" i="1"/>
  <c r="G2022" i="1"/>
  <c r="I2022" i="1"/>
  <c r="J2022" i="1"/>
  <c r="K2022" i="1"/>
  <c r="L2022" i="1"/>
  <c r="M2022" i="1"/>
  <c r="N2022" i="1"/>
  <c r="O2022" i="1"/>
  <c r="P2022" i="1"/>
  <c r="Q2022" i="1"/>
  <c r="R2022" i="1"/>
  <c r="S2022" i="1"/>
  <c r="T2022" i="1"/>
  <c r="U2022" i="1"/>
  <c r="V2022" i="1"/>
  <c r="W2022" i="1"/>
  <c r="X2022" i="1"/>
  <c r="Y2022" i="1"/>
  <c r="Z2022" i="1"/>
  <c r="A2023" i="1"/>
  <c r="B2023" i="1"/>
  <c r="C2023" i="1"/>
  <c r="D2023" i="1"/>
  <c r="E2023" i="1"/>
  <c r="F2023" i="1"/>
  <c r="G2023" i="1"/>
  <c r="I2023" i="1"/>
  <c r="J2023" i="1"/>
  <c r="K2023" i="1"/>
  <c r="L2023" i="1"/>
  <c r="M2023" i="1"/>
  <c r="N2023" i="1"/>
  <c r="O2023" i="1"/>
  <c r="P2023" i="1"/>
  <c r="Q2023" i="1"/>
  <c r="R2023" i="1"/>
  <c r="S2023" i="1"/>
  <c r="T2023" i="1"/>
  <c r="U2023" i="1"/>
  <c r="V2023" i="1"/>
  <c r="W2023" i="1"/>
  <c r="X2023" i="1"/>
  <c r="Y2023" i="1"/>
  <c r="Z2023" i="1"/>
  <c r="A2024" i="1"/>
  <c r="B2024" i="1"/>
  <c r="C2024" i="1"/>
  <c r="D2024" i="1"/>
  <c r="E2024" i="1"/>
  <c r="F2024" i="1"/>
  <c r="G2024" i="1"/>
  <c r="I2024" i="1"/>
  <c r="J2024" i="1"/>
  <c r="K2024" i="1"/>
  <c r="L2024" i="1"/>
  <c r="M2024" i="1"/>
  <c r="N2024" i="1"/>
  <c r="O2024" i="1"/>
  <c r="P2024" i="1"/>
  <c r="Q2024" i="1"/>
  <c r="R2024" i="1"/>
  <c r="S2024" i="1"/>
  <c r="T2024" i="1"/>
  <c r="U2024" i="1"/>
  <c r="V2024" i="1"/>
  <c r="W2024" i="1"/>
  <c r="X2024" i="1"/>
  <c r="Y2024" i="1"/>
  <c r="Z2024" i="1"/>
  <c r="A2025" i="1"/>
  <c r="B2025" i="1"/>
  <c r="C2025" i="1"/>
  <c r="D2025" i="1"/>
  <c r="E2025" i="1"/>
  <c r="F2025" i="1"/>
  <c r="G2025" i="1"/>
  <c r="I2025" i="1"/>
  <c r="J2025" i="1"/>
  <c r="K2025" i="1"/>
  <c r="L2025" i="1"/>
  <c r="M2025" i="1"/>
  <c r="N2025" i="1"/>
  <c r="O2025" i="1"/>
  <c r="P2025" i="1"/>
  <c r="Q2025" i="1"/>
  <c r="R2025" i="1"/>
  <c r="S2025" i="1"/>
  <c r="T2025" i="1"/>
  <c r="U2025" i="1"/>
  <c r="V2025" i="1"/>
  <c r="W2025" i="1"/>
  <c r="X2025" i="1"/>
  <c r="Y2025" i="1"/>
  <c r="Z2025" i="1"/>
  <c r="A2026" i="1"/>
  <c r="B2026" i="1"/>
  <c r="C2026" i="1"/>
  <c r="D2026" i="1"/>
  <c r="E2026" i="1"/>
  <c r="F2026" i="1"/>
  <c r="G2026" i="1"/>
  <c r="I2026" i="1"/>
  <c r="J2026" i="1"/>
  <c r="K2026" i="1"/>
  <c r="L2026" i="1"/>
  <c r="M2026" i="1"/>
  <c r="N2026" i="1"/>
  <c r="O2026" i="1"/>
  <c r="P2026" i="1"/>
  <c r="Q2026" i="1"/>
  <c r="R2026" i="1"/>
  <c r="S2026" i="1"/>
  <c r="T2026" i="1"/>
  <c r="U2026" i="1"/>
  <c r="V2026" i="1"/>
  <c r="W2026" i="1"/>
  <c r="X2026" i="1"/>
  <c r="Y2026" i="1"/>
  <c r="Z2026" i="1"/>
  <c r="A2027" i="1"/>
  <c r="B2027" i="1"/>
  <c r="C2027" i="1"/>
  <c r="D2027" i="1"/>
  <c r="E2027" i="1"/>
  <c r="F2027" i="1"/>
  <c r="G2027" i="1"/>
  <c r="I2027" i="1"/>
  <c r="J2027" i="1"/>
  <c r="K2027" i="1"/>
  <c r="L2027" i="1"/>
  <c r="M2027" i="1"/>
  <c r="N2027" i="1"/>
  <c r="O2027" i="1"/>
  <c r="P2027" i="1"/>
  <c r="Q2027" i="1"/>
  <c r="R2027" i="1"/>
  <c r="S2027" i="1"/>
  <c r="T2027" i="1"/>
  <c r="U2027" i="1"/>
  <c r="V2027" i="1"/>
  <c r="W2027" i="1"/>
  <c r="X2027" i="1"/>
  <c r="Y2027" i="1"/>
  <c r="Z2027" i="1"/>
  <c r="A2028" i="1"/>
  <c r="B2028" i="1"/>
  <c r="C2028" i="1"/>
  <c r="D2028" i="1"/>
  <c r="E2028" i="1"/>
  <c r="F2028" i="1"/>
  <c r="G2028" i="1"/>
  <c r="I2028" i="1"/>
  <c r="J2028" i="1"/>
  <c r="K2028" i="1"/>
  <c r="L2028" i="1"/>
  <c r="M2028" i="1"/>
  <c r="N2028" i="1"/>
  <c r="O2028" i="1"/>
  <c r="P2028" i="1"/>
  <c r="Q2028" i="1"/>
  <c r="R2028" i="1"/>
  <c r="S2028" i="1"/>
  <c r="T2028" i="1"/>
  <c r="U2028" i="1"/>
  <c r="V2028" i="1"/>
  <c r="W2028" i="1"/>
  <c r="X2028" i="1"/>
  <c r="Y2028" i="1"/>
  <c r="Z2028" i="1"/>
  <c r="A2029" i="1"/>
  <c r="B2029" i="1"/>
  <c r="C2029" i="1"/>
  <c r="D2029" i="1"/>
  <c r="E2029" i="1"/>
  <c r="F2029" i="1"/>
  <c r="G2029" i="1"/>
  <c r="I2029" i="1"/>
  <c r="J2029" i="1"/>
  <c r="K2029" i="1"/>
  <c r="L2029" i="1"/>
  <c r="M2029" i="1"/>
  <c r="N2029" i="1"/>
  <c r="O2029" i="1"/>
  <c r="P2029" i="1"/>
  <c r="Q2029" i="1"/>
  <c r="R2029" i="1"/>
  <c r="S2029" i="1"/>
  <c r="T2029" i="1"/>
  <c r="U2029" i="1"/>
  <c r="V2029" i="1"/>
  <c r="W2029" i="1"/>
  <c r="X2029" i="1"/>
  <c r="Y2029" i="1"/>
  <c r="Z2029" i="1"/>
  <c r="A2030" i="1"/>
  <c r="B2030" i="1"/>
  <c r="C2030" i="1"/>
  <c r="D2030" i="1"/>
  <c r="E2030" i="1"/>
  <c r="F2030" i="1"/>
  <c r="G2030" i="1"/>
  <c r="I2030" i="1"/>
  <c r="J2030" i="1"/>
  <c r="K2030" i="1"/>
  <c r="L2030" i="1"/>
  <c r="M2030" i="1"/>
  <c r="N2030" i="1"/>
  <c r="O2030" i="1"/>
  <c r="P2030" i="1"/>
  <c r="Q2030" i="1"/>
  <c r="R2030" i="1"/>
  <c r="S2030" i="1"/>
  <c r="T2030" i="1"/>
  <c r="U2030" i="1"/>
  <c r="V2030" i="1"/>
  <c r="W2030" i="1"/>
  <c r="X2030" i="1"/>
  <c r="Y2030" i="1"/>
  <c r="Z2030" i="1"/>
  <c r="A2031" i="1"/>
  <c r="B2031" i="1"/>
  <c r="C2031" i="1"/>
  <c r="D2031" i="1"/>
  <c r="E2031" i="1"/>
  <c r="F2031" i="1"/>
  <c r="G2031" i="1"/>
  <c r="I2031" i="1"/>
  <c r="J2031" i="1"/>
  <c r="K2031" i="1"/>
  <c r="L2031" i="1"/>
  <c r="M2031" i="1"/>
  <c r="N2031" i="1"/>
  <c r="O2031" i="1"/>
  <c r="P2031" i="1"/>
  <c r="Q2031" i="1"/>
  <c r="R2031" i="1"/>
  <c r="S2031" i="1"/>
  <c r="T2031" i="1"/>
  <c r="U2031" i="1"/>
  <c r="V2031" i="1"/>
  <c r="W2031" i="1"/>
  <c r="X2031" i="1"/>
  <c r="Y2031" i="1"/>
  <c r="Z2031" i="1"/>
  <c r="A2032" i="1"/>
  <c r="B2032" i="1"/>
  <c r="C2032" i="1"/>
  <c r="D2032" i="1"/>
  <c r="E2032" i="1"/>
  <c r="F2032" i="1"/>
  <c r="G2032" i="1"/>
  <c r="I2032" i="1"/>
  <c r="J2032" i="1"/>
  <c r="K2032" i="1"/>
  <c r="L2032" i="1"/>
  <c r="M2032" i="1"/>
  <c r="N2032" i="1"/>
  <c r="O2032" i="1"/>
  <c r="P2032" i="1"/>
  <c r="Q2032" i="1"/>
  <c r="R2032" i="1"/>
  <c r="S2032" i="1"/>
  <c r="T2032" i="1"/>
  <c r="U2032" i="1"/>
  <c r="V2032" i="1"/>
  <c r="W2032" i="1"/>
  <c r="X2032" i="1"/>
  <c r="Y2032" i="1"/>
  <c r="Z2032" i="1"/>
  <c r="A2033" i="1"/>
  <c r="B2033" i="1"/>
  <c r="C2033" i="1"/>
  <c r="D2033" i="1"/>
  <c r="E2033" i="1"/>
  <c r="F2033" i="1"/>
  <c r="G2033" i="1"/>
  <c r="I2033" i="1"/>
  <c r="J2033" i="1"/>
  <c r="K2033" i="1"/>
  <c r="L2033" i="1"/>
  <c r="M2033" i="1"/>
  <c r="N2033" i="1"/>
  <c r="O2033" i="1"/>
  <c r="P2033" i="1"/>
  <c r="Q2033" i="1"/>
  <c r="R2033" i="1"/>
  <c r="S2033" i="1"/>
  <c r="T2033" i="1"/>
  <c r="U2033" i="1"/>
  <c r="V2033" i="1"/>
  <c r="W2033" i="1"/>
  <c r="X2033" i="1"/>
  <c r="Y2033" i="1"/>
  <c r="Z2033" i="1"/>
  <c r="A2034" i="1"/>
  <c r="B2034" i="1"/>
  <c r="C2034" i="1"/>
  <c r="D2034" i="1"/>
  <c r="E2034" i="1"/>
  <c r="F2034" i="1"/>
  <c r="G2034" i="1"/>
  <c r="I2034" i="1"/>
  <c r="J2034" i="1"/>
  <c r="K2034" i="1"/>
  <c r="L2034" i="1"/>
  <c r="M2034" i="1"/>
  <c r="N2034" i="1"/>
  <c r="O2034" i="1"/>
  <c r="P2034" i="1"/>
  <c r="Q2034" i="1"/>
  <c r="R2034" i="1"/>
  <c r="S2034" i="1"/>
  <c r="T2034" i="1"/>
  <c r="U2034" i="1"/>
  <c r="V2034" i="1"/>
  <c r="W2034" i="1"/>
  <c r="X2034" i="1"/>
  <c r="Y2034" i="1"/>
  <c r="Z2034" i="1"/>
  <c r="A2035" i="1"/>
  <c r="B2035" i="1"/>
  <c r="C2035" i="1"/>
  <c r="D2035" i="1"/>
  <c r="E2035" i="1"/>
  <c r="F2035" i="1"/>
  <c r="G2035" i="1"/>
  <c r="I2035" i="1"/>
  <c r="J2035" i="1"/>
  <c r="K2035" i="1"/>
  <c r="L2035" i="1"/>
  <c r="M2035" i="1"/>
  <c r="N2035" i="1"/>
  <c r="O2035" i="1"/>
  <c r="P2035" i="1"/>
  <c r="Q2035" i="1"/>
  <c r="R2035" i="1"/>
  <c r="S2035" i="1"/>
  <c r="T2035" i="1"/>
  <c r="U2035" i="1"/>
  <c r="V2035" i="1"/>
  <c r="W2035" i="1"/>
  <c r="X2035" i="1"/>
  <c r="Y2035" i="1"/>
  <c r="Z2035" i="1"/>
  <c r="A2036" i="1"/>
  <c r="B2036" i="1"/>
  <c r="C2036" i="1"/>
  <c r="D2036" i="1"/>
  <c r="E2036" i="1"/>
  <c r="F2036" i="1"/>
  <c r="G2036" i="1"/>
  <c r="I2036" i="1"/>
  <c r="J2036" i="1"/>
  <c r="K2036" i="1"/>
  <c r="L2036" i="1"/>
  <c r="M2036" i="1"/>
  <c r="N2036" i="1"/>
  <c r="O2036" i="1"/>
  <c r="P2036" i="1"/>
  <c r="Q2036" i="1"/>
  <c r="R2036" i="1"/>
  <c r="S2036" i="1"/>
  <c r="T2036" i="1"/>
  <c r="U2036" i="1"/>
  <c r="V2036" i="1"/>
  <c r="W2036" i="1"/>
  <c r="X2036" i="1"/>
  <c r="Y2036" i="1"/>
  <c r="Z2036" i="1"/>
  <c r="A2037" i="1"/>
  <c r="B2037" i="1"/>
  <c r="C2037" i="1"/>
  <c r="D2037" i="1"/>
  <c r="E2037" i="1"/>
  <c r="F2037" i="1"/>
  <c r="G2037" i="1"/>
  <c r="I2037" i="1"/>
  <c r="J2037" i="1"/>
  <c r="K2037" i="1"/>
  <c r="L2037" i="1"/>
  <c r="M2037" i="1"/>
  <c r="N2037" i="1"/>
  <c r="O2037" i="1"/>
  <c r="P2037" i="1"/>
  <c r="Q2037" i="1"/>
  <c r="R2037" i="1"/>
  <c r="S2037" i="1"/>
  <c r="T2037" i="1"/>
  <c r="U2037" i="1"/>
  <c r="V2037" i="1"/>
  <c r="W2037" i="1"/>
  <c r="X2037" i="1"/>
  <c r="Y2037" i="1"/>
  <c r="Z2037" i="1"/>
  <c r="A2038" i="1"/>
  <c r="B2038" i="1"/>
  <c r="C2038" i="1"/>
  <c r="D2038" i="1"/>
  <c r="E2038" i="1"/>
  <c r="F2038" i="1"/>
  <c r="G2038" i="1"/>
  <c r="I2038" i="1"/>
  <c r="J2038" i="1"/>
  <c r="K2038" i="1"/>
  <c r="L2038" i="1"/>
  <c r="M2038" i="1"/>
  <c r="N2038" i="1"/>
  <c r="O2038" i="1"/>
  <c r="P2038" i="1"/>
  <c r="Q2038" i="1"/>
  <c r="R2038" i="1"/>
  <c r="S2038" i="1"/>
  <c r="T2038" i="1"/>
  <c r="U2038" i="1"/>
  <c r="V2038" i="1"/>
  <c r="W2038" i="1"/>
  <c r="X2038" i="1"/>
  <c r="Y2038" i="1"/>
  <c r="Z2038" i="1"/>
  <c r="A2039" i="1"/>
  <c r="B2039" i="1"/>
  <c r="C2039" i="1"/>
  <c r="D2039" i="1"/>
  <c r="E2039" i="1"/>
  <c r="F2039" i="1"/>
  <c r="G2039" i="1"/>
  <c r="I2039" i="1"/>
  <c r="J2039" i="1"/>
  <c r="K2039" i="1"/>
  <c r="L2039" i="1"/>
  <c r="M2039" i="1"/>
  <c r="N2039" i="1"/>
  <c r="O2039" i="1"/>
  <c r="P2039" i="1"/>
  <c r="Q2039" i="1"/>
  <c r="R2039" i="1"/>
  <c r="S2039" i="1"/>
  <c r="T2039" i="1"/>
  <c r="U2039" i="1"/>
  <c r="V2039" i="1"/>
  <c r="W2039" i="1"/>
  <c r="X2039" i="1"/>
  <c r="Y2039" i="1"/>
  <c r="Z2039" i="1"/>
  <c r="A2040" i="1"/>
  <c r="B2040" i="1"/>
  <c r="C2040" i="1"/>
  <c r="D2040" i="1"/>
  <c r="E2040" i="1"/>
  <c r="F2040" i="1"/>
  <c r="G2040" i="1"/>
  <c r="I2040" i="1"/>
  <c r="J2040" i="1"/>
  <c r="K2040" i="1"/>
  <c r="L2040" i="1"/>
  <c r="M2040" i="1"/>
  <c r="N2040" i="1"/>
  <c r="O2040" i="1"/>
  <c r="P2040" i="1"/>
  <c r="Q2040" i="1"/>
  <c r="R2040" i="1"/>
  <c r="S2040" i="1"/>
  <c r="T2040" i="1"/>
  <c r="U2040" i="1"/>
  <c r="V2040" i="1"/>
  <c r="W2040" i="1"/>
  <c r="X2040" i="1"/>
  <c r="Y2040" i="1"/>
  <c r="Z2040" i="1"/>
  <c r="A2041" i="1"/>
  <c r="B2041" i="1"/>
  <c r="C2041" i="1"/>
  <c r="D2041" i="1"/>
  <c r="E2041" i="1"/>
  <c r="F2041" i="1"/>
  <c r="G2041" i="1"/>
  <c r="I2041" i="1"/>
  <c r="J2041" i="1"/>
  <c r="K2041" i="1"/>
  <c r="L2041" i="1"/>
  <c r="M2041" i="1"/>
  <c r="N2041" i="1"/>
  <c r="O2041" i="1"/>
  <c r="P2041" i="1"/>
  <c r="Q2041" i="1"/>
  <c r="R2041" i="1"/>
  <c r="S2041" i="1"/>
  <c r="T2041" i="1"/>
  <c r="U2041" i="1"/>
  <c r="V2041" i="1"/>
  <c r="W2041" i="1"/>
  <c r="X2041" i="1"/>
  <c r="Y2041" i="1"/>
  <c r="Z2041" i="1"/>
  <c r="A2042" i="1"/>
  <c r="B2042" i="1"/>
  <c r="C2042" i="1"/>
  <c r="D2042" i="1"/>
  <c r="E2042" i="1"/>
  <c r="F2042" i="1"/>
  <c r="G2042" i="1"/>
  <c r="I2042" i="1"/>
  <c r="J2042" i="1"/>
  <c r="K2042" i="1"/>
  <c r="L2042" i="1"/>
  <c r="M2042" i="1"/>
  <c r="N2042" i="1"/>
  <c r="O2042" i="1"/>
  <c r="P2042" i="1"/>
  <c r="Q2042" i="1"/>
  <c r="R2042" i="1"/>
  <c r="S2042" i="1"/>
  <c r="T2042" i="1"/>
  <c r="U2042" i="1"/>
  <c r="V2042" i="1"/>
  <c r="W2042" i="1"/>
  <c r="X2042" i="1"/>
  <c r="Y2042" i="1"/>
  <c r="Z2042" i="1"/>
  <c r="A2043" i="1"/>
  <c r="B2043" i="1"/>
  <c r="C2043" i="1"/>
  <c r="D2043" i="1"/>
  <c r="E2043" i="1"/>
  <c r="F2043" i="1"/>
  <c r="G2043" i="1"/>
  <c r="I2043" i="1"/>
  <c r="J2043" i="1"/>
  <c r="K2043" i="1"/>
  <c r="L2043" i="1"/>
  <c r="M2043" i="1"/>
  <c r="N2043" i="1"/>
  <c r="O2043" i="1"/>
  <c r="P2043" i="1"/>
  <c r="Q2043" i="1"/>
  <c r="R2043" i="1"/>
  <c r="S2043" i="1"/>
  <c r="T2043" i="1"/>
  <c r="U2043" i="1"/>
  <c r="V2043" i="1"/>
  <c r="W2043" i="1"/>
  <c r="X2043" i="1"/>
  <c r="Y2043" i="1"/>
  <c r="Z2043" i="1"/>
  <c r="A2044" i="1"/>
  <c r="B2044" i="1"/>
  <c r="C2044" i="1"/>
  <c r="D2044" i="1"/>
  <c r="E2044" i="1"/>
  <c r="F2044" i="1"/>
  <c r="G2044" i="1"/>
  <c r="I2044" i="1"/>
  <c r="J2044" i="1"/>
  <c r="K2044" i="1"/>
  <c r="L2044" i="1"/>
  <c r="M2044" i="1"/>
  <c r="N2044" i="1"/>
  <c r="O2044" i="1"/>
  <c r="P2044" i="1"/>
  <c r="Q2044" i="1"/>
  <c r="R2044" i="1"/>
  <c r="S2044" i="1"/>
  <c r="T2044" i="1"/>
  <c r="U2044" i="1"/>
  <c r="V2044" i="1"/>
  <c r="W2044" i="1"/>
  <c r="X2044" i="1"/>
  <c r="Y2044" i="1"/>
  <c r="Z2044" i="1"/>
  <c r="A2045" i="1"/>
  <c r="B2045" i="1"/>
  <c r="C2045" i="1"/>
  <c r="D2045" i="1"/>
  <c r="E2045" i="1"/>
  <c r="F2045" i="1"/>
  <c r="G2045" i="1"/>
  <c r="I2045" i="1"/>
  <c r="J2045" i="1"/>
  <c r="K2045" i="1"/>
  <c r="L2045" i="1"/>
  <c r="M2045" i="1"/>
  <c r="N2045" i="1"/>
  <c r="O2045" i="1"/>
  <c r="P2045" i="1"/>
  <c r="Q2045" i="1"/>
  <c r="R2045" i="1"/>
  <c r="S2045" i="1"/>
  <c r="T2045" i="1"/>
  <c r="U2045" i="1"/>
  <c r="V2045" i="1"/>
  <c r="W2045" i="1"/>
  <c r="X2045" i="1"/>
  <c r="Y2045" i="1"/>
  <c r="Z2045" i="1"/>
  <c r="A2046" i="1"/>
  <c r="B2046" i="1"/>
  <c r="C2046" i="1"/>
  <c r="D2046" i="1"/>
  <c r="E2046" i="1"/>
  <c r="F2046" i="1"/>
  <c r="G2046" i="1"/>
  <c r="I2046" i="1"/>
  <c r="J2046" i="1"/>
  <c r="K2046" i="1"/>
  <c r="L2046" i="1"/>
  <c r="M2046" i="1"/>
  <c r="N2046" i="1"/>
  <c r="O2046" i="1"/>
  <c r="P2046" i="1"/>
  <c r="Q2046" i="1"/>
  <c r="R2046" i="1"/>
  <c r="S2046" i="1"/>
  <c r="T2046" i="1"/>
  <c r="U2046" i="1"/>
  <c r="V2046" i="1"/>
  <c r="W2046" i="1"/>
  <c r="X2046" i="1"/>
  <c r="Y2046" i="1"/>
  <c r="Z2046" i="1"/>
  <c r="A2047" i="1"/>
  <c r="B2047" i="1"/>
  <c r="C2047" i="1"/>
  <c r="D2047" i="1"/>
  <c r="E2047" i="1"/>
  <c r="F2047" i="1"/>
  <c r="G2047" i="1"/>
  <c r="I2047" i="1"/>
  <c r="J2047" i="1"/>
  <c r="K2047" i="1"/>
  <c r="L2047" i="1"/>
  <c r="M2047" i="1"/>
  <c r="N2047" i="1"/>
  <c r="O2047" i="1"/>
  <c r="P2047" i="1"/>
  <c r="Q2047" i="1"/>
  <c r="R2047" i="1"/>
  <c r="S2047" i="1"/>
  <c r="T2047" i="1"/>
  <c r="U2047" i="1"/>
  <c r="V2047" i="1"/>
  <c r="W2047" i="1"/>
  <c r="X2047" i="1"/>
  <c r="Y2047" i="1"/>
  <c r="Z2047" i="1"/>
  <c r="A2048" i="1"/>
  <c r="B2048" i="1"/>
  <c r="C2048" i="1"/>
  <c r="D2048" i="1"/>
  <c r="E2048" i="1"/>
  <c r="F2048" i="1"/>
  <c r="G2048" i="1"/>
  <c r="I2048" i="1"/>
  <c r="J2048" i="1"/>
  <c r="K2048" i="1"/>
  <c r="L2048" i="1"/>
  <c r="M2048" i="1"/>
  <c r="N2048" i="1"/>
  <c r="O2048" i="1"/>
  <c r="P2048" i="1"/>
  <c r="Q2048" i="1"/>
  <c r="R2048" i="1"/>
  <c r="S2048" i="1"/>
  <c r="T2048" i="1"/>
  <c r="U2048" i="1"/>
  <c r="V2048" i="1"/>
  <c r="W2048" i="1"/>
  <c r="X2048" i="1"/>
  <c r="Y2048" i="1"/>
  <c r="Z2048" i="1"/>
  <c r="A2049" i="1"/>
  <c r="B2049" i="1"/>
  <c r="C2049" i="1"/>
  <c r="D2049" i="1"/>
  <c r="E2049" i="1"/>
  <c r="F2049" i="1"/>
  <c r="G2049" i="1"/>
  <c r="I2049" i="1"/>
  <c r="J2049" i="1"/>
  <c r="K2049" i="1"/>
  <c r="L2049" i="1"/>
  <c r="M2049" i="1"/>
  <c r="N2049" i="1"/>
  <c r="O2049" i="1"/>
  <c r="P2049" i="1"/>
  <c r="Q2049" i="1"/>
  <c r="R2049" i="1"/>
  <c r="S2049" i="1"/>
  <c r="T2049" i="1"/>
  <c r="U2049" i="1"/>
  <c r="V2049" i="1"/>
  <c r="W2049" i="1"/>
  <c r="X2049" i="1"/>
  <c r="Y2049" i="1"/>
  <c r="Z2049" i="1"/>
  <c r="A2050" i="1"/>
  <c r="B2050" i="1"/>
  <c r="C2050" i="1"/>
  <c r="D2050" i="1"/>
  <c r="E2050" i="1"/>
  <c r="F2050" i="1"/>
  <c r="G2050" i="1"/>
  <c r="I2050" i="1"/>
  <c r="J2050" i="1"/>
  <c r="K2050" i="1"/>
  <c r="L2050" i="1"/>
  <c r="M2050" i="1"/>
  <c r="N2050" i="1"/>
  <c r="O2050" i="1"/>
  <c r="P2050" i="1"/>
  <c r="Q2050" i="1"/>
  <c r="R2050" i="1"/>
  <c r="S2050" i="1"/>
  <c r="T2050" i="1"/>
  <c r="U2050" i="1"/>
  <c r="V2050" i="1"/>
  <c r="W2050" i="1"/>
  <c r="X2050" i="1"/>
  <c r="Y2050" i="1"/>
  <c r="Z2050" i="1"/>
  <c r="A2051" i="1"/>
  <c r="B2051" i="1"/>
  <c r="C2051" i="1"/>
  <c r="D2051" i="1"/>
  <c r="E2051" i="1"/>
  <c r="F2051" i="1"/>
  <c r="G2051" i="1"/>
  <c r="I2051" i="1"/>
  <c r="J2051" i="1"/>
  <c r="K2051" i="1"/>
  <c r="L2051" i="1"/>
  <c r="M2051" i="1"/>
  <c r="N2051" i="1"/>
  <c r="O2051" i="1"/>
  <c r="P2051" i="1"/>
  <c r="Q2051" i="1"/>
  <c r="R2051" i="1"/>
  <c r="S2051" i="1"/>
  <c r="T2051" i="1"/>
  <c r="U2051" i="1"/>
  <c r="V2051" i="1"/>
  <c r="W2051" i="1"/>
  <c r="X2051" i="1"/>
  <c r="Y2051" i="1"/>
  <c r="Z2051" i="1"/>
  <c r="A2052" i="1"/>
  <c r="B2052" i="1"/>
  <c r="C2052" i="1"/>
  <c r="D2052" i="1"/>
  <c r="E2052" i="1"/>
  <c r="F2052" i="1"/>
  <c r="G2052" i="1"/>
  <c r="I2052" i="1"/>
  <c r="J2052" i="1"/>
  <c r="K2052" i="1"/>
  <c r="L2052" i="1"/>
  <c r="M2052" i="1"/>
  <c r="N2052" i="1"/>
  <c r="O2052" i="1"/>
  <c r="P2052" i="1"/>
  <c r="Q2052" i="1"/>
  <c r="R2052" i="1"/>
  <c r="S2052" i="1"/>
  <c r="T2052" i="1"/>
  <c r="U2052" i="1"/>
  <c r="V2052" i="1"/>
  <c r="W2052" i="1"/>
  <c r="X2052" i="1"/>
  <c r="Y2052" i="1"/>
  <c r="Z2052" i="1"/>
  <c r="A2053" i="1"/>
  <c r="B2053" i="1"/>
  <c r="C2053" i="1"/>
  <c r="D2053" i="1"/>
  <c r="E2053" i="1"/>
  <c r="F2053" i="1"/>
  <c r="G2053" i="1"/>
  <c r="I2053" i="1"/>
  <c r="J2053" i="1"/>
  <c r="K2053" i="1"/>
  <c r="L2053" i="1"/>
  <c r="M2053" i="1"/>
  <c r="N2053" i="1"/>
  <c r="O2053" i="1"/>
  <c r="P2053" i="1"/>
  <c r="Q2053" i="1"/>
  <c r="R2053" i="1"/>
  <c r="S2053" i="1"/>
  <c r="T2053" i="1"/>
  <c r="U2053" i="1"/>
  <c r="V2053" i="1"/>
  <c r="W2053" i="1"/>
  <c r="X2053" i="1"/>
  <c r="Y2053" i="1"/>
  <c r="Z2053" i="1"/>
  <c r="A2054" i="1"/>
  <c r="B2054" i="1"/>
  <c r="C2054" i="1"/>
  <c r="D2054" i="1"/>
  <c r="E2054" i="1"/>
  <c r="F2054" i="1"/>
  <c r="G2054" i="1"/>
  <c r="I2054" i="1"/>
  <c r="J2054" i="1"/>
  <c r="K2054" i="1"/>
  <c r="L2054" i="1"/>
  <c r="M2054" i="1"/>
  <c r="N2054" i="1"/>
  <c r="O2054" i="1"/>
  <c r="P2054" i="1"/>
  <c r="Q2054" i="1"/>
  <c r="R2054" i="1"/>
  <c r="S2054" i="1"/>
  <c r="T2054" i="1"/>
  <c r="U2054" i="1"/>
  <c r="V2054" i="1"/>
  <c r="W2054" i="1"/>
  <c r="X2054" i="1"/>
  <c r="Y2054" i="1"/>
  <c r="Z2054" i="1"/>
  <c r="A2055" i="1"/>
  <c r="B2055" i="1"/>
  <c r="C2055" i="1"/>
  <c r="D2055" i="1"/>
  <c r="E2055" i="1"/>
  <c r="F2055" i="1"/>
  <c r="G2055" i="1"/>
  <c r="I2055" i="1"/>
  <c r="J2055" i="1"/>
  <c r="K2055" i="1"/>
  <c r="L2055" i="1"/>
  <c r="M2055" i="1"/>
  <c r="N2055" i="1"/>
  <c r="O2055" i="1"/>
  <c r="P2055" i="1"/>
  <c r="Q2055" i="1"/>
  <c r="R2055" i="1"/>
  <c r="S2055" i="1"/>
  <c r="T2055" i="1"/>
  <c r="U2055" i="1"/>
  <c r="V2055" i="1"/>
  <c r="W2055" i="1"/>
  <c r="X2055" i="1"/>
  <c r="Y2055" i="1"/>
  <c r="Z2055" i="1"/>
  <c r="A2056" i="1"/>
  <c r="B2056" i="1"/>
  <c r="C2056" i="1"/>
  <c r="D2056" i="1"/>
  <c r="E2056" i="1"/>
  <c r="F2056" i="1"/>
  <c r="G2056" i="1"/>
  <c r="I2056" i="1"/>
  <c r="J2056" i="1"/>
  <c r="K2056" i="1"/>
  <c r="L2056" i="1"/>
  <c r="M2056" i="1"/>
  <c r="N2056" i="1"/>
  <c r="O2056" i="1"/>
  <c r="P2056" i="1"/>
  <c r="Q2056" i="1"/>
  <c r="R2056" i="1"/>
  <c r="S2056" i="1"/>
  <c r="T2056" i="1"/>
  <c r="U2056" i="1"/>
  <c r="V2056" i="1"/>
  <c r="W2056" i="1"/>
  <c r="X2056" i="1"/>
  <c r="Y2056" i="1"/>
  <c r="Z2056" i="1"/>
  <c r="A2057" i="1"/>
  <c r="B2057" i="1"/>
  <c r="C2057" i="1"/>
  <c r="D2057" i="1"/>
  <c r="E2057" i="1"/>
  <c r="F2057" i="1"/>
  <c r="G2057" i="1"/>
  <c r="I2057" i="1"/>
  <c r="J2057" i="1"/>
  <c r="K2057" i="1"/>
  <c r="L2057" i="1"/>
  <c r="M2057" i="1"/>
  <c r="N2057" i="1"/>
  <c r="O2057" i="1"/>
  <c r="P2057" i="1"/>
  <c r="Q2057" i="1"/>
  <c r="R2057" i="1"/>
  <c r="S2057" i="1"/>
  <c r="T2057" i="1"/>
  <c r="U2057" i="1"/>
  <c r="V2057" i="1"/>
  <c r="W2057" i="1"/>
  <c r="X2057" i="1"/>
  <c r="Y2057" i="1"/>
  <c r="Z2057" i="1"/>
  <c r="A2058" i="1"/>
  <c r="B2058" i="1"/>
  <c r="C2058" i="1"/>
  <c r="D2058" i="1"/>
  <c r="E2058" i="1"/>
  <c r="F2058" i="1"/>
  <c r="G2058" i="1"/>
  <c r="I2058" i="1"/>
  <c r="J2058" i="1"/>
  <c r="K2058" i="1"/>
  <c r="L2058" i="1"/>
  <c r="M2058" i="1"/>
  <c r="N2058" i="1"/>
  <c r="O2058" i="1"/>
  <c r="P2058" i="1"/>
  <c r="Q2058" i="1"/>
  <c r="R2058" i="1"/>
  <c r="S2058" i="1"/>
  <c r="T2058" i="1"/>
  <c r="U2058" i="1"/>
  <c r="V2058" i="1"/>
  <c r="W2058" i="1"/>
  <c r="X2058" i="1"/>
  <c r="Y2058" i="1"/>
  <c r="Z2058" i="1"/>
  <c r="A2059" i="1"/>
  <c r="B2059" i="1"/>
  <c r="C2059" i="1"/>
  <c r="D2059" i="1"/>
  <c r="E2059" i="1"/>
  <c r="F2059" i="1"/>
  <c r="G2059" i="1"/>
  <c r="I2059" i="1"/>
  <c r="J2059" i="1"/>
  <c r="K2059" i="1"/>
  <c r="L2059" i="1"/>
  <c r="M2059" i="1"/>
  <c r="N2059" i="1"/>
  <c r="O2059" i="1"/>
  <c r="P2059" i="1"/>
  <c r="Q2059" i="1"/>
  <c r="R2059" i="1"/>
  <c r="S2059" i="1"/>
  <c r="T2059" i="1"/>
  <c r="U2059" i="1"/>
  <c r="V2059" i="1"/>
  <c r="W2059" i="1"/>
  <c r="X2059" i="1"/>
  <c r="Y2059" i="1"/>
  <c r="Z2059" i="1"/>
  <c r="A2060" i="1"/>
  <c r="B2060" i="1"/>
  <c r="C2060" i="1"/>
  <c r="D2060" i="1"/>
  <c r="E2060" i="1"/>
  <c r="F2060" i="1"/>
  <c r="G2060" i="1"/>
  <c r="I2060" i="1"/>
  <c r="J2060" i="1"/>
  <c r="K2060" i="1"/>
  <c r="L2060" i="1"/>
  <c r="M2060" i="1"/>
  <c r="N2060" i="1"/>
  <c r="O2060" i="1"/>
  <c r="P2060" i="1"/>
  <c r="Q2060" i="1"/>
  <c r="R2060" i="1"/>
  <c r="S2060" i="1"/>
  <c r="T2060" i="1"/>
  <c r="U2060" i="1"/>
  <c r="V2060" i="1"/>
  <c r="W2060" i="1"/>
  <c r="X2060" i="1"/>
  <c r="Y2060" i="1"/>
  <c r="Z2060" i="1"/>
  <c r="A2061" i="1"/>
  <c r="B2061" i="1"/>
  <c r="C2061" i="1"/>
  <c r="D2061" i="1"/>
  <c r="E2061" i="1"/>
  <c r="F2061" i="1"/>
  <c r="G2061" i="1"/>
  <c r="I2061" i="1"/>
  <c r="J2061" i="1"/>
  <c r="K2061" i="1"/>
  <c r="L2061" i="1"/>
  <c r="M2061" i="1"/>
  <c r="N2061" i="1"/>
  <c r="O2061" i="1"/>
  <c r="P2061" i="1"/>
  <c r="Q2061" i="1"/>
  <c r="R2061" i="1"/>
  <c r="S2061" i="1"/>
  <c r="T2061" i="1"/>
  <c r="U2061" i="1"/>
  <c r="V2061" i="1"/>
  <c r="W2061" i="1"/>
  <c r="X2061" i="1"/>
  <c r="Y2061" i="1"/>
  <c r="Z2061" i="1"/>
  <c r="A2062" i="1"/>
  <c r="B2062" i="1"/>
  <c r="C2062" i="1"/>
  <c r="D2062" i="1"/>
  <c r="E2062" i="1"/>
  <c r="F2062" i="1"/>
  <c r="G2062" i="1"/>
  <c r="I2062" i="1"/>
  <c r="J2062" i="1"/>
  <c r="K2062" i="1"/>
  <c r="L2062" i="1"/>
  <c r="M2062" i="1"/>
  <c r="N2062" i="1"/>
  <c r="O2062" i="1"/>
  <c r="P2062" i="1"/>
  <c r="Q2062" i="1"/>
  <c r="R2062" i="1"/>
  <c r="S2062" i="1"/>
  <c r="T2062" i="1"/>
  <c r="U2062" i="1"/>
  <c r="V2062" i="1"/>
  <c r="W2062" i="1"/>
  <c r="X2062" i="1"/>
  <c r="Y2062" i="1"/>
  <c r="Z2062" i="1"/>
  <c r="A2063" i="1"/>
  <c r="B2063" i="1"/>
  <c r="C2063" i="1"/>
  <c r="D2063" i="1"/>
  <c r="E2063" i="1"/>
  <c r="F2063" i="1"/>
  <c r="G2063" i="1"/>
  <c r="I2063" i="1"/>
  <c r="J2063" i="1"/>
  <c r="K2063" i="1"/>
  <c r="L2063" i="1"/>
  <c r="M2063" i="1"/>
  <c r="N2063" i="1"/>
  <c r="O2063" i="1"/>
  <c r="P2063" i="1"/>
  <c r="Q2063" i="1"/>
  <c r="R2063" i="1"/>
  <c r="S2063" i="1"/>
  <c r="T2063" i="1"/>
  <c r="U2063" i="1"/>
  <c r="V2063" i="1"/>
  <c r="W2063" i="1"/>
  <c r="X2063" i="1"/>
  <c r="Y2063" i="1"/>
  <c r="Z2063" i="1"/>
  <c r="A2064" i="1"/>
  <c r="B2064" i="1"/>
  <c r="C2064" i="1"/>
  <c r="D2064" i="1"/>
  <c r="E2064" i="1"/>
  <c r="F2064" i="1"/>
  <c r="G2064" i="1"/>
  <c r="I2064" i="1"/>
  <c r="J2064" i="1"/>
  <c r="K2064" i="1"/>
  <c r="L2064" i="1"/>
  <c r="M2064" i="1"/>
  <c r="N2064" i="1"/>
  <c r="O2064" i="1"/>
  <c r="P2064" i="1"/>
  <c r="Q2064" i="1"/>
  <c r="R2064" i="1"/>
  <c r="S2064" i="1"/>
  <c r="T2064" i="1"/>
  <c r="U2064" i="1"/>
  <c r="V2064" i="1"/>
  <c r="W2064" i="1"/>
  <c r="X2064" i="1"/>
  <c r="Y2064" i="1"/>
  <c r="Z2064" i="1"/>
  <c r="A2065" i="1"/>
  <c r="B2065" i="1"/>
  <c r="C2065" i="1"/>
  <c r="D2065" i="1"/>
  <c r="E2065" i="1"/>
  <c r="F2065" i="1"/>
  <c r="G2065" i="1"/>
  <c r="I2065" i="1"/>
  <c r="J2065" i="1"/>
  <c r="K2065" i="1"/>
  <c r="L2065" i="1"/>
  <c r="M2065" i="1"/>
  <c r="N2065" i="1"/>
  <c r="O2065" i="1"/>
  <c r="P2065" i="1"/>
  <c r="Q2065" i="1"/>
  <c r="R2065" i="1"/>
  <c r="S2065" i="1"/>
  <c r="T2065" i="1"/>
  <c r="U2065" i="1"/>
  <c r="V2065" i="1"/>
  <c r="W2065" i="1"/>
  <c r="X2065" i="1"/>
  <c r="Y2065" i="1"/>
  <c r="Z2065" i="1"/>
  <c r="A2066" i="1"/>
  <c r="B2066" i="1"/>
  <c r="C2066" i="1"/>
  <c r="D2066" i="1"/>
  <c r="E2066" i="1"/>
  <c r="F2066" i="1"/>
  <c r="G2066" i="1"/>
  <c r="I2066" i="1"/>
  <c r="J2066" i="1"/>
  <c r="K2066" i="1"/>
  <c r="L2066" i="1"/>
  <c r="M2066" i="1"/>
  <c r="N2066" i="1"/>
  <c r="O2066" i="1"/>
  <c r="P2066" i="1"/>
  <c r="Q2066" i="1"/>
  <c r="R2066" i="1"/>
  <c r="S2066" i="1"/>
  <c r="T2066" i="1"/>
  <c r="U2066" i="1"/>
  <c r="V2066" i="1"/>
  <c r="W2066" i="1"/>
  <c r="X2066" i="1"/>
  <c r="Y2066" i="1"/>
  <c r="Z2066" i="1"/>
  <c r="A2067" i="1"/>
  <c r="B2067" i="1"/>
  <c r="C2067" i="1"/>
  <c r="D2067" i="1"/>
  <c r="E2067" i="1"/>
  <c r="F2067" i="1"/>
  <c r="G2067" i="1"/>
  <c r="I2067" i="1"/>
  <c r="J2067" i="1"/>
  <c r="K2067" i="1"/>
  <c r="L2067" i="1"/>
  <c r="M2067" i="1"/>
  <c r="N2067" i="1"/>
  <c r="O2067" i="1"/>
  <c r="P2067" i="1"/>
  <c r="Q2067" i="1"/>
  <c r="R2067" i="1"/>
  <c r="S2067" i="1"/>
  <c r="T2067" i="1"/>
  <c r="U2067" i="1"/>
  <c r="V2067" i="1"/>
  <c r="W2067" i="1"/>
  <c r="X2067" i="1"/>
  <c r="Y2067" i="1"/>
  <c r="Z2067" i="1"/>
  <c r="A2068" i="1"/>
  <c r="B2068" i="1"/>
  <c r="C2068" i="1"/>
  <c r="D2068" i="1"/>
  <c r="E2068" i="1"/>
  <c r="F2068" i="1"/>
  <c r="G2068" i="1"/>
  <c r="I2068" i="1"/>
  <c r="J2068" i="1"/>
  <c r="K2068" i="1"/>
  <c r="L2068" i="1"/>
  <c r="M2068" i="1"/>
  <c r="N2068" i="1"/>
  <c r="O2068" i="1"/>
  <c r="P2068" i="1"/>
  <c r="Q2068" i="1"/>
  <c r="R2068" i="1"/>
  <c r="S2068" i="1"/>
  <c r="T2068" i="1"/>
  <c r="U2068" i="1"/>
  <c r="V2068" i="1"/>
  <c r="W2068" i="1"/>
  <c r="X2068" i="1"/>
  <c r="Y2068" i="1"/>
  <c r="Z2068" i="1"/>
  <c r="A2069" i="1"/>
  <c r="B2069" i="1"/>
  <c r="C2069" i="1"/>
  <c r="D2069" i="1"/>
  <c r="E2069" i="1"/>
  <c r="F2069" i="1"/>
  <c r="G2069" i="1"/>
  <c r="I2069" i="1"/>
  <c r="J2069" i="1"/>
  <c r="K2069" i="1"/>
  <c r="L2069" i="1"/>
  <c r="M2069" i="1"/>
  <c r="N2069" i="1"/>
  <c r="O2069" i="1"/>
  <c r="P2069" i="1"/>
  <c r="Q2069" i="1"/>
  <c r="R2069" i="1"/>
  <c r="S2069" i="1"/>
  <c r="T2069" i="1"/>
  <c r="U2069" i="1"/>
  <c r="V2069" i="1"/>
  <c r="W2069" i="1"/>
  <c r="X2069" i="1"/>
  <c r="Y2069" i="1"/>
  <c r="Z2069" i="1"/>
  <c r="A2070" i="1"/>
  <c r="B2070" i="1"/>
  <c r="C2070" i="1"/>
  <c r="D2070" i="1"/>
  <c r="E2070" i="1"/>
  <c r="F2070" i="1"/>
  <c r="G2070" i="1"/>
  <c r="I2070" i="1"/>
  <c r="J2070" i="1"/>
  <c r="K2070" i="1"/>
  <c r="L2070" i="1"/>
  <c r="M2070" i="1"/>
  <c r="N2070" i="1"/>
  <c r="O2070" i="1"/>
  <c r="P2070" i="1"/>
  <c r="Q2070" i="1"/>
  <c r="R2070" i="1"/>
  <c r="S2070" i="1"/>
  <c r="T2070" i="1"/>
  <c r="U2070" i="1"/>
  <c r="V2070" i="1"/>
  <c r="W2070" i="1"/>
  <c r="X2070" i="1"/>
  <c r="Y2070" i="1"/>
  <c r="Z2070" i="1"/>
  <c r="A2071" i="1"/>
  <c r="B2071" i="1"/>
  <c r="C2071" i="1"/>
  <c r="D2071" i="1"/>
  <c r="E2071" i="1"/>
  <c r="F2071" i="1"/>
  <c r="G2071" i="1"/>
  <c r="I2071" i="1"/>
  <c r="J2071" i="1"/>
  <c r="K2071" i="1"/>
  <c r="L2071" i="1"/>
  <c r="M2071" i="1"/>
  <c r="N2071" i="1"/>
  <c r="O2071" i="1"/>
  <c r="P2071" i="1"/>
  <c r="Q2071" i="1"/>
  <c r="R2071" i="1"/>
  <c r="S2071" i="1"/>
  <c r="T2071" i="1"/>
  <c r="U2071" i="1"/>
  <c r="V2071" i="1"/>
  <c r="W2071" i="1"/>
  <c r="X2071" i="1"/>
  <c r="Y2071" i="1"/>
  <c r="Z2071" i="1"/>
  <c r="A2072" i="1"/>
  <c r="B2072" i="1"/>
  <c r="C2072" i="1"/>
  <c r="D2072" i="1"/>
  <c r="E2072" i="1"/>
  <c r="F2072" i="1"/>
  <c r="G2072" i="1"/>
  <c r="I2072" i="1"/>
  <c r="J2072" i="1"/>
  <c r="K2072" i="1"/>
  <c r="L2072" i="1"/>
  <c r="M2072" i="1"/>
  <c r="N2072" i="1"/>
  <c r="O2072" i="1"/>
  <c r="P2072" i="1"/>
  <c r="Q2072" i="1"/>
  <c r="R2072" i="1"/>
  <c r="S2072" i="1"/>
  <c r="T2072" i="1"/>
  <c r="U2072" i="1"/>
  <c r="V2072" i="1"/>
  <c r="W2072" i="1"/>
  <c r="X2072" i="1"/>
  <c r="Y2072" i="1"/>
  <c r="Z2072" i="1"/>
  <c r="A2073" i="1"/>
  <c r="B2073" i="1"/>
  <c r="C2073" i="1"/>
  <c r="D2073" i="1"/>
  <c r="E2073" i="1"/>
  <c r="F2073" i="1"/>
  <c r="G2073" i="1"/>
  <c r="I2073" i="1"/>
  <c r="J2073" i="1"/>
  <c r="K2073" i="1"/>
  <c r="L2073" i="1"/>
  <c r="M2073" i="1"/>
  <c r="N2073" i="1"/>
  <c r="O2073" i="1"/>
  <c r="P2073" i="1"/>
  <c r="Q2073" i="1"/>
  <c r="R2073" i="1"/>
  <c r="S2073" i="1"/>
  <c r="T2073" i="1"/>
  <c r="U2073" i="1"/>
  <c r="V2073" i="1"/>
  <c r="W2073" i="1"/>
  <c r="X2073" i="1"/>
  <c r="Y2073" i="1"/>
  <c r="Z2073" i="1"/>
  <c r="A2074" i="1"/>
  <c r="B2074" i="1"/>
  <c r="C2074" i="1"/>
  <c r="D2074" i="1"/>
  <c r="E2074" i="1"/>
  <c r="F2074" i="1"/>
  <c r="G2074" i="1"/>
  <c r="I2074" i="1"/>
  <c r="J2074" i="1"/>
  <c r="K2074" i="1"/>
  <c r="L2074" i="1"/>
  <c r="M2074" i="1"/>
  <c r="N2074" i="1"/>
  <c r="O2074" i="1"/>
  <c r="P2074" i="1"/>
  <c r="Q2074" i="1"/>
  <c r="R2074" i="1"/>
  <c r="S2074" i="1"/>
  <c r="T2074" i="1"/>
  <c r="U2074" i="1"/>
  <c r="V2074" i="1"/>
  <c r="W2074" i="1"/>
  <c r="X2074" i="1"/>
  <c r="Y2074" i="1"/>
  <c r="Z2074" i="1"/>
  <c r="A2075" i="1"/>
  <c r="B2075" i="1"/>
  <c r="C2075" i="1"/>
  <c r="D2075" i="1"/>
  <c r="E2075" i="1"/>
  <c r="F2075" i="1"/>
  <c r="G2075" i="1"/>
  <c r="I2075" i="1"/>
  <c r="J2075" i="1"/>
  <c r="K2075" i="1"/>
  <c r="L2075" i="1"/>
  <c r="M2075" i="1"/>
  <c r="N2075" i="1"/>
  <c r="O2075" i="1"/>
  <c r="P2075" i="1"/>
  <c r="Q2075" i="1"/>
  <c r="R2075" i="1"/>
  <c r="S2075" i="1"/>
  <c r="T2075" i="1"/>
  <c r="U2075" i="1"/>
  <c r="V2075" i="1"/>
  <c r="W2075" i="1"/>
  <c r="X2075" i="1"/>
  <c r="Y2075" i="1"/>
  <c r="Z2075" i="1"/>
  <c r="A2076" i="1"/>
  <c r="B2076" i="1"/>
  <c r="C2076" i="1"/>
  <c r="D2076" i="1"/>
  <c r="E2076" i="1"/>
  <c r="F2076" i="1"/>
  <c r="G2076" i="1"/>
  <c r="I2076" i="1"/>
  <c r="J2076" i="1"/>
  <c r="K2076" i="1"/>
  <c r="L2076" i="1"/>
  <c r="M2076" i="1"/>
  <c r="N2076" i="1"/>
  <c r="O2076" i="1"/>
  <c r="P2076" i="1"/>
  <c r="Q2076" i="1"/>
  <c r="R2076" i="1"/>
  <c r="S2076" i="1"/>
  <c r="T2076" i="1"/>
  <c r="U2076" i="1"/>
  <c r="V2076" i="1"/>
  <c r="W2076" i="1"/>
  <c r="X2076" i="1"/>
  <c r="Y2076" i="1"/>
  <c r="Z2076" i="1"/>
  <c r="A2077" i="1"/>
  <c r="B2077" i="1"/>
  <c r="C2077" i="1"/>
  <c r="D2077" i="1"/>
  <c r="E2077" i="1"/>
  <c r="F2077" i="1"/>
  <c r="G2077" i="1"/>
  <c r="I2077" i="1"/>
  <c r="J2077" i="1"/>
  <c r="K2077" i="1"/>
  <c r="L2077" i="1"/>
  <c r="M2077" i="1"/>
  <c r="N2077" i="1"/>
  <c r="O2077" i="1"/>
  <c r="P2077" i="1"/>
  <c r="Q2077" i="1"/>
  <c r="R2077" i="1"/>
  <c r="S2077" i="1"/>
  <c r="T2077" i="1"/>
  <c r="U2077" i="1"/>
  <c r="V2077" i="1"/>
  <c r="W2077" i="1"/>
  <c r="X2077" i="1"/>
  <c r="Y2077" i="1"/>
  <c r="Z2077" i="1"/>
  <c r="A2078" i="1"/>
  <c r="B2078" i="1"/>
  <c r="C2078" i="1"/>
  <c r="D2078" i="1"/>
  <c r="E2078" i="1"/>
  <c r="F2078" i="1"/>
  <c r="G2078" i="1"/>
  <c r="I2078" i="1"/>
  <c r="J2078" i="1"/>
  <c r="K2078" i="1"/>
  <c r="L2078" i="1"/>
  <c r="M2078" i="1"/>
  <c r="N2078" i="1"/>
  <c r="O2078" i="1"/>
  <c r="P2078" i="1"/>
  <c r="Q2078" i="1"/>
  <c r="R2078" i="1"/>
  <c r="S2078" i="1"/>
  <c r="T2078" i="1"/>
  <c r="U2078" i="1"/>
  <c r="V2078" i="1"/>
  <c r="W2078" i="1"/>
  <c r="X2078" i="1"/>
  <c r="Y2078" i="1"/>
  <c r="Z2078" i="1"/>
  <c r="A2079" i="1"/>
  <c r="B2079" i="1"/>
  <c r="C2079" i="1"/>
  <c r="D2079" i="1"/>
  <c r="E2079" i="1"/>
  <c r="F2079" i="1"/>
  <c r="G2079" i="1"/>
  <c r="I2079" i="1"/>
  <c r="J2079" i="1"/>
  <c r="K2079" i="1"/>
  <c r="L2079" i="1"/>
  <c r="M2079" i="1"/>
  <c r="N2079" i="1"/>
  <c r="O2079" i="1"/>
  <c r="P2079" i="1"/>
  <c r="Q2079" i="1"/>
  <c r="R2079" i="1"/>
  <c r="S2079" i="1"/>
  <c r="T2079" i="1"/>
  <c r="U2079" i="1"/>
  <c r="V2079" i="1"/>
  <c r="W2079" i="1"/>
  <c r="X2079" i="1"/>
  <c r="Y2079" i="1"/>
  <c r="Z2079" i="1"/>
  <c r="A2080" i="1"/>
  <c r="B2080" i="1"/>
  <c r="C2080" i="1"/>
  <c r="D2080" i="1"/>
  <c r="E2080" i="1"/>
  <c r="F2080" i="1"/>
  <c r="G2080" i="1"/>
  <c r="I2080" i="1"/>
  <c r="J2080" i="1"/>
  <c r="K2080" i="1"/>
  <c r="L2080" i="1"/>
  <c r="M2080" i="1"/>
  <c r="N2080" i="1"/>
  <c r="O2080" i="1"/>
  <c r="P2080" i="1"/>
  <c r="Q2080" i="1"/>
  <c r="R2080" i="1"/>
  <c r="S2080" i="1"/>
  <c r="T2080" i="1"/>
  <c r="U2080" i="1"/>
  <c r="V2080" i="1"/>
  <c r="W2080" i="1"/>
  <c r="X2080" i="1"/>
  <c r="Y2080" i="1"/>
  <c r="Z2080" i="1"/>
  <c r="A2081" i="1"/>
  <c r="B2081" i="1"/>
  <c r="C2081" i="1"/>
  <c r="D2081" i="1"/>
  <c r="E2081" i="1"/>
  <c r="F2081" i="1"/>
  <c r="G2081" i="1"/>
  <c r="I2081" i="1"/>
  <c r="J2081" i="1"/>
  <c r="K2081" i="1"/>
  <c r="L2081" i="1"/>
  <c r="M2081" i="1"/>
  <c r="N2081" i="1"/>
  <c r="O2081" i="1"/>
  <c r="P2081" i="1"/>
  <c r="Q2081" i="1"/>
  <c r="R2081" i="1"/>
  <c r="S2081" i="1"/>
  <c r="T2081" i="1"/>
  <c r="U2081" i="1"/>
  <c r="V2081" i="1"/>
  <c r="W2081" i="1"/>
  <c r="X2081" i="1"/>
  <c r="Y2081" i="1"/>
  <c r="Z2081" i="1"/>
  <c r="A2082" i="1"/>
  <c r="B2082" i="1"/>
  <c r="C2082" i="1"/>
  <c r="D2082" i="1"/>
  <c r="E2082" i="1"/>
  <c r="F2082" i="1"/>
  <c r="G2082" i="1"/>
  <c r="I2082" i="1"/>
  <c r="J2082" i="1"/>
  <c r="K2082" i="1"/>
  <c r="L2082" i="1"/>
  <c r="M2082" i="1"/>
  <c r="N2082" i="1"/>
  <c r="O2082" i="1"/>
  <c r="P2082" i="1"/>
  <c r="Q2082" i="1"/>
  <c r="R2082" i="1"/>
  <c r="S2082" i="1"/>
  <c r="T2082" i="1"/>
  <c r="U2082" i="1"/>
  <c r="V2082" i="1"/>
  <c r="W2082" i="1"/>
  <c r="X2082" i="1"/>
  <c r="Y2082" i="1"/>
  <c r="Z2082" i="1"/>
  <c r="A2083" i="1"/>
  <c r="B2083" i="1"/>
  <c r="C2083" i="1"/>
  <c r="D2083" i="1"/>
  <c r="E2083" i="1"/>
  <c r="F2083" i="1"/>
  <c r="G2083" i="1"/>
  <c r="I2083" i="1"/>
  <c r="J2083" i="1"/>
  <c r="K2083" i="1"/>
  <c r="L2083" i="1"/>
  <c r="M2083" i="1"/>
  <c r="N2083" i="1"/>
  <c r="O2083" i="1"/>
  <c r="P2083" i="1"/>
  <c r="Q2083" i="1"/>
  <c r="R2083" i="1"/>
  <c r="S2083" i="1"/>
  <c r="T2083" i="1"/>
  <c r="U2083" i="1"/>
  <c r="V2083" i="1"/>
  <c r="W2083" i="1"/>
  <c r="X2083" i="1"/>
  <c r="Y2083" i="1"/>
  <c r="Z2083" i="1"/>
  <c r="A2084" i="1"/>
  <c r="B2084" i="1"/>
  <c r="C2084" i="1"/>
  <c r="D2084" i="1"/>
  <c r="E2084" i="1"/>
  <c r="F2084" i="1"/>
  <c r="G2084" i="1"/>
  <c r="I2084" i="1"/>
  <c r="J2084" i="1"/>
  <c r="K2084" i="1"/>
  <c r="L2084" i="1"/>
  <c r="M2084" i="1"/>
  <c r="N2084" i="1"/>
  <c r="O2084" i="1"/>
  <c r="P2084" i="1"/>
  <c r="Q2084" i="1"/>
  <c r="R2084" i="1"/>
  <c r="S2084" i="1"/>
  <c r="T2084" i="1"/>
  <c r="U2084" i="1"/>
  <c r="V2084" i="1"/>
  <c r="W2084" i="1"/>
  <c r="X2084" i="1"/>
  <c r="Y2084" i="1"/>
  <c r="Z2084" i="1"/>
  <c r="A2085" i="1"/>
  <c r="B2085" i="1"/>
  <c r="C2085" i="1"/>
  <c r="D2085" i="1"/>
  <c r="E2085" i="1"/>
  <c r="F2085" i="1"/>
  <c r="G2085" i="1"/>
  <c r="I2085" i="1"/>
  <c r="J2085" i="1"/>
  <c r="K2085" i="1"/>
  <c r="L2085" i="1"/>
  <c r="M2085" i="1"/>
  <c r="N2085" i="1"/>
  <c r="O2085" i="1"/>
  <c r="P2085" i="1"/>
  <c r="Q2085" i="1"/>
  <c r="R2085" i="1"/>
  <c r="S2085" i="1"/>
  <c r="T2085" i="1"/>
  <c r="U2085" i="1"/>
  <c r="V2085" i="1"/>
  <c r="W2085" i="1"/>
  <c r="X2085" i="1"/>
  <c r="Y2085" i="1"/>
  <c r="Z2085" i="1"/>
  <c r="A2086" i="1"/>
  <c r="B2086" i="1"/>
  <c r="C2086" i="1"/>
  <c r="D2086" i="1"/>
  <c r="E2086" i="1"/>
  <c r="F2086" i="1"/>
  <c r="G2086" i="1"/>
  <c r="I2086" i="1"/>
  <c r="J2086" i="1"/>
  <c r="K2086" i="1"/>
  <c r="L2086" i="1"/>
  <c r="M2086" i="1"/>
  <c r="N2086" i="1"/>
  <c r="O2086" i="1"/>
  <c r="P2086" i="1"/>
  <c r="Q2086" i="1"/>
  <c r="R2086" i="1"/>
  <c r="S2086" i="1"/>
  <c r="T2086" i="1"/>
  <c r="U2086" i="1"/>
  <c r="V2086" i="1"/>
  <c r="W2086" i="1"/>
  <c r="X2086" i="1"/>
  <c r="Y2086" i="1"/>
  <c r="Z2086" i="1"/>
  <c r="A2087" i="1"/>
  <c r="B2087" i="1"/>
  <c r="C2087" i="1"/>
  <c r="D2087" i="1"/>
  <c r="E2087" i="1"/>
  <c r="F2087" i="1"/>
  <c r="G2087" i="1"/>
  <c r="I2087" i="1"/>
  <c r="J2087" i="1"/>
  <c r="K2087" i="1"/>
  <c r="L2087" i="1"/>
  <c r="M2087" i="1"/>
  <c r="N2087" i="1"/>
  <c r="O2087" i="1"/>
  <c r="P2087" i="1"/>
  <c r="Q2087" i="1"/>
  <c r="R2087" i="1"/>
  <c r="S2087" i="1"/>
  <c r="T2087" i="1"/>
  <c r="U2087" i="1"/>
  <c r="V2087" i="1"/>
  <c r="W2087" i="1"/>
  <c r="X2087" i="1"/>
  <c r="Y2087" i="1"/>
  <c r="Z2087" i="1"/>
  <c r="A2088" i="1"/>
  <c r="B2088" i="1"/>
  <c r="C2088" i="1"/>
  <c r="D2088" i="1"/>
  <c r="E2088" i="1"/>
  <c r="F2088" i="1"/>
  <c r="G2088" i="1"/>
  <c r="I2088" i="1"/>
  <c r="J2088" i="1"/>
  <c r="K2088" i="1"/>
  <c r="L2088" i="1"/>
  <c r="M2088" i="1"/>
  <c r="N2088" i="1"/>
  <c r="O2088" i="1"/>
  <c r="P2088" i="1"/>
  <c r="Q2088" i="1"/>
  <c r="R2088" i="1"/>
  <c r="S2088" i="1"/>
  <c r="T2088" i="1"/>
  <c r="U2088" i="1"/>
  <c r="V2088" i="1"/>
  <c r="W2088" i="1"/>
  <c r="X2088" i="1"/>
  <c r="Y2088" i="1"/>
  <c r="Z2088" i="1"/>
  <c r="A2089" i="1"/>
  <c r="B2089" i="1"/>
  <c r="C2089" i="1"/>
  <c r="D2089" i="1"/>
  <c r="E2089" i="1"/>
  <c r="F2089" i="1"/>
  <c r="G2089" i="1"/>
  <c r="I2089" i="1"/>
  <c r="J2089" i="1"/>
  <c r="K2089" i="1"/>
  <c r="L2089" i="1"/>
  <c r="M2089" i="1"/>
  <c r="N2089" i="1"/>
  <c r="O2089" i="1"/>
  <c r="P2089" i="1"/>
  <c r="Q2089" i="1"/>
  <c r="R2089" i="1"/>
  <c r="S2089" i="1"/>
  <c r="T2089" i="1"/>
  <c r="U2089" i="1"/>
  <c r="V2089" i="1"/>
  <c r="W2089" i="1"/>
  <c r="X2089" i="1"/>
  <c r="Y2089" i="1"/>
  <c r="Z2089" i="1"/>
  <c r="A2090" i="1"/>
  <c r="B2090" i="1"/>
  <c r="C2090" i="1"/>
  <c r="D2090" i="1"/>
  <c r="E2090" i="1"/>
  <c r="F2090" i="1"/>
  <c r="G2090" i="1"/>
  <c r="I2090" i="1"/>
  <c r="J2090" i="1"/>
  <c r="K2090" i="1"/>
  <c r="L2090" i="1"/>
  <c r="M2090" i="1"/>
  <c r="N2090" i="1"/>
  <c r="O2090" i="1"/>
  <c r="P2090" i="1"/>
  <c r="Q2090" i="1"/>
  <c r="R2090" i="1"/>
  <c r="S2090" i="1"/>
  <c r="T2090" i="1"/>
  <c r="U2090" i="1"/>
  <c r="V2090" i="1"/>
  <c r="W2090" i="1"/>
  <c r="X2090" i="1"/>
  <c r="Y2090" i="1"/>
  <c r="Z2090" i="1"/>
  <c r="A2091" i="1"/>
  <c r="B2091" i="1"/>
  <c r="C2091" i="1"/>
  <c r="D2091" i="1"/>
  <c r="E2091" i="1"/>
  <c r="F2091" i="1"/>
  <c r="G2091" i="1"/>
  <c r="I2091" i="1"/>
  <c r="J2091" i="1"/>
  <c r="K2091" i="1"/>
  <c r="L2091" i="1"/>
  <c r="M2091" i="1"/>
  <c r="N2091" i="1"/>
  <c r="O2091" i="1"/>
  <c r="P2091" i="1"/>
  <c r="Q2091" i="1"/>
  <c r="R2091" i="1"/>
  <c r="S2091" i="1"/>
  <c r="T2091" i="1"/>
  <c r="U2091" i="1"/>
  <c r="V2091" i="1"/>
  <c r="W2091" i="1"/>
  <c r="X2091" i="1"/>
  <c r="Y2091" i="1"/>
  <c r="Z2091" i="1"/>
  <c r="A2092" i="1"/>
  <c r="B2092" i="1"/>
  <c r="C2092" i="1"/>
  <c r="D2092" i="1"/>
  <c r="E2092" i="1"/>
  <c r="F2092" i="1"/>
  <c r="G2092" i="1"/>
  <c r="I2092" i="1"/>
  <c r="J2092" i="1"/>
  <c r="K2092" i="1"/>
  <c r="L2092" i="1"/>
  <c r="M2092" i="1"/>
  <c r="N2092" i="1"/>
  <c r="O2092" i="1"/>
  <c r="P2092" i="1"/>
  <c r="Q2092" i="1"/>
  <c r="R2092" i="1"/>
  <c r="S2092" i="1"/>
  <c r="T2092" i="1"/>
  <c r="U2092" i="1"/>
  <c r="V2092" i="1"/>
  <c r="W2092" i="1"/>
  <c r="X2092" i="1"/>
  <c r="Y2092" i="1"/>
  <c r="Z2092" i="1"/>
  <c r="A2093" i="1"/>
  <c r="B2093" i="1"/>
  <c r="C2093" i="1"/>
  <c r="D2093" i="1"/>
  <c r="E2093" i="1"/>
  <c r="F2093" i="1"/>
  <c r="G2093" i="1"/>
  <c r="I2093" i="1"/>
  <c r="J2093" i="1"/>
  <c r="K2093" i="1"/>
  <c r="L2093" i="1"/>
  <c r="M2093" i="1"/>
  <c r="N2093" i="1"/>
  <c r="O2093" i="1"/>
  <c r="P2093" i="1"/>
  <c r="Q2093" i="1"/>
  <c r="R2093" i="1"/>
  <c r="S2093" i="1"/>
  <c r="T2093" i="1"/>
  <c r="U2093" i="1"/>
  <c r="V2093" i="1"/>
  <c r="W2093" i="1"/>
  <c r="X2093" i="1"/>
  <c r="Y2093" i="1"/>
  <c r="Z2093" i="1"/>
  <c r="A2094" i="1"/>
  <c r="B2094" i="1"/>
  <c r="C2094" i="1"/>
  <c r="D2094" i="1"/>
  <c r="E2094" i="1"/>
  <c r="F2094" i="1"/>
  <c r="G2094" i="1"/>
  <c r="I2094" i="1"/>
  <c r="J2094" i="1"/>
  <c r="K2094" i="1"/>
  <c r="L2094" i="1"/>
  <c r="M2094" i="1"/>
  <c r="N2094" i="1"/>
  <c r="O2094" i="1"/>
  <c r="P2094" i="1"/>
  <c r="Q2094" i="1"/>
  <c r="R2094" i="1"/>
  <c r="S2094" i="1"/>
  <c r="T2094" i="1"/>
  <c r="U2094" i="1"/>
  <c r="V2094" i="1"/>
  <c r="W2094" i="1"/>
  <c r="X2094" i="1"/>
  <c r="Y2094" i="1"/>
  <c r="Z2094" i="1"/>
  <c r="A2095" i="1"/>
  <c r="B2095" i="1"/>
  <c r="C2095" i="1"/>
  <c r="D2095" i="1"/>
  <c r="E2095" i="1"/>
  <c r="F2095" i="1"/>
  <c r="G2095" i="1"/>
  <c r="I2095" i="1"/>
  <c r="J2095" i="1"/>
  <c r="K2095" i="1"/>
  <c r="L2095" i="1"/>
  <c r="M2095" i="1"/>
  <c r="N2095" i="1"/>
  <c r="O2095" i="1"/>
  <c r="P2095" i="1"/>
  <c r="Q2095" i="1"/>
  <c r="R2095" i="1"/>
  <c r="S2095" i="1"/>
  <c r="T2095" i="1"/>
  <c r="U2095" i="1"/>
  <c r="V2095" i="1"/>
  <c r="W2095" i="1"/>
  <c r="X2095" i="1"/>
  <c r="Y2095" i="1"/>
  <c r="Z2095" i="1"/>
  <c r="A2096" i="1"/>
  <c r="B2096" i="1"/>
  <c r="C2096" i="1"/>
  <c r="D2096" i="1"/>
  <c r="E2096" i="1"/>
  <c r="F2096" i="1"/>
  <c r="G2096" i="1"/>
  <c r="I2096" i="1"/>
  <c r="J2096" i="1"/>
  <c r="K2096" i="1"/>
  <c r="L2096" i="1"/>
  <c r="M2096" i="1"/>
  <c r="N2096" i="1"/>
  <c r="O2096" i="1"/>
  <c r="P2096" i="1"/>
  <c r="Q2096" i="1"/>
  <c r="R2096" i="1"/>
  <c r="S2096" i="1"/>
  <c r="T2096" i="1"/>
  <c r="U2096" i="1"/>
  <c r="V2096" i="1"/>
  <c r="W2096" i="1"/>
  <c r="X2096" i="1"/>
  <c r="Y2096" i="1"/>
  <c r="Z2096" i="1"/>
  <c r="A2097" i="1"/>
  <c r="B2097" i="1"/>
  <c r="C2097" i="1"/>
  <c r="D2097" i="1"/>
  <c r="E2097" i="1"/>
  <c r="F2097" i="1"/>
  <c r="G2097" i="1"/>
  <c r="I2097" i="1"/>
  <c r="J2097" i="1"/>
  <c r="K2097" i="1"/>
  <c r="L2097" i="1"/>
  <c r="M2097" i="1"/>
  <c r="N2097" i="1"/>
  <c r="O2097" i="1"/>
  <c r="P2097" i="1"/>
  <c r="Q2097" i="1"/>
  <c r="R2097" i="1"/>
  <c r="S2097" i="1"/>
  <c r="T2097" i="1"/>
  <c r="U2097" i="1"/>
  <c r="V2097" i="1"/>
  <c r="W2097" i="1"/>
  <c r="X2097" i="1"/>
  <c r="Y2097" i="1"/>
  <c r="Z2097" i="1"/>
  <c r="A2098" i="1"/>
  <c r="B2098" i="1"/>
  <c r="C2098" i="1"/>
  <c r="D2098" i="1"/>
  <c r="E2098" i="1"/>
  <c r="F2098" i="1"/>
  <c r="G2098" i="1"/>
  <c r="I2098" i="1"/>
  <c r="J2098" i="1"/>
  <c r="K2098" i="1"/>
  <c r="L2098" i="1"/>
  <c r="M2098" i="1"/>
  <c r="N2098" i="1"/>
  <c r="O2098" i="1"/>
  <c r="P2098" i="1"/>
  <c r="Q2098" i="1"/>
  <c r="R2098" i="1"/>
  <c r="S2098" i="1"/>
  <c r="T2098" i="1"/>
  <c r="U2098" i="1"/>
  <c r="V2098" i="1"/>
  <c r="W2098" i="1"/>
  <c r="X2098" i="1"/>
  <c r="Y2098" i="1"/>
  <c r="Z2098" i="1"/>
  <c r="A2099" i="1"/>
  <c r="B2099" i="1"/>
  <c r="C2099" i="1"/>
  <c r="D2099" i="1"/>
  <c r="E2099" i="1"/>
  <c r="F2099" i="1"/>
  <c r="G2099" i="1"/>
  <c r="I2099" i="1"/>
  <c r="J2099" i="1"/>
  <c r="K2099" i="1"/>
  <c r="L2099" i="1"/>
  <c r="M2099" i="1"/>
  <c r="N2099" i="1"/>
  <c r="O2099" i="1"/>
  <c r="P2099" i="1"/>
  <c r="Q2099" i="1"/>
  <c r="R2099" i="1"/>
  <c r="S2099" i="1"/>
  <c r="T2099" i="1"/>
  <c r="U2099" i="1"/>
  <c r="V2099" i="1"/>
  <c r="W2099" i="1"/>
  <c r="X2099" i="1"/>
  <c r="Y2099" i="1"/>
  <c r="Z2099" i="1"/>
  <c r="A2100" i="1"/>
  <c r="B2100" i="1"/>
  <c r="C2100" i="1"/>
  <c r="D2100" i="1"/>
  <c r="E2100" i="1"/>
  <c r="F2100" i="1"/>
  <c r="G2100" i="1"/>
  <c r="I2100" i="1"/>
  <c r="J2100" i="1"/>
  <c r="K2100" i="1"/>
  <c r="L2100" i="1"/>
  <c r="M2100" i="1"/>
  <c r="N2100" i="1"/>
  <c r="O2100" i="1"/>
  <c r="P2100" i="1"/>
  <c r="Q2100" i="1"/>
  <c r="R2100" i="1"/>
  <c r="S2100" i="1"/>
  <c r="T2100" i="1"/>
  <c r="U2100" i="1"/>
  <c r="V2100" i="1"/>
  <c r="W2100" i="1"/>
  <c r="X2100" i="1"/>
  <c r="Y2100" i="1"/>
  <c r="Z2100" i="1"/>
  <c r="A2101" i="1"/>
  <c r="B2101" i="1"/>
  <c r="C2101" i="1"/>
  <c r="D2101" i="1"/>
  <c r="E2101" i="1"/>
  <c r="F2101" i="1"/>
  <c r="G2101" i="1"/>
  <c r="I2101" i="1"/>
  <c r="J2101" i="1"/>
  <c r="K2101" i="1"/>
  <c r="L2101" i="1"/>
  <c r="M2101" i="1"/>
  <c r="N2101" i="1"/>
  <c r="O2101" i="1"/>
  <c r="P2101" i="1"/>
  <c r="Q2101" i="1"/>
  <c r="R2101" i="1"/>
  <c r="S2101" i="1"/>
  <c r="T2101" i="1"/>
  <c r="U2101" i="1"/>
  <c r="V2101" i="1"/>
  <c r="W2101" i="1"/>
  <c r="X2101" i="1"/>
  <c r="Y2101" i="1"/>
  <c r="Z2101" i="1"/>
  <c r="A2102" i="1"/>
  <c r="B2102" i="1"/>
  <c r="C2102" i="1"/>
  <c r="D2102" i="1"/>
  <c r="E2102" i="1"/>
  <c r="F2102" i="1"/>
  <c r="G2102" i="1"/>
  <c r="I2102" i="1"/>
  <c r="J2102" i="1"/>
  <c r="K2102" i="1"/>
  <c r="L2102" i="1"/>
  <c r="M2102" i="1"/>
  <c r="N2102" i="1"/>
  <c r="O2102" i="1"/>
  <c r="P2102" i="1"/>
  <c r="Q2102" i="1"/>
  <c r="R2102" i="1"/>
  <c r="S2102" i="1"/>
  <c r="T2102" i="1"/>
  <c r="U2102" i="1"/>
  <c r="V2102" i="1"/>
  <c r="W2102" i="1"/>
  <c r="X2102" i="1"/>
  <c r="Y2102" i="1"/>
  <c r="Z2102" i="1"/>
  <c r="A2103" i="1"/>
  <c r="B2103" i="1"/>
  <c r="C2103" i="1"/>
  <c r="D2103" i="1"/>
  <c r="E2103" i="1"/>
  <c r="F2103" i="1"/>
  <c r="G2103" i="1"/>
  <c r="I2103" i="1"/>
  <c r="J2103" i="1"/>
  <c r="K2103" i="1"/>
  <c r="L2103" i="1"/>
  <c r="M2103" i="1"/>
  <c r="N2103" i="1"/>
  <c r="O2103" i="1"/>
  <c r="P2103" i="1"/>
  <c r="Q2103" i="1"/>
  <c r="R2103" i="1"/>
  <c r="S2103" i="1"/>
  <c r="T2103" i="1"/>
  <c r="U2103" i="1"/>
  <c r="V2103" i="1"/>
  <c r="W2103" i="1"/>
  <c r="X2103" i="1"/>
  <c r="Y2103" i="1"/>
  <c r="Z2103" i="1"/>
  <c r="A2104" i="1"/>
  <c r="B2104" i="1"/>
  <c r="C2104" i="1"/>
  <c r="D2104" i="1"/>
  <c r="E2104" i="1"/>
  <c r="F2104" i="1"/>
  <c r="G2104" i="1"/>
  <c r="I2104" i="1"/>
  <c r="J2104" i="1"/>
  <c r="K2104" i="1"/>
  <c r="L2104" i="1"/>
  <c r="M2104" i="1"/>
  <c r="N2104" i="1"/>
  <c r="O2104" i="1"/>
  <c r="P2104" i="1"/>
  <c r="Q2104" i="1"/>
  <c r="R2104" i="1"/>
  <c r="S2104" i="1"/>
  <c r="T2104" i="1"/>
  <c r="U2104" i="1"/>
  <c r="V2104" i="1"/>
  <c r="W2104" i="1"/>
  <c r="X2104" i="1"/>
  <c r="Y2104" i="1"/>
  <c r="Z2104" i="1"/>
  <c r="A2105" i="1"/>
  <c r="B2105" i="1"/>
  <c r="C2105" i="1"/>
  <c r="D2105" i="1"/>
  <c r="E2105" i="1"/>
  <c r="F2105" i="1"/>
  <c r="G2105" i="1"/>
  <c r="I2105" i="1"/>
  <c r="J2105" i="1"/>
  <c r="K2105" i="1"/>
  <c r="L2105" i="1"/>
  <c r="M2105" i="1"/>
  <c r="N2105" i="1"/>
  <c r="O2105" i="1"/>
  <c r="P2105" i="1"/>
  <c r="Q2105" i="1"/>
  <c r="R2105" i="1"/>
  <c r="S2105" i="1"/>
  <c r="T2105" i="1"/>
  <c r="U2105" i="1"/>
  <c r="V2105" i="1"/>
  <c r="W2105" i="1"/>
  <c r="X2105" i="1"/>
  <c r="Y2105" i="1"/>
  <c r="Z2105" i="1"/>
  <c r="A2106" i="1"/>
  <c r="B2106" i="1"/>
  <c r="C2106" i="1"/>
  <c r="D2106" i="1"/>
  <c r="E2106" i="1"/>
  <c r="F2106" i="1"/>
  <c r="G2106" i="1"/>
  <c r="I2106" i="1"/>
  <c r="J2106" i="1"/>
  <c r="K2106" i="1"/>
  <c r="L2106" i="1"/>
  <c r="M2106" i="1"/>
  <c r="N2106" i="1"/>
  <c r="O2106" i="1"/>
  <c r="P2106" i="1"/>
  <c r="Q2106" i="1"/>
  <c r="R2106" i="1"/>
  <c r="S2106" i="1"/>
  <c r="T2106" i="1"/>
  <c r="U2106" i="1"/>
  <c r="V2106" i="1"/>
  <c r="W2106" i="1"/>
  <c r="X2106" i="1"/>
  <c r="Y2106" i="1"/>
  <c r="Z2106" i="1"/>
  <c r="A2107" i="1"/>
  <c r="B2107" i="1"/>
  <c r="C2107" i="1"/>
  <c r="D2107" i="1"/>
  <c r="E2107" i="1"/>
  <c r="F2107" i="1"/>
  <c r="G2107" i="1"/>
  <c r="I2107" i="1"/>
  <c r="J2107" i="1"/>
  <c r="K2107" i="1"/>
  <c r="L2107" i="1"/>
  <c r="M2107" i="1"/>
  <c r="N2107" i="1"/>
  <c r="O2107" i="1"/>
  <c r="P2107" i="1"/>
  <c r="Q2107" i="1"/>
  <c r="R2107" i="1"/>
  <c r="S2107" i="1"/>
  <c r="T2107" i="1"/>
  <c r="U2107" i="1"/>
  <c r="V2107" i="1"/>
  <c r="W2107" i="1"/>
  <c r="X2107" i="1"/>
  <c r="Y2107" i="1"/>
  <c r="Z2107" i="1"/>
  <c r="A2108" i="1"/>
  <c r="B2108" i="1"/>
  <c r="C2108" i="1"/>
  <c r="D2108" i="1"/>
  <c r="E2108" i="1"/>
  <c r="F2108" i="1"/>
  <c r="G2108" i="1"/>
  <c r="I2108" i="1"/>
  <c r="J2108" i="1"/>
  <c r="K2108" i="1"/>
  <c r="L2108" i="1"/>
  <c r="M2108" i="1"/>
  <c r="N2108" i="1"/>
  <c r="O2108" i="1"/>
  <c r="P2108" i="1"/>
  <c r="Q2108" i="1"/>
  <c r="R2108" i="1"/>
  <c r="S2108" i="1"/>
  <c r="T2108" i="1"/>
  <c r="U2108" i="1"/>
  <c r="V2108" i="1"/>
  <c r="W2108" i="1"/>
  <c r="X2108" i="1"/>
  <c r="Y2108" i="1"/>
  <c r="Z2108" i="1"/>
  <c r="A2109" i="1"/>
  <c r="B2109" i="1"/>
  <c r="C2109" i="1"/>
  <c r="D2109" i="1"/>
  <c r="E2109" i="1"/>
  <c r="F2109" i="1"/>
  <c r="G2109" i="1"/>
  <c r="I2109" i="1"/>
  <c r="J2109" i="1"/>
  <c r="K2109" i="1"/>
  <c r="L2109" i="1"/>
  <c r="M2109" i="1"/>
  <c r="N2109" i="1"/>
  <c r="O2109" i="1"/>
  <c r="P2109" i="1"/>
  <c r="Q2109" i="1"/>
  <c r="R2109" i="1"/>
  <c r="S2109" i="1"/>
  <c r="T2109" i="1"/>
  <c r="U2109" i="1"/>
  <c r="V2109" i="1"/>
  <c r="W2109" i="1"/>
  <c r="X2109" i="1"/>
  <c r="Y2109" i="1"/>
  <c r="Z2109" i="1"/>
  <c r="A2110" i="1"/>
  <c r="B2110" i="1"/>
  <c r="C2110" i="1"/>
  <c r="D2110" i="1"/>
  <c r="E2110" i="1"/>
  <c r="F2110" i="1"/>
  <c r="G2110" i="1"/>
  <c r="I2110" i="1"/>
  <c r="J2110" i="1"/>
  <c r="K2110" i="1"/>
  <c r="L2110" i="1"/>
  <c r="M2110" i="1"/>
  <c r="N2110" i="1"/>
  <c r="O2110" i="1"/>
  <c r="P2110" i="1"/>
  <c r="Q2110" i="1"/>
  <c r="R2110" i="1"/>
  <c r="S2110" i="1"/>
  <c r="T2110" i="1"/>
  <c r="U2110" i="1"/>
  <c r="V2110" i="1"/>
  <c r="W2110" i="1"/>
  <c r="X2110" i="1"/>
  <c r="Y2110" i="1"/>
  <c r="Z2110" i="1"/>
  <c r="A2111" i="1"/>
  <c r="B2111" i="1"/>
  <c r="C2111" i="1"/>
  <c r="D2111" i="1"/>
  <c r="E2111" i="1"/>
  <c r="F2111" i="1"/>
  <c r="G2111" i="1"/>
  <c r="I2111" i="1"/>
  <c r="J2111" i="1"/>
  <c r="K2111" i="1"/>
  <c r="L2111" i="1"/>
  <c r="M2111" i="1"/>
  <c r="N2111" i="1"/>
  <c r="O2111" i="1"/>
  <c r="P2111" i="1"/>
  <c r="Q2111" i="1"/>
  <c r="R2111" i="1"/>
  <c r="S2111" i="1"/>
  <c r="T2111" i="1"/>
  <c r="U2111" i="1"/>
  <c r="V2111" i="1"/>
  <c r="W2111" i="1"/>
  <c r="X2111" i="1"/>
  <c r="Y2111" i="1"/>
  <c r="Z2111" i="1"/>
  <c r="A2112" i="1"/>
  <c r="B2112" i="1"/>
  <c r="C2112" i="1"/>
  <c r="D2112" i="1"/>
  <c r="E2112" i="1"/>
  <c r="F2112" i="1"/>
  <c r="G2112" i="1"/>
  <c r="I2112" i="1"/>
  <c r="J2112" i="1"/>
  <c r="K2112" i="1"/>
  <c r="L2112" i="1"/>
  <c r="M2112" i="1"/>
  <c r="N2112" i="1"/>
  <c r="O2112" i="1"/>
  <c r="P2112" i="1"/>
  <c r="Q2112" i="1"/>
  <c r="R2112" i="1"/>
  <c r="S2112" i="1"/>
  <c r="T2112" i="1"/>
  <c r="U2112" i="1"/>
  <c r="V2112" i="1"/>
  <c r="W2112" i="1"/>
  <c r="X2112" i="1"/>
  <c r="Y2112" i="1"/>
  <c r="Z2112" i="1"/>
  <c r="A2113" i="1"/>
  <c r="B2113" i="1"/>
  <c r="C2113" i="1"/>
  <c r="D2113" i="1"/>
  <c r="E2113" i="1"/>
  <c r="F2113" i="1"/>
  <c r="G2113" i="1"/>
  <c r="I2113" i="1"/>
  <c r="J2113" i="1"/>
  <c r="K2113" i="1"/>
  <c r="L2113" i="1"/>
  <c r="M2113" i="1"/>
  <c r="N2113" i="1"/>
  <c r="O2113" i="1"/>
  <c r="P2113" i="1"/>
  <c r="Q2113" i="1"/>
  <c r="R2113" i="1"/>
  <c r="S2113" i="1"/>
  <c r="T2113" i="1"/>
  <c r="U2113" i="1"/>
  <c r="V2113" i="1"/>
  <c r="W2113" i="1"/>
  <c r="X2113" i="1"/>
  <c r="Y2113" i="1"/>
  <c r="Z2113" i="1"/>
  <c r="A2114" i="1"/>
  <c r="B2114" i="1"/>
  <c r="C2114" i="1"/>
  <c r="D2114" i="1"/>
  <c r="E2114" i="1"/>
  <c r="F2114" i="1"/>
  <c r="G2114" i="1"/>
  <c r="I2114" i="1"/>
  <c r="J2114" i="1"/>
  <c r="K2114" i="1"/>
  <c r="L2114" i="1"/>
  <c r="M2114" i="1"/>
  <c r="N2114" i="1"/>
  <c r="O2114" i="1"/>
  <c r="P2114" i="1"/>
  <c r="Q2114" i="1"/>
  <c r="R2114" i="1"/>
  <c r="S2114" i="1"/>
  <c r="T2114" i="1"/>
  <c r="U2114" i="1"/>
  <c r="V2114" i="1"/>
  <c r="W2114" i="1"/>
  <c r="X2114" i="1"/>
  <c r="Y2114" i="1"/>
  <c r="Z2114" i="1"/>
  <c r="A2115" i="1"/>
  <c r="B2115" i="1"/>
  <c r="C2115" i="1"/>
  <c r="D2115" i="1"/>
  <c r="E2115" i="1"/>
  <c r="F2115" i="1"/>
  <c r="G2115" i="1"/>
  <c r="I2115" i="1"/>
  <c r="J2115" i="1"/>
  <c r="K2115" i="1"/>
  <c r="L2115" i="1"/>
  <c r="M2115" i="1"/>
  <c r="N2115" i="1"/>
  <c r="O2115" i="1"/>
  <c r="P2115" i="1"/>
  <c r="Q2115" i="1"/>
  <c r="R2115" i="1"/>
  <c r="S2115" i="1"/>
  <c r="T2115" i="1"/>
  <c r="U2115" i="1"/>
  <c r="V2115" i="1"/>
  <c r="W2115" i="1"/>
  <c r="X2115" i="1"/>
  <c r="Y2115" i="1"/>
  <c r="Z2115" i="1"/>
  <c r="A2116" i="1"/>
  <c r="B2116" i="1"/>
  <c r="C2116" i="1"/>
  <c r="D2116" i="1"/>
  <c r="E2116" i="1"/>
  <c r="F2116" i="1"/>
  <c r="G2116" i="1"/>
  <c r="I2116" i="1"/>
  <c r="J2116" i="1"/>
  <c r="K2116" i="1"/>
  <c r="L2116" i="1"/>
  <c r="M2116" i="1"/>
  <c r="N2116" i="1"/>
  <c r="O2116" i="1"/>
  <c r="P2116" i="1"/>
  <c r="Q2116" i="1"/>
  <c r="R2116" i="1"/>
  <c r="S2116" i="1"/>
  <c r="T2116" i="1"/>
  <c r="U2116" i="1"/>
  <c r="V2116" i="1"/>
  <c r="W2116" i="1"/>
  <c r="X2116" i="1"/>
  <c r="Y2116" i="1"/>
  <c r="Z2116" i="1"/>
  <c r="A2117" i="1"/>
  <c r="B2117" i="1"/>
  <c r="C2117" i="1"/>
  <c r="D2117" i="1"/>
  <c r="E2117" i="1"/>
  <c r="F2117" i="1"/>
  <c r="G2117" i="1"/>
  <c r="I2117" i="1"/>
  <c r="J2117" i="1"/>
  <c r="K2117" i="1"/>
  <c r="L2117" i="1"/>
  <c r="M2117" i="1"/>
  <c r="N2117" i="1"/>
  <c r="O2117" i="1"/>
  <c r="P2117" i="1"/>
  <c r="Q2117" i="1"/>
  <c r="R2117" i="1"/>
  <c r="S2117" i="1"/>
  <c r="T2117" i="1"/>
  <c r="U2117" i="1"/>
  <c r="V2117" i="1"/>
  <c r="W2117" i="1"/>
  <c r="X2117" i="1"/>
  <c r="Y2117" i="1"/>
  <c r="Z2117" i="1"/>
  <c r="A2118" i="1"/>
  <c r="B2118" i="1"/>
  <c r="C2118" i="1"/>
  <c r="D2118" i="1"/>
  <c r="E2118" i="1"/>
  <c r="F2118" i="1"/>
  <c r="G2118" i="1"/>
  <c r="I2118" i="1"/>
  <c r="J2118" i="1"/>
  <c r="K2118" i="1"/>
  <c r="L2118" i="1"/>
  <c r="M2118" i="1"/>
  <c r="N2118" i="1"/>
  <c r="O2118" i="1"/>
  <c r="P2118" i="1"/>
  <c r="Q2118" i="1"/>
  <c r="R2118" i="1"/>
  <c r="S2118" i="1"/>
  <c r="T2118" i="1"/>
  <c r="U2118" i="1"/>
  <c r="V2118" i="1"/>
  <c r="W2118" i="1"/>
  <c r="X2118" i="1"/>
  <c r="Y2118" i="1"/>
  <c r="Z2118" i="1"/>
  <c r="A2119" i="1"/>
  <c r="B2119" i="1"/>
  <c r="C2119" i="1"/>
  <c r="D2119" i="1"/>
  <c r="E2119" i="1"/>
  <c r="F2119" i="1"/>
  <c r="G2119" i="1"/>
  <c r="I2119" i="1"/>
  <c r="J2119" i="1"/>
  <c r="K2119" i="1"/>
  <c r="L2119" i="1"/>
  <c r="M2119" i="1"/>
  <c r="N2119" i="1"/>
  <c r="O2119" i="1"/>
  <c r="P2119" i="1"/>
  <c r="Q2119" i="1"/>
  <c r="R2119" i="1"/>
  <c r="S2119" i="1"/>
  <c r="T2119" i="1"/>
  <c r="U2119" i="1"/>
  <c r="V2119" i="1"/>
  <c r="W2119" i="1"/>
  <c r="X2119" i="1"/>
  <c r="Y2119" i="1"/>
  <c r="Z2119" i="1"/>
  <c r="A2120" i="1"/>
  <c r="B2120" i="1"/>
  <c r="C2120" i="1"/>
  <c r="D2120" i="1"/>
  <c r="E2120" i="1"/>
  <c r="F2120" i="1"/>
  <c r="G2120" i="1"/>
  <c r="I2120" i="1"/>
  <c r="J2120" i="1"/>
  <c r="K2120" i="1"/>
  <c r="L2120" i="1"/>
  <c r="M2120" i="1"/>
  <c r="N2120" i="1"/>
  <c r="O2120" i="1"/>
  <c r="P2120" i="1"/>
  <c r="Q2120" i="1"/>
  <c r="R2120" i="1"/>
  <c r="S2120" i="1"/>
  <c r="T2120" i="1"/>
  <c r="U2120" i="1"/>
  <c r="V2120" i="1"/>
  <c r="W2120" i="1"/>
  <c r="X2120" i="1"/>
  <c r="Y2120" i="1"/>
  <c r="Z2120" i="1"/>
  <c r="A2121" i="1"/>
  <c r="B2121" i="1"/>
  <c r="C2121" i="1"/>
  <c r="D2121" i="1"/>
  <c r="E2121" i="1"/>
  <c r="F2121" i="1"/>
  <c r="G2121" i="1"/>
  <c r="I2121" i="1"/>
  <c r="J2121" i="1"/>
  <c r="K2121" i="1"/>
  <c r="L2121" i="1"/>
  <c r="M2121" i="1"/>
  <c r="N2121" i="1"/>
  <c r="O2121" i="1"/>
  <c r="P2121" i="1"/>
  <c r="Q2121" i="1"/>
  <c r="R2121" i="1"/>
  <c r="S2121" i="1"/>
  <c r="T2121" i="1"/>
  <c r="U2121" i="1"/>
  <c r="V2121" i="1"/>
  <c r="W2121" i="1"/>
  <c r="X2121" i="1"/>
  <c r="Y2121" i="1"/>
  <c r="Z2121" i="1"/>
  <c r="A2122" i="1"/>
  <c r="B2122" i="1"/>
  <c r="C2122" i="1"/>
  <c r="D2122" i="1"/>
  <c r="E2122" i="1"/>
  <c r="F2122" i="1"/>
  <c r="G2122" i="1"/>
  <c r="I2122" i="1"/>
  <c r="J2122" i="1"/>
  <c r="K2122" i="1"/>
  <c r="L2122" i="1"/>
  <c r="M2122" i="1"/>
  <c r="N2122" i="1"/>
  <c r="O2122" i="1"/>
  <c r="P2122" i="1"/>
  <c r="Q2122" i="1"/>
  <c r="R2122" i="1"/>
  <c r="S2122" i="1"/>
  <c r="T2122" i="1"/>
  <c r="U2122" i="1"/>
  <c r="V2122" i="1"/>
  <c r="W2122" i="1"/>
  <c r="X2122" i="1"/>
  <c r="Y2122" i="1"/>
  <c r="Z2122" i="1"/>
  <c r="A2123" i="1"/>
  <c r="B2123" i="1"/>
  <c r="C2123" i="1"/>
  <c r="D2123" i="1"/>
  <c r="E2123" i="1"/>
  <c r="F2123" i="1"/>
  <c r="G2123" i="1"/>
  <c r="I2123" i="1"/>
  <c r="J2123" i="1"/>
  <c r="K2123" i="1"/>
  <c r="L2123" i="1"/>
  <c r="M2123" i="1"/>
  <c r="N2123" i="1"/>
  <c r="O2123" i="1"/>
  <c r="P2123" i="1"/>
  <c r="Q2123" i="1"/>
  <c r="R2123" i="1"/>
  <c r="S2123" i="1"/>
  <c r="T2123" i="1"/>
  <c r="U2123" i="1"/>
  <c r="V2123" i="1"/>
  <c r="W2123" i="1"/>
  <c r="X2123" i="1"/>
  <c r="Y2123" i="1"/>
  <c r="Z2123" i="1"/>
  <c r="A2124" i="1"/>
  <c r="B2124" i="1"/>
  <c r="C2124" i="1"/>
  <c r="D2124" i="1"/>
  <c r="E2124" i="1"/>
  <c r="F2124" i="1"/>
  <c r="G2124" i="1"/>
  <c r="I2124" i="1"/>
  <c r="J2124" i="1"/>
  <c r="K2124" i="1"/>
  <c r="L2124" i="1"/>
  <c r="M2124" i="1"/>
  <c r="N2124" i="1"/>
  <c r="O2124" i="1"/>
  <c r="P2124" i="1"/>
  <c r="Q2124" i="1"/>
  <c r="R2124" i="1"/>
  <c r="S2124" i="1"/>
  <c r="T2124" i="1"/>
  <c r="U2124" i="1"/>
  <c r="V2124" i="1"/>
  <c r="W2124" i="1"/>
  <c r="X2124" i="1"/>
  <c r="Y2124" i="1"/>
  <c r="Z2124" i="1"/>
  <c r="A2125" i="1"/>
  <c r="B2125" i="1"/>
  <c r="C2125" i="1"/>
  <c r="D2125" i="1"/>
  <c r="E2125" i="1"/>
  <c r="F2125" i="1"/>
  <c r="G2125" i="1"/>
  <c r="I2125" i="1"/>
  <c r="J2125" i="1"/>
  <c r="K2125" i="1"/>
  <c r="L2125" i="1"/>
  <c r="M2125" i="1"/>
  <c r="N2125" i="1"/>
  <c r="O2125" i="1"/>
  <c r="P2125" i="1"/>
  <c r="Q2125" i="1"/>
  <c r="R2125" i="1"/>
  <c r="S2125" i="1"/>
  <c r="T2125" i="1"/>
  <c r="U2125" i="1"/>
  <c r="V2125" i="1"/>
  <c r="W2125" i="1"/>
  <c r="X2125" i="1"/>
  <c r="Y2125" i="1"/>
  <c r="Z2125" i="1"/>
  <c r="A2126" i="1"/>
  <c r="B2126" i="1"/>
  <c r="C2126" i="1"/>
  <c r="D2126" i="1"/>
  <c r="E2126" i="1"/>
  <c r="F2126" i="1"/>
  <c r="G2126" i="1"/>
  <c r="I2126" i="1"/>
  <c r="J2126" i="1"/>
  <c r="K2126" i="1"/>
  <c r="L2126" i="1"/>
  <c r="M2126" i="1"/>
  <c r="N2126" i="1"/>
  <c r="O2126" i="1"/>
  <c r="P2126" i="1"/>
  <c r="Q2126" i="1"/>
  <c r="R2126" i="1"/>
  <c r="S2126" i="1"/>
  <c r="T2126" i="1"/>
  <c r="U2126" i="1"/>
  <c r="V2126" i="1"/>
  <c r="W2126" i="1"/>
  <c r="X2126" i="1"/>
  <c r="Y2126" i="1"/>
  <c r="Z2126" i="1"/>
  <c r="A2127" i="1"/>
  <c r="B2127" i="1"/>
  <c r="C2127" i="1"/>
  <c r="D2127" i="1"/>
  <c r="E2127" i="1"/>
  <c r="F2127" i="1"/>
  <c r="G2127" i="1"/>
  <c r="I2127" i="1"/>
  <c r="J2127" i="1"/>
  <c r="K2127" i="1"/>
  <c r="L2127" i="1"/>
  <c r="M2127" i="1"/>
  <c r="N2127" i="1"/>
  <c r="O2127" i="1"/>
  <c r="P2127" i="1"/>
  <c r="Q2127" i="1"/>
  <c r="R2127" i="1"/>
  <c r="S2127" i="1"/>
  <c r="T2127" i="1"/>
  <c r="U2127" i="1"/>
  <c r="V2127" i="1"/>
  <c r="W2127" i="1"/>
  <c r="X2127" i="1"/>
  <c r="Y2127" i="1"/>
  <c r="Z2127" i="1"/>
  <c r="A2128" i="1"/>
  <c r="B2128" i="1"/>
  <c r="C2128" i="1"/>
  <c r="D2128" i="1"/>
  <c r="E2128" i="1"/>
  <c r="F2128" i="1"/>
  <c r="G2128" i="1"/>
  <c r="I2128" i="1"/>
  <c r="J2128" i="1"/>
  <c r="K2128" i="1"/>
  <c r="L2128" i="1"/>
  <c r="M2128" i="1"/>
  <c r="N2128" i="1"/>
  <c r="O2128" i="1"/>
  <c r="P2128" i="1"/>
  <c r="Q2128" i="1"/>
  <c r="R2128" i="1"/>
  <c r="S2128" i="1"/>
  <c r="T2128" i="1"/>
  <c r="U2128" i="1"/>
  <c r="V2128" i="1"/>
  <c r="W2128" i="1"/>
  <c r="X2128" i="1"/>
  <c r="Y2128" i="1"/>
  <c r="Z2128" i="1"/>
  <c r="A2129" i="1"/>
  <c r="B2129" i="1"/>
  <c r="C2129" i="1"/>
  <c r="D2129" i="1"/>
  <c r="E2129" i="1"/>
  <c r="F2129" i="1"/>
  <c r="G2129" i="1"/>
  <c r="I2129" i="1"/>
  <c r="J2129" i="1"/>
  <c r="K2129" i="1"/>
  <c r="L2129" i="1"/>
  <c r="M2129" i="1"/>
  <c r="N2129" i="1"/>
  <c r="O2129" i="1"/>
  <c r="P2129" i="1"/>
  <c r="Q2129" i="1"/>
  <c r="R2129" i="1"/>
  <c r="S2129" i="1"/>
  <c r="T2129" i="1"/>
  <c r="U2129" i="1"/>
  <c r="V2129" i="1"/>
  <c r="W2129" i="1"/>
  <c r="X2129" i="1"/>
  <c r="Y2129" i="1"/>
  <c r="Z2129" i="1"/>
  <c r="A2130" i="1"/>
  <c r="B2130" i="1"/>
  <c r="C2130" i="1"/>
  <c r="D2130" i="1"/>
  <c r="E2130" i="1"/>
  <c r="F2130" i="1"/>
  <c r="G2130" i="1"/>
  <c r="I2130" i="1"/>
  <c r="J2130" i="1"/>
  <c r="K2130" i="1"/>
  <c r="L2130" i="1"/>
  <c r="M2130" i="1"/>
  <c r="N2130" i="1"/>
  <c r="O2130" i="1"/>
  <c r="P2130" i="1"/>
  <c r="Q2130" i="1"/>
  <c r="R2130" i="1"/>
  <c r="S2130" i="1"/>
  <c r="T2130" i="1"/>
  <c r="U2130" i="1"/>
  <c r="V2130" i="1"/>
  <c r="W2130" i="1"/>
  <c r="X2130" i="1"/>
  <c r="Y2130" i="1"/>
  <c r="Z2130" i="1"/>
  <c r="A2131" i="1"/>
  <c r="B2131" i="1"/>
  <c r="C2131" i="1"/>
  <c r="D2131" i="1"/>
  <c r="E2131" i="1"/>
  <c r="F2131" i="1"/>
  <c r="G2131" i="1"/>
  <c r="I2131" i="1"/>
  <c r="J2131" i="1"/>
  <c r="K2131" i="1"/>
  <c r="L2131" i="1"/>
  <c r="M2131" i="1"/>
  <c r="N2131" i="1"/>
  <c r="O2131" i="1"/>
  <c r="P2131" i="1"/>
  <c r="Q2131" i="1"/>
  <c r="R2131" i="1"/>
  <c r="S2131" i="1"/>
  <c r="T2131" i="1"/>
  <c r="U2131" i="1"/>
  <c r="V2131" i="1"/>
  <c r="W2131" i="1"/>
  <c r="X2131" i="1"/>
  <c r="Y2131" i="1"/>
  <c r="Z2131" i="1"/>
  <c r="A2132" i="1"/>
  <c r="B2132" i="1"/>
  <c r="C2132" i="1"/>
  <c r="D2132" i="1"/>
  <c r="E2132" i="1"/>
  <c r="F2132" i="1"/>
  <c r="G2132" i="1"/>
  <c r="I2132" i="1"/>
  <c r="J2132" i="1"/>
  <c r="K2132" i="1"/>
  <c r="L2132" i="1"/>
  <c r="M2132" i="1"/>
  <c r="N2132" i="1"/>
  <c r="O2132" i="1"/>
  <c r="P2132" i="1"/>
  <c r="Q2132" i="1"/>
  <c r="R2132" i="1"/>
  <c r="S2132" i="1"/>
  <c r="T2132" i="1"/>
  <c r="U2132" i="1"/>
  <c r="V2132" i="1"/>
  <c r="W2132" i="1"/>
  <c r="X2132" i="1"/>
  <c r="Y2132" i="1"/>
  <c r="Z2132" i="1"/>
  <c r="A2133" i="1"/>
  <c r="B2133" i="1"/>
  <c r="C2133" i="1"/>
  <c r="D2133" i="1"/>
  <c r="E2133" i="1"/>
  <c r="F2133" i="1"/>
  <c r="G2133" i="1"/>
  <c r="I2133" i="1"/>
  <c r="J2133" i="1"/>
  <c r="K2133" i="1"/>
  <c r="L2133" i="1"/>
  <c r="M2133" i="1"/>
  <c r="N2133" i="1"/>
  <c r="O2133" i="1"/>
  <c r="P2133" i="1"/>
  <c r="Q2133" i="1"/>
  <c r="R2133" i="1"/>
  <c r="S2133" i="1"/>
  <c r="T2133" i="1"/>
  <c r="U2133" i="1"/>
  <c r="V2133" i="1"/>
  <c r="W2133" i="1"/>
  <c r="X2133" i="1"/>
  <c r="Y2133" i="1"/>
  <c r="Z2133" i="1"/>
  <c r="A2134" i="1"/>
  <c r="B2134" i="1"/>
  <c r="C2134" i="1"/>
  <c r="D2134" i="1"/>
  <c r="E2134" i="1"/>
  <c r="F2134" i="1"/>
  <c r="G2134" i="1"/>
  <c r="I2134" i="1"/>
  <c r="J2134" i="1"/>
  <c r="K2134" i="1"/>
  <c r="L2134" i="1"/>
  <c r="M2134" i="1"/>
  <c r="N2134" i="1"/>
  <c r="O2134" i="1"/>
  <c r="P2134" i="1"/>
  <c r="Q2134" i="1"/>
  <c r="R2134" i="1"/>
  <c r="S2134" i="1"/>
  <c r="T2134" i="1"/>
  <c r="U2134" i="1"/>
  <c r="V2134" i="1"/>
  <c r="W2134" i="1"/>
  <c r="X2134" i="1"/>
  <c r="Y2134" i="1"/>
  <c r="Z2134" i="1"/>
  <c r="A2135" i="1"/>
  <c r="B2135" i="1"/>
  <c r="C2135" i="1"/>
  <c r="D2135" i="1"/>
  <c r="E2135" i="1"/>
  <c r="F2135" i="1"/>
  <c r="G2135" i="1"/>
  <c r="I2135" i="1"/>
  <c r="J2135" i="1"/>
  <c r="K2135" i="1"/>
  <c r="L2135" i="1"/>
  <c r="M2135" i="1"/>
  <c r="N2135" i="1"/>
  <c r="O2135" i="1"/>
  <c r="P2135" i="1"/>
  <c r="Q2135" i="1"/>
  <c r="R2135" i="1"/>
  <c r="S2135" i="1"/>
  <c r="T2135" i="1"/>
  <c r="U2135" i="1"/>
  <c r="V2135" i="1"/>
  <c r="W2135" i="1"/>
  <c r="X2135" i="1"/>
  <c r="Y2135" i="1"/>
  <c r="Z2135" i="1"/>
  <c r="A2136" i="1"/>
  <c r="B2136" i="1"/>
  <c r="C2136" i="1"/>
  <c r="D2136" i="1"/>
  <c r="E2136" i="1"/>
  <c r="F2136" i="1"/>
  <c r="G2136" i="1"/>
  <c r="I2136" i="1"/>
  <c r="J2136" i="1"/>
  <c r="K2136" i="1"/>
  <c r="L2136" i="1"/>
  <c r="M2136" i="1"/>
  <c r="N2136" i="1"/>
  <c r="O2136" i="1"/>
  <c r="P2136" i="1"/>
  <c r="Q2136" i="1"/>
  <c r="R2136" i="1"/>
  <c r="S2136" i="1"/>
  <c r="T2136" i="1"/>
  <c r="U2136" i="1"/>
  <c r="V2136" i="1"/>
  <c r="W2136" i="1"/>
  <c r="X2136" i="1"/>
  <c r="Y2136" i="1"/>
  <c r="Z2136" i="1"/>
  <c r="A2137" i="1"/>
  <c r="B2137" i="1"/>
  <c r="C2137" i="1"/>
  <c r="D2137" i="1"/>
  <c r="E2137" i="1"/>
  <c r="F2137" i="1"/>
  <c r="G2137" i="1"/>
  <c r="I2137" i="1"/>
  <c r="J2137" i="1"/>
  <c r="K2137" i="1"/>
  <c r="L2137" i="1"/>
  <c r="M2137" i="1"/>
  <c r="N2137" i="1"/>
  <c r="O2137" i="1"/>
  <c r="P2137" i="1"/>
  <c r="Q2137" i="1"/>
  <c r="R2137" i="1"/>
  <c r="S2137" i="1"/>
  <c r="T2137" i="1"/>
  <c r="U2137" i="1"/>
  <c r="V2137" i="1"/>
  <c r="W2137" i="1"/>
  <c r="X2137" i="1"/>
  <c r="Y2137" i="1"/>
  <c r="Z2137" i="1"/>
  <c r="A2138" i="1"/>
  <c r="B2138" i="1"/>
  <c r="C2138" i="1"/>
  <c r="D2138" i="1"/>
  <c r="E2138" i="1"/>
  <c r="F2138" i="1"/>
  <c r="G2138" i="1"/>
  <c r="I2138" i="1"/>
  <c r="J2138" i="1"/>
  <c r="K2138" i="1"/>
  <c r="L2138" i="1"/>
  <c r="M2138" i="1"/>
  <c r="N2138" i="1"/>
  <c r="O2138" i="1"/>
  <c r="P2138" i="1"/>
  <c r="Q2138" i="1"/>
  <c r="R2138" i="1"/>
  <c r="S2138" i="1"/>
  <c r="T2138" i="1"/>
  <c r="U2138" i="1"/>
  <c r="V2138" i="1"/>
  <c r="W2138" i="1"/>
  <c r="X2138" i="1"/>
  <c r="Y2138" i="1"/>
  <c r="Z2138" i="1"/>
  <c r="A2139" i="1"/>
  <c r="B2139" i="1"/>
  <c r="C2139" i="1"/>
  <c r="D2139" i="1"/>
  <c r="E2139" i="1"/>
  <c r="F2139" i="1"/>
  <c r="G2139" i="1"/>
  <c r="I2139" i="1"/>
  <c r="J2139" i="1"/>
  <c r="K2139" i="1"/>
  <c r="L2139" i="1"/>
  <c r="M2139" i="1"/>
  <c r="N2139" i="1"/>
  <c r="O2139" i="1"/>
  <c r="P2139" i="1"/>
  <c r="Q2139" i="1"/>
  <c r="R2139" i="1"/>
  <c r="S2139" i="1"/>
  <c r="T2139" i="1"/>
  <c r="U2139" i="1"/>
  <c r="V2139" i="1"/>
  <c r="W2139" i="1"/>
  <c r="X2139" i="1"/>
  <c r="Y2139" i="1"/>
  <c r="Z2139" i="1"/>
  <c r="A2140" i="1"/>
  <c r="B2140" i="1"/>
  <c r="C2140" i="1"/>
  <c r="D2140" i="1"/>
  <c r="E2140" i="1"/>
  <c r="F2140" i="1"/>
  <c r="G2140" i="1"/>
  <c r="I2140" i="1"/>
  <c r="J2140" i="1"/>
  <c r="K2140" i="1"/>
  <c r="L2140" i="1"/>
  <c r="M2140" i="1"/>
  <c r="N2140" i="1"/>
  <c r="O2140" i="1"/>
  <c r="P2140" i="1"/>
  <c r="Q2140" i="1"/>
  <c r="R2140" i="1"/>
  <c r="S2140" i="1"/>
  <c r="T2140" i="1"/>
  <c r="U2140" i="1"/>
  <c r="V2140" i="1"/>
  <c r="W2140" i="1"/>
  <c r="X2140" i="1"/>
  <c r="Y2140" i="1"/>
  <c r="Z2140" i="1"/>
  <c r="A2141" i="1"/>
  <c r="B2141" i="1"/>
  <c r="C2141" i="1"/>
  <c r="D2141" i="1"/>
  <c r="E2141" i="1"/>
  <c r="F2141" i="1"/>
  <c r="G2141" i="1"/>
  <c r="I2141" i="1"/>
  <c r="J2141" i="1"/>
  <c r="K2141" i="1"/>
  <c r="L2141" i="1"/>
  <c r="M2141" i="1"/>
  <c r="N2141" i="1"/>
  <c r="O2141" i="1"/>
  <c r="P2141" i="1"/>
  <c r="Q2141" i="1"/>
  <c r="R2141" i="1"/>
  <c r="S2141" i="1"/>
  <c r="T2141" i="1"/>
  <c r="U2141" i="1"/>
  <c r="V2141" i="1"/>
  <c r="W2141" i="1"/>
  <c r="X2141" i="1"/>
  <c r="Y2141" i="1"/>
  <c r="Z2141" i="1"/>
  <c r="A2142" i="1"/>
  <c r="B2142" i="1"/>
  <c r="C2142" i="1"/>
  <c r="D2142" i="1"/>
  <c r="E2142" i="1"/>
  <c r="F2142" i="1"/>
  <c r="G2142" i="1"/>
  <c r="I2142" i="1"/>
  <c r="J2142" i="1"/>
  <c r="K2142" i="1"/>
  <c r="L2142" i="1"/>
  <c r="M2142" i="1"/>
  <c r="N2142" i="1"/>
  <c r="O2142" i="1"/>
  <c r="P2142" i="1"/>
  <c r="Q2142" i="1"/>
  <c r="R2142" i="1"/>
  <c r="S2142" i="1"/>
  <c r="T2142" i="1"/>
  <c r="U2142" i="1"/>
  <c r="V2142" i="1"/>
  <c r="W2142" i="1"/>
  <c r="X2142" i="1"/>
  <c r="Y2142" i="1"/>
  <c r="Z2142" i="1"/>
  <c r="A2143" i="1"/>
  <c r="B2143" i="1"/>
  <c r="C2143" i="1"/>
  <c r="D2143" i="1"/>
  <c r="E2143" i="1"/>
  <c r="F2143" i="1"/>
  <c r="G2143" i="1"/>
  <c r="I2143" i="1"/>
  <c r="J2143" i="1"/>
  <c r="K2143" i="1"/>
  <c r="L2143" i="1"/>
  <c r="M2143" i="1"/>
  <c r="N2143" i="1"/>
  <c r="O2143" i="1"/>
  <c r="P2143" i="1"/>
  <c r="Q2143" i="1"/>
  <c r="R2143" i="1"/>
  <c r="S2143" i="1"/>
  <c r="T2143" i="1"/>
  <c r="U2143" i="1"/>
  <c r="V2143" i="1"/>
  <c r="W2143" i="1"/>
  <c r="X2143" i="1"/>
  <c r="Y2143" i="1"/>
  <c r="Z2143" i="1"/>
  <c r="A2144" i="1"/>
  <c r="B2144" i="1"/>
  <c r="C2144" i="1"/>
  <c r="D2144" i="1"/>
  <c r="E2144" i="1"/>
  <c r="F2144" i="1"/>
  <c r="G2144" i="1"/>
  <c r="I2144" i="1"/>
  <c r="J2144" i="1"/>
  <c r="K2144" i="1"/>
  <c r="L2144" i="1"/>
  <c r="M2144" i="1"/>
  <c r="N2144" i="1"/>
  <c r="O2144" i="1"/>
  <c r="P2144" i="1"/>
  <c r="Q2144" i="1"/>
  <c r="R2144" i="1"/>
  <c r="S2144" i="1"/>
  <c r="T2144" i="1"/>
  <c r="U2144" i="1"/>
  <c r="V2144" i="1"/>
  <c r="W2144" i="1"/>
  <c r="X2144" i="1"/>
  <c r="Y2144" i="1"/>
  <c r="Z2144" i="1"/>
  <c r="A2145" i="1"/>
  <c r="B2145" i="1"/>
  <c r="C2145" i="1"/>
  <c r="D2145" i="1"/>
  <c r="E2145" i="1"/>
  <c r="F2145" i="1"/>
  <c r="G2145" i="1"/>
  <c r="I2145" i="1"/>
  <c r="J2145" i="1"/>
  <c r="K2145" i="1"/>
  <c r="L2145" i="1"/>
  <c r="M2145" i="1"/>
  <c r="N2145" i="1"/>
  <c r="O2145" i="1"/>
  <c r="P2145" i="1"/>
  <c r="Q2145" i="1"/>
  <c r="R2145" i="1"/>
  <c r="S2145" i="1"/>
  <c r="T2145" i="1"/>
  <c r="U2145" i="1"/>
  <c r="V2145" i="1"/>
  <c r="W2145" i="1"/>
  <c r="X2145" i="1"/>
  <c r="Y2145" i="1"/>
  <c r="Z2145" i="1"/>
  <c r="A2146" i="1"/>
  <c r="B2146" i="1"/>
  <c r="C2146" i="1"/>
  <c r="D2146" i="1"/>
  <c r="E2146" i="1"/>
  <c r="F2146" i="1"/>
  <c r="G2146" i="1"/>
  <c r="I2146" i="1"/>
  <c r="J2146" i="1"/>
  <c r="K2146" i="1"/>
  <c r="L2146" i="1"/>
  <c r="M2146" i="1"/>
  <c r="N2146" i="1"/>
  <c r="O2146" i="1"/>
  <c r="P2146" i="1"/>
  <c r="Q2146" i="1"/>
  <c r="R2146" i="1"/>
  <c r="S2146" i="1"/>
  <c r="T2146" i="1"/>
  <c r="U2146" i="1"/>
  <c r="V2146" i="1"/>
  <c r="W2146" i="1"/>
  <c r="X2146" i="1"/>
  <c r="Y2146" i="1"/>
  <c r="Z2146" i="1"/>
  <c r="A2147" i="1"/>
  <c r="B2147" i="1"/>
  <c r="C2147" i="1"/>
  <c r="D2147" i="1"/>
  <c r="E2147" i="1"/>
  <c r="F2147" i="1"/>
  <c r="G2147" i="1"/>
  <c r="I2147" i="1"/>
  <c r="J2147" i="1"/>
  <c r="K2147" i="1"/>
  <c r="L2147" i="1"/>
  <c r="M2147" i="1"/>
  <c r="N2147" i="1"/>
  <c r="O2147" i="1"/>
  <c r="P2147" i="1"/>
  <c r="Q2147" i="1"/>
  <c r="R2147" i="1"/>
  <c r="S2147" i="1"/>
  <c r="T2147" i="1"/>
  <c r="U2147" i="1"/>
  <c r="V2147" i="1"/>
  <c r="W2147" i="1"/>
  <c r="X2147" i="1"/>
  <c r="Y2147" i="1"/>
  <c r="Z2147" i="1"/>
  <c r="A2148" i="1"/>
  <c r="B2148" i="1"/>
  <c r="C2148" i="1"/>
  <c r="D2148" i="1"/>
  <c r="E2148" i="1"/>
  <c r="F2148" i="1"/>
  <c r="G2148" i="1"/>
  <c r="I2148" i="1"/>
  <c r="J2148" i="1"/>
  <c r="K2148" i="1"/>
  <c r="L2148" i="1"/>
  <c r="M2148" i="1"/>
  <c r="N2148" i="1"/>
  <c r="O2148" i="1"/>
  <c r="P2148" i="1"/>
  <c r="Q2148" i="1"/>
  <c r="R2148" i="1"/>
  <c r="S2148" i="1"/>
  <c r="T2148" i="1"/>
  <c r="U2148" i="1"/>
  <c r="V2148" i="1"/>
  <c r="W2148" i="1"/>
  <c r="X2148" i="1"/>
  <c r="Y2148" i="1"/>
  <c r="Z2148" i="1"/>
  <c r="A2149" i="1"/>
  <c r="B2149" i="1"/>
  <c r="C2149" i="1"/>
  <c r="D2149" i="1"/>
  <c r="E2149" i="1"/>
  <c r="F2149" i="1"/>
  <c r="G2149" i="1"/>
  <c r="I2149" i="1"/>
  <c r="J2149" i="1"/>
  <c r="K2149" i="1"/>
  <c r="L2149" i="1"/>
  <c r="M2149" i="1"/>
  <c r="N2149" i="1"/>
  <c r="O2149" i="1"/>
  <c r="P2149" i="1"/>
  <c r="Q2149" i="1"/>
  <c r="R2149" i="1"/>
  <c r="S2149" i="1"/>
  <c r="T2149" i="1"/>
  <c r="U2149" i="1"/>
  <c r="V2149" i="1"/>
  <c r="W2149" i="1"/>
  <c r="X2149" i="1"/>
  <c r="Y2149" i="1"/>
  <c r="Z2149" i="1"/>
  <c r="A2150" i="1"/>
  <c r="B2150" i="1"/>
  <c r="C2150" i="1"/>
  <c r="D2150" i="1"/>
  <c r="E2150" i="1"/>
  <c r="F2150" i="1"/>
  <c r="G2150" i="1"/>
  <c r="I2150" i="1"/>
  <c r="J2150" i="1"/>
  <c r="K2150" i="1"/>
  <c r="L2150" i="1"/>
  <c r="M2150" i="1"/>
  <c r="N2150" i="1"/>
  <c r="O2150" i="1"/>
  <c r="P2150" i="1"/>
  <c r="Q2150" i="1"/>
  <c r="R2150" i="1"/>
  <c r="S2150" i="1"/>
  <c r="T2150" i="1"/>
  <c r="U2150" i="1"/>
  <c r="V2150" i="1"/>
  <c r="W2150" i="1"/>
  <c r="X2150" i="1"/>
  <c r="Y2150" i="1"/>
  <c r="Z2150" i="1"/>
  <c r="A2151" i="1"/>
  <c r="B2151" i="1"/>
  <c r="C2151" i="1"/>
  <c r="D2151" i="1"/>
  <c r="E2151" i="1"/>
  <c r="F2151" i="1"/>
  <c r="G2151" i="1"/>
  <c r="I2151" i="1"/>
  <c r="J2151" i="1"/>
  <c r="K2151" i="1"/>
  <c r="L2151" i="1"/>
  <c r="M2151" i="1"/>
  <c r="N2151" i="1"/>
  <c r="O2151" i="1"/>
  <c r="P2151" i="1"/>
  <c r="Q2151" i="1"/>
  <c r="R2151" i="1"/>
  <c r="S2151" i="1"/>
  <c r="T2151" i="1"/>
  <c r="U2151" i="1"/>
  <c r="V2151" i="1"/>
  <c r="W2151" i="1"/>
  <c r="X2151" i="1"/>
  <c r="Y2151" i="1"/>
  <c r="Z2151" i="1"/>
  <c r="A2152" i="1"/>
  <c r="B2152" i="1"/>
  <c r="C2152" i="1"/>
  <c r="D2152" i="1"/>
  <c r="E2152" i="1"/>
  <c r="F2152" i="1"/>
  <c r="G2152" i="1"/>
  <c r="I2152" i="1"/>
  <c r="J2152" i="1"/>
  <c r="K2152" i="1"/>
  <c r="L2152" i="1"/>
  <c r="M2152" i="1"/>
  <c r="N2152" i="1"/>
  <c r="O2152" i="1"/>
  <c r="P2152" i="1"/>
  <c r="Q2152" i="1"/>
  <c r="R2152" i="1"/>
  <c r="S2152" i="1"/>
  <c r="T2152" i="1"/>
  <c r="U2152" i="1"/>
  <c r="V2152" i="1"/>
  <c r="W2152" i="1"/>
  <c r="X2152" i="1"/>
  <c r="Y2152" i="1"/>
  <c r="Z2152" i="1"/>
  <c r="A2153" i="1"/>
  <c r="B2153" i="1"/>
  <c r="C2153" i="1"/>
  <c r="D2153" i="1"/>
  <c r="E2153" i="1"/>
  <c r="F2153" i="1"/>
  <c r="G2153" i="1"/>
  <c r="I2153" i="1"/>
  <c r="J2153" i="1"/>
  <c r="K2153" i="1"/>
  <c r="L2153" i="1"/>
  <c r="M2153" i="1"/>
  <c r="N2153" i="1"/>
  <c r="O2153" i="1"/>
  <c r="P2153" i="1"/>
  <c r="Q2153" i="1"/>
  <c r="R2153" i="1"/>
  <c r="S2153" i="1"/>
  <c r="T2153" i="1"/>
  <c r="U2153" i="1"/>
  <c r="V2153" i="1"/>
  <c r="W2153" i="1"/>
  <c r="X2153" i="1"/>
  <c r="Y2153" i="1"/>
  <c r="Z2153" i="1"/>
  <c r="A2154" i="1"/>
  <c r="B2154" i="1"/>
  <c r="C2154" i="1"/>
  <c r="D2154" i="1"/>
  <c r="E2154" i="1"/>
  <c r="F2154" i="1"/>
  <c r="G2154" i="1"/>
  <c r="I2154" i="1"/>
  <c r="J2154" i="1"/>
  <c r="K2154" i="1"/>
  <c r="L2154" i="1"/>
  <c r="M2154" i="1"/>
  <c r="N2154" i="1"/>
  <c r="O2154" i="1"/>
  <c r="P2154" i="1"/>
  <c r="Q2154" i="1"/>
  <c r="R2154" i="1"/>
  <c r="S2154" i="1"/>
  <c r="T2154" i="1"/>
  <c r="U2154" i="1"/>
  <c r="V2154" i="1"/>
  <c r="W2154" i="1"/>
  <c r="X2154" i="1"/>
  <c r="Y2154" i="1"/>
  <c r="Z2154" i="1"/>
  <c r="A2155" i="1"/>
  <c r="B2155" i="1"/>
  <c r="C2155" i="1"/>
  <c r="D2155" i="1"/>
  <c r="E2155" i="1"/>
  <c r="F2155" i="1"/>
  <c r="G2155" i="1"/>
  <c r="I2155" i="1"/>
  <c r="J2155" i="1"/>
  <c r="K2155" i="1"/>
  <c r="L2155" i="1"/>
  <c r="M2155" i="1"/>
  <c r="N2155" i="1"/>
  <c r="O2155" i="1"/>
  <c r="P2155" i="1"/>
  <c r="Q2155" i="1"/>
  <c r="R2155" i="1"/>
  <c r="S2155" i="1"/>
  <c r="T2155" i="1"/>
  <c r="U2155" i="1"/>
  <c r="V2155" i="1"/>
  <c r="W2155" i="1"/>
  <c r="X2155" i="1"/>
  <c r="Y2155" i="1"/>
  <c r="Z2155" i="1"/>
  <c r="A2156" i="1"/>
  <c r="B2156" i="1"/>
  <c r="C2156" i="1"/>
  <c r="D2156" i="1"/>
  <c r="E2156" i="1"/>
  <c r="F2156" i="1"/>
  <c r="G2156" i="1"/>
  <c r="I2156" i="1"/>
  <c r="J2156" i="1"/>
  <c r="K2156" i="1"/>
  <c r="L2156" i="1"/>
  <c r="M2156" i="1"/>
  <c r="N2156" i="1"/>
  <c r="O2156" i="1"/>
  <c r="P2156" i="1"/>
  <c r="Q2156" i="1"/>
  <c r="R2156" i="1"/>
  <c r="S2156" i="1"/>
  <c r="T2156" i="1"/>
  <c r="U2156" i="1"/>
  <c r="V2156" i="1"/>
  <c r="W2156" i="1"/>
  <c r="X2156" i="1"/>
  <c r="Y2156" i="1"/>
  <c r="Z2156" i="1"/>
  <c r="A2157" i="1"/>
  <c r="B2157" i="1"/>
  <c r="C2157" i="1"/>
  <c r="D2157" i="1"/>
  <c r="E2157" i="1"/>
  <c r="F2157" i="1"/>
  <c r="G2157" i="1"/>
  <c r="I2157" i="1"/>
  <c r="J2157" i="1"/>
  <c r="K2157" i="1"/>
  <c r="L2157" i="1"/>
  <c r="M2157" i="1"/>
  <c r="N2157" i="1"/>
  <c r="O2157" i="1"/>
  <c r="P2157" i="1"/>
  <c r="Q2157" i="1"/>
  <c r="R2157" i="1"/>
  <c r="S2157" i="1"/>
  <c r="T2157" i="1"/>
  <c r="U2157" i="1"/>
  <c r="V2157" i="1"/>
  <c r="W2157" i="1"/>
  <c r="X2157" i="1"/>
  <c r="Y2157" i="1"/>
  <c r="Z2157" i="1"/>
  <c r="A2158" i="1"/>
  <c r="B2158" i="1"/>
  <c r="C2158" i="1"/>
  <c r="D2158" i="1"/>
  <c r="E2158" i="1"/>
  <c r="F2158" i="1"/>
  <c r="G2158" i="1"/>
  <c r="I2158" i="1"/>
  <c r="J2158" i="1"/>
  <c r="K2158" i="1"/>
  <c r="L2158" i="1"/>
  <c r="M2158" i="1"/>
  <c r="N2158" i="1"/>
  <c r="O2158" i="1"/>
  <c r="P2158" i="1"/>
  <c r="Q2158" i="1"/>
  <c r="R2158" i="1"/>
  <c r="S2158" i="1"/>
  <c r="T2158" i="1"/>
  <c r="U2158" i="1"/>
  <c r="V2158" i="1"/>
  <c r="W2158" i="1"/>
  <c r="X2158" i="1"/>
  <c r="Y2158" i="1"/>
  <c r="Z2158" i="1"/>
  <c r="A2159" i="1"/>
  <c r="B2159" i="1"/>
  <c r="C2159" i="1"/>
  <c r="D2159" i="1"/>
  <c r="E2159" i="1"/>
  <c r="F2159" i="1"/>
  <c r="G2159" i="1"/>
  <c r="I2159" i="1"/>
  <c r="J2159" i="1"/>
  <c r="K2159" i="1"/>
  <c r="L2159" i="1"/>
  <c r="M2159" i="1"/>
  <c r="N2159" i="1"/>
  <c r="O2159" i="1"/>
  <c r="P2159" i="1"/>
  <c r="Q2159" i="1"/>
  <c r="R2159" i="1"/>
  <c r="S2159" i="1"/>
  <c r="T2159" i="1"/>
  <c r="U2159" i="1"/>
  <c r="V2159" i="1"/>
  <c r="W2159" i="1"/>
  <c r="X2159" i="1"/>
  <c r="Y2159" i="1"/>
  <c r="Z2159" i="1"/>
  <c r="A2160" i="1"/>
  <c r="B2160" i="1"/>
  <c r="C2160" i="1"/>
  <c r="D2160" i="1"/>
  <c r="E2160" i="1"/>
  <c r="F2160" i="1"/>
  <c r="G2160" i="1"/>
  <c r="I2160" i="1"/>
  <c r="J2160" i="1"/>
  <c r="K2160" i="1"/>
  <c r="L2160" i="1"/>
  <c r="M2160" i="1"/>
  <c r="N2160" i="1"/>
  <c r="O2160" i="1"/>
  <c r="P2160" i="1"/>
  <c r="Q2160" i="1"/>
  <c r="R2160" i="1"/>
  <c r="S2160" i="1"/>
  <c r="T2160" i="1"/>
  <c r="U2160" i="1"/>
  <c r="V2160" i="1"/>
  <c r="W2160" i="1"/>
  <c r="X2160" i="1"/>
  <c r="Y2160" i="1"/>
  <c r="Z2160" i="1"/>
  <c r="A2161" i="1"/>
  <c r="B2161" i="1"/>
  <c r="C2161" i="1"/>
  <c r="D2161" i="1"/>
  <c r="E2161" i="1"/>
  <c r="F2161" i="1"/>
  <c r="G2161" i="1"/>
  <c r="I2161" i="1"/>
  <c r="J2161" i="1"/>
  <c r="K2161" i="1"/>
  <c r="L2161" i="1"/>
  <c r="M2161" i="1"/>
  <c r="N2161" i="1"/>
  <c r="O2161" i="1"/>
  <c r="P2161" i="1"/>
  <c r="Q2161" i="1"/>
  <c r="R2161" i="1"/>
  <c r="S2161" i="1"/>
  <c r="T2161" i="1"/>
  <c r="U2161" i="1"/>
  <c r="V2161" i="1"/>
  <c r="W2161" i="1"/>
  <c r="X2161" i="1"/>
  <c r="Y2161" i="1"/>
  <c r="Z2161" i="1"/>
  <c r="A2162" i="1"/>
  <c r="B2162" i="1"/>
  <c r="C2162" i="1"/>
  <c r="D2162" i="1"/>
  <c r="E2162" i="1"/>
  <c r="F2162" i="1"/>
  <c r="G2162" i="1"/>
  <c r="I2162" i="1"/>
  <c r="J2162" i="1"/>
  <c r="K2162" i="1"/>
  <c r="L2162" i="1"/>
  <c r="M2162" i="1"/>
  <c r="N2162" i="1"/>
  <c r="O2162" i="1"/>
  <c r="P2162" i="1"/>
  <c r="Q2162" i="1"/>
  <c r="R2162" i="1"/>
  <c r="S2162" i="1"/>
  <c r="T2162" i="1"/>
  <c r="U2162" i="1"/>
  <c r="V2162" i="1"/>
  <c r="W2162" i="1"/>
  <c r="X2162" i="1"/>
  <c r="Y2162" i="1"/>
  <c r="Z2162" i="1"/>
  <c r="A2163" i="1"/>
  <c r="B2163" i="1"/>
  <c r="C2163" i="1"/>
  <c r="D2163" i="1"/>
  <c r="E2163" i="1"/>
  <c r="F2163" i="1"/>
  <c r="G2163" i="1"/>
  <c r="I2163" i="1"/>
  <c r="J2163" i="1"/>
  <c r="K2163" i="1"/>
  <c r="L2163" i="1"/>
  <c r="M2163" i="1"/>
  <c r="N2163" i="1"/>
  <c r="O2163" i="1"/>
  <c r="P2163" i="1"/>
  <c r="Q2163" i="1"/>
  <c r="R2163" i="1"/>
  <c r="S2163" i="1"/>
  <c r="T2163" i="1"/>
  <c r="U2163" i="1"/>
  <c r="V2163" i="1"/>
  <c r="W2163" i="1"/>
  <c r="X2163" i="1"/>
  <c r="Y2163" i="1"/>
  <c r="Z2163" i="1"/>
  <c r="A2164" i="1"/>
  <c r="B2164" i="1"/>
  <c r="C2164" i="1"/>
  <c r="D2164" i="1"/>
  <c r="E2164" i="1"/>
  <c r="F2164" i="1"/>
  <c r="G2164" i="1"/>
  <c r="I2164" i="1"/>
  <c r="J2164" i="1"/>
  <c r="K2164" i="1"/>
  <c r="L2164" i="1"/>
  <c r="M2164" i="1"/>
  <c r="N2164" i="1"/>
  <c r="O2164" i="1"/>
  <c r="P2164" i="1"/>
  <c r="Q2164" i="1"/>
  <c r="R2164" i="1"/>
  <c r="S2164" i="1"/>
  <c r="T2164" i="1"/>
  <c r="U2164" i="1"/>
  <c r="V2164" i="1"/>
  <c r="W2164" i="1"/>
  <c r="X2164" i="1"/>
  <c r="Y2164" i="1"/>
  <c r="Z2164" i="1"/>
  <c r="A2165" i="1"/>
  <c r="B2165" i="1"/>
  <c r="C2165" i="1"/>
  <c r="D2165" i="1"/>
  <c r="E2165" i="1"/>
  <c r="F2165" i="1"/>
  <c r="G2165" i="1"/>
  <c r="I2165" i="1"/>
  <c r="J2165" i="1"/>
  <c r="K2165" i="1"/>
  <c r="L2165" i="1"/>
  <c r="M2165" i="1"/>
  <c r="N2165" i="1"/>
  <c r="O2165" i="1"/>
  <c r="P2165" i="1"/>
  <c r="Q2165" i="1"/>
  <c r="R2165" i="1"/>
  <c r="S2165" i="1"/>
  <c r="T2165" i="1"/>
  <c r="U2165" i="1"/>
  <c r="V2165" i="1"/>
  <c r="W2165" i="1"/>
  <c r="X2165" i="1"/>
  <c r="Y2165" i="1"/>
  <c r="Z2165" i="1"/>
  <c r="A2166" i="1"/>
  <c r="B2166" i="1"/>
  <c r="C2166" i="1"/>
  <c r="D2166" i="1"/>
  <c r="E2166" i="1"/>
  <c r="F2166" i="1"/>
  <c r="G2166" i="1"/>
  <c r="I2166" i="1"/>
  <c r="J2166" i="1"/>
  <c r="K2166" i="1"/>
  <c r="L2166" i="1"/>
  <c r="M2166" i="1"/>
  <c r="N2166" i="1"/>
  <c r="O2166" i="1"/>
  <c r="P2166" i="1"/>
  <c r="Q2166" i="1"/>
  <c r="R2166" i="1"/>
  <c r="S2166" i="1"/>
  <c r="T2166" i="1"/>
  <c r="U2166" i="1"/>
  <c r="V2166" i="1"/>
  <c r="W2166" i="1"/>
  <c r="X2166" i="1"/>
  <c r="Y2166" i="1"/>
  <c r="Z2166" i="1"/>
  <c r="A2167" i="1"/>
  <c r="B2167" i="1"/>
  <c r="C2167" i="1"/>
  <c r="D2167" i="1"/>
  <c r="E2167" i="1"/>
  <c r="F2167" i="1"/>
  <c r="G2167" i="1"/>
  <c r="I2167" i="1"/>
  <c r="J2167" i="1"/>
  <c r="K2167" i="1"/>
  <c r="L2167" i="1"/>
  <c r="M2167" i="1"/>
  <c r="N2167" i="1"/>
  <c r="O2167" i="1"/>
  <c r="P2167" i="1"/>
  <c r="Q2167" i="1"/>
  <c r="R2167" i="1"/>
  <c r="S2167" i="1"/>
  <c r="T2167" i="1"/>
  <c r="U2167" i="1"/>
  <c r="V2167" i="1"/>
  <c r="W2167" i="1"/>
  <c r="X2167" i="1"/>
  <c r="Y2167" i="1"/>
  <c r="Z2167" i="1"/>
  <c r="A2168" i="1"/>
  <c r="B2168" i="1"/>
  <c r="C2168" i="1"/>
  <c r="D2168" i="1"/>
  <c r="E2168" i="1"/>
  <c r="F2168" i="1"/>
  <c r="G2168" i="1"/>
  <c r="I2168" i="1"/>
  <c r="J2168" i="1"/>
  <c r="K2168" i="1"/>
  <c r="L2168" i="1"/>
  <c r="M2168" i="1"/>
  <c r="N2168" i="1"/>
  <c r="O2168" i="1"/>
  <c r="P2168" i="1"/>
  <c r="Q2168" i="1"/>
  <c r="R2168" i="1"/>
  <c r="S2168" i="1"/>
  <c r="T2168" i="1"/>
  <c r="U2168" i="1"/>
  <c r="V2168" i="1"/>
  <c r="W2168" i="1"/>
  <c r="X2168" i="1"/>
  <c r="Y2168" i="1"/>
  <c r="Z2168" i="1"/>
  <c r="A2169" i="1"/>
  <c r="B2169" i="1"/>
  <c r="C2169" i="1"/>
  <c r="D2169" i="1"/>
  <c r="E2169" i="1"/>
  <c r="F2169" i="1"/>
  <c r="G2169" i="1"/>
  <c r="I2169" i="1"/>
  <c r="J2169" i="1"/>
  <c r="K2169" i="1"/>
  <c r="L2169" i="1"/>
  <c r="M2169" i="1"/>
  <c r="N2169" i="1"/>
  <c r="O2169" i="1"/>
  <c r="P2169" i="1"/>
  <c r="Q2169" i="1"/>
  <c r="R2169" i="1"/>
  <c r="S2169" i="1"/>
  <c r="T2169" i="1"/>
  <c r="U2169" i="1"/>
  <c r="V2169" i="1"/>
  <c r="W2169" i="1"/>
  <c r="X2169" i="1"/>
  <c r="Y2169" i="1"/>
  <c r="Z2169" i="1"/>
  <c r="A2170" i="1"/>
  <c r="B2170" i="1"/>
  <c r="C2170" i="1"/>
  <c r="D2170" i="1"/>
  <c r="E2170" i="1"/>
  <c r="F2170" i="1"/>
  <c r="G2170" i="1"/>
  <c r="I2170" i="1"/>
  <c r="J2170" i="1"/>
  <c r="K2170" i="1"/>
  <c r="L2170" i="1"/>
  <c r="M2170" i="1"/>
  <c r="N2170" i="1"/>
  <c r="O2170" i="1"/>
  <c r="P2170" i="1"/>
  <c r="Q2170" i="1"/>
  <c r="R2170" i="1"/>
  <c r="S2170" i="1"/>
  <c r="T2170" i="1"/>
  <c r="U2170" i="1"/>
  <c r="V2170" i="1"/>
  <c r="W2170" i="1"/>
  <c r="X2170" i="1"/>
  <c r="Y2170" i="1"/>
  <c r="Z2170" i="1"/>
  <c r="A2171" i="1"/>
  <c r="B2171" i="1"/>
  <c r="C2171" i="1"/>
  <c r="D2171" i="1"/>
  <c r="E2171" i="1"/>
  <c r="F2171" i="1"/>
  <c r="G2171" i="1"/>
  <c r="I2171" i="1"/>
  <c r="J2171" i="1"/>
  <c r="K2171" i="1"/>
  <c r="L2171" i="1"/>
  <c r="M2171" i="1"/>
  <c r="N2171" i="1"/>
  <c r="O2171" i="1"/>
  <c r="P2171" i="1"/>
  <c r="Q2171" i="1"/>
  <c r="R2171" i="1"/>
  <c r="S2171" i="1"/>
  <c r="T2171" i="1"/>
  <c r="U2171" i="1"/>
  <c r="V2171" i="1"/>
  <c r="W2171" i="1"/>
  <c r="X2171" i="1"/>
  <c r="Y2171" i="1"/>
  <c r="Z2171" i="1"/>
  <c r="A2172" i="1"/>
  <c r="B2172" i="1"/>
  <c r="C2172" i="1"/>
  <c r="D2172" i="1"/>
  <c r="E2172" i="1"/>
  <c r="F2172" i="1"/>
  <c r="G2172" i="1"/>
  <c r="I2172" i="1"/>
  <c r="J2172" i="1"/>
  <c r="K2172" i="1"/>
  <c r="L2172" i="1"/>
  <c r="M2172" i="1"/>
  <c r="N2172" i="1"/>
  <c r="O2172" i="1"/>
  <c r="P2172" i="1"/>
  <c r="Q2172" i="1"/>
  <c r="R2172" i="1"/>
  <c r="S2172" i="1"/>
  <c r="T2172" i="1"/>
  <c r="U2172" i="1"/>
  <c r="V2172" i="1"/>
  <c r="W2172" i="1"/>
  <c r="X2172" i="1"/>
  <c r="Y2172" i="1"/>
  <c r="Z2172" i="1"/>
  <c r="A2173" i="1"/>
  <c r="B2173" i="1"/>
  <c r="C2173" i="1"/>
  <c r="D2173" i="1"/>
  <c r="E2173" i="1"/>
  <c r="F2173" i="1"/>
  <c r="G2173" i="1"/>
  <c r="I2173" i="1"/>
  <c r="J2173" i="1"/>
  <c r="K2173" i="1"/>
  <c r="L2173" i="1"/>
  <c r="M2173" i="1"/>
  <c r="N2173" i="1"/>
  <c r="O2173" i="1"/>
  <c r="P2173" i="1"/>
  <c r="Q2173" i="1"/>
  <c r="R2173" i="1"/>
  <c r="S2173" i="1"/>
  <c r="T2173" i="1"/>
  <c r="U2173" i="1"/>
  <c r="V2173" i="1"/>
  <c r="W2173" i="1"/>
  <c r="X2173" i="1"/>
  <c r="Y2173" i="1"/>
  <c r="Z2173" i="1"/>
  <c r="A2174" i="1"/>
  <c r="B2174" i="1"/>
  <c r="C2174" i="1"/>
  <c r="D2174" i="1"/>
  <c r="E2174" i="1"/>
  <c r="F2174" i="1"/>
  <c r="G2174" i="1"/>
  <c r="I2174" i="1"/>
  <c r="J2174" i="1"/>
  <c r="K2174" i="1"/>
  <c r="L2174" i="1"/>
  <c r="M2174" i="1"/>
  <c r="N2174" i="1"/>
  <c r="O2174" i="1"/>
  <c r="P2174" i="1"/>
  <c r="Q2174" i="1"/>
  <c r="R2174" i="1"/>
  <c r="S2174" i="1"/>
  <c r="T2174" i="1"/>
  <c r="U2174" i="1"/>
  <c r="V2174" i="1"/>
  <c r="W2174" i="1"/>
  <c r="X2174" i="1"/>
  <c r="Y2174" i="1"/>
  <c r="Z2174" i="1"/>
  <c r="A2175" i="1"/>
  <c r="B2175" i="1"/>
  <c r="C2175" i="1"/>
  <c r="D2175" i="1"/>
  <c r="E2175" i="1"/>
  <c r="F2175" i="1"/>
  <c r="G2175" i="1"/>
  <c r="I2175" i="1"/>
  <c r="J2175" i="1"/>
  <c r="K2175" i="1"/>
  <c r="L2175" i="1"/>
  <c r="M2175" i="1"/>
  <c r="N2175" i="1"/>
  <c r="O2175" i="1"/>
  <c r="P2175" i="1"/>
  <c r="Q2175" i="1"/>
  <c r="R2175" i="1"/>
  <c r="S2175" i="1"/>
  <c r="T2175" i="1"/>
  <c r="U2175" i="1"/>
  <c r="V2175" i="1"/>
  <c r="W2175" i="1"/>
  <c r="X2175" i="1"/>
  <c r="Y2175" i="1"/>
  <c r="Z2175" i="1"/>
  <c r="A2176" i="1"/>
  <c r="B2176" i="1"/>
  <c r="C2176" i="1"/>
  <c r="D2176" i="1"/>
  <c r="E2176" i="1"/>
  <c r="F2176" i="1"/>
  <c r="G2176" i="1"/>
  <c r="I2176" i="1"/>
  <c r="J2176" i="1"/>
  <c r="K2176" i="1"/>
  <c r="L2176" i="1"/>
  <c r="M2176" i="1"/>
  <c r="N2176" i="1"/>
  <c r="O2176" i="1"/>
  <c r="P2176" i="1"/>
  <c r="Q2176" i="1"/>
  <c r="R2176" i="1"/>
  <c r="S2176" i="1"/>
  <c r="T2176" i="1"/>
  <c r="U2176" i="1"/>
  <c r="V2176" i="1"/>
  <c r="W2176" i="1"/>
  <c r="X2176" i="1"/>
  <c r="Y2176" i="1"/>
  <c r="Z2176" i="1"/>
  <c r="A2177" i="1"/>
  <c r="B2177" i="1"/>
  <c r="C2177" i="1"/>
  <c r="D2177" i="1"/>
  <c r="E2177" i="1"/>
  <c r="F2177" i="1"/>
  <c r="G2177" i="1"/>
  <c r="I2177" i="1"/>
  <c r="J2177" i="1"/>
  <c r="K2177" i="1"/>
  <c r="L2177" i="1"/>
  <c r="M2177" i="1"/>
  <c r="N2177" i="1"/>
  <c r="O2177" i="1"/>
  <c r="P2177" i="1"/>
  <c r="Q2177" i="1"/>
  <c r="R2177" i="1"/>
  <c r="S2177" i="1"/>
  <c r="T2177" i="1"/>
  <c r="U2177" i="1"/>
  <c r="V2177" i="1"/>
  <c r="W2177" i="1"/>
  <c r="X2177" i="1"/>
  <c r="Y2177" i="1"/>
  <c r="Z2177" i="1"/>
  <c r="A2178" i="1"/>
  <c r="B2178" i="1"/>
  <c r="C2178" i="1"/>
  <c r="D2178" i="1"/>
  <c r="E2178" i="1"/>
  <c r="F2178" i="1"/>
  <c r="G2178" i="1"/>
  <c r="I2178" i="1"/>
  <c r="J2178" i="1"/>
  <c r="K2178" i="1"/>
  <c r="L2178" i="1"/>
  <c r="M2178" i="1"/>
  <c r="N2178" i="1"/>
  <c r="O2178" i="1"/>
  <c r="P2178" i="1"/>
  <c r="Q2178" i="1"/>
  <c r="R2178" i="1"/>
  <c r="S2178" i="1"/>
  <c r="T2178" i="1"/>
  <c r="U2178" i="1"/>
  <c r="V2178" i="1"/>
  <c r="W2178" i="1"/>
  <c r="X2178" i="1"/>
  <c r="Y2178" i="1"/>
  <c r="Z2178" i="1"/>
  <c r="A2179" i="1"/>
  <c r="B2179" i="1"/>
  <c r="C2179" i="1"/>
  <c r="D2179" i="1"/>
  <c r="E2179" i="1"/>
  <c r="F2179" i="1"/>
  <c r="G2179" i="1"/>
  <c r="I2179" i="1"/>
  <c r="J2179" i="1"/>
  <c r="K2179" i="1"/>
  <c r="L2179" i="1"/>
  <c r="M2179" i="1"/>
  <c r="N2179" i="1"/>
  <c r="O2179" i="1"/>
  <c r="P2179" i="1"/>
  <c r="Q2179" i="1"/>
  <c r="R2179" i="1"/>
  <c r="S2179" i="1"/>
  <c r="T2179" i="1"/>
  <c r="U2179" i="1"/>
  <c r="V2179" i="1"/>
  <c r="W2179" i="1"/>
  <c r="X2179" i="1"/>
  <c r="Y2179" i="1"/>
  <c r="Z2179" i="1"/>
  <c r="A2180" i="1"/>
  <c r="B2180" i="1"/>
  <c r="C2180" i="1"/>
  <c r="D2180" i="1"/>
  <c r="E2180" i="1"/>
  <c r="F2180" i="1"/>
  <c r="G2180" i="1"/>
  <c r="I2180" i="1"/>
  <c r="J2180" i="1"/>
  <c r="K2180" i="1"/>
  <c r="L2180" i="1"/>
  <c r="M2180" i="1"/>
  <c r="N2180" i="1"/>
  <c r="O2180" i="1"/>
  <c r="P2180" i="1"/>
  <c r="Q2180" i="1"/>
  <c r="R2180" i="1"/>
  <c r="S2180" i="1"/>
  <c r="T2180" i="1"/>
  <c r="U2180" i="1"/>
  <c r="V2180" i="1"/>
  <c r="W2180" i="1"/>
  <c r="X2180" i="1"/>
  <c r="Y2180" i="1"/>
  <c r="Z2180" i="1"/>
  <c r="A2181" i="1"/>
  <c r="B2181" i="1"/>
  <c r="C2181" i="1"/>
  <c r="D2181" i="1"/>
  <c r="E2181" i="1"/>
  <c r="F2181" i="1"/>
  <c r="G2181" i="1"/>
  <c r="I2181" i="1"/>
  <c r="J2181" i="1"/>
  <c r="K2181" i="1"/>
  <c r="L2181" i="1"/>
  <c r="M2181" i="1"/>
  <c r="N2181" i="1"/>
  <c r="O2181" i="1"/>
  <c r="P2181" i="1"/>
  <c r="Q2181" i="1"/>
  <c r="R2181" i="1"/>
  <c r="S2181" i="1"/>
  <c r="T2181" i="1"/>
  <c r="U2181" i="1"/>
  <c r="V2181" i="1"/>
  <c r="W2181" i="1"/>
  <c r="X2181" i="1"/>
  <c r="Y2181" i="1"/>
  <c r="Z2181" i="1"/>
  <c r="A2182" i="1"/>
  <c r="B2182" i="1"/>
  <c r="C2182" i="1"/>
  <c r="D2182" i="1"/>
  <c r="E2182" i="1"/>
  <c r="F2182" i="1"/>
  <c r="G2182" i="1"/>
  <c r="I2182" i="1"/>
  <c r="J2182" i="1"/>
  <c r="K2182" i="1"/>
  <c r="L2182" i="1"/>
  <c r="M2182" i="1"/>
  <c r="N2182" i="1"/>
  <c r="O2182" i="1"/>
  <c r="P2182" i="1"/>
  <c r="Q2182" i="1"/>
  <c r="R2182" i="1"/>
  <c r="S2182" i="1"/>
  <c r="T2182" i="1"/>
  <c r="U2182" i="1"/>
  <c r="V2182" i="1"/>
  <c r="W2182" i="1"/>
  <c r="X2182" i="1"/>
  <c r="Y2182" i="1"/>
  <c r="Z2182" i="1"/>
  <c r="A2183" i="1"/>
  <c r="B2183" i="1"/>
  <c r="C2183" i="1"/>
  <c r="D2183" i="1"/>
  <c r="E2183" i="1"/>
  <c r="F2183" i="1"/>
  <c r="G2183" i="1"/>
  <c r="I2183" i="1"/>
  <c r="J2183" i="1"/>
  <c r="K2183" i="1"/>
  <c r="L2183" i="1"/>
  <c r="M2183" i="1"/>
  <c r="N2183" i="1"/>
  <c r="O2183" i="1"/>
  <c r="P2183" i="1"/>
  <c r="Q2183" i="1"/>
  <c r="R2183" i="1"/>
  <c r="S2183" i="1"/>
  <c r="T2183" i="1"/>
  <c r="U2183" i="1"/>
  <c r="V2183" i="1"/>
  <c r="W2183" i="1"/>
  <c r="X2183" i="1"/>
  <c r="Y2183" i="1"/>
  <c r="Z2183" i="1"/>
  <c r="A2184" i="1"/>
  <c r="B2184" i="1"/>
  <c r="C2184" i="1"/>
  <c r="D2184" i="1"/>
  <c r="E2184" i="1"/>
  <c r="F2184" i="1"/>
  <c r="G2184" i="1"/>
  <c r="I2184" i="1"/>
  <c r="J2184" i="1"/>
  <c r="K2184" i="1"/>
  <c r="L2184" i="1"/>
  <c r="M2184" i="1"/>
  <c r="N2184" i="1"/>
  <c r="O2184" i="1"/>
  <c r="P2184" i="1"/>
  <c r="Q2184" i="1"/>
  <c r="R2184" i="1"/>
  <c r="S2184" i="1"/>
  <c r="T2184" i="1"/>
  <c r="U2184" i="1"/>
  <c r="V2184" i="1"/>
  <c r="W2184" i="1"/>
  <c r="X2184" i="1"/>
  <c r="Y2184" i="1"/>
  <c r="Z2184" i="1"/>
  <c r="A2185" i="1"/>
  <c r="B2185" i="1"/>
  <c r="C2185" i="1"/>
  <c r="D2185" i="1"/>
  <c r="E2185" i="1"/>
  <c r="F2185" i="1"/>
  <c r="G2185" i="1"/>
  <c r="I2185" i="1"/>
  <c r="J2185" i="1"/>
  <c r="K2185" i="1"/>
  <c r="L2185" i="1"/>
  <c r="M2185" i="1"/>
  <c r="N2185" i="1"/>
  <c r="O2185" i="1"/>
  <c r="P2185" i="1"/>
  <c r="Q2185" i="1"/>
  <c r="R2185" i="1"/>
  <c r="S2185" i="1"/>
  <c r="T2185" i="1"/>
  <c r="U2185" i="1"/>
  <c r="V2185" i="1"/>
  <c r="W2185" i="1"/>
  <c r="X2185" i="1"/>
  <c r="Y2185" i="1"/>
  <c r="Z2185" i="1"/>
  <c r="A2186" i="1"/>
  <c r="B2186" i="1"/>
  <c r="C2186" i="1"/>
  <c r="D2186" i="1"/>
  <c r="E2186" i="1"/>
  <c r="F2186" i="1"/>
  <c r="G2186" i="1"/>
  <c r="I2186" i="1"/>
  <c r="J2186" i="1"/>
  <c r="K2186" i="1"/>
  <c r="L2186" i="1"/>
  <c r="M2186" i="1"/>
  <c r="N2186" i="1"/>
  <c r="O2186" i="1"/>
  <c r="P2186" i="1"/>
  <c r="Q2186" i="1"/>
  <c r="R2186" i="1"/>
  <c r="S2186" i="1"/>
  <c r="T2186" i="1"/>
  <c r="U2186" i="1"/>
  <c r="V2186" i="1"/>
  <c r="W2186" i="1"/>
  <c r="X2186" i="1"/>
  <c r="Y2186" i="1"/>
  <c r="Z2186" i="1"/>
  <c r="A2187" i="1"/>
  <c r="B2187" i="1"/>
  <c r="C2187" i="1"/>
  <c r="D2187" i="1"/>
  <c r="E2187" i="1"/>
  <c r="F2187" i="1"/>
  <c r="G2187" i="1"/>
  <c r="I2187" i="1"/>
  <c r="J2187" i="1"/>
  <c r="K2187" i="1"/>
  <c r="L2187" i="1"/>
  <c r="M2187" i="1"/>
  <c r="N2187" i="1"/>
  <c r="O2187" i="1"/>
  <c r="P2187" i="1"/>
  <c r="Q2187" i="1"/>
  <c r="R2187" i="1"/>
  <c r="S2187" i="1"/>
  <c r="T2187" i="1"/>
  <c r="U2187" i="1"/>
  <c r="V2187" i="1"/>
  <c r="W2187" i="1"/>
  <c r="X2187" i="1"/>
  <c r="Y2187" i="1"/>
  <c r="Z2187" i="1"/>
  <c r="A2188" i="1"/>
  <c r="B2188" i="1"/>
  <c r="C2188" i="1"/>
  <c r="D2188" i="1"/>
  <c r="E2188" i="1"/>
  <c r="F2188" i="1"/>
  <c r="G2188" i="1"/>
  <c r="I2188" i="1"/>
  <c r="J2188" i="1"/>
  <c r="K2188" i="1"/>
  <c r="L2188" i="1"/>
  <c r="M2188" i="1"/>
  <c r="N2188" i="1"/>
  <c r="O2188" i="1"/>
  <c r="P2188" i="1"/>
  <c r="Q2188" i="1"/>
  <c r="R2188" i="1"/>
  <c r="S2188" i="1"/>
  <c r="T2188" i="1"/>
  <c r="U2188" i="1"/>
  <c r="V2188" i="1"/>
  <c r="W2188" i="1"/>
  <c r="X2188" i="1"/>
  <c r="Y2188" i="1"/>
  <c r="Z2188" i="1"/>
  <c r="A2189" i="1"/>
  <c r="B2189" i="1"/>
  <c r="C2189" i="1"/>
  <c r="D2189" i="1"/>
  <c r="E2189" i="1"/>
  <c r="F2189" i="1"/>
  <c r="G2189" i="1"/>
  <c r="I2189" i="1"/>
  <c r="J2189" i="1"/>
  <c r="K2189" i="1"/>
  <c r="L2189" i="1"/>
  <c r="M2189" i="1"/>
  <c r="N2189" i="1"/>
  <c r="O2189" i="1"/>
  <c r="P2189" i="1"/>
  <c r="Q2189" i="1"/>
  <c r="R2189" i="1"/>
  <c r="S2189" i="1"/>
  <c r="T2189" i="1"/>
  <c r="U2189" i="1"/>
  <c r="V2189" i="1"/>
  <c r="W2189" i="1"/>
  <c r="X2189" i="1"/>
  <c r="Y2189" i="1"/>
  <c r="Z2189" i="1"/>
  <c r="A2190" i="1"/>
  <c r="B2190" i="1"/>
  <c r="C2190" i="1"/>
  <c r="D2190" i="1"/>
  <c r="E2190" i="1"/>
  <c r="F2190" i="1"/>
  <c r="G2190" i="1"/>
  <c r="I2190" i="1"/>
  <c r="J2190" i="1"/>
  <c r="K2190" i="1"/>
  <c r="L2190" i="1"/>
  <c r="M2190" i="1"/>
  <c r="N2190" i="1"/>
  <c r="O2190" i="1"/>
  <c r="P2190" i="1"/>
  <c r="Q2190" i="1"/>
  <c r="R2190" i="1"/>
  <c r="S2190" i="1"/>
  <c r="T2190" i="1"/>
  <c r="U2190" i="1"/>
  <c r="V2190" i="1"/>
  <c r="W2190" i="1"/>
  <c r="X2190" i="1"/>
  <c r="Y2190" i="1"/>
  <c r="Z2190" i="1"/>
  <c r="A2191" i="1"/>
  <c r="B2191" i="1"/>
  <c r="C2191" i="1"/>
  <c r="D2191" i="1"/>
  <c r="E2191" i="1"/>
  <c r="F2191" i="1"/>
  <c r="G2191" i="1"/>
  <c r="I2191" i="1"/>
  <c r="J2191" i="1"/>
  <c r="K2191" i="1"/>
  <c r="L2191" i="1"/>
  <c r="M2191" i="1"/>
  <c r="N2191" i="1"/>
  <c r="O2191" i="1"/>
  <c r="P2191" i="1"/>
  <c r="Q2191" i="1"/>
  <c r="R2191" i="1"/>
  <c r="S2191" i="1"/>
  <c r="T2191" i="1"/>
  <c r="U2191" i="1"/>
  <c r="V2191" i="1"/>
  <c r="W2191" i="1"/>
  <c r="X2191" i="1"/>
  <c r="Y2191" i="1"/>
  <c r="Z2191" i="1"/>
  <c r="A2192" i="1"/>
  <c r="B2192" i="1"/>
  <c r="C2192" i="1"/>
  <c r="D2192" i="1"/>
  <c r="E2192" i="1"/>
  <c r="F2192" i="1"/>
  <c r="G2192" i="1"/>
  <c r="I2192" i="1"/>
  <c r="J2192" i="1"/>
  <c r="K2192" i="1"/>
  <c r="L2192" i="1"/>
  <c r="M2192" i="1"/>
  <c r="N2192" i="1"/>
  <c r="O2192" i="1"/>
  <c r="P2192" i="1"/>
  <c r="Q2192" i="1"/>
  <c r="R2192" i="1"/>
  <c r="S2192" i="1"/>
  <c r="T2192" i="1"/>
  <c r="U2192" i="1"/>
  <c r="V2192" i="1"/>
  <c r="W2192" i="1"/>
  <c r="X2192" i="1"/>
  <c r="Y2192" i="1"/>
  <c r="Z2192" i="1"/>
  <c r="A2193" i="1"/>
  <c r="B2193" i="1"/>
  <c r="C2193" i="1"/>
  <c r="D2193" i="1"/>
  <c r="E2193" i="1"/>
  <c r="F2193" i="1"/>
  <c r="G2193" i="1"/>
  <c r="I2193" i="1"/>
  <c r="J2193" i="1"/>
  <c r="K2193" i="1"/>
  <c r="L2193" i="1"/>
  <c r="M2193" i="1"/>
  <c r="N2193" i="1"/>
  <c r="O2193" i="1"/>
  <c r="P2193" i="1"/>
  <c r="Q2193" i="1"/>
  <c r="R2193" i="1"/>
  <c r="S2193" i="1"/>
  <c r="T2193" i="1"/>
  <c r="U2193" i="1"/>
  <c r="V2193" i="1"/>
  <c r="W2193" i="1"/>
  <c r="X2193" i="1"/>
  <c r="Y2193" i="1"/>
  <c r="Z2193" i="1"/>
  <c r="A2194" i="1"/>
  <c r="B2194" i="1"/>
  <c r="C2194" i="1"/>
  <c r="D2194" i="1"/>
  <c r="E2194" i="1"/>
  <c r="F2194" i="1"/>
  <c r="G2194" i="1"/>
  <c r="I2194" i="1"/>
  <c r="J2194" i="1"/>
  <c r="K2194" i="1"/>
  <c r="L2194" i="1"/>
  <c r="M2194" i="1"/>
  <c r="N2194" i="1"/>
  <c r="O2194" i="1"/>
  <c r="P2194" i="1"/>
  <c r="Q2194" i="1"/>
  <c r="R2194" i="1"/>
  <c r="S2194" i="1"/>
  <c r="T2194" i="1"/>
  <c r="U2194" i="1"/>
  <c r="V2194" i="1"/>
  <c r="W2194" i="1"/>
  <c r="X2194" i="1"/>
  <c r="Y2194" i="1"/>
  <c r="Z2194" i="1"/>
  <c r="A2195" i="1"/>
  <c r="B2195" i="1"/>
  <c r="C2195" i="1"/>
  <c r="D2195" i="1"/>
  <c r="E2195" i="1"/>
  <c r="F2195" i="1"/>
  <c r="G2195" i="1"/>
  <c r="I2195" i="1"/>
  <c r="J2195" i="1"/>
  <c r="K2195" i="1"/>
  <c r="L2195" i="1"/>
  <c r="M2195" i="1"/>
  <c r="N2195" i="1"/>
  <c r="O2195" i="1"/>
  <c r="P2195" i="1"/>
  <c r="Q2195" i="1"/>
  <c r="R2195" i="1"/>
  <c r="S2195" i="1"/>
  <c r="T2195" i="1"/>
  <c r="U2195" i="1"/>
  <c r="V2195" i="1"/>
  <c r="W2195" i="1"/>
  <c r="X2195" i="1"/>
  <c r="Y2195" i="1"/>
  <c r="Z2195" i="1"/>
  <c r="A2196" i="1"/>
  <c r="B2196" i="1"/>
  <c r="C2196" i="1"/>
  <c r="D2196" i="1"/>
  <c r="E2196" i="1"/>
  <c r="F2196" i="1"/>
  <c r="G2196" i="1"/>
  <c r="I2196" i="1"/>
  <c r="J2196" i="1"/>
  <c r="K2196" i="1"/>
  <c r="L2196" i="1"/>
  <c r="M2196" i="1"/>
  <c r="N2196" i="1"/>
  <c r="O2196" i="1"/>
  <c r="P2196" i="1"/>
  <c r="Q2196" i="1"/>
  <c r="R2196" i="1"/>
  <c r="S2196" i="1"/>
  <c r="T2196" i="1"/>
  <c r="U2196" i="1"/>
  <c r="V2196" i="1"/>
  <c r="W2196" i="1"/>
  <c r="X2196" i="1"/>
  <c r="Y2196" i="1"/>
  <c r="Z2196" i="1"/>
  <c r="A2197" i="1"/>
  <c r="B2197" i="1"/>
  <c r="C2197" i="1"/>
  <c r="D2197" i="1"/>
  <c r="E2197" i="1"/>
  <c r="F2197" i="1"/>
  <c r="G2197" i="1"/>
  <c r="I2197" i="1"/>
  <c r="J2197" i="1"/>
  <c r="K2197" i="1"/>
  <c r="L2197" i="1"/>
  <c r="M2197" i="1"/>
  <c r="N2197" i="1"/>
  <c r="O2197" i="1"/>
  <c r="P2197" i="1"/>
  <c r="Q2197" i="1"/>
  <c r="R2197" i="1"/>
  <c r="S2197" i="1"/>
  <c r="T2197" i="1"/>
  <c r="U2197" i="1"/>
  <c r="V2197" i="1"/>
  <c r="W2197" i="1"/>
  <c r="X2197" i="1"/>
  <c r="Y2197" i="1"/>
  <c r="Z2197" i="1"/>
  <c r="A2198" i="1"/>
  <c r="B2198" i="1"/>
  <c r="C2198" i="1"/>
  <c r="D2198" i="1"/>
  <c r="E2198" i="1"/>
  <c r="F2198" i="1"/>
  <c r="G2198" i="1"/>
  <c r="I2198" i="1"/>
  <c r="J2198" i="1"/>
  <c r="K2198" i="1"/>
  <c r="L2198" i="1"/>
  <c r="M2198" i="1"/>
  <c r="N2198" i="1"/>
  <c r="O2198" i="1"/>
  <c r="P2198" i="1"/>
  <c r="Q2198" i="1"/>
  <c r="R2198" i="1"/>
  <c r="S2198" i="1"/>
  <c r="T2198" i="1"/>
  <c r="U2198" i="1"/>
  <c r="V2198" i="1"/>
  <c r="W2198" i="1"/>
  <c r="X2198" i="1"/>
  <c r="Y2198" i="1"/>
  <c r="Z2198" i="1"/>
  <c r="A2199" i="1"/>
  <c r="B2199" i="1"/>
  <c r="C2199" i="1"/>
  <c r="D2199" i="1"/>
  <c r="E2199" i="1"/>
  <c r="F2199" i="1"/>
  <c r="G2199" i="1"/>
  <c r="I2199" i="1"/>
  <c r="J2199" i="1"/>
  <c r="K2199" i="1"/>
  <c r="L2199" i="1"/>
  <c r="M2199" i="1"/>
  <c r="N2199" i="1"/>
  <c r="O2199" i="1"/>
  <c r="P2199" i="1"/>
  <c r="Q2199" i="1"/>
  <c r="R2199" i="1"/>
  <c r="S2199" i="1"/>
  <c r="T2199" i="1"/>
  <c r="U2199" i="1"/>
  <c r="V2199" i="1"/>
  <c r="W2199" i="1"/>
  <c r="X2199" i="1"/>
  <c r="Y2199" i="1"/>
  <c r="Z2199" i="1"/>
  <c r="A2200" i="1"/>
  <c r="B2200" i="1"/>
  <c r="C2200" i="1"/>
  <c r="D2200" i="1"/>
  <c r="E2200" i="1"/>
  <c r="F2200" i="1"/>
  <c r="G2200" i="1"/>
  <c r="I2200" i="1"/>
  <c r="J2200" i="1"/>
  <c r="K2200" i="1"/>
  <c r="L2200" i="1"/>
  <c r="M2200" i="1"/>
  <c r="N2200" i="1"/>
  <c r="O2200" i="1"/>
  <c r="P2200" i="1"/>
  <c r="Q2200" i="1"/>
  <c r="R2200" i="1"/>
  <c r="S2200" i="1"/>
  <c r="T2200" i="1"/>
  <c r="U2200" i="1"/>
  <c r="V2200" i="1"/>
  <c r="W2200" i="1"/>
  <c r="X2200" i="1"/>
  <c r="Y2200" i="1"/>
  <c r="Z2200" i="1"/>
  <c r="A2201" i="1"/>
  <c r="B2201" i="1"/>
  <c r="C2201" i="1"/>
  <c r="D2201" i="1"/>
  <c r="E2201" i="1"/>
  <c r="F2201" i="1"/>
  <c r="G2201" i="1"/>
  <c r="I2201" i="1"/>
  <c r="J2201" i="1"/>
  <c r="K2201" i="1"/>
  <c r="L2201" i="1"/>
  <c r="M2201" i="1"/>
  <c r="N2201" i="1"/>
  <c r="O2201" i="1"/>
  <c r="P2201" i="1"/>
  <c r="Q2201" i="1"/>
  <c r="R2201" i="1"/>
  <c r="S2201" i="1"/>
  <c r="T2201" i="1"/>
  <c r="U2201" i="1"/>
  <c r="V2201" i="1"/>
  <c r="W2201" i="1"/>
  <c r="X2201" i="1"/>
  <c r="Y2201" i="1"/>
  <c r="Z2201" i="1"/>
  <c r="A2202" i="1"/>
  <c r="B2202" i="1"/>
  <c r="C2202" i="1"/>
  <c r="D2202" i="1"/>
  <c r="E2202" i="1"/>
  <c r="F2202" i="1"/>
  <c r="G2202" i="1"/>
  <c r="I2202" i="1"/>
  <c r="J2202" i="1"/>
  <c r="K2202" i="1"/>
  <c r="L2202" i="1"/>
  <c r="M2202" i="1"/>
  <c r="N2202" i="1"/>
  <c r="O2202" i="1"/>
  <c r="P2202" i="1"/>
  <c r="Q2202" i="1"/>
  <c r="R2202" i="1"/>
  <c r="S2202" i="1"/>
  <c r="T2202" i="1"/>
  <c r="U2202" i="1"/>
  <c r="V2202" i="1"/>
  <c r="W2202" i="1"/>
  <c r="X2202" i="1"/>
  <c r="Y2202" i="1"/>
  <c r="Z2202" i="1"/>
  <c r="A2203" i="1"/>
  <c r="B2203" i="1"/>
  <c r="C2203" i="1"/>
  <c r="D2203" i="1"/>
  <c r="E2203" i="1"/>
  <c r="F2203" i="1"/>
  <c r="G2203" i="1"/>
  <c r="I2203" i="1"/>
  <c r="J2203" i="1"/>
  <c r="K2203" i="1"/>
  <c r="L2203" i="1"/>
  <c r="M2203" i="1"/>
  <c r="N2203" i="1"/>
  <c r="O2203" i="1"/>
  <c r="P2203" i="1"/>
  <c r="Q2203" i="1"/>
  <c r="R2203" i="1"/>
  <c r="S2203" i="1"/>
  <c r="T2203" i="1"/>
  <c r="U2203" i="1"/>
  <c r="V2203" i="1"/>
  <c r="W2203" i="1"/>
  <c r="X2203" i="1"/>
  <c r="Y2203" i="1"/>
  <c r="Z2203" i="1"/>
  <c r="A2204" i="1"/>
  <c r="B2204" i="1"/>
  <c r="C2204" i="1"/>
  <c r="D2204" i="1"/>
  <c r="E2204" i="1"/>
  <c r="F2204" i="1"/>
  <c r="G2204" i="1"/>
  <c r="I2204" i="1"/>
  <c r="J2204" i="1"/>
  <c r="K2204" i="1"/>
  <c r="L2204" i="1"/>
  <c r="M2204" i="1"/>
  <c r="N2204" i="1"/>
  <c r="O2204" i="1"/>
  <c r="P2204" i="1"/>
  <c r="Q2204" i="1"/>
  <c r="R2204" i="1"/>
  <c r="S2204" i="1"/>
  <c r="T2204" i="1"/>
  <c r="U2204" i="1"/>
  <c r="V2204" i="1"/>
  <c r="W2204" i="1"/>
  <c r="X2204" i="1"/>
  <c r="Y2204" i="1"/>
  <c r="Z2204" i="1"/>
  <c r="A2205" i="1"/>
  <c r="B2205" i="1"/>
  <c r="C2205" i="1"/>
  <c r="D2205" i="1"/>
  <c r="E2205" i="1"/>
  <c r="F2205" i="1"/>
  <c r="G2205" i="1"/>
  <c r="I2205" i="1"/>
  <c r="J2205" i="1"/>
  <c r="K2205" i="1"/>
  <c r="L2205" i="1"/>
  <c r="M2205" i="1"/>
  <c r="N2205" i="1"/>
  <c r="O2205" i="1"/>
  <c r="P2205" i="1"/>
  <c r="Q2205" i="1"/>
  <c r="R2205" i="1"/>
  <c r="S2205" i="1"/>
  <c r="T2205" i="1"/>
  <c r="U2205" i="1"/>
  <c r="V2205" i="1"/>
  <c r="W2205" i="1"/>
  <c r="X2205" i="1"/>
  <c r="Y2205" i="1"/>
  <c r="Z2205" i="1"/>
  <c r="A2206" i="1"/>
  <c r="B2206" i="1"/>
  <c r="C2206" i="1"/>
  <c r="D2206" i="1"/>
  <c r="E2206" i="1"/>
  <c r="F2206" i="1"/>
  <c r="G2206" i="1"/>
  <c r="I2206" i="1"/>
  <c r="J2206" i="1"/>
  <c r="K2206" i="1"/>
  <c r="L2206" i="1"/>
  <c r="M2206" i="1"/>
  <c r="N2206" i="1"/>
  <c r="O2206" i="1"/>
  <c r="P2206" i="1"/>
  <c r="Q2206" i="1"/>
  <c r="R2206" i="1"/>
  <c r="S2206" i="1"/>
  <c r="T2206" i="1"/>
  <c r="U2206" i="1"/>
  <c r="V2206" i="1"/>
  <c r="W2206" i="1"/>
  <c r="X2206" i="1"/>
  <c r="Y2206" i="1"/>
  <c r="Z2206" i="1"/>
  <c r="A2207" i="1"/>
  <c r="B2207" i="1"/>
  <c r="C2207" i="1"/>
  <c r="D2207" i="1"/>
  <c r="E2207" i="1"/>
  <c r="F2207" i="1"/>
  <c r="G2207" i="1"/>
  <c r="I2207" i="1"/>
  <c r="J2207" i="1"/>
  <c r="K2207" i="1"/>
  <c r="L2207" i="1"/>
  <c r="M2207" i="1"/>
  <c r="N2207" i="1"/>
  <c r="O2207" i="1"/>
  <c r="P2207" i="1"/>
  <c r="Q2207" i="1"/>
  <c r="R2207" i="1"/>
  <c r="S2207" i="1"/>
  <c r="T2207" i="1"/>
  <c r="U2207" i="1"/>
  <c r="V2207" i="1"/>
  <c r="W2207" i="1"/>
  <c r="X2207" i="1"/>
  <c r="Y2207" i="1"/>
  <c r="Z2207" i="1"/>
  <c r="A2208" i="1"/>
  <c r="B2208" i="1"/>
  <c r="C2208" i="1"/>
  <c r="D2208" i="1"/>
  <c r="E2208" i="1"/>
  <c r="F2208" i="1"/>
  <c r="G2208" i="1"/>
  <c r="I2208" i="1"/>
  <c r="J2208" i="1"/>
  <c r="K2208" i="1"/>
  <c r="L2208" i="1"/>
  <c r="M2208" i="1"/>
  <c r="N2208" i="1"/>
  <c r="O2208" i="1"/>
  <c r="P2208" i="1"/>
  <c r="Q2208" i="1"/>
  <c r="R2208" i="1"/>
  <c r="S2208" i="1"/>
  <c r="T2208" i="1"/>
  <c r="U2208" i="1"/>
  <c r="V2208" i="1"/>
  <c r="W2208" i="1"/>
  <c r="X2208" i="1"/>
  <c r="Y2208" i="1"/>
  <c r="Z2208" i="1"/>
  <c r="A2209" i="1"/>
  <c r="B2209" i="1"/>
  <c r="C2209" i="1"/>
  <c r="D2209" i="1"/>
  <c r="E2209" i="1"/>
  <c r="F2209" i="1"/>
  <c r="G2209" i="1"/>
  <c r="I2209" i="1"/>
  <c r="J2209" i="1"/>
  <c r="K2209" i="1"/>
  <c r="L2209" i="1"/>
  <c r="M2209" i="1"/>
  <c r="N2209" i="1"/>
  <c r="O2209" i="1"/>
  <c r="P2209" i="1"/>
  <c r="Q2209" i="1"/>
  <c r="R2209" i="1"/>
  <c r="S2209" i="1"/>
  <c r="T2209" i="1"/>
  <c r="U2209" i="1"/>
  <c r="V2209" i="1"/>
  <c r="W2209" i="1"/>
  <c r="X2209" i="1"/>
  <c r="Y2209" i="1"/>
  <c r="Z2209" i="1"/>
  <c r="A2210" i="1"/>
  <c r="B2210" i="1"/>
  <c r="C2210" i="1"/>
  <c r="D2210" i="1"/>
  <c r="E2210" i="1"/>
  <c r="F2210" i="1"/>
  <c r="G2210" i="1"/>
  <c r="I2210" i="1"/>
  <c r="J2210" i="1"/>
  <c r="K2210" i="1"/>
  <c r="L2210" i="1"/>
  <c r="M2210" i="1"/>
  <c r="N2210" i="1"/>
  <c r="O2210" i="1"/>
  <c r="P2210" i="1"/>
  <c r="Q2210" i="1"/>
  <c r="R2210" i="1"/>
  <c r="S2210" i="1"/>
  <c r="T2210" i="1"/>
  <c r="U2210" i="1"/>
  <c r="V2210" i="1"/>
  <c r="W2210" i="1"/>
  <c r="X2210" i="1"/>
  <c r="Y2210" i="1"/>
  <c r="Z2210" i="1"/>
  <c r="A2211" i="1"/>
  <c r="B2211" i="1"/>
  <c r="C2211" i="1"/>
  <c r="D2211" i="1"/>
  <c r="E2211" i="1"/>
  <c r="F2211" i="1"/>
  <c r="G2211" i="1"/>
  <c r="I2211" i="1"/>
  <c r="J2211" i="1"/>
  <c r="K2211" i="1"/>
  <c r="L2211" i="1"/>
  <c r="M2211" i="1"/>
  <c r="N2211" i="1"/>
  <c r="O2211" i="1"/>
  <c r="P2211" i="1"/>
  <c r="Q2211" i="1"/>
  <c r="R2211" i="1"/>
  <c r="S2211" i="1"/>
  <c r="T2211" i="1"/>
  <c r="U2211" i="1"/>
  <c r="V2211" i="1"/>
  <c r="W2211" i="1"/>
  <c r="X2211" i="1"/>
  <c r="Y2211" i="1"/>
  <c r="Z2211" i="1"/>
  <c r="A2212" i="1"/>
  <c r="B2212" i="1"/>
  <c r="C2212" i="1"/>
  <c r="D2212" i="1"/>
  <c r="E2212" i="1"/>
  <c r="F2212" i="1"/>
  <c r="G2212" i="1"/>
  <c r="I2212" i="1"/>
  <c r="J2212" i="1"/>
  <c r="K2212" i="1"/>
  <c r="L2212" i="1"/>
  <c r="M2212" i="1"/>
  <c r="N2212" i="1"/>
  <c r="O2212" i="1"/>
  <c r="P2212" i="1"/>
  <c r="Q2212" i="1"/>
  <c r="R2212" i="1"/>
  <c r="S2212" i="1"/>
  <c r="T2212" i="1"/>
  <c r="U2212" i="1"/>
  <c r="V2212" i="1"/>
  <c r="W2212" i="1"/>
  <c r="X2212" i="1"/>
  <c r="Y2212" i="1"/>
  <c r="Z2212" i="1"/>
  <c r="A2213" i="1"/>
  <c r="B2213" i="1"/>
  <c r="C2213" i="1"/>
  <c r="D2213" i="1"/>
  <c r="E2213" i="1"/>
  <c r="F2213" i="1"/>
  <c r="G2213" i="1"/>
  <c r="I2213" i="1"/>
  <c r="J2213" i="1"/>
  <c r="K2213" i="1"/>
  <c r="L2213" i="1"/>
  <c r="M2213" i="1"/>
  <c r="N2213" i="1"/>
  <c r="O2213" i="1"/>
  <c r="P2213" i="1"/>
  <c r="Q2213" i="1"/>
  <c r="R2213" i="1"/>
  <c r="S2213" i="1"/>
  <c r="T2213" i="1"/>
  <c r="U2213" i="1"/>
  <c r="V2213" i="1"/>
  <c r="W2213" i="1"/>
  <c r="X2213" i="1"/>
  <c r="Y2213" i="1"/>
  <c r="Z2213" i="1"/>
  <c r="A2214" i="1"/>
  <c r="B2214" i="1"/>
  <c r="C2214" i="1"/>
  <c r="D2214" i="1"/>
  <c r="E2214" i="1"/>
  <c r="F2214" i="1"/>
  <c r="G2214" i="1"/>
  <c r="I2214" i="1"/>
  <c r="J2214" i="1"/>
  <c r="K2214" i="1"/>
  <c r="L2214" i="1"/>
  <c r="M2214" i="1"/>
  <c r="N2214" i="1"/>
  <c r="O2214" i="1"/>
  <c r="P2214" i="1"/>
  <c r="Q2214" i="1"/>
  <c r="R2214" i="1"/>
  <c r="S2214" i="1"/>
  <c r="T2214" i="1"/>
  <c r="U2214" i="1"/>
  <c r="V2214" i="1"/>
  <c r="W2214" i="1"/>
  <c r="X2214" i="1"/>
  <c r="Y2214" i="1"/>
  <c r="Z2214" i="1"/>
  <c r="A2215" i="1"/>
  <c r="B2215" i="1"/>
  <c r="C2215" i="1"/>
  <c r="D2215" i="1"/>
  <c r="E2215" i="1"/>
  <c r="F2215" i="1"/>
  <c r="G2215" i="1"/>
  <c r="I2215" i="1"/>
  <c r="J2215" i="1"/>
  <c r="K2215" i="1"/>
  <c r="L2215" i="1"/>
  <c r="M2215" i="1"/>
  <c r="N2215" i="1"/>
  <c r="O2215" i="1"/>
  <c r="P2215" i="1"/>
  <c r="Q2215" i="1"/>
  <c r="R2215" i="1"/>
  <c r="S2215" i="1"/>
  <c r="T2215" i="1"/>
  <c r="U2215" i="1"/>
  <c r="V2215" i="1"/>
  <c r="W2215" i="1"/>
  <c r="X2215" i="1"/>
  <c r="Y2215" i="1"/>
  <c r="Z2215" i="1"/>
  <c r="A2216" i="1"/>
  <c r="B2216" i="1"/>
  <c r="C2216" i="1"/>
  <c r="D2216" i="1"/>
  <c r="E2216" i="1"/>
  <c r="F2216" i="1"/>
  <c r="G2216" i="1"/>
  <c r="I2216" i="1"/>
  <c r="J2216" i="1"/>
  <c r="K2216" i="1"/>
  <c r="L2216" i="1"/>
  <c r="M2216" i="1"/>
  <c r="N2216" i="1"/>
  <c r="O2216" i="1"/>
  <c r="P2216" i="1"/>
  <c r="Q2216" i="1"/>
  <c r="R2216" i="1"/>
  <c r="S2216" i="1"/>
  <c r="T2216" i="1"/>
  <c r="U2216" i="1"/>
  <c r="V2216" i="1"/>
  <c r="W2216" i="1"/>
  <c r="X2216" i="1"/>
  <c r="Y2216" i="1"/>
  <c r="Z2216" i="1"/>
  <c r="A2217" i="1"/>
  <c r="B2217" i="1"/>
  <c r="C2217" i="1"/>
  <c r="D2217" i="1"/>
  <c r="E2217" i="1"/>
  <c r="F2217" i="1"/>
  <c r="G2217" i="1"/>
  <c r="I2217" i="1"/>
  <c r="J2217" i="1"/>
  <c r="K2217" i="1"/>
  <c r="L2217" i="1"/>
  <c r="M2217" i="1"/>
  <c r="N2217" i="1"/>
  <c r="O2217" i="1"/>
  <c r="P2217" i="1"/>
  <c r="Q2217" i="1"/>
  <c r="R2217" i="1"/>
  <c r="S2217" i="1"/>
  <c r="T2217" i="1"/>
  <c r="U2217" i="1"/>
  <c r="V2217" i="1"/>
  <c r="W2217" i="1"/>
  <c r="X2217" i="1"/>
  <c r="Y2217" i="1"/>
  <c r="Z2217" i="1"/>
  <c r="A2218" i="1"/>
  <c r="B2218" i="1"/>
  <c r="C2218" i="1"/>
  <c r="D2218" i="1"/>
  <c r="E2218" i="1"/>
  <c r="F2218" i="1"/>
  <c r="G2218" i="1"/>
  <c r="I2218" i="1"/>
  <c r="J2218" i="1"/>
  <c r="K2218" i="1"/>
  <c r="L2218" i="1"/>
  <c r="M2218" i="1"/>
  <c r="N2218" i="1"/>
  <c r="O2218" i="1"/>
  <c r="P2218" i="1"/>
  <c r="Q2218" i="1"/>
  <c r="R2218" i="1"/>
  <c r="S2218" i="1"/>
  <c r="T2218" i="1"/>
  <c r="U2218" i="1"/>
  <c r="V2218" i="1"/>
  <c r="W2218" i="1"/>
  <c r="X2218" i="1"/>
  <c r="Y2218" i="1"/>
  <c r="Z2218" i="1"/>
  <c r="A2219" i="1"/>
  <c r="B2219" i="1"/>
  <c r="C2219" i="1"/>
  <c r="D2219" i="1"/>
  <c r="E2219" i="1"/>
  <c r="F2219" i="1"/>
  <c r="G2219" i="1"/>
  <c r="I2219" i="1"/>
  <c r="J2219" i="1"/>
  <c r="K2219" i="1"/>
  <c r="L2219" i="1"/>
  <c r="M2219" i="1"/>
  <c r="N2219" i="1"/>
  <c r="O2219" i="1"/>
  <c r="P2219" i="1"/>
  <c r="Q2219" i="1"/>
  <c r="R2219" i="1"/>
  <c r="S2219" i="1"/>
  <c r="T2219" i="1"/>
  <c r="U2219" i="1"/>
  <c r="V2219" i="1"/>
  <c r="W2219" i="1"/>
  <c r="X2219" i="1"/>
  <c r="Y2219" i="1"/>
  <c r="Z2219" i="1"/>
  <c r="A2220" i="1"/>
  <c r="B2220" i="1"/>
  <c r="C2220" i="1"/>
  <c r="D2220" i="1"/>
  <c r="E2220" i="1"/>
  <c r="F2220" i="1"/>
  <c r="G2220" i="1"/>
  <c r="I2220" i="1"/>
  <c r="J2220" i="1"/>
  <c r="K2220" i="1"/>
  <c r="L2220" i="1"/>
  <c r="M2220" i="1"/>
  <c r="N2220" i="1"/>
  <c r="O2220" i="1"/>
  <c r="P2220" i="1"/>
  <c r="Q2220" i="1"/>
  <c r="R2220" i="1"/>
  <c r="S2220" i="1"/>
  <c r="T2220" i="1"/>
  <c r="U2220" i="1"/>
  <c r="V2220" i="1"/>
  <c r="W2220" i="1"/>
  <c r="X2220" i="1"/>
  <c r="Y2220" i="1"/>
  <c r="Z2220" i="1"/>
  <c r="A2221" i="1"/>
  <c r="B2221" i="1"/>
  <c r="C2221" i="1"/>
  <c r="D2221" i="1"/>
  <c r="E2221" i="1"/>
  <c r="F2221" i="1"/>
  <c r="G2221" i="1"/>
  <c r="I2221" i="1"/>
  <c r="J2221" i="1"/>
  <c r="K2221" i="1"/>
  <c r="L2221" i="1"/>
  <c r="M2221" i="1"/>
  <c r="N2221" i="1"/>
  <c r="O2221" i="1"/>
  <c r="P2221" i="1"/>
  <c r="Q2221" i="1"/>
  <c r="R2221" i="1"/>
  <c r="S2221" i="1"/>
  <c r="T2221" i="1"/>
  <c r="U2221" i="1"/>
  <c r="V2221" i="1"/>
  <c r="W2221" i="1"/>
  <c r="X2221" i="1"/>
  <c r="Y2221" i="1"/>
  <c r="Z2221" i="1"/>
  <c r="A2222" i="1"/>
  <c r="B2222" i="1"/>
  <c r="C2222" i="1"/>
  <c r="D2222" i="1"/>
  <c r="E2222" i="1"/>
  <c r="F2222" i="1"/>
  <c r="G2222" i="1"/>
  <c r="I2222" i="1"/>
  <c r="J2222" i="1"/>
  <c r="K2222" i="1"/>
  <c r="L2222" i="1"/>
  <c r="M2222" i="1"/>
  <c r="N2222" i="1"/>
  <c r="O2222" i="1"/>
  <c r="P2222" i="1"/>
  <c r="Q2222" i="1"/>
  <c r="R2222" i="1"/>
  <c r="S2222" i="1"/>
  <c r="T2222" i="1"/>
  <c r="U2222" i="1"/>
  <c r="V2222" i="1"/>
  <c r="W2222" i="1"/>
  <c r="X2222" i="1"/>
  <c r="Y2222" i="1"/>
  <c r="Z2222" i="1"/>
  <c r="A2223" i="1"/>
  <c r="B2223" i="1"/>
  <c r="C2223" i="1"/>
  <c r="D2223" i="1"/>
  <c r="E2223" i="1"/>
  <c r="F2223" i="1"/>
  <c r="G2223" i="1"/>
  <c r="I2223" i="1"/>
  <c r="J2223" i="1"/>
  <c r="K2223" i="1"/>
  <c r="L2223" i="1"/>
  <c r="M2223" i="1"/>
  <c r="N2223" i="1"/>
  <c r="O2223" i="1"/>
  <c r="P2223" i="1"/>
  <c r="Q2223" i="1"/>
  <c r="R2223" i="1"/>
  <c r="S2223" i="1"/>
  <c r="T2223" i="1"/>
  <c r="U2223" i="1"/>
  <c r="V2223" i="1"/>
  <c r="W2223" i="1"/>
  <c r="X2223" i="1"/>
  <c r="Y2223" i="1"/>
  <c r="Z2223" i="1"/>
  <c r="A2224" i="1"/>
  <c r="B2224" i="1"/>
  <c r="C2224" i="1"/>
  <c r="D2224" i="1"/>
  <c r="E2224" i="1"/>
  <c r="F2224" i="1"/>
  <c r="G2224" i="1"/>
  <c r="I2224" i="1"/>
  <c r="J2224" i="1"/>
  <c r="K2224" i="1"/>
  <c r="L2224" i="1"/>
  <c r="M2224" i="1"/>
  <c r="N2224" i="1"/>
  <c r="O2224" i="1"/>
  <c r="P2224" i="1"/>
  <c r="Q2224" i="1"/>
  <c r="R2224" i="1"/>
  <c r="S2224" i="1"/>
  <c r="T2224" i="1"/>
  <c r="U2224" i="1"/>
  <c r="V2224" i="1"/>
  <c r="W2224" i="1"/>
  <c r="X2224" i="1"/>
  <c r="Y2224" i="1"/>
  <c r="Z2224" i="1"/>
  <c r="A2225" i="1"/>
  <c r="B2225" i="1"/>
  <c r="C2225" i="1"/>
  <c r="D2225" i="1"/>
  <c r="E2225" i="1"/>
  <c r="F2225" i="1"/>
  <c r="G2225" i="1"/>
  <c r="I2225" i="1"/>
  <c r="J2225" i="1"/>
  <c r="K2225" i="1"/>
  <c r="L2225" i="1"/>
  <c r="M2225" i="1"/>
  <c r="N2225" i="1"/>
  <c r="O2225" i="1"/>
  <c r="P2225" i="1"/>
  <c r="Q2225" i="1"/>
  <c r="R2225" i="1"/>
  <c r="S2225" i="1"/>
  <c r="T2225" i="1"/>
  <c r="U2225" i="1"/>
  <c r="V2225" i="1"/>
  <c r="W2225" i="1"/>
  <c r="X2225" i="1"/>
  <c r="Y2225" i="1"/>
  <c r="Z2225" i="1"/>
  <c r="A2226" i="1"/>
  <c r="B2226" i="1"/>
  <c r="C2226" i="1"/>
  <c r="D2226" i="1"/>
  <c r="E2226" i="1"/>
  <c r="F2226" i="1"/>
  <c r="G2226" i="1"/>
  <c r="I2226" i="1"/>
  <c r="J2226" i="1"/>
  <c r="K2226" i="1"/>
  <c r="L2226" i="1"/>
  <c r="M2226" i="1"/>
  <c r="N2226" i="1"/>
  <c r="O2226" i="1"/>
  <c r="P2226" i="1"/>
  <c r="Q2226" i="1"/>
  <c r="R2226" i="1"/>
  <c r="S2226" i="1"/>
  <c r="T2226" i="1"/>
  <c r="U2226" i="1"/>
  <c r="V2226" i="1"/>
  <c r="W2226" i="1"/>
  <c r="X2226" i="1"/>
  <c r="Y2226" i="1"/>
  <c r="Z2226" i="1"/>
  <c r="A2227" i="1"/>
  <c r="B2227" i="1"/>
  <c r="C2227" i="1"/>
  <c r="D2227" i="1"/>
  <c r="E2227" i="1"/>
  <c r="F2227" i="1"/>
  <c r="G2227" i="1"/>
  <c r="I2227" i="1"/>
  <c r="J2227" i="1"/>
  <c r="K2227" i="1"/>
  <c r="L2227" i="1"/>
  <c r="M2227" i="1"/>
  <c r="N2227" i="1"/>
  <c r="O2227" i="1"/>
  <c r="P2227" i="1"/>
  <c r="Q2227" i="1"/>
  <c r="R2227" i="1"/>
  <c r="S2227" i="1"/>
  <c r="T2227" i="1"/>
  <c r="U2227" i="1"/>
  <c r="V2227" i="1"/>
  <c r="W2227" i="1"/>
  <c r="X2227" i="1"/>
  <c r="Y2227" i="1"/>
  <c r="Z2227" i="1"/>
  <c r="A2228" i="1"/>
  <c r="B2228" i="1"/>
  <c r="C2228" i="1"/>
  <c r="D2228" i="1"/>
  <c r="E2228" i="1"/>
  <c r="F2228" i="1"/>
  <c r="G2228" i="1"/>
  <c r="I2228" i="1"/>
  <c r="J2228" i="1"/>
  <c r="K2228" i="1"/>
  <c r="L2228" i="1"/>
  <c r="M2228" i="1"/>
  <c r="N2228" i="1"/>
  <c r="O2228" i="1"/>
  <c r="P2228" i="1"/>
  <c r="Q2228" i="1"/>
  <c r="R2228" i="1"/>
  <c r="S2228" i="1"/>
  <c r="T2228" i="1"/>
  <c r="U2228" i="1"/>
  <c r="V2228" i="1"/>
  <c r="W2228" i="1"/>
  <c r="X2228" i="1"/>
  <c r="Y2228" i="1"/>
  <c r="Z2228" i="1"/>
  <c r="A2229" i="1"/>
  <c r="B2229" i="1"/>
  <c r="C2229" i="1"/>
  <c r="D2229" i="1"/>
  <c r="E2229" i="1"/>
  <c r="F2229" i="1"/>
  <c r="G2229" i="1"/>
  <c r="I2229" i="1"/>
  <c r="J2229" i="1"/>
  <c r="K2229" i="1"/>
  <c r="L2229" i="1"/>
  <c r="M2229" i="1"/>
  <c r="N2229" i="1"/>
  <c r="O2229" i="1"/>
  <c r="P2229" i="1"/>
  <c r="Q2229" i="1"/>
  <c r="R2229" i="1"/>
  <c r="S2229" i="1"/>
  <c r="T2229" i="1"/>
  <c r="U2229" i="1"/>
  <c r="V2229" i="1"/>
  <c r="W2229" i="1"/>
  <c r="X2229" i="1"/>
  <c r="Y2229" i="1"/>
  <c r="Z2229" i="1"/>
  <c r="A2230" i="1"/>
  <c r="B2230" i="1"/>
  <c r="C2230" i="1"/>
  <c r="D2230" i="1"/>
  <c r="E2230" i="1"/>
  <c r="F2230" i="1"/>
  <c r="G2230" i="1"/>
  <c r="I2230" i="1"/>
  <c r="J2230" i="1"/>
  <c r="K2230" i="1"/>
  <c r="L2230" i="1"/>
  <c r="M2230" i="1"/>
  <c r="N2230" i="1"/>
  <c r="O2230" i="1"/>
  <c r="P2230" i="1"/>
  <c r="Q2230" i="1"/>
  <c r="R2230" i="1"/>
  <c r="S2230" i="1"/>
  <c r="T2230" i="1"/>
  <c r="U2230" i="1"/>
  <c r="V2230" i="1"/>
  <c r="W2230" i="1"/>
  <c r="X2230" i="1"/>
  <c r="Y2230" i="1"/>
  <c r="Z2230" i="1"/>
  <c r="A2231" i="1"/>
  <c r="B2231" i="1"/>
  <c r="C2231" i="1"/>
  <c r="D2231" i="1"/>
  <c r="E2231" i="1"/>
  <c r="F2231" i="1"/>
  <c r="G2231" i="1"/>
  <c r="I2231" i="1"/>
  <c r="J2231" i="1"/>
  <c r="K2231" i="1"/>
  <c r="L2231" i="1"/>
  <c r="M2231" i="1"/>
  <c r="N2231" i="1"/>
  <c r="O2231" i="1"/>
  <c r="P2231" i="1"/>
  <c r="Q2231" i="1"/>
  <c r="R2231" i="1"/>
  <c r="S2231" i="1"/>
  <c r="T2231" i="1"/>
  <c r="U2231" i="1"/>
  <c r="V2231" i="1"/>
  <c r="W2231" i="1"/>
  <c r="X2231" i="1"/>
  <c r="Y2231" i="1"/>
  <c r="Z2231" i="1"/>
  <c r="A2232" i="1"/>
  <c r="B2232" i="1"/>
  <c r="C2232" i="1"/>
  <c r="D2232" i="1"/>
  <c r="E2232" i="1"/>
  <c r="F2232" i="1"/>
  <c r="G2232" i="1"/>
  <c r="I2232" i="1"/>
  <c r="J2232" i="1"/>
  <c r="K2232" i="1"/>
  <c r="L2232" i="1"/>
  <c r="M2232" i="1"/>
  <c r="N2232" i="1"/>
  <c r="O2232" i="1"/>
  <c r="P2232" i="1"/>
  <c r="Q2232" i="1"/>
  <c r="R2232" i="1"/>
  <c r="S2232" i="1"/>
  <c r="T2232" i="1"/>
  <c r="U2232" i="1"/>
  <c r="V2232" i="1"/>
  <c r="W2232" i="1"/>
  <c r="X2232" i="1"/>
  <c r="Y2232" i="1"/>
  <c r="Z2232" i="1"/>
  <c r="A2233" i="1"/>
  <c r="B2233" i="1"/>
  <c r="C2233" i="1"/>
  <c r="D2233" i="1"/>
  <c r="E2233" i="1"/>
  <c r="F2233" i="1"/>
  <c r="G2233" i="1"/>
  <c r="I2233" i="1"/>
  <c r="J2233" i="1"/>
  <c r="K2233" i="1"/>
  <c r="L2233" i="1"/>
  <c r="M2233" i="1"/>
  <c r="N2233" i="1"/>
  <c r="O2233" i="1"/>
  <c r="P2233" i="1"/>
  <c r="Q2233" i="1"/>
  <c r="R2233" i="1"/>
  <c r="S2233" i="1"/>
  <c r="T2233" i="1"/>
  <c r="U2233" i="1"/>
  <c r="V2233" i="1"/>
  <c r="W2233" i="1"/>
  <c r="X2233" i="1"/>
  <c r="Y2233" i="1"/>
  <c r="Z2233" i="1"/>
  <c r="A2234" i="1"/>
  <c r="B2234" i="1"/>
  <c r="C2234" i="1"/>
  <c r="D2234" i="1"/>
  <c r="E2234" i="1"/>
  <c r="F2234" i="1"/>
  <c r="G2234" i="1"/>
  <c r="I2234" i="1"/>
  <c r="J2234" i="1"/>
  <c r="K2234" i="1"/>
  <c r="L2234" i="1"/>
  <c r="M2234" i="1"/>
  <c r="N2234" i="1"/>
  <c r="O2234" i="1"/>
  <c r="P2234" i="1"/>
  <c r="Q2234" i="1"/>
  <c r="R2234" i="1"/>
  <c r="S2234" i="1"/>
  <c r="T2234" i="1"/>
  <c r="U2234" i="1"/>
  <c r="V2234" i="1"/>
  <c r="W2234" i="1"/>
  <c r="X2234" i="1"/>
  <c r="Y2234" i="1"/>
  <c r="Z2234" i="1"/>
  <c r="A2235" i="1"/>
  <c r="B2235" i="1"/>
  <c r="C2235" i="1"/>
  <c r="D2235" i="1"/>
  <c r="E2235" i="1"/>
  <c r="F2235" i="1"/>
  <c r="G2235" i="1"/>
  <c r="I2235" i="1"/>
  <c r="J2235" i="1"/>
  <c r="K2235" i="1"/>
  <c r="L2235" i="1"/>
  <c r="M2235" i="1"/>
  <c r="N2235" i="1"/>
  <c r="O2235" i="1"/>
  <c r="P2235" i="1"/>
  <c r="Q2235" i="1"/>
  <c r="R2235" i="1"/>
  <c r="S2235" i="1"/>
  <c r="T2235" i="1"/>
  <c r="U2235" i="1"/>
  <c r="V2235" i="1"/>
  <c r="W2235" i="1"/>
  <c r="X2235" i="1"/>
  <c r="Y2235" i="1"/>
  <c r="Z2235" i="1"/>
  <c r="A2236" i="1"/>
  <c r="B2236" i="1"/>
  <c r="C2236" i="1"/>
  <c r="D2236" i="1"/>
  <c r="E2236" i="1"/>
  <c r="F2236" i="1"/>
  <c r="G2236" i="1"/>
  <c r="I2236" i="1"/>
  <c r="J2236" i="1"/>
  <c r="K2236" i="1"/>
  <c r="L2236" i="1"/>
  <c r="M2236" i="1"/>
  <c r="N2236" i="1"/>
  <c r="O2236" i="1"/>
  <c r="P2236" i="1"/>
  <c r="Q2236" i="1"/>
  <c r="R2236" i="1"/>
  <c r="S2236" i="1"/>
  <c r="T2236" i="1"/>
  <c r="U2236" i="1"/>
  <c r="V2236" i="1"/>
  <c r="W2236" i="1"/>
  <c r="X2236" i="1"/>
  <c r="Y2236" i="1"/>
  <c r="Z2236" i="1"/>
  <c r="A2237" i="1"/>
  <c r="B2237" i="1"/>
  <c r="C2237" i="1"/>
  <c r="D2237" i="1"/>
  <c r="E2237" i="1"/>
  <c r="F2237" i="1"/>
  <c r="G2237" i="1"/>
  <c r="I2237" i="1"/>
  <c r="J2237" i="1"/>
  <c r="K2237" i="1"/>
  <c r="L2237" i="1"/>
  <c r="M2237" i="1"/>
  <c r="N2237" i="1"/>
  <c r="O2237" i="1"/>
  <c r="P2237" i="1"/>
  <c r="Q2237" i="1"/>
  <c r="R2237" i="1"/>
  <c r="S2237" i="1"/>
  <c r="T2237" i="1"/>
  <c r="U2237" i="1"/>
  <c r="V2237" i="1"/>
  <c r="W2237" i="1"/>
  <c r="X2237" i="1"/>
  <c r="Y2237" i="1"/>
  <c r="Z2237" i="1"/>
  <c r="A2238" i="1"/>
  <c r="B2238" i="1"/>
  <c r="C2238" i="1"/>
  <c r="D2238" i="1"/>
  <c r="E2238" i="1"/>
  <c r="F2238" i="1"/>
  <c r="G2238" i="1"/>
  <c r="I2238" i="1"/>
  <c r="J2238" i="1"/>
  <c r="K2238" i="1"/>
  <c r="L2238" i="1"/>
  <c r="M2238" i="1"/>
  <c r="N2238" i="1"/>
  <c r="O2238" i="1"/>
  <c r="P2238" i="1"/>
  <c r="Q2238" i="1"/>
  <c r="R2238" i="1"/>
  <c r="S2238" i="1"/>
  <c r="T2238" i="1"/>
  <c r="U2238" i="1"/>
  <c r="V2238" i="1"/>
  <c r="W2238" i="1"/>
  <c r="X2238" i="1"/>
  <c r="Y2238" i="1"/>
  <c r="Z2238" i="1"/>
  <c r="A2239" i="1"/>
  <c r="B2239" i="1"/>
  <c r="C2239" i="1"/>
  <c r="D2239" i="1"/>
  <c r="E2239" i="1"/>
  <c r="F2239" i="1"/>
  <c r="G2239" i="1"/>
  <c r="I2239" i="1"/>
  <c r="J2239" i="1"/>
  <c r="K2239" i="1"/>
  <c r="L2239" i="1"/>
  <c r="M2239" i="1"/>
  <c r="N2239" i="1"/>
  <c r="O2239" i="1"/>
  <c r="P2239" i="1"/>
  <c r="Q2239" i="1"/>
  <c r="R2239" i="1"/>
  <c r="S2239" i="1"/>
  <c r="T2239" i="1"/>
  <c r="U2239" i="1"/>
  <c r="V2239" i="1"/>
  <c r="W2239" i="1"/>
  <c r="X2239" i="1"/>
  <c r="Y2239" i="1"/>
  <c r="Z2239" i="1"/>
  <c r="A2240" i="1"/>
  <c r="B2240" i="1"/>
  <c r="C2240" i="1"/>
  <c r="D2240" i="1"/>
  <c r="E2240" i="1"/>
  <c r="F2240" i="1"/>
  <c r="G2240" i="1"/>
  <c r="I2240" i="1"/>
  <c r="J2240" i="1"/>
  <c r="K2240" i="1"/>
  <c r="L2240" i="1"/>
  <c r="M2240" i="1"/>
  <c r="N2240" i="1"/>
  <c r="O2240" i="1"/>
  <c r="P2240" i="1"/>
  <c r="Q2240" i="1"/>
  <c r="R2240" i="1"/>
  <c r="S2240" i="1"/>
  <c r="T2240" i="1"/>
  <c r="U2240" i="1"/>
  <c r="V2240" i="1"/>
  <c r="W2240" i="1"/>
  <c r="X2240" i="1"/>
  <c r="Y2240" i="1"/>
  <c r="Z2240" i="1"/>
  <c r="A2241" i="1"/>
  <c r="B2241" i="1"/>
  <c r="C2241" i="1"/>
  <c r="D2241" i="1"/>
  <c r="E2241" i="1"/>
  <c r="F2241" i="1"/>
  <c r="G2241" i="1"/>
  <c r="I2241" i="1"/>
  <c r="J2241" i="1"/>
  <c r="K2241" i="1"/>
  <c r="L2241" i="1"/>
  <c r="M2241" i="1"/>
  <c r="N2241" i="1"/>
  <c r="O2241" i="1"/>
  <c r="P2241" i="1"/>
  <c r="Q2241" i="1"/>
  <c r="R2241" i="1"/>
  <c r="S2241" i="1"/>
  <c r="T2241" i="1"/>
  <c r="U2241" i="1"/>
  <c r="V2241" i="1"/>
  <c r="W2241" i="1"/>
  <c r="X2241" i="1"/>
  <c r="Y2241" i="1"/>
  <c r="Z2241" i="1"/>
  <c r="A2242" i="1"/>
  <c r="B2242" i="1"/>
  <c r="C2242" i="1"/>
  <c r="D2242" i="1"/>
  <c r="E2242" i="1"/>
  <c r="F2242" i="1"/>
  <c r="G2242" i="1"/>
  <c r="I2242" i="1"/>
  <c r="J2242" i="1"/>
  <c r="K2242" i="1"/>
  <c r="L2242" i="1"/>
  <c r="M2242" i="1"/>
  <c r="N2242" i="1"/>
  <c r="O2242" i="1"/>
  <c r="P2242" i="1"/>
  <c r="Q2242" i="1"/>
  <c r="R2242" i="1"/>
  <c r="S2242" i="1"/>
  <c r="T2242" i="1"/>
  <c r="U2242" i="1"/>
  <c r="V2242" i="1"/>
  <c r="W2242" i="1"/>
  <c r="X2242" i="1"/>
  <c r="Y2242" i="1"/>
  <c r="Z2242" i="1"/>
  <c r="A2243" i="1"/>
  <c r="B2243" i="1"/>
  <c r="C2243" i="1"/>
  <c r="D2243" i="1"/>
  <c r="E2243" i="1"/>
  <c r="F2243" i="1"/>
  <c r="G2243" i="1"/>
  <c r="I2243" i="1"/>
  <c r="J2243" i="1"/>
  <c r="K2243" i="1"/>
  <c r="L2243" i="1"/>
  <c r="M2243" i="1"/>
  <c r="N2243" i="1"/>
  <c r="O2243" i="1"/>
  <c r="P2243" i="1"/>
  <c r="Q2243" i="1"/>
  <c r="R2243" i="1"/>
  <c r="S2243" i="1"/>
  <c r="T2243" i="1"/>
  <c r="U2243" i="1"/>
  <c r="V2243" i="1"/>
  <c r="W2243" i="1"/>
  <c r="X2243" i="1"/>
  <c r="Y2243" i="1"/>
  <c r="Z2243" i="1"/>
  <c r="A2244" i="1"/>
  <c r="B2244" i="1"/>
  <c r="C2244" i="1"/>
  <c r="D2244" i="1"/>
  <c r="E2244" i="1"/>
  <c r="F2244" i="1"/>
  <c r="G2244" i="1"/>
  <c r="I2244" i="1"/>
  <c r="J2244" i="1"/>
  <c r="K2244" i="1"/>
  <c r="L2244" i="1"/>
  <c r="M2244" i="1"/>
  <c r="N2244" i="1"/>
  <c r="O2244" i="1"/>
  <c r="P2244" i="1"/>
  <c r="Q2244" i="1"/>
  <c r="R2244" i="1"/>
  <c r="S2244" i="1"/>
  <c r="T2244" i="1"/>
  <c r="U2244" i="1"/>
  <c r="V2244" i="1"/>
  <c r="W2244" i="1"/>
  <c r="X2244" i="1"/>
  <c r="Y2244" i="1"/>
  <c r="Z2244" i="1"/>
  <c r="A2245" i="1"/>
  <c r="B2245" i="1"/>
  <c r="C2245" i="1"/>
  <c r="D2245" i="1"/>
  <c r="E2245" i="1"/>
  <c r="F2245" i="1"/>
  <c r="G2245" i="1"/>
  <c r="I2245" i="1"/>
  <c r="J2245" i="1"/>
  <c r="K2245" i="1"/>
  <c r="L2245" i="1"/>
  <c r="M2245" i="1"/>
  <c r="N2245" i="1"/>
  <c r="O2245" i="1"/>
  <c r="P2245" i="1"/>
  <c r="Q2245" i="1"/>
  <c r="R2245" i="1"/>
  <c r="S2245" i="1"/>
  <c r="T2245" i="1"/>
  <c r="U2245" i="1"/>
  <c r="V2245" i="1"/>
  <c r="W2245" i="1"/>
  <c r="X2245" i="1"/>
  <c r="Y2245" i="1"/>
  <c r="Z2245" i="1"/>
  <c r="A2246" i="1"/>
  <c r="B2246" i="1"/>
  <c r="C2246" i="1"/>
  <c r="D2246" i="1"/>
  <c r="E2246" i="1"/>
  <c r="F2246" i="1"/>
  <c r="G2246" i="1"/>
  <c r="I2246" i="1"/>
  <c r="J2246" i="1"/>
  <c r="K2246" i="1"/>
  <c r="L2246" i="1"/>
  <c r="M2246" i="1"/>
  <c r="N2246" i="1"/>
  <c r="O2246" i="1"/>
  <c r="P2246" i="1"/>
  <c r="Q2246" i="1"/>
  <c r="R2246" i="1"/>
  <c r="S2246" i="1"/>
  <c r="T2246" i="1"/>
  <c r="U2246" i="1"/>
  <c r="V2246" i="1"/>
  <c r="W2246" i="1"/>
  <c r="X2246" i="1"/>
  <c r="Y2246" i="1"/>
  <c r="Z2246" i="1"/>
  <c r="A2247" i="1"/>
  <c r="B2247" i="1"/>
  <c r="C2247" i="1"/>
  <c r="D2247" i="1"/>
  <c r="E2247" i="1"/>
  <c r="F2247" i="1"/>
  <c r="G2247" i="1"/>
  <c r="I2247" i="1"/>
  <c r="J2247" i="1"/>
  <c r="K2247" i="1"/>
  <c r="L2247" i="1"/>
  <c r="M2247" i="1"/>
  <c r="N2247" i="1"/>
  <c r="O2247" i="1"/>
  <c r="P2247" i="1"/>
  <c r="Q2247" i="1"/>
  <c r="R2247" i="1"/>
  <c r="S2247" i="1"/>
  <c r="T2247" i="1"/>
  <c r="U2247" i="1"/>
  <c r="V2247" i="1"/>
  <c r="W2247" i="1"/>
  <c r="X2247" i="1"/>
  <c r="Y2247" i="1"/>
  <c r="Z2247" i="1"/>
  <c r="A2248" i="1"/>
  <c r="B2248" i="1"/>
  <c r="C2248" i="1"/>
  <c r="D2248" i="1"/>
  <c r="E2248" i="1"/>
  <c r="F2248" i="1"/>
  <c r="G2248" i="1"/>
  <c r="I2248" i="1"/>
  <c r="J2248" i="1"/>
  <c r="K2248" i="1"/>
  <c r="L2248" i="1"/>
  <c r="M2248" i="1"/>
  <c r="N2248" i="1"/>
  <c r="O2248" i="1"/>
  <c r="P2248" i="1"/>
  <c r="Q2248" i="1"/>
  <c r="R2248" i="1"/>
  <c r="S2248" i="1"/>
  <c r="T2248" i="1"/>
  <c r="U2248" i="1"/>
  <c r="V2248" i="1"/>
  <c r="W2248" i="1"/>
  <c r="X2248" i="1"/>
  <c r="Y2248" i="1"/>
  <c r="Z2248" i="1"/>
  <c r="A2249" i="1"/>
  <c r="B2249" i="1"/>
  <c r="C2249" i="1"/>
  <c r="D2249" i="1"/>
  <c r="E2249" i="1"/>
  <c r="F2249" i="1"/>
  <c r="G2249" i="1"/>
  <c r="I2249" i="1"/>
  <c r="J2249" i="1"/>
  <c r="K2249" i="1"/>
  <c r="L2249" i="1"/>
  <c r="M2249" i="1"/>
  <c r="N2249" i="1"/>
  <c r="O2249" i="1"/>
  <c r="P2249" i="1"/>
  <c r="Q2249" i="1"/>
  <c r="R2249" i="1"/>
  <c r="S2249" i="1"/>
  <c r="T2249" i="1"/>
  <c r="U2249" i="1"/>
  <c r="V2249" i="1"/>
  <c r="W2249" i="1"/>
  <c r="X2249" i="1"/>
  <c r="Y2249" i="1"/>
  <c r="Z2249" i="1"/>
  <c r="A2250" i="1"/>
  <c r="B2250" i="1"/>
  <c r="C2250" i="1"/>
  <c r="D2250" i="1"/>
  <c r="E2250" i="1"/>
  <c r="F2250" i="1"/>
  <c r="G2250" i="1"/>
  <c r="I2250" i="1"/>
  <c r="J2250" i="1"/>
  <c r="K2250" i="1"/>
  <c r="L2250" i="1"/>
  <c r="M2250" i="1"/>
  <c r="N2250" i="1"/>
  <c r="O2250" i="1"/>
  <c r="P2250" i="1"/>
  <c r="Q2250" i="1"/>
  <c r="R2250" i="1"/>
  <c r="S2250" i="1"/>
  <c r="T2250" i="1"/>
  <c r="U2250" i="1"/>
  <c r="V2250" i="1"/>
  <c r="W2250" i="1"/>
  <c r="X2250" i="1"/>
  <c r="Y2250" i="1"/>
  <c r="Z2250" i="1"/>
  <c r="A2251" i="1"/>
  <c r="B2251" i="1"/>
  <c r="C2251" i="1"/>
  <c r="D2251" i="1"/>
  <c r="E2251" i="1"/>
  <c r="F2251" i="1"/>
  <c r="G2251" i="1"/>
  <c r="I2251" i="1"/>
  <c r="J2251" i="1"/>
  <c r="K2251" i="1"/>
  <c r="L2251" i="1"/>
  <c r="M2251" i="1"/>
  <c r="N2251" i="1"/>
  <c r="O2251" i="1"/>
  <c r="P2251" i="1"/>
  <c r="Q2251" i="1"/>
  <c r="R2251" i="1"/>
  <c r="S2251" i="1"/>
  <c r="T2251" i="1"/>
  <c r="U2251" i="1"/>
  <c r="V2251" i="1"/>
  <c r="W2251" i="1"/>
  <c r="X2251" i="1"/>
  <c r="Y2251" i="1"/>
  <c r="Z2251" i="1"/>
  <c r="A2252" i="1"/>
  <c r="B2252" i="1"/>
  <c r="C2252" i="1"/>
  <c r="D2252" i="1"/>
  <c r="E2252" i="1"/>
  <c r="F2252" i="1"/>
  <c r="G2252" i="1"/>
  <c r="I2252" i="1"/>
  <c r="J2252" i="1"/>
  <c r="K2252" i="1"/>
  <c r="L2252" i="1"/>
  <c r="M2252" i="1"/>
  <c r="N2252" i="1"/>
  <c r="O2252" i="1"/>
  <c r="P2252" i="1"/>
  <c r="Q2252" i="1"/>
  <c r="R2252" i="1"/>
  <c r="S2252" i="1"/>
  <c r="T2252" i="1"/>
  <c r="U2252" i="1"/>
  <c r="V2252" i="1"/>
  <c r="W2252" i="1"/>
  <c r="X2252" i="1"/>
  <c r="Y2252" i="1"/>
  <c r="Z2252" i="1"/>
  <c r="A2253" i="1"/>
  <c r="B2253" i="1"/>
  <c r="C2253" i="1"/>
  <c r="D2253" i="1"/>
  <c r="E2253" i="1"/>
  <c r="F2253" i="1"/>
  <c r="G2253" i="1"/>
  <c r="I2253" i="1"/>
  <c r="J2253" i="1"/>
  <c r="K2253" i="1"/>
  <c r="L2253" i="1"/>
  <c r="M2253" i="1"/>
  <c r="N2253" i="1"/>
  <c r="O2253" i="1"/>
  <c r="P2253" i="1"/>
  <c r="Q2253" i="1"/>
  <c r="R2253" i="1"/>
  <c r="S2253" i="1"/>
  <c r="T2253" i="1"/>
  <c r="U2253" i="1"/>
  <c r="V2253" i="1"/>
  <c r="W2253" i="1"/>
  <c r="X2253" i="1"/>
  <c r="Y2253" i="1"/>
  <c r="Z2253" i="1"/>
  <c r="A2254" i="1"/>
  <c r="B2254" i="1"/>
  <c r="C2254" i="1"/>
  <c r="D2254" i="1"/>
  <c r="E2254" i="1"/>
  <c r="F2254" i="1"/>
  <c r="G2254" i="1"/>
  <c r="I2254" i="1"/>
  <c r="J2254" i="1"/>
  <c r="K2254" i="1"/>
  <c r="L2254" i="1"/>
  <c r="M2254" i="1"/>
  <c r="N2254" i="1"/>
  <c r="O2254" i="1"/>
  <c r="P2254" i="1"/>
  <c r="Q2254" i="1"/>
  <c r="R2254" i="1"/>
  <c r="S2254" i="1"/>
  <c r="T2254" i="1"/>
  <c r="U2254" i="1"/>
  <c r="V2254" i="1"/>
  <c r="W2254" i="1"/>
  <c r="X2254" i="1"/>
  <c r="Y2254" i="1"/>
  <c r="Z2254" i="1"/>
  <c r="A2255" i="1"/>
  <c r="B2255" i="1"/>
  <c r="C2255" i="1"/>
  <c r="D2255" i="1"/>
  <c r="E2255" i="1"/>
  <c r="F2255" i="1"/>
  <c r="G2255" i="1"/>
  <c r="I2255" i="1"/>
  <c r="J2255" i="1"/>
  <c r="K2255" i="1"/>
  <c r="L2255" i="1"/>
  <c r="M2255" i="1"/>
  <c r="N2255" i="1"/>
  <c r="O2255" i="1"/>
  <c r="P2255" i="1"/>
  <c r="Q2255" i="1"/>
  <c r="R2255" i="1"/>
  <c r="S2255" i="1"/>
  <c r="T2255" i="1"/>
  <c r="U2255" i="1"/>
  <c r="V2255" i="1"/>
  <c r="W2255" i="1"/>
  <c r="X2255" i="1"/>
  <c r="Y2255" i="1"/>
  <c r="Z2255" i="1"/>
  <c r="A2256" i="1"/>
  <c r="B2256" i="1"/>
  <c r="C2256" i="1"/>
  <c r="D2256" i="1"/>
  <c r="E2256" i="1"/>
  <c r="F2256" i="1"/>
  <c r="G2256" i="1"/>
  <c r="I2256" i="1"/>
  <c r="J2256" i="1"/>
  <c r="K2256" i="1"/>
  <c r="L2256" i="1"/>
  <c r="M2256" i="1"/>
  <c r="N2256" i="1"/>
  <c r="O2256" i="1"/>
  <c r="P2256" i="1"/>
  <c r="Q2256" i="1"/>
  <c r="R2256" i="1"/>
  <c r="S2256" i="1"/>
  <c r="T2256" i="1"/>
  <c r="U2256" i="1"/>
  <c r="V2256" i="1"/>
  <c r="W2256" i="1"/>
  <c r="X2256" i="1"/>
  <c r="Y2256" i="1"/>
  <c r="Z2256" i="1"/>
  <c r="A2257" i="1"/>
  <c r="B2257" i="1"/>
  <c r="C2257" i="1"/>
  <c r="D2257" i="1"/>
  <c r="E2257" i="1"/>
  <c r="F2257" i="1"/>
  <c r="G2257" i="1"/>
  <c r="I2257" i="1"/>
  <c r="J2257" i="1"/>
  <c r="K2257" i="1"/>
  <c r="L2257" i="1"/>
  <c r="M2257" i="1"/>
  <c r="N2257" i="1"/>
  <c r="O2257" i="1"/>
  <c r="P2257" i="1"/>
  <c r="Q2257" i="1"/>
  <c r="R2257" i="1"/>
  <c r="S2257" i="1"/>
  <c r="T2257" i="1"/>
  <c r="U2257" i="1"/>
  <c r="V2257" i="1"/>
  <c r="W2257" i="1"/>
  <c r="X2257" i="1"/>
  <c r="Y2257" i="1"/>
  <c r="Z2257" i="1"/>
  <c r="A2258" i="1"/>
  <c r="B2258" i="1"/>
  <c r="C2258" i="1"/>
  <c r="D2258" i="1"/>
  <c r="E2258" i="1"/>
  <c r="F2258" i="1"/>
  <c r="G2258" i="1"/>
  <c r="I2258" i="1"/>
  <c r="J2258" i="1"/>
  <c r="K2258" i="1"/>
  <c r="L2258" i="1"/>
  <c r="M2258" i="1"/>
  <c r="N2258" i="1"/>
  <c r="O2258" i="1"/>
  <c r="P2258" i="1"/>
  <c r="Q2258" i="1"/>
  <c r="R2258" i="1"/>
  <c r="S2258" i="1"/>
  <c r="T2258" i="1"/>
  <c r="U2258" i="1"/>
  <c r="V2258" i="1"/>
  <c r="W2258" i="1"/>
  <c r="X2258" i="1"/>
  <c r="Y2258" i="1"/>
  <c r="Z2258" i="1"/>
  <c r="A2259" i="1"/>
  <c r="B2259" i="1"/>
  <c r="C2259" i="1"/>
  <c r="D2259" i="1"/>
  <c r="E2259" i="1"/>
  <c r="F2259" i="1"/>
  <c r="G2259" i="1"/>
  <c r="I2259" i="1"/>
  <c r="J2259" i="1"/>
  <c r="K2259" i="1"/>
  <c r="L2259" i="1"/>
  <c r="M2259" i="1"/>
  <c r="N2259" i="1"/>
  <c r="O2259" i="1"/>
  <c r="P2259" i="1"/>
  <c r="Q2259" i="1"/>
  <c r="R2259" i="1"/>
  <c r="S2259" i="1"/>
  <c r="T2259" i="1"/>
  <c r="U2259" i="1"/>
  <c r="V2259" i="1"/>
  <c r="W2259" i="1"/>
  <c r="X2259" i="1"/>
  <c r="Y2259" i="1"/>
  <c r="Z2259" i="1"/>
  <c r="A2260" i="1"/>
  <c r="B2260" i="1"/>
  <c r="C2260" i="1"/>
  <c r="D2260" i="1"/>
  <c r="E2260" i="1"/>
  <c r="F2260" i="1"/>
  <c r="G2260" i="1"/>
  <c r="I2260" i="1"/>
  <c r="J2260" i="1"/>
  <c r="K2260" i="1"/>
  <c r="L2260" i="1"/>
  <c r="M2260" i="1"/>
  <c r="N2260" i="1"/>
  <c r="O2260" i="1"/>
  <c r="P2260" i="1"/>
  <c r="Q2260" i="1"/>
  <c r="R2260" i="1"/>
  <c r="S2260" i="1"/>
  <c r="T2260" i="1"/>
  <c r="U2260" i="1"/>
  <c r="V2260" i="1"/>
  <c r="W2260" i="1"/>
  <c r="X2260" i="1"/>
  <c r="Y2260" i="1"/>
  <c r="Z2260" i="1"/>
  <c r="A2261" i="1"/>
  <c r="B2261" i="1"/>
  <c r="C2261" i="1"/>
  <c r="D2261" i="1"/>
  <c r="E2261" i="1"/>
  <c r="F2261" i="1"/>
  <c r="G2261" i="1"/>
  <c r="I2261" i="1"/>
  <c r="J2261" i="1"/>
  <c r="K2261" i="1"/>
  <c r="L2261" i="1"/>
  <c r="M2261" i="1"/>
  <c r="N2261" i="1"/>
  <c r="O2261" i="1"/>
  <c r="P2261" i="1"/>
  <c r="Q2261" i="1"/>
  <c r="R2261" i="1"/>
  <c r="S2261" i="1"/>
  <c r="T2261" i="1"/>
  <c r="U2261" i="1"/>
  <c r="V2261" i="1"/>
  <c r="W2261" i="1"/>
  <c r="X2261" i="1"/>
  <c r="Y2261" i="1"/>
  <c r="Z2261" i="1"/>
  <c r="A2262" i="1"/>
  <c r="B2262" i="1"/>
  <c r="C2262" i="1"/>
  <c r="D2262" i="1"/>
  <c r="E2262" i="1"/>
  <c r="F2262" i="1"/>
  <c r="G2262" i="1"/>
  <c r="I2262" i="1"/>
  <c r="J2262" i="1"/>
  <c r="K2262" i="1"/>
  <c r="L2262" i="1"/>
  <c r="M2262" i="1"/>
  <c r="N2262" i="1"/>
  <c r="O2262" i="1"/>
  <c r="P2262" i="1"/>
  <c r="Q2262" i="1"/>
  <c r="R2262" i="1"/>
  <c r="S2262" i="1"/>
  <c r="T2262" i="1"/>
  <c r="U2262" i="1"/>
  <c r="V2262" i="1"/>
  <c r="W2262" i="1"/>
  <c r="X2262" i="1"/>
  <c r="Y2262" i="1"/>
  <c r="Z2262" i="1"/>
  <c r="A2263" i="1"/>
  <c r="B2263" i="1"/>
  <c r="C2263" i="1"/>
  <c r="D2263" i="1"/>
  <c r="E2263" i="1"/>
  <c r="F2263" i="1"/>
  <c r="G2263" i="1"/>
  <c r="I2263" i="1"/>
  <c r="J2263" i="1"/>
  <c r="K2263" i="1"/>
  <c r="L2263" i="1"/>
  <c r="M2263" i="1"/>
  <c r="N2263" i="1"/>
  <c r="O2263" i="1"/>
  <c r="P2263" i="1"/>
  <c r="Q2263" i="1"/>
  <c r="R2263" i="1"/>
  <c r="S2263" i="1"/>
  <c r="T2263" i="1"/>
  <c r="U2263" i="1"/>
  <c r="V2263" i="1"/>
  <c r="W2263" i="1"/>
  <c r="X2263" i="1"/>
  <c r="Y2263" i="1"/>
  <c r="Z2263" i="1"/>
  <c r="A2264" i="1"/>
  <c r="B2264" i="1"/>
  <c r="C2264" i="1"/>
  <c r="D2264" i="1"/>
  <c r="E2264" i="1"/>
  <c r="F2264" i="1"/>
  <c r="G2264" i="1"/>
  <c r="I2264" i="1"/>
  <c r="J2264" i="1"/>
  <c r="K2264" i="1"/>
  <c r="L2264" i="1"/>
  <c r="M2264" i="1"/>
  <c r="N2264" i="1"/>
  <c r="O2264" i="1"/>
  <c r="P2264" i="1"/>
  <c r="Q2264" i="1"/>
  <c r="R2264" i="1"/>
  <c r="S2264" i="1"/>
  <c r="T2264" i="1"/>
  <c r="U2264" i="1"/>
  <c r="V2264" i="1"/>
  <c r="W2264" i="1"/>
  <c r="X2264" i="1"/>
  <c r="Y2264" i="1"/>
  <c r="Z2264" i="1"/>
  <c r="A2265" i="1"/>
  <c r="B2265" i="1"/>
  <c r="C2265" i="1"/>
  <c r="D2265" i="1"/>
  <c r="E2265" i="1"/>
  <c r="F2265" i="1"/>
  <c r="G2265" i="1"/>
  <c r="I2265" i="1"/>
  <c r="J2265" i="1"/>
  <c r="K2265" i="1"/>
  <c r="L2265" i="1"/>
  <c r="M2265" i="1"/>
  <c r="N2265" i="1"/>
  <c r="O2265" i="1"/>
  <c r="P2265" i="1"/>
  <c r="Q2265" i="1"/>
  <c r="R2265" i="1"/>
  <c r="S2265" i="1"/>
  <c r="T2265" i="1"/>
  <c r="U2265" i="1"/>
  <c r="V2265" i="1"/>
  <c r="W2265" i="1"/>
  <c r="X2265" i="1"/>
  <c r="Y2265" i="1"/>
  <c r="Z2265" i="1"/>
  <c r="A2266" i="1"/>
  <c r="B2266" i="1"/>
  <c r="C2266" i="1"/>
  <c r="D2266" i="1"/>
  <c r="E2266" i="1"/>
  <c r="F2266" i="1"/>
  <c r="G2266" i="1"/>
  <c r="I2266" i="1"/>
  <c r="J2266" i="1"/>
  <c r="K2266" i="1"/>
  <c r="L2266" i="1"/>
  <c r="M2266" i="1"/>
  <c r="N2266" i="1"/>
  <c r="O2266" i="1"/>
  <c r="P2266" i="1"/>
  <c r="Q2266" i="1"/>
  <c r="R2266" i="1"/>
  <c r="S2266" i="1"/>
  <c r="T2266" i="1"/>
  <c r="U2266" i="1"/>
  <c r="V2266" i="1"/>
  <c r="W2266" i="1"/>
  <c r="X2266" i="1"/>
  <c r="Y2266" i="1"/>
  <c r="Z2266" i="1"/>
  <c r="A2267" i="1"/>
  <c r="B2267" i="1"/>
  <c r="C2267" i="1"/>
  <c r="D2267" i="1"/>
  <c r="E2267" i="1"/>
  <c r="F2267" i="1"/>
  <c r="G2267" i="1"/>
  <c r="I2267" i="1"/>
  <c r="J2267" i="1"/>
  <c r="K2267" i="1"/>
  <c r="L2267" i="1"/>
  <c r="M2267" i="1"/>
  <c r="N2267" i="1"/>
  <c r="O2267" i="1"/>
  <c r="P2267" i="1"/>
  <c r="Q2267" i="1"/>
  <c r="R2267" i="1"/>
  <c r="S2267" i="1"/>
  <c r="T2267" i="1"/>
  <c r="U2267" i="1"/>
  <c r="V2267" i="1"/>
  <c r="W2267" i="1"/>
  <c r="X2267" i="1"/>
  <c r="Y2267" i="1"/>
  <c r="Z2267" i="1"/>
  <c r="A2268" i="1"/>
  <c r="B2268" i="1"/>
  <c r="C2268" i="1"/>
  <c r="D2268" i="1"/>
  <c r="E2268" i="1"/>
  <c r="F2268" i="1"/>
  <c r="G2268" i="1"/>
  <c r="I2268" i="1"/>
  <c r="J2268" i="1"/>
  <c r="K2268" i="1"/>
  <c r="L2268" i="1"/>
  <c r="M2268" i="1"/>
  <c r="N2268" i="1"/>
  <c r="O2268" i="1"/>
  <c r="P2268" i="1"/>
  <c r="Q2268" i="1"/>
  <c r="R2268" i="1"/>
  <c r="S2268" i="1"/>
  <c r="T2268" i="1"/>
  <c r="U2268" i="1"/>
  <c r="V2268" i="1"/>
  <c r="W2268" i="1"/>
  <c r="X2268" i="1"/>
  <c r="Y2268" i="1"/>
  <c r="Z2268" i="1"/>
  <c r="A2269" i="1"/>
  <c r="B2269" i="1"/>
  <c r="C2269" i="1"/>
  <c r="D2269" i="1"/>
  <c r="E2269" i="1"/>
  <c r="F2269" i="1"/>
  <c r="G2269" i="1"/>
  <c r="I2269" i="1"/>
  <c r="J2269" i="1"/>
  <c r="K2269" i="1"/>
  <c r="L2269" i="1"/>
  <c r="M2269" i="1"/>
  <c r="N2269" i="1"/>
  <c r="O2269" i="1"/>
  <c r="P2269" i="1"/>
  <c r="Q2269" i="1"/>
  <c r="R2269" i="1"/>
  <c r="S2269" i="1"/>
  <c r="T2269" i="1"/>
  <c r="U2269" i="1"/>
  <c r="V2269" i="1"/>
  <c r="W2269" i="1"/>
  <c r="X2269" i="1"/>
  <c r="Y2269" i="1"/>
  <c r="Z2269" i="1"/>
  <c r="A2270" i="1"/>
  <c r="B2270" i="1"/>
  <c r="C2270" i="1"/>
  <c r="D2270" i="1"/>
  <c r="E2270" i="1"/>
  <c r="F2270" i="1"/>
  <c r="G2270" i="1"/>
  <c r="I2270" i="1"/>
  <c r="J2270" i="1"/>
  <c r="K2270" i="1"/>
  <c r="L2270" i="1"/>
  <c r="M2270" i="1"/>
  <c r="N2270" i="1"/>
  <c r="O2270" i="1"/>
  <c r="P2270" i="1"/>
  <c r="Q2270" i="1"/>
  <c r="R2270" i="1"/>
  <c r="S2270" i="1"/>
  <c r="T2270" i="1"/>
  <c r="U2270" i="1"/>
  <c r="V2270" i="1"/>
  <c r="W2270" i="1"/>
  <c r="X2270" i="1"/>
  <c r="Y2270" i="1"/>
  <c r="Z2270" i="1"/>
  <c r="A2271" i="1"/>
  <c r="B2271" i="1"/>
  <c r="C2271" i="1"/>
  <c r="D2271" i="1"/>
  <c r="E2271" i="1"/>
  <c r="F2271" i="1"/>
  <c r="G2271" i="1"/>
  <c r="I2271" i="1"/>
  <c r="J2271" i="1"/>
  <c r="K2271" i="1"/>
  <c r="L2271" i="1"/>
  <c r="M2271" i="1"/>
  <c r="N2271" i="1"/>
  <c r="O2271" i="1"/>
  <c r="P2271" i="1"/>
  <c r="Q2271" i="1"/>
  <c r="R2271" i="1"/>
  <c r="S2271" i="1"/>
  <c r="T2271" i="1"/>
  <c r="U2271" i="1"/>
  <c r="V2271" i="1"/>
  <c r="W2271" i="1"/>
  <c r="X2271" i="1"/>
  <c r="Y2271" i="1"/>
  <c r="Z2271" i="1"/>
  <c r="A2272" i="1"/>
  <c r="B2272" i="1"/>
  <c r="C2272" i="1"/>
  <c r="D2272" i="1"/>
  <c r="E2272" i="1"/>
  <c r="F2272" i="1"/>
  <c r="G2272" i="1"/>
  <c r="I2272" i="1"/>
  <c r="J2272" i="1"/>
  <c r="K2272" i="1"/>
  <c r="L2272" i="1"/>
  <c r="M2272" i="1"/>
  <c r="N2272" i="1"/>
  <c r="O2272" i="1"/>
  <c r="P2272" i="1"/>
  <c r="Q2272" i="1"/>
  <c r="R2272" i="1"/>
  <c r="S2272" i="1"/>
  <c r="T2272" i="1"/>
  <c r="U2272" i="1"/>
  <c r="V2272" i="1"/>
  <c r="W2272" i="1"/>
  <c r="X2272" i="1"/>
  <c r="Y2272" i="1"/>
  <c r="Z2272" i="1"/>
  <c r="A2273" i="1"/>
  <c r="B2273" i="1"/>
  <c r="C2273" i="1"/>
  <c r="D2273" i="1"/>
  <c r="E2273" i="1"/>
  <c r="F2273" i="1"/>
  <c r="G2273" i="1"/>
  <c r="I2273" i="1"/>
  <c r="J2273" i="1"/>
  <c r="K2273" i="1"/>
  <c r="L2273" i="1"/>
  <c r="M2273" i="1"/>
  <c r="N2273" i="1"/>
  <c r="O2273" i="1"/>
  <c r="P2273" i="1"/>
  <c r="Q2273" i="1"/>
  <c r="R2273" i="1"/>
  <c r="S2273" i="1"/>
  <c r="T2273" i="1"/>
  <c r="U2273" i="1"/>
  <c r="V2273" i="1"/>
  <c r="W2273" i="1"/>
  <c r="X2273" i="1"/>
  <c r="Y2273" i="1"/>
  <c r="Z2273" i="1"/>
  <c r="A2274" i="1"/>
  <c r="B2274" i="1"/>
  <c r="C2274" i="1"/>
  <c r="D2274" i="1"/>
  <c r="E2274" i="1"/>
  <c r="F2274" i="1"/>
  <c r="G2274" i="1"/>
  <c r="I2274" i="1"/>
  <c r="J2274" i="1"/>
  <c r="K2274" i="1"/>
  <c r="L2274" i="1"/>
  <c r="M2274" i="1"/>
  <c r="N2274" i="1"/>
  <c r="O2274" i="1"/>
  <c r="P2274" i="1"/>
  <c r="Q2274" i="1"/>
  <c r="R2274" i="1"/>
  <c r="S2274" i="1"/>
  <c r="T2274" i="1"/>
  <c r="U2274" i="1"/>
  <c r="V2274" i="1"/>
  <c r="W2274" i="1"/>
  <c r="X2274" i="1"/>
  <c r="Y2274" i="1"/>
  <c r="Z2274" i="1"/>
  <c r="A2275" i="1"/>
  <c r="B2275" i="1"/>
  <c r="C2275" i="1"/>
  <c r="D2275" i="1"/>
  <c r="E2275" i="1"/>
  <c r="F2275" i="1"/>
  <c r="G2275" i="1"/>
  <c r="I2275" i="1"/>
  <c r="J2275" i="1"/>
  <c r="K2275" i="1"/>
  <c r="L2275" i="1"/>
  <c r="M2275" i="1"/>
  <c r="N2275" i="1"/>
  <c r="O2275" i="1"/>
  <c r="P2275" i="1"/>
  <c r="Q2275" i="1"/>
  <c r="R2275" i="1"/>
  <c r="S2275" i="1"/>
  <c r="T2275" i="1"/>
  <c r="U2275" i="1"/>
  <c r="V2275" i="1"/>
  <c r="W2275" i="1"/>
  <c r="X2275" i="1"/>
  <c r="Y2275" i="1"/>
  <c r="Z2275" i="1"/>
  <c r="A2276" i="1"/>
  <c r="B2276" i="1"/>
  <c r="C2276" i="1"/>
  <c r="D2276" i="1"/>
  <c r="E2276" i="1"/>
  <c r="F2276" i="1"/>
  <c r="G2276" i="1"/>
  <c r="I2276" i="1"/>
  <c r="J2276" i="1"/>
  <c r="K2276" i="1"/>
  <c r="L2276" i="1"/>
  <c r="M2276" i="1"/>
  <c r="N2276" i="1"/>
  <c r="O2276" i="1"/>
  <c r="P2276" i="1"/>
  <c r="Q2276" i="1"/>
  <c r="R2276" i="1"/>
  <c r="S2276" i="1"/>
  <c r="T2276" i="1"/>
  <c r="U2276" i="1"/>
  <c r="V2276" i="1"/>
  <c r="W2276" i="1"/>
  <c r="X2276" i="1"/>
  <c r="Y2276" i="1"/>
  <c r="Z2276" i="1"/>
  <c r="A2277" i="1"/>
  <c r="B2277" i="1"/>
  <c r="C2277" i="1"/>
  <c r="D2277" i="1"/>
  <c r="E2277" i="1"/>
  <c r="F2277" i="1"/>
  <c r="G2277" i="1"/>
  <c r="I2277" i="1"/>
  <c r="J2277" i="1"/>
  <c r="K2277" i="1"/>
  <c r="L2277" i="1"/>
  <c r="M2277" i="1"/>
  <c r="N2277" i="1"/>
  <c r="O2277" i="1"/>
  <c r="P2277" i="1"/>
  <c r="Q2277" i="1"/>
  <c r="R2277" i="1"/>
  <c r="S2277" i="1"/>
  <c r="T2277" i="1"/>
  <c r="U2277" i="1"/>
  <c r="V2277" i="1"/>
  <c r="W2277" i="1"/>
  <c r="X2277" i="1"/>
  <c r="Y2277" i="1"/>
  <c r="Z2277" i="1"/>
  <c r="A2278" i="1"/>
  <c r="B2278" i="1"/>
  <c r="C2278" i="1"/>
  <c r="D2278" i="1"/>
  <c r="E2278" i="1"/>
  <c r="F2278" i="1"/>
  <c r="G2278" i="1"/>
  <c r="I2278" i="1"/>
  <c r="J2278" i="1"/>
  <c r="K2278" i="1"/>
  <c r="L2278" i="1"/>
  <c r="M2278" i="1"/>
  <c r="N2278" i="1"/>
  <c r="O2278" i="1"/>
  <c r="P2278" i="1"/>
  <c r="Q2278" i="1"/>
  <c r="R2278" i="1"/>
  <c r="S2278" i="1"/>
  <c r="T2278" i="1"/>
  <c r="U2278" i="1"/>
  <c r="V2278" i="1"/>
  <c r="W2278" i="1"/>
  <c r="X2278" i="1"/>
  <c r="Y2278" i="1"/>
  <c r="Z2278" i="1"/>
  <c r="A2279" i="1"/>
  <c r="B2279" i="1"/>
  <c r="C2279" i="1"/>
  <c r="D2279" i="1"/>
  <c r="E2279" i="1"/>
  <c r="F2279" i="1"/>
  <c r="G2279" i="1"/>
  <c r="I2279" i="1"/>
  <c r="J2279" i="1"/>
  <c r="K2279" i="1"/>
  <c r="L2279" i="1"/>
  <c r="M2279" i="1"/>
  <c r="N2279" i="1"/>
  <c r="O2279" i="1"/>
  <c r="P2279" i="1"/>
  <c r="Q2279" i="1"/>
  <c r="R2279" i="1"/>
  <c r="S2279" i="1"/>
  <c r="T2279" i="1"/>
  <c r="U2279" i="1"/>
  <c r="V2279" i="1"/>
  <c r="W2279" i="1"/>
  <c r="X2279" i="1"/>
  <c r="Y2279" i="1"/>
  <c r="Z2279" i="1"/>
  <c r="A2280" i="1"/>
  <c r="B2280" i="1"/>
  <c r="C2280" i="1"/>
  <c r="D2280" i="1"/>
  <c r="E2280" i="1"/>
  <c r="F2280" i="1"/>
  <c r="G2280" i="1"/>
  <c r="I2280" i="1"/>
  <c r="J2280" i="1"/>
  <c r="K2280" i="1"/>
  <c r="L2280" i="1"/>
  <c r="M2280" i="1"/>
  <c r="N2280" i="1"/>
  <c r="O2280" i="1"/>
  <c r="P2280" i="1"/>
  <c r="Q2280" i="1"/>
  <c r="R2280" i="1"/>
  <c r="S2280" i="1"/>
  <c r="T2280" i="1"/>
  <c r="U2280" i="1"/>
  <c r="V2280" i="1"/>
  <c r="W2280" i="1"/>
  <c r="X2280" i="1"/>
  <c r="Y2280" i="1"/>
  <c r="Z2280" i="1"/>
  <c r="A2281" i="1"/>
  <c r="B2281" i="1"/>
  <c r="C2281" i="1"/>
  <c r="D2281" i="1"/>
  <c r="E2281" i="1"/>
  <c r="F2281" i="1"/>
  <c r="G2281" i="1"/>
  <c r="I2281" i="1"/>
  <c r="J2281" i="1"/>
  <c r="K2281" i="1"/>
  <c r="L2281" i="1"/>
  <c r="M2281" i="1"/>
  <c r="N2281" i="1"/>
  <c r="O2281" i="1"/>
  <c r="P2281" i="1"/>
  <c r="Q2281" i="1"/>
  <c r="R2281" i="1"/>
  <c r="S2281" i="1"/>
  <c r="T2281" i="1"/>
  <c r="U2281" i="1"/>
  <c r="V2281" i="1"/>
  <c r="W2281" i="1"/>
  <c r="X2281" i="1"/>
  <c r="Y2281" i="1"/>
  <c r="Z2281" i="1"/>
  <c r="A2282" i="1"/>
  <c r="B2282" i="1"/>
  <c r="C2282" i="1"/>
  <c r="D2282" i="1"/>
  <c r="E2282" i="1"/>
  <c r="F2282" i="1"/>
  <c r="G2282" i="1"/>
  <c r="I2282" i="1"/>
  <c r="J2282" i="1"/>
  <c r="K2282" i="1"/>
  <c r="L2282" i="1"/>
  <c r="M2282" i="1"/>
  <c r="N2282" i="1"/>
  <c r="O2282" i="1"/>
  <c r="P2282" i="1"/>
  <c r="Q2282" i="1"/>
  <c r="R2282" i="1"/>
  <c r="S2282" i="1"/>
  <c r="T2282" i="1"/>
  <c r="U2282" i="1"/>
  <c r="V2282" i="1"/>
  <c r="W2282" i="1"/>
  <c r="X2282" i="1"/>
  <c r="Y2282" i="1"/>
  <c r="Z2282" i="1"/>
  <c r="A2283" i="1"/>
  <c r="B2283" i="1"/>
  <c r="C2283" i="1"/>
  <c r="D2283" i="1"/>
  <c r="E2283" i="1"/>
  <c r="F2283" i="1"/>
  <c r="G2283" i="1"/>
  <c r="I2283" i="1"/>
  <c r="J2283" i="1"/>
  <c r="K2283" i="1"/>
  <c r="L2283" i="1"/>
  <c r="M2283" i="1"/>
  <c r="N2283" i="1"/>
  <c r="O2283" i="1"/>
  <c r="P2283" i="1"/>
  <c r="Q2283" i="1"/>
  <c r="R2283" i="1"/>
  <c r="S2283" i="1"/>
  <c r="T2283" i="1"/>
  <c r="U2283" i="1"/>
  <c r="V2283" i="1"/>
  <c r="W2283" i="1"/>
  <c r="X2283" i="1"/>
  <c r="Y2283" i="1"/>
  <c r="Z2283" i="1"/>
  <c r="A2284" i="1"/>
  <c r="B2284" i="1"/>
  <c r="C2284" i="1"/>
  <c r="D2284" i="1"/>
  <c r="E2284" i="1"/>
  <c r="F2284" i="1"/>
  <c r="G2284" i="1"/>
  <c r="I2284" i="1"/>
  <c r="J2284" i="1"/>
  <c r="K2284" i="1"/>
  <c r="L2284" i="1"/>
  <c r="M2284" i="1"/>
  <c r="N2284" i="1"/>
  <c r="O2284" i="1"/>
  <c r="P2284" i="1"/>
  <c r="Q2284" i="1"/>
  <c r="R2284" i="1"/>
  <c r="S2284" i="1"/>
  <c r="T2284" i="1"/>
  <c r="U2284" i="1"/>
  <c r="V2284" i="1"/>
  <c r="W2284" i="1"/>
  <c r="X2284" i="1"/>
  <c r="Y2284" i="1"/>
  <c r="Z2284" i="1"/>
  <c r="A2285" i="1"/>
  <c r="B2285" i="1"/>
  <c r="C2285" i="1"/>
  <c r="D2285" i="1"/>
  <c r="E2285" i="1"/>
  <c r="F2285" i="1"/>
  <c r="G2285" i="1"/>
  <c r="I2285" i="1"/>
  <c r="J2285" i="1"/>
  <c r="K2285" i="1"/>
  <c r="L2285" i="1"/>
  <c r="M2285" i="1"/>
  <c r="N2285" i="1"/>
  <c r="O2285" i="1"/>
  <c r="P2285" i="1"/>
  <c r="Q2285" i="1"/>
  <c r="R2285" i="1"/>
  <c r="S2285" i="1"/>
  <c r="T2285" i="1"/>
  <c r="U2285" i="1"/>
  <c r="V2285" i="1"/>
  <c r="W2285" i="1"/>
  <c r="X2285" i="1"/>
  <c r="Y2285" i="1"/>
  <c r="Z2285" i="1"/>
  <c r="A2286" i="1"/>
  <c r="B2286" i="1"/>
  <c r="C2286" i="1"/>
  <c r="D2286" i="1"/>
  <c r="E2286" i="1"/>
  <c r="F2286" i="1"/>
  <c r="G2286" i="1"/>
  <c r="I2286" i="1"/>
  <c r="J2286" i="1"/>
  <c r="K2286" i="1"/>
  <c r="L2286" i="1"/>
  <c r="M2286" i="1"/>
  <c r="N2286" i="1"/>
  <c r="O2286" i="1"/>
  <c r="P2286" i="1"/>
  <c r="Q2286" i="1"/>
  <c r="R2286" i="1"/>
  <c r="S2286" i="1"/>
  <c r="T2286" i="1"/>
  <c r="U2286" i="1"/>
  <c r="V2286" i="1"/>
  <c r="W2286" i="1"/>
  <c r="X2286" i="1"/>
  <c r="Y2286" i="1"/>
  <c r="Z2286" i="1"/>
  <c r="A2287" i="1"/>
  <c r="B2287" i="1"/>
  <c r="C2287" i="1"/>
  <c r="D2287" i="1"/>
  <c r="E2287" i="1"/>
  <c r="F2287" i="1"/>
  <c r="G2287" i="1"/>
  <c r="I2287" i="1"/>
  <c r="J2287" i="1"/>
  <c r="K2287" i="1"/>
  <c r="L2287" i="1"/>
  <c r="M2287" i="1"/>
  <c r="N2287" i="1"/>
  <c r="O2287" i="1"/>
  <c r="P2287" i="1"/>
  <c r="Q2287" i="1"/>
  <c r="R2287" i="1"/>
  <c r="S2287" i="1"/>
  <c r="T2287" i="1"/>
  <c r="U2287" i="1"/>
  <c r="V2287" i="1"/>
  <c r="W2287" i="1"/>
  <c r="X2287" i="1"/>
  <c r="Y2287" i="1"/>
  <c r="Z2287" i="1"/>
  <c r="A2288" i="1"/>
  <c r="B2288" i="1"/>
  <c r="C2288" i="1"/>
  <c r="D2288" i="1"/>
  <c r="E2288" i="1"/>
  <c r="F2288" i="1"/>
  <c r="G2288" i="1"/>
  <c r="I2288" i="1"/>
  <c r="J2288" i="1"/>
  <c r="K2288" i="1"/>
  <c r="L2288" i="1"/>
  <c r="M2288" i="1"/>
  <c r="N2288" i="1"/>
  <c r="O2288" i="1"/>
  <c r="P2288" i="1"/>
  <c r="Q2288" i="1"/>
  <c r="R2288" i="1"/>
  <c r="S2288" i="1"/>
  <c r="T2288" i="1"/>
  <c r="U2288" i="1"/>
  <c r="V2288" i="1"/>
  <c r="W2288" i="1"/>
  <c r="X2288" i="1"/>
  <c r="Y2288" i="1"/>
  <c r="Z2288" i="1"/>
  <c r="A2289" i="1"/>
  <c r="B2289" i="1"/>
  <c r="C2289" i="1"/>
  <c r="D2289" i="1"/>
  <c r="E2289" i="1"/>
  <c r="F2289" i="1"/>
  <c r="G2289" i="1"/>
  <c r="I2289" i="1"/>
  <c r="J2289" i="1"/>
  <c r="K2289" i="1"/>
  <c r="L2289" i="1"/>
  <c r="M2289" i="1"/>
  <c r="N2289" i="1"/>
  <c r="O2289" i="1"/>
  <c r="P2289" i="1"/>
  <c r="Q2289" i="1"/>
  <c r="R2289" i="1"/>
  <c r="S2289" i="1"/>
  <c r="T2289" i="1"/>
  <c r="U2289" i="1"/>
  <c r="V2289" i="1"/>
  <c r="W2289" i="1"/>
  <c r="X2289" i="1"/>
  <c r="Y2289" i="1"/>
  <c r="Z2289" i="1"/>
  <c r="A2290" i="1"/>
  <c r="B2290" i="1"/>
  <c r="C2290" i="1"/>
  <c r="D2290" i="1"/>
  <c r="E2290" i="1"/>
  <c r="F2290" i="1"/>
  <c r="G2290" i="1"/>
  <c r="I2290" i="1"/>
  <c r="J2290" i="1"/>
  <c r="K2290" i="1"/>
  <c r="L2290" i="1"/>
  <c r="M2290" i="1"/>
  <c r="N2290" i="1"/>
  <c r="O2290" i="1"/>
  <c r="P2290" i="1"/>
  <c r="Q2290" i="1"/>
  <c r="R2290" i="1"/>
  <c r="S2290" i="1"/>
  <c r="T2290" i="1"/>
  <c r="U2290" i="1"/>
  <c r="V2290" i="1"/>
  <c r="W2290" i="1"/>
  <c r="X2290" i="1"/>
  <c r="Y2290" i="1"/>
  <c r="Z2290" i="1"/>
  <c r="A2291" i="1"/>
  <c r="B2291" i="1"/>
  <c r="C2291" i="1"/>
  <c r="D2291" i="1"/>
  <c r="E2291" i="1"/>
  <c r="F2291" i="1"/>
  <c r="G2291" i="1"/>
  <c r="I2291" i="1"/>
  <c r="J2291" i="1"/>
  <c r="K2291" i="1"/>
  <c r="L2291" i="1"/>
  <c r="M2291" i="1"/>
  <c r="N2291" i="1"/>
  <c r="O2291" i="1"/>
  <c r="P2291" i="1"/>
  <c r="Q2291" i="1"/>
  <c r="R2291" i="1"/>
  <c r="S2291" i="1"/>
  <c r="T2291" i="1"/>
  <c r="U2291" i="1"/>
  <c r="V2291" i="1"/>
  <c r="W2291" i="1"/>
  <c r="X2291" i="1"/>
  <c r="Y2291" i="1"/>
  <c r="Z2291" i="1"/>
  <c r="A2292" i="1"/>
  <c r="B2292" i="1"/>
  <c r="C2292" i="1"/>
  <c r="D2292" i="1"/>
  <c r="E2292" i="1"/>
  <c r="F2292" i="1"/>
  <c r="G2292" i="1"/>
  <c r="I2292" i="1"/>
  <c r="J2292" i="1"/>
  <c r="K2292" i="1"/>
  <c r="L2292" i="1"/>
  <c r="M2292" i="1"/>
  <c r="N2292" i="1"/>
  <c r="O2292" i="1"/>
  <c r="P2292" i="1"/>
  <c r="Q2292" i="1"/>
  <c r="R2292" i="1"/>
  <c r="S2292" i="1"/>
  <c r="T2292" i="1"/>
  <c r="U2292" i="1"/>
  <c r="V2292" i="1"/>
  <c r="W2292" i="1"/>
  <c r="X2292" i="1"/>
  <c r="Y2292" i="1"/>
  <c r="Z2292" i="1"/>
  <c r="A2293" i="1"/>
  <c r="B2293" i="1"/>
  <c r="C2293" i="1"/>
  <c r="D2293" i="1"/>
  <c r="E2293" i="1"/>
  <c r="F2293" i="1"/>
  <c r="G2293" i="1"/>
  <c r="I2293" i="1"/>
  <c r="J2293" i="1"/>
  <c r="K2293" i="1"/>
  <c r="L2293" i="1"/>
  <c r="M2293" i="1"/>
  <c r="N2293" i="1"/>
  <c r="O2293" i="1"/>
  <c r="P2293" i="1"/>
  <c r="Q2293" i="1"/>
  <c r="R2293" i="1"/>
  <c r="S2293" i="1"/>
  <c r="T2293" i="1"/>
  <c r="U2293" i="1"/>
  <c r="V2293" i="1"/>
  <c r="W2293" i="1"/>
  <c r="X2293" i="1"/>
  <c r="Y2293" i="1"/>
  <c r="Z2293" i="1"/>
  <c r="A2294" i="1"/>
  <c r="B2294" i="1"/>
  <c r="C2294" i="1"/>
  <c r="D2294" i="1"/>
  <c r="E2294" i="1"/>
  <c r="F2294" i="1"/>
  <c r="G2294" i="1"/>
  <c r="I2294" i="1"/>
  <c r="J2294" i="1"/>
  <c r="K2294" i="1"/>
  <c r="L2294" i="1"/>
  <c r="M2294" i="1"/>
  <c r="N2294" i="1"/>
  <c r="O2294" i="1"/>
  <c r="P2294" i="1"/>
  <c r="Q2294" i="1"/>
  <c r="R2294" i="1"/>
  <c r="S2294" i="1"/>
  <c r="T2294" i="1"/>
  <c r="U2294" i="1"/>
  <c r="V2294" i="1"/>
  <c r="W2294" i="1"/>
  <c r="X2294" i="1"/>
  <c r="Y2294" i="1"/>
  <c r="Z2294" i="1"/>
  <c r="A2295" i="1"/>
  <c r="B2295" i="1"/>
  <c r="C2295" i="1"/>
  <c r="D2295" i="1"/>
  <c r="E2295" i="1"/>
  <c r="F2295" i="1"/>
  <c r="G2295" i="1"/>
  <c r="I2295" i="1"/>
  <c r="J2295" i="1"/>
  <c r="K2295" i="1"/>
  <c r="L2295" i="1"/>
  <c r="M2295" i="1"/>
  <c r="N2295" i="1"/>
  <c r="O2295" i="1"/>
  <c r="P2295" i="1"/>
  <c r="Q2295" i="1"/>
  <c r="R2295" i="1"/>
  <c r="S2295" i="1"/>
  <c r="T2295" i="1"/>
  <c r="U2295" i="1"/>
  <c r="V2295" i="1"/>
  <c r="W2295" i="1"/>
  <c r="X2295" i="1"/>
  <c r="Y2295" i="1"/>
  <c r="Z2295" i="1"/>
  <c r="A2296" i="1"/>
  <c r="B2296" i="1"/>
  <c r="C2296" i="1"/>
  <c r="D2296" i="1"/>
  <c r="E2296" i="1"/>
  <c r="F2296" i="1"/>
  <c r="G2296" i="1"/>
  <c r="I2296" i="1"/>
  <c r="J2296" i="1"/>
  <c r="K2296" i="1"/>
  <c r="L2296" i="1"/>
  <c r="M2296" i="1"/>
  <c r="N2296" i="1"/>
  <c r="O2296" i="1"/>
  <c r="P2296" i="1"/>
  <c r="Q2296" i="1"/>
  <c r="R2296" i="1"/>
  <c r="S2296" i="1"/>
  <c r="T2296" i="1"/>
  <c r="U2296" i="1"/>
  <c r="V2296" i="1"/>
  <c r="W2296" i="1"/>
  <c r="X2296" i="1"/>
  <c r="Y2296" i="1"/>
  <c r="Z2296" i="1"/>
  <c r="A2297" i="1"/>
  <c r="B2297" i="1"/>
  <c r="C2297" i="1"/>
  <c r="D2297" i="1"/>
  <c r="E2297" i="1"/>
  <c r="F2297" i="1"/>
  <c r="G2297" i="1"/>
  <c r="I2297" i="1"/>
  <c r="J2297" i="1"/>
  <c r="K2297" i="1"/>
  <c r="L2297" i="1"/>
  <c r="M2297" i="1"/>
  <c r="N2297" i="1"/>
  <c r="O2297" i="1"/>
  <c r="P2297" i="1"/>
  <c r="Q2297" i="1"/>
  <c r="R2297" i="1"/>
  <c r="S2297" i="1"/>
  <c r="T2297" i="1"/>
  <c r="U2297" i="1"/>
  <c r="V2297" i="1"/>
  <c r="W2297" i="1"/>
  <c r="X2297" i="1"/>
  <c r="Y2297" i="1"/>
  <c r="Z2297" i="1"/>
  <c r="A2298" i="1"/>
  <c r="B2298" i="1"/>
  <c r="C2298" i="1"/>
  <c r="D2298" i="1"/>
  <c r="E2298" i="1"/>
  <c r="F2298" i="1"/>
  <c r="G2298" i="1"/>
  <c r="I2298" i="1"/>
  <c r="J2298" i="1"/>
  <c r="K2298" i="1"/>
  <c r="L2298" i="1"/>
  <c r="M2298" i="1"/>
  <c r="N2298" i="1"/>
  <c r="O2298" i="1"/>
  <c r="P2298" i="1"/>
  <c r="Q2298" i="1"/>
  <c r="R2298" i="1"/>
  <c r="S2298" i="1"/>
  <c r="T2298" i="1"/>
  <c r="U2298" i="1"/>
  <c r="V2298" i="1"/>
  <c r="W2298" i="1"/>
  <c r="X2298" i="1"/>
  <c r="Y2298" i="1"/>
  <c r="Z2298" i="1"/>
  <c r="A2299" i="1"/>
  <c r="B2299" i="1"/>
  <c r="C2299" i="1"/>
  <c r="D2299" i="1"/>
  <c r="E2299" i="1"/>
  <c r="F2299" i="1"/>
  <c r="G2299" i="1"/>
  <c r="I2299" i="1"/>
  <c r="J2299" i="1"/>
  <c r="K2299" i="1"/>
  <c r="L2299" i="1"/>
  <c r="M2299" i="1"/>
  <c r="N2299" i="1"/>
  <c r="O2299" i="1"/>
  <c r="P2299" i="1"/>
  <c r="Q2299" i="1"/>
  <c r="R2299" i="1"/>
  <c r="S2299" i="1"/>
  <c r="T2299" i="1"/>
  <c r="U2299" i="1"/>
  <c r="V2299" i="1"/>
  <c r="W2299" i="1"/>
  <c r="X2299" i="1"/>
  <c r="Y2299" i="1"/>
  <c r="Z2299" i="1"/>
  <c r="A2300" i="1"/>
  <c r="B2300" i="1"/>
  <c r="C2300" i="1"/>
  <c r="D2300" i="1"/>
  <c r="E2300" i="1"/>
  <c r="F2300" i="1"/>
  <c r="G2300" i="1"/>
  <c r="I2300" i="1"/>
  <c r="J2300" i="1"/>
  <c r="K2300" i="1"/>
  <c r="L2300" i="1"/>
  <c r="M2300" i="1"/>
  <c r="N2300" i="1"/>
  <c r="O2300" i="1"/>
  <c r="P2300" i="1"/>
  <c r="Q2300" i="1"/>
  <c r="R2300" i="1"/>
  <c r="S2300" i="1"/>
  <c r="T2300" i="1"/>
  <c r="U2300" i="1"/>
  <c r="V2300" i="1"/>
  <c r="W2300" i="1"/>
  <c r="X2300" i="1"/>
  <c r="Y2300" i="1"/>
  <c r="Z2300" i="1"/>
  <c r="A2301" i="1"/>
  <c r="B2301" i="1"/>
  <c r="C2301" i="1"/>
  <c r="D2301" i="1"/>
  <c r="E2301" i="1"/>
  <c r="F2301" i="1"/>
  <c r="G2301" i="1"/>
  <c r="I2301" i="1"/>
  <c r="J2301" i="1"/>
  <c r="K2301" i="1"/>
  <c r="L2301" i="1"/>
  <c r="M2301" i="1"/>
  <c r="N2301" i="1"/>
  <c r="O2301" i="1"/>
  <c r="P2301" i="1"/>
  <c r="Q2301" i="1"/>
  <c r="R2301" i="1"/>
  <c r="S2301" i="1"/>
  <c r="T2301" i="1"/>
  <c r="U2301" i="1"/>
  <c r="V2301" i="1"/>
  <c r="W2301" i="1"/>
  <c r="X2301" i="1"/>
  <c r="Y2301" i="1"/>
  <c r="Z2301" i="1"/>
  <c r="A2302" i="1"/>
  <c r="B2302" i="1"/>
  <c r="C2302" i="1"/>
  <c r="D2302" i="1"/>
  <c r="E2302" i="1"/>
  <c r="F2302" i="1"/>
  <c r="G2302" i="1"/>
  <c r="I2302" i="1"/>
  <c r="J2302" i="1"/>
  <c r="K2302" i="1"/>
  <c r="L2302" i="1"/>
  <c r="M2302" i="1"/>
  <c r="N2302" i="1"/>
  <c r="O2302" i="1"/>
  <c r="P2302" i="1"/>
  <c r="Q2302" i="1"/>
  <c r="R2302" i="1"/>
  <c r="S2302" i="1"/>
  <c r="T2302" i="1"/>
  <c r="U2302" i="1"/>
  <c r="V2302" i="1"/>
  <c r="W2302" i="1"/>
  <c r="X2302" i="1"/>
  <c r="Y2302" i="1"/>
  <c r="Z2302" i="1"/>
  <c r="A2303" i="1"/>
  <c r="B2303" i="1"/>
  <c r="C2303" i="1"/>
  <c r="D2303" i="1"/>
  <c r="E2303" i="1"/>
  <c r="F2303" i="1"/>
  <c r="G2303" i="1"/>
  <c r="I2303" i="1"/>
  <c r="J2303" i="1"/>
  <c r="K2303" i="1"/>
  <c r="L2303" i="1"/>
  <c r="M2303" i="1"/>
  <c r="N2303" i="1"/>
  <c r="O2303" i="1"/>
  <c r="P2303" i="1"/>
  <c r="Q2303" i="1"/>
  <c r="R2303" i="1"/>
  <c r="S2303" i="1"/>
  <c r="T2303" i="1"/>
  <c r="U2303" i="1"/>
  <c r="V2303" i="1"/>
  <c r="W2303" i="1"/>
  <c r="X2303" i="1"/>
  <c r="Y2303" i="1"/>
  <c r="Z2303" i="1"/>
  <c r="A2304" i="1"/>
  <c r="B2304" i="1"/>
  <c r="C2304" i="1"/>
  <c r="D2304" i="1"/>
  <c r="E2304" i="1"/>
  <c r="F2304" i="1"/>
  <c r="G2304" i="1"/>
  <c r="I2304" i="1"/>
  <c r="J2304" i="1"/>
  <c r="K2304" i="1"/>
  <c r="L2304" i="1"/>
  <c r="M2304" i="1"/>
  <c r="N2304" i="1"/>
  <c r="O2304" i="1"/>
  <c r="P2304" i="1"/>
  <c r="Q2304" i="1"/>
  <c r="R2304" i="1"/>
  <c r="S2304" i="1"/>
  <c r="T2304" i="1"/>
  <c r="U2304" i="1"/>
  <c r="V2304" i="1"/>
  <c r="W2304" i="1"/>
  <c r="X2304" i="1"/>
  <c r="Y2304" i="1"/>
  <c r="Z2304" i="1"/>
  <c r="A2305" i="1"/>
  <c r="B2305" i="1"/>
  <c r="C2305" i="1"/>
  <c r="D2305" i="1"/>
  <c r="E2305" i="1"/>
  <c r="F2305" i="1"/>
  <c r="G2305" i="1"/>
  <c r="I2305" i="1"/>
  <c r="J2305" i="1"/>
  <c r="K2305" i="1"/>
  <c r="L2305" i="1"/>
  <c r="M2305" i="1"/>
  <c r="N2305" i="1"/>
  <c r="O2305" i="1"/>
  <c r="P2305" i="1"/>
  <c r="Q2305" i="1"/>
  <c r="R2305" i="1"/>
  <c r="S2305" i="1"/>
  <c r="T2305" i="1"/>
  <c r="U2305" i="1"/>
  <c r="V2305" i="1"/>
  <c r="W2305" i="1"/>
  <c r="X2305" i="1"/>
  <c r="Y2305" i="1"/>
  <c r="Z2305" i="1"/>
  <c r="A2306" i="1"/>
  <c r="B2306" i="1"/>
  <c r="C2306" i="1"/>
  <c r="D2306" i="1"/>
  <c r="E2306" i="1"/>
  <c r="F2306" i="1"/>
  <c r="G2306" i="1"/>
  <c r="I2306" i="1"/>
  <c r="J2306" i="1"/>
  <c r="K2306" i="1"/>
  <c r="L2306" i="1"/>
  <c r="M2306" i="1"/>
  <c r="N2306" i="1"/>
  <c r="O2306" i="1"/>
  <c r="P2306" i="1"/>
  <c r="Q2306" i="1"/>
  <c r="R2306" i="1"/>
  <c r="S2306" i="1"/>
  <c r="T2306" i="1"/>
  <c r="U2306" i="1"/>
  <c r="V2306" i="1"/>
  <c r="W2306" i="1"/>
  <c r="X2306" i="1"/>
  <c r="Y2306" i="1"/>
  <c r="Z2306" i="1"/>
  <c r="A2307" i="1"/>
  <c r="B2307" i="1"/>
  <c r="C2307" i="1"/>
  <c r="D2307" i="1"/>
  <c r="E2307" i="1"/>
  <c r="F2307" i="1"/>
  <c r="G2307" i="1"/>
  <c r="I2307" i="1"/>
  <c r="J2307" i="1"/>
  <c r="K2307" i="1"/>
  <c r="L2307" i="1"/>
  <c r="M2307" i="1"/>
  <c r="N2307" i="1"/>
  <c r="O2307" i="1"/>
  <c r="P2307" i="1"/>
  <c r="Q2307" i="1"/>
  <c r="R2307" i="1"/>
  <c r="S2307" i="1"/>
  <c r="T2307" i="1"/>
  <c r="U2307" i="1"/>
  <c r="V2307" i="1"/>
  <c r="W2307" i="1"/>
  <c r="X2307" i="1"/>
  <c r="Y2307" i="1"/>
  <c r="Z2307" i="1"/>
  <c r="A2308" i="1"/>
  <c r="B2308" i="1"/>
  <c r="C2308" i="1"/>
  <c r="D2308" i="1"/>
  <c r="E2308" i="1"/>
  <c r="F2308" i="1"/>
  <c r="G2308" i="1"/>
  <c r="I2308" i="1"/>
  <c r="J2308" i="1"/>
  <c r="K2308" i="1"/>
  <c r="L2308" i="1"/>
  <c r="M2308" i="1"/>
  <c r="N2308" i="1"/>
  <c r="O2308" i="1"/>
  <c r="P2308" i="1"/>
  <c r="Q2308" i="1"/>
  <c r="R2308" i="1"/>
  <c r="S2308" i="1"/>
  <c r="T2308" i="1"/>
  <c r="U2308" i="1"/>
  <c r="V2308" i="1"/>
  <c r="W2308" i="1"/>
  <c r="X2308" i="1"/>
  <c r="Y2308" i="1"/>
  <c r="Z2308" i="1"/>
  <c r="A2309" i="1"/>
  <c r="B2309" i="1"/>
  <c r="C2309" i="1"/>
  <c r="D2309" i="1"/>
  <c r="E2309" i="1"/>
  <c r="F2309" i="1"/>
  <c r="G2309" i="1"/>
  <c r="I2309" i="1"/>
  <c r="J2309" i="1"/>
  <c r="K2309" i="1"/>
  <c r="L2309" i="1"/>
  <c r="M2309" i="1"/>
  <c r="N2309" i="1"/>
  <c r="O2309" i="1"/>
  <c r="P2309" i="1"/>
  <c r="Q2309" i="1"/>
  <c r="R2309" i="1"/>
  <c r="S2309" i="1"/>
  <c r="T2309" i="1"/>
  <c r="U2309" i="1"/>
  <c r="V2309" i="1"/>
  <c r="W2309" i="1"/>
  <c r="X2309" i="1"/>
  <c r="Y2309" i="1"/>
  <c r="Z2309" i="1"/>
  <c r="A2310" i="1"/>
  <c r="B2310" i="1"/>
  <c r="C2310" i="1"/>
  <c r="D2310" i="1"/>
  <c r="E2310" i="1"/>
  <c r="F2310" i="1"/>
  <c r="G2310" i="1"/>
  <c r="I2310" i="1"/>
  <c r="J2310" i="1"/>
  <c r="K2310" i="1"/>
  <c r="L2310" i="1"/>
  <c r="M2310" i="1"/>
  <c r="N2310" i="1"/>
  <c r="O2310" i="1"/>
  <c r="P2310" i="1"/>
  <c r="Q2310" i="1"/>
  <c r="R2310" i="1"/>
  <c r="S2310" i="1"/>
  <c r="T2310" i="1"/>
  <c r="U2310" i="1"/>
  <c r="V2310" i="1"/>
  <c r="W2310" i="1"/>
  <c r="X2310" i="1"/>
  <c r="Y2310" i="1"/>
  <c r="Z2310" i="1"/>
  <c r="A2311" i="1"/>
  <c r="B2311" i="1"/>
  <c r="C2311" i="1"/>
  <c r="D2311" i="1"/>
  <c r="E2311" i="1"/>
  <c r="F2311" i="1"/>
  <c r="G2311" i="1"/>
  <c r="I2311" i="1"/>
  <c r="J2311" i="1"/>
  <c r="K2311" i="1"/>
  <c r="L2311" i="1"/>
  <c r="M2311" i="1"/>
  <c r="N2311" i="1"/>
  <c r="O2311" i="1"/>
  <c r="P2311" i="1"/>
  <c r="Q2311" i="1"/>
  <c r="R2311" i="1"/>
  <c r="S2311" i="1"/>
  <c r="T2311" i="1"/>
  <c r="U2311" i="1"/>
  <c r="V2311" i="1"/>
  <c r="W2311" i="1"/>
  <c r="X2311" i="1"/>
  <c r="Y2311" i="1"/>
  <c r="Z2311" i="1"/>
  <c r="A2312" i="1"/>
  <c r="B2312" i="1"/>
  <c r="C2312" i="1"/>
  <c r="D2312" i="1"/>
  <c r="E2312" i="1"/>
  <c r="F2312" i="1"/>
  <c r="G2312" i="1"/>
  <c r="I2312" i="1"/>
  <c r="J2312" i="1"/>
  <c r="K2312" i="1"/>
  <c r="L2312" i="1"/>
  <c r="M2312" i="1"/>
  <c r="N2312" i="1"/>
  <c r="O2312" i="1"/>
  <c r="P2312" i="1"/>
  <c r="Q2312" i="1"/>
  <c r="R2312" i="1"/>
  <c r="S2312" i="1"/>
  <c r="T2312" i="1"/>
  <c r="U2312" i="1"/>
  <c r="V2312" i="1"/>
  <c r="W2312" i="1"/>
  <c r="X2312" i="1"/>
  <c r="Y2312" i="1"/>
  <c r="Z2312" i="1"/>
  <c r="A2313" i="1"/>
  <c r="B2313" i="1"/>
  <c r="C2313" i="1"/>
  <c r="D2313" i="1"/>
  <c r="E2313" i="1"/>
  <c r="F2313" i="1"/>
  <c r="G2313" i="1"/>
  <c r="I2313" i="1"/>
  <c r="J2313" i="1"/>
  <c r="K2313" i="1"/>
  <c r="L2313" i="1"/>
  <c r="M2313" i="1"/>
  <c r="N2313" i="1"/>
  <c r="O2313" i="1"/>
  <c r="P2313" i="1"/>
  <c r="Q2313" i="1"/>
  <c r="R2313" i="1"/>
  <c r="S2313" i="1"/>
  <c r="T2313" i="1"/>
  <c r="U2313" i="1"/>
  <c r="V2313" i="1"/>
  <c r="W2313" i="1"/>
  <c r="X2313" i="1"/>
  <c r="Y2313" i="1"/>
  <c r="Z2313" i="1"/>
  <c r="A2314" i="1"/>
  <c r="B2314" i="1"/>
  <c r="C2314" i="1"/>
  <c r="D2314" i="1"/>
  <c r="E2314" i="1"/>
  <c r="F2314" i="1"/>
  <c r="G2314" i="1"/>
  <c r="I2314" i="1"/>
  <c r="J2314" i="1"/>
  <c r="K2314" i="1"/>
  <c r="L2314" i="1"/>
  <c r="M2314" i="1"/>
  <c r="N2314" i="1"/>
  <c r="O2314" i="1"/>
  <c r="P2314" i="1"/>
  <c r="Q2314" i="1"/>
  <c r="R2314" i="1"/>
  <c r="S2314" i="1"/>
  <c r="T2314" i="1"/>
  <c r="U2314" i="1"/>
  <c r="V2314" i="1"/>
  <c r="W2314" i="1"/>
  <c r="X2314" i="1"/>
  <c r="Y2314" i="1"/>
  <c r="Z2314" i="1"/>
  <c r="A2315" i="1"/>
  <c r="B2315" i="1"/>
  <c r="C2315" i="1"/>
  <c r="D2315" i="1"/>
  <c r="E2315" i="1"/>
  <c r="F2315" i="1"/>
  <c r="G2315" i="1"/>
  <c r="I2315" i="1"/>
  <c r="J2315" i="1"/>
  <c r="K2315" i="1"/>
  <c r="L2315" i="1"/>
  <c r="M2315" i="1"/>
  <c r="N2315" i="1"/>
  <c r="O2315" i="1"/>
  <c r="P2315" i="1"/>
  <c r="Q2315" i="1"/>
  <c r="R2315" i="1"/>
  <c r="S2315" i="1"/>
  <c r="T2315" i="1"/>
  <c r="U2315" i="1"/>
  <c r="V2315" i="1"/>
  <c r="W2315" i="1"/>
  <c r="X2315" i="1"/>
  <c r="Y2315" i="1"/>
  <c r="Z2315" i="1"/>
  <c r="A2316" i="1"/>
  <c r="B2316" i="1"/>
  <c r="C2316" i="1"/>
  <c r="D2316" i="1"/>
  <c r="E2316" i="1"/>
  <c r="F2316" i="1"/>
  <c r="G2316" i="1"/>
  <c r="I2316" i="1"/>
  <c r="J2316" i="1"/>
  <c r="K2316" i="1"/>
  <c r="L2316" i="1"/>
  <c r="M2316" i="1"/>
  <c r="N2316" i="1"/>
  <c r="O2316" i="1"/>
  <c r="P2316" i="1"/>
  <c r="Q2316" i="1"/>
  <c r="R2316" i="1"/>
  <c r="S2316" i="1"/>
  <c r="T2316" i="1"/>
  <c r="U2316" i="1"/>
  <c r="V2316" i="1"/>
  <c r="W2316" i="1"/>
  <c r="X2316" i="1"/>
  <c r="Y2316" i="1"/>
  <c r="Z2316" i="1"/>
  <c r="A2317" i="1"/>
  <c r="B2317" i="1"/>
  <c r="C2317" i="1"/>
  <c r="D2317" i="1"/>
  <c r="E2317" i="1"/>
  <c r="F2317" i="1"/>
  <c r="G2317" i="1"/>
  <c r="I2317" i="1"/>
  <c r="J2317" i="1"/>
  <c r="K2317" i="1"/>
  <c r="L2317" i="1"/>
  <c r="M2317" i="1"/>
  <c r="N2317" i="1"/>
  <c r="O2317" i="1"/>
  <c r="P2317" i="1"/>
  <c r="Q2317" i="1"/>
  <c r="R2317" i="1"/>
  <c r="S2317" i="1"/>
  <c r="T2317" i="1"/>
  <c r="U2317" i="1"/>
  <c r="V2317" i="1"/>
  <c r="W2317" i="1"/>
  <c r="X2317" i="1"/>
  <c r="Y2317" i="1"/>
  <c r="Z2317" i="1"/>
  <c r="A2318" i="1"/>
  <c r="B2318" i="1"/>
  <c r="C2318" i="1"/>
  <c r="D2318" i="1"/>
  <c r="E2318" i="1"/>
  <c r="F2318" i="1"/>
  <c r="G2318" i="1"/>
  <c r="I2318" i="1"/>
  <c r="J2318" i="1"/>
  <c r="K2318" i="1"/>
  <c r="L2318" i="1"/>
  <c r="M2318" i="1"/>
  <c r="N2318" i="1"/>
  <c r="O2318" i="1"/>
  <c r="P2318" i="1"/>
  <c r="Q2318" i="1"/>
  <c r="R2318" i="1"/>
  <c r="S2318" i="1"/>
  <c r="T2318" i="1"/>
  <c r="U2318" i="1"/>
  <c r="V2318" i="1"/>
  <c r="W2318" i="1"/>
  <c r="X2318" i="1"/>
  <c r="Y2318" i="1"/>
  <c r="Z2318" i="1"/>
  <c r="A2319" i="1"/>
  <c r="B2319" i="1"/>
  <c r="C2319" i="1"/>
  <c r="D2319" i="1"/>
  <c r="E2319" i="1"/>
  <c r="F2319" i="1"/>
  <c r="G2319" i="1"/>
  <c r="I2319" i="1"/>
  <c r="J2319" i="1"/>
  <c r="K2319" i="1"/>
  <c r="L2319" i="1"/>
  <c r="M2319" i="1"/>
  <c r="N2319" i="1"/>
  <c r="O2319" i="1"/>
  <c r="P2319" i="1"/>
  <c r="Q2319" i="1"/>
  <c r="R2319" i="1"/>
  <c r="S2319" i="1"/>
  <c r="T2319" i="1"/>
  <c r="U2319" i="1"/>
  <c r="V2319" i="1"/>
  <c r="W2319" i="1"/>
  <c r="X2319" i="1"/>
  <c r="Y2319" i="1"/>
  <c r="Z2319" i="1"/>
  <c r="A2320" i="1"/>
  <c r="B2320" i="1"/>
  <c r="C2320" i="1"/>
  <c r="D2320" i="1"/>
  <c r="E2320" i="1"/>
  <c r="F2320" i="1"/>
  <c r="G2320" i="1"/>
  <c r="I2320" i="1"/>
  <c r="J2320" i="1"/>
  <c r="K2320" i="1"/>
  <c r="L2320" i="1"/>
  <c r="M2320" i="1"/>
  <c r="N2320" i="1"/>
  <c r="O2320" i="1"/>
  <c r="P2320" i="1"/>
  <c r="Q2320" i="1"/>
  <c r="R2320" i="1"/>
  <c r="S2320" i="1"/>
  <c r="T2320" i="1"/>
  <c r="U2320" i="1"/>
  <c r="V2320" i="1"/>
  <c r="W2320" i="1"/>
  <c r="X2320" i="1"/>
  <c r="Y2320" i="1"/>
  <c r="Z2320" i="1"/>
  <c r="A2321" i="1"/>
  <c r="B2321" i="1"/>
  <c r="C2321" i="1"/>
  <c r="D2321" i="1"/>
  <c r="E2321" i="1"/>
  <c r="F2321" i="1"/>
  <c r="G2321" i="1"/>
  <c r="I2321" i="1"/>
  <c r="J2321" i="1"/>
  <c r="K2321" i="1"/>
  <c r="L2321" i="1"/>
  <c r="M2321" i="1"/>
  <c r="N2321" i="1"/>
  <c r="O2321" i="1"/>
  <c r="P2321" i="1"/>
  <c r="Q2321" i="1"/>
  <c r="R2321" i="1"/>
  <c r="S2321" i="1"/>
  <c r="T2321" i="1"/>
  <c r="U2321" i="1"/>
  <c r="V2321" i="1"/>
  <c r="W2321" i="1"/>
  <c r="X2321" i="1"/>
  <c r="Y2321" i="1"/>
  <c r="Z2321" i="1"/>
  <c r="A2322" i="1"/>
  <c r="B2322" i="1"/>
  <c r="C2322" i="1"/>
  <c r="D2322" i="1"/>
  <c r="E2322" i="1"/>
  <c r="F2322" i="1"/>
  <c r="G2322" i="1"/>
  <c r="I2322" i="1"/>
  <c r="J2322" i="1"/>
  <c r="K2322" i="1"/>
  <c r="L2322" i="1"/>
  <c r="M2322" i="1"/>
  <c r="N2322" i="1"/>
  <c r="O2322" i="1"/>
  <c r="P2322" i="1"/>
  <c r="Q2322" i="1"/>
  <c r="R2322" i="1"/>
  <c r="S2322" i="1"/>
  <c r="T2322" i="1"/>
  <c r="U2322" i="1"/>
  <c r="V2322" i="1"/>
  <c r="W2322" i="1"/>
  <c r="X2322" i="1"/>
  <c r="Y2322" i="1"/>
  <c r="Z2322" i="1"/>
  <c r="A2323" i="1"/>
  <c r="B2323" i="1"/>
  <c r="C2323" i="1"/>
  <c r="D2323" i="1"/>
  <c r="E2323" i="1"/>
  <c r="F2323" i="1"/>
  <c r="G2323" i="1"/>
  <c r="I2323" i="1"/>
  <c r="J2323" i="1"/>
  <c r="K2323" i="1"/>
  <c r="L2323" i="1"/>
  <c r="M2323" i="1"/>
  <c r="N2323" i="1"/>
  <c r="O2323" i="1"/>
  <c r="P2323" i="1"/>
  <c r="Q2323" i="1"/>
  <c r="R2323" i="1"/>
  <c r="S2323" i="1"/>
  <c r="T2323" i="1"/>
  <c r="U2323" i="1"/>
  <c r="V2323" i="1"/>
  <c r="W2323" i="1"/>
  <c r="X2323" i="1"/>
  <c r="Y2323" i="1"/>
  <c r="Z2323" i="1"/>
  <c r="A2324" i="1"/>
  <c r="B2324" i="1"/>
  <c r="C2324" i="1"/>
  <c r="D2324" i="1"/>
  <c r="E2324" i="1"/>
  <c r="F2324" i="1"/>
  <c r="G2324" i="1"/>
  <c r="I2324" i="1"/>
  <c r="J2324" i="1"/>
  <c r="K2324" i="1"/>
  <c r="L2324" i="1"/>
  <c r="M2324" i="1"/>
  <c r="N2324" i="1"/>
  <c r="O2324" i="1"/>
  <c r="P2324" i="1"/>
  <c r="Q2324" i="1"/>
  <c r="R2324" i="1"/>
  <c r="S2324" i="1"/>
  <c r="T2324" i="1"/>
  <c r="U2324" i="1"/>
  <c r="V2324" i="1"/>
  <c r="W2324" i="1"/>
  <c r="X2324" i="1"/>
  <c r="Y2324" i="1"/>
  <c r="Z2324" i="1"/>
  <c r="A2325" i="1"/>
  <c r="B2325" i="1"/>
  <c r="C2325" i="1"/>
  <c r="D2325" i="1"/>
  <c r="E2325" i="1"/>
  <c r="F2325" i="1"/>
  <c r="G2325" i="1"/>
  <c r="I2325" i="1"/>
  <c r="J2325" i="1"/>
  <c r="K2325" i="1"/>
  <c r="L2325" i="1"/>
  <c r="M2325" i="1"/>
  <c r="N2325" i="1"/>
  <c r="O2325" i="1"/>
  <c r="P2325" i="1"/>
  <c r="Q2325" i="1"/>
  <c r="R2325" i="1"/>
  <c r="S2325" i="1"/>
  <c r="T2325" i="1"/>
  <c r="U2325" i="1"/>
  <c r="V2325" i="1"/>
  <c r="W2325" i="1"/>
  <c r="X2325" i="1"/>
  <c r="Y2325" i="1"/>
  <c r="Z2325" i="1"/>
  <c r="A2326" i="1"/>
  <c r="B2326" i="1"/>
  <c r="C2326" i="1"/>
  <c r="D2326" i="1"/>
  <c r="E2326" i="1"/>
  <c r="F2326" i="1"/>
  <c r="G2326" i="1"/>
  <c r="I2326" i="1"/>
  <c r="J2326" i="1"/>
  <c r="K2326" i="1"/>
  <c r="L2326" i="1"/>
  <c r="M2326" i="1"/>
  <c r="N2326" i="1"/>
  <c r="O2326" i="1"/>
  <c r="P2326" i="1"/>
  <c r="Q2326" i="1"/>
  <c r="R2326" i="1"/>
  <c r="S2326" i="1"/>
  <c r="T2326" i="1"/>
  <c r="U2326" i="1"/>
  <c r="V2326" i="1"/>
  <c r="W2326" i="1"/>
  <c r="X2326" i="1"/>
  <c r="Y2326" i="1"/>
  <c r="Z2326" i="1"/>
  <c r="A2327" i="1"/>
  <c r="B2327" i="1"/>
  <c r="C2327" i="1"/>
  <c r="D2327" i="1"/>
  <c r="E2327" i="1"/>
  <c r="F2327" i="1"/>
  <c r="G2327" i="1"/>
  <c r="I2327" i="1"/>
  <c r="J2327" i="1"/>
  <c r="K2327" i="1"/>
  <c r="L2327" i="1"/>
  <c r="M2327" i="1"/>
  <c r="N2327" i="1"/>
  <c r="O2327" i="1"/>
  <c r="P2327" i="1"/>
  <c r="Q2327" i="1"/>
  <c r="R2327" i="1"/>
  <c r="S2327" i="1"/>
  <c r="T2327" i="1"/>
  <c r="U2327" i="1"/>
  <c r="V2327" i="1"/>
  <c r="W2327" i="1"/>
  <c r="X2327" i="1"/>
  <c r="Y2327" i="1"/>
  <c r="Z2327" i="1"/>
  <c r="A2328" i="1"/>
  <c r="B2328" i="1"/>
  <c r="C2328" i="1"/>
  <c r="D2328" i="1"/>
  <c r="E2328" i="1"/>
  <c r="F2328" i="1"/>
  <c r="G2328" i="1"/>
  <c r="I2328" i="1"/>
  <c r="J2328" i="1"/>
  <c r="K2328" i="1"/>
  <c r="L2328" i="1"/>
  <c r="M2328" i="1"/>
  <c r="N2328" i="1"/>
  <c r="O2328" i="1"/>
  <c r="P2328" i="1"/>
  <c r="Q2328" i="1"/>
  <c r="R2328" i="1"/>
  <c r="S2328" i="1"/>
  <c r="T2328" i="1"/>
  <c r="U2328" i="1"/>
  <c r="V2328" i="1"/>
  <c r="W2328" i="1"/>
  <c r="X2328" i="1"/>
  <c r="Y2328" i="1"/>
  <c r="Z2328" i="1"/>
  <c r="A2329" i="1"/>
  <c r="B2329" i="1"/>
  <c r="C2329" i="1"/>
  <c r="D2329" i="1"/>
  <c r="E2329" i="1"/>
  <c r="F2329" i="1"/>
  <c r="G2329" i="1"/>
  <c r="I2329" i="1"/>
  <c r="J2329" i="1"/>
  <c r="K2329" i="1"/>
  <c r="L2329" i="1"/>
  <c r="M2329" i="1"/>
  <c r="N2329" i="1"/>
  <c r="O2329" i="1"/>
  <c r="P2329" i="1"/>
  <c r="Q2329" i="1"/>
  <c r="R2329" i="1"/>
  <c r="S2329" i="1"/>
  <c r="T2329" i="1"/>
  <c r="U2329" i="1"/>
  <c r="V2329" i="1"/>
  <c r="W2329" i="1"/>
  <c r="X2329" i="1"/>
  <c r="Y2329" i="1"/>
  <c r="Z2329" i="1"/>
  <c r="A2330" i="1"/>
  <c r="B2330" i="1"/>
  <c r="C2330" i="1"/>
  <c r="D2330" i="1"/>
  <c r="E2330" i="1"/>
  <c r="F2330" i="1"/>
  <c r="G2330" i="1"/>
  <c r="I2330" i="1"/>
  <c r="J2330" i="1"/>
  <c r="K2330" i="1"/>
  <c r="L2330" i="1"/>
  <c r="M2330" i="1"/>
  <c r="N2330" i="1"/>
  <c r="O2330" i="1"/>
  <c r="P2330" i="1"/>
  <c r="Q2330" i="1"/>
  <c r="R2330" i="1"/>
  <c r="S2330" i="1"/>
  <c r="T2330" i="1"/>
  <c r="U2330" i="1"/>
  <c r="V2330" i="1"/>
  <c r="W2330" i="1"/>
  <c r="X2330" i="1"/>
  <c r="Y2330" i="1"/>
  <c r="Z2330" i="1"/>
  <c r="A2331" i="1"/>
  <c r="B2331" i="1"/>
  <c r="C2331" i="1"/>
  <c r="D2331" i="1"/>
  <c r="E2331" i="1"/>
  <c r="F2331" i="1"/>
  <c r="G2331" i="1"/>
  <c r="I2331" i="1"/>
  <c r="J2331" i="1"/>
  <c r="K2331" i="1"/>
  <c r="L2331" i="1"/>
  <c r="M2331" i="1"/>
  <c r="N2331" i="1"/>
  <c r="O2331" i="1"/>
  <c r="P2331" i="1"/>
  <c r="Q2331" i="1"/>
  <c r="R2331" i="1"/>
  <c r="S2331" i="1"/>
  <c r="T2331" i="1"/>
  <c r="U2331" i="1"/>
  <c r="V2331" i="1"/>
  <c r="W2331" i="1"/>
  <c r="X2331" i="1"/>
  <c r="Y2331" i="1"/>
  <c r="Z2331" i="1"/>
  <c r="A2332" i="1"/>
  <c r="B2332" i="1"/>
  <c r="C2332" i="1"/>
  <c r="D2332" i="1"/>
  <c r="E2332" i="1"/>
  <c r="F2332" i="1"/>
  <c r="G2332" i="1"/>
  <c r="I2332" i="1"/>
  <c r="J2332" i="1"/>
  <c r="K2332" i="1"/>
  <c r="L2332" i="1"/>
  <c r="M2332" i="1"/>
  <c r="N2332" i="1"/>
  <c r="O2332" i="1"/>
  <c r="P2332" i="1"/>
  <c r="Q2332" i="1"/>
  <c r="R2332" i="1"/>
  <c r="S2332" i="1"/>
  <c r="T2332" i="1"/>
  <c r="U2332" i="1"/>
  <c r="V2332" i="1"/>
  <c r="W2332" i="1"/>
  <c r="X2332" i="1"/>
  <c r="Y2332" i="1"/>
  <c r="Z2332" i="1"/>
  <c r="A2333" i="1"/>
  <c r="B2333" i="1"/>
  <c r="C2333" i="1"/>
  <c r="D2333" i="1"/>
  <c r="E2333" i="1"/>
  <c r="F2333" i="1"/>
  <c r="G2333" i="1"/>
  <c r="I2333" i="1"/>
  <c r="J2333" i="1"/>
  <c r="K2333" i="1"/>
  <c r="L2333" i="1"/>
  <c r="M2333" i="1"/>
  <c r="N2333" i="1"/>
  <c r="O2333" i="1"/>
  <c r="P2333" i="1"/>
  <c r="Q2333" i="1"/>
  <c r="R2333" i="1"/>
  <c r="S2333" i="1"/>
  <c r="T2333" i="1"/>
  <c r="U2333" i="1"/>
  <c r="V2333" i="1"/>
  <c r="W2333" i="1"/>
  <c r="X2333" i="1"/>
  <c r="Y2333" i="1"/>
  <c r="Z2333" i="1"/>
  <c r="A2334" i="1"/>
  <c r="B2334" i="1"/>
  <c r="C2334" i="1"/>
  <c r="D2334" i="1"/>
  <c r="E2334" i="1"/>
  <c r="F2334" i="1"/>
  <c r="G2334" i="1"/>
  <c r="I2334" i="1"/>
  <c r="J2334" i="1"/>
  <c r="K2334" i="1"/>
  <c r="L2334" i="1"/>
  <c r="M2334" i="1"/>
  <c r="N2334" i="1"/>
  <c r="O2334" i="1"/>
  <c r="P2334" i="1"/>
  <c r="Q2334" i="1"/>
  <c r="R2334" i="1"/>
  <c r="S2334" i="1"/>
  <c r="T2334" i="1"/>
  <c r="U2334" i="1"/>
  <c r="V2334" i="1"/>
  <c r="W2334" i="1"/>
  <c r="X2334" i="1"/>
  <c r="Y2334" i="1"/>
  <c r="Z2334" i="1"/>
  <c r="A2335" i="1"/>
  <c r="B2335" i="1"/>
  <c r="C2335" i="1"/>
  <c r="D2335" i="1"/>
  <c r="E2335" i="1"/>
  <c r="F2335" i="1"/>
  <c r="G2335" i="1"/>
  <c r="I2335" i="1"/>
  <c r="J2335" i="1"/>
  <c r="K2335" i="1"/>
  <c r="L2335" i="1"/>
  <c r="M2335" i="1"/>
  <c r="N2335" i="1"/>
  <c r="O2335" i="1"/>
  <c r="P2335" i="1"/>
  <c r="Q2335" i="1"/>
  <c r="R2335" i="1"/>
  <c r="S2335" i="1"/>
  <c r="T2335" i="1"/>
  <c r="U2335" i="1"/>
  <c r="V2335" i="1"/>
  <c r="W2335" i="1"/>
  <c r="X2335" i="1"/>
  <c r="Y2335" i="1"/>
  <c r="Z2335" i="1"/>
  <c r="A2336" i="1"/>
  <c r="B2336" i="1"/>
  <c r="C2336" i="1"/>
  <c r="D2336" i="1"/>
  <c r="E2336" i="1"/>
  <c r="F2336" i="1"/>
  <c r="G2336" i="1"/>
  <c r="I2336" i="1"/>
  <c r="J2336" i="1"/>
  <c r="K2336" i="1"/>
  <c r="L2336" i="1"/>
  <c r="M2336" i="1"/>
  <c r="N2336" i="1"/>
  <c r="O2336" i="1"/>
  <c r="P2336" i="1"/>
  <c r="Q2336" i="1"/>
  <c r="R2336" i="1"/>
  <c r="S2336" i="1"/>
  <c r="T2336" i="1"/>
  <c r="U2336" i="1"/>
  <c r="V2336" i="1"/>
  <c r="W2336" i="1"/>
  <c r="X2336" i="1"/>
  <c r="Y2336" i="1"/>
  <c r="Z2336" i="1"/>
  <c r="A2337" i="1"/>
  <c r="B2337" i="1"/>
  <c r="C2337" i="1"/>
  <c r="D2337" i="1"/>
  <c r="E2337" i="1"/>
  <c r="F2337" i="1"/>
  <c r="G2337" i="1"/>
  <c r="I2337" i="1"/>
  <c r="J2337" i="1"/>
  <c r="K2337" i="1"/>
  <c r="L2337" i="1"/>
  <c r="M2337" i="1"/>
  <c r="N2337" i="1"/>
  <c r="O2337" i="1"/>
  <c r="P2337" i="1"/>
  <c r="Q2337" i="1"/>
  <c r="R2337" i="1"/>
  <c r="S2337" i="1"/>
  <c r="T2337" i="1"/>
  <c r="U2337" i="1"/>
  <c r="V2337" i="1"/>
  <c r="W2337" i="1"/>
  <c r="X2337" i="1"/>
  <c r="Y2337" i="1"/>
  <c r="Z2337" i="1"/>
  <c r="A2338" i="1"/>
  <c r="B2338" i="1"/>
  <c r="C2338" i="1"/>
  <c r="D2338" i="1"/>
  <c r="E2338" i="1"/>
  <c r="F2338" i="1"/>
  <c r="G2338" i="1"/>
  <c r="I2338" i="1"/>
  <c r="J2338" i="1"/>
  <c r="K2338" i="1"/>
  <c r="L2338" i="1"/>
  <c r="M2338" i="1"/>
  <c r="N2338" i="1"/>
  <c r="O2338" i="1"/>
  <c r="P2338" i="1"/>
  <c r="Q2338" i="1"/>
  <c r="R2338" i="1"/>
  <c r="S2338" i="1"/>
  <c r="T2338" i="1"/>
  <c r="U2338" i="1"/>
  <c r="V2338" i="1"/>
  <c r="W2338" i="1"/>
  <c r="X2338" i="1"/>
  <c r="Y2338" i="1"/>
  <c r="Z2338" i="1"/>
  <c r="A2339" i="1"/>
  <c r="B2339" i="1"/>
  <c r="C2339" i="1"/>
  <c r="D2339" i="1"/>
  <c r="E2339" i="1"/>
  <c r="F2339" i="1"/>
  <c r="G2339" i="1"/>
  <c r="I2339" i="1"/>
  <c r="J2339" i="1"/>
  <c r="K2339" i="1"/>
  <c r="L2339" i="1"/>
  <c r="M2339" i="1"/>
  <c r="N2339" i="1"/>
  <c r="O2339" i="1"/>
  <c r="P2339" i="1"/>
  <c r="Q2339" i="1"/>
  <c r="R2339" i="1"/>
  <c r="S2339" i="1"/>
  <c r="T2339" i="1"/>
  <c r="U2339" i="1"/>
  <c r="V2339" i="1"/>
  <c r="W2339" i="1"/>
  <c r="X2339" i="1"/>
  <c r="Y2339" i="1"/>
  <c r="Z2339" i="1"/>
  <c r="A2340" i="1"/>
  <c r="B2340" i="1"/>
  <c r="C2340" i="1"/>
  <c r="D2340" i="1"/>
  <c r="E2340" i="1"/>
  <c r="F2340" i="1"/>
  <c r="G2340" i="1"/>
  <c r="I2340" i="1"/>
  <c r="J2340" i="1"/>
  <c r="K2340" i="1"/>
  <c r="L2340" i="1"/>
  <c r="M2340" i="1"/>
  <c r="N2340" i="1"/>
  <c r="O2340" i="1"/>
  <c r="P2340" i="1"/>
  <c r="Q2340" i="1"/>
  <c r="R2340" i="1"/>
  <c r="S2340" i="1"/>
  <c r="T2340" i="1"/>
  <c r="U2340" i="1"/>
  <c r="V2340" i="1"/>
  <c r="W2340" i="1"/>
  <c r="X2340" i="1"/>
  <c r="Y2340" i="1"/>
  <c r="Z2340" i="1"/>
  <c r="A2341" i="1"/>
  <c r="B2341" i="1"/>
  <c r="C2341" i="1"/>
  <c r="D2341" i="1"/>
  <c r="E2341" i="1"/>
  <c r="F2341" i="1"/>
  <c r="G2341" i="1"/>
  <c r="I2341" i="1"/>
  <c r="J2341" i="1"/>
  <c r="K2341" i="1"/>
  <c r="L2341" i="1"/>
  <c r="M2341" i="1"/>
  <c r="N2341" i="1"/>
  <c r="O2341" i="1"/>
  <c r="P2341" i="1"/>
  <c r="Q2341" i="1"/>
  <c r="R2341" i="1"/>
  <c r="S2341" i="1"/>
  <c r="T2341" i="1"/>
  <c r="U2341" i="1"/>
  <c r="V2341" i="1"/>
  <c r="W2341" i="1"/>
  <c r="X2341" i="1"/>
  <c r="Y2341" i="1"/>
  <c r="Z2341" i="1"/>
  <c r="A2342" i="1"/>
  <c r="B2342" i="1"/>
  <c r="C2342" i="1"/>
  <c r="D2342" i="1"/>
  <c r="E2342" i="1"/>
  <c r="F2342" i="1"/>
  <c r="G2342" i="1"/>
  <c r="I2342" i="1"/>
  <c r="J2342" i="1"/>
  <c r="K2342" i="1"/>
  <c r="L2342" i="1"/>
  <c r="M2342" i="1"/>
  <c r="N2342" i="1"/>
  <c r="O2342" i="1"/>
  <c r="P2342" i="1"/>
  <c r="Q2342" i="1"/>
  <c r="R2342" i="1"/>
  <c r="S2342" i="1"/>
  <c r="T2342" i="1"/>
  <c r="U2342" i="1"/>
  <c r="V2342" i="1"/>
  <c r="W2342" i="1"/>
  <c r="X2342" i="1"/>
  <c r="Y2342" i="1"/>
  <c r="Z2342" i="1"/>
  <c r="A2343" i="1"/>
  <c r="B2343" i="1"/>
  <c r="C2343" i="1"/>
  <c r="D2343" i="1"/>
  <c r="E2343" i="1"/>
  <c r="F2343" i="1"/>
  <c r="G2343" i="1"/>
  <c r="I2343" i="1"/>
  <c r="J2343" i="1"/>
  <c r="K2343" i="1"/>
  <c r="L2343" i="1"/>
  <c r="M2343" i="1"/>
  <c r="N2343" i="1"/>
  <c r="O2343" i="1"/>
  <c r="P2343" i="1"/>
  <c r="Q2343" i="1"/>
  <c r="R2343" i="1"/>
  <c r="S2343" i="1"/>
  <c r="T2343" i="1"/>
  <c r="U2343" i="1"/>
  <c r="V2343" i="1"/>
  <c r="W2343" i="1"/>
  <c r="X2343" i="1"/>
  <c r="Y2343" i="1"/>
  <c r="Z2343" i="1"/>
  <c r="A2344" i="1"/>
  <c r="B2344" i="1"/>
  <c r="C2344" i="1"/>
  <c r="D2344" i="1"/>
  <c r="E2344" i="1"/>
  <c r="F2344" i="1"/>
  <c r="G2344" i="1"/>
  <c r="I2344" i="1"/>
  <c r="J2344" i="1"/>
  <c r="K2344" i="1"/>
  <c r="L2344" i="1"/>
  <c r="M2344" i="1"/>
  <c r="N2344" i="1"/>
  <c r="O2344" i="1"/>
  <c r="P2344" i="1"/>
  <c r="Q2344" i="1"/>
  <c r="R2344" i="1"/>
  <c r="S2344" i="1"/>
  <c r="T2344" i="1"/>
  <c r="U2344" i="1"/>
  <c r="V2344" i="1"/>
  <c r="W2344" i="1"/>
  <c r="X2344" i="1"/>
  <c r="Y2344" i="1"/>
  <c r="Z2344" i="1"/>
  <c r="A2345" i="1"/>
  <c r="B2345" i="1"/>
  <c r="C2345" i="1"/>
  <c r="D2345" i="1"/>
  <c r="E2345" i="1"/>
  <c r="F2345" i="1"/>
  <c r="G2345" i="1"/>
  <c r="I2345" i="1"/>
  <c r="J2345" i="1"/>
  <c r="K2345" i="1"/>
  <c r="L2345" i="1"/>
  <c r="M2345" i="1"/>
  <c r="N2345" i="1"/>
  <c r="O2345" i="1"/>
  <c r="P2345" i="1"/>
  <c r="Q2345" i="1"/>
  <c r="R2345" i="1"/>
  <c r="S2345" i="1"/>
  <c r="T2345" i="1"/>
  <c r="U2345" i="1"/>
  <c r="V2345" i="1"/>
  <c r="W2345" i="1"/>
  <c r="X2345" i="1"/>
  <c r="Y2345" i="1"/>
  <c r="Z2345" i="1"/>
  <c r="A2346" i="1"/>
  <c r="B2346" i="1"/>
  <c r="C2346" i="1"/>
  <c r="D2346" i="1"/>
  <c r="E2346" i="1"/>
  <c r="F2346" i="1"/>
  <c r="G2346" i="1"/>
  <c r="I2346" i="1"/>
  <c r="J2346" i="1"/>
  <c r="K2346" i="1"/>
  <c r="L2346" i="1"/>
  <c r="M2346" i="1"/>
  <c r="N2346" i="1"/>
  <c r="O2346" i="1"/>
  <c r="P2346" i="1"/>
  <c r="Q2346" i="1"/>
  <c r="R2346" i="1"/>
  <c r="S2346" i="1"/>
  <c r="T2346" i="1"/>
  <c r="U2346" i="1"/>
  <c r="V2346" i="1"/>
  <c r="W2346" i="1"/>
  <c r="X2346" i="1"/>
  <c r="Y2346" i="1"/>
  <c r="Z2346" i="1"/>
  <c r="A2347" i="1"/>
  <c r="B2347" i="1"/>
  <c r="C2347" i="1"/>
  <c r="D2347" i="1"/>
  <c r="E2347" i="1"/>
  <c r="F2347" i="1"/>
  <c r="G2347" i="1"/>
  <c r="I2347" i="1"/>
  <c r="J2347" i="1"/>
  <c r="K2347" i="1"/>
  <c r="L2347" i="1"/>
  <c r="M2347" i="1"/>
  <c r="N2347" i="1"/>
  <c r="O2347" i="1"/>
  <c r="P2347" i="1"/>
  <c r="Q2347" i="1"/>
  <c r="R2347" i="1"/>
  <c r="S2347" i="1"/>
  <c r="T2347" i="1"/>
  <c r="U2347" i="1"/>
  <c r="V2347" i="1"/>
  <c r="W2347" i="1"/>
  <c r="X2347" i="1"/>
  <c r="Y2347" i="1"/>
  <c r="Z2347" i="1"/>
  <c r="A2348" i="1"/>
  <c r="B2348" i="1"/>
  <c r="C2348" i="1"/>
  <c r="D2348" i="1"/>
  <c r="E2348" i="1"/>
  <c r="F2348" i="1"/>
  <c r="G2348" i="1"/>
  <c r="I2348" i="1"/>
  <c r="J2348" i="1"/>
  <c r="K2348" i="1"/>
  <c r="L2348" i="1"/>
  <c r="M2348" i="1"/>
  <c r="N2348" i="1"/>
  <c r="O2348" i="1"/>
  <c r="P2348" i="1"/>
  <c r="Q2348" i="1"/>
  <c r="R2348" i="1"/>
  <c r="S2348" i="1"/>
  <c r="T2348" i="1"/>
  <c r="U2348" i="1"/>
  <c r="V2348" i="1"/>
  <c r="W2348" i="1"/>
  <c r="X2348" i="1"/>
  <c r="Y2348" i="1"/>
  <c r="Z2348" i="1"/>
  <c r="A2349" i="1"/>
  <c r="B2349" i="1"/>
  <c r="C2349" i="1"/>
  <c r="D2349" i="1"/>
  <c r="E2349" i="1"/>
  <c r="F2349" i="1"/>
  <c r="G2349" i="1"/>
  <c r="I2349" i="1"/>
  <c r="J2349" i="1"/>
  <c r="K2349" i="1"/>
  <c r="L2349" i="1"/>
  <c r="M2349" i="1"/>
  <c r="N2349" i="1"/>
  <c r="O2349" i="1"/>
  <c r="P2349" i="1"/>
  <c r="Q2349" i="1"/>
  <c r="R2349" i="1"/>
  <c r="S2349" i="1"/>
  <c r="T2349" i="1"/>
  <c r="U2349" i="1"/>
  <c r="V2349" i="1"/>
  <c r="W2349" i="1"/>
  <c r="X2349" i="1"/>
  <c r="Y2349" i="1"/>
  <c r="Z2349" i="1"/>
  <c r="A2350" i="1"/>
  <c r="B2350" i="1"/>
  <c r="C2350" i="1"/>
  <c r="D2350" i="1"/>
  <c r="E2350" i="1"/>
  <c r="F2350" i="1"/>
  <c r="G2350" i="1"/>
  <c r="I2350" i="1"/>
  <c r="J2350" i="1"/>
  <c r="K2350" i="1"/>
  <c r="L2350" i="1"/>
  <c r="M2350" i="1"/>
  <c r="N2350" i="1"/>
  <c r="O2350" i="1"/>
  <c r="P2350" i="1"/>
  <c r="Q2350" i="1"/>
  <c r="R2350" i="1"/>
  <c r="S2350" i="1"/>
  <c r="T2350" i="1"/>
  <c r="U2350" i="1"/>
  <c r="V2350" i="1"/>
  <c r="W2350" i="1"/>
  <c r="X2350" i="1"/>
  <c r="Y2350" i="1"/>
  <c r="Z2350" i="1"/>
  <c r="A2351" i="1"/>
  <c r="B2351" i="1"/>
  <c r="C2351" i="1"/>
  <c r="D2351" i="1"/>
  <c r="E2351" i="1"/>
  <c r="F2351" i="1"/>
  <c r="G2351" i="1"/>
  <c r="I2351" i="1"/>
  <c r="J2351" i="1"/>
  <c r="K2351" i="1"/>
  <c r="L2351" i="1"/>
  <c r="M2351" i="1"/>
  <c r="N2351" i="1"/>
  <c r="O2351" i="1"/>
  <c r="P2351" i="1"/>
  <c r="Q2351" i="1"/>
  <c r="R2351" i="1"/>
  <c r="S2351" i="1"/>
  <c r="T2351" i="1"/>
  <c r="U2351" i="1"/>
  <c r="V2351" i="1"/>
  <c r="W2351" i="1"/>
  <c r="X2351" i="1"/>
  <c r="Y2351" i="1"/>
  <c r="Z2351" i="1"/>
  <c r="A2352" i="1"/>
  <c r="B2352" i="1"/>
  <c r="C2352" i="1"/>
  <c r="D2352" i="1"/>
  <c r="E2352" i="1"/>
  <c r="F2352" i="1"/>
  <c r="G2352" i="1"/>
  <c r="I2352" i="1"/>
  <c r="J2352" i="1"/>
  <c r="K2352" i="1"/>
  <c r="L2352" i="1"/>
  <c r="M2352" i="1"/>
  <c r="N2352" i="1"/>
  <c r="O2352" i="1"/>
  <c r="P2352" i="1"/>
  <c r="Q2352" i="1"/>
  <c r="R2352" i="1"/>
  <c r="S2352" i="1"/>
  <c r="T2352" i="1"/>
  <c r="U2352" i="1"/>
  <c r="V2352" i="1"/>
  <c r="W2352" i="1"/>
  <c r="X2352" i="1"/>
  <c r="Y2352" i="1"/>
  <c r="Z2352" i="1"/>
  <c r="A2353" i="1"/>
  <c r="B2353" i="1"/>
  <c r="C2353" i="1"/>
  <c r="D2353" i="1"/>
  <c r="E2353" i="1"/>
  <c r="F2353" i="1"/>
  <c r="G2353" i="1"/>
  <c r="I2353" i="1"/>
  <c r="J2353" i="1"/>
  <c r="K2353" i="1"/>
  <c r="L2353" i="1"/>
  <c r="M2353" i="1"/>
  <c r="N2353" i="1"/>
  <c r="O2353" i="1"/>
  <c r="P2353" i="1"/>
  <c r="Q2353" i="1"/>
  <c r="R2353" i="1"/>
  <c r="S2353" i="1"/>
  <c r="T2353" i="1"/>
  <c r="U2353" i="1"/>
  <c r="V2353" i="1"/>
  <c r="W2353" i="1"/>
  <c r="X2353" i="1"/>
  <c r="Y2353" i="1"/>
  <c r="Z2353" i="1"/>
  <c r="A2354" i="1"/>
  <c r="B2354" i="1"/>
  <c r="C2354" i="1"/>
  <c r="D2354" i="1"/>
  <c r="E2354" i="1"/>
  <c r="F2354" i="1"/>
  <c r="G2354" i="1"/>
  <c r="I2354" i="1"/>
  <c r="J2354" i="1"/>
  <c r="K2354" i="1"/>
  <c r="L2354" i="1"/>
  <c r="M2354" i="1"/>
  <c r="N2354" i="1"/>
  <c r="O2354" i="1"/>
  <c r="P2354" i="1"/>
  <c r="Q2354" i="1"/>
  <c r="R2354" i="1"/>
  <c r="S2354" i="1"/>
  <c r="T2354" i="1"/>
  <c r="U2354" i="1"/>
  <c r="V2354" i="1"/>
  <c r="W2354" i="1"/>
  <c r="X2354" i="1"/>
  <c r="Y2354" i="1"/>
  <c r="Z2354" i="1"/>
  <c r="A2355" i="1"/>
  <c r="B2355" i="1"/>
  <c r="C2355" i="1"/>
  <c r="D2355" i="1"/>
  <c r="E2355" i="1"/>
  <c r="F2355" i="1"/>
  <c r="G2355" i="1"/>
  <c r="I2355" i="1"/>
  <c r="J2355" i="1"/>
  <c r="K2355" i="1"/>
  <c r="L2355" i="1"/>
  <c r="M2355" i="1"/>
  <c r="N2355" i="1"/>
  <c r="O2355" i="1"/>
  <c r="P2355" i="1"/>
  <c r="Q2355" i="1"/>
  <c r="R2355" i="1"/>
  <c r="S2355" i="1"/>
  <c r="T2355" i="1"/>
  <c r="U2355" i="1"/>
  <c r="V2355" i="1"/>
  <c r="W2355" i="1"/>
  <c r="X2355" i="1"/>
  <c r="Y2355" i="1"/>
  <c r="Z2355" i="1"/>
  <c r="A2356" i="1"/>
  <c r="B2356" i="1"/>
  <c r="C2356" i="1"/>
  <c r="D2356" i="1"/>
  <c r="E2356" i="1"/>
  <c r="F2356" i="1"/>
  <c r="G2356" i="1"/>
  <c r="I2356" i="1"/>
  <c r="J2356" i="1"/>
  <c r="K2356" i="1"/>
  <c r="L2356" i="1"/>
  <c r="M2356" i="1"/>
  <c r="N2356" i="1"/>
  <c r="O2356" i="1"/>
  <c r="P2356" i="1"/>
  <c r="Q2356" i="1"/>
  <c r="R2356" i="1"/>
  <c r="S2356" i="1"/>
  <c r="T2356" i="1"/>
  <c r="U2356" i="1"/>
  <c r="V2356" i="1"/>
  <c r="W2356" i="1"/>
  <c r="X2356" i="1"/>
  <c r="Y2356" i="1"/>
  <c r="Z2356" i="1"/>
  <c r="A2357" i="1"/>
  <c r="B2357" i="1"/>
  <c r="C2357" i="1"/>
  <c r="D2357" i="1"/>
  <c r="E2357" i="1"/>
  <c r="F2357" i="1"/>
  <c r="G2357" i="1"/>
  <c r="I2357" i="1"/>
  <c r="J2357" i="1"/>
  <c r="K2357" i="1"/>
  <c r="L2357" i="1"/>
  <c r="M2357" i="1"/>
  <c r="N2357" i="1"/>
  <c r="O2357" i="1"/>
  <c r="P2357" i="1"/>
  <c r="Q2357" i="1"/>
  <c r="R2357" i="1"/>
  <c r="S2357" i="1"/>
  <c r="T2357" i="1"/>
  <c r="U2357" i="1"/>
  <c r="V2357" i="1"/>
  <c r="W2357" i="1"/>
  <c r="X2357" i="1"/>
  <c r="Y2357" i="1"/>
  <c r="Z2357" i="1"/>
  <c r="A2358" i="1"/>
  <c r="B2358" i="1"/>
  <c r="C2358" i="1"/>
  <c r="D2358" i="1"/>
  <c r="E2358" i="1"/>
  <c r="F2358" i="1"/>
  <c r="G2358" i="1"/>
  <c r="I2358" i="1"/>
  <c r="J2358" i="1"/>
  <c r="K2358" i="1"/>
  <c r="L2358" i="1"/>
  <c r="M2358" i="1"/>
  <c r="N2358" i="1"/>
  <c r="O2358" i="1"/>
  <c r="P2358" i="1"/>
  <c r="Q2358" i="1"/>
  <c r="R2358" i="1"/>
  <c r="S2358" i="1"/>
  <c r="T2358" i="1"/>
  <c r="U2358" i="1"/>
  <c r="V2358" i="1"/>
  <c r="W2358" i="1"/>
  <c r="X2358" i="1"/>
  <c r="Y2358" i="1"/>
  <c r="Z2358" i="1"/>
  <c r="A2359" i="1"/>
  <c r="B2359" i="1"/>
  <c r="C2359" i="1"/>
  <c r="D2359" i="1"/>
  <c r="E2359" i="1"/>
  <c r="F2359" i="1"/>
  <c r="G2359" i="1"/>
  <c r="I2359" i="1"/>
  <c r="J2359" i="1"/>
  <c r="K2359" i="1"/>
  <c r="L2359" i="1"/>
  <c r="M2359" i="1"/>
  <c r="N2359" i="1"/>
  <c r="O2359" i="1"/>
  <c r="P2359" i="1"/>
  <c r="Q2359" i="1"/>
  <c r="R2359" i="1"/>
  <c r="S2359" i="1"/>
  <c r="T2359" i="1"/>
  <c r="U2359" i="1"/>
  <c r="V2359" i="1"/>
  <c r="W2359" i="1"/>
  <c r="X2359" i="1"/>
  <c r="Y2359" i="1"/>
  <c r="Z2359" i="1"/>
  <c r="A2360" i="1"/>
  <c r="B2360" i="1"/>
  <c r="C2360" i="1"/>
  <c r="D2360" i="1"/>
  <c r="E2360" i="1"/>
  <c r="F2360" i="1"/>
  <c r="G2360" i="1"/>
  <c r="I2360" i="1"/>
  <c r="J2360" i="1"/>
  <c r="K2360" i="1"/>
  <c r="L2360" i="1"/>
  <c r="M2360" i="1"/>
  <c r="N2360" i="1"/>
  <c r="O2360" i="1"/>
  <c r="P2360" i="1"/>
  <c r="Q2360" i="1"/>
  <c r="R2360" i="1"/>
  <c r="S2360" i="1"/>
  <c r="T2360" i="1"/>
  <c r="U2360" i="1"/>
  <c r="V2360" i="1"/>
  <c r="W2360" i="1"/>
  <c r="X2360" i="1"/>
  <c r="Y2360" i="1"/>
  <c r="Z2360" i="1"/>
  <c r="A2361" i="1"/>
  <c r="B2361" i="1"/>
  <c r="C2361" i="1"/>
  <c r="D2361" i="1"/>
  <c r="E2361" i="1"/>
  <c r="F2361" i="1"/>
  <c r="G2361" i="1"/>
  <c r="I2361" i="1"/>
  <c r="J2361" i="1"/>
  <c r="K2361" i="1"/>
  <c r="L2361" i="1"/>
  <c r="M2361" i="1"/>
  <c r="N2361" i="1"/>
  <c r="O2361" i="1"/>
  <c r="P2361" i="1"/>
  <c r="Q2361" i="1"/>
  <c r="R2361" i="1"/>
  <c r="S2361" i="1"/>
  <c r="T2361" i="1"/>
  <c r="U2361" i="1"/>
  <c r="V2361" i="1"/>
  <c r="W2361" i="1"/>
  <c r="X2361" i="1"/>
  <c r="Y2361" i="1"/>
  <c r="Z2361" i="1"/>
  <c r="A2362" i="1"/>
  <c r="B2362" i="1"/>
  <c r="C2362" i="1"/>
  <c r="D2362" i="1"/>
  <c r="E2362" i="1"/>
  <c r="F2362" i="1"/>
  <c r="G2362" i="1"/>
  <c r="I2362" i="1"/>
  <c r="J2362" i="1"/>
  <c r="K2362" i="1"/>
  <c r="L2362" i="1"/>
  <c r="M2362" i="1"/>
  <c r="N2362" i="1"/>
  <c r="O2362" i="1"/>
  <c r="P2362" i="1"/>
  <c r="Q2362" i="1"/>
  <c r="R2362" i="1"/>
  <c r="S2362" i="1"/>
  <c r="T2362" i="1"/>
  <c r="U2362" i="1"/>
  <c r="V2362" i="1"/>
  <c r="W2362" i="1"/>
  <c r="X2362" i="1"/>
  <c r="Y2362" i="1"/>
  <c r="Z2362" i="1"/>
  <c r="A2363" i="1"/>
  <c r="B2363" i="1"/>
  <c r="C2363" i="1"/>
  <c r="D2363" i="1"/>
  <c r="E2363" i="1"/>
  <c r="F2363" i="1"/>
  <c r="G2363" i="1"/>
  <c r="I2363" i="1"/>
  <c r="J2363" i="1"/>
  <c r="K2363" i="1"/>
  <c r="L2363" i="1"/>
  <c r="M2363" i="1"/>
  <c r="N2363" i="1"/>
  <c r="O2363" i="1"/>
  <c r="P2363" i="1"/>
  <c r="Q2363" i="1"/>
  <c r="R2363" i="1"/>
  <c r="S2363" i="1"/>
  <c r="T2363" i="1"/>
  <c r="U2363" i="1"/>
  <c r="V2363" i="1"/>
  <c r="W2363" i="1"/>
  <c r="X2363" i="1"/>
  <c r="Y2363" i="1"/>
  <c r="Z2363" i="1"/>
  <c r="A2364" i="1"/>
  <c r="B2364" i="1"/>
  <c r="C2364" i="1"/>
  <c r="D2364" i="1"/>
  <c r="E2364" i="1"/>
  <c r="F2364" i="1"/>
  <c r="G2364" i="1"/>
  <c r="I2364" i="1"/>
  <c r="J2364" i="1"/>
  <c r="K2364" i="1"/>
  <c r="L2364" i="1"/>
  <c r="M2364" i="1"/>
  <c r="N2364" i="1"/>
  <c r="O2364" i="1"/>
  <c r="P2364" i="1"/>
  <c r="Q2364" i="1"/>
  <c r="R2364" i="1"/>
  <c r="S2364" i="1"/>
  <c r="T2364" i="1"/>
  <c r="U2364" i="1"/>
  <c r="V2364" i="1"/>
  <c r="W2364" i="1"/>
  <c r="X2364" i="1"/>
  <c r="Y2364" i="1"/>
  <c r="Z2364" i="1"/>
  <c r="A2365" i="1"/>
  <c r="B2365" i="1"/>
  <c r="C2365" i="1"/>
  <c r="D2365" i="1"/>
  <c r="E2365" i="1"/>
  <c r="F2365" i="1"/>
  <c r="G2365" i="1"/>
  <c r="I2365" i="1"/>
  <c r="J2365" i="1"/>
  <c r="K2365" i="1"/>
  <c r="L2365" i="1"/>
  <c r="M2365" i="1"/>
  <c r="N2365" i="1"/>
  <c r="O2365" i="1"/>
  <c r="P2365" i="1"/>
  <c r="Q2365" i="1"/>
  <c r="R2365" i="1"/>
  <c r="S2365" i="1"/>
  <c r="T2365" i="1"/>
  <c r="U2365" i="1"/>
  <c r="V2365" i="1"/>
  <c r="W2365" i="1"/>
  <c r="X2365" i="1"/>
  <c r="Y2365" i="1"/>
  <c r="Z2365" i="1"/>
  <c r="A2366" i="1"/>
  <c r="B2366" i="1"/>
  <c r="C2366" i="1"/>
  <c r="D2366" i="1"/>
  <c r="E2366" i="1"/>
  <c r="F2366" i="1"/>
  <c r="G2366" i="1"/>
  <c r="I2366" i="1"/>
  <c r="J2366" i="1"/>
  <c r="K2366" i="1"/>
  <c r="L2366" i="1"/>
  <c r="M2366" i="1"/>
  <c r="N2366" i="1"/>
  <c r="O2366" i="1"/>
  <c r="P2366" i="1"/>
  <c r="Q2366" i="1"/>
  <c r="R2366" i="1"/>
  <c r="S2366" i="1"/>
  <c r="T2366" i="1"/>
  <c r="U2366" i="1"/>
  <c r="V2366" i="1"/>
  <c r="W2366" i="1"/>
  <c r="X2366" i="1"/>
  <c r="Y2366" i="1"/>
  <c r="Z2366" i="1"/>
  <c r="A2367" i="1"/>
  <c r="B2367" i="1"/>
  <c r="C2367" i="1"/>
  <c r="D2367" i="1"/>
  <c r="E2367" i="1"/>
  <c r="F2367" i="1"/>
  <c r="G2367" i="1"/>
  <c r="I2367" i="1"/>
  <c r="J2367" i="1"/>
  <c r="K2367" i="1"/>
  <c r="L2367" i="1"/>
  <c r="M2367" i="1"/>
  <c r="N2367" i="1"/>
  <c r="O2367" i="1"/>
  <c r="P2367" i="1"/>
  <c r="Q2367" i="1"/>
  <c r="R2367" i="1"/>
  <c r="S2367" i="1"/>
  <c r="T2367" i="1"/>
  <c r="U2367" i="1"/>
  <c r="V2367" i="1"/>
  <c r="W2367" i="1"/>
  <c r="X2367" i="1"/>
  <c r="Y2367" i="1"/>
  <c r="Z2367" i="1"/>
  <c r="A2368" i="1"/>
  <c r="B2368" i="1"/>
  <c r="C2368" i="1"/>
  <c r="D2368" i="1"/>
  <c r="E2368" i="1"/>
  <c r="F2368" i="1"/>
  <c r="G2368" i="1"/>
  <c r="I2368" i="1"/>
  <c r="J2368" i="1"/>
  <c r="K2368" i="1"/>
  <c r="L2368" i="1"/>
  <c r="M2368" i="1"/>
  <c r="N2368" i="1"/>
  <c r="O2368" i="1"/>
  <c r="P2368" i="1"/>
  <c r="Q2368" i="1"/>
  <c r="R2368" i="1"/>
  <c r="S2368" i="1"/>
  <c r="T2368" i="1"/>
  <c r="U2368" i="1"/>
  <c r="V2368" i="1"/>
  <c r="W2368" i="1"/>
  <c r="X2368" i="1"/>
  <c r="Y2368" i="1"/>
  <c r="Z2368" i="1"/>
  <c r="A2369" i="1"/>
  <c r="B2369" i="1"/>
  <c r="C2369" i="1"/>
  <c r="D2369" i="1"/>
  <c r="E2369" i="1"/>
  <c r="F2369" i="1"/>
  <c r="G2369" i="1"/>
  <c r="I2369" i="1"/>
  <c r="J2369" i="1"/>
  <c r="K2369" i="1"/>
  <c r="L2369" i="1"/>
  <c r="M2369" i="1"/>
  <c r="N2369" i="1"/>
  <c r="O2369" i="1"/>
  <c r="P2369" i="1"/>
  <c r="Q2369" i="1"/>
  <c r="R2369" i="1"/>
  <c r="S2369" i="1"/>
  <c r="T2369" i="1"/>
  <c r="U2369" i="1"/>
  <c r="V2369" i="1"/>
  <c r="W2369" i="1"/>
  <c r="X2369" i="1"/>
  <c r="Y2369" i="1"/>
  <c r="Z2369" i="1"/>
  <c r="A2370" i="1"/>
  <c r="B2370" i="1"/>
  <c r="C2370" i="1"/>
  <c r="D2370" i="1"/>
  <c r="E2370" i="1"/>
  <c r="F2370" i="1"/>
  <c r="G2370" i="1"/>
  <c r="I2370" i="1"/>
  <c r="J2370" i="1"/>
  <c r="K2370" i="1"/>
  <c r="L2370" i="1"/>
  <c r="M2370" i="1"/>
  <c r="N2370" i="1"/>
  <c r="O2370" i="1"/>
  <c r="P2370" i="1"/>
  <c r="Q2370" i="1"/>
  <c r="R2370" i="1"/>
  <c r="S2370" i="1"/>
  <c r="T2370" i="1"/>
  <c r="U2370" i="1"/>
  <c r="V2370" i="1"/>
  <c r="W2370" i="1"/>
  <c r="X2370" i="1"/>
  <c r="Y2370" i="1"/>
  <c r="Z2370" i="1"/>
  <c r="A2371" i="1"/>
  <c r="B2371" i="1"/>
  <c r="C2371" i="1"/>
  <c r="D2371" i="1"/>
  <c r="E2371" i="1"/>
  <c r="F2371" i="1"/>
  <c r="G2371" i="1"/>
  <c r="I2371" i="1"/>
  <c r="J2371" i="1"/>
  <c r="K2371" i="1"/>
  <c r="L2371" i="1"/>
  <c r="M2371" i="1"/>
  <c r="N2371" i="1"/>
  <c r="O2371" i="1"/>
  <c r="P2371" i="1"/>
  <c r="Q2371" i="1"/>
  <c r="R2371" i="1"/>
  <c r="S2371" i="1"/>
  <c r="T2371" i="1"/>
  <c r="U2371" i="1"/>
  <c r="V2371" i="1"/>
  <c r="W2371" i="1"/>
  <c r="X2371" i="1"/>
  <c r="Y2371" i="1"/>
  <c r="Z2371" i="1"/>
  <c r="A2372" i="1"/>
  <c r="B2372" i="1"/>
  <c r="C2372" i="1"/>
  <c r="D2372" i="1"/>
  <c r="E2372" i="1"/>
  <c r="F2372" i="1"/>
  <c r="G2372" i="1"/>
  <c r="I2372" i="1"/>
  <c r="J2372" i="1"/>
  <c r="K2372" i="1"/>
  <c r="L2372" i="1"/>
  <c r="M2372" i="1"/>
  <c r="N2372" i="1"/>
  <c r="O2372" i="1"/>
  <c r="P2372" i="1"/>
  <c r="Q2372" i="1"/>
  <c r="R2372" i="1"/>
  <c r="S2372" i="1"/>
  <c r="T2372" i="1"/>
  <c r="U2372" i="1"/>
  <c r="V2372" i="1"/>
  <c r="W2372" i="1"/>
  <c r="X2372" i="1"/>
  <c r="Y2372" i="1"/>
  <c r="Z2372" i="1"/>
  <c r="A2373" i="1"/>
  <c r="B2373" i="1"/>
  <c r="C2373" i="1"/>
  <c r="D2373" i="1"/>
  <c r="E2373" i="1"/>
  <c r="F2373" i="1"/>
  <c r="G2373" i="1"/>
  <c r="I2373" i="1"/>
  <c r="J2373" i="1"/>
  <c r="K2373" i="1"/>
  <c r="L2373" i="1"/>
  <c r="M2373" i="1"/>
  <c r="N2373" i="1"/>
  <c r="O2373" i="1"/>
  <c r="P2373" i="1"/>
  <c r="Q2373" i="1"/>
  <c r="R2373" i="1"/>
  <c r="S2373" i="1"/>
  <c r="T2373" i="1"/>
  <c r="U2373" i="1"/>
  <c r="V2373" i="1"/>
  <c r="W2373" i="1"/>
  <c r="X2373" i="1"/>
  <c r="Y2373" i="1"/>
  <c r="Z2373" i="1"/>
  <c r="A2374" i="1"/>
  <c r="B2374" i="1"/>
  <c r="C2374" i="1"/>
  <c r="D2374" i="1"/>
  <c r="E2374" i="1"/>
  <c r="F2374" i="1"/>
  <c r="G2374" i="1"/>
  <c r="I2374" i="1"/>
  <c r="J2374" i="1"/>
  <c r="K2374" i="1"/>
  <c r="L2374" i="1"/>
  <c r="M2374" i="1"/>
  <c r="N2374" i="1"/>
  <c r="O2374" i="1"/>
  <c r="P2374" i="1"/>
  <c r="Q2374" i="1"/>
  <c r="R2374" i="1"/>
  <c r="S2374" i="1"/>
  <c r="T2374" i="1"/>
  <c r="U2374" i="1"/>
  <c r="V2374" i="1"/>
  <c r="W2374" i="1"/>
  <c r="X2374" i="1"/>
  <c r="Y2374" i="1"/>
  <c r="Z2374" i="1"/>
  <c r="A2375" i="1"/>
  <c r="B2375" i="1"/>
  <c r="C2375" i="1"/>
  <c r="D2375" i="1"/>
  <c r="E2375" i="1"/>
  <c r="F2375" i="1"/>
  <c r="G2375" i="1"/>
  <c r="I2375" i="1"/>
  <c r="J2375" i="1"/>
  <c r="K2375" i="1"/>
  <c r="L2375" i="1"/>
  <c r="M2375" i="1"/>
  <c r="N2375" i="1"/>
  <c r="O2375" i="1"/>
  <c r="P2375" i="1"/>
  <c r="Q2375" i="1"/>
  <c r="R2375" i="1"/>
  <c r="S2375" i="1"/>
  <c r="T2375" i="1"/>
  <c r="U2375" i="1"/>
  <c r="V2375" i="1"/>
  <c r="W2375" i="1"/>
  <c r="X2375" i="1"/>
  <c r="Y2375" i="1"/>
  <c r="Z2375" i="1"/>
  <c r="A2376" i="1"/>
  <c r="B2376" i="1"/>
  <c r="C2376" i="1"/>
  <c r="D2376" i="1"/>
  <c r="E2376" i="1"/>
  <c r="F2376" i="1"/>
  <c r="G2376" i="1"/>
  <c r="I2376" i="1"/>
  <c r="J2376" i="1"/>
  <c r="K2376" i="1"/>
  <c r="L2376" i="1"/>
  <c r="M2376" i="1"/>
  <c r="N2376" i="1"/>
  <c r="O2376" i="1"/>
  <c r="P2376" i="1"/>
  <c r="Q2376" i="1"/>
  <c r="R2376" i="1"/>
  <c r="S2376" i="1"/>
  <c r="T2376" i="1"/>
  <c r="U2376" i="1"/>
  <c r="V2376" i="1"/>
  <c r="W2376" i="1"/>
  <c r="X2376" i="1"/>
  <c r="Y2376" i="1"/>
  <c r="Z2376" i="1"/>
  <c r="A2377" i="1"/>
  <c r="B2377" i="1"/>
  <c r="C2377" i="1"/>
  <c r="D2377" i="1"/>
  <c r="E2377" i="1"/>
  <c r="F2377" i="1"/>
  <c r="G2377" i="1"/>
  <c r="I2377" i="1"/>
  <c r="J2377" i="1"/>
  <c r="K2377" i="1"/>
  <c r="L2377" i="1"/>
  <c r="M2377" i="1"/>
  <c r="N2377" i="1"/>
  <c r="O2377" i="1"/>
  <c r="P2377" i="1"/>
  <c r="Q2377" i="1"/>
  <c r="R2377" i="1"/>
  <c r="S2377" i="1"/>
  <c r="T2377" i="1"/>
  <c r="U2377" i="1"/>
  <c r="V2377" i="1"/>
  <c r="W2377" i="1"/>
  <c r="X2377" i="1"/>
  <c r="Y2377" i="1"/>
  <c r="Z2377" i="1"/>
  <c r="A2378" i="1"/>
  <c r="B2378" i="1"/>
  <c r="C2378" i="1"/>
  <c r="D2378" i="1"/>
  <c r="E2378" i="1"/>
  <c r="F2378" i="1"/>
  <c r="G2378" i="1"/>
  <c r="I2378" i="1"/>
  <c r="J2378" i="1"/>
  <c r="K2378" i="1"/>
  <c r="L2378" i="1"/>
  <c r="M2378" i="1"/>
  <c r="N2378" i="1"/>
  <c r="O2378" i="1"/>
  <c r="P2378" i="1"/>
  <c r="Q2378" i="1"/>
  <c r="R2378" i="1"/>
  <c r="S2378" i="1"/>
  <c r="T2378" i="1"/>
  <c r="U2378" i="1"/>
  <c r="V2378" i="1"/>
  <c r="W2378" i="1"/>
  <c r="X2378" i="1"/>
  <c r="Y2378" i="1"/>
  <c r="Z2378" i="1"/>
  <c r="A2379" i="1"/>
  <c r="B2379" i="1"/>
  <c r="C2379" i="1"/>
  <c r="D2379" i="1"/>
  <c r="E2379" i="1"/>
  <c r="F2379" i="1"/>
  <c r="G2379" i="1"/>
  <c r="I2379" i="1"/>
  <c r="J2379" i="1"/>
  <c r="K2379" i="1"/>
  <c r="L2379" i="1"/>
  <c r="M2379" i="1"/>
  <c r="N2379" i="1"/>
  <c r="O2379" i="1"/>
  <c r="P2379" i="1"/>
  <c r="Q2379" i="1"/>
  <c r="R2379" i="1"/>
  <c r="S2379" i="1"/>
  <c r="T2379" i="1"/>
  <c r="U2379" i="1"/>
  <c r="V2379" i="1"/>
  <c r="W2379" i="1"/>
  <c r="X2379" i="1"/>
  <c r="Y2379" i="1"/>
  <c r="Z2379" i="1"/>
  <c r="A2380" i="1"/>
  <c r="B2380" i="1"/>
  <c r="C2380" i="1"/>
  <c r="D2380" i="1"/>
  <c r="E2380" i="1"/>
  <c r="F2380" i="1"/>
  <c r="G2380" i="1"/>
  <c r="I2380" i="1"/>
  <c r="J2380" i="1"/>
  <c r="K2380" i="1"/>
  <c r="L2380" i="1"/>
  <c r="M2380" i="1"/>
  <c r="N2380" i="1"/>
  <c r="O2380" i="1"/>
  <c r="P2380" i="1"/>
  <c r="Q2380" i="1"/>
  <c r="R2380" i="1"/>
  <c r="S2380" i="1"/>
  <c r="T2380" i="1"/>
  <c r="U2380" i="1"/>
  <c r="V2380" i="1"/>
  <c r="W2380" i="1"/>
  <c r="X2380" i="1"/>
  <c r="Y2380" i="1"/>
  <c r="Z2380" i="1"/>
  <c r="A2381" i="1"/>
  <c r="B2381" i="1"/>
  <c r="C2381" i="1"/>
  <c r="D2381" i="1"/>
  <c r="E2381" i="1"/>
  <c r="F2381" i="1"/>
  <c r="G2381" i="1"/>
  <c r="I2381" i="1"/>
  <c r="J2381" i="1"/>
  <c r="K2381" i="1"/>
  <c r="L2381" i="1"/>
  <c r="M2381" i="1"/>
  <c r="N2381" i="1"/>
  <c r="O2381" i="1"/>
  <c r="P2381" i="1"/>
  <c r="Q2381" i="1"/>
  <c r="R2381" i="1"/>
  <c r="S2381" i="1"/>
  <c r="T2381" i="1"/>
  <c r="U2381" i="1"/>
  <c r="V2381" i="1"/>
  <c r="W2381" i="1"/>
  <c r="X2381" i="1"/>
  <c r="Y2381" i="1"/>
  <c r="Z2381" i="1"/>
  <c r="A2382" i="1"/>
  <c r="B2382" i="1"/>
  <c r="C2382" i="1"/>
  <c r="D2382" i="1"/>
  <c r="E2382" i="1"/>
  <c r="F2382" i="1"/>
  <c r="G2382" i="1"/>
  <c r="I2382" i="1"/>
  <c r="J2382" i="1"/>
  <c r="K2382" i="1"/>
  <c r="L2382" i="1"/>
  <c r="M2382" i="1"/>
  <c r="N2382" i="1"/>
  <c r="O2382" i="1"/>
  <c r="P2382" i="1"/>
  <c r="Q2382" i="1"/>
  <c r="R2382" i="1"/>
  <c r="S2382" i="1"/>
  <c r="T2382" i="1"/>
  <c r="U2382" i="1"/>
  <c r="V2382" i="1"/>
  <c r="W2382" i="1"/>
  <c r="X2382" i="1"/>
  <c r="Y2382" i="1"/>
  <c r="Z2382" i="1"/>
  <c r="A2383" i="1"/>
  <c r="B2383" i="1"/>
  <c r="C2383" i="1"/>
  <c r="D2383" i="1"/>
  <c r="E2383" i="1"/>
  <c r="F2383" i="1"/>
  <c r="G2383" i="1"/>
  <c r="I2383" i="1"/>
  <c r="J2383" i="1"/>
  <c r="K2383" i="1"/>
  <c r="L2383" i="1"/>
  <c r="M2383" i="1"/>
  <c r="N2383" i="1"/>
  <c r="O2383" i="1"/>
  <c r="P2383" i="1"/>
  <c r="Q2383" i="1"/>
  <c r="R2383" i="1"/>
  <c r="S2383" i="1"/>
  <c r="T2383" i="1"/>
  <c r="U2383" i="1"/>
  <c r="V2383" i="1"/>
  <c r="W2383" i="1"/>
  <c r="X2383" i="1"/>
  <c r="Y2383" i="1"/>
  <c r="Z2383" i="1"/>
  <c r="A2384" i="1"/>
  <c r="B2384" i="1"/>
  <c r="C2384" i="1"/>
  <c r="D2384" i="1"/>
  <c r="E2384" i="1"/>
  <c r="F2384" i="1"/>
  <c r="G2384" i="1"/>
  <c r="I2384" i="1"/>
  <c r="J2384" i="1"/>
  <c r="K2384" i="1"/>
  <c r="L2384" i="1"/>
  <c r="M2384" i="1"/>
  <c r="N2384" i="1"/>
  <c r="O2384" i="1"/>
  <c r="P2384" i="1"/>
  <c r="Q2384" i="1"/>
  <c r="R2384" i="1"/>
  <c r="S2384" i="1"/>
  <c r="T2384" i="1"/>
  <c r="U2384" i="1"/>
  <c r="V2384" i="1"/>
  <c r="W2384" i="1"/>
  <c r="X2384" i="1"/>
  <c r="Y2384" i="1"/>
  <c r="Z2384" i="1"/>
  <c r="A2385" i="1"/>
  <c r="B2385" i="1"/>
  <c r="C2385" i="1"/>
  <c r="D2385" i="1"/>
  <c r="E2385" i="1"/>
  <c r="F2385" i="1"/>
  <c r="G2385" i="1"/>
  <c r="I2385" i="1"/>
  <c r="J2385" i="1"/>
  <c r="K2385" i="1"/>
  <c r="L2385" i="1"/>
  <c r="M2385" i="1"/>
  <c r="N2385" i="1"/>
  <c r="O2385" i="1"/>
  <c r="P2385" i="1"/>
  <c r="Q2385" i="1"/>
  <c r="R2385" i="1"/>
  <c r="S2385" i="1"/>
  <c r="T2385" i="1"/>
  <c r="U2385" i="1"/>
  <c r="V2385" i="1"/>
  <c r="W2385" i="1"/>
  <c r="X2385" i="1"/>
  <c r="Y2385" i="1"/>
  <c r="Z2385" i="1"/>
  <c r="A2386" i="1"/>
  <c r="B2386" i="1"/>
  <c r="C2386" i="1"/>
  <c r="D2386" i="1"/>
  <c r="E2386" i="1"/>
  <c r="F2386" i="1"/>
  <c r="G2386" i="1"/>
  <c r="I2386" i="1"/>
  <c r="J2386" i="1"/>
  <c r="K2386" i="1"/>
  <c r="L2386" i="1"/>
  <c r="M2386" i="1"/>
  <c r="N2386" i="1"/>
  <c r="O2386" i="1"/>
  <c r="P2386" i="1"/>
  <c r="Q2386" i="1"/>
  <c r="R2386" i="1"/>
  <c r="S2386" i="1"/>
  <c r="T2386" i="1"/>
  <c r="U2386" i="1"/>
  <c r="V2386" i="1"/>
  <c r="W2386" i="1"/>
  <c r="X2386" i="1"/>
  <c r="Y2386" i="1"/>
  <c r="Z2386" i="1"/>
  <c r="A2387" i="1"/>
  <c r="B2387" i="1"/>
  <c r="C2387" i="1"/>
  <c r="D2387" i="1"/>
  <c r="E2387" i="1"/>
  <c r="F2387" i="1"/>
  <c r="G2387" i="1"/>
  <c r="I2387" i="1"/>
  <c r="J2387" i="1"/>
  <c r="K2387" i="1"/>
  <c r="L2387" i="1"/>
  <c r="M2387" i="1"/>
  <c r="N2387" i="1"/>
  <c r="O2387" i="1"/>
  <c r="P2387" i="1"/>
  <c r="Q2387" i="1"/>
  <c r="R2387" i="1"/>
  <c r="S2387" i="1"/>
  <c r="T2387" i="1"/>
  <c r="U2387" i="1"/>
  <c r="V2387" i="1"/>
  <c r="W2387" i="1"/>
  <c r="X2387" i="1"/>
  <c r="Y2387" i="1"/>
  <c r="Z2387" i="1"/>
  <c r="A2388" i="1"/>
  <c r="B2388" i="1"/>
  <c r="C2388" i="1"/>
  <c r="D2388" i="1"/>
  <c r="E2388" i="1"/>
  <c r="F2388" i="1"/>
  <c r="G2388" i="1"/>
  <c r="I2388" i="1"/>
  <c r="J2388" i="1"/>
  <c r="K2388" i="1"/>
  <c r="L2388" i="1"/>
  <c r="M2388" i="1"/>
  <c r="N2388" i="1"/>
  <c r="O2388" i="1"/>
  <c r="P2388" i="1"/>
  <c r="Q2388" i="1"/>
  <c r="R2388" i="1"/>
  <c r="S2388" i="1"/>
  <c r="T2388" i="1"/>
  <c r="U2388" i="1"/>
  <c r="V2388" i="1"/>
  <c r="W2388" i="1"/>
  <c r="X2388" i="1"/>
  <c r="Y2388" i="1"/>
  <c r="Z2388" i="1"/>
  <c r="A2389" i="1"/>
  <c r="B2389" i="1"/>
  <c r="C2389" i="1"/>
  <c r="D2389" i="1"/>
  <c r="E2389" i="1"/>
  <c r="F2389" i="1"/>
  <c r="G2389" i="1"/>
  <c r="I2389" i="1"/>
  <c r="J2389" i="1"/>
  <c r="K2389" i="1"/>
  <c r="L2389" i="1"/>
  <c r="M2389" i="1"/>
  <c r="N2389" i="1"/>
  <c r="O2389" i="1"/>
  <c r="P2389" i="1"/>
  <c r="Q2389" i="1"/>
  <c r="R2389" i="1"/>
  <c r="S2389" i="1"/>
  <c r="T2389" i="1"/>
  <c r="U2389" i="1"/>
  <c r="V2389" i="1"/>
  <c r="W2389" i="1"/>
  <c r="X2389" i="1"/>
  <c r="Y2389" i="1"/>
  <c r="Z2389" i="1"/>
  <c r="A2390" i="1"/>
  <c r="B2390" i="1"/>
  <c r="C2390" i="1"/>
  <c r="D2390" i="1"/>
  <c r="E2390" i="1"/>
  <c r="F2390" i="1"/>
  <c r="G2390" i="1"/>
  <c r="I2390" i="1"/>
  <c r="J2390" i="1"/>
  <c r="K2390" i="1"/>
  <c r="L2390" i="1"/>
  <c r="M2390" i="1"/>
  <c r="N2390" i="1"/>
  <c r="O2390" i="1"/>
  <c r="P2390" i="1"/>
  <c r="Q2390" i="1"/>
  <c r="R2390" i="1"/>
  <c r="S2390" i="1"/>
  <c r="T2390" i="1"/>
  <c r="U2390" i="1"/>
  <c r="V2390" i="1"/>
  <c r="W2390" i="1"/>
  <c r="X2390" i="1"/>
  <c r="Y2390" i="1"/>
  <c r="Z2390" i="1"/>
  <c r="A2391" i="1"/>
  <c r="B2391" i="1"/>
  <c r="C2391" i="1"/>
  <c r="D2391" i="1"/>
  <c r="E2391" i="1"/>
  <c r="F2391" i="1"/>
  <c r="G2391" i="1"/>
  <c r="I2391" i="1"/>
  <c r="J2391" i="1"/>
  <c r="K2391" i="1"/>
  <c r="L2391" i="1"/>
  <c r="M2391" i="1"/>
  <c r="N2391" i="1"/>
  <c r="O2391" i="1"/>
  <c r="P2391" i="1"/>
  <c r="Q2391" i="1"/>
  <c r="R2391" i="1"/>
  <c r="S2391" i="1"/>
  <c r="T2391" i="1"/>
  <c r="U2391" i="1"/>
  <c r="V2391" i="1"/>
  <c r="W2391" i="1"/>
  <c r="X2391" i="1"/>
  <c r="Y2391" i="1"/>
  <c r="Z2391" i="1"/>
  <c r="A2392" i="1"/>
  <c r="B2392" i="1"/>
  <c r="C2392" i="1"/>
  <c r="D2392" i="1"/>
  <c r="E2392" i="1"/>
  <c r="F2392" i="1"/>
  <c r="G2392" i="1"/>
  <c r="I2392" i="1"/>
  <c r="J2392" i="1"/>
  <c r="K2392" i="1"/>
  <c r="L2392" i="1"/>
  <c r="M2392" i="1"/>
  <c r="N2392" i="1"/>
  <c r="O2392" i="1"/>
  <c r="P2392" i="1"/>
  <c r="Q2392" i="1"/>
  <c r="R2392" i="1"/>
  <c r="S2392" i="1"/>
  <c r="T2392" i="1"/>
  <c r="U2392" i="1"/>
  <c r="V2392" i="1"/>
  <c r="W2392" i="1"/>
  <c r="X2392" i="1"/>
  <c r="Y2392" i="1"/>
  <c r="Z2392" i="1"/>
  <c r="A2393" i="1"/>
  <c r="B2393" i="1"/>
  <c r="C2393" i="1"/>
  <c r="D2393" i="1"/>
  <c r="E2393" i="1"/>
  <c r="F2393" i="1"/>
  <c r="G2393" i="1"/>
  <c r="I2393" i="1"/>
  <c r="J2393" i="1"/>
  <c r="K2393" i="1"/>
  <c r="L2393" i="1"/>
  <c r="M2393" i="1"/>
  <c r="N2393" i="1"/>
  <c r="O2393" i="1"/>
  <c r="P2393" i="1"/>
  <c r="Q2393" i="1"/>
  <c r="R2393" i="1"/>
  <c r="S2393" i="1"/>
  <c r="T2393" i="1"/>
  <c r="U2393" i="1"/>
  <c r="V2393" i="1"/>
  <c r="W2393" i="1"/>
  <c r="X2393" i="1"/>
  <c r="Y2393" i="1"/>
  <c r="Z2393" i="1"/>
  <c r="A2394" i="1"/>
  <c r="B2394" i="1"/>
  <c r="C2394" i="1"/>
  <c r="D2394" i="1"/>
  <c r="E2394" i="1"/>
  <c r="F2394" i="1"/>
  <c r="G2394" i="1"/>
  <c r="I2394" i="1"/>
  <c r="J2394" i="1"/>
  <c r="K2394" i="1"/>
  <c r="L2394" i="1"/>
  <c r="M2394" i="1"/>
  <c r="N2394" i="1"/>
  <c r="O2394" i="1"/>
  <c r="P2394" i="1"/>
  <c r="Q2394" i="1"/>
  <c r="R2394" i="1"/>
  <c r="S2394" i="1"/>
  <c r="T2394" i="1"/>
  <c r="U2394" i="1"/>
  <c r="V2394" i="1"/>
  <c r="W2394" i="1"/>
  <c r="X2394" i="1"/>
  <c r="Y2394" i="1"/>
  <c r="Z2394" i="1"/>
  <c r="A2395" i="1"/>
  <c r="B2395" i="1"/>
  <c r="C2395" i="1"/>
  <c r="D2395" i="1"/>
  <c r="E2395" i="1"/>
  <c r="F2395" i="1"/>
  <c r="G2395" i="1"/>
  <c r="I2395" i="1"/>
  <c r="J2395" i="1"/>
  <c r="K2395" i="1"/>
  <c r="L2395" i="1"/>
  <c r="M2395" i="1"/>
  <c r="N2395" i="1"/>
  <c r="O2395" i="1"/>
  <c r="P2395" i="1"/>
  <c r="Q2395" i="1"/>
  <c r="R2395" i="1"/>
  <c r="S2395" i="1"/>
  <c r="T2395" i="1"/>
  <c r="U2395" i="1"/>
  <c r="V2395" i="1"/>
  <c r="W2395" i="1"/>
  <c r="X2395" i="1"/>
  <c r="Y2395" i="1"/>
  <c r="Z2395" i="1"/>
  <c r="A2396" i="1"/>
  <c r="B2396" i="1"/>
  <c r="C2396" i="1"/>
  <c r="D2396" i="1"/>
  <c r="E2396" i="1"/>
  <c r="F2396" i="1"/>
  <c r="G2396" i="1"/>
  <c r="I2396" i="1"/>
  <c r="J2396" i="1"/>
  <c r="K2396" i="1"/>
  <c r="L2396" i="1"/>
  <c r="M2396" i="1"/>
  <c r="N2396" i="1"/>
  <c r="O2396" i="1"/>
  <c r="P2396" i="1"/>
  <c r="Q2396" i="1"/>
  <c r="R2396" i="1"/>
  <c r="S2396" i="1"/>
  <c r="T2396" i="1"/>
  <c r="U2396" i="1"/>
  <c r="V2396" i="1"/>
  <c r="W2396" i="1"/>
  <c r="X2396" i="1"/>
  <c r="Y2396" i="1"/>
  <c r="Z2396" i="1"/>
  <c r="A2397" i="1"/>
  <c r="B2397" i="1"/>
  <c r="C2397" i="1"/>
  <c r="D2397" i="1"/>
  <c r="E2397" i="1"/>
  <c r="F2397" i="1"/>
  <c r="G2397" i="1"/>
  <c r="I2397" i="1"/>
  <c r="J2397" i="1"/>
  <c r="K2397" i="1"/>
  <c r="L2397" i="1"/>
  <c r="M2397" i="1"/>
  <c r="N2397" i="1"/>
  <c r="O2397" i="1"/>
  <c r="P2397" i="1"/>
  <c r="Q2397" i="1"/>
  <c r="R2397" i="1"/>
  <c r="S2397" i="1"/>
  <c r="T2397" i="1"/>
  <c r="U2397" i="1"/>
  <c r="V2397" i="1"/>
  <c r="W2397" i="1"/>
  <c r="X2397" i="1"/>
  <c r="Y2397" i="1"/>
  <c r="Z2397" i="1"/>
  <c r="A2398" i="1"/>
  <c r="B2398" i="1"/>
  <c r="C2398" i="1"/>
  <c r="D2398" i="1"/>
  <c r="E2398" i="1"/>
  <c r="F2398" i="1"/>
  <c r="G2398" i="1"/>
  <c r="I2398" i="1"/>
  <c r="J2398" i="1"/>
  <c r="K2398" i="1"/>
  <c r="L2398" i="1"/>
  <c r="M2398" i="1"/>
  <c r="N2398" i="1"/>
  <c r="O2398" i="1"/>
  <c r="P2398" i="1"/>
  <c r="Q2398" i="1"/>
  <c r="R2398" i="1"/>
  <c r="S2398" i="1"/>
  <c r="T2398" i="1"/>
  <c r="U2398" i="1"/>
  <c r="V2398" i="1"/>
  <c r="W2398" i="1"/>
  <c r="X2398" i="1"/>
  <c r="Y2398" i="1"/>
  <c r="Z2398" i="1"/>
  <c r="A2399" i="1"/>
  <c r="B2399" i="1"/>
  <c r="C2399" i="1"/>
  <c r="D2399" i="1"/>
  <c r="E2399" i="1"/>
  <c r="F2399" i="1"/>
  <c r="G2399" i="1"/>
  <c r="I2399" i="1"/>
  <c r="J2399" i="1"/>
  <c r="K2399" i="1"/>
  <c r="L2399" i="1"/>
  <c r="M2399" i="1"/>
  <c r="N2399" i="1"/>
  <c r="O2399" i="1"/>
  <c r="P2399" i="1"/>
  <c r="Q2399" i="1"/>
  <c r="R2399" i="1"/>
  <c r="S2399" i="1"/>
  <c r="T2399" i="1"/>
  <c r="U2399" i="1"/>
  <c r="V2399" i="1"/>
  <c r="W2399" i="1"/>
  <c r="X2399" i="1"/>
  <c r="Y2399" i="1"/>
  <c r="Z2399" i="1"/>
  <c r="A2400" i="1"/>
  <c r="B2400" i="1"/>
  <c r="C2400" i="1"/>
  <c r="D2400" i="1"/>
  <c r="E2400" i="1"/>
  <c r="F2400" i="1"/>
  <c r="G2400" i="1"/>
  <c r="I2400" i="1"/>
  <c r="J2400" i="1"/>
  <c r="K2400" i="1"/>
  <c r="L2400" i="1"/>
  <c r="M2400" i="1"/>
  <c r="N2400" i="1"/>
  <c r="O2400" i="1"/>
  <c r="P2400" i="1"/>
  <c r="Q2400" i="1"/>
  <c r="R2400" i="1"/>
  <c r="S2400" i="1"/>
  <c r="T2400" i="1"/>
  <c r="U2400" i="1"/>
  <c r="V2400" i="1"/>
  <c r="W2400" i="1"/>
  <c r="X2400" i="1"/>
  <c r="Y2400" i="1"/>
  <c r="Z2400" i="1"/>
  <c r="A2401" i="1"/>
  <c r="B2401" i="1"/>
  <c r="C2401" i="1"/>
  <c r="D2401" i="1"/>
  <c r="E2401" i="1"/>
  <c r="F2401" i="1"/>
  <c r="G2401" i="1"/>
  <c r="I2401" i="1"/>
  <c r="J2401" i="1"/>
  <c r="K2401" i="1"/>
  <c r="L2401" i="1"/>
  <c r="M2401" i="1"/>
  <c r="N2401" i="1"/>
  <c r="O2401" i="1"/>
  <c r="P2401" i="1"/>
  <c r="Q2401" i="1"/>
  <c r="R2401" i="1"/>
  <c r="S2401" i="1"/>
  <c r="T2401" i="1"/>
  <c r="U2401" i="1"/>
  <c r="V2401" i="1"/>
  <c r="W2401" i="1"/>
  <c r="X2401" i="1"/>
  <c r="Y2401" i="1"/>
  <c r="Z2401" i="1"/>
  <c r="A2402" i="1"/>
  <c r="B2402" i="1"/>
  <c r="C2402" i="1"/>
  <c r="D2402" i="1"/>
  <c r="E2402" i="1"/>
  <c r="F2402" i="1"/>
  <c r="G2402" i="1"/>
  <c r="I2402" i="1"/>
  <c r="J2402" i="1"/>
  <c r="K2402" i="1"/>
  <c r="L2402" i="1"/>
  <c r="M2402" i="1"/>
  <c r="N2402" i="1"/>
  <c r="O2402" i="1"/>
  <c r="P2402" i="1"/>
  <c r="Q2402" i="1"/>
  <c r="R2402" i="1"/>
  <c r="S2402" i="1"/>
  <c r="T2402" i="1"/>
  <c r="U2402" i="1"/>
  <c r="V2402" i="1"/>
  <c r="W2402" i="1"/>
  <c r="X2402" i="1"/>
  <c r="Y2402" i="1"/>
  <c r="Z2402" i="1"/>
  <c r="A2403" i="1"/>
  <c r="B2403" i="1"/>
  <c r="C2403" i="1"/>
  <c r="D2403" i="1"/>
  <c r="E2403" i="1"/>
  <c r="F2403" i="1"/>
  <c r="G2403" i="1"/>
  <c r="I2403" i="1"/>
  <c r="J2403" i="1"/>
  <c r="K2403" i="1"/>
  <c r="L2403" i="1"/>
  <c r="M2403" i="1"/>
  <c r="N2403" i="1"/>
  <c r="O2403" i="1"/>
  <c r="P2403" i="1"/>
  <c r="Q2403" i="1"/>
  <c r="R2403" i="1"/>
  <c r="S2403" i="1"/>
  <c r="T2403" i="1"/>
  <c r="U2403" i="1"/>
  <c r="V2403" i="1"/>
  <c r="W2403" i="1"/>
  <c r="X2403" i="1"/>
  <c r="Y2403" i="1"/>
  <c r="Z2403" i="1"/>
  <c r="A2404" i="1"/>
  <c r="B2404" i="1"/>
  <c r="C2404" i="1"/>
  <c r="D2404" i="1"/>
  <c r="E2404" i="1"/>
  <c r="F2404" i="1"/>
  <c r="G2404" i="1"/>
  <c r="I2404" i="1"/>
  <c r="J2404" i="1"/>
  <c r="K2404" i="1"/>
  <c r="L2404" i="1"/>
  <c r="M2404" i="1"/>
  <c r="N2404" i="1"/>
  <c r="O2404" i="1"/>
  <c r="P2404" i="1"/>
  <c r="Q2404" i="1"/>
  <c r="R2404" i="1"/>
  <c r="S2404" i="1"/>
  <c r="T2404" i="1"/>
  <c r="U2404" i="1"/>
  <c r="V2404" i="1"/>
  <c r="W2404" i="1"/>
  <c r="X2404" i="1"/>
  <c r="Y2404" i="1"/>
  <c r="Z2404" i="1"/>
  <c r="A2405" i="1"/>
  <c r="B2405" i="1"/>
  <c r="C2405" i="1"/>
  <c r="D2405" i="1"/>
  <c r="E2405" i="1"/>
  <c r="F2405" i="1"/>
  <c r="G2405" i="1"/>
  <c r="I2405" i="1"/>
  <c r="J2405" i="1"/>
  <c r="K2405" i="1"/>
  <c r="L2405" i="1"/>
  <c r="M2405" i="1"/>
  <c r="N2405" i="1"/>
  <c r="O2405" i="1"/>
  <c r="P2405" i="1"/>
  <c r="Q2405" i="1"/>
  <c r="R2405" i="1"/>
  <c r="S2405" i="1"/>
  <c r="T2405" i="1"/>
  <c r="U2405" i="1"/>
  <c r="V2405" i="1"/>
  <c r="W2405" i="1"/>
  <c r="X2405" i="1"/>
  <c r="Y2405" i="1"/>
  <c r="Z2405" i="1"/>
  <c r="A2406" i="1"/>
  <c r="B2406" i="1"/>
  <c r="C2406" i="1"/>
  <c r="D2406" i="1"/>
  <c r="E2406" i="1"/>
  <c r="F2406" i="1"/>
  <c r="G2406" i="1"/>
  <c r="I2406" i="1"/>
  <c r="J2406" i="1"/>
  <c r="K2406" i="1"/>
  <c r="L2406" i="1"/>
  <c r="M2406" i="1"/>
  <c r="N2406" i="1"/>
  <c r="O2406" i="1"/>
  <c r="P2406" i="1"/>
  <c r="Q2406" i="1"/>
  <c r="R2406" i="1"/>
  <c r="S2406" i="1"/>
  <c r="T2406" i="1"/>
  <c r="U2406" i="1"/>
  <c r="V2406" i="1"/>
  <c r="W2406" i="1"/>
  <c r="X2406" i="1"/>
  <c r="Y2406" i="1"/>
  <c r="Z2406" i="1"/>
  <c r="A2407" i="1"/>
  <c r="B2407" i="1"/>
  <c r="C2407" i="1"/>
  <c r="D2407" i="1"/>
  <c r="E2407" i="1"/>
  <c r="F2407" i="1"/>
  <c r="G2407" i="1"/>
  <c r="I2407" i="1"/>
  <c r="J2407" i="1"/>
  <c r="K2407" i="1"/>
  <c r="L2407" i="1"/>
  <c r="M2407" i="1"/>
  <c r="N2407" i="1"/>
  <c r="O2407" i="1"/>
  <c r="P2407" i="1"/>
  <c r="Q2407" i="1"/>
  <c r="R2407" i="1"/>
  <c r="S2407" i="1"/>
  <c r="T2407" i="1"/>
  <c r="U2407" i="1"/>
  <c r="V2407" i="1"/>
  <c r="W2407" i="1"/>
  <c r="X2407" i="1"/>
  <c r="Y2407" i="1"/>
  <c r="Z2407" i="1"/>
  <c r="A2408" i="1"/>
  <c r="B2408" i="1"/>
  <c r="C2408" i="1"/>
  <c r="D2408" i="1"/>
  <c r="E2408" i="1"/>
  <c r="F2408" i="1"/>
  <c r="G2408" i="1"/>
  <c r="I2408" i="1"/>
  <c r="J2408" i="1"/>
  <c r="K2408" i="1"/>
  <c r="L2408" i="1"/>
  <c r="M2408" i="1"/>
  <c r="N2408" i="1"/>
  <c r="O2408" i="1"/>
  <c r="P2408" i="1"/>
  <c r="Q2408" i="1"/>
  <c r="R2408" i="1"/>
  <c r="S2408" i="1"/>
  <c r="T2408" i="1"/>
  <c r="U2408" i="1"/>
  <c r="V2408" i="1"/>
  <c r="W2408" i="1"/>
  <c r="X2408" i="1"/>
  <c r="Y2408" i="1"/>
  <c r="Z2408" i="1"/>
  <c r="A2409" i="1"/>
  <c r="B2409" i="1"/>
  <c r="C2409" i="1"/>
  <c r="D2409" i="1"/>
  <c r="E2409" i="1"/>
  <c r="F2409" i="1"/>
  <c r="G2409" i="1"/>
  <c r="I2409" i="1"/>
  <c r="J2409" i="1"/>
  <c r="K2409" i="1"/>
  <c r="L2409" i="1"/>
  <c r="M2409" i="1"/>
  <c r="N2409" i="1"/>
  <c r="O2409" i="1"/>
  <c r="P2409" i="1"/>
  <c r="Q2409" i="1"/>
  <c r="R2409" i="1"/>
  <c r="S2409" i="1"/>
  <c r="T2409" i="1"/>
  <c r="U2409" i="1"/>
  <c r="V2409" i="1"/>
  <c r="W2409" i="1"/>
  <c r="X2409" i="1"/>
  <c r="Y2409" i="1"/>
  <c r="Z2409" i="1"/>
  <c r="A2410" i="1"/>
  <c r="B2410" i="1"/>
  <c r="C2410" i="1"/>
  <c r="D2410" i="1"/>
  <c r="E2410" i="1"/>
  <c r="F2410" i="1"/>
  <c r="G2410" i="1"/>
  <c r="I2410" i="1"/>
  <c r="J2410" i="1"/>
  <c r="K2410" i="1"/>
  <c r="L2410" i="1"/>
  <c r="M2410" i="1"/>
  <c r="N2410" i="1"/>
  <c r="O2410" i="1"/>
  <c r="P2410" i="1"/>
  <c r="Q2410" i="1"/>
  <c r="R2410" i="1"/>
  <c r="S2410" i="1"/>
  <c r="T2410" i="1"/>
  <c r="U2410" i="1"/>
  <c r="V2410" i="1"/>
  <c r="W2410" i="1"/>
  <c r="X2410" i="1"/>
  <c r="Y2410" i="1"/>
  <c r="Z2410" i="1"/>
  <c r="A2411" i="1"/>
  <c r="B2411" i="1"/>
  <c r="C2411" i="1"/>
  <c r="D2411" i="1"/>
  <c r="E2411" i="1"/>
  <c r="F2411" i="1"/>
  <c r="G2411" i="1"/>
  <c r="I2411" i="1"/>
  <c r="J2411" i="1"/>
  <c r="K2411" i="1"/>
  <c r="L2411" i="1"/>
  <c r="M2411" i="1"/>
  <c r="N2411" i="1"/>
  <c r="O2411" i="1"/>
  <c r="P2411" i="1"/>
  <c r="Q2411" i="1"/>
  <c r="R2411" i="1"/>
  <c r="S2411" i="1"/>
  <c r="T2411" i="1"/>
  <c r="U2411" i="1"/>
  <c r="V2411" i="1"/>
  <c r="W2411" i="1"/>
  <c r="X2411" i="1"/>
  <c r="Y2411" i="1"/>
  <c r="Z2411" i="1"/>
  <c r="A2412" i="1"/>
  <c r="B2412" i="1"/>
  <c r="C2412" i="1"/>
  <c r="D2412" i="1"/>
  <c r="E2412" i="1"/>
  <c r="F2412" i="1"/>
  <c r="G2412" i="1"/>
  <c r="I2412" i="1"/>
  <c r="J2412" i="1"/>
  <c r="K2412" i="1"/>
  <c r="L2412" i="1"/>
  <c r="M2412" i="1"/>
  <c r="N2412" i="1"/>
  <c r="O2412" i="1"/>
  <c r="P2412" i="1"/>
  <c r="Q2412" i="1"/>
  <c r="R2412" i="1"/>
  <c r="S2412" i="1"/>
  <c r="T2412" i="1"/>
  <c r="U2412" i="1"/>
  <c r="V2412" i="1"/>
  <c r="W2412" i="1"/>
  <c r="X2412" i="1"/>
  <c r="Y2412" i="1"/>
  <c r="Z2412" i="1"/>
  <c r="A2413" i="1"/>
  <c r="B2413" i="1"/>
  <c r="C2413" i="1"/>
  <c r="D2413" i="1"/>
  <c r="E2413" i="1"/>
  <c r="F2413" i="1"/>
  <c r="G2413" i="1"/>
  <c r="I2413" i="1"/>
  <c r="J2413" i="1"/>
  <c r="K2413" i="1"/>
  <c r="L2413" i="1"/>
  <c r="M2413" i="1"/>
  <c r="N2413" i="1"/>
  <c r="O2413" i="1"/>
  <c r="P2413" i="1"/>
  <c r="Q2413" i="1"/>
  <c r="R2413" i="1"/>
  <c r="S2413" i="1"/>
  <c r="T2413" i="1"/>
  <c r="U2413" i="1"/>
  <c r="V2413" i="1"/>
  <c r="W2413" i="1"/>
  <c r="X2413" i="1"/>
  <c r="Y2413" i="1"/>
  <c r="Z2413" i="1"/>
  <c r="A2414" i="1"/>
  <c r="B2414" i="1"/>
  <c r="C2414" i="1"/>
  <c r="D2414" i="1"/>
  <c r="E2414" i="1"/>
  <c r="F2414" i="1"/>
  <c r="G2414" i="1"/>
  <c r="I2414" i="1"/>
  <c r="J2414" i="1"/>
  <c r="K2414" i="1"/>
  <c r="L2414" i="1"/>
  <c r="M2414" i="1"/>
  <c r="N2414" i="1"/>
  <c r="O2414" i="1"/>
  <c r="P2414" i="1"/>
  <c r="Q2414" i="1"/>
  <c r="R2414" i="1"/>
  <c r="S2414" i="1"/>
  <c r="T2414" i="1"/>
  <c r="U2414" i="1"/>
  <c r="V2414" i="1"/>
  <c r="W2414" i="1"/>
  <c r="X2414" i="1"/>
  <c r="Y2414" i="1"/>
  <c r="Z2414" i="1"/>
  <c r="A2415" i="1"/>
  <c r="B2415" i="1"/>
  <c r="C2415" i="1"/>
  <c r="D2415" i="1"/>
  <c r="E2415" i="1"/>
  <c r="F2415" i="1"/>
  <c r="G2415" i="1"/>
  <c r="I2415" i="1"/>
  <c r="J2415" i="1"/>
  <c r="K2415" i="1"/>
  <c r="L2415" i="1"/>
  <c r="M2415" i="1"/>
  <c r="N2415" i="1"/>
  <c r="O2415" i="1"/>
  <c r="P2415" i="1"/>
  <c r="Q2415" i="1"/>
  <c r="R2415" i="1"/>
  <c r="S2415" i="1"/>
  <c r="T2415" i="1"/>
  <c r="U2415" i="1"/>
  <c r="V2415" i="1"/>
  <c r="W2415" i="1"/>
  <c r="X2415" i="1"/>
  <c r="Y2415" i="1"/>
  <c r="Z2415" i="1"/>
  <c r="A2416" i="1"/>
  <c r="B2416" i="1"/>
  <c r="C2416" i="1"/>
  <c r="D2416" i="1"/>
  <c r="E2416" i="1"/>
  <c r="F2416" i="1"/>
  <c r="G2416" i="1"/>
  <c r="I2416" i="1"/>
  <c r="J2416" i="1"/>
  <c r="K2416" i="1"/>
  <c r="L2416" i="1"/>
  <c r="M2416" i="1"/>
  <c r="N2416" i="1"/>
  <c r="O2416" i="1"/>
  <c r="P2416" i="1"/>
  <c r="Q2416" i="1"/>
  <c r="R2416" i="1"/>
  <c r="S2416" i="1"/>
  <c r="T2416" i="1"/>
  <c r="U2416" i="1"/>
  <c r="V2416" i="1"/>
  <c r="W2416" i="1"/>
  <c r="X2416" i="1"/>
  <c r="Y2416" i="1"/>
  <c r="Z2416" i="1"/>
  <c r="A2417" i="1"/>
  <c r="B2417" i="1"/>
  <c r="C2417" i="1"/>
  <c r="D2417" i="1"/>
  <c r="E2417" i="1"/>
  <c r="F2417" i="1"/>
  <c r="G2417" i="1"/>
  <c r="I2417" i="1"/>
  <c r="J2417" i="1"/>
  <c r="K2417" i="1"/>
  <c r="L2417" i="1"/>
  <c r="M2417" i="1"/>
  <c r="N2417" i="1"/>
  <c r="O2417" i="1"/>
  <c r="P2417" i="1"/>
  <c r="Q2417" i="1"/>
  <c r="R2417" i="1"/>
  <c r="S2417" i="1"/>
  <c r="T2417" i="1"/>
  <c r="U2417" i="1"/>
  <c r="V2417" i="1"/>
  <c r="W2417" i="1"/>
  <c r="X2417" i="1"/>
  <c r="Y2417" i="1"/>
  <c r="Z2417" i="1"/>
  <c r="A2418" i="1"/>
  <c r="B2418" i="1"/>
  <c r="C2418" i="1"/>
  <c r="D2418" i="1"/>
  <c r="E2418" i="1"/>
  <c r="F2418" i="1"/>
  <c r="G2418" i="1"/>
  <c r="I2418" i="1"/>
  <c r="J2418" i="1"/>
  <c r="K2418" i="1"/>
  <c r="L2418" i="1"/>
  <c r="M2418" i="1"/>
  <c r="N2418" i="1"/>
  <c r="O2418" i="1"/>
  <c r="P2418" i="1"/>
  <c r="Q2418" i="1"/>
  <c r="R2418" i="1"/>
  <c r="S2418" i="1"/>
  <c r="T2418" i="1"/>
  <c r="U2418" i="1"/>
  <c r="V2418" i="1"/>
  <c r="W2418" i="1"/>
  <c r="X2418" i="1"/>
  <c r="Y2418" i="1"/>
  <c r="Z2418" i="1"/>
  <c r="A2419" i="1"/>
  <c r="B2419" i="1"/>
  <c r="C2419" i="1"/>
  <c r="D2419" i="1"/>
  <c r="E2419" i="1"/>
  <c r="F2419" i="1"/>
  <c r="G2419" i="1"/>
  <c r="I2419" i="1"/>
  <c r="J2419" i="1"/>
  <c r="K2419" i="1"/>
  <c r="L2419" i="1"/>
  <c r="M2419" i="1"/>
  <c r="N2419" i="1"/>
  <c r="O2419" i="1"/>
  <c r="P2419" i="1"/>
  <c r="Q2419" i="1"/>
  <c r="R2419" i="1"/>
  <c r="S2419" i="1"/>
  <c r="T2419" i="1"/>
  <c r="U2419" i="1"/>
  <c r="V2419" i="1"/>
  <c r="W2419" i="1"/>
  <c r="X2419" i="1"/>
  <c r="Y2419" i="1"/>
  <c r="Z2419" i="1"/>
  <c r="A2420" i="1"/>
  <c r="B2420" i="1"/>
  <c r="C2420" i="1"/>
  <c r="D2420" i="1"/>
  <c r="E2420" i="1"/>
  <c r="F2420" i="1"/>
  <c r="G2420" i="1"/>
  <c r="I2420" i="1"/>
  <c r="J2420" i="1"/>
  <c r="K2420" i="1"/>
  <c r="L2420" i="1"/>
  <c r="M2420" i="1"/>
  <c r="N2420" i="1"/>
  <c r="O2420" i="1"/>
  <c r="P2420" i="1"/>
  <c r="Q2420" i="1"/>
  <c r="R2420" i="1"/>
  <c r="S2420" i="1"/>
  <c r="T2420" i="1"/>
  <c r="U2420" i="1"/>
  <c r="V2420" i="1"/>
  <c r="W2420" i="1"/>
  <c r="X2420" i="1"/>
  <c r="Y2420" i="1"/>
  <c r="Z2420" i="1"/>
  <c r="A2421" i="1"/>
  <c r="B2421" i="1"/>
  <c r="C2421" i="1"/>
  <c r="D2421" i="1"/>
  <c r="E2421" i="1"/>
  <c r="F2421" i="1"/>
  <c r="G2421" i="1"/>
  <c r="I2421" i="1"/>
  <c r="J2421" i="1"/>
  <c r="K2421" i="1"/>
  <c r="L2421" i="1"/>
  <c r="M2421" i="1"/>
  <c r="N2421" i="1"/>
  <c r="O2421" i="1"/>
  <c r="P2421" i="1"/>
  <c r="Q2421" i="1"/>
  <c r="R2421" i="1"/>
  <c r="S2421" i="1"/>
  <c r="T2421" i="1"/>
  <c r="U2421" i="1"/>
  <c r="V2421" i="1"/>
  <c r="W2421" i="1"/>
  <c r="X2421" i="1"/>
  <c r="Y2421" i="1"/>
  <c r="Z2421" i="1"/>
  <c r="A2422" i="1"/>
  <c r="B2422" i="1"/>
  <c r="C2422" i="1"/>
  <c r="D2422" i="1"/>
  <c r="E2422" i="1"/>
  <c r="F2422" i="1"/>
  <c r="G2422" i="1"/>
  <c r="I2422" i="1"/>
  <c r="J2422" i="1"/>
  <c r="K2422" i="1"/>
  <c r="L2422" i="1"/>
  <c r="M2422" i="1"/>
  <c r="N2422" i="1"/>
  <c r="O2422" i="1"/>
  <c r="P2422" i="1"/>
  <c r="Q2422" i="1"/>
  <c r="R2422" i="1"/>
  <c r="S2422" i="1"/>
  <c r="T2422" i="1"/>
  <c r="U2422" i="1"/>
  <c r="V2422" i="1"/>
  <c r="W2422" i="1"/>
  <c r="X2422" i="1"/>
  <c r="Y2422" i="1"/>
  <c r="Z2422" i="1"/>
  <c r="A2423" i="1"/>
  <c r="B2423" i="1"/>
  <c r="C2423" i="1"/>
  <c r="D2423" i="1"/>
  <c r="E2423" i="1"/>
  <c r="F2423" i="1"/>
  <c r="G2423" i="1"/>
  <c r="I2423" i="1"/>
  <c r="J2423" i="1"/>
  <c r="K2423" i="1"/>
  <c r="L2423" i="1"/>
  <c r="M2423" i="1"/>
  <c r="N2423" i="1"/>
  <c r="O2423" i="1"/>
  <c r="P2423" i="1"/>
  <c r="Q2423" i="1"/>
  <c r="R2423" i="1"/>
  <c r="S2423" i="1"/>
  <c r="T2423" i="1"/>
  <c r="U2423" i="1"/>
  <c r="V2423" i="1"/>
  <c r="W2423" i="1"/>
  <c r="X2423" i="1"/>
  <c r="Y2423" i="1"/>
  <c r="Z2423" i="1"/>
  <c r="A2424" i="1"/>
  <c r="B2424" i="1"/>
  <c r="C2424" i="1"/>
  <c r="D2424" i="1"/>
  <c r="E2424" i="1"/>
  <c r="F2424" i="1"/>
  <c r="G2424" i="1"/>
  <c r="I2424" i="1"/>
  <c r="J2424" i="1"/>
  <c r="K2424" i="1"/>
  <c r="L2424" i="1"/>
  <c r="M2424" i="1"/>
  <c r="N2424" i="1"/>
  <c r="O2424" i="1"/>
  <c r="P2424" i="1"/>
  <c r="Q2424" i="1"/>
  <c r="R2424" i="1"/>
  <c r="S2424" i="1"/>
  <c r="T2424" i="1"/>
  <c r="U2424" i="1"/>
  <c r="V2424" i="1"/>
  <c r="W2424" i="1"/>
  <c r="X2424" i="1"/>
  <c r="Y2424" i="1"/>
  <c r="Z2424" i="1"/>
  <c r="A2425" i="1"/>
  <c r="B2425" i="1"/>
  <c r="C2425" i="1"/>
  <c r="D2425" i="1"/>
  <c r="E2425" i="1"/>
  <c r="F2425" i="1"/>
  <c r="G2425" i="1"/>
  <c r="I2425" i="1"/>
  <c r="J2425" i="1"/>
  <c r="K2425" i="1"/>
  <c r="L2425" i="1"/>
  <c r="M2425" i="1"/>
  <c r="N2425" i="1"/>
  <c r="O2425" i="1"/>
  <c r="P2425" i="1"/>
  <c r="Q2425" i="1"/>
  <c r="R2425" i="1"/>
  <c r="S2425" i="1"/>
  <c r="T2425" i="1"/>
  <c r="U2425" i="1"/>
  <c r="V2425" i="1"/>
  <c r="W2425" i="1"/>
  <c r="X2425" i="1"/>
  <c r="Y2425" i="1"/>
  <c r="Z2425" i="1"/>
  <c r="A2426" i="1"/>
  <c r="B2426" i="1"/>
  <c r="C2426" i="1"/>
  <c r="D2426" i="1"/>
  <c r="E2426" i="1"/>
  <c r="F2426" i="1"/>
  <c r="G2426" i="1"/>
  <c r="I2426" i="1"/>
  <c r="J2426" i="1"/>
  <c r="K2426" i="1"/>
  <c r="L2426" i="1"/>
  <c r="M2426" i="1"/>
  <c r="N2426" i="1"/>
  <c r="O2426" i="1"/>
  <c r="P2426" i="1"/>
  <c r="Q2426" i="1"/>
  <c r="R2426" i="1"/>
  <c r="S2426" i="1"/>
  <c r="T2426" i="1"/>
  <c r="U2426" i="1"/>
  <c r="V2426" i="1"/>
  <c r="W2426" i="1"/>
  <c r="X2426" i="1"/>
  <c r="Y2426" i="1"/>
  <c r="Z2426" i="1"/>
  <c r="A2427" i="1"/>
  <c r="B2427" i="1"/>
  <c r="C2427" i="1"/>
  <c r="D2427" i="1"/>
  <c r="E2427" i="1"/>
  <c r="F2427" i="1"/>
  <c r="G2427" i="1"/>
  <c r="I2427" i="1"/>
  <c r="J2427" i="1"/>
  <c r="K2427" i="1"/>
  <c r="L2427" i="1"/>
  <c r="M2427" i="1"/>
  <c r="N2427" i="1"/>
  <c r="O2427" i="1"/>
  <c r="P2427" i="1"/>
  <c r="Q2427" i="1"/>
  <c r="R2427" i="1"/>
  <c r="S2427" i="1"/>
  <c r="T2427" i="1"/>
  <c r="U2427" i="1"/>
  <c r="V2427" i="1"/>
  <c r="W2427" i="1"/>
  <c r="X2427" i="1"/>
  <c r="Y2427" i="1"/>
  <c r="Z2427" i="1"/>
  <c r="A2428" i="1"/>
  <c r="B2428" i="1"/>
  <c r="C2428" i="1"/>
  <c r="D2428" i="1"/>
  <c r="E2428" i="1"/>
  <c r="F2428" i="1"/>
  <c r="G2428" i="1"/>
  <c r="I2428" i="1"/>
  <c r="J2428" i="1"/>
  <c r="K2428" i="1"/>
  <c r="L2428" i="1"/>
  <c r="M2428" i="1"/>
  <c r="N2428" i="1"/>
  <c r="O2428" i="1"/>
  <c r="P2428" i="1"/>
  <c r="Q2428" i="1"/>
  <c r="R2428" i="1"/>
  <c r="S2428" i="1"/>
  <c r="T2428" i="1"/>
  <c r="U2428" i="1"/>
  <c r="V2428" i="1"/>
  <c r="W2428" i="1"/>
  <c r="X2428" i="1"/>
  <c r="Y2428" i="1"/>
  <c r="Z2428" i="1"/>
  <c r="A2429" i="1"/>
  <c r="B2429" i="1"/>
  <c r="C2429" i="1"/>
  <c r="D2429" i="1"/>
  <c r="E2429" i="1"/>
  <c r="F2429" i="1"/>
  <c r="G2429" i="1"/>
  <c r="I2429" i="1"/>
  <c r="J2429" i="1"/>
  <c r="K2429" i="1"/>
  <c r="L2429" i="1"/>
  <c r="M2429" i="1"/>
  <c r="N2429" i="1"/>
  <c r="O2429" i="1"/>
  <c r="P2429" i="1"/>
  <c r="Q2429" i="1"/>
  <c r="R2429" i="1"/>
  <c r="S2429" i="1"/>
  <c r="T2429" i="1"/>
  <c r="U2429" i="1"/>
  <c r="V2429" i="1"/>
  <c r="W2429" i="1"/>
  <c r="X2429" i="1"/>
  <c r="Y2429" i="1"/>
  <c r="Z2429" i="1"/>
  <c r="A2430" i="1"/>
  <c r="B2430" i="1"/>
  <c r="C2430" i="1"/>
  <c r="D2430" i="1"/>
  <c r="E2430" i="1"/>
  <c r="F2430" i="1"/>
  <c r="G2430" i="1"/>
  <c r="I2430" i="1"/>
  <c r="J2430" i="1"/>
  <c r="K2430" i="1"/>
  <c r="L2430" i="1"/>
  <c r="M2430" i="1"/>
  <c r="N2430" i="1"/>
  <c r="O2430" i="1"/>
  <c r="P2430" i="1"/>
  <c r="Q2430" i="1"/>
  <c r="R2430" i="1"/>
  <c r="S2430" i="1"/>
  <c r="T2430" i="1"/>
  <c r="U2430" i="1"/>
  <c r="V2430" i="1"/>
  <c r="W2430" i="1"/>
  <c r="X2430" i="1"/>
  <c r="Y2430" i="1"/>
  <c r="Z2430" i="1"/>
  <c r="A2431" i="1"/>
  <c r="B2431" i="1"/>
  <c r="C2431" i="1"/>
  <c r="D2431" i="1"/>
  <c r="E2431" i="1"/>
  <c r="F2431" i="1"/>
  <c r="G2431" i="1"/>
  <c r="I2431" i="1"/>
  <c r="J2431" i="1"/>
  <c r="K2431" i="1"/>
  <c r="L2431" i="1"/>
  <c r="M2431" i="1"/>
  <c r="N2431" i="1"/>
  <c r="O2431" i="1"/>
  <c r="P2431" i="1"/>
  <c r="Q2431" i="1"/>
  <c r="R2431" i="1"/>
  <c r="S2431" i="1"/>
  <c r="T2431" i="1"/>
  <c r="U2431" i="1"/>
  <c r="V2431" i="1"/>
  <c r="W2431" i="1"/>
  <c r="X2431" i="1"/>
  <c r="Y2431" i="1"/>
  <c r="Z2431" i="1"/>
  <c r="A2432" i="1"/>
  <c r="B2432" i="1"/>
  <c r="C2432" i="1"/>
  <c r="D2432" i="1"/>
  <c r="E2432" i="1"/>
  <c r="F2432" i="1"/>
  <c r="G2432" i="1"/>
  <c r="I2432" i="1"/>
  <c r="J2432" i="1"/>
  <c r="K2432" i="1"/>
  <c r="L2432" i="1"/>
  <c r="M2432" i="1"/>
  <c r="N2432" i="1"/>
  <c r="O2432" i="1"/>
  <c r="P2432" i="1"/>
  <c r="Q2432" i="1"/>
  <c r="R2432" i="1"/>
  <c r="S2432" i="1"/>
  <c r="T2432" i="1"/>
  <c r="U2432" i="1"/>
  <c r="V2432" i="1"/>
  <c r="W2432" i="1"/>
  <c r="X2432" i="1"/>
  <c r="Y2432" i="1"/>
  <c r="Z2432" i="1"/>
  <c r="A2433" i="1"/>
  <c r="B2433" i="1"/>
  <c r="C2433" i="1"/>
  <c r="D2433" i="1"/>
  <c r="E2433" i="1"/>
  <c r="F2433" i="1"/>
  <c r="G2433" i="1"/>
  <c r="I2433" i="1"/>
  <c r="J2433" i="1"/>
  <c r="K2433" i="1"/>
  <c r="L2433" i="1"/>
  <c r="M2433" i="1"/>
  <c r="N2433" i="1"/>
  <c r="O2433" i="1"/>
  <c r="P2433" i="1"/>
  <c r="Q2433" i="1"/>
  <c r="R2433" i="1"/>
  <c r="S2433" i="1"/>
  <c r="T2433" i="1"/>
  <c r="U2433" i="1"/>
  <c r="V2433" i="1"/>
  <c r="W2433" i="1"/>
  <c r="X2433" i="1"/>
  <c r="Y2433" i="1"/>
  <c r="Z2433" i="1"/>
  <c r="A2434" i="1"/>
  <c r="B2434" i="1"/>
  <c r="C2434" i="1"/>
  <c r="D2434" i="1"/>
  <c r="E2434" i="1"/>
  <c r="F2434" i="1"/>
  <c r="G2434" i="1"/>
  <c r="I2434" i="1"/>
  <c r="J2434" i="1"/>
  <c r="K2434" i="1"/>
  <c r="L2434" i="1"/>
  <c r="M2434" i="1"/>
  <c r="N2434" i="1"/>
  <c r="O2434" i="1"/>
  <c r="P2434" i="1"/>
  <c r="Q2434" i="1"/>
  <c r="R2434" i="1"/>
  <c r="S2434" i="1"/>
  <c r="T2434" i="1"/>
  <c r="U2434" i="1"/>
  <c r="V2434" i="1"/>
  <c r="W2434" i="1"/>
  <c r="X2434" i="1"/>
  <c r="Y2434" i="1"/>
  <c r="Z2434" i="1"/>
  <c r="A2435" i="1"/>
  <c r="B2435" i="1"/>
  <c r="C2435" i="1"/>
  <c r="D2435" i="1"/>
  <c r="E2435" i="1"/>
  <c r="F2435" i="1"/>
  <c r="G2435" i="1"/>
  <c r="I2435" i="1"/>
  <c r="J2435" i="1"/>
  <c r="K2435" i="1"/>
  <c r="L2435" i="1"/>
  <c r="M2435" i="1"/>
  <c r="N2435" i="1"/>
  <c r="O2435" i="1"/>
  <c r="P2435" i="1"/>
  <c r="Q2435" i="1"/>
  <c r="R2435" i="1"/>
  <c r="S2435" i="1"/>
  <c r="T2435" i="1"/>
  <c r="U2435" i="1"/>
  <c r="V2435" i="1"/>
  <c r="W2435" i="1"/>
  <c r="X2435" i="1"/>
  <c r="Y2435" i="1"/>
  <c r="Z2435" i="1"/>
  <c r="A2436" i="1"/>
  <c r="B2436" i="1"/>
  <c r="C2436" i="1"/>
  <c r="D2436" i="1"/>
  <c r="E2436" i="1"/>
  <c r="F2436" i="1"/>
  <c r="G2436" i="1"/>
  <c r="I2436" i="1"/>
  <c r="J2436" i="1"/>
  <c r="K2436" i="1"/>
  <c r="L2436" i="1"/>
  <c r="M2436" i="1"/>
  <c r="N2436" i="1"/>
  <c r="O2436" i="1"/>
  <c r="P2436" i="1"/>
  <c r="Q2436" i="1"/>
  <c r="R2436" i="1"/>
  <c r="S2436" i="1"/>
  <c r="T2436" i="1"/>
  <c r="U2436" i="1"/>
  <c r="V2436" i="1"/>
  <c r="W2436" i="1"/>
  <c r="X2436" i="1"/>
  <c r="Y2436" i="1"/>
  <c r="Z2436" i="1"/>
  <c r="A2437" i="1"/>
  <c r="B2437" i="1"/>
  <c r="C2437" i="1"/>
  <c r="D2437" i="1"/>
  <c r="E2437" i="1"/>
  <c r="F2437" i="1"/>
  <c r="G2437" i="1"/>
  <c r="I2437" i="1"/>
  <c r="J2437" i="1"/>
  <c r="K2437" i="1"/>
  <c r="L2437" i="1"/>
  <c r="M2437" i="1"/>
  <c r="N2437" i="1"/>
  <c r="O2437" i="1"/>
  <c r="P2437" i="1"/>
  <c r="Q2437" i="1"/>
  <c r="R2437" i="1"/>
  <c r="S2437" i="1"/>
  <c r="T2437" i="1"/>
  <c r="U2437" i="1"/>
  <c r="V2437" i="1"/>
  <c r="W2437" i="1"/>
  <c r="X2437" i="1"/>
  <c r="Y2437" i="1"/>
  <c r="Z2437" i="1"/>
  <c r="A2438" i="1"/>
  <c r="B2438" i="1"/>
  <c r="C2438" i="1"/>
  <c r="D2438" i="1"/>
  <c r="E2438" i="1"/>
  <c r="F2438" i="1"/>
  <c r="G2438" i="1"/>
  <c r="I2438" i="1"/>
  <c r="J2438" i="1"/>
  <c r="K2438" i="1"/>
  <c r="L2438" i="1"/>
  <c r="M2438" i="1"/>
  <c r="N2438" i="1"/>
  <c r="O2438" i="1"/>
  <c r="P2438" i="1"/>
  <c r="Q2438" i="1"/>
  <c r="R2438" i="1"/>
  <c r="S2438" i="1"/>
  <c r="T2438" i="1"/>
  <c r="U2438" i="1"/>
  <c r="V2438" i="1"/>
  <c r="W2438" i="1"/>
  <c r="X2438" i="1"/>
  <c r="Y2438" i="1"/>
  <c r="Z2438" i="1"/>
  <c r="A2439" i="1"/>
  <c r="B2439" i="1"/>
  <c r="C2439" i="1"/>
  <c r="D2439" i="1"/>
  <c r="E2439" i="1"/>
  <c r="F2439" i="1"/>
  <c r="G2439" i="1"/>
  <c r="I2439" i="1"/>
  <c r="J2439" i="1"/>
  <c r="K2439" i="1"/>
  <c r="L2439" i="1"/>
  <c r="M2439" i="1"/>
  <c r="N2439" i="1"/>
  <c r="O2439" i="1"/>
  <c r="P2439" i="1"/>
  <c r="Q2439" i="1"/>
  <c r="R2439" i="1"/>
  <c r="S2439" i="1"/>
  <c r="T2439" i="1"/>
  <c r="U2439" i="1"/>
  <c r="V2439" i="1"/>
  <c r="W2439" i="1"/>
  <c r="X2439" i="1"/>
  <c r="Y2439" i="1"/>
  <c r="Z2439" i="1"/>
  <c r="A2440" i="1"/>
  <c r="B2440" i="1"/>
  <c r="C2440" i="1"/>
  <c r="D2440" i="1"/>
  <c r="E2440" i="1"/>
  <c r="F2440" i="1"/>
  <c r="G2440" i="1"/>
  <c r="I2440" i="1"/>
  <c r="J2440" i="1"/>
  <c r="K2440" i="1"/>
  <c r="L2440" i="1"/>
  <c r="M2440" i="1"/>
  <c r="N2440" i="1"/>
  <c r="O2440" i="1"/>
  <c r="P2440" i="1"/>
  <c r="Q2440" i="1"/>
  <c r="R2440" i="1"/>
  <c r="S2440" i="1"/>
  <c r="T2440" i="1"/>
  <c r="U2440" i="1"/>
  <c r="V2440" i="1"/>
  <c r="W2440" i="1"/>
  <c r="X2440" i="1"/>
  <c r="Y2440" i="1"/>
  <c r="Z2440" i="1"/>
  <c r="A2441" i="1"/>
  <c r="B2441" i="1"/>
  <c r="C2441" i="1"/>
  <c r="D2441" i="1"/>
  <c r="E2441" i="1"/>
  <c r="F2441" i="1"/>
  <c r="G2441" i="1"/>
  <c r="I2441" i="1"/>
  <c r="J2441" i="1"/>
  <c r="K2441" i="1"/>
  <c r="L2441" i="1"/>
  <c r="M2441" i="1"/>
  <c r="N2441" i="1"/>
  <c r="O2441" i="1"/>
  <c r="P2441" i="1"/>
  <c r="Q2441" i="1"/>
  <c r="R2441" i="1"/>
  <c r="S2441" i="1"/>
  <c r="T2441" i="1"/>
  <c r="U2441" i="1"/>
  <c r="V2441" i="1"/>
  <c r="W2441" i="1"/>
  <c r="X2441" i="1"/>
  <c r="Y2441" i="1"/>
  <c r="Z2441" i="1"/>
  <c r="A2442" i="1"/>
  <c r="B2442" i="1"/>
  <c r="C2442" i="1"/>
  <c r="D2442" i="1"/>
  <c r="E2442" i="1"/>
  <c r="F2442" i="1"/>
  <c r="G2442" i="1"/>
  <c r="I2442" i="1"/>
  <c r="J2442" i="1"/>
  <c r="K2442" i="1"/>
  <c r="L2442" i="1"/>
  <c r="M2442" i="1"/>
  <c r="N2442" i="1"/>
  <c r="O2442" i="1"/>
  <c r="P2442" i="1"/>
  <c r="Q2442" i="1"/>
  <c r="R2442" i="1"/>
  <c r="S2442" i="1"/>
  <c r="T2442" i="1"/>
  <c r="U2442" i="1"/>
  <c r="V2442" i="1"/>
  <c r="W2442" i="1"/>
  <c r="X2442" i="1"/>
  <c r="Y2442" i="1"/>
  <c r="Z2442" i="1"/>
  <c r="A2443" i="1"/>
  <c r="B2443" i="1"/>
  <c r="C2443" i="1"/>
  <c r="D2443" i="1"/>
  <c r="E2443" i="1"/>
  <c r="F2443" i="1"/>
  <c r="G2443" i="1"/>
  <c r="I2443" i="1"/>
  <c r="J2443" i="1"/>
  <c r="K2443" i="1"/>
  <c r="L2443" i="1"/>
  <c r="M2443" i="1"/>
  <c r="N2443" i="1"/>
  <c r="O2443" i="1"/>
  <c r="P2443" i="1"/>
  <c r="Q2443" i="1"/>
  <c r="R2443" i="1"/>
  <c r="S2443" i="1"/>
  <c r="T2443" i="1"/>
  <c r="U2443" i="1"/>
  <c r="V2443" i="1"/>
  <c r="W2443" i="1"/>
  <c r="X2443" i="1"/>
  <c r="Y2443" i="1"/>
  <c r="Z2443" i="1"/>
  <c r="A2444" i="1"/>
  <c r="B2444" i="1"/>
  <c r="C2444" i="1"/>
  <c r="D2444" i="1"/>
  <c r="E2444" i="1"/>
  <c r="F2444" i="1"/>
  <c r="G2444" i="1"/>
  <c r="I2444" i="1"/>
  <c r="J2444" i="1"/>
  <c r="K2444" i="1"/>
  <c r="L2444" i="1"/>
  <c r="M2444" i="1"/>
  <c r="N2444" i="1"/>
  <c r="O2444" i="1"/>
  <c r="P2444" i="1"/>
  <c r="Q2444" i="1"/>
  <c r="R2444" i="1"/>
  <c r="S2444" i="1"/>
  <c r="T2444" i="1"/>
  <c r="U2444" i="1"/>
  <c r="V2444" i="1"/>
  <c r="W2444" i="1"/>
  <c r="X2444" i="1"/>
  <c r="Y2444" i="1"/>
  <c r="Z2444" i="1"/>
  <c r="A2445" i="1"/>
  <c r="B2445" i="1"/>
  <c r="C2445" i="1"/>
  <c r="D2445" i="1"/>
  <c r="E2445" i="1"/>
  <c r="F2445" i="1"/>
  <c r="G2445" i="1"/>
  <c r="I2445" i="1"/>
  <c r="J2445" i="1"/>
  <c r="K2445" i="1"/>
  <c r="L2445" i="1"/>
  <c r="M2445" i="1"/>
  <c r="N2445" i="1"/>
  <c r="O2445" i="1"/>
  <c r="P2445" i="1"/>
  <c r="Q2445" i="1"/>
  <c r="R2445" i="1"/>
  <c r="S2445" i="1"/>
  <c r="T2445" i="1"/>
  <c r="U2445" i="1"/>
  <c r="V2445" i="1"/>
  <c r="W2445" i="1"/>
  <c r="X2445" i="1"/>
  <c r="Y2445" i="1"/>
  <c r="Z2445" i="1"/>
  <c r="A2446" i="1"/>
  <c r="B2446" i="1"/>
  <c r="C2446" i="1"/>
  <c r="D2446" i="1"/>
  <c r="E2446" i="1"/>
  <c r="F2446" i="1"/>
  <c r="G2446" i="1"/>
  <c r="I2446" i="1"/>
  <c r="J2446" i="1"/>
  <c r="K2446" i="1"/>
  <c r="L2446" i="1"/>
  <c r="M2446" i="1"/>
  <c r="N2446" i="1"/>
  <c r="O2446" i="1"/>
  <c r="P2446" i="1"/>
  <c r="Q2446" i="1"/>
  <c r="R2446" i="1"/>
  <c r="S2446" i="1"/>
  <c r="T2446" i="1"/>
  <c r="U2446" i="1"/>
  <c r="V2446" i="1"/>
  <c r="W2446" i="1"/>
  <c r="X2446" i="1"/>
  <c r="Y2446" i="1"/>
  <c r="Z2446" i="1"/>
  <c r="A2447" i="1"/>
  <c r="B2447" i="1"/>
  <c r="C2447" i="1"/>
  <c r="D2447" i="1"/>
  <c r="E2447" i="1"/>
  <c r="F2447" i="1"/>
  <c r="G2447" i="1"/>
  <c r="I2447" i="1"/>
  <c r="J2447" i="1"/>
  <c r="K2447" i="1"/>
  <c r="L2447" i="1"/>
  <c r="M2447" i="1"/>
  <c r="N2447" i="1"/>
  <c r="O2447" i="1"/>
  <c r="P2447" i="1"/>
  <c r="Q2447" i="1"/>
  <c r="R2447" i="1"/>
  <c r="S2447" i="1"/>
  <c r="T2447" i="1"/>
  <c r="U2447" i="1"/>
  <c r="V2447" i="1"/>
  <c r="W2447" i="1"/>
  <c r="X2447" i="1"/>
  <c r="Y2447" i="1"/>
  <c r="Z2447" i="1"/>
  <c r="A2448" i="1"/>
  <c r="B2448" i="1"/>
  <c r="C2448" i="1"/>
  <c r="D2448" i="1"/>
  <c r="E2448" i="1"/>
  <c r="F2448" i="1"/>
  <c r="G2448" i="1"/>
  <c r="I2448" i="1"/>
  <c r="J2448" i="1"/>
  <c r="K2448" i="1"/>
  <c r="L2448" i="1"/>
  <c r="M2448" i="1"/>
  <c r="N2448" i="1"/>
  <c r="O2448" i="1"/>
  <c r="P2448" i="1"/>
  <c r="Q2448" i="1"/>
  <c r="R2448" i="1"/>
  <c r="S2448" i="1"/>
  <c r="T2448" i="1"/>
  <c r="U2448" i="1"/>
  <c r="V2448" i="1"/>
  <c r="W2448" i="1"/>
  <c r="X2448" i="1"/>
  <c r="Y2448" i="1"/>
  <c r="Z2448" i="1"/>
  <c r="A2449" i="1"/>
  <c r="B2449" i="1"/>
  <c r="C2449" i="1"/>
  <c r="D2449" i="1"/>
  <c r="E2449" i="1"/>
  <c r="F2449" i="1"/>
  <c r="G2449" i="1"/>
  <c r="I2449" i="1"/>
  <c r="J2449" i="1"/>
  <c r="K2449" i="1"/>
  <c r="L2449" i="1"/>
  <c r="M2449" i="1"/>
  <c r="N2449" i="1"/>
  <c r="O2449" i="1"/>
  <c r="P2449" i="1"/>
  <c r="Q2449" i="1"/>
  <c r="R2449" i="1"/>
  <c r="S2449" i="1"/>
  <c r="T2449" i="1"/>
  <c r="U2449" i="1"/>
  <c r="V2449" i="1"/>
  <c r="W2449" i="1"/>
  <c r="X2449" i="1"/>
  <c r="Y2449" i="1"/>
  <c r="Z2449" i="1"/>
  <c r="A2450" i="1"/>
  <c r="B2450" i="1"/>
  <c r="C2450" i="1"/>
  <c r="D2450" i="1"/>
  <c r="E2450" i="1"/>
  <c r="F2450" i="1"/>
  <c r="G2450" i="1"/>
  <c r="I2450" i="1"/>
  <c r="J2450" i="1"/>
  <c r="K2450" i="1"/>
  <c r="L2450" i="1"/>
  <c r="M2450" i="1"/>
  <c r="N2450" i="1"/>
  <c r="O2450" i="1"/>
  <c r="P2450" i="1"/>
  <c r="Q2450" i="1"/>
  <c r="R2450" i="1"/>
  <c r="S2450" i="1"/>
  <c r="T2450" i="1"/>
  <c r="U2450" i="1"/>
  <c r="V2450" i="1"/>
  <c r="W2450" i="1"/>
  <c r="X2450" i="1"/>
  <c r="Y2450" i="1"/>
  <c r="Z2450" i="1"/>
  <c r="A2451" i="1"/>
  <c r="B2451" i="1"/>
  <c r="C2451" i="1"/>
  <c r="D2451" i="1"/>
  <c r="E2451" i="1"/>
  <c r="F2451" i="1"/>
  <c r="G2451" i="1"/>
  <c r="I2451" i="1"/>
  <c r="J2451" i="1"/>
  <c r="K2451" i="1"/>
  <c r="L2451" i="1"/>
  <c r="M2451" i="1"/>
  <c r="N2451" i="1"/>
  <c r="O2451" i="1"/>
  <c r="P2451" i="1"/>
  <c r="Q2451" i="1"/>
  <c r="R2451" i="1"/>
  <c r="S2451" i="1"/>
  <c r="T2451" i="1"/>
  <c r="U2451" i="1"/>
  <c r="V2451" i="1"/>
  <c r="W2451" i="1"/>
  <c r="X2451" i="1"/>
  <c r="Y2451" i="1"/>
  <c r="Z2451" i="1"/>
  <c r="A2452" i="1"/>
  <c r="B2452" i="1"/>
  <c r="C2452" i="1"/>
  <c r="D2452" i="1"/>
  <c r="E2452" i="1"/>
  <c r="F2452" i="1"/>
  <c r="G2452" i="1"/>
  <c r="I2452" i="1"/>
  <c r="J2452" i="1"/>
  <c r="K2452" i="1"/>
  <c r="L2452" i="1"/>
  <c r="M2452" i="1"/>
  <c r="N2452" i="1"/>
  <c r="O2452" i="1"/>
  <c r="P2452" i="1"/>
  <c r="Q2452" i="1"/>
  <c r="R2452" i="1"/>
  <c r="S2452" i="1"/>
  <c r="T2452" i="1"/>
  <c r="U2452" i="1"/>
  <c r="V2452" i="1"/>
  <c r="W2452" i="1"/>
  <c r="X2452" i="1"/>
  <c r="Y2452" i="1"/>
  <c r="Z2452" i="1"/>
  <c r="A2453" i="1"/>
  <c r="B2453" i="1"/>
  <c r="C2453" i="1"/>
  <c r="D2453" i="1"/>
  <c r="E2453" i="1"/>
  <c r="F2453" i="1"/>
  <c r="G2453" i="1"/>
  <c r="I2453" i="1"/>
  <c r="J2453" i="1"/>
  <c r="K2453" i="1"/>
  <c r="L2453" i="1"/>
  <c r="M2453" i="1"/>
  <c r="N2453" i="1"/>
  <c r="O2453" i="1"/>
  <c r="P2453" i="1"/>
  <c r="Q2453" i="1"/>
  <c r="R2453" i="1"/>
  <c r="S2453" i="1"/>
  <c r="T2453" i="1"/>
  <c r="U2453" i="1"/>
  <c r="V2453" i="1"/>
  <c r="W2453" i="1"/>
  <c r="X2453" i="1"/>
  <c r="Y2453" i="1"/>
  <c r="Z2453" i="1"/>
  <c r="A2454" i="1"/>
  <c r="B2454" i="1"/>
  <c r="C2454" i="1"/>
  <c r="D2454" i="1"/>
  <c r="E2454" i="1"/>
  <c r="F2454" i="1"/>
  <c r="G2454" i="1"/>
  <c r="I2454" i="1"/>
  <c r="J2454" i="1"/>
  <c r="K2454" i="1"/>
  <c r="L2454" i="1"/>
  <c r="M2454" i="1"/>
  <c r="N2454" i="1"/>
  <c r="O2454" i="1"/>
  <c r="P2454" i="1"/>
  <c r="Q2454" i="1"/>
  <c r="R2454" i="1"/>
  <c r="S2454" i="1"/>
  <c r="T2454" i="1"/>
  <c r="U2454" i="1"/>
  <c r="V2454" i="1"/>
  <c r="W2454" i="1"/>
  <c r="X2454" i="1"/>
  <c r="Y2454" i="1"/>
  <c r="Z2454" i="1"/>
  <c r="A2455" i="1"/>
  <c r="B2455" i="1"/>
  <c r="C2455" i="1"/>
  <c r="D2455" i="1"/>
  <c r="E2455" i="1"/>
  <c r="F2455" i="1"/>
  <c r="G2455" i="1"/>
  <c r="I2455" i="1"/>
  <c r="J2455" i="1"/>
  <c r="K2455" i="1"/>
  <c r="L2455" i="1"/>
  <c r="M2455" i="1"/>
  <c r="N2455" i="1"/>
  <c r="O2455" i="1"/>
  <c r="P2455" i="1"/>
  <c r="Q2455" i="1"/>
  <c r="R2455" i="1"/>
  <c r="S2455" i="1"/>
  <c r="T2455" i="1"/>
  <c r="U2455" i="1"/>
  <c r="V2455" i="1"/>
  <c r="W2455" i="1"/>
  <c r="X2455" i="1"/>
  <c r="Y2455" i="1"/>
  <c r="Z2455" i="1"/>
  <c r="A2456" i="1"/>
  <c r="B2456" i="1"/>
  <c r="C2456" i="1"/>
  <c r="D2456" i="1"/>
  <c r="E2456" i="1"/>
  <c r="F2456" i="1"/>
  <c r="G2456" i="1"/>
  <c r="I2456" i="1"/>
  <c r="J2456" i="1"/>
  <c r="K2456" i="1"/>
  <c r="L2456" i="1"/>
  <c r="M2456" i="1"/>
  <c r="N2456" i="1"/>
  <c r="O2456" i="1"/>
  <c r="P2456" i="1"/>
  <c r="Q2456" i="1"/>
  <c r="R2456" i="1"/>
  <c r="S2456" i="1"/>
  <c r="T2456" i="1"/>
  <c r="U2456" i="1"/>
  <c r="V2456" i="1"/>
  <c r="W2456" i="1"/>
  <c r="X2456" i="1"/>
  <c r="Y2456" i="1"/>
  <c r="Z2456" i="1"/>
  <c r="A2457" i="1"/>
  <c r="B2457" i="1"/>
  <c r="C2457" i="1"/>
  <c r="D2457" i="1"/>
  <c r="E2457" i="1"/>
  <c r="F2457" i="1"/>
  <c r="G2457" i="1"/>
  <c r="I2457" i="1"/>
  <c r="J2457" i="1"/>
  <c r="K2457" i="1"/>
  <c r="L2457" i="1"/>
  <c r="M2457" i="1"/>
  <c r="N2457" i="1"/>
  <c r="O2457" i="1"/>
  <c r="P2457" i="1"/>
  <c r="Q2457" i="1"/>
  <c r="R2457" i="1"/>
  <c r="S2457" i="1"/>
  <c r="T2457" i="1"/>
  <c r="U2457" i="1"/>
  <c r="V2457" i="1"/>
  <c r="W2457" i="1"/>
  <c r="X2457" i="1"/>
  <c r="Y2457" i="1"/>
  <c r="Z2457" i="1"/>
  <c r="A2458" i="1"/>
  <c r="B2458" i="1"/>
  <c r="C2458" i="1"/>
  <c r="D2458" i="1"/>
  <c r="E2458" i="1"/>
  <c r="F2458" i="1"/>
  <c r="G2458" i="1"/>
  <c r="I2458" i="1"/>
  <c r="J2458" i="1"/>
  <c r="K2458" i="1"/>
  <c r="L2458" i="1"/>
  <c r="M2458" i="1"/>
  <c r="N2458" i="1"/>
  <c r="O2458" i="1"/>
  <c r="P2458" i="1"/>
  <c r="Q2458" i="1"/>
  <c r="R2458" i="1"/>
  <c r="S2458" i="1"/>
  <c r="T2458" i="1"/>
  <c r="U2458" i="1"/>
  <c r="V2458" i="1"/>
  <c r="W2458" i="1"/>
  <c r="X2458" i="1"/>
  <c r="Y2458" i="1"/>
  <c r="Z2458" i="1"/>
  <c r="A2459" i="1"/>
  <c r="B2459" i="1"/>
  <c r="C2459" i="1"/>
  <c r="D2459" i="1"/>
  <c r="E2459" i="1"/>
  <c r="F2459" i="1"/>
  <c r="G2459" i="1"/>
  <c r="I2459" i="1"/>
  <c r="J2459" i="1"/>
  <c r="K2459" i="1"/>
  <c r="L2459" i="1"/>
  <c r="M2459" i="1"/>
  <c r="N2459" i="1"/>
  <c r="O2459" i="1"/>
  <c r="P2459" i="1"/>
  <c r="Q2459" i="1"/>
  <c r="R2459" i="1"/>
  <c r="S2459" i="1"/>
  <c r="T2459" i="1"/>
  <c r="U2459" i="1"/>
  <c r="V2459" i="1"/>
  <c r="W2459" i="1"/>
  <c r="X2459" i="1"/>
  <c r="Y2459" i="1"/>
  <c r="Z2459" i="1"/>
  <c r="A2460" i="1"/>
  <c r="B2460" i="1"/>
  <c r="C2460" i="1"/>
  <c r="D2460" i="1"/>
  <c r="E2460" i="1"/>
  <c r="F2460" i="1"/>
  <c r="G2460" i="1"/>
  <c r="I2460" i="1"/>
  <c r="J2460" i="1"/>
  <c r="K2460" i="1"/>
  <c r="L2460" i="1"/>
  <c r="M2460" i="1"/>
  <c r="N2460" i="1"/>
  <c r="O2460" i="1"/>
  <c r="P2460" i="1"/>
  <c r="Q2460" i="1"/>
  <c r="R2460" i="1"/>
  <c r="S2460" i="1"/>
  <c r="T2460" i="1"/>
  <c r="U2460" i="1"/>
  <c r="V2460" i="1"/>
  <c r="W2460" i="1"/>
  <c r="X2460" i="1"/>
  <c r="Y2460" i="1"/>
  <c r="Z2460" i="1"/>
  <c r="A2461" i="1"/>
  <c r="B2461" i="1"/>
  <c r="C2461" i="1"/>
  <c r="D2461" i="1"/>
  <c r="E2461" i="1"/>
  <c r="F2461" i="1"/>
  <c r="G2461" i="1"/>
  <c r="I2461" i="1"/>
  <c r="J2461" i="1"/>
  <c r="K2461" i="1"/>
  <c r="L2461" i="1"/>
  <c r="M2461" i="1"/>
  <c r="N2461" i="1"/>
  <c r="O2461" i="1"/>
  <c r="P2461" i="1"/>
  <c r="Q2461" i="1"/>
  <c r="R2461" i="1"/>
  <c r="S2461" i="1"/>
  <c r="T2461" i="1"/>
  <c r="U2461" i="1"/>
  <c r="V2461" i="1"/>
  <c r="W2461" i="1"/>
  <c r="X2461" i="1"/>
  <c r="Y2461" i="1"/>
  <c r="Z2461" i="1"/>
  <c r="A2462" i="1"/>
  <c r="B2462" i="1"/>
  <c r="C2462" i="1"/>
  <c r="D2462" i="1"/>
  <c r="E2462" i="1"/>
  <c r="F2462" i="1"/>
  <c r="G2462" i="1"/>
  <c r="I2462" i="1"/>
  <c r="J2462" i="1"/>
  <c r="K2462" i="1"/>
  <c r="L2462" i="1"/>
  <c r="M2462" i="1"/>
  <c r="N2462" i="1"/>
  <c r="O2462" i="1"/>
  <c r="P2462" i="1"/>
  <c r="Q2462" i="1"/>
  <c r="R2462" i="1"/>
  <c r="S2462" i="1"/>
  <c r="T2462" i="1"/>
  <c r="U2462" i="1"/>
  <c r="V2462" i="1"/>
  <c r="W2462" i="1"/>
  <c r="X2462" i="1"/>
  <c r="Y2462" i="1"/>
  <c r="Z2462" i="1"/>
  <c r="A2463" i="1"/>
  <c r="B2463" i="1"/>
  <c r="C2463" i="1"/>
  <c r="D2463" i="1"/>
  <c r="E2463" i="1"/>
  <c r="F2463" i="1"/>
  <c r="G2463" i="1"/>
  <c r="I2463" i="1"/>
  <c r="J2463" i="1"/>
  <c r="K2463" i="1"/>
  <c r="L2463" i="1"/>
  <c r="M2463" i="1"/>
  <c r="N2463" i="1"/>
  <c r="O2463" i="1"/>
  <c r="P2463" i="1"/>
  <c r="Q2463" i="1"/>
  <c r="R2463" i="1"/>
  <c r="S2463" i="1"/>
  <c r="T2463" i="1"/>
  <c r="U2463" i="1"/>
  <c r="V2463" i="1"/>
  <c r="W2463" i="1"/>
  <c r="X2463" i="1"/>
  <c r="Y2463" i="1"/>
  <c r="Z2463" i="1"/>
  <c r="A2464" i="1"/>
  <c r="B2464" i="1"/>
  <c r="C2464" i="1"/>
  <c r="D2464" i="1"/>
  <c r="E2464" i="1"/>
  <c r="F2464" i="1"/>
  <c r="G2464" i="1"/>
  <c r="I2464" i="1"/>
  <c r="J2464" i="1"/>
  <c r="K2464" i="1"/>
  <c r="L2464" i="1"/>
  <c r="M2464" i="1"/>
  <c r="N2464" i="1"/>
  <c r="O2464" i="1"/>
  <c r="P2464" i="1"/>
  <c r="Q2464" i="1"/>
  <c r="R2464" i="1"/>
  <c r="S2464" i="1"/>
  <c r="T2464" i="1"/>
  <c r="U2464" i="1"/>
  <c r="V2464" i="1"/>
  <c r="W2464" i="1"/>
  <c r="X2464" i="1"/>
  <c r="Y2464" i="1"/>
  <c r="Z2464" i="1"/>
  <c r="A2465" i="1"/>
  <c r="B2465" i="1"/>
  <c r="C2465" i="1"/>
  <c r="D2465" i="1"/>
  <c r="E2465" i="1"/>
  <c r="F2465" i="1"/>
  <c r="G2465" i="1"/>
  <c r="I2465" i="1"/>
  <c r="J2465" i="1"/>
  <c r="K2465" i="1"/>
  <c r="L2465" i="1"/>
  <c r="M2465" i="1"/>
  <c r="N2465" i="1"/>
  <c r="O2465" i="1"/>
  <c r="P2465" i="1"/>
  <c r="Q2465" i="1"/>
  <c r="R2465" i="1"/>
  <c r="S2465" i="1"/>
  <c r="T2465" i="1"/>
  <c r="U2465" i="1"/>
  <c r="V2465" i="1"/>
  <c r="W2465" i="1"/>
  <c r="X2465" i="1"/>
  <c r="Y2465" i="1"/>
  <c r="Z2465" i="1"/>
  <c r="A2466" i="1"/>
  <c r="B2466" i="1"/>
  <c r="C2466" i="1"/>
  <c r="D2466" i="1"/>
  <c r="E2466" i="1"/>
  <c r="F2466" i="1"/>
  <c r="G2466" i="1"/>
  <c r="I2466" i="1"/>
  <c r="J2466" i="1"/>
  <c r="K2466" i="1"/>
  <c r="L2466" i="1"/>
  <c r="M2466" i="1"/>
  <c r="N2466" i="1"/>
  <c r="O2466" i="1"/>
  <c r="P2466" i="1"/>
  <c r="Q2466" i="1"/>
  <c r="R2466" i="1"/>
  <c r="S2466" i="1"/>
  <c r="T2466" i="1"/>
  <c r="U2466" i="1"/>
  <c r="V2466" i="1"/>
  <c r="W2466" i="1"/>
  <c r="X2466" i="1"/>
  <c r="Y2466" i="1"/>
  <c r="Z2466" i="1"/>
  <c r="A2467" i="1"/>
  <c r="B2467" i="1"/>
  <c r="C2467" i="1"/>
  <c r="D2467" i="1"/>
  <c r="E2467" i="1"/>
  <c r="F2467" i="1"/>
  <c r="G2467" i="1"/>
  <c r="I2467" i="1"/>
  <c r="J2467" i="1"/>
  <c r="K2467" i="1"/>
  <c r="L2467" i="1"/>
  <c r="M2467" i="1"/>
  <c r="N2467" i="1"/>
  <c r="O2467" i="1"/>
  <c r="P2467" i="1"/>
  <c r="Q2467" i="1"/>
  <c r="R2467" i="1"/>
  <c r="S2467" i="1"/>
  <c r="T2467" i="1"/>
  <c r="U2467" i="1"/>
  <c r="V2467" i="1"/>
  <c r="W2467" i="1"/>
  <c r="X2467" i="1"/>
  <c r="Y2467" i="1"/>
  <c r="Z2467" i="1"/>
  <c r="A2468" i="1"/>
  <c r="B2468" i="1"/>
  <c r="C2468" i="1"/>
  <c r="D2468" i="1"/>
  <c r="E2468" i="1"/>
  <c r="F2468" i="1"/>
  <c r="G2468" i="1"/>
  <c r="I2468" i="1"/>
  <c r="J2468" i="1"/>
  <c r="K2468" i="1"/>
  <c r="L2468" i="1"/>
  <c r="M2468" i="1"/>
  <c r="N2468" i="1"/>
  <c r="O2468" i="1"/>
  <c r="P2468" i="1"/>
  <c r="Q2468" i="1"/>
  <c r="R2468" i="1"/>
  <c r="S2468" i="1"/>
  <c r="T2468" i="1"/>
  <c r="U2468" i="1"/>
  <c r="V2468" i="1"/>
  <c r="W2468" i="1"/>
  <c r="X2468" i="1"/>
  <c r="Y2468" i="1"/>
  <c r="Z2468" i="1"/>
  <c r="A2469" i="1"/>
  <c r="B2469" i="1"/>
  <c r="C2469" i="1"/>
  <c r="D2469" i="1"/>
  <c r="E2469" i="1"/>
  <c r="F2469" i="1"/>
  <c r="G2469" i="1"/>
  <c r="I2469" i="1"/>
  <c r="J2469" i="1"/>
  <c r="K2469" i="1"/>
  <c r="L2469" i="1"/>
  <c r="M2469" i="1"/>
  <c r="N2469" i="1"/>
  <c r="O2469" i="1"/>
  <c r="P2469" i="1"/>
  <c r="Q2469" i="1"/>
  <c r="R2469" i="1"/>
  <c r="S2469" i="1"/>
  <c r="T2469" i="1"/>
  <c r="U2469" i="1"/>
  <c r="V2469" i="1"/>
  <c r="W2469" i="1"/>
  <c r="X2469" i="1"/>
  <c r="Y2469" i="1"/>
  <c r="Z2469" i="1"/>
  <c r="A2470" i="1"/>
  <c r="B2470" i="1"/>
  <c r="C2470" i="1"/>
  <c r="D2470" i="1"/>
  <c r="E2470" i="1"/>
  <c r="F2470" i="1"/>
  <c r="G2470" i="1"/>
  <c r="I2470" i="1"/>
  <c r="J2470" i="1"/>
  <c r="K2470" i="1"/>
  <c r="L2470" i="1"/>
  <c r="M2470" i="1"/>
  <c r="N2470" i="1"/>
  <c r="O2470" i="1"/>
  <c r="P2470" i="1"/>
  <c r="Q2470" i="1"/>
  <c r="R2470" i="1"/>
  <c r="S2470" i="1"/>
  <c r="T2470" i="1"/>
  <c r="U2470" i="1"/>
  <c r="V2470" i="1"/>
  <c r="W2470" i="1"/>
  <c r="X2470" i="1"/>
  <c r="Y2470" i="1"/>
  <c r="Z2470" i="1"/>
  <c r="A2471" i="1"/>
  <c r="B2471" i="1"/>
  <c r="C2471" i="1"/>
  <c r="D2471" i="1"/>
  <c r="E2471" i="1"/>
  <c r="F2471" i="1"/>
  <c r="G2471" i="1"/>
  <c r="I2471" i="1"/>
  <c r="J2471" i="1"/>
  <c r="K2471" i="1"/>
  <c r="L2471" i="1"/>
  <c r="M2471" i="1"/>
  <c r="N2471" i="1"/>
  <c r="O2471" i="1"/>
  <c r="P2471" i="1"/>
  <c r="Q2471" i="1"/>
  <c r="R2471" i="1"/>
  <c r="S2471" i="1"/>
  <c r="T2471" i="1"/>
  <c r="U2471" i="1"/>
  <c r="V2471" i="1"/>
  <c r="W2471" i="1"/>
  <c r="X2471" i="1"/>
  <c r="Y2471" i="1"/>
  <c r="Z2471" i="1"/>
  <c r="A2472" i="1"/>
  <c r="B2472" i="1"/>
  <c r="C2472" i="1"/>
  <c r="D2472" i="1"/>
  <c r="E2472" i="1"/>
  <c r="F2472" i="1"/>
  <c r="G2472" i="1"/>
  <c r="I2472" i="1"/>
  <c r="J2472" i="1"/>
  <c r="K2472" i="1"/>
  <c r="L2472" i="1"/>
  <c r="M2472" i="1"/>
  <c r="N2472" i="1"/>
  <c r="O2472" i="1"/>
  <c r="P2472" i="1"/>
  <c r="Q2472" i="1"/>
  <c r="R2472" i="1"/>
  <c r="S2472" i="1"/>
  <c r="T2472" i="1"/>
  <c r="U2472" i="1"/>
  <c r="V2472" i="1"/>
  <c r="W2472" i="1"/>
  <c r="X2472" i="1"/>
  <c r="Y2472" i="1"/>
  <c r="Z2472" i="1"/>
  <c r="A2473" i="1"/>
  <c r="B2473" i="1"/>
  <c r="C2473" i="1"/>
  <c r="D2473" i="1"/>
  <c r="E2473" i="1"/>
  <c r="F2473" i="1"/>
  <c r="G2473" i="1"/>
  <c r="I2473" i="1"/>
  <c r="J2473" i="1"/>
  <c r="K2473" i="1"/>
  <c r="L2473" i="1"/>
  <c r="M2473" i="1"/>
  <c r="N2473" i="1"/>
  <c r="O2473" i="1"/>
  <c r="P2473" i="1"/>
  <c r="Q2473" i="1"/>
  <c r="R2473" i="1"/>
  <c r="S2473" i="1"/>
  <c r="T2473" i="1"/>
  <c r="U2473" i="1"/>
  <c r="V2473" i="1"/>
  <c r="W2473" i="1"/>
  <c r="X2473" i="1"/>
  <c r="Y2473" i="1"/>
  <c r="Z2473" i="1"/>
  <c r="A2474" i="1"/>
  <c r="B2474" i="1"/>
  <c r="C2474" i="1"/>
  <c r="D2474" i="1"/>
  <c r="E2474" i="1"/>
  <c r="F2474" i="1"/>
  <c r="G2474" i="1"/>
  <c r="I2474" i="1"/>
  <c r="J2474" i="1"/>
  <c r="K2474" i="1"/>
  <c r="L2474" i="1"/>
  <c r="M2474" i="1"/>
  <c r="N2474" i="1"/>
  <c r="O2474" i="1"/>
  <c r="P2474" i="1"/>
  <c r="Q2474" i="1"/>
  <c r="R2474" i="1"/>
  <c r="S2474" i="1"/>
  <c r="T2474" i="1"/>
  <c r="U2474" i="1"/>
  <c r="V2474" i="1"/>
  <c r="W2474" i="1"/>
  <c r="X2474" i="1"/>
  <c r="Y2474" i="1"/>
  <c r="Z2474" i="1"/>
  <c r="A2475" i="1"/>
  <c r="B2475" i="1"/>
  <c r="C2475" i="1"/>
  <c r="D2475" i="1"/>
  <c r="E2475" i="1"/>
  <c r="F2475" i="1"/>
  <c r="G2475" i="1"/>
  <c r="I2475" i="1"/>
  <c r="J2475" i="1"/>
  <c r="K2475" i="1"/>
  <c r="L2475" i="1"/>
  <c r="M2475" i="1"/>
  <c r="N2475" i="1"/>
  <c r="O2475" i="1"/>
  <c r="P2475" i="1"/>
  <c r="Q2475" i="1"/>
  <c r="R2475" i="1"/>
  <c r="S2475" i="1"/>
  <c r="T2475" i="1"/>
  <c r="U2475" i="1"/>
  <c r="V2475" i="1"/>
  <c r="W2475" i="1"/>
  <c r="X2475" i="1"/>
  <c r="Y2475" i="1"/>
  <c r="Z2475" i="1"/>
  <c r="A2476" i="1"/>
  <c r="B2476" i="1"/>
  <c r="C2476" i="1"/>
  <c r="D2476" i="1"/>
  <c r="E2476" i="1"/>
  <c r="F2476" i="1"/>
  <c r="G2476" i="1"/>
  <c r="I2476" i="1"/>
  <c r="J2476" i="1"/>
  <c r="K2476" i="1"/>
  <c r="L2476" i="1"/>
  <c r="M2476" i="1"/>
  <c r="N2476" i="1"/>
  <c r="O2476" i="1"/>
  <c r="P2476" i="1"/>
  <c r="Q2476" i="1"/>
  <c r="R2476" i="1"/>
  <c r="S2476" i="1"/>
  <c r="T2476" i="1"/>
  <c r="U2476" i="1"/>
  <c r="V2476" i="1"/>
  <c r="W2476" i="1"/>
  <c r="X2476" i="1"/>
  <c r="Y2476" i="1"/>
  <c r="Z2476" i="1"/>
  <c r="A2477" i="1"/>
  <c r="B2477" i="1"/>
  <c r="C2477" i="1"/>
  <c r="D2477" i="1"/>
  <c r="E2477" i="1"/>
  <c r="F2477" i="1"/>
  <c r="G2477" i="1"/>
  <c r="I2477" i="1"/>
  <c r="J2477" i="1"/>
  <c r="K2477" i="1"/>
  <c r="L2477" i="1"/>
  <c r="M2477" i="1"/>
  <c r="N2477" i="1"/>
  <c r="O2477" i="1"/>
  <c r="P2477" i="1"/>
  <c r="Q2477" i="1"/>
  <c r="R2477" i="1"/>
  <c r="S2477" i="1"/>
  <c r="T2477" i="1"/>
  <c r="U2477" i="1"/>
  <c r="V2477" i="1"/>
  <c r="W2477" i="1"/>
  <c r="X2477" i="1"/>
  <c r="Y2477" i="1"/>
  <c r="Z2477" i="1"/>
  <c r="A2478" i="1"/>
  <c r="B2478" i="1"/>
  <c r="C2478" i="1"/>
  <c r="D2478" i="1"/>
  <c r="E2478" i="1"/>
  <c r="F2478" i="1"/>
  <c r="G2478" i="1"/>
  <c r="I2478" i="1"/>
  <c r="J2478" i="1"/>
  <c r="K2478" i="1"/>
  <c r="L2478" i="1"/>
  <c r="M2478" i="1"/>
  <c r="N2478" i="1"/>
  <c r="O2478" i="1"/>
  <c r="P2478" i="1"/>
  <c r="Q2478" i="1"/>
  <c r="R2478" i="1"/>
  <c r="S2478" i="1"/>
  <c r="T2478" i="1"/>
  <c r="U2478" i="1"/>
  <c r="V2478" i="1"/>
  <c r="W2478" i="1"/>
  <c r="X2478" i="1"/>
  <c r="Y2478" i="1"/>
  <c r="Z2478" i="1"/>
  <c r="A2479" i="1"/>
  <c r="B2479" i="1"/>
  <c r="C2479" i="1"/>
  <c r="D2479" i="1"/>
  <c r="E2479" i="1"/>
  <c r="F2479" i="1"/>
  <c r="G2479" i="1"/>
  <c r="I2479" i="1"/>
  <c r="J2479" i="1"/>
  <c r="K2479" i="1"/>
  <c r="L2479" i="1"/>
  <c r="M2479" i="1"/>
  <c r="N2479" i="1"/>
  <c r="O2479" i="1"/>
  <c r="P2479" i="1"/>
  <c r="Q2479" i="1"/>
  <c r="R2479" i="1"/>
  <c r="S2479" i="1"/>
  <c r="T2479" i="1"/>
  <c r="U2479" i="1"/>
  <c r="V2479" i="1"/>
  <c r="W2479" i="1"/>
  <c r="X2479" i="1"/>
  <c r="Y2479" i="1"/>
  <c r="Z2479" i="1"/>
  <c r="A2480" i="1"/>
  <c r="B2480" i="1"/>
  <c r="C2480" i="1"/>
  <c r="D2480" i="1"/>
  <c r="E2480" i="1"/>
  <c r="F2480" i="1"/>
  <c r="G2480" i="1"/>
  <c r="I2480" i="1"/>
  <c r="J2480" i="1"/>
  <c r="K2480" i="1"/>
  <c r="L2480" i="1"/>
  <c r="M2480" i="1"/>
  <c r="N2480" i="1"/>
  <c r="O2480" i="1"/>
  <c r="P2480" i="1"/>
  <c r="Q2480" i="1"/>
  <c r="R2480" i="1"/>
  <c r="S2480" i="1"/>
  <c r="T2480" i="1"/>
  <c r="U2480" i="1"/>
  <c r="V2480" i="1"/>
  <c r="W2480" i="1"/>
  <c r="X2480" i="1"/>
  <c r="Y2480" i="1"/>
  <c r="Z2480" i="1"/>
  <c r="A2481" i="1"/>
  <c r="B2481" i="1"/>
  <c r="C2481" i="1"/>
  <c r="D2481" i="1"/>
  <c r="E2481" i="1"/>
  <c r="F2481" i="1"/>
  <c r="G2481" i="1"/>
  <c r="I2481" i="1"/>
  <c r="J2481" i="1"/>
  <c r="K2481" i="1"/>
  <c r="L2481" i="1"/>
  <c r="M2481" i="1"/>
  <c r="N2481" i="1"/>
  <c r="O2481" i="1"/>
  <c r="P2481" i="1"/>
  <c r="Q2481" i="1"/>
  <c r="R2481" i="1"/>
  <c r="S2481" i="1"/>
  <c r="T2481" i="1"/>
  <c r="U2481" i="1"/>
  <c r="V2481" i="1"/>
  <c r="W2481" i="1"/>
  <c r="X2481" i="1"/>
  <c r="Y2481" i="1"/>
  <c r="Z2481" i="1"/>
  <c r="A2482" i="1"/>
  <c r="B2482" i="1"/>
  <c r="C2482" i="1"/>
  <c r="D2482" i="1"/>
  <c r="E2482" i="1"/>
  <c r="F2482" i="1"/>
  <c r="G2482" i="1"/>
  <c r="I2482" i="1"/>
  <c r="J2482" i="1"/>
  <c r="K2482" i="1"/>
  <c r="L2482" i="1"/>
  <c r="M2482" i="1"/>
  <c r="N2482" i="1"/>
  <c r="O2482" i="1"/>
  <c r="P2482" i="1"/>
  <c r="Q2482" i="1"/>
  <c r="R2482" i="1"/>
  <c r="S2482" i="1"/>
  <c r="T2482" i="1"/>
  <c r="U2482" i="1"/>
  <c r="V2482" i="1"/>
  <c r="W2482" i="1"/>
  <c r="X2482" i="1"/>
  <c r="Y2482" i="1"/>
  <c r="Z2482" i="1"/>
  <c r="A2483" i="1"/>
  <c r="B2483" i="1"/>
  <c r="C2483" i="1"/>
  <c r="D2483" i="1"/>
  <c r="E2483" i="1"/>
  <c r="F2483" i="1"/>
  <c r="G2483" i="1"/>
  <c r="I2483" i="1"/>
  <c r="J2483" i="1"/>
  <c r="K2483" i="1"/>
  <c r="L2483" i="1"/>
  <c r="M2483" i="1"/>
  <c r="N2483" i="1"/>
  <c r="O2483" i="1"/>
  <c r="P2483" i="1"/>
  <c r="Q2483" i="1"/>
  <c r="R2483" i="1"/>
  <c r="S2483" i="1"/>
  <c r="T2483" i="1"/>
  <c r="U2483" i="1"/>
  <c r="V2483" i="1"/>
  <c r="W2483" i="1"/>
  <c r="X2483" i="1"/>
  <c r="Y2483" i="1"/>
  <c r="Z2483" i="1"/>
  <c r="A2484" i="1"/>
  <c r="B2484" i="1"/>
  <c r="C2484" i="1"/>
  <c r="D2484" i="1"/>
  <c r="E2484" i="1"/>
  <c r="F2484" i="1"/>
  <c r="G2484" i="1"/>
  <c r="I2484" i="1"/>
  <c r="J2484" i="1"/>
  <c r="K2484" i="1"/>
  <c r="L2484" i="1"/>
  <c r="M2484" i="1"/>
  <c r="N2484" i="1"/>
  <c r="O2484" i="1"/>
  <c r="P2484" i="1"/>
  <c r="Q2484" i="1"/>
  <c r="R2484" i="1"/>
  <c r="S2484" i="1"/>
  <c r="T2484" i="1"/>
  <c r="U2484" i="1"/>
  <c r="V2484" i="1"/>
  <c r="W2484" i="1"/>
  <c r="X2484" i="1"/>
  <c r="Y2484" i="1"/>
  <c r="Z2484" i="1"/>
  <c r="A2485" i="1"/>
  <c r="B2485" i="1"/>
  <c r="C2485" i="1"/>
  <c r="D2485" i="1"/>
  <c r="E2485" i="1"/>
  <c r="F2485" i="1"/>
  <c r="G2485" i="1"/>
  <c r="I2485" i="1"/>
  <c r="J2485" i="1"/>
  <c r="K2485" i="1"/>
  <c r="L2485" i="1"/>
  <c r="M2485" i="1"/>
  <c r="N2485" i="1"/>
  <c r="O2485" i="1"/>
  <c r="P2485" i="1"/>
  <c r="Q2485" i="1"/>
  <c r="R2485" i="1"/>
  <c r="S2485" i="1"/>
  <c r="T2485" i="1"/>
  <c r="U2485" i="1"/>
  <c r="V2485" i="1"/>
  <c r="W2485" i="1"/>
  <c r="X2485" i="1"/>
  <c r="Y2485" i="1"/>
  <c r="Z2485" i="1"/>
  <c r="A2486" i="1"/>
  <c r="B2486" i="1"/>
  <c r="C2486" i="1"/>
  <c r="D2486" i="1"/>
  <c r="E2486" i="1"/>
  <c r="F2486" i="1"/>
  <c r="G2486" i="1"/>
  <c r="I2486" i="1"/>
  <c r="J2486" i="1"/>
  <c r="K2486" i="1"/>
  <c r="L2486" i="1"/>
  <c r="M2486" i="1"/>
  <c r="N2486" i="1"/>
  <c r="O2486" i="1"/>
  <c r="P2486" i="1"/>
  <c r="Q2486" i="1"/>
  <c r="R2486" i="1"/>
  <c r="S2486" i="1"/>
  <c r="T2486" i="1"/>
  <c r="U2486" i="1"/>
  <c r="V2486" i="1"/>
  <c r="W2486" i="1"/>
  <c r="X2486" i="1"/>
  <c r="Y2486" i="1"/>
  <c r="Z2486" i="1"/>
  <c r="A2487" i="1"/>
  <c r="B2487" i="1"/>
  <c r="C2487" i="1"/>
  <c r="D2487" i="1"/>
  <c r="E2487" i="1"/>
  <c r="F2487" i="1"/>
  <c r="G2487" i="1"/>
  <c r="I2487" i="1"/>
  <c r="J2487" i="1"/>
  <c r="K2487" i="1"/>
  <c r="L2487" i="1"/>
  <c r="M2487" i="1"/>
  <c r="N2487" i="1"/>
  <c r="O2487" i="1"/>
  <c r="P2487" i="1"/>
  <c r="Q2487" i="1"/>
  <c r="R2487" i="1"/>
  <c r="S2487" i="1"/>
  <c r="T2487" i="1"/>
  <c r="U2487" i="1"/>
  <c r="V2487" i="1"/>
  <c r="W2487" i="1"/>
  <c r="X2487" i="1"/>
  <c r="Y2487" i="1"/>
  <c r="Z2487" i="1"/>
  <c r="A2488" i="1"/>
  <c r="B2488" i="1"/>
  <c r="C2488" i="1"/>
  <c r="D2488" i="1"/>
  <c r="E2488" i="1"/>
  <c r="F2488" i="1"/>
  <c r="G2488" i="1"/>
  <c r="I2488" i="1"/>
  <c r="J2488" i="1"/>
  <c r="K2488" i="1"/>
  <c r="L2488" i="1"/>
  <c r="M2488" i="1"/>
  <c r="N2488" i="1"/>
  <c r="O2488" i="1"/>
  <c r="P2488" i="1"/>
  <c r="Q2488" i="1"/>
  <c r="R2488" i="1"/>
  <c r="S2488" i="1"/>
  <c r="T2488" i="1"/>
  <c r="U2488" i="1"/>
  <c r="V2488" i="1"/>
  <c r="W2488" i="1"/>
  <c r="X2488" i="1"/>
  <c r="Y2488" i="1"/>
  <c r="Z2488" i="1"/>
  <c r="A2489" i="1"/>
  <c r="B2489" i="1"/>
  <c r="C2489" i="1"/>
  <c r="D2489" i="1"/>
  <c r="E2489" i="1"/>
  <c r="F2489" i="1"/>
  <c r="G2489" i="1"/>
  <c r="I2489" i="1"/>
  <c r="J2489" i="1"/>
  <c r="K2489" i="1"/>
  <c r="L2489" i="1"/>
  <c r="M2489" i="1"/>
  <c r="N2489" i="1"/>
  <c r="O2489" i="1"/>
  <c r="P2489" i="1"/>
  <c r="Q2489" i="1"/>
  <c r="R2489" i="1"/>
  <c r="S2489" i="1"/>
  <c r="T2489" i="1"/>
  <c r="U2489" i="1"/>
  <c r="V2489" i="1"/>
  <c r="W2489" i="1"/>
  <c r="X2489" i="1"/>
  <c r="Y2489" i="1"/>
  <c r="Z2489" i="1"/>
  <c r="A2490" i="1"/>
  <c r="B2490" i="1"/>
  <c r="C2490" i="1"/>
  <c r="D2490" i="1"/>
  <c r="E2490" i="1"/>
  <c r="F2490" i="1"/>
  <c r="G2490" i="1"/>
  <c r="I2490" i="1"/>
  <c r="J2490" i="1"/>
  <c r="K2490" i="1"/>
  <c r="L2490" i="1"/>
  <c r="M2490" i="1"/>
  <c r="N2490" i="1"/>
  <c r="O2490" i="1"/>
  <c r="P2490" i="1"/>
  <c r="Q2490" i="1"/>
  <c r="R2490" i="1"/>
  <c r="S2490" i="1"/>
  <c r="T2490" i="1"/>
  <c r="U2490" i="1"/>
  <c r="V2490" i="1"/>
  <c r="W2490" i="1"/>
  <c r="X2490" i="1"/>
  <c r="Y2490" i="1"/>
  <c r="Z2490" i="1"/>
  <c r="A2491" i="1"/>
  <c r="B2491" i="1"/>
  <c r="C2491" i="1"/>
  <c r="D2491" i="1"/>
  <c r="E2491" i="1"/>
  <c r="F2491" i="1"/>
  <c r="G2491" i="1"/>
  <c r="I2491" i="1"/>
  <c r="J2491" i="1"/>
  <c r="K2491" i="1"/>
  <c r="L2491" i="1"/>
  <c r="M2491" i="1"/>
  <c r="N2491" i="1"/>
  <c r="O2491" i="1"/>
  <c r="P2491" i="1"/>
  <c r="Q2491" i="1"/>
  <c r="R2491" i="1"/>
  <c r="S2491" i="1"/>
  <c r="T2491" i="1"/>
  <c r="U2491" i="1"/>
  <c r="V2491" i="1"/>
  <c r="W2491" i="1"/>
  <c r="X2491" i="1"/>
  <c r="Y2491" i="1"/>
  <c r="Z2491" i="1"/>
  <c r="A2492" i="1"/>
  <c r="B2492" i="1"/>
  <c r="C2492" i="1"/>
  <c r="D2492" i="1"/>
  <c r="E2492" i="1"/>
  <c r="F2492" i="1"/>
  <c r="G2492" i="1"/>
  <c r="I2492" i="1"/>
  <c r="J2492" i="1"/>
  <c r="K2492" i="1"/>
  <c r="L2492" i="1"/>
  <c r="M2492" i="1"/>
  <c r="N2492" i="1"/>
  <c r="O2492" i="1"/>
  <c r="P2492" i="1"/>
  <c r="Q2492" i="1"/>
  <c r="R2492" i="1"/>
  <c r="S2492" i="1"/>
  <c r="T2492" i="1"/>
  <c r="U2492" i="1"/>
  <c r="V2492" i="1"/>
  <c r="W2492" i="1"/>
  <c r="X2492" i="1"/>
  <c r="Y2492" i="1"/>
  <c r="Z2492" i="1"/>
  <c r="A2493" i="1"/>
  <c r="B2493" i="1"/>
  <c r="C2493" i="1"/>
  <c r="D2493" i="1"/>
  <c r="E2493" i="1"/>
  <c r="F2493" i="1"/>
  <c r="G2493" i="1"/>
  <c r="I2493" i="1"/>
  <c r="J2493" i="1"/>
  <c r="K2493" i="1"/>
  <c r="L2493" i="1"/>
  <c r="M2493" i="1"/>
  <c r="N2493" i="1"/>
  <c r="O2493" i="1"/>
  <c r="P2493" i="1"/>
  <c r="Q2493" i="1"/>
  <c r="R2493" i="1"/>
  <c r="S2493" i="1"/>
  <c r="T2493" i="1"/>
  <c r="U2493" i="1"/>
  <c r="V2493" i="1"/>
  <c r="W2493" i="1"/>
  <c r="X2493" i="1"/>
  <c r="Y2493" i="1"/>
  <c r="Z2493" i="1"/>
  <c r="A2494" i="1"/>
  <c r="B2494" i="1"/>
  <c r="C2494" i="1"/>
  <c r="D2494" i="1"/>
  <c r="E2494" i="1"/>
  <c r="F2494" i="1"/>
  <c r="G2494" i="1"/>
  <c r="I2494" i="1"/>
  <c r="J2494" i="1"/>
  <c r="K2494" i="1"/>
  <c r="L2494" i="1"/>
  <c r="M2494" i="1"/>
  <c r="N2494" i="1"/>
  <c r="O2494" i="1"/>
  <c r="P2494" i="1"/>
  <c r="Q2494" i="1"/>
  <c r="R2494" i="1"/>
  <c r="S2494" i="1"/>
  <c r="T2494" i="1"/>
  <c r="U2494" i="1"/>
  <c r="V2494" i="1"/>
  <c r="W2494" i="1"/>
  <c r="X2494" i="1"/>
  <c r="Y2494" i="1"/>
  <c r="Z2494" i="1"/>
  <c r="A2495" i="1"/>
  <c r="B2495" i="1"/>
  <c r="C2495" i="1"/>
  <c r="D2495" i="1"/>
  <c r="E2495" i="1"/>
  <c r="F2495" i="1"/>
  <c r="G2495" i="1"/>
  <c r="I2495" i="1"/>
  <c r="J2495" i="1"/>
  <c r="K2495" i="1"/>
  <c r="L2495" i="1"/>
  <c r="M2495" i="1"/>
  <c r="N2495" i="1"/>
  <c r="O2495" i="1"/>
  <c r="P2495" i="1"/>
  <c r="Q2495" i="1"/>
  <c r="R2495" i="1"/>
  <c r="S2495" i="1"/>
  <c r="T2495" i="1"/>
  <c r="U2495" i="1"/>
  <c r="V2495" i="1"/>
  <c r="W2495" i="1"/>
  <c r="X2495" i="1"/>
  <c r="Y2495" i="1"/>
  <c r="Z2495" i="1"/>
  <c r="A2496" i="1"/>
  <c r="B2496" i="1"/>
  <c r="C2496" i="1"/>
  <c r="D2496" i="1"/>
  <c r="E2496" i="1"/>
  <c r="F2496" i="1"/>
  <c r="G2496" i="1"/>
  <c r="I2496" i="1"/>
  <c r="J2496" i="1"/>
  <c r="K2496" i="1"/>
  <c r="L2496" i="1"/>
  <c r="M2496" i="1"/>
  <c r="N2496" i="1"/>
  <c r="O2496" i="1"/>
  <c r="P2496" i="1"/>
  <c r="Q2496" i="1"/>
  <c r="R2496" i="1"/>
  <c r="S2496" i="1"/>
  <c r="T2496" i="1"/>
  <c r="U2496" i="1"/>
  <c r="V2496" i="1"/>
  <c r="W2496" i="1"/>
  <c r="X2496" i="1"/>
  <c r="Y2496" i="1"/>
  <c r="Z2496" i="1"/>
  <c r="A2497" i="1"/>
  <c r="B2497" i="1"/>
  <c r="C2497" i="1"/>
  <c r="D2497" i="1"/>
  <c r="E2497" i="1"/>
  <c r="F2497" i="1"/>
  <c r="G2497" i="1"/>
  <c r="I2497" i="1"/>
  <c r="J2497" i="1"/>
  <c r="K2497" i="1"/>
  <c r="L2497" i="1"/>
  <c r="M2497" i="1"/>
  <c r="N2497" i="1"/>
  <c r="O2497" i="1"/>
  <c r="P2497" i="1"/>
  <c r="Q2497" i="1"/>
  <c r="R2497" i="1"/>
  <c r="S2497" i="1"/>
  <c r="T2497" i="1"/>
  <c r="U2497" i="1"/>
  <c r="V2497" i="1"/>
  <c r="W2497" i="1"/>
  <c r="X2497" i="1"/>
  <c r="Y2497" i="1"/>
  <c r="Z2497" i="1"/>
  <c r="A2498" i="1"/>
  <c r="B2498" i="1"/>
  <c r="C2498" i="1"/>
  <c r="D2498" i="1"/>
  <c r="E2498" i="1"/>
  <c r="F2498" i="1"/>
  <c r="G2498" i="1"/>
  <c r="I2498" i="1"/>
  <c r="J2498" i="1"/>
  <c r="K2498" i="1"/>
  <c r="L2498" i="1"/>
  <c r="M2498" i="1"/>
  <c r="N2498" i="1"/>
  <c r="O2498" i="1"/>
  <c r="P2498" i="1"/>
  <c r="Q2498" i="1"/>
  <c r="R2498" i="1"/>
  <c r="S2498" i="1"/>
  <c r="T2498" i="1"/>
  <c r="U2498" i="1"/>
  <c r="V2498" i="1"/>
  <c r="W2498" i="1"/>
  <c r="X2498" i="1"/>
  <c r="Y2498" i="1"/>
  <c r="Z2498" i="1"/>
  <c r="A2499" i="1"/>
  <c r="B2499" i="1"/>
  <c r="C2499" i="1"/>
  <c r="D2499" i="1"/>
  <c r="E2499" i="1"/>
  <c r="F2499" i="1"/>
  <c r="G2499" i="1"/>
  <c r="I2499" i="1"/>
  <c r="J2499" i="1"/>
  <c r="K2499" i="1"/>
  <c r="L2499" i="1"/>
  <c r="M2499" i="1"/>
  <c r="N2499" i="1"/>
  <c r="O2499" i="1"/>
  <c r="P2499" i="1"/>
  <c r="Q2499" i="1"/>
  <c r="R2499" i="1"/>
  <c r="S2499" i="1"/>
  <c r="T2499" i="1"/>
  <c r="U2499" i="1"/>
  <c r="V2499" i="1"/>
  <c r="W2499" i="1"/>
  <c r="X2499" i="1"/>
  <c r="Y2499" i="1"/>
  <c r="Z2499" i="1"/>
  <c r="A2500" i="1"/>
  <c r="B2500" i="1"/>
  <c r="C2500" i="1"/>
  <c r="D2500" i="1"/>
  <c r="E2500" i="1"/>
  <c r="F2500" i="1"/>
  <c r="G2500" i="1"/>
  <c r="I2500" i="1"/>
  <c r="J2500" i="1"/>
  <c r="K2500" i="1"/>
  <c r="L2500" i="1"/>
  <c r="M2500" i="1"/>
  <c r="N2500" i="1"/>
  <c r="O2500" i="1"/>
  <c r="P2500" i="1"/>
  <c r="Q2500" i="1"/>
  <c r="R2500" i="1"/>
  <c r="S2500" i="1"/>
  <c r="T2500" i="1"/>
  <c r="U2500" i="1"/>
  <c r="V2500" i="1"/>
  <c r="W2500" i="1"/>
  <c r="X2500" i="1"/>
  <c r="Y2500" i="1"/>
  <c r="Z2500" i="1"/>
  <c r="A2501" i="1"/>
  <c r="B2501" i="1"/>
  <c r="C2501" i="1"/>
  <c r="D2501" i="1"/>
  <c r="E2501" i="1"/>
  <c r="F2501" i="1"/>
  <c r="G2501" i="1"/>
  <c r="I2501" i="1"/>
  <c r="J2501" i="1"/>
  <c r="K2501" i="1"/>
  <c r="L2501" i="1"/>
  <c r="M2501" i="1"/>
  <c r="N2501" i="1"/>
  <c r="O2501" i="1"/>
  <c r="P2501" i="1"/>
  <c r="Q2501" i="1"/>
  <c r="R2501" i="1"/>
  <c r="S2501" i="1"/>
  <c r="T2501" i="1"/>
  <c r="U2501" i="1"/>
  <c r="V2501" i="1"/>
  <c r="W2501" i="1"/>
  <c r="X2501" i="1"/>
  <c r="Y2501" i="1"/>
  <c r="Z2501" i="1"/>
  <c r="A2502" i="1"/>
  <c r="B2502" i="1"/>
  <c r="C2502" i="1"/>
  <c r="D2502" i="1"/>
  <c r="E2502" i="1"/>
  <c r="F2502" i="1"/>
  <c r="G2502" i="1"/>
  <c r="I2502" i="1"/>
  <c r="J2502" i="1"/>
  <c r="K2502" i="1"/>
  <c r="L2502" i="1"/>
  <c r="M2502" i="1"/>
  <c r="N2502" i="1"/>
  <c r="O2502" i="1"/>
  <c r="P2502" i="1"/>
  <c r="Q2502" i="1"/>
  <c r="R2502" i="1"/>
  <c r="S2502" i="1"/>
  <c r="T2502" i="1"/>
  <c r="U2502" i="1"/>
  <c r="V2502" i="1"/>
  <c r="W2502" i="1"/>
  <c r="X2502" i="1"/>
  <c r="Y2502" i="1"/>
  <c r="Z2502" i="1"/>
  <c r="A2503" i="1"/>
  <c r="B2503" i="1"/>
  <c r="C2503" i="1"/>
  <c r="D2503" i="1"/>
  <c r="E2503" i="1"/>
  <c r="F2503" i="1"/>
  <c r="G2503" i="1"/>
  <c r="I2503" i="1"/>
  <c r="J2503" i="1"/>
  <c r="K2503" i="1"/>
  <c r="L2503" i="1"/>
  <c r="M2503" i="1"/>
  <c r="N2503" i="1"/>
  <c r="O2503" i="1"/>
  <c r="P2503" i="1"/>
  <c r="Q2503" i="1"/>
  <c r="R2503" i="1"/>
  <c r="S2503" i="1"/>
  <c r="T2503" i="1"/>
  <c r="U2503" i="1"/>
  <c r="V2503" i="1"/>
  <c r="W2503" i="1"/>
  <c r="X2503" i="1"/>
  <c r="Y2503" i="1"/>
  <c r="Z2503" i="1"/>
  <c r="A2504" i="1"/>
  <c r="B2504" i="1"/>
  <c r="C2504" i="1"/>
  <c r="D2504" i="1"/>
  <c r="E2504" i="1"/>
  <c r="F2504" i="1"/>
  <c r="G2504" i="1"/>
  <c r="I2504" i="1"/>
  <c r="J2504" i="1"/>
  <c r="K2504" i="1"/>
  <c r="L2504" i="1"/>
  <c r="M2504" i="1"/>
  <c r="N2504" i="1"/>
  <c r="O2504" i="1"/>
  <c r="P2504" i="1"/>
  <c r="Q2504" i="1"/>
  <c r="R2504" i="1"/>
  <c r="S2504" i="1"/>
  <c r="T2504" i="1"/>
  <c r="U2504" i="1"/>
  <c r="V2504" i="1"/>
  <c r="W2504" i="1"/>
  <c r="X2504" i="1"/>
  <c r="Y2504" i="1"/>
  <c r="Z2504" i="1"/>
  <c r="A2505" i="1"/>
  <c r="B2505" i="1"/>
  <c r="C2505" i="1"/>
  <c r="D2505" i="1"/>
  <c r="E2505" i="1"/>
  <c r="F2505" i="1"/>
  <c r="G2505" i="1"/>
  <c r="I2505" i="1"/>
  <c r="J2505" i="1"/>
  <c r="K2505" i="1"/>
  <c r="L2505" i="1"/>
  <c r="M2505" i="1"/>
  <c r="N2505" i="1"/>
  <c r="O2505" i="1"/>
  <c r="P2505" i="1"/>
  <c r="Q2505" i="1"/>
  <c r="R2505" i="1"/>
  <c r="S2505" i="1"/>
  <c r="T2505" i="1"/>
  <c r="U2505" i="1"/>
  <c r="V2505" i="1"/>
  <c r="W2505" i="1"/>
  <c r="X2505" i="1"/>
  <c r="Y2505" i="1"/>
  <c r="Z2505" i="1"/>
  <c r="A2506" i="1"/>
  <c r="B2506" i="1"/>
  <c r="C2506" i="1"/>
  <c r="D2506" i="1"/>
  <c r="E2506" i="1"/>
  <c r="F2506" i="1"/>
  <c r="G2506" i="1"/>
  <c r="I2506" i="1"/>
  <c r="J2506" i="1"/>
  <c r="K2506" i="1"/>
  <c r="L2506" i="1"/>
  <c r="M2506" i="1"/>
  <c r="N2506" i="1"/>
  <c r="O2506" i="1"/>
  <c r="P2506" i="1"/>
  <c r="Q2506" i="1"/>
  <c r="R2506" i="1"/>
  <c r="S2506" i="1"/>
  <c r="T2506" i="1"/>
  <c r="U2506" i="1"/>
  <c r="V2506" i="1"/>
  <c r="W2506" i="1"/>
  <c r="X2506" i="1"/>
  <c r="Y2506" i="1"/>
  <c r="Z2506" i="1"/>
  <c r="A2507" i="1"/>
  <c r="B2507" i="1"/>
  <c r="C2507" i="1"/>
  <c r="D2507" i="1"/>
  <c r="E2507" i="1"/>
  <c r="F2507" i="1"/>
  <c r="G2507" i="1"/>
  <c r="I2507" i="1"/>
  <c r="J2507" i="1"/>
  <c r="K2507" i="1"/>
  <c r="L2507" i="1"/>
  <c r="M2507" i="1"/>
  <c r="N2507" i="1"/>
  <c r="O2507" i="1"/>
  <c r="P2507" i="1"/>
  <c r="Q2507" i="1"/>
  <c r="R2507" i="1"/>
  <c r="S2507" i="1"/>
  <c r="T2507" i="1"/>
  <c r="U2507" i="1"/>
  <c r="V2507" i="1"/>
  <c r="W2507" i="1"/>
  <c r="X2507" i="1"/>
  <c r="Y2507" i="1"/>
  <c r="Z2507" i="1"/>
  <c r="A2508" i="1"/>
  <c r="B2508" i="1"/>
  <c r="C2508" i="1"/>
  <c r="D2508" i="1"/>
  <c r="E2508" i="1"/>
  <c r="F2508" i="1"/>
  <c r="G2508" i="1"/>
  <c r="I2508" i="1"/>
  <c r="J2508" i="1"/>
  <c r="K2508" i="1"/>
  <c r="L2508" i="1"/>
  <c r="M2508" i="1"/>
  <c r="N2508" i="1"/>
  <c r="O2508" i="1"/>
  <c r="P2508" i="1"/>
  <c r="Q2508" i="1"/>
  <c r="R2508" i="1"/>
  <c r="S2508" i="1"/>
  <c r="T2508" i="1"/>
  <c r="U2508" i="1"/>
  <c r="V2508" i="1"/>
  <c r="W2508" i="1"/>
  <c r="X2508" i="1"/>
  <c r="Y2508" i="1"/>
  <c r="Z2508" i="1"/>
  <c r="A2509" i="1"/>
  <c r="B2509" i="1"/>
  <c r="C2509" i="1"/>
  <c r="D2509" i="1"/>
  <c r="E2509" i="1"/>
  <c r="F2509" i="1"/>
  <c r="G2509" i="1"/>
  <c r="I2509" i="1"/>
  <c r="J2509" i="1"/>
  <c r="K2509" i="1"/>
  <c r="L2509" i="1"/>
  <c r="M2509" i="1"/>
  <c r="N2509" i="1"/>
  <c r="O2509" i="1"/>
  <c r="P2509" i="1"/>
  <c r="Q2509" i="1"/>
  <c r="R2509" i="1"/>
  <c r="S2509" i="1"/>
  <c r="T2509" i="1"/>
  <c r="U2509" i="1"/>
  <c r="V2509" i="1"/>
  <c r="W2509" i="1"/>
  <c r="X2509" i="1"/>
  <c r="Y2509" i="1"/>
  <c r="Z2509" i="1"/>
  <c r="A2510" i="1"/>
  <c r="B2510" i="1"/>
  <c r="C2510" i="1"/>
  <c r="D2510" i="1"/>
  <c r="E2510" i="1"/>
  <c r="F2510" i="1"/>
  <c r="G2510" i="1"/>
  <c r="I2510" i="1"/>
  <c r="J2510" i="1"/>
  <c r="K2510" i="1"/>
  <c r="L2510" i="1"/>
  <c r="M2510" i="1"/>
  <c r="N2510" i="1"/>
  <c r="O2510" i="1"/>
  <c r="P2510" i="1"/>
  <c r="Q2510" i="1"/>
  <c r="R2510" i="1"/>
  <c r="S2510" i="1"/>
  <c r="T2510" i="1"/>
  <c r="U2510" i="1"/>
  <c r="V2510" i="1"/>
  <c r="W2510" i="1"/>
  <c r="X2510" i="1"/>
  <c r="Y2510" i="1"/>
  <c r="Z2510" i="1"/>
  <c r="A2511" i="1"/>
  <c r="B2511" i="1"/>
  <c r="C2511" i="1"/>
  <c r="D2511" i="1"/>
  <c r="E2511" i="1"/>
  <c r="F2511" i="1"/>
  <c r="G2511" i="1"/>
  <c r="I2511" i="1"/>
  <c r="J2511" i="1"/>
  <c r="K2511" i="1"/>
  <c r="L2511" i="1"/>
  <c r="M2511" i="1"/>
  <c r="N2511" i="1"/>
  <c r="O2511" i="1"/>
  <c r="P2511" i="1"/>
  <c r="Q2511" i="1"/>
  <c r="R2511" i="1"/>
  <c r="S2511" i="1"/>
  <c r="T2511" i="1"/>
  <c r="U2511" i="1"/>
  <c r="V2511" i="1"/>
  <c r="W2511" i="1"/>
  <c r="X2511" i="1"/>
  <c r="Y2511" i="1"/>
  <c r="Z2511" i="1"/>
  <c r="A2512" i="1"/>
  <c r="B2512" i="1"/>
  <c r="C2512" i="1"/>
  <c r="D2512" i="1"/>
  <c r="E2512" i="1"/>
  <c r="F2512" i="1"/>
  <c r="G2512" i="1"/>
  <c r="I2512" i="1"/>
  <c r="J2512" i="1"/>
  <c r="K2512" i="1"/>
  <c r="L2512" i="1"/>
  <c r="M2512" i="1"/>
  <c r="N2512" i="1"/>
  <c r="O2512" i="1"/>
  <c r="P2512" i="1"/>
  <c r="Q2512" i="1"/>
  <c r="R2512" i="1"/>
  <c r="S2512" i="1"/>
  <c r="T2512" i="1"/>
  <c r="U2512" i="1"/>
  <c r="V2512" i="1"/>
  <c r="W2512" i="1"/>
  <c r="X2512" i="1"/>
  <c r="Y2512" i="1"/>
  <c r="Z2512" i="1"/>
  <c r="A2513" i="1"/>
  <c r="B2513" i="1"/>
  <c r="C2513" i="1"/>
  <c r="D2513" i="1"/>
  <c r="E2513" i="1"/>
  <c r="F2513" i="1"/>
  <c r="G2513" i="1"/>
  <c r="I2513" i="1"/>
  <c r="J2513" i="1"/>
  <c r="K2513" i="1"/>
  <c r="L2513" i="1"/>
  <c r="M2513" i="1"/>
  <c r="N2513" i="1"/>
  <c r="O2513" i="1"/>
  <c r="P2513" i="1"/>
  <c r="Q2513" i="1"/>
  <c r="R2513" i="1"/>
  <c r="S2513" i="1"/>
  <c r="T2513" i="1"/>
  <c r="U2513" i="1"/>
  <c r="V2513" i="1"/>
  <c r="W2513" i="1"/>
  <c r="X2513" i="1"/>
  <c r="Y2513" i="1"/>
  <c r="Z2513" i="1"/>
  <c r="A2514" i="1"/>
  <c r="B2514" i="1"/>
  <c r="C2514" i="1"/>
  <c r="D2514" i="1"/>
  <c r="E2514" i="1"/>
  <c r="F2514" i="1"/>
  <c r="G2514" i="1"/>
  <c r="I2514" i="1"/>
  <c r="J2514" i="1"/>
  <c r="K2514" i="1"/>
  <c r="L2514" i="1"/>
  <c r="M2514" i="1"/>
  <c r="N2514" i="1"/>
  <c r="O2514" i="1"/>
  <c r="P2514" i="1"/>
  <c r="Q2514" i="1"/>
  <c r="R2514" i="1"/>
  <c r="S2514" i="1"/>
  <c r="T2514" i="1"/>
  <c r="U2514" i="1"/>
  <c r="V2514" i="1"/>
  <c r="W2514" i="1"/>
  <c r="X2514" i="1"/>
  <c r="Y2514" i="1"/>
  <c r="Z2514" i="1"/>
  <c r="A2515" i="1"/>
  <c r="B2515" i="1"/>
  <c r="C2515" i="1"/>
  <c r="D2515" i="1"/>
  <c r="E2515" i="1"/>
  <c r="F2515" i="1"/>
  <c r="G2515" i="1"/>
  <c r="I2515" i="1"/>
  <c r="J2515" i="1"/>
  <c r="K2515" i="1"/>
  <c r="L2515" i="1"/>
  <c r="M2515" i="1"/>
  <c r="N2515" i="1"/>
  <c r="O2515" i="1"/>
  <c r="P2515" i="1"/>
  <c r="Q2515" i="1"/>
  <c r="R2515" i="1"/>
  <c r="S2515" i="1"/>
  <c r="T2515" i="1"/>
  <c r="U2515" i="1"/>
  <c r="V2515" i="1"/>
  <c r="W2515" i="1"/>
  <c r="X2515" i="1"/>
  <c r="Y2515" i="1"/>
  <c r="Z2515" i="1"/>
  <c r="A2516" i="1"/>
  <c r="B2516" i="1"/>
  <c r="C2516" i="1"/>
  <c r="D2516" i="1"/>
  <c r="E2516" i="1"/>
  <c r="F2516" i="1"/>
  <c r="G2516" i="1"/>
  <c r="I2516" i="1"/>
  <c r="J2516" i="1"/>
  <c r="K2516" i="1"/>
  <c r="L2516" i="1"/>
  <c r="M2516" i="1"/>
  <c r="N2516" i="1"/>
  <c r="O2516" i="1"/>
  <c r="P2516" i="1"/>
  <c r="Q2516" i="1"/>
  <c r="R2516" i="1"/>
  <c r="S2516" i="1"/>
  <c r="T2516" i="1"/>
  <c r="U2516" i="1"/>
  <c r="V2516" i="1"/>
  <c r="W2516" i="1"/>
  <c r="X2516" i="1"/>
  <c r="Y2516" i="1"/>
  <c r="Z2516" i="1"/>
  <c r="A2517" i="1"/>
  <c r="B2517" i="1"/>
  <c r="C2517" i="1"/>
  <c r="D2517" i="1"/>
  <c r="E2517" i="1"/>
  <c r="F2517" i="1"/>
  <c r="G2517" i="1"/>
  <c r="I2517" i="1"/>
  <c r="J2517" i="1"/>
  <c r="K2517" i="1"/>
  <c r="L2517" i="1"/>
  <c r="M2517" i="1"/>
  <c r="N2517" i="1"/>
  <c r="O2517" i="1"/>
  <c r="P2517" i="1"/>
  <c r="Q2517" i="1"/>
  <c r="R2517" i="1"/>
  <c r="S2517" i="1"/>
  <c r="T2517" i="1"/>
  <c r="U2517" i="1"/>
  <c r="V2517" i="1"/>
  <c r="W2517" i="1"/>
  <c r="X2517" i="1"/>
  <c r="Y2517" i="1"/>
  <c r="Z2517" i="1"/>
  <c r="A2518" i="1"/>
  <c r="B2518" i="1"/>
  <c r="C2518" i="1"/>
  <c r="D2518" i="1"/>
  <c r="E2518" i="1"/>
  <c r="F2518" i="1"/>
  <c r="G2518" i="1"/>
  <c r="I2518" i="1"/>
  <c r="J2518" i="1"/>
  <c r="K2518" i="1"/>
  <c r="L2518" i="1"/>
  <c r="M2518" i="1"/>
  <c r="N2518" i="1"/>
  <c r="O2518" i="1"/>
  <c r="P2518" i="1"/>
  <c r="Q2518" i="1"/>
  <c r="R2518" i="1"/>
  <c r="S2518" i="1"/>
  <c r="T2518" i="1"/>
  <c r="U2518" i="1"/>
  <c r="V2518" i="1"/>
  <c r="W2518" i="1"/>
  <c r="X2518" i="1"/>
  <c r="Y2518" i="1"/>
  <c r="Z2518" i="1"/>
  <c r="A2519" i="1"/>
  <c r="B2519" i="1"/>
  <c r="C2519" i="1"/>
  <c r="D2519" i="1"/>
  <c r="E2519" i="1"/>
  <c r="F2519" i="1"/>
  <c r="G2519" i="1"/>
  <c r="I2519" i="1"/>
  <c r="J2519" i="1"/>
  <c r="K2519" i="1"/>
  <c r="L2519" i="1"/>
  <c r="M2519" i="1"/>
  <c r="N2519" i="1"/>
  <c r="O2519" i="1"/>
  <c r="P2519" i="1"/>
  <c r="Q2519" i="1"/>
  <c r="R2519" i="1"/>
  <c r="S2519" i="1"/>
  <c r="T2519" i="1"/>
  <c r="U2519" i="1"/>
  <c r="V2519" i="1"/>
  <c r="W2519" i="1"/>
  <c r="X2519" i="1"/>
  <c r="Y2519" i="1"/>
  <c r="Z2519" i="1"/>
  <c r="A2520" i="1"/>
  <c r="B2520" i="1"/>
  <c r="C2520" i="1"/>
  <c r="D2520" i="1"/>
  <c r="E2520" i="1"/>
  <c r="F2520" i="1"/>
  <c r="G2520" i="1"/>
  <c r="I2520" i="1"/>
  <c r="J2520" i="1"/>
  <c r="K2520" i="1"/>
  <c r="L2520" i="1"/>
  <c r="M2520" i="1"/>
  <c r="N2520" i="1"/>
  <c r="O2520" i="1"/>
  <c r="P2520" i="1"/>
  <c r="Q2520" i="1"/>
  <c r="R2520" i="1"/>
  <c r="S2520" i="1"/>
  <c r="T2520" i="1"/>
  <c r="U2520" i="1"/>
  <c r="V2520" i="1"/>
  <c r="W2520" i="1"/>
  <c r="X2520" i="1"/>
  <c r="Y2520" i="1"/>
  <c r="Z2520" i="1"/>
  <c r="A2521" i="1"/>
  <c r="B2521" i="1"/>
  <c r="C2521" i="1"/>
  <c r="D2521" i="1"/>
  <c r="E2521" i="1"/>
  <c r="F2521" i="1"/>
  <c r="G2521" i="1"/>
  <c r="I2521" i="1"/>
  <c r="J2521" i="1"/>
  <c r="K2521" i="1"/>
  <c r="L2521" i="1"/>
  <c r="M2521" i="1"/>
  <c r="N2521" i="1"/>
  <c r="O2521" i="1"/>
  <c r="P2521" i="1"/>
  <c r="Q2521" i="1"/>
  <c r="R2521" i="1"/>
  <c r="S2521" i="1"/>
  <c r="T2521" i="1"/>
  <c r="U2521" i="1"/>
  <c r="V2521" i="1"/>
  <c r="W2521" i="1"/>
  <c r="X2521" i="1"/>
  <c r="Y2521" i="1"/>
  <c r="Z2521" i="1"/>
  <c r="A2522" i="1"/>
  <c r="B2522" i="1"/>
  <c r="C2522" i="1"/>
  <c r="D2522" i="1"/>
  <c r="E2522" i="1"/>
  <c r="F2522" i="1"/>
  <c r="G2522" i="1"/>
  <c r="I2522" i="1"/>
  <c r="J2522" i="1"/>
  <c r="K2522" i="1"/>
  <c r="L2522" i="1"/>
  <c r="M2522" i="1"/>
  <c r="N2522" i="1"/>
  <c r="O2522" i="1"/>
  <c r="P2522" i="1"/>
  <c r="Q2522" i="1"/>
  <c r="R2522" i="1"/>
  <c r="S2522" i="1"/>
  <c r="T2522" i="1"/>
  <c r="U2522" i="1"/>
  <c r="V2522" i="1"/>
  <c r="W2522" i="1"/>
  <c r="X2522" i="1"/>
  <c r="Y2522" i="1"/>
  <c r="Z2522" i="1"/>
  <c r="A2523" i="1"/>
  <c r="B2523" i="1"/>
  <c r="C2523" i="1"/>
  <c r="D2523" i="1"/>
  <c r="E2523" i="1"/>
  <c r="F2523" i="1"/>
  <c r="G2523" i="1"/>
  <c r="I2523" i="1"/>
  <c r="J2523" i="1"/>
  <c r="K2523" i="1"/>
  <c r="L2523" i="1"/>
  <c r="M2523" i="1"/>
  <c r="N2523" i="1"/>
  <c r="O2523" i="1"/>
  <c r="P2523" i="1"/>
  <c r="Q2523" i="1"/>
  <c r="R2523" i="1"/>
  <c r="S2523" i="1"/>
  <c r="T2523" i="1"/>
  <c r="U2523" i="1"/>
  <c r="V2523" i="1"/>
  <c r="W2523" i="1"/>
  <c r="X2523" i="1"/>
  <c r="Y2523" i="1"/>
  <c r="Z2523" i="1"/>
  <c r="A2524" i="1"/>
  <c r="B2524" i="1"/>
  <c r="C2524" i="1"/>
  <c r="D2524" i="1"/>
  <c r="E2524" i="1"/>
  <c r="F2524" i="1"/>
  <c r="G2524" i="1"/>
  <c r="I2524" i="1"/>
  <c r="J2524" i="1"/>
  <c r="K2524" i="1"/>
  <c r="L2524" i="1"/>
  <c r="M2524" i="1"/>
  <c r="N2524" i="1"/>
  <c r="O2524" i="1"/>
  <c r="P2524" i="1"/>
  <c r="Q2524" i="1"/>
  <c r="R2524" i="1"/>
  <c r="S2524" i="1"/>
  <c r="T2524" i="1"/>
  <c r="U2524" i="1"/>
  <c r="V2524" i="1"/>
  <c r="W2524" i="1"/>
  <c r="X2524" i="1"/>
  <c r="Y2524" i="1"/>
  <c r="Z2524" i="1"/>
  <c r="A2525" i="1"/>
  <c r="B2525" i="1"/>
  <c r="C2525" i="1"/>
  <c r="D2525" i="1"/>
  <c r="E2525" i="1"/>
  <c r="F2525" i="1"/>
  <c r="G2525" i="1"/>
  <c r="I2525" i="1"/>
  <c r="J2525" i="1"/>
  <c r="K2525" i="1"/>
  <c r="L2525" i="1"/>
  <c r="M2525" i="1"/>
  <c r="N2525" i="1"/>
  <c r="O2525" i="1"/>
  <c r="P2525" i="1"/>
  <c r="Q2525" i="1"/>
  <c r="R2525" i="1"/>
  <c r="S2525" i="1"/>
  <c r="T2525" i="1"/>
  <c r="U2525" i="1"/>
  <c r="V2525" i="1"/>
  <c r="W2525" i="1"/>
  <c r="X2525" i="1"/>
  <c r="Y2525" i="1"/>
  <c r="Z2525" i="1"/>
  <c r="A2526" i="1"/>
  <c r="B2526" i="1"/>
  <c r="C2526" i="1"/>
  <c r="D2526" i="1"/>
  <c r="E2526" i="1"/>
  <c r="F2526" i="1"/>
  <c r="G2526" i="1"/>
  <c r="I2526" i="1"/>
  <c r="J2526" i="1"/>
  <c r="K2526" i="1"/>
  <c r="L2526" i="1"/>
  <c r="M2526" i="1"/>
  <c r="N2526" i="1"/>
  <c r="O2526" i="1"/>
  <c r="P2526" i="1"/>
  <c r="Q2526" i="1"/>
  <c r="R2526" i="1"/>
  <c r="S2526" i="1"/>
  <c r="T2526" i="1"/>
  <c r="U2526" i="1"/>
  <c r="V2526" i="1"/>
  <c r="W2526" i="1"/>
  <c r="X2526" i="1"/>
  <c r="Y2526" i="1"/>
  <c r="Z2526" i="1"/>
  <c r="A2527" i="1"/>
  <c r="B2527" i="1"/>
  <c r="C2527" i="1"/>
  <c r="D2527" i="1"/>
  <c r="E2527" i="1"/>
  <c r="F2527" i="1"/>
  <c r="G2527" i="1"/>
  <c r="I2527" i="1"/>
  <c r="J2527" i="1"/>
  <c r="K2527" i="1"/>
  <c r="L2527" i="1"/>
  <c r="M2527" i="1"/>
  <c r="N2527" i="1"/>
  <c r="O2527" i="1"/>
  <c r="P2527" i="1"/>
  <c r="Q2527" i="1"/>
  <c r="R2527" i="1"/>
  <c r="S2527" i="1"/>
  <c r="T2527" i="1"/>
  <c r="U2527" i="1"/>
  <c r="V2527" i="1"/>
  <c r="W2527" i="1"/>
  <c r="X2527" i="1"/>
  <c r="Y2527" i="1"/>
  <c r="Z2527" i="1"/>
  <c r="A2528" i="1"/>
  <c r="B2528" i="1"/>
  <c r="C2528" i="1"/>
  <c r="D2528" i="1"/>
  <c r="E2528" i="1"/>
  <c r="F2528" i="1"/>
  <c r="G2528" i="1"/>
  <c r="I2528" i="1"/>
  <c r="J2528" i="1"/>
  <c r="K2528" i="1"/>
  <c r="L2528" i="1"/>
  <c r="M2528" i="1"/>
  <c r="N2528" i="1"/>
  <c r="O2528" i="1"/>
  <c r="P2528" i="1"/>
  <c r="Q2528" i="1"/>
  <c r="R2528" i="1"/>
  <c r="S2528" i="1"/>
  <c r="T2528" i="1"/>
  <c r="U2528" i="1"/>
  <c r="V2528" i="1"/>
  <c r="W2528" i="1"/>
  <c r="X2528" i="1"/>
  <c r="Y2528" i="1"/>
  <c r="Z2528" i="1"/>
  <c r="A2529" i="1"/>
  <c r="B2529" i="1"/>
  <c r="C2529" i="1"/>
  <c r="D2529" i="1"/>
  <c r="E2529" i="1"/>
  <c r="F2529" i="1"/>
  <c r="G2529" i="1"/>
  <c r="I2529" i="1"/>
  <c r="J2529" i="1"/>
  <c r="K2529" i="1"/>
  <c r="L2529" i="1"/>
  <c r="M2529" i="1"/>
  <c r="N2529" i="1"/>
  <c r="O2529" i="1"/>
  <c r="P2529" i="1"/>
  <c r="Q2529" i="1"/>
  <c r="R2529" i="1"/>
  <c r="S2529" i="1"/>
  <c r="T2529" i="1"/>
  <c r="U2529" i="1"/>
  <c r="V2529" i="1"/>
  <c r="W2529" i="1"/>
  <c r="X2529" i="1"/>
  <c r="Y2529" i="1"/>
  <c r="Z2529" i="1"/>
  <c r="A2530" i="1"/>
  <c r="B2530" i="1"/>
  <c r="C2530" i="1"/>
  <c r="D2530" i="1"/>
  <c r="E2530" i="1"/>
  <c r="F2530" i="1"/>
  <c r="G2530" i="1"/>
  <c r="I2530" i="1"/>
  <c r="J2530" i="1"/>
  <c r="K2530" i="1"/>
  <c r="L2530" i="1"/>
  <c r="M2530" i="1"/>
  <c r="N2530" i="1"/>
  <c r="O2530" i="1"/>
  <c r="P2530" i="1"/>
  <c r="Q2530" i="1"/>
  <c r="R2530" i="1"/>
  <c r="S2530" i="1"/>
  <c r="T2530" i="1"/>
  <c r="U2530" i="1"/>
  <c r="V2530" i="1"/>
  <c r="W2530" i="1"/>
  <c r="X2530" i="1"/>
  <c r="Y2530" i="1"/>
  <c r="Z2530" i="1"/>
  <c r="A2531" i="1"/>
  <c r="B2531" i="1"/>
  <c r="C2531" i="1"/>
  <c r="D2531" i="1"/>
  <c r="E2531" i="1"/>
  <c r="F2531" i="1"/>
  <c r="G2531" i="1"/>
  <c r="I2531" i="1"/>
  <c r="J2531" i="1"/>
  <c r="K2531" i="1"/>
  <c r="L2531" i="1"/>
  <c r="M2531" i="1"/>
  <c r="N2531" i="1"/>
  <c r="O2531" i="1"/>
  <c r="P2531" i="1"/>
  <c r="Q2531" i="1"/>
  <c r="R2531" i="1"/>
  <c r="S2531" i="1"/>
  <c r="T2531" i="1"/>
  <c r="U2531" i="1"/>
  <c r="V2531" i="1"/>
  <c r="W2531" i="1"/>
  <c r="X2531" i="1"/>
  <c r="Y2531" i="1"/>
  <c r="Z2531" i="1"/>
  <c r="A2532" i="1"/>
  <c r="B2532" i="1"/>
  <c r="C2532" i="1"/>
  <c r="D2532" i="1"/>
  <c r="E2532" i="1"/>
  <c r="F2532" i="1"/>
  <c r="G2532" i="1"/>
  <c r="I2532" i="1"/>
  <c r="J2532" i="1"/>
  <c r="K2532" i="1"/>
  <c r="L2532" i="1"/>
  <c r="M2532" i="1"/>
  <c r="N2532" i="1"/>
  <c r="O2532" i="1"/>
  <c r="P2532" i="1"/>
  <c r="Q2532" i="1"/>
  <c r="R2532" i="1"/>
  <c r="S2532" i="1"/>
  <c r="T2532" i="1"/>
  <c r="U2532" i="1"/>
  <c r="V2532" i="1"/>
  <c r="W2532" i="1"/>
  <c r="X2532" i="1"/>
  <c r="Y2532" i="1"/>
  <c r="Z2532" i="1"/>
  <c r="A2533" i="1"/>
  <c r="B2533" i="1"/>
  <c r="C2533" i="1"/>
  <c r="D2533" i="1"/>
  <c r="E2533" i="1"/>
  <c r="F2533" i="1"/>
  <c r="G2533" i="1"/>
  <c r="I2533" i="1"/>
  <c r="J2533" i="1"/>
  <c r="K2533" i="1"/>
  <c r="L2533" i="1"/>
  <c r="M2533" i="1"/>
  <c r="N2533" i="1"/>
  <c r="O2533" i="1"/>
  <c r="P2533" i="1"/>
  <c r="Q2533" i="1"/>
  <c r="R2533" i="1"/>
  <c r="S2533" i="1"/>
  <c r="T2533" i="1"/>
  <c r="U2533" i="1"/>
  <c r="V2533" i="1"/>
  <c r="W2533" i="1"/>
  <c r="X2533" i="1"/>
  <c r="Y2533" i="1"/>
  <c r="Z2533" i="1"/>
  <c r="A2534" i="1"/>
  <c r="B2534" i="1"/>
  <c r="C2534" i="1"/>
  <c r="D2534" i="1"/>
  <c r="E2534" i="1"/>
  <c r="F2534" i="1"/>
  <c r="G2534" i="1"/>
  <c r="I2534" i="1"/>
  <c r="J2534" i="1"/>
  <c r="K2534" i="1"/>
  <c r="L2534" i="1"/>
  <c r="M2534" i="1"/>
  <c r="N2534" i="1"/>
  <c r="O2534" i="1"/>
  <c r="P2534" i="1"/>
  <c r="Q2534" i="1"/>
  <c r="R2534" i="1"/>
  <c r="S2534" i="1"/>
  <c r="T2534" i="1"/>
  <c r="U2534" i="1"/>
  <c r="V2534" i="1"/>
  <c r="W2534" i="1"/>
  <c r="X2534" i="1"/>
  <c r="Y2534" i="1"/>
  <c r="Z2534" i="1"/>
  <c r="A2535" i="1"/>
  <c r="B2535" i="1"/>
  <c r="C2535" i="1"/>
  <c r="D2535" i="1"/>
  <c r="E2535" i="1"/>
  <c r="F2535" i="1"/>
  <c r="G2535" i="1"/>
  <c r="I2535" i="1"/>
  <c r="J2535" i="1"/>
  <c r="K2535" i="1"/>
  <c r="L2535" i="1"/>
  <c r="M2535" i="1"/>
  <c r="N2535" i="1"/>
  <c r="O2535" i="1"/>
  <c r="P2535" i="1"/>
  <c r="Q2535" i="1"/>
  <c r="R2535" i="1"/>
  <c r="S2535" i="1"/>
  <c r="T2535" i="1"/>
  <c r="U2535" i="1"/>
  <c r="V2535" i="1"/>
  <c r="W2535" i="1"/>
  <c r="X2535" i="1"/>
  <c r="Y2535" i="1"/>
  <c r="Z2535" i="1"/>
  <c r="A2536" i="1"/>
  <c r="B2536" i="1"/>
  <c r="C2536" i="1"/>
  <c r="D2536" i="1"/>
  <c r="E2536" i="1"/>
  <c r="F2536" i="1"/>
  <c r="G2536" i="1"/>
  <c r="I2536" i="1"/>
  <c r="J2536" i="1"/>
  <c r="K2536" i="1"/>
  <c r="L2536" i="1"/>
  <c r="M2536" i="1"/>
  <c r="N2536" i="1"/>
  <c r="O2536" i="1"/>
  <c r="P2536" i="1"/>
  <c r="Q2536" i="1"/>
  <c r="R2536" i="1"/>
  <c r="S2536" i="1"/>
  <c r="T2536" i="1"/>
  <c r="U2536" i="1"/>
  <c r="V2536" i="1"/>
  <c r="W2536" i="1"/>
  <c r="X2536" i="1"/>
  <c r="Y2536" i="1"/>
  <c r="Z2536" i="1"/>
  <c r="A2537" i="1"/>
  <c r="B2537" i="1"/>
  <c r="C2537" i="1"/>
  <c r="D2537" i="1"/>
  <c r="E2537" i="1"/>
  <c r="F2537" i="1"/>
  <c r="G2537" i="1"/>
  <c r="I2537" i="1"/>
  <c r="J2537" i="1"/>
  <c r="K2537" i="1"/>
  <c r="L2537" i="1"/>
  <c r="M2537" i="1"/>
  <c r="N2537" i="1"/>
  <c r="O2537" i="1"/>
  <c r="P2537" i="1"/>
  <c r="Q2537" i="1"/>
  <c r="R2537" i="1"/>
  <c r="S2537" i="1"/>
  <c r="T2537" i="1"/>
  <c r="U2537" i="1"/>
  <c r="V2537" i="1"/>
  <c r="W2537" i="1"/>
  <c r="X2537" i="1"/>
  <c r="Y2537" i="1"/>
  <c r="Z2537" i="1"/>
  <c r="A2538" i="1"/>
  <c r="B2538" i="1"/>
  <c r="C2538" i="1"/>
  <c r="D2538" i="1"/>
  <c r="E2538" i="1"/>
  <c r="F2538" i="1"/>
  <c r="G2538" i="1"/>
  <c r="I2538" i="1"/>
  <c r="J2538" i="1"/>
  <c r="K2538" i="1"/>
  <c r="L2538" i="1"/>
  <c r="M2538" i="1"/>
  <c r="N2538" i="1"/>
  <c r="O2538" i="1"/>
  <c r="P2538" i="1"/>
  <c r="Q2538" i="1"/>
  <c r="R2538" i="1"/>
  <c r="S2538" i="1"/>
  <c r="T2538" i="1"/>
  <c r="U2538" i="1"/>
  <c r="V2538" i="1"/>
  <c r="W2538" i="1"/>
  <c r="X2538" i="1"/>
  <c r="Y2538" i="1"/>
  <c r="Z2538" i="1"/>
  <c r="A2539" i="1"/>
  <c r="B2539" i="1"/>
  <c r="C2539" i="1"/>
  <c r="D2539" i="1"/>
  <c r="E2539" i="1"/>
  <c r="F2539" i="1"/>
  <c r="G2539" i="1"/>
  <c r="I2539" i="1"/>
  <c r="J2539" i="1"/>
  <c r="K2539" i="1"/>
  <c r="L2539" i="1"/>
  <c r="M2539" i="1"/>
  <c r="N2539" i="1"/>
  <c r="O2539" i="1"/>
  <c r="P2539" i="1"/>
  <c r="Q2539" i="1"/>
  <c r="R2539" i="1"/>
  <c r="S2539" i="1"/>
  <c r="T2539" i="1"/>
  <c r="U2539" i="1"/>
  <c r="V2539" i="1"/>
  <c r="W2539" i="1"/>
  <c r="X2539" i="1"/>
  <c r="Y2539" i="1"/>
  <c r="Z2539" i="1"/>
  <c r="A2540" i="1"/>
  <c r="B2540" i="1"/>
  <c r="C2540" i="1"/>
  <c r="D2540" i="1"/>
  <c r="E2540" i="1"/>
  <c r="F2540" i="1"/>
  <c r="G2540" i="1"/>
  <c r="I2540" i="1"/>
  <c r="J2540" i="1"/>
  <c r="K2540" i="1"/>
  <c r="L2540" i="1"/>
  <c r="M2540" i="1"/>
  <c r="N2540" i="1"/>
  <c r="O2540" i="1"/>
  <c r="P2540" i="1"/>
  <c r="Q2540" i="1"/>
  <c r="R2540" i="1"/>
  <c r="S2540" i="1"/>
  <c r="T2540" i="1"/>
  <c r="U2540" i="1"/>
  <c r="V2540" i="1"/>
  <c r="W2540" i="1"/>
  <c r="X2540" i="1"/>
  <c r="Y2540" i="1"/>
  <c r="Z2540" i="1"/>
  <c r="A2541" i="1"/>
  <c r="B2541" i="1"/>
  <c r="C2541" i="1"/>
  <c r="D2541" i="1"/>
  <c r="E2541" i="1"/>
  <c r="F2541" i="1"/>
  <c r="G2541" i="1"/>
  <c r="I2541" i="1"/>
  <c r="J2541" i="1"/>
  <c r="K2541" i="1"/>
  <c r="L2541" i="1"/>
  <c r="M2541" i="1"/>
  <c r="N2541" i="1"/>
  <c r="O2541" i="1"/>
  <c r="P2541" i="1"/>
  <c r="Q2541" i="1"/>
  <c r="R2541" i="1"/>
  <c r="S2541" i="1"/>
  <c r="T2541" i="1"/>
  <c r="U2541" i="1"/>
  <c r="V2541" i="1"/>
  <c r="W2541" i="1"/>
  <c r="X2541" i="1"/>
  <c r="Y2541" i="1"/>
  <c r="Z2541" i="1"/>
  <c r="A2542" i="1"/>
  <c r="B2542" i="1"/>
  <c r="C2542" i="1"/>
  <c r="D2542" i="1"/>
  <c r="E2542" i="1"/>
  <c r="F2542" i="1"/>
  <c r="G2542" i="1"/>
  <c r="I2542" i="1"/>
  <c r="J2542" i="1"/>
  <c r="K2542" i="1"/>
  <c r="L2542" i="1"/>
  <c r="M2542" i="1"/>
  <c r="N2542" i="1"/>
  <c r="O2542" i="1"/>
  <c r="P2542" i="1"/>
  <c r="Q2542" i="1"/>
  <c r="R2542" i="1"/>
  <c r="S2542" i="1"/>
  <c r="T2542" i="1"/>
  <c r="U2542" i="1"/>
  <c r="V2542" i="1"/>
  <c r="W2542" i="1"/>
  <c r="X2542" i="1"/>
  <c r="Y2542" i="1"/>
  <c r="Z2542" i="1"/>
  <c r="A2543" i="1"/>
  <c r="B2543" i="1"/>
  <c r="C2543" i="1"/>
  <c r="D2543" i="1"/>
  <c r="E2543" i="1"/>
  <c r="F2543" i="1"/>
  <c r="G2543" i="1"/>
  <c r="I2543" i="1"/>
  <c r="J2543" i="1"/>
  <c r="K2543" i="1"/>
  <c r="L2543" i="1"/>
  <c r="M2543" i="1"/>
  <c r="N2543" i="1"/>
  <c r="O2543" i="1"/>
  <c r="P2543" i="1"/>
  <c r="Q2543" i="1"/>
  <c r="R2543" i="1"/>
  <c r="S2543" i="1"/>
  <c r="T2543" i="1"/>
  <c r="U2543" i="1"/>
  <c r="V2543" i="1"/>
  <c r="W2543" i="1"/>
  <c r="X2543" i="1"/>
  <c r="Y2543" i="1"/>
  <c r="Z2543" i="1"/>
  <c r="A2544" i="1"/>
  <c r="B2544" i="1"/>
  <c r="C2544" i="1"/>
  <c r="D2544" i="1"/>
  <c r="E2544" i="1"/>
  <c r="F2544" i="1"/>
  <c r="G2544" i="1"/>
  <c r="I2544" i="1"/>
  <c r="J2544" i="1"/>
  <c r="K2544" i="1"/>
  <c r="L2544" i="1"/>
  <c r="M2544" i="1"/>
  <c r="N2544" i="1"/>
  <c r="O2544" i="1"/>
  <c r="P2544" i="1"/>
  <c r="Q2544" i="1"/>
  <c r="R2544" i="1"/>
  <c r="S2544" i="1"/>
  <c r="T2544" i="1"/>
  <c r="U2544" i="1"/>
  <c r="V2544" i="1"/>
  <c r="W2544" i="1"/>
  <c r="X2544" i="1"/>
  <c r="Y2544" i="1"/>
  <c r="Z2544" i="1"/>
  <c r="A2545" i="1"/>
  <c r="B2545" i="1"/>
  <c r="C2545" i="1"/>
  <c r="D2545" i="1"/>
  <c r="E2545" i="1"/>
  <c r="F2545" i="1"/>
  <c r="G2545" i="1"/>
  <c r="I2545" i="1"/>
  <c r="J2545" i="1"/>
  <c r="K2545" i="1"/>
  <c r="L2545" i="1"/>
  <c r="M2545" i="1"/>
  <c r="N2545" i="1"/>
  <c r="O2545" i="1"/>
  <c r="P2545" i="1"/>
  <c r="Q2545" i="1"/>
  <c r="R2545" i="1"/>
  <c r="S2545" i="1"/>
  <c r="T2545" i="1"/>
  <c r="U2545" i="1"/>
  <c r="V2545" i="1"/>
  <c r="W2545" i="1"/>
  <c r="X2545" i="1"/>
  <c r="Y2545" i="1"/>
  <c r="Z2545" i="1"/>
  <c r="A2546" i="1"/>
  <c r="B2546" i="1"/>
  <c r="C2546" i="1"/>
  <c r="D2546" i="1"/>
  <c r="E2546" i="1"/>
  <c r="F2546" i="1"/>
  <c r="G2546" i="1"/>
  <c r="I2546" i="1"/>
  <c r="J2546" i="1"/>
  <c r="K2546" i="1"/>
  <c r="L2546" i="1"/>
  <c r="M2546" i="1"/>
  <c r="N2546" i="1"/>
  <c r="O2546" i="1"/>
  <c r="P2546" i="1"/>
  <c r="Q2546" i="1"/>
  <c r="R2546" i="1"/>
  <c r="S2546" i="1"/>
  <c r="T2546" i="1"/>
  <c r="U2546" i="1"/>
  <c r="V2546" i="1"/>
  <c r="W2546" i="1"/>
  <c r="X2546" i="1"/>
  <c r="Y2546" i="1"/>
  <c r="Z2546" i="1"/>
  <c r="A2547" i="1"/>
  <c r="B2547" i="1"/>
  <c r="C2547" i="1"/>
  <c r="D2547" i="1"/>
  <c r="E2547" i="1"/>
  <c r="F2547" i="1"/>
  <c r="G2547" i="1"/>
  <c r="I2547" i="1"/>
  <c r="J2547" i="1"/>
  <c r="K2547" i="1"/>
  <c r="L2547" i="1"/>
  <c r="M2547" i="1"/>
  <c r="N2547" i="1"/>
  <c r="O2547" i="1"/>
  <c r="P2547" i="1"/>
  <c r="Q2547" i="1"/>
  <c r="R2547" i="1"/>
  <c r="S2547" i="1"/>
  <c r="T2547" i="1"/>
  <c r="U2547" i="1"/>
  <c r="V2547" i="1"/>
  <c r="W2547" i="1"/>
  <c r="X2547" i="1"/>
  <c r="Y2547" i="1"/>
  <c r="Z2547" i="1"/>
  <c r="A2548" i="1"/>
  <c r="B2548" i="1"/>
  <c r="C2548" i="1"/>
  <c r="D2548" i="1"/>
  <c r="E2548" i="1"/>
  <c r="F2548" i="1"/>
  <c r="G2548" i="1"/>
  <c r="I2548" i="1"/>
  <c r="J2548" i="1"/>
  <c r="K2548" i="1"/>
  <c r="L2548" i="1"/>
  <c r="M2548" i="1"/>
  <c r="N2548" i="1"/>
  <c r="O2548" i="1"/>
  <c r="P2548" i="1"/>
  <c r="Q2548" i="1"/>
  <c r="R2548" i="1"/>
  <c r="S2548" i="1"/>
  <c r="T2548" i="1"/>
  <c r="U2548" i="1"/>
  <c r="V2548" i="1"/>
  <c r="W2548" i="1"/>
  <c r="X2548" i="1"/>
  <c r="Y2548" i="1"/>
  <c r="Z2548" i="1"/>
  <c r="A2549" i="1"/>
  <c r="B2549" i="1"/>
  <c r="C2549" i="1"/>
  <c r="D2549" i="1"/>
  <c r="E2549" i="1"/>
  <c r="F2549" i="1"/>
  <c r="G2549" i="1"/>
  <c r="I2549" i="1"/>
  <c r="J2549" i="1"/>
  <c r="K2549" i="1"/>
  <c r="L2549" i="1"/>
  <c r="M2549" i="1"/>
  <c r="N2549" i="1"/>
  <c r="O2549" i="1"/>
  <c r="P2549" i="1"/>
  <c r="Q2549" i="1"/>
  <c r="R2549" i="1"/>
  <c r="S2549" i="1"/>
  <c r="T2549" i="1"/>
  <c r="U2549" i="1"/>
  <c r="V2549" i="1"/>
  <c r="W2549" i="1"/>
  <c r="X2549" i="1"/>
  <c r="Y2549" i="1"/>
  <c r="Z2549" i="1"/>
  <c r="A2550" i="1"/>
  <c r="B2550" i="1"/>
  <c r="C2550" i="1"/>
  <c r="D2550" i="1"/>
  <c r="E2550" i="1"/>
  <c r="F2550" i="1"/>
  <c r="G2550" i="1"/>
  <c r="I2550" i="1"/>
  <c r="J2550" i="1"/>
  <c r="K2550" i="1"/>
  <c r="L2550" i="1"/>
  <c r="M2550" i="1"/>
  <c r="N2550" i="1"/>
  <c r="O2550" i="1"/>
  <c r="P2550" i="1"/>
  <c r="Q2550" i="1"/>
  <c r="R2550" i="1"/>
  <c r="S2550" i="1"/>
  <c r="T2550" i="1"/>
  <c r="U2550" i="1"/>
  <c r="V2550" i="1"/>
  <c r="W2550" i="1"/>
  <c r="X2550" i="1"/>
  <c r="Y2550" i="1"/>
  <c r="Z2550" i="1"/>
  <c r="A2551" i="1"/>
  <c r="B2551" i="1"/>
  <c r="C2551" i="1"/>
  <c r="D2551" i="1"/>
  <c r="E2551" i="1"/>
  <c r="F2551" i="1"/>
  <c r="G2551" i="1"/>
  <c r="I2551" i="1"/>
  <c r="J2551" i="1"/>
  <c r="K2551" i="1"/>
  <c r="L2551" i="1"/>
  <c r="M2551" i="1"/>
  <c r="N2551" i="1"/>
  <c r="O2551" i="1"/>
  <c r="P2551" i="1"/>
  <c r="Q2551" i="1"/>
  <c r="R2551" i="1"/>
  <c r="S2551" i="1"/>
  <c r="T2551" i="1"/>
  <c r="U2551" i="1"/>
  <c r="V2551" i="1"/>
  <c r="W2551" i="1"/>
  <c r="X2551" i="1"/>
  <c r="Y2551" i="1"/>
  <c r="Z2551" i="1"/>
  <c r="A2552" i="1"/>
  <c r="B2552" i="1"/>
  <c r="C2552" i="1"/>
  <c r="D2552" i="1"/>
  <c r="E2552" i="1"/>
  <c r="F2552" i="1"/>
  <c r="G2552" i="1"/>
  <c r="I2552" i="1"/>
  <c r="J2552" i="1"/>
  <c r="K2552" i="1"/>
  <c r="L2552" i="1"/>
  <c r="M2552" i="1"/>
  <c r="N2552" i="1"/>
  <c r="O2552" i="1"/>
  <c r="P2552" i="1"/>
  <c r="Q2552" i="1"/>
  <c r="R2552" i="1"/>
  <c r="S2552" i="1"/>
  <c r="T2552" i="1"/>
  <c r="U2552" i="1"/>
  <c r="V2552" i="1"/>
  <c r="W2552" i="1"/>
  <c r="X2552" i="1"/>
  <c r="Y2552" i="1"/>
  <c r="Z2552" i="1"/>
  <c r="A2553" i="1"/>
  <c r="B2553" i="1"/>
  <c r="C2553" i="1"/>
  <c r="D2553" i="1"/>
  <c r="E2553" i="1"/>
  <c r="F2553" i="1"/>
  <c r="G2553" i="1"/>
  <c r="I2553" i="1"/>
  <c r="J2553" i="1"/>
  <c r="K2553" i="1"/>
  <c r="L2553" i="1"/>
  <c r="M2553" i="1"/>
  <c r="N2553" i="1"/>
  <c r="O2553" i="1"/>
  <c r="P2553" i="1"/>
  <c r="Q2553" i="1"/>
  <c r="R2553" i="1"/>
  <c r="S2553" i="1"/>
  <c r="T2553" i="1"/>
  <c r="U2553" i="1"/>
  <c r="V2553" i="1"/>
  <c r="W2553" i="1"/>
  <c r="X2553" i="1"/>
  <c r="Y2553" i="1"/>
  <c r="Z2553" i="1"/>
  <c r="A2554" i="1"/>
  <c r="B2554" i="1"/>
  <c r="C2554" i="1"/>
  <c r="D2554" i="1"/>
  <c r="E2554" i="1"/>
  <c r="F2554" i="1"/>
  <c r="G2554" i="1"/>
  <c r="I2554" i="1"/>
  <c r="J2554" i="1"/>
  <c r="K2554" i="1"/>
  <c r="L2554" i="1"/>
  <c r="M2554" i="1"/>
  <c r="N2554" i="1"/>
  <c r="O2554" i="1"/>
  <c r="P2554" i="1"/>
  <c r="Q2554" i="1"/>
  <c r="R2554" i="1"/>
  <c r="S2554" i="1"/>
  <c r="T2554" i="1"/>
  <c r="U2554" i="1"/>
  <c r="V2554" i="1"/>
  <c r="W2554" i="1"/>
  <c r="X2554" i="1"/>
  <c r="Y2554" i="1"/>
  <c r="Z2554" i="1"/>
  <c r="A2555" i="1"/>
  <c r="B2555" i="1"/>
  <c r="C2555" i="1"/>
  <c r="D2555" i="1"/>
  <c r="E2555" i="1"/>
  <c r="F2555" i="1"/>
  <c r="G2555" i="1"/>
  <c r="I2555" i="1"/>
  <c r="J2555" i="1"/>
  <c r="K2555" i="1"/>
  <c r="L2555" i="1"/>
  <c r="M2555" i="1"/>
  <c r="N2555" i="1"/>
  <c r="O2555" i="1"/>
  <c r="P2555" i="1"/>
  <c r="Q2555" i="1"/>
  <c r="R2555" i="1"/>
  <c r="S2555" i="1"/>
  <c r="T2555" i="1"/>
  <c r="U2555" i="1"/>
  <c r="V2555" i="1"/>
  <c r="W2555" i="1"/>
  <c r="X2555" i="1"/>
  <c r="Y2555" i="1"/>
  <c r="Z2555" i="1"/>
  <c r="A2556" i="1"/>
  <c r="B2556" i="1"/>
  <c r="C2556" i="1"/>
  <c r="D2556" i="1"/>
  <c r="E2556" i="1"/>
  <c r="F2556" i="1"/>
  <c r="G2556" i="1"/>
  <c r="I2556" i="1"/>
  <c r="J2556" i="1"/>
  <c r="K2556" i="1"/>
  <c r="L2556" i="1"/>
  <c r="M2556" i="1"/>
  <c r="N2556" i="1"/>
  <c r="O2556" i="1"/>
  <c r="P2556" i="1"/>
  <c r="Q2556" i="1"/>
  <c r="R2556" i="1"/>
  <c r="S2556" i="1"/>
  <c r="T2556" i="1"/>
  <c r="U2556" i="1"/>
  <c r="V2556" i="1"/>
  <c r="W2556" i="1"/>
  <c r="X2556" i="1"/>
  <c r="Y2556" i="1"/>
  <c r="Z2556" i="1"/>
  <c r="A2557" i="1"/>
  <c r="B2557" i="1"/>
  <c r="C2557" i="1"/>
  <c r="D2557" i="1"/>
  <c r="E2557" i="1"/>
  <c r="F2557" i="1"/>
  <c r="G2557" i="1"/>
  <c r="I2557" i="1"/>
  <c r="J2557" i="1"/>
  <c r="K2557" i="1"/>
  <c r="L2557" i="1"/>
  <c r="M2557" i="1"/>
  <c r="N2557" i="1"/>
  <c r="O2557" i="1"/>
  <c r="P2557" i="1"/>
  <c r="Q2557" i="1"/>
  <c r="R2557" i="1"/>
  <c r="S2557" i="1"/>
  <c r="T2557" i="1"/>
  <c r="U2557" i="1"/>
  <c r="V2557" i="1"/>
  <c r="W2557" i="1"/>
  <c r="X2557" i="1"/>
  <c r="Y2557" i="1"/>
  <c r="Z2557" i="1"/>
  <c r="A2558" i="1"/>
  <c r="B2558" i="1"/>
  <c r="C2558" i="1"/>
  <c r="D2558" i="1"/>
  <c r="E2558" i="1"/>
  <c r="F2558" i="1"/>
  <c r="G2558" i="1"/>
  <c r="I2558" i="1"/>
  <c r="J2558" i="1"/>
  <c r="K2558" i="1"/>
  <c r="L2558" i="1"/>
  <c r="M2558" i="1"/>
  <c r="N2558" i="1"/>
  <c r="O2558" i="1"/>
  <c r="P2558" i="1"/>
  <c r="Q2558" i="1"/>
  <c r="R2558" i="1"/>
  <c r="S2558" i="1"/>
  <c r="T2558" i="1"/>
  <c r="U2558" i="1"/>
  <c r="V2558" i="1"/>
  <c r="W2558" i="1"/>
  <c r="X2558" i="1"/>
  <c r="Y2558" i="1"/>
  <c r="Z2558" i="1"/>
  <c r="A2559" i="1"/>
  <c r="B2559" i="1"/>
  <c r="C2559" i="1"/>
  <c r="D2559" i="1"/>
  <c r="E2559" i="1"/>
  <c r="F2559" i="1"/>
  <c r="G2559" i="1"/>
  <c r="I2559" i="1"/>
  <c r="J2559" i="1"/>
  <c r="K2559" i="1"/>
  <c r="L2559" i="1"/>
  <c r="M2559" i="1"/>
  <c r="N2559" i="1"/>
  <c r="O2559" i="1"/>
  <c r="P2559" i="1"/>
  <c r="Q2559" i="1"/>
  <c r="R2559" i="1"/>
  <c r="S2559" i="1"/>
  <c r="T2559" i="1"/>
  <c r="U2559" i="1"/>
  <c r="V2559" i="1"/>
  <c r="W2559" i="1"/>
  <c r="X2559" i="1"/>
  <c r="Y2559" i="1"/>
  <c r="Z2559" i="1"/>
  <c r="A2560" i="1"/>
  <c r="B2560" i="1"/>
  <c r="C2560" i="1"/>
  <c r="D2560" i="1"/>
  <c r="E2560" i="1"/>
  <c r="F2560" i="1"/>
  <c r="G2560" i="1"/>
  <c r="I2560" i="1"/>
  <c r="J2560" i="1"/>
  <c r="K2560" i="1"/>
  <c r="L2560" i="1"/>
  <c r="M2560" i="1"/>
  <c r="N2560" i="1"/>
  <c r="O2560" i="1"/>
  <c r="P2560" i="1"/>
  <c r="Q2560" i="1"/>
  <c r="R2560" i="1"/>
  <c r="S2560" i="1"/>
  <c r="T2560" i="1"/>
  <c r="U2560" i="1"/>
  <c r="V2560" i="1"/>
  <c r="W2560" i="1"/>
  <c r="X2560" i="1"/>
  <c r="Y2560" i="1"/>
  <c r="Z2560" i="1"/>
  <c r="A2561" i="1"/>
  <c r="B2561" i="1"/>
  <c r="C2561" i="1"/>
  <c r="D2561" i="1"/>
  <c r="E2561" i="1"/>
  <c r="F2561" i="1"/>
  <c r="G2561" i="1"/>
  <c r="I2561" i="1"/>
  <c r="J2561" i="1"/>
  <c r="K2561" i="1"/>
  <c r="L2561" i="1"/>
  <c r="M2561" i="1"/>
  <c r="N2561" i="1"/>
  <c r="O2561" i="1"/>
  <c r="P2561" i="1"/>
  <c r="Q2561" i="1"/>
  <c r="R2561" i="1"/>
  <c r="S2561" i="1"/>
  <c r="T2561" i="1"/>
  <c r="U2561" i="1"/>
  <c r="V2561" i="1"/>
  <c r="W2561" i="1"/>
  <c r="X2561" i="1"/>
  <c r="Y2561" i="1"/>
  <c r="Z2561" i="1"/>
  <c r="A2562" i="1"/>
  <c r="B2562" i="1"/>
  <c r="C2562" i="1"/>
  <c r="D2562" i="1"/>
  <c r="E2562" i="1"/>
  <c r="F2562" i="1"/>
  <c r="G2562" i="1"/>
  <c r="I2562" i="1"/>
  <c r="J2562" i="1"/>
  <c r="K2562" i="1"/>
  <c r="L2562" i="1"/>
  <c r="M2562" i="1"/>
  <c r="N2562" i="1"/>
  <c r="O2562" i="1"/>
  <c r="P2562" i="1"/>
  <c r="Q2562" i="1"/>
  <c r="R2562" i="1"/>
  <c r="S2562" i="1"/>
  <c r="T2562" i="1"/>
  <c r="U2562" i="1"/>
  <c r="V2562" i="1"/>
  <c r="W2562" i="1"/>
  <c r="X2562" i="1"/>
  <c r="Y2562" i="1"/>
  <c r="Z2562" i="1"/>
  <c r="A2563" i="1"/>
  <c r="B2563" i="1"/>
  <c r="C2563" i="1"/>
  <c r="D2563" i="1"/>
  <c r="E2563" i="1"/>
  <c r="F2563" i="1"/>
  <c r="G2563" i="1"/>
  <c r="I2563" i="1"/>
  <c r="J2563" i="1"/>
  <c r="K2563" i="1"/>
  <c r="L2563" i="1"/>
  <c r="M2563" i="1"/>
  <c r="N2563" i="1"/>
  <c r="O2563" i="1"/>
  <c r="P2563" i="1"/>
  <c r="Q2563" i="1"/>
  <c r="R2563" i="1"/>
  <c r="S2563" i="1"/>
  <c r="T2563" i="1"/>
  <c r="U2563" i="1"/>
  <c r="V2563" i="1"/>
  <c r="W2563" i="1"/>
  <c r="X2563" i="1"/>
  <c r="Y2563" i="1"/>
  <c r="Z2563" i="1"/>
  <c r="A2564" i="1"/>
  <c r="B2564" i="1"/>
  <c r="C2564" i="1"/>
  <c r="D2564" i="1"/>
  <c r="E2564" i="1"/>
  <c r="F2564" i="1"/>
  <c r="G2564" i="1"/>
  <c r="I2564" i="1"/>
  <c r="J2564" i="1"/>
  <c r="K2564" i="1"/>
  <c r="L2564" i="1"/>
  <c r="M2564" i="1"/>
  <c r="N2564" i="1"/>
  <c r="O2564" i="1"/>
  <c r="P2564" i="1"/>
  <c r="Q2564" i="1"/>
  <c r="R2564" i="1"/>
  <c r="S2564" i="1"/>
  <c r="T2564" i="1"/>
  <c r="U2564" i="1"/>
  <c r="V2564" i="1"/>
  <c r="W2564" i="1"/>
  <c r="X2564" i="1"/>
  <c r="Y2564" i="1"/>
  <c r="Z2564" i="1"/>
  <c r="A2565" i="1"/>
  <c r="B2565" i="1"/>
  <c r="C2565" i="1"/>
  <c r="D2565" i="1"/>
  <c r="E2565" i="1"/>
  <c r="F2565" i="1"/>
  <c r="G2565" i="1"/>
  <c r="I2565" i="1"/>
  <c r="J2565" i="1"/>
  <c r="K2565" i="1"/>
  <c r="L2565" i="1"/>
  <c r="M2565" i="1"/>
  <c r="N2565" i="1"/>
  <c r="O2565" i="1"/>
  <c r="P2565" i="1"/>
  <c r="Q2565" i="1"/>
  <c r="R2565" i="1"/>
  <c r="S2565" i="1"/>
  <c r="T2565" i="1"/>
  <c r="U2565" i="1"/>
  <c r="V2565" i="1"/>
  <c r="W2565" i="1"/>
  <c r="X2565" i="1"/>
  <c r="Y2565" i="1"/>
  <c r="Z2565" i="1"/>
  <c r="A2566" i="1"/>
  <c r="B2566" i="1"/>
  <c r="C2566" i="1"/>
  <c r="D2566" i="1"/>
  <c r="E2566" i="1"/>
  <c r="F2566" i="1"/>
  <c r="G2566" i="1"/>
  <c r="I2566" i="1"/>
  <c r="J2566" i="1"/>
  <c r="K2566" i="1"/>
  <c r="L2566" i="1"/>
  <c r="M2566" i="1"/>
  <c r="N2566" i="1"/>
  <c r="O2566" i="1"/>
  <c r="P2566" i="1"/>
  <c r="Q2566" i="1"/>
  <c r="R2566" i="1"/>
  <c r="S2566" i="1"/>
  <c r="T2566" i="1"/>
  <c r="U2566" i="1"/>
  <c r="V2566" i="1"/>
  <c r="W2566" i="1"/>
  <c r="X2566" i="1"/>
  <c r="Y2566" i="1"/>
  <c r="Z2566" i="1"/>
  <c r="A2567" i="1"/>
  <c r="B2567" i="1"/>
  <c r="C2567" i="1"/>
  <c r="D2567" i="1"/>
  <c r="E2567" i="1"/>
  <c r="F2567" i="1"/>
  <c r="G2567" i="1"/>
  <c r="I2567" i="1"/>
  <c r="J2567" i="1"/>
  <c r="K2567" i="1"/>
  <c r="L2567" i="1"/>
  <c r="M2567" i="1"/>
  <c r="N2567" i="1"/>
  <c r="O2567" i="1"/>
  <c r="P2567" i="1"/>
  <c r="Q2567" i="1"/>
  <c r="R2567" i="1"/>
  <c r="S2567" i="1"/>
  <c r="T2567" i="1"/>
  <c r="U2567" i="1"/>
  <c r="V2567" i="1"/>
  <c r="W2567" i="1"/>
  <c r="X2567" i="1"/>
  <c r="Y2567" i="1"/>
  <c r="Z2567" i="1"/>
  <c r="A2568" i="1"/>
  <c r="B2568" i="1"/>
  <c r="C2568" i="1"/>
  <c r="D2568" i="1"/>
  <c r="E2568" i="1"/>
  <c r="F2568" i="1"/>
  <c r="G2568" i="1"/>
  <c r="I2568" i="1"/>
  <c r="J2568" i="1"/>
  <c r="K2568" i="1"/>
  <c r="L2568" i="1"/>
  <c r="M2568" i="1"/>
  <c r="N2568" i="1"/>
  <c r="O2568" i="1"/>
  <c r="P2568" i="1"/>
  <c r="Q2568" i="1"/>
  <c r="R2568" i="1"/>
  <c r="S2568" i="1"/>
  <c r="T2568" i="1"/>
  <c r="U2568" i="1"/>
  <c r="V2568" i="1"/>
  <c r="W2568" i="1"/>
  <c r="X2568" i="1"/>
  <c r="Y2568" i="1"/>
  <c r="Z2568" i="1"/>
  <c r="A2569" i="1"/>
  <c r="B2569" i="1"/>
  <c r="C2569" i="1"/>
  <c r="D2569" i="1"/>
  <c r="E2569" i="1"/>
  <c r="F2569" i="1"/>
  <c r="G2569" i="1"/>
  <c r="I2569" i="1"/>
  <c r="J2569" i="1"/>
  <c r="K2569" i="1"/>
  <c r="L2569" i="1"/>
  <c r="M2569" i="1"/>
  <c r="N2569" i="1"/>
  <c r="O2569" i="1"/>
  <c r="P2569" i="1"/>
  <c r="Q2569" i="1"/>
  <c r="R2569" i="1"/>
  <c r="S2569" i="1"/>
  <c r="T2569" i="1"/>
  <c r="U2569" i="1"/>
  <c r="V2569" i="1"/>
  <c r="W2569" i="1"/>
  <c r="X2569" i="1"/>
  <c r="Y2569" i="1"/>
  <c r="Z2569" i="1"/>
  <c r="A2570" i="1"/>
  <c r="B2570" i="1"/>
  <c r="C2570" i="1"/>
  <c r="D2570" i="1"/>
  <c r="E2570" i="1"/>
  <c r="F2570" i="1"/>
  <c r="G2570" i="1"/>
  <c r="I2570" i="1"/>
  <c r="J2570" i="1"/>
  <c r="K2570" i="1"/>
  <c r="L2570" i="1"/>
  <c r="M2570" i="1"/>
  <c r="N2570" i="1"/>
  <c r="O2570" i="1"/>
  <c r="P2570" i="1"/>
  <c r="Q2570" i="1"/>
  <c r="R2570" i="1"/>
  <c r="S2570" i="1"/>
  <c r="T2570" i="1"/>
  <c r="U2570" i="1"/>
  <c r="V2570" i="1"/>
  <c r="W2570" i="1"/>
  <c r="X2570" i="1"/>
  <c r="Y2570" i="1"/>
  <c r="Z2570" i="1"/>
  <c r="A2571" i="1"/>
  <c r="B2571" i="1"/>
  <c r="C2571" i="1"/>
  <c r="D2571" i="1"/>
  <c r="E2571" i="1"/>
  <c r="F2571" i="1"/>
  <c r="G2571" i="1"/>
  <c r="I2571" i="1"/>
  <c r="J2571" i="1"/>
  <c r="K2571" i="1"/>
  <c r="L2571" i="1"/>
  <c r="M2571" i="1"/>
  <c r="N2571" i="1"/>
  <c r="O2571" i="1"/>
  <c r="P2571" i="1"/>
  <c r="Q2571" i="1"/>
  <c r="R2571" i="1"/>
  <c r="S2571" i="1"/>
  <c r="T2571" i="1"/>
  <c r="U2571" i="1"/>
  <c r="V2571" i="1"/>
  <c r="W2571" i="1"/>
  <c r="X2571" i="1"/>
  <c r="Y2571" i="1"/>
  <c r="Z2571" i="1"/>
  <c r="A2572" i="1"/>
  <c r="B2572" i="1"/>
  <c r="C2572" i="1"/>
  <c r="D2572" i="1"/>
  <c r="E2572" i="1"/>
  <c r="F2572" i="1"/>
  <c r="G2572" i="1"/>
  <c r="I2572" i="1"/>
  <c r="J2572" i="1"/>
  <c r="K2572" i="1"/>
  <c r="L2572" i="1"/>
  <c r="M2572" i="1"/>
  <c r="N2572" i="1"/>
  <c r="O2572" i="1"/>
  <c r="P2572" i="1"/>
  <c r="Q2572" i="1"/>
  <c r="R2572" i="1"/>
  <c r="S2572" i="1"/>
  <c r="T2572" i="1"/>
  <c r="U2572" i="1"/>
  <c r="V2572" i="1"/>
  <c r="W2572" i="1"/>
  <c r="X2572" i="1"/>
  <c r="Y2572" i="1"/>
  <c r="Z2572" i="1"/>
  <c r="A2573" i="1"/>
  <c r="B2573" i="1"/>
  <c r="C2573" i="1"/>
  <c r="D2573" i="1"/>
  <c r="E2573" i="1"/>
  <c r="F2573" i="1"/>
  <c r="G2573" i="1"/>
  <c r="I2573" i="1"/>
  <c r="J2573" i="1"/>
  <c r="K2573" i="1"/>
  <c r="L2573" i="1"/>
  <c r="M2573" i="1"/>
  <c r="N2573" i="1"/>
  <c r="O2573" i="1"/>
  <c r="P2573" i="1"/>
  <c r="Q2573" i="1"/>
  <c r="R2573" i="1"/>
  <c r="S2573" i="1"/>
  <c r="T2573" i="1"/>
  <c r="U2573" i="1"/>
  <c r="V2573" i="1"/>
  <c r="W2573" i="1"/>
  <c r="X2573" i="1"/>
  <c r="Y2573" i="1"/>
  <c r="Z2573" i="1"/>
  <c r="A2574" i="1"/>
  <c r="B2574" i="1"/>
  <c r="C2574" i="1"/>
  <c r="D2574" i="1"/>
  <c r="E2574" i="1"/>
  <c r="F2574" i="1"/>
  <c r="G2574" i="1"/>
  <c r="I2574" i="1"/>
  <c r="J2574" i="1"/>
  <c r="K2574" i="1"/>
  <c r="L2574" i="1"/>
  <c r="M2574" i="1"/>
  <c r="N2574" i="1"/>
  <c r="O2574" i="1"/>
  <c r="P2574" i="1"/>
  <c r="Q2574" i="1"/>
  <c r="R2574" i="1"/>
  <c r="S2574" i="1"/>
  <c r="T2574" i="1"/>
  <c r="U2574" i="1"/>
  <c r="V2574" i="1"/>
  <c r="W2574" i="1"/>
  <c r="X2574" i="1"/>
  <c r="Y2574" i="1"/>
  <c r="Z2574" i="1"/>
  <c r="A2575" i="1"/>
  <c r="B2575" i="1"/>
  <c r="C2575" i="1"/>
  <c r="D2575" i="1"/>
  <c r="E2575" i="1"/>
  <c r="F2575" i="1"/>
  <c r="G2575" i="1"/>
  <c r="I2575" i="1"/>
  <c r="J2575" i="1"/>
  <c r="K2575" i="1"/>
  <c r="L2575" i="1"/>
  <c r="M2575" i="1"/>
  <c r="N2575" i="1"/>
  <c r="O2575" i="1"/>
  <c r="P2575" i="1"/>
  <c r="Q2575" i="1"/>
  <c r="R2575" i="1"/>
  <c r="S2575" i="1"/>
  <c r="T2575" i="1"/>
  <c r="U2575" i="1"/>
  <c r="V2575" i="1"/>
  <c r="W2575" i="1"/>
  <c r="X2575" i="1"/>
  <c r="Y2575" i="1"/>
  <c r="Z2575" i="1"/>
  <c r="A2576" i="1"/>
  <c r="B2576" i="1"/>
  <c r="C2576" i="1"/>
  <c r="D2576" i="1"/>
  <c r="E2576" i="1"/>
  <c r="F2576" i="1"/>
  <c r="G2576" i="1"/>
  <c r="I2576" i="1"/>
  <c r="J2576" i="1"/>
  <c r="K2576" i="1"/>
  <c r="L2576" i="1"/>
  <c r="M2576" i="1"/>
  <c r="N2576" i="1"/>
  <c r="O2576" i="1"/>
  <c r="P2576" i="1"/>
  <c r="Q2576" i="1"/>
  <c r="R2576" i="1"/>
  <c r="S2576" i="1"/>
  <c r="T2576" i="1"/>
  <c r="U2576" i="1"/>
  <c r="V2576" i="1"/>
  <c r="W2576" i="1"/>
  <c r="X2576" i="1"/>
  <c r="Y2576" i="1"/>
  <c r="Z2576" i="1"/>
  <c r="A2577" i="1"/>
  <c r="B2577" i="1"/>
  <c r="C2577" i="1"/>
  <c r="D2577" i="1"/>
  <c r="E2577" i="1"/>
  <c r="F2577" i="1"/>
  <c r="G2577" i="1"/>
  <c r="I2577" i="1"/>
  <c r="J2577" i="1"/>
  <c r="K2577" i="1"/>
  <c r="L2577" i="1"/>
  <c r="M2577" i="1"/>
  <c r="N2577" i="1"/>
  <c r="O2577" i="1"/>
  <c r="P2577" i="1"/>
  <c r="Q2577" i="1"/>
  <c r="R2577" i="1"/>
  <c r="S2577" i="1"/>
  <c r="T2577" i="1"/>
  <c r="U2577" i="1"/>
  <c r="V2577" i="1"/>
  <c r="W2577" i="1"/>
  <c r="X2577" i="1"/>
  <c r="Y2577" i="1"/>
  <c r="Z2577" i="1"/>
  <c r="A2578" i="1"/>
  <c r="B2578" i="1"/>
  <c r="C2578" i="1"/>
  <c r="D2578" i="1"/>
  <c r="E2578" i="1"/>
  <c r="F2578" i="1"/>
  <c r="G2578" i="1"/>
  <c r="I2578" i="1"/>
  <c r="J2578" i="1"/>
  <c r="K2578" i="1"/>
  <c r="L2578" i="1"/>
  <c r="M2578" i="1"/>
  <c r="N2578" i="1"/>
  <c r="O2578" i="1"/>
  <c r="P2578" i="1"/>
  <c r="Q2578" i="1"/>
  <c r="R2578" i="1"/>
  <c r="S2578" i="1"/>
  <c r="T2578" i="1"/>
  <c r="U2578" i="1"/>
  <c r="V2578" i="1"/>
  <c r="W2578" i="1"/>
  <c r="X2578" i="1"/>
  <c r="Y2578" i="1"/>
  <c r="Z2578" i="1"/>
  <c r="A2579" i="1"/>
  <c r="B2579" i="1"/>
  <c r="C2579" i="1"/>
  <c r="D2579" i="1"/>
  <c r="E2579" i="1"/>
  <c r="F2579" i="1"/>
  <c r="G2579" i="1"/>
  <c r="I2579" i="1"/>
  <c r="J2579" i="1"/>
  <c r="K2579" i="1"/>
  <c r="L2579" i="1"/>
  <c r="M2579" i="1"/>
  <c r="N2579" i="1"/>
  <c r="O2579" i="1"/>
  <c r="P2579" i="1"/>
  <c r="Q2579" i="1"/>
  <c r="R2579" i="1"/>
  <c r="S2579" i="1"/>
  <c r="T2579" i="1"/>
  <c r="U2579" i="1"/>
  <c r="V2579" i="1"/>
  <c r="W2579" i="1"/>
  <c r="X2579" i="1"/>
  <c r="Y2579" i="1"/>
  <c r="Z2579" i="1"/>
  <c r="A2580" i="1"/>
  <c r="B2580" i="1"/>
  <c r="C2580" i="1"/>
  <c r="D2580" i="1"/>
  <c r="E2580" i="1"/>
  <c r="F2580" i="1"/>
  <c r="G2580" i="1"/>
  <c r="I2580" i="1"/>
  <c r="J2580" i="1"/>
  <c r="K2580" i="1"/>
  <c r="L2580" i="1"/>
  <c r="M2580" i="1"/>
  <c r="N2580" i="1"/>
  <c r="O2580" i="1"/>
  <c r="P2580" i="1"/>
  <c r="Q2580" i="1"/>
  <c r="R2580" i="1"/>
  <c r="S2580" i="1"/>
  <c r="T2580" i="1"/>
  <c r="U2580" i="1"/>
  <c r="V2580" i="1"/>
  <c r="W2580" i="1"/>
  <c r="X2580" i="1"/>
  <c r="Y2580" i="1"/>
  <c r="Z2580" i="1"/>
  <c r="A2581" i="1"/>
  <c r="B2581" i="1"/>
  <c r="C2581" i="1"/>
  <c r="D2581" i="1"/>
  <c r="E2581" i="1"/>
  <c r="F2581" i="1"/>
  <c r="G2581" i="1"/>
  <c r="I2581" i="1"/>
  <c r="J2581" i="1"/>
  <c r="K2581" i="1"/>
  <c r="L2581" i="1"/>
  <c r="M2581" i="1"/>
  <c r="N2581" i="1"/>
  <c r="O2581" i="1"/>
  <c r="P2581" i="1"/>
  <c r="Q2581" i="1"/>
  <c r="R2581" i="1"/>
  <c r="S2581" i="1"/>
  <c r="T2581" i="1"/>
  <c r="U2581" i="1"/>
  <c r="V2581" i="1"/>
  <c r="W2581" i="1"/>
  <c r="X2581" i="1"/>
  <c r="Y2581" i="1"/>
  <c r="Z2581" i="1"/>
  <c r="A2582" i="1"/>
  <c r="B2582" i="1"/>
  <c r="C2582" i="1"/>
  <c r="D2582" i="1"/>
  <c r="E2582" i="1"/>
  <c r="F2582" i="1"/>
  <c r="G2582" i="1"/>
  <c r="I2582" i="1"/>
  <c r="J2582" i="1"/>
  <c r="K2582" i="1"/>
  <c r="L2582" i="1"/>
  <c r="M2582" i="1"/>
  <c r="N2582" i="1"/>
  <c r="O2582" i="1"/>
  <c r="P2582" i="1"/>
  <c r="Q2582" i="1"/>
  <c r="R2582" i="1"/>
  <c r="S2582" i="1"/>
  <c r="T2582" i="1"/>
  <c r="U2582" i="1"/>
  <c r="V2582" i="1"/>
  <c r="W2582" i="1"/>
  <c r="X2582" i="1"/>
  <c r="Y2582" i="1"/>
  <c r="Z2582" i="1"/>
  <c r="A2583" i="1"/>
  <c r="B2583" i="1"/>
  <c r="C2583" i="1"/>
  <c r="D2583" i="1"/>
  <c r="E2583" i="1"/>
  <c r="F2583" i="1"/>
  <c r="G2583" i="1"/>
  <c r="I2583" i="1"/>
  <c r="J2583" i="1"/>
  <c r="K2583" i="1"/>
  <c r="L2583" i="1"/>
  <c r="M2583" i="1"/>
  <c r="N2583" i="1"/>
  <c r="O2583" i="1"/>
  <c r="P2583" i="1"/>
  <c r="Q2583" i="1"/>
  <c r="R2583" i="1"/>
  <c r="S2583" i="1"/>
  <c r="T2583" i="1"/>
  <c r="U2583" i="1"/>
  <c r="V2583" i="1"/>
  <c r="W2583" i="1"/>
  <c r="X2583" i="1"/>
  <c r="Y2583" i="1"/>
  <c r="Z2583" i="1"/>
  <c r="A2584" i="1"/>
  <c r="B2584" i="1"/>
  <c r="C2584" i="1"/>
  <c r="D2584" i="1"/>
  <c r="E2584" i="1"/>
  <c r="F2584" i="1"/>
  <c r="G2584" i="1"/>
  <c r="I2584" i="1"/>
  <c r="J2584" i="1"/>
  <c r="K2584" i="1"/>
  <c r="L2584" i="1"/>
  <c r="M2584" i="1"/>
  <c r="N2584" i="1"/>
  <c r="O2584" i="1"/>
  <c r="P2584" i="1"/>
  <c r="Q2584" i="1"/>
  <c r="R2584" i="1"/>
  <c r="S2584" i="1"/>
  <c r="T2584" i="1"/>
  <c r="U2584" i="1"/>
  <c r="V2584" i="1"/>
  <c r="W2584" i="1"/>
  <c r="X2584" i="1"/>
  <c r="Y2584" i="1"/>
  <c r="Z2584" i="1"/>
  <c r="A2585" i="1"/>
  <c r="B2585" i="1"/>
  <c r="C2585" i="1"/>
  <c r="D2585" i="1"/>
  <c r="E2585" i="1"/>
  <c r="F2585" i="1"/>
  <c r="G2585" i="1"/>
  <c r="I2585" i="1"/>
  <c r="J2585" i="1"/>
  <c r="K2585" i="1"/>
  <c r="L2585" i="1"/>
  <c r="M2585" i="1"/>
  <c r="N2585" i="1"/>
  <c r="O2585" i="1"/>
  <c r="P2585" i="1"/>
  <c r="Q2585" i="1"/>
  <c r="R2585" i="1"/>
  <c r="S2585" i="1"/>
  <c r="T2585" i="1"/>
  <c r="U2585" i="1"/>
  <c r="V2585" i="1"/>
  <c r="W2585" i="1"/>
  <c r="X2585" i="1"/>
  <c r="Y2585" i="1"/>
  <c r="Z2585" i="1"/>
  <c r="A2586" i="1"/>
  <c r="B2586" i="1"/>
  <c r="C2586" i="1"/>
  <c r="D2586" i="1"/>
  <c r="E2586" i="1"/>
  <c r="F2586" i="1"/>
  <c r="G2586" i="1"/>
  <c r="I2586" i="1"/>
  <c r="J2586" i="1"/>
  <c r="K2586" i="1"/>
  <c r="L2586" i="1"/>
  <c r="M2586" i="1"/>
  <c r="N2586" i="1"/>
  <c r="O2586" i="1"/>
  <c r="P2586" i="1"/>
  <c r="Q2586" i="1"/>
  <c r="R2586" i="1"/>
  <c r="S2586" i="1"/>
  <c r="T2586" i="1"/>
  <c r="U2586" i="1"/>
  <c r="V2586" i="1"/>
  <c r="W2586" i="1"/>
  <c r="X2586" i="1"/>
  <c r="Y2586" i="1"/>
  <c r="Z2586" i="1"/>
  <c r="A2587" i="1"/>
  <c r="B2587" i="1"/>
  <c r="C2587" i="1"/>
  <c r="D2587" i="1"/>
  <c r="E2587" i="1"/>
  <c r="F2587" i="1"/>
  <c r="G2587" i="1"/>
  <c r="I2587" i="1"/>
  <c r="J2587" i="1"/>
  <c r="K2587" i="1"/>
  <c r="L2587" i="1"/>
  <c r="M2587" i="1"/>
  <c r="N2587" i="1"/>
  <c r="O2587" i="1"/>
  <c r="P2587" i="1"/>
  <c r="Q2587" i="1"/>
  <c r="R2587" i="1"/>
  <c r="S2587" i="1"/>
  <c r="T2587" i="1"/>
  <c r="U2587" i="1"/>
  <c r="V2587" i="1"/>
  <c r="W2587" i="1"/>
  <c r="X2587" i="1"/>
  <c r="Y2587" i="1"/>
  <c r="Z2587" i="1"/>
  <c r="A2588" i="1"/>
  <c r="B2588" i="1"/>
  <c r="C2588" i="1"/>
  <c r="D2588" i="1"/>
  <c r="E2588" i="1"/>
  <c r="F2588" i="1"/>
  <c r="G2588" i="1"/>
  <c r="I2588" i="1"/>
  <c r="J2588" i="1"/>
  <c r="K2588" i="1"/>
  <c r="L2588" i="1"/>
  <c r="M2588" i="1"/>
  <c r="N2588" i="1"/>
  <c r="O2588" i="1"/>
  <c r="P2588" i="1"/>
  <c r="Q2588" i="1"/>
  <c r="R2588" i="1"/>
  <c r="S2588" i="1"/>
  <c r="T2588" i="1"/>
  <c r="U2588" i="1"/>
  <c r="V2588" i="1"/>
  <c r="W2588" i="1"/>
  <c r="X2588" i="1"/>
  <c r="Y2588" i="1"/>
  <c r="Z2588" i="1"/>
  <c r="A2589" i="1"/>
  <c r="B2589" i="1"/>
  <c r="C2589" i="1"/>
  <c r="D2589" i="1"/>
  <c r="E2589" i="1"/>
  <c r="F2589" i="1"/>
  <c r="G2589" i="1"/>
  <c r="I2589" i="1"/>
  <c r="J2589" i="1"/>
  <c r="K2589" i="1"/>
  <c r="L2589" i="1"/>
  <c r="M2589" i="1"/>
  <c r="N2589" i="1"/>
  <c r="O2589" i="1"/>
  <c r="P2589" i="1"/>
  <c r="Q2589" i="1"/>
  <c r="R2589" i="1"/>
  <c r="S2589" i="1"/>
  <c r="T2589" i="1"/>
  <c r="U2589" i="1"/>
  <c r="V2589" i="1"/>
  <c r="W2589" i="1"/>
  <c r="X2589" i="1"/>
  <c r="Y2589" i="1"/>
  <c r="Z2589" i="1"/>
  <c r="A2590" i="1"/>
  <c r="B2590" i="1"/>
  <c r="C2590" i="1"/>
  <c r="D2590" i="1"/>
  <c r="E2590" i="1"/>
  <c r="F2590" i="1"/>
  <c r="G2590" i="1"/>
  <c r="I2590" i="1"/>
  <c r="J2590" i="1"/>
  <c r="K2590" i="1"/>
  <c r="L2590" i="1"/>
  <c r="M2590" i="1"/>
  <c r="N2590" i="1"/>
  <c r="O2590" i="1"/>
  <c r="P2590" i="1"/>
  <c r="Q2590" i="1"/>
  <c r="R2590" i="1"/>
  <c r="S2590" i="1"/>
  <c r="T2590" i="1"/>
  <c r="U2590" i="1"/>
  <c r="V2590" i="1"/>
  <c r="W2590" i="1"/>
  <c r="X2590" i="1"/>
  <c r="Y2590" i="1"/>
  <c r="Z2590" i="1"/>
  <c r="A2591" i="1"/>
  <c r="B2591" i="1"/>
  <c r="C2591" i="1"/>
  <c r="D2591" i="1"/>
  <c r="E2591" i="1"/>
  <c r="F2591" i="1"/>
  <c r="G2591" i="1"/>
  <c r="I2591" i="1"/>
  <c r="J2591" i="1"/>
  <c r="K2591" i="1"/>
  <c r="L2591" i="1"/>
  <c r="M2591" i="1"/>
  <c r="N2591" i="1"/>
  <c r="O2591" i="1"/>
  <c r="P2591" i="1"/>
  <c r="Q2591" i="1"/>
  <c r="R2591" i="1"/>
  <c r="S2591" i="1"/>
  <c r="T2591" i="1"/>
  <c r="U2591" i="1"/>
  <c r="V2591" i="1"/>
  <c r="W2591" i="1"/>
  <c r="X2591" i="1"/>
  <c r="Y2591" i="1"/>
  <c r="Z2591" i="1"/>
  <c r="A2592" i="1"/>
  <c r="B2592" i="1"/>
  <c r="C2592" i="1"/>
  <c r="D2592" i="1"/>
  <c r="E2592" i="1"/>
  <c r="F2592" i="1"/>
  <c r="G2592" i="1"/>
  <c r="I2592" i="1"/>
  <c r="J2592" i="1"/>
  <c r="K2592" i="1"/>
  <c r="L2592" i="1"/>
  <c r="M2592" i="1"/>
  <c r="N2592" i="1"/>
  <c r="O2592" i="1"/>
  <c r="P2592" i="1"/>
  <c r="Q2592" i="1"/>
  <c r="R2592" i="1"/>
  <c r="S2592" i="1"/>
  <c r="T2592" i="1"/>
  <c r="U2592" i="1"/>
  <c r="V2592" i="1"/>
  <c r="W2592" i="1"/>
  <c r="X2592" i="1"/>
  <c r="Y2592" i="1"/>
  <c r="Z2592" i="1"/>
  <c r="A2593" i="1"/>
  <c r="B2593" i="1"/>
  <c r="C2593" i="1"/>
  <c r="D2593" i="1"/>
  <c r="E2593" i="1"/>
  <c r="F2593" i="1"/>
  <c r="G2593" i="1"/>
  <c r="I2593" i="1"/>
  <c r="J2593" i="1"/>
  <c r="K2593" i="1"/>
  <c r="L2593" i="1"/>
  <c r="M2593" i="1"/>
  <c r="N2593" i="1"/>
  <c r="O2593" i="1"/>
  <c r="P2593" i="1"/>
  <c r="Q2593" i="1"/>
  <c r="R2593" i="1"/>
  <c r="S2593" i="1"/>
  <c r="T2593" i="1"/>
  <c r="U2593" i="1"/>
  <c r="V2593" i="1"/>
  <c r="W2593" i="1"/>
  <c r="X2593" i="1"/>
  <c r="Y2593" i="1"/>
  <c r="Z2593" i="1"/>
  <c r="A2594" i="1"/>
  <c r="B2594" i="1"/>
  <c r="C2594" i="1"/>
  <c r="D2594" i="1"/>
  <c r="E2594" i="1"/>
  <c r="F2594" i="1"/>
  <c r="G2594" i="1"/>
  <c r="I2594" i="1"/>
  <c r="J2594" i="1"/>
  <c r="K2594" i="1"/>
  <c r="L2594" i="1"/>
  <c r="M2594" i="1"/>
  <c r="N2594" i="1"/>
  <c r="O2594" i="1"/>
  <c r="P2594" i="1"/>
  <c r="Q2594" i="1"/>
  <c r="R2594" i="1"/>
  <c r="S2594" i="1"/>
  <c r="T2594" i="1"/>
  <c r="U2594" i="1"/>
  <c r="V2594" i="1"/>
  <c r="W2594" i="1"/>
  <c r="X2594" i="1"/>
  <c r="Y2594" i="1"/>
  <c r="Z2594" i="1"/>
  <c r="A2595" i="1"/>
  <c r="B2595" i="1"/>
  <c r="C2595" i="1"/>
  <c r="D2595" i="1"/>
  <c r="E2595" i="1"/>
  <c r="F2595" i="1"/>
  <c r="G2595" i="1"/>
  <c r="I2595" i="1"/>
  <c r="J2595" i="1"/>
  <c r="K2595" i="1"/>
  <c r="L2595" i="1"/>
  <c r="M2595" i="1"/>
  <c r="N2595" i="1"/>
  <c r="O2595" i="1"/>
  <c r="P2595" i="1"/>
  <c r="Q2595" i="1"/>
  <c r="R2595" i="1"/>
  <c r="S2595" i="1"/>
  <c r="T2595" i="1"/>
  <c r="U2595" i="1"/>
  <c r="V2595" i="1"/>
  <c r="W2595" i="1"/>
  <c r="X2595" i="1"/>
  <c r="Y2595" i="1"/>
  <c r="Z2595" i="1"/>
  <c r="A2596" i="1"/>
  <c r="B2596" i="1"/>
  <c r="C2596" i="1"/>
  <c r="D2596" i="1"/>
  <c r="E2596" i="1"/>
  <c r="F2596" i="1"/>
  <c r="G2596" i="1"/>
  <c r="I2596" i="1"/>
  <c r="J2596" i="1"/>
  <c r="K2596" i="1"/>
  <c r="L2596" i="1"/>
  <c r="M2596" i="1"/>
  <c r="N2596" i="1"/>
  <c r="O2596" i="1"/>
  <c r="P2596" i="1"/>
  <c r="Q2596" i="1"/>
  <c r="R2596" i="1"/>
  <c r="S2596" i="1"/>
  <c r="T2596" i="1"/>
  <c r="U2596" i="1"/>
  <c r="V2596" i="1"/>
  <c r="W2596" i="1"/>
  <c r="X2596" i="1"/>
  <c r="Y2596" i="1"/>
  <c r="Z2596" i="1"/>
  <c r="A2597" i="1"/>
  <c r="B2597" i="1"/>
  <c r="C2597" i="1"/>
  <c r="D2597" i="1"/>
  <c r="E2597" i="1"/>
  <c r="F2597" i="1"/>
  <c r="G2597" i="1"/>
  <c r="I2597" i="1"/>
  <c r="J2597" i="1"/>
  <c r="K2597" i="1"/>
  <c r="L2597" i="1"/>
  <c r="M2597" i="1"/>
  <c r="N2597" i="1"/>
  <c r="O2597" i="1"/>
  <c r="P2597" i="1"/>
  <c r="Q2597" i="1"/>
  <c r="R2597" i="1"/>
  <c r="S2597" i="1"/>
  <c r="T2597" i="1"/>
  <c r="U2597" i="1"/>
  <c r="V2597" i="1"/>
  <c r="W2597" i="1"/>
  <c r="X2597" i="1"/>
  <c r="Y2597" i="1"/>
  <c r="Z2597" i="1"/>
  <c r="A2598" i="1"/>
  <c r="B2598" i="1"/>
  <c r="C2598" i="1"/>
  <c r="D2598" i="1"/>
  <c r="E2598" i="1"/>
  <c r="F2598" i="1"/>
  <c r="G2598" i="1"/>
  <c r="I2598" i="1"/>
  <c r="J2598" i="1"/>
  <c r="K2598" i="1"/>
  <c r="L2598" i="1"/>
  <c r="M2598" i="1"/>
  <c r="N2598" i="1"/>
  <c r="O2598" i="1"/>
  <c r="P2598" i="1"/>
  <c r="Q2598" i="1"/>
  <c r="R2598" i="1"/>
  <c r="S2598" i="1"/>
  <c r="T2598" i="1"/>
  <c r="U2598" i="1"/>
  <c r="V2598" i="1"/>
  <c r="W2598" i="1"/>
  <c r="X2598" i="1"/>
  <c r="Y2598" i="1"/>
  <c r="Z2598" i="1"/>
  <c r="A2599" i="1"/>
  <c r="B2599" i="1"/>
  <c r="C2599" i="1"/>
  <c r="D2599" i="1"/>
  <c r="E2599" i="1"/>
  <c r="F2599" i="1"/>
  <c r="G2599" i="1"/>
  <c r="I2599" i="1"/>
  <c r="J2599" i="1"/>
  <c r="K2599" i="1"/>
  <c r="L2599" i="1"/>
  <c r="M2599" i="1"/>
  <c r="N2599" i="1"/>
  <c r="O2599" i="1"/>
  <c r="P2599" i="1"/>
  <c r="Q2599" i="1"/>
  <c r="R2599" i="1"/>
  <c r="S2599" i="1"/>
  <c r="T2599" i="1"/>
  <c r="U2599" i="1"/>
  <c r="V2599" i="1"/>
  <c r="W2599" i="1"/>
  <c r="X2599" i="1"/>
  <c r="Y2599" i="1"/>
  <c r="Z2599" i="1"/>
  <c r="A2600" i="1"/>
  <c r="B2600" i="1"/>
  <c r="C2600" i="1"/>
  <c r="D2600" i="1"/>
  <c r="E2600" i="1"/>
  <c r="F2600" i="1"/>
  <c r="G2600" i="1"/>
  <c r="I2600" i="1"/>
  <c r="J2600" i="1"/>
  <c r="K2600" i="1"/>
  <c r="L2600" i="1"/>
  <c r="M2600" i="1"/>
  <c r="N2600" i="1"/>
  <c r="O2600" i="1"/>
  <c r="P2600" i="1"/>
  <c r="Q2600" i="1"/>
  <c r="R2600" i="1"/>
  <c r="S2600" i="1"/>
  <c r="T2600" i="1"/>
  <c r="U2600" i="1"/>
  <c r="V2600" i="1"/>
  <c r="W2600" i="1"/>
  <c r="X2600" i="1"/>
  <c r="Y2600" i="1"/>
  <c r="Z2600" i="1"/>
  <c r="A2601" i="1"/>
  <c r="B2601" i="1"/>
  <c r="C2601" i="1"/>
  <c r="D2601" i="1"/>
  <c r="E2601" i="1"/>
  <c r="F2601" i="1"/>
  <c r="G2601" i="1"/>
  <c r="I2601" i="1"/>
  <c r="J2601" i="1"/>
  <c r="K2601" i="1"/>
  <c r="L2601" i="1"/>
  <c r="M2601" i="1"/>
  <c r="N2601" i="1"/>
  <c r="O2601" i="1"/>
  <c r="P2601" i="1"/>
  <c r="Q2601" i="1"/>
  <c r="R2601" i="1"/>
  <c r="S2601" i="1"/>
  <c r="T2601" i="1"/>
  <c r="U2601" i="1"/>
  <c r="V2601" i="1"/>
  <c r="W2601" i="1"/>
  <c r="X2601" i="1"/>
  <c r="Y2601" i="1"/>
  <c r="Z2601" i="1"/>
  <c r="A2602" i="1"/>
  <c r="B2602" i="1"/>
  <c r="C2602" i="1"/>
  <c r="D2602" i="1"/>
  <c r="E2602" i="1"/>
  <c r="F2602" i="1"/>
  <c r="G2602" i="1"/>
  <c r="I2602" i="1"/>
  <c r="J2602" i="1"/>
  <c r="K2602" i="1"/>
  <c r="L2602" i="1"/>
  <c r="M2602" i="1"/>
  <c r="N2602" i="1"/>
  <c r="O2602" i="1"/>
  <c r="P2602" i="1"/>
  <c r="Q2602" i="1"/>
  <c r="R2602" i="1"/>
  <c r="S2602" i="1"/>
  <c r="T2602" i="1"/>
  <c r="U2602" i="1"/>
  <c r="V2602" i="1"/>
  <c r="W2602" i="1"/>
  <c r="X2602" i="1"/>
  <c r="Y2602" i="1"/>
  <c r="Z2602" i="1"/>
  <c r="A2603" i="1"/>
  <c r="B2603" i="1"/>
  <c r="C2603" i="1"/>
  <c r="D2603" i="1"/>
  <c r="E2603" i="1"/>
  <c r="F2603" i="1"/>
  <c r="G2603" i="1"/>
  <c r="I2603" i="1"/>
  <c r="J2603" i="1"/>
  <c r="K2603" i="1"/>
  <c r="L2603" i="1"/>
  <c r="M2603" i="1"/>
  <c r="N2603" i="1"/>
  <c r="O2603" i="1"/>
  <c r="P2603" i="1"/>
  <c r="Q2603" i="1"/>
  <c r="R2603" i="1"/>
  <c r="S2603" i="1"/>
  <c r="T2603" i="1"/>
  <c r="U2603" i="1"/>
  <c r="V2603" i="1"/>
  <c r="W2603" i="1"/>
  <c r="X2603" i="1"/>
  <c r="Y2603" i="1"/>
  <c r="Z2603" i="1"/>
  <c r="A2604" i="1"/>
  <c r="B2604" i="1"/>
  <c r="C2604" i="1"/>
  <c r="D2604" i="1"/>
  <c r="E2604" i="1"/>
  <c r="F2604" i="1"/>
  <c r="G2604" i="1"/>
  <c r="I2604" i="1"/>
  <c r="J2604" i="1"/>
  <c r="K2604" i="1"/>
  <c r="L2604" i="1"/>
  <c r="M2604" i="1"/>
  <c r="N2604" i="1"/>
  <c r="O2604" i="1"/>
  <c r="P2604" i="1"/>
  <c r="Q2604" i="1"/>
  <c r="R2604" i="1"/>
  <c r="S2604" i="1"/>
  <c r="T2604" i="1"/>
  <c r="U2604" i="1"/>
  <c r="V2604" i="1"/>
  <c r="W2604" i="1"/>
  <c r="X2604" i="1"/>
  <c r="Y2604" i="1"/>
  <c r="Z2604" i="1"/>
  <c r="A2605" i="1"/>
  <c r="B2605" i="1"/>
  <c r="C2605" i="1"/>
  <c r="D2605" i="1"/>
  <c r="E2605" i="1"/>
  <c r="F2605" i="1"/>
  <c r="G2605" i="1"/>
  <c r="I2605" i="1"/>
  <c r="J2605" i="1"/>
  <c r="K2605" i="1"/>
  <c r="L2605" i="1"/>
  <c r="M2605" i="1"/>
  <c r="N2605" i="1"/>
  <c r="O2605" i="1"/>
  <c r="P2605" i="1"/>
  <c r="Q2605" i="1"/>
  <c r="R2605" i="1"/>
  <c r="S2605" i="1"/>
  <c r="T2605" i="1"/>
  <c r="U2605" i="1"/>
  <c r="V2605" i="1"/>
  <c r="W2605" i="1"/>
  <c r="X2605" i="1"/>
  <c r="Y2605" i="1"/>
  <c r="Z2605" i="1"/>
  <c r="A2606" i="1"/>
  <c r="B2606" i="1"/>
  <c r="C2606" i="1"/>
  <c r="D2606" i="1"/>
  <c r="E2606" i="1"/>
  <c r="F2606" i="1"/>
  <c r="G2606" i="1"/>
  <c r="I2606" i="1"/>
  <c r="J2606" i="1"/>
  <c r="K2606" i="1"/>
  <c r="L2606" i="1"/>
  <c r="M2606" i="1"/>
  <c r="N2606" i="1"/>
  <c r="O2606" i="1"/>
  <c r="P2606" i="1"/>
  <c r="Q2606" i="1"/>
  <c r="R2606" i="1"/>
  <c r="S2606" i="1"/>
  <c r="T2606" i="1"/>
  <c r="U2606" i="1"/>
  <c r="V2606" i="1"/>
  <c r="W2606" i="1"/>
  <c r="X2606" i="1"/>
  <c r="Y2606" i="1"/>
  <c r="Z2606" i="1"/>
  <c r="A2607" i="1"/>
  <c r="B2607" i="1"/>
  <c r="C2607" i="1"/>
  <c r="D2607" i="1"/>
  <c r="E2607" i="1"/>
  <c r="F2607" i="1"/>
  <c r="G2607" i="1"/>
  <c r="I2607" i="1"/>
  <c r="J2607" i="1"/>
  <c r="K2607" i="1"/>
  <c r="L2607" i="1"/>
  <c r="M2607" i="1"/>
  <c r="N2607" i="1"/>
  <c r="O2607" i="1"/>
  <c r="P2607" i="1"/>
  <c r="Q2607" i="1"/>
  <c r="R2607" i="1"/>
  <c r="S2607" i="1"/>
  <c r="T2607" i="1"/>
  <c r="U2607" i="1"/>
  <c r="V2607" i="1"/>
  <c r="W2607" i="1"/>
  <c r="X2607" i="1"/>
  <c r="Y2607" i="1"/>
  <c r="Z2607" i="1"/>
  <c r="A2608" i="1"/>
  <c r="B2608" i="1"/>
  <c r="C2608" i="1"/>
  <c r="D2608" i="1"/>
  <c r="E2608" i="1"/>
  <c r="F2608" i="1"/>
  <c r="G2608" i="1"/>
  <c r="I2608" i="1"/>
  <c r="J2608" i="1"/>
  <c r="K2608" i="1"/>
  <c r="L2608" i="1"/>
  <c r="M2608" i="1"/>
  <c r="N2608" i="1"/>
  <c r="O2608" i="1"/>
  <c r="P2608" i="1"/>
  <c r="Q2608" i="1"/>
  <c r="R2608" i="1"/>
  <c r="S2608" i="1"/>
  <c r="T2608" i="1"/>
  <c r="U2608" i="1"/>
  <c r="V2608" i="1"/>
  <c r="W2608" i="1"/>
  <c r="X2608" i="1"/>
  <c r="Y2608" i="1"/>
  <c r="Z2608" i="1"/>
  <c r="A2609" i="1"/>
  <c r="B2609" i="1"/>
  <c r="C2609" i="1"/>
  <c r="D2609" i="1"/>
  <c r="E2609" i="1"/>
  <c r="F2609" i="1"/>
  <c r="G2609" i="1"/>
  <c r="I2609" i="1"/>
  <c r="J2609" i="1"/>
  <c r="K2609" i="1"/>
  <c r="L2609" i="1"/>
  <c r="M2609" i="1"/>
  <c r="N2609" i="1"/>
  <c r="O2609" i="1"/>
  <c r="P2609" i="1"/>
  <c r="Q2609" i="1"/>
  <c r="R2609" i="1"/>
  <c r="S2609" i="1"/>
  <c r="T2609" i="1"/>
  <c r="U2609" i="1"/>
  <c r="V2609" i="1"/>
  <c r="W2609" i="1"/>
  <c r="X2609" i="1"/>
  <c r="Y2609" i="1"/>
  <c r="Z2609" i="1"/>
  <c r="A2610" i="1"/>
  <c r="B2610" i="1"/>
  <c r="C2610" i="1"/>
  <c r="D2610" i="1"/>
  <c r="E2610" i="1"/>
  <c r="F2610" i="1"/>
  <c r="G2610" i="1"/>
  <c r="I2610" i="1"/>
  <c r="J2610" i="1"/>
  <c r="K2610" i="1"/>
  <c r="L2610" i="1"/>
  <c r="M2610" i="1"/>
  <c r="N2610" i="1"/>
  <c r="O2610" i="1"/>
  <c r="P2610" i="1"/>
  <c r="Q2610" i="1"/>
  <c r="R2610" i="1"/>
  <c r="S2610" i="1"/>
  <c r="T2610" i="1"/>
  <c r="U2610" i="1"/>
  <c r="V2610" i="1"/>
  <c r="W2610" i="1"/>
  <c r="X2610" i="1"/>
  <c r="Y2610" i="1"/>
  <c r="Z2610" i="1"/>
  <c r="A2611" i="1"/>
  <c r="B2611" i="1"/>
  <c r="C2611" i="1"/>
  <c r="D2611" i="1"/>
  <c r="E2611" i="1"/>
  <c r="F2611" i="1"/>
  <c r="G2611" i="1"/>
  <c r="I2611" i="1"/>
  <c r="J2611" i="1"/>
  <c r="K2611" i="1"/>
  <c r="L2611" i="1"/>
  <c r="M2611" i="1"/>
  <c r="N2611" i="1"/>
  <c r="O2611" i="1"/>
  <c r="P2611" i="1"/>
  <c r="Q2611" i="1"/>
  <c r="R2611" i="1"/>
  <c r="S2611" i="1"/>
  <c r="T2611" i="1"/>
  <c r="U2611" i="1"/>
  <c r="V2611" i="1"/>
  <c r="W2611" i="1"/>
  <c r="X2611" i="1"/>
  <c r="Y2611" i="1"/>
  <c r="Z2611" i="1"/>
  <c r="A2612" i="1"/>
  <c r="B2612" i="1"/>
  <c r="C2612" i="1"/>
  <c r="D2612" i="1"/>
  <c r="E2612" i="1"/>
  <c r="F2612" i="1"/>
  <c r="G2612" i="1"/>
  <c r="I2612" i="1"/>
  <c r="J2612" i="1"/>
  <c r="K2612" i="1"/>
  <c r="L2612" i="1"/>
  <c r="M2612" i="1"/>
  <c r="N2612" i="1"/>
  <c r="O2612" i="1"/>
  <c r="P2612" i="1"/>
  <c r="Q2612" i="1"/>
  <c r="R2612" i="1"/>
  <c r="S2612" i="1"/>
  <c r="T2612" i="1"/>
  <c r="U2612" i="1"/>
  <c r="V2612" i="1"/>
  <c r="W2612" i="1"/>
  <c r="X2612" i="1"/>
  <c r="Y2612" i="1"/>
  <c r="Z2612" i="1"/>
  <c r="A2613" i="1"/>
  <c r="B2613" i="1"/>
  <c r="C2613" i="1"/>
  <c r="D2613" i="1"/>
  <c r="E2613" i="1"/>
  <c r="F2613" i="1"/>
  <c r="G2613" i="1"/>
  <c r="I2613" i="1"/>
  <c r="J2613" i="1"/>
  <c r="K2613" i="1"/>
  <c r="L2613" i="1"/>
  <c r="M2613" i="1"/>
  <c r="N2613" i="1"/>
  <c r="O2613" i="1"/>
  <c r="P2613" i="1"/>
  <c r="Q2613" i="1"/>
  <c r="R2613" i="1"/>
  <c r="S2613" i="1"/>
  <c r="T2613" i="1"/>
  <c r="U2613" i="1"/>
  <c r="V2613" i="1"/>
  <c r="W2613" i="1"/>
  <c r="X2613" i="1"/>
  <c r="Y2613" i="1"/>
  <c r="Z2613" i="1"/>
  <c r="A2614" i="1"/>
  <c r="B2614" i="1"/>
  <c r="C2614" i="1"/>
  <c r="D2614" i="1"/>
  <c r="E2614" i="1"/>
  <c r="F2614" i="1"/>
  <c r="G2614" i="1"/>
  <c r="I2614" i="1"/>
  <c r="J2614" i="1"/>
  <c r="K2614" i="1"/>
  <c r="L2614" i="1"/>
  <c r="M2614" i="1"/>
  <c r="N2614" i="1"/>
  <c r="O2614" i="1"/>
  <c r="P2614" i="1"/>
  <c r="Q2614" i="1"/>
  <c r="R2614" i="1"/>
  <c r="S2614" i="1"/>
  <c r="T2614" i="1"/>
  <c r="U2614" i="1"/>
  <c r="V2614" i="1"/>
  <c r="W2614" i="1"/>
  <c r="X2614" i="1"/>
  <c r="Y2614" i="1"/>
  <c r="Z2614" i="1"/>
  <c r="A2615" i="1"/>
  <c r="B2615" i="1"/>
  <c r="C2615" i="1"/>
  <c r="D2615" i="1"/>
  <c r="E2615" i="1"/>
  <c r="F2615" i="1"/>
  <c r="G2615" i="1"/>
  <c r="I2615" i="1"/>
  <c r="J2615" i="1"/>
  <c r="K2615" i="1"/>
  <c r="L2615" i="1"/>
  <c r="M2615" i="1"/>
  <c r="N2615" i="1"/>
  <c r="O2615" i="1"/>
  <c r="P2615" i="1"/>
  <c r="Q2615" i="1"/>
  <c r="R2615" i="1"/>
  <c r="S2615" i="1"/>
  <c r="T2615" i="1"/>
  <c r="U2615" i="1"/>
  <c r="V2615" i="1"/>
  <c r="W2615" i="1"/>
  <c r="X2615" i="1"/>
  <c r="Y2615" i="1"/>
  <c r="Z2615" i="1"/>
  <c r="A2616" i="1"/>
  <c r="B2616" i="1"/>
  <c r="C2616" i="1"/>
  <c r="D2616" i="1"/>
  <c r="E2616" i="1"/>
  <c r="F2616" i="1"/>
  <c r="G2616" i="1"/>
  <c r="I2616" i="1"/>
  <c r="J2616" i="1"/>
  <c r="K2616" i="1"/>
  <c r="L2616" i="1"/>
  <c r="M2616" i="1"/>
  <c r="N2616" i="1"/>
  <c r="O2616" i="1"/>
  <c r="P2616" i="1"/>
  <c r="Q2616" i="1"/>
  <c r="R2616" i="1"/>
  <c r="S2616" i="1"/>
  <c r="T2616" i="1"/>
  <c r="U2616" i="1"/>
  <c r="V2616" i="1"/>
  <c r="W2616" i="1"/>
  <c r="X2616" i="1"/>
  <c r="Y2616" i="1"/>
  <c r="Z2616" i="1"/>
  <c r="A2617" i="1"/>
  <c r="B2617" i="1"/>
  <c r="C2617" i="1"/>
  <c r="D2617" i="1"/>
  <c r="E2617" i="1"/>
  <c r="F2617" i="1"/>
  <c r="G2617" i="1"/>
  <c r="I2617" i="1"/>
  <c r="J2617" i="1"/>
  <c r="K2617" i="1"/>
  <c r="L2617" i="1"/>
  <c r="M2617" i="1"/>
  <c r="N2617" i="1"/>
  <c r="O2617" i="1"/>
  <c r="P2617" i="1"/>
  <c r="Q2617" i="1"/>
  <c r="R2617" i="1"/>
  <c r="S2617" i="1"/>
  <c r="T2617" i="1"/>
  <c r="U2617" i="1"/>
  <c r="V2617" i="1"/>
  <c r="W2617" i="1"/>
  <c r="X2617" i="1"/>
  <c r="Y2617" i="1"/>
  <c r="Z2617" i="1"/>
  <c r="A2618" i="1"/>
  <c r="B2618" i="1"/>
  <c r="C2618" i="1"/>
  <c r="D2618" i="1"/>
  <c r="E2618" i="1"/>
  <c r="F2618" i="1"/>
  <c r="G2618" i="1"/>
  <c r="I2618" i="1"/>
  <c r="J2618" i="1"/>
  <c r="K2618" i="1"/>
  <c r="L2618" i="1"/>
  <c r="M2618" i="1"/>
  <c r="N2618" i="1"/>
  <c r="O2618" i="1"/>
  <c r="P2618" i="1"/>
  <c r="Q2618" i="1"/>
  <c r="R2618" i="1"/>
  <c r="S2618" i="1"/>
  <c r="T2618" i="1"/>
  <c r="U2618" i="1"/>
  <c r="V2618" i="1"/>
  <c r="W2618" i="1"/>
  <c r="X2618" i="1"/>
  <c r="Y2618" i="1"/>
  <c r="Z2618" i="1"/>
  <c r="A2619" i="1"/>
  <c r="B2619" i="1"/>
  <c r="C2619" i="1"/>
  <c r="D2619" i="1"/>
  <c r="E2619" i="1"/>
  <c r="F2619" i="1"/>
  <c r="G2619" i="1"/>
  <c r="I2619" i="1"/>
  <c r="J2619" i="1"/>
  <c r="K2619" i="1"/>
  <c r="L2619" i="1"/>
  <c r="M2619" i="1"/>
  <c r="N2619" i="1"/>
  <c r="O2619" i="1"/>
  <c r="P2619" i="1"/>
  <c r="Q2619" i="1"/>
  <c r="R2619" i="1"/>
  <c r="S2619" i="1"/>
  <c r="T2619" i="1"/>
  <c r="U2619" i="1"/>
  <c r="V2619" i="1"/>
  <c r="W2619" i="1"/>
  <c r="X2619" i="1"/>
  <c r="Y2619" i="1"/>
  <c r="Z2619" i="1"/>
  <c r="A2620" i="1"/>
  <c r="B2620" i="1"/>
  <c r="C2620" i="1"/>
  <c r="D2620" i="1"/>
  <c r="E2620" i="1"/>
  <c r="F2620" i="1"/>
  <c r="G2620" i="1"/>
  <c r="I2620" i="1"/>
  <c r="J2620" i="1"/>
  <c r="K2620" i="1"/>
  <c r="L2620" i="1"/>
  <c r="M2620" i="1"/>
  <c r="N2620" i="1"/>
  <c r="O2620" i="1"/>
  <c r="P2620" i="1"/>
  <c r="Q2620" i="1"/>
  <c r="R2620" i="1"/>
  <c r="S2620" i="1"/>
  <c r="T2620" i="1"/>
  <c r="U2620" i="1"/>
  <c r="V2620" i="1"/>
  <c r="W2620" i="1"/>
  <c r="X2620" i="1"/>
  <c r="Y2620" i="1"/>
  <c r="Z2620" i="1"/>
  <c r="A2621" i="1"/>
  <c r="B2621" i="1"/>
  <c r="C2621" i="1"/>
  <c r="D2621" i="1"/>
  <c r="E2621" i="1"/>
  <c r="F2621" i="1"/>
  <c r="G2621" i="1"/>
  <c r="I2621" i="1"/>
  <c r="J2621" i="1"/>
  <c r="K2621" i="1"/>
  <c r="L2621" i="1"/>
  <c r="M2621" i="1"/>
  <c r="N2621" i="1"/>
  <c r="O2621" i="1"/>
  <c r="P2621" i="1"/>
  <c r="Q2621" i="1"/>
  <c r="R2621" i="1"/>
  <c r="S2621" i="1"/>
  <c r="T2621" i="1"/>
  <c r="U2621" i="1"/>
  <c r="V2621" i="1"/>
  <c r="W2621" i="1"/>
  <c r="X2621" i="1"/>
  <c r="Y2621" i="1"/>
  <c r="Z2621" i="1"/>
  <c r="A2622" i="1"/>
  <c r="B2622" i="1"/>
  <c r="C2622" i="1"/>
  <c r="D2622" i="1"/>
  <c r="E2622" i="1"/>
  <c r="F2622" i="1"/>
  <c r="G2622" i="1"/>
  <c r="I2622" i="1"/>
  <c r="J2622" i="1"/>
  <c r="K2622" i="1"/>
  <c r="L2622" i="1"/>
  <c r="M2622" i="1"/>
  <c r="N2622" i="1"/>
  <c r="O2622" i="1"/>
  <c r="P2622" i="1"/>
  <c r="Q2622" i="1"/>
  <c r="R2622" i="1"/>
  <c r="S2622" i="1"/>
  <c r="T2622" i="1"/>
  <c r="U2622" i="1"/>
  <c r="V2622" i="1"/>
  <c r="W2622" i="1"/>
  <c r="X2622" i="1"/>
  <c r="Y2622" i="1"/>
  <c r="Z2622" i="1"/>
  <c r="A2623" i="1"/>
  <c r="B2623" i="1"/>
  <c r="C2623" i="1"/>
  <c r="D2623" i="1"/>
  <c r="E2623" i="1"/>
  <c r="F2623" i="1"/>
  <c r="G2623" i="1"/>
  <c r="I2623" i="1"/>
  <c r="J2623" i="1"/>
  <c r="K2623" i="1"/>
  <c r="L2623" i="1"/>
  <c r="M2623" i="1"/>
  <c r="N2623" i="1"/>
  <c r="O2623" i="1"/>
  <c r="P2623" i="1"/>
  <c r="Q2623" i="1"/>
  <c r="R2623" i="1"/>
  <c r="S2623" i="1"/>
  <c r="T2623" i="1"/>
  <c r="U2623" i="1"/>
  <c r="V2623" i="1"/>
  <c r="W2623" i="1"/>
  <c r="X2623" i="1"/>
  <c r="Y2623" i="1"/>
  <c r="Z2623" i="1"/>
  <c r="A2624" i="1"/>
  <c r="B2624" i="1"/>
  <c r="C2624" i="1"/>
  <c r="D2624" i="1"/>
  <c r="E2624" i="1"/>
  <c r="F2624" i="1"/>
  <c r="G2624" i="1"/>
  <c r="I2624" i="1"/>
  <c r="J2624" i="1"/>
  <c r="K2624" i="1"/>
  <c r="L2624" i="1"/>
  <c r="M2624" i="1"/>
  <c r="N2624" i="1"/>
  <c r="O2624" i="1"/>
  <c r="P2624" i="1"/>
  <c r="Q2624" i="1"/>
  <c r="R2624" i="1"/>
  <c r="S2624" i="1"/>
  <c r="T2624" i="1"/>
  <c r="U2624" i="1"/>
  <c r="V2624" i="1"/>
  <c r="W2624" i="1"/>
  <c r="X2624" i="1"/>
  <c r="Y2624" i="1"/>
  <c r="Z2624" i="1"/>
  <c r="A2625" i="1"/>
  <c r="B2625" i="1"/>
  <c r="C2625" i="1"/>
  <c r="D2625" i="1"/>
  <c r="E2625" i="1"/>
  <c r="F2625" i="1"/>
  <c r="G2625" i="1"/>
  <c r="I2625" i="1"/>
  <c r="J2625" i="1"/>
  <c r="K2625" i="1"/>
  <c r="L2625" i="1"/>
  <c r="M2625" i="1"/>
  <c r="N2625" i="1"/>
  <c r="O2625" i="1"/>
  <c r="P2625" i="1"/>
  <c r="Q2625" i="1"/>
  <c r="R2625" i="1"/>
  <c r="S2625" i="1"/>
  <c r="T2625" i="1"/>
  <c r="U2625" i="1"/>
  <c r="V2625" i="1"/>
  <c r="W2625" i="1"/>
  <c r="X2625" i="1"/>
  <c r="Y2625" i="1"/>
  <c r="Z2625" i="1"/>
  <c r="A2626" i="1"/>
  <c r="B2626" i="1"/>
  <c r="C2626" i="1"/>
  <c r="D2626" i="1"/>
  <c r="E2626" i="1"/>
  <c r="F2626" i="1"/>
  <c r="G2626" i="1"/>
  <c r="I2626" i="1"/>
  <c r="J2626" i="1"/>
  <c r="K2626" i="1"/>
  <c r="L2626" i="1"/>
  <c r="M2626" i="1"/>
  <c r="N2626" i="1"/>
  <c r="O2626" i="1"/>
  <c r="P2626" i="1"/>
  <c r="Q2626" i="1"/>
  <c r="R2626" i="1"/>
  <c r="S2626" i="1"/>
  <c r="T2626" i="1"/>
  <c r="U2626" i="1"/>
  <c r="V2626" i="1"/>
  <c r="W2626" i="1"/>
  <c r="X2626" i="1"/>
  <c r="Y2626" i="1"/>
  <c r="Z2626" i="1"/>
  <c r="A2627" i="1"/>
  <c r="B2627" i="1"/>
  <c r="C2627" i="1"/>
  <c r="D2627" i="1"/>
  <c r="E2627" i="1"/>
  <c r="F2627" i="1"/>
  <c r="G2627" i="1"/>
  <c r="I2627" i="1"/>
  <c r="J2627" i="1"/>
  <c r="K2627" i="1"/>
  <c r="L2627" i="1"/>
  <c r="M2627" i="1"/>
  <c r="N2627" i="1"/>
  <c r="O2627" i="1"/>
  <c r="P2627" i="1"/>
  <c r="Q2627" i="1"/>
  <c r="R2627" i="1"/>
  <c r="S2627" i="1"/>
  <c r="T2627" i="1"/>
  <c r="U2627" i="1"/>
  <c r="V2627" i="1"/>
  <c r="W2627" i="1"/>
  <c r="X2627" i="1"/>
  <c r="Y2627" i="1"/>
  <c r="Z2627" i="1"/>
  <c r="A2628" i="1"/>
  <c r="B2628" i="1"/>
  <c r="C2628" i="1"/>
  <c r="D2628" i="1"/>
  <c r="E2628" i="1"/>
  <c r="F2628" i="1"/>
  <c r="G2628" i="1"/>
  <c r="I2628" i="1"/>
  <c r="J2628" i="1"/>
  <c r="K2628" i="1"/>
  <c r="L2628" i="1"/>
  <c r="M2628" i="1"/>
  <c r="N2628" i="1"/>
  <c r="O2628" i="1"/>
  <c r="P2628" i="1"/>
  <c r="Q2628" i="1"/>
  <c r="R2628" i="1"/>
  <c r="S2628" i="1"/>
  <c r="T2628" i="1"/>
  <c r="U2628" i="1"/>
  <c r="V2628" i="1"/>
  <c r="W2628" i="1"/>
  <c r="X2628" i="1"/>
  <c r="Y2628" i="1"/>
  <c r="Z2628" i="1"/>
  <c r="A2629" i="1"/>
  <c r="B2629" i="1"/>
  <c r="C2629" i="1"/>
  <c r="D2629" i="1"/>
  <c r="E2629" i="1"/>
  <c r="F2629" i="1"/>
  <c r="G2629" i="1"/>
  <c r="I2629" i="1"/>
  <c r="J2629" i="1"/>
  <c r="K2629" i="1"/>
  <c r="L2629" i="1"/>
  <c r="M2629" i="1"/>
  <c r="N2629" i="1"/>
  <c r="O2629" i="1"/>
  <c r="P2629" i="1"/>
  <c r="Q2629" i="1"/>
  <c r="R2629" i="1"/>
  <c r="S2629" i="1"/>
  <c r="T2629" i="1"/>
  <c r="U2629" i="1"/>
  <c r="V2629" i="1"/>
  <c r="W2629" i="1"/>
  <c r="X2629" i="1"/>
  <c r="Y2629" i="1"/>
  <c r="Z2629" i="1"/>
  <c r="A2630" i="1"/>
  <c r="B2630" i="1"/>
  <c r="C2630" i="1"/>
  <c r="D2630" i="1"/>
  <c r="E2630" i="1"/>
  <c r="F2630" i="1"/>
  <c r="G2630" i="1"/>
  <c r="I2630" i="1"/>
  <c r="J2630" i="1"/>
  <c r="K2630" i="1"/>
  <c r="L2630" i="1"/>
  <c r="M2630" i="1"/>
  <c r="N2630" i="1"/>
  <c r="O2630" i="1"/>
  <c r="P2630" i="1"/>
  <c r="Q2630" i="1"/>
  <c r="R2630" i="1"/>
  <c r="S2630" i="1"/>
  <c r="T2630" i="1"/>
  <c r="U2630" i="1"/>
  <c r="V2630" i="1"/>
  <c r="W2630" i="1"/>
  <c r="X2630" i="1"/>
  <c r="Y2630" i="1"/>
  <c r="Z2630" i="1"/>
  <c r="A2631" i="1"/>
  <c r="B2631" i="1"/>
  <c r="C2631" i="1"/>
  <c r="D2631" i="1"/>
  <c r="E2631" i="1"/>
  <c r="F2631" i="1"/>
  <c r="G2631" i="1"/>
  <c r="I2631" i="1"/>
  <c r="J2631" i="1"/>
  <c r="K2631" i="1"/>
  <c r="L2631" i="1"/>
  <c r="M2631" i="1"/>
  <c r="N2631" i="1"/>
  <c r="O2631" i="1"/>
  <c r="P2631" i="1"/>
  <c r="Q2631" i="1"/>
  <c r="R2631" i="1"/>
  <c r="S2631" i="1"/>
  <c r="T2631" i="1"/>
  <c r="U2631" i="1"/>
  <c r="V2631" i="1"/>
  <c r="W2631" i="1"/>
  <c r="X2631" i="1"/>
  <c r="Y2631" i="1"/>
  <c r="Z2631" i="1"/>
  <c r="A2632" i="1"/>
  <c r="B2632" i="1"/>
  <c r="C2632" i="1"/>
  <c r="D2632" i="1"/>
  <c r="E2632" i="1"/>
  <c r="F2632" i="1"/>
  <c r="G2632" i="1"/>
  <c r="I2632" i="1"/>
  <c r="J2632" i="1"/>
  <c r="K2632" i="1"/>
  <c r="L2632" i="1"/>
  <c r="M2632" i="1"/>
  <c r="N2632" i="1"/>
  <c r="O2632" i="1"/>
  <c r="P2632" i="1"/>
  <c r="Q2632" i="1"/>
  <c r="R2632" i="1"/>
  <c r="S2632" i="1"/>
  <c r="T2632" i="1"/>
  <c r="U2632" i="1"/>
  <c r="V2632" i="1"/>
  <c r="W2632" i="1"/>
  <c r="X2632" i="1"/>
  <c r="Y2632" i="1"/>
  <c r="Z2632" i="1"/>
  <c r="A2633" i="1"/>
  <c r="B2633" i="1"/>
  <c r="C2633" i="1"/>
  <c r="D2633" i="1"/>
  <c r="E2633" i="1"/>
  <c r="F2633" i="1"/>
  <c r="G2633" i="1"/>
  <c r="I2633" i="1"/>
  <c r="J2633" i="1"/>
  <c r="K2633" i="1"/>
  <c r="L2633" i="1"/>
  <c r="M2633" i="1"/>
  <c r="N2633" i="1"/>
  <c r="O2633" i="1"/>
  <c r="P2633" i="1"/>
  <c r="Q2633" i="1"/>
  <c r="R2633" i="1"/>
  <c r="S2633" i="1"/>
  <c r="T2633" i="1"/>
  <c r="U2633" i="1"/>
  <c r="V2633" i="1"/>
  <c r="W2633" i="1"/>
  <c r="X2633" i="1"/>
  <c r="Y2633" i="1"/>
  <c r="Z2633" i="1"/>
  <c r="A2634" i="1"/>
  <c r="B2634" i="1"/>
  <c r="C2634" i="1"/>
  <c r="D2634" i="1"/>
  <c r="E2634" i="1"/>
  <c r="F2634" i="1"/>
  <c r="G2634" i="1"/>
  <c r="I2634" i="1"/>
  <c r="J2634" i="1"/>
  <c r="K2634" i="1"/>
  <c r="L2634" i="1"/>
  <c r="M2634" i="1"/>
  <c r="N2634" i="1"/>
  <c r="O2634" i="1"/>
  <c r="P2634" i="1"/>
  <c r="Q2634" i="1"/>
  <c r="R2634" i="1"/>
  <c r="S2634" i="1"/>
  <c r="T2634" i="1"/>
  <c r="U2634" i="1"/>
  <c r="V2634" i="1"/>
  <c r="W2634" i="1"/>
  <c r="X2634" i="1"/>
  <c r="Y2634" i="1"/>
  <c r="Z2634" i="1"/>
  <c r="A2635" i="1"/>
  <c r="B2635" i="1"/>
  <c r="C2635" i="1"/>
  <c r="D2635" i="1"/>
  <c r="E2635" i="1"/>
  <c r="F2635" i="1"/>
  <c r="G2635" i="1"/>
  <c r="I2635" i="1"/>
  <c r="J2635" i="1"/>
  <c r="K2635" i="1"/>
  <c r="L2635" i="1"/>
  <c r="M2635" i="1"/>
  <c r="N2635" i="1"/>
  <c r="O2635" i="1"/>
  <c r="P2635" i="1"/>
  <c r="Q2635" i="1"/>
  <c r="R2635" i="1"/>
  <c r="S2635" i="1"/>
  <c r="T2635" i="1"/>
  <c r="U2635" i="1"/>
  <c r="V2635" i="1"/>
  <c r="W2635" i="1"/>
  <c r="X2635" i="1"/>
  <c r="Y2635" i="1"/>
  <c r="Z2635" i="1"/>
  <c r="A2636" i="1"/>
  <c r="B2636" i="1"/>
  <c r="C2636" i="1"/>
  <c r="D2636" i="1"/>
  <c r="E2636" i="1"/>
  <c r="F2636" i="1"/>
  <c r="G2636" i="1"/>
  <c r="I2636" i="1"/>
  <c r="J2636" i="1"/>
  <c r="K2636" i="1"/>
  <c r="L2636" i="1"/>
  <c r="M2636" i="1"/>
  <c r="N2636" i="1"/>
  <c r="O2636" i="1"/>
  <c r="P2636" i="1"/>
  <c r="Q2636" i="1"/>
  <c r="R2636" i="1"/>
  <c r="S2636" i="1"/>
  <c r="T2636" i="1"/>
  <c r="U2636" i="1"/>
  <c r="V2636" i="1"/>
  <c r="W2636" i="1"/>
  <c r="X2636" i="1"/>
  <c r="Y2636" i="1"/>
  <c r="Z2636" i="1"/>
  <c r="A2637" i="1"/>
  <c r="B2637" i="1"/>
  <c r="C2637" i="1"/>
  <c r="D2637" i="1"/>
  <c r="E2637" i="1"/>
  <c r="F2637" i="1"/>
  <c r="G2637" i="1"/>
  <c r="I2637" i="1"/>
  <c r="J2637" i="1"/>
  <c r="K2637" i="1"/>
  <c r="L2637" i="1"/>
  <c r="M2637" i="1"/>
  <c r="N2637" i="1"/>
  <c r="O2637" i="1"/>
  <c r="P2637" i="1"/>
  <c r="Q2637" i="1"/>
  <c r="R2637" i="1"/>
  <c r="S2637" i="1"/>
  <c r="T2637" i="1"/>
  <c r="U2637" i="1"/>
  <c r="V2637" i="1"/>
  <c r="W2637" i="1"/>
  <c r="X2637" i="1"/>
  <c r="Y2637" i="1"/>
  <c r="Z2637" i="1"/>
  <c r="A2638" i="1"/>
  <c r="B2638" i="1"/>
  <c r="C2638" i="1"/>
  <c r="D2638" i="1"/>
  <c r="E2638" i="1"/>
  <c r="F2638" i="1"/>
  <c r="G2638" i="1"/>
  <c r="I2638" i="1"/>
  <c r="J2638" i="1"/>
  <c r="K2638" i="1"/>
  <c r="L2638" i="1"/>
  <c r="M2638" i="1"/>
  <c r="N2638" i="1"/>
  <c r="O2638" i="1"/>
  <c r="P2638" i="1"/>
  <c r="Q2638" i="1"/>
  <c r="R2638" i="1"/>
  <c r="S2638" i="1"/>
  <c r="T2638" i="1"/>
  <c r="U2638" i="1"/>
  <c r="V2638" i="1"/>
  <c r="W2638" i="1"/>
  <c r="X2638" i="1"/>
  <c r="Y2638" i="1"/>
  <c r="Z2638" i="1"/>
  <c r="A2639" i="1"/>
  <c r="B2639" i="1"/>
  <c r="C2639" i="1"/>
  <c r="D2639" i="1"/>
  <c r="E2639" i="1"/>
  <c r="F2639" i="1"/>
  <c r="G2639" i="1"/>
  <c r="I2639" i="1"/>
  <c r="J2639" i="1"/>
  <c r="K2639" i="1"/>
  <c r="L2639" i="1"/>
  <c r="M2639" i="1"/>
  <c r="N2639" i="1"/>
  <c r="O2639" i="1"/>
  <c r="P2639" i="1"/>
  <c r="Q2639" i="1"/>
  <c r="R2639" i="1"/>
  <c r="S2639" i="1"/>
  <c r="T2639" i="1"/>
  <c r="U2639" i="1"/>
  <c r="V2639" i="1"/>
  <c r="W2639" i="1"/>
  <c r="X2639" i="1"/>
  <c r="Y2639" i="1"/>
  <c r="Z2639" i="1"/>
  <c r="A2640" i="1"/>
  <c r="B2640" i="1"/>
  <c r="C2640" i="1"/>
  <c r="D2640" i="1"/>
  <c r="E2640" i="1"/>
  <c r="F2640" i="1"/>
  <c r="G2640" i="1"/>
  <c r="I2640" i="1"/>
  <c r="J2640" i="1"/>
  <c r="K2640" i="1"/>
  <c r="L2640" i="1"/>
  <c r="M2640" i="1"/>
  <c r="N2640" i="1"/>
  <c r="O2640" i="1"/>
  <c r="P2640" i="1"/>
  <c r="Q2640" i="1"/>
  <c r="R2640" i="1"/>
  <c r="S2640" i="1"/>
  <c r="T2640" i="1"/>
  <c r="U2640" i="1"/>
  <c r="V2640" i="1"/>
  <c r="W2640" i="1"/>
  <c r="X2640" i="1"/>
  <c r="Y2640" i="1"/>
  <c r="Z2640" i="1"/>
  <c r="A2641" i="1"/>
  <c r="B2641" i="1"/>
  <c r="C2641" i="1"/>
  <c r="D2641" i="1"/>
  <c r="E2641" i="1"/>
  <c r="F2641" i="1"/>
  <c r="G2641" i="1"/>
  <c r="I2641" i="1"/>
  <c r="J2641" i="1"/>
  <c r="K2641" i="1"/>
  <c r="L2641" i="1"/>
  <c r="M2641" i="1"/>
  <c r="N2641" i="1"/>
  <c r="O2641" i="1"/>
  <c r="P2641" i="1"/>
  <c r="Q2641" i="1"/>
  <c r="R2641" i="1"/>
  <c r="S2641" i="1"/>
  <c r="T2641" i="1"/>
  <c r="U2641" i="1"/>
  <c r="V2641" i="1"/>
  <c r="W2641" i="1"/>
  <c r="X2641" i="1"/>
  <c r="Y2641" i="1"/>
  <c r="Z2641" i="1"/>
  <c r="A2642" i="1"/>
  <c r="B2642" i="1"/>
  <c r="C2642" i="1"/>
  <c r="D2642" i="1"/>
  <c r="E2642" i="1"/>
  <c r="F2642" i="1"/>
  <c r="G2642" i="1"/>
  <c r="I2642" i="1"/>
  <c r="J2642" i="1"/>
  <c r="K2642" i="1"/>
  <c r="L2642" i="1"/>
  <c r="M2642" i="1"/>
  <c r="N2642" i="1"/>
  <c r="O2642" i="1"/>
  <c r="P2642" i="1"/>
  <c r="Q2642" i="1"/>
  <c r="R2642" i="1"/>
  <c r="S2642" i="1"/>
  <c r="T2642" i="1"/>
  <c r="U2642" i="1"/>
  <c r="V2642" i="1"/>
  <c r="W2642" i="1"/>
  <c r="X2642" i="1"/>
  <c r="Y2642" i="1"/>
  <c r="Z2642" i="1"/>
  <c r="A2643" i="1"/>
  <c r="B2643" i="1"/>
  <c r="C2643" i="1"/>
  <c r="D2643" i="1"/>
  <c r="E2643" i="1"/>
  <c r="F2643" i="1"/>
  <c r="G2643" i="1"/>
  <c r="I2643" i="1"/>
  <c r="J2643" i="1"/>
  <c r="K2643" i="1"/>
  <c r="L2643" i="1"/>
  <c r="M2643" i="1"/>
  <c r="N2643" i="1"/>
  <c r="O2643" i="1"/>
  <c r="P2643" i="1"/>
  <c r="Q2643" i="1"/>
  <c r="R2643" i="1"/>
  <c r="S2643" i="1"/>
  <c r="T2643" i="1"/>
  <c r="U2643" i="1"/>
  <c r="V2643" i="1"/>
  <c r="W2643" i="1"/>
  <c r="X2643" i="1"/>
  <c r="Y2643" i="1"/>
  <c r="Z2643" i="1"/>
  <c r="A2644" i="1"/>
  <c r="B2644" i="1"/>
  <c r="C2644" i="1"/>
  <c r="D2644" i="1"/>
  <c r="E2644" i="1"/>
  <c r="F2644" i="1"/>
  <c r="G2644" i="1"/>
  <c r="I2644" i="1"/>
  <c r="J2644" i="1"/>
  <c r="K2644" i="1"/>
  <c r="L2644" i="1"/>
  <c r="M2644" i="1"/>
  <c r="N2644" i="1"/>
  <c r="O2644" i="1"/>
  <c r="P2644" i="1"/>
  <c r="Q2644" i="1"/>
  <c r="R2644" i="1"/>
  <c r="S2644" i="1"/>
  <c r="T2644" i="1"/>
  <c r="U2644" i="1"/>
  <c r="V2644" i="1"/>
  <c r="W2644" i="1"/>
  <c r="X2644" i="1"/>
  <c r="Y2644" i="1"/>
  <c r="Z2644" i="1"/>
  <c r="A2645" i="1"/>
  <c r="B2645" i="1"/>
  <c r="C2645" i="1"/>
  <c r="D2645" i="1"/>
  <c r="E2645" i="1"/>
  <c r="F2645" i="1"/>
  <c r="G2645" i="1"/>
  <c r="I2645" i="1"/>
  <c r="J2645" i="1"/>
  <c r="K2645" i="1"/>
  <c r="L2645" i="1"/>
  <c r="M2645" i="1"/>
  <c r="N2645" i="1"/>
  <c r="O2645" i="1"/>
  <c r="P2645" i="1"/>
  <c r="Q2645" i="1"/>
  <c r="R2645" i="1"/>
  <c r="S2645" i="1"/>
  <c r="T2645" i="1"/>
  <c r="U2645" i="1"/>
  <c r="V2645" i="1"/>
  <c r="W2645" i="1"/>
  <c r="X2645" i="1"/>
  <c r="Y2645" i="1"/>
  <c r="Z2645" i="1"/>
  <c r="A2646" i="1"/>
  <c r="B2646" i="1"/>
  <c r="C2646" i="1"/>
  <c r="D2646" i="1"/>
  <c r="E2646" i="1"/>
  <c r="F2646" i="1"/>
  <c r="G2646" i="1"/>
  <c r="I2646" i="1"/>
  <c r="J2646" i="1"/>
  <c r="K2646" i="1"/>
  <c r="L2646" i="1"/>
  <c r="M2646" i="1"/>
  <c r="N2646" i="1"/>
  <c r="O2646" i="1"/>
  <c r="P2646" i="1"/>
  <c r="Q2646" i="1"/>
  <c r="R2646" i="1"/>
  <c r="S2646" i="1"/>
  <c r="T2646" i="1"/>
  <c r="U2646" i="1"/>
  <c r="V2646" i="1"/>
  <c r="W2646" i="1"/>
  <c r="X2646" i="1"/>
  <c r="Y2646" i="1"/>
  <c r="Z2646" i="1"/>
  <c r="A2647" i="1"/>
  <c r="B2647" i="1"/>
  <c r="C2647" i="1"/>
  <c r="D2647" i="1"/>
  <c r="E2647" i="1"/>
  <c r="F2647" i="1"/>
  <c r="G2647" i="1"/>
  <c r="I2647" i="1"/>
  <c r="J2647" i="1"/>
  <c r="K2647" i="1"/>
  <c r="L2647" i="1"/>
  <c r="M2647" i="1"/>
  <c r="N2647" i="1"/>
  <c r="O2647" i="1"/>
  <c r="P2647" i="1"/>
  <c r="Q2647" i="1"/>
  <c r="R2647" i="1"/>
  <c r="S2647" i="1"/>
  <c r="T2647" i="1"/>
  <c r="U2647" i="1"/>
  <c r="V2647" i="1"/>
  <c r="W2647" i="1"/>
  <c r="X2647" i="1"/>
  <c r="Y2647" i="1"/>
  <c r="Z2647" i="1"/>
  <c r="A2648" i="1"/>
  <c r="B2648" i="1"/>
  <c r="C2648" i="1"/>
  <c r="D2648" i="1"/>
  <c r="E2648" i="1"/>
  <c r="F2648" i="1"/>
  <c r="G2648" i="1"/>
  <c r="I2648" i="1"/>
  <c r="J2648" i="1"/>
  <c r="K2648" i="1"/>
  <c r="L2648" i="1"/>
  <c r="M2648" i="1"/>
  <c r="N2648" i="1"/>
  <c r="O2648" i="1"/>
  <c r="P2648" i="1"/>
  <c r="Q2648" i="1"/>
  <c r="R2648" i="1"/>
  <c r="S2648" i="1"/>
  <c r="T2648" i="1"/>
  <c r="U2648" i="1"/>
  <c r="V2648" i="1"/>
  <c r="W2648" i="1"/>
  <c r="X2648" i="1"/>
  <c r="Y2648" i="1"/>
  <c r="Z2648" i="1"/>
  <c r="A2649" i="1"/>
  <c r="B2649" i="1"/>
  <c r="C2649" i="1"/>
  <c r="D2649" i="1"/>
  <c r="E2649" i="1"/>
  <c r="F2649" i="1"/>
  <c r="G2649" i="1"/>
  <c r="I2649" i="1"/>
  <c r="J2649" i="1"/>
  <c r="K2649" i="1"/>
  <c r="L2649" i="1"/>
  <c r="M2649" i="1"/>
  <c r="N2649" i="1"/>
  <c r="O2649" i="1"/>
  <c r="P2649" i="1"/>
  <c r="Q2649" i="1"/>
  <c r="R2649" i="1"/>
  <c r="S2649" i="1"/>
  <c r="T2649" i="1"/>
  <c r="U2649" i="1"/>
  <c r="V2649" i="1"/>
  <c r="W2649" i="1"/>
  <c r="X2649" i="1"/>
  <c r="Y2649" i="1"/>
  <c r="Z2649" i="1"/>
  <c r="A2650" i="1"/>
  <c r="B2650" i="1"/>
  <c r="C2650" i="1"/>
  <c r="D2650" i="1"/>
  <c r="E2650" i="1"/>
  <c r="F2650" i="1"/>
  <c r="G2650" i="1"/>
  <c r="I2650" i="1"/>
  <c r="J2650" i="1"/>
  <c r="K2650" i="1"/>
  <c r="L2650" i="1"/>
  <c r="M2650" i="1"/>
  <c r="N2650" i="1"/>
  <c r="O2650" i="1"/>
  <c r="P2650" i="1"/>
  <c r="Q2650" i="1"/>
  <c r="R2650" i="1"/>
  <c r="S2650" i="1"/>
  <c r="T2650" i="1"/>
  <c r="U2650" i="1"/>
  <c r="V2650" i="1"/>
  <c r="W2650" i="1"/>
  <c r="X2650" i="1"/>
  <c r="Y2650" i="1"/>
  <c r="Z2650" i="1"/>
  <c r="A2651" i="1"/>
  <c r="B2651" i="1"/>
  <c r="C2651" i="1"/>
  <c r="D2651" i="1"/>
  <c r="E2651" i="1"/>
  <c r="F2651" i="1"/>
  <c r="G2651" i="1"/>
  <c r="I2651" i="1"/>
  <c r="J2651" i="1"/>
  <c r="K2651" i="1"/>
  <c r="L2651" i="1"/>
  <c r="M2651" i="1"/>
  <c r="N2651" i="1"/>
  <c r="O2651" i="1"/>
  <c r="P2651" i="1"/>
  <c r="Q2651" i="1"/>
  <c r="R2651" i="1"/>
  <c r="S2651" i="1"/>
  <c r="T2651" i="1"/>
  <c r="U2651" i="1"/>
  <c r="V2651" i="1"/>
  <c r="W2651" i="1"/>
  <c r="X2651" i="1"/>
  <c r="Y2651" i="1"/>
  <c r="Z2651" i="1"/>
  <c r="A2652" i="1"/>
  <c r="B2652" i="1"/>
  <c r="C2652" i="1"/>
  <c r="D2652" i="1"/>
  <c r="E2652" i="1"/>
  <c r="F2652" i="1"/>
  <c r="G2652" i="1"/>
  <c r="I2652" i="1"/>
  <c r="J2652" i="1"/>
  <c r="K2652" i="1"/>
  <c r="L2652" i="1"/>
  <c r="M2652" i="1"/>
  <c r="N2652" i="1"/>
  <c r="O2652" i="1"/>
  <c r="P2652" i="1"/>
  <c r="Q2652" i="1"/>
  <c r="R2652" i="1"/>
  <c r="S2652" i="1"/>
  <c r="T2652" i="1"/>
  <c r="U2652" i="1"/>
  <c r="V2652" i="1"/>
  <c r="W2652" i="1"/>
  <c r="X2652" i="1"/>
  <c r="Y2652" i="1"/>
  <c r="Z2652" i="1"/>
  <c r="A2653" i="1"/>
  <c r="B2653" i="1"/>
  <c r="C2653" i="1"/>
  <c r="D2653" i="1"/>
  <c r="E2653" i="1"/>
  <c r="F2653" i="1"/>
  <c r="G2653" i="1"/>
  <c r="I2653" i="1"/>
  <c r="J2653" i="1"/>
  <c r="K2653" i="1"/>
  <c r="L2653" i="1"/>
  <c r="M2653" i="1"/>
  <c r="N2653" i="1"/>
  <c r="O2653" i="1"/>
  <c r="P2653" i="1"/>
  <c r="Q2653" i="1"/>
  <c r="R2653" i="1"/>
  <c r="S2653" i="1"/>
  <c r="T2653" i="1"/>
  <c r="U2653" i="1"/>
  <c r="V2653" i="1"/>
  <c r="W2653" i="1"/>
  <c r="X2653" i="1"/>
  <c r="Y2653" i="1"/>
  <c r="Z2653" i="1"/>
  <c r="A2654" i="1"/>
  <c r="B2654" i="1"/>
  <c r="C2654" i="1"/>
  <c r="D2654" i="1"/>
  <c r="E2654" i="1"/>
  <c r="F2654" i="1"/>
  <c r="G2654" i="1"/>
  <c r="I2654" i="1"/>
  <c r="J2654" i="1"/>
  <c r="K2654" i="1"/>
  <c r="L2654" i="1"/>
  <c r="M2654" i="1"/>
  <c r="N2654" i="1"/>
  <c r="O2654" i="1"/>
  <c r="P2654" i="1"/>
  <c r="Q2654" i="1"/>
  <c r="R2654" i="1"/>
  <c r="S2654" i="1"/>
  <c r="T2654" i="1"/>
  <c r="U2654" i="1"/>
  <c r="V2654" i="1"/>
  <c r="W2654" i="1"/>
  <c r="X2654" i="1"/>
  <c r="Y2654" i="1"/>
  <c r="Z2654" i="1"/>
  <c r="A2655" i="1"/>
  <c r="B2655" i="1"/>
  <c r="C2655" i="1"/>
  <c r="D2655" i="1"/>
  <c r="E2655" i="1"/>
  <c r="F2655" i="1"/>
  <c r="G2655" i="1"/>
  <c r="I2655" i="1"/>
  <c r="J2655" i="1"/>
  <c r="K2655" i="1"/>
  <c r="L2655" i="1"/>
  <c r="M2655" i="1"/>
  <c r="N2655" i="1"/>
  <c r="O2655" i="1"/>
  <c r="P2655" i="1"/>
  <c r="Q2655" i="1"/>
  <c r="R2655" i="1"/>
  <c r="S2655" i="1"/>
  <c r="T2655" i="1"/>
  <c r="U2655" i="1"/>
  <c r="V2655" i="1"/>
  <c r="W2655" i="1"/>
  <c r="X2655" i="1"/>
  <c r="Y2655" i="1"/>
  <c r="Z2655" i="1"/>
  <c r="A2656" i="1"/>
  <c r="B2656" i="1"/>
  <c r="C2656" i="1"/>
  <c r="D2656" i="1"/>
  <c r="E2656" i="1"/>
  <c r="F2656" i="1"/>
  <c r="G2656" i="1"/>
  <c r="I2656" i="1"/>
  <c r="J2656" i="1"/>
  <c r="K2656" i="1"/>
  <c r="L2656" i="1"/>
  <c r="M2656" i="1"/>
  <c r="N2656" i="1"/>
  <c r="O2656" i="1"/>
  <c r="P2656" i="1"/>
  <c r="Q2656" i="1"/>
  <c r="R2656" i="1"/>
  <c r="S2656" i="1"/>
  <c r="T2656" i="1"/>
  <c r="U2656" i="1"/>
  <c r="V2656" i="1"/>
  <c r="W2656" i="1"/>
  <c r="X2656" i="1"/>
  <c r="Y2656" i="1"/>
  <c r="Z2656" i="1"/>
  <c r="A2657" i="1"/>
  <c r="B2657" i="1"/>
  <c r="C2657" i="1"/>
  <c r="D2657" i="1"/>
  <c r="E2657" i="1"/>
  <c r="F2657" i="1"/>
  <c r="G2657" i="1"/>
  <c r="I2657" i="1"/>
  <c r="J2657" i="1"/>
  <c r="K2657" i="1"/>
  <c r="L2657" i="1"/>
  <c r="M2657" i="1"/>
  <c r="N2657" i="1"/>
  <c r="O2657" i="1"/>
  <c r="P2657" i="1"/>
  <c r="Q2657" i="1"/>
  <c r="R2657" i="1"/>
  <c r="S2657" i="1"/>
  <c r="T2657" i="1"/>
  <c r="U2657" i="1"/>
  <c r="V2657" i="1"/>
  <c r="W2657" i="1"/>
  <c r="X2657" i="1"/>
  <c r="Y2657" i="1"/>
  <c r="Z2657" i="1"/>
  <c r="A2658" i="1"/>
  <c r="B2658" i="1"/>
  <c r="C2658" i="1"/>
  <c r="D2658" i="1"/>
  <c r="E2658" i="1"/>
  <c r="F2658" i="1"/>
  <c r="G2658" i="1"/>
  <c r="I2658" i="1"/>
  <c r="J2658" i="1"/>
  <c r="K2658" i="1"/>
  <c r="L2658" i="1"/>
  <c r="M2658" i="1"/>
  <c r="N2658" i="1"/>
  <c r="O2658" i="1"/>
  <c r="P2658" i="1"/>
  <c r="Q2658" i="1"/>
  <c r="R2658" i="1"/>
  <c r="S2658" i="1"/>
  <c r="T2658" i="1"/>
  <c r="U2658" i="1"/>
  <c r="V2658" i="1"/>
  <c r="W2658" i="1"/>
  <c r="X2658" i="1"/>
  <c r="Y2658" i="1"/>
  <c r="Z2658" i="1"/>
  <c r="A2659" i="1"/>
  <c r="B2659" i="1"/>
  <c r="C2659" i="1"/>
  <c r="D2659" i="1"/>
  <c r="E2659" i="1"/>
  <c r="F2659" i="1"/>
  <c r="G2659" i="1"/>
  <c r="I2659" i="1"/>
  <c r="J2659" i="1"/>
  <c r="K2659" i="1"/>
  <c r="L2659" i="1"/>
  <c r="M2659" i="1"/>
  <c r="N2659" i="1"/>
  <c r="O2659" i="1"/>
  <c r="P2659" i="1"/>
  <c r="Q2659" i="1"/>
  <c r="R2659" i="1"/>
  <c r="S2659" i="1"/>
  <c r="T2659" i="1"/>
  <c r="U2659" i="1"/>
  <c r="V2659" i="1"/>
  <c r="W2659" i="1"/>
  <c r="X2659" i="1"/>
  <c r="Y2659" i="1"/>
  <c r="Z2659" i="1"/>
  <c r="A2660" i="1"/>
  <c r="B2660" i="1"/>
  <c r="C2660" i="1"/>
  <c r="D2660" i="1"/>
  <c r="E2660" i="1"/>
  <c r="F2660" i="1"/>
  <c r="G2660" i="1"/>
  <c r="I2660" i="1"/>
  <c r="J2660" i="1"/>
  <c r="K2660" i="1"/>
  <c r="L2660" i="1"/>
  <c r="M2660" i="1"/>
  <c r="N2660" i="1"/>
  <c r="O2660" i="1"/>
  <c r="P2660" i="1"/>
  <c r="Q2660" i="1"/>
  <c r="R2660" i="1"/>
  <c r="S2660" i="1"/>
  <c r="T2660" i="1"/>
  <c r="U2660" i="1"/>
  <c r="V2660" i="1"/>
  <c r="W2660" i="1"/>
  <c r="X2660" i="1"/>
  <c r="Y2660" i="1"/>
  <c r="Z2660" i="1"/>
  <c r="A2661" i="1"/>
  <c r="B2661" i="1"/>
  <c r="C2661" i="1"/>
  <c r="D2661" i="1"/>
  <c r="E2661" i="1"/>
  <c r="F2661" i="1"/>
  <c r="G2661" i="1"/>
  <c r="I2661" i="1"/>
  <c r="J2661" i="1"/>
  <c r="K2661" i="1"/>
  <c r="L2661" i="1"/>
  <c r="M2661" i="1"/>
  <c r="N2661" i="1"/>
  <c r="O2661" i="1"/>
  <c r="P2661" i="1"/>
  <c r="Q2661" i="1"/>
  <c r="R2661" i="1"/>
  <c r="S2661" i="1"/>
  <c r="T2661" i="1"/>
  <c r="U2661" i="1"/>
  <c r="V2661" i="1"/>
  <c r="W2661" i="1"/>
  <c r="X2661" i="1"/>
  <c r="Y2661" i="1"/>
  <c r="Z2661" i="1"/>
  <c r="A2662" i="1"/>
  <c r="B2662" i="1"/>
  <c r="C2662" i="1"/>
  <c r="D2662" i="1"/>
  <c r="E2662" i="1"/>
  <c r="F2662" i="1"/>
  <c r="G2662" i="1"/>
  <c r="I2662" i="1"/>
  <c r="J2662" i="1"/>
  <c r="K2662" i="1"/>
  <c r="L2662" i="1"/>
  <c r="M2662" i="1"/>
  <c r="N2662" i="1"/>
  <c r="O2662" i="1"/>
  <c r="P2662" i="1"/>
  <c r="Q2662" i="1"/>
  <c r="R2662" i="1"/>
  <c r="S2662" i="1"/>
  <c r="T2662" i="1"/>
  <c r="U2662" i="1"/>
  <c r="V2662" i="1"/>
  <c r="W2662" i="1"/>
  <c r="X2662" i="1"/>
  <c r="Y2662" i="1"/>
  <c r="Z2662" i="1"/>
  <c r="A2663" i="1"/>
  <c r="B2663" i="1"/>
  <c r="C2663" i="1"/>
  <c r="D2663" i="1"/>
  <c r="E2663" i="1"/>
  <c r="F2663" i="1"/>
  <c r="G2663" i="1"/>
  <c r="I2663" i="1"/>
  <c r="J2663" i="1"/>
  <c r="K2663" i="1"/>
  <c r="L2663" i="1"/>
  <c r="M2663" i="1"/>
  <c r="N2663" i="1"/>
  <c r="O2663" i="1"/>
  <c r="P2663" i="1"/>
  <c r="Q2663" i="1"/>
  <c r="R2663" i="1"/>
  <c r="S2663" i="1"/>
  <c r="T2663" i="1"/>
  <c r="U2663" i="1"/>
  <c r="V2663" i="1"/>
  <c r="W2663" i="1"/>
  <c r="X2663" i="1"/>
  <c r="Y2663" i="1"/>
  <c r="Z2663" i="1"/>
  <c r="A2664" i="1"/>
  <c r="B2664" i="1"/>
  <c r="C2664" i="1"/>
  <c r="D2664" i="1"/>
  <c r="E2664" i="1"/>
  <c r="F2664" i="1"/>
  <c r="G2664" i="1"/>
  <c r="I2664" i="1"/>
  <c r="J2664" i="1"/>
  <c r="K2664" i="1"/>
  <c r="L2664" i="1"/>
  <c r="M2664" i="1"/>
  <c r="N2664" i="1"/>
  <c r="O2664" i="1"/>
  <c r="P2664" i="1"/>
  <c r="Q2664" i="1"/>
  <c r="R2664" i="1"/>
  <c r="S2664" i="1"/>
  <c r="T2664" i="1"/>
  <c r="U2664" i="1"/>
  <c r="V2664" i="1"/>
  <c r="W2664" i="1"/>
  <c r="X2664" i="1"/>
  <c r="Y2664" i="1"/>
  <c r="Z2664" i="1"/>
  <c r="A2665" i="1"/>
  <c r="B2665" i="1"/>
  <c r="C2665" i="1"/>
  <c r="D2665" i="1"/>
  <c r="E2665" i="1"/>
  <c r="F2665" i="1"/>
  <c r="G2665" i="1"/>
  <c r="I2665" i="1"/>
  <c r="J2665" i="1"/>
  <c r="K2665" i="1"/>
  <c r="L2665" i="1"/>
  <c r="M2665" i="1"/>
  <c r="N2665" i="1"/>
  <c r="O2665" i="1"/>
  <c r="P2665" i="1"/>
  <c r="Q2665" i="1"/>
  <c r="R2665" i="1"/>
  <c r="S2665" i="1"/>
  <c r="T2665" i="1"/>
  <c r="U2665" i="1"/>
  <c r="V2665" i="1"/>
  <c r="W2665" i="1"/>
  <c r="X2665" i="1"/>
  <c r="Y2665" i="1"/>
  <c r="Z2665" i="1"/>
  <c r="A2666" i="1"/>
  <c r="B2666" i="1"/>
  <c r="C2666" i="1"/>
  <c r="D2666" i="1"/>
  <c r="E2666" i="1"/>
  <c r="F2666" i="1"/>
  <c r="G2666" i="1"/>
  <c r="I2666" i="1"/>
  <c r="J2666" i="1"/>
  <c r="K2666" i="1"/>
  <c r="L2666" i="1"/>
  <c r="M2666" i="1"/>
  <c r="N2666" i="1"/>
  <c r="O2666" i="1"/>
  <c r="P2666" i="1"/>
  <c r="Q2666" i="1"/>
  <c r="R2666" i="1"/>
  <c r="S2666" i="1"/>
  <c r="T2666" i="1"/>
  <c r="U2666" i="1"/>
  <c r="V2666" i="1"/>
  <c r="W2666" i="1"/>
  <c r="X2666" i="1"/>
  <c r="Y2666" i="1"/>
  <c r="Z2666" i="1"/>
  <c r="A2667" i="1"/>
  <c r="B2667" i="1"/>
  <c r="C2667" i="1"/>
  <c r="D2667" i="1"/>
  <c r="E2667" i="1"/>
  <c r="F2667" i="1"/>
  <c r="G2667" i="1"/>
  <c r="I2667" i="1"/>
  <c r="J2667" i="1"/>
  <c r="K2667" i="1"/>
  <c r="L2667" i="1"/>
  <c r="M2667" i="1"/>
  <c r="N2667" i="1"/>
  <c r="O2667" i="1"/>
  <c r="P2667" i="1"/>
  <c r="Q2667" i="1"/>
  <c r="R2667" i="1"/>
  <c r="S2667" i="1"/>
  <c r="T2667" i="1"/>
  <c r="U2667" i="1"/>
  <c r="V2667" i="1"/>
  <c r="W2667" i="1"/>
  <c r="X2667" i="1"/>
  <c r="Y2667" i="1"/>
  <c r="Z2667" i="1"/>
  <c r="A2668" i="1"/>
  <c r="B2668" i="1"/>
  <c r="C2668" i="1"/>
  <c r="D2668" i="1"/>
  <c r="E2668" i="1"/>
  <c r="F2668" i="1"/>
  <c r="G2668" i="1"/>
  <c r="I2668" i="1"/>
  <c r="J2668" i="1"/>
  <c r="K2668" i="1"/>
  <c r="L2668" i="1"/>
  <c r="M2668" i="1"/>
  <c r="N2668" i="1"/>
  <c r="O2668" i="1"/>
  <c r="P2668" i="1"/>
  <c r="Q2668" i="1"/>
  <c r="R2668" i="1"/>
  <c r="S2668" i="1"/>
  <c r="T2668" i="1"/>
  <c r="U2668" i="1"/>
  <c r="V2668" i="1"/>
  <c r="W2668" i="1"/>
  <c r="X2668" i="1"/>
  <c r="Y2668" i="1"/>
  <c r="Z2668" i="1"/>
  <c r="A2669" i="1"/>
  <c r="B2669" i="1"/>
  <c r="C2669" i="1"/>
  <c r="D2669" i="1"/>
  <c r="E2669" i="1"/>
  <c r="F2669" i="1"/>
  <c r="G2669" i="1"/>
  <c r="I2669" i="1"/>
  <c r="J2669" i="1"/>
  <c r="K2669" i="1"/>
  <c r="L2669" i="1"/>
  <c r="M2669" i="1"/>
  <c r="N2669" i="1"/>
  <c r="O2669" i="1"/>
  <c r="P2669" i="1"/>
  <c r="Q2669" i="1"/>
  <c r="R2669" i="1"/>
  <c r="S2669" i="1"/>
  <c r="T2669" i="1"/>
  <c r="U2669" i="1"/>
  <c r="V2669" i="1"/>
  <c r="W2669" i="1"/>
  <c r="X2669" i="1"/>
  <c r="Y2669" i="1"/>
  <c r="Z2669" i="1"/>
  <c r="A2670" i="1"/>
  <c r="B2670" i="1"/>
  <c r="C2670" i="1"/>
  <c r="D2670" i="1"/>
  <c r="E2670" i="1"/>
  <c r="F2670" i="1"/>
  <c r="G2670" i="1"/>
  <c r="I2670" i="1"/>
  <c r="J2670" i="1"/>
  <c r="K2670" i="1"/>
  <c r="L2670" i="1"/>
  <c r="M2670" i="1"/>
  <c r="N2670" i="1"/>
  <c r="O2670" i="1"/>
  <c r="P2670" i="1"/>
  <c r="Q2670" i="1"/>
  <c r="R2670" i="1"/>
  <c r="S2670" i="1"/>
  <c r="T2670" i="1"/>
  <c r="U2670" i="1"/>
  <c r="V2670" i="1"/>
  <c r="W2670" i="1"/>
  <c r="X2670" i="1"/>
  <c r="Y2670" i="1"/>
  <c r="Z2670" i="1"/>
  <c r="A2671" i="1"/>
  <c r="B2671" i="1"/>
  <c r="C2671" i="1"/>
  <c r="D2671" i="1"/>
  <c r="E2671" i="1"/>
  <c r="F2671" i="1"/>
  <c r="G2671" i="1"/>
  <c r="I2671" i="1"/>
  <c r="J2671" i="1"/>
  <c r="K2671" i="1"/>
  <c r="L2671" i="1"/>
  <c r="M2671" i="1"/>
  <c r="N2671" i="1"/>
  <c r="O2671" i="1"/>
  <c r="P2671" i="1"/>
  <c r="Q2671" i="1"/>
  <c r="R2671" i="1"/>
  <c r="S2671" i="1"/>
  <c r="T2671" i="1"/>
  <c r="U2671" i="1"/>
  <c r="V2671" i="1"/>
  <c r="W2671" i="1"/>
  <c r="X2671" i="1"/>
  <c r="Y2671" i="1"/>
  <c r="Z2671" i="1"/>
  <c r="A2672" i="1"/>
  <c r="B2672" i="1"/>
  <c r="C2672" i="1"/>
  <c r="D2672" i="1"/>
  <c r="E2672" i="1"/>
  <c r="F2672" i="1"/>
  <c r="G2672" i="1"/>
  <c r="I2672" i="1"/>
  <c r="J2672" i="1"/>
  <c r="K2672" i="1"/>
  <c r="L2672" i="1"/>
  <c r="M2672" i="1"/>
  <c r="N2672" i="1"/>
  <c r="O2672" i="1"/>
  <c r="P2672" i="1"/>
  <c r="Q2672" i="1"/>
  <c r="R2672" i="1"/>
  <c r="S2672" i="1"/>
  <c r="T2672" i="1"/>
  <c r="U2672" i="1"/>
  <c r="V2672" i="1"/>
  <c r="W2672" i="1"/>
  <c r="X2672" i="1"/>
  <c r="Y2672" i="1"/>
  <c r="Z2672" i="1"/>
  <c r="A2673" i="1"/>
  <c r="B2673" i="1"/>
  <c r="C2673" i="1"/>
  <c r="D2673" i="1"/>
  <c r="E2673" i="1"/>
  <c r="F2673" i="1"/>
  <c r="G2673" i="1"/>
  <c r="I2673" i="1"/>
  <c r="J2673" i="1"/>
  <c r="K2673" i="1"/>
  <c r="L2673" i="1"/>
  <c r="M2673" i="1"/>
  <c r="N2673" i="1"/>
  <c r="O2673" i="1"/>
  <c r="P2673" i="1"/>
  <c r="Q2673" i="1"/>
  <c r="R2673" i="1"/>
  <c r="S2673" i="1"/>
  <c r="T2673" i="1"/>
  <c r="U2673" i="1"/>
  <c r="V2673" i="1"/>
  <c r="W2673" i="1"/>
  <c r="X2673" i="1"/>
  <c r="Y2673" i="1"/>
  <c r="Z2673" i="1"/>
  <c r="A2674" i="1"/>
  <c r="B2674" i="1"/>
  <c r="C2674" i="1"/>
  <c r="D2674" i="1"/>
  <c r="E2674" i="1"/>
  <c r="F2674" i="1"/>
  <c r="G2674" i="1"/>
  <c r="I2674" i="1"/>
  <c r="J2674" i="1"/>
  <c r="K2674" i="1"/>
  <c r="L2674" i="1"/>
  <c r="M2674" i="1"/>
  <c r="N2674" i="1"/>
  <c r="O2674" i="1"/>
  <c r="P2674" i="1"/>
  <c r="Q2674" i="1"/>
  <c r="R2674" i="1"/>
  <c r="S2674" i="1"/>
  <c r="T2674" i="1"/>
  <c r="U2674" i="1"/>
  <c r="V2674" i="1"/>
  <c r="W2674" i="1"/>
  <c r="X2674" i="1"/>
  <c r="Y2674" i="1"/>
  <c r="Z2674" i="1"/>
  <c r="A2675" i="1"/>
  <c r="B2675" i="1"/>
  <c r="C2675" i="1"/>
  <c r="D2675" i="1"/>
  <c r="E2675" i="1"/>
  <c r="F2675" i="1"/>
  <c r="G2675" i="1"/>
  <c r="I2675" i="1"/>
  <c r="J2675" i="1"/>
  <c r="K2675" i="1"/>
  <c r="L2675" i="1"/>
  <c r="M2675" i="1"/>
  <c r="N2675" i="1"/>
  <c r="O2675" i="1"/>
  <c r="P2675" i="1"/>
  <c r="Q2675" i="1"/>
  <c r="R2675" i="1"/>
  <c r="S2675" i="1"/>
  <c r="T2675" i="1"/>
  <c r="U2675" i="1"/>
  <c r="V2675" i="1"/>
  <c r="W2675" i="1"/>
  <c r="X2675" i="1"/>
  <c r="Y2675" i="1"/>
  <c r="Z2675" i="1"/>
  <c r="A2676" i="1"/>
  <c r="B2676" i="1"/>
  <c r="C2676" i="1"/>
  <c r="D2676" i="1"/>
  <c r="E2676" i="1"/>
  <c r="F2676" i="1"/>
  <c r="G2676" i="1"/>
  <c r="I2676" i="1"/>
  <c r="J2676" i="1"/>
  <c r="K2676" i="1"/>
  <c r="L2676" i="1"/>
  <c r="M2676" i="1"/>
  <c r="N2676" i="1"/>
  <c r="O2676" i="1"/>
  <c r="P2676" i="1"/>
  <c r="Q2676" i="1"/>
  <c r="R2676" i="1"/>
  <c r="S2676" i="1"/>
  <c r="T2676" i="1"/>
  <c r="U2676" i="1"/>
  <c r="V2676" i="1"/>
  <c r="W2676" i="1"/>
  <c r="X2676" i="1"/>
  <c r="Y2676" i="1"/>
  <c r="Z2676" i="1"/>
  <c r="A2677" i="1"/>
  <c r="B2677" i="1"/>
  <c r="C2677" i="1"/>
  <c r="D2677" i="1"/>
  <c r="E2677" i="1"/>
  <c r="F2677" i="1"/>
  <c r="G2677" i="1"/>
  <c r="I2677" i="1"/>
  <c r="J2677" i="1"/>
  <c r="K2677" i="1"/>
  <c r="L2677" i="1"/>
  <c r="M2677" i="1"/>
  <c r="N2677" i="1"/>
  <c r="O2677" i="1"/>
  <c r="P2677" i="1"/>
  <c r="Q2677" i="1"/>
  <c r="R2677" i="1"/>
  <c r="S2677" i="1"/>
  <c r="T2677" i="1"/>
  <c r="U2677" i="1"/>
  <c r="V2677" i="1"/>
  <c r="W2677" i="1"/>
  <c r="X2677" i="1"/>
  <c r="Y2677" i="1"/>
  <c r="Z2677" i="1"/>
  <c r="A2678" i="1"/>
  <c r="B2678" i="1"/>
  <c r="C2678" i="1"/>
  <c r="D2678" i="1"/>
  <c r="E2678" i="1"/>
  <c r="F2678" i="1"/>
  <c r="G2678" i="1"/>
  <c r="I2678" i="1"/>
  <c r="J2678" i="1"/>
  <c r="K2678" i="1"/>
  <c r="L2678" i="1"/>
  <c r="M2678" i="1"/>
  <c r="N2678" i="1"/>
  <c r="O2678" i="1"/>
  <c r="P2678" i="1"/>
  <c r="Q2678" i="1"/>
  <c r="R2678" i="1"/>
  <c r="S2678" i="1"/>
  <c r="T2678" i="1"/>
  <c r="U2678" i="1"/>
  <c r="V2678" i="1"/>
  <c r="W2678" i="1"/>
  <c r="X2678" i="1"/>
  <c r="Y2678" i="1"/>
  <c r="Z2678" i="1"/>
  <c r="A2679" i="1"/>
  <c r="B2679" i="1"/>
  <c r="C2679" i="1"/>
  <c r="D2679" i="1"/>
  <c r="E2679" i="1"/>
  <c r="F2679" i="1"/>
  <c r="G2679" i="1"/>
  <c r="I2679" i="1"/>
  <c r="J2679" i="1"/>
  <c r="K2679" i="1"/>
  <c r="L2679" i="1"/>
  <c r="M2679" i="1"/>
  <c r="N2679" i="1"/>
  <c r="O2679" i="1"/>
  <c r="P2679" i="1"/>
  <c r="Q2679" i="1"/>
  <c r="R2679" i="1"/>
  <c r="S2679" i="1"/>
  <c r="T2679" i="1"/>
  <c r="U2679" i="1"/>
  <c r="V2679" i="1"/>
  <c r="W2679" i="1"/>
  <c r="X2679" i="1"/>
  <c r="Y2679" i="1"/>
  <c r="Z2679" i="1"/>
  <c r="A2680" i="1"/>
  <c r="B2680" i="1"/>
  <c r="C2680" i="1"/>
  <c r="D2680" i="1"/>
  <c r="E2680" i="1"/>
  <c r="F2680" i="1"/>
  <c r="G2680" i="1"/>
  <c r="I2680" i="1"/>
  <c r="J2680" i="1"/>
  <c r="K2680" i="1"/>
  <c r="L2680" i="1"/>
  <c r="M2680" i="1"/>
  <c r="N2680" i="1"/>
  <c r="O2680" i="1"/>
  <c r="P2680" i="1"/>
  <c r="Q2680" i="1"/>
  <c r="R2680" i="1"/>
  <c r="S2680" i="1"/>
  <c r="T2680" i="1"/>
  <c r="U2680" i="1"/>
  <c r="V2680" i="1"/>
  <c r="W2680" i="1"/>
  <c r="X2680" i="1"/>
  <c r="Y2680" i="1"/>
  <c r="Z2680" i="1"/>
  <c r="A2681" i="1"/>
  <c r="B2681" i="1"/>
  <c r="C2681" i="1"/>
  <c r="D2681" i="1"/>
  <c r="E2681" i="1"/>
  <c r="F2681" i="1"/>
  <c r="G2681" i="1"/>
  <c r="I2681" i="1"/>
  <c r="J2681" i="1"/>
  <c r="K2681" i="1"/>
  <c r="L2681" i="1"/>
  <c r="M2681" i="1"/>
  <c r="N2681" i="1"/>
  <c r="O2681" i="1"/>
  <c r="P2681" i="1"/>
  <c r="Q2681" i="1"/>
  <c r="R2681" i="1"/>
  <c r="S2681" i="1"/>
  <c r="T2681" i="1"/>
  <c r="U2681" i="1"/>
  <c r="V2681" i="1"/>
  <c r="W2681" i="1"/>
  <c r="X2681" i="1"/>
  <c r="Y2681" i="1"/>
  <c r="Z2681" i="1"/>
  <c r="A2682" i="1"/>
  <c r="B2682" i="1"/>
  <c r="C2682" i="1"/>
  <c r="D2682" i="1"/>
  <c r="E2682" i="1"/>
  <c r="F2682" i="1"/>
  <c r="G2682" i="1"/>
  <c r="I2682" i="1"/>
  <c r="J2682" i="1"/>
  <c r="K2682" i="1"/>
  <c r="L2682" i="1"/>
  <c r="M2682" i="1"/>
  <c r="N2682" i="1"/>
  <c r="O2682" i="1"/>
  <c r="P2682" i="1"/>
  <c r="Q2682" i="1"/>
  <c r="R2682" i="1"/>
  <c r="S2682" i="1"/>
  <c r="T2682" i="1"/>
  <c r="U2682" i="1"/>
  <c r="V2682" i="1"/>
  <c r="W2682" i="1"/>
  <c r="X2682" i="1"/>
  <c r="Y2682" i="1"/>
  <c r="Z2682" i="1"/>
  <c r="A2683" i="1"/>
  <c r="B2683" i="1"/>
  <c r="C2683" i="1"/>
  <c r="D2683" i="1"/>
  <c r="E2683" i="1"/>
  <c r="F2683" i="1"/>
  <c r="G2683" i="1"/>
  <c r="I2683" i="1"/>
  <c r="J2683" i="1"/>
  <c r="K2683" i="1"/>
  <c r="L2683" i="1"/>
  <c r="M2683" i="1"/>
  <c r="N2683" i="1"/>
  <c r="O2683" i="1"/>
  <c r="P2683" i="1"/>
  <c r="Q2683" i="1"/>
  <c r="R2683" i="1"/>
  <c r="S2683" i="1"/>
  <c r="T2683" i="1"/>
  <c r="U2683" i="1"/>
  <c r="V2683" i="1"/>
  <c r="W2683" i="1"/>
  <c r="X2683" i="1"/>
  <c r="Y2683" i="1"/>
  <c r="Z2683" i="1"/>
  <c r="A2684" i="1"/>
  <c r="B2684" i="1"/>
  <c r="C2684" i="1"/>
  <c r="D2684" i="1"/>
  <c r="E2684" i="1"/>
  <c r="F2684" i="1"/>
  <c r="G2684" i="1"/>
  <c r="I2684" i="1"/>
  <c r="J2684" i="1"/>
  <c r="K2684" i="1"/>
  <c r="L2684" i="1"/>
  <c r="M2684" i="1"/>
  <c r="N2684" i="1"/>
  <c r="O2684" i="1"/>
  <c r="P2684" i="1"/>
  <c r="Q2684" i="1"/>
  <c r="R2684" i="1"/>
  <c r="S2684" i="1"/>
  <c r="T2684" i="1"/>
  <c r="U2684" i="1"/>
  <c r="V2684" i="1"/>
  <c r="W2684" i="1"/>
  <c r="X2684" i="1"/>
  <c r="Y2684" i="1"/>
  <c r="Z2684" i="1"/>
  <c r="A2685" i="1"/>
  <c r="B2685" i="1"/>
  <c r="C2685" i="1"/>
  <c r="D2685" i="1"/>
  <c r="E2685" i="1"/>
  <c r="F2685" i="1"/>
  <c r="G2685" i="1"/>
  <c r="I2685" i="1"/>
  <c r="J2685" i="1"/>
  <c r="K2685" i="1"/>
  <c r="L2685" i="1"/>
  <c r="M2685" i="1"/>
  <c r="N2685" i="1"/>
  <c r="O2685" i="1"/>
  <c r="P2685" i="1"/>
  <c r="Q2685" i="1"/>
  <c r="R2685" i="1"/>
  <c r="S2685" i="1"/>
  <c r="T2685" i="1"/>
  <c r="U2685" i="1"/>
  <c r="V2685" i="1"/>
  <c r="W2685" i="1"/>
  <c r="X2685" i="1"/>
  <c r="Y2685" i="1"/>
  <c r="Z2685" i="1"/>
  <c r="A2686" i="1"/>
  <c r="B2686" i="1"/>
  <c r="C2686" i="1"/>
  <c r="D2686" i="1"/>
  <c r="E2686" i="1"/>
  <c r="F2686" i="1"/>
  <c r="G2686" i="1"/>
  <c r="I2686" i="1"/>
  <c r="J2686" i="1"/>
  <c r="K2686" i="1"/>
  <c r="L2686" i="1"/>
  <c r="M2686" i="1"/>
  <c r="N2686" i="1"/>
  <c r="O2686" i="1"/>
  <c r="P2686" i="1"/>
  <c r="Q2686" i="1"/>
  <c r="R2686" i="1"/>
  <c r="S2686" i="1"/>
  <c r="T2686" i="1"/>
  <c r="U2686" i="1"/>
  <c r="V2686" i="1"/>
  <c r="W2686" i="1"/>
  <c r="X2686" i="1"/>
  <c r="Y2686" i="1"/>
  <c r="Z2686" i="1"/>
  <c r="A2687" i="1"/>
  <c r="B2687" i="1"/>
  <c r="C2687" i="1"/>
  <c r="D2687" i="1"/>
  <c r="E2687" i="1"/>
  <c r="F2687" i="1"/>
  <c r="G2687" i="1"/>
  <c r="I2687" i="1"/>
  <c r="J2687" i="1"/>
  <c r="K2687" i="1"/>
  <c r="L2687" i="1"/>
  <c r="M2687" i="1"/>
  <c r="N2687" i="1"/>
  <c r="O2687" i="1"/>
  <c r="P2687" i="1"/>
  <c r="Q2687" i="1"/>
  <c r="R2687" i="1"/>
  <c r="S2687" i="1"/>
  <c r="T2687" i="1"/>
  <c r="U2687" i="1"/>
  <c r="V2687" i="1"/>
  <c r="W2687" i="1"/>
  <c r="X2687" i="1"/>
  <c r="Y2687" i="1"/>
  <c r="Z2687" i="1"/>
  <c r="A2688" i="1"/>
  <c r="B2688" i="1"/>
  <c r="C2688" i="1"/>
  <c r="D2688" i="1"/>
  <c r="E2688" i="1"/>
  <c r="F2688" i="1"/>
  <c r="G2688" i="1"/>
  <c r="I2688" i="1"/>
  <c r="J2688" i="1"/>
  <c r="K2688" i="1"/>
  <c r="L2688" i="1"/>
  <c r="M2688" i="1"/>
  <c r="N2688" i="1"/>
  <c r="O2688" i="1"/>
  <c r="P2688" i="1"/>
  <c r="Q2688" i="1"/>
  <c r="R2688" i="1"/>
  <c r="S2688" i="1"/>
  <c r="T2688" i="1"/>
  <c r="U2688" i="1"/>
  <c r="V2688" i="1"/>
  <c r="W2688" i="1"/>
  <c r="X2688" i="1"/>
  <c r="Y2688" i="1"/>
  <c r="Z2688" i="1"/>
  <c r="A2689" i="1"/>
  <c r="B2689" i="1"/>
  <c r="C2689" i="1"/>
  <c r="D2689" i="1"/>
  <c r="E2689" i="1"/>
  <c r="F2689" i="1"/>
  <c r="G2689" i="1"/>
  <c r="I2689" i="1"/>
  <c r="J2689" i="1"/>
  <c r="K2689" i="1"/>
  <c r="L2689" i="1"/>
  <c r="M2689" i="1"/>
  <c r="N2689" i="1"/>
  <c r="O2689" i="1"/>
  <c r="P2689" i="1"/>
  <c r="Q2689" i="1"/>
  <c r="R2689" i="1"/>
  <c r="S2689" i="1"/>
  <c r="T2689" i="1"/>
  <c r="U2689" i="1"/>
  <c r="V2689" i="1"/>
  <c r="W2689" i="1"/>
  <c r="X2689" i="1"/>
  <c r="Y2689" i="1"/>
  <c r="Z2689" i="1"/>
  <c r="A2690" i="1"/>
  <c r="B2690" i="1"/>
  <c r="C2690" i="1"/>
  <c r="D2690" i="1"/>
  <c r="E2690" i="1"/>
  <c r="F2690" i="1"/>
  <c r="G2690" i="1"/>
  <c r="I2690" i="1"/>
  <c r="J2690" i="1"/>
  <c r="K2690" i="1"/>
  <c r="L2690" i="1"/>
  <c r="M2690" i="1"/>
  <c r="N2690" i="1"/>
  <c r="O2690" i="1"/>
  <c r="P2690" i="1"/>
  <c r="Q2690" i="1"/>
  <c r="R2690" i="1"/>
  <c r="S2690" i="1"/>
  <c r="T2690" i="1"/>
  <c r="U2690" i="1"/>
  <c r="V2690" i="1"/>
  <c r="W2690" i="1"/>
  <c r="X2690" i="1"/>
  <c r="Y2690" i="1"/>
  <c r="Z2690" i="1"/>
  <c r="A2691" i="1"/>
  <c r="B2691" i="1"/>
  <c r="C2691" i="1"/>
  <c r="D2691" i="1"/>
  <c r="E2691" i="1"/>
  <c r="F2691" i="1"/>
  <c r="G2691" i="1"/>
  <c r="I2691" i="1"/>
  <c r="J2691" i="1"/>
  <c r="K2691" i="1"/>
  <c r="L2691" i="1"/>
  <c r="M2691" i="1"/>
  <c r="N2691" i="1"/>
  <c r="O2691" i="1"/>
  <c r="P2691" i="1"/>
  <c r="Q2691" i="1"/>
  <c r="R2691" i="1"/>
  <c r="S2691" i="1"/>
  <c r="T2691" i="1"/>
  <c r="U2691" i="1"/>
  <c r="V2691" i="1"/>
  <c r="W2691" i="1"/>
  <c r="X2691" i="1"/>
  <c r="Y2691" i="1"/>
  <c r="Z2691" i="1"/>
  <c r="A2692" i="1"/>
  <c r="B2692" i="1"/>
  <c r="C2692" i="1"/>
  <c r="D2692" i="1"/>
  <c r="E2692" i="1"/>
  <c r="F2692" i="1"/>
  <c r="G2692" i="1"/>
  <c r="I2692" i="1"/>
  <c r="J2692" i="1"/>
  <c r="K2692" i="1"/>
  <c r="L2692" i="1"/>
  <c r="M2692" i="1"/>
  <c r="N2692" i="1"/>
  <c r="O2692" i="1"/>
  <c r="P2692" i="1"/>
  <c r="Q2692" i="1"/>
  <c r="R2692" i="1"/>
  <c r="S2692" i="1"/>
  <c r="T2692" i="1"/>
  <c r="U2692" i="1"/>
  <c r="V2692" i="1"/>
  <c r="W2692" i="1"/>
  <c r="X2692" i="1"/>
  <c r="Y2692" i="1"/>
  <c r="Z2692" i="1"/>
  <c r="A2693" i="1"/>
  <c r="B2693" i="1"/>
  <c r="C2693" i="1"/>
  <c r="D2693" i="1"/>
  <c r="E2693" i="1"/>
  <c r="F2693" i="1"/>
  <c r="G2693" i="1"/>
  <c r="I2693" i="1"/>
  <c r="J2693" i="1"/>
  <c r="K2693" i="1"/>
  <c r="L2693" i="1"/>
  <c r="M2693" i="1"/>
  <c r="N2693" i="1"/>
  <c r="O2693" i="1"/>
  <c r="P2693" i="1"/>
  <c r="Q2693" i="1"/>
  <c r="R2693" i="1"/>
  <c r="S2693" i="1"/>
  <c r="T2693" i="1"/>
  <c r="U2693" i="1"/>
  <c r="V2693" i="1"/>
  <c r="W2693" i="1"/>
  <c r="X2693" i="1"/>
  <c r="Y2693" i="1"/>
  <c r="Z2693" i="1"/>
  <c r="A2694" i="1"/>
  <c r="B2694" i="1"/>
  <c r="C2694" i="1"/>
  <c r="D2694" i="1"/>
  <c r="E2694" i="1"/>
  <c r="F2694" i="1"/>
  <c r="G2694" i="1"/>
  <c r="I2694" i="1"/>
  <c r="J2694" i="1"/>
  <c r="K2694" i="1"/>
  <c r="L2694" i="1"/>
  <c r="M2694" i="1"/>
  <c r="N2694" i="1"/>
  <c r="O2694" i="1"/>
  <c r="P2694" i="1"/>
  <c r="Q2694" i="1"/>
  <c r="R2694" i="1"/>
  <c r="S2694" i="1"/>
  <c r="T2694" i="1"/>
  <c r="U2694" i="1"/>
  <c r="V2694" i="1"/>
  <c r="W2694" i="1"/>
  <c r="X2694" i="1"/>
  <c r="Y2694" i="1"/>
  <c r="Z2694" i="1"/>
  <c r="A2695" i="1"/>
  <c r="B2695" i="1"/>
  <c r="C2695" i="1"/>
  <c r="D2695" i="1"/>
  <c r="E2695" i="1"/>
  <c r="F2695" i="1"/>
  <c r="G2695" i="1"/>
  <c r="I2695" i="1"/>
  <c r="J2695" i="1"/>
  <c r="K2695" i="1"/>
  <c r="L2695" i="1"/>
  <c r="M2695" i="1"/>
  <c r="N2695" i="1"/>
  <c r="O2695" i="1"/>
  <c r="P2695" i="1"/>
  <c r="Q2695" i="1"/>
  <c r="R2695" i="1"/>
  <c r="S2695" i="1"/>
  <c r="T2695" i="1"/>
  <c r="U2695" i="1"/>
  <c r="V2695" i="1"/>
  <c r="W2695" i="1"/>
  <c r="X2695" i="1"/>
  <c r="Y2695" i="1"/>
  <c r="Z2695" i="1"/>
  <c r="A2696" i="1"/>
  <c r="B2696" i="1"/>
  <c r="C2696" i="1"/>
  <c r="D2696" i="1"/>
  <c r="E2696" i="1"/>
  <c r="F2696" i="1"/>
  <c r="G2696" i="1"/>
  <c r="I2696" i="1"/>
  <c r="J2696" i="1"/>
  <c r="K2696" i="1"/>
  <c r="L2696" i="1"/>
  <c r="M2696" i="1"/>
  <c r="N2696" i="1"/>
  <c r="O2696" i="1"/>
  <c r="P2696" i="1"/>
  <c r="Q2696" i="1"/>
  <c r="R2696" i="1"/>
  <c r="S2696" i="1"/>
  <c r="T2696" i="1"/>
  <c r="U2696" i="1"/>
  <c r="V2696" i="1"/>
  <c r="W2696" i="1"/>
  <c r="X2696" i="1"/>
  <c r="Y2696" i="1"/>
  <c r="Z2696" i="1"/>
  <c r="A2697" i="1"/>
  <c r="B2697" i="1"/>
  <c r="C2697" i="1"/>
  <c r="D2697" i="1"/>
  <c r="E2697" i="1"/>
  <c r="F2697" i="1"/>
  <c r="G2697" i="1"/>
  <c r="I2697" i="1"/>
  <c r="J2697" i="1"/>
  <c r="K2697" i="1"/>
  <c r="L2697" i="1"/>
  <c r="M2697" i="1"/>
  <c r="N2697" i="1"/>
  <c r="O2697" i="1"/>
  <c r="P2697" i="1"/>
  <c r="Q2697" i="1"/>
  <c r="R2697" i="1"/>
  <c r="S2697" i="1"/>
  <c r="T2697" i="1"/>
  <c r="U2697" i="1"/>
  <c r="V2697" i="1"/>
  <c r="W2697" i="1"/>
  <c r="X2697" i="1"/>
  <c r="Y2697" i="1"/>
  <c r="Z2697" i="1"/>
  <c r="A2698" i="1"/>
  <c r="B2698" i="1"/>
  <c r="C2698" i="1"/>
  <c r="D2698" i="1"/>
  <c r="E2698" i="1"/>
  <c r="F2698" i="1"/>
  <c r="G2698" i="1"/>
  <c r="I2698" i="1"/>
  <c r="J2698" i="1"/>
  <c r="K2698" i="1"/>
  <c r="L2698" i="1"/>
  <c r="M2698" i="1"/>
  <c r="N2698" i="1"/>
  <c r="O2698" i="1"/>
  <c r="P2698" i="1"/>
  <c r="Q2698" i="1"/>
  <c r="R2698" i="1"/>
  <c r="S2698" i="1"/>
  <c r="T2698" i="1"/>
  <c r="U2698" i="1"/>
  <c r="V2698" i="1"/>
  <c r="W2698" i="1"/>
  <c r="X2698" i="1"/>
  <c r="Y2698" i="1"/>
  <c r="Z2698" i="1"/>
  <c r="A2699" i="1"/>
  <c r="B2699" i="1"/>
  <c r="C2699" i="1"/>
  <c r="D2699" i="1"/>
  <c r="E2699" i="1"/>
  <c r="F2699" i="1"/>
  <c r="G2699" i="1"/>
  <c r="I2699" i="1"/>
  <c r="J2699" i="1"/>
  <c r="K2699" i="1"/>
  <c r="L2699" i="1"/>
  <c r="M2699" i="1"/>
  <c r="N2699" i="1"/>
  <c r="O2699" i="1"/>
  <c r="P2699" i="1"/>
  <c r="Q2699" i="1"/>
  <c r="R2699" i="1"/>
  <c r="S2699" i="1"/>
  <c r="T2699" i="1"/>
  <c r="U2699" i="1"/>
  <c r="V2699" i="1"/>
  <c r="W2699" i="1"/>
  <c r="X2699" i="1"/>
  <c r="Y2699" i="1"/>
  <c r="Z2699" i="1"/>
  <c r="A2700" i="1"/>
  <c r="B2700" i="1"/>
  <c r="C2700" i="1"/>
  <c r="D2700" i="1"/>
  <c r="E2700" i="1"/>
  <c r="F2700" i="1"/>
  <c r="G2700" i="1"/>
  <c r="I2700" i="1"/>
  <c r="J2700" i="1"/>
  <c r="K2700" i="1"/>
  <c r="L2700" i="1"/>
  <c r="M2700" i="1"/>
  <c r="N2700" i="1"/>
  <c r="O2700" i="1"/>
  <c r="P2700" i="1"/>
  <c r="Q2700" i="1"/>
  <c r="R2700" i="1"/>
  <c r="S2700" i="1"/>
  <c r="T2700" i="1"/>
  <c r="U2700" i="1"/>
  <c r="V2700" i="1"/>
  <c r="W2700" i="1"/>
  <c r="X2700" i="1"/>
  <c r="Y2700" i="1"/>
  <c r="Z2700" i="1"/>
  <c r="A2701" i="1"/>
  <c r="B2701" i="1"/>
  <c r="C2701" i="1"/>
  <c r="D2701" i="1"/>
  <c r="E2701" i="1"/>
  <c r="F2701" i="1"/>
  <c r="G2701" i="1"/>
  <c r="I2701" i="1"/>
  <c r="J2701" i="1"/>
  <c r="K2701" i="1"/>
  <c r="L2701" i="1"/>
  <c r="M2701" i="1"/>
  <c r="N2701" i="1"/>
  <c r="O2701" i="1"/>
  <c r="P2701" i="1"/>
  <c r="Q2701" i="1"/>
  <c r="R2701" i="1"/>
  <c r="S2701" i="1"/>
  <c r="T2701" i="1"/>
  <c r="U2701" i="1"/>
  <c r="V2701" i="1"/>
  <c r="W2701" i="1"/>
  <c r="X2701" i="1"/>
  <c r="Y2701" i="1"/>
  <c r="Z2701" i="1"/>
  <c r="A2702" i="1"/>
  <c r="B2702" i="1"/>
  <c r="C2702" i="1"/>
  <c r="D2702" i="1"/>
  <c r="E2702" i="1"/>
  <c r="F2702" i="1"/>
  <c r="G2702" i="1"/>
  <c r="I2702" i="1"/>
  <c r="J2702" i="1"/>
  <c r="K2702" i="1"/>
  <c r="L2702" i="1"/>
  <c r="M2702" i="1"/>
  <c r="N2702" i="1"/>
  <c r="O2702" i="1"/>
  <c r="P2702" i="1"/>
  <c r="Q2702" i="1"/>
  <c r="R2702" i="1"/>
  <c r="S2702" i="1"/>
  <c r="T2702" i="1"/>
  <c r="U2702" i="1"/>
  <c r="V2702" i="1"/>
  <c r="W2702" i="1"/>
  <c r="X2702" i="1"/>
  <c r="Y2702" i="1"/>
  <c r="Z2702" i="1"/>
  <c r="A2703" i="1"/>
  <c r="B2703" i="1"/>
  <c r="C2703" i="1"/>
  <c r="D2703" i="1"/>
  <c r="E2703" i="1"/>
  <c r="F2703" i="1"/>
  <c r="G2703" i="1"/>
  <c r="I2703" i="1"/>
  <c r="J2703" i="1"/>
  <c r="K2703" i="1"/>
  <c r="L2703" i="1"/>
  <c r="M2703" i="1"/>
  <c r="N2703" i="1"/>
  <c r="O2703" i="1"/>
  <c r="P2703" i="1"/>
  <c r="Q2703" i="1"/>
  <c r="R2703" i="1"/>
  <c r="S2703" i="1"/>
  <c r="T2703" i="1"/>
  <c r="U2703" i="1"/>
  <c r="V2703" i="1"/>
  <c r="W2703" i="1"/>
  <c r="X2703" i="1"/>
  <c r="Y2703" i="1"/>
  <c r="Z2703" i="1"/>
  <c r="A2704" i="1"/>
  <c r="B2704" i="1"/>
  <c r="C2704" i="1"/>
  <c r="D2704" i="1"/>
  <c r="E2704" i="1"/>
  <c r="F2704" i="1"/>
  <c r="G2704" i="1"/>
  <c r="I2704" i="1"/>
  <c r="J2704" i="1"/>
  <c r="K2704" i="1"/>
  <c r="L2704" i="1"/>
  <c r="M2704" i="1"/>
  <c r="N2704" i="1"/>
  <c r="O2704" i="1"/>
  <c r="P2704" i="1"/>
  <c r="Q2704" i="1"/>
  <c r="R2704" i="1"/>
  <c r="S2704" i="1"/>
  <c r="T2704" i="1"/>
  <c r="U2704" i="1"/>
  <c r="V2704" i="1"/>
  <c r="W2704" i="1"/>
  <c r="X2704" i="1"/>
  <c r="Y2704" i="1"/>
  <c r="Z2704" i="1"/>
  <c r="A2705" i="1"/>
  <c r="B2705" i="1"/>
  <c r="C2705" i="1"/>
  <c r="D2705" i="1"/>
  <c r="E2705" i="1"/>
  <c r="F2705" i="1"/>
  <c r="G2705" i="1"/>
  <c r="I2705" i="1"/>
  <c r="J2705" i="1"/>
  <c r="K2705" i="1"/>
  <c r="L2705" i="1"/>
  <c r="M2705" i="1"/>
  <c r="N2705" i="1"/>
  <c r="O2705" i="1"/>
  <c r="P2705" i="1"/>
  <c r="Q2705" i="1"/>
  <c r="R2705" i="1"/>
  <c r="S2705" i="1"/>
  <c r="T2705" i="1"/>
  <c r="U2705" i="1"/>
  <c r="V2705" i="1"/>
  <c r="W2705" i="1"/>
  <c r="X2705" i="1"/>
  <c r="Y2705" i="1"/>
  <c r="Z2705" i="1"/>
  <c r="A2706" i="1"/>
  <c r="B2706" i="1"/>
  <c r="C2706" i="1"/>
  <c r="D2706" i="1"/>
  <c r="E2706" i="1"/>
  <c r="F2706" i="1"/>
  <c r="G2706" i="1"/>
  <c r="I2706" i="1"/>
  <c r="J2706" i="1"/>
  <c r="K2706" i="1"/>
  <c r="L2706" i="1"/>
  <c r="M2706" i="1"/>
  <c r="N2706" i="1"/>
  <c r="O2706" i="1"/>
  <c r="P2706" i="1"/>
  <c r="Q2706" i="1"/>
  <c r="R2706" i="1"/>
  <c r="S2706" i="1"/>
  <c r="T2706" i="1"/>
  <c r="U2706" i="1"/>
  <c r="V2706" i="1"/>
  <c r="W2706" i="1"/>
  <c r="X2706" i="1"/>
  <c r="Y2706" i="1"/>
  <c r="Z2706" i="1"/>
  <c r="A2707" i="1"/>
  <c r="B2707" i="1"/>
  <c r="C2707" i="1"/>
  <c r="D2707" i="1"/>
  <c r="E2707" i="1"/>
  <c r="F2707" i="1"/>
  <c r="G2707" i="1"/>
  <c r="I2707" i="1"/>
  <c r="J2707" i="1"/>
  <c r="K2707" i="1"/>
  <c r="L2707" i="1"/>
  <c r="M2707" i="1"/>
  <c r="N2707" i="1"/>
  <c r="O2707" i="1"/>
  <c r="P2707" i="1"/>
  <c r="Q2707" i="1"/>
  <c r="R2707" i="1"/>
  <c r="S2707" i="1"/>
  <c r="T2707" i="1"/>
  <c r="U2707" i="1"/>
  <c r="V2707" i="1"/>
  <c r="W2707" i="1"/>
  <c r="X2707" i="1"/>
  <c r="Y2707" i="1"/>
  <c r="Z2707" i="1"/>
  <c r="A2708" i="1"/>
  <c r="B2708" i="1"/>
  <c r="C2708" i="1"/>
  <c r="D2708" i="1"/>
  <c r="E2708" i="1"/>
  <c r="F2708" i="1"/>
  <c r="G2708" i="1"/>
  <c r="I2708" i="1"/>
  <c r="J2708" i="1"/>
  <c r="K2708" i="1"/>
  <c r="L2708" i="1"/>
  <c r="M2708" i="1"/>
  <c r="N2708" i="1"/>
  <c r="O2708" i="1"/>
  <c r="P2708" i="1"/>
  <c r="Q2708" i="1"/>
  <c r="R2708" i="1"/>
  <c r="S2708" i="1"/>
  <c r="T2708" i="1"/>
  <c r="U2708" i="1"/>
  <c r="V2708" i="1"/>
  <c r="W2708" i="1"/>
  <c r="X2708" i="1"/>
  <c r="Y2708" i="1"/>
  <c r="Z2708" i="1"/>
  <c r="A2709" i="1"/>
  <c r="B2709" i="1"/>
  <c r="C2709" i="1"/>
  <c r="D2709" i="1"/>
  <c r="E2709" i="1"/>
  <c r="F2709" i="1"/>
  <c r="G2709" i="1"/>
  <c r="I2709" i="1"/>
  <c r="J2709" i="1"/>
  <c r="K2709" i="1"/>
  <c r="L2709" i="1"/>
  <c r="M2709" i="1"/>
  <c r="N2709" i="1"/>
  <c r="O2709" i="1"/>
  <c r="P2709" i="1"/>
  <c r="Q2709" i="1"/>
  <c r="R2709" i="1"/>
  <c r="S2709" i="1"/>
  <c r="T2709" i="1"/>
  <c r="U2709" i="1"/>
  <c r="V2709" i="1"/>
  <c r="W2709" i="1"/>
  <c r="X2709" i="1"/>
  <c r="Y2709" i="1"/>
  <c r="Z2709" i="1"/>
  <c r="A2710" i="1"/>
  <c r="B2710" i="1"/>
  <c r="C2710" i="1"/>
  <c r="D2710" i="1"/>
  <c r="E2710" i="1"/>
  <c r="F2710" i="1"/>
  <c r="G2710" i="1"/>
  <c r="I2710" i="1"/>
  <c r="J2710" i="1"/>
  <c r="K2710" i="1"/>
  <c r="L2710" i="1"/>
  <c r="M2710" i="1"/>
  <c r="N2710" i="1"/>
  <c r="O2710" i="1"/>
  <c r="P2710" i="1"/>
  <c r="Q2710" i="1"/>
  <c r="R2710" i="1"/>
  <c r="S2710" i="1"/>
  <c r="T2710" i="1"/>
  <c r="U2710" i="1"/>
  <c r="V2710" i="1"/>
  <c r="W2710" i="1"/>
  <c r="X2710" i="1"/>
  <c r="Y2710" i="1"/>
  <c r="Z2710" i="1"/>
  <c r="A2711" i="1"/>
  <c r="B2711" i="1"/>
  <c r="C2711" i="1"/>
  <c r="D2711" i="1"/>
  <c r="E2711" i="1"/>
  <c r="F2711" i="1"/>
  <c r="G2711" i="1"/>
  <c r="I2711" i="1"/>
  <c r="J2711" i="1"/>
  <c r="K2711" i="1"/>
  <c r="L2711" i="1"/>
  <c r="M2711" i="1"/>
  <c r="N2711" i="1"/>
  <c r="O2711" i="1"/>
  <c r="P2711" i="1"/>
  <c r="Q2711" i="1"/>
  <c r="R2711" i="1"/>
  <c r="S2711" i="1"/>
  <c r="T2711" i="1"/>
  <c r="U2711" i="1"/>
  <c r="V2711" i="1"/>
  <c r="W2711" i="1"/>
  <c r="X2711" i="1"/>
  <c r="Y2711" i="1"/>
  <c r="Z2711" i="1"/>
  <c r="A2712" i="1"/>
  <c r="B2712" i="1"/>
  <c r="C2712" i="1"/>
  <c r="D2712" i="1"/>
  <c r="E2712" i="1"/>
  <c r="F2712" i="1"/>
  <c r="G2712" i="1"/>
  <c r="I2712" i="1"/>
  <c r="J2712" i="1"/>
  <c r="K2712" i="1"/>
  <c r="L2712" i="1"/>
  <c r="M2712" i="1"/>
  <c r="N2712" i="1"/>
  <c r="O2712" i="1"/>
  <c r="P2712" i="1"/>
  <c r="Q2712" i="1"/>
  <c r="R2712" i="1"/>
  <c r="S2712" i="1"/>
  <c r="T2712" i="1"/>
  <c r="U2712" i="1"/>
  <c r="V2712" i="1"/>
  <c r="W2712" i="1"/>
  <c r="X2712" i="1"/>
  <c r="Y2712" i="1"/>
  <c r="Z2712" i="1"/>
  <c r="A2713" i="1"/>
  <c r="B2713" i="1"/>
  <c r="C2713" i="1"/>
  <c r="D2713" i="1"/>
  <c r="E2713" i="1"/>
  <c r="F2713" i="1"/>
  <c r="G2713" i="1"/>
  <c r="I2713" i="1"/>
  <c r="J2713" i="1"/>
  <c r="K2713" i="1"/>
  <c r="L2713" i="1"/>
  <c r="M2713" i="1"/>
  <c r="N2713" i="1"/>
  <c r="O2713" i="1"/>
  <c r="P2713" i="1"/>
  <c r="Q2713" i="1"/>
  <c r="R2713" i="1"/>
  <c r="S2713" i="1"/>
  <c r="T2713" i="1"/>
  <c r="U2713" i="1"/>
  <c r="V2713" i="1"/>
  <c r="W2713" i="1"/>
  <c r="X2713" i="1"/>
  <c r="Y2713" i="1"/>
  <c r="Z2713" i="1"/>
  <c r="A2714" i="1"/>
  <c r="B2714" i="1"/>
  <c r="C2714" i="1"/>
  <c r="D2714" i="1"/>
  <c r="E2714" i="1"/>
  <c r="F2714" i="1"/>
  <c r="G2714" i="1"/>
  <c r="I2714" i="1"/>
  <c r="J2714" i="1"/>
  <c r="K2714" i="1"/>
  <c r="L2714" i="1"/>
  <c r="M2714" i="1"/>
  <c r="N2714" i="1"/>
  <c r="O2714" i="1"/>
  <c r="P2714" i="1"/>
  <c r="Q2714" i="1"/>
  <c r="R2714" i="1"/>
  <c r="S2714" i="1"/>
  <c r="T2714" i="1"/>
  <c r="U2714" i="1"/>
  <c r="V2714" i="1"/>
  <c r="W2714" i="1"/>
  <c r="X2714" i="1"/>
  <c r="Y2714" i="1"/>
  <c r="Z2714" i="1"/>
  <c r="A2715" i="1"/>
  <c r="B2715" i="1"/>
  <c r="C2715" i="1"/>
  <c r="D2715" i="1"/>
  <c r="E2715" i="1"/>
  <c r="F2715" i="1"/>
  <c r="G2715" i="1"/>
  <c r="I2715" i="1"/>
  <c r="J2715" i="1"/>
  <c r="K2715" i="1"/>
  <c r="L2715" i="1"/>
  <c r="M2715" i="1"/>
  <c r="N2715" i="1"/>
  <c r="O2715" i="1"/>
  <c r="P2715" i="1"/>
  <c r="Q2715" i="1"/>
  <c r="R2715" i="1"/>
  <c r="S2715" i="1"/>
  <c r="T2715" i="1"/>
  <c r="U2715" i="1"/>
  <c r="V2715" i="1"/>
  <c r="W2715" i="1"/>
  <c r="X2715" i="1"/>
  <c r="Y2715" i="1"/>
  <c r="Z2715" i="1"/>
  <c r="A2716" i="1"/>
  <c r="B2716" i="1"/>
  <c r="C2716" i="1"/>
  <c r="D2716" i="1"/>
  <c r="E2716" i="1"/>
  <c r="F2716" i="1"/>
  <c r="G2716" i="1"/>
  <c r="I2716" i="1"/>
  <c r="J2716" i="1"/>
  <c r="K2716" i="1"/>
  <c r="L2716" i="1"/>
  <c r="M2716" i="1"/>
  <c r="N2716" i="1"/>
  <c r="O2716" i="1"/>
  <c r="P2716" i="1"/>
  <c r="Q2716" i="1"/>
  <c r="R2716" i="1"/>
  <c r="S2716" i="1"/>
  <c r="T2716" i="1"/>
  <c r="U2716" i="1"/>
  <c r="V2716" i="1"/>
  <c r="W2716" i="1"/>
  <c r="X2716" i="1"/>
  <c r="Y2716" i="1"/>
  <c r="Z2716" i="1"/>
  <c r="A2717" i="1"/>
  <c r="B2717" i="1"/>
  <c r="C2717" i="1"/>
  <c r="D2717" i="1"/>
  <c r="E2717" i="1"/>
  <c r="F2717" i="1"/>
  <c r="G2717" i="1"/>
  <c r="I2717" i="1"/>
  <c r="J2717" i="1"/>
  <c r="K2717" i="1"/>
  <c r="L2717" i="1"/>
  <c r="M2717" i="1"/>
  <c r="N2717" i="1"/>
  <c r="O2717" i="1"/>
  <c r="P2717" i="1"/>
  <c r="Q2717" i="1"/>
  <c r="R2717" i="1"/>
  <c r="S2717" i="1"/>
  <c r="T2717" i="1"/>
  <c r="U2717" i="1"/>
  <c r="V2717" i="1"/>
  <c r="W2717" i="1"/>
  <c r="X2717" i="1"/>
  <c r="Y2717" i="1"/>
  <c r="Z2717" i="1"/>
  <c r="A2718" i="1"/>
  <c r="B2718" i="1"/>
  <c r="C2718" i="1"/>
  <c r="D2718" i="1"/>
  <c r="E2718" i="1"/>
  <c r="F2718" i="1"/>
  <c r="G2718" i="1"/>
  <c r="I2718" i="1"/>
  <c r="J2718" i="1"/>
  <c r="K2718" i="1"/>
  <c r="L2718" i="1"/>
  <c r="M2718" i="1"/>
  <c r="N2718" i="1"/>
  <c r="O2718" i="1"/>
  <c r="P2718" i="1"/>
  <c r="Q2718" i="1"/>
  <c r="R2718" i="1"/>
  <c r="S2718" i="1"/>
  <c r="T2718" i="1"/>
  <c r="U2718" i="1"/>
  <c r="V2718" i="1"/>
  <c r="W2718" i="1"/>
  <c r="X2718" i="1"/>
  <c r="Y2718" i="1"/>
  <c r="Z2718" i="1"/>
  <c r="A2719" i="1"/>
  <c r="B2719" i="1"/>
  <c r="C2719" i="1"/>
  <c r="D2719" i="1"/>
  <c r="E2719" i="1"/>
  <c r="F2719" i="1"/>
  <c r="G2719" i="1"/>
  <c r="I2719" i="1"/>
  <c r="J2719" i="1"/>
  <c r="K2719" i="1"/>
  <c r="L2719" i="1"/>
  <c r="M2719" i="1"/>
  <c r="N2719" i="1"/>
  <c r="O2719" i="1"/>
  <c r="P2719" i="1"/>
  <c r="Q2719" i="1"/>
  <c r="R2719" i="1"/>
  <c r="S2719" i="1"/>
  <c r="T2719" i="1"/>
  <c r="U2719" i="1"/>
  <c r="V2719" i="1"/>
  <c r="W2719" i="1"/>
  <c r="X2719" i="1"/>
  <c r="Y2719" i="1"/>
  <c r="Z2719" i="1"/>
  <c r="A2720" i="1"/>
  <c r="B2720" i="1"/>
  <c r="C2720" i="1"/>
  <c r="D2720" i="1"/>
  <c r="E2720" i="1"/>
  <c r="F2720" i="1"/>
  <c r="G2720" i="1"/>
  <c r="I2720" i="1"/>
  <c r="J2720" i="1"/>
  <c r="K2720" i="1"/>
  <c r="L2720" i="1"/>
  <c r="M2720" i="1"/>
  <c r="N2720" i="1"/>
  <c r="O2720" i="1"/>
  <c r="P2720" i="1"/>
  <c r="Q2720" i="1"/>
  <c r="R2720" i="1"/>
  <c r="S2720" i="1"/>
  <c r="T2720" i="1"/>
  <c r="U2720" i="1"/>
  <c r="V2720" i="1"/>
  <c r="W2720" i="1"/>
  <c r="X2720" i="1"/>
  <c r="Y2720" i="1"/>
  <c r="Z2720" i="1"/>
  <c r="A2721" i="1"/>
  <c r="B2721" i="1"/>
  <c r="C2721" i="1"/>
  <c r="D2721" i="1"/>
  <c r="E2721" i="1"/>
  <c r="F2721" i="1"/>
  <c r="G2721" i="1"/>
  <c r="I2721" i="1"/>
  <c r="J2721" i="1"/>
  <c r="K2721" i="1"/>
  <c r="L2721" i="1"/>
  <c r="M2721" i="1"/>
  <c r="N2721" i="1"/>
  <c r="O2721" i="1"/>
  <c r="P2721" i="1"/>
  <c r="Q2721" i="1"/>
  <c r="R2721" i="1"/>
  <c r="S2721" i="1"/>
  <c r="T2721" i="1"/>
  <c r="U2721" i="1"/>
  <c r="V2721" i="1"/>
  <c r="W2721" i="1"/>
  <c r="X2721" i="1"/>
  <c r="Y2721" i="1"/>
  <c r="Z2721" i="1"/>
  <c r="A2722" i="1"/>
  <c r="B2722" i="1"/>
  <c r="C2722" i="1"/>
  <c r="D2722" i="1"/>
  <c r="E2722" i="1"/>
  <c r="F2722" i="1"/>
  <c r="G2722" i="1"/>
  <c r="I2722" i="1"/>
  <c r="J2722" i="1"/>
  <c r="K2722" i="1"/>
  <c r="L2722" i="1"/>
  <c r="M2722" i="1"/>
  <c r="N2722" i="1"/>
  <c r="O2722" i="1"/>
  <c r="P2722" i="1"/>
  <c r="Q2722" i="1"/>
  <c r="R2722" i="1"/>
  <c r="S2722" i="1"/>
  <c r="T2722" i="1"/>
  <c r="U2722" i="1"/>
  <c r="V2722" i="1"/>
  <c r="W2722" i="1"/>
  <c r="X2722" i="1"/>
  <c r="Y2722" i="1"/>
  <c r="Z2722" i="1"/>
  <c r="A2723" i="1"/>
  <c r="B2723" i="1"/>
  <c r="C2723" i="1"/>
  <c r="D2723" i="1"/>
  <c r="E2723" i="1"/>
  <c r="F2723" i="1"/>
  <c r="G2723" i="1"/>
  <c r="I2723" i="1"/>
  <c r="J2723" i="1"/>
  <c r="K2723" i="1"/>
  <c r="L2723" i="1"/>
  <c r="M2723" i="1"/>
  <c r="N2723" i="1"/>
  <c r="O2723" i="1"/>
  <c r="P2723" i="1"/>
  <c r="Q2723" i="1"/>
  <c r="R2723" i="1"/>
  <c r="S2723" i="1"/>
  <c r="T2723" i="1"/>
  <c r="U2723" i="1"/>
  <c r="V2723" i="1"/>
  <c r="W2723" i="1"/>
  <c r="X2723" i="1"/>
  <c r="Y2723" i="1"/>
  <c r="Z2723" i="1"/>
  <c r="A2724" i="1"/>
  <c r="B2724" i="1"/>
  <c r="C2724" i="1"/>
  <c r="D2724" i="1"/>
  <c r="E2724" i="1"/>
  <c r="F2724" i="1"/>
  <c r="G2724" i="1"/>
  <c r="I2724" i="1"/>
  <c r="J2724" i="1"/>
  <c r="K2724" i="1"/>
  <c r="L2724" i="1"/>
  <c r="M2724" i="1"/>
  <c r="N2724" i="1"/>
  <c r="O2724" i="1"/>
  <c r="P2724" i="1"/>
  <c r="Q2724" i="1"/>
  <c r="R2724" i="1"/>
  <c r="S2724" i="1"/>
  <c r="T2724" i="1"/>
  <c r="U2724" i="1"/>
  <c r="V2724" i="1"/>
  <c r="W2724" i="1"/>
  <c r="X2724" i="1"/>
  <c r="Y2724" i="1"/>
  <c r="Z2724" i="1"/>
  <c r="A2725" i="1"/>
  <c r="B2725" i="1"/>
  <c r="C2725" i="1"/>
  <c r="D2725" i="1"/>
  <c r="E2725" i="1"/>
  <c r="F2725" i="1"/>
  <c r="G2725" i="1"/>
  <c r="I2725" i="1"/>
  <c r="J2725" i="1"/>
  <c r="K2725" i="1"/>
  <c r="L2725" i="1"/>
  <c r="M2725" i="1"/>
  <c r="N2725" i="1"/>
  <c r="O2725" i="1"/>
  <c r="P2725" i="1"/>
  <c r="Q2725" i="1"/>
  <c r="R2725" i="1"/>
  <c r="S2725" i="1"/>
  <c r="T2725" i="1"/>
  <c r="U2725" i="1"/>
  <c r="V2725" i="1"/>
  <c r="W2725" i="1"/>
  <c r="X2725" i="1"/>
  <c r="Y2725" i="1"/>
  <c r="Z2725" i="1"/>
  <c r="A2726" i="1"/>
  <c r="B2726" i="1"/>
  <c r="C2726" i="1"/>
  <c r="D2726" i="1"/>
  <c r="E2726" i="1"/>
  <c r="F2726" i="1"/>
  <c r="G2726" i="1"/>
  <c r="I2726" i="1"/>
  <c r="J2726" i="1"/>
  <c r="K2726" i="1"/>
  <c r="L2726" i="1"/>
  <c r="M2726" i="1"/>
  <c r="N2726" i="1"/>
  <c r="O2726" i="1"/>
  <c r="P2726" i="1"/>
  <c r="Q2726" i="1"/>
  <c r="R2726" i="1"/>
  <c r="S2726" i="1"/>
  <c r="T2726" i="1"/>
  <c r="U2726" i="1"/>
  <c r="V2726" i="1"/>
  <c r="W2726" i="1"/>
  <c r="X2726" i="1"/>
  <c r="Y2726" i="1"/>
  <c r="Z2726" i="1"/>
  <c r="A2727" i="1"/>
  <c r="B2727" i="1"/>
  <c r="C2727" i="1"/>
  <c r="D2727" i="1"/>
  <c r="E2727" i="1"/>
  <c r="F2727" i="1"/>
  <c r="G2727" i="1"/>
  <c r="I2727" i="1"/>
  <c r="J2727" i="1"/>
  <c r="K2727" i="1"/>
  <c r="L2727" i="1"/>
  <c r="M2727" i="1"/>
  <c r="N2727" i="1"/>
  <c r="O2727" i="1"/>
  <c r="P2727" i="1"/>
  <c r="Q2727" i="1"/>
  <c r="R2727" i="1"/>
  <c r="S2727" i="1"/>
  <c r="T2727" i="1"/>
  <c r="U2727" i="1"/>
  <c r="V2727" i="1"/>
  <c r="W2727" i="1"/>
  <c r="X2727" i="1"/>
  <c r="Y2727" i="1"/>
  <c r="Z2727" i="1"/>
  <c r="A2728" i="1"/>
  <c r="B2728" i="1"/>
  <c r="C2728" i="1"/>
  <c r="D2728" i="1"/>
  <c r="E2728" i="1"/>
  <c r="F2728" i="1"/>
  <c r="G2728" i="1"/>
  <c r="I2728" i="1"/>
  <c r="J2728" i="1"/>
  <c r="K2728" i="1"/>
  <c r="L2728" i="1"/>
  <c r="M2728" i="1"/>
  <c r="N2728" i="1"/>
  <c r="O2728" i="1"/>
  <c r="P2728" i="1"/>
  <c r="Q2728" i="1"/>
  <c r="R2728" i="1"/>
  <c r="S2728" i="1"/>
  <c r="T2728" i="1"/>
  <c r="U2728" i="1"/>
  <c r="V2728" i="1"/>
  <c r="W2728" i="1"/>
  <c r="X2728" i="1"/>
  <c r="Y2728" i="1"/>
  <c r="Z2728" i="1"/>
  <c r="A2729" i="1"/>
  <c r="B2729" i="1"/>
  <c r="C2729" i="1"/>
  <c r="D2729" i="1"/>
  <c r="E2729" i="1"/>
  <c r="F2729" i="1"/>
  <c r="G2729" i="1"/>
  <c r="I2729" i="1"/>
  <c r="J2729" i="1"/>
  <c r="K2729" i="1"/>
  <c r="L2729" i="1"/>
  <c r="M2729" i="1"/>
  <c r="N2729" i="1"/>
  <c r="O2729" i="1"/>
  <c r="P2729" i="1"/>
  <c r="Q2729" i="1"/>
  <c r="R2729" i="1"/>
  <c r="S2729" i="1"/>
  <c r="T2729" i="1"/>
  <c r="U2729" i="1"/>
  <c r="V2729" i="1"/>
  <c r="W2729" i="1"/>
  <c r="X2729" i="1"/>
  <c r="Y2729" i="1"/>
  <c r="Z2729" i="1"/>
  <c r="A2730" i="1"/>
  <c r="B2730" i="1"/>
  <c r="C2730" i="1"/>
  <c r="D2730" i="1"/>
  <c r="E2730" i="1"/>
  <c r="F2730" i="1"/>
  <c r="G2730" i="1"/>
  <c r="I2730" i="1"/>
  <c r="J2730" i="1"/>
  <c r="K2730" i="1"/>
  <c r="L2730" i="1"/>
  <c r="M2730" i="1"/>
  <c r="N2730" i="1"/>
  <c r="O2730" i="1"/>
  <c r="P2730" i="1"/>
  <c r="Q2730" i="1"/>
  <c r="R2730" i="1"/>
  <c r="S2730" i="1"/>
  <c r="T2730" i="1"/>
  <c r="U2730" i="1"/>
  <c r="V2730" i="1"/>
  <c r="W2730" i="1"/>
  <c r="X2730" i="1"/>
  <c r="Y2730" i="1"/>
  <c r="Z2730" i="1"/>
  <c r="A2731" i="1"/>
  <c r="B2731" i="1"/>
  <c r="C2731" i="1"/>
  <c r="D2731" i="1"/>
  <c r="E2731" i="1"/>
  <c r="F2731" i="1"/>
  <c r="G2731" i="1"/>
  <c r="I2731" i="1"/>
  <c r="J2731" i="1"/>
  <c r="K2731" i="1"/>
  <c r="L2731" i="1"/>
  <c r="M2731" i="1"/>
  <c r="N2731" i="1"/>
  <c r="O2731" i="1"/>
  <c r="P2731" i="1"/>
  <c r="Q2731" i="1"/>
  <c r="R2731" i="1"/>
  <c r="S2731" i="1"/>
  <c r="T2731" i="1"/>
  <c r="U2731" i="1"/>
  <c r="V2731" i="1"/>
  <c r="W2731" i="1"/>
  <c r="X2731" i="1"/>
  <c r="Y2731" i="1"/>
  <c r="Z2731" i="1"/>
  <c r="A2732" i="1"/>
  <c r="B2732" i="1"/>
  <c r="C2732" i="1"/>
  <c r="D2732" i="1"/>
  <c r="E2732" i="1"/>
  <c r="F2732" i="1"/>
  <c r="G2732" i="1"/>
  <c r="I2732" i="1"/>
  <c r="J2732" i="1"/>
  <c r="K2732" i="1"/>
  <c r="L2732" i="1"/>
  <c r="M2732" i="1"/>
  <c r="N2732" i="1"/>
  <c r="O2732" i="1"/>
  <c r="P2732" i="1"/>
  <c r="Q2732" i="1"/>
  <c r="R2732" i="1"/>
  <c r="S2732" i="1"/>
  <c r="T2732" i="1"/>
  <c r="U2732" i="1"/>
  <c r="V2732" i="1"/>
  <c r="W2732" i="1"/>
  <c r="X2732" i="1"/>
  <c r="Y2732" i="1"/>
  <c r="Z2732" i="1"/>
  <c r="A2733" i="1"/>
  <c r="B2733" i="1"/>
  <c r="C2733" i="1"/>
  <c r="D2733" i="1"/>
  <c r="E2733" i="1"/>
  <c r="F2733" i="1"/>
  <c r="G2733" i="1"/>
  <c r="I2733" i="1"/>
  <c r="J2733" i="1"/>
  <c r="K2733" i="1"/>
  <c r="L2733" i="1"/>
  <c r="M2733" i="1"/>
  <c r="N2733" i="1"/>
  <c r="O2733" i="1"/>
  <c r="P2733" i="1"/>
  <c r="Q2733" i="1"/>
  <c r="R2733" i="1"/>
  <c r="S2733" i="1"/>
  <c r="T2733" i="1"/>
  <c r="U2733" i="1"/>
  <c r="V2733" i="1"/>
  <c r="W2733" i="1"/>
  <c r="X2733" i="1"/>
  <c r="Y2733" i="1"/>
  <c r="Z2733" i="1"/>
  <c r="A2734" i="1"/>
  <c r="B2734" i="1"/>
  <c r="C2734" i="1"/>
  <c r="D2734" i="1"/>
  <c r="E2734" i="1"/>
  <c r="F2734" i="1"/>
  <c r="G2734" i="1"/>
  <c r="I2734" i="1"/>
  <c r="J2734" i="1"/>
  <c r="K2734" i="1"/>
  <c r="L2734" i="1"/>
  <c r="M2734" i="1"/>
  <c r="N2734" i="1"/>
  <c r="O2734" i="1"/>
  <c r="P2734" i="1"/>
  <c r="Q2734" i="1"/>
  <c r="R2734" i="1"/>
  <c r="S2734" i="1"/>
  <c r="T2734" i="1"/>
  <c r="U2734" i="1"/>
  <c r="V2734" i="1"/>
  <c r="W2734" i="1"/>
  <c r="X2734" i="1"/>
  <c r="Y2734" i="1"/>
  <c r="Z2734" i="1"/>
  <c r="A2735" i="1"/>
  <c r="B2735" i="1"/>
  <c r="C2735" i="1"/>
  <c r="D2735" i="1"/>
  <c r="E2735" i="1"/>
  <c r="F2735" i="1"/>
  <c r="G2735" i="1"/>
  <c r="I2735" i="1"/>
  <c r="J2735" i="1"/>
  <c r="K2735" i="1"/>
  <c r="L2735" i="1"/>
  <c r="M2735" i="1"/>
  <c r="N2735" i="1"/>
  <c r="O2735" i="1"/>
  <c r="P2735" i="1"/>
  <c r="Q2735" i="1"/>
  <c r="R2735" i="1"/>
  <c r="S2735" i="1"/>
  <c r="T2735" i="1"/>
  <c r="U2735" i="1"/>
  <c r="V2735" i="1"/>
  <c r="W2735" i="1"/>
  <c r="X2735" i="1"/>
  <c r="Y2735" i="1"/>
  <c r="Z2735" i="1"/>
  <c r="A2736" i="1"/>
  <c r="B2736" i="1"/>
  <c r="C2736" i="1"/>
  <c r="D2736" i="1"/>
  <c r="E2736" i="1"/>
  <c r="F2736" i="1"/>
  <c r="G2736" i="1"/>
  <c r="I2736" i="1"/>
  <c r="J2736" i="1"/>
  <c r="K2736" i="1"/>
  <c r="L2736" i="1"/>
  <c r="M2736" i="1"/>
  <c r="N2736" i="1"/>
  <c r="O2736" i="1"/>
  <c r="P2736" i="1"/>
  <c r="Q2736" i="1"/>
  <c r="R2736" i="1"/>
  <c r="S2736" i="1"/>
  <c r="T2736" i="1"/>
  <c r="U2736" i="1"/>
  <c r="V2736" i="1"/>
  <c r="W2736" i="1"/>
  <c r="X2736" i="1"/>
  <c r="Y2736" i="1"/>
  <c r="Z2736" i="1"/>
  <c r="A2737" i="1"/>
  <c r="B2737" i="1"/>
  <c r="C2737" i="1"/>
  <c r="D2737" i="1"/>
  <c r="E2737" i="1"/>
  <c r="F2737" i="1"/>
  <c r="G2737" i="1"/>
  <c r="I2737" i="1"/>
  <c r="J2737" i="1"/>
  <c r="K2737" i="1"/>
  <c r="L2737" i="1"/>
  <c r="M2737" i="1"/>
  <c r="N2737" i="1"/>
  <c r="O2737" i="1"/>
  <c r="P2737" i="1"/>
  <c r="Q2737" i="1"/>
  <c r="R2737" i="1"/>
  <c r="S2737" i="1"/>
  <c r="T2737" i="1"/>
  <c r="U2737" i="1"/>
  <c r="V2737" i="1"/>
  <c r="W2737" i="1"/>
  <c r="X2737" i="1"/>
  <c r="Y2737" i="1"/>
  <c r="Z2737" i="1"/>
  <c r="A2738" i="1"/>
  <c r="B2738" i="1"/>
  <c r="C2738" i="1"/>
  <c r="D2738" i="1"/>
  <c r="E2738" i="1"/>
  <c r="F2738" i="1"/>
  <c r="G2738" i="1"/>
  <c r="I2738" i="1"/>
  <c r="J2738" i="1"/>
  <c r="K2738" i="1"/>
  <c r="L2738" i="1"/>
  <c r="M2738" i="1"/>
  <c r="N2738" i="1"/>
  <c r="O2738" i="1"/>
  <c r="P2738" i="1"/>
  <c r="Q2738" i="1"/>
  <c r="R2738" i="1"/>
  <c r="S2738" i="1"/>
  <c r="T2738" i="1"/>
  <c r="U2738" i="1"/>
  <c r="V2738" i="1"/>
  <c r="W2738" i="1"/>
  <c r="X2738" i="1"/>
  <c r="Y2738" i="1"/>
  <c r="Z2738" i="1"/>
  <c r="A2739" i="1"/>
  <c r="B2739" i="1"/>
  <c r="C2739" i="1"/>
  <c r="D2739" i="1"/>
  <c r="E2739" i="1"/>
  <c r="F2739" i="1"/>
  <c r="G2739" i="1"/>
  <c r="I2739" i="1"/>
  <c r="J2739" i="1"/>
  <c r="K2739" i="1"/>
  <c r="L2739" i="1"/>
  <c r="M2739" i="1"/>
  <c r="N2739" i="1"/>
  <c r="O2739" i="1"/>
  <c r="P2739" i="1"/>
  <c r="Q2739" i="1"/>
  <c r="R2739" i="1"/>
  <c r="S2739" i="1"/>
  <c r="T2739" i="1"/>
  <c r="U2739" i="1"/>
  <c r="V2739" i="1"/>
  <c r="W2739" i="1"/>
  <c r="X2739" i="1"/>
  <c r="Y2739" i="1"/>
  <c r="Z2739" i="1"/>
  <c r="A2740" i="1"/>
  <c r="B2740" i="1"/>
  <c r="C2740" i="1"/>
  <c r="D2740" i="1"/>
  <c r="E2740" i="1"/>
  <c r="F2740" i="1"/>
  <c r="G2740" i="1"/>
  <c r="I2740" i="1"/>
  <c r="J2740" i="1"/>
  <c r="K2740" i="1"/>
  <c r="L2740" i="1"/>
  <c r="M2740" i="1"/>
  <c r="N2740" i="1"/>
  <c r="O2740" i="1"/>
  <c r="P2740" i="1"/>
  <c r="Q2740" i="1"/>
  <c r="R2740" i="1"/>
  <c r="S2740" i="1"/>
  <c r="T2740" i="1"/>
  <c r="U2740" i="1"/>
  <c r="V2740" i="1"/>
  <c r="W2740" i="1"/>
  <c r="X2740" i="1"/>
  <c r="Y2740" i="1"/>
  <c r="Z2740" i="1"/>
  <c r="A2741" i="1"/>
  <c r="B2741" i="1"/>
  <c r="C2741" i="1"/>
  <c r="D2741" i="1"/>
  <c r="E2741" i="1"/>
  <c r="F2741" i="1"/>
  <c r="G2741" i="1"/>
  <c r="I2741" i="1"/>
  <c r="J2741" i="1"/>
  <c r="K2741" i="1"/>
  <c r="L2741" i="1"/>
  <c r="M2741" i="1"/>
  <c r="N2741" i="1"/>
  <c r="O2741" i="1"/>
  <c r="P2741" i="1"/>
  <c r="Q2741" i="1"/>
  <c r="R2741" i="1"/>
  <c r="S2741" i="1"/>
  <c r="T2741" i="1"/>
  <c r="U2741" i="1"/>
  <c r="V2741" i="1"/>
  <c r="W2741" i="1"/>
  <c r="X2741" i="1"/>
  <c r="Y2741" i="1"/>
  <c r="Z2741" i="1"/>
  <c r="A2742" i="1"/>
  <c r="B2742" i="1"/>
  <c r="C2742" i="1"/>
  <c r="D2742" i="1"/>
  <c r="E2742" i="1"/>
  <c r="F2742" i="1"/>
  <c r="G2742" i="1"/>
  <c r="I2742" i="1"/>
  <c r="J2742" i="1"/>
  <c r="K2742" i="1"/>
  <c r="L2742" i="1"/>
  <c r="M2742" i="1"/>
  <c r="N2742" i="1"/>
  <c r="O2742" i="1"/>
  <c r="P2742" i="1"/>
  <c r="Q2742" i="1"/>
  <c r="R2742" i="1"/>
  <c r="S2742" i="1"/>
  <c r="T2742" i="1"/>
  <c r="U2742" i="1"/>
  <c r="V2742" i="1"/>
  <c r="W2742" i="1"/>
  <c r="X2742" i="1"/>
  <c r="Y2742" i="1"/>
  <c r="Z2742" i="1"/>
  <c r="A2743" i="1"/>
  <c r="B2743" i="1"/>
  <c r="C2743" i="1"/>
  <c r="D2743" i="1"/>
  <c r="E2743" i="1"/>
  <c r="F2743" i="1"/>
  <c r="G2743" i="1"/>
  <c r="I2743" i="1"/>
  <c r="J2743" i="1"/>
  <c r="K2743" i="1"/>
  <c r="L2743" i="1"/>
  <c r="M2743" i="1"/>
  <c r="N2743" i="1"/>
  <c r="O2743" i="1"/>
  <c r="P2743" i="1"/>
  <c r="Q2743" i="1"/>
  <c r="R2743" i="1"/>
  <c r="S2743" i="1"/>
  <c r="T2743" i="1"/>
  <c r="U2743" i="1"/>
  <c r="V2743" i="1"/>
  <c r="W2743" i="1"/>
  <c r="X2743" i="1"/>
  <c r="Y2743" i="1"/>
  <c r="Z2743" i="1"/>
  <c r="A2744" i="1"/>
  <c r="B2744" i="1"/>
  <c r="C2744" i="1"/>
  <c r="D2744" i="1"/>
  <c r="E2744" i="1"/>
  <c r="F2744" i="1"/>
  <c r="G2744" i="1"/>
  <c r="I2744" i="1"/>
  <c r="J2744" i="1"/>
  <c r="K2744" i="1"/>
  <c r="L2744" i="1"/>
  <c r="M2744" i="1"/>
  <c r="N2744" i="1"/>
  <c r="O2744" i="1"/>
  <c r="P2744" i="1"/>
  <c r="Q2744" i="1"/>
  <c r="R2744" i="1"/>
  <c r="S2744" i="1"/>
  <c r="T2744" i="1"/>
  <c r="U2744" i="1"/>
  <c r="V2744" i="1"/>
  <c r="W2744" i="1"/>
  <c r="X2744" i="1"/>
  <c r="Y2744" i="1"/>
  <c r="Z2744" i="1"/>
  <c r="A2745" i="1"/>
  <c r="B2745" i="1"/>
  <c r="C2745" i="1"/>
  <c r="D2745" i="1"/>
  <c r="E2745" i="1"/>
  <c r="F2745" i="1"/>
  <c r="G2745" i="1"/>
  <c r="I2745" i="1"/>
  <c r="J2745" i="1"/>
  <c r="K2745" i="1"/>
  <c r="L2745" i="1"/>
  <c r="M2745" i="1"/>
  <c r="N2745" i="1"/>
  <c r="O2745" i="1"/>
  <c r="P2745" i="1"/>
  <c r="Q2745" i="1"/>
  <c r="R2745" i="1"/>
  <c r="S2745" i="1"/>
  <c r="T2745" i="1"/>
  <c r="U2745" i="1"/>
  <c r="V2745" i="1"/>
  <c r="W2745" i="1"/>
  <c r="X2745" i="1"/>
  <c r="Y2745" i="1"/>
  <c r="Z2745" i="1"/>
  <c r="A2746" i="1"/>
  <c r="B2746" i="1"/>
  <c r="C2746" i="1"/>
  <c r="D2746" i="1"/>
  <c r="E2746" i="1"/>
  <c r="F2746" i="1"/>
  <c r="G2746" i="1"/>
  <c r="I2746" i="1"/>
  <c r="J2746" i="1"/>
  <c r="K2746" i="1"/>
  <c r="L2746" i="1"/>
  <c r="M2746" i="1"/>
  <c r="N2746" i="1"/>
  <c r="O2746" i="1"/>
  <c r="P2746" i="1"/>
  <c r="Q2746" i="1"/>
  <c r="R2746" i="1"/>
  <c r="S2746" i="1"/>
  <c r="T2746" i="1"/>
  <c r="U2746" i="1"/>
  <c r="V2746" i="1"/>
  <c r="W2746" i="1"/>
  <c r="X2746" i="1"/>
  <c r="Y2746" i="1"/>
  <c r="Z2746" i="1"/>
  <c r="A2747" i="1"/>
  <c r="B2747" i="1"/>
  <c r="C2747" i="1"/>
  <c r="D2747" i="1"/>
  <c r="E2747" i="1"/>
  <c r="F2747" i="1"/>
  <c r="G2747" i="1"/>
  <c r="I2747" i="1"/>
  <c r="J2747" i="1"/>
  <c r="K2747" i="1"/>
  <c r="L2747" i="1"/>
  <c r="M2747" i="1"/>
  <c r="N2747" i="1"/>
  <c r="O2747" i="1"/>
  <c r="P2747" i="1"/>
  <c r="Q2747" i="1"/>
  <c r="R2747" i="1"/>
  <c r="S2747" i="1"/>
  <c r="T2747" i="1"/>
  <c r="U2747" i="1"/>
  <c r="V2747" i="1"/>
  <c r="W2747" i="1"/>
  <c r="X2747" i="1"/>
  <c r="Y2747" i="1"/>
  <c r="Z2747" i="1"/>
  <c r="A2748" i="1"/>
  <c r="B2748" i="1"/>
  <c r="C2748" i="1"/>
  <c r="D2748" i="1"/>
  <c r="E2748" i="1"/>
  <c r="F2748" i="1"/>
  <c r="G2748" i="1"/>
  <c r="I2748" i="1"/>
  <c r="J2748" i="1"/>
  <c r="K2748" i="1"/>
  <c r="L2748" i="1"/>
  <c r="M2748" i="1"/>
  <c r="N2748" i="1"/>
  <c r="O2748" i="1"/>
  <c r="P2748" i="1"/>
  <c r="Q2748" i="1"/>
  <c r="R2748" i="1"/>
  <c r="S2748" i="1"/>
  <c r="T2748" i="1"/>
  <c r="U2748" i="1"/>
  <c r="V2748" i="1"/>
  <c r="W2748" i="1"/>
  <c r="X2748" i="1"/>
  <c r="Y2748" i="1"/>
  <c r="Z2748" i="1"/>
  <c r="A2749" i="1"/>
  <c r="B2749" i="1"/>
  <c r="C2749" i="1"/>
  <c r="D2749" i="1"/>
  <c r="E2749" i="1"/>
  <c r="F2749" i="1"/>
  <c r="G2749" i="1"/>
  <c r="I2749" i="1"/>
  <c r="J2749" i="1"/>
  <c r="K2749" i="1"/>
  <c r="L2749" i="1"/>
  <c r="M2749" i="1"/>
  <c r="N2749" i="1"/>
  <c r="O2749" i="1"/>
  <c r="P2749" i="1"/>
  <c r="Q2749" i="1"/>
  <c r="R2749" i="1"/>
  <c r="S2749" i="1"/>
  <c r="T2749" i="1"/>
  <c r="U2749" i="1"/>
  <c r="V2749" i="1"/>
  <c r="W2749" i="1"/>
  <c r="X2749" i="1"/>
  <c r="Y2749" i="1"/>
  <c r="Z2749" i="1"/>
  <c r="A2750" i="1"/>
  <c r="B2750" i="1"/>
  <c r="C2750" i="1"/>
  <c r="D2750" i="1"/>
  <c r="E2750" i="1"/>
  <c r="F2750" i="1"/>
  <c r="G2750" i="1"/>
  <c r="I2750" i="1"/>
  <c r="J2750" i="1"/>
  <c r="K2750" i="1"/>
  <c r="L2750" i="1"/>
  <c r="M2750" i="1"/>
  <c r="N2750" i="1"/>
  <c r="O2750" i="1"/>
  <c r="P2750" i="1"/>
  <c r="Q2750" i="1"/>
  <c r="R2750" i="1"/>
  <c r="S2750" i="1"/>
  <c r="T2750" i="1"/>
  <c r="U2750" i="1"/>
  <c r="V2750" i="1"/>
  <c r="W2750" i="1"/>
  <c r="X2750" i="1"/>
  <c r="Y2750" i="1"/>
  <c r="Z2750" i="1"/>
  <c r="A2751" i="1"/>
  <c r="B2751" i="1"/>
  <c r="C2751" i="1"/>
  <c r="D2751" i="1"/>
  <c r="E2751" i="1"/>
  <c r="F2751" i="1"/>
  <c r="G2751" i="1"/>
  <c r="I2751" i="1"/>
  <c r="J2751" i="1"/>
  <c r="K2751" i="1"/>
  <c r="L2751" i="1"/>
  <c r="M2751" i="1"/>
  <c r="N2751" i="1"/>
  <c r="O2751" i="1"/>
  <c r="P2751" i="1"/>
  <c r="Q2751" i="1"/>
  <c r="R2751" i="1"/>
  <c r="S2751" i="1"/>
  <c r="T2751" i="1"/>
  <c r="U2751" i="1"/>
  <c r="V2751" i="1"/>
  <c r="W2751" i="1"/>
  <c r="X2751" i="1"/>
  <c r="Y2751" i="1"/>
  <c r="Z2751" i="1"/>
  <c r="A2752" i="1"/>
  <c r="B2752" i="1"/>
  <c r="C2752" i="1"/>
  <c r="D2752" i="1"/>
  <c r="E2752" i="1"/>
  <c r="F2752" i="1"/>
  <c r="G2752" i="1"/>
  <c r="I2752" i="1"/>
  <c r="J2752" i="1"/>
  <c r="K2752" i="1"/>
  <c r="L2752" i="1"/>
  <c r="M2752" i="1"/>
  <c r="N2752" i="1"/>
  <c r="O2752" i="1"/>
  <c r="P2752" i="1"/>
  <c r="Q2752" i="1"/>
  <c r="R2752" i="1"/>
  <c r="S2752" i="1"/>
  <c r="T2752" i="1"/>
  <c r="U2752" i="1"/>
  <c r="V2752" i="1"/>
  <c r="W2752" i="1"/>
  <c r="X2752" i="1"/>
  <c r="Y2752" i="1"/>
  <c r="Z2752" i="1"/>
  <c r="A2753" i="1"/>
  <c r="B2753" i="1"/>
  <c r="C2753" i="1"/>
  <c r="D2753" i="1"/>
  <c r="E2753" i="1"/>
  <c r="F2753" i="1"/>
  <c r="G2753" i="1"/>
  <c r="I2753" i="1"/>
  <c r="J2753" i="1"/>
  <c r="K2753" i="1"/>
  <c r="L2753" i="1"/>
  <c r="M2753" i="1"/>
  <c r="N2753" i="1"/>
  <c r="O2753" i="1"/>
  <c r="P2753" i="1"/>
  <c r="Q2753" i="1"/>
  <c r="R2753" i="1"/>
  <c r="S2753" i="1"/>
  <c r="T2753" i="1"/>
  <c r="U2753" i="1"/>
  <c r="V2753" i="1"/>
  <c r="W2753" i="1"/>
  <c r="X2753" i="1"/>
  <c r="Y2753" i="1"/>
  <c r="Z2753" i="1"/>
  <c r="A2754" i="1"/>
  <c r="B2754" i="1"/>
  <c r="C2754" i="1"/>
  <c r="D2754" i="1"/>
  <c r="E2754" i="1"/>
  <c r="F2754" i="1"/>
  <c r="G2754" i="1"/>
  <c r="I2754" i="1"/>
  <c r="J2754" i="1"/>
  <c r="K2754" i="1"/>
  <c r="L2754" i="1"/>
  <c r="M2754" i="1"/>
  <c r="N2754" i="1"/>
  <c r="O2754" i="1"/>
  <c r="P2754" i="1"/>
  <c r="Q2754" i="1"/>
  <c r="R2754" i="1"/>
  <c r="S2754" i="1"/>
  <c r="T2754" i="1"/>
  <c r="U2754" i="1"/>
  <c r="V2754" i="1"/>
  <c r="W2754" i="1"/>
  <c r="X2754" i="1"/>
  <c r="Y2754" i="1"/>
  <c r="Z2754" i="1"/>
  <c r="A2755" i="1"/>
  <c r="B2755" i="1"/>
  <c r="C2755" i="1"/>
  <c r="D2755" i="1"/>
  <c r="E2755" i="1"/>
  <c r="F2755" i="1"/>
  <c r="G2755" i="1"/>
  <c r="I2755" i="1"/>
  <c r="J2755" i="1"/>
  <c r="K2755" i="1"/>
  <c r="L2755" i="1"/>
  <c r="M2755" i="1"/>
  <c r="N2755" i="1"/>
  <c r="O2755" i="1"/>
  <c r="P2755" i="1"/>
  <c r="Q2755" i="1"/>
  <c r="R2755" i="1"/>
  <c r="S2755" i="1"/>
  <c r="T2755" i="1"/>
  <c r="U2755" i="1"/>
  <c r="V2755" i="1"/>
  <c r="W2755" i="1"/>
  <c r="X2755" i="1"/>
  <c r="Y2755" i="1"/>
  <c r="Z2755" i="1"/>
  <c r="A2756" i="1"/>
  <c r="B2756" i="1"/>
  <c r="C2756" i="1"/>
  <c r="D2756" i="1"/>
  <c r="E2756" i="1"/>
  <c r="F2756" i="1"/>
  <c r="G2756" i="1"/>
  <c r="I2756" i="1"/>
  <c r="J2756" i="1"/>
  <c r="K2756" i="1"/>
  <c r="L2756" i="1"/>
  <c r="M2756" i="1"/>
  <c r="N2756" i="1"/>
  <c r="O2756" i="1"/>
  <c r="P2756" i="1"/>
  <c r="Q2756" i="1"/>
  <c r="R2756" i="1"/>
  <c r="S2756" i="1"/>
  <c r="T2756" i="1"/>
  <c r="U2756" i="1"/>
  <c r="V2756" i="1"/>
  <c r="W2756" i="1"/>
  <c r="X2756" i="1"/>
  <c r="Y2756" i="1"/>
  <c r="Z2756" i="1"/>
  <c r="A2757" i="1"/>
  <c r="B2757" i="1"/>
  <c r="C2757" i="1"/>
  <c r="D2757" i="1"/>
  <c r="E2757" i="1"/>
  <c r="F2757" i="1"/>
  <c r="G2757" i="1"/>
  <c r="I2757" i="1"/>
  <c r="J2757" i="1"/>
  <c r="K2757" i="1"/>
  <c r="L2757" i="1"/>
  <c r="M2757" i="1"/>
  <c r="N2757" i="1"/>
  <c r="O2757" i="1"/>
  <c r="P2757" i="1"/>
  <c r="Q2757" i="1"/>
  <c r="R2757" i="1"/>
  <c r="S2757" i="1"/>
  <c r="T2757" i="1"/>
  <c r="U2757" i="1"/>
  <c r="V2757" i="1"/>
  <c r="W2757" i="1"/>
  <c r="X2757" i="1"/>
  <c r="Y2757" i="1"/>
  <c r="Z2757" i="1"/>
  <c r="A2758" i="1"/>
  <c r="B2758" i="1"/>
  <c r="C2758" i="1"/>
  <c r="D2758" i="1"/>
  <c r="E2758" i="1"/>
  <c r="F2758" i="1"/>
  <c r="G2758" i="1"/>
  <c r="I2758" i="1"/>
  <c r="J2758" i="1"/>
  <c r="K2758" i="1"/>
  <c r="L2758" i="1"/>
  <c r="M2758" i="1"/>
  <c r="N2758" i="1"/>
  <c r="O2758" i="1"/>
  <c r="P2758" i="1"/>
  <c r="Q2758" i="1"/>
  <c r="R2758" i="1"/>
  <c r="S2758" i="1"/>
  <c r="T2758" i="1"/>
  <c r="U2758" i="1"/>
  <c r="V2758" i="1"/>
  <c r="W2758" i="1"/>
  <c r="X2758" i="1"/>
  <c r="Y2758" i="1"/>
  <c r="Z2758" i="1"/>
  <c r="A2759" i="1"/>
  <c r="B2759" i="1"/>
  <c r="C2759" i="1"/>
  <c r="D2759" i="1"/>
  <c r="E2759" i="1"/>
  <c r="F2759" i="1"/>
  <c r="G2759" i="1"/>
  <c r="I2759" i="1"/>
  <c r="J2759" i="1"/>
  <c r="K2759" i="1"/>
  <c r="L2759" i="1"/>
  <c r="M2759" i="1"/>
  <c r="N2759" i="1"/>
  <c r="O2759" i="1"/>
  <c r="P2759" i="1"/>
  <c r="Q2759" i="1"/>
  <c r="R2759" i="1"/>
  <c r="S2759" i="1"/>
  <c r="T2759" i="1"/>
  <c r="U2759" i="1"/>
  <c r="V2759" i="1"/>
  <c r="W2759" i="1"/>
  <c r="X2759" i="1"/>
  <c r="Y2759" i="1"/>
  <c r="Z2759" i="1"/>
  <c r="A2760" i="1"/>
  <c r="B2760" i="1"/>
  <c r="C2760" i="1"/>
  <c r="D2760" i="1"/>
  <c r="E2760" i="1"/>
  <c r="F2760" i="1"/>
  <c r="G2760" i="1"/>
  <c r="I2760" i="1"/>
  <c r="J2760" i="1"/>
  <c r="K2760" i="1"/>
  <c r="L2760" i="1"/>
  <c r="M2760" i="1"/>
  <c r="N2760" i="1"/>
  <c r="O2760" i="1"/>
  <c r="P2760" i="1"/>
  <c r="Q2760" i="1"/>
  <c r="R2760" i="1"/>
  <c r="S2760" i="1"/>
  <c r="T2760" i="1"/>
  <c r="U2760" i="1"/>
  <c r="V2760" i="1"/>
  <c r="W2760" i="1"/>
  <c r="X2760" i="1"/>
  <c r="Y2760" i="1"/>
  <c r="Z2760" i="1"/>
  <c r="A2761" i="1"/>
  <c r="B2761" i="1"/>
  <c r="C2761" i="1"/>
  <c r="D2761" i="1"/>
  <c r="E2761" i="1"/>
  <c r="F2761" i="1"/>
  <c r="G2761" i="1"/>
  <c r="I2761" i="1"/>
  <c r="J2761" i="1"/>
  <c r="K2761" i="1"/>
  <c r="L2761" i="1"/>
  <c r="M2761" i="1"/>
  <c r="N2761" i="1"/>
  <c r="O2761" i="1"/>
  <c r="P2761" i="1"/>
  <c r="Q2761" i="1"/>
  <c r="R2761" i="1"/>
  <c r="S2761" i="1"/>
  <c r="T2761" i="1"/>
  <c r="U2761" i="1"/>
  <c r="V2761" i="1"/>
  <c r="W2761" i="1"/>
  <c r="X2761" i="1"/>
  <c r="Y2761" i="1"/>
  <c r="Z2761" i="1"/>
  <c r="A2762" i="1"/>
  <c r="B2762" i="1"/>
  <c r="C2762" i="1"/>
  <c r="D2762" i="1"/>
  <c r="E2762" i="1"/>
  <c r="F2762" i="1"/>
  <c r="G2762" i="1"/>
  <c r="I2762" i="1"/>
  <c r="J2762" i="1"/>
  <c r="K2762" i="1"/>
  <c r="L2762" i="1"/>
  <c r="M2762" i="1"/>
  <c r="N2762" i="1"/>
  <c r="O2762" i="1"/>
  <c r="P2762" i="1"/>
  <c r="Q2762" i="1"/>
  <c r="R2762" i="1"/>
  <c r="S2762" i="1"/>
  <c r="T2762" i="1"/>
  <c r="U2762" i="1"/>
  <c r="V2762" i="1"/>
  <c r="W2762" i="1"/>
  <c r="X2762" i="1"/>
  <c r="Y2762" i="1"/>
  <c r="Z2762" i="1"/>
  <c r="A2763" i="1"/>
  <c r="B2763" i="1"/>
  <c r="C2763" i="1"/>
  <c r="D2763" i="1"/>
  <c r="E2763" i="1"/>
  <c r="F2763" i="1"/>
  <c r="G2763" i="1"/>
  <c r="I2763" i="1"/>
  <c r="J2763" i="1"/>
  <c r="K2763" i="1"/>
  <c r="L2763" i="1"/>
  <c r="M2763" i="1"/>
  <c r="N2763" i="1"/>
  <c r="O2763" i="1"/>
  <c r="P2763" i="1"/>
  <c r="Q2763" i="1"/>
  <c r="R2763" i="1"/>
  <c r="S2763" i="1"/>
  <c r="T2763" i="1"/>
  <c r="U2763" i="1"/>
  <c r="V2763" i="1"/>
  <c r="W2763" i="1"/>
  <c r="X2763" i="1"/>
  <c r="Y2763" i="1"/>
  <c r="Z2763" i="1"/>
  <c r="A2764" i="1"/>
  <c r="B2764" i="1"/>
  <c r="C2764" i="1"/>
  <c r="D2764" i="1"/>
  <c r="E2764" i="1"/>
  <c r="F2764" i="1"/>
  <c r="G2764" i="1"/>
  <c r="I2764" i="1"/>
  <c r="J2764" i="1"/>
  <c r="K2764" i="1"/>
  <c r="L2764" i="1"/>
  <c r="M2764" i="1"/>
  <c r="N2764" i="1"/>
  <c r="O2764" i="1"/>
  <c r="P2764" i="1"/>
  <c r="Q2764" i="1"/>
  <c r="R2764" i="1"/>
  <c r="S2764" i="1"/>
  <c r="T2764" i="1"/>
  <c r="U2764" i="1"/>
  <c r="V2764" i="1"/>
  <c r="W2764" i="1"/>
  <c r="X2764" i="1"/>
  <c r="Y2764" i="1"/>
  <c r="Z2764" i="1"/>
  <c r="A2765" i="1"/>
  <c r="B2765" i="1"/>
  <c r="C2765" i="1"/>
  <c r="D2765" i="1"/>
  <c r="E2765" i="1"/>
  <c r="F2765" i="1"/>
  <c r="G2765" i="1"/>
  <c r="I2765" i="1"/>
  <c r="J2765" i="1"/>
  <c r="K2765" i="1"/>
  <c r="L2765" i="1"/>
  <c r="M2765" i="1"/>
  <c r="N2765" i="1"/>
  <c r="O2765" i="1"/>
  <c r="P2765" i="1"/>
  <c r="Q2765" i="1"/>
  <c r="R2765" i="1"/>
  <c r="S2765" i="1"/>
  <c r="T2765" i="1"/>
  <c r="U2765" i="1"/>
  <c r="V2765" i="1"/>
  <c r="W2765" i="1"/>
  <c r="X2765" i="1"/>
  <c r="Y2765" i="1"/>
  <c r="Z2765" i="1"/>
  <c r="A2766" i="1"/>
  <c r="B2766" i="1"/>
  <c r="C2766" i="1"/>
  <c r="D2766" i="1"/>
  <c r="E2766" i="1"/>
  <c r="F2766" i="1"/>
  <c r="G2766" i="1"/>
  <c r="I2766" i="1"/>
  <c r="J2766" i="1"/>
  <c r="K2766" i="1"/>
  <c r="L2766" i="1"/>
  <c r="M2766" i="1"/>
  <c r="N2766" i="1"/>
  <c r="O2766" i="1"/>
  <c r="P2766" i="1"/>
  <c r="Q2766" i="1"/>
  <c r="R2766" i="1"/>
  <c r="S2766" i="1"/>
  <c r="T2766" i="1"/>
  <c r="U2766" i="1"/>
  <c r="V2766" i="1"/>
  <c r="W2766" i="1"/>
  <c r="X2766" i="1"/>
  <c r="Y2766" i="1"/>
  <c r="Z2766" i="1"/>
  <c r="A2767" i="1"/>
  <c r="B2767" i="1"/>
  <c r="C2767" i="1"/>
  <c r="D2767" i="1"/>
  <c r="E2767" i="1"/>
  <c r="F2767" i="1"/>
  <c r="G2767" i="1"/>
  <c r="I2767" i="1"/>
  <c r="J2767" i="1"/>
  <c r="K2767" i="1"/>
  <c r="L2767" i="1"/>
  <c r="M2767" i="1"/>
  <c r="N2767" i="1"/>
  <c r="O2767" i="1"/>
  <c r="P2767" i="1"/>
  <c r="Q2767" i="1"/>
  <c r="R2767" i="1"/>
  <c r="S2767" i="1"/>
  <c r="T2767" i="1"/>
  <c r="U2767" i="1"/>
  <c r="V2767" i="1"/>
  <c r="W2767" i="1"/>
  <c r="X2767" i="1"/>
  <c r="Y2767" i="1"/>
  <c r="Z2767" i="1"/>
  <c r="A2768" i="1"/>
  <c r="B2768" i="1"/>
  <c r="C2768" i="1"/>
  <c r="D2768" i="1"/>
  <c r="E2768" i="1"/>
  <c r="F2768" i="1"/>
  <c r="G2768" i="1"/>
  <c r="I2768" i="1"/>
  <c r="J2768" i="1"/>
  <c r="K2768" i="1"/>
  <c r="L2768" i="1"/>
  <c r="M2768" i="1"/>
  <c r="N2768" i="1"/>
  <c r="O2768" i="1"/>
  <c r="P2768" i="1"/>
  <c r="Q2768" i="1"/>
  <c r="R2768" i="1"/>
  <c r="S2768" i="1"/>
  <c r="T2768" i="1"/>
  <c r="U2768" i="1"/>
  <c r="V2768" i="1"/>
  <c r="W2768" i="1"/>
  <c r="X2768" i="1"/>
  <c r="Y2768" i="1"/>
  <c r="Z2768" i="1"/>
  <c r="A2769" i="1"/>
  <c r="B2769" i="1"/>
  <c r="C2769" i="1"/>
  <c r="D2769" i="1"/>
  <c r="E2769" i="1"/>
  <c r="F2769" i="1"/>
  <c r="G2769" i="1"/>
  <c r="I2769" i="1"/>
  <c r="J2769" i="1"/>
  <c r="K2769" i="1"/>
  <c r="L2769" i="1"/>
  <c r="M2769" i="1"/>
  <c r="N2769" i="1"/>
  <c r="O2769" i="1"/>
  <c r="P2769" i="1"/>
  <c r="Q2769" i="1"/>
  <c r="R2769" i="1"/>
  <c r="S2769" i="1"/>
  <c r="T2769" i="1"/>
  <c r="U2769" i="1"/>
  <c r="V2769" i="1"/>
  <c r="W2769" i="1"/>
  <c r="X2769" i="1"/>
  <c r="Y2769" i="1"/>
  <c r="Z2769" i="1"/>
  <c r="A2770" i="1"/>
  <c r="B2770" i="1"/>
  <c r="C2770" i="1"/>
  <c r="D2770" i="1"/>
  <c r="E2770" i="1"/>
  <c r="F2770" i="1"/>
  <c r="G2770" i="1"/>
  <c r="I2770" i="1"/>
  <c r="J2770" i="1"/>
  <c r="K2770" i="1"/>
  <c r="L2770" i="1"/>
  <c r="M2770" i="1"/>
  <c r="N2770" i="1"/>
  <c r="O2770" i="1"/>
  <c r="P2770" i="1"/>
  <c r="Q2770" i="1"/>
  <c r="R2770" i="1"/>
  <c r="S2770" i="1"/>
  <c r="T2770" i="1"/>
  <c r="U2770" i="1"/>
  <c r="V2770" i="1"/>
  <c r="W2770" i="1"/>
  <c r="X2770" i="1"/>
  <c r="Y2770" i="1"/>
  <c r="Z2770" i="1"/>
  <c r="A2771" i="1"/>
  <c r="B2771" i="1"/>
  <c r="C2771" i="1"/>
  <c r="D2771" i="1"/>
  <c r="E2771" i="1"/>
  <c r="F2771" i="1"/>
  <c r="G2771" i="1"/>
  <c r="I2771" i="1"/>
  <c r="J2771" i="1"/>
  <c r="K2771" i="1"/>
  <c r="L2771" i="1"/>
  <c r="M2771" i="1"/>
  <c r="N2771" i="1"/>
  <c r="O2771" i="1"/>
  <c r="P2771" i="1"/>
  <c r="Q2771" i="1"/>
  <c r="R2771" i="1"/>
  <c r="S2771" i="1"/>
  <c r="T2771" i="1"/>
  <c r="U2771" i="1"/>
  <c r="V2771" i="1"/>
  <c r="W2771" i="1"/>
  <c r="X2771" i="1"/>
  <c r="Y2771" i="1"/>
  <c r="Z2771" i="1"/>
  <c r="A2772" i="1"/>
  <c r="B2772" i="1"/>
  <c r="C2772" i="1"/>
  <c r="D2772" i="1"/>
  <c r="E2772" i="1"/>
  <c r="F2772" i="1"/>
  <c r="G2772" i="1"/>
  <c r="I2772" i="1"/>
  <c r="J2772" i="1"/>
  <c r="K2772" i="1"/>
  <c r="L2772" i="1"/>
  <c r="M2772" i="1"/>
  <c r="N2772" i="1"/>
  <c r="O2772" i="1"/>
  <c r="P2772" i="1"/>
  <c r="Q2772" i="1"/>
  <c r="R2772" i="1"/>
  <c r="S2772" i="1"/>
  <c r="T2772" i="1"/>
  <c r="U2772" i="1"/>
  <c r="V2772" i="1"/>
  <c r="W2772" i="1"/>
  <c r="X2772" i="1"/>
  <c r="Y2772" i="1"/>
  <c r="Z2772" i="1"/>
  <c r="A2773" i="1"/>
  <c r="B2773" i="1"/>
  <c r="C2773" i="1"/>
  <c r="D2773" i="1"/>
  <c r="E2773" i="1"/>
  <c r="F2773" i="1"/>
  <c r="G2773" i="1"/>
  <c r="I2773" i="1"/>
  <c r="J2773" i="1"/>
  <c r="K2773" i="1"/>
  <c r="L2773" i="1"/>
  <c r="M2773" i="1"/>
  <c r="N2773" i="1"/>
  <c r="O2773" i="1"/>
  <c r="P2773" i="1"/>
  <c r="Q2773" i="1"/>
  <c r="R2773" i="1"/>
  <c r="S2773" i="1"/>
  <c r="T2773" i="1"/>
  <c r="U2773" i="1"/>
  <c r="V2773" i="1"/>
  <c r="W2773" i="1"/>
  <c r="X2773" i="1"/>
  <c r="Y2773" i="1"/>
  <c r="Z2773" i="1"/>
  <c r="A2774" i="1"/>
  <c r="B2774" i="1"/>
  <c r="C2774" i="1"/>
  <c r="D2774" i="1"/>
  <c r="E2774" i="1"/>
  <c r="F2774" i="1"/>
  <c r="G2774" i="1"/>
  <c r="I2774" i="1"/>
  <c r="J2774" i="1"/>
  <c r="K2774" i="1"/>
  <c r="L2774" i="1"/>
  <c r="M2774" i="1"/>
  <c r="N2774" i="1"/>
  <c r="O2774" i="1"/>
  <c r="P2774" i="1"/>
  <c r="Q2774" i="1"/>
  <c r="R2774" i="1"/>
  <c r="S2774" i="1"/>
  <c r="T2774" i="1"/>
  <c r="U2774" i="1"/>
  <c r="V2774" i="1"/>
  <c r="W2774" i="1"/>
  <c r="X2774" i="1"/>
  <c r="Y2774" i="1"/>
  <c r="Z2774" i="1"/>
  <c r="A2775" i="1"/>
  <c r="B2775" i="1"/>
  <c r="C2775" i="1"/>
  <c r="D2775" i="1"/>
  <c r="E2775" i="1"/>
  <c r="F2775" i="1"/>
  <c r="G2775" i="1"/>
  <c r="I2775" i="1"/>
  <c r="J2775" i="1"/>
  <c r="K2775" i="1"/>
  <c r="L2775" i="1"/>
  <c r="M2775" i="1"/>
  <c r="N2775" i="1"/>
  <c r="O2775" i="1"/>
  <c r="P2775" i="1"/>
  <c r="Q2775" i="1"/>
  <c r="R2775" i="1"/>
  <c r="S2775" i="1"/>
  <c r="T2775" i="1"/>
  <c r="U2775" i="1"/>
  <c r="V2775" i="1"/>
  <c r="W2775" i="1"/>
  <c r="X2775" i="1"/>
  <c r="Y2775" i="1"/>
  <c r="Z2775" i="1"/>
  <c r="A2776" i="1"/>
  <c r="B2776" i="1"/>
  <c r="C2776" i="1"/>
  <c r="D2776" i="1"/>
  <c r="E2776" i="1"/>
  <c r="F2776" i="1"/>
  <c r="G2776" i="1"/>
  <c r="I2776" i="1"/>
  <c r="J2776" i="1"/>
  <c r="K2776" i="1"/>
  <c r="L2776" i="1"/>
  <c r="M2776" i="1"/>
  <c r="N2776" i="1"/>
  <c r="O2776" i="1"/>
  <c r="P2776" i="1"/>
  <c r="Q2776" i="1"/>
  <c r="R2776" i="1"/>
  <c r="S2776" i="1"/>
  <c r="T2776" i="1"/>
  <c r="U2776" i="1"/>
  <c r="V2776" i="1"/>
  <c r="W2776" i="1"/>
  <c r="X2776" i="1"/>
  <c r="Y2776" i="1"/>
  <c r="Z2776" i="1"/>
  <c r="A2777" i="1"/>
  <c r="B2777" i="1"/>
  <c r="C2777" i="1"/>
  <c r="D2777" i="1"/>
  <c r="E2777" i="1"/>
  <c r="F2777" i="1"/>
  <c r="G2777" i="1"/>
  <c r="I2777" i="1"/>
  <c r="J2777" i="1"/>
  <c r="K2777" i="1"/>
  <c r="L2777" i="1"/>
  <c r="M2777" i="1"/>
  <c r="N2777" i="1"/>
  <c r="O2777" i="1"/>
  <c r="P2777" i="1"/>
  <c r="Q2777" i="1"/>
  <c r="R2777" i="1"/>
  <c r="S2777" i="1"/>
  <c r="T2777" i="1"/>
  <c r="U2777" i="1"/>
  <c r="V2777" i="1"/>
  <c r="W2777" i="1"/>
  <c r="X2777" i="1"/>
  <c r="Y2777" i="1"/>
  <c r="Z2777" i="1"/>
  <c r="A2778" i="1"/>
  <c r="B2778" i="1"/>
  <c r="C2778" i="1"/>
  <c r="D2778" i="1"/>
  <c r="E2778" i="1"/>
  <c r="F2778" i="1"/>
  <c r="G2778" i="1"/>
  <c r="I2778" i="1"/>
  <c r="J2778" i="1"/>
  <c r="K2778" i="1"/>
  <c r="L2778" i="1"/>
  <c r="M2778" i="1"/>
  <c r="N2778" i="1"/>
  <c r="O2778" i="1"/>
  <c r="P2778" i="1"/>
  <c r="Q2778" i="1"/>
  <c r="R2778" i="1"/>
  <c r="S2778" i="1"/>
  <c r="T2778" i="1"/>
  <c r="U2778" i="1"/>
  <c r="V2778" i="1"/>
  <c r="W2778" i="1"/>
  <c r="X2778" i="1"/>
  <c r="Y2778" i="1"/>
  <c r="Z2778" i="1"/>
  <c r="A2779" i="1"/>
  <c r="B2779" i="1"/>
  <c r="C2779" i="1"/>
  <c r="D2779" i="1"/>
  <c r="E2779" i="1"/>
  <c r="F2779" i="1"/>
  <c r="G2779" i="1"/>
  <c r="I2779" i="1"/>
  <c r="J2779" i="1"/>
  <c r="K2779" i="1"/>
  <c r="L2779" i="1"/>
  <c r="M2779" i="1"/>
  <c r="N2779" i="1"/>
  <c r="O2779" i="1"/>
  <c r="P2779" i="1"/>
  <c r="Q2779" i="1"/>
  <c r="R2779" i="1"/>
  <c r="S2779" i="1"/>
  <c r="T2779" i="1"/>
  <c r="U2779" i="1"/>
  <c r="V2779" i="1"/>
  <c r="W2779" i="1"/>
  <c r="X2779" i="1"/>
  <c r="Y2779" i="1"/>
  <c r="Z2779" i="1"/>
  <c r="A2780" i="1"/>
  <c r="B2780" i="1"/>
  <c r="C2780" i="1"/>
  <c r="D2780" i="1"/>
  <c r="E2780" i="1"/>
  <c r="F2780" i="1"/>
  <c r="G2780" i="1"/>
  <c r="I2780" i="1"/>
  <c r="J2780" i="1"/>
  <c r="K2780" i="1"/>
  <c r="L2780" i="1"/>
  <c r="M2780" i="1"/>
  <c r="N2780" i="1"/>
  <c r="O2780" i="1"/>
  <c r="P2780" i="1"/>
  <c r="Q2780" i="1"/>
  <c r="R2780" i="1"/>
  <c r="S2780" i="1"/>
  <c r="T2780" i="1"/>
  <c r="U2780" i="1"/>
  <c r="V2780" i="1"/>
  <c r="W2780" i="1"/>
  <c r="X2780" i="1"/>
  <c r="Y2780" i="1"/>
  <c r="Z2780" i="1"/>
  <c r="A2781" i="1"/>
  <c r="B2781" i="1"/>
  <c r="C2781" i="1"/>
  <c r="D2781" i="1"/>
  <c r="E2781" i="1"/>
  <c r="F2781" i="1"/>
  <c r="G2781" i="1"/>
  <c r="I2781" i="1"/>
  <c r="J2781" i="1"/>
  <c r="K2781" i="1"/>
  <c r="L2781" i="1"/>
  <c r="M2781" i="1"/>
  <c r="N2781" i="1"/>
  <c r="O2781" i="1"/>
  <c r="P2781" i="1"/>
  <c r="Q2781" i="1"/>
  <c r="R2781" i="1"/>
  <c r="S2781" i="1"/>
  <c r="T2781" i="1"/>
  <c r="U2781" i="1"/>
  <c r="V2781" i="1"/>
  <c r="W2781" i="1"/>
  <c r="X2781" i="1"/>
  <c r="Y2781" i="1"/>
  <c r="Z2781" i="1"/>
  <c r="A2782" i="1"/>
  <c r="B2782" i="1"/>
  <c r="C2782" i="1"/>
  <c r="D2782" i="1"/>
  <c r="E2782" i="1"/>
  <c r="F2782" i="1"/>
  <c r="G2782" i="1"/>
  <c r="I2782" i="1"/>
  <c r="J2782" i="1"/>
  <c r="K2782" i="1"/>
  <c r="L2782" i="1"/>
  <c r="M2782" i="1"/>
  <c r="N2782" i="1"/>
  <c r="O2782" i="1"/>
  <c r="P2782" i="1"/>
  <c r="Q2782" i="1"/>
  <c r="R2782" i="1"/>
  <c r="S2782" i="1"/>
  <c r="T2782" i="1"/>
  <c r="U2782" i="1"/>
  <c r="V2782" i="1"/>
  <c r="W2782" i="1"/>
  <c r="X2782" i="1"/>
  <c r="Y2782" i="1"/>
  <c r="Z2782" i="1"/>
  <c r="A2783" i="1"/>
  <c r="B2783" i="1"/>
  <c r="C2783" i="1"/>
  <c r="D2783" i="1"/>
  <c r="E2783" i="1"/>
  <c r="F2783" i="1"/>
  <c r="G2783" i="1"/>
  <c r="I2783" i="1"/>
  <c r="J2783" i="1"/>
  <c r="K2783" i="1"/>
  <c r="L2783" i="1"/>
  <c r="M2783" i="1"/>
  <c r="N2783" i="1"/>
  <c r="O2783" i="1"/>
  <c r="P2783" i="1"/>
  <c r="Q2783" i="1"/>
  <c r="R2783" i="1"/>
  <c r="S2783" i="1"/>
  <c r="T2783" i="1"/>
  <c r="U2783" i="1"/>
  <c r="V2783" i="1"/>
  <c r="W2783" i="1"/>
  <c r="X2783" i="1"/>
  <c r="Y2783" i="1"/>
  <c r="Z2783" i="1"/>
  <c r="A2784" i="1"/>
  <c r="B2784" i="1"/>
  <c r="C2784" i="1"/>
  <c r="D2784" i="1"/>
  <c r="E2784" i="1"/>
  <c r="F2784" i="1"/>
  <c r="G2784" i="1"/>
  <c r="I2784" i="1"/>
  <c r="J2784" i="1"/>
  <c r="K2784" i="1"/>
  <c r="L2784" i="1"/>
  <c r="M2784" i="1"/>
  <c r="N2784" i="1"/>
  <c r="O2784" i="1"/>
  <c r="P2784" i="1"/>
  <c r="Q2784" i="1"/>
  <c r="R2784" i="1"/>
  <c r="S2784" i="1"/>
  <c r="T2784" i="1"/>
  <c r="U2784" i="1"/>
  <c r="V2784" i="1"/>
  <c r="W2784" i="1"/>
  <c r="X2784" i="1"/>
  <c r="Y2784" i="1"/>
  <c r="Z2784" i="1"/>
  <c r="A2785" i="1"/>
  <c r="B2785" i="1"/>
  <c r="C2785" i="1"/>
  <c r="D2785" i="1"/>
  <c r="E2785" i="1"/>
  <c r="F2785" i="1"/>
  <c r="G2785" i="1"/>
  <c r="I2785" i="1"/>
  <c r="J2785" i="1"/>
  <c r="K2785" i="1"/>
  <c r="L2785" i="1"/>
  <c r="M2785" i="1"/>
  <c r="N2785" i="1"/>
  <c r="O2785" i="1"/>
  <c r="P2785" i="1"/>
  <c r="Q2785" i="1"/>
  <c r="R2785" i="1"/>
  <c r="S2785" i="1"/>
  <c r="T2785" i="1"/>
  <c r="U2785" i="1"/>
  <c r="V2785" i="1"/>
  <c r="W2785" i="1"/>
  <c r="X2785" i="1"/>
  <c r="Y2785" i="1"/>
  <c r="Z2785" i="1"/>
  <c r="A2786" i="1"/>
  <c r="B2786" i="1"/>
  <c r="C2786" i="1"/>
  <c r="D2786" i="1"/>
  <c r="E2786" i="1"/>
  <c r="F2786" i="1"/>
  <c r="G2786" i="1"/>
  <c r="I2786" i="1"/>
  <c r="J2786" i="1"/>
  <c r="K2786" i="1"/>
  <c r="L2786" i="1"/>
  <c r="M2786" i="1"/>
  <c r="N2786" i="1"/>
  <c r="O2786" i="1"/>
  <c r="P2786" i="1"/>
  <c r="Q2786" i="1"/>
  <c r="R2786" i="1"/>
  <c r="S2786" i="1"/>
  <c r="T2786" i="1"/>
  <c r="U2786" i="1"/>
  <c r="V2786" i="1"/>
  <c r="W2786" i="1"/>
  <c r="X2786" i="1"/>
  <c r="Y2786" i="1"/>
  <c r="Z2786" i="1"/>
  <c r="A2787" i="1"/>
  <c r="B2787" i="1"/>
  <c r="C2787" i="1"/>
  <c r="D2787" i="1"/>
  <c r="E2787" i="1"/>
  <c r="F2787" i="1"/>
  <c r="G2787" i="1"/>
  <c r="I2787" i="1"/>
  <c r="J2787" i="1"/>
  <c r="K2787" i="1"/>
  <c r="L2787" i="1"/>
  <c r="M2787" i="1"/>
  <c r="N2787" i="1"/>
  <c r="O2787" i="1"/>
  <c r="P2787" i="1"/>
  <c r="Q2787" i="1"/>
  <c r="R2787" i="1"/>
  <c r="S2787" i="1"/>
  <c r="T2787" i="1"/>
  <c r="U2787" i="1"/>
  <c r="V2787" i="1"/>
  <c r="W2787" i="1"/>
  <c r="X2787" i="1"/>
  <c r="Y2787" i="1"/>
  <c r="Z2787" i="1"/>
  <c r="A2788" i="1"/>
  <c r="B2788" i="1"/>
  <c r="C2788" i="1"/>
  <c r="D2788" i="1"/>
  <c r="E2788" i="1"/>
  <c r="F2788" i="1"/>
  <c r="G2788" i="1"/>
  <c r="I2788" i="1"/>
  <c r="J2788" i="1"/>
  <c r="K2788" i="1"/>
  <c r="L2788" i="1"/>
  <c r="M2788" i="1"/>
  <c r="N2788" i="1"/>
  <c r="O2788" i="1"/>
  <c r="P2788" i="1"/>
  <c r="Q2788" i="1"/>
  <c r="R2788" i="1"/>
  <c r="S2788" i="1"/>
  <c r="T2788" i="1"/>
  <c r="U2788" i="1"/>
  <c r="V2788" i="1"/>
  <c r="W2788" i="1"/>
  <c r="X2788" i="1"/>
  <c r="Y2788" i="1"/>
  <c r="Z2788" i="1"/>
  <c r="A2789" i="1"/>
  <c r="B2789" i="1"/>
  <c r="C2789" i="1"/>
  <c r="D2789" i="1"/>
  <c r="E2789" i="1"/>
  <c r="F2789" i="1"/>
  <c r="G2789" i="1"/>
  <c r="I2789" i="1"/>
  <c r="J2789" i="1"/>
  <c r="K2789" i="1"/>
  <c r="L2789" i="1"/>
  <c r="M2789" i="1"/>
  <c r="N2789" i="1"/>
  <c r="O2789" i="1"/>
  <c r="P2789" i="1"/>
  <c r="Q2789" i="1"/>
  <c r="R2789" i="1"/>
  <c r="S2789" i="1"/>
  <c r="T2789" i="1"/>
  <c r="U2789" i="1"/>
  <c r="V2789" i="1"/>
  <c r="W2789" i="1"/>
  <c r="X2789" i="1"/>
  <c r="Y2789" i="1"/>
  <c r="Z2789" i="1"/>
  <c r="A2790" i="1"/>
  <c r="B2790" i="1"/>
  <c r="C2790" i="1"/>
  <c r="D2790" i="1"/>
  <c r="E2790" i="1"/>
  <c r="F2790" i="1"/>
  <c r="G2790" i="1"/>
  <c r="I2790" i="1"/>
  <c r="J2790" i="1"/>
  <c r="K2790" i="1"/>
  <c r="L2790" i="1"/>
  <c r="M2790" i="1"/>
  <c r="N2790" i="1"/>
  <c r="O2790" i="1"/>
  <c r="P2790" i="1"/>
  <c r="Q2790" i="1"/>
  <c r="R2790" i="1"/>
  <c r="S2790" i="1"/>
  <c r="T2790" i="1"/>
  <c r="U2790" i="1"/>
  <c r="V2790" i="1"/>
  <c r="W2790" i="1"/>
  <c r="X2790" i="1"/>
  <c r="Y2790" i="1"/>
  <c r="Z2790" i="1"/>
  <c r="A2791" i="1"/>
  <c r="B2791" i="1"/>
  <c r="C2791" i="1"/>
  <c r="D2791" i="1"/>
  <c r="E2791" i="1"/>
  <c r="F2791" i="1"/>
  <c r="G2791" i="1"/>
  <c r="I2791" i="1"/>
  <c r="J2791" i="1"/>
  <c r="K2791" i="1"/>
  <c r="L2791" i="1"/>
  <c r="M2791" i="1"/>
  <c r="N2791" i="1"/>
  <c r="O2791" i="1"/>
  <c r="P2791" i="1"/>
  <c r="Q2791" i="1"/>
  <c r="R2791" i="1"/>
  <c r="S2791" i="1"/>
  <c r="T2791" i="1"/>
  <c r="U2791" i="1"/>
  <c r="V2791" i="1"/>
  <c r="W2791" i="1"/>
  <c r="X2791" i="1"/>
  <c r="Y2791" i="1"/>
  <c r="Z2791" i="1"/>
  <c r="A2792" i="1"/>
  <c r="B2792" i="1"/>
  <c r="C2792" i="1"/>
  <c r="D2792" i="1"/>
  <c r="E2792" i="1"/>
  <c r="F2792" i="1"/>
  <c r="G2792" i="1"/>
  <c r="I2792" i="1"/>
  <c r="J2792" i="1"/>
  <c r="K2792" i="1"/>
  <c r="L2792" i="1"/>
  <c r="M2792" i="1"/>
  <c r="N2792" i="1"/>
  <c r="O2792" i="1"/>
  <c r="P2792" i="1"/>
  <c r="Q2792" i="1"/>
  <c r="R2792" i="1"/>
  <c r="S2792" i="1"/>
  <c r="T2792" i="1"/>
  <c r="U2792" i="1"/>
  <c r="V2792" i="1"/>
  <c r="W2792" i="1"/>
  <c r="X2792" i="1"/>
  <c r="Y2792" i="1"/>
  <c r="Z2792" i="1"/>
  <c r="A2793" i="1"/>
  <c r="B2793" i="1"/>
  <c r="C2793" i="1"/>
  <c r="D2793" i="1"/>
  <c r="E2793" i="1"/>
  <c r="F2793" i="1"/>
  <c r="G2793" i="1"/>
  <c r="I2793" i="1"/>
  <c r="J2793" i="1"/>
  <c r="K2793" i="1"/>
  <c r="L2793" i="1"/>
  <c r="M2793" i="1"/>
  <c r="N2793" i="1"/>
  <c r="O2793" i="1"/>
  <c r="P2793" i="1"/>
  <c r="Q2793" i="1"/>
  <c r="R2793" i="1"/>
  <c r="S2793" i="1"/>
  <c r="T2793" i="1"/>
  <c r="U2793" i="1"/>
  <c r="V2793" i="1"/>
  <c r="W2793" i="1"/>
  <c r="X2793" i="1"/>
  <c r="Y2793" i="1"/>
  <c r="Z2793" i="1"/>
  <c r="A2794" i="1"/>
  <c r="B2794" i="1"/>
  <c r="C2794" i="1"/>
  <c r="D2794" i="1"/>
  <c r="E2794" i="1"/>
  <c r="F2794" i="1"/>
  <c r="G2794" i="1"/>
  <c r="I2794" i="1"/>
  <c r="J2794" i="1"/>
  <c r="K2794" i="1"/>
  <c r="L2794" i="1"/>
  <c r="M2794" i="1"/>
  <c r="N2794" i="1"/>
  <c r="O2794" i="1"/>
  <c r="P2794" i="1"/>
  <c r="Q2794" i="1"/>
  <c r="R2794" i="1"/>
  <c r="S2794" i="1"/>
  <c r="T2794" i="1"/>
  <c r="U2794" i="1"/>
  <c r="V2794" i="1"/>
  <c r="W2794" i="1"/>
  <c r="X2794" i="1"/>
  <c r="Y2794" i="1"/>
  <c r="Z2794" i="1"/>
  <c r="A2795" i="1"/>
  <c r="B2795" i="1"/>
  <c r="C2795" i="1"/>
  <c r="D2795" i="1"/>
  <c r="E2795" i="1"/>
  <c r="F2795" i="1"/>
  <c r="G2795" i="1"/>
  <c r="I2795" i="1"/>
  <c r="J2795" i="1"/>
  <c r="K2795" i="1"/>
  <c r="L2795" i="1"/>
  <c r="M2795" i="1"/>
  <c r="N2795" i="1"/>
  <c r="O2795" i="1"/>
  <c r="P2795" i="1"/>
  <c r="Q2795" i="1"/>
  <c r="R2795" i="1"/>
  <c r="S2795" i="1"/>
  <c r="T2795" i="1"/>
  <c r="U2795" i="1"/>
  <c r="V2795" i="1"/>
  <c r="W2795" i="1"/>
  <c r="X2795" i="1"/>
  <c r="Y2795" i="1"/>
  <c r="Z2795" i="1"/>
  <c r="A2796" i="1"/>
  <c r="B2796" i="1"/>
  <c r="C2796" i="1"/>
  <c r="D2796" i="1"/>
  <c r="E2796" i="1"/>
  <c r="F2796" i="1"/>
  <c r="G2796" i="1"/>
  <c r="I2796" i="1"/>
  <c r="J2796" i="1"/>
  <c r="K2796" i="1"/>
  <c r="L2796" i="1"/>
  <c r="M2796" i="1"/>
  <c r="N2796" i="1"/>
  <c r="O2796" i="1"/>
  <c r="P2796" i="1"/>
  <c r="Q2796" i="1"/>
  <c r="R2796" i="1"/>
  <c r="S2796" i="1"/>
  <c r="T2796" i="1"/>
  <c r="U2796" i="1"/>
  <c r="V2796" i="1"/>
  <c r="W2796" i="1"/>
  <c r="X2796" i="1"/>
  <c r="Y2796" i="1"/>
  <c r="Z2796" i="1"/>
  <c r="A2797" i="1"/>
  <c r="B2797" i="1"/>
  <c r="C2797" i="1"/>
  <c r="D2797" i="1"/>
  <c r="E2797" i="1"/>
  <c r="F2797" i="1"/>
  <c r="G2797" i="1"/>
  <c r="I2797" i="1"/>
  <c r="J2797" i="1"/>
  <c r="K2797" i="1"/>
  <c r="L2797" i="1"/>
  <c r="M2797" i="1"/>
  <c r="N2797" i="1"/>
  <c r="O2797" i="1"/>
  <c r="P2797" i="1"/>
  <c r="Q2797" i="1"/>
  <c r="R2797" i="1"/>
  <c r="S2797" i="1"/>
  <c r="T2797" i="1"/>
  <c r="U2797" i="1"/>
  <c r="V2797" i="1"/>
  <c r="W2797" i="1"/>
  <c r="X2797" i="1"/>
  <c r="Y2797" i="1"/>
  <c r="Z2797" i="1"/>
  <c r="A2798" i="1"/>
  <c r="B2798" i="1"/>
  <c r="C2798" i="1"/>
  <c r="D2798" i="1"/>
  <c r="E2798" i="1"/>
  <c r="F2798" i="1"/>
  <c r="G2798" i="1"/>
  <c r="I2798" i="1"/>
  <c r="J2798" i="1"/>
  <c r="K2798" i="1"/>
  <c r="L2798" i="1"/>
  <c r="M2798" i="1"/>
  <c r="N2798" i="1"/>
  <c r="O2798" i="1"/>
  <c r="P2798" i="1"/>
  <c r="Q2798" i="1"/>
  <c r="R2798" i="1"/>
  <c r="S2798" i="1"/>
  <c r="T2798" i="1"/>
  <c r="U2798" i="1"/>
  <c r="V2798" i="1"/>
  <c r="W2798" i="1"/>
  <c r="X2798" i="1"/>
  <c r="Y2798" i="1"/>
  <c r="Z2798" i="1"/>
  <c r="A2799" i="1"/>
  <c r="B2799" i="1"/>
  <c r="C2799" i="1"/>
  <c r="D2799" i="1"/>
  <c r="E2799" i="1"/>
  <c r="F2799" i="1"/>
  <c r="G2799" i="1"/>
  <c r="I2799" i="1"/>
  <c r="J2799" i="1"/>
  <c r="K2799" i="1"/>
  <c r="L2799" i="1"/>
  <c r="M2799" i="1"/>
  <c r="N2799" i="1"/>
  <c r="O2799" i="1"/>
  <c r="P2799" i="1"/>
  <c r="Q2799" i="1"/>
  <c r="R2799" i="1"/>
  <c r="S2799" i="1"/>
  <c r="T2799" i="1"/>
  <c r="U2799" i="1"/>
  <c r="V2799" i="1"/>
  <c r="W2799" i="1"/>
  <c r="X2799" i="1"/>
  <c r="Y2799" i="1"/>
  <c r="Z2799" i="1"/>
  <c r="A2800" i="1"/>
  <c r="B2800" i="1"/>
  <c r="C2800" i="1"/>
  <c r="D2800" i="1"/>
  <c r="E2800" i="1"/>
  <c r="F2800" i="1"/>
  <c r="G2800" i="1"/>
  <c r="I2800" i="1"/>
  <c r="J2800" i="1"/>
  <c r="K2800" i="1"/>
  <c r="L2800" i="1"/>
  <c r="M2800" i="1"/>
  <c r="N2800" i="1"/>
  <c r="O2800" i="1"/>
  <c r="P2800" i="1"/>
  <c r="Q2800" i="1"/>
  <c r="R2800" i="1"/>
  <c r="S2800" i="1"/>
  <c r="T2800" i="1"/>
  <c r="U2800" i="1"/>
  <c r="V2800" i="1"/>
  <c r="W2800" i="1"/>
  <c r="X2800" i="1"/>
  <c r="Y2800" i="1"/>
  <c r="Z2800" i="1"/>
  <c r="A2801" i="1"/>
  <c r="B2801" i="1"/>
  <c r="C2801" i="1"/>
  <c r="D2801" i="1"/>
  <c r="E2801" i="1"/>
  <c r="F2801" i="1"/>
  <c r="G2801" i="1"/>
  <c r="I2801" i="1"/>
  <c r="J2801" i="1"/>
  <c r="K2801" i="1"/>
  <c r="L2801" i="1"/>
  <c r="M2801" i="1"/>
  <c r="N2801" i="1"/>
  <c r="O2801" i="1"/>
  <c r="P2801" i="1"/>
  <c r="Q2801" i="1"/>
  <c r="R2801" i="1"/>
  <c r="S2801" i="1"/>
  <c r="T2801" i="1"/>
  <c r="U2801" i="1"/>
  <c r="V2801" i="1"/>
  <c r="W2801" i="1"/>
  <c r="X2801" i="1"/>
  <c r="Y2801" i="1"/>
  <c r="Z2801" i="1"/>
  <c r="A2802" i="1"/>
  <c r="B2802" i="1"/>
  <c r="C2802" i="1"/>
  <c r="D2802" i="1"/>
  <c r="E2802" i="1"/>
  <c r="F2802" i="1"/>
  <c r="G2802" i="1"/>
  <c r="I2802" i="1"/>
  <c r="J2802" i="1"/>
  <c r="K2802" i="1"/>
  <c r="L2802" i="1"/>
  <c r="M2802" i="1"/>
  <c r="N2802" i="1"/>
  <c r="O2802" i="1"/>
  <c r="P2802" i="1"/>
  <c r="Q2802" i="1"/>
  <c r="R2802" i="1"/>
  <c r="S2802" i="1"/>
  <c r="T2802" i="1"/>
  <c r="U2802" i="1"/>
  <c r="V2802" i="1"/>
  <c r="W2802" i="1"/>
  <c r="X2802" i="1"/>
  <c r="Y2802" i="1"/>
  <c r="Z2802" i="1"/>
  <c r="A2803" i="1"/>
  <c r="B2803" i="1"/>
  <c r="C2803" i="1"/>
  <c r="D2803" i="1"/>
  <c r="E2803" i="1"/>
  <c r="F2803" i="1"/>
  <c r="G2803" i="1"/>
  <c r="I2803" i="1"/>
  <c r="J2803" i="1"/>
  <c r="K2803" i="1"/>
  <c r="L2803" i="1"/>
  <c r="M2803" i="1"/>
  <c r="N2803" i="1"/>
  <c r="O2803" i="1"/>
  <c r="P2803" i="1"/>
  <c r="Q2803" i="1"/>
  <c r="R2803" i="1"/>
  <c r="S2803" i="1"/>
  <c r="T2803" i="1"/>
  <c r="U2803" i="1"/>
  <c r="V2803" i="1"/>
  <c r="W2803" i="1"/>
  <c r="X2803" i="1"/>
  <c r="Y2803" i="1"/>
  <c r="Z2803" i="1"/>
  <c r="A2804" i="1"/>
  <c r="B2804" i="1"/>
  <c r="C2804" i="1"/>
  <c r="D2804" i="1"/>
  <c r="E2804" i="1"/>
  <c r="F2804" i="1"/>
  <c r="G2804" i="1"/>
  <c r="I2804" i="1"/>
  <c r="J2804" i="1"/>
  <c r="K2804" i="1"/>
  <c r="L2804" i="1"/>
  <c r="M2804" i="1"/>
  <c r="N2804" i="1"/>
  <c r="O2804" i="1"/>
  <c r="P2804" i="1"/>
  <c r="Q2804" i="1"/>
  <c r="R2804" i="1"/>
  <c r="S2804" i="1"/>
  <c r="T2804" i="1"/>
  <c r="U2804" i="1"/>
  <c r="V2804" i="1"/>
  <c r="W2804" i="1"/>
  <c r="X2804" i="1"/>
  <c r="Y2804" i="1"/>
  <c r="Z2804" i="1"/>
  <c r="A2805" i="1"/>
  <c r="B2805" i="1"/>
  <c r="C2805" i="1"/>
  <c r="D2805" i="1"/>
  <c r="E2805" i="1"/>
  <c r="F2805" i="1"/>
  <c r="G2805" i="1"/>
  <c r="I2805" i="1"/>
  <c r="J2805" i="1"/>
  <c r="K2805" i="1"/>
  <c r="L2805" i="1"/>
  <c r="M2805" i="1"/>
  <c r="N2805" i="1"/>
  <c r="O2805" i="1"/>
  <c r="P2805" i="1"/>
  <c r="Q2805" i="1"/>
  <c r="R2805" i="1"/>
  <c r="S2805" i="1"/>
  <c r="T2805" i="1"/>
  <c r="U2805" i="1"/>
  <c r="V2805" i="1"/>
  <c r="W2805" i="1"/>
  <c r="X2805" i="1"/>
  <c r="Y2805" i="1"/>
  <c r="Z2805" i="1"/>
  <c r="A2806" i="1"/>
  <c r="B2806" i="1"/>
  <c r="C2806" i="1"/>
  <c r="D2806" i="1"/>
  <c r="E2806" i="1"/>
  <c r="F2806" i="1"/>
  <c r="G2806" i="1"/>
  <c r="I2806" i="1"/>
  <c r="J2806" i="1"/>
  <c r="K2806" i="1"/>
  <c r="L2806" i="1"/>
  <c r="M2806" i="1"/>
  <c r="N2806" i="1"/>
  <c r="O2806" i="1"/>
  <c r="P2806" i="1"/>
  <c r="Q2806" i="1"/>
  <c r="R2806" i="1"/>
  <c r="S2806" i="1"/>
  <c r="T2806" i="1"/>
  <c r="U2806" i="1"/>
  <c r="V2806" i="1"/>
  <c r="W2806" i="1"/>
  <c r="X2806" i="1"/>
  <c r="Y2806" i="1"/>
  <c r="Z2806" i="1"/>
  <c r="A2807" i="1"/>
  <c r="B2807" i="1"/>
  <c r="C2807" i="1"/>
  <c r="D2807" i="1"/>
  <c r="E2807" i="1"/>
  <c r="F2807" i="1"/>
  <c r="G2807" i="1"/>
  <c r="I2807" i="1"/>
  <c r="J2807" i="1"/>
  <c r="K2807" i="1"/>
  <c r="L2807" i="1"/>
  <c r="M2807" i="1"/>
  <c r="N2807" i="1"/>
  <c r="O2807" i="1"/>
  <c r="P2807" i="1"/>
  <c r="Q2807" i="1"/>
  <c r="R2807" i="1"/>
  <c r="S2807" i="1"/>
  <c r="T2807" i="1"/>
  <c r="U2807" i="1"/>
  <c r="V2807" i="1"/>
  <c r="W2807" i="1"/>
  <c r="X2807" i="1"/>
  <c r="Y2807" i="1"/>
  <c r="Z2807" i="1"/>
  <c r="A2808" i="1"/>
  <c r="B2808" i="1"/>
  <c r="C2808" i="1"/>
  <c r="D2808" i="1"/>
  <c r="E2808" i="1"/>
  <c r="F2808" i="1"/>
  <c r="G2808" i="1"/>
  <c r="I2808" i="1"/>
  <c r="J2808" i="1"/>
  <c r="K2808" i="1"/>
  <c r="L2808" i="1"/>
  <c r="M2808" i="1"/>
  <c r="N2808" i="1"/>
  <c r="O2808" i="1"/>
  <c r="P2808" i="1"/>
  <c r="Q2808" i="1"/>
  <c r="R2808" i="1"/>
  <c r="S2808" i="1"/>
  <c r="T2808" i="1"/>
  <c r="U2808" i="1"/>
  <c r="V2808" i="1"/>
  <c r="W2808" i="1"/>
  <c r="X2808" i="1"/>
  <c r="Y2808" i="1"/>
  <c r="Z2808" i="1"/>
  <c r="A2809" i="1"/>
  <c r="B2809" i="1"/>
  <c r="C2809" i="1"/>
  <c r="D2809" i="1"/>
  <c r="E2809" i="1"/>
  <c r="F2809" i="1"/>
  <c r="G2809" i="1"/>
  <c r="I2809" i="1"/>
  <c r="J2809" i="1"/>
  <c r="K2809" i="1"/>
  <c r="L2809" i="1"/>
  <c r="M2809" i="1"/>
  <c r="N2809" i="1"/>
  <c r="O2809" i="1"/>
  <c r="P2809" i="1"/>
  <c r="Q2809" i="1"/>
  <c r="R2809" i="1"/>
  <c r="S2809" i="1"/>
  <c r="T2809" i="1"/>
  <c r="U2809" i="1"/>
  <c r="V2809" i="1"/>
  <c r="W2809" i="1"/>
  <c r="X2809" i="1"/>
  <c r="Y2809" i="1"/>
  <c r="Z2809" i="1"/>
  <c r="A2810" i="1"/>
  <c r="B2810" i="1"/>
  <c r="C2810" i="1"/>
  <c r="D2810" i="1"/>
  <c r="E2810" i="1"/>
  <c r="F2810" i="1"/>
  <c r="G2810" i="1"/>
  <c r="I2810" i="1"/>
  <c r="J2810" i="1"/>
  <c r="K2810" i="1"/>
  <c r="L2810" i="1"/>
  <c r="M2810" i="1"/>
  <c r="N2810" i="1"/>
  <c r="O2810" i="1"/>
  <c r="P2810" i="1"/>
  <c r="Q2810" i="1"/>
  <c r="R2810" i="1"/>
  <c r="S2810" i="1"/>
  <c r="T2810" i="1"/>
  <c r="U2810" i="1"/>
  <c r="V2810" i="1"/>
  <c r="W2810" i="1"/>
  <c r="X2810" i="1"/>
  <c r="Y2810" i="1"/>
  <c r="Z2810" i="1"/>
  <c r="A2811" i="1"/>
  <c r="B2811" i="1"/>
  <c r="C2811" i="1"/>
  <c r="D2811" i="1"/>
  <c r="E2811" i="1"/>
  <c r="F2811" i="1"/>
  <c r="G2811" i="1"/>
  <c r="I2811" i="1"/>
  <c r="J2811" i="1"/>
  <c r="K2811" i="1"/>
  <c r="L2811" i="1"/>
  <c r="M2811" i="1"/>
  <c r="N2811" i="1"/>
  <c r="O2811" i="1"/>
  <c r="P2811" i="1"/>
  <c r="Q2811" i="1"/>
  <c r="R2811" i="1"/>
  <c r="S2811" i="1"/>
  <c r="T2811" i="1"/>
  <c r="U2811" i="1"/>
  <c r="V2811" i="1"/>
  <c r="W2811" i="1"/>
  <c r="X2811" i="1"/>
  <c r="Y2811" i="1"/>
  <c r="Z2811" i="1"/>
  <c r="A2812" i="1"/>
  <c r="B2812" i="1"/>
  <c r="C2812" i="1"/>
  <c r="D2812" i="1"/>
  <c r="E2812" i="1"/>
  <c r="F2812" i="1"/>
  <c r="G2812" i="1"/>
  <c r="I2812" i="1"/>
  <c r="J2812" i="1"/>
  <c r="K2812" i="1"/>
  <c r="L2812" i="1"/>
  <c r="M2812" i="1"/>
  <c r="N2812" i="1"/>
  <c r="O2812" i="1"/>
  <c r="P2812" i="1"/>
  <c r="Q2812" i="1"/>
  <c r="R2812" i="1"/>
  <c r="S2812" i="1"/>
  <c r="T2812" i="1"/>
  <c r="U2812" i="1"/>
  <c r="V2812" i="1"/>
  <c r="W2812" i="1"/>
  <c r="X2812" i="1"/>
  <c r="Y2812" i="1"/>
  <c r="Z2812" i="1"/>
  <c r="A2813" i="1"/>
  <c r="B2813" i="1"/>
  <c r="C2813" i="1"/>
  <c r="D2813" i="1"/>
  <c r="E2813" i="1"/>
  <c r="F2813" i="1"/>
  <c r="G2813" i="1"/>
  <c r="I2813" i="1"/>
  <c r="J2813" i="1"/>
  <c r="K2813" i="1"/>
  <c r="L2813" i="1"/>
  <c r="M2813" i="1"/>
  <c r="N2813" i="1"/>
  <c r="O2813" i="1"/>
  <c r="P2813" i="1"/>
  <c r="Q2813" i="1"/>
  <c r="R2813" i="1"/>
  <c r="S2813" i="1"/>
  <c r="T2813" i="1"/>
  <c r="U2813" i="1"/>
  <c r="V2813" i="1"/>
  <c r="W2813" i="1"/>
  <c r="X2813" i="1"/>
  <c r="Y2813" i="1"/>
  <c r="Z2813" i="1"/>
  <c r="A2814" i="1"/>
  <c r="B2814" i="1"/>
  <c r="C2814" i="1"/>
  <c r="D2814" i="1"/>
  <c r="E2814" i="1"/>
  <c r="F2814" i="1"/>
  <c r="G2814" i="1"/>
  <c r="I2814" i="1"/>
  <c r="J2814" i="1"/>
  <c r="K2814" i="1"/>
  <c r="L2814" i="1"/>
  <c r="M2814" i="1"/>
  <c r="N2814" i="1"/>
  <c r="O2814" i="1"/>
  <c r="P2814" i="1"/>
  <c r="Q2814" i="1"/>
  <c r="R2814" i="1"/>
  <c r="S2814" i="1"/>
  <c r="T2814" i="1"/>
  <c r="U2814" i="1"/>
  <c r="V2814" i="1"/>
  <c r="W2814" i="1"/>
  <c r="X2814" i="1"/>
  <c r="Y2814" i="1"/>
  <c r="Z2814" i="1"/>
  <c r="A2815" i="1"/>
  <c r="B2815" i="1"/>
  <c r="C2815" i="1"/>
  <c r="D2815" i="1"/>
  <c r="E2815" i="1"/>
  <c r="F2815" i="1"/>
  <c r="G2815" i="1"/>
  <c r="I2815" i="1"/>
  <c r="J2815" i="1"/>
  <c r="K2815" i="1"/>
  <c r="L2815" i="1"/>
  <c r="M2815" i="1"/>
  <c r="N2815" i="1"/>
  <c r="O2815" i="1"/>
  <c r="P2815" i="1"/>
  <c r="Q2815" i="1"/>
  <c r="R2815" i="1"/>
  <c r="S2815" i="1"/>
  <c r="T2815" i="1"/>
  <c r="U2815" i="1"/>
  <c r="V2815" i="1"/>
  <c r="W2815" i="1"/>
  <c r="X2815" i="1"/>
  <c r="Y2815" i="1"/>
  <c r="Z2815" i="1"/>
  <c r="A2816" i="1"/>
  <c r="B2816" i="1"/>
  <c r="C2816" i="1"/>
  <c r="D2816" i="1"/>
  <c r="E2816" i="1"/>
  <c r="F2816" i="1"/>
  <c r="G2816" i="1"/>
  <c r="I2816" i="1"/>
  <c r="J2816" i="1"/>
  <c r="K2816" i="1"/>
  <c r="L2816" i="1"/>
  <c r="M2816" i="1"/>
  <c r="N2816" i="1"/>
  <c r="O2816" i="1"/>
  <c r="P2816" i="1"/>
  <c r="Q2816" i="1"/>
  <c r="R2816" i="1"/>
  <c r="S2816" i="1"/>
  <c r="T2816" i="1"/>
  <c r="U2816" i="1"/>
  <c r="V2816" i="1"/>
  <c r="W2816" i="1"/>
  <c r="X2816" i="1"/>
  <c r="Y2816" i="1"/>
  <c r="Z2816" i="1"/>
  <c r="A2817" i="1"/>
  <c r="B2817" i="1"/>
  <c r="C2817" i="1"/>
  <c r="D2817" i="1"/>
  <c r="E2817" i="1"/>
  <c r="F2817" i="1"/>
  <c r="G2817" i="1"/>
  <c r="I2817" i="1"/>
  <c r="J2817" i="1"/>
  <c r="K2817" i="1"/>
  <c r="L2817" i="1"/>
  <c r="M2817" i="1"/>
  <c r="N2817" i="1"/>
  <c r="O2817" i="1"/>
  <c r="P2817" i="1"/>
  <c r="Q2817" i="1"/>
  <c r="R2817" i="1"/>
  <c r="S2817" i="1"/>
  <c r="T2817" i="1"/>
  <c r="U2817" i="1"/>
  <c r="V2817" i="1"/>
  <c r="W2817" i="1"/>
  <c r="X2817" i="1"/>
  <c r="Y2817" i="1"/>
  <c r="Z2817" i="1"/>
  <c r="A2818" i="1"/>
  <c r="B2818" i="1"/>
  <c r="C2818" i="1"/>
  <c r="D2818" i="1"/>
  <c r="E2818" i="1"/>
  <c r="F2818" i="1"/>
  <c r="G2818" i="1"/>
  <c r="I2818" i="1"/>
  <c r="J2818" i="1"/>
  <c r="K2818" i="1"/>
  <c r="L2818" i="1"/>
  <c r="M2818" i="1"/>
  <c r="N2818" i="1"/>
  <c r="O2818" i="1"/>
  <c r="P2818" i="1"/>
  <c r="Q2818" i="1"/>
  <c r="R2818" i="1"/>
  <c r="S2818" i="1"/>
  <c r="T2818" i="1"/>
  <c r="U2818" i="1"/>
  <c r="V2818" i="1"/>
  <c r="W2818" i="1"/>
  <c r="X2818" i="1"/>
  <c r="Y2818" i="1"/>
  <c r="Z2818" i="1"/>
  <c r="A2819" i="1"/>
  <c r="B2819" i="1"/>
  <c r="C2819" i="1"/>
  <c r="D2819" i="1"/>
  <c r="E2819" i="1"/>
  <c r="F2819" i="1"/>
  <c r="G2819" i="1"/>
  <c r="I2819" i="1"/>
  <c r="J2819" i="1"/>
  <c r="K2819" i="1"/>
  <c r="L2819" i="1"/>
  <c r="M2819" i="1"/>
  <c r="N2819" i="1"/>
  <c r="O2819" i="1"/>
  <c r="P2819" i="1"/>
  <c r="Q2819" i="1"/>
  <c r="R2819" i="1"/>
  <c r="S2819" i="1"/>
  <c r="T2819" i="1"/>
  <c r="U2819" i="1"/>
  <c r="V2819" i="1"/>
  <c r="W2819" i="1"/>
  <c r="X2819" i="1"/>
  <c r="Y2819" i="1"/>
  <c r="Z2819" i="1"/>
  <c r="A2820" i="1"/>
  <c r="B2820" i="1"/>
  <c r="C2820" i="1"/>
  <c r="D2820" i="1"/>
  <c r="E2820" i="1"/>
  <c r="F2820" i="1"/>
  <c r="G2820" i="1"/>
  <c r="I2820" i="1"/>
  <c r="J2820" i="1"/>
  <c r="K2820" i="1"/>
  <c r="L2820" i="1"/>
  <c r="M2820" i="1"/>
  <c r="N2820" i="1"/>
  <c r="O2820" i="1"/>
  <c r="P2820" i="1"/>
  <c r="Q2820" i="1"/>
  <c r="R2820" i="1"/>
  <c r="S2820" i="1"/>
  <c r="T2820" i="1"/>
  <c r="U2820" i="1"/>
  <c r="V2820" i="1"/>
  <c r="W2820" i="1"/>
  <c r="X2820" i="1"/>
  <c r="Y2820" i="1"/>
  <c r="Z2820" i="1"/>
  <c r="A2821" i="1"/>
  <c r="B2821" i="1"/>
  <c r="C2821" i="1"/>
  <c r="D2821" i="1"/>
  <c r="E2821" i="1"/>
  <c r="F2821" i="1"/>
  <c r="G2821" i="1"/>
  <c r="I2821" i="1"/>
  <c r="J2821" i="1"/>
  <c r="K2821" i="1"/>
  <c r="L2821" i="1"/>
  <c r="M2821" i="1"/>
  <c r="N2821" i="1"/>
  <c r="O2821" i="1"/>
  <c r="P2821" i="1"/>
  <c r="Q2821" i="1"/>
  <c r="R2821" i="1"/>
  <c r="S2821" i="1"/>
  <c r="T2821" i="1"/>
  <c r="U2821" i="1"/>
  <c r="V2821" i="1"/>
  <c r="W2821" i="1"/>
  <c r="X2821" i="1"/>
  <c r="Y2821" i="1"/>
  <c r="Z2821" i="1"/>
  <c r="A2822" i="1"/>
  <c r="B2822" i="1"/>
  <c r="C2822" i="1"/>
  <c r="D2822" i="1"/>
  <c r="E2822" i="1"/>
  <c r="F2822" i="1"/>
  <c r="G2822" i="1"/>
  <c r="I2822" i="1"/>
  <c r="J2822" i="1"/>
  <c r="K2822" i="1"/>
  <c r="L2822" i="1"/>
  <c r="M2822" i="1"/>
  <c r="N2822" i="1"/>
  <c r="O2822" i="1"/>
  <c r="P2822" i="1"/>
  <c r="Q2822" i="1"/>
  <c r="R2822" i="1"/>
  <c r="S2822" i="1"/>
  <c r="T2822" i="1"/>
  <c r="U2822" i="1"/>
  <c r="V2822" i="1"/>
  <c r="W2822" i="1"/>
  <c r="X2822" i="1"/>
  <c r="Y2822" i="1"/>
  <c r="Z2822" i="1"/>
  <c r="A2823" i="1"/>
  <c r="B2823" i="1"/>
  <c r="C2823" i="1"/>
  <c r="D2823" i="1"/>
  <c r="E2823" i="1"/>
  <c r="F2823" i="1"/>
  <c r="G2823" i="1"/>
  <c r="I2823" i="1"/>
  <c r="J2823" i="1"/>
  <c r="K2823" i="1"/>
  <c r="L2823" i="1"/>
  <c r="M2823" i="1"/>
  <c r="N2823" i="1"/>
  <c r="O2823" i="1"/>
  <c r="P2823" i="1"/>
  <c r="Q2823" i="1"/>
  <c r="R2823" i="1"/>
  <c r="S2823" i="1"/>
  <c r="T2823" i="1"/>
  <c r="U2823" i="1"/>
  <c r="V2823" i="1"/>
  <c r="W2823" i="1"/>
  <c r="X2823" i="1"/>
  <c r="Y2823" i="1"/>
  <c r="Z2823" i="1"/>
  <c r="A2824" i="1"/>
  <c r="B2824" i="1"/>
  <c r="C2824" i="1"/>
  <c r="D2824" i="1"/>
  <c r="E2824" i="1"/>
  <c r="F2824" i="1"/>
  <c r="G2824" i="1"/>
  <c r="I2824" i="1"/>
  <c r="J2824" i="1"/>
  <c r="K2824" i="1"/>
  <c r="L2824" i="1"/>
  <c r="M2824" i="1"/>
  <c r="N2824" i="1"/>
  <c r="O2824" i="1"/>
  <c r="P2824" i="1"/>
  <c r="Q2824" i="1"/>
  <c r="R2824" i="1"/>
  <c r="S2824" i="1"/>
  <c r="T2824" i="1"/>
  <c r="U2824" i="1"/>
  <c r="V2824" i="1"/>
  <c r="W2824" i="1"/>
  <c r="X2824" i="1"/>
  <c r="Y2824" i="1"/>
  <c r="Z2824" i="1"/>
  <c r="A2825" i="1"/>
  <c r="B2825" i="1"/>
  <c r="C2825" i="1"/>
  <c r="D2825" i="1"/>
  <c r="E2825" i="1"/>
  <c r="F2825" i="1"/>
  <c r="G2825" i="1"/>
  <c r="I2825" i="1"/>
  <c r="J2825" i="1"/>
  <c r="K2825" i="1"/>
  <c r="L2825" i="1"/>
  <c r="M2825" i="1"/>
  <c r="N2825" i="1"/>
  <c r="O2825" i="1"/>
  <c r="P2825" i="1"/>
  <c r="Q2825" i="1"/>
  <c r="R2825" i="1"/>
  <c r="S2825" i="1"/>
  <c r="T2825" i="1"/>
  <c r="U2825" i="1"/>
  <c r="V2825" i="1"/>
  <c r="W2825" i="1"/>
  <c r="X2825" i="1"/>
  <c r="Y2825" i="1"/>
  <c r="Z2825" i="1"/>
  <c r="A2826" i="1"/>
  <c r="B2826" i="1"/>
  <c r="C2826" i="1"/>
  <c r="D2826" i="1"/>
  <c r="E2826" i="1"/>
  <c r="F2826" i="1"/>
  <c r="G2826" i="1"/>
  <c r="I2826" i="1"/>
  <c r="J2826" i="1"/>
  <c r="K2826" i="1"/>
  <c r="L2826" i="1"/>
  <c r="M2826" i="1"/>
  <c r="N2826" i="1"/>
  <c r="O2826" i="1"/>
  <c r="P2826" i="1"/>
  <c r="Q2826" i="1"/>
  <c r="R2826" i="1"/>
  <c r="S2826" i="1"/>
  <c r="T2826" i="1"/>
  <c r="U2826" i="1"/>
  <c r="V2826" i="1"/>
  <c r="W2826" i="1"/>
  <c r="X2826" i="1"/>
  <c r="Y2826" i="1"/>
  <c r="Z2826" i="1"/>
  <c r="A2827" i="1"/>
  <c r="B2827" i="1"/>
  <c r="C2827" i="1"/>
  <c r="D2827" i="1"/>
  <c r="E2827" i="1"/>
  <c r="F2827" i="1"/>
  <c r="G2827" i="1"/>
  <c r="I2827" i="1"/>
  <c r="J2827" i="1"/>
  <c r="K2827" i="1"/>
  <c r="L2827" i="1"/>
  <c r="M2827" i="1"/>
  <c r="N2827" i="1"/>
  <c r="O2827" i="1"/>
  <c r="P2827" i="1"/>
  <c r="Q2827" i="1"/>
  <c r="R2827" i="1"/>
  <c r="S2827" i="1"/>
  <c r="T2827" i="1"/>
  <c r="U2827" i="1"/>
  <c r="V2827" i="1"/>
  <c r="W2827" i="1"/>
  <c r="X2827" i="1"/>
  <c r="Y2827" i="1"/>
  <c r="Z2827" i="1"/>
  <c r="A2828" i="1"/>
  <c r="B2828" i="1"/>
  <c r="C2828" i="1"/>
  <c r="D2828" i="1"/>
  <c r="E2828" i="1"/>
  <c r="F2828" i="1"/>
  <c r="G2828" i="1"/>
  <c r="I2828" i="1"/>
  <c r="J2828" i="1"/>
  <c r="K2828" i="1"/>
  <c r="L2828" i="1"/>
  <c r="M2828" i="1"/>
  <c r="N2828" i="1"/>
  <c r="O2828" i="1"/>
  <c r="P2828" i="1"/>
  <c r="Q2828" i="1"/>
  <c r="R2828" i="1"/>
  <c r="S2828" i="1"/>
  <c r="T2828" i="1"/>
  <c r="U2828" i="1"/>
  <c r="V2828" i="1"/>
  <c r="W2828" i="1"/>
  <c r="X2828" i="1"/>
  <c r="Y2828" i="1"/>
  <c r="Z2828" i="1"/>
  <c r="A2829" i="1"/>
  <c r="B2829" i="1"/>
  <c r="C2829" i="1"/>
  <c r="D2829" i="1"/>
  <c r="E2829" i="1"/>
  <c r="F2829" i="1"/>
  <c r="G2829" i="1"/>
  <c r="I2829" i="1"/>
  <c r="J2829" i="1"/>
  <c r="K2829" i="1"/>
  <c r="L2829" i="1"/>
  <c r="M2829" i="1"/>
  <c r="N2829" i="1"/>
  <c r="O2829" i="1"/>
  <c r="P2829" i="1"/>
  <c r="Q2829" i="1"/>
  <c r="R2829" i="1"/>
  <c r="S2829" i="1"/>
  <c r="T2829" i="1"/>
  <c r="U2829" i="1"/>
  <c r="V2829" i="1"/>
  <c r="W2829" i="1"/>
  <c r="X2829" i="1"/>
  <c r="Y2829" i="1"/>
  <c r="Z2829" i="1"/>
  <c r="A2830" i="1"/>
  <c r="B2830" i="1"/>
  <c r="C2830" i="1"/>
  <c r="D2830" i="1"/>
  <c r="E2830" i="1"/>
  <c r="F2830" i="1"/>
  <c r="G2830" i="1"/>
  <c r="I2830" i="1"/>
  <c r="J2830" i="1"/>
  <c r="K2830" i="1"/>
  <c r="L2830" i="1"/>
  <c r="M2830" i="1"/>
  <c r="N2830" i="1"/>
  <c r="O2830" i="1"/>
  <c r="P2830" i="1"/>
  <c r="Q2830" i="1"/>
  <c r="R2830" i="1"/>
  <c r="S2830" i="1"/>
  <c r="T2830" i="1"/>
  <c r="U2830" i="1"/>
  <c r="V2830" i="1"/>
  <c r="W2830" i="1"/>
  <c r="X2830" i="1"/>
  <c r="Y2830" i="1"/>
  <c r="Z2830" i="1"/>
  <c r="A2831" i="1"/>
  <c r="B2831" i="1"/>
  <c r="C2831" i="1"/>
  <c r="D2831" i="1"/>
  <c r="E2831" i="1"/>
  <c r="F2831" i="1"/>
  <c r="G2831" i="1"/>
  <c r="I2831" i="1"/>
  <c r="J2831" i="1"/>
  <c r="K2831" i="1"/>
  <c r="L2831" i="1"/>
  <c r="M2831" i="1"/>
  <c r="N2831" i="1"/>
  <c r="O2831" i="1"/>
  <c r="P2831" i="1"/>
  <c r="Q2831" i="1"/>
  <c r="R2831" i="1"/>
  <c r="S2831" i="1"/>
  <c r="T2831" i="1"/>
  <c r="U2831" i="1"/>
  <c r="V2831" i="1"/>
  <c r="W2831" i="1"/>
  <c r="X2831" i="1"/>
  <c r="Y2831" i="1"/>
  <c r="Z2831" i="1"/>
  <c r="A2832" i="1"/>
  <c r="B2832" i="1"/>
  <c r="C2832" i="1"/>
  <c r="D2832" i="1"/>
  <c r="E2832" i="1"/>
  <c r="F2832" i="1"/>
  <c r="G2832" i="1"/>
  <c r="I2832" i="1"/>
  <c r="J2832" i="1"/>
  <c r="K2832" i="1"/>
  <c r="L2832" i="1"/>
  <c r="M2832" i="1"/>
  <c r="N2832" i="1"/>
  <c r="O2832" i="1"/>
  <c r="P2832" i="1"/>
  <c r="Q2832" i="1"/>
  <c r="R2832" i="1"/>
  <c r="S2832" i="1"/>
  <c r="T2832" i="1"/>
  <c r="U2832" i="1"/>
  <c r="V2832" i="1"/>
  <c r="W2832" i="1"/>
  <c r="X2832" i="1"/>
  <c r="Y2832" i="1"/>
  <c r="Z2832" i="1"/>
  <c r="A2833" i="1"/>
  <c r="B2833" i="1"/>
  <c r="C2833" i="1"/>
  <c r="D2833" i="1"/>
  <c r="E2833" i="1"/>
  <c r="F2833" i="1"/>
  <c r="G2833" i="1"/>
  <c r="I2833" i="1"/>
  <c r="J2833" i="1"/>
  <c r="K2833" i="1"/>
  <c r="L2833" i="1"/>
  <c r="M2833" i="1"/>
  <c r="N2833" i="1"/>
  <c r="O2833" i="1"/>
  <c r="P2833" i="1"/>
  <c r="Q2833" i="1"/>
  <c r="R2833" i="1"/>
  <c r="S2833" i="1"/>
  <c r="T2833" i="1"/>
  <c r="U2833" i="1"/>
  <c r="V2833" i="1"/>
  <c r="W2833" i="1"/>
  <c r="X2833" i="1"/>
  <c r="Y2833" i="1"/>
  <c r="Z2833" i="1"/>
  <c r="A2834" i="1"/>
  <c r="B2834" i="1"/>
  <c r="C2834" i="1"/>
  <c r="D2834" i="1"/>
  <c r="E2834" i="1"/>
  <c r="F2834" i="1"/>
  <c r="G2834" i="1"/>
  <c r="I2834" i="1"/>
  <c r="J2834" i="1"/>
  <c r="K2834" i="1"/>
  <c r="L2834" i="1"/>
  <c r="M2834" i="1"/>
  <c r="N2834" i="1"/>
  <c r="O2834" i="1"/>
  <c r="P2834" i="1"/>
  <c r="Q2834" i="1"/>
  <c r="R2834" i="1"/>
  <c r="S2834" i="1"/>
  <c r="T2834" i="1"/>
  <c r="U2834" i="1"/>
  <c r="V2834" i="1"/>
  <c r="W2834" i="1"/>
  <c r="X2834" i="1"/>
  <c r="Y2834" i="1"/>
  <c r="Z2834" i="1"/>
  <c r="A2835" i="1"/>
  <c r="B2835" i="1"/>
  <c r="C2835" i="1"/>
  <c r="D2835" i="1"/>
  <c r="E2835" i="1"/>
  <c r="F2835" i="1"/>
  <c r="G2835" i="1"/>
  <c r="I2835" i="1"/>
  <c r="J2835" i="1"/>
  <c r="K2835" i="1"/>
  <c r="L2835" i="1"/>
  <c r="M2835" i="1"/>
  <c r="N2835" i="1"/>
  <c r="O2835" i="1"/>
  <c r="P2835" i="1"/>
  <c r="Q2835" i="1"/>
  <c r="R2835" i="1"/>
  <c r="S2835" i="1"/>
  <c r="T2835" i="1"/>
  <c r="U2835" i="1"/>
  <c r="V2835" i="1"/>
  <c r="W2835" i="1"/>
  <c r="X2835" i="1"/>
  <c r="Y2835" i="1"/>
  <c r="Z2835" i="1"/>
  <c r="A2836" i="1"/>
  <c r="B2836" i="1"/>
  <c r="C2836" i="1"/>
  <c r="D2836" i="1"/>
  <c r="E2836" i="1"/>
  <c r="F2836" i="1"/>
  <c r="G2836" i="1"/>
  <c r="I2836" i="1"/>
  <c r="J2836" i="1"/>
  <c r="K2836" i="1"/>
  <c r="L2836" i="1"/>
  <c r="M2836" i="1"/>
  <c r="N2836" i="1"/>
  <c r="O2836" i="1"/>
  <c r="P2836" i="1"/>
  <c r="Q2836" i="1"/>
  <c r="R2836" i="1"/>
  <c r="S2836" i="1"/>
  <c r="T2836" i="1"/>
  <c r="U2836" i="1"/>
  <c r="V2836" i="1"/>
  <c r="W2836" i="1"/>
  <c r="X2836" i="1"/>
  <c r="Y2836" i="1"/>
  <c r="Z2836" i="1"/>
  <c r="A2837" i="1"/>
  <c r="B2837" i="1"/>
  <c r="C2837" i="1"/>
  <c r="D2837" i="1"/>
  <c r="E2837" i="1"/>
  <c r="F2837" i="1"/>
  <c r="G2837" i="1"/>
  <c r="I2837" i="1"/>
  <c r="J2837" i="1"/>
  <c r="K2837" i="1"/>
  <c r="L2837" i="1"/>
  <c r="M2837" i="1"/>
  <c r="N2837" i="1"/>
  <c r="O2837" i="1"/>
  <c r="P2837" i="1"/>
  <c r="Q2837" i="1"/>
  <c r="R2837" i="1"/>
  <c r="S2837" i="1"/>
  <c r="T2837" i="1"/>
  <c r="U2837" i="1"/>
  <c r="V2837" i="1"/>
  <c r="W2837" i="1"/>
  <c r="X2837" i="1"/>
  <c r="Y2837" i="1"/>
  <c r="Z2837" i="1"/>
  <c r="A2838" i="1"/>
  <c r="B2838" i="1"/>
  <c r="C2838" i="1"/>
  <c r="D2838" i="1"/>
  <c r="E2838" i="1"/>
  <c r="F2838" i="1"/>
  <c r="G2838" i="1"/>
  <c r="I2838" i="1"/>
  <c r="J2838" i="1"/>
  <c r="K2838" i="1"/>
  <c r="L2838" i="1"/>
  <c r="M2838" i="1"/>
  <c r="N2838" i="1"/>
  <c r="O2838" i="1"/>
  <c r="P2838" i="1"/>
  <c r="Q2838" i="1"/>
  <c r="R2838" i="1"/>
  <c r="S2838" i="1"/>
  <c r="T2838" i="1"/>
  <c r="U2838" i="1"/>
  <c r="V2838" i="1"/>
  <c r="W2838" i="1"/>
  <c r="X2838" i="1"/>
  <c r="Y2838" i="1"/>
  <c r="Z2838" i="1"/>
  <c r="A2839" i="1"/>
  <c r="B2839" i="1"/>
  <c r="C2839" i="1"/>
  <c r="D2839" i="1"/>
  <c r="E2839" i="1"/>
  <c r="F2839" i="1"/>
  <c r="G2839" i="1"/>
  <c r="I2839" i="1"/>
  <c r="J2839" i="1"/>
  <c r="K2839" i="1"/>
  <c r="L2839" i="1"/>
  <c r="M2839" i="1"/>
  <c r="N2839" i="1"/>
  <c r="O2839" i="1"/>
  <c r="P2839" i="1"/>
  <c r="Q2839" i="1"/>
  <c r="R2839" i="1"/>
  <c r="S2839" i="1"/>
  <c r="T2839" i="1"/>
  <c r="U2839" i="1"/>
  <c r="V2839" i="1"/>
  <c r="W2839" i="1"/>
  <c r="X2839" i="1"/>
  <c r="Y2839" i="1"/>
  <c r="Z2839" i="1"/>
  <c r="A2840" i="1"/>
  <c r="B2840" i="1"/>
  <c r="C2840" i="1"/>
  <c r="D2840" i="1"/>
  <c r="E2840" i="1"/>
  <c r="F2840" i="1"/>
  <c r="G2840" i="1"/>
  <c r="I2840" i="1"/>
  <c r="J2840" i="1"/>
  <c r="K2840" i="1"/>
  <c r="L2840" i="1"/>
  <c r="M2840" i="1"/>
  <c r="N2840" i="1"/>
  <c r="O2840" i="1"/>
  <c r="P2840" i="1"/>
  <c r="Q2840" i="1"/>
  <c r="R2840" i="1"/>
  <c r="S2840" i="1"/>
  <c r="T2840" i="1"/>
  <c r="U2840" i="1"/>
  <c r="V2840" i="1"/>
  <c r="W2840" i="1"/>
  <c r="X2840" i="1"/>
  <c r="Y2840" i="1"/>
  <c r="Z2840" i="1"/>
  <c r="A2841" i="1"/>
  <c r="B2841" i="1"/>
  <c r="C2841" i="1"/>
  <c r="D2841" i="1"/>
  <c r="E2841" i="1"/>
  <c r="F2841" i="1"/>
  <c r="G2841" i="1"/>
  <c r="I2841" i="1"/>
  <c r="J2841" i="1"/>
  <c r="K2841" i="1"/>
  <c r="L2841" i="1"/>
  <c r="M2841" i="1"/>
  <c r="N2841" i="1"/>
  <c r="O2841" i="1"/>
  <c r="P2841" i="1"/>
  <c r="Q2841" i="1"/>
  <c r="R2841" i="1"/>
  <c r="S2841" i="1"/>
  <c r="T2841" i="1"/>
  <c r="U2841" i="1"/>
  <c r="V2841" i="1"/>
  <c r="W2841" i="1"/>
  <c r="X2841" i="1"/>
  <c r="Y2841" i="1"/>
  <c r="Z2841" i="1"/>
  <c r="A2842" i="1"/>
  <c r="B2842" i="1"/>
  <c r="C2842" i="1"/>
  <c r="D2842" i="1"/>
  <c r="E2842" i="1"/>
  <c r="F2842" i="1"/>
  <c r="G2842" i="1"/>
  <c r="I2842" i="1"/>
  <c r="J2842" i="1"/>
  <c r="K2842" i="1"/>
  <c r="L2842" i="1"/>
  <c r="M2842" i="1"/>
  <c r="N2842" i="1"/>
  <c r="O2842" i="1"/>
  <c r="P2842" i="1"/>
  <c r="Q2842" i="1"/>
  <c r="R2842" i="1"/>
  <c r="S2842" i="1"/>
  <c r="T2842" i="1"/>
  <c r="U2842" i="1"/>
  <c r="V2842" i="1"/>
  <c r="W2842" i="1"/>
  <c r="X2842" i="1"/>
  <c r="Y2842" i="1"/>
  <c r="Z2842" i="1"/>
  <c r="A2843" i="1"/>
  <c r="B2843" i="1"/>
  <c r="C2843" i="1"/>
  <c r="D2843" i="1"/>
  <c r="E2843" i="1"/>
  <c r="F2843" i="1"/>
  <c r="G2843" i="1"/>
  <c r="I2843" i="1"/>
  <c r="J2843" i="1"/>
  <c r="K2843" i="1"/>
  <c r="L2843" i="1"/>
  <c r="M2843" i="1"/>
  <c r="N2843" i="1"/>
  <c r="O2843" i="1"/>
  <c r="P2843" i="1"/>
  <c r="Q2843" i="1"/>
  <c r="R2843" i="1"/>
  <c r="S2843" i="1"/>
  <c r="T2843" i="1"/>
  <c r="U2843" i="1"/>
  <c r="V2843" i="1"/>
  <c r="W2843" i="1"/>
  <c r="X2843" i="1"/>
  <c r="Y2843" i="1"/>
  <c r="Z2843" i="1"/>
  <c r="A2844" i="1"/>
  <c r="B2844" i="1"/>
  <c r="C2844" i="1"/>
  <c r="D2844" i="1"/>
  <c r="E2844" i="1"/>
  <c r="F2844" i="1"/>
  <c r="G2844" i="1"/>
  <c r="I2844" i="1"/>
  <c r="J2844" i="1"/>
  <c r="K2844" i="1"/>
  <c r="L2844" i="1"/>
  <c r="M2844" i="1"/>
  <c r="N2844" i="1"/>
  <c r="O2844" i="1"/>
  <c r="P2844" i="1"/>
  <c r="Q2844" i="1"/>
  <c r="R2844" i="1"/>
  <c r="S2844" i="1"/>
  <c r="T2844" i="1"/>
  <c r="U2844" i="1"/>
  <c r="V2844" i="1"/>
  <c r="W2844" i="1"/>
  <c r="X2844" i="1"/>
  <c r="Y2844" i="1"/>
  <c r="Z2844" i="1"/>
  <c r="A2845" i="1"/>
  <c r="B2845" i="1"/>
  <c r="C2845" i="1"/>
  <c r="D2845" i="1"/>
  <c r="E2845" i="1"/>
  <c r="F2845" i="1"/>
  <c r="G2845" i="1"/>
  <c r="I2845" i="1"/>
  <c r="J2845" i="1"/>
  <c r="K2845" i="1"/>
  <c r="L2845" i="1"/>
  <c r="M2845" i="1"/>
  <c r="N2845" i="1"/>
  <c r="O2845" i="1"/>
  <c r="P2845" i="1"/>
  <c r="Q2845" i="1"/>
  <c r="R2845" i="1"/>
  <c r="S2845" i="1"/>
  <c r="T2845" i="1"/>
  <c r="U2845" i="1"/>
  <c r="V2845" i="1"/>
  <c r="W2845" i="1"/>
  <c r="X2845" i="1"/>
  <c r="Y2845" i="1"/>
  <c r="Z2845" i="1"/>
  <c r="A2846" i="1"/>
  <c r="B2846" i="1"/>
  <c r="C2846" i="1"/>
  <c r="D2846" i="1"/>
  <c r="E2846" i="1"/>
  <c r="F2846" i="1"/>
  <c r="G2846" i="1"/>
  <c r="I2846" i="1"/>
  <c r="J2846" i="1"/>
  <c r="K2846" i="1"/>
  <c r="L2846" i="1"/>
  <c r="M2846" i="1"/>
  <c r="N2846" i="1"/>
  <c r="O2846" i="1"/>
  <c r="P2846" i="1"/>
  <c r="Q2846" i="1"/>
  <c r="R2846" i="1"/>
  <c r="S2846" i="1"/>
  <c r="T2846" i="1"/>
  <c r="U2846" i="1"/>
  <c r="V2846" i="1"/>
  <c r="W2846" i="1"/>
  <c r="X2846" i="1"/>
  <c r="Y2846" i="1"/>
  <c r="Z2846" i="1"/>
  <c r="A2847" i="1"/>
  <c r="B2847" i="1"/>
  <c r="C2847" i="1"/>
  <c r="D2847" i="1"/>
  <c r="E2847" i="1"/>
  <c r="F2847" i="1"/>
  <c r="G2847" i="1"/>
  <c r="I2847" i="1"/>
  <c r="J2847" i="1"/>
  <c r="K2847" i="1"/>
  <c r="L2847" i="1"/>
  <c r="M2847" i="1"/>
  <c r="N2847" i="1"/>
  <c r="O2847" i="1"/>
  <c r="P2847" i="1"/>
  <c r="Q2847" i="1"/>
  <c r="R2847" i="1"/>
  <c r="S2847" i="1"/>
  <c r="T2847" i="1"/>
  <c r="U2847" i="1"/>
  <c r="V2847" i="1"/>
  <c r="W2847" i="1"/>
  <c r="X2847" i="1"/>
  <c r="Y2847" i="1"/>
  <c r="Z2847" i="1"/>
  <c r="A2848" i="1"/>
  <c r="B2848" i="1"/>
  <c r="C2848" i="1"/>
  <c r="D2848" i="1"/>
  <c r="E2848" i="1"/>
  <c r="F2848" i="1"/>
  <c r="G2848" i="1"/>
  <c r="I2848" i="1"/>
  <c r="J2848" i="1"/>
  <c r="K2848" i="1"/>
  <c r="L2848" i="1"/>
  <c r="M2848" i="1"/>
  <c r="N2848" i="1"/>
  <c r="O2848" i="1"/>
  <c r="P2848" i="1"/>
  <c r="Q2848" i="1"/>
  <c r="R2848" i="1"/>
  <c r="S2848" i="1"/>
  <c r="T2848" i="1"/>
  <c r="U2848" i="1"/>
  <c r="V2848" i="1"/>
  <c r="W2848" i="1"/>
  <c r="X2848" i="1"/>
  <c r="Y2848" i="1"/>
  <c r="Z2848" i="1"/>
  <c r="A2849" i="1"/>
  <c r="B2849" i="1"/>
  <c r="C2849" i="1"/>
  <c r="D2849" i="1"/>
  <c r="E2849" i="1"/>
  <c r="F2849" i="1"/>
  <c r="G2849" i="1"/>
  <c r="I2849" i="1"/>
  <c r="J2849" i="1"/>
  <c r="K2849" i="1"/>
  <c r="L2849" i="1"/>
  <c r="M2849" i="1"/>
  <c r="N2849" i="1"/>
  <c r="O2849" i="1"/>
  <c r="P2849" i="1"/>
  <c r="Q2849" i="1"/>
  <c r="R2849" i="1"/>
  <c r="S2849" i="1"/>
  <c r="T2849" i="1"/>
  <c r="U2849" i="1"/>
  <c r="V2849" i="1"/>
  <c r="W2849" i="1"/>
  <c r="X2849" i="1"/>
  <c r="Y2849" i="1"/>
  <c r="Z2849" i="1"/>
  <c r="A2850" i="1"/>
  <c r="B2850" i="1"/>
  <c r="C2850" i="1"/>
  <c r="D2850" i="1"/>
  <c r="E2850" i="1"/>
  <c r="F2850" i="1"/>
  <c r="G2850" i="1"/>
  <c r="I2850" i="1"/>
  <c r="J2850" i="1"/>
  <c r="K2850" i="1"/>
  <c r="L2850" i="1"/>
  <c r="M2850" i="1"/>
  <c r="N2850" i="1"/>
  <c r="O2850" i="1"/>
  <c r="P2850" i="1"/>
  <c r="Q2850" i="1"/>
  <c r="R2850" i="1"/>
  <c r="S2850" i="1"/>
  <c r="T2850" i="1"/>
  <c r="U2850" i="1"/>
  <c r="V2850" i="1"/>
  <c r="W2850" i="1"/>
  <c r="X2850" i="1"/>
  <c r="Y2850" i="1"/>
  <c r="Z2850" i="1"/>
  <c r="A2851" i="1"/>
  <c r="B2851" i="1"/>
  <c r="C2851" i="1"/>
  <c r="D2851" i="1"/>
  <c r="E2851" i="1"/>
  <c r="F2851" i="1"/>
  <c r="G2851" i="1"/>
  <c r="I2851" i="1"/>
  <c r="J2851" i="1"/>
  <c r="K2851" i="1"/>
  <c r="L2851" i="1"/>
  <c r="M2851" i="1"/>
  <c r="N2851" i="1"/>
  <c r="O2851" i="1"/>
  <c r="P2851" i="1"/>
  <c r="Q2851" i="1"/>
  <c r="R2851" i="1"/>
  <c r="S2851" i="1"/>
  <c r="T2851" i="1"/>
  <c r="U2851" i="1"/>
  <c r="V2851" i="1"/>
  <c r="W2851" i="1"/>
  <c r="X2851" i="1"/>
  <c r="Y2851" i="1"/>
  <c r="Z2851" i="1"/>
  <c r="A2852" i="1"/>
  <c r="B2852" i="1"/>
  <c r="C2852" i="1"/>
  <c r="D2852" i="1"/>
  <c r="E2852" i="1"/>
  <c r="F2852" i="1"/>
  <c r="G2852" i="1"/>
  <c r="I2852" i="1"/>
  <c r="J2852" i="1"/>
  <c r="K2852" i="1"/>
  <c r="L2852" i="1"/>
  <c r="M2852" i="1"/>
  <c r="N2852" i="1"/>
  <c r="O2852" i="1"/>
  <c r="P2852" i="1"/>
  <c r="Q2852" i="1"/>
  <c r="R2852" i="1"/>
  <c r="S2852" i="1"/>
  <c r="T2852" i="1"/>
  <c r="U2852" i="1"/>
  <c r="V2852" i="1"/>
  <c r="W2852" i="1"/>
  <c r="X2852" i="1"/>
  <c r="Y2852" i="1"/>
  <c r="Z2852" i="1"/>
  <c r="A2853" i="1"/>
  <c r="B2853" i="1"/>
  <c r="C2853" i="1"/>
  <c r="D2853" i="1"/>
  <c r="E2853" i="1"/>
  <c r="F2853" i="1"/>
  <c r="G2853" i="1"/>
  <c r="I2853" i="1"/>
  <c r="J2853" i="1"/>
  <c r="K2853" i="1"/>
  <c r="L2853" i="1"/>
  <c r="M2853" i="1"/>
  <c r="N2853" i="1"/>
  <c r="O2853" i="1"/>
  <c r="P2853" i="1"/>
  <c r="Q2853" i="1"/>
  <c r="R2853" i="1"/>
  <c r="S2853" i="1"/>
  <c r="T2853" i="1"/>
  <c r="U2853" i="1"/>
  <c r="V2853" i="1"/>
  <c r="W2853" i="1"/>
  <c r="X2853" i="1"/>
  <c r="Y2853" i="1"/>
  <c r="Z2853" i="1"/>
  <c r="A2854" i="1"/>
  <c r="B2854" i="1"/>
  <c r="C2854" i="1"/>
  <c r="D2854" i="1"/>
  <c r="E2854" i="1"/>
  <c r="F2854" i="1"/>
  <c r="G2854" i="1"/>
  <c r="I2854" i="1"/>
  <c r="J2854" i="1"/>
  <c r="K2854" i="1"/>
  <c r="L2854" i="1"/>
  <c r="M2854" i="1"/>
  <c r="N2854" i="1"/>
  <c r="O2854" i="1"/>
  <c r="P2854" i="1"/>
  <c r="Q2854" i="1"/>
  <c r="R2854" i="1"/>
  <c r="S2854" i="1"/>
  <c r="T2854" i="1"/>
  <c r="U2854" i="1"/>
  <c r="V2854" i="1"/>
  <c r="W2854" i="1"/>
  <c r="X2854" i="1"/>
  <c r="Y2854" i="1"/>
  <c r="Z2854" i="1"/>
  <c r="A2855" i="1"/>
  <c r="B2855" i="1"/>
  <c r="C2855" i="1"/>
  <c r="D2855" i="1"/>
  <c r="E2855" i="1"/>
  <c r="F2855" i="1"/>
  <c r="G2855" i="1"/>
  <c r="I2855" i="1"/>
  <c r="J2855" i="1"/>
  <c r="K2855" i="1"/>
  <c r="L2855" i="1"/>
  <c r="M2855" i="1"/>
  <c r="N2855" i="1"/>
  <c r="O2855" i="1"/>
  <c r="P2855" i="1"/>
  <c r="Q2855" i="1"/>
  <c r="R2855" i="1"/>
  <c r="S2855" i="1"/>
  <c r="T2855" i="1"/>
  <c r="U2855" i="1"/>
  <c r="V2855" i="1"/>
  <c r="W2855" i="1"/>
  <c r="X2855" i="1"/>
  <c r="Y2855" i="1"/>
  <c r="Z2855" i="1"/>
  <c r="A2856" i="1"/>
  <c r="B2856" i="1"/>
  <c r="C2856" i="1"/>
  <c r="D2856" i="1"/>
  <c r="E2856" i="1"/>
  <c r="F2856" i="1"/>
  <c r="G2856" i="1"/>
  <c r="I2856" i="1"/>
  <c r="J2856" i="1"/>
  <c r="K2856" i="1"/>
  <c r="L2856" i="1"/>
  <c r="M2856" i="1"/>
  <c r="N2856" i="1"/>
  <c r="O2856" i="1"/>
  <c r="P2856" i="1"/>
  <c r="Q2856" i="1"/>
  <c r="R2856" i="1"/>
  <c r="S2856" i="1"/>
  <c r="T2856" i="1"/>
  <c r="U2856" i="1"/>
  <c r="V2856" i="1"/>
  <c r="W2856" i="1"/>
  <c r="X2856" i="1"/>
  <c r="Y2856" i="1"/>
  <c r="Z2856" i="1"/>
  <c r="A2857" i="1"/>
  <c r="B2857" i="1"/>
  <c r="C2857" i="1"/>
  <c r="D2857" i="1"/>
  <c r="E2857" i="1"/>
  <c r="F2857" i="1"/>
  <c r="G2857" i="1"/>
  <c r="I2857" i="1"/>
  <c r="J2857" i="1"/>
  <c r="K2857" i="1"/>
  <c r="L2857" i="1"/>
  <c r="M2857" i="1"/>
  <c r="N2857" i="1"/>
  <c r="O2857" i="1"/>
  <c r="P2857" i="1"/>
  <c r="Q2857" i="1"/>
  <c r="R2857" i="1"/>
  <c r="S2857" i="1"/>
  <c r="T2857" i="1"/>
  <c r="U2857" i="1"/>
  <c r="V2857" i="1"/>
  <c r="W2857" i="1"/>
  <c r="X2857" i="1"/>
  <c r="Y2857" i="1"/>
  <c r="Z2857" i="1"/>
  <c r="A2858" i="1"/>
  <c r="B2858" i="1"/>
  <c r="C2858" i="1"/>
  <c r="D2858" i="1"/>
  <c r="E2858" i="1"/>
  <c r="F2858" i="1"/>
  <c r="G2858" i="1"/>
  <c r="I2858" i="1"/>
  <c r="J2858" i="1"/>
  <c r="K2858" i="1"/>
  <c r="L2858" i="1"/>
  <c r="M2858" i="1"/>
  <c r="N2858" i="1"/>
  <c r="O2858" i="1"/>
  <c r="P2858" i="1"/>
  <c r="Q2858" i="1"/>
  <c r="R2858" i="1"/>
  <c r="S2858" i="1"/>
  <c r="T2858" i="1"/>
  <c r="U2858" i="1"/>
  <c r="V2858" i="1"/>
  <c r="W2858" i="1"/>
  <c r="X2858" i="1"/>
  <c r="Y2858" i="1"/>
  <c r="Z2858" i="1"/>
  <c r="A2859" i="1"/>
  <c r="B2859" i="1"/>
  <c r="C2859" i="1"/>
  <c r="D2859" i="1"/>
  <c r="E2859" i="1"/>
  <c r="F2859" i="1"/>
  <c r="G2859" i="1"/>
  <c r="I2859" i="1"/>
  <c r="J2859" i="1"/>
  <c r="K2859" i="1"/>
  <c r="L2859" i="1"/>
  <c r="M2859" i="1"/>
  <c r="N2859" i="1"/>
  <c r="O2859" i="1"/>
  <c r="P2859" i="1"/>
  <c r="Q2859" i="1"/>
  <c r="R2859" i="1"/>
  <c r="S2859" i="1"/>
  <c r="T2859" i="1"/>
  <c r="U2859" i="1"/>
  <c r="V2859" i="1"/>
  <c r="W2859" i="1"/>
  <c r="X2859" i="1"/>
  <c r="Y2859" i="1"/>
  <c r="Z2859" i="1"/>
  <c r="A2860" i="1"/>
  <c r="B2860" i="1"/>
  <c r="C2860" i="1"/>
  <c r="D2860" i="1"/>
  <c r="E2860" i="1"/>
  <c r="F2860" i="1"/>
  <c r="G2860" i="1"/>
  <c r="I2860" i="1"/>
  <c r="J2860" i="1"/>
  <c r="K2860" i="1"/>
  <c r="L2860" i="1"/>
  <c r="M2860" i="1"/>
  <c r="N2860" i="1"/>
  <c r="O2860" i="1"/>
  <c r="P2860" i="1"/>
  <c r="Q2860" i="1"/>
  <c r="R2860" i="1"/>
  <c r="S2860" i="1"/>
  <c r="T2860" i="1"/>
  <c r="U2860" i="1"/>
  <c r="V2860" i="1"/>
  <c r="W2860" i="1"/>
  <c r="X2860" i="1"/>
  <c r="Y2860" i="1"/>
  <c r="Z2860" i="1"/>
  <c r="A2861" i="1"/>
  <c r="B2861" i="1"/>
  <c r="C2861" i="1"/>
  <c r="D2861" i="1"/>
  <c r="E2861" i="1"/>
  <c r="F2861" i="1"/>
  <c r="G2861" i="1"/>
  <c r="I2861" i="1"/>
  <c r="J2861" i="1"/>
  <c r="K2861" i="1"/>
  <c r="L2861" i="1"/>
  <c r="M2861" i="1"/>
  <c r="N2861" i="1"/>
  <c r="O2861" i="1"/>
  <c r="P2861" i="1"/>
  <c r="Q2861" i="1"/>
  <c r="R2861" i="1"/>
  <c r="S2861" i="1"/>
  <c r="T2861" i="1"/>
  <c r="U2861" i="1"/>
  <c r="V2861" i="1"/>
  <c r="W2861" i="1"/>
  <c r="X2861" i="1"/>
  <c r="Y2861" i="1"/>
  <c r="Z2861" i="1"/>
  <c r="A2862" i="1"/>
  <c r="B2862" i="1"/>
  <c r="C2862" i="1"/>
  <c r="D2862" i="1"/>
  <c r="E2862" i="1"/>
  <c r="F2862" i="1"/>
  <c r="G2862" i="1"/>
  <c r="I2862" i="1"/>
  <c r="J2862" i="1"/>
  <c r="K2862" i="1"/>
  <c r="L2862" i="1"/>
  <c r="M2862" i="1"/>
  <c r="N2862" i="1"/>
  <c r="O2862" i="1"/>
  <c r="P2862" i="1"/>
  <c r="Q2862" i="1"/>
  <c r="R2862" i="1"/>
  <c r="S2862" i="1"/>
  <c r="T2862" i="1"/>
  <c r="U2862" i="1"/>
  <c r="V2862" i="1"/>
  <c r="W2862" i="1"/>
  <c r="X2862" i="1"/>
  <c r="Y2862" i="1"/>
  <c r="Z2862" i="1"/>
  <c r="A2863" i="1"/>
  <c r="B2863" i="1"/>
  <c r="C2863" i="1"/>
  <c r="D2863" i="1"/>
  <c r="E2863" i="1"/>
  <c r="F2863" i="1"/>
  <c r="G2863" i="1"/>
  <c r="I2863" i="1"/>
  <c r="J2863" i="1"/>
  <c r="K2863" i="1"/>
  <c r="L2863" i="1"/>
  <c r="M2863" i="1"/>
  <c r="N2863" i="1"/>
  <c r="O2863" i="1"/>
  <c r="P2863" i="1"/>
  <c r="Q2863" i="1"/>
  <c r="R2863" i="1"/>
  <c r="S2863" i="1"/>
  <c r="T2863" i="1"/>
  <c r="U2863" i="1"/>
  <c r="V2863" i="1"/>
  <c r="W2863" i="1"/>
  <c r="X2863" i="1"/>
  <c r="Y2863" i="1"/>
  <c r="Z2863" i="1"/>
  <c r="A2864" i="1"/>
  <c r="B2864" i="1"/>
  <c r="C2864" i="1"/>
  <c r="D2864" i="1"/>
  <c r="E2864" i="1"/>
  <c r="F2864" i="1"/>
  <c r="G2864" i="1"/>
  <c r="I2864" i="1"/>
  <c r="J2864" i="1"/>
  <c r="K2864" i="1"/>
  <c r="L2864" i="1"/>
  <c r="M2864" i="1"/>
  <c r="N2864" i="1"/>
  <c r="O2864" i="1"/>
  <c r="P2864" i="1"/>
  <c r="Q2864" i="1"/>
  <c r="R2864" i="1"/>
  <c r="S2864" i="1"/>
  <c r="T2864" i="1"/>
  <c r="U2864" i="1"/>
  <c r="V2864" i="1"/>
  <c r="W2864" i="1"/>
  <c r="X2864" i="1"/>
  <c r="Y2864" i="1"/>
  <c r="Z2864" i="1"/>
  <c r="A2865" i="1"/>
  <c r="B2865" i="1"/>
  <c r="C2865" i="1"/>
  <c r="D2865" i="1"/>
  <c r="E2865" i="1"/>
  <c r="F2865" i="1"/>
  <c r="G2865" i="1"/>
  <c r="I2865" i="1"/>
  <c r="J2865" i="1"/>
  <c r="K2865" i="1"/>
  <c r="L2865" i="1"/>
  <c r="M2865" i="1"/>
  <c r="N2865" i="1"/>
  <c r="O2865" i="1"/>
  <c r="P2865" i="1"/>
  <c r="Q2865" i="1"/>
  <c r="R2865" i="1"/>
  <c r="S2865" i="1"/>
  <c r="T2865" i="1"/>
  <c r="U2865" i="1"/>
  <c r="V2865" i="1"/>
  <c r="W2865" i="1"/>
  <c r="X2865" i="1"/>
  <c r="Y2865" i="1"/>
  <c r="Z2865" i="1"/>
  <c r="A2866" i="1"/>
  <c r="B2866" i="1"/>
  <c r="C2866" i="1"/>
  <c r="D2866" i="1"/>
  <c r="E2866" i="1"/>
  <c r="F2866" i="1"/>
  <c r="G2866" i="1"/>
  <c r="I2866" i="1"/>
  <c r="J2866" i="1"/>
  <c r="K2866" i="1"/>
  <c r="L2866" i="1"/>
  <c r="M2866" i="1"/>
  <c r="N2866" i="1"/>
  <c r="O2866" i="1"/>
  <c r="P2866" i="1"/>
  <c r="Q2866" i="1"/>
  <c r="R2866" i="1"/>
  <c r="S2866" i="1"/>
  <c r="T2866" i="1"/>
  <c r="U2866" i="1"/>
  <c r="V2866" i="1"/>
  <c r="W2866" i="1"/>
  <c r="X2866" i="1"/>
  <c r="Y2866" i="1"/>
  <c r="Z2866" i="1"/>
  <c r="A2867" i="1"/>
  <c r="B2867" i="1"/>
  <c r="C2867" i="1"/>
  <c r="D2867" i="1"/>
  <c r="E2867" i="1"/>
  <c r="F2867" i="1"/>
  <c r="G2867" i="1"/>
  <c r="I2867" i="1"/>
  <c r="J2867" i="1"/>
  <c r="K2867" i="1"/>
  <c r="L2867" i="1"/>
  <c r="M2867" i="1"/>
  <c r="N2867" i="1"/>
  <c r="O2867" i="1"/>
  <c r="P2867" i="1"/>
  <c r="Q2867" i="1"/>
  <c r="R2867" i="1"/>
  <c r="S2867" i="1"/>
  <c r="T2867" i="1"/>
  <c r="U2867" i="1"/>
  <c r="V2867" i="1"/>
  <c r="W2867" i="1"/>
  <c r="X2867" i="1"/>
  <c r="Y2867" i="1"/>
  <c r="Z2867" i="1"/>
  <c r="A2868" i="1"/>
  <c r="B2868" i="1"/>
  <c r="C2868" i="1"/>
  <c r="D2868" i="1"/>
  <c r="E2868" i="1"/>
  <c r="F2868" i="1"/>
  <c r="G2868" i="1"/>
  <c r="I2868" i="1"/>
  <c r="J2868" i="1"/>
  <c r="K2868" i="1"/>
  <c r="L2868" i="1"/>
  <c r="M2868" i="1"/>
  <c r="N2868" i="1"/>
  <c r="O2868" i="1"/>
  <c r="P2868" i="1"/>
  <c r="Q2868" i="1"/>
  <c r="R2868" i="1"/>
  <c r="S2868" i="1"/>
  <c r="T2868" i="1"/>
  <c r="U2868" i="1"/>
  <c r="V2868" i="1"/>
  <c r="W2868" i="1"/>
  <c r="X2868" i="1"/>
  <c r="Y2868" i="1"/>
  <c r="Z2868" i="1"/>
  <c r="A2869" i="1"/>
  <c r="B2869" i="1"/>
  <c r="C2869" i="1"/>
  <c r="D2869" i="1"/>
  <c r="E2869" i="1"/>
  <c r="F2869" i="1"/>
  <c r="G2869" i="1"/>
  <c r="I2869" i="1"/>
  <c r="J2869" i="1"/>
  <c r="K2869" i="1"/>
  <c r="L2869" i="1"/>
  <c r="M2869" i="1"/>
  <c r="N2869" i="1"/>
  <c r="O2869" i="1"/>
  <c r="P2869" i="1"/>
  <c r="Q2869" i="1"/>
  <c r="R2869" i="1"/>
  <c r="S2869" i="1"/>
  <c r="T2869" i="1"/>
  <c r="U2869" i="1"/>
  <c r="V2869" i="1"/>
  <c r="W2869" i="1"/>
  <c r="X2869" i="1"/>
  <c r="Y2869" i="1"/>
  <c r="Z2869" i="1"/>
  <c r="A2870" i="1"/>
  <c r="B2870" i="1"/>
  <c r="C2870" i="1"/>
  <c r="D2870" i="1"/>
  <c r="E2870" i="1"/>
  <c r="F2870" i="1"/>
  <c r="G2870" i="1"/>
  <c r="I2870" i="1"/>
  <c r="J2870" i="1"/>
  <c r="K2870" i="1"/>
  <c r="L2870" i="1"/>
  <c r="M2870" i="1"/>
  <c r="N2870" i="1"/>
  <c r="O2870" i="1"/>
  <c r="P2870" i="1"/>
  <c r="Q2870" i="1"/>
  <c r="R2870" i="1"/>
  <c r="S2870" i="1"/>
  <c r="T2870" i="1"/>
  <c r="U2870" i="1"/>
  <c r="V2870" i="1"/>
  <c r="W2870" i="1"/>
  <c r="X2870" i="1"/>
  <c r="Y2870" i="1"/>
  <c r="Z2870" i="1"/>
  <c r="A2871" i="1"/>
  <c r="B2871" i="1"/>
  <c r="C2871" i="1"/>
  <c r="D2871" i="1"/>
  <c r="E2871" i="1"/>
  <c r="F2871" i="1"/>
  <c r="G2871" i="1"/>
  <c r="I2871" i="1"/>
  <c r="J2871" i="1"/>
  <c r="K2871" i="1"/>
  <c r="L2871" i="1"/>
  <c r="M2871" i="1"/>
  <c r="N2871" i="1"/>
  <c r="O2871" i="1"/>
  <c r="P2871" i="1"/>
  <c r="Q2871" i="1"/>
  <c r="R2871" i="1"/>
  <c r="S2871" i="1"/>
  <c r="T2871" i="1"/>
  <c r="U2871" i="1"/>
  <c r="V2871" i="1"/>
  <c r="W2871" i="1"/>
  <c r="X2871" i="1"/>
  <c r="Y2871" i="1"/>
  <c r="Z2871" i="1"/>
  <c r="A2872" i="1"/>
  <c r="B2872" i="1"/>
  <c r="C2872" i="1"/>
  <c r="D2872" i="1"/>
  <c r="E2872" i="1"/>
  <c r="F2872" i="1"/>
  <c r="G2872" i="1"/>
  <c r="I2872" i="1"/>
  <c r="J2872" i="1"/>
  <c r="K2872" i="1"/>
  <c r="L2872" i="1"/>
  <c r="M2872" i="1"/>
  <c r="N2872" i="1"/>
  <c r="O2872" i="1"/>
  <c r="P2872" i="1"/>
  <c r="Q2872" i="1"/>
  <c r="R2872" i="1"/>
  <c r="S2872" i="1"/>
  <c r="T2872" i="1"/>
  <c r="U2872" i="1"/>
  <c r="V2872" i="1"/>
  <c r="W2872" i="1"/>
  <c r="X2872" i="1"/>
  <c r="Y2872" i="1"/>
  <c r="Z2872" i="1"/>
  <c r="A2873" i="1"/>
  <c r="B2873" i="1"/>
  <c r="C2873" i="1"/>
  <c r="D2873" i="1"/>
  <c r="E2873" i="1"/>
  <c r="F2873" i="1"/>
  <c r="G2873" i="1"/>
  <c r="I2873" i="1"/>
  <c r="J2873" i="1"/>
  <c r="K2873" i="1"/>
  <c r="L2873" i="1"/>
  <c r="M2873" i="1"/>
  <c r="N2873" i="1"/>
  <c r="O2873" i="1"/>
  <c r="P2873" i="1"/>
  <c r="Q2873" i="1"/>
  <c r="R2873" i="1"/>
  <c r="S2873" i="1"/>
  <c r="T2873" i="1"/>
  <c r="U2873" i="1"/>
  <c r="V2873" i="1"/>
  <c r="W2873" i="1"/>
  <c r="X2873" i="1"/>
  <c r="Y2873" i="1"/>
  <c r="Z2873" i="1"/>
  <c r="A2874" i="1"/>
  <c r="B2874" i="1"/>
  <c r="C2874" i="1"/>
  <c r="D2874" i="1"/>
  <c r="E2874" i="1"/>
  <c r="F2874" i="1"/>
  <c r="G2874" i="1"/>
  <c r="I2874" i="1"/>
  <c r="J2874" i="1"/>
  <c r="K2874" i="1"/>
  <c r="L2874" i="1"/>
  <c r="M2874" i="1"/>
  <c r="N2874" i="1"/>
  <c r="O2874" i="1"/>
  <c r="P2874" i="1"/>
  <c r="Q2874" i="1"/>
  <c r="R2874" i="1"/>
  <c r="S2874" i="1"/>
  <c r="T2874" i="1"/>
  <c r="U2874" i="1"/>
  <c r="V2874" i="1"/>
  <c r="W2874" i="1"/>
  <c r="X2874" i="1"/>
  <c r="Y2874" i="1"/>
  <c r="Z2874" i="1"/>
  <c r="A2875" i="1"/>
  <c r="B2875" i="1"/>
  <c r="C2875" i="1"/>
  <c r="D2875" i="1"/>
  <c r="E2875" i="1"/>
  <c r="F2875" i="1"/>
  <c r="G2875" i="1"/>
  <c r="I2875" i="1"/>
  <c r="J2875" i="1"/>
  <c r="K2875" i="1"/>
  <c r="L2875" i="1"/>
  <c r="M2875" i="1"/>
  <c r="N2875" i="1"/>
  <c r="O2875" i="1"/>
  <c r="P2875" i="1"/>
  <c r="Q2875" i="1"/>
  <c r="R2875" i="1"/>
  <c r="S2875" i="1"/>
  <c r="T2875" i="1"/>
  <c r="U2875" i="1"/>
  <c r="V2875" i="1"/>
  <c r="W2875" i="1"/>
  <c r="X2875" i="1"/>
  <c r="Y2875" i="1"/>
  <c r="Z2875" i="1"/>
  <c r="A2876" i="1"/>
  <c r="B2876" i="1"/>
  <c r="C2876" i="1"/>
  <c r="D2876" i="1"/>
  <c r="E2876" i="1"/>
  <c r="F2876" i="1"/>
  <c r="G2876" i="1"/>
  <c r="I2876" i="1"/>
  <c r="J2876" i="1"/>
  <c r="K2876" i="1"/>
  <c r="L2876" i="1"/>
  <c r="M2876" i="1"/>
  <c r="N2876" i="1"/>
  <c r="O2876" i="1"/>
  <c r="P2876" i="1"/>
  <c r="Q2876" i="1"/>
  <c r="R2876" i="1"/>
  <c r="S2876" i="1"/>
  <c r="T2876" i="1"/>
  <c r="U2876" i="1"/>
  <c r="V2876" i="1"/>
  <c r="W2876" i="1"/>
  <c r="X2876" i="1"/>
  <c r="Y2876" i="1"/>
  <c r="Z2876" i="1"/>
  <c r="A2877" i="1"/>
  <c r="B2877" i="1"/>
  <c r="C2877" i="1"/>
  <c r="D2877" i="1"/>
  <c r="E2877" i="1"/>
  <c r="F2877" i="1"/>
  <c r="G2877" i="1"/>
  <c r="I2877" i="1"/>
  <c r="J2877" i="1"/>
  <c r="K2877" i="1"/>
  <c r="L2877" i="1"/>
  <c r="M2877" i="1"/>
  <c r="N2877" i="1"/>
  <c r="O2877" i="1"/>
  <c r="P2877" i="1"/>
  <c r="Q2877" i="1"/>
  <c r="R2877" i="1"/>
  <c r="S2877" i="1"/>
  <c r="T2877" i="1"/>
  <c r="U2877" i="1"/>
  <c r="V2877" i="1"/>
  <c r="W2877" i="1"/>
  <c r="X2877" i="1"/>
  <c r="Y2877" i="1"/>
  <c r="Z2877" i="1"/>
  <c r="A2878" i="1"/>
  <c r="B2878" i="1"/>
  <c r="C2878" i="1"/>
  <c r="D2878" i="1"/>
  <c r="E2878" i="1"/>
  <c r="F2878" i="1"/>
  <c r="G2878" i="1"/>
  <c r="I2878" i="1"/>
  <c r="J2878" i="1"/>
  <c r="K2878" i="1"/>
  <c r="L2878" i="1"/>
  <c r="M2878" i="1"/>
  <c r="N2878" i="1"/>
  <c r="O2878" i="1"/>
  <c r="P2878" i="1"/>
  <c r="Q2878" i="1"/>
  <c r="R2878" i="1"/>
  <c r="S2878" i="1"/>
  <c r="T2878" i="1"/>
  <c r="U2878" i="1"/>
  <c r="V2878" i="1"/>
  <c r="W2878" i="1"/>
  <c r="X2878" i="1"/>
  <c r="Y2878" i="1"/>
  <c r="Z2878" i="1"/>
  <c r="A2879" i="1"/>
  <c r="B2879" i="1"/>
  <c r="C2879" i="1"/>
  <c r="D2879" i="1"/>
  <c r="E2879" i="1"/>
  <c r="F2879" i="1"/>
  <c r="G2879" i="1"/>
  <c r="I2879" i="1"/>
  <c r="J2879" i="1"/>
  <c r="K2879" i="1"/>
  <c r="L2879" i="1"/>
  <c r="M2879" i="1"/>
  <c r="N2879" i="1"/>
  <c r="O2879" i="1"/>
  <c r="P2879" i="1"/>
  <c r="Q2879" i="1"/>
  <c r="R2879" i="1"/>
  <c r="S2879" i="1"/>
  <c r="T2879" i="1"/>
  <c r="U2879" i="1"/>
  <c r="V2879" i="1"/>
  <c r="W2879" i="1"/>
  <c r="X2879" i="1"/>
  <c r="Y2879" i="1"/>
  <c r="Z2879" i="1"/>
  <c r="A2880" i="1"/>
  <c r="B2880" i="1"/>
  <c r="C2880" i="1"/>
  <c r="D2880" i="1"/>
  <c r="E2880" i="1"/>
  <c r="F2880" i="1"/>
  <c r="G2880" i="1"/>
  <c r="I2880" i="1"/>
  <c r="J2880" i="1"/>
  <c r="K2880" i="1"/>
  <c r="L2880" i="1"/>
  <c r="M2880" i="1"/>
  <c r="N2880" i="1"/>
  <c r="O2880" i="1"/>
  <c r="P2880" i="1"/>
  <c r="Q2880" i="1"/>
  <c r="R2880" i="1"/>
  <c r="S2880" i="1"/>
  <c r="T2880" i="1"/>
  <c r="U2880" i="1"/>
  <c r="V2880" i="1"/>
  <c r="W2880" i="1"/>
  <c r="X2880" i="1"/>
  <c r="Y2880" i="1"/>
  <c r="Z2880" i="1"/>
  <c r="A2881" i="1"/>
  <c r="B2881" i="1"/>
  <c r="C2881" i="1"/>
  <c r="D2881" i="1"/>
  <c r="E2881" i="1"/>
  <c r="F2881" i="1"/>
  <c r="G2881" i="1"/>
  <c r="I2881" i="1"/>
  <c r="J2881" i="1"/>
  <c r="K2881" i="1"/>
  <c r="L2881" i="1"/>
  <c r="M2881" i="1"/>
  <c r="N2881" i="1"/>
  <c r="O2881" i="1"/>
  <c r="P2881" i="1"/>
  <c r="Q2881" i="1"/>
  <c r="R2881" i="1"/>
  <c r="S2881" i="1"/>
  <c r="T2881" i="1"/>
  <c r="U2881" i="1"/>
  <c r="V2881" i="1"/>
  <c r="W2881" i="1"/>
  <c r="X2881" i="1"/>
  <c r="Y2881" i="1"/>
  <c r="Z2881" i="1"/>
  <c r="A2882" i="1"/>
  <c r="B2882" i="1"/>
  <c r="C2882" i="1"/>
  <c r="D2882" i="1"/>
  <c r="E2882" i="1"/>
  <c r="F2882" i="1"/>
  <c r="G2882" i="1"/>
  <c r="I2882" i="1"/>
  <c r="J2882" i="1"/>
  <c r="K2882" i="1"/>
  <c r="L2882" i="1"/>
  <c r="M2882" i="1"/>
  <c r="N2882" i="1"/>
  <c r="O2882" i="1"/>
  <c r="P2882" i="1"/>
  <c r="Q2882" i="1"/>
  <c r="R2882" i="1"/>
  <c r="S2882" i="1"/>
  <c r="T2882" i="1"/>
  <c r="U2882" i="1"/>
  <c r="V2882" i="1"/>
  <c r="W2882" i="1"/>
  <c r="X2882" i="1"/>
  <c r="Y2882" i="1"/>
  <c r="Z2882" i="1"/>
  <c r="A2883" i="1"/>
  <c r="B2883" i="1"/>
  <c r="C2883" i="1"/>
  <c r="D2883" i="1"/>
  <c r="E2883" i="1"/>
  <c r="F2883" i="1"/>
  <c r="G2883" i="1"/>
  <c r="I2883" i="1"/>
  <c r="J2883" i="1"/>
  <c r="K2883" i="1"/>
  <c r="L2883" i="1"/>
  <c r="M2883" i="1"/>
  <c r="N2883" i="1"/>
  <c r="O2883" i="1"/>
  <c r="P2883" i="1"/>
  <c r="Q2883" i="1"/>
  <c r="R2883" i="1"/>
  <c r="S2883" i="1"/>
  <c r="T2883" i="1"/>
  <c r="U2883" i="1"/>
  <c r="V2883" i="1"/>
  <c r="W2883" i="1"/>
  <c r="X2883" i="1"/>
  <c r="Y2883" i="1"/>
  <c r="Z2883" i="1"/>
  <c r="A2884" i="1"/>
  <c r="B2884" i="1"/>
  <c r="C2884" i="1"/>
  <c r="D2884" i="1"/>
  <c r="E2884" i="1"/>
  <c r="F2884" i="1"/>
  <c r="G2884" i="1"/>
  <c r="I2884" i="1"/>
  <c r="J2884" i="1"/>
  <c r="K2884" i="1"/>
  <c r="L2884" i="1"/>
  <c r="M2884" i="1"/>
  <c r="N2884" i="1"/>
  <c r="O2884" i="1"/>
  <c r="P2884" i="1"/>
  <c r="Q2884" i="1"/>
  <c r="R2884" i="1"/>
  <c r="S2884" i="1"/>
  <c r="T2884" i="1"/>
  <c r="U2884" i="1"/>
  <c r="V2884" i="1"/>
  <c r="W2884" i="1"/>
  <c r="X2884" i="1"/>
  <c r="Y2884" i="1"/>
  <c r="Z2884" i="1"/>
  <c r="A2885" i="1"/>
  <c r="B2885" i="1"/>
  <c r="C2885" i="1"/>
  <c r="D2885" i="1"/>
  <c r="E2885" i="1"/>
  <c r="F2885" i="1"/>
  <c r="G2885" i="1"/>
  <c r="I2885" i="1"/>
  <c r="J2885" i="1"/>
  <c r="K2885" i="1"/>
  <c r="L2885" i="1"/>
  <c r="M2885" i="1"/>
  <c r="N2885" i="1"/>
  <c r="O2885" i="1"/>
  <c r="P2885" i="1"/>
  <c r="Q2885" i="1"/>
  <c r="R2885" i="1"/>
  <c r="S2885" i="1"/>
  <c r="T2885" i="1"/>
  <c r="U2885" i="1"/>
  <c r="V2885" i="1"/>
  <c r="W2885" i="1"/>
  <c r="X2885" i="1"/>
  <c r="Y2885" i="1"/>
  <c r="Z2885" i="1"/>
  <c r="A2886" i="1"/>
  <c r="B2886" i="1"/>
  <c r="C2886" i="1"/>
  <c r="D2886" i="1"/>
  <c r="E2886" i="1"/>
  <c r="F2886" i="1"/>
  <c r="G2886" i="1"/>
  <c r="I2886" i="1"/>
  <c r="J2886" i="1"/>
  <c r="K2886" i="1"/>
  <c r="L2886" i="1"/>
  <c r="M2886" i="1"/>
  <c r="N2886" i="1"/>
  <c r="O2886" i="1"/>
  <c r="P2886" i="1"/>
  <c r="Q2886" i="1"/>
  <c r="R2886" i="1"/>
  <c r="S2886" i="1"/>
  <c r="T2886" i="1"/>
  <c r="U2886" i="1"/>
  <c r="V2886" i="1"/>
  <c r="W2886" i="1"/>
  <c r="X2886" i="1"/>
  <c r="Y2886" i="1"/>
  <c r="Z2886" i="1"/>
  <c r="A2887" i="1"/>
  <c r="B2887" i="1"/>
  <c r="C2887" i="1"/>
  <c r="D2887" i="1"/>
  <c r="E2887" i="1"/>
  <c r="F2887" i="1"/>
  <c r="G2887" i="1"/>
  <c r="I2887" i="1"/>
  <c r="J2887" i="1"/>
  <c r="K2887" i="1"/>
  <c r="L2887" i="1"/>
  <c r="M2887" i="1"/>
  <c r="N2887" i="1"/>
  <c r="O2887" i="1"/>
  <c r="P2887" i="1"/>
  <c r="Q2887" i="1"/>
  <c r="R2887" i="1"/>
  <c r="S2887" i="1"/>
  <c r="T2887" i="1"/>
  <c r="U2887" i="1"/>
  <c r="V2887" i="1"/>
  <c r="W2887" i="1"/>
  <c r="X2887" i="1"/>
  <c r="Y2887" i="1"/>
  <c r="Z2887" i="1"/>
  <c r="A2888" i="1"/>
  <c r="B2888" i="1"/>
  <c r="C2888" i="1"/>
  <c r="D2888" i="1"/>
  <c r="E2888" i="1"/>
  <c r="F2888" i="1"/>
  <c r="G2888" i="1"/>
  <c r="I2888" i="1"/>
  <c r="J2888" i="1"/>
  <c r="K2888" i="1"/>
  <c r="L2888" i="1"/>
  <c r="M2888" i="1"/>
  <c r="N2888" i="1"/>
  <c r="O2888" i="1"/>
  <c r="P2888" i="1"/>
  <c r="Q2888" i="1"/>
  <c r="R2888" i="1"/>
  <c r="S2888" i="1"/>
  <c r="T2888" i="1"/>
  <c r="U2888" i="1"/>
  <c r="V2888" i="1"/>
  <c r="W2888" i="1"/>
  <c r="X2888" i="1"/>
  <c r="Y2888" i="1"/>
  <c r="Z2888" i="1"/>
  <c r="A2889" i="1"/>
  <c r="B2889" i="1"/>
  <c r="C2889" i="1"/>
  <c r="D2889" i="1"/>
  <c r="E2889" i="1"/>
  <c r="F2889" i="1"/>
  <c r="G2889" i="1"/>
  <c r="I2889" i="1"/>
  <c r="J2889" i="1"/>
  <c r="K2889" i="1"/>
  <c r="L2889" i="1"/>
  <c r="M2889" i="1"/>
  <c r="N2889" i="1"/>
  <c r="O2889" i="1"/>
  <c r="P2889" i="1"/>
  <c r="Q2889" i="1"/>
  <c r="R2889" i="1"/>
  <c r="S2889" i="1"/>
  <c r="T2889" i="1"/>
  <c r="U2889" i="1"/>
  <c r="V2889" i="1"/>
  <c r="W2889" i="1"/>
  <c r="X2889" i="1"/>
  <c r="Y2889" i="1"/>
  <c r="Z2889" i="1"/>
  <c r="A2890" i="1"/>
  <c r="B2890" i="1"/>
  <c r="C2890" i="1"/>
  <c r="D2890" i="1"/>
  <c r="E2890" i="1"/>
  <c r="F2890" i="1"/>
  <c r="G2890" i="1"/>
  <c r="I2890" i="1"/>
  <c r="J2890" i="1"/>
  <c r="K2890" i="1"/>
  <c r="L2890" i="1"/>
  <c r="M2890" i="1"/>
  <c r="N2890" i="1"/>
  <c r="O2890" i="1"/>
  <c r="P2890" i="1"/>
  <c r="Q2890" i="1"/>
  <c r="R2890" i="1"/>
  <c r="S2890" i="1"/>
  <c r="T2890" i="1"/>
  <c r="U2890" i="1"/>
  <c r="V2890" i="1"/>
  <c r="W2890" i="1"/>
  <c r="X2890" i="1"/>
  <c r="Y2890" i="1"/>
  <c r="Z2890" i="1"/>
  <c r="A2891" i="1"/>
  <c r="B2891" i="1"/>
  <c r="C2891" i="1"/>
  <c r="D2891" i="1"/>
  <c r="E2891" i="1"/>
  <c r="F2891" i="1"/>
  <c r="G2891" i="1"/>
  <c r="I2891" i="1"/>
  <c r="J2891" i="1"/>
  <c r="K2891" i="1"/>
  <c r="L2891" i="1"/>
  <c r="M2891" i="1"/>
  <c r="N2891" i="1"/>
  <c r="O2891" i="1"/>
  <c r="P2891" i="1"/>
  <c r="Q2891" i="1"/>
  <c r="R2891" i="1"/>
  <c r="S2891" i="1"/>
  <c r="T2891" i="1"/>
  <c r="U2891" i="1"/>
  <c r="V2891" i="1"/>
  <c r="W2891" i="1"/>
  <c r="X2891" i="1"/>
  <c r="Y2891" i="1"/>
  <c r="Z2891" i="1"/>
  <c r="A2892" i="1"/>
  <c r="B2892" i="1"/>
  <c r="C2892" i="1"/>
  <c r="D2892" i="1"/>
  <c r="E2892" i="1"/>
  <c r="F2892" i="1"/>
  <c r="G2892" i="1"/>
  <c r="I2892" i="1"/>
  <c r="J2892" i="1"/>
  <c r="K2892" i="1"/>
  <c r="L2892" i="1"/>
  <c r="M2892" i="1"/>
  <c r="N2892" i="1"/>
  <c r="O2892" i="1"/>
  <c r="P2892" i="1"/>
  <c r="Q2892" i="1"/>
  <c r="R2892" i="1"/>
  <c r="S2892" i="1"/>
  <c r="T2892" i="1"/>
  <c r="U2892" i="1"/>
  <c r="V2892" i="1"/>
  <c r="W2892" i="1"/>
  <c r="X2892" i="1"/>
  <c r="Y2892" i="1"/>
  <c r="Z2892" i="1"/>
  <c r="A2893" i="1"/>
  <c r="B2893" i="1"/>
  <c r="C2893" i="1"/>
  <c r="D2893" i="1"/>
  <c r="E2893" i="1"/>
  <c r="F2893" i="1"/>
  <c r="G2893" i="1"/>
  <c r="I2893" i="1"/>
  <c r="J2893" i="1"/>
  <c r="K2893" i="1"/>
  <c r="L2893" i="1"/>
  <c r="M2893" i="1"/>
  <c r="N2893" i="1"/>
  <c r="O2893" i="1"/>
  <c r="P2893" i="1"/>
  <c r="Q2893" i="1"/>
  <c r="R2893" i="1"/>
  <c r="S2893" i="1"/>
  <c r="T2893" i="1"/>
  <c r="U2893" i="1"/>
  <c r="V2893" i="1"/>
  <c r="W2893" i="1"/>
  <c r="X2893" i="1"/>
  <c r="Y2893" i="1"/>
  <c r="Z2893" i="1"/>
  <c r="A2894" i="1"/>
  <c r="B2894" i="1"/>
  <c r="C2894" i="1"/>
  <c r="D2894" i="1"/>
  <c r="E2894" i="1"/>
  <c r="F2894" i="1"/>
  <c r="G2894" i="1"/>
  <c r="I2894" i="1"/>
  <c r="J2894" i="1"/>
  <c r="K2894" i="1"/>
  <c r="L2894" i="1"/>
  <c r="M2894" i="1"/>
  <c r="N2894" i="1"/>
  <c r="O2894" i="1"/>
  <c r="P2894" i="1"/>
  <c r="Q2894" i="1"/>
  <c r="R2894" i="1"/>
  <c r="S2894" i="1"/>
  <c r="T2894" i="1"/>
  <c r="U2894" i="1"/>
  <c r="V2894" i="1"/>
  <c r="W2894" i="1"/>
  <c r="X2894" i="1"/>
  <c r="Y2894" i="1"/>
  <c r="Z2894" i="1"/>
  <c r="A2895" i="1"/>
  <c r="B2895" i="1"/>
  <c r="C2895" i="1"/>
  <c r="D2895" i="1"/>
  <c r="E2895" i="1"/>
  <c r="F2895" i="1"/>
  <c r="G2895" i="1"/>
  <c r="I2895" i="1"/>
  <c r="J2895" i="1"/>
  <c r="K2895" i="1"/>
  <c r="L2895" i="1"/>
  <c r="M2895" i="1"/>
  <c r="N2895" i="1"/>
  <c r="O2895" i="1"/>
  <c r="P2895" i="1"/>
  <c r="Q2895" i="1"/>
  <c r="R2895" i="1"/>
  <c r="S2895" i="1"/>
  <c r="T2895" i="1"/>
  <c r="U2895" i="1"/>
  <c r="V2895" i="1"/>
  <c r="W2895" i="1"/>
  <c r="X2895" i="1"/>
  <c r="Y2895" i="1"/>
  <c r="Z2895" i="1"/>
  <c r="A2896" i="1"/>
  <c r="B2896" i="1"/>
  <c r="C2896" i="1"/>
  <c r="D2896" i="1"/>
  <c r="E2896" i="1"/>
  <c r="F2896" i="1"/>
  <c r="G2896" i="1"/>
  <c r="I2896" i="1"/>
  <c r="J2896" i="1"/>
  <c r="K2896" i="1"/>
  <c r="L2896" i="1"/>
  <c r="M2896" i="1"/>
  <c r="N2896" i="1"/>
  <c r="O2896" i="1"/>
  <c r="P2896" i="1"/>
  <c r="Q2896" i="1"/>
  <c r="R2896" i="1"/>
  <c r="S2896" i="1"/>
  <c r="T2896" i="1"/>
  <c r="U2896" i="1"/>
  <c r="V2896" i="1"/>
  <c r="W2896" i="1"/>
  <c r="X2896" i="1"/>
  <c r="Y2896" i="1"/>
  <c r="Z2896" i="1"/>
  <c r="A2897" i="1"/>
  <c r="B2897" i="1"/>
  <c r="C2897" i="1"/>
  <c r="D2897" i="1"/>
  <c r="E2897" i="1"/>
  <c r="F2897" i="1"/>
  <c r="G2897" i="1"/>
  <c r="I2897" i="1"/>
  <c r="J2897" i="1"/>
  <c r="K2897" i="1"/>
  <c r="L2897" i="1"/>
  <c r="M2897" i="1"/>
  <c r="N2897" i="1"/>
  <c r="O2897" i="1"/>
  <c r="P2897" i="1"/>
  <c r="Q2897" i="1"/>
  <c r="R2897" i="1"/>
  <c r="S2897" i="1"/>
  <c r="T2897" i="1"/>
  <c r="U2897" i="1"/>
  <c r="V2897" i="1"/>
  <c r="W2897" i="1"/>
  <c r="X2897" i="1"/>
  <c r="Y2897" i="1"/>
  <c r="Z2897" i="1"/>
  <c r="A2898" i="1"/>
  <c r="B2898" i="1"/>
  <c r="C2898" i="1"/>
  <c r="D2898" i="1"/>
  <c r="E2898" i="1"/>
  <c r="F2898" i="1"/>
  <c r="G2898" i="1"/>
  <c r="I2898" i="1"/>
  <c r="J2898" i="1"/>
  <c r="K2898" i="1"/>
  <c r="L2898" i="1"/>
  <c r="M2898" i="1"/>
  <c r="N2898" i="1"/>
  <c r="O2898" i="1"/>
  <c r="P2898" i="1"/>
  <c r="Q2898" i="1"/>
  <c r="R2898" i="1"/>
  <c r="S2898" i="1"/>
  <c r="T2898" i="1"/>
  <c r="U2898" i="1"/>
  <c r="V2898" i="1"/>
  <c r="W2898" i="1"/>
  <c r="X2898" i="1"/>
  <c r="Y2898" i="1"/>
  <c r="Z2898" i="1"/>
  <c r="A2899" i="1"/>
  <c r="B2899" i="1"/>
  <c r="C2899" i="1"/>
  <c r="D2899" i="1"/>
  <c r="E2899" i="1"/>
  <c r="F2899" i="1"/>
  <c r="G2899" i="1"/>
  <c r="I2899" i="1"/>
  <c r="J2899" i="1"/>
  <c r="K2899" i="1"/>
  <c r="L2899" i="1"/>
  <c r="M2899" i="1"/>
  <c r="N2899" i="1"/>
  <c r="O2899" i="1"/>
  <c r="P2899" i="1"/>
  <c r="Q2899" i="1"/>
  <c r="R2899" i="1"/>
  <c r="S2899" i="1"/>
  <c r="T2899" i="1"/>
  <c r="U2899" i="1"/>
  <c r="V2899" i="1"/>
  <c r="W2899" i="1"/>
  <c r="X2899" i="1"/>
  <c r="Y2899" i="1"/>
  <c r="Z2899" i="1"/>
  <c r="A2900" i="1"/>
  <c r="B2900" i="1"/>
  <c r="C2900" i="1"/>
  <c r="D2900" i="1"/>
  <c r="E2900" i="1"/>
  <c r="F2900" i="1"/>
  <c r="G2900" i="1"/>
  <c r="I2900" i="1"/>
  <c r="J2900" i="1"/>
  <c r="K2900" i="1"/>
  <c r="L2900" i="1"/>
  <c r="M2900" i="1"/>
  <c r="N2900" i="1"/>
  <c r="O2900" i="1"/>
  <c r="P2900" i="1"/>
  <c r="Q2900" i="1"/>
  <c r="R2900" i="1"/>
  <c r="S2900" i="1"/>
  <c r="T2900" i="1"/>
  <c r="U2900" i="1"/>
  <c r="V2900" i="1"/>
  <c r="W2900" i="1"/>
  <c r="X2900" i="1"/>
  <c r="Y2900" i="1"/>
  <c r="Z2900" i="1"/>
  <c r="A2901" i="1"/>
  <c r="B2901" i="1"/>
  <c r="C2901" i="1"/>
  <c r="D2901" i="1"/>
  <c r="E2901" i="1"/>
  <c r="F2901" i="1"/>
  <c r="G2901" i="1"/>
  <c r="I2901" i="1"/>
  <c r="J2901" i="1"/>
  <c r="K2901" i="1"/>
  <c r="L2901" i="1"/>
  <c r="M2901" i="1"/>
  <c r="N2901" i="1"/>
  <c r="O2901" i="1"/>
  <c r="P2901" i="1"/>
  <c r="Q2901" i="1"/>
  <c r="R2901" i="1"/>
  <c r="S2901" i="1"/>
  <c r="T2901" i="1"/>
  <c r="U2901" i="1"/>
  <c r="V2901" i="1"/>
  <c r="W2901" i="1"/>
  <c r="X2901" i="1"/>
  <c r="Y2901" i="1"/>
  <c r="Z2901" i="1"/>
  <c r="A2902" i="1"/>
  <c r="B2902" i="1"/>
  <c r="C2902" i="1"/>
  <c r="D2902" i="1"/>
  <c r="E2902" i="1"/>
  <c r="F2902" i="1"/>
  <c r="G2902" i="1"/>
  <c r="I2902" i="1"/>
  <c r="J2902" i="1"/>
  <c r="K2902" i="1"/>
  <c r="L2902" i="1"/>
  <c r="M2902" i="1"/>
  <c r="N2902" i="1"/>
  <c r="O2902" i="1"/>
  <c r="P2902" i="1"/>
  <c r="Q2902" i="1"/>
  <c r="R2902" i="1"/>
  <c r="S2902" i="1"/>
  <c r="T2902" i="1"/>
  <c r="U2902" i="1"/>
  <c r="V2902" i="1"/>
  <c r="W2902" i="1"/>
  <c r="X2902" i="1"/>
  <c r="Y2902" i="1"/>
  <c r="Z2902" i="1"/>
  <c r="A2903" i="1"/>
  <c r="B2903" i="1"/>
  <c r="C2903" i="1"/>
  <c r="D2903" i="1"/>
  <c r="E2903" i="1"/>
  <c r="F2903" i="1"/>
  <c r="G2903" i="1"/>
  <c r="I2903" i="1"/>
  <c r="J2903" i="1"/>
  <c r="K2903" i="1"/>
  <c r="L2903" i="1"/>
  <c r="M2903" i="1"/>
  <c r="N2903" i="1"/>
  <c r="O2903" i="1"/>
  <c r="P2903" i="1"/>
  <c r="Q2903" i="1"/>
  <c r="R2903" i="1"/>
  <c r="S2903" i="1"/>
  <c r="T2903" i="1"/>
  <c r="U2903" i="1"/>
  <c r="V2903" i="1"/>
  <c r="W2903" i="1"/>
  <c r="X2903" i="1"/>
  <c r="Y2903" i="1"/>
  <c r="Z2903" i="1"/>
  <c r="A2904" i="1"/>
  <c r="B2904" i="1"/>
  <c r="C2904" i="1"/>
  <c r="D2904" i="1"/>
  <c r="E2904" i="1"/>
  <c r="F2904" i="1"/>
  <c r="G2904" i="1"/>
  <c r="I2904" i="1"/>
  <c r="J2904" i="1"/>
  <c r="K2904" i="1"/>
  <c r="L2904" i="1"/>
  <c r="M2904" i="1"/>
  <c r="N2904" i="1"/>
  <c r="O2904" i="1"/>
  <c r="P2904" i="1"/>
  <c r="Q2904" i="1"/>
  <c r="R2904" i="1"/>
  <c r="S2904" i="1"/>
  <c r="T2904" i="1"/>
  <c r="U2904" i="1"/>
  <c r="V2904" i="1"/>
  <c r="W2904" i="1"/>
  <c r="X2904" i="1"/>
  <c r="Y2904" i="1"/>
  <c r="Z2904" i="1"/>
  <c r="A2905" i="1"/>
  <c r="B2905" i="1"/>
  <c r="C2905" i="1"/>
  <c r="D2905" i="1"/>
  <c r="E2905" i="1"/>
  <c r="F2905" i="1"/>
  <c r="G2905" i="1"/>
  <c r="I2905" i="1"/>
  <c r="J2905" i="1"/>
  <c r="K2905" i="1"/>
  <c r="L2905" i="1"/>
  <c r="M2905" i="1"/>
  <c r="N2905" i="1"/>
  <c r="O2905" i="1"/>
  <c r="P2905" i="1"/>
  <c r="Q2905" i="1"/>
  <c r="R2905" i="1"/>
  <c r="S2905" i="1"/>
  <c r="T2905" i="1"/>
  <c r="U2905" i="1"/>
  <c r="V2905" i="1"/>
  <c r="W2905" i="1"/>
  <c r="X2905" i="1"/>
  <c r="Y2905" i="1"/>
  <c r="Z2905" i="1"/>
  <c r="A2906" i="1"/>
  <c r="B2906" i="1"/>
  <c r="C2906" i="1"/>
  <c r="D2906" i="1"/>
  <c r="E2906" i="1"/>
  <c r="F2906" i="1"/>
  <c r="G2906" i="1"/>
  <c r="I2906" i="1"/>
  <c r="J2906" i="1"/>
  <c r="K2906" i="1"/>
  <c r="L2906" i="1"/>
  <c r="M2906" i="1"/>
  <c r="N2906" i="1"/>
  <c r="O2906" i="1"/>
  <c r="P2906" i="1"/>
  <c r="Q2906" i="1"/>
  <c r="R2906" i="1"/>
  <c r="S2906" i="1"/>
  <c r="T2906" i="1"/>
  <c r="U2906" i="1"/>
  <c r="V2906" i="1"/>
  <c r="W2906" i="1"/>
  <c r="X2906" i="1"/>
  <c r="Y2906" i="1"/>
  <c r="Z2906" i="1"/>
  <c r="A2907" i="1"/>
  <c r="B2907" i="1"/>
  <c r="C2907" i="1"/>
  <c r="D2907" i="1"/>
  <c r="E2907" i="1"/>
  <c r="F2907" i="1"/>
  <c r="G2907" i="1"/>
  <c r="I2907" i="1"/>
  <c r="J2907" i="1"/>
  <c r="K2907" i="1"/>
  <c r="L2907" i="1"/>
  <c r="M2907" i="1"/>
  <c r="N2907" i="1"/>
  <c r="O2907" i="1"/>
  <c r="P2907" i="1"/>
  <c r="Q2907" i="1"/>
  <c r="R2907" i="1"/>
  <c r="S2907" i="1"/>
  <c r="T2907" i="1"/>
  <c r="U2907" i="1"/>
  <c r="V2907" i="1"/>
  <c r="W2907" i="1"/>
  <c r="X2907" i="1"/>
  <c r="Y2907" i="1"/>
  <c r="Z2907" i="1"/>
  <c r="A2908" i="1"/>
  <c r="B2908" i="1"/>
  <c r="C2908" i="1"/>
  <c r="D2908" i="1"/>
  <c r="E2908" i="1"/>
  <c r="F2908" i="1"/>
  <c r="G2908" i="1"/>
  <c r="I2908" i="1"/>
  <c r="J2908" i="1"/>
  <c r="K2908" i="1"/>
  <c r="L2908" i="1"/>
  <c r="M2908" i="1"/>
  <c r="N2908" i="1"/>
  <c r="O2908" i="1"/>
  <c r="P2908" i="1"/>
  <c r="Q2908" i="1"/>
  <c r="R2908" i="1"/>
  <c r="S2908" i="1"/>
  <c r="T2908" i="1"/>
  <c r="U2908" i="1"/>
  <c r="V2908" i="1"/>
  <c r="W2908" i="1"/>
  <c r="X2908" i="1"/>
  <c r="Y2908" i="1"/>
  <c r="Z2908" i="1"/>
  <c r="A2909" i="1"/>
  <c r="B2909" i="1"/>
  <c r="C2909" i="1"/>
  <c r="D2909" i="1"/>
  <c r="E2909" i="1"/>
  <c r="F2909" i="1"/>
  <c r="G2909" i="1"/>
  <c r="I2909" i="1"/>
  <c r="J2909" i="1"/>
  <c r="K2909" i="1"/>
  <c r="L2909" i="1"/>
  <c r="M2909" i="1"/>
  <c r="N2909" i="1"/>
  <c r="O2909" i="1"/>
  <c r="P2909" i="1"/>
  <c r="Q2909" i="1"/>
  <c r="R2909" i="1"/>
  <c r="S2909" i="1"/>
  <c r="T2909" i="1"/>
  <c r="U2909" i="1"/>
  <c r="V2909" i="1"/>
  <c r="W2909" i="1"/>
  <c r="X2909" i="1"/>
  <c r="Y2909" i="1"/>
  <c r="Z2909" i="1"/>
  <c r="A2910" i="1"/>
  <c r="B2910" i="1"/>
  <c r="C2910" i="1"/>
  <c r="D2910" i="1"/>
  <c r="E2910" i="1"/>
  <c r="F2910" i="1"/>
  <c r="G2910" i="1"/>
  <c r="I2910" i="1"/>
  <c r="J2910" i="1"/>
  <c r="K2910" i="1"/>
  <c r="L2910" i="1"/>
  <c r="M2910" i="1"/>
  <c r="N2910" i="1"/>
  <c r="O2910" i="1"/>
  <c r="P2910" i="1"/>
  <c r="Q2910" i="1"/>
  <c r="R2910" i="1"/>
  <c r="S2910" i="1"/>
  <c r="T2910" i="1"/>
  <c r="U2910" i="1"/>
  <c r="V2910" i="1"/>
  <c r="W2910" i="1"/>
  <c r="X2910" i="1"/>
  <c r="Y2910" i="1"/>
  <c r="Z2910" i="1"/>
  <c r="A2911" i="1"/>
  <c r="B2911" i="1"/>
  <c r="C2911" i="1"/>
  <c r="D2911" i="1"/>
  <c r="E2911" i="1"/>
  <c r="F2911" i="1"/>
  <c r="G2911" i="1"/>
  <c r="I2911" i="1"/>
  <c r="J2911" i="1"/>
  <c r="K2911" i="1"/>
  <c r="L2911" i="1"/>
  <c r="M2911" i="1"/>
  <c r="N2911" i="1"/>
  <c r="O2911" i="1"/>
  <c r="P2911" i="1"/>
  <c r="Q2911" i="1"/>
  <c r="R2911" i="1"/>
  <c r="S2911" i="1"/>
  <c r="T2911" i="1"/>
  <c r="U2911" i="1"/>
  <c r="V2911" i="1"/>
  <c r="W2911" i="1"/>
  <c r="X2911" i="1"/>
  <c r="Y2911" i="1"/>
  <c r="Z2911" i="1"/>
  <c r="A2912" i="1"/>
  <c r="B2912" i="1"/>
  <c r="C2912" i="1"/>
  <c r="D2912" i="1"/>
  <c r="E2912" i="1"/>
  <c r="F2912" i="1"/>
  <c r="G2912" i="1"/>
  <c r="I2912" i="1"/>
  <c r="J2912" i="1"/>
  <c r="K2912" i="1"/>
  <c r="L2912" i="1"/>
  <c r="M2912" i="1"/>
  <c r="N2912" i="1"/>
  <c r="O2912" i="1"/>
  <c r="P2912" i="1"/>
  <c r="Q2912" i="1"/>
  <c r="R2912" i="1"/>
  <c r="S2912" i="1"/>
  <c r="T2912" i="1"/>
  <c r="U2912" i="1"/>
  <c r="V2912" i="1"/>
  <c r="W2912" i="1"/>
  <c r="X2912" i="1"/>
  <c r="Y2912" i="1"/>
  <c r="Z2912" i="1"/>
  <c r="A2913" i="1"/>
  <c r="B2913" i="1"/>
  <c r="C2913" i="1"/>
  <c r="D2913" i="1"/>
  <c r="E2913" i="1"/>
  <c r="F2913" i="1"/>
  <c r="G2913" i="1"/>
  <c r="I2913" i="1"/>
  <c r="J2913" i="1"/>
  <c r="K2913" i="1"/>
  <c r="L2913" i="1"/>
  <c r="M2913" i="1"/>
  <c r="N2913" i="1"/>
  <c r="O2913" i="1"/>
  <c r="P2913" i="1"/>
  <c r="Q2913" i="1"/>
  <c r="R2913" i="1"/>
  <c r="S2913" i="1"/>
  <c r="T2913" i="1"/>
  <c r="U2913" i="1"/>
  <c r="V2913" i="1"/>
  <c r="W2913" i="1"/>
  <c r="X2913" i="1"/>
  <c r="Y2913" i="1"/>
  <c r="Z2913" i="1"/>
  <c r="A2914" i="1"/>
  <c r="B2914" i="1"/>
  <c r="C2914" i="1"/>
  <c r="D2914" i="1"/>
  <c r="E2914" i="1"/>
  <c r="F2914" i="1"/>
  <c r="G2914" i="1"/>
  <c r="I2914" i="1"/>
  <c r="J2914" i="1"/>
  <c r="K2914" i="1"/>
  <c r="L2914" i="1"/>
  <c r="M2914" i="1"/>
  <c r="N2914" i="1"/>
  <c r="O2914" i="1"/>
  <c r="P2914" i="1"/>
  <c r="Q2914" i="1"/>
  <c r="R2914" i="1"/>
  <c r="S2914" i="1"/>
  <c r="T2914" i="1"/>
  <c r="U2914" i="1"/>
  <c r="V2914" i="1"/>
  <c r="W2914" i="1"/>
  <c r="X2914" i="1"/>
  <c r="Y2914" i="1"/>
  <c r="Z2914" i="1"/>
  <c r="A2915" i="1"/>
  <c r="B2915" i="1"/>
  <c r="C2915" i="1"/>
  <c r="D2915" i="1"/>
  <c r="E2915" i="1"/>
  <c r="F2915" i="1"/>
  <c r="G2915" i="1"/>
  <c r="I2915" i="1"/>
  <c r="J2915" i="1"/>
  <c r="K2915" i="1"/>
  <c r="L2915" i="1"/>
  <c r="M2915" i="1"/>
  <c r="N2915" i="1"/>
  <c r="O2915" i="1"/>
  <c r="P2915" i="1"/>
  <c r="Q2915" i="1"/>
  <c r="R2915" i="1"/>
  <c r="S2915" i="1"/>
  <c r="T2915" i="1"/>
  <c r="U2915" i="1"/>
  <c r="V2915" i="1"/>
  <c r="W2915" i="1"/>
  <c r="X2915" i="1"/>
  <c r="Y2915" i="1"/>
  <c r="Z2915" i="1"/>
  <c r="A2916" i="1"/>
  <c r="B2916" i="1"/>
  <c r="C2916" i="1"/>
  <c r="D2916" i="1"/>
  <c r="E2916" i="1"/>
  <c r="F2916" i="1"/>
  <c r="G2916" i="1"/>
  <c r="I2916" i="1"/>
  <c r="J2916" i="1"/>
  <c r="K2916" i="1"/>
  <c r="L2916" i="1"/>
  <c r="M2916" i="1"/>
  <c r="N2916" i="1"/>
  <c r="O2916" i="1"/>
  <c r="P2916" i="1"/>
  <c r="Q2916" i="1"/>
  <c r="R2916" i="1"/>
  <c r="S2916" i="1"/>
  <c r="T2916" i="1"/>
  <c r="U2916" i="1"/>
  <c r="V2916" i="1"/>
  <c r="W2916" i="1"/>
  <c r="X2916" i="1"/>
  <c r="Y2916" i="1"/>
  <c r="Z2916" i="1"/>
  <c r="A2917" i="1"/>
  <c r="B2917" i="1"/>
  <c r="C2917" i="1"/>
  <c r="D2917" i="1"/>
  <c r="E2917" i="1"/>
  <c r="F2917" i="1"/>
  <c r="G2917" i="1"/>
  <c r="I2917" i="1"/>
  <c r="J2917" i="1"/>
  <c r="K2917" i="1"/>
  <c r="L2917" i="1"/>
  <c r="M2917" i="1"/>
  <c r="N2917" i="1"/>
  <c r="O2917" i="1"/>
  <c r="P2917" i="1"/>
  <c r="Q2917" i="1"/>
  <c r="R2917" i="1"/>
  <c r="S2917" i="1"/>
  <c r="T2917" i="1"/>
  <c r="U2917" i="1"/>
  <c r="V2917" i="1"/>
  <c r="W2917" i="1"/>
  <c r="X2917" i="1"/>
  <c r="Y2917" i="1"/>
  <c r="Z2917" i="1"/>
  <c r="A2918" i="1"/>
  <c r="B2918" i="1"/>
  <c r="C2918" i="1"/>
  <c r="D2918" i="1"/>
  <c r="E2918" i="1"/>
  <c r="F2918" i="1"/>
  <c r="G2918" i="1"/>
  <c r="I2918" i="1"/>
  <c r="J2918" i="1"/>
  <c r="K2918" i="1"/>
  <c r="L2918" i="1"/>
  <c r="M2918" i="1"/>
  <c r="N2918" i="1"/>
  <c r="O2918" i="1"/>
  <c r="P2918" i="1"/>
  <c r="Q2918" i="1"/>
  <c r="R2918" i="1"/>
  <c r="S2918" i="1"/>
  <c r="T2918" i="1"/>
  <c r="U2918" i="1"/>
  <c r="V2918" i="1"/>
  <c r="W2918" i="1"/>
  <c r="X2918" i="1"/>
  <c r="Y2918" i="1"/>
  <c r="Z2918" i="1"/>
  <c r="A2919" i="1"/>
  <c r="B2919" i="1"/>
  <c r="C2919" i="1"/>
  <c r="D2919" i="1"/>
  <c r="E2919" i="1"/>
  <c r="F2919" i="1"/>
  <c r="G2919" i="1"/>
  <c r="I2919" i="1"/>
  <c r="J2919" i="1"/>
  <c r="K2919" i="1"/>
  <c r="L2919" i="1"/>
  <c r="M2919" i="1"/>
  <c r="N2919" i="1"/>
  <c r="O2919" i="1"/>
  <c r="P2919" i="1"/>
  <c r="Q2919" i="1"/>
  <c r="R2919" i="1"/>
  <c r="S2919" i="1"/>
  <c r="T2919" i="1"/>
  <c r="U2919" i="1"/>
  <c r="V2919" i="1"/>
  <c r="W2919" i="1"/>
  <c r="X2919" i="1"/>
  <c r="Y2919" i="1"/>
  <c r="Z2919" i="1"/>
  <c r="A2920" i="1"/>
  <c r="B2920" i="1"/>
  <c r="C2920" i="1"/>
  <c r="D2920" i="1"/>
  <c r="E2920" i="1"/>
  <c r="F2920" i="1"/>
  <c r="G2920" i="1"/>
  <c r="I2920" i="1"/>
  <c r="J2920" i="1"/>
  <c r="K2920" i="1"/>
  <c r="L2920" i="1"/>
  <c r="M2920" i="1"/>
  <c r="N2920" i="1"/>
  <c r="O2920" i="1"/>
  <c r="P2920" i="1"/>
  <c r="Q2920" i="1"/>
  <c r="R2920" i="1"/>
  <c r="S2920" i="1"/>
  <c r="T2920" i="1"/>
  <c r="U2920" i="1"/>
  <c r="V2920" i="1"/>
  <c r="W2920" i="1"/>
  <c r="X2920" i="1"/>
  <c r="Y2920" i="1"/>
  <c r="Z2920" i="1"/>
  <c r="A2921" i="1"/>
  <c r="B2921" i="1"/>
  <c r="C2921" i="1"/>
  <c r="D2921" i="1"/>
  <c r="E2921" i="1"/>
  <c r="F2921" i="1"/>
  <c r="G2921" i="1"/>
  <c r="I2921" i="1"/>
  <c r="J2921" i="1"/>
  <c r="K2921" i="1"/>
  <c r="L2921" i="1"/>
  <c r="M2921" i="1"/>
  <c r="N2921" i="1"/>
  <c r="O2921" i="1"/>
  <c r="P2921" i="1"/>
  <c r="Q2921" i="1"/>
  <c r="R2921" i="1"/>
  <c r="S2921" i="1"/>
  <c r="T2921" i="1"/>
  <c r="U2921" i="1"/>
  <c r="V2921" i="1"/>
  <c r="W2921" i="1"/>
  <c r="X2921" i="1"/>
  <c r="Y2921" i="1"/>
  <c r="Z2921" i="1"/>
  <c r="A2922" i="1"/>
  <c r="B2922" i="1"/>
  <c r="C2922" i="1"/>
  <c r="D2922" i="1"/>
  <c r="E2922" i="1"/>
  <c r="F2922" i="1"/>
  <c r="G2922" i="1"/>
  <c r="I2922" i="1"/>
  <c r="J2922" i="1"/>
  <c r="K2922" i="1"/>
  <c r="L2922" i="1"/>
  <c r="M2922" i="1"/>
  <c r="N2922" i="1"/>
  <c r="O2922" i="1"/>
  <c r="P2922" i="1"/>
  <c r="Q2922" i="1"/>
  <c r="R2922" i="1"/>
  <c r="S2922" i="1"/>
  <c r="T2922" i="1"/>
  <c r="U2922" i="1"/>
  <c r="V2922" i="1"/>
  <c r="W2922" i="1"/>
  <c r="X2922" i="1"/>
  <c r="Y2922" i="1"/>
  <c r="Z2922" i="1"/>
  <c r="A2923" i="1"/>
  <c r="B2923" i="1"/>
  <c r="C2923" i="1"/>
  <c r="D2923" i="1"/>
  <c r="E2923" i="1"/>
  <c r="F2923" i="1"/>
  <c r="G2923" i="1"/>
  <c r="I2923" i="1"/>
  <c r="J2923" i="1"/>
  <c r="K2923" i="1"/>
  <c r="L2923" i="1"/>
  <c r="M2923" i="1"/>
  <c r="N2923" i="1"/>
  <c r="O2923" i="1"/>
  <c r="P2923" i="1"/>
  <c r="Q2923" i="1"/>
  <c r="R2923" i="1"/>
  <c r="S2923" i="1"/>
  <c r="T2923" i="1"/>
  <c r="U2923" i="1"/>
  <c r="V2923" i="1"/>
  <c r="W2923" i="1"/>
  <c r="X2923" i="1"/>
  <c r="Y2923" i="1"/>
  <c r="Z2923" i="1"/>
  <c r="A2924" i="1"/>
  <c r="B2924" i="1"/>
  <c r="C2924" i="1"/>
  <c r="D2924" i="1"/>
  <c r="E2924" i="1"/>
  <c r="F2924" i="1"/>
  <c r="G2924" i="1"/>
  <c r="I2924" i="1"/>
  <c r="J2924" i="1"/>
  <c r="K2924" i="1"/>
  <c r="L2924" i="1"/>
  <c r="M2924" i="1"/>
  <c r="N2924" i="1"/>
  <c r="O2924" i="1"/>
  <c r="P2924" i="1"/>
  <c r="Q2924" i="1"/>
  <c r="R2924" i="1"/>
  <c r="S2924" i="1"/>
  <c r="T2924" i="1"/>
  <c r="U2924" i="1"/>
  <c r="V2924" i="1"/>
  <c r="W2924" i="1"/>
  <c r="X2924" i="1"/>
  <c r="Y2924" i="1"/>
  <c r="Z2924" i="1"/>
  <c r="A2925" i="1"/>
  <c r="B2925" i="1"/>
  <c r="C2925" i="1"/>
  <c r="D2925" i="1"/>
  <c r="E2925" i="1"/>
  <c r="F2925" i="1"/>
  <c r="G2925" i="1"/>
  <c r="I2925" i="1"/>
  <c r="J2925" i="1"/>
  <c r="K2925" i="1"/>
  <c r="L2925" i="1"/>
  <c r="M2925" i="1"/>
  <c r="N2925" i="1"/>
  <c r="O2925" i="1"/>
  <c r="P2925" i="1"/>
  <c r="Q2925" i="1"/>
  <c r="R2925" i="1"/>
  <c r="S2925" i="1"/>
  <c r="T2925" i="1"/>
  <c r="U2925" i="1"/>
  <c r="V2925" i="1"/>
  <c r="W2925" i="1"/>
  <c r="X2925" i="1"/>
  <c r="Y2925" i="1"/>
  <c r="Z2925" i="1"/>
  <c r="A2926" i="1"/>
  <c r="B2926" i="1"/>
  <c r="C2926" i="1"/>
  <c r="D2926" i="1"/>
  <c r="E2926" i="1"/>
  <c r="F2926" i="1"/>
  <c r="G2926" i="1"/>
  <c r="I2926" i="1"/>
  <c r="J2926" i="1"/>
  <c r="K2926" i="1"/>
  <c r="L2926" i="1"/>
  <c r="M2926" i="1"/>
  <c r="N2926" i="1"/>
  <c r="O2926" i="1"/>
  <c r="P2926" i="1"/>
  <c r="Q2926" i="1"/>
  <c r="R2926" i="1"/>
  <c r="S2926" i="1"/>
  <c r="T2926" i="1"/>
  <c r="U2926" i="1"/>
  <c r="V2926" i="1"/>
  <c r="W2926" i="1"/>
  <c r="X2926" i="1"/>
  <c r="Y2926" i="1"/>
  <c r="Z2926" i="1"/>
  <c r="A2927" i="1"/>
  <c r="B2927" i="1"/>
  <c r="C2927" i="1"/>
  <c r="D2927" i="1"/>
  <c r="E2927" i="1"/>
  <c r="F2927" i="1"/>
  <c r="G2927" i="1"/>
  <c r="I2927" i="1"/>
  <c r="J2927" i="1"/>
  <c r="K2927" i="1"/>
  <c r="L2927" i="1"/>
  <c r="M2927" i="1"/>
  <c r="N2927" i="1"/>
  <c r="O2927" i="1"/>
  <c r="P2927" i="1"/>
  <c r="Q2927" i="1"/>
  <c r="R2927" i="1"/>
  <c r="S2927" i="1"/>
  <c r="T2927" i="1"/>
  <c r="U2927" i="1"/>
  <c r="V2927" i="1"/>
  <c r="W2927" i="1"/>
  <c r="X2927" i="1"/>
  <c r="Y2927" i="1"/>
  <c r="Z2927" i="1"/>
  <c r="A2928" i="1"/>
  <c r="B2928" i="1"/>
  <c r="C2928" i="1"/>
  <c r="D2928" i="1"/>
  <c r="E2928" i="1"/>
  <c r="F2928" i="1"/>
  <c r="G2928" i="1"/>
  <c r="I2928" i="1"/>
  <c r="J2928" i="1"/>
  <c r="K2928" i="1"/>
  <c r="L2928" i="1"/>
  <c r="M2928" i="1"/>
  <c r="N2928" i="1"/>
  <c r="O2928" i="1"/>
  <c r="P2928" i="1"/>
  <c r="Q2928" i="1"/>
  <c r="R2928" i="1"/>
  <c r="S2928" i="1"/>
  <c r="T2928" i="1"/>
  <c r="U2928" i="1"/>
  <c r="V2928" i="1"/>
  <c r="W2928" i="1"/>
  <c r="X2928" i="1"/>
  <c r="Y2928" i="1"/>
  <c r="Z2928" i="1"/>
  <c r="A2929" i="1"/>
  <c r="B2929" i="1"/>
  <c r="C2929" i="1"/>
  <c r="D2929" i="1"/>
  <c r="E2929" i="1"/>
  <c r="F2929" i="1"/>
  <c r="G2929" i="1"/>
  <c r="I2929" i="1"/>
  <c r="J2929" i="1"/>
  <c r="K2929" i="1"/>
  <c r="L2929" i="1"/>
  <c r="M2929" i="1"/>
  <c r="N2929" i="1"/>
  <c r="O2929" i="1"/>
  <c r="P2929" i="1"/>
  <c r="Q2929" i="1"/>
  <c r="R2929" i="1"/>
  <c r="S2929" i="1"/>
  <c r="T2929" i="1"/>
  <c r="U2929" i="1"/>
  <c r="V2929" i="1"/>
  <c r="W2929" i="1"/>
  <c r="X2929" i="1"/>
  <c r="Y2929" i="1"/>
  <c r="Z2929" i="1"/>
  <c r="A2930" i="1"/>
  <c r="B2930" i="1"/>
  <c r="C2930" i="1"/>
  <c r="D2930" i="1"/>
  <c r="E2930" i="1"/>
  <c r="F2930" i="1"/>
  <c r="G2930" i="1"/>
  <c r="I2930" i="1"/>
  <c r="J2930" i="1"/>
  <c r="K2930" i="1"/>
  <c r="L2930" i="1"/>
  <c r="M2930" i="1"/>
  <c r="N2930" i="1"/>
  <c r="O2930" i="1"/>
  <c r="P2930" i="1"/>
  <c r="Q2930" i="1"/>
  <c r="R2930" i="1"/>
  <c r="S2930" i="1"/>
  <c r="T2930" i="1"/>
  <c r="U2930" i="1"/>
  <c r="V2930" i="1"/>
  <c r="W2930" i="1"/>
  <c r="X2930" i="1"/>
  <c r="Y2930" i="1"/>
  <c r="Z2930" i="1"/>
  <c r="A2931" i="1"/>
  <c r="B2931" i="1"/>
  <c r="C2931" i="1"/>
  <c r="D2931" i="1"/>
  <c r="E2931" i="1"/>
  <c r="F2931" i="1"/>
  <c r="G2931" i="1"/>
  <c r="I2931" i="1"/>
  <c r="J2931" i="1"/>
  <c r="K2931" i="1"/>
  <c r="L2931" i="1"/>
  <c r="M2931" i="1"/>
  <c r="N2931" i="1"/>
  <c r="O2931" i="1"/>
  <c r="P2931" i="1"/>
  <c r="Q2931" i="1"/>
  <c r="R2931" i="1"/>
  <c r="S2931" i="1"/>
  <c r="T2931" i="1"/>
  <c r="U2931" i="1"/>
  <c r="V2931" i="1"/>
  <c r="W2931" i="1"/>
  <c r="X2931" i="1"/>
  <c r="Y2931" i="1"/>
  <c r="Z2931" i="1"/>
  <c r="A2932" i="1"/>
  <c r="B2932" i="1"/>
  <c r="C2932" i="1"/>
  <c r="D2932" i="1"/>
  <c r="E2932" i="1"/>
  <c r="F2932" i="1"/>
  <c r="G2932" i="1"/>
  <c r="I2932" i="1"/>
  <c r="J2932" i="1"/>
  <c r="K2932" i="1"/>
  <c r="L2932" i="1"/>
  <c r="M2932" i="1"/>
  <c r="N2932" i="1"/>
  <c r="O2932" i="1"/>
  <c r="P2932" i="1"/>
  <c r="Q2932" i="1"/>
  <c r="R2932" i="1"/>
  <c r="S2932" i="1"/>
  <c r="T2932" i="1"/>
  <c r="U2932" i="1"/>
  <c r="V2932" i="1"/>
  <c r="W2932" i="1"/>
  <c r="X2932" i="1"/>
  <c r="Y2932" i="1"/>
  <c r="Z2932" i="1"/>
  <c r="A2933" i="1"/>
  <c r="B2933" i="1"/>
  <c r="C2933" i="1"/>
  <c r="D2933" i="1"/>
  <c r="E2933" i="1"/>
  <c r="F2933" i="1"/>
  <c r="G2933" i="1"/>
  <c r="I2933" i="1"/>
  <c r="J2933" i="1"/>
  <c r="K2933" i="1"/>
  <c r="L2933" i="1"/>
  <c r="M2933" i="1"/>
  <c r="N2933" i="1"/>
  <c r="O2933" i="1"/>
  <c r="P2933" i="1"/>
  <c r="Q2933" i="1"/>
  <c r="R2933" i="1"/>
  <c r="S2933" i="1"/>
  <c r="T2933" i="1"/>
  <c r="U2933" i="1"/>
  <c r="V2933" i="1"/>
  <c r="W2933" i="1"/>
  <c r="X2933" i="1"/>
  <c r="Y2933" i="1"/>
  <c r="Z2933" i="1"/>
  <c r="A2934" i="1"/>
  <c r="B2934" i="1"/>
  <c r="C2934" i="1"/>
  <c r="D2934" i="1"/>
  <c r="E2934" i="1"/>
  <c r="F2934" i="1"/>
  <c r="G2934" i="1"/>
  <c r="I2934" i="1"/>
  <c r="J2934" i="1"/>
  <c r="K2934" i="1"/>
  <c r="L2934" i="1"/>
  <c r="M2934" i="1"/>
  <c r="N2934" i="1"/>
  <c r="O2934" i="1"/>
  <c r="P2934" i="1"/>
  <c r="Q2934" i="1"/>
  <c r="R2934" i="1"/>
  <c r="S2934" i="1"/>
  <c r="T2934" i="1"/>
  <c r="U2934" i="1"/>
  <c r="V2934" i="1"/>
  <c r="W2934" i="1"/>
  <c r="X2934" i="1"/>
  <c r="Y2934" i="1"/>
  <c r="Z2934" i="1"/>
  <c r="A2935" i="1"/>
  <c r="B2935" i="1"/>
  <c r="C2935" i="1"/>
  <c r="D2935" i="1"/>
  <c r="E2935" i="1"/>
  <c r="F2935" i="1"/>
  <c r="G2935" i="1"/>
  <c r="I2935" i="1"/>
  <c r="J2935" i="1"/>
  <c r="K2935" i="1"/>
  <c r="L2935" i="1"/>
  <c r="M2935" i="1"/>
  <c r="N2935" i="1"/>
  <c r="O2935" i="1"/>
  <c r="P2935" i="1"/>
  <c r="Q2935" i="1"/>
  <c r="R2935" i="1"/>
  <c r="S2935" i="1"/>
  <c r="T2935" i="1"/>
  <c r="U2935" i="1"/>
  <c r="V2935" i="1"/>
  <c r="W2935" i="1"/>
  <c r="X2935" i="1"/>
  <c r="Y2935" i="1"/>
  <c r="Z2935" i="1"/>
  <c r="A2936" i="1"/>
  <c r="B2936" i="1"/>
  <c r="C2936" i="1"/>
  <c r="D2936" i="1"/>
  <c r="E2936" i="1"/>
  <c r="F2936" i="1"/>
  <c r="G2936" i="1"/>
  <c r="I2936" i="1"/>
  <c r="J2936" i="1"/>
  <c r="K2936" i="1"/>
  <c r="L2936" i="1"/>
  <c r="M2936" i="1"/>
  <c r="N2936" i="1"/>
  <c r="O2936" i="1"/>
  <c r="P2936" i="1"/>
  <c r="Q2936" i="1"/>
  <c r="R2936" i="1"/>
  <c r="S2936" i="1"/>
  <c r="T2936" i="1"/>
  <c r="U2936" i="1"/>
  <c r="V2936" i="1"/>
  <c r="W2936" i="1"/>
  <c r="X2936" i="1"/>
  <c r="Y2936" i="1"/>
  <c r="Z2936" i="1"/>
  <c r="A2937" i="1"/>
  <c r="B2937" i="1"/>
  <c r="C2937" i="1"/>
  <c r="D2937" i="1"/>
  <c r="E2937" i="1"/>
  <c r="F2937" i="1"/>
  <c r="G2937" i="1"/>
  <c r="I2937" i="1"/>
  <c r="J2937" i="1"/>
  <c r="K2937" i="1"/>
  <c r="L2937" i="1"/>
  <c r="M2937" i="1"/>
  <c r="N2937" i="1"/>
  <c r="O2937" i="1"/>
  <c r="P2937" i="1"/>
  <c r="Q2937" i="1"/>
  <c r="R2937" i="1"/>
  <c r="S2937" i="1"/>
  <c r="T2937" i="1"/>
  <c r="U2937" i="1"/>
  <c r="V2937" i="1"/>
  <c r="W2937" i="1"/>
  <c r="X2937" i="1"/>
  <c r="Y2937" i="1"/>
  <c r="Z2937" i="1"/>
  <c r="A2938" i="1"/>
  <c r="B2938" i="1"/>
  <c r="C2938" i="1"/>
  <c r="D2938" i="1"/>
  <c r="E2938" i="1"/>
  <c r="F2938" i="1"/>
  <c r="G2938" i="1"/>
  <c r="I2938" i="1"/>
  <c r="J2938" i="1"/>
  <c r="K2938" i="1"/>
  <c r="L2938" i="1"/>
  <c r="M2938" i="1"/>
  <c r="N2938" i="1"/>
  <c r="O2938" i="1"/>
  <c r="P2938" i="1"/>
  <c r="Q2938" i="1"/>
  <c r="R2938" i="1"/>
  <c r="S2938" i="1"/>
  <c r="T2938" i="1"/>
  <c r="U2938" i="1"/>
  <c r="V2938" i="1"/>
  <c r="W2938" i="1"/>
  <c r="X2938" i="1"/>
  <c r="Y2938" i="1"/>
  <c r="Z2938" i="1"/>
  <c r="A2939" i="1"/>
  <c r="B2939" i="1"/>
  <c r="C2939" i="1"/>
  <c r="D2939" i="1"/>
  <c r="E2939" i="1"/>
  <c r="F2939" i="1"/>
  <c r="G2939" i="1"/>
  <c r="I2939" i="1"/>
  <c r="J2939" i="1"/>
  <c r="K2939" i="1"/>
  <c r="L2939" i="1"/>
  <c r="M2939" i="1"/>
  <c r="N2939" i="1"/>
  <c r="O2939" i="1"/>
  <c r="P2939" i="1"/>
  <c r="Q2939" i="1"/>
  <c r="R2939" i="1"/>
  <c r="S2939" i="1"/>
  <c r="T2939" i="1"/>
  <c r="U2939" i="1"/>
  <c r="V2939" i="1"/>
  <c r="W2939" i="1"/>
  <c r="X2939" i="1"/>
  <c r="Y2939" i="1"/>
  <c r="Z2939" i="1"/>
  <c r="A2940" i="1"/>
  <c r="B2940" i="1"/>
  <c r="C2940" i="1"/>
  <c r="D2940" i="1"/>
  <c r="E2940" i="1"/>
  <c r="F2940" i="1"/>
  <c r="G2940" i="1"/>
  <c r="I2940" i="1"/>
  <c r="J2940" i="1"/>
  <c r="K2940" i="1"/>
  <c r="L2940" i="1"/>
  <c r="M2940" i="1"/>
  <c r="N2940" i="1"/>
  <c r="O2940" i="1"/>
  <c r="P2940" i="1"/>
  <c r="Q2940" i="1"/>
  <c r="R2940" i="1"/>
  <c r="S2940" i="1"/>
  <c r="T2940" i="1"/>
  <c r="U2940" i="1"/>
  <c r="V2940" i="1"/>
  <c r="W2940" i="1"/>
  <c r="X2940" i="1"/>
  <c r="Y2940" i="1"/>
  <c r="Z2940" i="1"/>
  <c r="A2941" i="1"/>
  <c r="B2941" i="1"/>
  <c r="C2941" i="1"/>
  <c r="D2941" i="1"/>
  <c r="E2941" i="1"/>
  <c r="F2941" i="1"/>
  <c r="G2941" i="1"/>
  <c r="I2941" i="1"/>
  <c r="J2941" i="1"/>
  <c r="K2941" i="1"/>
  <c r="L2941" i="1"/>
  <c r="M2941" i="1"/>
  <c r="N2941" i="1"/>
  <c r="O2941" i="1"/>
  <c r="P2941" i="1"/>
  <c r="Q2941" i="1"/>
  <c r="R2941" i="1"/>
  <c r="S2941" i="1"/>
  <c r="T2941" i="1"/>
  <c r="U2941" i="1"/>
  <c r="V2941" i="1"/>
  <c r="W2941" i="1"/>
  <c r="X2941" i="1"/>
  <c r="Y2941" i="1"/>
  <c r="Z2941" i="1"/>
  <c r="A2942" i="1"/>
  <c r="B2942" i="1"/>
  <c r="C2942" i="1"/>
  <c r="D2942" i="1"/>
  <c r="E2942" i="1"/>
  <c r="F2942" i="1"/>
  <c r="G2942" i="1"/>
  <c r="I2942" i="1"/>
  <c r="J2942" i="1"/>
  <c r="K2942" i="1"/>
  <c r="L2942" i="1"/>
  <c r="M2942" i="1"/>
  <c r="N2942" i="1"/>
  <c r="O2942" i="1"/>
  <c r="P2942" i="1"/>
  <c r="Q2942" i="1"/>
  <c r="R2942" i="1"/>
  <c r="S2942" i="1"/>
  <c r="T2942" i="1"/>
  <c r="U2942" i="1"/>
  <c r="V2942" i="1"/>
  <c r="W2942" i="1"/>
  <c r="X2942" i="1"/>
  <c r="Y2942" i="1"/>
  <c r="Z2942" i="1"/>
  <c r="A2943" i="1"/>
  <c r="B2943" i="1"/>
  <c r="C2943" i="1"/>
  <c r="D2943" i="1"/>
  <c r="E2943" i="1"/>
  <c r="F2943" i="1"/>
  <c r="G2943" i="1"/>
  <c r="I2943" i="1"/>
  <c r="J2943" i="1"/>
  <c r="K2943" i="1"/>
  <c r="L2943" i="1"/>
  <c r="M2943" i="1"/>
  <c r="N2943" i="1"/>
  <c r="O2943" i="1"/>
  <c r="P2943" i="1"/>
  <c r="Q2943" i="1"/>
  <c r="R2943" i="1"/>
  <c r="S2943" i="1"/>
  <c r="T2943" i="1"/>
  <c r="U2943" i="1"/>
  <c r="V2943" i="1"/>
  <c r="W2943" i="1"/>
  <c r="X2943" i="1"/>
  <c r="Y2943" i="1"/>
  <c r="Z2943" i="1"/>
  <c r="A2944" i="1"/>
  <c r="B2944" i="1"/>
  <c r="C2944" i="1"/>
  <c r="D2944" i="1"/>
  <c r="E2944" i="1"/>
  <c r="F2944" i="1"/>
  <c r="G2944" i="1"/>
  <c r="I2944" i="1"/>
  <c r="J2944" i="1"/>
  <c r="K2944" i="1"/>
  <c r="L2944" i="1"/>
  <c r="M2944" i="1"/>
  <c r="N2944" i="1"/>
  <c r="O2944" i="1"/>
  <c r="P2944" i="1"/>
  <c r="Q2944" i="1"/>
  <c r="R2944" i="1"/>
  <c r="S2944" i="1"/>
  <c r="T2944" i="1"/>
  <c r="U2944" i="1"/>
  <c r="V2944" i="1"/>
  <c r="W2944" i="1"/>
  <c r="X2944" i="1"/>
  <c r="Y2944" i="1"/>
  <c r="Z2944" i="1"/>
  <c r="A2945" i="1"/>
  <c r="B2945" i="1"/>
  <c r="C2945" i="1"/>
  <c r="D2945" i="1"/>
  <c r="E2945" i="1"/>
  <c r="F2945" i="1"/>
  <c r="G2945" i="1"/>
  <c r="I2945" i="1"/>
  <c r="J2945" i="1"/>
  <c r="K2945" i="1"/>
  <c r="L2945" i="1"/>
  <c r="M2945" i="1"/>
  <c r="N2945" i="1"/>
  <c r="O2945" i="1"/>
  <c r="P2945" i="1"/>
  <c r="Q2945" i="1"/>
  <c r="R2945" i="1"/>
  <c r="S2945" i="1"/>
  <c r="T2945" i="1"/>
  <c r="U2945" i="1"/>
  <c r="V2945" i="1"/>
  <c r="W2945" i="1"/>
  <c r="X2945" i="1"/>
  <c r="Y2945" i="1"/>
  <c r="Z2945" i="1"/>
  <c r="A2946" i="1"/>
  <c r="B2946" i="1"/>
  <c r="C2946" i="1"/>
  <c r="D2946" i="1"/>
  <c r="E2946" i="1"/>
  <c r="F2946" i="1"/>
  <c r="G2946" i="1"/>
  <c r="I2946" i="1"/>
  <c r="J2946" i="1"/>
  <c r="K2946" i="1"/>
  <c r="L2946" i="1"/>
  <c r="M2946" i="1"/>
  <c r="N2946" i="1"/>
  <c r="O2946" i="1"/>
  <c r="P2946" i="1"/>
  <c r="Q2946" i="1"/>
  <c r="R2946" i="1"/>
  <c r="S2946" i="1"/>
  <c r="T2946" i="1"/>
  <c r="U2946" i="1"/>
  <c r="V2946" i="1"/>
  <c r="W2946" i="1"/>
  <c r="X2946" i="1"/>
  <c r="Y2946" i="1"/>
  <c r="Z2946" i="1"/>
  <c r="A2947" i="1"/>
  <c r="B2947" i="1"/>
  <c r="C2947" i="1"/>
  <c r="D2947" i="1"/>
  <c r="E2947" i="1"/>
  <c r="F2947" i="1"/>
  <c r="G2947" i="1"/>
  <c r="I2947" i="1"/>
  <c r="J2947" i="1"/>
  <c r="K2947" i="1"/>
  <c r="L2947" i="1"/>
  <c r="M2947" i="1"/>
  <c r="N2947" i="1"/>
  <c r="O2947" i="1"/>
  <c r="P2947" i="1"/>
  <c r="Q2947" i="1"/>
  <c r="R2947" i="1"/>
  <c r="S2947" i="1"/>
  <c r="T2947" i="1"/>
  <c r="U2947" i="1"/>
  <c r="V2947" i="1"/>
  <c r="W2947" i="1"/>
  <c r="X2947" i="1"/>
  <c r="Y2947" i="1"/>
  <c r="Z2947" i="1"/>
  <c r="A2948" i="1"/>
  <c r="B2948" i="1"/>
  <c r="C2948" i="1"/>
  <c r="D2948" i="1"/>
  <c r="E2948" i="1"/>
  <c r="F2948" i="1"/>
  <c r="G2948" i="1"/>
  <c r="I2948" i="1"/>
  <c r="J2948" i="1"/>
  <c r="K2948" i="1"/>
  <c r="L2948" i="1"/>
  <c r="M2948" i="1"/>
  <c r="N2948" i="1"/>
  <c r="O2948" i="1"/>
  <c r="P2948" i="1"/>
  <c r="Q2948" i="1"/>
  <c r="R2948" i="1"/>
  <c r="S2948" i="1"/>
  <c r="T2948" i="1"/>
  <c r="U2948" i="1"/>
  <c r="V2948" i="1"/>
  <c r="W2948" i="1"/>
  <c r="X2948" i="1"/>
  <c r="Y2948" i="1"/>
  <c r="Z2948" i="1"/>
  <c r="A2949" i="1"/>
  <c r="B2949" i="1"/>
  <c r="C2949" i="1"/>
  <c r="D2949" i="1"/>
  <c r="E2949" i="1"/>
  <c r="F2949" i="1"/>
  <c r="G2949" i="1"/>
  <c r="I2949" i="1"/>
  <c r="J2949" i="1"/>
  <c r="K2949" i="1"/>
  <c r="L2949" i="1"/>
  <c r="M2949" i="1"/>
  <c r="N2949" i="1"/>
  <c r="O2949" i="1"/>
  <c r="P2949" i="1"/>
  <c r="Q2949" i="1"/>
  <c r="R2949" i="1"/>
  <c r="S2949" i="1"/>
  <c r="T2949" i="1"/>
  <c r="U2949" i="1"/>
  <c r="V2949" i="1"/>
  <c r="W2949" i="1"/>
  <c r="X2949" i="1"/>
  <c r="Y2949" i="1"/>
  <c r="Z2949" i="1"/>
  <c r="A2950" i="1"/>
  <c r="B2950" i="1"/>
  <c r="C2950" i="1"/>
  <c r="D2950" i="1"/>
  <c r="E2950" i="1"/>
  <c r="F2950" i="1"/>
  <c r="G2950" i="1"/>
  <c r="I2950" i="1"/>
  <c r="J2950" i="1"/>
  <c r="K2950" i="1"/>
  <c r="L2950" i="1"/>
  <c r="M2950" i="1"/>
  <c r="N2950" i="1"/>
  <c r="O2950" i="1"/>
  <c r="P2950" i="1"/>
  <c r="Q2950" i="1"/>
  <c r="R2950" i="1"/>
  <c r="S2950" i="1"/>
  <c r="T2950" i="1"/>
  <c r="U2950" i="1"/>
  <c r="V2950" i="1"/>
  <c r="W2950" i="1"/>
  <c r="X2950" i="1"/>
  <c r="Y2950" i="1"/>
  <c r="Z2950" i="1"/>
  <c r="A2951" i="1"/>
  <c r="B2951" i="1"/>
  <c r="C2951" i="1"/>
  <c r="D2951" i="1"/>
  <c r="E2951" i="1"/>
  <c r="F2951" i="1"/>
  <c r="G2951" i="1"/>
  <c r="I2951" i="1"/>
  <c r="J2951" i="1"/>
  <c r="K2951" i="1"/>
  <c r="L2951" i="1"/>
  <c r="M2951" i="1"/>
  <c r="N2951" i="1"/>
  <c r="O2951" i="1"/>
  <c r="P2951" i="1"/>
  <c r="Q2951" i="1"/>
  <c r="R2951" i="1"/>
  <c r="S2951" i="1"/>
  <c r="T2951" i="1"/>
  <c r="U2951" i="1"/>
  <c r="V2951" i="1"/>
  <c r="W2951" i="1"/>
  <c r="X2951" i="1"/>
  <c r="Y2951" i="1"/>
  <c r="Z2951" i="1"/>
  <c r="A2952" i="1"/>
  <c r="B2952" i="1"/>
  <c r="C2952" i="1"/>
  <c r="D2952" i="1"/>
  <c r="E2952" i="1"/>
  <c r="F2952" i="1"/>
  <c r="G2952" i="1"/>
  <c r="I2952" i="1"/>
  <c r="J2952" i="1"/>
  <c r="K2952" i="1"/>
  <c r="L2952" i="1"/>
  <c r="M2952" i="1"/>
  <c r="N2952" i="1"/>
  <c r="O2952" i="1"/>
  <c r="P2952" i="1"/>
  <c r="Q2952" i="1"/>
  <c r="R2952" i="1"/>
  <c r="S2952" i="1"/>
  <c r="T2952" i="1"/>
  <c r="U2952" i="1"/>
  <c r="V2952" i="1"/>
  <c r="W2952" i="1"/>
  <c r="X2952" i="1"/>
  <c r="Y2952" i="1"/>
  <c r="Z2952" i="1"/>
  <c r="A2953" i="1"/>
  <c r="B2953" i="1"/>
  <c r="C2953" i="1"/>
  <c r="D2953" i="1"/>
  <c r="E2953" i="1"/>
  <c r="F2953" i="1"/>
  <c r="G2953" i="1"/>
  <c r="I2953" i="1"/>
  <c r="J2953" i="1"/>
  <c r="K2953" i="1"/>
  <c r="L2953" i="1"/>
  <c r="M2953" i="1"/>
  <c r="N2953" i="1"/>
  <c r="O2953" i="1"/>
  <c r="P2953" i="1"/>
  <c r="Q2953" i="1"/>
  <c r="R2953" i="1"/>
  <c r="S2953" i="1"/>
  <c r="T2953" i="1"/>
  <c r="U2953" i="1"/>
  <c r="V2953" i="1"/>
  <c r="W2953" i="1"/>
  <c r="X2953" i="1"/>
  <c r="Y2953" i="1"/>
  <c r="Z2953" i="1"/>
  <c r="A2954" i="1"/>
  <c r="B2954" i="1"/>
  <c r="C2954" i="1"/>
  <c r="D2954" i="1"/>
  <c r="E2954" i="1"/>
  <c r="F2954" i="1"/>
  <c r="G2954" i="1"/>
  <c r="I2954" i="1"/>
  <c r="J2954" i="1"/>
  <c r="K2954" i="1"/>
  <c r="L2954" i="1"/>
  <c r="M2954" i="1"/>
  <c r="N2954" i="1"/>
  <c r="O2954" i="1"/>
  <c r="P2954" i="1"/>
  <c r="Q2954" i="1"/>
  <c r="R2954" i="1"/>
  <c r="S2954" i="1"/>
  <c r="T2954" i="1"/>
  <c r="U2954" i="1"/>
  <c r="V2954" i="1"/>
  <c r="W2954" i="1"/>
  <c r="X2954" i="1"/>
  <c r="Y2954" i="1"/>
  <c r="Z2954" i="1"/>
  <c r="A2955" i="1"/>
  <c r="B2955" i="1"/>
  <c r="C2955" i="1"/>
  <c r="D2955" i="1"/>
  <c r="E2955" i="1"/>
  <c r="F2955" i="1"/>
  <c r="G2955" i="1"/>
  <c r="I2955" i="1"/>
  <c r="J2955" i="1"/>
  <c r="K2955" i="1"/>
  <c r="L2955" i="1"/>
  <c r="M2955" i="1"/>
  <c r="N2955" i="1"/>
  <c r="O2955" i="1"/>
  <c r="P2955" i="1"/>
  <c r="Q2955" i="1"/>
  <c r="R2955" i="1"/>
  <c r="S2955" i="1"/>
  <c r="T2955" i="1"/>
  <c r="U2955" i="1"/>
  <c r="V2955" i="1"/>
  <c r="W2955" i="1"/>
  <c r="X2955" i="1"/>
  <c r="Y2955" i="1"/>
  <c r="Z2955" i="1"/>
  <c r="A2956" i="1"/>
  <c r="B2956" i="1"/>
  <c r="C2956" i="1"/>
  <c r="D2956" i="1"/>
  <c r="E2956" i="1"/>
  <c r="F2956" i="1"/>
  <c r="G2956" i="1"/>
  <c r="I2956" i="1"/>
  <c r="J2956" i="1"/>
  <c r="K2956" i="1"/>
  <c r="L2956" i="1"/>
  <c r="M2956" i="1"/>
  <c r="N2956" i="1"/>
  <c r="O2956" i="1"/>
  <c r="P2956" i="1"/>
  <c r="Q2956" i="1"/>
  <c r="R2956" i="1"/>
  <c r="S2956" i="1"/>
  <c r="T2956" i="1"/>
  <c r="U2956" i="1"/>
  <c r="V2956" i="1"/>
  <c r="W2956" i="1"/>
  <c r="X2956" i="1"/>
  <c r="Y2956" i="1"/>
  <c r="Z2956" i="1"/>
  <c r="A2957" i="1"/>
  <c r="B2957" i="1"/>
  <c r="C2957" i="1"/>
  <c r="D2957" i="1"/>
  <c r="E2957" i="1"/>
  <c r="F2957" i="1"/>
  <c r="G2957" i="1"/>
  <c r="I2957" i="1"/>
  <c r="J2957" i="1"/>
  <c r="K2957" i="1"/>
  <c r="L2957" i="1"/>
  <c r="M2957" i="1"/>
  <c r="N2957" i="1"/>
  <c r="O2957" i="1"/>
  <c r="P2957" i="1"/>
  <c r="Q2957" i="1"/>
  <c r="R2957" i="1"/>
  <c r="S2957" i="1"/>
  <c r="T2957" i="1"/>
  <c r="U2957" i="1"/>
  <c r="V2957" i="1"/>
  <c r="W2957" i="1"/>
  <c r="X2957" i="1"/>
  <c r="Y2957" i="1"/>
  <c r="Z2957" i="1"/>
  <c r="A2958" i="1"/>
  <c r="B2958" i="1"/>
  <c r="C2958" i="1"/>
  <c r="D2958" i="1"/>
  <c r="E2958" i="1"/>
  <c r="F2958" i="1"/>
  <c r="G2958" i="1"/>
  <c r="I2958" i="1"/>
  <c r="J2958" i="1"/>
  <c r="K2958" i="1"/>
  <c r="L2958" i="1"/>
  <c r="M2958" i="1"/>
  <c r="N2958" i="1"/>
  <c r="O2958" i="1"/>
  <c r="P2958" i="1"/>
  <c r="Q2958" i="1"/>
  <c r="R2958" i="1"/>
  <c r="S2958" i="1"/>
  <c r="T2958" i="1"/>
  <c r="U2958" i="1"/>
  <c r="V2958" i="1"/>
  <c r="W2958" i="1"/>
  <c r="X2958" i="1"/>
  <c r="Y2958" i="1"/>
  <c r="Z2958" i="1"/>
  <c r="A2959" i="1"/>
  <c r="B2959" i="1"/>
  <c r="C2959" i="1"/>
  <c r="D2959" i="1"/>
  <c r="E2959" i="1"/>
  <c r="F2959" i="1"/>
  <c r="G2959" i="1"/>
  <c r="I2959" i="1"/>
  <c r="J2959" i="1"/>
  <c r="K2959" i="1"/>
  <c r="L2959" i="1"/>
  <c r="M2959" i="1"/>
  <c r="N2959" i="1"/>
  <c r="O2959" i="1"/>
  <c r="P2959" i="1"/>
  <c r="Q2959" i="1"/>
  <c r="R2959" i="1"/>
  <c r="S2959" i="1"/>
  <c r="T2959" i="1"/>
  <c r="U2959" i="1"/>
  <c r="V2959" i="1"/>
  <c r="W2959" i="1"/>
  <c r="X2959" i="1"/>
  <c r="Y2959" i="1"/>
  <c r="Z2959" i="1"/>
  <c r="A2960" i="1"/>
  <c r="B2960" i="1"/>
  <c r="C2960" i="1"/>
  <c r="D2960" i="1"/>
  <c r="E2960" i="1"/>
  <c r="F2960" i="1"/>
  <c r="G2960" i="1"/>
  <c r="I2960" i="1"/>
  <c r="J2960" i="1"/>
  <c r="K2960" i="1"/>
  <c r="L2960" i="1"/>
  <c r="M2960" i="1"/>
  <c r="N2960" i="1"/>
  <c r="O2960" i="1"/>
  <c r="P2960" i="1"/>
  <c r="Q2960" i="1"/>
  <c r="R2960" i="1"/>
  <c r="S2960" i="1"/>
  <c r="T2960" i="1"/>
  <c r="U2960" i="1"/>
  <c r="V2960" i="1"/>
  <c r="W2960" i="1"/>
  <c r="X2960" i="1"/>
  <c r="Y2960" i="1"/>
  <c r="Z2960" i="1"/>
  <c r="A2961" i="1"/>
  <c r="B2961" i="1"/>
  <c r="C2961" i="1"/>
  <c r="D2961" i="1"/>
  <c r="E2961" i="1"/>
  <c r="F2961" i="1"/>
  <c r="G2961" i="1"/>
  <c r="I2961" i="1"/>
  <c r="J2961" i="1"/>
  <c r="K2961" i="1"/>
  <c r="L2961" i="1"/>
  <c r="M2961" i="1"/>
  <c r="N2961" i="1"/>
  <c r="O2961" i="1"/>
  <c r="P2961" i="1"/>
  <c r="Q2961" i="1"/>
  <c r="R2961" i="1"/>
  <c r="S2961" i="1"/>
  <c r="T2961" i="1"/>
  <c r="U2961" i="1"/>
  <c r="V2961" i="1"/>
  <c r="W2961" i="1"/>
  <c r="X2961" i="1"/>
  <c r="Y2961" i="1"/>
  <c r="Z2961" i="1"/>
  <c r="A2962" i="1"/>
  <c r="B2962" i="1"/>
  <c r="C2962" i="1"/>
  <c r="D2962" i="1"/>
  <c r="E2962" i="1"/>
  <c r="F2962" i="1"/>
  <c r="G2962" i="1"/>
  <c r="I2962" i="1"/>
  <c r="J2962" i="1"/>
  <c r="K2962" i="1"/>
  <c r="L2962" i="1"/>
  <c r="M2962" i="1"/>
  <c r="N2962" i="1"/>
  <c r="O2962" i="1"/>
  <c r="P2962" i="1"/>
  <c r="Q2962" i="1"/>
  <c r="R2962" i="1"/>
  <c r="S2962" i="1"/>
  <c r="T2962" i="1"/>
  <c r="U2962" i="1"/>
  <c r="V2962" i="1"/>
  <c r="W2962" i="1"/>
  <c r="X2962" i="1"/>
  <c r="Y2962" i="1"/>
  <c r="Z2962" i="1"/>
  <c r="A2963" i="1"/>
  <c r="B2963" i="1"/>
  <c r="C2963" i="1"/>
  <c r="D2963" i="1"/>
  <c r="E2963" i="1"/>
  <c r="F2963" i="1"/>
  <c r="G2963" i="1"/>
  <c r="I2963" i="1"/>
  <c r="J2963" i="1"/>
  <c r="K2963" i="1"/>
  <c r="L2963" i="1"/>
  <c r="M2963" i="1"/>
  <c r="N2963" i="1"/>
  <c r="O2963" i="1"/>
  <c r="P2963" i="1"/>
  <c r="Q2963" i="1"/>
  <c r="R2963" i="1"/>
  <c r="S2963" i="1"/>
  <c r="T2963" i="1"/>
  <c r="U2963" i="1"/>
  <c r="V2963" i="1"/>
  <c r="W2963" i="1"/>
  <c r="X2963" i="1"/>
  <c r="Y2963" i="1"/>
  <c r="Z2963" i="1"/>
  <c r="A2964" i="1"/>
  <c r="B2964" i="1"/>
  <c r="C2964" i="1"/>
  <c r="D2964" i="1"/>
  <c r="E2964" i="1"/>
  <c r="F2964" i="1"/>
  <c r="G2964" i="1"/>
  <c r="I2964" i="1"/>
  <c r="J2964" i="1"/>
  <c r="K2964" i="1"/>
  <c r="L2964" i="1"/>
  <c r="M2964" i="1"/>
  <c r="N2964" i="1"/>
  <c r="O2964" i="1"/>
  <c r="P2964" i="1"/>
  <c r="Q2964" i="1"/>
  <c r="R2964" i="1"/>
  <c r="S2964" i="1"/>
  <c r="T2964" i="1"/>
  <c r="U2964" i="1"/>
  <c r="V2964" i="1"/>
  <c r="W2964" i="1"/>
  <c r="X2964" i="1"/>
  <c r="Y2964" i="1"/>
  <c r="Z2964" i="1"/>
  <c r="A2965" i="1"/>
  <c r="B2965" i="1"/>
  <c r="C2965" i="1"/>
  <c r="D2965" i="1"/>
  <c r="E2965" i="1"/>
  <c r="F2965" i="1"/>
  <c r="G2965" i="1"/>
  <c r="I2965" i="1"/>
  <c r="J2965" i="1"/>
  <c r="K2965" i="1"/>
  <c r="L2965" i="1"/>
  <c r="M2965" i="1"/>
  <c r="N2965" i="1"/>
  <c r="O2965" i="1"/>
  <c r="P2965" i="1"/>
  <c r="Q2965" i="1"/>
  <c r="R2965" i="1"/>
  <c r="S2965" i="1"/>
  <c r="T2965" i="1"/>
  <c r="U2965" i="1"/>
  <c r="V2965" i="1"/>
  <c r="W2965" i="1"/>
  <c r="X2965" i="1"/>
  <c r="Y2965" i="1"/>
  <c r="Z2965" i="1"/>
  <c r="A2966" i="1"/>
  <c r="B2966" i="1"/>
  <c r="C2966" i="1"/>
  <c r="D2966" i="1"/>
  <c r="E2966" i="1"/>
  <c r="F2966" i="1"/>
  <c r="G2966" i="1"/>
  <c r="I2966" i="1"/>
  <c r="J2966" i="1"/>
  <c r="K2966" i="1"/>
  <c r="L2966" i="1"/>
  <c r="M2966" i="1"/>
  <c r="N2966" i="1"/>
  <c r="O2966" i="1"/>
  <c r="P2966" i="1"/>
  <c r="Q2966" i="1"/>
  <c r="R2966" i="1"/>
  <c r="S2966" i="1"/>
  <c r="T2966" i="1"/>
  <c r="U2966" i="1"/>
  <c r="V2966" i="1"/>
  <c r="W2966" i="1"/>
  <c r="X2966" i="1"/>
  <c r="Y2966" i="1"/>
  <c r="Z2966" i="1"/>
  <c r="A2967" i="1"/>
  <c r="B2967" i="1"/>
  <c r="C2967" i="1"/>
  <c r="D2967" i="1"/>
  <c r="E2967" i="1"/>
  <c r="F2967" i="1"/>
  <c r="G2967" i="1"/>
  <c r="I2967" i="1"/>
  <c r="J2967" i="1"/>
  <c r="K2967" i="1"/>
  <c r="L2967" i="1"/>
  <c r="M2967" i="1"/>
  <c r="N2967" i="1"/>
  <c r="O2967" i="1"/>
  <c r="P2967" i="1"/>
  <c r="Q2967" i="1"/>
  <c r="R2967" i="1"/>
  <c r="S2967" i="1"/>
  <c r="T2967" i="1"/>
  <c r="U2967" i="1"/>
  <c r="V2967" i="1"/>
  <c r="W2967" i="1"/>
  <c r="X2967" i="1"/>
  <c r="Y2967" i="1"/>
  <c r="Z2967" i="1"/>
  <c r="A2968" i="1"/>
  <c r="B2968" i="1"/>
  <c r="C2968" i="1"/>
  <c r="D2968" i="1"/>
  <c r="E2968" i="1"/>
  <c r="F2968" i="1"/>
  <c r="G2968" i="1"/>
  <c r="I2968" i="1"/>
  <c r="J2968" i="1"/>
  <c r="K2968" i="1"/>
  <c r="L2968" i="1"/>
  <c r="M2968" i="1"/>
  <c r="N2968" i="1"/>
  <c r="O2968" i="1"/>
  <c r="P2968" i="1"/>
  <c r="Q2968" i="1"/>
  <c r="R2968" i="1"/>
  <c r="S2968" i="1"/>
  <c r="T2968" i="1"/>
  <c r="U2968" i="1"/>
  <c r="V2968" i="1"/>
  <c r="W2968" i="1"/>
  <c r="X2968" i="1"/>
  <c r="Y2968" i="1"/>
  <c r="Z2968" i="1"/>
  <c r="A2969" i="1"/>
  <c r="B2969" i="1"/>
  <c r="C2969" i="1"/>
  <c r="D2969" i="1"/>
  <c r="E2969" i="1"/>
  <c r="F2969" i="1"/>
  <c r="G2969" i="1"/>
  <c r="I2969" i="1"/>
  <c r="J2969" i="1"/>
  <c r="K2969" i="1"/>
  <c r="L2969" i="1"/>
  <c r="M2969" i="1"/>
  <c r="N2969" i="1"/>
  <c r="O2969" i="1"/>
  <c r="P2969" i="1"/>
  <c r="Q2969" i="1"/>
  <c r="R2969" i="1"/>
  <c r="S2969" i="1"/>
  <c r="T2969" i="1"/>
  <c r="U2969" i="1"/>
  <c r="V2969" i="1"/>
  <c r="W2969" i="1"/>
  <c r="X2969" i="1"/>
  <c r="Y2969" i="1"/>
  <c r="Z2969" i="1"/>
  <c r="A2970" i="1"/>
  <c r="B2970" i="1"/>
  <c r="C2970" i="1"/>
  <c r="D2970" i="1"/>
  <c r="E2970" i="1"/>
  <c r="F2970" i="1"/>
  <c r="G2970" i="1"/>
  <c r="I2970" i="1"/>
  <c r="J2970" i="1"/>
  <c r="K2970" i="1"/>
  <c r="L2970" i="1"/>
  <c r="M2970" i="1"/>
  <c r="N2970" i="1"/>
  <c r="O2970" i="1"/>
  <c r="P2970" i="1"/>
  <c r="Q2970" i="1"/>
  <c r="R2970" i="1"/>
  <c r="S2970" i="1"/>
  <c r="T2970" i="1"/>
  <c r="U2970" i="1"/>
  <c r="V2970" i="1"/>
  <c r="W2970" i="1"/>
  <c r="X2970" i="1"/>
  <c r="Y2970" i="1"/>
  <c r="Z2970" i="1"/>
  <c r="A2971" i="1"/>
  <c r="B2971" i="1"/>
  <c r="C2971" i="1"/>
  <c r="D2971" i="1"/>
  <c r="E2971" i="1"/>
  <c r="F2971" i="1"/>
  <c r="G2971" i="1"/>
  <c r="I2971" i="1"/>
  <c r="J2971" i="1"/>
  <c r="K2971" i="1"/>
  <c r="L2971" i="1"/>
  <c r="M2971" i="1"/>
  <c r="N2971" i="1"/>
  <c r="O2971" i="1"/>
  <c r="P2971" i="1"/>
  <c r="Q2971" i="1"/>
  <c r="R2971" i="1"/>
  <c r="S2971" i="1"/>
  <c r="T2971" i="1"/>
  <c r="U2971" i="1"/>
  <c r="V2971" i="1"/>
  <c r="W2971" i="1"/>
  <c r="X2971" i="1"/>
  <c r="Y2971" i="1"/>
  <c r="Z2971" i="1"/>
  <c r="A2972" i="1"/>
  <c r="B2972" i="1"/>
  <c r="C2972" i="1"/>
  <c r="D2972" i="1"/>
  <c r="E2972" i="1"/>
  <c r="F2972" i="1"/>
  <c r="G2972" i="1"/>
  <c r="I2972" i="1"/>
  <c r="J2972" i="1"/>
  <c r="K2972" i="1"/>
  <c r="L2972" i="1"/>
  <c r="M2972" i="1"/>
  <c r="N2972" i="1"/>
  <c r="O2972" i="1"/>
  <c r="P2972" i="1"/>
  <c r="Q2972" i="1"/>
  <c r="R2972" i="1"/>
  <c r="S2972" i="1"/>
  <c r="T2972" i="1"/>
  <c r="U2972" i="1"/>
  <c r="V2972" i="1"/>
  <c r="W2972" i="1"/>
  <c r="X2972" i="1"/>
  <c r="Y2972" i="1"/>
  <c r="Z2972" i="1"/>
  <c r="A2973" i="1"/>
  <c r="B2973" i="1"/>
  <c r="C2973" i="1"/>
  <c r="D2973" i="1"/>
  <c r="E2973" i="1"/>
  <c r="F2973" i="1"/>
  <c r="G2973" i="1"/>
  <c r="I2973" i="1"/>
  <c r="J2973" i="1"/>
  <c r="K2973" i="1"/>
  <c r="L2973" i="1"/>
  <c r="M2973" i="1"/>
  <c r="N2973" i="1"/>
  <c r="O2973" i="1"/>
  <c r="P2973" i="1"/>
  <c r="Q2973" i="1"/>
  <c r="R2973" i="1"/>
  <c r="S2973" i="1"/>
  <c r="T2973" i="1"/>
  <c r="U2973" i="1"/>
  <c r="V2973" i="1"/>
  <c r="W2973" i="1"/>
  <c r="X2973" i="1"/>
  <c r="Y2973" i="1"/>
  <c r="Z2973" i="1"/>
  <c r="A2974" i="1"/>
  <c r="B2974" i="1"/>
  <c r="C2974" i="1"/>
  <c r="D2974" i="1"/>
  <c r="E2974" i="1"/>
  <c r="F2974" i="1"/>
  <c r="G2974" i="1"/>
  <c r="I2974" i="1"/>
  <c r="J2974" i="1"/>
  <c r="K2974" i="1"/>
  <c r="L2974" i="1"/>
  <c r="M2974" i="1"/>
  <c r="N2974" i="1"/>
  <c r="O2974" i="1"/>
  <c r="P2974" i="1"/>
  <c r="Q2974" i="1"/>
  <c r="R2974" i="1"/>
  <c r="S2974" i="1"/>
  <c r="T2974" i="1"/>
  <c r="U2974" i="1"/>
  <c r="V2974" i="1"/>
  <c r="W2974" i="1"/>
  <c r="X2974" i="1"/>
  <c r="Y2974" i="1"/>
  <c r="Z2974" i="1"/>
  <c r="A2975" i="1"/>
  <c r="B2975" i="1"/>
  <c r="C2975" i="1"/>
  <c r="D2975" i="1"/>
  <c r="E2975" i="1"/>
  <c r="F2975" i="1"/>
  <c r="G2975" i="1"/>
  <c r="I2975" i="1"/>
  <c r="J2975" i="1"/>
  <c r="K2975" i="1"/>
  <c r="L2975" i="1"/>
  <c r="M2975" i="1"/>
  <c r="N2975" i="1"/>
  <c r="O2975" i="1"/>
  <c r="P2975" i="1"/>
  <c r="Q2975" i="1"/>
  <c r="R2975" i="1"/>
  <c r="S2975" i="1"/>
  <c r="T2975" i="1"/>
  <c r="U2975" i="1"/>
  <c r="V2975" i="1"/>
  <c r="W2975" i="1"/>
  <c r="X2975" i="1"/>
  <c r="Y2975" i="1"/>
  <c r="Z2975" i="1"/>
  <c r="A2976" i="1"/>
  <c r="B2976" i="1"/>
  <c r="C2976" i="1"/>
  <c r="D2976" i="1"/>
  <c r="E2976" i="1"/>
  <c r="F2976" i="1"/>
  <c r="G2976" i="1"/>
  <c r="I2976" i="1"/>
  <c r="J2976" i="1"/>
  <c r="K2976" i="1"/>
  <c r="L2976" i="1"/>
  <c r="M2976" i="1"/>
  <c r="N2976" i="1"/>
  <c r="O2976" i="1"/>
  <c r="P2976" i="1"/>
  <c r="Q2976" i="1"/>
  <c r="R2976" i="1"/>
  <c r="S2976" i="1"/>
  <c r="T2976" i="1"/>
  <c r="U2976" i="1"/>
  <c r="V2976" i="1"/>
  <c r="W2976" i="1"/>
  <c r="X2976" i="1"/>
  <c r="Y2976" i="1"/>
  <c r="Z2976" i="1"/>
  <c r="A2977" i="1"/>
  <c r="B2977" i="1"/>
  <c r="C2977" i="1"/>
  <c r="D2977" i="1"/>
  <c r="E2977" i="1"/>
  <c r="F2977" i="1"/>
  <c r="G2977" i="1"/>
  <c r="I2977" i="1"/>
  <c r="J2977" i="1"/>
  <c r="K2977" i="1"/>
  <c r="L2977" i="1"/>
  <c r="M2977" i="1"/>
  <c r="N2977" i="1"/>
  <c r="O2977" i="1"/>
  <c r="P2977" i="1"/>
  <c r="Q2977" i="1"/>
  <c r="R2977" i="1"/>
  <c r="S2977" i="1"/>
  <c r="T2977" i="1"/>
  <c r="U2977" i="1"/>
  <c r="V2977" i="1"/>
  <c r="W2977" i="1"/>
  <c r="X2977" i="1"/>
  <c r="Y2977" i="1"/>
  <c r="Z2977" i="1"/>
  <c r="A2978" i="1"/>
  <c r="B2978" i="1"/>
  <c r="C2978" i="1"/>
  <c r="D2978" i="1"/>
  <c r="E2978" i="1"/>
  <c r="F2978" i="1"/>
  <c r="G2978" i="1"/>
  <c r="I2978" i="1"/>
  <c r="J2978" i="1"/>
  <c r="K2978" i="1"/>
  <c r="L2978" i="1"/>
  <c r="M2978" i="1"/>
  <c r="N2978" i="1"/>
  <c r="O2978" i="1"/>
  <c r="P2978" i="1"/>
  <c r="Q2978" i="1"/>
  <c r="R2978" i="1"/>
  <c r="S2978" i="1"/>
  <c r="T2978" i="1"/>
  <c r="U2978" i="1"/>
  <c r="V2978" i="1"/>
  <c r="W2978" i="1"/>
  <c r="X2978" i="1"/>
  <c r="Y2978" i="1"/>
  <c r="Z2978" i="1"/>
  <c r="A2979" i="1"/>
  <c r="B2979" i="1"/>
  <c r="C2979" i="1"/>
  <c r="D2979" i="1"/>
  <c r="E2979" i="1"/>
  <c r="F2979" i="1"/>
  <c r="G2979" i="1"/>
  <c r="I2979" i="1"/>
  <c r="J2979" i="1"/>
  <c r="K2979" i="1"/>
  <c r="L2979" i="1"/>
  <c r="M2979" i="1"/>
  <c r="N2979" i="1"/>
  <c r="O2979" i="1"/>
  <c r="P2979" i="1"/>
  <c r="Q2979" i="1"/>
  <c r="R2979" i="1"/>
  <c r="S2979" i="1"/>
  <c r="T2979" i="1"/>
  <c r="U2979" i="1"/>
  <c r="V2979" i="1"/>
  <c r="W2979" i="1"/>
  <c r="X2979" i="1"/>
  <c r="Y2979" i="1"/>
  <c r="Z2979" i="1"/>
  <c r="A2980" i="1"/>
  <c r="B2980" i="1"/>
  <c r="C2980" i="1"/>
  <c r="D2980" i="1"/>
  <c r="E2980" i="1"/>
  <c r="F2980" i="1"/>
  <c r="G2980" i="1"/>
  <c r="I2980" i="1"/>
  <c r="J2980" i="1"/>
  <c r="K2980" i="1"/>
  <c r="L2980" i="1"/>
  <c r="M2980" i="1"/>
  <c r="N2980" i="1"/>
  <c r="O2980" i="1"/>
  <c r="P2980" i="1"/>
  <c r="Q2980" i="1"/>
  <c r="R2980" i="1"/>
  <c r="S2980" i="1"/>
  <c r="T2980" i="1"/>
  <c r="U2980" i="1"/>
  <c r="V2980" i="1"/>
  <c r="W2980" i="1"/>
  <c r="X2980" i="1"/>
  <c r="Y2980" i="1"/>
  <c r="Z2980" i="1"/>
  <c r="A2981" i="1"/>
  <c r="B2981" i="1"/>
  <c r="C2981" i="1"/>
  <c r="D2981" i="1"/>
  <c r="E2981" i="1"/>
  <c r="F2981" i="1"/>
  <c r="G2981" i="1"/>
  <c r="I2981" i="1"/>
  <c r="J2981" i="1"/>
  <c r="K2981" i="1"/>
  <c r="L2981" i="1"/>
  <c r="M2981" i="1"/>
  <c r="N2981" i="1"/>
  <c r="O2981" i="1"/>
  <c r="P2981" i="1"/>
  <c r="Q2981" i="1"/>
  <c r="R2981" i="1"/>
  <c r="S2981" i="1"/>
  <c r="T2981" i="1"/>
  <c r="U2981" i="1"/>
  <c r="V2981" i="1"/>
  <c r="W2981" i="1"/>
  <c r="X2981" i="1"/>
  <c r="Y2981" i="1"/>
  <c r="Z2981" i="1"/>
  <c r="A2982" i="1"/>
  <c r="B2982" i="1"/>
  <c r="C2982" i="1"/>
  <c r="D2982" i="1"/>
  <c r="E2982" i="1"/>
  <c r="F2982" i="1"/>
  <c r="G2982" i="1"/>
  <c r="I2982" i="1"/>
  <c r="J2982" i="1"/>
  <c r="K2982" i="1"/>
  <c r="L2982" i="1"/>
  <c r="M2982" i="1"/>
  <c r="N2982" i="1"/>
  <c r="O2982" i="1"/>
  <c r="P2982" i="1"/>
  <c r="Q2982" i="1"/>
  <c r="R2982" i="1"/>
  <c r="S2982" i="1"/>
  <c r="T2982" i="1"/>
  <c r="U2982" i="1"/>
  <c r="V2982" i="1"/>
  <c r="W2982" i="1"/>
  <c r="X2982" i="1"/>
  <c r="Y2982" i="1"/>
  <c r="Z2982" i="1"/>
  <c r="A2983" i="1"/>
  <c r="B2983" i="1"/>
  <c r="C2983" i="1"/>
  <c r="D2983" i="1"/>
  <c r="E2983" i="1"/>
  <c r="F2983" i="1"/>
  <c r="G2983" i="1"/>
  <c r="I2983" i="1"/>
  <c r="J2983" i="1"/>
  <c r="K2983" i="1"/>
  <c r="L2983" i="1"/>
  <c r="M2983" i="1"/>
  <c r="N2983" i="1"/>
  <c r="O2983" i="1"/>
  <c r="P2983" i="1"/>
  <c r="Q2983" i="1"/>
  <c r="R2983" i="1"/>
  <c r="S2983" i="1"/>
  <c r="T2983" i="1"/>
  <c r="U2983" i="1"/>
  <c r="V2983" i="1"/>
  <c r="W2983" i="1"/>
  <c r="X2983" i="1"/>
  <c r="Y2983" i="1"/>
  <c r="Z2983" i="1"/>
  <c r="A2984" i="1"/>
  <c r="B2984" i="1"/>
  <c r="C2984" i="1"/>
  <c r="D2984" i="1"/>
  <c r="E2984" i="1"/>
  <c r="F2984" i="1"/>
  <c r="G2984" i="1"/>
  <c r="I2984" i="1"/>
  <c r="J2984" i="1"/>
  <c r="K2984" i="1"/>
  <c r="L2984" i="1"/>
  <c r="M2984" i="1"/>
  <c r="N2984" i="1"/>
  <c r="O2984" i="1"/>
  <c r="P2984" i="1"/>
  <c r="Q2984" i="1"/>
  <c r="R2984" i="1"/>
  <c r="S2984" i="1"/>
  <c r="T2984" i="1"/>
  <c r="U2984" i="1"/>
  <c r="V2984" i="1"/>
  <c r="W2984" i="1"/>
  <c r="X2984" i="1"/>
  <c r="Y2984" i="1"/>
  <c r="Z2984" i="1"/>
  <c r="A2985" i="1"/>
  <c r="B2985" i="1"/>
  <c r="C2985" i="1"/>
  <c r="D2985" i="1"/>
  <c r="E2985" i="1"/>
  <c r="F2985" i="1"/>
  <c r="G2985" i="1"/>
  <c r="I2985" i="1"/>
  <c r="J2985" i="1"/>
  <c r="K2985" i="1"/>
  <c r="L2985" i="1"/>
  <c r="M2985" i="1"/>
  <c r="N2985" i="1"/>
  <c r="O2985" i="1"/>
  <c r="P2985" i="1"/>
  <c r="Q2985" i="1"/>
  <c r="R2985" i="1"/>
  <c r="S2985" i="1"/>
  <c r="T2985" i="1"/>
  <c r="U2985" i="1"/>
  <c r="V2985" i="1"/>
  <c r="W2985" i="1"/>
  <c r="X2985" i="1"/>
  <c r="Y2985" i="1"/>
  <c r="Z2985" i="1"/>
  <c r="A2986" i="1"/>
  <c r="B2986" i="1"/>
  <c r="C2986" i="1"/>
  <c r="D2986" i="1"/>
  <c r="E2986" i="1"/>
  <c r="F2986" i="1"/>
  <c r="G2986" i="1"/>
  <c r="I2986" i="1"/>
  <c r="J2986" i="1"/>
  <c r="K2986" i="1"/>
  <c r="L2986" i="1"/>
  <c r="M2986" i="1"/>
  <c r="N2986" i="1"/>
  <c r="O2986" i="1"/>
  <c r="P2986" i="1"/>
  <c r="Q2986" i="1"/>
  <c r="R2986" i="1"/>
  <c r="S2986" i="1"/>
  <c r="T2986" i="1"/>
  <c r="U2986" i="1"/>
  <c r="V2986" i="1"/>
  <c r="W2986" i="1"/>
  <c r="X2986" i="1"/>
  <c r="Y2986" i="1"/>
  <c r="Z2986" i="1"/>
  <c r="A2987" i="1"/>
  <c r="B2987" i="1"/>
  <c r="C2987" i="1"/>
  <c r="D2987" i="1"/>
  <c r="E2987" i="1"/>
  <c r="F2987" i="1"/>
  <c r="G2987" i="1"/>
  <c r="I2987" i="1"/>
  <c r="J2987" i="1"/>
  <c r="K2987" i="1"/>
  <c r="L2987" i="1"/>
  <c r="M2987" i="1"/>
  <c r="N2987" i="1"/>
  <c r="O2987" i="1"/>
  <c r="P2987" i="1"/>
  <c r="Q2987" i="1"/>
  <c r="R2987" i="1"/>
  <c r="S2987" i="1"/>
  <c r="T2987" i="1"/>
  <c r="U2987" i="1"/>
  <c r="V2987" i="1"/>
  <c r="W2987" i="1"/>
  <c r="X2987" i="1"/>
  <c r="Y2987" i="1"/>
  <c r="Z2987" i="1"/>
  <c r="A2988" i="1"/>
  <c r="B2988" i="1"/>
  <c r="C2988" i="1"/>
  <c r="D2988" i="1"/>
  <c r="E2988" i="1"/>
  <c r="F2988" i="1"/>
  <c r="G2988" i="1"/>
  <c r="I2988" i="1"/>
  <c r="J2988" i="1"/>
  <c r="K2988" i="1"/>
  <c r="L2988" i="1"/>
  <c r="M2988" i="1"/>
  <c r="N2988" i="1"/>
  <c r="O2988" i="1"/>
  <c r="P2988" i="1"/>
  <c r="Q2988" i="1"/>
  <c r="R2988" i="1"/>
  <c r="S2988" i="1"/>
  <c r="T2988" i="1"/>
  <c r="U2988" i="1"/>
  <c r="V2988" i="1"/>
  <c r="W2988" i="1"/>
  <c r="X2988" i="1"/>
  <c r="Y2988" i="1"/>
  <c r="Z2988" i="1"/>
  <c r="A2989" i="1"/>
  <c r="B2989" i="1"/>
  <c r="C2989" i="1"/>
  <c r="D2989" i="1"/>
  <c r="E2989" i="1"/>
  <c r="F2989" i="1"/>
  <c r="G2989" i="1"/>
  <c r="I2989" i="1"/>
  <c r="J2989" i="1"/>
  <c r="K2989" i="1"/>
  <c r="L2989" i="1"/>
  <c r="M2989" i="1"/>
  <c r="N2989" i="1"/>
  <c r="O2989" i="1"/>
  <c r="P2989" i="1"/>
  <c r="Q2989" i="1"/>
  <c r="R2989" i="1"/>
  <c r="S2989" i="1"/>
  <c r="T2989" i="1"/>
  <c r="U2989" i="1"/>
  <c r="V2989" i="1"/>
  <c r="W2989" i="1"/>
  <c r="X2989" i="1"/>
  <c r="Y2989" i="1"/>
  <c r="Z2989" i="1"/>
  <c r="A2990" i="1"/>
  <c r="B2990" i="1"/>
  <c r="C2990" i="1"/>
  <c r="D2990" i="1"/>
  <c r="E2990" i="1"/>
  <c r="F2990" i="1"/>
  <c r="G2990" i="1"/>
  <c r="I2990" i="1"/>
  <c r="J2990" i="1"/>
  <c r="K2990" i="1"/>
  <c r="L2990" i="1"/>
  <c r="M2990" i="1"/>
  <c r="N2990" i="1"/>
  <c r="O2990" i="1"/>
  <c r="P2990" i="1"/>
  <c r="Q2990" i="1"/>
  <c r="R2990" i="1"/>
  <c r="S2990" i="1"/>
  <c r="T2990" i="1"/>
  <c r="U2990" i="1"/>
  <c r="V2990" i="1"/>
  <c r="W2990" i="1"/>
  <c r="X2990" i="1"/>
  <c r="Y2990" i="1"/>
  <c r="Z2990" i="1"/>
  <c r="A2991" i="1"/>
  <c r="B2991" i="1"/>
  <c r="C2991" i="1"/>
  <c r="D2991" i="1"/>
  <c r="E2991" i="1"/>
  <c r="F2991" i="1"/>
  <c r="G2991" i="1"/>
  <c r="I2991" i="1"/>
  <c r="J2991" i="1"/>
  <c r="K2991" i="1"/>
  <c r="L2991" i="1"/>
  <c r="M2991" i="1"/>
  <c r="N2991" i="1"/>
  <c r="O2991" i="1"/>
  <c r="P2991" i="1"/>
  <c r="Q2991" i="1"/>
  <c r="R2991" i="1"/>
  <c r="S2991" i="1"/>
  <c r="T2991" i="1"/>
  <c r="U2991" i="1"/>
  <c r="V2991" i="1"/>
  <c r="W2991" i="1"/>
  <c r="X2991" i="1"/>
  <c r="Y2991" i="1"/>
  <c r="Z2991" i="1"/>
  <c r="A2992" i="1"/>
  <c r="B2992" i="1"/>
  <c r="C2992" i="1"/>
  <c r="D2992" i="1"/>
  <c r="E2992" i="1"/>
  <c r="F2992" i="1"/>
  <c r="G2992" i="1"/>
  <c r="I2992" i="1"/>
  <c r="J2992" i="1"/>
  <c r="K2992" i="1"/>
  <c r="L2992" i="1"/>
  <c r="M2992" i="1"/>
  <c r="N2992" i="1"/>
  <c r="O2992" i="1"/>
  <c r="P2992" i="1"/>
  <c r="Q2992" i="1"/>
  <c r="R2992" i="1"/>
  <c r="S2992" i="1"/>
  <c r="T2992" i="1"/>
  <c r="U2992" i="1"/>
  <c r="V2992" i="1"/>
  <c r="W2992" i="1"/>
  <c r="X2992" i="1"/>
  <c r="Y2992" i="1"/>
  <c r="Z2992" i="1"/>
  <c r="A2993" i="1"/>
  <c r="B2993" i="1"/>
  <c r="C2993" i="1"/>
  <c r="D2993" i="1"/>
  <c r="E2993" i="1"/>
  <c r="F2993" i="1"/>
  <c r="G2993" i="1"/>
  <c r="I2993" i="1"/>
  <c r="J2993" i="1"/>
  <c r="K2993" i="1"/>
  <c r="L2993" i="1"/>
  <c r="M2993" i="1"/>
  <c r="N2993" i="1"/>
  <c r="O2993" i="1"/>
  <c r="P2993" i="1"/>
  <c r="Q2993" i="1"/>
  <c r="R2993" i="1"/>
  <c r="S2993" i="1"/>
  <c r="T2993" i="1"/>
  <c r="U2993" i="1"/>
  <c r="V2993" i="1"/>
  <c r="W2993" i="1"/>
  <c r="X2993" i="1"/>
  <c r="Y2993" i="1"/>
  <c r="Z2993" i="1"/>
  <c r="A2994" i="1"/>
  <c r="B2994" i="1"/>
  <c r="C2994" i="1"/>
  <c r="D2994" i="1"/>
  <c r="E2994" i="1"/>
  <c r="F2994" i="1"/>
  <c r="G2994" i="1"/>
  <c r="I2994" i="1"/>
  <c r="J2994" i="1"/>
  <c r="K2994" i="1"/>
  <c r="L2994" i="1"/>
  <c r="M2994" i="1"/>
  <c r="N2994" i="1"/>
  <c r="O2994" i="1"/>
  <c r="P2994" i="1"/>
  <c r="Q2994" i="1"/>
  <c r="R2994" i="1"/>
  <c r="S2994" i="1"/>
  <c r="T2994" i="1"/>
  <c r="U2994" i="1"/>
  <c r="V2994" i="1"/>
  <c r="W2994" i="1"/>
  <c r="X2994" i="1"/>
  <c r="Y2994" i="1"/>
  <c r="Z2994" i="1"/>
  <c r="A2995" i="1"/>
  <c r="B2995" i="1"/>
  <c r="C2995" i="1"/>
  <c r="D2995" i="1"/>
  <c r="E2995" i="1"/>
  <c r="F2995" i="1"/>
  <c r="G2995" i="1"/>
  <c r="I2995" i="1"/>
  <c r="J2995" i="1"/>
  <c r="K2995" i="1"/>
  <c r="L2995" i="1"/>
  <c r="M2995" i="1"/>
  <c r="N2995" i="1"/>
  <c r="O2995" i="1"/>
  <c r="P2995" i="1"/>
  <c r="Q2995" i="1"/>
  <c r="R2995" i="1"/>
  <c r="S2995" i="1"/>
  <c r="T2995" i="1"/>
  <c r="U2995" i="1"/>
  <c r="V2995" i="1"/>
  <c r="W2995" i="1"/>
  <c r="X2995" i="1"/>
  <c r="Y2995" i="1"/>
  <c r="Z2995" i="1"/>
  <c r="A2996" i="1"/>
  <c r="B2996" i="1"/>
  <c r="C2996" i="1"/>
  <c r="D2996" i="1"/>
  <c r="E2996" i="1"/>
  <c r="F2996" i="1"/>
  <c r="G2996" i="1"/>
  <c r="I2996" i="1"/>
  <c r="J2996" i="1"/>
  <c r="K2996" i="1"/>
  <c r="L2996" i="1"/>
  <c r="M2996" i="1"/>
  <c r="N2996" i="1"/>
  <c r="O2996" i="1"/>
  <c r="P2996" i="1"/>
  <c r="Q2996" i="1"/>
  <c r="R2996" i="1"/>
  <c r="S2996" i="1"/>
  <c r="T2996" i="1"/>
  <c r="U2996" i="1"/>
  <c r="V2996" i="1"/>
  <c r="W2996" i="1"/>
  <c r="X2996" i="1"/>
  <c r="Y2996" i="1"/>
  <c r="Z2996" i="1"/>
  <c r="A2997" i="1"/>
  <c r="B2997" i="1"/>
  <c r="C2997" i="1"/>
  <c r="D2997" i="1"/>
  <c r="E2997" i="1"/>
  <c r="F2997" i="1"/>
  <c r="G2997" i="1"/>
  <c r="I2997" i="1"/>
  <c r="J2997" i="1"/>
  <c r="K2997" i="1"/>
  <c r="L2997" i="1"/>
  <c r="M2997" i="1"/>
  <c r="N2997" i="1"/>
  <c r="O2997" i="1"/>
  <c r="P2997" i="1"/>
  <c r="Q2997" i="1"/>
  <c r="R2997" i="1"/>
  <c r="S2997" i="1"/>
  <c r="T2997" i="1"/>
  <c r="U2997" i="1"/>
  <c r="V2997" i="1"/>
  <c r="W2997" i="1"/>
  <c r="X2997" i="1"/>
  <c r="Y2997" i="1"/>
  <c r="Z2997" i="1"/>
  <c r="A2998" i="1"/>
  <c r="B2998" i="1"/>
  <c r="C2998" i="1"/>
  <c r="D2998" i="1"/>
  <c r="E2998" i="1"/>
  <c r="F2998" i="1"/>
  <c r="G2998" i="1"/>
  <c r="I2998" i="1"/>
  <c r="J2998" i="1"/>
  <c r="K2998" i="1"/>
  <c r="L2998" i="1"/>
  <c r="M2998" i="1"/>
  <c r="N2998" i="1"/>
  <c r="O2998" i="1"/>
  <c r="P2998" i="1"/>
  <c r="Q2998" i="1"/>
  <c r="R2998" i="1"/>
  <c r="S2998" i="1"/>
  <c r="T2998" i="1"/>
  <c r="U2998" i="1"/>
  <c r="V2998" i="1"/>
  <c r="W2998" i="1"/>
  <c r="X2998" i="1"/>
  <c r="Y2998" i="1"/>
  <c r="Z2998" i="1"/>
  <c r="A2999" i="1"/>
  <c r="B2999" i="1"/>
  <c r="C2999" i="1"/>
  <c r="D2999" i="1"/>
  <c r="E2999" i="1"/>
  <c r="F2999" i="1"/>
  <c r="G2999" i="1"/>
  <c r="I2999" i="1"/>
  <c r="J2999" i="1"/>
  <c r="K2999" i="1"/>
  <c r="L2999" i="1"/>
  <c r="M2999" i="1"/>
  <c r="N2999" i="1"/>
  <c r="O2999" i="1"/>
  <c r="P2999" i="1"/>
  <c r="Q2999" i="1"/>
  <c r="R2999" i="1"/>
  <c r="S2999" i="1"/>
  <c r="T2999" i="1"/>
  <c r="U2999" i="1"/>
  <c r="V2999" i="1"/>
  <c r="W2999" i="1"/>
  <c r="X2999" i="1"/>
  <c r="Y2999" i="1"/>
  <c r="Z2999" i="1"/>
  <c r="A3000" i="1"/>
  <c r="B3000" i="1"/>
  <c r="C3000" i="1"/>
  <c r="D3000" i="1"/>
  <c r="E3000" i="1"/>
  <c r="F3000" i="1"/>
  <c r="G3000" i="1"/>
  <c r="I3000" i="1"/>
  <c r="J3000" i="1"/>
  <c r="K3000" i="1"/>
  <c r="L3000" i="1"/>
  <c r="M3000" i="1"/>
  <c r="N3000" i="1"/>
  <c r="O3000" i="1"/>
  <c r="P3000" i="1"/>
  <c r="Q3000" i="1"/>
  <c r="R3000" i="1"/>
  <c r="S3000" i="1"/>
  <c r="T3000" i="1"/>
  <c r="U3000" i="1"/>
  <c r="V3000" i="1"/>
  <c r="W3000" i="1"/>
  <c r="X3000" i="1"/>
  <c r="Y3000" i="1"/>
  <c r="Z3000" i="1"/>
  <c r="A3001" i="1"/>
  <c r="B3001" i="1"/>
  <c r="C3001" i="1"/>
  <c r="D3001" i="1"/>
  <c r="E3001" i="1"/>
  <c r="F3001" i="1"/>
  <c r="G3001" i="1"/>
  <c r="I3001" i="1"/>
  <c r="J3001" i="1"/>
  <c r="K3001" i="1"/>
  <c r="L3001" i="1"/>
  <c r="M3001" i="1"/>
  <c r="N3001" i="1"/>
  <c r="O3001" i="1"/>
  <c r="P3001" i="1"/>
  <c r="Q3001" i="1"/>
  <c r="R3001" i="1"/>
  <c r="S3001" i="1"/>
  <c r="T3001" i="1"/>
  <c r="U3001" i="1"/>
  <c r="V3001" i="1"/>
  <c r="W3001" i="1"/>
  <c r="X3001" i="1"/>
  <c r="Y3001" i="1"/>
  <c r="Z3001" i="1"/>
  <c r="A3002" i="1"/>
  <c r="B3002" i="1"/>
  <c r="C3002" i="1"/>
  <c r="D3002" i="1"/>
  <c r="E3002" i="1"/>
  <c r="F3002" i="1"/>
  <c r="G3002" i="1"/>
  <c r="I3002" i="1"/>
  <c r="J3002" i="1"/>
  <c r="K3002" i="1"/>
  <c r="L3002" i="1"/>
  <c r="M3002" i="1"/>
  <c r="N3002" i="1"/>
  <c r="O3002" i="1"/>
  <c r="P3002" i="1"/>
  <c r="Q3002" i="1"/>
  <c r="R3002" i="1"/>
  <c r="S3002" i="1"/>
  <c r="T3002" i="1"/>
  <c r="U3002" i="1"/>
  <c r="V3002" i="1"/>
  <c r="W3002" i="1"/>
  <c r="X3002" i="1"/>
  <c r="Y3002" i="1"/>
  <c r="Z3002" i="1"/>
  <c r="A3003" i="1"/>
  <c r="B3003" i="1"/>
  <c r="C3003" i="1"/>
  <c r="D3003" i="1"/>
  <c r="E3003" i="1"/>
  <c r="F3003" i="1"/>
  <c r="G3003" i="1"/>
  <c r="I3003" i="1"/>
  <c r="J3003" i="1"/>
  <c r="K3003" i="1"/>
  <c r="L3003" i="1"/>
  <c r="M3003" i="1"/>
  <c r="N3003" i="1"/>
  <c r="O3003" i="1"/>
  <c r="P3003" i="1"/>
  <c r="Q3003" i="1"/>
  <c r="R3003" i="1"/>
  <c r="S3003" i="1"/>
  <c r="T3003" i="1"/>
  <c r="U3003" i="1"/>
  <c r="V3003" i="1"/>
  <c r="W3003" i="1"/>
  <c r="X3003" i="1"/>
  <c r="Y3003" i="1"/>
  <c r="Z3003" i="1"/>
  <c r="A3004" i="1"/>
  <c r="B3004" i="1"/>
  <c r="C3004" i="1"/>
  <c r="D3004" i="1"/>
  <c r="E3004" i="1"/>
  <c r="F3004" i="1"/>
  <c r="G3004" i="1"/>
  <c r="I3004" i="1"/>
  <c r="J3004" i="1"/>
  <c r="K3004" i="1"/>
  <c r="L3004" i="1"/>
  <c r="M3004" i="1"/>
  <c r="N3004" i="1"/>
  <c r="O3004" i="1"/>
  <c r="P3004" i="1"/>
  <c r="Q3004" i="1"/>
  <c r="R3004" i="1"/>
  <c r="S3004" i="1"/>
  <c r="T3004" i="1"/>
  <c r="U3004" i="1"/>
  <c r="V3004" i="1"/>
  <c r="W3004" i="1"/>
  <c r="X3004" i="1"/>
  <c r="Y3004" i="1"/>
  <c r="Z3004" i="1"/>
  <c r="A3005" i="1"/>
  <c r="B3005" i="1"/>
  <c r="C3005" i="1"/>
  <c r="D3005" i="1"/>
  <c r="E3005" i="1"/>
  <c r="F3005" i="1"/>
  <c r="G3005" i="1"/>
  <c r="I3005" i="1"/>
  <c r="J3005" i="1"/>
  <c r="K3005" i="1"/>
  <c r="L3005" i="1"/>
  <c r="M3005" i="1"/>
  <c r="N3005" i="1"/>
  <c r="O3005" i="1"/>
  <c r="P3005" i="1"/>
  <c r="Q3005" i="1"/>
  <c r="R3005" i="1"/>
  <c r="S3005" i="1"/>
  <c r="T3005" i="1"/>
  <c r="U3005" i="1"/>
  <c r="V3005" i="1"/>
  <c r="W3005" i="1"/>
  <c r="X3005" i="1"/>
  <c r="Y3005" i="1"/>
  <c r="Z3005" i="1"/>
  <c r="A3006" i="1"/>
  <c r="B3006" i="1"/>
  <c r="C3006" i="1"/>
  <c r="D3006" i="1"/>
  <c r="E3006" i="1"/>
  <c r="F3006" i="1"/>
  <c r="G3006" i="1"/>
  <c r="I3006" i="1"/>
  <c r="J3006" i="1"/>
  <c r="K3006" i="1"/>
  <c r="L3006" i="1"/>
  <c r="M3006" i="1"/>
  <c r="N3006" i="1"/>
  <c r="O3006" i="1"/>
  <c r="P3006" i="1"/>
  <c r="Q3006" i="1"/>
  <c r="R3006" i="1"/>
  <c r="S3006" i="1"/>
  <c r="T3006" i="1"/>
  <c r="U3006" i="1"/>
  <c r="V3006" i="1"/>
  <c r="W3006" i="1"/>
  <c r="X3006" i="1"/>
  <c r="Y3006" i="1"/>
  <c r="Z3006" i="1"/>
  <c r="A3007" i="1"/>
  <c r="B3007" i="1"/>
  <c r="C3007" i="1"/>
  <c r="D3007" i="1"/>
  <c r="E3007" i="1"/>
  <c r="F3007" i="1"/>
  <c r="G3007" i="1"/>
  <c r="I3007" i="1"/>
  <c r="J3007" i="1"/>
  <c r="K3007" i="1"/>
  <c r="L3007" i="1"/>
  <c r="M3007" i="1"/>
  <c r="N3007" i="1"/>
  <c r="O3007" i="1"/>
  <c r="P3007" i="1"/>
  <c r="Q3007" i="1"/>
  <c r="R3007" i="1"/>
  <c r="S3007" i="1"/>
  <c r="T3007" i="1"/>
  <c r="U3007" i="1"/>
  <c r="V3007" i="1"/>
  <c r="W3007" i="1"/>
  <c r="X3007" i="1"/>
  <c r="Y3007" i="1"/>
  <c r="Z3007" i="1"/>
  <c r="A3008" i="1"/>
  <c r="B3008" i="1"/>
  <c r="C3008" i="1"/>
  <c r="D3008" i="1"/>
  <c r="E3008" i="1"/>
  <c r="F3008" i="1"/>
  <c r="G3008" i="1"/>
  <c r="I3008" i="1"/>
  <c r="J3008" i="1"/>
  <c r="K3008" i="1"/>
  <c r="L3008" i="1"/>
  <c r="M3008" i="1"/>
  <c r="N3008" i="1"/>
  <c r="O3008" i="1"/>
  <c r="P3008" i="1"/>
  <c r="Q3008" i="1"/>
  <c r="R3008" i="1"/>
  <c r="S3008" i="1"/>
  <c r="T3008" i="1"/>
  <c r="U3008" i="1"/>
  <c r="V3008" i="1"/>
  <c r="W3008" i="1"/>
  <c r="X3008" i="1"/>
  <c r="Y3008" i="1"/>
  <c r="Z3008" i="1"/>
  <c r="A3009" i="1"/>
  <c r="B3009" i="1"/>
  <c r="C3009" i="1"/>
  <c r="D3009" i="1"/>
  <c r="E3009" i="1"/>
  <c r="F3009" i="1"/>
  <c r="G3009" i="1"/>
  <c r="I3009" i="1"/>
  <c r="J3009" i="1"/>
  <c r="K3009" i="1"/>
  <c r="L3009" i="1"/>
  <c r="M3009" i="1"/>
  <c r="N3009" i="1"/>
  <c r="O3009" i="1"/>
  <c r="P3009" i="1"/>
  <c r="Q3009" i="1"/>
  <c r="R3009" i="1"/>
  <c r="S3009" i="1"/>
  <c r="T3009" i="1"/>
  <c r="U3009" i="1"/>
  <c r="V3009" i="1"/>
  <c r="W3009" i="1"/>
  <c r="X3009" i="1"/>
  <c r="Y3009" i="1"/>
  <c r="Z3009" i="1"/>
  <c r="A3010" i="1"/>
  <c r="B3010" i="1"/>
  <c r="C3010" i="1"/>
  <c r="D3010" i="1"/>
  <c r="E3010" i="1"/>
  <c r="F3010" i="1"/>
  <c r="G3010" i="1"/>
  <c r="I3010" i="1"/>
  <c r="J3010" i="1"/>
  <c r="K3010" i="1"/>
  <c r="L3010" i="1"/>
  <c r="M3010" i="1"/>
  <c r="N3010" i="1"/>
  <c r="O3010" i="1"/>
  <c r="P3010" i="1"/>
  <c r="Q3010" i="1"/>
  <c r="R3010" i="1"/>
  <c r="S3010" i="1"/>
  <c r="T3010" i="1"/>
  <c r="U3010" i="1"/>
  <c r="V3010" i="1"/>
  <c r="W3010" i="1"/>
  <c r="X3010" i="1"/>
  <c r="Y3010" i="1"/>
  <c r="Z3010" i="1"/>
  <c r="A3011" i="1"/>
  <c r="B3011" i="1"/>
  <c r="C3011" i="1"/>
  <c r="D3011" i="1"/>
  <c r="E3011" i="1"/>
  <c r="F3011" i="1"/>
  <c r="G3011" i="1"/>
  <c r="I3011" i="1"/>
  <c r="J3011" i="1"/>
  <c r="K3011" i="1"/>
  <c r="L3011" i="1"/>
  <c r="M3011" i="1"/>
  <c r="N3011" i="1"/>
  <c r="O3011" i="1"/>
  <c r="P3011" i="1"/>
  <c r="Q3011" i="1"/>
  <c r="R3011" i="1"/>
  <c r="S3011" i="1"/>
  <c r="T3011" i="1"/>
  <c r="U3011" i="1"/>
  <c r="V3011" i="1"/>
  <c r="W3011" i="1"/>
  <c r="X3011" i="1"/>
  <c r="Y3011" i="1"/>
  <c r="Z3011" i="1"/>
  <c r="A3012" i="1"/>
  <c r="B3012" i="1"/>
  <c r="C3012" i="1"/>
  <c r="D3012" i="1"/>
  <c r="E3012" i="1"/>
  <c r="F3012" i="1"/>
  <c r="G3012" i="1"/>
  <c r="I3012" i="1"/>
  <c r="J3012" i="1"/>
  <c r="K3012" i="1"/>
  <c r="L3012" i="1"/>
  <c r="M3012" i="1"/>
  <c r="N3012" i="1"/>
  <c r="O3012" i="1"/>
  <c r="P3012" i="1"/>
  <c r="Q3012" i="1"/>
  <c r="R3012" i="1"/>
  <c r="S3012" i="1"/>
  <c r="T3012" i="1"/>
  <c r="U3012" i="1"/>
  <c r="V3012" i="1"/>
  <c r="W3012" i="1"/>
  <c r="X3012" i="1"/>
  <c r="Y3012" i="1"/>
  <c r="Z3012" i="1"/>
  <c r="A3013" i="1"/>
  <c r="B3013" i="1"/>
  <c r="C3013" i="1"/>
  <c r="D3013" i="1"/>
  <c r="E3013" i="1"/>
  <c r="F3013" i="1"/>
  <c r="G3013" i="1"/>
  <c r="I3013" i="1"/>
  <c r="J3013" i="1"/>
  <c r="K3013" i="1"/>
  <c r="L3013" i="1"/>
  <c r="M3013" i="1"/>
  <c r="N3013" i="1"/>
  <c r="O3013" i="1"/>
  <c r="P3013" i="1"/>
  <c r="Q3013" i="1"/>
  <c r="R3013" i="1"/>
  <c r="S3013" i="1"/>
  <c r="T3013" i="1"/>
  <c r="U3013" i="1"/>
  <c r="V3013" i="1"/>
  <c r="W3013" i="1"/>
  <c r="X3013" i="1"/>
  <c r="Y3013" i="1"/>
  <c r="Z3013" i="1"/>
  <c r="A3014" i="1"/>
  <c r="B3014" i="1"/>
  <c r="C3014" i="1"/>
  <c r="D3014" i="1"/>
  <c r="E3014" i="1"/>
  <c r="F3014" i="1"/>
  <c r="G3014" i="1"/>
  <c r="I3014" i="1"/>
  <c r="J3014" i="1"/>
  <c r="K3014" i="1"/>
  <c r="L3014" i="1"/>
  <c r="M3014" i="1"/>
  <c r="N3014" i="1"/>
  <c r="O3014" i="1"/>
  <c r="P3014" i="1"/>
  <c r="Q3014" i="1"/>
  <c r="R3014" i="1"/>
  <c r="S3014" i="1"/>
  <c r="T3014" i="1"/>
  <c r="U3014" i="1"/>
  <c r="V3014" i="1"/>
  <c r="W3014" i="1"/>
  <c r="X3014" i="1"/>
  <c r="Y3014" i="1"/>
  <c r="Z3014" i="1"/>
  <c r="A3015" i="1"/>
  <c r="B3015" i="1"/>
  <c r="C3015" i="1"/>
  <c r="D3015" i="1"/>
  <c r="E3015" i="1"/>
  <c r="F3015" i="1"/>
  <c r="G3015" i="1"/>
  <c r="I3015" i="1"/>
  <c r="J3015" i="1"/>
  <c r="K3015" i="1"/>
  <c r="L3015" i="1"/>
  <c r="M3015" i="1"/>
  <c r="N3015" i="1"/>
  <c r="O3015" i="1"/>
  <c r="P3015" i="1"/>
  <c r="Q3015" i="1"/>
  <c r="R3015" i="1"/>
  <c r="S3015" i="1"/>
  <c r="T3015" i="1"/>
  <c r="U3015" i="1"/>
  <c r="V3015" i="1"/>
  <c r="W3015" i="1"/>
  <c r="X3015" i="1"/>
  <c r="Y3015" i="1"/>
  <c r="Z3015" i="1"/>
  <c r="A3016" i="1"/>
  <c r="B3016" i="1"/>
  <c r="C3016" i="1"/>
  <c r="D3016" i="1"/>
  <c r="E3016" i="1"/>
  <c r="F3016" i="1"/>
  <c r="G3016" i="1"/>
  <c r="I3016" i="1"/>
  <c r="J3016" i="1"/>
  <c r="K3016" i="1"/>
  <c r="L3016" i="1"/>
  <c r="M3016" i="1"/>
  <c r="N3016" i="1"/>
  <c r="O3016" i="1"/>
  <c r="P3016" i="1"/>
  <c r="Q3016" i="1"/>
  <c r="R3016" i="1"/>
  <c r="S3016" i="1"/>
  <c r="T3016" i="1"/>
  <c r="U3016" i="1"/>
  <c r="V3016" i="1"/>
  <c r="W3016" i="1"/>
  <c r="X3016" i="1"/>
  <c r="Y3016" i="1"/>
  <c r="Z3016" i="1"/>
  <c r="A3017" i="1"/>
  <c r="B3017" i="1"/>
  <c r="C3017" i="1"/>
  <c r="D3017" i="1"/>
  <c r="E3017" i="1"/>
  <c r="F3017" i="1"/>
  <c r="G3017" i="1"/>
  <c r="I3017" i="1"/>
  <c r="J3017" i="1"/>
  <c r="K3017" i="1"/>
  <c r="L3017" i="1"/>
  <c r="M3017" i="1"/>
  <c r="N3017" i="1"/>
  <c r="O3017" i="1"/>
  <c r="P3017" i="1"/>
  <c r="Q3017" i="1"/>
  <c r="R3017" i="1"/>
  <c r="S3017" i="1"/>
  <c r="T3017" i="1"/>
  <c r="U3017" i="1"/>
  <c r="V3017" i="1"/>
  <c r="W3017" i="1"/>
  <c r="X3017" i="1"/>
  <c r="Y3017" i="1"/>
  <c r="Z3017" i="1"/>
  <c r="A3018" i="1"/>
  <c r="B3018" i="1"/>
  <c r="C3018" i="1"/>
  <c r="D3018" i="1"/>
  <c r="E3018" i="1"/>
  <c r="F3018" i="1"/>
  <c r="G3018" i="1"/>
  <c r="I3018" i="1"/>
  <c r="J3018" i="1"/>
  <c r="K3018" i="1"/>
  <c r="L3018" i="1"/>
  <c r="M3018" i="1"/>
  <c r="N3018" i="1"/>
  <c r="O3018" i="1"/>
  <c r="P3018" i="1"/>
  <c r="Q3018" i="1"/>
  <c r="R3018" i="1"/>
  <c r="S3018" i="1"/>
  <c r="T3018" i="1"/>
  <c r="U3018" i="1"/>
  <c r="V3018" i="1"/>
  <c r="W3018" i="1"/>
  <c r="X3018" i="1"/>
  <c r="Y3018" i="1"/>
  <c r="Z3018" i="1"/>
  <c r="A3019" i="1"/>
  <c r="B3019" i="1"/>
  <c r="C3019" i="1"/>
  <c r="D3019" i="1"/>
  <c r="E3019" i="1"/>
  <c r="F3019" i="1"/>
  <c r="G3019" i="1"/>
  <c r="I3019" i="1"/>
  <c r="J3019" i="1"/>
  <c r="K3019" i="1"/>
  <c r="L3019" i="1"/>
  <c r="M3019" i="1"/>
  <c r="N3019" i="1"/>
  <c r="O3019" i="1"/>
  <c r="P3019" i="1"/>
  <c r="Q3019" i="1"/>
  <c r="R3019" i="1"/>
  <c r="S3019" i="1"/>
  <c r="T3019" i="1"/>
  <c r="U3019" i="1"/>
  <c r="V3019" i="1"/>
  <c r="W3019" i="1"/>
  <c r="X3019" i="1"/>
  <c r="Y3019" i="1"/>
  <c r="Z3019" i="1"/>
  <c r="A3020" i="1"/>
  <c r="B3020" i="1"/>
  <c r="C3020" i="1"/>
  <c r="D3020" i="1"/>
  <c r="E3020" i="1"/>
  <c r="F3020" i="1"/>
  <c r="G3020" i="1"/>
  <c r="I3020" i="1"/>
  <c r="J3020" i="1"/>
  <c r="K3020" i="1"/>
  <c r="L3020" i="1"/>
  <c r="M3020" i="1"/>
  <c r="N3020" i="1"/>
  <c r="O3020" i="1"/>
  <c r="P3020" i="1"/>
  <c r="Q3020" i="1"/>
  <c r="R3020" i="1"/>
  <c r="S3020" i="1"/>
  <c r="T3020" i="1"/>
  <c r="U3020" i="1"/>
  <c r="V3020" i="1"/>
  <c r="W3020" i="1"/>
  <c r="X3020" i="1"/>
  <c r="Y3020" i="1"/>
  <c r="Z3020" i="1"/>
  <c r="A3021" i="1"/>
  <c r="B3021" i="1"/>
  <c r="C3021" i="1"/>
  <c r="D3021" i="1"/>
  <c r="E3021" i="1"/>
  <c r="F3021" i="1"/>
  <c r="G3021" i="1"/>
  <c r="I3021" i="1"/>
  <c r="J3021" i="1"/>
  <c r="K3021" i="1"/>
  <c r="L3021" i="1"/>
  <c r="M3021" i="1"/>
  <c r="N3021" i="1"/>
  <c r="O3021" i="1"/>
  <c r="P3021" i="1"/>
  <c r="Q3021" i="1"/>
  <c r="R3021" i="1"/>
  <c r="S3021" i="1"/>
  <c r="T3021" i="1"/>
  <c r="U3021" i="1"/>
  <c r="V3021" i="1"/>
  <c r="W3021" i="1"/>
  <c r="X3021" i="1"/>
  <c r="Y3021" i="1"/>
  <c r="Z3021" i="1"/>
  <c r="A3022" i="1"/>
  <c r="B3022" i="1"/>
  <c r="C3022" i="1"/>
  <c r="D3022" i="1"/>
  <c r="E3022" i="1"/>
  <c r="F3022" i="1"/>
  <c r="G3022" i="1"/>
  <c r="I3022" i="1"/>
  <c r="J3022" i="1"/>
  <c r="K3022" i="1"/>
  <c r="L3022" i="1"/>
  <c r="M3022" i="1"/>
  <c r="N3022" i="1"/>
  <c r="O3022" i="1"/>
  <c r="P3022" i="1"/>
  <c r="Q3022" i="1"/>
  <c r="R3022" i="1"/>
  <c r="S3022" i="1"/>
  <c r="T3022" i="1"/>
  <c r="U3022" i="1"/>
  <c r="V3022" i="1"/>
  <c r="W3022" i="1"/>
  <c r="X3022" i="1"/>
  <c r="Y3022" i="1"/>
  <c r="Z3022" i="1"/>
  <c r="A3023" i="1"/>
  <c r="B3023" i="1"/>
  <c r="C3023" i="1"/>
  <c r="D3023" i="1"/>
  <c r="E3023" i="1"/>
  <c r="F3023" i="1"/>
  <c r="G3023" i="1"/>
  <c r="I3023" i="1"/>
  <c r="J3023" i="1"/>
  <c r="K3023" i="1"/>
  <c r="L3023" i="1"/>
  <c r="M3023" i="1"/>
  <c r="N3023" i="1"/>
  <c r="O3023" i="1"/>
  <c r="P3023" i="1"/>
  <c r="Q3023" i="1"/>
  <c r="R3023" i="1"/>
  <c r="S3023" i="1"/>
  <c r="T3023" i="1"/>
  <c r="U3023" i="1"/>
  <c r="V3023" i="1"/>
  <c r="W3023" i="1"/>
  <c r="X3023" i="1"/>
  <c r="Y3023" i="1"/>
  <c r="Z3023" i="1"/>
  <c r="A3024" i="1"/>
  <c r="B3024" i="1"/>
  <c r="C3024" i="1"/>
  <c r="D3024" i="1"/>
  <c r="E3024" i="1"/>
  <c r="F3024" i="1"/>
  <c r="G3024" i="1"/>
  <c r="I3024" i="1"/>
  <c r="J3024" i="1"/>
  <c r="K3024" i="1"/>
  <c r="L3024" i="1"/>
  <c r="M3024" i="1"/>
  <c r="N3024" i="1"/>
  <c r="O3024" i="1"/>
  <c r="P3024" i="1"/>
  <c r="Q3024" i="1"/>
  <c r="R3024" i="1"/>
  <c r="S3024" i="1"/>
  <c r="T3024" i="1"/>
  <c r="U3024" i="1"/>
  <c r="V3024" i="1"/>
  <c r="W3024" i="1"/>
  <c r="X3024" i="1"/>
  <c r="Y3024" i="1"/>
  <c r="Z3024" i="1"/>
  <c r="A3025" i="1"/>
  <c r="B3025" i="1"/>
  <c r="C3025" i="1"/>
  <c r="D3025" i="1"/>
  <c r="E3025" i="1"/>
  <c r="F3025" i="1"/>
  <c r="G3025" i="1"/>
  <c r="I3025" i="1"/>
  <c r="J3025" i="1"/>
  <c r="K3025" i="1"/>
  <c r="L3025" i="1"/>
  <c r="M3025" i="1"/>
  <c r="N3025" i="1"/>
  <c r="O3025" i="1"/>
  <c r="P3025" i="1"/>
  <c r="Q3025" i="1"/>
  <c r="R3025" i="1"/>
  <c r="S3025" i="1"/>
  <c r="T3025" i="1"/>
  <c r="U3025" i="1"/>
  <c r="V3025" i="1"/>
  <c r="W3025" i="1"/>
  <c r="X3025" i="1"/>
  <c r="Y3025" i="1"/>
  <c r="Z3025" i="1"/>
  <c r="A3026" i="1"/>
  <c r="B3026" i="1"/>
  <c r="C3026" i="1"/>
  <c r="D3026" i="1"/>
  <c r="E3026" i="1"/>
  <c r="F3026" i="1"/>
  <c r="G3026" i="1"/>
  <c r="I3026" i="1"/>
  <c r="J3026" i="1"/>
  <c r="K3026" i="1"/>
  <c r="L3026" i="1"/>
  <c r="M3026" i="1"/>
  <c r="N3026" i="1"/>
  <c r="O3026" i="1"/>
  <c r="P3026" i="1"/>
  <c r="Q3026" i="1"/>
  <c r="R3026" i="1"/>
  <c r="S3026" i="1"/>
  <c r="T3026" i="1"/>
  <c r="U3026" i="1"/>
  <c r="V3026" i="1"/>
  <c r="W3026" i="1"/>
  <c r="X3026" i="1"/>
  <c r="Y3026" i="1"/>
  <c r="Z3026" i="1"/>
  <c r="A3027" i="1"/>
  <c r="B3027" i="1"/>
  <c r="C3027" i="1"/>
  <c r="D3027" i="1"/>
  <c r="E3027" i="1"/>
  <c r="F3027" i="1"/>
  <c r="G3027" i="1"/>
  <c r="I3027" i="1"/>
  <c r="J3027" i="1"/>
  <c r="K3027" i="1"/>
  <c r="L3027" i="1"/>
  <c r="M3027" i="1"/>
  <c r="N3027" i="1"/>
  <c r="O3027" i="1"/>
  <c r="P3027" i="1"/>
  <c r="Q3027" i="1"/>
  <c r="R3027" i="1"/>
  <c r="S3027" i="1"/>
  <c r="T3027" i="1"/>
  <c r="U3027" i="1"/>
  <c r="V3027" i="1"/>
  <c r="W3027" i="1"/>
  <c r="X3027" i="1"/>
  <c r="Y3027" i="1"/>
  <c r="Z3027" i="1"/>
  <c r="A3028" i="1"/>
  <c r="B3028" i="1"/>
  <c r="C3028" i="1"/>
  <c r="D3028" i="1"/>
  <c r="E3028" i="1"/>
  <c r="F3028" i="1"/>
  <c r="G3028" i="1"/>
  <c r="I3028" i="1"/>
  <c r="J3028" i="1"/>
  <c r="K3028" i="1"/>
  <c r="L3028" i="1"/>
  <c r="M3028" i="1"/>
  <c r="N3028" i="1"/>
  <c r="O3028" i="1"/>
  <c r="P3028" i="1"/>
  <c r="Q3028" i="1"/>
  <c r="R3028" i="1"/>
  <c r="S3028" i="1"/>
  <c r="T3028" i="1"/>
  <c r="U3028" i="1"/>
  <c r="V3028" i="1"/>
  <c r="W3028" i="1"/>
  <c r="X3028" i="1"/>
  <c r="Y3028" i="1"/>
  <c r="Z3028" i="1"/>
  <c r="A3029" i="1"/>
  <c r="B3029" i="1"/>
  <c r="C3029" i="1"/>
  <c r="D3029" i="1"/>
  <c r="E3029" i="1"/>
  <c r="F3029" i="1"/>
  <c r="G3029" i="1"/>
  <c r="I3029" i="1"/>
  <c r="J3029" i="1"/>
  <c r="K3029" i="1"/>
  <c r="L3029" i="1"/>
  <c r="M3029" i="1"/>
  <c r="N3029" i="1"/>
  <c r="O3029" i="1"/>
  <c r="P3029" i="1"/>
  <c r="Q3029" i="1"/>
  <c r="R3029" i="1"/>
  <c r="S3029" i="1"/>
  <c r="T3029" i="1"/>
  <c r="U3029" i="1"/>
  <c r="V3029" i="1"/>
  <c r="W3029" i="1"/>
  <c r="X3029" i="1"/>
  <c r="Y3029" i="1"/>
  <c r="Z3029" i="1"/>
  <c r="A3030" i="1"/>
  <c r="B3030" i="1"/>
  <c r="C3030" i="1"/>
  <c r="D3030" i="1"/>
  <c r="E3030" i="1"/>
  <c r="F3030" i="1"/>
  <c r="G3030" i="1"/>
  <c r="I3030" i="1"/>
  <c r="J3030" i="1"/>
  <c r="K3030" i="1"/>
  <c r="L3030" i="1"/>
  <c r="M3030" i="1"/>
  <c r="N3030" i="1"/>
  <c r="O3030" i="1"/>
  <c r="P3030" i="1"/>
  <c r="Q3030" i="1"/>
  <c r="R3030" i="1"/>
  <c r="S3030" i="1"/>
  <c r="T3030" i="1"/>
  <c r="U3030" i="1"/>
  <c r="V3030" i="1"/>
  <c r="W3030" i="1"/>
  <c r="X3030" i="1"/>
  <c r="Y3030" i="1"/>
  <c r="Z3030" i="1"/>
  <c r="A3031" i="1"/>
  <c r="B3031" i="1"/>
  <c r="C3031" i="1"/>
  <c r="D3031" i="1"/>
  <c r="E3031" i="1"/>
  <c r="F3031" i="1"/>
  <c r="G3031" i="1"/>
  <c r="I3031" i="1"/>
  <c r="J3031" i="1"/>
  <c r="K3031" i="1"/>
  <c r="L3031" i="1"/>
  <c r="M3031" i="1"/>
  <c r="N3031" i="1"/>
  <c r="O3031" i="1"/>
  <c r="P3031" i="1"/>
  <c r="Q3031" i="1"/>
  <c r="R3031" i="1"/>
  <c r="S3031" i="1"/>
  <c r="T3031" i="1"/>
  <c r="U3031" i="1"/>
  <c r="V3031" i="1"/>
  <c r="W3031" i="1"/>
  <c r="X3031" i="1"/>
  <c r="Y3031" i="1"/>
  <c r="Z3031" i="1"/>
  <c r="A3032" i="1"/>
  <c r="B3032" i="1"/>
  <c r="C3032" i="1"/>
  <c r="D3032" i="1"/>
  <c r="E3032" i="1"/>
  <c r="F3032" i="1"/>
  <c r="G3032" i="1"/>
  <c r="I3032" i="1"/>
  <c r="J3032" i="1"/>
  <c r="K3032" i="1"/>
  <c r="L3032" i="1"/>
  <c r="M3032" i="1"/>
  <c r="N3032" i="1"/>
  <c r="O3032" i="1"/>
  <c r="P3032" i="1"/>
  <c r="Q3032" i="1"/>
  <c r="R3032" i="1"/>
  <c r="S3032" i="1"/>
  <c r="T3032" i="1"/>
  <c r="U3032" i="1"/>
  <c r="V3032" i="1"/>
  <c r="W3032" i="1"/>
  <c r="X3032" i="1"/>
  <c r="Y3032" i="1"/>
  <c r="Z3032" i="1"/>
  <c r="A3033" i="1"/>
  <c r="B3033" i="1"/>
  <c r="C3033" i="1"/>
  <c r="D3033" i="1"/>
  <c r="E3033" i="1"/>
  <c r="F3033" i="1"/>
  <c r="G3033" i="1"/>
  <c r="I3033" i="1"/>
  <c r="J3033" i="1"/>
  <c r="K3033" i="1"/>
  <c r="L3033" i="1"/>
  <c r="M3033" i="1"/>
  <c r="N3033" i="1"/>
  <c r="O3033" i="1"/>
  <c r="P3033" i="1"/>
  <c r="Q3033" i="1"/>
  <c r="R3033" i="1"/>
  <c r="S3033" i="1"/>
  <c r="T3033" i="1"/>
  <c r="U3033" i="1"/>
  <c r="V3033" i="1"/>
  <c r="W3033" i="1"/>
  <c r="X3033" i="1"/>
  <c r="Y3033" i="1"/>
  <c r="Z3033" i="1"/>
  <c r="A3034" i="1"/>
  <c r="B3034" i="1"/>
  <c r="C3034" i="1"/>
  <c r="D3034" i="1"/>
  <c r="E3034" i="1"/>
  <c r="F3034" i="1"/>
  <c r="G3034" i="1"/>
  <c r="I3034" i="1"/>
  <c r="J3034" i="1"/>
  <c r="K3034" i="1"/>
  <c r="L3034" i="1"/>
  <c r="M3034" i="1"/>
  <c r="N3034" i="1"/>
  <c r="O3034" i="1"/>
  <c r="P3034" i="1"/>
  <c r="Q3034" i="1"/>
  <c r="R3034" i="1"/>
  <c r="S3034" i="1"/>
  <c r="T3034" i="1"/>
  <c r="U3034" i="1"/>
  <c r="V3034" i="1"/>
  <c r="W3034" i="1"/>
  <c r="X3034" i="1"/>
  <c r="Y3034" i="1"/>
  <c r="Z3034" i="1"/>
  <c r="A3035" i="1"/>
  <c r="B3035" i="1"/>
  <c r="C3035" i="1"/>
  <c r="D3035" i="1"/>
  <c r="E3035" i="1"/>
  <c r="F3035" i="1"/>
  <c r="G3035" i="1"/>
  <c r="I3035" i="1"/>
  <c r="J3035" i="1"/>
  <c r="K3035" i="1"/>
  <c r="L3035" i="1"/>
  <c r="M3035" i="1"/>
  <c r="N3035" i="1"/>
  <c r="O3035" i="1"/>
  <c r="P3035" i="1"/>
  <c r="Q3035" i="1"/>
  <c r="R3035" i="1"/>
  <c r="S3035" i="1"/>
  <c r="T3035" i="1"/>
  <c r="U3035" i="1"/>
  <c r="V3035" i="1"/>
  <c r="W3035" i="1"/>
  <c r="X3035" i="1"/>
  <c r="Y3035" i="1"/>
  <c r="Z3035" i="1"/>
  <c r="A3036" i="1"/>
  <c r="B3036" i="1"/>
  <c r="C3036" i="1"/>
  <c r="D3036" i="1"/>
  <c r="E3036" i="1"/>
  <c r="F3036" i="1"/>
  <c r="G3036" i="1"/>
  <c r="I3036" i="1"/>
  <c r="J3036" i="1"/>
  <c r="K3036" i="1"/>
  <c r="L3036" i="1"/>
  <c r="M3036" i="1"/>
  <c r="N3036" i="1"/>
  <c r="O3036" i="1"/>
  <c r="P3036" i="1"/>
  <c r="Q3036" i="1"/>
  <c r="R3036" i="1"/>
  <c r="S3036" i="1"/>
  <c r="T3036" i="1"/>
  <c r="U3036" i="1"/>
  <c r="V3036" i="1"/>
  <c r="W3036" i="1"/>
  <c r="X3036" i="1"/>
  <c r="Y3036" i="1"/>
  <c r="Z3036" i="1"/>
  <c r="A3037" i="1"/>
  <c r="B3037" i="1"/>
  <c r="C3037" i="1"/>
  <c r="D3037" i="1"/>
  <c r="E3037" i="1"/>
  <c r="F3037" i="1"/>
  <c r="G3037" i="1"/>
  <c r="I3037" i="1"/>
  <c r="J3037" i="1"/>
  <c r="K3037" i="1"/>
  <c r="L3037" i="1"/>
  <c r="M3037" i="1"/>
  <c r="N3037" i="1"/>
  <c r="O3037" i="1"/>
  <c r="P3037" i="1"/>
  <c r="Q3037" i="1"/>
  <c r="R3037" i="1"/>
  <c r="S3037" i="1"/>
  <c r="T3037" i="1"/>
  <c r="U3037" i="1"/>
  <c r="V3037" i="1"/>
  <c r="W3037" i="1"/>
  <c r="X3037" i="1"/>
  <c r="Y3037" i="1"/>
  <c r="Z3037" i="1"/>
  <c r="A3038" i="1"/>
  <c r="B3038" i="1"/>
  <c r="C3038" i="1"/>
  <c r="D3038" i="1"/>
  <c r="E3038" i="1"/>
  <c r="F3038" i="1"/>
  <c r="G3038" i="1"/>
  <c r="I3038" i="1"/>
  <c r="J3038" i="1"/>
  <c r="K3038" i="1"/>
  <c r="L3038" i="1"/>
  <c r="M3038" i="1"/>
  <c r="N3038" i="1"/>
  <c r="O3038" i="1"/>
  <c r="P3038" i="1"/>
  <c r="Q3038" i="1"/>
  <c r="R3038" i="1"/>
  <c r="S3038" i="1"/>
  <c r="T3038" i="1"/>
  <c r="U3038" i="1"/>
  <c r="V3038" i="1"/>
  <c r="W3038" i="1"/>
  <c r="X3038" i="1"/>
  <c r="Y3038" i="1"/>
  <c r="Z3038" i="1"/>
  <c r="A3039" i="1"/>
  <c r="B3039" i="1"/>
  <c r="C3039" i="1"/>
  <c r="D3039" i="1"/>
  <c r="E3039" i="1"/>
  <c r="F3039" i="1"/>
  <c r="G3039" i="1"/>
  <c r="I3039" i="1"/>
  <c r="J3039" i="1"/>
  <c r="K3039" i="1"/>
  <c r="L3039" i="1"/>
  <c r="M3039" i="1"/>
  <c r="N3039" i="1"/>
  <c r="O3039" i="1"/>
  <c r="P3039" i="1"/>
  <c r="Q3039" i="1"/>
  <c r="R3039" i="1"/>
  <c r="S3039" i="1"/>
  <c r="T3039" i="1"/>
  <c r="U3039" i="1"/>
  <c r="V3039" i="1"/>
  <c r="W3039" i="1"/>
  <c r="X3039" i="1"/>
  <c r="Y3039" i="1"/>
  <c r="Z3039" i="1"/>
  <c r="A3040" i="1"/>
  <c r="B3040" i="1"/>
  <c r="C3040" i="1"/>
  <c r="D3040" i="1"/>
  <c r="E3040" i="1"/>
  <c r="F3040" i="1"/>
  <c r="G3040" i="1"/>
  <c r="I3040" i="1"/>
  <c r="J3040" i="1"/>
  <c r="K3040" i="1"/>
  <c r="L3040" i="1"/>
  <c r="M3040" i="1"/>
  <c r="N3040" i="1"/>
  <c r="O3040" i="1"/>
  <c r="P3040" i="1"/>
  <c r="Q3040" i="1"/>
  <c r="R3040" i="1"/>
  <c r="S3040" i="1"/>
  <c r="T3040" i="1"/>
  <c r="U3040" i="1"/>
  <c r="V3040" i="1"/>
  <c r="W3040" i="1"/>
  <c r="X3040" i="1"/>
  <c r="Y3040" i="1"/>
  <c r="Z3040" i="1"/>
  <c r="A3041" i="1"/>
  <c r="B3041" i="1"/>
  <c r="C3041" i="1"/>
  <c r="D3041" i="1"/>
  <c r="E3041" i="1"/>
  <c r="F3041" i="1"/>
  <c r="G3041" i="1"/>
  <c r="I3041" i="1"/>
  <c r="J3041" i="1"/>
  <c r="K3041" i="1"/>
  <c r="L3041" i="1"/>
  <c r="M3041" i="1"/>
  <c r="N3041" i="1"/>
  <c r="O3041" i="1"/>
  <c r="P3041" i="1"/>
  <c r="Q3041" i="1"/>
  <c r="R3041" i="1"/>
  <c r="S3041" i="1"/>
  <c r="T3041" i="1"/>
  <c r="U3041" i="1"/>
  <c r="V3041" i="1"/>
  <c r="W3041" i="1"/>
  <c r="X3041" i="1"/>
  <c r="Y3041" i="1"/>
  <c r="Z3041" i="1"/>
  <c r="A3042" i="1"/>
  <c r="B3042" i="1"/>
  <c r="C3042" i="1"/>
  <c r="D3042" i="1"/>
  <c r="E3042" i="1"/>
  <c r="F3042" i="1"/>
  <c r="G3042" i="1"/>
  <c r="I3042" i="1"/>
  <c r="J3042" i="1"/>
  <c r="K3042" i="1"/>
  <c r="L3042" i="1"/>
  <c r="M3042" i="1"/>
  <c r="N3042" i="1"/>
  <c r="O3042" i="1"/>
  <c r="P3042" i="1"/>
  <c r="Q3042" i="1"/>
  <c r="R3042" i="1"/>
  <c r="S3042" i="1"/>
  <c r="T3042" i="1"/>
  <c r="U3042" i="1"/>
  <c r="V3042" i="1"/>
  <c r="W3042" i="1"/>
  <c r="X3042" i="1"/>
  <c r="Y3042" i="1"/>
  <c r="Z3042" i="1"/>
  <c r="A3043" i="1"/>
  <c r="B3043" i="1"/>
  <c r="C3043" i="1"/>
  <c r="D3043" i="1"/>
  <c r="E3043" i="1"/>
  <c r="F3043" i="1"/>
  <c r="G3043" i="1"/>
  <c r="I3043" i="1"/>
  <c r="J3043" i="1"/>
  <c r="K3043" i="1"/>
  <c r="L3043" i="1"/>
  <c r="M3043" i="1"/>
  <c r="N3043" i="1"/>
  <c r="O3043" i="1"/>
  <c r="P3043" i="1"/>
  <c r="Q3043" i="1"/>
  <c r="R3043" i="1"/>
  <c r="S3043" i="1"/>
  <c r="T3043" i="1"/>
  <c r="U3043" i="1"/>
  <c r="V3043" i="1"/>
  <c r="W3043" i="1"/>
  <c r="X3043" i="1"/>
  <c r="Y3043" i="1"/>
  <c r="Z3043" i="1"/>
  <c r="A3044" i="1"/>
  <c r="B3044" i="1"/>
  <c r="C3044" i="1"/>
  <c r="D3044" i="1"/>
  <c r="E3044" i="1"/>
  <c r="F3044" i="1"/>
  <c r="G3044" i="1"/>
  <c r="I3044" i="1"/>
  <c r="J3044" i="1"/>
  <c r="K3044" i="1"/>
  <c r="L3044" i="1"/>
  <c r="M3044" i="1"/>
  <c r="N3044" i="1"/>
  <c r="O3044" i="1"/>
  <c r="P3044" i="1"/>
  <c r="Q3044" i="1"/>
  <c r="R3044" i="1"/>
  <c r="S3044" i="1"/>
  <c r="T3044" i="1"/>
  <c r="U3044" i="1"/>
  <c r="V3044" i="1"/>
  <c r="W3044" i="1"/>
  <c r="X3044" i="1"/>
  <c r="Y3044" i="1"/>
  <c r="Z3044" i="1"/>
  <c r="A3045" i="1"/>
  <c r="B3045" i="1"/>
  <c r="C3045" i="1"/>
  <c r="D3045" i="1"/>
  <c r="E3045" i="1"/>
  <c r="F3045" i="1"/>
  <c r="G3045" i="1"/>
  <c r="I3045" i="1"/>
  <c r="J3045" i="1"/>
  <c r="K3045" i="1"/>
  <c r="L3045" i="1"/>
  <c r="M3045" i="1"/>
  <c r="N3045" i="1"/>
  <c r="O3045" i="1"/>
  <c r="P3045" i="1"/>
  <c r="Q3045" i="1"/>
  <c r="R3045" i="1"/>
  <c r="S3045" i="1"/>
  <c r="T3045" i="1"/>
  <c r="U3045" i="1"/>
  <c r="V3045" i="1"/>
  <c r="W3045" i="1"/>
  <c r="X3045" i="1"/>
  <c r="Y3045" i="1"/>
  <c r="Z3045" i="1"/>
  <c r="A3046" i="1"/>
  <c r="B3046" i="1"/>
  <c r="C3046" i="1"/>
  <c r="D3046" i="1"/>
  <c r="E3046" i="1"/>
  <c r="F3046" i="1"/>
  <c r="G3046" i="1"/>
  <c r="I3046" i="1"/>
  <c r="J3046" i="1"/>
  <c r="K3046" i="1"/>
  <c r="L3046" i="1"/>
  <c r="M3046" i="1"/>
  <c r="N3046" i="1"/>
  <c r="O3046" i="1"/>
  <c r="P3046" i="1"/>
  <c r="Q3046" i="1"/>
  <c r="R3046" i="1"/>
  <c r="S3046" i="1"/>
  <c r="T3046" i="1"/>
  <c r="U3046" i="1"/>
  <c r="V3046" i="1"/>
  <c r="W3046" i="1"/>
  <c r="X3046" i="1"/>
  <c r="Y3046" i="1"/>
  <c r="Z3046" i="1"/>
  <c r="A3047" i="1"/>
  <c r="B3047" i="1"/>
  <c r="C3047" i="1"/>
  <c r="D3047" i="1"/>
  <c r="E3047" i="1"/>
  <c r="F3047" i="1"/>
  <c r="G3047" i="1"/>
  <c r="I3047" i="1"/>
  <c r="J3047" i="1"/>
  <c r="K3047" i="1"/>
  <c r="L3047" i="1"/>
  <c r="M3047" i="1"/>
  <c r="N3047" i="1"/>
  <c r="O3047" i="1"/>
  <c r="P3047" i="1"/>
  <c r="Q3047" i="1"/>
  <c r="R3047" i="1"/>
  <c r="S3047" i="1"/>
  <c r="T3047" i="1"/>
  <c r="U3047" i="1"/>
  <c r="V3047" i="1"/>
  <c r="W3047" i="1"/>
  <c r="X3047" i="1"/>
  <c r="Y3047" i="1"/>
  <c r="Z3047" i="1"/>
  <c r="A3048" i="1"/>
  <c r="B3048" i="1"/>
  <c r="C3048" i="1"/>
  <c r="D3048" i="1"/>
  <c r="E3048" i="1"/>
  <c r="F3048" i="1"/>
  <c r="G3048" i="1"/>
  <c r="I3048" i="1"/>
  <c r="J3048" i="1"/>
  <c r="K3048" i="1"/>
  <c r="L3048" i="1"/>
  <c r="M3048" i="1"/>
  <c r="N3048" i="1"/>
  <c r="O3048" i="1"/>
  <c r="P3048" i="1"/>
  <c r="Q3048" i="1"/>
  <c r="R3048" i="1"/>
  <c r="S3048" i="1"/>
  <c r="T3048" i="1"/>
  <c r="U3048" i="1"/>
  <c r="V3048" i="1"/>
  <c r="W3048" i="1"/>
  <c r="X3048" i="1"/>
  <c r="Y3048" i="1"/>
  <c r="Z3048" i="1"/>
  <c r="A3049" i="1"/>
  <c r="B3049" i="1"/>
  <c r="C3049" i="1"/>
  <c r="D3049" i="1"/>
  <c r="E3049" i="1"/>
  <c r="F3049" i="1"/>
  <c r="G3049" i="1"/>
  <c r="I3049" i="1"/>
  <c r="J3049" i="1"/>
  <c r="K3049" i="1"/>
  <c r="L3049" i="1"/>
  <c r="M3049" i="1"/>
  <c r="N3049" i="1"/>
  <c r="O3049" i="1"/>
  <c r="P3049" i="1"/>
  <c r="Q3049" i="1"/>
  <c r="R3049" i="1"/>
  <c r="S3049" i="1"/>
  <c r="T3049" i="1"/>
  <c r="U3049" i="1"/>
  <c r="V3049" i="1"/>
  <c r="W3049" i="1"/>
  <c r="X3049" i="1"/>
  <c r="Y3049" i="1"/>
  <c r="Z3049" i="1"/>
  <c r="A3050" i="1"/>
  <c r="B3050" i="1"/>
  <c r="C3050" i="1"/>
  <c r="D3050" i="1"/>
  <c r="E3050" i="1"/>
  <c r="F3050" i="1"/>
  <c r="G3050" i="1"/>
  <c r="I3050" i="1"/>
  <c r="J3050" i="1"/>
  <c r="K3050" i="1"/>
  <c r="L3050" i="1"/>
  <c r="M3050" i="1"/>
  <c r="N3050" i="1"/>
  <c r="O3050" i="1"/>
  <c r="P3050" i="1"/>
  <c r="Q3050" i="1"/>
  <c r="R3050" i="1"/>
  <c r="S3050" i="1"/>
  <c r="T3050" i="1"/>
  <c r="U3050" i="1"/>
  <c r="V3050" i="1"/>
  <c r="W3050" i="1"/>
  <c r="X3050" i="1"/>
  <c r="Y3050" i="1"/>
  <c r="Z3050" i="1"/>
  <c r="A3051" i="1"/>
  <c r="B3051" i="1"/>
  <c r="C3051" i="1"/>
  <c r="D3051" i="1"/>
  <c r="E3051" i="1"/>
  <c r="F3051" i="1"/>
  <c r="G3051" i="1"/>
  <c r="I3051" i="1"/>
  <c r="J3051" i="1"/>
  <c r="K3051" i="1"/>
  <c r="L3051" i="1"/>
  <c r="M3051" i="1"/>
  <c r="N3051" i="1"/>
  <c r="O3051" i="1"/>
  <c r="P3051" i="1"/>
  <c r="Q3051" i="1"/>
  <c r="R3051" i="1"/>
  <c r="S3051" i="1"/>
  <c r="T3051" i="1"/>
  <c r="U3051" i="1"/>
  <c r="V3051" i="1"/>
  <c r="W3051" i="1"/>
  <c r="X3051" i="1"/>
  <c r="Y3051" i="1"/>
  <c r="Z3051" i="1"/>
  <c r="A3052" i="1"/>
  <c r="B3052" i="1"/>
  <c r="C3052" i="1"/>
  <c r="D3052" i="1"/>
  <c r="E3052" i="1"/>
  <c r="F3052" i="1"/>
  <c r="G3052" i="1"/>
  <c r="I3052" i="1"/>
  <c r="J3052" i="1"/>
  <c r="K3052" i="1"/>
  <c r="L3052" i="1"/>
  <c r="M3052" i="1"/>
  <c r="N3052" i="1"/>
  <c r="O3052" i="1"/>
  <c r="P3052" i="1"/>
  <c r="Q3052" i="1"/>
  <c r="R3052" i="1"/>
  <c r="S3052" i="1"/>
  <c r="T3052" i="1"/>
  <c r="U3052" i="1"/>
  <c r="V3052" i="1"/>
  <c r="W3052" i="1"/>
  <c r="X3052" i="1"/>
  <c r="Y3052" i="1"/>
  <c r="Z3052" i="1"/>
  <c r="A3053" i="1"/>
  <c r="B3053" i="1"/>
  <c r="C3053" i="1"/>
  <c r="D3053" i="1"/>
  <c r="E3053" i="1"/>
  <c r="F3053" i="1"/>
  <c r="G3053" i="1"/>
  <c r="I3053" i="1"/>
  <c r="J3053" i="1"/>
  <c r="K3053" i="1"/>
  <c r="L3053" i="1"/>
  <c r="M3053" i="1"/>
  <c r="N3053" i="1"/>
  <c r="O3053" i="1"/>
  <c r="P3053" i="1"/>
  <c r="Q3053" i="1"/>
  <c r="R3053" i="1"/>
  <c r="S3053" i="1"/>
  <c r="T3053" i="1"/>
  <c r="U3053" i="1"/>
  <c r="V3053" i="1"/>
  <c r="W3053" i="1"/>
  <c r="X3053" i="1"/>
  <c r="Y3053" i="1"/>
  <c r="Z3053" i="1"/>
  <c r="A3054" i="1"/>
  <c r="B3054" i="1"/>
  <c r="C3054" i="1"/>
  <c r="D3054" i="1"/>
  <c r="E3054" i="1"/>
  <c r="F3054" i="1"/>
  <c r="G3054" i="1"/>
  <c r="I3054" i="1"/>
  <c r="J3054" i="1"/>
  <c r="K3054" i="1"/>
  <c r="L3054" i="1"/>
  <c r="M3054" i="1"/>
  <c r="N3054" i="1"/>
  <c r="O3054" i="1"/>
  <c r="P3054" i="1"/>
  <c r="Q3054" i="1"/>
  <c r="R3054" i="1"/>
  <c r="S3054" i="1"/>
  <c r="T3054" i="1"/>
  <c r="U3054" i="1"/>
  <c r="V3054" i="1"/>
  <c r="W3054" i="1"/>
  <c r="X3054" i="1"/>
  <c r="Y3054" i="1"/>
  <c r="Z3054" i="1"/>
  <c r="A3055" i="1"/>
  <c r="B3055" i="1"/>
  <c r="C3055" i="1"/>
  <c r="D3055" i="1"/>
  <c r="E3055" i="1"/>
  <c r="F3055" i="1"/>
  <c r="G3055" i="1"/>
  <c r="I3055" i="1"/>
  <c r="J3055" i="1"/>
  <c r="K3055" i="1"/>
  <c r="L3055" i="1"/>
  <c r="M3055" i="1"/>
  <c r="N3055" i="1"/>
  <c r="O3055" i="1"/>
  <c r="P3055" i="1"/>
  <c r="Q3055" i="1"/>
  <c r="R3055" i="1"/>
  <c r="S3055" i="1"/>
  <c r="T3055" i="1"/>
  <c r="U3055" i="1"/>
  <c r="V3055" i="1"/>
  <c r="W3055" i="1"/>
  <c r="X3055" i="1"/>
  <c r="Y3055" i="1"/>
  <c r="Z3055" i="1"/>
  <c r="A3056" i="1"/>
  <c r="B3056" i="1"/>
  <c r="C3056" i="1"/>
  <c r="D3056" i="1"/>
  <c r="E3056" i="1"/>
  <c r="F3056" i="1"/>
  <c r="G3056" i="1"/>
  <c r="I3056" i="1"/>
  <c r="J3056" i="1"/>
  <c r="K3056" i="1"/>
  <c r="L3056" i="1"/>
  <c r="M3056" i="1"/>
  <c r="N3056" i="1"/>
  <c r="O3056" i="1"/>
  <c r="P3056" i="1"/>
  <c r="Q3056" i="1"/>
  <c r="R3056" i="1"/>
  <c r="S3056" i="1"/>
  <c r="T3056" i="1"/>
  <c r="U3056" i="1"/>
  <c r="V3056" i="1"/>
  <c r="W3056" i="1"/>
  <c r="X3056" i="1"/>
  <c r="Y3056" i="1"/>
  <c r="Z3056" i="1"/>
  <c r="A3057" i="1"/>
  <c r="B3057" i="1"/>
  <c r="C3057" i="1"/>
  <c r="D3057" i="1"/>
  <c r="E3057" i="1"/>
  <c r="F3057" i="1"/>
  <c r="G3057" i="1"/>
  <c r="I3057" i="1"/>
  <c r="J3057" i="1"/>
  <c r="K3057" i="1"/>
  <c r="L3057" i="1"/>
  <c r="M3057" i="1"/>
  <c r="N3057" i="1"/>
  <c r="O3057" i="1"/>
  <c r="P3057" i="1"/>
  <c r="Q3057" i="1"/>
  <c r="R3057" i="1"/>
  <c r="S3057" i="1"/>
  <c r="T3057" i="1"/>
  <c r="U3057" i="1"/>
  <c r="V3057" i="1"/>
  <c r="W3057" i="1"/>
  <c r="X3057" i="1"/>
  <c r="Y3057" i="1"/>
  <c r="Z3057" i="1"/>
  <c r="A3058" i="1"/>
  <c r="B3058" i="1"/>
  <c r="C3058" i="1"/>
  <c r="D3058" i="1"/>
  <c r="E3058" i="1"/>
  <c r="F3058" i="1"/>
  <c r="G3058" i="1"/>
  <c r="I3058" i="1"/>
  <c r="J3058" i="1"/>
  <c r="K3058" i="1"/>
  <c r="L3058" i="1"/>
  <c r="M3058" i="1"/>
  <c r="N3058" i="1"/>
  <c r="O3058" i="1"/>
  <c r="P3058" i="1"/>
  <c r="Q3058" i="1"/>
  <c r="R3058" i="1"/>
  <c r="S3058" i="1"/>
  <c r="T3058" i="1"/>
  <c r="U3058" i="1"/>
  <c r="V3058" i="1"/>
  <c r="W3058" i="1"/>
  <c r="X3058" i="1"/>
  <c r="Y3058" i="1"/>
  <c r="Z3058" i="1"/>
  <c r="A3059" i="1"/>
  <c r="B3059" i="1"/>
  <c r="C3059" i="1"/>
  <c r="D3059" i="1"/>
  <c r="E3059" i="1"/>
  <c r="F3059" i="1"/>
  <c r="G3059" i="1"/>
  <c r="I3059" i="1"/>
  <c r="J3059" i="1"/>
  <c r="K3059" i="1"/>
  <c r="L3059" i="1"/>
  <c r="M3059" i="1"/>
  <c r="N3059" i="1"/>
  <c r="O3059" i="1"/>
  <c r="P3059" i="1"/>
  <c r="Q3059" i="1"/>
  <c r="R3059" i="1"/>
  <c r="S3059" i="1"/>
  <c r="T3059" i="1"/>
  <c r="U3059" i="1"/>
  <c r="V3059" i="1"/>
  <c r="W3059" i="1"/>
  <c r="X3059" i="1"/>
  <c r="Y3059" i="1"/>
  <c r="Z3059" i="1"/>
  <c r="A3060" i="1"/>
  <c r="B3060" i="1"/>
  <c r="C3060" i="1"/>
  <c r="D3060" i="1"/>
  <c r="E3060" i="1"/>
  <c r="F3060" i="1"/>
  <c r="G3060" i="1"/>
  <c r="I3060" i="1"/>
  <c r="J3060" i="1"/>
  <c r="K3060" i="1"/>
  <c r="L3060" i="1"/>
  <c r="M3060" i="1"/>
  <c r="N3060" i="1"/>
  <c r="O3060" i="1"/>
  <c r="P3060" i="1"/>
  <c r="Q3060" i="1"/>
  <c r="R3060" i="1"/>
  <c r="S3060" i="1"/>
  <c r="T3060" i="1"/>
  <c r="U3060" i="1"/>
  <c r="V3060" i="1"/>
  <c r="W3060" i="1"/>
  <c r="X3060" i="1"/>
  <c r="Y3060" i="1"/>
  <c r="Z3060" i="1"/>
  <c r="A3061" i="1"/>
  <c r="B3061" i="1"/>
  <c r="C3061" i="1"/>
  <c r="D3061" i="1"/>
  <c r="E3061" i="1"/>
  <c r="F3061" i="1"/>
  <c r="G3061" i="1"/>
  <c r="I3061" i="1"/>
  <c r="J3061" i="1"/>
  <c r="K3061" i="1"/>
  <c r="L3061" i="1"/>
  <c r="M3061" i="1"/>
  <c r="N3061" i="1"/>
  <c r="O3061" i="1"/>
  <c r="P3061" i="1"/>
  <c r="Q3061" i="1"/>
  <c r="R3061" i="1"/>
  <c r="S3061" i="1"/>
  <c r="T3061" i="1"/>
  <c r="U3061" i="1"/>
  <c r="V3061" i="1"/>
  <c r="W3061" i="1"/>
  <c r="X3061" i="1"/>
  <c r="Y3061" i="1"/>
  <c r="Z3061" i="1"/>
  <c r="A3062" i="1"/>
  <c r="B3062" i="1"/>
  <c r="C3062" i="1"/>
  <c r="D3062" i="1"/>
  <c r="E3062" i="1"/>
  <c r="F3062" i="1"/>
  <c r="G3062" i="1"/>
  <c r="I3062" i="1"/>
  <c r="J3062" i="1"/>
  <c r="K3062" i="1"/>
  <c r="L3062" i="1"/>
  <c r="M3062" i="1"/>
  <c r="N3062" i="1"/>
  <c r="O3062" i="1"/>
  <c r="P3062" i="1"/>
  <c r="Q3062" i="1"/>
  <c r="R3062" i="1"/>
  <c r="S3062" i="1"/>
  <c r="T3062" i="1"/>
  <c r="U3062" i="1"/>
  <c r="V3062" i="1"/>
  <c r="W3062" i="1"/>
  <c r="X3062" i="1"/>
  <c r="Y3062" i="1"/>
  <c r="Z3062" i="1"/>
  <c r="A3063" i="1"/>
  <c r="B3063" i="1"/>
  <c r="C3063" i="1"/>
  <c r="D3063" i="1"/>
  <c r="E3063" i="1"/>
  <c r="F3063" i="1"/>
  <c r="G3063" i="1"/>
  <c r="I3063" i="1"/>
  <c r="J3063" i="1"/>
  <c r="K3063" i="1"/>
  <c r="L3063" i="1"/>
  <c r="M3063" i="1"/>
  <c r="N3063" i="1"/>
  <c r="O3063" i="1"/>
  <c r="P3063" i="1"/>
  <c r="Q3063" i="1"/>
  <c r="R3063" i="1"/>
  <c r="S3063" i="1"/>
  <c r="T3063" i="1"/>
  <c r="U3063" i="1"/>
  <c r="V3063" i="1"/>
  <c r="W3063" i="1"/>
  <c r="X3063" i="1"/>
  <c r="Y3063" i="1"/>
  <c r="Z3063" i="1"/>
  <c r="A3064" i="1"/>
  <c r="B3064" i="1"/>
  <c r="C3064" i="1"/>
  <c r="D3064" i="1"/>
  <c r="E3064" i="1"/>
  <c r="F3064" i="1"/>
  <c r="G3064" i="1"/>
  <c r="I3064" i="1"/>
  <c r="J3064" i="1"/>
  <c r="K3064" i="1"/>
  <c r="L3064" i="1"/>
  <c r="M3064" i="1"/>
  <c r="N3064" i="1"/>
  <c r="O3064" i="1"/>
  <c r="P3064" i="1"/>
  <c r="Q3064" i="1"/>
  <c r="R3064" i="1"/>
  <c r="S3064" i="1"/>
  <c r="T3064" i="1"/>
  <c r="U3064" i="1"/>
  <c r="V3064" i="1"/>
  <c r="W3064" i="1"/>
  <c r="X3064" i="1"/>
  <c r="Y3064" i="1"/>
  <c r="Z3064" i="1"/>
  <c r="A3065" i="1"/>
  <c r="B3065" i="1"/>
  <c r="C3065" i="1"/>
  <c r="D3065" i="1"/>
  <c r="E3065" i="1"/>
  <c r="F3065" i="1"/>
  <c r="G3065" i="1"/>
  <c r="I3065" i="1"/>
  <c r="J3065" i="1"/>
  <c r="K3065" i="1"/>
  <c r="L3065" i="1"/>
  <c r="M3065" i="1"/>
  <c r="N3065" i="1"/>
  <c r="O3065" i="1"/>
  <c r="P3065" i="1"/>
  <c r="Q3065" i="1"/>
  <c r="R3065" i="1"/>
  <c r="S3065" i="1"/>
  <c r="T3065" i="1"/>
  <c r="U3065" i="1"/>
  <c r="V3065" i="1"/>
  <c r="W3065" i="1"/>
  <c r="X3065" i="1"/>
  <c r="Y3065" i="1"/>
  <c r="Z3065" i="1"/>
  <c r="A3066" i="1"/>
  <c r="B3066" i="1"/>
  <c r="C3066" i="1"/>
  <c r="D3066" i="1"/>
  <c r="E3066" i="1"/>
  <c r="F3066" i="1"/>
  <c r="G3066" i="1"/>
  <c r="I3066" i="1"/>
  <c r="J3066" i="1"/>
  <c r="K3066" i="1"/>
  <c r="L3066" i="1"/>
  <c r="M3066" i="1"/>
  <c r="N3066" i="1"/>
  <c r="O3066" i="1"/>
  <c r="P3066" i="1"/>
  <c r="Q3066" i="1"/>
  <c r="R3066" i="1"/>
  <c r="S3066" i="1"/>
  <c r="T3066" i="1"/>
  <c r="U3066" i="1"/>
  <c r="V3066" i="1"/>
  <c r="W3066" i="1"/>
  <c r="X3066" i="1"/>
  <c r="Y3066" i="1"/>
  <c r="Z3066" i="1"/>
  <c r="A3067" i="1"/>
  <c r="B3067" i="1"/>
  <c r="C3067" i="1"/>
  <c r="D3067" i="1"/>
  <c r="E3067" i="1"/>
  <c r="F3067" i="1"/>
  <c r="G3067" i="1"/>
  <c r="I3067" i="1"/>
  <c r="J3067" i="1"/>
  <c r="K3067" i="1"/>
  <c r="L3067" i="1"/>
  <c r="M3067" i="1"/>
  <c r="N3067" i="1"/>
  <c r="O3067" i="1"/>
  <c r="P3067" i="1"/>
  <c r="Q3067" i="1"/>
  <c r="R3067" i="1"/>
  <c r="S3067" i="1"/>
  <c r="T3067" i="1"/>
  <c r="U3067" i="1"/>
  <c r="V3067" i="1"/>
  <c r="W3067" i="1"/>
  <c r="X3067" i="1"/>
  <c r="Y3067" i="1"/>
  <c r="Z3067" i="1"/>
  <c r="A3068" i="1"/>
  <c r="B3068" i="1"/>
  <c r="C3068" i="1"/>
  <c r="D3068" i="1"/>
  <c r="E3068" i="1"/>
  <c r="F3068" i="1"/>
  <c r="G3068" i="1"/>
  <c r="I3068" i="1"/>
  <c r="J3068" i="1"/>
  <c r="K3068" i="1"/>
  <c r="L3068" i="1"/>
  <c r="M3068" i="1"/>
  <c r="N3068" i="1"/>
  <c r="O3068" i="1"/>
  <c r="P3068" i="1"/>
  <c r="Q3068" i="1"/>
  <c r="R3068" i="1"/>
  <c r="S3068" i="1"/>
  <c r="T3068" i="1"/>
  <c r="U3068" i="1"/>
  <c r="V3068" i="1"/>
  <c r="W3068" i="1"/>
  <c r="X3068" i="1"/>
  <c r="Y3068" i="1"/>
  <c r="Z3068" i="1"/>
  <c r="A3069" i="1"/>
  <c r="B3069" i="1"/>
  <c r="C3069" i="1"/>
  <c r="D3069" i="1"/>
  <c r="E3069" i="1"/>
  <c r="F3069" i="1"/>
  <c r="G3069" i="1"/>
  <c r="I3069" i="1"/>
  <c r="J3069" i="1"/>
  <c r="K3069" i="1"/>
  <c r="L3069" i="1"/>
  <c r="M3069" i="1"/>
  <c r="N3069" i="1"/>
  <c r="O3069" i="1"/>
  <c r="P3069" i="1"/>
  <c r="Q3069" i="1"/>
  <c r="R3069" i="1"/>
  <c r="S3069" i="1"/>
  <c r="T3069" i="1"/>
  <c r="U3069" i="1"/>
  <c r="V3069" i="1"/>
  <c r="W3069" i="1"/>
  <c r="X3069" i="1"/>
  <c r="Y3069" i="1"/>
  <c r="Z3069" i="1"/>
  <c r="A3070" i="1"/>
  <c r="B3070" i="1"/>
  <c r="C3070" i="1"/>
  <c r="D3070" i="1"/>
  <c r="E3070" i="1"/>
  <c r="F3070" i="1"/>
  <c r="G3070" i="1"/>
  <c r="I3070" i="1"/>
  <c r="J3070" i="1"/>
  <c r="K3070" i="1"/>
  <c r="L3070" i="1"/>
  <c r="M3070" i="1"/>
  <c r="N3070" i="1"/>
  <c r="O3070" i="1"/>
  <c r="P3070" i="1"/>
  <c r="Q3070" i="1"/>
  <c r="R3070" i="1"/>
  <c r="S3070" i="1"/>
  <c r="T3070" i="1"/>
  <c r="U3070" i="1"/>
  <c r="V3070" i="1"/>
  <c r="W3070" i="1"/>
  <c r="X3070" i="1"/>
  <c r="Y3070" i="1"/>
  <c r="Z3070" i="1"/>
  <c r="A3071" i="1"/>
  <c r="B3071" i="1"/>
  <c r="C3071" i="1"/>
  <c r="D3071" i="1"/>
  <c r="E3071" i="1"/>
  <c r="F3071" i="1"/>
  <c r="G3071" i="1"/>
  <c r="I3071" i="1"/>
  <c r="J3071" i="1"/>
  <c r="K3071" i="1"/>
  <c r="L3071" i="1"/>
  <c r="M3071" i="1"/>
  <c r="N3071" i="1"/>
  <c r="O3071" i="1"/>
  <c r="P3071" i="1"/>
  <c r="Q3071" i="1"/>
  <c r="R3071" i="1"/>
  <c r="S3071" i="1"/>
  <c r="T3071" i="1"/>
  <c r="U3071" i="1"/>
  <c r="V3071" i="1"/>
  <c r="W3071" i="1"/>
  <c r="X3071" i="1"/>
  <c r="Y3071" i="1"/>
  <c r="Z3071" i="1"/>
  <c r="A3072" i="1"/>
  <c r="B3072" i="1"/>
  <c r="C3072" i="1"/>
  <c r="D3072" i="1"/>
  <c r="E3072" i="1"/>
  <c r="F3072" i="1"/>
  <c r="G3072" i="1"/>
  <c r="I3072" i="1"/>
  <c r="J3072" i="1"/>
  <c r="K3072" i="1"/>
  <c r="L3072" i="1"/>
  <c r="M3072" i="1"/>
  <c r="N3072" i="1"/>
  <c r="O3072" i="1"/>
  <c r="P3072" i="1"/>
  <c r="Q3072" i="1"/>
  <c r="R3072" i="1"/>
  <c r="S3072" i="1"/>
  <c r="T3072" i="1"/>
  <c r="U3072" i="1"/>
  <c r="V3072" i="1"/>
  <c r="W3072" i="1"/>
  <c r="X3072" i="1"/>
  <c r="Y3072" i="1"/>
  <c r="Z3072" i="1"/>
  <c r="A3073" i="1"/>
  <c r="B3073" i="1"/>
  <c r="C3073" i="1"/>
  <c r="D3073" i="1"/>
  <c r="E3073" i="1"/>
  <c r="F3073" i="1"/>
  <c r="G3073" i="1"/>
  <c r="I3073" i="1"/>
  <c r="J3073" i="1"/>
  <c r="K3073" i="1"/>
  <c r="L3073" i="1"/>
  <c r="M3073" i="1"/>
  <c r="N3073" i="1"/>
  <c r="O3073" i="1"/>
  <c r="P3073" i="1"/>
  <c r="Q3073" i="1"/>
  <c r="R3073" i="1"/>
  <c r="S3073" i="1"/>
  <c r="T3073" i="1"/>
  <c r="U3073" i="1"/>
  <c r="V3073" i="1"/>
  <c r="W3073" i="1"/>
  <c r="X3073" i="1"/>
  <c r="Y3073" i="1"/>
  <c r="Z3073" i="1"/>
  <c r="A3074" i="1"/>
  <c r="B3074" i="1"/>
  <c r="C3074" i="1"/>
  <c r="D3074" i="1"/>
  <c r="E3074" i="1"/>
  <c r="F3074" i="1"/>
  <c r="G3074" i="1"/>
  <c r="I3074" i="1"/>
  <c r="J3074" i="1"/>
  <c r="K3074" i="1"/>
  <c r="L3074" i="1"/>
  <c r="M3074" i="1"/>
  <c r="N3074" i="1"/>
  <c r="O3074" i="1"/>
  <c r="P3074" i="1"/>
  <c r="Q3074" i="1"/>
  <c r="R3074" i="1"/>
  <c r="S3074" i="1"/>
  <c r="T3074" i="1"/>
  <c r="U3074" i="1"/>
  <c r="V3074" i="1"/>
  <c r="W3074" i="1"/>
  <c r="X3074" i="1"/>
  <c r="Y3074" i="1"/>
  <c r="Z3074" i="1"/>
  <c r="A3075" i="1"/>
  <c r="B3075" i="1"/>
  <c r="C3075" i="1"/>
  <c r="D3075" i="1"/>
  <c r="E3075" i="1"/>
  <c r="F3075" i="1"/>
  <c r="G3075" i="1"/>
  <c r="I3075" i="1"/>
  <c r="J3075" i="1"/>
  <c r="K3075" i="1"/>
  <c r="L3075" i="1"/>
  <c r="M3075" i="1"/>
  <c r="N3075" i="1"/>
  <c r="O3075" i="1"/>
  <c r="P3075" i="1"/>
  <c r="Q3075" i="1"/>
  <c r="R3075" i="1"/>
  <c r="S3075" i="1"/>
  <c r="T3075" i="1"/>
  <c r="U3075" i="1"/>
  <c r="V3075" i="1"/>
  <c r="W3075" i="1"/>
  <c r="X3075" i="1"/>
  <c r="Y3075" i="1"/>
  <c r="Z3075" i="1"/>
  <c r="A3076" i="1"/>
  <c r="B3076" i="1"/>
  <c r="C3076" i="1"/>
  <c r="D3076" i="1"/>
  <c r="E3076" i="1"/>
  <c r="F3076" i="1"/>
  <c r="G3076" i="1"/>
  <c r="I3076" i="1"/>
  <c r="J3076" i="1"/>
  <c r="K3076" i="1"/>
  <c r="L3076" i="1"/>
  <c r="M3076" i="1"/>
  <c r="N3076" i="1"/>
  <c r="O3076" i="1"/>
  <c r="P3076" i="1"/>
  <c r="Q3076" i="1"/>
  <c r="R3076" i="1"/>
  <c r="S3076" i="1"/>
  <c r="T3076" i="1"/>
  <c r="U3076" i="1"/>
  <c r="V3076" i="1"/>
  <c r="W3076" i="1"/>
  <c r="X3076" i="1"/>
  <c r="Y3076" i="1"/>
  <c r="Z3076" i="1"/>
  <c r="A3077" i="1"/>
  <c r="B3077" i="1"/>
  <c r="C3077" i="1"/>
  <c r="D3077" i="1"/>
  <c r="E3077" i="1"/>
  <c r="F3077" i="1"/>
  <c r="G3077" i="1"/>
  <c r="I3077" i="1"/>
  <c r="J3077" i="1"/>
  <c r="K3077" i="1"/>
  <c r="L3077" i="1"/>
  <c r="M3077" i="1"/>
  <c r="N3077" i="1"/>
  <c r="O3077" i="1"/>
  <c r="P3077" i="1"/>
  <c r="Q3077" i="1"/>
  <c r="R3077" i="1"/>
  <c r="S3077" i="1"/>
  <c r="T3077" i="1"/>
  <c r="U3077" i="1"/>
  <c r="V3077" i="1"/>
  <c r="W3077" i="1"/>
  <c r="X3077" i="1"/>
  <c r="Y3077" i="1"/>
  <c r="Z3077" i="1"/>
  <c r="A3078" i="1"/>
  <c r="B3078" i="1"/>
  <c r="C3078" i="1"/>
  <c r="D3078" i="1"/>
  <c r="E3078" i="1"/>
  <c r="F3078" i="1"/>
  <c r="G3078" i="1"/>
  <c r="I3078" i="1"/>
  <c r="J3078" i="1"/>
  <c r="K3078" i="1"/>
  <c r="L3078" i="1"/>
  <c r="M3078" i="1"/>
  <c r="N3078" i="1"/>
  <c r="O3078" i="1"/>
  <c r="P3078" i="1"/>
  <c r="Q3078" i="1"/>
  <c r="R3078" i="1"/>
  <c r="S3078" i="1"/>
  <c r="T3078" i="1"/>
  <c r="U3078" i="1"/>
  <c r="V3078" i="1"/>
  <c r="W3078" i="1"/>
  <c r="X3078" i="1"/>
  <c r="Y3078" i="1"/>
  <c r="Z3078" i="1"/>
  <c r="A3079" i="1"/>
  <c r="B3079" i="1"/>
  <c r="C3079" i="1"/>
  <c r="D3079" i="1"/>
  <c r="E3079" i="1"/>
  <c r="F3079" i="1"/>
  <c r="G3079" i="1"/>
  <c r="I3079" i="1"/>
  <c r="J3079" i="1"/>
  <c r="K3079" i="1"/>
  <c r="L3079" i="1"/>
  <c r="M3079" i="1"/>
  <c r="N3079" i="1"/>
  <c r="O3079" i="1"/>
  <c r="P3079" i="1"/>
  <c r="Q3079" i="1"/>
  <c r="R3079" i="1"/>
  <c r="S3079" i="1"/>
  <c r="T3079" i="1"/>
  <c r="U3079" i="1"/>
  <c r="V3079" i="1"/>
  <c r="W3079" i="1"/>
  <c r="X3079" i="1"/>
  <c r="Y3079" i="1"/>
  <c r="Z3079" i="1"/>
  <c r="A3080" i="1"/>
  <c r="B3080" i="1"/>
  <c r="C3080" i="1"/>
  <c r="D3080" i="1"/>
  <c r="E3080" i="1"/>
  <c r="F3080" i="1"/>
  <c r="G3080" i="1"/>
  <c r="I3080" i="1"/>
  <c r="J3080" i="1"/>
  <c r="K3080" i="1"/>
  <c r="L3080" i="1"/>
  <c r="M3080" i="1"/>
  <c r="N3080" i="1"/>
  <c r="O3080" i="1"/>
  <c r="P3080" i="1"/>
  <c r="Q3080" i="1"/>
  <c r="R3080" i="1"/>
  <c r="S3080" i="1"/>
  <c r="T3080" i="1"/>
  <c r="U3080" i="1"/>
  <c r="V3080" i="1"/>
  <c r="W3080" i="1"/>
  <c r="X3080" i="1"/>
  <c r="Y3080" i="1"/>
  <c r="Z3080" i="1"/>
  <c r="A3081" i="1"/>
  <c r="B3081" i="1"/>
  <c r="C3081" i="1"/>
  <c r="D3081" i="1"/>
  <c r="E3081" i="1"/>
  <c r="F3081" i="1"/>
  <c r="G3081" i="1"/>
  <c r="I3081" i="1"/>
  <c r="J3081" i="1"/>
  <c r="K3081" i="1"/>
  <c r="L3081" i="1"/>
  <c r="M3081" i="1"/>
  <c r="N3081" i="1"/>
  <c r="O3081" i="1"/>
  <c r="P3081" i="1"/>
  <c r="Q3081" i="1"/>
  <c r="R3081" i="1"/>
  <c r="S3081" i="1"/>
  <c r="T3081" i="1"/>
  <c r="U3081" i="1"/>
  <c r="V3081" i="1"/>
  <c r="W3081" i="1"/>
  <c r="X3081" i="1"/>
  <c r="Y3081" i="1"/>
  <c r="Z3081" i="1"/>
  <c r="A3082" i="1"/>
  <c r="B3082" i="1"/>
  <c r="C3082" i="1"/>
  <c r="D3082" i="1"/>
  <c r="E3082" i="1"/>
  <c r="F3082" i="1"/>
  <c r="G3082" i="1"/>
  <c r="I3082" i="1"/>
  <c r="J3082" i="1"/>
  <c r="K3082" i="1"/>
  <c r="L3082" i="1"/>
  <c r="M3082" i="1"/>
  <c r="N3082" i="1"/>
  <c r="O3082" i="1"/>
  <c r="P3082" i="1"/>
  <c r="Q3082" i="1"/>
  <c r="R3082" i="1"/>
  <c r="S3082" i="1"/>
  <c r="T3082" i="1"/>
  <c r="U3082" i="1"/>
  <c r="V3082" i="1"/>
  <c r="W3082" i="1"/>
  <c r="X3082" i="1"/>
  <c r="Y3082" i="1"/>
  <c r="Z3082" i="1"/>
  <c r="A3083" i="1"/>
  <c r="B3083" i="1"/>
  <c r="C3083" i="1"/>
  <c r="D3083" i="1"/>
  <c r="E3083" i="1"/>
  <c r="F3083" i="1"/>
  <c r="G3083" i="1"/>
  <c r="I3083" i="1"/>
  <c r="J3083" i="1"/>
  <c r="K3083" i="1"/>
  <c r="L3083" i="1"/>
  <c r="M3083" i="1"/>
  <c r="N3083" i="1"/>
  <c r="O3083" i="1"/>
  <c r="P3083" i="1"/>
  <c r="Q3083" i="1"/>
  <c r="R3083" i="1"/>
  <c r="S3083" i="1"/>
  <c r="T3083" i="1"/>
  <c r="U3083" i="1"/>
  <c r="V3083" i="1"/>
  <c r="W3083" i="1"/>
  <c r="X3083" i="1"/>
  <c r="Y3083" i="1"/>
  <c r="Z3083" i="1"/>
  <c r="A3084" i="1"/>
  <c r="B3084" i="1"/>
  <c r="C3084" i="1"/>
  <c r="D3084" i="1"/>
  <c r="E3084" i="1"/>
  <c r="F3084" i="1"/>
  <c r="G3084" i="1"/>
  <c r="I3084" i="1"/>
  <c r="J3084" i="1"/>
  <c r="K3084" i="1"/>
  <c r="L3084" i="1"/>
  <c r="M3084" i="1"/>
  <c r="N3084" i="1"/>
  <c r="O3084" i="1"/>
  <c r="P3084" i="1"/>
  <c r="Q3084" i="1"/>
  <c r="R3084" i="1"/>
  <c r="S3084" i="1"/>
  <c r="T3084" i="1"/>
  <c r="U3084" i="1"/>
  <c r="V3084" i="1"/>
  <c r="W3084" i="1"/>
  <c r="X3084" i="1"/>
  <c r="Y3084" i="1"/>
  <c r="Z3084" i="1"/>
  <c r="A3085" i="1"/>
  <c r="B3085" i="1"/>
  <c r="C3085" i="1"/>
  <c r="D3085" i="1"/>
  <c r="E3085" i="1"/>
  <c r="F3085" i="1"/>
  <c r="G3085" i="1"/>
  <c r="I3085" i="1"/>
  <c r="J3085" i="1"/>
  <c r="K3085" i="1"/>
  <c r="L3085" i="1"/>
  <c r="M3085" i="1"/>
  <c r="N3085" i="1"/>
  <c r="O3085" i="1"/>
  <c r="P3085" i="1"/>
  <c r="Q3085" i="1"/>
  <c r="R3085" i="1"/>
  <c r="S3085" i="1"/>
  <c r="T3085" i="1"/>
  <c r="U3085" i="1"/>
  <c r="V3085" i="1"/>
  <c r="W3085" i="1"/>
  <c r="X3085" i="1"/>
  <c r="Y3085" i="1"/>
  <c r="Z3085" i="1"/>
  <c r="A3086" i="1"/>
  <c r="B3086" i="1"/>
  <c r="C3086" i="1"/>
  <c r="D3086" i="1"/>
  <c r="E3086" i="1"/>
  <c r="F3086" i="1"/>
  <c r="G3086" i="1"/>
  <c r="I3086" i="1"/>
  <c r="J3086" i="1"/>
  <c r="K3086" i="1"/>
  <c r="L3086" i="1"/>
  <c r="M3086" i="1"/>
  <c r="N3086" i="1"/>
  <c r="O3086" i="1"/>
  <c r="P3086" i="1"/>
  <c r="Q3086" i="1"/>
  <c r="R3086" i="1"/>
  <c r="S3086" i="1"/>
  <c r="T3086" i="1"/>
  <c r="U3086" i="1"/>
  <c r="V3086" i="1"/>
  <c r="W3086" i="1"/>
  <c r="X3086" i="1"/>
  <c r="Y3086" i="1"/>
  <c r="Z3086" i="1"/>
  <c r="A3087" i="1"/>
  <c r="B3087" i="1"/>
  <c r="C3087" i="1"/>
  <c r="D3087" i="1"/>
  <c r="E3087" i="1"/>
  <c r="F3087" i="1"/>
  <c r="G3087" i="1"/>
  <c r="I3087" i="1"/>
  <c r="J3087" i="1"/>
  <c r="K3087" i="1"/>
  <c r="L3087" i="1"/>
  <c r="M3087" i="1"/>
  <c r="N3087" i="1"/>
  <c r="O3087" i="1"/>
  <c r="P3087" i="1"/>
  <c r="Q3087" i="1"/>
  <c r="R3087" i="1"/>
  <c r="S3087" i="1"/>
  <c r="T3087" i="1"/>
  <c r="U3087" i="1"/>
  <c r="V3087" i="1"/>
  <c r="W3087" i="1"/>
  <c r="X3087" i="1"/>
  <c r="Y3087" i="1"/>
  <c r="Z3087" i="1"/>
  <c r="A3088" i="1"/>
  <c r="B3088" i="1"/>
  <c r="C3088" i="1"/>
  <c r="D3088" i="1"/>
  <c r="E3088" i="1"/>
  <c r="F3088" i="1"/>
  <c r="G3088" i="1"/>
  <c r="I3088" i="1"/>
  <c r="J3088" i="1"/>
  <c r="K3088" i="1"/>
  <c r="L3088" i="1"/>
  <c r="M3088" i="1"/>
  <c r="N3088" i="1"/>
  <c r="O3088" i="1"/>
  <c r="P3088" i="1"/>
  <c r="Q3088" i="1"/>
  <c r="R3088" i="1"/>
  <c r="S3088" i="1"/>
  <c r="T3088" i="1"/>
  <c r="U3088" i="1"/>
  <c r="V3088" i="1"/>
  <c r="W3088" i="1"/>
  <c r="X3088" i="1"/>
  <c r="Y3088" i="1"/>
  <c r="Z3088" i="1"/>
  <c r="A3089" i="1"/>
  <c r="B3089" i="1"/>
  <c r="C3089" i="1"/>
  <c r="D3089" i="1"/>
  <c r="E3089" i="1"/>
  <c r="F3089" i="1"/>
  <c r="G3089" i="1"/>
  <c r="I3089" i="1"/>
  <c r="J3089" i="1"/>
  <c r="K3089" i="1"/>
  <c r="L3089" i="1"/>
  <c r="M3089" i="1"/>
  <c r="N3089" i="1"/>
  <c r="O3089" i="1"/>
  <c r="P3089" i="1"/>
  <c r="Q3089" i="1"/>
  <c r="R3089" i="1"/>
  <c r="S3089" i="1"/>
  <c r="T3089" i="1"/>
  <c r="U3089" i="1"/>
  <c r="V3089" i="1"/>
  <c r="W3089" i="1"/>
  <c r="X3089" i="1"/>
  <c r="Y3089" i="1"/>
  <c r="Z3089" i="1"/>
  <c r="A3090" i="1"/>
  <c r="B3090" i="1"/>
  <c r="C3090" i="1"/>
  <c r="D3090" i="1"/>
  <c r="E3090" i="1"/>
  <c r="F3090" i="1"/>
  <c r="G3090" i="1"/>
  <c r="I3090" i="1"/>
  <c r="J3090" i="1"/>
  <c r="K3090" i="1"/>
  <c r="L3090" i="1"/>
  <c r="M3090" i="1"/>
  <c r="N3090" i="1"/>
  <c r="O3090" i="1"/>
  <c r="P3090" i="1"/>
  <c r="Q3090" i="1"/>
  <c r="R3090" i="1"/>
  <c r="S3090" i="1"/>
  <c r="T3090" i="1"/>
  <c r="U3090" i="1"/>
  <c r="V3090" i="1"/>
  <c r="W3090" i="1"/>
  <c r="X3090" i="1"/>
  <c r="Y3090" i="1"/>
  <c r="Z3090" i="1"/>
  <c r="A3091" i="1"/>
  <c r="B3091" i="1"/>
  <c r="C3091" i="1"/>
  <c r="D3091" i="1"/>
  <c r="E3091" i="1"/>
  <c r="F3091" i="1"/>
  <c r="G3091" i="1"/>
  <c r="I3091" i="1"/>
  <c r="J3091" i="1"/>
  <c r="K3091" i="1"/>
  <c r="L3091" i="1"/>
  <c r="M3091" i="1"/>
  <c r="N3091" i="1"/>
  <c r="O3091" i="1"/>
  <c r="P3091" i="1"/>
  <c r="Q3091" i="1"/>
  <c r="R3091" i="1"/>
  <c r="S3091" i="1"/>
  <c r="T3091" i="1"/>
  <c r="U3091" i="1"/>
  <c r="V3091" i="1"/>
  <c r="W3091" i="1"/>
  <c r="X3091" i="1"/>
  <c r="Y3091" i="1"/>
  <c r="Z3091" i="1"/>
  <c r="A3092" i="1"/>
  <c r="B3092" i="1"/>
  <c r="C3092" i="1"/>
  <c r="D3092" i="1"/>
  <c r="E3092" i="1"/>
  <c r="F3092" i="1"/>
  <c r="G3092" i="1"/>
  <c r="I3092" i="1"/>
  <c r="J3092" i="1"/>
  <c r="K3092" i="1"/>
  <c r="L3092" i="1"/>
  <c r="M3092" i="1"/>
  <c r="N3092" i="1"/>
  <c r="O3092" i="1"/>
  <c r="P3092" i="1"/>
  <c r="Q3092" i="1"/>
  <c r="R3092" i="1"/>
  <c r="S3092" i="1"/>
  <c r="T3092" i="1"/>
  <c r="U3092" i="1"/>
  <c r="V3092" i="1"/>
  <c r="W3092" i="1"/>
  <c r="X3092" i="1"/>
  <c r="Y3092" i="1"/>
  <c r="Z3092" i="1"/>
  <c r="A3093" i="1"/>
  <c r="B3093" i="1"/>
  <c r="C3093" i="1"/>
  <c r="D3093" i="1"/>
  <c r="E3093" i="1"/>
  <c r="F3093" i="1"/>
  <c r="G3093" i="1"/>
  <c r="I3093" i="1"/>
  <c r="J3093" i="1"/>
  <c r="K3093" i="1"/>
  <c r="L3093" i="1"/>
  <c r="M3093" i="1"/>
  <c r="N3093" i="1"/>
  <c r="O3093" i="1"/>
  <c r="P3093" i="1"/>
  <c r="Q3093" i="1"/>
  <c r="R3093" i="1"/>
  <c r="S3093" i="1"/>
  <c r="T3093" i="1"/>
  <c r="U3093" i="1"/>
  <c r="V3093" i="1"/>
  <c r="W3093" i="1"/>
  <c r="X3093" i="1"/>
  <c r="Y3093" i="1"/>
  <c r="Z3093" i="1"/>
  <c r="A3094" i="1"/>
  <c r="B3094" i="1"/>
  <c r="C3094" i="1"/>
  <c r="D3094" i="1"/>
  <c r="E3094" i="1"/>
  <c r="F3094" i="1"/>
  <c r="G3094" i="1"/>
  <c r="I3094" i="1"/>
  <c r="J3094" i="1"/>
  <c r="K3094" i="1"/>
  <c r="L3094" i="1"/>
  <c r="M3094" i="1"/>
  <c r="N3094" i="1"/>
  <c r="O3094" i="1"/>
  <c r="P3094" i="1"/>
  <c r="Q3094" i="1"/>
  <c r="R3094" i="1"/>
  <c r="S3094" i="1"/>
  <c r="T3094" i="1"/>
  <c r="U3094" i="1"/>
  <c r="V3094" i="1"/>
  <c r="W3094" i="1"/>
  <c r="X3094" i="1"/>
  <c r="Y3094" i="1"/>
  <c r="Z3094" i="1"/>
  <c r="A3095" i="1"/>
  <c r="B3095" i="1"/>
  <c r="C3095" i="1"/>
  <c r="D3095" i="1"/>
  <c r="E3095" i="1"/>
  <c r="F3095" i="1"/>
  <c r="G3095" i="1"/>
  <c r="I3095" i="1"/>
  <c r="J3095" i="1"/>
  <c r="K3095" i="1"/>
  <c r="L3095" i="1"/>
  <c r="M3095" i="1"/>
  <c r="N3095" i="1"/>
  <c r="O3095" i="1"/>
  <c r="P3095" i="1"/>
  <c r="Q3095" i="1"/>
  <c r="R3095" i="1"/>
  <c r="S3095" i="1"/>
  <c r="T3095" i="1"/>
  <c r="U3095" i="1"/>
  <c r="V3095" i="1"/>
  <c r="W3095" i="1"/>
  <c r="X3095" i="1"/>
  <c r="Y3095" i="1"/>
  <c r="Z3095" i="1"/>
  <c r="A3096" i="1"/>
  <c r="B3096" i="1"/>
  <c r="C3096" i="1"/>
  <c r="D3096" i="1"/>
  <c r="E3096" i="1"/>
  <c r="F3096" i="1"/>
  <c r="G3096" i="1"/>
  <c r="I3096" i="1"/>
  <c r="J3096" i="1"/>
  <c r="K3096" i="1"/>
  <c r="L3096" i="1"/>
  <c r="M3096" i="1"/>
  <c r="N3096" i="1"/>
  <c r="O3096" i="1"/>
  <c r="P3096" i="1"/>
  <c r="Q3096" i="1"/>
  <c r="R3096" i="1"/>
  <c r="S3096" i="1"/>
  <c r="T3096" i="1"/>
  <c r="U3096" i="1"/>
  <c r="V3096" i="1"/>
  <c r="W3096" i="1"/>
  <c r="X3096" i="1"/>
  <c r="Y3096" i="1"/>
  <c r="Z3096" i="1"/>
  <c r="A3097" i="1"/>
  <c r="B3097" i="1"/>
  <c r="C3097" i="1"/>
  <c r="D3097" i="1"/>
  <c r="E3097" i="1"/>
  <c r="F3097" i="1"/>
  <c r="G3097" i="1"/>
  <c r="I3097" i="1"/>
  <c r="J3097" i="1"/>
  <c r="K3097" i="1"/>
  <c r="L3097" i="1"/>
  <c r="M3097" i="1"/>
  <c r="N3097" i="1"/>
  <c r="O3097" i="1"/>
  <c r="P3097" i="1"/>
  <c r="Q3097" i="1"/>
  <c r="R3097" i="1"/>
  <c r="S3097" i="1"/>
  <c r="T3097" i="1"/>
  <c r="U3097" i="1"/>
  <c r="V3097" i="1"/>
  <c r="W3097" i="1"/>
  <c r="X3097" i="1"/>
  <c r="Y3097" i="1"/>
  <c r="Z3097" i="1"/>
  <c r="A3098" i="1"/>
  <c r="B3098" i="1"/>
  <c r="C3098" i="1"/>
  <c r="D3098" i="1"/>
  <c r="E3098" i="1"/>
  <c r="F3098" i="1"/>
  <c r="G3098" i="1"/>
  <c r="I3098" i="1"/>
  <c r="J3098" i="1"/>
  <c r="K3098" i="1"/>
  <c r="L3098" i="1"/>
  <c r="M3098" i="1"/>
  <c r="N3098" i="1"/>
  <c r="O3098" i="1"/>
  <c r="P3098" i="1"/>
  <c r="Q3098" i="1"/>
  <c r="R3098" i="1"/>
  <c r="S3098" i="1"/>
  <c r="T3098" i="1"/>
  <c r="U3098" i="1"/>
  <c r="V3098" i="1"/>
  <c r="W3098" i="1"/>
  <c r="X3098" i="1"/>
  <c r="Y3098" i="1"/>
  <c r="Z3098" i="1"/>
  <c r="A3099" i="1"/>
  <c r="B3099" i="1"/>
  <c r="C3099" i="1"/>
  <c r="D3099" i="1"/>
  <c r="E3099" i="1"/>
  <c r="F3099" i="1"/>
  <c r="G3099" i="1"/>
  <c r="I3099" i="1"/>
  <c r="J3099" i="1"/>
  <c r="K3099" i="1"/>
  <c r="L3099" i="1"/>
  <c r="M3099" i="1"/>
  <c r="N3099" i="1"/>
  <c r="O3099" i="1"/>
  <c r="P3099" i="1"/>
  <c r="Q3099" i="1"/>
  <c r="R3099" i="1"/>
  <c r="S3099" i="1"/>
  <c r="T3099" i="1"/>
  <c r="U3099" i="1"/>
  <c r="V3099" i="1"/>
  <c r="W3099" i="1"/>
  <c r="X3099" i="1"/>
  <c r="Y3099" i="1"/>
  <c r="Z3099" i="1"/>
  <c r="A3100" i="1"/>
  <c r="B3100" i="1"/>
  <c r="C3100" i="1"/>
  <c r="D3100" i="1"/>
  <c r="E3100" i="1"/>
  <c r="F3100" i="1"/>
  <c r="G3100" i="1"/>
  <c r="I3100" i="1"/>
  <c r="J3100" i="1"/>
  <c r="K3100" i="1"/>
  <c r="L3100" i="1"/>
  <c r="M3100" i="1"/>
  <c r="N3100" i="1"/>
  <c r="O3100" i="1"/>
  <c r="P3100" i="1"/>
  <c r="Q3100" i="1"/>
  <c r="R3100" i="1"/>
  <c r="S3100" i="1"/>
  <c r="T3100" i="1"/>
  <c r="U3100" i="1"/>
  <c r="V3100" i="1"/>
  <c r="W3100" i="1"/>
  <c r="X3100" i="1"/>
  <c r="Y3100" i="1"/>
  <c r="Z3100" i="1"/>
  <c r="A3101" i="1"/>
  <c r="B3101" i="1"/>
  <c r="C3101" i="1"/>
  <c r="D3101" i="1"/>
  <c r="E3101" i="1"/>
  <c r="F3101" i="1"/>
  <c r="G3101" i="1"/>
  <c r="I3101" i="1"/>
  <c r="J3101" i="1"/>
  <c r="K3101" i="1"/>
  <c r="L3101" i="1"/>
  <c r="M3101" i="1"/>
  <c r="N3101" i="1"/>
  <c r="O3101" i="1"/>
  <c r="P3101" i="1"/>
  <c r="Q3101" i="1"/>
  <c r="R3101" i="1"/>
  <c r="S3101" i="1"/>
  <c r="T3101" i="1"/>
  <c r="U3101" i="1"/>
  <c r="V3101" i="1"/>
  <c r="W3101" i="1"/>
  <c r="X3101" i="1"/>
  <c r="Y3101" i="1"/>
  <c r="Z3101" i="1"/>
  <c r="A3102" i="1"/>
  <c r="B3102" i="1"/>
  <c r="C3102" i="1"/>
  <c r="D3102" i="1"/>
  <c r="E3102" i="1"/>
  <c r="F3102" i="1"/>
  <c r="G3102" i="1"/>
  <c r="I3102" i="1"/>
  <c r="J3102" i="1"/>
  <c r="K3102" i="1"/>
  <c r="L3102" i="1"/>
  <c r="M3102" i="1"/>
  <c r="N3102" i="1"/>
  <c r="O3102" i="1"/>
  <c r="P3102" i="1"/>
  <c r="Q3102" i="1"/>
  <c r="R3102" i="1"/>
  <c r="S3102" i="1"/>
  <c r="T3102" i="1"/>
  <c r="U3102" i="1"/>
  <c r="V3102" i="1"/>
  <c r="W3102" i="1"/>
  <c r="X3102" i="1"/>
  <c r="Y3102" i="1"/>
  <c r="Z3102" i="1"/>
  <c r="A3103" i="1"/>
  <c r="B3103" i="1"/>
  <c r="C3103" i="1"/>
  <c r="D3103" i="1"/>
  <c r="E3103" i="1"/>
  <c r="F3103" i="1"/>
  <c r="G3103" i="1"/>
  <c r="I3103" i="1"/>
  <c r="J3103" i="1"/>
  <c r="K3103" i="1"/>
  <c r="L3103" i="1"/>
  <c r="M3103" i="1"/>
  <c r="N3103" i="1"/>
  <c r="O3103" i="1"/>
  <c r="P3103" i="1"/>
  <c r="Q3103" i="1"/>
  <c r="R3103" i="1"/>
  <c r="S3103" i="1"/>
  <c r="T3103" i="1"/>
  <c r="U3103" i="1"/>
  <c r="V3103" i="1"/>
  <c r="W3103" i="1"/>
  <c r="X3103" i="1"/>
  <c r="Y3103" i="1"/>
  <c r="Z3103" i="1"/>
  <c r="A3104" i="1"/>
  <c r="B3104" i="1"/>
  <c r="C3104" i="1"/>
  <c r="D3104" i="1"/>
  <c r="E3104" i="1"/>
  <c r="F3104" i="1"/>
  <c r="G3104" i="1"/>
  <c r="I3104" i="1"/>
  <c r="J3104" i="1"/>
  <c r="K3104" i="1"/>
  <c r="L3104" i="1"/>
  <c r="M3104" i="1"/>
  <c r="N3104" i="1"/>
  <c r="O3104" i="1"/>
  <c r="P3104" i="1"/>
  <c r="Q3104" i="1"/>
  <c r="R3104" i="1"/>
  <c r="S3104" i="1"/>
  <c r="T3104" i="1"/>
  <c r="U3104" i="1"/>
  <c r="V3104" i="1"/>
  <c r="W3104" i="1"/>
  <c r="X3104" i="1"/>
  <c r="Y3104" i="1"/>
  <c r="Z3104" i="1"/>
  <c r="A3105" i="1"/>
  <c r="B3105" i="1"/>
  <c r="C3105" i="1"/>
  <c r="D3105" i="1"/>
  <c r="E3105" i="1"/>
  <c r="F3105" i="1"/>
  <c r="G3105" i="1"/>
  <c r="I3105" i="1"/>
  <c r="J3105" i="1"/>
  <c r="K3105" i="1"/>
  <c r="L3105" i="1"/>
  <c r="M3105" i="1"/>
  <c r="N3105" i="1"/>
  <c r="O3105" i="1"/>
  <c r="P3105" i="1"/>
  <c r="Q3105" i="1"/>
  <c r="R3105" i="1"/>
  <c r="S3105" i="1"/>
  <c r="T3105" i="1"/>
  <c r="U3105" i="1"/>
  <c r="V3105" i="1"/>
  <c r="W3105" i="1"/>
  <c r="X3105" i="1"/>
  <c r="Y3105" i="1"/>
  <c r="Z3105" i="1"/>
  <c r="A3106" i="1"/>
  <c r="B3106" i="1"/>
  <c r="C3106" i="1"/>
  <c r="D3106" i="1"/>
  <c r="E3106" i="1"/>
  <c r="F3106" i="1"/>
  <c r="G3106" i="1"/>
  <c r="I3106" i="1"/>
  <c r="J3106" i="1"/>
  <c r="K3106" i="1"/>
  <c r="L3106" i="1"/>
  <c r="M3106" i="1"/>
  <c r="N3106" i="1"/>
  <c r="O3106" i="1"/>
  <c r="P3106" i="1"/>
  <c r="Q3106" i="1"/>
  <c r="R3106" i="1"/>
  <c r="S3106" i="1"/>
  <c r="T3106" i="1"/>
  <c r="U3106" i="1"/>
  <c r="V3106" i="1"/>
  <c r="W3106" i="1"/>
  <c r="X3106" i="1"/>
  <c r="Y3106" i="1"/>
  <c r="Z3106" i="1"/>
  <c r="A3107" i="1"/>
  <c r="B3107" i="1"/>
  <c r="C3107" i="1"/>
  <c r="D3107" i="1"/>
  <c r="E3107" i="1"/>
  <c r="F3107" i="1"/>
  <c r="G3107" i="1"/>
  <c r="I3107" i="1"/>
  <c r="J3107" i="1"/>
  <c r="K3107" i="1"/>
  <c r="L3107" i="1"/>
  <c r="M3107" i="1"/>
  <c r="N3107" i="1"/>
  <c r="O3107" i="1"/>
  <c r="P3107" i="1"/>
  <c r="Q3107" i="1"/>
  <c r="R3107" i="1"/>
  <c r="S3107" i="1"/>
  <c r="T3107" i="1"/>
  <c r="U3107" i="1"/>
  <c r="V3107" i="1"/>
  <c r="W3107" i="1"/>
  <c r="X3107" i="1"/>
  <c r="Y3107" i="1"/>
  <c r="Z3107" i="1"/>
  <c r="A3108" i="1"/>
  <c r="B3108" i="1"/>
  <c r="C3108" i="1"/>
  <c r="D3108" i="1"/>
  <c r="E3108" i="1"/>
  <c r="F3108" i="1"/>
  <c r="G3108" i="1"/>
  <c r="I3108" i="1"/>
  <c r="J3108" i="1"/>
  <c r="K3108" i="1"/>
  <c r="L3108" i="1"/>
  <c r="M3108" i="1"/>
  <c r="N3108" i="1"/>
  <c r="O3108" i="1"/>
  <c r="P3108" i="1"/>
  <c r="Q3108" i="1"/>
  <c r="R3108" i="1"/>
  <c r="S3108" i="1"/>
  <c r="T3108" i="1"/>
  <c r="U3108" i="1"/>
  <c r="V3108" i="1"/>
  <c r="W3108" i="1"/>
  <c r="X3108" i="1"/>
  <c r="Y3108" i="1"/>
  <c r="Z3108" i="1"/>
  <c r="A3109" i="1"/>
  <c r="B3109" i="1"/>
  <c r="C3109" i="1"/>
  <c r="D3109" i="1"/>
  <c r="E3109" i="1"/>
  <c r="F3109" i="1"/>
  <c r="G3109" i="1"/>
  <c r="I3109" i="1"/>
  <c r="J3109" i="1"/>
  <c r="K3109" i="1"/>
  <c r="L3109" i="1"/>
  <c r="M3109" i="1"/>
  <c r="N3109" i="1"/>
  <c r="O3109" i="1"/>
  <c r="P3109" i="1"/>
  <c r="Q3109" i="1"/>
  <c r="R3109" i="1"/>
  <c r="S3109" i="1"/>
  <c r="T3109" i="1"/>
  <c r="U3109" i="1"/>
  <c r="V3109" i="1"/>
  <c r="W3109" i="1"/>
  <c r="X3109" i="1"/>
  <c r="Y3109" i="1"/>
  <c r="Z3109" i="1"/>
  <c r="A3110" i="1"/>
  <c r="B3110" i="1"/>
  <c r="C3110" i="1"/>
  <c r="D3110" i="1"/>
  <c r="E3110" i="1"/>
  <c r="F3110" i="1"/>
  <c r="G3110" i="1"/>
  <c r="I3110" i="1"/>
  <c r="J3110" i="1"/>
  <c r="K3110" i="1"/>
  <c r="L3110" i="1"/>
  <c r="M3110" i="1"/>
  <c r="N3110" i="1"/>
  <c r="O3110" i="1"/>
  <c r="P3110" i="1"/>
  <c r="Q3110" i="1"/>
  <c r="R3110" i="1"/>
  <c r="S3110" i="1"/>
  <c r="T3110" i="1"/>
  <c r="U3110" i="1"/>
  <c r="V3110" i="1"/>
  <c r="W3110" i="1"/>
  <c r="X3110" i="1"/>
  <c r="Y3110" i="1"/>
  <c r="Z3110" i="1"/>
  <c r="A3111" i="1"/>
  <c r="B3111" i="1"/>
  <c r="C3111" i="1"/>
  <c r="D3111" i="1"/>
  <c r="E3111" i="1"/>
  <c r="F3111" i="1"/>
  <c r="G3111" i="1"/>
  <c r="I3111" i="1"/>
  <c r="J3111" i="1"/>
  <c r="K3111" i="1"/>
  <c r="L3111" i="1"/>
  <c r="M3111" i="1"/>
  <c r="N3111" i="1"/>
  <c r="O3111" i="1"/>
  <c r="P3111" i="1"/>
  <c r="Q3111" i="1"/>
  <c r="R3111" i="1"/>
  <c r="S3111" i="1"/>
  <c r="T3111" i="1"/>
  <c r="U3111" i="1"/>
  <c r="V3111" i="1"/>
  <c r="W3111" i="1"/>
  <c r="X3111" i="1"/>
  <c r="Y3111" i="1"/>
  <c r="Z3111" i="1"/>
  <c r="A3112" i="1"/>
  <c r="B3112" i="1"/>
  <c r="C3112" i="1"/>
  <c r="D3112" i="1"/>
  <c r="E3112" i="1"/>
  <c r="F3112" i="1"/>
  <c r="G3112" i="1"/>
  <c r="I3112" i="1"/>
  <c r="J3112" i="1"/>
  <c r="K3112" i="1"/>
  <c r="L3112" i="1"/>
  <c r="M3112" i="1"/>
  <c r="N3112" i="1"/>
  <c r="O3112" i="1"/>
  <c r="P3112" i="1"/>
  <c r="Q3112" i="1"/>
  <c r="R3112" i="1"/>
  <c r="S3112" i="1"/>
  <c r="T3112" i="1"/>
  <c r="U3112" i="1"/>
  <c r="V3112" i="1"/>
  <c r="W3112" i="1"/>
  <c r="X3112" i="1"/>
  <c r="Y3112" i="1"/>
  <c r="Z3112" i="1"/>
  <c r="A3113" i="1"/>
  <c r="B3113" i="1"/>
  <c r="C3113" i="1"/>
  <c r="D3113" i="1"/>
  <c r="E3113" i="1"/>
  <c r="F3113" i="1"/>
  <c r="G3113" i="1"/>
  <c r="I3113" i="1"/>
  <c r="J3113" i="1"/>
  <c r="K3113" i="1"/>
  <c r="L3113" i="1"/>
  <c r="M3113" i="1"/>
  <c r="N3113" i="1"/>
  <c r="O3113" i="1"/>
  <c r="P3113" i="1"/>
  <c r="Q3113" i="1"/>
  <c r="R3113" i="1"/>
  <c r="S3113" i="1"/>
  <c r="T3113" i="1"/>
  <c r="U3113" i="1"/>
  <c r="V3113" i="1"/>
  <c r="W3113" i="1"/>
  <c r="X3113" i="1"/>
  <c r="Y3113" i="1"/>
  <c r="Z3113" i="1"/>
  <c r="A3114" i="1"/>
  <c r="B3114" i="1"/>
  <c r="C3114" i="1"/>
  <c r="D3114" i="1"/>
  <c r="E3114" i="1"/>
  <c r="F3114" i="1"/>
  <c r="G3114" i="1"/>
  <c r="I3114" i="1"/>
  <c r="J3114" i="1"/>
  <c r="K3114" i="1"/>
  <c r="L3114" i="1"/>
  <c r="M3114" i="1"/>
  <c r="N3114" i="1"/>
  <c r="O3114" i="1"/>
  <c r="P3114" i="1"/>
  <c r="Q3114" i="1"/>
  <c r="R3114" i="1"/>
  <c r="S3114" i="1"/>
  <c r="T3114" i="1"/>
  <c r="U3114" i="1"/>
  <c r="V3114" i="1"/>
  <c r="W3114" i="1"/>
  <c r="X3114" i="1"/>
  <c r="Y3114" i="1"/>
  <c r="Z3114" i="1"/>
  <c r="A3115" i="1"/>
  <c r="B3115" i="1"/>
  <c r="C3115" i="1"/>
  <c r="D3115" i="1"/>
  <c r="E3115" i="1"/>
  <c r="F3115" i="1"/>
  <c r="G3115" i="1"/>
  <c r="I3115" i="1"/>
  <c r="J3115" i="1"/>
  <c r="K3115" i="1"/>
  <c r="L3115" i="1"/>
  <c r="M3115" i="1"/>
  <c r="N3115" i="1"/>
  <c r="O3115" i="1"/>
  <c r="P3115" i="1"/>
  <c r="Q3115" i="1"/>
  <c r="R3115" i="1"/>
  <c r="S3115" i="1"/>
  <c r="T3115" i="1"/>
  <c r="U3115" i="1"/>
  <c r="V3115" i="1"/>
  <c r="W3115" i="1"/>
  <c r="X3115" i="1"/>
  <c r="Y3115" i="1"/>
  <c r="Z3115" i="1"/>
  <c r="A3116" i="1"/>
  <c r="B3116" i="1"/>
  <c r="C3116" i="1"/>
  <c r="D3116" i="1"/>
  <c r="E3116" i="1"/>
  <c r="F3116" i="1"/>
  <c r="G3116" i="1"/>
  <c r="I3116" i="1"/>
  <c r="J3116" i="1"/>
  <c r="K3116" i="1"/>
  <c r="L3116" i="1"/>
  <c r="M3116" i="1"/>
  <c r="N3116" i="1"/>
  <c r="O3116" i="1"/>
  <c r="P3116" i="1"/>
  <c r="Q3116" i="1"/>
  <c r="R3116" i="1"/>
  <c r="S3116" i="1"/>
  <c r="T3116" i="1"/>
  <c r="U3116" i="1"/>
  <c r="V3116" i="1"/>
  <c r="W3116" i="1"/>
  <c r="X3116" i="1"/>
  <c r="Y3116" i="1"/>
  <c r="Z3116" i="1"/>
  <c r="A3117" i="1"/>
  <c r="B3117" i="1"/>
  <c r="C3117" i="1"/>
  <c r="D3117" i="1"/>
  <c r="E3117" i="1"/>
  <c r="F3117" i="1"/>
  <c r="G3117" i="1"/>
  <c r="I3117" i="1"/>
  <c r="J3117" i="1"/>
  <c r="K3117" i="1"/>
  <c r="L3117" i="1"/>
  <c r="M3117" i="1"/>
  <c r="N3117" i="1"/>
  <c r="O3117" i="1"/>
  <c r="P3117" i="1"/>
  <c r="Q3117" i="1"/>
  <c r="R3117" i="1"/>
  <c r="S3117" i="1"/>
  <c r="T3117" i="1"/>
  <c r="U3117" i="1"/>
  <c r="V3117" i="1"/>
  <c r="W3117" i="1"/>
  <c r="X3117" i="1"/>
  <c r="Y3117" i="1"/>
  <c r="Z3117" i="1"/>
  <c r="A3118" i="1"/>
  <c r="B3118" i="1"/>
  <c r="C3118" i="1"/>
  <c r="D3118" i="1"/>
  <c r="E3118" i="1"/>
  <c r="F3118" i="1"/>
  <c r="G3118" i="1"/>
  <c r="I3118" i="1"/>
  <c r="J3118" i="1"/>
  <c r="K3118" i="1"/>
  <c r="L3118" i="1"/>
  <c r="M3118" i="1"/>
  <c r="N3118" i="1"/>
  <c r="O3118" i="1"/>
  <c r="P3118" i="1"/>
  <c r="Q3118" i="1"/>
  <c r="R3118" i="1"/>
  <c r="S3118" i="1"/>
  <c r="T3118" i="1"/>
  <c r="U3118" i="1"/>
  <c r="V3118" i="1"/>
  <c r="W3118" i="1"/>
  <c r="X3118" i="1"/>
  <c r="Y3118" i="1"/>
  <c r="Z3118" i="1"/>
  <c r="A3119" i="1"/>
  <c r="B3119" i="1"/>
  <c r="C3119" i="1"/>
  <c r="D3119" i="1"/>
  <c r="E3119" i="1"/>
  <c r="F3119" i="1"/>
  <c r="G3119" i="1"/>
  <c r="I3119" i="1"/>
  <c r="J3119" i="1"/>
  <c r="K3119" i="1"/>
  <c r="L3119" i="1"/>
  <c r="M3119" i="1"/>
  <c r="N3119" i="1"/>
  <c r="O3119" i="1"/>
  <c r="P3119" i="1"/>
  <c r="Q3119" i="1"/>
  <c r="R3119" i="1"/>
  <c r="S3119" i="1"/>
  <c r="T3119" i="1"/>
  <c r="U3119" i="1"/>
  <c r="V3119" i="1"/>
  <c r="W3119" i="1"/>
  <c r="X3119" i="1"/>
  <c r="Y3119" i="1"/>
  <c r="Z3119" i="1"/>
  <c r="A3120" i="1"/>
  <c r="B3120" i="1"/>
  <c r="C3120" i="1"/>
  <c r="D3120" i="1"/>
  <c r="E3120" i="1"/>
  <c r="F3120" i="1"/>
  <c r="G3120" i="1"/>
  <c r="I3120" i="1"/>
  <c r="J3120" i="1"/>
  <c r="K3120" i="1"/>
  <c r="L3120" i="1"/>
  <c r="M3120" i="1"/>
  <c r="N3120" i="1"/>
  <c r="O3120" i="1"/>
  <c r="P3120" i="1"/>
  <c r="Q3120" i="1"/>
  <c r="R3120" i="1"/>
  <c r="S3120" i="1"/>
  <c r="T3120" i="1"/>
  <c r="U3120" i="1"/>
  <c r="V3120" i="1"/>
  <c r="W3120" i="1"/>
  <c r="X3120" i="1"/>
  <c r="Y3120" i="1"/>
  <c r="Z3120" i="1"/>
  <c r="A3121" i="1"/>
  <c r="B3121" i="1"/>
  <c r="C3121" i="1"/>
  <c r="D3121" i="1"/>
  <c r="E3121" i="1"/>
  <c r="F3121" i="1"/>
  <c r="G3121" i="1"/>
  <c r="I3121" i="1"/>
  <c r="J3121" i="1"/>
  <c r="K3121" i="1"/>
  <c r="L3121" i="1"/>
  <c r="M3121" i="1"/>
  <c r="N3121" i="1"/>
  <c r="O3121" i="1"/>
  <c r="P3121" i="1"/>
  <c r="Q3121" i="1"/>
  <c r="R3121" i="1"/>
  <c r="S3121" i="1"/>
  <c r="T3121" i="1"/>
  <c r="U3121" i="1"/>
  <c r="V3121" i="1"/>
  <c r="W3121" i="1"/>
  <c r="X3121" i="1"/>
  <c r="Y3121" i="1"/>
  <c r="Z3121" i="1"/>
  <c r="A3122" i="1"/>
  <c r="B3122" i="1"/>
  <c r="C3122" i="1"/>
  <c r="D3122" i="1"/>
  <c r="E3122" i="1"/>
  <c r="F3122" i="1"/>
  <c r="G3122" i="1"/>
  <c r="I3122" i="1"/>
  <c r="J3122" i="1"/>
  <c r="K3122" i="1"/>
  <c r="L3122" i="1"/>
  <c r="M3122" i="1"/>
  <c r="N3122" i="1"/>
  <c r="O3122" i="1"/>
  <c r="P3122" i="1"/>
  <c r="Q3122" i="1"/>
  <c r="R3122" i="1"/>
  <c r="S3122" i="1"/>
  <c r="T3122" i="1"/>
  <c r="U3122" i="1"/>
  <c r="V3122" i="1"/>
  <c r="W3122" i="1"/>
  <c r="X3122" i="1"/>
  <c r="Y3122" i="1"/>
  <c r="Z3122" i="1"/>
  <c r="A3123" i="1"/>
  <c r="B3123" i="1"/>
  <c r="C3123" i="1"/>
  <c r="D3123" i="1"/>
  <c r="E3123" i="1"/>
  <c r="F3123" i="1"/>
  <c r="G3123" i="1"/>
  <c r="I3123" i="1"/>
  <c r="J3123" i="1"/>
  <c r="K3123" i="1"/>
  <c r="L3123" i="1"/>
  <c r="M3123" i="1"/>
  <c r="N3123" i="1"/>
  <c r="O3123" i="1"/>
  <c r="P3123" i="1"/>
  <c r="Q3123" i="1"/>
  <c r="R3123" i="1"/>
  <c r="S3123" i="1"/>
  <c r="T3123" i="1"/>
  <c r="U3123" i="1"/>
  <c r="V3123" i="1"/>
  <c r="W3123" i="1"/>
  <c r="X3123" i="1"/>
  <c r="Y3123" i="1"/>
  <c r="Z3123" i="1"/>
  <c r="A3124" i="1"/>
  <c r="B3124" i="1"/>
  <c r="C3124" i="1"/>
  <c r="D3124" i="1"/>
  <c r="E3124" i="1"/>
  <c r="F3124" i="1"/>
  <c r="G3124" i="1"/>
  <c r="I3124" i="1"/>
  <c r="J3124" i="1"/>
  <c r="K3124" i="1"/>
  <c r="L3124" i="1"/>
  <c r="M3124" i="1"/>
  <c r="N3124" i="1"/>
  <c r="O3124" i="1"/>
  <c r="P3124" i="1"/>
  <c r="Q3124" i="1"/>
  <c r="R3124" i="1"/>
  <c r="S3124" i="1"/>
  <c r="T3124" i="1"/>
  <c r="U3124" i="1"/>
  <c r="V3124" i="1"/>
  <c r="W3124" i="1"/>
  <c r="X3124" i="1"/>
  <c r="Y3124" i="1"/>
  <c r="Z3124" i="1"/>
  <c r="A3125" i="1"/>
  <c r="B3125" i="1"/>
  <c r="C3125" i="1"/>
  <c r="D3125" i="1"/>
  <c r="E3125" i="1"/>
  <c r="F3125" i="1"/>
  <c r="G3125" i="1"/>
  <c r="I3125" i="1"/>
  <c r="J3125" i="1"/>
  <c r="K3125" i="1"/>
  <c r="L3125" i="1"/>
  <c r="M3125" i="1"/>
  <c r="N3125" i="1"/>
  <c r="O3125" i="1"/>
  <c r="P3125" i="1"/>
  <c r="Q3125" i="1"/>
  <c r="R3125" i="1"/>
  <c r="S3125" i="1"/>
  <c r="T3125" i="1"/>
  <c r="U3125" i="1"/>
  <c r="V3125" i="1"/>
  <c r="W3125" i="1"/>
  <c r="X3125" i="1"/>
  <c r="Y3125" i="1"/>
  <c r="Z3125" i="1"/>
  <c r="A3126" i="1"/>
  <c r="B3126" i="1"/>
  <c r="C3126" i="1"/>
  <c r="D3126" i="1"/>
  <c r="E3126" i="1"/>
  <c r="F3126" i="1"/>
  <c r="G3126" i="1"/>
  <c r="I3126" i="1"/>
  <c r="J3126" i="1"/>
  <c r="K3126" i="1"/>
  <c r="L3126" i="1"/>
  <c r="M3126" i="1"/>
  <c r="N3126" i="1"/>
  <c r="O3126" i="1"/>
  <c r="P3126" i="1"/>
  <c r="Q3126" i="1"/>
  <c r="R3126" i="1"/>
  <c r="S3126" i="1"/>
  <c r="T3126" i="1"/>
  <c r="U3126" i="1"/>
  <c r="V3126" i="1"/>
  <c r="W3126" i="1"/>
  <c r="X3126" i="1"/>
  <c r="Y3126" i="1"/>
  <c r="Z3126" i="1"/>
  <c r="A3127" i="1"/>
  <c r="B3127" i="1"/>
  <c r="C3127" i="1"/>
  <c r="D3127" i="1"/>
  <c r="E3127" i="1"/>
  <c r="F3127" i="1"/>
  <c r="G3127" i="1"/>
  <c r="I3127" i="1"/>
  <c r="J3127" i="1"/>
  <c r="K3127" i="1"/>
  <c r="L3127" i="1"/>
  <c r="M3127" i="1"/>
  <c r="N3127" i="1"/>
  <c r="O3127" i="1"/>
  <c r="P3127" i="1"/>
  <c r="Q3127" i="1"/>
  <c r="R3127" i="1"/>
  <c r="S3127" i="1"/>
  <c r="T3127" i="1"/>
  <c r="U3127" i="1"/>
  <c r="V3127" i="1"/>
  <c r="W3127" i="1"/>
  <c r="X3127" i="1"/>
  <c r="Y3127" i="1"/>
  <c r="Z3127" i="1"/>
  <c r="A3128" i="1"/>
  <c r="B3128" i="1"/>
  <c r="C3128" i="1"/>
  <c r="D3128" i="1"/>
  <c r="E3128" i="1"/>
  <c r="F3128" i="1"/>
  <c r="G3128" i="1"/>
  <c r="I3128" i="1"/>
  <c r="J3128" i="1"/>
  <c r="K3128" i="1"/>
  <c r="L3128" i="1"/>
  <c r="M3128" i="1"/>
  <c r="N3128" i="1"/>
  <c r="O3128" i="1"/>
  <c r="P3128" i="1"/>
  <c r="Q3128" i="1"/>
  <c r="R3128" i="1"/>
  <c r="S3128" i="1"/>
  <c r="T3128" i="1"/>
  <c r="U3128" i="1"/>
  <c r="V3128" i="1"/>
  <c r="W3128" i="1"/>
  <c r="X3128" i="1"/>
  <c r="Y3128" i="1"/>
  <c r="Z3128" i="1"/>
  <c r="A3129" i="1"/>
  <c r="B3129" i="1"/>
  <c r="C3129" i="1"/>
  <c r="D3129" i="1"/>
  <c r="E3129" i="1"/>
  <c r="F3129" i="1"/>
  <c r="G3129" i="1"/>
  <c r="I3129" i="1"/>
  <c r="J3129" i="1"/>
  <c r="K3129" i="1"/>
  <c r="L3129" i="1"/>
  <c r="M3129" i="1"/>
  <c r="N3129" i="1"/>
  <c r="O3129" i="1"/>
  <c r="P3129" i="1"/>
  <c r="Q3129" i="1"/>
  <c r="R3129" i="1"/>
  <c r="S3129" i="1"/>
  <c r="T3129" i="1"/>
  <c r="U3129" i="1"/>
  <c r="V3129" i="1"/>
  <c r="W3129" i="1"/>
  <c r="X3129" i="1"/>
  <c r="Y3129" i="1"/>
  <c r="Z3129" i="1"/>
  <c r="A3130" i="1"/>
  <c r="B3130" i="1"/>
  <c r="C3130" i="1"/>
  <c r="D3130" i="1"/>
  <c r="E3130" i="1"/>
  <c r="F3130" i="1"/>
  <c r="G3130" i="1"/>
  <c r="I3130" i="1"/>
  <c r="J3130" i="1"/>
  <c r="K3130" i="1"/>
  <c r="L3130" i="1"/>
  <c r="M3130" i="1"/>
  <c r="N3130" i="1"/>
  <c r="O3130" i="1"/>
  <c r="P3130" i="1"/>
  <c r="Q3130" i="1"/>
  <c r="R3130" i="1"/>
  <c r="S3130" i="1"/>
  <c r="T3130" i="1"/>
  <c r="U3130" i="1"/>
  <c r="V3130" i="1"/>
  <c r="W3130" i="1"/>
  <c r="X3130" i="1"/>
  <c r="Y3130" i="1"/>
  <c r="Z3130" i="1"/>
  <c r="A3131" i="1"/>
  <c r="B3131" i="1"/>
  <c r="C3131" i="1"/>
  <c r="D3131" i="1"/>
  <c r="E3131" i="1"/>
  <c r="F3131" i="1"/>
  <c r="G3131" i="1"/>
  <c r="I3131" i="1"/>
  <c r="J3131" i="1"/>
  <c r="K3131" i="1"/>
  <c r="L3131" i="1"/>
  <c r="M3131" i="1"/>
  <c r="N3131" i="1"/>
  <c r="O3131" i="1"/>
  <c r="P3131" i="1"/>
  <c r="Q3131" i="1"/>
  <c r="R3131" i="1"/>
  <c r="S3131" i="1"/>
  <c r="T3131" i="1"/>
  <c r="U3131" i="1"/>
  <c r="V3131" i="1"/>
  <c r="W3131" i="1"/>
  <c r="X3131" i="1"/>
  <c r="Y3131" i="1"/>
  <c r="Z3131" i="1"/>
  <c r="A3132" i="1"/>
  <c r="B3132" i="1"/>
  <c r="C3132" i="1"/>
  <c r="D3132" i="1"/>
  <c r="E3132" i="1"/>
  <c r="F3132" i="1"/>
  <c r="G3132" i="1"/>
  <c r="I3132" i="1"/>
  <c r="J3132" i="1"/>
  <c r="K3132" i="1"/>
  <c r="L3132" i="1"/>
  <c r="M3132" i="1"/>
  <c r="N3132" i="1"/>
  <c r="O3132" i="1"/>
  <c r="P3132" i="1"/>
  <c r="Q3132" i="1"/>
  <c r="R3132" i="1"/>
  <c r="S3132" i="1"/>
  <c r="T3132" i="1"/>
  <c r="U3132" i="1"/>
  <c r="V3132" i="1"/>
  <c r="W3132" i="1"/>
  <c r="X3132" i="1"/>
  <c r="Y3132" i="1"/>
  <c r="Z3132" i="1"/>
  <c r="A3133" i="1"/>
  <c r="B3133" i="1"/>
  <c r="C3133" i="1"/>
  <c r="D3133" i="1"/>
  <c r="E3133" i="1"/>
  <c r="F3133" i="1"/>
  <c r="G3133" i="1"/>
  <c r="I3133" i="1"/>
  <c r="J3133" i="1"/>
  <c r="K3133" i="1"/>
  <c r="L3133" i="1"/>
  <c r="M3133" i="1"/>
  <c r="N3133" i="1"/>
  <c r="O3133" i="1"/>
  <c r="P3133" i="1"/>
  <c r="Q3133" i="1"/>
  <c r="R3133" i="1"/>
  <c r="S3133" i="1"/>
  <c r="T3133" i="1"/>
  <c r="U3133" i="1"/>
  <c r="V3133" i="1"/>
  <c r="W3133" i="1"/>
  <c r="X3133" i="1"/>
  <c r="Y3133" i="1"/>
  <c r="Z3133" i="1"/>
  <c r="A3134" i="1"/>
  <c r="B3134" i="1"/>
  <c r="C3134" i="1"/>
  <c r="D3134" i="1"/>
  <c r="E3134" i="1"/>
  <c r="F3134" i="1"/>
  <c r="G3134" i="1"/>
  <c r="I3134" i="1"/>
  <c r="J3134" i="1"/>
  <c r="K3134" i="1"/>
  <c r="L3134" i="1"/>
  <c r="M3134" i="1"/>
  <c r="N3134" i="1"/>
  <c r="O3134" i="1"/>
  <c r="P3134" i="1"/>
  <c r="Q3134" i="1"/>
  <c r="R3134" i="1"/>
  <c r="S3134" i="1"/>
  <c r="T3134" i="1"/>
  <c r="U3134" i="1"/>
  <c r="V3134" i="1"/>
  <c r="W3134" i="1"/>
  <c r="X3134" i="1"/>
  <c r="Y3134" i="1"/>
  <c r="Z3134" i="1"/>
  <c r="A3135" i="1"/>
  <c r="B3135" i="1"/>
  <c r="C3135" i="1"/>
  <c r="D3135" i="1"/>
  <c r="E3135" i="1"/>
  <c r="F3135" i="1"/>
  <c r="G3135" i="1"/>
  <c r="I3135" i="1"/>
  <c r="J3135" i="1"/>
  <c r="K3135" i="1"/>
  <c r="L3135" i="1"/>
  <c r="M3135" i="1"/>
  <c r="N3135" i="1"/>
  <c r="O3135" i="1"/>
  <c r="P3135" i="1"/>
  <c r="Q3135" i="1"/>
  <c r="R3135" i="1"/>
  <c r="S3135" i="1"/>
  <c r="T3135" i="1"/>
  <c r="U3135" i="1"/>
  <c r="V3135" i="1"/>
  <c r="W3135" i="1"/>
  <c r="X3135" i="1"/>
  <c r="Y3135" i="1"/>
  <c r="Z3135" i="1"/>
  <c r="A3136" i="1"/>
  <c r="B3136" i="1"/>
  <c r="C3136" i="1"/>
  <c r="D3136" i="1"/>
  <c r="E3136" i="1"/>
  <c r="F3136" i="1"/>
  <c r="G3136" i="1"/>
  <c r="I3136" i="1"/>
  <c r="J3136" i="1"/>
  <c r="K3136" i="1"/>
  <c r="L3136" i="1"/>
  <c r="M3136" i="1"/>
  <c r="N3136" i="1"/>
  <c r="O3136" i="1"/>
  <c r="P3136" i="1"/>
  <c r="Q3136" i="1"/>
  <c r="R3136" i="1"/>
  <c r="S3136" i="1"/>
  <c r="T3136" i="1"/>
  <c r="U3136" i="1"/>
  <c r="V3136" i="1"/>
  <c r="W3136" i="1"/>
  <c r="X3136" i="1"/>
  <c r="Y3136" i="1"/>
  <c r="Z3136" i="1"/>
  <c r="A3137" i="1"/>
  <c r="B3137" i="1"/>
  <c r="C3137" i="1"/>
  <c r="D3137" i="1"/>
  <c r="E3137" i="1"/>
  <c r="F3137" i="1"/>
  <c r="G3137" i="1"/>
  <c r="I3137" i="1"/>
  <c r="J3137" i="1"/>
  <c r="K3137" i="1"/>
  <c r="L3137" i="1"/>
  <c r="M3137" i="1"/>
  <c r="N3137" i="1"/>
  <c r="O3137" i="1"/>
  <c r="P3137" i="1"/>
  <c r="Q3137" i="1"/>
  <c r="R3137" i="1"/>
  <c r="S3137" i="1"/>
  <c r="T3137" i="1"/>
  <c r="U3137" i="1"/>
  <c r="V3137" i="1"/>
  <c r="W3137" i="1"/>
  <c r="X3137" i="1"/>
  <c r="Y3137" i="1"/>
  <c r="Z3137" i="1"/>
  <c r="A3138" i="1"/>
  <c r="B3138" i="1"/>
  <c r="C3138" i="1"/>
  <c r="D3138" i="1"/>
  <c r="E3138" i="1"/>
  <c r="F3138" i="1"/>
  <c r="G3138" i="1"/>
  <c r="I3138" i="1"/>
  <c r="J3138" i="1"/>
  <c r="K3138" i="1"/>
  <c r="L3138" i="1"/>
  <c r="M3138" i="1"/>
  <c r="N3138" i="1"/>
  <c r="O3138" i="1"/>
  <c r="P3138" i="1"/>
  <c r="Q3138" i="1"/>
  <c r="R3138" i="1"/>
  <c r="S3138" i="1"/>
  <c r="T3138" i="1"/>
  <c r="U3138" i="1"/>
  <c r="V3138" i="1"/>
  <c r="W3138" i="1"/>
  <c r="X3138" i="1"/>
  <c r="Y3138" i="1"/>
  <c r="Z3138" i="1"/>
  <c r="A3139" i="1"/>
  <c r="B3139" i="1"/>
  <c r="C3139" i="1"/>
  <c r="D3139" i="1"/>
  <c r="E3139" i="1"/>
  <c r="F3139" i="1"/>
  <c r="G3139" i="1"/>
  <c r="I3139" i="1"/>
  <c r="J3139" i="1"/>
  <c r="K3139" i="1"/>
  <c r="L3139" i="1"/>
  <c r="M3139" i="1"/>
  <c r="N3139" i="1"/>
  <c r="O3139" i="1"/>
  <c r="P3139" i="1"/>
  <c r="Q3139" i="1"/>
  <c r="R3139" i="1"/>
  <c r="S3139" i="1"/>
  <c r="T3139" i="1"/>
  <c r="U3139" i="1"/>
  <c r="V3139" i="1"/>
  <c r="W3139" i="1"/>
  <c r="X3139" i="1"/>
  <c r="Y3139" i="1"/>
  <c r="Z3139" i="1"/>
  <c r="A3140" i="1"/>
  <c r="B3140" i="1"/>
  <c r="C3140" i="1"/>
  <c r="D3140" i="1"/>
  <c r="E3140" i="1"/>
  <c r="F3140" i="1"/>
  <c r="G3140" i="1"/>
  <c r="I3140" i="1"/>
  <c r="J3140" i="1"/>
  <c r="K3140" i="1"/>
  <c r="L3140" i="1"/>
  <c r="M3140" i="1"/>
  <c r="N3140" i="1"/>
  <c r="O3140" i="1"/>
  <c r="P3140" i="1"/>
  <c r="Q3140" i="1"/>
  <c r="R3140" i="1"/>
  <c r="S3140" i="1"/>
  <c r="T3140" i="1"/>
  <c r="U3140" i="1"/>
  <c r="V3140" i="1"/>
  <c r="W3140" i="1"/>
  <c r="X3140" i="1"/>
  <c r="Y3140" i="1"/>
  <c r="Z3140" i="1"/>
  <c r="A3141" i="1"/>
  <c r="B3141" i="1"/>
  <c r="C3141" i="1"/>
  <c r="D3141" i="1"/>
  <c r="E3141" i="1"/>
  <c r="F3141" i="1"/>
  <c r="G3141" i="1"/>
  <c r="I3141" i="1"/>
  <c r="J3141" i="1"/>
  <c r="K3141" i="1"/>
  <c r="L3141" i="1"/>
  <c r="M3141" i="1"/>
  <c r="N3141" i="1"/>
  <c r="O3141" i="1"/>
  <c r="P3141" i="1"/>
  <c r="Q3141" i="1"/>
  <c r="R3141" i="1"/>
  <c r="S3141" i="1"/>
  <c r="T3141" i="1"/>
  <c r="U3141" i="1"/>
  <c r="V3141" i="1"/>
  <c r="W3141" i="1"/>
  <c r="X3141" i="1"/>
  <c r="Y3141" i="1"/>
  <c r="Z3141" i="1"/>
  <c r="A3142" i="1"/>
  <c r="B3142" i="1"/>
  <c r="C3142" i="1"/>
  <c r="D3142" i="1"/>
  <c r="E3142" i="1"/>
  <c r="F3142" i="1"/>
  <c r="G3142" i="1"/>
  <c r="I3142" i="1"/>
  <c r="J3142" i="1"/>
  <c r="K3142" i="1"/>
  <c r="L3142" i="1"/>
  <c r="M3142" i="1"/>
  <c r="N3142" i="1"/>
  <c r="O3142" i="1"/>
  <c r="P3142" i="1"/>
  <c r="Q3142" i="1"/>
  <c r="R3142" i="1"/>
  <c r="S3142" i="1"/>
  <c r="T3142" i="1"/>
  <c r="U3142" i="1"/>
  <c r="V3142" i="1"/>
  <c r="W3142" i="1"/>
  <c r="X3142" i="1"/>
  <c r="Y3142" i="1"/>
  <c r="Z3142" i="1"/>
  <c r="A3143" i="1"/>
  <c r="B3143" i="1"/>
  <c r="C3143" i="1"/>
  <c r="D3143" i="1"/>
  <c r="E3143" i="1"/>
  <c r="F3143" i="1"/>
  <c r="G3143" i="1"/>
  <c r="I3143" i="1"/>
  <c r="J3143" i="1"/>
  <c r="K3143" i="1"/>
  <c r="L3143" i="1"/>
  <c r="M3143" i="1"/>
  <c r="N3143" i="1"/>
  <c r="O3143" i="1"/>
  <c r="P3143" i="1"/>
  <c r="Q3143" i="1"/>
  <c r="R3143" i="1"/>
  <c r="S3143" i="1"/>
  <c r="T3143" i="1"/>
  <c r="U3143" i="1"/>
  <c r="V3143" i="1"/>
  <c r="W3143" i="1"/>
  <c r="X3143" i="1"/>
  <c r="Y3143" i="1"/>
  <c r="Z3143" i="1"/>
  <c r="A3144" i="1"/>
  <c r="B3144" i="1"/>
  <c r="C3144" i="1"/>
  <c r="D3144" i="1"/>
  <c r="E3144" i="1"/>
  <c r="F3144" i="1"/>
  <c r="G3144" i="1"/>
  <c r="I3144" i="1"/>
  <c r="J3144" i="1"/>
  <c r="K3144" i="1"/>
  <c r="L3144" i="1"/>
  <c r="M3144" i="1"/>
  <c r="N3144" i="1"/>
  <c r="O3144" i="1"/>
  <c r="P3144" i="1"/>
  <c r="Q3144" i="1"/>
  <c r="R3144" i="1"/>
  <c r="S3144" i="1"/>
  <c r="T3144" i="1"/>
  <c r="U3144" i="1"/>
  <c r="V3144" i="1"/>
  <c r="W3144" i="1"/>
  <c r="X3144" i="1"/>
  <c r="Y3144" i="1"/>
  <c r="Z3144" i="1"/>
  <c r="A3145" i="1"/>
  <c r="B3145" i="1"/>
  <c r="C3145" i="1"/>
  <c r="D3145" i="1"/>
  <c r="E3145" i="1"/>
  <c r="F3145" i="1"/>
  <c r="G3145" i="1"/>
  <c r="I3145" i="1"/>
  <c r="J3145" i="1"/>
  <c r="K3145" i="1"/>
  <c r="L3145" i="1"/>
  <c r="M3145" i="1"/>
  <c r="N3145" i="1"/>
  <c r="O3145" i="1"/>
  <c r="P3145" i="1"/>
  <c r="Q3145" i="1"/>
  <c r="R3145" i="1"/>
  <c r="S3145" i="1"/>
  <c r="T3145" i="1"/>
  <c r="U3145" i="1"/>
  <c r="V3145" i="1"/>
  <c r="W3145" i="1"/>
  <c r="X3145" i="1"/>
  <c r="Y3145" i="1"/>
  <c r="Z3145" i="1"/>
  <c r="A3146" i="1"/>
  <c r="B3146" i="1"/>
  <c r="C3146" i="1"/>
  <c r="D3146" i="1"/>
  <c r="E3146" i="1"/>
  <c r="F3146" i="1"/>
  <c r="G3146" i="1"/>
  <c r="I3146" i="1"/>
  <c r="J3146" i="1"/>
  <c r="K3146" i="1"/>
  <c r="L3146" i="1"/>
  <c r="M3146" i="1"/>
  <c r="N3146" i="1"/>
  <c r="O3146" i="1"/>
  <c r="P3146" i="1"/>
  <c r="Q3146" i="1"/>
  <c r="R3146" i="1"/>
  <c r="S3146" i="1"/>
  <c r="T3146" i="1"/>
  <c r="U3146" i="1"/>
  <c r="V3146" i="1"/>
  <c r="W3146" i="1"/>
  <c r="X3146" i="1"/>
  <c r="Y3146" i="1"/>
  <c r="Z3146" i="1"/>
  <c r="A3147" i="1"/>
  <c r="B3147" i="1"/>
  <c r="C3147" i="1"/>
  <c r="D3147" i="1"/>
  <c r="E3147" i="1"/>
  <c r="F3147" i="1"/>
  <c r="G3147" i="1"/>
  <c r="I3147" i="1"/>
  <c r="J3147" i="1"/>
  <c r="K3147" i="1"/>
  <c r="L3147" i="1"/>
  <c r="M3147" i="1"/>
  <c r="N3147" i="1"/>
  <c r="O3147" i="1"/>
  <c r="P3147" i="1"/>
  <c r="Q3147" i="1"/>
  <c r="R3147" i="1"/>
  <c r="S3147" i="1"/>
  <c r="T3147" i="1"/>
  <c r="U3147" i="1"/>
  <c r="V3147" i="1"/>
  <c r="W3147" i="1"/>
  <c r="X3147" i="1"/>
  <c r="Y3147" i="1"/>
  <c r="Z3147" i="1"/>
  <c r="A3148" i="1"/>
  <c r="B3148" i="1"/>
  <c r="C3148" i="1"/>
  <c r="D3148" i="1"/>
  <c r="E3148" i="1"/>
  <c r="F3148" i="1"/>
  <c r="G3148" i="1"/>
  <c r="I3148" i="1"/>
  <c r="J3148" i="1"/>
  <c r="K3148" i="1"/>
  <c r="L3148" i="1"/>
  <c r="M3148" i="1"/>
  <c r="N3148" i="1"/>
  <c r="O3148" i="1"/>
  <c r="P3148" i="1"/>
  <c r="Q3148" i="1"/>
  <c r="R3148" i="1"/>
  <c r="S3148" i="1"/>
  <c r="T3148" i="1"/>
  <c r="U3148" i="1"/>
  <c r="V3148" i="1"/>
  <c r="W3148" i="1"/>
  <c r="X3148" i="1"/>
  <c r="Y3148" i="1"/>
  <c r="Z3148" i="1"/>
  <c r="A3149" i="1"/>
  <c r="B3149" i="1"/>
  <c r="C3149" i="1"/>
  <c r="D3149" i="1"/>
  <c r="E3149" i="1"/>
  <c r="F3149" i="1"/>
  <c r="G3149" i="1"/>
  <c r="I3149" i="1"/>
  <c r="J3149" i="1"/>
  <c r="K3149" i="1"/>
  <c r="L3149" i="1"/>
  <c r="M3149" i="1"/>
  <c r="N3149" i="1"/>
  <c r="O3149" i="1"/>
  <c r="P3149" i="1"/>
  <c r="Q3149" i="1"/>
  <c r="R3149" i="1"/>
  <c r="S3149" i="1"/>
  <c r="T3149" i="1"/>
  <c r="U3149" i="1"/>
  <c r="V3149" i="1"/>
  <c r="W3149" i="1"/>
  <c r="X3149" i="1"/>
  <c r="Y3149" i="1"/>
  <c r="Z3149" i="1"/>
  <c r="A3150" i="1"/>
  <c r="B3150" i="1"/>
  <c r="C3150" i="1"/>
  <c r="D3150" i="1"/>
  <c r="E3150" i="1"/>
  <c r="F3150" i="1"/>
  <c r="G3150" i="1"/>
  <c r="I3150" i="1"/>
  <c r="J3150" i="1"/>
  <c r="K3150" i="1"/>
  <c r="L3150" i="1"/>
  <c r="M3150" i="1"/>
  <c r="N3150" i="1"/>
  <c r="O3150" i="1"/>
  <c r="P3150" i="1"/>
  <c r="Q3150" i="1"/>
  <c r="R3150" i="1"/>
  <c r="S3150" i="1"/>
  <c r="T3150" i="1"/>
  <c r="U3150" i="1"/>
  <c r="V3150" i="1"/>
  <c r="W3150" i="1"/>
  <c r="X3150" i="1"/>
  <c r="Y3150" i="1"/>
  <c r="Z3150" i="1"/>
  <c r="A3151" i="1"/>
  <c r="B3151" i="1"/>
  <c r="C3151" i="1"/>
  <c r="D3151" i="1"/>
  <c r="E3151" i="1"/>
  <c r="F3151" i="1"/>
  <c r="G3151" i="1"/>
  <c r="I3151" i="1"/>
  <c r="J3151" i="1"/>
  <c r="K3151" i="1"/>
  <c r="L3151" i="1"/>
  <c r="M3151" i="1"/>
  <c r="N3151" i="1"/>
  <c r="O3151" i="1"/>
  <c r="P3151" i="1"/>
  <c r="Q3151" i="1"/>
  <c r="R3151" i="1"/>
  <c r="S3151" i="1"/>
  <c r="T3151" i="1"/>
  <c r="U3151" i="1"/>
  <c r="V3151" i="1"/>
  <c r="W3151" i="1"/>
  <c r="X3151" i="1"/>
  <c r="Y3151" i="1"/>
  <c r="Z3151" i="1"/>
  <c r="A3152" i="1"/>
  <c r="B3152" i="1"/>
  <c r="C3152" i="1"/>
  <c r="D3152" i="1"/>
  <c r="E3152" i="1"/>
  <c r="F3152" i="1"/>
  <c r="G3152" i="1"/>
  <c r="I3152" i="1"/>
  <c r="J3152" i="1"/>
  <c r="K3152" i="1"/>
  <c r="L3152" i="1"/>
  <c r="M3152" i="1"/>
  <c r="N3152" i="1"/>
  <c r="O3152" i="1"/>
  <c r="P3152" i="1"/>
  <c r="Q3152" i="1"/>
  <c r="R3152" i="1"/>
  <c r="S3152" i="1"/>
  <c r="T3152" i="1"/>
  <c r="U3152" i="1"/>
  <c r="V3152" i="1"/>
  <c r="W3152" i="1"/>
  <c r="X3152" i="1"/>
  <c r="Y3152" i="1"/>
  <c r="Z3152" i="1"/>
  <c r="A3153" i="1"/>
  <c r="B3153" i="1"/>
  <c r="C3153" i="1"/>
  <c r="D3153" i="1"/>
  <c r="E3153" i="1"/>
  <c r="F3153" i="1"/>
  <c r="G3153" i="1"/>
  <c r="I3153" i="1"/>
  <c r="J3153" i="1"/>
  <c r="K3153" i="1"/>
  <c r="L3153" i="1"/>
  <c r="M3153" i="1"/>
  <c r="N3153" i="1"/>
  <c r="O3153" i="1"/>
  <c r="P3153" i="1"/>
  <c r="Q3153" i="1"/>
  <c r="R3153" i="1"/>
  <c r="S3153" i="1"/>
  <c r="T3153" i="1"/>
  <c r="U3153" i="1"/>
  <c r="V3153" i="1"/>
  <c r="W3153" i="1"/>
  <c r="X3153" i="1"/>
  <c r="Y3153" i="1"/>
  <c r="Z3153" i="1"/>
  <c r="A3154" i="1"/>
  <c r="B3154" i="1"/>
  <c r="C3154" i="1"/>
  <c r="D3154" i="1"/>
  <c r="E3154" i="1"/>
  <c r="F3154" i="1"/>
  <c r="G3154" i="1"/>
  <c r="I3154" i="1"/>
  <c r="J3154" i="1"/>
  <c r="K3154" i="1"/>
  <c r="L3154" i="1"/>
  <c r="M3154" i="1"/>
  <c r="N3154" i="1"/>
  <c r="O3154" i="1"/>
  <c r="P3154" i="1"/>
  <c r="Q3154" i="1"/>
  <c r="R3154" i="1"/>
  <c r="S3154" i="1"/>
  <c r="T3154" i="1"/>
  <c r="U3154" i="1"/>
  <c r="V3154" i="1"/>
  <c r="W3154" i="1"/>
  <c r="X3154" i="1"/>
  <c r="Y3154" i="1"/>
  <c r="Z3154" i="1"/>
  <c r="A3155" i="1"/>
  <c r="B3155" i="1"/>
  <c r="C3155" i="1"/>
  <c r="D3155" i="1"/>
  <c r="E3155" i="1"/>
  <c r="F3155" i="1"/>
  <c r="G3155" i="1"/>
  <c r="I3155" i="1"/>
  <c r="J3155" i="1"/>
  <c r="K3155" i="1"/>
  <c r="L3155" i="1"/>
  <c r="M3155" i="1"/>
  <c r="N3155" i="1"/>
  <c r="O3155" i="1"/>
  <c r="P3155" i="1"/>
  <c r="Q3155" i="1"/>
  <c r="R3155" i="1"/>
  <c r="S3155" i="1"/>
  <c r="T3155" i="1"/>
  <c r="U3155" i="1"/>
  <c r="V3155" i="1"/>
  <c r="W3155" i="1"/>
  <c r="X3155" i="1"/>
  <c r="Y3155" i="1"/>
  <c r="Z3155" i="1"/>
  <c r="A3156" i="1"/>
  <c r="B3156" i="1"/>
  <c r="C3156" i="1"/>
  <c r="D3156" i="1"/>
  <c r="E3156" i="1"/>
  <c r="F3156" i="1"/>
  <c r="G3156" i="1"/>
  <c r="I3156" i="1"/>
  <c r="J3156" i="1"/>
  <c r="K3156" i="1"/>
  <c r="L3156" i="1"/>
  <c r="M3156" i="1"/>
  <c r="N3156" i="1"/>
  <c r="O3156" i="1"/>
  <c r="P3156" i="1"/>
  <c r="Q3156" i="1"/>
  <c r="R3156" i="1"/>
  <c r="S3156" i="1"/>
  <c r="T3156" i="1"/>
  <c r="U3156" i="1"/>
  <c r="V3156" i="1"/>
  <c r="W3156" i="1"/>
  <c r="X3156" i="1"/>
  <c r="Y3156" i="1"/>
  <c r="Z3156" i="1"/>
  <c r="A3157" i="1"/>
  <c r="B3157" i="1"/>
  <c r="C3157" i="1"/>
  <c r="D3157" i="1"/>
  <c r="E3157" i="1"/>
  <c r="F3157" i="1"/>
  <c r="G3157" i="1"/>
  <c r="I3157" i="1"/>
  <c r="J3157" i="1"/>
  <c r="K3157" i="1"/>
  <c r="L3157" i="1"/>
  <c r="M3157" i="1"/>
  <c r="N3157" i="1"/>
  <c r="O3157" i="1"/>
  <c r="P3157" i="1"/>
  <c r="Q3157" i="1"/>
  <c r="R3157" i="1"/>
  <c r="S3157" i="1"/>
  <c r="T3157" i="1"/>
  <c r="U3157" i="1"/>
  <c r="V3157" i="1"/>
  <c r="W3157" i="1"/>
  <c r="X3157" i="1"/>
  <c r="Y3157" i="1"/>
  <c r="Z3157" i="1"/>
  <c r="A3158" i="1"/>
  <c r="B3158" i="1"/>
  <c r="C3158" i="1"/>
  <c r="D3158" i="1"/>
  <c r="E3158" i="1"/>
  <c r="F3158" i="1"/>
  <c r="G3158" i="1"/>
  <c r="I3158" i="1"/>
  <c r="J3158" i="1"/>
  <c r="K3158" i="1"/>
  <c r="L3158" i="1"/>
  <c r="M3158" i="1"/>
  <c r="N3158" i="1"/>
  <c r="O3158" i="1"/>
  <c r="P3158" i="1"/>
  <c r="Q3158" i="1"/>
  <c r="R3158" i="1"/>
  <c r="S3158" i="1"/>
  <c r="T3158" i="1"/>
  <c r="U3158" i="1"/>
  <c r="V3158" i="1"/>
  <c r="W3158" i="1"/>
  <c r="X3158" i="1"/>
  <c r="Y3158" i="1"/>
  <c r="Z3158" i="1"/>
  <c r="A3159" i="1"/>
  <c r="B3159" i="1"/>
  <c r="C3159" i="1"/>
  <c r="D3159" i="1"/>
  <c r="E3159" i="1"/>
  <c r="F3159" i="1"/>
  <c r="G3159" i="1"/>
  <c r="I3159" i="1"/>
  <c r="J3159" i="1"/>
  <c r="K3159" i="1"/>
  <c r="L3159" i="1"/>
  <c r="M3159" i="1"/>
  <c r="N3159" i="1"/>
  <c r="O3159" i="1"/>
  <c r="P3159" i="1"/>
  <c r="Q3159" i="1"/>
  <c r="R3159" i="1"/>
  <c r="S3159" i="1"/>
  <c r="T3159" i="1"/>
  <c r="U3159" i="1"/>
  <c r="V3159" i="1"/>
  <c r="W3159" i="1"/>
  <c r="X3159" i="1"/>
  <c r="Y3159" i="1"/>
  <c r="Z3159" i="1"/>
  <c r="A3160" i="1"/>
  <c r="B3160" i="1"/>
  <c r="C3160" i="1"/>
  <c r="D3160" i="1"/>
  <c r="E3160" i="1"/>
  <c r="F3160" i="1"/>
  <c r="G3160" i="1"/>
  <c r="I3160" i="1"/>
  <c r="J3160" i="1"/>
  <c r="K3160" i="1"/>
  <c r="L3160" i="1"/>
  <c r="M3160" i="1"/>
  <c r="N3160" i="1"/>
  <c r="O3160" i="1"/>
  <c r="P3160" i="1"/>
  <c r="Q3160" i="1"/>
  <c r="R3160" i="1"/>
  <c r="S3160" i="1"/>
  <c r="T3160" i="1"/>
  <c r="U3160" i="1"/>
  <c r="V3160" i="1"/>
  <c r="W3160" i="1"/>
  <c r="X3160" i="1"/>
  <c r="Y3160" i="1"/>
  <c r="Z3160" i="1"/>
  <c r="A3161" i="1"/>
  <c r="B3161" i="1"/>
  <c r="C3161" i="1"/>
  <c r="D3161" i="1"/>
  <c r="E3161" i="1"/>
  <c r="F3161" i="1"/>
  <c r="G3161" i="1"/>
  <c r="I3161" i="1"/>
  <c r="J3161" i="1"/>
  <c r="K3161" i="1"/>
  <c r="L3161" i="1"/>
  <c r="M3161" i="1"/>
  <c r="N3161" i="1"/>
  <c r="O3161" i="1"/>
  <c r="P3161" i="1"/>
  <c r="Q3161" i="1"/>
  <c r="R3161" i="1"/>
  <c r="S3161" i="1"/>
  <c r="T3161" i="1"/>
  <c r="U3161" i="1"/>
  <c r="V3161" i="1"/>
  <c r="W3161" i="1"/>
  <c r="X3161" i="1"/>
  <c r="Y3161" i="1"/>
  <c r="Z3161" i="1"/>
  <c r="A3162" i="1"/>
  <c r="B3162" i="1"/>
  <c r="C3162" i="1"/>
  <c r="D3162" i="1"/>
  <c r="E3162" i="1"/>
  <c r="F3162" i="1"/>
  <c r="G3162" i="1"/>
  <c r="I3162" i="1"/>
  <c r="J3162" i="1"/>
  <c r="K3162" i="1"/>
  <c r="L3162" i="1"/>
  <c r="M3162" i="1"/>
  <c r="N3162" i="1"/>
  <c r="O3162" i="1"/>
  <c r="P3162" i="1"/>
  <c r="Q3162" i="1"/>
  <c r="R3162" i="1"/>
  <c r="S3162" i="1"/>
  <c r="T3162" i="1"/>
  <c r="U3162" i="1"/>
  <c r="V3162" i="1"/>
  <c r="W3162" i="1"/>
  <c r="X3162" i="1"/>
  <c r="Y3162" i="1"/>
  <c r="Z3162" i="1"/>
  <c r="A3163" i="1"/>
  <c r="B3163" i="1"/>
  <c r="C3163" i="1"/>
  <c r="D3163" i="1"/>
  <c r="E3163" i="1"/>
  <c r="F3163" i="1"/>
  <c r="G3163" i="1"/>
  <c r="I3163" i="1"/>
  <c r="J3163" i="1"/>
  <c r="K3163" i="1"/>
  <c r="L3163" i="1"/>
  <c r="M3163" i="1"/>
  <c r="N3163" i="1"/>
  <c r="O3163" i="1"/>
  <c r="P3163" i="1"/>
  <c r="Q3163" i="1"/>
  <c r="R3163" i="1"/>
  <c r="S3163" i="1"/>
  <c r="T3163" i="1"/>
  <c r="U3163" i="1"/>
  <c r="V3163" i="1"/>
  <c r="W3163" i="1"/>
  <c r="X3163" i="1"/>
  <c r="Y3163" i="1"/>
  <c r="Z3163" i="1"/>
  <c r="A3164" i="1"/>
  <c r="B3164" i="1"/>
  <c r="C3164" i="1"/>
  <c r="D3164" i="1"/>
  <c r="E3164" i="1"/>
  <c r="F3164" i="1"/>
  <c r="G3164" i="1"/>
  <c r="I3164" i="1"/>
  <c r="J3164" i="1"/>
  <c r="K3164" i="1"/>
  <c r="L3164" i="1"/>
  <c r="M3164" i="1"/>
  <c r="N3164" i="1"/>
  <c r="O3164" i="1"/>
  <c r="P3164" i="1"/>
  <c r="Q3164" i="1"/>
  <c r="R3164" i="1"/>
  <c r="S3164" i="1"/>
  <c r="T3164" i="1"/>
  <c r="U3164" i="1"/>
  <c r="V3164" i="1"/>
  <c r="W3164" i="1"/>
  <c r="X3164" i="1"/>
  <c r="Y3164" i="1"/>
  <c r="Z3164" i="1"/>
  <c r="A3165" i="1"/>
  <c r="B3165" i="1"/>
  <c r="C3165" i="1"/>
  <c r="D3165" i="1"/>
  <c r="E3165" i="1"/>
  <c r="F3165" i="1"/>
  <c r="G3165" i="1"/>
  <c r="I3165" i="1"/>
  <c r="J3165" i="1"/>
  <c r="K3165" i="1"/>
  <c r="L3165" i="1"/>
  <c r="M3165" i="1"/>
  <c r="N3165" i="1"/>
  <c r="O3165" i="1"/>
  <c r="P3165" i="1"/>
  <c r="Q3165" i="1"/>
  <c r="R3165" i="1"/>
  <c r="S3165" i="1"/>
  <c r="T3165" i="1"/>
  <c r="U3165" i="1"/>
  <c r="V3165" i="1"/>
  <c r="W3165" i="1"/>
  <c r="X3165" i="1"/>
  <c r="Y3165" i="1"/>
  <c r="Z3165" i="1"/>
  <c r="A3166" i="1"/>
  <c r="B3166" i="1"/>
  <c r="C3166" i="1"/>
  <c r="D3166" i="1"/>
  <c r="E3166" i="1"/>
  <c r="F3166" i="1"/>
  <c r="G3166" i="1"/>
  <c r="I3166" i="1"/>
  <c r="J3166" i="1"/>
  <c r="K3166" i="1"/>
  <c r="L3166" i="1"/>
  <c r="M3166" i="1"/>
  <c r="N3166" i="1"/>
  <c r="O3166" i="1"/>
  <c r="P3166" i="1"/>
  <c r="Q3166" i="1"/>
  <c r="R3166" i="1"/>
  <c r="S3166" i="1"/>
  <c r="T3166" i="1"/>
  <c r="U3166" i="1"/>
  <c r="V3166" i="1"/>
  <c r="W3166" i="1"/>
  <c r="X3166" i="1"/>
  <c r="Y3166" i="1"/>
  <c r="Z3166" i="1"/>
  <c r="A3167" i="1"/>
  <c r="B3167" i="1"/>
  <c r="C3167" i="1"/>
  <c r="D3167" i="1"/>
  <c r="E3167" i="1"/>
  <c r="F3167" i="1"/>
  <c r="G3167" i="1"/>
  <c r="I3167" i="1"/>
  <c r="J3167" i="1"/>
  <c r="K3167" i="1"/>
  <c r="L3167" i="1"/>
  <c r="M3167" i="1"/>
  <c r="N3167" i="1"/>
  <c r="O3167" i="1"/>
  <c r="P3167" i="1"/>
  <c r="Q3167" i="1"/>
  <c r="R3167" i="1"/>
  <c r="S3167" i="1"/>
  <c r="T3167" i="1"/>
  <c r="U3167" i="1"/>
  <c r="V3167" i="1"/>
  <c r="W3167" i="1"/>
  <c r="X3167" i="1"/>
  <c r="Y3167" i="1"/>
  <c r="Z3167" i="1"/>
  <c r="A3168" i="1"/>
  <c r="B3168" i="1"/>
  <c r="C3168" i="1"/>
  <c r="D3168" i="1"/>
  <c r="E3168" i="1"/>
  <c r="F3168" i="1"/>
  <c r="G3168" i="1"/>
  <c r="I3168" i="1"/>
  <c r="J3168" i="1"/>
  <c r="K3168" i="1"/>
  <c r="L3168" i="1"/>
  <c r="M3168" i="1"/>
  <c r="N3168" i="1"/>
  <c r="O3168" i="1"/>
  <c r="P3168" i="1"/>
  <c r="Q3168" i="1"/>
  <c r="R3168" i="1"/>
  <c r="S3168" i="1"/>
  <c r="T3168" i="1"/>
  <c r="U3168" i="1"/>
  <c r="V3168" i="1"/>
  <c r="W3168" i="1"/>
  <c r="X3168" i="1"/>
  <c r="Y3168" i="1"/>
  <c r="Z3168" i="1"/>
  <c r="A3169" i="1"/>
  <c r="B3169" i="1"/>
  <c r="C3169" i="1"/>
  <c r="D3169" i="1"/>
  <c r="E3169" i="1"/>
  <c r="F3169" i="1"/>
  <c r="G3169" i="1"/>
  <c r="I3169" i="1"/>
  <c r="J3169" i="1"/>
  <c r="K3169" i="1"/>
  <c r="L3169" i="1"/>
  <c r="M3169" i="1"/>
  <c r="N3169" i="1"/>
  <c r="O3169" i="1"/>
  <c r="P3169" i="1"/>
  <c r="Q3169" i="1"/>
  <c r="R3169" i="1"/>
  <c r="S3169" i="1"/>
  <c r="T3169" i="1"/>
  <c r="U3169" i="1"/>
  <c r="V3169" i="1"/>
  <c r="W3169" i="1"/>
  <c r="X3169" i="1"/>
  <c r="Y3169" i="1"/>
  <c r="Z3169" i="1"/>
  <c r="A3170" i="1"/>
  <c r="B3170" i="1"/>
  <c r="C3170" i="1"/>
  <c r="D3170" i="1"/>
  <c r="E3170" i="1"/>
  <c r="F3170" i="1"/>
  <c r="G3170" i="1"/>
  <c r="I3170" i="1"/>
  <c r="J3170" i="1"/>
  <c r="K3170" i="1"/>
  <c r="L3170" i="1"/>
  <c r="M3170" i="1"/>
  <c r="N3170" i="1"/>
  <c r="O3170" i="1"/>
  <c r="P3170" i="1"/>
  <c r="Q3170" i="1"/>
  <c r="R3170" i="1"/>
  <c r="S3170" i="1"/>
  <c r="T3170" i="1"/>
  <c r="U3170" i="1"/>
  <c r="V3170" i="1"/>
  <c r="W3170" i="1"/>
  <c r="X3170" i="1"/>
  <c r="Y3170" i="1"/>
  <c r="Z3170" i="1"/>
  <c r="A3171" i="1"/>
  <c r="B3171" i="1"/>
  <c r="C3171" i="1"/>
  <c r="D3171" i="1"/>
  <c r="E3171" i="1"/>
  <c r="F3171" i="1"/>
  <c r="G3171" i="1"/>
  <c r="I3171" i="1"/>
  <c r="J3171" i="1"/>
  <c r="K3171" i="1"/>
  <c r="L3171" i="1"/>
  <c r="M3171" i="1"/>
  <c r="N3171" i="1"/>
  <c r="O3171" i="1"/>
  <c r="P3171" i="1"/>
  <c r="Q3171" i="1"/>
  <c r="R3171" i="1"/>
  <c r="S3171" i="1"/>
  <c r="T3171" i="1"/>
  <c r="U3171" i="1"/>
  <c r="V3171" i="1"/>
  <c r="W3171" i="1"/>
  <c r="X3171" i="1"/>
  <c r="Y3171" i="1"/>
  <c r="Z3171" i="1"/>
  <c r="A3172" i="1"/>
  <c r="B3172" i="1"/>
  <c r="C3172" i="1"/>
  <c r="D3172" i="1"/>
  <c r="E3172" i="1"/>
  <c r="F3172" i="1"/>
  <c r="G3172" i="1"/>
  <c r="I3172" i="1"/>
  <c r="J3172" i="1"/>
  <c r="K3172" i="1"/>
  <c r="L3172" i="1"/>
  <c r="M3172" i="1"/>
  <c r="N3172" i="1"/>
  <c r="O3172" i="1"/>
  <c r="P3172" i="1"/>
  <c r="Q3172" i="1"/>
  <c r="R3172" i="1"/>
  <c r="S3172" i="1"/>
  <c r="T3172" i="1"/>
  <c r="U3172" i="1"/>
  <c r="V3172" i="1"/>
  <c r="W3172" i="1"/>
  <c r="X3172" i="1"/>
  <c r="Y3172" i="1"/>
  <c r="Z3172" i="1"/>
  <c r="A3173" i="1"/>
  <c r="B3173" i="1"/>
  <c r="C3173" i="1"/>
  <c r="D3173" i="1"/>
  <c r="E3173" i="1"/>
  <c r="F3173" i="1"/>
  <c r="G3173" i="1"/>
  <c r="I3173" i="1"/>
  <c r="J3173" i="1"/>
  <c r="K3173" i="1"/>
  <c r="L3173" i="1"/>
  <c r="M3173" i="1"/>
  <c r="N3173" i="1"/>
  <c r="O3173" i="1"/>
  <c r="P3173" i="1"/>
  <c r="Q3173" i="1"/>
  <c r="R3173" i="1"/>
  <c r="S3173" i="1"/>
  <c r="T3173" i="1"/>
  <c r="U3173" i="1"/>
  <c r="V3173" i="1"/>
  <c r="W3173" i="1"/>
  <c r="X3173" i="1"/>
  <c r="Y3173" i="1"/>
  <c r="Z3173" i="1"/>
  <c r="A3174" i="1"/>
  <c r="B3174" i="1"/>
  <c r="C3174" i="1"/>
  <c r="D3174" i="1"/>
  <c r="E3174" i="1"/>
  <c r="F3174" i="1"/>
  <c r="G3174" i="1"/>
  <c r="I3174" i="1"/>
  <c r="J3174" i="1"/>
  <c r="K3174" i="1"/>
  <c r="L3174" i="1"/>
  <c r="M3174" i="1"/>
  <c r="N3174" i="1"/>
  <c r="O3174" i="1"/>
  <c r="P3174" i="1"/>
  <c r="Q3174" i="1"/>
  <c r="R3174" i="1"/>
  <c r="S3174" i="1"/>
  <c r="T3174" i="1"/>
  <c r="U3174" i="1"/>
  <c r="V3174" i="1"/>
  <c r="W3174" i="1"/>
  <c r="X3174" i="1"/>
  <c r="Y3174" i="1"/>
  <c r="Z3174" i="1"/>
  <c r="A3175" i="1"/>
  <c r="B3175" i="1"/>
  <c r="C3175" i="1"/>
  <c r="D3175" i="1"/>
  <c r="E3175" i="1"/>
  <c r="F3175" i="1"/>
  <c r="G3175" i="1"/>
  <c r="I3175" i="1"/>
  <c r="J3175" i="1"/>
  <c r="K3175" i="1"/>
  <c r="L3175" i="1"/>
  <c r="M3175" i="1"/>
  <c r="N3175" i="1"/>
  <c r="O3175" i="1"/>
  <c r="P3175" i="1"/>
  <c r="Q3175" i="1"/>
  <c r="R3175" i="1"/>
  <c r="S3175" i="1"/>
  <c r="T3175" i="1"/>
  <c r="U3175" i="1"/>
  <c r="V3175" i="1"/>
  <c r="W3175" i="1"/>
  <c r="X3175" i="1"/>
  <c r="Y3175" i="1"/>
  <c r="Z3175" i="1"/>
  <c r="A3176" i="1"/>
  <c r="B3176" i="1"/>
  <c r="C3176" i="1"/>
  <c r="D3176" i="1"/>
  <c r="E3176" i="1"/>
  <c r="F3176" i="1"/>
  <c r="G3176" i="1"/>
  <c r="I3176" i="1"/>
  <c r="J3176" i="1"/>
  <c r="K3176" i="1"/>
  <c r="L3176" i="1"/>
  <c r="M3176" i="1"/>
  <c r="N3176" i="1"/>
  <c r="O3176" i="1"/>
  <c r="P3176" i="1"/>
  <c r="Q3176" i="1"/>
  <c r="R3176" i="1"/>
  <c r="S3176" i="1"/>
  <c r="T3176" i="1"/>
  <c r="U3176" i="1"/>
  <c r="V3176" i="1"/>
  <c r="W3176" i="1"/>
  <c r="X3176" i="1"/>
  <c r="Y3176" i="1"/>
  <c r="Z3176" i="1"/>
  <c r="A3177" i="1"/>
  <c r="B3177" i="1"/>
  <c r="C3177" i="1"/>
  <c r="D3177" i="1"/>
  <c r="E3177" i="1"/>
  <c r="F3177" i="1"/>
  <c r="G3177" i="1"/>
  <c r="I3177" i="1"/>
  <c r="J3177" i="1"/>
  <c r="K3177" i="1"/>
  <c r="L3177" i="1"/>
  <c r="M3177" i="1"/>
  <c r="N3177" i="1"/>
  <c r="O3177" i="1"/>
  <c r="P3177" i="1"/>
  <c r="Q3177" i="1"/>
  <c r="R3177" i="1"/>
  <c r="S3177" i="1"/>
  <c r="T3177" i="1"/>
  <c r="U3177" i="1"/>
  <c r="V3177" i="1"/>
  <c r="W3177" i="1"/>
  <c r="X3177" i="1"/>
  <c r="Y3177" i="1"/>
  <c r="Z3177" i="1"/>
  <c r="A3178" i="1"/>
  <c r="B3178" i="1"/>
  <c r="C3178" i="1"/>
  <c r="D3178" i="1"/>
  <c r="E3178" i="1"/>
  <c r="F3178" i="1"/>
  <c r="G3178" i="1"/>
  <c r="I3178" i="1"/>
  <c r="J3178" i="1"/>
  <c r="K3178" i="1"/>
  <c r="L3178" i="1"/>
  <c r="M3178" i="1"/>
  <c r="N3178" i="1"/>
  <c r="O3178" i="1"/>
  <c r="P3178" i="1"/>
  <c r="Q3178" i="1"/>
  <c r="R3178" i="1"/>
  <c r="S3178" i="1"/>
  <c r="T3178" i="1"/>
  <c r="U3178" i="1"/>
  <c r="V3178" i="1"/>
  <c r="W3178" i="1"/>
  <c r="X3178" i="1"/>
  <c r="Y3178" i="1"/>
  <c r="Z3178" i="1"/>
  <c r="A3179" i="1"/>
  <c r="B3179" i="1"/>
  <c r="C3179" i="1"/>
  <c r="D3179" i="1"/>
  <c r="E3179" i="1"/>
  <c r="F3179" i="1"/>
  <c r="G3179" i="1"/>
  <c r="I3179" i="1"/>
  <c r="J3179" i="1"/>
  <c r="K3179" i="1"/>
  <c r="L3179" i="1"/>
  <c r="M3179" i="1"/>
  <c r="N3179" i="1"/>
  <c r="O3179" i="1"/>
  <c r="P3179" i="1"/>
  <c r="Q3179" i="1"/>
  <c r="R3179" i="1"/>
  <c r="S3179" i="1"/>
  <c r="T3179" i="1"/>
  <c r="U3179" i="1"/>
  <c r="V3179" i="1"/>
  <c r="W3179" i="1"/>
  <c r="X3179" i="1"/>
  <c r="Y3179" i="1"/>
  <c r="Z3179" i="1"/>
  <c r="A3180" i="1"/>
  <c r="B3180" i="1"/>
  <c r="C3180" i="1"/>
  <c r="D3180" i="1"/>
  <c r="E3180" i="1"/>
  <c r="F3180" i="1"/>
  <c r="G3180" i="1"/>
  <c r="I3180" i="1"/>
  <c r="J3180" i="1"/>
  <c r="K3180" i="1"/>
  <c r="L3180" i="1"/>
  <c r="M3180" i="1"/>
  <c r="N3180" i="1"/>
  <c r="O3180" i="1"/>
  <c r="P3180" i="1"/>
  <c r="Q3180" i="1"/>
  <c r="R3180" i="1"/>
  <c r="S3180" i="1"/>
  <c r="T3180" i="1"/>
  <c r="U3180" i="1"/>
  <c r="V3180" i="1"/>
  <c r="W3180" i="1"/>
  <c r="X3180" i="1"/>
  <c r="Y3180" i="1"/>
  <c r="Z3180" i="1"/>
  <c r="A3181" i="1"/>
  <c r="B3181" i="1"/>
  <c r="C3181" i="1"/>
  <c r="D3181" i="1"/>
  <c r="E3181" i="1"/>
  <c r="F3181" i="1"/>
  <c r="G3181" i="1"/>
  <c r="I3181" i="1"/>
  <c r="J3181" i="1"/>
  <c r="K3181" i="1"/>
  <c r="L3181" i="1"/>
  <c r="M3181" i="1"/>
  <c r="N3181" i="1"/>
  <c r="O3181" i="1"/>
  <c r="P3181" i="1"/>
  <c r="Q3181" i="1"/>
  <c r="R3181" i="1"/>
  <c r="S3181" i="1"/>
  <c r="T3181" i="1"/>
  <c r="U3181" i="1"/>
  <c r="V3181" i="1"/>
  <c r="W3181" i="1"/>
  <c r="X3181" i="1"/>
  <c r="Y3181" i="1"/>
  <c r="Z3181" i="1"/>
  <c r="A3182" i="1"/>
  <c r="B3182" i="1"/>
  <c r="C3182" i="1"/>
  <c r="D3182" i="1"/>
  <c r="E3182" i="1"/>
  <c r="F3182" i="1"/>
  <c r="G3182" i="1"/>
  <c r="I3182" i="1"/>
  <c r="J3182" i="1"/>
  <c r="K3182" i="1"/>
  <c r="L3182" i="1"/>
  <c r="M3182" i="1"/>
  <c r="N3182" i="1"/>
  <c r="O3182" i="1"/>
  <c r="P3182" i="1"/>
  <c r="Q3182" i="1"/>
  <c r="R3182" i="1"/>
  <c r="S3182" i="1"/>
  <c r="T3182" i="1"/>
  <c r="U3182" i="1"/>
  <c r="V3182" i="1"/>
  <c r="W3182" i="1"/>
  <c r="X3182" i="1"/>
  <c r="Y3182" i="1"/>
  <c r="Z3182" i="1"/>
  <c r="A3183" i="1"/>
  <c r="B3183" i="1"/>
  <c r="C3183" i="1"/>
  <c r="D3183" i="1"/>
  <c r="E3183" i="1"/>
  <c r="F3183" i="1"/>
  <c r="G3183" i="1"/>
  <c r="I3183" i="1"/>
  <c r="J3183" i="1"/>
  <c r="K3183" i="1"/>
  <c r="L3183" i="1"/>
  <c r="M3183" i="1"/>
  <c r="N3183" i="1"/>
  <c r="O3183" i="1"/>
  <c r="P3183" i="1"/>
  <c r="Q3183" i="1"/>
  <c r="R3183" i="1"/>
  <c r="S3183" i="1"/>
  <c r="T3183" i="1"/>
  <c r="U3183" i="1"/>
  <c r="V3183" i="1"/>
  <c r="W3183" i="1"/>
  <c r="X3183" i="1"/>
  <c r="Y3183" i="1"/>
  <c r="Z3183" i="1"/>
  <c r="A3184" i="1"/>
  <c r="B3184" i="1"/>
  <c r="C3184" i="1"/>
  <c r="D3184" i="1"/>
  <c r="E3184" i="1"/>
  <c r="F3184" i="1"/>
  <c r="G3184" i="1"/>
  <c r="I3184" i="1"/>
  <c r="J3184" i="1"/>
  <c r="K3184" i="1"/>
  <c r="L3184" i="1"/>
  <c r="M3184" i="1"/>
  <c r="N3184" i="1"/>
  <c r="O3184" i="1"/>
  <c r="P3184" i="1"/>
  <c r="Q3184" i="1"/>
  <c r="R3184" i="1"/>
  <c r="S3184" i="1"/>
  <c r="T3184" i="1"/>
  <c r="U3184" i="1"/>
  <c r="V3184" i="1"/>
  <c r="W3184" i="1"/>
  <c r="X3184" i="1"/>
  <c r="Y3184" i="1"/>
  <c r="Z3184" i="1"/>
  <c r="A3185" i="1"/>
  <c r="B3185" i="1"/>
  <c r="C3185" i="1"/>
  <c r="D3185" i="1"/>
  <c r="E3185" i="1"/>
  <c r="F3185" i="1"/>
  <c r="G3185" i="1"/>
  <c r="I3185" i="1"/>
  <c r="J3185" i="1"/>
  <c r="K3185" i="1"/>
  <c r="L3185" i="1"/>
  <c r="M3185" i="1"/>
  <c r="N3185" i="1"/>
  <c r="O3185" i="1"/>
  <c r="P3185" i="1"/>
  <c r="Q3185" i="1"/>
  <c r="R3185" i="1"/>
  <c r="S3185" i="1"/>
  <c r="T3185" i="1"/>
  <c r="U3185" i="1"/>
  <c r="V3185" i="1"/>
  <c r="W3185" i="1"/>
  <c r="X3185" i="1"/>
  <c r="Y3185" i="1"/>
  <c r="Z3185" i="1"/>
  <c r="A3186" i="1"/>
  <c r="B3186" i="1"/>
  <c r="C3186" i="1"/>
  <c r="D3186" i="1"/>
  <c r="E3186" i="1"/>
  <c r="F3186" i="1"/>
  <c r="G3186" i="1"/>
  <c r="I3186" i="1"/>
  <c r="J3186" i="1"/>
  <c r="K3186" i="1"/>
  <c r="L3186" i="1"/>
  <c r="M3186" i="1"/>
  <c r="N3186" i="1"/>
  <c r="O3186" i="1"/>
  <c r="P3186" i="1"/>
  <c r="Q3186" i="1"/>
  <c r="R3186" i="1"/>
  <c r="S3186" i="1"/>
  <c r="T3186" i="1"/>
  <c r="U3186" i="1"/>
  <c r="V3186" i="1"/>
  <c r="W3186" i="1"/>
  <c r="X3186" i="1"/>
  <c r="Y3186" i="1"/>
  <c r="Z3186" i="1"/>
  <c r="A3187" i="1"/>
  <c r="B3187" i="1"/>
  <c r="C3187" i="1"/>
  <c r="D3187" i="1"/>
  <c r="E3187" i="1"/>
  <c r="F3187" i="1"/>
  <c r="G3187" i="1"/>
  <c r="I3187" i="1"/>
  <c r="J3187" i="1"/>
  <c r="K3187" i="1"/>
  <c r="L3187" i="1"/>
  <c r="M3187" i="1"/>
  <c r="N3187" i="1"/>
  <c r="O3187" i="1"/>
  <c r="P3187" i="1"/>
  <c r="Q3187" i="1"/>
  <c r="R3187" i="1"/>
  <c r="S3187" i="1"/>
  <c r="T3187" i="1"/>
  <c r="U3187" i="1"/>
  <c r="V3187" i="1"/>
  <c r="W3187" i="1"/>
  <c r="X3187" i="1"/>
  <c r="Y3187" i="1"/>
  <c r="Z3187" i="1"/>
  <c r="A3188" i="1"/>
  <c r="B3188" i="1"/>
  <c r="C3188" i="1"/>
  <c r="D3188" i="1"/>
  <c r="E3188" i="1"/>
  <c r="F3188" i="1"/>
  <c r="G3188" i="1"/>
  <c r="I3188" i="1"/>
  <c r="J3188" i="1"/>
  <c r="K3188" i="1"/>
  <c r="L3188" i="1"/>
  <c r="M3188" i="1"/>
  <c r="N3188" i="1"/>
  <c r="O3188" i="1"/>
  <c r="P3188" i="1"/>
  <c r="Q3188" i="1"/>
  <c r="R3188" i="1"/>
  <c r="S3188" i="1"/>
  <c r="T3188" i="1"/>
  <c r="U3188" i="1"/>
  <c r="V3188" i="1"/>
  <c r="W3188" i="1"/>
  <c r="X3188" i="1"/>
  <c r="Y3188" i="1"/>
  <c r="Z3188" i="1"/>
  <c r="A3189" i="1"/>
  <c r="B3189" i="1"/>
  <c r="C3189" i="1"/>
  <c r="D3189" i="1"/>
  <c r="E3189" i="1"/>
  <c r="F3189" i="1"/>
  <c r="G3189" i="1"/>
  <c r="I3189" i="1"/>
  <c r="J3189" i="1"/>
  <c r="K3189" i="1"/>
  <c r="L3189" i="1"/>
  <c r="M3189" i="1"/>
  <c r="N3189" i="1"/>
  <c r="O3189" i="1"/>
  <c r="P3189" i="1"/>
  <c r="Q3189" i="1"/>
  <c r="R3189" i="1"/>
  <c r="S3189" i="1"/>
  <c r="T3189" i="1"/>
  <c r="U3189" i="1"/>
  <c r="V3189" i="1"/>
  <c r="W3189" i="1"/>
  <c r="X3189" i="1"/>
  <c r="Y3189" i="1"/>
  <c r="Z3189" i="1"/>
  <c r="A3190" i="1"/>
  <c r="B3190" i="1"/>
  <c r="C3190" i="1"/>
  <c r="D3190" i="1"/>
  <c r="E3190" i="1"/>
  <c r="F3190" i="1"/>
  <c r="G3190" i="1"/>
  <c r="I3190" i="1"/>
  <c r="J3190" i="1"/>
  <c r="K3190" i="1"/>
  <c r="L3190" i="1"/>
  <c r="M3190" i="1"/>
  <c r="N3190" i="1"/>
  <c r="O3190" i="1"/>
  <c r="P3190" i="1"/>
  <c r="Q3190" i="1"/>
  <c r="R3190" i="1"/>
  <c r="S3190" i="1"/>
  <c r="T3190" i="1"/>
  <c r="U3190" i="1"/>
  <c r="V3190" i="1"/>
  <c r="W3190" i="1"/>
  <c r="X3190" i="1"/>
  <c r="Y3190" i="1"/>
  <c r="Z3190" i="1"/>
  <c r="A3191" i="1"/>
  <c r="B3191" i="1"/>
  <c r="C3191" i="1"/>
  <c r="D3191" i="1"/>
  <c r="E3191" i="1"/>
  <c r="F3191" i="1"/>
  <c r="G3191" i="1"/>
  <c r="I3191" i="1"/>
  <c r="J3191" i="1"/>
  <c r="K3191" i="1"/>
  <c r="L3191" i="1"/>
  <c r="M3191" i="1"/>
  <c r="N3191" i="1"/>
  <c r="O3191" i="1"/>
  <c r="P3191" i="1"/>
  <c r="Q3191" i="1"/>
  <c r="R3191" i="1"/>
  <c r="S3191" i="1"/>
  <c r="T3191" i="1"/>
  <c r="U3191" i="1"/>
  <c r="V3191" i="1"/>
  <c r="W3191" i="1"/>
  <c r="X3191" i="1"/>
  <c r="Y3191" i="1"/>
  <c r="Z3191" i="1"/>
  <c r="A3192" i="1"/>
  <c r="B3192" i="1"/>
  <c r="C3192" i="1"/>
  <c r="D3192" i="1"/>
  <c r="E3192" i="1"/>
  <c r="F3192" i="1"/>
  <c r="G3192" i="1"/>
  <c r="I3192" i="1"/>
  <c r="J3192" i="1"/>
  <c r="K3192" i="1"/>
  <c r="L3192" i="1"/>
  <c r="M3192" i="1"/>
  <c r="N3192" i="1"/>
  <c r="O3192" i="1"/>
  <c r="P3192" i="1"/>
  <c r="Q3192" i="1"/>
  <c r="R3192" i="1"/>
  <c r="S3192" i="1"/>
  <c r="T3192" i="1"/>
  <c r="U3192" i="1"/>
  <c r="V3192" i="1"/>
  <c r="W3192" i="1"/>
  <c r="X3192" i="1"/>
  <c r="Y3192" i="1"/>
  <c r="Z3192" i="1"/>
  <c r="A3193" i="1"/>
  <c r="B3193" i="1"/>
  <c r="C3193" i="1"/>
  <c r="D3193" i="1"/>
  <c r="E3193" i="1"/>
  <c r="F3193" i="1"/>
  <c r="G3193" i="1"/>
  <c r="I3193" i="1"/>
  <c r="J3193" i="1"/>
  <c r="K3193" i="1"/>
  <c r="L3193" i="1"/>
  <c r="M3193" i="1"/>
  <c r="N3193" i="1"/>
  <c r="O3193" i="1"/>
  <c r="P3193" i="1"/>
  <c r="Q3193" i="1"/>
  <c r="R3193" i="1"/>
  <c r="S3193" i="1"/>
  <c r="T3193" i="1"/>
  <c r="U3193" i="1"/>
  <c r="V3193" i="1"/>
  <c r="W3193" i="1"/>
  <c r="X3193" i="1"/>
  <c r="Y3193" i="1"/>
  <c r="Z3193" i="1"/>
  <c r="A3194" i="1"/>
  <c r="B3194" i="1"/>
  <c r="C3194" i="1"/>
  <c r="D3194" i="1"/>
  <c r="E3194" i="1"/>
  <c r="F3194" i="1"/>
  <c r="G3194" i="1"/>
  <c r="I3194" i="1"/>
  <c r="J3194" i="1"/>
  <c r="K3194" i="1"/>
  <c r="L3194" i="1"/>
  <c r="M3194" i="1"/>
  <c r="N3194" i="1"/>
  <c r="O3194" i="1"/>
  <c r="P3194" i="1"/>
  <c r="Q3194" i="1"/>
  <c r="R3194" i="1"/>
  <c r="S3194" i="1"/>
  <c r="T3194" i="1"/>
  <c r="U3194" i="1"/>
  <c r="V3194" i="1"/>
  <c r="W3194" i="1"/>
  <c r="X3194" i="1"/>
  <c r="Y3194" i="1"/>
  <c r="Z3194" i="1"/>
  <c r="A3195" i="1"/>
  <c r="B3195" i="1"/>
  <c r="C3195" i="1"/>
  <c r="D3195" i="1"/>
  <c r="E3195" i="1"/>
  <c r="F3195" i="1"/>
  <c r="G3195" i="1"/>
  <c r="I3195" i="1"/>
  <c r="J3195" i="1"/>
  <c r="K3195" i="1"/>
  <c r="L3195" i="1"/>
  <c r="M3195" i="1"/>
  <c r="N3195" i="1"/>
  <c r="O3195" i="1"/>
  <c r="P3195" i="1"/>
  <c r="Q3195" i="1"/>
  <c r="R3195" i="1"/>
  <c r="S3195" i="1"/>
  <c r="T3195" i="1"/>
  <c r="U3195" i="1"/>
  <c r="V3195" i="1"/>
  <c r="W3195" i="1"/>
  <c r="X3195" i="1"/>
  <c r="Y3195" i="1"/>
  <c r="Z3195" i="1"/>
  <c r="A3196" i="1"/>
  <c r="B3196" i="1"/>
  <c r="C3196" i="1"/>
  <c r="D3196" i="1"/>
  <c r="E3196" i="1"/>
  <c r="F3196" i="1"/>
  <c r="G3196" i="1"/>
  <c r="I3196" i="1"/>
  <c r="J3196" i="1"/>
  <c r="K3196" i="1"/>
  <c r="L3196" i="1"/>
  <c r="M3196" i="1"/>
  <c r="N3196" i="1"/>
  <c r="O3196" i="1"/>
  <c r="P3196" i="1"/>
  <c r="Q3196" i="1"/>
  <c r="R3196" i="1"/>
  <c r="S3196" i="1"/>
  <c r="T3196" i="1"/>
  <c r="U3196" i="1"/>
  <c r="V3196" i="1"/>
  <c r="W3196" i="1"/>
  <c r="X3196" i="1"/>
  <c r="Y3196" i="1"/>
  <c r="Z3196" i="1"/>
  <c r="A3197" i="1"/>
  <c r="B3197" i="1"/>
  <c r="C3197" i="1"/>
  <c r="D3197" i="1"/>
  <c r="E3197" i="1"/>
  <c r="F3197" i="1"/>
  <c r="G3197" i="1"/>
  <c r="I3197" i="1"/>
  <c r="J3197" i="1"/>
  <c r="K3197" i="1"/>
  <c r="L3197" i="1"/>
  <c r="M3197" i="1"/>
  <c r="N3197" i="1"/>
  <c r="O3197" i="1"/>
  <c r="P3197" i="1"/>
  <c r="Q3197" i="1"/>
  <c r="R3197" i="1"/>
  <c r="S3197" i="1"/>
  <c r="T3197" i="1"/>
  <c r="U3197" i="1"/>
  <c r="V3197" i="1"/>
  <c r="W3197" i="1"/>
  <c r="X3197" i="1"/>
  <c r="Y3197" i="1"/>
  <c r="Z3197" i="1"/>
  <c r="A3198" i="1"/>
  <c r="B3198" i="1"/>
  <c r="C3198" i="1"/>
  <c r="D3198" i="1"/>
  <c r="E3198" i="1"/>
  <c r="F3198" i="1"/>
  <c r="G3198" i="1"/>
  <c r="I3198" i="1"/>
  <c r="J3198" i="1"/>
  <c r="K3198" i="1"/>
  <c r="L3198" i="1"/>
  <c r="M3198" i="1"/>
  <c r="N3198" i="1"/>
  <c r="O3198" i="1"/>
  <c r="P3198" i="1"/>
  <c r="Q3198" i="1"/>
  <c r="R3198" i="1"/>
  <c r="S3198" i="1"/>
  <c r="T3198" i="1"/>
  <c r="U3198" i="1"/>
  <c r="V3198" i="1"/>
  <c r="W3198" i="1"/>
  <c r="X3198" i="1"/>
  <c r="Y3198" i="1"/>
  <c r="Z3198" i="1"/>
  <c r="A3199" i="1"/>
  <c r="B3199" i="1"/>
  <c r="C3199" i="1"/>
  <c r="D3199" i="1"/>
  <c r="E3199" i="1"/>
  <c r="F3199" i="1"/>
  <c r="G3199" i="1"/>
  <c r="I3199" i="1"/>
  <c r="J3199" i="1"/>
  <c r="K3199" i="1"/>
  <c r="L3199" i="1"/>
  <c r="M3199" i="1"/>
  <c r="N3199" i="1"/>
  <c r="O3199" i="1"/>
  <c r="P3199" i="1"/>
  <c r="Q3199" i="1"/>
  <c r="R3199" i="1"/>
  <c r="S3199" i="1"/>
  <c r="T3199" i="1"/>
  <c r="U3199" i="1"/>
  <c r="V3199" i="1"/>
  <c r="W3199" i="1"/>
  <c r="X3199" i="1"/>
  <c r="Y3199" i="1"/>
  <c r="Z3199" i="1"/>
  <c r="A3200" i="1"/>
  <c r="B3200" i="1"/>
  <c r="C3200" i="1"/>
  <c r="D3200" i="1"/>
  <c r="E3200" i="1"/>
  <c r="F3200" i="1"/>
  <c r="G3200" i="1"/>
  <c r="I3200" i="1"/>
  <c r="J3200" i="1"/>
  <c r="K3200" i="1"/>
  <c r="L3200" i="1"/>
  <c r="M3200" i="1"/>
  <c r="N3200" i="1"/>
  <c r="O3200" i="1"/>
  <c r="P3200" i="1"/>
  <c r="Q3200" i="1"/>
  <c r="R3200" i="1"/>
  <c r="S3200" i="1"/>
  <c r="T3200" i="1"/>
  <c r="U3200" i="1"/>
  <c r="V3200" i="1"/>
  <c r="W3200" i="1"/>
  <c r="X3200" i="1"/>
  <c r="Y3200" i="1"/>
  <c r="Z3200" i="1"/>
  <c r="A3201" i="1"/>
  <c r="B3201" i="1"/>
  <c r="C3201" i="1"/>
  <c r="D3201" i="1"/>
  <c r="E3201" i="1"/>
  <c r="F3201" i="1"/>
  <c r="G3201" i="1"/>
  <c r="I3201" i="1"/>
  <c r="J3201" i="1"/>
  <c r="K3201" i="1"/>
  <c r="L3201" i="1"/>
  <c r="M3201" i="1"/>
  <c r="N3201" i="1"/>
  <c r="O3201" i="1"/>
  <c r="P3201" i="1"/>
  <c r="Q3201" i="1"/>
  <c r="R3201" i="1"/>
  <c r="S3201" i="1"/>
  <c r="T3201" i="1"/>
  <c r="U3201" i="1"/>
  <c r="V3201" i="1"/>
  <c r="W3201" i="1"/>
  <c r="X3201" i="1"/>
  <c r="Y3201" i="1"/>
  <c r="Z3201" i="1"/>
  <c r="A3202" i="1"/>
  <c r="B3202" i="1"/>
  <c r="C3202" i="1"/>
  <c r="D3202" i="1"/>
  <c r="E3202" i="1"/>
  <c r="F3202" i="1"/>
  <c r="G3202" i="1"/>
  <c r="I3202" i="1"/>
  <c r="J3202" i="1"/>
  <c r="K3202" i="1"/>
  <c r="L3202" i="1"/>
  <c r="M3202" i="1"/>
  <c r="N3202" i="1"/>
  <c r="O3202" i="1"/>
  <c r="P3202" i="1"/>
  <c r="Q3202" i="1"/>
  <c r="R3202" i="1"/>
  <c r="S3202" i="1"/>
  <c r="T3202" i="1"/>
  <c r="U3202" i="1"/>
  <c r="V3202" i="1"/>
  <c r="W3202" i="1"/>
  <c r="X3202" i="1"/>
  <c r="Y3202" i="1"/>
  <c r="Z3202" i="1"/>
  <c r="A3203" i="1"/>
  <c r="B3203" i="1"/>
  <c r="C3203" i="1"/>
  <c r="D3203" i="1"/>
  <c r="E3203" i="1"/>
  <c r="F3203" i="1"/>
  <c r="G3203" i="1"/>
  <c r="I3203" i="1"/>
  <c r="J3203" i="1"/>
  <c r="K3203" i="1"/>
  <c r="L3203" i="1"/>
  <c r="M3203" i="1"/>
  <c r="N3203" i="1"/>
  <c r="O3203" i="1"/>
  <c r="P3203" i="1"/>
  <c r="Q3203" i="1"/>
  <c r="R3203" i="1"/>
  <c r="S3203" i="1"/>
  <c r="T3203" i="1"/>
  <c r="U3203" i="1"/>
  <c r="V3203" i="1"/>
  <c r="W3203" i="1"/>
  <c r="X3203" i="1"/>
  <c r="Y3203" i="1"/>
  <c r="Z3203" i="1"/>
  <c r="A3204" i="1"/>
  <c r="B3204" i="1"/>
  <c r="C3204" i="1"/>
  <c r="D3204" i="1"/>
  <c r="E3204" i="1"/>
  <c r="F3204" i="1"/>
  <c r="G3204" i="1"/>
  <c r="I3204" i="1"/>
  <c r="J3204" i="1"/>
  <c r="K3204" i="1"/>
  <c r="L3204" i="1"/>
  <c r="M3204" i="1"/>
  <c r="N3204" i="1"/>
  <c r="O3204" i="1"/>
  <c r="P3204" i="1"/>
  <c r="Q3204" i="1"/>
  <c r="R3204" i="1"/>
  <c r="S3204" i="1"/>
  <c r="T3204" i="1"/>
  <c r="U3204" i="1"/>
  <c r="V3204" i="1"/>
  <c r="W3204" i="1"/>
  <c r="X3204" i="1"/>
  <c r="Y3204" i="1"/>
  <c r="Z3204" i="1"/>
  <c r="A3205" i="1"/>
  <c r="B3205" i="1"/>
  <c r="C3205" i="1"/>
  <c r="D3205" i="1"/>
  <c r="E3205" i="1"/>
  <c r="F3205" i="1"/>
  <c r="G3205" i="1"/>
  <c r="I3205" i="1"/>
  <c r="J3205" i="1"/>
  <c r="K3205" i="1"/>
  <c r="L3205" i="1"/>
  <c r="M3205" i="1"/>
  <c r="N3205" i="1"/>
  <c r="O3205" i="1"/>
  <c r="P3205" i="1"/>
  <c r="Q3205" i="1"/>
  <c r="R3205" i="1"/>
  <c r="S3205" i="1"/>
  <c r="T3205" i="1"/>
  <c r="U3205" i="1"/>
  <c r="V3205" i="1"/>
  <c r="W3205" i="1"/>
  <c r="X3205" i="1"/>
  <c r="Y3205" i="1"/>
  <c r="Z3205" i="1"/>
  <c r="A3206" i="1"/>
  <c r="B3206" i="1"/>
  <c r="C3206" i="1"/>
  <c r="D3206" i="1"/>
  <c r="E3206" i="1"/>
  <c r="F3206" i="1"/>
  <c r="G3206" i="1"/>
  <c r="I3206" i="1"/>
  <c r="J3206" i="1"/>
  <c r="K3206" i="1"/>
  <c r="L3206" i="1"/>
  <c r="M3206" i="1"/>
  <c r="N3206" i="1"/>
  <c r="O3206" i="1"/>
  <c r="P3206" i="1"/>
  <c r="Q3206" i="1"/>
  <c r="R3206" i="1"/>
  <c r="S3206" i="1"/>
  <c r="T3206" i="1"/>
  <c r="U3206" i="1"/>
  <c r="V3206" i="1"/>
  <c r="W3206" i="1"/>
  <c r="X3206" i="1"/>
  <c r="Y3206" i="1"/>
  <c r="Z3206" i="1"/>
  <c r="A3207" i="1"/>
  <c r="B3207" i="1"/>
  <c r="C3207" i="1"/>
  <c r="D3207" i="1"/>
  <c r="E3207" i="1"/>
  <c r="F3207" i="1"/>
  <c r="G3207" i="1"/>
  <c r="I3207" i="1"/>
  <c r="J3207" i="1"/>
  <c r="K3207" i="1"/>
  <c r="L3207" i="1"/>
  <c r="M3207" i="1"/>
  <c r="N3207" i="1"/>
  <c r="O3207" i="1"/>
  <c r="P3207" i="1"/>
  <c r="Q3207" i="1"/>
  <c r="R3207" i="1"/>
  <c r="S3207" i="1"/>
  <c r="T3207" i="1"/>
  <c r="U3207" i="1"/>
  <c r="V3207" i="1"/>
  <c r="W3207" i="1"/>
  <c r="X3207" i="1"/>
  <c r="Y3207" i="1"/>
  <c r="Z3207" i="1"/>
  <c r="A3208" i="1"/>
  <c r="B3208" i="1"/>
  <c r="C3208" i="1"/>
  <c r="D3208" i="1"/>
  <c r="E3208" i="1"/>
  <c r="F3208" i="1"/>
  <c r="G3208" i="1"/>
  <c r="I3208" i="1"/>
  <c r="J3208" i="1"/>
  <c r="K3208" i="1"/>
  <c r="L3208" i="1"/>
  <c r="M3208" i="1"/>
  <c r="N3208" i="1"/>
  <c r="O3208" i="1"/>
  <c r="P3208" i="1"/>
  <c r="Q3208" i="1"/>
  <c r="R3208" i="1"/>
  <c r="S3208" i="1"/>
  <c r="T3208" i="1"/>
  <c r="U3208" i="1"/>
  <c r="V3208" i="1"/>
  <c r="W3208" i="1"/>
  <c r="X3208" i="1"/>
  <c r="Y3208" i="1"/>
  <c r="Z3208" i="1"/>
  <c r="A3209" i="1"/>
  <c r="B3209" i="1"/>
  <c r="C3209" i="1"/>
  <c r="D3209" i="1"/>
  <c r="E3209" i="1"/>
  <c r="F3209" i="1"/>
  <c r="G3209" i="1"/>
  <c r="I3209" i="1"/>
  <c r="J3209" i="1"/>
  <c r="K3209" i="1"/>
  <c r="L3209" i="1"/>
  <c r="M3209" i="1"/>
  <c r="N3209" i="1"/>
  <c r="O3209" i="1"/>
  <c r="P3209" i="1"/>
  <c r="Q3209" i="1"/>
  <c r="R3209" i="1"/>
  <c r="S3209" i="1"/>
  <c r="T3209" i="1"/>
  <c r="U3209" i="1"/>
  <c r="V3209" i="1"/>
  <c r="W3209" i="1"/>
  <c r="X3209" i="1"/>
  <c r="Y3209" i="1"/>
  <c r="Z3209" i="1"/>
  <c r="A3210" i="1"/>
  <c r="B3210" i="1"/>
  <c r="C3210" i="1"/>
  <c r="D3210" i="1"/>
  <c r="E3210" i="1"/>
  <c r="F3210" i="1"/>
  <c r="G3210" i="1"/>
  <c r="I3210" i="1"/>
  <c r="J3210" i="1"/>
  <c r="K3210" i="1"/>
  <c r="L3210" i="1"/>
  <c r="M3210" i="1"/>
  <c r="N3210" i="1"/>
  <c r="O3210" i="1"/>
  <c r="P3210" i="1"/>
  <c r="Q3210" i="1"/>
  <c r="R3210" i="1"/>
  <c r="S3210" i="1"/>
  <c r="T3210" i="1"/>
  <c r="U3210" i="1"/>
  <c r="V3210" i="1"/>
  <c r="W3210" i="1"/>
  <c r="X3210" i="1"/>
  <c r="Y3210" i="1"/>
  <c r="Z3210" i="1"/>
  <c r="A3211" i="1"/>
  <c r="B3211" i="1"/>
  <c r="C3211" i="1"/>
  <c r="D3211" i="1"/>
  <c r="E3211" i="1"/>
  <c r="F3211" i="1"/>
  <c r="G3211" i="1"/>
  <c r="I3211" i="1"/>
  <c r="J3211" i="1"/>
  <c r="K3211" i="1"/>
  <c r="L3211" i="1"/>
  <c r="M3211" i="1"/>
  <c r="N3211" i="1"/>
  <c r="O3211" i="1"/>
  <c r="P3211" i="1"/>
  <c r="Q3211" i="1"/>
  <c r="R3211" i="1"/>
  <c r="S3211" i="1"/>
  <c r="T3211" i="1"/>
  <c r="U3211" i="1"/>
  <c r="V3211" i="1"/>
  <c r="W3211" i="1"/>
  <c r="X3211" i="1"/>
  <c r="Y3211" i="1"/>
  <c r="Z3211" i="1"/>
  <c r="A3212" i="1"/>
  <c r="B3212" i="1"/>
  <c r="C3212" i="1"/>
  <c r="D3212" i="1"/>
  <c r="E3212" i="1"/>
  <c r="F3212" i="1"/>
  <c r="G3212" i="1"/>
  <c r="I3212" i="1"/>
  <c r="J3212" i="1"/>
  <c r="K3212" i="1"/>
  <c r="L3212" i="1"/>
  <c r="M3212" i="1"/>
  <c r="N3212" i="1"/>
  <c r="O3212" i="1"/>
  <c r="P3212" i="1"/>
  <c r="Q3212" i="1"/>
  <c r="R3212" i="1"/>
  <c r="S3212" i="1"/>
  <c r="T3212" i="1"/>
  <c r="U3212" i="1"/>
  <c r="V3212" i="1"/>
  <c r="W3212" i="1"/>
  <c r="X3212" i="1"/>
  <c r="Y3212" i="1"/>
  <c r="Z3212" i="1"/>
  <c r="A3213" i="1"/>
  <c r="B3213" i="1"/>
  <c r="C3213" i="1"/>
  <c r="D3213" i="1"/>
  <c r="E3213" i="1"/>
  <c r="F3213" i="1"/>
  <c r="G3213" i="1"/>
  <c r="I3213" i="1"/>
  <c r="J3213" i="1"/>
  <c r="K3213" i="1"/>
  <c r="L3213" i="1"/>
  <c r="M3213" i="1"/>
  <c r="N3213" i="1"/>
  <c r="O3213" i="1"/>
  <c r="P3213" i="1"/>
  <c r="Q3213" i="1"/>
  <c r="R3213" i="1"/>
  <c r="S3213" i="1"/>
  <c r="T3213" i="1"/>
  <c r="U3213" i="1"/>
  <c r="V3213" i="1"/>
  <c r="W3213" i="1"/>
  <c r="X3213" i="1"/>
  <c r="Y3213" i="1"/>
  <c r="Z3213" i="1"/>
  <c r="A3214" i="1"/>
  <c r="B3214" i="1"/>
  <c r="C3214" i="1"/>
  <c r="D3214" i="1"/>
  <c r="E3214" i="1"/>
  <c r="F3214" i="1"/>
  <c r="G3214" i="1"/>
  <c r="I3214" i="1"/>
  <c r="J3214" i="1"/>
  <c r="K3214" i="1"/>
  <c r="L3214" i="1"/>
  <c r="M3214" i="1"/>
  <c r="N3214" i="1"/>
  <c r="O3214" i="1"/>
  <c r="P3214" i="1"/>
  <c r="Q3214" i="1"/>
  <c r="R3214" i="1"/>
  <c r="S3214" i="1"/>
  <c r="T3214" i="1"/>
  <c r="U3214" i="1"/>
  <c r="V3214" i="1"/>
  <c r="W3214" i="1"/>
  <c r="X3214" i="1"/>
  <c r="Y3214" i="1"/>
  <c r="Z3214" i="1"/>
  <c r="A3215" i="1"/>
  <c r="B3215" i="1"/>
  <c r="C3215" i="1"/>
  <c r="D3215" i="1"/>
  <c r="E3215" i="1"/>
  <c r="F3215" i="1"/>
  <c r="G3215" i="1"/>
  <c r="I3215" i="1"/>
  <c r="J3215" i="1"/>
  <c r="K3215" i="1"/>
  <c r="L3215" i="1"/>
  <c r="M3215" i="1"/>
  <c r="N3215" i="1"/>
  <c r="O3215" i="1"/>
  <c r="P3215" i="1"/>
  <c r="Q3215" i="1"/>
  <c r="R3215" i="1"/>
  <c r="S3215" i="1"/>
  <c r="T3215" i="1"/>
  <c r="U3215" i="1"/>
  <c r="V3215" i="1"/>
  <c r="W3215" i="1"/>
  <c r="X3215" i="1"/>
  <c r="Y3215" i="1"/>
  <c r="Z3215" i="1"/>
  <c r="A3216" i="1"/>
  <c r="B3216" i="1"/>
  <c r="C3216" i="1"/>
  <c r="D3216" i="1"/>
  <c r="E3216" i="1"/>
  <c r="F3216" i="1"/>
  <c r="G3216" i="1"/>
  <c r="I3216" i="1"/>
  <c r="J3216" i="1"/>
  <c r="K3216" i="1"/>
  <c r="L3216" i="1"/>
  <c r="M3216" i="1"/>
  <c r="N3216" i="1"/>
  <c r="O3216" i="1"/>
  <c r="P3216" i="1"/>
  <c r="Q3216" i="1"/>
  <c r="R3216" i="1"/>
  <c r="S3216" i="1"/>
  <c r="T3216" i="1"/>
  <c r="U3216" i="1"/>
  <c r="V3216" i="1"/>
  <c r="W3216" i="1"/>
  <c r="X3216" i="1"/>
  <c r="Y3216" i="1"/>
  <c r="Z3216" i="1"/>
  <c r="A3217" i="1"/>
  <c r="B3217" i="1"/>
  <c r="C3217" i="1"/>
  <c r="D3217" i="1"/>
  <c r="E3217" i="1"/>
  <c r="F3217" i="1"/>
  <c r="G3217" i="1"/>
  <c r="I3217" i="1"/>
  <c r="J3217" i="1"/>
  <c r="K3217" i="1"/>
  <c r="L3217" i="1"/>
  <c r="M3217" i="1"/>
  <c r="N3217" i="1"/>
  <c r="O3217" i="1"/>
  <c r="P3217" i="1"/>
  <c r="Q3217" i="1"/>
  <c r="R3217" i="1"/>
  <c r="S3217" i="1"/>
  <c r="T3217" i="1"/>
  <c r="U3217" i="1"/>
  <c r="V3217" i="1"/>
  <c r="W3217" i="1"/>
  <c r="X3217" i="1"/>
  <c r="Y3217" i="1"/>
  <c r="Z3217" i="1"/>
  <c r="A3218" i="1"/>
  <c r="B3218" i="1"/>
  <c r="C3218" i="1"/>
  <c r="D3218" i="1"/>
  <c r="E3218" i="1"/>
  <c r="F3218" i="1"/>
  <c r="G3218" i="1"/>
  <c r="I3218" i="1"/>
  <c r="J3218" i="1"/>
  <c r="K3218" i="1"/>
  <c r="L3218" i="1"/>
  <c r="M3218" i="1"/>
  <c r="N3218" i="1"/>
  <c r="O3218" i="1"/>
  <c r="P3218" i="1"/>
  <c r="Q3218" i="1"/>
  <c r="R3218" i="1"/>
  <c r="S3218" i="1"/>
  <c r="T3218" i="1"/>
  <c r="U3218" i="1"/>
  <c r="V3218" i="1"/>
  <c r="W3218" i="1"/>
  <c r="X3218" i="1"/>
  <c r="Y3218" i="1"/>
  <c r="Z3218" i="1"/>
  <c r="A3219" i="1"/>
  <c r="B3219" i="1"/>
  <c r="C3219" i="1"/>
  <c r="D3219" i="1"/>
  <c r="E3219" i="1"/>
  <c r="F3219" i="1"/>
  <c r="G3219" i="1"/>
  <c r="I3219" i="1"/>
  <c r="J3219" i="1"/>
  <c r="K3219" i="1"/>
  <c r="L3219" i="1"/>
  <c r="M3219" i="1"/>
  <c r="N3219" i="1"/>
  <c r="O3219" i="1"/>
  <c r="P3219" i="1"/>
  <c r="Q3219" i="1"/>
  <c r="R3219" i="1"/>
  <c r="S3219" i="1"/>
  <c r="T3219" i="1"/>
  <c r="U3219" i="1"/>
  <c r="V3219" i="1"/>
  <c r="W3219" i="1"/>
  <c r="X3219" i="1"/>
  <c r="Y3219" i="1"/>
  <c r="Z3219" i="1"/>
  <c r="A3220" i="1"/>
  <c r="B3220" i="1"/>
  <c r="C3220" i="1"/>
  <c r="D3220" i="1"/>
  <c r="E3220" i="1"/>
  <c r="F3220" i="1"/>
  <c r="G3220" i="1"/>
  <c r="I3220" i="1"/>
  <c r="J3220" i="1"/>
  <c r="K3220" i="1"/>
  <c r="L3220" i="1"/>
  <c r="M3220" i="1"/>
  <c r="N3220" i="1"/>
  <c r="O3220" i="1"/>
  <c r="P3220" i="1"/>
  <c r="Q3220" i="1"/>
  <c r="R3220" i="1"/>
  <c r="S3220" i="1"/>
  <c r="T3220" i="1"/>
  <c r="U3220" i="1"/>
  <c r="V3220" i="1"/>
  <c r="W3220" i="1"/>
  <c r="X3220" i="1"/>
  <c r="Y3220" i="1"/>
  <c r="Z3220" i="1"/>
  <c r="A3221" i="1"/>
  <c r="B3221" i="1"/>
  <c r="C3221" i="1"/>
  <c r="D3221" i="1"/>
  <c r="E3221" i="1"/>
  <c r="F3221" i="1"/>
  <c r="G3221" i="1"/>
  <c r="I3221" i="1"/>
  <c r="J3221" i="1"/>
  <c r="K3221" i="1"/>
  <c r="L3221" i="1"/>
  <c r="M3221" i="1"/>
  <c r="N3221" i="1"/>
  <c r="O3221" i="1"/>
  <c r="P3221" i="1"/>
  <c r="Q3221" i="1"/>
  <c r="R3221" i="1"/>
  <c r="S3221" i="1"/>
  <c r="T3221" i="1"/>
  <c r="U3221" i="1"/>
  <c r="V3221" i="1"/>
  <c r="W3221" i="1"/>
  <c r="X3221" i="1"/>
  <c r="Y3221" i="1"/>
  <c r="Z3221" i="1"/>
  <c r="A3222" i="1"/>
  <c r="B3222" i="1"/>
  <c r="C3222" i="1"/>
  <c r="D3222" i="1"/>
  <c r="E3222" i="1"/>
  <c r="F3222" i="1"/>
  <c r="G3222" i="1"/>
  <c r="I3222" i="1"/>
  <c r="J3222" i="1"/>
  <c r="K3222" i="1"/>
  <c r="L3222" i="1"/>
  <c r="M3222" i="1"/>
  <c r="N3222" i="1"/>
  <c r="O3222" i="1"/>
  <c r="P3222" i="1"/>
  <c r="Q3222" i="1"/>
  <c r="R3222" i="1"/>
  <c r="S3222" i="1"/>
  <c r="T3222" i="1"/>
  <c r="U3222" i="1"/>
  <c r="V3222" i="1"/>
  <c r="W3222" i="1"/>
  <c r="X3222" i="1"/>
  <c r="Y3222" i="1"/>
  <c r="Z3222" i="1"/>
  <c r="A3223" i="1"/>
  <c r="B3223" i="1"/>
  <c r="C3223" i="1"/>
  <c r="D3223" i="1"/>
  <c r="E3223" i="1"/>
  <c r="F3223" i="1"/>
  <c r="G3223" i="1"/>
  <c r="I3223" i="1"/>
  <c r="J3223" i="1"/>
  <c r="K3223" i="1"/>
  <c r="L3223" i="1"/>
  <c r="M3223" i="1"/>
  <c r="N3223" i="1"/>
  <c r="O3223" i="1"/>
  <c r="P3223" i="1"/>
  <c r="Q3223" i="1"/>
  <c r="R3223" i="1"/>
  <c r="S3223" i="1"/>
  <c r="T3223" i="1"/>
  <c r="U3223" i="1"/>
  <c r="V3223" i="1"/>
  <c r="W3223" i="1"/>
  <c r="X3223" i="1"/>
  <c r="Y3223" i="1"/>
  <c r="Z3223" i="1"/>
  <c r="A3224" i="1"/>
  <c r="B3224" i="1"/>
  <c r="C3224" i="1"/>
  <c r="D3224" i="1"/>
  <c r="E3224" i="1"/>
  <c r="F3224" i="1"/>
  <c r="G3224" i="1"/>
  <c r="I3224" i="1"/>
  <c r="J3224" i="1"/>
  <c r="K3224" i="1"/>
  <c r="L3224" i="1"/>
  <c r="M3224" i="1"/>
  <c r="N3224" i="1"/>
  <c r="O3224" i="1"/>
  <c r="P3224" i="1"/>
  <c r="Q3224" i="1"/>
  <c r="R3224" i="1"/>
  <c r="S3224" i="1"/>
  <c r="T3224" i="1"/>
  <c r="U3224" i="1"/>
  <c r="V3224" i="1"/>
  <c r="W3224" i="1"/>
  <c r="X3224" i="1"/>
  <c r="Y3224" i="1"/>
  <c r="Z3224" i="1"/>
  <c r="A3225" i="1"/>
  <c r="B3225" i="1"/>
  <c r="C3225" i="1"/>
  <c r="D3225" i="1"/>
  <c r="E3225" i="1"/>
  <c r="F3225" i="1"/>
  <c r="G3225" i="1"/>
  <c r="I3225" i="1"/>
  <c r="J3225" i="1"/>
  <c r="K3225" i="1"/>
  <c r="L3225" i="1"/>
  <c r="M3225" i="1"/>
  <c r="N3225" i="1"/>
  <c r="O3225" i="1"/>
  <c r="P3225" i="1"/>
  <c r="Q3225" i="1"/>
  <c r="R3225" i="1"/>
  <c r="S3225" i="1"/>
  <c r="T3225" i="1"/>
  <c r="U3225" i="1"/>
  <c r="V3225" i="1"/>
  <c r="W3225" i="1"/>
  <c r="X3225" i="1"/>
  <c r="Y3225" i="1"/>
  <c r="Z3225" i="1"/>
  <c r="A3226" i="1"/>
  <c r="B3226" i="1"/>
  <c r="C3226" i="1"/>
  <c r="D3226" i="1"/>
  <c r="E3226" i="1"/>
  <c r="F3226" i="1"/>
  <c r="G3226" i="1"/>
  <c r="I3226" i="1"/>
  <c r="J3226" i="1"/>
  <c r="K3226" i="1"/>
  <c r="L3226" i="1"/>
  <c r="M3226" i="1"/>
  <c r="N3226" i="1"/>
  <c r="O3226" i="1"/>
  <c r="P3226" i="1"/>
  <c r="Q3226" i="1"/>
  <c r="R3226" i="1"/>
  <c r="S3226" i="1"/>
  <c r="T3226" i="1"/>
  <c r="U3226" i="1"/>
  <c r="V3226" i="1"/>
  <c r="W3226" i="1"/>
  <c r="X3226" i="1"/>
  <c r="Y3226" i="1"/>
  <c r="Z3226" i="1"/>
  <c r="A3227" i="1"/>
  <c r="B3227" i="1"/>
  <c r="C3227" i="1"/>
  <c r="D3227" i="1"/>
  <c r="E3227" i="1"/>
  <c r="F3227" i="1"/>
  <c r="G3227" i="1"/>
  <c r="I3227" i="1"/>
  <c r="J3227" i="1"/>
  <c r="K3227" i="1"/>
  <c r="L3227" i="1"/>
  <c r="M3227" i="1"/>
  <c r="N3227" i="1"/>
  <c r="O3227" i="1"/>
  <c r="P3227" i="1"/>
  <c r="Q3227" i="1"/>
  <c r="R3227" i="1"/>
  <c r="S3227" i="1"/>
  <c r="T3227" i="1"/>
  <c r="U3227" i="1"/>
  <c r="V3227" i="1"/>
  <c r="W3227" i="1"/>
  <c r="X3227" i="1"/>
  <c r="Y3227" i="1"/>
  <c r="Z3227" i="1"/>
  <c r="A3228" i="1"/>
  <c r="B3228" i="1"/>
  <c r="C3228" i="1"/>
  <c r="D3228" i="1"/>
  <c r="E3228" i="1"/>
  <c r="F3228" i="1"/>
  <c r="G3228" i="1"/>
  <c r="I3228" i="1"/>
  <c r="J3228" i="1"/>
  <c r="K3228" i="1"/>
  <c r="L3228" i="1"/>
  <c r="M3228" i="1"/>
  <c r="N3228" i="1"/>
  <c r="O3228" i="1"/>
  <c r="P3228" i="1"/>
  <c r="Q3228" i="1"/>
  <c r="R3228" i="1"/>
  <c r="S3228" i="1"/>
  <c r="T3228" i="1"/>
  <c r="U3228" i="1"/>
  <c r="V3228" i="1"/>
  <c r="W3228" i="1"/>
  <c r="X3228" i="1"/>
  <c r="Y3228" i="1"/>
  <c r="Z3228" i="1"/>
  <c r="A3229" i="1"/>
  <c r="B3229" i="1"/>
  <c r="C3229" i="1"/>
  <c r="D3229" i="1"/>
  <c r="E3229" i="1"/>
  <c r="F3229" i="1"/>
  <c r="G3229" i="1"/>
  <c r="I3229" i="1"/>
  <c r="J3229" i="1"/>
  <c r="K3229" i="1"/>
  <c r="L3229" i="1"/>
  <c r="M3229" i="1"/>
  <c r="N3229" i="1"/>
  <c r="O3229" i="1"/>
  <c r="P3229" i="1"/>
  <c r="Q3229" i="1"/>
  <c r="R3229" i="1"/>
  <c r="S3229" i="1"/>
  <c r="T3229" i="1"/>
  <c r="U3229" i="1"/>
  <c r="V3229" i="1"/>
  <c r="W3229" i="1"/>
  <c r="X3229" i="1"/>
  <c r="Y3229" i="1"/>
  <c r="Z3229" i="1"/>
  <c r="A3230" i="1"/>
  <c r="B3230" i="1"/>
  <c r="C3230" i="1"/>
  <c r="D3230" i="1"/>
  <c r="E3230" i="1"/>
  <c r="F3230" i="1"/>
  <c r="G3230" i="1"/>
  <c r="I3230" i="1"/>
  <c r="J3230" i="1"/>
  <c r="K3230" i="1"/>
  <c r="L3230" i="1"/>
  <c r="M3230" i="1"/>
  <c r="N3230" i="1"/>
  <c r="O3230" i="1"/>
  <c r="P3230" i="1"/>
  <c r="Q3230" i="1"/>
  <c r="R3230" i="1"/>
  <c r="S3230" i="1"/>
  <c r="T3230" i="1"/>
  <c r="U3230" i="1"/>
  <c r="V3230" i="1"/>
  <c r="W3230" i="1"/>
  <c r="X3230" i="1"/>
  <c r="Y3230" i="1"/>
  <c r="Z3230" i="1"/>
  <c r="A3231" i="1"/>
  <c r="B3231" i="1"/>
  <c r="C3231" i="1"/>
  <c r="D3231" i="1"/>
  <c r="E3231" i="1"/>
  <c r="F3231" i="1"/>
  <c r="G3231" i="1"/>
  <c r="I3231" i="1"/>
  <c r="J3231" i="1"/>
  <c r="K3231" i="1"/>
  <c r="L3231" i="1"/>
  <c r="M3231" i="1"/>
  <c r="N3231" i="1"/>
  <c r="O3231" i="1"/>
  <c r="P3231" i="1"/>
  <c r="Q3231" i="1"/>
  <c r="R3231" i="1"/>
  <c r="S3231" i="1"/>
  <c r="T3231" i="1"/>
  <c r="U3231" i="1"/>
  <c r="V3231" i="1"/>
  <c r="W3231" i="1"/>
  <c r="X3231" i="1"/>
  <c r="Y3231" i="1"/>
  <c r="Z3231" i="1"/>
  <c r="A3232" i="1"/>
  <c r="B3232" i="1"/>
  <c r="C3232" i="1"/>
  <c r="D3232" i="1"/>
  <c r="E3232" i="1"/>
  <c r="F3232" i="1"/>
  <c r="G3232" i="1"/>
  <c r="I3232" i="1"/>
  <c r="J3232" i="1"/>
  <c r="K3232" i="1"/>
  <c r="L3232" i="1"/>
  <c r="M3232" i="1"/>
  <c r="N3232" i="1"/>
  <c r="O3232" i="1"/>
  <c r="P3232" i="1"/>
  <c r="Q3232" i="1"/>
  <c r="R3232" i="1"/>
  <c r="S3232" i="1"/>
  <c r="T3232" i="1"/>
  <c r="U3232" i="1"/>
  <c r="V3232" i="1"/>
  <c r="W3232" i="1"/>
  <c r="X3232" i="1"/>
  <c r="Y3232" i="1"/>
  <c r="Z3232" i="1"/>
  <c r="A3233" i="1"/>
  <c r="B3233" i="1"/>
  <c r="C3233" i="1"/>
  <c r="D3233" i="1"/>
  <c r="E3233" i="1"/>
  <c r="F3233" i="1"/>
  <c r="G3233" i="1"/>
  <c r="I3233" i="1"/>
  <c r="J3233" i="1"/>
  <c r="K3233" i="1"/>
  <c r="L3233" i="1"/>
  <c r="M3233" i="1"/>
  <c r="N3233" i="1"/>
  <c r="O3233" i="1"/>
  <c r="P3233" i="1"/>
  <c r="Q3233" i="1"/>
  <c r="R3233" i="1"/>
  <c r="S3233" i="1"/>
  <c r="T3233" i="1"/>
  <c r="U3233" i="1"/>
  <c r="V3233" i="1"/>
  <c r="W3233" i="1"/>
  <c r="X3233" i="1"/>
  <c r="Y3233" i="1"/>
  <c r="Z3233" i="1"/>
  <c r="A3234" i="1"/>
  <c r="B3234" i="1"/>
  <c r="C3234" i="1"/>
  <c r="D3234" i="1"/>
  <c r="E3234" i="1"/>
  <c r="F3234" i="1"/>
  <c r="G3234" i="1"/>
  <c r="I3234" i="1"/>
  <c r="J3234" i="1"/>
  <c r="K3234" i="1"/>
  <c r="L3234" i="1"/>
  <c r="M3234" i="1"/>
  <c r="N3234" i="1"/>
  <c r="O3234" i="1"/>
  <c r="P3234" i="1"/>
  <c r="Q3234" i="1"/>
  <c r="R3234" i="1"/>
  <c r="S3234" i="1"/>
  <c r="T3234" i="1"/>
  <c r="U3234" i="1"/>
  <c r="V3234" i="1"/>
  <c r="W3234" i="1"/>
  <c r="X3234" i="1"/>
  <c r="Y3234" i="1"/>
  <c r="Z3234" i="1"/>
  <c r="A3235" i="1"/>
  <c r="B3235" i="1"/>
  <c r="C3235" i="1"/>
  <c r="D3235" i="1"/>
  <c r="E3235" i="1"/>
  <c r="F3235" i="1"/>
  <c r="G3235" i="1"/>
  <c r="I3235" i="1"/>
  <c r="J3235" i="1"/>
  <c r="K3235" i="1"/>
  <c r="L3235" i="1"/>
  <c r="M3235" i="1"/>
  <c r="N3235" i="1"/>
  <c r="O3235" i="1"/>
  <c r="P3235" i="1"/>
  <c r="Q3235" i="1"/>
  <c r="R3235" i="1"/>
  <c r="S3235" i="1"/>
  <c r="T3235" i="1"/>
  <c r="U3235" i="1"/>
  <c r="V3235" i="1"/>
  <c r="W3235" i="1"/>
  <c r="X3235" i="1"/>
  <c r="Y3235" i="1"/>
  <c r="Z3235" i="1"/>
  <c r="A3236" i="1"/>
  <c r="B3236" i="1"/>
  <c r="C3236" i="1"/>
  <c r="D3236" i="1"/>
  <c r="E3236" i="1"/>
  <c r="F3236" i="1"/>
  <c r="G3236" i="1"/>
  <c r="I3236" i="1"/>
  <c r="J3236" i="1"/>
  <c r="K3236" i="1"/>
  <c r="L3236" i="1"/>
  <c r="M3236" i="1"/>
  <c r="N3236" i="1"/>
  <c r="O3236" i="1"/>
  <c r="P3236" i="1"/>
  <c r="Q3236" i="1"/>
  <c r="R3236" i="1"/>
  <c r="S3236" i="1"/>
  <c r="T3236" i="1"/>
  <c r="U3236" i="1"/>
  <c r="V3236" i="1"/>
  <c r="W3236" i="1"/>
  <c r="X3236" i="1"/>
  <c r="Y3236" i="1"/>
  <c r="Z3236" i="1"/>
  <c r="A3237" i="1"/>
  <c r="B3237" i="1"/>
  <c r="C3237" i="1"/>
  <c r="D3237" i="1"/>
  <c r="E3237" i="1"/>
  <c r="F3237" i="1"/>
  <c r="G3237" i="1"/>
  <c r="I3237" i="1"/>
  <c r="J3237" i="1"/>
  <c r="K3237" i="1"/>
  <c r="L3237" i="1"/>
  <c r="M3237" i="1"/>
  <c r="N3237" i="1"/>
  <c r="O3237" i="1"/>
  <c r="P3237" i="1"/>
  <c r="Q3237" i="1"/>
  <c r="R3237" i="1"/>
  <c r="S3237" i="1"/>
  <c r="T3237" i="1"/>
  <c r="U3237" i="1"/>
  <c r="V3237" i="1"/>
  <c r="W3237" i="1"/>
  <c r="X3237" i="1"/>
  <c r="Y3237" i="1"/>
  <c r="Z3237" i="1"/>
  <c r="A3238" i="1"/>
  <c r="B3238" i="1"/>
  <c r="C3238" i="1"/>
  <c r="D3238" i="1"/>
  <c r="E3238" i="1"/>
  <c r="F3238" i="1"/>
  <c r="G3238" i="1"/>
  <c r="I3238" i="1"/>
  <c r="J3238" i="1"/>
  <c r="K3238" i="1"/>
  <c r="L3238" i="1"/>
  <c r="M3238" i="1"/>
  <c r="N3238" i="1"/>
  <c r="O3238" i="1"/>
  <c r="P3238" i="1"/>
  <c r="Q3238" i="1"/>
  <c r="R3238" i="1"/>
  <c r="S3238" i="1"/>
  <c r="T3238" i="1"/>
  <c r="U3238" i="1"/>
  <c r="V3238" i="1"/>
  <c r="W3238" i="1"/>
  <c r="X3238" i="1"/>
  <c r="Y3238" i="1"/>
  <c r="Z3238" i="1"/>
  <c r="A3239" i="1"/>
  <c r="B3239" i="1"/>
  <c r="C3239" i="1"/>
  <c r="D3239" i="1"/>
  <c r="E3239" i="1"/>
  <c r="F3239" i="1"/>
  <c r="G3239" i="1"/>
  <c r="I3239" i="1"/>
  <c r="J3239" i="1"/>
  <c r="K3239" i="1"/>
  <c r="L3239" i="1"/>
  <c r="M3239" i="1"/>
  <c r="N3239" i="1"/>
  <c r="O3239" i="1"/>
  <c r="P3239" i="1"/>
  <c r="Q3239" i="1"/>
  <c r="R3239" i="1"/>
  <c r="S3239" i="1"/>
  <c r="T3239" i="1"/>
  <c r="U3239" i="1"/>
  <c r="V3239" i="1"/>
  <c r="W3239" i="1"/>
  <c r="X3239" i="1"/>
  <c r="Y3239" i="1"/>
  <c r="Z3239" i="1"/>
  <c r="A3240" i="1"/>
  <c r="B3240" i="1"/>
  <c r="C3240" i="1"/>
  <c r="D3240" i="1"/>
  <c r="E3240" i="1"/>
  <c r="F3240" i="1"/>
  <c r="G3240" i="1"/>
  <c r="I3240" i="1"/>
  <c r="J3240" i="1"/>
  <c r="K3240" i="1"/>
  <c r="L3240" i="1"/>
  <c r="M3240" i="1"/>
  <c r="N3240" i="1"/>
  <c r="O3240" i="1"/>
  <c r="P3240" i="1"/>
  <c r="Q3240" i="1"/>
  <c r="R3240" i="1"/>
  <c r="S3240" i="1"/>
  <c r="T3240" i="1"/>
  <c r="U3240" i="1"/>
  <c r="V3240" i="1"/>
  <c r="W3240" i="1"/>
  <c r="X3240" i="1"/>
  <c r="Y3240" i="1"/>
  <c r="Z3240" i="1"/>
  <c r="A3241" i="1"/>
  <c r="B3241" i="1"/>
  <c r="C3241" i="1"/>
  <c r="D3241" i="1"/>
  <c r="E3241" i="1"/>
  <c r="F3241" i="1"/>
  <c r="G3241" i="1"/>
  <c r="I3241" i="1"/>
  <c r="J3241" i="1"/>
  <c r="K3241" i="1"/>
  <c r="L3241" i="1"/>
  <c r="M3241" i="1"/>
  <c r="N3241" i="1"/>
  <c r="O3241" i="1"/>
  <c r="P3241" i="1"/>
  <c r="Q3241" i="1"/>
  <c r="R3241" i="1"/>
  <c r="S3241" i="1"/>
  <c r="T3241" i="1"/>
  <c r="U3241" i="1"/>
  <c r="V3241" i="1"/>
  <c r="W3241" i="1"/>
  <c r="X3241" i="1"/>
  <c r="Y3241" i="1"/>
  <c r="Z3241" i="1"/>
  <c r="A3242" i="1"/>
  <c r="B3242" i="1"/>
  <c r="C3242" i="1"/>
  <c r="D3242" i="1"/>
  <c r="E3242" i="1"/>
  <c r="F3242" i="1"/>
  <c r="G3242" i="1"/>
  <c r="I3242" i="1"/>
  <c r="J3242" i="1"/>
  <c r="K3242" i="1"/>
  <c r="L3242" i="1"/>
  <c r="M3242" i="1"/>
  <c r="N3242" i="1"/>
  <c r="O3242" i="1"/>
  <c r="P3242" i="1"/>
  <c r="Q3242" i="1"/>
  <c r="R3242" i="1"/>
  <c r="S3242" i="1"/>
  <c r="T3242" i="1"/>
  <c r="U3242" i="1"/>
  <c r="V3242" i="1"/>
  <c r="W3242" i="1"/>
  <c r="X3242" i="1"/>
  <c r="Y3242" i="1"/>
  <c r="Z3242" i="1"/>
  <c r="A3243" i="1"/>
  <c r="B3243" i="1"/>
  <c r="C3243" i="1"/>
  <c r="D3243" i="1"/>
  <c r="E3243" i="1"/>
  <c r="F3243" i="1"/>
  <c r="G3243" i="1"/>
  <c r="I3243" i="1"/>
  <c r="J3243" i="1"/>
  <c r="K3243" i="1"/>
  <c r="L3243" i="1"/>
  <c r="M3243" i="1"/>
  <c r="N3243" i="1"/>
  <c r="O3243" i="1"/>
  <c r="P3243" i="1"/>
  <c r="Q3243" i="1"/>
  <c r="R3243" i="1"/>
  <c r="S3243" i="1"/>
  <c r="T3243" i="1"/>
  <c r="U3243" i="1"/>
  <c r="V3243" i="1"/>
  <c r="W3243" i="1"/>
  <c r="X3243" i="1"/>
  <c r="Y3243" i="1"/>
  <c r="Z3243" i="1"/>
  <c r="A3244" i="1"/>
  <c r="B3244" i="1"/>
  <c r="C3244" i="1"/>
  <c r="D3244" i="1"/>
  <c r="E3244" i="1"/>
  <c r="F3244" i="1"/>
  <c r="G3244" i="1"/>
  <c r="I3244" i="1"/>
  <c r="J3244" i="1"/>
  <c r="K3244" i="1"/>
  <c r="L3244" i="1"/>
  <c r="M3244" i="1"/>
  <c r="N3244" i="1"/>
  <c r="O3244" i="1"/>
  <c r="P3244" i="1"/>
  <c r="Q3244" i="1"/>
  <c r="R3244" i="1"/>
  <c r="S3244" i="1"/>
  <c r="T3244" i="1"/>
  <c r="U3244" i="1"/>
  <c r="V3244" i="1"/>
  <c r="W3244" i="1"/>
  <c r="X3244" i="1"/>
  <c r="Y3244" i="1"/>
  <c r="Z3244" i="1"/>
  <c r="A3245" i="1"/>
  <c r="B3245" i="1"/>
  <c r="C3245" i="1"/>
  <c r="D3245" i="1"/>
  <c r="E3245" i="1"/>
  <c r="F3245" i="1"/>
  <c r="G3245" i="1"/>
  <c r="I3245" i="1"/>
  <c r="J3245" i="1"/>
  <c r="K3245" i="1"/>
  <c r="L3245" i="1"/>
  <c r="M3245" i="1"/>
  <c r="N3245" i="1"/>
  <c r="O3245" i="1"/>
  <c r="P3245" i="1"/>
  <c r="Q3245" i="1"/>
  <c r="R3245" i="1"/>
  <c r="S3245" i="1"/>
  <c r="T3245" i="1"/>
  <c r="U3245" i="1"/>
  <c r="V3245" i="1"/>
  <c r="W3245" i="1"/>
  <c r="X3245" i="1"/>
  <c r="Y3245" i="1"/>
  <c r="Z3245" i="1"/>
  <c r="A3246" i="1"/>
  <c r="B3246" i="1"/>
  <c r="C3246" i="1"/>
  <c r="D3246" i="1"/>
  <c r="E3246" i="1"/>
  <c r="F3246" i="1"/>
  <c r="G3246" i="1"/>
  <c r="I3246" i="1"/>
  <c r="J3246" i="1"/>
  <c r="K3246" i="1"/>
  <c r="L3246" i="1"/>
  <c r="M3246" i="1"/>
  <c r="N3246" i="1"/>
  <c r="O3246" i="1"/>
  <c r="P3246" i="1"/>
  <c r="Q3246" i="1"/>
  <c r="R3246" i="1"/>
  <c r="S3246" i="1"/>
  <c r="T3246" i="1"/>
  <c r="U3246" i="1"/>
  <c r="V3246" i="1"/>
  <c r="W3246" i="1"/>
  <c r="X3246" i="1"/>
  <c r="Y3246" i="1"/>
  <c r="Z3246" i="1"/>
  <c r="A3247" i="1"/>
  <c r="B3247" i="1"/>
  <c r="C3247" i="1"/>
  <c r="D3247" i="1"/>
  <c r="E3247" i="1"/>
  <c r="F3247" i="1"/>
  <c r="G3247" i="1"/>
  <c r="I3247" i="1"/>
  <c r="J3247" i="1"/>
  <c r="K3247" i="1"/>
  <c r="L3247" i="1"/>
  <c r="M3247" i="1"/>
  <c r="N3247" i="1"/>
  <c r="O3247" i="1"/>
  <c r="P3247" i="1"/>
  <c r="Q3247" i="1"/>
  <c r="R3247" i="1"/>
  <c r="S3247" i="1"/>
  <c r="T3247" i="1"/>
  <c r="U3247" i="1"/>
  <c r="V3247" i="1"/>
  <c r="W3247" i="1"/>
  <c r="X3247" i="1"/>
  <c r="Y3247" i="1"/>
  <c r="Z3247" i="1"/>
  <c r="A3248" i="1"/>
  <c r="B3248" i="1"/>
  <c r="C3248" i="1"/>
  <c r="D3248" i="1"/>
  <c r="E3248" i="1"/>
  <c r="F3248" i="1"/>
  <c r="G3248" i="1"/>
  <c r="I3248" i="1"/>
  <c r="J3248" i="1"/>
  <c r="K3248" i="1"/>
  <c r="L3248" i="1"/>
  <c r="M3248" i="1"/>
  <c r="N3248" i="1"/>
  <c r="O3248" i="1"/>
  <c r="P3248" i="1"/>
  <c r="Q3248" i="1"/>
  <c r="R3248" i="1"/>
  <c r="S3248" i="1"/>
  <c r="T3248" i="1"/>
  <c r="U3248" i="1"/>
  <c r="V3248" i="1"/>
  <c r="W3248" i="1"/>
  <c r="X3248" i="1"/>
  <c r="Y3248" i="1"/>
  <c r="Z3248" i="1"/>
  <c r="A3249" i="1"/>
  <c r="B3249" i="1"/>
  <c r="C3249" i="1"/>
  <c r="D3249" i="1"/>
  <c r="E3249" i="1"/>
  <c r="F3249" i="1"/>
  <c r="G3249" i="1"/>
  <c r="I3249" i="1"/>
  <c r="J3249" i="1"/>
  <c r="K3249" i="1"/>
  <c r="L3249" i="1"/>
  <c r="M3249" i="1"/>
  <c r="N3249" i="1"/>
  <c r="O3249" i="1"/>
  <c r="P3249" i="1"/>
  <c r="Q3249" i="1"/>
  <c r="R3249" i="1"/>
  <c r="S3249" i="1"/>
  <c r="T3249" i="1"/>
  <c r="U3249" i="1"/>
  <c r="V3249" i="1"/>
  <c r="W3249" i="1"/>
  <c r="X3249" i="1"/>
  <c r="Y3249" i="1"/>
  <c r="Z3249" i="1"/>
  <c r="A3250" i="1"/>
  <c r="B3250" i="1"/>
  <c r="C3250" i="1"/>
  <c r="D3250" i="1"/>
  <c r="E3250" i="1"/>
  <c r="F3250" i="1"/>
  <c r="G3250" i="1"/>
  <c r="I3250" i="1"/>
  <c r="J3250" i="1"/>
  <c r="K3250" i="1"/>
  <c r="L3250" i="1"/>
  <c r="M3250" i="1"/>
  <c r="N3250" i="1"/>
  <c r="O3250" i="1"/>
  <c r="P3250" i="1"/>
  <c r="Q3250" i="1"/>
  <c r="R3250" i="1"/>
  <c r="S3250" i="1"/>
  <c r="T3250" i="1"/>
  <c r="U3250" i="1"/>
  <c r="V3250" i="1"/>
  <c r="W3250" i="1"/>
  <c r="X3250" i="1"/>
  <c r="Y3250" i="1"/>
  <c r="Z3250" i="1"/>
  <c r="A3251" i="1"/>
  <c r="B3251" i="1"/>
  <c r="C3251" i="1"/>
  <c r="D3251" i="1"/>
  <c r="E3251" i="1"/>
  <c r="F3251" i="1"/>
  <c r="G3251" i="1"/>
  <c r="I3251" i="1"/>
  <c r="J3251" i="1"/>
  <c r="K3251" i="1"/>
  <c r="L3251" i="1"/>
  <c r="M3251" i="1"/>
  <c r="N3251" i="1"/>
  <c r="O3251" i="1"/>
  <c r="P3251" i="1"/>
  <c r="Q3251" i="1"/>
  <c r="R3251" i="1"/>
  <c r="S3251" i="1"/>
  <c r="T3251" i="1"/>
  <c r="U3251" i="1"/>
  <c r="V3251" i="1"/>
  <c r="W3251" i="1"/>
  <c r="X3251" i="1"/>
  <c r="Y3251" i="1"/>
  <c r="Z3251" i="1"/>
  <c r="A3252" i="1"/>
  <c r="B3252" i="1"/>
  <c r="C3252" i="1"/>
  <c r="D3252" i="1"/>
  <c r="E3252" i="1"/>
  <c r="F3252" i="1"/>
  <c r="G3252" i="1"/>
  <c r="I3252" i="1"/>
  <c r="J3252" i="1"/>
  <c r="K3252" i="1"/>
  <c r="L3252" i="1"/>
  <c r="M3252" i="1"/>
  <c r="N3252" i="1"/>
  <c r="O3252" i="1"/>
  <c r="P3252" i="1"/>
  <c r="Q3252" i="1"/>
  <c r="R3252" i="1"/>
  <c r="S3252" i="1"/>
  <c r="T3252" i="1"/>
  <c r="U3252" i="1"/>
  <c r="V3252" i="1"/>
  <c r="W3252" i="1"/>
  <c r="X3252" i="1"/>
  <c r="Y3252" i="1"/>
  <c r="Z3252" i="1"/>
  <c r="A3253" i="1"/>
  <c r="B3253" i="1"/>
  <c r="C3253" i="1"/>
  <c r="D3253" i="1"/>
  <c r="E3253" i="1"/>
  <c r="F3253" i="1"/>
  <c r="G3253" i="1"/>
  <c r="I3253" i="1"/>
  <c r="J3253" i="1"/>
  <c r="K3253" i="1"/>
  <c r="L3253" i="1"/>
  <c r="M3253" i="1"/>
  <c r="N3253" i="1"/>
  <c r="O3253" i="1"/>
  <c r="P3253" i="1"/>
  <c r="Q3253" i="1"/>
  <c r="R3253" i="1"/>
  <c r="S3253" i="1"/>
  <c r="T3253" i="1"/>
  <c r="U3253" i="1"/>
  <c r="V3253" i="1"/>
  <c r="W3253" i="1"/>
  <c r="X3253" i="1"/>
  <c r="Y3253" i="1"/>
  <c r="Z3253" i="1"/>
  <c r="A3254" i="1"/>
  <c r="B3254" i="1"/>
  <c r="C3254" i="1"/>
  <c r="D3254" i="1"/>
  <c r="E3254" i="1"/>
  <c r="F3254" i="1"/>
  <c r="G3254" i="1"/>
  <c r="I3254" i="1"/>
  <c r="J3254" i="1"/>
  <c r="K3254" i="1"/>
  <c r="L3254" i="1"/>
  <c r="M3254" i="1"/>
  <c r="N3254" i="1"/>
  <c r="O3254" i="1"/>
  <c r="P3254" i="1"/>
  <c r="Q3254" i="1"/>
  <c r="R3254" i="1"/>
  <c r="S3254" i="1"/>
  <c r="T3254" i="1"/>
  <c r="U3254" i="1"/>
  <c r="V3254" i="1"/>
  <c r="W3254" i="1"/>
  <c r="X3254" i="1"/>
  <c r="Y3254" i="1"/>
  <c r="Z3254" i="1"/>
  <c r="A3255" i="1"/>
  <c r="B3255" i="1"/>
  <c r="C3255" i="1"/>
  <c r="D3255" i="1"/>
  <c r="E3255" i="1"/>
  <c r="F3255" i="1"/>
  <c r="G3255" i="1"/>
  <c r="I3255" i="1"/>
  <c r="J3255" i="1"/>
  <c r="K3255" i="1"/>
  <c r="L3255" i="1"/>
  <c r="M3255" i="1"/>
  <c r="N3255" i="1"/>
  <c r="O3255" i="1"/>
  <c r="P3255" i="1"/>
  <c r="Q3255" i="1"/>
  <c r="R3255" i="1"/>
  <c r="S3255" i="1"/>
  <c r="T3255" i="1"/>
  <c r="U3255" i="1"/>
  <c r="V3255" i="1"/>
  <c r="W3255" i="1"/>
  <c r="X3255" i="1"/>
  <c r="Y3255" i="1"/>
  <c r="Z3255" i="1"/>
  <c r="A3256" i="1"/>
  <c r="B3256" i="1"/>
  <c r="C3256" i="1"/>
  <c r="D3256" i="1"/>
  <c r="E3256" i="1"/>
  <c r="F3256" i="1"/>
  <c r="G3256" i="1"/>
  <c r="I3256" i="1"/>
  <c r="J3256" i="1"/>
  <c r="K3256" i="1"/>
  <c r="L3256" i="1"/>
  <c r="M3256" i="1"/>
  <c r="N3256" i="1"/>
  <c r="O3256" i="1"/>
  <c r="P3256" i="1"/>
  <c r="Q3256" i="1"/>
  <c r="R3256" i="1"/>
  <c r="S3256" i="1"/>
  <c r="T3256" i="1"/>
  <c r="U3256" i="1"/>
  <c r="V3256" i="1"/>
  <c r="W3256" i="1"/>
  <c r="X3256" i="1"/>
  <c r="Y3256" i="1"/>
  <c r="Z3256" i="1"/>
  <c r="A3257" i="1"/>
  <c r="B3257" i="1"/>
  <c r="C3257" i="1"/>
  <c r="D3257" i="1"/>
  <c r="E3257" i="1"/>
  <c r="F3257" i="1"/>
  <c r="G3257" i="1"/>
  <c r="I3257" i="1"/>
  <c r="J3257" i="1"/>
  <c r="K3257" i="1"/>
  <c r="L3257" i="1"/>
  <c r="M3257" i="1"/>
  <c r="N3257" i="1"/>
  <c r="O3257" i="1"/>
  <c r="P3257" i="1"/>
  <c r="Q3257" i="1"/>
  <c r="R3257" i="1"/>
  <c r="S3257" i="1"/>
  <c r="T3257" i="1"/>
  <c r="U3257" i="1"/>
  <c r="V3257" i="1"/>
  <c r="W3257" i="1"/>
  <c r="X3257" i="1"/>
  <c r="Y3257" i="1"/>
  <c r="Z3257" i="1"/>
  <c r="A3258" i="1"/>
  <c r="B3258" i="1"/>
  <c r="C3258" i="1"/>
  <c r="D3258" i="1"/>
  <c r="E3258" i="1"/>
  <c r="F3258" i="1"/>
  <c r="G3258" i="1"/>
  <c r="I3258" i="1"/>
  <c r="J3258" i="1"/>
  <c r="K3258" i="1"/>
  <c r="L3258" i="1"/>
  <c r="M3258" i="1"/>
  <c r="N3258" i="1"/>
  <c r="O3258" i="1"/>
  <c r="P3258" i="1"/>
  <c r="Q3258" i="1"/>
  <c r="R3258" i="1"/>
  <c r="S3258" i="1"/>
  <c r="T3258" i="1"/>
  <c r="U3258" i="1"/>
  <c r="V3258" i="1"/>
  <c r="W3258" i="1"/>
  <c r="X3258" i="1"/>
  <c r="Y3258" i="1"/>
  <c r="Z3258" i="1"/>
  <c r="A3259" i="1"/>
  <c r="B3259" i="1"/>
  <c r="C3259" i="1"/>
  <c r="D3259" i="1"/>
  <c r="E3259" i="1"/>
  <c r="F3259" i="1"/>
  <c r="G3259" i="1"/>
  <c r="I3259" i="1"/>
  <c r="J3259" i="1"/>
  <c r="K3259" i="1"/>
  <c r="L3259" i="1"/>
  <c r="M3259" i="1"/>
  <c r="N3259" i="1"/>
  <c r="O3259" i="1"/>
  <c r="P3259" i="1"/>
  <c r="Q3259" i="1"/>
  <c r="R3259" i="1"/>
  <c r="S3259" i="1"/>
  <c r="T3259" i="1"/>
  <c r="U3259" i="1"/>
  <c r="V3259" i="1"/>
  <c r="W3259" i="1"/>
  <c r="X3259" i="1"/>
  <c r="Y3259" i="1"/>
  <c r="Z3259" i="1"/>
  <c r="A3260" i="1"/>
  <c r="B3260" i="1"/>
  <c r="C3260" i="1"/>
  <c r="D3260" i="1"/>
  <c r="E3260" i="1"/>
  <c r="F3260" i="1"/>
  <c r="G3260" i="1"/>
  <c r="I3260" i="1"/>
  <c r="J3260" i="1"/>
  <c r="K3260" i="1"/>
  <c r="L3260" i="1"/>
  <c r="M3260" i="1"/>
  <c r="N3260" i="1"/>
  <c r="O3260" i="1"/>
  <c r="P3260" i="1"/>
  <c r="Q3260" i="1"/>
  <c r="R3260" i="1"/>
  <c r="S3260" i="1"/>
  <c r="T3260" i="1"/>
  <c r="U3260" i="1"/>
  <c r="V3260" i="1"/>
  <c r="W3260" i="1"/>
  <c r="X3260" i="1"/>
  <c r="Y3260" i="1"/>
  <c r="Z3260" i="1"/>
  <c r="A3261" i="1"/>
  <c r="B3261" i="1"/>
  <c r="C3261" i="1"/>
  <c r="D3261" i="1"/>
  <c r="E3261" i="1"/>
  <c r="F3261" i="1"/>
  <c r="G3261" i="1"/>
  <c r="I3261" i="1"/>
  <c r="J3261" i="1"/>
  <c r="K3261" i="1"/>
  <c r="L3261" i="1"/>
  <c r="M3261" i="1"/>
  <c r="N3261" i="1"/>
  <c r="O3261" i="1"/>
  <c r="P3261" i="1"/>
  <c r="Q3261" i="1"/>
  <c r="R3261" i="1"/>
  <c r="S3261" i="1"/>
  <c r="T3261" i="1"/>
  <c r="U3261" i="1"/>
  <c r="V3261" i="1"/>
  <c r="W3261" i="1"/>
  <c r="X3261" i="1"/>
  <c r="Y3261" i="1"/>
  <c r="Z3261" i="1"/>
  <c r="A3262" i="1"/>
  <c r="B3262" i="1"/>
  <c r="C3262" i="1"/>
  <c r="D3262" i="1"/>
  <c r="E3262" i="1"/>
  <c r="F3262" i="1"/>
  <c r="G3262" i="1"/>
  <c r="I3262" i="1"/>
  <c r="J3262" i="1"/>
  <c r="K3262" i="1"/>
  <c r="L3262" i="1"/>
  <c r="M3262" i="1"/>
  <c r="N3262" i="1"/>
  <c r="O3262" i="1"/>
  <c r="P3262" i="1"/>
  <c r="Q3262" i="1"/>
  <c r="R3262" i="1"/>
  <c r="S3262" i="1"/>
  <c r="T3262" i="1"/>
  <c r="U3262" i="1"/>
  <c r="V3262" i="1"/>
  <c r="W3262" i="1"/>
  <c r="X3262" i="1"/>
  <c r="Y3262" i="1"/>
  <c r="Z3262" i="1"/>
  <c r="A3263" i="1"/>
  <c r="B3263" i="1"/>
  <c r="C3263" i="1"/>
  <c r="D3263" i="1"/>
  <c r="E3263" i="1"/>
  <c r="F3263" i="1"/>
  <c r="G3263" i="1"/>
  <c r="I3263" i="1"/>
  <c r="J3263" i="1"/>
  <c r="K3263" i="1"/>
  <c r="L3263" i="1"/>
  <c r="M3263" i="1"/>
  <c r="N3263" i="1"/>
  <c r="O3263" i="1"/>
  <c r="P3263" i="1"/>
  <c r="Q3263" i="1"/>
  <c r="R3263" i="1"/>
  <c r="S3263" i="1"/>
  <c r="T3263" i="1"/>
  <c r="U3263" i="1"/>
  <c r="V3263" i="1"/>
  <c r="W3263" i="1"/>
  <c r="X3263" i="1"/>
  <c r="Y3263" i="1"/>
  <c r="Z3263" i="1"/>
  <c r="A3264" i="1"/>
  <c r="B3264" i="1"/>
  <c r="C3264" i="1"/>
  <c r="D3264" i="1"/>
  <c r="E3264" i="1"/>
  <c r="F3264" i="1"/>
  <c r="G3264" i="1"/>
  <c r="I3264" i="1"/>
  <c r="J3264" i="1"/>
  <c r="K3264" i="1"/>
  <c r="L3264" i="1"/>
  <c r="M3264" i="1"/>
  <c r="N3264" i="1"/>
  <c r="O3264" i="1"/>
  <c r="P3264" i="1"/>
  <c r="Q3264" i="1"/>
  <c r="R3264" i="1"/>
  <c r="S3264" i="1"/>
  <c r="T3264" i="1"/>
  <c r="U3264" i="1"/>
  <c r="V3264" i="1"/>
  <c r="W3264" i="1"/>
  <c r="X3264" i="1"/>
  <c r="Y3264" i="1"/>
  <c r="Z3264" i="1"/>
  <c r="A3265" i="1"/>
  <c r="B3265" i="1"/>
  <c r="C3265" i="1"/>
  <c r="D3265" i="1"/>
  <c r="E3265" i="1"/>
  <c r="F3265" i="1"/>
  <c r="G3265" i="1"/>
  <c r="I3265" i="1"/>
  <c r="J3265" i="1"/>
  <c r="K3265" i="1"/>
  <c r="L3265" i="1"/>
  <c r="M3265" i="1"/>
  <c r="N3265" i="1"/>
  <c r="O3265" i="1"/>
  <c r="P3265" i="1"/>
  <c r="Q3265" i="1"/>
  <c r="R3265" i="1"/>
  <c r="S3265" i="1"/>
  <c r="T3265" i="1"/>
  <c r="U3265" i="1"/>
  <c r="V3265" i="1"/>
  <c r="W3265" i="1"/>
  <c r="X3265" i="1"/>
  <c r="Y3265" i="1"/>
  <c r="Z3265" i="1"/>
  <c r="A3266" i="1"/>
  <c r="B3266" i="1"/>
  <c r="C3266" i="1"/>
  <c r="D3266" i="1"/>
  <c r="E3266" i="1"/>
  <c r="F3266" i="1"/>
  <c r="G3266" i="1"/>
  <c r="I3266" i="1"/>
  <c r="J3266" i="1"/>
  <c r="K3266" i="1"/>
  <c r="L3266" i="1"/>
  <c r="M3266" i="1"/>
  <c r="N3266" i="1"/>
  <c r="O3266" i="1"/>
  <c r="P3266" i="1"/>
  <c r="Q3266" i="1"/>
  <c r="R3266" i="1"/>
  <c r="S3266" i="1"/>
  <c r="T3266" i="1"/>
  <c r="U3266" i="1"/>
  <c r="V3266" i="1"/>
  <c r="W3266" i="1"/>
  <c r="X3266" i="1"/>
  <c r="Y3266" i="1"/>
  <c r="Z3266" i="1"/>
  <c r="A3267" i="1"/>
  <c r="B3267" i="1"/>
  <c r="C3267" i="1"/>
  <c r="D3267" i="1"/>
  <c r="E3267" i="1"/>
  <c r="F3267" i="1"/>
  <c r="G3267" i="1"/>
  <c r="I3267" i="1"/>
  <c r="J3267" i="1"/>
  <c r="K3267" i="1"/>
  <c r="L3267" i="1"/>
  <c r="M3267" i="1"/>
  <c r="N3267" i="1"/>
  <c r="O3267" i="1"/>
  <c r="P3267" i="1"/>
  <c r="Q3267" i="1"/>
  <c r="R3267" i="1"/>
  <c r="S3267" i="1"/>
  <c r="T3267" i="1"/>
  <c r="U3267" i="1"/>
  <c r="V3267" i="1"/>
  <c r="W3267" i="1"/>
  <c r="X3267" i="1"/>
  <c r="Y3267" i="1"/>
  <c r="Z3267" i="1"/>
  <c r="A3268" i="1"/>
  <c r="B3268" i="1"/>
  <c r="C3268" i="1"/>
  <c r="D3268" i="1"/>
  <c r="E3268" i="1"/>
  <c r="F3268" i="1"/>
  <c r="G3268" i="1"/>
  <c r="I3268" i="1"/>
  <c r="J3268" i="1"/>
  <c r="K3268" i="1"/>
  <c r="L3268" i="1"/>
  <c r="M3268" i="1"/>
  <c r="N3268" i="1"/>
  <c r="O3268" i="1"/>
  <c r="P3268" i="1"/>
  <c r="Q3268" i="1"/>
  <c r="R3268" i="1"/>
  <c r="S3268" i="1"/>
  <c r="T3268" i="1"/>
  <c r="U3268" i="1"/>
  <c r="V3268" i="1"/>
  <c r="W3268" i="1"/>
  <c r="X3268" i="1"/>
  <c r="Y3268" i="1"/>
  <c r="Z3268" i="1"/>
  <c r="A3269" i="1"/>
  <c r="B3269" i="1"/>
  <c r="C3269" i="1"/>
  <c r="D3269" i="1"/>
  <c r="E3269" i="1"/>
  <c r="F3269" i="1"/>
  <c r="G3269" i="1"/>
  <c r="I3269" i="1"/>
  <c r="J3269" i="1"/>
  <c r="K3269" i="1"/>
  <c r="L3269" i="1"/>
  <c r="M3269" i="1"/>
  <c r="N3269" i="1"/>
  <c r="O3269" i="1"/>
  <c r="P3269" i="1"/>
  <c r="Q3269" i="1"/>
  <c r="R3269" i="1"/>
  <c r="S3269" i="1"/>
  <c r="T3269" i="1"/>
  <c r="U3269" i="1"/>
  <c r="V3269" i="1"/>
  <c r="W3269" i="1"/>
  <c r="X3269" i="1"/>
  <c r="Y3269" i="1"/>
  <c r="Z3269" i="1"/>
  <c r="A3270" i="1"/>
  <c r="B3270" i="1"/>
  <c r="C3270" i="1"/>
  <c r="D3270" i="1"/>
  <c r="E3270" i="1"/>
  <c r="F3270" i="1"/>
  <c r="G3270" i="1"/>
  <c r="I3270" i="1"/>
  <c r="J3270" i="1"/>
  <c r="K3270" i="1"/>
  <c r="L3270" i="1"/>
  <c r="M3270" i="1"/>
  <c r="N3270" i="1"/>
  <c r="O3270" i="1"/>
  <c r="P3270" i="1"/>
  <c r="Q3270" i="1"/>
  <c r="R3270" i="1"/>
  <c r="S3270" i="1"/>
  <c r="T3270" i="1"/>
  <c r="U3270" i="1"/>
  <c r="V3270" i="1"/>
  <c r="W3270" i="1"/>
  <c r="X3270" i="1"/>
  <c r="Y3270" i="1"/>
  <c r="Z3270" i="1"/>
  <c r="A3271" i="1"/>
  <c r="B3271" i="1"/>
  <c r="C3271" i="1"/>
  <c r="D3271" i="1"/>
  <c r="E3271" i="1"/>
  <c r="F3271" i="1"/>
  <c r="G3271" i="1"/>
  <c r="I3271" i="1"/>
  <c r="J3271" i="1"/>
  <c r="K3271" i="1"/>
  <c r="L3271" i="1"/>
  <c r="M3271" i="1"/>
  <c r="N3271" i="1"/>
  <c r="O3271" i="1"/>
  <c r="P3271" i="1"/>
  <c r="Q3271" i="1"/>
  <c r="R3271" i="1"/>
  <c r="S3271" i="1"/>
  <c r="T3271" i="1"/>
  <c r="U3271" i="1"/>
  <c r="V3271" i="1"/>
  <c r="W3271" i="1"/>
  <c r="X3271" i="1"/>
  <c r="Y3271" i="1"/>
  <c r="Z3271" i="1"/>
  <c r="A3272" i="1"/>
  <c r="B3272" i="1"/>
  <c r="C3272" i="1"/>
  <c r="D3272" i="1"/>
  <c r="E3272" i="1"/>
  <c r="F3272" i="1"/>
  <c r="G3272" i="1"/>
  <c r="I3272" i="1"/>
  <c r="J3272" i="1"/>
  <c r="K3272" i="1"/>
  <c r="L3272" i="1"/>
  <c r="M3272" i="1"/>
  <c r="N3272" i="1"/>
  <c r="O3272" i="1"/>
  <c r="P3272" i="1"/>
  <c r="Q3272" i="1"/>
  <c r="R3272" i="1"/>
  <c r="S3272" i="1"/>
  <c r="T3272" i="1"/>
  <c r="U3272" i="1"/>
  <c r="V3272" i="1"/>
  <c r="W3272" i="1"/>
  <c r="X3272" i="1"/>
  <c r="Y3272" i="1"/>
  <c r="Z3272" i="1"/>
  <c r="A3273" i="1"/>
  <c r="B3273" i="1"/>
  <c r="C3273" i="1"/>
  <c r="D3273" i="1"/>
  <c r="E3273" i="1"/>
  <c r="F3273" i="1"/>
  <c r="G3273" i="1"/>
  <c r="I3273" i="1"/>
  <c r="J3273" i="1"/>
  <c r="K3273" i="1"/>
  <c r="L3273" i="1"/>
  <c r="M3273" i="1"/>
  <c r="N3273" i="1"/>
  <c r="O3273" i="1"/>
  <c r="P3273" i="1"/>
  <c r="Q3273" i="1"/>
  <c r="R3273" i="1"/>
  <c r="S3273" i="1"/>
  <c r="T3273" i="1"/>
  <c r="U3273" i="1"/>
  <c r="V3273" i="1"/>
  <c r="W3273" i="1"/>
  <c r="X3273" i="1"/>
  <c r="Y3273" i="1"/>
  <c r="Z3273" i="1"/>
  <c r="A3274" i="1"/>
  <c r="B3274" i="1"/>
  <c r="C3274" i="1"/>
  <c r="D3274" i="1"/>
  <c r="E3274" i="1"/>
  <c r="F3274" i="1"/>
  <c r="G3274" i="1"/>
  <c r="I3274" i="1"/>
  <c r="J3274" i="1"/>
  <c r="K3274" i="1"/>
  <c r="L3274" i="1"/>
  <c r="M3274" i="1"/>
  <c r="N3274" i="1"/>
  <c r="O3274" i="1"/>
  <c r="P3274" i="1"/>
  <c r="Q3274" i="1"/>
  <c r="R3274" i="1"/>
  <c r="S3274" i="1"/>
  <c r="T3274" i="1"/>
  <c r="U3274" i="1"/>
  <c r="V3274" i="1"/>
  <c r="W3274" i="1"/>
  <c r="X3274" i="1"/>
  <c r="Y3274" i="1"/>
  <c r="Z3274" i="1"/>
  <c r="A3275" i="1"/>
  <c r="B3275" i="1"/>
  <c r="C3275" i="1"/>
  <c r="D3275" i="1"/>
  <c r="E3275" i="1"/>
  <c r="F3275" i="1"/>
  <c r="G3275" i="1"/>
  <c r="I3275" i="1"/>
  <c r="J3275" i="1"/>
  <c r="K3275" i="1"/>
  <c r="L3275" i="1"/>
  <c r="M3275" i="1"/>
  <c r="N3275" i="1"/>
  <c r="O3275" i="1"/>
  <c r="P3275" i="1"/>
  <c r="Q3275" i="1"/>
  <c r="R3275" i="1"/>
  <c r="S3275" i="1"/>
  <c r="T3275" i="1"/>
  <c r="U3275" i="1"/>
  <c r="V3275" i="1"/>
  <c r="W3275" i="1"/>
  <c r="X3275" i="1"/>
  <c r="Y3275" i="1"/>
  <c r="Z3275" i="1"/>
  <c r="A3276" i="1"/>
  <c r="B3276" i="1"/>
  <c r="C3276" i="1"/>
  <c r="D3276" i="1"/>
  <c r="E3276" i="1"/>
  <c r="F3276" i="1"/>
  <c r="G3276" i="1"/>
  <c r="I3276" i="1"/>
  <c r="J3276" i="1"/>
  <c r="K3276" i="1"/>
  <c r="L3276" i="1"/>
  <c r="M3276" i="1"/>
  <c r="N3276" i="1"/>
  <c r="O3276" i="1"/>
  <c r="P3276" i="1"/>
  <c r="Q3276" i="1"/>
  <c r="R3276" i="1"/>
  <c r="S3276" i="1"/>
  <c r="T3276" i="1"/>
  <c r="U3276" i="1"/>
  <c r="V3276" i="1"/>
  <c r="W3276" i="1"/>
  <c r="X3276" i="1"/>
  <c r="Y3276" i="1"/>
  <c r="Z3276" i="1"/>
  <c r="A3277" i="1"/>
  <c r="B3277" i="1"/>
  <c r="C3277" i="1"/>
  <c r="D3277" i="1"/>
  <c r="E3277" i="1"/>
  <c r="F3277" i="1"/>
  <c r="G3277" i="1"/>
  <c r="I3277" i="1"/>
  <c r="J3277" i="1"/>
  <c r="K3277" i="1"/>
  <c r="L3277" i="1"/>
  <c r="M3277" i="1"/>
  <c r="N3277" i="1"/>
  <c r="O3277" i="1"/>
  <c r="P3277" i="1"/>
  <c r="Q3277" i="1"/>
  <c r="R3277" i="1"/>
  <c r="S3277" i="1"/>
  <c r="T3277" i="1"/>
  <c r="U3277" i="1"/>
  <c r="V3277" i="1"/>
  <c r="W3277" i="1"/>
  <c r="X3277" i="1"/>
  <c r="Y3277" i="1"/>
  <c r="Z3277" i="1"/>
  <c r="A3278" i="1"/>
  <c r="B3278" i="1"/>
  <c r="C3278" i="1"/>
  <c r="D3278" i="1"/>
  <c r="E3278" i="1"/>
  <c r="F3278" i="1"/>
  <c r="G3278" i="1"/>
  <c r="I3278" i="1"/>
  <c r="J3278" i="1"/>
  <c r="K3278" i="1"/>
  <c r="L3278" i="1"/>
  <c r="M3278" i="1"/>
  <c r="N3278" i="1"/>
  <c r="O3278" i="1"/>
  <c r="P3278" i="1"/>
  <c r="Q3278" i="1"/>
  <c r="R3278" i="1"/>
  <c r="S3278" i="1"/>
  <c r="T3278" i="1"/>
  <c r="U3278" i="1"/>
  <c r="V3278" i="1"/>
  <c r="W3278" i="1"/>
  <c r="X3278" i="1"/>
  <c r="Y3278" i="1"/>
  <c r="Z3278" i="1"/>
  <c r="A3279" i="1"/>
  <c r="B3279" i="1"/>
  <c r="C3279" i="1"/>
  <c r="D3279" i="1"/>
  <c r="E3279" i="1"/>
  <c r="F3279" i="1"/>
  <c r="G3279" i="1"/>
  <c r="I3279" i="1"/>
  <c r="J3279" i="1"/>
  <c r="K3279" i="1"/>
  <c r="L3279" i="1"/>
  <c r="M3279" i="1"/>
  <c r="N3279" i="1"/>
  <c r="O3279" i="1"/>
  <c r="P3279" i="1"/>
  <c r="Q3279" i="1"/>
  <c r="R3279" i="1"/>
  <c r="S3279" i="1"/>
  <c r="T3279" i="1"/>
  <c r="U3279" i="1"/>
  <c r="V3279" i="1"/>
  <c r="W3279" i="1"/>
  <c r="X3279" i="1"/>
  <c r="Y3279" i="1"/>
  <c r="Z3279" i="1"/>
  <c r="A3280" i="1"/>
  <c r="B3280" i="1"/>
  <c r="C3280" i="1"/>
  <c r="D3280" i="1"/>
  <c r="E3280" i="1"/>
  <c r="F3280" i="1"/>
  <c r="G3280" i="1"/>
  <c r="I3280" i="1"/>
  <c r="J3280" i="1"/>
  <c r="K3280" i="1"/>
  <c r="L3280" i="1"/>
  <c r="M3280" i="1"/>
  <c r="N3280" i="1"/>
  <c r="O3280" i="1"/>
  <c r="P3280" i="1"/>
  <c r="Q3280" i="1"/>
  <c r="R3280" i="1"/>
  <c r="S3280" i="1"/>
  <c r="T3280" i="1"/>
  <c r="U3280" i="1"/>
  <c r="V3280" i="1"/>
  <c r="W3280" i="1"/>
  <c r="X3280" i="1"/>
  <c r="Y3280" i="1"/>
  <c r="Z3280" i="1"/>
  <c r="A3281" i="1"/>
  <c r="B3281" i="1"/>
  <c r="C3281" i="1"/>
  <c r="D3281" i="1"/>
  <c r="E3281" i="1"/>
  <c r="F3281" i="1"/>
  <c r="G3281" i="1"/>
  <c r="I3281" i="1"/>
  <c r="J3281" i="1"/>
  <c r="K3281" i="1"/>
  <c r="L3281" i="1"/>
  <c r="M3281" i="1"/>
  <c r="N3281" i="1"/>
  <c r="O3281" i="1"/>
  <c r="P3281" i="1"/>
  <c r="Q3281" i="1"/>
  <c r="R3281" i="1"/>
  <c r="S3281" i="1"/>
  <c r="T3281" i="1"/>
  <c r="U3281" i="1"/>
  <c r="V3281" i="1"/>
  <c r="W3281" i="1"/>
  <c r="X3281" i="1"/>
  <c r="Y3281" i="1"/>
  <c r="Z3281" i="1"/>
  <c r="A3282" i="1"/>
  <c r="B3282" i="1"/>
  <c r="C3282" i="1"/>
  <c r="D3282" i="1"/>
  <c r="E3282" i="1"/>
  <c r="F3282" i="1"/>
  <c r="G3282" i="1"/>
  <c r="I3282" i="1"/>
  <c r="J3282" i="1"/>
  <c r="K3282" i="1"/>
  <c r="L3282" i="1"/>
  <c r="M3282" i="1"/>
  <c r="N3282" i="1"/>
  <c r="O3282" i="1"/>
  <c r="P3282" i="1"/>
  <c r="Q3282" i="1"/>
  <c r="R3282" i="1"/>
  <c r="S3282" i="1"/>
  <c r="T3282" i="1"/>
  <c r="U3282" i="1"/>
  <c r="V3282" i="1"/>
  <c r="W3282" i="1"/>
  <c r="X3282" i="1"/>
  <c r="Y3282" i="1"/>
  <c r="Z3282" i="1"/>
  <c r="A3283" i="1"/>
  <c r="B3283" i="1"/>
  <c r="C3283" i="1"/>
  <c r="D3283" i="1"/>
  <c r="E3283" i="1"/>
  <c r="F3283" i="1"/>
  <c r="G3283" i="1"/>
  <c r="I3283" i="1"/>
  <c r="J3283" i="1"/>
  <c r="K3283" i="1"/>
  <c r="L3283" i="1"/>
  <c r="M3283" i="1"/>
  <c r="N3283" i="1"/>
  <c r="O3283" i="1"/>
  <c r="P3283" i="1"/>
  <c r="Q3283" i="1"/>
  <c r="R3283" i="1"/>
  <c r="S3283" i="1"/>
  <c r="T3283" i="1"/>
  <c r="U3283" i="1"/>
  <c r="V3283" i="1"/>
  <c r="W3283" i="1"/>
  <c r="X3283" i="1"/>
  <c r="Y3283" i="1"/>
  <c r="Z3283" i="1"/>
  <c r="A3284" i="1"/>
  <c r="B3284" i="1"/>
  <c r="C3284" i="1"/>
  <c r="D3284" i="1"/>
  <c r="E3284" i="1"/>
  <c r="F3284" i="1"/>
  <c r="G3284" i="1"/>
  <c r="I3284" i="1"/>
  <c r="J3284" i="1"/>
  <c r="K3284" i="1"/>
  <c r="L3284" i="1"/>
  <c r="M3284" i="1"/>
  <c r="N3284" i="1"/>
  <c r="O3284" i="1"/>
  <c r="P3284" i="1"/>
  <c r="Q3284" i="1"/>
  <c r="R3284" i="1"/>
  <c r="S3284" i="1"/>
  <c r="T3284" i="1"/>
  <c r="U3284" i="1"/>
  <c r="V3284" i="1"/>
  <c r="W3284" i="1"/>
  <c r="X3284" i="1"/>
  <c r="Y3284" i="1"/>
  <c r="Z3284" i="1"/>
  <c r="A3285" i="1"/>
  <c r="B3285" i="1"/>
  <c r="C3285" i="1"/>
  <c r="D3285" i="1"/>
  <c r="E3285" i="1"/>
  <c r="F3285" i="1"/>
  <c r="G3285" i="1"/>
  <c r="I3285" i="1"/>
  <c r="J3285" i="1"/>
  <c r="K3285" i="1"/>
  <c r="L3285" i="1"/>
  <c r="M3285" i="1"/>
  <c r="N3285" i="1"/>
  <c r="O3285" i="1"/>
  <c r="P3285" i="1"/>
  <c r="Q3285" i="1"/>
  <c r="R3285" i="1"/>
  <c r="S3285" i="1"/>
  <c r="T3285" i="1"/>
  <c r="U3285" i="1"/>
  <c r="V3285" i="1"/>
  <c r="W3285" i="1"/>
  <c r="X3285" i="1"/>
  <c r="Y3285" i="1"/>
  <c r="Z3285" i="1"/>
  <c r="A3286" i="1"/>
  <c r="B3286" i="1"/>
  <c r="C3286" i="1"/>
  <c r="D3286" i="1"/>
  <c r="E3286" i="1"/>
  <c r="F3286" i="1"/>
  <c r="G3286" i="1"/>
  <c r="I3286" i="1"/>
  <c r="J3286" i="1"/>
  <c r="K3286" i="1"/>
  <c r="L3286" i="1"/>
  <c r="M3286" i="1"/>
  <c r="N3286" i="1"/>
  <c r="O3286" i="1"/>
  <c r="P3286" i="1"/>
  <c r="Q3286" i="1"/>
  <c r="R3286" i="1"/>
  <c r="S3286" i="1"/>
  <c r="T3286" i="1"/>
  <c r="U3286" i="1"/>
  <c r="V3286" i="1"/>
  <c r="W3286" i="1"/>
  <c r="X3286" i="1"/>
  <c r="Y3286" i="1"/>
  <c r="Z3286" i="1"/>
  <c r="A3287" i="1"/>
  <c r="B3287" i="1"/>
  <c r="C3287" i="1"/>
  <c r="D3287" i="1"/>
  <c r="E3287" i="1"/>
  <c r="F3287" i="1"/>
  <c r="G3287" i="1"/>
  <c r="I3287" i="1"/>
  <c r="J3287" i="1"/>
  <c r="K3287" i="1"/>
  <c r="L3287" i="1"/>
  <c r="M3287" i="1"/>
  <c r="N3287" i="1"/>
  <c r="O3287" i="1"/>
  <c r="P3287" i="1"/>
  <c r="Q3287" i="1"/>
  <c r="R3287" i="1"/>
  <c r="S3287" i="1"/>
  <c r="T3287" i="1"/>
  <c r="U3287" i="1"/>
  <c r="V3287" i="1"/>
  <c r="W3287" i="1"/>
  <c r="X3287" i="1"/>
  <c r="Y3287" i="1"/>
  <c r="Z3287" i="1"/>
  <c r="A3288" i="1"/>
  <c r="B3288" i="1"/>
  <c r="C3288" i="1"/>
  <c r="D3288" i="1"/>
  <c r="E3288" i="1"/>
  <c r="F3288" i="1"/>
  <c r="G3288" i="1"/>
  <c r="I3288" i="1"/>
  <c r="J3288" i="1"/>
  <c r="K3288" i="1"/>
  <c r="L3288" i="1"/>
  <c r="M3288" i="1"/>
  <c r="N3288" i="1"/>
  <c r="O3288" i="1"/>
  <c r="P3288" i="1"/>
  <c r="Q3288" i="1"/>
  <c r="R3288" i="1"/>
  <c r="S3288" i="1"/>
  <c r="T3288" i="1"/>
  <c r="U3288" i="1"/>
  <c r="V3288" i="1"/>
  <c r="W3288" i="1"/>
  <c r="X3288" i="1"/>
  <c r="Y3288" i="1"/>
  <c r="Z3288" i="1"/>
  <c r="A3289" i="1"/>
  <c r="B3289" i="1"/>
  <c r="C3289" i="1"/>
  <c r="D3289" i="1"/>
  <c r="E3289" i="1"/>
  <c r="F3289" i="1"/>
  <c r="G3289" i="1"/>
  <c r="I3289" i="1"/>
  <c r="J3289" i="1"/>
  <c r="K3289" i="1"/>
  <c r="L3289" i="1"/>
  <c r="M3289" i="1"/>
  <c r="N3289" i="1"/>
  <c r="O3289" i="1"/>
  <c r="P3289" i="1"/>
  <c r="Q3289" i="1"/>
  <c r="R3289" i="1"/>
  <c r="S3289" i="1"/>
  <c r="T3289" i="1"/>
  <c r="U3289" i="1"/>
  <c r="V3289" i="1"/>
  <c r="W3289" i="1"/>
  <c r="X3289" i="1"/>
  <c r="Y3289" i="1"/>
  <c r="Z3289" i="1"/>
  <c r="A3290" i="1"/>
  <c r="B3290" i="1"/>
  <c r="C3290" i="1"/>
  <c r="D3290" i="1"/>
  <c r="E3290" i="1"/>
  <c r="F3290" i="1"/>
  <c r="G3290" i="1"/>
  <c r="I3290" i="1"/>
  <c r="J3290" i="1"/>
  <c r="K3290" i="1"/>
  <c r="L3290" i="1"/>
  <c r="M3290" i="1"/>
  <c r="N3290" i="1"/>
  <c r="O3290" i="1"/>
  <c r="P3290" i="1"/>
  <c r="Q3290" i="1"/>
  <c r="R3290" i="1"/>
  <c r="S3290" i="1"/>
  <c r="T3290" i="1"/>
  <c r="U3290" i="1"/>
  <c r="V3290" i="1"/>
  <c r="W3290" i="1"/>
  <c r="X3290" i="1"/>
  <c r="Y3290" i="1"/>
  <c r="Z3290" i="1"/>
  <c r="A3291" i="1"/>
  <c r="B3291" i="1"/>
  <c r="C3291" i="1"/>
  <c r="D3291" i="1"/>
  <c r="E3291" i="1"/>
  <c r="F3291" i="1"/>
  <c r="G3291" i="1"/>
  <c r="I3291" i="1"/>
  <c r="J3291" i="1"/>
  <c r="K3291" i="1"/>
  <c r="L3291" i="1"/>
  <c r="M3291" i="1"/>
  <c r="N3291" i="1"/>
  <c r="O3291" i="1"/>
  <c r="P3291" i="1"/>
  <c r="Q3291" i="1"/>
  <c r="R3291" i="1"/>
  <c r="S3291" i="1"/>
  <c r="T3291" i="1"/>
  <c r="U3291" i="1"/>
  <c r="V3291" i="1"/>
  <c r="W3291" i="1"/>
  <c r="X3291" i="1"/>
  <c r="Y3291" i="1"/>
  <c r="Z3291" i="1"/>
  <c r="A3292" i="1"/>
  <c r="B3292" i="1"/>
  <c r="C3292" i="1"/>
  <c r="D3292" i="1"/>
  <c r="E3292" i="1"/>
  <c r="F3292" i="1"/>
  <c r="G3292" i="1"/>
  <c r="I3292" i="1"/>
  <c r="J3292" i="1"/>
  <c r="K3292" i="1"/>
  <c r="L3292" i="1"/>
  <c r="M3292" i="1"/>
  <c r="N3292" i="1"/>
  <c r="O3292" i="1"/>
  <c r="P3292" i="1"/>
  <c r="Q3292" i="1"/>
  <c r="R3292" i="1"/>
  <c r="S3292" i="1"/>
  <c r="T3292" i="1"/>
  <c r="U3292" i="1"/>
  <c r="V3292" i="1"/>
  <c r="W3292" i="1"/>
  <c r="X3292" i="1"/>
  <c r="Y3292" i="1"/>
  <c r="Z3292" i="1"/>
  <c r="A3293" i="1"/>
  <c r="B3293" i="1"/>
  <c r="C3293" i="1"/>
  <c r="D3293" i="1"/>
  <c r="E3293" i="1"/>
  <c r="F3293" i="1"/>
  <c r="G3293" i="1"/>
  <c r="I3293" i="1"/>
  <c r="J3293" i="1"/>
  <c r="K3293" i="1"/>
  <c r="L3293" i="1"/>
  <c r="M3293" i="1"/>
  <c r="N3293" i="1"/>
  <c r="O3293" i="1"/>
  <c r="P3293" i="1"/>
  <c r="Q3293" i="1"/>
  <c r="R3293" i="1"/>
  <c r="S3293" i="1"/>
  <c r="T3293" i="1"/>
  <c r="U3293" i="1"/>
  <c r="V3293" i="1"/>
  <c r="W3293" i="1"/>
  <c r="X3293" i="1"/>
  <c r="Y3293" i="1"/>
  <c r="Z3293" i="1"/>
  <c r="A3294" i="1"/>
  <c r="B3294" i="1"/>
  <c r="C3294" i="1"/>
  <c r="D3294" i="1"/>
  <c r="E3294" i="1"/>
  <c r="F3294" i="1"/>
  <c r="G3294" i="1"/>
  <c r="I3294" i="1"/>
  <c r="J3294" i="1"/>
  <c r="K3294" i="1"/>
  <c r="L3294" i="1"/>
  <c r="M3294" i="1"/>
  <c r="N3294" i="1"/>
  <c r="O3294" i="1"/>
  <c r="P3294" i="1"/>
  <c r="Q3294" i="1"/>
  <c r="R3294" i="1"/>
  <c r="S3294" i="1"/>
  <c r="T3294" i="1"/>
  <c r="U3294" i="1"/>
  <c r="V3294" i="1"/>
  <c r="W3294" i="1"/>
  <c r="X3294" i="1"/>
  <c r="Y3294" i="1"/>
  <c r="Z3294" i="1"/>
  <c r="A3295" i="1"/>
  <c r="B3295" i="1"/>
  <c r="C3295" i="1"/>
  <c r="D3295" i="1"/>
  <c r="E3295" i="1"/>
  <c r="F3295" i="1"/>
  <c r="G3295" i="1"/>
  <c r="I3295" i="1"/>
  <c r="J3295" i="1"/>
  <c r="K3295" i="1"/>
  <c r="L3295" i="1"/>
  <c r="M3295" i="1"/>
  <c r="N3295" i="1"/>
  <c r="O3295" i="1"/>
  <c r="P3295" i="1"/>
  <c r="Q3295" i="1"/>
  <c r="R3295" i="1"/>
  <c r="S3295" i="1"/>
  <c r="T3295" i="1"/>
  <c r="U3295" i="1"/>
  <c r="V3295" i="1"/>
  <c r="W3295" i="1"/>
  <c r="X3295" i="1"/>
  <c r="Y3295" i="1"/>
  <c r="Z3295" i="1"/>
  <c r="A3296" i="1"/>
  <c r="B3296" i="1"/>
  <c r="C3296" i="1"/>
  <c r="D3296" i="1"/>
  <c r="E3296" i="1"/>
  <c r="F3296" i="1"/>
  <c r="G3296" i="1"/>
  <c r="I3296" i="1"/>
  <c r="J3296" i="1"/>
  <c r="K3296" i="1"/>
  <c r="L3296" i="1"/>
  <c r="M3296" i="1"/>
  <c r="N3296" i="1"/>
  <c r="O3296" i="1"/>
  <c r="P3296" i="1"/>
  <c r="Q3296" i="1"/>
  <c r="R3296" i="1"/>
  <c r="S3296" i="1"/>
  <c r="T3296" i="1"/>
  <c r="U3296" i="1"/>
  <c r="V3296" i="1"/>
  <c r="W3296" i="1"/>
  <c r="X3296" i="1"/>
  <c r="Y3296" i="1"/>
  <c r="Z3296" i="1"/>
  <c r="A3297" i="1"/>
  <c r="B3297" i="1"/>
  <c r="C3297" i="1"/>
  <c r="D3297" i="1"/>
  <c r="E3297" i="1"/>
  <c r="F3297" i="1"/>
  <c r="G3297" i="1"/>
  <c r="I3297" i="1"/>
  <c r="J3297" i="1"/>
  <c r="K3297" i="1"/>
  <c r="L3297" i="1"/>
  <c r="M3297" i="1"/>
  <c r="N3297" i="1"/>
  <c r="O3297" i="1"/>
  <c r="P3297" i="1"/>
  <c r="Q3297" i="1"/>
  <c r="R3297" i="1"/>
  <c r="S3297" i="1"/>
  <c r="T3297" i="1"/>
  <c r="U3297" i="1"/>
  <c r="V3297" i="1"/>
  <c r="W3297" i="1"/>
  <c r="X3297" i="1"/>
  <c r="Y3297" i="1"/>
  <c r="Z3297" i="1"/>
  <c r="A3298" i="1"/>
  <c r="B3298" i="1"/>
  <c r="C3298" i="1"/>
  <c r="D3298" i="1"/>
  <c r="E3298" i="1"/>
  <c r="F3298" i="1"/>
  <c r="G3298" i="1"/>
  <c r="I3298" i="1"/>
  <c r="J3298" i="1"/>
  <c r="K3298" i="1"/>
  <c r="L3298" i="1"/>
  <c r="M3298" i="1"/>
  <c r="N3298" i="1"/>
  <c r="O3298" i="1"/>
  <c r="P3298" i="1"/>
  <c r="Q3298" i="1"/>
  <c r="R3298" i="1"/>
  <c r="S3298" i="1"/>
  <c r="T3298" i="1"/>
  <c r="U3298" i="1"/>
  <c r="V3298" i="1"/>
  <c r="W3298" i="1"/>
  <c r="X3298" i="1"/>
  <c r="Y3298" i="1"/>
  <c r="Z3298" i="1"/>
  <c r="A3299" i="1"/>
  <c r="B3299" i="1"/>
  <c r="C3299" i="1"/>
  <c r="D3299" i="1"/>
  <c r="E3299" i="1"/>
  <c r="F3299" i="1"/>
  <c r="G3299" i="1"/>
  <c r="I3299" i="1"/>
  <c r="J3299" i="1"/>
  <c r="K3299" i="1"/>
  <c r="L3299" i="1"/>
  <c r="M3299" i="1"/>
  <c r="N3299" i="1"/>
  <c r="O3299" i="1"/>
  <c r="P3299" i="1"/>
  <c r="Q3299" i="1"/>
  <c r="R3299" i="1"/>
  <c r="S3299" i="1"/>
  <c r="T3299" i="1"/>
  <c r="U3299" i="1"/>
  <c r="V3299" i="1"/>
  <c r="W3299" i="1"/>
  <c r="X3299" i="1"/>
  <c r="Y3299" i="1"/>
  <c r="Z3299" i="1"/>
  <c r="A3300" i="1"/>
  <c r="B3300" i="1"/>
  <c r="C3300" i="1"/>
  <c r="D3300" i="1"/>
  <c r="E3300" i="1"/>
  <c r="F3300" i="1"/>
  <c r="G3300" i="1"/>
  <c r="I3300" i="1"/>
  <c r="J3300" i="1"/>
  <c r="K3300" i="1"/>
  <c r="L3300" i="1"/>
  <c r="M3300" i="1"/>
  <c r="N3300" i="1"/>
  <c r="O3300" i="1"/>
  <c r="P3300" i="1"/>
  <c r="Q3300" i="1"/>
  <c r="R3300" i="1"/>
  <c r="S3300" i="1"/>
  <c r="T3300" i="1"/>
  <c r="U3300" i="1"/>
  <c r="V3300" i="1"/>
  <c r="W3300" i="1"/>
  <c r="X3300" i="1"/>
  <c r="Y3300" i="1"/>
  <c r="Z3300" i="1"/>
  <c r="A3301" i="1"/>
  <c r="B3301" i="1"/>
  <c r="C3301" i="1"/>
  <c r="D3301" i="1"/>
  <c r="E3301" i="1"/>
  <c r="F3301" i="1"/>
  <c r="G3301" i="1"/>
  <c r="I3301" i="1"/>
  <c r="J3301" i="1"/>
  <c r="K3301" i="1"/>
  <c r="L3301" i="1"/>
  <c r="M3301" i="1"/>
  <c r="N3301" i="1"/>
  <c r="O3301" i="1"/>
  <c r="P3301" i="1"/>
  <c r="Q3301" i="1"/>
  <c r="R3301" i="1"/>
  <c r="S3301" i="1"/>
  <c r="T3301" i="1"/>
  <c r="U3301" i="1"/>
  <c r="V3301" i="1"/>
  <c r="W3301" i="1"/>
  <c r="X3301" i="1"/>
  <c r="Y3301" i="1"/>
  <c r="Z3301" i="1"/>
  <c r="A3302" i="1"/>
  <c r="B3302" i="1"/>
  <c r="C3302" i="1"/>
  <c r="D3302" i="1"/>
  <c r="E3302" i="1"/>
  <c r="F3302" i="1"/>
  <c r="G3302" i="1"/>
  <c r="I3302" i="1"/>
  <c r="J3302" i="1"/>
  <c r="K3302" i="1"/>
  <c r="L3302" i="1"/>
  <c r="M3302" i="1"/>
  <c r="N3302" i="1"/>
  <c r="O3302" i="1"/>
  <c r="P3302" i="1"/>
  <c r="Q3302" i="1"/>
  <c r="R3302" i="1"/>
  <c r="S3302" i="1"/>
  <c r="T3302" i="1"/>
  <c r="U3302" i="1"/>
  <c r="V3302" i="1"/>
  <c r="W3302" i="1"/>
  <c r="X3302" i="1"/>
  <c r="Y3302" i="1"/>
  <c r="Z3302" i="1"/>
  <c r="A3303" i="1"/>
  <c r="B3303" i="1"/>
  <c r="C3303" i="1"/>
  <c r="D3303" i="1"/>
  <c r="E3303" i="1"/>
  <c r="F3303" i="1"/>
  <c r="G3303" i="1"/>
  <c r="I3303" i="1"/>
  <c r="J3303" i="1"/>
  <c r="K3303" i="1"/>
  <c r="L3303" i="1"/>
  <c r="M3303" i="1"/>
  <c r="N3303" i="1"/>
  <c r="O3303" i="1"/>
  <c r="P3303" i="1"/>
  <c r="Q3303" i="1"/>
  <c r="R3303" i="1"/>
  <c r="S3303" i="1"/>
  <c r="T3303" i="1"/>
  <c r="U3303" i="1"/>
  <c r="V3303" i="1"/>
  <c r="W3303" i="1"/>
  <c r="X3303" i="1"/>
  <c r="Y3303" i="1"/>
  <c r="Z3303" i="1"/>
  <c r="A3304" i="1"/>
  <c r="B3304" i="1"/>
  <c r="C3304" i="1"/>
  <c r="D3304" i="1"/>
  <c r="E3304" i="1"/>
  <c r="F3304" i="1"/>
  <c r="G3304" i="1"/>
  <c r="I3304" i="1"/>
  <c r="J3304" i="1"/>
  <c r="K3304" i="1"/>
  <c r="L3304" i="1"/>
  <c r="M3304" i="1"/>
  <c r="N3304" i="1"/>
  <c r="O3304" i="1"/>
  <c r="P3304" i="1"/>
  <c r="Q3304" i="1"/>
  <c r="R3304" i="1"/>
  <c r="S3304" i="1"/>
  <c r="T3304" i="1"/>
  <c r="U3304" i="1"/>
  <c r="V3304" i="1"/>
  <c r="W3304" i="1"/>
  <c r="X3304" i="1"/>
  <c r="Y3304" i="1"/>
  <c r="Z3304" i="1"/>
  <c r="A3305" i="1"/>
  <c r="B3305" i="1"/>
  <c r="C3305" i="1"/>
  <c r="D3305" i="1"/>
  <c r="E3305" i="1"/>
  <c r="F3305" i="1"/>
  <c r="G3305" i="1"/>
  <c r="I3305" i="1"/>
  <c r="J3305" i="1"/>
  <c r="K3305" i="1"/>
  <c r="L3305" i="1"/>
  <c r="M3305" i="1"/>
  <c r="N3305" i="1"/>
  <c r="O3305" i="1"/>
  <c r="P3305" i="1"/>
  <c r="Q3305" i="1"/>
  <c r="R3305" i="1"/>
  <c r="S3305" i="1"/>
  <c r="T3305" i="1"/>
  <c r="U3305" i="1"/>
  <c r="V3305" i="1"/>
  <c r="W3305" i="1"/>
  <c r="X3305" i="1"/>
  <c r="Y3305" i="1"/>
  <c r="Z3305" i="1"/>
  <c r="A3306" i="1"/>
  <c r="B3306" i="1"/>
  <c r="C3306" i="1"/>
  <c r="D3306" i="1"/>
  <c r="E3306" i="1"/>
  <c r="F3306" i="1"/>
  <c r="G3306" i="1"/>
  <c r="I3306" i="1"/>
  <c r="J3306" i="1"/>
  <c r="K3306" i="1"/>
  <c r="L3306" i="1"/>
  <c r="M3306" i="1"/>
  <c r="N3306" i="1"/>
  <c r="O3306" i="1"/>
  <c r="P3306" i="1"/>
  <c r="Q3306" i="1"/>
  <c r="R3306" i="1"/>
  <c r="S3306" i="1"/>
  <c r="T3306" i="1"/>
  <c r="U3306" i="1"/>
  <c r="V3306" i="1"/>
  <c r="W3306" i="1"/>
  <c r="X3306" i="1"/>
  <c r="Y3306" i="1"/>
  <c r="Z3306" i="1"/>
  <c r="A3307" i="1"/>
  <c r="B3307" i="1"/>
  <c r="C3307" i="1"/>
  <c r="D3307" i="1"/>
  <c r="E3307" i="1"/>
  <c r="F3307" i="1"/>
  <c r="G3307" i="1"/>
  <c r="I3307" i="1"/>
  <c r="J3307" i="1"/>
  <c r="K3307" i="1"/>
  <c r="L3307" i="1"/>
  <c r="M3307" i="1"/>
  <c r="N3307" i="1"/>
  <c r="O3307" i="1"/>
  <c r="P3307" i="1"/>
  <c r="Q3307" i="1"/>
  <c r="R3307" i="1"/>
  <c r="S3307" i="1"/>
  <c r="T3307" i="1"/>
  <c r="U3307" i="1"/>
  <c r="V3307" i="1"/>
  <c r="W3307" i="1"/>
  <c r="X3307" i="1"/>
  <c r="Y3307" i="1"/>
  <c r="Z3307" i="1"/>
  <c r="A3308" i="1"/>
  <c r="B3308" i="1"/>
  <c r="C3308" i="1"/>
  <c r="D3308" i="1"/>
  <c r="E3308" i="1"/>
  <c r="F3308" i="1"/>
  <c r="G3308" i="1"/>
  <c r="I3308" i="1"/>
  <c r="J3308" i="1"/>
  <c r="K3308" i="1"/>
  <c r="L3308" i="1"/>
  <c r="M3308" i="1"/>
  <c r="N3308" i="1"/>
  <c r="O3308" i="1"/>
  <c r="P3308" i="1"/>
  <c r="Q3308" i="1"/>
  <c r="R3308" i="1"/>
  <c r="S3308" i="1"/>
  <c r="T3308" i="1"/>
  <c r="U3308" i="1"/>
  <c r="V3308" i="1"/>
  <c r="W3308" i="1"/>
  <c r="X3308" i="1"/>
  <c r="Y3308" i="1"/>
  <c r="Z3308" i="1"/>
  <c r="A3309" i="1"/>
  <c r="B3309" i="1"/>
  <c r="C3309" i="1"/>
  <c r="D3309" i="1"/>
  <c r="E3309" i="1"/>
  <c r="F3309" i="1"/>
  <c r="G3309" i="1"/>
  <c r="I3309" i="1"/>
  <c r="J3309" i="1"/>
  <c r="K3309" i="1"/>
  <c r="L3309" i="1"/>
  <c r="M3309" i="1"/>
  <c r="N3309" i="1"/>
  <c r="O3309" i="1"/>
  <c r="P3309" i="1"/>
  <c r="Q3309" i="1"/>
  <c r="R3309" i="1"/>
  <c r="S3309" i="1"/>
  <c r="T3309" i="1"/>
  <c r="U3309" i="1"/>
  <c r="V3309" i="1"/>
  <c r="W3309" i="1"/>
  <c r="X3309" i="1"/>
  <c r="Y3309" i="1"/>
  <c r="Z3309" i="1"/>
  <c r="A3310" i="1"/>
  <c r="B3310" i="1"/>
  <c r="C3310" i="1"/>
  <c r="D3310" i="1"/>
  <c r="E3310" i="1"/>
  <c r="F3310" i="1"/>
  <c r="G3310" i="1"/>
  <c r="I3310" i="1"/>
  <c r="J3310" i="1"/>
  <c r="K3310" i="1"/>
  <c r="L3310" i="1"/>
  <c r="M3310" i="1"/>
  <c r="N3310" i="1"/>
  <c r="O3310" i="1"/>
  <c r="P3310" i="1"/>
  <c r="Q3310" i="1"/>
  <c r="R3310" i="1"/>
  <c r="S3310" i="1"/>
  <c r="T3310" i="1"/>
  <c r="U3310" i="1"/>
  <c r="V3310" i="1"/>
  <c r="W3310" i="1"/>
  <c r="X3310" i="1"/>
  <c r="Y3310" i="1"/>
  <c r="Z3310" i="1"/>
  <c r="A3311" i="1"/>
  <c r="B3311" i="1"/>
  <c r="C3311" i="1"/>
  <c r="D3311" i="1"/>
  <c r="E3311" i="1"/>
  <c r="F3311" i="1"/>
  <c r="G3311" i="1"/>
  <c r="I3311" i="1"/>
  <c r="J3311" i="1"/>
  <c r="K3311" i="1"/>
  <c r="L3311" i="1"/>
  <c r="M3311" i="1"/>
  <c r="N3311" i="1"/>
  <c r="O3311" i="1"/>
  <c r="P3311" i="1"/>
  <c r="Q3311" i="1"/>
  <c r="R3311" i="1"/>
  <c r="S3311" i="1"/>
  <c r="T3311" i="1"/>
  <c r="U3311" i="1"/>
  <c r="V3311" i="1"/>
  <c r="W3311" i="1"/>
  <c r="X3311" i="1"/>
  <c r="Y3311" i="1"/>
  <c r="Z3311" i="1"/>
  <c r="A3312" i="1"/>
  <c r="B3312" i="1"/>
  <c r="C3312" i="1"/>
  <c r="D3312" i="1"/>
  <c r="E3312" i="1"/>
  <c r="F3312" i="1"/>
  <c r="G3312" i="1"/>
  <c r="I3312" i="1"/>
  <c r="J3312" i="1"/>
  <c r="K3312" i="1"/>
  <c r="L3312" i="1"/>
  <c r="M3312" i="1"/>
  <c r="N3312" i="1"/>
  <c r="O3312" i="1"/>
  <c r="P3312" i="1"/>
  <c r="Q3312" i="1"/>
  <c r="R3312" i="1"/>
  <c r="S3312" i="1"/>
  <c r="T3312" i="1"/>
  <c r="U3312" i="1"/>
  <c r="V3312" i="1"/>
  <c r="W3312" i="1"/>
  <c r="X3312" i="1"/>
  <c r="Y3312" i="1"/>
  <c r="Z3312" i="1"/>
  <c r="A3313" i="1"/>
  <c r="B3313" i="1"/>
  <c r="C3313" i="1"/>
  <c r="D3313" i="1"/>
  <c r="E3313" i="1"/>
  <c r="F3313" i="1"/>
  <c r="G3313" i="1"/>
  <c r="I3313" i="1"/>
  <c r="J3313" i="1"/>
  <c r="K3313" i="1"/>
  <c r="L3313" i="1"/>
  <c r="M3313" i="1"/>
  <c r="N3313" i="1"/>
  <c r="O3313" i="1"/>
  <c r="P3313" i="1"/>
  <c r="Q3313" i="1"/>
  <c r="R3313" i="1"/>
  <c r="S3313" i="1"/>
  <c r="T3313" i="1"/>
  <c r="U3313" i="1"/>
  <c r="V3313" i="1"/>
  <c r="W3313" i="1"/>
  <c r="X3313" i="1"/>
  <c r="Y3313" i="1"/>
  <c r="Z3313" i="1"/>
  <c r="A3314" i="1"/>
  <c r="B3314" i="1"/>
  <c r="C3314" i="1"/>
  <c r="D3314" i="1"/>
  <c r="E3314" i="1"/>
  <c r="F3314" i="1"/>
  <c r="G3314" i="1"/>
  <c r="I3314" i="1"/>
  <c r="J3314" i="1"/>
  <c r="K3314" i="1"/>
  <c r="L3314" i="1"/>
  <c r="M3314" i="1"/>
  <c r="N3314" i="1"/>
  <c r="O3314" i="1"/>
  <c r="P3314" i="1"/>
  <c r="Q3314" i="1"/>
  <c r="R3314" i="1"/>
  <c r="S3314" i="1"/>
  <c r="T3314" i="1"/>
  <c r="U3314" i="1"/>
  <c r="V3314" i="1"/>
  <c r="W3314" i="1"/>
  <c r="X3314" i="1"/>
  <c r="Y3314" i="1"/>
  <c r="Z3314" i="1"/>
  <c r="A3315" i="1"/>
  <c r="B3315" i="1"/>
  <c r="C3315" i="1"/>
  <c r="D3315" i="1"/>
  <c r="E3315" i="1"/>
  <c r="F3315" i="1"/>
  <c r="G3315" i="1"/>
  <c r="I3315" i="1"/>
  <c r="J3315" i="1"/>
  <c r="K3315" i="1"/>
  <c r="L3315" i="1"/>
  <c r="M3315" i="1"/>
  <c r="N3315" i="1"/>
  <c r="O3315" i="1"/>
  <c r="P3315" i="1"/>
  <c r="Q3315" i="1"/>
  <c r="R3315" i="1"/>
  <c r="S3315" i="1"/>
  <c r="T3315" i="1"/>
  <c r="U3315" i="1"/>
  <c r="V3315" i="1"/>
  <c r="W3315" i="1"/>
  <c r="X3315" i="1"/>
  <c r="Y3315" i="1"/>
  <c r="Z3315" i="1"/>
  <c r="A3316" i="1"/>
  <c r="B3316" i="1"/>
  <c r="C3316" i="1"/>
  <c r="D3316" i="1"/>
  <c r="E3316" i="1"/>
  <c r="F3316" i="1"/>
  <c r="G3316" i="1"/>
  <c r="I3316" i="1"/>
  <c r="J3316" i="1"/>
  <c r="K3316" i="1"/>
  <c r="L3316" i="1"/>
  <c r="M3316" i="1"/>
  <c r="N3316" i="1"/>
  <c r="O3316" i="1"/>
  <c r="P3316" i="1"/>
  <c r="Q3316" i="1"/>
  <c r="R3316" i="1"/>
  <c r="S3316" i="1"/>
  <c r="T3316" i="1"/>
  <c r="U3316" i="1"/>
  <c r="V3316" i="1"/>
  <c r="W3316" i="1"/>
  <c r="X3316" i="1"/>
  <c r="Y3316" i="1"/>
  <c r="Z3316" i="1"/>
  <c r="A3317" i="1"/>
  <c r="B3317" i="1"/>
  <c r="C3317" i="1"/>
  <c r="D3317" i="1"/>
  <c r="E3317" i="1"/>
  <c r="F3317" i="1"/>
  <c r="G3317" i="1"/>
  <c r="I3317" i="1"/>
  <c r="J3317" i="1"/>
  <c r="K3317" i="1"/>
  <c r="L3317" i="1"/>
  <c r="M3317" i="1"/>
  <c r="N3317" i="1"/>
  <c r="O3317" i="1"/>
  <c r="P3317" i="1"/>
  <c r="Q3317" i="1"/>
  <c r="R3317" i="1"/>
  <c r="S3317" i="1"/>
  <c r="T3317" i="1"/>
  <c r="U3317" i="1"/>
  <c r="V3317" i="1"/>
  <c r="W3317" i="1"/>
  <c r="X3317" i="1"/>
  <c r="Y3317" i="1"/>
  <c r="Z3317" i="1"/>
  <c r="A3318" i="1"/>
  <c r="B3318" i="1"/>
  <c r="C3318" i="1"/>
  <c r="D3318" i="1"/>
  <c r="E3318" i="1"/>
  <c r="F3318" i="1"/>
  <c r="G3318" i="1"/>
  <c r="I3318" i="1"/>
  <c r="J3318" i="1"/>
  <c r="K3318" i="1"/>
  <c r="L3318" i="1"/>
  <c r="M3318" i="1"/>
  <c r="N3318" i="1"/>
  <c r="O3318" i="1"/>
  <c r="P3318" i="1"/>
  <c r="Q3318" i="1"/>
  <c r="R3318" i="1"/>
  <c r="S3318" i="1"/>
  <c r="T3318" i="1"/>
  <c r="U3318" i="1"/>
  <c r="V3318" i="1"/>
  <c r="W3318" i="1"/>
  <c r="X3318" i="1"/>
  <c r="Y3318" i="1"/>
  <c r="Z3318" i="1"/>
  <c r="A3319" i="1"/>
  <c r="B3319" i="1"/>
  <c r="C3319" i="1"/>
  <c r="D3319" i="1"/>
  <c r="E3319" i="1"/>
  <c r="F3319" i="1"/>
  <c r="G3319" i="1"/>
  <c r="I3319" i="1"/>
  <c r="J3319" i="1"/>
  <c r="K3319" i="1"/>
  <c r="L3319" i="1"/>
  <c r="M3319" i="1"/>
  <c r="N3319" i="1"/>
  <c r="O3319" i="1"/>
  <c r="P3319" i="1"/>
  <c r="Q3319" i="1"/>
  <c r="R3319" i="1"/>
  <c r="S3319" i="1"/>
  <c r="T3319" i="1"/>
  <c r="U3319" i="1"/>
  <c r="V3319" i="1"/>
  <c r="W3319" i="1"/>
  <c r="X3319" i="1"/>
  <c r="Y3319" i="1"/>
  <c r="Z3319" i="1"/>
  <c r="A3320" i="1"/>
  <c r="B3320" i="1"/>
  <c r="C3320" i="1"/>
  <c r="D3320" i="1"/>
  <c r="E3320" i="1"/>
  <c r="F3320" i="1"/>
  <c r="G3320" i="1"/>
  <c r="I3320" i="1"/>
  <c r="J3320" i="1"/>
  <c r="K3320" i="1"/>
  <c r="L3320" i="1"/>
  <c r="M3320" i="1"/>
  <c r="N3320" i="1"/>
  <c r="O3320" i="1"/>
  <c r="P3320" i="1"/>
  <c r="Q3320" i="1"/>
  <c r="R3320" i="1"/>
  <c r="S3320" i="1"/>
  <c r="T3320" i="1"/>
  <c r="U3320" i="1"/>
  <c r="V3320" i="1"/>
  <c r="W3320" i="1"/>
  <c r="X3320" i="1"/>
  <c r="Y3320" i="1"/>
  <c r="Z3320" i="1"/>
  <c r="A3321" i="1"/>
  <c r="B3321" i="1"/>
  <c r="C3321" i="1"/>
  <c r="D3321" i="1"/>
  <c r="E3321" i="1"/>
  <c r="F3321" i="1"/>
  <c r="G3321" i="1"/>
  <c r="I3321" i="1"/>
  <c r="J3321" i="1"/>
  <c r="K3321" i="1"/>
  <c r="L3321" i="1"/>
  <c r="M3321" i="1"/>
  <c r="N3321" i="1"/>
  <c r="O3321" i="1"/>
  <c r="P3321" i="1"/>
  <c r="Q3321" i="1"/>
  <c r="R3321" i="1"/>
  <c r="S3321" i="1"/>
  <c r="T3321" i="1"/>
  <c r="U3321" i="1"/>
  <c r="V3321" i="1"/>
  <c r="W3321" i="1"/>
  <c r="X3321" i="1"/>
  <c r="Y3321" i="1"/>
  <c r="Z3321" i="1"/>
  <c r="A3322" i="1"/>
  <c r="B3322" i="1"/>
  <c r="C3322" i="1"/>
  <c r="D3322" i="1"/>
  <c r="E3322" i="1"/>
  <c r="F3322" i="1"/>
  <c r="G3322" i="1"/>
  <c r="I3322" i="1"/>
  <c r="J3322" i="1"/>
  <c r="K3322" i="1"/>
  <c r="L3322" i="1"/>
  <c r="M3322" i="1"/>
  <c r="N3322" i="1"/>
  <c r="O3322" i="1"/>
  <c r="P3322" i="1"/>
  <c r="Q3322" i="1"/>
  <c r="R3322" i="1"/>
  <c r="S3322" i="1"/>
  <c r="T3322" i="1"/>
  <c r="U3322" i="1"/>
  <c r="V3322" i="1"/>
  <c r="W3322" i="1"/>
  <c r="X3322" i="1"/>
  <c r="Y3322" i="1"/>
  <c r="Z3322" i="1"/>
  <c r="A3323" i="1"/>
  <c r="B3323" i="1"/>
  <c r="C3323" i="1"/>
  <c r="D3323" i="1"/>
  <c r="E3323" i="1"/>
  <c r="F3323" i="1"/>
  <c r="G3323" i="1"/>
  <c r="I3323" i="1"/>
  <c r="J3323" i="1"/>
  <c r="K3323" i="1"/>
  <c r="L3323" i="1"/>
  <c r="M3323" i="1"/>
  <c r="N3323" i="1"/>
  <c r="O3323" i="1"/>
  <c r="P3323" i="1"/>
  <c r="Q3323" i="1"/>
  <c r="R3323" i="1"/>
  <c r="S3323" i="1"/>
  <c r="T3323" i="1"/>
  <c r="U3323" i="1"/>
  <c r="V3323" i="1"/>
  <c r="W3323" i="1"/>
  <c r="X3323" i="1"/>
  <c r="Y3323" i="1"/>
  <c r="Z3323" i="1"/>
  <c r="A3324" i="1"/>
  <c r="B3324" i="1"/>
  <c r="C3324" i="1"/>
  <c r="D3324" i="1"/>
  <c r="E3324" i="1"/>
  <c r="F3324" i="1"/>
  <c r="G3324" i="1"/>
  <c r="I3324" i="1"/>
  <c r="J3324" i="1"/>
  <c r="K3324" i="1"/>
  <c r="L3324" i="1"/>
  <c r="M3324" i="1"/>
  <c r="N3324" i="1"/>
  <c r="O3324" i="1"/>
  <c r="P3324" i="1"/>
  <c r="Q3324" i="1"/>
  <c r="R3324" i="1"/>
  <c r="S3324" i="1"/>
  <c r="T3324" i="1"/>
  <c r="U3324" i="1"/>
  <c r="V3324" i="1"/>
  <c r="W3324" i="1"/>
  <c r="X3324" i="1"/>
  <c r="Y3324" i="1"/>
  <c r="Z3324" i="1"/>
  <c r="A3325" i="1"/>
  <c r="B3325" i="1"/>
  <c r="C3325" i="1"/>
  <c r="D3325" i="1"/>
  <c r="E3325" i="1"/>
  <c r="F3325" i="1"/>
  <c r="G3325" i="1"/>
  <c r="I3325" i="1"/>
  <c r="J3325" i="1"/>
  <c r="K3325" i="1"/>
  <c r="L3325" i="1"/>
  <c r="M3325" i="1"/>
  <c r="N3325" i="1"/>
  <c r="O3325" i="1"/>
  <c r="P3325" i="1"/>
  <c r="Q3325" i="1"/>
  <c r="R3325" i="1"/>
  <c r="S3325" i="1"/>
  <c r="T3325" i="1"/>
  <c r="U3325" i="1"/>
  <c r="V3325" i="1"/>
  <c r="W3325" i="1"/>
  <c r="X3325" i="1"/>
  <c r="Y3325" i="1"/>
  <c r="Z3325" i="1"/>
  <c r="A3326" i="1"/>
  <c r="B3326" i="1"/>
  <c r="C3326" i="1"/>
  <c r="D3326" i="1"/>
  <c r="E3326" i="1"/>
  <c r="F3326" i="1"/>
  <c r="G3326" i="1"/>
  <c r="I3326" i="1"/>
  <c r="J3326" i="1"/>
  <c r="K3326" i="1"/>
  <c r="L3326" i="1"/>
  <c r="M3326" i="1"/>
  <c r="N3326" i="1"/>
  <c r="O3326" i="1"/>
  <c r="P3326" i="1"/>
  <c r="Q3326" i="1"/>
  <c r="R3326" i="1"/>
  <c r="S3326" i="1"/>
  <c r="T3326" i="1"/>
  <c r="U3326" i="1"/>
  <c r="V3326" i="1"/>
  <c r="W3326" i="1"/>
  <c r="X3326" i="1"/>
  <c r="Y3326" i="1"/>
  <c r="Z3326" i="1"/>
  <c r="A3327" i="1"/>
  <c r="B3327" i="1"/>
  <c r="C3327" i="1"/>
  <c r="D3327" i="1"/>
  <c r="E3327" i="1"/>
  <c r="F3327" i="1"/>
  <c r="G3327" i="1"/>
  <c r="I3327" i="1"/>
  <c r="J3327" i="1"/>
  <c r="K3327" i="1"/>
  <c r="L3327" i="1"/>
  <c r="M3327" i="1"/>
  <c r="N3327" i="1"/>
  <c r="O3327" i="1"/>
  <c r="P3327" i="1"/>
  <c r="Q3327" i="1"/>
  <c r="R3327" i="1"/>
  <c r="S3327" i="1"/>
  <c r="T3327" i="1"/>
  <c r="U3327" i="1"/>
  <c r="V3327" i="1"/>
  <c r="W3327" i="1"/>
  <c r="X3327" i="1"/>
  <c r="Y3327" i="1"/>
  <c r="Z3327" i="1"/>
  <c r="A3328" i="1"/>
  <c r="B3328" i="1"/>
  <c r="C3328" i="1"/>
  <c r="D3328" i="1"/>
  <c r="E3328" i="1"/>
  <c r="F3328" i="1"/>
  <c r="G3328" i="1"/>
  <c r="I3328" i="1"/>
  <c r="J3328" i="1"/>
  <c r="K3328" i="1"/>
  <c r="L3328" i="1"/>
  <c r="M3328" i="1"/>
  <c r="N3328" i="1"/>
  <c r="O3328" i="1"/>
  <c r="P3328" i="1"/>
  <c r="Q3328" i="1"/>
  <c r="R3328" i="1"/>
  <c r="S3328" i="1"/>
  <c r="T3328" i="1"/>
  <c r="U3328" i="1"/>
  <c r="V3328" i="1"/>
  <c r="W3328" i="1"/>
  <c r="X3328" i="1"/>
  <c r="Y3328" i="1"/>
  <c r="Z3328" i="1"/>
  <c r="A3329" i="1"/>
  <c r="B3329" i="1"/>
  <c r="C3329" i="1"/>
  <c r="D3329" i="1"/>
  <c r="E3329" i="1"/>
  <c r="F3329" i="1"/>
  <c r="G3329" i="1"/>
  <c r="I3329" i="1"/>
  <c r="J3329" i="1"/>
  <c r="K3329" i="1"/>
  <c r="L3329" i="1"/>
  <c r="M3329" i="1"/>
  <c r="N3329" i="1"/>
  <c r="O3329" i="1"/>
  <c r="P3329" i="1"/>
  <c r="Q3329" i="1"/>
  <c r="R3329" i="1"/>
  <c r="S3329" i="1"/>
  <c r="T3329" i="1"/>
  <c r="U3329" i="1"/>
  <c r="V3329" i="1"/>
  <c r="W3329" i="1"/>
  <c r="X3329" i="1"/>
  <c r="Y3329" i="1"/>
  <c r="Z3329" i="1"/>
  <c r="A3330" i="1"/>
  <c r="B3330" i="1"/>
  <c r="C3330" i="1"/>
  <c r="D3330" i="1"/>
  <c r="E3330" i="1"/>
  <c r="F3330" i="1"/>
  <c r="G3330" i="1"/>
  <c r="I3330" i="1"/>
  <c r="J3330" i="1"/>
  <c r="K3330" i="1"/>
  <c r="L3330" i="1"/>
  <c r="M3330" i="1"/>
  <c r="N3330" i="1"/>
  <c r="O3330" i="1"/>
  <c r="P3330" i="1"/>
  <c r="Q3330" i="1"/>
  <c r="R3330" i="1"/>
  <c r="S3330" i="1"/>
  <c r="T3330" i="1"/>
  <c r="U3330" i="1"/>
  <c r="V3330" i="1"/>
  <c r="W3330" i="1"/>
  <c r="X3330" i="1"/>
  <c r="Y3330" i="1"/>
  <c r="Z3330" i="1"/>
  <c r="A3331" i="1"/>
  <c r="B3331" i="1"/>
  <c r="C3331" i="1"/>
  <c r="D3331" i="1"/>
  <c r="E3331" i="1"/>
  <c r="F3331" i="1"/>
  <c r="G3331" i="1"/>
  <c r="I3331" i="1"/>
  <c r="J3331" i="1"/>
  <c r="K3331" i="1"/>
  <c r="L3331" i="1"/>
  <c r="M3331" i="1"/>
  <c r="N3331" i="1"/>
  <c r="O3331" i="1"/>
  <c r="P3331" i="1"/>
  <c r="Q3331" i="1"/>
  <c r="R3331" i="1"/>
  <c r="S3331" i="1"/>
  <c r="T3331" i="1"/>
  <c r="U3331" i="1"/>
  <c r="V3331" i="1"/>
  <c r="W3331" i="1"/>
  <c r="X3331" i="1"/>
  <c r="Y3331" i="1"/>
  <c r="Z3331" i="1"/>
  <c r="A3332" i="1"/>
  <c r="B3332" i="1"/>
  <c r="C3332" i="1"/>
  <c r="D3332" i="1"/>
  <c r="E3332" i="1"/>
  <c r="F3332" i="1"/>
  <c r="G3332" i="1"/>
  <c r="I3332" i="1"/>
  <c r="J3332" i="1"/>
  <c r="K3332" i="1"/>
  <c r="L3332" i="1"/>
  <c r="M3332" i="1"/>
  <c r="N3332" i="1"/>
  <c r="O3332" i="1"/>
  <c r="P3332" i="1"/>
  <c r="Q3332" i="1"/>
  <c r="R3332" i="1"/>
  <c r="S3332" i="1"/>
  <c r="T3332" i="1"/>
  <c r="U3332" i="1"/>
  <c r="V3332" i="1"/>
  <c r="W3332" i="1"/>
  <c r="X3332" i="1"/>
  <c r="Y3332" i="1"/>
  <c r="Z3332" i="1"/>
  <c r="A3333" i="1"/>
  <c r="B3333" i="1"/>
  <c r="C3333" i="1"/>
  <c r="D3333" i="1"/>
  <c r="E3333" i="1"/>
  <c r="F3333" i="1"/>
  <c r="G3333" i="1"/>
  <c r="I3333" i="1"/>
  <c r="J3333" i="1"/>
  <c r="K3333" i="1"/>
  <c r="L3333" i="1"/>
  <c r="M3333" i="1"/>
  <c r="N3333" i="1"/>
  <c r="O3333" i="1"/>
  <c r="P3333" i="1"/>
  <c r="Q3333" i="1"/>
  <c r="R3333" i="1"/>
  <c r="S3333" i="1"/>
  <c r="T3333" i="1"/>
  <c r="U3333" i="1"/>
  <c r="V3333" i="1"/>
  <c r="W3333" i="1"/>
  <c r="X3333" i="1"/>
  <c r="Y3333" i="1"/>
  <c r="Z3333" i="1"/>
  <c r="A3334" i="1"/>
  <c r="B3334" i="1"/>
  <c r="C3334" i="1"/>
  <c r="D3334" i="1"/>
  <c r="E3334" i="1"/>
  <c r="F3334" i="1"/>
  <c r="G3334" i="1"/>
  <c r="I3334" i="1"/>
  <c r="J3334" i="1"/>
  <c r="K3334" i="1"/>
  <c r="L3334" i="1"/>
  <c r="M3334" i="1"/>
  <c r="N3334" i="1"/>
  <c r="O3334" i="1"/>
  <c r="P3334" i="1"/>
  <c r="Q3334" i="1"/>
  <c r="R3334" i="1"/>
  <c r="S3334" i="1"/>
  <c r="T3334" i="1"/>
  <c r="U3334" i="1"/>
  <c r="V3334" i="1"/>
  <c r="W3334" i="1"/>
  <c r="X3334" i="1"/>
  <c r="Y3334" i="1"/>
  <c r="Z3334" i="1"/>
  <c r="A3335" i="1"/>
  <c r="B3335" i="1"/>
  <c r="C3335" i="1"/>
  <c r="D3335" i="1"/>
  <c r="E3335" i="1"/>
  <c r="F3335" i="1"/>
  <c r="G3335" i="1"/>
  <c r="I3335" i="1"/>
  <c r="J3335" i="1"/>
  <c r="K3335" i="1"/>
  <c r="L3335" i="1"/>
  <c r="M3335" i="1"/>
  <c r="N3335" i="1"/>
  <c r="O3335" i="1"/>
  <c r="P3335" i="1"/>
  <c r="Q3335" i="1"/>
  <c r="R3335" i="1"/>
  <c r="S3335" i="1"/>
  <c r="T3335" i="1"/>
  <c r="U3335" i="1"/>
  <c r="V3335" i="1"/>
  <c r="W3335" i="1"/>
  <c r="X3335" i="1"/>
  <c r="Y3335" i="1"/>
  <c r="Z3335" i="1"/>
  <c r="A3336" i="1"/>
  <c r="B3336" i="1"/>
  <c r="C3336" i="1"/>
  <c r="D3336" i="1"/>
  <c r="E3336" i="1"/>
  <c r="F3336" i="1"/>
  <c r="G3336" i="1"/>
  <c r="I3336" i="1"/>
  <c r="J3336" i="1"/>
  <c r="K3336" i="1"/>
  <c r="L3336" i="1"/>
  <c r="M3336" i="1"/>
  <c r="N3336" i="1"/>
  <c r="O3336" i="1"/>
  <c r="P3336" i="1"/>
  <c r="Q3336" i="1"/>
  <c r="R3336" i="1"/>
  <c r="S3336" i="1"/>
  <c r="T3336" i="1"/>
  <c r="U3336" i="1"/>
  <c r="V3336" i="1"/>
  <c r="W3336" i="1"/>
  <c r="X3336" i="1"/>
  <c r="Y3336" i="1"/>
  <c r="Z3336" i="1"/>
  <c r="A3337" i="1"/>
  <c r="B3337" i="1"/>
  <c r="C3337" i="1"/>
  <c r="D3337" i="1"/>
  <c r="E3337" i="1"/>
  <c r="F3337" i="1"/>
  <c r="G3337" i="1"/>
  <c r="I3337" i="1"/>
  <c r="J3337" i="1"/>
  <c r="K3337" i="1"/>
  <c r="L3337" i="1"/>
  <c r="M3337" i="1"/>
  <c r="N3337" i="1"/>
  <c r="O3337" i="1"/>
  <c r="P3337" i="1"/>
  <c r="Q3337" i="1"/>
  <c r="R3337" i="1"/>
  <c r="S3337" i="1"/>
  <c r="T3337" i="1"/>
  <c r="U3337" i="1"/>
  <c r="V3337" i="1"/>
  <c r="W3337" i="1"/>
  <c r="X3337" i="1"/>
  <c r="Y3337" i="1"/>
  <c r="Z3337" i="1"/>
  <c r="A3338" i="1"/>
  <c r="B3338" i="1"/>
  <c r="C3338" i="1"/>
  <c r="D3338" i="1"/>
  <c r="E3338" i="1"/>
  <c r="F3338" i="1"/>
  <c r="G3338" i="1"/>
  <c r="I3338" i="1"/>
  <c r="J3338" i="1"/>
  <c r="K3338" i="1"/>
  <c r="L3338" i="1"/>
  <c r="M3338" i="1"/>
  <c r="N3338" i="1"/>
  <c r="O3338" i="1"/>
  <c r="P3338" i="1"/>
  <c r="Q3338" i="1"/>
  <c r="R3338" i="1"/>
  <c r="S3338" i="1"/>
  <c r="T3338" i="1"/>
  <c r="U3338" i="1"/>
  <c r="V3338" i="1"/>
  <c r="W3338" i="1"/>
  <c r="X3338" i="1"/>
  <c r="Y3338" i="1"/>
  <c r="Z3338" i="1"/>
  <c r="A3339" i="1"/>
  <c r="B3339" i="1"/>
  <c r="C3339" i="1"/>
  <c r="D3339" i="1"/>
  <c r="E3339" i="1"/>
  <c r="F3339" i="1"/>
  <c r="G3339" i="1"/>
  <c r="I3339" i="1"/>
  <c r="J3339" i="1"/>
  <c r="K3339" i="1"/>
  <c r="L3339" i="1"/>
  <c r="M3339" i="1"/>
  <c r="N3339" i="1"/>
  <c r="O3339" i="1"/>
  <c r="P3339" i="1"/>
  <c r="Q3339" i="1"/>
  <c r="R3339" i="1"/>
  <c r="S3339" i="1"/>
  <c r="T3339" i="1"/>
  <c r="U3339" i="1"/>
  <c r="V3339" i="1"/>
  <c r="W3339" i="1"/>
  <c r="X3339" i="1"/>
  <c r="Y3339" i="1"/>
  <c r="Z3339" i="1"/>
  <c r="A3340" i="1"/>
  <c r="B3340" i="1"/>
  <c r="C3340" i="1"/>
  <c r="D3340" i="1"/>
  <c r="E3340" i="1"/>
  <c r="F3340" i="1"/>
  <c r="G3340" i="1"/>
  <c r="I3340" i="1"/>
  <c r="J3340" i="1"/>
  <c r="K3340" i="1"/>
  <c r="L3340" i="1"/>
  <c r="M3340" i="1"/>
  <c r="N3340" i="1"/>
  <c r="O3340" i="1"/>
  <c r="P3340" i="1"/>
  <c r="Q3340" i="1"/>
  <c r="R3340" i="1"/>
  <c r="S3340" i="1"/>
  <c r="T3340" i="1"/>
  <c r="U3340" i="1"/>
  <c r="V3340" i="1"/>
  <c r="W3340" i="1"/>
  <c r="X3340" i="1"/>
  <c r="Y3340" i="1"/>
  <c r="Z3340" i="1"/>
  <c r="A3341" i="1"/>
  <c r="B3341" i="1"/>
  <c r="C3341" i="1"/>
  <c r="D3341" i="1"/>
  <c r="E3341" i="1"/>
  <c r="F3341" i="1"/>
  <c r="G3341" i="1"/>
  <c r="I3341" i="1"/>
  <c r="J3341" i="1"/>
  <c r="K3341" i="1"/>
  <c r="L3341" i="1"/>
  <c r="M3341" i="1"/>
  <c r="N3341" i="1"/>
  <c r="O3341" i="1"/>
  <c r="P3341" i="1"/>
  <c r="Q3341" i="1"/>
  <c r="R3341" i="1"/>
  <c r="S3341" i="1"/>
  <c r="T3341" i="1"/>
  <c r="U3341" i="1"/>
  <c r="V3341" i="1"/>
  <c r="W3341" i="1"/>
  <c r="X3341" i="1"/>
  <c r="Y3341" i="1"/>
  <c r="Z3341" i="1"/>
  <c r="A3342" i="1"/>
  <c r="B3342" i="1"/>
  <c r="C3342" i="1"/>
  <c r="D3342" i="1"/>
  <c r="E3342" i="1"/>
  <c r="F3342" i="1"/>
  <c r="G3342" i="1"/>
  <c r="I3342" i="1"/>
  <c r="J3342" i="1"/>
  <c r="K3342" i="1"/>
  <c r="L3342" i="1"/>
  <c r="M3342" i="1"/>
  <c r="N3342" i="1"/>
  <c r="O3342" i="1"/>
  <c r="P3342" i="1"/>
  <c r="Q3342" i="1"/>
  <c r="R3342" i="1"/>
  <c r="S3342" i="1"/>
  <c r="T3342" i="1"/>
  <c r="U3342" i="1"/>
  <c r="V3342" i="1"/>
  <c r="W3342" i="1"/>
  <c r="X3342" i="1"/>
  <c r="Y3342" i="1"/>
  <c r="Z3342" i="1"/>
  <c r="A3343" i="1"/>
  <c r="B3343" i="1"/>
  <c r="C3343" i="1"/>
  <c r="D3343" i="1"/>
  <c r="E3343" i="1"/>
  <c r="F3343" i="1"/>
  <c r="G3343" i="1"/>
  <c r="I3343" i="1"/>
  <c r="J3343" i="1"/>
  <c r="K3343" i="1"/>
  <c r="L3343" i="1"/>
  <c r="M3343" i="1"/>
  <c r="N3343" i="1"/>
  <c r="O3343" i="1"/>
  <c r="P3343" i="1"/>
  <c r="Q3343" i="1"/>
  <c r="R3343" i="1"/>
  <c r="S3343" i="1"/>
  <c r="T3343" i="1"/>
  <c r="U3343" i="1"/>
  <c r="V3343" i="1"/>
  <c r="W3343" i="1"/>
  <c r="X3343" i="1"/>
  <c r="Y3343" i="1"/>
  <c r="Z3343" i="1"/>
  <c r="A3344" i="1"/>
  <c r="B3344" i="1"/>
  <c r="C3344" i="1"/>
  <c r="D3344" i="1"/>
  <c r="E3344" i="1"/>
  <c r="F3344" i="1"/>
  <c r="G3344" i="1"/>
  <c r="I3344" i="1"/>
  <c r="J3344" i="1"/>
  <c r="K3344" i="1"/>
  <c r="L3344" i="1"/>
  <c r="M3344" i="1"/>
  <c r="N3344" i="1"/>
  <c r="O3344" i="1"/>
  <c r="P3344" i="1"/>
  <c r="Q3344" i="1"/>
  <c r="R3344" i="1"/>
  <c r="S3344" i="1"/>
  <c r="T3344" i="1"/>
  <c r="U3344" i="1"/>
  <c r="V3344" i="1"/>
  <c r="W3344" i="1"/>
  <c r="X3344" i="1"/>
  <c r="Y3344" i="1"/>
  <c r="Z3344" i="1"/>
  <c r="A3345" i="1"/>
  <c r="B3345" i="1"/>
  <c r="C3345" i="1"/>
  <c r="D3345" i="1"/>
  <c r="E3345" i="1"/>
  <c r="F3345" i="1"/>
  <c r="G3345" i="1"/>
  <c r="I3345" i="1"/>
  <c r="J3345" i="1"/>
  <c r="K3345" i="1"/>
  <c r="L3345" i="1"/>
  <c r="M3345" i="1"/>
  <c r="N3345" i="1"/>
  <c r="O3345" i="1"/>
  <c r="P3345" i="1"/>
  <c r="Q3345" i="1"/>
  <c r="R3345" i="1"/>
  <c r="S3345" i="1"/>
  <c r="T3345" i="1"/>
  <c r="U3345" i="1"/>
  <c r="V3345" i="1"/>
  <c r="W3345" i="1"/>
  <c r="X3345" i="1"/>
  <c r="Y3345" i="1"/>
  <c r="Z3345" i="1"/>
  <c r="A3346" i="1"/>
  <c r="B3346" i="1"/>
  <c r="C3346" i="1"/>
  <c r="D3346" i="1"/>
  <c r="E3346" i="1"/>
  <c r="F3346" i="1"/>
  <c r="G3346" i="1"/>
  <c r="I3346" i="1"/>
  <c r="J3346" i="1"/>
  <c r="K3346" i="1"/>
  <c r="L3346" i="1"/>
  <c r="M3346" i="1"/>
  <c r="N3346" i="1"/>
  <c r="O3346" i="1"/>
  <c r="P3346" i="1"/>
  <c r="Q3346" i="1"/>
  <c r="R3346" i="1"/>
  <c r="S3346" i="1"/>
  <c r="T3346" i="1"/>
  <c r="U3346" i="1"/>
  <c r="V3346" i="1"/>
  <c r="W3346" i="1"/>
  <c r="X3346" i="1"/>
  <c r="Y3346" i="1"/>
  <c r="Z3346" i="1"/>
  <c r="A3347" i="1"/>
  <c r="B3347" i="1"/>
  <c r="C3347" i="1"/>
  <c r="D3347" i="1"/>
  <c r="E3347" i="1"/>
  <c r="F3347" i="1"/>
  <c r="G3347" i="1"/>
  <c r="I3347" i="1"/>
  <c r="J3347" i="1"/>
  <c r="K3347" i="1"/>
  <c r="L3347" i="1"/>
  <c r="M3347" i="1"/>
  <c r="N3347" i="1"/>
  <c r="O3347" i="1"/>
  <c r="P3347" i="1"/>
  <c r="Q3347" i="1"/>
  <c r="R3347" i="1"/>
  <c r="S3347" i="1"/>
  <c r="T3347" i="1"/>
  <c r="U3347" i="1"/>
  <c r="V3347" i="1"/>
  <c r="W3347" i="1"/>
  <c r="X3347" i="1"/>
  <c r="Y3347" i="1"/>
  <c r="Z3347" i="1"/>
  <c r="A3348" i="1"/>
  <c r="B3348" i="1"/>
  <c r="C3348" i="1"/>
  <c r="D3348" i="1"/>
  <c r="E3348" i="1"/>
  <c r="F3348" i="1"/>
  <c r="G3348" i="1"/>
  <c r="I3348" i="1"/>
  <c r="J3348" i="1"/>
  <c r="K3348" i="1"/>
  <c r="L3348" i="1"/>
  <c r="M3348" i="1"/>
  <c r="N3348" i="1"/>
  <c r="O3348" i="1"/>
  <c r="P3348" i="1"/>
  <c r="Q3348" i="1"/>
  <c r="R3348" i="1"/>
  <c r="S3348" i="1"/>
  <c r="T3348" i="1"/>
  <c r="U3348" i="1"/>
  <c r="V3348" i="1"/>
  <c r="W3348" i="1"/>
  <c r="X3348" i="1"/>
  <c r="Y3348" i="1"/>
  <c r="Z3348" i="1"/>
  <c r="A3349" i="1"/>
  <c r="B3349" i="1"/>
  <c r="C3349" i="1"/>
  <c r="D3349" i="1"/>
  <c r="E3349" i="1"/>
  <c r="F3349" i="1"/>
  <c r="G3349" i="1"/>
  <c r="I3349" i="1"/>
  <c r="J3349" i="1"/>
  <c r="K3349" i="1"/>
  <c r="L3349" i="1"/>
  <c r="M3349" i="1"/>
  <c r="N3349" i="1"/>
  <c r="O3349" i="1"/>
  <c r="P3349" i="1"/>
  <c r="Q3349" i="1"/>
  <c r="R3349" i="1"/>
  <c r="S3349" i="1"/>
  <c r="T3349" i="1"/>
  <c r="U3349" i="1"/>
  <c r="V3349" i="1"/>
  <c r="W3349" i="1"/>
  <c r="X3349" i="1"/>
  <c r="Y3349" i="1"/>
  <c r="Z3349" i="1"/>
  <c r="A3350" i="1"/>
  <c r="B3350" i="1"/>
  <c r="C3350" i="1"/>
  <c r="D3350" i="1"/>
  <c r="E3350" i="1"/>
  <c r="F3350" i="1"/>
  <c r="G3350" i="1"/>
  <c r="I3350" i="1"/>
  <c r="J3350" i="1"/>
  <c r="K3350" i="1"/>
  <c r="L3350" i="1"/>
  <c r="M3350" i="1"/>
  <c r="N3350" i="1"/>
  <c r="O3350" i="1"/>
  <c r="P3350" i="1"/>
  <c r="Q3350" i="1"/>
  <c r="R3350" i="1"/>
  <c r="S3350" i="1"/>
  <c r="T3350" i="1"/>
  <c r="U3350" i="1"/>
  <c r="V3350" i="1"/>
  <c r="W3350" i="1"/>
  <c r="X3350" i="1"/>
  <c r="Y3350" i="1"/>
  <c r="Z3350" i="1"/>
  <c r="A3351" i="1"/>
  <c r="B3351" i="1"/>
  <c r="C3351" i="1"/>
  <c r="D3351" i="1"/>
  <c r="E3351" i="1"/>
  <c r="F3351" i="1"/>
  <c r="G3351" i="1"/>
  <c r="I3351" i="1"/>
  <c r="J3351" i="1"/>
  <c r="K3351" i="1"/>
  <c r="L3351" i="1"/>
  <c r="M3351" i="1"/>
  <c r="N3351" i="1"/>
  <c r="O3351" i="1"/>
  <c r="P3351" i="1"/>
  <c r="Q3351" i="1"/>
  <c r="R3351" i="1"/>
  <c r="S3351" i="1"/>
  <c r="T3351" i="1"/>
  <c r="U3351" i="1"/>
  <c r="V3351" i="1"/>
  <c r="W3351" i="1"/>
  <c r="X3351" i="1"/>
  <c r="Y3351" i="1"/>
  <c r="Z3351" i="1"/>
  <c r="A3352" i="1"/>
  <c r="B3352" i="1"/>
  <c r="C3352" i="1"/>
  <c r="D3352" i="1"/>
  <c r="E3352" i="1"/>
  <c r="F3352" i="1"/>
  <c r="G3352" i="1"/>
  <c r="I3352" i="1"/>
  <c r="J3352" i="1"/>
  <c r="K3352" i="1"/>
  <c r="L3352" i="1"/>
  <c r="M3352" i="1"/>
  <c r="N3352" i="1"/>
  <c r="O3352" i="1"/>
  <c r="P3352" i="1"/>
  <c r="Q3352" i="1"/>
  <c r="R3352" i="1"/>
  <c r="S3352" i="1"/>
  <c r="T3352" i="1"/>
  <c r="U3352" i="1"/>
  <c r="V3352" i="1"/>
  <c r="W3352" i="1"/>
  <c r="X3352" i="1"/>
  <c r="Y3352" i="1"/>
  <c r="Z3352" i="1"/>
  <c r="A3353" i="1"/>
  <c r="B3353" i="1"/>
  <c r="C3353" i="1"/>
  <c r="D3353" i="1"/>
  <c r="E3353" i="1"/>
  <c r="F3353" i="1"/>
  <c r="G3353" i="1"/>
  <c r="I3353" i="1"/>
  <c r="J3353" i="1"/>
  <c r="K3353" i="1"/>
  <c r="L3353" i="1"/>
  <c r="M3353" i="1"/>
  <c r="N3353" i="1"/>
  <c r="O3353" i="1"/>
  <c r="P3353" i="1"/>
  <c r="Q3353" i="1"/>
  <c r="R3353" i="1"/>
  <c r="S3353" i="1"/>
  <c r="T3353" i="1"/>
  <c r="U3353" i="1"/>
  <c r="V3353" i="1"/>
  <c r="W3353" i="1"/>
  <c r="X3353" i="1"/>
  <c r="Y3353" i="1"/>
  <c r="Z3353" i="1"/>
  <c r="A3354" i="1"/>
  <c r="B3354" i="1"/>
  <c r="C3354" i="1"/>
  <c r="D3354" i="1"/>
  <c r="E3354" i="1"/>
  <c r="F3354" i="1"/>
  <c r="G3354" i="1"/>
  <c r="I3354" i="1"/>
  <c r="J3354" i="1"/>
  <c r="K3354" i="1"/>
  <c r="L3354" i="1"/>
  <c r="M3354" i="1"/>
  <c r="N3354" i="1"/>
  <c r="O3354" i="1"/>
  <c r="P3354" i="1"/>
  <c r="Q3354" i="1"/>
  <c r="R3354" i="1"/>
  <c r="S3354" i="1"/>
  <c r="T3354" i="1"/>
  <c r="U3354" i="1"/>
  <c r="V3354" i="1"/>
  <c r="W3354" i="1"/>
  <c r="X3354" i="1"/>
  <c r="Y3354" i="1"/>
  <c r="Z3354" i="1"/>
  <c r="A3355" i="1"/>
  <c r="B3355" i="1"/>
  <c r="C3355" i="1"/>
  <c r="D3355" i="1"/>
  <c r="E3355" i="1"/>
  <c r="F3355" i="1"/>
  <c r="G3355" i="1"/>
  <c r="I3355" i="1"/>
  <c r="J3355" i="1"/>
  <c r="K3355" i="1"/>
  <c r="L3355" i="1"/>
  <c r="M3355" i="1"/>
  <c r="N3355" i="1"/>
  <c r="O3355" i="1"/>
  <c r="P3355" i="1"/>
  <c r="Q3355" i="1"/>
  <c r="R3355" i="1"/>
  <c r="S3355" i="1"/>
  <c r="T3355" i="1"/>
  <c r="U3355" i="1"/>
  <c r="V3355" i="1"/>
  <c r="W3355" i="1"/>
  <c r="X3355" i="1"/>
  <c r="Y3355" i="1"/>
  <c r="Z3355" i="1"/>
  <c r="A3356" i="1"/>
  <c r="B3356" i="1"/>
  <c r="C3356" i="1"/>
  <c r="D3356" i="1"/>
  <c r="E3356" i="1"/>
  <c r="F3356" i="1"/>
  <c r="G3356" i="1"/>
  <c r="I3356" i="1"/>
  <c r="J3356" i="1"/>
  <c r="K3356" i="1"/>
  <c r="L3356" i="1"/>
  <c r="M3356" i="1"/>
  <c r="N3356" i="1"/>
  <c r="O3356" i="1"/>
  <c r="P3356" i="1"/>
  <c r="Q3356" i="1"/>
  <c r="R3356" i="1"/>
  <c r="S3356" i="1"/>
  <c r="T3356" i="1"/>
  <c r="U3356" i="1"/>
  <c r="V3356" i="1"/>
  <c r="W3356" i="1"/>
  <c r="X3356" i="1"/>
  <c r="Y3356" i="1"/>
  <c r="Z3356" i="1"/>
  <c r="A3357" i="1"/>
  <c r="B3357" i="1"/>
  <c r="C3357" i="1"/>
  <c r="D3357" i="1"/>
  <c r="E3357" i="1"/>
  <c r="F3357" i="1"/>
  <c r="G3357" i="1"/>
  <c r="I3357" i="1"/>
  <c r="J3357" i="1"/>
  <c r="K3357" i="1"/>
  <c r="L3357" i="1"/>
  <c r="M3357" i="1"/>
  <c r="N3357" i="1"/>
  <c r="O3357" i="1"/>
  <c r="P3357" i="1"/>
  <c r="Q3357" i="1"/>
  <c r="R3357" i="1"/>
  <c r="S3357" i="1"/>
  <c r="T3357" i="1"/>
  <c r="U3357" i="1"/>
  <c r="V3357" i="1"/>
  <c r="W3357" i="1"/>
  <c r="X3357" i="1"/>
  <c r="Y3357" i="1"/>
  <c r="Z3357" i="1"/>
  <c r="A3358" i="1"/>
  <c r="B3358" i="1"/>
  <c r="C3358" i="1"/>
  <c r="D3358" i="1"/>
  <c r="E3358" i="1"/>
  <c r="F3358" i="1"/>
  <c r="G3358" i="1"/>
  <c r="I3358" i="1"/>
  <c r="J3358" i="1"/>
  <c r="K3358" i="1"/>
  <c r="L3358" i="1"/>
  <c r="M3358" i="1"/>
  <c r="N3358" i="1"/>
  <c r="O3358" i="1"/>
  <c r="P3358" i="1"/>
  <c r="Q3358" i="1"/>
  <c r="R3358" i="1"/>
  <c r="S3358" i="1"/>
  <c r="T3358" i="1"/>
  <c r="U3358" i="1"/>
  <c r="V3358" i="1"/>
  <c r="W3358" i="1"/>
  <c r="X3358" i="1"/>
  <c r="Y3358" i="1"/>
  <c r="Z3358" i="1"/>
  <c r="A3359" i="1"/>
  <c r="B3359" i="1"/>
  <c r="C3359" i="1"/>
  <c r="D3359" i="1"/>
  <c r="E3359" i="1"/>
  <c r="F3359" i="1"/>
  <c r="G3359" i="1"/>
  <c r="I3359" i="1"/>
  <c r="J3359" i="1"/>
  <c r="K3359" i="1"/>
  <c r="L3359" i="1"/>
  <c r="M3359" i="1"/>
  <c r="N3359" i="1"/>
  <c r="O3359" i="1"/>
  <c r="P3359" i="1"/>
  <c r="Q3359" i="1"/>
  <c r="R3359" i="1"/>
  <c r="S3359" i="1"/>
  <c r="T3359" i="1"/>
  <c r="U3359" i="1"/>
  <c r="V3359" i="1"/>
  <c r="W3359" i="1"/>
  <c r="X3359" i="1"/>
  <c r="Y3359" i="1"/>
  <c r="Z3359" i="1"/>
  <c r="A3360" i="1"/>
  <c r="B3360" i="1"/>
  <c r="C3360" i="1"/>
  <c r="D3360" i="1"/>
  <c r="E3360" i="1"/>
  <c r="F3360" i="1"/>
  <c r="G3360" i="1"/>
  <c r="I3360" i="1"/>
  <c r="J3360" i="1"/>
  <c r="K3360" i="1"/>
  <c r="L3360" i="1"/>
  <c r="M3360" i="1"/>
  <c r="N3360" i="1"/>
  <c r="O3360" i="1"/>
  <c r="P3360" i="1"/>
  <c r="Q3360" i="1"/>
  <c r="R3360" i="1"/>
  <c r="S3360" i="1"/>
  <c r="T3360" i="1"/>
  <c r="U3360" i="1"/>
  <c r="V3360" i="1"/>
  <c r="W3360" i="1"/>
  <c r="X3360" i="1"/>
  <c r="Y3360" i="1"/>
  <c r="Z3360" i="1"/>
  <c r="A3361" i="1"/>
  <c r="B3361" i="1"/>
  <c r="C3361" i="1"/>
  <c r="D3361" i="1"/>
  <c r="E3361" i="1"/>
  <c r="F3361" i="1"/>
  <c r="G3361" i="1"/>
  <c r="I3361" i="1"/>
  <c r="J3361" i="1"/>
  <c r="K3361" i="1"/>
  <c r="L3361" i="1"/>
  <c r="M3361" i="1"/>
  <c r="N3361" i="1"/>
  <c r="O3361" i="1"/>
  <c r="P3361" i="1"/>
  <c r="Q3361" i="1"/>
  <c r="R3361" i="1"/>
  <c r="S3361" i="1"/>
  <c r="T3361" i="1"/>
  <c r="U3361" i="1"/>
  <c r="V3361" i="1"/>
  <c r="W3361" i="1"/>
  <c r="X3361" i="1"/>
  <c r="Y3361" i="1"/>
  <c r="Z3361" i="1"/>
  <c r="A3362" i="1"/>
  <c r="B3362" i="1"/>
  <c r="C3362" i="1"/>
  <c r="D3362" i="1"/>
  <c r="E3362" i="1"/>
  <c r="F3362" i="1"/>
  <c r="G3362" i="1"/>
  <c r="I3362" i="1"/>
  <c r="J3362" i="1"/>
  <c r="K3362" i="1"/>
  <c r="L3362" i="1"/>
  <c r="M3362" i="1"/>
  <c r="N3362" i="1"/>
  <c r="O3362" i="1"/>
  <c r="P3362" i="1"/>
  <c r="Q3362" i="1"/>
  <c r="R3362" i="1"/>
  <c r="S3362" i="1"/>
  <c r="T3362" i="1"/>
  <c r="U3362" i="1"/>
  <c r="V3362" i="1"/>
  <c r="W3362" i="1"/>
  <c r="X3362" i="1"/>
  <c r="Y3362" i="1"/>
  <c r="Z3362" i="1"/>
  <c r="A3363" i="1"/>
  <c r="B3363" i="1"/>
  <c r="C3363" i="1"/>
  <c r="D3363" i="1"/>
  <c r="E3363" i="1"/>
  <c r="F3363" i="1"/>
  <c r="G3363" i="1"/>
  <c r="I3363" i="1"/>
  <c r="J3363" i="1"/>
  <c r="K3363" i="1"/>
  <c r="L3363" i="1"/>
  <c r="M3363" i="1"/>
  <c r="N3363" i="1"/>
  <c r="O3363" i="1"/>
  <c r="P3363" i="1"/>
  <c r="Q3363" i="1"/>
  <c r="R3363" i="1"/>
  <c r="S3363" i="1"/>
  <c r="T3363" i="1"/>
  <c r="U3363" i="1"/>
  <c r="V3363" i="1"/>
  <c r="W3363" i="1"/>
  <c r="X3363" i="1"/>
  <c r="Y3363" i="1"/>
  <c r="Z3363" i="1"/>
  <c r="A3364" i="1"/>
  <c r="B3364" i="1"/>
  <c r="C3364" i="1"/>
  <c r="D3364" i="1"/>
  <c r="E3364" i="1"/>
  <c r="F3364" i="1"/>
  <c r="G3364" i="1"/>
  <c r="I3364" i="1"/>
  <c r="J3364" i="1"/>
  <c r="K3364" i="1"/>
  <c r="L3364" i="1"/>
  <c r="M3364" i="1"/>
  <c r="N3364" i="1"/>
  <c r="O3364" i="1"/>
  <c r="P3364" i="1"/>
  <c r="Q3364" i="1"/>
  <c r="R3364" i="1"/>
  <c r="S3364" i="1"/>
  <c r="T3364" i="1"/>
  <c r="U3364" i="1"/>
  <c r="V3364" i="1"/>
  <c r="W3364" i="1"/>
  <c r="X3364" i="1"/>
  <c r="Y3364" i="1"/>
  <c r="Z3364" i="1"/>
  <c r="A3365" i="1"/>
  <c r="B3365" i="1"/>
  <c r="C3365" i="1"/>
  <c r="D3365" i="1"/>
  <c r="E3365" i="1"/>
  <c r="F3365" i="1"/>
  <c r="G3365" i="1"/>
  <c r="I3365" i="1"/>
  <c r="J3365" i="1"/>
  <c r="K3365" i="1"/>
  <c r="L3365" i="1"/>
  <c r="M3365" i="1"/>
  <c r="N3365" i="1"/>
  <c r="O3365" i="1"/>
  <c r="P3365" i="1"/>
  <c r="Q3365" i="1"/>
  <c r="R3365" i="1"/>
  <c r="S3365" i="1"/>
  <c r="T3365" i="1"/>
  <c r="U3365" i="1"/>
  <c r="V3365" i="1"/>
  <c r="W3365" i="1"/>
  <c r="X3365" i="1"/>
  <c r="Y3365" i="1"/>
  <c r="Z3365" i="1"/>
  <c r="A3366" i="1"/>
  <c r="B3366" i="1"/>
  <c r="C3366" i="1"/>
  <c r="D3366" i="1"/>
  <c r="E3366" i="1"/>
  <c r="F3366" i="1"/>
  <c r="G3366" i="1"/>
  <c r="I3366" i="1"/>
  <c r="J3366" i="1"/>
  <c r="K3366" i="1"/>
  <c r="L3366" i="1"/>
  <c r="M3366" i="1"/>
  <c r="N3366" i="1"/>
  <c r="O3366" i="1"/>
  <c r="P3366" i="1"/>
  <c r="Q3366" i="1"/>
  <c r="R3366" i="1"/>
  <c r="S3366" i="1"/>
  <c r="T3366" i="1"/>
  <c r="U3366" i="1"/>
  <c r="V3366" i="1"/>
  <c r="W3366" i="1"/>
  <c r="X3366" i="1"/>
  <c r="Y3366" i="1"/>
  <c r="Z3366" i="1"/>
  <c r="A3367" i="1"/>
  <c r="B3367" i="1"/>
  <c r="C3367" i="1"/>
  <c r="D3367" i="1"/>
  <c r="E3367" i="1"/>
  <c r="F3367" i="1"/>
  <c r="G3367" i="1"/>
  <c r="I3367" i="1"/>
  <c r="J3367" i="1"/>
  <c r="K3367" i="1"/>
  <c r="L3367" i="1"/>
  <c r="M3367" i="1"/>
  <c r="N3367" i="1"/>
  <c r="O3367" i="1"/>
  <c r="P3367" i="1"/>
  <c r="Q3367" i="1"/>
  <c r="R3367" i="1"/>
  <c r="S3367" i="1"/>
  <c r="T3367" i="1"/>
  <c r="U3367" i="1"/>
  <c r="V3367" i="1"/>
  <c r="W3367" i="1"/>
  <c r="X3367" i="1"/>
  <c r="Y3367" i="1"/>
  <c r="Z3367" i="1"/>
  <c r="A3368" i="1"/>
  <c r="B3368" i="1"/>
  <c r="C3368" i="1"/>
  <c r="D3368" i="1"/>
  <c r="E3368" i="1"/>
  <c r="F3368" i="1"/>
  <c r="G3368" i="1"/>
  <c r="I3368" i="1"/>
  <c r="J3368" i="1"/>
  <c r="K3368" i="1"/>
  <c r="L3368" i="1"/>
  <c r="M3368" i="1"/>
  <c r="N3368" i="1"/>
  <c r="O3368" i="1"/>
  <c r="P3368" i="1"/>
  <c r="Q3368" i="1"/>
  <c r="R3368" i="1"/>
  <c r="S3368" i="1"/>
  <c r="T3368" i="1"/>
  <c r="U3368" i="1"/>
  <c r="V3368" i="1"/>
  <c r="W3368" i="1"/>
  <c r="X3368" i="1"/>
  <c r="Y3368" i="1"/>
  <c r="Z3368" i="1"/>
  <c r="A3369" i="1"/>
  <c r="B3369" i="1"/>
  <c r="C3369" i="1"/>
  <c r="D3369" i="1"/>
  <c r="E3369" i="1"/>
  <c r="F3369" i="1"/>
  <c r="G3369" i="1"/>
  <c r="I3369" i="1"/>
  <c r="J3369" i="1"/>
  <c r="K3369" i="1"/>
  <c r="L3369" i="1"/>
  <c r="M3369" i="1"/>
  <c r="N3369" i="1"/>
  <c r="O3369" i="1"/>
  <c r="P3369" i="1"/>
  <c r="Q3369" i="1"/>
  <c r="R3369" i="1"/>
  <c r="S3369" i="1"/>
  <c r="T3369" i="1"/>
  <c r="U3369" i="1"/>
  <c r="V3369" i="1"/>
  <c r="W3369" i="1"/>
  <c r="X3369" i="1"/>
  <c r="Y3369" i="1"/>
  <c r="Z3369" i="1"/>
  <c r="A3370" i="1"/>
  <c r="B3370" i="1"/>
  <c r="C3370" i="1"/>
  <c r="D3370" i="1"/>
  <c r="E3370" i="1"/>
  <c r="F3370" i="1"/>
  <c r="G3370" i="1"/>
  <c r="I3370" i="1"/>
  <c r="J3370" i="1"/>
  <c r="K3370" i="1"/>
  <c r="L3370" i="1"/>
  <c r="M3370" i="1"/>
  <c r="N3370" i="1"/>
  <c r="O3370" i="1"/>
  <c r="P3370" i="1"/>
  <c r="Q3370" i="1"/>
  <c r="R3370" i="1"/>
  <c r="S3370" i="1"/>
  <c r="T3370" i="1"/>
  <c r="U3370" i="1"/>
  <c r="V3370" i="1"/>
  <c r="W3370" i="1"/>
  <c r="X3370" i="1"/>
  <c r="Y3370" i="1"/>
  <c r="Z3370" i="1"/>
  <c r="A3371" i="1"/>
  <c r="B3371" i="1"/>
  <c r="C3371" i="1"/>
  <c r="D3371" i="1"/>
  <c r="E3371" i="1"/>
  <c r="F3371" i="1"/>
  <c r="G3371" i="1"/>
  <c r="I3371" i="1"/>
  <c r="J3371" i="1"/>
  <c r="K3371" i="1"/>
  <c r="L3371" i="1"/>
  <c r="M3371" i="1"/>
  <c r="N3371" i="1"/>
  <c r="O3371" i="1"/>
  <c r="P3371" i="1"/>
  <c r="Q3371" i="1"/>
  <c r="R3371" i="1"/>
  <c r="S3371" i="1"/>
  <c r="T3371" i="1"/>
  <c r="U3371" i="1"/>
  <c r="V3371" i="1"/>
  <c r="W3371" i="1"/>
  <c r="X3371" i="1"/>
  <c r="Y3371" i="1"/>
  <c r="Z3371" i="1"/>
  <c r="A3372" i="1"/>
  <c r="B3372" i="1"/>
  <c r="C3372" i="1"/>
  <c r="D3372" i="1"/>
  <c r="E3372" i="1"/>
  <c r="F3372" i="1"/>
  <c r="G3372" i="1"/>
  <c r="I3372" i="1"/>
  <c r="J3372" i="1"/>
  <c r="K3372" i="1"/>
  <c r="L3372" i="1"/>
  <c r="M3372" i="1"/>
  <c r="N3372" i="1"/>
  <c r="O3372" i="1"/>
  <c r="P3372" i="1"/>
  <c r="Q3372" i="1"/>
  <c r="R3372" i="1"/>
  <c r="S3372" i="1"/>
  <c r="T3372" i="1"/>
  <c r="U3372" i="1"/>
  <c r="V3372" i="1"/>
  <c r="W3372" i="1"/>
  <c r="X3372" i="1"/>
  <c r="Y3372" i="1"/>
  <c r="Z3372" i="1"/>
  <c r="A3373" i="1"/>
  <c r="B3373" i="1"/>
  <c r="C3373" i="1"/>
  <c r="D3373" i="1"/>
  <c r="E3373" i="1"/>
  <c r="F3373" i="1"/>
  <c r="G3373" i="1"/>
  <c r="I3373" i="1"/>
  <c r="J3373" i="1"/>
  <c r="K3373" i="1"/>
  <c r="L3373" i="1"/>
  <c r="M3373" i="1"/>
  <c r="N3373" i="1"/>
  <c r="O3373" i="1"/>
  <c r="P3373" i="1"/>
  <c r="Q3373" i="1"/>
  <c r="R3373" i="1"/>
  <c r="S3373" i="1"/>
  <c r="T3373" i="1"/>
  <c r="U3373" i="1"/>
  <c r="V3373" i="1"/>
  <c r="W3373" i="1"/>
  <c r="X3373" i="1"/>
  <c r="Y3373" i="1"/>
  <c r="Z3373" i="1"/>
  <c r="A3374" i="1"/>
  <c r="B3374" i="1"/>
  <c r="C3374" i="1"/>
  <c r="D3374" i="1"/>
  <c r="E3374" i="1"/>
  <c r="F3374" i="1"/>
  <c r="G3374" i="1"/>
  <c r="I3374" i="1"/>
  <c r="J3374" i="1"/>
  <c r="K3374" i="1"/>
  <c r="L3374" i="1"/>
  <c r="M3374" i="1"/>
  <c r="N3374" i="1"/>
  <c r="O3374" i="1"/>
  <c r="P3374" i="1"/>
  <c r="Q3374" i="1"/>
  <c r="R3374" i="1"/>
  <c r="S3374" i="1"/>
  <c r="T3374" i="1"/>
  <c r="U3374" i="1"/>
  <c r="V3374" i="1"/>
  <c r="W3374" i="1"/>
  <c r="X3374" i="1"/>
  <c r="Y3374" i="1"/>
  <c r="Z3374" i="1"/>
  <c r="A3375" i="1"/>
  <c r="B3375" i="1"/>
  <c r="C3375" i="1"/>
  <c r="D3375" i="1"/>
  <c r="E3375" i="1"/>
  <c r="F3375" i="1"/>
  <c r="G3375" i="1"/>
  <c r="I3375" i="1"/>
  <c r="J3375" i="1"/>
  <c r="K3375" i="1"/>
  <c r="L3375" i="1"/>
  <c r="M3375" i="1"/>
  <c r="N3375" i="1"/>
  <c r="O3375" i="1"/>
  <c r="P3375" i="1"/>
  <c r="Q3375" i="1"/>
  <c r="R3375" i="1"/>
  <c r="S3375" i="1"/>
  <c r="T3375" i="1"/>
  <c r="U3375" i="1"/>
  <c r="V3375" i="1"/>
  <c r="W3375" i="1"/>
  <c r="X3375" i="1"/>
  <c r="Y3375" i="1"/>
  <c r="Z3375" i="1"/>
  <c r="A3376" i="1"/>
  <c r="B3376" i="1"/>
  <c r="C3376" i="1"/>
  <c r="D3376" i="1"/>
  <c r="E3376" i="1"/>
  <c r="F3376" i="1"/>
  <c r="G3376" i="1"/>
  <c r="I3376" i="1"/>
  <c r="J3376" i="1"/>
  <c r="K3376" i="1"/>
  <c r="L3376" i="1"/>
  <c r="M3376" i="1"/>
  <c r="N3376" i="1"/>
  <c r="O3376" i="1"/>
  <c r="P3376" i="1"/>
  <c r="Q3376" i="1"/>
  <c r="R3376" i="1"/>
  <c r="S3376" i="1"/>
  <c r="T3376" i="1"/>
  <c r="U3376" i="1"/>
  <c r="V3376" i="1"/>
  <c r="W3376" i="1"/>
  <c r="X3376" i="1"/>
  <c r="Y3376" i="1"/>
  <c r="Z3376" i="1"/>
  <c r="A3377" i="1"/>
  <c r="B3377" i="1"/>
  <c r="C3377" i="1"/>
  <c r="D3377" i="1"/>
  <c r="E3377" i="1"/>
  <c r="F3377" i="1"/>
  <c r="G3377" i="1"/>
  <c r="I3377" i="1"/>
  <c r="J3377" i="1"/>
  <c r="K3377" i="1"/>
  <c r="L3377" i="1"/>
  <c r="M3377" i="1"/>
  <c r="N3377" i="1"/>
  <c r="O3377" i="1"/>
  <c r="P3377" i="1"/>
  <c r="Q3377" i="1"/>
  <c r="R3377" i="1"/>
  <c r="S3377" i="1"/>
  <c r="T3377" i="1"/>
  <c r="U3377" i="1"/>
  <c r="V3377" i="1"/>
  <c r="W3377" i="1"/>
  <c r="X3377" i="1"/>
  <c r="Y3377" i="1"/>
  <c r="Z3377" i="1"/>
  <c r="A3378" i="1"/>
  <c r="B3378" i="1"/>
  <c r="C3378" i="1"/>
  <c r="D3378" i="1"/>
  <c r="E3378" i="1"/>
  <c r="F3378" i="1"/>
  <c r="G3378" i="1"/>
  <c r="I3378" i="1"/>
  <c r="J3378" i="1"/>
  <c r="K3378" i="1"/>
  <c r="L3378" i="1"/>
  <c r="M3378" i="1"/>
  <c r="N3378" i="1"/>
  <c r="O3378" i="1"/>
  <c r="P3378" i="1"/>
  <c r="Q3378" i="1"/>
  <c r="R3378" i="1"/>
  <c r="S3378" i="1"/>
  <c r="T3378" i="1"/>
  <c r="U3378" i="1"/>
  <c r="V3378" i="1"/>
  <c r="W3378" i="1"/>
  <c r="X3378" i="1"/>
  <c r="Y3378" i="1"/>
  <c r="Z3378" i="1"/>
  <c r="A3379" i="1"/>
  <c r="B3379" i="1"/>
  <c r="C3379" i="1"/>
  <c r="D3379" i="1"/>
  <c r="E3379" i="1"/>
  <c r="F3379" i="1"/>
  <c r="G3379" i="1"/>
  <c r="I3379" i="1"/>
  <c r="J3379" i="1"/>
  <c r="K3379" i="1"/>
  <c r="L3379" i="1"/>
  <c r="M3379" i="1"/>
  <c r="N3379" i="1"/>
  <c r="O3379" i="1"/>
  <c r="P3379" i="1"/>
  <c r="Q3379" i="1"/>
  <c r="R3379" i="1"/>
  <c r="S3379" i="1"/>
  <c r="T3379" i="1"/>
  <c r="U3379" i="1"/>
  <c r="V3379" i="1"/>
  <c r="W3379" i="1"/>
  <c r="X3379" i="1"/>
  <c r="Y3379" i="1"/>
  <c r="Z3379" i="1"/>
  <c r="A3380" i="1"/>
  <c r="B3380" i="1"/>
  <c r="C3380" i="1"/>
  <c r="D3380" i="1"/>
  <c r="E3380" i="1"/>
  <c r="F3380" i="1"/>
  <c r="G3380" i="1"/>
  <c r="I3380" i="1"/>
  <c r="J3380" i="1"/>
  <c r="K3380" i="1"/>
  <c r="L3380" i="1"/>
  <c r="M3380" i="1"/>
  <c r="N3380" i="1"/>
  <c r="O3380" i="1"/>
  <c r="P3380" i="1"/>
  <c r="Q3380" i="1"/>
  <c r="R3380" i="1"/>
  <c r="S3380" i="1"/>
  <c r="T3380" i="1"/>
  <c r="U3380" i="1"/>
  <c r="V3380" i="1"/>
  <c r="W3380" i="1"/>
  <c r="X3380" i="1"/>
  <c r="Y3380" i="1"/>
  <c r="Z3380" i="1"/>
  <c r="A3381" i="1"/>
  <c r="B3381" i="1"/>
  <c r="C3381" i="1"/>
  <c r="D3381" i="1"/>
  <c r="E3381" i="1"/>
  <c r="F3381" i="1"/>
  <c r="G3381" i="1"/>
  <c r="I3381" i="1"/>
  <c r="J3381" i="1"/>
  <c r="K3381" i="1"/>
  <c r="L3381" i="1"/>
  <c r="M3381" i="1"/>
  <c r="N3381" i="1"/>
  <c r="O3381" i="1"/>
  <c r="P3381" i="1"/>
  <c r="Q3381" i="1"/>
  <c r="R3381" i="1"/>
  <c r="S3381" i="1"/>
  <c r="T3381" i="1"/>
  <c r="U3381" i="1"/>
  <c r="V3381" i="1"/>
  <c r="W3381" i="1"/>
  <c r="X3381" i="1"/>
  <c r="Y3381" i="1"/>
  <c r="Z3381" i="1"/>
  <c r="A3382" i="1"/>
  <c r="B3382" i="1"/>
  <c r="C3382" i="1"/>
  <c r="D3382" i="1"/>
  <c r="E3382" i="1"/>
  <c r="F3382" i="1"/>
  <c r="G3382" i="1"/>
  <c r="I3382" i="1"/>
  <c r="J3382" i="1"/>
  <c r="K3382" i="1"/>
  <c r="L3382" i="1"/>
  <c r="M3382" i="1"/>
  <c r="N3382" i="1"/>
  <c r="O3382" i="1"/>
  <c r="P3382" i="1"/>
  <c r="Q3382" i="1"/>
  <c r="R3382" i="1"/>
  <c r="S3382" i="1"/>
  <c r="T3382" i="1"/>
  <c r="U3382" i="1"/>
  <c r="V3382" i="1"/>
  <c r="W3382" i="1"/>
  <c r="X3382" i="1"/>
  <c r="Y3382" i="1"/>
  <c r="Z3382" i="1"/>
  <c r="A3383" i="1"/>
  <c r="B3383" i="1"/>
  <c r="C3383" i="1"/>
  <c r="D3383" i="1"/>
  <c r="E3383" i="1"/>
  <c r="F3383" i="1"/>
  <c r="G3383" i="1"/>
  <c r="I3383" i="1"/>
  <c r="J3383" i="1"/>
  <c r="K3383" i="1"/>
  <c r="L3383" i="1"/>
  <c r="M3383" i="1"/>
  <c r="N3383" i="1"/>
  <c r="O3383" i="1"/>
  <c r="P3383" i="1"/>
  <c r="Q3383" i="1"/>
  <c r="R3383" i="1"/>
  <c r="S3383" i="1"/>
  <c r="T3383" i="1"/>
  <c r="U3383" i="1"/>
  <c r="V3383" i="1"/>
  <c r="W3383" i="1"/>
  <c r="X3383" i="1"/>
  <c r="Y3383" i="1"/>
  <c r="Z3383" i="1"/>
  <c r="A3384" i="1"/>
  <c r="B3384" i="1"/>
  <c r="C3384" i="1"/>
  <c r="D3384" i="1"/>
  <c r="E3384" i="1"/>
  <c r="F3384" i="1"/>
  <c r="G3384" i="1"/>
  <c r="I3384" i="1"/>
  <c r="J3384" i="1"/>
  <c r="K3384" i="1"/>
  <c r="L3384" i="1"/>
  <c r="M3384" i="1"/>
  <c r="N3384" i="1"/>
  <c r="O3384" i="1"/>
  <c r="P3384" i="1"/>
  <c r="Q3384" i="1"/>
  <c r="R3384" i="1"/>
  <c r="S3384" i="1"/>
  <c r="T3384" i="1"/>
  <c r="U3384" i="1"/>
  <c r="V3384" i="1"/>
  <c r="W3384" i="1"/>
  <c r="X3384" i="1"/>
  <c r="Y3384" i="1"/>
  <c r="Z3384" i="1"/>
  <c r="A3385" i="1"/>
  <c r="B3385" i="1"/>
  <c r="C3385" i="1"/>
  <c r="D3385" i="1"/>
  <c r="E3385" i="1"/>
  <c r="F3385" i="1"/>
  <c r="G3385" i="1"/>
  <c r="I3385" i="1"/>
  <c r="J3385" i="1"/>
  <c r="K3385" i="1"/>
  <c r="L3385" i="1"/>
  <c r="M3385" i="1"/>
  <c r="N3385" i="1"/>
  <c r="O3385" i="1"/>
  <c r="P3385" i="1"/>
  <c r="Q3385" i="1"/>
  <c r="R3385" i="1"/>
  <c r="S3385" i="1"/>
  <c r="T3385" i="1"/>
  <c r="U3385" i="1"/>
  <c r="V3385" i="1"/>
  <c r="W3385" i="1"/>
  <c r="X3385" i="1"/>
  <c r="Y3385" i="1"/>
  <c r="Z3385" i="1"/>
  <c r="A3386" i="1"/>
  <c r="B3386" i="1"/>
  <c r="C3386" i="1"/>
  <c r="D3386" i="1"/>
  <c r="E3386" i="1"/>
  <c r="F3386" i="1"/>
  <c r="G3386" i="1"/>
  <c r="I3386" i="1"/>
  <c r="J3386" i="1"/>
  <c r="K3386" i="1"/>
  <c r="L3386" i="1"/>
  <c r="M3386" i="1"/>
  <c r="N3386" i="1"/>
  <c r="O3386" i="1"/>
  <c r="P3386" i="1"/>
  <c r="Q3386" i="1"/>
  <c r="R3386" i="1"/>
  <c r="S3386" i="1"/>
  <c r="T3386" i="1"/>
  <c r="U3386" i="1"/>
  <c r="V3386" i="1"/>
  <c r="W3386" i="1"/>
  <c r="X3386" i="1"/>
  <c r="Y3386" i="1"/>
  <c r="Z3386" i="1"/>
  <c r="A3387" i="1"/>
  <c r="B3387" i="1"/>
  <c r="C3387" i="1"/>
  <c r="D3387" i="1"/>
  <c r="E3387" i="1"/>
  <c r="F3387" i="1"/>
  <c r="G3387" i="1"/>
  <c r="I3387" i="1"/>
  <c r="J3387" i="1"/>
  <c r="K3387" i="1"/>
  <c r="L3387" i="1"/>
  <c r="M3387" i="1"/>
  <c r="N3387" i="1"/>
  <c r="O3387" i="1"/>
  <c r="P3387" i="1"/>
  <c r="Q3387" i="1"/>
  <c r="R3387" i="1"/>
  <c r="S3387" i="1"/>
  <c r="T3387" i="1"/>
  <c r="U3387" i="1"/>
  <c r="V3387" i="1"/>
  <c r="W3387" i="1"/>
  <c r="X3387" i="1"/>
  <c r="Y3387" i="1"/>
  <c r="Z3387" i="1"/>
  <c r="A3388" i="1"/>
  <c r="B3388" i="1"/>
  <c r="C3388" i="1"/>
  <c r="D3388" i="1"/>
  <c r="E3388" i="1"/>
  <c r="F3388" i="1"/>
  <c r="G3388" i="1"/>
  <c r="I3388" i="1"/>
  <c r="J3388" i="1"/>
  <c r="K3388" i="1"/>
  <c r="L3388" i="1"/>
  <c r="M3388" i="1"/>
  <c r="N3388" i="1"/>
  <c r="O3388" i="1"/>
  <c r="P3388" i="1"/>
  <c r="Q3388" i="1"/>
  <c r="R3388" i="1"/>
  <c r="S3388" i="1"/>
  <c r="T3388" i="1"/>
  <c r="U3388" i="1"/>
  <c r="V3388" i="1"/>
  <c r="W3388" i="1"/>
  <c r="X3388" i="1"/>
  <c r="Y3388" i="1"/>
  <c r="Z3388" i="1"/>
  <c r="A3389" i="1"/>
  <c r="B3389" i="1"/>
  <c r="C3389" i="1"/>
  <c r="D3389" i="1"/>
  <c r="E3389" i="1"/>
  <c r="F3389" i="1"/>
  <c r="G3389" i="1"/>
  <c r="I3389" i="1"/>
  <c r="J3389" i="1"/>
  <c r="K3389" i="1"/>
  <c r="L3389" i="1"/>
  <c r="M3389" i="1"/>
  <c r="N3389" i="1"/>
  <c r="O3389" i="1"/>
  <c r="P3389" i="1"/>
  <c r="Q3389" i="1"/>
  <c r="R3389" i="1"/>
  <c r="S3389" i="1"/>
  <c r="T3389" i="1"/>
  <c r="U3389" i="1"/>
  <c r="V3389" i="1"/>
  <c r="W3389" i="1"/>
  <c r="X3389" i="1"/>
  <c r="Y3389" i="1"/>
  <c r="Z3389" i="1"/>
  <c r="A3390" i="1"/>
  <c r="B3390" i="1"/>
  <c r="C3390" i="1"/>
  <c r="D3390" i="1"/>
  <c r="E3390" i="1"/>
  <c r="F3390" i="1"/>
  <c r="G3390" i="1"/>
  <c r="I3390" i="1"/>
  <c r="J3390" i="1"/>
  <c r="K3390" i="1"/>
  <c r="L3390" i="1"/>
  <c r="M3390" i="1"/>
  <c r="N3390" i="1"/>
  <c r="O3390" i="1"/>
  <c r="P3390" i="1"/>
  <c r="Q3390" i="1"/>
  <c r="R3390" i="1"/>
  <c r="S3390" i="1"/>
  <c r="T3390" i="1"/>
  <c r="U3390" i="1"/>
  <c r="V3390" i="1"/>
  <c r="W3390" i="1"/>
  <c r="X3390" i="1"/>
  <c r="Y3390" i="1"/>
  <c r="Z3390" i="1"/>
  <c r="A3391" i="1"/>
  <c r="B3391" i="1"/>
  <c r="C3391" i="1"/>
  <c r="D3391" i="1"/>
  <c r="E3391" i="1"/>
  <c r="F3391" i="1"/>
  <c r="G3391" i="1"/>
  <c r="I3391" i="1"/>
  <c r="J3391" i="1"/>
  <c r="K3391" i="1"/>
  <c r="L3391" i="1"/>
  <c r="M3391" i="1"/>
  <c r="N3391" i="1"/>
  <c r="O3391" i="1"/>
  <c r="P3391" i="1"/>
  <c r="Q3391" i="1"/>
  <c r="R3391" i="1"/>
  <c r="S3391" i="1"/>
  <c r="T3391" i="1"/>
  <c r="U3391" i="1"/>
  <c r="V3391" i="1"/>
  <c r="W3391" i="1"/>
  <c r="X3391" i="1"/>
  <c r="Y3391" i="1"/>
  <c r="Z3391" i="1"/>
  <c r="A3392" i="1"/>
  <c r="B3392" i="1"/>
  <c r="C3392" i="1"/>
  <c r="D3392" i="1"/>
  <c r="E3392" i="1"/>
  <c r="F3392" i="1"/>
  <c r="G3392" i="1"/>
  <c r="I3392" i="1"/>
  <c r="J3392" i="1"/>
  <c r="K3392" i="1"/>
  <c r="L3392" i="1"/>
  <c r="M3392" i="1"/>
  <c r="N3392" i="1"/>
  <c r="O3392" i="1"/>
  <c r="P3392" i="1"/>
  <c r="Q3392" i="1"/>
  <c r="R3392" i="1"/>
  <c r="S3392" i="1"/>
  <c r="T3392" i="1"/>
  <c r="U3392" i="1"/>
  <c r="V3392" i="1"/>
  <c r="W3392" i="1"/>
  <c r="X3392" i="1"/>
  <c r="Y3392" i="1"/>
  <c r="Z3392" i="1"/>
  <c r="A3393" i="1"/>
  <c r="B3393" i="1"/>
  <c r="C3393" i="1"/>
  <c r="D3393" i="1"/>
  <c r="E3393" i="1"/>
  <c r="F3393" i="1"/>
  <c r="G3393" i="1"/>
  <c r="I3393" i="1"/>
  <c r="J3393" i="1"/>
  <c r="K3393" i="1"/>
  <c r="L3393" i="1"/>
  <c r="M3393" i="1"/>
  <c r="N3393" i="1"/>
  <c r="O3393" i="1"/>
  <c r="P3393" i="1"/>
  <c r="Q3393" i="1"/>
  <c r="R3393" i="1"/>
  <c r="S3393" i="1"/>
  <c r="T3393" i="1"/>
  <c r="U3393" i="1"/>
  <c r="V3393" i="1"/>
  <c r="W3393" i="1"/>
  <c r="X3393" i="1"/>
  <c r="Y3393" i="1"/>
  <c r="Z3393" i="1"/>
  <c r="A3394" i="1"/>
  <c r="B3394" i="1"/>
  <c r="C3394" i="1"/>
  <c r="D3394" i="1"/>
  <c r="E3394" i="1"/>
  <c r="F3394" i="1"/>
  <c r="G3394" i="1"/>
  <c r="I3394" i="1"/>
  <c r="J3394" i="1"/>
  <c r="K3394" i="1"/>
  <c r="L3394" i="1"/>
  <c r="M3394" i="1"/>
  <c r="N3394" i="1"/>
  <c r="O3394" i="1"/>
  <c r="P3394" i="1"/>
  <c r="Q3394" i="1"/>
  <c r="R3394" i="1"/>
  <c r="S3394" i="1"/>
  <c r="T3394" i="1"/>
  <c r="U3394" i="1"/>
  <c r="V3394" i="1"/>
  <c r="W3394" i="1"/>
  <c r="X3394" i="1"/>
  <c r="Y3394" i="1"/>
  <c r="Z3394" i="1"/>
  <c r="A3395" i="1"/>
  <c r="B3395" i="1"/>
  <c r="C3395" i="1"/>
  <c r="D3395" i="1"/>
  <c r="E3395" i="1"/>
  <c r="F3395" i="1"/>
  <c r="G3395" i="1"/>
  <c r="I3395" i="1"/>
  <c r="J3395" i="1"/>
  <c r="K3395" i="1"/>
  <c r="L3395" i="1"/>
  <c r="M3395" i="1"/>
  <c r="N3395" i="1"/>
  <c r="O3395" i="1"/>
  <c r="P3395" i="1"/>
  <c r="Q3395" i="1"/>
  <c r="R3395" i="1"/>
  <c r="S3395" i="1"/>
  <c r="T3395" i="1"/>
  <c r="U3395" i="1"/>
  <c r="V3395" i="1"/>
  <c r="W3395" i="1"/>
  <c r="X3395" i="1"/>
  <c r="Y3395" i="1"/>
  <c r="Z3395" i="1"/>
  <c r="A3396" i="1"/>
  <c r="B3396" i="1"/>
  <c r="C3396" i="1"/>
  <c r="D3396" i="1"/>
  <c r="E3396" i="1"/>
  <c r="F3396" i="1"/>
  <c r="G3396" i="1"/>
  <c r="I3396" i="1"/>
  <c r="J3396" i="1"/>
  <c r="K3396" i="1"/>
  <c r="L3396" i="1"/>
  <c r="M3396" i="1"/>
  <c r="N3396" i="1"/>
  <c r="O3396" i="1"/>
  <c r="P3396" i="1"/>
  <c r="Q3396" i="1"/>
  <c r="R3396" i="1"/>
  <c r="S3396" i="1"/>
  <c r="T3396" i="1"/>
  <c r="U3396" i="1"/>
  <c r="V3396" i="1"/>
  <c r="W3396" i="1"/>
  <c r="X3396" i="1"/>
  <c r="Y3396" i="1"/>
  <c r="Z3396" i="1"/>
  <c r="A3397" i="1"/>
  <c r="B3397" i="1"/>
  <c r="C3397" i="1"/>
  <c r="D3397" i="1"/>
  <c r="E3397" i="1"/>
  <c r="F3397" i="1"/>
  <c r="G3397" i="1"/>
  <c r="I3397" i="1"/>
  <c r="J3397" i="1"/>
  <c r="K3397" i="1"/>
  <c r="L3397" i="1"/>
  <c r="M3397" i="1"/>
  <c r="N3397" i="1"/>
  <c r="O3397" i="1"/>
  <c r="P3397" i="1"/>
  <c r="Q3397" i="1"/>
  <c r="R3397" i="1"/>
  <c r="S3397" i="1"/>
  <c r="T3397" i="1"/>
  <c r="U3397" i="1"/>
  <c r="V3397" i="1"/>
  <c r="W3397" i="1"/>
  <c r="X3397" i="1"/>
  <c r="Y3397" i="1"/>
  <c r="Z3397" i="1"/>
  <c r="A3398" i="1"/>
  <c r="B3398" i="1"/>
  <c r="C3398" i="1"/>
  <c r="D3398" i="1"/>
  <c r="E3398" i="1"/>
  <c r="F3398" i="1"/>
  <c r="G3398" i="1"/>
  <c r="I3398" i="1"/>
  <c r="J3398" i="1"/>
  <c r="K3398" i="1"/>
  <c r="L3398" i="1"/>
  <c r="M3398" i="1"/>
  <c r="N3398" i="1"/>
  <c r="O3398" i="1"/>
  <c r="P3398" i="1"/>
  <c r="Q3398" i="1"/>
  <c r="R3398" i="1"/>
  <c r="S3398" i="1"/>
  <c r="T3398" i="1"/>
  <c r="U3398" i="1"/>
  <c r="V3398" i="1"/>
  <c r="W3398" i="1"/>
  <c r="X3398" i="1"/>
  <c r="Y3398" i="1"/>
  <c r="Z3398" i="1"/>
  <c r="A3399" i="1"/>
  <c r="B3399" i="1"/>
  <c r="C3399" i="1"/>
  <c r="D3399" i="1"/>
  <c r="E3399" i="1"/>
  <c r="F3399" i="1"/>
  <c r="G3399" i="1"/>
  <c r="I3399" i="1"/>
  <c r="J3399" i="1"/>
  <c r="K3399" i="1"/>
  <c r="L3399" i="1"/>
  <c r="M3399" i="1"/>
  <c r="N3399" i="1"/>
  <c r="O3399" i="1"/>
  <c r="P3399" i="1"/>
  <c r="Q3399" i="1"/>
  <c r="R3399" i="1"/>
  <c r="S3399" i="1"/>
  <c r="T3399" i="1"/>
  <c r="U3399" i="1"/>
  <c r="V3399" i="1"/>
  <c r="W3399" i="1"/>
  <c r="X3399" i="1"/>
  <c r="Y3399" i="1"/>
  <c r="Z3399" i="1"/>
  <c r="A3400" i="1"/>
  <c r="B3400" i="1"/>
  <c r="C3400" i="1"/>
  <c r="D3400" i="1"/>
  <c r="E3400" i="1"/>
  <c r="F3400" i="1"/>
  <c r="G3400" i="1"/>
  <c r="I3400" i="1"/>
  <c r="J3400" i="1"/>
  <c r="K3400" i="1"/>
  <c r="L3400" i="1"/>
  <c r="M3400" i="1"/>
  <c r="N3400" i="1"/>
  <c r="O3400" i="1"/>
  <c r="P3400" i="1"/>
  <c r="Q3400" i="1"/>
  <c r="R3400" i="1"/>
  <c r="S3400" i="1"/>
  <c r="T3400" i="1"/>
  <c r="U3400" i="1"/>
  <c r="V3400" i="1"/>
  <c r="W3400" i="1"/>
  <c r="X3400" i="1"/>
  <c r="Y3400" i="1"/>
  <c r="Z3400" i="1"/>
  <c r="A3401" i="1"/>
  <c r="B3401" i="1"/>
  <c r="C3401" i="1"/>
  <c r="D3401" i="1"/>
  <c r="E3401" i="1"/>
  <c r="F3401" i="1"/>
  <c r="G3401" i="1"/>
  <c r="I3401" i="1"/>
  <c r="J3401" i="1"/>
  <c r="K3401" i="1"/>
  <c r="L3401" i="1"/>
  <c r="M3401" i="1"/>
  <c r="N3401" i="1"/>
  <c r="O3401" i="1"/>
  <c r="P3401" i="1"/>
  <c r="Q3401" i="1"/>
  <c r="R3401" i="1"/>
  <c r="S3401" i="1"/>
  <c r="T3401" i="1"/>
  <c r="U3401" i="1"/>
  <c r="V3401" i="1"/>
  <c r="W3401" i="1"/>
  <c r="X3401" i="1"/>
  <c r="Y3401" i="1"/>
  <c r="Z3401" i="1"/>
  <c r="A3402" i="1"/>
  <c r="B3402" i="1"/>
  <c r="C3402" i="1"/>
  <c r="D3402" i="1"/>
  <c r="E3402" i="1"/>
  <c r="F3402" i="1"/>
  <c r="G3402" i="1"/>
  <c r="I3402" i="1"/>
  <c r="J3402" i="1"/>
  <c r="K3402" i="1"/>
  <c r="L3402" i="1"/>
  <c r="M3402" i="1"/>
  <c r="N3402" i="1"/>
  <c r="O3402" i="1"/>
  <c r="P3402" i="1"/>
  <c r="Q3402" i="1"/>
  <c r="R3402" i="1"/>
  <c r="S3402" i="1"/>
  <c r="T3402" i="1"/>
  <c r="U3402" i="1"/>
  <c r="V3402" i="1"/>
  <c r="W3402" i="1"/>
  <c r="X3402" i="1"/>
  <c r="Y3402" i="1"/>
  <c r="Z3402" i="1"/>
  <c r="A3403" i="1"/>
  <c r="B3403" i="1"/>
  <c r="C3403" i="1"/>
  <c r="D3403" i="1"/>
  <c r="E3403" i="1"/>
  <c r="F3403" i="1"/>
  <c r="G3403" i="1"/>
  <c r="I3403" i="1"/>
  <c r="J3403" i="1"/>
  <c r="K3403" i="1"/>
  <c r="L3403" i="1"/>
  <c r="M3403" i="1"/>
  <c r="N3403" i="1"/>
  <c r="O3403" i="1"/>
  <c r="P3403" i="1"/>
  <c r="Q3403" i="1"/>
  <c r="R3403" i="1"/>
  <c r="S3403" i="1"/>
  <c r="T3403" i="1"/>
  <c r="U3403" i="1"/>
  <c r="V3403" i="1"/>
  <c r="W3403" i="1"/>
  <c r="X3403" i="1"/>
  <c r="Y3403" i="1"/>
  <c r="Z3403" i="1"/>
  <c r="A3404" i="1"/>
  <c r="B3404" i="1"/>
  <c r="C3404" i="1"/>
  <c r="D3404" i="1"/>
  <c r="E3404" i="1"/>
  <c r="F3404" i="1"/>
  <c r="G3404" i="1"/>
  <c r="I3404" i="1"/>
  <c r="J3404" i="1"/>
  <c r="K3404" i="1"/>
  <c r="L3404" i="1"/>
  <c r="M3404" i="1"/>
  <c r="N3404" i="1"/>
  <c r="O3404" i="1"/>
  <c r="P3404" i="1"/>
  <c r="Q3404" i="1"/>
  <c r="R3404" i="1"/>
  <c r="S3404" i="1"/>
  <c r="T3404" i="1"/>
  <c r="U3404" i="1"/>
  <c r="V3404" i="1"/>
  <c r="W3404" i="1"/>
  <c r="X3404" i="1"/>
  <c r="Y3404" i="1"/>
  <c r="Z3404" i="1"/>
  <c r="A3405" i="1"/>
  <c r="B3405" i="1"/>
  <c r="C3405" i="1"/>
  <c r="D3405" i="1"/>
  <c r="E3405" i="1"/>
  <c r="F3405" i="1"/>
  <c r="G3405" i="1"/>
  <c r="I3405" i="1"/>
  <c r="J3405" i="1"/>
  <c r="K3405" i="1"/>
  <c r="L3405" i="1"/>
  <c r="M3405" i="1"/>
  <c r="N3405" i="1"/>
  <c r="O3405" i="1"/>
  <c r="P3405" i="1"/>
  <c r="Q3405" i="1"/>
  <c r="R3405" i="1"/>
  <c r="S3405" i="1"/>
  <c r="T3405" i="1"/>
  <c r="U3405" i="1"/>
  <c r="V3405" i="1"/>
  <c r="W3405" i="1"/>
  <c r="X3405" i="1"/>
  <c r="Y3405" i="1"/>
  <c r="Z3405" i="1"/>
  <c r="A3406" i="1"/>
  <c r="B3406" i="1"/>
  <c r="C3406" i="1"/>
  <c r="D3406" i="1"/>
  <c r="E3406" i="1"/>
  <c r="F3406" i="1"/>
  <c r="G3406" i="1"/>
  <c r="I3406" i="1"/>
  <c r="J3406" i="1"/>
  <c r="K3406" i="1"/>
  <c r="L3406" i="1"/>
  <c r="M3406" i="1"/>
  <c r="N3406" i="1"/>
  <c r="O3406" i="1"/>
  <c r="P3406" i="1"/>
  <c r="Q3406" i="1"/>
  <c r="R3406" i="1"/>
  <c r="S3406" i="1"/>
  <c r="T3406" i="1"/>
  <c r="U3406" i="1"/>
  <c r="V3406" i="1"/>
  <c r="W3406" i="1"/>
  <c r="X3406" i="1"/>
  <c r="Y3406" i="1"/>
  <c r="Z3406" i="1"/>
  <c r="A3407" i="1"/>
  <c r="B3407" i="1"/>
  <c r="C3407" i="1"/>
  <c r="D3407" i="1"/>
  <c r="E3407" i="1"/>
  <c r="F3407" i="1"/>
  <c r="G3407" i="1"/>
  <c r="I3407" i="1"/>
  <c r="J3407" i="1"/>
  <c r="K3407" i="1"/>
  <c r="L3407" i="1"/>
  <c r="M3407" i="1"/>
  <c r="N3407" i="1"/>
  <c r="O3407" i="1"/>
  <c r="P3407" i="1"/>
  <c r="Q3407" i="1"/>
  <c r="R3407" i="1"/>
  <c r="S3407" i="1"/>
  <c r="T3407" i="1"/>
  <c r="U3407" i="1"/>
  <c r="V3407" i="1"/>
  <c r="W3407" i="1"/>
  <c r="X3407" i="1"/>
  <c r="Y3407" i="1"/>
  <c r="Z3407" i="1"/>
  <c r="A3408" i="1"/>
  <c r="B3408" i="1"/>
  <c r="C3408" i="1"/>
  <c r="D3408" i="1"/>
  <c r="E3408" i="1"/>
  <c r="F3408" i="1"/>
  <c r="G3408" i="1"/>
  <c r="I3408" i="1"/>
  <c r="J3408" i="1"/>
  <c r="K3408" i="1"/>
  <c r="L3408" i="1"/>
  <c r="M3408" i="1"/>
  <c r="N3408" i="1"/>
  <c r="O3408" i="1"/>
  <c r="P3408" i="1"/>
  <c r="Q3408" i="1"/>
  <c r="R3408" i="1"/>
  <c r="S3408" i="1"/>
  <c r="T3408" i="1"/>
  <c r="U3408" i="1"/>
  <c r="V3408" i="1"/>
  <c r="W3408" i="1"/>
  <c r="X3408" i="1"/>
  <c r="Y3408" i="1"/>
  <c r="Z3408" i="1"/>
  <c r="A3409" i="1"/>
  <c r="B3409" i="1"/>
  <c r="C3409" i="1"/>
  <c r="D3409" i="1"/>
  <c r="E3409" i="1"/>
  <c r="F3409" i="1"/>
  <c r="G3409" i="1"/>
  <c r="I3409" i="1"/>
  <c r="J3409" i="1"/>
  <c r="K3409" i="1"/>
  <c r="L3409" i="1"/>
  <c r="M3409" i="1"/>
  <c r="N3409" i="1"/>
  <c r="O3409" i="1"/>
  <c r="P3409" i="1"/>
  <c r="Q3409" i="1"/>
  <c r="R3409" i="1"/>
  <c r="S3409" i="1"/>
  <c r="T3409" i="1"/>
  <c r="U3409" i="1"/>
  <c r="V3409" i="1"/>
  <c r="W3409" i="1"/>
  <c r="X3409" i="1"/>
  <c r="Y3409" i="1"/>
  <c r="Z3409" i="1"/>
  <c r="A3410" i="1"/>
  <c r="B3410" i="1"/>
  <c r="C3410" i="1"/>
  <c r="D3410" i="1"/>
  <c r="E3410" i="1"/>
  <c r="F3410" i="1"/>
  <c r="G3410" i="1"/>
  <c r="I3410" i="1"/>
  <c r="J3410" i="1"/>
  <c r="K3410" i="1"/>
  <c r="L3410" i="1"/>
  <c r="M3410" i="1"/>
  <c r="N3410" i="1"/>
  <c r="O3410" i="1"/>
  <c r="P3410" i="1"/>
  <c r="Q3410" i="1"/>
  <c r="R3410" i="1"/>
  <c r="S3410" i="1"/>
  <c r="T3410" i="1"/>
  <c r="U3410" i="1"/>
  <c r="V3410" i="1"/>
  <c r="W3410" i="1"/>
  <c r="X3410" i="1"/>
  <c r="Y3410" i="1"/>
  <c r="Z3410" i="1"/>
  <c r="A3411" i="1"/>
  <c r="B3411" i="1"/>
  <c r="C3411" i="1"/>
  <c r="D3411" i="1"/>
  <c r="E3411" i="1"/>
  <c r="F3411" i="1"/>
  <c r="G3411" i="1"/>
  <c r="I3411" i="1"/>
  <c r="J3411" i="1"/>
  <c r="K3411" i="1"/>
  <c r="L3411" i="1"/>
  <c r="M3411" i="1"/>
  <c r="N3411" i="1"/>
  <c r="O3411" i="1"/>
  <c r="P3411" i="1"/>
  <c r="Q3411" i="1"/>
  <c r="R3411" i="1"/>
  <c r="S3411" i="1"/>
  <c r="T3411" i="1"/>
  <c r="U3411" i="1"/>
  <c r="V3411" i="1"/>
  <c r="W3411" i="1"/>
  <c r="X3411" i="1"/>
  <c r="Y3411" i="1"/>
  <c r="Z3411" i="1"/>
  <c r="A3412" i="1"/>
  <c r="B3412" i="1"/>
  <c r="C3412" i="1"/>
  <c r="D3412" i="1"/>
  <c r="E3412" i="1"/>
  <c r="F3412" i="1"/>
  <c r="G3412" i="1"/>
  <c r="I3412" i="1"/>
  <c r="J3412" i="1"/>
  <c r="K3412" i="1"/>
  <c r="L3412" i="1"/>
  <c r="M3412" i="1"/>
  <c r="N3412" i="1"/>
  <c r="O3412" i="1"/>
  <c r="P3412" i="1"/>
  <c r="Q3412" i="1"/>
  <c r="R3412" i="1"/>
  <c r="S3412" i="1"/>
  <c r="T3412" i="1"/>
  <c r="U3412" i="1"/>
  <c r="V3412" i="1"/>
  <c r="W3412" i="1"/>
  <c r="X3412" i="1"/>
  <c r="Y3412" i="1"/>
  <c r="Z3412" i="1"/>
  <c r="A3413" i="1"/>
  <c r="B3413" i="1"/>
  <c r="C3413" i="1"/>
  <c r="D3413" i="1"/>
  <c r="E3413" i="1"/>
  <c r="F3413" i="1"/>
  <c r="G3413" i="1"/>
  <c r="I3413" i="1"/>
  <c r="J3413" i="1"/>
  <c r="K3413" i="1"/>
  <c r="L3413" i="1"/>
  <c r="M3413" i="1"/>
  <c r="N3413" i="1"/>
  <c r="O3413" i="1"/>
  <c r="P3413" i="1"/>
  <c r="Q3413" i="1"/>
  <c r="R3413" i="1"/>
  <c r="S3413" i="1"/>
  <c r="T3413" i="1"/>
  <c r="U3413" i="1"/>
  <c r="V3413" i="1"/>
  <c r="W3413" i="1"/>
  <c r="X3413" i="1"/>
  <c r="Y3413" i="1"/>
  <c r="Z3413" i="1"/>
  <c r="A3414" i="1"/>
  <c r="B3414" i="1"/>
  <c r="C3414" i="1"/>
  <c r="D3414" i="1"/>
  <c r="E3414" i="1"/>
  <c r="F3414" i="1"/>
  <c r="G3414" i="1"/>
  <c r="I3414" i="1"/>
  <c r="J3414" i="1"/>
  <c r="K3414" i="1"/>
  <c r="L3414" i="1"/>
  <c r="M3414" i="1"/>
  <c r="N3414" i="1"/>
  <c r="O3414" i="1"/>
  <c r="P3414" i="1"/>
  <c r="Q3414" i="1"/>
  <c r="R3414" i="1"/>
  <c r="S3414" i="1"/>
  <c r="T3414" i="1"/>
  <c r="U3414" i="1"/>
  <c r="V3414" i="1"/>
  <c r="W3414" i="1"/>
  <c r="X3414" i="1"/>
  <c r="Y3414" i="1"/>
  <c r="Z3414" i="1"/>
  <c r="A3415" i="1"/>
  <c r="B3415" i="1"/>
  <c r="C3415" i="1"/>
  <c r="D3415" i="1"/>
  <c r="E3415" i="1"/>
  <c r="F3415" i="1"/>
  <c r="G3415" i="1"/>
  <c r="I3415" i="1"/>
  <c r="J3415" i="1"/>
  <c r="K3415" i="1"/>
  <c r="L3415" i="1"/>
  <c r="M3415" i="1"/>
  <c r="N3415" i="1"/>
  <c r="O3415" i="1"/>
  <c r="P3415" i="1"/>
  <c r="Q3415" i="1"/>
  <c r="R3415" i="1"/>
  <c r="S3415" i="1"/>
  <c r="T3415" i="1"/>
  <c r="U3415" i="1"/>
  <c r="V3415" i="1"/>
  <c r="W3415" i="1"/>
  <c r="X3415" i="1"/>
  <c r="Y3415" i="1"/>
  <c r="Z3415" i="1"/>
  <c r="A3416" i="1"/>
  <c r="B3416" i="1"/>
  <c r="C3416" i="1"/>
  <c r="D3416" i="1"/>
  <c r="E3416" i="1"/>
  <c r="F3416" i="1"/>
  <c r="G3416" i="1"/>
  <c r="I3416" i="1"/>
  <c r="J3416" i="1"/>
  <c r="K3416" i="1"/>
  <c r="L3416" i="1"/>
  <c r="M3416" i="1"/>
  <c r="N3416" i="1"/>
  <c r="O3416" i="1"/>
  <c r="P3416" i="1"/>
  <c r="Q3416" i="1"/>
  <c r="R3416" i="1"/>
  <c r="S3416" i="1"/>
  <c r="T3416" i="1"/>
  <c r="U3416" i="1"/>
  <c r="V3416" i="1"/>
  <c r="W3416" i="1"/>
  <c r="X3416" i="1"/>
  <c r="Y3416" i="1"/>
  <c r="Z3416" i="1"/>
  <c r="A3417" i="1"/>
  <c r="B3417" i="1"/>
  <c r="C3417" i="1"/>
  <c r="D3417" i="1"/>
  <c r="E3417" i="1"/>
  <c r="F3417" i="1"/>
  <c r="G3417" i="1"/>
  <c r="I3417" i="1"/>
  <c r="J3417" i="1"/>
  <c r="K3417" i="1"/>
  <c r="L3417" i="1"/>
  <c r="M3417" i="1"/>
  <c r="N3417" i="1"/>
  <c r="O3417" i="1"/>
  <c r="P3417" i="1"/>
  <c r="Q3417" i="1"/>
  <c r="R3417" i="1"/>
  <c r="S3417" i="1"/>
  <c r="T3417" i="1"/>
  <c r="U3417" i="1"/>
  <c r="V3417" i="1"/>
  <c r="W3417" i="1"/>
  <c r="X3417" i="1"/>
  <c r="Y3417" i="1"/>
  <c r="Z3417" i="1"/>
  <c r="A3418" i="1"/>
  <c r="B3418" i="1"/>
  <c r="C3418" i="1"/>
  <c r="D3418" i="1"/>
  <c r="E3418" i="1"/>
  <c r="F3418" i="1"/>
  <c r="G3418" i="1"/>
  <c r="I3418" i="1"/>
  <c r="J3418" i="1"/>
  <c r="K3418" i="1"/>
  <c r="L3418" i="1"/>
  <c r="M3418" i="1"/>
  <c r="N3418" i="1"/>
  <c r="O3418" i="1"/>
  <c r="P3418" i="1"/>
  <c r="Q3418" i="1"/>
  <c r="R3418" i="1"/>
  <c r="S3418" i="1"/>
  <c r="T3418" i="1"/>
  <c r="U3418" i="1"/>
  <c r="V3418" i="1"/>
  <c r="W3418" i="1"/>
  <c r="X3418" i="1"/>
  <c r="Y3418" i="1"/>
  <c r="Z3418" i="1"/>
  <c r="A3419" i="1"/>
  <c r="B3419" i="1"/>
  <c r="C3419" i="1"/>
  <c r="D3419" i="1"/>
  <c r="E3419" i="1"/>
  <c r="F3419" i="1"/>
  <c r="G3419" i="1"/>
  <c r="I3419" i="1"/>
  <c r="J3419" i="1"/>
  <c r="K3419" i="1"/>
  <c r="L3419" i="1"/>
  <c r="M3419" i="1"/>
  <c r="N3419" i="1"/>
  <c r="O3419" i="1"/>
  <c r="P3419" i="1"/>
  <c r="Q3419" i="1"/>
  <c r="R3419" i="1"/>
  <c r="S3419" i="1"/>
  <c r="T3419" i="1"/>
  <c r="U3419" i="1"/>
  <c r="V3419" i="1"/>
  <c r="W3419" i="1"/>
  <c r="X3419" i="1"/>
  <c r="Y3419" i="1"/>
  <c r="Z3419" i="1"/>
  <c r="A3420" i="1"/>
  <c r="B3420" i="1"/>
  <c r="C3420" i="1"/>
  <c r="D3420" i="1"/>
  <c r="E3420" i="1"/>
  <c r="F3420" i="1"/>
  <c r="G3420" i="1"/>
  <c r="I3420" i="1"/>
  <c r="J3420" i="1"/>
  <c r="K3420" i="1"/>
  <c r="L3420" i="1"/>
  <c r="M3420" i="1"/>
  <c r="N3420" i="1"/>
  <c r="O3420" i="1"/>
  <c r="P3420" i="1"/>
  <c r="Q3420" i="1"/>
  <c r="R3420" i="1"/>
  <c r="S3420" i="1"/>
  <c r="T3420" i="1"/>
  <c r="U3420" i="1"/>
  <c r="V3420" i="1"/>
  <c r="W3420" i="1"/>
  <c r="X3420" i="1"/>
  <c r="Y3420" i="1"/>
  <c r="Z3420" i="1"/>
  <c r="A3421" i="1"/>
  <c r="B3421" i="1"/>
  <c r="C3421" i="1"/>
  <c r="D3421" i="1"/>
  <c r="E3421" i="1"/>
  <c r="F3421" i="1"/>
  <c r="G3421" i="1"/>
  <c r="I3421" i="1"/>
  <c r="J3421" i="1"/>
  <c r="K3421" i="1"/>
  <c r="L3421" i="1"/>
  <c r="M3421" i="1"/>
  <c r="N3421" i="1"/>
  <c r="O3421" i="1"/>
  <c r="P3421" i="1"/>
  <c r="Q3421" i="1"/>
  <c r="R3421" i="1"/>
  <c r="S3421" i="1"/>
  <c r="T3421" i="1"/>
  <c r="U3421" i="1"/>
  <c r="V3421" i="1"/>
  <c r="W3421" i="1"/>
  <c r="X3421" i="1"/>
  <c r="Y3421" i="1"/>
  <c r="Z3421" i="1"/>
  <c r="A3422" i="1"/>
  <c r="B3422" i="1"/>
  <c r="C3422" i="1"/>
  <c r="D3422" i="1"/>
  <c r="E3422" i="1"/>
  <c r="F3422" i="1"/>
  <c r="G3422" i="1"/>
  <c r="I3422" i="1"/>
  <c r="J3422" i="1"/>
  <c r="K3422" i="1"/>
  <c r="L3422" i="1"/>
  <c r="M3422" i="1"/>
  <c r="N3422" i="1"/>
  <c r="O3422" i="1"/>
  <c r="P3422" i="1"/>
  <c r="Q3422" i="1"/>
  <c r="R3422" i="1"/>
  <c r="S3422" i="1"/>
  <c r="T3422" i="1"/>
  <c r="U3422" i="1"/>
  <c r="V3422" i="1"/>
  <c r="W3422" i="1"/>
  <c r="X3422" i="1"/>
  <c r="Y3422" i="1"/>
  <c r="Z3422" i="1"/>
  <c r="A3423" i="1"/>
  <c r="B3423" i="1"/>
  <c r="C3423" i="1"/>
  <c r="D3423" i="1"/>
  <c r="E3423" i="1"/>
  <c r="F3423" i="1"/>
  <c r="G3423" i="1"/>
  <c r="I3423" i="1"/>
  <c r="J3423" i="1"/>
  <c r="K3423" i="1"/>
  <c r="L3423" i="1"/>
  <c r="M3423" i="1"/>
  <c r="N3423" i="1"/>
  <c r="O3423" i="1"/>
  <c r="P3423" i="1"/>
  <c r="Q3423" i="1"/>
  <c r="R3423" i="1"/>
  <c r="S3423" i="1"/>
  <c r="T3423" i="1"/>
  <c r="U3423" i="1"/>
  <c r="V3423" i="1"/>
  <c r="W3423" i="1"/>
  <c r="X3423" i="1"/>
  <c r="Y3423" i="1"/>
  <c r="Z3423" i="1"/>
  <c r="A3424" i="1"/>
  <c r="B3424" i="1"/>
  <c r="C3424" i="1"/>
  <c r="D3424" i="1"/>
  <c r="E3424" i="1"/>
  <c r="F3424" i="1"/>
  <c r="G3424" i="1"/>
  <c r="I3424" i="1"/>
  <c r="J3424" i="1"/>
  <c r="K3424" i="1"/>
  <c r="L3424" i="1"/>
  <c r="M3424" i="1"/>
  <c r="N3424" i="1"/>
  <c r="O3424" i="1"/>
  <c r="P3424" i="1"/>
  <c r="Q3424" i="1"/>
  <c r="R3424" i="1"/>
  <c r="S3424" i="1"/>
  <c r="T3424" i="1"/>
  <c r="U3424" i="1"/>
  <c r="V3424" i="1"/>
  <c r="W3424" i="1"/>
  <c r="X3424" i="1"/>
  <c r="Y3424" i="1"/>
  <c r="Z3424" i="1"/>
  <c r="A3425" i="1"/>
  <c r="B3425" i="1"/>
  <c r="C3425" i="1"/>
  <c r="D3425" i="1"/>
  <c r="E3425" i="1"/>
  <c r="F3425" i="1"/>
  <c r="G3425" i="1"/>
  <c r="I3425" i="1"/>
  <c r="J3425" i="1"/>
  <c r="K3425" i="1"/>
  <c r="L3425" i="1"/>
  <c r="M3425" i="1"/>
  <c r="N3425" i="1"/>
  <c r="O3425" i="1"/>
  <c r="P3425" i="1"/>
  <c r="Q3425" i="1"/>
  <c r="R3425" i="1"/>
  <c r="S3425" i="1"/>
  <c r="T3425" i="1"/>
  <c r="U3425" i="1"/>
  <c r="V3425" i="1"/>
  <c r="W3425" i="1"/>
  <c r="X3425" i="1"/>
  <c r="Y3425" i="1"/>
  <c r="Z3425" i="1"/>
  <c r="A3426" i="1"/>
  <c r="B3426" i="1"/>
  <c r="C3426" i="1"/>
  <c r="D3426" i="1"/>
  <c r="E3426" i="1"/>
  <c r="F3426" i="1"/>
  <c r="G3426" i="1"/>
  <c r="I3426" i="1"/>
  <c r="J3426" i="1"/>
  <c r="K3426" i="1"/>
  <c r="L3426" i="1"/>
  <c r="M3426" i="1"/>
  <c r="N3426" i="1"/>
  <c r="O3426" i="1"/>
  <c r="P3426" i="1"/>
  <c r="Q3426" i="1"/>
  <c r="R3426" i="1"/>
  <c r="S3426" i="1"/>
  <c r="T3426" i="1"/>
  <c r="U3426" i="1"/>
  <c r="V3426" i="1"/>
  <c r="W3426" i="1"/>
  <c r="X3426" i="1"/>
  <c r="Y3426" i="1"/>
  <c r="Z3426" i="1"/>
  <c r="A3427" i="1"/>
  <c r="B3427" i="1"/>
  <c r="C3427" i="1"/>
  <c r="D3427" i="1"/>
  <c r="E3427" i="1"/>
  <c r="F3427" i="1"/>
  <c r="G3427" i="1"/>
  <c r="I3427" i="1"/>
  <c r="J3427" i="1"/>
  <c r="K3427" i="1"/>
  <c r="L3427" i="1"/>
  <c r="M3427" i="1"/>
  <c r="N3427" i="1"/>
  <c r="O3427" i="1"/>
  <c r="P3427" i="1"/>
  <c r="Q3427" i="1"/>
  <c r="R3427" i="1"/>
  <c r="S3427" i="1"/>
  <c r="T3427" i="1"/>
  <c r="U3427" i="1"/>
  <c r="V3427" i="1"/>
  <c r="W3427" i="1"/>
  <c r="X3427" i="1"/>
  <c r="Y3427" i="1"/>
  <c r="Z3427" i="1"/>
  <c r="A3428" i="1"/>
  <c r="B3428" i="1"/>
  <c r="C3428" i="1"/>
  <c r="D3428" i="1"/>
  <c r="E3428" i="1"/>
  <c r="F3428" i="1"/>
  <c r="G3428" i="1"/>
  <c r="I3428" i="1"/>
  <c r="J3428" i="1"/>
  <c r="K3428" i="1"/>
  <c r="L3428" i="1"/>
  <c r="M3428" i="1"/>
  <c r="N3428" i="1"/>
  <c r="O3428" i="1"/>
  <c r="P3428" i="1"/>
  <c r="Q3428" i="1"/>
  <c r="R3428" i="1"/>
  <c r="S3428" i="1"/>
  <c r="T3428" i="1"/>
  <c r="U3428" i="1"/>
  <c r="V3428" i="1"/>
  <c r="W3428" i="1"/>
  <c r="X3428" i="1"/>
  <c r="Y3428" i="1"/>
  <c r="Z3428" i="1"/>
  <c r="A3429" i="1"/>
  <c r="B3429" i="1"/>
  <c r="C3429" i="1"/>
  <c r="D3429" i="1"/>
  <c r="E3429" i="1"/>
  <c r="F3429" i="1"/>
  <c r="G3429" i="1"/>
  <c r="I3429" i="1"/>
  <c r="J3429" i="1"/>
  <c r="K3429" i="1"/>
  <c r="L3429" i="1"/>
  <c r="M3429" i="1"/>
  <c r="N3429" i="1"/>
  <c r="O3429" i="1"/>
  <c r="P3429" i="1"/>
  <c r="Q3429" i="1"/>
  <c r="R3429" i="1"/>
  <c r="S3429" i="1"/>
  <c r="T3429" i="1"/>
  <c r="U3429" i="1"/>
  <c r="V3429" i="1"/>
  <c r="W3429" i="1"/>
  <c r="X3429" i="1"/>
  <c r="Y3429" i="1"/>
  <c r="Z3429" i="1"/>
  <c r="A3430" i="1"/>
  <c r="B3430" i="1"/>
  <c r="C3430" i="1"/>
  <c r="D3430" i="1"/>
  <c r="E3430" i="1"/>
  <c r="F3430" i="1"/>
  <c r="G3430" i="1"/>
  <c r="I3430" i="1"/>
  <c r="J3430" i="1"/>
  <c r="K3430" i="1"/>
  <c r="L3430" i="1"/>
  <c r="M3430" i="1"/>
  <c r="N3430" i="1"/>
  <c r="O3430" i="1"/>
  <c r="P3430" i="1"/>
  <c r="Q3430" i="1"/>
  <c r="R3430" i="1"/>
  <c r="S3430" i="1"/>
  <c r="T3430" i="1"/>
  <c r="U3430" i="1"/>
  <c r="V3430" i="1"/>
  <c r="W3430" i="1"/>
  <c r="X3430" i="1"/>
  <c r="Y3430" i="1"/>
  <c r="Z3430" i="1"/>
  <c r="A3431" i="1"/>
  <c r="B3431" i="1"/>
  <c r="C3431" i="1"/>
  <c r="D3431" i="1"/>
  <c r="E3431" i="1"/>
  <c r="F3431" i="1"/>
  <c r="G3431" i="1"/>
  <c r="I3431" i="1"/>
  <c r="J3431" i="1"/>
  <c r="K3431" i="1"/>
  <c r="L3431" i="1"/>
  <c r="M3431" i="1"/>
  <c r="N3431" i="1"/>
  <c r="O3431" i="1"/>
  <c r="P3431" i="1"/>
  <c r="Q3431" i="1"/>
  <c r="R3431" i="1"/>
  <c r="S3431" i="1"/>
  <c r="T3431" i="1"/>
  <c r="U3431" i="1"/>
  <c r="V3431" i="1"/>
  <c r="W3431" i="1"/>
  <c r="X3431" i="1"/>
  <c r="Y3431" i="1"/>
  <c r="Z3431" i="1"/>
  <c r="A3432" i="1"/>
  <c r="B3432" i="1"/>
  <c r="C3432" i="1"/>
  <c r="D3432" i="1"/>
  <c r="E3432" i="1"/>
  <c r="F3432" i="1"/>
  <c r="G3432" i="1"/>
  <c r="I3432" i="1"/>
  <c r="J3432" i="1"/>
  <c r="K3432" i="1"/>
  <c r="L3432" i="1"/>
  <c r="M3432" i="1"/>
  <c r="N3432" i="1"/>
  <c r="O3432" i="1"/>
  <c r="P3432" i="1"/>
  <c r="Q3432" i="1"/>
  <c r="R3432" i="1"/>
  <c r="S3432" i="1"/>
  <c r="T3432" i="1"/>
  <c r="U3432" i="1"/>
  <c r="V3432" i="1"/>
  <c r="W3432" i="1"/>
  <c r="X3432" i="1"/>
  <c r="Y3432" i="1"/>
  <c r="Z3432" i="1"/>
  <c r="A3433" i="1"/>
  <c r="B3433" i="1"/>
  <c r="C3433" i="1"/>
  <c r="D3433" i="1"/>
  <c r="E3433" i="1"/>
  <c r="F3433" i="1"/>
  <c r="G3433" i="1"/>
  <c r="I3433" i="1"/>
  <c r="J3433" i="1"/>
  <c r="K3433" i="1"/>
  <c r="L3433" i="1"/>
  <c r="M3433" i="1"/>
  <c r="N3433" i="1"/>
  <c r="O3433" i="1"/>
  <c r="P3433" i="1"/>
  <c r="Q3433" i="1"/>
  <c r="R3433" i="1"/>
  <c r="S3433" i="1"/>
  <c r="T3433" i="1"/>
  <c r="U3433" i="1"/>
  <c r="V3433" i="1"/>
  <c r="W3433" i="1"/>
  <c r="X3433" i="1"/>
  <c r="Y3433" i="1"/>
  <c r="Z3433" i="1"/>
  <c r="A3434" i="1"/>
  <c r="B3434" i="1"/>
  <c r="C3434" i="1"/>
  <c r="D3434" i="1"/>
  <c r="E3434" i="1"/>
  <c r="F3434" i="1"/>
  <c r="G3434" i="1"/>
  <c r="I3434" i="1"/>
  <c r="J3434" i="1"/>
  <c r="K3434" i="1"/>
  <c r="L3434" i="1"/>
  <c r="M3434" i="1"/>
  <c r="N3434" i="1"/>
  <c r="O3434" i="1"/>
  <c r="P3434" i="1"/>
  <c r="Q3434" i="1"/>
  <c r="R3434" i="1"/>
  <c r="S3434" i="1"/>
  <c r="T3434" i="1"/>
  <c r="U3434" i="1"/>
  <c r="V3434" i="1"/>
  <c r="W3434" i="1"/>
  <c r="X3434" i="1"/>
  <c r="Y3434" i="1"/>
  <c r="Z3434" i="1"/>
  <c r="A3435" i="1"/>
  <c r="B3435" i="1"/>
  <c r="C3435" i="1"/>
  <c r="D3435" i="1"/>
  <c r="E3435" i="1"/>
  <c r="F3435" i="1"/>
  <c r="G3435" i="1"/>
  <c r="I3435" i="1"/>
  <c r="J3435" i="1"/>
  <c r="K3435" i="1"/>
  <c r="L3435" i="1"/>
  <c r="M3435" i="1"/>
  <c r="N3435" i="1"/>
  <c r="O3435" i="1"/>
  <c r="P3435" i="1"/>
  <c r="Q3435" i="1"/>
  <c r="R3435" i="1"/>
  <c r="S3435" i="1"/>
  <c r="T3435" i="1"/>
  <c r="U3435" i="1"/>
  <c r="V3435" i="1"/>
  <c r="W3435" i="1"/>
  <c r="X3435" i="1"/>
  <c r="Y3435" i="1"/>
  <c r="Z3435" i="1"/>
  <c r="A3436" i="1"/>
  <c r="B3436" i="1"/>
  <c r="C3436" i="1"/>
  <c r="D3436" i="1"/>
  <c r="E3436" i="1"/>
  <c r="F3436" i="1"/>
  <c r="G3436" i="1"/>
  <c r="I3436" i="1"/>
  <c r="J3436" i="1"/>
  <c r="K3436" i="1"/>
  <c r="L3436" i="1"/>
  <c r="M3436" i="1"/>
  <c r="N3436" i="1"/>
  <c r="O3436" i="1"/>
  <c r="P3436" i="1"/>
  <c r="Q3436" i="1"/>
  <c r="R3436" i="1"/>
  <c r="S3436" i="1"/>
  <c r="T3436" i="1"/>
  <c r="U3436" i="1"/>
  <c r="V3436" i="1"/>
  <c r="W3436" i="1"/>
  <c r="X3436" i="1"/>
  <c r="Y3436" i="1"/>
  <c r="Z3436" i="1"/>
  <c r="A3437" i="1"/>
  <c r="B3437" i="1"/>
  <c r="C3437" i="1"/>
  <c r="D3437" i="1"/>
  <c r="E3437" i="1"/>
  <c r="F3437" i="1"/>
  <c r="G3437" i="1"/>
  <c r="I3437" i="1"/>
  <c r="J3437" i="1"/>
  <c r="K3437" i="1"/>
  <c r="L3437" i="1"/>
  <c r="M3437" i="1"/>
  <c r="N3437" i="1"/>
  <c r="O3437" i="1"/>
  <c r="P3437" i="1"/>
  <c r="Q3437" i="1"/>
  <c r="R3437" i="1"/>
  <c r="S3437" i="1"/>
  <c r="T3437" i="1"/>
  <c r="U3437" i="1"/>
  <c r="V3437" i="1"/>
  <c r="W3437" i="1"/>
  <c r="X3437" i="1"/>
  <c r="Y3437" i="1"/>
  <c r="Z3437" i="1"/>
  <c r="A3438" i="1"/>
  <c r="B3438" i="1"/>
  <c r="C3438" i="1"/>
  <c r="D3438" i="1"/>
  <c r="E3438" i="1"/>
  <c r="F3438" i="1"/>
  <c r="G3438" i="1"/>
  <c r="I3438" i="1"/>
  <c r="J3438" i="1"/>
  <c r="K3438" i="1"/>
  <c r="L3438" i="1"/>
  <c r="M3438" i="1"/>
  <c r="N3438" i="1"/>
  <c r="O3438" i="1"/>
  <c r="P3438" i="1"/>
  <c r="Q3438" i="1"/>
  <c r="R3438" i="1"/>
  <c r="S3438" i="1"/>
  <c r="T3438" i="1"/>
  <c r="U3438" i="1"/>
  <c r="V3438" i="1"/>
  <c r="W3438" i="1"/>
  <c r="X3438" i="1"/>
  <c r="Y3438" i="1"/>
  <c r="Z3438" i="1"/>
  <c r="A3439" i="1"/>
  <c r="B3439" i="1"/>
  <c r="C3439" i="1"/>
  <c r="D3439" i="1"/>
  <c r="E3439" i="1"/>
  <c r="F3439" i="1"/>
  <c r="G3439" i="1"/>
  <c r="I3439" i="1"/>
  <c r="J3439" i="1"/>
  <c r="K3439" i="1"/>
  <c r="L3439" i="1"/>
  <c r="M3439" i="1"/>
  <c r="N3439" i="1"/>
  <c r="O3439" i="1"/>
  <c r="P3439" i="1"/>
  <c r="Q3439" i="1"/>
  <c r="R3439" i="1"/>
  <c r="S3439" i="1"/>
  <c r="T3439" i="1"/>
  <c r="U3439" i="1"/>
  <c r="V3439" i="1"/>
  <c r="W3439" i="1"/>
  <c r="X3439" i="1"/>
  <c r="Y3439" i="1"/>
  <c r="Z3439" i="1"/>
  <c r="A3440" i="1"/>
  <c r="B3440" i="1"/>
  <c r="C3440" i="1"/>
  <c r="D3440" i="1"/>
  <c r="E3440" i="1"/>
  <c r="F3440" i="1"/>
  <c r="G3440" i="1"/>
  <c r="I3440" i="1"/>
  <c r="J3440" i="1"/>
  <c r="K3440" i="1"/>
  <c r="L3440" i="1"/>
  <c r="M3440" i="1"/>
  <c r="N3440" i="1"/>
  <c r="O3440" i="1"/>
  <c r="P3440" i="1"/>
  <c r="Q3440" i="1"/>
  <c r="R3440" i="1"/>
  <c r="S3440" i="1"/>
  <c r="T3440" i="1"/>
  <c r="U3440" i="1"/>
  <c r="V3440" i="1"/>
  <c r="W3440" i="1"/>
  <c r="X3440" i="1"/>
  <c r="Y3440" i="1"/>
  <c r="Z3440" i="1"/>
  <c r="A3441" i="1"/>
  <c r="B3441" i="1"/>
  <c r="C3441" i="1"/>
  <c r="D3441" i="1"/>
  <c r="E3441" i="1"/>
  <c r="F3441" i="1"/>
  <c r="G3441" i="1"/>
  <c r="I3441" i="1"/>
  <c r="J3441" i="1"/>
  <c r="K3441" i="1"/>
  <c r="L3441" i="1"/>
  <c r="M3441" i="1"/>
  <c r="N3441" i="1"/>
  <c r="O3441" i="1"/>
  <c r="P3441" i="1"/>
  <c r="Q3441" i="1"/>
  <c r="R3441" i="1"/>
  <c r="S3441" i="1"/>
  <c r="T3441" i="1"/>
  <c r="U3441" i="1"/>
  <c r="V3441" i="1"/>
  <c r="W3441" i="1"/>
  <c r="X3441" i="1"/>
  <c r="Y3441" i="1"/>
  <c r="Z3441" i="1"/>
  <c r="A3442" i="1"/>
  <c r="B3442" i="1"/>
  <c r="C3442" i="1"/>
  <c r="D3442" i="1"/>
  <c r="E3442" i="1"/>
  <c r="F3442" i="1"/>
  <c r="G3442" i="1"/>
  <c r="I3442" i="1"/>
  <c r="J3442" i="1"/>
  <c r="K3442" i="1"/>
  <c r="L3442" i="1"/>
  <c r="M3442" i="1"/>
  <c r="N3442" i="1"/>
  <c r="O3442" i="1"/>
  <c r="P3442" i="1"/>
  <c r="Q3442" i="1"/>
  <c r="R3442" i="1"/>
  <c r="S3442" i="1"/>
  <c r="T3442" i="1"/>
  <c r="U3442" i="1"/>
  <c r="V3442" i="1"/>
  <c r="W3442" i="1"/>
  <c r="X3442" i="1"/>
  <c r="Y3442" i="1"/>
  <c r="Z3442" i="1"/>
  <c r="A3443" i="1"/>
  <c r="B3443" i="1"/>
  <c r="C3443" i="1"/>
  <c r="D3443" i="1"/>
  <c r="E3443" i="1"/>
  <c r="F3443" i="1"/>
  <c r="G3443" i="1"/>
  <c r="I3443" i="1"/>
  <c r="J3443" i="1"/>
  <c r="K3443" i="1"/>
  <c r="L3443" i="1"/>
  <c r="M3443" i="1"/>
  <c r="N3443" i="1"/>
  <c r="O3443" i="1"/>
  <c r="P3443" i="1"/>
  <c r="Q3443" i="1"/>
  <c r="R3443" i="1"/>
  <c r="S3443" i="1"/>
  <c r="T3443" i="1"/>
  <c r="U3443" i="1"/>
  <c r="V3443" i="1"/>
  <c r="W3443" i="1"/>
  <c r="X3443" i="1"/>
  <c r="Y3443" i="1"/>
  <c r="Z3443" i="1"/>
  <c r="A3444" i="1"/>
  <c r="B3444" i="1"/>
  <c r="C3444" i="1"/>
  <c r="D3444" i="1"/>
  <c r="E3444" i="1"/>
  <c r="F3444" i="1"/>
  <c r="G3444" i="1"/>
  <c r="I3444" i="1"/>
  <c r="J3444" i="1"/>
  <c r="K3444" i="1"/>
  <c r="L3444" i="1"/>
  <c r="M3444" i="1"/>
  <c r="N3444" i="1"/>
  <c r="O3444" i="1"/>
  <c r="P3444" i="1"/>
  <c r="Q3444" i="1"/>
  <c r="R3444" i="1"/>
  <c r="S3444" i="1"/>
  <c r="T3444" i="1"/>
  <c r="U3444" i="1"/>
  <c r="V3444" i="1"/>
  <c r="W3444" i="1"/>
  <c r="X3444" i="1"/>
  <c r="Y3444" i="1"/>
  <c r="Z3444" i="1"/>
  <c r="A3445" i="1"/>
  <c r="B3445" i="1"/>
  <c r="C3445" i="1"/>
  <c r="D3445" i="1"/>
  <c r="E3445" i="1"/>
  <c r="F3445" i="1"/>
  <c r="G3445" i="1"/>
  <c r="I3445" i="1"/>
  <c r="J3445" i="1"/>
  <c r="K3445" i="1"/>
  <c r="L3445" i="1"/>
  <c r="M3445" i="1"/>
  <c r="N3445" i="1"/>
  <c r="O3445" i="1"/>
  <c r="P3445" i="1"/>
  <c r="Q3445" i="1"/>
  <c r="R3445" i="1"/>
  <c r="S3445" i="1"/>
  <c r="T3445" i="1"/>
  <c r="U3445" i="1"/>
  <c r="V3445" i="1"/>
  <c r="W3445" i="1"/>
  <c r="X3445" i="1"/>
  <c r="Y3445" i="1"/>
  <c r="Z3445" i="1"/>
  <c r="A3446" i="1"/>
  <c r="B3446" i="1"/>
  <c r="C3446" i="1"/>
  <c r="D3446" i="1"/>
  <c r="E3446" i="1"/>
  <c r="F3446" i="1"/>
  <c r="G3446" i="1"/>
  <c r="I3446" i="1"/>
  <c r="J3446" i="1"/>
  <c r="K3446" i="1"/>
  <c r="L3446" i="1"/>
  <c r="M3446" i="1"/>
  <c r="N3446" i="1"/>
  <c r="O3446" i="1"/>
  <c r="P3446" i="1"/>
  <c r="Q3446" i="1"/>
  <c r="R3446" i="1"/>
  <c r="S3446" i="1"/>
  <c r="T3446" i="1"/>
  <c r="U3446" i="1"/>
  <c r="V3446" i="1"/>
  <c r="W3446" i="1"/>
  <c r="X3446" i="1"/>
  <c r="Y3446" i="1"/>
  <c r="Z3446" i="1"/>
  <c r="A3447" i="1"/>
  <c r="B3447" i="1"/>
  <c r="C3447" i="1"/>
  <c r="D3447" i="1"/>
  <c r="E3447" i="1"/>
  <c r="F3447" i="1"/>
  <c r="G3447" i="1"/>
  <c r="I3447" i="1"/>
  <c r="J3447" i="1"/>
  <c r="K3447" i="1"/>
  <c r="L3447" i="1"/>
  <c r="M3447" i="1"/>
  <c r="N3447" i="1"/>
  <c r="O3447" i="1"/>
  <c r="P3447" i="1"/>
  <c r="Q3447" i="1"/>
  <c r="R3447" i="1"/>
  <c r="S3447" i="1"/>
  <c r="T3447" i="1"/>
  <c r="U3447" i="1"/>
  <c r="V3447" i="1"/>
  <c r="W3447" i="1"/>
  <c r="X3447" i="1"/>
  <c r="Y3447" i="1"/>
  <c r="Z3447" i="1"/>
  <c r="A3448" i="1"/>
  <c r="B3448" i="1"/>
  <c r="C3448" i="1"/>
  <c r="D3448" i="1"/>
  <c r="E3448" i="1"/>
  <c r="F3448" i="1"/>
  <c r="G3448" i="1"/>
  <c r="I3448" i="1"/>
  <c r="J3448" i="1"/>
  <c r="K3448" i="1"/>
  <c r="L3448" i="1"/>
  <c r="M3448" i="1"/>
  <c r="N3448" i="1"/>
  <c r="O3448" i="1"/>
  <c r="P3448" i="1"/>
  <c r="Q3448" i="1"/>
  <c r="R3448" i="1"/>
  <c r="S3448" i="1"/>
  <c r="T3448" i="1"/>
  <c r="U3448" i="1"/>
  <c r="V3448" i="1"/>
  <c r="W3448" i="1"/>
  <c r="X3448" i="1"/>
  <c r="Y3448" i="1"/>
  <c r="Z3448" i="1"/>
  <c r="A3449" i="1"/>
  <c r="B3449" i="1"/>
  <c r="C3449" i="1"/>
  <c r="D3449" i="1"/>
  <c r="E3449" i="1"/>
  <c r="F3449" i="1"/>
  <c r="G3449" i="1"/>
  <c r="I3449" i="1"/>
  <c r="J3449" i="1"/>
  <c r="K3449" i="1"/>
  <c r="L3449" i="1"/>
  <c r="M3449" i="1"/>
  <c r="N3449" i="1"/>
  <c r="O3449" i="1"/>
  <c r="P3449" i="1"/>
  <c r="Q3449" i="1"/>
  <c r="R3449" i="1"/>
  <c r="S3449" i="1"/>
  <c r="T3449" i="1"/>
  <c r="U3449" i="1"/>
  <c r="V3449" i="1"/>
  <c r="W3449" i="1"/>
  <c r="X3449" i="1"/>
  <c r="Y3449" i="1"/>
  <c r="Z3449" i="1"/>
  <c r="A3450" i="1"/>
  <c r="B3450" i="1"/>
  <c r="C3450" i="1"/>
  <c r="D3450" i="1"/>
  <c r="E3450" i="1"/>
  <c r="F3450" i="1"/>
  <c r="G3450" i="1"/>
  <c r="I3450" i="1"/>
  <c r="J3450" i="1"/>
  <c r="K3450" i="1"/>
  <c r="L3450" i="1"/>
  <c r="M3450" i="1"/>
  <c r="N3450" i="1"/>
  <c r="O3450" i="1"/>
  <c r="P3450" i="1"/>
  <c r="Q3450" i="1"/>
  <c r="R3450" i="1"/>
  <c r="S3450" i="1"/>
  <c r="T3450" i="1"/>
  <c r="U3450" i="1"/>
  <c r="V3450" i="1"/>
  <c r="W3450" i="1"/>
  <c r="X3450" i="1"/>
  <c r="Y3450" i="1"/>
  <c r="Z3450" i="1"/>
  <c r="A3451" i="1"/>
  <c r="B3451" i="1"/>
  <c r="C3451" i="1"/>
  <c r="D3451" i="1"/>
  <c r="E3451" i="1"/>
  <c r="F3451" i="1"/>
  <c r="G3451" i="1"/>
  <c r="I3451" i="1"/>
  <c r="J3451" i="1"/>
  <c r="K3451" i="1"/>
  <c r="L3451" i="1"/>
  <c r="M3451" i="1"/>
  <c r="N3451" i="1"/>
  <c r="O3451" i="1"/>
  <c r="P3451" i="1"/>
  <c r="Q3451" i="1"/>
  <c r="R3451" i="1"/>
  <c r="S3451" i="1"/>
  <c r="T3451" i="1"/>
  <c r="U3451" i="1"/>
  <c r="V3451" i="1"/>
  <c r="W3451" i="1"/>
  <c r="X3451" i="1"/>
  <c r="Y3451" i="1"/>
  <c r="Z3451" i="1"/>
  <c r="A3452" i="1"/>
  <c r="B3452" i="1"/>
  <c r="C3452" i="1"/>
  <c r="D3452" i="1"/>
  <c r="E3452" i="1"/>
  <c r="F3452" i="1"/>
  <c r="G3452" i="1"/>
  <c r="I3452" i="1"/>
  <c r="J3452" i="1"/>
  <c r="K3452" i="1"/>
  <c r="L3452" i="1"/>
  <c r="M3452" i="1"/>
  <c r="N3452" i="1"/>
  <c r="O3452" i="1"/>
  <c r="P3452" i="1"/>
  <c r="Q3452" i="1"/>
  <c r="R3452" i="1"/>
  <c r="S3452" i="1"/>
  <c r="T3452" i="1"/>
  <c r="U3452" i="1"/>
  <c r="V3452" i="1"/>
  <c r="W3452" i="1"/>
  <c r="X3452" i="1"/>
  <c r="Y3452" i="1"/>
  <c r="Z3452" i="1"/>
  <c r="A3453" i="1"/>
  <c r="B3453" i="1"/>
  <c r="C3453" i="1"/>
  <c r="D3453" i="1"/>
  <c r="E3453" i="1"/>
  <c r="F3453" i="1"/>
  <c r="G3453" i="1"/>
  <c r="I3453" i="1"/>
  <c r="J3453" i="1"/>
  <c r="K3453" i="1"/>
  <c r="L3453" i="1"/>
  <c r="M3453" i="1"/>
  <c r="N3453" i="1"/>
  <c r="O3453" i="1"/>
  <c r="P3453" i="1"/>
  <c r="Q3453" i="1"/>
  <c r="R3453" i="1"/>
  <c r="S3453" i="1"/>
  <c r="T3453" i="1"/>
  <c r="U3453" i="1"/>
  <c r="V3453" i="1"/>
  <c r="W3453" i="1"/>
  <c r="X3453" i="1"/>
  <c r="Y3453" i="1"/>
  <c r="Z3453" i="1"/>
  <c r="A3454" i="1"/>
  <c r="B3454" i="1"/>
  <c r="C3454" i="1"/>
  <c r="D3454" i="1"/>
  <c r="E3454" i="1"/>
  <c r="F3454" i="1"/>
  <c r="G3454" i="1"/>
  <c r="I3454" i="1"/>
  <c r="J3454" i="1"/>
  <c r="K3454" i="1"/>
  <c r="L3454" i="1"/>
  <c r="M3454" i="1"/>
  <c r="N3454" i="1"/>
  <c r="O3454" i="1"/>
  <c r="P3454" i="1"/>
  <c r="Q3454" i="1"/>
  <c r="R3454" i="1"/>
  <c r="S3454" i="1"/>
  <c r="T3454" i="1"/>
  <c r="U3454" i="1"/>
  <c r="V3454" i="1"/>
  <c r="W3454" i="1"/>
  <c r="X3454" i="1"/>
  <c r="Y3454" i="1"/>
  <c r="Z3454" i="1"/>
  <c r="A3455" i="1"/>
  <c r="B3455" i="1"/>
  <c r="C3455" i="1"/>
  <c r="D3455" i="1"/>
  <c r="E3455" i="1"/>
  <c r="F3455" i="1"/>
  <c r="G3455" i="1"/>
  <c r="I3455" i="1"/>
  <c r="J3455" i="1"/>
  <c r="K3455" i="1"/>
  <c r="L3455" i="1"/>
  <c r="M3455" i="1"/>
  <c r="N3455" i="1"/>
  <c r="O3455" i="1"/>
  <c r="P3455" i="1"/>
  <c r="Q3455" i="1"/>
  <c r="R3455" i="1"/>
  <c r="S3455" i="1"/>
  <c r="T3455" i="1"/>
  <c r="U3455" i="1"/>
  <c r="V3455" i="1"/>
  <c r="W3455" i="1"/>
  <c r="X3455" i="1"/>
  <c r="Y3455" i="1"/>
  <c r="Z3455" i="1"/>
  <c r="A3456" i="1"/>
  <c r="B3456" i="1"/>
  <c r="C3456" i="1"/>
  <c r="D3456" i="1"/>
  <c r="E3456" i="1"/>
  <c r="F3456" i="1"/>
  <c r="G3456" i="1"/>
  <c r="I3456" i="1"/>
  <c r="J3456" i="1"/>
  <c r="K3456" i="1"/>
  <c r="L3456" i="1"/>
  <c r="M3456" i="1"/>
  <c r="N3456" i="1"/>
  <c r="O3456" i="1"/>
  <c r="P3456" i="1"/>
  <c r="Q3456" i="1"/>
  <c r="R3456" i="1"/>
  <c r="S3456" i="1"/>
  <c r="T3456" i="1"/>
  <c r="U3456" i="1"/>
  <c r="V3456" i="1"/>
  <c r="W3456" i="1"/>
  <c r="X3456" i="1"/>
  <c r="Y3456" i="1"/>
  <c r="Z3456" i="1"/>
  <c r="A3457" i="1"/>
  <c r="B3457" i="1"/>
  <c r="C3457" i="1"/>
  <c r="D3457" i="1"/>
  <c r="E3457" i="1"/>
  <c r="F3457" i="1"/>
  <c r="G3457" i="1"/>
  <c r="I3457" i="1"/>
  <c r="J3457" i="1"/>
  <c r="K3457" i="1"/>
  <c r="L3457" i="1"/>
  <c r="M3457" i="1"/>
  <c r="N3457" i="1"/>
  <c r="O3457" i="1"/>
  <c r="P3457" i="1"/>
  <c r="Q3457" i="1"/>
  <c r="R3457" i="1"/>
  <c r="S3457" i="1"/>
  <c r="T3457" i="1"/>
  <c r="U3457" i="1"/>
  <c r="V3457" i="1"/>
  <c r="W3457" i="1"/>
  <c r="X3457" i="1"/>
  <c r="Y3457" i="1"/>
  <c r="Z3457" i="1"/>
  <c r="A3458" i="1"/>
  <c r="B3458" i="1"/>
  <c r="C3458" i="1"/>
  <c r="D3458" i="1"/>
  <c r="E3458" i="1"/>
  <c r="F3458" i="1"/>
  <c r="G3458" i="1"/>
  <c r="I3458" i="1"/>
  <c r="J3458" i="1"/>
  <c r="K3458" i="1"/>
  <c r="L3458" i="1"/>
  <c r="M3458" i="1"/>
  <c r="N3458" i="1"/>
  <c r="O3458" i="1"/>
  <c r="P3458" i="1"/>
  <c r="Q3458" i="1"/>
  <c r="R3458" i="1"/>
  <c r="S3458" i="1"/>
  <c r="T3458" i="1"/>
  <c r="U3458" i="1"/>
  <c r="V3458" i="1"/>
  <c r="W3458" i="1"/>
  <c r="X3458" i="1"/>
  <c r="Y3458" i="1"/>
  <c r="Z3458" i="1"/>
  <c r="A3459" i="1"/>
  <c r="B3459" i="1"/>
  <c r="C3459" i="1"/>
  <c r="D3459" i="1"/>
  <c r="E3459" i="1"/>
  <c r="F3459" i="1"/>
  <c r="G3459" i="1"/>
  <c r="I3459" i="1"/>
  <c r="J3459" i="1"/>
  <c r="K3459" i="1"/>
  <c r="L3459" i="1"/>
  <c r="M3459" i="1"/>
  <c r="N3459" i="1"/>
  <c r="O3459" i="1"/>
  <c r="P3459" i="1"/>
  <c r="Q3459" i="1"/>
  <c r="R3459" i="1"/>
  <c r="S3459" i="1"/>
  <c r="T3459" i="1"/>
  <c r="U3459" i="1"/>
  <c r="V3459" i="1"/>
  <c r="W3459" i="1"/>
  <c r="X3459" i="1"/>
  <c r="Y3459" i="1"/>
  <c r="Z3459" i="1"/>
  <c r="A3460" i="1"/>
  <c r="B3460" i="1"/>
  <c r="C3460" i="1"/>
  <c r="D3460" i="1"/>
  <c r="E3460" i="1"/>
  <c r="F3460" i="1"/>
  <c r="G3460" i="1"/>
  <c r="I3460" i="1"/>
  <c r="J3460" i="1"/>
  <c r="K3460" i="1"/>
  <c r="L3460" i="1"/>
  <c r="M3460" i="1"/>
  <c r="N3460" i="1"/>
  <c r="O3460" i="1"/>
  <c r="P3460" i="1"/>
  <c r="Q3460" i="1"/>
  <c r="R3460" i="1"/>
  <c r="S3460" i="1"/>
  <c r="T3460" i="1"/>
  <c r="U3460" i="1"/>
  <c r="V3460" i="1"/>
  <c r="W3460" i="1"/>
  <c r="X3460" i="1"/>
  <c r="Y3460" i="1"/>
  <c r="Z3460" i="1"/>
  <c r="A3461" i="1"/>
  <c r="B3461" i="1"/>
  <c r="C3461" i="1"/>
  <c r="D3461" i="1"/>
  <c r="E3461" i="1"/>
  <c r="F3461" i="1"/>
  <c r="G3461" i="1"/>
  <c r="I3461" i="1"/>
  <c r="J3461" i="1"/>
  <c r="K3461" i="1"/>
  <c r="L3461" i="1"/>
  <c r="M3461" i="1"/>
  <c r="N3461" i="1"/>
  <c r="O3461" i="1"/>
  <c r="P3461" i="1"/>
  <c r="Q3461" i="1"/>
  <c r="R3461" i="1"/>
  <c r="S3461" i="1"/>
  <c r="T3461" i="1"/>
  <c r="U3461" i="1"/>
  <c r="V3461" i="1"/>
  <c r="W3461" i="1"/>
  <c r="X3461" i="1"/>
  <c r="Y3461" i="1"/>
  <c r="Z3461" i="1"/>
  <c r="A3462" i="1"/>
  <c r="B3462" i="1"/>
  <c r="C3462" i="1"/>
  <c r="D3462" i="1"/>
  <c r="E3462" i="1"/>
  <c r="F3462" i="1"/>
  <c r="G3462" i="1"/>
  <c r="I3462" i="1"/>
  <c r="J3462" i="1"/>
  <c r="K3462" i="1"/>
  <c r="L3462" i="1"/>
  <c r="M3462" i="1"/>
  <c r="N3462" i="1"/>
  <c r="O3462" i="1"/>
  <c r="P3462" i="1"/>
  <c r="Q3462" i="1"/>
  <c r="R3462" i="1"/>
  <c r="S3462" i="1"/>
  <c r="T3462" i="1"/>
  <c r="U3462" i="1"/>
  <c r="V3462" i="1"/>
  <c r="W3462" i="1"/>
  <c r="X3462" i="1"/>
  <c r="Y3462" i="1"/>
  <c r="Z3462" i="1"/>
  <c r="A3463" i="1"/>
  <c r="B3463" i="1"/>
  <c r="C3463" i="1"/>
  <c r="D3463" i="1"/>
  <c r="E3463" i="1"/>
  <c r="F3463" i="1"/>
  <c r="G3463" i="1"/>
  <c r="I3463" i="1"/>
  <c r="J3463" i="1"/>
  <c r="K3463" i="1"/>
  <c r="L3463" i="1"/>
  <c r="M3463" i="1"/>
  <c r="N3463" i="1"/>
  <c r="O3463" i="1"/>
  <c r="P3463" i="1"/>
  <c r="Q3463" i="1"/>
  <c r="R3463" i="1"/>
  <c r="S3463" i="1"/>
  <c r="T3463" i="1"/>
  <c r="U3463" i="1"/>
  <c r="V3463" i="1"/>
  <c r="W3463" i="1"/>
  <c r="X3463" i="1"/>
  <c r="Y3463" i="1"/>
  <c r="Z3463" i="1"/>
  <c r="A3464" i="1"/>
  <c r="B3464" i="1"/>
  <c r="C3464" i="1"/>
  <c r="D3464" i="1"/>
  <c r="E3464" i="1"/>
  <c r="F3464" i="1"/>
  <c r="G3464" i="1"/>
  <c r="I3464" i="1"/>
  <c r="J3464" i="1"/>
  <c r="K3464" i="1"/>
  <c r="L3464" i="1"/>
  <c r="M3464" i="1"/>
  <c r="N3464" i="1"/>
  <c r="O3464" i="1"/>
  <c r="P3464" i="1"/>
  <c r="Q3464" i="1"/>
  <c r="R3464" i="1"/>
  <c r="S3464" i="1"/>
  <c r="T3464" i="1"/>
  <c r="U3464" i="1"/>
  <c r="V3464" i="1"/>
  <c r="W3464" i="1"/>
  <c r="X3464" i="1"/>
  <c r="Y3464" i="1"/>
  <c r="Z3464" i="1"/>
  <c r="A3465" i="1"/>
  <c r="B3465" i="1"/>
  <c r="C3465" i="1"/>
  <c r="D3465" i="1"/>
  <c r="E3465" i="1"/>
  <c r="F3465" i="1"/>
  <c r="G3465" i="1"/>
  <c r="I3465" i="1"/>
  <c r="J3465" i="1"/>
  <c r="K3465" i="1"/>
  <c r="L3465" i="1"/>
  <c r="M3465" i="1"/>
  <c r="N3465" i="1"/>
  <c r="O3465" i="1"/>
  <c r="P3465" i="1"/>
  <c r="Q3465" i="1"/>
  <c r="R3465" i="1"/>
  <c r="S3465" i="1"/>
  <c r="T3465" i="1"/>
  <c r="U3465" i="1"/>
  <c r="V3465" i="1"/>
  <c r="W3465" i="1"/>
  <c r="X3465" i="1"/>
  <c r="Y3465" i="1"/>
  <c r="Z3465" i="1"/>
  <c r="A3466" i="1"/>
  <c r="B3466" i="1"/>
  <c r="C3466" i="1"/>
  <c r="D3466" i="1"/>
  <c r="E3466" i="1"/>
  <c r="F3466" i="1"/>
  <c r="G3466" i="1"/>
  <c r="I3466" i="1"/>
  <c r="J3466" i="1"/>
  <c r="K3466" i="1"/>
  <c r="L3466" i="1"/>
  <c r="M3466" i="1"/>
  <c r="N3466" i="1"/>
  <c r="O3466" i="1"/>
  <c r="P3466" i="1"/>
  <c r="Q3466" i="1"/>
  <c r="R3466" i="1"/>
  <c r="S3466" i="1"/>
  <c r="T3466" i="1"/>
  <c r="U3466" i="1"/>
  <c r="V3466" i="1"/>
  <c r="W3466" i="1"/>
  <c r="X3466" i="1"/>
  <c r="Y3466" i="1"/>
  <c r="Z3466" i="1"/>
  <c r="A3467" i="1"/>
  <c r="B3467" i="1"/>
  <c r="C3467" i="1"/>
  <c r="D3467" i="1"/>
  <c r="E3467" i="1"/>
  <c r="F3467" i="1"/>
  <c r="G3467" i="1"/>
  <c r="I3467" i="1"/>
  <c r="J3467" i="1"/>
  <c r="K3467" i="1"/>
  <c r="L3467" i="1"/>
  <c r="M3467" i="1"/>
  <c r="N3467" i="1"/>
  <c r="O3467" i="1"/>
  <c r="P3467" i="1"/>
  <c r="Q3467" i="1"/>
  <c r="R3467" i="1"/>
  <c r="S3467" i="1"/>
  <c r="T3467" i="1"/>
  <c r="U3467" i="1"/>
  <c r="V3467" i="1"/>
  <c r="W3467" i="1"/>
  <c r="X3467" i="1"/>
  <c r="Y3467" i="1"/>
  <c r="Z3467" i="1"/>
  <c r="A3468" i="1"/>
  <c r="B3468" i="1"/>
  <c r="C3468" i="1"/>
  <c r="D3468" i="1"/>
  <c r="E3468" i="1"/>
  <c r="F3468" i="1"/>
  <c r="G3468" i="1"/>
  <c r="I3468" i="1"/>
  <c r="J3468" i="1"/>
  <c r="K3468" i="1"/>
  <c r="L3468" i="1"/>
  <c r="M3468" i="1"/>
  <c r="N3468" i="1"/>
  <c r="O3468" i="1"/>
  <c r="P3468" i="1"/>
  <c r="Q3468" i="1"/>
  <c r="R3468" i="1"/>
  <c r="S3468" i="1"/>
  <c r="T3468" i="1"/>
  <c r="U3468" i="1"/>
  <c r="V3468" i="1"/>
  <c r="W3468" i="1"/>
  <c r="X3468" i="1"/>
  <c r="Y3468" i="1"/>
  <c r="Z3468" i="1"/>
  <c r="A3469" i="1"/>
  <c r="B3469" i="1"/>
  <c r="C3469" i="1"/>
  <c r="D3469" i="1"/>
  <c r="E3469" i="1"/>
  <c r="F3469" i="1"/>
  <c r="G3469" i="1"/>
  <c r="I3469" i="1"/>
  <c r="J3469" i="1"/>
  <c r="K3469" i="1"/>
  <c r="L3469" i="1"/>
  <c r="M3469" i="1"/>
  <c r="N3469" i="1"/>
  <c r="O3469" i="1"/>
  <c r="P3469" i="1"/>
  <c r="Q3469" i="1"/>
  <c r="R3469" i="1"/>
  <c r="S3469" i="1"/>
  <c r="T3469" i="1"/>
  <c r="U3469" i="1"/>
  <c r="V3469" i="1"/>
  <c r="W3469" i="1"/>
  <c r="X3469" i="1"/>
  <c r="Y3469" i="1"/>
  <c r="Z3469" i="1"/>
  <c r="A3470" i="1"/>
  <c r="B3470" i="1"/>
  <c r="C3470" i="1"/>
  <c r="D3470" i="1"/>
  <c r="E3470" i="1"/>
  <c r="F3470" i="1"/>
  <c r="G3470" i="1"/>
  <c r="I3470" i="1"/>
  <c r="J3470" i="1"/>
  <c r="K3470" i="1"/>
  <c r="L3470" i="1"/>
  <c r="M3470" i="1"/>
  <c r="N3470" i="1"/>
  <c r="O3470" i="1"/>
  <c r="P3470" i="1"/>
  <c r="Q3470" i="1"/>
  <c r="R3470" i="1"/>
  <c r="S3470" i="1"/>
  <c r="T3470" i="1"/>
  <c r="U3470" i="1"/>
  <c r="V3470" i="1"/>
  <c r="W3470" i="1"/>
  <c r="X3470" i="1"/>
  <c r="Y3470" i="1"/>
  <c r="Z3470" i="1"/>
  <c r="A3471" i="1"/>
  <c r="B3471" i="1"/>
  <c r="C3471" i="1"/>
  <c r="D3471" i="1"/>
  <c r="E3471" i="1"/>
  <c r="F3471" i="1"/>
  <c r="G3471" i="1"/>
  <c r="I3471" i="1"/>
  <c r="J3471" i="1"/>
  <c r="K3471" i="1"/>
  <c r="L3471" i="1"/>
  <c r="M3471" i="1"/>
  <c r="N3471" i="1"/>
  <c r="O3471" i="1"/>
  <c r="P3471" i="1"/>
  <c r="Q3471" i="1"/>
  <c r="R3471" i="1"/>
  <c r="S3471" i="1"/>
  <c r="T3471" i="1"/>
  <c r="U3471" i="1"/>
  <c r="V3471" i="1"/>
  <c r="W3471" i="1"/>
  <c r="X3471" i="1"/>
  <c r="Y3471" i="1"/>
  <c r="Z3471" i="1"/>
  <c r="A3472" i="1"/>
  <c r="B3472" i="1"/>
  <c r="C3472" i="1"/>
  <c r="D3472" i="1"/>
  <c r="E3472" i="1"/>
  <c r="F3472" i="1"/>
  <c r="G3472" i="1"/>
  <c r="I3472" i="1"/>
  <c r="J3472" i="1"/>
  <c r="K3472" i="1"/>
  <c r="L3472" i="1"/>
  <c r="M3472" i="1"/>
  <c r="N3472" i="1"/>
  <c r="O3472" i="1"/>
  <c r="P3472" i="1"/>
  <c r="Q3472" i="1"/>
  <c r="R3472" i="1"/>
  <c r="S3472" i="1"/>
  <c r="T3472" i="1"/>
  <c r="U3472" i="1"/>
  <c r="V3472" i="1"/>
  <c r="W3472" i="1"/>
  <c r="X3472" i="1"/>
  <c r="Y3472" i="1"/>
  <c r="Z3472" i="1"/>
  <c r="A3473" i="1"/>
  <c r="B3473" i="1"/>
  <c r="C3473" i="1"/>
  <c r="D3473" i="1"/>
  <c r="E3473" i="1"/>
  <c r="F3473" i="1"/>
  <c r="G3473" i="1"/>
  <c r="I3473" i="1"/>
  <c r="J3473" i="1"/>
  <c r="K3473" i="1"/>
  <c r="L3473" i="1"/>
  <c r="M3473" i="1"/>
  <c r="N3473" i="1"/>
  <c r="O3473" i="1"/>
  <c r="P3473" i="1"/>
  <c r="Q3473" i="1"/>
  <c r="R3473" i="1"/>
  <c r="S3473" i="1"/>
  <c r="T3473" i="1"/>
  <c r="U3473" i="1"/>
  <c r="V3473" i="1"/>
  <c r="W3473" i="1"/>
  <c r="X3473" i="1"/>
  <c r="Y3473" i="1"/>
  <c r="Z3473" i="1"/>
  <c r="A3474" i="1"/>
  <c r="B3474" i="1"/>
  <c r="C3474" i="1"/>
  <c r="D3474" i="1"/>
  <c r="E3474" i="1"/>
  <c r="F3474" i="1"/>
  <c r="G3474" i="1"/>
  <c r="I3474" i="1"/>
  <c r="J3474" i="1"/>
  <c r="K3474" i="1"/>
  <c r="L3474" i="1"/>
  <c r="M3474" i="1"/>
  <c r="N3474" i="1"/>
  <c r="O3474" i="1"/>
  <c r="P3474" i="1"/>
  <c r="Q3474" i="1"/>
  <c r="R3474" i="1"/>
  <c r="S3474" i="1"/>
  <c r="T3474" i="1"/>
  <c r="U3474" i="1"/>
  <c r="V3474" i="1"/>
  <c r="W3474" i="1"/>
  <c r="X3474" i="1"/>
  <c r="Y3474" i="1"/>
  <c r="Z3474" i="1"/>
  <c r="A3475" i="1"/>
  <c r="B3475" i="1"/>
  <c r="C3475" i="1"/>
  <c r="D3475" i="1"/>
  <c r="E3475" i="1"/>
  <c r="F3475" i="1"/>
  <c r="G3475" i="1"/>
  <c r="I3475" i="1"/>
  <c r="J3475" i="1"/>
  <c r="K3475" i="1"/>
  <c r="L3475" i="1"/>
  <c r="M3475" i="1"/>
  <c r="N3475" i="1"/>
  <c r="O3475" i="1"/>
  <c r="P3475" i="1"/>
  <c r="Q3475" i="1"/>
  <c r="R3475" i="1"/>
  <c r="S3475" i="1"/>
  <c r="T3475" i="1"/>
  <c r="U3475" i="1"/>
  <c r="V3475" i="1"/>
  <c r="W3475" i="1"/>
  <c r="X3475" i="1"/>
  <c r="Y3475" i="1"/>
  <c r="Z3475" i="1"/>
  <c r="A3476" i="1"/>
  <c r="B3476" i="1"/>
  <c r="C3476" i="1"/>
  <c r="D3476" i="1"/>
  <c r="E3476" i="1"/>
  <c r="F3476" i="1"/>
  <c r="G3476" i="1"/>
  <c r="I3476" i="1"/>
  <c r="J3476" i="1"/>
  <c r="K3476" i="1"/>
  <c r="L3476" i="1"/>
  <c r="M3476" i="1"/>
  <c r="N3476" i="1"/>
  <c r="O3476" i="1"/>
  <c r="P3476" i="1"/>
  <c r="Q3476" i="1"/>
  <c r="R3476" i="1"/>
  <c r="S3476" i="1"/>
  <c r="T3476" i="1"/>
  <c r="U3476" i="1"/>
  <c r="V3476" i="1"/>
  <c r="W3476" i="1"/>
  <c r="X3476" i="1"/>
  <c r="Y3476" i="1"/>
  <c r="Z3476" i="1"/>
  <c r="A3477" i="1"/>
  <c r="B3477" i="1"/>
  <c r="C3477" i="1"/>
  <c r="D3477" i="1"/>
  <c r="E3477" i="1"/>
  <c r="F3477" i="1"/>
  <c r="G3477" i="1"/>
  <c r="I3477" i="1"/>
  <c r="J3477" i="1"/>
  <c r="K3477" i="1"/>
  <c r="L3477" i="1"/>
  <c r="M3477" i="1"/>
  <c r="N3477" i="1"/>
  <c r="O3477" i="1"/>
  <c r="P3477" i="1"/>
  <c r="Q3477" i="1"/>
  <c r="R3477" i="1"/>
  <c r="S3477" i="1"/>
  <c r="T3477" i="1"/>
  <c r="U3477" i="1"/>
  <c r="V3477" i="1"/>
  <c r="W3477" i="1"/>
  <c r="X3477" i="1"/>
  <c r="Y3477" i="1"/>
  <c r="Z3477" i="1"/>
  <c r="A3478" i="1"/>
  <c r="B3478" i="1"/>
  <c r="C3478" i="1"/>
  <c r="D3478" i="1"/>
  <c r="E3478" i="1"/>
  <c r="F3478" i="1"/>
  <c r="G3478" i="1"/>
  <c r="I3478" i="1"/>
  <c r="J3478" i="1"/>
  <c r="K3478" i="1"/>
  <c r="L3478" i="1"/>
  <c r="M3478" i="1"/>
  <c r="N3478" i="1"/>
  <c r="O3478" i="1"/>
  <c r="P3478" i="1"/>
  <c r="Q3478" i="1"/>
  <c r="R3478" i="1"/>
  <c r="S3478" i="1"/>
  <c r="T3478" i="1"/>
  <c r="U3478" i="1"/>
  <c r="V3478" i="1"/>
  <c r="W3478" i="1"/>
  <c r="X3478" i="1"/>
  <c r="Y3478" i="1"/>
  <c r="Z3478" i="1"/>
  <c r="A3479" i="1"/>
  <c r="B3479" i="1"/>
  <c r="C3479" i="1"/>
  <c r="D3479" i="1"/>
  <c r="E3479" i="1"/>
  <c r="F3479" i="1"/>
  <c r="G3479" i="1"/>
  <c r="I3479" i="1"/>
  <c r="J3479" i="1"/>
  <c r="K3479" i="1"/>
  <c r="L3479" i="1"/>
  <c r="M3479" i="1"/>
  <c r="N3479" i="1"/>
  <c r="O3479" i="1"/>
  <c r="P3479" i="1"/>
  <c r="Q3479" i="1"/>
  <c r="R3479" i="1"/>
  <c r="S3479" i="1"/>
  <c r="T3479" i="1"/>
  <c r="U3479" i="1"/>
  <c r="V3479" i="1"/>
  <c r="W3479" i="1"/>
  <c r="X3479" i="1"/>
  <c r="Y3479" i="1"/>
  <c r="Z3479" i="1"/>
  <c r="A3480" i="1"/>
  <c r="B3480" i="1"/>
  <c r="C3480" i="1"/>
  <c r="D3480" i="1"/>
  <c r="E3480" i="1"/>
  <c r="F3480" i="1"/>
  <c r="G3480" i="1"/>
  <c r="I3480" i="1"/>
  <c r="J3480" i="1"/>
  <c r="K3480" i="1"/>
  <c r="L3480" i="1"/>
  <c r="M3480" i="1"/>
  <c r="N3480" i="1"/>
  <c r="O3480" i="1"/>
  <c r="P3480" i="1"/>
  <c r="Q3480" i="1"/>
  <c r="R3480" i="1"/>
  <c r="S3480" i="1"/>
  <c r="T3480" i="1"/>
  <c r="U3480" i="1"/>
  <c r="V3480" i="1"/>
  <c r="W3480" i="1"/>
  <c r="X3480" i="1"/>
  <c r="Y3480" i="1"/>
  <c r="Z3480" i="1"/>
  <c r="A3481" i="1"/>
  <c r="B3481" i="1"/>
  <c r="C3481" i="1"/>
  <c r="D3481" i="1"/>
  <c r="E3481" i="1"/>
  <c r="F3481" i="1"/>
  <c r="G3481" i="1"/>
  <c r="I3481" i="1"/>
  <c r="J3481" i="1"/>
  <c r="K3481" i="1"/>
  <c r="L3481" i="1"/>
  <c r="M3481" i="1"/>
  <c r="N3481" i="1"/>
  <c r="O3481" i="1"/>
  <c r="P3481" i="1"/>
  <c r="Q3481" i="1"/>
  <c r="R3481" i="1"/>
  <c r="S3481" i="1"/>
  <c r="T3481" i="1"/>
  <c r="U3481" i="1"/>
  <c r="V3481" i="1"/>
  <c r="W3481" i="1"/>
  <c r="X3481" i="1"/>
  <c r="Y3481" i="1"/>
  <c r="Z3481" i="1"/>
  <c r="A3482" i="1"/>
  <c r="B3482" i="1"/>
  <c r="C3482" i="1"/>
  <c r="D3482" i="1"/>
  <c r="E3482" i="1"/>
  <c r="F3482" i="1"/>
  <c r="G3482" i="1"/>
  <c r="I3482" i="1"/>
  <c r="J3482" i="1"/>
  <c r="K3482" i="1"/>
  <c r="L3482" i="1"/>
  <c r="M3482" i="1"/>
  <c r="N3482" i="1"/>
  <c r="O3482" i="1"/>
  <c r="P3482" i="1"/>
  <c r="Q3482" i="1"/>
  <c r="R3482" i="1"/>
  <c r="S3482" i="1"/>
  <c r="T3482" i="1"/>
  <c r="U3482" i="1"/>
  <c r="V3482" i="1"/>
  <c r="W3482" i="1"/>
  <c r="X3482" i="1"/>
  <c r="Y3482" i="1"/>
  <c r="Z3482" i="1"/>
  <c r="A3483" i="1"/>
  <c r="B3483" i="1"/>
  <c r="C3483" i="1"/>
  <c r="D3483" i="1"/>
  <c r="E3483" i="1"/>
  <c r="F3483" i="1"/>
  <c r="G3483" i="1"/>
  <c r="I3483" i="1"/>
  <c r="J3483" i="1"/>
  <c r="K3483" i="1"/>
  <c r="L3483" i="1"/>
  <c r="M3483" i="1"/>
  <c r="N3483" i="1"/>
  <c r="O3483" i="1"/>
  <c r="P3483" i="1"/>
  <c r="Q3483" i="1"/>
  <c r="R3483" i="1"/>
  <c r="S3483" i="1"/>
  <c r="T3483" i="1"/>
  <c r="U3483" i="1"/>
  <c r="V3483" i="1"/>
  <c r="W3483" i="1"/>
  <c r="X3483" i="1"/>
  <c r="Y3483" i="1"/>
  <c r="Z3483" i="1"/>
  <c r="A3484" i="1"/>
  <c r="B3484" i="1"/>
  <c r="C3484" i="1"/>
  <c r="D3484" i="1"/>
  <c r="E3484" i="1"/>
  <c r="F3484" i="1"/>
  <c r="G3484" i="1"/>
  <c r="I3484" i="1"/>
  <c r="J3484" i="1"/>
  <c r="K3484" i="1"/>
  <c r="L3484" i="1"/>
  <c r="M3484" i="1"/>
  <c r="N3484" i="1"/>
  <c r="O3484" i="1"/>
  <c r="P3484" i="1"/>
  <c r="Q3484" i="1"/>
  <c r="R3484" i="1"/>
  <c r="S3484" i="1"/>
  <c r="T3484" i="1"/>
  <c r="U3484" i="1"/>
  <c r="V3484" i="1"/>
  <c r="W3484" i="1"/>
  <c r="X3484" i="1"/>
  <c r="Y3484" i="1"/>
  <c r="Z3484" i="1"/>
  <c r="A3485" i="1"/>
  <c r="B3485" i="1"/>
  <c r="C3485" i="1"/>
  <c r="D3485" i="1"/>
  <c r="E3485" i="1"/>
  <c r="F3485" i="1"/>
  <c r="G3485" i="1"/>
  <c r="I3485" i="1"/>
  <c r="J3485" i="1"/>
  <c r="K3485" i="1"/>
  <c r="L3485" i="1"/>
  <c r="M3485" i="1"/>
  <c r="N3485" i="1"/>
  <c r="O3485" i="1"/>
  <c r="P3485" i="1"/>
  <c r="Q3485" i="1"/>
  <c r="R3485" i="1"/>
  <c r="S3485" i="1"/>
  <c r="T3485" i="1"/>
  <c r="U3485" i="1"/>
  <c r="V3485" i="1"/>
  <c r="W3485" i="1"/>
  <c r="X3485" i="1"/>
  <c r="Y3485" i="1"/>
  <c r="Z3485" i="1"/>
  <c r="A3486" i="1"/>
  <c r="B3486" i="1"/>
  <c r="C3486" i="1"/>
  <c r="D3486" i="1"/>
  <c r="E3486" i="1"/>
  <c r="F3486" i="1"/>
  <c r="G3486" i="1"/>
  <c r="I3486" i="1"/>
  <c r="J3486" i="1"/>
  <c r="K3486" i="1"/>
  <c r="L3486" i="1"/>
  <c r="M3486" i="1"/>
  <c r="N3486" i="1"/>
  <c r="O3486" i="1"/>
  <c r="P3486" i="1"/>
  <c r="Q3486" i="1"/>
  <c r="R3486" i="1"/>
  <c r="S3486" i="1"/>
  <c r="T3486" i="1"/>
  <c r="U3486" i="1"/>
  <c r="V3486" i="1"/>
  <c r="W3486" i="1"/>
  <c r="X3486" i="1"/>
  <c r="Y3486" i="1"/>
  <c r="Z3486" i="1"/>
  <c r="A3487" i="1"/>
  <c r="B3487" i="1"/>
  <c r="C3487" i="1"/>
  <c r="D3487" i="1"/>
  <c r="E3487" i="1"/>
  <c r="F3487" i="1"/>
  <c r="G3487" i="1"/>
  <c r="I3487" i="1"/>
  <c r="J3487" i="1"/>
  <c r="K3487" i="1"/>
  <c r="L3487" i="1"/>
  <c r="M3487" i="1"/>
  <c r="N3487" i="1"/>
  <c r="O3487" i="1"/>
  <c r="P3487" i="1"/>
  <c r="Q3487" i="1"/>
  <c r="R3487" i="1"/>
  <c r="S3487" i="1"/>
  <c r="T3487" i="1"/>
  <c r="U3487" i="1"/>
  <c r="V3487" i="1"/>
  <c r="W3487" i="1"/>
  <c r="X3487" i="1"/>
  <c r="Y3487" i="1"/>
  <c r="Z3487" i="1"/>
  <c r="A3488" i="1"/>
  <c r="B3488" i="1"/>
  <c r="C3488" i="1"/>
  <c r="D3488" i="1"/>
  <c r="E3488" i="1"/>
  <c r="F3488" i="1"/>
  <c r="G3488" i="1"/>
  <c r="I3488" i="1"/>
  <c r="J3488" i="1"/>
  <c r="K3488" i="1"/>
  <c r="L3488" i="1"/>
  <c r="M3488" i="1"/>
  <c r="N3488" i="1"/>
  <c r="O3488" i="1"/>
  <c r="P3488" i="1"/>
  <c r="Q3488" i="1"/>
  <c r="R3488" i="1"/>
  <c r="S3488" i="1"/>
  <c r="T3488" i="1"/>
  <c r="U3488" i="1"/>
  <c r="V3488" i="1"/>
  <c r="W3488" i="1"/>
  <c r="X3488" i="1"/>
  <c r="Y3488" i="1"/>
  <c r="Z3488" i="1"/>
  <c r="A3489" i="1"/>
  <c r="B3489" i="1"/>
  <c r="C3489" i="1"/>
  <c r="D3489" i="1"/>
  <c r="E3489" i="1"/>
  <c r="F3489" i="1"/>
  <c r="G3489" i="1"/>
  <c r="I3489" i="1"/>
  <c r="J3489" i="1"/>
  <c r="K3489" i="1"/>
  <c r="L3489" i="1"/>
  <c r="M3489" i="1"/>
  <c r="N3489" i="1"/>
  <c r="O3489" i="1"/>
  <c r="P3489" i="1"/>
  <c r="Q3489" i="1"/>
  <c r="R3489" i="1"/>
  <c r="S3489" i="1"/>
  <c r="T3489" i="1"/>
  <c r="U3489" i="1"/>
  <c r="V3489" i="1"/>
  <c r="W3489" i="1"/>
  <c r="X3489" i="1"/>
  <c r="Y3489" i="1"/>
  <c r="Z3489" i="1"/>
  <c r="A3490" i="1"/>
  <c r="B3490" i="1"/>
  <c r="C3490" i="1"/>
  <c r="D3490" i="1"/>
  <c r="E3490" i="1"/>
  <c r="F3490" i="1"/>
  <c r="G3490" i="1"/>
  <c r="I3490" i="1"/>
  <c r="J3490" i="1"/>
  <c r="K3490" i="1"/>
  <c r="L3490" i="1"/>
  <c r="M3490" i="1"/>
  <c r="N3490" i="1"/>
  <c r="O3490" i="1"/>
  <c r="P3490" i="1"/>
  <c r="Q3490" i="1"/>
  <c r="R3490" i="1"/>
  <c r="S3490" i="1"/>
  <c r="T3490" i="1"/>
  <c r="U3490" i="1"/>
  <c r="V3490" i="1"/>
  <c r="W3490" i="1"/>
  <c r="X3490" i="1"/>
  <c r="Y3490" i="1"/>
  <c r="Z3490" i="1"/>
  <c r="A3491" i="1"/>
  <c r="B3491" i="1"/>
  <c r="C3491" i="1"/>
  <c r="D3491" i="1"/>
  <c r="E3491" i="1"/>
  <c r="F3491" i="1"/>
  <c r="G3491" i="1"/>
  <c r="I3491" i="1"/>
  <c r="J3491" i="1"/>
  <c r="K3491" i="1"/>
  <c r="L3491" i="1"/>
  <c r="M3491" i="1"/>
  <c r="N3491" i="1"/>
  <c r="O3491" i="1"/>
  <c r="P3491" i="1"/>
  <c r="Q3491" i="1"/>
  <c r="R3491" i="1"/>
  <c r="S3491" i="1"/>
  <c r="T3491" i="1"/>
  <c r="U3491" i="1"/>
  <c r="V3491" i="1"/>
  <c r="W3491" i="1"/>
  <c r="X3491" i="1"/>
  <c r="Y3491" i="1"/>
  <c r="Z3491" i="1"/>
  <c r="A3492" i="1"/>
  <c r="B3492" i="1"/>
  <c r="C3492" i="1"/>
  <c r="D3492" i="1"/>
  <c r="E3492" i="1"/>
  <c r="F3492" i="1"/>
  <c r="G3492" i="1"/>
  <c r="I3492" i="1"/>
  <c r="J3492" i="1"/>
  <c r="K3492" i="1"/>
  <c r="L3492" i="1"/>
  <c r="M3492" i="1"/>
  <c r="N3492" i="1"/>
  <c r="O3492" i="1"/>
  <c r="P3492" i="1"/>
  <c r="Q3492" i="1"/>
  <c r="R3492" i="1"/>
  <c r="S3492" i="1"/>
  <c r="T3492" i="1"/>
  <c r="U3492" i="1"/>
  <c r="V3492" i="1"/>
  <c r="W3492" i="1"/>
  <c r="X3492" i="1"/>
  <c r="Y3492" i="1"/>
  <c r="Z3492" i="1"/>
  <c r="A3493" i="1"/>
  <c r="B3493" i="1"/>
  <c r="C3493" i="1"/>
  <c r="D3493" i="1"/>
  <c r="E3493" i="1"/>
  <c r="F3493" i="1"/>
  <c r="G3493" i="1"/>
  <c r="I3493" i="1"/>
  <c r="J3493" i="1"/>
  <c r="K3493" i="1"/>
  <c r="L3493" i="1"/>
  <c r="M3493" i="1"/>
  <c r="N3493" i="1"/>
  <c r="O3493" i="1"/>
  <c r="P3493" i="1"/>
  <c r="Q3493" i="1"/>
  <c r="R3493" i="1"/>
  <c r="S3493" i="1"/>
  <c r="T3493" i="1"/>
  <c r="U3493" i="1"/>
  <c r="V3493" i="1"/>
  <c r="W3493" i="1"/>
  <c r="X3493" i="1"/>
  <c r="Y3493" i="1"/>
  <c r="Z3493" i="1"/>
  <c r="A3494" i="1"/>
  <c r="B3494" i="1"/>
  <c r="C3494" i="1"/>
  <c r="D3494" i="1"/>
  <c r="E3494" i="1"/>
  <c r="F3494" i="1"/>
  <c r="G3494" i="1"/>
  <c r="I3494" i="1"/>
  <c r="J3494" i="1"/>
  <c r="K3494" i="1"/>
  <c r="L3494" i="1"/>
  <c r="M3494" i="1"/>
  <c r="N3494" i="1"/>
  <c r="O3494" i="1"/>
  <c r="P3494" i="1"/>
  <c r="Q3494" i="1"/>
  <c r="R3494" i="1"/>
  <c r="S3494" i="1"/>
  <c r="T3494" i="1"/>
  <c r="U3494" i="1"/>
  <c r="V3494" i="1"/>
  <c r="W3494" i="1"/>
  <c r="X3494" i="1"/>
  <c r="Y3494" i="1"/>
  <c r="Z3494" i="1"/>
  <c r="A3495" i="1"/>
  <c r="B3495" i="1"/>
  <c r="C3495" i="1"/>
  <c r="D3495" i="1"/>
  <c r="E3495" i="1"/>
  <c r="F3495" i="1"/>
  <c r="G3495" i="1"/>
  <c r="I3495" i="1"/>
  <c r="J3495" i="1"/>
  <c r="K3495" i="1"/>
  <c r="L3495" i="1"/>
  <c r="M3495" i="1"/>
  <c r="N3495" i="1"/>
  <c r="O3495" i="1"/>
  <c r="P3495" i="1"/>
  <c r="Q3495" i="1"/>
  <c r="R3495" i="1"/>
  <c r="S3495" i="1"/>
  <c r="T3495" i="1"/>
  <c r="U3495" i="1"/>
  <c r="V3495" i="1"/>
  <c r="W3495" i="1"/>
  <c r="X3495" i="1"/>
  <c r="Y3495" i="1"/>
  <c r="Z3495" i="1"/>
  <c r="A3496" i="1"/>
  <c r="B3496" i="1"/>
  <c r="C3496" i="1"/>
  <c r="D3496" i="1"/>
  <c r="E3496" i="1"/>
  <c r="F3496" i="1"/>
  <c r="G3496" i="1"/>
  <c r="I3496" i="1"/>
  <c r="J3496" i="1"/>
  <c r="K3496" i="1"/>
  <c r="L3496" i="1"/>
  <c r="M3496" i="1"/>
  <c r="N3496" i="1"/>
  <c r="O3496" i="1"/>
  <c r="P3496" i="1"/>
  <c r="Q3496" i="1"/>
  <c r="R3496" i="1"/>
  <c r="S3496" i="1"/>
  <c r="T3496" i="1"/>
  <c r="U3496" i="1"/>
  <c r="V3496" i="1"/>
  <c r="W3496" i="1"/>
  <c r="X3496" i="1"/>
  <c r="Y3496" i="1"/>
  <c r="Z3496" i="1"/>
  <c r="A3497" i="1"/>
  <c r="B3497" i="1"/>
  <c r="C3497" i="1"/>
  <c r="D3497" i="1"/>
  <c r="E3497" i="1"/>
  <c r="F3497" i="1"/>
  <c r="G3497" i="1"/>
  <c r="I3497" i="1"/>
  <c r="J3497" i="1"/>
  <c r="K3497" i="1"/>
  <c r="L3497" i="1"/>
  <c r="M3497" i="1"/>
  <c r="N3497" i="1"/>
  <c r="O3497" i="1"/>
  <c r="P3497" i="1"/>
  <c r="Q3497" i="1"/>
  <c r="R3497" i="1"/>
  <c r="S3497" i="1"/>
  <c r="T3497" i="1"/>
  <c r="U3497" i="1"/>
  <c r="V3497" i="1"/>
  <c r="W3497" i="1"/>
  <c r="X3497" i="1"/>
  <c r="Y3497" i="1"/>
  <c r="Z3497" i="1"/>
  <c r="A3498" i="1"/>
  <c r="B3498" i="1"/>
  <c r="C3498" i="1"/>
  <c r="D3498" i="1"/>
  <c r="E3498" i="1"/>
  <c r="F3498" i="1"/>
  <c r="G3498" i="1"/>
  <c r="I3498" i="1"/>
  <c r="J3498" i="1"/>
  <c r="K3498" i="1"/>
  <c r="L3498" i="1"/>
  <c r="M3498" i="1"/>
  <c r="N3498" i="1"/>
  <c r="O3498" i="1"/>
  <c r="P3498" i="1"/>
  <c r="Q3498" i="1"/>
  <c r="R3498" i="1"/>
  <c r="S3498" i="1"/>
  <c r="T3498" i="1"/>
  <c r="U3498" i="1"/>
  <c r="V3498" i="1"/>
  <c r="W3498" i="1"/>
  <c r="X3498" i="1"/>
  <c r="Y3498" i="1"/>
  <c r="Z3498" i="1"/>
  <c r="A3499" i="1"/>
  <c r="B3499" i="1"/>
  <c r="C3499" i="1"/>
  <c r="D3499" i="1"/>
  <c r="E3499" i="1"/>
  <c r="F3499" i="1"/>
  <c r="G3499" i="1"/>
  <c r="I3499" i="1"/>
  <c r="J3499" i="1"/>
  <c r="K3499" i="1"/>
  <c r="L3499" i="1"/>
  <c r="M3499" i="1"/>
  <c r="N3499" i="1"/>
  <c r="O3499" i="1"/>
  <c r="P3499" i="1"/>
  <c r="Q3499" i="1"/>
  <c r="R3499" i="1"/>
  <c r="S3499" i="1"/>
  <c r="T3499" i="1"/>
  <c r="U3499" i="1"/>
  <c r="V3499" i="1"/>
  <c r="W3499" i="1"/>
  <c r="X3499" i="1"/>
  <c r="Y3499" i="1"/>
  <c r="Z3499" i="1"/>
  <c r="A3500" i="1"/>
  <c r="B3500" i="1"/>
  <c r="C3500" i="1"/>
  <c r="D3500" i="1"/>
  <c r="E3500" i="1"/>
  <c r="F3500" i="1"/>
  <c r="G3500" i="1"/>
  <c r="I3500" i="1"/>
  <c r="J3500" i="1"/>
  <c r="K3500" i="1"/>
  <c r="L3500" i="1"/>
  <c r="M3500" i="1"/>
  <c r="N3500" i="1"/>
  <c r="O3500" i="1"/>
  <c r="P3500" i="1"/>
  <c r="Q3500" i="1"/>
  <c r="R3500" i="1"/>
  <c r="S3500" i="1"/>
  <c r="T3500" i="1"/>
  <c r="U3500" i="1"/>
  <c r="V3500" i="1"/>
  <c r="W3500" i="1"/>
  <c r="X3500" i="1"/>
  <c r="Y3500" i="1"/>
  <c r="Z3500" i="1"/>
  <c r="A3501" i="1"/>
  <c r="B3501" i="1"/>
  <c r="C3501" i="1"/>
  <c r="D3501" i="1"/>
  <c r="E3501" i="1"/>
  <c r="F3501" i="1"/>
  <c r="G3501" i="1"/>
  <c r="I3501" i="1"/>
  <c r="J3501" i="1"/>
  <c r="K3501" i="1"/>
  <c r="L3501" i="1"/>
  <c r="M3501" i="1"/>
  <c r="N3501" i="1"/>
  <c r="O3501" i="1"/>
  <c r="P3501" i="1"/>
  <c r="Q3501" i="1"/>
  <c r="R3501" i="1"/>
  <c r="S3501" i="1"/>
  <c r="T3501" i="1"/>
  <c r="U3501" i="1"/>
  <c r="V3501" i="1"/>
  <c r="W3501" i="1"/>
  <c r="X3501" i="1"/>
  <c r="Y3501" i="1"/>
  <c r="Z3501" i="1"/>
  <c r="A3502" i="1"/>
  <c r="B3502" i="1"/>
  <c r="C3502" i="1"/>
  <c r="D3502" i="1"/>
  <c r="E3502" i="1"/>
  <c r="F3502" i="1"/>
  <c r="G3502" i="1"/>
  <c r="I3502" i="1"/>
  <c r="J3502" i="1"/>
  <c r="K3502" i="1"/>
  <c r="L3502" i="1"/>
  <c r="M3502" i="1"/>
  <c r="N3502" i="1"/>
  <c r="O3502" i="1"/>
  <c r="P3502" i="1"/>
  <c r="Q3502" i="1"/>
  <c r="R3502" i="1"/>
  <c r="S3502" i="1"/>
  <c r="T3502" i="1"/>
  <c r="U3502" i="1"/>
  <c r="V3502" i="1"/>
  <c r="W3502" i="1"/>
  <c r="X3502" i="1"/>
  <c r="Y3502" i="1"/>
  <c r="Z3502" i="1"/>
  <c r="A3503" i="1"/>
  <c r="B3503" i="1"/>
  <c r="C3503" i="1"/>
  <c r="D3503" i="1"/>
  <c r="E3503" i="1"/>
  <c r="F3503" i="1"/>
  <c r="G3503" i="1"/>
  <c r="I3503" i="1"/>
  <c r="J3503" i="1"/>
  <c r="K3503" i="1"/>
  <c r="L3503" i="1"/>
  <c r="M3503" i="1"/>
  <c r="N3503" i="1"/>
  <c r="O3503" i="1"/>
  <c r="P3503" i="1"/>
  <c r="Q3503" i="1"/>
  <c r="R3503" i="1"/>
  <c r="S3503" i="1"/>
  <c r="T3503" i="1"/>
  <c r="U3503" i="1"/>
  <c r="V3503" i="1"/>
  <c r="W3503" i="1"/>
  <c r="X3503" i="1"/>
  <c r="Y3503" i="1"/>
  <c r="Z3503" i="1"/>
  <c r="A3504" i="1"/>
  <c r="B3504" i="1"/>
  <c r="C3504" i="1"/>
  <c r="D3504" i="1"/>
  <c r="E3504" i="1"/>
  <c r="F3504" i="1"/>
  <c r="G3504" i="1"/>
  <c r="I3504" i="1"/>
  <c r="J3504" i="1"/>
  <c r="K3504" i="1"/>
  <c r="L3504" i="1"/>
  <c r="M3504" i="1"/>
  <c r="N3504" i="1"/>
  <c r="O3504" i="1"/>
  <c r="P3504" i="1"/>
  <c r="Q3504" i="1"/>
  <c r="R3504" i="1"/>
  <c r="S3504" i="1"/>
  <c r="T3504" i="1"/>
  <c r="U3504" i="1"/>
  <c r="V3504" i="1"/>
  <c r="W3504" i="1"/>
  <c r="X3504" i="1"/>
  <c r="Y3504" i="1"/>
  <c r="Z3504" i="1"/>
  <c r="A3505" i="1"/>
  <c r="B3505" i="1"/>
  <c r="C3505" i="1"/>
  <c r="D3505" i="1"/>
  <c r="E3505" i="1"/>
  <c r="F3505" i="1"/>
  <c r="G3505" i="1"/>
  <c r="I3505" i="1"/>
  <c r="J3505" i="1"/>
  <c r="K3505" i="1"/>
  <c r="L3505" i="1"/>
  <c r="M3505" i="1"/>
  <c r="N3505" i="1"/>
  <c r="O3505" i="1"/>
  <c r="P3505" i="1"/>
  <c r="Q3505" i="1"/>
  <c r="R3505" i="1"/>
  <c r="S3505" i="1"/>
  <c r="T3505" i="1"/>
  <c r="U3505" i="1"/>
  <c r="V3505" i="1"/>
  <c r="W3505" i="1"/>
  <c r="X3505" i="1"/>
  <c r="Y3505" i="1"/>
  <c r="Z3505" i="1"/>
  <c r="A3506" i="1"/>
  <c r="B3506" i="1"/>
  <c r="C3506" i="1"/>
  <c r="D3506" i="1"/>
  <c r="E3506" i="1"/>
  <c r="F3506" i="1"/>
  <c r="G3506" i="1"/>
  <c r="I3506" i="1"/>
  <c r="J3506" i="1"/>
  <c r="K3506" i="1"/>
  <c r="L3506" i="1"/>
  <c r="M3506" i="1"/>
  <c r="N3506" i="1"/>
  <c r="O3506" i="1"/>
  <c r="P3506" i="1"/>
  <c r="Q3506" i="1"/>
  <c r="R3506" i="1"/>
  <c r="S3506" i="1"/>
  <c r="T3506" i="1"/>
  <c r="U3506" i="1"/>
  <c r="V3506" i="1"/>
  <c r="W3506" i="1"/>
  <c r="X3506" i="1"/>
  <c r="Y3506" i="1"/>
  <c r="Z3506" i="1"/>
  <c r="A3507" i="1"/>
  <c r="B3507" i="1"/>
  <c r="C3507" i="1"/>
  <c r="D3507" i="1"/>
  <c r="E3507" i="1"/>
  <c r="F3507" i="1"/>
  <c r="G3507" i="1"/>
  <c r="I3507" i="1"/>
  <c r="J3507" i="1"/>
  <c r="K3507" i="1"/>
  <c r="L3507" i="1"/>
  <c r="M3507" i="1"/>
  <c r="N3507" i="1"/>
  <c r="O3507" i="1"/>
  <c r="P3507" i="1"/>
  <c r="Q3507" i="1"/>
  <c r="R3507" i="1"/>
  <c r="S3507" i="1"/>
  <c r="T3507" i="1"/>
  <c r="U3507" i="1"/>
  <c r="V3507" i="1"/>
  <c r="W3507" i="1"/>
  <c r="X3507" i="1"/>
  <c r="Y3507" i="1"/>
  <c r="Z3507" i="1"/>
  <c r="A3508" i="1"/>
  <c r="B3508" i="1"/>
  <c r="C3508" i="1"/>
  <c r="D3508" i="1"/>
  <c r="E3508" i="1"/>
  <c r="F3508" i="1"/>
  <c r="G3508" i="1"/>
  <c r="I3508" i="1"/>
  <c r="J3508" i="1"/>
  <c r="K3508" i="1"/>
  <c r="L3508" i="1"/>
  <c r="M3508" i="1"/>
  <c r="N3508" i="1"/>
  <c r="O3508" i="1"/>
  <c r="P3508" i="1"/>
  <c r="Q3508" i="1"/>
  <c r="R3508" i="1"/>
  <c r="S3508" i="1"/>
  <c r="T3508" i="1"/>
  <c r="U3508" i="1"/>
  <c r="V3508" i="1"/>
  <c r="W3508" i="1"/>
  <c r="X3508" i="1"/>
  <c r="Y3508" i="1"/>
  <c r="Z3508" i="1"/>
  <c r="A3509" i="1"/>
  <c r="B3509" i="1"/>
  <c r="C3509" i="1"/>
  <c r="D3509" i="1"/>
  <c r="E3509" i="1"/>
  <c r="F3509" i="1"/>
  <c r="G3509" i="1"/>
  <c r="I3509" i="1"/>
  <c r="J3509" i="1"/>
  <c r="K3509" i="1"/>
  <c r="L3509" i="1"/>
  <c r="M3509" i="1"/>
  <c r="N3509" i="1"/>
  <c r="O3509" i="1"/>
  <c r="P3509" i="1"/>
  <c r="Q3509" i="1"/>
  <c r="R3509" i="1"/>
  <c r="S3509" i="1"/>
  <c r="T3509" i="1"/>
  <c r="U3509" i="1"/>
  <c r="V3509" i="1"/>
  <c r="W3509" i="1"/>
  <c r="X3509" i="1"/>
  <c r="Y3509" i="1"/>
  <c r="Z3509" i="1"/>
  <c r="A3510" i="1"/>
  <c r="B3510" i="1"/>
  <c r="C3510" i="1"/>
  <c r="D3510" i="1"/>
  <c r="E3510" i="1"/>
  <c r="F3510" i="1"/>
  <c r="G3510" i="1"/>
  <c r="I3510" i="1"/>
  <c r="J3510" i="1"/>
  <c r="K3510" i="1"/>
  <c r="L3510" i="1"/>
  <c r="M3510" i="1"/>
  <c r="N3510" i="1"/>
  <c r="O3510" i="1"/>
  <c r="P3510" i="1"/>
  <c r="Q3510" i="1"/>
  <c r="R3510" i="1"/>
  <c r="S3510" i="1"/>
  <c r="T3510" i="1"/>
  <c r="U3510" i="1"/>
  <c r="V3510" i="1"/>
  <c r="W3510" i="1"/>
  <c r="X3510" i="1"/>
  <c r="Y3510" i="1"/>
  <c r="Z3510" i="1"/>
  <c r="A3511" i="1"/>
  <c r="B3511" i="1"/>
  <c r="C3511" i="1"/>
  <c r="D3511" i="1"/>
  <c r="E3511" i="1"/>
  <c r="F3511" i="1"/>
  <c r="G3511" i="1"/>
  <c r="I3511" i="1"/>
  <c r="J3511" i="1"/>
  <c r="K3511" i="1"/>
  <c r="L3511" i="1"/>
  <c r="M3511" i="1"/>
  <c r="N3511" i="1"/>
  <c r="O3511" i="1"/>
  <c r="P3511" i="1"/>
  <c r="Q3511" i="1"/>
  <c r="R3511" i="1"/>
  <c r="S3511" i="1"/>
  <c r="T3511" i="1"/>
  <c r="U3511" i="1"/>
  <c r="V3511" i="1"/>
  <c r="W3511" i="1"/>
  <c r="X3511" i="1"/>
  <c r="Y3511" i="1"/>
  <c r="Z3511" i="1"/>
  <c r="A3512" i="1"/>
  <c r="B3512" i="1"/>
  <c r="C3512" i="1"/>
  <c r="D3512" i="1"/>
  <c r="E3512" i="1"/>
  <c r="F3512" i="1"/>
  <c r="G3512" i="1"/>
  <c r="I3512" i="1"/>
  <c r="J3512" i="1"/>
  <c r="K3512" i="1"/>
  <c r="L3512" i="1"/>
  <c r="M3512" i="1"/>
  <c r="N3512" i="1"/>
  <c r="O3512" i="1"/>
  <c r="P3512" i="1"/>
  <c r="Q3512" i="1"/>
  <c r="R3512" i="1"/>
  <c r="S3512" i="1"/>
  <c r="T3512" i="1"/>
  <c r="U3512" i="1"/>
  <c r="V3512" i="1"/>
  <c r="W3512" i="1"/>
  <c r="X3512" i="1"/>
  <c r="Y3512" i="1"/>
  <c r="Z3512" i="1"/>
  <c r="A3513" i="1"/>
  <c r="B3513" i="1"/>
  <c r="C3513" i="1"/>
  <c r="D3513" i="1"/>
  <c r="E3513" i="1"/>
  <c r="F3513" i="1"/>
  <c r="G3513" i="1"/>
  <c r="I3513" i="1"/>
  <c r="J3513" i="1"/>
  <c r="K3513" i="1"/>
  <c r="L3513" i="1"/>
  <c r="M3513" i="1"/>
  <c r="N3513" i="1"/>
  <c r="O3513" i="1"/>
  <c r="P3513" i="1"/>
  <c r="Q3513" i="1"/>
  <c r="R3513" i="1"/>
  <c r="S3513" i="1"/>
  <c r="T3513" i="1"/>
  <c r="U3513" i="1"/>
  <c r="V3513" i="1"/>
  <c r="W3513" i="1"/>
  <c r="X3513" i="1"/>
  <c r="Y3513" i="1"/>
  <c r="Z3513" i="1"/>
  <c r="A3514" i="1"/>
  <c r="B3514" i="1"/>
  <c r="C3514" i="1"/>
  <c r="D3514" i="1"/>
  <c r="E3514" i="1"/>
  <c r="F3514" i="1"/>
  <c r="G3514" i="1"/>
  <c r="I3514" i="1"/>
  <c r="J3514" i="1"/>
  <c r="K3514" i="1"/>
  <c r="L3514" i="1"/>
  <c r="M3514" i="1"/>
  <c r="N3514" i="1"/>
  <c r="O3514" i="1"/>
  <c r="P3514" i="1"/>
  <c r="Q3514" i="1"/>
  <c r="R3514" i="1"/>
  <c r="S3514" i="1"/>
  <c r="T3514" i="1"/>
  <c r="U3514" i="1"/>
  <c r="V3514" i="1"/>
  <c r="W3514" i="1"/>
  <c r="X3514" i="1"/>
  <c r="Y3514" i="1"/>
  <c r="Z3514" i="1"/>
  <c r="A3515" i="1"/>
  <c r="B3515" i="1"/>
  <c r="C3515" i="1"/>
  <c r="D3515" i="1"/>
  <c r="E3515" i="1"/>
  <c r="F3515" i="1"/>
  <c r="G3515" i="1"/>
  <c r="I3515" i="1"/>
  <c r="J3515" i="1"/>
  <c r="K3515" i="1"/>
  <c r="L3515" i="1"/>
  <c r="M3515" i="1"/>
  <c r="N3515" i="1"/>
  <c r="O3515" i="1"/>
  <c r="P3515" i="1"/>
  <c r="Q3515" i="1"/>
  <c r="R3515" i="1"/>
  <c r="S3515" i="1"/>
  <c r="T3515" i="1"/>
  <c r="U3515" i="1"/>
  <c r="V3515" i="1"/>
  <c r="W3515" i="1"/>
  <c r="X3515" i="1"/>
  <c r="Y3515" i="1"/>
  <c r="Z3515" i="1"/>
  <c r="A3516" i="1"/>
  <c r="B3516" i="1"/>
  <c r="C3516" i="1"/>
  <c r="D3516" i="1"/>
  <c r="E3516" i="1"/>
  <c r="F3516" i="1"/>
  <c r="G3516" i="1"/>
  <c r="I3516" i="1"/>
  <c r="J3516" i="1"/>
  <c r="K3516" i="1"/>
  <c r="L3516" i="1"/>
  <c r="M3516" i="1"/>
  <c r="N3516" i="1"/>
  <c r="O3516" i="1"/>
  <c r="P3516" i="1"/>
  <c r="Q3516" i="1"/>
  <c r="R3516" i="1"/>
  <c r="S3516" i="1"/>
  <c r="T3516" i="1"/>
  <c r="U3516" i="1"/>
  <c r="V3516" i="1"/>
  <c r="W3516" i="1"/>
  <c r="X3516" i="1"/>
  <c r="Y3516" i="1"/>
  <c r="Z3516" i="1"/>
  <c r="A3517" i="1"/>
  <c r="B3517" i="1"/>
  <c r="C3517" i="1"/>
  <c r="D3517" i="1"/>
  <c r="E3517" i="1"/>
  <c r="F3517" i="1"/>
  <c r="G3517" i="1"/>
  <c r="I3517" i="1"/>
  <c r="J3517" i="1"/>
  <c r="K3517" i="1"/>
  <c r="L3517" i="1"/>
  <c r="M3517" i="1"/>
  <c r="N3517" i="1"/>
  <c r="O3517" i="1"/>
  <c r="P3517" i="1"/>
  <c r="Q3517" i="1"/>
  <c r="R3517" i="1"/>
  <c r="S3517" i="1"/>
  <c r="T3517" i="1"/>
  <c r="U3517" i="1"/>
  <c r="V3517" i="1"/>
  <c r="W3517" i="1"/>
  <c r="X3517" i="1"/>
  <c r="Y3517" i="1"/>
  <c r="Z3517" i="1"/>
  <c r="A3518" i="1"/>
  <c r="B3518" i="1"/>
  <c r="C3518" i="1"/>
  <c r="D3518" i="1"/>
  <c r="E3518" i="1"/>
  <c r="F3518" i="1"/>
  <c r="G3518" i="1"/>
  <c r="I3518" i="1"/>
  <c r="J3518" i="1"/>
  <c r="K3518" i="1"/>
  <c r="L3518" i="1"/>
  <c r="M3518" i="1"/>
  <c r="N3518" i="1"/>
  <c r="O3518" i="1"/>
  <c r="P3518" i="1"/>
  <c r="Q3518" i="1"/>
  <c r="R3518" i="1"/>
  <c r="S3518" i="1"/>
  <c r="T3518" i="1"/>
  <c r="U3518" i="1"/>
  <c r="V3518" i="1"/>
  <c r="W3518" i="1"/>
  <c r="X3518" i="1"/>
  <c r="Y3518" i="1"/>
  <c r="Z3518" i="1"/>
  <c r="A3519" i="1"/>
  <c r="B3519" i="1"/>
  <c r="C3519" i="1"/>
  <c r="D3519" i="1"/>
  <c r="E3519" i="1"/>
  <c r="F3519" i="1"/>
  <c r="G3519" i="1"/>
  <c r="I3519" i="1"/>
  <c r="J3519" i="1"/>
  <c r="K3519" i="1"/>
  <c r="L3519" i="1"/>
  <c r="M3519" i="1"/>
  <c r="N3519" i="1"/>
  <c r="O3519" i="1"/>
  <c r="P3519" i="1"/>
  <c r="Q3519" i="1"/>
  <c r="R3519" i="1"/>
  <c r="S3519" i="1"/>
  <c r="T3519" i="1"/>
  <c r="U3519" i="1"/>
  <c r="V3519" i="1"/>
  <c r="W3519" i="1"/>
  <c r="X3519" i="1"/>
  <c r="Y3519" i="1"/>
  <c r="Z3519" i="1"/>
  <c r="A3520" i="1"/>
  <c r="B3520" i="1"/>
  <c r="C3520" i="1"/>
  <c r="D3520" i="1"/>
  <c r="E3520" i="1"/>
  <c r="F3520" i="1"/>
  <c r="G3520" i="1"/>
  <c r="I3520" i="1"/>
  <c r="J3520" i="1"/>
  <c r="K3520" i="1"/>
  <c r="L3520" i="1"/>
  <c r="M3520" i="1"/>
  <c r="N3520" i="1"/>
  <c r="O3520" i="1"/>
  <c r="P3520" i="1"/>
  <c r="Q3520" i="1"/>
  <c r="R3520" i="1"/>
  <c r="S3520" i="1"/>
  <c r="T3520" i="1"/>
  <c r="U3520" i="1"/>
  <c r="V3520" i="1"/>
  <c r="W3520" i="1"/>
  <c r="X3520" i="1"/>
  <c r="Y3520" i="1"/>
  <c r="Z3520" i="1"/>
  <c r="A3521" i="1"/>
  <c r="B3521" i="1"/>
  <c r="C3521" i="1"/>
  <c r="D3521" i="1"/>
  <c r="E3521" i="1"/>
  <c r="F3521" i="1"/>
  <c r="G3521" i="1"/>
  <c r="I3521" i="1"/>
  <c r="J3521" i="1"/>
  <c r="K3521" i="1"/>
  <c r="L3521" i="1"/>
  <c r="M3521" i="1"/>
  <c r="N3521" i="1"/>
  <c r="O3521" i="1"/>
  <c r="P3521" i="1"/>
  <c r="Q3521" i="1"/>
  <c r="R3521" i="1"/>
  <c r="S3521" i="1"/>
  <c r="T3521" i="1"/>
  <c r="U3521" i="1"/>
  <c r="V3521" i="1"/>
  <c r="W3521" i="1"/>
  <c r="X3521" i="1"/>
  <c r="Y3521" i="1"/>
  <c r="Z3521" i="1"/>
  <c r="A3522" i="1"/>
  <c r="B3522" i="1"/>
  <c r="C3522" i="1"/>
  <c r="D3522" i="1"/>
  <c r="E3522" i="1"/>
  <c r="F3522" i="1"/>
  <c r="G3522" i="1"/>
  <c r="I3522" i="1"/>
  <c r="J3522" i="1"/>
  <c r="K3522" i="1"/>
  <c r="L3522" i="1"/>
  <c r="M3522" i="1"/>
  <c r="N3522" i="1"/>
  <c r="O3522" i="1"/>
  <c r="P3522" i="1"/>
  <c r="Q3522" i="1"/>
  <c r="R3522" i="1"/>
  <c r="S3522" i="1"/>
  <c r="T3522" i="1"/>
  <c r="U3522" i="1"/>
  <c r="V3522" i="1"/>
  <c r="W3522" i="1"/>
  <c r="X3522" i="1"/>
  <c r="Y3522" i="1"/>
  <c r="Z3522" i="1"/>
  <c r="A3523" i="1"/>
  <c r="B3523" i="1"/>
  <c r="C3523" i="1"/>
  <c r="D3523" i="1"/>
  <c r="E3523" i="1"/>
  <c r="F3523" i="1"/>
  <c r="G3523" i="1"/>
  <c r="I3523" i="1"/>
  <c r="J3523" i="1"/>
  <c r="K3523" i="1"/>
  <c r="L3523" i="1"/>
  <c r="M3523" i="1"/>
  <c r="N3523" i="1"/>
  <c r="O3523" i="1"/>
  <c r="P3523" i="1"/>
  <c r="Q3523" i="1"/>
  <c r="R3523" i="1"/>
  <c r="S3523" i="1"/>
  <c r="T3523" i="1"/>
  <c r="U3523" i="1"/>
  <c r="V3523" i="1"/>
  <c r="W3523" i="1"/>
  <c r="X3523" i="1"/>
  <c r="Y3523" i="1"/>
  <c r="Z3523" i="1"/>
  <c r="A3524" i="1"/>
  <c r="B3524" i="1"/>
  <c r="C3524" i="1"/>
  <c r="D3524" i="1"/>
  <c r="E3524" i="1"/>
  <c r="F3524" i="1"/>
  <c r="G3524" i="1"/>
  <c r="I3524" i="1"/>
  <c r="J3524" i="1"/>
  <c r="K3524" i="1"/>
  <c r="L3524" i="1"/>
  <c r="M3524" i="1"/>
  <c r="N3524" i="1"/>
  <c r="O3524" i="1"/>
  <c r="P3524" i="1"/>
  <c r="Q3524" i="1"/>
  <c r="R3524" i="1"/>
  <c r="S3524" i="1"/>
  <c r="T3524" i="1"/>
  <c r="U3524" i="1"/>
  <c r="V3524" i="1"/>
  <c r="W3524" i="1"/>
  <c r="X3524" i="1"/>
  <c r="Y3524" i="1"/>
  <c r="Z3524" i="1"/>
  <c r="A3525" i="1"/>
  <c r="B3525" i="1"/>
  <c r="C3525" i="1"/>
  <c r="D3525" i="1"/>
  <c r="E3525" i="1"/>
  <c r="F3525" i="1"/>
  <c r="G3525" i="1"/>
  <c r="I3525" i="1"/>
  <c r="J3525" i="1"/>
  <c r="K3525" i="1"/>
  <c r="L3525" i="1"/>
  <c r="M3525" i="1"/>
  <c r="N3525" i="1"/>
  <c r="O3525" i="1"/>
  <c r="P3525" i="1"/>
  <c r="Q3525" i="1"/>
  <c r="R3525" i="1"/>
  <c r="S3525" i="1"/>
  <c r="T3525" i="1"/>
  <c r="U3525" i="1"/>
  <c r="V3525" i="1"/>
  <c r="W3525" i="1"/>
  <c r="X3525" i="1"/>
  <c r="Y3525" i="1"/>
  <c r="Z3525" i="1"/>
  <c r="A3526" i="1"/>
  <c r="B3526" i="1"/>
  <c r="C3526" i="1"/>
  <c r="D3526" i="1"/>
  <c r="E3526" i="1"/>
  <c r="F3526" i="1"/>
  <c r="G3526" i="1"/>
  <c r="I3526" i="1"/>
  <c r="J3526" i="1"/>
  <c r="K3526" i="1"/>
  <c r="L3526" i="1"/>
  <c r="M3526" i="1"/>
  <c r="N3526" i="1"/>
  <c r="O3526" i="1"/>
  <c r="P3526" i="1"/>
  <c r="Q3526" i="1"/>
  <c r="R3526" i="1"/>
  <c r="S3526" i="1"/>
  <c r="T3526" i="1"/>
  <c r="U3526" i="1"/>
  <c r="V3526" i="1"/>
  <c r="W3526" i="1"/>
  <c r="X3526" i="1"/>
  <c r="Y3526" i="1"/>
  <c r="Z3526" i="1"/>
  <c r="A3527" i="1"/>
  <c r="B3527" i="1"/>
  <c r="C3527" i="1"/>
  <c r="D3527" i="1"/>
  <c r="E3527" i="1"/>
  <c r="F3527" i="1"/>
  <c r="G3527" i="1"/>
  <c r="I3527" i="1"/>
  <c r="J3527" i="1"/>
  <c r="K3527" i="1"/>
  <c r="L3527" i="1"/>
  <c r="M3527" i="1"/>
  <c r="N3527" i="1"/>
  <c r="O3527" i="1"/>
  <c r="P3527" i="1"/>
  <c r="Q3527" i="1"/>
  <c r="R3527" i="1"/>
  <c r="S3527" i="1"/>
  <c r="T3527" i="1"/>
  <c r="U3527" i="1"/>
  <c r="V3527" i="1"/>
  <c r="W3527" i="1"/>
  <c r="X3527" i="1"/>
  <c r="Y3527" i="1"/>
  <c r="Z3527" i="1"/>
  <c r="A3528" i="1"/>
  <c r="B3528" i="1"/>
  <c r="C3528" i="1"/>
  <c r="D3528" i="1"/>
  <c r="E3528" i="1"/>
  <c r="F3528" i="1"/>
  <c r="G3528" i="1"/>
  <c r="I3528" i="1"/>
  <c r="J3528" i="1"/>
  <c r="K3528" i="1"/>
  <c r="L3528" i="1"/>
  <c r="M3528" i="1"/>
  <c r="N3528" i="1"/>
  <c r="O3528" i="1"/>
  <c r="P3528" i="1"/>
  <c r="Q3528" i="1"/>
  <c r="R3528" i="1"/>
  <c r="S3528" i="1"/>
  <c r="T3528" i="1"/>
  <c r="U3528" i="1"/>
  <c r="V3528" i="1"/>
  <c r="W3528" i="1"/>
  <c r="X3528" i="1"/>
  <c r="Y3528" i="1"/>
  <c r="Z3528" i="1"/>
  <c r="A3529" i="1"/>
  <c r="B3529" i="1"/>
  <c r="C3529" i="1"/>
  <c r="D3529" i="1"/>
  <c r="E3529" i="1"/>
  <c r="F3529" i="1"/>
  <c r="G3529" i="1"/>
  <c r="I3529" i="1"/>
  <c r="J3529" i="1"/>
  <c r="K3529" i="1"/>
  <c r="L3529" i="1"/>
  <c r="M3529" i="1"/>
  <c r="N3529" i="1"/>
  <c r="O3529" i="1"/>
  <c r="P3529" i="1"/>
  <c r="Q3529" i="1"/>
  <c r="R3529" i="1"/>
  <c r="S3529" i="1"/>
  <c r="T3529" i="1"/>
  <c r="U3529" i="1"/>
  <c r="V3529" i="1"/>
  <c r="W3529" i="1"/>
  <c r="X3529" i="1"/>
  <c r="Y3529" i="1"/>
  <c r="Z3529" i="1"/>
  <c r="A3530" i="1"/>
  <c r="B3530" i="1"/>
  <c r="C3530" i="1"/>
  <c r="D3530" i="1"/>
  <c r="E3530" i="1"/>
  <c r="F3530" i="1"/>
  <c r="G3530" i="1"/>
  <c r="I3530" i="1"/>
  <c r="J3530" i="1"/>
  <c r="K3530" i="1"/>
  <c r="L3530" i="1"/>
  <c r="M3530" i="1"/>
  <c r="N3530" i="1"/>
  <c r="O3530" i="1"/>
  <c r="P3530" i="1"/>
  <c r="Q3530" i="1"/>
  <c r="R3530" i="1"/>
  <c r="S3530" i="1"/>
  <c r="T3530" i="1"/>
  <c r="U3530" i="1"/>
  <c r="V3530" i="1"/>
  <c r="W3530" i="1"/>
  <c r="X3530" i="1"/>
  <c r="Y3530" i="1"/>
  <c r="Z3530" i="1"/>
  <c r="A3531" i="1"/>
  <c r="B3531" i="1"/>
  <c r="C3531" i="1"/>
  <c r="D3531" i="1"/>
  <c r="E3531" i="1"/>
  <c r="F3531" i="1"/>
  <c r="G3531" i="1"/>
  <c r="I3531" i="1"/>
  <c r="J3531" i="1"/>
  <c r="K3531" i="1"/>
  <c r="L3531" i="1"/>
  <c r="M3531" i="1"/>
  <c r="N3531" i="1"/>
  <c r="O3531" i="1"/>
  <c r="P3531" i="1"/>
  <c r="Q3531" i="1"/>
  <c r="R3531" i="1"/>
  <c r="S3531" i="1"/>
  <c r="T3531" i="1"/>
  <c r="U3531" i="1"/>
  <c r="V3531" i="1"/>
  <c r="W3531" i="1"/>
  <c r="X3531" i="1"/>
  <c r="Y3531" i="1"/>
  <c r="Z3531" i="1"/>
  <c r="A3532" i="1"/>
  <c r="B3532" i="1"/>
  <c r="C3532" i="1"/>
  <c r="D3532" i="1"/>
  <c r="E3532" i="1"/>
  <c r="F3532" i="1"/>
  <c r="G3532" i="1"/>
  <c r="I3532" i="1"/>
  <c r="J3532" i="1"/>
  <c r="K3532" i="1"/>
  <c r="L3532" i="1"/>
  <c r="M3532" i="1"/>
  <c r="N3532" i="1"/>
  <c r="O3532" i="1"/>
  <c r="P3532" i="1"/>
  <c r="Q3532" i="1"/>
  <c r="R3532" i="1"/>
  <c r="S3532" i="1"/>
  <c r="T3532" i="1"/>
  <c r="U3532" i="1"/>
  <c r="V3532" i="1"/>
  <c r="W3532" i="1"/>
  <c r="X3532" i="1"/>
  <c r="Y3532" i="1"/>
  <c r="Z3532" i="1"/>
  <c r="A3533" i="1"/>
  <c r="B3533" i="1"/>
  <c r="C3533" i="1"/>
  <c r="D3533" i="1"/>
  <c r="E3533" i="1"/>
  <c r="F3533" i="1"/>
  <c r="G3533" i="1"/>
  <c r="I3533" i="1"/>
  <c r="J3533" i="1"/>
  <c r="K3533" i="1"/>
  <c r="L3533" i="1"/>
  <c r="M3533" i="1"/>
  <c r="N3533" i="1"/>
  <c r="O3533" i="1"/>
  <c r="P3533" i="1"/>
  <c r="Q3533" i="1"/>
  <c r="R3533" i="1"/>
  <c r="S3533" i="1"/>
  <c r="T3533" i="1"/>
  <c r="U3533" i="1"/>
  <c r="V3533" i="1"/>
  <c r="W3533" i="1"/>
  <c r="X3533" i="1"/>
  <c r="Y3533" i="1"/>
  <c r="Z3533" i="1"/>
  <c r="A3534" i="1"/>
  <c r="B3534" i="1"/>
  <c r="C3534" i="1"/>
  <c r="D3534" i="1"/>
  <c r="E3534" i="1"/>
  <c r="F3534" i="1"/>
  <c r="G3534" i="1"/>
  <c r="I3534" i="1"/>
  <c r="J3534" i="1"/>
  <c r="K3534" i="1"/>
  <c r="L3534" i="1"/>
  <c r="M3534" i="1"/>
  <c r="N3534" i="1"/>
  <c r="O3534" i="1"/>
  <c r="P3534" i="1"/>
  <c r="Q3534" i="1"/>
  <c r="R3534" i="1"/>
  <c r="S3534" i="1"/>
  <c r="T3534" i="1"/>
  <c r="U3534" i="1"/>
  <c r="V3534" i="1"/>
  <c r="W3534" i="1"/>
  <c r="X3534" i="1"/>
  <c r="Y3534" i="1"/>
  <c r="Z3534" i="1"/>
  <c r="A3535" i="1"/>
  <c r="B3535" i="1"/>
  <c r="C3535" i="1"/>
  <c r="D3535" i="1"/>
  <c r="E3535" i="1"/>
  <c r="F3535" i="1"/>
  <c r="G3535" i="1"/>
  <c r="I3535" i="1"/>
  <c r="J3535" i="1"/>
  <c r="K3535" i="1"/>
  <c r="L3535" i="1"/>
  <c r="M3535" i="1"/>
  <c r="N3535" i="1"/>
  <c r="O3535" i="1"/>
  <c r="P3535" i="1"/>
  <c r="Q3535" i="1"/>
  <c r="R3535" i="1"/>
  <c r="S3535" i="1"/>
  <c r="T3535" i="1"/>
  <c r="U3535" i="1"/>
  <c r="V3535" i="1"/>
  <c r="W3535" i="1"/>
  <c r="X3535" i="1"/>
  <c r="Y3535" i="1"/>
  <c r="Z3535" i="1"/>
  <c r="A3536" i="1"/>
  <c r="B3536" i="1"/>
  <c r="C3536" i="1"/>
  <c r="D3536" i="1"/>
  <c r="E3536" i="1"/>
  <c r="F3536" i="1"/>
  <c r="G3536" i="1"/>
  <c r="I3536" i="1"/>
  <c r="J3536" i="1"/>
  <c r="K3536" i="1"/>
  <c r="L3536" i="1"/>
  <c r="M3536" i="1"/>
  <c r="N3536" i="1"/>
  <c r="O3536" i="1"/>
  <c r="P3536" i="1"/>
  <c r="Q3536" i="1"/>
  <c r="R3536" i="1"/>
  <c r="S3536" i="1"/>
  <c r="T3536" i="1"/>
  <c r="U3536" i="1"/>
  <c r="V3536" i="1"/>
  <c r="W3536" i="1"/>
  <c r="X3536" i="1"/>
  <c r="Y3536" i="1"/>
  <c r="Z3536" i="1"/>
  <c r="A3537" i="1"/>
  <c r="B3537" i="1"/>
  <c r="C3537" i="1"/>
  <c r="D3537" i="1"/>
  <c r="E3537" i="1"/>
  <c r="F3537" i="1"/>
  <c r="G3537" i="1"/>
  <c r="I3537" i="1"/>
  <c r="J3537" i="1"/>
  <c r="K3537" i="1"/>
  <c r="L3537" i="1"/>
  <c r="M3537" i="1"/>
  <c r="N3537" i="1"/>
  <c r="O3537" i="1"/>
  <c r="P3537" i="1"/>
  <c r="Q3537" i="1"/>
  <c r="R3537" i="1"/>
  <c r="S3537" i="1"/>
  <c r="T3537" i="1"/>
  <c r="U3537" i="1"/>
  <c r="V3537" i="1"/>
  <c r="W3537" i="1"/>
  <c r="X3537" i="1"/>
  <c r="Y3537" i="1"/>
  <c r="Z3537" i="1"/>
  <c r="A3538" i="1"/>
  <c r="B3538" i="1"/>
  <c r="C3538" i="1"/>
  <c r="D3538" i="1"/>
  <c r="E3538" i="1"/>
  <c r="F3538" i="1"/>
  <c r="G3538" i="1"/>
  <c r="I3538" i="1"/>
  <c r="J3538" i="1"/>
  <c r="K3538" i="1"/>
  <c r="L3538" i="1"/>
  <c r="M3538" i="1"/>
  <c r="N3538" i="1"/>
  <c r="O3538" i="1"/>
  <c r="P3538" i="1"/>
  <c r="Q3538" i="1"/>
  <c r="R3538" i="1"/>
  <c r="S3538" i="1"/>
  <c r="T3538" i="1"/>
  <c r="U3538" i="1"/>
  <c r="V3538" i="1"/>
  <c r="W3538" i="1"/>
  <c r="X3538" i="1"/>
  <c r="Y3538" i="1"/>
  <c r="Z3538" i="1"/>
  <c r="A3539" i="1"/>
  <c r="B3539" i="1"/>
  <c r="C3539" i="1"/>
  <c r="D3539" i="1"/>
  <c r="E3539" i="1"/>
  <c r="F3539" i="1"/>
  <c r="G3539" i="1"/>
  <c r="I3539" i="1"/>
  <c r="J3539" i="1"/>
  <c r="K3539" i="1"/>
  <c r="L3539" i="1"/>
  <c r="M3539" i="1"/>
  <c r="N3539" i="1"/>
  <c r="O3539" i="1"/>
  <c r="P3539" i="1"/>
  <c r="Q3539" i="1"/>
  <c r="R3539" i="1"/>
  <c r="S3539" i="1"/>
  <c r="T3539" i="1"/>
  <c r="U3539" i="1"/>
  <c r="V3539" i="1"/>
  <c r="W3539" i="1"/>
  <c r="X3539" i="1"/>
  <c r="Y3539" i="1"/>
  <c r="Z3539" i="1"/>
  <c r="A3540" i="1"/>
  <c r="B3540" i="1"/>
  <c r="C3540" i="1"/>
  <c r="D3540" i="1"/>
  <c r="E3540" i="1"/>
  <c r="F3540" i="1"/>
  <c r="G3540" i="1"/>
  <c r="I3540" i="1"/>
  <c r="J3540" i="1"/>
  <c r="K3540" i="1"/>
  <c r="L3540" i="1"/>
  <c r="M3540" i="1"/>
  <c r="N3540" i="1"/>
  <c r="O3540" i="1"/>
  <c r="P3540" i="1"/>
  <c r="Q3540" i="1"/>
  <c r="R3540" i="1"/>
  <c r="S3540" i="1"/>
  <c r="T3540" i="1"/>
  <c r="U3540" i="1"/>
  <c r="V3540" i="1"/>
  <c r="W3540" i="1"/>
  <c r="X3540" i="1"/>
  <c r="Y3540" i="1"/>
  <c r="Z3540" i="1"/>
  <c r="A3541" i="1"/>
  <c r="B3541" i="1"/>
  <c r="C3541" i="1"/>
  <c r="D3541" i="1"/>
  <c r="E3541" i="1"/>
  <c r="F3541" i="1"/>
  <c r="G3541" i="1"/>
  <c r="I3541" i="1"/>
  <c r="J3541" i="1"/>
  <c r="K3541" i="1"/>
  <c r="L3541" i="1"/>
  <c r="M3541" i="1"/>
  <c r="N3541" i="1"/>
  <c r="O3541" i="1"/>
  <c r="P3541" i="1"/>
  <c r="Q3541" i="1"/>
  <c r="R3541" i="1"/>
  <c r="S3541" i="1"/>
  <c r="T3541" i="1"/>
  <c r="U3541" i="1"/>
  <c r="V3541" i="1"/>
  <c r="W3541" i="1"/>
  <c r="X3541" i="1"/>
  <c r="Y3541" i="1"/>
  <c r="Z3541" i="1"/>
  <c r="A3542" i="1"/>
  <c r="B3542" i="1"/>
  <c r="C3542" i="1"/>
  <c r="D3542" i="1"/>
  <c r="E3542" i="1"/>
  <c r="F3542" i="1"/>
  <c r="G3542" i="1"/>
  <c r="I3542" i="1"/>
  <c r="J3542" i="1"/>
  <c r="K3542" i="1"/>
  <c r="L3542" i="1"/>
  <c r="M3542" i="1"/>
  <c r="N3542" i="1"/>
  <c r="O3542" i="1"/>
  <c r="P3542" i="1"/>
  <c r="Q3542" i="1"/>
  <c r="R3542" i="1"/>
  <c r="S3542" i="1"/>
  <c r="T3542" i="1"/>
  <c r="U3542" i="1"/>
  <c r="V3542" i="1"/>
  <c r="W3542" i="1"/>
  <c r="X3542" i="1"/>
  <c r="Y3542" i="1"/>
  <c r="Z3542" i="1"/>
  <c r="A3543" i="1"/>
  <c r="B3543" i="1"/>
  <c r="C3543" i="1"/>
  <c r="D3543" i="1"/>
  <c r="E3543" i="1"/>
  <c r="F3543" i="1"/>
  <c r="G3543" i="1"/>
  <c r="I3543" i="1"/>
  <c r="J3543" i="1"/>
  <c r="K3543" i="1"/>
  <c r="L3543" i="1"/>
  <c r="M3543" i="1"/>
  <c r="N3543" i="1"/>
  <c r="O3543" i="1"/>
  <c r="P3543" i="1"/>
  <c r="Q3543" i="1"/>
  <c r="R3543" i="1"/>
  <c r="S3543" i="1"/>
  <c r="T3543" i="1"/>
  <c r="U3543" i="1"/>
  <c r="V3543" i="1"/>
  <c r="W3543" i="1"/>
  <c r="X3543" i="1"/>
  <c r="Y3543" i="1"/>
  <c r="Z3543" i="1"/>
  <c r="A3544" i="1"/>
  <c r="B3544" i="1"/>
  <c r="C3544" i="1"/>
  <c r="D3544" i="1"/>
  <c r="E3544" i="1"/>
  <c r="F3544" i="1"/>
  <c r="G3544" i="1"/>
  <c r="I3544" i="1"/>
  <c r="J3544" i="1"/>
  <c r="K3544" i="1"/>
  <c r="L3544" i="1"/>
  <c r="M3544" i="1"/>
  <c r="N3544" i="1"/>
  <c r="O3544" i="1"/>
  <c r="P3544" i="1"/>
  <c r="Q3544" i="1"/>
  <c r="R3544" i="1"/>
  <c r="S3544" i="1"/>
  <c r="T3544" i="1"/>
  <c r="U3544" i="1"/>
  <c r="V3544" i="1"/>
  <c r="W3544" i="1"/>
  <c r="X3544" i="1"/>
  <c r="Y3544" i="1"/>
  <c r="Z3544" i="1"/>
  <c r="A3545" i="1"/>
  <c r="B3545" i="1"/>
  <c r="C3545" i="1"/>
  <c r="D3545" i="1"/>
  <c r="E3545" i="1"/>
  <c r="F3545" i="1"/>
  <c r="G3545" i="1"/>
  <c r="I3545" i="1"/>
  <c r="J3545" i="1"/>
  <c r="K3545" i="1"/>
  <c r="L3545" i="1"/>
  <c r="M3545" i="1"/>
  <c r="N3545" i="1"/>
  <c r="O3545" i="1"/>
  <c r="P3545" i="1"/>
  <c r="Q3545" i="1"/>
  <c r="R3545" i="1"/>
  <c r="S3545" i="1"/>
  <c r="T3545" i="1"/>
  <c r="U3545" i="1"/>
  <c r="V3545" i="1"/>
  <c r="W3545" i="1"/>
  <c r="X3545" i="1"/>
  <c r="Y3545" i="1"/>
  <c r="Z3545" i="1"/>
  <c r="A3546" i="1"/>
  <c r="B3546" i="1"/>
  <c r="C3546" i="1"/>
  <c r="D3546" i="1"/>
  <c r="E3546" i="1"/>
  <c r="F3546" i="1"/>
  <c r="G3546" i="1"/>
  <c r="I3546" i="1"/>
  <c r="J3546" i="1"/>
  <c r="K3546" i="1"/>
  <c r="L3546" i="1"/>
  <c r="M3546" i="1"/>
  <c r="N3546" i="1"/>
  <c r="O3546" i="1"/>
  <c r="P3546" i="1"/>
  <c r="Q3546" i="1"/>
  <c r="R3546" i="1"/>
  <c r="S3546" i="1"/>
  <c r="T3546" i="1"/>
  <c r="U3546" i="1"/>
  <c r="V3546" i="1"/>
  <c r="W3546" i="1"/>
  <c r="X3546" i="1"/>
  <c r="Y3546" i="1"/>
  <c r="Z3546" i="1"/>
  <c r="A3547" i="1"/>
  <c r="B3547" i="1"/>
  <c r="C3547" i="1"/>
  <c r="D3547" i="1"/>
  <c r="E3547" i="1"/>
  <c r="F3547" i="1"/>
  <c r="G3547" i="1"/>
  <c r="I3547" i="1"/>
  <c r="J3547" i="1"/>
  <c r="K3547" i="1"/>
  <c r="L3547" i="1"/>
  <c r="M3547" i="1"/>
  <c r="N3547" i="1"/>
  <c r="O3547" i="1"/>
  <c r="P3547" i="1"/>
  <c r="Q3547" i="1"/>
  <c r="R3547" i="1"/>
  <c r="S3547" i="1"/>
  <c r="T3547" i="1"/>
  <c r="U3547" i="1"/>
  <c r="V3547" i="1"/>
  <c r="W3547" i="1"/>
  <c r="X3547" i="1"/>
  <c r="Y3547" i="1"/>
  <c r="Z3547" i="1"/>
  <c r="A3548" i="1"/>
  <c r="B3548" i="1"/>
  <c r="C3548" i="1"/>
  <c r="D3548" i="1"/>
  <c r="E3548" i="1"/>
  <c r="F3548" i="1"/>
  <c r="G3548" i="1"/>
  <c r="I3548" i="1"/>
  <c r="J3548" i="1"/>
  <c r="K3548" i="1"/>
  <c r="L3548" i="1"/>
  <c r="M3548" i="1"/>
  <c r="N3548" i="1"/>
  <c r="O3548" i="1"/>
  <c r="P3548" i="1"/>
  <c r="Q3548" i="1"/>
  <c r="R3548" i="1"/>
  <c r="S3548" i="1"/>
  <c r="T3548" i="1"/>
  <c r="U3548" i="1"/>
  <c r="V3548" i="1"/>
  <c r="W3548" i="1"/>
  <c r="X3548" i="1"/>
  <c r="Y3548" i="1"/>
  <c r="Z3548" i="1"/>
  <c r="A3549" i="1"/>
  <c r="B3549" i="1"/>
  <c r="C3549" i="1"/>
  <c r="D3549" i="1"/>
  <c r="E3549" i="1"/>
  <c r="F3549" i="1"/>
  <c r="G3549" i="1"/>
  <c r="I3549" i="1"/>
  <c r="J3549" i="1"/>
  <c r="K3549" i="1"/>
  <c r="L3549" i="1"/>
  <c r="M3549" i="1"/>
  <c r="N3549" i="1"/>
  <c r="O3549" i="1"/>
  <c r="P3549" i="1"/>
  <c r="Q3549" i="1"/>
  <c r="R3549" i="1"/>
  <c r="S3549" i="1"/>
  <c r="T3549" i="1"/>
  <c r="U3549" i="1"/>
  <c r="V3549" i="1"/>
  <c r="W3549" i="1"/>
  <c r="X3549" i="1"/>
  <c r="Y3549" i="1"/>
  <c r="Z3549" i="1"/>
  <c r="A3550" i="1"/>
  <c r="B3550" i="1"/>
  <c r="C3550" i="1"/>
  <c r="D3550" i="1"/>
  <c r="E3550" i="1"/>
  <c r="F3550" i="1"/>
  <c r="G3550" i="1"/>
  <c r="I3550" i="1"/>
  <c r="J3550" i="1"/>
  <c r="K3550" i="1"/>
  <c r="L3550" i="1"/>
  <c r="M3550" i="1"/>
  <c r="N3550" i="1"/>
  <c r="O3550" i="1"/>
  <c r="P3550" i="1"/>
  <c r="Q3550" i="1"/>
  <c r="R3550" i="1"/>
  <c r="S3550" i="1"/>
  <c r="T3550" i="1"/>
  <c r="U3550" i="1"/>
  <c r="V3550" i="1"/>
  <c r="W3550" i="1"/>
  <c r="X3550" i="1"/>
  <c r="Y3550" i="1"/>
  <c r="Z3550" i="1"/>
  <c r="A3551" i="1"/>
  <c r="B3551" i="1"/>
  <c r="C3551" i="1"/>
  <c r="D3551" i="1"/>
  <c r="E3551" i="1"/>
  <c r="F3551" i="1"/>
  <c r="G3551" i="1"/>
  <c r="I3551" i="1"/>
  <c r="J3551" i="1"/>
  <c r="K3551" i="1"/>
  <c r="L3551" i="1"/>
  <c r="M3551" i="1"/>
  <c r="N3551" i="1"/>
  <c r="O3551" i="1"/>
  <c r="P3551" i="1"/>
  <c r="Q3551" i="1"/>
  <c r="R3551" i="1"/>
  <c r="S3551" i="1"/>
  <c r="T3551" i="1"/>
  <c r="U3551" i="1"/>
  <c r="V3551" i="1"/>
  <c r="W3551" i="1"/>
  <c r="X3551" i="1"/>
  <c r="Y3551" i="1"/>
  <c r="Z3551" i="1"/>
  <c r="A3552" i="1"/>
  <c r="B3552" i="1"/>
  <c r="C3552" i="1"/>
  <c r="D3552" i="1"/>
  <c r="E3552" i="1"/>
  <c r="F3552" i="1"/>
  <c r="G3552" i="1"/>
  <c r="I3552" i="1"/>
  <c r="J3552" i="1"/>
  <c r="K3552" i="1"/>
  <c r="L3552" i="1"/>
  <c r="M3552" i="1"/>
  <c r="N3552" i="1"/>
  <c r="O3552" i="1"/>
  <c r="P3552" i="1"/>
  <c r="Q3552" i="1"/>
  <c r="R3552" i="1"/>
  <c r="S3552" i="1"/>
  <c r="T3552" i="1"/>
  <c r="U3552" i="1"/>
  <c r="V3552" i="1"/>
  <c r="W3552" i="1"/>
  <c r="X3552" i="1"/>
  <c r="Y3552" i="1"/>
  <c r="Z3552" i="1"/>
  <c r="A3553" i="1"/>
  <c r="B3553" i="1"/>
  <c r="C3553" i="1"/>
  <c r="D3553" i="1"/>
  <c r="E3553" i="1"/>
  <c r="F3553" i="1"/>
  <c r="G3553" i="1"/>
  <c r="I3553" i="1"/>
  <c r="J3553" i="1"/>
  <c r="K3553" i="1"/>
  <c r="L3553" i="1"/>
  <c r="M3553" i="1"/>
  <c r="N3553" i="1"/>
  <c r="O3553" i="1"/>
  <c r="P3553" i="1"/>
  <c r="Q3553" i="1"/>
  <c r="R3553" i="1"/>
  <c r="S3553" i="1"/>
  <c r="T3553" i="1"/>
  <c r="U3553" i="1"/>
  <c r="V3553" i="1"/>
  <c r="W3553" i="1"/>
  <c r="X3553" i="1"/>
  <c r="Y3553" i="1"/>
  <c r="Z3553" i="1"/>
  <c r="A3554" i="1"/>
  <c r="B3554" i="1"/>
  <c r="C3554" i="1"/>
  <c r="D3554" i="1"/>
  <c r="E3554" i="1"/>
  <c r="F3554" i="1"/>
  <c r="G3554" i="1"/>
  <c r="I3554" i="1"/>
  <c r="J3554" i="1"/>
  <c r="K3554" i="1"/>
  <c r="L3554" i="1"/>
  <c r="M3554" i="1"/>
  <c r="N3554" i="1"/>
  <c r="O3554" i="1"/>
  <c r="P3554" i="1"/>
  <c r="Q3554" i="1"/>
  <c r="R3554" i="1"/>
  <c r="S3554" i="1"/>
  <c r="T3554" i="1"/>
  <c r="U3554" i="1"/>
  <c r="V3554" i="1"/>
  <c r="W3554" i="1"/>
  <c r="X3554" i="1"/>
  <c r="Y3554" i="1"/>
  <c r="Z3554" i="1"/>
  <c r="A3555" i="1"/>
  <c r="B3555" i="1"/>
  <c r="C3555" i="1"/>
  <c r="D3555" i="1"/>
  <c r="E3555" i="1"/>
  <c r="F3555" i="1"/>
  <c r="G3555" i="1"/>
  <c r="I3555" i="1"/>
  <c r="J3555" i="1"/>
  <c r="K3555" i="1"/>
  <c r="L3555" i="1"/>
  <c r="M3555" i="1"/>
  <c r="N3555" i="1"/>
  <c r="O3555" i="1"/>
  <c r="P3555" i="1"/>
  <c r="Q3555" i="1"/>
  <c r="R3555" i="1"/>
  <c r="S3555" i="1"/>
  <c r="T3555" i="1"/>
  <c r="U3555" i="1"/>
  <c r="V3555" i="1"/>
  <c r="W3555" i="1"/>
  <c r="X3555" i="1"/>
  <c r="Y3555" i="1"/>
  <c r="Z3555" i="1"/>
  <c r="A3556" i="1"/>
  <c r="B3556" i="1"/>
  <c r="C3556" i="1"/>
  <c r="D3556" i="1"/>
  <c r="E3556" i="1"/>
  <c r="F3556" i="1"/>
  <c r="G3556" i="1"/>
  <c r="I3556" i="1"/>
  <c r="J3556" i="1"/>
  <c r="K3556" i="1"/>
  <c r="L3556" i="1"/>
  <c r="M3556" i="1"/>
  <c r="N3556" i="1"/>
  <c r="O3556" i="1"/>
  <c r="P3556" i="1"/>
  <c r="Q3556" i="1"/>
  <c r="R3556" i="1"/>
  <c r="S3556" i="1"/>
  <c r="T3556" i="1"/>
  <c r="U3556" i="1"/>
  <c r="V3556" i="1"/>
  <c r="W3556" i="1"/>
  <c r="X3556" i="1"/>
  <c r="Y3556" i="1"/>
  <c r="Z3556" i="1"/>
  <c r="A3557" i="1"/>
  <c r="B3557" i="1"/>
  <c r="C3557" i="1"/>
  <c r="D3557" i="1"/>
  <c r="E3557" i="1"/>
  <c r="F3557" i="1"/>
  <c r="G3557" i="1"/>
  <c r="I3557" i="1"/>
  <c r="J3557" i="1"/>
  <c r="K3557" i="1"/>
  <c r="L3557" i="1"/>
  <c r="M3557" i="1"/>
  <c r="N3557" i="1"/>
  <c r="O3557" i="1"/>
  <c r="P3557" i="1"/>
  <c r="Q3557" i="1"/>
  <c r="R3557" i="1"/>
  <c r="S3557" i="1"/>
  <c r="T3557" i="1"/>
  <c r="U3557" i="1"/>
  <c r="V3557" i="1"/>
  <c r="W3557" i="1"/>
  <c r="X3557" i="1"/>
  <c r="Y3557" i="1"/>
  <c r="Z3557" i="1"/>
  <c r="A3558" i="1"/>
  <c r="B3558" i="1"/>
  <c r="C3558" i="1"/>
  <c r="D3558" i="1"/>
  <c r="E3558" i="1"/>
  <c r="F3558" i="1"/>
  <c r="G3558" i="1"/>
  <c r="I3558" i="1"/>
  <c r="J3558" i="1"/>
  <c r="K3558" i="1"/>
  <c r="L3558" i="1"/>
  <c r="M3558" i="1"/>
  <c r="N3558" i="1"/>
  <c r="O3558" i="1"/>
  <c r="P3558" i="1"/>
  <c r="Q3558" i="1"/>
  <c r="R3558" i="1"/>
  <c r="S3558" i="1"/>
  <c r="T3558" i="1"/>
  <c r="U3558" i="1"/>
  <c r="V3558" i="1"/>
  <c r="W3558" i="1"/>
  <c r="X3558" i="1"/>
  <c r="Y3558" i="1"/>
  <c r="Z3558" i="1"/>
  <c r="A3559" i="1"/>
  <c r="B3559" i="1"/>
  <c r="C3559" i="1"/>
  <c r="D3559" i="1"/>
  <c r="E3559" i="1"/>
  <c r="F3559" i="1"/>
  <c r="G3559" i="1"/>
  <c r="I3559" i="1"/>
  <c r="J3559" i="1"/>
  <c r="K3559" i="1"/>
  <c r="L3559" i="1"/>
  <c r="M3559" i="1"/>
  <c r="N3559" i="1"/>
  <c r="O3559" i="1"/>
  <c r="P3559" i="1"/>
  <c r="Q3559" i="1"/>
  <c r="R3559" i="1"/>
  <c r="S3559" i="1"/>
  <c r="T3559" i="1"/>
  <c r="U3559" i="1"/>
  <c r="V3559" i="1"/>
  <c r="W3559" i="1"/>
  <c r="X3559" i="1"/>
  <c r="Y3559" i="1"/>
  <c r="Z3559" i="1"/>
  <c r="A3560" i="1"/>
  <c r="B3560" i="1"/>
  <c r="C3560" i="1"/>
  <c r="D3560" i="1"/>
  <c r="E3560" i="1"/>
  <c r="F3560" i="1"/>
  <c r="G3560" i="1"/>
  <c r="I3560" i="1"/>
  <c r="J3560" i="1"/>
  <c r="K3560" i="1"/>
  <c r="L3560" i="1"/>
  <c r="M3560" i="1"/>
  <c r="N3560" i="1"/>
  <c r="O3560" i="1"/>
  <c r="P3560" i="1"/>
  <c r="Q3560" i="1"/>
  <c r="R3560" i="1"/>
  <c r="S3560" i="1"/>
  <c r="T3560" i="1"/>
  <c r="U3560" i="1"/>
  <c r="V3560" i="1"/>
  <c r="W3560" i="1"/>
  <c r="X3560" i="1"/>
  <c r="Y3560" i="1"/>
  <c r="Z3560" i="1"/>
  <c r="A3561" i="1"/>
  <c r="B3561" i="1"/>
  <c r="C3561" i="1"/>
  <c r="D3561" i="1"/>
  <c r="E3561" i="1"/>
  <c r="F3561" i="1"/>
  <c r="G3561" i="1"/>
  <c r="I3561" i="1"/>
  <c r="J3561" i="1"/>
  <c r="K3561" i="1"/>
  <c r="L3561" i="1"/>
  <c r="M3561" i="1"/>
  <c r="N3561" i="1"/>
  <c r="O3561" i="1"/>
  <c r="P3561" i="1"/>
  <c r="Q3561" i="1"/>
  <c r="R3561" i="1"/>
  <c r="S3561" i="1"/>
  <c r="T3561" i="1"/>
  <c r="U3561" i="1"/>
  <c r="V3561" i="1"/>
  <c r="W3561" i="1"/>
  <c r="X3561" i="1"/>
  <c r="Y3561" i="1"/>
  <c r="Z3561" i="1"/>
  <c r="A3562" i="1"/>
  <c r="B3562" i="1"/>
  <c r="C3562" i="1"/>
  <c r="D3562" i="1"/>
  <c r="E3562" i="1"/>
  <c r="F3562" i="1"/>
  <c r="G3562" i="1"/>
  <c r="I3562" i="1"/>
  <c r="J3562" i="1"/>
  <c r="K3562" i="1"/>
  <c r="L3562" i="1"/>
  <c r="M3562" i="1"/>
  <c r="N3562" i="1"/>
  <c r="O3562" i="1"/>
  <c r="P3562" i="1"/>
  <c r="Q3562" i="1"/>
  <c r="R3562" i="1"/>
  <c r="S3562" i="1"/>
  <c r="T3562" i="1"/>
  <c r="U3562" i="1"/>
  <c r="V3562" i="1"/>
  <c r="W3562" i="1"/>
  <c r="X3562" i="1"/>
  <c r="Y3562" i="1"/>
  <c r="Z3562" i="1"/>
  <c r="A3563" i="1"/>
  <c r="B3563" i="1"/>
  <c r="C3563" i="1"/>
  <c r="D3563" i="1"/>
  <c r="E3563" i="1"/>
  <c r="F3563" i="1"/>
  <c r="G3563" i="1"/>
  <c r="I3563" i="1"/>
  <c r="J3563" i="1"/>
  <c r="K3563" i="1"/>
  <c r="L3563" i="1"/>
  <c r="M3563" i="1"/>
  <c r="N3563" i="1"/>
  <c r="O3563" i="1"/>
  <c r="P3563" i="1"/>
  <c r="Q3563" i="1"/>
  <c r="R3563" i="1"/>
  <c r="S3563" i="1"/>
  <c r="T3563" i="1"/>
  <c r="U3563" i="1"/>
  <c r="V3563" i="1"/>
  <c r="W3563" i="1"/>
  <c r="X3563" i="1"/>
  <c r="Y3563" i="1"/>
  <c r="Z3563" i="1"/>
  <c r="A3564" i="1"/>
  <c r="B3564" i="1"/>
  <c r="C3564" i="1"/>
  <c r="D3564" i="1"/>
  <c r="E3564" i="1"/>
  <c r="F3564" i="1"/>
  <c r="G3564" i="1"/>
  <c r="I3564" i="1"/>
  <c r="J3564" i="1"/>
  <c r="K3564" i="1"/>
  <c r="L3564" i="1"/>
  <c r="M3564" i="1"/>
  <c r="N3564" i="1"/>
  <c r="O3564" i="1"/>
  <c r="P3564" i="1"/>
  <c r="Q3564" i="1"/>
  <c r="R3564" i="1"/>
  <c r="S3564" i="1"/>
  <c r="T3564" i="1"/>
  <c r="U3564" i="1"/>
  <c r="V3564" i="1"/>
  <c r="W3564" i="1"/>
  <c r="X3564" i="1"/>
  <c r="Y3564" i="1"/>
  <c r="Z3564" i="1"/>
  <c r="A3565" i="1"/>
  <c r="B3565" i="1"/>
  <c r="C3565" i="1"/>
  <c r="D3565" i="1"/>
  <c r="E3565" i="1"/>
  <c r="F3565" i="1"/>
  <c r="G3565" i="1"/>
  <c r="I3565" i="1"/>
  <c r="J3565" i="1"/>
  <c r="K3565" i="1"/>
  <c r="L3565" i="1"/>
  <c r="M3565" i="1"/>
  <c r="N3565" i="1"/>
  <c r="O3565" i="1"/>
  <c r="P3565" i="1"/>
  <c r="Q3565" i="1"/>
  <c r="R3565" i="1"/>
  <c r="S3565" i="1"/>
  <c r="T3565" i="1"/>
  <c r="U3565" i="1"/>
  <c r="V3565" i="1"/>
  <c r="W3565" i="1"/>
  <c r="X3565" i="1"/>
  <c r="Y3565" i="1"/>
  <c r="Z3565" i="1"/>
  <c r="A3566" i="1"/>
  <c r="B3566" i="1"/>
  <c r="C3566" i="1"/>
  <c r="D3566" i="1"/>
  <c r="E3566" i="1"/>
  <c r="F3566" i="1"/>
  <c r="G3566" i="1"/>
  <c r="I3566" i="1"/>
  <c r="J3566" i="1"/>
  <c r="K3566" i="1"/>
  <c r="L3566" i="1"/>
  <c r="M3566" i="1"/>
  <c r="N3566" i="1"/>
  <c r="O3566" i="1"/>
  <c r="P3566" i="1"/>
  <c r="Q3566" i="1"/>
  <c r="R3566" i="1"/>
  <c r="S3566" i="1"/>
  <c r="T3566" i="1"/>
  <c r="U3566" i="1"/>
  <c r="V3566" i="1"/>
  <c r="W3566" i="1"/>
  <c r="X3566" i="1"/>
  <c r="Y3566" i="1"/>
  <c r="Z3566" i="1"/>
  <c r="A3567" i="1"/>
  <c r="B3567" i="1"/>
  <c r="C3567" i="1"/>
  <c r="D3567" i="1"/>
  <c r="E3567" i="1"/>
  <c r="F3567" i="1"/>
  <c r="G3567" i="1"/>
  <c r="I3567" i="1"/>
  <c r="J3567" i="1"/>
  <c r="K3567" i="1"/>
  <c r="L3567" i="1"/>
  <c r="M3567" i="1"/>
  <c r="N3567" i="1"/>
  <c r="O3567" i="1"/>
  <c r="P3567" i="1"/>
  <c r="Q3567" i="1"/>
  <c r="R3567" i="1"/>
  <c r="S3567" i="1"/>
  <c r="T3567" i="1"/>
  <c r="U3567" i="1"/>
  <c r="V3567" i="1"/>
  <c r="W3567" i="1"/>
  <c r="X3567" i="1"/>
  <c r="Y3567" i="1"/>
  <c r="Z3567" i="1"/>
  <c r="A3568" i="1"/>
  <c r="B3568" i="1"/>
  <c r="C3568" i="1"/>
  <c r="D3568" i="1"/>
  <c r="E3568" i="1"/>
  <c r="F3568" i="1"/>
  <c r="G3568" i="1"/>
  <c r="I3568" i="1"/>
  <c r="J3568" i="1"/>
  <c r="K3568" i="1"/>
  <c r="L3568" i="1"/>
  <c r="M3568" i="1"/>
  <c r="N3568" i="1"/>
  <c r="O3568" i="1"/>
  <c r="P3568" i="1"/>
  <c r="Q3568" i="1"/>
  <c r="R3568" i="1"/>
  <c r="S3568" i="1"/>
  <c r="T3568" i="1"/>
  <c r="U3568" i="1"/>
  <c r="V3568" i="1"/>
  <c r="W3568" i="1"/>
  <c r="X3568" i="1"/>
  <c r="Y3568" i="1"/>
  <c r="Z3568" i="1"/>
  <c r="A3569" i="1"/>
  <c r="B3569" i="1"/>
  <c r="C3569" i="1"/>
  <c r="D3569" i="1"/>
  <c r="E3569" i="1"/>
  <c r="F3569" i="1"/>
  <c r="G3569" i="1"/>
  <c r="I3569" i="1"/>
  <c r="J3569" i="1"/>
  <c r="K3569" i="1"/>
  <c r="L3569" i="1"/>
  <c r="M3569" i="1"/>
  <c r="N3569" i="1"/>
  <c r="O3569" i="1"/>
  <c r="P3569" i="1"/>
  <c r="Q3569" i="1"/>
  <c r="R3569" i="1"/>
  <c r="S3569" i="1"/>
  <c r="T3569" i="1"/>
  <c r="U3569" i="1"/>
  <c r="V3569" i="1"/>
  <c r="W3569" i="1"/>
  <c r="X3569" i="1"/>
  <c r="Y3569" i="1"/>
  <c r="Z3569" i="1"/>
  <c r="A3570" i="1"/>
  <c r="B3570" i="1"/>
  <c r="C3570" i="1"/>
  <c r="D3570" i="1"/>
  <c r="E3570" i="1"/>
  <c r="F3570" i="1"/>
  <c r="G3570" i="1"/>
  <c r="I3570" i="1"/>
  <c r="J3570" i="1"/>
  <c r="K3570" i="1"/>
  <c r="L3570" i="1"/>
  <c r="M3570" i="1"/>
  <c r="N3570" i="1"/>
  <c r="O3570" i="1"/>
  <c r="P3570" i="1"/>
  <c r="Q3570" i="1"/>
  <c r="R3570" i="1"/>
  <c r="S3570" i="1"/>
  <c r="T3570" i="1"/>
  <c r="U3570" i="1"/>
  <c r="V3570" i="1"/>
  <c r="W3570" i="1"/>
  <c r="X3570" i="1"/>
  <c r="Y3570" i="1"/>
  <c r="Z3570" i="1"/>
  <c r="A3571" i="1"/>
  <c r="B3571" i="1"/>
  <c r="C3571" i="1"/>
  <c r="D3571" i="1"/>
  <c r="E3571" i="1"/>
  <c r="F3571" i="1"/>
  <c r="G3571" i="1"/>
  <c r="I3571" i="1"/>
  <c r="J3571" i="1"/>
  <c r="K3571" i="1"/>
  <c r="L3571" i="1"/>
  <c r="M3571" i="1"/>
  <c r="N3571" i="1"/>
  <c r="O3571" i="1"/>
  <c r="P3571" i="1"/>
  <c r="Q3571" i="1"/>
  <c r="R3571" i="1"/>
  <c r="S3571" i="1"/>
  <c r="T3571" i="1"/>
  <c r="U3571" i="1"/>
  <c r="V3571" i="1"/>
  <c r="W3571" i="1"/>
  <c r="X3571" i="1"/>
  <c r="Y3571" i="1"/>
  <c r="Z3571" i="1"/>
  <c r="A3572" i="1"/>
  <c r="B3572" i="1"/>
  <c r="C3572" i="1"/>
  <c r="D3572" i="1"/>
  <c r="E3572" i="1"/>
  <c r="F3572" i="1"/>
  <c r="G3572" i="1"/>
  <c r="I3572" i="1"/>
  <c r="J3572" i="1"/>
  <c r="K3572" i="1"/>
  <c r="L3572" i="1"/>
  <c r="M3572" i="1"/>
  <c r="N3572" i="1"/>
  <c r="O3572" i="1"/>
  <c r="P3572" i="1"/>
  <c r="Q3572" i="1"/>
  <c r="R3572" i="1"/>
  <c r="S3572" i="1"/>
  <c r="T3572" i="1"/>
  <c r="U3572" i="1"/>
  <c r="V3572" i="1"/>
  <c r="W3572" i="1"/>
  <c r="X3572" i="1"/>
  <c r="Y3572" i="1"/>
  <c r="Z3572" i="1"/>
  <c r="A3573" i="1"/>
  <c r="B3573" i="1"/>
  <c r="C3573" i="1"/>
  <c r="D3573" i="1"/>
  <c r="E3573" i="1"/>
  <c r="F3573" i="1"/>
  <c r="G3573" i="1"/>
  <c r="I3573" i="1"/>
  <c r="J3573" i="1"/>
  <c r="K3573" i="1"/>
  <c r="L3573" i="1"/>
  <c r="M3573" i="1"/>
  <c r="N3573" i="1"/>
  <c r="O3573" i="1"/>
  <c r="P3573" i="1"/>
  <c r="Q3573" i="1"/>
  <c r="R3573" i="1"/>
  <c r="S3573" i="1"/>
  <c r="T3573" i="1"/>
  <c r="U3573" i="1"/>
  <c r="V3573" i="1"/>
  <c r="W3573" i="1"/>
  <c r="X3573" i="1"/>
  <c r="Y3573" i="1"/>
  <c r="Z3573" i="1"/>
  <c r="A3574" i="1"/>
  <c r="B3574" i="1"/>
  <c r="C3574" i="1"/>
  <c r="D3574" i="1"/>
  <c r="E3574" i="1"/>
  <c r="F3574" i="1"/>
  <c r="G3574" i="1"/>
  <c r="I3574" i="1"/>
  <c r="J3574" i="1"/>
  <c r="K3574" i="1"/>
  <c r="L3574" i="1"/>
  <c r="M3574" i="1"/>
  <c r="N3574" i="1"/>
  <c r="O3574" i="1"/>
  <c r="P3574" i="1"/>
  <c r="Q3574" i="1"/>
  <c r="R3574" i="1"/>
  <c r="S3574" i="1"/>
  <c r="T3574" i="1"/>
  <c r="U3574" i="1"/>
  <c r="V3574" i="1"/>
  <c r="W3574" i="1"/>
  <c r="X3574" i="1"/>
  <c r="Y3574" i="1"/>
  <c r="Z3574" i="1"/>
  <c r="A3575" i="1"/>
  <c r="B3575" i="1"/>
  <c r="C3575" i="1"/>
  <c r="D3575" i="1"/>
  <c r="E3575" i="1"/>
  <c r="F3575" i="1"/>
  <c r="G3575" i="1"/>
  <c r="I3575" i="1"/>
  <c r="J3575" i="1"/>
  <c r="K3575" i="1"/>
  <c r="L3575" i="1"/>
  <c r="M3575" i="1"/>
  <c r="N3575" i="1"/>
  <c r="O3575" i="1"/>
  <c r="P3575" i="1"/>
  <c r="Q3575" i="1"/>
  <c r="R3575" i="1"/>
  <c r="S3575" i="1"/>
  <c r="T3575" i="1"/>
  <c r="U3575" i="1"/>
  <c r="V3575" i="1"/>
  <c r="W3575" i="1"/>
  <c r="X3575" i="1"/>
  <c r="Y3575" i="1"/>
  <c r="Z3575" i="1"/>
  <c r="A3576" i="1"/>
  <c r="B3576" i="1"/>
  <c r="C3576" i="1"/>
  <c r="D3576" i="1"/>
  <c r="E3576" i="1"/>
  <c r="F3576" i="1"/>
  <c r="G3576" i="1"/>
  <c r="I3576" i="1"/>
  <c r="J3576" i="1"/>
  <c r="K3576" i="1"/>
  <c r="L3576" i="1"/>
  <c r="M3576" i="1"/>
  <c r="N3576" i="1"/>
  <c r="O3576" i="1"/>
  <c r="P3576" i="1"/>
  <c r="Q3576" i="1"/>
  <c r="R3576" i="1"/>
  <c r="S3576" i="1"/>
  <c r="T3576" i="1"/>
  <c r="U3576" i="1"/>
  <c r="V3576" i="1"/>
  <c r="W3576" i="1"/>
  <c r="X3576" i="1"/>
  <c r="Y3576" i="1"/>
  <c r="Z3576" i="1"/>
  <c r="A3577" i="1"/>
  <c r="B3577" i="1"/>
  <c r="C3577" i="1"/>
  <c r="D3577" i="1"/>
  <c r="E3577" i="1"/>
  <c r="F3577" i="1"/>
  <c r="G3577" i="1"/>
  <c r="I3577" i="1"/>
  <c r="J3577" i="1"/>
  <c r="K3577" i="1"/>
  <c r="L3577" i="1"/>
  <c r="M3577" i="1"/>
  <c r="N3577" i="1"/>
  <c r="O3577" i="1"/>
  <c r="P3577" i="1"/>
  <c r="Q3577" i="1"/>
  <c r="R3577" i="1"/>
  <c r="S3577" i="1"/>
  <c r="T3577" i="1"/>
  <c r="U3577" i="1"/>
  <c r="V3577" i="1"/>
  <c r="W3577" i="1"/>
  <c r="X3577" i="1"/>
  <c r="Y3577" i="1"/>
  <c r="Z3577" i="1"/>
  <c r="A3578" i="1"/>
  <c r="B3578" i="1"/>
  <c r="C3578" i="1"/>
  <c r="D3578" i="1"/>
  <c r="E3578" i="1"/>
  <c r="F3578" i="1"/>
  <c r="G3578" i="1"/>
  <c r="I3578" i="1"/>
  <c r="J3578" i="1"/>
  <c r="K3578" i="1"/>
  <c r="L3578" i="1"/>
  <c r="M3578" i="1"/>
  <c r="N3578" i="1"/>
  <c r="O3578" i="1"/>
  <c r="P3578" i="1"/>
  <c r="Q3578" i="1"/>
  <c r="R3578" i="1"/>
  <c r="S3578" i="1"/>
  <c r="T3578" i="1"/>
  <c r="U3578" i="1"/>
  <c r="V3578" i="1"/>
  <c r="W3578" i="1"/>
  <c r="X3578" i="1"/>
  <c r="Y3578" i="1"/>
  <c r="Z3578" i="1"/>
  <c r="A3579" i="1"/>
  <c r="B3579" i="1"/>
  <c r="C3579" i="1"/>
  <c r="D3579" i="1"/>
  <c r="E3579" i="1"/>
  <c r="F3579" i="1"/>
  <c r="G3579" i="1"/>
  <c r="I3579" i="1"/>
  <c r="J3579" i="1"/>
  <c r="K3579" i="1"/>
  <c r="L3579" i="1"/>
  <c r="M3579" i="1"/>
  <c r="N3579" i="1"/>
  <c r="O3579" i="1"/>
  <c r="P3579" i="1"/>
  <c r="Q3579" i="1"/>
  <c r="R3579" i="1"/>
  <c r="S3579" i="1"/>
  <c r="T3579" i="1"/>
  <c r="U3579" i="1"/>
  <c r="V3579" i="1"/>
  <c r="W3579" i="1"/>
  <c r="X3579" i="1"/>
  <c r="Y3579" i="1"/>
  <c r="Z3579" i="1"/>
  <c r="A3580" i="1"/>
  <c r="B3580" i="1"/>
  <c r="C3580" i="1"/>
  <c r="D3580" i="1"/>
  <c r="E3580" i="1"/>
  <c r="F3580" i="1"/>
  <c r="G3580" i="1"/>
  <c r="I3580" i="1"/>
  <c r="J3580" i="1"/>
  <c r="K3580" i="1"/>
  <c r="L3580" i="1"/>
  <c r="M3580" i="1"/>
  <c r="N3580" i="1"/>
  <c r="O3580" i="1"/>
  <c r="P3580" i="1"/>
  <c r="Q3580" i="1"/>
  <c r="R3580" i="1"/>
  <c r="S3580" i="1"/>
  <c r="T3580" i="1"/>
  <c r="U3580" i="1"/>
  <c r="V3580" i="1"/>
  <c r="W3580" i="1"/>
  <c r="X3580" i="1"/>
  <c r="Y3580" i="1"/>
  <c r="Z3580" i="1"/>
  <c r="A3581" i="1"/>
  <c r="B3581" i="1"/>
  <c r="C3581" i="1"/>
  <c r="D3581" i="1"/>
  <c r="E3581" i="1"/>
  <c r="F3581" i="1"/>
  <c r="G3581" i="1"/>
  <c r="I3581" i="1"/>
  <c r="J3581" i="1"/>
  <c r="K3581" i="1"/>
  <c r="L3581" i="1"/>
  <c r="M3581" i="1"/>
  <c r="N3581" i="1"/>
  <c r="O3581" i="1"/>
  <c r="P3581" i="1"/>
  <c r="Q3581" i="1"/>
  <c r="R3581" i="1"/>
  <c r="S3581" i="1"/>
  <c r="T3581" i="1"/>
  <c r="U3581" i="1"/>
  <c r="V3581" i="1"/>
  <c r="W3581" i="1"/>
  <c r="X3581" i="1"/>
  <c r="Y3581" i="1"/>
  <c r="Z3581" i="1"/>
  <c r="A3582" i="1"/>
  <c r="B3582" i="1"/>
  <c r="C3582" i="1"/>
  <c r="D3582" i="1"/>
  <c r="E3582" i="1"/>
  <c r="F3582" i="1"/>
  <c r="G3582" i="1"/>
  <c r="I3582" i="1"/>
  <c r="J3582" i="1"/>
  <c r="K3582" i="1"/>
  <c r="L3582" i="1"/>
  <c r="M3582" i="1"/>
  <c r="N3582" i="1"/>
  <c r="O3582" i="1"/>
  <c r="P3582" i="1"/>
  <c r="Q3582" i="1"/>
  <c r="R3582" i="1"/>
  <c r="S3582" i="1"/>
  <c r="T3582" i="1"/>
  <c r="U3582" i="1"/>
  <c r="V3582" i="1"/>
  <c r="W3582" i="1"/>
  <c r="X3582" i="1"/>
  <c r="Y3582" i="1"/>
  <c r="Z3582" i="1"/>
  <c r="A3583" i="1"/>
  <c r="B3583" i="1"/>
  <c r="C3583" i="1"/>
  <c r="D3583" i="1"/>
  <c r="E3583" i="1"/>
  <c r="F3583" i="1"/>
  <c r="G3583" i="1"/>
  <c r="I3583" i="1"/>
  <c r="J3583" i="1"/>
  <c r="K3583" i="1"/>
  <c r="L3583" i="1"/>
  <c r="M3583" i="1"/>
  <c r="N3583" i="1"/>
  <c r="O3583" i="1"/>
  <c r="P3583" i="1"/>
  <c r="Q3583" i="1"/>
  <c r="R3583" i="1"/>
  <c r="S3583" i="1"/>
  <c r="T3583" i="1"/>
  <c r="U3583" i="1"/>
  <c r="V3583" i="1"/>
  <c r="W3583" i="1"/>
  <c r="X3583" i="1"/>
  <c r="Y3583" i="1"/>
  <c r="Z3583" i="1"/>
  <c r="A3584" i="1"/>
  <c r="B3584" i="1"/>
  <c r="C3584" i="1"/>
  <c r="D3584" i="1"/>
  <c r="E3584" i="1"/>
  <c r="F3584" i="1"/>
  <c r="G3584" i="1"/>
  <c r="I3584" i="1"/>
  <c r="J3584" i="1"/>
  <c r="K3584" i="1"/>
  <c r="L3584" i="1"/>
  <c r="M3584" i="1"/>
  <c r="N3584" i="1"/>
  <c r="O3584" i="1"/>
  <c r="P3584" i="1"/>
  <c r="Q3584" i="1"/>
  <c r="R3584" i="1"/>
  <c r="S3584" i="1"/>
  <c r="T3584" i="1"/>
  <c r="U3584" i="1"/>
  <c r="V3584" i="1"/>
  <c r="W3584" i="1"/>
  <c r="X3584" i="1"/>
  <c r="Y3584" i="1"/>
  <c r="Z3584" i="1"/>
  <c r="A3585" i="1"/>
  <c r="B3585" i="1"/>
  <c r="C3585" i="1"/>
  <c r="D3585" i="1"/>
  <c r="E3585" i="1"/>
  <c r="F3585" i="1"/>
  <c r="G3585" i="1"/>
  <c r="I3585" i="1"/>
  <c r="J3585" i="1"/>
  <c r="K3585" i="1"/>
  <c r="L3585" i="1"/>
  <c r="M3585" i="1"/>
  <c r="N3585" i="1"/>
  <c r="O3585" i="1"/>
  <c r="P3585" i="1"/>
  <c r="Q3585" i="1"/>
  <c r="R3585" i="1"/>
  <c r="S3585" i="1"/>
  <c r="T3585" i="1"/>
  <c r="U3585" i="1"/>
  <c r="V3585" i="1"/>
  <c r="W3585" i="1"/>
  <c r="X3585" i="1"/>
  <c r="Y3585" i="1"/>
  <c r="Z3585" i="1"/>
  <c r="A3586" i="1"/>
  <c r="B3586" i="1"/>
  <c r="C3586" i="1"/>
  <c r="D3586" i="1"/>
  <c r="E3586" i="1"/>
  <c r="F3586" i="1"/>
  <c r="G3586" i="1"/>
  <c r="I3586" i="1"/>
  <c r="J3586" i="1"/>
  <c r="K3586" i="1"/>
  <c r="L3586" i="1"/>
  <c r="M3586" i="1"/>
  <c r="N3586" i="1"/>
  <c r="O3586" i="1"/>
  <c r="P3586" i="1"/>
  <c r="Q3586" i="1"/>
  <c r="R3586" i="1"/>
  <c r="S3586" i="1"/>
  <c r="T3586" i="1"/>
  <c r="U3586" i="1"/>
  <c r="V3586" i="1"/>
  <c r="W3586" i="1"/>
  <c r="X3586" i="1"/>
  <c r="Y3586" i="1"/>
  <c r="Z3586" i="1"/>
  <c r="A3587" i="1"/>
  <c r="B3587" i="1"/>
  <c r="C3587" i="1"/>
  <c r="D3587" i="1"/>
  <c r="E3587" i="1"/>
  <c r="F3587" i="1"/>
  <c r="G3587" i="1"/>
  <c r="I3587" i="1"/>
  <c r="J3587" i="1"/>
  <c r="K3587" i="1"/>
  <c r="L3587" i="1"/>
  <c r="M3587" i="1"/>
  <c r="N3587" i="1"/>
  <c r="O3587" i="1"/>
  <c r="P3587" i="1"/>
  <c r="Q3587" i="1"/>
  <c r="R3587" i="1"/>
  <c r="S3587" i="1"/>
  <c r="T3587" i="1"/>
  <c r="U3587" i="1"/>
  <c r="V3587" i="1"/>
  <c r="W3587" i="1"/>
  <c r="X3587" i="1"/>
  <c r="Y3587" i="1"/>
  <c r="Z3587" i="1"/>
  <c r="A3588" i="1"/>
  <c r="B3588" i="1"/>
  <c r="C3588" i="1"/>
  <c r="D3588" i="1"/>
  <c r="E3588" i="1"/>
  <c r="F3588" i="1"/>
  <c r="G3588" i="1"/>
  <c r="I3588" i="1"/>
  <c r="J3588" i="1"/>
  <c r="K3588" i="1"/>
  <c r="L3588" i="1"/>
  <c r="M3588" i="1"/>
  <c r="N3588" i="1"/>
  <c r="O3588" i="1"/>
  <c r="P3588" i="1"/>
  <c r="Q3588" i="1"/>
  <c r="R3588" i="1"/>
  <c r="S3588" i="1"/>
  <c r="T3588" i="1"/>
  <c r="U3588" i="1"/>
  <c r="V3588" i="1"/>
  <c r="W3588" i="1"/>
  <c r="X3588" i="1"/>
  <c r="Y3588" i="1"/>
  <c r="Z3588" i="1"/>
  <c r="A3589" i="1"/>
  <c r="B3589" i="1"/>
  <c r="C3589" i="1"/>
  <c r="D3589" i="1"/>
  <c r="E3589" i="1"/>
  <c r="F3589" i="1"/>
  <c r="G3589" i="1"/>
  <c r="I3589" i="1"/>
  <c r="J3589" i="1"/>
  <c r="K3589" i="1"/>
  <c r="L3589" i="1"/>
  <c r="M3589" i="1"/>
  <c r="N3589" i="1"/>
  <c r="O3589" i="1"/>
  <c r="P3589" i="1"/>
  <c r="Q3589" i="1"/>
  <c r="R3589" i="1"/>
  <c r="S3589" i="1"/>
  <c r="T3589" i="1"/>
  <c r="U3589" i="1"/>
  <c r="V3589" i="1"/>
  <c r="W3589" i="1"/>
  <c r="X3589" i="1"/>
  <c r="Y3589" i="1"/>
  <c r="Z3589" i="1"/>
  <c r="A3590" i="1"/>
  <c r="B3590" i="1"/>
  <c r="C3590" i="1"/>
  <c r="D3590" i="1"/>
  <c r="E3590" i="1"/>
  <c r="F3590" i="1"/>
  <c r="G3590" i="1"/>
  <c r="I3590" i="1"/>
  <c r="J3590" i="1"/>
  <c r="K3590" i="1"/>
  <c r="L3590" i="1"/>
  <c r="M3590" i="1"/>
  <c r="N3590" i="1"/>
  <c r="O3590" i="1"/>
  <c r="P3590" i="1"/>
  <c r="Q3590" i="1"/>
  <c r="R3590" i="1"/>
  <c r="S3590" i="1"/>
  <c r="T3590" i="1"/>
  <c r="U3590" i="1"/>
  <c r="V3590" i="1"/>
  <c r="W3590" i="1"/>
  <c r="X3590" i="1"/>
  <c r="Y3590" i="1"/>
  <c r="Z3590" i="1"/>
  <c r="A3591" i="1"/>
  <c r="B3591" i="1"/>
  <c r="C3591" i="1"/>
  <c r="D3591" i="1"/>
  <c r="E3591" i="1"/>
  <c r="F3591" i="1"/>
  <c r="G3591" i="1"/>
  <c r="I3591" i="1"/>
  <c r="J3591" i="1"/>
  <c r="K3591" i="1"/>
  <c r="L3591" i="1"/>
  <c r="M3591" i="1"/>
  <c r="N3591" i="1"/>
  <c r="O3591" i="1"/>
  <c r="P3591" i="1"/>
  <c r="Q3591" i="1"/>
  <c r="R3591" i="1"/>
  <c r="S3591" i="1"/>
  <c r="T3591" i="1"/>
  <c r="U3591" i="1"/>
  <c r="V3591" i="1"/>
  <c r="W3591" i="1"/>
  <c r="X3591" i="1"/>
  <c r="Y3591" i="1"/>
  <c r="Z3591" i="1"/>
  <c r="A3592" i="1"/>
  <c r="B3592" i="1"/>
  <c r="C3592" i="1"/>
  <c r="D3592" i="1"/>
  <c r="E3592" i="1"/>
  <c r="F3592" i="1"/>
  <c r="G3592" i="1"/>
  <c r="I3592" i="1"/>
  <c r="J3592" i="1"/>
  <c r="K3592" i="1"/>
  <c r="L3592" i="1"/>
  <c r="M3592" i="1"/>
  <c r="N3592" i="1"/>
  <c r="O3592" i="1"/>
  <c r="P3592" i="1"/>
  <c r="Q3592" i="1"/>
  <c r="R3592" i="1"/>
  <c r="S3592" i="1"/>
  <c r="T3592" i="1"/>
  <c r="U3592" i="1"/>
  <c r="V3592" i="1"/>
  <c r="W3592" i="1"/>
  <c r="X3592" i="1"/>
  <c r="Y3592" i="1"/>
  <c r="Z3592" i="1"/>
  <c r="A3593" i="1"/>
  <c r="B3593" i="1"/>
  <c r="C3593" i="1"/>
  <c r="D3593" i="1"/>
  <c r="E3593" i="1"/>
  <c r="F3593" i="1"/>
  <c r="G3593" i="1"/>
  <c r="I3593" i="1"/>
  <c r="J3593" i="1"/>
  <c r="K3593" i="1"/>
  <c r="L3593" i="1"/>
  <c r="M3593" i="1"/>
  <c r="N3593" i="1"/>
  <c r="O3593" i="1"/>
  <c r="P3593" i="1"/>
  <c r="Q3593" i="1"/>
  <c r="R3593" i="1"/>
  <c r="S3593" i="1"/>
  <c r="T3593" i="1"/>
  <c r="U3593" i="1"/>
  <c r="V3593" i="1"/>
  <c r="W3593" i="1"/>
  <c r="X3593" i="1"/>
  <c r="Y3593" i="1"/>
  <c r="Z3593" i="1"/>
  <c r="A3594" i="1"/>
  <c r="B3594" i="1"/>
  <c r="C3594" i="1"/>
  <c r="D3594" i="1"/>
  <c r="E3594" i="1"/>
  <c r="F3594" i="1"/>
  <c r="G3594" i="1"/>
  <c r="I3594" i="1"/>
  <c r="J3594" i="1"/>
  <c r="K3594" i="1"/>
  <c r="L3594" i="1"/>
  <c r="M3594" i="1"/>
  <c r="N3594" i="1"/>
  <c r="O3594" i="1"/>
  <c r="P3594" i="1"/>
  <c r="Q3594" i="1"/>
  <c r="R3594" i="1"/>
  <c r="S3594" i="1"/>
  <c r="T3594" i="1"/>
  <c r="U3594" i="1"/>
  <c r="V3594" i="1"/>
  <c r="W3594" i="1"/>
  <c r="X3594" i="1"/>
  <c r="Y3594" i="1"/>
  <c r="Z3594" i="1"/>
  <c r="A3595" i="1"/>
  <c r="B3595" i="1"/>
  <c r="C3595" i="1"/>
  <c r="D3595" i="1"/>
  <c r="E3595" i="1"/>
  <c r="F3595" i="1"/>
  <c r="G3595" i="1"/>
  <c r="I3595" i="1"/>
  <c r="J3595" i="1"/>
  <c r="K3595" i="1"/>
  <c r="L3595" i="1"/>
  <c r="M3595" i="1"/>
  <c r="N3595" i="1"/>
  <c r="O3595" i="1"/>
  <c r="P3595" i="1"/>
  <c r="Q3595" i="1"/>
  <c r="R3595" i="1"/>
  <c r="S3595" i="1"/>
  <c r="T3595" i="1"/>
  <c r="U3595" i="1"/>
  <c r="V3595" i="1"/>
  <c r="W3595" i="1"/>
  <c r="X3595" i="1"/>
  <c r="Y3595" i="1"/>
  <c r="Z3595" i="1"/>
  <c r="A3596" i="1"/>
  <c r="B3596" i="1"/>
  <c r="C3596" i="1"/>
  <c r="D3596" i="1"/>
  <c r="E3596" i="1"/>
  <c r="F3596" i="1"/>
  <c r="G3596" i="1"/>
  <c r="I3596" i="1"/>
  <c r="J3596" i="1"/>
  <c r="K3596" i="1"/>
  <c r="L3596" i="1"/>
  <c r="M3596" i="1"/>
  <c r="N3596" i="1"/>
  <c r="O3596" i="1"/>
  <c r="P3596" i="1"/>
  <c r="Q3596" i="1"/>
  <c r="R3596" i="1"/>
  <c r="S3596" i="1"/>
  <c r="T3596" i="1"/>
  <c r="U3596" i="1"/>
  <c r="V3596" i="1"/>
  <c r="W3596" i="1"/>
  <c r="X3596" i="1"/>
  <c r="Y3596" i="1"/>
  <c r="Z3596" i="1"/>
  <c r="A3597" i="1"/>
  <c r="B3597" i="1"/>
  <c r="C3597" i="1"/>
  <c r="D3597" i="1"/>
  <c r="E3597" i="1"/>
  <c r="F3597" i="1"/>
  <c r="G3597" i="1"/>
  <c r="I3597" i="1"/>
  <c r="J3597" i="1"/>
  <c r="K3597" i="1"/>
  <c r="L3597" i="1"/>
  <c r="M3597" i="1"/>
  <c r="N3597" i="1"/>
  <c r="O3597" i="1"/>
  <c r="P3597" i="1"/>
  <c r="Q3597" i="1"/>
  <c r="R3597" i="1"/>
  <c r="S3597" i="1"/>
  <c r="T3597" i="1"/>
  <c r="U3597" i="1"/>
  <c r="V3597" i="1"/>
  <c r="W3597" i="1"/>
  <c r="X3597" i="1"/>
  <c r="Y3597" i="1"/>
  <c r="Z3597" i="1"/>
  <c r="A3598" i="1"/>
  <c r="B3598" i="1"/>
  <c r="C3598" i="1"/>
  <c r="D3598" i="1"/>
  <c r="E3598" i="1"/>
  <c r="F3598" i="1"/>
  <c r="G3598" i="1"/>
  <c r="I3598" i="1"/>
  <c r="J3598" i="1"/>
  <c r="K3598" i="1"/>
  <c r="L3598" i="1"/>
  <c r="M3598" i="1"/>
  <c r="N3598" i="1"/>
  <c r="O3598" i="1"/>
  <c r="P3598" i="1"/>
  <c r="Q3598" i="1"/>
  <c r="R3598" i="1"/>
  <c r="S3598" i="1"/>
  <c r="T3598" i="1"/>
  <c r="U3598" i="1"/>
  <c r="V3598" i="1"/>
  <c r="W3598" i="1"/>
  <c r="X3598" i="1"/>
  <c r="Y3598" i="1"/>
  <c r="Z3598" i="1"/>
  <c r="A3599" i="1"/>
  <c r="B3599" i="1"/>
  <c r="C3599" i="1"/>
  <c r="D3599" i="1"/>
  <c r="E3599" i="1"/>
  <c r="F3599" i="1"/>
  <c r="G3599" i="1"/>
  <c r="I3599" i="1"/>
  <c r="J3599" i="1"/>
  <c r="K3599" i="1"/>
  <c r="L3599" i="1"/>
  <c r="M3599" i="1"/>
  <c r="N3599" i="1"/>
  <c r="O3599" i="1"/>
  <c r="P3599" i="1"/>
  <c r="Q3599" i="1"/>
  <c r="R3599" i="1"/>
  <c r="S3599" i="1"/>
  <c r="T3599" i="1"/>
  <c r="U3599" i="1"/>
  <c r="V3599" i="1"/>
  <c r="W3599" i="1"/>
  <c r="X3599" i="1"/>
  <c r="Y3599" i="1"/>
  <c r="Z3599" i="1"/>
  <c r="A3600" i="1"/>
  <c r="B3600" i="1"/>
  <c r="C3600" i="1"/>
  <c r="D3600" i="1"/>
  <c r="E3600" i="1"/>
  <c r="F3600" i="1"/>
  <c r="G3600" i="1"/>
  <c r="I3600" i="1"/>
  <c r="J3600" i="1"/>
  <c r="K3600" i="1"/>
  <c r="L3600" i="1"/>
  <c r="M3600" i="1"/>
  <c r="N3600" i="1"/>
  <c r="O3600" i="1"/>
  <c r="P3600" i="1"/>
  <c r="Q3600" i="1"/>
  <c r="R3600" i="1"/>
  <c r="S3600" i="1"/>
  <c r="T3600" i="1"/>
  <c r="U3600" i="1"/>
  <c r="V3600" i="1"/>
  <c r="W3600" i="1"/>
  <c r="X3600" i="1"/>
  <c r="Y3600" i="1"/>
  <c r="Z3600" i="1"/>
  <c r="A3601" i="1"/>
  <c r="B3601" i="1"/>
  <c r="C3601" i="1"/>
  <c r="D3601" i="1"/>
  <c r="E3601" i="1"/>
  <c r="F3601" i="1"/>
  <c r="G3601" i="1"/>
  <c r="I3601" i="1"/>
  <c r="J3601" i="1"/>
  <c r="K3601" i="1"/>
  <c r="L3601" i="1"/>
  <c r="M3601" i="1"/>
  <c r="N3601" i="1"/>
  <c r="O3601" i="1"/>
  <c r="P3601" i="1"/>
  <c r="Q3601" i="1"/>
  <c r="R3601" i="1"/>
  <c r="S3601" i="1"/>
  <c r="T3601" i="1"/>
  <c r="U3601" i="1"/>
  <c r="V3601" i="1"/>
  <c r="W3601" i="1"/>
  <c r="X3601" i="1"/>
  <c r="Y3601" i="1"/>
  <c r="Z3601" i="1"/>
  <c r="A3602" i="1"/>
  <c r="B3602" i="1"/>
  <c r="C3602" i="1"/>
  <c r="D3602" i="1"/>
  <c r="E3602" i="1"/>
  <c r="F3602" i="1"/>
  <c r="G3602" i="1"/>
  <c r="I3602" i="1"/>
  <c r="J3602" i="1"/>
  <c r="K3602" i="1"/>
  <c r="L3602" i="1"/>
  <c r="M3602" i="1"/>
  <c r="N3602" i="1"/>
  <c r="O3602" i="1"/>
  <c r="P3602" i="1"/>
  <c r="Q3602" i="1"/>
  <c r="R3602" i="1"/>
  <c r="S3602" i="1"/>
  <c r="T3602" i="1"/>
  <c r="U3602" i="1"/>
  <c r="V3602" i="1"/>
  <c r="W3602" i="1"/>
  <c r="X3602" i="1"/>
  <c r="Y3602" i="1"/>
  <c r="Z3602" i="1"/>
  <c r="A3603" i="1"/>
  <c r="B3603" i="1"/>
  <c r="C3603" i="1"/>
  <c r="D3603" i="1"/>
  <c r="E3603" i="1"/>
  <c r="F3603" i="1"/>
  <c r="G3603" i="1"/>
  <c r="I3603" i="1"/>
  <c r="J3603" i="1"/>
  <c r="K3603" i="1"/>
  <c r="L3603" i="1"/>
  <c r="M3603" i="1"/>
  <c r="N3603" i="1"/>
  <c r="O3603" i="1"/>
  <c r="P3603" i="1"/>
  <c r="Q3603" i="1"/>
  <c r="R3603" i="1"/>
  <c r="S3603" i="1"/>
  <c r="T3603" i="1"/>
  <c r="U3603" i="1"/>
  <c r="V3603" i="1"/>
  <c r="W3603" i="1"/>
  <c r="X3603" i="1"/>
  <c r="Y3603" i="1"/>
  <c r="Z3603" i="1"/>
  <c r="A3604" i="1"/>
  <c r="B3604" i="1"/>
  <c r="C3604" i="1"/>
  <c r="D3604" i="1"/>
  <c r="E3604" i="1"/>
  <c r="F3604" i="1"/>
  <c r="G3604" i="1"/>
  <c r="I3604" i="1"/>
  <c r="J3604" i="1"/>
  <c r="K3604" i="1"/>
  <c r="L3604" i="1"/>
  <c r="M3604" i="1"/>
  <c r="N3604" i="1"/>
  <c r="O3604" i="1"/>
  <c r="P3604" i="1"/>
  <c r="Q3604" i="1"/>
  <c r="R3604" i="1"/>
  <c r="S3604" i="1"/>
  <c r="T3604" i="1"/>
  <c r="U3604" i="1"/>
  <c r="V3604" i="1"/>
  <c r="W3604" i="1"/>
  <c r="X3604" i="1"/>
  <c r="Y3604" i="1"/>
  <c r="Z3604" i="1"/>
  <c r="A3605" i="1"/>
  <c r="B3605" i="1"/>
  <c r="C3605" i="1"/>
  <c r="D3605" i="1"/>
  <c r="E3605" i="1"/>
  <c r="F3605" i="1"/>
  <c r="G3605" i="1"/>
  <c r="I3605" i="1"/>
  <c r="J3605" i="1"/>
  <c r="K3605" i="1"/>
  <c r="L3605" i="1"/>
  <c r="M3605" i="1"/>
  <c r="N3605" i="1"/>
  <c r="O3605" i="1"/>
  <c r="P3605" i="1"/>
  <c r="Q3605" i="1"/>
  <c r="R3605" i="1"/>
  <c r="S3605" i="1"/>
  <c r="T3605" i="1"/>
  <c r="U3605" i="1"/>
  <c r="V3605" i="1"/>
  <c r="W3605" i="1"/>
  <c r="X3605" i="1"/>
  <c r="Y3605" i="1"/>
  <c r="Z3605" i="1"/>
  <c r="A3606" i="1"/>
  <c r="B3606" i="1"/>
  <c r="C3606" i="1"/>
  <c r="D3606" i="1"/>
  <c r="E3606" i="1"/>
  <c r="F3606" i="1"/>
  <c r="G3606" i="1"/>
  <c r="I3606" i="1"/>
  <c r="J3606" i="1"/>
  <c r="K3606" i="1"/>
  <c r="L3606" i="1"/>
  <c r="M3606" i="1"/>
  <c r="N3606" i="1"/>
  <c r="O3606" i="1"/>
  <c r="P3606" i="1"/>
  <c r="Q3606" i="1"/>
  <c r="R3606" i="1"/>
  <c r="S3606" i="1"/>
  <c r="T3606" i="1"/>
  <c r="U3606" i="1"/>
  <c r="V3606" i="1"/>
  <c r="W3606" i="1"/>
  <c r="X3606" i="1"/>
  <c r="Y3606" i="1"/>
  <c r="Z3606" i="1"/>
  <c r="A3607" i="1"/>
  <c r="B3607" i="1"/>
  <c r="C3607" i="1"/>
  <c r="D3607" i="1"/>
  <c r="E3607" i="1"/>
  <c r="F3607" i="1"/>
  <c r="G3607" i="1"/>
  <c r="I3607" i="1"/>
  <c r="J3607" i="1"/>
  <c r="K3607" i="1"/>
  <c r="L3607" i="1"/>
  <c r="M3607" i="1"/>
  <c r="N3607" i="1"/>
  <c r="O3607" i="1"/>
  <c r="P3607" i="1"/>
  <c r="Q3607" i="1"/>
  <c r="R3607" i="1"/>
  <c r="S3607" i="1"/>
  <c r="T3607" i="1"/>
  <c r="U3607" i="1"/>
  <c r="V3607" i="1"/>
  <c r="W3607" i="1"/>
  <c r="X3607" i="1"/>
  <c r="Y3607" i="1"/>
  <c r="Z3607" i="1"/>
  <c r="A3608" i="1"/>
  <c r="B3608" i="1"/>
  <c r="C3608" i="1"/>
  <c r="D3608" i="1"/>
  <c r="E3608" i="1"/>
  <c r="F3608" i="1"/>
  <c r="G3608" i="1"/>
  <c r="I3608" i="1"/>
  <c r="J3608" i="1"/>
  <c r="K3608" i="1"/>
  <c r="L3608" i="1"/>
  <c r="M3608" i="1"/>
  <c r="N3608" i="1"/>
  <c r="O3608" i="1"/>
  <c r="P3608" i="1"/>
  <c r="Q3608" i="1"/>
  <c r="R3608" i="1"/>
  <c r="S3608" i="1"/>
  <c r="T3608" i="1"/>
  <c r="U3608" i="1"/>
  <c r="V3608" i="1"/>
  <c r="W3608" i="1"/>
  <c r="X3608" i="1"/>
  <c r="Y3608" i="1"/>
  <c r="Z3608" i="1"/>
  <c r="A3609" i="1"/>
  <c r="B3609" i="1"/>
  <c r="C3609" i="1"/>
  <c r="D3609" i="1"/>
  <c r="E3609" i="1"/>
  <c r="F3609" i="1"/>
  <c r="G3609" i="1"/>
  <c r="I3609" i="1"/>
  <c r="J3609" i="1"/>
  <c r="K3609" i="1"/>
  <c r="L3609" i="1"/>
  <c r="M3609" i="1"/>
  <c r="N3609" i="1"/>
  <c r="O3609" i="1"/>
  <c r="P3609" i="1"/>
  <c r="Q3609" i="1"/>
  <c r="R3609" i="1"/>
  <c r="S3609" i="1"/>
  <c r="T3609" i="1"/>
  <c r="U3609" i="1"/>
  <c r="V3609" i="1"/>
  <c r="W3609" i="1"/>
  <c r="X3609" i="1"/>
  <c r="Y3609" i="1"/>
  <c r="Z3609" i="1"/>
  <c r="A3610" i="1"/>
  <c r="B3610" i="1"/>
  <c r="C3610" i="1"/>
  <c r="D3610" i="1"/>
  <c r="E3610" i="1"/>
  <c r="F3610" i="1"/>
  <c r="G3610" i="1"/>
  <c r="I3610" i="1"/>
  <c r="J3610" i="1"/>
  <c r="K3610" i="1"/>
  <c r="L3610" i="1"/>
  <c r="M3610" i="1"/>
  <c r="N3610" i="1"/>
  <c r="O3610" i="1"/>
  <c r="P3610" i="1"/>
  <c r="Q3610" i="1"/>
  <c r="R3610" i="1"/>
  <c r="S3610" i="1"/>
  <c r="T3610" i="1"/>
  <c r="U3610" i="1"/>
  <c r="V3610" i="1"/>
  <c r="W3610" i="1"/>
  <c r="X3610" i="1"/>
  <c r="Y3610" i="1"/>
  <c r="Z3610" i="1"/>
  <c r="A3611" i="1"/>
  <c r="B3611" i="1"/>
  <c r="C3611" i="1"/>
  <c r="D3611" i="1"/>
  <c r="E3611" i="1"/>
  <c r="F3611" i="1"/>
  <c r="G3611" i="1"/>
  <c r="I3611" i="1"/>
  <c r="J3611" i="1"/>
  <c r="K3611" i="1"/>
  <c r="L3611" i="1"/>
  <c r="M3611" i="1"/>
  <c r="N3611" i="1"/>
  <c r="O3611" i="1"/>
  <c r="P3611" i="1"/>
  <c r="Q3611" i="1"/>
  <c r="R3611" i="1"/>
  <c r="S3611" i="1"/>
  <c r="T3611" i="1"/>
  <c r="U3611" i="1"/>
  <c r="V3611" i="1"/>
  <c r="W3611" i="1"/>
  <c r="X3611" i="1"/>
  <c r="Y3611" i="1"/>
  <c r="Z3611" i="1"/>
  <c r="A3612" i="1"/>
  <c r="B3612" i="1"/>
  <c r="C3612" i="1"/>
  <c r="D3612" i="1"/>
  <c r="E3612" i="1"/>
  <c r="F3612" i="1"/>
  <c r="G3612" i="1"/>
  <c r="I3612" i="1"/>
  <c r="J3612" i="1"/>
  <c r="K3612" i="1"/>
  <c r="L3612" i="1"/>
  <c r="M3612" i="1"/>
  <c r="N3612" i="1"/>
  <c r="O3612" i="1"/>
  <c r="P3612" i="1"/>
  <c r="Q3612" i="1"/>
  <c r="R3612" i="1"/>
  <c r="S3612" i="1"/>
  <c r="T3612" i="1"/>
  <c r="U3612" i="1"/>
  <c r="V3612" i="1"/>
  <c r="W3612" i="1"/>
  <c r="X3612" i="1"/>
  <c r="Y3612" i="1"/>
  <c r="Z3612" i="1"/>
  <c r="A3613" i="1"/>
  <c r="B3613" i="1"/>
  <c r="C3613" i="1"/>
  <c r="D3613" i="1"/>
  <c r="E3613" i="1"/>
  <c r="F3613" i="1"/>
  <c r="G3613" i="1"/>
  <c r="I3613" i="1"/>
  <c r="J3613" i="1"/>
  <c r="K3613" i="1"/>
  <c r="L3613" i="1"/>
  <c r="M3613" i="1"/>
  <c r="N3613" i="1"/>
  <c r="O3613" i="1"/>
  <c r="P3613" i="1"/>
  <c r="Q3613" i="1"/>
  <c r="R3613" i="1"/>
  <c r="S3613" i="1"/>
  <c r="T3613" i="1"/>
  <c r="U3613" i="1"/>
  <c r="V3613" i="1"/>
  <c r="W3613" i="1"/>
  <c r="X3613" i="1"/>
  <c r="Y3613" i="1"/>
  <c r="Z3613" i="1"/>
  <c r="A3614" i="1"/>
  <c r="B3614" i="1"/>
  <c r="C3614" i="1"/>
  <c r="D3614" i="1"/>
  <c r="E3614" i="1"/>
  <c r="F3614" i="1"/>
  <c r="G3614" i="1"/>
  <c r="I3614" i="1"/>
  <c r="J3614" i="1"/>
  <c r="K3614" i="1"/>
  <c r="L3614" i="1"/>
  <c r="M3614" i="1"/>
  <c r="N3614" i="1"/>
  <c r="O3614" i="1"/>
  <c r="P3614" i="1"/>
  <c r="Q3614" i="1"/>
  <c r="R3614" i="1"/>
  <c r="S3614" i="1"/>
  <c r="T3614" i="1"/>
  <c r="U3614" i="1"/>
  <c r="V3614" i="1"/>
  <c r="W3614" i="1"/>
  <c r="X3614" i="1"/>
  <c r="Y3614" i="1"/>
  <c r="Z3614" i="1"/>
  <c r="A3615" i="1"/>
  <c r="B3615" i="1"/>
  <c r="C3615" i="1"/>
  <c r="D3615" i="1"/>
  <c r="E3615" i="1"/>
  <c r="F3615" i="1"/>
  <c r="G3615" i="1"/>
  <c r="I3615" i="1"/>
  <c r="J3615" i="1"/>
  <c r="K3615" i="1"/>
  <c r="L3615" i="1"/>
  <c r="M3615" i="1"/>
  <c r="N3615" i="1"/>
  <c r="O3615" i="1"/>
  <c r="P3615" i="1"/>
  <c r="Q3615" i="1"/>
  <c r="R3615" i="1"/>
  <c r="S3615" i="1"/>
  <c r="T3615" i="1"/>
  <c r="U3615" i="1"/>
  <c r="V3615" i="1"/>
  <c r="W3615" i="1"/>
  <c r="X3615" i="1"/>
  <c r="Y3615" i="1"/>
  <c r="Z3615" i="1"/>
  <c r="A3616" i="1"/>
  <c r="B3616" i="1"/>
  <c r="C3616" i="1"/>
  <c r="D3616" i="1"/>
  <c r="E3616" i="1"/>
  <c r="F3616" i="1"/>
  <c r="G3616" i="1"/>
  <c r="I3616" i="1"/>
  <c r="J3616" i="1"/>
  <c r="K3616" i="1"/>
  <c r="L3616" i="1"/>
  <c r="M3616" i="1"/>
  <c r="N3616" i="1"/>
  <c r="O3616" i="1"/>
  <c r="P3616" i="1"/>
  <c r="Q3616" i="1"/>
  <c r="R3616" i="1"/>
  <c r="S3616" i="1"/>
  <c r="T3616" i="1"/>
  <c r="U3616" i="1"/>
  <c r="V3616" i="1"/>
  <c r="W3616" i="1"/>
  <c r="X3616" i="1"/>
  <c r="Y3616" i="1"/>
  <c r="Z3616" i="1"/>
  <c r="A3617" i="1"/>
  <c r="B3617" i="1"/>
  <c r="C3617" i="1"/>
  <c r="D3617" i="1"/>
  <c r="E3617" i="1"/>
  <c r="F3617" i="1"/>
  <c r="G3617" i="1"/>
  <c r="I3617" i="1"/>
  <c r="J3617" i="1"/>
  <c r="K3617" i="1"/>
  <c r="L3617" i="1"/>
  <c r="M3617" i="1"/>
  <c r="N3617" i="1"/>
  <c r="O3617" i="1"/>
  <c r="P3617" i="1"/>
  <c r="Q3617" i="1"/>
  <c r="R3617" i="1"/>
  <c r="S3617" i="1"/>
  <c r="T3617" i="1"/>
  <c r="U3617" i="1"/>
  <c r="V3617" i="1"/>
  <c r="W3617" i="1"/>
  <c r="X3617" i="1"/>
  <c r="Y3617" i="1"/>
  <c r="Z3617" i="1"/>
  <c r="A3618" i="1"/>
  <c r="B3618" i="1"/>
  <c r="C3618" i="1"/>
  <c r="D3618" i="1"/>
  <c r="E3618" i="1"/>
  <c r="F3618" i="1"/>
  <c r="G3618" i="1"/>
  <c r="I3618" i="1"/>
  <c r="J3618" i="1"/>
  <c r="K3618" i="1"/>
  <c r="L3618" i="1"/>
  <c r="M3618" i="1"/>
  <c r="N3618" i="1"/>
  <c r="O3618" i="1"/>
  <c r="P3618" i="1"/>
  <c r="Q3618" i="1"/>
  <c r="R3618" i="1"/>
  <c r="S3618" i="1"/>
  <c r="T3618" i="1"/>
  <c r="U3618" i="1"/>
  <c r="V3618" i="1"/>
  <c r="W3618" i="1"/>
  <c r="X3618" i="1"/>
  <c r="Y3618" i="1"/>
  <c r="Z3618" i="1"/>
  <c r="A3619" i="1"/>
  <c r="B3619" i="1"/>
  <c r="C3619" i="1"/>
  <c r="D3619" i="1"/>
  <c r="E3619" i="1"/>
  <c r="F3619" i="1"/>
  <c r="G3619" i="1"/>
  <c r="I3619" i="1"/>
  <c r="J3619" i="1"/>
  <c r="K3619" i="1"/>
  <c r="L3619" i="1"/>
  <c r="M3619" i="1"/>
  <c r="N3619" i="1"/>
  <c r="O3619" i="1"/>
  <c r="P3619" i="1"/>
  <c r="Q3619" i="1"/>
  <c r="R3619" i="1"/>
  <c r="S3619" i="1"/>
  <c r="T3619" i="1"/>
  <c r="U3619" i="1"/>
  <c r="V3619" i="1"/>
  <c r="W3619" i="1"/>
  <c r="X3619" i="1"/>
  <c r="Y3619" i="1"/>
  <c r="Z3619" i="1"/>
  <c r="A3620" i="1"/>
  <c r="B3620" i="1"/>
  <c r="C3620" i="1"/>
  <c r="D3620" i="1"/>
  <c r="E3620" i="1"/>
  <c r="F3620" i="1"/>
  <c r="G3620" i="1"/>
  <c r="I3620" i="1"/>
  <c r="J3620" i="1"/>
  <c r="K3620" i="1"/>
  <c r="L3620" i="1"/>
  <c r="M3620" i="1"/>
  <c r="N3620" i="1"/>
  <c r="O3620" i="1"/>
  <c r="P3620" i="1"/>
  <c r="Q3620" i="1"/>
  <c r="R3620" i="1"/>
  <c r="S3620" i="1"/>
  <c r="T3620" i="1"/>
  <c r="U3620" i="1"/>
  <c r="V3620" i="1"/>
  <c r="W3620" i="1"/>
  <c r="X3620" i="1"/>
  <c r="Y3620" i="1"/>
  <c r="Z3620" i="1"/>
  <c r="A3621" i="1"/>
  <c r="B3621" i="1"/>
  <c r="C3621" i="1"/>
  <c r="D3621" i="1"/>
  <c r="E3621" i="1"/>
  <c r="F3621" i="1"/>
  <c r="G3621" i="1"/>
  <c r="I3621" i="1"/>
  <c r="J3621" i="1"/>
  <c r="K3621" i="1"/>
  <c r="L3621" i="1"/>
  <c r="M3621" i="1"/>
  <c r="N3621" i="1"/>
  <c r="O3621" i="1"/>
  <c r="P3621" i="1"/>
  <c r="Q3621" i="1"/>
  <c r="R3621" i="1"/>
  <c r="S3621" i="1"/>
  <c r="T3621" i="1"/>
  <c r="U3621" i="1"/>
  <c r="V3621" i="1"/>
  <c r="W3621" i="1"/>
  <c r="X3621" i="1"/>
  <c r="Y3621" i="1"/>
  <c r="Z3621" i="1"/>
  <c r="A3622" i="1"/>
  <c r="B3622" i="1"/>
  <c r="C3622" i="1"/>
  <c r="D3622" i="1"/>
  <c r="E3622" i="1"/>
  <c r="F3622" i="1"/>
  <c r="G3622" i="1"/>
  <c r="I3622" i="1"/>
  <c r="J3622" i="1"/>
  <c r="K3622" i="1"/>
  <c r="L3622" i="1"/>
  <c r="M3622" i="1"/>
  <c r="N3622" i="1"/>
  <c r="O3622" i="1"/>
  <c r="P3622" i="1"/>
  <c r="Q3622" i="1"/>
  <c r="R3622" i="1"/>
  <c r="S3622" i="1"/>
  <c r="T3622" i="1"/>
  <c r="U3622" i="1"/>
  <c r="V3622" i="1"/>
  <c r="W3622" i="1"/>
  <c r="X3622" i="1"/>
  <c r="Y3622" i="1"/>
  <c r="Z3622" i="1"/>
  <c r="A3623" i="1"/>
  <c r="B3623" i="1"/>
  <c r="C3623" i="1"/>
  <c r="D3623" i="1"/>
  <c r="E3623" i="1"/>
  <c r="F3623" i="1"/>
  <c r="G3623" i="1"/>
  <c r="I3623" i="1"/>
  <c r="J3623" i="1"/>
  <c r="K3623" i="1"/>
  <c r="L3623" i="1"/>
  <c r="M3623" i="1"/>
  <c r="N3623" i="1"/>
  <c r="O3623" i="1"/>
  <c r="P3623" i="1"/>
  <c r="Q3623" i="1"/>
  <c r="R3623" i="1"/>
  <c r="S3623" i="1"/>
  <c r="T3623" i="1"/>
  <c r="U3623" i="1"/>
  <c r="V3623" i="1"/>
  <c r="W3623" i="1"/>
  <c r="X3623" i="1"/>
  <c r="Y3623" i="1"/>
  <c r="Z3623" i="1"/>
  <c r="A3624" i="1"/>
  <c r="B3624" i="1"/>
  <c r="C3624" i="1"/>
  <c r="D3624" i="1"/>
  <c r="E3624" i="1"/>
  <c r="F3624" i="1"/>
  <c r="G3624" i="1"/>
  <c r="I3624" i="1"/>
  <c r="J3624" i="1"/>
  <c r="K3624" i="1"/>
  <c r="L3624" i="1"/>
  <c r="M3624" i="1"/>
  <c r="N3624" i="1"/>
  <c r="O3624" i="1"/>
  <c r="P3624" i="1"/>
  <c r="Q3624" i="1"/>
  <c r="R3624" i="1"/>
  <c r="S3624" i="1"/>
  <c r="T3624" i="1"/>
  <c r="U3624" i="1"/>
  <c r="V3624" i="1"/>
  <c r="W3624" i="1"/>
  <c r="X3624" i="1"/>
  <c r="Y3624" i="1"/>
  <c r="Z3624" i="1"/>
  <c r="A3625" i="1"/>
  <c r="B3625" i="1"/>
  <c r="C3625" i="1"/>
  <c r="D3625" i="1"/>
  <c r="E3625" i="1"/>
  <c r="F3625" i="1"/>
  <c r="G3625" i="1"/>
  <c r="I3625" i="1"/>
  <c r="J3625" i="1"/>
  <c r="K3625" i="1"/>
  <c r="L3625" i="1"/>
  <c r="M3625" i="1"/>
  <c r="N3625" i="1"/>
  <c r="O3625" i="1"/>
  <c r="P3625" i="1"/>
  <c r="Q3625" i="1"/>
  <c r="R3625" i="1"/>
  <c r="S3625" i="1"/>
  <c r="T3625" i="1"/>
  <c r="U3625" i="1"/>
  <c r="V3625" i="1"/>
  <c r="W3625" i="1"/>
  <c r="X3625" i="1"/>
  <c r="Y3625" i="1"/>
  <c r="Z3625" i="1"/>
  <c r="A3626" i="1"/>
  <c r="B3626" i="1"/>
  <c r="C3626" i="1"/>
  <c r="D3626" i="1"/>
  <c r="E3626" i="1"/>
  <c r="F3626" i="1"/>
  <c r="G3626" i="1"/>
  <c r="I3626" i="1"/>
  <c r="J3626" i="1"/>
  <c r="K3626" i="1"/>
  <c r="L3626" i="1"/>
  <c r="M3626" i="1"/>
  <c r="N3626" i="1"/>
  <c r="O3626" i="1"/>
  <c r="P3626" i="1"/>
  <c r="Q3626" i="1"/>
  <c r="R3626" i="1"/>
  <c r="S3626" i="1"/>
  <c r="T3626" i="1"/>
  <c r="U3626" i="1"/>
  <c r="V3626" i="1"/>
  <c r="W3626" i="1"/>
  <c r="X3626" i="1"/>
  <c r="Y3626" i="1"/>
  <c r="Z3626" i="1"/>
  <c r="A3627" i="1"/>
  <c r="B3627" i="1"/>
  <c r="C3627" i="1"/>
  <c r="D3627" i="1"/>
  <c r="E3627" i="1"/>
  <c r="F3627" i="1"/>
  <c r="G3627" i="1"/>
  <c r="I3627" i="1"/>
  <c r="J3627" i="1"/>
  <c r="K3627" i="1"/>
  <c r="L3627" i="1"/>
  <c r="M3627" i="1"/>
  <c r="N3627" i="1"/>
  <c r="O3627" i="1"/>
  <c r="P3627" i="1"/>
  <c r="Q3627" i="1"/>
  <c r="R3627" i="1"/>
  <c r="S3627" i="1"/>
  <c r="T3627" i="1"/>
  <c r="U3627" i="1"/>
  <c r="V3627" i="1"/>
  <c r="W3627" i="1"/>
  <c r="X3627" i="1"/>
  <c r="Y3627" i="1"/>
  <c r="Z3627" i="1"/>
  <c r="A3628" i="1"/>
  <c r="B3628" i="1"/>
  <c r="C3628" i="1"/>
  <c r="D3628" i="1"/>
  <c r="E3628" i="1"/>
  <c r="F3628" i="1"/>
  <c r="G3628" i="1"/>
  <c r="I3628" i="1"/>
  <c r="J3628" i="1"/>
  <c r="K3628" i="1"/>
  <c r="L3628" i="1"/>
  <c r="M3628" i="1"/>
  <c r="N3628" i="1"/>
  <c r="O3628" i="1"/>
  <c r="P3628" i="1"/>
  <c r="Q3628" i="1"/>
  <c r="R3628" i="1"/>
  <c r="S3628" i="1"/>
  <c r="T3628" i="1"/>
  <c r="U3628" i="1"/>
  <c r="V3628" i="1"/>
  <c r="W3628" i="1"/>
  <c r="X3628" i="1"/>
  <c r="Y3628" i="1"/>
  <c r="Z3628" i="1"/>
  <c r="A3629" i="1"/>
  <c r="B3629" i="1"/>
  <c r="C3629" i="1"/>
  <c r="D3629" i="1"/>
  <c r="E3629" i="1"/>
  <c r="F3629" i="1"/>
  <c r="G3629" i="1"/>
  <c r="I3629" i="1"/>
  <c r="J3629" i="1"/>
  <c r="K3629" i="1"/>
  <c r="L3629" i="1"/>
  <c r="M3629" i="1"/>
  <c r="N3629" i="1"/>
  <c r="O3629" i="1"/>
  <c r="P3629" i="1"/>
  <c r="Q3629" i="1"/>
  <c r="R3629" i="1"/>
  <c r="S3629" i="1"/>
  <c r="T3629" i="1"/>
  <c r="U3629" i="1"/>
  <c r="V3629" i="1"/>
  <c r="W3629" i="1"/>
  <c r="X3629" i="1"/>
  <c r="Y3629" i="1"/>
  <c r="Z3629" i="1"/>
  <c r="A3630" i="1"/>
  <c r="B3630" i="1"/>
  <c r="C3630" i="1"/>
  <c r="D3630" i="1"/>
  <c r="E3630" i="1"/>
  <c r="F3630" i="1"/>
  <c r="G3630" i="1"/>
  <c r="I3630" i="1"/>
  <c r="J3630" i="1"/>
  <c r="K3630" i="1"/>
  <c r="L3630" i="1"/>
  <c r="M3630" i="1"/>
  <c r="N3630" i="1"/>
  <c r="O3630" i="1"/>
  <c r="P3630" i="1"/>
  <c r="Q3630" i="1"/>
  <c r="R3630" i="1"/>
  <c r="S3630" i="1"/>
  <c r="T3630" i="1"/>
  <c r="U3630" i="1"/>
  <c r="V3630" i="1"/>
  <c r="W3630" i="1"/>
  <c r="X3630" i="1"/>
  <c r="Y3630" i="1"/>
  <c r="Z3630" i="1"/>
  <c r="A3631" i="1"/>
  <c r="B3631" i="1"/>
  <c r="C3631" i="1"/>
  <c r="D3631" i="1"/>
  <c r="E3631" i="1"/>
  <c r="F3631" i="1"/>
  <c r="G3631" i="1"/>
  <c r="I3631" i="1"/>
  <c r="J3631" i="1"/>
  <c r="K3631" i="1"/>
  <c r="L3631" i="1"/>
  <c r="M3631" i="1"/>
  <c r="N3631" i="1"/>
  <c r="O3631" i="1"/>
  <c r="P3631" i="1"/>
  <c r="Q3631" i="1"/>
  <c r="R3631" i="1"/>
  <c r="S3631" i="1"/>
  <c r="T3631" i="1"/>
  <c r="U3631" i="1"/>
  <c r="V3631" i="1"/>
  <c r="W3631" i="1"/>
  <c r="X3631" i="1"/>
  <c r="Y3631" i="1"/>
  <c r="Z3631" i="1"/>
  <c r="A3632" i="1"/>
  <c r="B3632" i="1"/>
  <c r="C3632" i="1"/>
  <c r="D3632" i="1"/>
  <c r="E3632" i="1"/>
  <c r="F3632" i="1"/>
  <c r="G3632" i="1"/>
  <c r="I3632" i="1"/>
  <c r="J3632" i="1"/>
  <c r="K3632" i="1"/>
  <c r="L3632" i="1"/>
  <c r="M3632" i="1"/>
  <c r="N3632" i="1"/>
  <c r="O3632" i="1"/>
  <c r="P3632" i="1"/>
  <c r="Q3632" i="1"/>
  <c r="R3632" i="1"/>
  <c r="S3632" i="1"/>
  <c r="T3632" i="1"/>
  <c r="U3632" i="1"/>
  <c r="V3632" i="1"/>
  <c r="W3632" i="1"/>
  <c r="X3632" i="1"/>
  <c r="Y3632" i="1"/>
  <c r="Z3632" i="1"/>
  <c r="A3633" i="1"/>
  <c r="B3633" i="1"/>
  <c r="C3633" i="1"/>
  <c r="D3633" i="1"/>
  <c r="E3633" i="1"/>
  <c r="F3633" i="1"/>
  <c r="G3633" i="1"/>
  <c r="I3633" i="1"/>
  <c r="J3633" i="1"/>
  <c r="K3633" i="1"/>
  <c r="L3633" i="1"/>
  <c r="M3633" i="1"/>
  <c r="N3633" i="1"/>
  <c r="O3633" i="1"/>
  <c r="P3633" i="1"/>
  <c r="Q3633" i="1"/>
  <c r="R3633" i="1"/>
  <c r="S3633" i="1"/>
  <c r="T3633" i="1"/>
  <c r="U3633" i="1"/>
  <c r="V3633" i="1"/>
  <c r="W3633" i="1"/>
  <c r="X3633" i="1"/>
  <c r="Y3633" i="1"/>
  <c r="Z3633" i="1"/>
  <c r="A3634" i="1"/>
  <c r="B3634" i="1"/>
  <c r="C3634" i="1"/>
  <c r="D3634" i="1"/>
  <c r="E3634" i="1"/>
  <c r="F3634" i="1"/>
  <c r="G3634" i="1"/>
  <c r="I3634" i="1"/>
  <c r="J3634" i="1"/>
  <c r="K3634" i="1"/>
  <c r="L3634" i="1"/>
  <c r="M3634" i="1"/>
  <c r="N3634" i="1"/>
  <c r="O3634" i="1"/>
  <c r="P3634" i="1"/>
  <c r="Q3634" i="1"/>
  <c r="R3634" i="1"/>
  <c r="S3634" i="1"/>
  <c r="T3634" i="1"/>
  <c r="U3634" i="1"/>
  <c r="V3634" i="1"/>
  <c r="W3634" i="1"/>
  <c r="X3634" i="1"/>
  <c r="Y3634" i="1"/>
  <c r="Z3634" i="1"/>
  <c r="A3635" i="1"/>
  <c r="B3635" i="1"/>
  <c r="C3635" i="1"/>
  <c r="D3635" i="1"/>
  <c r="E3635" i="1"/>
  <c r="F3635" i="1"/>
  <c r="G3635" i="1"/>
  <c r="I3635" i="1"/>
  <c r="J3635" i="1"/>
  <c r="K3635" i="1"/>
  <c r="L3635" i="1"/>
  <c r="M3635" i="1"/>
  <c r="N3635" i="1"/>
  <c r="O3635" i="1"/>
  <c r="P3635" i="1"/>
  <c r="Q3635" i="1"/>
  <c r="R3635" i="1"/>
  <c r="S3635" i="1"/>
  <c r="T3635" i="1"/>
  <c r="U3635" i="1"/>
  <c r="V3635" i="1"/>
  <c r="W3635" i="1"/>
  <c r="X3635" i="1"/>
  <c r="Y3635" i="1"/>
  <c r="Z3635" i="1"/>
  <c r="A3636" i="1"/>
  <c r="B3636" i="1"/>
  <c r="C3636" i="1"/>
  <c r="D3636" i="1"/>
  <c r="E3636" i="1"/>
  <c r="F3636" i="1"/>
  <c r="G3636" i="1"/>
  <c r="I3636" i="1"/>
  <c r="J3636" i="1"/>
  <c r="K3636" i="1"/>
  <c r="L3636" i="1"/>
  <c r="M3636" i="1"/>
  <c r="N3636" i="1"/>
  <c r="O3636" i="1"/>
  <c r="P3636" i="1"/>
  <c r="Q3636" i="1"/>
  <c r="R3636" i="1"/>
  <c r="S3636" i="1"/>
  <c r="T3636" i="1"/>
  <c r="U3636" i="1"/>
  <c r="V3636" i="1"/>
  <c r="W3636" i="1"/>
  <c r="X3636" i="1"/>
  <c r="Y3636" i="1"/>
  <c r="Z3636" i="1"/>
  <c r="A3637" i="1"/>
  <c r="B3637" i="1"/>
  <c r="C3637" i="1"/>
  <c r="D3637" i="1"/>
  <c r="E3637" i="1"/>
  <c r="F3637" i="1"/>
  <c r="G3637" i="1"/>
  <c r="I3637" i="1"/>
  <c r="J3637" i="1"/>
  <c r="K3637" i="1"/>
  <c r="L3637" i="1"/>
  <c r="M3637" i="1"/>
  <c r="N3637" i="1"/>
  <c r="O3637" i="1"/>
  <c r="P3637" i="1"/>
  <c r="Q3637" i="1"/>
  <c r="R3637" i="1"/>
  <c r="S3637" i="1"/>
  <c r="T3637" i="1"/>
  <c r="U3637" i="1"/>
  <c r="V3637" i="1"/>
  <c r="W3637" i="1"/>
  <c r="X3637" i="1"/>
  <c r="Y3637" i="1"/>
  <c r="Z3637" i="1"/>
  <c r="A3638" i="1"/>
  <c r="B3638" i="1"/>
  <c r="C3638" i="1"/>
  <c r="D3638" i="1"/>
  <c r="E3638" i="1"/>
  <c r="F3638" i="1"/>
  <c r="G3638" i="1"/>
  <c r="I3638" i="1"/>
  <c r="J3638" i="1"/>
  <c r="K3638" i="1"/>
  <c r="L3638" i="1"/>
  <c r="M3638" i="1"/>
  <c r="N3638" i="1"/>
  <c r="O3638" i="1"/>
  <c r="P3638" i="1"/>
  <c r="Q3638" i="1"/>
  <c r="R3638" i="1"/>
  <c r="S3638" i="1"/>
  <c r="T3638" i="1"/>
  <c r="U3638" i="1"/>
  <c r="V3638" i="1"/>
  <c r="W3638" i="1"/>
  <c r="X3638" i="1"/>
  <c r="Y3638" i="1"/>
  <c r="Z3638" i="1"/>
  <c r="A3639" i="1"/>
  <c r="B3639" i="1"/>
  <c r="C3639" i="1"/>
  <c r="D3639" i="1"/>
  <c r="E3639" i="1"/>
  <c r="F3639" i="1"/>
  <c r="G3639" i="1"/>
  <c r="I3639" i="1"/>
  <c r="J3639" i="1"/>
  <c r="K3639" i="1"/>
  <c r="L3639" i="1"/>
  <c r="M3639" i="1"/>
  <c r="N3639" i="1"/>
  <c r="O3639" i="1"/>
  <c r="P3639" i="1"/>
  <c r="Q3639" i="1"/>
  <c r="R3639" i="1"/>
  <c r="S3639" i="1"/>
  <c r="T3639" i="1"/>
  <c r="U3639" i="1"/>
  <c r="V3639" i="1"/>
  <c r="W3639" i="1"/>
  <c r="X3639" i="1"/>
  <c r="Y3639" i="1"/>
  <c r="Z3639" i="1"/>
  <c r="A3640" i="1"/>
  <c r="B3640" i="1"/>
  <c r="C3640" i="1"/>
  <c r="D3640" i="1"/>
  <c r="E3640" i="1"/>
  <c r="F3640" i="1"/>
  <c r="G3640" i="1"/>
  <c r="I3640" i="1"/>
  <c r="J3640" i="1"/>
  <c r="K3640" i="1"/>
  <c r="L3640" i="1"/>
  <c r="M3640" i="1"/>
  <c r="N3640" i="1"/>
  <c r="O3640" i="1"/>
  <c r="P3640" i="1"/>
  <c r="Q3640" i="1"/>
  <c r="R3640" i="1"/>
  <c r="S3640" i="1"/>
  <c r="T3640" i="1"/>
  <c r="U3640" i="1"/>
  <c r="V3640" i="1"/>
  <c r="W3640" i="1"/>
  <c r="X3640" i="1"/>
  <c r="Y3640" i="1"/>
  <c r="Z3640" i="1"/>
  <c r="A3641" i="1"/>
  <c r="B3641" i="1"/>
  <c r="C3641" i="1"/>
  <c r="D3641" i="1"/>
  <c r="E3641" i="1"/>
  <c r="F3641" i="1"/>
  <c r="G3641" i="1"/>
  <c r="I3641" i="1"/>
  <c r="J3641" i="1"/>
  <c r="K3641" i="1"/>
  <c r="L3641" i="1"/>
  <c r="M3641" i="1"/>
  <c r="N3641" i="1"/>
  <c r="O3641" i="1"/>
  <c r="P3641" i="1"/>
  <c r="Q3641" i="1"/>
  <c r="R3641" i="1"/>
  <c r="S3641" i="1"/>
  <c r="T3641" i="1"/>
  <c r="U3641" i="1"/>
  <c r="V3641" i="1"/>
  <c r="W3641" i="1"/>
  <c r="X3641" i="1"/>
  <c r="Y3641" i="1"/>
  <c r="Z3641" i="1"/>
  <c r="A3642" i="1"/>
  <c r="B3642" i="1"/>
  <c r="C3642" i="1"/>
  <c r="D3642" i="1"/>
  <c r="E3642" i="1"/>
  <c r="F3642" i="1"/>
  <c r="G3642" i="1"/>
  <c r="I3642" i="1"/>
  <c r="J3642" i="1"/>
  <c r="K3642" i="1"/>
  <c r="L3642" i="1"/>
  <c r="M3642" i="1"/>
  <c r="N3642" i="1"/>
  <c r="O3642" i="1"/>
  <c r="P3642" i="1"/>
  <c r="Q3642" i="1"/>
  <c r="R3642" i="1"/>
  <c r="S3642" i="1"/>
  <c r="T3642" i="1"/>
  <c r="U3642" i="1"/>
  <c r="V3642" i="1"/>
  <c r="W3642" i="1"/>
  <c r="X3642" i="1"/>
  <c r="Y3642" i="1"/>
  <c r="Z3642" i="1"/>
  <c r="A3643" i="1"/>
  <c r="B3643" i="1"/>
  <c r="C3643" i="1"/>
  <c r="D3643" i="1"/>
  <c r="E3643" i="1"/>
  <c r="F3643" i="1"/>
  <c r="G3643" i="1"/>
  <c r="I3643" i="1"/>
  <c r="J3643" i="1"/>
  <c r="K3643" i="1"/>
  <c r="L3643" i="1"/>
  <c r="M3643" i="1"/>
  <c r="N3643" i="1"/>
  <c r="O3643" i="1"/>
  <c r="P3643" i="1"/>
  <c r="Q3643" i="1"/>
  <c r="R3643" i="1"/>
  <c r="S3643" i="1"/>
  <c r="T3643" i="1"/>
  <c r="U3643" i="1"/>
  <c r="V3643" i="1"/>
  <c r="W3643" i="1"/>
  <c r="X3643" i="1"/>
  <c r="Y3643" i="1"/>
  <c r="Z3643" i="1"/>
  <c r="A3644" i="1"/>
  <c r="B3644" i="1"/>
  <c r="C3644" i="1"/>
  <c r="D3644" i="1"/>
  <c r="E3644" i="1"/>
  <c r="F3644" i="1"/>
  <c r="G3644" i="1"/>
  <c r="I3644" i="1"/>
  <c r="J3644" i="1"/>
  <c r="K3644" i="1"/>
  <c r="L3644" i="1"/>
  <c r="M3644" i="1"/>
  <c r="N3644" i="1"/>
  <c r="O3644" i="1"/>
  <c r="P3644" i="1"/>
  <c r="Q3644" i="1"/>
  <c r="R3644" i="1"/>
  <c r="S3644" i="1"/>
  <c r="T3644" i="1"/>
  <c r="U3644" i="1"/>
  <c r="V3644" i="1"/>
  <c r="W3644" i="1"/>
  <c r="X3644" i="1"/>
  <c r="Y3644" i="1"/>
  <c r="Z3644" i="1"/>
  <c r="A3645" i="1"/>
  <c r="B3645" i="1"/>
  <c r="C3645" i="1"/>
  <c r="D3645" i="1"/>
  <c r="E3645" i="1"/>
  <c r="F3645" i="1"/>
  <c r="G3645" i="1"/>
  <c r="I3645" i="1"/>
  <c r="J3645" i="1"/>
  <c r="K3645" i="1"/>
  <c r="L3645" i="1"/>
  <c r="M3645" i="1"/>
  <c r="N3645" i="1"/>
  <c r="O3645" i="1"/>
  <c r="P3645" i="1"/>
  <c r="Q3645" i="1"/>
  <c r="R3645" i="1"/>
  <c r="S3645" i="1"/>
  <c r="T3645" i="1"/>
  <c r="U3645" i="1"/>
  <c r="V3645" i="1"/>
  <c r="W3645" i="1"/>
  <c r="X3645" i="1"/>
  <c r="Y3645" i="1"/>
  <c r="Z3645" i="1"/>
  <c r="A3646" i="1"/>
  <c r="B3646" i="1"/>
  <c r="C3646" i="1"/>
  <c r="D3646" i="1"/>
  <c r="E3646" i="1"/>
  <c r="F3646" i="1"/>
  <c r="G3646" i="1"/>
  <c r="I3646" i="1"/>
  <c r="J3646" i="1"/>
  <c r="K3646" i="1"/>
  <c r="L3646" i="1"/>
  <c r="M3646" i="1"/>
  <c r="N3646" i="1"/>
  <c r="O3646" i="1"/>
  <c r="P3646" i="1"/>
  <c r="Q3646" i="1"/>
  <c r="R3646" i="1"/>
  <c r="S3646" i="1"/>
  <c r="T3646" i="1"/>
  <c r="U3646" i="1"/>
  <c r="V3646" i="1"/>
  <c r="W3646" i="1"/>
  <c r="X3646" i="1"/>
  <c r="Y3646" i="1"/>
  <c r="Z3646" i="1"/>
  <c r="A3647" i="1"/>
  <c r="B3647" i="1"/>
  <c r="C3647" i="1"/>
  <c r="D3647" i="1"/>
  <c r="E3647" i="1"/>
  <c r="F3647" i="1"/>
  <c r="G3647" i="1"/>
  <c r="I3647" i="1"/>
  <c r="J3647" i="1"/>
  <c r="K3647" i="1"/>
  <c r="L3647" i="1"/>
  <c r="M3647" i="1"/>
  <c r="N3647" i="1"/>
  <c r="O3647" i="1"/>
  <c r="P3647" i="1"/>
  <c r="Q3647" i="1"/>
  <c r="R3647" i="1"/>
  <c r="S3647" i="1"/>
  <c r="T3647" i="1"/>
  <c r="U3647" i="1"/>
  <c r="V3647" i="1"/>
  <c r="W3647" i="1"/>
  <c r="X3647" i="1"/>
  <c r="Y3647" i="1"/>
  <c r="Z3647" i="1"/>
  <c r="A3648" i="1"/>
  <c r="B3648" i="1"/>
  <c r="C3648" i="1"/>
  <c r="D3648" i="1"/>
  <c r="E3648" i="1"/>
  <c r="F3648" i="1"/>
  <c r="G3648" i="1"/>
  <c r="I3648" i="1"/>
  <c r="J3648" i="1"/>
  <c r="K3648" i="1"/>
  <c r="L3648" i="1"/>
  <c r="M3648" i="1"/>
  <c r="N3648" i="1"/>
  <c r="O3648" i="1"/>
  <c r="P3648" i="1"/>
  <c r="Q3648" i="1"/>
  <c r="R3648" i="1"/>
  <c r="S3648" i="1"/>
  <c r="T3648" i="1"/>
  <c r="U3648" i="1"/>
  <c r="V3648" i="1"/>
  <c r="W3648" i="1"/>
  <c r="X3648" i="1"/>
  <c r="Y3648" i="1"/>
  <c r="Z3648" i="1"/>
  <c r="A3649" i="1"/>
  <c r="B3649" i="1"/>
  <c r="C3649" i="1"/>
  <c r="D3649" i="1"/>
  <c r="E3649" i="1"/>
  <c r="F3649" i="1"/>
  <c r="G3649" i="1"/>
  <c r="I3649" i="1"/>
  <c r="J3649" i="1"/>
  <c r="K3649" i="1"/>
  <c r="L3649" i="1"/>
  <c r="M3649" i="1"/>
  <c r="N3649" i="1"/>
  <c r="O3649" i="1"/>
  <c r="P3649" i="1"/>
  <c r="Q3649" i="1"/>
  <c r="R3649" i="1"/>
  <c r="S3649" i="1"/>
  <c r="T3649" i="1"/>
  <c r="U3649" i="1"/>
  <c r="V3649" i="1"/>
  <c r="W3649" i="1"/>
  <c r="X3649" i="1"/>
  <c r="Y3649" i="1"/>
  <c r="Z3649" i="1"/>
  <c r="A3650" i="1"/>
  <c r="B3650" i="1"/>
  <c r="C3650" i="1"/>
  <c r="D3650" i="1"/>
  <c r="E3650" i="1"/>
  <c r="F3650" i="1"/>
  <c r="G3650" i="1"/>
  <c r="I3650" i="1"/>
  <c r="J3650" i="1"/>
  <c r="K3650" i="1"/>
  <c r="L3650" i="1"/>
  <c r="M3650" i="1"/>
  <c r="N3650" i="1"/>
  <c r="O3650" i="1"/>
  <c r="P3650" i="1"/>
  <c r="Q3650" i="1"/>
  <c r="R3650" i="1"/>
  <c r="S3650" i="1"/>
  <c r="T3650" i="1"/>
  <c r="U3650" i="1"/>
  <c r="V3650" i="1"/>
  <c r="W3650" i="1"/>
  <c r="X3650" i="1"/>
  <c r="Y3650" i="1"/>
  <c r="Z3650" i="1"/>
  <c r="A3651" i="1"/>
  <c r="B3651" i="1"/>
  <c r="C3651" i="1"/>
  <c r="D3651" i="1"/>
  <c r="E3651" i="1"/>
  <c r="F3651" i="1"/>
  <c r="G3651" i="1"/>
  <c r="I3651" i="1"/>
  <c r="J3651" i="1"/>
  <c r="K3651" i="1"/>
  <c r="L3651" i="1"/>
  <c r="M3651" i="1"/>
  <c r="N3651" i="1"/>
  <c r="O3651" i="1"/>
  <c r="P3651" i="1"/>
  <c r="Q3651" i="1"/>
  <c r="R3651" i="1"/>
  <c r="S3651" i="1"/>
  <c r="T3651" i="1"/>
  <c r="U3651" i="1"/>
  <c r="V3651" i="1"/>
  <c r="W3651" i="1"/>
  <c r="X3651" i="1"/>
  <c r="Y3651" i="1"/>
  <c r="Z3651" i="1"/>
  <c r="A3652" i="1"/>
  <c r="B3652" i="1"/>
  <c r="C3652" i="1"/>
  <c r="D3652" i="1"/>
  <c r="E3652" i="1"/>
  <c r="F3652" i="1"/>
  <c r="G3652" i="1"/>
  <c r="I3652" i="1"/>
  <c r="J3652" i="1"/>
  <c r="K3652" i="1"/>
  <c r="L3652" i="1"/>
  <c r="M3652" i="1"/>
  <c r="N3652" i="1"/>
  <c r="O3652" i="1"/>
  <c r="P3652" i="1"/>
  <c r="Q3652" i="1"/>
  <c r="R3652" i="1"/>
  <c r="S3652" i="1"/>
  <c r="T3652" i="1"/>
  <c r="U3652" i="1"/>
  <c r="V3652" i="1"/>
  <c r="W3652" i="1"/>
  <c r="X3652" i="1"/>
  <c r="Y3652" i="1"/>
  <c r="Z3652" i="1"/>
  <c r="A3653" i="1"/>
  <c r="B3653" i="1"/>
  <c r="C3653" i="1"/>
  <c r="D3653" i="1"/>
  <c r="E3653" i="1"/>
  <c r="F3653" i="1"/>
  <c r="G3653" i="1"/>
  <c r="I3653" i="1"/>
  <c r="J3653" i="1"/>
  <c r="K3653" i="1"/>
  <c r="L3653" i="1"/>
  <c r="M3653" i="1"/>
  <c r="N3653" i="1"/>
  <c r="O3653" i="1"/>
  <c r="P3653" i="1"/>
  <c r="Q3653" i="1"/>
  <c r="R3653" i="1"/>
  <c r="S3653" i="1"/>
  <c r="T3653" i="1"/>
  <c r="U3653" i="1"/>
  <c r="V3653" i="1"/>
  <c r="W3653" i="1"/>
  <c r="X3653" i="1"/>
  <c r="Y3653" i="1"/>
  <c r="Z3653" i="1"/>
  <c r="A3654" i="1"/>
  <c r="B3654" i="1"/>
  <c r="C3654" i="1"/>
  <c r="D3654" i="1"/>
  <c r="E3654" i="1"/>
  <c r="F3654" i="1"/>
  <c r="G3654" i="1"/>
  <c r="I3654" i="1"/>
  <c r="J3654" i="1"/>
  <c r="K3654" i="1"/>
  <c r="L3654" i="1"/>
  <c r="M3654" i="1"/>
  <c r="N3654" i="1"/>
  <c r="O3654" i="1"/>
  <c r="P3654" i="1"/>
  <c r="Q3654" i="1"/>
  <c r="R3654" i="1"/>
  <c r="S3654" i="1"/>
  <c r="T3654" i="1"/>
  <c r="U3654" i="1"/>
  <c r="V3654" i="1"/>
  <c r="W3654" i="1"/>
  <c r="X3654" i="1"/>
  <c r="Y3654" i="1"/>
  <c r="Z3654" i="1"/>
  <c r="A3655" i="1"/>
  <c r="B3655" i="1"/>
  <c r="C3655" i="1"/>
  <c r="D3655" i="1"/>
  <c r="E3655" i="1"/>
  <c r="F3655" i="1"/>
  <c r="G3655" i="1"/>
  <c r="I3655" i="1"/>
  <c r="J3655" i="1"/>
  <c r="K3655" i="1"/>
  <c r="L3655" i="1"/>
  <c r="M3655" i="1"/>
  <c r="N3655" i="1"/>
  <c r="O3655" i="1"/>
  <c r="P3655" i="1"/>
  <c r="Q3655" i="1"/>
  <c r="R3655" i="1"/>
  <c r="S3655" i="1"/>
  <c r="T3655" i="1"/>
  <c r="U3655" i="1"/>
  <c r="V3655" i="1"/>
  <c r="W3655" i="1"/>
  <c r="X3655" i="1"/>
  <c r="Y3655" i="1"/>
  <c r="Z3655" i="1"/>
  <c r="A3656" i="1"/>
  <c r="B3656" i="1"/>
  <c r="C3656" i="1"/>
  <c r="D3656" i="1"/>
  <c r="E3656" i="1"/>
  <c r="F3656" i="1"/>
  <c r="G3656" i="1"/>
  <c r="I3656" i="1"/>
  <c r="J3656" i="1"/>
  <c r="K3656" i="1"/>
  <c r="L3656" i="1"/>
  <c r="M3656" i="1"/>
  <c r="N3656" i="1"/>
  <c r="O3656" i="1"/>
  <c r="P3656" i="1"/>
  <c r="Q3656" i="1"/>
  <c r="R3656" i="1"/>
  <c r="S3656" i="1"/>
  <c r="T3656" i="1"/>
  <c r="U3656" i="1"/>
  <c r="V3656" i="1"/>
  <c r="W3656" i="1"/>
  <c r="X3656" i="1"/>
  <c r="Y3656" i="1"/>
  <c r="Z3656" i="1"/>
  <c r="A3657" i="1"/>
  <c r="B3657" i="1"/>
  <c r="C3657" i="1"/>
  <c r="D3657" i="1"/>
  <c r="E3657" i="1"/>
  <c r="F3657" i="1"/>
  <c r="G3657" i="1"/>
  <c r="I3657" i="1"/>
  <c r="J3657" i="1"/>
  <c r="K3657" i="1"/>
  <c r="L3657" i="1"/>
  <c r="M3657" i="1"/>
  <c r="N3657" i="1"/>
  <c r="O3657" i="1"/>
  <c r="P3657" i="1"/>
  <c r="Q3657" i="1"/>
  <c r="R3657" i="1"/>
  <c r="S3657" i="1"/>
  <c r="T3657" i="1"/>
  <c r="U3657" i="1"/>
  <c r="V3657" i="1"/>
  <c r="W3657" i="1"/>
  <c r="X3657" i="1"/>
  <c r="Y3657" i="1"/>
  <c r="Z3657" i="1"/>
  <c r="A3658" i="1"/>
  <c r="B3658" i="1"/>
  <c r="C3658" i="1"/>
  <c r="D3658" i="1"/>
  <c r="E3658" i="1"/>
  <c r="F3658" i="1"/>
  <c r="G3658" i="1"/>
  <c r="I3658" i="1"/>
  <c r="J3658" i="1"/>
  <c r="K3658" i="1"/>
  <c r="L3658" i="1"/>
  <c r="M3658" i="1"/>
  <c r="N3658" i="1"/>
  <c r="O3658" i="1"/>
  <c r="P3658" i="1"/>
  <c r="Q3658" i="1"/>
  <c r="R3658" i="1"/>
  <c r="S3658" i="1"/>
  <c r="T3658" i="1"/>
  <c r="U3658" i="1"/>
  <c r="V3658" i="1"/>
  <c r="W3658" i="1"/>
  <c r="X3658" i="1"/>
  <c r="Y3658" i="1"/>
  <c r="Z3658" i="1"/>
  <c r="A3659" i="1"/>
  <c r="B3659" i="1"/>
  <c r="C3659" i="1"/>
  <c r="D3659" i="1"/>
  <c r="E3659" i="1"/>
  <c r="F3659" i="1"/>
  <c r="G3659" i="1"/>
  <c r="I3659" i="1"/>
  <c r="J3659" i="1"/>
  <c r="K3659" i="1"/>
  <c r="L3659" i="1"/>
  <c r="M3659" i="1"/>
  <c r="N3659" i="1"/>
  <c r="O3659" i="1"/>
  <c r="P3659" i="1"/>
  <c r="Q3659" i="1"/>
  <c r="R3659" i="1"/>
  <c r="S3659" i="1"/>
  <c r="T3659" i="1"/>
  <c r="U3659" i="1"/>
  <c r="V3659" i="1"/>
  <c r="W3659" i="1"/>
  <c r="X3659" i="1"/>
  <c r="Y3659" i="1"/>
  <c r="Z3659" i="1"/>
  <c r="A3660" i="1"/>
  <c r="B3660" i="1"/>
  <c r="C3660" i="1"/>
  <c r="D3660" i="1"/>
  <c r="E3660" i="1"/>
  <c r="F3660" i="1"/>
  <c r="G3660" i="1"/>
  <c r="I3660" i="1"/>
  <c r="J3660" i="1"/>
  <c r="K3660" i="1"/>
  <c r="L3660" i="1"/>
  <c r="M3660" i="1"/>
  <c r="N3660" i="1"/>
  <c r="O3660" i="1"/>
  <c r="P3660" i="1"/>
  <c r="Q3660" i="1"/>
  <c r="R3660" i="1"/>
  <c r="S3660" i="1"/>
  <c r="T3660" i="1"/>
  <c r="U3660" i="1"/>
  <c r="V3660" i="1"/>
  <c r="W3660" i="1"/>
  <c r="X3660" i="1"/>
  <c r="Y3660" i="1"/>
  <c r="Z3660" i="1"/>
  <c r="A3661" i="1"/>
  <c r="B3661" i="1"/>
  <c r="C3661" i="1"/>
  <c r="D3661" i="1"/>
  <c r="E3661" i="1"/>
  <c r="F3661" i="1"/>
  <c r="G3661" i="1"/>
  <c r="I3661" i="1"/>
  <c r="J3661" i="1"/>
  <c r="K3661" i="1"/>
  <c r="L3661" i="1"/>
  <c r="M3661" i="1"/>
  <c r="N3661" i="1"/>
  <c r="O3661" i="1"/>
  <c r="P3661" i="1"/>
  <c r="Q3661" i="1"/>
  <c r="R3661" i="1"/>
  <c r="S3661" i="1"/>
  <c r="T3661" i="1"/>
  <c r="U3661" i="1"/>
  <c r="V3661" i="1"/>
  <c r="W3661" i="1"/>
  <c r="X3661" i="1"/>
  <c r="Y3661" i="1"/>
  <c r="Z3661" i="1"/>
  <c r="A3662" i="1"/>
  <c r="B3662" i="1"/>
  <c r="C3662" i="1"/>
  <c r="D3662" i="1"/>
  <c r="E3662" i="1"/>
  <c r="F3662" i="1"/>
  <c r="G3662" i="1"/>
  <c r="I3662" i="1"/>
  <c r="J3662" i="1"/>
  <c r="K3662" i="1"/>
  <c r="L3662" i="1"/>
  <c r="M3662" i="1"/>
  <c r="N3662" i="1"/>
  <c r="O3662" i="1"/>
  <c r="P3662" i="1"/>
  <c r="Q3662" i="1"/>
  <c r="R3662" i="1"/>
  <c r="S3662" i="1"/>
  <c r="T3662" i="1"/>
  <c r="U3662" i="1"/>
  <c r="V3662" i="1"/>
  <c r="W3662" i="1"/>
  <c r="X3662" i="1"/>
  <c r="Y3662" i="1"/>
  <c r="Z3662" i="1"/>
  <c r="A3663" i="1"/>
  <c r="B3663" i="1"/>
  <c r="C3663" i="1"/>
  <c r="D3663" i="1"/>
  <c r="E3663" i="1"/>
  <c r="F3663" i="1"/>
  <c r="G3663" i="1"/>
  <c r="I3663" i="1"/>
  <c r="J3663" i="1"/>
  <c r="K3663" i="1"/>
  <c r="L3663" i="1"/>
  <c r="M3663" i="1"/>
  <c r="N3663" i="1"/>
  <c r="O3663" i="1"/>
  <c r="P3663" i="1"/>
  <c r="Q3663" i="1"/>
  <c r="R3663" i="1"/>
  <c r="S3663" i="1"/>
  <c r="T3663" i="1"/>
  <c r="U3663" i="1"/>
  <c r="V3663" i="1"/>
  <c r="W3663" i="1"/>
  <c r="X3663" i="1"/>
  <c r="Y3663" i="1"/>
  <c r="Z3663" i="1"/>
  <c r="A3664" i="1"/>
  <c r="B3664" i="1"/>
  <c r="C3664" i="1"/>
  <c r="D3664" i="1"/>
  <c r="E3664" i="1"/>
  <c r="F3664" i="1"/>
  <c r="G3664" i="1"/>
  <c r="I3664" i="1"/>
  <c r="J3664" i="1"/>
  <c r="K3664" i="1"/>
  <c r="L3664" i="1"/>
  <c r="M3664" i="1"/>
  <c r="N3664" i="1"/>
  <c r="O3664" i="1"/>
  <c r="P3664" i="1"/>
  <c r="Q3664" i="1"/>
  <c r="R3664" i="1"/>
  <c r="S3664" i="1"/>
  <c r="T3664" i="1"/>
  <c r="U3664" i="1"/>
  <c r="V3664" i="1"/>
  <c r="W3664" i="1"/>
  <c r="X3664" i="1"/>
  <c r="Y3664" i="1"/>
  <c r="Z3664" i="1"/>
  <c r="A3665" i="1"/>
  <c r="B3665" i="1"/>
  <c r="C3665" i="1"/>
  <c r="D3665" i="1"/>
  <c r="E3665" i="1"/>
  <c r="F3665" i="1"/>
  <c r="G3665" i="1"/>
  <c r="I3665" i="1"/>
  <c r="J3665" i="1"/>
  <c r="K3665" i="1"/>
  <c r="L3665" i="1"/>
  <c r="M3665" i="1"/>
  <c r="N3665" i="1"/>
  <c r="O3665" i="1"/>
  <c r="P3665" i="1"/>
  <c r="Q3665" i="1"/>
  <c r="R3665" i="1"/>
  <c r="S3665" i="1"/>
  <c r="T3665" i="1"/>
  <c r="U3665" i="1"/>
  <c r="V3665" i="1"/>
  <c r="W3665" i="1"/>
  <c r="X3665" i="1"/>
  <c r="Y3665" i="1"/>
  <c r="Z3665" i="1"/>
  <c r="A3666" i="1"/>
  <c r="B3666" i="1"/>
  <c r="C3666" i="1"/>
  <c r="D3666" i="1"/>
  <c r="E3666" i="1"/>
  <c r="F3666" i="1"/>
  <c r="G3666" i="1"/>
  <c r="I3666" i="1"/>
  <c r="J3666" i="1"/>
  <c r="K3666" i="1"/>
  <c r="L3666" i="1"/>
  <c r="M3666" i="1"/>
  <c r="N3666" i="1"/>
  <c r="O3666" i="1"/>
  <c r="P3666" i="1"/>
  <c r="Q3666" i="1"/>
  <c r="R3666" i="1"/>
  <c r="S3666" i="1"/>
  <c r="T3666" i="1"/>
  <c r="U3666" i="1"/>
  <c r="V3666" i="1"/>
  <c r="W3666" i="1"/>
  <c r="X3666" i="1"/>
  <c r="Y3666" i="1"/>
  <c r="Z3666" i="1"/>
  <c r="A3667" i="1"/>
  <c r="B3667" i="1"/>
  <c r="C3667" i="1"/>
  <c r="D3667" i="1"/>
  <c r="E3667" i="1"/>
  <c r="F3667" i="1"/>
  <c r="G3667" i="1"/>
  <c r="I3667" i="1"/>
  <c r="J3667" i="1"/>
  <c r="K3667" i="1"/>
  <c r="L3667" i="1"/>
  <c r="M3667" i="1"/>
  <c r="N3667" i="1"/>
  <c r="O3667" i="1"/>
  <c r="P3667" i="1"/>
  <c r="Q3667" i="1"/>
  <c r="R3667" i="1"/>
  <c r="S3667" i="1"/>
  <c r="T3667" i="1"/>
  <c r="U3667" i="1"/>
  <c r="V3667" i="1"/>
  <c r="W3667" i="1"/>
  <c r="X3667" i="1"/>
  <c r="Y3667" i="1"/>
  <c r="Z3667" i="1"/>
  <c r="A3668" i="1"/>
  <c r="B3668" i="1"/>
  <c r="C3668" i="1"/>
  <c r="D3668" i="1"/>
  <c r="E3668" i="1"/>
  <c r="F3668" i="1"/>
  <c r="G3668" i="1"/>
  <c r="I3668" i="1"/>
  <c r="J3668" i="1"/>
  <c r="K3668" i="1"/>
  <c r="L3668" i="1"/>
  <c r="M3668" i="1"/>
  <c r="N3668" i="1"/>
  <c r="O3668" i="1"/>
  <c r="P3668" i="1"/>
  <c r="Q3668" i="1"/>
  <c r="R3668" i="1"/>
  <c r="S3668" i="1"/>
  <c r="T3668" i="1"/>
  <c r="U3668" i="1"/>
  <c r="V3668" i="1"/>
  <c r="W3668" i="1"/>
  <c r="X3668" i="1"/>
  <c r="Y3668" i="1"/>
  <c r="Z3668" i="1"/>
  <c r="A3669" i="1"/>
  <c r="B3669" i="1"/>
  <c r="C3669" i="1"/>
  <c r="D3669" i="1"/>
  <c r="E3669" i="1"/>
  <c r="F3669" i="1"/>
  <c r="G3669" i="1"/>
  <c r="I3669" i="1"/>
  <c r="J3669" i="1"/>
  <c r="K3669" i="1"/>
  <c r="L3669" i="1"/>
  <c r="M3669" i="1"/>
  <c r="N3669" i="1"/>
  <c r="O3669" i="1"/>
  <c r="P3669" i="1"/>
  <c r="Q3669" i="1"/>
  <c r="R3669" i="1"/>
  <c r="S3669" i="1"/>
  <c r="T3669" i="1"/>
  <c r="U3669" i="1"/>
  <c r="V3669" i="1"/>
  <c r="W3669" i="1"/>
  <c r="X3669" i="1"/>
  <c r="Y3669" i="1"/>
  <c r="Z3669" i="1"/>
  <c r="A3670" i="1"/>
  <c r="B3670" i="1"/>
  <c r="C3670" i="1"/>
  <c r="D3670" i="1"/>
  <c r="E3670" i="1"/>
  <c r="F3670" i="1"/>
  <c r="G3670" i="1"/>
  <c r="I3670" i="1"/>
  <c r="J3670" i="1"/>
  <c r="K3670" i="1"/>
  <c r="L3670" i="1"/>
  <c r="M3670" i="1"/>
  <c r="N3670" i="1"/>
  <c r="O3670" i="1"/>
  <c r="P3670" i="1"/>
  <c r="Q3670" i="1"/>
  <c r="R3670" i="1"/>
  <c r="S3670" i="1"/>
  <c r="T3670" i="1"/>
  <c r="U3670" i="1"/>
  <c r="V3670" i="1"/>
  <c r="W3670" i="1"/>
  <c r="X3670" i="1"/>
  <c r="Y3670" i="1"/>
  <c r="Z3670" i="1"/>
  <c r="A3671" i="1"/>
  <c r="B3671" i="1"/>
  <c r="C3671" i="1"/>
  <c r="D3671" i="1"/>
  <c r="E3671" i="1"/>
  <c r="F3671" i="1"/>
  <c r="G3671" i="1"/>
  <c r="I3671" i="1"/>
  <c r="J3671" i="1"/>
  <c r="K3671" i="1"/>
  <c r="L3671" i="1"/>
  <c r="M3671" i="1"/>
  <c r="N3671" i="1"/>
  <c r="O3671" i="1"/>
  <c r="P3671" i="1"/>
  <c r="Q3671" i="1"/>
  <c r="R3671" i="1"/>
  <c r="S3671" i="1"/>
  <c r="T3671" i="1"/>
  <c r="U3671" i="1"/>
  <c r="V3671" i="1"/>
  <c r="W3671" i="1"/>
  <c r="X3671" i="1"/>
  <c r="Y3671" i="1"/>
  <c r="Z3671" i="1"/>
  <c r="A3672" i="1"/>
  <c r="B3672" i="1"/>
  <c r="C3672" i="1"/>
  <c r="D3672" i="1"/>
  <c r="E3672" i="1"/>
  <c r="F3672" i="1"/>
  <c r="G3672" i="1"/>
  <c r="I3672" i="1"/>
  <c r="J3672" i="1"/>
  <c r="K3672" i="1"/>
  <c r="L3672" i="1"/>
  <c r="M3672" i="1"/>
  <c r="N3672" i="1"/>
  <c r="O3672" i="1"/>
  <c r="P3672" i="1"/>
  <c r="Q3672" i="1"/>
  <c r="R3672" i="1"/>
  <c r="S3672" i="1"/>
  <c r="T3672" i="1"/>
  <c r="U3672" i="1"/>
  <c r="V3672" i="1"/>
  <c r="W3672" i="1"/>
  <c r="X3672" i="1"/>
  <c r="Y3672" i="1"/>
  <c r="Z3672" i="1"/>
  <c r="A3673" i="1"/>
  <c r="B3673" i="1"/>
  <c r="C3673" i="1"/>
  <c r="D3673" i="1"/>
  <c r="E3673" i="1"/>
  <c r="F3673" i="1"/>
  <c r="G3673" i="1"/>
  <c r="I3673" i="1"/>
  <c r="J3673" i="1"/>
  <c r="K3673" i="1"/>
  <c r="L3673" i="1"/>
  <c r="M3673" i="1"/>
  <c r="N3673" i="1"/>
  <c r="O3673" i="1"/>
  <c r="P3673" i="1"/>
  <c r="Q3673" i="1"/>
  <c r="R3673" i="1"/>
  <c r="S3673" i="1"/>
  <c r="T3673" i="1"/>
  <c r="U3673" i="1"/>
  <c r="V3673" i="1"/>
  <c r="W3673" i="1"/>
  <c r="X3673" i="1"/>
  <c r="Y3673" i="1"/>
  <c r="Z3673" i="1"/>
  <c r="A3674" i="1"/>
  <c r="B3674" i="1"/>
  <c r="C3674" i="1"/>
  <c r="D3674" i="1"/>
  <c r="E3674" i="1"/>
  <c r="F3674" i="1"/>
  <c r="G3674" i="1"/>
  <c r="I3674" i="1"/>
  <c r="J3674" i="1"/>
  <c r="K3674" i="1"/>
  <c r="L3674" i="1"/>
  <c r="M3674" i="1"/>
  <c r="N3674" i="1"/>
  <c r="O3674" i="1"/>
  <c r="P3674" i="1"/>
  <c r="Q3674" i="1"/>
  <c r="R3674" i="1"/>
  <c r="S3674" i="1"/>
  <c r="T3674" i="1"/>
  <c r="U3674" i="1"/>
  <c r="V3674" i="1"/>
  <c r="W3674" i="1"/>
  <c r="X3674" i="1"/>
  <c r="Y3674" i="1"/>
  <c r="Z3674" i="1"/>
  <c r="A3675" i="1"/>
  <c r="B3675" i="1"/>
  <c r="C3675" i="1"/>
  <c r="D3675" i="1"/>
  <c r="E3675" i="1"/>
  <c r="F3675" i="1"/>
  <c r="G3675" i="1"/>
  <c r="I3675" i="1"/>
  <c r="J3675" i="1"/>
  <c r="K3675" i="1"/>
  <c r="L3675" i="1"/>
  <c r="M3675" i="1"/>
  <c r="N3675" i="1"/>
  <c r="O3675" i="1"/>
  <c r="P3675" i="1"/>
  <c r="Q3675" i="1"/>
  <c r="R3675" i="1"/>
  <c r="S3675" i="1"/>
  <c r="T3675" i="1"/>
  <c r="U3675" i="1"/>
  <c r="V3675" i="1"/>
  <c r="W3675" i="1"/>
  <c r="X3675" i="1"/>
  <c r="Y3675" i="1"/>
  <c r="Z3675" i="1"/>
  <c r="A3676" i="1"/>
  <c r="B3676" i="1"/>
  <c r="C3676" i="1"/>
  <c r="D3676" i="1"/>
  <c r="E3676" i="1"/>
  <c r="F3676" i="1"/>
  <c r="G3676" i="1"/>
  <c r="I3676" i="1"/>
  <c r="J3676" i="1"/>
  <c r="K3676" i="1"/>
  <c r="L3676" i="1"/>
  <c r="M3676" i="1"/>
  <c r="N3676" i="1"/>
  <c r="O3676" i="1"/>
  <c r="P3676" i="1"/>
  <c r="Q3676" i="1"/>
  <c r="R3676" i="1"/>
  <c r="S3676" i="1"/>
  <c r="T3676" i="1"/>
  <c r="U3676" i="1"/>
  <c r="V3676" i="1"/>
  <c r="W3676" i="1"/>
  <c r="X3676" i="1"/>
  <c r="Y3676" i="1"/>
  <c r="Z3676" i="1"/>
  <c r="A3677" i="1"/>
  <c r="B3677" i="1"/>
  <c r="C3677" i="1"/>
  <c r="D3677" i="1"/>
  <c r="E3677" i="1"/>
  <c r="F3677" i="1"/>
  <c r="G3677" i="1"/>
  <c r="I3677" i="1"/>
  <c r="J3677" i="1"/>
  <c r="K3677" i="1"/>
  <c r="L3677" i="1"/>
  <c r="M3677" i="1"/>
  <c r="N3677" i="1"/>
  <c r="O3677" i="1"/>
  <c r="P3677" i="1"/>
  <c r="Q3677" i="1"/>
  <c r="R3677" i="1"/>
  <c r="S3677" i="1"/>
  <c r="T3677" i="1"/>
  <c r="U3677" i="1"/>
  <c r="V3677" i="1"/>
  <c r="W3677" i="1"/>
  <c r="X3677" i="1"/>
  <c r="Y3677" i="1"/>
  <c r="Z3677" i="1"/>
  <c r="A3678" i="1"/>
  <c r="B3678" i="1"/>
  <c r="C3678" i="1"/>
  <c r="D3678" i="1"/>
  <c r="E3678" i="1"/>
  <c r="F3678" i="1"/>
  <c r="G3678" i="1"/>
  <c r="I3678" i="1"/>
  <c r="J3678" i="1"/>
  <c r="K3678" i="1"/>
  <c r="L3678" i="1"/>
  <c r="M3678" i="1"/>
  <c r="N3678" i="1"/>
  <c r="O3678" i="1"/>
  <c r="P3678" i="1"/>
  <c r="Q3678" i="1"/>
  <c r="R3678" i="1"/>
  <c r="S3678" i="1"/>
  <c r="T3678" i="1"/>
  <c r="U3678" i="1"/>
  <c r="V3678" i="1"/>
  <c r="W3678" i="1"/>
  <c r="X3678" i="1"/>
  <c r="Y3678" i="1"/>
  <c r="Z3678" i="1"/>
  <c r="A3679" i="1"/>
  <c r="B3679" i="1"/>
  <c r="C3679" i="1"/>
  <c r="D3679" i="1"/>
  <c r="E3679" i="1"/>
  <c r="F3679" i="1"/>
  <c r="G3679" i="1"/>
  <c r="I3679" i="1"/>
  <c r="J3679" i="1"/>
  <c r="K3679" i="1"/>
  <c r="L3679" i="1"/>
  <c r="M3679" i="1"/>
  <c r="N3679" i="1"/>
  <c r="O3679" i="1"/>
  <c r="P3679" i="1"/>
  <c r="Q3679" i="1"/>
  <c r="R3679" i="1"/>
  <c r="S3679" i="1"/>
  <c r="T3679" i="1"/>
  <c r="U3679" i="1"/>
  <c r="V3679" i="1"/>
  <c r="W3679" i="1"/>
  <c r="X3679" i="1"/>
  <c r="Y3679" i="1"/>
  <c r="Z3679" i="1"/>
  <c r="A3680" i="1"/>
  <c r="B3680" i="1"/>
  <c r="C3680" i="1"/>
  <c r="D3680" i="1"/>
  <c r="E3680" i="1"/>
  <c r="F3680" i="1"/>
  <c r="G3680" i="1"/>
  <c r="I3680" i="1"/>
  <c r="J3680" i="1"/>
  <c r="K3680" i="1"/>
  <c r="L3680" i="1"/>
  <c r="M3680" i="1"/>
  <c r="N3680" i="1"/>
  <c r="O3680" i="1"/>
  <c r="P3680" i="1"/>
  <c r="Q3680" i="1"/>
  <c r="R3680" i="1"/>
  <c r="S3680" i="1"/>
  <c r="T3680" i="1"/>
  <c r="U3680" i="1"/>
  <c r="V3680" i="1"/>
  <c r="W3680" i="1"/>
  <c r="X3680" i="1"/>
  <c r="Y3680" i="1"/>
  <c r="Z3680" i="1"/>
  <c r="A3681" i="1"/>
  <c r="B3681" i="1"/>
  <c r="C3681" i="1"/>
  <c r="D3681" i="1"/>
  <c r="E3681" i="1"/>
  <c r="F3681" i="1"/>
  <c r="G3681" i="1"/>
  <c r="I3681" i="1"/>
  <c r="J3681" i="1"/>
  <c r="K3681" i="1"/>
  <c r="L3681" i="1"/>
  <c r="M3681" i="1"/>
  <c r="N3681" i="1"/>
  <c r="O3681" i="1"/>
  <c r="P3681" i="1"/>
  <c r="Q3681" i="1"/>
  <c r="R3681" i="1"/>
  <c r="S3681" i="1"/>
  <c r="T3681" i="1"/>
  <c r="U3681" i="1"/>
  <c r="V3681" i="1"/>
  <c r="W3681" i="1"/>
  <c r="X3681" i="1"/>
  <c r="Y3681" i="1"/>
  <c r="Z3681" i="1"/>
  <c r="A3682" i="1"/>
  <c r="B3682" i="1"/>
  <c r="C3682" i="1"/>
  <c r="D3682" i="1"/>
  <c r="E3682" i="1"/>
  <c r="F3682" i="1"/>
  <c r="G3682" i="1"/>
  <c r="I3682" i="1"/>
  <c r="J3682" i="1"/>
  <c r="K3682" i="1"/>
  <c r="L3682" i="1"/>
  <c r="M3682" i="1"/>
  <c r="N3682" i="1"/>
  <c r="O3682" i="1"/>
  <c r="P3682" i="1"/>
  <c r="Q3682" i="1"/>
  <c r="R3682" i="1"/>
  <c r="S3682" i="1"/>
  <c r="T3682" i="1"/>
  <c r="U3682" i="1"/>
  <c r="V3682" i="1"/>
  <c r="W3682" i="1"/>
  <c r="X3682" i="1"/>
  <c r="Y3682" i="1"/>
  <c r="Z3682" i="1"/>
  <c r="A3683" i="1"/>
  <c r="B3683" i="1"/>
  <c r="C3683" i="1"/>
  <c r="D3683" i="1"/>
  <c r="E3683" i="1"/>
  <c r="F3683" i="1"/>
  <c r="G3683" i="1"/>
  <c r="I3683" i="1"/>
  <c r="J3683" i="1"/>
  <c r="K3683" i="1"/>
  <c r="L3683" i="1"/>
  <c r="M3683" i="1"/>
  <c r="N3683" i="1"/>
  <c r="O3683" i="1"/>
  <c r="P3683" i="1"/>
  <c r="Q3683" i="1"/>
  <c r="R3683" i="1"/>
  <c r="S3683" i="1"/>
  <c r="T3683" i="1"/>
  <c r="U3683" i="1"/>
  <c r="V3683" i="1"/>
  <c r="W3683" i="1"/>
  <c r="X3683" i="1"/>
  <c r="Y3683" i="1"/>
  <c r="Z3683" i="1"/>
  <c r="A3684" i="1"/>
  <c r="B3684" i="1"/>
  <c r="C3684" i="1"/>
  <c r="D3684" i="1"/>
  <c r="E3684" i="1"/>
  <c r="F3684" i="1"/>
  <c r="G3684" i="1"/>
  <c r="I3684" i="1"/>
  <c r="J3684" i="1"/>
  <c r="K3684" i="1"/>
  <c r="L3684" i="1"/>
  <c r="M3684" i="1"/>
  <c r="N3684" i="1"/>
  <c r="O3684" i="1"/>
  <c r="P3684" i="1"/>
  <c r="Q3684" i="1"/>
  <c r="R3684" i="1"/>
  <c r="S3684" i="1"/>
  <c r="T3684" i="1"/>
  <c r="U3684" i="1"/>
  <c r="V3684" i="1"/>
  <c r="W3684" i="1"/>
  <c r="X3684" i="1"/>
  <c r="Y3684" i="1"/>
  <c r="Z3684" i="1"/>
  <c r="A3685" i="1"/>
  <c r="B3685" i="1"/>
  <c r="C3685" i="1"/>
  <c r="D3685" i="1"/>
  <c r="E3685" i="1"/>
  <c r="F3685" i="1"/>
  <c r="G3685" i="1"/>
  <c r="I3685" i="1"/>
  <c r="J3685" i="1"/>
  <c r="K3685" i="1"/>
  <c r="L3685" i="1"/>
  <c r="M3685" i="1"/>
  <c r="N3685" i="1"/>
  <c r="O3685" i="1"/>
  <c r="P3685" i="1"/>
  <c r="Q3685" i="1"/>
  <c r="R3685" i="1"/>
  <c r="S3685" i="1"/>
  <c r="T3685" i="1"/>
  <c r="U3685" i="1"/>
  <c r="V3685" i="1"/>
  <c r="W3685" i="1"/>
  <c r="X3685" i="1"/>
  <c r="Y3685" i="1"/>
  <c r="Z3685" i="1"/>
  <c r="A3686" i="1"/>
  <c r="B3686" i="1"/>
  <c r="C3686" i="1"/>
  <c r="D3686" i="1"/>
  <c r="E3686" i="1"/>
  <c r="F3686" i="1"/>
  <c r="G3686" i="1"/>
  <c r="I3686" i="1"/>
  <c r="J3686" i="1"/>
  <c r="K3686" i="1"/>
  <c r="L3686" i="1"/>
  <c r="M3686" i="1"/>
  <c r="N3686" i="1"/>
  <c r="O3686" i="1"/>
  <c r="P3686" i="1"/>
  <c r="Q3686" i="1"/>
  <c r="R3686" i="1"/>
  <c r="S3686" i="1"/>
  <c r="T3686" i="1"/>
  <c r="U3686" i="1"/>
  <c r="V3686" i="1"/>
  <c r="W3686" i="1"/>
  <c r="X3686" i="1"/>
  <c r="Y3686" i="1"/>
  <c r="Z3686" i="1"/>
  <c r="A3687" i="1"/>
  <c r="B3687" i="1"/>
  <c r="C3687" i="1"/>
  <c r="D3687" i="1"/>
  <c r="E3687" i="1"/>
  <c r="F3687" i="1"/>
  <c r="G3687" i="1"/>
  <c r="I3687" i="1"/>
  <c r="J3687" i="1"/>
  <c r="K3687" i="1"/>
  <c r="L3687" i="1"/>
  <c r="M3687" i="1"/>
  <c r="N3687" i="1"/>
  <c r="O3687" i="1"/>
  <c r="P3687" i="1"/>
  <c r="Q3687" i="1"/>
  <c r="R3687" i="1"/>
  <c r="S3687" i="1"/>
  <c r="T3687" i="1"/>
  <c r="U3687" i="1"/>
  <c r="V3687" i="1"/>
  <c r="W3687" i="1"/>
  <c r="X3687" i="1"/>
  <c r="Y3687" i="1"/>
  <c r="Z3687" i="1"/>
  <c r="A3688" i="1"/>
  <c r="B3688" i="1"/>
  <c r="C3688" i="1"/>
  <c r="D3688" i="1"/>
  <c r="E3688" i="1"/>
  <c r="F3688" i="1"/>
  <c r="G3688" i="1"/>
  <c r="I3688" i="1"/>
  <c r="J3688" i="1"/>
  <c r="K3688" i="1"/>
  <c r="L3688" i="1"/>
  <c r="M3688" i="1"/>
  <c r="N3688" i="1"/>
  <c r="O3688" i="1"/>
  <c r="P3688" i="1"/>
  <c r="Q3688" i="1"/>
  <c r="R3688" i="1"/>
  <c r="S3688" i="1"/>
  <c r="T3688" i="1"/>
  <c r="U3688" i="1"/>
  <c r="V3688" i="1"/>
  <c r="W3688" i="1"/>
  <c r="X3688" i="1"/>
  <c r="Y3688" i="1"/>
  <c r="Z3688" i="1"/>
  <c r="A3689" i="1"/>
  <c r="B3689" i="1"/>
  <c r="C3689" i="1"/>
  <c r="D3689" i="1"/>
  <c r="E3689" i="1"/>
  <c r="F3689" i="1"/>
  <c r="G3689" i="1"/>
  <c r="I3689" i="1"/>
  <c r="J3689" i="1"/>
  <c r="K3689" i="1"/>
  <c r="L3689" i="1"/>
  <c r="M3689" i="1"/>
  <c r="N3689" i="1"/>
  <c r="O3689" i="1"/>
  <c r="P3689" i="1"/>
  <c r="Q3689" i="1"/>
  <c r="R3689" i="1"/>
  <c r="S3689" i="1"/>
  <c r="T3689" i="1"/>
  <c r="U3689" i="1"/>
  <c r="V3689" i="1"/>
  <c r="W3689" i="1"/>
  <c r="X3689" i="1"/>
  <c r="Y3689" i="1"/>
  <c r="Z3689" i="1"/>
  <c r="A3690" i="1"/>
  <c r="B3690" i="1"/>
  <c r="C3690" i="1"/>
  <c r="D3690" i="1"/>
  <c r="E3690" i="1"/>
  <c r="F3690" i="1"/>
  <c r="G3690" i="1"/>
  <c r="I3690" i="1"/>
  <c r="J3690" i="1"/>
  <c r="K3690" i="1"/>
  <c r="L3690" i="1"/>
  <c r="M3690" i="1"/>
  <c r="N3690" i="1"/>
  <c r="O3690" i="1"/>
  <c r="P3690" i="1"/>
  <c r="Q3690" i="1"/>
  <c r="R3690" i="1"/>
  <c r="S3690" i="1"/>
  <c r="T3690" i="1"/>
  <c r="U3690" i="1"/>
  <c r="V3690" i="1"/>
  <c r="W3690" i="1"/>
  <c r="X3690" i="1"/>
  <c r="Y3690" i="1"/>
  <c r="Z3690" i="1"/>
  <c r="A3691" i="1"/>
  <c r="B3691" i="1"/>
  <c r="C3691" i="1"/>
  <c r="D3691" i="1"/>
  <c r="E3691" i="1"/>
  <c r="F3691" i="1"/>
  <c r="G3691" i="1"/>
  <c r="I3691" i="1"/>
  <c r="J3691" i="1"/>
  <c r="K3691" i="1"/>
  <c r="L3691" i="1"/>
  <c r="M3691" i="1"/>
  <c r="N3691" i="1"/>
  <c r="O3691" i="1"/>
  <c r="P3691" i="1"/>
  <c r="Q3691" i="1"/>
  <c r="R3691" i="1"/>
  <c r="S3691" i="1"/>
  <c r="T3691" i="1"/>
  <c r="U3691" i="1"/>
  <c r="V3691" i="1"/>
  <c r="W3691" i="1"/>
  <c r="X3691" i="1"/>
  <c r="Y3691" i="1"/>
  <c r="Z3691" i="1"/>
  <c r="A3692" i="1"/>
  <c r="B3692" i="1"/>
  <c r="C3692" i="1"/>
  <c r="D3692" i="1"/>
  <c r="E3692" i="1"/>
  <c r="F3692" i="1"/>
  <c r="G3692" i="1"/>
  <c r="I3692" i="1"/>
  <c r="J3692" i="1"/>
  <c r="K3692" i="1"/>
  <c r="L3692" i="1"/>
  <c r="M3692" i="1"/>
  <c r="N3692" i="1"/>
  <c r="O3692" i="1"/>
  <c r="P3692" i="1"/>
  <c r="Q3692" i="1"/>
  <c r="R3692" i="1"/>
  <c r="S3692" i="1"/>
  <c r="T3692" i="1"/>
  <c r="U3692" i="1"/>
  <c r="V3692" i="1"/>
  <c r="W3692" i="1"/>
  <c r="X3692" i="1"/>
  <c r="Y3692" i="1"/>
  <c r="Z3692" i="1"/>
  <c r="A3693" i="1"/>
  <c r="B3693" i="1"/>
  <c r="C3693" i="1"/>
  <c r="D3693" i="1"/>
  <c r="E3693" i="1"/>
  <c r="F3693" i="1"/>
  <c r="G3693" i="1"/>
  <c r="I3693" i="1"/>
  <c r="J3693" i="1"/>
  <c r="K3693" i="1"/>
  <c r="L3693" i="1"/>
  <c r="M3693" i="1"/>
  <c r="N3693" i="1"/>
  <c r="O3693" i="1"/>
  <c r="P3693" i="1"/>
  <c r="Q3693" i="1"/>
  <c r="R3693" i="1"/>
  <c r="S3693" i="1"/>
  <c r="T3693" i="1"/>
  <c r="U3693" i="1"/>
  <c r="V3693" i="1"/>
  <c r="W3693" i="1"/>
  <c r="X3693" i="1"/>
  <c r="Y3693" i="1"/>
  <c r="Z3693" i="1"/>
  <c r="A3694" i="1"/>
  <c r="B3694" i="1"/>
  <c r="C3694" i="1"/>
  <c r="D3694" i="1"/>
  <c r="E3694" i="1"/>
  <c r="F3694" i="1"/>
  <c r="G3694" i="1"/>
  <c r="I3694" i="1"/>
  <c r="J3694" i="1"/>
  <c r="K3694" i="1"/>
  <c r="L3694" i="1"/>
  <c r="M3694" i="1"/>
  <c r="N3694" i="1"/>
  <c r="O3694" i="1"/>
  <c r="P3694" i="1"/>
  <c r="Q3694" i="1"/>
  <c r="R3694" i="1"/>
  <c r="S3694" i="1"/>
  <c r="T3694" i="1"/>
  <c r="U3694" i="1"/>
  <c r="V3694" i="1"/>
  <c r="W3694" i="1"/>
  <c r="X3694" i="1"/>
  <c r="Y3694" i="1"/>
  <c r="Z3694" i="1"/>
  <c r="A3695" i="1"/>
  <c r="B3695" i="1"/>
  <c r="C3695" i="1"/>
  <c r="D3695" i="1"/>
  <c r="E3695" i="1"/>
  <c r="F3695" i="1"/>
  <c r="G3695" i="1"/>
  <c r="I3695" i="1"/>
  <c r="J3695" i="1"/>
  <c r="K3695" i="1"/>
  <c r="L3695" i="1"/>
  <c r="M3695" i="1"/>
  <c r="N3695" i="1"/>
  <c r="O3695" i="1"/>
  <c r="P3695" i="1"/>
  <c r="Q3695" i="1"/>
  <c r="R3695" i="1"/>
  <c r="S3695" i="1"/>
  <c r="T3695" i="1"/>
  <c r="U3695" i="1"/>
  <c r="V3695" i="1"/>
  <c r="W3695" i="1"/>
  <c r="X3695" i="1"/>
  <c r="Y3695" i="1"/>
  <c r="Z3695" i="1"/>
  <c r="A3696" i="1"/>
  <c r="B3696" i="1"/>
  <c r="C3696" i="1"/>
  <c r="D3696" i="1"/>
  <c r="E3696" i="1"/>
  <c r="F3696" i="1"/>
  <c r="G3696" i="1"/>
  <c r="I3696" i="1"/>
  <c r="J3696" i="1"/>
  <c r="K3696" i="1"/>
  <c r="L3696" i="1"/>
  <c r="M3696" i="1"/>
  <c r="N3696" i="1"/>
  <c r="O3696" i="1"/>
  <c r="P3696" i="1"/>
  <c r="Q3696" i="1"/>
  <c r="R3696" i="1"/>
  <c r="S3696" i="1"/>
  <c r="T3696" i="1"/>
  <c r="U3696" i="1"/>
  <c r="V3696" i="1"/>
  <c r="W3696" i="1"/>
  <c r="X3696" i="1"/>
  <c r="Y3696" i="1"/>
  <c r="Z3696" i="1"/>
  <c r="A3697" i="1"/>
  <c r="B3697" i="1"/>
  <c r="C3697" i="1"/>
  <c r="D3697" i="1"/>
  <c r="E3697" i="1"/>
  <c r="F3697" i="1"/>
  <c r="G3697" i="1"/>
  <c r="I3697" i="1"/>
  <c r="J3697" i="1"/>
  <c r="K3697" i="1"/>
  <c r="L3697" i="1"/>
  <c r="M3697" i="1"/>
  <c r="N3697" i="1"/>
  <c r="O3697" i="1"/>
  <c r="P3697" i="1"/>
  <c r="Q3697" i="1"/>
  <c r="R3697" i="1"/>
  <c r="S3697" i="1"/>
  <c r="T3697" i="1"/>
  <c r="U3697" i="1"/>
  <c r="V3697" i="1"/>
  <c r="W3697" i="1"/>
  <c r="X3697" i="1"/>
  <c r="Y3697" i="1"/>
  <c r="Z3697" i="1"/>
  <c r="A3698" i="1"/>
  <c r="B3698" i="1"/>
  <c r="C3698" i="1"/>
  <c r="D3698" i="1"/>
  <c r="E3698" i="1"/>
  <c r="F3698" i="1"/>
  <c r="G3698" i="1"/>
  <c r="I3698" i="1"/>
  <c r="J3698" i="1"/>
  <c r="K3698" i="1"/>
  <c r="L3698" i="1"/>
  <c r="M3698" i="1"/>
  <c r="N3698" i="1"/>
  <c r="O3698" i="1"/>
  <c r="P3698" i="1"/>
  <c r="Q3698" i="1"/>
  <c r="R3698" i="1"/>
  <c r="S3698" i="1"/>
  <c r="T3698" i="1"/>
  <c r="U3698" i="1"/>
  <c r="V3698" i="1"/>
  <c r="W3698" i="1"/>
  <c r="X3698" i="1"/>
  <c r="Y3698" i="1"/>
  <c r="Z3698" i="1"/>
  <c r="A3699" i="1"/>
  <c r="B3699" i="1"/>
  <c r="C3699" i="1"/>
  <c r="D3699" i="1"/>
  <c r="E3699" i="1"/>
  <c r="F3699" i="1"/>
  <c r="G3699" i="1"/>
  <c r="I3699" i="1"/>
  <c r="J3699" i="1"/>
  <c r="K3699" i="1"/>
  <c r="L3699" i="1"/>
  <c r="M3699" i="1"/>
  <c r="N3699" i="1"/>
  <c r="O3699" i="1"/>
  <c r="P3699" i="1"/>
  <c r="Q3699" i="1"/>
  <c r="R3699" i="1"/>
  <c r="S3699" i="1"/>
  <c r="T3699" i="1"/>
  <c r="U3699" i="1"/>
  <c r="V3699" i="1"/>
  <c r="W3699" i="1"/>
  <c r="X3699" i="1"/>
  <c r="Y3699" i="1"/>
  <c r="Z3699" i="1"/>
  <c r="A3700" i="1"/>
  <c r="B3700" i="1"/>
  <c r="C3700" i="1"/>
  <c r="D3700" i="1"/>
  <c r="E3700" i="1"/>
  <c r="F3700" i="1"/>
  <c r="G3700" i="1"/>
  <c r="I3700" i="1"/>
  <c r="J3700" i="1"/>
  <c r="K3700" i="1"/>
  <c r="L3700" i="1"/>
  <c r="M3700" i="1"/>
  <c r="N3700" i="1"/>
  <c r="O3700" i="1"/>
  <c r="P3700" i="1"/>
  <c r="Q3700" i="1"/>
  <c r="R3700" i="1"/>
  <c r="S3700" i="1"/>
  <c r="T3700" i="1"/>
  <c r="U3700" i="1"/>
  <c r="V3700" i="1"/>
  <c r="W3700" i="1"/>
  <c r="X3700" i="1"/>
  <c r="Y3700" i="1"/>
  <c r="Z3700" i="1"/>
  <c r="A3701" i="1"/>
  <c r="B3701" i="1"/>
  <c r="C3701" i="1"/>
  <c r="D3701" i="1"/>
  <c r="E3701" i="1"/>
  <c r="F3701" i="1"/>
  <c r="G3701" i="1"/>
  <c r="I3701" i="1"/>
  <c r="J3701" i="1"/>
  <c r="K3701" i="1"/>
  <c r="L3701" i="1"/>
  <c r="M3701" i="1"/>
  <c r="N3701" i="1"/>
  <c r="O3701" i="1"/>
  <c r="P3701" i="1"/>
  <c r="Q3701" i="1"/>
  <c r="R3701" i="1"/>
  <c r="S3701" i="1"/>
  <c r="T3701" i="1"/>
  <c r="U3701" i="1"/>
  <c r="V3701" i="1"/>
  <c r="W3701" i="1"/>
  <c r="X3701" i="1"/>
  <c r="Y3701" i="1"/>
  <c r="Z3701" i="1"/>
  <c r="A3702" i="1"/>
  <c r="B3702" i="1"/>
  <c r="C3702" i="1"/>
  <c r="D3702" i="1"/>
  <c r="E3702" i="1"/>
  <c r="F3702" i="1"/>
  <c r="G3702" i="1"/>
  <c r="I3702" i="1"/>
  <c r="J3702" i="1"/>
  <c r="K3702" i="1"/>
  <c r="L3702" i="1"/>
  <c r="M3702" i="1"/>
  <c r="N3702" i="1"/>
  <c r="O3702" i="1"/>
  <c r="P3702" i="1"/>
  <c r="Q3702" i="1"/>
  <c r="R3702" i="1"/>
  <c r="S3702" i="1"/>
  <c r="T3702" i="1"/>
  <c r="U3702" i="1"/>
  <c r="V3702" i="1"/>
  <c r="W3702" i="1"/>
  <c r="X3702" i="1"/>
  <c r="Y3702" i="1"/>
  <c r="Z3702" i="1"/>
  <c r="A3703" i="1"/>
  <c r="B3703" i="1"/>
  <c r="C3703" i="1"/>
  <c r="D3703" i="1"/>
  <c r="E3703" i="1"/>
  <c r="F3703" i="1"/>
  <c r="G3703" i="1"/>
  <c r="I3703" i="1"/>
  <c r="J3703" i="1"/>
  <c r="K3703" i="1"/>
  <c r="L3703" i="1"/>
  <c r="M3703" i="1"/>
  <c r="N3703" i="1"/>
  <c r="O3703" i="1"/>
  <c r="P3703" i="1"/>
  <c r="Q3703" i="1"/>
  <c r="R3703" i="1"/>
  <c r="S3703" i="1"/>
  <c r="T3703" i="1"/>
  <c r="U3703" i="1"/>
  <c r="V3703" i="1"/>
  <c r="W3703" i="1"/>
  <c r="X3703" i="1"/>
  <c r="Y3703" i="1"/>
  <c r="Z3703" i="1"/>
  <c r="A3704" i="1"/>
  <c r="B3704" i="1"/>
  <c r="C3704" i="1"/>
  <c r="D3704" i="1"/>
  <c r="E3704" i="1"/>
  <c r="F3704" i="1"/>
  <c r="G3704" i="1"/>
  <c r="I3704" i="1"/>
  <c r="J3704" i="1"/>
  <c r="K3704" i="1"/>
  <c r="L3704" i="1"/>
  <c r="M3704" i="1"/>
  <c r="N3704" i="1"/>
  <c r="O3704" i="1"/>
  <c r="P3704" i="1"/>
  <c r="Q3704" i="1"/>
  <c r="R3704" i="1"/>
  <c r="S3704" i="1"/>
  <c r="T3704" i="1"/>
  <c r="U3704" i="1"/>
  <c r="V3704" i="1"/>
  <c r="W3704" i="1"/>
  <c r="X3704" i="1"/>
  <c r="Y3704" i="1"/>
  <c r="Z3704" i="1"/>
  <c r="A3705" i="1"/>
  <c r="B3705" i="1"/>
  <c r="C3705" i="1"/>
  <c r="D3705" i="1"/>
  <c r="E3705" i="1"/>
  <c r="F3705" i="1"/>
  <c r="G3705" i="1"/>
  <c r="I3705" i="1"/>
  <c r="J3705" i="1"/>
  <c r="K3705" i="1"/>
  <c r="L3705" i="1"/>
  <c r="M3705" i="1"/>
  <c r="N3705" i="1"/>
  <c r="O3705" i="1"/>
  <c r="P3705" i="1"/>
  <c r="Q3705" i="1"/>
  <c r="R3705" i="1"/>
  <c r="S3705" i="1"/>
  <c r="T3705" i="1"/>
  <c r="U3705" i="1"/>
  <c r="V3705" i="1"/>
  <c r="W3705" i="1"/>
  <c r="X3705" i="1"/>
  <c r="Y3705" i="1"/>
  <c r="Z3705" i="1"/>
  <c r="A3706" i="1"/>
  <c r="B3706" i="1"/>
  <c r="C3706" i="1"/>
  <c r="D3706" i="1"/>
  <c r="E3706" i="1"/>
  <c r="F3706" i="1"/>
  <c r="G3706" i="1"/>
  <c r="I3706" i="1"/>
  <c r="J3706" i="1"/>
  <c r="K3706" i="1"/>
  <c r="L3706" i="1"/>
  <c r="M3706" i="1"/>
  <c r="N3706" i="1"/>
  <c r="O3706" i="1"/>
  <c r="P3706" i="1"/>
  <c r="Q3706" i="1"/>
  <c r="R3706" i="1"/>
  <c r="S3706" i="1"/>
  <c r="T3706" i="1"/>
  <c r="U3706" i="1"/>
  <c r="V3706" i="1"/>
  <c r="W3706" i="1"/>
  <c r="X3706" i="1"/>
  <c r="Y3706" i="1"/>
  <c r="Z3706" i="1"/>
  <c r="A3707" i="1"/>
  <c r="B3707" i="1"/>
  <c r="C3707" i="1"/>
  <c r="D3707" i="1"/>
  <c r="E3707" i="1"/>
  <c r="F3707" i="1"/>
  <c r="G3707" i="1"/>
  <c r="I3707" i="1"/>
  <c r="J3707" i="1"/>
  <c r="K3707" i="1"/>
  <c r="L3707" i="1"/>
  <c r="M3707" i="1"/>
  <c r="N3707" i="1"/>
  <c r="O3707" i="1"/>
  <c r="P3707" i="1"/>
  <c r="Q3707" i="1"/>
  <c r="R3707" i="1"/>
  <c r="S3707" i="1"/>
  <c r="T3707" i="1"/>
  <c r="U3707" i="1"/>
  <c r="V3707" i="1"/>
  <c r="W3707" i="1"/>
  <c r="X3707" i="1"/>
  <c r="Y3707" i="1"/>
  <c r="Z3707" i="1"/>
  <c r="A3708" i="1"/>
  <c r="B3708" i="1"/>
  <c r="C3708" i="1"/>
  <c r="D3708" i="1"/>
  <c r="E3708" i="1"/>
  <c r="F3708" i="1"/>
  <c r="G3708" i="1"/>
  <c r="I3708" i="1"/>
  <c r="J3708" i="1"/>
  <c r="K3708" i="1"/>
  <c r="L3708" i="1"/>
  <c r="M3708" i="1"/>
  <c r="N3708" i="1"/>
  <c r="O3708" i="1"/>
  <c r="P3708" i="1"/>
  <c r="Q3708" i="1"/>
  <c r="R3708" i="1"/>
  <c r="S3708" i="1"/>
  <c r="T3708" i="1"/>
  <c r="U3708" i="1"/>
  <c r="V3708" i="1"/>
  <c r="W3708" i="1"/>
  <c r="X3708" i="1"/>
  <c r="Y3708" i="1"/>
  <c r="Z3708" i="1"/>
  <c r="A3709" i="1"/>
  <c r="B3709" i="1"/>
  <c r="C3709" i="1"/>
  <c r="D3709" i="1"/>
  <c r="E3709" i="1"/>
  <c r="F3709" i="1"/>
  <c r="G3709" i="1"/>
  <c r="I3709" i="1"/>
  <c r="J3709" i="1"/>
  <c r="K3709" i="1"/>
  <c r="L3709" i="1"/>
  <c r="M3709" i="1"/>
  <c r="N3709" i="1"/>
  <c r="O3709" i="1"/>
  <c r="P3709" i="1"/>
  <c r="Q3709" i="1"/>
  <c r="R3709" i="1"/>
  <c r="S3709" i="1"/>
  <c r="T3709" i="1"/>
  <c r="U3709" i="1"/>
  <c r="V3709" i="1"/>
  <c r="W3709" i="1"/>
  <c r="X3709" i="1"/>
  <c r="Y3709" i="1"/>
  <c r="Z3709" i="1"/>
  <c r="A3710" i="1"/>
  <c r="B3710" i="1"/>
  <c r="C3710" i="1"/>
  <c r="D3710" i="1"/>
  <c r="E3710" i="1"/>
  <c r="F3710" i="1"/>
  <c r="G3710" i="1"/>
  <c r="I3710" i="1"/>
  <c r="J3710" i="1"/>
  <c r="K3710" i="1"/>
  <c r="L3710" i="1"/>
  <c r="M3710" i="1"/>
  <c r="N3710" i="1"/>
  <c r="O3710" i="1"/>
  <c r="P3710" i="1"/>
  <c r="Q3710" i="1"/>
  <c r="R3710" i="1"/>
  <c r="S3710" i="1"/>
  <c r="T3710" i="1"/>
  <c r="U3710" i="1"/>
  <c r="V3710" i="1"/>
  <c r="W3710" i="1"/>
  <c r="X3710" i="1"/>
  <c r="Y3710" i="1"/>
  <c r="Z3710" i="1"/>
  <c r="A3711" i="1"/>
  <c r="B3711" i="1"/>
  <c r="C3711" i="1"/>
  <c r="D3711" i="1"/>
  <c r="E3711" i="1"/>
  <c r="F3711" i="1"/>
  <c r="G3711" i="1"/>
  <c r="I3711" i="1"/>
  <c r="J3711" i="1"/>
  <c r="K3711" i="1"/>
  <c r="L3711" i="1"/>
  <c r="M3711" i="1"/>
  <c r="N3711" i="1"/>
  <c r="O3711" i="1"/>
  <c r="P3711" i="1"/>
  <c r="Q3711" i="1"/>
  <c r="R3711" i="1"/>
  <c r="S3711" i="1"/>
  <c r="T3711" i="1"/>
  <c r="U3711" i="1"/>
  <c r="V3711" i="1"/>
  <c r="W3711" i="1"/>
  <c r="X3711" i="1"/>
  <c r="Y3711" i="1"/>
  <c r="Z3711" i="1"/>
  <c r="A3712" i="1"/>
  <c r="B3712" i="1"/>
  <c r="C3712" i="1"/>
  <c r="D3712" i="1"/>
  <c r="E3712" i="1"/>
  <c r="F3712" i="1"/>
  <c r="G3712" i="1"/>
  <c r="I3712" i="1"/>
  <c r="J3712" i="1"/>
  <c r="K3712" i="1"/>
  <c r="L3712" i="1"/>
  <c r="M3712" i="1"/>
  <c r="N3712" i="1"/>
  <c r="O3712" i="1"/>
  <c r="P3712" i="1"/>
  <c r="Q3712" i="1"/>
  <c r="R3712" i="1"/>
  <c r="S3712" i="1"/>
  <c r="T3712" i="1"/>
  <c r="U3712" i="1"/>
  <c r="V3712" i="1"/>
  <c r="W3712" i="1"/>
  <c r="X3712" i="1"/>
  <c r="Y3712" i="1"/>
  <c r="Z3712" i="1"/>
  <c r="A3713" i="1"/>
  <c r="B3713" i="1"/>
  <c r="C3713" i="1"/>
  <c r="D3713" i="1"/>
  <c r="E3713" i="1"/>
  <c r="F3713" i="1"/>
  <c r="G3713" i="1"/>
  <c r="I3713" i="1"/>
  <c r="J3713" i="1"/>
  <c r="K3713" i="1"/>
  <c r="L3713" i="1"/>
  <c r="M3713" i="1"/>
  <c r="N3713" i="1"/>
  <c r="O3713" i="1"/>
  <c r="P3713" i="1"/>
  <c r="Q3713" i="1"/>
  <c r="R3713" i="1"/>
  <c r="S3713" i="1"/>
  <c r="T3713" i="1"/>
  <c r="U3713" i="1"/>
  <c r="V3713" i="1"/>
  <c r="W3713" i="1"/>
  <c r="X3713" i="1"/>
  <c r="Y3713" i="1"/>
  <c r="Z3713" i="1"/>
  <c r="A3714" i="1"/>
  <c r="B3714" i="1"/>
  <c r="C3714" i="1"/>
  <c r="D3714" i="1"/>
  <c r="E3714" i="1"/>
  <c r="F3714" i="1"/>
  <c r="G3714" i="1"/>
  <c r="I3714" i="1"/>
  <c r="J3714" i="1"/>
  <c r="K3714" i="1"/>
  <c r="L3714" i="1"/>
  <c r="M3714" i="1"/>
  <c r="N3714" i="1"/>
  <c r="O3714" i="1"/>
  <c r="P3714" i="1"/>
  <c r="Q3714" i="1"/>
  <c r="R3714" i="1"/>
  <c r="S3714" i="1"/>
  <c r="T3714" i="1"/>
  <c r="U3714" i="1"/>
  <c r="V3714" i="1"/>
  <c r="W3714" i="1"/>
  <c r="X3714" i="1"/>
  <c r="Y3714" i="1"/>
  <c r="Z3714" i="1"/>
  <c r="A3715" i="1"/>
  <c r="B3715" i="1"/>
  <c r="C3715" i="1"/>
  <c r="D3715" i="1"/>
  <c r="E3715" i="1"/>
  <c r="F3715" i="1"/>
  <c r="G3715" i="1"/>
  <c r="I3715" i="1"/>
  <c r="J3715" i="1"/>
  <c r="K3715" i="1"/>
  <c r="L3715" i="1"/>
  <c r="M3715" i="1"/>
  <c r="N3715" i="1"/>
  <c r="O3715" i="1"/>
  <c r="P3715" i="1"/>
  <c r="Q3715" i="1"/>
  <c r="R3715" i="1"/>
  <c r="S3715" i="1"/>
  <c r="T3715" i="1"/>
  <c r="U3715" i="1"/>
  <c r="V3715" i="1"/>
  <c r="W3715" i="1"/>
  <c r="X3715" i="1"/>
  <c r="Y3715" i="1"/>
  <c r="Z3715" i="1"/>
  <c r="A3716" i="1"/>
  <c r="B3716" i="1"/>
  <c r="C3716" i="1"/>
  <c r="D3716" i="1"/>
  <c r="E3716" i="1"/>
  <c r="F3716" i="1"/>
  <c r="G3716" i="1"/>
  <c r="I3716" i="1"/>
  <c r="J3716" i="1"/>
  <c r="K3716" i="1"/>
  <c r="L3716" i="1"/>
  <c r="M3716" i="1"/>
  <c r="N3716" i="1"/>
  <c r="O3716" i="1"/>
  <c r="P3716" i="1"/>
  <c r="Q3716" i="1"/>
  <c r="R3716" i="1"/>
  <c r="S3716" i="1"/>
  <c r="T3716" i="1"/>
  <c r="U3716" i="1"/>
  <c r="V3716" i="1"/>
  <c r="W3716" i="1"/>
  <c r="X3716" i="1"/>
  <c r="Y3716" i="1"/>
  <c r="Z3716" i="1"/>
  <c r="A3717" i="1"/>
  <c r="B3717" i="1"/>
  <c r="C3717" i="1"/>
  <c r="D3717" i="1"/>
  <c r="E3717" i="1"/>
  <c r="F3717" i="1"/>
  <c r="G3717" i="1"/>
  <c r="I3717" i="1"/>
  <c r="J3717" i="1"/>
  <c r="K3717" i="1"/>
  <c r="L3717" i="1"/>
  <c r="M3717" i="1"/>
  <c r="N3717" i="1"/>
  <c r="O3717" i="1"/>
  <c r="P3717" i="1"/>
  <c r="Q3717" i="1"/>
  <c r="R3717" i="1"/>
  <c r="S3717" i="1"/>
  <c r="T3717" i="1"/>
  <c r="U3717" i="1"/>
  <c r="V3717" i="1"/>
  <c r="W3717" i="1"/>
  <c r="X3717" i="1"/>
  <c r="Y3717" i="1"/>
  <c r="Z3717" i="1"/>
  <c r="A3718" i="1"/>
  <c r="B3718" i="1"/>
  <c r="C3718" i="1"/>
  <c r="D3718" i="1"/>
  <c r="E3718" i="1"/>
  <c r="F3718" i="1"/>
  <c r="G3718" i="1"/>
  <c r="I3718" i="1"/>
  <c r="J3718" i="1"/>
  <c r="K3718" i="1"/>
  <c r="L3718" i="1"/>
  <c r="M3718" i="1"/>
  <c r="N3718" i="1"/>
  <c r="O3718" i="1"/>
  <c r="P3718" i="1"/>
  <c r="Q3718" i="1"/>
  <c r="R3718" i="1"/>
  <c r="S3718" i="1"/>
  <c r="T3718" i="1"/>
  <c r="U3718" i="1"/>
  <c r="V3718" i="1"/>
  <c r="W3718" i="1"/>
  <c r="X3718" i="1"/>
  <c r="Y3718" i="1"/>
  <c r="Z3718" i="1"/>
  <c r="A3719" i="1"/>
  <c r="B3719" i="1"/>
  <c r="C3719" i="1"/>
  <c r="D3719" i="1"/>
  <c r="E3719" i="1"/>
  <c r="F3719" i="1"/>
  <c r="G3719" i="1"/>
  <c r="I3719" i="1"/>
  <c r="J3719" i="1"/>
  <c r="K3719" i="1"/>
  <c r="L3719" i="1"/>
  <c r="M3719" i="1"/>
  <c r="N3719" i="1"/>
  <c r="O3719" i="1"/>
  <c r="P3719" i="1"/>
  <c r="Q3719" i="1"/>
  <c r="R3719" i="1"/>
  <c r="S3719" i="1"/>
  <c r="T3719" i="1"/>
  <c r="U3719" i="1"/>
  <c r="V3719" i="1"/>
  <c r="W3719" i="1"/>
  <c r="X3719" i="1"/>
  <c r="Y3719" i="1"/>
  <c r="Z3719" i="1"/>
  <c r="A3720" i="1"/>
  <c r="B3720" i="1"/>
  <c r="C3720" i="1"/>
  <c r="D3720" i="1"/>
  <c r="E3720" i="1"/>
  <c r="F3720" i="1"/>
  <c r="G3720" i="1"/>
  <c r="I3720" i="1"/>
  <c r="J3720" i="1"/>
  <c r="K3720" i="1"/>
  <c r="L3720" i="1"/>
  <c r="M3720" i="1"/>
  <c r="N3720" i="1"/>
  <c r="O3720" i="1"/>
  <c r="P3720" i="1"/>
  <c r="Q3720" i="1"/>
  <c r="R3720" i="1"/>
  <c r="S3720" i="1"/>
  <c r="T3720" i="1"/>
  <c r="U3720" i="1"/>
  <c r="V3720" i="1"/>
  <c r="W3720" i="1"/>
  <c r="X3720" i="1"/>
  <c r="Y3720" i="1"/>
  <c r="Z3720" i="1"/>
  <c r="A3721" i="1"/>
  <c r="B3721" i="1"/>
  <c r="C3721" i="1"/>
  <c r="D3721" i="1"/>
  <c r="E3721" i="1"/>
  <c r="F3721" i="1"/>
  <c r="G3721" i="1"/>
  <c r="I3721" i="1"/>
  <c r="J3721" i="1"/>
  <c r="K3721" i="1"/>
  <c r="L3721" i="1"/>
  <c r="M3721" i="1"/>
  <c r="N3721" i="1"/>
  <c r="O3721" i="1"/>
  <c r="P3721" i="1"/>
  <c r="Q3721" i="1"/>
  <c r="R3721" i="1"/>
  <c r="S3721" i="1"/>
  <c r="T3721" i="1"/>
  <c r="U3721" i="1"/>
  <c r="V3721" i="1"/>
  <c r="W3721" i="1"/>
  <c r="X3721" i="1"/>
  <c r="Y3721" i="1"/>
  <c r="Z3721" i="1"/>
  <c r="A3722" i="1"/>
  <c r="B3722" i="1"/>
  <c r="C3722" i="1"/>
  <c r="D3722" i="1"/>
  <c r="E3722" i="1"/>
  <c r="F3722" i="1"/>
  <c r="G3722" i="1"/>
  <c r="I3722" i="1"/>
  <c r="J3722" i="1"/>
  <c r="K3722" i="1"/>
  <c r="L3722" i="1"/>
  <c r="M3722" i="1"/>
  <c r="N3722" i="1"/>
  <c r="O3722" i="1"/>
  <c r="P3722" i="1"/>
  <c r="Q3722" i="1"/>
  <c r="R3722" i="1"/>
  <c r="S3722" i="1"/>
  <c r="T3722" i="1"/>
  <c r="U3722" i="1"/>
  <c r="V3722" i="1"/>
  <c r="W3722" i="1"/>
  <c r="X3722" i="1"/>
  <c r="Y3722" i="1"/>
  <c r="Z3722" i="1"/>
  <c r="A3723" i="1"/>
  <c r="B3723" i="1"/>
  <c r="C3723" i="1"/>
  <c r="D3723" i="1"/>
  <c r="E3723" i="1"/>
  <c r="F3723" i="1"/>
  <c r="G3723" i="1"/>
  <c r="I3723" i="1"/>
  <c r="J3723" i="1"/>
  <c r="K3723" i="1"/>
  <c r="L3723" i="1"/>
  <c r="M3723" i="1"/>
  <c r="N3723" i="1"/>
  <c r="O3723" i="1"/>
  <c r="P3723" i="1"/>
  <c r="Q3723" i="1"/>
  <c r="R3723" i="1"/>
  <c r="S3723" i="1"/>
  <c r="T3723" i="1"/>
  <c r="U3723" i="1"/>
  <c r="V3723" i="1"/>
  <c r="W3723" i="1"/>
  <c r="X3723" i="1"/>
  <c r="Y3723" i="1"/>
  <c r="Z3723" i="1"/>
  <c r="A3724" i="1"/>
  <c r="B3724" i="1"/>
  <c r="C3724" i="1"/>
  <c r="D3724" i="1"/>
  <c r="E3724" i="1"/>
  <c r="F3724" i="1"/>
  <c r="G3724" i="1"/>
  <c r="I3724" i="1"/>
  <c r="J3724" i="1"/>
  <c r="K3724" i="1"/>
  <c r="L3724" i="1"/>
  <c r="M3724" i="1"/>
  <c r="N3724" i="1"/>
  <c r="O3724" i="1"/>
  <c r="P3724" i="1"/>
  <c r="Q3724" i="1"/>
  <c r="R3724" i="1"/>
  <c r="S3724" i="1"/>
  <c r="T3724" i="1"/>
  <c r="U3724" i="1"/>
  <c r="V3724" i="1"/>
  <c r="W3724" i="1"/>
  <c r="X3724" i="1"/>
  <c r="Y3724" i="1"/>
  <c r="Z3724" i="1"/>
  <c r="A3725" i="1"/>
  <c r="B3725" i="1"/>
  <c r="C3725" i="1"/>
  <c r="D3725" i="1"/>
  <c r="E3725" i="1"/>
  <c r="F3725" i="1"/>
  <c r="G3725" i="1"/>
  <c r="I3725" i="1"/>
  <c r="J3725" i="1"/>
  <c r="K3725" i="1"/>
  <c r="L3725" i="1"/>
  <c r="M3725" i="1"/>
  <c r="N3725" i="1"/>
  <c r="O3725" i="1"/>
  <c r="P3725" i="1"/>
  <c r="Q3725" i="1"/>
  <c r="R3725" i="1"/>
  <c r="S3725" i="1"/>
  <c r="T3725" i="1"/>
  <c r="U3725" i="1"/>
  <c r="V3725" i="1"/>
  <c r="W3725" i="1"/>
  <c r="X3725" i="1"/>
  <c r="Y3725" i="1"/>
  <c r="Z3725" i="1"/>
  <c r="A3726" i="1"/>
  <c r="B3726" i="1"/>
  <c r="C3726" i="1"/>
  <c r="D3726" i="1"/>
  <c r="E3726" i="1"/>
  <c r="F3726" i="1"/>
  <c r="G3726" i="1"/>
  <c r="I3726" i="1"/>
  <c r="J3726" i="1"/>
  <c r="K3726" i="1"/>
  <c r="L3726" i="1"/>
  <c r="M3726" i="1"/>
  <c r="N3726" i="1"/>
  <c r="O3726" i="1"/>
  <c r="P3726" i="1"/>
  <c r="Q3726" i="1"/>
  <c r="R3726" i="1"/>
  <c r="S3726" i="1"/>
  <c r="T3726" i="1"/>
  <c r="U3726" i="1"/>
  <c r="V3726" i="1"/>
  <c r="W3726" i="1"/>
  <c r="X3726" i="1"/>
  <c r="Y3726" i="1"/>
  <c r="Z3726" i="1"/>
  <c r="A3727" i="1"/>
  <c r="B3727" i="1"/>
  <c r="C3727" i="1"/>
  <c r="D3727" i="1"/>
  <c r="E3727" i="1"/>
  <c r="F3727" i="1"/>
  <c r="G3727" i="1"/>
  <c r="I3727" i="1"/>
  <c r="J3727" i="1"/>
  <c r="K3727" i="1"/>
  <c r="L3727" i="1"/>
  <c r="M3727" i="1"/>
  <c r="N3727" i="1"/>
  <c r="O3727" i="1"/>
  <c r="P3727" i="1"/>
  <c r="Q3727" i="1"/>
  <c r="R3727" i="1"/>
  <c r="S3727" i="1"/>
  <c r="T3727" i="1"/>
  <c r="U3727" i="1"/>
  <c r="V3727" i="1"/>
  <c r="W3727" i="1"/>
  <c r="X3727" i="1"/>
  <c r="Y3727" i="1"/>
  <c r="Z3727" i="1"/>
  <c r="A3728" i="1"/>
  <c r="B3728" i="1"/>
  <c r="C3728" i="1"/>
  <c r="D3728" i="1"/>
  <c r="E3728" i="1"/>
  <c r="F3728" i="1"/>
  <c r="G3728" i="1"/>
  <c r="I3728" i="1"/>
  <c r="J3728" i="1"/>
  <c r="K3728" i="1"/>
  <c r="L3728" i="1"/>
  <c r="M3728" i="1"/>
  <c r="N3728" i="1"/>
  <c r="O3728" i="1"/>
  <c r="P3728" i="1"/>
  <c r="Q3728" i="1"/>
  <c r="R3728" i="1"/>
  <c r="S3728" i="1"/>
  <c r="T3728" i="1"/>
  <c r="U3728" i="1"/>
  <c r="V3728" i="1"/>
  <c r="W3728" i="1"/>
  <c r="X3728" i="1"/>
  <c r="Y3728" i="1"/>
  <c r="Z3728" i="1"/>
  <c r="A3729" i="1"/>
  <c r="B3729" i="1"/>
  <c r="C3729" i="1"/>
  <c r="D3729" i="1"/>
  <c r="E3729" i="1"/>
  <c r="F3729" i="1"/>
  <c r="G3729" i="1"/>
  <c r="I3729" i="1"/>
  <c r="J3729" i="1"/>
  <c r="K3729" i="1"/>
  <c r="L3729" i="1"/>
  <c r="M3729" i="1"/>
  <c r="N3729" i="1"/>
  <c r="O3729" i="1"/>
  <c r="P3729" i="1"/>
  <c r="Q3729" i="1"/>
  <c r="R3729" i="1"/>
  <c r="S3729" i="1"/>
  <c r="T3729" i="1"/>
  <c r="U3729" i="1"/>
  <c r="V3729" i="1"/>
  <c r="W3729" i="1"/>
  <c r="X3729" i="1"/>
  <c r="Y3729" i="1"/>
  <c r="Z3729" i="1"/>
  <c r="A3730" i="1"/>
  <c r="B3730" i="1"/>
  <c r="C3730" i="1"/>
  <c r="D3730" i="1"/>
  <c r="E3730" i="1"/>
  <c r="F3730" i="1"/>
  <c r="G3730" i="1"/>
  <c r="I3730" i="1"/>
  <c r="J3730" i="1"/>
  <c r="K3730" i="1"/>
  <c r="L3730" i="1"/>
  <c r="M3730" i="1"/>
  <c r="N3730" i="1"/>
  <c r="O3730" i="1"/>
  <c r="P3730" i="1"/>
  <c r="Q3730" i="1"/>
  <c r="R3730" i="1"/>
  <c r="S3730" i="1"/>
  <c r="T3730" i="1"/>
  <c r="U3730" i="1"/>
  <c r="V3730" i="1"/>
  <c r="W3730" i="1"/>
  <c r="X3730" i="1"/>
  <c r="Y3730" i="1"/>
  <c r="Z3730" i="1"/>
  <c r="A3731" i="1"/>
  <c r="B3731" i="1"/>
  <c r="C3731" i="1"/>
  <c r="D3731" i="1"/>
  <c r="E3731" i="1"/>
  <c r="F3731" i="1"/>
  <c r="G3731" i="1"/>
  <c r="I3731" i="1"/>
  <c r="J3731" i="1"/>
  <c r="K3731" i="1"/>
  <c r="L3731" i="1"/>
  <c r="M3731" i="1"/>
  <c r="N3731" i="1"/>
  <c r="O3731" i="1"/>
  <c r="P3731" i="1"/>
  <c r="Q3731" i="1"/>
  <c r="R3731" i="1"/>
  <c r="S3731" i="1"/>
  <c r="T3731" i="1"/>
  <c r="U3731" i="1"/>
  <c r="V3731" i="1"/>
  <c r="W3731" i="1"/>
  <c r="X3731" i="1"/>
  <c r="Y3731" i="1"/>
  <c r="Z3731" i="1"/>
  <c r="A3732" i="1"/>
  <c r="B3732" i="1"/>
  <c r="C3732" i="1"/>
  <c r="D3732" i="1"/>
  <c r="E3732" i="1"/>
  <c r="F3732" i="1"/>
  <c r="G3732" i="1"/>
  <c r="I3732" i="1"/>
  <c r="J3732" i="1"/>
  <c r="K3732" i="1"/>
  <c r="L3732" i="1"/>
  <c r="M3732" i="1"/>
  <c r="N3732" i="1"/>
  <c r="O3732" i="1"/>
  <c r="P3732" i="1"/>
  <c r="Q3732" i="1"/>
  <c r="R3732" i="1"/>
  <c r="S3732" i="1"/>
  <c r="T3732" i="1"/>
  <c r="U3732" i="1"/>
  <c r="V3732" i="1"/>
  <c r="W3732" i="1"/>
  <c r="X3732" i="1"/>
  <c r="Y3732" i="1"/>
  <c r="Z3732" i="1"/>
  <c r="A3733" i="1"/>
  <c r="B3733" i="1"/>
  <c r="C3733" i="1"/>
  <c r="D3733" i="1"/>
  <c r="E3733" i="1"/>
  <c r="F3733" i="1"/>
  <c r="G3733" i="1"/>
  <c r="I3733" i="1"/>
  <c r="J3733" i="1"/>
  <c r="K3733" i="1"/>
  <c r="L3733" i="1"/>
  <c r="M3733" i="1"/>
  <c r="N3733" i="1"/>
  <c r="O3733" i="1"/>
  <c r="P3733" i="1"/>
  <c r="Q3733" i="1"/>
  <c r="R3733" i="1"/>
  <c r="S3733" i="1"/>
  <c r="T3733" i="1"/>
  <c r="U3733" i="1"/>
  <c r="V3733" i="1"/>
  <c r="W3733" i="1"/>
  <c r="X3733" i="1"/>
  <c r="Y3733" i="1"/>
  <c r="Z3733" i="1"/>
  <c r="A3734" i="1"/>
  <c r="B3734" i="1"/>
  <c r="C3734" i="1"/>
  <c r="D3734" i="1"/>
  <c r="E3734" i="1"/>
  <c r="F3734" i="1"/>
  <c r="G3734" i="1"/>
  <c r="I3734" i="1"/>
  <c r="J3734" i="1"/>
  <c r="K3734" i="1"/>
  <c r="L3734" i="1"/>
  <c r="M3734" i="1"/>
  <c r="N3734" i="1"/>
  <c r="O3734" i="1"/>
  <c r="P3734" i="1"/>
  <c r="Q3734" i="1"/>
  <c r="R3734" i="1"/>
  <c r="S3734" i="1"/>
  <c r="T3734" i="1"/>
  <c r="U3734" i="1"/>
  <c r="V3734" i="1"/>
  <c r="W3734" i="1"/>
  <c r="X3734" i="1"/>
  <c r="Y3734" i="1"/>
  <c r="Z3734" i="1"/>
  <c r="A3735" i="1"/>
  <c r="B3735" i="1"/>
  <c r="C3735" i="1"/>
  <c r="D3735" i="1"/>
  <c r="E3735" i="1"/>
  <c r="F3735" i="1"/>
  <c r="G3735" i="1"/>
  <c r="I3735" i="1"/>
  <c r="J3735" i="1"/>
  <c r="K3735" i="1"/>
  <c r="L3735" i="1"/>
  <c r="M3735" i="1"/>
  <c r="N3735" i="1"/>
  <c r="O3735" i="1"/>
  <c r="P3735" i="1"/>
  <c r="Q3735" i="1"/>
  <c r="R3735" i="1"/>
  <c r="S3735" i="1"/>
  <c r="T3735" i="1"/>
  <c r="U3735" i="1"/>
  <c r="V3735" i="1"/>
  <c r="W3735" i="1"/>
  <c r="X3735" i="1"/>
  <c r="Y3735" i="1"/>
  <c r="Z3735" i="1"/>
  <c r="A3736" i="1"/>
  <c r="B3736" i="1"/>
  <c r="C3736" i="1"/>
  <c r="D3736" i="1"/>
  <c r="E3736" i="1"/>
  <c r="F3736" i="1"/>
  <c r="G3736" i="1"/>
  <c r="I3736" i="1"/>
  <c r="J3736" i="1"/>
  <c r="K3736" i="1"/>
  <c r="L3736" i="1"/>
  <c r="M3736" i="1"/>
  <c r="N3736" i="1"/>
  <c r="O3736" i="1"/>
  <c r="P3736" i="1"/>
  <c r="Q3736" i="1"/>
  <c r="R3736" i="1"/>
  <c r="S3736" i="1"/>
  <c r="T3736" i="1"/>
  <c r="U3736" i="1"/>
  <c r="V3736" i="1"/>
  <c r="W3736" i="1"/>
  <c r="X3736" i="1"/>
  <c r="Y3736" i="1"/>
  <c r="Z3736" i="1"/>
  <c r="A3737" i="1"/>
  <c r="B3737" i="1"/>
  <c r="C3737" i="1"/>
  <c r="D3737" i="1"/>
  <c r="E3737" i="1"/>
  <c r="F3737" i="1"/>
  <c r="G3737" i="1"/>
  <c r="I3737" i="1"/>
  <c r="J3737" i="1"/>
  <c r="K3737" i="1"/>
  <c r="L3737" i="1"/>
  <c r="M3737" i="1"/>
  <c r="N3737" i="1"/>
  <c r="O3737" i="1"/>
  <c r="P3737" i="1"/>
  <c r="Q3737" i="1"/>
  <c r="R3737" i="1"/>
  <c r="S3737" i="1"/>
  <c r="T3737" i="1"/>
  <c r="U3737" i="1"/>
  <c r="V3737" i="1"/>
  <c r="W3737" i="1"/>
  <c r="X3737" i="1"/>
  <c r="Y3737" i="1"/>
  <c r="Z3737" i="1"/>
  <c r="A3738" i="1"/>
  <c r="B3738" i="1"/>
  <c r="C3738" i="1"/>
  <c r="D3738" i="1"/>
  <c r="E3738" i="1"/>
  <c r="F3738" i="1"/>
  <c r="G3738" i="1"/>
  <c r="I3738" i="1"/>
  <c r="J3738" i="1"/>
  <c r="K3738" i="1"/>
  <c r="L3738" i="1"/>
  <c r="M3738" i="1"/>
  <c r="N3738" i="1"/>
  <c r="O3738" i="1"/>
  <c r="P3738" i="1"/>
  <c r="Q3738" i="1"/>
  <c r="R3738" i="1"/>
  <c r="S3738" i="1"/>
  <c r="T3738" i="1"/>
  <c r="U3738" i="1"/>
  <c r="V3738" i="1"/>
  <c r="W3738" i="1"/>
  <c r="X3738" i="1"/>
  <c r="Y3738" i="1"/>
  <c r="Z3738" i="1"/>
  <c r="A3739" i="1"/>
  <c r="B3739" i="1"/>
  <c r="C3739" i="1"/>
  <c r="D3739" i="1"/>
  <c r="E3739" i="1"/>
  <c r="F3739" i="1"/>
  <c r="G3739" i="1"/>
  <c r="I3739" i="1"/>
  <c r="J3739" i="1"/>
  <c r="K3739" i="1"/>
  <c r="L3739" i="1"/>
  <c r="M3739" i="1"/>
  <c r="N3739" i="1"/>
  <c r="O3739" i="1"/>
  <c r="P3739" i="1"/>
  <c r="Q3739" i="1"/>
  <c r="R3739" i="1"/>
  <c r="S3739" i="1"/>
  <c r="T3739" i="1"/>
  <c r="U3739" i="1"/>
  <c r="V3739" i="1"/>
  <c r="W3739" i="1"/>
  <c r="X3739" i="1"/>
  <c r="Y3739" i="1"/>
  <c r="Z3739" i="1"/>
  <c r="A3740" i="1"/>
  <c r="B3740" i="1"/>
  <c r="C3740" i="1"/>
  <c r="D3740" i="1"/>
  <c r="E3740" i="1"/>
  <c r="F3740" i="1"/>
  <c r="G3740" i="1"/>
  <c r="I3740" i="1"/>
  <c r="J3740" i="1"/>
  <c r="K3740" i="1"/>
  <c r="L3740" i="1"/>
  <c r="M3740" i="1"/>
  <c r="N3740" i="1"/>
  <c r="O3740" i="1"/>
  <c r="P3740" i="1"/>
  <c r="Q3740" i="1"/>
  <c r="R3740" i="1"/>
  <c r="S3740" i="1"/>
  <c r="T3740" i="1"/>
  <c r="U3740" i="1"/>
  <c r="V3740" i="1"/>
  <c r="W3740" i="1"/>
  <c r="X3740" i="1"/>
  <c r="Y3740" i="1"/>
  <c r="Z3740" i="1"/>
  <c r="A3741" i="1"/>
  <c r="B3741" i="1"/>
  <c r="C3741" i="1"/>
  <c r="D3741" i="1"/>
  <c r="E3741" i="1"/>
  <c r="F3741" i="1"/>
  <c r="G3741" i="1"/>
  <c r="I3741" i="1"/>
  <c r="J3741" i="1"/>
  <c r="K3741" i="1"/>
  <c r="L3741" i="1"/>
  <c r="M3741" i="1"/>
  <c r="N3741" i="1"/>
  <c r="O3741" i="1"/>
  <c r="P3741" i="1"/>
  <c r="Q3741" i="1"/>
  <c r="R3741" i="1"/>
  <c r="S3741" i="1"/>
  <c r="T3741" i="1"/>
  <c r="U3741" i="1"/>
  <c r="V3741" i="1"/>
  <c r="W3741" i="1"/>
  <c r="X3741" i="1"/>
  <c r="Y3741" i="1"/>
  <c r="Z3741" i="1"/>
  <c r="A3742" i="1"/>
  <c r="B3742" i="1"/>
  <c r="C3742" i="1"/>
  <c r="D3742" i="1"/>
  <c r="E3742" i="1"/>
  <c r="F3742" i="1"/>
  <c r="G3742" i="1"/>
  <c r="I3742" i="1"/>
  <c r="J3742" i="1"/>
  <c r="K3742" i="1"/>
  <c r="L3742" i="1"/>
  <c r="M3742" i="1"/>
  <c r="N3742" i="1"/>
  <c r="O3742" i="1"/>
  <c r="P3742" i="1"/>
  <c r="Q3742" i="1"/>
  <c r="R3742" i="1"/>
  <c r="S3742" i="1"/>
  <c r="T3742" i="1"/>
  <c r="U3742" i="1"/>
  <c r="V3742" i="1"/>
  <c r="W3742" i="1"/>
  <c r="X3742" i="1"/>
  <c r="Y3742" i="1"/>
  <c r="Z3742" i="1"/>
  <c r="A3743" i="1"/>
  <c r="B3743" i="1"/>
  <c r="C3743" i="1"/>
  <c r="D3743" i="1"/>
  <c r="E3743" i="1"/>
  <c r="F3743" i="1"/>
  <c r="G3743" i="1"/>
  <c r="I3743" i="1"/>
  <c r="J3743" i="1"/>
  <c r="K3743" i="1"/>
  <c r="L3743" i="1"/>
  <c r="M3743" i="1"/>
  <c r="N3743" i="1"/>
  <c r="O3743" i="1"/>
  <c r="P3743" i="1"/>
  <c r="Q3743" i="1"/>
  <c r="R3743" i="1"/>
  <c r="S3743" i="1"/>
  <c r="T3743" i="1"/>
  <c r="U3743" i="1"/>
  <c r="V3743" i="1"/>
  <c r="W3743" i="1"/>
  <c r="X3743" i="1"/>
  <c r="Y3743" i="1"/>
  <c r="Z3743" i="1"/>
  <c r="A3744" i="1"/>
  <c r="B3744" i="1"/>
  <c r="C3744" i="1"/>
  <c r="D3744" i="1"/>
  <c r="E3744" i="1"/>
  <c r="F3744" i="1"/>
  <c r="G3744" i="1"/>
  <c r="I3744" i="1"/>
  <c r="J3744" i="1"/>
  <c r="K3744" i="1"/>
  <c r="L3744" i="1"/>
  <c r="M3744" i="1"/>
  <c r="N3744" i="1"/>
  <c r="O3744" i="1"/>
  <c r="P3744" i="1"/>
  <c r="Q3744" i="1"/>
  <c r="R3744" i="1"/>
  <c r="S3744" i="1"/>
  <c r="T3744" i="1"/>
  <c r="U3744" i="1"/>
  <c r="V3744" i="1"/>
  <c r="W3744" i="1"/>
  <c r="X3744" i="1"/>
  <c r="Y3744" i="1"/>
  <c r="Z3744" i="1"/>
  <c r="A3745" i="1"/>
  <c r="B3745" i="1"/>
  <c r="C3745" i="1"/>
  <c r="D3745" i="1"/>
  <c r="E3745" i="1"/>
  <c r="F3745" i="1"/>
  <c r="G3745" i="1"/>
  <c r="I3745" i="1"/>
  <c r="J3745" i="1"/>
  <c r="K3745" i="1"/>
  <c r="L3745" i="1"/>
  <c r="M3745" i="1"/>
  <c r="N3745" i="1"/>
  <c r="O3745" i="1"/>
  <c r="P3745" i="1"/>
  <c r="Q3745" i="1"/>
  <c r="R3745" i="1"/>
  <c r="S3745" i="1"/>
  <c r="T3745" i="1"/>
  <c r="U3745" i="1"/>
  <c r="V3745" i="1"/>
  <c r="W3745" i="1"/>
  <c r="X3745" i="1"/>
  <c r="Y3745" i="1"/>
  <c r="Z3745" i="1"/>
  <c r="A3746" i="1"/>
  <c r="B3746" i="1"/>
  <c r="C3746" i="1"/>
  <c r="D3746" i="1"/>
  <c r="E3746" i="1"/>
  <c r="F3746" i="1"/>
  <c r="G3746" i="1"/>
  <c r="I3746" i="1"/>
  <c r="J3746" i="1"/>
  <c r="K3746" i="1"/>
  <c r="L3746" i="1"/>
  <c r="M3746" i="1"/>
  <c r="N3746" i="1"/>
  <c r="O3746" i="1"/>
  <c r="P3746" i="1"/>
  <c r="Q3746" i="1"/>
  <c r="R3746" i="1"/>
  <c r="S3746" i="1"/>
  <c r="T3746" i="1"/>
  <c r="U3746" i="1"/>
  <c r="V3746" i="1"/>
  <c r="W3746" i="1"/>
  <c r="X3746" i="1"/>
  <c r="Y3746" i="1"/>
  <c r="Z3746" i="1"/>
  <c r="A3747" i="1"/>
  <c r="B3747" i="1"/>
  <c r="C3747" i="1"/>
  <c r="D3747" i="1"/>
  <c r="E3747" i="1"/>
  <c r="F3747" i="1"/>
  <c r="G3747" i="1"/>
  <c r="I3747" i="1"/>
  <c r="J3747" i="1"/>
  <c r="K3747" i="1"/>
  <c r="L3747" i="1"/>
  <c r="M3747" i="1"/>
  <c r="N3747" i="1"/>
  <c r="O3747" i="1"/>
  <c r="P3747" i="1"/>
  <c r="Q3747" i="1"/>
  <c r="R3747" i="1"/>
  <c r="S3747" i="1"/>
  <c r="T3747" i="1"/>
  <c r="U3747" i="1"/>
  <c r="V3747" i="1"/>
  <c r="W3747" i="1"/>
  <c r="X3747" i="1"/>
  <c r="Y3747" i="1"/>
  <c r="Z3747" i="1"/>
  <c r="A3748" i="1"/>
  <c r="B3748" i="1"/>
  <c r="C3748" i="1"/>
  <c r="D3748" i="1"/>
  <c r="E3748" i="1"/>
  <c r="F3748" i="1"/>
  <c r="G3748" i="1"/>
  <c r="I3748" i="1"/>
  <c r="J3748" i="1"/>
  <c r="K3748" i="1"/>
  <c r="L3748" i="1"/>
  <c r="M3748" i="1"/>
  <c r="N3748" i="1"/>
  <c r="O3748" i="1"/>
  <c r="P3748" i="1"/>
  <c r="Q3748" i="1"/>
  <c r="R3748" i="1"/>
  <c r="S3748" i="1"/>
  <c r="T3748" i="1"/>
  <c r="U3748" i="1"/>
  <c r="V3748" i="1"/>
  <c r="W3748" i="1"/>
  <c r="X3748" i="1"/>
  <c r="Y3748" i="1"/>
  <c r="Z3748" i="1"/>
  <c r="A3749" i="1"/>
  <c r="B3749" i="1"/>
  <c r="C3749" i="1"/>
  <c r="D3749" i="1"/>
  <c r="E3749" i="1"/>
  <c r="F3749" i="1"/>
  <c r="G3749" i="1"/>
  <c r="I3749" i="1"/>
  <c r="J3749" i="1"/>
  <c r="K3749" i="1"/>
  <c r="L3749" i="1"/>
  <c r="M3749" i="1"/>
  <c r="N3749" i="1"/>
  <c r="O3749" i="1"/>
  <c r="P3749" i="1"/>
  <c r="Q3749" i="1"/>
  <c r="R3749" i="1"/>
  <c r="S3749" i="1"/>
  <c r="T3749" i="1"/>
  <c r="U3749" i="1"/>
  <c r="V3749" i="1"/>
  <c r="W3749" i="1"/>
  <c r="X3749" i="1"/>
  <c r="Y3749" i="1"/>
  <c r="Z3749" i="1"/>
  <c r="A3750" i="1"/>
  <c r="B3750" i="1"/>
  <c r="C3750" i="1"/>
  <c r="D3750" i="1"/>
  <c r="E3750" i="1"/>
  <c r="F3750" i="1"/>
  <c r="G3750" i="1"/>
  <c r="I3750" i="1"/>
  <c r="J3750" i="1"/>
  <c r="K3750" i="1"/>
  <c r="L3750" i="1"/>
  <c r="M3750" i="1"/>
  <c r="N3750" i="1"/>
  <c r="O3750" i="1"/>
  <c r="P3750" i="1"/>
  <c r="Q3750" i="1"/>
  <c r="R3750" i="1"/>
  <c r="S3750" i="1"/>
  <c r="T3750" i="1"/>
  <c r="U3750" i="1"/>
  <c r="V3750" i="1"/>
  <c r="W3750" i="1"/>
  <c r="X3750" i="1"/>
  <c r="Y3750" i="1"/>
  <c r="Z3750" i="1"/>
  <c r="A3751" i="1"/>
  <c r="B3751" i="1"/>
  <c r="C3751" i="1"/>
  <c r="D3751" i="1"/>
  <c r="E3751" i="1"/>
  <c r="F3751" i="1"/>
  <c r="G3751" i="1"/>
  <c r="I3751" i="1"/>
  <c r="J3751" i="1"/>
  <c r="K3751" i="1"/>
  <c r="L3751" i="1"/>
  <c r="M3751" i="1"/>
  <c r="N3751" i="1"/>
  <c r="O3751" i="1"/>
  <c r="P3751" i="1"/>
  <c r="Q3751" i="1"/>
  <c r="R3751" i="1"/>
  <c r="S3751" i="1"/>
  <c r="T3751" i="1"/>
  <c r="U3751" i="1"/>
  <c r="V3751" i="1"/>
  <c r="W3751" i="1"/>
  <c r="X3751" i="1"/>
  <c r="Y3751" i="1"/>
  <c r="Z3751" i="1"/>
  <c r="A3752" i="1"/>
  <c r="B3752" i="1"/>
  <c r="C3752" i="1"/>
  <c r="D3752" i="1"/>
  <c r="E3752" i="1"/>
  <c r="F3752" i="1"/>
  <c r="G3752" i="1"/>
  <c r="I3752" i="1"/>
  <c r="J3752" i="1"/>
  <c r="K3752" i="1"/>
  <c r="L3752" i="1"/>
  <c r="M3752" i="1"/>
  <c r="N3752" i="1"/>
  <c r="O3752" i="1"/>
  <c r="P3752" i="1"/>
  <c r="Q3752" i="1"/>
  <c r="R3752" i="1"/>
  <c r="S3752" i="1"/>
  <c r="T3752" i="1"/>
  <c r="U3752" i="1"/>
  <c r="V3752" i="1"/>
  <c r="W3752" i="1"/>
  <c r="X3752" i="1"/>
  <c r="Y3752" i="1"/>
  <c r="Z3752" i="1"/>
  <c r="A3753" i="1"/>
  <c r="B3753" i="1"/>
  <c r="C3753" i="1"/>
  <c r="D3753" i="1"/>
  <c r="E3753" i="1"/>
  <c r="F3753" i="1"/>
  <c r="G3753" i="1"/>
  <c r="I3753" i="1"/>
  <c r="J3753" i="1"/>
  <c r="K3753" i="1"/>
  <c r="L3753" i="1"/>
  <c r="M3753" i="1"/>
  <c r="N3753" i="1"/>
  <c r="O3753" i="1"/>
  <c r="P3753" i="1"/>
  <c r="Q3753" i="1"/>
  <c r="R3753" i="1"/>
  <c r="S3753" i="1"/>
  <c r="T3753" i="1"/>
  <c r="U3753" i="1"/>
  <c r="V3753" i="1"/>
  <c r="W3753" i="1"/>
  <c r="X3753" i="1"/>
  <c r="Y3753" i="1"/>
  <c r="Z3753" i="1"/>
  <c r="A3754" i="1"/>
  <c r="B3754" i="1"/>
  <c r="C3754" i="1"/>
  <c r="D3754" i="1"/>
  <c r="E3754" i="1"/>
  <c r="F3754" i="1"/>
  <c r="G3754" i="1"/>
  <c r="I3754" i="1"/>
  <c r="J3754" i="1"/>
  <c r="K3754" i="1"/>
  <c r="L3754" i="1"/>
  <c r="M3754" i="1"/>
  <c r="N3754" i="1"/>
  <c r="O3754" i="1"/>
  <c r="P3754" i="1"/>
  <c r="Q3754" i="1"/>
  <c r="R3754" i="1"/>
  <c r="S3754" i="1"/>
  <c r="T3754" i="1"/>
  <c r="U3754" i="1"/>
  <c r="V3754" i="1"/>
  <c r="W3754" i="1"/>
  <c r="X3754" i="1"/>
  <c r="Y3754" i="1"/>
  <c r="Z3754" i="1"/>
  <c r="A3755" i="1"/>
  <c r="B3755" i="1"/>
  <c r="C3755" i="1"/>
  <c r="D3755" i="1"/>
  <c r="E3755" i="1"/>
  <c r="F3755" i="1"/>
  <c r="G3755" i="1"/>
  <c r="I3755" i="1"/>
  <c r="J3755" i="1"/>
  <c r="K3755" i="1"/>
  <c r="L3755" i="1"/>
  <c r="M3755" i="1"/>
  <c r="N3755" i="1"/>
  <c r="O3755" i="1"/>
  <c r="P3755" i="1"/>
  <c r="Q3755" i="1"/>
  <c r="R3755" i="1"/>
  <c r="S3755" i="1"/>
  <c r="T3755" i="1"/>
  <c r="U3755" i="1"/>
  <c r="V3755" i="1"/>
  <c r="W3755" i="1"/>
  <c r="X3755" i="1"/>
  <c r="Y3755" i="1"/>
  <c r="Z3755" i="1"/>
  <c r="A3756" i="1"/>
  <c r="B3756" i="1"/>
  <c r="C3756" i="1"/>
  <c r="D3756" i="1"/>
  <c r="E3756" i="1"/>
  <c r="F3756" i="1"/>
  <c r="G3756" i="1"/>
  <c r="I3756" i="1"/>
  <c r="J3756" i="1"/>
  <c r="K3756" i="1"/>
  <c r="L3756" i="1"/>
  <c r="M3756" i="1"/>
  <c r="N3756" i="1"/>
  <c r="O3756" i="1"/>
  <c r="P3756" i="1"/>
  <c r="Q3756" i="1"/>
  <c r="R3756" i="1"/>
  <c r="S3756" i="1"/>
  <c r="T3756" i="1"/>
  <c r="U3756" i="1"/>
  <c r="V3756" i="1"/>
  <c r="W3756" i="1"/>
  <c r="X3756" i="1"/>
  <c r="Y3756" i="1"/>
  <c r="Z3756" i="1"/>
  <c r="A3757" i="1"/>
  <c r="B3757" i="1"/>
  <c r="C3757" i="1"/>
  <c r="D3757" i="1"/>
  <c r="E3757" i="1"/>
  <c r="F3757" i="1"/>
  <c r="G3757" i="1"/>
  <c r="I3757" i="1"/>
  <c r="J3757" i="1"/>
  <c r="K3757" i="1"/>
  <c r="L3757" i="1"/>
  <c r="M3757" i="1"/>
  <c r="N3757" i="1"/>
  <c r="O3757" i="1"/>
  <c r="P3757" i="1"/>
  <c r="Q3757" i="1"/>
  <c r="R3757" i="1"/>
  <c r="S3757" i="1"/>
  <c r="T3757" i="1"/>
  <c r="U3757" i="1"/>
  <c r="V3757" i="1"/>
  <c r="W3757" i="1"/>
  <c r="X3757" i="1"/>
  <c r="Y3757" i="1"/>
  <c r="Z3757" i="1"/>
  <c r="A3758" i="1"/>
  <c r="B3758" i="1"/>
  <c r="C3758" i="1"/>
  <c r="D3758" i="1"/>
  <c r="E3758" i="1"/>
  <c r="F3758" i="1"/>
  <c r="G3758" i="1"/>
  <c r="I3758" i="1"/>
  <c r="J3758" i="1"/>
  <c r="K3758" i="1"/>
  <c r="L3758" i="1"/>
  <c r="M3758" i="1"/>
  <c r="N3758" i="1"/>
  <c r="O3758" i="1"/>
  <c r="P3758" i="1"/>
  <c r="Q3758" i="1"/>
  <c r="R3758" i="1"/>
  <c r="S3758" i="1"/>
  <c r="T3758" i="1"/>
  <c r="U3758" i="1"/>
  <c r="V3758" i="1"/>
  <c r="W3758" i="1"/>
  <c r="X3758" i="1"/>
  <c r="Y3758" i="1"/>
  <c r="Z3758" i="1"/>
  <c r="A3759" i="1"/>
  <c r="B3759" i="1"/>
  <c r="C3759" i="1"/>
  <c r="D3759" i="1"/>
  <c r="E3759" i="1"/>
  <c r="F3759" i="1"/>
  <c r="G3759" i="1"/>
  <c r="I3759" i="1"/>
  <c r="J3759" i="1"/>
  <c r="K3759" i="1"/>
  <c r="L3759" i="1"/>
  <c r="M3759" i="1"/>
  <c r="N3759" i="1"/>
  <c r="O3759" i="1"/>
  <c r="P3759" i="1"/>
  <c r="Q3759" i="1"/>
  <c r="R3759" i="1"/>
  <c r="S3759" i="1"/>
  <c r="T3759" i="1"/>
  <c r="U3759" i="1"/>
  <c r="V3759" i="1"/>
  <c r="W3759" i="1"/>
  <c r="X3759" i="1"/>
  <c r="Y3759" i="1"/>
  <c r="Z3759" i="1"/>
  <c r="A3760" i="1"/>
  <c r="B3760" i="1"/>
  <c r="C3760" i="1"/>
  <c r="D3760" i="1"/>
  <c r="E3760" i="1"/>
  <c r="F3760" i="1"/>
  <c r="G3760" i="1"/>
  <c r="I3760" i="1"/>
  <c r="J3760" i="1"/>
  <c r="K3760" i="1"/>
  <c r="L3760" i="1"/>
  <c r="M3760" i="1"/>
  <c r="N3760" i="1"/>
  <c r="O3760" i="1"/>
  <c r="P3760" i="1"/>
  <c r="Q3760" i="1"/>
  <c r="R3760" i="1"/>
  <c r="S3760" i="1"/>
  <c r="T3760" i="1"/>
  <c r="U3760" i="1"/>
  <c r="V3760" i="1"/>
  <c r="W3760" i="1"/>
  <c r="X3760" i="1"/>
  <c r="Y3760" i="1"/>
  <c r="Z3760" i="1"/>
  <c r="A3761" i="1"/>
  <c r="B3761" i="1"/>
  <c r="C3761" i="1"/>
  <c r="D3761" i="1"/>
  <c r="E3761" i="1"/>
  <c r="F3761" i="1"/>
  <c r="G3761" i="1"/>
  <c r="I3761" i="1"/>
  <c r="J3761" i="1"/>
  <c r="K3761" i="1"/>
  <c r="L3761" i="1"/>
  <c r="M3761" i="1"/>
  <c r="N3761" i="1"/>
  <c r="O3761" i="1"/>
  <c r="P3761" i="1"/>
  <c r="Q3761" i="1"/>
  <c r="R3761" i="1"/>
  <c r="S3761" i="1"/>
  <c r="T3761" i="1"/>
  <c r="U3761" i="1"/>
  <c r="V3761" i="1"/>
  <c r="W3761" i="1"/>
  <c r="X3761" i="1"/>
  <c r="Y3761" i="1"/>
  <c r="Z3761" i="1"/>
  <c r="A3762" i="1"/>
  <c r="B3762" i="1"/>
  <c r="C3762" i="1"/>
  <c r="D3762" i="1"/>
  <c r="E3762" i="1"/>
  <c r="F3762" i="1"/>
  <c r="G3762" i="1"/>
  <c r="I3762" i="1"/>
  <c r="J3762" i="1"/>
  <c r="K3762" i="1"/>
  <c r="L3762" i="1"/>
  <c r="M3762" i="1"/>
  <c r="N3762" i="1"/>
  <c r="O3762" i="1"/>
  <c r="P3762" i="1"/>
  <c r="Q3762" i="1"/>
  <c r="R3762" i="1"/>
  <c r="S3762" i="1"/>
  <c r="T3762" i="1"/>
  <c r="U3762" i="1"/>
  <c r="V3762" i="1"/>
  <c r="W3762" i="1"/>
  <c r="X3762" i="1"/>
  <c r="Y3762" i="1"/>
  <c r="Z3762" i="1"/>
  <c r="A3763" i="1"/>
  <c r="B3763" i="1"/>
  <c r="C3763" i="1"/>
  <c r="D3763" i="1"/>
  <c r="E3763" i="1"/>
  <c r="F3763" i="1"/>
  <c r="G3763" i="1"/>
  <c r="I3763" i="1"/>
  <c r="J3763" i="1"/>
  <c r="K3763" i="1"/>
  <c r="L3763" i="1"/>
  <c r="M3763" i="1"/>
  <c r="N3763" i="1"/>
  <c r="O3763" i="1"/>
  <c r="P3763" i="1"/>
  <c r="Q3763" i="1"/>
  <c r="R3763" i="1"/>
  <c r="S3763" i="1"/>
  <c r="T3763" i="1"/>
  <c r="U3763" i="1"/>
  <c r="V3763" i="1"/>
  <c r="W3763" i="1"/>
  <c r="X3763" i="1"/>
  <c r="Y3763" i="1"/>
  <c r="Z3763" i="1"/>
  <c r="A3764" i="1"/>
  <c r="B3764" i="1"/>
  <c r="C3764" i="1"/>
  <c r="D3764" i="1"/>
  <c r="E3764" i="1"/>
  <c r="F3764" i="1"/>
  <c r="G3764" i="1"/>
  <c r="I3764" i="1"/>
  <c r="J3764" i="1"/>
  <c r="K3764" i="1"/>
  <c r="L3764" i="1"/>
  <c r="M3764" i="1"/>
  <c r="N3764" i="1"/>
  <c r="O3764" i="1"/>
  <c r="P3764" i="1"/>
  <c r="Q3764" i="1"/>
  <c r="R3764" i="1"/>
  <c r="S3764" i="1"/>
  <c r="T3764" i="1"/>
  <c r="U3764" i="1"/>
  <c r="V3764" i="1"/>
  <c r="W3764" i="1"/>
  <c r="X3764" i="1"/>
  <c r="Y3764" i="1"/>
  <c r="Z3764" i="1"/>
  <c r="A3765" i="1"/>
  <c r="B3765" i="1"/>
  <c r="C3765" i="1"/>
  <c r="D3765" i="1"/>
  <c r="E3765" i="1"/>
  <c r="F3765" i="1"/>
  <c r="G3765" i="1"/>
  <c r="I3765" i="1"/>
  <c r="J3765" i="1"/>
  <c r="K3765" i="1"/>
  <c r="L3765" i="1"/>
  <c r="M3765" i="1"/>
  <c r="N3765" i="1"/>
  <c r="O3765" i="1"/>
  <c r="P3765" i="1"/>
  <c r="Q3765" i="1"/>
  <c r="R3765" i="1"/>
  <c r="S3765" i="1"/>
  <c r="T3765" i="1"/>
  <c r="U3765" i="1"/>
  <c r="V3765" i="1"/>
  <c r="W3765" i="1"/>
  <c r="X3765" i="1"/>
  <c r="Y3765" i="1"/>
  <c r="Z3765" i="1"/>
  <c r="A3766" i="1"/>
  <c r="B3766" i="1"/>
  <c r="C3766" i="1"/>
  <c r="D3766" i="1"/>
  <c r="E3766" i="1"/>
  <c r="F3766" i="1"/>
  <c r="G3766" i="1"/>
  <c r="I3766" i="1"/>
  <c r="J3766" i="1"/>
  <c r="K3766" i="1"/>
  <c r="L3766" i="1"/>
  <c r="M3766" i="1"/>
  <c r="N3766" i="1"/>
  <c r="O3766" i="1"/>
  <c r="P3766" i="1"/>
  <c r="Q3766" i="1"/>
  <c r="R3766" i="1"/>
  <c r="S3766" i="1"/>
  <c r="T3766" i="1"/>
  <c r="U3766" i="1"/>
  <c r="V3766" i="1"/>
  <c r="W3766" i="1"/>
  <c r="X3766" i="1"/>
  <c r="Y3766" i="1"/>
  <c r="Z3766" i="1"/>
  <c r="A3767" i="1"/>
  <c r="B3767" i="1"/>
  <c r="C3767" i="1"/>
  <c r="D3767" i="1"/>
  <c r="E3767" i="1"/>
  <c r="F3767" i="1"/>
  <c r="G3767" i="1"/>
  <c r="I3767" i="1"/>
  <c r="J3767" i="1"/>
  <c r="K3767" i="1"/>
  <c r="L3767" i="1"/>
  <c r="M3767" i="1"/>
  <c r="N3767" i="1"/>
  <c r="O3767" i="1"/>
  <c r="P3767" i="1"/>
  <c r="Q3767" i="1"/>
  <c r="R3767" i="1"/>
  <c r="S3767" i="1"/>
  <c r="T3767" i="1"/>
  <c r="U3767" i="1"/>
  <c r="V3767" i="1"/>
  <c r="W3767" i="1"/>
  <c r="X3767" i="1"/>
  <c r="Y3767" i="1"/>
  <c r="Z3767" i="1"/>
  <c r="A3768" i="1"/>
  <c r="B3768" i="1"/>
  <c r="C3768" i="1"/>
  <c r="D3768" i="1"/>
  <c r="E3768" i="1"/>
  <c r="F3768" i="1"/>
  <c r="G3768" i="1"/>
  <c r="I3768" i="1"/>
  <c r="J3768" i="1"/>
  <c r="K3768" i="1"/>
  <c r="L3768" i="1"/>
  <c r="M3768" i="1"/>
  <c r="N3768" i="1"/>
  <c r="O3768" i="1"/>
  <c r="P3768" i="1"/>
  <c r="Q3768" i="1"/>
  <c r="R3768" i="1"/>
  <c r="S3768" i="1"/>
  <c r="T3768" i="1"/>
  <c r="U3768" i="1"/>
  <c r="V3768" i="1"/>
  <c r="W3768" i="1"/>
  <c r="X3768" i="1"/>
  <c r="Y3768" i="1"/>
  <c r="Z3768" i="1"/>
  <c r="A3769" i="1"/>
  <c r="B3769" i="1"/>
  <c r="C3769" i="1"/>
  <c r="D3769" i="1"/>
  <c r="E3769" i="1"/>
  <c r="F3769" i="1"/>
  <c r="G3769" i="1"/>
  <c r="I3769" i="1"/>
  <c r="J3769" i="1"/>
  <c r="K3769" i="1"/>
  <c r="L3769" i="1"/>
  <c r="M3769" i="1"/>
  <c r="N3769" i="1"/>
  <c r="O3769" i="1"/>
  <c r="P3769" i="1"/>
  <c r="Q3769" i="1"/>
  <c r="R3769" i="1"/>
  <c r="S3769" i="1"/>
  <c r="T3769" i="1"/>
  <c r="U3769" i="1"/>
  <c r="V3769" i="1"/>
  <c r="W3769" i="1"/>
  <c r="X3769" i="1"/>
  <c r="Y3769" i="1"/>
  <c r="Z3769" i="1"/>
  <c r="A3770" i="1"/>
  <c r="B3770" i="1"/>
  <c r="C3770" i="1"/>
  <c r="D3770" i="1"/>
  <c r="E3770" i="1"/>
  <c r="F3770" i="1"/>
  <c r="G3770" i="1"/>
  <c r="I3770" i="1"/>
  <c r="J3770" i="1"/>
  <c r="K3770" i="1"/>
  <c r="L3770" i="1"/>
  <c r="M3770" i="1"/>
  <c r="N3770" i="1"/>
  <c r="O3770" i="1"/>
  <c r="P3770" i="1"/>
  <c r="Q3770" i="1"/>
  <c r="R3770" i="1"/>
  <c r="S3770" i="1"/>
  <c r="T3770" i="1"/>
  <c r="U3770" i="1"/>
  <c r="V3770" i="1"/>
  <c r="W3770" i="1"/>
  <c r="X3770" i="1"/>
  <c r="Y3770" i="1"/>
  <c r="Z3770" i="1"/>
  <c r="A3771" i="1"/>
  <c r="B3771" i="1"/>
  <c r="C3771" i="1"/>
  <c r="D3771" i="1"/>
  <c r="E3771" i="1"/>
  <c r="F3771" i="1"/>
  <c r="G3771" i="1"/>
  <c r="I3771" i="1"/>
  <c r="J3771" i="1"/>
  <c r="K3771" i="1"/>
  <c r="L3771" i="1"/>
  <c r="M3771" i="1"/>
  <c r="N3771" i="1"/>
  <c r="O3771" i="1"/>
  <c r="P3771" i="1"/>
  <c r="Q3771" i="1"/>
  <c r="R3771" i="1"/>
  <c r="S3771" i="1"/>
  <c r="T3771" i="1"/>
  <c r="U3771" i="1"/>
  <c r="V3771" i="1"/>
  <c r="W3771" i="1"/>
  <c r="X3771" i="1"/>
  <c r="Y3771" i="1"/>
  <c r="Z3771" i="1"/>
  <c r="A3772" i="1"/>
  <c r="B3772" i="1"/>
  <c r="C3772" i="1"/>
  <c r="D3772" i="1"/>
  <c r="E3772" i="1"/>
  <c r="F3772" i="1"/>
  <c r="G3772" i="1"/>
  <c r="I3772" i="1"/>
  <c r="J3772" i="1"/>
  <c r="K3772" i="1"/>
  <c r="L3772" i="1"/>
  <c r="M3772" i="1"/>
  <c r="N3772" i="1"/>
  <c r="O3772" i="1"/>
  <c r="P3772" i="1"/>
  <c r="Q3772" i="1"/>
  <c r="R3772" i="1"/>
  <c r="S3772" i="1"/>
  <c r="T3772" i="1"/>
  <c r="U3772" i="1"/>
  <c r="V3772" i="1"/>
  <c r="W3772" i="1"/>
  <c r="X3772" i="1"/>
  <c r="Y3772" i="1"/>
  <c r="Z3772" i="1"/>
  <c r="A3773" i="1"/>
  <c r="B3773" i="1"/>
  <c r="C3773" i="1"/>
  <c r="D3773" i="1"/>
  <c r="E3773" i="1"/>
  <c r="F3773" i="1"/>
  <c r="G3773" i="1"/>
  <c r="I3773" i="1"/>
  <c r="J3773" i="1"/>
  <c r="K3773" i="1"/>
  <c r="L3773" i="1"/>
  <c r="M3773" i="1"/>
  <c r="N3773" i="1"/>
  <c r="O3773" i="1"/>
  <c r="P3773" i="1"/>
  <c r="Q3773" i="1"/>
  <c r="R3773" i="1"/>
  <c r="S3773" i="1"/>
  <c r="T3773" i="1"/>
  <c r="U3773" i="1"/>
  <c r="V3773" i="1"/>
  <c r="W3773" i="1"/>
  <c r="X3773" i="1"/>
  <c r="Y3773" i="1"/>
  <c r="Z3773" i="1"/>
  <c r="A3774" i="1"/>
  <c r="B3774" i="1"/>
  <c r="C3774" i="1"/>
  <c r="D3774" i="1"/>
  <c r="E3774" i="1"/>
  <c r="F3774" i="1"/>
  <c r="G3774" i="1"/>
  <c r="I3774" i="1"/>
  <c r="J3774" i="1"/>
  <c r="K3774" i="1"/>
  <c r="L3774" i="1"/>
  <c r="M3774" i="1"/>
  <c r="N3774" i="1"/>
  <c r="O3774" i="1"/>
  <c r="P3774" i="1"/>
  <c r="Q3774" i="1"/>
  <c r="R3774" i="1"/>
  <c r="S3774" i="1"/>
  <c r="T3774" i="1"/>
  <c r="U3774" i="1"/>
  <c r="V3774" i="1"/>
  <c r="W3774" i="1"/>
  <c r="X3774" i="1"/>
  <c r="Y3774" i="1"/>
  <c r="Z3774" i="1"/>
  <c r="A3775" i="1"/>
  <c r="B3775" i="1"/>
  <c r="C3775" i="1"/>
  <c r="D3775" i="1"/>
  <c r="E3775" i="1"/>
  <c r="F3775" i="1"/>
  <c r="G3775" i="1"/>
  <c r="I3775" i="1"/>
  <c r="J3775" i="1"/>
  <c r="K3775" i="1"/>
  <c r="L3775" i="1"/>
  <c r="M3775" i="1"/>
  <c r="N3775" i="1"/>
  <c r="O3775" i="1"/>
  <c r="P3775" i="1"/>
  <c r="Q3775" i="1"/>
  <c r="R3775" i="1"/>
  <c r="S3775" i="1"/>
  <c r="T3775" i="1"/>
  <c r="U3775" i="1"/>
  <c r="V3775" i="1"/>
  <c r="W3775" i="1"/>
  <c r="X3775" i="1"/>
  <c r="Y3775" i="1"/>
  <c r="Z3775" i="1"/>
  <c r="A3776" i="1"/>
  <c r="B3776" i="1"/>
  <c r="C3776" i="1"/>
  <c r="D3776" i="1"/>
  <c r="E3776" i="1"/>
  <c r="F3776" i="1"/>
  <c r="G3776" i="1"/>
  <c r="I3776" i="1"/>
  <c r="J3776" i="1"/>
  <c r="K3776" i="1"/>
  <c r="L3776" i="1"/>
  <c r="M3776" i="1"/>
  <c r="N3776" i="1"/>
  <c r="O3776" i="1"/>
  <c r="P3776" i="1"/>
  <c r="Q3776" i="1"/>
  <c r="R3776" i="1"/>
  <c r="S3776" i="1"/>
  <c r="T3776" i="1"/>
  <c r="U3776" i="1"/>
  <c r="V3776" i="1"/>
  <c r="W3776" i="1"/>
  <c r="X3776" i="1"/>
  <c r="Y3776" i="1"/>
  <c r="Z3776" i="1"/>
  <c r="A3777" i="1"/>
  <c r="B3777" i="1"/>
  <c r="C3777" i="1"/>
  <c r="D3777" i="1"/>
  <c r="E3777" i="1"/>
  <c r="F3777" i="1"/>
  <c r="G3777" i="1"/>
  <c r="I3777" i="1"/>
  <c r="J3777" i="1"/>
  <c r="K3777" i="1"/>
  <c r="L3777" i="1"/>
  <c r="M3777" i="1"/>
  <c r="N3777" i="1"/>
  <c r="O3777" i="1"/>
  <c r="P3777" i="1"/>
  <c r="Q3777" i="1"/>
  <c r="R3777" i="1"/>
  <c r="S3777" i="1"/>
  <c r="T3777" i="1"/>
  <c r="U3777" i="1"/>
  <c r="V3777" i="1"/>
  <c r="W3777" i="1"/>
  <c r="X3777" i="1"/>
  <c r="Y3777" i="1"/>
  <c r="Z3777" i="1"/>
  <c r="A3778" i="1"/>
  <c r="B3778" i="1"/>
  <c r="C3778" i="1"/>
  <c r="D3778" i="1"/>
  <c r="E3778" i="1"/>
  <c r="F3778" i="1"/>
  <c r="G3778" i="1"/>
  <c r="I3778" i="1"/>
  <c r="J3778" i="1"/>
  <c r="K3778" i="1"/>
  <c r="L3778" i="1"/>
  <c r="M3778" i="1"/>
  <c r="N3778" i="1"/>
  <c r="O3778" i="1"/>
  <c r="P3778" i="1"/>
  <c r="Q3778" i="1"/>
  <c r="R3778" i="1"/>
  <c r="S3778" i="1"/>
  <c r="T3778" i="1"/>
  <c r="U3778" i="1"/>
  <c r="V3778" i="1"/>
  <c r="W3778" i="1"/>
  <c r="X3778" i="1"/>
  <c r="Y3778" i="1"/>
  <c r="Z3778" i="1"/>
  <c r="A3779" i="1"/>
  <c r="B3779" i="1"/>
  <c r="C3779" i="1"/>
  <c r="D3779" i="1"/>
  <c r="E3779" i="1"/>
  <c r="F3779" i="1"/>
  <c r="G3779" i="1"/>
  <c r="I3779" i="1"/>
  <c r="J3779" i="1"/>
  <c r="K3779" i="1"/>
  <c r="L3779" i="1"/>
  <c r="M3779" i="1"/>
  <c r="N3779" i="1"/>
  <c r="O3779" i="1"/>
  <c r="P3779" i="1"/>
  <c r="Q3779" i="1"/>
  <c r="R3779" i="1"/>
  <c r="S3779" i="1"/>
  <c r="T3779" i="1"/>
  <c r="U3779" i="1"/>
  <c r="V3779" i="1"/>
  <c r="W3779" i="1"/>
  <c r="X3779" i="1"/>
  <c r="Y3779" i="1"/>
  <c r="Z3779" i="1"/>
  <c r="A3780" i="1"/>
  <c r="B3780" i="1"/>
  <c r="C3780" i="1"/>
  <c r="D3780" i="1"/>
  <c r="E3780" i="1"/>
  <c r="F3780" i="1"/>
  <c r="G3780" i="1"/>
  <c r="I3780" i="1"/>
  <c r="J3780" i="1"/>
  <c r="K3780" i="1"/>
  <c r="L3780" i="1"/>
  <c r="M3780" i="1"/>
  <c r="N3780" i="1"/>
  <c r="O3780" i="1"/>
  <c r="P3780" i="1"/>
  <c r="Q3780" i="1"/>
  <c r="R3780" i="1"/>
  <c r="S3780" i="1"/>
  <c r="T3780" i="1"/>
  <c r="U3780" i="1"/>
  <c r="V3780" i="1"/>
  <c r="W3780" i="1"/>
  <c r="X3780" i="1"/>
  <c r="Y3780" i="1"/>
  <c r="Z3780" i="1"/>
  <c r="A3781" i="1"/>
  <c r="B3781" i="1"/>
  <c r="C3781" i="1"/>
  <c r="D3781" i="1"/>
  <c r="E3781" i="1"/>
  <c r="F3781" i="1"/>
  <c r="G3781" i="1"/>
  <c r="I3781" i="1"/>
  <c r="J3781" i="1"/>
  <c r="K3781" i="1"/>
  <c r="L3781" i="1"/>
  <c r="M3781" i="1"/>
  <c r="N3781" i="1"/>
  <c r="O3781" i="1"/>
  <c r="P3781" i="1"/>
  <c r="Q3781" i="1"/>
  <c r="R3781" i="1"/>
  <c r="S3781" i="1"/>
  <c r="T3781" i="1"/>
  <c r="U3781" i="1"/>
  <c r="V3781" i="1"/>
  <c r="W3781" i="1"/>
  <c r="X3781" i="1"/>
  <c r="Y3781" i="1"/>
  <c r="Z3781" i="1"/>
  <c r="A3782" i="1"/>
  <c r="B3782" i="1"/>
  <c r="C3782" i="1"/>
  <c r="D3782" i="1"/>
  <c r="E3782" i="1"/>
  <c r="F3782" i="1"/>
  <c r="G3782" i="1"/>
  <c r="I3782" i="1"/>
  <c r="J3782" i="1"/>
  <c r="K3782" i="1"/>
  <c r="L3782" i="1"/>
  <c r="M3782" i="1"/>
  <c r="N3782" i="1"/>
  <c r="O3782" i="1"/>
  <c r="P3782" i="1"/>
  <c r="Q3782" i="1"/>
  <c r="R3782" i="1"/>
  <c r="S3782" i="1"/>
  <c r="T3782" i="1"/>
  <c r="U3782" i="1"/>
  <c r="V3782" i="1"/>
  <c r="W3782" i="1"/>
  <c r="X3782" i="1"/>
  <c r="Y3782" i="1"/>
  <c r="Z3782" i="1"/>
  <c r="A3783" i="1"/>
  <c r="B3783" i="1"/>
  <c r="C3783" i="1"/>
  <c r="D3783" i="1"/>
  <c r="E3783" i="1"/>
  <c r="F3783" i="1"/>
  <c r="G3783" i="1"/>
  <c r="I3783" i="1"/>
  <c r="J3783" i="1"/>
  <c r="K3783" i="1"/>
  <c r="L3783" i="1"/>
  <c r="M3783" i="1"/>
  <c r="N3783" i="1"/>
  <c r="O3783" i="1"/>
  <c r="P3783" i="1"/>
  <c r="Q3783" i="1"/>
  <c r="R3783" i="1"/>
  <c r="S3783" i="1"/>
  <c r="T3783" i="1"/>
  <c r="U3783" i="1"/>
  <c r="V3783" i="1"/>
  <c r="W3783" i="1"/>
  <c r="X3783" i="1"/>
  <c r="Y3783" i="1"/>
  <c r="Z3783" i="1"/>
  <c r="A3784" i="1"/>
  <c r="B3784" i="1"/>
  <c r="C3784" i="1"/>
  <c r="D3784" i="1"/>
  <c r="E3784" i="1"/>
  <c r="F3784" i="1"/>
  <c r="G3784" i="1"/>
  <c r="I3784" i="1"/>
  <c r="J3784" i="1"/>
  <c r="K3784" i="1"/>
  <c r="L3784" i="1"/>
  <c r="M3784" i="1"/>
  <c r="N3784" i="1"/>
  <c r="O3784" i="1"/>
  <c r="P3784" i="1"/>
  <c r="Q3784" i="1"/>
  <c r="R3784" i="1"/>
  <c r="S3784" i="1"/>
  <c r="T3784" i="1"/>
  <c r="U3784" i="1"/>
  <c r="V3784" i="1"/>
  <c r="W3784" i="1"/>
  <c r="X3784" i="1"/>
  <c r="Y3784" i="1"/>
  <c r="Z3784" i="1"/>
  <c r="A3785" i="1"/>
  <c r="B3785" i="1"/>
  <c r="C3785" i="1"/>
  <c r="D3785" i="1"/>
  <c r="E3785" i="1"/>
  <c r="F3785" i="1"/>
  <c r="G3785" i="1"/>
  <c r="I3785" i="1"/>
  <c r="J3785" i="1"/>
  <c r="K3785" i="1"/>
  <c r="L3785" i="1"/>
  <c r="M3785" i="1"/>
  <c r="N3785" i="1"/>
  <c r="O3785" i="1"/>
  <c r="P3785" i="1"/>
  <c r="Q3785" i="1"/>
  <c r="R3785" i="1"/>
  <c r="S3785" i="1"/>
  <c r="T3785" i="1"/>
  <c r="U3785" i="1"/>
  <c r="V3785" i="1"/>
  <c r="W3785" i="1"/>
  <c r="X3785" i="1"/>
  <c r="Y3785" i="1"/>
  <c r="Z3785" i="1"/>
  <c r="A3786" i="1"/>
  <c r="B3786" i="1"/>
  <c r="C3786" i="1"/>
  <c r="D3786" i="1"/>
  <c r="E3786" i="1"/>
  <c r="F3786" i="1"/>
  <c r="G3786" i="1"/>
  <c r="I3786" i="1"/>
  <c r="J3786" i="1"/>
  <c r="K3786" i="1"/>
  <c r="L3786" i="1"/>
  <c r="M3786" i="1"/>
  <c r="N3786" i="1"/>
  <c r="O3786" i="1"/>
  <c r="P3786" i="1"/>
  <c r="Q3786" i="1"/>
  <c r="R3786" i="1"/>
  <c r="S3786" i="1"/>
  <c r="T3786" i="1"/>
  <c r="U3786" i="1"/>
  <c r="V3786" i="1"/>
  <c r="W3786" i="1"/>
  <c r="X3786" i="1"/>
  <c r="Y3786" i="1"/>
  <c r="Z3786" i="1"/>
  <c r="A3787" i="1"/>
  <c r="B3787" i="1"/>
  <c r="C3787" i="1"/>
  <c r="D3787" i="1"/>
  <c r="E3787" i="1"/>
  <c r="F3787" i="1"/>
  <c r="G3787" i="1"/>
  <c r="I3787" i="1"/>
  <c r="J3787" i="1"/>
  <c r="K3787" i="1"/>
  <c r="L3787" i="1"/>
  <c r="M3787" i="1"/>
  <c r="N3787" i="1"/>
  <c r="O3787" i="1"/>
  <c r="P3787" i="1"/>
  <c r="Q3787" i="1"/>
  <c r="R3787" i="1"/>
  <c r="S3787" i="1"/>
  <c r="T3787" i="1"/>
  <c r="U3787" i="1"/>
  <c r="V3787" i="1"/>
  <c r="W3787" i="1"/>
  <c r="X3787" i="1"/>
  <c r="Y3787" i="1"/>
  <c r="Z3787" i="1"/>
  <c r="A3788" i="1"/>
  <c r="B3788" i="1"/>
  <c r="C3788" i="1"/>
  <c r="D3788" i="1"/>
  <c r="E3788" i="1"/>
  <c r="F3788" i="1"/>
  <c r="G3788" i="1"/>
  <c r="I3788" i="1"/>
  <c r="J3788" i="1"/>
  <c r="K3788" i="1"/>
  <c r="L3788" i="1"/>
  <c r="M3788" i="1"/>
  <c r="N3788" i="1"/>
  <c r="O3788" i="1"/>
  <c r="P3788" i="1"/>
  <c r="Q3788" i="1"/>
  <c r="R3788" i="1"/>
  <c r="S3788" i="1"/>
  <c r="T3788" i="1"/>
  <c r="U3788" i="1"/>
  <c r="V3788" i="1"/>
  <c r="W3788" i="1"/>
  <c r="X3788" i="1"/>
  <c r="Y3788" i="1"/>
  <c r="Z3788" i="1"/>
  <c r="A3789" i="1"/>
  <c r="B3789" i="1"/>
  <c r="C3789" i="1"/>
  <c r="D3789" i="1"/>
  <c r="E3789" i="1"/>
  <c r="F3789" i="1"/>
  <c r="G3789" i="1"/>
  <c r="I3789" i="1"/>
  <c r="J3789" i="1"/>
  <c r="K3789" i="1"/>
  <c r="L3789" i="1"/>
  <c r="M3789" i="1"/>
  <c r="N3789" i="1"/>
  <c r="O3789" i="1"/>
  <c r="P3789" i="1"/>
  <c r="Q3789" i="1"/>
  <c r="R3789" i="1"/>
  <c r="S3789" i="1"/>
  <c r="T3789" i="1"/>
  <c r="U3789" i="1"/>
  <c r="V3789" i="1"/>
  <c r="W3789" i="1"/>
  <c r="X3789" i="1"/>
  <c r="Y3789" i="1"/>
  <c r="Z3789" i="1"/>
  <c r="A3790" i="1"/>
  <c r="B3790" i="1"/>
  <c r="C3790" i="1"/>
  <c r="D3790" i="1"/>
  <c r="E3790" i="1"/>
  <c r="F3790" i="1"/>
  <c r="G3790" i="1"/>
  <c r="I3790" i="1"/>
  <c r="J3790" i="1"/>
  <c r="K3790" i="1"/>
  <c r="L3790" i="1"/>
  <c r="M3790" i="1"/>
  <c r="N3790" i="1"/>
  <c r="O3790" i="1"/>
  <c r="P3790" i="1"/>
  <c r="Q3790" i="1"/>
  <c r="R3790" i="1"/>
  <c r="S3790" i="1"/>
  <c r="T3790" i="1"/>
  <c r="U3790" i="1"/>
  <c r="V3790" i="1"/>
  <c r="W3790" i="1"/>
  <c r="X3790" i="1"/>
  <c r="Y3790" i="1"/>
  <c r="Z3790" i="1"/>
  <c r="A3791" i="1"/>
  <c r="B3791" i="1"/>
  <c r="C3791" i="1"/>
  <c r="D3791" i="1"/>
  <c r="E3791" i="1"/>
  <c r="F3791" i="1"/>
  <c r="G3791" i="1"/>
  <c r="I3791" i="1"/>
  <c r="J3791" i="1"/>
  <c r="K3791" i="1"/>
  <c r="L3791" i="1"/>
  <c r="M3791" i="1"/>
  <c r="N3791" i="1"/>
  <c r="O3791" i="1"/>
  <c r="P3791" i="1"/>
  <c r="Q3791" i="1"/>
  <c r="R3791" i="1"/>
  <c r="S3791" i="1"/>
  <c r="T3791" i="1"/>
  <c r="U3791" i="1"/>
  <c r="V3791" i="1"/>
  <c r="W3791" i="1"/>
  <c r="X3791" i="1"/>
  <c r="Y3791" i="1"/>
  <c r="Z3791" i="1"/>
  <c r="A3792" i="1"/>
  <c r="B3792" i="1"/>
  <c r="C3792" i="1"/>
  <c r="D3792" i="1"/>
  <c r="E3792" i="1"/>
  <c r="F3792" i="1"/>
  <c r="G3792" i="1"/>
  <c r="I3792" i="1"/>
  <c r="J3792" i="1"/>
  <c r="K3792" i="1"/>
  <c r="L3792" i="1"/>
  <c r="M3792" i="1"/>
  <c r="N3792" i="1"/>
  <c r="O3792" i="1"/>
  <c r="P3792" i="1"/>
  <c r="Q3792" i="1"/>
  <c r="R3792" i="1"/>
  <c r="S3792" i="1"/>
  <c r="T3792" i="1"/>
  <c r="U3792" i="1"/>
  <c r="V3792" i="1"/>
  <c r="W3792" i="1"/>
  <c r="X3792" i="1"/>
  <c r="Y3792" i="1"/>
  <c r="Z3792" i="1"/>
  <c r="A3793" i="1"/>
  <c r="B3793" i="1"/>
  <c r="C3793" i="1"/>
  <c r="D3793" i="1"/>
  <c r="E3793" i="1"/>
  <c r="F3793" i="1"/>
  <c r="G3793" i="1"/>
  <c r="I3793" i="1"/>
  <c r="J3793" i="1"/>
  <c r="K3793" i="1"/>
  <c r="L3793" i="1"/>
  <c r="M3793" i="1"/>
  <c r="N3793" i="1"/>
  <c r="O3793" i="1"/>
  <c r="P3793" i="1"/>
  <c r="Q3793" i="1"/>
  <c r="R3793" i="1"/>
  <c r="S3793" i="1"/>
  <c r="T3793" i="1"/>
  <c r="U3793" i="1"/>
  <c r="V3793" i="1"/>
  <c r="W3793" i="1"/>
  <c r="X3793" i="1"/>
  <c r="Y3793" i="1"/>
  <c r="Z3793" i="1"/>
  <c r="A3794" i="1"/>
  <c r="B3794" i="1"/>
  <c r="C3794" i="1"/>
  <c r="D3794" i="1"/>
  <c r="E3794" i="1"/>
  <c r="F3794" i="1"/>
  <c r="G3794" i="1"/>
  <c r="I3794" i="1"/>
  <c r="J3794" i="1"/>
  <c r="K3794" i="1"/>
  <c r="L3794" i="1"/>
  <c r="M3794" i="1"/>
  <c r="N3794" i="1"/>
  <c r="O3794" i="1"/>
  <c r="P3794" i="1"/>
  <c r="Q3794" i="1"/>
  <c r="R3794" i="1"/>
  <c r="S3794" i="1"/>
  <c r="T3794" i="1"/>
  <c r="U3794" i="1"/>
  <c r="V3794" i="1"/>
  <c r="W3794" i="1"/>
  <c r="X3794" i="1"/>
  <c r="Y3794" i="1"/>
  <c r="Z3794" i="1"/>
  <c r="A3795" i="1"/>
  <c r="B3795" i="1"/>
  <c r="C3795" i="1"/>
  <c r="D3795" i="1"/>
  <c r="E3795" i="1"/>
  <c r="F3795" i="1"/>
  <c r="G3795" i="1"/>
  <c r="I3795" i="1"/>
  <c r="J3795" i="1"/>
  <c r="K3795" i="1"/>
  <c r="L3795" i="1"/>
  <c r="M3795" i="1"/>
  <c r="N3795" i="1"/>
  <c r="O3795" i="1"/>
  <c r="P3795" i="1"/>
  <c r="Q3795" i="1"/>
  <c r="R3795" i="1"/>
  <c r="S3795" i="1"/>
  <c r="T3795" i="1"/>
  <c r="U3795" i="1"/>
  <c r="V3795" i="1"/>
  <c r="W3795" i="1"/>
  <c r="X3795" i="1"/>
  <c r="Y3795" i="1"/>
  <c r="Z3795" i="1"/>
  <c r="A3796" i="1"/>
  <c r="B3796" i="1"/>
  <c r="C3796" i="1"/>
  <c r="D3796" i="1"/>
  <c r="E3796" i="1"/>
  <c r="F3796" i="1"/>
  <c r="G3796" i="1"/>
  <c r="I3796" i="1"/>
  <c r="J3796" i="1"/>
  <c r="K3796" i="1"/>
  <c r="L3796" i="1"/>
  <c r="M3796" i="1"/>
  <c r="N3796" i="1"/>
  <c r="O3796" i="1"/>
  <c r="P3796" i="1"/>
  <c r="Q3796" i="1"/>
  <c r="R3796" i="1"/>
  <c r="S3796" i="1"/>
  <c r="T3796" i="1"/>
  <c r="U3796" i="1"/>
  <c r="V3796" i="1"/>
  <c r="W3796" i="1"/>
  <c r="X3796" i="1"/>
  <c r="Y3796" i="1"/>
  <c r="Z3796" i="1"/>
  <c r="A3797" i="1"/>
  <c r="B3797" i="1"/>
  <c r="C3797" i="1"/>
  <c r="D3797" i="1"/>
  <c r="E3797" i="1"/>
  <c r="F3797" i="1"/>
  <c r="G3797" i="1"/>
  <c r="I3797" i="1"/>
  <c r="J3797" i="1"/>
  <c r="K3797" i="1"/>
  <c r="L3797" i="1"/>
  <c r="M3797" i="1"/>
  <c r="N3797" i="1"/>
  <c r="O3797" i="1"/>
  <c r="P3797" i="1"/>
  <c r="Q3797" i="1"/>
  <c r="R3797" i="1"/>
  <c r="S3797" i="1"/>
  <c r="T3797" i="1"/>
  <c r="U3797" i="1"/>
  <c r="V3797" i="1"/>
  <c r="W3797" i="1"/>
  <c r="X3797" i="1"/>
  <c r="Y3797" i="1"/>
  <c r="Z3797" i="1"/>
  <c r="A3798" i="1"/>
  <c r="B3798" i="1"/>
  <c r="C3798" i="1"/>
  <c r="D3798" i="1"/>
  <c r="E3798" i="1"/>
  <c r="F3798" i="1"/>
  <c r="G3798" i="1"/>
  <c r="I3798" i="1"/>
  <c r="J3798" i="1"/>
  <c r="K3798" i="1"/>
  <c r="L3798" i="1"/>
  <c r="M3798" i="1"/>
  <c r="N3798" i="1"/>
  <c r="O3798" i="1"/>
  <c r="P3798" i="1"/>
  <c r="Q3798" i="1"/>
  <c r="R3798" i="1"/>
  <c r="S3798" i="1"/>
  <c r="T3798" i="1"/>
  <c r="U3798" i="1"/>
  <c r="V3798" i="1"/>
  <c r="W3798" i="1"/>
  <c r="X3798" i="1"/>
  <c r="Y3798" i="1"/>
  <c r="Z3798" i="1"/>
  <c r="A3799" i="1"/>
  <c r="B3799" i="1"/>
  <c r="C3799" i="1"/>
  <c r="D3799" i="1"/>
  <c r="E3799" i="1"/>
  <c r="F3799" i="1"/>
  <c r="G3799" i="1"/>
  <c r="I3799" i="1"/>
  <c r="J3799" i="1"/>
  <c r="K3799" i="1"/>
  <c r="L3799" i="1"/>
  <c r="M3799" i="1"/>
  <c r="N3799" i="1"/>
  <c r="O3799" i="1"/>
  <c r="P3799" i="1"/>
  <c r="Q3799" i="1"/>
  <c r="R3799" i="1"/>
  <c r="S3799" i="1"/>
  <c r="T3799" i="1"/>
  <c r="U3799" i="1"/>
  <c r="V3799" i="1"/>
  <c r="W3799" i="1"/>
  <c r="X3799" i="1"/>
  <c r="Y3799" i="1"/>
  <c r="Z3799" i="1"/>
  <c r="A3800" i="1"/>
  <c r="B3800" i="1"/>
  <c r="C3800" i="1"/>
  <c r="D3800" i="1"/>
  <c r="E3800" i="1"/>
  <c r="F3800" i="1"/>
  <c r="G3800" i="1"/>
  <c r="I3800" i="1"/>
  <c r="J3800" i="1"/>
  <c r="K3800" i="1"/>
  <c r="L3800" i="1"/>
  <c r="M3800" i="1"/>
  <c r="N3800" i="1"/>
  <c r="O3800" i="1"/>
  <c r="P3800" i="1"/>
  <c r="Q3800" i="1"/>
  <c r="R3800" i="1"/>
  <c r="S3800" i="1"/>
  <c r="T3800" i="1"/>
  <c r="U3800" i="1"/>
  <c r="V3800" i="1"/>
  <c r="W3800" i="1"/>
  <c r="X3800" i="1"/>
  <c r="Y3800" i="1"/>
  <c r="Z3800" i="1"/>
  <c r="A3801" i="1"/>
  <c r="B3801" i="1"/>
  <c r="C3801" i="1"/>
  <c r="D3801" i="1"/>
  <c r="E3801" i="1"/>
  <c r="F3801" i="1"/>
  <c r="G3801" i="1"/>
  <c r="I3801" i="1"/>
  <c r="J3801" i="1"/>
  <c r="K3801" i="1"/>
  <c r="L3801" i="1"/>
  <c r="M3801" i="1"/>
  <c r="N3801" i="1"/>
  <c r="O3801" i="1"/>
  <c r="P3801" i="1"/>
  <c r="Q3801" i="1"/>
  <c r="R3801" i="1"/>
  <c r="S3801" i="1"/>
  <c r="T3801" i="1"/>
  <c r="U3801" i="1"/>
  <c r="V3801" i="1"/>
  <c r="W3801" i="1"/>
  <c r="X3801" i="1"/>
  <c r="Y3801" i="1"/>
  <c r="Z3801" i="1"/>
  <c r="A3802" i="1"/>
  <c r="B3802" i="1"/>
  <c r="C3802" i="1"/>
  <c r="D3802" i="1"/>
  <c r="E3802" i="1"/>
  <c r="F3802" i="1"/>
  <c r="G3802" i="1"/>
  <c r="I3802" i="1"/>
  <c r="J3802" i="1"/>
  <c r="K3802" i="1"/>
  <c r="L3802" i="1"/>
  <c r="M3802" i="1"/>
  <c r="N3802" i="1"/>
  <c r="O3802" i="1"/>
  <c r="P3802" i="1"/>
  <c r="Q3802" i="1"/>
  <c r="R3802" i="1"/>
  <c r="S3802" i="1"/>
  <c r="T3802" i="1"/>
  <c r="U3802" i="1"/>
  <c r="V3802" i="1"/>
  <c r="W3802" i="1"/>
  <c r="X3802" i="1"/>
  <c r="Y3802" i="1"/>
  <c r="Z3802" i="1"/>
  <c r="A3803" i="1"/>
  <c r="B3803" i="1"/>
  <c r="C3803" i="1"/>
  <c r="D3803" i="1"/>
  <c r="E3803" i="1"/>
  <c r="F3803" i="1"/>
  <c r="G3803" i="1"/>
  <c r="I3803" i="1"/>
  <c r="J3803" i="1"/>
  <c r="K3803" i="1"/>
  <c r="L3803" i="1"/>
  <c r="M3803" i="1"/>
  <c r="N3803" i="1"/>
  <c r="O3803" i="1"/>
  <c r="P3803" i="1"/>
  <c r="Q3803" i="1"/>
  <c r="R3803" i="1"/>
  <c r="S3803" i="1"/>
  <c r="T3803" i="1"/>
  <c r="U3803" i="1"/>
  <c r="V3803" i="1"/>
  <c r="W3803" i="1"/>
  <c r="X3803" i="1"/>
  <c r="Y3803" i="1"/>
  <c r="Z3803" i="1"/>
  <c r="A3804" i="1"/>
  <c r="B3804" i="1"/>
  <c r="C3804" i="1"/>
  <c r="D3804" i="1"/>
  <c r="E3804" i="1"/>
  <c r="F3804" i="1"/>
  <c r="G3804" i="1"/>
  <c r="I3804" i="1"/>
  <c r="J3804" i="1"/>
  <c r="K3804" i="1"/>
  <c r="L3804" i="1"/>
  <c r="M3804" i="1"/>
  <c r="N3804" i="1"/>
  <c r="O3804" i="1"/>
  <c r="P3804" i="1"/>
  <c r="Q3804" i="1"/>
  <c r="R3804" i="1"/>
  <c r="S3804" i="1"/>
  <c r="T3804" i="1"/>
  <c r="U3804" i="1"/>
  <c r="V3804" i="1"/>
  <c r="W3804" i="1"/>
  <c r="X3804" i="1"/>
  <c r="Y3804" i="1"/>
  <c r="Z3804" i="1"/>
  <c r="A3805" i="1"/>
  <c r="B3805" i="1"/>
  <c r="C3805" i="1"/>
  <c r="D3805" i="1"/>
  <c r="E3805" i="1"/>
  <c r="F3805" i="1"/>
  <c r="G3805" i="1"/>
  <c r="I3805" i="1"/>
  <c r="J3805" i="1"/>
  <c r="K3805" i="1"/>
  <c r="L3805" i="1"/>
  <c r="M3805" i="1"/>
  <c r="N3805" i="1"/>
  <c r="O3805" i="1"/>
  <c r="P3805" i="1"/>
  <c r="Q3805" i="1"/>
  <c r="R3805" i="1"/>
  <c r="S3805" i="1"/>
  <c r="T3805" i="1"/>
  <c r="U3805" i="1"/>
  <c r="V3805" i="1"/>
  <c r="W3805" i="1"/>
  <c r="X3805" i="1"/>
  <c r="Y3805" i="1"/>
  <c r="Z3805" i="1"/>
  <c r="A3806" i="1"/>
  <c r="B3806" i="1"/>
  <c r="C3806" i="1"/>
  <c r="D3806" i="1"/>
  <c r="E3806" i="1"/>
  <c r="F3806" i="1"/>
  <c r="G3806" i="1"/>
  <c r="I3806" i="1"/>
  <c r="J3806" i="1"/>
  <c r="K3806" i="1"/>
  <c r="L3806" i="1"/>
  <c r="M3806" i="1"/>
  <c r="N3806" i="1"/>
  <c r="O3806" i="1"/>
  <c r="P3806" i="1"/>
  <c r="Q3806" i="1"/>
  <c r="R3806" i="1"/>
  <c r="S3806" i="1"/>
  <c r="T3806" i="1"/>
  <c r="U3806" i="1"/>
  <c r="V3806" i="1"/>
  <c r="W3806" i="1"/>
  <c r="X3806" i="1"/>
  <c r="Y3806" i="1"/>
  <c r="Z3806" i="1"/>
  <c r="A3807" i="1"/>
  <c r="B3807" i="1"/>
  <c r="C3807" i="1"/>
  <c r="D3807" i="1"/>
  <c r="E3807" i="1"/>
  <c r="F3807" i="1"/>
  <c r="G3807" i="1"/>
  <c r="I3807" i="1"/>
  <c r="J3807" i="1"/>
  <c r="K3807" i="1"/>
  <c r="L3807" i="1"/>
  <c r="M3807" i="1"/>
  <c r="N3807" i="1"/>
  <c r="O3807" i="1"/>
  <c r="P3807" i="1"/>
  <c r="Q3807" i="1"/>
  <c r="R3807" i="1"/>
  <c r="S3807" i="1"/>
  <c r="T3807" i="1"/>
  <c r="U3807" i="1"/>
  <c r="V3807" i="1"/>
  <c r="W3807" i="1"/>
  <c r="X3807" i="1"/>
  <c r="Y3807" i="1"/>
  <c r="Z3807" i="1"/>
  <c r="A3808" i="1"/>
  <c r="B3808" i="1"/>
  <c r="C3808" i="1"/>
  <c r="D3808" i="1"/>
  <c r="E3808" i="1"/>
  <c r="F3808" i="1"/>
  <c r="G3808" i="1"/>
  <c r="I3808" i="1"/>
  <c r="J3808" i="1"/>
  <c r="K3808" i="1"/>
  <c r="L3808" i="1"/>
  <c r="M3808" i="1"/>
  <c r="N3808" i="1"/>
  <c r="O3808" i="1"/>
  <c r="P3808" i="1"/>
  <c r="Q3808" i="1"/>
  <c r="R3808" i="1"/>
  <c r="S3808" i="1"/>
  <c r="T3808" i="1"/>
  <c r="U3808" i="1"/>
  <c r="V3808" i="1"/>
  <c r="W3808" i="1"/>
  <c r="X3808" i="1"/>
  <c r="Y3808" i="1"/>
  <c r="Z3808" i="1"/>
  <c r="A3809" i="1"/>
  <c r="B3809" i="1"/>
  <c r="C3809" i="1"/>
  <c r="D3809" i="1"/>
  <c r="E3809" i="1"/>
  <c r="F3809" i="1"/>
  <c r="G3809" i="1"/>
  <c r="I3809" i="1"/>
  <c r="J3809" i="1"/>
  <c r="K3809" i="1"/>
  <c r="L3809" i="1"/>
  <c r="M3809" i="1"/>
  <c r="N3809" i="1"/>
  <c r="O3809" i="1"/>
  <c r="P3809" i="1"/>
  <c r="Q3809" i="1"/>
  <c r="R3809" i="1"/>
  <c r="S3809" i="1"/>
  <c r="T3809" i="1"/>
  <c r="U3809" i="1"/>
  <c r="V3809" i="1"/>
  <c r="W3809" i="1"/>
  <c r="X3809" i="1"/>
  <c r="Y3809" i="1"/>
  <c r="Z3809" i="1"/>
  <c r="A3810" i="1"/>
  <c r="B3810" i="1"/>
  <c r="C3810" i="1"/>
  <c r="D3810" i="1"/>
  <c r="E3810" i="1"/>
  <c r="F3810" i="1"/>
  <c r="G3810" i="1"/>
  <c r="I3810" i="1"/>
  <c r="J3810" i="1"/>
  <c r="K3810" i="1"/>
  <c r="L3810" i="1"/>
  <c r="M3810" i="1"/>
  <c r="N3810" i="1"/>
  <c r="O3810" i="1"/>
  <c r="P3810" i="1"/>
  <c r="Q3810" i="1"/>
  <c r="R3810" i="1"/>
  <c r="S3810" i="1"/>
  <c r="T3810" i="1"/>
  <c r="U3810" i="1"/>
  <c r="V3810" i="1"/>
  <c r="W3810" i="1"/>
  <c r="X3810" i="1"/>
  <c r="Y3810" i="1"/>
  <c r="Z3810" i="1"/>
  <c r="A3811" i="1"/>
  <c r="B3811" i="1"/>
  <c r="C3811" i="1"/>
  <c r="D3811" i="1"/>
  <c r="E3811" i="1"/>
  <c r="F3811" i="1"/>
  <c r="G3811" i="1"/>
  <c r="I3811" i="1"/>
  <c r="J3811" i="1"/>
  <c r="K3811" i="1"/>
  <c r="L3811" i="1"/>
  <c r="M3811" i="1"/>
  <c r="N3811" i="1"/>
  <c r="O3811" i="1"/>
  <c r="P3811" i="1"/>
  <c r="Q3811" i="1"/>
  <c r="R3811" i="1"/>
  <c r="S3811" i="1"/>
  <c r="T3811" i="1"/>
  <c r="U3811" i="1"/>
  <c r="V3811" i="1"/>
  <c r="W3811" i="1"/>
  <c r="X3811" i="1"/>
  <c r="Y3811" i="1"/>
  <c r="Z3811" i="1"/>
  <c r="A3812" i="1"/>
  <c r="B3812" i="1"/>
  <c r="C3812" i="1"/>
  <c r="D3812" i="1"/>
  <c r="E3812" i="1"/>
  <c r="F3812" i="1"/>
  <c r="G3812" i="1"/>
  <c r="I3812" i="1"/>
  <c r="J3812" i="1"/>
  <c r="K3812" i="1"/>
  <c r="L3812" i="1"/>
  <c r="M3812" i="1"/>
  <c r="N3812" i="1"/>
  <c r="O3812" i="1"/>
  <c r="P3812" i="1"/>
  <c r="Q3812" i="1"/>
  <c r="R3812" i="1"/>
  <c r="S3812" i="1"/>
  <c r="T3812" i="1"/>
  <c r="U3812" i="1"/>
  <c r="V3812" i="1"/>
  <c r="W3812" i="1"/>
  <c r="X3812" i="1"/>
  <c r="Y3812" i="1"/>
  <c r="Z3812" i="1"/>
  <c r="A3813" i="1"/>
  <c r="B3813" i="1"/>
  <c r="C3813" i="1"/>
  <c r="D3813" i="1"/>
  <c r="E3813" i="1"/>
  <c r="F3813" i="1"/>
  <c r="G3813" i="1"/>
  <c r="I3813" i="1"/>
  <c r="J3813" i="1"/>
  <c r="K3813" i="1"/>
  <c r="L3813" i="1"/>
  <c r="M3813" i="1"/>
  <c r="N3813" i="1"/>
  <c r="O3813" i="1"/>
  <c r="P3813" i="1"/>
  <c r="Q3813" i="1"/>
  <c r="R3813" i="1"/>
  <c r="S3813" i="1"/>
  <c r="T3813" i="1"/>
  <c r="U3813" i="1"/>
  <c r="V3813" i="1"/>
  <c r="W3813" i="1"/>
  <c r="X3813" i="1"/>
  <c r="Y3813" i="1"/>
  <c r="Z3813" i="1"/>
  <c r="A3814" i="1"/>
  <c r="B3814" i="1"/>
  <c r="C3814" i="1"/>
  <c r="D3814" i="1"/>
  <c r="E3814" i="1"/>
  <c r="F3814" i="1"/>
  <c r="G3814" i="1"/>
  <c r="I3814" i="1"/>
  <c r="J3814" i="1"/>
  <c r="K3814" i="1"/>
  <c r="L3814" i="1"/>
  <c r="M3814" i="1"/>
  <c r="N3814" i="1"/>
  <c r="O3814" i="1"/>
  <c r="P3814" i="1"/>
  <c r="Q3814" i="1"/>
  <c r="R3814" i="1"/>
  <c r="S3814" i="1"/>
  <c r="T3814" i="1"/>
  <c r="U3814" i="1"/>
  <c r="V3814" i="1"/>
  <c r="W3814" i="1"/>
  <c r="X3814" i="1"/>
  <c r="Y3814" i="1"/>
  <c r="Z3814" i="1"/>
  <c r="A3815" i="1"/>
  <c r="B3815" i="1"/>
  <c r="C3815" i="1"/>
  <c r="D3815" i="1"/>
  <c r="E3815" i="1"/>
  <c r="F3815" i="1"/>
  <c r="G3815" i="1"/>
  <c r="I3815" i="1"/>
  <c r="J3815" i="1"/>
  <c r="K3815" i="1"/>
  <c r="L3815" i="1"/>
  <c r="M3815" i="1"/>
  <c r="N3815" i="1"/>
  <c r="O3815" i="1"/>
  <c r="P3815" i="1"/>
  <c r="Q3815" i="1"/>
  <c r="R3815" i="1"/>
  <c r="S3815" i="1"/>
  <c r="T3815" i="1"/>
  <c r="U3815" i="1"/>
  <c r="V3815" i="1"/>
  <c r="W3815" i="1"/>
  <c r="X3815" i="1"/>
  <c r="Y3815" i="1"/>
  <c r="Z3815" i="1"/>
  <c r="A3816" i="1"/>
  <c r="B3816" i="1"/>
  <c r="C3816" i="1"/>
  <c r="D3816" i="1"/>
  <c r="E3816" i="1"/>
  <c r="F3816" i="1"/>
  <c r="G3816" i="1"/>
  <c r="I3816" i="1"/>
  <c r="J3816" i="1"/>
  <c r="K3816" i="1"/>
  <c r="L3816" i="1"/>
  <c r="M3816" i="1"/>
  <c r="N3816" i="1"/>
  <c r="O3816" i="1"/>
  <c r="P3816" i="1"/>
  <c r="Q3816" i="1"/>
  <c r="R3816" i="1"/>
  <c r="S3816" i="1"/>
  <c r="T3816" i="1"/>
  <c r="U3816" i="1"/>
  <c r="V3816" i="1"/>
  <c r="W3816" i="1"/>
  <c r="X3816" i="1"/>
  <c r="Y3816" i="1"/>
  <c r="Z3816" i="1"/>
  <c r="A3817" i="1"/>
  <c r="B3817" i="1"/>
  <c r="C3817" i="1"/>
  <c r="D3817" i="1"/>
  <c r="E3817" i="1"/>
  <c r="F3817" i="1"/>
  <c r="G3817" i="1"/>
  <c r="I3817" i="1"/>
  <c r="J3817" i="1"/>
  <c r="K3817" i="1"/>
  <c r="L3817" i="1"/>
  <c r="M3817" i="1"/>
  <c r="N3817" i="1"/>
  <c r="O3817" i="1"/>
  <c r="P3817" i="1"/>
  <c r="Q3817" i="1"/>
  <c r="R3817" i="1"/>
  <c r="S3817" i="1"/>
  <c r="T3817" i="1"/>
  <c r="U3817" i="1"/>
  <c r="V3817" i="1"/>
  <c r="W3817" i="1"/>
  <c r="X3817" i="1"/>
  <c r="Y3817" i="1"/>
  <c r="Z3817" i="1"/>
  <c r="A3818" i="1"/>
  <c r="B3818" i="1"/>
  <c r="C3818" i="1"/>
  <c r="D3818" i="1"/>
  <c r="E3818" i="1"/>
  <c r="F3818" i="1"/>
  <c r="G3818" i="1"/>
  <c r="I3818" i="1"/>
  <c r="J3818" i="1"/>
  <c r="K3818" i="1"/>
  <c r="L3818" i="1"/>
  <c r="M3818" i="1"/>
  <c r="N3818" i="1"/>
  <c r="O3818" i="1"/>
  <c r="P3818" i="1"/>
  <c r="Q3818" i="1"/>
  <c r="R3818" i="1"/>
  <c r="S3818" i="1"/>
  <c r="T3818" i="1"/>
  <c r="U3818" i="1"/>
  <c r="V3818" i="1"/>
  <c r="W3818" i="1"/>
  <c r="X3818" i="1"/>
  <c r="Y3818" i="1"/>
  <c r="Z3818" i="1"/>
  <c r="A3819" i="1"/>
  <c r="B3819" i="1"/>
  <c r="C3819" i="1"/>
  <c r="D3819" i="1"/>
  <c r="E3819" i="1"/>
  <c r="F3819" i="1"/>
  <c r="G3819" i="1"/>
  <c r="I3819" i="1"/>
  <c r="J3819" i="1"/>
  <c r="K3819" i="1"/>
  <c r="L3819" i="1"/>
  <c r="M3819" i="1"/>
  <c r="N3819" i="1"/>
  <c r="O3819" i="1"/>
  <c r="P3819" i="1"/>
  <c r="Q3819" i="1"/>
  <c r="R3819" i="1"/>
  <c r="S3819" i="1"/>
  <c r="T3819" i="1"/>
  <c r="U3819" i="1"/>
  <c r="V3819" i="1"/>
  <c r="W3819" i="1"/>
  <c r="X3819" i="1"/>
  <c r="Y3819" i="1"/>
  <c r="Z3819" i="1"/>
  <c r="A3820" i="1"/>
  <c r="B3820" i="1"/>
  <c r="C3820" i="1"/>
  <c r="D3820" i="1"/>
  <c r="E3820" i="1"/>
  <c r="F3820" i="1"/>
  <c r="G3820" i="1"/>
  <c r="I3820" i="1"/>
  <c r="J3820" i="1"/>
  <c r="K3820" i="1"/>
  <c r="L3820" i="1"/>
  <c r="M3820" i="1"/>
  <c r="N3820" i="1"/>
  <c r="O3820" i="1"/>
  <c r="P3820" i="1"/>
  <c r="Q3820" i="1"/>
  <c r="R3820" i="1"/>
  <c r="S3820" i="1"/>
  <c r="T3820" i="1"/>
  <c r="U3820" i="1"/>
  <c r="V3820" i="1"/>
  <c r="W3820" i="1"/>
  <c r="X3820" i="1"/>
  <c r="Y3820" i="1"/>
  <c r="Z3820" i="1"/>
  <c r="A3821" i="1"/>
  <c r="B3821" i="1"/>
  <c r="C3821" i="1"/>
  <c r="D3821" i="1"/>
  <c r="E3821" i="1"/>
  <c r="F3821" i="1"/>
  <c r="G3821" i="1"/>
  <c r="I3821" i="1"/>
  <c r="J3821" i="1"/>
  <c r="K3821" i="1"/>
  <c r="L3821" i="1"/>
  <c r="M3821" i="1"/>
  <c r="N3821" i="1"/>
  <c r="O3821" i="1"/>
  <c r="P3821" i="1"/>
  <c r="Q3821" i="1"/>
  <c r="R3821" i="1"/>
  <c r="S3821" i="1"/>
  <c r="T3821" i="1"/>
  <c r="U3821" i="1"/>
  <c r="V3821" i="1"/>
  <c r="W3821" i="1"/>
  <c r="X3821" i="1"/>
  <c r="Y3821" i="1"/>
  <c r="Z3821" i="1"/>
  <c r="A3822" i="1"/>
  <c r="B3822" i="1"/>
  <c r="C3822" i="1"/>
  <c r="D3822" i="1"/>
  <c r="E3822" i="1"/>
  <c r="F3822" i="1"/>
  <c r="G3822" i="1"/>
  <c r="I3822" i="1"/>
  <c r="J3822" i="1"/>
  <c r="K3822" i="1"/>
  <c r="L3822" i="1"/>
  <c r="M3822" i="1"/>
  <c r="N3822" i="1"/>
  <c r="O3822" i="1"/>
  <c r="P3822" i="1"/>
  <c r="Q3822" i="1"/>
  <c r="R3822" i="1"/>
  <c r="S3822" i="1"/>
  <c r="T3822" i="1"/>
  <c r="U3822" i="1"/>
  <c r="V3822" i="1"/>
  <c r="W3822" i="1"/>
  <c r="X3822" i="1"/>
  <c r="Y3822" i="1"/>
  <c r="Z3822" i="1"/>
  <c r="A3823" i="1"/>
  <c r="B3823" i="1"/>
  <c r="C3823" i="1"/>
  <c r="D3823" i="1"/>
  <c r="E3823" i="1"/>
  <c r="F3823" i="1"/>
  <c r="G3823" i="1"/>
  <c r="I3823" i="1"/>
  <c r="J3823" i="1"/>
  <c r="K3823" i="1"/>
  <c r="L3823" i="1"/>
  <c r="M3823" i="1"/>
  <c r="N3823" i="1"/>
  <c r="O3823" i="1"/>
  <c r="P3823" i="1"/>
  <c r="Q3823" i="1"/>
  <c r="R3823" i="1"/>
  <c r="S3823" i="1"/>
  <c r="T3823" i="1"/>
  <c r="U3823" i="1"/>
  <c r="V3823" i="1"/>
  <c r="W3823" i="1"/>
  <c r="X3823" i="1"/>
  <c r="Y3823" i="1"/>
  <c r="Z3823" i="1"/>
  <c r="A3824" i="1"/>
  <c r="B3824" i="1"/>
  <c r="C3824" i="1"/>
  <c r="D3824" i="1"/>
  <c r="E3824" i="1"/>
  <c r="F3824" i="1"/>
  <c r="G3824" i="1"/>
  <c r="I3824" i="1"/>
  <c r="J3824" i="1"/>
  <c r="K3824" i="1"/>
  <c r="L3824" i="1"/>
  <c r="M3824" i="1"/>
  <c r="N3824" i="1"/>
  <c r="O3824" i="1"/>
  <c r="P3824" i="1"/>
  <c r="Q3824" i="1"/>
  <c r="R3824" i="1"/>
  <c r="S3824" i="1"/>
  <c r="T3824" i="1"/>
  <c r="U3824" i="1"/>
  <c r="V3824" i="1"/>
  <c r="W3824" i="1"/>
  <c r="X3824" i="1"/>
  <c r="Y3824" i="1"/>
  <c r="Z3824" i="1"/>
  <c r="A3825" i="1"/>
  <c r="B3825" i="1"/>
  <c r="C3825" i="1"/>
  <c r="D3825" i="1"/>
  <c r="E3825" i="1"/>
  <c r="F3825" i="1"/>
  <c r="G3825" i="1"/>
  <c r="I3825" i="1"/>
  <c r="J3825" i="1"/>
  <c r="K3825" i="1"/>
  <c r="L3825" i="1"/>
  <c r="M3825" i="1"/>
  <c r="N3825" i="1"/>
  <c r="O3825" i="1"/>
  <c r="P3825" i="1"/>
  <c r="Q3825" i="1"/>
  <c r="R3825" i="1"/>
  <c r="S3825" i="1"/>
  <c r="T3825" i="1"/>
  <c r="U3825" i="1"/>
  <c r="V3825" i="1"/>
  <c r="W3825" i="1"/>
  <c r="X3825" i="1"/>
  <c r="Y3825" i="1"/>
  <c r="Z3825" i="1"/>
  <c r="A3826" i="1"/>
  <c r="B3826" i="1"/>
  <c r="C3826" i="1"/>
  <c r="D3826" i="1"/>
  <c r="E3826" i="1"/>
  <c r="F3826" i="1"/>
  <c r="G3826" i="1"/>
  <c r="I3826" i="1"/>
  <c r="J3826" i="1"/>
  <c r="K3826" i="1"/>
  <c r="L3826" i="1"/>
  <c r="M3826" i="1"/>
  <c r="N3826" i="1"/>
  <c r="O3826" i="1"/>
  <c r="P3826" i="1"/>
  <c r="Q3826" i="1"/>
  <c r="R3826" i="1"/>
  <c r="S3826" i="1"/>
  <c r="T3826" i="1"/>
  <c r="U3826" i="1"/>
  <c r="V3826" i="1"/>
  <c r="W3826" i="1"/>
  <c r="X3826" i="1"/>
  <c r="Y3826" i="1"/>
  <c r="Z3826" i="1"/>
  <c r="A3827" i="1"/>
  <c r="B3827" i="1"/>
  <c r="C3827" i="1"/>
  <c r="D3827" i="1"/>
  <c r="E3827" i="1"/>
  <c r="F3827" i="1"/>
  <c r="G3827" i="1"/>
  <c r="I3827" i="1"/>
  <c r="J3827" i="1"/>
  <c r="K3827" i="1"/>
  <c r="L3827" i="1"/>
  <c r="M3827" i="1"/>
  <c r="N3827" i="1"/>
  <c r="O3827" i="1"/>
  <c r="P3827" i="1"/>
  <c r="Q3827" i="1"/>
  <c r="R3827" i="1"/>
  <c r="S3827" i="1"/>
  <c r="T3827" i="1"/>
  <c r="U3827" i="1"/>
  <c r="V3827" i="1"/>
  <c r="W3827" i="1"/>
  <c r="X3827" i="1"/>
  <c r="Y3827" i="1"/>
  <c r="Z3827" i="1"/>
  <c r="A3828" i="1"/>
  <c r="B3828" i="1"/>
  <c r="C3828" i="1"/>
  <c r="D3828" i="1"/>
  <c r="E3828" i="1"/>
  <c r="F3828" i="1"/>
  <c r="G3828" i="1"/>
  <c r="I3828" i="1"/>
  <c r="J3828" i="1"/>
  <c r="K3828" i="1"/>
  <c r="L3828" i="1"/>
  <c r="M3828" i="1"/>
  <c r="N3828" i="1"/>
  <c r="O3828" i="1"/>
  <c r="P3828" i="1"/>
  <c r="Q3828" i="1"/>
  <c r="R3828" i="1"/>
  <c r="S3828" i="1"/>
  <c r="T3828" i="1"/>
  <c r="U3828" i="1"/>
  <c r="V3828" i="1"/>
  <c r="W3828" i="1"/>
  <c r="X3828" i="1"/>
  <c r="Y3828" i="1"/>
  <c r="Z3828" i="1"/>
  <c r="A3829" i="1"/>
  <c r="B3829" i="1"/>
  <c r="C3829" i="1"/>
  <c r="D3829" i="1"/>
  <c r="E3829" i="1"/>
  <c r="F3829" i="1"/>
  <c r="G3829" i="1"/>
  <c r="I3829" i="1"/>
  <c r="J3829" i="1"/>
  <c r="K3829" i="1"/>
  <c r="L3829" i="1"/>
  <c r="M3829" i="1"/>
  <c r="N3829" i="1"/>
  <c r="O3829" i="1"/>
  <c r="P3829" i="1"/>
  <c r="Q3829" i="1"/>
  <c r="R3829" i="1"/>
  <c r="S3829" i="1"/>
  <c r="T3829" i="1"/>
  <c r="U3829" i="1"/>
  <c r="V3829" i="1"/>
  <c r="W3829" i="1"/>
  <c r="X3829" i="1"/>
  <c r="Y3829" i="1"/>
  <c r="Z3829" i="1"/>
  <c r="A3830" i="1"/>
  <c r="B3830" i="1"/>
  <c r="C3830" i="1"/>
  <c r="D3830" i="1"/>
  <c r="E3830" i="1"/>
  <c r="F3830" i="1"/>
  <c r="G3830" i="1"/>
  <c r="I3830" i="1"/>
  <c r="J3830" i="1"/>
  <c r="K3830" i="1"/>
  <c r="L3830" i="1"/>
  <c r="M3830" i="1"/>
  <c r="N3830" i="1"/>
  <c r="O3830" i="1"/>
  <c r="P3830" i="1"/>
  <c r="Q3830" i="1"/>
  <c r="R3830" i="1"/>
  <c r="S3830" i="1"/>
  <c r="T3830" i="1"/>
  <c r="U3830" i="1"/>
  <c r="V3830" i="1"/>
  <c r="W3830" i="1"/>
  <c r="X3830" i="1"/>
  <c r="Y3830" i="1"/>
  <c r="Z3830" i="1"/>
  <c r="A3831" i="1"/>
  <c r="B3831" i="1"/>
  <c r="C3831" i="1"/>
  <c r="D3831" i="1"/>
  <c r="E3831" i="1"/>
  <c r="F3831" i="1"/>
  <c r="G3831" i="1"/>
  <c r="I3831" i="1"/>
  <c r="J3831" i="1"/>
  <c r="K3831" i="1"/>
  <c r="L3831" i="1"/>
  <c r="M3831" i="1"/>
  <c r="N3831" i="1"/>
  <c r="O3831" i="1"/>
  <c r="P3831" i="1"/>
  <c r="Q3831" i="1"/>
  <c r="R3831" i="1"/>
  <c r="S3831" i="1"/>
  <c r="T3831" i="1"/>
  <c r="U3831" i="1"/>
  <c r="V3831" i="1"/>
  <c r="W3831" i="1"/>
  <c r="X3831" i="1"/>
  <c r="Y3831" i="1"/>
  <c r="Z3831" i="1"/>
  <c r="A3832" i="1"/>
  <c r="B3832" i="1"/>
  <c r="C3832" i="1"/>
  <c r="D3832" i="1"/>
  <c r="E3832" i="1"/>
  <c r="F3832" i="1"/>
  <c r="G3832" i="1"/>
  <c r="I3832" i="1"/>
  <c r="J3832" i="1"/>
  <c r="K3832" i="1"/>
  <c r="L3832" i="1"/>
  <c r="M3832" i="1"/>
  <c r="N3832" i="1"/>
  <c r="O3832" i="1"/>
  <c r="P3832" i="1"/>
  <c r="Q3832" i="1"/>
  <c r="R3832" i="1"/>
  <c r="S3832" i="1"/>
  <c r="T3832" i="1"/>
  <c r="U3832" i="1"/>
  <c r="V3832" i="1"/>
  <c r="W3832" i="1"/>
  <c r="X3832" i="1"/>
  <c r="Y3832" i="1"/>
  <c r="Z3832" i="1"/>
  <c r="A3833" i="1"/>
  <c r="B3833" i="1"/>
  <c r="C3833" i="1"/>
  <c r="D3833" i="1"/>
  <c r="E3833" i="1"/>
  <c r="F3833" i="1"/>
  <c r="G3833" i="1"/>
  <c r="I3833" i="1"/>
  <c r="J3833" i="1"/>
  <c r="K3833" i="1"/>
  <c r="L3833" i="1"/>
  <c r="M3833" i="1"/>
  <c r="N3833" i="1"/>
  <c r="O3833" i="1"/>
  <c r="P3833" i="1"/>
  <c r="Q3833" i="1"/>
  <c r="R3833" i="1"/>
  <c r="S3833" i="1"/>
  <c r="T3833" i="1"/>
  <c r="U3833" i="1"/>
  <c r="V3833" i="1"/>
  <c r="W3833" i="1"/>
  <c r="X3833" i="1"/>
  <c r="Y3833" i="1"/>
  <c r="Z3833" i="1"/>
  <c r="A3834" i="1"/>
  <c r="B3834" i="1"/>
  <c r="C3834" i="1"/>
  <c r="D3834" i="1"/>
  <c r="E3834" i="1"/>
  <c r="F3834" i="1"/>
  <c r="G3834" i="1"/>
  <c r="I3834" i="1"/>
  <c r="J3834" i="1"/>
  <c r="K3834" i="1"/>
  <c r="L3834" i="1"/>
  <c r="M3834" i="1"/>
  <c r="N3834" i="1"/>
  <c r="O3834" i="1"/>
  <c r="P3834" i="1"/>
  <c r="Q3834" i="1"/>
  <c r="R3834" i="1"/>
  <c r="S3834" i="1"/>
  <c r="T3834" i="1"/>
  <c r="U3834" i="1"/>
  <c r="V3834" i="1"/>
  <c r="W3834" i="1"/>
  <c r="X3834" i="1"/>
  <c r="Y3834" i="1"/>
  <c r="Z3834" i="1"/>
  <c r="A3835" i="1"/>
  <c r="B3835" i="1"/>
  <c r="C3835" i="1"/>
  <c r="D3835" i="1"/>
  <c r="E3835" i="1"/>
  <c r="F3835" i="1"/>
  <c r="G3835" i="1"/>
  <c r="I3835" i="1"/>
  <c r="J3835" i="1"/>
  <c r="K3835" i="1"/>
  <c r="L3835" i="1"/>
  <c r="M3835" i="1"/>
  <c r="N3835" i="1"/>
  <c r="O3835" i="1"/>
  <c r="P3835" i="1"/>
  <c r="Q3835" i="1"/>
  <c r="R3835" i="1"/>
  <c r="S3835" i="1"/>
  <c r="T3835" i="1"/>
  <c r="U3835" i="1"/>
  <c r="V3835" i="1"/>
  <c r="W3835" i="1"/>
  <c r="X3835" i="1"/>
  <c r="Y3835" i="1"/>
  <c r="Z3835" i="1"/>
  <c r="A3836" i="1"/>
  <c r="B3836" i="1"/>
  <c r="C3836" i="1"/>
  <c r="D3836" i="1"/>
  <c r="E3836" i="1"/>
  <c r="F3836" i="1"/>
  <c r="G3836" i="1"/>
  <c r="I3836" i="1"/>
  <c r="J3836" i="1"/>
  <c r="K3836" i="1"/>
  <c r="L3836" i="1"/>
  <c r="M3836" i="1"/>
  <c r="N3836" i="1"/>
  <c r="O3836" i="1"/>
  <c r="P3836" i="1"/>
  <c r="Q3836" i="1"/>
  <c r="R3836" i="1"/>
  <c r="S3836" i="1"/>
  <c r="T3836" i="1"/>
  <c r="U3836" i="1"/>
  <c r="V3836" i="1"/>
  <c r="W3836" i="1"/>
  <c r="X3836" i="1"/>
  <c r="Y3836" i="1"/>
  <c r="Z3836" i="1"/>
  <c r="A3837" i="1"/>
  <c r="B3837" i="1"/>
  <c r="C3837" i="1"/>
  <c r="D3837" i="1"/>
  <c r="E3837" i="1"/>
  <c r="F3837" i="1"/>
  <c r="G3837" i="1"/>
  <c r="I3837" i="1"/>
  <c r="J3837" i="1"/>
  <c r="K3837" i="1"/>
  <c r="L3837" i="1"/>
  <c r="M3837" i="1"/>
  <c r="N3837" i="1"/>
  <c r="O3837" i="1"/>
  <c r="P3837" i="1"/>
  <c r="Q3837" i="1"/>
  <c r="R3837" i="1"/>
  <c r="S3837" i="1"/>
  <c r="T3837" i="1"/>
  <c r="U3837" i="1"/>
  <c r="V3837" i="1"/>
  <c r="W3837" i="1"/>
  <c r="X3837" i="1"/>
  <c r="Y3837" i="1"/>
  <c r="Z3837" i="1"/>
  <c r="A3838" i="1"/>
  <c r="B3838" i="1"/>
  <c r="C3838" i="1"/>
  <c r="D3838" i="1"/>
  <c r="E3838" i="1"/>
  <c r="F3838" i="1"/>
  <c r="G3838" i="1"/>
  <c r="I3838" i="1"/>
  <c r="J3838" i="1"/>
  <c r="K3838" i="1"/>
  <c r="L3838" i="1"/>
  <c r="M3838" i="1"/>
  <c r="N3838" i="1"/>
  <c r="O3838" i="1"/>
  <c r="P3838" i="1"/>
  <c r="Q3838" i="1"/>
  <c r="R3838" i="1"/>
  <c r="S3838" i="1"/>
  <c r="T3838" i="1"/>
  <c r="U3838" i="1"/>
  <c r="V3838" i="1"/>
  <c r="W3838" i="1"/>
  <c r="X3838" i="1"/>
  <c r="Y3838" i="1"/>
  <c r="Z3838" i="1"/>
  <c r="A3839" i="1"/>
  <c r="B3839" i="1"/>
  <c r="C3839" i="1"/>
  <c r="D3839" i="1"/>
  <c r="E3839" i="1"/>
  <c r="F3839" i="1"/>
  <c r="G3839" i="1"/>
  <c r="I3839" i="1"/>
  <c r="J3839" i="1"/>
  <c r="K3839" i="1"/>
  <c r="L3839" i="1"/>
  <c r="M3839" i="1"/>
  <c r="N3839" i="1"/>
  <c r="O3839" i="1"/>
  <c r="P3839" i="1"/>
  <c r="Q3839" i="1"/>
  <c r="R3839" i="1"/>
  <c r="S3839" i="1"/>
  <c r="T3839" i="1"/>
  <c r="U3839" i="1"/>
  <c r="V3839" i="1"/>
  <c r="W3839" i="1"/>
  <c r="X3839" i="1"/>
  <c r="Y3839" i="1"/>
  <c r="Z3839" i="1"/>
  <c r="A3840" i="1"/>
  <c r="B3840" i="1"/>
  <c r="C3840" i="1"/>
  <c r="D3840" i="1"/>
  <c r="E3840" i="1"/>
  <c r="F3840" i="1"/>
  <c r="G3840" i="1"/>
  <c r="I3840" i="1"/>
  <c r="J3840" i="1"/>
  <c r="K3840" i="1"/>
  <c r="L3840" i="1"/>
  <c r="M3840" i="1"/>
  <c r="N3840" i="1"/>
  <c r="O3840" i="1"/>
  <c r="P3840" i="1"/>
  <c r="Q3840" i="1"/>
  <c r="R3840" i="1"/>
  <c r="S3840" i="1"/>
  <c r="T3840" i="1"/>
  <c r="U3840" i="1"/>
  <c r="V3840" i="1"/>
  <c r="W3840" i="1"/>
  <c r="X3840" i="1"/>
  <c r="Y3840" i="1"/>
  <c r="Z3840" i="1"/>
  <c r="A3841" i="1"/>
  <c r="B3841" i="1"/>
  <c r="C3841" i="1"/>
  <c r="D3841" i="1"/>
  <c r="E3841" i="1"/>
  <c r="F3841" i="1"/>
  <c r="G3841" i="1"/>
  <c r="I3841" i="1"/>
  <c r="J3841" i="1"/>
  <c r="K3841" i="1"/>
  <c r="L3841" i="1"/>
  <c r="M3841" i="1"/>
  <c r="N3841" i="1"/>
  <c r="O3841" i="1"/>
  <c r="P3841" i="1"/>
  <c r="Q3841" i="1"/>
  <c r="R3841" i="1"/>
  <c r="S3841" i="1"/>
  <c r="T3841" i="1"/>
  <c r="U3841" i="1"/>
  <c r="V3841" i="1"/>
  <c r="W3841" i="1"/>
  <c r="X3841" i="1"/>
  <c r="Y3841" i="1"/>
  <c r="Z3841" i="1"/>
  <c r="A3842" i="1"/>
  <c r="B3842" i="1"/>
  <c r="C3842" i="1"/>
  <c r="D3842" i="1"/>
  <c r="E3842" i="1"/>
  <c r="F3842" i="1"/>
  <c r="G3842" i="1"/>
  <c r="I3842" i="1"/>
  <c r="J3842" i="1"/>
  <c r="K3842" i="1"/>
  <c r="L3842" i="1"/>
  <c r="M3842" i="1"/>
  <c r="N3842" i="1"/>
  <c r="O3842" i="1"/>
  <c r="P3842" i="1"/>
  <c r="Q3842" i="1"/>
  <c r="R3842" i="1"/>
  <c r="S3842" i="1"/>
  <c r="T3842" i="1"/>
  <c r="U3842" i="1"/>
  <c r="V3842" i="1"/>
  <c r="W3842" i="1"/>
  <c r="X3842" i="1"/>
  <c r="Y3842" i="1"/>
  <c r="Z3842" i="1"/>
  <c r="A3843" i="1"/>
  <c r="B3843" i="1"/>
  <c r="C3843" i="1"/>
  <c r="D3843" i="1"/>
  <c r="E3843" i="1"/>
  <c r="F3843" i="1"/>
  <c r="G3843" i="1"/>
  <c r="I3843" i="1"/>
  <c r="J3843" i="1"/>
  <c r="K3843" i="1"/>
  <c r="L3843" i="1"/>
  <c r="M3843" i="1"/>
  <c r="N3843" i="1"/>
  <c r="O3843" i="1"/>
  <c r="P3843" i="1"/>
  <c r="Q3843" i="1"/>
  <c r="R3843" i="1"/>
  <c r="S3843" i="1"/>
  <c r="T3843" i="1"/>
  <c r="U3843" i="1"/>
  <c r="V3843" i="1"/>
  <c r="W3843" i="1"/>
  <c r="X3843" i="1"/>
  <c r="Y3843" i="1"/>
  <c r="Z3843" i="1"/>
  <c r="A3844" i="1"/>
  <c r="B3844" i="1"/>
  <c r="C3844" i="1"/>
  <c r="D3844" i="1"/>
  <c r="E3844" i="1"/>
  <c r="F3844" i="1"/>
  <c r="G3844" i="1"/>
  <c r="I3844" i="1"/>
  <c r="J3844" i="1"/>
  <c r="K3844" i="1"/>
  <c r="L3844" i="1"/>
  <c r="M3844" i="1"/>
  <c r="N3844" i="1"/>
  <c r="O3844" i="1"/>
  <c r="P3844" i="1"/>
  <c r="Q3844" i="1"/>
  <c r="R3844" i="1"/>
  <c r="S3844" i="1"/>
  <c r="T3844" i="1"/>
  <c r="U3844" i="1"/>
  <c r="V3844" i="1"/>
  <c r="W3844" i="1"/>
  <c r="X3844" i="1"/>
  <c r="Y3844" i="1"/>
  <c r="Z3844" i="1"/>
  <c r="A3845" i="1"/>
  <c r="B3845" i="1"/>
  <c r="C3845" i="1"/>
  <c r="D3845" i="1"/>
  <c r="E3845" i="1"/>
  <c r="F3845" i="1"/>
  <c r="G3845" i="1"/>
  <c r="I3845" i="1"/>
  <c r="J3845" i="1"/>
  <c r="K3845" i="1"/>
  <c r="L3845" i="1"/>
  <c r="M3845" i="1"/>
  <c r="N3845" i="1"/>
  <c r="O3845" i="1"/>
  <c r="P3845" i="1"/>
  <c r="Q3845" i="1"/>
  <c r="R3845" i="1"/>
  <c r="S3845" i="1"/>
  <c r="T3845" i="1"/>
  <c r="U3845" i="1"/>
  <c r="V3845" i="1"/>
  <c r="W3845" i="1"/>
  <c r="X3845" i="1"/>
  <c r="Y3845" i="1"/>
  <c r="Z3845" i="1"/>
  <c r="A3846" i="1"/>
  <c r="B3846" i="1"/>
  <c r="C3846" i="1"/>
  <c r="D3846" i="1"/>
  <c r="E3846" i="1"/>
  <c r="F3846" i="1"/>
  <c r="G3846" i="1"/>
  <c r="I3846" i="1"/>
  <c r="J3846" i="1"/>
  <c r="K3846" i="1"/>
  <c r="L3846" i="1"/>
  <c r="M3846" i="1"/>
  <c r="N3846" i="1"/>
  <c r="O3846" i="1"/>
  <c r="P3846" i="1"/>
  <c r="Q3846" i="1"/>
  <c r="R3846" i="1"/>
  <c r="S3846" i="1"/>
  <c r="T3846" i="1"/>
  <c r="U3846" i="1"/>
  <c r="V3846" i="1"/>
  <c r="W3846" i="1"/>
  <c r="X3846" i="1"/>
  <c r="Y3846" i="1"/>
  <c r="Z3846" i="1"/>
  <c r="A3847" i="1"/>
  <c r="B3847" i="1"/>
  <c r="C3847" i="1"/>
  <c r="D3847" i="1"/>
  <c r="E3847" i="1"/>
  <c r="F3847" i="1"/>
  <c r="G3847" i="1"/>
  <c r="I3847" i="1"/>
  <c r="J3847" i="1"/>
  <c r="K3847" i="1"/>
  <c r="L3847" i="1"/>
  <c r="M3847" i="1"/>
  <c r="N3847" i="1"/>
  <c r="O3847" i="1"/>
  <c r="P3847" i="1"/>
  <c r="Q3847" i="1"/>
  <c r="R3847" i="1"/>
  <c r="S3847" i="1"/>
  <c r="T3847" i="1"/>
  <c r="U3847" i="1"/>
  <c r="V3847" i="1"/>
  <c r="W3847" i="1"/>
  <c r="X3847" i="1"/>
  <c r="Y3847" i="1"/>
  <c r="Z3847" i="1"/>
  <c r="A3848" i="1"/>
  <c r="B3848" i="1"/>
  <c r="C3848" i="1"/>
  <c r="D3848" i="1"/>
  <c r="E3848" i="1"/>
  <c r="F3848" i="1"/>
  <c r="G3848" i="1"/>
  <c r="I3848" i="1"/>
  <c r="J3848" i="1"/>
  <c r="K3848" i="1"/>
  <c r="L3848" i="1"/>
  <c r="M3848" i="1"/>
  <c r="N3848" i="1"/>
  <c r="O3848" i="1"/>
  <c r="P3848" i="1"/>
  <c r="Q3848" i="1"/>
  <c r="R3848" i="1"/>
  <c r="S3848" i="1"/>
  <c r="T3848" i="1"/>
  <c r="U3848" i="1"/>
  <c r="V3848" i="1"/>
  <c r="W3848" i="1"/>
  <c r="X3848" i="1"/>
  <c r="Y3848" i="1"/>
  <c r="Z3848" i="1"/>
  <c r="A3849" i="1"/>
  <c r="B3849" i="1"/>
  <c r="C3849" i="1"/>
  <c r="D3849" i="1"/>
  <c r="E3849" i="1"/>
  <c r="F3849" i="1"/>
  <c r="G3849" i="1"/>
  <c r="I3849" i="1"/>
  <c r="J3849" i="1"/>
  <c r="K3849" i="1"/>
  <c r="L3849" i="1"/>
  <c r="M3849" i="1"/>
  <c r="N3849" i="1"/>
  <c r="O3849" i="1"/>
  <c r="P3849" i="1"/>
  <c r="Q3849" i="1"/>
  <c r="R3849" i="1"/>
  <c r="S3849" i="1"/>
  <c r="T3849" i="1"/>
  <c r="U3849" i="1"/>
  <c r="V3849" i="1"/>
  <c r="W3849" i="1"/>
  <c r="X3849" i="1"/>
  <c r="Y3849" i="1"/>
  <c r="Z3849" i="1"/>
  <c r="A3850" i="1"/>
  <c r="B3850" i="1"/>
  <c r="C3850" i="1"/>
  <c r="D3850" i="1"/>
  <c r="E3850" i="1"/>
  <c r="F3850" i="1"/>
  <c r="G3850" i="1"/>
  <c r="I3850" i="1"/>
  <c r="J3850" i="1"/>
  <c r="K3850" i="1"/>
  <c r="L3850" i="1"/>
  <c r="M3850" i="1"/>
  <c r="N3850" i="1"/>
  <c r="O3850" i="1"/>
  <c r="P3850" i="1"/>
  <c r="Q3850" i="1"/>
  <c r="R3850" i="1"/>
  <c r="S3850" i="1"/>
  <c r="T3850" i="1"/>
  <c r="U3850" i="1"/>
  <c r="V3850" i="1"/>
  <c r="W3850" i="1"/>
  <c r="X3850" i="1"/>
  <c r="Y3850" i="1"/>
  <c r="Z3850" i="1"/>
  <c r="A3851" i="1"/>
  <c r="B3851" i="1"/>
  <c r="C3851" i="1"/>
  <c r="D3851" i="1"/>
  <c r="E3851" i="1"/>
  <c r="F3851" i="1"/>
  <c r="G3851" i="1"/>
  <c r="I3851" i="1"/>
  <c r="J3851" i="1"/>
  <c r="K3851" i="1"/>
  <c r="L3851" i="1"/>
  <c r="M3851" i="1"/>
  <c r="N3851" i="1"/>
  <c r="O3851" i="1"/>
  <c r="P3851" i="1"/>
  <c r="Q3851" i="1"/>
  <c r="R3851" i="1"/>
  <c r="S3851" i="1"/>
  <c r="T3851" i="1"/>
  <c r="U3851" i="1"/>
  <c r="V3851" i="1"/>
  <c r="W3851" i="1"/>
  <c r="X3851" i="1"/>
  <c r="Y3851" i="1"/>
  <c r="Z3851" i="1"/>
  <c r="A3852" i="1"/>
  <c r="B3852" i="1"/>
  <c r="C3852" i="1"/>
  <c r="D3852" i="1"/>
  <c r="E3852" i="1"/>
  <c r="F3852" i="1"/>
  <c r="G3852" i="1"/>
  <c r="I3852" i="1"/>
  <c r="J3852" i="1"/>
  <c r="K3852" i="1"/>
  <c r="L3852" i="1"/>
  <c r="M3852" i="1"/>
  <c r="N3852" i="1"/>
  <c r="O3852" i="1"/>
  <c r="P3852" i="1"/>
  <c r="Q3852" i="1"/>
  <c r="R3852" i="1"/>
  <c r="S3852" i="1"/>
  <c r="T3852" i="1"/>
  <c r="U3852" i="1"/>
  <c r="V3852" i="1"/>
  <c r="W3852" i="1"/>
  <c r="X3852" i="1"/>
  <c r="Y3852" i="1"/>
  <c r="Z3852" i="1"/>
  <c r="A3853" i="1"/>
  <c r="B3853" i="1"/>
  <c r="C3853" i="1"/>
  <c r="D3853" i="1"/>
  <c r="E3853" i="1"/>
  <c r="F3853" i="1"/>
  <c r="G3853" i="1"/>
  <c r="I3853" i="1"/>
  <c r="J3853" i="1"/>
  <c r="K3853" i="1"/>
  <c r="L3853" i="1"/>
  <c r="M3853" i="1"/>
  <c r="N3853" i="1"/>
  <c r="O3853" i="1"/>
  <c r="P3853" i="1"/>
  <c r="Q3853" i="1"/>
  <c r="R3853" i="1"/>
  <c r="S3853" i="1"/>
  <c r="T3853" i="1"/>
  <c r="U3853" i="1"/>
  <c r="V3853" i="1"/>
  <c r="W3853" i="1"/>
  <c r="X3853" i="1"/>
  <c r="Y3853" i="1"/>
  <c r="Z3853" i="1"/>
  <c r="A3854" i="1"/>
  <c r="B3854" i="1"/>
  <c r="C3854" i="1"/>
  <c r="D3854" i="1"/>
  <c r="E3854" i="1"/>
  <c r="F3854" i="1"/>
  <c r="G3854" i="1"/>
  <c r="I3854" i="1"/>
  <c r="J3854" i="1"/>
  <c r="K3854" i="1"/>
  <c r="L3854" i="1"/>
  <c r="M3854" i="1"/>
  <c r="N3854" i="1"/>
  <c r="O3854" i="1"/>
  <c r="P3854" i="1"/>
  <c r="Q3854" i="1"/>
  <c r="R3854" i="1"/>
  <c r="S3854" i="1"/>
  <c r="T3854" i="1"/>
  <c r="U3854" i="1"/>
  <c r="V3854" i="1"/>
  <c r="W3854" i="1"/>
  <c r="X3854" i="1"/>
  <c r="Y3854" i="1"/>
  <c r="Z3854" i="1"/>
  <c r="A3855" i="1"/>
  <c r="B3855" i="1"/>
  <c r="C3855" i="1"/>
  <c r="D3855" i="1"/>
  <c r="E3855" i="1"/>
  <c r="F3855" i="1"/>
  <c r="G3855" i="1"/>
  <c r="I3855" i="1"/>
  <c r="J3855" i="1"/>
  <c r="K3855" i="1"/>
  <c r="L3855" i="1"/>
  <c r="M3855" i="1"/>
  <c r="N3855" i="1"/>
  <c r="O3855" i="1"/>
  <c r="P3855" i="1"/>
  <c r="Q3855" i="1"/>
  <c r="R3855" i="1"/>
  <c r="S3855" i="1"/>
  <c r="T3855" i="1"/>
  <c r="U3855" i="1"/>
  <c r="V3855" i="1"/>
  <c r="W3855" i="1"/>
  <c r="X3855" i="1"/>
  <c r="Y3855" i="1"/>
  <c r="Z3855" i="1"/>
  <c r="A3856" i="1"/>
  <c r="B3856" i="1"/>
  <c r="C3856" i="1"/>
  <c r="D3856" i="1"/>
  <c r="E3856" i="1"/>
  <c r="F3856" i="1"/>
  <c r="G3856" i="1"/>
  <c r="I3856" i="1"/>
  <c r="J3856" i="1"/>
  <c r="K3856" i="1"/>
  <c r="L3856" i="1"/>
  <c r="M3856" i="1"/>
  <c r="N3856" i="1"/>
  <c r="O3856" i="1"/>
  <c r="P3856" i="1"/>
  <c r="Q3856" i="1"/>
  <c r="R3856" i="1"/>
  <c r="S3856" i="1"/>
  <c r="T3856" i="1"/>
  <c r="U3856" i="1"/>
  <c r="V3856" i="1"/>
  <c r="W3856" i="1"/>
  <c r="X3856" i="1"/>
  <c r="Y3856" i="1"/>
  <c r="Z3856" i="1"/>
  <c r="A3857" i="1"/>
  <c r="B3857" i="1"/>
  <c r="C3857" i="1"/>
  <c r="D3857" i="1"/>
  <c r="E3857" i="1"/>
  <c r="F3857" i="1"/>
  <c r="G3857" i="1"/>
  <c r="I3857" i="1"/>
  <c r="J3857" i="1"/>
  <c r="K3857" i="1"/>
  <c r="L3857" i="1"/>
  <c r="M3857" i="1"/>
  <c r="N3857" i="1"/>
  <c r="O3857" i="1"/>
  <c r="P3857" i="1"/>
  <c r="Q3857" i="1"/>
  <c r="R3857" i="1"/>
  <c r="S3857" i="1"/>
  <c r="T3857" i="1"/>
  <c r="U3857" i="1"/>
  <c r="V3857" i="1"/>
  <c r="W3857" i="1"/>
  <c r="X3857" i="1"/>
  <c r="Y3857" i="1"/>
  <c r="Z3857" i="1"/>
  <c r="A3858" i="1"/>
  <c r="B3858" i="1"/>
  <c r="C3858" i="1"/>
  <c r="D3858" i="1"/>
  <c r="E3858" i="1"/>
  <c r="F3858" i="1"/>
  <c r="G3858" i="1"/>
  <c r="I3858" i="1"/>
  <c r="J3858" i="1"/>
  <c r="K3858" i="1"/>
  <c r="L3858" i="1"/>
  <c r="M3858" i="1"/>
  <c r="N3858" i="1"/>
  <c r="O3858" i="1"/>
  <c r="P3858" i="1"/>
  <c r="Q3858" i="1"/>
  <c r="R3858" i="1"/>
  <c r="S3858" i="1"/>
  <c r="T3858" i="1"/>
  <c r="U3858" i="1"/>
  <c r="V3858" i="1"/>
  <c r="W3858" i="1"/>
  <c r="X3858" i="1"/>
  <c r="Y3858" i="1"/>
  <c r="Z3858" i="1"/>
  <c r="A3859" i="1"/>
  <c r="B3859" i="1"/>
  <c r="C3859" i="1"/>
  <c r="D3859" i="1"/>
  <c r="E3859" i="1"/>
  <c r="F3859" i="1"/>
  <c r="G3859" i="1"/>
  <c r="I3859" i="1"/>
  <c r="J3859" i="1"/>
  <c r="K3859" i="1"/>
  <c r="L3859" i="1"/>
  <c r="M3859" i="1"/>
  <c r="N3859" i="1"/>
  <c r="O3859" i="1"/>
  <c r="P3859" i="1"/>
  <c r="Q3859" i="1"/>
  <c r="R3859" i="1"/>
  <c r="S3859" i="1"/>
  <c r="T3859" i="1"/>
  <c r="U3859" i="1"/>
  <c r="V3859" i="1"/>
  <c r="W3859" i="1"/>
  <c r="X3859" i="1"/>
  <c r="Y3859" i="1"/>
  <c r="Z3859" i="1"/>
  <c r="A3860" i="1"/>
  <c r="B3860" i="1"/>
  <c r="C3860" i="1"/>
  <c r="D3860" i="1"/>
  <c r="E3860" i="1"/>
  <c r="F3860" i="1"/>
  <c r="G3860" i="1"/>
  <c r="I3860" i="1"/>
  <c r="J3860" i="1"/>
  <c r="K3860" i="1"/>
  <c r="L3860" i="1"/>
  <c r="M3860" i="1"/>
  <c r="N3860" i="1"/>
  <c r="O3860" i="1"/>
  <c r="P3860" i="1"/>
  <c r="Q3860" i="1"/>
  <c r="R3860" i="1"/>
  <c r="S3860" i="1"/>
  <c r="T3860" i="1"/>
  <c r="U3860" i="1"/>
  <c r="V3860" i="1"/>
  <c r="W3860" i="1"/>
  <c r="X3860" i="1"/>
  <c r="Y3860" i="1"/>
  <c r="Z3860" i="1"/>
  <c r="A3861" i="1"/>
  <c r="B3861" i="1"/>
  <c r="C3861" i="1"/>
  <c r="D3861" i="1"/>
  <c r="E3861" i="1"/>
  <c r="F3861" i="1"/>
  <c r="G3861" i="1"/>
  <c r="I3861" i="1"/>
  <c r="J3861" i="1"/>
  <c r="K3861" i="1"/>
  <c r="L3861" i="1"/>
  <c r="M3861" i="1"/>
  <c r="N3861" i="1"/>
  <c r="O3861" i="1"/>
  <c r="P3861" i="1"/>
  <c r="Q3861" i="1"/>
  <c r="R3861" i="1"/>
  <c r="S3861" i="1"/>
  <c r="T3861" i="1"/>
  <c r="U3861" i="1"/>
  <c r="V3861" i="1"/>
  <c r="W3861" i="1"/>
  <c r="X3861" i="1"/>
  <c r="Y3861" i="1"/>
  <c r="Z3861" i="1"/>
  <c r="A3862" i="1"/>
  <c r="B3862" i="1"/>
  <c r="C3862" i="1"/>
  <c r="D3862" i="1"/>
  <c r="E3862" i="1"/>
  <c r="F3862" i="1"/>
  <c r="G3862" i="1"/>
  <c r="I3862" i="1"/>
  <c r="J3862" i="1"/>
  <c r="K3862" i="1"/>
  <c r="L3862" i="1"/>
  <c r="M3862" i="1"/>
  <c r="N3862" i="1"/>
  <c r="O3862" i="1"/>
  <c r="P3862" i="1"/>
  <c r="Q3862" i="1"/>
  <c r="R3862" i="1"/>
  <c r="S3862" i="1"/>
  <c r="T3862" i="1"/>
  <c r="U3862" i="1"/>
  <c r="V3862" i="1"/>
  <c r="W3862" i="1"/>
  <c r="X3862" i="1"/>
  <c r="Y3862" i="1"/>
  <c r="Z3862" i="1"/>
  <c r="A3863" i="1"/>
  <c r="B3863" i="1"/>
  <c r="C3863" i="1"/>
  <c r="D3863" i="1"/>
  <c r="E3863" i="1"/>
  <c r="F3863" i="1"/>
  <c r="G3863" i="1"/>
  <c r="I3863" i="1"/>
  <c r="J3863" i="1"/>
  <c r="K3863" i="1"/>
  <c r="L3863" i="1"/>
  <c r="M3863" i="1"/>
  <c r="N3863" i="1"/>
  <c r="O3863" i="1"/>
  <c r="P3863" i="1"/>
  <c r="Q3863" i="1"/>
  <c r="R3863" i="1"/>
  <c r="S3863" i="1"/>
  <c r="T3863" i="1"/>
  <c r="U3863" i="1"/>
  <c r="V3863" i="1"/>
  <c r="W3863" i="1"/>
  <c r="X3863" i="1"/>
  <c r="Y3863" i="1"/>
  <c r="Z3863" i="1"/>
  <c r="A3864" i="1"/>
  <c r="B3864" i="1"/>
  <c r="C3864" i="1"/>
  <c r="D3864" i="1"/>
  <c r="E3864" i="1"/>
  <c r="F3864" i="1"/>
  <c r="G3864" i="1"/>
  <c r="I3864" i="1"/>
  <c r="J3864" i="1"/>
  <c r="K3864" i="1"/>
  <c r="L3864" i="1"/>
  <c r="M3864" i="1"/>
  <c r="N3864" i="1"/>
  <c r="O3864" i="1"/>
  <c r="P3864" i="1"/>
  <c r="Q3864" i="1"/>
  <c r="R3864" i="1"/>
  <c r="S3864" i="1"/>
  <c r="T3864" i="1"/>
  <c r="U3864" i="1"/>
  <c r="V3864" i="1"/>
  <c r="W3864" i="1"/>
  <c r="X3864" i="1"/>
  <c r="Y3864" i="1"/>
  <c r="Z3864" i="1"/>
  <c r="A3865" i="1"/>
  <c r="B3865" i="1"/>
  <c r="C3865" i="1"/>
  <c r="D3865" i="1"/>
  <c r="E3865" i="1"/>
  <c r="F3865" i="1"/>
  <c r="G3865" i="1"/>
  <c r="I3865" i="1"/>
  <c r="J3865" i="1"/>
  <c r="K3865" i="1"/>
  <c r="L3865" i="1"/>
  <c r="M3865" i="1"/>
  <c r="N3865" i="1"/>
  <c r="O3865" i="1"/>
  <c r="P3865" i="1"/>
  <c r="Q3865" i="1"/>
  <c r="R3865" i="1"/>
  <c r="S3865" i="1"/>
  <c r="T3865" i="1"/>
  <c r="U3865" i="1"/>
  <c r="V3865" i="1"/>
  <c r="W3865" i="1"/>
  <c r="X3865" i="1"/>
  <c r="Y3865" i="1"/>
  <c r="Z3865" i="1"/>
  <c r="A3866" i="1"/>
  <c r="B3866" i="1"/>
  <c r="C3866" i="1"/>
  <c r="D3866" i="1"/>
  <c r="E3866" i="1"/>
  <c r="F3866" i="1"/>
  <c r="G3866" i="1"/>
  <c r="I3866" i="1"/>
  <c r="J3866" i="1"/>
  <c r="K3866" i="1"/>
  <c r="L3866" i="1"/>
  <c r="M3866" i="1"/>
  <c r="N3866" i="1"/>
  <c r="O3866" i="1"/>
  <c r="P3866" i="1"/>
  <c r="Q3866" i="1"/>
  <c r="R3866" i="1"/>
  <c r="S3866" i="1"/>
  <c r="T3866" i="1"/>
  <c r="U3866" i="1"/>
  <c r="V3866" i="1"/>
  <c r="W3866" i="1"/>
  <c r="X3866" i="1"/>
  <c r="Y3866" i="1"/>
  <c r="Z3866" i="1"/>
  <c r="A3867" i="1"/>
  <c r="B3867" i="1"/>
  <c r="C3867" i="1"/>
  <c r="D3867" i="1"/>
  <c r="E3867" i="1"/>
  <c r="F3867" i="1"/>
  <c r="G3867" i="1"/>
  <c r="I3867" i="1"/>
  <c r="J3867" i="1"/>
  <c r="K3867" i="1"/>
  <c r="L3867" i="1"/>
  <c r="M3867" i="1"/>
  <c r="N3867" i="1"/>
  <c r="O3867" i="1"/>
  <c r="P3867" i="1"/>
  <c r="Q3867" i="1"/>
  <c r="R3867" i="1"/>
  <c r="S3867" i="1"/>
  <c r="T3867" i="1"/>
  <c r="U3867" i="1"/>
  <c r="V3867" i="1"/>
  <c r="W3867" i="1"/>
  <c r="X3867" i="1"/>
  <c r="Y3867" i="1"/>
  <c r="Z3867" i="1"/>
  <c r="A3868" i="1"/>
  <c r="B3868" i="1"/>
  <c r="C3868" i="1"/>
  <c r="D3868" i="1"/>
  <c r="E3868" i="1"/>
  <c r="F3868" i="1"/>
  <c r="G3868" i="1"/>
  <c r="I3868" i="1"/>
  <c r="J3868" i="1"/>
  <c r="K3868" i="1"/>
  <c r="L3868" i="1"/>
  <c r="M3868" i="1"/>
  <c r="N3868" i="1"/>
  <c r="O3868" i="1"/>
  <c r="P3868" i="1"/>
  <c r="Q3868" i="1"/>
  <c r="R3868" i="1"/>
  <c r="S3868" i="1"/>
  <c r="T3868" i="1"/>
  <c r="U3868" i="1"/>
  <c r="V3868" i="1"/>
  <c r="W3868" i="1"/>
  <c r="X3868" i="1"/>
  <c r="Y3868" i="1"/>
  <c r="Z3868" i="1"/>
  <c r="A3869" i="1"/>
  <c r="B3869" i="1"/>
  <c r="C3869" i="1"/>
  <c r="D3869" i="1"/>
  <c r="E3869" i="1"/>
  <c r="F3869" i="1"/>
  <c r="G3869" i="1"/>
  <c r="I3869" i="1"/>
  <c r="J3869" i="1"/>
  <c r="K3869" i="1"/>
  <c r="L3869" i="1"/>
  <c r="M3869" i="1"/>
  <c r="N3869" i="1"/>
  <c r="O3869" i="1"/>
  <c r="P3869" i="1"/>
  <c r="Q3869" i="1"/>
  <c r="R3869" i="1"/>
  <c r="S3869" i="1"/>
  <c r="T3869" i="1"/>
  <c r="U3869" i="1"/>
  <c r="V3869" i="1"/>
  <c r="W3869" i="1"/>
  <c r="X3869" i="1"/>
  <c r="Y3869" i="1"/>
  <c r="Z3869" i="1"/>
  <c r="A3870" i="1"/>
  <c r="B3870" i="1"/>
  <c r="C3870" i="1"/>
  <c r="D3870" i="1"/>
  <c r="E3870" i="1"/>
  <c r="F3870" i="1"/>
  <c r="G3870" i="1"/>
  <c r="I3870" i="1"/>
  <c r="J3870" i="1"/>
  <c r="K3870" i="1"/>
  <c r="L3870" i="1"/>
  <c r="M3870" i="1"/>
  <c r="N3870" i="1"/>
  <c r="O3870" i="1"/>
  <c r="P3870" i="1"/>
  <c r="Q3870" i="1"/>
  <c r="R3870" i="1"/>
  <c r="S3870" i="1"/>
  <c r="T3870" i="1"/>
  <c r="U3870" i="1"/>
  <c r="V3870" i="1"/>
  <c r="W3870" i="1"/>
  <c r="X3870" i="1"/>
  <c r="Y3870" i="1"/>
  <c r="Z3870" i="1"/>
  <c r="A3871" i="1"/>
  <c r="B3871" i="1"/>
  <c r="C3871" i="1"/>
  <c r="D3871" i="1"/>
  <c r="E3871" i="1"/>
  <c r="F3871" i="1"/>
  <c r="G3871" i="1"/>
  <c r="I3871" i="1"/>
  <c r="J3871" i="1"/>
  <c r="K3871" i="1"/>
  <c r="L3871" i="1"/>
  <c r="M3871" i="1"/>
  <c r="N3871" i="1"/>
  <c r="O3871" i="1"/>
  <c r="P3871" i="1"/>
  <c r="Q3871" i="1"/>
  <c r="R3871" i="1"/>
  <c r="S3871" i="1"/>
  <c r="T3871" i="1"/>
  <c r="U3871" i="1"/>
  <c r="V3871" i="1"/>
  <c r="W3871" i="1"/>
  <c r="X3871" i="1"/>
  <c r="Y3871" i="1"/>
  <c r="Z3871" i="1"/>
  <c r="A3872" i="1"/>
  <c r="B3872" i="1"/>
  <c r="C3872" i="1"/>
  <c r="D3872" i="1"/>
  <c r="E3872" i="1"/>
  <c r="F3872" i="1"/>
  <c r="G3872" i="1"/>
  <c r="I3872" i="1"/>
  <c r="J3872" i="1"/>
  <c r="K3872" i="1"/>
  <c r="L3872" i="1"/>
  <c r="M3872" i="1"/>
  <c r="N3872" i="1"/>
  <c r="O3872" i="1"/>
  <c r="P3872" i="1"/>
  <c r="Q3872" i="1"/>
  <c r="R3872" i="1"/>
  <c r="S3872" i="1"/>
  <c r="T3872" i="1"/>
  <c r="U3872" i="1"/>
  <c r="V3872" i="1"/>
  <c r="W3872" i="1"/>
  <c r="X3872" i="1"/>
  <c r="Y3872" i="1"/>
  <c r="Z3872" i="1"/>
  <c r="A3873" i="1"/>
  <c r="B3873" i="1"/>
  <c r="C3873" i="1"/>
  <c r="D3873" i="1"/>
  <c r="E3873" i="1"/>
  <c r="F3873" i="1"/>
  <c r="G3873" i="1"/>
  <c r="I3873" i="1"/>
  <c r="J3873" i="1"/>
  <c r="K3873" i="1"/>
  <c r="L3873" i="1"/>
  <c r="M3873" i="1"/>
  <c r="N3873" i="1"/>
  <c r="O3873" i="1"/>
  <c r="P3873" i="1"/>
  <c r="Q3873" i="1"/>
  <c r="R3873" i="1"/>
  <c r="S3873" i="1"/>
  <c r="T3873" i="1"/>
  <c r="U3873" i="1"/>
  <c r="V3873" i="1"/>
  <c r="W3873" i="1"/>
  <c r="X3873" i="1"/>
  <c r="Y3873" i="1"/>
  <c r="Z3873" i="1"/>
  <c r="A3874" i="1"/>
  <c r="B3874" i="1"/>
  <c r="C3874" i="1"/>
  <c r="D3874" i="1"/>
  <c r="E3874" i="1"/>
  <c r="F3874" i="1"/>
  <c r="G3874" i="1"/>
  <c r="I3874" i="1"/>
  <c r="J3874" i="1"/>
  <c r="K3874" i="1"/>
  <c r="L3874" i="1"/>
  <c r="M3874" i="1"/>
  <c r="N3874" i="1"/>
  <c r="O3874" i="1"/>
  <c r="P3874" i="1"/>
  <c r="Q3874" i="1"/>
  <c r="R3874" i="1"/>
  <c r="S3874" i="1"/>
  <c r="T3874" i="1"/>
  <c r="U3874" i="1"/>
  <c r="V3874" i="1"/>
  <c r="W3874" i="1"/>
  <c r="X3874" i="1"/>
  <c r="Y3874" i="1"/>
  <c r="Z3874" i="1"/>
  <c r="A3875" i="1"/>
  <c r="B3875" i="1"/>
  <c r="C3875" i="1"/>
  <c r="D3875" i="1"/>
  <c r="E3875" i="1"/>
  <c r="F3875" i="1"/>
  <c r="G3875" i="1"/>
  <c r="I3875" i="1"/>
  <c r="J3875" i="1"/>
  <c r="K3875" i="1"/>
  <c r="L3875" i="1"/>
  <c r="M3875" i="1"/>
  <c r="N3875" i="1"/>
  <c r="O3875" i="1"/>
  <c r="P3875" i="1"/>
  <c r="Q3875" i="1"/>
  <c r="R3875" i="1"/>
  <c r="S3875" i="1"/>
  <c r="T3875" i="1"/>
  <c r="U3875" i="1"/>
  <c r="V3875" i="1"/>
  <c r="W3875" i="1"/>
  <c r="X3875" i="1"/>
  <c r="Y3875" i="1"/>
  <c r="Z3875" i="1"/>
  <c r="A3876" i="1"/>
  <c r="B3876" i="1"/>
  <c r="C3876" i="1"/>
  <c r="D3876" i="1"/>
  <c r="E3876" i="1"/>
  <c r="F3876" i="1"/>
  <c r="G3876" i="1"/>
  <c r="I3876" i="1"/>
  <c r="J3876" i="1"/>
  <c r="K3876" i="1"/>
  <c r="L3876" i="1"/>
  <c r="M3876" i="1"/>
  <c r="N3876" i="1"/>
  <c r="O3876" i="1"/>
  <c r="P3876" i="1"/>
  <c r="Q3876" i="1"/>
  <c r="R3876" i="1"/>
  <c r="S3876" i="1"/>
  <c r="T3876" i="1"/>
  <c r="U3876" i="1"/>
  <c r="V3876" i="1"/>
  <c r="W3876" i="1"/>
  <c r="X3876" i="1"/>
  <c r="Y3876" i="1"/>
  <c r="Z3876" i="1"/>
  <c r="A3877" i="1"/>
  <c r="B3877" i="1"/>
  <c r="C3877" i="1"/>
  <c r="D3877" i="1"/>
  <c r="E3877" i="1"/>
  <c r="F3877" i="1"/>
  <c r="G3877" i="1"/>
  <c r="I3877" i="1"/>
  <c r="J3877" i="1"/>
  <c r="K3877" i="1"/>
  <c r="L3877" i="1"/>
  <c r="M3877" i="1"/>
  <c r="N3877" i="1"/>
  <c r="O3877" i="1"/>
  <c r="P3877" i="1"/>
  <c r="Q3877" i="1"/>
  <c r="R3877" i="1"/>
  <c r="S3877" i="1"/>
  <c r="T3877" i="1"/>
  <c r="U3877" i="1"/>
  <c r="V3877" i="1"/>
  <c r="W3877" i="1"/>
  <c r="X3877" i="1"/>
  <c r="Y3877" i="1"/>
  <c r="Z3877" i="1"/>
  <c r="A3878" i="1"/>
  <c r="B3878" i="1"/>
  <c r="C3878" i="1"/>
  <c r="D3878" i="1"/>
  <c r="E3878" i="1"/>
  <c r="F3878" i="1"/>
  <c r="G3878" i="1"/>
  <c r="I3878" i="1"/>
  <c r="J3878" i="1"/>
  <c r="K3878" i="1"/>
  <c r="L3878" i="1"/>
  <c r="M3878" i="1"/>
  <c r="N3878" i="1"/>
  <c r="O3878" i="1"/>
  <c r="P3878" i="1"/>
  <c r="Q3878" i="1"/>
  <c r="R3878" i="1"/>
  <c r="S3878" i="1"/>
  <c r="T3878" i="1"/>
  <c r="U3878" i="1"/>
  <c r="V3878" i="1"/>
  <c r="W3878" i="1"/>
  <c r="X3878" i="1"/>
  <c r="Y3878" i="1"/>
  <c r="Z3878" i="1"/>
  <c r="A3879" i="1"/>
  <c r="B3879" i="1"/>
  <c r="C3879" i="1"/>
  <c r="D3879" i="1"/>
  <c r="E3879" i="1"/>
  <c r="F3879" i="1"/>
  <c r="G3879" i="1"/>
  <c r="I3879" i="1"/>
  <c r="J3879" i="1"/>
  <c r="K3879" i="1"/>
  <c r="L3879" i="1"/>
  <c r="M3879" i="1"/>
  <c r="N3879" i="1"/>
  <c r="O3879" i="1"/>
  <c r="P3879" i="1"/>
  <c r="Q3879" i="1"/>
  <c r="R3879" i="1"/>
  <c r="S3879" i="1"/>
  <c r="T3879" i="1"/>
  <c r="U3879" i="1"/>
  <c r="V3879" i="1"/>
  <c r="W3879" i="1"/>
  <c r="X3879" i="1"/>
  <c r="Y3879" i="1"/>
  <c r="Z3879" i="1"/>
  <c r="A3880" i="1"/>
  <c r="B3880" i="1"/>
  <c r="C3880" i="1"/>
  <c r="D3880" i="1"/>
  <c r="E3880" i="1"/>
  <c r="F3880" i="1"/>
  <c r="G3880" i="1"/>
  <c r="I3880" i="1"/>
  <c r="J3880" i="1"/>
  <c r="K3880" i="1"/>
  <c r="L3880" i="1"/>
  <c r="M3880" i="1"/>
  <c r="N3880" i="1"/>
  <c r="O3880" i="1"/>
  <c r="P3880" i="1"/>
  <c r="Q3880" i="1"/>
  <c r="R3880" i="1"/>
  <c r="S3880" i="1"/>
  <c r="T3880" i="1"/>
  <c r="U3880" i="1"/>
  <c r="V3880" i="1"/>
  <c r="W3880" i="1"/>
  <c r="X3880" i="1"/>
  <c r="Y3880" i="1"/>
  <c r="Z3880" i="1"/>
  <c r="A3881" i="1"/>
  <c r="B3881" i="1"/>
  <c r="C3881" i="1"/>
  <c r="D3881" i="1"/>
  <c r="E3881" i="1"/>
  <c r="F3881" i="1"/>
  <c r="G3881" i="1"/>
  <c r="I3881" i="1"/>
  <c r="J3881" i="1"/>
  <c r="K3881" i="1"/>
  <c r="L3881" i="1"/>
  <c r="M3881" i="1"/>
  <c r="N3881" i="1"/>
  <c r="O3881" i="1"/>
  <c r="P3881" i="1"/>
  <c r="Q3881" i="1"/>
  <c r="R3881" i="1"/>
  <c r="S3881" i="1"/>
  <c r="T3881" i="1"/>
  <c r="U3881" i="1"/>
  <c r="V3881" i="1"/>
  <c r="W3881" i="1"/>
  <c r="X3881" i="1"/>
  <c r="Y3881" i="1"/>
  <c r="Z3881" i="1"/>
  <c r="A3882" i="1"/>
  <c r="B3882" i="1"/>
  <c r="C3882" i="1"/>
  <c r="D3882" i="1"/>
  <c r="E3882" i="1"/>
  <c r="F3882" i="1"/>
  <c r="G3882" i="1"/>
  <c r="I3882" i="1"/>
  <c r="J3882" i="1"/>
  <c r="K3882" i="1"/>
  <c r="L3882" i="1"/>
  <c r="M3882" i="1"/>
  <c r="N3882" i="1"/>
  <c r="O3882" i="1"/>
  <c r="P3882" i="1"/>
  <c r="Q3882" i="1"/>
  <c r="R3882" i="1"/>
  <c r="S3882" i="1"/>
  <c r="T3882" i="1"/>
  <c r="U3882" i="1"/>
  <c r="V3882" i="1"/>
  <c r="W3882" i="1"/>
  <c r="X3882" i="1"/>
  <c r="Y3882" i="1"/>
  <c r="Z3882" i="1"/>
  <c r="A3883" i="1"/>
  <c r="B3883" i="1"/>
  <c r="C3883" i="1"/>
  <c r="D3883" i="1"/>
  <c r="E3883" i="1"/>
  <c r="F3883" i="1"/>
  <c r="G3883" i="1"/>
  <c r="I3883" i="1"/>
  <c r="J3883" i="1"/>
  <c r="K3883" i="1"/>
  <c r="L3883" i="1"/>
  <c r="M3883" i="1"/>
  <c r="N3883" i="1"/>
  <c r="O3883" i="1"/>
  <c r="P3883" i="1"/>
  <c r="Q3883" i="1"/>
  <c r="R3883" i="1"/>
  <c r="S3883" i="1"/>
  <c r="T3883" i="1"/>
  <c r="U3883" i="1"/>
  <c r="V3883" i="1"/>
  <c r="W3883" i="1"/>
  <c r="X3883" i="1"/>
  <c r="Y3883" i="1"/>
  <c r="Z3883" i="1"/>
  <c r="A3884" i="1"/>
  <c r="B3884" i="1"/>
  <c r="C3884" i="1"/>
  <c r="D3884" i="1"/>
  <c r="E3884" i="1"/>
  <c r="F3884" i="1"/>
  <c r="G3884" i="1"/>
  <c r="I3884" i="1"/>
  <c r="J3884" i="1"/>
  <c r="K3884" i="1"/>
  <c r="L3884" i="1"/>
  <c r="M3884" i="1"/>
  <c r="N3884" i="1"/>
  <c r="O3884" i="1"/>
  <c r="P3884" i="1"/>
  <c r="Q3884" i="1"/>
  <c r="R3884" i="1"/>
  <c r="S3884" i="1"/>
  <c r="T3884" i="1"/>
  <c r="U3884" i="1"/>
  <c r="V3884" i="1"/>
  <c r="W3884" i="1"/>
  <c r="X3884" i="1"/>
  <c r="Y3884" i="1"/>
  <c r="Z3884" i="1"/>
  <c r="A3885" i="1"/>
  <c r="B3885" i="1"/>
  <c r="C3885" i="1"/>
  <c r="D3885" i="1"/>
  <c r="E3885" i="1"/>
  <c r="F3885" i="1"/>
  <c r="G3885" i="1"/>
  <c r="I3885" i="1"/>
  <c r="J3885" i="1"/>
  <c r="K3885" i="1"/>
  <c r="L3885" i="1"/>
  <c r="M3885" i="1"/>
  <c r="N3885" i="1"/>
  <c r="O3885" i="1"/>
  <c r="P3885" i="1"/>
  <c r="Q3885" i="1"/>
  <c r="R3885" i="1"/>
  <c r="S3885" i="1"/>
  <c r="T3885" i="1"/>
  <c r="U3885" i="1"/>
  <c r="V3885" i="1"/>
  <c r="W3885" i="1"/>
  <c r="X3885" i="1"/>
  <c r="Y3885" i="1"/>
  <c r="Z3885" i="1"/>
  <c r="A3886" i="1"/>
  <c r="B3886" i="1"/>
  <c r="C3886" i="1"/>
  <c r="D3886" i="1"/>
  <c r="E3886" i="1"/>
  <c r="F3886" i="1"/>
  <c r="G3886" i="1"/>
  <c r="I3886" i="1"/>
  <c r="J3886" i="1"/>
  <c r="K3886" i="1"/>
  <c r="L3886" i="1"/>
  <c r="M3886" i="1"/>
  <c r="N3886" i="1"/>
  <c r="O3886" i="1"/>
  <c r="P3886" i="1"/>
  <c r="Q3886" i="1"/>
  <c r="R3886" i="1"/>
  <c r="S3886" i="1"/>
  <c r="T3886" i="1"/>
  <c r="U3886" i="1"/>
  <c r="V3886" i="1"/>
  <c r="W3886" i="1"/>
  <c r="X3886" i="1"/>
  <c r="Y3886" i="1"/>
  <c r="Z3886" i="1"/>
  <c r="A3887" i="1"/>
  <c r="B3887" i="1"/>
  <c r="C3887" i="1"/>
  <c r="D3887" i="1"/>
  <c r="E3887" i="1"/>
  <c r="F3887" i="1"/>
  <c r="G3887" i="1"/>
  <c r="I3887" i="1"/>
  <c r="J3887" i="1"/>
  <c r="K3887" i="1"/>
  <c r="L3887" i="1"/>
  <c r="M3887" i="1"/>
  <c r="N3887" i="1"/>
  <c r="O3887" i="1"/>
  <c r="P3887" i="1"/>
  <c r="Q3887" i="1"/>
  <c r="R3887" i="1"/>
  <c r="S3887" i="1"/>
  <c r="T3887" i="1"/>
  <c r="U3887" i="1"/>
  <c r="V3887" i="1"/>
  <c r="W3887" i="1"/>
  <c r="X3887" i="1"/>
  <c r="Y3887" i="1"/>
  <c r="Z3887" i="1"/>
  <c r="A3888" i="1"/>
  <c r="B3888" i="1"/>
  <c r="C3888" i="1"/>
  <c r="D3888" i="1"/>
  <c r="E3888" i="1"/>
  <c r="F3888" i="1"/>
  <c r="G3888" i="1"/>
  <c r="I3888" i="1"/>
  <c r="J3888" i="1"/>
  <c r="K3888" i="1"/>
  <c r="L3888" i="1"/>
  <c r="M3888" i="1"/>
  <c r="N3888" i="1"/>
  <c r="O3888" i="1"/>
  <c r="P3888" i="1"/>
  <c r="Q3888" i="1"/>
  <c r="R3888" i="1"/>
  <c r="S3888" i="1"/>
  <c r="T3888" i="1"/>
  <c r="U3888" i="1"/>
  <c r="V3888" i="1"/>
  <c r="W3888" i="1"/>
  <c r="X3888" i="1"/>
  <c r="Y3888" i="1"/>
  <c r="Z3888" i="1"/>
  <c r="A3889" i="1"/>
  <c r="B3889" i="1"/>
  <c r="C3889" i="1"/>
  <c r="D3889" i="1"/>
  <c r="E3889" i="1"/>
  <c r="F3889" i="1"/>
  <c r="G3889" i="1"/>
  <c r="I3889" i="1"/>
  <c r="J3889" i="1"/>
  <c r="K3889" i="1"/>
  <c r="L3889" i="1"/>
  <c r="M3889" i="1"/>
  <c r="N3889" i="1"/>
  <c r="O3889" i="1"/>
  <c r="P3889" i="1"/>
  <c r="Q3889" i="1"/>
  <c r="R3889" i="1"/>
  <c r="S3889" i="1"/>
  <c r="T3889" i="1"/>
  <c r="U3889" i="1"/>
  <c r="V3889" i="1"/>
  <c r="W3889" i="1"/>
  <c r="X3889" i="1"/>
  <c r="Y3889" i="1"/>
  <c r="Z3889" i="1"/>
  <c r="A3890" i="1"/>
  <c r="B3890" i="1"/>
  <c r="C3890" i="1"/>
  <c r="D3890" i="1"/>
  <c r="E3890" i="1"/>
  <c r="F3890" i="1"/>
  <c r="G3890" i="1"/>
  <c r="I3890" i="1"/>
  <c r="J3890" i="1"/>
  <c r="K3890" i="1"/>
  <c r="L3890" i="1"/>
  <c r="M3890" i="1"/>
  <c r="N3890" i="1"/>
  <c r="O3890" i="1"/>
  <c r="P3890" i="1"/>
  <c r="Q3890" i="1"/>
  <c r="R3890" i="1"/>
  <c r="S3890" i="1"/>
  <c r="T3890" i="1"/>
  <c r="U3890" i="1"/>
  <c r="V3890" i="1"/>
  <c r="W3890" i="1"/>
  <c r="X3890" i="1"/>
  <c r="Y3890" i="1"/>
  <c r="Z3890" i="1"/>
  <c r="A3891" i="1"/>
  <c r="B3891" i="1"/>
  <c r="C3891" i="1"/>
  <c r="D3891" i="1"/>
  <c r="E3891" i="1"/>
  <c r="F3891" i="1"/>
  <c r="G3891" i="1"/>
  <c r="I3891" i="1"/>
  <c r="J3891" i="1"/>
  <c r="K3891" i="1"/>
  <c r="L3891" i="1"/>
  <c r="M3891" i="1"/>
  <c r="N3891" i="1"/>
  <c r="O3891" i="1"/>
  <c r="P3891" i="1"/>
  <c r="Q3891" i="1"/>
  <c r="R3891" i="1"/>
  <c r="S3891" i="1"/>
  <c r="T3891" i="1"/>
  <c r="U3891" i="1"/>
  <c r="V3891" i="1"/>
  <c r="W3891" i="1"/>
  <c r="X3891" i="1"/>
  <c r="Y3891" i="1"/>
  <c r="Z3891" i="1"/>
  <c r="A3892" i="1"/>
  <c r="B3892" i="1"/>
  <c r="C3892" i="1"/>
  <c r="D3892" i="1"/>
  <c r="E3892" i="1"/>
  <c r="F3892" i="1"/>
  <c r="G3892" i="1"/>
  <c r="I3892" i="1"/>
  <c r="J3892" i="1"/>
  <c r="K3892" i="1"/>
  <c r="L3892" i="1"/>
  <c r="M3892" i="1"/>
  <c r="N3892" i="1"/>
  <c r="O3892" i="1"/>
  <c r="P3892" i="1"/>
  <c r="Q3892" i="1"/>
  <c r="R3892" i="1"/>
  <c r="S3892" i="1"/>
  <c r="T3892" i="1"/>
  <c r="U3892" i="1"/>
  <c r="V3892" i="1"/>
  <c r="W3892" i="1"/>
  <c r="X3892" i="1"/>
  <c r="Y3892" i="1"/>
  <c r="Z3892" i="1"/>
  <c r="A3893" i="1"/>
  <c r="B3893" i="1"/>
  <c r="C3893" i="1"/>
  <c r="D3893" i="1"/>
  <c r="E3893" i="1"/>
  <c r="F3893" i="1"/>
  <c r="G3893" i="1"/>
  <c r="I3893" i="1"/>
  <c r="J3893" i="1"/>
  <c r="K3893" i="1"/>
  <c r="L3893" i="1"/>
  <c r="M3893" i="1"/>
  <c r="N3893" i="1"/>
  <c r="O3893" i="1"/>
  <c r="P3893" i="1"/>
  <c r="Q3893" i="1"/>
  <c r="R3893" i="1"/>
  <c r="S3893" i="1"/>
  <c r="T3893" i="1"/>
  <c r="U3893" i="1"/>
  <c r="V3893" i="1"/>
  <c r="W3893" i="1"/>
  <c r="X3893" i="1"/>
  <c r="Y3893" i="1"/>
  <c r="Z3893" i="1"/>
  <c r="A3894" i="1"/>
  <c r="B3894" i="1"/>
  <c r="C3894" i="1"/>
  <c r="D3894" i="1"/>
  <c r="E3894" i="1"/>
  <c r="F3894" i="1"/>
  <c r="G3894" i="1"/>
  <c r="I3894" i="1"/>
  <c r="J3894" i="1"/>
  <c r="K3894" i="1"/>
  <c r="L3894" i="1"/>
  <c r="M3894" i="1"/>
  <c r="N3894" i="1"/>
  <c r="O3894" i="1"/>
  <c r="P3894" i="1"/>
  <c r="Q3894" i="1"/>
  <c r="R3894" i="1"/>
  <c r="S3894" i="1"/>
  <c r="T3894" i="1"/>
  <c r="U3894" i="1"/>
  <c r="V3894" i="1"/>
  <c r="W3894" i="1"/>
  <c r="X3894" i="1"/>
  <c r="Y3894" i="1"/>
  <c r="Z3894" i="1"/>
  <c r="A3895" i="1"/>
  <c r="B3895" i="1"/>
  <c r="C3895" i="1"/>
  <c r="D3895" i="1"/>
  <c r="E3895" i="1"/>
  <c r="F3895" i="1"/>
  <c r="G3895" i="1"/>
  <c r="I3895" i="1"/>
  <c r="J3895" i="1"/>
  <c r="K3895" i="1"/>
  <c r="L3895" i="1"/>
  <c r="M3895" i="1"/>
  <c r="N3895" i="1"/>
  <c r="O3895" i="1"/>
  <c r="P3895" i="1"/>
  <c r="Q3895" i="1"/>
  <c r="R3895" i="1"/>
  <c r="S3895" i="1"/>
  <c r="T3895" i="1"/>
  <c r="U3895" i="1"/>
  <c r="V3895" i="1"/>
  <c r="W3895" i="1"/>
  <c r="X3895" i="1"/>
  <c r="Y3895" i="1"/>
  <c r="Z3895" i="1"/>
  <c r="A3896" i="1"/>
  <c r="B3896" i="1"/>
  <c r="C3896" i="1"/>
  <c r="D3896" i="1"/>
  <c r="E3896" i="1"/>
  <c r="F3896" i="1"/>
  <c r="G3896" i="1"/>
  <c r="I3896" i="1"/>
  <c r="J3896" i="1"/>
  <c r="K3896" i="1"/>
  <c r="L3896" i="1"/>
  <c r="M3896" i="1"/>
  <c r="N3896" i="1"/>
  <c r="O3896" i="1"/>
  <c r="P3896" i="1"/>
  <c r="Q3896" i="1"/>
  <c r="R3896" i="1"/>
  <c r="S3896" i="1"/>
  <c r="T3896" i="1"/>
  <c r="U3896" i="1"/>
  <c r="V3896" i="1"/>
  <c r="W3896" i="1"/>
  <c r="X3896" i="1"/>
  <c r="Y3896" i="1"/>
  <c r="Z3896" i="1"/>
  <c r="A3897" i="1"/>
  <c r="B3897" i="1"/>
  <c r="C3897" i="1"/>
  <c r="D3897" i="1"/>
  <c r="E3897" i="1"/>
  <c r="F3897" i="1"/>
  <c r="G3897" i="1"/>
  <c r="I3897" i="1"/>
  <c r="J3897" i="1"/>
  <c r="K3897" i="1"/>
  <c r="L3897" i="1"/>
  <c r="M3897" i="1"/>
  <c r="N3897" i="1"/>
  <c r="O3897" i="1"/>
  <c r="P3897" i="1"/>
  <c r="Q3897" i="1"/>
  <c r="R3897" i="1"/>
  <c r="S3897" i="1"/>
  <c r="T3897" i="1"/>
  <c r="U3897" i="1"/>
  <c r="V3897" i="1"/>
  <c r="W3897" i="1"/>
  <c r="X3897" i="1"/>
  <c r="Y3897" i="1"/>
  <c r="Z3897" i="1"/>
  <c r="A3898" i="1"/>
  <c r="B3898" i="1"/>
  <c r="C3898" i="1"/>
  <c r="D3898" i="1"/>
  <c r="E3898" i="1"/>
  <c r="F3898" i="1"/>
  <c r="G3898" i="1"/>
  <c r="I3898" i="1"/>
  <c r="J3898" i="1"/>
  <c r="K3898" i="1"/>
  <c r="L3898" i="1"/>
  <c r="M3898" i="1"/>
  <c r="N3898" i="1"/>
  <c r="O3898" i="1"/>
  <c r="P3898" i="1"/>
  <c r="Q3898" i="1"/>
  <c r="R3898" i="1"/>
  <c r="S3898" i="1"/>
  <c r="T3898" i="1"/>
  <c r="U3898" i="1"/>
  <c r="V3898" i="1"/>
  <c r="W3898" i="1"/>
  <c r="X3898" i="1"/>
  <c r="Y3898" i="1"/>
  <c r="Z3898" i="1"/>
  <c r="A3899" i="1"/>
  <c r="B3899" i="1"/>
  <c r="C3899" i="1"/>
  <c r="D3899" i="1"/>
  <c r="E3899" i="1"/>
  <c r="F3899" i="1"/>
  <c r="G3899" i="1"/>
  <c r="I3899" i="1"/>
  <c r="J3899" i="1"/>
  <c r="K3899" i="1"/>
  <c r="L3899" i="1"/>
  <c r="M3899" i="1"/>
  <c r="N3899" i="1"/>
  <c r="O3899" i="1"/>
  <c r="P3899" i="1"/>
  <c r="Q3899" i="1"/>
  <c r="R3899" i="1"/>
  <c r="S3899" i="1"/>
  <c r="T3899" i="1"/>
  <c r="U3899" i="1"/>
  <c r="V3899" i="1"/>
  <c r="W3899" i="1"/>
  <c r="X3899" i="1"/>
  <c r="Y3899" i="1"/>
  <c r="Z3899" i="1"/>
  <c r="A3900" i="1"/>
  <c r="B3900" i="1"/>
  <c r="C3900" i="1"/>
  <c r="D3900" i="1"/>
  <c r="E3900" i="1"/>
  <c r="F3900" i="1"/>
  <c r="G3900" i="1"/>
  <c r="I3900" i="1"/>
  <c r="J3900" i="1"/>
  <c r="K3900" i="1"/>
  <c r="L3900" i="1"/>
  <c r="M3900" i="1"/>
  <c r="N3900" i="1"/>
  <c r="O3900" i="1"/>
  <c r="P3900" i="1"/>
  <c r="Q3900" i="1"/>
  <c r="R3900" i="1"/>
  <c r="S3900" i="1"/>
  <c r="T3900" i="1"/>
  <c r="U3900" i="1"/>
  <c r="V3900" i="1"/>
  <c r="W3900" i="1"/>
  <c r="X3900" i="1"/>
  <c r="Y3900" i="1"/>
  <c r="Z3900" i="1"/>
  <c r="A3901" i="1"/>
  <c r="B3901" i="1"/>
  <c r="C3901" i="1"/>
  <c r="D3901" i="1"/>
  <c r="E3901" i="1"/>
  <c r="F3901" i="1"/>
  <c r="G3901" i="1"/>
  <c r="I3901" i="1"/>
  <c r="J3901" i="1"/>
  <c r="K3901" i="1"/>
  <c r="L3901" i="1"/>
  <c r="M3901" i="1"/>
  <c r="N3901" i="1"/>
  <c r="O3901" i="1"/>
  <c r="P3901" i="1"/>
  <c r="Q3901" i="1"/>
  <c r="R3901" i="1"/>
  <c r="S3901" i="1"/>
  <c r="T3901" i="1"/>
  <c r="U3901" i="1"/>
  <c r="V3901" i="1"/>
  <c r="W3901" i="1"/>
  <c r="X3901" i="1"/>
  <c r="Y3901" i="1"/>
  <c r="Z3901" i="1"/>
  <c r="A3902" i="1"/>
  <c r="B3902" i="1"/>
  <c r="C3902" i="1"/>
  <c r="D3902" i="1"/>
  <c r="E3902" i="1"/>
  <c r="F3902" i="1"/>
  <c r="G3902" i="1"/>
  <c r="I3902" i="1"/>
  <c r="J3902" i="1"/>
  <c r="K3902" i="1"/>
  <c r="L3902" i="1"/>
  <c r="M3902" i="1"/>
  <c r="N3902" i="1"/>
  <c r="O3902" i="1"/>
  <c r="P3902" i="1"/>
  <c r="Q3902" i="1"/>
  <c r="R3902" i="1"/>
  <c r="S3902" i="1"/>
  <c r="T3902" i="1"/>
  <c r="U3902" i="1"/>
  <c r="V3902" i="1"/>
  <c r="W3902" i="1"/>
  <c r="X3902" i="1"/>
  <c r="Y3902" i="1"/>
  <c r="Z3902" i="1"/>
  <c r="A3903" i="1"/>
  <c r="B3903" i="1"/>
  <c r="C3903" i="1"/>
  <c r="D3903" i="1"/>
  <c r="E3903" i="1"/>
  <c r="F3903" i="1"/>
  <c r="G3903" i="1"/>
  <c r="I3903" i="1"/>
  <c r="J3903" i="1"/>
  <c r="K3903" i="1"/>
  <c r="L3903" i="1"/>
  <c r="M3903" i="1"/>
  <c r="N3903" i="1"/>
  <c r="O3903" i="1"/>
  <c r="P3903" i="1"/>
  <c r="Q3903" i="1"/>
  <c r="R3903" i="1"/>
  <c r="S3903" i="1"/>
  <c r="T3903" i="1"/>
  <c r="U3903" i="1"/>
  <c r="V3903" i="1"/>
  <c r="W3903" i="1"/>
  <c r="X3903" i="1"/>
  <c r="Y3903" i="1"/>
  <c r="Z3903" i="1"/>
  <c r="A3904" i="1"/>
  <c r="B3904" i="1"/>
  <c r="C3904" i="1"/>
  <c r="D3904" i="1"/>
  <c r="E3904" i="1"/>
  <c r="F3904" i="1"/>
  <c r="G3904" i="1"/>
  <c r="I3904" i="1"/>
  <c r="J3904" i="1"/>
  <c r="K3904" i="1"/>
  <c r="L3904" i="1"/>
  <c r="M3904" i="1"/>
  <c r="N3904" i="1"/>
  <c r="O3904" i="1"/>
  <c r="P3904" i="1"/>
  <c r="Q3904" i="1"/>
  <c r="R3904" i="1"/>
  <c r="S3904" i="1"/>
  <c r="T3904" i="1"/>
  <c r="U3904" i="1"/>
  <c r="V3904" i="1"/>
  <c r="W3904" i="1"/>
  <c r="X3904" i="1"/>
  <c r="Y3904" i="1"/>
  <c r="Z3904" i="1"/>
  <c r="A3905" i="1"/>
  <c r="B3905" i="1"/>
  <c r="C3905" i="1"/>
  <c r="D3905" i="1"/>
  <c r="E3905" i="1"/>
  <c r="F3905" i="1"/>
  <c r="G3905" i="1"/>
  <c r="I3905" i="1"/>
  <c r="J3905" i="1"/>
  <c r="K3905" i="1"/>
  <c r="L3905" i="1"/>
  <c r="M3905" i="1"/>
  <c r="N3905" i="1"/>
  <c r="O3905" i="1"/>
  <c r="P3905" i="1"/>
  <c r="Q3905" i="1"/>
  <c r="R3905" i="1"/>
  <c r="S3905" i="1"/>
  <c r="T3905" i="1"/>
  <c r="U3905" i="1"/>
  <c r="V3905" i="1"/>
  <c r="W3905" i="1"/>
  <c r="X3905" i="1"/>
  <c r="Y3905" i="1"/>
  <c r="Z3905" i="1"/>
  <c r="A3906" i="1"/>
  <c r="B3906" i="1"/>
  <c r="C3906" i="1"/>
  <c r="D3906" i="1"/>
  <c r="E3906" i="1"/>
  <c r="F3906" i="1"/>
  <c r="G3906" i="1"/>
  <c r="I3906" i="1"/>
  <c r="J3906" i="1"/>
  <c r="K3906" i="1"/>
  <c r="L3906" i="1"/>
  <c r="M3906" i="1"/>
  <c r="N3906" i="1"/>
  <c r="O3906" i="1"/>
  <c r="P3906" i="1"/>
  <c r="Q3906" i="1"/>
  <c r="R3906" i="1"/>
  <c r="S3906" i="1"/>
  <c r="T3906" i="1"/>
  <c r="U3906" i="1"/>
  <c r="V3906" i="1"/>
  <c r="W3906" i="1"/>
  <c r="X3906" i="1"/>
  <c r="Y3906" i="1"/>
  <c r="Z3906" i="1"/>
  <c r="A3907" i="1"/>
  <c r="B3907" i="1"/>
  <c r="C3907" i="1"/>
  <c r="D3907" i="1"/>
  <c r="E3907" i="1"/>
  <c r="F3907" i="1"/>
  <c r="G3907" i="1"/>
  <c r="I3907" i="1"/>
  <c r="J3907" i="1"/>
  <c r="K3907" i="1"/>
  <c r="L3907" i="1"/>
  <c r="M3907" i="1"/>
  <c r="N3907" i="1"/>
  <c r="O3907" i="1"/>
  <c r="P3907" i="1"/>
  <c r="Q3907" i="1"/>
  <c r="R3907" i="1"/>
  <c r="S3907" i="1"/>
  <c r="T3907" i="1"/>
  <c r="U3907" i="1"/>
  <c r="V3907" i="1"/>
  <c r="W3907" i="1"/>
  <c r="X3907" i="1"/>
  <c r="Y3907" i="1"/>
  <c r="Z3907" i="1"/>
  <c r="A3908" i="1"/>
  <c r="B3908" i="1"/>
  <c r="C3908" i="1"/>
  <c r="D3908" i="1"/>
  <c r="E3908" i="1"/>
  <c r="F3908" i="1"/>
  <c r="G3908" i="1"/>
  <c r="I3908" i="1"/>
  <c r="J3908" i="1"/>
  <c r="K3908" i="1"/>
  <c r="L3908" i="1"/>
  <c r="M3908" i="1"/>
  <c r="N3908" i="1"/>
  <c r="O3908" i="1"/>
  <c r="P3908" i="1"/>
  <c r="Q3908" i="1"/>
  <c r="R3908" i="1"/>
  <c r="S3908" i="1"/>
  <c r="T3908" i="1"/>
  <c r="U3908" i="1"/>
  <c r="V3908" i="1"/>
  <c r="W3908" i="1"/>
  <c r="X3908" i="1"/>
  <c r="Y3908" i="1"/>
  <c r="Z3908" i="1"/>
  <c r="A3909" i="1"/>
  <c r="B3909" i="1"/>
  <c r="C3909" i="1"/>
  <c r="D3909" i="1"/>
  <c r="E3909" i="1"/>
  <c r="F3909" i="1"/>
  <c r="G3909" i="1"/>
  <c r="I3909" i="1"/>
  <c r="J3909" i="1"/>
  <c r="K3909" i="1"/>
  <c r="L3909" i="1"/>
  <c r="M3909" i="1"/>
  <c r="N3909" i="1"/>
  <c r="O3909" i="1"/>
  <c r="P3909" i="1"/>
  <c r="Q3909" i="1"/>
  <c r="R3909" i="1"/>
  <c r="S3909" i="1"/>
  <c r="T3909" i="1"/>
  <c r="U3909" i="1"/>
  <c r="V3909" i="1"/>
  <c r="W3909" i="1"/>
  <c r="X3909" i="1"/>
  <c r="Y3909" i="1"/>
  <c r="Z3909" i="1"/>
  <c r="A3910" i="1"/>
  <c r="B3910" i="1"/>
  <c r="C3910" i="1"/>
  <c r="D3910" i="1"/>
  <c r="E3910" i="1"/>
  <c r="F3910" i="1"/>
  <c r="G3910" i="1"/>
  <c r="I3910" i="1"/>
  <c r="J3910" i="1"/>
  <c r="K3910" i="1"/>
  <c r="L3910" i="1"/>
  <c r="M3910" i="1"/>
  <c r="N3910" i="1"/>
  <c r="O3910" i="1"/>
  <c r="P3910" i="1"/>
  <c r="Q3910" i="1"/>
  <c r="R3910" i="1"/>
  <c r="S3910" i="1"/>
  <c r="T3910" i="1"/>
  <c r="U3910" i="1"/>
  <c r="V3910" i="1"/>
  <c r="W3910" i="1"/>
  <c r="X3910" i="1"/>
  <c r="Y3910" i="1"/>
  <c r="Z3910" i="1"/>
  <c r="A3911" i="1"/>
  <c r="B3911" i="1"/>
  <c r="C3911" i="1"/>
  <c r="D3911" i="1"/>
  <c r="E3911" i="1"/>
  <c r="F3911" i="1"/>
  <c r="G3911" i="1"/>
  <c r="I3911" i="1"/>
  <c r="J3911" i="1"/>
  <c r="K3911" i="1"/>
  <c r="L3911" i="1"/>
  <c r="M3911" i="1"/>
  <c r="N3911" i="1"/>
  <c r="O3911" i="1"/>
  <c r="P3911" i="1"/>
  <c r="Q3911" i="1"/>
  <c r="R3911" i="1"/>
  <c r="S3911" i="1"/>
  <c r="T3911" i="1"/>
  <c r="U3911" i="1"/>
  <c r="V3911" i="1"/>
  <c r="W3911" i="1"/>
  <c r="X3911" i="1"/>
  <c r="Y3911" i="1"/>
  <c r="Z3911" i="1"/>
  <c r="A3912" i="1"/>
  <c r="B3912" i="1"/>
  <c r="C3912" i="1"/>
  <c r="D3912" i="1"/>
  <c r="E3912" i="1"/>
  <c r="F3912" i="1"/>
  <c r="G3912" i="1"/>
  <c r="I3912" i="1"/>
  <c r="J3912" i="1"/>
  <c r="K3912" i="1"/>
  <c r="L3912" i="1"/>
  <c r="M3912" i="1"/>
  <c r="N3912" i="1"/>
  <c r="O3912" i="1"/>
  <c r="P3912" i="1"/>
  <c r="Q3912" i="1"/>
  <c r="R3912" i="1"/>
  <c r="S3912" i="1"/>
  <c r="T3912" i="1"/>
  <c r="U3912" i="1"/>
  <c r="V3912" i="1"/>
  <c r="W3912" i="1"/>
  <c r="X3912" i="1"/>
  <c r="Y3912" i="1"/>
  <c r="Z3912" i="1"/>
  <c r="A3913" i="1"/>
  <c r="B3913" i="1"/>
  <c r="C3913" i="1"/>
  <c r="D3913" i="1"/>
  <c r="E3913" i="1"/>
  <c r="F3913" i="1"/>
  <c r="G3913" i="1"/>
  <c r="I3913" i="1"/>
  <c r="J3913" i="1"/>
  <c r="K3913" i="1"/>
  <c r="L3913" i="1"/>
  <c r="M3913" i="1"/>
  <c r="N3913" i="1"/>
  <c r="O3913" i="1"/>
  <c r="P3913" i="1"/>
  <c r="Q3913" i="1"/>
  <c r="R3913" i="1"/>
  <c r="S3913" i="1"/>
  <c r="T3913" i="1"/>
  <c r="U3913" i="1"/>
  <c r="V3913" i="1"/>
  <c r="W3913" i="1"/>
  <c r="X3913" i="1"/>
  <c r="Y3913" i="1"/>
  <c r="Z3913" i="1"/>
  <c r="A3914" i="1"/>
  <c r="B3914" i="1"/>
  <c r="C3914" i="1"/>
  <c r="D3914" i="1"/>
  <c r="E3914" i="1"/>
  <c r="F3914" i="1"/>
  <c r="G3914" i="1"/>
  <c r="I3914" i="1"/>
  <c r="J3914" i="1"/>
  <c r="K3914" i="1"/>
  <c r="L3914" i="1"/>
  <c r="M3914" i="1"/>
  <c r="N3914" i="1"/>
  <c r="O3914" i="1"/>
  <c r="P3914" i="1"/>
  <c r="Q3914" i="1"/>
  <c r="R3914" i="1"/>
  <c r="S3914" i="1"/>
  <c r="T3914" i="1"/>
  <c r="U3914" i="1"/>
  <c r="V3914" i="1"/>
  <c r="W3914" i="1"/>
  <c r="X3914" i="1"/>
  <c r="Y3914" i="1"/>
  <c r="Z3914" i="1"/>
  <c r="A3915" i="1"/>
  <c r="B3915" i="1"/>
  <c r="C3915" i="1"/>
  <c r="D3915" i="1"/>
  <c r="E3915" i="1"/>
  <c r="F3915" i="1"/>
  <c r="G3915" i="1"/>
  <c r="I3915" i="1"/>
  <c r="J3915" i="1"/>
  <c r="K3915" i="1"/>
  <c r="L3915" i="1"/>
  <c r="M3915" i="1"/>
  <c r="N3915" i="1"/>
  <c r="O3915" i="1"/>
  <c r="P3915" i="1"/>
  <c r="Q3915" i="1"/>
  <c r="R3915" i="1"/>
  <c r="S3915" i="1"/>
  <c r="T3915" i="1"/>
  <c r="U3915" i="1"/>
  <c r="V3915" i="1"/>
  <c r="W3915" i="1"/>
  <c r="X3915" i="1"/>
  <c r="Y3915" i="1"/>
  <c r="Z3915" i="1"/>
  <c r="A3916" i="1"/>
  <c r="B3916" i="1"/>
  <c r="C3916" i="1"/>
  <c r="D3916" i="1"/>
  <c r="E3916" i="1"/>
  <c r="F3916" i="1"/>
  <c r="G3916" i="1"/>
  <c r="I3916" i="1"/>
  <c r="J3916" i="1"/>
  <c r="K3916" i="1"/>
  <c r="L3916" i="1"/>
  <c r="M3916" i="1"/>
  <c r="N3916" i="1"/>
  <c r="O3916" i="1"/>
  <c r="P3916" i="1"/>
  <c r="Q3916" i="1"/>
  <c r="R3916" i="1"/>
  <c r="S3916" i="1"/>
  <c r="T3916" i="1"/>
  <c r="U3916" i="1"/>
  <c r="V3916" i="1"/>
  <c r="W3916" i="1"/>
  <c r="X3916" i="1"/>
  <c r="Y3916" i="1"/>
  <c r="Z3916" i="1"/>
  <c r="A3917" i="1"/>
  <c r="B3917" i="1"/>
  <c r="C3917" i="1"/>
  <c r="D3917" i="1"/>
  <c r="E3917" i="1"/>
  <c r="F3917" i="1"/>
  <c r="G3917" i="1"/>
  <c r="I3917" i="1"/>
  <c r="J3917" i="1"/>
  <c r="K3917" i="1"/>
  <c r="L3917" i="1"/>
  <c r="M3917" i="1"/>
  <c r="N3917" i="1"/>
  <c r="O3917" i="1"/>
  <c r="P3917" i="1"/>
  <c r="Q3917" i="1"/>
  <c r="R3917" i="1"/>
  <c r="S3917" i="1"/>
  <c r="T3917" i="1"/>
  <c r="U3917" i="1"/>
  <c r="V3917" i="1"/>
  <c r="W3917" i="1"/>
  <c r="X3917" i="1"/>
  <c r="Y3917" i="1"/>
  <c r="Z3917" i="1"/>
  <c r="A3918" i="1"/>
  <c r="B3918" i="1"/>
  <c r="C3918" i="1"/>
  <c r="D3918" i="1"/>
  <c r="E3918" i="1"/>
  <c r="F3918" i="1"/>
  <c r="G3918" i="1"/>
  <c r="I3918" i="1"/>
  <c r="J3918" i="1"/>
  <c r="K3918" i="1"/>
  <c r="L3918" i="1"/>
  <c r="M3918" i="1"/>
  <c r="N3918" i="1"/>
  <c r="O3918" i="1"/>
  <c r="P3918" i="1"/>
  <c r="Q3918" i="1"/>
  <c r="R3918" i="1"/>
  <c r="S3918" i="1"/>
  <c r="T3918" i="1"/>
  <c r="U3918" i="1"/>
  <c r="V3918" i="1"/>
  <c r="W3918" i="1"/>
  <c r="X3918" i="1"/>
  <c r="Y3918" i="1"/>
  <c r="Z3918" i="1"/>
  <c r="A3919" i="1"/>
  <c r="B3919" i="1"/>
  <c r="C3919" i="1"/>
  <c r="D3919" i="1"/>
  <c r="E3919" i="1"/>
  <c r="F3919" i="1"/>
  <c r="G3919" i="1"/>
  <c r="I3919" i="1"/>
  <c r="J3919" i="1"/>
  <c r="K3919" i="1"/>
  <c r="L3919" i="1"/>
  <c r="M3919" i="1"/>
  <c r="N3919" i="1"/>
  <c r="O3919" i="1"/>
  <c r="P3919" i="1"/>
  <c r="Q3919" i="1"/>
  <c r="R3919" i="1"/>
  <c r="S3919" i="1"/>
  <c r="T3919" i="1"/>
  <c r="U3919" i="1"/>
  <c r="V3919" i="1"/>
  <c r="W3919" i="1"/>
  <c r="X3919" i="1"/>
  <c r="Y3919" i="1"/>
  <c r="Z3919" i="1"/>
  <c r="A3920" i="1"/>
  <c r="B3920" i="1"/>
  <c r="C3920" i="1"/>
  <c r="D3920" i="1"/>
  <c r="E3920" i="1"/>
  <c r="F3920" i="1"/>
  <c r="G3920" i="1"/>
  <c r="I3920" i="1"/>
  <c r="J3920" i="1"/>
  <c r="K3920" i="1"/>
  <c r="L3920" i="1"/>
  <c r="M3920" i="1"/>
  <c r="N3920" i="1"/>
  <c r="O3920" i="1"/>
  <c r="P3920" i="1"/>
  <c r="Q3920" i="1"/>
  <c r="R3920" i="1"/>
  <c r="S3920" i="1"/>
  <c r="T3920" i="1"/>
  <c r="U3920" i="1"/>
  <c r="V3920" i="1"/>
  <c r="W3920" i="1"/>
  <c r="X3920" i="1"/>
  <c r="Y3920" i="1"/>
  <c r="Z3920" i="1"/>
  <c r="A3921" i="1"/>
  <c r="B3921" i="1"/>
  <c r="C3921" i="1"/>
  <c r="D3921" i="1"/>
  <c r="E3921" i="1"/>
  <c r="F3921" i="1"/>
  <c r="G3921" i="1"/>
  <c r="I3921" i="1"/>
  <c r="J3921" i="1"/>
  <c r="K3921" i="1"/>
  <c r="L3921" i="1"/>
  <c r="M3921" i="1"/>
  <c r="N3921" i="1"/>
  <c r="O3921" i="1"/>
  <c r="P3921" i="1"/>
  <c r="Q3921" i="1"/>
  <c r="R3921" i="1"/>
  <c r="S3921" i="1"/>
  <c r="T3921" i="1"/>
  <c r="U3921" i="1"/>
  <c r="V3921" i="1"/>
  <c r="W3921" i="1"/>
  <c r="X3921" i="1"/>
  <c r="Y3921" i="1"/>
  <c r="Z3921" i="1"/>
  <c r="A3922" i="1"/>
  <c r="B3922" i="1"/>
  <c r="C3922" i="1"/>
  <c r="D3922" i="1"/>
  <c r="E3922" i="1"/>
  <c r="F3922" i="1"/>
  <c r="G3922" i="1"/>
  <c r="I3922" i="1"/>
  <c r="J3922" i="1"/>
  <c r="K3922" i="1"/>
  <c r="L3922" i="1"/>
  <c r="M3922" i="1"/>
  <c r="N3922" i="1"/>
  <c r="O3922" i="1"/>
  <c r="P3922" i="1"/>
  <c r="Q3922" i="1"/>
  <c r="R3922" i="1"/>
  <c r="S3922" i="1"/>
  <c r="T3922" i="1"/>
  <c r="U3922" i="1"/>
  <c r="V3922" i="1"/>
  <c r="W3922" i="1"/>
  <c r="X3922" i="1"/>
  <c r="Y3922" i="1"/>
  <c r="Z3922" i="1"/>
  <c r="A3923" i="1"/>
  <c r="B3923" i="1"/>
  <c r="C3923" i="1"/>
  <c r="D3923" i="1"/>
  <c r="E3923" i="1"/>
  <c r="F3923" i="1"/>
  <c r="G3923" i="1"/>
  <c r="I3923" i="1"/>
  <c r="J3923" i="1"/>
  <c r="K3923" i="1"/>
  <c r="L3923" i="1"/>
  <c r="M3923" i="1"/>
  <c r="N3923" i="1"/>
  <c r="O3923" i="1"/>
  <c r="P3923" i="1"/>
  <c r="Q3923" i="1"/>
  <c r="R3923" i="1"/>
  <c r="S3923" i="1"/>
  <c r="T3923" i="1"/>
  <c r="U3923" i="1"/>
  <c r="V3923" i="1"/>
  <c r="W3923" i="1"/>
  <c r="X3923" i="1"/>
  <c r="Y3923" i="1"/>
  <c r="Z3923" i="1"/>
  <c r="A3924" i="1"/>
  <c r="B3924" i="1"/>
  <c r="C3924" i="1"/>
  <c r="D3924" i="1"/>
  <c r="E3924" i="1"/>
  <c r="F3924" i="1"/>
  <c r="G3924" i="1"/>
  <c r="I3924" i="1"/>
  <c r="J3924" i="1"/>
  <c r="K3924" i="1"/>
  <c r="L3924" i="1"/>
  <c r="M3924" i="1"/>
  <c r="N3924" i="1"/>
  <c r="O3924" i="1"/>
  <c r="P3924" i="1"/>
  <c r="Q3924" i="1"/>
  <c r="R3924" i="1"/>
  <c r="S3924" i="1"/>
  <c r="T3924" i="1"/>
  <c r="U3924" i="1"/>
  <c r="V3924" i="1"/>
  <c r="W3924" i="1"/>
  <c r="X3924" i="1"/>
  <c r="Y3924" i="1"/>
  <c r="Z3924" i="1"/>
  <c r="A3925" i="1"/>
  <c r="B3925" i="1"/>
  <c r="C3925" i="1"/>
  <c r="D3925" i="1"/>
  <c r="E3925" i="1"/>
  <c r="F3925" i="1"/>
  <c r="G3925" i="1"/>
  <c r="I3925" i="1"/>
  <c r="J3925" i="1"/>
  <c r="K3925" i="1"/>
  <c r="L3925" i="1"/>
  <c r="M3925" i="1"/>
  <c r="N3925" i="1"/>
  <c r="O3925" i="1"/>
  <c r="P3925" i="1"/>
  <c r="Q3925" i="1"/>
  <c r="R3925" i="1"/>
  <c r="S3925" i="1"/>
  <c r="T3925" i="1"/>
  <c r="U3925" i="1"/>
  <c r="V3925" i="1"/>
  <c r="W3925" i="1"/>
  <c r="X3925" i="1"/>
  <c r="Y3925" i="1"/>
  <c r="Z3925" i="1"/>
  <c r="A3926" i="1"/>
  <c r="B3926" i="1"/>
  <c r="C3926" i="1"/>
  <c r="D3926" i="1"/>
  <c r="E3926" i="1"/>
  <c r="F3926" i="1"/>
  <c r="G3926" i="1"/>
  <c r="I3926" i="1"/>
  <c r="J3926" i="1"/>
  <c r="K3926" i="1"/>
  <c r="L3926" i="1"/>
  <c r="M3926" i="1"/>
  <c r="N3926" i="1"/>
  <c r="O3926" i="1"/>
  <c r="P3926" i="1"/>
  <c r="Q3926" i="1"/>
  <c r="R3926" i="1"/>
  <c r="S3926" i="1"/>
  <c r="T3926" i="1"/>
  <c r="U3926" i="1"/>
  <c r="V3926" i="1"/>
  <c r="W3926" i="1"/>
  <c r="X3926" i="1"/>
  <c r="Y3926" i="1"/>
  <c r="Z3926" i="1"/>
  <c r="A3927" i="1"/>
  <c r="B3927" i="1"/>
  <c r="C3927" i="1"/>
  <c r="D3927" i="1"/>
  <c r="E3927" i="1"/>
  <c r="F3927" i="1"/>
  <c r="G3927" i="1"/>
  <c r="I3927" i="1"/>
  <c r="J3927" i="1"/>
  <c r="K3927" i="1"/>
  <c r="L3927" i="1"/>
  <c r="M3927" i="1"/>
  <c r="N3927" i="1"/>
  <c r="O3927" i="1"/>
  <c r="P3927" i="1"/>
  <c r="Q3927" i="1"/>
  <c r="R3927" i="1"/>
  <c r="S3927" i="1"/>
  <c r="T3927" i="1"/>
  <c r="U3927" i="1"/>
  <c r="V3927" i="1"/>
  <c r="W3927" i="1"/>
  <c r="X3927" i="1"/>
  <c r="Y3927" i="1"/>
  <c r="Z3927" i="1"/>
  <c r="A3928" i="1"/>
  <c r="B3928" i="1"/>
  <c r="C3928" i="1"/>
  <c r="D3928" i="1"/>
  <c r="E3928" i="1"/>
  <c r="F3928" i="1"/>
  <c r="G3928" i="1"/>
  <c r="I3928" i="1"/>
  <c r="J3928" i="1"/>
  <c r="K3928" i="1"/>
  <c r="L3928" i="1"/>
  <c r="M3928" i="1"/>
  <c r="N3928" i="1"/>
  <c r="O3928" i="1"/>
  <c r="P3928" i="1"/>
  <c r="Q3928" i="1"/>
  <c r="R3928" i="1"/>
  <c r="S3928" i="1"/>
  <c r="T3928" i="1"/>
  <c r="U3928" i="1"/>
  <c r="V3928" i="1"/>
  <c r="W3928" i="1"/>
  <c r="X3928" i="1"/>
  <c r="Y3928" i="1"/>
  <c r="Z3928" i="1"/>
  <c r="A3929" i="1"/>
  <c r="B3929" i="1"/>
  <c r="C3929" i="1"/>
  <c r="D3929" i="1"/>
  <c r="E3929" i="1"/>
  <c r="F3929" i="1"/>
  <c r="G3929" i="1"/>
  <c r="I3929" i="1"/>
  <c r="J3929" i="1"/>
  <c r="K3929" i="1"/>
  <c r="L3929" i="1"/>
  <c r="M3929" i="1"/>
  <c r="N3929" i="1"/>
  <c r="O3929" i="1"/>
  <c r="P3929" i="1"/>
  <c r="Q3929" i="1"/>
  <c r="R3929" i="1"/>
  <c r="S3929" i="1"/>
  <c r="T3929" i="1"/>
  <c r="U3929" i="1"/>
  <c r="V3929" i="1"/>
  <c r="W3929" i="1"/>
  <c r="X3929" i="1"/>
  <c r="Y3929" i="1"/>
  <c r="Z3929" i="1"/>
  <c r="A3930" i="1"/>
  <c r="B3930" i="1"/>
  <c r="C3930" i="1"/>
  <c r="D3930" i="1"/>
  <c r="E3930" i="1"/>
  <c r="F3930" i="1"/>
  <c r="G3930" i="1"/>
  <c r="I3930" i="1"/>
  <c r="J3930" i="1"/>
  <c r="K3930" i="1"/>
  <c r="L3930" i="1"/>
  <c r="M3930" i="1"/>
  <c r="N3930" i="1"/>
  <c r="O3930" i="1"/>
  <c r="P3930" i="1"/>
  <c r="Q3930" i="1"/>
  <c r="R3930" i="1"/>
  <c r="S3930" i="1"/>
  <c r="T3930" i="1"/>
  <c r="U3930" i="1"/>
  <c r="V3930" i="1"/>
  <c r="W3930" i="1"/>
  <c r="X3930" i="1"/>
  <c r="Y3930" i="1"/>
  <c r="Z3930" i="1"/>
  <c r="A3931" i="1"/>
  <c r="B3931" i="1"/>
  <c r="C3931" i="1"/>
  <c r="D3931" i="1"/>
  <c r="E3931" i="1"/>
  <c r="F3931" i="1"/>
  <c r="G3931" i="1"/>
  <c r="I3931" i="1"/>
  <c r="J3931" i="1"/>
  <c r="K3931" i="1"/>
  <c r="L3931" i="1"/>
  <c r="M3931" i="1"/>
  <c r="N3931" i="1"/>
  <c r="O3931" i="1"/>
  <c r="P3931" i="1"/>
  <c r="Q3931" i="1"/>
  <c r="R3931" i="1"/>
  <c r="S3931" i="1"/>
  <c r="T3931" i="1"/>
  <c r="U3931" i="1"/>
  <c r="V3931" i="1"/>
  <c r="W3931" i="1"/>
  <c r="X3931" i="1"/>
  <c r="Y3931" i="1"/>
  <c r="Z3931" i="1"/>
  <c r="A3932" i="1"/>
  <c r="B3932" i="1"/>
  <c r="C3932" i="1"/>
  <c r="D3932" i="1"/>
  <c r="E3932" i="1"/>
  <c r="F3932" i="1"/>
  <c r="G3932" i="1"/>
  <c r="I3932" i="1"/>
  <c r="J3932" i="1"/>
  <c r="K3932" i="1"/>
  <c r="L3932" i="1"/>
  <c r="M3932" i="1"/>
  <c r="N3932" i="1"/>
  <c r="O3932" i="1"/>
  <c r="P3932" i="1"/>
  <c r="Q3932" i="1"/>
  <c r="R3932" i="1"/>
  <c r="S3932" i="1"/>
  <c r="T3932" i="1"/>
  <c r="U3932" i="1"/>
  <c r="V3932" i="1"/>
  <c r="W3932" i="1"/>
  <c r="X3932" i="1"/>
  <c r="Y3932" i="1"/>
  <c r="Z3932" i="1"/>
  <c r="A3933" i="1"/>
  <c r="B3933" i="1"/>
  <c r="C3933" i="1"/>
  <c r="D3933" i="1"/>
  <c r="E3933" i="1"/>
  <c r="F3933" i="1"/>
  <c r="G3933" i="1"/>
  <c r="I3933" i="1"/>
  <c r="J3933" i="1"/>
  <c r="K3933" i="1"/>
  <c r="L3933" i="1"/>
  <c r="M3933" i="1"/>
  <c r="N3933" i="1"/>
  <c r="O3933" i="1"/>
  <c r="P3933" i="1"/>
  <c r="Q3933" i="1"/>
  <c r="R3933" i="1"/>
  <c r="S3933" i="1"/>
  <c r="T3933" i="1"/>
  <c r="U3933" i="1"/>
  <c r="V3933" i="1"/>
  <c r="W3933" i="1"/>
  <c r="X3933" i="1"/>
  <c r="Y3933" i="1"/>
  <c r="Z3933" i="1"/>
  <c r="A3934" i="1"/>
  <c r="B3934" i="1"/>
  <c r="C3934" i="1"/>
  <c r="D3934" i="1"/>
  <c r="E3934" i="1"/>
  <c r="F3934" i="1"/>
  <c r="G3934" i="1"/>
  <c r="I3934" i="1"/>
  <c r="J3934" i="1"/>
  <c r="K3934" i="1"/>
  <c r="L3934" i="1"/>
  <c r="M3934" i="1"/>
  <c r="N3934" i="1"/>
  <c r="O3934" i="1"/>
  <c r="P3934" i="1"/>
  <c r="Q3934" i="1"/>
  <c r="R3934" i="1"/>
  <c r="S3934" i="1"/>
  <c r="T3934" i="1"/>
  <c r="U3934" i="1"/>
  <c r="V3934" i="1"/>
  <c r="W3934" i="1"/>
  <c r="X3934" i="1"/>
  <c r="Y3934" i="1"/>
  <c r="Z3934" i="1"/>
  <c r="A3935" i="1"/>
  <c r="B3935" i="1"/>
  <c r="C3935" i="1"/>
  <c r="D3935" i="1"/>
  <c r="E3935" i="1"/>
  <c r="F3935" i="1"/>
  <c r="G3935" i="1"/>
  <c r="I3935" i="1"/>
  <c r="J3935" i="1"/>
  <c r="K3935" i="1"/>
  <c r="L3935" i="1"/>
  <c r="M3935" i="1"/>
  <c r="N3935" i="1"/>
  <c r="O3935" i="1"/>
  <c r="P3935" i="1"/>
  <c r="Q3935" i="1"/>
  <c r="R3935" i="1"/>
  <c r="S3935" i="1"/>
  <c r="T3935" i="1"/>
  <c r="U3935" i="1"/>
  <c r="V3935" i="1"/>
  <c r="W3935" i="1"/>
  <c r="X3935" i="1"/>
  <c r="Y3935" i="1"/>
  <c r="Z3935" i="1"/>
  <c r="A3936" i="1"/>
  <c r="B3936" i="1"/>
  <c r="C3936" i="1"/>
  <c r="D3936" i="1"/>
  <c r="E3936" i="1"/>
  <c r="F3936" i="1"/>
  <c r="G3936" i="1"/>
  <c r="I3936" i="1"/>
  <c r="J3936" i="1"/>
  <c r="K3936" i="1"/>
  <c r="L3936" i="1"/>
  <c r="M3936" i="1"/>
  <c r="N3936" i="1"/>
  <c r="O3936" i="1"/>
  <c r="P3936" i="1"/>
  <c r="Q3936" i="1"/>
  <c r="R3936" i="1"/>
  <c r="S3936" i="1"/>
  <c r="T3936" i="1"/>
  <c r="U3936" i="1"/>
  <c r="V3936" i="1"/>
  <c r="W3936" i="1"/>
  <c r="X3936" i="1"/>
  <c r="Y3936" i="1"/>
  <c r="Z3936" i="1"/>
  <c r="A3937" i="1"/>
  <c r="B3937" i="1"/>
  <c r="C3937" i="1"/>
  <c r="D3937" i="1"/>
  <c r="E3937" i="1"/>
  <c r="F3937" i="1"/>
  <c r="G3937" i="1"/>
  <c r="I3937" i="1"/>
  <c r="J3937" i="1"/>
  <c r="K3937" i="1"/>
  <c r="L3937" i="1"/>
  <c r="M3937" i="1"/>
  <c r="N3937" i="1"/>
  <c r="O3937" i="1"/>
  <c r="P3937" i="1"/>
  <c r="Q3937" i="1"/>
  <c r="R3937" i="1"/>
  <c r="S3937" i="1"/>
  <c r="T3937" i="1"/>
  <c r="U3937" i="1"/>
  <c r="V3937" i="1"/>
  <c r="W3937" i="1"/>
  <c r="X3937" i="1"/>
  <c r="Y3937" i="1"/>
  <c r="Z3937" i="1"/>
  <c r="A3938" i="1"/>
  <c r="B3938" i="1"/>
  <c r="C3938" i="1"/>
  <c r="D3938" i="1"/>
  <c r="E3938" i="1"/>
  <c r="F3938" i="1"/>
  <c r="G3938" i="1"/>
  <c r="I3938" i="1"/>
  <c r="J3938" i="1"/>
  <c r="K3938" i="1"/>
  <c r="L3938" i="1"/>
  <c r="M3938" i="1"/>
  <c r="N3938" i="1"/>
  <c r="O3938" i="1"/>
  <c r="P3938" i="1"/>
  <c r="Q3938" i="1"/>
  <c r="R3938" i="1"/>
  <c r="S3938" i="1"/>
  <c r="T3938" i="1"/>
  <c r="U3938" i="1"/>
  <c r="V3938" i="1"/>
  <c r="W3938" i="1"/>
  <c r="X3938" i="1"/>
  <c r="Y3938" i="1"/>
  <c r="Z3938" i="1"/>
  <c r="A3939" i="1"/>
  <c r="B3939" i="1"/>
  <c r="C3939" i="1"/>
  <c r="D3939" i="1"/>
  <c r="E3939" i="1"/>
  <c r="F3939" i="1"/>
  <c r="G3939" i="1"/>
  <c r="I3939" i="1"/>
  <c r="J3939" i="1"/>
  <c r="K3939" i="1"/>
  <c r="L3939" i="1"/>
  <c r="M3939" i="1"/>
  <c r="N3939" i="1"/>
  <c r="O3939" i="1"/>
  <c r="P3939" i="1"/>
  <c r="Q3939" i="1"/>
  <c r="R3939" i="1"/>
  <c r="S3939" i="1"/>
  <c r="T3939" i="1"/>
  <c r="U3939" i="1"/>
  <c r="V3939" i="1"/>
  <c r="W3939" i="1"/>
  <c r="X3939" i="1"/>
  <c r="Y3939" i="1"/>
  <c r="Z3939" i="1"/>
  <c r="A3940" i="1"/>
  <c r="B3940" i="1"/>
  <c r="C3940" i="1"/>
  <c r="D3940" i="1"/>
  <c r="E3940" i="1"/>
  <c r="F3940" i="1"/>
  <c r="G3940" i="1"/>
  <c r="I3940" i="1"/>
  <c r="J3940" i="1"/>
  <c r="K3940" i="1"/>
  <c r="L3940" i="1"/>
  <c r="M3940" i="1"/>
  <c r="N3940" i="1"/>
  <c r="O3940" i="1"/>
  <c r="P3940" i="1"/>
  <c r="Q3940" i="1"/>
  <c r="R3940" i="1"/>
  <c r="S3940" i="1"/>
  <c r="T3940" i="1"/>
  <c r="U3940" i="1"/>
  <c r="V3940" i="1"/>
  <c r="W3940" i="1"/>
  <c r="X3940" i="1"/>
  <c r="Y3940" i="1"/>
  <c r="Z3940" i="1"/>
  <c r="A3941" i="1"/>
  <c r="B3941" i="1"/>
  <c r="C3941" i="1"/>
  <c r="D3941" i="1"/>
  <c r="E3941" i="1"/>
  <c r="F3941" i="1"/>
  <c r="G3941" i="1"/>
  <c r="I3941" i="1"/>
  <c r="J3941" i="1"/>
  <c r="K3941" i="1"/>
  <c r="L3941" i="1"/>
  <c r="M3941" i="1"/>
  <c r="N3941" i="1"/>
  <c r="O3941" i="1"/>
  <c r="P3941" i="1"/>
  <c r="Q3941" i="1"/>
  <c r="R3941" i="1"/>
  <c r="S3941" i="1"/>
  <c r="T3941" i="1"/>
  <c r="U3941" i="1"/>
  <c r="V3941" i="1"/>
  <c r="W3941" i="1"/>
  <c r="X3941" i="1"/>
  <c r="Y3941" i="1"/>
  <c r="Z3941" i="1"/>
  <c r="A3942" i="1"/>
  <c r="B3942" i="1"/>
  <c r="C3942" i="1"/>
  <c r="D3942" i="1"/>
  <c r="E3942" i="1"/>
  <c r="F3942" i="1"/>
  <c r="G3942" i="1"/>
  <c r="I3942" i="1"/>
  <c r="J3942" i="1"/>
  <c r="K3942" i="1"/>
  <c r="L3942" i="1"/>
  <c r="M3942" i="1"/>
  <c r="N3942" i="1"/>
  <c r="O3942" i="1"/>
  <c r="P3942" i="1"/>
  <c r="Q3942" i="1"/>
  <c r="R3942" i="1"/>
  <c r="S3942" i="1"/>
  <c r="T3942" i="1"/>
  <c r="U3942" i="1"/>
  <c r="V3942" i="1"/>
  <c r="W3942" i="1"/>
  <c r="X3942" i="1"/>
  <c r="Y3942" i="1"/>
  <c r="Z3942" i="1"/>
  <c r="A3943" i="1"/>
  <c r="B3943" i="1"/>
  <c r="C3943" i="1"/>
  <c r="D3943" i="1"/>
  <c r="E3943" i="1"/>
  <c r="F3943" i="1"/>
  <c r="G3943" i="1"/>
  <c r="I3943" i="1"/>
  <c r="J3943" i="1"/>
  <c r="K3943" i="1"/>
  <c r="L3943" i="1"/>
  <c r="M3943" i="1"/>
  <c r="N3943" i="1"/>
  <c r="O3943" i="1"/>
  <c r="P3943" i="1"/>
  <c r="Q3943" i="1"/>
  <c r="R3943" i="1"/>
  <c r="S3943" i="1"/>
  <c r="T3943" i="1"/>
  <c r="U3943" i="1"/>
  <c r="V3943" i="1"/>
  <c r="W3943" i="1"/>
  <c r="X3943" i="1"/>
  <c r="Y3943" i="1"/>
  <c r="Z3943" i="1"/>
  <c r="A3944" i="1"/>
  <c r="B3944" i="1"/>
  <c r="C3944" i="1"/>
  <c r="D3944" i="1"/>
  <c r="E3944" i="1"/>
  <c r="F3944" i="1"/>
  <c r="G3944" i="1"/>
  <c r="I3944" i="1"/>
  <c r="J3944" i="1"/>
  <c r="K3944" i="1"/>
  <c r="L3944" i="1"/>
  <c r="M3944" i="1"/>
  <c r="N3944" i="1"/>
  <c r="O3944" i="1"/>
  <c r="P3944" i="1"/>
  <c r="Q3944" i="1"/>
  <c r="R3944" i="1"/>
  <c r="S3944" i="1"/>
  <c r="T3944" i="1"/>
  <c r="U3944" i="1"/>
  <c r="V3944" i="1"/>
  <c r="W3944" i="1"/>
  <c r="X3944" i="1"/>
  <c r="Y3944" i="1"/>
  <c r="Z3944" i="1"/>
  <c r="A3945" i="1"/>
  <c r="B3945" i="1"/>
  <c r="C3945" i="1"/>
  <c r="D3945" i="1"/>
  <c r="E3945" i="1"/>
  <c r="F3945" i="1"/>
  <c r="G3945" i="1"/>
  <c r="I3945" i="1"/>
  <c r="J3945" i="1"/>
  <c r="K3945" i="1"/>
  <c r="L3945" i="1"/>
  <c r="M3945" i="1"/>
  <c r="N3945" i="1"/>
  <c r="O3945" i="1"/>
  <c r="P3945" i="1"/>
  <c r="Q3945" i="1"/>
  <c r="R3945" i="1"/>
  <c r="S3945" i="1"/>
  <c r="T3945" i="1"/>
  <c r="U3945" i="1"/>
  <c r="V3945" i="1"/>
  <c r="W3945" i="1"/>
  <c r="X3945" i="1"/>
  <c r="Y3945" i="1"/>
  <c r="Z3945" i="1"/>
  <c r="A3946" i="1"/>
  <c r="B3946" i="1"/>
  <c r="C3946" i="1"/>
  <c r="D3946" i="1"/>
  <c r="E3946" i="1"/>
  <c r="F3946" i="1"/>
  <c r="G3946" i="1"/>
  <c r="I3946" i="1"/>
  <c r="J3946" i="1"/>
  <c r="K3946" i="1"/>
  <c r="L3946" i="1"/>
  <c r="M3946" i="1"/>
  <c r="N3946" i="1"/>
  <c r="O3946" i="1"/>
  <c r="P3946" i="1"/>
  <c r="Q3946" i="1"/>
  <c r="R3946" i="1"/>
  <c r="S3946" i="1"/>
  <c r="T3946" i="1"/>
  <c r="U3946" i="1"/>
  <c r="V3946" i="1"/>
  <c r="W3946" i="1"/>
  <c r="X3946" i="1"/>
  <c r="Y3946" i="1"/>
  <c r="Z3946" i="1"/>
  <c r="A3947" i="1"/>
  <c r="B3947" i="1"/>
  <c r="C3947" i="1"/>
  <c r="D3947" i="1"/>
  <c r="E3947" i="1"/>
  <c r="F3947" i="1"/>
  <c r="G3947" i="1"/>
  <c r="I3947" i="1"/>
  <c r="J3947" i="1"/>
  <c r="K3947" i="1"/>
  <c r="L3947" i="1"/>
  <c r="M3947" i="1"/>
  <c r="N3947" i="1"/>
  <c r="O3947" i="1"/>
  <c r="P3947" i="1"/>
  <c r="Q3947" i="1"/>
  <c r="R3947" i="1"/>
  <c r="S3947" i="1"/>
  <c r="T3947" i="1"/>
  <c r="U3947" i="1"/>
  <c r="V3947" i="1"/>
  <c r="W3947" i="1"/>
  <c r="X3947" i="1"/>
  <c r="Y3947" i="1"/>
  <c r="Z3947" i="1"/>
  <c r="A3948" i="1"/>
  <c r="B3948" i="1"/>
  <c r="C3948" i="1"/>
  <c r="D3948" i="1"/>
  <c r="E3948" i="1"/>
  <c r="F3948" i="1"/>
  <c r="G3948" i="1"/>
  <c r="I3948" i="1"/>
  <c r="J3948" i="1"/>
  <c r="K3948" i="1"/>
  <c r="L3948" i="1"/>
  <c r="M3948" i="1"/>
  <c r="N3948" i="1"/>
  <c r="O3948" i="1"/>
  <c r="P3948" i="1"/>
  <c r="Q3948" i="1"/>
  <c r="R3948" i="1"/>
  <c r="S3948" i="1"/>
  <c r="T3948" i="1"/>
  <c r="U3948" i="1"/>
  <c r="V3948" i="1"/>
  <c r="W3948" i="1"/>
  <c r="X3948" i="1"/>
  <c r="Y3948" i="1"/>
  <c r="Z3948" i="1"/>
  <c r="A3949" i="1"/>
  <c r="B3949" i="1"/>
  <c r="C3949" i="1"/>
  <c r="D3949" i="1"/>
  <c r="E3949" i="1"/>
  <c r="F3949" i="1"/>
  <c r="G3949" i="1"/>
  <c r="I3949" i="1"/>
  <c r="J3949" i="1"/>
  <c r="K3949" i="1"/>
  <c r="L3949" i="1"/>
  <c r="M3949" i="1"/>
  <c r="N3949" i="1"/>
  <c r="O3949" i="1"/>
  <c r="P3949" i="1"/>
  <c r="Q3949" i="1"/>
  <c r="R3949" i="1"/>
  <c r="S3949" i="1"/>
  <c r="T3949" i="1"/>
  <c r="U3949" i="1"/>
  <c r="V3949" i="1"/>
  <c r="W3949" i="1"/>
  <c r="X3949" i="1"/>
  <c r="Y3949" i="1"/>
  <c r="Z3949" i="1"/>
  <c r="A3950" i="1"/>
  <c r="B3950" i="1"/>
  <c r="C3950" i="1"/>
  <c r="D3950" i="1"/>
  <c r="E3950" i="1"/>
  <c r="F3950" i="1"/>
  <c r="G3950" i="1"/>
  <c r="I3950" i="1"/>
  <c r="J3950" i="1"/>
  <c r="K3950" i="1"/>
  <c r="L3950" i="1"/>
  <c r="M3950" i="1"/>
  <c r="N3950" i="1"/>
  <c r="O3950" i="1"/>
  <c r="P3950" i="1"/>
  <c r="Q3950" i="1"/>
  <c r="R3950" i="1"/>
  <c r="S3950" i="1"/>
  <c r="T3950" i="1"/>
  <c r="U3950" i="1"/>
  <c r="V3950" i="1"/>
  <c r="W3950" i="1"/>
  <c r="X3950" i="1"/>
  <c r="Y3950" i="1"/>
  <c r="Z3950" i="1"/>
  <c r="A3951" i="1"/>
  <c r="B3951" i="1"/>
  <c r="C3951" i="1"/>
  <c r="D3951" i="1"/>
  <c r="E3951" i="1"/>
  <c r="F3951" i="1"/>
  <c r="G3951" i="1"/>
  <c r="I3951" i="1"/>
  <c r="J3951" i="1"/>
  <c r="K3951" i="1"/>
  <c r="L3951" i="1"/>
  <c r="M3951" i="1"/>
  <c r="N3951" i="1"/>
  <c r="O3951" i="1"/>
  <c r="P3951" i="1"/>
  <c r="Q3951" i="1"/>
  <c r="R3951" i="1"/>
  <c r="S3951" i="1"/>
  <c r="T3951" i="1"/>
  <c r="U3951" i="1"/>
  <c r="V3951" i="1"/>
  <c r="W3951" i="1"/>
  <c r="X3951" i="1"/>
  <c r="Y3951" i="1"/>
  <c r="Z3951" i="1"/>
  <c r="A3952" i="1"/>
  <c r="B3952" i="1"/>
  <c r="C3952" i="1"/>
  <c r="D3952" i="1"/>
  <c r="E3952" i="1"/>
  <c r="F3952" i="1"/>
  <c r="G3952" i="1"/>
  <c r="I3952" i="1"/>
  <c r="J3952" i="1"/>
  <c r="K3952" i="1"/>
  <c r="L3952" i="1"/>
  <c r="M3952" i="1"/>
  <c r="N3952" i="1"/>
  <c r="O3952" i="1"/>
  <c r="P3952" i="1"/>
  <c r="Q3952" i="1"/>
  <c r="R3952" i="1"/>
  <c r="S3952" i="1"/>
  <c r="T3952" i="1"/>
  <c r="U3952" i="1"/>
  <c r="V3952" i="1"/>
  <c r="W3952" i="1"/>
  <c r="X3952" i="1"/>
  <c r="Y3952" i="1"/>
  <c r="Z3952" i="1"/>
  <c r="A3953" i="1"/>
  <c r="B3953" i="1"/>
  <c r="C3953" i="1"/>
  <c r="D3953" i="1"/>
  <c r="E3953" i="1"/>
  <c r="F3953" i="1"/>
  <c r="G3953" i="1"/>
  <c r="I3953" i="1"/>
  <c r="J3953" i="1"/>
  <c r="K3953" i="1"/>
  <c r="L3953" i="1"/>
  <c r="M3953" i="1"/>
  <c r="N3953" i="1"/>
  <c r="O3953" i="1"/>
  <c r="P3953" i="1"/>
  <c r="Q3953" i="1"/>
  <c r="R3953" i="1"/>
  <c r="S3953" i="1"/>
  <c r="T3953" i="1"/>
  <c r="U3953" i="1"/>
  <c r="V3953" i="1"/>
  <c r="W3953" i="1"/>
  <c r="X3953" i="1"/>
  <c r="Y3953" i="1"/>
  <c r="Z3953" i="1"/>
  <c r="A3954" i="1"/>
  <c r="B3954" i="1"/>
  <c r="C3954" i="1"/>
  <c r="D3954" i="1"/>
  <c r="E3954" i="1"/>
  <c r="F3954" i="1"/>
  <c r="G3954" i="1"/>
  <c r="I3954" i="1"/>
  <c r="J3954" i="1"/>
  <c r="K3954" i="1"/>
  <c r="L3954" i="1"/>
  <c r="M3954" i="1"/>
  <c r="N3954" i="1"/>
  <c r="O3954" i="1"/>
  <c r="P3954" i="1"/>
  <c r="Q3954" i="1"/>
  <c r="R3954" i="1"/>
  <c r="S3954" i="1"/>
  <c r="T3954" i="1"/>
  <c r="U3954" i="1"/>
  <c r="V3954" i="1"/>
  <c r="W3954" i="1"/>
  <c r="X3954" i="1"/>
  <c r="Y3954" i="1"/>
  <c r="Z3954" i="1"/>
  <c r="A3955" i="1"/>
  <c r="B3955" i="1"/>
  <c r="C3955" i="1"/>
  <c r="D3955" i="1"/>
  <c r="E3955" i="1"/>
  <c r="F3955" i="1"/>
  <c r="G3955" i="1"/>
  <c r="I3955" i="1"/>
  <c r="J3955" i="1"/>
  <c r="K3955" i="1"/>
  <c r="L3955" i="1"/>
  <c r="M3955" i="1"/>
  <c r="N3955" i="1"/>
  <c r="O3955" i="1"/>
  <c r="P3955" i="1"/>
  <c r="Q3955" i="1"/>
  <c r="R3955" i="1"/>
  <c r="S3955" i="1"/>
  <c r="T3955" i="1"/>
  <c r="U3955" i="1"/>
  <c r="V3955" i="1"/>
  <c r="W3955" i="1"/>
  <c r="X3955" i="1"/>
  <c r="Y3955" i="1"/>
  <c r="Z3955" i="1"/>
  <c r="A3956" i="1"/>
  <c r="B3956" i="1"/>
  <c r="C3956" i="1"/>
  <c r="D3956" i="1"/>
  <c r="E3956" i="1"/>
  <c r="F3956" i="1"/>
  <c r="G3956" i="1"/>
  <c r="I3956" i="1"/>
  <c r="J3956" i="1"/>
  <c r="K3956" i="1"/>
  <c r="L3956" i="1"/>
  <c r="M3956" i="1"/>
  <c r="N3956" i="1"/>
  <c r="O3956" i="1"/>
  <c r="P3956" i="1"/>
  <c r="Q3956" i="1"/>
  <c r="R3956" i="1"/>
  <c r="S3956" i="1"/>
  <c r="T3956" i="1"/>
  <c r="U3956" i="1"/>
  <c r="V3956" i="1"/>
  <c r="W3956" i="1"/>
  <c r="X3956" i="1"/>
  <c r="Y3956" i="1"/>
  <c r="Z3956" i="1"/>
  <c r="A3957" i="1"/>
  <c r="B3957" i="1"/>
  <c r="C3957" i="1"/>
  <c r="D3957" i="1"/>
  <c r="E3957" i="1"/>
  <c r="F3957" i="1"/>
  <c r="G3957" i="1"/>
  <c r="I3957" i="1"/>
  <c r="J3957" i="1"/>
  <c r="K3957" i="1"/>
  <c r="L3957" i="1"/>
  <c r="M3957" i="1"/>
  <c r="N3957" i="1"/>
  <c r="O3957" i="1"/>
  <c r="P3957" i="1"/>
  <c r="Q3957" i="1"/>
  <c r="R3957" i="1"/>
  <c r="S3957" i="1"/>
  <c r="T3957" i="1"/>
  <c r="U3957" i="1"/>
  <c r="V3957" i="1"/>
  <c r="W3957" i="1"/>
  <c r="X3957" i="1"/>
  <c r="Y3957" i="1"/>
  <c r="Z3957" i="1"/>
  <c r="A3958" i="1"/>
  <c r="B3958" i="1"/>
  <c r="C3958" i="1"/>
  <c r="D3958" i="1"/>
  <c r="E3958" i="1"/>
  <c r="F3958" i="1"/>
  <c r="G3958" i="1"/>
  <c r="I3958" i="1"/>
  <c r="J3958" i="1"/>
  <c r="K3958" i="1"/>
  <c r="L3958" i="1"/>
  <c r="M3958" i="1"/>
  <c r="N3958" i="1"/>
  <c r="O3958" i="1"/>
  <c r="P3958" i="1"/>
  <c r="Q3958" i="1"/>
  <c r="R3958" i="1"/>
  <c r="S3958" i="1"/>
  <c r="T3958" i="1"/>
  <c r="U3958" i="1"/>
  <c r="V3958" i="1"/>
  <c r="W3958" i="1"/>
  <c r="X3958" i="1"/>
  <c r="Y3958" i="1"/>
  <c r="Z3958" i="1"/>
  <c r="A3959" i="1"/>
  <c r="B3959" i="1"/>
  <c r="C3959" i="1"/>
  <c r="D3959" i="1"/>
  <c r="E3959" i="1"/>
  <c r="F3959" i="1"/>
  <c r="G3959" i="1"/>
  <c r="I3959" i="1"/>
  <c r="J3959" i="1"/>
  <c r="K3959" i="1"/>
  <c r="L3959" i="1"/>
  <c r="M3959" i="1"/>
  <c r="N3959" i="1"/>
  <c r="O3959" i="1"/>
  <c r="P3959" i="1"/>
  <c r="Q3959" i="1"/>
  <c r="R3959" i="1"/>
  <c r="S3959" i="1"/>
  <c r="T3959" i="1"/>
  <c r="U3959" i="1"/>
  <c r="V3959" i="1"/>
  <c r="W3959" i="1"/>
  <c r="X3959" i="1"/>
  <c r="Y3959" i="1"/>
  <c r="Z3959" i="1"/>
  <c r="A3960" i="1"/>
  <c r="B3960" i="1"/>
  <c r="C3960" i="1"/>
  <c r="D3960" i="1"/>
  <c r="E3960" i="1"/>
  <c r="F3960" i="1"/>
  <c r="G3960" i="1"/>
  <c r="I3960" i="1"/>
  <c r="J3960" i="1"/>
  <c r="K3960" i="1"/>
  <c r="L3960" i="1"/>
  <c r="M3960" i="1"/>
  <c r="N3960" i="1"/>
  <c r="O3960" i="1"/>
  <c r="P3960" i="1"/>
  <c r="Q3960" i="1"/>
  <c r="R3960" i="1"/>
  <c r="S3960" i="1"/>
  <c r="T3960" i="1"/>
  <c r="U3960" i="1"/>
  <c r="V3960" i="1"/>
  <c r="W3960" i="1"/>
  <c r="X3960" i="1"/>
  <c r="Y3960" i="1"/>
  <c r="Z3960" i="1"/>
  <c r="A3961" i="1"/>
  <c r="B3961" i="1"/>
  <c r="C3961" i="1"/>
  <c r="D3961" i="1"/>
  <c r="E3961" i="1"/>
  <c r="F3961" i="1"/>
  <c r="G3961" i="1"/>
  <c r="I3961" i="1"/>
  <c r="J3961" i="1"/>
  <c r="K3961" i="1"/>
  <c r="L3961" i="1"/>
  <c r="M3961" i="1"/>
  <c r="N3961" i="1"/>
  <c r="O3961" i="1"/>
  <c r="P3961" i="1"/>
  <c r="Q3961" i="1"/>
  <c r="R3961" i="1"/>
  <c r="S3961" i="1"/>
  <c r="T3961" i="1"/>
  <c r="U3961" i="1"/>
  <c r="V3961" i="1"/>
  <c r="W3961" i="1"/>
  <c r="X3961" i="1"/>
  <c r="Y3961" i="1"/>
  <c r="Z3961" i="1"/>
  <c r="A3962" i="1"/>
  <c r="B3962" i="1"/>
  <c r="C3962" i="1"/>
  <c r="D3962" i="1"/>
  <c r="E3962" i="1"/>
  <c r="F3962" i="1"/>
  <c r="G3962" i="1"/>
  <c r="I3962" i="1"/>
  <c r="J3962" i="1"/>
  <c r="K3962" i="1"/>
  <c r="L3962" i="1"/>
  <c r="M3962" i="1"/>
  <c r="N3962" i="1"/>
  <c r="O3962" i="1"/>
  <c r="P3962" i="1"/>
  <c r="Q3962" i="1"/>
  <c r="R3962" i="1"/>
  <c r="S3962" i="1"/>
  <c r="T3962" i="1"/>
  <c r="U3962" i="1"/>
  <c r="V3962" i="1"/>
  <c r="W3962" i="1"/>
  <c r="X3962" i="1"/>
  <c r="Y3962" i="1"/>
  <c r="Z3962" i="1"/>
  <c r="A3963" i="1"/>
  <c r="B3963" i="1"/>
  <c r="C3963" i="1"/>
  <c r="D3963" i="1"/>
  <c r="E3963" i="1"/>
  <c r="F3963" i="1"/>
  <c r="G3963" i="1"/>
  <c r="I3963" i="1"/>
  <c r="J3963" i="1"/>
  <c r="K3963" i="1"/>
  <c r="L3963" i="1"/>
  <c r="M3963" i="1"/>
  <c r="N3963" i="1"/>
  <c r="O3963" i="1"/>
  <c r="P3963" i="1"/>
  <c r="Q3963" i="1"/>
  <c r="R3963" i="1"/>
  <c r="S3963" i="1"/>
  <c r="T3963" i="1"/>
  <c r="U3963" i="1"/>
  <c r="V3963" i="1"/>
  <c r="W3963" i="1"/>
  <c r="X3963" i="1"/>
  <c r="Y3963" i="1"/>
  <c r="Z3963" i="1"/>
  <c r="A3964" i="1"/>
  <c r="B3964" i="1"/>
  <c r="C3964" i="1"/>
  <c r="D3964" i="1"/>
  <c r="E3964" i="1"/>
  <c r="F3964" i="1"/>
  <c r="G3964" i="1"/>
  <c r="I3964" i="1"/>
  <c r="J3964" i="1"/>
  <c r="K3964" i="1"/>
  <c r="L3964" i="1"/>
  <c r="M3964" i="1"/>
  <c r="N3964" i="1"/>
  <c r="O3964" i="1"/>
  <c r="P3964" i="1"/>
  <c r="Q3964" i="1"/>
  <c r="R3964" i="1"/>
  <c r="S3964" i="1"/>
  <c r="T3964" i="1"/>
  <c r="U3964" i="1"/>
  <c r="V3964" i="1"/>
  <c r="W3964" i="1"/>
  <c r="X3964" i="1"/>
  <c r="Y3964" i="1"/>
  <c r="Z3964" i="1"/>
  <c r="A3965" i="1"/>
  <c r="B3965" i="1"/>
  <c r="C3965" i="1"/>
  <c r="D3965" i="1"/>
  <c r="E3965" i="1"/>
  <c r="F3965" i="1"/>
  <c r="G3965" i="1"/>
  <c r="I3965" i="1"/>
  <c r="J3965" i="1"/>
  <c r="K3965" i="1"/>
  <c r="L3965" i="1"/>
  <c r="M3965" i="1"/>
  <c r="N3965" i="1"/>
  <c r="O3965" i="1"/>
  <c r="P3965" i="1"/>
  <c r="Q3965" i="1"/>
  <c r="R3965" i="1"/>
  <c r="S3965" i="1"/>
  <c r="T3965" i="1"/>
  <c r="U3965" i="1"/>
  <c r="V3965" i="1"/>
  <c r="W3965" i="1"/>
  <c r="X3965" i="1"/>
  <c r="Y3965" i="1"/>
  <c r="Z3965" i="1"/>
  <c r="A3966" i="1"/>
  <c r="B3966" i="1"/>
  <c r="C3966" i="1"/>
  <c r="D3966" i="1"/>
  <c r="E3966" i="1"/>
  <c r="F3966" i="1"/>
  <c r="G3966" i="1"/>
  <c r="I3966" i="1"/>
  <c r="J3966" i="1"/>
  <c r="K3966" i="1"/>
  <c r="L3966" i="1"/>
  <c r="M3966" i="1"/>
  <c r="N3966" i="1"/>
  <c r="O3966" i="1"/>
  <c r="P3966" i="1"/>
  <c r="Q3966" i="1"/>
  <c r="R3966" i="1"/>
  <c r="S3966" i="1"/>
  <c r="T3966" i="1"/>
  <c r="U3966" i="1"/>
  <c r="V3966" i="1"/>
  <c r="W3966" i="1"/>
  <c r="X3966" i="1"/>
  <c r="Y3966" i="1"/>
  <c r="Z3966" i="1"/>
  <c r="A3967" i="1"/>
  <c r="B3967" i="1"/>
  <c r="C3967" i="1"/>
  <c r="D3967" i="1"/>
  <c r="E3967" i="1"/>
  <c r="F3967" i="1"/>
  <c r="G3967" i="1"/>
  <c r="I3967" i="1"/>
  <c r="J3967" i="1"/>
  <c r="K3967" i="1"/>
  <c r="L3967" i="1"/>
  <c r="M3967" i="1"/>
  <c r="N3967" i="1"/>
  <c r="O3967" i="1"/>
  <c r="P3967" i="1"/>
  <c r="Q3967" i="1"/>
  <c r="R3967" i="1"/>
  <c r="S3967" i="1"/>
  <c r="T3967" i="1"/>
  <c r="U3967" i="1"/>
  <c r="V3967" i="1"/>
  <c r="W3967" i="1"/>
  <c r="X3967" i="1"/>
  <c r="Y3967" i="1"/>
  <c r="Z3967" i="1"/>
  <c r="A3968" i="1"/>
  <c r="B3968" i="1"/>
  <c r="C3968" i="1"/>
  <c r="D3968" i="1"/>
  <c r="E3968" i="1"/>
  <c r="F3968" i="1"/>
  <c r="G3968" i="1"/>
  <c r="I3968" i="1"/>
  <c r="J3968" i="1"/>
  <c r="K3968" i="1"/>
  <c r="L3968" i="1"/>
  <c r="M3968" i="1"/>
  <c r="N3968" i="1"/>
  <c r="O3968" i="1"/>
  <c r="P3968" i="1"/>
  <c r="Q3968" i="1"/>
  <c r="R3968" i="1"/>
  <c r="S3968" i="1"/>
  <c r="T3968" i="1"/>
  <c r="U3968" i="1"/>
  <c r="V3968" i="1"/>
  <c r="W3968" i="1"/>
  <c r="X3968" i="1"/>
  <c r="Y3968" i="1"/>
  <c r="Z3968" i="1"/>
  <c r="A3969" i="1"/>
  <c r="B3969" i="1"/>
  <c r="C3969" i="1"/>
  <c r="D3969" i="1"/>
  <c r="E3969" i="1"/>
  <c r="F3969" i="1"/>
  <c r="G3969" i="1"/>
  <c r="I3969" i="1"/>
  <c r="J3969" i="1"/>
  <c r="K3969" i="1"/>
  <c r="L3969" i="1"/>
  <c r="M3969" i="1"/>
  <c r="N3969" i="1"/>
  <c r="O3969" i="1"/>
  <c r="P3969" i="1"/>
  <c r="Q3969" i="1"/>
  <c r="R3969" i="1"/>
  <c r="S3969" i="1"/>
  <c r="T3969" i="1"/>
  <c r="U3969" i="1"/>
  <c r="V3969" i="1"/>
  <c r="W3969" i="1"/>
  <c r="X3969" i="1"/>
  <c r="Y3969" i="1"/>
  <c r="Z3969" i="1"/>
  <c r="A3970" i="1"/>
  <c r="B3970" i="1"/>
  <c r="C3970" i="1"/>
  <c r="D3970" i="1"/>
  <c r="E3970" i="1"/>
  <c r="F3970" i="1"/>
  <c r="G3970" i="1"/>
  <c r="I3970" i="1"/>
  <c r="J3970" i="1"/>
  <c r="K3970" i="1"/>
  <c r="L3970" i="1"/>
  <c r="M3970" i="1"/>
  <c r="N3970" i="1"/>
  <c r="O3970" i="1"/>
  <c r="P3970" i="1"/>
  <c r="Q3970" i="1"/>
  <c r="R3970" i="1"/>
  <c r="S3970" i="1"/>
  <c r="T3970" i="1"/>
  <c r="U3970" i="1"/>
  <c r="V3970" i="1"/>
  <c r="W3970" i="1"/>
  <c r="X3970" i="1"/>
  <c r="Y3970" i="1"/>
  <c r="Z3970" i="1"/>
  <c r="A3971" i="1"/>
  <c r="B3971" i="1"/>
  <c r="C3971" i="1"/>
  <c r="D3971" i="1"/>
  <c r="E3971" i="1"/>
  <c r="F3971" i="1"/>
  <c r="G3971" i="1"/>
  <c r="I3971" i="1"/>
  <c r="J3971" i="1"/>
  <c r="K3971" i="1"/>
  <c r="L3971" i="1"/>
  <c r="M3971" i="1"/>
  <c r="N3971" i="1"/>
  <c r="O3971" i="1"/>
  <c r="P3971" i="1"/>
  <c r="Q3971" i="1"/>
  <c r="R3971" i="1"/>
  <c r="S3971" i="1"/>
  <c r="T3971" i="1"/>
  <c r="U3971" i="1"/>
  <c r="V3971" i="1"/>
  <c r="W3971" i="1"/>
  <c r="X3971" i="1"/>
  <c r="Y3971" i="1"/>
  <c r="Z3971" i="1"/>
  <c r="A3972" i="1"/>
  <c r="B3972" i="1"/>
  <c r="C3972" i="1"/>
  <c r="D3972" i="1"/>
  <c r="E3972" i="1"/>
  <c r="F3972" i="1"/>
  <c r="G3972" i="1"/>
  <c r="I3972" i="1"/>
  <c r="J3972" i="1"/>
  <c r="K3972" i="1"/>
  <c r="L3972" i="1"/>
  <c r="M3972" i="1"/>
  <c r="N3972" i="1"/>
  <c r="O3972" i="1"/>
  <c r="P3972" i="1"/>
  <c r="Q3972" i="1"/>
  <c r="R3972" i="1"/>
  <c r="S3972" i="1"/>
  <c r="T3972" i="1"/>
  <c r="U3972" i="1"/>
  <c r="V3972" i="1"/>
  <c r="W3972" i="1"/>
  <c r="X3972" i="1"/>
  <c r="Y3972" i="1"/>
  <c r="Z3972" i="1"/>
  <c r="A3973" i="1"/>
  <c r="B3973" i="1"/>
  <c r="C3973" i="1"/>
  <c r="D3973" i="1"/>
  <c r="E3973" i="1"/>
  <c r="F3973" i="1"/>
  <c r="G3973" i="1"/>
  <c r="I3973" i="1"/>
  <c r="J3973" i="1"/>
  <c r="K3973" i="1"/>
  <c r="L3973" i="1"/>
  <c r="M3973" i="1"/>
  <c r="N3973" i="1"/>
  <c r="O3973" i="1"/>
  <c r="P3973" i="1"/>
  <c r="Q3973" i="1"/>
  <c r="R3973" i="1"/>
  <c r="S3973" i="1"/>
  <c r="T3973" i="1"/>
  <c r="U3973" i="1"/>
  <c r="V3973" i="1"/>
  <c r="W3973" i="1"/>
  <c r="X3973" i="1"/>
  <c r="Y3973" i="1"/>
  <c r="Z3973" i="1"/>
  <c r="A3974" i="1"/>
  <c r="B3974" i="1"/>
  <c r="C3974" i="1"/>
  <c r="D3974" i="1"/>
  <c r="E3974" i="1"/>
  <c r="F3974" i="1"/>
  <c r="G3974" i="1"/>
  <c r="I3974" i="1"/>
  <c r="J3974" i="1"/>
  <c r="K3974" i="1"/>
  <c r="L3974" i="1"/>
  <c r="M3974" i="1"/>
  <c r="N3974" i="1"/>
  <c r="O3974" i="1"/>
  <c r="P3974" i="1"/>
  <c r="Q3974" i="1"/>
  <c r="R3974" i="1"/>
  <c r="S3974" i="1"/>
  <c r="T3974" i="1"/>
  <c r="U3974" i="1"/>
  <c r="V3974" i="1"/>
  <c r="W3974" i="1"/>
  <c r="X3974" i="1"/>
  <c r="Y3974" i="1"/>
  <c r="Z3974" i="1"/>
  <c r="A3975" i="1"/>
  <c r="B3975" i="1"/>
  <c r="C3975" i="1"/>
  <c r="D3975" i="1"/>
  <c r="E3975" i="1"/>
  <c r="F3975" i="1"/>
  <c r="G3975" i="1"/>
  <c r="I3975" i="1"/>
  <c r="J3975" i="1"/>
  <c r="K3975" i="1"/>
  <c r="L3975" i="1"/>
  <c r="M3975" i="1"/>
  <c r="N3975" i="1"/>
  <c r="O3975" i="1"/>
  <c r="P3975" i="1"/>
  <c r="Q3975" i="1"/>
  <c r="R3975" i="1"/>
  <c r="S3975" i="1"/>
  <c r="T3975" i="1"/>
  <c r="U3975" i="1"/>
  <c r="V3975" i="1"/>
  <c r="W3975" i="1"/>
  <c r="X3975" i="1"/>
  <c r="Y3975" i="1"/>
  <c r="Z3975" i="1"/>
  <c r="A3976" i="1"/>
  <c r="B3976" i="1"/>
  <c r="C3976" i="1"/>
  <c r="D3976" i="1"/>
  <c r="E3976" i="1"/>
  <c r="F3976" i="1"/>
  <c r="G3976" i="1"/>
  <c r="I3976" i="1"/>
  <c r="J3976" i="1"/>
  <c r="K3976" i="1"/>
  <c r="L3976" i="1"/>
  <c r="M3976" i="1"/>
  <c r="N3976" i="1"/>
  <c r="O3976" i="1"/>
  <c r="P3976" i="1"/>
  <c r="Q3976" i="1"/>
  <c r="R3976" i="1"/>
  <c r="S3976" i="1"/>
  <c r="T3976" i="1"/>
  <c r="U3976" i="1"/>
  <c r="V3976" i="1"/>
  <c r="W3976" i="1"/>
  <c r="X3976" i="1"/>
  <c r="Y3976" i="1"/>
  <c r="Z3976" i="1"/>
  <c r="A3977" i="1"/>
  <c r="B3977" i="1"/>
  <c r="C3977" i="1"/>
  <c r="D3977" i="1"/>
  <c r="E3977" i="1"/>
  <c r="F3977" i="1"/>
  <c r="G3977" i="1"/>
  <c r="I3977" i="1"/>
  <c r="J3977" i="1"/>
  <c r="K3977" i="1"/>
  <c r="L3977" i="1"/>
  <c r="M3977" i="1"/>
  <c r="N3977" i="1"/>
  <c r="O3977" i="1"/>
  <c r="P3977" i="1"/>
  <c r="Q3977" i="1"/>
  <c r="R3977" i="1"/>
  <c r="S3977" i="1"/>
  <c r="T3977" i="1"/>
  <c r="U3977" i="1"/>
  <c r="V3977" i="1"/>
  <c r="W3977" i="1"/>
  <c r="X3977" i="1"/>
  <c r="Y3977" i="1"/>
  <c r="Z3977" i="1"/>
  <c r="A3978" i="1"/>
  <c r="B3978" i="1"/>
  <c r="C3978" i="1"/>
  <c r="D3978" i="1"/>
  <c r="E3978" i="1"/>
  <c r="F3978" i="1"/>
  <c r="G3978" i="1"/>
  <c r="I3978" i="1"/>
  <c r="J3978" i="1"/>
  <c r="K3978" i="1"/>
  <c r="L3978" i="1"/>
  <c r="M3978" i="1"/>
  <c r="N3978" i="1"/>
  <c r="O3978" i="1"/>
  <c r="P3978" i="1"/>
  <c r="Q3978" i="1"/>
  <c r="R3978" i="1"/>
  <c r="S3978" i="1"/>
  <c r="T3978" i="1"/>
  <c r="U3978" i="1"/>
  <c r="V3978" i="1"/>
  <c r="W3978" i="1"/>
  <c r="X3978" i="1"/>
  <c r="Y3978" i="1"/>
  <c r="Z3978" i="1"/>
  <c r="A3979" i="1"/>
  <c r="B3979" i="1"/>
  <c r="C3979" i="1"/>
  <c r="D3979" i="1"/>
  <c r="E3979" i="1"/>
  <c r="F3979" i="1"/>
  <c r="G3979" i="1"/>
  <c r="I3979" i="1"/>
  <c r="J3979" i="1"/>
  <c r="K3979" i="1"/>
  <c r="L3979" i="1"/>
  <c r="M3979" i="1"/>
  <c r="N3979" i="1"/>
  <c r="O3979" i="1"/>
  <c r="P3979" i="1"/>
  <c r="Q3979" i="1"/>
  <c r="R3979" i="1"/>
  <c r="S3979" i="1"/>
  <c r="T3979" i="1"/>
  <c r="U3979" i="1"/>
  <c r="V3979" i="1"/>
  <c r="W3979" i="1"/>
  <c r="X3979" i="1"/>
  <c r="Y3979" i="1"/>
  <c r="Z3979" i="1"/>
  <c r="A3980" i="1"/>
  <c r="B3980" i="1"/>
  <c r="C3980" i="1"/>
  <c r="D3980" i="1"/>
  <c r="E3980" i="1"/>
  <c r="F3980" i="1"/>
  <c r="G3980" i="1"/>
  <c r="I3980" i="1"/>
  <c r="J3980" i="1"/>
  <c r="K3980" i="1"/>
  <c r="L3980" i="1"/>
  <c r="M3980" i="1"/>
  <c r="N3980" i="1"/>
  <c r="O3980" i="1"/>
  <c r="P3980" i="1"/>
  <c r="Q3980" i="1"/>
  <c r="R3980" i="1"/>
  <c r="S3980" i="1"/>
  <c r="T3980" i="1"/>
  <c r="U3980" i="1"/>
  <c r="V3980" i="1"/>
  <c r="W3980" i="1"/>
  <c r="X3980" i="1"/>
  <c r="Y3980" i="1"/>
  <c r="Z3980" i="1"/>
  <c r="A3981" i="1"/>
  <c r="B3981" i="1"/>
  <c r="C3981" i="1"/>
  <c r="D3981" i="1"/>
  <c r="E3981" i="1"/>
  <c r="F3981" i="1"/>
  <c r="G3981" i="1"/>
  <c r="I3981" i="1"/>
  <c r="J3981" i="1"/>
  <c r="K3981" i="1"/>
  <c r="L3981" i="1"/>
  <c r="M3981" i="1"/>
  <c r="N3981" i="1"/>
  <c r="O3981" i="1"/>
  <c r="P3981" i="1"/>
  <c r="Q3981" i="1"/>
  <c r="R3981" i="1"/>
  <c r="S3981" i="1"/>
  <c r="T3981" i="1"/>
  <c r="U3981" i="1"/>
  <c r="V3981" i="1"/>
  <c r="W3981" i="1"/>
  <c r="X3981" i="1"/>
  <c r="Y3981" i="1"/>
  <c r="Z3981" i="1"/>
  <c r="A3982" i="1"/>
  <c r="B3982" i="1"/>
  <c r="C3982" i="1"/>
  <c r="D3982" i="1"/>
  <c r="E3982" i="1"/>
  <c r="F3982" i="1"/>
  <c r="G3982" i="1"/>
  <c r="I3982" i="1"/>
  <c r="J3982" i="1"/>
  <c r="K3982" i="1"/>
  <c r="L3982" i="1"/>
  <c r="M3982" i="1"/>
  <c r="N3982" i="1"/>
  <c r="O3982" i="1"/>
  <c r="P3982" i="1"/>
  <c r="Q3982" i="1"/>
  <c r="R3982" i="1"/>
  <c r="S3982" i="1"/>
  <c r="T3982" i="1"/>
  <c r="U3982" i="1"/>
  <c r="V3982" i="1"/>
  <c r="W3982" i="1"/>
  <c r="X3982" i="1"/>
  <c r="Y3982" i="1"/>
  <c r="Z3982" i="1"/>
  <c r="A3983" i="1"/>
  <c r="B3983" i="1"/>
  <c r="C3983" i="1"/>
  <c r="D3983" i="1"/>
  <c r="E3983" i="1"/>
  <c r="F3983" i="1"/>
  <c r="G3983" i="1"/>
  <c r="I3983" i="1"/>
  <c r="J3983" i="1"/>
  <c r="K3983" i="1"/>
  <c r="L3983" i="1"/>
  <c r="M3983" i="1"/>
  <c r="N3983" i="1"/>
  <c r="O3983" i="1"/>
  <c r="P3983" i="1"/>
  <c r="Q3983" i="1"/>
  <c r="R3983" i="1"/>
  <c r="S3983" i="1"/>
  <c r="T3983" i="1"/>
  <c r="U3983" i="1"/>
  <c r="V3983" i="1"/>
  <c r="W3983" i="1"/>
  <c r="X3983" i="1"/>
  <c r="Y3983" i="1"/>
  <c r="Z3983" i="1"/>
  <c r="A3984" i="1"/>
  <c r="B3984" i="1"/>
  <c r="C3984" i="1"/>
  <c r="D3984" i="1"/>
  <c r="E3984" i="1"/>
  <c r="F3984" i="1"/>
  <c r="G3984" i="1"/>
  <c r="I3984" i="1"/>
  <c r="J3984" i="1"/>
  <c r="K3984" i="1"/>
  <c r="L3984" i="1"/>
  <c r="M3984" i="1"/>
  <c r="N3984" i="1"/>
  <c r="O3984" i="1"/>
  <c r="P3984" i="1"/>
  <c r="Q3984" i="1"/>
  <c r="R3984" i="1"/>
  <c r="S3984" i="1"/>
  <c r="T3984" i="1"/>
  <c r="U3984" i="1"/>
  <c r="V3984" i="1"/>
  <c r="W3984" i="1"/>
  <c r="X3984" i="1"/>
  <c r="Y3984" i="1"/>
  <c r="Z3984" i="1"/>
  <c r="A3985" i="1"/>
  <c r="B3985" i="1"/>
  <c r="C3985" i="1"/>
  <c r="D3985" i="1"/>
  <c r="E3985" i="1"/>
  <c r="F3985" i="1"/>
  <c r="G3985" i="1"/>
  <c r="I3985" i="1"/>
  <c r="J3985" i="1"/>
  <c r="K3985" i="1"/>
  <c r="L3985" i="1"/>
  <c r="M3985" i="1"/>
  <c r="N3985" i="1"/>
  <c r="O3985" i="1"/>
  <c r="P3985" i="1"/>
  <c r="Q3985" i="1"/>
  <c r="R3985" i="1"/>
  <c r="S3985" i="1"/>
  <c r="T3985" i="1"/>
  <c r="U3985" i="1"/>
  <c r="V3985" i="1"/>
  <c r="W3985" i="1"/>
  <c r="X3985" i="1"/>
  <c r="Y3985" i="1"/>
  <c r="Z3985" i="1"/>
  <c r="A3986" i="1"/>
  <c r="B3986" i="1"/>
  <c r="C3986" i="1"/>
  <c r="D3986" i="1"/>
  <c r="E3986" i="1"/>
  <c r="F3986" i="1"/>
  <c r="G3986" i="1"/>
  <c r="I3986" i="1"/>
  <c r="J3986" i="1"/>
  <c r="K3986" i="1"/>
  <c r="L3986" i="1"/>
  <c r="M3986" i="1"/>
  <c r="N3986" i="1"/>
  <c r="O3986" i="1"/>
  <c r="P3986" i="1"/>
  <c r="Q3986" i="1"/>
  <c r="R3986" i="1"/>
  <c r="S3986" i="1"/>
  <c r="T3986" i="1"/>
  <c r="U3986" i="1"/>
  <c r="V3986" i="1"/>
  <c r="W3986" i="1"/>
  <c r="X3986" i="1"/>
  <c r="Y3986" i="1"/>
  <c r="Z3986" i="1"/>
  <c r="A3987" i="1"/>
  <c r="B3987" i="1"/>
  <c r="C3987" i="1"/>
  <c r="D3987" i="1"/>
  <c r="E3987" i="1"/>
  <c r="F3987" i="1"/>
  <c r="G3987" i="1"/>
  <c r="I3987" i="1"/>
  <c r="J3987" i="1"/>
  <c r="K3987" i="1"/>
  <c r="L3987" i="1"/>
  <c r="M3987" i="1"/>
  <c r="N3987" i="1"/>
  <c r="O3987" i="1"/>
  <c r="P3987" i="1"/>
  <c r="Q3987" i="1"/>
  <c r="R3987" i="1"/>
  <c r="S3987" i="1"/>
  <c r="T3987" i="1"/>
  <c r="U3987" i="1"/>
  <c r="V3987" i="1"/>
  <c r="W3987" i="1"/>
  <c r="X3987" i="1"/>
  <c r="Y3987" i="1"/>
  <c r="Z3987" i="1"/>
  <c r="A3988" i="1"/>
  <c r="B3988" i="1"/>
  <c r="C3988" i="1"/>
  <c r="D3988" i="1"/>
  <c r="E3988" i="1"/>
  <c r="F3988" i="1"/>
  <c r="G3988" i="1"/>
  <c r="I3988" i="1"/>
  <c r="J3988" i="1"/>
  <c r="K3988" i="1"/>
  <c r="L3988" i="1"/>
  <c r="M3988" i="1"/>
  <c r="N3988" i="1"/>
  <c r="O3988" i="1"/>
  <c r="P3988" i="1"/>
  <c r="Q3988" i="1"/>
  <c r="R3988" i="1"/>
  <c r="S3988" i="1"/>
  <c r="T3988" i="1"/>
  <c r="U3988" i="1"/>
  <c r="V3988" i="1"/>
  <c r="W3988" i="1"/>
  <c r="X3988" i="1"/>
  <c r="Y3988" i="1"/>
  <c r="Z3988" i="1"/>
  <c r="A3989" i="1"/>
  <c r="B3989" i="1"/>
  <c r="C3989" i="1"/>
  <c r="D3989" i="1"/>
  <c r="E3989" i="1"/>
  <c r="F3989" i="1"/>
  <c r="G3989" i="1"/>
  <c r="I3989" i="1"/>
  <c r="J3989" i="1"/>
  <c r="K3989" i="1"/>
  <c r="L3989" i="1"/>
  <c r="M3989" i="1"/>
  <c r="N3989" i="1"/>
  <c r="O3989" i="1"/>
  <c r="P3989" i="1"/>
  <c r="Q3989" i="1"/>
  <c r="R3989" i="1"/>
  <c r="S3989" i="1"/>
  <c r="T3989" i="1"/>
  <c r="U3989" i="1"/>
  <c r="V3989" i="1"/>
  <c r="W3989" i="1"/>
  <c r="X3989" i="1"/>
  <c r="Y3989" i="1"/>
  <c r="Z3989" i="1"/>
  <c r="A3990" i="1"/>
  <c r="B3990" i="1"/>
  <c r="C3990" i="1"/>
  <c r="D3990" i="1"/>
  <c r="E3990" i="1"/>
  <c r="F3990" i="1"/>
  <c r="G3990" i="1"/>
  <c r="I3990" i="1"/>
  <c r="J3990" i="1"/>
  <c r="K3990" i="1"/>
  <c r="L3990" i="1"/>
  <c r="M3990" i="1"/>
  <c r="N3990" i="1"/>
  <c r="O3990" i="1"/>
  <c r="P3990" i="1"/>
  <c r="Q3990" i="1"/>
  <c r="R3990" i="1"/>
  <c r="S3990" i="1"/>
  <c r="T3990" i="1"/>
  <c r="U3990" i="1"/>
  <c r="V3990" i="1"/>
  <c r="W3990" i="1"/>
  <c r="X3990" i="1"/>
  <c r="Y3990" i="1"/>
  <c r="Z3990" i="1"/>
  <c r="A3991" i="1"/>
  <c r="B3991" i="1"/>
  <c r="C3991" i="1"/>
  <c r="D3991" i="1"/>
  <c r="E3991" i="1"/>
  <c r="F3991" i="1"/>
  <c r="G3991" i="1"/>
  <c r="I3991" i="1"/>
  <c r="J3991" i="1"/>
  <c r="K3991" i="1"/>
  <c r="L3991" i="1"/>
  <c r="M3991" i="1"/>
  <c r="N3991" i="1"/>
  <c r="O3991" i="1"/>
  <c r="P3991" i="1"/>
  <c r="Q3991" i="1"/>
  <c r="R3991" i="1"/>
  <c r="S3991" i="1"/>
  <c r="T3991" i="1"/>
  <c r="U3991" i="1"/>
  <c r="V3991" i="1"/>
  <c r="W3991" i="1"/>
  <c r="X3991" i="1"/>
  <c r="Y3991" i="1"/>
  <c r="Z3991" i="1"/>
  <c r="A3992" i="1"/>
  <c r="B3992" i="1"/>
  <c r="C3992" i="1"/>
  <c r="D3992" i="1"/>
  <c r="E3992" i="1"/>
  <c r="F3992" i="1"/>
  <c r="G3992" i="1"/>
  <c r="I3992" i="1"/>
  <c r="J3992" i="1"/>
  <c r="K3992" i="1"/>
  <c r="L3992" i="1"/>
  <c r="M3992" i="1"/>
  <c r="N3992" i="1"/>
  <c r="O3992" i="1"/>
  <c r="P3992" i="1"/>
  <c r="Q3992" i="1"/>
  <c r="R3992" i="1"/>
  <c r="S3992" i="1"/>
  <c r="T3992" i="1"/>
  <c r="U3992" i="1"/>
  <c r="V3992" i="1"/>
  <c r="W3992" i="1"/>
  <c r="X3992" i="1"/>
  <c r="Y3992" i="1"/>
  <c r="Z3992" i="1"/>
  <c r="A3993" i="1"/>
  <c r="B3993" i="1"/>
  <c r="C3993" i="1"/>
  <c r="D3993" i="1"/>
  <c r="E3993" i="1"/>
  <c r="F3993" i="1"/>
  <c r="G3993" i="1"/>
  <c r="I3993" i="1"/>
  <c r="J3993" i="1"/>
  <c r="K3993" i="1"/>
  <c r="L3993" i="1"/>
  <c r="M3993" i="1"/>
  <c r="N3993" i="1"/>
  <c r="O3993" i="1"/>
  <c r="P3993" i="1"/>
  <c r="Q3993" i="1"/>
  <c r="R3993" i="1"/>
  <c r="S3993" i="1"/>
  <c r="T3993" i="1"/>
  <c r="U3993" i="1"/>
  <c r="V3993" i="1"/>
  <c r="W3993" i="1"/>
  <c r="X3993" i="1"/>
  <c r="Y3993" i="1"/>
  <c r="Z3993" i="1"/>
  <c r="A3994" i="1"/>
  <c r="B3994" i="1"/>
  <c r="C3994" i="1"/>
  <c r="D3994" i="1"/>
  <c r="E3994" i="1"/>
  <c r="F3994" i="1"/>
  <c r="G3994" i="1"/>
  <c r="I3994" i="1"/>
  <c r="J3994" i="1"/>
  <c r="K3994" i="1"/>
  <c r="L3994" i="1"/>
  <c r="M3994" i="1"/>
  <c r="N3994" i="1"/>
  <c r="O3994" i="1"/>
  <c r="P3994" i="1"/>
  <c r="Q3994" i="1"/>
  <c r="R3994" i="1"/>
  <c r="S3994" i="1"/>
  <c r="T3994" i="1"/>
  <c r="U3994" i="1"/>
  <c r="V3994" i="1"/>
  <c r="W3994" i="1"/>
  <c r="X3994" i="1"/>
  <c r="Y3994" i="1"/>
  <c r="Z3994" i="1"/>
  <c r="A3995" i="1"/>
  <c r="B3995" i="1"/>
  <c r="C3995" i="1"/>
  <c r="D3995" i="1"/>
  <c r="E3995" i="1"/>
  <c r="F3995" i="1"/>
  <c r="G3995" i="1"/>
  <c r="I3995" i="1"/>
  <c r="J3995" i="1"/>
  <c r="K3995" i="1"/>
  <c r="L3995" i="1"/>
  <c r="M3995" i="1"/>
  <c r="N3995" i="1"/>
  <c r="O3995" i="1"/>
  <c r="P3995" i="1"/>
  <c r="Q3995" i="1"/>
  <c r="R3995" i="1"/>
  <c r="S3995" i="1"/>
  <c r="T3995" i="1"/>
  <c r="U3995" i="1"/>
  <c r="V3995" i="1"/>
  <c r="W3995" i="1"/>
  <c r="X3995" i="1"/>
  <c r="Y3995" i="1"/>
  <c r="Z3995" i="1"/>
  <c r="A3996" i="1"/>
  <c r="B3996" i="1"/>
  <c r="C3996" i="1"/>
  <c r="D3996" i="1"/>
  <c r="E3996" i="1"/>
  <c r="F3996" i="1"/>
  <c r="G3996" i="1"/>
  <c r="I3996" i="1"/>
  <c r="J3996" i="1"/>
  <c r="K3996" i="1"/>
  <c r="L3996" i="1"/>
  <c r="M3996" i="1"/>
  <c r="N3996" i="1"/>
  <c r="O3996" i="1"/>
  <c r="P3996" i="1"/>
  <c r="Q3996" i="1"/>
  <c r="R3996" i="1"/>
  <c r="S3996" i="1"/>
  <c r="T3996" i="1"/>
  <c r="U3996" i="1"/>
  <c r="V3996" i="1"/>
  <c r="W3996" i="1"/>
  <c r="X3996" i="1"/>
  <c r="Y3996" i="1"/>
  <c r="Z3996" i="1"/>
  <c r="A3997" i="1"/>
  <c r="B3997" i="1"/>
  <c r="C3997" i="1"/>
  <c r="D3997" i="1"/>
  <c r="E3997" i="1"/>
  <c r="F3997" i="1"/>
  <c r="G3997" i="1"/>
  <c r="I3997" i="1"/>
  <c r="J3997" i="1"/>
  <c r="K3997" i="1"/>
  <c r="L3997" i="1"/>
  <c r="M3997" i="1"/>
  <c r="N3997" i="1"/>
  <c r="O3997" i="1"/>
  <c r="P3997" i="1"/>
  <c r="Q3997" i="1"/>
  <c r="R3997" i="1"/>
  <c r="S3997" i="1"/>
  <c r="T3997" i="1"/>
  <c r="U3997" i="1"/>
  <c r="V3997" i="1"/>
  <c r="W3997" i="1"/>
  <c r="X3997" i="1"/>
  <c r="Y3997" i="1"/>
  <c r="Z3997" i="1"/>
  <c r="A3998" i="1"/>
  <c r="B3998" i="1"/>
  <c r="C3998" i="1"/>
  <c r="D3998" i="1"/>
  <c r="E3998" i="1"/>
  <c r="F3998" i="1"/>
  <c r="G3998" i="1"/>
  <c r="I3998" i="1"/>
  <c r="J3998" i="1"/>
  <c r="K3998" i="1"/>
  <c r="L3998" i="1"/>
  <c r="M3998" i="1"/>
  <c r="N3998" i="1"/>
  <c r="O3998" i="1"/>
  <c r="P3998" i="1"/>
  <c r="Q3998" i="1"/>
  <c r="R3998" i="1"/>
  <c r="S3998" i="1"/>
  <c r="T3998" i="1"/>
  <c r="U3998" i="1"/>
  <c r="V3998" i="1"/>
  <c r="W3998" i="1"/>
  <c r="X3998" i="1"/>
  <c r="Y3998" i="1"/>
  <c r="Z3998" i="1"/>
  <c r="A3999" i="1"/>
  <c r="B3999" i="1"/>
  <c r="C3999" i="1"/>
  <c r="D3999" i="1"/>
  <c r="E3999" i="1"/>
  <c r="F3999" i="1"/>
  <c r="G3999" i="1"/>
  <c r="I3999" i="1"/>
  <c r="J3999" i="1"/>
  <c r="K3999" i="1"/>
  <c r="L3999" i="1"/>
  <c r="M3999" i="1"/>
  <c r="N3999" i="1"/>
  <c r="O3999" i="1"/>
  <c r="P3999" i="1"/>
  <c r="Q3999" i="1"/>
  <c r="R3999" i="1"/>
  <c r="S3999" i="1"/>
  <c r="T3999" i="1"/>
  <c r="U3999" i="1"/>
  <c r="V3999" i="1"/>
  <c r="W3999" i="1"/>
  <c r="X3999" i="1"/>
  <c r="Y3999" i="1"/>
  <c r="Z3999" i="1"/>
  <c r="A4000" i="1"/>
  <c r="B4000" i="1"/>
  <c r="C4000" i="1"/>
  <c r="D4000" i="1"/>
  <c r="E4000" i="1"/>
  <c r="F4000" i="1"/>
  <c r="G4000" i="1"/>
  <c r="I4000" i="1"/>
  <c r="J4000" i="1"/>
  <c r="K4000" i="1"/>
  <c r="L4000" i="1"/>
  <c r="M4000" i="1"/>
  <c r="N4000" i="1"/>
  <c r="O4000" i="1"/>
  <c r="P4000" i="1"/>
  <c r="Q4000" i="1"/>
  <c r="R4000" i="1"/>
  <c r="S4000" i="1"/>
  <c r="T4000" i="1"/>
  <c r="U4000" i="1"/>
  <c r="V4000" i="1"/>
  <c r="W4000" i="1"/>
  <c r="X4000" i="1"/>
  <c r="Y4000" i="1"/>
  <c r="Z4000" i="1"/>
  <c r="A4001" i="1"/>
  <c r="B4001" i="1"/>
  <c r="C4001" i="1"/>
  <c r="D4001" i="1"/>
  <c r="E4001" i="1"/>
  <c r="F4001" i="1"/>
  <c r="G4001" i="1"/>
  <c r="I4001" i="1"/>
  <c r="J4001" i="1"/>
  <c r="K4001" i="1"/>
  <c r="L4001" i="1"/>
  <c r="M4001" i="1"/>
  <c r="N4001" i="1"/>
  <c r="O4001" i="1"/>
  <c r="P4001" i="1"/>
  <c r="Q4001" i="1"/>
  <c r="R4001" i="1"/>
  <c r="S4001" i="1"/>
  <c r="T4001" i="1"/>
  <c r="U4001" i="1"/>
  <c r="V4001" i="1"/>
  <c r="W4001" i="1"/>
  <c r="X4001" i="1"/>
  <c r="Y4001" i="1"/>
  <c r="Z4001" i="1"/>
  <c r="A4002" i="1"/>
  <c r="B4002" i="1"/>
  <c r="C4002" i="1"/>
  <c r="D4002" i="1"/>
  <c r="E4002" i="1"/>
  <c r="F4002" i="1"/>
  <c r="G4002" i="1"/>
  <c r="I4002" i="1"/>
  <c r="J4002" i="1"/>
  <c r="K4002" i="1"/>
  <c r="L4002" i="1"/>
  <c r="M4002" i="1"/>
  <c r="N4002" i="1"/>
  <c r="O4002" i="1"/>
  <c r="P4002" i="1"/>
  <c r="Q4002" i="1"/>
  <c r="R4002" i="1"/>
  <c r="S4002" i="1"/>
  <c r="T4002" i="1"/>
  <c r="U4002" i="1"/>
  <c r="V4002" i="1"/>
  <c r="W4002" i="1"/>
  <c r="X4002" i="1"/>
  <c r="Y4002" i="1"/>
  <c r="Z4002" i="1"/>
  <c r="A4003" i="1"/>
  <c r="B4003" i="1"/>
  <c r="C4003" i="1"/>
  <c r="D4003" i="1"/>
  <c r="E4003" i="1"/>
  <c r="F4003" i="1"/>
  <c r="G4003" i="1"/>
  <c r="I4003" i="1"/>
  <c r="J4003" i="1"/>
  <c r="K4003" i="1"/>
  <c r="L4003" i="1"/>
  <c r="M4003" i="1"/>
  <c r="N4003" i="1"/>
  <c r="O4003" i="1"/>
  <c r="P4003" i="1"/>
  <c r="Q4003" i="1"/>
  <c r="R4003" i="1"/>
  <c r="S4003" i="1"/>
  <c r="T4003" i="1"/>
  <c r="U4003" i="1"/>
  <c r="V4003" i="1"/>
  <c r="W4003" i="1"/>
  <c r="X4003" i="1"/>
  <c r="Y4003" i="1"/>
  <c r="Z4003" i="1"/>
  <c r="A4004" i="1"/>
  <c r="B4004" i="1"/>
  <c r="C4004" i="1"/>
  <c r="D4004" i="1"/>
  <c r="E4004" i="1"/>
  <c r="F4004" i="1"/>
  <c r="G4004" i="1"/>
  <c r="I4004" i="1"/>
  <c r="J4004" i="1"/>
  <c r="K4004" i="1"/>
  <c r="L4004" i="1"/>
  <c r="M4004" i="1"/>
  <c r="N4004" i="1"/>
  <c r="O4004" i="1"/>
  <c r="P4004" i="1"/>
  <c r="Q4004" i="1"/>
  <c r="R4004" i="1"/>
  <c r="S4004" i="1"/>
  <c r="T4004" i="1"/>
  <c r="U4004" i="1"/>
  <c r="V4004" i="1"/>
  <c r="W4004" i="1"/>
  <c r="X4004" i="1"/>
  <c r="Y4004" i="1"/>
  <c r="Z4004" i="1"/>
  <c r="A4005" i="1"/>
  <c r="B4005" i="1"/>
  <c r="C4005" i="1"/>
  <c r="D4005" i="1"/>
  <c r="E4005" i="1"/>
  <c r="F4005" i="1"/>
  <c r="G4005" i="1"/>
  <c r="I4005" i="1"/>
  <c r="J4005" i="1"/>
  <c r="K4005" i="1"/>
  <c r="L4005" i="1"/>
  <c r="M4005" i="1"/>
  <c r="N4005" i="1"/>
  <c r="O4005" i="1"/>
  <c r="P4005" i="1"/>
  <c r="Q4005" i="1"/>
  <c r="R4005" i="1"/>
  <c r="S4005" i="1"/>
  <c r="T4005" i="1"/>
  <c r="U4005" i="1"/>
  <c r="V4005" i="1"/>
  <c r="W4005" i="1"/>
  <c r="X4005" i="1"/>
  <c r="Y4005" i="1"/>
  <c r="Z4005" i="1"/>
  <c r="A4006" i="1"/>
  <c r="B4006" i="1"/>
  <c r="C4006" i="1"/>
  <c r="D4006" i="1"/>
  <c r="E4006" i="1"/>
  <c r="F4006" i="1"/>
  <c r="G4006" i="1"/>
  <c r="I4006" i="1"/>
  <c r="J4006" i="1"/>
  <c r="K4006" i="1"/>
  <c r="L4006" i="1"/>
  <c r="M4006" i="1"/>
  <c r="N4006" i="1"/>
  <c r="O4006" i="1"/>
  <c r="P4006" i="1"/>
  <c r="Q4006" i="1"/>
  <c r="R4006" i="1"/>
  <c r="S4006" i="1"/>
  <c r="T4006" i="1"/>
  <c r="U4006" i="1"/>
  <c r="V4006" i="1"/>
  <c r="W4006" i="1"/>
  <c r="X4006" i="1"/>
  <c r="Y4006" i="1"/>
  <c r="Z4006" i="1"/>
  <c r="A4007" i="1"/>
  <c r="B4007" i="1"/>
  <c r="C4007" i="1"/>
  <c r="D4007" i="1"/>
  <c r="E4007" i="1"/>
  <c r="F4007" i="1"/>
  <c r="G4007" i="1"/>
  <c r="I4007" i="1"/>
  <c r="J4007" i="1"/>
  <c r="K4007" i="1"/>
  <c r="L4007" i="1"/>
  <c r="M4007" i="1"/>
  <c r="N4007" i="1"/>
  <c r="O4007" i="1"/>
  <c r="P4007" i="1"/>
  <c r="Q4007" i="1"/>
  <c r="R4007" i="1"/>
  <c r="S4007" i="1"/>
  <c r="T4007" i="1"/>
  <c r="U4007" i="1"/>
  <c r="V4007" i="1"/>
  <c r="W4007" i="1"/>
  <c r="X4007" i="1"/>
  <c r="Y4007" i="1"/>
  <c r="Z4007" i="1"/>
  <c r="A4008" i="1"/>
  <c r="B4008" i="1"/>
  <c r="C4008" i="1"/>
  <c r="D4008" i="1"/>
  <c r="E4008" i="1"/>
  <c r="F4008" i="1"/>
  <c r="G4008" i="1"/>
  <c r="I4008" i="1"/>
  <c r="J4008" i="1"/>
  <c r="K4008" i="1"/>
  <c r="L4008" i="1"/>
  <c r="M4008" i="1"/>
  <c r="N4008" i="1"/>
  <c r="O4008" i="1"/>
  <c r="P4008" i="1"/>
  <c r="Q4008" i="1"/>
  <c r="R4008" i="1"/>
  <c r="S4008" i="1"/>
  <c r="T4008" i="1"/>
  <c r="U4008" i="1"/>
  <c r="V4008" i="1"/>
  <c r="W4008" i="1"/>
  <c r="X4008" i="1"/>
  <c r="Y4008" i="1"/>
  <c r="Z4008" i="1"/>
  <c r="A4009" i="1"/>
  <c r="B4009" i="1"/>
  <c r="C4009" i="1"/>
  <c r="D4009" i="1"/>
  <c r="E4009" i="1"/>
  <c r="F4009" i="1"/>
  <c r="G4009" i="1"/>
  <c r="I4009" i="1"/>
  <c r="J4009" i="1"/>
  <c r="K4009" i="1"/>
  <c r="L4009" i="1"/>
  <c r="M4009" i="1"/>
  <c r="N4009" i="1"/>
  <c r="O4009" i="1"/>
  <c r="P4009" i="1"/>
  <c r="Q4009" i="1"/>
  <c r="R4009" i="1"/>
  <c r="S4009" i="1"/>
  <c r="T4009" i="1"/>
  <c r="U4009" i="1"/>
  <c r="V4009" i="1"/>
  <c r="W4009" i="1"/>
  <c r="X4009" i="1"/>
  <c r="Y4009" i="1"/>
  <c r="Z4009" i="1"/>
  <c r="A4010" i="1"/>
  <c r="B4010" i="1"/>
  <c r="C4010" i="1"/>
  <c r="D4010" i="1"/>
  <c r="E4010" i="1"/>
  <c r="F4010" i="1"/>
  <c r="G4010" i="1"/>
  <c r="I4010" i="1"/>
  <c r="J4010" i="1"/>
  <c r="K4010" i="1"/>
  <c r="L4010" i="1"/>
  <c r="M4010" i="1"/>
  <c r="N4010" i="1"/>
  <c r="O4010" i="1"/>
  <c r="P4010" i="1"/>
  <c r="Q4010" i="1"/>
  <c r="R4010" i="1"/>
  <c r="S4010" i="1"/>
  <c r="T4010" i="1"/>
  <c r="U4010" i="1"/>
  <c r="V4010" i="1"/>
  <c r="W4010" i="1"/>
  <c r="X4010" i="1"/>
  <c r="Y4010" i="1"/>
  <c r="Z4010" i="1"/>
  <c r="A4011" i="1"/>
  <c r="B4011" i="1"/>
  <c r="C4011" i="1"/>
  <c r="D4011" i="1"/>
  <c r="E4011" i="1"/>
  <c r="F4011" i="1"/>
  <c r="G4011" i="1"/>
  <c r="I4011" i="1"/>
  <c r="J4011" i="1"/>
  <c r="K4011" i="1"/>
  <c r="L4011" i="1"/>
  <c r="M4011" i="1"/>
  <c r="N4011" i="1"/>
  <c r="O4011" i="1"/>
  <c r="P4011" i="1"/>
  <c r="Q4011" i="1"/>
  <c r="R4011" i="1"/>
  <c r="S4011" i="1"/>
  <c r="T4011" i="1"/>
  <c r="U4011" i="1"/>
  <c r="V4011" i="1"/>
  <c r="W4011" i="1"/>
  <c r="X4011" i="1"/>
  <c r="Y4011" i="1"/>
  <c r="Z4011" i="1"/>
  <c r="A4012" i="1"/>
  <c r="B4012" i="1"/>
  <c r="C4012" i="1"/>
  <c r="D4012" i="1"/>
  <c r="E4012" i="1"/>
  <c r="F4012" i="1"/>
  <c r="G4012" i="1"/>
  <c r="I4012" i="1"/>
  <c r="J4012" i="1"/>
  <c r="K4012" i="1"/>
  <c r="L4012" i="1"/>
  <c r="M4012" i="1"/>
  <c r="N4012" i="1"/>
  <c r="O4012" i="1"/>
  <c r="P4012" i="1"/>
  <c r="Q4012" i="1"/>
  <c r="R4012" i="1"/>
  <c r="S4012" i="1"/>
  <c r="T4012" i="1"/>
  <c r="U4012" i="1"/>
  <c r="V4012" i="1"/>
  <c r="W4012" i="1"/>
  <c r="X4012" i="1"/>
  <c r="Y4012" i="1"/>
  <c r="Z4012" i="1"/>
  <c r="A4013" i="1"/>
  <c r="B4013" i="1"/>
  <c r="C4013" i="1"/>
  <c r="D4013" i="1"/>
  <c r="E4013" i="1"/>
  <c r="F4013" i="1"/>
  <c r="G4013" i="1"/>
  <c r="I4013" i="1"/>
  <c r="J4013" i="1"/>
  <c r="K4013" i="1"/>
  <c r="L4013" i="1"/>
  <c r="M4013" i="1"/>
  <c r="N4013" i="1"/>
  <c r="O4013" i="1"/>
  <c r="P4013" i="1"/>
  <c r="Q4013" i="1"/>
  <c r="R4013" i="1"/>
  <c r="S4013" i="1"/>
  <c r="T4013" i="1"/>
  <c r="U4013" i="1"/>
  <c r="V4013" i="1"/>
  <c r="W4013" i="1"/>
  <c r="X4013" i="1"/>
  <c r="Y4013" i="1"/>
  <c r="Z4013" i="1"/>
  <c r="A4014" i="1"/>
  <c r="B4014" i="1"/>
  <c r="C4014" i="1"/>
  <c r="D4014" i="1"/>
  <c r="E4014" i="1"/>
  <c r="F4014" i="1"/>
  <c r="G4014" i="1"/>
  <c r="I4014" i="1"/>
  <c r="J4014" i="1"/>
  <c r="K4014" i="1"/>
  <c r="L4014" i="1"/>
  <c r="M4014" i="1"/>
  <c r="N4014" i="1"/>
  <c r="O4014" i="1"/>
  <c r="P4014" i="1"/>
  <c r="Q4014" i="1"/>
  <c r="R4014" i="1"/>
  <c r="S4014" i="1"/>
  <c r="T4014" i="1"/>
  <c r="U4014" i="1"/>
  <c r="V4014" i="1"/>
  <c r="W4014" i="1"/>
  <c r="X4014" i="1"/>
  <c r="Y4014" i="1"/>
  <c r="Z4014" i="1"/>
  <c r="A4015" i="1"/>
  <c r="B4015" i="1"/>
  <c r="C4015" i="1"/>
  <c r="D4015" i="1"/>
  <c r="E4015" i="1"/>
  <c r="F4015" i="1"/>
  <c r="G4015" i="1"/>
  <c r="I4015" i="1"/>
  <c r="J4015" i="1"/>
  <c r="K4015" i="1"/>
  <c r="L4015" i="1"/>
  <c r="M4015" i="1"/>
  <c r="N4015" i="1"/>
  <c r="O4015" i="1"/>
  <c r="P4015" i="1"/>
  <c r="Q4015" i="1"/>
  <c r="R4015" i="1"/>
  <c r="S4015" i="1"/>
  <c r="T4015" i="1"/>
  <c r="U4015" i="1"/>
  <c r="V4015" i="1"/>
  <c r="W4015" i="1"/>
  <c r="X4015" i="1"/>
  <c r="Y4015" i="1"/>
  <c r="Z4015" i="1"/>
  <c r="A4016" i="1"/>
  <c r="B4016" i="1"/>
  <c r="C4016" i="1"/>
  <c r="D4016" i="1"/>
  <c r="E4016" i="1"/>
  <c r="F4016" i="1"/>
  <c r="G4016" i="1"/>
  <c r="I4016" i="1"/>
  <c r="J4016" i="1"/>
  <c r="K4016" i="1"/>
  <c r="L4016" i="1"/>
  <c r="M4016" i="1"/>
  <c r="N4016" i="1"/>
  <c r="O4016" i="1"/>
  <c r="P4016" i="1"/>
  <c r="Q4016" i="1"/>
  <c r="R4016" i="1"/>
  <c r="S4016" i="1"/>
  <c r="T4016" i="1"/>
  <c r="U4016" i="1"/>
  <c r="V4016" i="1"/>
  <c r="W4016" i="1"/>
  <c r="X4016" i="1"/>
  <c r="Y4016" i="1"/>
  <c r="Z4016" i="1"/>
  <c r="A4017" i="1"/>
  <c r="B4017" i="1"/>
  <c r="C4017" i="1"/>
  <c r="D4017" i="1"/>
  <c r="E4017" i="1"/>
  <c r="F4017" i="1"/>
  <c r="G4017" i="1"/>
  <c r="I4017" i="1"/>
  <c r="J4017" i="1"/>
  <c r="K4017" i="1"/>
  <c r="L4017" i="1"/>
  <c r="M4017" i="1"/>
  <c r="N4017" i="1"/>
  <c r="O4017" i="1"/>
  <c r="P4017" i="1"/>
  <c r="Q4017" i="1"/>
  <c r="R4017" i="1"/>
  <c r="S4017" i="1"/>
  <c r="T4017" i="1"/>
  <c r="U4017" i="1"/>
  <c r="V4017" i="1"/>
  <c r="W4017" i="1"/>
  <c r="X4017" i="1"/>
  <c r="Y4017" i="1"/>
  <c r="Z4017" i="1"/>
  <c r="A4018" i="1"/>
  <c r="B4018" i="1"/>
  <c r="C4018" i="1"/>
  <c r="D4018" i="1"/>
  <c r="E4018" i="1"/>
  <c r="F4018" i="1"/>
  <c r="G4018" i="1"/>
  <c r="I4018" i="1"/>
  <c r="J4018" i="1"/>
  <c r="K4018" i="1"/>
  <c r="L4018" i="1"/>
  <c r="M4018" i="1"/>
  <c r="N4018" i="1"/>
  <c r="O4018" i="1"/>
  <c r="P4018" i="1"/>
  <c r="Q4018" i="1"/>
  <c r="R4018" i="1"/>
  <c r="S4018" i="1"/>
  <c r="T4018" i="1"/>
  <c r="U4018" i="1"/>
  <c r="V4018" i="1"/>
  <c r="W4018" i="1"/>
  <c r="X4018" i="1"/>
  <c r="Y4018" i="1"/>
  <c r="Z4018" i="1"/>
  <c r="A4019" i="1"/>
  <c r="B4019" i="1"/>
  <c r="C4019" i="1"/>
  <c r="D4019" i="1"/>
  <c r="E4019" i="1"/>
  <c r="F4019" i="1"/>
  <c r="G4019" i="1"/>
  <c r="I4019" i="1"/>
  <c r="J4019" i="1"/>
  <c r="K4019" i="1"/>
  <c r="L4019" i="1"/>
  <c r="M4019" i="1"/>
  <c r="N4019" i="1"/>
  <c r="O4019" i="1"/>
  <c r="P4019" i="1"/>
  <c r="Q4019" i="1"/>
  <c r="R4019" i="1"/>
  <c r="S4019" i="1"/>
  <c r="T4019" i="1"/>
  <c r="U4019" i="1"/>
  <c r="V4019" i="1"/>
  <c r="W4019" i="1"/>
  <c r="X4019" i="1"/>
  <c r="Y4019" i="1"/>
  <c r="Z4019" i="1"/>
  <c r="A4020" i="1"/>
  <c r="B4020" i="1"/>
  <c r="C4020" i="1"/>
  <c r="D4020" i="1"/>
  <c r="E4020" i="1"/>
  <c r="F4020" i="1"/>
  <c r="G4020" i="1"/>
  <c r="I4020" i="1"/>
  <c r="J4020" i="1"/>
  <c r="K4020" i="1"/>
  <c r="L4020" i="1"/>
  <c r="M4020" i="1"/>
  <c r="N4020" i="1"/>
  <c r="O4020" i="1"/>
  <c r="P4020" i="1"/>
  <c r="Q4020" i="1"/>
  <c r="R4020" i="1"/>
  <c r="S4020" i="1"/>
  <c r="T4020" i="1"/>
  <c r="U4020" i="1"/>
  <c r="V4020" i="1"/>
  <c r="W4020" i="1"/>
  <c r="X4020" i="1"/>
  <c r="Y4020" i="1"/>
  <c r="Z4020" i="1"/>
  <c r="A4021" i="1"/>
  <c r="B4021" i="1"/>
  <c r="C4021" i="1"/>
  <c r="D4021" i="1"/>
  <c r="E4021" i="1"/>
  <c r="F4021" i="1"/>
  <c r="G4021" i="1"/>
  <c r="I4021" i="1"/>
  <c r="J4021" i="1"/>
  <c r="K4021" i="1"/>
  <c r="L4021" i="1"/>
  <c r="M4021" i="1"/>
  <c r="N4021" i="1"/>
  <c r="O4021" i="1"/>
  <c r="P4021" i="1"/>
  <c r="Q4021" i="1"/>
  <c r="R4021" i="1"/>
  <c r="S4021" i="1"/>
  <c r="T4021" i="1"/>
  <c r="U4021" i="1"/>
  <c r="V4021" i="1"/>
  <c r="W4021" i="1"/>
  <c r="X4021" i="1"/>
  <c r="Y4021" i="1"/>
  <c r="Z4021" i="1"/>
  <c r="A4022" i="1"/>
  <c r="B4022" i="1"/>
  <c r="C4022" i="1"/>
  <c r="D4022" i="1"/>
  <c r="E4022" i="1"/>
  <c r="F4022" i="1"/>
  <c r="G4022" i="1"/>
  <c r="I4022" i="1"/>
  <c r="J4022" i="1"/>
  <c r="K4022" i="1"/>
  <c r="L4022" i="1"/>
  <c r="M4022" i="1"/>
  <c r="N4022" i="1"/>
  <c r="O4022" i="1"/>
  <c r="P4022" i="1"/>
  <c r="Q4022" i="1"/>
  <c r="R4022" i="1"/>
  <c r="S4022" i="1"/>
  <c r="T4022" i="1"/>
  <c r="U4022" i="1"/>
  <c r="V4022" i="1"/>
  <c r="W4022" i="1"/>
  <c r="X4022" i="1"/>
  <c r="Y4022" i="1"/>
  <c r="Z4022" i="1"/>
  <c r="A4023" i="1"/>
  <c r="B4023" i="1"/>
  <c r="C4023" i="1"/>
  <c r="D4023" i="1"/>
  <c r="E4023" i="1"/>
  <c r="F4023" i="1"/>
  <c r="G4023" i="1"/>
  <c r="I4023" i="1"/>
  <c r="J4023" i="1"/>
  <c r="K4023" i="1"/>
  <c r="L4023" i="1"/>
  <c r="M4023" i="1"/>
  <c r="N4023" i="1"/>
  <c r="O4023" i="1"/>
  <c r="P4023" i="1"/>
  <c r="Q4023" i="1"/>
  <c r="R4023" i="1"/>
  <c r="S4023" i="1"/>
  <c r="T4023" i="1"/>
  <c r="U4023" i="1"/>
  <c r="V4023" i="1"/>
  <c r="W4023" i="1"/>
  <c r="X4023" i="1"/>
  <c r="Y4023" i="1"/>
  <c r="Z4023" i="1"/>
  <c r="A4024" i="1"/>
  <c r="B4024" i="1"/>
  <c r="C4024" i="1"/>
  <c r="D4024" i="1"/>
  <c r="E4024" i="1"/>
  <c r="F4024" i="1"/>
  <c r="G4024" i="1"/>
  <c r="I4024" i="1"/>
  <c r="J4024" i="1"/>
  <c r="K4024" i="1"/>
  <c r="L4024" i="1"/>
  <c r="M4024" i="1"/>
  <c r="N4024" i="1"/>
  <c r="O4024" i="1"/>
  <c r="P4024" i="1"/>
  <c r="Q4024" i="1"/>
  <c r="R4024" i="1"/>
  <c r="S4024" i="1"/>
  <c r="T4024" i="1"/>
  <c r="U4024" i="1"/>
  <c r="V4024" i="1"/>
  <c r="W4024" i="1"/>
  <c r="X4024" i="1"/>
  <c r="Y4024" i="1"/>
  <c r="Z4024" i="1"/>
  <c r="A4025" i="1"/>
  <c r="B4025" i="1"/>
  <c r="C4025" i="1"/>
  <c r="D4025" i="1"/>
  <c r="E4025" i="1"/>
  <c r="F4025" i="1"/>
  <c r="G4025" i="1"/>
  <c r="I4025" i="1"/>
  <c r="J4025" i="1"/>
  <c r="K4025" i="1"/>
  <c r="L4025" i="1"/>
  <c r="M4025" i="1"/>
  <c r="N4025" i="1"/>
  <c r="O4025" i="1"/>
  <c r="P4025" i="1"/>
  <c r="Q4025" i="1"/>
  <c r="R4025" i="1"/>
  <c r="S4025" i="1"/>
  <c r="T4025" i="1"/>
  <c r="U4025" i="1"/>
  <c r="V4025" i="1"/>
  <c r="W4025" i="1"/>
  <c r="X4025" i="1"/>
  <c r="Y4025" i="1"/>
  <c r="Z4025" i="1"/>
  <c r="A4026" i="1"/>
  <c r="B4026" i="1"/>
  <c r="C4026" i="1"/>
  <c r="D4026" i="1"/>
  <c r="E4026" i="1"/>
  <c r="F4026" i="1"/>
  <c r="G4026" i="1"/>
  <c r="I4026" i="1"/>
  <c r="J4026" i="1"/>
  <c r="K4026" i="1"/>
  <c r="L4026" i="1"/>
  <c r="M4026" i="1"/>
  <c r="N4026" i="1"/>
  <c r="O4026" i="1"/>
  <c r="P4026" i="1"/>
  <c r="Q4026" i="1"/>
  <c r="R4026" i="1"/>
  <c r="S4026" i="1"/>
  <c r="T4026" i="1"/>
  <c r="U4026" i="1"/>
  <c r="V4026" i="1"/>
  <c r="W4026" i="1"/>
  <c r="X4026" i="1"/>
  <c r="Y4026" i="1"/>
  <c r="Z4026" i="1"/>
  <c r="A4027" i="1"/>
  <c r="B4027" i="1"/>
  <c r="C4027" i="1"/>
  <c r="D4027" i="1"/>
  <c r="E4027" i="1"/>
  <c r="F4027" i="1"/>
  <c r="G4027" i="1"/>
  <c r="I4027" i="1"/>
  <c r="J4027" i="1"/>
  <c r="K4027" i="1"/>
  <c r="L4027" i="1"/>
  <c r="M4027" i="1"/>
  <c r="N4027" i="1"/>
  <c r="O4027" i="1"/>
  <c r="P4027" i="1"/>
  <c r="Q4027" i="1"/>
  <c r="R4027" i="1"/>
  <c r="S4027" i="1"/>
  <c r="T4027" i="1"/>
  <c r="U4027" i="1"/>
  <c r="V4027" i="1"/>
  <c r="W4027" i="1"/>
  <c r="X4027" i="1"/>
  <c r="Y4027" i="1"/>
  <c r="Z4027" i="1"/>
  <c r="A4028" i="1"/>
  <c r="B4028" i="1"/>
  <c r="C4028" i="1"/>
  <c r="D4028" i="1"/>
  <c r="E4028" i="1"/>
  <c r="F4028" i="1"/>
  <c r="G4028" i="1"/>
  <c r="I4028" i="1"/>
  <c r="J4028" i="1"/>
  <c r="K4028" i="1"/>
  <c r="L4028" i="1"/>
  <c r="M4028" i="1"/>
  <c r="N4028" i="1"/>
  <c r="O4028" i="1"/>
  <c r="P4028" i="1"/>
  <c r="Q4028" i="1"/>
  <c r="R4028" i="1"/>
  <c r="S4028" i="1"/>
  <c r="T4028" i="1"/>
  <c r="U4028" i="1"/>
  <c r="V4028" i="1"/>
  <c r="W4028" i="1"/>
  <c r="X4028" i="1"/>
  <c r="Y4028" i="1"/>
  <c r="Z4028" i="1"/>
  <c r="A4029" i="1"/>
  <c r="B4029" i="1"/>
  <c r="C4029" i="1"/>
  <c r="D4029" i="1"/>
  <c r="E4029" i="1"/>
  <c r="F4029" i="1"/>
  <c r="G4029" i="1"/>
  <c r="I4029" i="1"/>
  <c r="J4029" i="1"/>
  <c r="K4029" i="1"/>
  <c r="L4029" i="1"/>
  <c r="M4029" i="1"/>
  <c r="N4029" i="1"/>
  <c r="O4029" i="1"/>
  <c r="P4029" i="1"/>
  <c r="Q4029" i="1"/>
  <c r="R4029" i="1"/>
  <c r="S4029" i="1"/>
  <c r="T4029" i="1"/>
  <c r="U4029" i="1"/>
  <c r="V4029" i="1"/>
  <c r="W4029" i="1"/>
  <c r="X4029" i="1"/>
  <c r="Y4029" i="1"/>
  <c r="Z4029" i="1"/>
  <c r="A4030" i="1"/>
  <c r="B4030" i="1"/>
  <c r="C4030" i="1"/>
  <c r="D4030" i="1"/>
  <c r="E4030" i="1"/>
  <c r="F4030" i="1"/>
  <c r="G4030" i="1"/>
  <c r="I4030" i="1"/>
  <c r="J4030" i="1"/>
  <c r="K4030" i="1"/>
  <c r="L4030" i="1"/>
  <c r="M4030" i="1"/>
  <c r="N4030" i="1"/>
  <c r="O4030" i="1"/>
  <c r="P4030" i="1"/>
  <c r="Q4030" i="1"/>
  <c r="R4030" i="1"/>
  <c r="S4030" i="1"/>
  <c r="T4030" i="1"/>
  <c r="U4030" i="1"/>
  <c r="V4030" i="1"/>
  <c r="W4030" i="1"/>
  <c r="X4030" i="1"/>
  <c r="Y4030" i="1"/>
  <c r="Z4030" i="1"/>
  <c r="A4031" i="1"/>
  <c r="B4031" i="1"/>
  <c r="C4031" i="1"/>
  <c r="D4031" i="1"/>
  <c r="E4031" i="1"/>
  <c r="F4031" i="1"/>
  <c r="G4031" i="1"/>
  <c r="I4031" i="1"/>
  <c r="J4031" i="1"/>
  <c r="K4031" i="1"/>
  <c r="L4031" i="1"/>
  <c r="M4031" i="1"/>
  <c r="N4031" i="1"/>
  <c r="O4031" i="1"/>
  <c r="P4031" i="1"/>
  <c r="Q4031" i="1"/>
  <c r="R4031" i="1"/>
  <c r="S4031" i="1"/>
  <c r="T4031" i="1"/>
  <c r="U4031" i="1"/>
  <c r="V4031" i="1"/>
  <c r="W4031" i="1"/>
  <c r="X4031" i="1"/>
  <c r="Y4031" i="1"/>
  <c r="Z4031" i="1"/>
  <c r="A4032" i="1"/>
  <c r="B4032" i="1"/>
  <c r="C4032" i="1"/>
  <c r="D4032" i="1"/>
  <c r="E4032" i="1"/>
  <c r="F4032" i="1"/>
  <c r="G4032" i="1"/>
  <c r="I4032" i="1"/>
  <c r="J4032" i="1"/>
  <c r="K4032" i="1"/>
  <c r="L4032" i="1"/>
  <c r="M4032" i="1"/>
  <c r="N4032" i="1"/>
  <c r="O4032" i="1"/>
  <c r="P4032" i="1"/>
  <c r="Q4032" i="1"/>
  <c r="R4032" i="1"/>
  <c r="S4032" i="1"/>
  <c r="T4032" i="1"/>
  <c r="U4032" i="1"/>
  <c r="V4032" i="1"/>
  <c r="W4032" i="1"/>
  <c r="X4032" i="1"/>
  <c r="Y4032" i="1"/>
  <c r="Z4032" i="1"/>
  <c r="A4033" i="1"/>
  <c r="B4033" i="1"/>
  <c r="C4033" i="1"/>
  <c r="D4033" i="1"/>
  <c r="E4033" i="1"/>
  <c r="F4033" i="1"/>
  <c r="G4033" i="1"/>
  <c r="I4033" i="1"/>
  <c r="J4033" i="1"/>
  <c r="K4033" i="1"/>
  <c r="L4033" i="1"/>
  <c r="M4033" i="1"/>
  <c r="N4033" i="1"/>
  <c r="O4033" i="1"/>
  <c r="P4033" i="1"/>
  <c r="Q4033" i="1"/>
  <c r="R4033" i="1"/>
  <c r="S4033" i="1"/>
  <c r="T4033" i="1"/>
  <c r="U4033" i="1"/>
  <c r="V4033" i="1"/>
  <c r="W4033" i="1"/>
  <c r="X4033" i="1"/>
  <c r="Y4033" i="1"/>
  <c r="Z4033" i="1"/>
  <c r="A4034" i="1"/>
  <c r="B4034" i="1"/>
  <c r="C4034" i="1"/>
  <c r="D4034" i="1"/>
  <c r="E4034" i="1"/>
  <c r="F4034" i="1"/>
  <c r="G4034" i="1"/>
  <c r="I4034" i="1"/>
  <c r="J4034" i="1"/>
  <c r="K4034" i="1"/>
  <c r="L4034" i="1"/>
  <c r="M4034" i="1"/>
  <c r="N4034" i="1"/>
  <c r="O4034" i="1"/>
  <c r="P4034" i="1"/>
  <c r="Q4034" i="1"/>
  <c r="R4034" i="1"/>
  <c r="S4034" i="1"/>
  <c r="T4034" i="1"/>
  <c r="U4034" i="1"/>
  <c r="V4034" i="1"/>
  <c r="W4034" i="1"/>
  <c r="X4034" i="1"/>
  <c r="Y4034" i="1"/>
  <c r="Z4034" i="1"/>
  <c r="A4035" i="1"/>
  <c r="B4035" i="1"/>
  <c r="C4035" i="1"/>
  <c r="D4035" i="1"/>
  <c r="E4035" i="1"/>
  <c r="F4035" i="1"/>
  <c r="G4035" i="1"/>
  <c r="I4035" i="1"/>
  <c r="J4035" i="1"/>
  <c r="K4035" i="1"/>
  <c r="L4035" i="1"/>
  <c r="M4035" i="1"/>
  <c r="N4035" i="1"/>
  <c r="O4035" i="1"/>
  <c r="P4035" i="1"/>
  <c r="Q4035" i="1"/>
  <c r="R4035" i="1"/>
  <c r="S4035" i="1"/>
  <c r="T4035" i="1"/>
  <c r="U4035" i="1"/>
  <c r="V4035" i="1"/>
  <c r="W4035" i="1"/>
  <c r="X4035" i="1"/>
  <c r="Y4035" i="1"/>
  <c r="Z4035" i="1"/>
  <c r="A4036" i="1"/>
  <c r="B4036" i="1"/>
  <c r="C4036" i="1"/>
  <c r="D4036" i="1"/>
  <c r="E4036" i="1"/>
  <c r="F4036" i="1"/>
  <c r="G4036" i="1"/>
  <c r="I4036" i="1"/>
  <c r="J4036" i="1"/>
  <c r="K4036" i="1"/>
  <c r="L4036" i="1"/>
  <c r="M4036" i="1"/>
  <c r="N4036" i="1"/>
  <c r="O4036" i="1"/>
  <c r="P4036" i="1"/>
  <c r="Q4036" i="1"/>
  <c r="R4036" i="1"/>
  <c r="S4036" i="1"/>
  <c r="T4036" i="1"/>
  <c r="U4036" i="1"/>
  <c r="V4036" i="1"/>
  <c r="W4036" i="1"/>
  <c r="X4036" i="1"/>
  <c r="Y4036" i="1"/>
  <c r="Z4036" i="1"/>
  <c r="A4037" i="1"/>
  <c r="B4037" i="1"/>
  <c r="C4037" i="1"/>
  <c r="D4037" i="1"/>
  <c r="E4037" i="1"/>
  <c r="F4037" i="1"/>
  <c r="G4037" i="1"/>
  <c r="I4037" i="1"/>
  <c r="J4037" i="1"/>
  <c r="K4037" i="1"/>
  <c r="L4037" i="1"/>
  <c r="M4037" i="1"/>
  <c r="N4037" i="1"/>
  <c r="O4037" i="1"/>
  <c r="P4037" i="1"/>
  <c r="Q4037" i="1"/>
  <c r="R4037" i="1"/>
  <c r="S4037" i="1"/>
  <c r="T4037" i="1"/>
  <c r="U4037" i="1"/>
  <c r="V4037" i="1"/>
  <c r="W4037" i="1"/>
  <c r="X4037" i="1"/>
  <c r="Y4037" i="1"/>
  <c r="Z4037" i="1"/>
  <c r="A4038" i="1"/>
  <c r="B4038" i="1"/>
  <c r="C4038" i="1"/>
  <c r="D4038" i="1"/>
  <c r="E4038" i="1"/>
  <c r="F4038" i="1"/>
  <c r="G4038" i="1"/>
  <c r="I4038" i="1"/>
  <c r="J4038" i="1"/>
  <c r="K4038" i="1"/>
  <c r="L4038" i="1"/>
  <c r="M4038" i="1"/>
  <c r="N4038" i="1"/>
  <c r="O4038" i="1"/>
  <c r="P4038" i="1"/>
  <c r="Q4038" i="1"/>
  <c r="R4038" i="1"/>
  <c r="S4038" i="1"/>
  <c r="T4038" i="1"/>
  <c r="U4038" i="1"/>
  <c r="V4038" i="1"/>
  <c r="W4038" i="1"/>
  <c r="X4038" i="1"/>
  <c r="Y4038" i="1"/>
  <c r="Z4038" i="1"/>
  <c r="A4039" i="1"/>
  <c r="B4039" i="1"/>
  <c r="C4039" i="1"/>
  <c r="D4039" i="1"/>
  <c r="E4039" i="1"/>
  <c r="F4039" i="1"/>
  <c r="G4039" i="1"/>
  <c r="I4039" i="1"/>
  <c r="J4039" i="1"/>
  <c r="K4039" i="1"/>
  <c r="L4039" i="1"/>
  <c r="M4039" i="1"/>
  <c r="N4039" i="1"/>
  <c r="O4039" i="1"/>
  <c r="P4039" i="1"/>
  <c r="Q4039" i="1"/>
  <c r="R4039" i="1"/>
  <c r="S4039" i="1"/>
  <c r="T4039" i="1"/>
  <c r="U4039" i="1"/>
  <c r="V4039" i="1"/>
  <c r="W4039" i="1"/>
  <c r="X4039" i="1"/>
  <c r="Y4039" i="1"/>
  <c r="Z4039" i="1"/>
  <c r="A4040" i="1"/>
  <c r="B4040" i="1"/>
  <c r="C4040" i="1"/>
  <c r="D4040" i="1"/>
  <c r="E4040" i="1"/>
  <c r="F4040" i="1"/>
  <c r="G4040" i="1"/>
  <c r="I4040" i="1"/>
  <c r="J4040" i="1"/>
  <c r="K4040" i="1"/>
  <c r="L4040" i="1"/>
  <c r="M4040" i="1"/>
  <c r="N4040" i="1"/>
  <c r="O4040" i="1"/>
  <c r="P4040" i="1"/>
  <c r="Q4040" i="1"/>
  <c r="R4040" i="1"/>
  <c r="S4040" i="1"/>
  <c r="T4040" i="1"/>
  <c r="U4040" i="1"/>
  <c r="V4040" i="1"/>
  <c r="W4040" i="1"/>
  <c r="X4040" i="1"/>
  <c r="Y4040" i="1"/>
  <c r="Z4040" i="1"/>
  <c r="A4041" i="1"/>
  <c r="B4041" i="1"/>
  <c r="C4041" i="1"/>
  <c r="D4041" i="1"/>
  <c r="E4041" i="1"/>
  <c r="F4041" i="1"/>
  <c r="G4041" i="1"/>
  <c r="I4041" i="1"/>
  <c r="J4041" i="1"/>
  <c r="K4041" i="1"/>
  <c r="L4041" i="1"/>
  <c r="M4041" i="1"/>
  <c r="N4041" i="1"/>
  <c r="O4041" i="1"/>
  <c r="P4041" i="1"/>
  <c r="Q4041" i="1"/>
  <c r="R4041" i="1"/>
  <c r="S4041" i="1"/>
  <c r="T4041" i="1"/>
  <c r="U4041" i="1"/>
  <c r="V4041" i="1"/>
  <c r="W4041" i="1"/>
  <c r="X4041" i="1"/>
  <c r="Y4041" i="1"/>
  <c r="Z4041" i="1"/>
  <c r="A4042" i="1"/>
  <c r="B4042" i="1"/>
  <c r="C4042" i="1"/>
  <c r="D4042" i="1"/>
  <c r="E4042" i="1"/>
  <c r="F4042" i="1"/>
  <c r="G4042" i="1"/>
  <c r="I4042" i="1"/>
  <c r="J4042" i="1"/>
  <c r="K4042" i="1"/>
  <c r="L4042" i="1"/>
  <c r="M4042" i="1"/>
  <c r="N4042" i="1"/>
  <c r="O4042" i="1"/>
  <c r="P4042" i="1"/>
  <c r="Q4042" i="1"/>
  <c r="R4042" i="1"/>
  <c r="S4042" i="1"/>
  <c r="T4042" i="1"/>
  <c r="U4042" i="1"/>
  <c r="V4042" i="1"/>
  <c r="W4042" i="1"/>
  <c r="X4042" i="1"/>
  <c r="Y4042" i="1"/>
  <c r="Z4042" i="1"/>
  <c r="A4043" i="1"/>
  <c r="B4043" i="1"/>
  <c r="C4043" i="1"/>
  <c r="D4043" i="1"/>
  <c r="E4043" i="1"/>
  <c r="F4043" i="1"/>
  <c r="G4043" i="1"/>
  <c r="I4043" i="1"/>
  <c r="J4043" i="1"/>
  <c r="K4043" i="1"/>
  <c r="L4043" i="1"/>
  <c r="M4043" i="1"/>
  <c r="N4043" i="1"/>
  <c r="O4043" i="1"/>
  <c r="P4043" i="1"/>
  <c r="Q4043" i="1"/>
  <c r="R4043" i="1"/>
  <c r="S4043" i="1"/>
  <c r="T4043" i="1"/>
  <c r="U4043" i="1"/>
  <c r="V4043" i="1"/>
  <c r="W4043" i="1"/>
  <c r="X4043" i="1"/>
  <c r="Y4043" i="1"/>
  <c r="Z4043" i="1"/>
  <c r="A4044" i="1"/>
  <c r="B4044" i="1"/>
  <c r="C4044" i="1"/>
  <c r="D4044" i="1"/>
  <c r="E4044" i="1"/>
  <c r="F4044" i="1"/>
  <c r="G4044" i="1"/>
  <c r="I4044" i="1"/>
  <c r="J4044" i="1"/>
  <c r="K4044" i="1"/>
  <c r="L4044" i="1"/>
  <c r="M4044" i="1"/>
  <c r="N4044" i="1"/>
  <c r="O4044" i="1"/>
  <c r="P4044" i="1"/>
  <c r="Q4044" i="1"/>
  <c r="R4044" i="1"/>
  <c r="S4044" i="1"/>
  <c r="T4044" i="1"/>
  <c r="U4044" i="1"/>
  <c r="V4044" i="1"/>
  <c r="W4044" i="1"/>
  <c r="X4044" i="1"/>
  <c r="Y4044" i="1"/>
  <c r="Z4044" i="1"/>
  <c r="A4045" i="1"/>
  <c r="B4045" i="1"/>
  <c r="C4045" i="1"/>
  <c r="D4045" i="1"/>
  <c r="E4045" i="1"/>
  <c r="F4045" i="1"/>
  <c r="G4045" i="1"/>
  <c r="I4045" i="1"/>
  <c r="J4045" i="1"/>
  <c r="K4045" i="1"/>
  <c r="L4045" i="1"/>
  <c r="M4045" i="1"/>
  <c r="N4045" i="1"/>
  <c r="O4045" i="1"/>
  <c r="P4045" i="1"/>
  <c r="Q4045" i="1"/>
  <c r="R4045" i="1"/>
  <c r="S4045" i="1"/>
  <c r="T4045" i="1"/>
  <c r="U4045" i="1"/>
  <c r="V4045" i="1"/>
  <c r="W4045" i="1"/>
  <c r="X4045" i="1"/>
  <c r="Y4045" i="1"/>
  <c r="Z4045" i="1"/>
  <c r="A4046" i="1"/>
  <c r="B4046" i="1"/>
  <c r="C4046" i="1"/>
  <c r="D4046" i="1"/>
  <c r="E4046" i="1"/>
  <c r="F4046" i="1"/>
  <c r="G4046" i="1"/>
  <c r="I4046" i="1"/>
  <c r="J4046" i="1"/>
  <c r="K4046" i="1"/>
  <c r="L4046" i="1"/>
  <c r="M4046" i="1"/>
  <c r="N4046" i="1"/>
  <c r="O4046" i="1"/>
  <c r="P4046" i="1"/>
  <c r="Q4046" i="1"/>
  <c r="R4046" i="1"/>
  <c r="S4046" i="1"/>
  <c r="T4046" i="1"/>
  <c r="U4046" i="1"/>
  <c r="V4046" i="1"/>
  <c r="W4046" i="1"/>
  <c r="X4046" i="1"/>
  <c r="Y4046" i="1"/>
  <c r="Z4046" i="1"/>
  <c r="A4047" i="1"/>
  <c r="B4047" i="1"/>
  <c r="C4047" i="1"/>
  <c r="D4047" i="1"/>
  <c r="E4047" i="1"/>
  <c r="F4047" i="1"/>
  <c r="G4047" i="1"/>
  <c r="I4047" i="1"/>
  <c r="J4047" i="1"/>
  <c r="K4047" i="1"/>
  <c r="L4047" i="1"/>
  <c r="M4047" i="1"/>
  <c r="N4047" i="1"/>
  <c r="O4047" i="1"/>
  <c r="P4047" i="1"/>
  <c r="Q4047" i="1"/>
  <c r="R4047" i="1"/>
  <c r="S4047" i="1"/>
  <c r="T4047" i="1"/>
  <c r="U4047" i="1"/>
  <c r="V4047" i="1"/>
  <c r="W4047" i="1"/>
  <c r="X4047" i="1"/>
  <c r="Y4047" i="1"/>
  <c r="Z4047" i="1"/>
  <c r="A4048" i="1"/>
  <c r="B4048" i="1"/>
  <c r="C4048" i="1"/>
  <c r="D4048" i="1"/>
  <c r="E4048" i="1"/>
  <c r="F4048" i="1"/>
  <c r="G4048" i="1"/>
  <c r="I4048" i="1"/>
  <c r="J4048" i="1"/>
  <c r="K4048" i="1"/>
  <c r="L4048" i="1"/>
  <c r="M4048" i="1"/>
  <c r="N4048" i="1"/>
  <c r="O4048" i="1"/>
  <c r="P4048" i="1"/>
  <c r="Q4048" i="1"/>
  <c r="R4048" i="1"/>
  <c r="S4048" i="1"/>
  <c r="T4048" i="1"/>
  <c r="U4048" i="1"/>
  <c r="V4048" i="1"/>
  <c r="W4048" i="1"/>
  <c r="X4048" i="1"/>
  <c r="Y4048" i="1"/>
  <c r="Z4048" i="1"/>
  <c r="A4049" i="1"/>
  <c r="B4049" i="1"/>
  <c r="C4049" i="1"/>
  <c r="D4049" i="1"/>
  <c r="E4049" i="1"/>
  <c r="F4049" i="1"/>
  <c r="G4049" i="1"/>
  <c r="I4049" i="1"/>
  <c r="J4049" i="1"/>
  <c r="K4049" i="1"/>
  <c r="L4049" i="1"/>
  <c r="M4049" i="1"/>
  <c r="N4049" i="1"/>
  <c r="O4049" i="1"/>
  <c r="P4049" i="1"/>
  <c r="Q4049" i="1"/>
  <c r="R4049" i="1"/>
  <c r="S4049" i="1"/>
  <c r="T4049" i="1"/>
  <c r="U4049" i="1"/>
  <c r="V4049" i="1"/>
  <c r="W4049" i="1"/>
  <c r="X4049" i="1"/>
  <c r="Y4049" i="1"/>
  <c r="Z4049" i="1"/>
  <c r="A4050" i="1"/>
  <c r="B4050" i="1"/>
  <c r="C4050" i="1"/>
  <c r="D4050" i="1"/>
  <c r="E4050" i="1"/>
  <c r="F4050" i="1"/>
  <c r="G4050" i="1"/>
  <c r="I4050" i="1"/>
  <c r="J4050" i="1"/>
  <c r="K4050" i="1"/>
  <c r="L4050" i="1"/>
  <c r="M4050" i="1"/>
  <c r="N4050" i="1"/>
  <c r="O4050" i="1"/>
  <c r="P4050" i="1"/>
  <c r="Q4050" i="1"/>
  <c r="R4050" i="1"/>
  <c r="S4050" i="1"/>
  <c r="T4050" i="1"/>
  <c r="U4050" i="1"/>
  <c r="V4050" i="1"/>
  <c r="W4050" i="1"/>
  <c r="X4050" i="1"/>
  <c r="Y4050" i="1"/>
  <c r="Z4050" i="1"/>
  <c r="A4051" i="1"/>
  <c r="B4051" i="1"/>
  <c r="C4051" i="1"/>
  <c r="D4051" i="1"/>
  <c r="E4051" i="1"/>
  <c r="F4051" i="1"/>
  <c r="G4051" i="1"/>
  <c r="I4051" i="1"/>
  <c r="J4051" i="1"/>
  <c r="K4051" i="1"/>
  <c r="L4051" i="1"/>
  <c r="M4051" i="1"/>
  <c r="N4051" i="1"/>
  <c r="O4051" i="1"/>
  <c r="P4051" i="1"/>
  <c r="Q4051" i="1"/>
  <c r="R4051" i="1"/>
  <c r="S4051" i="1"/>
  <c r="T4051" i="1"/>
  <c r="U4051" i="1"/>
  <c r="V4051" i="1"/>
  <c r="W4051" i="1"/>
  <c r="X4051" i="1"/>
  <c r="Y4051" i="1"/>
  <c r="Z4051" i="1"/>
  <c r="A4052" i="1"/>
  <c r="B4052" i="1"/>
  <c r="C4052" i="1"/>
  <c r="D4052" i="1"/>
  <c r="E4052" i="1"/>
  <c r="F4052" i="1"/>
  <c r="G4052" i="1"/>
  <c r="I4052" i="1"/>
  <c r="J4052" i="1"/>
  <c r="K4052" i="1"/>
  <c r="L4052" i="1"/>
  <c r="M4052" i="1"/>
  <c r="N4052" i="1"/>
  <c r="O4052" i="1"/>
  <c r="P4052" i="1"/>
  <c r="Q4052" i="1"/>
  <c r="R4052" i="1"/>
  <c r="S4052" i="1"/>
  <c r="T4052" i="1"/>
  <c r="U4052" i="1"/>
  <c r="V4052" i="1"/>
  <c r="W4052" i="1"/>
  <c r="X4052" i="1"/>
  <c r="Y4052" i="1"/>
  <c r="Z4052" i="1"/>
  <c r="A4053" i="1"/>
  <c r="B4053" i="1"/>
  <c r="C4053" i="1"/>
  <c r="D4053" i="1"/>
  <c r="E4053" i="1"/>
  <c r="F4053" i="1"/>
  <c r="G4053" i="1"/>
  <c r="I4053" i="1"/>
  <c r="J4053" i="1"/>
  <c r="K4053" i="1"/>
  <c r="L4053" i="1"/>
  <c r="M4053" i="1"/>
  <c r="N4053" i="1"/>
  <c r="O4053" i="1"/>
  <c r="P4053" i="1"/>
  <c r="Q4053" i="1"/>
  <c r="R4053" i="1"/>
  <c r="S4053" i="1"/>
  <c r="T4053" i="1"/>
  <c r="U4053" i="1"/>
  <c r="V4053" i="1"/>
  <c r="W4053" i="1"/>
  <c r="X4053" i="1"/>
  <c r="Y4053" i="1"/>
  <c r="Z4053" i="1"/>
  <c r="A4054" i="1"/>
  <c r="B4054" i="1"/>
  <c r="C4054" i="1"/>
  <c r="D4054" i="1"/>
  <c r="E4054" i="1"/>
  <c r="F4054" i="1"/>
  <c r="G4054" i="1"/>
  <c r="I4054" i="1"/>
  <c r="J4054" i="1"/>
  <c r="K4054" i="1"/>
  <c r="L4054" i="1"/>
  <c r="M4054" i="1"/>
  <c r="N4054" i="1"/>
  <c r="O4054" i="1"/>
  <c r="P4054" i="1"/>
  <c r="Q4054" i="1"/>
  <c r="R4054" i="1"/>
  <c r="S4054" i="1"/>
  <c r="T4054" i="1"/>
  <c r="U4054" i="1"/>
  <c r="V4054" i="1"/>
  <c r="W4054" i="1"/>
  <c r="X4054" i="1"/>
  <c r="Y4054" i="1"/>
  <c r="Z4054" i="1"/>
  <c r="A4055" i="1"/>
  <c r="B4055" i="1"/>
  <c r="C4055" i="1"/>
  <c r="D4055" i="1"/>
  <c r="E4055" i="1"/>
  <c r="F4055" i="1"/>
  <c r="G4055" i="1"/>
  <c r="I4055" i="1"/>
  <c r="J4055" i="1"/>
  <c r="K4055" i="1"/>
  <c r="L4055" i="1"/>
  <c r="M4055" i="1"/>
  <c r="N4055" i="1"/>
  <c r="O4055" i="1"/>
  <c r="P4055" i="1"/>
  <c r="Q4055" i="1"/>
  <c r="R4055" i="1"/>
  <c r="S4055" i="1"/>
  <c r="T4055" i="1"/>
  <c r="U4055" i="1"/>
  <c r="V4055" i="1"/>
  <c r="W4055" i="1"/>
  <c r="X4055" i="1"/>
  <c r="Y4055" i="1"/>
  <c r="Z4055" i="1"/>
  <c r="A4056" i="1"/>
  <c r="B4056" i="1"/>
  <c r="C4056" i="1"/>
  <c r="D4056" i="1"/>
  <c r="E4056" i="1"/>
  <c r="F4056" i="1"/>
  <c r="G4056" i="1"/>
  <c r="I4056" i="1"/>
  <c r="J4056" i="1"/>
  <c r="K4056" i="1"/>
  <c r="L4056" i="1"/>
  <c r="M4056" i="1"/>
  <c r="N4056" i="1"/>
  <c r="O4056" i="1"/>
  <c r="P4056" i="1"/>
  <c r="Q4056" i="1"/>
  <c r="R4056" i="1"/>
  <c r="S4056" i="1"/>
  <c r="T4056" i="1"/>
  <c r="U4056" i="1"/>
  <c r="V4056" i="1"/>
  <c r="W4056" i="1"/>
  <c r="X4056" i="1"/>
  <c r="Y4056" i="1"/>
  <c r="Z4056" i="1"/>
  <c r="A4057" i="1"/>
  <c r="B4057" i="1"/>
  <c r="C4057" i="1"/>
  <c r="D4057" i="1"/>
  <c r="E4057" i="1"/>
  <c r="F4057" i="1"/>
  <c r="G4057" i="1"/>
  <c r="I4057" i="1"/>
  <c r="J4057" i="1"/>
  <c r="K4057" i="1"/>
  <c r="L4057" i="1"/>
  <c r="M4057" i="1"/>
  <c r="N4057" i="1"/>
  <c r="O4057" i="1"/>
  <c r="P4057" i="1"/>
  <c r="Q4057" i="1"/>
  <c r="R4057" i="1"/>
  <c r="S4057" i="1"/>
  <c r="T4057" i="1"/>
  <c r="U4057" i="1"/>
  <c r="V4057" i="1"/>
  <c r="W4057" i="1"/>
  <c r="X4057" i="1"/>
  <c r="Y4057" i="1"/>
  <c r="Z4057" i="1"/>
  <c r="A4058" i="1"/>
  <c r="B4058" i="1"/>
  <c r="C4058" i="1"/>
  <c r="D4058" i="1"/>
  <c r="E4058" i="1"/>
  <c r="F4058" i="1"/>
  <c r="G4058" i="1"/>
  <c r="I4058" i="1"/>
  <c r="J4058" i="1"/>
  <c r="K4058" i="1"/>
  <c r="L4058" i="1"/>
  <c r="M4058" i="1"/>
  <c r="N4058" i="1"/>
  <c r="O4058" i="1"/>
  <c r="P4058" i="1"/>
  <c r="Q4058" i="1"/>
  <c r="R4058" i="1"/>
  <c r="S4058" i="1"/>
  <c r="T4058" i="1"/>
  <c r="U4058" i="1"/>
  <c r="V4058" i="1"/>
  <c r="W4058" i="1"/>
  <c r="X4058" i="1"/>
  <c r="Y4058" i="1"/>
  <c r="Z4058" i="1"/>
  <c r="A4059" i="1"/>
  <c r="B4059" i="1"/>
  <c r="C4059" i="1"/>
  <c r="D4059" i="1"/>
  <c r="E4059" i="1"/>
  <c r="F4059" i="1"/>
  <c r="G4059" i="1"/>
  <c r="I4059" i="1"/>
  <c r="J4059" i="1"/>
  <c r="K4059" i="1"/>
  <c r="L4059" i="1"/>
  <c r="M4059" i="1"/>
  <c r="N4059" i="1"/>
  <c r="O4059" i="1"/>
  <c r="P4059" i="1"/>
  <c r="Q4059" i="1"/>
  <c r="R4059" i="1"/>
  <c r="S4059" i="1"/>
  <c r="T4059" i="1"/>
  <c r="U4059" i="1"/>
  <c r="V4059" i="1"/>
  <c r="W4059" i="1"/>
  <c r="X4059" i="1"/>
  <c r="Y4059" i="1"/>
  <c r="Z4059" i="1"/>
  <c r="A4060" i="1"/>
  <c r="B4060" i="1"/>
  <c r="C4060" i="1"/>
  <c r="D4060" i="1"/>
  <c r="E4060" i="1"/>
  <c r="F4060" i="1"/>
  <c r="G4060" i="1"/>
  <c r="I4060" i="1"/>
  <c r="J4060" i="1"/>
  <c r="K4060" i="1"/>
  <c r="L4060" i="1"/>
  <c r="M4060" i="1"/>
  <c r="N4060" i="1"/>
  <c r="O4060" i="1"/>
  <c r="P4060" i="1"/>
  <c r="Q4060" i="1"/>
  <c r="R4060" i="1"/>
  <c r="S4060" i="1"/>
  <c r="T4060" i="1"/>
  <c r="U4060" i="1"/>
  <c r="V4060" i="1"/>
  <c r="W4060" i="1"/>
  <c r="X4060" i="1"/>
  <c r="Y4060" i="1"/>
  <c r="Z4060" i="1"/>
  <c r="A4061" i="1"/>
  <c r="B4061" i="1"/>
  <c r="C4061" i="1"/>
  <c r="D4061" i="1"/>
  <c r="E4061" i="1"/>
  <c r="F4061" i="1"/>
  <c r="G4061" i="1"/>
  <c r="I4061" i="1"/>
  <c r="J4061" i="1"/>
  <c r="K4061" i="1"/>
  <c r="L4061" i="1"/>
  <c r="M4061" i="1"/>
  <c r="N4061" i="1"/>
  <c r="O4061" i="1"/>
  <c r="P4061" i="1"/>
  <c r="Q4061" i="1"/>
  <c r="R4061" i="1"/>
  <c r="S4061" i="1"/>
  <c r="T4061" i="1"/>
  <c r="U4061" i="1"/>
  <c r="V4061" i="1"/>
  <c r="W4061" i="1"/>
  <c r="X4061" i="1"/>
  <c r="Y4061" i="1"/>
  <c r="Z4061" i="1"/>
  <c r="A4062" i="1"/>
  <c r="B4062" i="1"/>
  <c r="C4062" i="1"/>
  <c r="D4062" i="1"/>
  <c r="E4062" i="1"/>
  <c r="F4062" i="1"/>
  <c r="G4062" i="1"/>
  <c r="I4062" i="1"/>
  <c r="J4062" i="1"/>
  <c r="K4062" i="1"/>
  <c r="L4062" i="1"/>
  <c r="M4062" i="1"/>
  <c r="N4062" i="1"/>
  <c r="O4062" i="1"/>
  <c r="P4062" i="1"/>
  <c r="Q4062" i="1"/>
  <c r="R4062" i="1"/>
  <c r="S4062" i="1"/>
  <c r="T4062" i="1"/>
  <c r="U4062" i="1"/>
  <c r="V4062" i="1"/>
  <c r="W4062" i="1"/>
  <c r="X4062" i="1"/>
  <c r="Y4062" i="1"/>
  <c r="Z4062" i="1"/>
  <c r="A4063" i="1"/>
  <c r="B4063" i="1"/>
  <c r="C4063" i="1"/>
  <c r="D4063" i="1"/>
  <c r="E4063" i="1"/>
  <c r="F4063" i="1"/>
  <c r="G4063" i="1"/>
  <c r="I4063" i="1"/>
  <c r="J4063" i="1"/>
  <c r="K4063" i="1"/>
  <c r="L4063" i="1"/>
  <c r="M4063" i="1"/>
  <c r="N4063" i="1"/>
  <c r="O4063" i="1"/>
  <c r="P4063" i="1"/>
  <c r="Q4063" i="1"/>
  <c r="R4063" i="1"/>
  <c r="S4063" i="1"/>
  <c r="T4063" i="1"/>
  <c r="U4063" i="1"/>
  <c r="V4063" i="1"/>
  <c r="W4063" i="1"/>
  <c r="X4063" i="1"/>
  <c r="Y4063" i="1"/>
  <c r="Z4063" i="1"/>
  <c r="A4064" i="1"/>
  <c r="B4064" i="1"/>
  <c r="C4064" i="1"/>
  <c r="D4064" i="1"/>
  <c r="E4064" i="1"/>
  <c r="F4064" i="1"/>
  <c r="G4064" i="1"/>
  <c r="I4064" i="1"/>
  <c r="J4064" i="1"/>
  <c r="K4064" i="1"/>
  <c r="L4064" i="1"/>
  <c r="M4064" i="1"/>
  <c r="N4064" i="1"/>
  <c r="O4064" i="1"/>
  <c r="P4064" i="1"/>
  <c r="Q4064" i="1"/>
  <c r="R4064" i="1"/>
  <c r="S4064" i="1"/>
  <c r="T4064" i="1"/>
  <c r="U4064" i="1"/>
  <c r="V4064" i="1"/>
  <c r="W4064" i="1"/>
  <c r="X4064" i="1"/>
  <c r="Y4064" i="1"/>
  <c r="Z4064" i="1"/>
  <c r="A4065" i="1"/>
  <c r="B4065" i="1"/>
  <c r="C4065" i="1"/>
  <c r="D4065" i="1"/>
  <c r="E4065" i="1"/>
  <c r="F4065" i="1"/>
  <c r="G4065" i="1"/>
  <c r="I4065" i="1"/>
  <c r="J4065" i="1"/>
  <c r="K4065" i="1"/>
  <c r="L4065" i="1"/>
  <c r="M4065" i="1"/>
  <c r="N4065" i="1"/>
  <c r="O4065" i="1"/>
  <c r="P4065" i="1"/>
  <c r="Q4065" i="1"/>
  <c r="R4065" i="1"/>
  <c r="S4065" i="1"/>
  <c r="T4065" i="1"/>
  <c r="U4065" i="1"/>
  <c r="V4065" i="1"/>
  <c r="W4065" i="1"/>
  <c r="X4065" i="1"/>
  <c r="Y4065" i="1"/>
  <c r="Z4065" i="1"/>
  <c r="A4066" i="1"/>
  <c r="B4066" i="1"/>
  <c r="C4066" i="1"/>
  <c r="D4066" i="1"/>
  <c r="E4066" i="1"/>
  <c r="F4066" i="1"/>
  <c r="G4066" i="1"/>
  <c r="I4066" i="1"/>
  <c r="J4066" i="1"/>
  <c r="K4066" i="1"/>
  <c r="L4066" i="1"/>
  <c r="M4066" i="1"/>
  <c r="N4066" i="1"/>
  <c r="O4066" i="1"/>
  <c r="P4066" i="1"/>
  <c r="Q4066" i="1"/>
  <c r="R4066" i="1"/>
  <c r="S4066" i="1"/>
  <c r="T4066" i="1"/>
  <c r="U4066" i="1"/>
  <c r="V4066" i="1"/>
  <c r="W4066" i="1"/>
  <c r="X4066" i="1"/>
  <c r="Y4066" i="1"/>
  <c r="Z4066" i="1"/>
  <c r="A4067" i="1"/>
  <c r="B4067" i="1"/>
  <c r="C4067" i="1"/>
  <c r="D4067" i="1"/>
  <c r="E4067" i="1"/>
  <c r="F4067" i="1"/>
  <c r="G4067" i="1"/>
  <c r="I4067" i="1"/>
  <c r="J4067" i="1"/>
  <c r="K4067" i="1"/>
  <c r="L4067" i="1"/>
  <c r="M4067" i="1"/>
  <c r="N4067" i="1"/>
  <c r="O4067" i="1"/>
  <c r="P4067" i="1"/>
  <c r="Q4067" i="1"/>
  <c r="R4067" i="1"/>
  <c r="S4067" i="1"/>
  <c r="T4067" i="1"/>
  <c r="U4067" i="1"/>
  <c r="V4067" i="1"/>
  <c r="W4067" i="1"/>
  <c r="X4067" i="1"/>
  <c r="Y4067" i="1"/>
  <c r="Z4067" i="1"/>
  <c r="A4068" i="1"/>
  <c r="B4068" i="1"/>
  <c r="C4068" i="1"/>
  <c r="D4068" i="1"/>
  <c r="E4068" i="1"/>
  <c r="F4068" i="1"/>
  <c r="G4068" i="1"/>
  <c r="I4068" i="1"/>
  <c r="J4068" i="1"/>
  <c r="K4068" i="1"/>
  <c r="L4068" i="1"/>
  <c r="M4068" i="1"/>
  <c r="N4068" i="1"/>
  <c r="O4068" i="1"/>
  <c r="P4068" i="1"/>
  <c r="Q4068" i="1"/>
  <c r="R4068" i="1"/>
  <c r="S4068" i="1"/>
  <c r="T4068" i="1"/>
  <c r="U4068" i="1"/>
  <c r="V4068" i="1"/>
  <c r="W4068" i="1"/>
  <c r="X4068" i="1"/>
  <c r="Y4068" i="1"/>
  <c r="Z4068" i="1"/>
  <c r="A4069" i="1"/>
  <c r="B4069" i="1"/>
  <c r="C4069" i="1"/>
  <c r="D4069" i="1"/>
  <c r="E4069" i="1"/>
  <c r="F4069" i="1"/>
  <c r="G4069" i="1"/>
  <c r="I4069" i="1"/>
  <c r="J4069" i="1"/>
  <c r="K4069" i="1"/>
  <c r="L4069" i="1"/>
  <c r="M4069" i="1"/>
  <c r="N4069" i="1"/>
  <c r="O4069" i="1"/>
  <c r="P4069" i="1"/>
  <c r="Q4069" i="1"/>
  <c r="R4069" i="1"/>
  <c r="S4069" i="1"/>
  <c r="T4069" i="1"/>
  <c r="U4069" i="1"/>
  <c r="V4069" i="1"/>
  <c r="W4069" i="1"/>
  <c r="X4069" i="1"/>
  <c r="Y4069" i="1"/>
  <c r="Z4069" i="1"/>
  <c r="A4070" i="1"/>
  <c r="B4070" i="1"/>
  <c r="C4070" i="1"/>
  <c r="D4070" i="1"/>
  <c r="E4070" i="1"/>
  <c r="F4070" i="1"/>
  <c r="G4070" i="1"/>
  <c r="I4070" i="1"/>
  <c r="J4070" i="1"/>
  <c r="K4070" i="1"/>
  <c r="L4070" i="1"/>
  <c r="M4070" i="1"/>
  <c r="N4070" i="1"/>
  <c r="O4070" i="1"/>
  <c r="P4070" i="1"/>
  <c r="Q4070" i="1"/>
  <c r="R4070" i="1"/>
  <c r="S4070" i="1"/>
  <c r="T4070" i="1"/>
  <c r="U4070" i="1"/>
  <c r="V4070" i="1"/>
  <c r="W4070" i="1"/>
  <c r="X4070" i="1"/>
  <c r="Y4070" i="1"/>
  <c r="Z4070" i="1"/>
  <c r="A4071" i="1"/>
  <c r="B4071" i="1"/>
  <c r="C4071" i="1"/>
  <c r="D4071" i="1"/>
  <c r="E4071" i="1"/>
  <c r="F4071" i="1"/>
  <c r="G4071" i="1"/>
  <c r="I4071" i="1"/>
  <c r="J4071" i="1"/>
  <c r="K4071" i="1"/>
  <c r="L4071" i="1"/>
  <c r="M4071" i="1"/>
  <c r="N4071" i="1"/>
  <c r="O4071" i="1"/>
  <c r="P4071" i="1"/>
  <c r="Q4071" i="1"/>
  <c r="R4071" i="1"/>
  <c r="S4071" i="1"/>
  <c r="T4071" i="1"/>
  <c r="U4071" i="1"/>
  <c r="V4071" i="1"/>
  <c r="W4071" i="1"/>
  <c r="X4071" i="1"/>
  <c r="Y4071" i="1"/>
  <c r="Z4071" i="1"/>
  <c r="A4072" i="1"/>
  <c r="B4072" i="1"/>
  <c r="C4072" i="1"/>
  <c r="D4072" i="1"/>
  <c r="E4072" i="1"/>
  <c r="F4072" i="1"/>
  <c r="G4072" i="1"/>
  <c r="I4072" i="1"/>
  <c r="J4072" i="1"/>
  <c r="K4072" i="1"/>
  <c r="L4072" i="1"/>
  <c r="M4072" i="1"/>
  <c r="N4072" i="1"/>
  <c r="O4072" i="1"/>
  <c r="P4072" i="1"/>
  <c r="Q4072" i="1"/>
  <c r="R4072" i="1"/>
  <c r="S4072" i="1"/>
  <c r="T4072" i="1"/>
  <c r="U4072" i="1"/>
  <c r="V4072" i="1"/>
  <c r="W4072" i="1"/>
  <c r="X4072" i="1"/>
  <c r="Y4072" i="1"/>
  <c r="Z4072" i="1"/>
  <c r="A4073" i="1"/>
  <c r="B4073" i="1"/>
  <c r="C4073" i="1"/>
  <c r="D4073" i="1"/>
  <c r="E4073" i="1"/>
  <c r="F4073" i="1"/>
  <c r="G4073" i="1"/>
  <c r="I4073" i="1"/>
  <c r="J4073" i="1"/>
  <c r="K4073" i="1"/>
  <c r="L4073" i="1"/>
  <c r="M4073" i="1"/>
  <c r="N4073" i="1"/>
  <c r="O4073" i="1"/>
  <c r="P4073" i="1"/>
  <c r="Q4073" i="1"/>
  <c r="R4073" i="1"/>
  <c r="S4073" i="1"/>
  <c r="T4073" i="1"/>
  <c r="U4073" i="1"/>
  <c r="V4073" i="1"/>
  <c r="W4073" i="1"/>
  <c r="X4073" i="1"/>
  <c r="Y4073" i="1"/>
  <c r="Z4073" i="1"/>
  <c r="A4074" i="1"/>
  <c r="B4074" i="1"/>
  <c r="C4074" i="1"/>
  <c r="D4074" i="1"/>
  <c r="E4074" i="1"/>
  <c r="F4074" i="1"/>
  <c r="G4074" i="1"/>
  <c r="I4074" i="1"/>
  <c r="J4074" i="1"/>
  <c r="K4074" i="1"/>
  <c r="L4074" i="1"/>
  <c r="M4074" i="1"/>
  <c r="N4074" i="1"/>
  <c r="O4074" i="1"/>
  <c r="P4074" i="1"/>
  <c r="Q4074" i="1"/>
  <c r="R4074" i="1"/>
  <c r="S4074" i="1"/>
  <c r="T4074" i="1"/>
  <c r="U4074" i="1"/>
  <c r="V4074" i="1"/>
  <c r="W4074" i="1"/>
  <c r="X4074" i="1"/>
  <c r="Y4074" i="1"/>
  <c r="Z4074" i="1"/>
  <c r="A4075" i="1"/>
  <c r="B4075" i="1"/>
  <c r="C4075" i="1"/>
  <c r="D4075" i="1"/>
  <c r="E4075" i="1"/>
  <c r="F4075" i="1"/>
  <c r="G4075" i="1"/>
  <c r="I4075" i="1"/>
  <c r="J4075" i="1"/>
  <c r="K4075" i="1"/>
  <c r="L4075" i="1"/>
  <c r="M4075" i="1"/>
  <c r="N4075" i="1"/>
  <c r="O4075" i="1"/>
  <c r="P4075" i="1"/>
  <c r="Q4075" i="1"/>
  <c r="R4075" i="1"/>
  <c r="S4075" i="1"/>
  <c r="T4075" i="1"/>
  <c r="U4075" i="1"/>
  <c r="V4075" i="1"/>
  <c r="W4075" i="1"/>
  <c r="X4075" i="1"/>
  <c r="Y4075" i="1"/>
  <c r="Z4075" i="1"/>
  <c r="A4076" i="1"/>
  <c r="B4076" i="1"/>
  <c r="C4076" i="1"/>
  <c r="D4076" i="1"/>
  <c r="E4076" i="1"/>
  <c r="F4076" i="1"/>
  <c r="G4076" i="1"/>
  <c r="I4076" i="1"/>
  <c r="J4076" i="1"/>
  <c r="K4076" i="1"/>
  <c r="L4076" i="1"/>
  <c r="M4076" i="1"/>
  <c r="N4076" i="1"/>
  <c r="O4076" i="1"/>
  <c r="P4076" i="1"/>
  <c r="Q4076" i="1"/>
  <c r="R4076" i="1"/>
  <c r="S4076" i="1"/>
  <c r="T4076" i="1"/>
  <c r="U4076" i="1"/>
  <c r="V4076" i="1"/>
  <c r="W4076" i="1"/>
  <c r="X4076" i="1"/>
  <c r="Y4076" i="1"/>
  <c r="Z4076" i="1"/>
  <c r="A4077" i="1"/>
  <c r="B4077" i="1"/>
  <c r="C4077" i="1"/>
  <c r="D4077" i="1"/>
  <c r="E4077" i="1"/>
  <c r="F4077" i="1"/>
  <c r="G4077" i="1"/>
  <c r="I4077" i="1"/>
  <c r="J4077" i="1"/>
  <c r="K4077" i="1"/>
  <c r="L4077" i="1"/>
  <c r="M4077" i="1"/>
  <c r="N4077" i="1"/>
  <c r="O4077" i="1"/>
  <c r="P4077" i="1"/>
  <c r="Q4077" i="1"/>
  <c r="R4077" i="1"/>
  <c r="S4077" i="1"/>
  <c r="T4077" i="1"/>
  <c r="U4077" i="1"/>
  <c r="V4077" i="1"/>
  <c r="W4077" i="1"/>
  <c r="X4077" i="1"/>
  <c r="Y4077" i="1"/>
  <c r="Z4077" i="1"/>
  <c r="A4078" i="1"/>
  <c r="B4078" i="1"/>
  <c r="C4078" i="1"/>
  <c r="D4078" i="1"/>
  <c r="E4078" i="1"/>
  <c r="F4078" i="1"/>
  <c r="G4078" i="1"/>
  <c r="I4078" i="1"/>
  <c r="J4078" i="1"/>
  <c r="K4078" i="1"/>
  <c r="L4078" i="1"/>
  <c r="M4078" i="1"/>
  <c r="N4078" i="1"/>
  <c r="O4078" i="1"/>
  <c r="P4078" i="1"/>
  <c r="Q4078" i="1"/>
  <c r="R4078" i="1"/>
  <c r="S4078" i="1"/>
  <c r="T4078" i="1"/>
  <c r="U4078" i="1"/>
  <c r="V4078" i="1"/>
  <c r="W4078" i="1"/>
  <c r="X4078" i="1"/>
  <c r="Y4078" i="1"/>
  <c r="Z4078" i="1"/>
  <c r="A4079" i="1"/>
  <c r="B4079" i="1"/>
  <c r="C4079" i="1"/>
  <c r="D4079" i="1"/>
  <c r="E4079" i="1"/>
  <c r="F4079" i="1"/>
  <c r="G4079" i="1"/>
  <c r="I4079" i="1"/>
  <c r="J4079" i="1"/>
  <c r="K4079" i="1"/>
  <c r="L4079" i="1"/>
  <c r="M4079" i="1"/>
  <c r="N4079" i="1"/>
  <c r="O4079" i="1"/>
  <c r="P4079" i="1"/>
  <c r="Q4079" i="1"/>
  <c r="R4079" i="1"/>
  <c r="S4079" i="1"/>
  <c r="T4079" i="1"/>
  <c r="U4079" i="1"/>
  <c r="V4079" i="1"/>
  <c r="W4079" i="1"/>
  <c r="X4079" i="1"/>
  <c r="Y4079" i="1"/>
  <c r="Z4079" i="1"/>
  <c r="A4080" i="1"/>
  <c r="B4080" i="1"/>
  <c r="C4080" i="1"/>
  <c r="D4080" i="1"/>
  <c r="E4080" i="1"/>
  <c r="F4080" i="1"/>
  <c r="G4080" i="1"/>
  <c r="I4080" i="1"/>
  <c r="J4080" i="1"/>
  <c r="K4080" i="1"/>
  <c r="L4080" i="1"/>
  <c r="M4080" i="1"/>
  <c r="N4080" i="1"/>
  <c r="O4080" i="1"/>
  <c r="P4080" i="1"/>
  <c r="Q4080" i="1"/>
  <c r="R4080" i="1"/>
  <c r="S4080" i="1"/>
  <c r="T4080" i="1"/>
  <c r="U4080" i="1"/>
  <c r="V4080" i="1"/>
  <c r="W4080" i="1"/>
  <c r="X4080" i="1"/>
  <c r="Y4080" i="1"/>
  <c r="Z4080" i="1"/>
  <c r="A4081" i="1"/>
  <c r="B4081" i="1"/>
  <c r="C4081" i="1"/>
  <c r="D4081" i="1"/>
  <c r="E4081" i="1"/>
  <c r="F4081" i="1"/>
  <c r="G4081" i="1"/>
  <c r="I4081" i="1"/>
  <c r="J4081" i="1"/>
  <c r="K4081" i="1"/>
  <c r="L4081" i="1"/>
  <c r="M4081" i="1"/>
  <c r="N4081" i="1"/>
  <c r="O4081" i="1"/>
  <c r="P4081" i="1"/>
  <c r="Q4081" i="1"/>
  <c r="R4081" i="1"/>
  <c r="S4081" i="1"/>
  <c r="T4081" i="1"/>
  <c r="U4081" i="1"/>
  <c r="V4081" i="1"/>
  <c r="W4081" i="1"/>
  <c r="X4081" i="1"/>
  <c r="Y4081" i="1"/>
  <c r="Z4081" i="1"/>
  <c r="A4082" i="1"/>
  <c r="B4082" i="1"/>
  <c r="C4082" i="1"/>
  <c r="D4082" i="1"/>
  <c r="E4082" i="1"/>
  <c r="F4082" i="1"/>
  <c r="G4082" i="1"/>
  <c r="I4082" i="1"/>
  <c r="J4082" i="1"/>
  <c r="K4082" i="1"/>
  <c r="L4082" i="1"/>
  <c r="M4082" i="1"/>
  <c r="N4082" i="1"/>
  <c r="O4082" i="1"/>
  <c r="P4082" i="1"/>
  <c r="Q4082" i="1"/>
  <c r="R4082" i="1"/>
  <c r="S4082" i="1"/>
  <c r="T4082" i="1"/>
  <c r="U4082" i="1"/>
  <c r="V4082" i="1"/>
  <c r="W4082" i="1"/>
  <c r="X4082" i="1"/>
  <c r="Y4082" i="1"/>
  <c r="Z4082" i="1"/>
  <c r="A4083" i="1"/>
  <c r="B4083" i="1"/>
  <c r="C4083" i="1"/>
  <c r="D4083" i="1"/>
  <c r="E4083" i="1"/>
  <c r="F4083" i="1"/>
  <c r="G4083" i="1"/>
  <c r="I4083" i="1"/>
  <c r="J4083" i="1"/>
  <c r="K4083" i="1"/>
  <c r="L4083" i="1"/>
  <c r="M4083" i="1"/>
  <c r="N4083" i="1"/>
  <c r="O4083" i="1"/>
  <c r="P4083" i="1"/>
  <c r="Q4083" i="1"/>
  <c r="R4083" i="1"/>
  <c r="S4083" i="1"/>
  <c r="T4083" i="1"/>
  <c r="U4083" i="1"/>
  <c r="V4083" i="1"/>
  <c r="W4083" i="1"/>
  <c r="X4083" i="1"/>
  <c r="Y4083" i="1"/>
  <c r="Z4083" i="1"/>
  <c r="A4084" i="1"/>
  <c r="B4084" i="1"/>
  <c r="C4084" i="1"/>
  <c r="D4084" i="1"/>
  <c r="E4084" i="1"/>
  <c r="F4084" i="1"/>
  <c r="G4084" i="1"/>
  <c r="I4084" i="1"/>
  <c r="J4084" i="1"/>
  <c r="K4084" i="1"/>
  <c r="L4084" i="1"/>
  <c r="M4084" i="1"/>
  <c r="N4084" i="1"/>
  <c r="O4084" i="1"/>
  <c r="P4084" i="1"/>
  <c r="Q4084" i="1"/>
  <c r="R4084" i="1"/>
  <c r="S4084" i="1"/>
  <c r="T4084" i="1"/>
  <c r="U4084" i="1"/>
  <c r="V4084" i="1"/>
  <c r="W4084" i="1"/>
  <c r="X4084" i="1"/>
  <c r="Y4084" i="1"/>
  <c r="Z4084" i="1"/>
  <c r="A4085" i="1"/>
  <c r="B4085" i="1"/>
  <c r="C4085" i="1"/>
  <c r="D4085" i="1"/>
  <c r="E4085" i="1"/>
  <c r="F4085" i="1"/>
  <c r="G4085" i="1"/>
  <c r="I4085" i="1"/>
  <c r="J4085" i="1"/>
  <c r="K4085" i="1"/>
  <c r="L4085" i="1"/>
  <c r="M4085" i="1"/>
  <c r="N4085" i="1"/>
  <c r="O4085" i="1"/>
  <c r="P4085" i="1"/>
  <c r="Q4085" i="1"/>
  <c r="R4085" i="1"/>
  <c r="S4085" i="1"/>
  <c r="T4085" i="1"/>
  <c r="U4085" i="1"/>
  <c r="V4085" i="1"/>
  <c r="W4085" i="1"/>
  <c r="X4085" i="1"/>
  <c r="Y4085" i="1"/>
  <c r="Z4085" i="1"/>
  <c r="A4086" i="1"/>
  <c r="B4086" i="1"/>
  <c r="C4086" i="1"/>
  <c r="D4086" i="1"/>
  <c r="E4086" i="1"/>
  <c r="F4086" i="1"/>
  <c r="G4086" i="1"/>
  <c r="I4086" i="1"/>
  <c r="J4086" i="1"/>
  <c r="K4086" i="1"/>
  <c r="L4086" i="1"/>
  <c r="M4086" i="1"/>
  <c r="N4086" i="1"/>
  <c r="O4086" i="1"/>
  <c r="P4086" i="1"/>
  <c r="Q4086" i="1"/>
  <c r="R4086" i="1"/>
  <c r="S4086" i="1"/>
  <c r="T4086" i="1"/>
  <c r="U4086" i="1"/>
  <c r="V4086" i="1"/>
  <c r="W4086" i="1"/>
  <c r="X4086" i="1"/>
  <c r="Y4086" i="1"/>
  <c r="Z4086" i="1"/>
  <c r="A4087" i="1"/>
  <c r="B4087" i="1"/>
  <c r="C4087" i="1"/>
  <c r="D4087" i="1"/>
  <c r="E4087" i="1"/>
  <c r="F4087" i="1"/>
  <c r="G4087" i="1"/>
  <c r="I4087" i="1"/>
  <c r="J4087" i="1"/>
  <c r="K4087" i="1"/>
  <c r="L4087" i="1"/>
  <c r="M4087" i="1"/>
  <c r="N4087" i="1"/>
  <c r="O4087" i="1"/>
  <c r="P4087" i="1"/>
  <c r="Q4087" i="1"/>
  <c r="R4087" i="1"/>
  <c r="S4087" i="1"/>
  <c r="T4087" i="1"/>
  <c r="U4087" i="1"/>
  <c r="V4087" i="1"/>
  <c r="W4087" i="1"/>
  <c r="X4087" i="1"/>
  <c r="Y4087" i="1"/>
  <c r="Z4087" i="1"/>
  <c r="A4088" i="1"/>
  <c r="B4088" i="1"/>
  <c r="C4088" i="1"/>
  <c r="D4088" i="1"/>
  <c r="E4088" i="1"/>
  <c r="F4088" i="1"/>
  <c r="G4088" i="1"/>
  <c r="I4088" i="1"/>
  <c r="J4088" i="1"/>
  <c r="K4088" i="1"/>
  <c r="L4088" i="1"/>
  <c r="M4088" i="1"/>
  <c r="N4088" i="1"/>
  <c r="O4088" i="1"/>
  <c r="P4088" i="1"/>
  <c r="Q4088" i="1"/>
  <c r="R4088" i="1"/>
  <c r="S4088" i="1"/>
  <c r="T4088" i="1"/>
  <c r="U4088" i="1"/>
  <c r="V4088" i="1"/>
  <c r="W4088" i="1"/>
  <c r="X4088" i="1"/>
  <c r="Y4088" i="1"/>
  <c r="Z4088" i="1"/>
  <c r="A4089" i="1"/>
  <c r="B4089" i="1"/>
  <c r="C4089" i="1"/>
  <c r="D4089" i="1"/>
  <c r="E4089" i="1"/>
  <c r="F4089" i="1"/>
  <c r="G4089" i="1"/>
  <c r="I4089" i="1"/>
  <c r="J4089" i="1"/>
  <c r="K4089" i="1"/>
  <c r="L4089" i="1"/>
  <c r="M4089" i="1"/>
  <c r="N4089" i="1"/>
  <c r="O4089" i="1"/>
  <c r="P4089" i="1"/>
  <c r="Q4089" i="1"/>
  <c r="R4089" i="1"/>
  <c r="S4089" i="1"/>
  <c r="T4089" i="1"/>
  <c r="U4089" i="1"/>
  <c r="V4089" i="1"/>
  <c r="W4089" i="1"/>
  <c r="X4089" i="1"/>
  <c r="Y4089" i="1"/>
  <c r="Z4089" i="1"/>
  <c r="A4090" i="1"/>
  <c r="B4090" i="1"/>
  <c r="C4090" i="1"/>
  <c r="D4090" i="1"/>
  <c r="E4090" i="1"/>
  <c r="F4090" i="1"/>
  <c r="G4090" i="1"/>
  <c r="I4090" i="1"/>
  <c r="J4090" i="1"/>
  <c r="K4090" i="1"/>
  <c r="L4090" i="1"/>
  <c r="M4090" i="1"/>
  <c r="N4090" i="1"/>
  <c r="O4090" i="1"/>
  <c r="P4090" i="1"/>
  <c r="Q4090" i="1"/>
  <c r="R4090" i="1"/>
  <c r="S4090" i="1"/>
  <c r="T4090" i="1"/>
  <c r="U4090" i="1"/>
  <c r="V4090" i="1"/>
  <c r="W4090" i="1"/>
  <c r="X4090" i="1"/>
  <c r="Y4090" i="1"/>
  <c r="Z4090" i="1"/>
  <c r="A4091" i="1"/>
  <c r="B4091" i="1"/>
  <c r="C4091" i="1"/>
  <c r="D4091" i="1"/>
  <c r="E4091" i="1"/>
  <c r="F4091" i="1"/>
  <c r="G4091" i="1"/>
  <c r="I4091" i="1"/>
  <c r="J4091" i="1"/>
  <c r="K4091" i="1"/>
  <c r="L4091" i="1"/>
  <c r="M4091" i="1"/>
  <c r="N4091" i="1"/>
  <c r="O4091" i="1"/>
  <c r="P4091" i="1"/>
  <c r="Q4091" i="1"/>
  <c r="R4091" i="1"/>
  <c r="S4091" i="1"/>
  <c r="T4091" i="1"/>
  <c r="U4091" i="1"/>
  <c r="V4091" i="1"/>
  <c r="W4091" i="1"/>
  <c r="X4091" i="1"/>
  <c r="Y4091" i="1"/>
  <c r="Z4091" i="1"/>
  <c r="A4092" i="1"/>
  <c r="B4092" i="1"/>
  <c r="C4092" i="1"/>
  <c r="D4092" i="1"/>
  <c r="E4092" i="1"/>
  <c r="F4092" i="1"/>
  <c r="G4092" i="1"/>
  <c r="I4092" i="1"/>
  <c r="J4092" i="1"/>
  <c r="K4092" i="1"/>
  <c r="L4092" i="1"/>
  <c r="M4092" i="1"/>
  <c r="N4092" i="1"/>
  <c r="O4092" i="1"/>
  <c r="P4092" i="1"/>
  <c r="Q4092" i="1"/>
  <c r="R4092" i="1"/>
  <c r="S4092" i="1"/>
  <c r="T4092" i="1"/>
  <c r="U4092" i="1"/>
  <c r="V4092" i="1"/>
  <c r="W4092" i="1"/>
  <c r="X4092" i="1"/>
  <c r="Y4092" i="1"/>
  <c r="Z4092" i="1"/>
  <c r="A4093" i="1"/>
  <c r="B4093" i="1"/>
  <c r="C4093" i="1"/>
  <c r="D4093" i="1"/>
  <c r="E4093" i="1"/>
  <c r="F4093" i="1"/>
  <c r="G4093" i="1"/>
  <c r="I4093" i="1"/>
  <c r="J4093" i="1"/>
  <c r="K4093" i="1"/>
  <c r="L4093" i="1"/>
  <c r="M4093" i="1"/>
  <c r="N4093" i="1"/>
  <c r="O4093" i="1"/>
  <c r="P4093" i="1"/>
  <c r="Q4093" i="1"/>
  <c r="R4093" i="1"/>
  <c r="S4093" i="1"/>
  <c r="T4093" i="1"/>
  <c r="U4093" i="1"/>
  <c r="V4093" i="1"/>
  <c r="W4093" i="1"/>
  <c r="X4093" i="1"/>
  <c r="Y4093" i="1"/>
  <c r="Z4093" i="1"/>
  <c r="A4094" i="1"/>
  <c r="B4094" i="1"/>
  <c r="C4094" i="1"/>
  <c r="D4094" i="1"/>
  <c r="E4094" i="1"/>
  <c r="F4094" i="1"/>
  <c r="G4094" i="1"/>
  <c r="I4094" i="1"/>
  <c r="J4094" i="1"/>
  <c r="K4094" i="1"/>
  <c r="L4094" i="1"/>
  <c r="M4094" i="1"/>
  <c r="N4094" i="1"/>
  <c r="O4094" i="1"/>
  <c r="P4094" i="1"/>
  <c r="Q4094" i="1"/>
  <c r="R4094" i="1"/>
  <c r="S4094" i="1"/>
  <c r="T4094" i="1"/>
  <c r="U4094" i="1"/>
  <c r="V4094" i="1"/>
  <c r="W4094" i="1"/>
  <c r="X4094" i="1"/>
  <c r="Y4094" i="1"/>
  <c r="Z4094" i="1"/>
  <c r="A4095" i="1"/>
  <c r="B4095" i="1"/>
  <c r="C4095" i="1"/>
  <c r="D4095" i="1"/>
  <c r="E4095" i="1"/>
  <c r="F4095" i="1"/>
  <c r="G4095" i="1"/>
  <c r="I4095" i="1"/>
  <c r="J4095" i="1"/>
  <c r="K4095" i="1"/>
  <c r="L4095" i="1"/>
  <c r="M4095" i="1"/>
  <c r="N4095" i="1"/>
  <c r="O4095" i="1"/>
  <c r="P4095" i="1"/>
  <c r="Q4095" i="1"/>
  <c r="R4095" i="1"/>
  <c r="S4095" i="1"/>
  <c r="T4095" i="1"/>
  <c r="U4095" i="1"/>
  <c r="V4095" i="1"/>
  <c r="W4095" i="1"/>
  <c r="X4095" i="1"/>
  <c r="Y4095" i="1"/>
  <c r="Z4095" i="1"/>
  <c r="A4096" i="1"/>
  <c r="B4096" i="1"/>
  <c r="C4096" i="1"/>
  <c r="D4096" i="1"/>
  <c r="E4096" i="1"/>
  <c r="F4096" i="1"/>
  <c r="G4096" i="1"/>
  <c r="I4096" i="1"/>
  <c r="J4096" i="1"/>
  <c r="K4096" i="1"/>
  <c r="L4096" i="1"/>
  <c r="M4096" i="1"/>
  <c r="N4096" i="1"/>
  <c r="O4096" i="1"/>
  <c r="P4096" i="1"/>
  <c r="Q4096" i="1"/>
  <c r="R4096" i="1"/>
  <c r="S4096" i="1"/>
  <c r="T4096" i="1"/>
  <c r="U4096" i="1"/>
  <c r="V4096" i="1"/>
  <c r="W4096" i="1"/>
  <c r="X4096" i="1"/>
  <c r="Y4096" i="1"/>
  <c r="Z4096" i="1"/>
  <c r="A4097" i="1"/>
  <c r="B4097" i="1"/>
  <c r="C4097" i="1"/>
  <c r="D4097" i="1"/>
  <c r="E4097" i="1"/>
  <c r="F4097" i="1"/>
  <c r="G4097" i="1"/>
  <c r="I4097" i="1"/>
  <c r="J4097" i="1"/>
  <c r="K4097" i="1"/>
  <c r="L4097" i="1"/>
  <c r="M4097" i="1"/>
  <c r="N4097" i="1"/>
  <c r="O4097" i="1"/>
  <c r="P4097" i="1"/>
  <c r="Q4097" i="1"/>
  <c r="R4097" i="1"/>
  <c r="S4097" i="1"/>
  <c r="T4097" i="1"/>
  <c r="U4097" i="1"/>
  <c r="V4097" i="1"/>
  <c r="W4097" i="1"/>
  <c r="X4097" i="1"/>
  <c r="Y4097" i="1"/>
  <c r="Z4097" i="1"/>
  <c r="A4098" i="1"/>
  <c r="B4098" i="1"/>
  <c r="C4098" i="1"/>
  <c r="D4098" i="1"/>
  <c r="E4098" i="1"/>
  <c r="F4098" i="1"/>
  <c r="G4098" i="1"/>
  <c r="I4098" i="1"/>
  <c r="J4098" i="1"/>
  <c r="K4098" i="1"/>
  <c r="L4098" i="1"/>
  <c r="M4098" i="1"/>
  <c r="N4098" i="1"/>
  <c r="O4098" i="1"/>
  <c r="P4098" i="1"/>
  <c r="Q4098" i="1"/>
  <c r="R4098" i="1"/>
  <c r="S4098" i="1"/>
  <c r="T4098" i="1"/>
  <c r="U4098" i="1"/>
  <c r="V4098" i="1"/>
  <c r="W4098" i="1"/>
  <c r="X4098" i="1"/>
  <c r="Y4098" i="1"/>
  <c r="Z4098" i="1"/>
  <c r="A4099" i="1"/>
  <c r="B4099" i="1"/>
  <c r="C4099" i="1"/>
  <c r="D4099" i="1"/>
  <c r="E4099" i="1"/>
  <c r="F4099" i="1"/>
  <c r="G4099" i="1"/>
  <c r="I4099" i="1"/>
  <c r="J4099" i="1"/>
  <c r="K4099" i="1"/>
  <c r="L4099" i="1"/>
  <c r="M4099" i="1"/>
  <c r="N4099" i="1"/>
  <c r="O4099" i="1"/>
  <c r="P4099" i="1"/>
  <c r="Q4099" i="1"/>
  <c r="R4099" i="1"/>
  <c r="S4099" i="1"/>
  <c r="T4099" i="1"/>
  <c r="U4099" i="1"/>
  <c r="V4099" i="1"/>
  <c r="W4099" i="1"/>
  <c r="X4099" i="1"/>
  <c r="Y4099" i="1"/>
  <c r="Z4099" i="1"/>
  <c r="A4100" i="1"/>
  <c r="B4100" i="1"/>
  <c r="C4100" i="1"/>
  <c r="D4100" i="1"/>
  <c r="E4100" i="1"/>
  <c r="F4100" i="1"/>
  <c r="G4100" i="1"/>
  <c r="I4100" i="1"/>
  <c r="J4100" i="1"/>
  <c r="K4100" i="1"/>
  <c r="L4100" i="1"/>
  <c r="M4100" i="1"/>
  <c r="N4100" i="1"/>
  <c r="O4100" i="1"/>
  <c r="P4100" i="1"/>
  <c r="Q4100" i="1"/>
  <c r="R4100" i="1"/>
  <c r="S4100" i="1"/>
  <c r="T4100" i="1"/>
  <c r="U4100" i="1"/>
  <c r="V4100" i="1"/>
  <c r="W4100" i="1"/>
  <c r="X4100" i="1"/>
  <c r="Y4100" i="1"/>
  <c r="Z4100" i="1"/>
  <c r="A4101" i="1"/>
  <c r="B4101" i="1"/>
  <c r="C4101" i="1"/>
  <c r="D4101" i="1"/>
  <c r="E4101" i="1"/>
  <c r="F4101" i="1"/>
  <c r="G4101" i="1"/>
  <c r="I4101" i="1"/>
  <c r="J4101" i="1"/>
  <c r="K4101" i="1"/>
  <c r="L4101" i="1"/>
  <c r="M4101" i="1"/>
  <c r="N4101" i="1"/>
  <c r="O4101" i="1"/>
  <c r="P4101" i="1"/>
  <c r="Q4101" i="1"/>
  <c r="R4101" i="1"/>
  <c r="S4101" i="1"/>
  <c r="T4101" i="1"/>
  <c r="U4101" i="1"/>
  <c r="V4101" i="1"/>
  <c r="W4101" i="1"/>
  <c r="X4101" i="1"/>
  <c r="Y4101" i="1"/>
  <c r="Z4101" i="1"/>
  <c r="A4102" i="1"/>
  <c r="B4102" i="1"/>
  <c r="C4102" i="1"/>
  <c r="D4102" i="1"/>
  <c r="E4102" i="1"/>
  <c r="F4102" i="1"/>
  <c r="G4102" i="1"/>
  <c r="I4102" i="1"/>
  <c r="J4102" i="1"/>
  <c r="K4102" i="1"/>
  <c r="L4102" i="1"/>
  <c r="M4102" i="1"/>
  <c r="N4102" i="1"/>
  <c r="O4102" i="1"/>
  <c r="P4102" i="1"/>
  <c r="Q4102" i="1"/>
  <c r="R4102" i="1"/>
  <c r="S4102" i="1"/>
  <c r="T4102" i="1"/>
  <c r="U4102" i="1"/>
  <c r="V4102" i="1"/>
  <c r="W4102" i="1"/>
  <c r="X4102" i="1"/>
  <c r="Y4102" i="1"/>
  <c r="Z4102" i="1"/>
  <c r="A4103" i="1"/>
  <c r="B4103" i="1"/>
  <c r="C4103" i="1"/>
  <c r="D4103" i="1"/>
  <c r="E4103" i="1"/>
  <c r="F4103" i="1"/>
  <c r="G4103" i="1"/>
  <c r="I4103" i="1"/>
  <c r="J4103" i="1"/>
  <c r="K4103" i="1"/>
  <c r="L4103" i="1"/>
  <c r="M4103" i="1"/>
  <c r="N4103" i="1"/>
  <c r="O4103" i="1"/>
  <c r="P4103" i="1"/>
  <c r="Q4103" i="1"/>
  <c r="R4103" i="1"/>
  <c r="S4103" i="1"/>
  <c r="T4103" i="1"/>
  <c r="U4103" i="1"/>
  <c r="V4103" i="1"/>
  <c r="W4103" i="1"/>
  <c r="X4103" i="1"/>
  <c r="Y4103" i="1"/>
  <c r="Z4103" i="1"/>
  <c r="A4104" i="1"/>
  <c r="B4104" i="1"/>
  <c r="C4104" i="1"/>
  <c r="D4104" i="1"/>
  <c r="E4104" i="1"/>
  <c r="F4104" i="1"/>
  <c r="G4104" i="1"/>
  <c r="I4104" i="1"/>
  <c r="J4104" i="1"/>
  <c r="K4104" i="1"/>
  <c r="L4104" i="1"/>
  <c r="M4104" i="1"/>
  <c r="N4104" i="1"/>
  <c r="O4104" i="1"/>
  <c r="P4104" i="1"/>
  <c r="Q4104" i="1"/>
  <c r="R4104" i="1"/>
  <c r="S4104" i="1"/>
  <c r="T4104" i="1"/>
  <c r="U4104" i="1"/>
  <c r="V4104" i="1"/>
  <c r="W4104" i="1"/>
  <c r="X4104" i="1"/>
  <c r="Y4104" i="1"/>
  <c r="Z4104" i="1"/>
  <c r="A4105" i="1"/>
  <c r="B4105" i="1"/>
  <c r="C4105" i="1"/>
  <c r="D4105" i="1"/>
  <c r="E4105" i="1"/>
  <c r="F4105" i="1"/>
  <c r="G4105" i="1"/>
  <c r="I4105" i="1"/>
  <c r="J4105" i="1"/>
  <c r="K4105" i="1"/>
  <c r="L4105" i="1"/>
  <c r="M4105" i="1"/>
  <c r="N4105" i="1"/>
  <c r="O4105" i="1"/>
  <c r="P4105" i="1"/>
  <c r="Q4105" i="1"/>
  <c r="R4105" i="1"/>
  <c r="S4105" i="1"/>
  <c r="T4105" i="1"/>
  <c r="U4105" i="1"/>
  <c r="V4105" i="1"/>
  <c r="W4105" i="1"/>
  <c r="X4105" i="1"/>
  <c r="Y4105" i="1"/>
  <c r="Z4105" i="1"/>
  <c r="A4106" i="1"/>
  <c r="B4106" i="1"/>
  <c r="C4106" i="1"/>
  <c r="D4106" i="1"/>
  <c r="E4106" i="1"/>
  <c r="F4106" i="1"/>
  <c r="G4106" i="1"/>
  <c r="I4106" i="1"/>
  <c r="J4106" i="1"/>
  <c r="K4106" i="1"/>
  <c r="L4106" i="1"/>
  <c r="M4106" i="1"/>
  <c r="N4106" i="1"/>
  <c r="O4106" i="1"/>
  <c r="P4106" i="1"/>
  <c r="Q4106" i="1"/>
  <c r="R4106" i="1"/>
  <c r="S4106" i="1"/>
  <c r="T4106" i="1"/>
  <c r="U4106" i="1"/>
  <c r="V4106" i="1"/>
  <c r="W4106" i="1"/>
  <c r="X4106" i="1"/>
  <c r="Y4106" i="1"/>
  <c r="Z4106" i="1"/>
  <c r="A4107" i="1"/>
  <c r="B4107" i="1"/>
  <c r="C4107" i="1"/>
  <c r="D4107" i="1"/>
  <c r="E4107" i="1"/>
  <c r="F4107" i="1"/>
  <c r="G4107" i="1"/>
  <c r="I4107" i="1"/>
  <c r="J4107" i="1"/>
  <c r="K4107" i="1"/>
  <c r="L4107" i="1"/>
  <c r="M4107" i="1"/>
  <c r="N4107" i="1"/>
  <c r="O4107" i="1"/>
  <c r="P4107" i="1"/>
  <c r="Q4107" i="1"/>
  <c r="R4107" i="1"/>
  <c r="S4107" i="1"/>
  <c r="T4107" i="1"/>
  <c r="U4107" i="1"/>
  <c r="V4107" i="1"/>
  <c r="W4107" i="1"/>
  <c r="X4107" i="1"/>
  <c r="Y4107" i="1"/>
  <c r="Z4107" i="1"/>
  <c r="A4108" i="1"/>
  <c r="B4108" i="1"/>
  <c r="C4108" i="1"/>
  <c r="D4108" i="1"/>
  <c r="E4108" i="1"/>
  <c r="F4108" i="1"/>
  <c r="G4108" i="1"/>
  <c r="I4108" i="1"/>
  <c r="J4108" i="1"/>
  <c r="K4108" i="1"/>
  <c r="L4108" i="1"/>
  <c r="M4108" i="1"/>
  <c r="N4108" i="1"/>
  <c r="O4108" i="1"/>
  <c r="P4108" i="1"/>
  <c r="Q4108" i="1"/>
  <c r="R4108" i="1"/>
  <c r="S4108" i="1"/>
  <c r="T4108" i="1"/>
  <c r="U4108" i="1"/>
  <c r="V4108" i="1"/>
  <c r="W4108" i="1"/>
  <c r="X4108" i="1"/>
  <c r="Y4108" i="1"/>
  <c r="Z4108" i="1"/>
  <c r="A4109" i="1"/>
  <c r="B4109" i="1"/>
  <c r="C4109" i="1"/>
  <c r="D4109" i="1"/>
  <c r="E4109" i="1"/>
  <c r="F4109" i="1"/>
  <c r="G4109" i="1"/>
  <c r="I4109" i="1"/>
  <c r="J4109" i="1"/>
  <c r="K4109" i="1"/>
  <c r="L4109" i="1"/>
  <c r="M4109" i="1"/>
  <c r="N4109" i="1"/>
  <c r="O4109" i="1"/>
  <c r="P4109" i="1"/>
  <c r="Q4109" i="1"/>
  <c r="R4109" i="1"/>
  <c r="S4109" i="1"/>
  <c r="T4109" i="1"/>
  <c r="U4109" i="1"/>
  <c r="V4109" i="1"/>
  <c r="W4109" i="1"/>
  <c r="X4109" i="1"/>
  <c r="Y4109" i="1"/>
  <c r="Z4109" i="1"/>
  <c r="A4110" i="1"/>
  <c r="B4110" i="1"/>
  <c r="C4110" i="1"/>
  <c r="D4110" i="1"/>
  <c r="E4110" i="1"/>
  <c r="F4110" i="1"/>
  <c r="G4110" i="1"/>
  <c r="I4110" i="1"/>
  <c r="J4110" i="1"/>
  <c r="K4110" i="1"/>
  <c r="L4110" i="1"/>
  <c r="M4110" i="1"/>
  <c r="N4110" i="1"/>
  <c r="O4110" i="1"/>
  <c r="P4110" i="1"/>
  <c r="Q4110" i="1"/>
  <c r="R4110" i="1"/>
  <c r="S4110" i="1"/>
  <c r="T4110" i="1"/>
  <c r="U4110" i="1"/>
  <c r="V4110" i="1"/>
  <c r="W4110" i="1"/>
  <c r="X4110" i="1"/>
  <c r="Y4110" i="1"/>
  <c r="Z4110" i="1"/>
  <c r="A4111" i="1"/>
  <c r="B4111" i="1"/>
  <c r="C4111" i="1"/>
  <c r="D4111" i="1"/>
  <c r="E4111" i="1"/>
  <c r="F4111" i="1"/>
  <c r="G4111" i="1"/>
  <c r="I4111" i="1"/>
  <c r="J4111" i="1"/>
  <c r="K4111" i="1"/>
  <c r="L4111" i="1"/>
  <c r="M4111" i="1"/>
  <c r="N4111" i="1"/>
  <c r="O4111" i="1"/>
  <c r="P4111" i="1"/>
  <c r="Q4111" i="1"/>
  <c r="R4111" i="1"/>
  <c r="S4111" i="1"/>
  <c r="T4111" i="1"/>
  <c r="U4111" i="1"/>
  <c r="V4111" i="1"/>
  <c r="W4111" i="1"/>
  <c r="X4111" i="1"/>
  <c r="Y4111" i="1"/>
  <c r="Z4111" i="1"/>
  <c r="A4112" i="1"/>
  <c r="B4112" i="1"/>
  <c r="C4112" i="1"/>
  <c r="D4112" i="1"/>
  <c r="E4112" i="1"/>
  <c r="F4112" i="1"/>
  <c r="G4112" i="1"/>
  <c r="I4112" i="1"/>
  <c r="J4112" i="1"/>
  <c r="K4112" i="1"/>
  <c r="L4112" i="1"/>
  <c r="M4112" i="1"/>
  <c r="N4112" i="1"/>
  <c r="O4112" i="1"/>
  <c r="P4112" i="1"/>
  <c r="Q4112" i="1"/>
  <c r="R4112" i="1"/>
  <c r="S4112" i="1"/>
  <c r="T4112" i="1"/>
  <c r="U4112" i="1"/>
  <c r="V4112" i="1"/>
  <c r="W4112" i="1"/>
  <c r="X4112" i="1"/>
  <c r="Y4112" i="1"/>
  <c r="Z4112" i="1"/>
  <c r="A4113" i="1"/>
  <c r="B4113" i="1"/>
  <c r="C4113" i="1"/>
  <c r="D4113" i="1"/>
  <c r="E4113" i="1"/>
  <c r="F4113" i="1"/>
  <c r="G4113" i="1"/>
  <c r="I4113" i="1"/>
  <c r="J4113" i="1"/>
  <c r="K4113" i="1"/>
  <c r="L4113" i="1"/>
  <c r="M4113" i="1"/>
  <c r="N4113" i="1"/>
  <c r="O4113" i="1"/>
  <c r="P4113" i="1"/>
  <c r="Q4113" i="1"/>
  <c r="R4113" i="1"/>
  <c r="S4113" i="1"/>
  <c r="T4113" i="1"/>
  <c r="U4113" i="1"/>
  <c r="V4113" i="1"/>
  <c r="W4113" i="1"/>
  <c r="X4113" i="1"/>
  <c r="Y4113" i="1"/>
  <c r="Z4113" i="1"/>
  <c r="A4114" i="1"/>
  <c r="B4114" i="1"/>
  <c r="C4114" i="1"/>
  <c r="D4114" i="1"/>
  <c r="E4114" i="1"/>
  <c r="F4114" i="1"/>
  <c r="G4114" i="1"/>
  <c r="I4114" i="1"/>
  <c r="J4114" i="1"/>
  <c r="K4114" i="1"/>
  <c r="L4114" i="1"/>
  <c r="M4114" i="1"/>
  <c r="N4114" i="1"/>
  <c r="O4114" i="1"/>
  <c r="P4114" i="1"/>
  <c r="Q4114" i="1"/>
  <c r="R4114" i="1"/>
  <c r="S4114" i="1"/>
  <c r="T4114" i="1"/>
  <c r="U4114" i="1"/>
  <c r="V4114" i="1"/>
  <c r="W4114" i="1"/>
  <c r="X4114" i="1"/>
  <c r="Y4114" i="1"/>
  <c r="Z4114" i="1"/>
  <c r="A4115" i="1"/>
  <c r="B4115" i="1"/>
  <c r="C4115" i="1"/>
  <c r="D4115" i="1"/>
  <c r="E4115" i="1"/>
  <c r="F4115" i="1"/>
  <c r="G4115" i="1"/>
  <c r="I4115" i="1"/>
  <c r="J4115" i="1"/>
  <c r="K4115" i="1"/>
  <c r="L4115" i="1"/>
  <c r="M4115" i="1"/>
  <c r="N4115" i="1"/>
  <c r="O4115" i="1"/>
  <c r="P4115" i="1"/>
  <c r="Q4115" i="1"/>
  <c r="R4115" i="1"/>
  <c r="S4115" i="1"/>
  <c r="T4115" i="1"/>
  <c r="U4115" i="1"/>
  <c r="V4115" i="1"/>
  <c r="W4115" i="1"/>
  <c r="X4115" i="1"/>
  <c r="Y4115" i="1"/>
  <c r="Z4115" i="1"/>
  <c r="A4116" i="1"/>
  <c r="B4116" i="1"/>
  <c r="C4116" i="1"/>
  <c r="D4116" i="1"/>
  <c r="E4116" i="1"/>
  <c r="F4116" i="1"/>
  <c r="G4116" i="1"/>
  <c r="I4116" i="1"/>
  <c r="J4116" i="1"/>
  <c r="K4116" i="1"/>
  <c r="L4116" i="1"/>
  <c r="M4116" i="1"/>
  <c r="N4116" i="1"/>
  <c r="O4116" i="1"/>
  <c r="P4116" i="1"/>
  <c r="Q4116" i="1"/>
  <c r="R4116" i="1"/>
  <c r="S4116" i="1"/>
  <c r="T4116" i="1"/>
  <c r="U4116" i="1"/>
  <c r="V4116" i="1"/>
  <c r="W4116" i="1"/>
  <c r="X4116" i="1"/>
  <c r="Y4116" i="1"/>
  <c r="Z4116" i="1"/>
  <c r="A4117" i="1"/>
  <c r="B4117" i="1"/>
  <c r="C4117" i="1"/>
  <c r="D4117" i="1"/>
  <c r="E4117" i="1"/>
  <c r="F4117" i="1"/>
  <c r="G4117" i="1"/>
  <c r="I4117" i="1"/>
  <c r="J4117" i="1"/>
  <c r="K4117" i="1"/>
  <c r="L4117" i="1"/>
  <c r="M4117" i="1"/>
  <c r="N4117" i="1"/>
  <c r="O4117" i="1"/>
  <c r="P4117" i="1"/>
  <c r="Q4117" i="1"/>
  <c r="R4117" i="1"/>
  <c r="S4117" i="1"/>
  <c r="T4117" i="1"/>
  <c r="U4117" i="1"/>
  <c r="V4117" i="1"/>
  <c r="W4117" i="1"/>
  <c r="X4117" i="1"/>
  <c r="Y4117" i="1"/>
  <c r="Z4117" i="1"/>
  <c r="A4118" i="1"/>
  <c r="B4118" i="1"/>
  <c r="C4118" i="1"/>
  <c r="D4118" i="1"/>
  <c r="E4118" i="1"/>
  <c r="F4118" i="1"/>
  <c r="G4118" i="1"/>
  <c r="I4118" i="1"/>
  <c r="J4118" i="1"/>
  <c r="K4118" i="1"/>
  <c r="L4118" i="1"/>
  <c r="M4118" i="1"/>
  <c r="N4118" i="1"/>
  <c r="O4118" i="1"/>
  <c r="P4118" i="1"/>
  <c r="Q4118" i="1"/>
  <c r="R4118" i="1"/>
  <c r="S4118" i="1"/>
  <c r="T4118" i="1"/>
  <c r="U4118" i="1"/>
  <c r="V4118" i="1"/>
  <c r="W4118" i="1"/>
  <c r="X4118" i="1"/>
  <c r="Y4118" i="1"/>
  <c r="Z4118" i="1"/>
  <c r="A4119" i="1"/>
  <c r="B4119" i="1"/>
  <c r="C4119" i="1"/>
  <c r="D4119" i="1"/>
  <c r="E4119" i="1"/>
  <c r="F4119" i="1"/>
  <c r="G4119" i="1"/>
  <c r="I4119" i="1"/>
  <c r="J4119" i="1"/>
  <c r="K4119" i="1"/>
  <c r="L4119" i="1"/>
  <c r="M4119" i="1"/>
  <c r="N4119" i="1"/>
  <c r="O4119" i="1"/>
  <c r="P4119" i="1"/>
  <c r="Q4119" i="1"/>
  <c r="R4119" i="1"/>
  <c r="S4119" i="1"/>
  <c r="T4119" i="1"/>
  <c r="U4119" i="1"/>
  <c r="V4119" i="1"/>
  <c r="W4119" i="1"/>
  <c r="X4119" i="1"/>
  <c r="Y4119" i="1"/>
  <c r="Z4119" i="1"/>
  <c r="A4120" i="1"/>
  <c r="B4120" i="1"/>
  <c r="C4120" i="1"/>
  <c r="D4120" i="1"/>
  <c r="E4120" i="1"/>
  <c r="F4120" i="1"/>
  <c r="G4120" i="1"/>
  <c r="I4120" i="1"/>
  <c r="J4120" i="1"/>
  <c r="K4120" i="1"/>
  <c r="L4120" i="1"/>
  <c r="M4120" i="1"/>
  <c r="N4120" i="1"/>
  <c r="O4120" i="1"/>
  <c r="P4120" i="1"/>
  <c r="Q4120" i="1"/>
  <c r="R4120" i="1"/>
  <c r="S4120" i="1"/>
  <c r="T4120" i="1"/>
  <c r="U4120" i="1"/>
  <c r="V4120" i="1"/>
  <c r="W4120" i="1"/>
  <c r="X4120" i="1"/>
  <c r="Y4120" i="1"/>
  <c r="Z4120" i="1"/>
  <c r="A4121" i="1"/>
  <c r="B4121" i="1"/>
  <c r="C4121" i="1"/>
  <c r="D4121" i="1"/>
  <c r="E4121" i="1"/>
  <c r="F4121" i="1"/>
  <c r="G4121" i="1"/>
  <c r="I4121" i="1"/>
  <c r="J4121" i="1"/>
  <c r="K4121" i="1"/>
  <c r="L4121" i="1"/>
  <c r="M4121" i="1"/>
  <c r="N4121" i="1"/>
  <c r="O4121" i="1"/>
  <c r="P4121" i="1"/>
  <c r="Q4121" i="1"/>
  <c r="R4121" i="1"/>
  <c r="S4121" i="1"/>
  <c r="T4121" i="1"/>
  <c r="U4121" i="1"/>
  <c r="V4121" i="1"/>
  <c r="W4121" i="1"/>
  <c r="X4121" i="1"/>
  <c r="Y4121" i="1"/>
  <c r="Z4121" i="1"/>
  <c r="A4122" i="1"/>
  <c r="B4122" i="1"/>
  <c r="C4122" i="1"/>
  <c r="D4122" i="1"/>
  <c r="E4122" i="1"/>
  <c r="F4122" i="1"/>
  <c r="G4122" i="1"/>
  <c r="I4122" i="1"/>
  <c r="J4122" i="1"/>
  <c r="K4122" i="1"/>
  <c r="L4122" i="1"/>
  <c r="M4122" i="1"/>
  <c r="N4122" i="1"/>
  <c r="O4122" i="1"/>
  <c r="P4122" i="1"/>
  <c r="Q4122" i="1"/>
  <c r="R4122" i="1"/>
  <c r="S4122" i="1"/>
  <c r="T4122" i="1"/>
  <c r="U4122" i="1"/>
  <c r="V4122" i="1"/>
  <c r="W4122" i="1"/>
  <c r="X4122" i="1"/>
  <c r="Y4122" i="1"/>
  <c r="Z4122" i="1"/>
  <c r="A4123" i="1"/>
  <c r="B4123" i="1"/>
  <c r="C4123" i="1"/>
  <c r="D4123" i="1"/>
  <c r="E4123" i="1"/>
  <c r="F4123" i="1"/>
  <c r="G4123" i="1"/>
  <c r="I4123" i="1"/>
  <c r="J4123" i="1"/>
  <c r="K4123" i="1"/>
  <c r="L4123" i="1"/>
  <c r="M4123" i="1"/>
  <c r="N4123" i="1"/>
  <c r="O4123" i="1"/>
  <c r="P4123" i="1"/>
  <c r="Q4123" i="1"/>
  <c r="R4123" i="1"/>
  <c r="S4123" i="1"/>
  <c r="T4123" i="1"/>
  <c r="U4123" i="1"/>
  <c r="V4123" i="1"/>
  <c r="W4123" i="1"/>
  <c r="X4123" i="1"/>
  <c r="Y4123" i="1"/>
  <c r="Z4123" i="1"/>
  <c r="A4124" i="1"/>
  <c r="B4124" i="1"/>
  <c r="C4124" i="1"/>
  <c r="D4124" i="1"/>
  <c r="E4124" i="1"/>
  <c r="F4124" i="1"/>
  <c r="G4124" i="1"/>
  <c r="I4124" i="1"/>
  <c r="J4124" i="1"/>
  <c r="K4124" i="1"/>
  <c r="L4124" i="1"/>
  <c r="M4124" i="1"/>
  <c r="N4124" i="1"/>
  <c r="O4124" i="1"/>
  <c r="P4124" i="1"/>
  <c r="Q4124" i="1"/>
  <c r="R4124" i="1"/>
  <c r="S4124" i="1"/>
  <c r="T4124" i="1"/>
  <c r="U4124" i="1"/>
  <c r="V4124" i="1"/>
  <c r="W4124" i="1"/>
  <c r="X4124" i="1"/>
  <c r="Y4124" i="1"/>
  <c r="Z4124" i="1"/>
  <c r="A4125" i="1"/>
  <c r="B4125" i="1"/>
  <c r="C4125" i="1"/>
  <c r="D4125" i="1"/>
  <c r="E4125" i="1"/>
  <c r="F4125" i="1"/>
  <c r="G4125" i="1"/>
  <c r="I4125" i="1"/>
  <c r="J4125" i="1"/>
  <c r="K4125" i="1"/>
  <c r="L4125" i="1"/>
  <c r="M4125" i="1"/>
  <c r="N4125" i="1"/>
  <c r="O4125" i="1"/>
  <c r="P4125" i="1"/>
  <c r="Q4125" i="1"/>
  <c r="R4125" i="1"/>
  <c r="S4125" i="1"/>
  <c r="T4125" i="1"/>
  <c r="U4125" i="1"/>
  <c r="V4125" i="1"/>
  <c r="W4125" i="1"/>
  <c r="X4125" i="1"/>
  <c r="Y4125" i="1"/>
  <c r="Z4125" i="1"/>
  <c r="A4126" i="1"/>
  <c r="B4126" i="1"/>
  <c r="C4126" i="1"/>
  <c r="D4126" i="1"/>
  <c r="E4126" i="1"/>
  <c r="F4126" i="1"/>
  <c r="G4126" i="1"/>
  <c r="I4126" i="1"/>
  <c r="J4126" i="1"/>
  <c r="K4126" i="1"/>
  <c r="L4126" i="1"/>
  <c r="M4126" i="1"/>
  <c r="N4126" i="1"/>
  <c r="O4126" i="1"/>
  <c r="P4126" i="1"/>
  <c r="Q4126" i="1"/>
  <c r="R4126" i="1"/>
  <c r="S4126" i="1"/>
  <c r="T4126" i="1"/>
  <c r="U4126" i="1"/>
  <c r="V4126" i="1"/>
  <c r="W4126" i="1"/>
  <c r="X4126" i="1"/>
  <c r="Y4126" i="1"/>
  <c r="Z4126" i="1"/>
  <c r="A4127" i="1"/>
  <c r="B4127" i="1"/>
  <c r="C4127" i="1"/>
  <c r="D4127" i="1"/>
  <c r="E4127" i="1"/>
  <c r="F4127" i="1"/>
  <c r="G4127" i="1"/>
  <c r="I4127" i="1"/>
  <c r="J4127" i="1"/>
  <c r="K4127" i="1"/>
  <c r="L4127" i="1"/>
  <c r="M4127" i="1"/>
  <c r="N4127" i="1"/>
  <c r="O4127" i="1"/>
  <c r="P4127" i="1"/>
  <c r="Q4127" i="1"/>
  <c r="R4127" i="1"/>
  <c r="S4127" i="1"/>
  <c r="T4127" i="1"/>
  <c r="U4127" i="1"/>
  <c r="V4127" i="1"/>
  <c r="W4127" i="1"/>
  <c r="X4127" i="1"/>
  <c r="Y4127" i="1"/>
  <c r="Z4127" i="1"/>
  <c r="A4128" i="1"/>
  <c r="B4128" i="1"/>
  <c r="C4128" i="1"/>
  <c r="D4128" i="1"/>
  <c r="E4128" i="1"/>
  <c r="F4128" i="1"/>
  <c r="G4128" i="1"/>
  <c r="I4128" i="1"/>
  <c r="J4128" i="1"/>
  <c r="K4128" i="1"/>
  <c r="L4128" i="1"/>
  <c r="M4128" i="1"/>
  <c r="N4128" i="1"/>
  <c r="O4128" i="1"/>
  <c r="P4128" i="1"/>
  <c r="Q4128" i="1"/>
  <c r="R4128" i="1"/>
  <c r="S4128" i="1"/>
  <c r="T4128" i="1"/>
  <c r="U4128" i="1"/>
  <c r="V4128" i="1"/>
  <c r="W4128" i="1"/>
  <c r="X4128" i="1"/>
  <c r="Y4128" i="1"/>
  <c r="Z4128" i="1"/>
  <c r="A4129" i="1"/>
  <c r="B4129" i="1"/>
  <c r="C4129" i="1"/>
  <c r="D4129" i="1"/>
  <c r="E4129" i="1"/>
  <c r="F4129" i="1"/>
  <c r="G4129" i="1"/>
  <c r="I4129" i="1"/>
  <c r="J4129" i="1"/>
  <c r="K4129" i="1"/>
  <c r="L4129" i="1"/>
  <c r="M4129" i="1"/>
  <c r="N4129" i="1"/>
  <c r="O4129" i="1"/>
  <c r="P4129" i="1"/>
  <c r="Q4129" i="1"/>
  <c r="R4129" i="1"/>
  <c r="S4129" i="1"/>
  <c r="T4129" i="1"/>
  <c r="U4129" i="1"/>
  <c r="V4129" i="1"/>
  <c r="W4129" i="1"/>
  <c r="X4129" i="1"/>
  <c r="Y4129" i="1"/>
  <c r="Z4129" i="1"/>
  <c r="A4130" i="1"/>
  <c r="B4130" i="1"/>
  <c r="C4130" i="1"/>
  <c r="D4130" i="1"/>
  <c r="E4130" i="1"/>
  <c r="F4130" i="1"/>
  <c r="G4130" i="1"/>
  <c r="I4130" i="1"/>
  <c r="J4130" i="1"/>
  <c r="K4130" i="1"/>
  <c r="L4130" i="1"/>
  <c r="M4130" i="1"/>
  <c r="N4130" i="1"/>
  <c r="O4130" i="1"/>
  <c r="P4130" i="1"/>
  <c r="Q4130" i="1"/>
  <c r="R4130" i="1"/>
  <c r="S4130" i="1"/>
  <c r="T4130" i="1"/>
  <c r="U4130" i="1"/>
  <c r="V4130" i="1"/>
  <c r="W4130" i="1"/>
  <c r="X4130" i="1"/>
  <c r="Y4130" i="1"/>
  <c r="Z4130" i="1"/>
  <c r="A4131" i="1"/>
  <c r="B4131" i="1"/>
  <c r="C4131" i="1"/>
  <c r="D4131" i="1"/>
  <c r="E4131" i="1"/>
  <c r="F4131" i="1"/>
  <c r="G4131" i="1"/>
  <c r="I4131" i="1"/>
  <c r="J4131" i="1"/>
  <c r="K4131" i="1"/>
  <c r="L4131" i="1"/>
  <c r="M4131" i="1"/>
  <c r="N4131" i="1"/>
  <c r="O4131" i="1"/>
  <c r="P4131" i="1"/>
  <c r="Q4131" i="1"/>
  <c r="R4131" i="1"/>
  <c r="S4131" i="1"/>
  <c r="T4131" i="1"/>
  <c r="U4131" i="1"/>
  <c r="V4131" i="1"/>
  <c r="W4131" i="1"/>
  <c r="X4131" i="1"/>
  <c r="Y4131" i="1"/>
  <c r="Z4131" i="1"/>
  <c r="A4132" i="1"/>
  <c r="B4132" i="1"/>
  <c r="C4132" i="1"/>
  <c r="D4132" i="1"/>
  <c r="E4132" i="1"/>
  <c r="F4132" i="1"/>
  <c r="G4132" i="1"/>
  <c r="I4132" i="1"/>
  <c r="J4132" i="1"/>
  <c r="K4132" i="1"/>
  <c r="L4132" i="1"/>
  <c r="M4132" i="1"/>
  <c r="N4132" i="1"/>
  <c r="O4132" i="1"/>
  <c r="P4132" i="1"/>
  <c r="Q4132" i="1"/>
  <c r="R4132" i="1"/>
  <c r="S4132" i="1"/>
  <c r="T4132" i="1"/>
  <c r="U4132" i="1"/>
  <c r="V4132" i="1"/>
  <c r="W4132" i="1"/>
  <c r="X4132" i="1"/>
  <c r="Y4132" i="1"/>
  <c r="Z4132" i="1"/>
  <c r="A4133" i="1"/>
  <c r="B4133" i="1"/>
  <c r="C4133" i="1"/>
  <c r="D4133" i="1"/>
  <c r="E4133" i="1"/>
  <c r="F4133" i="1"/>
  <c r="G4133" i="1"/>
  <c r="I4133" i="1"/>
  <c r="J4133" i="1"/>
  <c r="K4133" i="1"/>
  <c r="L4133" i="1"/>
  <c r="M4133" i="1"/>
  <c r="N4133" i="1"/>
  <c r="O4133" i="1"/>
  <c r="P4133" i="1"/>
  <c r="Q4133" i="1"/>
  <c r="R4133" i="1"/>
  <c r="S4133" i="1"/>
  <c r="T4133" i="1"/>
  <c r="U4133" i="1"/>
  <c r="V4133" i="1"/>
  <c r="W4133" i="1"/>
  <c r="X4133" i="1"/>
  <c r="Y4133" i="1"/>
  <c r="Z4133" i="1"/>
  <c r="A4134" i="1"/>
  <c r="B4134" i="1"/>
  <c r="C4134" i="1"/>
  <c r="D4134" i="1"/>
  <c r="E4134" i="1"/>
  <c r="F4134" i="1"/>
  <c r="G4134" i="1"/>
  <c r="I4134" i="1"/>
  <c r="J4134" i="1"/>
  <c r="K4134" i="1"/>
  <c r="L4134" i="1"/>
  <c r="M4134" i="1"/>
  <c r="N4134" i="1"/>
  <c r="O4134" i="1"/>
  <c r="P4134" i="1"/>
  <c r="Q4134" i="1"/>
  <c r="R4134" i="1"/>
  <c r="S4134" i="1"/>
  <c r="T4134" i="1"/>
  <c r="U4134" i="1"/>
  <c r="V4134" i="1"/>
  <c r="W4134" i="1"/>
  <c r="X4134" i="1"/>
  <c r="Y4134" i="1"/>
  <c r="Z4134" i="1"/>
  <c r="A4135" i="1"/>
  <c r="B4135" i="1"/>
  <c r="C4135" i="1"/>
  <c r="D4135" i="1"/>
  <c r="E4135" i="1"/>
  <c r="F4135" i="1"/>
  <c r="G4135" i="1"/>
  <c r="I4135" i="1"/>
  <c r="J4135" i="1"/>
  <c r="K4135" i="1"/>
  <c r="L4135" i="1"/>
  <c r="M4135" i="1"/>
  <c r="N4135" i="1"/>
  <c r="O4135" i="1"/>
  <c r="P4135" i="1"/>
  <c r="Q4135" i="1"/>
  <c r="R4135" i="1"/>
  <c r="S4135" i="1"/>
  <c r="T4135" i="1"/>
  <c r="U4135" i="1"/>
  <c r="V4135" i="1"/>
  <c r="W4135" i="1"/>
  <c r="X4135" i="1"/>
  <c r="Y4135" i="1"/>
  <c r="Z4135" i="1"/>
  <c r="A4136" i="1"/>
  <c r="B4136" i="1"/>
  <c r="C4136" i="1"/>
  <c r="D4136" i="1"/>
  <c r="E4136" i="1"/>
  <c r="F4136" i="1"/>
  <c r="G4136" i="1"/>
  <c r="I4136" i="1"/>
  <c r="J4136" i="1"/>
  <c r="K4136" i="1"/>
  <c r="L4136" i="1"/>
  <c r="M4136" i="1"/>
  <c r="N4136" i="1"/>
  <c r="O4136" i="1"/>
  <c r="P4136" i="1"/>
  <c r="Q4136" i="1"/>
  <c r="R4136" i="1"/>
  <c r="S4136" i="1"/>
  <c r="T4136" i="1"/>
  <c r="U4136" i="1"/>
  <c r="V4136" i="1"/>
  <c r="W4136" i="1"/>
  <c r="X4136" i="1"/>
  <c r="Y4136" i="1"/>
  <c r="Z4136" i="1"/>
  <c r="A4137" i="1"/>
  <c r="B4137" i="1"/>
  <c r="C4137" i="1"/>
  <c r="D4137" i="1"/>
  <c r="E4137" i="1"/>
  <c r="F4137" i="1"/>
  <c r="G4137" i="1"/>
  <c r="I4137" i="1"/>
  <c r="J4137" i="1"/>
  <c r="K4137" i="1"/>
  <c r="L4137" i="1"/>
  <c r="M4137" i="1"/>
  <c r="N4137" i="1"/>
  <c r="O4137" i="1"/>
  <c r="P4137" i="1"/>
  <c r="Q4137" i="1"/>
  <c r="R4137" i="1"/>
  <c r="S4137" i="1"/>
  <c r="T4137" i="1"/>
  <c r="U4137" i="1"/>
  <c r="V4137" i="1"/>
  <c r="W4137" i="1"/>
  <c r="X4137" i="1"/>
  <c r="Y4137" i="1"/>
  <c r="Z4137" i="1"/>
  <c r="A4138" i="1"/>
  <c r="B4138" i="1"/>
  <c r="C4138" i="1"/>
  <c r="D4138" i="1"/>
  <c r="E4138" i="1"/>
  <c r="F4138" i="1"/>
  <c r="G4138" i="1"/>
  <c r="I4138" i="1"/>
  <c r="J4138" i="1"/>
  <c r="K4138" i="1"/>
  <c r="L4138" i="1"/>
  <c r="M4138" i="1"/>
  <c r="N4138" i="1"/>
  <c r="O4138" i="1"/>
  <c r="P4138" i="1"/>
  <c r="Q4138" i="1"/>
  <c r="R4138" i="1"/>
  <c r="S4138" i="1"/>
  <c r="T4138" i="1"/>
  <c r="U4138" i="1"/>
  <c r="V4138" i="1"/>
  <c r="W4138" i="1"/>
  <c r="X4138" i="1"/>
  <c r="Y4138" i="1"/>
  <c r="Z4138" i="1"/>
  <c r="A4139" i="1"/>
  <c r="B4139" i="1"/>
  <c r="C4139" i="1"/>
  <c r="D4139" i="1"/>
  <c r="E4139" i="1"/>
  <c r="F4139" i="1"/>
  <c r="G4139" i="1"/>
  <c r="I4139" i="1"/>
  <c r="J4139" i="1"/>
  <c r="K4139" i="1"/>
  <c r="L4139" i="1"/>
  <c r="M4139" i="1"/>
  <c r="N4139" i="1"/>
  <c r="O4139" i="1"/>
  <c r="P4139" i="1"/>
  <c r="Q4139" i="1"/>
  <c r="R4139" i="1"/>
  <c r="S4139" i="1"/>
  <c r="T4139" i="1"/>
  <c r="U4139" i="1"/>
  <c r="V4139" i="1"/>
  <c r="W4139" i="1"/>
  <c r="X4139" i="1"/>
  <c r="Y4139" i="1"/>
  <c r="Z4139" i="1"/>
  <c r="A4140" i="1"/>
  <c r="B4140" i="1"/>
  <c r="C4140" i="1"/>
  <c r="D4140" i="1"/>
  <c r="E4140" i="1"/>
  <c r="F4140" i="1"/>
  <c r="G4140" i="1"/>
  <c r="I4140" i="1"/>
  <c r="J4140" i="1"/>
  <c r="K4140" i="1"/>
  <c r="L4140" i="1"/>
  <c r="M4140" i="1"/>
  <c r="N4140" i="1"/>
  <c r="O4140" i="1"/>
  <c r="P4140" i="1"/>
  <c r="Q4140" i="1"/>
  <c r="R4140" i="1"/>
  <c r="S4140" i="1"/>
  <c r="T4140" i="1"/>
  <c r="U4140" i="1"/>
  <c r="V4140" i="1"/>
  <c r="W4140" i="1"/>
  <c r="X4140" i="1"/>
  <c r="Y4140" i="1"/>
  <c r="Z4140" i="1"/>
  <c r="A4141" i="1"/>
  <c r="B4141" i="1"/>
  <c r="C4141" i="1"/>
  <c r="D4141" i="1"/>
  <c r="E4141" i="1"/>
  <c r="F4141" i="1"/>
  <c r="G4141" i="1"/>
  <c r="I4141" i="1"/>
  <c r="J4141" i="1"/>
  <c r="K4141" i="1"/>
  <c r="L4141" i="1"/>
  <c r="M4141" i="1"/>
  <c r="N4141" i="1"/>
  <c r="O4141" i="1"/>
  <c r="P4141" i="1"/>
  <c r="Q4141" i="1"/>
  <c r="R4141" i="1"/>
  <c r="S4141" i="1"/>
  <c r="T4141" i="1"/>
  <c r="U4141" i="1"/>
  <c r="V4141" i="1"/>
  <c r="W4141" i="1"/>
  <c r="X4141" i="1"/>
  <c r="Y4141" i="1"/>
  <c r="Z4141" i="1"/>
  <c r="A4142" i="1"/>
  <c r="B4142" i="1"/>
  <c r="C4142" i="1"/>
  <c r="D4142" i="1"/>
  <c r="E4142" i="1"/>
  <c r="F4142" i="1"/>
  <c r="G4142" i="1"/>
  <c r="I4142" i="1"/>
  <c r="J4142" i="1"/>
  <c r="K4142" i="1"/>
  <c r="L4142" i="1"/>
  <c r="M4142" i="1"/>
  <c r="N4142" i="1"/>
  <c r="O4142" i="1"/>
  <c r="P4142" i="1"/>
  <c r="Q4142" i="1"/>
  <c r="R4142" i="1"/>
  <c r="S4142" i="1"/>
  <c r="T4142" i="1"/>
  <c r="U4142" i="1"/>
  <c r="V4142" i="1"/>
  <c r="W4142" i="1"/>
  <c r="X4142" i="1"/>
  <c r="Y4142" i="1"/>
  <c r="Z4142" i="1"/>
  <c r="A4143" i="1"/>
  <c r="B4143" i="1"/>
  <c r="C4143" i="1"/>
  <c r="D4143" i="1"/>
  <c r="E4143" i="1"/>
  <c r="F4143" i="1"/>
  <c r="G4143" i="1"/>
  <c r="I4143" i="1"/>
  <c r="J4143" i="1"/>
  <c r="K4143" i="1"/>
  <c r="L4143" i="1"/>
  <c r="M4143" i="1"/>
  <c r="N4143" i="1"/>
  <c r="O4143" i="1"/>
  <c r="P4143" i="1"/>
  <c r="Q4143" i="1"/>
  <c r="R4143" i="1"/>
  <c r="S4143" i="1"/>
  <c r="T4143" i="1"/>
  <c r="U4143" i="1"/>
  <c r="V4143" i="1"/>
  <c r="W4143" i="1"/>
  <c r="X4143" i="1"/>
  <c r="Y4143" i="1"/>
  <c r="Z4143" i="1"/>
  <c r="A4144" i="1"/>
  <c r="B4144" i="1"/>
  <c r="C4144" i="1"/>
  <c r="D4144" i="1"/>
  <c r="E4144" i="1"/>
  <c r="F4144" i="1"/>
  <c r="G4144" i="1"/>
  <c r="I4144" i="1"/>
  <c r="J4144" i="1"/>
  <c r="K4144" i="1"/>
  <c r="L4144" i="1"/>
  <c r="M4144" i="1"/>
  <c r="N4144" i="1"/>
  <c r="O4144" i="1"/>
  <c r="P4144" i="1"/>
  <c r="Q4144" i="1"/>
  <c r="R4144" i="1"/>
  <c r="S4144" i="1"/>
  <c r="T4144" i="1"/>
  <c r="U4144" i="1"/>
  <c r="V4144" i="1"/>
  <c r="W4144" i="1"/>
  <c r="X4144" i="1"/>
  <c r="Y4144" i="1"/>
  <c r="Z4144" i="1"/>
  <c r="A4145" i="1"/>
  <c r="B4145" i="1"/>
  <c r="C4145" i="1"/>
  <c r="D4145" i="1"/>
  <c r="E4145" i="1"/>
  <c r="F4145" i="1"/>
  <c r="G4145" i="1"/>
  <c r="I4145" i="1"/>
  <c r="J4145" i="1"/>
  <c r="K4145" i="1"/>
  <c r="L4145" i="1"/>
  <c r="M4145" i="1"/>
  <c r="N4145" i="1"/>
  <c r="O4145" i="1"/>
  <c r="P4145" i="1"/>
  <c r="Q4145" i="1"/>
  <c r="R4145" i="1"/>
  <c r="S4145" i="1"/>
  <c r="T4145" i="1"/>
  <c r="U4145" i="1"/>
  <c r="V4145" i="1"/>
  <c r="W4145" i="1"/>
  <c r="X4145" i="1"/>
  <c r="Y4145" i="1"/>
  <c r="Z4145" i="1"/>
  <c r="A4146" i="1"/>
  <c r="B4146" i="1"/>
  <c r="C4146" i="1"/>
  <c r="D4146" i="1"/>
  <c r="E4146" i="1"/>
  <c r="F4146" i="1"/>
  <c r="G4146" i="1"/>
  <c r="I4146" i="1"/>
  <c r="J4146" i="1"/>
  <c r="K4146" i="1"/>
  <c r="L4146" i="1"/>
  <c r="M4146" i="1"/>
  <c r="N4146" i="1"/>
  <c r="O4146" i="1"/>
  <c r="P4146" i="1"/>
  <c r="Q4146" i="1"/>
  <c r="R4146" i="1"/>
  <c r="S4146" i="1"/>
  <c r="T4146" i="1"/>
  <c r="U4146" i="1"/>
  <c r="V4146" i="1"/>
  <c r="W4146" i="1"/>
  <c r="X4146" i="1"/>
  <c r="Y4146" i="1"/>
  <c r="Z4146" i="1"/>
  <c r="A4147" i="1"/>
  <c r="B4147" i="1"/>
  <c r="C4147" i="1"/>
  <c r="D4147" i="1"/>
  <c r="E4147" i="1"/>
  <c r="F4147" i="1"/>
  <c r="G4147" i="1"/>
  <c r="I4147" i="1"/>
  <c r="J4147" i="1"/>
  <c r="K4147" i="1"/>
  <c r="L4147" i="1"/>
  <c r="M4147" i="1"/>
  <c r="N4147" i="1"/>
  <c r="O4147" i="1"/>
  <c r="P4147" i="1"/>
  <c r="Q4147" i="1"/>
  <c r="R4147" i="1"/>
  <c r="S4147" i="1"/>
  <c r="T4147" i="1"/>
  <c r="U4147" i="1"/>
  <c r="V4147" i="1"/>
  <c r="W4147" i="1"/>
  <c r="X4147" i="1"/>
  <c r="Y4147" i="1"/>
  <c r="Z4147" i="1"/>
  <c r="A4148" i="1"/>
  <c r="B4148" i="1"/>
  <c r="C4148" i="1"/>
  <c r="D4148" i="1"/>
  <c r="E4148" i="1"/>
  <c r="F4148" i="1"/>
  <c r="G4148" i="1"/>
  <c r="I4148" i="1"/>
  <c r="J4148" i="1"/>
  <c r="K4148" i="1"/>
  <c r="L4148" i="1"/>
  <c r="M4148" i="1"/>
  <c r="N4148" i="1"/>
  <c r="O4148" i="1"/>
  <c r="P4148" i="1"/>
  <c r="Q4148" i="1"/>
  <c r="R4148" i="1"/>
  <c r="S4148" i="1"/>
  <c r="T4148" i="1"/>
  <c r="U4148" i="1"/>
  <c r="V4148" i="1"/>
  <c r="W4148" i="1"/>
  <c r="X4148" i="1"/>
  <c r="Y4148" i="1"/>
  <c r="Z4148" i="1"/>
  <c r="A4149" i="1"/>
  <c r="B4149" i="1"/>
  <c r="C4149" i="1"/>
  <c r="D4149" i="1"/>
  <c r="E4149" i="1"/>
  <c r="F4149" i="1"/>
  <c r="G4149" i="1"/>
  <c r="I4149" i="1"/>
  <c r="J4149" i="1"/>
  <c r="K4149" i="1"/>
  <c r="L4149" i="1"/>
  <c r="M4149" i="1"/>
  <c r="N4149" i="1"/>
  <c r="O4149" i="1"/>
  <c r="P4149" i="1"/>
  <c r="Q4149" i="1"/>
  <c r="R4149" i="1"/>
  <c r="S4149" i="1"/>
  <c r="T4149" i="1"/>
  <c r="U4149" i="1"/>
  <c r="V4149" i="1"/>
  <c r="W4149" i="1"/>
  <c r="X4149" i="1"/>
  <c r="Y4149" i="1"/>
  <c r="Z4149" i="1"/>
  <c r="A4150" i="1"/>
  <c r="B4150" i="1"/>
  <c r="C4150" i="1"/>
  <c r="D4150" i="1"/>
  <c r="E4150" i="1"/>
  <c r="F4150" i="1"/>
  <c r="G4150" i="1"/>
  <c r="I4150" i="1"/>
  <c r="J4150" i="1"/>
  <c r="K4150" i="1"/>
  <c r="L4150" i="1"/>
  <c r="M4150" i="1"/>
  <c r="N4150" i="1"/>
  <c r="O4150" i="1"/>
  <c r="P4150" i="1"/>
  <c r="Q4150" i="1"/>
  <c r="R4150" i="1"/>
  <c r="S4150" i="1"/>
  <c r="T4150" i="1"/>
  <c r="U4150" i="1"/>
  <c r="V4150" i="1"/>
  <c r="W4150" i="1"/>
  <c r="X4150" i="1"/>
  <c r="Y4150" i="1"/>
  <c r="Z4150" i="1"/>
  <c r="A4151" i="1"/>
  <c r="B4151" i="1"/>
  <c r="C4151" i="1"/>
  <c r="D4151" i="1"/>
  <c r="E4151" i="1"/>
  <c r="F4151" i="1"/>
  <c r="G4151" i="1"/>
  <c r="I4151" i="1"/>
  <c r="J4151" i="1"/>
  <c r="K4151" i="1"/>
  <c r="L4151" i="1"/>
  <c r="M4151" i="1"/>
  <c r="N4151" i="1"/>
  <c r="O4151" i="1"/>
  <c r="P4151" i="1"/>
  <c r="Q4151" i="1"/>
  <c r="R4151" i="1"/>
  <c r="S4151" i="1"/>
  <c r="T4151" i="1"/>
  <c r="U4151" i="1"/>
  <c r="V4151" i="1"/>
  <c r="W4151" i="1"/>
  <c r="X4151" i="1"/>
  <c r="Y4151" i="1"/>
  <c r="Z4151" i="1"/>
  <c r="A4152" i="1"/>
  <c r="B4152" i="1"/>
  <c r="C4152" i="1"/>
  <c r="D4152" i="1"/>
  <c r="E4152" i="1"/>
  <c r="F4152" i="1"/>
  <c r="G4152" i="1"/>
  <c r="I4152" i="1"/>
  <c r="J4152" i="1"/>
  <c r="K4152" i="1"/>
  <c r="L4152" i="1"/>
  <c r="M4152" i="1"/>
  <c r="N4152" i="1"/>
  <c r="O4152" i="1"/>
  <c r="P4152" i="1"/>
  <c r="Q4152" i="1"/>
  <c r="R4152" i="1"/>
  <c r="S4152" i="1"/>
  <c r="T4152" i="1"/>
  <c r="U4152" i="1"/>
  <c r="V4152" i="1"/>
  <c r="W4152" i="1"/>
  <c r="X4152" i="1"/>
  <c r="Y4152" i="1"/>
  <c r="Z4152" i="1"/>
  <c r="A4153" i="1"/>
  <c r="B4153" i="1"/>
  <c r="C4153" i="1"/>
  <c r="D4153" i="1"/>
  <c r="E4153" i="1"/>
  <c r="F4153" i="1"/>
  <c r="G4153" i="1"/>
  <c r="I4153" i="1"/>
  <c r="J4153" i="1"/>
  <c r="K4153" i="1"/>
  <c r="L4153" i="1"/>
  <c r="M4153" i="1"/>
  <c r="N4153" i="1"/>
  <c r="O4153" i="1"/>
  <c r="P4153" i="1"/>
  <c r="Q4153" i="1"/>
  <c r="R4153" i="1"/>
  <c r="S4153" i="1"/>
  <c r="T4153" i="1"/>
  <c r="U4153" i="1"/>
  <c r="V4153" i="1"/>
  <c r="W4153" i="1"/>
  <c r="X4153" i="1"/>
  <c r="Y4153" i="1"/>
  <c r="Z4153" i="1"/>
  <c r="A4154" i="1"/>
  <c r="B4154" i="1"/>
  <c r="C4154" i="1"/>
  <c r="D4154" i="1"/>
  <c r="E4154" i="1"/>
  <c r="F4154" i="1"/>
  <c r="G4154" i="1"/>
  <c r="I4154" i="1"/>
  <c r="J4154" i="1"/>
  <c r="K4154" i="1"/>
  <c r="L4154" i="1"/>
  <c r="M4154" i="1"/>
  <c r="N4154" i="1"/>
  <c r="O4154" i="1"/>
  <c r="P4154" i="1"/>
  <c r="Q4154" i="1"/>
  <c r="R4154" i="1"/>
  <c r="S4154" i="1"/>
  <c r="T4154" i="1"/>
  <c r="U4154" i="1"/>
  <c r="V4154" i="1"/>
  <c r="W4154" i="1"/>
  <c r="X4154" i="1"/>
  <c r="Y4154" i="1"/>
  <c r="Z4154" i="1"/>
  <c r="A4155" i="1"/>
  <c r="B4155" i="1"/>
  <c r="C4155" i="1"/>
  <c r="D4155" i="1"/>
  <c r="E4155" i="1"/>
  <c r="F4155" i="1"/>
  <c r="G4155" i="1"/>
  <c r="I4155" i="1"/>
  <c r="J4155" i="1"/>
  <c r="K4155" i="1"/>
  <c r="L4155" i="1"/>
  <c r="M4155" i="1"/>
  <c r="N4155" i="1"/>
  <c r="O4155" i="1"/>
  <c r="P4155" i="1"/>
  <c r="Q4155" i="1"/>
  <c r="R4155" i="1"/>
  <c r="S4155" i="1"/>
  <c r="T4155" i="1"/>
  <c r="U4155" i="1"/>
  <c r="V4155" i="1"/>
  <c r="W4155" i="1"/>
  <c r="X4155" i="1"/>
  <c r="Y4155" i="1"/>
  <c r="Z4155" i="1"/>
  <c r="A4156" i="1"/>
  <c r="B4156" i="1"/>
  <c r="C4156" i="1"/>
  <c r="D4156" i="1"/>
  <c r="E4156" i="1"/>
  <c r="F4156" i="1"/>
  <c r="G4156" i="1"/>
  <c r="I4156" i="1"/>
  <c r="J4156" i="1"/>
  <c r="K4156" i="1"/>
  <c r="L4156" i="1"/>
  <c r="M4156" i="1"/>
  <c r="N4156" i="1"/>
  <c r="O4156" i="1"/>
  <c r="P4156" i="1"/>
  <c r="Q4156" i="1"/>
  <c r="R4156" i="1"/>
  <c r="S4156" i="1"/>
  <c r="T4156" i="1"/>
  <c r="U4156" i="1"/>
  <c r="V4156" i="1"/>
  <c r="W4156" i="1"/>
  <c r="X4156" i="1"/>
  <c r="Y4156" i="1"/>
  <c r="Z4156" i="1"/>
  <c r="A4157" i="1"/>
  <c r="B4157" i="1"/>
  <c r="C4157" i="1"/>
  <c r="D4157" i="1"/>
  <c r="E4157" i="1"/>
  <c r="F4157" i="1"/>
  <c r="G4157" i="1"/>
  <c r="I4157" i="1"/>
  <c r="J4157" i="1"/>
  <c r="K4157" i="1"/>
  <c r="L4157" i="1"/>
  <c r="M4157" i="1"/>
  <c r="N4157" i="1"/>
  <c r="O4157" i="1"/>
  <c r="P4157" i="1"/>
  <c r="Q4157" i="1"/>
  <c r="R4157" i="1"/>
  <c r="S4157" i="1"/>
  <c r="T4157" i="1"/>
  <c r="U4157" i="1"/>
  <c r="V4157" i="1"/>
  <c r="W4157" i="1"/>
  <c r="X4157" i="1"/>
  <c r="Y4157" i="1"/>
  <c r="Z4157" i="1"/>
  <c r="A4158" i="1"/>
  <c r="B4158" i="1"/>
  <c r="C4158" i="1"/>
  <c r="D4158" i="1"/>
  <c r="E4158" i="1"/>
  <c r="F4158" i="1"/>
  <c r="G4158" i="1"/>
  <c r="I4158" i="1"/>
  <c r="J4158" i="1"/>
  <c r="K4158" i="1"/>
  <c r="L4158" i="1"/>
  <c r="M4158" i="1"/>
  <c r="N4158" i="1"/>
  <c r="O4158" i="1"/>
  <c r="P4158" i="1"/>
  <c r="Q4158" i="1"/>
  <c r="R4158" i="1"/>
  <c r="S4158" i="1"/>
  <c r="T4158" i="1"/>
  <c r="U4158" i="1"/>
  <c r="V4158" i="1"/>
  <c r="W4158" i="1"/>
  <c r="X4158" i="1"/>
  <c r="Y4158" i="1"/>
  <c r="Z4158" i="1"/>
  <c r="A4159" i="1"/>
  <c r="B4159" i="1"/>
  <c r="C4159" i="1"/>
  <c r="D4159" i="1"/>
  <c r="E4159" i="1"/>
  <c r="F4159" i="1"/>
  <c r="G4159" i="1"/>
  <c r="I4159" i="1"/>
  <c r="J4159" i="1"/>
  <c r="K4159" i="1"/>
  <c r="L4159" i="1"/>
  <c r="M4159" i="1"/>
  <c r="N4159" i="1"/>
  <c r="O4159" i="1"/>
  <c r="P4159" i="1"/>
  <c r="Q4159" i="1"/>
  <c r="R4159" i="1"/>
  <c r="S4159" i="1"/>
  <c r="T4159" i="1"/>
  <c r="U4159" i="1"/>
  <c r="V4159" i="1"/>
  <c r="W4159" i="1"/>
  <c r="X4159" i="1"/>
  <c r="Y4159" i="1"/>
  <c r="Z4159" i="1"/>
  <c r="A4160" i="1"/>
  <c r="B4160" i="1"/>
  <c r="C4160" i="1"/>
  <c r="D4160" i="1"/>
  <c r="E4160" i="1"/>
  <c r="F4160" i="1"/>
  <c r="G4160" i="1"/>
  <c r="I4160" i="1"/>
  <c r="J4160" i="1"/>
  <c r="K4160" i="1"/>
  <c r="L4160" i="1"/>
  <c r="M4160" i="1"/>
  <c r="N4160" i="1"/>
  <c r="O4160" i="1"/>
  <c r="P4160" i="1"/>
  <c r="Q4160" i="1"/>
  <c r="R4160" i="1"/>
  <c r="S4160" i="1"/>
  <c r="T4160" i="1"/>
  <c r="U4160" i="1"/>
  <c r="V4160" i="1"/>
  <c r="W4160" i="1"/>
  <c r="X4160" i="1"/>
  <c r="Y4160" i="1"/>
  <c r="Z4160" i="1"/>
  <c r="A4161" i="1"/>
  <c r="B4161" i="1"/>
  <c r="C4161" i="1"/>
  <c r="D4161" i="1"/>
  <c r="E4161" i="1"/>
  <c r="F4161" i="1"/>
  <c r="G4161" i="1"/>
  <c r="I4161" i="1"/>
  <c r="J4161" i="1"/>
  <c r="K4161" i="1"/>
  <c r="L4161" i="1"/>
  <c r="M4161" i="1"/>
  <c r="N4161" i="1"/>
  <c r="O4161" i="1"/>
  <c r="P4161" i="1"/>
  <c r="Q4161" i="1"/>
  <c r="R4161" i="1"/>
  <c r="S4161" i="1"/>
  <c r="T4161" i="1"/>
  <c r="U4161" i="1"/>
  <c r="V4161" i="1"/>
  <c r="W4161" i="1"/>
  <c r="X4161" i="1"/>
  <c r="Y4161" i="1"/>
  <c r="Z4161" i="1"/>
  <c r="A4162" i="1"/>
  <c r="B4162" i="1"/>
  <c r="C4162" i="1"/>
  <c r="D4162" i="1"/>
  <c r="E4162" i="1"/>
  <c r="F4162" i="1"/>
  <c r="G4162" i="1"/>
  <c r="I4162" i="1"/>
  <c r="J4162" i="1"/>
  <c r="K4162" i="1"/>
  <c r="L4162" i="1"/>
  <c r="M4162" i="1"/>
  <c r="N4162" i="1"/>
  <c r="O4162" i="1"/>
  <c r="P4162" i="1"/>
  <c r="Q4162" i="1"/>
  <c r="R4162" i="1"/>
  <c r="S4162" i="1"/>
  <c r="T4162" i="1"/>
  <c r="U4162" i="1"/>
  <c r="V4162" i="1"/>
  <c r="W4162" i="1"/>
  <c r="X4162" i="1"/>
  <c r="Y4162" i="1"/>
  <c r="Z4162" i="1"/>
  <c r="A4163" i="1"/>
  <c r="B4163" i="1"/>
  <c r="C4163" i="1"/>
  <c r="D4163" i="1"/>
  <c r="E4163" i="1"/>
  <c r="F4163" i="1"/>
  <c r="G4163" i="1"/>
  <c r="I4163" i="1"/>
  <c r="J4163" i="1"/>
  <c r="K4163" i="1"/>
  <c r="L4163" i="1"/>
  <c r="M4163" i="1"/>
  <c r="N4163" i="1"/>
  <c r="O4163" i="1"/>
  <c r="P4163" i="1"/>
  <c r="Q4163" i="1"/>
  <c r="R4163" i="1"/>
  <c r="S4163" i="1"/>
  <c r="T4163" i="1"/>
  <c r="U4163" i="1"/>
  <c r="V4163" i="1"/>
  <c r="W4163" i="1"/>
  <c r="X4163" i="1"/>
  <c r="Y4163" i="1"/>
  <c r="Z4163" i="1"/>
  <c r="A4164" i="1"/>
  <c r="B4164" i="1"/>
  <c r="C4164" i="1"/>
  <c r="D4164" i="1"/>
  <c r="E4164" i="1"/>
  <c r="F4164" i="1"/>
  <c r="G4164" i="1"/>
  <c r="I4164" i="1"/>
  <c r="J4164" i="1"/>
  <c r="K4164" i="1"/>
  <c r="L4164" i="1"/>
  <c r="M4164" i="1"/>
  <c r="N4164" i="1"/>
  <c r="O4164" i="1"/>
  <c r="P4164" i="1"/>
  <c r="Q4164" i="1"/>
  <c r="R4164" i="1"/>
  <c r="S4164" i="1"/>
  <c r="T4164" i="1"/>
  <c r="U4164" i="1"/>
  <c r="V4164" i="1"/>
  <c r="W4164" i="1"/>
  <c r="X4164" i="1"/>
  <c r="Y4164" i="1"/>
  <c r="Z4164" i="1"/>
  <c r="A4165" i="1"/>
  <c r="B4165" i="1"/>
  <c r="C4165" i="1"/>
  <c r="D4165" i="1"/>
  <c r="E4165" i="1"/>
  <c r="F4165" i="1"/>
  <c r="G4165" i="1"/>
  <c r="I4165" i="1"/>
  <c r="J4165" i="1"/>
  <c r="K4165" i="1"/>
  <c r="L4165" i="1"/>
  <c r="M4165" i="1"/>
  <c r="N4165" i="1"/>
  <c r="O4165" i="1"/>
  <c r="P4165" i="1"/>
  <c r="Q4165" i="1"/>
  <c r="R4165" i="1"/>
  <c r="S4165" i="1"/>
  <c r="T4165" i="1"/>
  <c r="U4165" i="1"/>
  <c r="V4165" i="1"/>
  <c r="W4165" i="1"/>
  <c r="X4165" i="1"/>
  <c r="Y4165" i="1"/>
  <c r="Z4165" i="1"/>
  <c r="A4166" i="1"/>
  <c r="B4166" i="1"/>
  <c r="C4166" i="1"/>
  <c r="D4166" i="1"/>
  <c r="E4166" i="1"/>
  <c r="F4166" i="1"/>
  <c r="G4166" i="1"/>
  <c r="I4166" i="1"/>
  <c r="J4166" i="1"/>
  <c r="K4166" i="1"/>
  <c r="L4166" i="1"/>
  <c r="M4166" i="1"/>
  <c r="N4166" i="1"/>
  <c r="O4166" i="1"/>
  <c r="P4166" i="1"/>
  <c r="Q4166" i="1"/>
  <c r="R4166" i="1"/>
  <c r="S4166" i="1"/>
  <c r="T4166" i="1"/>
  <c r="U4166" i="1"/>
  <c r="V4166" i="1"/>
  <c r="W4166" i="1"/>
  <c r="X4166" i="1"/>
  <c r="Y4166" i="1"/>
  <c r="Z4166" i="1"/>
  <c r="A4167" i="1"/>
  <c r="B4167" i="1"/>
  <c r="C4167" i="1"/>
  <c r="D4167" i="1"/>
  <c r="E4167" i="1"/>
  <c r="F4167" i="1"/>
  <c r="G4167" i="1"/>
  <c r="I4167" i="1"/>
  <c r="J4167" i="1"/>
  <c r="K4167" i="1"/>
  <c r="L4167" i="1"/>
  <c r="M4167" i="1"/>
  <c r="N4167" i="1"/>
  <c r="O4167" i="1"/>
  <c r="P4167" i="1"/>
  <c r="Q4167" i="1"/>
  <c r="R4167" i="1"/>
  <c r="S4167" i="1"/>
  <c r="T4167" i="1"/>
  <c r="U4167" i="1"/>
  <c r="V4167" i="1"/>
  <c r="W4167" i="1"/>
  <c r="X4167" i="1"/>
  <c r="Y4167" i="1"/>
  <c r="Z4167" i="1"/>
  <c r="A4168" i="1"/>
  <c r="B4168" i="1"/>
  <c r="C4168" i="1"/>
  <c r="D4168" i="1"/>
  <c r="E4168" i="1"/>
  <c r="F4168" i="1"/>
  <c r="G4168" i="1"/>
  <c r="I4168" i="1"/>
  <c r="J4168" i="1"/>
  <c r="K4168" i="1"/>
  <c r="L4168" i="1"/>
  <c r="M4168" i="1"/>
  <c r="N4168" i="1"/>
  <c r="O4168" i="1"/>
  <c r="P4168" i="1"/>
  <c r="Q4168" i="1"/>
  <c r="R4168" i="1"/>
  <c r="S4168" i="1"/>
  <c r="T4168" i="1"/>
  <c r="U4168" i="1"/>
  <c r="V4168" i="1"/>
  <c r="W4168" i="1"/>
  <c r="X4168" i="1"/>
  <c r="Y4168" i="1"/>
  <c r="Z4168" i="1"/>
  <c r="A4169" i="1"/>
  <c r="B4169" i="1"/>
  <c r="C4169" i="1"/>
  <c r="D4169" i="1"/>
  <c r="E4169" i="1"/>
  <c r="F4169" i="1"/>
  <c r="G4169" i="1"/>
  <c r="I4169" i="1"/>
  <c r="J4169" i="1"/>
  <c r="K4169" i="1"/>
  <c r="L4169" i="1"/>
  <c r="M4169" i="1"/>
  <c r="N4169" i="1"/>
  <c r="O4169" i="1"/>
  <c r="P4169" i="1"/>
  <c r="Q4169" i="1"/>
  <c r="R4169" i="1"/>
  <c r="S4169" i="1"/>
  <c r="T4169" i="1"/>
  <c r="U4169" i="1"/>
  <c r="V4169" i="1"/>
  <c r="W4169" i="1"/>
  <c r="X4169" i="1"/>
  <c r="Y4169" i="1"/>
  <c r="Z4169" i="1"/>
  <c r="A4170" i="1"/>
  <c r="B4170" i="1"/>
  <c r="C4170" i="1"/>
  <c r="D4170" i="1"/>
  <c r="E4170" i="1"/>
  <c r="F4170" i="1"/>
  <c r="G4170" i="1"/>
  <c r="I4170" i="1"/>
  <c r="J4170" i="1"/>
  <c r="K4170" i="1"/>
  <c r="L4170" i="1"/>
  <c r="M4170" i="1"/>
  <c r="N4170" i="1"/>
  <c r="O4170" i="1"/>
  <c r="P4170" i="1"/>
  <c r="Q4170" i="1"/>
  <c r="R4170" i="1"/>
  <c r="S4170" i="1"/>
  <c r="T4170" i="1"/>
  <c r="U4170" i="1"/>
  <c r="V4170" i="1"/>
  <c r="W4170" i="1"/>
  <c r="X4170" i="1"/>
  <c r="Y4170" i="1"/>
  <c r="Z4170" i="1"/>
  <c r="A4171" i="1"/>
  <c r="B4171" i="1"/>
  <c r="C4171" i="1"/>
  <c r="D4171" i="1"/>
  <c r="E4171" i="1"/>
  <c r="F4171" i="1"/>
  <c r="G4171" i="1"/>
  <c r="I4171" i="1"/>
  <c r="J4171" i="1"/>
  <c r="K4171" i="1"/>
  <c r="L4171" i="1"/>
  <c r="M4171" i="1"/>
  <c r="N4171" i="1"/>
  <c r="O4171" i="1"/>
  <c r="P4171" i="1"/>
  <c r="Q4171" i="1"/>
  <c r="R4171" i="1"/>
  <c r="S4171" i="1"/>
  <c r="T4171" i="1"/>
  <c r="U4171" i="1"/>
  <c r="V4171" i="1"/>
  <c r="W4171" i="1"/>
  <c r="X4171" i="1"/>
  <c r="Y4171" i="1"/>
  <c r="Z4171" i="1"/>
  <c r="A4172" i="1"/>
  <c r="B4172" i="1"/>
  <c r="C4172" i="1"/>
  <c r="D4172" i="1"/>
  <c r="E4172" i="1"/>
  <c r="F4172" i="1"/>
  <c r="G4172" i="1"/>
  <c r="I4172" i="1"/>
  <c r="J4172" i="1"/>
  <c r="K4172" i="1"/>
  <c r="L4172" i="1"/>
  <c r="M4172" i="1"/>
  <c r="N4172" i="1"/>
  <c r="O4172" i="1"/>
  <c r="P4172" i="1"/>
  <c r="Q4172" i="1"/>
  <c r="R4172" i="1"/>
  <c r="S4172" i="1"/>
  <c r="T4172" i="1"/>
  <c r="U4172" i="1"/>
  <c r="V4172" i="1"/>
  <c r="W4172" i="1"/>
  <c r="X4172" i="1"/>
  <c r="Y4172" i="1"/>
  <c r="Z4172" i="1"/>
  <c r="A4173" i="1"/>
  <c r="B4173" i="1"/>
  <c r="C4173" i="1"/>
  <c r="D4173" i="1"/>
  <c r="E4173" i="1"/>
  <c r="F4173" i="1"/>
  <c r="G4173" i="1"/>
  <c r="I4173" i="1"/>
  <c r="J4173" i="1"/>
  <c r="K4173" i="1"/>
  <c r="L4173" i="1"/>
  <c r="M4173" i="1"/>
  <c r="N4173" i="1"/>
  <c r="O4173" i="1"/>
  <c r="P4173" i="1"/>
  <c r="Q4173" i="1"/>
  <c r="R4173" i="1"/>
  <c r="S4173" i="1"/>
  <c r="T4173" i="1"/>
  <c r="U4173" i="1"/>
  <c r="V4173" i="1"/>
  <c r="W4173" i="1"/>
  <c r="X4173" i="1"/>
  <c r="Y4173" i="1"/>
  <c r="Z4173" i="1"/>
  <c r="A4174" i="1"/>
  <c r="B4174" i="1"/>
  <c r="C4174" i="1"/>
  <c r="D4174" i="1"/>
  <c r="E4174" i="1"/>
  <c r="F4174" i="1"/>
  <c r="G4174" i="1"/>
  <c r="I4174" i="1"/>
  <c r="J4174" i="1"/>
  <c r="K4174" i="1"/>
  <c r="L4174" i="1"/>
  <c r="M4174" i="1"/>
  <c r="N4174" i="1"/>
  <c r="O4174" i="1"/>
  <c r="P4174" i="1"/>
  <c r="Q4174" i="1"/>
  <c r="R4174" i="1"/>
  <c r="S4174" i="1"/>
  <c r="T4174" i="1"/>
  <c r="U4174" i="1"/>
  <c r="V4174" i="1"/>
  <c r="W4174" i="1"/>
  <c r="X4174" i="1"/>
  <c r="Y4174" i="1"/>
  <c r="Z4174" i="1"/>
  <c r="A4175" i="1"/>
  <c r="B4175" i="1"/>
  <c r="C4175" i="1"/>
  <c r="D4175" i="1"/>
  <c r="E4175" i="1"/>
  <c r="F4175" i="1"/>
  <c r="G4175" i="1"/>
  <c r="I4175" i="1"/>
  <c r="J4175" i="1"/>
  <c r="K4175" i="1"/>
  <c r="L4175" i="1"/>
  <c r="M4175" i="1"/>
  <c r="N4175" i="1"/>
  <c r="O4175" i="1"/>
  <c r="P4175" i="1"/>
  <c r="Q4175" i="1"/>
  <c r="R4175" i="1"/>
  <c r="S4175" i="1"/>
  <c r="T4175" i="1"/>
  <c r="U4175" i="1"/>
  <c r="V4175" i="1"/>
  <c r="W4175" i="1"/>
  <c r="X4175" i="1"/>
  <c r="Y4175" i="1"/>
  <c r="Z4175" i="1"/>
  <c r="A4176" i="1"/>
  <c r="B4176" i="1"/>
  <c r="C4176" i="1"/>
  <c r="D4176" i="1"/>
  <c r="E4176" i="1"/>
  <c r="F4176" i="1"/>
  <c r="G4176" i="1"/>
  <c r="I4176" i="1"/>
  <c r="J4176" i="1"/>
  <c r="K4176" i="1"/>
  <c r="L4176" i="1"/>
  <c r="M4176" i="1"/>
  <c r="N4176" i="1"/>
  <c r="O4176" i="1"/>
  <c r="P4176" i="1"/>
  <c r="Q4176" i="1"/>
  <c r="R4176" i="1"/>
  <c r="S4176" i="1"/>
  <c r="T4176" i="1"/>
  <c r="U4176" i="1"/>
  <c r="V4176" i="1"/>
  <c r="W4176" i="1"/>
  <c r="X4176" i="1"/>
  <c r="Y4176" i="1"/>
  <c r="Z4176" i="1"/>
  <c r="A4177" i="1"/>
  <c r="B4177" i="1"/>
  <c r="C4177" i="1"/>
  <c r="D4177" i="1"/>
  <c r="E4177" i="1"/>
  <c r="F4177" i="1"/>
  <c r="G4177" i="1"/>
  <c r="I4177" i="1"/>
  <c r="J4177" i="1"/>
  <c r="K4177" i="1"/>
  <c r="L4177" i="1"/>
  <c r="M4177" i="1"/>
  <c r="N4177" i="1"/>
  <c r="O4177" i="1"/>
  <c r="P4177" i="1"/>
  <c r="Q4177" i="1"/>
  <c r="R4177" i="1"/>
  <c r="S4177" i="1"/>
  <c r="T4177" i="1"/>
  <c r="U4177" i="1"/>
  <c r="V4177" i="1"/>
  <c r="W4177" i="1"/>
  <c r="X4177" i="1"/>
  <c r="Y4177" i="1"/>
  <c r="Z4177" i="1"/>
  <c r="A4178" i="1"/>
  <c r="B4178" i="1"/>
  <c r="C4178" i="1"/>
  <c r="D4178" i="1"/>
  <c r="E4178" i="1"/>
  <c r="F4178" i="1"/>
  <c r="G4178" i="1"/>
  <c r="I4178" i="1"/>
  <c r="J4178" i="1"/>
  <c r="K4178" i="1"/>
  <c r="L4178" i="1"/>
  <c r="M4178" i="1"/>
  <c r="N4178" i="1"/>
  <c r="O4178" i="1"/>
  <c r="P4178" i="1"/>
  <c r="Q4178" i="1"/>
  <c r="R4178" i="1"/>
  <c r="S4178" i="1"/>
  <c r="T4178" i="1"/>
  <c r="U4178" i="1"/>
  <c r="V4178" i="1"/>
  <c r="W4178" i="1"/>
  <c r="X4178" i="1"/>
  <c r="Y4178" i="1"/>
  <c r="Z4178" i="1"/>
  <c r="A4179" i="1"/>
  <c r="B4179" i="1"/>
  <c r="C4179" i="1"/>
  <c r="D4179" i="1"/>
  <c r="E4179" i="1"/>
  <c r="F4179" i="1"/>
  <c r="G4179" i="1"/>
  <c r="I4179" i="1"/>
  <c r="J4179" i="1"/>
  <c r="K4179" i="1"/>
  <c r="L4179" i="1"/>
  <c r="M4179" i="1"/>
  <c r="N4179" i="1"/>
  <c r="O4179" i="1"/>
  <c r="P4179" i="1"/>
  <c r="Q4179" i="1"/>
  <c r="R4179" i="1"/>
  <c r="S4179" i="1"/>
  <c r="T4179" i="1"/>
  <c r="U4179" i="1"/>
  <c r="V4179" i="1"/>
  <c r="W4179" i="1"/>
  <c r="X4179" i="1"/>
  <c r="Y4179" i="1"/>
  <c r="Z4179" i="1"/>
  <c r="A4180" i="1"/>
  <c r="B4180" i="1"/>
  <c r="C4180" i="1"/>
  <c r="D4180" i="1"/>
  <c r="E4180" i="1"/>
  <c r="F4180" i="1"/>
  <c r="G4180" i="1"/>
  <c r="I4180" i="1"/>
  <c r="J4180" i="1"/>
  <c r="K4180" i="1"/>
  <c r="L4180" i="1"/>
  <c r="M4180" i="1"/>
  <c r="N4180" i="1"/>
  <c r="O4180" i="1"/>
  <c r="P4180" i="1"/>
  <c r="Q4180" i="1"/>
  <c r="R4180" i="1"/>
  <c r="S4180" i="1"/>
  <c r="T4180" i="1"/>
  <c r="U4180" i="1"/>
  <c r="V4180" i="1"/>
  <c r="W4180" i="1"/>
  <c r="X4180" i="1"/>
  <c r="Y4180" i="1"/>
  <c r="Z4180" i="1"/>
  <c r="A4181" i="1"/>
  <c r="B4181" i="1"/>
  <c r="C4181" i="1"/>
  <c r="D4181" i="1"/>
  <c r="E4181" i="1"/>
  <c r="F4181" i="1"/>
  <c r="G4181" i="1"/>
  <c r="I4181" i="1"/>
  <c r="J4181" i="1"/>
  <c r="K4181" i="1"/>
  <c r="L4181" i="1"/>
  <c r="M4181" i="1"/>
  <c r="N4181" i="1"/>
  <c r="O4181" i="1"/>
  <c r="P4181" i="1"/>
  <c r="Q4181" i="1"/>
  <c r="R4181" i="1"/>
  <c r="S4181" i="1"/>
  <c r="T4181" i="1"/>
  <c r="U4181" i="1"/>
  <c r="V4181" i="1"/>
  <c r="W4181" i="1"/>
  <c r="X4181" i="1"/>
  <c r="Y4181" i="1"/>
  <c r="Z4181" i="1"/>
  <c r="A4182" i="1"/>
  <c r="B4182" i="1"/>
  <c r="C4182" i="1"/>
  <c r="D4182" i="1"/>
  <c r="E4182" i="1"/>
  <c r="F4182" i="1"/>
  <c r="G4182" i="1"/>
  <c r="I4182" i="1"/>
  <c r="J4182" i="1"/>
  <c r="K4182" i="1"/>
  <c r="L4182" i="1"/>
  <c r="M4182" i="1"/>
  <c r="N4182" i="1"/>
  <c r="O4182" i="1"/>
  <c r="P4182" i="1"/>
  <c r="Q4182" i="1"/>
  <c r="R4182" i="1"/>
  <c r="S4182" i="1"/>
  <c r="T4182" i="1"/>
  <c r="U4182" i="1"/>
  <c r="V4182" i="1"/>
  <c r="W4182" i="1"/>
  <c r="X4182" i="1"/>
  <c r="Y4182" i="1"/>
  <c r="Z4182" i="1"/>
  <c r="A4183" i="1"/>
  <c r="B4183" i="1"/>
  <c r="C4183" i="1"/>
  <c r="D4183" i="1"/>
  <c r="E4183" i="1"/>
  <c r="F4183" i="1"/>
  <c r="G4183" i="1"/>
  <c r="I4183" i="1"/>
  <c r="J4183" i="1"/>
  <c r="K4183" i="1"/>
  <c r="L4183" i="1"/>
  <c r="M4183" i="1"/>
  <c r="N4183" i="1"/>
  <c r="O4183" i="1"/>
  <c r="P4183" i="1"/>
  <c r="Q4183" i="1"/>
  <c r="R4183" i="1"/>
  <c r="S4183" i="1"/>
  <c r="T4183" i="1"/>
  <c r="U4183" i="1"/>
  <c r="V4183" i="1"/>
  <c r="W4183" i="1"/>
  <c r="X4183" i="1"/>
  <c r="Y4183" i="1"/>
  <c r="Z4183" i="1"/>
  <c r="A4184" i="1"/>
  <c r="B4184" i="1"/>
  <c r="C4184" i="1"/>
  <c r="D4184" i="1"/>
  <c r="E4184" i="1"/>
  <c r="F4184" i="1"/>
  <c r="G4184" i="1"/>
  <c r="I4184" i="1"/>
  <c r="J4184" i="1"/>
  <c r="K4184" i="1"/>
  <c r="L4184" i="1"/>
  <c r="M4184" i="1"/>
  <c r="N4184" i="1"/>
  <c r="O4184" i="1"/>
  <c r="P4184" i="1"/>
  <c r="Q4184" i="1"/>
  <c r="R4184" i="1"/>
  <c r="S4184" i="1"/>
  <c r="T4184" i="1"/>
  <c r="U4184" i="1"/>
  <c r="V4184" i="1"/>
  <c r="W4184" i="1"/>
  <c r="X4184" i="1"/>
  <c r="Y4184" i="1"/>
  <c r="Z4184" i="1"/>
  <c r="A4185" i="1"/>
  <c r="B4185" i="1"/>
  <c r="C4185" i="1"/>
  <c r="D4185" i="1"/>
  <c r="E4185" i="1"/>
  <c r="F4185" i="1"/>
  <c r="G4185" i="1"/>
  <c r="I4185" i="1"/>
  <c r="J4185" i="1"/>
  <c r="K4185" i="1"/>
  <c r="L4185" i="1"/>
  <c r="M4185" i="1"/>
  <c r="N4185" i="1"/>
  <c r="O4185" i="1"/>
  <c r="P4185" i="1"/>
  <c r="Q4185" i="1"/>
  <c r="R4185" i="1"/>
  <c r="S4185" i="1"/>
  <c r="T4185" i="1"/>
  <c r="U4185" i="1"/>
  <c r="V4185" i="1"/>
  <c r="W4185" i="1"/>
  <c r="X4185" i="1"/>
  <c r="Y4185" i="1"/>
  <c r="Z4185" i="1"/>
  <c r="A4186" i="1"/>
  <c r="B4186" i="1"/>
  <c r="C4186" i="1"/>
  <c r="D4186" i="1"/>
  <c r="E4186" i="1"/>
  <c r="F4186" i="1"/>
  <c r="G4186" i="1"/>
  <c r="I4186" i="1"/>
  <c r="J4186" i="1"/>
  <c r="K4186" i="1"/>
  <c r="L4186" i="1"/>
  <c r="M4186" i="1"/>
  <c r="N4186" i="1"/>
  <c r="O4186" i="1"/>
  <c r="P4186" i="1"/>
  <c r="Q4186" i="1"/>
  <c r="R4186" i="1"/>
  <c r="S4186" i="1"/>
  <c r="T4186" i="1"/>
  <c r="U4186" i="1"/>
  <c r="V4186" i="1"/>
  <c r="W4186" i="1"/>
  <c r="X4186" i="1"/>
  <c r="Y4186" i="1"/>
  <c r="Z4186" i="1"/>
  <c r="A4187" i="1"/>
  <c r="B4187" i="1"/>
  <c r="C4187" i="1"/>
  <c r="D4187" i="1"/>
  <c r="E4187" i="1"/>
  <c r="F4187" i="1"/>
  <c r="G4187" i="1"/>
  <c r="I4187" i="1"/>
  <c r="J4187" i="1"/>
  <c r="K4187" i="1"/>
  <c r="L4187" i="1"/>
  <c r="M4187" i="1"/>
  <c r="N4187" i="1"/>
  <c r="O4187" i="1"/>
  <c r="P4187" i="1"/>
  <c r="Q4187" i="1"/>
  <c r="R4187" i="1"/>
  <c r="S4187" i="1"/>
  <c r="T4187" i="1"/>
  <c r="U4187" i="1"/>
  <c r="V4187" i="1"/>
  <c r="W4187" i="1"/>
  <c r="X4187" i="1"/>
  <c r="Y4187" i="1"/>
  <c r="Z4187" i="1"/>
  <c r="A4188" i="1"/>
  <c r="B4188" i="1"/>
  <c r="C4188" i="1"/>
  <c r="D4188" i="1"/>
  <c r="E4188" i="1"/>
  <c r="F4188" i="1"/>
  <c r="G4188" i="1"/>
  <c r="I4188" i="1"/>
  <c r="J4188" i="1"/>
  <c r="K4188" i="1"/>
  <c r="L4188" i="1"/>
  <c r="M4188" i="1"/>
  <c r="N4188" i="1"/>
  <c r="O4188" i="1"/>
  <c r="P4188" i="1"/>
  <c r="Q4188" i="1"/>
  <c r="R4188" i="1"/>
  <c r="S4188" i="1"/>
  <c r="T4188" i="1"/>
  <c r="U4188" i="1"/>
  <c r="V4188" i="1"/>
  <c r="W4188" i="1"/>
  <c r="X4188" i="1"/>
  <c r="Y4188" i="1"/>
  <c r="Z4188" i="1"/>
  <c r="A4189" i="1"/>
  <c r="B4189" i="1"/>
  <c r="C4189" i="1"/>
  <c r="D4189" i="1"/>
  <c r="E4189" i="1"/>
  <c r="F4189" i="1"/>
  <c r="G4189" i="1"/>
  <c r="I4189" i="1"/>
  <c r="J4189" i="1"/>
  <c r="K4189" i="1"/>
  <c r="L4189" i="1"/>
  <c r="M4189" i="1"/>
  <c r="N4189" i="1"/>
  <c r="O4189" i="1"/>
  <c r="P4189" i="1"/>
  <c r="Q4189" i="1"/>
  <c r="R4189" i="1"/>
  <c r="S4189" i="1"/>
  <c r="T4189" i="1"/>
  <c r="U4189" i="1"/>
  <c r="V4189" i="1"/>
  <c r="W4189" i="1"/>
  <c r="X4189" i="1"/>
  <c r="Y4189" i="1"/>
  <c r="Z4189" i="1"/>
  <c r="A4190" i="1"/>
  <c r="B4190" i="1"/>
  <c r="C4190" i="1"/>
  <c r="D4190" i="1"/>
  <c r="E4190" i="1"/>
  <c r="F4190" i="1"/>
  <c r="G4190" i="1"/>
  <c r="I4190" i="1"/>
  <c r="J4190" i="1"/>
  <c r="K4190" i="1"/>
  <c r="L4190" i="1"/>
  <c r="M4190" i="1"/>
  <c r="N4190" i="1"/>
  <c r="O4190" i="1"/>
  <c r="P4190" i="1"/>
  <c r="Q4190" i="1"/>
  <c r="R4190" i="1"/>
  <c r="S4190" i="1"/>
  <c r="T4190" i="1"/>
  <c r="U4190" i="1"/>
  <c r="V4190" i="1"/>
  <c r="W4190" i="1"/>
  <c r="X4190" i="1"/>
  <c r="Y4190" i="1"/>
  <c r="Z4190" i="1"/>
  <c r="A4191" i="1"/>
  <c r="B4191" i="1"/>
  <c r="C4191" i="1"/>
  <c r="D4191" i="1"/>
  <c r="E4191" i="1"/>
  <c r="F4191" i="1"/>
  <c r="G4191" i="1"/>
  <c r="I4191" i="1"/>
  <c r="J4191" i="1"/>
  <c r="K4191" i="1"/>
  <c r="L4191" i="1"/>
  <c r="M4191" i="1"/>
  <c r="N4191" i="1"/>
  <c r="O4191" i="1"/>
  <c r="P4191" i="1"/>
  <c r="Q4191" i="1"/>
  <c r="R4191" i="1"/>
  <c r="S4191" i="1"/>
  <c r="T4191" i="1"/>
  <c r="U4191" i="1"/>
  <c r="V4191" i="1"/>
  <c r="W4191" i="1"/>
  <c r="X4191" i="1"/>
  <c r="Y4191" i="1"/>
  <c r="Z4191" i="1"/>
  <c r="A4192" i="1"/>
  <c r="B4192" i="1"/>
  <c r="C4192" i="1"/>
  <c r="D4192" i="1"/>
  <c r="E4192" i="1"/>
  <c r="F4192" i="1"/>
  <c r="G4192" i="1"/>
  <c r="I4192" i="1"/>
  <c r="J4192" i="1"/>
  <c r="K4192" i="1"/>
  <c r="L4192" i="1"/>
  <c r="M4192" i="1"/>
  <c r="N4192" i="1"/>
  <c r="O4192" i="1"/>
  <c r="P4192" i="1"/>
  <c r="Q4192" i="1"/>
  <c r="R4192" i="1"/>
  <c r="S4192" i="1"/>
  <c r="T4192" i="1"/>
  <c r="U4192" i="1"/>
  <c r="V4192" i="1"/>
  <c r="W4192" i="1"/>
  <c r="X4192" i="1"/>
  <c r="Y4192" i="1"/>
  <c r="Z4192" i="1"/>
  <c r="A4193" i="1"/>
  <c r="B4193" i="1"/>
  <c r="C4193" i="1"/>
  <c r="D4193" i="1"/>
  <c r="E4193" i="1"/>
  <c r="F4193" i="1"/>
  <c r="G4193" i="1"/>
  <c r="I4193" i="1"/>
  <c r="J4193" i="1"/>
  <c r="K4193" i="1"/>
  <c r="L4193" i="1"/>
  <c r="M4193" i="1"/>
  <c r="N4193" i="1"/>
  <c r="O4193" i="1"/>
  <c r="P4193" i="1"/>
  <c r="Q4193" i="1"/>
  <c r="R4193" i="1"/>
  <c r="S4193" i="1"/>
  <c r="T4193" i="1"/>
  <c r="U4193" i="1"/>
  <c r="V4193" i="1"/>
  <c r="W4193" i="1"/>
  <c r="X4193" i="1"/>
  <c r="Y4193" i="1"/>
  <c r="Z4193" i="1"/>
  <c r="A4194" i="1"/>
  <c r="B4194" i="1"/>
  <c r="C4194" i="1"/>
  <c r="D4194" i="1"/>
  <c r="E4194" i="1"/>
  <c r="F4194" i="1"/>
  <c r="G4194" i="1"/>
  <c r="I4194" i="1"/>
  <c r="J4194" i="1"/>
  <c r="K4194" i="1"/>
  <c r="L4194" i="1"/>
  <c r="M4194" i="1"/>
  <c r="N4194" i="1"/>
  <c r="O4194" i="1"/>
  <c r="P4194" i="1"/>
  <c r="Q4194" i="1"/>
  <c r="R4194" i="1"/>
  <c r="S4194" i="1"/>
  <c r="T4194" i="1"/>
  <c r="U4194" i="1"/>
  <c r="V4194" i="1"/>
  <c r="W4194" i="1"/>
  <c r="X4194" i="1"/>
  <c r="Y4194" i="1"/>
  <c r="Z4194" i="1"/>
  <c r="A4195" i="1"/>
  <c r="B4195" i="1"/>
  <c r="C4195" i="1"/>
  <c r="D4195" i="1"/>
  <c r="E4195" i="1"/>
  <c r="F4195" i="1"/>
  <c r="G4195" i="1"/>
  <c r="I4195" i="1"/>
  <c r="J4195" i="1"/>
  <c r="K4195" i="1"/>
  <c r="L4195" i="1"/>
  <c r="M4195" i="1"/>
  <c r="N4195" i="1"/>
  <c r="O4195" i="1"/>
  <c r="P4195" i="1"/>
  <c r="Q4195" i="1"/>
  <c r="R4195" i="1"/>
  <c r="S4195" i="1"/>
  <c r="T4195" i="1"/>
  <c r="U4195" i="1"/>
  <c r="V4195" i="1"/>
  <c r="W4195" i="1"/>
  <c r="X4195" i="1"/>
  <c r="Y4195" i="1"/>
  <c r="Z4195" i="1"/>
  <c r="A4196" i="1"/>
  <c r="B4196" i="1"/>
  <c r="C4196" i="1"/>
  <c r="D4196" i="1"/>
  <c r="E4196" i="1"/>
  <c r="F4196" i="1"/>
  <c r="G4196" i="1"/>
  <c r="I4196" i="1"/>
  <c r="J4196" i="1"/>
  <c r="K4196" i="1"/>
  <c r="L4196" i="1"/>
  <c r="M4196" i="1"/>
  <c r="N4196" i="1"/>
  <c r="O4196" i="1"/>
  <c r="P4196" i="1"/>
  <c r="Q4196" i="1"/>
  <c r="R4196" i="1"/>
  <c r="S4196" i="1"/>
  <c r="T4196" i="1"/>
  <c r="U4196" i="1"/>
  <c r="V4196" i="1"/>
  <c r="W4196" i="1"/>
  <c r="X4196" i="1"/>
  <c r="Y4196" i="1"/>
  <c r="Z4196" i="1"/>
  <c r="A4197" i="1"/>
  <c r="B4197" i="1"/>
  <c r="C4197" i="1"/>
  <c r="D4197" i="1"/>
  <c r="E4197" i="1"/>
  <c r="F4197" i="1"/>
  <c r="G4197" i="1"/>
  <c r="I4197" i="1"/>
  <c r="J4197" i="1"/>
  <c r="K4197" i="1"/>
  <c r="L4197" i="1"/>
  <c r="M4197" i="1"/>
  <c r="N4197" i="1"/>
  <c r="O4197" i="1"/>
  <c r="P4197" i="1"/>
  <c r="Q4197" i="1"/>
  <c r="R4197" i="1"/>
  <c r="S4197" i="1"/>
  <c r="T4197" i="1"/>
  <c r="U4197" i="1"/>
  <c r="V4197" i="1"/>
  <c r="W4197" i="1"/>
  <c r="X4197" i="1"/>
  <c r="Y4197" i="1"/>
  <c r="Z4197" i="1"/>
  <c r="A4198" i="1"/>
  <c r="B4198" i="1"/>
  <c r="C4198" i="1"/>
  <c r="D4198" i="1"/>
  <c r="E4198" i="1"/>
  <c r="F4198" i="1"/>
  <c r="G4198" i="1"/>
  <c r="I4198" i="1"/>
  <c r="J4198" i="1"/>
  <c r="K4198" i="1"/>
  <c r="L4198" i="1"/>
  <c r="M4198" i="1"/>
  <c r="N4198" i="1"/>
  <c r="O4198" i="1"/>
  <c r="P4198" i="1"/>
  <c r="Q4198" i="1"/>
  <c r="R4198" i="1"/>
  <c r="S4198" i="1"/>
  <c r="T4198" i="1"/>
  <c r="U4198" i="1"/>
  <c r="V4198" i="1"/>
  <c r="W4198" i="1"/>
  <c r="X4198" i="1"/>
  <c r="Y4198" i="1"/>
  <c r="Z4198" i="1"/>
  <c r="A4199" i="1"/>
  <c r="B4199" i="1"/>
  <c r="C4199" i="1"/>
  <c r="D4199" i="1"/>
  <c r="E4199" i="1"/>
  <c r="F4199" i="1"/>
  <c r="G4199" i="1"/>
  <c r="I4199" i="1"/>
  <c r="J4199" i="1"/>
  <c r="K4199" i="1"/>
  <c r="L4199" i="1"/>
  <c r="M4199" i="1"/>
  <c r="N4199" i="1"/>
  <c r="O4199" i="1"/>
  <c r="P4199" i="1"/>
  <c r="Q4199" i="1"/>
  <c r="R4199" i="1"/>
  <c r="S4199" i="1"/>
  <c r="T4199" i="1"/>
  <c r="U4199" i="1"/>
  <c r="V4199" i="1"/>
  <c r="W4199" i="1"/>
  <c r="X4199" i="1"/>
  <c r="Y4199" i="1"/>
  <c r="Z4199" i="1"/>
  <c r="A4200" i="1"/>
  <c r="B4200" i="1"/>
  <c r="C4200" i="1"/>
  <c r="D4200" i="1"/>
  <c r="E4200" i="1"/>
  <c r="F4200" i="1"/>
  <c r="G4200" i="1"/>
  <c r="I4200" i="1"/>
  <c r="J4200" i="1"/>
  <c r="K4200" i="1"/>
  <c r="L4200" i="1"/>
  <c r="M4200" i="1"/>
  <c r="N4200" i="1"/>
  <c r="O4200" i="1"/>
  <c r="P4200" i="1"/>
  <c r="Q4200" i="1"/>
  <c r="R4200" i="1"/>
  <c r="S4200" i="1"/>
  <c r="T4200" i="1"/>
  <c r="U4200" i="1"/>
  <c r="V4200" i="1"/>
  <c r="W4200" i="1"/>
  <c r="X4200" i="1"/>
  <c r="Y4200" i="1"/>
  <c r="Z4200" i="1"/>
  <c r="A4201" i="1"/>
  <c r="B4201" i="1"/>
  <c r="C4201" i="1"/>
  <c r="D4201" i="1"/>
  <c r="E4201" i="1"/>
  <c r="F4201" i="1"/>
  <c r="G4201" i="1"/>
  <c r="I4201" i="1"/>
  <c r="J4201" i="1"/>
  <c r="K4201" i="1"/>
  <c r="L4201" i="1"/>
  <c r="M4201" i="1"/>
  <c r="N4201" i="1"/>
  <c r="O4201" i="1"/>
  <c r="P4201" i="1"/>
  <c r="Q4201" i="1"/>
  <c r="R4201" i="1"/>
  <c r="S4201" i="1"/>
  <c r="T4201" i="1"/>
  <c r="U4201" i="1"/>
  <c r="V4201" i="1"/>
  <c r="W4201" i="1"/>
  <c r="X4201" i="1"/>
  <c r="Y4201" i="1"/>
  <c r="Z4201" i="1"/>
  <c r="A4202" i="1"/>
  <c r="B4202" i="1"/>
  <c r="C4202" i="1"/>
  <c r="D4202" i="1"/>
  <c r="E4202" i="1"/>
  <c r="F4202" i="1"/>
  <c r="G4202" i="1"/>
  <c r="I4202" i="1"/>
  <c r="J4202" i="1"/>
  <c r="K4202" i="1"/>
  <c r="L4202" i="1"/>
  <c r="M4202" i="1"/>
  <c r="N4202" i="1"/>
  <c r="O4202" i="1"/>
  <c r="P4202" i="1"/>
  <c r="Q4202" i="1"/>
  <c r="R4202" i="1"/>
  <c r="S4202" i="1"/>
  <c r="T4202" i="1"/>
  <c r="U4202" i="1"/>
  <c r="V4202" i="1"/>
  <c r="W4202" i="1"/>
  <c r="X4202" i="1"/>
  <c r="Y4202" i="1"/>
  <c r="Z4202" i="1"/>
  <c r="A4203" i="1"/>
  <c r="B4203" i="1"/>
  <c r="C4203" i="1"/>
  <c r="D4203" i="1"/>
  <c r="E4203" i="1"/>
  <c r="F4203" i="1"/>
  <c r="G4203" i="1"/>
  <c r="I4203" i="1"/>
  <c r="J4203" i="1"/>
  <c r="K4203" i="1"/>
  <c r="L4203" i="1"/>
  <c r="M4203" i="1"/>
  <c r="N4203" i="1"/>
  <c r="O4203" i="1"/>
  <c r="P4203" i="1"/>
  <c r="Q4203" i="1"/>
  <c r="R4203" i="1"/>
  <c r="S4203" i="1"/>
  <c r="T4203" i="1"/>
  <c r="U4203" i="1"/>
  <c r="V4203" i="1"/>
  <c r="W4203" i="1"/>
  <c r="X4203" i="1"/>
  <c r="Y4203" i="1"/>
  <c r="Z4203" i="1"/>
  <c r="A4204" i="1"/>
  <c r="B4204" i="1"/>
  <c r="C4204" i="1"/>
  <c r="D4204" i="1"/>
  <c r="E4204" i="1"/>
  <c r="F4204" i="1"/>
  <c r="G4204" i="1"/>
  <c r="I4204" i="1"/>
  <c r="J4204" i="1"/>
  <c r="K4204" i="1"/>
  <c r="L4204" i="1"/>
  <c r="M4204" i="1"/>
  <c r="N4204" i="1"/>
  <c r="O4204" i="1"/>
  <c r="P4204" i="1"/>
  <c r="Q4204" i="1"/>
  <c r="R4204" i="1"/>
  <c r="S4204" i="1"/>
  <c r="T4204" i="1"/>
  <c r="U4204" i="1"/>
  <c r="V4204" i="1"/>
  <c r="W4204" i="1"/>
  <c r="X4204" i="1"/>
  <c r="Y4204" i="1"/>
  <c r="Z4204" i="1"/>
  <c r="A4205" i="1"/>
  <c r="B4205" i="1"/>
  <c r="C4205" i="1"/>
  <c r="D4205" i="1"/>
  <c r="E4205" i="1"/>
  <c r="F4205" i="1"/>
  <c r="G4205" i="1"/>
  <c r="I4205" i="1"/>
  <c r="J4205" i="1"/>
  <c r="K4205" i="1"/>
  <c r="L4205" i="1"/>
  <c r="M4205" i="1"/>
  <c r="N4205" i="1"/>
  <c r="O4205" i="1"/>
  <c r="P4205" i="1"/>
  <c r="Q4205" i="1"/>
  <c r="R4205" i="1"/>
  <c r="S4205" i="1"/>
  <c r="T4205" i="1"/>
  <c r="U4205" i="1"/>
  <c r="V4205" i="1"/>
  <c r="W4205" i="1"/>
  <c r="X4205" i="1"/>
  <c r="Y4205" i="1"/>
  <c r="Z4205" i="1"/>
  <c r="A4206" i="1"/>
  <c r="B4206" i="1"/>
  <c r="C4206" i="1"/>
  <c r="D4206" i="1"/>
  <c r="E4206" i="1"/>
  <c r="F4206" i="1"/>
  <c r="G4206" i="1"/>
  <c r="I4206" i="1"/>
  <c r="J4206" i="1"/>
  <c r="K4206" i="1"/>
  <c r="L4206" i="1"/>
  <c r="M4206" i="1"/>
  <c r="N4206" i="1"/>
  <c r="O4206" i="1"/>
  <c r="P4206" i="1"/>
  <c r="Q4206" i="1"/>
  <c r="R4206" i="1"/>
  <c r="S4206" i="1"/>
  <c r="T4206" i="1"/>
  <c r="U4206" i="1"/>
  <c r="V4206" i="1"/>
  <c r="W4206" i="1"/>
  <c r="X4206" i="1"/>
  <c r="Y4206" i="1"/>
  <c r="Z4206" i="1"/>
  <c r="A4207" i="1"/>
  <c r="B4207" i="1"/>
  <c r="C4207" i="1"/>
  <c r="D4207" i="1"/>
  <c r="E4207" i="1"/>
  <c r="F4207" i="1"/>
  <c r="G4207" i="1"/>
  <c r="I4207" i="1"/>
  <c r="J4207" i="1"/>
  <c r="K4207" i="1"/>
  <c r="L4207" i="1"/>
  <c r="M4207" i="1"/>
  <c r="N4207" i="1"/>
  <c r="O4207" i="1"/>
  <c r="P4207" i="1"/>
  <c r="Q4207" i="1"/>
  <c r="R4207" i="1"/>
  <c r="S4207" i="1"/>
  <c r="T4207" i="1"/>
  <c r="U4207" i="1"/>
  <c r="V4207" i="1"/>
  <c r="W4207" i="1"/>
  <c r="X4207" i="1"/>
  <c r="Y4207" i="1"/>
  <c r="Z4207" i="1"/>
  <c r="A4208" i="1"/>
  <c r="B4208" i="1"/>
  <c r="C4208" i="1"/>
  <c r="D4208" i="1"/>
  <c r="E4208" i="1"/>
  <c r="F4208" i="1"/>
  <c r="G4208" i="1"/>
  <c r="I4208" i="1"/>
  <c r="J4208" i="1"/>
  <c r="K4208" i="1"/>
  <c r="L4208" i="1"/>
  <c r="M4208" i="1"/>
  <c r="N4208" i="1"/>
  <c r="O4208" i="1"/>
  <c r="P4208" i="1"/>
  <c r="Q4208" i="1"/>
  <c r="R4208" i="1"/>
  <c r="S4208" i="1"/>
  <c r="T4208" i="1"/>
  <c r="U4208" i="1"/>
  <c r="V4208" i="1"/>
  <c r="W4208" i="1"/>
  <c r="X4208" i="1"/>
  <c r="Y4208" i="1"/>
  <c r="Z4208" i="1"/>
  <c r="A4209" i="1"/>
  <c r="B4209" i="1"/>
  <c r="C4209" i="1"/>
  <c r="D4209" i="1"/>
  <c r="E4209" i="1"/>
  <c r="F4209" i="1"/>
  <c r="G4209" i="1"/>
  <c r="I4209" i="1"/>
  <c r="J4209" i="1"/>
  <c r="K4209" i="1"/>
  <c r="L4209" i="1"/>
  <c r="M4209" i="1"/>
  <c r="N4209" i="1"/>
  <c r="O4209" i="1"/>
  <c r="P4209" i="1"/>
  <c r="Q4209" i="1"/>
  <c r="R4209" i="1"/>
  <c r="S4209" i="1"/>
  <c r="T4209" i="1"/>
  <c r="U4209" i="1"/>
  <c r="V4209" i="1"/>
  <c r="W4209" i="1"/>
  <c r="X4209" i="1"/>
  <c r="Y4209" i="1"/>
  <c r="Z4209" i="1"/>
  <c r="A4210" i="1"/>
  <c r="B4210" i="1"/>
  <c r="C4210" i="1"/>
  <c r="D4210" i="1"/>
  <c r="E4210" i="1"/>
  <c r="F4210" i="1"/>
  <c r="G4210" i="1"/>
  <c r="I4210" i="1"/>
  <c r="J4210" i="1"/>
  <c r="K4210" i="1"/>
  <c r="L4210" i="1"/>
  <c r="M4210" i="1"/>
  <c r="N4210" i="1"/>
  <c r="O4210" i="1"/>
  <c r="P4210" i="1"/>
  <c r="Q4210" i="1"/>
  <c r="R4210" i="1"/>
  <c r="S4210" i="1"/>
  <c r="T4210" i="1"/>
  <c r="U4210" i="1"/>
  <c r="V4210" i="1"/>
  <c r="W4210" i="1"/>
  <c r="X4210" i="1"/>
  <c r="Y4210" i="1"/>
  <c r="Z4210" i="1"/>
  <c r="A4211" i="1"/>
  <c r="B4211" i="1"/>
  <c r="C4211" i="1"/>
  <c r="D4211" i="1"/>
  <c r="E4211" i="1"/>
  <c r="F4211" i="1"/>
  <c r="G4211" i="1"/>
  <c r="I4211" i="1"/>
  <c r="J4211" i="1"/>
  <c r="K4211" i="1"/>
  <c r="L4211" i="1"/>
  <c r="M4211" i="1"/>
  <c r="N4211" i="1"/>
  <c r="O4211" i="1"/>
  <c r="P4211" i="1"/>
  <c r="Q4211" i="1"/>
  <c r="R4211" i="1"/>
  <c r="S4211" i="1"/>
  <c r="T4211" i="1"/>
  <c r="U4211" i="1"/>
  <c r="V4211" i="1"/>
  <c r="W4211" i="1"/>
  <c r="X4211" i="1"/>
  <c r="Y4211" i="1"/>
  <c r="Z4211" i="1"/>
  <c r="A4212" i="1"/>
  <c r="B4212" i="1"/>
  <c r="C4212" i="1"/>
  <c r="D4212" i="1"/>
  <c r="E4212" i="1"/>
  <c r="F4212" i="1"/>
  <c r="G4212" i="1"/>
  <c r="I4212" i="1"/>
  <c r="J4212" i="1"/>
  <c r="K4212" i="1"/>
  <c r="L4212" i="1"/>
  <c r="M4212" i="1"/>
  <c r="N4212" i="1"/>
  <c r="O4212" i="1"/>
  <c r="P4212" i="1"/>
  <c r="Q4212" i="1"/>
  <c r="R4212" i="1"/>
  <c r="S4212" i="1"/>
  <c r="T4212" i="1"/>
  <c r="U4212" i="1"/>
  <c r="V4212" i="1"/>
  <c r="W4212" i="1"/>
  <c r="X4212" i="1"/>
  <c r="Y4212" i="1"/>
  <c r="Z4212" i="1"/>
  <c r="A4213" i="1"/>
  <c r="B4213" i="1"/>
  <c r="C4213" i="1"/>
  <c r="D4213" i="1"/>
  <c r="E4213" i="1"/>
  <c r="F4213" i="1"/>
  <c r="G4213" i="1"/>
  <c r="I4213" i="1"/>
  <c r="J4213" i="1"/>
  <c r="K4213" i="1"/>
  <c r="L4213" i="1"/>
  <c r="M4213" i="1"/>
  <c r="N4213" i="1"/>
  <c r="O4213" i="1"/>
  <c r="P4213" i="1"/>
  <c r="Q4213" i="1"/>
  <c r="R4213" i="1"/>
  <c r="S4213" i="1"/>
  <c r="T4213" i="1"/>
  <c r="U4213" i="1"/>
  <c r="V4213" i="1"/>
  <c r="W4213" i="1"/>
  <c r="X4213" i="1"/>
  <c r="Y4213" i="1"/>
  <c r="Z4213" i="1"/>
  <c r="A4214" i="1"/>
  <c r="B4214" i="1"/>
  <c r="C4214" i="1"/>
  <c r="D4214" i="1"/>
  <c r="E4214" i="1"/>
  <c r="F4214" i="1"/>
  <c r="G4214" i="1"/>
  <c r="I4214" i="1"/>
  <c r="J4214" i="1"/>
  <c r="K4214" i="1"/>
  <c r="L4214" i="1"/>
  <c r="M4214" i="1"/>
  <c r="N4214" i="1"/>
  <c r="O4214" i="1"/>
  <c r="P4214" i="1"/>
  <c r="Q4214" i="1"/>
  <c r="R4214" i="1"/>
  <c r="S4214" i="1"/>
  <c r="T4214" i="1"/>
  <c r="U4214" i="1"/>
  <c r="V4214" i="1"/>
  <c r="W4214" i="1"/>
  <c r="X4214" i="1"/>
  <c r="Y4214" i="1"/>
  <c r="Z4214" i="1"/>
  <c r="A4215" i="1"/>
  <c r="B4215" i="1"/>
  <c r="C4215" i="1"/>
  <c r="D4215" i="1"/>
  <c r="E4215" i="1"/>
  <c r="F4215" i="1"/>
  <c r="G4215" i="1"/>
  <c r="I4215" i="1"/>
  <c r="J4215" i="1"/>
  <c r="K4215" i="1"/>
  <c r="L4215" i="1"/>
  <c r="M4215" i="1"/>
  <c r="N4215" i="1"/>
  <c r="O4215" i="1"/>
  <c r="P4215" i="1"/>
  <c r="Q4215" i="1"/>
  <c r="R4215" i="1"/>
  <c r="S4215" i="1"/>
  <c r="T4215" i="1"/>
  <c r="U4215" i="1"/>
  <c r="V4215" i="1"/>
  <c r="W4215" i="1"/>
  <c r="X4215" i="1"/>
  <c r="Y4215" i="1"/>
  <c r="Z4215" i="1"/>
  <c r="A4216" i="1"/>
  <c r="B4216" i="1"/>
  <c r="C4216" i="1"/>
  <c r="D4216" i="1"/>
  <c r="E4216" i="1"/>
  <c r="F4216" i="1"/>
  <c r="G4216" i="1"/>
  <c r="I4216" i="1"/>
  <c r="J4216" i="1"/>
  <c r="K4216" i="1"/>
  <c r="L4216" i="1"/>
  <c r="M4216" i="1"/>
  <c r="N4216" i="1"/>
  <c r="O4216" i="1"/>
  <c r="P4216" i="1"/>
  <c r="Q4216" i="1"/>
  <c r="R4216" i="1"/>
  <c r="S4216" i="1"/>
  <c r="T4216" i="1"/>
  <c r="U4216" i="1"/>
  <c r="V4216" i="1"/>
  <c r="W4216" i="1"/>
  <c r="X4216" i="1"/>
  <c r="Y4216" i="1"/>
  <c r="Z4216" i="1"/>
  <c r="A4217" i="1"/>
  <c r="B4217" i="1"/>
  <c r="C4217" i="1"/>
  <c r="D4217" i="1"/>
  <c r="E4217" i="1"/>
  <c r="F4217" i="1"/>
  <c r="G4217" i="1"/>
  <c r="I4217" i="1"/>
  <c r="J4217" i="1"/>
  <c r="K4217" i="1"/>
  <c r="L4217" i="1"/>
  <c r="M4217" i="1"/>
  <c r="N4217" i="1"/>
  <c r="O4217" i="1"/>
  <c r="P4217" i="1"/>
  <c r="Q4217" i="1"/>
  <c r="R4217" i="1"/>
  <c r="S4217" i="1"/>
  <c r="T4217" i="1"/>
  <c r="U4217" i="1"/>
  <c r="V4217" i="1"/>
  <c r="W4217" i="1"/>
  <c r="X4217" i="1"/>
  <c r="Y4217" i="1"/>
  <c r="Z4217" i="1"/>
  <c r="A4218" i="1"/>
  <c r="B4218" i="1"/>
  <c r="C4218" i="1"/>
  <c r="D4218" i="1"/>
  <c r="E4218" i="1"/>
  <c r="F4218" i="1"/>
  <c r="G4218" i="1"/>
  <c r="I4218" i="1"/>
  <c r="J4218" i="1"/>
  <c r="K4218" i="1"/>
  <c r="L4218" i="1"/>
  <c r="M4218" i="1"/>
  <c r="N4218" i="1"/>
  <c r="O4218" i="1"/>
  <c r="P4218" i="1"/>
  <c r="Q4218" i="1"/>
  <c r="R4218" i="1"/>
  <c r="S4218" i="1"/>
  <c r="T4218" i="1"/>
  <c r="U4218" i="1"/>
  <c r="V4218" i="1"/>
  <c r="W4218" i="1"/>
  <c r="X4218" i="1"/>
  <c r="Y4218" i="1"/>
  <c r="Z4218" i="1"/>
  <c r="A4219" i="1"/>
  <c r="B4219" i="1"/>
  <c r="C4219" i="1"/>
  <c r="D4219" i="1"/>
  <c r="E4219" i="1"/>
  <c r="F4219" i="1"/>
  <c r="G4219" i="1"/>
  <c r="I4219" i="1"/>
  <c r="J4219" i="1"/>
  <c r="K4219" i="1"/>
  <c r="L4219" i="1"/>
  <c r="M4219" i="1"/>
  <c r="N4219" i="1"/>
  <c r="O4219" i="1"/>
  <c r="P4219" i="1"/>
  <c r="Q4219" i="1"/>
  <c r="R4219" i="1"/>
  <c r="S4219" i="1"/>
  <c r="T4219" i="1"/>
  <c r="U4219" i="1"/>
  <c r="V4219" i="1"/>
  <c r="W4219" i="1"/>
  <c r="X4219" i="1"/>
  <c r="Y4219" i="1"/>
  <c r="Z4219" i="1"/>
  <c r="A4220" i="1"/>
  <c r="B4220" i="1"/>
  <c r="C4220" i="1"/>
  <c r="D4220" i="1"/>
  <c r="E4220" i="1"/>
  <c r="F4220" i="1"/>
  <c r="G4220" i="1"/>
  <c r="I4220" i="1"/>
  <c r="J4220" i="1"/>
  <c r="K4220" i="1"/>
  <c r="L4220" i="1"/>
  <c r="M4220" i="1"/>
  <c r="N4220" i="1"/>
  <c r="O4220" i="1"/>
  <c r="P4220" i="1"/>
  <c r="Q4220" i="1"/>
  <c r="R4220" i="1"/>
  <c r="S4220" i="1"/>
  <c r="T4220" i="1"/>
  <c r="U4220" i="1"/>
  <c r="V4220" i="1"/>
  <c r="W4220" i="1"/>
  <c r="X4220" i="1"/>
  <c r="Y4220" i="1"/>
  <c r="Z4220" i="1"/>
  <c r="A4221" i="1"/>
  <c r="B4221" i="1"/>
  <c r="C4221" i="1"/>
  <c r="D4221" i="1"/>
  <c r="E4221" i="1"/>
  <c r="F4221" i="1"/>
  <c r="G4221" i="1"/>
  <c r="I4221" i="1"/>
  <c r="J4221" i="1"/>
  <c r="K4221" i="1"/>
  <c r="L4221" i="1"/>
  <c r="M4221" i="1"/>
  <c r="N4221" i="1"/>
  <c r="O4221" i="1"/>
  <c r="P4221" i="1"/>
  <c r="Q4221" i="1"/>
  <c r="R4221" i="1"/>
  <c r="S4221" i="1"/>
  <c r="T4221" i="1"/>
  <c r="U4221" i="1"/>
  <c r="V4221" i="1"/>
  <c r="W4221" i="1"/>
  <c r="X4221" i="1"/>
  <c r="Y4221" i="1"/>
  <c r="Z4221" i="1"/>
  <c r="A4222" i="1"/>
  <c r="B4222" i="1"/>
  <c r="C4222" i="1"/>
  <c r="D4222" i="1"/>
  <c r="E4222" i="1"/>
  <c r="F4222" i="1"/>
  <c r="G4222" i="1"/>
  <c r="I4222" i="1"/>
  <c r="J4222" i="1"/>
  <c r="K4222" i="1"/>
  <c r="L4222" i="1"/>
  <c r="M4222" i="1"/>
  <c r="N4222" i="1"/>
  <c r="O4222" i="1"/>
  <c r="P4222" i="1"/>
  <c r="Q4222" i="1"/>
  <c r="R4222" i="1"/>
  <c r="S4222" i="1"/>
  <c r="T4222" i="1"/>
  <c r="U4222" i="1"/>
  <c r="V4222" i="1"/>
  <c r="W4222" i="1"/>
  <c r="X4222" i="1"/>
  <c r="Y4222" i="1"/>
  <c r="Z4222" i="1"/>
  <c r="A4223" i="1"/>
  <c r="B4223" i="1"/>
  <c r="C4223" i="1"/>
  <c r="D4223" i="1"/>
  <c r="E4223" i="1"/>
  <c r="F4223" i="1"/>
  <c r="G4223" i="1"/>
  <c r="I4223" i="1"/>
  <c r="J4223" i="1"/>
  <c r="K4223" i="1"/>
  <c r="L4223" i="1"/>
  <c r="M4223" i="1"/>
  <c r="N4223" i="1"/>
  <c r="O4223" i="1"/>
  <c r="P4223" i="1"/>
  <c r="Q4223" i="1"/>
  <c r="R4223" i="1"/>
  <c r="S4223" i="1"/>
  <c r="T4223" i="1"/>
  <c r="U4223" i="1"/>
  <c r="V4223" i="1"/>
  <c r="W4223" i="1"/>
  <c r="X4223" i="1"/>
  <c r="Y4223" i="1"/>
  <c r="Z4223" i="1"/>
  <c r="A4224" i="1"/>
  <c r="B4224" i="1"/>
  <c r="C4224" i="1"/>
  <c r="D4224" i="1"/>
  <c r="E4224" i="1"/>
  <c r="F4224" i="1"/>
  <c r="G4224" i="1"/>
  <c r="I4224" i="1"/>
  <c r="J4224" i="1"/>
  <c r="K4224" i="1"/>
  <c r="L4224" i="1"/>
  <c r="M4224" i="1"/>
  <c r="N4224" i="1"/>
  <c r="O4224" i="1"/>
  <c r="P4224" i="1"/>
  <c r="Q4224" i="1"/>
  <c r="R4224" i="1"/>
  <c r="S4224" i="1"/>
  <c r="T4224" i="1"/>
  <c r="U4224" i="1"/>
  <c r="V4224" i="1"/>
  <c r="W4224" i="1"/>
  <c r="X4224" i="1"/>
  <c r="Y4224" i="1"/>
  <c r="Z4224" i="1"/>
  <c r="A4225" i="1"/>
  <c r="B4225" i="1"/>
  <c r="C4225" i="1"/>
  <c r="D4225" i="1"/>
  <c r="E4225" i="1"/>
  <c r="F4225" i="1"/>
  <c r="G4225" i="1"/>
  <c r="I4225" i="1"/>
  <c r="J4225" i="1"/>
  <c r="K4225" i="1"/>
  <c r="L4225" i="1"/>
  <c r="M4225" i="1"/>
  <c r="N4225" i="1"/>
  <c r="O4225" i="1"/>
  <c r="P4225" i="1"/>
  <c r="Q4225" i="1"/>
  <c r="R4225" i="1"/>
  <c r="S4225" i="1"/>
  <c r="T4225" i="1"/>
  <c r="U4225" i="1"/>
  <c r="V4225" i="1"/>
  <c r="W4225" i="1"/>
  <c r="X4225" i="1"/>
  <c r="Y4225" i="1"/>
  <c r="Z4225" i="1"/>
  <c r="A4226" i="1"/>
  <c r="B4226" i="1"/>
  <c r="C4226" i="1"/>
  <c r="D4226" i="1"/>
  <c r="E4226" i="1"/>
  <c r="F4226" i="1"/>
  <c r="G4226" i="1"/>
  <c r="I4226" i="1"/>
  <c r="J4226" i="1"/>
  <c r="K4226" i="1"/>
  <c r="L4226" i="1"/>
  <c r="M4226" i="1"/>
  <c r="N4226" i="1"/>
  <c r="O4226" i="1"/>
  <c r="P4226" i="1"/>
  <c r="Q4226" i="1"/>
  <c r="R4226" i="1"/>
  <c r="S4226" i="1"/>
  <c r="T4226" i="1"/>
  <c r="U4226" i="1"/>
  <c r="V4226" i="1"/>
  <c r="W4226" i="1"/>
  <c r="X4226" i="1"/>
  <c r="Y4226" i="1"/>
  <c r="Z4226" i="1"/>
  <c r="A4227" i="1"/>
  <c r="B4227" i="1"/>
  <c r="C4227" i="1"/>
  <c r="D4227" i="1"/>
  <c r="E4227" i="1"/>
  <c r="F4227" i="1"/>
  <c r="G4227" i="1"/>
  <c r="I4227" i="1"/>
  <c r="J4227" i="1"/>
  <c r="K4227" i="1"/>
  <c r="L4227" i="1"/>
  <c r="M4227" i="1"/>
  <c r="N4227" i="1"/>
  <c r="O4227" i="1"/>
  <c r="P4227" i="1"/>
  <c r="Q4227" i="1"/>
  <c r="R4227" i="1"/>
  <c r="S4227" i="1"/>
  <c r="T4227" i="1"/>
  <c r="U4227" i="1"/>
  <c r="V4227" i="1"/>
  <c r="W4227" i="1"/>
  <c r="X4227" i="1"/>
  <c r="Y4227" i="1"/>
  <c r="Z4227" i="1"/>
  <c r="A4228" i="1"/>
  <c r="B4228" i="1"/>
  <c r="C4228" i="1"/>
  <c r="D4228" i="1"/>
  <c r="E4228" i="1"/>
  <c r="F4228" i="1"/>
  <c r="G4228" i="1"/>
  <c r="I4228" i="1"/>
  <c r="J4228" i="1"/>
  <c r="K4228" i="1"/>
  <c r="L4228" i="1"/>
  <c r="M4228" i="1"/>
  <c r="N4228" i="1"/>
  <c r="O4228" i="1"/>
  <c r="P4228" i="1"/>
  <c r="Q4228" i="1"/>
  <c r="R4228" i="1"/>
  <c r="S4228" i="1"/>
  <c r="T4228" i="1"/>
  <c r="U4228" i="1"/>
  <c r="V4228" i="1"/>
  <c r="W4228" i="1"/>
  <c r="X4228" i="1"/>
  <c r="Y4228" i="1"/>
  <c r="Z4228" i="1"/>
  <c r="A4229" i="1"/>
  <c r="B4229" i="1"/>
  <c r="C4229" i="1"/>
  <c r="D4229" i="1"/>
  <c r="E4229" i="1"/>
  <c r="F4229" i="1"/>
  <c r="G4229" i="1"/>
  <c r="I4229" i="1"/>
  <c r="J4229" i="1"/>
  <c r="K4229" i="1"/>
  <c r="L4229" i="1"/>
  <c r="M4229" i="1"/>
  <c r="N4229" i="1"/>
  <c r="O4229" i="1"/>
  <c r="P4229" i="1"/>
  <c r="Q4229" i="1"/>
  <c r="R4229" i="1"/>
  <c r="S4229" i="1"/>
  <c r="T4229" i="1"/>
  <c r="U4229" i="1"/>
  <c r="V4229" i="1"/>
  <c r="W4229" i="1"/>
  <c r="X4229" i="1"/>
  <c r="Y4229" i="1"/>
  <c r="Z4229" i="1"/>
  <c r="A4230" i="1"/>
  <c r="B4230" i="1"/>
  <c r="C4230" i="1"/>
  <c r="D4230" i="1"/>
  <c r="E4230" i="1"/>
  <c r="F4230" i="1"/>
  <c r="G4230" i="1"/>
  <c r="I4230" i="1"/>
  <c r="J4230" i="1"/>
  <c r="K4230" i="1"/>
  <c r="L4230" i="1"/>
  <c r="M4230" i="1"/>
  <c r="N4230" i="1"/>
  <c r="O4230" i="1"/>
  <c r="P4230" i="1"/>
  <c r="Q4230" i="1"/>
  <c r="R4230" i="1"/>
  <c r="S4230" i="1"/>
  <c r="T4230" i="1"/>
  <c r="U4230" i="1"/>
  <c r="V4230" i="1"/>
  <c r="W4230" i="1"/>
  <c r="X4230" i="1"/>
  <c r="Y4230" i="1"/>
  <c r="Z4230" i="1"/>
  <c r="A4231" i="1"/>
  <c r="B4231" i="1"/>
  <c r="C4231" i="1"/>
  <c r="D4231" i="1"/>
  <c r="E4231" i="1"/>
  <c r="F4231" i="1"/>
  <c r="G4231" i="1"/>
  <c r="I4231" i="1"/>
  <c r="J4231" i="1"/>
  <c r="K4231" i="1"/>
  <c r="L4231" i="1"/>
  <c r="M4231" i="1"/>
  <c r="N4231" i="1"/>
  <c r="O4231" i="1"/>
  <c r="P4231" i="1"/>
  <c r="Q4231" i="1"/>
  <c r="R4231" i="1"/>
  <c r="S4231" i="1"/>
  <c r="T4231" i="1"/>
  <c r="U4231" i="1"/>
  <c r="V4231" i="1"/>
  <c r="W4231" i="1"/>
  <c r="X4231" i="1"/>
  <c r="Y4231" i="1"/>
  <c r="Z4231" i="1"/>
  <c r="A4232" i="1"/>
  <c r="B4232" i="1"/>
  <c r="C4232" i="1"/>
  <c r="D4232" i="1"/>
  <c r="E4232" i="1"/>
  <c r="F4232" i="1"/>
  <c r="G4232" i="1"/>
  <c r="I4232" i="1"/>
  <c r="J4232" i="1"/>
  <c r="K4232" i="1"/>
  <c r="L4232" i="1"/>
  <c r="M4232" i="1"/>
  <c r="N4232" i="1"/>
  <c r="O4232" i="1"/>
  <c r="P4232" i="1"/>
  <c r="Q4232" i="1"/>
  <c r="R4232" i="1"/>
  <c r="S4232" i="1"/>
  <c r="T4232" i="1"/>
  <c r="U4232" i="1"/>
  <c r="V4232" i="1"/>
  <c r="W4232" i="1"/>
  <c r="X4232" i="1"/>
  <c r="Y4232" i="1"/>
  <c r="Z4232" i="1"/>
  <c r="A4233" i="1"/>
  <c r="B4233" i="1"/>
  <c r="C4233" i="1"/>
  <c r="D4233" i="1"/>
  <c r="E4233" i="1"/>
  <c r="F4233" i="1"/>
  <c r="G4233" i="1"/>
  <c r="I4233" i="1"/>
  <c r="J4233" i="1"/>
  <c r="K4233" i="1"/>
  <c r="L4233" i="1"/>
  <c r="M4233" i="1"/>
  <c r="N4233" i="1"/>
  <c r="O4233" i="1"/>
  <c r="P4233" i="1"/>
  <c r="Q4233" i="1"/>
  <c r="R4233" i="1"/>
  <c r="S4233" i="1"/>
  <c r="T4233" i="1"/>
  <c r="U4233" i="1"/>
  <c r="V4233" i="1"/>
  <c r="W4233" i="1"/>
  <c r="X4233" i="1"/>
  <c r="Y4233" i="1"/>
  <c r="Z4233" i="1"/>
  <c r="A4234" i="1"/>
  <c r="B4234" i="1"/>
  <c r="C4234" i="1"/>
  <c r="D4234" i="1"/>
  <c r="E4234" i="1"/>
  <c r="F4234" i="1"/>
  <c r="G4234" i="1"/>
  <c r="I4234" i="1"/>
  <c r="J4234" i="1"/>
  <c r="K4234" i="1"/>
  <c r="L4234" i="1"/>
  <c r="M4234" i="1"/>
  <c r="N4234" i="1"/>
  <c r="O4234" i="1"/>
  <c r="P4234" i="1"/>
  <c r="Q4234" i="1"/>
  <c r="R4234" i="1"/>
  <c r="S4234" i="1"/>
  <c r="T4234" i="1"/>
  <c r="U4234" i="1"/>
  <c r="V4234" i="1"/>
  <c r="W4234" i="1"/>
  <c r="X4234" i="1"/>
  <c r="Y4234" i="1"/>
  <c r="Z4234" i="1"/>
  <c r="A4235" i="1"/>
  <c r="B4235" i="1"/>
  <c r="C4235" i="1"/>
  <c r="D4235" i="1"/>
  <c r="E4235" i="1"/>
  <c r="F4235" i="1"/>
  <c r="G4235" i="1"/>
  <c r="I4235" i="1"/>
  <c r="J4235" i="1"/>
  <c r="K4235" i="1"/>
  <c r="L4235" i="1"/>
  <c r="M4235" i="1"/>
  <c r="N4235" i="1"/>
  <c r="O4235" i="1"/>
  <c r="P4235" i="1"/>
  <c r="Q4235" i="1"/>
  <c r="R4235" i="1"/>
  <c r="S4235" i="1"/>
  <c r="T4235" i="1"/>
  <c r="U4235" i="1"/>
  <c r="V4235" i="1"/>
  <c r="W4235" i="1"/>
  <c r="X4235" i="1"/>
  <c r="Y4235" i="1"/>
  <c r="Z4235" i="1"/>
  <c r="A4236" i="1"/>
  <c r="B4236" i="1"/>
  <c r="C4236" i="1"/>
  <c r="D4236" i="1"/>
  <c r="E4236" i="1"/>
  <c r="F4236" i="1"/>
  <c r="G4236" i="1"/>
  <c r="I4236" i="1"/>
  <c r="J4236" i="1"/>
  <c r="K4236" i="1"/>
  <c r="L4236" i="1"/>
  <c r="M4236" i="1"/>
  <c r="N4236" i="1"/>
  <c r="O4236" i="1"/>
  <c r="P4236" i="1"/>
  <c r="Q4236" i="1"/>
  <c r="R4236" i="1"/>
  <c r="S4236" i="1"/>
  <c r="T4236" i="1"/>
  <c r="U4236" i="1"/>
  <c r="V4236" i="1"/>
  <c r="W4236" i="1"/>
  <c r="X4236" i="1"/>
  <c r="Y4236" i="1"/>
  <c r="Z4236" i="1"/>
  <c r="A4237" i="1"/>
  <c r="B4237" i="1"/>
  <c r="C4237" i="1"/>
  <c r="D4237" i="1"/>
  <c r="E4237" i="1"/>
  <c r="F4237" i="1"/>
  <c r="G4237" i="1"/>
  <c r="I4237" i="1"/>
  <c r="J4237" i="1"/>
  <c r="K4237" i="1"/>
  <c r="L4237" i="1"/>
  <c r="M4237" i="1"/>
  <c r="N4237" i="1"/>
  <c r="O4237" i="1"/>
  <c r="P4237" i="1"/>
  <c r="Q4237" i="1"/>
  <c r="R4237" i="1"/>
  <c r="S4237" i="1"/>
  <c r="T4237" i="1"/>
  <c r="U4237" i="1"/>
  <c r="V4237" i="1"/>
  <c r="W4237" i="1"/>
  <c r="X4237" i="1"/>
  <c r="Y4237" i="1"/>
  <c r="Z4237" i="1"/>
  <c r="A4238" i="1"/>
  <c r="B4238" i="1"/>
  <c r="C4238" i="1"/>
  <c r="D4238" i="1"/>
  <c r="E4238" i="1"/>
  <c r="F4238" i="1"/>
  <c r="G4238" i="1"/>
  <c r="I4238" i="1"/>
  <c r="J4238" i="1"/>
  <c r="K4238" i="1"/>
  <c r="L4238" i="1"/>
  <c r="M4238" i="1"/>
  <c r="N4238" i="1"/>
  <c r="O4238" i="1"/>
  <c r="P4238" i="1"/>
  <c r="Q4238" i="1"/>
  <c r="R4238" i="1"/>
  <c r="S4238" i="1"/>
  <c r="T4238" i="1"/>
  <c r="U4238" i="1"/>
  <c r="V4238" i="1"/>
  <c r="W4238" i="1"/>
  <c r="X4238" i="1"/>
  <c r="Y4238" i="1"/>
  <c r="Z4238" i="1"/>
  <c r="A4239" i="1"/>
  <c r="B4239" i="1"/>
  <c r="C4239" i="1"/>
  <c r="D4239" i="1"/>
  <c r="E4239" i="1"/>
  <c r="F4239" i="1"/>
  <c r="G4239" i="1"/>
  <c r="I4239" i="1"/>
  <c r="J4239" i="1"/>
  <c r="K4239" i="1"/>
  <c r="L4239" i="1"/>
  <c r="M4239" i="1"/>
  <c r="N4239" i="1"/>
  <c r="O4239" i="1"/>
  <c r="P4239" i="1"/>
  <c r="Q4239" i="1"/>
  <c r="R4239" i="1"/>
  <c r="S4239" i="1"/>
  <c r="T4239" i="1"/>
  <c r="U4239" i="1"/>
  <c r="V4239" i="1"/>
  <c r="W4239" i="1"/>
  <c r="X4239" i="1"/>
  <c r="Y4239" i="1"/>
  <c r="Z4239" i="1"/>
  <c r="A4240" i="1"/>
  <c r="B4240" i="1"/>
  <c r="C4240" i="1"/>
  <c r="D4240" i="1"/>
  <c r="E4240" i="1"/>
  <c r="F4240" i="1"/>
  <c r="G4240" i="1"/>
  <c r="I4240" i="1"/>
  <c r="J4240" i="1"/>
  <c r="K4240" i="1"/>
  <c r="L4240" i="1"/>
  <c r="M4240" i="1"/>
  <c r="N4240" i="1"/>
  <c r="O4240" i="1"/>
  <c r="P4240" i="1"/>
  <c r="Q4240" i="1"/>
  <c r="R4240" i="1"/>
  <c r="S4240" i="1"/>
  <c r="T4240" i="1"/>
  <c r="U4240" i="1"/>
  <c r="V4240" i="1"/>
  <c r="W4240" i="1"/>
  <c r="X4240" i="1"/>
  <c r="Y4240" i="1"/>
  <c r="Z4240" i="1"/>
  <c r="A4241" i="1"/>
  <c r="B4241" i="1"/>
  <c r="C4241" i="1"/>
  <c r="D4241" i="1"/>
  <c r="E4241" i="1"/>
  <c r="F4241" i="1"/>
  <c r="G4241" i="1"/>
  <c r="I4241" i="1"/>
  <c r="J4241" i="1"/>
  <c r="K4241" i="1"/>
  <c r="L4241" i="1"/>
  <c r="M4241" i="1"/>
  <c r="N4241" i="1"/>
  <c r="O4241" i="1"/>
  <c r="P4241" i="1"/>
  <c r="Q4241" i="1"/>
  <c r="R4241" i="1"/>
  <c r="S4241" i="1"/>
  <c r="T4241" i="1"/>
  <c r="U4241" i="1"/>
  <c r="V4241" i="1"/>
  <c r="W4241" i="1"/>
  <c r="X4241" i="1"/>
  <c r="Y4241" i="1"/>
  <c r="Z4241" i="1"/>
  <c r="A4242" i="1"/>
  <c r="B4242" i="1"/>
  <c r="C4242" i="1"/>
  <c r="D4242" i="1"/>
  <c r="E4242" i="1"/>
  <c r="F4242" i="1"/>
  <c r="G4242" i="1"/>
  <c r="I4242" i="1"/>
  <c r="J4242" i="1"/>
  <c r="K4242" i="1"/>
  <c r="L4242" i="1"/>
  <c r="M4242" i="1"/>
  <c r="N4242" i="1"/>
  <c r="O4242" i="1"/>
  <c r="P4242" i="1"/>
  <c r="Q4242" i="1"/>
  <c r="R4242" i="1"/>
  <c r="S4242" i="1"/>
  <c r="T4242" i="1"/>
  <c r="U4242" i="1"/>
  <c r="V4242" i="1"/>
  <c r="W4242" i="1"/>
  <c r="X4242" i="1"/>
  <c r="Y4242" i="1"/>
  <c r="Z4242" i="1"/>
  <c r="A4243" i="1"/>
  <c r="B4243" i="1"/>
  <c r="C4243" i="1"/>
  <c r="D4243" i="1"/>
  <c r="E4243" i="1"/>
  <c r="F4243" i="1"/>
  <c r="G4243" i="1"/>
  <c r="I4243" i="1"/>
  <c r="J4243" i="1"/>
  <c r="K4243" i="1"/>
  <c r="L4243" i="1"/>
  <c r="M4243" i="1"/>
  <c r="N4243" i="1"/>
  <c r="O4243" i="1"/>
  <c r="P4243" i="1"/>
  <c r="Q4243" i="1"/>
  <c r="R4243" i="1"/>
  <c r="S4243" i="1"/>
  <c r="T4243" i="1"/>
  <c r="U4243" i="1"/>
  <c r="V4243" i="1"/>
  <c r="W4243" i="1"/>
  <c r="X4243" i="1"/>
  <c r="Y4243" i="1"/>
  <c r="Z4243" i="1"/>
  <c r="A4244" i="1"/>
  <c r="B4244" i="1"/>
  <c r="C4244" i="1"/>
  <c r="D4244" i="1"/>
  <c r="E4244" i="1"/>
  <c r="F4244" i="1"/>
  <c r="G4244" i="1"/>
  <c r="I4244" i="1"/>
  <c r="J4244" i="1"/>
  <c r="K4244" i="1"/>
  <c r="L4244" i="1"/>
  <c r="M4244" i="1"/>
  <c r="N4244" i="1"/>
  <c r="O4244" i="1"/>
  <c r="P4244" i="1"/>
  <c r="Q4244" i="1"/>
  <c r="R4244" i="1"/>
  <c r="S4244" i="1"/>
  <c r="T4244" i="1"/>
  <c r="U4244" i="1"/>
  <c r="V4244" i="1"/>
  <c r="W4244" i="1"/>
  <c r="X4244" i="1"/>
  <c r="Y4244" i="1"/>
  <c r="Z4244" i="1"/>
  <c r="A4245" i="1"/>
  <c r="B4245" i="1"/>
  <c r="C4245" i="1"/>
  <c r="D4245" i="1"/>
  <c r="E4245" i="1"/>
  <c r="F4245" i="1"/>
  <c r="G4245" i="1"/>
  <c r="I4245" i="1"/>
  <c r="J4245" i="1"/>
  <c r="K4245" i="1"/>
  <c r="L4245" i="1"/>
  <c r="M4245" i="1"/>
  <c r="N4245" i="1"/>
  <c r="O4245" i="1"/>
  <c r="P4245" i="1"/>
  <c r="Q4245" i="1"/>
  <c r="R4245" i="1"/>
  <c r="S4245" i="1"/>
  <c r="T4245" i="1"/>
  <c r="U4245" i="1"/>
  <c r="V4245" i="1"/>
  <c r="W4245" i="1"/>
  <c r="X4245" i="1"/>
  <c r="Y4245" i="1"/>
  <c r="Z4245" i="1"/>
  <c r="A4246" i="1"/>
  <c r="B4246" i="1"/>
  <c r="C4246" i="1"/>
  <c r="D4246" i="1"/>
  <c r="E4246" i="1"/>
  <c r="F4246" i="1"/>
  <c r="G4246" i="1"/>
  <c r="I4246" i="1"/>
  <c r="J4246" i="1"/>
  <c r="K4246" i="1"/>
  <c r="L4246" i="1"/>
  <c r="M4246" i="1"/>
  <c r="N4246" i="1"/>
  <c r="O4246" i="1"/>
  <c r="P4246" i="1"/>
  <c r="Q4246" i="1"/>
  <c r="R4246" i="1"/>
  <c r="S4246" i="1"/>
  <c r="T4246" i="1"/>
  <c r="U4246" i="1"/>
  <c r="V4246" i="1"/>
  <c r="W4246" i="1"/>
  <c r="X4246" i="1"/>
  <c r="Y4246" i="1"/>
  <c r="Z4246" i="1"/>
  <c r="A4247" i="1"/>
  <c r="B4247" i="1"/>
  <c r="C4247" i="1"/>
  <c r="D4247" i="1"/>
  <c r="E4247" i="1"/>
  <c r="F4247" i="1"/>
  <c r="G4247" i="1"/>
  <c r="I4247" i="1"/>
  <c r="J4247" i="1"/>
  <c r="K4247" i="1"/>
  <c r="L4247" i="1"/>
  <c r="M4247" i="1"/>
  <c r="N4247" i="1"/>
  <c r="O4247" i="1"/>
  <c r="P4247" i="1"/>
  <c r="Q4247" i="1"/>
  <c r="R4247" i="1"/>
  <c r="S4247" i="1"/>
  <c r="T4247" i="1"/>
  <c r="U4247" i="1"/>
  <c r="V4247" i="1"/>
  <c r="W4247" i="1"/>
  <c r="X4247" i="1"/>
  <c r="Y4247" i="1"/>
  <c r="Z4247" i="1"/>
  <c r="A4248" i="1"/>
  <c r="B4248" i="1"/>
  <c r="C4248" i="1"/>
  <c r="D4248" i="1"/>
  <c r="E4248" i="1"/>
  <c r="F4248" i="1"/>
  <c r="G4248" i="1"/>
  <c r="I4248" i="1"/>
  <c r="J4248" i="1"/>
  <c r="K4248" i="1"/>
  <c r="L4248" i="1"/>
  <c r="M4248" i="1"/>
  <c r="N4248" i="1"/>
  <c r="O4248" i="1"/>
  <c r="P4248" i="1"/>
  <c r="Q4248" i="1"/>
  <c r="R4248" i="1"/>
  <c r="S4248" i="1"/>
  <c r="T4248" i="1"/>
  <c r="U4248" i="1"/>
  <c r="V4248" i="1"/>
  <c r="W4248" i="1"/>
  <c r="X4248" i="1"/>
  <c r="Y4248" i="1"/>
  <c r="Z4248" i="1"/>
  <c r="A4249" i="1"/>
  <c r="B4249" i="1"/>
  <c r="C4249" i="1"/>
  <c r="D4249" i="1"/>
  <c r="E4249" i="1"/>
  <c r="F4249" i="1"/>
  <c r="G4249" i="1"/>
  <c r="I4249" i="1"/>
  <c r="J4249" i="1"/>
  <c r="K4249" i="1"/>
  <c r="L4249" i="1"/>
  <c r="M4249" i="1"/>
  <c r="N4249" i="1"/>
  <c r="O4249" i="1"/>
  <c r="P4249" i="1"/>
  <c r="Q4249" i="1"/>
  <c r="R4249" i="1"/>
  <c r="S4249" i="1"/>
  <c r="T4249" i="1"/>
  <c r="U4249" i="1"/>
  <c r="V4249" i="1"/>
  <c r="W4249" i="1"/>
  <c r="X4249" i="1"/>
  <c r="Y4249" i="1"/>
  <c r="Z4249" i="1"/>
  <c r="A4250" i="1"/>
  <c r="B4250" i="1"/>
  <c r="C4250" i="1"/>
  <c r="D4250" i="1"/>
  <c r="E4250" i="1"/>
  <c r="F4250" i="1"/>
  <c r="G4250" i="1"/>
  <c r="I4250" i="1"/>
  <c r="J4250" i="1"/>
  <c r="K4250" i="1"/>
  <c r="L4250" i="1"/>
  <c r="M4250" i="1"/>
  <c r="N4250" i="1"/>
  <c r="O4250" i="1"/>
  <c r="P4250" i="1"/>
  <c r="Q4250" i="1"/>
  <c r="R4250" i="1"/>
  <c r="S4250" i="1"/>
  <c r="T4250" i="1"/>
  <c r="U4250" i="1"/>
  <c r="V4250" i="1"/>
  <c r="W4250" i="1"/>
  <c r="X4250" i="1"/>
  <c r="Y4250" i="1"/>
  <c r="Z4250" i="1"/>
  <c r="A4251" i="1"/>
  <c r="B4251" i="1"/>
  <c r="C4251" i="1"/>
  <c r="D4251" i="1"/>
  <c r="E4251" i="1"/>
  <c r="F4251" i="1"/>
  <c r="G4251" i="1"/>
  <c r="I4251" i="1"/>
  <c r="J4251" i="1"/>
  <c r="K4251" i="1"/>
  <c r="L4251" i="1"/>
  <c r="M4251" i="1"/>
  <c r="N4251" i="1"/>
  <c r="O4251" i="1"/>
  <c r="P4251" i="1"/>
  <c r="Q4251" i="1"/>
  <c r="R4251" i="1"/>
  <c r="S4251" i="1"/>
  <c r="T4251" i="1"/>
  <c r="U4251" i="1"/>
  <c r="V4251" i="1"/>
  <c r="W4251" i="1"/>
  <c r="X4251" i="1"/>
  <c r="Y4251" i="1"/>
  <c r="Z4251" i="1"/>
  <c r="A4252" i="1"/>
  <c r="B4252" i="1"/>
  <c r="C4252" i="1"/>
  <c r="D4252" i="1"/>
  <c r="E4252" i="1"/>
  <c r="F4252" i="1"/>
  <c r="G4252" i="1"/>
  <c r="I4252" i="1"/>
  <c r="J4252" i="1"/>
  <c r="K4252" i="1"/>
  <c r="L4252" i="1"/>
  <c r="M4252" i="1"/>
  <c r="N4252" i="1"/>
  <c r="O4252" i="1"/>
  <c r="P4252" i="1"/>
  <c r="Q4252" i="1"/>
  <c r="R4252" i="1"/>
  <c r="S4252" i="1"/>
  <c r="T4252" i="1"/>
  <c r="U4252" i="1"/>
  <c r="V4252" i="1"/>
  <c r="W4252" i="1"/>
  <c r="X4252" i="1"/>
  <c r="Y4252" i="1"/>
  <c r="Z4252" i="1"/>
  <c r="A4253" i="1"/>
  <c r="B4253" i="1"/>
  <c r="C4253" i="1"/>
  <c r="D4253" i="1"/>
  <c r="E4253" i="1"/>
  <c r="F4253" i="1"/>
  <c r="G4253" i="1"/>
  <c r="I4253" i="1"/>
  <c r="J4253" i="1"/>
  <c r="K4253" i="1"/>
  <c r="L4253" i="1"/>
  <c r="M4253" i="1"/>
  <c r="N4253" i="1"/>
  <c r="O4253" i="1"/>
  <c r="P4253" i="1"/>
  <c r="Q4253" i="1"/>
  <c r="R4253" i="1"/>
  <c r="S4253" i="1"/>
  <c r="T4253" i="1"/>
  <c r="U4253" i="1"/>
  <c r="V4253" i="1"/>
  <c r="W4253" i="1"/>
  <c r="X4253" i="1"/>
  <c r="Y4253" i="1"/>
  <c r="Z4253" i="1"/>
  <c r="A4254" i="1"/>
  <c r="B4254" i="1"/>
  <c r="C4254" i="1"/>
  <c r="D4254" i="1"/>
  <c r="E4254" i="1"/>
  <c r="F4254" i="1"/>
  <c r="G4254" i="1"/>
  <c r="I4254" i="1"/>
  <c r="J4254" i="1"/>
  <c r="K4254" i="1"/>
  <c r="L4254" i="1"/>
  <c r="M4254" i="1"/>
  <c r="N4254" i="1"/>
  <c r="O4254" i="1"/>
  <c r="P4254" i="1"/>
  <c r="Q4254" i="1"/>
  <c r="R4254" i="1"/>
  <c r="S4254" i="1"/>
  <c r="T4254" i="1"/>
  <c r="U4254" i="1"/>
  <c r="V4254" i="1"/>
  <c r="W4254" i="1"/>
  <c r="X4254" i="1"/>
  <c r="Y4254" i="1"/>
  <c r="Z4254" i="1"/>
  <c r="A4255" i="1"/>
  <c r="B4255" i="1"/>
  <c r="C4255" i="1"/>
  <c r="D4255" i="1"/>
  <c r="E4255" i="1"/>
  <c r="F4255" i="1"/>
  <c r="G4255" i="1"/>
  <c r="I4255" i="1"/>
  <c r="J4255" i="1"/>
  <c r="K4255" i="1"/>
  <c r="L4255" i="1"/>
  <c r="M4255" i="1"/>
  <c r="N4255" i="1"/>
  <c r="O4255" i="1"/>
  <c r="P4255" i="1"/>
  <c r="Q4255" i="1"/>
  <c r="R4255" i="1"/>
  <c r="S4255" i="1"/>
  <c r="T4255" i="1"/>
  <c r="U4255" i="1"/>
  <c r="V4255" i="1"/>
  <c r="W4255" i="1"/>
  <c r="X4255" i="1"/>
  <c r="Y4255" i="1"/>
  <c r="Z4255" i="1"/>
  <c r="A4256" i="1"/>
  <c r="B4256" i="1"/>
  <c r="C4256" i="1"/>
  <c r="D4256" i="1"/>
  <c r="E4256" i="1"/>
  <c r="F4256" i="1"/>
  <c r="G4256" i="1"/>
  <c r="I4256" i="1"/>
  <c r="J4256" i="1"/>
  <c r="K4256" i="1"/>
  <c r="L4256" i="1"/>
  <c r="M4256" i="1"/>
  <c r="N4256" i="1"/>
  <c r="O4256" i="1"/>
  <c r="P4256" i="1"/>
  <c r="Q4256" i="1"/>
  <c r="R4256" i="1"/>
  <c r="S4256" i="1"/>
  <c r="T4256" i="1"/>
  <c r="U4256" i="1"/>
  <c r="V4256" i="1"/>
  <c r="W4256" i="1"/>
  <c r="X4256" i="1"/>
  <c r="Y4256" i="1"/>
  <c r="Z4256" i="1"/>
  <c r="A4257" i="1"/>
  <c r="B4257" i="1"/>
  <c r="C4257" i="1"/>
  <c r="D4257" i="1"/>
  <c r="E4257" i="1"/>
  <c r="F4257" i="1"/>
  <c r="G4257" i="1"/>
  <c r="I4257" i="1"/>
  <c r="J4257" i="1"/>
  <c r="K4257" i="1"/>
  <c r="L4257" i="1"/>
  <c r="M4257" i="1"/>
  <c r="N4257" i="1"/>
  <c r="O4257" i="1"/>
  <c r="P4257" i="1"/>
  <c r="Q4257" i="1"/>
  <c r="R4257" i="1"/>
  <c r="S4257" i="1"/>
  <c r="T4257" i="1"/>
  <c r="U4257" i="1"/>
  <c r="V4257" i="1"/>
  <c r="W4257" i="1"/>
  <c r="X4257" i="1"/>
  <c r="Y4257" i="1"/>
  <c r="Z4257" i="1"/>
  <c r="A4258" i="1"/>
  <c r="B4258" i="1"/>
  <c r="C4258" i="1"/>
  <c r="D4258" i="1"/>
  <c r="E4258" i="1"/>
  <c r="F4258" i="1"/>
  <c r="G4258" i="1"/>
  <c r="I4258" i="1"/>
  <c r="J4258" i="1"/>
  <c r="K4258" i="1"/>
  <c r="L4258" i="1"/>
  <c r="M4258" i="1"/>
  <c r="N4258" i="1"/>
  <c r="O4258" i="1"/>
  <c r="P4258" i="1"/>
  <c r="Q4258" i="1"/>
  <c r="R4258" i="1"/>
  <c r="S4258" i="1"/>
  <c r="T4258" i="1"/>
  <c r="U4258" i="1"/>
  <c r="V4258" i="1"/>
  <c r="W4258" i="1"/>
  <c r="X4258" i="1"/>
  <c r="Y4258" i="1"/>
  <c r="Z4258" i="1"/>
  <c r="A4259" i="1"/>
  <c r="B4259" i="1"/>
  <c r="C4259" i="1"/>
  <c r="D4259" i="1"/>
  <c r="E4259" i="1"/>
  <c r="F4259" i="1"/>
  <c r="G4259" i="1"/>
  <c r="I4259" i="1"/>
  <c r="J4259" i="1"/>
  <c r="K4259" i="1"/>
  <c r="L4259" i="1"/>
  <c r="M4259" i="1"/>
  <c r="N4259" i="1"/>
  <c r="O4259" i="1"/>
  <c r="P4259" i="1"/>
  <c r="Q4259" i="1"/>
  <c r="R4259" i="1"/>
  <c r="S4259" i="1"/>
  <c r="T4259" i="1"/>
  <c r="U4259" i="1"/>
  <c r="V4259" i="1"/>
  <c r="W4259" i="1"/>
  <c r="X4259" i="1"/>
  <c r="Y4259" i="1"/>
  <c r="Z4259" i="1"/>
  <c r="A4260" i="1"/>
  <c r="B4260" i="1"/>
  <c r="C4260" i="1"/>
  <c r="D4260" i="1"/>
  <c r="E4260" i="1"/>
  <c r="F4260" i="1"/>
  <c r="G4260" i="1"/>
  <c r="I4260" i="1"/>
  <c r="J4260" i="1"/>
  <c r="K4260" i="1"/>
  <c r="L4260" i="1"/>
  <c r="M4260" i="1"/>
  <c r="N4260" i="1"/>
  <c r="O4260" i="1"/>
  <c r="P4260" i="1"/>
  <c r="Q4260" i="1"/>
  <c r="R4260" i="1"/>
  <c r="S4260" i="1"/>
  <c r="T4260" i="1"/>
  <c r="U4260" i="1"/>
  <c r="V4260" i="1"/>
  <c r="W4260" i="1"/>
  <c r="X4260" i="1"/>
  <c r="Y4260" i="1"/>
  <c r="Z4260" i="1"/>
  <c r="A4261" i="1"/>
  <c r="B4261" i="1"/>
  <c r="C4261" i="1"/>
  <c r="D4261" i="1"/>
  <c r="E4261" i="1"/>
  <c r="F4261" i="1"/>
  <c r="G4261" i="1"/>
  <c r="I4261" i="1"/>
  <c r="J4261" i="1"/>
  <c r="K4261" i="1"/>
  <c r="L4261" i="1"/>
  <c r="M4261" i="1"/>
  <c r="N4261" i="1"/>
  <c r="O4261" i="1"/>
  <c r="P4261" i="1"/>
  <c r="Q4261" i="1"/>
  <c r="R4261" i="1"/>
  <c r="S4261" i="1"/>
  <c r="T4261" i="1"/>
  <c r="U4261" i="1"/>
  <c r="V4261" i="1"/>
  <c r="W4261" i="1"/>
  <c r="X4261" i="1"/>
  <c r="Y4261" i="1"/>
  <c r="Z4261" i="1"/>
  <c r="A4262" i="1"/>
  <c r="B4262" i="1"/>
  <c r="C4262" i="1"/>
  <c r="D4262" i="1"/>
  <c r="E4262" i="1"/>
  <c r="F4262" i="1"/>
  <c r="G4262" i="1"/>
  <c r="I4262" i="1"/>
  <c r="J4262" i="1"/>
  <c r="K4262" i="1"/>
  <c r="L4262" i="1"/>
  <c r="M4262" i="1"/>
  <c r="N4262" i="1"/>
  <c r="O4262" i="1"/>
  <c r="P4262" i="1"/>
  <c r="Q4262" i="1"/>
  <c r="R4262" i="1"/>
  <c r="S4262" i="1"/>
  <c r="T4262" i="1"/>
  <c r="U4262" i="1"/>
  <c r="V4262" i="1"/>
  <c r="W4262" i="1"/>
  <c r="X4262" i="1"/>
  <c r="Y4262" i="1"/>
  <c r="Z4262" i="1"/>
  <c r="A4263" i="1"/>
  <c r="B4263" i="1"/>
  <c r="C4263" i="1"/>
  <c r="D4263" i="1"/>
  <c r="E4263" i="1"/>
  <c r="F4263" i="1"/>
  <c r="G4263" i="1"/>
  <c r="I4263" i="1"/>
  <c r="J4263" i="1"/>
  <c r="K4263" i="1"/>
  <c r="L4263" i="1"/>
  <c r="M4263" i="1"/>
  <c r="N4263" i="1"/>
  <c r="O4263" i="1"/>
  <c r="P4263" i="1"/>
  <c r="Q4263" i="1"/>
  <c r="R4263" i="1"/>
  <c r="S4263" i="1"/>
  <c r="T4263" i="1"/>
  <c r="U4263" i="1"/>
  <c r="V4263" i="1"/>
  <c r="W4263" i="1"/>
  <c r="X4263" i="1"/>
  <c r="Y4263" i="1"/>
  <c r="Z4263" i="1"/>
  <c r="A4264" i="1"/>
  <c r="B4264" i="1"/>
  <c r="C4264" i="1"/>
  <c r="D4264" i="1"/>
  <c r="E4264" i="1"/>
  <c r="F4264" i="1"/>
  <c r="G4264" i="1"/>
  <c r="I4264" i="1"/>
  <c r="J4264" i="1"/>
  <c r="K4264" i="1"/>
  <c r="L4264" i="1"/>
  <c r="M4264" i="1"/>
  <c r="N4264" i="1"/>
  <c r="O4264" i="1"/>
  <c r="P4264" i="1"/>
  <c r="Q4264" i="1"/>
  <c r="R4264" i="1"/>
  <c r="S4264" i="1"/>
  <c r="T4264" i="1"/>
  <c r="U4264" i="1"/>
  <c r="V4264" i="1"/>
  <c r="W4264" i="1"/>
  <c r="X4264" i="1"/>
  <c r="Y4264" i="1"/>
  <c r="Z4264" i="1"/>
  <c r="A4265" i="1"/>
  <c r="B4265" i="1"/>
  <c r="C4265" i="1"/>
  <c r="D4265" i="1"/>
  <c r="E4265" i="1"/>
  <c r="F4265" i="1"/>
  <c r="G4265" i="1"/>
  <c r="I4265" i="1"/>
  <c r="J4265" i="1"/>
  <c r="K4265" i="1"/>
  <c r="L4265" i="1"/>
  <c r="M4265" i="1"/>
  <c r="N4265" i="1"/>
  <c r="O4265" i="1"/>
  <c r="P4265" i="1"/>
  <c r="Q4265" i="1"/>
  <c r="R4265" i="1"/>
  <c r="S4265" i="1"/>
  <c r="T4265" i="1"/>
  <c r="U4265" i="1"/>
  <c r="V4265" i="1"/>
  <c r="W4265" i="1"/>
  <c r="X4265" i="1"/>
  <c r="Y4265" i="1"/>
  <c r="Z4265" i="1"/>
  <c r="A4266" i="1"/>
  <c r="B4266" i="1"/>
  <c r="C4266" i="1"/>
  <c r="D4266" i="1"/>
  <c r="E4266" i="1"/>
  <c r="F4266" i="1"/>
  <c r="G4266" i="1"/>
  <c r="I4266" i="1"/>
  <c r="J4266" i="1"/>
  <c r="K4266" i="1"/>
  <c r="L4266" i="1"/>
  <c r="M4266" i="1"/>
  <c r="N4266" i="1"/>
  <c r="O4266" i="1"/>
  <c r="P4266" i="1"/>
  <c r="Q4266" i="1"/>
  <c r="R4266" i="1"/>
  <c r="S4266" i="1"/>
  <c r="T4266" i="1"/>
  <c r="U4266" i="1"/>
  <c r="V4266" i="1"/>
  <c r="W4266" i="1"/>
  <c r="X4266" i="1"/>
  <c r="Y4266" i="1"/>
  <c r="Z4266" i="1"/>
  <c r="A4267" i="1"/>
  <c r="B4267" i="1"/>
  <c r="C4267" i="1"/>
  <c r="D4267" i="1"/>
  <c r="E4267" i="1"/>
  <c r="F4267" i="1"/>
  <c r="G4267" i="1"/>
  <c r="I4267" i="1"/>
  <c r="J4267" i="1"/>
  <c r="K4267" i="1"/>
  <c r="L4267" i="1"/>
  <c r="M4267" i="1"/>
  <c r="N4267" i="1"/>
  <c r="O4267" i="1"/>
  <c r="P4267" i="1"/>
  <c r="Q4267" i="1"/>
  <c r="R4267" i="1"/>
  <c r="S4267" i="1"/>
  <c r="T4267" i="1"/>
  <c r="U4267" i="1"/>
  <c r="V4267" i="1"/>
  <c r="W4267" i="1"/>
  <c r="X4267" i="1"/>
  <c r="Y4267" i="1"/>
  <c r="Z4267" i="1"/>
  <c r="A4268" i="1"/>
  <c r="B4268" i="1"/>
  <c r="C4268" i="1"/>
  <c r="D4268" i="1"/>
  <c r="E4268" i="1"/>
  <c r="F4268" i="1"/>
  <c r="G4268" i="1"/>
  <c r="I4268" i="1"/>
  <c r="J4268" i="1"/>
  <c r="K4268" i="1"/>
  <c r="L4268" i="1"/>
  <c r="M4268" i="1"/>
  <c r="N4268" i="1"/>
  <c r="O4268" i="1"/>
  <c r="P4268" i="1"/>
  <c r="Q4268" i="1"/>
  <c r="R4268" i="1"/>
  <c r="S4268" i="1"/>
  <c r="T4268" i="1"/>
  <c r="U4268" i="1"/>
  <c r="V4268" i="1"/>
  <c r="W4268" i="1"/>
  <c r="X4268" i="1"/>
  <c r="Y4268" i="1"/>
  <c r="Z4268" i="1"/>
  <c r="A4269" i="1"/>
  <c r="B4269" i="1"/>
  <c r="C4269" i="1"/>
  <c r="D4269" i="1"/>
  <c r="E4269" i="1"/>
  <c r="F4269" i="1"/>
  <c r="G4269" i="1"/>
  <c r="I4269" i="1"/>
  <c r="J4269" i="1"/>
  <c r="K4269" i="1"/>
  <c r="L4269" i="1"/>
  <c r="M4269" i="1"/>
  <c r="N4269" i="1"/>
  <c r="O4269" i="1"/>
  <c r="P4269" i="1"/>
  <c r="Q4269" i="1"/>
  <c r="R4269" i="1"/>
  <c r="S4269" i="1"/>
  <c r="T4269" i="1"/>
  <c r="U4269" i="1"/>
  <c r="V4269" i="1"/>
  <c r="W4269" i="1"/>
  <c r="X4269" i="1"/>
  <c r="Y4269" i="1"/>
  <c r="Z4269" i="1"/>
  <c r="A4270" i="1"/>
  <c r="B4270" i="1"/>
  <c r="C4270" i="1"/>
  <c r="D4270" i="1"/>
  <c r="E4270" i="1"/>
  <c r="F4270" i="1"/>
  <c r="G4270" i="1"/>
  <c r="I4270" i="1"/>
  <c r="J4270" i="1"/>
  <c r="K4270" i="1"/>
  <c r="L4270" i="1"/>
  <c r="M4270" i="1"/>
  <c r="N4270" i="1"/>
  <c r="O4270" i="1"/>
  <c r="P4270" i="1"/>
  <c r="Q4270" i="1"/>
  <c r="R4270" i="1"/>
  <c r="S4270" i="1"/>
  <c r="T4270" i="1"/>
  <c r="U4270" i="1"/>
  <c r="V4270" i="1"/>
  <c r="W4270" i="1"/>
  <c r="X4270" i="1"/>
  <c r="Y4270" i="1"/>
  <c r="Z4270" i="1"/>
  <c r="A4271" i="1"/>
  <c r="B4271" i="1"/>
  <c r="C4271" i="1"/>
  <c r="D4271" i="1"/>
  <c r="E4271" i="1"/>
  <c r="F4271" i="1"/>
  <c r="G4271" i="1"/>
  <c r="I4271" i="1"/>
  <c r="J4271" i="1"/>
  <c r="K4271" i="1"/>
  <c r="L4271" i="1"/>
  <c r="M4271" i="1"/>
  <c r="N4271" i="1"/>
  <c r="O4271" i="1"/>
  <c r="P4271" i="1"/>
  <c r="Q4271" i="1"/>
  <c r="R4271" i="1"/>
  <c r="S4271" i="1"/>
  <c r="T4271" i="1"/>
  <c r="U4271" i="1"/>
  <c r="V4271" i="1"/>
  <c r="W4271" i="1"/>
  <c r="X4271" i="1"/>
  <c r="Y4271" i="1"/>
  <c r="Z4271" i="1"/>
  <c r="A4272" i="1"/>
  <c r="B4272" i="1"/>
  <c r="C4272" i="1"/>
  <c r="D4272" i="1"/>
  <c r="E4272" i="1"/>
  <c r="F4272" i="1"/>
  <c r="G4272" i="1"/>
  <c r="I4272" i="1"/>
  <c r="J4272" i="1"/>
  <c r="K4272" i="1"/>
  <c r="L4272" i="1"/>
  <c r="M4272" i="1"/>
  <c r="N4272" i="1"/>
  <c r="O4272" i="1"/>
  <c r="P4272" i="1"/>
  <c r="Q4272" i="1"/>
  <c r="R4272" i="1"/>
  <c r="S4272" i="1"/>
  <c r="T4272" i="1"/>
  <c r="U4272" i="1"/>
  <c r="V4272" i="1"/>
  <c r="W4272" i="1"/>
  <c r="X4272" i="1"/>
  <c r="Y4272" i="1"/>
  <c r="Z4272" i="1"/>
  <c r="A4273" i="1"/>
  <c r="B4273" i="1"/>
  <c r="C4273" i="1"/>
  <c r="D4273" i="1"/>
  <c r="E4273" i="1"/>
  <c r="F4273" i="1"/>
  <c r="G4273" i="1"/>
  <c r="I4273" i="1"/>
  <c r="J4273" i="1"/>
  <c r="K4273" i="1"/>
  <c r="L4273" i="1"/>
  <c r="M4273" i="1"/>
  <c r="N4273" i="1"/>
  <c r="O4273" i="1"/>
  <c r="P4273" i="1"/>
  <c r="Q4273" i="1"/>
  <c r="R4273" i="1"/>
  <c r="S4273" i="1"/>
  <c r="T4273" i="1"/>
  <c r="U4273" i="1"/>
  <c r="V4273" i="1"/>
  <c r="W4273" i="1"/>
  <c r="X4273" i="1"/>
  <c r="Y4273" i="1"/>
  <c r="Z4273" i="1"/>
  <c r="A4274" i="1"/>
  <c r="B4274" i="1"/>
  <c r="C4274" i="1"/>
  <c r="D4274" i="1"/>
  <c r="E4274" i="1"/>
  <c r="F4274" i="1"/>
  <c r="G4274" i="1"/>
  <c r="I4274" i="1"/>
  <c r="J4274" i="1"/>
  <c r="K4274" i="1"/>
  <c r="L4274" i="1"/>
  <c r="M4274" i="1"/>
  <c r="N4274" i="1"/>
  <c r="O4274" i="1"/>
  <c r="P4274" i="1"/>
  <c r="Q4274" i="1"/>
  <c r="R4274" i="1"/>
  <c r="S4274" i="1"/>
  <c r="T4274" i="1"/>
  <c r="U4274" i="1"/>
  <c r="V4274" i="1"/>
  <c r="W4274" i="1"/>
  <c r="X4274" i="1"/>
  <c r="Y4274" i="1"/>
  <c r="Z4274" i="1"/>
  <c r="A4275" i="1"/>
  <c r="B4275" i="1"/>
  <c r="C4275" i="1"/>
  <c r="D4275" i="1"/>
  <c r="E4275" i="1"/>
  <c r="F4275" i="1"/>
  <c r="G4275" i="1"/>
  <c r="I4275" i="1"/>
  <c r="J4275" i="1"/>
  <c r="K4275" i="1"/>
  <c r="L4275" i="1"/>
  <c r="M4275" i="1"/>
  <c r="N4275" i="1"/>
  <c r="O4275" i="1"/>
  <c r="P4275" i="1"/>
  <c r="Q4275" i="1"/>
  <c r="R4275" i="1"/>
  <c r="S4275" i="1"/>
  <c r="T4275" i="1"/>
  <c r="U4275" i="1"/>
  <c r="V4275" i="1"/>
  <c r="W4275" i="1"/>
  <c r="X4275" i="1"/>
  <c r="Y4275" i="1"/>
  <c r="Z4275" i="1"/>
  <c r="A4276" i="1"/>
  <c r="B4276" i="1"/>
  <c r="C4276" i="1"/>
  <c r="D4276" i="1"/>
  <c r="E4276" i="1"/>
  <c r="F4276" i="1"/>
  <c r="G4276" i="1"/>
  <c r="I4276" i="1"/>
  <c r="J4276" i="1"/>
  <c r="K4276" i="1"/>
  <c r="L4276" i="1"/>
  <c r="M4276" i="1"/>
  <c r="N4276" i="1"/>
  <c r="O4276" i="1"/>
  <c r="P4276" i="1"/>
  <c r="Q4276" i="1"/>
  <c r="R4276" i="1"/>
  <c r="S4276" i="1"/>
  <c r="T4276" i="1"/>
  <c r="U4276" i="1"/>
  <c r="V4276" i="1"/>
  <c r="W4276" i="1"/>
  <c r="X4276" i="1"/>
  <c r="Y4276" i="1"/>
  <c r="Z4276" i="1"/>
  <c r="A4277" i="1"/>
  <c r="B4277" i="1"/>
  <c r="C4277" i="1"/>
  <c r="D4277" i="1"/>
  <c r="E4277" i="1"/>
  <c r="F4277" i="1"/>
  <c r="G4277" i="1"/>
  <c r="I4277" i="1"/>
  <c r="J4277" i="1"/>
  <c r="K4277" i="1"/>
  <c r="L4277" i="1"/>
  <c r="M4277" i="1"/>
  <c r="N4277" i="1"/>
  <c r="O4277" i="1"/>
  <c r="P4277" i="1"/>
  <c r="Q4277" i="1"/>
  <c r="R4277" i="1"/>
  <c r="S4277" i="1"/>
  <c r="T4277" i="1"/>
  <c r="U4277" i="1"/>
  <c r="V4277" i="1"/>
  <c r="W4277" i="1"/>
  <c r="X4277" i="1"/>
  <c r="Y4277" i="1"/>
  <c r="Z4277" i="1"/>
  <c r="A4278" i="1"/>
  <c r="B4278" i="1"/>
  <c r="C4278" i="1"/>
  <c r="D4278" i="1"/>
  <c r="E4278" i="1"/>
  <c r="F4278" i="1"/>
  <c r="G4278" i="1"/>
  <c r="I4278" i="1"/>
  <c r="J4278" i="1"/>
  <c r="K4278" i="1"/>
  <c r="L4278" i="1"/>
  <c r="M4278" i="1"/>
  <c r="N4278" i="1"/>
  <c r="O4278" i="1"/>
  <c r="P4278" i="1"/>
  <c r="Q4278" i="1"/>
  <c r="R4278" i="1"/>
  <c r="S4278" i="1"/>
  <c r="T4278" i="1"/>
  <c r="U4278" i="1"/>
  <c r="V4278" i="1"/>
  <c r="W4278" i="1"/>
  <c r="X4278" i="1"/>
  <c r="Y4278" i="1"/>
  <c r="Z4278" i="1"/>
  <c r="A4279" i="1"/>
  <c r="B4279" i="1"/>
  <c r="C4279" i="1"/>
  <c r="D4279" i="1"/>
  <c r="E4279" i="1"/>
  <c r="F4279" i="1"/>
  <c r="G4279" i="1"/>
  <c r="I4279" i="1"/>
  <c r="J4279" i="1"/>
  <c r="K4279" i="1"/>
  <c r="L4279" i="1"/>
  <c r="M4279" i="1"/>
  <c r="N4279" i="1"/>
  <c r="O4279" i="1"/>
  <c r="P4279" i="1"/>
  <c r="Q4279" i="1"/>
  <c r="R4279" i="1"/>
  <c r="S4279" i="1"/>
  <c r="T4279" i="1"/>
  <c r="U4279" i="1"/>
  <c r="V4279" i="1"/>
  <c r="W4279" i="1"/>
  <c r="X4279" i="1"/>
  <c r="Y4279" i="1"/>
  <c r="Z4279" i="1"/>
  <c r="A4280" i="1"/>
  <c r="B4280" i="1"/>
  <c r="C4280" i="1"/>
  <c r="D4280" i="1"/>
  <c r="E4280" i="1"/>
  <c r="F4280" i="1"/>
  <c r="G4280" i="1"/>
  <c r="I4280" i="1"/>
  <c r="J4280" i="1"/>
  <c r="K4280" i="1"/>
  <c r="L4280" i="1"/>
  <c r="M4280" i="1"/>
  <c r="N4280" i="1"/>
  <c r="O4280" i="1"/>
  <c r="P4280" i="1"/>
  <c r="Q4280" i="1"/>
  <c r="R4280" i="1"/>
  <c r="S4280" i="1"/>
  <c r="T4280" i="1"/>
  <c r="U4280" i="1"/>
  <c r="V4280" i="1"/>
  <c r="W4280" i="1"/>
  <c r="X4280" i="1"/>
  <c r="Y4280" i="1"/>
  <c r="Z4280" i="1"/>
  <c r="A4281" i="1"/>
  <c r="B4281" i="1"/>
  <c r="C4281" i="1"/>
  <c r="D4281" i="1"/>
  <c r="E4281" i="1"/>
  <c r="F4281" i="1"/>
  <c r="G4281" i="1"/>
  <c r="I4281" i="1"/>
  <c r="J4281" i="1"/>
  <c r="K4281" i="1"/>
  <c r="L4281" i="1"/>
  <c r="M4281" i="1"/>
  <c r="N4281" i="1"/>
  <c r="O4281" i="1"/>
  <c r="P4281" i="1"/>
  <c r="Q4281" i="1"/>
  <c r="R4281" i="1"/>
  <c r="S4281" i="1"/>
  <c r="T4281" i="1"/>
  <c r="U4281" i="1"/>
  <c r="V4281" i="1"/>
  <c r="W4281" i="1"/>
  <c r="X4281" i="1"/>
  <c r="Y4281" i="1"/>
  <c r="Z4281" i="1"/>
  <c r="A4282" i="1"/>
  <c r="B4282" i="1"/>
  <c r="C4282" i="1"/>
  <c r="D4282" i="1"/>
  <c r="E4282" i="1"/>
  <c r="F4282" i="1"/>
  <c r="G4282" i="1"/>
  <c r="I4282" i="1"/>
  <c r="J4282" i="1"/>
  <c r="K4282" i="1"/>
  <c r="L4282" i="1"/>
  <c r="M4282" i="1"/>
  <c r="N4282" i="1"/>
  <c r="O4282" i="1"/>
  <c r="P4282" i="1"/>
  <c r="Q4282" i="1"/>
  <c r="R4282" i="1"/>
  <c r="S4282" i="1"/>
  <c r="T4282" i="1"/>
  <c r="U4282" i="1"/>
  <c r="V4282" i="1"/>
  <c r="W4282" i="1"/>
  <c r="X4282" i="1"/>
  <c r="Y4282" i="1"/>
  <c r="Z4282" i="1"/>
  <c r="A4283" i="1"/>
  <c r="B4283" i="1"/>
  <c r="C4283" i="1"/>
  <c r="D4283" i="1"/>
  <c r="E4283" i="1"/>
  <c r="F4283" i="1"/>
  <c r="G4283" i="1"/>
  <c r="I4283" i="1"/>
  <c r="J4283" i="1"/>
  <c r="K4283" i="1"/>
  <c r="L4283" i="1"/>
  <c r="M4283" i="1"/>
  <c r="N4283" i="1"/>
  <c r="O4283" i="1"/>
  <c r="P4283" i="1"/>
  <c r="Q4283" i="1"/>
  <c r="R4283" i="1"/>
  <c r="S4283" i="1"/>
  <c r="T4283" i="1"/>
  <c r="U4283" i="1"/>
  <c r="V4283" i="1"/>
  <c r="W4283" i="1"/>
  <c r="X4283" i="1"/>
  <c r="Y4283" i="1"/>
  <c r="Z4283" i="1"/>
  <c r="A4284" i="1"/>
  <c r="B4284" i="1"/>
  <c r="C4284" i="1"/>
  <c r="D4284" i="1"/>
  <c r="E4284" i="1"/>
  <c r="F4284" i="1"/>
  <c r="G4284" i="1"/>
  <c r="I4284" i="1"/>
  <c r="J4284" i="1"/>
  <c r="K4284" i="1"/>
  <c r="L4284" i="1"/>
  <c r="M4284" i="1"/>
  <c r="N4284" i="1"/>
  <c r="O4284" i="1"/>
  <c r="P4284" i="1"/>
  <c r="Q4284" i="1"/>
  <c r="R4284" i="1"/>
  <c r="S4284" i="1"/>
  <c r="T4284" i="1"/>
  <c r="U4284" i="1"/>
  <c r="V4284" i="1"/>
  <c r="W4284" i="1"/>
  <c r="X4284" i="1"/>
  <c r="Y4284" i="1"/>
  <c r="Z4284" i="1"/>
  <c r="A4285" i="1"/>
  <c r="B4285" i="1"/>
  <c r="C4285" i="1"/>
  <c r="D4285" i="1"/>
  <c r="E4285" i="1"/>
  <c r="F4285" i="1"/>
  <c r="G4285" i="1"/>
  <c r="I4285" i="1"/>
  <c r="J4285" i="1"/>
  <c r="K4285" i="1"/>
  <c r="L4285" i="1"/>
  <c r="M4285" i="1"/>
  <c r="N4285" i="1"/>
  <c r="O4285" i="1"/>
  <c r="P4285" i="1"/>
  <c r="Q4285" i="1"/>
  <c r="R4285" i="1"/>
  <c r="S4285" i="1"/>
  <c r="T4285" i="1"/>
  <c r="U4285" i="1"/>
  <c r="V4285" i="1"/>
  <c r="W4285" i="1"/>
  <c r="X4285" i="1"/>
  <c r="Y4285" i="1"/>
  <c r="Z4285" i="1"/>
  <c r="A4286" i="1"/>
  <c r="B4286" i="1"/>
  <c r="C4286" i="1"/>
  <c r="D4286" i="1"/>
  <c r="E4286" i="1"/>
  <c r="F4286" i="1"/>
  <c r="G4286" i="1"/>
  <c r="I4286" i="1"/>
  <c r="J4286" i="1"/>
  <c r="K4286" i="1"/>
  <c r="L4286" i="1"/>
  <c r="M4286" i="1"/>
  <c r="N4286" i="1"/>
  <c r="O4286" i="1"/>
  <c r="P4286" i="1"/>
  <c r="Q4286" i="1"/>
  <c r="R4286" i="1"/>
  <c r="S4286" i="1"/>
  <c r="T4286" i="1"/>
  <c r="U4286" i="1"/>
  <c r="V4286" i="1"/>
  <c r="W4286" i="1"/>
  <c r="X4286" i="1"/>
  <c r="Y4286" i="1"/>
  <c r="Z4286" i="1"/>
  <c r="A4287" i="1"/>
  <c r="B4287" i="1"/>
  <c r="C4287" i="1"/>
  <c r="D4287" i="1"/>
  <c r="E4287" i="1"/>
  <c r="F4287" i="1"/>
  <c r="G4287" i="1"/>
  <c r="I4287" i="1"/>
  <c r="J4287" i="1"/>
  <c r="K4287" i="1"/>
  <c r="L4287" i="1"/>
  <c r="M4287" i="1"/>
  <c r="N4287" i="1"/>
  <c r="O4287" i="1"/>
  <c r="P4287" i="1"/>
  <c r="Q4287" i="1"/>
  <c r="R4287" i="1"/>
  <c r="S4287" i="1"/>
  <c r="T4287" i="1"/>
  <c r="U4287" i="1"/>
  <c r="V4287" i="1"/>
  <c r="W4287" i="1"/>
  <c r="X4287" i="1"/>
  <c r="Y4287" i="1"/>
  <c r="Z4287" i="1"/>
  <c r="A4288" i="1"/>
  <c r="B4288" i="1"/>
  <c r="C4288" i="1"/>
  <c r="D4288" i="1"/>
  <c r="E4288" i="1"/>
  <c r="F4288" i="1"/>
  <c r="G4288" i="1"/>
  <c r="I4288" i="1"/>
  <c r="J4288" i="1"/>
  <c r="K4288" i="1"/>
  <c r="L4288" i="1"/>
  <c r="M4288" i="1"/>
  <c r="N4288" i="1"/>
  <c r="O4288" i="1"/>
  <c r="P4288" i="1"/>
  <c r="Q4288" i="1"/>
  <c r="R4288" i="1"/>
  <c r="S4288" i="1"/>
  <c r="T4288" i="1"/>
  <c r="U4288" i="1"/>
  <c r="V4288" i="1"/>
  <c r="W4288" i="1"/>
  <c r="X4288" i="1"/>
  <c r="Y4288" i="1"/>
  <c r="Z4288" i="1"/>
  <c r="A4289" i="1"/>
  <c r="B4289" i="1"/>
  <c r="C4289" i="1"/>
  <c r="D4289" i="1"/>
  <c r="E4289" i="1"/>
  <c r="F4289" i="1"/>
  <c r="G4289" i="1"/>
  <c r="I4289" i="1"/>
  <c r="J4289" i="1"/>
  <c r="K4289" i="1"/>
  <c r="L4289" i="1"/>
  <c r="M4289" i="1"/>
  <c r="N4289" i="1"/>
  <c r="O4289" i="1"/>
  <c r="P4289" i="1"/>
  <c r="Q4289" i="1"/>
  <c r="R4289" i="1"/>
  <c r="S4289" i="1"/>
  <c r="T4289" i="1"/>
  <c r="U4289" i="1"/>
  <c r="V4289" i="1"/>
  <c r="W4289" i="1"/>
  <c r="X4289" i="1"/>
  <c r="Y4289" i="1"/>
  <c r="Z4289" i="1"/>
  <c r="A4290" i="1"/>
  <c r="B4290" i="1"/>
  <c r="C4290" i="1"/>
  <c r="D4290" i="1"/>
  <c r="E4290" i="1"/>
  <c r="F4290" i="1"/>
  <c r="G4290" i="1"/>
  <c r="I4290" i="1"/>
  <c r="J4290" i="1"/>
  <c r="K4290" i="1"/>
  <c r="L4290" i="1"/>
  <c r="M4290" i="1"/>
  <c r="N4290" i="1"/>
  <c r="O4290" i="1"/>
  <c r="P4290" i="1"/>
  <c r="Q4290" i="1"/>
  <c r="R4290" i="1"/>
  <c r="S4290" i="1"/>
  <c r="T4290" i="1"/>
  <c r="U4290" i="1"/>
  <c r="V4290" i="1"/>
  <c r="W4290" i="1"/>
  <c r="X4290" i="1"/>
  <c r="Y4290" i="1"/>
  <c r="Z4290" i="1"/>
  <c r="A4291" i="1"/>
  <c r="B4291" i="1"/>
  <c r="C4291" i="1"/>
  <c r="D4291" i="1"/>
  <c r="E4291" i="1"/>
  <c r="F4291" i="1"/>
  <c r="G4291" i="1"/>
  <c r="I4291" i="1"/>
  <c r="J4291" i="1"/>
  <c r="K4291" i="1"/>
  <c r="L4291" i="1"/>
  <c r="M4291" i="1"/>
  <c r="N4291" i="1"/>
  <c r="O4291" i="1"/>
  <c r="P4291" i="1"/>
  <c r="Q4291" i="1"/>
  <c r="R4291" i="1"/>
  <c r="S4291" i="1"/>
  <c r="T4291" i="1"/>
  <c r="U4291" i="1"/>
  <c r="V4291" i="1"/>
  <c r="W4291" i="1"/>
  <c r="X4291" i="1"/>
  <c r="Y4291" i="1"/>
  <c r="Z4291" i="1"/>
  <c r="A4292" i="1"/>
  <c r="B4292" i="1"/>
  <c r="C4292" i="1"/>
  <c r="D4292" i="1"/>
  <c r="E4292" i="1"/>
  <c r="F4292" i="1"/>
  <c r="G4292" i="1"/>
  <c r="I4292" i="1"/>
  <c r="J4292" i="1"/>
  <c r="K4292" i="1"/>
  <c r="L4292" i="1"/>
  <c r="M4292" i="1"/>
  <c r="N4292" i="1"/>
  <c r="O4292" i="1"/>
  <c r="P4292" i="1"/>
  <c r="Q4292" i="1"/>
  <c r="R4292" i="1"/>
  <c r="S4292" i="1"/>
  <c r="T4292" i="1"/>
  <c r="U4292" i="1"/>
  <c r="V4292" i="1"/>
  <c r="W4292" i="1"/>
  <c r="X4292" i="1"/>
  <c r="Y4292" i="1"/>
  <c r="Z4292" i="1"/>
  <c r="A4293" i="1"/>
  <c r="B4293" i="1"/>
  <c r="C4293" i="1"/>
  <c r="D4293" i="1"/>
  <c r="E4293" i="1"/>
  <c r="F4293" i="1"/>
  <c r="G4293" i="1"/>
  <c r="I4293" i="1"/>
  <c r="J4293" i="1"/>
  <c r="K4293" i="1"/>
  <c r="L4293" i="1"/>
  <c r="M4293" i="1"/>
  <c r="N4293" i="1"/>
  <c r="O4293" i="1"/>
  <c r="P4293" i="1"/>
  <c r="Q4293" i="1"/>
  <c r="R4293" i="1"/>
  <c r="S4293" i="1"/>
  <c r="T4293" i="1"/>
  <c r="U4293" i="1"/>
  <c r="V4293" i="1"/>
  <c r="W4293" i="1"/>
  <c r="X4293" i="1"/>
  <c r="Y4293" i="1"/>
  <c r="Z4293" i="1"/>
  <c r="A4294" i="1"/>
  <c r="B4294" i="1"/>
  <c r="C4294" i="1"/>
  <c r="D4294" i="1"/>
  <c r="E4294" i="1"/>
  <c r="F4294" i="1"/>
  <c r="G4294" i="1"/>
  <c r="I4294" i="1"/>
  <c r="J4294" i="1"/>
  <c r="K4294" i="1"/>
  <c r="L4294" i="1"/>
  <c r="M4294" i="1"/>
  <c r="N4294" i="1"/>
  <c r="O4294" i="1"/>
  <c r="P4294" i="1"/>
  <c r="Q4294" i="1"/>
  <c r="R4294" i="1"/>
  <c r="S4294" i="1"/>
  <c r="T4294" i="1"/>
  <c r="U4294" i="1"/>
  <c r="V4294" i="1"/>
  <c r="W4294" i="1"/>
  <c r="X4294" i="1"/>
  <c r="Y4294" i="1"/>
  <c r="Z4294" i="1"/>
  <c r="A4295" i="1"/>
  <c r="B4295" i="1"/>
  <c r="C4295" i="1"/>
  <c r="D4295" i="1"/>
  <c r="E4295" i="1"/>
  <c r="F4295" i="1"/>
  <c r="G4295" i="1"/>
  <c r="I4295" i="1"/>
  <c r="J4295" i="1"/>
  <c r="K4295" i="1"/>
  <c r="L4295" i="1"/>
  <c r="M4295" i="1"/>
  <c r="N4295" i="1"/>
  <c r="O4295" i="1"/>
  <c r="P4295" i="1"/>
  <c r="Q4295" i="1"/>
  <c r="R4295" i="1"/>
  <c r="S4295" i="1"/>
  <c r="T4295" i="1"/>
  <c r="U4295" i="1"/>
  <c r="V4295" i="1"/>
  <c r="W4295" i="1"/>
  <c r="X4295" i="1"/>
  <c r="Y4295" i="1"/>
  <c r="Z4295" i="1"/>
  <c r="A4296" i="1"/>
  <c r="B4296" i="1"/>
  <c r="C4296" i="1"/>
  <c r="D4296" i="1"/>
  <c r="E4296" i="1"/>
  <c r="F4296" i="1"/>
  <c r="G4296" i="1"/>
  <c r="I4296" i="1"/>
  <c r="J4296" i="1"/>
  <c r="K4296" i="1"/>
  <c r="L4296" i="1"/>
  <c r="M4296" i="1"/>
  <c r="N4296" i="1"/>
  <c r="O4296" i="1"/>
  <c r="P4296" i="1"/>
  <c r="Q4296" i="1"/>
  <c r="R4296" i="1"/>
  <c r="S4296" i="1"/>
  <c r="T4296" i="1"/>
  <c r="U4296" i="1"/>
  <c r="V4296" i="1"/>
  <c r="W4296" i="1"/>
  <c r="X4296" i="1"/>
  <c r="Y4296" i="1"/>
  <c r="Z4296" i="1"/>
  <c r="A4297" i="1"/>
  <c r="B4297" i="1"/>
  <c r="C4297" i="1"/>
  <c r="D4297" i="1"/>
  <c r="E4297" i="1"/>
  <c r="F4297" i="1"/>
  <c r="G4297" i="1"/>
  <c r="I4297" i="1"/>
  <c r="J4297" i="1"/>
  <c r="K4297" i="1"/>
  <c r="L4297" i="1"/>
  <c r="M4297" i="1"/>
  <c r="N4297" i="1"/>
  <c r="O4297" i="1"/>
  <c r="P4297" i="1"/>
  <c r="Q4297" i="1"/>
  <c r="R4297" i="1"/>
  <c r="S4297" i="1"/>
  <c r="T4297" i="1"/>
  <c r="U4297" i="1"/>
  <c r="V4297" i="1"/>
  <c r="W4297" i="1"/>
  <c r="X4297" i="1"/>
  <c r="Y4297" i="1"/>
  <c r="Z4297" i="1"/>
  <c r="A4298" i="1"/>
  <c r="B4298" i="1"/>
  <c r="C4298" i="1"/>
  <c r="D4298" i="1"/>
  <c r="E4298" i="1"/>
  <c r="F4298" i="1"/>
  <c r="G4298" i="1"/>
  <c r="I4298" i="1"/>
  <c r="J4298" i="1"/>
  <c r="K4298" i="1"/>
  <c r="L4298" i="1"/>
  <c r="M4298" i="1"/>
  <c r="N4298" i="1"/>
  <c r="O4298" i="1"/>
  <c r="P4298" i="1"/>
  <c r="Q4298" i="1"/>
  <c r="R4298" i="1"/>
  <c r="S4298" i="1"/>
  <c r="T4298" i="1"/>
  <c r="U4298" i="1"/>
  <c r="V4298" i="1"/>
  <c r="W4298" i="1"/>
  <c r="X4298" i="1"/>
  <c r="Y4298" i="1"/>
  <c r="Z4298" i="1"/>
  <c r="A4299" i="1"/>
  <c r="B4299" i="1"/>
  <c r="C4299" i="1"/>
  <c r="D4299" i="1"/>
  <c r="E4299" i="1"/>
  <c r="F4299" i="1"/>
  <c r="G4299" i="1"/>
  <c r="I4299" i="1"/>
  <c r="J4299" i="1"/>
  <c r="K4299" i="1"/>
  <c r="L4299" i="1"/>
  <c r="M4299" i="1"/>
  <c r="N4299" i="1"/>
  <c r="O4299" i="1"/>
  <c r="P4299" i="1"/>
  <c r="Q4299" i="1"/>
  <c r="R4299" i="1"/>
  <c r="S4299" i="1"/>
  <c r="T4299" i="1"/>
  <c r="U4299" i="1"/>
  <c r="V4299" i="1"/>
  <c r="W4299" i="1"/>
  <c r="X4299" i="1"/>
  <c r="Y4299" i="1"/>
  <c r="Z4299" i="1"/>
  <c r="A4300" i="1"/>
  <c r="B4300" i="1"/>
  <c r="C4300" i="1"/>
  <c r="D4300" i="1"/>
  <c r="E4300" i="1"/>
  <c r="F4300" i="1"/>
  <c r="G4300" i="1"/>
  <c r="I4300" i="1"/>
  <c r="J4300" i="1"/>
  <c r="K4300" i="1"/>
  <c r="L4300" i="1"/>
  <c r="M4300" i="1"/>
  <c r="N4300" i="1"/>
  <c r="O4300" i="1"/>
  <c r="P4300" i="1"/>
  <c r="Q4300" i="1"/>
  <c r="R4300" i="1"/>
  <c r="S4300" i="1"/>
  <c r="T4300" i="1"/>
  <c r="U4300" i="1"/>
  <c r="V4300" i="1"/>
  <c r="W4300" i="1"/>
  <c r="X4300" i="1"/>
  <c r="Y4300" i="1"/>
  <c r="Z4300" i="1"/>
  <c r="A4301" i="1"/>
  <c r="B4301" i="1"/>
  <c r="C4301" i="1"/>
  <c r="D4301" i="1"/>
  <c r="E4301" i="1"/>
  <c r="F4301" i="1"/>
  <c r="G4301" i="1"/>
  <c r="I4301" i="1"/>
  <c r="J4301" i="1"/>
  <c r="K4301" i="1"/>
  <c r="L4301" i="1"/>
  <c r="M4301" i="1"/>
  <c r="N4301" i="1"/>
  <c r="O4301" i="1"/>
  <c r="P4301" i="1"/>
  <c r="Q4301" i="1"/>
  <c r="R4301" i="1"/>
  <c r="S4301" i="1"/>
  <c r="T4301" i="1"/>
  <c r="U4301" i="1"/>
  <c r="V4301" i="1"/>
  <c r="W4301" i="1"/>
  <c r="X4301" i="1"/>
  <c r="Y4301" i="1"/>
  <c r="Z4301" i="1"/>
  <c r="A4302" i="1"/>
  <c r="B4302" i="1"/>
  <c r="C4302" i="1"/>
  <c r="D4302" i="1"/>
  <c r="E4302" i="1"/>
  <c r="F4302" i="1"/>
  <c r="G4302" i="1"/>
  <c r="I4302" i="1"/>
  <c r="J4302" i="1"/>
  <c r="K4302" i="1"/>
  <c r="L4302" i="1"/>
  <c r="M4302" i="1"/>
  <c r="N4302" i="1"/>
  <c r="O4302" i="1"/>
  <c r="P4302" i="1"/>
  <c r="Q4302" i="1"/>
  <c r="R4302" i="1"/>
  <c r="S4302" i="1"/>
  <c r="T4302" i="1"/>
  <c r="U4302" i="1"/>
  <c r="V4302" i="1"/>
  <c r="W4302" i="1"/>
  <c r="X4302" i="1"/>
  <c r="Y4302" i="1"/>
  <c r="Z4302" i="1"/>
  <c r="A4303" i="1"/>
  <c r="B4303" i="1"/>
  <c r="C4303" i="1"/>
  <c r="D4303" i="1"/>
  <c r="E4303" i="1"/>
  <c r="F4303" i="1"/>
  <c r="G4303" i="1"/>
  <c r="I4303" i="1"/>
  <c r="J4303" i="1"/>
  <c r="K4303" i="1"/>
  <c r="L4303" i="1"/>
  <c r="M4303" i="1"/>
  <c r="N4303" i="1"/>
  <c r="O4303" i="1"/>
  <c r="P4303" i="1"/>
  <c r="Q4303" i="1"/>
  <c r="R4303" i="1"/>
  <c r="S4303" i="1"/>
  <c r="T4303" i="1"/>
  <c r="U4303" i="1"/>
  <c r="V4303" i="1"/>
  <c r="W4303" i="1"/>
  <c r="X4303" i="1"/>
  <c r="Y4303" i="1"/>
  <c r="Z4303" i="1"/>
  <c r="A4304" i="1"/>
  <c r="B4304" i="1"/>
  <c r="C4304" i="1"/>
  <c r="D4304" i="1"/>
  <c r="E4304" i="1"/>
  <c r="F4304" i="1"/>
  <c r="G4304" i="1"/>
  <c r="I4304" i="1"/>
  <c r="J4304" i="1"/>
  <c r="K4304" i="1"/>
  <c r="L4304" i="1"/>
  <c r="M4304" i="1"/>
  <c r="N4304" i="1"/>
  <c r="O4304" i="1"/>
  <c r="P4304" i="1"/>
  <c r="Q4304" i="1"/>
  <c r="R4304" i="1"/>
  <c r="S4304" i="1"/>
  <c r="T4304" i="1"/>
  <c r="U4304" i="1"/>
  <c r="V4304" i="1"/>
  <c r="W4304" i="1"/>
  <c r="X4304" i="1"/>
  <c r="Y4304" i="1"/>
  <c r="Z4304" i="1"/>
  <c r="A4305" i="1"/>
  <c r="B4305" i="1"/>
  <c r="C4305" i="1"/>
  <c r="D4305" i="1"/>
  <c r="E4305" i="1"/>
  <c r="F4305" i="1"/>
  <c r="G4305" i="1"/>
  <c r="I4305" i="1"/>
  <c r="J4305" i="1"/>
  <c r="K4305" i="1"/>
  <c r="L4305" i="1"/>
  <c r="M4305" i="1"/>
  <c r="N4305" i="1"/>
  <c r="O4305" i="1"/>
  <c r="P4305" i="1"/>
  <c r="Q4305" i="1"/>
  <c r="R4305" i="1"/>
  <c r="S4305" i="1"/>
  <c r="T4305" i="1"/>
  <c r="U4305" i="1"/>
  <c r="V4305" i="1"/>
  <c r="W4305" i="1"/>
  <c r="X4305" i="1"/>
  <c r="Y4305" i="1"/>
  <c r="Z4305" i="1"/>
  <c r="A4306" i="1"/>
  <c r="B4306" i="1"/>
  <c r="C4306" i="1"/>
  <c r="D4306" i="1"/>
  <c r="E4306" i="1"/>
  <c r="F4306" i="1"/>
  <c r="G4306" i="1"/>
  <c r="I4306" i="1"/>
  <c r="J4306" i="1"/>
  <c r="K4306" i="1"/>
  <c r="L4306" i="1"/>
  <c r="M4306" i="1"/>
  <c r="N4306" i="1"/>
  <c r="O4306" i="1"/>
  <c r="P4306" i="1"/>
  <c r="Q4306" i="1"/>
  <c r="R4306" i="1"/>
  <c r="S4306" i="1"/>
  <c r="T4306" i="1"/>
  <c r="U4306" i="1"/>
  <c r="V4306" i="1"/>
  <c r="W4306" i="1"/>
  <c r="X4306" i="1"/>
  <c r="Y4306" i="1"/>
  <c r="Z4306" i="1"/>
  <c r="A4307" i="1"/>
  <c r="B4307" i="1"/>
  <c r="C4307" i="1"/>
  <c r="D4307" i="1"/>
  <c r="E4307" i="1"/>
  <c r="F4307" i="1"/>
  <c r="G4307" i="1"/>
  <c r="I4307" i="1"/>
  <c r="J4307" i="1"/>
  <c r="K4307" i="1"/>
  <c r="L4307" i="1"/>
  <c r="M4307" i="1"/>
  <c r="N4307" i="1"/>
  <c r="O4307" i="1"/>
  <c r="P4307" i="1"/>
  <c r="Q4307" i="1"/>
  <c r="R4307" i="1"/>
  <c r="S4307" i="1"/>
  <c r="T4307" i="1"/>
  <c r="U4307" i="1"/>
  <c r="V4307" i="1"/>
  <c r="W4307" i="1"/>
  <c r="X4307" i="1"/>
  <c r="Y4307" i="1"/>
  <c r="Z4307" i="1"/>
  <c r="A4308" i="1"/>
  <c r="B4308" i="1"/>
  <c r="C4308" i="1"/>
  <c r="D4308" i="1"/>
  <c r="E4308" i="1"/>
  <c r="F4308" i="1"/>
  <c r="G4308" i="1"/>
  <c r="I4308" i="1"/>
  <c r="J4308" i="1"/>
  <c r="K4308" i="1"/>
  <c r="L4308" i="1"/>
  <c r="M4308" i="1"/>
  <c r="N4308" i="1"/>
  <c r="O4308" i="1"/>
  <c r="P4308" i="1"/>
  <c r="Q4308" i="1"/>
  <c r="R4308" i="1"/>
  <c r="S4308" i="1"/>
  <c r="T4308" i="1"/>
  <c r="U4308" i="1"/>
  <c r="V4308" i="1"/>
  <c r="W4308" i="1"/>
  <c r="X4308" i="1"/>
  <c r="Y4308" i="1"/>
  <c r="Z4308" i="1"/>
  <c r="A4309" i="1"/>
  <c r="B4309" i="1"/>
  <c r="C4309" i="1"/>
  <c r="D4309" i="1"/>
  <c r="E4309" i="1"/>
  <c r="F4309" i="1"/>
  <c r="G4309" i="1"/>
  <c r="I4309" i="1"/>
  <c r="J4309" i="1"/>
  <c r="K4309" i="1"/>
  <c r="L4309" i="1"/>
  <c r="M4309" i="1"/>
  <c r="N4309" i="1"/>
  <c r="O4309" i="1"/>
  <c r="P4309" i="1"/>
  <c r="Q4309" i="1"/>
  <c r="R4309" i="1"/>
  <c r="S4309" i="1"/>
  <c r="T4309" i="1"/>
  <c r="U4309" i="1"/>
  <c r="V4309" i="1"/>
  <c r="W4309" i="1"/>
  <c r="X4309" i="1"/>
  <c r="Y4309" i="1"/>
  <c r="Z4309" i="1"/>
  <c r="A4310" i="1"/>
  <c r="B4310" i="1"/>
  <c r="C4310" i="1"/>
  <c r="D4310" i="1"/>
  <c r="E4310" i="1"/>
  <c r="F4310" i="1"/>
  <c r="G4310" i="1"/>
  <c r="I4310" i="1"/>
  <c r="J4310" i="1"/>
  <c r="K4310" i="1"/>
  <c r="L4310" i="1"/>
  <c r="M4310" i="1"/>
  <c r="N4310" i="1"/>
  <c r="O4310" i="1"/>
  <c r="P4310" i="1"/>
  <c r="Q4310" i="1"/>
  <c r="R4310" i="1"/>
  <c r="S4310" i="1"/>
  <c r="T4310" i="1"/>
  <c r="U4310" i="1"/>
  <c r="V4310" i="1"/>
  <c r="W4310" i="1"/>
  <c r="X4310" i="1"/>
  <c r="Y4310" i="1"/>
  <c r="Z4310" i="1"/>
  <c r="A4311" i="1"/>
  <c r="B4311" i="1"/>
  <c r="C4311" i="1"/>
  <c r="D4311" i="1"/>
  <c r="E4311" i="1"/>
  <c r="F4311" i="1"/>
  <c r="G4311" i="1"/>
  <c r="I4311" i="1"/>
  <c r="J4311" i="1"/>
  <c r="K4311" i="1"/>
  <c r="L4311" i="1"/>
  <c r="M4311" i="1"/>
  <c r="N4311" i="1"/>
  <c r="O4311" i="1"/>
  <c r="P4311" i="1"/>
  <c r="Q4311" i="1"/>
  <c r="R4311" i="1"/>
  <c r="S4311" i="1"/>
  <c r="T4311" i="1"/>
  <c r="U4311" i="1"/>
  <c r="V4311" i="1"/>
  <c r="W4311" i="1"/>
  <c r="X4311" i="1"/>
  <c r="Y4311" i="1"/>
  <c r="Z4311" i="1"/>
  <c r="A4312" i="1"/>
  <c r="B4312" i="1"/>
  <c r="C4312" i="1"/>
  <c r="D4312" i="1"/>
  <c r="E4312" i="1"/>
  <c r="F4312" i="1"/>
  <c r="G4312" i="1"/>
  <c r="I4312" i="1"/>
  <c r="J4312" i="1"/>
  <c r="K4312" i="1"/>
  <c r="L4312" i="1"/>
  <c r="M4312" i="1"/>
  <c r="N4312" i="1"/>
  <c r="O4312" i="1"/>
  <c r="P4312" i="1"/>
  <c r="Q4312" i="1"/>
  <c r="R4312" i="1"/>
  <c r="S4312" i="1"/>
  <c r="T4312" i="1"/>
  <c r="U4312" i="1"/>
  <c r="V4312" i="1"/>
  <c r="W4312" i="1"/>
  <c r="X4312" i="1"/>
  <c r="Y4312" i="1"/>
  <c r="Z4312" i="1"/>
  <c r="A4313" i="1"/>
  <c r="B4313" i="1"/>
  <c r="C4313" i="1"/>
  <c r="D4313" i="1"/>
  <c r="E4313" i="1"/>
  <c r="F4313" i="1"/>
  <c r="G4313" i="1"/>
  <c r="I4313" i="1"/>
  <c r="J4313" i="1"/>
  <c r="K4313" i="1"/>
  <c r="L4313" i="1"/>
  <c r="M4313" i="1"/>
  <c r="N4313" i="1"/>
  <c r="O4313" i="1"/>
  <c r="P4313" i="1"/>
  <c r="Q4313" i="1"/>
  <c r="R4313" i="1"/>
  <c r="S4313" i="1"/>
  <c r="T4313" i="1"/>
  <c r="U4313" i="1"/>
  <c r="V4313" i="1"/>
  <c r="W4313" i="1"/>
  <c r="X4313" i="1"/>
  <c r="Y4313" i="1"/>
  <c r="Z4313" i="1"/>
  <c r="A4314" i="1"/>
  <c r="B4314" i="1"/>
  <c r="C4314" i="1"/>
  <c r="D4314" i="1"/>
  <c r="E4314" i="1"/>
  <c r="F4314" i="1"/>
  <c r="G4314" i="1"/>
  <c r="I4314" i="1"/>
  <c r="J4314" i="1"/>
  <c r="K4314" i="1"/>
  <c r="L4314" i="1"/>
  <c r="M4314" i="1"/>
  <c r="N4314" i="1"/>
  <c r="O4314" i="1"/>
  <c r="P4314" i="1"/>
  <c r="Q4314" i="1"/>
  <c r="R4314" i="1"/>
  <c r="S4314" i="1"/>
  <c r="T4314" i="1"/>
  <c r="U4314" i="1"/>
  <c r="V4314" i="1"/>
  <c r="W4314" i="1"/>
  <c r="X4314" i="1"/>
  <c r="Y4314" i="1"/>
  <c r="Z4314" i="1"/>
  <c r="A4315" i="1"/>
  <c r="B4315" i="1"/>
  <c r="C4315" i="1"/>
  <c r="D4315" i="1"/>
  <c r="E4315" i="1"/>
  <c r="F4315" i="1"/>
  <c r="G4315" i="1"/>
  <c r="I4315" i="1"/>
  <c r="J4315" i="1"/>
  <c r="K4315" i="1"/>
  <c r="L4315" i="1"/>
  <c r="M4315" i="1"/>
  <c r="N4315" i="1"/>
  <c r="O4315" i="1"/>
  <c r="P4315" i="1"/>
  <c r="Q4315" i="1"/>
  <c r="R4315" i="1"/>
  <c r="S4315" i="1"/>
  <c r="T4315" i="1"/>
  <c r="U4315" i="1"/>
  <c r="V4315" i="1"/>
  <c r="W4315" i="1"/>
  <c r="X4315" i="1"/>
  <c r="Y4315" i="1"/>
  <c r="Z4315" i="1"/>
  <c r="A4316" i="1"/>
  <c r="B4316" i="1"/>
  <c r="C4316" i="1"/>
  <c r="D4316" i="1"/>
  <c r="E4316" i="1"/>
  <c r="F4316" i="1"/>
  <c r="G4316" i="1"/>
  <c r="I4316" i="1"/>
  <c r="J4316" i="1"/>
  <c r="K4316" i="1"/>
  <c r="L4316" i="1"/>
  <c r="M4316" i="1"/>
  <c r="N4316" i="1"/>
  <c r="O4316" i="1"/>
  <c r="P4316" i="1"/>
  <c r="Q4316" i="1"/>
  <c r="R4316" i="1"/>
  <c r="S4316" i="1"/>
  <c r="T4316" i="1"/>
  <c r="U4316" i="1"/>
  <c r="V4316" i="1"/>
  <c r="W4316" i="1"/>
  <c r="X4316" i="1"/>
  <c r="Y4316" i="1"/>
  <c r="Z4316" i="1"/>
  <c r="A4317" i="1"/>
  <c r="B4317" i="1"/>
  <c r="C4317" i="1"/>
  <c r="D4317" i="1"/>
  <c r="E4317" i="1"/>
  <c r="F4317" i="1"/>
  <c r="G4317" i="1"/>
  <c r="I4317" i="1"/>
  <c r="J4317" i="1"/>
  <c r="K4317" i="1"/>
  <c r="L4317" i="1"/>
  <c r="M4317" i="1"/>
  <c r="N4317" i="1"/>
  <c r="O4317" i="1"/>
  <c r="P4317" i="1"/>
  <c r="Q4317" i="1"/>
  <c r="R4317" i="1"/>
  <c r="S4317" i="1"/>
  <c r="T4317" i="1"/>
  <c r="U4317" i="1"/>
  <c r="V4317" i="1"/>
  <c r="W4317" i="1"/>
  <c r="X4317" i="1"/>
  <c r="Y4317" i="1"/>
  <c r="Z4317" i="1"/>
  <c r="A4318" i="1"/>
  <c r="B4318" i="1"/>
  <c r="C4318" i="1"/>
  <c r="D4318" i="1"/>
  <c r="E4318" i="1"/>
  <c r="F4318" i="1"/>
  <c r="G4318" i="1"/>
  <c r="I4318" i="1"/>
  <c r="J4318" i="1"/>
  <c r="K4318" i="1"/>
  <c r="L4318" i="1"/>
  <c r="M4318" i="1"/>
  <c r="N4318" i="1"/>
  <c r="O4318" i="1"/>
  <c r="P4318" i="1"/>
  <c r="Q4318" i="1"/>
  <c r="R4318" i="1"/>
  <c r="S4318" i="1"/>
  <c r="T4318" i="1"/>
  <c r="U4318" i="1"/>
  <c r="V4318" i="1"/>
  <c r="W4318" i="1"/>
  <c r="X4318" i="1"/>
  <c r="Y4318" i="1"/>
  <c r="Z4318" i="1"/>
  <c r="A4319" i="1"/>
  <c r="B4319" i="1"/>
  <c r="C4319" i="1"/>
  <c r="D4319" i="1"/>
  <c r="E4319" i="1"/>
  <c r="F4319" i="1"/>
  <c r="G4319" i="1"/>
  <c r="I4319" i="1"/>
  <c r="J4319" i="1"/>
  <c r="K4319" i="1"/>
  <c r="L4319" i="1"/>
  <c r="M4319" i="1"/>
  <c r="N4319" i="1"/>
  <c r="O4319" i="1"/>
  <c r="P4319" i="1"/>
  <c r="Q4319" i="1"/>
  <c r="R4319" i="1"/>
  <c r="S4319" i="1"/>
  <c r="T4319" i="1"/>
  <c r="U4319" i="1"/>
  <c r="V4319" i="1"/>
  <c r="W4319" i="1"/>
  <c r="X4319" i="1"/>
  <c r="Y4319" i="1"/>
  <c r="Z4319" i="1"/>
  <c r="A4320" i="1"/>
  <c r="B4320" i="1"/>
  <c r="C4320" i="1"/>
  <c r="D4320" i="1"/>
  <c r="E4320" i="1"/>
  <c r="F4320" i="1"/>
  <c r="G4320" i="1"/>
  <c r="I4320" i="1"/>
  <c r="J4320" i="1"/>
  <c r="K4320" i="1"/>
  <c r="L4320" i="1"/>
  <c r="M4320" i="1"/>
  <c r="N4320" i="1"/>
  <c r="O4320" i="1"/>
  <c r="P4320" i="1"/>
  <c r="Q4320" i="1"/>
  <c r="R4320" i="1"/>
  <c r="S4320" i="1"/>
  <c r="T4320" i="1"/>
  <c r="U4320" i="1"/>
  <c r="V4320" i="1"/>
  <c r="W4320" i="1"/>
  <c r="X4320" i="1"/>
  <c r="Y4320" i="1"/>
  <c r="Z4320" i="1"/>
  <c r="A4321" i="1"/>
  <c r="B4321" i="1"/>
  <c r="C4321" i="1"/>
  <c r="D4321" i="1"/>
  <c r="E4321" i="1"/>
  <c r="F4321" i="1"/>
  <c r="G4321" i="1"/>
  <c r="I4321" i="1"/>
  <c r="J4321" i="1"/>
  <c r="K4321" i="1"/>
  <c r="L4321" i="1"/>
  <c r="M4321" i="1"/>
  <c r="N4321" i="1"/>
  <c r="O4321" i="1"/>
  <c r="P4321" i="1"/>
  <c r="Q4321" i="1"/>
  <c r="R4321" i="1"/>
  <c r="S4321" i="1"/>
  <c r="T4321" i="1"/>
  <c r="U4321" i="1"/>
  <c r="V4321" i="1"/>
  <c r="W4321" i="1"/>
  <c r="X4321" i="1"/>
  <c r="Y4321" i="1"/>
  <c r="Z4321" i="1"/>
  <c r="A4322" i="1"/>
  <c r="B4322" i="1"/>
  <c r="C4322" i="1"/>
  <c r="D4322" i="1"/>
  <c r="E4322" i="1"/>
  <c r="F4322" i="1"/>
  <c r="G4322" i="1"/>
  <c r="I4322" i="1"/>
  <c r="J4322" i="1"/>
  <c r="K4322" i="1"/>
  <c r="L4322" i="1"/>
  <c r="M4322" i="1"/>
  <c r="N4322" i="1"/>
  <c r="O4322" i="1"/>
  <c r="P4322" i="1"/>
  <c r="Q4322" i="1"/>
  <c r="R4322" i="1"/>
  <c r="S4322" i="1"/>
  <c r="T4322" i="1"/>
  <c r="U4322" i="1"/>
  <c r="V4322" i="1"/>
  <c r="W4322" i="1"/>
  <c r="X4322" i="1"/>
  <c r="Y4322" i="1"/>
  <c r="Z4322" i="1"/>
  <c r="A4323" i="1"/>
  <c r="B4323" i="1"/>
  <c r="C4323" i="1"/>
  <c r="D4323" i="1"/>
  <c r="E4323" i="1"/>
  <c r="F4323" i="1"/>
  <c r="G4323" i="1"/>
  <c r="I4323" i="1"/>
  <c r="J4323" i="1"/>
  <c r="K4323" i="1"/>
  <c r="L4323" i="1"/>
  <c r="M4323" i="1"/>
  <c r="N4323" i="1"/>
  <c r="O4323" i="1"/>
  <c r="P4323" i="1"/>
  <c r="Q4323" i="1"/>
  <c r="R4323" i="1"/>
  <c r="S4323" i="1"/>
  <c r="T4323" i="1"/>
  <c r="U4323" i="1"/>
  <c r="V4323" i="1"/>
  <c r="W4323" i="1"/>
  <c r="X4323" i="1"/>
  <c r="Y4323" i="1"/>
  <c r="Z4323" i="1"/>
  <c r="A4324" i="1"/>
  <c r="B4324" i="1"/>
  <c r="C4324" i="1"/>
  <c r="D4324" i="1"/>
  <c r="E4324" i="1"/>
  <c r="F4324" i="1"/>
  <c r="G4324" i="1"/>
  <c r="I4324" i="1"/>
  <c r="J4324" i="1"/>
  <c r="K4324" i="1"/>
  <c r="L4324" i="1"/>
  <c r="M4324" i="1"/>
  <c r="N4324" i="1"/>
  <c r="O4324" i="1"/>
  <c r="P4324" i="1"/>
  <c r="Q4324" i="1"/>
  <c r="R4324" i="1"/>
  <c r="S4324" i="1"/>
  <c r="T4324" i="1"/>
  <c r="U4324" i="1"/>
  <c r="V4324" i="1"/>
  <c r="W4324" i="1"/>
  <c r="X4324" i="1"/>
  <c r="Y4324" i="1"/>
  <c r="Z4324" i="1"/>
  <c r="A4325" i="1"/>
  <c r="B4325" i="1"/>
  <c r="C4325" i="1"/>
  <c r="D4325" i="1"/>
  <c r="E4325" i="1"/>
  <c r="F4325" i="1"/>
  <c r="G4325" i="1"/>
  <c r="I4325" i="1"/>
  <c r="J4325" i="1"/>
  <c r="K4325" i="1"/>
  <c r="L4325" i="1"/>
  <c r="M4325" i="1"/>
  <c r="N4325" i="1"/>
  <c r="O4325" i="1"/>
  <c r="P4325" i="1"/>
  <c r="Q4325" i="1"/>
  <c r="R4325" i="1"/>
  <c r="S4325" i="1"/>
  <c r="T4325" i="1"/>
  <c r="U4325" i="1"/>
  <c r="V4325" i="1"/>
  <c r="W4325" i="1"/>
  <c r="X4325" i="1"/>
  <c r="Y4325" i="1"/>
  <c r="Z4325" i="1"/>
  <c r="A4326" i="1"/>
  <c r="B4326" i="1"/>
  <c r="C4326" i="1"/>
  <c r="D4326" i="1"/>
  <c r="E4326" i="1"/>
  <c r="F4326" i="1"/>
  <c r="G4326" i="1"/>
  <c r="I4326" i="1"/>
  <c r="J4326" i="1"/>
  <c r="K4326" i="1"/>
  <c r="L4326" i="1"/>
  <c r="M4326" i="1"/>
  <c r="N4326" i="1"/>
  <c r="O4326" i="1"/>
  <c r="P4326" i="1"/>
  <c r="Q4326" i="1"/>
  <c r="R4326" i="1"/>
  <c r="S4326" i="1"/>
  <c r="T4326" i="1"/>
  <c r="U4326" i="1"/>
  <c r="V4326" i="1"/>
  <c r="W4326" i="1"/>
  <c r="X4326" i="1"/>
  <c r="Y4326" i="1"/>
  <c r="Z4326" i="1"/>
  <c r="A4327" i="1"/>
  <c r="B4327" i="1"/>
  <c r="C4327" i="1"/>
  <c r="D4327" i="1"/>
  <c r="E4327" i="1"/>
  <c r="F4327" i="1"/>
  <c r="G4327" i="1"/>
  <c r="I4327" i="1"/>
  <c r="J4327" i="1"/>
  <c r="K4327" i="1"/>
  <c r="L4327" i="1"/>
  <c r="M4327" i="1"/>
  <c r="N4327" i="1"/>
  <c r="O4327" i="1"/>
  <c r="P4327" i="1"/>
  <c r="Q4327" i="1"/>
  <c r="R4327" i="1"/>
  <c r="S4327" i="1"/>
  <c r="T4327" i="1"/>
  <c r="U4327" i="1"/>
  <c r="V4327" i="1"/>
  <c r="W4327" i="1"/>
  <c r="X4327" i="1"/>
  <c r="Y4327" i="1"/>
  <c r="Z4327" i="1"/>
  <c r="A4328" i="1"/>
  <c r="B4328" i="1"/>
  <c r="C4328" i="1"/>
  <c r="D4328" i="1"/>
  <c r="E4328" i="1"/>
  <c r="F4328" i="1"/>
  <c r="G4328" i="1"/>
  <c r="I4328" i="1"/>
  <c r="J4328" i="1"/>
  <c r="K4328" i="1"/>
  <c r="L4328" i="1"/>
  <c r="M4328" i="1"/>
  <c r="N4328" i="1"/>
  <c r="O4328" i="1"/>
  <c r="P4328" i="1"/>
  <c r="Q4328" i="1"/>
  <c r="R4328" i="1"/>
  <c r="S4328" i="1"/>
  <c r="T4328" i="1"/>
  <c r="U4328" i="1"/>
  <c r="V4328" i="1"/>
  <c r="W4328" i="1"/>
  <c r="X4328" i="1"/>
  <c r="Y4328" i="1"/>
  <c r="Z4328" i="1"/>
  <c r="A4329" i="1"/>
  <c r="B4329" i="1"/>
  <c r="C4329" i="1"/>
  <c r="D4329" i="1"/>
  <c r="E4329" i="1"/>
  <c r="F4329" i="1"/>
  <c r="G4329" i="1"/>
  <c r="I4329" i="1"/>
  <c r="J4329" i="1"/>
  <c r="K4329" i="1"/>
  <c r="L4329" i="1"/>
  <c r="M4329" i="1"/>
  <c r="N4329" i="1"/>
  <c r="O4329" i="1"/>
  <c r="P4329" i="1"/>
  <c r="Q4329" i="1"/>
  <c r="R4329" i="1"/>
  <c r="S4329" i="1"/>
  <c r="T4329" i="1"/>
  <c r="U4329" i="1"/>
  <c r="V4329" i="1"/>
  <c r="W4329" i="1"/>
  <c r="X4329" i="1"/>
  <c r="Y4329" i="1"/>
  <c r="Z4329" i="1"/>
  <c r="A4330" i="1"/>
  <c r="B4330" i="1"/>
  <c r="C4330" i="1"/>
  <c r="D4330" i="1"/>
  <c r="E4330" i="1"/>
  <c r="F4330" i="1"/>
  <c r="G4330" i="1"/>
  <c r="I4330" i="1"/>
  <c r="J4330" i="1"/>
  <c r="K4330" i="1"/>
  <c r="L4330" i="1"/>
  <c r="M4330" i="1"/>
  <c r="N4330" i="1"/>
  <c r="O4330" i="1"/>
  <c r="P4330" i="1"/>
  <c r="Q4330" i="1"/>
  <c r="R4330" i="1"/>
  <c r="S4330" i="1"/>
  <c r="T4330" i="1"/>
  <c r="U4330" i="1"/>
  <c r="V4330" i="1"/>
  <c r="W4330" i="1"/>
  <c r="X4330" i="1"/>
  <c r="Y4330" i="1"/>
  <c r="Z4330" i="1"/>
  <c r="A4331" i="1"/>
  <c r="B4331" i="1"/>
  <c r="C4331" i="1"/>
  <c r="D4331" i="1"/>
  <c r="E4331" i="1"/>
  <c r="F4331" i="1"/>
  <c r="G4331" i="1"/>
  <c r="I4331" i="1"/>
  <c r="J4331" i="1"/>
  <c r="K4331" i="1"/>
  <c r="L4331" i="1"/>
  <c r="M4331" i="1"/>
  <c r="N4331" i="1"/>
  <c r="O4331" i="1"/>
  <c r="P4331" i="1"/>
  <c r="Q4331" i="1"/>
  <c r="R4331" i="1"/>
  <c r="S4331" i="1"/>
  <c r="T4331" i="1"/>
  <c r="U4331" i="1"/>
  <c r="V4331" i="1"/>
  <c r="W4331" i="1"/>
  <c r="X4331" i="1"/>
  <c r="Y4331" i="1"/>
  <c r="Z4331" i="1"/>
  <c r="A4332" i="1"/>
  <c r="B4332" i="1"/>
  <c r="C4332" i="1"/>
  <c r="D4332" i="1"/>
  <c r="E4332" i="1"/>
  <c r="F4332" i="1"/>
  <c r="G4332" i="1"/>
  <c r="I4332" i="1"/>
  <c r="J4332" i="1"/>
  <c r="K4332" i="1"/>
  <c r="L4332" i="1"/>
  <c r="M4332" i="1"/>
  <c r="N4332" i="1"/>
  <c r="O4332" i="1"/>
  <c r="P4332" i="1"/>
  <c r="Q4332" i="1"/>
  <c r="R4332" i="1"/>
  <c r="S4332" i="1"/>
  <c r="T4332" i="1"/>
  <c r="U4332" i="1"/>
  <c r="V4332" i="1"/>
  <c r="W4332" i="1"/>
  <c r="X4332" i="1"/>
  <c r="Y4332" i="1"/>
  <c r="Z4332" i="1"/>
  <c r="A4333" i="1"/>
  <c r="B4333" i="1"/>
  <c r="C4333" i="1"/>
  <c r="D4333" i="1"/>
  <c r="E4333" i="1"/>
  <c r="F4333" i="1"/>
  <c r="G4333" i="1"/>
  <c r="I4333" i="1"/>
  <c r="J4333" i="1"/>
  <c r="K4333" i="1"/>
  <c r="L4333" i="1"/>
  <c r="M4333" i="1"/>
  <c r="N4333" i="1"/>
  <c r="O4333" i="1"/>
  <c r="P4333" i="1"/>
  <c r="Q4333" i="1"/>
  <c r="R4333" i="1"/>
  <c r="S4333" i="1"/>
  <c r="T4333" i="1"/>
  <c r="U4333" i="1"/>
  <c r="V4333" i="1"/>
  <c r="W4333" i="1"/>
  <c r="X4333" i="1"/>
  <c r="Y4333" i="1"/>
  <c r="Z4333" i="1"/>
  <c r="A4334" i="1"/>
  <c r="B4334" i="1"/>
  <c r="C4334" i="1"/>
  <c r="D4334" i="1"/>
  <c r="E4334" i="1"/>
  <c r="F4334" i="1"/>
  <c r="G4334" i="1"/>
  <c r="I4334" i="1"/>
  <c r="J4334" i="1"/>
  <c r="K4334" i="1"/>
  <c r="L4334" i="1"/>
  <c r="M4334" i="1"/>
  <c r="N4334" i="1"/>
  <c r="O4334" i="1"/>
  <c r="P4334" i="1"/>
  <c r="Q4334" i="1"/>
  <c r="R4334" i="1"/>
  <c r="S4334" i="1"/>
  <c r="T4334" i="1"/>
  <c r="U4334" i="1"/>
  <c r="V4334" i="1"/>
  <c r="W4334" i="1"/>
  <c r="X4334" i="1"/>
  <c r="Y4334" i="1"/>
  <c r="Z4334" i="1"/>
  <c r="A4335" i="1"/>
  <c r="B4335" i="1"/>
  <c r="C4335" i="1"/>
  <c r="D4335" i="1"/>
  <c r="E4335" i="1"/>
  <c r="F4335" i="1"/>
  <c r="G4335" i="1"/>
  <c r="I4335" i="1"/>
  <c r="J4335" i="1"/>
  <c r="K4335" i="1"/>
  <c r="L4335" i="1"/>
  <c r="M4335" i="1"/>
  <c r="N4335" i="1"/>
  <c r="O4335" i="1"/>
  <c r="P4335" i="1"/>
  <c r="Q4335" i="1"/>
  <c r="R4335" i="1"/>
  <c r="S4335" i="1"/>
  <c r="T4335" i="1"/>
  <c r="U4335" i="1"/>
  <c r="V4335" i="1"/>
  <c r="W4335" i="1"/>
  <c r="X4335" i="1"/>
  <c r="Y4335" i="1"/>
  <c r="Z4335" i="1"/>
  <c r="A4336" i="1"/>
  <c r="B4336" i="1"/>
  <c r="C4336" i="1"/>
  <c r="D4336" i="1"/>
  <c r="E4336" i="1"/>
  <c r="F4336" i="1"/>
  <c r="G4336" i="1"/>
  <c r="I4336" i="1"/>
  <c r="J4336" i="1"/>
  <c r="K4336" i="1"/>
  <c r="L4336" i="1"/>
  <c r="M4336" i="1"/>
  <c r="N4336" i="1"/>
  <c r="O4336" i="1"/>
  <c r="P4336" i="1"/>
  <c r="Q4336" i="1"/>
  <c r="R4336" i="1"/>
  <c r="S4336" i="1"/>
  <c r="T4336" i="1"/>
  <c r="U4336" i="1"/>
  <c r="V4336" i="1"/>
  <c r="W4336" i="1"/>
  <c r="X4336" i="1"/>
  <c r="Y4336" i="1"/>
  <c r="Z4336" i="1"/>
  <c r="A4337" i="1"/>
  <c r="B4337" i="1"/>
  <c r="C4337" i="1"/>
  <c r="D4337" i="1"/>
  <c r="E4337" i="1"/>
  <c r="F4337" i="1"/>
  <c r="G4337" i="1"/>
  <c r="I4337" i="1"/>
  <c r="J4337" i="1"/>
  <c r="K4337" i="1"/>
  <c r="L4337" i="1"/>
  <c r="M4337" i="1"/>
  <c r="N4337" i="1"/>
  <c r="O4337" i="1"/>
  <c r="P4337" i="1"/>
  <c r="Q4337" i="1"/>
  <c r="R4337" i="1"/>
  <c r="S4337" i="1"/>
  <c r="T4337" i="1"/>
  <c r="U4337" i="1"/>
  <c r="V4337" i="1"/>
  <c r="W4337" i="1"/>
  <c r="X4337" i="1"/>
  <c r="Y4337" i="1"/>
  <c r="Z4337" i="1"/>
  <c r="A4338" i="1"/>
  <c r="B4338" i="1"/>
  <c r="C4338" i="1"/>
  <c r="D4338" i="1"/>
  <c r="E4338" i="1"/>
  <c r="F4338" i="1"/>
  <c r="G4338" i="1"/>
  <c r="I4338" i="1"/>
  <c r="J4338" i="1"/>
  <c r="K4338" i="1"/>
  <c r="L4338" i="1"/>
  <c r="M4338" i="1"/>
  <c r="N4338" i="1"/>
  <c r="O4338" i="1"/>
  <c r="P4338" i="1"/>
  <c r="Q4338" i="1"/>
  <c r="R4338" i="1"/>
  <c r="S4338" i="1"/>
  <c r="T4338" i="1"/>
  <c r="U4338" i="1"/>
  <c r="V4338" i="1"/>
  <c r="W4338" i="1"/>
  <c r="X4338" i="1"/>
  <c r="Y4338" i="1"/>
  <c r="Z4338" i="1"/>
  <c r="A4339" i="1"/>
  <c r="B4339" i="1"/>
  <c r="C4339" i="1"/>
  <c r="D4339" i="1"/>
  <c r="E4339" i="1"/>
  <c r="F4339" i="1"/>
  <c r="G4339" i="1"/>
  <c r="I4339" i="1"/>
  <c r="J4339" i="1"/>
  <c r="K4339" i="1"/>
  <c r="L4339" i="1"/>
  <c r="M4339" i="1"/>
  <c r="N4339" i="1"/>
  <c r="O4339" i="1"/>
  <c r="P4339" i="1"/>
  <c r="Q4339" i="1"/>
  <c r="R4339" i="1"/>
  <c r="S4339" i="1"/>
  <c r="T4339" i="1"/>
  <c r="U4339" i="1"/>
  <c r="V4339" i="1"/>
  <c r="W4339" i="1"/>
  <c r="X4339" i="1"/>
  <c r="Y4339" i="1"/>
  <c r="Z4339" i="1"/>
  <c r="A4340" i="1"/>
  <c r="B4340" i="1"/>
  <c r="C4340" i="1"/>
  <c r="D4340" i="1"/>
  <c r="E4340" i="1"/>
  <c r="F4340" i="1"/>
  <c r="G4340" i="1"/>
  <c r="I4340" i="1"/>
  <c r="J4340" i="1"/>
  <c r="K4340" i="1"/>
  <c r="L4340" i="1"/>
  <c r="M4340" i="1"/>
  <c r="N4340" i="1"/>
  <c r="O4340" i="1"/>
  <c r="P4340" i="1"/>
  <c r="Q4340" i="1"/>
  <c r="R4340" i="1"/>
  <c r="S4340" i="1"/>
  <c r="T4340" i="1"/>
  <c r="U4340" i="1"/>
  <c r="V4340" i="1"/>
  <c r="W4340" i="1"/>
  <c r="X4340" i="1"/>
  <c r="Y4340" i="1"/>
  <c r="Z4340" i="1"/>
  <c r="A4341" i="1"/>
  <c r="B4341" i="1"/>
  <c r="C4341" i="1"/>
  <c r="D4341" i="1"/>
  <c r="E4341" i="1"/>
  <c r="F4341" i="1"/>
  <c r="G4341" i="1"/>
  <c r="I4341" i="1"/>
  <c r="J4341" i="1"/>
  <c r="K4341" i="1"/>
  <c r="L4341" i="1"/>
  <c r="M4341" i="1"/>
  <c r="N4341" i="1"/>
  <c r="O4341" i="1"/>
  <c r="P4341" i="1"/>
  <c r="Q4341" i="1"/>
  <c r="R4341" i="1"/>
  <c r="S4341" i="1"/>
  <c r="T4341" i="1"/>
  <c r="U4341" i="1"/>
  <c r="V4341" i="1"/>
  <c r="W4341" i="1"/>
  <c r="X4341" i="1"/>
  <c r="Y4341" i="1"/>
  <c r="Z4341" i="1"/>
  <c r="A4342" i="1"/>
  <c r="B4342" i="1"/>
  <c r="C4342" i="1"/>
  <c r="D4342" i="1"/>
  <c r="E4342" i="1"/>
  <c r="F4342" i="1"/>
  <c r="G4342" i="1"/>
  <c r="I4342" i="1"/>
  <c r="J4342" i="1"/>
  <c r="K4342" i="1"/>
  <c r="L4342" i="1"/>
  <c r="M4342" i="1"/>
  <c r="N4342" i="1"/>
  <c r="O4342" i="1"/>
  <c r="P4342" i="1"/>
  <c r="Q4342" i="1"/>
  <c r="R4342" i="1"/>
  <c r="S4342" i="1"/>
  <c r="T4342" i="1"/>
  <c r="U4342" i="1"/>
  <c r="V4342" i="1"/>
  <c r="W4342" i="1"/>
  <c r="X4342" i="1"/>
  <c r="Y4342" i="1"/>
  <c r="Z4342" i="1"/>
  <c r="A4343" i="1"/>
  <c r="B4343" i="1"/>
  <c r="C4343" i="1"/>
  <c r="D4343" i="1"/>
  <c r="E4343" i="1"/>
  <c r="F4343" i="1"/>
  <c r="G4343" i="1"/>
  <c r="I4343" i="1"/>
  <c r="J4343" i="1"/>
  <c r="K4343" i="1"/>
  <c r="L4343" i="1"/>
  <c r="M4343" i="1"/>
  <c r="N4343" i="1"/>
  <c r="O4343" i="1"/>
  <c r="P4343" i="1"/>
  <c r="Q4343" i="1"/>
  <c r="R4343" i="1"/>
  <c r="S4343" i="1"/>
  <c r="T4343" i="1"/>
  <c r="U4343" i="1"/>
  <c r="V4343" i="1"/>
  <c r="W4343" i="1"/>
  <c r="X4343" i="1"/>
  <c r="Y4343" i="1"/>
  <c r="Z4343" i="1"/>
  <c r="A4344" i="1"/>
  <c r="B4344" i="1"/>
  <c r="C4344" i="1"/>
  <c r="D4344" i="1"/>
  <c r="E4344" i="1"/>
  <c r="F4344" i="1"/>
  <c r="G4344" i="1"/>
  <c r="I4344" i="1"/>
  <c r="J4344" i="1"/>
  <c r="K4344" i="1"/>
  <c r="L4344" i="1"/>
  <c r="M4344" i="1"/>
  <c r="N4344" i="1"/>
  <c r="O4344" i="1"/>
  <c r="P4344" i="1"/>
  <c r="Q4344" i="1"/>
  <c r="R4344" i="1"/>
  <c r="S4344" i="1"/>
  <c r="T4344" i="1"/>
  <c r="U4344" i="1"/>
  <c r="V4344" i="1"/>
  <c r="W4344" i="1"/>
  <c r="X4344" i="1"/>
  <c r="Y4344" i="1"/>
  <c r="Z4344" i="1"/>
  <c r="A4345" i="1"/>
  <c r="B4345" i="1"/>
  <c r="C4345" i="1"/>
  <c r="D4345" i="1"/>
  <c r="E4345" i="1"/>
  <c r="F4345" i="1"/>
  <c r="G4345" i="1"/>
  <c r="I4345" i="1"/>
  <c r="J4345" i="1"/>
  <c r="K4345" i="1"/>
  <c r="L4345" i="1"/>
  <c r="M4345" i="1"/>
  <c r="N4345" i="1"/>
  <c r="O4345" i="1"/>
  <c r="P4345" i="1"/>
  <c r="Q4345" i="1"/>
  <c r="R4345" i="1"/>
  <c r="S4345" i="1"/>
  <c r="T4345" i="1"/>
  <c r="U4345" i="1"/>
  <c r="V4345" i="1"/>
  <c r="W4345" i="1"/>
  <c r="X4345" i="1"/>
  <c r="Y4345" i="1"/>
  <c r="Z4345" i="1"/>
  <c r="A4346" i="1"/>
  <c r="B4346" i="1"/>
  <c r="C4346" i="1"/>
  <c r="D4346" i="1"/>
  <c r="E4346" i="1"/>
  <c r="F4346" i="1"/>
  <c r="G4346" i="1"/>
  <c r="I4346" i="1"/>
  <c r="J4346" i="1"/>
  <c r="K4346" i="1"/>
  <c r="L4346" i="1"/>
  <c r="M4346" i="1"/>
  <c r="N4346" i="1"/>
  <c r="O4346" i="1"/>
  <c r="P4346" i="1"/>
  <c r="Q4346" i="1"/>
  <c r="R4346" i="1"/>
  <c r="S4346" i="1"/>
  <c r="T4346" i="1"/>
  <c r="U4346" i="1"/>
  <c r="V4346" i="1"/>
  <c r="W4346" i="1"/>
  <c r="X4346" i="1"/>
  <c r="Y4346" i="1"/>
  <c r="Z4346" i="1"/>
  <c r="A4347" i="1"/>
  <c r="B4347" i="1"/>
  <c r="C4347" i="1"/>
  <c r="D4347" i="1"/>
  <c r="E4347" i="1"/>
  <c r="F4347" i="1"/>
  <c r="G4347" i="1"/>
  <c r="I4347" i="1"/>
  <c r="J4347" i="1"/>
  <c r="K4347" i="1"/>
  <c r="L4347" i="1"/>
  <c r="M4347" i="1"/>
  <c r="N4347" i="1"/>
  <c r="O4347" i="1"/>
  <c r="P4347" i="1"/>
  <c r="Q4347" i="1"/>
  <c r="R4347" i="1"/>
  <c r="S4347" i="1"/>
  <c r="T4347" i="1"/>
  <c r="U4347" i="1"/>
  <c r="V4347" i="1"/>
  <c r="W4347" i="1"/>
  <c r="X4347" i="1"/>
  <c r="Y4347" i="1"/>
  <c r="Z4347" i="1"/>
  <c r="A4348" i="1"/>
  <c r="B4348" i="1"/>
  <c r="C4348" i="1"/>
  <c r="D4348" i="1"/>
  <c r="E4348" i="1"/>
  <c r="F4348" i="1"/>
  <c r="G4348" i="1"/>
  <c r="I4348" i="1"/>
  <c r="J4348" i="1"/>
  <c r="K4348" i="1"/>
  <c r="L4348" i="1"/>
  <c r="M4348" i="1"/>
  <c r="N4348" i="1"/>
  <c r="O4348" i="1"/>
  <c r="P4348" i="1"/>
  <c r="Q4348" i="1"/>
  <c r="R4348" i="1"/>
  <c r="S4348" i="1"/>
  <c r="T4348" i="1"/>
  <c r="U4348" i="1"/>
  <c r="V4348" i="1"/>
  <c r="W4348" i="1"/>
  <c r="X4348" i="1"/>
  <c r="Y4348" i="1"/>
  <c r="Z4348" i="1"/>
  <c r="A4349" i="1"/>
  <c r="B4349" i="1"/>
  <c r="C4349" i="1"/>
  <c r="D4349" i="1"/>
  <c r="E4349" i="1"/>
  <c r="F4349" i="1"/>
  <c r="G4349" i="1"/>
  <c r="I4349" i="1"/>
  <c r="J4349" i="1"/>
  <c r="K4349" i="1"/>
  <c r="L4349" i="1"/>
  <c r="M4349" i="1"/>
  <c r="N4349" i="1"/>
  <c r="O4349" i="1"/>
  <c r="P4349" i="1"/>
  <c r="Q4349" i="1"/>
  <c r="R4349" i="1"/>
  <c r="S4349" i="1"/>
  <c r="T4349" i="1"/>
  <c r="U4349" i="1"/>
  <c r="V4349" i="1"/>
  <c r="W4349" i="1"/>
  <c r="X4349" i="1"/>
  <c r="Y4349" i="1"/>
  <c r="Z4349" i="1"/>
  <c r="A4350" i="1"/>
  <c r="B4350" i="1"/>
  <c r="C4350" i="1"/>
  <c r="D4350" i="1"/>
  <c r="E4350" i="1"/>
  <c r="F4350" i="1"/>
  <c r="G4350" i="1"/>
  <c r="I4350" i="1"/>
  <c r="J4350" i="1"/>
  <c r="K4350" i="1"/>
  <c r="L4350" i="1"/>
  <c r="M4350" i="1"/>
  <c r="N4350" i="1"/>
  <c r="O4350" i="1"/>
  <c r="P4350" i="1"/>
  <c r="Q4350" i="1"/>
  <c r="R4350" i="1"/>
  <c r="S4350" i="1"/>
  <c r="T4350" i="1"/>
  <c r="U4350" i="1"/>
  <c r="V4350" i="1"/>
  <c r="W4350" i="1"/>
  <c r="X4350" i="1"/>
  <c r="Y4350" i="1"/>
  <c r="Z4350" i="1"/>
  <c r="A4351" i="1"/>
  <c r="B4351" i="1"/>
  <c r="C4351" i="1"/>
  <c r="D4351" i="1"/>
  <c r="E4351" i="1"/>
  <c r="F4351" i="1"/>
  <c r="G4351" i="1"/>
  <c r="I4351" i="1"/>
  <c r="J4351" i="1"/>
  <c r="K4351" i="1"/>
  <c r="L4351" i="1"/>
  <c r="M4351" i="1"/>
  <c r="N4351" i="1"/>
  <c r="O4351" i="1"/>
  <c r="P4351" i="1"/>
  <c r="Q4351" i="1"/>
  <c r="R4351" i="1"/>
  <c r="S4351" i="1"/>
  <c r="T4351" i="1"/>
  <c r="U4351" i="1"/>
  <c r="V4351" i="1"/>
  <c r="W4351" i="1"/>
  <c r="X4351" i="1"/>
  <c r="Y4351" i="1"/>
  <c r="Z4351" i="1"/>
  <c r="A4352" i="1"/>
  <c r="B4352" i="1"/>
  <c r="C4352" i="1"/>
  <c r="D4352" i="1"/>
  <c r="E4352" i="1"/>
  <c r="F4352" i="1"/>
  <c r="G4352" i="1"/>
  <c r="I4352" i="1"/>
  <c r="J4352" i="1"/>
  <c r="K4352" i="1"/>
  <c r="L4352" i="1"/>
  <c r="M4352" i="1"/>
  <c r="N4352" i="1"/>
  <c r="O4352" i="1"/>
  <c r="P4352" i="1"/>
  <c r="Q4352" i="1"/>
  <c r="R4352" i="1"/>
  <c r="S4352" i="1"/>
  <c r="T4352" i="1"/>
  <c r="U4352" i="1"/>
  <c r="V4352" i="1"/>
  <c r="W4352" i="1"/>
  <c r="X4352" i="1"/>
  <c r="Y4352" i="1"/>
  <c r="Z4352" i="1"/>
  <c r="A4353" i="1"/>
  <c r="B4353" i="1"/>
  <c r="C4353" i="1"/>
  <c r="D4353" i="1"/>
  <c r="E4353" i="1"/>
  <c r="F4353" i="1"/>
  <c r="G4353" i="1"/>
  <c r="I4353" i="1"/>
  <c r="J4353" i="1"/>
  <c r="K4353" i="1"/>
  <c r="L4353" i="1"/>
  <c r="M4353" i="1"/>
  <c r="N4353" i="1"/>
  <c r="O4353" i="1"/>
  <c r="P4353" i="1"/>
  <c r="Q4353" i="1"/>
  <c r="R4353" i="1"/>
  <c r="S4353" i="1"/>
  <c r="T4353" i="1"/>
  <c r="U4353" i="1"/>
  <c r="V4353" i="1"/>
  <c r="W4353" i="1"/>
  <c r="X4353" i="1"/>
  <c r="Y4353" i="1"/>
  <c r="Z4353" i="1"/>
  <c r="A4354" i="1"/>
  <c r="B4354" i="1"/>
  <c r="C4354" i="1"/>
  <c r="D4354" i="1"/>
  <c r="E4354" i="1"/>
  <c r="F4354" i="1"/>
  <c r="G4354" i="1"/>
  <c r="I4354" i="1"/>
  <c r="J4354" i="1"/>
  <c r="K4354" i="1"/>
  <c r="L4354" i="1"/>
  <c r="M4354" i="1"/>
  <c r="N4354" i="1"/>
  <c r="O4354" i="1"/>
  <c r="P4354" i="1"/>
  <c r="Q4354" i="1"/>
  <c r="R4354" i="1"/>
  <c r="S4354" i="1"/>
  <c r="T4354" i="1"/>
  <c r="U4354" i="1"/>
  <c r="V4354" i="1"/>
  <c r="W4354" i="1"/>
  <c r="X4354" i="1"/>
  <c r="Y4354" i="1"/>
  <c r="Z4354" i="1"/>
  <c r="A4355" i="1"/>
  <c r="B4355" i="1"/>
  <c r="C4355" i="1"/>
  <c r="D4355" i="1"/>
  <c r="E4355" i="1"/>
  <c r="F4355" i="1"/>
  <c r="G4355" i="1"/>
  <c r="I4355" i="1"/>
  <c r="J4355" i="1"/>
  <c r="K4355" i="1"/>
  <c r="L4355" i="1"/>
  <c r="M4355" i="1"/>
  <c r="N4355" i="1"/>
  <c r="O4355" i="1"/>
  <c r="P4355" i="1"/>
  <c r="Q4355" i="1"/>
  <c r="R4355" i="1"/>
  <c r="S4355" i="1"/>
  <c r="T4355" i="1"/>
  <c r="U4355" i="1"/>
  <c r="V4355" i="1"/>
  <c r="W4355" i="1"/>
  <c r="X4355" i="1"/>
  <c r="Y4355" i="1"/>
  <c r="Z4355" i="1"/>
  <c r="A4356" i="1"/>
  <c r="B4356" i="1"/>
  <c r="C4356" i="1"/>
  <c r="D4356" i="1"/>
  <c r="E4356" i="1"/>
  <c r="F4356" i="1"/>
  <c r="G4356" i="1"/>
  <c r="I4356" i="1"/>
  <c r="J4356" i="1"/>
  <c r="K4356" i="1"/>
  <c r="L4356" i="1"/>
  <c r="M4356" i="1"/>
  <c r="N4356" i="1"/>
  <c r="O4356" i="1"/>
  <c r="P4356" i="1"/>
  <c r="Q4356" i="1"/>
  <c r="R4356" i="1"/>
  <c r="S4356" i="1"/>
  <c r="T4356" i="1"/>
  <c r="U4356" i="1"/>
  <c r="V4356" i="1"/>
  <c r="W4356" i="1"/>
  <c r="X4356" i="1"/>
  <c r="Y4356" i="1"/>
  <c r="Z4356" i="1"/>
  <c r="A4357" i="1"/>
  <c r="B4357" i="1"/>
  <c r="C4357" i="1"/>
  <c r="D4357" i="1"/>
  <c r="E4357" i="1"/>
  <c r="F4357" i="1"/>
  <c r="G4357" i="1"/>
  <c r="I4357" i="1"/>
  <c r="J4357" i="1"/>
  <c r="K4357" i="1"/>
  <c r="L4357" i="1"/>
  <c r="M4357" i="1"/>
  <c r="N4357" i="1"/>
  <c r="O4357" i="1"/>
  <c r="P4357" i="1"/>
  <c r="Q4357" i="1"/>
  <c r="R4357" i="1"/>
  <c r="S4357" i="1"/>
  <c r="T4357" i="1"/>
  <c r="U4357" i="1"/>
  <c r="V4357" i="1"/>
  <c r="W4357" i="1"/>
  <c r="X4357" i="1"/>
  <c r="Y4357" i="1"/>
  <c r="Z4357" i="1"/>
  <c r="A4358" i="1"/>
  <c r="B4358" i="1"/>
  <c r="C4358" i="1"/>
  <c r="D4358" i="1"/>
  <c r="E4358" i="1"/>
  <c r="F4358" i="1"/>
  <c r="G4358" i="1"/>
  <c r="I4358" i="1"/>
  <c r="J4358" i="1"/>
  <c r="K4358" i="1"/>
  <c r="L4358" i="1"/>
  <c r="M4358" i="1"/>
  <c r="N4358" i="1"/>
  <c r="O4358" i="1"/>
  <c r="P4358" i="1"/>
  <c r="Q4358" i="1"/>
  <c r="R4358" i="1"/>
  <c r="S4358" i="1"/>
  <c r="T4358" i="1"/>
  <c r="U4358" i="1"/>
  <c r="V4358" i="1"/>
  <c r="W4358" i="1"/>
  <c r="X4358" i="1"/>
  <c r="Y4358" i="1"/>
  <c r="Z4358" i="1"/>
  <c r="A4359" i="1"/>
  <c r="B4359" i="1"/>
  <c r="C4359" i="1"/>
  <c r="D4359" i="1"/>
  <c r="E4359" i="1"/>
  <c r="F4359" i="1"/>
  <c r="G4359" i="1"/>
  <c r="I4359" i="1"/>
  <c r="J4359" i="1"/>
  <c r="K4359" i="1"/>
  <c r="L4359" i="1"/>
  <c r="M4359" i="1"/>
  <c r="N4359" i="1"/>
  <c r="O4359" i="1"/>
  <c r="P4359" i="1"/>
  <c r="Q4359" i="1"/>
  <c r="R4359" i="1"/>
  <c r="S4359" i="1"/>
  <c r="T4359" i="1"/>
  <c r="U4359" i="1"/>
  <c r="V4359" i="1"/>
  <c r="W4359" i="1"/>
  <c r="X4359" i="1"/>
  <c r="Y4359" i="1"/>
  <c r="Z4359" i="1"/>
  <c r="A4360" i="1"/>
  <c r="B4360" i="1"/>
  <c r="C4360" i="1"/>
  <c r="D4360" i="1"/>
  <c r="E4360" i="1"/>
  <c r="F4360" i="1"/>
  <c r="G4360" i="1"/>
  <c r="I4360" i="1"/>
  <c r="J4360" i="1"/>
  <c r="K4360" i="1"/>
  <c r="L4360" i="1"/>
  <c r="M4360" i="1"/>
  <c r="N4360" i="1"/>
  <c r="O4360" i="1"/>
  <c r="P4360" i="1"/>
  <c r="Q4360" i="1"/>
  <c r="R4360" i="1"/>
  <c r="S4360" i="1"/>
  <c r="T4360" i="1"/>
  <c r="U4360" i="1"/>
  <c r="V4360" i="1"/>
  <c r="W4360" i="1"/>
  <c r="X4360" i="1"/>
  <c r="Y4360" i="1"/>
  <c r="Z4360" i="1"/>
  <c r="A4361" i="1"/>
  <c r="B4361" i="1"/>
  <c r="C4361" i="1"/>
  <c r="D4361" i="1"/>
  <c r="E4361" i="1"/>
  <c r="F4361" i="1"/>
  <c r="G4361" i="1"/>
  <c r="I4361" i="1"/>
  <c r="J4361" i="1"/>
  <c r="K4361" i="1"/>
  <c r="L4361" i="1"/>
  <c r="M4361" i="1"/>
  <c r="N4361" i="1"/>
  <c r="O4361" i="1"/>
  <c r="P4361" i="1"/>
  <c r="Q4361" i="1"/>
  <c r="R4361" i="1"/>
  <c r="S4361" i="1"/>
  <c r="T4361" i="1"/>
  <c r="U4361" i="1"/>
  <c r="V4361" i="1"/>
  <c r="W4361" i="1"/>
  <c r="X4361" i="1"/>
  <c r="Y4361" i="1"/>
  <c r="Z4361" i="1"/>
  <c r="A4362" i="1"/>
  <c r="B4362" i="1"/>
  <c r="C4362" i="1"/>
  <c r="D4362" i="1"/>
  <c r="E4362" i="1"/>
  <c r="F4362" i="1"/>
  <c r="G4362" i="1"/>
  <c r="I4362" i="1"/>
  <c r="J4362" i="1"/>
  <c r="K4362" i="1"/>
  <c r="L4362" i="1"/>
  <c r="M4362" i="1"/>
  <c r="N4362" i="1"/>
  <c r="O4362" i="1"/>
  <c r="P4362" i="1"/>
  <c r="Q4362" i="1"/>
  <c r="R4362" i="1"/>
  <c r="S4362" i="1"/>
  <c r="T4362" i="1"/>
  <c r="U4362" i="1"/>
  <c r="V4362" i="1"/>
  <c r="W4362" i="1"/>
  <c r="X4362" i="1"/>
  <c r="Y4362" i="1"/>
  <c r="Z4362" i="1"/>
  <c r="A4363" i="1"/>
  <c r="B4363" i="1"/>
  <c r="C4363" i="1"/>
  <c r="D4363" i="1"/>
  <c r="E4363" i="1"/>
  <c r="F4363" i="1"/>
  <c r="G4363" i="1"/>
  <c r="I4363" i="1"/>
  <c r="J4363" i="1"/>
  <c r="K4363" i="1"/>
  <c r="L4363" i="1"/>
  <c r="M4363" i="1"/>
  <c r="N4363" i="1"/>
  <c r="O4363" i="1"/>
  <c r="P4363" i="1"/>
  <c r="Q4363" i="1"/>
  <c r="R4363" i="1"/>
  <c r="S4363" i="1"/>
  <c r="T4363" i="1"/>
  <c r="U4363" i="1"/>
  <c r="V4363" i="1"/>
  <c r="W4363" i="1"/>
  <c r="X4363" i="1"/>
  <c r="Y4363" i="1"/>
  <c r="Z4363" i="1"/>
  <c r="A4364" i="1"/>
  <c r="B4364" i="1"/>
  <c r="C4364" i="1"/>
  <c r="D4364" i="1"/>
  <c r="E4364" i="1"/>
  <c r="F4364" i="1"/>
  <c r="G4364" i="1"/>
  <c r="I4364" i="1"/>
  <c r="J4364" i="1"/>
  <c r="K4364" i="1"/>
  <c r="L4364" i="1"/>
  <c r="M4364" i="1"/>
  <c r="N4364" i="1"/>
  <c r="O4364" i="1"/>
  <c r="P4364" i="1"/>
  <c r="Q4364" i="1"/>
  <c r="R4364" i="1"/>
  <c r="S4364" i="1"/>
  <c r="T4364" i="1"/>
  <c r="U4364" i="1"/>
  <c r="V4364" i="1"/>
  <c r="W4364" i="1"/>
  <c r="X4364" i="1"/>
  <c r="Y4364" i="1"/>
  <c r="Z4364" i="1"/>
  <c r="A4365" i="1"/>
  <c r="B4365" i="1"/>
  <c r="C4365" i="1"/>
  <c r="D4365" i="1"/>
  <c r="E4365" i="1"/>
  <c r="F4365" i="1"/>
  <c r="G4365" i="1"/>
  <c r="I4365" i="1"/>
  <c r="J4365" i="1"/>
  <c r="K4365" i="1"/>
  <c r="L4365" i="1"/>
  <c r="M4365" i="1"/>
  <c r="N4365" i="1"/>
  <c r="O4365" i="1"/>
  <c r="P4365" i="1"/>
  <c r="Q4365" i="1"/>
  <c r="R4365" i="1"/>
  <c r="S4365" i="1"/>
  <c r="T4365" i="1"/>
  <c r="U4365" i="1"/>
  <c r="V4365" i="1"/>
  <c r="W4365" i="1"/>
  <c r="X4365" i="1"/>
  <c r="Y4365" i="1"/>
  <c r="Z4365" i="1"/>
  <c r="A4366" i="1"/>
  <c r="B4366" i="1"/>
  <c r="C4366" i="1"/>
  <c r="D4366" i="1"/>
  <c r="E4366" i="1"/>
  <c r="F4366" i="1"/>
  <c r="G4366" i="1"/>
  <c r="I4366" i="1"/>
  <c r="J4366" i="1"/>
  <c r="K4366" i="1"/>
  <c r="L4366" i="1"/>
  <c r="M4366" i="1"/>
  <c r="N4366" i="1"/>
  <c r="O4366" i="1"/>
  <c r="P4366" i="1"/>
  <c r="Q4366" i="1"/>
  <c r="R4366" i="1"/>
  <c r="S4366" i="1"/>
  <c r="T4366" i="1"/>
  <c r="U4366" i="1"/>
  <c r="V4366" i="1"/>
  <c r="W4366" i="1"/>
  <c r="X4366" i="1"/>
  <c r="Y4366" i="1"/>
  <c r="Z4366" i="1"/>
  <c r="A4367" i="1"/>
  <c r="B4367" i="1"/>
  <c r="C4367" i="1"/>
  <c r="D4367" i="1"/>
  <c r="E4367" i="1"/>
  <c r="F4367" i="1"/>
  <c r="G4367" i="1"/>
  <c r="I4367" i="1"/>
  <c r="J4367" i="1"/>
  <c r="K4367" i="1"/>
  <c r="L4367" i="1"/>
  <c r="M4367" i="1"/>
  <c r="N4367" i="1"/>
  <c r="O4367" i="1"/>
  <c r="P4367" i="1"/>
  <c r="Q4367" i="1"/>
  <c r="R4367" i="1"/>
  <c r="S4367" i="1"/>
  <c r="T4367" i="1"/>
  <c r="U4367" i="1"/>
  <c r="V4367" i="1"/>
  <c r="W4367" i="1"/>
  <c r="X4367" i="1"/>
  <c r="Y4367" i="1"/>
  <c r="Z4367" i="1"/>
  <c r="A4368" i="1"/>
  <c r="B4368" i="1"/>
  <c r="C4368" i="1"/>
  <c r="D4368" i="1"/>
  <c r="E4368" i="1"/>
  <c r="F4368" i="1"/>
  <c r="G4368" i="1"/>
  <c r="I4368" i="1"/>
  <c r="J4368" i="1"/>
  <c r="K4368" i="1"/>
  <c r="L4368" i="1"/>
  <c r="M4368" i="1"/>
  <c r="N4368" i="1"/>
  <c r="O4368" i="1"/>
  <c r="P4368" i="1"/>
  <c r="Q4368" i="1"/>
  <c r="R4368" i="1"/>
  <c r="S4368" i="1"/>
  <c r="T4368" i="1"/>
  <c r="U4368" i="1"/>
  <c r="V4368" i="1"/>
  <c r="W4368" i="1"/>
  <c r="X4368" i="1"/>
  <c r="Y4368" i="1"/>
  <c r="Z4368" i="1"/>
  <c r="A4369" i="1"/>
  <c r="B4369" i="1"/>
  <c r="C4369" i="1"/>
  <c r="D4369" i="1"/>
  <c r="E4369" i="1"/>
  <c r="F4369" i="1"/>
  <c r="G4369" i="1"/>
  <c r="I4369" i="1"/>
  <c r="J4369" i="1"/>
  <c r="K4369" i="1"/>
  <c r="L4369" i="1"/>
  <c r="M4369" i="1"/>
  <c r="N4369" i="1"/>
  <c r="O4369" i="1"/>
  <c r="P4369" i="1"/>
  <c r="Q4369" i="1"/>
  <c r="R4369" i="1"/>
  <c r="S4369" i="1"/>
  <c r="T4369" i="1"/>
  <c r="U4369" i="1"/>
  <c r="V4369" i="1"/>
  <c r="W4369" i="1"/>
  <c r="X4369" i="1"/>
  <c r="Y4369" i="1"/>
  <c r="Z4369" i="1"/>
  <c r="A4370" i="1"/>
  <c r="B4370" i="1"/>
  <c r="C4370" i="1"/>
  <c r="D4370" i="1"/>
  <c r="E4370" i="1"/>
  <c r="F4370" i="1"/>
  <c r="G4370" i="1"/>
  <c r="I4370" i="1"/>
  <c r="J4370" i="1"/>
  <c r="K4370" i="1"/>
  <c r="L4370" i="1"/>
  <c r="M4370" i="1"/>
  <c r="N4370" i="1"/>
  <c r="O4370" i="1"/>
  <c r="P4370" i="1"/>
  <c r="Q4370" i="1"/>
  <c r="R4370" i="1"/>
  <c r="S4370" i="1"/>
  <c r="T4370" i="1"/>
  <c r="U4370" i="1"/>
  <c r="V4370" i="1"/>
  <c r="W4370" i="1"/>
  <c r="X4370" i="1"/>
  <c r="Y4370" i="1"/>
  <c r="Z4370" i="1"/>
  <c r="A4371" i="1"/>
  <c r="B4371" i="1"/>
  <c r="C4371" i="1"/>
  <c r="D4371" i="1"/>
  <c r="E4371" i="1"/>
  <c r="F4371" i="1"/>
  <c r="G4371" i="1"/>
  <c r="I4371" i="1"/>
  <c r="J4371" i="1"/>
  <c r="K4371" i="1"/>
  <c r="L4371" i="1"/>
  <c r="M4371" i="1"/>
  <c r="N4371" i="1"/>
  <c r="O4371" i="1"/>
  <c r="P4371" i="1"/>
  <c r="Q4371" i="1"/>
  <c r="R4371" i="1"/>
  <c r="S4371" i="1"/>
  <c r="T4371" i="1"/>
  <c r="U4371" i="1"/>
  <c r="V4371" i="1"/>
  <c r="W4371" i="1"/>
  <c r="X4371" i="1"/>
  <c r="Y4371" i="1"/>
  <c r="Z4371" i="1"/>
  <c r="A4372" i="1"/>
  <c r="B4372" i="1"/>
  <c r="C4372" i="1"/>
  <c r="D4372" i="1"/>
  <c r="E4372" i="1"/>
  <c r="F4372" i="1"/>
  <c r="G4372" i="1"/>
  <c r="I4372" i="1"/>
  <c r="J4372" i="1"/>
  <c r="K4372" i="1"/>
  <c r="L4372" i="1"/>
  <c r="M4372" i="1"/>
  <c r="N4372" i="1"/>
  <c r="O4372" i="1"/>
  <c r="P4372" i="1"/>
  <c r="Q4372" i="1"/>
  <c r="R4372" i="1"/>
  <c r="S4372" i="1"/>
  <c r="T4372" i="1"/>
  <c r="U4372" i="1"/>
  <c r="V4372" i="1"/>
  <c r="W4372" i="1"/>
  <c r="X4372" i="1"/>
  <c r="Y4372" i="1"/>
  <c r="Z4372" i="1"/>
  <c r="A4373" i="1"/>
  <c r="B4373" i="1"/>
  <c r="C4373" i="1"/>
  <c r="D4373" i="1"/>
  <c r="E4373" i="1"/>
  <c r="F4373" i="1"/>
  <c r="G4373" i="1"/>
  <c r="I4373" i="1"/>
  <c r="J4373" i="1"/>
  <c r="K4373" i="1"/>
  <c r="L4373" i="1"/>
  <c r="M4373" i="1"/>
  <c r="N4373" i="1"/>
  <c r="O4373" i="1"/>
  <c r="P4373" i="1"/>
  <c r="Q4373" i="1"/>
  <c r="R4373" i="1"/>
  <c r="S4373" i="1"/>
  <c r="T4373" i="1"/>
  <c r="U4373" i="1"/>
  <c r="V4373" i="1"/>
  <c r="W4373" i="1"/>
  <c r="X4373" i="1"/>
  <c r="Y4373" i="1"/>
  <c r="Z4373" i="1"/>
  <c r="A4374" i="1"/>
  <c r="B4374" i="1"/>
  <c r="C4374" i="1"/>
  <c r="D4374" i="1"/>
  <c r="E4374" i="1"/>
  <c r="F4374" i="1"/>
  <c r="G4374" i="1"/>
  <c r="I4374" i="1"/>
  <c r="J4374" i="1"/>
  <c r="K4374" i="1"/>
  <c r="L4374" i="1"/>
  <c r="M4374" i="1"/>
  <c r="N4374" i="1"/>
  <c r="O4374" i="1"/>
  <c r="P4374" i="1"/>
  <c r="Q4374" i="1"/>
  <c r="R4374" i="1"/>
  <c r="S4374" i="1"/>
  <c r="T4374" i="1"/>
  <c r="U4374" i="1"/>
  <c r="V4374" i="1"/>
  <c r="W4374" i="1"/>
  <c r="X4374" i="1"/>
  <c r="Y4374" i="1"/>
  <c r="Z4374" i="1"/>
  <c r="A4375" i="1"/>
  <c r="B4375" i="1"/>
  <c r="C4375" i="1"/>
  <c r="D4375" i="1"/>
  <c r="E4375" i="1"/>
  <c r="F4375" i="1"/>
  <c r="G4375" i="1"/>
  <c r="I4375" i="1"/>
  <c r="J4375" i="1"/>
  <c r="K4375" i="1"/>
  <c r="L4375" i="1"/>
  <c r="M4375" i="1"/>
  <c r="N4375" i="1"/>
  <c r="O4375" i="1"/>
  <c r="P4375" i="1"/>
  <c r="Q4375" i="1"/>
  <c r="R4375" i="1"/>
  <c r="S4375" i="1"/>
  <c r="T4375" i="1"/>
  <c r="U4375" i="1"/>
  <c r="V4375" i="1"/>
  <c r="W4375" i="1"/>
  <c r="X4375" i="1"/>
  <c r="Y4375" i="1"/>
  <c r="Z4375" i="1"/>
  <c r="A4376" i="1"/>
  <c r="B4376" i="1"/>
  <c r="C4376" i="1"/>
  <c r="D4376" i="1"/>
  <c r="E4376" i="1"/>
  <c r="F4376" i="1"/>
  <c r="G4376" i="1"/>
  <c r="I4376" i="1"/>
  <c r="J4376" i="1"/>
  <c r="K4376" i="1"/>
  <c r="L4376" i="1"/>
  <c r="M4376" i="1"/>
  <c r="N4376" i="1"/>
  <c r="O4376" i="1"/>
  <c r="P4376" i="1"/>
  <c r="Q4376" i="1"/>
  <c r="R4376" i="1"/>
  <c r="S4376" i="1"/>
  <c r="T4376" i="1"/>
  <c r="U4376" i="1"/>
  <c r="V4376" i="1"/>
  <c r="W4376" i="1"/>
  <c r="X4376" i="1"/>
  <c r="Y4376" i="1"/>
  <c r="Z4376" i="1"/>
  <c r="A4377" i="1"/>
  <c r="B4377" i="1"/>
  <c r="C4377" i="1"/>
  <c r="D4377" i="1"/>
  <c r="E4377" i="1"/>
  <c r="F4377" i="1"/>
  <c r="G4377" i="1"/>
  <c r="I4377" i="1"/>
  <c r="J4377" i="1"/>
  <c r="K4377" i="1"/>
  <c r="L4377" i="1"/>
  <c r="M4377" i="1"/>
  <c r="N4377" i="1"/>
  <c r="O4377" i="1"/>
  <c r="P4377" i="1"/>
  <c r="Q4377" i="1"/>
  <c r="R4377" i="1"/>
  <c r="S4377" i="1"/>
  <c r="T4377" i="1"/>
  <c r="U4377" i="1"/>
  <c r="V4377" i="1"/>
  <c r="W4377" i="1"/>
  <c r="X4377" i="1"/>
  <c r="Y4377" i="1"/>
  <c r="Z4377" i="1"/>
  <c r="A4378" i="1"/>
  <c r="B4378" i="1"/>
  <c r="C4378" i="1"/>
  <c r="D4378" i="1"/>
  <c r="E4378" i="1"/>
  <c r="F4378" i="1"/>
  <c r="G4378" i="1"/>
  <c r="I4378" i="1"/>
  <c r="J4378" i="1"/>
  <c r="K4378" i="1"/>
  <c r="L4378" i="1"/>
  <c r="M4378" i="1"/>
  <c r="N4378" i="1"/>
  <c r="O4378" i="1"/>
  <c r="P4378" i="1"/>
  <c r="Q4378" i="1"/>
  <c r="R4378" i="1"/>
  <c r="S4378" i="1"/>
  <c r="T4378" i="1"/>
  <c r="U4378" i="1"/>
  <c r="V4378" i="1"/>
  <c r="W4378" i="1"/>
  <c r="X4378" i="1"/>
  <c r="Y4378" i="1"/>
  <c r="Z4378" i="1"/>
  <c r="A4379" i="1"/>
  <c r="B4379" i="1"/>
  <c r="C4379" i="1"/>
  <c r="D4379" i="1"/>
  <c r="E4379" i="1"/>
  <c r="F4379" i="1"/>
  <c r="G4379" i="1"/>
  <c r="I4379" i="1"/>
  <c r="J4379" i="1"/>
  <c r="K4379" i="1"/>
  <c r="L4379" i="1"/>
  <c r="M4379" i="1"/>
  <c r="N4379" i="1"/>
  <c r="O4379" i="1"/>
  <c r="P4379" i="1"/>
  <c r="Q4379" i="1"/>
  <c r="R4379" i="1"/>
  <c r="S4379" i="1"/>
  <c r="T4379" i="1"/>
  <c r="U4379" i="1"/>
  <c r="V4379" i="1"/>
  <c r="W4379" i="1"/>
  <c r="X4379" i="1"/>
  <c r="Y4379" i="1"/>
  <c r="Z4379" i="1"/>
  <c r="A4380" i="1"/>
  <c r="B4380" i="1"/>
  <c r="C4380" i="1"/>
  <c r="D4380" i="1"/>
  <c r="E4380" i="1"/>
  <c r="F4380" i="1"/>
  <c r="G4380" i="1"/>
  <c r="I4380" i="1"/>
  <c r="J4380" i="1"/>
  <c r="K4380" i="1"/>
  <c r="L4380" i="1"/>
  <c r="M4380" i="1"/>
  <c r="N4380" i="1"/>
  <c r="O4380" i="1"/>
  <c r="P4380" i="1"/>
  <c r="Q4380" i="1"/>
  <c r="R4380" i="1"/>
  <c r="S4380" i="1"/>
  <c r="T4380" i="1"/>
  <c r="U4380" i="1"/>
  <c r="V4380" i="1"/>
  <c r="W4380" i="1"/>
  <c r="X4380" i="1"/>
  <c r="Y4380" i="1"/>
  <c r="Z4380" i="1"/>
  <c r="A4381" i="1"/>
  <c r="B4381" i="1"/>
  <c r="C4381" i="1"/>
  <c r="D4381" i="1"/>
  <c r="E4381" i="1"/>
  <c r="F4381" i="1"/>
  <c r="G4381" i="1"/>
  <c r="I4381" i="1"/>
  <c r="J4381" i="1"/>
  <c r="K4381" i="1"/>
  <c r="L4381" i="1"/>
  <c r="M4381" i="1"/>
  <c r="N4381" i="1"/>
  <c r="O4381" i="1"/>
  <c r="P4381" i="1"/>
  <c r="Q4381" i="1"/>
  <c r="R4381" i="1"/>
  <c r="S4381" i="1"/>
  <c r="T4381" i="1"/>
  <c r="U4381" i="1"/>
  <c r="V4381" i="1"/>
  <c r="W4381" i="1"/>
  <c r="X4381" i="1"/>
  <c r="Y4381" i="1"/>
  <c r="Z4381" i="1"/>
  <c r="A4382" i="1"/>
  <c r="B4382" i="1"/>
  <c r="C4382" i="1"/>
  <c r="D4382" i="1"/>
  <c r="E4382" i="1"/>
  <c r="F4382" i="1"/>
  <c r="G4382" i="1"/>
  <c r="I4382" i="1"/>
  <c r="J4382" i="1"/>
  <c r="K4382" i="1"/>
  <c r="L4382" i="1"/>
  <c r="M4382" i="1"/>
  <c r="N4382" i="1"/>
  <c r="O4382" i="1"/>
  <c r="P4382" i="1"/>
  <c r="Q4382" i="1"/>
  <c r="R4382" i="1"/>
  <c r="S4382" i="1"/>
  <c r="T4382" i="1"/>
  <c r="U4382" i="1"/>
  <c r="V4382" i="1"/>
  <c r="W4382" i="1"/>
  <c r="X4382" i="1"/>
  <c r="Y4382" i="1"/>
  <c r="Z4382" i="1"/>
  <c r="A4383" i="1"/>
  <c r="B4383" i="1"/>
  <c r="C4383" i="1"/>
  <c r="D4383" i="1"/>
  <c r="E4383" i="1"/>
  <c r="F4383" i="1"/>
  <c r="G4383" i="1"/>
  <c r="I4383" i="1"/>
  <c r="J4383" i="1"/>
  <c r="K4383" i="1"/>
  <c r="L4383" i="1"/>
  <c r="M4383" i="1"/>
  <c r="N4383" i="1"/>
  <c r="O4383" i="1"/>
  <c r="P4383" i="1"/>
  <c r="Q4383" i="1"/>
  <c r="R4383" i="1"/>
  <c r="S4383" i="1"/>
  <c r="T4383" i="1"/>
  <c r="U4383" i="1"/>
  <c r="V4383" i="1"/>
  <c r="W4383" i="1"/>
  <c r="X4383" i="1"/>
  <c r="Y4383" i="1"/>
  <c r="Z4383" i="1"/>
  <c r="A4384" i="1"/>
  <c r="B4384" i="1"/>
  <c r="C4384" i="1"/>
  <c r="D4384" i="1"/>
  <c r="E4384" i="1"/>
  <c r="F4384" i="1"/>
  <c r="G4384" i="1"/>
  <c r="I4384" i="1"/>
  <c r="J4384" i="1"/>
  <c r="K4384" i="1"/>
  <c r="L4384" i="1"/>
  <c r="M4384" i="1"/>
  <c r="N4384" i="1"/>
  <c r="O4384" i="1"/>
  <c r="P4384" i="1"/>
  <c r="Q4384" i="1"/>
  <c r="R4384" i="1"/>
  <c r="S4384" i="1"/>
  <c r="T4384" i="1"/>
  <c r="U4384" i="1"/>
  <c r="V4384" i="1"/>
  <c r="W4384" i="1"/>
  <c r="X4384" i="1"/>
  <c r="Y4384" i="1"/>
  <c r="Z4384" i="1"/>
  <c r="A4385" i="1"/>
  <c r="B4385" i="1"/>
  <c r="C4385" i="1"/>
  <c r="D4385" i="1"/>
  <c r="E4385" i="1"/>
  <c r="F4385" i="1"/>
  <c r="G4385" i="1"/>
  <c r="I4385" i="1"/>
  <c r="J4385" i="1"/>
  <c r="K4385" i="1"/>
  <c r="L4385" i="1"/>
  <c r="M4385" i="1"/>
  <c r="N4385" i="1"/>
  <c r="O4385" i="1"/>
  <c r="P4385" i="1"/>
  <c r="Q4385" i="1"/>
  <c r="R4385" i="1"/>
  <c r="S4385" i="1"/>
  <c r="T4385" i="1"/>
  <c r="U4385" i="1"/>
  <c r="V4385" i="1"/>
  <c r="W4385" i="1"/>
  <c r="X4385" i="1"/>
  <c r="Y4385" i="1"/>
  <c r="Z4385" i="1"/>
  <c r="A4386" i="1"/>
  <c r="B4386" i="1"/>
  <c r="C4386" i="1"/>
  <c r="D4386" i="1"/>
  <c r="E4386" i="1"/>
  <c r="F4386" i="1"/>
  <c r="G4386" i="1"/>
  <c r="I4386" i="1"/>
  <c r="J4386" i="1"/>
  <c r="K4386" i="1"/>
  <c r="L4386" i="1"/>
  <c r="M4386" i="1"/>
  <c r="N4386" i="1"/>
  <c r="O4386" i="1"/>
  <c r="P4386" i="1"/>
  <c r="Q4386" i="1"/>
  <c r="R4386" i="1"/>
  <c r="S4386" i="1"/>
  <c r="T4386" i="1"/>
  <c r="U4386" i="1"/>
  <c r="V4386" i="1"/>
  <c r="W4386" i="1"/>
  <c r="X4386" i="1"/>
  <c r="Y4386" i="1"/>
  <c r="Z4386" i="1"/>
  <c r="A4387" i="1"/>
  <c r="B4387" i="1"/>
  <c r="C4387" i="1"/>
  <c r="D4387" i="1"/>
  <c r="E4387" i="1"/>
  <c r="F4387" i="1"/>
  <c r="G4387" i="1"/>
  <c r="I4387" i="1"/>
  <c r="J4387" i="1"/>
  <c r="K4387" i="1"/>
  <c r="L4387" i="1"/>
  <c r="M4387" i="1"/>
  <c r="N4387" i="1"/>
  <c r="O4387" i="1"/>
  <c r="P4387" i="1"/>
  <c r="Q4387" i="1"/>
  <c r="R4387" i="1"/>
  <c r="S4387" i="1"/>
  <c r="T4387" i="1"/>
  <c r="U4387" i="1"/>
  <c r="V4387" i="1"/>
  <c r="W4387" i="1"/>
  <c r="X4387" i="1"/>
  <c r="Y4387" i="1"/>
  <c r="Z4387" i="1"/>
  <c r="A4388" i="1"/>
  <c r="B4388" i="1"/>
  <c r="C4388" i="1"/>
  <c r="D4388" i="1"/>
  <c r="E4388" i="1"/>
  <c r="F4388" i="1"/>
  <c r="G4388" i="1"/>
  <c r="I4388" i="1"/>
  <c r="J4388" i="1"/>
  <c r="K4388" i="1"/>
  <c r="L4388" i="1"/>
  <c r="M4388" i="1"/>
  <c r="N4388" i="1"/>
  <c r="O4388" i="1"/>
  <c r="P4388" i="1"/>
  <c r="Q4388" i="1"/>
  <c r="R4388" i="1"/>
  <c r="S4388" i="1"/>
  <c r="T4388" i="1"/>
  <c r="U4388" i="1"/>
  <c r="V4388" i="1"/>
  <c r="W4388" i="1"/>
  <c r="X4388" i="1"/>
  <c r="Y4388" i="1"/>
  <c r="Z4388" i="1"/>
  <c r="A4389" i="1"/>
  <c r="B4389" i="1"/>
  <c r="C4389" i="1"/>
  <c r="D4389" i="1"/>
  <c r="E4389" i="1"/>
  <c r="F4389" i="1"/>
  <c r="G4389" i="1"/>
  <c r="I4389" i="1"/>
  <c r="J4389" i="1"/>
  <c r="K4389" i="1"/>
  <c r="L4389" i="1"/>
  <c r="M4389" i="1"/>
  <c r="N4389" i="1"/>
  <c r="O4389" i="1"/>
  <c r="P4389" i="1"/>
  <c r="Q4389" i="1"/>
  <c r="R4389" i="1"/>
  <c r="S4389" i="1"/>
  <c r="T4389" i="1"/>
  <c r="U4389" i="1"/>
  <c r="V4389" i="1"/>
  <c r="W4389" i="1"/>
  <c r="X4389" i="1"/>
  <c r="Y4389" i="1"/>
  <c r="Z4389" i="1"/>
  <c r="A4390" i="1"/>
  <c r="B4390" i="1"/>
  <c r="C4390" i="1"/>
  <c r="D4390" i="1"/>
  <c r="E4390" i="1"/>
  <c r="F4390" i="1"/>
  <c r="G4390" i="1"/>
  <c r="I4390" i="1"/>
  <c r="J4390" i="1"/>
  <c r="K4390" i="1"/>
  <c r="L4390" i="1"/>
  <c r="M4390" i="1"/>
  <c r="N4390" i="1"/>
  <c r="O4390" i="1"/>
  <c r="P4390" i="1"/>
  <c r="Q4390" i="1"/>
  <c r="R4390" i="1"/>
  <c r="S4390" i="1"/>
  <c r="T4390" i="1"/>
  <c r="U4390" i="1"/>
  <c r="V4390" i="1"/>
  <c r="W4390" i="1"/>
  <c r="X4390" i="1"/>
  <c r="Y4390" i="1"/>
  <c r="Z4390" i="1"/>
  <c r="A4391" i="1"/>
  <c r="B4391" i="1"/>
  <c r="C4391" i="1"/>
  <c r="D4391" i="1"/>
  <c r="E4391" i="1"/>
  <c r="F4391" i="1"/>
  <c r="G4391" i="1"/>
  <c r="I4391" i="1"/>
  <c r="J4391" i="1"/>
  <c r="K4391" i="1"/>
  <c r="L4391" i="1"/>
  <c r="M4391" i="1"/>
  <c r="N4391" i="1"/>
  <c r="O4391" i="1"/>
  <c r="P4391" i="1"/>
  <c r="Q4391" i="1"/>
  <c r="R4391" i="1"/>
  <c r="S4391" i="1"/>
  <c r="T4391" i="1"/>
  <c r="U4391" i="1"/>
  <c r="V4391" i="1"/>
  <c r="W4391" i="1"/>
  <c r="X4391" i="1"/>
  <c r="Y4391" i="1"/>
  <c r="Z4391" i="1"/>
  <c r="A4392" i="1"/>
  <c r="B4392" i="1"/>
  <c r="C4392" i="1"/>
  <c r="D4392" i="1"/>
  <c r="E4392" i="1"/>
  <c r="F4392" i="1"/>
  <c r="G4392" i="1"/>
  <c r="I4392" i="1"/>
  <c r="J4392" i="1"/>
  <c r="K4392" i="1"/>
  <c r="L4392" i="1"/>
  <c r="M4392" i="1"/>
  <c r="N4392" i="1"/>
  <c r="O4392" i="1"/>
  <c r="P4392" i="1"/>
  <c r="Q4392" i="1"/>
  <c r="R4392" i="1"/>
  <c r="S4392" i="1"/>
  <c r="T4392" i="1"/>
  <c r="U4392" i="1"/>
  <c r="V4392" i="1"/>
  <c r="W4392" i="1"/>
  <c r="X4392" i="1"/>
  <c r="Y4392" i="1"/>
  <c r="Z4392" i="1"/>
  <c r="A4393" i="1"/>
  <c r="B4393" i="1"/>
  <c r="C4393" i="1"/>
  <c r="D4393" i="1"/>
  <c r="E4393" i="1"/>
  <c r="F4393" i="1"/>
  <c r="G4393" i="1"/>
  <c r="I4393" i="1"/>
  <c r="J4393" i="1"/>
  <c r="K4393" i="1"/>
  <c r="L4393" i="1"/>
  <c r="M4393" i="1"/>
  <c r="N4393" i="1"/>
  <c r="O4393" i="1"/>
  <c r="P4393" i="1"/>
  <c r="Q4393" i="1"/>
  <c r="R4393" i="1"/>
  <c r="S4393" i="1"/>
  <c r="T4393" i="1"/>
  <c r="U4393" i="1"/>
  <c r="V4393" i="1"/>
  <c r="W4393" i="1"/>
  <c r="X4393" i="1"/>
  <c r="Y4393" i="1"/>
  <c r="Z4393" i="1"/>
  <c r="A4394" i="1"/>
  <c r="B4394" i="1"/>
  <c r="C4394" i="1"/>
  <c r="D4394" i="1"/>
  <c r="E4394" i="1"/>
  <c r="F4394" i="1"/>
  <c r="G4394" i="1"/>
  <c r="I4394" i="1"/>
  <c r="J4394" i="1"/>
  <c r="K4394" i="1"/>
  <c r="L4394" i="1"/>
  <c r="M4394" i="1"/>
  <c r="N4394" i="1"/>
  <c r="O4394" i="1"/>
  <c r="P4394" i="1"/>
  <c r="Q4394" i="1"/>
  <c r="R4394" i="1"/>
  <c r="S4394" i="1"/>
  <c r="T4394" i="1"/>
  <c r="U4394" i="1"/>
  <c r="V4394" i="1"/>
  <c r="W4394" i="1"/>
  <c r="X4394" i="1"/>
  <c r="Y4394" i="1"/>
  <c r="Z4394" i="1"/>
  <c r="A4395" i="1"/>
  <c r="B4395" i="1"/>
  <c r="C4395" i="1"/>
  <c r="D4395" i="1"/>
  <c r="E4395" i="1"/>
  <c r="F4395" i="1"/>
  <c r="G4395" i="1"/>
  <c r="I4395" i="1"/>
  <c r="J4395" i="1"/>
  <c r="K4395" i="1"/>
  <c r="L4395" i="1"/>
  <c r="M4395" i="1"/>
  <c r="N4395" i="1"/>
  <c r="O4395" i="1"/>
  <c r="P4395" i="1"/>
  <c r="Q4395" i="1"/>
  <c r="R4395" i="1"/>
  <c r="S4395" i="1"/>
  <c r="T4395" i="1"/>
  <c r="U4395" i="1"/>
  <c r="V4395" i="1"/>
  <c r="W4395" i="1"/>
  <c r="X4395" i="1"/>
  <c r="Y4395" i="1"/>
  <c r="Z4395" i="1"/>
  <c r="A4396" i="1"/>
  <c r="B4396" i="1"/>
  <c r="C4396" i="1"/>
  <c r="D4396" i="1"/>
  <c r="E4396" i="1"/>
  <c r="F4396" i="1"/>
  <c r="G4396" i="1"/>
  <c r="I4396" i="1"/>
  <c r="J4396" i="1"/>
  <c r="K4396" i="1"/>
  <c r="L4396" i="1"/>
  <c r="M4396" i="1"/>
  <c r="N4396" i="1"/>
  <c r="O4396" i="1"/>
  <c r="P4396" i="1"/>
  <c r="Q4396" i="1"/>
  <c r="R4396" i="1"/>
  <c r="S4396" i="1"/>
  <c r="T4396" i="1"/>
  <c r="U4396" i="1"/>
  <c r="V4396" i="1"/>
  <c r="W4396" i="1"/>
  <c r="X4396" i="1"/>
  <c r="Y4396" i="1"/>
  <c r="Z4396" i="1"/>
  <c r="A4397" i="1"/>
  <c r="B4397" i="1"/>
  <c r="C4397" i="1"/>
  <c r="D4397" i="1"/>
  <c r="E4397" i="1"/>
  <c r="F4397" i="1"/>
  <c r="G4397" i="1"/>
  <c r="I4397" i="1"/>
  <c r="J4397" i="1"/>
  <c r="K4397" i="1"/>
  <c r="L4397" i="1"/>
  <c r="M4397" i="1"/>
  <c r="N4397" i="1"/>
  <c r="O4397" i="1"/>
  <c r="P4397" i="1"/>
  <c r="Q4397" i="1"/>
  <c r="R4397" i="1"/>
  <c r="S4397" i="1"/>
  <c r="T4397" i="1"/>
  <c r="U4397" i="1"/>
  <c r="V4397" i="1"/>
  <c r="W4397" i="1"/>
  <c r="X4397" i="1"/>
  <c r="Y4397" i="1"/>
  <c r="Z4397" i="1"/>
  <c r="A4398" i="1"/>
  <c r="B4398" i="1"/>
  <c r="C4398" i="1"/>
  <c r="D4398" i="1"/>
  <c r="E4398" i="1"/>
  <c r="F4398" i="1"/>
  <c r="G4398" i="1"/>
  <c r="I4398" i="1"/>
  <c r="J4398" i="1"/>
  <c r="K4398" i="1"/>
  <c r="L4398" i="1"/>
  <c r="M4398" i="1"/>
  <c r="N4398" i="1"/>
  <c r="O4398" i="1"/>
  <c r="P4398" i="1"/>
  <c r="Q4398" i="1"/>
  <c r="R4398" i="1"/>
  <c r="S4398" i="1"/>
  <c r="T4398" i="1"/>
  <c r="U4398" i="1"/>
  <c r="V4398" i="1"/>
  <c r="W4398" i="1"/>
  <c r="X4398" i="1"/>
  <c r="Y4398" i="1"/>
  <c r="Z4398" i="1"/>
  <c r="A4399" i="1"/>
  <c r="B4399" i="1"/>
  <c r="C4399" i="1"/>
  <c r="D4399" i="1"/>
  <c r="E4399" i="1"/>
  <c r="F4399" i="1"/>
  <c r="G4399" i="1"/>
  <c r="I4399" i="1"/>
  <c r="J4399" i="1"/>
  <c r="K4399" i="1"/>
  <c r="L4399" i="1"/>
  <c r="M4399" i="1"/>
  <c r="N4399" i="1"/>
  <c r="O4399" i="1"/>
  <c r="P4399" i="1"/>
  <c r="Q4399" i="1"/>
  <c r="R4399" i="1"/>
  <c r="S4399" i="1"/>
  <c r="T4399" i="1"/>
  <c r="U4399" i="1"/>
  <c r="V4399" i="1"/>
  <c r="W4399" i="1"/>
  <c r="X4399" i="1"/>
  <c r="Y4399" i="1"/>
  <c r="Z4399" i="1"/>
  <c r="A4400" i="1"/>
  <c r="B4400" i="1"/>
  <c r="C4400" i="1"/>
  <c r="D4400" i="1"/>
  <c r="E4400" i="1"/>
  <c r="F4400" i="1"/>
  <c r="G4400" i="1"/>
  <c r="I4400" i="1"/>
  <c r="J4400" i="1"/>
  <c r="K4400" i="1"/>
  <c r="L4400" i="1"/>
  <c r="M4400" i="1"/>
  <c r="N4400" i="1"/>
  <c r="O4400" i="1"/>
  <c r="P4400" i="1"/>
  <c r="Q4400" i="1"/>
  <c r="R4400" i="1"/>
  <c r="S4400" i="1"/>
  <c r="T4400" i="1"/>
  <c r="U4400" i="1"/>
  <c r="V4400" i="1"/>
  <c r="W4400" i="1"/>
  <c r="X4400" i="1"/>
  <c r="Y4400" i="1"/>
  <c r="Z4400" i="1"/>
  <c r="A4401" i="1"/>
  <c r="B4401" i="1"/>
  <c r="C4401" i="1"/>
  <c r="D4401" i="1"/>
  <c r="E4401" i="1"/>
  <c r="F4401" i="1"/>
  <c r="G4401" i="1"/>
  <c r="I4401" i="1"/>
  <c r="J4401" i="1"/>
  <c r="K4401" i="1"/>
  <c r="L4401" i="1"/>
  <c r="M4401" i="1"/>
  <c r="N4401" i="1"/>
  <c r="O4401" i="1"/>
  <c r="P4401" i="1"/>
  <c r="Q4401" i="1"/>
  <c r="R4401" i="1"/>
  <c r="S4401" i="1"/>
  <c r="T4401" i="1"/>
  <c r="U4401" i="1"/>
  <c r="V4401" i="1"/>
  <c r="W4401" i="1"/>
  <c r="X4401" i="1"/>
  <c r="Y4401" i="1"/>
  <c r="Z4401" i="1"/>
  <c r="A4402" i="1"/>
  <c r="B4402" i="1"/>
  <c r="C4402" i="1"/>
  <c r="D4402" i="1"/>
  <c r="E4402" i="1"/>
  <c r="F4402" i="1"/>
  <c r="G4402" i="1"/>
  <c r="I4402" i="1"/>
  <c r="J4402" i="1"/>
  <c r="K4402" i="1"/>
  <c r="L4402" i="1"/>
  <c r="M4402" i="1"/>
  <c r="N4402" i="1"/>
  <c r="O4402" i="1"/>
  <c r="P4402" i="1"/>
  <c r="Q4402" i="1"/>
  <c r="R4402" i="1"/>
  <c r="S4402" i="1"/>
  <c r="T4402" i="1"/>
  <c r="U4402" i="1"/>
  <c r="V4402" i="1"/>
  <c r="W4402" i="1"/>
  <c r="X4402" i="1"/>
  <c r="Y4402" i="1"/>
  <c r="Z4402" i="1"/>
  <c r="A4403" i="1"/>
  <c r="B4403" i="1"/>
  <c r="C4403" i="1"/>
  <c r="D4403" i="1"/>
  <c r="E4403" i="1"/>
  <c r="F4403" i="1"/>
  <c r="G4403" i="1"/>
  <c r="I4403" i="1"/>
  <c r="J4403" i="1"/>
  <c r="K4403" i="1"/>
  <c r="L4403" i="1"/>
  <c r="M4403" i="1"/>
  <c r="N4403" i="1"/>
  <c r="O4403" i="1"/>
  <c r="P4403" i="1"/>
  <c r="Q4403" i="1"/>
  <c r="R4403" i="1"/>
  <c r="S4403" i="1"/>
  <c r="T4403" i="1"/>
  <c r="U4403" i="1"/>
  <c r="V4403" i="1"/>
  <c r="W4403" i="1"/>
  <c r="X4403" i="1"/>
  <c r="Y4403" i="1"/>
  <c r="Z4403" i="1"/>
  <c r="A4404" i="1"/>
  <c r="B4404" i="1"/>
  <c r="C4404" i="1"/>
  <c r="D4404" i="1"/>
  <c r="E4404" i="1"/>
  <c r="F4404" i="1"/>
  <c r="G4404" i="1"/>
  <c r="I4404" i="1"/>
  <c r="J4404" i="1"/>
  <c r="K4404" i="1"/>
  <c r="L4404" i="1"/>
  <c r="M4404" i="1"/>
  <c r="N4404" i="1"/>
  <c r="O4404" i="1"/>
  <c r="P4404" i="1"/>
  <c r="Q4404" i="1"/>
  <c r="R4404" i="1"/>
  <c r="S4404" i="1"/>
  <c r="T4404" i="1"/>
  <c r="U4404" i="1"/>
  <c r="V4404" i="1"/>
  <c r="W4404" i="1"/>
  <c r="X4404" i="1"/>
  <c r="Y4404" i="1"/>
  <c r="Z4404" i="1"/>
  <c r="A4405" i="1"/>
  <c r="B4405" i="1"/>
  <c r="C4405" i="1"/>
  <c r="D4405" i="1"/>
  <c r="E4405" i="1"/>
  <c r="F4405" i="1"/>
  <c r="G4405" i="1"/>
  <c r="I4405" i="1"/>
  <c r="J4405" i="1"/>
  <c r="K4405" i="1"/>
  <c r="L4405" i="1"/>
  <c r="M4405" i="1"/>
  <c r="N4405" i="1"/>
  <c r="O4405" i="1"/>
  <c r="P4405" i="1"/>
  <c r="Q4405" i="1"/>
  <c r="R4405" i="1"/>
  <c r="S4405" i="1"/>
  <c r="T4405" i="1"/>
  <c r="U4405" i="1"/>
  <c r="V4405" i="1"/>
  <c r="W4405" i="1"/>
  <c r="X4405" i="1"/>
  <c r="Y4405" i="1"/>
  <c r="Z4405" i="1"/>
  <c r="A4406" i="1"/>
  <c r="B4406" i="1"/>
  <c r="C4406" i="1"/>
  <c r="D4406" i="1"/>
  <c r="E4406" i="1"/>
  <c r="F4406" i="1"/>
  <c r="G4406" i="1"/>
  <c r="I4406" i="1"/>
  <c r="J4406" i="1"/>
  <c r="K4406" i="1"/>
  <c r="L4406" i="1"/>
  <c r="M4406" i="1"/>
  <c r="N4406" i="1"/>
  <c r="O4406" i="1"/>
  <c r="P4406" i="1"/>
  <c r="Q4406" i="1"/>
  <c r="R4406" i="1"/>
  <c r="S4406" i="1"/>
  <c r="T4406" i="1"/>
  <c r="U4406" i="1"/>
  <c r="V4406" i="1"/>
  <c r="W4406" i="1"/>
  <c r="X4406" i="1"/>
  <c r="Y4406" i="1"/>
  <c r="Z4406" i="1"/>
  <c r="A4407" i="1"/>
  <c r="B4407" i="1"/>
  <c r="C4407" i="1"/>
  <c r="D4407" i="1"/>
  <c r="E4407" i="1"/>
  <c r="F4407" i="1"/>
  <c r="G4407" i="1"/>
  <c r="I4407" i="1"/>
  <c r="J4407" i="1"/>
  <c r="K4407" i="1"/>
  <c r="L4407" i="1"/>
  <c r="M4407" i="1"/>
  <c r="N4407" i="1"/>
  <c r="O4407" i="1"/>
  <c r="P4407" i="1"/>
  <c r="Q4407" i="1"/>
  <c r="R4407" i="1"/>
  <c r="S4407" i="1"/>
  <c r="T4407" i="1"/>
  <c r="U4407" i="1"/>
  <c r="V4407" i="1"/>
  <c r="W4407" i="1"/>
  <c r="X4407" i="1"/>
  <c r="Y4407" i="1"/>
  <c r="Z4407" i="1"/>
  <c r="A4408" i="1"/>
  <c r="B4408" i="1"/>
  <c r="C4408" i="1"/>
  <c r="D4408" i="1"/>
  <c r="E4408" i="1"/>
  <c r="F4408" i="1"/>
  <c r="G4408" i="1"/>
  <c r="I4408" i="1"/>
  <c r="J4408" i="1"/>
  <c r="K4408" i="1"/>
  <c r="L4408" i="1"/>
  <c r="M4408" i="1"/>
  <c r="N4408" i="1"/>
  <c r="O4408" i="1"/>
  <c r="P4408" i="1"/>
  <c r="Q4408" i="1"/>
  <c r="R4408" i="1"/>
  <c r="S4408" i="1"/>
  <c r="T4408" i="1"/>
  <c r="U4408" i="1"/>
  <c r="V4408" i="1"/>
  <c r="W4408" i="1"/>
  <c r="X4408" i="1"/>
  <c r="Y4408" i="1"/>
  <c r="Z4408" i="1"/>
  <c r="A4409" i="1"/>
  <c r="B4409" i="1"/>
  <c r="C4409" i="1"/>
  <c r="D4409" i="1"/>
  <c r="E4409" i="1"/>
  <c r="F4409" i="1"/>
  <c r="G4409" i="1"/>
  <c r="I4409" i="1"/>
  <c r="J4409" i="1"/>
  <c r="K4409" i="1"/>
  <c r="L4409" i="1"/>
  <c r="M4409" i="1"/>
  <c r="N4409" i="1"/>
  <c r="O4409" i="1"/>
  <c r="P4409" i="1"/>
  <c r="Q4409" i="1"/>
  <c r="R4409" i="1"/>
  <c r="S4409" i="1"/>
  <c r="T4409" i="1"/>
  <c r="U4409" i="1"/>
  <c r="V4409" i="1"/>
  <c r="W4409" i="1"/>
  <c r="X4409" i="1"/>
  <c r="Y4409" i="1"/>
  <c r="Z4409" i="1"/>
  <c r="A4410" i="1"/>
  <c r="B4410" i="1"/>
  <c r="C4410" i="1"/>
  <c r="D4410" i="1"/>
  <c r="E4410" i="1"/>
  <c r="F4410" i="1"/>
  <c r="G4410" i="1"/>
  <c r="I4410" i="1"/>
  <c r="J4410" i="1"/>
  <c r="K4410" i="1"/>
  <c r="L4410" i="1"/>
  <c r="M4410" i="1"/>
  <c r="N4410" i="1"/>
  <c r="O4410" i="1"/>
  <c r="P4410" i="1"/>
  <c r="Q4410" i="1"/>
  <c r="R4410" i="1"/>
  <c r="S4410" i="1"/>
  <c r="T4410" i="1"/>
  <c r="U4410" i="1"/>
  <c r="V4410" i="1"/>
  <c r="W4410" i="1"/>
  <c r="X4410" i="1"/>
  <c r="Y4410" i="1"/>
  <c r="Z4410" i="1"/>
  <c r="A4411" i="1"/>
  <c r="B4411" i="1"/>
  <c r="C4411" i="1"/>
  <c r="D4411" i="1"/>
  <c r="E4411" i="1"/>
  <c r="F4411" i="1"/>
  <c r="G4411" i="1"/>
  <c r="I4411" i="1"/>
  <c r="J4411" i="1"/>
  <c r="K4411" i="1"/>
  <c r="L4411" i="1"/>
  <c r="M4411" i="1"/>
  <c r="N4411" i="1"/>
  <c r="O4411" i="1"/>
  <c r="P4411" i="1"/>
  <c r="Q4411" i="1"/>
  <c r="R4411" i="1"/>
  <c r="S4411" i="1"/>
  <c r="T4411" i="1"/>
  <c r="U4411" i="1"/>
  <c r="V4411" i="1"/>
  <c r="W4411" i="1"/>
  <c r="X4411" i="1"/>
  <c r="Y4411" i="1"/>
  <c r="Z4411" i="1"/>
  <c r="A4412" i="1"/>
  <c r="B4412" i="1"/>
  <c r="C4412" i="1"/>
  <c r="D4412" i="1"/>
  <c r="E4412" i="1"/>
  <c r="F4412" i="1"/>
  <c r="G4412" i="1"/>
  <c r="I4412" i="1"/>
  <c r="J4412" i="1"/>
  <c r="K4412" i="1"/>
  <c r="L4412" i="1"/>
  <c r="M4412" i="1"/>
  <c r="N4412" i="1"/>
  <c r="O4412" i="1"/>
  <c r="P4412" i="1"/>
  <c r="Q4412" i="1"/>
  <c r="R4412" i="1"/>
  <c r="S4412" i="1"/>
  <c r="T4412" i="1"/>
  <c r="U4412" i="1"/>
  <c r="V4412" i="1"/>
  <c r="W4412" i="1"/>
  <c r="X4412" i="1"/>
  <c r="Y4412" i="1"/>
  <c r="Z4412" i="1"/>
  <c r="A4413" i="1"/>
  <c r="B4413" i="1"/>
  <c r="C4413" i="1"/>
  <c r="D4413" i="1"/>
  <c r="E4413" i="1"/>
  <c r="F4413" i="1"/>
  <c r="G4413" i="1"/>
  <c r="I4413" i="1"/>
  <c r="J4413" i="1"/>
  <c r="K4413" i="1"/>
  <c r="L4413" i="1"/>
  <c r="M4413" i="1"/>
  <c r="N4413" i="1"/>
  <c r="O4413" i="1"/>
  <c r="P4413" i="1"/>
  <c r="Q4413" i="1"/>
  <c r="R4413" i="1"/>
  <c r="S4413" i="1"/>
  <c r="T4413" i="1"/>
  <c r="U4413" i="1"/>
  <c r="V4413" i="1"/>
  <c r="W4413" i="1"/>
  <c r="X4413" i="1"/>
  <c r="Y4413" i="1"/>
  <c r="Z4413" i="1"/>
  <c r="A4414" i="1"/>
  <c r="B4414" i="1"/>
  <c r="C4414" i="1"/>
  <c r="D4414" i="1"/>
  <c r="E4414" i="1"/>
  <c r="F4414" i="1"/>
  <c r="G4414" i="1"/>
  <c r="I4414" i="1"/>
  <c r="J4414" i="1"/>
  <c r="K4414" i="1"/>
  <c r="L4414" i="1"/>
  <c r="M4414" i="1"/>
  <c r="N4414" i="1"/>
  <c r="O4414" i="1"/>
  <c r="P4414" i="1"/>
  <c r="Q4414" i="1"/>
  <c r="R4414" i="1"/>
  <c r="S4414" i="1"/>
  <c r="T4414" i="1"/>
  <c r="U4414" i="1"/>
  <c r="V4414" i="1"/>
  <c r="W4414" i="1"/>
  <c r="X4414" i="1"/>
  <c r="Y4414" i="1"/>
  <c r="Z4414" i="1"/>
  <c r="A4415" i="1"/>
  <c r="B4415" i="1"/>
  <c r="C4415" i="1"/>
  <c r="D4415" i="1"/>
  <c r="E4415" i="1"/>
  <c r="F4415" i="1"/>
  <c r="G4415" i="1"/>
  <c r="I4415" i="1"/>
  <c r="J4415" i="1"/>
  <c r="K4415" i="1"/>
  <c r="L4415" i="1"/>
  <c r="M4415" i="1"/>
  <c r="N4415" i="1"/>
  <c r="O4415" i="1"/>
  <c r="P4415" i="1"/>
  <c r="Q4415" i="1"/>
  <c r="R4415" i="1"/>
  <c r="S4415" i="1"/>
  <c r="T4415" i="1"/>
  <c r="U4415" i="1"/>
  <c r="V4415" i="1"/>
  <c r="W4415" i="1"/>
  <c r="X4415" i="1"/>
  <c r="Y4415" i="1"/>
  <c r="Z4415" i="1"/>
  <c r="A4416" i="1"/>
  <c r="B4416" i="1"/>
  <c r="C4416" i="1"/>
  <c r="D4416" i="1"/>
  <c r="E4416" i="1"/>
  <c r="F4416" i="1"/>
  <c r="G4416" i="1"/>
  <c r="I4416" i="1"/>
  <c r="J4416" i="1"/>
  <c r="K4416" i="1"/>
  <c r="L4416" i="1"/>
  <c r="M4416" i="1"/>
  <c r="N4416" i="1"/>
  <c r="O4416" i="1"/>
  <c r="P4416" i="1"/>
  <c r="Q4416" i="1"/>
  <c r="R4416" i="1"/>
  <c r="S4416" i="1"/>
  <c r="T4416" i="1"/>
  <c r="U4416" i="1"/>
  <c r="V4416" i="1"/>
  <c r="W4416" i="1"/>
  <c r="X4416" i="1"/>
  <c r="Y4416" i="1"/>
  <c r="Z4416" i="1"/>
  <c r="A4417" i="1"/>
  <c r="B4417" i="1"/>
  <c r="C4417" i="1"/>
  <c r="D4417" i="1"/>
  <c r="E4417" i="1"/>
  <c r="F4417" i="1"/>
  <c r="G4417" i="1"/>
  <c r="I4417" i="1"/>
  <c r="J4417" i="1"/>
  <c r="K4417" i="1"/>
  <c r="L4417" i="1"/>
  <c r="M4417" i="1"/>
  <c r="N4417" i="1"/>
  <c r="O4417" i="1"/>
  <c r="P4417" i="1"/>
  <c r="Q4417" i="1"/>
  <c r="R4417" i="1"/>
  <c r="S4417" i="1"/>
  <c r="T4417" i="1"/>
  <c r="U4417" i="1"/>
  <c r="V4417" i="1"/>
  <c r="W4417" i="1"/>
  <c r="X4417" i="1"/>
  <c r="Y4417" i="1"/>
  <c r="Z4417" i="1"/>
  <c r="A4418" i="1"/>
  <c r="B4418" i="1"/>
  <c r="C4418" i="1"/>
  <c r="D4418" i="1"/>
  <c r="E4418" i="1"/>
  <c r="F4418" i="1"/>
  <c r="G4418" i="1"/>
  <c r="I4418" i="1"/>
  <c r="J4418" i="1"/>
  <c r="K4418" i="1"/>
  <c r="L4418" i="1"/>
  <c r="M4418" i="1"/>
  <c r="N4418" i="1"/>
  <c r="O4418" i="1"/>
  <c r="P4418" i="1"/>
  <c r="Q4418" i="1"/>
  <c r="R4418" i="1"/>
  <c r="S4418" i="1"/>
  <c r="T4418" i="1"/>
  <c r="U4418" i="1"/>
  <c r="V4418" i="1"/>
  <c r="W4418" i="1"/>
  <c r="X4418" i="1"/>
  <c r="Y4418" i="1"/>
  <c r="Z4418" i="1"/>
  <c r="A4419" i="1"/>
  <c r="B4419" i="1"/>
  <c r="C4419" i="1"/>
  <c r="D4419" i="1"/>
  <c r="E4419" i="1"/>
  <c r="F4419" i="1"/>
  <c r="G4419" i="1"/>
  <c r="I4419" i="1"/>
  <c r="J4419" i="1"/>
  <c r="K4419" i="1"/>
  <c r="L4419" i="1"/>
  <c r="M4419" i="1"/>
  <c r="N4419" i="1"/>
  <c r="O4419" i="1"/>
  <c r="P4419" i="1"/>
  <c r="Q4419" i="1"/>
  <c r="R4419" i="1"/>
  <c r="S4419" i="1"/>
  <c r="T4419" i="1"/>
  <c r="U4419" i="1"/>
  <c r="V4419" i="1"/>
  <c r="W4419" i="1"/>
  <c r="X4419" i="1"/>
  <c r="Y4419" i="1"/>
  <c r="Z4419" i="1"/>
  <c r="A4420" i="1"/>
  <c r="B4420" i="1"/>
  <c r="C4420" i="1"/>
  <c r="D4420" i="1"/>
  <c r="E4420" i="1"/>
  <c r="F4420" i="1"/>
  <c r="G4420" i="1"/>
  <c r="I4420" i="1"/>
  <c r="J4420" i="1"/>
  <c r="K4420" i="1"/>
  <c r="L4420" i="1"/>
  <c r="M4420" i="1"/>
  <c r="N4420" i="1"/>
  <c r="O4420" i="1"/>
  <c r="P4420" i="1"/>
  <c r="Q4420" i="1"/>
  <c r="R4420" i="1"/>
  <c r="S4420" i="1"/>
  <c r="T4420" i="1"/>
  <c r="U4420" i="1"/>
  <c r="V4420" i="1"/>
  <c r="W4420" i="1"/>
  <c r="X4420" i="1"/>
  <c r="Y4420" i="1"/>
  <c r="Z4420" i="1"/>
  <c r="A4421" i="1"/>
  <c r="B4421" i="1"/>
  <c r="C4421" i="1"/>
  <c r="D4421" i="1"/>
  <c r="E4421" i="1"/>
  <c r="F4421" i="1"/>
  <c r="G4421" i="1"/>
  <c r="I4421" i="1"/>
  <c r="J4421" i="1"/>
  <c r="K4421" i="1"/>
  <c r="L4421" i="1"/>
  <c r="M4421" i="1"/>
  <c r="N4421" i="1"/>
  <c r="O4421" i="1"/>
  <c r="P4421" i="1"/>
  <c r="Q4421" i="1"/>
  <c r="R4421" i="1"/>
  <c r="S4421" i="1"/>
  <c r="T4421" i="1"/>
  <c r="U4421" i="1"/>
  <c r="V4421" i="1"/>
  <c r="W4421" i="1"/>
  <c r="X4421" i="1"/>
  <c r="Y4421" i="1"/>
  <c r="Z4421" i="1"/>
  <c r="A4422" i="1"/>
  <c r="B4422" i="1"/>
  <c r="C4422" i="1"/>
  <c r="D4422" i="1"/>
  <c r="E4422" i="1"/>
  <c r="F4422" i="1"/>
  <c r="G4422" i="1"/>
  <c r="I4422" i="1"/>
  <c r="J4422" i="1"/>
  <c r="K4422" i="1"/>
  <c r="L4422" i="1"/>
  <c r="M4422" i="1"/>
  <c r="N4422" i="1"/>
  <c r="O4422" i="1"/>
  <c r="P4422" i="1"/>
  <c r="Q4422" i="1"/>
  <c r="R4422" i="1"/>
  <c r="S4422" i="1"/>
  <c r="T4422" i="1"/>
  <c r="U4422" i="1"/>
  <c r="V4422" i="1"/>
  <c r="W4422" i="1"/>
  <c r="X4422" i="1"/>
  <c r="Y4422" i="1"/>
  <c r="Z4422" i="1"/>
  <c r="A4423" i="1"/>
  <c r="B4423" i="1"/>
  <c r="C4423" i="1"/>
  <c r="D4423" i="1"/>
  <c r="E4423" i="1"/>
  <c r="F4423" i="1"/>
  <c r="G4423" i="1"/>
  <c r="I4423" i="1"/>
  <c r="J4423" i="1"/>
  <c r="K4423" i="1"/>
  <c r="L4423" i="1"/>
  <c r="M4423" i="1"/>
  <c r="N4423" i="1"/>
  <c r="O4423" i="1"/>
  <c r="P4423" i="1"/>
  <c r="Q4423" i="1"/>
  <c r="R4423" i="1"/>
  <c r="S4423" i="1"/>
  <c r="T4423" i="1"/>
  <c r="U4423" i="1"/>
  <c r="V4423" i="1"/>
  <c r="W4423" i="1"/>
  <c r="X4423" i="1"/>
  <c r="Y4423" i="1"/>
  <c r="Z4423" i="1"/>
  <c r="A4424" i="1"/>
  <c r="B4424" i="1"/>
  <c r="C4424" i="1"/>
  <c r="D4424" i="1"/>
  <c r="E4424" i="1"/>
  <c r="F4424" i="1"/>
  <c r="G4424" i="1"/>
  <c r="I4424" i="1"/>
  <c r="J4424" i="1"/>
  <c r="K4424" i="1"/>
  <c r="L4424" i="1"/>
  <c r="M4424" i="1"/>
  <c r="N4424" i="1"/>
  <c r="O4424" i="1"/>
  <c r="P4424" i="1"/>
  <c r="Q4424" i="1"/>
  <c r="R4424" i="1"/>
  <c r="S4424" i="1"/>
  <c r="T4424" i="1"/>
  <c r="U4424" i="1"/>
  <c r="V4424" i="1"/>
  <c r="W4424" i="1"/>
  <c r="X4424" i="1"/>
  <c r="Y4424" i="1"/>
  <c r="Z4424" i="1"/>
  <c r="A4425" i="1"/>
  <c r="B4425" i="1"/>
  <c r="C4425" i="1"/>
  <c r="D4425" i="1"/>
  <c r="E4425" i="1"/>
  <c r="F4425" i="1"/>
  <c r="G4425" i="1"/>
  <c r="I4425" i="1"/>
  <c r="J4425" i="1"/>
  <c r="K4425" i="1"/>
  <c r="L4425" i="1"/>
  <c r="M4425" i="1"/>
  <c r="N4425" i="1"/>
  <c r="O4425" i="1"/>
  <c r="P4425" i="1"/>
  <c r="Q4425" i="1"/>
  <c r="R4425" i="1"/>
  <c r="S4425" i="1"/>
  <c r="T4425" i="1"/>
  <c r="U4425" i="1"/>
  <c r="V4425" i="1"/>
  <c r="W4425" i="1"/>
  <c r="X4425" i="1"/>
  <c r="Y4425" i="1"/>
  <c r="Z4425" i="1"/>
  <c r="A4426" i="1"/>
  <c r="B4426" i="1"/>
  <c r="C4426" i="1"/>
  <c r="D4426" i="1"/>
  <c r="E4426" i="1"/>
  <c r="F4426" i="1"/>
  <c r="G4426" i="1"/>
  <c r="I4426" i="1"/>
  <c r="J4426" i="1"/>
  <c r="K4426" i="1"/>
  <c r="L4426" i="1"/>
  <c r="M4426" i="1"/>
  <c r="N4426" i="1"/>
  <c r="O4426" i="1"/>
  <c r="P4426" i="1"/>
  <c r="Q4426" i="1"/>
  <c r="R4426" i="1"/>
  <c r="S4426" i="1"/>
  <c r="T4426" i="1"/>
  <c r="U4426" i="1"/>
  <c r="V4426" i="1"/>
  <c r="W4426" i="1"/>
  <c r="X4426" i="1"/>
  <c r="Y4426" i="1"/>
  <c r="Z4426" i="1"/>
  <c r="A4427" i="1"/>
  <c r="B4427" i="1"/>
  <c r="C4427" i="1"/>
  <c r="D4427" i="1"/>
  <c r="E4427" i="1"/>
  <c r="F4427" i="1"/>
  <c r="G4427" i="1"/>
  <c r="I4427" i="1"/>
  <c r="J4427" i="1"/>
  <c r="K4427" i="1"/>
  <c r="L4427" i="1"/>
  <c r="M4427" i="1"/>
  <c r="N4427" i="1"/>
  <c r="O4427" i="1"/>
  <c r="P4427" i="1"/>
  <c r="Q4427" i="1"/>
  <c r="R4427" i="1"/>
  <c r="S4427" i="1"/>
  <c r="T4427" i="1"/>
  <c r="U4427" i="1"/>
  <c r="V4427" i="1"/>
  <c r="W4427" i="1"/>
  <c r="X4427" i="1"/>
  <c r="Y4427" i="1"/>
  <c r="Z4427" i="1"/>
  <c r="A4428" i="1"/>
  <c r="B4428" i="1"/>
  <c r="C4428" i="1"/>
  <c r="D4428" i="1"/>
  <c r="E4428" i="1"/>
  <c r="F4428" i="1"/>
  <c r="G4428" i="1"/>
  <c r="I4428" i="1"/>
  <c r="J4428" i="1"/>
  <c r="K4428" i="1"/>
  <c r="L4428" i="1"/>
  <c r="M4428" i="1"/>
  <c r="N4428" i="1"/>
  <c r="O4428" i="1"/>
  <c r="P4428" i="1"/>
  <c r="Q4428" i="1"/>
  <c r="R4428" i="1"/>
  <c r="S4428" i="1"/>
  <c r="T4428" i="1"/>
  <c r="U4428" i="1"/>
  <c r="V4428" i="1"/>
  <c r="W4428" i="1"/>
  <c r="X4428" i="1"/>
  <c r="Y4428" i="1"/>
  <c r="Z4428" i="1"/>
  <c r="A4429" i="1"/>
  <c r="B4429" i="1"/>
  <c r="C4429" i="1"/>
  <c r="D4429" i="1"/>
  <c r="E4429" i="1"/>
  <c r="F4429" i="1"/>
  <c r="G4429" i="1"/>
  <c r="I4429" i="1"/>
  <c r="J4429" i="1"/>
  <c r="K4429" i="1"/>
  <c r="L4429" i="1"/>
  <c r="M4429" i="1"/>
  <c r="N4429" i="1"/>
  <c r="O4429" i="1"/>
  <c r="P4429" i="1"/>
  <c r="Q4429" i="1"/>
  <c r="R4429" i="1"/>
  <c r="S4429" i="1"/>
  <c r="T4429" i="1"/>
  <c r="U4429" i="1"/>
  <c r="V4429" i="1"/>
  <c r="W4429" i="1"/>
  <c r="X4429" i="1"/>
  <c r="Y4429" i="1"/>
  <c r="Z4429" i="1"/>
  <c r="A4430" i="1"/>
  <c r="B4430" i="1"/>
  <c r="C4430" i="1"/>
  <c r="D4430" i="1"/>
  <c r="E4430" i="1"/>
  <c r="F4430" i="1"/>
  <c r="G4430" i="1"/>
  <c r="I4430" i="1"/>
  <c r="J4430" i="1"/>
  <c r="K4430" i="1"/>
  <c r="L4430" i="1"/>
  <c r="M4430" i="1"/>
  <c r="N4430" i="1"/>
  <c r="O4430" i="1"/>
  <c r="P4430" i="1"/>
  <c r="Q4430" i="1"/>
  <c r="R4430" i="1"/>
  <c r="S4430" i="1"/>
  <c r="T4430" i="1"/>
  <c r="U4430" i="1"/>
  <c r="V4430" i="1"/>
  <c r="W4430" i="1"/>
  <c r="X4430" i="1"/>
  <c r="Y4430" i="1"/>
  <c r="Z4430" i="1"/>
  <c r="A4431" i="1"/>
  <c r="B4431" i="1"/>
  <c r="C4431" i="1"/>
  <c r="D4431" i="1"/>
  <c r="E4431" i="1"/>
  <c r="F4431" i="1"/>
  <c r="G4431" i="1"/>
  <c r="I4431" i="1"/>
  <c r="J4431" i="1"/>
  <c r="K4431" i="1"/>
  <c r="L4431" i="1"/>
  <c r="M4431" i="1"/>
  <c r="N4431" i="1"/>
  <c r="O4431" i="1"/>
  <c r="P4431" i="1"/>
  <c r="Q4431" i="1"/>
  <c r="R4431" i="1"/>
  <c r="S4431" i="1"/>
  <c r="T4431" i="1"/>
  <c r="U4431" i="1"/>
  <c r="V4431" i="1"/>
  <c r="W4431" i="1"/>
  <c r="X4431" i="1"/>
  <c r="Y4431" i="1"/>
  <c r="Z4431" i="1"/>
  <c r="A4432" i="1"/>
  <c r="B4432" i="1"/>
  <c r="C4432" i="1"/>
  <c r="D4432" i="1"/>
  <c r="E4432" i="1"/>
  <c r="F4432" i="1"/>
  <c r="G4432" i="1"/>
  <c r="I4432" i="1"/>
  <c r="J4432" i="1"/>
  <c r="K4432" i="1"/>
  <c r="L4432" i="1"/>
  <c r="M4432" i="1"/>
  <c r="N4432" i="1"/>
  <c r="O4432" i="1"/>
  <c r="P4432" i="1"/>
  <c r="Q4432" i="1"/>
  <c r="R4432" i="1"/>
  <c r="S4432" i="1"/>
  <c r="T4432" i="1"/>
  <c r="U4432" i="1"/>
  <c r="V4432" i="1"/>
  <c r="W4432" i="1"/>
  <c r="X4432" i="1"/>
  <c r="Y4432" i="1"/>
  <c r="Z4432" i="1"/>
  <c r="A4433" i="1"/>
  <c r="B4433" i="1"/>
  <c r="C4433" i="1"/>
  <c r="D4433" i="1"/>
  <c r="E4433" i="1"/>
  <c r="F4433" i="1"/>
  <c r="G4433" i="1"/>
  <c r="I4433" i="1"/>
  <c r="J4433" i="1"/>
  <c r="K4433" i="1"/>
  <c r="L4433" i="1"/>
  <c r="M4433" i="1"/>
  <c r="N4433" i="1"/>
  <c r="O4433" i="1"/>
  <c r="P4433" i="1"/>
  <c r="Q4433" i="1"/>
  <c r="R4433" i="1"/>
  <c r="S4433" i="1"/>
  <c r="T4433" i="1"/>
  <c r="U4433" i="1"/>
  <c r="V4433" i="1"/>
  <c r="W4433" i="1"/>
  <c r="X4433" i="1"/>
  <c r="Y4433" i="1"/>
  <c r="Z4433" i="1"/>
  <c r="A4434" i="1"/>
  <c r="B4434" i="1"/>
  <c r="C4434" i="1"/>
  <c r="D4434" i="1"/>
  <c r="E4434" i="1"/>
  <c r="F4434" i="1"/>
  <c r="G4434" i="1"/>
  <c r="I4434" i="1"/>
  <c r="J4434" i="1"/>
  <c r="K4434" i="1"/>
  <c r="L4434" i="1"/>
  <c r="M4434" i="1"/>
  <c r="N4434" i="1"/>
  <c r="O4434" i="1"/>
  <c r="P4434" i="1"/>
  <c r="Q4434" i="1"/>
  <c r="R4434" i="1"/>
  <c r="S4434" i="1"/>
  <c r="T4434" i="1"/>
  <c r="U4434" i="1"/>
  <c r="V4434" i="1"/>
  <c r="W4434" i="1"/>
  <c r="X4434" i="1"/>
  <c r="Y4434" i="1"/>
  <c r="Z4434" i="1"/>
  <c r="A4435" i="1"/>
  <c r="B4435" i="1"/>
  <c r="C4435" i="1"/>
  <c r="D4435" i="1"/>
  <c r="E4435" i="1"/>
  <c r="F4435" i="1"/>
  <c r="G4435" i="1"/>
  <c r="I4435" i="1"/>
  <c r="J4435" i="1"/>
  <c r="K4435" i="1"/>
  <c r="L4435" i="1"/>
  <c r="M4435" i="1"/>
  <c r="N4435" i="1"/>
  <c r="O4435" i="1"/>
  <c r="P4435" i="1"/>
  <c r="Q4435" i="1"/>
  <c r="R4435" i="1"/>
  <c r="S4435" i="1"/>
  <c r="T4435" i="1"/>
  <c r="U4435" i="1"/>
  <c r="V4435" i="1"/>
  <c r="W4435" i="1"/>
  <c r="X4435" i="1"/>
  <c r="Y4435" i="1"/>
  <c r="Z4435" i="1"/>
  <c r="A4436" i="1"/>
  <c r="B4436" i="1"/>
  <c r="C4436" i="1"/>
  <c r="D4436" i="1"/>
  <c r="E4436" i="1"/>
  <c r="F4436" i="1"/>
  <c r="G4436" i="1"/>
  <c r="I4436" i="1"/>
  <c r="J4436" i="1"/>
  <c r="K4436" i="1"/>
  <c r="L4436" i="1"/>
  <c r="M4436" i="1"/>
  <c r="N4436" i="1"/>
  <c r="O4436" i="1"/>
  <c r="P4436" i="1"/>
  <c r="Q4436" i="1"/>
  <c r="R4436" i="1"/>
  <c r="S4436" i="1"/>
  <c r="T4436" i="1"/>
  <c r="U4436" i="1"/>
  <c r="V4436" i="1"/>
  <c r="W4436" i="1"/>
  <c r="X4436" i="1"/>
  <c r="Y4436" i="1"/>
  <c r="Z4436" i="1"/>
  <c r="A4437" i="1"/>
  <c r="B4437" i="1"/>
  <c r="C4437" i="1"/>
  <c r="D4437" i="1"/>
  <c r="E4437" i="1"/>
  <c r="F4437" i="1"/>
  <c r="G4437" i="1"/>
  <c r="I4437" i="1"/>
  <c r="J4437" i="1"/>
  <c r="K4437" i="1"/>
  <c r="L4437" i="1"/>
  <c r="M4437" i="1"/>
  <c r="N4437" i="1"/>
  <c r="O4437" i="1"/>
  <c r="P4437" i="1"/>
  <c r="Q4437" i="1"/>
  <c r="R4437" i="1"/>
  <c r="S4437" i="1"/>
  <c r="T4437" i="1"/>
  <c r="U4437" i="1"/>
  <c r="V4437" i="1"/>
  <c r="W4437" i="1"/>
  <c r="X4437" i="1"/>
  <c r="Y4437" i="1"/>
  <c r="Z4437" i="1"/>
  <c r="A4438" i="1"/>
  <c r="B4438" i="1"/>
  <c r="C4438" i="1"/>
  <c r="D4438" i="1"/>
  <c r="E4438" i="1"/>
  <c r="F4438" i="1"/>
  <c r="G4438" i="1"/>
  <c r="I4438" i="1"/>
  <c r="J4438" i="1"/>
  <c r="K4438" i="1"/>
  <c r="L4438" i="1"/>
  <c r="M4438" i="1"/>
  <c r="N4438" i="1"/>
  <c r="O4438" i="1"/>
  <c r="P4438" i="1"/>
  <c r="Q4438" i="1"/>
  <c r="R4438" i="1"/>
  <c r="S4438" i="1"/>
  <c r="T4438" i="1"/>
  <c r="U4438" i="1"/>
  <c r="V4438" i="1"/>
  <c r="W4438" i="1"/>
  <c r="X4438" i="1"/>
  <c r="Y4438" i="1"/>
  <c r="Z4438" i="1"/>
  <c r="A4439" i="1"/>
  <c r="B4439" i="1"/>
  <c r="C4439" i="1"/>
  <c r="D4439" i="1"/>
  <c r="E4439" i="1"/>
  <c r="F4439" i="1"/>
  <c r="G4439" i="1"/>
  <c r="I4439" i="1"/>
  <c r="J4439" i="1"/>
  <c r="K4439" i="1"/>
  <c r="L4439" i="1"/>
  <c r="M4439" i="1"/>
  <c r="N4439" i="1"/>
  <c r="O4439" i="1"/>
  <c r="P4439" i="1"/>
  <c r="Q4439" i="1"/>
  <c r="R4439" i="1"/>
  <c r="S4439" i="1"/>
  <c r="T4439" i="1"/>
  <c r="U4439" i="1"/>
  <c r="V4439" i="1"/>
  <c r="W4439" i="1"/>
  <c r="X4439" i="1"/>
  <c r="Y4439" i="1"/>
  <c r="Z4439" i="1"/>
  <c r="A4440" i="1"/>
  <c r="B4440" i="1"/>
  <c r="C4440" i="1"/>
  <c r="D4440" i="1"/>
  <c r="E4440" i="1"/>
  <c r="F4440" i="1"/>
  <c r="G4440" i="1"/>
  <c r="I4440" i="1"/>
  <c r="J4440" i="1"/>
  <c r="K4440" i="1"/>
  <c r="L4440" i="1"/>
  <c r="M4440" i="1"/>
  <c r="N4440" i="1"/>
  <c r="O4440" i="1"/>
  <c r="P4440" i="1"/>
  <c r="Q4440" i="1"/>
  <c r="R4440" i="1"/>
  <c r="S4440" i="1"/>
  <c r="T4440" i="1"/>
  <c r="U4440" i="1"/>
  <c r="V4440" i="1"/>
  <c r="W4440" i="1"/>
  <c r="X4440" i="1"/>
  <c r="Y4440" i="1"/>
  <c r="Z4440" i="1"/>
  <c r="A4441" i="1"/>
  <c r="B4441" i="1"/>
  <c r="C4441" i="1"/>
  <c r="D4441" i="1"/>
  <c r="E4441" i="1"/>
  <c r="F4441" i="1"/>
  <c r="G4441" i="1"/>
  <c r="I4441" i="1"/>
  <c r="J4441" i="1"/>
  <c r="K4441" i="1"/>
  <c r="L4441" i="1"/>
  <c r="M4441" i="1"/>
  <c r="N4441" i="1"/>
  <c r="O4441" i="1"/>
  <c r="P4441" i="1"/>
  <c r="Q4441" i="1"/>
  <c r="R4441" i="1"/>
  <c r="S4441" i="1"/>
  <c r="T4441" i="1"/>
  <c r="U4441" i="1"/>
  <c r="V4441" i="1"/>
  <c r="W4441" i="1"/>
  <c r="X4441" i="1"/>
  <c r="Y4441" i="1"/>
  <c r="Z4441" i="1"/>
  <c r="A4442" i="1"/>
  <c r="B4442" i="1"/>
  <c r="C4442" i="1"/>
  <c r="D4442" i="1"/>
  <c r="E4442" i="1"/>
  <c r="F4442" i="1"/>
  <c r="G4442" i="1"/>
  <c r="I4442" i="1"/>
  <c r="J4442" i="1"/>
  <c r="K4442" i="1"/>
  <c r="L4442" i="1"/>
  <c r="M4442" i="1"/>
  <c r="N4442" i="1"/>
  <c r="O4442" i="1"/>
  <c r="P4442" i="1"/>
  <c r="Q4442" i="1"/>
  <c r="R4442" i="1"/>
  <c r="S4442" i="1"/>
  <c r="T4442" i="1"/>
  <c r="U4442" i="1"/>
  <c r="V4442" i="1"/>
  <c r="W4442" i="1"/>
  <c r="X4442" i="1"/>
  <c r="Y4442" i="1"/>
  <c r="Z4442" i="1"/>
  <c r="A4443" i="1"/>
  <c r="B4443" i="1"/>
  <c r="C4443" i="1"/>
  <c r="D4443" i="1"/>
  <c r="E4443" i="1"/>
  <c r="F4443" i="1"/>
  <c r="G4443" i="1"/>
  <c r="I4443" i="1"/>
  <c r="J4443" i="1"/>
  <c r="K4443" i="1"/>
  <c r="L4443" i="1"/>
  <c r="M4443" i="1"/>
  <c r="N4443" i="1"/>
  <c r="O4443" i="1"/>
  <c r="P4443" i="1"/>
  <c r="Q4443" i="1"/>
  <c r="R4443" i="1"/>
  <c r="S4443" i="1"/>
  <c r="T4443" i="1"/>
  <c r="U4443" i="1"/>
  <c r="V4443" i="1"/>
  <c r="W4443" i="1"/>
  <c r="X4443" i="1"/>
  <c r="Y4443" i="1"/>
  <c r="Z4443" i="1"/>
  <c r="A4444" i="1"/>
  <c r="B4444" i="1"/>
  <c r="C4444" i="1"/>
  <c r="D4444" i="1"/>
  <c r="E4444" i="1"/>
  <c r="F4444" i="1"/>
  <c r="G4444" i="1"/>
  <c r="I4444" i="1"/>
  <c r="J4444" i="1"/>
  <c r="K4444" i="1"/>
  <c r="L4444" i="1"/>
  <c r="M4444" i="1"/>
  <c r="N4444" i="1"/>
  <c r="O4444" i="1"/>
  <c r="P4444" i="1"/>
  <c r="Q4444" i="1"/>
  <c r="R4444" i="1"/>
  <c r="S4444" i="1"/>
  <c r="T4444" i="1"/>
  <c r="U4444" i="1"/>
  <c r="V4444" i="1"/>
  <c r="W4444" i="1"/>
  <c r="X4444" i="1"/>
  <c r="Y4444" i="1"/>
  <c r="Z4444" i="1"/>
  <c r="A4445" i="1"/>
  <c r="B4445" i="1"/>
  <c r="C4445" i="1"/>
  <c r="D4445" i="1"/>
  <c r="E4445" i="1"/>
  <c r="F4445" i="1"/>
  <c r="G4445" i="1"/>
  <c r="I4445" i="1"/>
  <c r="J4445" i="1"/>
  <c r="K4445" i="1"/>
  <c r="L4445" i="1"/>
  <c r="M4445" i="1"/>
  <c r="N4445" i="1"/>
  <c r="O4445" i="1"/>
  <c r="P4445" i="1"/>
  <c r="Q4445" i="1"/>
  <c r="R4445" i="1"/>
  <c r="S4445" i="1"/>
  <c r="T4445" i="1"/>
  <c r="U4445" i="1"/>
  <c r="V4445" i="1"/>
  <c r="W4445" i="1"/>
  <c r="X4445" i="1"/>
  <c r="Y4445" i="1"/>
  <c r="Z4445" i="1"/>
  <c r="A4446" i="1"/>
  <c r="B4446" i="1"/>
  <c r="C4446" i="1"/>
  <c r="D4446" i="1"/>
  <c r="E4446" i="1"/>
  <c r="F4446" i="1"/>
  <c r="G4446" i="1"/>
  <c r="I4446" i="1"/>
  <c r="J4446" i="1"/>
  <c r="K4446" i="1"/>
  <c r="L4446" i="1"/>
  <c r="M4446" i="1"/>
  <c r="N4446" i="1"/>
  <c r="O4446" i="1"/>
  <c r="P4446" i="1"/>
  <c r="Q4446" i="1"/>
  <c r="R4446" i="1"/>
  <c r="S4446" i="1"/>
  <c r="T4446" i="1"/>
  <c r="U4446" i="1"/>
  <c r="V4446" i="1"/>
  <c r="W4446" i="1"/>
  <c r="X4446" i="1"/>
  <c r="Y4446" i="1"/>
  <c r="Z4446" i="1"/>
  <c r="A4447" i="1"/>
  <c r="B4447" i="1"/>
  <c r="C4447" i="1"/>
  <c r="D4447" i="1"/>
  <c r="E4447" i="1"/>
  <c r="F4447" i="1"/>
  <c r="G4447" i="1"/>
  <c r="I4447" i="1"/>
  <c r="J4447" i="1"/>
  <c r="K4447" i="1"/>
  <c r="L4447" i="1"/>
  <c r="M4447" i="1"/>
  <c r="N4447" i="1"/>
  <c r="O4447" i="1"/>
  <c r="P4447" i="1"/>
  <c r="Q4447" i="1"/>
  <c r="R4447" i="1"/>
  <c r="S4447" i="1"/>
  <c r="T4447" i="1"/>
  <c r="U4447" i="1"/>
  <c r="V4447" i="1"/>
  <c r="W4447" i="1"/>
  <c r="X4447" i="1"/>
  <c r="Y4447" i="1"/>
  <c r="Z4447" i="1"/>
  <c r="A4448" i="1"/>
  <c r="B4448" i="1"/>
  <c r="C4448" i="1"/>
  <c r="D4448" i="1"/>
  <c r="E4448" i="1"/>
  <c r="F4448" i="1"/>
  <c r="G4448" i="1"/>
  <c r="I4448" i="1"/>
  <c r="J4448" i="1"/>
  <c r="K4448" i="1"/>
  <c r="L4448" i="1"/>
  <c r="M4448" i="1"/>
  <c r="N4448" i="1"/>
  <c r="O4448" i="1"/>
  <c r="P4448" i="1"/>
  <c r="Q4448" i="1"/>
  <c r="R4448" i="1"/>
  <c r="S4448" i="1"/>
  <c r="T4448" i="1"/>
  <c r="U4448" i="1"/>
  <c r="V4448" i="1"/>
  <c r="W4448" i="1"/>
  <c r="X4448" i="1"/>
  <c r="Y4448" i="1"/>
  <c r="Z4448" i="1"/>
  <c r="A4449" i="1"/>
  <c r="B4449" i="1"/>
  <c r="C4449" i="1"/>
  <c r="D4449" i="1"/>
  <c r="E4449" i="1"/>
  <c r="F4449" i="1"/>
  <c r="G4449" i="1"/>
  <c r="I4449" i="1"/>
  <c r="J4449" i="1"/>
  <c r="K4449" i="1"/>
  <c r="L4449" i="1"/>
  <c r="M4449" i="1"/>
  <c r="N4449" i="1"/>
  <c r="O4449" i="1"/>
  <c r="P4449" i="1"/>
  <c r="Q4449" i="1"/>
  <c r="R4449" i="1"/>
  <c r="S4449" i="1"/>
  <c r="T4449" i="1"/>
  <c r="U4449" i="1"/>
  <c r="V4449" i="1"/>
  <c r="W4449" i="1"/>
  <c r="X4449" i="1"/>
  <c r="Y4449" i="1"/>
  <c r="Z4449" i="1"/>
  <c r="A4450" i="1"/>
  <c r="B4450" i="1"/>
  <c r="C4450" i="1"/>
  <c r="D4450" i="1"/>
  <c r="E4450" i="1"/>
  <c r="F4450" i="1"/>
  <c r="G4450" i="1"/>
  <c r="I4450" i="1"/>
  <c r="J4450" i="1"/>
  <c r="K4450" i="1"/>
  <c r="L4450" i="1"/>
  <c r="M4450" i="1"/>
  <c r="N4450" i="1"/>
  <c r="O4450" i="1"/>
  <c r="P4450" i="1"/>
  <c r="Q4450" i="1"/>
  <c r="R4450" i="1"/>
  <c r="S4450" i="1"/>
  <c r="T4450" i="1"/>
  <c r="U4450" i="1"/>
  <c r="V4450" i="1"/>
  <c r="W4450" i="1"/>
  <c r="X4450" i="1"/>
  <c r="Y4450" i="1"/>
  <c r="Z4450" i="1"/>
  <c r="A4451" i="1"/>
  <c r="B4451" i="1"/>
  <c r="C4451" i="1"/>
  <c r="D4451" i="1"/>
  <c r="E4451" i="1"/>
  <c r="F4451" i="1"/>
  <c r="G4451" i="1"/>
  <c r="I4451" i="1"/>
  <c r="J4451" i="1"/>
  <c r="K4451" i="1"/>
  <c r="L4451" i="1"/>
  <c r="M4451" i="1"/>
  <c r="N4451" i="1"/>
  <c r="O4451" i="1"/>
  <c r="P4451" i="1"/>
  <c r="Q4451" i="1"/>
  <c r="R4451" i="1"/>
  <c r="S4451" i="1"/>
  <c r="T4451" i="1"/>
  <c r="U4451" i="1"/>
  <c r="V4451" i="1"/>
  <c r="W4451" i="1"/>
  <c r="X4451" i="1"/>
  <c r="Y4451" i="1"/>
  <c r="Z4451" i="1"/>
  <c r="A4452" i="1"/>
  <c r="B4452" i="1"/>
  <c r="C4452" i="1"/>
  <c r="D4452" i="1"/>
  <c r="E4452" i="1"/>
  <c r="F4452" i="1"/>
  <c r="G4452" i="1"/>
  <c r="I4452" i="1"/>
  <c r="J4452" i="1"/>
  <c r="K4452" i="1"/>
  <c r="L4452" i="1"/>
  <c r="M4452" i="1"/>
  <c r="N4452" i="1"/>
  <c r="O4452" i="1"/>
  <c r="P4452" i="1"/>
  <c r="Q4452" i="1"/>
  <c r="R4452" i="1"/>
  <c r="S4452" i="1"/>
  <c r="T4452" i="1"/>
  <c r="U4452" i="1"/>
  <c r="V4452" i="1"/>
  <c r="W4452" i="1"/>
  <c r="X4452" i="1"/>
  <c r="Y4452" i="1"/>
  <c r="Z4452" i="1"/>
  <c r="A4453" i="1"/>
  <c r="B4453" i="1"/>
  <c r="C4453" i="1"/>
  <c r="D4453" i="1"/>
  <c r="E4453" i="1"/>
  <c r="F4453" i="1"/>
  <c r="G4453" i="1"/>
  <c r="I4453" i="1"/>
  <c r="J4453" i="1"/>
  <c r="K4453" i="1"/>
  <c r="L4453" i="1"/>
  <c r="M4453" i="1"/>
  <c r="N4453" i="1"/>
  <c r="O4453" i="1"/>
  <c r="P4453" i="1"/>
  <c r="Q4453" i="1"/>
  <c r="R4453" i="1"/>
  <c r="S4453" i="1"/>
  <c r="T4453" i="1"/>
  <c r="U4453" i="1"/>
  <c r="V4453" i="1"/>
  <c r="W4453" i="1"/>
  <c r="X4453" i="1"/>
  <c r="Y4453" i="1"/>
  <c r="Z4453" i="1"/>
  <c r="A4454" i="1"/>
  <c r="B4454" i="1"/>
  <c r="C4454" i="1"/>
  <c r="D4454" i="1"/>
  <c r="E4454" i="1"/>
  <c r="F4454" i="1"/>
  <c r="G4454" i="1"/>
  <c r="I4454" i="1"/>
  <c r="J4454" i="1"/>
  <c r="K4454" i="1"/>
  <c r="L4454" i="1"/>
  <c r="M4454" i="1"/>
  <c r="N4454" i="1"/>
  <c r="O4454" i="1"/>
  <c r="P4454" i="1"/>
  <c r="Q4454" i="1"/>
  <c r="R4454" i="1"/>
  <c r="S4454" i="1"/>
  <c r="T4454" i="1"/>
  <c r="U4454" i="1"/>
  <c r="V4454" i="1"/>
  <c r="W4454" i="1"/>
  <c r="X4454" i="1"/>
  <c r="Y4454" i="1"/>
  <c r="Z4454" i="1"/>
  <c r="A4455" i="1"/>
  <c r="B4455" i="1"/>
  <c r="C4455" i="1"/>
  <c r="D4455" i="1"/>
  <c r="E4455" i="1"/>
  <c r="F4455" i="1"/>
  <c r="G4455" i="1"/>
  <c r="I4455" i="1"/>
  <c r="J4455" i="1"/>
  <c r="K4455" i="1"/>
  <c r="L4455" i="1"/>
  <c r="M4455" i="1"/>
  <c r="N4455" i="1"/>
  <c r="O4455" i="1"/>
  <c r="P4455" i="1"/>
  <c r="Q4455" i="1"/>
  <c r="R4455" i="1"/>
  <c r="S4455" i="1"/>
  <c r="T4455" i="1"/>
  <c r="U4455" i="1"/>
  <c r="V4455" i="1"/>
  <c r="W4455" i="1"/>
  <c r="X4455" i="1"/>
  <c r="Y4455" i="1"/>
  <c r="Z4455" i="1"/>
  <c r="A4456" i="1"/>
  <c r="B4456" i="1"/>
  <c r="C4456" i="1"/>
  <c r="D4456" i="1"/>
  <c r="E4456" i="1"/>
  <c r="F4456" i="1"/>
  <c r="G4456" i="1"/>
  <c r="I4456" i="1"/>
  <c r="J4456" i="1"/>
  <c r="K4456" i="1"/>
  <c r="L4456" i="1"/>
  <c r="M4456" i="1"/>
  <c r="N4456" i="1"/>
  <c r="O4456" i="1"/>
  <c r="P4456" i="1"/>
  <c r="Q4456" i="1"/>
  <c r="R4456" i="1"/>
  <c r="S4456" i="1"/>
  <c r="T4456" i="1"/>
  <c r="U4456" i="1"/>
  <c r="V4456" i="1"/>
  <c r="W4456" i="1"/>
  <c r="X4456" i="1"/>
  <c r="Y4456" i="1"/>
  <c r="Z4456" i="1"/>
  <c r="A4457" i="1"/>
  <c r="B4457" i="1"/>
  <c r="C4457" i="1"/>
  <c r="D4457" i="1"/>
  <c r="E4457" i="1"/>
  <c r="F4457" i="1"/>
  <c r="G4457" i="1"/>
  <c r="I4457" i="1"/>
  <c r="J4457" i="1"/>
  <c r="K4457" i="1"/>
  <c r="L4457" i="1"/>
  <c r="M4457" i="1"/>
  <c r="N4457" i="1"/>
  <c r="O4457" i="1"/>
  <c r="P4457" i="1"/>
  <c r="Q4457" i="1"/>
  <c r="R4457" i="1"/>
  <c r="S4457" i="1"/>
  <c r="T4457" i="1"/>
  <c r="U4457" i="1"/>
  <c r="V4457" i="1"/>
  <c r="W4457" i="1"/>
  <c r="X4457" i="1"/>
  <c r="Y4457" i="1"/>
  <c r="Z4457" i="1"/>
  <c r="A4458" i="1"/>
  <c r="B4458" i="1"/>
  <c r="C4458" i="1"/>
  <c r="D4458" i="1"/>
  <c r="E4458" i="1"/>
  <c r="F4458" i="1"/>
  <c r="G4458" i="1"/>
  <c r="I4458" i="1"/>
  <c r="J4458" i="1"/>
  <c r="K4458" i="1"/>
  <c r="L4458" i="1"/>
  <c r="M4458" i="1"/>
  <c r="N4458" i="1"/>
  <c r="O4458" i="1"/>
  <c r="P4458" i="1"/>
  <c r="Q4458" i="1"/>
  <c r="R4458" i="1"/>
  <c r="S4458" i="1"/>
  <c r="T4458" i="1"/>
  <c r="U4458" i="1"/>
  <c r="V4458" i="1"/>
  <c r="W4458" i="1"/>
  <c r="X4458" i="1"/>
  <c r="Y4458" i="1"/>
  <c r="Z4458" i="1"/>
  <c r="A4459" i="1"/>
  <c r="B4459" i="1"/>
  <c r="C4459" i="1"/>
  <c r="D4459" i="1"/>
  <c r="E4459" i="1"/>
  <c r="F4459" i="1"/>
  <c r="G4459" i="1"/>
  <c r="I4459" i="1"/>
  <c r="J4459" i="1"/>
  <c r="K4459" i="1"/>
  <c r="L4459" i="1"/>
  <c r="M4459" i="1"/>
  <c r="N4459" i="1"/>
  <c r="O4459" i="1"/>
  <c r="P4459" i="1"/>
  <c r="Q4459" i="1"/>
  <c r="R4459" i="1"/>
  <c r="S4459" i="1"/>
  <c r="T4459" i="1"/>
  <c r="U4459" i="1"/>
  <c r="V4459" i="1"/>
  <c r="W4459" i="1"/>
  <c r="X4459" i="1"/>
  <c r="Y4459" i="1"/>
  <c r="Z4459" i="1"/>
  <c r="A4460" i="1"/>
  <c r="B4460" i="1"/>
  <c r="C4460" i="1"/>
  <c r="D4460" i="1"/>
  <c r="E4460" i="1"/>
  <c r="F4460" i="1"/>
  <c r="G4460" i="1"/>
  <c r="I4460" i="1"/>
  <c r="J4460" i="1"/>
  <c r="K4460" i="1"/>
  <c r="L4460" i="1"/>
  <c r="M4460" i="1"/>
  <c r="N4460" i="1"/>
  <c r="O4460" i="1"/>
  <c r="P4460" i="1"/>
  <c r="Q4460" i="1"/>
  <c r="R4460" i="1"/>
  <c r="S4460" i="1"/>
  <c r="T4460" i="1"/>
  <c r="U4460" i="1"/>
  <c r="V4460" i="1"/>
  <c r="W4460" i="1"/>
  <c r="X4460" i="1"/>
  <c r="Y4460" i="1"/>
  <c r="Z4460" i="1"/>
  <c r="A4461" i="1"/>
  <c r="B4461" i="1"/>
  <c r="C4461" i="1"/>
  <c r="D4461" i="1"/>
  <c r="E4461" i="1"/>
  <c r="F4461" i="1"/>
  <c r="G4461" i="1"/>
  <c r="I4461" i="1"/>
  <c r="J4461" i="1"/>
  <c r="K4461" i="1"/>
  <c r="L4461" i="1"/>
  <c r="M4461" i="1"/>
  <c r="N4461" i="1"/>
  <c r="O4461" i="1"/>
  <c r="P4461" i="1"/>
  <c r="Q4461" i="1"/>
  <c r="R4461" i="1"/>
  <c r="S4461" i="1"/>
  <c r="T4461" i="1"/>
  <c r="U4461" i="1"/>
  <c r="V4461" i="1"/>
  <c r="W4461" i="1"/>
  <c r="X4461" i="1"/>
  <c r="Y4461" i="1"/>
  <c r="Z4461" i="1"/>
  <c r="A4462" i="1"/>
  <c r="B4462" i="1"/>
  <c r="C4462" i="1"/>
  <c r="D4462" i="1"/>
  <c r="E4462" i="1"/>
  <c r="F4462" i="1"/>
  <c r="G4462" i="1"/>
  <c r="I4462" i="1"/>
  <c r="J4462" i="1"/>
  <c r="K4462" i="1"/>
  <c r="L4462" i="1"/>
  <c r="M4462" i="1"/>
  <c r="N4462" i="1"/>
  <c r="O4462" i="1"/>
  <c r="P4462" i="1"/>
  <c r="Q4462" i="1"/>
  <c r="R4462" i="1"/>
  <c r="S4462" i="1"/>
  <c r="T4462" i="1"/>
  <c r="U4462" i="1"/>
  <c r="V4462" i="1"/>
  <c r="W4462" i="1"/>
  <c r="X4462" i="1"/>
  <c r="Y4462" i="1"/>
  <c r="Z4462" i="1"/>
  <c r="A4463" i="1"/>
  <c r="B4463" i="1"/>
  <c r="C4463" i="1"/>
  <c r="D4463" i="1"/>
  <c r="E4463" i="1"/>
  <c r="F4463" i="1"/>
  <c r="G4463" i="1"/>
  <c r="I4463" i="1"/>
  <c r="J4463" i="1"/>
  <c r="K4463" i="1"/>
  <c r="L4463" i="1"/>
  <c r="M4463" i="1"/>
  <c r="N4463" i="1"/>
  <c r="O4463" i="1"/>
  <c r="P4463" i="1"/>
  <c r="Q4463" i="1"/>
  <c r="R4463" i="1"/>
  <c r="S4463" i="1"/>
  <c r="T4463" i="1"/>
  <c r="U4463" i="1"/>
  <c r="V4463" i="1"/>
  <c r="W4463" i="1"/>
  <c r="X4463" i="1"/>
  <c r="Y4463" i="1"/>
  <c r="Z4463" i="1"/>
  <c r="A4464" i="1"/>
  <c r="B4464" i="1"/>
  <c r="C4464" i="1"/>
  <c r="D4464" i="1"/>
  <c r="E4464" i="1"/>
  <c r="F4464" i="1"/>
  <c r="G4464" i="1"/>
  <c r="I4464" i="1"/>
  <c r="J4464" i="1"/>
  <c r="K4464" i="1"/>
  <c r="L4464" i="1"/>
  <c r="M4464" i="1"/>
  <c r="N4464" i="1"/>
  <c r="O4464" i="1"/>
  <c r="P4464" i="1"/>
  <c r="Q4464" i="1"/>
  <c r="R4464" i="1"/>
  <c r="S4464" i="1"/>
  <c r="T4464" i="1"/>
  <c r="U4464" i="1"/>
  <c r="V4464" i="1"/>
  <c r="W4464" i="1"/>
  <c r="X4464" i="1"/>
  <c r="Y4464" i="1"/>
  <c r="Z4464" i="1"/>
  <c r="A4465" i="1"/>
  <c r="B4465" i="1"/>
  <c r="C4465" i="1"/>
  <c r="D4465" i="1"/>
  <c r="E4465" i="1"/>
  <c r="F4465" i="1"/>
  <c r="G4465" i="1"/>
  <c r="I4465" i="1"/>
  <c r="J4465" i="1"/>
  <c r="K4465" i="1"/>
  <c r="L4465" i="1"/>
  <c r="M4465" i="1"/>
  <c r="N4465" i="1"/>
  <c r="O4465" i="1"/>
  <c r="P4465" i="1"/>
  <c r="Q4465" i="1"/>
  <c r="R4465" i="1"/>
  <c r="S4465" i="1"/>
  <c r="T4465" i="1"/>
  <c r="U4465" i="1"/>
  <c r="V4465" i="1"/>
  <c r="W4465" i="1"/>
  <c r="X4465" i="1"/>
  <c r="Y4465" i="1"/>
  <c r="Z4465" i="1"/>
  <c r="A4466" i="1"/>
  <c r="B4466" i="1"/>
  <c r="C4466" i="1"/>
  <c r="D4466" i="1"/>
  <c r="E4466" i="1"/>
  <c r="F4466" i="1"/>
  <c r="G4466" i="1"/>
  <c r="I4466" i="1"/>
  <c r="J4466" i="1"/>
  <c r="K4466" i="1"/>
  <c r="L4466" i="1"/>
  <c r="M4466" i="1"/>
  <c r="N4466" i="1"/>
  <c r="O4466" i="1"/>
  <c r="P4466" i="1"/>
  <c r="Q4466" i="1"/>
  <c r="R4466" i="1"/>
  <c r="S4466" i="1"/>
  <c r="T4466" i="1"/>
  <c r="U4466" i="1"/>
  <c r="V4466" i="1"/>
  <c r="W4466" i="1"/>
  <c r="X4466" i="1"/>
  <c r="Y4466" i="1"/>
  <c r="Z4466" i="1"/>
  <c r="A4467" i="1"/>
  <c r="B4467" i="1"/>
  <c r="C4467" i="1"/>
  <c r="D4467" i="1"/>
  <c r="E4467" i="1"/>
  <c r="F4467" i="1"/>
  <c r="G4467" i="1"/>
  <c r="I4467" i="1"/>
  <c r="J4467" i="1"/>
  <c r="K4467" i="1"/>
  <c r="L4467" i="1"/>
  <c r="M4467" i="1"/>
  <c r="N4467" i="1"/>
  <c r="O4467" i="1"/>
  <c r="P4467" i="1"/>
  <c r="Q4467" i="1"/>
  <c r="R4467" i="1"/>
  <c r="S4467" i="1"/>
  <c r="T4467" i="1"/>
  <c r="U4467" i="1"/>
  <c r="V4467" i="1"/>
  <c r="W4467" i="1"/>
  <c r="X4467" i="1"/>
  <c r="Y4467" i="1"/>
  <c r="Z4467" i="1"/>
  <c r="A4468" i="1"/>
  <c r="B4468" i="1"/>
  <c r="C4468" i="1"/>
  <c r="D4468" i="1"/>
  <c r="E4468" i="1"/>
  <c r="F4468" i="1"/>
  <c r="G4468" i="1"/>
  <c r="I4468" i="1"/>
  <c r="J4468" i="1"/>
  <c r="K4468" i="1"/>
  <c r="L4468" i="1"/>
  <c r="M4468" i="1"/>
  <c r="N4468" i="1"/>
  <c r="O4468" i="1"/>
  <c r="P4468" i="1"/>
  <c r="Q4468" i="1"/>
  <c r="R4468" i="1"/>
  <c r="S4468" i="1"/>
  <c r="T4468" i="1"/>
  <c r="U4468" i="1"/>
  <c r="V4468" i="1"/>
  <c r="W4468" i="1"/>
  <c r="X4468" i="1"/>
  <c r="Y4468" i="1"/>
  <c r="Z4468" i="1"/>
  <c r="A4469" i="1"/>
  <c r="B4469" i="1"/>
  <c r="C4469" i="1"/>
  <c r="D4469" i="1"/>
  <c r="E4469" i="1"/>
  <c r="F4469" i="1"/>
  <c r="G4469" i="1"/>
  <c r="I4469" i="1"/>
  <c r="J4469" i="1"/>
  <c r="K4469" i="1"/>
  <c r="L4469" i="1"/>
  <c r="M4469" i="1"/>
  <c r="N4469" i="1"/>
  <c r="O4469" i="1"/>
  <c r="P4469" i="1"/>
  <c r="Q4469" i="1"/>
  <c r="R4469" i="1"/>
  <c r="S4469" i="1"/>
  <c r="T4469" i="1"/>
  <c r="U4469" i="1"/>
  <c r="V4469" i="1"/>
  <c r="W4469" i="1"/>
  <c r="X4469" i="1"/>
  <c r="Y4469" i="1"/>
  <c r="Z4469" i="1"/>
  <c r="A4470" i="1"/>
  <c r="B4470" i="1"/>
  <c r="C4470" i="1"/>
  <c r="D4470" i="1"/>
  <c r="E4470" i="1"/>
  <c r="F4470" i="1"/>
  <c r="G4470" i="1"/>
  <c r="I4470" i="1"/>
  <c r="J4470" i="1"/>
  <c r="K4470" i="1"/>
  <c r="L4470" i="1"/>
  <c r="M4470" i="1"/>
  <c r="N4470" i="1"/>
  <c r="O4470" i="1"/>
  <c r="P4470" i="1"/>
  <c r="Q4470" i="1"/>
  <c r="R4470" i="1"/>
  <c r="S4470" i="1"/>
  <c r="T4470" i="1"/>
  <c r="U4470" i="1"/>
  <c r="V4470" i="1"/>
  <c r="W4470" i="1"/>
  <c r="X4470" i="1"/>
  <c r="Y4470" i="1"/>
  <c r="Z4470" i="1"/>
  <c r="A4471" i="1"/>
  <c r="B4471" i="1"/>
  <c r="C4471" i="1"/>
  <c r="D4471" i="1"/>
  <c r="E4471" i="1"/>
  <c r="F4471" i="1"/>
  <c r="G4471" i="1"/>
  <c r="I4471" i="1"/>
  <c r="J4471" i="1"/>
  <c r="K4471" i="1"/>
  <c r="L4471" i="1"/>
  <c r="M4471" i="1"/>
  <c r="N4471" i="1"/>
  <c r="O4471" i="1"/>
  <c r="P4471" i="1"/>
  <c r="Q4471" i="1"/>
  <c r="R4471" i="1"/>
  <c r="S4471" i="1"/>
  <c r="T4471" i="1"/>
  <c r="U4471" i="1"/>
  <c r="V4471" i="1"/>
  <c r="W4471" i="1"/>
  <c r="X4471" i="1"/>
  <c r="Y4471" i="1"/>
  <c r="Z4471" i="1"/>
  <c r="A4472" i="1"/>
  <c r="B4472" i="1"/>
  <c r="C4472" i="1"/>
  <c r="D4472" i="1"/>
  <c r="E4472" i="1"/>
  <c r="F4472" i="1"/>
  <c r="G4472" i="1"/>
  <c r="I4472" i="1"/>
  <c r="J4472" i="1"/>
  <c r="K4472" i="1"/>
  <c r="L4472" i="1"/>
  <c r="M4472" i="1"/>
  <c r="N4472" i="1"/>
  <c r="O4472" i="1"/>
  <c r="P4472" i="1"/>
  <c r="Q4472" i="1"/>
  <c r="R4472" i="1"/>
  <c r="S4472" i="1"/>
  <c r="T4472" i="1"/>
  <c r="U4472" i="1"/>
  <c r="V4472" i="1"/>
  <c r="W4472" i="1"/>
  <c r="X4472" i="1"/>
  <c r="Y4472" i="1"/>
  <c r="Z4472" i="1"/>
  <c r="A4473" i="1"/>
  <c r="B4473" i="1"/>
  <c r="C4473" i="1"/>
  <c r="D4473" i="1"/>
  <c r="E4473" i="1"/>
  <c r="F4473" i="1"/>
  <c r="G4473" i="1"/>
  <c r="I4473" i="1"/>
  <c r="J4473" i="1"/>
  <c r="K4473" i="1"/>
  <c r="L4473" i="1"/>
  <c r="M4473" i="1"/>
  <c r="N4473" i="1"/>
  <c r="O4473" i="1"/>
  <c r="P4473" i="1"/>
  <c r="Q4473" i="1"/>
  <c r="R4473" i="1"/>
  <c r="S4473" i="1"/>
  <c r="T4473" i="1"/>
  <c r="U4473" i="1"/>
  <c r="V4473" i="1"/>
  <c r="W4473" i="1"/>
  <c r="X4473" i="1"/>
  <c r="Y4473" i="1"/>
  <c r="Z4473" i="1"/>
  <c r="A4474" i="1"/>
  <c r="B4474" i="1"/>
  <c r="C4474" i="1"/>
  <c r="D4474" i="1"/>
  <c r="E4474" i="1"/>
  <c r="F4474" i="1"/>
  <c r="G4474" i="1"/>
  <c r="I4474" i="1"/>
  <c r="J4474" i="1"/>
  <c r="K4474" i="1"/>
  <c r="L4474" i="1"/>
  <c r="M4474" i="1"/>
  <c r="N4474" i="1"/>
  <c r="O4474" i="1"/>
  <c r="P4474" i="1"/>
  <c r="Q4474" i="1"/>
  <c r="R4474" i="1"/>
  <c r="S4474" i="1"/>
  <c r="T4474" i="1"/>
  <c r="U4474" i="1"/>
  <c r="V4474" i="1"/>
  <c r="W4474" i="1"/>
  <c r="X4474" i="1"/>
  <c r="Y4474" i="1"/>
  <c r="Z4474" i="1"/>
  <c r="A4475" i="1"/>
  <c r="B4475" i="1"/>
  <c r="C4475" i="1"/>
  <c r="D4475" i="1"/>
  <c r="E4475" i="1"/>
  <c r="F4475" i="1"/>
  <c r="G4475" i="1"/>
  <c r="I4475" i="1"/>
  <c r="J4475" i="1"/>
  <c r="K4475" i="1"/>
  <c r="L4475" i="1"/>
  <c r="M4475" i="1"/>
  <c r="N4475" i="1"/>
  <c r="O4475" i="1"/>
  <c r="P4475" i="1"/>
  <c r="Q4475" i="1"/>
  <c r="R4475" i="1"/>
  <c r="S4475" i="1"/>
  <c r="T4475" i="1"/>
  <c r="U4475" i="1"/>
  <c r="V4475" i="1"/>
  <c r="W4475" i="1"/>
  <c r="X4475" i="1"/>
  <c r="Y4475" i="1"/>
  <c r="Z4475" i="1"/>
  <c r="A4476" i="1"/>
  <c r="B4476" i="1"/>
  <c r="C4476" i="1"/>
  <c r="D4476" i="1"/>
  <c r="E4476" i="1"/>
  <c r="F4476" i="1"/>
  <c r="G4476" i="1"/>
  <c r="I4476" i="1"/>
  <c r="J4476" i="1"/>
  <c r="K4476" i="1"/>
  <c r="L4476" i="1"/>
  <c r="M4476" i="1"/>
  <c r="N4476" i="1"/>
  <c r="O4476" i="1"/>
  <c r="P4476" i="1"/>
  <c r="Q4476" i="1"/>
  <c r="R4476" i="1"/>
  <c r="S4476" i="1"/>
  <c r="T4476" i="1"/>
  <c r="U4476" i="1"/>
  <c r="V4476" i="1"/>
  <c r="W4476" i="1"/>
  <c r="X4476" i="1"/>
  <c r="Y4476" i="1"/>
  <c r="Z4476" i="1"/>
  <c r="A4477" i="1"/>
  <c r="B4477" i="1"/>
  <c r="C4477" i="1"/>
  <c r="D4477" i="1"/>
  <c r="E4477" i="1"/>
  <c r="F4477" i="1"/>
  <c r="G4477" i="1"/>
  <c r="I4477" i="1"/>
  <c r="J4477" i="1"/>
  <c r="K4477" i="1"/>
  <c r="L4477" i="1"/>
  <c r="M4477" i="1"/>
  <c r="N4477" i="1"/>
  <c r="O4477" i="1"/>
  <c r="P4477" i="1"/>
  <c r="Q4477" i="1"/>
  <c r="R4477" i="1"/>
  <c r="S4477" i="1"/>
  <c r="T4477" i="1"/>
  <c r="U4477" i="1"/>
  <c r="V4477" i="1"/>
  <c r="W4477" i="1"/>
  <c r="X4477" i="1"/>
  <c r="Y4477" i="1"/>
  <c r="Z4477" i="1"/>
  <c r="A4478" i="1"/>
  <c r="B4478" i="1"/>
  <c r="C4478" i="1"/>
  <c r="D4478" i="1"/>
  <c r="E4478" i="1"/>
  <c r="F4478" i="1"/>
  <c r="G4478" i="1"/>
  <c r="I4478" i="1"/>
  <c r="J4478" i="1"/>
  <c r="K4478" i="1"/>
  <c r="L4478" i="1"/>
  <c r="M4478" i="1"/>
  <c r="N4478" i="1"/>
  <c r="O4478" i="1"/>
  <c r="P4478" i="1"/>
  <c r="Q4478" i="1"/>
  <c r="R4478" i="1"/>
  <c r="S4478" i="1"/>
  <c r="T4478" i="1"/>
  <c r="U4478" i="1"/>
  <c r="V4478" i="1"/>
  <c r="W4478" i="1"/>
  <c r="X4478" i="1"/>
  <c r="Y4478" i="1"/>
  <c r="Z4478" i="1"/>
  <c r="A4479" i="1"/>
  <c r="B4479" i="1"/>
  <c r="C4479" i="1"/>
  <c r="D4479" i="1"/>
  <c r="E4479" i="1"/>
  <c r="F4479" i="1"/>
  <c r="G4479" i="1"/>
  <c r="I4479" i="1"/>
  <c r="J4479" i="1"/>
  <c r="K4479" i="1"/>
  <c r="L4479" i="1"/>
  <c r="M4479" i="1"/>
  <c r="N4479" i="1"/>
  <c r="O4479" i="1"/>
  <c r="P4479" i="1"/>
  <c r="Q4479" i="1"/>
  <c r="R4479" i="1"/>
  <c r="S4479" i="1"/>
  <c r="T4479" i="1"/>
  <c r="U4479" i="1"/>
  <c r="V4479" i="1"/>
  <c r="W4479" i="1"/>
  <c r="X4479" i="1"/>
  <c r="Y4479" i="1"/>
  <c r="Z4479" i="1"/>
  <c r="A4480" i="1"/>
  <c r="B4480" i="1"/>
  <c r="C4480" i="1"/>
  <c r="D4480" i="1"/>
  <c r="E4480" i="1"/>
  <c r="F4480" i="1"/>
  <c r="G4480" i="1"/>
  <c r="I4480" i="1"/>
  <c r="J4480" i="1"/>
  <c r="K4480" i="1"/>
  <c r="L4480" i="1"/>
  <c r="M4480" i="1"/>
  <c r="N4480" i="1"/>
  <c r="O4480" i="1"/>
  <c r="P4480" i="1"/>
  <c r="Q4480" i="1"/>
  <c r="R4480" i="1"/>
  <c r="S4480" i="1"/>
  <c r="T4480" i="1"/>
  <c r="U4480" i="1"/>
  <c r="V4480" i="1"/>
  <c r="W4480" i="1"/>
  <c r="X4480" i="1"/>
  <c r="Y4480" i="1"/>
  <c r="Z4480" i="1"/>
  <c r="A4481" i="1"/>
  <c r="B4481" i="1"/>
  <c r="C4481" i="1"/>
  <c r="D4481" i="1"/>
  <c r="E4481" i="1"/>
  <c r="F4481" i="1"/>
  <c r="G4481" i="1"/>
  <c r="I4481" i="1"/>
  <c r="J4481" i="1"/>
  <c r="K4481" i="1"/>
  <c r="L4481" i="1"/>
  <c r="M4481" i="1"/>
  <c r="N4481" i="1"/>
  <c r="O4481" i="1"/>
  <c r="P4481" i="1"/>
  <c r="Q4481" i="1"/>
  <c r="R4481" i="1"/>
  <c r="S4481" i="1"/>
  <c r="T4481" i="1"/>
  <c r="U4481" i="1"/>
  <c r="V4481" i="1"/>
  <c r="W4481" i="1"/>
  <c r="X4481" i="1"/>
  <c r="Y4481" i="1"/>
  <c r="Z4481" i="1"/>
  <c r="A4482" i="1"/>
  <c r="B4482" i="1"/>
  <c r="C4482" i="1"/>
  <c r="D4482" i="1"/>
  <c r="E4482" i="1"/>
  <c r="F4482" i="1"/>
  <c r="G4482" i="1"/>
  <c r="I4482" i="1"/>
  <c r="J4482" i="1"/>
  <c r="K4482" i="1"/>
  <c r="L4482" i="1"/>
  <c r="M4482" i="1"/>
  <c r="N4482" i="1"/>
  <c r="O4482" i="1"/>
  <c r="P4482" i="1"/>
  <c r="Q4482" i="1"/>
  <c r="R4482" i="1"/>
  <c r="S4482" i="1"/>
  <c r="T4482" i="1"/>
  <c r="U4482" i="1"/>
  <c r="V4482" i="1"/>
  <c r="W4482" i="1"/>
  <c r="X4482" i="1"/>
  <c r="Y4482" i="1"/>
  <c r="Z4482" i="1"/>
  <c r="A4483" i="1"/>
  <c r="B4483" i="1"/>
  <c r="C4483" i="1"/>
  <c r="D4483" i="1"/>
  <c r="E4483" i="1"/>
  <c r="F4483" i="1"/>
  <c r="G4483" i="1"/>
  <c r="I4483" i="1"/>
  <c r="J4483" i="1"/>
  <c r="K4483" i="1"/>
  <c r="L4483" i="1"/>
  <c r="M4483" i="1"/>
  <c r="N4483" i="1"/>
  <c r="O4483" i="1"/>
  <c r="P4483" i="1"/>
  <c r="Q4483" i="1"/>
  <c r="R4483" i="1"/>
  <c r="S4483" i="1"/>
  <c r="T4483" i="1"/>
  <c r="U4483" i="1"/>
  <c r="V4483" i="1"/>
  <c r="W4483" i="1"/>
  <c r="X4483" i="1"/>
  <c r="Y4483" i="1"/>
  <c r="Z4483" i="1"/>
  <c r="A4484" i="1"/>
  <c r="B4484" i="1"/>
  <c r="C4484" i="1"/>
  <c r="D4484" i="1"/>
  <c r="E4484" i="1"/>
  <c r="F4484" i="1"/>
  <c r="G4484" i="1"/>
  <c r="I4484" i="1"/>
  <c r="J4484" i="1"/>
  <c r="K4484" i="1"/>
  <c r="L4484" i="1"/>
  <c r="M4484" i="1"/>
  <c r="N4484" i="1"/>
  <c r="O4484" i="1"/>
  <c r="P4484" i="1"/>
  <c r="Q4484" i="1"/>
  <c r="R4484" i="1"/>
  <c r="S4484" i="1"/>
  <c r="T4484" i="1"/>
  <c r="U4484" i="1"/>
  <c r="V4484" i="1"/>
  <c r="W4484" i="1"/>
  <c r="X4484" i="1"/>
  <c r="Y4484" i="1"/>
  <c r="Z4484" i="1"/>
  <c r="A4485" i="1"/>
  <c r="B4485" i="1"/>
  <c r="C4485" i="1"/>
  <c r="D4485" i="1"/>
  <c r="E4485" i="1"/>
  <c r="F4485" i="1"/>
  <c r="G4485" i="1"/>
  <c r="I4485" i="1"/>
  <c r="J4485" i="1"/>
  <c r="K4485" i="1"/>
  <c r="L4485" i="1"/>
  <c r="M4485" i="1"/>
  <c r="N4485" i="1"/>
  <c r="O4485" i="1"/>
  <c r="P4485" i="1"/>
  <c r="Q4485" i="1"/>
  <c r="R4485" i="1"/>
  <c r="S4485" i="1"/>
  <c r="T4485" i="1"/>
  <c r="U4485" i="1"/>
  <c r="V4485" i="1"/>
  <c r="W4485" i="1"/>
  <c r="X4485" i="1"/>
  <c r="Y4485" i="1"/>
  <c r="Z4485" i="1"/>
  <c r="A4486" i="1"/>
  <c r="B4486" i="1"/>
  <c r="C4486" i="1"/>
  <c r="D4486" i="1"/>
  <c r="E4486" i="1"/>
  <c r="F4486" i="1"/>
  <c r="G4486" i="1"/>
  <c r="I4486" i="1"/>
  <c r="J4486" i="1"/>
  <c r="K4486" i="1"/>
  <c r="L4486" i="1"/>
  <c r="M4486" i="1"/>
  <c r="N4486" i="1"/>
  <c r="O4486" i="1"/>
  <c r="P4486" i="1"/>
  <c r="Q4486" i="1"/>
  <c r="R4486" i="1"/>
  <c r="S4486" i="1"/>
  <c r="T4486" i="1"/>
  <c r="U4486" i="1"/>
  <c r="V4486" i="1"/>
  <c r="W4486" i="1"/>
  <c r="X4486" i="1"/>
  <c r="Y4486" i="1"/>
  <c r="Z4486" i="1"/>
  <c r="A4487" i="1"/>
  <c r="B4487" i="1"/>
  <c r="C4487" i="1"/>
  <c r="D4487" i="1"/>
  <c r="E4487" i="1"/>
  <c r="F4487" i="1"/>
  <c r="G4487" i="1"/>
  <c r="I4487" i="1"/>
  <c r="J4487" i="1"/>
  <c r="K4487" i="1"/>
  <c r="L4487" i="1"/>
  <c r="M4487" i="1"/>
  <c r="N4487" i="1"/>
  <c r="O4487" i="1"/>
  <c r="P4487" i="1"/>
  <c r="Q4487" i="1"/>
  <c r="R4487" i="1"/>
  <c r="S4487" i="1"/>
  <c r="T4487" i="1"/>
  <c r="U4487" i="1"/>
  <c r="V4487" i="1"/>
  <c r="W4487" i="1"/>
  <c r="X4487" i="1"/>
  <c r="Y4487" i="1"/>
  <c r="Z4487" i="1"/>
  <c r="A4488" i="1"/>
  <c r="B4488" i="1"/>
  <c r="C4488" i="1"/>
  <c r="D4488" i="1"/>
  <c r="E4488" i="1"/>
  <c r="F4488" i="1"/>
  <c r="G4488" i="1"/>
  <c r="I4488" i="1"/>
  <c r="J4488" i="1"/>
  <c r="K4488" i="1"/>
  <c r="L4488" i="1"/>
  <c r="M4488" i="1"/>
  <c r="N4488" i="1"/>
  <c r="O4488" i="1"/>
  <c r="P4488" i="1"/>
  <c r="Q4488" i="1"/>
  <c r="R4488" i="1"/>
  <c r="S4488" i="1"/>
  <c r="T4488" i="1"/>
  <c r="U4488" i="1"/>
  <c r="V4488" i="1"/>
  <c r="W4488" i="1"/>
  <c r="X4488" i="1"/>
  <c r="Y4488" i="1"/>
  <c r="Z4488" i="1"/>
  <c r="A4489" i="1"/>
  <c r="B4489" i="1"/>
  <c r="C4489" i="1"/>
  <c r="D4489" i="1"/>
  <c r="E4489" i="1"/>
  <c r="F4489" i="1"/>
  <c r="G4489" i="1"/>
  <c r="I4489" i="1"/>
  <c r="J4489" i="1"/>
  <c r="K4489" i="1"/>
  <c r="L4489" i="1"/>
  <c r="M4489" i="1"/>
  <c r="N4489" i="1"/>
  <c r="O4489" i="1"/>
  <c r="P4489" i="1"/>
  <c r="Q4489" i="1"/>
  <c r="R4489" i="1"/>
  <c r="S4489" i="1"/>
  <c r="T4489" i="1"/>
  <c r="U4489" i="1"/>
  <c r="V4489" i="1"/>
  <c r="W4489" i="1"/>
  <c r="X4489" i="1"/>
  <c r="Y4489" i="1"/>
  <c r="Z4489" i="1"/>
  <c r="A4490" i="1"/>
  <c r="B4490" i="1"/>
  <c r="C4490" i="1"/>
  <c r="D4490" i="1"/>
  <c r="E4490" i="1"/>
  <c r="F4490" i="1"/>
  <c r="G4490" i="1"/>
  <c r="I4490" i="1"/>
  <c r="J4490" i="1"/>
  <c r="K4490" i="1"/>
  <c r="L4490" i="1"/>
  <c r="M4490" i="1"/>
  <c r="N4490" i="1"/>
  <c r="O4490" i="1"/>
  <c r="P4490" i="1"/>
  <c r="Q4490" i="1"/>
  <c r="R4490" i="1"/>
  <c r="S4490" i="1"/>
  <c r="T4490" i="1"/>
  <c r="U4490" i="1"/>
  <c r="V4490" i="1"/>
  <c r="W4490" i="1"/>
  <c r="X4490" i="1"/>
  <c r="Y4490" i="1"/>
  <c r="Z4490" i="1"/>
  <c r="A4491" i="1"/>
  <c r="B4491" i="1"/>
  <c r="C4491" i="1"/>
  <c r="D4491" i="1"/>
  <c r="E4491" i="1"/>
  <c r="F4491" i="1"/>
  <c r="G4491" i="1"/>
  <c r="I4491" i="1"/>
  <c r="J4491" i="1"/>
  <c r="K4491" i="1"/>
  <c r="L4491" i="1"/>
  <c r="M4491" i="1"/>
  <c r="N4491" i="1"/>
  <c r="O4491" i="1"/>
  <c r="P4491" i="1"/>
  <c r="Q4491" i="1"/>
  <c r="R4491" i="1"/>
  <c r="S4491" i="1"/>
  <c r="T4491" i="1"/>
  <c r="U4491" i="1"/>
  <c r="V4491" i="1"/>
  <c r="W4491" i="1"/>
  <c r="X4491" i="1"/>
  <c r="Y4491" i="1"/>
  <c r="Z4491" i="1"/>
  <c r="A4492" i="1"/>
  <c r="B4492" i="1"/>
  <c r="C4492" i="1"/>
  <c r="D4492" i="1"/>
  <c r="E4492" i="1"/>
  <c r="F4492" i="1"/>
  <c r="G4492" i="1"/>
  <c r="I4492" i="1"/>
  <c r="J4492" i="1"/>
  <c r="K4492" i="1"/>
  <c r="L4492" i="1"/>
  <c r="M4492" i="1"/>
  <c r="N4492" i="1"/>
  <c r="O4492" i="1"/>
  <c r="P4492" i="1"/>
  <c r="Q4492" i="1"/>
  <c r="R4492" i="1"/>
  <c r="S4492" i="1"/>
  <c r="T4492" i="1"/>
  <c r="U4492" i="1"/>
  <c r="V4492" i="1"/>
  <c r="W4492" i="1"/>
  <c r="X4492" i="1"/>
  <c r="Y4492" i="1"/>
  <c r="Z4492" i="1"/>
  <c r="A4493" i="1"/>
  <c r="B4493" i="1"/>
  <c r="C4493" i="1"/>
  <c r="D4493" i="1"/>
  <c r="E4493" i="1"/>
  <c r="F4493" i="1"/>
  <c r="G4493" i="1"/>
  <c r="I4493" i="1"/>
  <c r="J4493" i="1"/>
  <c r="K4493" i="1"/>
  <c r="L4493" i="1"/>
  <c r="M4493" i="1"/>
  <c r="N4493" i="1"/>
  <c r="O4493" i="1"/>
  <c r="P4493" i="1"/>
  <c r="Q4493" i="1"/>
  <c r="R4493" i="1"/>
  <c r="S4493" i="1"/>
  <c r="T4493" i="1"/>
  <c r="U4493" i="1"/>
  <c r="V4493" i="1"/>
  <c r="W4493" i="1"/>
  <c r="X4493" i="1"/>
  <c r="Y4493" i="1"/>
  <c r="Z4493" i="1"/>
  <c r="A4494" i="1"/>
  <c r="B4494" i="1"/>
  <c r="C4494" i="1"/>
  <c r="D4494" i="1"/>
  <c r="E4494" i="1"/>
  <c r="F4494" i="1"/>
  <c r="G4494" i="1"/>
  <c r="I4494" i="1"/>
  <c r="J4494" i="1"/>
  <c r="K4494" i="1"/>
  <c r="L4494" i="1"/>
  <c r="M4494" i="1"/>
  <c r="N4494" i="1"/>
  <c r="O4494" i="1"/>
  <c r="P4494" i="1"/>
  <c r="Q4494" i="1"/>
  <c r="R4494" i="1"/>
  <c r="S4494" i="1"/>
  <c r="T4494" i="1"/>
  <c r="U4494" i="1"/>
  <c r="V4494" i="1"/>
  <c r="W4494" i="1"/>
  <c r="X4494" i="1"/>
  <c r="Y4494" i="1"/>
  <c r="Z4494" i="1"/>
  <c r="A4495" i="1"/>
  <c r="B4495" i="1"/>
  <c r="C4495" i="1"/>
  <c r="D4495" i="1"/>
  <c r="E4495" i="1"/>
  <c r="F4495" i="1"/>
  <c r="G4495" i="1"/>
  <c r="I4495" i="1"/>
  <c r="J4495" i="1"/>
  <c r="K4495" i="1"/>
  <c r="L4495" i="1"/>
  <c r="M4495" i="1"/>
  <c r="N4495" i="1"/>
  <c r="O4495" i="1"/>
  <c r="P4495" i="1"/>
  <c r="Q4495" i="1"/>
  <c r="R4495" i="1"/>
  <c r="S4495" i="1"/>
  <c r="T4495" i="1"/>
  <c r="U4495" i="1"/>
  <c r="V4495" i="1"/>
  <c r="W4495" i="1"/>
  <c r="X4495" i="1"/>
  <c r="Y4495" i="1"/>
  <c r="Z4495" i="1"/>
  <c r="A4496" i="1"/>
  <c r="B4496" i="1"/>
  <c r="C4496" i="1"/>
  <c r="D4496" i="1"/>
  <c r="E4496" i="1"/>
  <c r="F4496" i="1"/>
  <c r="G4496" i="1"/>
  <c r="I4496" i="1"/>
  <c r="J4496" i="1"/>
  <c r="K4496" i="1"/>
  <c r="L4496" i="1"/>
  <c r="M4496" i="1"/>
  <c r="N4496" i="1"/>
  <c r="O4496" i="1"/>
  <c r="P4496" i="1"/>
  <c r="Q4496" i="1"/>
  <c r="R4496" i="1"/>
  <c r="S4496" i="1"/>
  <c r="T4496" i="1"/>
  <c r="U4496" i="1"/>
  <c r="V4496" i="1"/>
  <c r="W4496" i="1"/>
  <c r="X4496" i="1"/>
  <c r="Y4496" i="1"/>
  <c r="Z4496" i="1"/>
  <c r="A4497" i="1"/>
  <c r="B4497" i="1"/>
  <c r="C4497" i="1"/>
  <c r="D4497" i="1"/>
  <c r="E4497" i="1"/>
  <c r="F4497" i="1"/>
  <c r="G4497" i="1"/>
  <c r="I4497" i="1"/>
  <c r="J4497" i="1"/>
  <c r="K4497" i="1"/>
  <c r="L4497" i="1"/>
  <c r="M4497" i="1"/>
  <c r="N4497" i="1"/>
  <c r="O4497" i="1"/>
  <c r="P4497" i="1"/>
  <c r="Q4497" i="1"/>
  <c r="R4497" i="1"/>
  <c r="S4497" i="1"/>
  <c r="T4497" i="1"/>
  <c r="U4497" i="1"/>
  <c r="V4497" i="1"/>
  <c r="W4497" i="1"/>
  <c r="X4497" i="1"/>
  <c r="Y4497" i="1"/>
  <c r="Z4497" i="1"/>
  <c r="A4498" i="1"/>
  <c r="B4498" i="1"/>
  <c r="C4498" i="1"/>
  <c r="D4498" i="1"/>
  <c r="E4498" i="1"/>
  <c r="F4498" i="1"/>
  <c r="G4498" i="1"/>
  <c r="I4498" i="1"/>
  <c r="J4498" i="1"/>
  <c r="K4498" i="1"/>
  <c r="L4498" i="1"/>
  <c r="M4498" i="1"/>
  <c r="N4498" i="1"/>
  <c r="O4498" i="1"/>
  <c r="P4498" i="1"/>
  <c r="Q4498" i="1"/>
  <c r="R4498" i="1"/>
  <c r="S4498" i="1"/>
  <c r="T4498" i="1"/>
  <c r="U4498" i="1"/>
  <c r="V4498" i="1"/>
  <c r="W4498" i="1"/>
  <c r="X4498" i="1"/>
  <c r="Y4498" i="1"/>
  <c r="Z4498" i="1"/>
  <c r="A4499" i="1"/>
  <c r="B4499" i="1"/>
  <c r="C4499" i="1"/>
  <c r="D4499" i="1"/>
  <c r="E4499" i="1"/>
  <c r="F4499" i="1"/>
  <c r="G4499" i="1"/>
  <c r="I4499" i="1"/>
  <c r="J4499" i="1"/>
  <c r="K4499" i="1"/>
  <c r="L4499" i="1"/>
  <c r="M4499" i="1"/>
  <c r="N4499" i="1"/>
  <c r="O4499" i="1"/>
  <c r="P4499" i="1"/>
  <c r="Q4499" i="1"/>
  <c r="R4499" i="1"/>
  <c r="S4499" i="1"/>
  <c r="T4499" i="1"/>
  <c r="U4499" i="1"/>
  <c r="V4499" i="1"/>
  <c r="W4499" i="1"/>
  <c r="X4499" i="1"/>
  <c r="Y4499" i="1"/>
  <c r="Z4499" i="1"/>
  <c r="A4500" i="1"/>
  <c r="B4500" i="1"/>
  <c r="C4500" i="1"/>
  <c r="D4500" i="1"/>
  <c r="E4500" i="1"/>
  <c r="F4500" i="1"/>
  <c r="G4500" i="1"/>
  <c r="I4500" i="1"/>
  <c r="J4500" i="1"/>
  <c r="K4500" i="1"/>
  <c r="L4500" i="1"/>
  <c r="M4500" i="1"/>
  <c r="N4500" i="1"/>
  <c r="O4500" i="1"/>
  <c r="P4500" i="1"/>
  <c r="Q4500" i="1"/>
  <c r="R4500" i="1"/>
  <c r="S4500" i="1"/>
  <c r="T4500" i="1"/>
  <c r="U4500" i="1"/>
  <c r="V4500" i="1"/>
  <c r="W4500" i="1"/>
  <c r="X4500" i="1"/>
  <c r="Y4500" i="1"/>
  <c r="Z4500" i="1"/>
  <c r="A4501" i="1"/>
  <c r="B4501" i="1"/>
  <c r="C4501" i="1"/>
  <c r="D4501" i="1"/>
  <c r="E4501" i="1"/>
  <c r="F4501" i="1"/>
  <c r="G4501" i="1"/>
  <c r="I4501" i="1"/>
  <c r="J4501" i="1"/>
  <c r="K4501" i="1"/>
  <c r="L4501" i="1"/>
  <c r="M4501" i="1"/>
  <c r="N4501" i="1"/>
  <c r="O4501" i="1"/>
  <c r="P4501" i="1"/>
  <c r="Q4501" i="1"/>
  <c r="R4501" i="1"/>
  <c r="S4501" i="1"/>
  <c r="T4501" i="1"/>
  <c r="U4501" i="1"/>
  <c r="V4501" i="1"/>
  <c r="W4501" i="1"/>
  <c r="X4501" i="1"/>
  <c r="Y4501" i="1"/>
  <c r="Z4501" i="1"/>
  <c r="A4502" i="1"/>
  <c r="B4502" i="1"/>
  <c r="C4502" i="1"/>
  <c r="D4502" i="1"/>
  <c r="E4502" i="1"/>
  <c r="F4502" i="1"/>
  <c r="G4502" i="1"/>
  <c r="I4502" i="1"/>
  <c r="J4502" i="1"/>
  <c r="K4502" i="1"/>
  <c r="L4502" i="1"/>
  <c r="M4502" i="1"/>
  <c r="N4502" i="1"/>
  <c r="O4502" i="1"/>
  <c r="P4502" i="1"/>
  <c r="Q4502" i="1"/>
  <c r="R4502" i="1"/>
  <c r="S4502" i="1"/>
  <c r="T4502" i="1"/>
  <c r="U4502" i="1"/>
  <c r="V4502" i="1"/>
  <c r="W4502" i="1"/>
  <c r="X4502" i="1"/>
  <c r="Y4502" i="1"/>
  <c r="Z4502" i="1"/>
  <c r="A4503" i="1"/>
  <c r="B4503" i="1"/>
  <c r="C4503" i="1"/>
  <c r="D4503" i="1"/>
  <c r="E4503" i="1"/>
  <c r="F4503" i="1"/>
  <c r="G4503" i="1"/>
  <c r="I4503" i="1"/>
  <c r="J4503" i="1"/>
  <c r="K4503" i="1"/>
  <c r="L4503" i="1"/>
  <c r="M4503" i="1"/>
  <c r="N4503" i="1"/>
  <c r="O4503" i="1"/>
  <c r="P4503" i="1"/>
  <c r="Q4503" i="1"/>
  <c r="R4503" i="1"/>
  <c r="S4503" i="1"/>
  <c r="T4503" i="1"/>
  <c r="U4503" i="1"/>
  <c r="V4503" i="1"/>
  <c r="W4503" i="1"/>
  <c r="X4503" i="1"/>
  <c r="Y4503" i="1"/>
  <c r="Z4503" i="1"/>
  <c r="A4504" i="1"/>
  <c r="B4504" i="1"/>
  <c r="C4504" i="1"/>
  <c r="D4504" i="1"/>
  <c r="E4504" i="1"/>
  <c r="F4504" i="1"/>
  <c r="G4504" i="1"/>
  <c r="I4504" i="1"/>
  <c r="J4504" i="1"/>
  <c r="K4504" i="1"/>
  <c r="L4504" i="1"/>
  <c r="M4504" i="1"/>
  <c r="N4504" i="1"/>
  <c r="O4504" i="1"/>
  <c r="P4504" i="1"/>
  <c r="Q4504" i="1"/>
  <c r="R4504" i="1"/>
  <c r="S4504" i="1"/>
  <c r="T4504" i="1"/>
  <c r="U4504" i="1"/>
  <c r="V4504" i="1"/>
  <c r="W4504" i="1"/>
  <c r="X4504" i="1"/>
  <c r="Y4504" i="1"/>
  <c r="Z4504" i="1"/>
  <c r="A4505" i="1"/>
  <c r="B4505" i="1"/>
  <c r="C4505" i="1"/>
  <c r="D4505" i="1"/>
  <c r="E4505" i="1"/>
  <c r="F4505" i="1"/>
  <c r="G4505" i="1"/>
  <c r="I4505" i="1"/>
  <c r="J4505" i="1"/>
  <c r="K4505" i="1"/>
  <c r="L4505" i="1"/>
  <c r="M4505" i="1"/>
  <c r="N4505" i="1"/>
  <c r="O4505" i="1"/>
  <c r="P4505" i="1"/>
  <c r="Q4505" i="1"/>
  <c r="R4505" i="1"/>
  <c r="S4505" i="1"/>
  <c r="T4505" i="1"/>
  <c r="U4505" i="1"/>
  <c r="V4505" i="1"/>
  <c r="W4505" i="1"/>
  <c r="X4505" i="1"/>
  <c r="Y4505" i="1"/>
  <c r="Z4505" i="1"/>
  <c r="A4506" i="1"/>
  <c r="B4506" i="1"/>
  <c r="C4506" i="1"/>
  <c r="D4506" i="1"/>
  <c r="E4506" i="1"/>
  <c r="F4506" i="1"/>
  <c r="G4506" i="1"/>
  <c r="I4506" i="1"/>
  <c r="J4506" i="1"/>
  <c r="K4506" i="1"/>
  <c r="L4506" i="1"/>
  <c r="M4506" i="1"/>
  <c r="N4506" i="1"/>
  <c r="O4506" i="1"/>
  <c r="P4506" i="1"/>
  <c r="Q4506" i="1"/>
  <c r="R4506" i="1"/>
  <c r="S4506" i="1"/>
  <c r="T4506" i="1"/>
  <c r="U4506" i="1"/>
  <c r="V4506" i="1"/>
  <c r="W4506" i="1"/>
  <c r="X4506" i="1"/>
  <c r="Y4506" i="1"/>
  <c r="Z4506" i="1"/>
  <c r="A4507" i="1"/>
  <c r="B4507" i="1"/>
  <c r="C4507" i="1"/>
  <c r="D4507" i="1"/>
  <c r="E4507" i="1"/>
  <c r="F4507" i="1"/>
  <c r="G4507" i="1"/>
  <c r="I4507" i="1"/>
  <c r="J4507" i="1"/>
  <c r="K4507" i="1"/>
  <c r="L4507" i="1"/>
  <c r="M4507" i="1"/>
  <c r="N4507" i="1"/>
  <c r="O4507" i="1"/>
  <c r="P4507" i="1"/>
  <c r="Q4507" i="1"/>
  <c r="R4507" i="1"/>
  <c r="S4507" i="1"/>
  <c r="T4507" i="1"/>
  <c r="U4507" i="1"/>
  <c r="V4507" i="1"/>
  <c r="W4507" i="1"/>
  <c r="X4507" i="1"/>
  <c r="Y4507" i="1"/>
  <c r="Z4507" i="1"/>
  <c r="A4508" i="1"/>
  <c r="B4508" i="1"/>
  <c r="C4508" i="1"/>
  <c r="D4508" i="1"/>
  <c r="E4508" i="1"/>
  <c r="F4508" i="1"/>
  <c r="G4508" i="1"/>
  <c r="I4508" i="1"/>
  <c r="J4508" i="1"/>
  <c r="K4508" i="1"/>
  <c r="L4508" i="1"/>
  <c r="M4508" i="1"/>
  <c r="N4508" i="1"/>
  <c r="O4508" i="1"/>
  <c r="P4508" i="1"/>
  <c r="Q4508" i="1"/>
  <c r="R4508" i="1"/>
  <c r="S4508" i="1"/>
  <c r="T4508" i="1"/>
  <c r="U4508" i="1"/>
  <c r="V4508" i="1"/>
  <c r="W4508" i="1"/>
  <c r="X4508" i="1"/>
  <c r="Y4508" i="1"/>
  <c r="Z4508" i="1"/>
  <c r="A4509" i="1"/>
  <c r="B4509" i="1"/>
  <c r="C4509" i="1"/>
  <c r="D4509" i="1"/>
  <c r="E4509" i="1"/>
  <c r="F4509" i="1"/>
  <c r="G4509" i="1"/>
  <c r="I4509" i="1"/>
  <c r="J4509" i="1"/>
  <c r="K4509" i="1"/>
  <c r="L4509" i="1"/>
  <c r="M4509" i="1"/>
  <c r="N4509" i="1"/>
  <c r="O4509" i="1"/>
  <c r="P4509" i="1"/>
  <c r="Q4509" i="1"/>
  <c r="R4509" i="1"/>
  <c r="S4509" i="1"/>
  <c r="T4509" i="1"/>
  <c r="U4509" i="1"/>
  <c r="V4509" i="1"/>
  <c r="W4509" i="1"/>
  <c r="X4509" i="1"/>
  <c r="Y4509" i="1"/>
  <c r="Z4509" i="1"/>
  <c r="A4510" i="1"/>
  <c r="B4510" i="1"/>
  <c r="C4510" i="1"/>
  <c r="D4510" i="1"/>
  <c r="E4510" i="1"/>
  <c r="F4510" i="1"/>
  <c r="G4510" i="1"/>
  <c r="I4510" i="1"/>
  <c r="J4510" i="1"/>
  <c r="K4510" i="1"/>
  <c r="L4510" i="1"/>
  <c r="M4510" i="1"/>
  <c r="N4510" i="1"/>
  <c r="O4510" i="1"/>
  <c r="P4510" i="1"/>
  <c r="Q4510" i="1"/>
  <c r="R4510" i="1"/>
  <c r="S4510" i="1"/>
  <c r="T4510" i="1"/>
  <c r="U4510" i="1"/>
  <c r="V4510" i="1"/>
  <c r="W4510" i="1"/>
  <c r="X4510" i="1"/>
  <c r="Y4510" i="1"/>
  <c r="Z4510" i="1"/>
  <c r="A4511" i="1"/>
  <c r="B4511" i="1"/>
  <c r="C4511" i="1"/>
  <c r="D4511" i="1"/>
  <c r="E4511" i="1"/>
  <c r="F4511" i="1"/>
  <c r="G4511" i="1"/>
  <c r="I4511" i="1"/>
  <c r="J4511" i="1"/>
  <c r="K4511" i="1"/>
  <c r="L4511" i="1"/>
  <c r="M4511" i="1"/>
  <c r="N4511" i="1"/>
  <c r="O4511" i="1"/>
  <c r="P4511" i="1"/>
  <c r="Q4511" i="1"/>
  <c r="R4511" i="1"/>
  <c r="S4511" i="1"/>
  <c r="T4511" i="1"/>
  <c r="U4511" i="1"/>
  <c r="V4511" i="1"/>
  <c r="W4511" i="1"/>
  <c r="X4511" i="1"/>
  <c r="Y4511" i="1"/>
  <c r="Z4511" i="1"/>
  <c r="A4512" i="1"/>
  <c r="B4512" i="1"/>
  <c r="C4512" i="1"/>
  <c r="D4512" i="1"/>
  <c r="E4512" i="1"/>
  <c r="F4512" i="1"/>
  <c r="G4512" i="1"/>
  <c r="I4512" i="1"/>
  <c r="J4512" i="1"/>
  <c r="K4512" i="1"/>
  <c r="L4512" i="1"/>
  <c r="M4512" i="1"/>
  <c r="N4512" i="1"/>
  <c r="O4512" i="1"/>
  <c r="P4512" i="1"/>
  <c r="Q4512" i="1"/>
  <c r="R4512" i="1"/>
  <c r="S4512" i="1"/>
  <c r="T4512" i="1"/>
  <c r="U4512" i="1"/>
  <c r="V4512" i="1"/>
  <c r="W4512" i="1"/>
  <c r="X4512" i="1"/>
  <c r="Y4512" i="1"/>
  <c r="Z4512" i="1"/>
  <c r="A4513" i="1"/>
  <c r="B4513" i="1"/>
  <c r="C4513" i="1"/>
  <c r="D4513" i="1"/>
  <c r="E4513" i="1"/>
  <c r="F4513" i="1"/>
  <c r="G4513" i="1"/>
  <c r="I4513" i="1"/>
  <c r="J4513" i="1"/>
  <c r="K4513" i="1"/>
  <c r="L4513" i="1"/>
  <c r="M4513" i="1"/>
  <c r="N4513" i="1"/>
  <c r="O4513" i="1"/>
  <c r="P4513" i="1"/>
  <c r="Q4513" i="1"/>
  <c r="R4513" i="1"/>
  <c r="S4513" i="1"/>
  <c r="T4513" i="1"/>
  <c r="U4513" i="1"/>
  <c r="V4513" i="1"/>
  <c r="W4513" i="1"/>
  <c r="X4513" i="1"/>
  <c r="Y4513" i="1"/>
  <c r="Z4513" i="1"/>
  <c r="A4514" i="1"/>
  <c r="B4514" i="1"/>
  <c r="C4514" i="1"/>
  <c r="D4514" i="1"/>
  <c r="E4514" i="1"/>
  <c r="F4514" i="1"/>
  <c r="G4514" i="1"/>
  <c r="I4514" i="1"/>
  <c r="J4514" i="1"/>
  <c r="K4514" i="1"/>
  <c r="L4514" i="1"/>
  <c r="M4514" i="1"/>
  <c r="N4514" i="1"/>
  <c r="O4514" i="1"/>
  <c r="P4514" i="1"/>
  <c r="Q4514" i="1"/>
  <c r="R4514" i="1"/>
  <c r="S4514" i="1"/>
  <c r="T4514" i="1"/>
  <c r="U4514" i="1"/>
  <c r="V4514" i="1"/>
  <c r="W4514" i="1"/>
  <c r="X4514" i="1"/>
  <c r="Y4514" i="1"/>
  <c r="Z4514" i="1"/>
  <c r="A4515" i="1"/>
  <c r="B4515" i="1"/>
  <c r="C4515" i="1"/>
  <c r="D4515" i="1"/>
  <c r="E4515" i="1"/>
  <c r="F4515" i="1"/>
  <c r="G4515" i="1"/>
  <c r="I4515" i="1"/>
  <c r="J4515" i="1"/>
  <c r="K4515" i="1"/>
  <c r="L4515" i="1"/>
  <c r="M4515" i="1"/>
  <c r="N4515" i="1"/>
  <c r="O4515" i="1"/>
  <c r="P4515" i="1"/>
  <c r="Q4515" i="1"/>
  <c r="R4515" i="1"/>
  <c r="S4515" i="1"/>
  <c r="T4515" i="1"/>
  <c r="U4515" i="1"/>
  <c r="V4515" i="1"/>
  <c r="W4515" i="1"/>
  <c r="X4515" i="1"/>
  <c r="Y4515" i="1"/>
  <c r="Z4515" i="1"/>
  <c r="A4516" i="1"/>
  <c r="B4516" i="1"/>
  <c r="C4516" i="1"/>
  <c r="D4516" i="1"/>
  <c r="E4516" i="1"/>
  <c r="F4516" i="1"/>
  <c r="G4516" i="1"/>
  <c r="I4516" i="1"/>
  <c r="J4516" i="1"/>
  <c r="K4516" i="1"/>
  <c r="L4516" i="1"/>
  <c r="M4516" i="1"/>
  <c r="N4516" i="1"/>
  <c r="O4516" i="1"/>
  <c r="P4516" i="1"/>
  <c r="Q4516" i="1"/>
  <c r="R4516" i="1"/>
  <c r="S4516" i="1"/>
  <c r="T4516" i="1"/>
  <c r="U4516" i="1"/>
  <c r="V4516" i="1"/>
  <c r="W4516" i="1"/>
  <c r="X4516" i="1"/>
  <c r="Y4516" i="1"/>
  <c r="Z4516" i="1"/>
  <c r="A4517" i="1"/>
  <c r="B4517" i="1"/>
  <c r="C4517" i="1"/>
  <c r="D4517" i="1"/>
  <c r="E4517" i="1"/>
  <c r="F4517" i="1"/>
  <c r="G4517" i="1"/>
  <c r="I4517" i="1"/>
  <c r="J4517" i="1"/>
  <c r="K4517" i="1"/>
  <c r="L4517" i="1"/>
  <c r="M4517" i="1"/>
  <c r="N4517" i="1"/>
  <c r="O4517" i="1"/>
  <c r="P4517" i="1"/>
  <c r="Q4517" i="1"/>
  <c r="R4517" i="1"/>
  <c r="S4517" i="1"/>
  <c r="T4517" i="1"/>
  <c r="U4517" i="1"/>
  <c r="V4517" i="1"/>
  <c r="W4517" i="1"/>
  <c r="X4517" i="1"/>
  <c r="Y4517" i="1"/>
  <c r="Z4517" i="1"/>
  <c r="A4518" i="1"/>
  <c r="B4518" i="1"/>
  <c r="C4518" i="1"/>
  <c r="D4518" i="1"/>
  <c r="E4518" i="1"/>
  <c r="F4518" i="1"/>
  <c r="G4518" i="1"/>
  <c r="I4518" i="1"/>
  <c r="J4518" i="1"/>
  <c r="K4518" i="1"/>
  <c r="L4518" i="1"/>
  <c r="M4518" i="1"/>
  <c r="N4518" i="1"/>
  <c r="O4518" i="1"/>
  <c r="P4518" i="1"/>
  <c r="Q4518" i="1"/>
  <c r="R4518" i="1"/>
  <c r="S4518" i="1"/>
  <c r="T4518" i="1"/>
  <c r="U4518" i="1"/>
  <c r="V4518" i="1"/>
  <c r="W4518" i="1"/>
  <c r="X4518" i="1"/>
  <c r="Y4518" i="1"/>
  <c r="Z4518" i="1"/>
  <c r="A4519" i="1"/>
  <c r="B4519" i="1"/>
  <c r="C4519" i="1"/>
  <c r="D4519" i="1"/>
  <c r="E4519" i="1"/>
  <c r="F4519" i="1"/>
  <c r="G4519" i="1"/>
  <c r="I4519" i="1"/>
  <c r="J4519" i="1"/>
  <c r="K4519" i="1"/>
  <c r="L4519" i="1"/>
  <c r="M4519" i="1"/>
  <c r="N4519" i="1"/>
  <c r="O4519" i="1"/>
  <c r="P4519" i="1"/>
  <c r="Q4519" i="1"/>
  <c r="R4519" i="1"/>
  <c r="S4519" i="1"/>
  <c r="T4519" i="1"/>
  <c r="U4519" i="1"/>
  <c r="V4519" i="1"/>
  <c r="W4519" i="1"/>
  <c r="X4519" i="1"/>
  <c r="Y4519" i="1"/>
  <c r="Z4519" i="1"/>
  <c r="A4520" i="1"/>
  <c r="B4520" i="1"/>
  <c r="C4520" i="1"/>
  <c r="D4520" i="1"/>
  <c r="E4520" i="1"/>
  <c r="F4520" i="1"/>
  <c r="G4520" i="1"/>
  <c r="I4520" i="1"/>
  <c r="J4520" i="1"/>
  <c r="K4520" i="1"/>
  <c r="L4520" i="1"/>
  <c r="M4520" i="1"/>
  <c r="N4520" i="1"/>
  <c r="O4520" i="1"/>
  <c r="P4520" i="1"/>
  <c r="Q4520" i="1"/>
  <c r="R4520" i="1"/>
  <c r="S4520" i="1"/>
  <c r="T4520" i="1"/>
  <c r="U4520" i="1"/>
  <c r="V4520" i="1"/>
  <c r="W4520" i="1"/>
  <c r="X4520" i="1"/>
  <c r="Y4520" i="1"/>
  <c r="Z4520" i="1"/>
  <c r="A4521" i="1"/>
  <c r="B4521" i="1"/>
  <c r="C4521" i="1"/>
  <c r="D4521" i="1"/>
  <c r="E4521" i="1"/>
  <c r="F4521" i="1"/>
  <c r="G4521" i="1"/>
  <c r="I4521" i="1"/>
  <c r="J4521" i="1"/>
  <c r="K4521" i="1"/>
  <c r="L4521" i="1"/>
  <c r="M4521" i="1"/>
  <c r="N4521" i="1"/>
  <c r="O4521" i="1"/>
  <c r="P4521" i="1"/>
  <c r="Q4521" i="1"/>
  <c r="R4521" i="1"/>
  <c r="S4521" i="1"/>
  <c r="T4521" i="1"/>
  <c r="U4521" i="1"/>
  <c r="V4521" i="1"/>
  <c r="W4521" i="1"/>
  <c r="X4521" i="1"/>
  <c r="Y4521" i="1"/>
  <c r="Z4521" i="1"/>
  <c r="A4522" i="1"/>
  <c r="B4522" i="1"/>
  <c r="C4522" i="1"/>
  <c r="D4522" i="1"/>
  <c r="E4522" i="1"/>
  <c r="F4522" i="1"/>
  <c r="G4522" i="1"/>
  <c r="I4522" i="1"/>
  <c r="J4522" i="1"/>
  <c r="K4522" i="1"/>
  <c r="L4522" i="1"/>
  <c r="M4522" i="1"/>
  <c r="N4522" i="1"/>
  <c r="O4522" i="1"/>
  <c r="P4522" i="1"/>
  <c r="Q4522" i="1"/>
  <c r="R4522" i="1"/>
  <c r="S4522" i="1"/>
  <c r="T4522" i="1"/>
  <c r="U4522" i="1"/>
  <c r="V4522" i="1"/>
  <c r="W4522" i="1"/>
  <c r="X4522" i="1"/>
  <c r="Y4522" i="1"/>
  <c r="Z4522" i="1"/>
  <c r="A4523" i="1"/>
  <c r="B4523" i="1"/>
  <c r="C4523" i="1"/>
  <c r="D4523" i="1"/>
  <c r="E4523" i="1"/>
  <c r="F4523" i="1"/>
  <c r="G4523" i="1"/>
  <c r="I4523" i="1"/>
  <c r="J4523" i="1"/>
  <c r="K4523" i="1"/>
  <c r="L4523" i="1"/>
  <c r="M4523" i="1"/>
  <c r="N4523" i="1"/>
  <c r="O4523" i="1"/>
  <c r="P4523" i="1"/>
  <c r="Q4523" i="1"/>
  <c r="R4523" i="1"/>
  <c r="S4523" i="1"/>
  <c r="T4523" i="1"/>
  <c r="U4523" i="1"/>
  <c r="V4523" i="1"/>
  <c r="W4523" i="1"/>
  <c r="X4523" i="1"/>
  <c r="Y4523" i="1"/>
  <c r="Z4523" i="1"/>
  <c r="A4524" i="1"/>
  <c r="B4524" i="1"/>
  <c r="C4524" i="1"/>
  <c r="D4524" i="1"/>
  <c r="E4524" i="1"/>
  <c r="F4524" i="1"/>
  <c r="G4524" i="1"/>
  <c r="I4524" i="1"/>
  <c r="J4524" i="1"/>
  <c r="K4524" i="1"/>
  <c r="L4524" i="1"/>
  <c r="M4524" i="1"/>
  <c r="N4524" i="1"/>
  <c r="O4524" i="1"/>
  <c r="P4524" i="1"/>
  <c r="Q4524" i="1"/>
  <c r="R4524" i="1"/>
  <c r="S4524" i="1"/>
  <c r="T4524" i="1"/>
  <c r="U4524" i="1"/>
  <c r="V4524" i="1"/>
  <c r="W4524" i="1"/>
  <c r="X4524" i="1"/>
  <c r="Y4524" i="1"/>
  <c r="Z4524" i="1"/>
  <c r="A4525" i="1"/>
  <c r="B4525" i="1"/>
  <c r="C4525" i="1"/>
  <c r="D4525" i="1"/>
  <c r="E4525" i="1"/>
  <c r="F4525" i="1"/>
  <c r="G4525" i="1"/>
  <c r="I4525" i="1"/>
  <c r="J4525" i="1"/>
  <c r="K4525" i="1"/>
  <c r="L4525" i="1"/>
  <c r="M4525" i="1"/>
  <c r="N4525" i="1"/>
  <c r="O4525" i="1"/>
  <c r="P4525" i="1"/>
  <c r="Q4525" i="1"/>
  <c r="R4525" i="1"/>
  <c r="S4525" i="1"/>
  <c r="T4525" i="1"/>
  <c r="U4525" i="1"/>
  <c r="V4525" i="1"/>
  <c r="W4525" i="1"/>
  <c r="X4525" i="1"/>
  <c r="Y4525" i="1"/>
  <c r="Z4525" i="1"/>
  <c r="A4526" i="1"/>
  <c r="B4526" i="1"/>
  <c r="C4526" i="1"/>
  <c r="D4526" i="1"/>
  <c r="E4526" i="1"/>
  <c r="F4526" i="1"/>
  <c r="G4526" i="1"/>
  <c r="I4526" i="1"/>
  <c r="J4526" i="1"/>
  <c r="K4526" i="1"/>
  <c r="L4526" i="1"/>
  <c r="M4526" i="1"/>
  <c r="N4526" i="1"/>
  <c r="O4526" i="1"/>
  <c r="P4526" i="1"/>
  <c r="Q4526" i="1"/>
  <c r="R4526" i="1"/>
  <c r="S4526" i="1"/>
  <c r="T4526" i="1"/>
  <c r="U4526" i="1"/>
  <c r="V4526" i="1"/>
  <c r="W4526" i="1"/>
  <c r="X4526" i="1"/>
  <c r="Y4526" i="1"/>
  <c r="Z4526" i="1"/>
  <c r="A4527" i="1"/>
  <c r="B4527" i="1"/>
  <c r="C4527" i="1"/>
  <c r="D4527" i="1"/>
  <c r="E4527" i="1"/>
  <c r="F4527" i="1"/>
  <c r="G4527" i="1"/>
  <c r="I4527" i="1"/>
  <c r="J4527" i="1"/>
  <c r="K4527" i="1"/>
  <c r="L4527" i="1"/>
  <c r="M4527" i="1"/>
  <c r="N4527" i="1"/>
  <c r="O4527" i="1"/>
  <c r="P4527" i="1"/>
  <c r="Q4527" i="1"/>
  <c r="R4527" i="1"/>
  <c r="S4527" i="1"/>
  <c r="T4527" i="1"/>
  <c r="U4527" i="1"/>
  <c r="V4527" i="1"/>
  <c r="W4527" i="1"/>
  <c r="X4527" i="1"/>
  <c r="Y4527" i="1"/>
  <c r="Z4527" i="1"/>
  <c r="A4528" i="1"/>
  <c r="B4528" i="1"/>
  <c r="C4528" i="1"/>
  <c r="D4528" i="1"/>
  <c r="E4528" i="1"/>
  <c r="F4528" i="1"/>
  <c r="G4528" i="1"/>
  <c r="I4528" i="1"/>
  <c r="J4528" i="1"/>
  <c r="K4528" i="1"/>
  <c r="L4528" i="1"/>
  <c r="M4528" i="1"/>
  <c r="N4528" i="1"/>
  <c r="O4528" i="1"/>
  <c r="P4528" i="1"/>
  <c r="Q4528" i="1"/>
  <c r="R4528" i="1"/>
  <c r="S4528" i="1"/>
  <c r="T4528" i="1"/>
  <c r="U4528" i="1"/>
  <c r="V4528" i="1"/>
  <c r="W4528" i="1"/>
  <c r="X4528" i="1"/>
  <c r="Y4528" i="1"/>
  <c r="Z4528" i="1"/>
  <c r="A4529" i="1"/>
  <c r="B4529" i="1"/>
  <c r="C4529" i="1"/>
  <c r="D4529" i="1"/>
  <c r="E4529" i="1"/>
  <c r="F4529" i="1"/>
  <c r="G4529" i="1"/>
  <c r="I4529" i="1"/>
  <c r="J4529" i="1"/>
  <c r="K4529" i="1"/>
  <c r="L4529" i="1"/>
  <c r="M4529" i="1"/>
  <c r="N4529" i="1"/>
  <c r="O4529" i="1"/>
  <c r="P4529" i="1"/>
  <c r="Q4529" i="1"/>
  <c r="R4529" i="1"/>
  <c r="S4529" i="1"/>
  <c r="T4529" i="1"/>
  <c r="U4529" i="1"/>
  <c r="V4529" i="1"/>
  <c r="W4529" i="1"/>
  <c r="X4529" i="1"/>
  <c r="Y4529" i="1"/>
  <c r="Z4529" i="1"/>
  <c r="A4530" i="1"/>
  <c r="B4530" i="1"/>
  <c r="C4530" i="1"/>
  <c r="D4530" i="1"/>
  <c r="E4530" i="1"/>
  <c r="F4530" i="1"/>
  <c r="G4530" i="1"/>
  <c r="I4530" i="1"/>
  <c r="J4530" i="1"/>
  <c r="K4530" i="1"/>
  <c r="L4530" i="1"/>
  <c r="M4530" i="1"/>
  <c r="N4530" i="1"/>
  <c r="O4530" i="1"/>
  <c r="P4530" i="1"/>
  <c r="Q4530" i="1"/>
  <c r="R4530" i="1"/>
  <c r="S4530" i="1"/>
  <c r="T4530" i="1"/>
  <c r="U4530" i="1"/>
  <c r="V4530" i="1"/>
  <c r="W4530" i="1"/>
  <c r="X4530" i="1"/>
  <c r="Y4530" i="1"/>
  <c r="Z4530" i="1"/>
  <c r="A4531" i="1"/>
  <c r="B4531" i="1"/>
  <c r="C4531" i="1"/>
  <c r="D4531" i="1"/>
  <c r="E4531" i="1"/>
  <c r="F4531" i="1"/>
  <c r="G4531" i="1"/>
  <c r="I4531" i="1"/>
  <c r="J4531" i="1"/>
  <c r="K4531" i="1"/>
  <c r="L4531" i="1"/>
  <c r="M4531" i="1"/>
  <c r="N4531" i="1"/>
  <c r="O4531" i="1"/>
  <c r="P4531" i="1"/>
  <c r="Q4531" i="1"/>
  <c r="R4531" i="1"/>
  <c r="S4531" i="1"/>
  <c r="T4531" i="1"/>
  <c r="U4531" i="1"/>
  <c r="V4531" i="1"/>
  <c r="W4531" i="1"/>
  <c r="X4531" i="1"/>
  <c r="Y4531" i="1"/>
  <c r="Z4531" i="1"/>
  <c r="A4532" i="1"/>
  <c r="B4532" i="1"/>
  <c r="C4532" i="1"/>
  <c r="D4532" i="1"/>
  <c r="E4532" i="1"/>
  <c r="F4532" i="1"/>
  <c r="G4532" i="1"/>
  <c r="I4532" i="1"/>
  <c r="J4532" i="1"/>
  <c r="K4532" i="1"/>
  <c r="L4532" i="1"/>
  <c r="M4532" i="1"/>
  <c r="N4532" i="1"/>
  <c r="O4532" i="1"/>
  <c r="P4532" i="1"/>
  <c r="Q4532" i="1"/>
  <c r="R4532" i="1"/>
  <c r="S4532" i="1"/>
  <c r="T4532" i="1"/>
  <c r="U4532" i="1"/>
  <c r="V4532" i="1"/>
  <c r="W4532" i="1"/>
  <c r="X4532" i="1"/>
  <c r="Y4532" i="1"/>
  <c r="Z4532" i="1"/>
  <c r="A4533" i="1"/>
  <c r="B4533" i="1"/>
  <c r="C4533" i="1"/>
  <c r="D4533" i="1"/>
  <c r="E4533" i="1"/>
  <c r="F4533" i="1"/>
  <c r="G4533" i="1"/>
  <c r="I4533" i="1"/>
  <c r="J4533" i="1"/>
  <c r="K4533" i="1"/>
  <c r="L4533" i="1"/>
  <c r="M4533" i="1"/>
  <c r="N4533" i="1"/>
  <c r="O4533" i="1"/>
  <c r="P4533" i="1"/>
  <c r="Q4533" i="1"/>
  <c r="R4533" i="1"/>
  <c r="S4533" i="1"/>
  <c r="T4533" i="1"/>
  <c r="U4533" i="1"/>
  <c r="V4533" i="1"/>
  <c r="W4533" i="1"/>
  <c r="X4533" i="1"/>
  <c r="Y4533" i="1"/>
  <c r="Z4533" i="1"/>
  <c r="A4534" i="1"/>
  <c r="B4534" i="1"/>
  <c r="C4534" i="1"/>
  <c r="D4534" i="1"/>
  <c r="E4534" i="1"/>
  <c r="F4534" i="1"/>
  <c r="G4534" i="1"/>
  <c r="I4534" i="1"/>
  <c r="J4534" i="1"/>
  <c r="K4534" i="1"/>
  <c r="L4534" i="1"/>
  <c r="M4534" i="1"/>
  <c r="N4534" i="1"/>
  <c r="O4534" i="1"/>
  <c r="P4534" i="1"/>
  <c r="Q4534" i="1"/>
  <c r="R4534" i="1"/>
  <c r="S4534" i="1"/>
  <c r="T4534" i="1"/>
  <c r="U4534" i="1"/>
  <c r="V4534" i="1"/>
  <c r="W4534" i="1"/>
  <c r="X4534" i="1"/>
  <c r="Y4534" i="1"/>
  <c r="Z4534" i="1"/>
  <c r="A4535" i="1"/>
  <c r="B4535" i="1"/>
  <c r="C4535" i="1"/>
  <c r="D4535" i="1"/>
  <c r="E4535" i="1"/>
  <c r="F4535" i="1"/>
  <c r="G4535" i="1"/>
  <c r="I4535" i="1"/>
  <c r="J4535" i="1"/>
  <c r="K4535" i="1"/>
  <c r="L4535" i="1"/>
  <c r="M4535" i="1"/>
  <c r="N4535" i="1"/>
  <c r="O4535" i="1"/>
  <c r="P4535" i="1"/>
  <c r="Q4535" i="1"/>
  <c r="R4535" i="1"/>
  <c r="S4535" i="1"/>
  <c r="T4535" i="1"/>
  <c r="U4535" i="1"/>
  <c r="V4535" i="1"/>
  <c r="W4535" i="1"/>
  <c r="X4535" i="1"/>
  <c r="Y4535" i="1"/>
  <c r="Z4535" i="1"/>
  <c r="A4536" i="1"/>
  <c r="B4536" i="1"/>
  <c r="C4536" i="1"/>
  <c r="D4536" i="1"/>
  <c r="E4536" i="1"/>
  <c r="F4536" i="1"/>
  <c r="G4536" i="1"/>
  <c r="I4536" i="1"/>
  <c r="J4536" i="1"/>
  <c r="K4536" i="1"/>
  <c r="L4536" i="1"/>
  <c r="M4536" i="1"/>
  <c r="N4536" i="1"/>
  <c r="O4536" i="1"/>
  <c r="P4536" i="1"/>
  <c r="Q4536" i="1"/>
  <c r="R4536" i="1"/>
  <c r="S4536" i="1"/>
  <c r="T4536" i="1"/>
  <c r="U4536" i="1"/>
  <c r="V4536" i="1"/>
  <c r="W4536" i="1"/>
  <c r="X4536" i="1"/>
  <c r="Y4536" i="1"/>
  <c r="Z4536" i="1"/>
  <c r="A4537" i="1"/>
  <c r="B4537" i="1"/>
  <c r="C4537" i="1"/>
  <c r="D4537" i="1"/>
  <c r="E4537" i="1"/>
  <c r="F4537" i="1"/>
  <c r="G4537" i="1"/>
  <c r="I4537" i="1"/>
  <c r="J4537" i="1"/>
  <c r="K4537" i="1"/>
  <c r="L4537" i="1"/>
  <c r="M4537" i="1"/>
  <c r="N4537" i="1"/>
  <c r="O4537" i="1"/>
  <c r="P4537" i="1"/>
  <c r="Q4537" i="1"/>
  <c r="R4537" i="1"/>
  <c r="S4537" i="1"/>
  <c r="T4537" i="1"/>
  <c r="U4537" i="1"/>
  <c r="V4537" i="1"/>
  <c r="W4537" i="1"/>
  <c r="X4537" i="1"/>
  <c r="Y4537" i="1"/>
  <c r="Z4537" i="1"/>
  <c r="A4538" i="1"/>
  <c r="B4538" i="1"/>
  <c r="C4538" i="1"/>
  <c r="D4538" i="1"/>
  <c r="E4538" i="1"/>
  <c r="F4538" i="1"/>
  <c r="G4538" i="1"/>
  <c r="I4538" i="1"/>
  <c r="J4538" i="1"/>
  <c r="K4538" i="1"/>
  <c r="L4538" i="1"/>
  <c r="M4538" i="1"/>
  <c r="N4538" i="1"/>
  <c r="O4538" i="1"/>
  <c r="P4538" i="1"/>
  <c r="Q4538" i="1"/>
  <c r="R4538" i="1"/>
  <c r="S4538" i="1"/>
  <c r="T4538" i="1"/>
  <c r="U4538" i="1"/>
  <c r="V4538" i="1"/>
  <c r="W4538" i="1"/>
  <c r="X4538" i="1"/>
  <c r="Y4538" i="1"/>
  <c r="Z4538" i="1"/>
  <c r="A4539" i="1"/>
  <c r="B4539" i="1"/>
  <c r="C4539" i="1"/>
  <c r="D4539" i="1"/>
  <c r="E4539" i="1"/>
  <c r="F4539" i="1"/>
  <c r="G4539" i="1"/>
  <c r="I4539" i="1"/>
  <c r="J4539" i="1"/>
  <c r="K4539" i="1"/>
  <c r="L4539" i="1"/>
  <c r="M4539" i="1"/>
  <c r="N4539" i="1"/>
  <c r="O4539" i="1"/>
  <c r="P4539" i="1"/>
  <c r="Q4539" i="1"/>
  <c r="R4539" i="1"/>
  <c r="S4539" i="1"/>
  <c r="T4539" i="1"/>
  <c r="U4539" i="1"/>
  <c r="V4539" i="1"/>
  <c r="W4539" i="1"/>
  <c r="X4539" i="1"/>
  <c r="Y4539" i="1"/>
  <c r="Z4539" i="1"/>
  <c r="A4540" i="1"/>
  <c r="B4540" i="1"/>
  <c r="C4540" i="1"/>
  <c r="D4540" i="1"/>
  <c r="E4540" i="1"/>
  <c r="F4540" i="1"/>
  <c r="G4540" i="1"/>
  <c r="I4540" i="1"/>
  <c r="J4540" i="1"/>
  <c r="K4540" i="1"/>
  <c r="L4540" i="1"/>
  <c r="M4540" i="1"/>
  <c r="N4540" i="1"/>
  <c r="O4540" i="1"/>
  <c r="P4540" i="1"/>
  <c r="Q4540" i="1"/>
  <c r="R4540" i="1"/>
  <c r="S4540" i="1"/>
  <c r="T4540" i="1"/>
  <c r="U4540" i="1"/>
  <c r="V4540" i="1"/>
  <c r="W4540" i="1"/>
  <c r="X4540" i="1"/>
  <c r="Y4540" i="1"/>
  <c r="Z4540" i="1"/>
  <c r="A4541" i="1"/>
  <c r="B4541" i="1"/>
  <c r="C4541" i="1"/>
  <c r="D4541" i="1"/>
  <c r="E4541" i="1"/>
  <c r="F4541" i="1"/>
  <c r="G4541" i="1"/>
  <c r="I4541" i="1"/>
  <c r="J4541" i="1"/>
  <c r="K4541" i="1"/>
  <c r="L4541" i="1"/>
  <c r="M4541" i="1"/>
  <c r="N4541" i="1"/>
  <c r="O4541" i="1"/>
  <c r="P4541" i="1"/>
  <c r="Q4541" i="1"/>
  <c r="R4541" i="1"/>
  <c r="S4541" i="1"/>
  <c r="T4541" i="1"/>
  <c r="U4541" i="1"/>
  <c r="V4541" i="1"/>
  <c r="W4541" i="1"/>
  <c r="X4541" i="1"/>
  <c r="Y4541" i="1"/>
  <c r="Z4541" i="1"/>
  <c r="A4542" i="1"/>
  <c r="B4542" i="1"/>
  <c r="C4542" i="1"/>
  <c r="D4542" i="1"/>
  <c r="E4542" i="1"/>
  <c r="F4542" i="1"/>
  <c r="G4542" i="1"/>
  <c r="I4542" i="1"/>
  <c r="J4542" i="1"/>
  <c r="K4542" i="1"/>
  <c r="L4542" i="1"/>
  <c r="M4542" i="1"/>
  <c r="N4542" i="1"/>
  <c r="O4542" i="1"/>
  <c r="P4542" i="1"/>
  <c r="Q4542" i="1"/>
  <c r="R4542" i="1"/>
  <c r="S4542" i="1"/>
  <c r="T4542" i="1"/>
  <c r="U4542" i="1"/>
  <c r="V4542" i="1"/>
  <c r="W4542" i="1"/>
  <c r="X4542" i="1"/>
  <c r="Y4542" i="1"/>
  <c r="Z4542" i="1"/>
  <c r="A4543" i="1"/>
  <c r="B4543" i="1"/>
  <c r="C4543" i="1"/>
  <c r="D4543" i="1"/>
  <c r="E4543" i="1"/>
  <c r="F4543" i="1"/>
  <c r="G4543" i="1"/>
  <c r="I4543" i="1"/>
  <c r="J4543" i="1"/>
  <c r="K4543" i="1"/>
  <c r="L4543" i="1"/>
  <c r="M4543" i="1"/>
  <c r="N4543" i="1"/>
  <c r="O4543" i="1"/>
  <c r="P4543" i="1"/>
  <c r="Q4543" i="1"/>
  <c r="R4543" i="1"/>
  <c r="S4543" i="1"/>
  <c r="T4543" i="1"/>
  <c r="U4543" i="1"/>
  <c r="V4543" i="1"/>
  <c r="W4543" i="1"/>
  <c r="X4543" i="1"/>
  <c r="Y4543" i="1"/>
  <c r="Z4543" i="1"/>
  <c r="A4544" i="1"/>
  <c r="B4544" i="1"/>
  <c r="C4544" i="1"/>
  <c r="D4544" i="1"/>
  <c r="E4544" i="1"/>
  <c r="F4544" i="1"/>
  <c r="G4544" i="1"/>
  <c r="I4544" i="1"/>
  <c r="J4544" i="1"/>
  <c r="K4544" i="1"/>
  <c r="L4544" i="1"/>
  <c r="M4544" i="1"/>
  <c r="N4544" i="1"/>
  <c r="O4544" i="1"/>
  <c r="P4544" i="1"/>
  <c r="Q4544" i="1"/>
  <c r="R4544" i="1"/>
  <c r="S4544" i="1"/>
  <c r="T4544" i="1"/>
  <c r="U4544" i="1"/>
  <c r="V4544" i="1"/>
  <c r="W4544" i="1"/>
  <c r="X4544" i="1"/>
  <c r="Y4544" i="1"/>
  <c r="Z4544" i="1"/>
  <c r="A4545" i="1"/>
  <c r="B4545" i="1"/>
  <c r="C4545" i="1"/>
  <c r="D4545" i="1"/>
  <c r="E4545" i="1"/>
  <c r="F4545" i="1"/>
  <c r="G4545" i="1"/>
  <c r="I4545" i="1"/>
  <c r="J4545" i="1"/>
  <c r="K4545" i="1"/>
  <c r="L4545" i="1"/>
  <c r="M4545" i="1"/>
  <c r="N4545" i="1"/>
  <c r="O4545" i="1"/>
  <c r="P4545" i="1"/>
  <c r="Q4545" i="1"/>
  <c r="R4545" i="1"/>
  <c r="S4545" i="1"/>
  <c r="T4545" i="1"/>
  <c r="U4545" i="1"/>
  <c r="V4545" i="1"/>
  <c r="W4545" i="1"/>
  <c r="X4545" i="1"/>
  <c r="Y4545" i="1"/>
  <c r="Z4545" i="1"/>
  <c r="A4546" i="1"/>
  <c r="B4546" i="1"/>
  <c r="C4546" i="1"/>
  <c r="D4546" i="1"/>
  <c r="E4546" i="1"/>
  <c r="F4546" i="1"/>
  <c r="G4546" i="1"/>
  <c r="I4546" i="1"/>
  <c r="J4546" i="1"/>
  <c r="K4546" i="1"/>
  <c r="L4546" i="1"/>
  <c r="M4546" i="1"/>
  <c r="N4546" i="1"/>
  <c r="O4546" i="1"/>
  <c r="P4546" i="1"/>
  <c r="Q4546" i="1"/>
  <c r="R4546" i="1"/>
  <c r="S4546" i="1"/>
  <c r="T4546" i="1"/>
  <c r="U4546" i="1"/>
  <c r="V4546" i="1"/>
  <c r="W4546" i="1"/>
  <c r="X4546" i="1"/>
  <c r="Y4546" i="1"/>
  <c r="Z4546" i="1"/>
  <c r="A4547" i="1"/>
  <c r="B4547" i="1"/>
  <c r="C4547" i="1"/>
  <c r="D4547" i="1"/>
  <c r="E4547" i="1"/>
  <c r="F4547" i="1"/>
  <c r="G4547" i="1"/>
  <c r="I4547" i="1"/>
  <c r="J4547" i="1"/>
  <c r="K4547" i="1"/>
  <c r="L4547" i="1"/>
  <c r="M4547" i="1"/>
  <c r="N4547" i="1"/>
  <c r="O4547" i="1"/>
  <c r="P4547" i="1"/>
  <c r="Q4547" i="1"/>
  <c r="R4547" i="1"/>
  <c r="S4547" i="1"/>
  <c r="T4547" i="1"/>
  <c r="U4547" i="1"/>
  <c r="V4547" i="1"/>
  <c r="W4547" i="1"/>
  <c r="X4547" i="1"/>
  <c r="Y4547" i="1"/>
  <c r="Z4547" i="1"/>
  <c r="A4548" i="1"/>
  <c r="B4548" i="1"/>
  <c r="C4548" i="1"/>
  <c r="D4548" i="1"/>
  <c r="E4548" i="1"/>
  <c r="F4548" i="1"/>
  <c r="G4548" i="1"/>
  <c r="I4548" i="1"/>
  <c r="J4548" i="1"/>
  <c r="K4548" i="1"/>
  <c r="L4548" i="1"/>
  <c r="M4548" i="1"/>
  <c r="N4548" i="1"/>
  <c r="O4548" i="1"/>
  <c r="P4548" i="1"/>
  <c r="Q4548" i="1"/>
  <c r="R4548" i="1"/>
  <c r="S4548" i="1"/>
  <c r="T4548" i="1"/>
  <c r="U4548" i="1"/>
  <c r="V4548" i="1"/>
  <c r="W4548" i="1"/>
  <c r="X4548" i="1"/>
  <c r="Y4548" i="1"/>
  <c r="Z4548" i="1"/>
  <c r="A4549" i="1"/>
  <c r="B4549" i="1"/>
  <c r="C4549" i="1"/>
  <c r="D4549" i="1"/>
  <c r="E4549" i="1"/>
  <c r="F4549" i="1"/>
  <c r="G4549" i="1"/>
  <c r="I4549" i="1"/>
  <c r="J4549" i="1"/>
  <c r="K4549" i="1"/>
  <c r="L4549" i="1"/>
  <c r="M4549" i="1"/>
  <c r="N4549" i="1"/>
  <c r="O4549" i="1"/>
  <c r="P4549" i="1"/>
  <c r="Q4549" i="1"/>
  <c r="R4549" i="1"/>
  <c r="S4549" i="1"/>
  <c r="T4549" i="1"/>
  <c r="U4549" i="1"/>
  <c r="V4549" i="1"/>
  <c r="W4549" i="1"/>
  <c r="X4549" i="1"/>
  <c r="Y4549" i="1"/>
  <c r="Z4549" i="1"/>
  <c r="A4550" i="1"/>
  <c r="B4550" i="1"/>
  <c r="C4550" i="1"/>
  <c r="D4550" i="1"/>
  <c r="E4550" i="1"/>
  <c r="F4550" i="1"/>
  <c r="G4550" i="1"/>
  <c r="I4550" i="1"/>
  <c r="J4550" i="1"/>
  <c r="K4550" i="1"/>
  <c r="L4550" i="1"/>
  <c r="M4550" i="1"/>
  <c r="N4550" i="1"/>
  <c r="O4550" i="1"/>
  <c r="P4550" i="1"/>
  <c r="Q4550" i="1"/>
  <c r="R4550" i="1"/>
  <c r="S4550" i="1"/>
  <c r="T4550" i="1"/>
  <c r="U4550" i="1"/>
  <c r="V4550" i="1"/>
  <c r="W4550" i="1"/>
  <c r="X4550" i="1"/>
  <c r="Y4550" i="1"/>
  <c r="Z4550" i="1"/>
  <c r="A4551" i="1"/>
  <c r="B4551" i="1"/>
  <c r="C4551" i="1"/>
  <c r="D4551" i="1"/>
  <c r="E4551" i="1"/>
  <c r="F4551" i="1"/>
  <c r="G4551" i="1"/>
  <c r="I4551" i="1"/>
  <c r="J4551" i="1"/>
  <c r="K4551" i="1"/>
  <c r="L4551" i="1"/>
  <c r="M4551" i="1"/>
  <c r="N4551" i="1"/>
  <c r="O4551" i="1"/>
  <c r="P4551" i="1"/>
  <c r="Q4551" i="1"/>
  <c r="R4551" i="1"/>
  <c r="S4551" i="1"/>
  <c r="T4551" i="1"/>
  <c r="U4551" i="1"/>
  <c r="V4551" i="1"/>
  <c r="W4551" i="1"/>
  <c r="X4551" i="1"/>
  <c r="Y4551" i="1"/>
  <c r="Z4551" i="1"/>
  <c r="A4552" i="1"/>
  <c r="B4552" i="1"/>
  <c r="C4552" i="1"/>
  <c r="D4552" i="1"/>
  <c r="E4552" i="1"/>
  <c r="F4552" i="1"/>
  <c r="G4552" i="1"/>
  <c r="I4552" i="1"/>
  <c r="J4552" i="1"/>
  <c r="K4552" i="1"/>
  <c r="L4552" i="1"/>
  <c r="M4552" i="1"/>
  <c r="N4552" i="1"/>
  <c r="O4552" i="1"/>
  <c r="P4552" i="1"/>
  <c r="Q4552" i="1"/>
  <c r="R4552" i="1"/>
  <c r="S4552" i="1"/>
  <c r="T4552" i="1"/>
  <c r="U4552" i="1"/>
  <c r="V4552" i="1"/>
  <c r="W4552" i="1"/>
  <c r="X4552" i="1"/>
  <c r="Y4552" i="1"/>
  <c r="Z4552" i="1"/>
  <c r="A4553" i="1"/>
  <c r="B4553" i="1"/>
  <c r="C4553" i="1"/>
  <c r="D4553" i="1"/>
  <c r="E4553" i="1"/>
  <c r="F4553" i="1"/>
  <c r="G4553" i="1"/>
  <c r="I4553" i="1"/>
  <c r="J4553" i="1"/>
  <c r="K4553" i="1"/>
  <c r="L4553" i="1"/>
  <c r="M4553" i="1"/>
  <c r="N4553" i="1"/>
  <c r="O4553" i="1"/>
  <c r="P4553" i="1"/>
  <c r="Q4553" i="1"/>
  <c r="R4553" i="1"/>
  <c r="S4553" i="1"/>
  <c r="T4553" i="1"/>
  <c r="U4553" i="1"/>
  <c r="V4553" i="1"/>
  <c r="W4553" i="1"/>
  <c r="X4553" i="1"/>
  <c r="Y4553" i="1"/>
  <c r="Z4553" i="1"/>
  <c r="A4554" i="1"/>
  <c r="B4554" i="1"/>
  <c r="C4554" i="1"/>
  <c r="D4554" i="1"/>
  <c r="E4554" i="1"/>
  <c r="F4554" i="1"/>
  <c r="G4554" i="1"/>
  <c r="I4554" i="1"/>
  <c r="J4554" i="1"/>
  <c r="K4554" i="1"/>
  <c r="L4554" i="1"/>
  <c r="M4554" i="1"/>
  <c r="N4554" i="1"/>
  <c r="O4554" i="1"/>
  <c r="P4554" i="1"/>
  <c r="Q4554" i="1"/>
  <c r="R4554" i="1"/>
  <c r="S4554" i="1"/>
  <c r="T4554" i="1"/>
  <c r="U4554" i="1"/>
  <c r="V4554" i="1"/>
  <c r="W4554" i="1"/>
  <c r="X4554" i="1"/>
  <c r="Y4554" i="1"/>
  <c r="Z4554" i="1"/>
  <c r="A4555" i="1"/>
  <c r="B4555" i="1"/>
  <c r="C4555" i="1"/>
  <c r="D4555" i="1"/>
  <c r="E4555" i="1"/>
  <c r="F4555" i="1"/>
  <c r="G4555" i="1"/>
  <c r="I4555" i="1"/>
  <c r="J4555" i="1"/>
  <c r="K4555" i="1"/>
  <c r="L4555" i="1"/>
  <c r="M4555" i="1"/>
  <c r="N4555" i="1"/>
  <c r="O4555" i="1"/>
  <c r="P4555" i="1"/>
  <c r="Q4555" i="1"/>
  <c r="R4555" i="1"/>
  <c r="S4555" i="1"/>
  <c r="T4555" i="1"/>
  <c r="U4555" i="1"/>
  <c r="V4555" i="1"/>
  <c r="W4555" i="1"/>
  <c r="X4555" i="1"/>
  <c r="Y4555" i="1"/>
  <c r="Z4555" i="1"/>
  <c r="A4556" i="1"/>
  <c r="B4556" i="1"/>
  <c r="C4556" i="1"/>
  <c r="D4556" i="1"/>
  <c r="E4556" i="1"/>
  <c r="F4556" i="1"/>
  <c r="G4556" i="1"/>
  <c r="I4556" i="1"/>
  <c r="J4556" i="1"/>
  <c r="K4556" i="1"/>
  <c r="L4556" i="1"/>
  <c r="M4556" i="1"/>
  <c r="N4556" i="1"/>
  <c r="O4556" i="1"/>
  <c r="P4556" i="1"/>
  <c r="Q4556" i="1"/>
  <c r="R4556" i="1"/>
  <c r="S4556" i="1"/>
  <c r="T4556" i="1"/>
  <c r="U4556" i="1"/>
  <c r="V4556" i="1"/>
  <c r="W4556" i="1"/>
  <c r="X4556" i="1"/>
  <c r="Y4556" i="1"/>
  <c r="Z4556" i="1"/>
  <c r="A4557" i="1"/>
  <c r="B4557" i="1"/>
  <c r="C4557" i="1"/>
  <c r="D4557" i="1"/>
  <c r="E4557" i="1"/>
  <c r="F4557" i="1"/>
  <c r="G4557" i="1"/>
  <c r="I4557" i="1"/>
  <c r="J4557" i="1"/>
  <c r="K4557" i="1"/>
  <c r="L4557" i="1"/>
  <c r="M4557" i="1"/>
  <c r="N4557" i="1"/>
  <c r="O4557" i="1"/>
  <c r="P4557" i="1"/>
  <c r="Q4557" i="1"/>
  <c r="R4557" i="1"/>
  <c r="S4557" i="1"/>
  <c r="T4557" i="1"/>
  <c r="U4557" i="1"/>
  <c r="V4557" i="1"/>
  <c r="W4557" i="1"/>
  <c r="X4557" i="1"/>
  <c r="Y4557" i="1"/>
  <c r="Z4557" i="1"/>
  <c r="A4558" i="1"/>
  <c r="B4558" i="1"/>
  <c r="C4558" i="1"/>
  <c r="D4558" i="1"/>
  <c r="E4558" i="1"/>
  <c r="F4558" i="1"/>
  <c r="G4558" i="1"/>
  <c r="I4558" i="1"/>
  <c r="J4558" i="1"/>
  <c r="K4558" i="1"/>
  <c r="L4558" i="1"/>
  <c r="M4558" i="1"/>
  <c r="N4558" i="1"/>
  <c r="O4558" i="1"/>
  <c r="P4558" i="1"/>
  <c r="Q4558" i="1"/>
  <c r="R4558" i="1"/>
  <c r="S4558" i="1"/>
  <c r="T4558" i="1"/>
  <c r="U4558" i="1"/>
  <c r="V4558" i="1"/>
  <c r="W4558" i="1"/>
  <c r="X4558" i="1"/>
  <c r="Y4558" i="1"/>
  <c r="Z4558" i="1"/>
  <c r="A4559" i="1"/>
  <c r="B4559" i="1"/>
  <c r="C4559" i="1"/>
  <c r="D4559" i="1"/>
  <c r="E4559" i="1"/>
  <c r="F4559" i="1"/>
  <c r="G4559" i="1"/>
  <c r="I4559" i="1"/>
  <c r="J4559" i="1"/>
  <c r="K4559" i="1"/>
  <c r="L4559" i="1"/>
  <c r="M4559" i="1"/>
  <c r="N4559" i="1"/>
  <c r="O4559" i="1"/>
  <c r="P4559" i="1"/>
  <c r="Q4559" i="1"/>
  <c r="R4559" i="1"/>
  <c r="S4559" i="1"/>
  <c r="T4559" i="1"/>
  <c r="U4559" i="1"/>
  <c r="V4559" i="1"/>
  <c r="W4559" i="1"/>
  <c r="X4559" i="1"/>
  <c r="Y4559" i="1"/>
  <c r="Z4559" i="1"/>
  <c r="A4560" i="1"/>
  <c r="B4560" i="1"/>
  <c r="C4560" i="1"/>
  <c r="D4560" i="1"/>
  <c r="E4560" i="1"/>
  <c r="F4560" i="1"/>
  <c r="G4560" i="1"/>
  <c r="I4560" i="1"/>
  <c r="J4560" i="1"/>
  <c r="K4560" i="1"/>
  <c r="L4560" i="1"/>
  <c r="M4560" i="1"/>
  <c r="N4560" i="1"/>
  <c r="O4560" i="1"/>
  <c r="P4560" i="1"/>
  <c r="Q4560" i="1"/>
  <c r="R4560" i="1"/>
  <c r="S4560" i="1"/>
  <c r="T4560" i="1"/>
  <c r="U4560" i="1"/>
  <c r="V4560" i="1"/>
  <c r="W4560" i="1"/>
  <c r="X4560" i="1"/>
  <c r="Y4560" i="1"/>
  <c r="Z4560" i="1"/>
  <c r="A4561" i="1"/>
  <c r="B4561" i="1"/>
  <c r="C4561" i="1"/>
  <c r="D4561" i="1"/>
  <c r="E4561" i="1"/>
  <c r="F4561" i="1"/>
  <c r="G4561" i="1"/>
  <c r="I4561" i="1"/>
  <c r="J4561" i="1"/>
  <c r="K4561" i="1"/>
  <c r="L4561" i="1"/>
  <c r="M4561" i="1"/>
  <c r="N4561" i="1"/>
  <c r="O4561" i="1"/>
  <c r="P4561" i="1"/>
  <c r="Q4561" i="1"/>
  <c r="R4561" i="1"/>
  <c r="S4561" i="1"/>
  <c r="T4561" i="1"/>
  <c r="U4561" i="1"/>
  <c r="V4561" i="1"/>
  <c r="W4561" i="1"/>
  <c r="X4561" i="1"/>
  <c r="Y4561" i="1"/>
  <c r="Z4561" i="1"/>
  <c r="A4562" i="1"/>
  <c r="B4562" i="1"/>
  <c r="C4562" i="1"/>
  <c r="D4562" i="1"/>
  <c r="E4562" i="1"/>
  <c r="F4562" i="1"/>
  <c r="G4562" i="1"/>
  <c r="I4562" i="1"/>
  <c r="J4562" i="1"/>
  <c r="K4562" i="1"/>
  <c r="L4562" i="1"/>
  <c r="M4562" i="1"/>
  <c r="N4562" i="1"/>
  <c r="O4562" i="1"/>
  <c r="P4562" i="1"/>
  <c r="Q4562" i="1"/>
  <c r="R4562" i="1"/>
  <c r="S4562" i="1"/>
  <c r="T4562" i="1"/>
  <c r="U4562" i="1"/>
  <c r="V4562" i="1"/>
  <c r="W4562" i="1"/>
  <c r="X4562" i="1"/>
  <c r="Y4562" i="1"/>
  <c r="Z4562" i="1"/>
  <c r="A4563" i="1"/>
  <c r="B4563" i="1"/>
  <c r="C4563" i="1"/>
  <c r="D4563" i="1"/>
  <c r="E4563" i="1"/>
  <c r="F4563" i="1"/>
  <c r="G4563" i="1"/>
  <c r="I4563" i="1"/>
  <c r="J4563" i="1"/>
  <c r="K4563" i="1"/>
  <c r="L4563" i="1"/>
  <c r="M4563" i="1"/>
  <c r="N4563" i="1"/>
  <c r="O4563" i="1"/>
  <c r="P4563" i="1"/>
  <c r="Q4563" i="1"/>
  <c r="R4563" i="1"/>
  <c r="S4563" i="1"/>
  <c r="T4563" i="1"/>
  <c r="U4563" i="1"/>
  <c r="V4563" i="1"/>
  <c r="W4563" i="1"/>
  <c r="X4563" i="1"/>
  <c r="Y4563" i="1"/>
  <c r="Z4563" i="1"/>
  <c r="A4564" i="1"/>
  <c r="B4564" i="1"/>
  <c r="C4564" i="1"/>
  <c r="D4564" i="1"/>
  <c r="E4564" i="1"/>
  <c r="F4564" i="1"/>
  <c r="G4564" i="1"/>
  <c r="I4564" i="1"/>
  <c r="J4564" i="1"/>
  <c r="K4564" i="1"/>
  <c r="L4564" i="1"/>
  <c r="M4564" i="1"/>
  <c r="N4564" i="1"/>
  <c r="O4564" i="1"/>
  <c r="P4564" i="1"/>
  <c r="Q4564" i="1"/>
  <c r="R4564" i="1"/>
  <c r="S4564" i="1"/>
  <c r="T4564" i="1"/>
  <c r="U4564" i="1"/>
  <c r="V4564" i="1"/>
  <c r="W4564" i="1"/>
  <c r="X4564" i="1"/>
  <c r="Y4564" i="1"/>
  <c r="Z4564" i="1"/>
  <c r="A4565" i="1"/>
  <c r="B4565" i="1"/>
  <c r="C4565" i="1"/>
  <c r="D4565" i="1"/>
  <c r="E4565" i="1"/>
  <c r="F4565" i="1"/>
  <c r="G4565" i="1"/>
  <c r="I4565" i="1"/>
  <c r="J4565" i="1"/>
  <c r="K4565" i="1"/>
  <c r="L4565" i="1"/>
  <c r="M4565" i="1"/>
  <c r="N4565" i="1"/>
  <c r="O4565" i="1"/>
  <c r="P4565" i="1"/>
  <c r="Q4565" i="1"/>
  <c r="R4565" i="1"/>
  <c r="S4565" i="1"/>
  <c r="T4565" i="1"/>
  <c r="U4565" i="1"/>
  <c r="V4565" i="1"/>
  <c r="W4565" i="1"/>
  <c r="X4565" i="1"/>
  <c r="Y4565" i="1"/>
  <c r="Z4565" i="1"/>
  <c r="A4566" i="1"/>
  <c r="B4566" i="1"/>
  <c r="C4566" i="1"/>
  <c r="D4566" i="1"/>
  <c r="E4566" i="1"/>
  <c r="F4566" i="1"/>
  <c r="G4566" i="1"/>
  <c r="I4566" i="1"/>
  <c r="J4566" i="1"/>
  <c r="K4566" i="1"/>
  <c r="L4566" i="1"/>
  <c r="M4566" i="1"/>
  <c r="N4566" i="1"/>
  <c r="O4566" i="1"/>
  <c r="P4566" i="1"/>
  <c r="Q4566" i="1"/>
  <c r="R4566" i="1"/>
  <c r="S4566" i="1"/>
  <c r="T4566" i="1"/>
  <c r="U4566" i="1"/>
  <c r="V4566" i="1"/>
  <c r="W4566" i="1"/>
  <c r="X4566" i="1"/>
  <c r="Y4566" i="1"/>
  <c r="Z4566" i="1"/>
  <c r="A4567" i="1"/>
  <c r="B4567" i="1"/>
  <c r="C4567" i="1"/>
  <c r="D4567" i="1"/>
  <c r="E4567" i="1"/>
  <c r="F4567" i="1"/>
  <c r="G4567" i="1"/>
  <c r="I4567" i="1"/>
  <c r="J4567" i="1"/>
  <c r="K4567" i="1"/>
  <c r="L4567" i="1"/>
  <c r="M4567" i="1"/>
  <c r="N4567" i="1"/>
  <c r="O4567" i="1"/>
  <c r="P4567" i="1"/>
  <c r="Q4567" i="1"/>
  <c r="R4567" i="1"/>
  <c r="S4567" i="1"/>
  <c r="T4567" i="1"/>
  <c r="U4567" i="1"/>
  <c r="V4567" i="1"/>
  <c r="W4567" i="1"/>
  <c r="X4567" i="1"/>
  <c r="Y4567" i="1"/>
  <c r="Z4567" i="1"/>
  <c r="A4568" i="1"/>
  <c r="B4568" i="1"/>
  <c r="C4568" i="1"/>
  <c r="D4568" i="1"/>
  <c r="E4568" i="1"/>
  <c r="F4568" i="1"/>
  <c r="G4568" i="1"/>
  <c r="I4568" i="1"/>
  <c r="J4568" i="1"/>
  <c r="K4568" i="1"/>
  <c r="L4568" i="1"/>
  <c r="M4568" i="1"/>
  <c r="N4568" i="1"/>
  <c r="O4568" i="1"/>
  <c r="P4568" i="1"/>
  <c r="Q4568" i="1"/>
  <c r="R4568" i="1"/>
  <c r="S4568" i="1"/>
  <c r="T4568" i="1"/>
  <c r="U4568" i="1"/>
  <c r="V4568" i="1"/>
  <c r="W4568" i="1"/>
  <c r="X4568" i="1"/>
  <c r="Y4568" i="1"/>
  <c r="Z4568" i="1"/>
  <c r="A4569" i="1"/>
  <c r="B4569" i="1"/>
  <c r="C4569" i="1"/>
  <c r="D4569" i="1"/>
  <c r="E4569" i="1"/>
  <c r="F4569" i="1"/>
  <c r="G4569" i="1"/>
  <c r="I4569" i="1"/>
  <c r="J4569" i="1"/>
  <c r="K4569" i="1"/>
  <c r="L4569" i="1"/>
  <c r="M4569" i="1"/>
  <c r="N4569" i="1"/>
  <c r="O4569" i="1"/>
  <c r="P4569" i="1"/>
  <c r="Q4569" i="1"/>
  <c r="R4569" i="1"/>
  <c r="S4569" i="1"/>
  <c r="T4569" i="1"/>
  <c r="U4569" i="1"/>
  <c r="V4569" i="1"/>
  <c r="W4569" i="1"/>
  <c r="X4569" i="1"/>
  <c r="Y4569" i="1"/>
  <c r="Z4569" i="1"/>
  <c r="A4570" i="1"/>
  <c r="B4570" i="1"/>
  <c r="C4570" i="1"/>
  <c r="D4570" i="1"/>
  <c r="E4570" i="1"/>
  <c r="F4570" i="1"/>
  <c r="G4570" i="1"/>
  <c r="I4570" i="1"/>
  <c r="J4570" i="1"/>
  <c r="K4570" i="1"/>
  <c r="L4570" i="1"/>
  <c r="M4570" i="1"/>
  <c r="N4570" i="1"/>
  <c r="O4570" i="1"/>
  <c r="P4570" i="1"/>
  <c r="Q4570" i="1"/>
  <c r="R4570" i="1"/>
  <c r="S4570" i="1"/>
  <c r="T4570" i="1"/>
  <c r="U4570" i="1"/>
  <c r="V4570" i="1"/>
  <c r="W4570" i="1"/>
  <c r="X4570" i="1"/>
  <c r="Y4570" i="1"/>
  <c r="Z4570" i="1"/>
  <c r="A4571" i="1"/>
  <c r="B4571" i="1"/>
  <c r="C4571" i="1"/>
  <c r="D4571" i="1"/>
  <c r="E4571" i="1"/>
  <c r="F4571" i="1"/>
  <c r="G4571" i="1"/>
  <c r="I4571" i="1"/>
  <c r="J4571" i="1"/>
  <c r="K4571" i="1"/>
  <c r="L4571" i="1"/>
  <c r="M4571" i="1"/>
  <c r="N4571" i="1"/>
  <c r="O4571" i="1"/>
  <c r="P4571" i="1"/>
  <c r="Q4571" i="1"/>
  <c r="R4571" i="1"/>
  <c r="S4571" i="1"/>
  <c r="T4571" i="1"/>
  <c r="U4571" i="1"/>
  <c r="V4571" i="1"/>
  <c r="W4571" i="1"/>
  <c r="X4571" i="1"/>
  <c r="Y4571" i="1"/>
  <c r="Z4571" i="1"/>
  <c r="A4572" i="1"/>
  <c r="B4572" i="1"/>
  <c r="C4572" i="1"/>
  <c r="D4572" i="1"/>
  <c r="E4572" i="1"/>
  <c r="F4572" i="1"/>
  <c r="G4572" i="1"/>
  <c r="I4572" i="1"/>
  <c r="J4572" i="1"/>
  <c r="K4572" i="1"/>
  <c r="L4572" i="1"/>
  <c r="M4572" i="1"/>
  <c r="N4572" i="1"/>
  <c r="O4572" i="1"/>
  <c r="P4572" i="1"/>
  <c r="Q4572" i="1"/>
  <c r="R4572" i="1"/>
  <c r="S4572" i="1"/>
  <c r="T4572" i="1"/>
  <c r="U4572" i="1"/>
  <c r="V4572" i="1"/>
  <c r="W4572" i="1"/>
  <c r="X4572" i="1"/>
  <c r="Y4572" i="1"/>
  <c r="Z4572" i="1"/>
  <c r="A4573" i="1"/>
  <c r="B4573" i="1"/>
  <c r="C4573" i="1"/>
  <c r="D4573" i="1"/>
  <c r="E4573" i="1"/>
  <c r="F4573" i="1"/>
  <c r="G4573" i="1"/>
  <c r="I4573" i="1"/>
  <c r="J4573" i="1"/>
  <c r="K4573" i="1"/>
  <c r="L4573" i="1"/>
  <c r="M4573" i="1"/>
  <c r="N4573" i="1"/>
  <c r="O4573" i="1"/>
  <c r="P4573" i="1"/>
  <c r="Q4573" i="1"/>
  <c r="R4573" i="1"/>
  <c r="S4573" i="1"/>
  <c r="T4573" i="1"/>
  <c r="U4573" i="1"/>
  <c r="V4573" i="1"/>
  <c r="W4573" i="1"/>
  <c r="X4573" i="1"/>
  <c r="Y4573" i="1"/>
  <c r="Z4573" i="1"/>
  <c r="A4574" i="1"/>
  <c r="B4574" i="1"/>
  <c r="C4574" i="1"/>
  <c r="D4574" i="1"/>
  <c r="E4574" i="1"/>
  <c r="F4574" i="1"/>
  <c r="G4574" i="1"/>
  <c r="I4574" i="1"/>
  <c r="J4574" i="1"/>
  <c r="K4574" i="1"/>
  <c r="L4574" i="1"/>
  <c r="M4574" i="1"/>
  <c r="N4574" i="1"/>
  <c r="O4574" i="1"/>
  <c r="P4574" i="1"/>
  <c r="Q4574" i="1"/>
  <c r="R4574" i="1"/>
  <c r="S4574" i="1"/>
  <c r="T4574" i="1"/>
  <c r="U4574" i="1"/>
  <c r="V4574" i="1"/>
  <c r="W4574" i="1"/>
  <c r="X4574" i="1"/>
  <c r="Y4574" i="1"/>
  <c r="Z4574" i="1"/>
  <c r="A4575" i="1"/>
  <c r="B4575" i="1"/>
  <c r="C4575" i="1"/>
  <c r="D4575" i="1"/>
  <c r="E4575" i="1"/>
  <c r="F4575" i="1"/>
  <c r="G4575" i="1"/>
  <c r="I4575" i="1"/>
  <c r="J4575" i="1"/>
  <c r="K4575" i="1"/>
  <c r="L4575" i="1"/>
  <c r="M4575" i="1"/>
  <c r="N4575" i="1"/>
  <c r="O4575" i="1"/>
  <c r="P4575" i="1"/>
  <c r="Q4575" i="1"/>
  <c r="R4575" i="1"/>
  <c r="S4575" i="1"/>
  <c r="T4575" i="1"/>
  <c r="U4575" i="1"/>
  <c r="V4575" i="1"/>
  <c r="W4575" i="1"/>
  <c r="X4575" i="1"/>
  <c r="Y4575" i="1"/>
  <c r="Z4575" i="1"/>
  <c r="A4576" i="1"/>
  <c r="B4576" i="1"/>
  <c r="C4576" i="1"/>
  <c r="D4576" i="1"/>
  <c r="E4576" i="1"/>
  <c r="F4576" i="1"/>
  <c r="G4576" i="1"/>
  <c r="I4576" i="1"/>
  <c r="J4576" i="1"/>
  <c r="K4576" i="1"/>
  <c r="L4576" i="1"/>
  <c r="M4576" i="1"/>
  <c r="N4576" i="1"/>
  <c r="O4576" i="1"/>
  <c r="P4576" i="1"/>
  <c r="Q4576" i="1"/>
  <c r="R4576" i="1"/>
  <c r="S4576" i="1"/>
  <c r="T4576" i="1"/>
  <c r="U4576" i="1"/>
  <c r="V4576" i="1"/>
  <c r="W4576" i="1"/>
  <c r="X4576" i="1"/>
  <c r="Y4576" i="1"/>
  <c r="Z4576" i="1"/>
  <c r="A4577" i="1"/>
  <c r="B4577" i="1"/>
  <c r="C4577" i="1"/>
  <c r="D4577" i="1"/>
  <c r="E4577" i="1"/>
  <c r="F4577" i="1"/>
  <c r="G4577" i="1"/>
  <c r="I4577" i="1"/>
  <c r="J4577" i="1"/>
  <c r="K4577" i="1"/>
  <c r="L4577" i="1"/>
  <c r="M4577" i="1"/>
  <c r="N4577" i="1"/>
  <c r="O4577" i="1"/>
  <c r="P4577" i="1"/>
  <c r="Q4577" i="1"/>
  <c r="R4577" i="1"/>
  <c r="S4577" i="1"/>
  <c r="T4577" i="1"/>
  <c r="U4577" i="1"/>
  <c r="V4577" i="1"/>
  <c r="W4577" i="1"/>
  <c r="X4577" i="1"/>
  <c r="Y4577" i="1"/>
  <c r="Z4577" i="1"/>
  <c r="A4578" i="1"/>
  <c r="B4578" i="1"/>
  <c r="C4578" i="1"/>
  <c r="D4578" i="1"/>
  <c r="E4578" i="1"/>
  <c r="F4578" i="1"/>
  <c r="G4578" i="1"/>
  <c r="I4578" i="1"/>
  <c r="J4578" i="1"/>
  <c r="K4578" i="1"/>
  <c r="L4578" i="1"/>
  <c r="M4578" i="1"/>
  <c r="N4578" i="1"/>
  <c r="O4578" i="1"/>
  <c r="P4578" i="1"/>
  <c r="Q4578" i="1"/>
  <c r="R4578" i="1"/>
  <c r="S4578" i="1"/>
  <c r="T4578" i="1"/>
  <c r="U4578" i="1"/>
  <c r="V4578" i="1"/>
  <c r="W4578" i="1"/>
  <c r="X4578" i="1"/>
  <c r="Y4578" i="1"/>
  <c r="Z4578" i="1"/>
  <c r="A4579" i="1"/>
  <c r="B4579" i="1"/>
  <c r="C4579" i="1"/>
  <c r="D4579" i="1"/>
  <c r="E4579" i="1"/>
  <c r="F4579" i="1"/>
  <c r="G4579" i="1"/>
  <c r="I4579" i="1"/>
  <c r="J4579" i="1"/>
  <c r="K4579" i="1"/>
  <c r="L4579" i="1"/>
  <c r="M4579" i="1"/>
  <c r="N4579" i="1"/>
  <c r="O4579" i="1"/>
  <c r="P4579" i="1"/>
  <c r="Q4579" i="1"/>
  <c r="R4579" i="1"/>
  <c r="S4579" i="1"/>
  <c r="T4579" i="1"/>
  <c r="U4579" i="1"/>
  <c r="V4579" i="1"/>
  <c r="W4579" i="1"/>
  <c r="X4579" i="1"/>
  <c r="Y4579" i="1"/>
  <c r="Z4579" i="1"/>
  <c r="A4580" i="1"/>
  <c r="B4580" i="1"/>
  <c r="C4580" i="1"/>
  <c r="D4580" i="1"/>
  <c r="E4580" i="1"/>
  <c r="F4580" i="1"/>
  <c r="G4580" i="1"/>
  <c r="I4580" i="1"/>
  <c r="J4580" i="1"/>
  <c r="K4580" i="1"/>
  <c r="L4580" i="1"/>
  <c r="M4580" i="1"/>
  <c r="N4580" i="1"/>
  <c r="O4580" i="1"/>
  <c r="P4580" i="1"/>
  <c r="Q4580" i="1"/>
  <c r="R4580" i="1"/>
  <c r="S4580" i="1"/>
  <c r="T4580" i="1"/>
  <c r="U4580" i="1"/>
  <c r="V4580" i="1"/>
  <c r="W4580" i="1"/>
  <c r="X4580" i="1"/>
  <c r="Y4580" i="1"/>
  <c r="Z4580" i="1"/>
  <c r="A4581" i="1"/>
  <c r="B4581" i="1"/>
  <c r="C4581" i="1"/>
  <c r="D4581" i="1"/>
  <c r="E4581" i="1"/>
  <c r="F4581" i="1"/>
  <c r="G4581" i="1"/>
  <c r="I4581" i="1"/>
  <c r="J4581" i="1"/>
  <c r="K4581" i="1"/>
  <c r="L4581" i="1"/>
  <c r="M4581" i="1"/>
  <c r="N4581" i="1"/>
  <c r="O4581" i="1"/>
  <c r="P4581" i="1"/>
  <c r="Q4581" i="1"/>
  <c r="R4581" i="1"/>
  <c r="S4581" i="1"/>
  <c r="T4581" i="1"/>
  <c r="U4581" i="1"/>
  <c r="V4581" i="1"/>
  <c r="W4581" i="1"/>
  <c r="X4581" i="1"/>
  <c r="Y4581" i="1"/>
  <c r="Z4581" i="1"/>
  <c r="A4582" i="1"/>
  <c r="B4582" i="1"/>
  <c r="C4582" i="1"/>
  <c r="D4582" i="1"/>
  <c r="E4582" i="1"/>
  <c r="F4582" i="1"/>
  <c r="G4582" i="1"/>
  <c r="I4582" i="1"/>
  <c r="J4582" i="1"/>
  <c r="K4582" i="1"/>
  <c r="L4582" i="1"/>
  <c r="M4582" i="1"/>
  <c r="N4582" i="1"/>
  <c r="O4582" i="1"/>
  <c r="P4582" i="1"/>
  <c r="Q4582" i="1"/>
  <c r="R4582" i="1"/>
  <c r="S4582" i="1"/>
  <c r="T4582" i="1"/>
  <c r="U4582" i="1"/>
  <c r="V4582" i="1"/>
  <c r="W4582" i="1"/>
  <c r="X4582" i="1"/>
  <c r="Y4582" i="1"/>
  <c r="Z4582" i="1"/>
  <c r="A4583" i="1"/>
  <c r="B4583" i="1"/>
  <c r="C4583" i="1"/>
  <c r="D4583" i="1"/>
  <c r="E4583" i="1"/>
  <c r="F4583" i="1"/>
  <c r="G4583" i="1"/>
  <c r="I4583" i="1"/>
  <c r="J4583" i="1"/>
  <c r="K4583" i="1"/>
  <c r="L4583" i="1"/>
  <c r="M4583" i="1"/>
  <c r="N4583" i="1"/>
  <c r="O4583" i="1"/>
  <c r="P4583" i="1"/>
  <c r="Q4583" i="1"/>
  <c r="R4583" i="1"/>
  <c r="S4583" i="1"/>
  <c r="T4583" i="1"/>
  <c r="U4583" i="1"/>
  <c r="V4583" i="1"/>
  <c r="W4583" i="1"/>
  <c r="X4583" i="1"/>
  <c r="Y4583" i="1"/>
  <c r="Z4583" i="1"/>
  <c r="A4584" i="1"/>
  <c r="B4584" i="1"/>
  <c r="C4584" i="1"/>
  <c r="D4584" i="1"/>
  <c r="E4584" i="1"/>
  <c r="F4584" i="1"/>
  <c r="G4584" i="1"/>
  <c r="I4584" i="1"/>
  <c r="J4584" i="1"/>
  <c r="K4584" i="1"/>
  <c r="L4584" i="1"/>
  <c r="M4584" i="1"/>
  <c r="N4584" i="1"/>
  <c r="O4584" i="1"/>
  <c r="P4584" i="1"/>
  <c r="Q4584" i="1"/>
  <c r="R4584" i="1"/>
  <c r="S4584" i="1"/>
  <c r="T4584" i="1"/>
  <c r="U4584" i="1"/>
  <c r="V4584" i="1"/>
  <c r="W4584" i="1"/>
  <c r="X4584" i="1"/>
  <c r="Y4584" i="1"/>
  <c r="Z4584" i="1"/>
  <c r="A4585" i="1"/>
  <c r="B4585" i="1"/>
  <c r="C4585" i="1"/>
  <c r="D4585" i="1"/>
  <c r="E4585" i="1"/>
  <c r="F4585" i="1"/>
  <c r="G4585" i="1"/>
  <c r="I4585" i="1"/>
  <c r="J4585" i="1"/>
  <c r="K4585" i="1"/>
  <c r="L4585" i="1"/>
  <c r="M4585" i="1"/>
  <c r="N4585" i="1"/>
  <c r="O4585" i="1"/>
  <c r="P4585" i="1"/>
  <c r="Q4585" i="1"/>
  <c r="R4585" i="1"/>
  <c r="S4585" i="1"/>
  <c r="T4585" i="1"/>
  <c r="U4585" i="1"/>
  <c r="V4585" i="1"/>
  <c r="W4585" i="1"/>
  <c r="X4585" i="1"/>
  <c r="Y4585" i="1"/>
  <c r="Z4585" i="1"/>
  <c r="A4586" i="1"/>
  <c r="B4586" i="1"/>
  <c r="C4586" i="1"/>
  <c r="D4586" i="1"/>
  <c r="E4586" i="1"/>
  <c r="F4586" i="1"/>
  <c r="G4586" i="1"/>
  <c r="I4586" i="1"/>
  <c r="J4586" i="1"/>
  <c r="K4586" i="1"/>
  <c r="L4586" i="1"/>
  <c r="M4586" i="1"/>
  <c r="N4586" i="1"/>
  <c r="O4586" i="1"/>
  <c r="P4586" i="1"/>
  <c r="Q4586" i="1"/>
  <c r="R4586" i="1"/>
  <c r="S4586" i="1"/>
  <c r="T4586" i="1"/>
  <c r="U4586" i="1"/>
  <c r="V4586" i="1"/>
  <c r="W4586" i="1"/>
  <c r="X4586" i="1"/>
  <c r="Y4586" i="1"/>
  <c r="Z4586" i="1"/>
  <c r="A4587" i="1"/>
  <c r="B4587" i="1"/>
  <c r="C4587" i="1"/>
  <c r="D4587" i="1"/>
  <c r="E4587" i="1"/>
  <c r="F4587" i="1"/>
  <c r="G4587" i="1"/>
  <c r="I4587" i="1"/>
  <c r="J4587" i="1"/>
  <c r="K4587" i="1"/>
  <c r="L4587" i="1"/>
  <c r="M4587" i="1"/>
  <c r="N4587" i="1"/>
  <c r="O4587" i="1"/>
  <c r="P4587" i="1"/>
  <c r="Q4587" i="1"/>
  <c r="R4587" i="1"/>
  <c r="S4587" i="1"/>
  <c r="T4587" i="1"/>
  <c r="U4587" i="1"/>
  <c r="V4587" i="1"/>
  <c r="W4587" i="1"/>
  <c r="X4587" i="1"/>
  <c r="Y4587" i="1"/>
  <c r="Z4587" i="1"/>
  <c r="A4588" i="1"/>
  <c r="B4588" i="1"/>
  <c r="C4588" i="1"/>
  <c r="D4588" i="1"/>
  <c r="E4588" i="1"/>
  <c r="F4588" i="1"/>
  <c r="G4588" i="1"/>
  <c r="I4588" i="1"/>
  <c r="J4588" i="1"/>
  <c r="K4588" i="1"/>
  <c r="L4588" i="1"/>
  <c r="M4588" i="1"/>
  <c r="N4588" i="1"/>
  <c r="O4588" i="1"/>
  <c r="P4588" i="1"/>
  <c r="Q4588" i="1"/>
  <c r="R4588" i="1"/>
  <c r="S4588" i="1"/>
  <c r="T4588" i="1"/>
  <c r="U4588" i="1"/>
  <c r="V4588" i="1"/>
  <c r="W4588" i="1"/>
  <c r="X4588" i="1"/>
  <c r="Y4588" i="1"/>
  <c r="Z4588" i="1"/>
  <c r="A4589" i="1"/>
  <c r="B4589" i="1"/>
  <c r="C4589" i="1"/>
  <c r="D4589" i="1"/>
  <c r="E4589" i="1"/>
  <c r="F4589" i="1"/>
  <c r="G4589" i="1"/>
  <c r="I4589" i="1"/>
  <c r="J4589" i="1"/>
  <c r="K4589" i="1"/>
  <c r="L4589" i="1"/>
  <c r="M4589" i="1"/>
  <c r="N4589" i="1"/>
  <c r="O4589" i="1"/>
  <c r="P4589" i="1"/>
  <c r="Q4589" i="1"/>
  <c r="R4589" i="1"/>
  <c r="S4589" i="1"/>
  <c r="T4589" i="1"/>
  <c r="U4589" i="1"/>
  <c r="V4589" i="1"/>
  <c r="W4589" i="1"/>
  <c r="X4589" i="1"/>
  <c r="Y4589" i="1"/>
  <c r="Z4589" i="1"/>
  <c r="A4590" i="1"/>
  <c r="B4590" i="1"/>
  <c r="C4590" i="1"/>
  <c r="D4590" i="1"/>
  <c r="E4590" i="1"/>
  <c r="F4590" i="1"/>
  <c r="G4590" i="1"/>
  <c r="I4590" i="1"/>
  <c r="J4590" i="1"/>
  <c r="K4590" i="1"/>
  <c r="L4590" i="1"/>
  <c r="M4590" i="1"/>
  <c r="N4590" i="1"/>
  <c r="O4590" i="1"/>
  <c r="P4590" i="1"/>
  <c r="Q4590" i="1"/>
  <c r="R4590" i="1"/>
  <c r="S4590" i="1"/>
  <c r="T4590" i="1"/>
  <c r="U4590" i="1"/>
  <c r="V4590" i="1"/>
  <c r="W4590" i="1"/>
  <c r="X4590" i="1"/>
  <c r="Y4590" i="1"/>
  <c r="Z4590" i="1"/>
  <c r="A4591" i="1"/>
  <c r="B4591" i="1"/>
  <c r="C4591" i="1"/>
  <c r="D4591" i="1"/>
  <c r="E4591" i="1"/>
  <c r="F4591" i="1"/>
  <c r="G4591" i="1"/>
  <c r="I4591" i="1"/>
  <c r="J4591" i="1"/>
  <c r="K4591" i="1"/>
  <c r="L4591" i="1"/>
  <c r="M4591" i="1"/>
  <c r="N4591" i="1"/>
  <c r="O4591" i="1"/>
  <c r="P4591" i="1"/>
  <c r="Q4591" i="1"/>
  <c r="R4591" i="1"/>
  <c r="S4591" i="1"/>
  <c r="T4591" i="1"/>
  <c r="U4591" i="1"/>
  <c r="V4591" i="1"/>
  <c r="W4591" i="1"/>
  <c r="X4591" i="1"/>
  <c r="Y4591" i="1"/>
  <c r="Z4591" i="1"/>
  <c r="A4592" i="1"/>
  <c r="B4592" i="1"/>
  <c r="C4592" i="1"/>
  <c r="D4592" i="1"/>
  <c r="E4592" i="1"/>
  <c r="F4592" i="1"/>
  <c r="G4592" i="1"/>
  <c r="I4592" i="1"/>
  <c r="J4592" i="1"/>
  <c r="K4592" i="1"/>
  <c r="L4592" i="1"/>
  <c r="M4592" i="1"/>
  <c r="N4592" i="1"/>
  <c r="O4592" i="1"/>
  <c r="P4592" i="1"/>
  <c r="Q4592" i="1"/>
  <c r="R4592" i="1"/>
  <c r="S4592" i="1"/>
  <c r="T4592" i="1"/>
  <c r="U4592" i="1"/>
  <c r="V4592" i="1"/>
  <c r="W4592" i="1"/>
  <c r="X4592" i="1"/>
  <c r="Y4592" i="1"/>
  <c r="Z4592" i="1"/>
  <c r="A4593" i="1"/>
  <c r="B4593" i="1"/>
  <c r="C4593" i="1"/>
  <c r="D4593" i="1"/>
  <c r="E4593" i="1"/>
  <c r="F4593" i="1"/>
  <c r="G4593" i="1"/>
  <c r="I4593" i="1"/>
  <c r="J4593" i="1"/>
  <c r="K4593" i="1"/>
  <c r="L4593" i="1"/>
  <c r="M4593" i="1"/>
  <c r="N4593" i="1"/>
  <c r="O4593" i="1"/>
  <c r="P4593" i="1"/>
  <c r="Q4593" i="1"/>
  <c r="R4593" i="1"/>
  <c r="S4593" i="1"/>
  <c r="T4593" i="1"/>
  <c r="U4593" i="1"/>
  <c r="V4593" i="1"/>
  <c r="W4593" i="1"/>
  <c r="X4593" i="1"/>
  <c r="Y4593" i="1"/>
  <c r="Z4593" i="1"/>
  <c r="A4594" i="1"/>
  <c r="B4594" i="1"/>
  <c r="C4594" i="1"/>
  <c r="D4594" i="1"/>
  <c r="E4594" i="1"/>
  <c r="F4594" i="1"/>
  <c r="G4594" i="1"/>
  <c r="I4594" i="1"/>
  <c r="J4594" i="1"/>
  <c r="K4594" i="1"/>
  <c r="L4594" i="1"/>
  <c r="M4594" i="1"/>
  <c r="N4594" i="1"/>
  <c r="O4594" i="1"/>
  <c r="P4594" i="1"/>
  <c r="Q4594" i="1"/>
  <c r="R4594" i="1"/>
  <c r="S4594" i="1"/>
  <c r="T4594" i="1"/>
  <c r="U4594" i="1"/>
  <c r="V4594" i="1"/>
  <c r="W4594" i="1"/>
  <c r="X4594" i="1"/>
  <c r="Y4594" i="1"/>
  <c r="Z4594" i="1"/>
  <c r="A4595" i="1"/>
  <c r="B4595" i="1"/>
  <c r="C4595" i="1"/>
  <c r="D4595" i="1"/>
  <c r="E4595" i="1"/>
  <c r="F4595" i="1"/>
  <c r="G4595" i="1"/>
  <c r="I4595" i="1"/>
  <c r="J4595" i="1"/>
  <c r="K4595" i="1"/>
  <c r="L4595" i="1"/>
  <c r="M4595" i="1"/>
  <c r="N4595" i="1"/>
  <c r="O4595" i="1"/>
  <c r="P4595" i="1"/>
  <c r="Q4595" i="1"/>
  <c r="R4595" i="1"/>
  <c r="S4595" i="1"/>
  <c r="T4595" i="1"/>
  <c r="U4595" i="1"/>
  <c r="V4595" i="1"/>
  <c r="W4595" i="1"/>
  <c r="X4595" i="1"/>
  <c r="Y4595" i="1"/>
  <c r="Z4595" i="1"/>
  <c r="A4596" i="1"/>
  <c r="B4596" i="1"/>
  <c r="C4596" i="1"/>
  <c r="D4596" i="1"/>
  <c r="E4596" i="1"/>
  <c r="F4596" i="1"/>
  <c r="G4596" i="1"/>
  <c r="I4596" i="1"/>
  <c r="J4596" i="1"/>
  <c r="K4596" i="1"/>
  <c r="L4596" i="1"/>
  <c r="M4596" i="1"/>
  <c r="N4596" i="1"/>
  <c r="O4596" i="1"/>
  <c r="P4596" i="1"/>
  <c r="Q4596" i="1"/>
  <c r="R4596" i="1"/>
  <c r="S4596" i="1"/>
  <c r="T4596" i="1"/>
  <c r="U4596" i="1"/>
  <c r="V4596" i="1"/>
  <c r="W4596" i="1"/>
  <c r="X4596" i="1"/>
  <c r="Y4596" i="1"/>
  <c r="Z4596" i="1"/>
  <c r="A4597" i="1"/>
  <c r="B4597" i="1"/>
  <c r="C4597" i="1"/>
  <c r="D4597" i="1"/>
  <c r="E4597" i="1"/>
  <c r="F4597" i="1"/>
  <c r="G4597" i="1"/>
  <c r="I4597" i="1"/>
  <c r="J4597" i="1"/>
  <c r="K4597" i="1"/>
  <c r="L4597" i="1"/>
  <c r="M4597" i="1"/>
  <c r="N4597" i="1"/>
  <c r="O4597" i="1"/>
  <c r="P4597" i="1"/>
  <c r="Q4597" i="1"/>
  <c r="R4597" i="1"/>
  <c r="S4597" i="1"/>
  <c r="T4597" i="1"/>
  <c r="U4597" i="1"/>
  <c r="V4597" i="1"/>
  <c r="W4597" i="1"/>
  <c r="X4597" i="1"/>
  <c r="Y4597" i="1"/>
  <c r="Z4597" i="1"/>
  <c r="A4598" i="1"/>
  <c r="B4598" i="1"/>
  <c r="C4598" i="1"/>
  <c r="D4598" i="1"/>
  <c r="E4598" i="1"/>
  <c r="F4598" i="1"/>
  <c r="G4598" i="1"/>
  <c r="I4598" i="1"/>
  <c r="J4598" i="1"/>
  <c r="K4598" i="1"/>
  <c r="L4598" i="1"/>
  <c r="M4598" i="1"/>
  <c r="N4598" i="1"/>
  <c r="O4598" i="1"/>
  <c r="P4598" i="1"/>
  <c r="Q4598" i="1"/>
  <c r="R4598" i="1"/>
  <c r="S4598" i="1"/>
  <c r="T4598" i="1"/>
  <c r="U4598" i="1"/>
  <c r="V4598" i="1"/>
  <c r="W4598" i="1"/>
  <c r="X4598" i="1"/>
  <c r="Y4598" i="1"/>
  <c r="Z4598" i="1"/>
  <c r="A4599" i="1"/>
  <c r="B4599" i="1"/>
  <c r="C4599" i="1"/>
  <c r="D4599" i="1"/>
  <c r="E4599" i="1"/>
  <c r="F4599" i="1"/>
  <c r="G4599" i="1"/>
  <c r="I4599" i="1"/>
  <c r="J4599" i="1"/>
  <c r="K4599" i="1"/>
  <c r="L4599" i="1"/>
  <c r="M4599" i="1"/>
  <c r="N4599" i="1"/>
  <c r="O4599" i="1"/>
  <c r="P4599" i="1"/>
  <c r="Q4599" i="1"/>
  <c r="R4599" i="1"/>
  <c r="S4599" i="1"/>
  <c r="T4599" i="1"/>
  <c r="U4599" i="1"/>
  <c r="V4599" i="1"/>
  <c r="W4599" i="1"/>
  <c r="X4599" i="1"/>
  <c r="Y4599" i="1"/>
  <c r="Z4599" i="1"/>
  <c r="A4600" i="1"/>
  <c r="B4600" i="1"/>
  <c r="C4600" i="1"/>
  <c r="D4600" i="1"/>
  <c r="E4600" i="1"/>
  <c r="F4600" i="1"/>
  <c r="G4600" i="1"/>
  <c r="I4600" i="1"/>
  <c r="J4600" i="1"/>
  <c r="K4600" i="1"/>
  <c r="L4600" i="1"/>
  <c r="M4600" i="1"/>
  <c r="N4600" i="1"/>
  <c r="O4600" i="1"/>
  <c r="P4600" i="1"/>
  <c r="Q4600" i="1"/>
  <c r="R4600" i="1"/>
  <c r="S4600" i="1"/>
  <c r="T4600" i="1"/>
  <c r="U4600" i="1"/>
  <c r="V4600" i="1"/>
  <c r="W4600" i="1"/>
  <c r="X4600" i="1"/>
  <c r="Y4600" i="1"/>
  <c r="Z4600" i="1"/>
  <c r="A4601" i="1"/>
  <c r="B4601" i="1"/>
  <c r="C4601" i="1"/>
  <c r="D4601" i="1"/>
  <c r="E4601" i="1"/>
  <c r="F4601" i="1"/>
  <c r="G4601" i="1"/>
  <c r="I4601" i="1"/>
  <c r="J4601" i="1"/>
  <c r="K4601" i="1"/>
  <c r="L4601" i="1"/>
  <c r="M4601" i="1"/>
  <c r="N4601" i="1"/>
  <c r="O4601" i="1"/>
  <c r="P4601" i="1"/>
  <c r="Q4601" i="1"/>
  <c r="R4601" i="1"/>
  <c r="S4601" i="1"/>
  <c r="T4601" i="1"/>
  <c r="U4601" i="1"/>
  <c r="V4601" i="1"/>
  <c r="W4601" i="1"/>
  <c r="X4601" i="1"/>
  <c r="Y4601" i="1"/>
  <c r="Z4601" i="1"/>
  <c r="A4602" i="1"/>
  <c r="B4602" i="1"/>
  <c r="C4602" i="1"/>
  <c r="D4602" i="1"/>
  <c r="E4602" i="1"/>
  <c r="F4602" i="1"/>
  <c r="G4602" i="1"/>
  <c r="I4602" i="1"/>
  <c r="J4602" i="1"/>
  <c r="K4602" i="1"/>
  <c r="L4602" i="1"/>
  <c r="M4602" i="1"/>
  <c r="N4602" i="1"/>
  <c r="O4602" i="1"/>
  <c r="P4602" i="1"/>
  <c r="Q4602" i="1"/>
  <c r="R4602" i="1"/>
  <c r="S4602" i="1"/>
  <c r="T4602" i="1"/>
  <c r="U4602" i="1"/>
  <c r="V4602" i="1"/>
  <c r="W4602" i="1"/>
  <c r="X4602" i="1"/>
  <c r="Y4602" i="1"/>
  <c r="Z4602" i="1"/>
  <c r="A4603" i="1"/>
  <c r="B4603" i="1"/>
  <c r="C4603" i="1"/>
  <c r="D4603" i="1"/>
  <c r="E4603" i="1"/>
  <c r="F4603" i="1"/>
  <c r="G4603" i="1"/>
  <c r="I4603" i="1"/>
  <c r="J4603" i="1"/>
  <c r="K4603" i="1"/>
  <c r="L4603" i="1"/>
  <c r="M4603" i="1"/>
  <c r="N4603" i="1"/>
  <c r="O4603" i="1"/>
  <c r="P4603" i="1"/>
  <c r="Q4603" i="1"/>
  <c r="R4603" i="1"/>
  <c r="S4603" i="1"/>
  <c r="T4603" i="1"/>
  <c r="U4603" i="1"/>
  <c r="V4603" i="1"/>
  <c r="W4603" i="1"/>
  <c r="X4603" i="1"/>
  <c r="Y4603" i="1"/>
  <c r="Z4603" i="1"/>
  <c r="A4604" i="1"/>
  <c r="B4604" i="1"/>
  <c r="C4604" i="1"/>
  <c r="D4604" i="1"/>
  <c r="E4604" i="1"/>
  <c r="F4604" i="1"/>
  <c r="G4604" i="1"/>
  <c r="I4604" i="1"/>
  <c r="J4604" i="1"/>
  <c r="K4604" i="1"/>
  <c r="L4604" i="1"/>
  <c r="M4604" i="1"/>
  <c r="N4604" i="1"/>
  <c r="O4604" i="1"/>
  <c r="P4604" i="1"/>
  <c r="Q4604" i="1"/>
  <c r="R4604" i="1"/>
  <c r="S4604" i="1"/>
  <c r="T4604" i="1"/>
  <c r="U4604" i="1"/>
  <c r="V4604" i="1"/>
  <c r="W4604" i="1"/>
  <c r="X4604" i="1"/>
  <c r="Y4604" i="1"/>
  <c r="Z4604" i="1"/>
  <c r="A4605" i="1"/>
  <c r="B4605" i="1"/>
  <c r="C4605" i="1"/>
  <c r="D4605" i="1"/>
  <c r="E4605" i="1"/>
  <c r="F4605" i="1"/>
  <c r="G4605" i="1"/>
  <c r="I4605" i="1"/>
  <c r="J4605" i="1"/>
  <c r="K4605" i="1"/>
  <c r="L4605" i="1"/>
  <c r="M4605" i="1"/>
  <c r="N4605" i="1"/>
  <c r="O4605" i="1"/>
  <c r="P4605" i="1"/>
  <c r="Q4605" i="1"/>
  <c r="R4605" i="1"/>
  <c r="S4605" i="1"/>
  <c r="T4605" i="1"/>
  <c r="U4605" i="1"/>
  <c r="V4605" i="1"/>
  <c r="W4605" i="1"/>
  <c r="X4605" i="1"/>
  <c r="Y4605" i="1"/>
  <c r="Z4605" i="1"/>
  <c r="A4606" i="1"/>
  <c r="B4606" i="1"/>
  <c r="C4606" i="1"/>
  <c r="D4606" i="1"/>
  <c r="E4606" i="1"/>
  <c r="F4606" i="1"/>
  <c r="G4606" i="1"/>
  <c r="I4606" i="1"/>
  <c r="J4606" i="1"/>
  <c r="K4606" i="1"/>
  <c r="L4606" i="1"/>
  <c r="M4606" i="1"/>
  <c r="N4606" i="1"/>
  <c r="O4606" i="1"/>
  <c r="P4606" i="1"/>
  <c r="Q4606" i="1"/>
  <c r="R4606" i="1"/>
  <c r="S4606" i="1"/>
  <c r="T4606" i="1"/>
  <c r="U4606" i="1"/>
  <c r="V4606" i="1"/>
  <c r="W4606" i="1"/>
  <c r="X4606" i="1"/>
  <c r="Y4606" i="1"/>
  <c r="Z4606" i="1"/>
  <c r="A4607" i="1"/>
  <c r="B4607" i="1"/>
  <c r="C4607" i="1"/>
  <c r="D4607" i="1"/>
  <c r="E4607" i="1"/>
  <c r="F4607" i="1"/>
  <c r="G4607" i="1"/>
  <c r="I4607" i="1"/>
  <c r="J4607" i="1"/>
  <c r="K4607" i="1"/>
  <c r="L4607" i="1"/>
  <c r="M4607" i="1"/>
  <c r="N4607" i="1"/>
  <c r="O4607" i="1"/>
  <c r="P4607" i="1"/>
  <c r="Q4607" i="1"/>
  <c r="R4607" i="1"/>
  <c r="S4607" i="1"/>
  <c r="T4607" i="1"/>
  <c r="U4607" i="1"/>
  <c r="V4607" i="1"/>
  <c r="W4607" i="1"/>
  <c r="X4607" i="1"/>
  <c r="Y4607" i="1"/>
  <c r="Z4607" i="1"/>
  <c r="A4608" i="1"/>
  <c r="B4608" i="1"/>
  <c r="C4608" i="1"/>
  <c r="D4608" i="1"/>
  <c r="E4608" i="1"/>
  <c r="F4608" i="1"/>
  <c r="G4608" i="1"/>
  <c r="I4608" i="1"/>
  <c r="J4608" i="1"/>
  <c r="K4608" i="1"/>
  <c r="L4608" i="1"/>
  <c r="M4608" i="1"/>
  <c r="N4608" i="1"/>
  <c r="O4608" i="1"/>
  <c r="P4608" i="1"/>
  <c r="Q4608" i="1"/>
  <c r="R4608" i="1"/>
  <c r="S4608" i="1"/>
  <c r="T4608" i="1"/>
  <c r="U4608" i="1"/>
  <c r="V4608" i="1"/>
  <c r="W4608" i="1"/>
  <c r="X4608" i="1"/>
  <c r="Y4608" i="1"/>
  <c r="Z4608" i="1"/>
  <c r="A4609" i="1"/>
  <c r="B4609" i="1"/>
  <c r="C4609" i="1"/>
  <c r="D4609" i="1"/>
  <c r="E4609" i="1"/>
  <c r="F4609" i="1"/>
  <c r="G4609" i="1"/>
  <c r="I4609" i="1"/>
  <c r="J4609" i="1"/>
  <c r="K4609" i="1"/>
  <c r="L4609" i="1"/>
  <c r="M4609" i="1"/>
  <c r="N4609" i="1"/>
  <c r="O4609" i="1"/>
  <c r="P4609" i="1"/>
  <c r="Q4609" i="1"/>
  <c r="R4609" i="1"/>
  <c r="S4609" i="1"/>
  <c r="T4609" i="1"/>
  <c r="U4609" i="1"/>
  <c r="V4609" i="1"/>
  <c r="W4609" i="1"/>
  <c r="X4609" i="1"/>
  <c r="Y4609" i="1"/>
  <c r="Z4609" i="1"/>
  <c r="A4610" i="1"/>
  <c r="B4610" i="1"/>
  <c r="C4610" i="1"/>
  <c r="D4610" i="1"/>
  <c r="E4610" i="1"/>
  <c r="F4610" i="1"/>
  <c r="G4610" i="1"/>
  <c r="I4610" i="1"/>
  <c r="J4610" i="1"/>
  <c r="K4610" i="1"/>
  <c r="L4610" i="1"/>
  <c r="M4610" i="1"/>
  <c r="N4610" i="1"/>
  <c r="O4610" i="1"/>
  <c r="P4610" i="1"/>
  <c r="Q4610" i="1"/>
  <c r="R4610" i="1"/>
  <c r="S4610" i="1"/>
  <c r="T4610" i="1"/>
  <c r="U4610" i="1"/>
  <c r="V4610" i="1"/>
  <c r="W4610" i="1"/>
  <c r="X4610" i="1"/>
  <c r="Y4610" i="1"/>
  <c r="Z4610" i="1"/>
  <c r="A4611" i="1"/>
  <c r="B4611" i="1"/>
  <c r="C4611" i="1"/>
  <c r="D4611" i="1"/>
  <c r="E4611" i="1"/>
  <c r="F4611" i="1"/>
  <c r="G4611" i="1"/>
  <c r="I4611" i="1"/>
  <c r="J4611" i="1"/>
  <c r="K4611" i="1"/>
  <c r="L4611" i="1"/>
  <c r="M4611" i="1"/>
  <c r="N4611" i="1"/>
  <c r="O4611" i="1"/>
  <c r="P4611" i="1"/>
  <c r="Q4611" i="1"/>
  <c r="R4611" i="1"/>
  <c r="S4611" i="1"/>
  <c r="T4611" i="1"/>
  <c r="U4611" i="1"/>
  <c r="V4611" i="1"/>
  <c r="W4611" i="1"/>
  <c r="X4611" i="1"/>
  <c r="Y4611" i="1"/>
  <c r="Z4611" i="1"/>
  <c r="A4612" i="1"/>
  <c r="B4612" i="1"/>
  <c r="C4612" i="1"/>
  <c r="D4612" i="1"/>
  <c r="E4612" i="1"/>
  <c r="F4612" i="1"/>
  <c r="G4612" i="1"/>
  <c r="I4612" i="1"/>
  <c r="J4612" i="1"/>
  <c r="K4612" i="1"/>
  <c r="L4612" i="1"/>
  <c r="M4612" i="1"/>
  <c r="N4612" i="1"/>
  <c r="O4612" i="1"/>
  <c r="P4612" i="1"/>
  <c r="Q4612" i="1"/>
  <c r="R4612" i="1"/>
  <c r="S4612" i="1"/>
  <c r="T4612" i="1"/>
  <c r="U4612" i="1"/>
  <c r="V4612" i="1"/>
  <c r="W4612" i="1"/>
  <c r="X4612" i="1"/>
  <c r="Y4612" i="1"/>
  <c r="Z4612" i="1"/>
  <c r="A4613" i="1"/>
  <c r="B4613" i="1"/>
  <c r="C4613" i="1"/>
  <c r="D4613" i="1"/>
  <c r="E4613" i="1"/>
  <c r="F4613" i="1"/>
  <c r="G4613" i="1"/>
  <c r="I4613" i="1"/>
  <c r="J4613" i="1"/>
  <c r="K4613" i="1"/>
  <c r="L4613" i="1"/>
  <c r="M4613" i="1"/>
  <c r="N4613" i="1"/>
  <c r="O4613" i="1"/>
  <c r="P4613" i="1"/>
  <c r="Q4613" i="1"/>
  <c r="R4613" i="1"/>
  <c r="S4613" i="1"/>
  <c r="T4613" i="1"/>
  <c r="U4613" i="1"/>
  <c r="V4613" i="1"/>
  <c r="W4613" i="1"/>
  <c r="X4613" i="1"/>
  <c r="Y4613" i="1"/>
  <c r="Z4613" i="1"/>
  <c r="A4614" i="1"/>
  <c r="B4614" i="1"/>
  <c r="C4614" i="1"/>
  <c r="D4614" i="1"/>
  <c r="E4614" i="1"/>
  <c r="F4614" i="1"/>
  <c r="G4614" i="1"/>
  <c r="I4614" i="1"/>
  <c r="J4614" i="1"/>
  <c r="K4614" i="1"/>
  <c r="L4614" i="1"/>
  <c r="M4614" i="1"/>
  <c r="N4614" i="1"/>
  <c r="O4614" i="1"/>
  <c r="P4614" i="1"/>
  <c r="Q4614" i="1"/>
  <c r="R4614" i="1"/>
  <c r="S4614" i="1"/>
  <c r="T4614" i="1"/>
  <c r="U4614" i="1"/>
  <c r="V4614" i="1"/>
  <c r="W4614" i="1"/>
  <c r="X4614" i="1"/>
  <c r="Y4614" i="1"/>
  <c r="Z4614" i="1"/>
  <c r="A4615" i="1"/>
  <c r="B4615" i="1"/>
  <c r="C4615" i="1"/>
  <c r="D4615" i="1"/>
  <c r="E4615" i="1"/>
  <c r="F4615" i="1"/>
  <c r="G4615" i="1"/>
  <c r="I4615" i="1"/>
  <c r="J4615" i="1"/>
  <c r="K4615" i="1"/>
  <c r="L4615" i="1"/>
  <c r="M4615" i="1"/>
  <c r="N4615" i="1"/>
  <c r="O4615" i="1"/>
  <c r="P4615" i="1"/>
  <c r="Q4615" i="1"/>
  <c r="R4615" i="1"/>
  <c r="S4615" i="1"/>
  <c r="T4615" i="1"/>
  <c r="U4615" i="1"/>
  <c r="V4615" i="1"/>
  <c r="W4615" i="1"/>
  <c r="X4615" i="1"/>
  <c r="Y4615" i="1"/>
  <c r="Z4615" i="1"/>
  <c r="A4616" i="1"/>
  <c r="B4616" i="1"/>
  <c r="C4616" i="1"/>
  <c r="D4616" i="1"/>
  <c r="E4616" i="1"/>
  <c r="F4616" i="1"/>
  <c r="G4616" i="1"/>
  <c r="I4616" i="1"/>
  <c r="J4616" i="1"/>
  <c r="K4616" i="1"/>
  <c r="L4616" i="1"/>
  <c r="M4616" i="1"/>
  <c r="N4616" i="1"/>
  <c r="O4616" i="1"/>
  <c r="P4616" i="1"/>
  <c r="Q4616" i="1"/>
  <c r="R4616" i="1"/>
  <c r="S4616" i="1"/>
  <c r="T4616" i="1"/>
  <c r="U4616" i="1"/>
  <c r="V4616" i="1"/>
  <c r="W4616" i="1"/>
  <c r="X4616" i="1"/>
  <c r="Y4616" i="1"/>
  <c r="Z4616" i="1"/>
  <c r="A4617" i="1"/>
  <c r="B4617" i="1"/>
  <c r="C4617" i="1"/>
  <c r="D4617" i="1"/>
  <c r="E4617" i="1"/>
  <c r="F4617" i="1"/>
  <c r="G4617" i="1"/>
  <c r="I4617" i="1"/>
  <c r="J4617" i="1"/>
  <c r="K4617" i="1"/>
  <c r="L4617" i="1"/>
  <c r="M4617" i="1"/>
  <c r="N4617" i="1"/>
  <c r="O4617" i="1"/>
  <c r="P4617" i="1"/>
  <c r="Q4617" i="1"/>
  <c r="R4617" i="1"/>
  <c r="S4617" i="1"/>
  <c r="T4617" i="1"/>
  <c r="U4617" i="1"/>
  <c r="V4617" i="1"/>
  <c r="W4617" i="1"/>
  <c r="X4617" i="1"/>
  <c r="Y4617" i="1"/>
  <c r="Z4617" i="1"/>
  <c r="A4618" i="1"/>
  <c r="B4618" i="1"/>
  <c r="C4618" i="1"/>
  <c r="D4618" i="1"/>
  <c r="E4618" i="1"/>
  <c r="F4618" i="1"/>
  <c r="G4618" i="1"/>
  <c r="I4618" i="1"/>
  <c r="J4618" i="1"/>
  <c r="K4618" i="1"/>
  <c r="L4618" i="1"/>
  <c r="M4618" i="1"/>
  <c r="N4618" i="1"/>
  <c r="O4618" i="1"/>
  <c r="P4618" i="1"/>
  <c r="Q4618" i="1"/>
  <c r="R4618" i="1"/>
  <c r="S4618" i="1"/>
  <c r="T4618" i="1"/>
  <c r="U4618" i="1"/>
  <c r="V4618" i="1"/>
  <c r="W4618" i="1"/>
  <c r="X4618" i="1"/>
  <c r="Y4618" i="1"/>
  <c r="Z4618" i="1"/>
  <c r="A4619" i="1"/>
  <c r="B4619" i="1"/>
  <c r="C4619" i="1"/>
  <c r="D4619" i="1"/>
  <c r="E4619" i="1"/>
  <c r="F4619" i="1"/>
  <c r="G4619" i="1"/>
  <c r="I4619" i="1"/>
  <c r="J4619" i="1"/>
  <c r="K4619" i="1"/>
  <c r="L4619" i="1"/>
  <c r="M4619" i="1"/>
  <c r="N4619" i="1"/>
  <c r="O4619" i="1"/>
  <c r="P4619" i="1"/>
  <c r="Q4619" i="1"/>
  <c r="R4619" i="1"/>
  <c r="S4619" i="1"/>
  <c r="T4619" i="1"/>
  <c r="U4619" i="1"/>
  <c r="V4619" i="1"/>
  <c r="W4619" i="1"/>
  <c r="X4619" i="1"/>
  <c r="Y4619" i="1"/>
  <c r="Z4619" i="1"/>
  <c r="A4620" i="1"/>
  <c r="B4620" i="1"/>
  <c r="C4620" i="1"/>
  <c r="D4620" i="1"/>
  <c r="E4620" i="1"/>
  <c r="F4620" i="1"/>
  <c r="G4620" i="1"/>
  <c r="I4620" i="1"/>
  <c r="J4620" i="1"/>
  <c r="K4620" i="1"/>
  <c r="L4620" i="1"/>
  <c r="M4620" i="1"/>
  <c r="N4620" i="1"/>
  <c r="O4620" i="1"/>
  <c r="P4620" i="1"/>
  <c r="Q4620" i="1"/>
  <c r="R4620" i="1"/>
  <c r="S4620" i="1"/>
  <c r="T4620" i="1"/>
  <c r="U4620" i="1"/>
  <c r="V4620" i="1"/>
  <c r="W4620" i="1"/>
  <c r="X4620" i="1"/>
  <c r="Y4620" i="1"/>
  <c r="Z4620" i="1"/>
  <c r="A4621" i="1"/>
  <c r="B4621" i="1"/>
  <c r="C4621" i="1"/>
  <c r="D4621" i="1"/>
  <c r="E4621" i="1"/>
  <c r="F4621" i="1"/>
  <c r="G4621" i="1"/>
  <c r="I4621" i="1"/>
  <c r="J4621" i="1"/>
  <c r="K4621" i="1"/>
  <c r="L4621" i="1"/>
  <c r="M4621" i="1"/>
  <c r="N4621" i="1"/>
  <c r="O4621" i="1"/>
  <c r="P4621" i="1"/>
  <c r="Q4621" i="1"/>
  <c r="R4621" i="1"/>
  <c r="S4621" i="1"/>
  <c r="T4621" i="1"/>
  <c r="U4621" i="1"/>
  <c r="V4621" i="1"/>
  <c r="W4621" i="1"/>
  <c r="X4621" i="1"/>
  <c r="Y4621" i="1"/>
  <c r="Z4621" i="1"/>
  <c r="A4622" i="1"/>
  <c r="B4622" i="1"/>
  <c r="C4622" i="1"/>
  <c r="D4622" i="1"/>
  <c r="E4622" i="1"/>
  <c r="F4622" i="1"/>
  <c r="G4622" i="1"/>
  <c r="I4622" i="1"/>
  <c r="J4622" i="1"/>
  <c r="K4622" i="1"/>
  <c r="L4622" i="1"/>
  <c r="M4622" i="1"/>
  <c r="N4622" i="1"/>
  <c r="O4622" i="1"/>
  <c r="P4622" i="1"/>
  <c r="Q4622" i="1"/>
  <c r="R4622" i="1"/>
  <c r="S4622" i="1"/>
  <c r="T4622" i="1"/>
  <c r="U4622" i="1"/>
  <c r="V4622" i="1"/>
  <c r="W4622" i="1"/>
  <c r="X4622" i="1"/>
  <c r="Y4622" i="1"/>
  <c r="Z4622" i="1"/>
  <c r="A4623" i="1"/>
  <c r="B4623" i="1"/>
  <c r="C4623" i="1"/>
  <c r="D4623" i="1"/>
  <c r="E4623" i="1"/>
  <c r="F4623" i="1"/>
  <c r="G4623" i="1"/>
  <c r="I4623" i="1"/>
  <c r="J4623" i="1"/>
  <c r="K4623" i="1"/>
  <c r="L4623" i="1"/>
  <c r="M4623" i="1"/>
  <c r="N4623" i="1"/>
  <c r="O4623" i="1"/>
  <c r="P4623" i="1"/>
  <c r="Q4623" i="1"/>
  <c r="R4623" i="1"/>
  <c r="S4623" i="1"/>
  <c r="T4623" i="1"/>
  <c r="U4623" i="1"/>
  <c r="V4623" i="1"/>
  <c r="W4623" i="1"/>
  <c r="X4623" i="1"/>
  <c r="Y4623" i="1"/>
  <c r="Z4623" i="1"/>
  <c r="A4624" i="1"/>
  <c r="B4624" i="1"/>
  <c r="C4624" i="1"/>
  <c r="D4624" i="1"/>
  <c r="E4624" i="1"/>
  <c r="F4624" i="1"/>
  <c r="G4624" i="1"/>
  <c r="I4624" i="1"/>
  <c r="J4624" i="1"/>
  <c r="K4624" i="1"/>
  <c r="L4624" i="1"/>
  <c r="M4624" i="1"/>
  <c r="N4624" i="1"/>
  <c r="O4624" i="1"/>
  <c r="P4624" i="1"/>
  <c r="Q4624" i="1"/>
  <c r="R4624" i="1"/>
  <c r="S4624" i="1"/>
  <c r="T4624" i="1"/>
  <c r="U4624" i="1"/>
  <c r="V4624" i="1"/>
  <c r="W4624" i="1"/>
  <c r="X4624" i="1"/>
  <c r="Y4624" i="1"/>
  <c r="Z4624" i="1"/>
  <c r="A4625" i="1"/>
  <c r="B4625" i="1"/>
  <c r="C4625" i="1"/>
  <c r="D4625" i="1"/>
  <c r="E4625" i="1"/>
  <c r="F4625" i="1"/>
  <c r="G4625" i="1"/>
  <c r="I4625" i="1"/>
  <c r="J4625" i="1"/>
  <c r="K4625" i="1"/>
  <c r="L4625" i="1"/>
  <c r="M4625" i="1"/>
  <c r="N4625" i="1"/>
  <c r="O4625" i="1"/>
  <c r="P4625" i="1"/>
  <c r="Q4625" i="1"/>
  <c r="R4625" i="1"/>
  <c r="S4625" i="1"/>
  <c r="T4625" i="1"/>
  <c r="U4625" i="1"/>
  <c r="V4625" i="1"/>
  <c r="W4625" i="1"/>
  <c r="X4625" i="1"/>
  <c r="Y4625" i="1"/>
  <c r="Z4625" i="1"/>
  <c r="A4626" i="1"/>
  <c r="B4626" i="1"/>
  <c r="C4626" i="1"/>
  <c r="D4626" i="1"/>
  <c r="E4626" i="1"/>
  <c r="F4626" i="1"/>
  <c r="G4626" i="1"/>
  <c r="I4626" i="1"/>
  <c r="J4626" i="1"/>
  <c r="K4626" i="1"/>
  <c r="L4626" i="1"/>
  <c r="M4626" i="1"/>
  <c r="N4626" i="1"/>
  <c r="O4626" i="1"/>
  <c r="P4626" i="1"/>
  <c r="Q4626" i="1"/>
  <c r="R4626" i="1"/>
  <c r="S4626" i="1"/>
  <c r="T4626" i="1"/>
  <c r="U4626" i="1"/>
  <c r="V4626" i="1"/>
  <c r="W4626" i="1"/>
  <c r="X4626" i="1"/>
  <c r="Y4626" i="1"/>
  <c r="Z4626" i="1"/>
  <c r="A4627" i="1"/>
  <c r="B4627" i="1"/>
  <c r="C4627" i="1"/>
  <c r="D4627" i="1"/>
  <c r="E4627" i="1"/>
  <c r="F4627" i="1"/>
  <c r="G4627" i="1"/>
  <c r="I4627" i="1"/>
  <c r="J4627" i="1"/>
  <c r="K4627" i="1"/>
  <c r="L4627" i="1"/>
  <c r="M4627" i="1"/>
  <c r="N4627" i="1"/>
  <c r="O4627" i="1"/>
  <c r="P4627" i="1"/>
  <c r="Q4627" i="1"/>
  <c r="R4627" i="1"/>
  <c r="S4627" i="1"/>
  <c r="T4627" i="1"/>
  <c r="U4627" i="1"/>
  <c r="V4627" i="1"/>
  <c r="W4627" i="1"/>
  <c r="X4627" i="1"/>
  <c r="Y4627" i="1"/>
  <c r="Z4627" i="1"/>
  <c r="A4628" i="1"/>
  <c r="B4628" i="1"/>
  <c r="C4628" i="1"/>
  <c r="D4628" i="1"/>
  <c r="E4628" i="1"/>
  <c r="F4628" i="1"/>
  <c r="G4628" i="1"/>
  <c r="I4628" i="1"/>
  <c r="J4628" i="1"/>
  <c r="K4628" i="1"/>
  <c r="L4628" i="1"/>
  <c r="M4628" i="1"/>
  <c r="N4628" i="1"/>
  <c r="O4628" i="1"/>
  <c r="P4628" i="1"/>
  <c r="Q4628" i="1"/>
  <c r="R4628" i="1"/>
  <c r="S4628" i="1"/>
  <c r="T4628" i="1"/>
  <c r="U4628" i="1"/>
  <c r="V4628" i="1"/>
  <c r="W4628" i="1"/>
  <c r="X4628" i="1"/>
  <c r="Y4628" i="1"/>
  <c r="Z4628" i="1"/>
  <c r="A4629" i="1"/>
  <c r="B4629" i="1"/>
  <c r="C4629" i="1"/>
  <c r="D4629" i="1"/>
  <c r="E4629" i="1"/>
  <c r="F4629" i="1"/>
  <c r="G4629" i="1"/>
  <c r="I4629" i="1"/>
  <c r="J4629" i="1"/>
  <c r="K4629" i="1"/>
  <c r="L4629" i="1"/>
  <c r="M4629" i="1"/>
  <c r="N4629" i="1"/>
  <c r="O4629" i="1"/>
  <c r="P4629" i="1"/>
  <c r="Q4629" i="1"/>
  <c r="R4629" i="1"/>
  <c r="S4629" i="1"/>
  <c r="T4629" i="1"/>
  <c r="U4629" i="1"/>
  <c r="V4629" i="1"/>
  <c r="W4629" i="1"/>
  <c r="X4629" i="1"/>
  <c r="Y4629" i="1"/>
  <c r="Z4629" i="1"/>
  <c r="A4630" i="1"/>
  <c r="B4630" i="1"/>
  <c r="C4630" i="1"/>
  <c r="D4630" i="1"/>
  <c r="E4630" i="1"/>
  <c r="F4630" i="1"/>
  <c r="G4630" i="1"/>
  <c r="I4630" i="1"/>
  <c r="J4630" i="1"/>
  <c r="K4630" i="1"/>
  <c r="L4630" i="1"/>
  <c r="M4630" i="1"/>
  <c r="N4630" i="1"/>
  <c r="O4630" i="1"/>
  <c r="P4630" i="1"/>
  <c r="Q4630" i="1"/>
  <c r="R4630" i="1"/>
  <c r="S4630" i="1"/>
  <c r="T4630" i="1"/>
  <c r="U4630" i="1"/>
  <c r="V4630" i="1"/>
  <c r="W4630" i="1"/>
  <c r="X4630" i="1"/>
  <c r="Y4630" i="1"/>
  <c r="Z4630" i="1"/>
  <c r="A4631" i="1"/>
  <c r="B4631" i="1"/>
  <c r="C4631" i="1"/>
  <c r="D4631" i="1"/>
  <c r="E4631" i="1"/>
  <c r="F4631" i="1"/>
  <c r="G4631" i="1"/>
  <c r="I4631" i="1"/>
  <c r="J4631" i="1"/>
  <c r="K4631" i="1"/>
  <c r="L4631" i="1"/>
  <c r="M4631" i="1"/>
  <c r="N4631" i="1"/>
  <c r="O4631" i="1"/>
  <c r="P4631" i="1"/>
  <c r="Q4631" i="1"/>
  <c r="R4631" i="1"/>
  <c r="S4631" i="1"/>
  <c r="T4631" i="1"/>
  <c r="U4631" i="1"/>
  <c r="V4631" i="1"/>
  <c r="W4631" i="1"/>
  <c r="X4631" i="1"/>
  <c r="Y4631" i="1"/>
  <c r="Z4631" i="1"/>
  <c r="A4632" i="1"/>
  <c r="B4632" i="1"/>
  <c r="C4632" i="1"/>
  <c r="D4632" i="1"/>
  <c r="E4632" i="1"/>
  <c r="F4632" i="1"/>
  <c r="G4632" i="1"/>
  <c r="I4632" i="1"/>
  <c r="J4632" i="1"/>
  <c r="K4632" i="1"/>
  <c r="L4632" i="1"/>
  <c r="M4632" i="1"/>
  <c r="N4632" i="1"/>
  <c r="O4632" i="1"/>
  <c r="P4632" i="1"/>
  <c r="Q4632" i="1"/>
  <c r="R4632" i="1"/>
  <c r="S4632" i="1"/>
  <c r="T4632" i="1"/>
  <c r="U4632" i="1"/>
  <c r="V4632" i="1"/>
  <c r="W4632" i="1"/>
  <c r="X4632" i="1"/>
  <c r="Y4632" i="1"/>
  <c r="Z4632" i="1"/>
  <c r="A4633" i="1"/>
  <c r="B4633" i="1"/>
  <c r="C4633" i="1"/>
  <c r="D4633" i="1"/>
  <c r="E4633" i="1"/>
  <c r="F4633" i="1"/>
  <c r="G4633" i="1"/>
  <c r="I4633" i="1"/>
  <c r="J4633" i="1"/>
  <c r="K4633" i="1"/>
  <c r="L4633" i="1"/>
  <c r="M4633" i="1"/>
  <c r="N4633" i="1"/>
  <c r="O4633" i="1"/>
  <c r="P4633" i="1"/>
  <c r="Q4633" i="1"/>
  <c r="R4633" i="1"/>
  <c r="S4633" i="1"/>
  <c r="T4633" i="1"/>
  <c r="U4633" i="1"/>
  <c r="V4633" i="1"/>
  <c r="W4633" i="1"/>
  <c r="X4633" i="1"/>
  <c r="Y4633" i="1"/>
  <c r="Z4633" i="1"/>
  <c r="A4634" i="1"/>
  <c r="B4634" i="1"/>
  <c r="C4634" i="1"/>
  <c r="D4634" i="1"/>
  <c r="E4634" i="1"/>
  <c r="F4634" i="1"/>
  <c r="G4634" i="1"/>
  <c r="I4634" i="1"/>
  <c r="J4634" i="1"/>
  <c r="K4634" i="1"/>
  <c r="L4634" i="1"/>
  <c r="M4634" i="1"/>
  <c r="N4634" i="1"/>
  <c r="O4634" i="1"/>
  <c r="P4634" i="1"/>
  <c r="Q4634" i="1"/>
  <c r="R4634" i="1"/>
  <c r="S4634" i="1"/>
  <c r="T4634" i="1"/>
  <c r="U4634" i="1"/>
  <c r="V4634" i="1"/>
  <c r="W4634" i="1"/>
  <c r="X4634" i="1"/>
  <c r="Y4634" i="1"/>
  <c r="Z4634" i="1"/>
  <c r="A4635" i="1"/>
  <c r="B4635" i="1"/>
  <c r="C4635" i="1"/>
  <c r="D4635" i="1"/>
  <c r="E4635" i="1"/>
  <c r="F4635" i="1"/>
  <c r="G4635" i="1"/>
  <c r="I4635" i="1"/>
  <c r="J4635" i="1"/>
  <c r="K4635" i="1"/>
  <c r="L4635" i="1"/>
  <c r="M4635" i="1"/>
  <c r="N4635" i="1"/>
  <c r="O4635" i="1"/>
  <c r="P4635" i="1"/>
  <c r="Q4635" i="1"/>
  <c r="R4635" i="1"/>
  <c r="S4635" i="1"/>
  <c r="T4635" i="1"/>
  <c r="U4635" i="1"/>
  <c r="V4635" i="1"/>
  <c r="W4635" i="1"/>
  <c r="X4635" i="1"/>
  <c r="Y4635" i="1"/>
  <c r="Z4635" i="1"/>
  <c r="A4636" i="1"/>
  <c r="B4636" i="1"/>
  <c r="C4636" i="1"/>
  <c r="D4636" i="1"/>
  <c r="E4636" i="1"/>
  <c r="F4636" i="1"/>
  <c r="G4636" i="1"/>
  <c r="I4636" i="1"/>
  <c r="J4636" i="1"/>
  <c r="K4636" i="1"/>
  <c r="L4636" i="1"/>
  <c r="M4636" i="1"/>
  <c r="N4636" i="1"/>
  <c r="O4636" i="1"/>
  <c r="P4636" i="1"/>
  <c r="Q4636" i="1"/>
  <c r="R4636" i="1"/>
  <c r="S4636" i="1"/>
  <c r="T4636" i="1"/>
  <c r="U4636" i="1"/>
  <c r="V4636" i="1"/>
  <c r="W4636" i="1"/>
  <c r="X4636" i="1"/>
  <c r="Y4636" i="1"/>
  <c r="Z4636" i="1"/>
  <c r="A4637" i="1"/>
  <c r="B4637" i="1"/>
  <c r="C4637" i="1"/>
  <c r="D4637" i="1"/>
  <c r="E4637" i="1"/>
  <c r="F4637" i="1"/>
  <c r="G4637" i="1"/>
  <c r="I4637" i="1"/>
  <c r="J4637" i="1"/>
  <c r="K4637" i="1"/>
  <c r="L4637" i="1"/>
  <c r="M4637" i="1"/>
  <c r="N4637" i="1"/>
  <c r="O4637" i="1"/>
  <c r="P4637" i="1"/>
  <c r="Q4637" i="1"/>
  <c r="R4637" i="1"/>
  <c r="S4637" i="1"/>
  <c r="T4637" i="1"/>
  <c r="U4637" i="1"/>
  <c r="V4637" i="1"/>
  <c r="W4637" i="1"/>
  <c r="X4637" i="1"/>
  <c r="Y4637" i="1"/>
  <c r="Z4637" i="1"/>
  <c r="A4638" i="1"/>
  <c r="B4638" i="1"/>
  <c r="C4638" i="1"/>
  <c r="D4638" i="1"/>
  <c r="E4638" i="1"/>
  <c r="F4638" i="1"/>
  <c r="G4638" i="1"/>
  <c r="I4638" i="1"/>
  <c r="J4638" i="1"/>
  <c r="K4638" i="1"/>
  <c r="L4638" i="1"/>
  <c r="M4638" i="1"/>
  <c r="N4638" i="1"/>
  <c r="O4638" i="1"/>
  <c r="P4638" i="1"/>
  <c r="Q4638" i="1"/>
  <c r="R4638" i="1"/>
  <c r="S4638" i="1"/>
  <c r="T4638" i="1"/>
  <c r="U4638" i="1"/>
  <c r="V4638" i="1"/>
  <c r="W4638" i="1"/>
  <c r="X4638" i="1"/>
  <c r="Y4638" i="1"/>
  <c r="Z4638" i="1"/>
  <c r="A4639" i="1"/>
  <c r="B4639" i="1"/>
  <c r="C4639" i="1"/>
  <c r="D4639" i="1"/>
  <c r="E4639" i="1"/>
  <c r="F4639" i="1"/>
  <c r="G4639" i="1"/>
  <c r="I4639" i="1"/>
  <c r="J4639" i="1"/>
  <c r="K4639" i="1"/>
  <c r="L4639" i="1"/>
  <c r="M4639" i="1"/>
  <c r="N4639" i="1"/>
  <c r="O4639" i="1"/>
  <c r="P4639" i="1"/>
  <c r="Q4639" i="1"/>
  <c r="R4639" i="1"/>
  <c r="S4639" i="1"/>
  <c r="T4639" i="1"/>
  <c r="U4639" i="1"/>
  <c r="V4639" i="1"/>
  <c r="W4639" i="1"/>
  <c r="X4639" i="1"/>
  <c r="Y4639" i="1"/>
  <c r="Z4639" i="1"/>
  <c r="A4640" i="1"/>
  <c r="B4640" i="1"/>
  <c r="C4640" i="1"/>
  <c r="D4640" i="1"/>
  <c r="E4640" i="1"/>
  <c r="F4640" i="1"/>
  <c r="G4640" i="1"/>
  <c r="I4640" i="1"/>
  <c r="J4640" i="1"/>
  <c r="K4640" i="1"/>
  <c r="L4640" i="1"/>
  <c r="M4640" i="1"/>
  <c r="N4640" i="1"/>
  <c r="O4640" i="1"/>
  <c r="P4640" i="1"/>
  <c r="Q4640" i="1"/>
  <c r="R4640" i="1"/>
  <c r="S4640" i="1"/>
  <c r="T4640" i="1"/>
  <c r="U4640" i="1"/>
  <c r="V4640" i="1"/>
  <c r="W4640" i="1"/>
  <c r="X4640" i="1"/>
  <c r="Y4640" i="1"/>
  <c r="Z4640" i="1"/>
  <c r="A4641" i="1"/>
  <c r="B4641" i="1"/>
  <c r="C4641" i="1"/>
  <c r="D4641" i="1"/>
  <c r="E4641" i="1"/>
  <c r="F4641" i="1"/>
  <c r="G4641" i="1"/>
  <c r="I4641" i="1"/>
  <c r="J4641" i="1"/>
  <c r="K4641" i="1"/>
  <c r="L4641" i="1"/>
  <c r="M4641" i="1"/>
  <c r="N4641" i="1"/>
  <c r="O4641" i="1"/>
  <c r="P4641" i="1"/>
  <c r="Q4641" i="1"/>
  <c r="R4641" i="1"/>
  <c r="S4641" i="1"/>
  <c r="T4641" i="1"/>
  <c r="U4641" i="1"/>
  <c r="V4641" i="1"/>
  <c r="W4641" i="1"/>
  <c r="X4641" i="1"/>
  <c r="Y4641" i="1"/>
  <c r="Z4641" i="1"/>
  <c r="A4642" i="1"/>
  <c r="B4642" i="1"/>
  <c r="C4642" i="1"/>
  <c r="D4642" i="1"/>
  <c r="E4642" i="1"/>
  <c r="F4642" i="1"/>
  <c r="G4642" i="1"/>
  <c r="I4642" i="1"/>
  <c r="J4642" i="1"/>
  <c r="K4642" i="1"/>
  <c r="L4642" i="1"/>
  <c r="M4642" i="1"/>
  <c r="N4642" i="1"/>
  <c r="O4642" i="1"/>
  <c r="P4642" i="1"/>
  <c r="Q4642" i="1"/>
  <c r="R4642" i="1"/>
  <c r="S4642" i="1"/>
  <c r="T4642" i="1"/>
  <c r="U4642" i="1"/>
  <c r="V4642" i="1"/>
  <c r="W4642" i="1"/>
  <c r="X4642" i="1"/>
  <c r="Y4642" i="1"/>
  <c r="Z4642" i="1"/>
  <c r="A4643" i="1"/>
  <c r="B4643" i="1"/>
  <c r="C4643" i="1"/>
  <c r="D4643" i="1"/>
  <c r="E4643" i="1"/>
  <c r="F4643" i="1"/>
  <c r="G4643" i="1"/>
  <c r="I4643" i="1"/>
  <c r="J4643" i="1"/>
  <c r="K4643" i="1"/>
  <c r="L4643" i="1"/>
  <c r="M4643" i="1"/>
  <c r="N4643" i="1"/>
  <c r="O4643" i="1"/>
  <c r="P4643" i="1"/>
  <c r="Q4643" i="1"/>
  <c r="R4643" i="1"/>
  <c r="S4643" i="1"/>
  <c r="T4643" i="1"/>
  <c r="U4643" i="1"/>
  <c r="V4643" i="1"/>
  <c r="W4643" i="1"/>
  <c r="X4643" i="1"/>
  <c r="Y4643" i="1"/>
  <c r="Z4643" i="1"/>
  <c r="A4644" i="1"/>
  <c r="B4644" i="1"/>
  <c r="C4644" i="1"/>
  <c r="D4644" i="1"/>
  <c r="E4644" i="1"/>
  <c r="F4644" i="1"/>
  <c r="G4644" i="1"/>
  <c r="I4644" i="1"/>
  <c r="J4644" i="1"/>
  <c r="K4644" i="1"/>
  <c r="L4644" i="1"/>
  <c r="M4644" i="1"/>
  <c r="N4644" i="1"/>
  <c r="O4644" i="1"/>
  <c r="P4644" i="1"/>
  <c r="Q4644" i="1"/>
  <c r="R4644" i="1"/>
  <c r="S4644" i="1"/>
  <c r="T4644" i="1"/>
  <c r="U4644" i="1"/>
  <c r="V4644" i="1"/>
  <c r="W4644" i="1"/>
  <c r="X4644" i="1"/>
  <c r="Y4644" i="1"/>
  <c r="Z4644" i="1"/>
  <c r="A4645" i="1"/>
  <c r="B4645" i="1"/>
  <c r="C4645" i="1"/>
  <c r="D4645" i="1"/>
  <c r="E4645" i="1"/>
  <c r="F4645" i="1"/>
  <c r="G4645" i="1"/>
  <c r="I4645" i="1"/>
  <c r="J4645" i="1"/>
  <c r="K4645" i="1"/>
  <c r="L4645" i="1"/>
  <c r="M4645" i="1"/>
  <c r="N4645" i="1"/>
  <c r="O4645" i="1"/>
  <c r="P4645" i="1"/>
  <c r="Q4645" i="1"/>
  <c r="R4645" i="1"/>
  <c r="S4645" i="1"/>
  <c r="T4645" i="1"/>
  <c r="U4645" i="1"/>
  <c r="V4645" i="1"/>
  <c r="W4645" i="1"/>
  <c r="X4645" i="1"/>
  <c r="Y4645" i="1"/>
  <c r="Z4645" i="1"/>
  <c r="A4646" i="1"/>
  <c r="B4646" i="1"/>
  <c r="C4646" i="1"/>
  <c r="D4646" i="1"/>
  <c r="E4646" i="1"/>
  <c r="F4646" i="1"/>
  <c r="G4646" i="1"/>
  <c r="I4646" i="1"/>
  <c r="J4646" i="1"/>
  <c r="K4646" i="1"/>
  <c r="L4646" i="1"/>
  <c r="M4646" i="1"/>
  <c r="N4646" i="1"/>
  <c r="O4646" i="1"/>
  <c r="P4646" i="1"/>
  <c r="Q4646" i="1"/>
  <c r="R4646" i="1"/>
  <c r="S4646" i="1"/>
  <c r="T4646" i="1"/>
  <c r="U4646" i="1"/>
  <c r="V4646" i="1"/>
  <c r="W4646" i="1"/>
  <c r="X4646" i="1"/>
  <c r="Y4646" i="1"/>
  <c r="Z4646" i="1"/>
  <c r="A4647" i="1"/>
  <c r="B4647" i="1"/>
  <c r="C4647" i="1"/>
  <c r="D4647" i="1"/>
  <c r="E4647" i="1"/>
  <c r="F4647" i="1"/>
  <c r="G4647" i="1"/>
  <c r="I4647" i="1"/>
  <c r="J4647" i="1"/>
  <c r="K4647" i="1"/>
  <c r="L4647" i="1"/>
  <c r="M4647" i="1"/>
  <c r="N4647" i="1"/>
  <c r="O4647" i="1"/>
  <c r="P4647" i="1"/>
  <c r="Q4647" i="1"/>
  <c r="R4647" i="1"/>
  <c r="S4647" i="1"/>
  <c r="T4647" i="1"/>
  <c r="U4647" i="1"/>
  <c r="V4647" i="1"/>
  <c r="W4647" i="1"/>
  <c r="X4647" i="1"/>
  <c r="Y4647" i="1"/>
  <c r="Z4647" i="1"/>
  <c r="A4648" i="1"/>
  <c r="B4648" i="1"/>
  <c r="C4648" i="1"/>
  <c r="D4648" i="1"/>
  <c r="E4648" i="1"/>
  <c r="F4648" i="1"/>
  <c r="G4648" i="1"/>
  <c r="I4648" i="1"/>
  <c r="J4648" i="1"/>
  <c r="K4648" i="1"/>
  <c r="L4648" i="1"/>
  <c r="M4648" i="1"/>
  <c r="N4648" i="1"/>
  <c r="O4648" i="1"/>
  <c r="P4648" i="1"/>
  <c r="Q4648" i="1"/>
  <c r="R4648" i="1"/>
  <c r="S4648" i="1"/>
  <c r="T4648" i="1"/>
  <c r="U4648" i="1"/>
  <c r="V4648" i="1"/>
  <c r="W4648" i="1"/>
  <c r="X4648" i="1"/>
  <c r="Y4648" i="1"/>
  <c r="Z4648" i="1"/>
  <c r="A4649" i="1"/>
  <c r="B4649" i="1"/>
  <c r="C4649" i="1"/>
  <c r="D4649" i="1"/>
  <c r="E4649" i="1"/>
  <c r="F4649" i="1"/>
  <c r="G4649" i="1"/>
  <c r="I4649" i="1"/>
  <c r="J4649" i="1"/>
  <c r="K4649" i="1"/>
  <c r="L4649" i="1"/>
  <c r="M4649" i="1"/>
  <c r="N4649" i="1"/>
  <c r="O4649" i="1"/>
  <c r="P4649" i="1"/>
  <c r="Q4649" i="1"/>
  <c r="R4649" i="1"/>
  <c r="S4649" i="1"/>
  <c r="T4649" i="1"/>
  <c r="U4649" i="1"/>
  <c r="V4649" i="1"/>
  <c r="W4649" i="1"/>
  <c r="X4649" i="1"/>
  <c r="Y4649" i="1"/>
  <c r="Z4649" i="1"/>
  <c r="A4650" i="1"/>
  <c r="B4650" i="1"/>
  <c r="C4650" i="1"/>
  <c r="D4650" i="1"/>
  <c r="E4650" i="1"/>
  <c r="F4650" i="1"/>
  <c r="G4650" i="1"/>
  <c r="I4650" i="1"/>
  <c r="J4650" i="1"/>
  <c r="K4650" i="1"/>
  <c r="L4650" i="1"/>
  <c r="M4650" i="1"/>
  <c r="N4650" i="1"/>
  <c r="O4650" i="1"/>
  <c r="P4650" i="1"/>
  <c r="Q4650" i="1"/>
  <c r="R4650" i="1"/>
  <c r="S4650" i="1"/>
  <c r="T4650" i="1"/>
  <c r="U4650" i="1"/>
  <c r="V4650" i="1"/>
  <c r="W4650" i="1"/>
  <c r="X4650" i="1"/>
  <c r="Y4650" i="1"/>
  <c r="Z4650" i="1"/>
  <c r="A4651" i="1"/>
  <c r="B4651" i="1"/>
  <c r="C4651" i="1"/>
  <c r="D4651" i="1"/>
  <c r="E4651" i="1"/>
  <c r="F4651" i="1"/>
  <c r="G4651" i="1"/>
  <c r="I4651" i="1"/>
  <c r="J4651" i="1"/>
  <c r="K4651" i="1"/>
  <c r="L4651" i="1"/>
  <c r="M4651" i="1"/>
  <c r="N4651" i="1"/>
  <c r="O4651" i="1"/>
  <c r="P4651" i="1"/>
  <c r="Q4651" i="1"/>
  <c r="R4651" i="1"/>
  <c r="S4651" i="1"/>
  <c r="T4651" i="1"/>
  <c r="U4651" i="1"/>
  <c r="V4651" i="1"/>
  <c r="W4651" i="1"/>
  <c r="X4651" i="1"/>
  <c r="Y4651" i="1"/>
  <c r="Z4651" i="1"/>
  <c r="A4652" i="1"/>
  <c r="B4652" i="1"/>
  <c r="C4652" i="1"/>
  <c r="D4652" i="1"/>
  <c r="E4652" i="1"/>
  <c r="F4652" i="1"/>
  <c r="G4652" i="1"/>
  <c r="I4652" i="1"/>
  <c r="J4652" i="1"/>
  <c r="K4652" i="1"/>
  <c r="L4652" i="1"/>
  <c r="M4652" i="1"/>
  <c r="N4652" i="1"/>
  <c r="O4652" i="1"/>
  <c r="P4652" i="1"/>
  <c r="Q4652" i="1"/>
  <c r="R4652" i="1"/>
  <c r="S4652" i="1"/>
  <c r="T4652" i="1"/>
  <c r="U4652" i="1"/>
  <c r="V4652" i="1"/>
  <c r="W4652" i="1"/>
  <c r="X4652" i="1"/>
  <c r="Y4652" i="1"/>
  <c r="Z4652" i="1"/>
  <c r="A4653" i="1"/>
  <c r="B4653" i="1"/>
  <c r="C4653" i="1"/>
  <c r="D4653" i="1"/>
  <c r="E4653" i="1"/>
  <c r="F4653" i="1"/>
  <c r="G4653" i="1"/>
  <c r="I4653" i="1"/>
  <c r="J4653" i="1"/>
  <c r="K4653" i="1"/>
  <c r="L4653" i="1"/>
  <c r="M4653" i="1"/>
  <c r="N4653" i="1"/>
  <c r="O4653" i="1"/>
  <c r="P4653" i="1"/>
  <c r="Q4653" i="1"/>
  <c r="R4653" i="1"/>
  <c r="S4653" i="1"/>
  <c r="T4653" i="1"/>
  <c r="U4653" i="1"/>
  <c r="V4653" i="1"/>
  <c r="W4653" i="1"/>
  <c r="X4653" i="1"/>
  <c r="Y4653" i="1"/>
  <c r="Z4653" i="1"/>
  <c r="A4654" i="1"/>
  <c r="B4654" i="1"/>
  <c r="C4654" i="1"/>
  <c r="D4654" i="1"/>
  <c r="E4654" i="1"/>
  <c r="F4654" i="1"/>
  <c r="G4654" i="1"/>
  <c r="I4654" i="1"/>
  <c r="J4654" i="1"/>
  <c r="K4654" i="1"/>
  <c r="L4654" i="1"/>
  <c r="M4654" i="1"/>
  <c r="N4654" i="1"/>
  <c r="O4654" i="1"/>
  <c r="P4654" i="1"/>
  <c r="Q4654" i="1"/>
  <c r="R4654" i="1"/>
  <c r="S4654" i="1"/>
  <c r="T4654" i="1"/>
  <c r="U4654" i="1"/>
  <c r="V4654" i="1"/>
  <c r="W4654" i="1"/>
  <c r="X4654" i="1"/>
  <c r="Y4654" i="1"/>
  <c r="Z4654" i="1"/>
  <c r="A4655" i="1"/>
  <c r="B4655" i="1"/>
  <c r="C4655" i="1"/>
  <c r="D4655" i="1"/>
  <c r="E4655" i="1"/>
  <c r="F4655" i="1"/>
  <c r="G4655" i="1"/>
  <c r="I4655" i="1"/>
  <c r="J4655" i="1"/>
  <c r="K4655" i="1"/>
  <c r="L4655" i="1"/>
  <c r="M4655" i="1"/>
  <c r="N4655" i="1"/>
  <c r="O4655" i="1"/>
  <c r="P4655" i="1"/>
  <c r="Q4655" i="1"/>
  <c r="R4655" i="1"/>
  <c r="S4655" i="1"/>
  <c r="T4655" i="1"/>
  <c r="U4655" i="1"/>
  <c r="V4655" i="1"/>
  <c r="W4655" i="1"/>
  <c r="X4655" i="1"/>
  <c r="Y4655" i="1"/>
  <c r="Z4655" i="1"/>
  <c r="A4656" i="1"/>
  <c r="B4656" i="1"/>
  <c r="C4656" i="1"/>
  <c r="D4656" i="1"/>
  <c r="E4656" i="1"/>
  <c r="F4656" i="1"/>
  <c r="G4656" i="1"/>
  <c r="I4656" i="1"/>
  <c r="J4656" i="1"/>
  <c r="K4656" i="1"/>
  <c r="L4656" i="1"/>
  <c r="M4656" i="1"/>
  <c r="N4656" i="1"/>
  <c r="O4656" i="1"/>
  <c r="P4656" i="1"/>
  <c r="Q4656" i="1"/>
  <c r="R4656" i="1"/>
  <c r="S4656" i="1"/>
  <c r="T4656" i="1"/>
  <c r="U4656" i="1"/>
  <c r="V4656" i="1"/>
  <c r="W4656" i="1"/>
  <c r="X4656" i="1"/>
  <c r="Y4656" i="1"/>
  <c r="Z4656" i="1"/>
  <c r="A4657" i="1"/>
  <c r="B4657" i="1"/>
  <c r="C4657" i="1"/>
  <c r="D4657" i="1"/>
  <c r="E4657" i="1"/>
  <c r="F4657" i="1"/>
  <c r="G4657" i="1"/>
  <c r="I4657" i="1"/>
  <c r="J4657" i="1"/>
  <c r="K4657" i="1"/>
  <c r="L4657" i="1"/>
  <c r="M4657" i="1"/>
  <c r="N4657" i="1"/>
  <c r="O4657" i="1"/>
  <c r="P4657" i="1"/>
  <c r="Q4657" i="1"/>
  <c r="R4657" i="1"/>
  <c r="S4657" i="1"/>
  <c r="T4657" i="1"/>
  <c r="U4657" i="1"/>
  <c r="V4657" i="1"/>
  <c r="W4657" i="1"/>
  <c r="X4657" i="1"/>
  <c r="Y4657" i="1"/>
  <c r="Z4657" i="1"/>
  <c r="A4658" i="1"/>
  <c r="B4658" i="1"/>
  <c r="C4658" i="1"/>
  <c r="D4658" i="1"/>
  <c r="E4658" i="1"/>
  <c r="F4658" i="1"/>
  <c r="G4658" i="1"/>
  <c r="I4658" i="1"/>
  <c r="J4658" i="1"/>
  <c r="K4658" i="1"/>
  <c r="L4658" i="1"/>
  <c r="M4658" i="1"/>
  <c r="N4658" i="1"/>
  <c r="O4658" i="1"/>
  <c r="P4658" i="1"/>
  <c r="Q4658" i="1"/>
  <c r="R4658" i="1"/>
  <c r="S4658" i="1"/>
  <c r="T4658" i="1"/>
  <c r="U4658" i="1"/>
  <c r="V4658" i="1"/>
  <c r="W4658" i="1"/>
  <c r="X4658" i="1"/>
  <c r="Y4658" i="1"/>
  <c r="Z4658" i="1"/>
  <c r="A4659" i="1"/>
  <c r="B4659" i="1"/>
  <c r="C4659" i="1"/>
  <c r="D4659" i="1"/>
  <c r="E4659" i="1"/>
  <c r="F4659" i="1"/>
  <c r="G4659" i="1"/>
  <c r="I4659" i="1"/>
  <c r="J4659" i="1"/>
  <c r="K4659" i="1"/>
  <c r="L4659" i="1"/>
  <c r="M4659" i="1"/>
  <c r="N4659" i="1"/>
  <c r="O4659" i="1"/>
  <c r="P4659" i="1"/>
  <c r="Q4659" i="1"/>
  <c r="R4659" i="1"/>
  <c r="S4659" i="1"/>
  <c r="T4659" i="1"/>
  <c r="U4659" i="1"/>
  <c r="V4659" i="1"/>
  <c r="W4659" i="1"/>
  <c r="X4659" i="1"/>
  <c r="Y4659" i="1"/>
  <c r="Z4659" i="1"/>
  <c r="A4660" i="1"/>
  <c r="B4660" i="1"/>
  <c r="C4660" i="1"/>
  <c r="D4660" i="1"/>
  <c r="E4660" i="1"/>
  <c r="F4660" i="1"/>
  <c r="G4660" i="1"/>
  <c r="I4660" i="1"/>
  <c r="J4660" i="1"/>
  <c r="K4660" i="1"/>
  <c r="L4660" i="1"/>
  <c r="M4660" i="1"/>
  <c r="N4660" i="1"/>
  <c r="O4660" i="1"/>
  <c r="P4660" i="1"/>
  <c r="Q4660" i="1"/>
  <c r="R4660" i="1"/>
  <c r="S4660" i="1"/>
  <c r="T4660" i="1"/>
  <c r="U4660" i="1"/>
  <c r="V4660" i="1"/>
  <c r="W4660" i="1"/>
  <c r="X4660" i="1"/>
  <c r="Y4660" i="1"/>
  <c r="Z4660" i="1"/>
  <c r="A4661" i="1"/>
  <c r="B4661" i="1"/>
  <c r="C4661" i="1"/>
  <c r="D4661" i="1"/>
  <c r="E4661" i="1"/>
  <c r="F4661" i="1"/>
  <c r="G4661" i="1"/>
  <c r="I4661" i="1"/>
  <c r="J4661" i="1"/>
  <c r="K4661" i="1"/>
  <c r="L4661" i="1"/>
  <c r="M4661" i="1"/>
  <c r="N4661" i="1"/>
  <c r="O4661" i="1"/>
  <c r="P4661" i="1"/>
  <c r="Q4661" i="1"/>
  <c r="R4661" i="1"/>
  <c r="S4661" i="1"/>
  <c r="T4661" i="1"/>
  <c r="U4661" i="1"/>
  <c r="V4661" i="1"/>
  <c r="W4661" i="1"/>
  <c r="X4661" i="1"/>
  <c r="Y4661" i="1"/>
  <c r="Z4661" i="1"/>
  <c r="A4662" i="1"/>
  <c r="B4662" i="1"/>
  <c r="C4662" i="1"/>
  <c r="D4662" i="1"/>
  <c r="E4662" i="1"/>
  <c r="F4662" i="1"/>
  <c r="G4662" i="1"/>
  <c r="I4662" i="1"/>
  <c r="J4662" i="1"/>
  <c r="K4662" i="1"/>
  <c r="L4662" i="1"/>
  <c r="M4662" i="1"/>
  <c r="N4662" i="1"/>
  <c r="O4662" i="1"/>
  <c r="P4662" i="1"/>
  <c r="Q4662" i="1"/>
  <c r="R4662" i="1"/>
  <c r="S4662" i="1"/>
  <c r="T4662" i="1"/>
  <c r="U4662" i="1"/>
  <c r="V4662" i="1"/>
  <c r="W4662" i="1"/>
  <c r="X4662" i="1"/>
  <c r="Y4662" i="1"/>
  <c r="Z4662" i="1"/>
  <c r="A4663" i="1"/>
  <c r="B4663" i="1"/>
  <c r="C4663" i="1"/>
  <c r="D4663" i="1"/>
  <c r="E4663" i="1"/>
  <c r="F4663" i="1"/>
  <c r="G4663" i="1"/>
  <c r="I4663" i="1"/>
  <c r="J4663" i="1"/>
  <c r="K4663" i="1"/>
  <c r="L4663" i="1"/>
  <c r="M4663" i="1"/>
  <c r="N4663" i="1"/>
  <c r="O4663" i="1"/>
  <c r="P4663" i="1"/>
  <c r="Q4663" i="1"/>
  <c r="R4663" i="1"/>
  <c r="S4663" i="1"/>
  <c r="T4663" i="1"/>
  <c r="U4663" i="1"/>
  <c r="V4663" i="1"/>
  <c r="W4663" i="1"/>
  <c r="X4663" i="1"/>
  <c r="Y4663" i="1"/>
  <c r="Z4663" i="1"/>
  <c r="A4664" i="1"/>
  <c r="B4664" i="1"/>
  <c r="C4664" i="1"/>
  <c r="D4664" i="1"/>
  <c r="E4664" i="1"/>
  <c r="F4664" i="1"/>
  <c r="G4664" i="1"/>
  <c r="I4664" i="1"/>
  <c r="J4664" i="1"/>
  <c r="K4664" i="1"/>
  <c r="L4664" i="1"/>
  <c r="M4664" i="1"/>
  <c r="N4664" i="1"/>
  <c r="O4664" i="1"/>
  <c r="P4664" i="1"/>
  <c r="Q4664" i="1"/>
  <c r="R4664" i="1"/>
  <c r="S4664" i="1"/>
  <c r="T4664" i="1"/>
  <c r="U4664" i="1"/>
  <c r="V4664" i="1"/>
  <c r="W4664" i="1"/>
  <c r="X4664" i="1"/>
  <c r="Y4664" i="1"/>
  <c r="Z4664" i="1"/>
  <c r="A4665" i="1"/>
  <c r="B4665" i="1"/>
  <c r="C4665" i="1"/>
  <c r="D4665" i="1"/>
  <c r="E4665" i="1"/>
  <c r="F4665" i="1"/>
  <c r="G4665" i="1"/>
  <c r="I4665" i="1"/>
  <c r="J4665" i="1"/>
  <c r="K4665" i="1"/>
  <c r="L4665" i="1"/>
  <c r="M4665" i="1"/>
  <c r="N4665" i="1"/>
  <c r="O4665" i="1"/>
  <c r="P4665" i="1"/>
  <c r="Q4665" i="1"/>
  <c r="R4665" i="1"/>
  <c r="S4665" i="1"/>
  <c r="T4665" i="1"/>
  <c r="U4665" i="1"/>
  <c r="V4665" i="1"/>
  <c r="W4665" i="1"/>
  <c r="X4665" i="1"/>
  <c r="Y4665" i="1"/>
  <c r="Z4665" i="1"/>
  <c r="A4666" i="1"/>
  <c r="B4666" i="1"/>
  <c r="C4666" i="1"/>
  <c r="D4666" i="1"/>
  <c r="E4666" i="1"/>
  <c r="F4666" i="1"/>
  <c r="G4666" i="1"/>
  <c r="I4666" i="1"/>
  <c r="J4666" i="1"/>
  <c r="K4666" i="1"/>
  <c r="L4666" i="1"/>
  <c r="M4666" i="1"/>
  <c r="N4666" i="1"/>
  <c r="O4666" i="1"/>
  <c r="P4666" i="1"/>
  <c r="Q4666" i="1"/>
  <c r="R4666" i="1"/>
  <c r="S4666" i="1"/>
  <c r="T4666" i="1"/>
  <c r="U4666" i="1"/>
  <c r="V4666" i="1"/>
  <c r="W4666" i="1"/>
  <c r="X4666" i="1"/>
  <c r="Y4666" i="1"/>
  <c r="Z4666" i="1"/>
  <c r="A4667" i="1"/>
  <c r="B4667" i="1"/>
  <c r="C4667" i="1"/>
  <c r="D4667" i="1"/>
  <c r="E4667" i="1"/>
  <c r="F4667" i="1"/>
  <c r="G4667" i="1"/>
  <c r="I4667" i="1"/>
  <c r="J4667" i="1"/>
  <c r="K4667" i="1"/>
  <c r="L4667" i="1"/>
  <c r="M4667" i="1"/>
  <c r="N4667" i="1"/>
  <c r="O4667" i="1"/>
  <c r="P4667" i="1"/>
  <c r="Q4667" i="1"/>
  <c r="R4667" i="1"/>
  <c r="S4667" i="1"/>
  <c r="T4667" i="1"/>
  <c r="U4667" i="1"/>
  <c r="V4667" i="1"/>
  <c r="W4667" i="1"/>
  <c r="X4667" i="1"/>
  <c r="Y4667" i="1"/>
  <c r="Z4667" i="1"/>
  <c r="A4668" i="1"/>
  <c r="B4668" i="1"/>
  <c r="C4668" i="1"/>
  <c r="D4668" i="1"/>
  <c r="E4668" i="1"/>
  <c r="F4668" i="1"/>
  <c r="G4668" i="1"/>
  <c r="I4668" i="1"/>
  <c r="J4668" i="1"/>
  <c r="K4668" i="1"/>
  <c r="L4668" i="1"/>
  <c r="M4668" i="1"/>
  <c r="N4668" i="1"/>
  <c r="O4668" i="1"/>
  <c r="P4668" i="1"/>
  <c r="Q4668" i="1"/>
  <c r="R4668" i="1"/>
  <c r="S4668" i="1"/>
  <c r="T4668" i="1"/>
  <c r="U4668" i="1"/>
  <c r="V4668" i="1"/>
  <c r="W4668" i="1"/>
  <c r="X4668" i="1"/>
  <c r="Y4668" i="1"/>
  <c r="Z4668" i="1"/>
  <c r="A4669" i="1"/>
  <c r="B4669" i="1"/>
  <c r="C4669" i="1"/>
  <c r="D4669" i="1"/>
  <c r="E4669" i="1"/>
  <c r="F4669" i="1"/>
  <c r="G4669" i="1"/>
  <c r="I4669" i="1"/>
  <c r="J4669" i="1"/>
  <c r="K4669" i="1"/>
  <c r="L4669" i="1"/>
  <c r="M4669" i="1"/>
  <c r="N4669" i="1"/>
  <c r="O4669" i="1"/>
  <c r="P4669" i="1"/>
  <c r="Q4669" i="1"/>
  <c r="R4669" i="1"/>
  <c r="S4669" i="1"/>
  <c r="T4669" i="1"/>
  <c r="U4669" i="1"/>
  <c r="V4669" i="1"/>
  <c r="W4669" i="1"/>
  <c r="X4669" i="1"/>
  <c r="Y4669" i="1"/>
  <c r="Z4669" i="1"/>
  <c r="A4670" i="1"/>
  <c r="B4670" i="1"/>
  <c r="C4670" i="1"/>
  <c r="D4670" i="1"/>
  <c r="E4670" i="1"/>
  <c r="F4670" i="1"/>
  <c r="G4670" i="1"/>
  <c r="I4670" i="1"/>
  <c r="J4670" i="1"/>
  <c r="K4670" i="1"/>
  <c r="L4670" i="1"/>
  <c r="M4670" i="1"/>
  <c r="N4670" i="1"/>
  <c r="O4670" i="1"/>
  <c r="P4670" i="1"/>
  <c r="Q4670" i="1"/>
  <c r="R4670" i="1"/>
  <c r="S4670" i="1"/>
  <c r="T4670" i="1"/>
  <c r="U4670" i="1"/>
  <c r="V4670" i="1"/>
  <c r="W4670" i="1"/>
  <c r="X4670" i="1"/>
  <c r="Y4670" i="1"/>
  <c r="Z4670" i="1"/>
  <c r="A4671" i="1"/>
  <c r="B4671" i="1"/>
  <c r="C4671" i="1"/>
  <c r="D4671" i="1"/>
  <c r="E4671" i="1"/>
  <c r="F4671" i="1"/>
  <c r="G4671" i="1"/>
  <c r="I4671" i="1"/>
  <c r="J4671" i="1"/>
  <c r="K4671" i="1"/>
  <c r="L4671" i="1"/>
  <c r="M4671" i="1"/>
  <c r="N4671" i="1"/>
  <c r="O4671" i="1"/>
  <c r="P4671" i="1"/>
  <c r="Q4671" i="1"/>
  <c r="R4671" i="1"/>
  <c r="S4671" i="1"/>
  <c r="T4671" i="1"/>
  <c r="U4671" i="1"/>
  <c r="V4671" i="1"/>
  <c r="W4671" i="1"/>
  <c r="X4671" i="1"/>
  <c r="Y4671" i="1"/>
  <c r="Z4671" i="1"/>
  <c r="A4672" i="1"/>
  <c r="B4672" i="1"/>
  <c r="C4672" i="1"/>
  <c r="D4672" i="1"/>
  <c r="E4672" i="1"/>
  <c r="F4672" i="1"/>
  <c r="G4672" i="1"/>
  <c r="I4672" i="1"/>
  <c r="J4672" i="1"/>
  <c r="K4672" i="1"/>
  <c r="L4672" i="1"/>
  <c r="M4672" i="1"/>
  <c r="N4672" i="1"/>
  <c r="O4672" i="1"/>
  <c r="P4672" i="1"/>
  <c r="Q4672" i="1"/>
  <c r="R4672" i="1"/>
  <c r="S4672" i="1"/>
  <c r="T4672" i="1"/>
  <c r="U4672" i="1"/>
  <c r="V4672" i="1"/>
  <c r="W4672" i="1"/>
  <c r="X4672" i="1"/>
  <c r="Y4672" i="1"/>
  <c r="Z4672" i="1"/>
  <c r="A4673" i="1"/>
  <c r="B4673" i="1"/>
  <c r="C4673" i="1"/>
  <c r="D4673" i="1"/>
  <c r="E4673" i="1"/>
  <c r="F4673" i="1"/>
  <c r="G4673" i="1"/>
  <c r="I4673" i="1"/>
  <c r="J4673" i="1"/>
  <c r="K4673" i="1"/>
  <c r="L4673" i="1"/>
  <c r="M4673" i="1"/>
  <c r="N4673" i="1"/>
  <c r="O4673" i="1"/>
  <c r="P4673" i="1"/>
  <c r="Q4673" i="1"/>
  <c r="R4673" i="1"/>
  <c r="S4673" i="1"/>
  <c r="T4673" i="1"/>
  <c r="U4673" i="1"/>
  <c r="V4673" i="1"/>
  <c r="W4673" i="1"/>
  <c r="X4673" i="1"/>
  <c r="Y4673" i="1"/>
  <c r="Z4673" i="1"/>
  <c r="A4674" i="1"/>
  <c r="B4674" i="1"/>
  <c r="C4674" i="1"/>
  <c r="D4674" i="1"/>
  <c r="E4674" i="1"/>
  <c r="F4674" i="1"/>
  <c r="G4674" i="1"/>
  <c r="I4674" i="1"/>
  <c r="J4674" i="1"/>
  <c r="K4674" i="1"/>
  <c r="L4674" i="1"/>
  <c r="M4674" i="1"/>
  <c r="N4674" i="1"/>
  <c r="O4674" i="1"/>
  <c r="P4674" i="1"/>
  <c r="Q4674" i="1"/>
  <c r="R4674" i="1"/>
  <c r="S4674" i="1"/>
  <c r="T4674" i="1"/>
  <c r="U4674" i="1"/>
  <c r="V4674" i="1"/>
  <c r="W4674" i="1"/>
  <c r="X4674" i="1"/>
  <c r="Y4674" i="1"/>
  <c r="Z4674" i="1"/>
  <c r="A4675" i="1"/>
  <c r="B4675" i="1"/>
  <c r="C4675" i="1"/>
  <c r="D4675" i="1"/>
  <c r="E4675" i="1"/>
  <c r="F4675" i="1"/>
  <c r="G4675" i="1"/>
  <c r="I4675" i="1"/>
  <c r="J4675" i="1"/>
  <c r="K4675" i="1"/>
  <c r="L4675" i="1"/>
  <c r="M4675" i="1"/>
  <c r="N4675" i="1"/>
  <c r="O4675" i="1"/>
  <c r="P4675" i="1"/>
  <c r="Q4675" i="1"/>
  <c r="R4675" i="1"/>
  <c r="S4675" i="1"/>
  <c r="T4675" i="1"/>
  <c r="U4675" i="1"/>
  <c r="V4675" i="1"/>
  <c r="W4675" i="1"/>
  <c r="X4675" i="1"/>
  <c r="Y4675" i="1"/>
  <c r="Z4675" i="1"/>
  <c r="A4676" i="1"/>
  <c r="B4676" i="1"/>
  <c r="C4676" i="1"/>
  <c r="D4676" i="1"/>
  <c r="E4676" i="1"/>
  <c r="F4676" i="1"/>
  <c r="G4676" i="1"/>
  <c r="I4676" i="1"/>
  <c r="J4676" i="1"/>
  <c r="K4676" i="1"/>
  <c r="L4676" i="1"/>
  <c r="M4676" i="1"/>
  <c r="N4676" i="1"/>
  <c r="O4676" i="1"/>
  <c r="P4676" i="1"/>
  <c r="Q4676" i="1"/>
  <c r="R4676" i="1"/>
  <c r="S4676" i="1"/>
  <c r="T4676" i="1"/>
  <c r="U4676" i="1"/>
  <c r="V4676" i="1"/>
  <c r="W4676" i="1"/>
  <c r="X4676" i="1"/>
  <c r="Y4676" i="1"/>
  <c r="Z4676" i="1"/>
  <c r="A4677" i="1"/>
  <c r="B4677" i="1"/>
  <c r="C4677" i="1"/>
  <c r="D4677" i="1"/>
  <c r="E4677" i="1"/>
  <c r="F4677" i="1"/>
  <c r="G4677" i="1"/>
  <c r="I4677" i="1"/>
  <c r="J4677" i="1"/>
  <c r="K4677" i="1"/>
  <c r="L4677" i="1"/>
  <c r="M4677" i="1"/>
  <c r="N4677" i="1"/>
  <c r="O4677" i="1"/>
  <c r="P4677" i="1"/>
  <c r="Q4677" i="1"/>
  <c r="R4677" i="1"/>
  <c r="S4677" i="1"/>
  <c r="T4677" i="1"/>
  <c r="U4677" i="1"/>
  <c r="V4677" i="1"/>
  <c r="W4677" i="1"/>
  <c r="X4677" i="1"/>
  <c r="Y4677" i="1"/>
  <c r="Z4677" i="1"/>
  <c r="A4678" i="1"/>
  <c r="B4678" i="1"/>
  <c r="C4678" i="1"/>
  <c r="D4678" i="1"/>
  <c r="E4678" i="1"/>
  <c r="F4678" i="1"/>
  <c r="G4678" i="1"/>
  <c r="I4678" i="1"/>
  <c r="J4678" i="1"/>
  <c r="K4678" i="1"/>
  <c r="L4678" i="1"/>
  <c r="M4678" i="1"/>
  <c r="N4678" i="1"/>
  <c r="O4678" i="1"/>
  <c r="P4678" i="1"/>
  <c r="Q4678" i="1"/>
  <c r="R4678" i="1"/>
  <c r="S4678" i="1"/>
  <c r="T4678" i="1"/>
  <c r="U4678" i="1"/>
  <c r="V4678" i="1"/>
  <c r="W4678" i="1"/>
  <c r="X4678" i="1"/>
  <c r="Y4678" i="1"/>
  <c r="Z4678" i="1"/>
  <c r="A4679" i="1"/>
  <c r="B4679" i="1"/>
  <c r="C4679" i="1"/>
  <c r="D4679" i="1"/>
  <c r="E4679" i="1"/>
  <c r="F4679" i="1"/>
  <c r="G4679" i="1"/>
  <c r="I4679" i="1"/>
  <c r="J4679" i="1"/>
  <c r="K4679" i="1"/>
  <c r="L4679" i="1"/>
  <c r="M4679" i="1"/>
  <c r="N4679" i="1"/>
  <c r="O4679" i="1"/>
  <c r="P4679" i="1"/>
  <c r="Q4679" i="1"/>
  <c r="R4679" i="1"/>
  <c r="S4679" i="1"/>
  <c r="T4679" i="1"/>
  <c r="U4679" i="1"/>
  <c r="V4679" i="1"/>
  <c r="W4679" i="1"/>
  <c r="X4679" i="1"/>
  <c r="Y4679" i="1"/>
  <c r="Z4679" i="1"/>
  <c r="A4680" i="1"/>
  <c r="B4680" i="1"/>
  <c r="C4680" i="1"/>
  <c r="D4680" i="1"/>
  <c r="E4680" i="1"/>
  <c r="F4680" i="1"/>
  <c r="G4680" i="1"/>
  <c r="I4680" i="1"/>
  <c r="J4680" i="1"/>
  <c r="K4680" i="1"/>
  <c r="L4680" i="1"/>
  <c r="M4680" i="1"/>
  <c r="N4680" i="1"/>
  <c r="O4680" i="1"/>
  <c r="P4680" i="1"/>
  <c r="Q4680" i="1"/>
  <c r="R4680" i="1"/>
  <c r="S4680" i="1"/>
  <c r="T4680" i="1"/>
  <c r="U4680" i="1"/>
  <c r="V4680" i="1"/>
  <c r="W4680" i="1"/>
  <c r="X4680" i="1"/>
  <c r="Y4680" i="1"/>
  <c r="Z4680" i="1"/>
  <c r="A4681" i="1"/>
  <c r="B4681" i="1"/>
  <c r="C4681" i="1"/>
  <c r="D4681" i="1"/>
  <c r="E4681" i="1"/>
  <c r="F4681" i="1"/>
  <c r="G4681" i="1"/>
  <c r="I4681" i="1"/>
  <c r="J4681" i="1"/>
  <c r="K4681" i="1"/>
  <c r="L4681" i="1"/>
  <c r="M4681" i="1"/>
  <c r="N4681" i="1"/>
  <c r="O4681" i="1"/>
  <c r="P4681" i="1"/>
  <c r="Q4681" i="1"/>
  <c r="R4681" i="1"/>
  <c r="S4681" i="1"/>
  <c r="T4681" i="1"/>
  <c r="U4681" i="1"/>
  <c r="V4681" i="1"/>
  <c r="W4681" i="1"/>
  <c r="X4681" i="1"/>
  <c r="Y4681" i="1"/>
  <c r="Z4681" i="1"/>
  <c r="A4682" i="1"/>
  <c r="B4682" i="1"/>
  <c r="C4682" i="1"/>
  <c r="D4682" i="1"/>
  <c r="E4682" i="1"/>
  <c r="F4682" i="1"/>
  <c r="G4682" i="1"/>
  <c r="I4682" i="1"/>
  <c r="J4682" i="1"/>
  <c r="K4682" i="1"/>
  <c r="L4682" i="1"/>
  <c r="M4682" i="1"/>
  <c r="N4682" i="1"/>
  <c r="O4682" i="1"/>
  <c r="P4682" i="1"/>
  <c r="Q4682" i="1"/>
  <c r="R4682" i="1"/>
  <c r="S4682" i="1"/>
  <c r="T4682" i="1"/>
  <c r="U4682" i="1"/>
  <c r="V4682" i="1"/>
  <c r="W4682" i="1"/>
  <c r="X4682" i="1"/>
  <c r="Y4682" i="1"/>
  <c r="Z4682" i="1"/>
  <c r="A4683" i="1"/>
  <c r="B4683" i="1"/>
  <c r="C4683" i="1"/>
  <c r="D4683" i="1"/>
  <c r="E4683" i="1"/>
  <c r="F4683" i="1"/>
  <c r="G4683" i="1"/>
  <c r="I4683" i="1"/>
  <c r="J4683" i="1"/>
  <c r="K4683" i="1"/>
  <c r="L4683" i="1"/>
  <c r="M4683" i="1"/>
  <c r="N4683" i="1"/>
  <c r="O4683" i="1"/>
  <c r="P4683" i="1"/>
  <c r="Q4683" i="1"/>
  <c r="R4683" i="1"/>
  <c r="S4683" i="1"/>
  <c r="T4683" i="1"/>
  <c r="U4683" i="1"/>
  <c r="V4683" i="1"/>
  <c r="W4683" i="1"/>
  <c r="X4683" i="1"/>
  <c r="Y4683" i="1"/>
  <c r="Z4683" i="1"/>
  <c r="A4684" i="1"/>
  <c r="B4684" i="1"/>
  <c r="C4684" i="1"/>
  <c r="D4684" i="1"/>
  <c r="E4684" i="1"/>
  <c r="F4684" i="1"/>
  <c r="G4684" i="1"/>
  <c r="I4684" i="1"/>
  <c r="J4684" i="1"/>
  <c r="K4684" i="1"/>
  <c r="L4684" i="1"/>
  <c r="M4684" i="1"/>
  <c r="N4684" i="1"/>
  <c r="O4684" i="1"/>
  <c r="P4684" i="1"/>
  <c r="Q4684" i="1"/>
  <c r="R4684" i="1"/>
  <c r="S4684" i="1"/>
  <c r="T4684" i="1"/>
  <c r="U4684" i="1"/>
  <c r="V4684" i="1"/>
  <c r="W4684" i="1"/>
  <c r="X4684" i="1"/>
  <c r="Y4684" i="1"/>
  <c r="Z4684" i="1"/>
  <c r="A4685" i="1"/>
  <c r="B4685" i="1"/>
  <c r="C4685" i="1"/>
  <c r="D4685" i="1"/>
  <c r="E4685" i="1"/>
  <c r="F4685" i="1"/>
  <c r="G4685" i="1"/>
  <c r="I4685" i="1"/>
  <c r="J4685" i="1"/>
  <c r="K4685" i="1"/>
  <c r="L4685" i="1"/>
  <c r="M4685" i="1"/>
  <c r="N4685" i="1"/>
  <c r="O4685" i="1"/>
  <c r="P4685" i="1"/>
  <c r="Q4685" i="1"/>
  <c r="R4685" i="1"/>
  <c r="S4685" i="1"/>
  <c r="T4685" i="1"/>
  <c r="U4685" i="1"/>
  <c r="V4685" i="1"/>
  <c r="W4685" i="1"/>
  <c r="X4685" i="1"/>
  <c r="Y4685" i="1"/>
  <c r="Z4685" i="1"/>
  <c r="A4686" i="1"/>
  <c r="B4686" i="1"/>
  <c r="C4686" i="1"/>
  <c r="D4686" i="1"/>
  <c r="E4686" i="1"/>
  <c r="F4686" i="1"/>
  <c r="G4686" i="1"/>
  <c r="I4686" i="1"/>
  <c r="J4686" i="1"/>
  <c r="K4686" i="1"/>
  <c r="L4686" i="1"/>
  <c r="M4686" i="1"/>
  <c r="N4686" i="1"/>
  <c r="O4686" i="1"/>
  <c r="P4686" i="1"/>
  <c r="Q4686" i="1"/>
  <c r="R4686" i="1"/>
  <c r="S4686" i="1"/>
  <c r="T4686" i="1"/>
  <c r="U4686" i="1"/>
  <c r="V4686" i="1"/>
  <c r="W4686" i="1"/>
  <c r="X4686" i="1"/>
  <c r="Y4686" i="1"/>
  <c r="Z4686" i="1"/>
  <c r="A4687" i="1"/>
  <c r="B4687" i="1"/>
  <c r="C4687" i="1"/>
  <c r="D4687" i="1"/>
  <c r="E4687" i="1"/>
  <c r="F4687" i="1"/>
  <c r="G4687" i="1"/>
  <c r="I4687" i="1"/>
  <c r="J4687" i="1"/>
  <c r="K4687" i="1"/>
  <c r="L4687" i="1"/>
  <c r="M4687" i="1"/>
  <c r="N4687" i="1"/>
  <c r="O4687" i="1"/>
  <c r="P4687" i="1"/>
  <c r="Q4687" i="1"/>
  <c r="R4687" i="1"/>
  <c r="S4687" i="1"/>
  <c r="T4687" i="1"/>
  <c r="U4687" i="1"/>
  <c r="V4687" i="1"/>
  <c r="W4687" i="1"/>
  <c r="X4687" i="1"/>
  <c r="Y4687" i="1"/>
  <c r="Z4687" i="1"/>
  <c r="A4688" i="1"/>
  <c r="B4688" i="1"/>
  <c r="C4688" i="1"/>
  <c r="D4688" i="1"/>
  <c r="E4688" i="1"/>
  <c r="F4688" i="1"/>
  <c r="G4688" i="1"/>
  <c r="I4688" i="1"/>
  <c r="J4688" i="1"/>
  <c r="K4688" i="1"/>
  <c r="L4688" i="1"/>
  <c r="M4688" i="1"/>
  <c r="N4688" i="1"/>
  <c r="O4688" i="1"/>
  <c r="P4688" i="1"/>
  <c r="Q4688" i="1"/>
  <c r="R4688" i="1"/>
  <c r="S4688" i="1"/>
  <c r="T4688" i="1"/>
  <c r="U4688" i="1"/>
  <c r="V4688" i="1"/>
  <c r="W4688" i="1"/>
  <c r="X4688" i="1"/>
  <c r="Y4688" i="1"/>
  <c r="Z4688" i="1"/>
  <c r="A4689" i="1"/>
  <c r="B4689" i="1"/>
  <c r="C4689" i="1"/>
  <c r="D4689" i="1"/>
  <c r="E4689" i="1"/>
  <c r="F4689" i="1"/>
  <c r="G4689" i="1"/>
  <c r="I4689" i="1"/>
  <c r="J4689" i="1"/>
  <c r="K4689" i="1"/>
  <c r="L4689" i="1"/>
  <c r="M4689" i="1"/>
  <c r="N4689" i="1"/>
  <c r="O4689" i="1"/>
  <c r="P4689" i="1"/>
  <c r="Q4689" i="1"/>
  <c r="R4689" i="1"/>
  <c r="S4689" i="1"/>
  <c r="T4689" i="1"/>
  <c r="U4689" i="1"/>
  <c r="V4689" i="1"/>
  <c r="W4689" i="1"/>
  <c r="X4689" i="1"/>
  <c r="Y4689" i="1"/>
  <c r="Z4689" i="1"/>
  <c r="A4690" i="1"/>
  <c r="B4690" i="1"/>
  <c r="C4690" i="1"/>
  <c r="D4690" i="1"/>
  <c r="E4690" i="1"/>
  <c r="F4690" i="1"/>
  <c r="G4690" i="1"/>
  <c r="I4690" i="1"/>
  <c r="J4690" i="1"/>
  <c r="K4690" i="1"/>
  <c r="L4690" i="1"/>
  <c r="M4690" i="1"/>
  <c r="N4690" i="1"/>
  <c r="O4690" i="1"/>
  <c r="P4690" i="1"/>
  <c r="Q4690" i="1"/>
  <c r="R4690" i="1"/>
  <c r="S4690" i="1"/>
  <c r="T4690" i="1"/>
  <c r="U4690" i="1"/>
  <c r="V4690" i="1"/>
  <c r="W4690" i="1"/>
  <c r="X4690" i="1"/>
  <c r="Y4690" i="1"/>
  <c r="Z4690" i="1"/>
  <c r="A4691" i="1"/>
  <c r="B4691" i="1"/>
  <c r="C4691" i="1"/>
  <c r="D4691" i="1"/>
  <c r="E4691" i="1"/>
  <c r="F4691" i="1"/>
  <c r="G4691" i="1"/>
  <c r="I4691" i="1"/>
  <c r="J4691" i="1"/>
  <c r="K4691" i="1"/>
  <c r="L4691" i="1"/>
  <c r="M4691" i="1"/>
  <c r="N4691" i="1"/>
  <c r="O4691" i="1"/>
  <c r="P4691" i="1"/>
  <c r="Q4691" i="1"/>
  <c r="R4691" i="1"/>
  <c r="S4691" i="1"/>
  <c r="T4691" i="1"/>
  <c r="U4691" i="1"/>
  <c r="V4691" i="1"/>
  <c r="W4691" i="1"/>
  <c r="X4691" i="1"/>
  <c r="Y4691" i="1"/>
  <c r="Z4691" i="1"/>
  <c r="A4692" i="1"/>
  <c r="B4692" i="1"/>
  <c r="C4692" i="1"/>
  <c r="D4692" i="1"/>
  <c r="E4692" i="1"/>
  <c r="F4692" i="1"/>
  <c r="G4692" i="1"/>
  <c r="I4692" i="1"/>
  <c r="J4692" i="1"/>
  <c r="K4692" i="1"/>
  <c r="L4692" i="1"/>
  <c r="M4692" i="1"/>
  <c r="N4692" i="1"/>
  <c r="O4692" i="1"/>
  <c r="P4692" i="1"/>
  <c r="Q4692" i="1"/>
  <c r="R4692" i="1"/>
  <c r="S4692" i="1"/>
  <c r="T4692" i="1"/>
  <c r="U4692" i="1"/>
  <c r="V4692" i="1"/>
  <c r="W4692" i="1"/>
  <c r="X4692" i="1"/>
  <c r="Y4692" i="1"/>
  <c r="Z4692" i="1"/>
  <c r="A4693" i="1"/>
  <c r="B4693" i="1"/>
  <c r="C4693" i="1"/>
  <c r="D4693" i="1"/>
  <c r="E4693" i="1"/>
  <c r="F4693" i="1"/>
  <c r="G4693" i="1"/>
  <c r="I4693" i="1"/>
  <c r="J4693" i="1"/>
  <c r="K4693" i="1"/>
  <c r="L4693" i="1"/>
  <c r="M4693" i="1"/>
  <c r="N4693" i="1"/>
  <c r="O4693" i="1"/>
  <c r="P4693" i="1"/>
  <c r="Q4693" i="1"/>
  <c r="R4693" i="1"/>
  <c r="S4693" i="1"/>
  <c r="T4693" i="1"/>
  <c r="U4693" i="1"/>
  <c r="V4693" i="1"/>
  <c r="W4693" i="1"/>
  <c r="X4693" i="1"/>
  <c r="Y4693" i="1"/>
  <c r="Z4693" i="1"/>
  <c r="A4694" i="1"/>
  <c r="B4694" i="1"/>
  <c r="C4694" i="1"/>
  <c r="D4694" i="1"/>
  <c r="E4694" i="1"/>
  <c r="F4694" i="1"/>
  <c r="G4694" i="1"/>
  <c r="I4694" i="1"/>
  <c r="J4694" i="1"/>
  <c r="K4694" i="1"/>
  <c r="L4694" i="1"/>
  <c r="M4694" i="1"/>
  <c r="N4694" i="1"/>
  <c r="O4694" i="1"/>
  <c r="P4694" i="1"/>
  <c r="Q4694" i="1"/>
  <c r="R4694" i="1"/>
  <c r="S4694" i="1"/>
  <c r="T4694" i="1"/>
  <c r="U4694" i="1"/>
  <c r="V4694" i="1"/>
  <c r="W4694" i="1"/>
  <c r="X4694" i="1"/>
  <c r="Y4694" i="1"/>
  <c r="Z4694" i="1"/>
  <c r="A4695" i="1"/>
  <c r="B4695" i="1"/>
  <c r="C4695" i="1"/>
  <c r="D4695" i="1"/>
  <c r="E4695" i="1"/>
  <c r="F4695" i="1"/>
  <c r="G4695" i="1"/>
  <c r="I4695" i="1"/>
  <c r="J4695" i="1"/>
  <c r="K4695" i="1"/>
  <c r="L4695" i="1"/>
  <c r="M4695" i="1"/>
  <c r="N4695" i="1"/>
  <c r="O4695" i="1"/>
  <c r="P4695" i="1"/>
  <c r="Q4695" i="1"/>
  <c r="R4695" i="1"/>
  <c r="S4695" i="1"/>
  <c r="T4695" i="1"/>
  <c r="U4695" i="1"/>
  <c r="V4695" i="1"/>
  <c r="W4695" i="1"/>
  <c r="X4695" i="1"/>
  <c r="Y4695" i="1"/>
  <c r="Z4695" i="1"/>
  <c r="A4696" i="1"/>
  <c r="B4696" i="1"/>
  <c r="C4696" i="1"/>
  <c r="D4696" i="1"/>
  <c r="E4696" i="1"/>
  <c r="F4696" i="1"/>
  <c r="G4696" i="1"/>
  <c r="I4696" i="1"/>
  <c r="J4696" i="1"/>
  <c r="K4696" i="1"/>
  <c r="L4696" i="1"/>
  <c r="M4696" i="1"/>
  <c r="N4696" i="1"/>
  <c r="O4696" i="1"/>
  <c r="P4696" i="1"/>
  <c r="Q4696" i="1"/>
  <c r="R4696" i="1"/>
  <c r="S4696" i="1"/>
  <c r="T4696" i="1"/>
  <c r="U4696" i="1"/>
  <c r="V4696" i="1"/>
  <c r="W4696" i="1"/>
  <c r="X4696" i="1"/>
  <c r="Y4696" i="1"/>
  <c r="Z4696" i="1"/>
  <c r="A4697" i="1"/>
  <c r="B4697" i="1"/>
  <c r="C4697" i="1"/>
  <c r="D4697" i="1"/>
  <c r="E4697" i="1"/>
  <c r="F4697" i="1"/>
  <c r="G4697" i="1"/>
  <c r="I4697" i="1"/>
  <c r="J4697" i="1"/>
  <c r="K4697" i="1"/>
  <c r="L4697" i="1"/>
  <c r="M4697" i="1"/>
  <c r="N4697" i="1"/>
  <c r="O4697" i="1"/>
  <c r="P4697" i="1"/>
  <c r="Q4697" i="1"/>
  <c r="R4697" i="1"/>
  <c r="S4697" i="1"/>
  <c r="T4697" i="1"/>
  <c r="U4697" i="1"/>
  <c r="V4697" i="1"/>
  <c r="W4697" i="1"/>
  <c r="X4697" i="1"/>
  <c r="Y4697" i="1"/>
  <c r="Z4697" i="1"/>
  <c r="A4698" i="1"/>
  <c r="B4698" i="1"/>
  <c r="C4698" i="1"/>
  <c r="D4698" i="1"/>
  <c r="E4698" i="1"/>
  <c r="F4698" i="1"/>
  <c r="G4698" i="1"/>
  <c r="I4698" i="1"/>
  <c r="J4698" i="1"/>
  <c r="K4698" i="1"/>
  <c r="L4698" i="1"/>
  <c r="M4698" i="1"/>
  <c r="N4698" i="1"/>
  <c r="O4698" i="1"/>
  <c r="P4698" i="1"/>
  <c r="Q4698" i="1"/>
  <c r="R4698" i="1"/>
  <c r="S4698" i="1"/>
  <c r="T4698" i="1"/>
  <c r="U4698" i="1"/>
  <c r="V4698" i="1"/>
  <c r="W4698" i="1"/>
  <c r="X4698" i="1"/>
  <c r="Y4698" i="1"/>
  <c r="Z4698" i="1"/>
  <c r="A4699" i="1"/>
  <c r="B4699" i="1"/>
  <c r="C4699" i="1"/>
  <c r="D4699" i="1"/>
  <c r="E4699" i="1"/>
  <c r="F4699" i="1"/>
  <c r="G4699" i="1"/>
  <c r="I4699" i="1"/>
  <c r="J4699" i="1"/>
  <c r="K4699" i="1"/>
  <c r="L4699" i="1"/>
  <c r="M4699" i="1"/>
  <c r="N4699" i="1"/>
  <c r="O4699" i="1"/>
  <c r="P4699" i="1"/>
  <c r="Q4699" i="1"/>
  <c r="R4699" i="1"/>
  <c r="S4699" i="1"/>
  <c r="T4699" i="1"/>
  <c r="U4699" i="1"/>
  <c r="V4699" i="1"/>
  <c r="W4699" i="1"/>
  <c r="X4699" i="1"/>
  <c r="Y4699" i="1"/>
  <c r="Z4699" i="1"/>
  <c r="A4700" i="1"/>
  <c r="B4700" i="1"/>
  <c r="C4700" i="1"/>
  <c r="D4700" i="1"/>
  <c r="E4700" i="1"/>
  <c r="F4700" i="1"/>
  <c r="G4700" i="1"/>
  <c r="I4700" i="1"/>
  <c r="J4700" i="1"/>
  <c r="K4700" i="1"/>
  <c r="L4700" i="1"/>
  <c r="M4700" i="1"/>
  <c r="N4700" i="1"/>
  <c r="O4700" i="1"/>
  <c r="P4700" i="1"/>
  <c r="Q4700" i="1"/>
  <c r="R4700" i="1"/>
  <c r="S4700" i="1"/>
  <c r="T4700" i="1"/>
  <c r="U4700" i="1"/>
  <c r="V4700" i="1"/>
  <c r="W4700" i="1"/>
  <c r="X4700" i="1"/>
  <c r="Y4700" i="1"/>
  <c r="Z4700" i="1"/>
  <c r="A4701" i="1"/>
  <c r="B4701" i="1"/>
  <c r="C4701" i="1"/>
  <c r="D4701" i="1"/>
  <c r="E4701" i="1"/>
  <c r="F4701" i="1"/>
  <c r="G4701" i="1"/>
  <c r="I4701" i="1"/>
  <c r="J4701" i="1"/>
  <c r="K4701" i="1"/>
  <c r="L4701" i="1"/>
  <c r="M4701" i="1"/>
  <c r="N4701" i="1"/>
  <c r="O4701" i="1"/>
  <c r="P4701" i="1"/>
  <c r="Q4701" i="1"/>
  <c r="R4701" i="1"/>
  <c r="S4701" i="1"/>
  <c r="T4701" i="1"/>
  <c r="U4701" i="1"/>
  <c r="V4701" i="1"/>
  <c r="W4701" i="1"/>
  <c r="X4701" i="1"/>
  <c r="Y4701" i="1"/>
  <c r="Z4701" i="1"/>
  <c r="A4702" i="1"/>
  <c r="B4702" i="1"/>
  <c r="C4702" i="1"/>
  <c r="D4702" i="1"/>
  <c r="E4702" i="1"/>
  <c r="F4702" i="1"/>
  <c r="G4702" i="1"/>
  <c r="I4702" i="1"/>
  <c r="J4702" i="1"/>
  <c r="K4702" i="1"/>
  <c r="L4702" i="1"/>
  <c r="M4702" i="1"/>
  <c r="N4702" i="1"/>
  <c r="O4702" i="1"/>
  <c r="P4702" i="1"/>
  <c r="Q4702" i="1"/>
  <c r="R4702" i="1"/>
  <c r="S4702" i="1"/>
  <c r="T4702" i="1"/>
  <c r="U4702" i="1"/>
  <c r="V4702" i="1"/>
  <c r="W4702" i="1"/>
  <c r="X4702" i="1"/>
  <c r="Y4702" i="1"/>
  <c r="Z4702" i="1"/>
  <c r="A4703" i="1"/>
  <c r="B4703" i="1"/>
  <c r="C4703" i="1"/>
  <c r="D4703" i="1"/>
  <c r="E4703" i="1"/>
  <c r="F4703" i="1"/>
  <c r="G4703" i="1"/>
  <c r="I4703" i="1"/>
  <c r="J4703" i="1"/>
  <c r="K4703" i="1"/>
  <c r="L4703" i="1"/>
  <c r="M4703" i="1"/>
  <c r="N4703" i="1"/>
  <c r="O4703" i="1"/>
  <c r="P4703" i="1"/>
  <c r="Q4703" i="1"/>
  <c r="R4703" i="1"/>
  <c r="S4703" i="1"/>
  <c r="T4703" i="1"/>
  <c r="U4703" i="1"/>
  <c r="V4703" i="1"/>
  <c r="W4703" i="1"/>
  <c r="X4703" i="1"/>
  <c r="Y4703" i="1"/>
  <c r="Z4703" i="1"/>
  <c r="A4704" i="1"/>
  <c r="B4704" i="1"/>
  <c r="C4704" i="1"/>
  <c r="D4704" i="1"/>
  <c r="E4704" i="1"/>
  <c r="F4704" i="1"/>
  <c r="G4704" i="1"/>
  <c r="I4704" i="1"/>
  <c r="J4704" i="1"/>
  <c r="K4704" i="1"/>
  <c r="L4704" i="1"/>
  <c r="M4704" i="1"/>
  <c r="N4704" i="1"/>
  <c r="O4704" i="1"/>
  <c r="P4704" i="1"/>
  <c r="Q4704" i="1"/>
  <c r="R4704" i="1"/>
  <c r="S4704" i="1"/>
  <c r="T4704" i="1"/>
  <c r="U4704" i="1"/>
  <c r="V4704" i="1"/>
  <c r="W4704" i="1"/>
  <c r="X4704" i="1"/>
  <c r="Y4704" i="1"/>
  <c r="Z4704" i="1"/>
  <c r="A4705" i="1"/>
  <c r="B4705" i="1"/>
  <c r="C4705" i="1"/>
  <c r="D4705" i="1"/>
  <c r="E4705" i="1"/>
  <c r="F4705" i="1"/>
  <c r="G4705" i="1"/>
  <c r="I4705" i="1"/>
  <c r="J4705" i="1"/>
  <c r="K4705" i="1"/>
  <c r="L4705" i="1"/>
  <c r="M4705" i="1"/>
  <c r="N4705" i="1"/>
  <c r="O4705" i="1"/>
  <c r="P4705" i="1"/>
  <c r="Q4705" i="1"/>
  <c r="R4705" i="1"/>
  <c r="S4705" i="1"/>
  <c r="T4705" i="1"/>
  <c r="U4705" i="1"/>
  <c r="V4705" i="1"/>
  <c r="W4705" i="1"/>
  <c r="X4705" i="1"/>
  <c r="Y4705" i="1"/>
  <c r="Z4705" i="1"/>
  <c r="A4706" i="1"/>
  <c r="B4706" i="1"/>
  <c r="C4706" i="1"/>
  <c r="D4706" i="1"/>
  <c r="E4706" i="1"/>
  <c r="F4706" i="1"/>
  <c r="G4706" i="1"/>
  <c r="I4706" i="1"/>
  <c r="J4706" i="1"/>
  <c r="K4706" i="1"/>
  <c r="L4706" i="1"/>
  <c r="M4706" i="1"/>
  <c r="N4706" i="1"/>
  <c r="O4706" i="1"/>
  <c r="P4706" i="1"/>
  <c r="Q4706" i="1"/>
  <c r="R4706" i="1"/>
  <c r="S4706" i="1"/>
  <c r="T4706" i="1"/>
  <c r="U4706" i="1"/>
  <c r="V4706" i="1"/>
  <c r="W4706" i="1"/>
  <c r="X4706" i="1"/>
  <c r="Y4706" i="1"/>
  <c r="Z4706" i="1"/>
  <c r="A4707" i="1"/>
  <c r="B4707" i="1"/>
  <c r="C4707" i="1"/>
  <c r="D4707" i="1"/>
  <c r="E4707" i="1"/>
  <c r="F4707" i="1"/>
  <c r="G4707" i="1"/>
  <c r="I4707" i="1"/>
  <c r="J4707" i="1"/>
  <c r="K4707" i="1"/>
  <c r="L4707" i="1"/>
  <c r="M4707" i="1"/>
  <c r="N4707" i="1"/>
  <c r="O4707" i="1"/>
  <c r="P4707" i="1"/>
  <c r="Q4707" i="1"/>
  <c r="R4707" i="1"/>
  <c r="S4707" i="1"/>
  <c r="T4707" i="1"/>
  <c r="U4707" i="1"/>
  <c r="V4707" i="1"/>
  <c r="W4707" i="1"/>
  <c r="X4707" i="1"/>
  <c r="Y4707" i="1"/>
  <c r="Z4707" i="1"/>
  <c r="A4708" i="1"/>
  <c r="B4708" i="1"/>
  <c r="C4708" i="1"/>
  <c r="D4708" i="1"/>
  <c r="E4708" i="1"/>
  <c r="F4708" i="1"/>
  <c r="G4708" i="1"/>
  <c r="I4708" i="1"/>
  <c r="J4708" i="1"/>
  <c r="K4708" i="1"/>
  <c r="L4708" i="1"/>
  <c r="M4708" i="1"/>
  <c r="N4708" i="1"/>
  <c r="O4708" i="1"/>
  <c r="P4708" i="1"/>
  <c r="Q4708" i="1"/>
  <c r="R4708" i="1"/>
  <c r="S4708" i="1"/>
  <c r="T4708" i="1"/>
  <c r="U4708" i="1"/>
  <c r="V4708" i="1"/>
  <c r="W4708" i="1"/>
  <c r="X4708" i="1"/>
  <c r="Y4708" i="1"/>
  <c r="Z4708" i="1"/>
  <c r="A4709" i="1"/>
  <c r="B4709" i="1"/>
  <c r="C4709" i="1"/>
  <c r="D4709" i="1"/>
  <c r="E4709" i="1"/>
  <c r="F4709" i="1"/>
  <c r="G4709" i="1"/>
  <c r="I4709" i="1"/>
  <c r="J4709" i="1"/>
  <c r="K4709" i="1"/>
  <c r="L4709" i="1"/>
  <c r="M4709" i="1"/>
  <c r="N4709" i="1"/>
  <c r="O4709" i="1"/>
  <c r="P4709" i="1"/>
  <c r="Q4709" i="1"/>
  <c r="R4709" i="1"/>
  <c r="S4709" i="1"/>
  <c r="T4709" i="1"/>
  <c r="U4709" i="1"/>
  <c r="V4709" i="1"/>
  <c r="W4709" i="1"/>
  <c r="X4709" i="1"/>
  <c r="Y4709" i="1"/>
  <c r="Z4709" i="1"/>
  <c r="A4710" i="1"/>
  <c r="B4710" i="1"/>
  <c r="C4710" i="1"/>
  <c r="D4710" i="1"/>
  <c r="E4710" i="1"/>
  <c r="F4710" i="1"/>
  <c r="G4710" i="1"/>
  <c r="I4710" i="1"/>
  <c r="J4710" i="1"/>
  <c r="K4710" i="1"/>
  <c r="L4710" i="1"/>
  <c r="M4710" i="1"/>
  <c r="N4710" i="1"/>
  <c r="O4710" i="1"/>
  <c r="P4710" i="1"/>
  <c r="Q4710" i="1"/>
  <c r="R4710" i="1"/>
  <c r="S4710" i="1"/>
  <c r="T4710" i="1"/>
  <c r="U4710" i="1"/>
  <c r="V4710" i="1"/>
  <c r="W4710" i="1"/>
  <c r="X4710" i="1"/>
  <c r="Y4710" i="1"/>
  <c r="Z4710" i="1"/>
  <c r="A4711" i="1"/>
  <c r="B4711" i="1"/>
  <c r="C4711" i="1"/>
  <c r="D4711" i="1"/>
  <c r="E4711" i="1"/>
  <c r="F4711" i="1"/>
  <c r="G4711" i="1"/>
  <c r="I4711" i="1"/>
  <c r="J4711" i="1"/>
  <c r="K4711" i="1"/>
  <c r="L4711" i="1"/>
  <c r="M4711" i="1"/>
  <c r="N4711" i="1"/>
  <c r="O4711" i="1"/>
  <c r="P4711" i="1"/>
  <c r="Q4711" i="1"/>
  <c r="R4711" i="1"/>
  <c r="S4711" i="1"/>
  <c r="T4711" i="1"/>
  <c r="U4711" i="1"/>
  <c r="V4711" i="1"/>
  <c r="W4711" i="1"/>
  <c r="X4711" i="1"/>
  <c r="Y4711" i="1"/>
  <c r="Z4711" i="1"/>
  <c r="A4712" i="1"/>
  <c r="B4712" i="1"/>
  <c r="C4712" i="1"/>
  <c r="D4712" i="1"/>
  <c r="E4712" i="1"/>
  <c r="F4712" i="1"/>
  <c r="G4712" i="1"/>
  <c r="I4712" i="1"/>
  <c r="J4712" i="1"/>
  <c r="K4712" i="1"/>
  <c r="L4712" i="1"/>
  <c r="M4712" i="1"/>
  <c r="N4712" i="1"/>
  <c r="O4712" i="1"/>
  <c r="P4712" i="1"/>
  <c r="Q4712" i="1"/>
  <c r="R4712" i="1"/>
  <c r="S4712" i="1"/>
  <c r="T4712" i="1"/>
  <c r="U4712" i="1"/>
  <c r="V4712" i="1"/>
  <c r="W4712" i="1"/>
  <c r="X4712" i="1"/>
  <c r="Y4712" i="1"/>
  <c r="Z4712" i="1"/>
  <c r="A4713" i="1"/>
  <c r="B4713" i="1"/>
  <c r="C4713" i="1"/>
  <c r="D4713" i="1"/>
  <c r="E4713" i="1"/>
  <c r="F4713" i="1"/>
  <c r="G4713" i="1"/>
  <c r="I4713" i="1"/>
  <c r="J4713" i="1"/>
  <c r="K4713" i="1"/>
  <c r="L4713" i="1"/>
  <c r="M4713" i="1"/>
  <c r="N4713" i="1"/>
  <c r="O4713" i="1"/>
  <c r="P4713" i="1"/>
  <c r="Q4713" i="1"/>
  <c r="R4713" i="1"/>
  <c r="S4713" i="1"/>
  <c r="T4713" i="1"/>
  <c r="U4713" i="1"/>
  <c r="V4713" i="1"/>
  <c r="W4713" i="1"/>
  <c r="X4713" i="1"/>
  <c r="Y4713" i="1"/>
  <c r="Z4713" i="1"/>
  <c r="A4714" i="1"/>
  <c r="B4714" i="1"/>
  <c r="C4714" i="1"/>
  <c r="D4714" i="1"/>
  <c r="E4714" i="1"/>
  <c r="F4714" i="1"/>
  <c r="G4714" i="1"/>
  <c r="I4714" i="1"/>
  <c r="J4714" i="1"/>
  <c r="K4714" i="1"/>
  <c r="L4714" i="1"/>
  <c r="M4714" i="1"/>
  <c r="N4714" i="1"/>
  <c r="O4714" i="1"/>
  <c r="P4714" i="1"/>
  <c r="Q4714" i="1"/>
  <c r="R4714" i="1"/>
  <c r="S4714" i="1"/>
  <c r="T4714" i="1"/>
  <c r="U4714" i="1"/>
  <c r="V4714" i="1"/>
  <c r="W4714" i="1"/>
  <c r="X4714" i="1"/>
  <c r="Y4714" i="1"/>
  <c r="Z4714" i="1"/>
  <c r="A4715" i="1"/>
  <c r="B4715" i="1"/>
  <c r="C4715" i="1"/>
  <c r="D4715" i="1"/>
  <c r="E4715" i="1"/>
  <c r="F4715" i="1"/>
  <c r="G4715" i="1"/>
  <c r="I4715" i="1"/>
  <c r="J4715" i="1"/>
  <c r="K4715" i="1"/>
  <c r="L4715" i="1"/>
  <c r="M4715" i="1"/>
  <c r="N4715" i="1"/>
  <c r="O4715" i="1"/>
  <c r="P4715" i="1"/>
  <c r="Q4715" i="1"/>
  <c r="R4715" i="1"/>
  <c r="S4715" i="1"/>
  <c r="T4715" i="1"/>
  <c r="U4715" i="1"/>
  <c r="V4715" i="1"/>
  <c r="W4715" i="1"/>
  <c r="X4715" i="1"/>
  <c r="Y4715" i="1"/>
  <c r="Z4715" i="1"/>
  <c r="A4716" i="1"/>
  <c r="B4716" i="1"/>
  <c r="C4716" i="1"/>
  <c r="D4716" i="1"/>
  <c r="E4716" i="1"/>
  <c r="F4716" i="1"/>
  <c r="G4716" i="1"/>
  <c r="I4716" i="1"/>
  <c r="J4716" i="1"/>
  <c r="K4716" i="1"/>
  <c r="L4716" i="1"/>
  <c r="M4716" i="1"/>
  <c r="N4716" i="1"/>
  <c r="O4716" i="1"/>
  <c r="P4716" i="1"/>
  <c r="Q4716" i="1"/>
  <c r="R4716" i="1"/>
  <c r="S4716" i="1"/>
  <c r="T4716" i="1"/>
  <c r="U4716" i="1"/>
  <c r="V4716" i="1"/>
  <c r="W4716" i="1"/>
  <c r="X4716" i="1"/>
  <c r="Y4716" i="1"/>
  <c r="Z4716" i="1"/>
  <c r="A4717" i="1"/>
  <c r="B4717" i="1"/>
  <c r="C4717" i="1"/>
  <c r="D4717" i="1"/>
  <c r="E4717" i="1"/>
  <c r="F4717" i="1"/>
  <c r="G4717" i="1"/>
  <c r="I4717" i="1"/>
  <c r="J4717" i="1"/>
  <c r="K4717" i="1"/>
  <c r="L4717" i="1"/>
  <c r="M4717" i="1"/>
  <c r="N4717" i="1"/>
  <c r="O4717" i="1"/>
  <c r="P4717" i="1"/>
  <c r="Q4717" i="1"/>
  <c r="R4717" i="1"/>
  <c r="S4717" i="1"/>
  <c r="T4717" i="1"/>
  <c r="U4717" i="1"/>
  <c r="V4717" i="1"/>
  <c r="W4717" i="1"/>
  <c r="X4717" i="1"/>
  <c r="Y4717" i="1"/>
  <c r="Z4717" i="1"/>
  <c r="A4718" i="1"/>
  <c r="B4718" i="1"/>
  <c r="C4718" i="1"/>
  <c r="D4718" i="1"/>
  <c r="E4718" i="1"/>
  <c r="F4718" i="1"/>
  <c r="G4718" i="1"/>
  <c r="I4718" i="1"/>
  <c r="J4718" i="1"/>
  <c r="K4718" i="1"/>
  <c r="L4718" i="1"/>
  <c r="M4718" i="1"/>
  <c r="N4718" i="1"/>
  <c r="O4718" i="1"/>
  <c r="P4718" i="1"/>
  <c r="Q4718" i="1"/>
  <c r="R4718" i="1"/>
  <c r="S4718" i="1"/>
  <c r="T4718" i="1"/>
  <c r="U4718" i="1"/>
  <c r="V4718" i="1"/>
  <c r="W4718" i="1"/>
  <c r="X4718" i="1"/>
  <c r="Y4718" i="1"/>
  <c r="Z4718" i="1"/>
  <c r="A4719" i="1"/>
  <c r="B4719" i="1"/>
  <c r="C4719" i="1"/>
  <c r="D4719" i="1"/>
  <c r="E4719" i="1"/>
  <c r="F4719" i="1"/>
  <c r="G4719" i="1"/>
  <c r="I4719" i="1"/>
  <c r="J4719" i="1"/>
  <c r="K4719" i="1"/>
  <c r="L4719" i="1"/>
  <c r="M4719" i="1"/>
  <c r="N4719" i="1"/>
  <c r="O4719" i="1"/>
  <c r="P4719" i="1"/>
  <c r="Q4719" i="1"/>
  <c r="R4719" i="1"/>
  <c r="S4719" i="1"/>
  <c r="T4719" i="1"/>
  <c r="U4719" i="1"/>
  <c r="V4719" i="1"/>
  <c r="W4719" i="1"/>
  <c r="X4719" i="1"/>
  <c r="Y4719" i="1"/>
  <c r="Z4719" i="1"/>
  <c r="A4720" i="1"/>
  <c r="B4720" i="1"/>
  <c r="C4720" i="1"/>
  <c r="D4720" i="1"/>
  <c r="E4720" i="1"/>
  <c r="F4720" i="1"/>
  <c r="G4720" i="1"/>
  <c r="I4720" i="1"/>
  <c r="J4720" i="1"/>
  <c r="K4720" i="1"/>
  <c r="L4720" i="1"/>
  <c r="M4720" i="1"/>
  <c r="N4720" i="1"/>
  <c r="O4720" i="1"/>
  <c r="P4720" i="1"/>
  <c r="Q4720" i="1"/>
  <c r="R4720" i="1"/>
  <c r="S4720" i="1"/>
  <c r="T4720" i="1"/>
  <c r="U4720" i="1"/>
  <c r="V4720" i="1"/>
  <c r="W4720" i="1"/>
  <c r="X4720" i="1"/>
  <c r="Y4720" i="1"/>
  <c r="Z4720" i="1"/>
  <c r="A4721" i="1"/>
  <c r="B4721" i="1"/>
  <c r="C4721" i="1"/>
  <c r="D4721" i="1"/>
  <c r="E4721" i="1"/>
  <c r="F4721" i="1"/>
  <c r="G4721" i="1"/>
  <c r="I4721" i="1"/>
  <c r="J4721" i="1"/>
  <c r="K4721" i="1"/>
  <c r="L4721" i="1"/>
  <c r="M4721" i="1"/>
  <c r="N4721" i="1"/>
  <c r="O4721" i="1"/>
  <c r="P4721" i="1"/>
  <c r="Q4721" i="1"/>
  <c r="R4721" i="1"/>
  <c r="S4721" i="1"/>
  <c r="T4721" i="1"/>
  <c r="U4721" i="1"/>
  <c r="V4721" i="1"/>
  <c r="W4721" i="1"/>
  <c r="X4721" i="1"/>
  <c r="Y4721" i="1"/>
  <c r="Z4721" i="1"/>
  <c r="A4722" i="1"/>
  <c r="B4722" i="1"/>
  <c r="C4722" i="1"/>
  <c r="D4722" i="1"/>
  <c r="E4722" i="1"/>
  <c r="F4722" i="1"/>
  <c r="G4722" i="1"/>
  <c r="I4722" i="1"/>
  <c r="J4722" i="1"/>
  <c r="K4722" i="1"/>
  <c r="L4722" i="1"/>
  <c r="M4722" i="1"/>
  <c r="N4722" i="1"/>
  <c r="O4722" i="1"/>
  <c r="P4722" i="1"/>
  <c r="Q4722" i="1"/>
  <c r="R4722" i="1"/>
  <c r="S4722" i="1"/>
  <c r="T4722" i="1"/>
  <c r="U4722" i="1"/>
  <c r="V4722" i="1"/>
  <c r="W4722" i="1"/>
  <c r="X4722" i="1"/>
  <c r="Y4722" i="1"/>
  <c r="Z4722" i="1"/>
  <c r="A4723" i="1"/>
  <c r="B4723" i="1"/>
  <c r="C4723" i="1"/>
  <c r="D4723" i="1"/>
  <c r="E4723" i="1"/>
  <c r="F4723" i="1"/>
  <c r="G4723" i="1"/>
  <c r="I4723" i="1"/>
  <c r="J4723" i="1"/>
  <c r="K4723" i="1"/>
  <c r="L4723" i="1"/>
  <c r="M4723" i="1"/>
  <c r="N4723" i="1"/>
  <c r="O4723" i="1"/>
  <c r="P4723" i="1"/>
  <c r="Q4723" i="1"/>
  <c r="R4723" i="1"/>
  <c r="S4723" i="1"/>
  <c r="T4723" i="1"/>
  <c r="U4723" i="1"/>
  <c r="V4723" i="1"/>
  <c r="W4723" i="1"/>
  <c r="X4723" i="1"/>
  <c r="Y4723" i="1"/>
  <c r="Z4723" i="1"/>
  <c r="A4724" i="1"/>
  <c r="B4724" i="1"/>
  <c r="C4724" i="1"/>
  <c r="D4724" i="1"/>
  <c r="E4724" i="1"/>
  <c r="F4724" i="1"/>
  <c r="G4724" i="1"/>
  <c r="I4724" i="1"/>
  <c r="J4724" i="1"/>
  <c r="K4724" i="1"/>
  <c r="L4724" i="1"/>
  <c r="M4724" i="1"/>
  <c r="N4724" i="1"/>
  <c r="O4724" i="1"/>
  <c r="P4724" i="1"/>
  <c r="Q4724" i="1"/>
  <c r="R4724" i="1"/>
  <c r="S4724" i="1"/>
  <c r="T4724" i="1"/>
  <c r="U4724" i="1"/>
  <c r="V4724" i="1"/>
  <c r="W4724" i="1"/>
  <c r="X4724" i="1"/>
  <c r="Y4724" i="1"/>
  <c r="Z4724" i="1"/>
  <c r="A4725" i="1"/>
  <c r="B4725" i="1"/>
  <c r="C4725" i="1"/>
  <c r="D4725" i="1"/>
  <c r="E4725" i="1"/>
  <c r="F4725" i="1"/>
  <c r="G4725" i="1"/>
  <c r="I4725" i="1"/>
  <c r="J4725" i="1"/>
  <c r="K4725" i="1"/>
  <c r="L4725" i="1"/>
  <c r="M4725" i="1"/>
  <c r="N4725" i="1"/>
  <c r="O4725" i="1"/>
  <c r="P4725" i="1"/>
  <c r="Q4725" i="1"/>
  <c r="R4725" i="1"/>
  <c r="S4725" i="1"/>
  <c r="T4725" i="1"/>
  <c r="U4725" i="1"/>
  <c r="V4725" i="1"/>
  <c r="W4725" i="1"/>
  <c r="X4725" i="1"/>
  <c r="Y4725" i="1"/>
  <c r="Z4725" i="1"/>
  <c r="A4726" i="1"/>
  <c r="B4726" i="1"/>
  <c r="C4726" i="1"/>
  <c r="D4726" i="1"/>
  <c r="E4726" i="1"/>
  <c r="F4726" i="1"/>
  <c r="G4726" i="1"/>
  <c r="I4726" i="1"/>
  <c r="J4726" i="1"/>
  <c r="K4726" i="1"/>
  <c r="L4726" i="1"/>
  <c r="M4726" i="1"/>
  <c r="N4726" i="1"/>
  <c r="O4726" i="1"/>
  <c r="P4726" i="1"/>
  <c r="Q4726" i="1"/>
  <c r="R4726" i="1"/>
  <c r="S4726" i="1"/>
  <c r="T4726" i="1"/>
  <c r="U4726" i="1"/>
  <c r="V4726" i="1"/>
  <c r="W4726" i="1"/>
  <c r="X4726" i="1"/>
  <c r="Y4726" i="1"/>
  <c r="Z4726" i="1"/>
  <c r="A4727" i="1"/>
  <c r="B4727" i="1"/>
  <c r="C4727" i="1"/>
  <c r="D4727" i="1"/>
  <c r="E4727" i="1"/>
  <c r="F4727" i="1"/>
  <c r="G4727" i="1"/>
  <c r="I4727" i="1"/>
  <c r="J4727" i="1"/>
  <c r="K4727" i="1"/>
  <c r="L4727" i="1"/>
  <c r="M4727" i="1"/>
  <c r="N4727" i="1"/>
  <c r="O4727" i="1"/>
  <c r="P4727" i="1"/>
  <c r="Q4727" i="1"/>
  <c r="R4727" i="1"/>
  <c r="S4727" i="1"/>
  <c r="T4727" i="1"/>
  <c r="U4727" i="1"/>
  <c r="V4727" i="1"/>
  <c r="W4727" i="1"/>
  <c r="X4727" i="1"/>
  <c r="Y4727" i="1"/>
  <c r="Z4727" i="1"/>
  <c r="A4728" i="1"/>
  <c r="B4728" i="1"/>
  <c r="C4728" i="1"/>
  <c r="D4728" i="1"/>
  <c r="E4728" i="1"/>
  <c r="F4728" i="1"/>
  <c r="G4728" i="1"/>
  <c r="I4728" i="1"/>
  <c r="J4728" i="1"/>
  <c r="K4728" i="1"/>
  <c r="L4728" i="1"/>
  <c r="M4728" i="1"/>
  <c r="N4728" i="1"/>
  <c r="O4728" i="1"/>
  <c r="P4728" i="1"/>
  <c r="Q4728" i="1"/>
  <c r="R4728" i="1"/>
  <c r="S4728" i="1"/>
  <c r="T4728" i="1"/>
  <c r="U4728" i="1"/>
  <c r="V4728" i="1"/>
  <c r="W4728" i="1"/>
  <c r="X4728" i="1"/>
  <c r="Y4728" i="1"/>
  <c r="Z4728" i="1"/>
  <c r="A4729" i="1"/>
  <c r="B4729" i="1"/>
  <c r="C4729" i="1"/>
  <c r="D4729" i="1"/>
  <c r="E4729" i="1"/>
  <c r="F4729" i="1"/>
  <c r="G4729" i="1"/>
  <c r="I4729" i="1"/>
  <c r="J4729" i="1"/>
  <c r="K4729" i="1"/>
  <c r="L4729" i="1"/>
  <c r="M4729" i="1"/>
  <c r="N4729" i="1"/>
  <c r="O4729" i="1"/>
  <c r="P4729" i="1"/>
  <c r="Q4729" i="1"/>
  <c r="R4729" i="1"/>
  <c r="S4729" i="1"/>
  <c r="T4729" i="1"/>
  <c r="U4729" i="1"/>
  <c r="V4729" i="1"/>
  <c r="W4729" i="1"/>
  <c r="X4729" i="1"/>
  <c r="Y4729" i="1"/>
  <c r="Z4729" i="1"/>
  <c r="A4730" i="1"/>
  <c r="B4730" i="1"/>
  <c r="C4730" i="1"/>
  <c r="D4730" i="1"/>
  <c r="E4730" i="1"/>
  <c r="F4730" i="1"/>
  <c r="G4730" i="1"/>
  <c r="I4730" i="1"/>
  <c r="J4730" i="1"/>
  <c r="K4730" i="1"/>
  <c r="L4730" i="1"/>
  <c r="M4730" i="1"/>
  <c r="N4730" i="1"/>
  <c r="O4730" i="1"/>
  <c r="P4730" i="1"/>
  <c r="Q4730" i="1"/>
  <c r="R4730" i="1"/>
  <c r="S4730" i="1"/>
  <c r="T4730" i="1"/>
  <c r="U4730" i="1"/>
  <c r="V4730" i="1"/>
  <c r="W4730" i="1"/>
  <c r="X4730" i="1"/>
  <c r="Y4730" i="1"/>
  <c r="Z4730" i="1"/>
  <c r="A4731" i="1"/>
  <c r="B4731" i="1"/>
  <c r="C4731" i="1"/>
  <c r="D4731" i="1"/>
  <c r="E4731" i="1"/>
  <c r="F4731" i="1"/>
  <c r="G4731" i="1"/>
  <c r="I4731" i="1"/>
  <c r="J4731" i="1"/>
  <c r="K4731" i="1"/>
  <c r="L4731" i="1"/>
  <c r="M4731" i="1"/>
  <c r="N4731" i="1"/>
  <c r="O4731" i="1"/>
  <c r="P4731" i="1"/>
  <c r="Q4731" i="1"/>
  <c r="R4731" i="1"/>
  <c r="S4731" i="1"/>
  <c r="T4731" i="1"/>
  <c r="U4731" i="1"/>
  <c r="V4731" i="1"/>
  <c r="W4731" i="1"/>
  <c r="X4731" i="1"/>
  <c r="Y4731" i="1"/>
  <c r="Z4731" i="1"/>
  <c r="A4732" i="1"/>
  <c r="B4732" i="1"/>
  <c r="C4732" i="1"/>
  <c r="D4732" i="1"/>
  <c r="E4732" i="1"/>
  <c r="F4732" i="1"/>
  <c r="G4732" i="1"/>
  <c r="I4732" i="1"/>
  <c r="J4732" i="1"/>
  <c r="K4732" i="1"/>
  <c r="L4732" i="1"/>
  <c r="M4732" i="1"/>
  <c r="N4732" i="1"/>
  <c r="O4732" i="1"/>
  <c r="P4732" i="1"/>
  <c r="Q4732" i="1"/>
  <c r="R4732" i="1"/>
  <c r="S4732" i="1"/>
  <c r="T4732" i="1"/>
  <c r="U4732" i="1"/>
  <c r="V4732" i="1"/>
  <c r="W4732" i="1"/>
  <c r="X4732" i="1"/>
  <c r="Y4732" i="1"/>
  <c r="Z4732" i="1"/>
  <c r="A4733" i="1"/>
  <c r="B4733" i="1"/>
  <c r="C4733" i="1"/>
  <c r="D4733" i="1"/>
  <c r="E4733" i="1"/>
  <c r="F4733" i="1"/>
  <c r="G4733" i="1"/>
  <c r="I4733" i="1"/>
  <c r="J4733" i="1"/>
  <c r="K4733" i="1"/>
  <c r="L4733" i="1"/>
  <c r="M4733" i="1"/>
  <c r="N4733" i="1"/>
  <c r="O4733" i="1"/>
  <c r="P4733" i="1"/>
  <c r="Q4733" i="1"/>
  <c r="R4733" i="1"/>
  <c r="S4733" i="1"/>
  <c r="T4733" i="1"/>
  <c r="U4733" i="1"/>
  <c r="V4733" i="1"/>
  <c r="W4733" i="1"/>
  <c r="X4733" i="1"/>
  <c r="Y4733" i="1"/>
  <c r="Z4733" i="1"/>
  <c r="A4734" i="1"/>
  <c r="B4734" i="1"/>
  <c r="C4734" i="1"/>
  <c r="D4734" i="1"/>
  <c r="E4734" i="1"/>
  <c r="F4734" i="1"/>
  <c r="G4734" i="1"/>
  <c r="I4734" i="1"/>
  <c r="J4734" i="1"/>
  <c r="K4734" i="1"/>
  <c r="L4734" i="1"/>
  <c r="M4734" i="1"/>
  <c r="N4734" i="1"/>
  <c r="O4734" i="1"/>
  <c r="P4734" i="1"/>
  <c r="Q4734" i="1"/>
  <c r="R4734" i="1"/>
  <c r="S4734" i="1"/>
  <c r="T4734" i="1"/>
  <c r="U4734" i="1"/>
  <c r="V4734" i="1"/>
  <c r="W4734" i="1"/>
  <c r="X4734" i="1"/>
  <c r="Y4734" i="1"/>
  <c r="Z4734" i="1"/>
  <c r="A4735" i="1"/>
  <c r="B4735" i="1"/>
  <c r="C4735" i="1"/>
  <c r="D4735" i="1"/>
  <c r="E4735" i="1"/>
  <c r="F4735" i="1"/>
  <c r="G4735" i="1"/>
  <c r="I4735" i="1"/>
  <c r="J4735" i="1"/>
  <c r="K4735" i="1"/>
  <c r="L4735" i="1"/>
  <c r="M4735" i="1"/>
  <c r="N4735" i="1"/>
  <c r="O4735" i="1"/>
  <c r="P4735" i="1"/>
  <c r="Q4735" i="1"/>
  <c r="R4735" i="1"/>
  <c r="S4735" i="1"/>
  <c r="T4735" i="1"/>
  <c r="U4735" i="1"/>
  <c r="V4735" i="1"/>
  <c r="W4735" i="1"/>
  <c r="X4735" i="1"/>
  <c r="Y4735" i="1"/>
  <c r="Z4735" i="1"/>
  <c r="A4736" i="1"/>
  <c r="B4736" i="1"/>
  <c r="C4736" i="1"/>
  <c r="D4736" i="1"/>
  <c r="E4736" i="1"/>
  <c r="F4736" i="1"/>
  <c r="G4736" i="1"/>
  <c r="I4736" i="1"/>
  <c r="J4736" i="1"/>
  <c r="K4736" i="1"/>
  <c r="L4736" i="1"/>
  <c r="M4736" i="1"/>
  <c r="N4736" i="1"/>
  <c r="O4736" i="1"/>
  <c r="P4736" i="1"/>
  <c r="Q4736" i="1"/>
  <c r="R4736" i="1"/>
  <c r="S4736" i="1"/>
  <c r="T4736" i="1"/>
  <c r="U4736" i="1"/>
  <c r="V4736" i="1"/>
  <c r="W4736" i="1"/>
  <c r="X4736" i="1"/>
  <c r="Y4736" i="1"/>
  <c r="Z4736" i="1"/>
  <c r="A4737" i="1"/>
  <c r="B4737" i="1"/>
  <c r="C4737" i="1"/>
  <c r="D4737" i="1"/>
  <c r="E4737" i="1"/>
  <c r="F4737" i="1"/>
  <c r="G4737" i="1"/>
  <c r="I4737" i="1"/>
  <c r="J4737" i="1"/>
  <c r="K4737" i="1"/>
  <c r="L4737" i="1"/>
  <c r="M4737" i="1"/>
  <c r="N4737" i="1"/>
  <c r="O4737" i="1"/>
  <c r="P4737" i="1"/>
  <c r="Q4737" i="1"/>
  <c r="R4737" i="1"/>
  <c r="S4737" i="1"/>
  <c r="T4737" i="1"/>
  <c r="U4737" i="1"/>
  <c r="V4737" i="1"/>
  <c r="W4737" i="1"/>
  <c r="X4737" i="1"/>
  <c r="Y4737" i="1"/>
  <c r="Z4737" i="1"/>
  <c r="A4738" i="1"/>
  <c r="B4738" i="1"/>
  <c r="C4738" i="1"/>
  <c r="D4738" i="1"/>
  <c r="E4738" i="1"/>
  <c r="F4738" i="1"/>
  <c r="G4738" i="1"/>
  <c r="I4738" i="1"/>
  <c r="J4738" i="1"/>
  <c r="K4738" i="1"/>
  <c r="L4738" i="1"/>
  <c r="M4738" i="1"/>
  <c r="N4738" i="1"/>
  <c r="O4738" i="1"/>
  <c r="P4738" i="1"/>
  <c r="Q4738" i="1"/>
  <c r="R4738" i="1"/>
  <c r="S4738" i="1"/>
  <c r="T4738" i="1"/>
  <c r="U4738" i="1"/>
  <c r="V4738" i="1"/>
  <c r="W4738" i="1"/>
  <c r="X4738" i="1"/>
  <c r="Y4738" i="1"/>
  <c r="Z4738" i="1"/>
  <c r="A4739" i="1"/>
  <c r="B4739" i="1"/>
  <c r="C4739" i="1"/>
  <c r="D4739" i="1"/>
  <c r="E4739" i="1"/>
  <c r="F4739" i="1"/>
  <c r="G4739" i="1"/>
  <c r="I4739" i="1"/>
  <c r="J4739" i="1"/>
  <c r="K4739" i="1"/>
  <c r="L4739" i="1"/>
  <c r="M4739" i="1"/>
  <c r="N4739" i="1"/>
  <c r="O4739" i="1"/>
  <c r="P4739" i="1"/>
  <c r="Q4739" i="1"/>
  <c r="R4739" i="1"/>
  <c r="S4739" i="1"/>
  <c r="T4739" i="1"/>
  <c r="U4739" i="1"/>
  <c r="V4739" i="1"/>
  <c r="W4739" i="1"/>
  <c r="X4739" i="1"/>
  <c r="Y4739" i="1"/>
  <c r="Z4739" i="1"/>
  <c r="A4740" i="1"/>
  <c r="B4740" i="1"/>
  <c r="C4740" i="1"/>
  <c r="D4740" i="1"/>
  <c r="E4740" i="1"/>
  <c r="F4740" i="1"/>
  <c r="G4740" i="1"/>
  <c r="I4740" i="1"/>
  <c r="J4740" i="1"/>
  <c r="K4740" i="1"/>
  <c r="L4740" i="1"/>
  <c r="M4740" i="1"/>
  <c r="N4740" i="1"/>
  <c r="O4740" i="1"/>
  <c r="P4740" i="1"/>
  <c r="Q4740" i="1"/>
  <c r="R4740" i="1"/>
  <c r="S4740" i="1"/>
  <c r="T4740" i="1"/>
  <c r="U4740" i="1"/>
  <c r="V4740" i="1"/>
  <c r="W4740" i="1"/>
  <c r="X4740" i="1"/>
  <c r="Y4740" i="1"/>
  <c r="Z4740" i="1"/>
  <c r="A4741" i="1"/>
  <c r="B4741" i="1"/>
  <c r="C4741" i="1"/>
  <c r="D4741" i="1"/>
  <c r="E4741" i="1"/>
  <c r="F4741" i="1"/>
  <c r="G4741" i="1"/>
  <c r="I4741" i="1"/>
  <c r="J4741" i="1"/>
  <c r="K4741" i="1"/>
  <c r="L4741" i="1"/>
  <c r="M4741" i="1"/>
  <c r="N4741" i="1"/>
  <c r="O4741" i="1"/>
  <c r="P4741" i="1"/>
  <c r="Q4741" i="1"/>
  <c r="R4741" i="1"/>
  <c r="S4741" i="1"/>
  <c r="T4741" i="1"/>
  <c r="U4741" i="1"/>
  <c r="V4741" i="1"/>
  <c r="W4741" i="1"/>
  <c r="X4741" i="1"/>
  <c r="Y4741" i="1"/>
  <c r="Z4741" i="1"/>
  <c r="A4742" i="1"/>
  <c r="B4742" i="1"/>
  <c r="C4742" i="1"/>
  <c r="D4742" i="1"/>
  <c r="E4742" i="1"/>
  <c r="F4742" i="1"/>
  <c r="G4742" i="1"/>
  <c r="I4742" i="1"/>
  <c r="J4742" i="1"/>
  <c r="K4742" i="1"/>
  <c r="L4742" i="1"/>
  <c r="M4742" i="1"/>
  <c r="N4742" i="1"/>
  <c r="O4742" i="1"/>
  <c r="P4742" i="1"/>
  <c r="Q4742" i="1"/>
  <c r="R4742" i="1"/>
  <c r="S4742" i="1"/>
  <c r="T4742" i="1"/>
  <c r="U4742" i="1"/>
  <c r="V4742" i="1"/>
  <c r="W4742" i="1"/>
  <c r="X4742" i="1"/>
  <c r="Y4742" i="1"/>
  <c r="Z4742" i="1"/>
  <c r="A4743" i="1"/>
  <c r="B4743" i="1"/>
  <c r="C4743" i="1"/>
  <c r="D4743" i="1"/>
  <c r="E4743" i="1"/>
  <c r="F4743" i="1"/>
  <c r="G4743" i="1"/>
  <c r="I4743" i="1"/>
  <c r="J4743" i="1"/>
  <c r="K4743" i="1"/>
  <c r="L4743" i="1"/>
  <c r="M4743" i="1"/>
  <c r="N4743" i="1"/>
  <c r="O4743" i="1"/>
  <c r="P4743" i="1"/>
  <c r="Q4743" i="1"/>
  <c r="R4743" i="1"/>
  <c r="S4743" i="1"/>
  <c r="T4743" i="1"/>
  <c r="U4743" i="1"/>
  <c r="V4743" i="1"/>
  <c r="W4743" i="1"/>
  <c r="X4743" i="1"/>
  <c r="Y4743" i="1"/>
  <c r="Z4743" i="1"/>
  <c r="A4744" i="1"/>
  <c r="B4744" i="1"/>
  <c r="C4744" i="1"/>
  <c r="D4744" i="1"/>
  <c r="E4744" i="1"/>
  <c r="F4744" i="1"/>
  <c r="G4744" i="1"/>
  <c r="I4744" i="1"/>
  <c r="J4744" i="1"/>
  <c r="K4744" i="1"/>
  <c r="L4744" i="1"/>
  <c r="M4744" i="1"/>
  <c r="N4744" i="1"/>
  <c r="O4744" i="1"/>
  <c r="P4744" i="1"/>
  <c r="Q4744" i="1"/>
  <c r="R4744" i="1"/>
  <c r="S4744" i="1"/>
  <c r="T4744" i="1"/>
  <c r="U4744" i="1"/>
  <c r="V4744" i="1"/>
  <c r="W4744" i="1"/>
  <c r="X4744" i="1"/>
  <c r="Y4744" i="1"/>
  <c r="Z4744" i="1"/>
  <c r="A4745" i="1"/>
  <c r="B4745" i="1"/>
  <c r="C4745" i="1"/>
  <c r="D4745" i="1"/>
  <c r="E4745" i="1"/>
  <c r="F4745" i="1"/>
  <c r="G4745" i="1"/>
  <c r="I4745" i="1"/>
  <c r="J4745" i="1"/>
  <c r="K4745" i="1"/>
  <c r="L4745" i="1"/>
  <c r="M4745" i="1"/>
  <c r="N4745" i="1"/>
  <c r="O4745" i="1"/>
  <c r="P4745" i="1"/>
  <c r="Q4745" i="1"/>
  <c r="R4745" i="1"/>
  <c r="S4745" i="1"/>
  <c r="T4745" i="1"/>
  <c r="U4745" i="1"/>
  <c r="V4745" i="1"/>
  <c r="W4745" i="1"/>
  <c r="X4745" i="1"/>
  <c r="Y4745" i="1"/>
  <c r="Z4745" i="1"/>
  <c r="A4746" i="1"/>
  <c r="B4746" i="1"/>
  <c r="C4746" i="1"/>
  <c r="D4746" i="1"/>
  <c r="E4746" i="1"/>
  <c r="F4746" i="1"/>
  <c r="G4746" i="1"/>
  <c r="I4746" i="1"/>
  <c r="J4746" i="1"/>
  <c r="K4746" i="1"/>
  <c r="L4746" i="1"/>
  <c r="M4746" i="1"/>
  <c r="N4746" i="1"/>
  <c r="O4746" i="1"/>
  <c r="P4746" i="1"/>
  <c r="Q4746" i="1"/>
  <c r="R4746" i="1"/>
  <c r="S4746" i="1"/>
  <c r="T4746" i="1"/>
  <c r="U4746" i="1"/>
  <c r="V4746" i="1"/>
  <c r="W4746" i="1"/>
  <c r="X4746" i="1"/>
  <c r="Y4746" i="1"/>
  <c r="Z4746" i="1"/>
  <c r="A4747" i="1"/>
  <c r="B4747" i="1"/>
  <c r="C4747" i="1"/>
  <c r="D4747" i="1"/>
  <c r="E4747" i="1"/>
  <c r="F4747" i="1"/>
  <c r="G4747" i="1"/>
  <c r="I4747" i="1"/>
  <c r="J4747" i="1"/>
  <c r="K4747" i="1"/>
  <c r="L4747" i="1"/>
  <c r="M4747" i="1"/>
  <c r="N4747" i="1"/>
  <c r="O4747" i="1"/>
  <c r="P4747" i="1"/>
  <c r="Q4747" i="1"/>
  <c r="R4747" i="1"/>
  <c r="S4747" i="1"/>
  <c r="T4747" i="1"/>
  <c r="U4747" i="1"/>
  <c r="V4747" i="1"/>
  <c r="W4747" i="1"/>
  <c r="X4747" i="1"/>
  <c r="Y4747" i="1"/>
  <c r="Z4747" i="1"/>
  <c r="A4748" i="1"/>
  <c r="B4748" i="1"/>
  <c r="C4748" i="1"/>
  <c r="D4748" i="1"/>
  <c r="E4748" i="1"/>
  <c r="F4748" i="1"/>
  <c r="G4748" i="1"/>
  <c r="I4748" i="1"/>
  <c r="J4748" i="1"/>
  <c r="K4748" i="1"/>
  <c r="L4748" i="1"/>
  <c r="M4748" i="1"/>
  <c r="N4748" i="1"/>
  <c r="O4748" i="1"/>
  <c r="P4748" i="1"/>
  <c r="Q4748" i="1"/>
  <c r="R4748" i="1"/>
  <c r="S4748" i="1"/>
  <c r="T4748" i="1"/>
  <c r="U4748" i="1"/>
  <c r="V4748" i="1"/>
  <c r="W4748" i="1"/>
  <c r="X4748" i="1"/>
  <c r="Y4748" i="1"/>
  <c r="Z4748" i="1"/>
  <c r="A4749" i="1"/>
  <c r="B4749" i="1"/>
  <c r="C4749" i="1"/>
  <c r="D4749" i="1"/>
  <c r="E4749" i="1"/>
  <c r="F4749" i="1"/>
  <c r="G4749" i="1"/>
  <c r="I4749" i="1"/>
  <c r="J4749" i="1"/>
  <c r="K4749" i="1"/>
  <c r="L4749" i="1"/>
  <c r="M4749" i="1"/>
  <c r="N4749" i="1"/>
  <c r="O4749" i="1"/>
  <c r="P4749" i="1"/>
  <c r="Q4749" i="1"/>
  <c r="R4749" i="1"/>
  <c r="S4749" i="1"/>
  <c r="T4749" i="1"/>
  <c r="U4749" i="1"/>
  <c r="V4749" i="1"/>
  <c r="W4749" i="1"/>
  <c r="X4749" i="1"/>
  <c r="Y4749" i="1"/>
  <c r="Z4749" i="1"/>
  <c r="A4750" i="1"/>
  <c r="B4750" i="1"/>
  <c r="C4750" i="1"/>
  <c r="D4750" i="1"/>
  <c r="E4750" i="1"/>
  <c r="F4750" i="1"/>
  <c r="G4750" i="1"/>
  <c r="I4750" i="1"/>
  <c r="J4750" i="1"/>
  <c r="K4750" i="1"/>
  <c r="L4750" i="1"/>
  <c r="M4750" i="1"/>
  <c r="N4750" i="1"/>
  <c r="O4750" i="1"/>
  <c r="P4750" i="1"/>
  <c r="Q4750" i="1"/>
  <c r="R4750" i="1"/>
  <c r="S4750" i="1"/>
  <c r="T4750" i="1"/>
  <c r="U4750" i="1"/>
  <c r="V4750" i="1"/>
  <c r="W4750" i="1"/>
  <c r="X4750" i="1"/>
  <c r="Y4750" i="1"/>
  <c r="Z4750" i="1"/>
  <c r="A4751" i="1"/>
  <c r="B4751" i="1"/>
  <c r="C4751" i="1"/>
  <c r="D4751" i="1"/>
  <c r="E4751" i="1"/>
  <c r="F4751" i="1"/>
  <c r="G4751" i="1"/>
  <c r="I4751" i="1"/>
  <c r="J4751" i="1"/>
  <c r="K4751" i="1"/>
  <c r="L4751" i="1"/>
  <c r="M4751" i="1"/>
  <c r="N4751" i="1"/>
  <c r="O4751" i="1"/>
  <c r="P4751" i="1"/>
  <c r="Q4751" i="1"/>
  <c r="R4751" i="1"/>
  <c r="S4751" i="1"/>
  <c r="T4751" i="1"/>
  <c r="U4751" i="1"/>
  <c r="V4751" i="1"/>
  <c r="W4751" i="1"/>
  <c r="X4751" i="1"/>
  <c r="Y4751" i="1"/>
  <c r="Z4751" i="1"/>
  <c r="A4752" i="1"/>
  <c r="B4752" i="1"/>
  <c r="C4752" i="1"/>
  <c r="D4752" i="1"/>
  <c r="E4752" i="1"/>
  <c r="F4752" i="1"/>
  <c r="G4752" i="1"/>
  <c r="I4752" i="1"/>
  <c r="J4752" i="1"/>
  <c r="K4752" i="1"/>
  <c r="L4752" i="1"/>
  <c r="M4752" i="1"/>
  <c r="N4752" i="1"/>
  <c r="O4752" i="1"/>
  <c r="P4752" i="1"/>
  <c r="Q4752" i="1"/>
  <c r="R4752" i="1"/>
  <c r="S4752" i="1"/>
  <c r="T4752" i="1"/>
  <c r="U4752" i="1"/>
  <c r="V4752" i="1"/>
  <c r="W4752" i="1"/>
  <c r="X4752" i="1"/>
  <c r="Y4752" i="1"/>
  <c r="Z4752" i="1"/>
  <c r="A4753" i="1"/>
  <c r="B4753" i="1"/>
  <c r="C4753" i="1"/>
  <c r="D4753" i="1"/>
  <c r="E4753" i="1"/>
  <c r="F4753" i="1"/>
  <c r="G4753" i="1"/>
  <c r="I4753" i="1"/>
  <c r="J4753" i="1"/>
  <c r="K4753" i="1"/>
  <c r="L4753" i="1"/>
  <c r="M4753" i="1"/>
  <c r="N4753" i="1"/>
  <c r="O4753" i="1"/>
  <c r="P4753" i="1"/>
  <c r="Q4753" i="1"/>
  <c r="R4753" i="1"/>
  <c r="S4753" i="1"/>
  <c r="T4753" i="1"/>
  <c r="U4753" i="1"/>
  <c r="V4753" i="1"/>
  <c r="W4753" i="1"/>
  <c r="X4753" i="1"/>
  <c r="Y4753" i="1"/>
  <c r="Z4753" i="1"/>
  <c r="A4754" i="1"/>
  <c r="B4754" i="1"/>
  <c r="C4754" i="1"/>
  <c r="D4754" i="1"/>
  <c r="E4754" i="1"/>
  <c r="F4754" i="1"/>
  <c r="G4754" i="1"/>
  <c r="I4754" i="1"/>
  <c r="J4754" i="1"/>
  <c r="K4754" i="1"/>
  <c r="L4754" i="1"/>
  <c r="M4754" i="1"/>
  <c r="N4754" i="1"/>
  <c r="O4754" i="1"/>
  <c r="P4754" i="1"/>
  <c r="Q4754" i="1"/>
  <c r="R4754" i="1"/>
  <c r="S4754" i="1"/>
  <c r="T4754" i="1"/>
  <c r="U4754" i="1"/>
  <c r="V4754" i="1"/>
  <c r="W4754" i="1"/>
  <c r="X4754" i="1"/>
  <c r="Y4754" i="1"/>
  <c r="Z4754" i="1"/>
  <c r="A4755" i="1"/>
  <c r="B4755" i="1"/>
  <c r="C4755" i="1"/>
  <c r="D4755" i="1"/>
  <c r="E4755" i="1"/>
  <c r="F4755" i="1"/>
  <c r="G4755" i="1"/>
  <c r="I4755" i="1"/>
  <c r="J4755" i="1"/>
  <c r="K4755" i="1"/>
  <c r="L4755" i="1"/>
  <c r="M4755" i="1"/>
  <c r="N4755" i="1"/>
  <c r="O4755" i="1"/>
  <c r="P4755" i="1"/>
  <c r="Q4755" i="1"/>
  <c r="R4755" i="1"/>
  <c r="S4755" i="1"/>
  <c r="T4755" i="1"/>
  <c r="U4755" i="1"/>
  <c r="V4755" i="1"/>
  <c r="W4755" i="1"/>
  <c r="X4755" i="1"/>
  <c r="Y4755" i="1"/>
  <c r="Z4755" i="1"/>
  <c r="A4756" i="1"/>
  <c r="B4756" i="1"/>
  <c r="C4756" i="1"/>
  <c r="D4756" i="1"/>
  <c r="E4756" i="1"/>
  <c r="F4756" i="1"/>
  <c r="G4756" i="1"/>
  <c r="I4756" i="1"/>
  <c r="J4756" i="1"/>
  <c r="K4756" i="1"/>
  <c r="L4756" i="1"/>
  <c r="M4756" i="1"/>
  <c r="N4756" i="1"/>
  <c r="O4756" i="1"/>
  <c r="P4756" i="1"/>
  <c r="Q4756" i="1"/>
  <c r="R4756" i="1"/>
  <c r="S4756" i="1"/>
  <c r="T4756" i="1"/>
  <c r="U4756" i="1"/>
  <c r="V4756" i="1"/>
  <c r="W4756" i="1"/>
  <c r="X4756" i="1"/>
  <c r="Y4756" i="1"/>
  <c r="Z4756" i="1"/>
  <c r="A4757" i="1"/>
  <c r="B4757" i="1"/>
  <c r="C4757" i="1"/>
  <c r="D4757" i="1"/>
  <c r="E4757" i="1"/>
  <c r="F4757" i="1"/>
  <c r="G4757" i="1"/>
  <c r="I4757" i="1"/>
  <c r="J4757" i="1"/>
  <c r="K4757" i="1"/>
  <c r="L4757" i="1"/>
  <c r="M4757" i="1"/>
  <c r="N4757" i="1"/>
  <c r="O4757" i="1"/>
  <c r="P4757" i="1"/>
  <c r="Q4757" i="1"/>
  <c r="R4757" i="1"/>
  <c r="S4757" i="1"/>
  <c r="T4757" i="1"/>
  <c r="U4757" i="1"/>
  <c r="V4757" i="1"/>
  <c r="W4757" i="1"/>
  <c r="X4757" i="1"/>
  <c r="Y4757" i="1"/>
  <c r="Z4757" i="1"/>
  <c r="A4758" i="1"/>
  <c r="B4758" i="1"/>
  <c r="C4758" i="1"/>
  <c r="D4758" i="1"/>
  <c r="E4758" i="1"/>
  <c r="F4758" i="1"/>
  <c r="G4758" i="1"/>
  <c r="I4758" i="1"/>
  <c r="J4758" i="1"/>
  <c r="K4758" i="1"/>
  <c r="L4758" i="1"/>
  <c r="M4758" i="1"/>
  <c r="N4758" i="1"/>
  <c r="O4758" i="1"/>
  <c r="P4758" i="1"/>
  <c r="Q4758" i="1"/>
  <c r="R4758" i="1"/>
  <c r="S4758" i="1"/>
  <c r="T4758" i="1"/>
  <c r="U4758" i="1"/>
  <c r="V4758" i="1"/>
  <c r="W4758" i="1"/>
  <c r="X4758" i="1"/>
  <c r="Y4758" i="1"/>
  <c r="Z4758" i="1"/>
  <c r="A4759" i="1"/>
  <c r="B4759" i="1"/>
  <c r="C4759" i="1"/>
  <c r="D4759" i="1"/>
  <c r="E4759" i="1"/>
  <c r="F4759" i="1"/>
  <c r="G4759" i="1"/>
  <c r="I4759" i="1"/>
  <c r="J4759" i="1"/>
  <c r="K4759" i="1"/>
  <c r="L4759" i="1"/>
  <c r="M4759" i="1"/>
  <c r="N4759" i="1"/>
  <c r="O4759" i="1"/>
  <c r="P4759" i="1"/>
  <c r="Q4759" i="1"/>
  <c r="R4759" i="1"/>
  <c r="S4759" i="1"/>
  <c r="T4759" i="1"/>
  <c r="U4759" i="1"/>
  <c r="V4759" i="1"/>
  <c r="W4759" i="1"/>
  <c r="X4759" i="1"/>
  <c r="Y4759" i="1"/>
  <c r="Z4759" i="1"/>
  <c r="A4760" i="1"/>
  <c r="B4760" i="1"/>
  <c r="C4760" i="1"/>
  <c r="D4760" i="1"/>
  <c r="E4760" i="1"/>
  <c r="F4760" i="1"/>
  <c r="G4760" i="1"/>
  <c r="I4760" i="1"/>
  <c r="J4760" i="1"/>
  <c r="K4760" i="1"/>
  <c r="L4760" i="1"/>
  <c r="M4760" i="1"/>
  <c r="N4760" i="1"/>
  <c r="O4760" i="1"/>
  <c r="P4760" i="1"/>
  <c r="Q4760" i="1"/>
  <c r="R4760" i="1"/>
  <c r="S4760" i="1"/>
  <c r="T4760" i="1"/>
  <c r="U4760" i="1"/>
  <c r="V4760" i="1"/>
  <c r="W4760" i="1"/>
  <c r="X4760" i="1"/>
  <c r="Y4760" i="1"/>
  <c r="Z4760" i="1"/>
  <c r="A4761" i="1"/>
  <c r="B4761" i="1"/>
  <c r="C4761" i="1"/>
  <c r="D4761" i="1"/>
  <c r="E4761" i="1"/>
  <c r="F4761" i="1"/>
  <c r="G4761" i="1"/>
  <c r="I4761" i="1"/>
  <c r="J4761" i="1"/>
  <c r="K4761" i="1"/>
  <c r="L4761" i="1"/>
  <c r="M4761" i="1"/>
  <c r="N4761" i="1"/>
  <c r="O4761" i="1"/>
  <c r="P4761" i="1"/>
  <c r="Q4761" i="1"/>
  <c r="R4761" i="1"/>
  <c r="S4761" i="1"/>
  <c r="T4761" i="1"/>
  <c r="U4761" i="1"/>
  <c r="V4761" i="1"/>
  <c r="W4761" i="1"/>
  <c r="X4761" i="1"/>
  <c r="Y4761" i="1"/>
  <c r="Z4761" i="1"/>
  <c r="A4762" i="1"/>
  <c r="B4762" i="1"/>
  <c r="C4762" i="1"/>
  <c r="D4762" i="1"/>
  <c r="E4762" i="1"/>
  <c r="F4762" i="1"/>
  <c r="G4762" i="1"/>
  <c r="I4762" i="1"/>
  <c r="J4762" i="1"/>
  <c r="K4762" i="1"/>
  <c r="L4762" i="1"/>
  <c r="M4762" i="1"/>
  <c r="N4762" i="1"/>
  <c r="O4762" i="1"/>
  <c r="P4762" i="1"/>
  <c r="Q4762" i="1"/>
  <c r="R4762" i="1"/>
  <c r="S4762" i="1"/>
  <c r="T4762" i="1"/>
  <c r="U4762" i="1"/>
  <c r="V4762" i="1"/>
  <c r="W4762" i="1"/>
  <c r="X4762" i="1"/>
  <c r="Y4762" i="1"/>
  <c r="Z4762" i="1"/>
  <c r="A4763" i="1"/>
  <c r="B4763" i="1"/>
  <c r="C4763" i="1"/>
  <c r="D4763" i="1"/>
  <c r="E4763" i="1"/>
  <c r="F4763" i="1"/>
  <c r="G4763" i="1"/>
  <c r="I4763" i="1"/>
  <c r="J4763" i="1"/>
  <c r="K4763" i="1"/>
  <c r="L4763" i="1"/>
  <c r="M4763" i="1"/>
  <c r="N4763" i="1"/>
  <c r="O4763" i="1"/>
  <c r="P4763" i="1"/>
  <c r="Q4763" i="1"/>
  <c r="R4763" i="1"/>
  <c r="S4763" i="1"/>
  <c r="T4763" i="1"/>
  <c r="U4763" i="1"/>
  <c r="V4763" i="1"/>
  <c r="W4763" i="1"/>
  <c r="X4763" i="1"/>
  <c r="Y4763" i="1"/>
  <c r="Z4763" i="1"/>
  <c r="A4764" i="1"/>
  <c r="B4764" i="1"/>
  <c r="C4764" i="1"/>
  <c r="D4764" i="1"/>
  <c r="E4764" i="1"/>
  <c r="F4764" i="1"/>
  <c r="G4764" i="1"/>
  <c r="I4764" i="1"/>
  <c r="J4764" i="1"/>
  <c r="K4764" i="1"/>
  <c r="L4764" i="1"/>
  <c r="M4764" i="1"/>
  <c r="N4764" i="1"/>
  <c r="O4764" i="1"/>
  <c r="P4764" i="1"/>
  <c r="Q4764" i="1"/>
  <c r="R4764" i="1"/>
  <c r="S4764" i="1"/>
  <c r="T4764" i="1"/>
  <c r="U4764" i="1"/>
  <c r="V4764" i="1"/>
  <c r="W4764" i="1"/>
  <c r="X4764" i="1"/>
  <c r="Y4764" i="1"/>
  <c r="Z4764" i="1"/>
  <c r="A4765" i="1"/>
  <c r="B4765" i="1"/>
  <c r="C4765" i="1"/>
  <c r="D4765" i="1"/>
  <c r="E4765" i="1"/>
  <c r="F4765" i="1"/>
  <c r="G4765" i="1"/>
  <c r="I4765" i="1"/>
  <c r="J4765" i="1"/>
  <c r="K4765" i="1"/>
  <c r="L4765" i="1"/>
  <c r="M4765" i="1"/>
  <c r="N4765" i="1"/>
  <c r="O4765" i="1"/>
  <c r="P4765" i="1"/>
  <c r="Q4765" i="1"/>
  <c r="R4765" i="1"/>
  <c r="S4765" i="1"/>
  <c r="T4765" i="1"/>
  <c r="U4765" i="1"/>
  <c r="V4765" i="1"/>
  <c r="W4765" i="1"/>
  <c r="X4765" i="1"/>
  <c r="Y4765" i="1"/>
  <c r="Z4765" i="1"/>
  <c r="A4766" i="1"/>
  <c r="B4766" i="1"/>
  <c r="C4766" i="1"/>
  <c r="D4766" i="1"/>
  <c r="E4766" i="1"/>
  <c r="F4766" i="1"/>
  <c r="G4766" i="1"/>
  <c r="I4766" i="1"/>
  <c r="J4766" i="1"/>
  <c r="K4766" i="1"/>
  <c r="L4766" i="1"/>
  <c r="M4766" i="1"/>
  <c r="N4766" i="1"/>
  <c r="O4766" i="1"/>
  <c r="P4766" i="1"/>
  <c r="Q4766" i="1"/>
  <c r="R4766" i="1"/>
  <c r="S4766" i="1"/>
  <c r="T4766" i="1"/>
  <c r="U4766" i="1"/>
  <c r="V4766" i="1"/>
  <c r="W4766" i="1"/>
  <c r="X4766" i="1"/>
  <c r="Y4766" i="1"/>
  <c r="Z4766" i="1"/>
  <c r="A4767" i="1"/>
  <c r="B4767" i="1"/>
  <c r="C4767" i="1"/>
  <c r="D4767" i="1"/>
  <c r="E4767" i="1"/>
  <c r="F4767" i="1"/>
  <c r="G4767" i="1"/>
  <c r="I4767" i="1"/>
  <c r="J4767" i="1"/>
  <c r="K4767" i="1"/>
  <c r="L4767" i="1"/>
  <c r="M4767" i="1"/>
  <c r="N4767" i="1"/>
  <c r="O4767" i="1"/>
  <c r="P4767" i="1"/>
  <c r="Q4767" i="1"/>
  <c r="R4767" i="1"/>
  <c r="S4767" i="1"/>
  <c r="T4767" i="1"/>
  <c r="U4767" i="1"/>
  <c r="V4767" i="1"/>
  <c r="W4767" i="1"/>
  <c r="X4767" i="1"/>
  <c r="Y4767" i="1"/>
  <c r="Z4767" i="1"/>
  <c r="A4768" i="1"/>
  <c r="B4768" i="1"/>
  <c r="C4768" i="1"/>
  <c r="D4768" i="1"/>
  <c r="E4768" i="1"/>
  <c r="F4768" i="1"/>
  <c r="G4768" i="1"/>
  <c r="I4768" i="1"/>
  <c r="J4768" i="1"/>
  <c r="K4768" i="1"/>
  <c r="L4768" i="1"/>
  <c r="M4768" i="1"/>
  <c r="N4768" i="1"/>
  <c r="O4768" i="1"/>
  <c r="P4768" i="1"/>
  <c r="Q4768" i="1"/>
  <c r="R4768" i="1"/>
  <c r="S4768" i="1"/>
  <c r="T4768" i="1"/>
  <c r="U4768" i="1"/>
  <c r="V4768" i="1"/>
  <c r="W4768" i="1"/>
  <c r="X4768" i="1"/>
  <c r="Y4768" i="1"/>
  <c r="Z4768" i="1"/>
  <c r="A4769" i="1"/>
  <c r="B4769" i="1"/>
  <c r="C4769" i="1"/>
  <c r="D4769" i="1"/>
  <c r="E4769" i="1"/>
  <c r="F4769" i="1"/>
  <c r="G4769" i="1"/>
  <c r="I4769" i="1"/>
  <c r="J4769" i="1"/>
  <c r="K4769" i="1"/>
  <c r="L4769" i="1"/>
  <c r="M4769" i="1"/>
  <c r="N4769" i="1"/>
  <c r="O4769" i="1"/>
  <c r="P4769" i="1"/>
  <c r="Q4769" i="1"/>
  <c r="R4769" i="1"/>
  <c r="S4769" i="1"/>
  <c r="T4769" i="1"/>
  <c r="U4769" i="1"/>
  <c r="V4769" i="1"/>
  <c r="W4769" i="1"/>
  <c r="X4769" i="1"/>
  <c r="Y4769" i="1"/>
  <c r="Z4769" i="1"/>
  <c r="A4770" i="1"/>
  <c r="B4770" i="1"/>
  <c r="C4770" i="1"/>
  <c r="D4770" i="1"/>
  <c r="E4770" i="1"/>
  <c r="F4770" i="1"/>
  <c r="G4770" i="1"/>
  <c r="I4770" i="1"/>
  <c r="J4770" i="1"/>
  <c r="K4770" i="1"/>
  <c r="L4770" i="1"/>
  <c r="M4770" i="1"/>
  <c r="N4770" i="1"/>
  <c r="O4770" i="1"/>
  <c r="P4770" i="1"/>
  <c r="Q4770" i="1"/>
  <c r="R4770" i="1"/>
  <c r="S4770" i="1"/>
  <c r="T4770" i="1"/>
  <c r="U4770" i="1"/>
  <c r="V4770" i="1"/>
  <c r="W4770" i="1"/>
  <c r="X4770" i="1"/>
  <c r="Y4770" i="1"/>
  <c r="Z4770" i="1"/>
  <c r="A4771" i="1"/>
  <c r="B4771" i="1"/>
  <c r="C4771" i="1"/>
  <c r="D4771" i="1"/>
  <c r="E4771" i="1"/>
  <c r="F4771" i="1"/>
  <c r="G4771" i="1"/>
  <c r="I4771" i="1"/>
  <c r="J4771" i="1"/>
  <c r="K4771" i="1"/>
  <c r="L4771" i="1"/>
  <c r="M4771" i="1"/>
  <c r="N4771" i="1"/>
  <c r="O4771" i="1"/>
  <c r="P4771" i="1"/>
  <c r="Q4771" i="1"/>
  <c r="R4771" i="1"/>
  <c r="S4771" i="1"/>
  <c r="T4771" i="1"/>
  <c r="U4771" i="1"/>
  <c r="V4771" i="1"/>
  <c r="W4771" i="1"/>
  <c r="X4771" i="1"/>
  <c r="Y4771" i="1"/>
  <c r="Z4771" i="1"/>
  <c r="A4772" i="1"/>
  <c r="B4772" i="1"/>
  <c r="C4772" i="1"/>
  <c r="D4772" i="1"/>
  <c r="E4772" i="1"/>
  <c r="F4772" i="1"/>
  <c r="G4772" i="1"/>
  <c r="I4772" i="1"/>
  <c r="J4772" i="1"/>
  <c r="K4772" i="1"/>
  <c r="L4772" i="1"/>
  <c r="M4772" i="1"/>
  <c r="N4772" i="1"/>
  <c r="O4772" i="1"/>
  <c r="P4772" i="1"/>
  <c r="Q4772" i="1"/>
  <c r="R4772" i="1"/>
  <c r="S4772" i="1"/>
  <c r="T4772" i="1"/>
  <c r="U4772" i="1"/>
  <c r="V4772" i="1"/>
  <c r="W4772" i="1"/>
  <c r="X4772" i="1"/>
  <c r="Y4772" i="1"/>
  <c r="Z4772" i="1"/>
  <c r="A4773" i="1"/>
  <c r="B4773" i="1"/>
  <c r="C4773" i="1"/>
  <c r="D4773" i="1"/>
  <c r="E4773" i="1"/>
  <c r="F4773" i="1"/>
  <c r="G4773" i="1"/>
  <c r="I4773" i="1"/>
  <c r="J4773" i="1"/>
  <c r="K4773" i="1"/>
  <c r="L4773" i="1"/>
  <c r="M4773" i="1"/>
  <c r="N4773" i="1"/>
  <c r="O4773" i="1"/>
  <c r="P4773" i="1"/>
  <c r="Q4773" i="1"/>
  <c r="R4773" i="1"/>
  <c r="S4773" i="1"/>
  <c r="T4773" i="1"/>
  <c r="U4773" i="1"/>
  <c r="V4773" i="1"/>
  <c r="W4773" i="1"/>
  <c r="X4773" i="1"/>
  <c r="Y4773" i="1"/>
  <c r="Z4773" i="1"/>
  <c r="A4774" i="1"/>
  <c r="B4774" i="1"/>
  <c r="C4774" i="1"/>
  <c r="D4774" i="1"/>
  <c r="E4774" i="1"/>
  <c r="F4774" i="1"/>
  <c r="G4774" i="1"/>
  <c r="I4774" i="1"/>
  <c r="J4774" i="1"/>
  <c r="K4774" i="1"/>
  <c r="L4774" i="1"/>
  <c r="M4774" i="1"/>
  <c r="N4774" i="1"/>
  <c r="O4774" i="1"/>
  <c r="P4774" i="1"/>
  <c r="Q4774" i="1"/>
  <c r="R4774" i="1"/>
  <c r="S4774" i="1"/>
  <c r="T4774" i="1"/>
  <c r="U4774" i="1"/>
  <c r="V4774" i="1"/>
  <c r="W4774" i="1"/>
  <c r="X4774" i="1"/>
  <c r="Y4774" i="1"/>
  <c r="Z4774" i="1"/>
  <c r="A4775" i="1"/>
  <c r="B4775" i="1"/>
  <c r="C4775" i="1"/>
  <c r="D4775" i="1"/>
  <c r="E4775" i="1"/>
  <c r="F4775" i="1"/>
  <c r="G4775" i="1"/>
  <c r="I4775" i="1"/>
  <c r="J4775" i="1"/>
  <c r="K4775" i="1"/>
  <c r="L4775" i="1"/>
  <c r="M4775" i="1"/>
  <c r="N4775" i="1"/>
  <c r="O4775" i="1"/>
  <c r="P4775" i="1"/>
  <c r="Q4775" i="1"/>
  <c r="R4775" i="1"/>
  <c r="S4775" i="1"/>
  <c r="T4775" i="1"/>
  <c r="U4775" i="1"/>
  <c r="V4775" i="1"/>
  <c r="W4775" i="1"/>
  <c r="X4775" i="1"/>
  <c r="Y4775" i="1"/>
  <c r="Z4775" i="1"/>
  <c r="A4776" i="1"/>
  <c r="B4776" i="1"/>
  <c r="C4776" i="1"/>
  <c r="D4776" i="1"/>
  <c r="E4776" i="1"/>
  <c r="F4776" i="1"/>
  <c r="G4776" i="1"/>
  <c r="I4776" i="1"/>
  <c r="J4776" i="1"/>
  <c r="K4776" i="1"/>
  <c r="L4776" i="1"/>
  <c r="M4776" i="1"/>
  <c r="N4776" i="1"/>
  <c r="O4776" i="1"/>
  <c r="P4776" i="1"/>
  <c r="Q4776" i="1"/>
  <c r="R4776" i="1"/>
  <c r="S4776" i="1"/>
  <c r="T4776" i="1"/>
  <c r="U4776" i="1"/>
  <c r="V4776" i="1"/>
  <c r="W4776" i="1"/>
  <c r="X4776" i="1"/>
  <c r="Y4776" i="1"/>
  <c r="Z4776" i="1"/>
  <c r="A4777" i="1"/>
  <c r="B4777" i="1"/>
  <c r="C4777" i="1"/>
  <c r="D4777" i="1"/>
  <c r="E4777" i="1"/>
  <c r="F4777" i="1"/>
  <c r="G4777" i="1"/>
  <c r="I4777" i="1"/>
  <c r="J4777" i="1"/>
  <c r="K4777" i="1"/>
  <c r="L4777" i="1"/>
  <c r="M4777" i="1"/>
  <c r="N4777" i="1"/>
  <c r="O4777" i="1"/>
  <c r="P4777" i="1"/>
  <c r="Q4777" i="1"/>
  <c r="R4777" i="1"/>
  <c r="S4777" i="1"/>
  <c r="T4777" i="1"/>
  <c r="U4777" i="1"/>
  <c r="V4777" i="1"/>
  <c r="W4777" i="1"/>
  <c r="X4777" i="1"/>
  <c r="Y4777" i="1"/>
  <c r="Z4777" i="1"/>
  <c r="A4778" i="1"/>
  <c r="B4778" i="1"/>
  <c r="C4778" i="1"/>
  <c r="D4778" i="1"/>
  <c r="E4778" i="1"/>
  <c r="F4778" i="1"/>
  <c r="G4778" i="1"/>
  <c r="I4778" i="1"/>
  <c r="J4778" i="1"/>
  <c r="K4778" i="1"/>
  <c r="L4778" i="1"/>
  <c r="M4778" i="1"/>
  <c r="N4778" i="1"/>
  <c r="O4778" i="1"/>
  <c r="P4778" i="1"/>
  <c r="Q4778" i="1"/>
  <c r="R4778" i="1"/>
  <c r="S4778" i="1"/>
  <c r="T4778" i="1"/>
  <c r="U4778" i="1"/>
  <c r="V4778" i="1"/>
  <c r="W4778" i="1"/>
  <c r="X4778" i="1"/>
  <c r="Y4778" i="1"/>
  <c r="Z4778" i="1"/>
  <c r="A4779" i="1"/>
  <c r="B4779" i="1"/>
  <c r="C4779" i="1"/>
  <c r="D4779" i="1"/>
  <c r="E4779" i="1"/>
  <c r="F4779" i="1"/>
  <c r="G4779" i="1"/>
  <c r="I4779" i="1"/>
  <c r="J4779" i="1"/>
  <c r="K4779" i="1"/>
  <c r="L4779" i="1"/>
  <c r="M4779" i="1"/>
  <c r="N4779" i="1"/>
  <c r="O4779" i="1"/>
  <c r="P4779" i="1"/>
  <c r="Q4779" i="1"/>
  <c r="R4779" i="1"/>
  <c r="S4779" i="1"/>
  <c r="T4779" i="1"/>
  <c r="U4779" i="1"/>
  <c r="V4779" i="1"/>
  <c r="W4779" i="1"/>
  <c r="X4779" i="1"/>
  <c r="Y4779" i="1"/>
  <c r="Z4779" i="1"/>
  <c r="A4780" i="1"/>
  <c r="B4780" i="1"/>
  <c r="C4780" i="1"/>
  <c r="D4780" i="1"/>
  <c r="E4780" i="1"/>
  <c r="F4780" i="1"/>
  <c r="G4780" i="1"/>
  <c r="I4780" i="1"/>
  <c r="J4780" i="1"/>
  <c r="K4780" i="1"/>
  <c r="L4780" i="1"/>
  <c r="M4780" i="1"/>
  <c r="N4780" i="1"/>
  <c r="O4780" i="1"/>
  <c r="P4780" i="1"/>
  <c r="Q4780" i="1"/>
  <c r="R4780" i="1"/>
  <c r="S4780" i="1"/>
  <c r="T4780" i="1"/>
  <c r="U4780" i="1"/>
  <c r="V4780" i="1"/>
  <c r="W4780" i="1"/>
  <c r="X4780" i="1"/>
  <c r="Y4780" i="1"/>
  <c r="Z4780" i="1"/>
  <c r="A4781" i="1"/>
  <c r="B4781" i="1"/>
  <c r="C4781" i="1"/>
  <c r="D4781" i="1"/>
  <c r="E4781" i="1"/>
  <c r="F4781" i="1"/>
  <c r="G4781" i="1"/>
  <c r="I4781" i="1"/>
  <c r="J4781" i="1"/>
  <c r="K4781" i="1"/>
  <c r="L4781" i="1"/>
  <c r="M4781" i="1"/>
  <c r="N4781" i="1"/>
  <c r="O4781" i="1"/>
  <c r="P4781" i="1"/>
  <c r="Q4781" i="1"/>
  <c r="R4781" i="1"/>
  <c r="S4781" i="1"/>
  <c r="T4781" i="1"/>
  <c r="U4781" i="1"/>
  <c r="V4781" i="1"/>
  <c r="W4781" i="1"/>
  <c r="X4781" i="1"/>
  <c r="Y4781" i="1"/>
  <c r="Z4781" i="1"/>
  <c r="A4782" i="1"/>
  <c r="B4782" i="1"/>
  <c r="C4782" i="1"/>
  <c r="D4782" i="1"/>
  <c r="E4782" i="1"/>
  <c r="F4782" i="1"/>
  <c r="G4782" i="1"/>
  <c r="I4782" i="1"/>
  <c r="J4782" i="1"/>
  <c r="K4782" i="1"/>
  <c r="L4782" i="1"/>
  <c r="M4782" i="1"/>
  <c r="N4782" i="1"/>
  <c r="O4782" i="1"/>
  <c r="P4782" i="1"/>
  <c r="Q4782" i="1"/>
  <c r="R4782" i="1"/>
  <c r="S4782" i="1"/>
  <c r="T4782" i="1"/>
  <c r="U4782" i="1"/>
  <c r="V4782" i="1"/>
  <c r="W4782" i="1"/>
  <c r="X4782" i="1"/>
  <c r="Y4782" i="1"/>
  <c r="Z4782" i="1"/>
  <c r="A4783" i="1"/>
  <c r="B4783" i="1"/>
  <c r="C4783" i="1"/>
  <c r="D4783" i="1"/>
  <c r="E4783" i="1"/>
  <c r="F4783" i="1"/>
  <c r="G4783" i="1"/>
  <c r="I4783" i="1"/>
  <c r="J4783" i="1"/>
  <c r="K4783" i="1"/>
  <c r="L4783" i="1"/>
  <c r="M4783" i="1"/>
  <c r="N4783" i="1"/>
  <c r="O4783" i="1"/>
  <c r="P4783" i="1"/>
  <c r="Q4783" i="1"/>
  <c r="R4783" i="1"/>
  <c r="S4783" i="1"/>
  <c r="T4783" i="1"/>
  <c r="U4783" i="1"/>
  <c r="V4783" i="1"/>
  <c r="W4783" i="1"/>
  <c r="X4783" i="1"/>
  <c r="Y4783" i="1"/>
  <c r="Z4783" i="1"/>
  <c r="A4784" i="1"/>
  <c r="B4784" i="1"/>
  <c r="C4784" i="1"/>
  <c r="D4784" i="1"/>
  <c r="E4784" i="1"/>
  <c r="F4784" i="1"/>
  <c r="G4784" i="1"/>
  <c r="I4784" i="1"/>
  <c r="J4784" i="1"/>
  <c r="K4784" i="1"/>
  <c r="L4784" i="1"/>
  <c r="M4784" i="1"/>
  <c r="N4784" i="1"/>
  <c r="O4784" i="1"/>
  <c r="P4784" i="1"/>
  <c r="Q4784" i="1"/>
  <c r="R4784" i="1"/>
  <c r="S4784" i="1"/>
  <c r="T4784" i="1"/>
  <c r="U4784" i="1"/>
  <c r="V4784" i="1"/>
  <c r="W4784" i="1"/>
  <c r="X4784" i="1"/>
  <c r="Y4784" i="1"/>
  <c r="Z4784" i="1"/>
  <c r="A4785" i="1"/>
  <c r="B4785" i="1"/>
  <c r="C4785" i="1"/>
  <c r="D4785" i="1"/>
  <c r="E4785" i="1"/>
  <c r="F4785" i="1"/>
  <c r="G4785" i="1"/>
  <c r="I4785" i="1"/>
  <c r="J4785" i="1"/>
  <c r="K4785" i="1"/>
  <c r="L4785" i="1"/>
  <c r="M4785" i="1"/>
  <c r="N4785" i="1"/>
  <c r="O4785" i="1"/>
  <c r="P4785" i="1"/>
  <c r="Q4785" i="1"/>
  <c r="R4785" i="1"/>
  <c r="S4785" i="1"/>
  <c r="T4785" i="1"/>
  <c r="U4785" i="1"/>
  <c r="V4785" i="1"/>
  <c r="W4785" i="1"/>
  <c r="X4785" i="1"/>
  <c r="Y4785" i="1"/>
  <c r="Z4785" i="1"/>
  <c r="A4786" i="1"/>
  <c r="B4786" i="1"/>
  <c r="C4786" i="1"/>
  <c r="D4786" i="1"/>
  <c r="E4786" i="1"/>
  <c r="F4786" i="1"/>
  <c r="G4786" i="1"/>
  <c r="I4786" i="1"/>
  <c r="J4786" i="1"/>
  <c r="K4786" i="1"/>
  <c r="L4786" i="1"/>
  <c r="M4786" i="1"/>
  <c r="N4786" i="1"/>
  <c r="O4786" i="1"/>
  <c r="P4786" i="1"/>
  <c r="Q4786" i="1"/>
  <c r="R4786" i="1"/>
  <c r="S4786" i="1"/>
  <c r="T4786" i="1"/>
  <c r="U4786" i="1"/>
  <c r="V4786" i="1"/>
  <c r="W4786" i="1"/>
  <c r="X4786" i="1"/>
  <c r="Y4786" i="1"/>
  <c r="Z4786" i="1"/>
  <c r="A4787" i="1"/>
  <c r="B4787" i="1"/>
  <c r="C4787" i="1"/>
  <c r="D4787" i="1"/>
  <c r="E4787" i="1"/>
  <c r="F4787" i="1"/>
  <c r="G4787" i="1"/>
  <c r="I4787" i="1"/>
  <c r="J4787" i="1"/>
  <c r="K4787" i="1"/>
  <c r="L4787" i="1"/>
  <c r="M4787" i="1"/>
  <c r="N4787" i="1"/>
  <c r="O4787" i="1"/>
  <c r="P4787" i="1"/>
  <c r="Q4787" i="1"/>
  <c r="R4787" i="1"/>
  <c r="S4787" i="1"/>
  <c r="T4787" i="1"/>
  <c r="U4787" i="1"/>
  <c r="V4787" i="1"/>
  <c r="W4787" i="1"/>
  <c r="X4787" i="1"/>
  <c r="Y4787" i="1"/>
  <c r="Z4787" i="1"/>
  <c r="A4788" i="1"/>
  <c r="B4788" i="1"/>
  <c r="C4788" i="1"/>
  <c r="D4788" i="1"/>
  <c r="E4788" i="1"/>
  <c r="F4788" i="1"/>
  <c r="G4788" i="1"/>
  <c r="I4788" i="1"/>
  <c r="J4788" i="1"/>
  <c r="K4788" i="1"/>
  <c r="L4788" i="1"/>
  <c r="M4788" i="1"/>
  <c r="N4788" i="1"/>
  <c r="O4788" i="1"/>
  <c r="P4788" i="1"/>
  <c r="Q4788" i="1"/>
  <c r="R4788" i="1"/>
  <c r="S4788" i="1"/>
  <c r="T4788" i="1"/>
  <c r="U4788" i="1"/>
  <c r="V4788" i="1"/>
  <c r="W4788" i="1"/>
  <c r="X4788" i="1"/>
  <c r="Y4788" i="1"/>
  <c r="Z4788" i="1"/>
  <c r="A4789" i="1"/>
  <c r="B4789" i="1"/>
  <c r="C4789" i="1"/>
  <c r="D4789" i="1"/>
  <c r="E4789" i="1"/>
  <c r="F4789" i="1"/>
  <c r="G4789" i="1"/>
  <c r="I4789" i="1"/>
  <c r="J4789" i="1"/>
  <c r="K4789" i="1"/>
  <c r="L4789" i="1"/>
  <c r="M4789" i="1"/>
  <c r="N4789" i="1"/>
  <c r="O4789" i="1"/>
  <c r="P4789" i="1"/>
  <c r="Q4789" i="1"/>
  <c r="R4789" i="1"/>
  <c r="S4789" i="1"/>
  <c r="T4789" i="1"/>
  <c r="U4789" i="1"/>
  <c r="V4789" i="1"/>
  <c r="W4789" i="1"/>
  <c r="X4789" i="1"/>
  <c r="Y4789" i="1"/>
  <c r="Z4789" i="1"/>
  <c r="A4790" i="1"/>
  <c r="B4790" i="1"/>
  <c r="C4790" i="1"/>
  <c r="D4790" i="1"/>
  <c r="E4790" i="1"/>
  <c r="F4790" i="1"/>
  <c r="G4790" i="1"/>
  <c r="I4790" i="1"/>
  <c r="J4790" i="1"/>
  <c r="K4790" i="1"/>
  <c r="L4790" i="1"/>
  <c r="M4790" i="1"/>
  <c r="N4790" i="1"/>
  <c r="O4790" i="1"/>
  <c r="P4790" i="1"/>
  <c r="Q4790" i="1"/>
  <c r="R4790" i="1"/>
  <c r="S4790" i="1"/>
  <c r="T4790" i="1"/>
  <c r="U4790" i="1"/>
  <c r="V4790" i="1"/>
  <c r="W4790" i="1"/>
  <c r="X4790" i="1"/>
  <c r="Y4790" i="1"/>
  <c r="Z4790" i="1"/>
  <c r="A4791" i="1"/>
  <c r="B4791" i="1"/>
  <c r="C4791" i="1"/>
  <c r="D4791" i="1"/>
  <c r="E4791" i="1"/>
  <c r="F4791" i="1"/>
  <c r="G4791" i="1"/>
  <c r="I4791" i="1"/>
  <c r="J4791" i="1"/>
  <c r="K4791" i="1"/>
  <c r="L4791" i="1"/>
  <c r="M4791" i="1"/>
  <c r="N4791" i="1"/>
  <c r="O4791" i="1"/>
  <c r="P4791" i="1"/>
  <c r="Q4791" i="1"/>
  <c r="R4791" i="1"/>
  <c r="S4791" i="1"/>
  <c r="T4791" i="1"/>
  <c r="U4791" i="1"/>
  <c r="V4791" i="1"/>
  <c r="W4791" i="1"/>
  <c r="X4791" i="1"/>
  <c r="Y4791" i="1"/>
  <c r="Z4791" i="1"/>
  <c r="A4792" i="1"/>
  <c r="B4792" i="1"/>
  <c r="C4792" i="1"/>
  <c r="D4792" i="1"/>
  <c r="E4792" i="1"/>
  <c r="F4792" i="1"/>
  <c r="G4792" i="1"/>
  <c r="I4792" i="1"/>
  <c r="J4792" i="1"/>
  <c r="K4792" i="1"/>
  <c r="L4792" i="1"/>
  <c r="M4792" i="1"/>
  <c r="N4792" i="1"/>
  <c r="O4792" i="1"/>
  <c r="P4792" i="1"/>
  <c r="Q4792" i="1"/>
  <c r="R4792" i="1"/>
  <c r="S4792" i="1"/>
  <c r="T4792" i="1"/>
  <c r="U4792" i="1"/>
  <c r="V4792" i="1"/>
  <c r="W4792" i="1"/>
  <c r="X4792" i="1"/>
  <c r="Y4792" i="1"/>
  <c r="Z4792" i="1"/>
  <c r="A4793" i="1"/>
  <c r="B4793" i="1"/>
  <c r="C4793" i="1"/>
  <c r="D4793" i="1"/>
  <c r="E4793" i="1"/>
  <c r="F4793" i="1"/>
  <c r="G4793" i="1"/>
  <c r="I4793" i="1"/>
  <c r="J4793" i="1"/>
  <c r="K4793" i="1"/>
  <c r="L4793" i="1"/>
  <c r="M4793" i="1"/>
  <c r="N4793" i="1"/>
  <c r="O4793" i="1"/>
  <c r="P4793" i="1"/>
  <c r="Q4793" i="1"/>
  <c r="R4793" i="1"/>
  <c r="S4793" i="1"/>
  <c r="T4793" i="1"/>
  <c r="U4793" i="1"/>
  <c r="V4793" i="1"/>
  <c r="W4793" i="1"/>
  <c r="X4793" i="1"/>
  <c r="Y4793" i="1"/>
  <c r="Z4793" i="1"/>
  <c r="A4794" i="1"/>
  <c r="B4794" i="1"/>
  <c r="C4794" i="1"/>
  <c r="D4794" i="1"/>
  <c r="E4794" i="1"/>
  <c r="F4794" i="1"/>
  <c r="G4794" i="1"/>
  <c r="I4794" i="1"/>
  <c r="J4794" i="1"/>
  <c r="K4794" i="1"/>
  <c r="L4794" i="1"/>
  <c r="M4794" i="1"/>
  <c r="N4794" i="1"/>
  <c r="O4794" i="1"/>
  <c r="P4794" i="1"/>
  <c r="Q4794" i="1"/>
  <c r="R4794" i="1"/>
  <c r="S4794" i="1"/>
  <c r="T4794" i="1"/>
  <c r="U4794" i="1"/>
  <c r="V4794" i="1"/>
  <c r="W4794" i="1"/>
  <c r="X4794" i="1"/>
  <c r="Y4794" i="1"/>
  <c r="Z4794" i="1"/>
  <c r="A4795" i="1"/>
  <c r="B4795" i="1"/>
  <c r="C4795" i="1"/>
  <c r="D4795" i="1"/>
  <c r="E4795" i="1"/>
  <c r="F4795" i="1"/>
  <c r="G4795" i="1"/>
  <c r="I4795" i="1"/>
  <c r="J4795" i="1"/>
  <c r="K4795" i="1"/>
  <c r="L4795" i="1"/>
  <c r="M4795" i="1"/>
  <c r="N4795" i="1"/>
  <c r="O4795" i="1"/>
  <c r="P4795" i="1"/>
  <c r="Q4795" i="1"/>
  <c r="R4795" i="1"/>
  <c r="S4795" i="1"/>
  <c r="T4795" i="1"/>
  <c r="U4795" i="1"/>
  <c r="V4795" i="1"/>
  <c r="W4795" i="1"/>
  <c r="X4795" i="1"/>
  <c r="Y4795" i="1"/>
  <c r="Z4795" i="1"/>
  <c r="A4796" i="1"/>
  <c r="B4796" i="1"/>
  <c r="C4796" i="1"/>
  <c r="D4796" i="1"/>
  <c r="E4796" i="1"/>
  <c r="F4796" i="1"/>
  <c r="G4796" i="1"/>
  <c r="I4796" i="1"/>
  <c r="J4796" i="1"/>
  <c r="K4796" i="1"/>
  <c r="L4796" i="1"/>
  <c r="M4796" i="1"/>
  <c r="N4796" i="1"/>
  <c r="O4796" i="1"/>
  <c r="P4796" i="1"/>
  <c r="Q4796" i="1"/>
  <c r="R4796" i="1"/>
  <c r="S4796" i="1"/>
  <c r="T4796" i="1"/>
  <c r="U4796" i="1"/>
  <c r="V4796" i="1"/>
  <c r="W4796" i="1"/>
  <c r="X4796" i="1"/>
  <c r="Y4796" i="1"/>
  <c r="Z4796" i="1"/>
  <c r="A4797" i="1"/>
  <c r="B4797" i="1"/>
  <c r="C4797" i="1"/>
  <c r="D4797" i="1"/>
  <c r="E4797" i="1"/>
  <c r="F4797" i="1"/>
  <c r="G4797" i="1"/>
  <c r="I4797" i="1"/>
  <c r="J4797" i="1"/>
  <c r="K4797" i="1"/>
  <c r="L4797" i="1"/>
  <c r="M4797" i="1"/>
  <c r="N4797" i="1"/>
  <c r="O4797" i="1"/>
  <c r="P4797" i="1"/>
  <c r="Q4797" i="1"/>
  <c r="R4797" i="1"/>
  <c r="S4797" i="1"/>
  <c r="T4797" i="1"/>
  <c r="U4797" i="1"/>
  <c r="V4797" i="1"/>
  <c r="W4797" i="1"/>
  <c r="X4797" i="1"/>
  <c r="Y4797" i="1"/>
  <c r="Z4797" i="1"/>
  <c r="A4798" i="1"/>
  <c r="B4798" i="1"/>
  <c r="C4798" i="1"/>
  <c r="D4798" i="1"/>
  <c r="E4798" i="1"/>
  <c r="F4798" i="1"/>
  <c r="G4798" i="1"/>
  <c r="I4798" i="1"/>
  <c r="J4798" i="1"/>
  <c r="K4798" i="1"/>
  <c r="L4798" i="1"/>
  <c r="M4798" i="1"/>
  <c r="N4798" i="1"/>
  <c r="O4798" i="1"/>
  <c r="P4798" i="1"/>
  <c r="Q4798" i="1"/>
  <c r="R4798" i="1"/>
  <c r="S4798" i="1"/>
  <c r="T4798" i="1"/>
  <c r="U4798" i="1"/>
  <c r="V4798" i="1"/>
  <c r="W4798" i="1"/>
  <c r="X4798" i="1"/>
  <c r="Y4798" i="1"/>
  <c r="Z4798" i="1"/>
  <c r="A4799" i="1"/>
  <c r="B4799" i="1"/>
  <c r="C4799" i="1"/>
  <c r="D4799" i="1"/>
  <c r="E4799" i="1"/>
  <c r="F4799" i="1"/>
  <c r="G4799" i="1"/>
  <c r="I4799" i="1"/>
  <c r="J4799" i="1"/>
  <c r="K4799" i="1"/>
  <c r="L4799" i="1"/>
  <c r="M4799" i="1"/>
  <c r="N4799" i="1"/>
  <c r="O4799" i="1"/>
  <c r="P4799" i="1"/>
  <c r="Q4799" i="1"/>
  <c r="R4799" i="1"/>
  <c r="S4799" i="1"/>
  <c r="T4799" i="1"/>
  <c r="U4799" i="1"/>
  <c r="V4799" i="1"/>
  <c r="W4799" i="1"/>
  <c r="X4799" i="1"/>
  <c r="Y4799" i="1"/>
  <c r="Z4799" i="1"/>
  <c r="A4800" i="1"/>
  <c r="B4800" i="1"/>
  <c r="C4800" i="1"/>
  <c r="D4800" i="1"/>
  <c r="E4800" i="1"/>
  <c r="F4800" i="1"/>
  <c r="G4800" i="1"/>
  <c r="I4800" i="1"/>
  <c r="J4800" i="1"/>
  <c r="K4800" i="1"/>
  <c r="L4800" i="1"/>
  <c r="M4800" i="1"/>
  <c r="N4800" i="1"/>
  <c r="O4800" i="1"/>
  <c r="P4800" i="1"/>
  <c r="Q4800" i="1"/>
  <c r="R4800" i="1"/>
  <c r="S4800" i="1"/>
  <c r="T4800" i="1"/>
  <c r="U4800" i="1"/>
  <c r="V4800" i="1"/>
  <c r="W4800" i="1"/>
  <c r="X4800" i="1"/>
  <c r="Y4800" i="1"/>
  <c r="Z4800" i="1"/>
  <c r="A4801" i="1"/>
  <c r="B4801" i="1"/>
  <c r="C4801" i="1"/>
  <c r="D4801" i="1"/>
  <c r="E4801" i="1"/>
  <c r="F4801" i="1"/>
  <c r="G4801" i="1"/>
  <c r="I4801" i="1"/>
  <c r="J4801" i="1"/>
  <c r="K4801" i="1"/>
  <c r="L4801" i="1"/>
  <c r="M4801" i="1"/>
  <c r="N4801" i="1"/>
  <c r="O4801" i="1"/>
  <c r="P4801" i="1"/>
  <c r="Q4801" i="1"/>
  <c r="R4801" i="1"/>
  <c r="S4801" i="1"/>
  <c r="T4801" i="1"/>
  <c r="U4801" i="1"/>
  <c r="V4801" i="1"/>
  <c r="W4801" i="1"/>
  <c r="X4801" i="1"/>
  <c r="Y4801" i="1"/>
  <c r="Z4801" i="1"/>
  <c r="A4802" i="1"/>
  <c r="B4802" i="1"/>
  <c r="C4802" i="1"/>
  <c r="D4802" i="1"/>
  <c r="E4802" i="1"/>
  <c r="F4802" i="1"/>
  <c r="G4802" i="1"/>
  <c r="I4802" i="1"/>
  <c r="J4802" i="1"/>
  <c r="K4802" i="1"/>
  <c r="L4802" i="1"/>
  <c r="M4802" i="1"/>
  <c r="N4802" i="1"/>
  <c r="O4802" i="1"/>
  <c r="P4802" i="1"/>
  <c r="Q4802" i="1"/>
  <c r="R4802" i="1"/>
  <c r="S4802" i="1"/>
  <c r="T4802" i="1"/>
  <c r="U4802" i="1"/>
  <c r="V4802" i="1"/>
  <c r="W4802" i="1"/>
  <c r="X4802" i="1"/>
  <c r="Y4802" i="1"/>
  <c r="Z4802" i="1"/>
  <c r="A4803" i="1"/>
  <c r="B4803" i="1"/>
  <c r="C4803" i="1"/>
  <c r="D4803" i="1"/>
  <c r="E4803" i="1"/>
  <c r="F4803" i="1"/>
  <c r="G4803" i="1"/>
  <c r="I4803" i="1"/>
  <c r="J4803" i="1"/>
  <c r="K4803" i="1"/>
  <c r="L4803" i="1"/>
  <c r="M4803" i="1"/>
  <c r="N4803" i="1"/>
  <c r="O4803" i="1"/>
  <c r="P4803" i="1"/>
  <c r="Q4803" i="1"/>
  <c r="R4803" i="1"/>
  <c r="S4803" i="1"/>
  <c r="T4803" i="1"/>
  <c r="U4803" i="1"/>
  <c r="V4803" i="1"/>
  <c r="W4803" i="1"/>
  <c r="X4803" i="1"/>
  <c r="Y4803" i="1"/>
  <c r="Z4803" i="1"/>
  <c r="A4804" i="1"/>
  <c r="B4804" i="1"/>
  <c r="C4804" i="1"/>
  <c r="D4804" i="1"/>
  <c r="E4804" i="1"/>
  <c r="F4804" i="1"/>
  <c r="G4804" i="1"/>
  <c r="I4804" i="1"/>
  <c r="J4804" i="1"/>
  <c r="K4804" i="1"/>
  <c r="L4804" i="1"/>
  <c r="M4804" i="1"/>
  <c r="N4804" i="1"/>
  <c r="O4804" i="1"/>
  <c r="P4804" i="1"/>
  <c r="Q4804" i="1"/>
  <c r="R4804" i="1"/>
  <c r="S4804" i="1"/>
  <c r="T4804" i="1"/>
  <c r="U4804" i="1"/>
  <c r="V4804" i="1"/>
  <c r="W4804" i="1"/>
  <c r="X4804" i="1"/>
  <c r="Y4804" i="1"/>
  <c r="Z4804" i="1"/>
  <c r="A4805" i="1"/>
  <c r="B4805" i="1"/>
  <c r="C4805" i="1"/>
  <c r="D4805" i="1"/>
  <c r="E4805" i="1"/>
  <c r="F4805" i="1"/>
  <c r="G4805" i="1"/>
  <c r="I4805" i="1"/>
  <c r="J4805" i="1"/>
  <c r="K4805" i="1"/>
  <c r="L4805" i="1"/>
  <c r="M4805" i="1"/>
  <c r="N4805" i="1"/>
  <c r="O4805" i="1"/>
  <c r="P4805" i="1"/>
  <c r="Q4805" i="1"/>
  <c r="R4805" i="1"/>
  <c r="S4805" i="1"/>
  <c r="T4805" i="1"/>
  <c r="U4805" i="1"/>
  <c r="V4805" i="1"/>
  <c r="W4805" i="1"/>
  <c r="X4805" i="1"/>
  <c r="Y4805" i="1"/>
  <c r="Z4805" i="1"/>
  <c r="A4806" i="1"/>
  <c r="B4806" i="1"/>
  <c r="C4806" i="1"/>
  <c r="D4806" i="1"/>
  <c r="E4806" i="1"/>
  <c r="F4806" i="1"/>
  <c r="G4806" i="1"/>
  <c r="I4806" i="1"/>
  <c r="J4806" i="1"/>
  <c r="K4806" i="1"/>
  <c r="L4806" i="1"/>
  <c r="M4806" i="1"/>
  <c r="N4806" i="1"/>
  <c r="O4806" i="1"/>
  <c r="P4806" i="1"/>
  <c r="Q4806" i="1"/>
  <c r="R4806" i="1"/>
  <c r="S4806" i="1"/>
  <c r="T4806" i="1"/>
  <c r="U4806" i="1"/>
  <c r="V4806" i="1"/>
  <c r="W4806" i="1"/>
  <c r="X4806" i="1"/>
  <c r="Y4806" i="1"/>
  <c r="Z4806" i="1"/>
  <c r="A4807" i="1"/>
  <c r="B4807" i="1"/>
  <c r="C4807" i="1"/>
  <c r="D4807" i="1"/>
  <c r="E4807" i="1"/>
  <c r="F4807" i="1"/>
  <c r="G4807" i="1"/>
  <c r="I4807" i="1"/>
  <c r="J4807" i="1"/>
  <c r="K4807" i="1"/>
  <c r="L4807" i="1"/>
  <c r="M4807" i="1"/>
  <c r="N4807" i="1"/>
  <c r="O4807" i="1"/>
  <c r="P4807" i="1"/>
  <c r="Q4807" i="1"/>
  <c r="R4807" i="1"/>
  <c r="S4807" i="1"/>
  <c r="T4807" i="1"/>
  <c r="U4807" i="1"/>
  <c r="V4807" i="1"/>
  <c r="W4807" i="1"/>
  <c r="X4807" i="1"/>
  <c r="Y4807" i="1"/>
  <c r="Z4807" i="1"/>
  <c r="A4808" i="1"/>
  <c r="B4808" i="1"/>
  <c r="C4808" i="1"/>
  <c r="D4808" i="1"/>
  <c r="E4808" i="1"/>
  <c r="F4808" i="1"/>
  <c r="G4808" i="1"/>
  <c r="I4808" i="1"/>
  <c r="J4808" i="1"/>
  <c r="K4808" i="1"/>
  <c r="L4808" i="1"/>
  <c r="M4808" i="1"/>
  <c r="N4808" i="1"/>
  <c r="O4808" i="1"/>
  <c r="P4808" i="1"/>
  <c r="Q4808" i="1"/>
  <c r="R4808" i="1"/>
  <c r="S4808" i="1"/>
  <c r="T4808" i="1"/>
  <c r="U4808" i="1"/>
  <c r="V4808" i="1"/>
  <c r="W4808" i="1"/>
  <c r="X4808" i="1"/>
  <c r="Y4808" i="1"/>
  <c r="Z4808" i="1"/>
  <c r="A4809" i="1"/>
  <c r="B4809" i="1"/>
  <c r="C4809" i="1"/>
  <c r="D4809" i="1"/>
  <c r="E4809" i="1"/>
  <c r="F4809" i="1"/>
  <c r="G4809" i="1"/>
  <c r="I4809" i="1"/>
  <c r="J4809" i="1"/>
  <c r="K4809" i="1"/>
  <c r="L4809" i="1"/>
  <c r="M4809" i="1"/>
  <c r="N4809" i="1"/>
  <c r="O4809" i="1"/>
  <c r="P4809" i="1"/>
  <c r="Q4809" i="1"/>
  <c r="R4809" i="1"/>
  <c r="S4809" i="1"/>
  <c r="T4809" i="1"/>
  <c r="U4809" i="1"/>
  <c r="V4809" i="1"/>
  <c r="W4809" i="1"/>
  <c r="X4809" i="1"/>
  <c r="Y4809" i="1"/>
  <c r="Z4809" i="1"/>
  <c r="A4810" i="1"/>
  <c r="B4810" i="1"/>
  <c r="C4810" i="1"/>
  <c r="D4810" i="1"/>
  <c r="E4810" i="1"/>
  <c r="F4810" i="1"/>
  <c r="G4810" i="1"/>
  <c r="I4810" i="1"/>
  <c r="J4810" i="1"/>
  <c r="K4810" i="1"/>
  <c r="L4810" i="1"/>
  <c r="M4810" i="1"/>
  <c r="N4810" i="1"/>
  <c r="O4810" i="1"/>
  <c r="P4810" i="1"/>
  <c r="Q4810" i="1"/>
  <c r="R4810" i="1"/>
  <c r="S4810" i="1"/>
  <c r="T4810" i="1"/>
  <c r="U4810" i="1"/>
  <c r="V4810" i="1"/>
  <c r="W4810" i="1"/>
  <c r="X4810" i="1"/>
  <c r="Y4810" i="1"/>
  <c r="Z4810" i="1"/>
  <c r="A4811" i="1"/>
  <c r="B4811" i="1"/>
  <c r="C4811" i="1"/>
  <c r="D4811" i="1"/>
  <c r="E4811" i="1"/>
  <c r="F4811" i="1"/>
  <c r="G4811" i="1"/>
  <c r="I4811" i="1"/>
  <c r="J4811" i="1"/>
  <c r="K4811" i="1"/>
  <c r="L4811" i="1"/>
  <c r="M4811" i="1"/>
  <c r="N4811" i="1"/>
  <c r="O4811" i="1"/>
  <c r="P4811" i="1"/>
  <c r="Q4811" i="1"/>
  <c r="R4811" i="1"/>
  <c r="S4811" i="1"/>
  <c r="T4811" i="1"/>
  <c r="U4811" i="1"/>
  <c r="V4811" i="1"/>
  <c r="W4811" i="1"/>
  <c r="X4811" i="1"/>
  <c r="Y4811" i="1"/>
  <c r="Z4811" i="1"/>
  <c r="A4812" i="1"/>
  <c r="B4812" i="1"/>
  <c r="C4812" i="1"/>
  <c r="D4812" i="1"/>
  <c r="E4812" i="1"/>
  <c r="F4812" i="1"/>
  <c r="G4812" i="1"/>
  <c r="I4812" i="1"/>
  <c r="J4812" i="1"/>
  <c r="K4812" i="1"/>
  <c r="L4812" i="1"/>
  <c r="M4812" i="1"/>
  <c r="N4812" i="1"/>
  <c r="O4812" i="1"/>
  <c r="P4812" i="1"/>
  <c r="Q4812" i="1"/>
  <c r="R4812" i="1"/>
  <c r="S4812" i="1"/>
  <c r="T4812" i="1"/>
  <c r="U4812" i="1"/>
  <c r="V4812" i="1"/>
  <c r="W4812" i="1"/>
  <c r="X4812" i="1"/>
  <c r="Y4812" i="1"/>
  <c r="Z4812" i="1"/>
  <c r="A4813" i="1"/>
  <c r="B4813" i="1"/>
  <c r="C4813" i="1"/>
  <c r="D4813" i="1"/>
  <c r="E4813" i="1"/>
  <c r="F4813" i="1"/>
  <c r="G4813" i="1"/>
  <c r="I4813" i="1"/>
  <c r="J4813" i="1"/>
  <c r="K4813" i="1"/>
  <c r="L4813" i="1"/>
  <c r="M4813" i="1"/>
  <c r="N4813" i="1"/>
  <c r="O4813" i="1"/>
  <c r="P4813" i="1"/>
  <c r="Q4813" i="1"/>
  <c r="R4813" i="1"/>
  <c r="S4813" i="1"/>
  <c r="T4813" i="1"/>
  <c r="U4813" i="1"/>
  <c r="V4813" i="1"/>
  <c r="W4813" i="1"/>
  <c r="X4813" i="1"/>
  <c r="Y4813" i="1"/>
  <c r="Z4813" i="1"/>
  <c r="A4814" i="1"/>
  <c r="B4814" i="1"/>
  <c r="C4814" i="1"/>
  <c r="D4814" i="1"/>
  <c r="E4814" i="1"/>
  <c r="F4814" i="1"/>
  <c r="G4814" i="1"/>
  <c r="I4814" i="1"/>
  <c r="J4814" i="1"/>
  <c r="K4814" i="1"/>
  <c r="L4814" i="1"/>
  <c r="M4814" i="1"/>
  <c r="N4814" i="1"/>
  <c r="O4814" i="1"/>
  <c r="P4814" i="1"/>
  <c r="Q4814" i="1"/>
  <c r="R4814" i="1"/>
  <c r="S4814" i="1"/>
  <c r="T4814" i="1"/>
  <c r="U4814" i="1"/>
  <c r="V4814" i="1"/>
  <c r="W4814" i="1"/>
  <c r="X4814" i="1"/>
  <c r="Y4814" i="1"/>
  <c r="Z4814" i="1"/>
  <c r="A4815" i="1"/>
  <c r="B4815" i="1"/>
  <c r="C4815" i="1"/>
  <c r="D4815" i="1"/>
  <c r="E4815" i="1"/>
  <c r="F4815" i="1"/>
  <c r="G4815" i="1"/>
  <c r="I4815" i="1"/>
  <c r="J4815" i="1"/>
  <c r="K4815" i="1"/>
  <c r="L4815" i="1"/>
  <c r="M4815" i="1"/>
  <c r="N4815" i="1"/>
  <c r="O4815" i="1"/>
  <c r="P4815" i="1"/>
  <c r="Q4815" i="1"/>
  <c r="R4815" i="1"/>
  <c r="S4815" i="1"/>
  <c r="T4815" i="1"/>
  <c r="U4815" i="1"/>
  <c r="V4815" i="1"/>
  <c r="W4815" i="1"/>
  <c r="X4815" i="1"/>
  <c r="Y4815" i="1"/>
  <c r="Z4815" i="1"/>
  <c r="A4816" i="1"/>
  <c r="B4816" i="1"/>
  <c r="C4816" i="1"/>
  <c r="D4816" i="1"/>
  <c r="E4816" i="1"/>
  <c r="F4816" i="1"/>
  <c r="G4816" i="1"/>
  <c r="I4816" i="1"/>
  <c r="J4816" i="1"/>
  <c r="K4816" i="1"/>
  <c r="L4816" i="1"/>
  <c r="M4816" i="1"/>
  <c r="N4816" i="1"/>
  <c r="O4816" i="1"/>
  <c r="P4816" i="1"/>
  <c r="Q4816" i="1"/>
  <c r="R4816" i="1"/>
  <c r="S4816" i="1"/>
  <c r="T4816" i="1"/>
  <c r="U4816" i="1"/>
  <c r="V4816" i="1"/>
  <c r="W4816" i="1"/>
  <c r="X4816" i="1"/>
  <c r="Y4816" i="1"/>
  <c r="Z4816" i="1"/>
  <c r="A4817" i="1"/>
  <c r="B4817" i="1"/>
  <c r="C4817" i="1"/>
  <c r="D4817" i="1"/>
  <c r="E4817" i="1"/>
  <c r="F4817" i="1"/>
  <c r="G4817" i="1"/>
  <c r="I4817" i="1"/>
  <c r="J4817" i="1"/>
  <c r="K4817" i="1"/>
  <c r="L4817" i="1"/>
  <c r="M4817" i="1"/>
  <c r="N4817" i="1"/>
  <c r="O4817" i="1"/>
  <c r="P4817" i="1"/>
  <c r="Q4817" i="1"/>
  <c r="R4817" i="1"/>
  <c r="S4817" i="1"/>
  <c r="T4817" i="1"/>
  <c r="U4817" i="1"/>
  <c r="V4817" i="1"/>
  <c r="W4817" i="1"/>
  <c r="X4817" i="1"/>
  <c r="Y4817" i="1"/>
  <c r="Z4817" i="1"/>
  <c r="A4818" i="1"/>
  <c r="B4818" i="1"/>
  <c r="C4818" i="1"/>
  <c r="D4818" i="1"/>
  <c r="E4818" i="1"/>
  <c r="F4818" i="1"/>
  <c r="G4818" i="1"/>
  <c r="I4818" i="1"/>
  <c r="J4818" i="1"/>
  <c r="K4818" i="1"/>
  <c r="L4818" i="1"/>
  <c r="M4818" i="1"/>
  <c r="N4818" i="1"/>
  <c r="O4818" i="1"/>
  <c r="P4818" i="1"/>
  <c r="Q4818" i="1"/>
  <c r="R4818" i="1"/>
  <c r="S4818" i="1"/>
  <c r="T4818" i="1"/>
  <c r="U4818" i="1"/>
  <c r="V4818" i="1"/>
  <c r="W4818" i="1"/>
  <c r="X4818" i="1"/>
  <c r="Y4818" i="1"/>
  <c r="Z4818" i="1"/>
  <c r="A4819" i="1"/>
  <c r="B4819" i="1"/>
  <c r="C4819" i="1"/>
  <c r="D4819" i="1"/>
  <c r="E4819" i="1"/>
  <c r="F4819" i="1"/>
  <c r="G4819" i="1"/>
  <c r="I4819" i="1"/>
  <c r="J4819" i="1"/>
  <c r="K4819" i="1"/>
  <c r="L4819" i="1"/>
  <c r="M4819" i="1"/>
  <c r="N4819" i="1"/>
  <c r="O4819" i="1"/>
  <c r="P4819" i="1"/>
  <c r="Q4819" i="1"/>
  <c r="R4819" i="1"/>
  <c r="S4819" i="1"/>
  <c r="T4819" i="1"/>
  <c r="U4819" i="1"/>
  <c r="V4819" i="1"/>
  <c r="W4819" i="1"/>
  <c r="X4819" i="1"/>
  <c r="Y4819" i="1"/>
  <c r="Z4819" i="1"/>
  <c r="A4820" i="1"/>
  <c r="B4820" i="1"/>
  <c r="C4820" i="1"/>
  <c r="D4820" i="1"/>
  <c r="E4820" i="1"/>
  <c r="F4820" i="1"/>
  <c r="G4820" i="1"/>
  <c r="I4820" i="1"/>
  <c r="J4820" i="1"/>
  <c r="K4820" i="1"/>
  <c r="L4820" i="1"/>
  <c r="M4820" i="1"/>
  <c r="N4820" i="1"/>
  <c r="O4820" i="1"/>
  <c r="P4820" i="1"/>
  <c r="Q4820" i="1"/>
  <c r="R4820" i="1"/>
  <c r="S4820" i="1"/>
  <c r="T4820" i="1"/>
  <c r="U4820" i="1"/>
  <c r="V4820" i="1"/>
  <c r="W4820" i="1"/>
  <c r="X4820" i="1"/>
  <c r="Y4820" i="1"/>
  <c r="Z4820" i="1"/>
  <c r="A4821" i="1"/>
  <c r="B4821" i="1"/>
  <c r="C4821" i="1"/>
  <c r="D4821" i="1"/>
  <c r="E4821" i="1"/>
  <c r="F4821" i="1"/>
  <c r="G4821" i="1"/>
  <c r="I4821" i="1"/>
  <c r="J4821" i="1"/>
  <c r="K4821" i="1"/>
  <c r="L4821" i="1"/>
  <c r="M4821" i="1"/>
  <c r="N4821" i="1"/>
  <c r="O4821" i="1"/>
  <c r="P4821" i="1"/>
  <c r="Q4821" i="1"/>
  <c r="R4821" i="1"/>
  <c r="S4821" i="1"/>
  <c r="T4821" i="1"/>
  <c r="U4821" i="1"/>
  <c r="V4821" i="1"/>
  <c r="W4821" i="1"/>
  <c r="X4821" i="1"/>
  <c r="Y4821" i="1"/>
  <c r="Z4821" i="1"/>
  <c r="A4822" i="1"/>
  <c r="B4822" i="1"/>
  <c r="C4822" i="1"/>
  <c r="D4822" i="1"/>
  <c r="E4822" i="1"/>
  <c r="F4822" i="1"/>
  <c r="G4822" i="1"/>
  <c r="I4822" i="1"/>
  <c r="J4822" i="1"/>
  <c r="K4822" i="1"/>
  <c r="L4822" i="1"/>
  <c r="M4822" i="1"/>
  <c r="N4822" i="1"/>
  <c r="O4822" i="1"/>
  <c r="P4822" i="1"/>
  <c r="Q4822" i="1"/>
  <c r="R4822" i="1"/>
  <c r="S4822" i="1"/>
  <c r="T4822" i="1"/>
  <c r="U4822" i="1"/>
  <c r="V4822" i="1"/>
  <c r="W4822" i="1"/>
  <c r="X4822" i="1"/>
  <c r="Y4822" i="1"/>
  <c r="Z4822" i="1"/>
  <c r="A4823" i="1"/>
  <c r="B4823" i="1"/>
  <c r="C4823" i="1"/>
  <c r="D4823" i="1"/>
  <c r="E4823" i="1"/>
  <c r="F4823" i="1"/>
  <c r="G4823" i="1"/>
  <c r="I4823" i="1"/>
  <c r="J4823" i="1"/>
  <c r="K4823" i="1"/>
  <c r="L4823" i="1"/>
  <c r="M4823" i="1"/>
  <c r="N4823" i="1"/>
  <c r="O4823" i="1"/>
  <c r="P4823" i="1"/>
  <c r="Q4823" i="1"/>
  <c r="R4823" i="1"/>
  <c r="S4823" i="1"/>
  <c r="T4823" i="1"/>
  <c r="U4823" i="1"/>
  <c r="V4823" i="1"/>
  <c r="W4823" i="1"/>
  <c r="X4823" i="1"/>
  <c r="Y4823" i="1"/>
  <c r="Z4823" i="1"/>
  <c r="A4824" i="1"/>
  <c r="B4824" i="1"/>
  <c r="C4824" i="1"/>
  <c r="D4824" i="1"/>
  <c r="E4824" i="1"/>
  <c r="F4824" i="1"/>
  <c r="G4824" i="1"/>
  <c r="I4824" i="1"/>
  <c r="J4824" i="1"/>
  <c r="K4824" i="1"/>
  <c r="L4824" i="1"/>
  <c r="M4824" i="1"/>
  <c r="N4824" i="1"/>
  <c r="O4824" i="1"/>
  <c r="P4824" i="1"/>
  <c r="Q4824" i="1"/>
  <c r="R4824" i="1"/>
  <c r="S4824" i="1"/>
  <c r="T4824" i="1"/>
  <c r="U4824" i="1"/>
  <c r="V4824" i="1"/>
  <c r="W4824" i="1"/>
  <c r="X4824" i="1"/>
  <c r="Y4824" i="1"/>
  <c r="Z4824" i="1"/>
  <c r="A4825" i="1"/>
  <c r="B4825" i="1"/>
  <c r="C4825" i="1"/>
  <c r="D4825" i="1"/>
  <c r="E4825" i="1"/>
  <c r="F4825" i="1"/>
  <c r="G4825" i="1"/>
  <c r="I4825" i="1"/>
  <c r="J4825" i="1"/>
  <c r="K4825" i="1"/>
  <c r="L4825" i="1"/>
  <c r="M4825" i="1"/>
  <c r="N4825" i="1"/>
  <c r="O4825" i="1"/>
  <c r="P4825" i="1"/>
  <c r="Q4825" i="1"/>
  <c r="R4825" i="1"/>
  <c r="S4825" i="1"/>
  <c r="T4825" i="1"/>
  <c r="U4825" i="1"/>
  <c r="V4825" i="1"/>
  <c r="W4825" i="1"/>
  <c r="X4825" i="1"/>
  <c r="Y4825" i="1"/>
  <c r="Z4825" i="1"/>
  <c r="A4826" i="1"/>
  <c r="B4826" i="1"/>
  <c r="C4826" i="1"/>
  <c r="D4826" i="1"/>
  <c r="E4826" i="1"/>
  <c r="F4826" i="1"/>
  <c r="G4826" i="1"/>
  <c r="I4826" i="1"/>
  <c r="J4826" i="1"/>
  <c r="K4826" i="1"/>
  <c r="L4826" i="1"/>
  <c r="M4826" i="1"/>
  <c r="N4826" i="1"/>
  <c r="O4826" i="1"/>
  <c r="P4826" i="1"/>
  <c r="Q4826" i="1"/>
  <c r="R4826" i="1"/>
  <c r="S4826" i="1"/>
  <c r="T4826" i="1"/>
  <c r="U4826" i="1"/>
  <c r="V4826" i="1"/>
  <c r="W4826" i="1"/>
  <c r="X4826" i="1"/>
  <c r="Y4826" i="1"/>
  <c r="Z4826" i="1"/>
  <c r="A4827" i="1"/>
  <c r="B4827" i="1"/>
  <c r="C4827" i="1"/>
  <c r="D4827" i="1"/>
  <c r="E4827" i="1"/>
  <c r="F4827" i="1"/>
  <c r="G4827" i="1"/>
  <c r="I4827" i="1"/>
  <c r="J4827" i="1"/>
  <c r="K4827" i="1"/>
  <c r="L4827" i="1"/>
  <c r="M4827" i="1"/>
  <c r="N4827" i="1"/>
  <c r="O4827" i="1"/>
  <c r="P4827" i="1"/>
  <c r="Q4827" i="1"/>
  <c r="R4827" i="1"/>
  <c r="S4827" i="1"/>
  <c r="T4827" i="1"/>
  <c r="U4827" i="1"/>
  <c r="V4827" i="1"/>
  <c r="W4827" i="1"/>
  <c r="X4827" i="1"/>
  <c r="Y4827" i="1"/>
  <c r="Z4827" i="1"/>
  <c r="A4828" i="1"/>
  <c r="B4828" i="1"/>
  <c r="C4828" i="1"/>
  <c r="D4828" i="1"/>
  <c r="E4828" i="1"/>
  <c r="F4828" i="1"/>
  <c r="G4828" i="1"/>
  <c r="I4828" i="1"/>
  <c r="J4828" i="1"/>
  <c r="K4828" i="1"/>
  <c r="L4828" i="1"/>
  <c r="M4828" i="1"/>
  <c r="N4828" i="1"/>
  <c r="O4828" i="1"/>
  <c r="P4828" i="1"/>
  <c r="Q4828" i="1"/>
  <c r="R4828" i="1"/>
  <c r="S4828" i="1"/>
  <c r="T4828" i="1"/>
  <c r="U4828" i="1"/>
  <c r="V4828" i="1"/>
  <c r="W4828" i="1"/>
  <c r="X4828" i="1"/>
  <c r="Y4828" i="1"/>
  <c r="Z4828" i="1"/>
  <c r="A4829" i="1"/>
  <c r="B4829" i="1"/>
  <c r="C4829" i="1"/>
  <c r="D4829" i="1"/>
  <c r="E4829" i="1"/>
  <c r="F4829" i="1"/>
  <c r="G4829" i="1"/>
  <c r="I4829" i="1"/>
  <c r="J4829" i="1"/>
  <c r="K4829" i="1"/>
  <c r="L4829" i="1"/>
  <c r="M4829" i="1"/>
  <c r="N4829" i="1"/>
  <c r="O4829" i="1"/>
  <c r="P4829" i="1"/>
  <c r="Q4829" i="1"/>
  <c r="R4829" i="1"/>
  <c r="S4829" i="1"/>
  <c r="T4829" i="1"/>
  <c r="U4829" i="1"/>
  <c r="V4829" i="1"/>
  <c r="W4829" i="1"/>
  <c r="X4829" i="1"/>
  <c r="Y4829" i="1"/>
  <c r="Z4829" i="1"/>
  <c r="A4830" i="1"/>
  <c r="B4830" i="1"/>
  <c r="C4830" i="1"/>
  <c r="D4830" i="1"/>
  <c r="E4830" i="1"/>
  <c r="F4830" i="1"/>
  <c r="G4830" i="1"/>
  <c r="I4830" i="1"/>
  <c r="J4830" i="1"/>
  <c r="K4830" i="1"/>
  <c r="L4830" i="1"/>
  <c r="M4830" i="1"/>
  <c r="N4830" i="1"/>
  <c r="O4830" i="1"/>
  <c r="P4830" i="1"/>
  <c r="Q4830" i="1"/>
  <c r="R4830" i="1"/>
  <c r="S4830" i="1"/>
  <c r="T4830" i="1"/>
  <c r="U4830" i="1"/>
  <c r="V4830" i="1"/>
  <c r="W4830" i="1"/>
  <c r="X4830" i="1"/>
  <c r="Y4830" i="1"/>
  <c r="Z4830" i="1"/>
  <c r="A4831" i="1"/>
  <c r="B4831" i="1"/>
  <c r="C4831" i="1"/>
  <c r="D4831" i="1"/>
  <c r="E4831" i="1"/>
  <c r="F4831" i="1"/>
  <c r="G4831" i="1"/>
  <c r="I4831" i="1"/>
  <c r="J4831" i="1"/>
  <c r="K4831" i="1"/>
  <c r="L4831" i="1"/>
  <c r="M4831" i="1"/>
  <c r="N4831" i="1"/>
  <c r="O4831" i="1"/>
  <c r="P4831" i="1"/>
  <c r="Q4831" i="1"/>
  <c r="R4831" i="1"/>
  <c r="S4831" i="1"/>
  <c r="T4831" i="1"/>
  <c r="U4831" i="1"/>
  <c r="V4831" i="1"/>
  <c r="W4831" i="1"/>
  <c r="X4831" i="1"/>
  <c r="Y4831" i="1"/>
  <c r="Z4831" i="1"/>
  <c r="A4832" i="1"/>
  <c r="B4832" i="1"/>
  <c r="C4832" i="1"/>
  <c r="D4832" i="1"/>
  <c r="E4832" i="1"/>
  <c r="F4832" i="1"/>
  <c r="G4832" i="1"/>
  <c r="I4832" i="1"/>
  <c r="J4832" i="1"/>
  <c r="K4832" i="1"/>
  <c r="L4832" i="1"/>
  <c r="M4832" i="1"/>
  <c r="N4832" i="1"/>
  <c r="O4832" i="1"/>
  <c r="P4832" i="1"/>
  <c r="Q4832" i="1"/>
  <c r="R4832" i="1"/>
  <c r="S4832" i="1"/>
  <c r="T4832" i="1"/>
  <c r="U4832" i="1"/>
  <c r="V4832" i="1"/>
  <c r="W4832" i="1"/>
  <c r="X4832" i="1"/>
  <c r="Y4832" i="1"/>
  <c r="Z4832" i="1"/>
  <c r="A4833" i="1"/>
  <c r="B4833" i="1"/>
  <c r="C4833" i="1"/>
  <c r="D4833" i="1"/>
  <c r="E4833" i="1"/>
  <c r="F4833" i="1"/>
  <c r="G4833" i="1"/>
  <c r="I4833" i="1"/>
  <c r="J4833" i="1"/>
  <c r="K4833" i="1"/>
  <c r="L4833" i="1"/>
  <c r="M4833" i="1"/>
  <c r="N4833" i="1"/>
  <c r="O4833" i="1"/>
  <c r="P4833" i="1"/>
  <c r="Q4833" i="1"/>
  <c r="R4833" i="1"/>
  <c r="S4833" i="1"/>
  <c r="T4833" i="1"/>
  <c r="U4833" i="1"/>
  <c r="V4833" i="1"/>
  <c r="W4833" i="1"/>
  <c r="X4833" i="1"/>
  <c r="Y4833" i="1"/>
  <c r="Z4833" i="1"/>
  <c r="A4834" i="1"/>
  <c r="B4834" i="1"/>
  <c r="C4834" i="1"/>
  <c r="D4834" i="1"/>
  <c r="E4834" i="1"/>
  <c r="F4834" i="1"/>
  <c r="G4834" i="1"/>
  <c r="I4834" i="1"/>
  <c r="J4834" i="1"/>
  <c r="K4834" i="1"/>
  <c r="L4834" i="1"/>
  <c r="M4834" i="1"/>
  <c r="N4834" i="1"/>
  <c r="O4834" i="1"/>
  <c r="P4834" i="1"/>
  <c r="Q4834" i="1"/>
  <c r="R4834" i="1"/>
  <c r="S4834" i="1"/>
  <c r="T4834" i="1"/>
  <c r="U4834" i="1"/>
  <c r="V4834" i="1"/>
  <c r="W4834" i="1"/>
  <c r="X4834" i="1"/>
  <c r="Y4834" i="1"/>
  <c r="Z4834" i="1"/>
  <c r="A4835" i="1"/>
  <c r="B4835" i="1"/>
  <c r="C4835" i="1"/>
  <c r="D4835" i="1"/>
  <c r="E4835" i="1"/>
  <c r="F4835" i="1"/>
  <c r="G4835" i="1"/>
  <c r="I4835" i="1"/>
  <c r="J4835" i="1"/>
  <c r="K4835" i="1"/>
  <c r="L4835" i="1"/>
  <c r="M4835" i="1"/>
  <c r="N4835" i="1"/>
  <c r="O4835" i="1"/>
  <c r="P4835" i="1"/>
  <c r="Q4835" i="1"/>
  <c r="R4835" i="1"/>
  <c r="S4835" i="1"/>
  <c r="T4835" i="1"/>
  <c r="U4835" i="1"/>
  <c r="V4835" i="1"/>
  <c r="W4835" i="1"/>
  <c r="X4835" i="1"/>
  <c r="Y4835" i="1"/>
  <c r="Z4835" i="1"/>
  <c r="A4836" i="1"/>
  <c r="B4836" i="1"/>
  <c r="C4836" i="1"/>
  <c r="D4836" i="1"/>
  <c r="E4836" i="1"/>
  <c r="F4836" i="1"/>
  <c r="G4836" i="1"/>
  <c r="I4836" i="1"/>
  <c r="J4836" i="1"/>
  <c r="K4836" i="1"/>
  <c r="L4836" i="1"/>
  <c r="M4836" i="1"/>
  <c r="N4836" i="1"/>
  <c r="O4836" i="1"/>
  <c r="P4836" i="1"/>
  <c r="Q4836" i="1"/>
  <c r="R4836" i="1"/>
  <c r="S4836" i="1"/>
  <c r="T4836" i="1"/>
  <c r="U4836" i="1"/>
  <c r="V4836" i="1"/>
  <c r="W4836" i="1"/>
  <c r="X4836" i="1"/>
  <c r="Y4836" i="1"/>
  <c r="Z4836" i="1"/>
  <c r="A4837" i="1"/>
  <c r="B4837" i="1"/>
  <c r="C4837" i="1"/>
  <c r="D4837" i="1"/>
  <c r="E4837" i="1"/>
  <c r="F4837" i="1"/>
  <c r="G4837" i="1"/>
  <c r="I4837" i="1"/>
  <c r="J4837" i="1"/>
  <c r="K4837" i="1"/>
  <c r="L4837" i="1"/>
  <c r="M4837" i="1"/>
  <c r="N4837" i="1"/>
  <c r="O4837" i="1"/>
  <c r="P4837" i="1"/>
  <c r="Q4837" i="1"/>
  <c r="R4837" i="1"/>
  <c r="S4837" i="1"/>
  <c r="T4837" i="1"/>
  <c r="U4837" i="1"/>
  <c r="V4837" i="1"/>
  <c r="W4837" i="1"/>
  <c r="X4837" i="1"/>
  <c r="Y4837" i="1"/>
  <c r="Z4837" i="1"/>
  <c r="A4838" i="1"/>
  <c r="B4838" i="1"/>
  <c r="C4838" i="1"/>
  <c r="D4838" i="1"/>
  <c r="E4838" i="1"/>
  <c r="F4838" i="1"/>
  <c r="G4838" i="1"/>
  <c r="I4838" i="1"/>
  <c r="J4838" i="1"/>
  <c r="K4838" i="1"/>
  <c r="L4838" i="1"/>
  <c r="M4838" i="1"/>
  <c r="N4838" i="1"/>
  <c r="O4838" i="1"/>
  <c r="P4838" i="1"/>
  <c r="Q4838" i="1"/>
  <c r="R4838" i="1"/>
  <c r="S4838" i="1"/>
  <c r="T4838" i="1"/>
  <c r="U4838" i="1"/>
  <c r="V4838" i="1"/>
  <c r="W4838" i="1"/>
  <c r="X4838" i="1"/>
  <c r="Y4838" i="1"/>
  <c r="Z4838" i="1"/>
  <c r="A4839" i="1"/>
  <c r="B4839" i="1"/>
  <c r="C4839" i="1"/>
  <c r="D4839" i="1"/>
  <c r="E4839" i="1"/>
  <c r="F4839" i="1"/>
  <c r="G4839" i="1"/>
  <c r="I4839" i="1"/>
  <c r="J4839" i="1"/>
  <c r="K4839" i="1"/>
  <c r="L4839" i="1"/>
  <c r="M4839" i="1"/>
  <c r="N4839" i="1"/>
  <c r="O4839" i="1"/>
  <c r="P4839" i="1"/>
  <c r="Q4839" i="1"/>
  <c r="R4839" i="1"/>
  <c r="S4839" i="1"/>
  <c r="T4839" i="1"/>
  <c r="U4839" i="1"/>
  <c r="V4839" i="1"/>
  <c r="W4839" i="1"/>
  <c r="X4839" i="1"/>
  <c r="Y4839" i="1"/>
  <c r="Z4839" i="1"/>
  <c r="A4840" i="1"/>
  <c r="B4840" i="1"/>
  <c r="C4840" i="1"/>
  <c r="D4840" i="1"/>
  <c r="E4840" i="1"/>
  <c r="F4840" i="1"/>
  <c r="G4840" i="1"/>
  <c r="I4840" i="1"/>
  <c r="J4840" i="1"/>
  <c r="K4840" i="1"/>
  <c r="L4840" i="1"/>
  <c r="M4840" i="1"/>
  <c r="N4840" i="1"/>
  <c r="O4840" i="1"/>
  <c r="P4840" i="1"/>
  <c r="Q4840" i="1"/>
  <c r="R4840" i="1"/>
  <c r="S4840" i="1"/>
  <c r="T4840" i="1"/>
  <c r="U4840" i="1"/>
  <c r="V4840" i="1"/>
  <c r="W4840" i="1"/>
  <c r="X4840" i="1"/>
  <c r="Y4840" i="1"/>
  <c r="Z4840" i="1"/>
  <c r="A4841" i="1"/>
  <c r="B4841" i="1"/>
  <c r="C4841" i="1"/>
  <c r="D4841" i="1"/>
  <c r="E4841" i="1"/>
  <c r="F4841" i="1"/>
  <c r="G4841" i="1"/>
  <c r="I4841" i="1"/>
  <c r="J4841" i="1"/>
  <c r="K4841" i="1"/>
  <c r="L4841" i="1"/>
  <c r="M4841" i="1"/>
  <c r="N4841" i="1"/>
  <c r="O4841" i="1"/>
  <c r="P4841" i="1"/>
  <c r="Q4841" i="1"/>
  <c r="R4841" i="1"/>
  <c r="S4841" i="1"/>
  <c r="T4841" i="1"/>
  <c r="U4841" i="1"/>
  <c r="V4841" i="1"/>
  <c r="W4841" i="1"/>
  <c r="X4841" i="1"/>
  <c r="Y4841" i="1"/>
  <c r="Z4841" i="1"/>
  <c r="A4842" i="1"/>
  <c r="B4842" i="1"/>
  <c r="C4842" i="1"/>
  <c r="D4842" i="1"/>
  <c r="E4842" i="1"/>
  <c r="F4842" i="1"/>
  <c r="G4842" i="1"/>
  <c r="I4842" i="1"/>
  <c r="J4842" i="1"/>
  <c r="K4842" i="1"/>
  <c r="L4842" i="1"/>
  <c r="M4842" i="1"/>
  <c r="N4842" i="1"/>
  <c r="O4842" i="1"/>
  <c r="P4842" i="1"/>
  <c r="Q4842" i="1"/>
  <c r="R4842" i="1"/>
  <c r="S4842" i="1"/>
  <c r="T4842" i="1"/>
  <c r="U4842" i="1"/>
  <c r="V4842" i="1"/>
  <c r="W4842" i="1"/>
  <c r="X4842" i="1"/>
  <c r="Y4842" i="1"/>
  <c r="Z4842" i="1"/>
  <c r="A4843" i="1"/>
  <c r="B4843" i="1"/>
  <c r="C4843" i="1"/>
  <c r="D4843" i="1"/>
  <c r="E4843" i="1"/>
  <c r="F4843" i="1"/>
  <c r="G4843" i="1"/>
  <c r="I4843" i="1"/>
  <c r="J4843" i="1"/>
  <c r="K4843" i="1"/>
  <c r="L4843" i="1"/>
  <c r="M4843" i="1"/>
  <c r="N4843" i="1"/>
  <c r="O4843" i="1"/>
  <c r="P4843" i="1"/>
  <c r="Q4843" i="1"/>
  <c r="R4843" i="1"/>
  <c r="S4843" i="1"/>
  <c r="T4843" i="1"/>
  <c r="U4843" i="1"/>
  <c r="V4843" i="1"/>
  <c r="W4843" i="1"/>
  <c r="X4843" i="1"/>
  <c r="Y4843" i="1"/>
  <c r="Z4843" i="1"/>
  <c r="A4844" i="1"/>
  <c r="B4844" i="1"/>
  <c r="C4844" i="1"/>
  <c r="D4844" i="1"/>
  <c r="E4844" i="1"/>
  <c r="F4844" i="1"/>
  <c r="G4844" i="1"/>
  <c r="I4844" i="1"/>
  <c r="J4844" i="1"/>
  <c r="K4844" i="1"/>
  <c r="L4844" i="1"/>
  <c r="M4844" i="1"/>
  <c r="N4844" i="1"/>
  <c r="O4844" i="1"/>
  <c r="P4844" i="1"/>
  <c r="Q4844" i="1"/>
  <c r="R4844" i="1"/>
  <c r="S4844" i="1"/>
  <c r="T4844" i="1"/>
  <c r="U4844" i="1"/>
  <c r="V4844" i="1"/>
  <c r="W4844" i="1"/>
  <c r="X4844" i="1"/>
  <c r="Y4844" i="1"/>
  <c r="Z4844" i="1"/>
  <c r="A4845" i="1"/>
  <c r="B4845" i="1"/>
  <c r="C4845" i="1"/>
  <c r="D4845" i="1"/>
  <c r="E4845" i="1"/>
  <c r="F4845" i="1"/>
  <c r="G4845" i="1"/>
  <c r="I4845" i="1"/>
  <c r="J4845" i="1"/>
  <c r="K4845" i="1"/>
  <c r="L4845" i="1"/>
  <c r="M4845" i="1"/>
  <c r="N4845" i="1"/>
  <c r="O4845" i="1"/>
  <c r="P4845" i="1"/>
  <c r="Q4845" i="1"/>
  <c r="R4845" i="1"/>
  <c r="S4845" i="1"/>
  <c r="T4845" i="1"/>
  <c r="U4845" i="1"/>
  <c r="V4845" i="1"/>
  <c r="W4845" i="1"/>
  <c r="X4845" i="1"/>
  <c r="Y4845" i="1"/>
  <c r="Z4845" i="1"/>
  <c r="A4846" i="1"/>
  <c r="B4846" i="1"/>
  <c r="C4846" i="1"/>
  <c r="D4846" i="1"/>
  <c r="E4846" i="1"/>
  <c r="F4846" i="1"/>
  <c r="G4846" i="1"/>
  <c r="I4846" i="1"/>
  <c r="J4846" i="1"/>
  <c r="K4846" i="1"/>
  <c r="L4846" i="1"/>
  <c r="M4846" i="1"/>
  <c r="N4846" i="1"/>
  <c r="O4846" i="1"/>
  <c r="P4846" i="1"/>
  <c r="Q4846" i="1"/>
  <c r="R4846" i="1"/>
  <c r="S4846" i="1"/>
  <c r="T4846" i="1"/>
  <c r="U4846" i="1"/>
  <c r="V4846" i="1"/>
  <c r="W4846" i="1"/>
  <c r="X4846" i="1"/>
  <c r="Y4846" i="1"/>
  <c r="Z4846" i="1"/>
  <c r="A4847" i="1"/>
  <c r="B4847" i="1"/>
  <c r="C4847" i="1"/>
  <c r="D4847" i="1"/>
  <c r="E4847" i="1"/>
  <c r="F4847" i="1"/>
  <c r="G4847" i="1"/>
  <c r="I4847" i="1"/>
  <c r="J4847" i="1"/>
  <c r="K4847" i="1"/>
  <c r="L4847" i="1"/>
  <c r="M4847" i="1"/>
  <c r="N4847" i="1"/>
  <c r="O4847" i="1"/>
  <c r="P4847" i="1"/>
  <c r="Q4847" i="1"/>
  <c r="R4847" i="1"/>
  <c r="S4847" i="1"/>
  <c r="T4847" i="1"/>
  <c r="U4847" i="1"/>
  <c r="V4847" i="1"/>
  <c r="W4847" i="1"/>
  <c r="X4847" i="1"/>
  <c r="Y4847" i="1"/>
  <c r="Z4847" i="1"/>
  <c r="A4848" i="1"/>
  <c r="B4848" i="1"/>
  <c r="C4848" i="1"/>
  <c r="D4848" i="1"/>
  <c r="E4848" i="1"/>
  <c r="F4848" i="1"/>
  <c r="G4848" i="1"/>
  <c r="I4848" i="1"/>
  <c r="J4848" i="1"/>
  <c r="K4848" i="1"/>
  <c r="L4848" i="1"/>
  <c r="M4848" i="1"/>
  <c r="N4848" i="1"/>
  <c r="O4848" i="1"/>
  <c r="P4848" i="1"/>
  <c r="Q4848" i="1"/>
  <c r="R4848" i="1"/>
  <c r="S4848" i="1"/>
  <c r="T4848" i="1"/>
  <c r="U4848" i="1"/>
  <c r="V4848" i="1"/>
  <c r="W4848" i="1"/>
  <c r="X4848" i="1"/>
  <c r="Y4848" i="1"/>
  <c r="Z4848" i="1"/>
  <c r="A4849" i="1"/>
  <c r="B4849" i="1"/>
  <c r="C4849" i="1"/>
  <c r="D4849" i="1"/>
  <c r="E4849" i="1"/>
  <c r="F4849" i="1"/>
  <c r="G4849" i="1"/>
  <c r="I4849" i="1"/>
  <c r="J4849" i="1"/>
  <c r="K4849" i="1"/>
  <c r="L4849" i="1"/>
  <c r="M4849" i="1"/>
  <c r="N4849" i="1"/>
  <c r="O4849" i="1"/>
  <c r="P4849" i="1"/>
  <c r="Q4849" i="1"/>
  <c r="R4849" i="1"/>
  <c r="S4849" i="1"/>
  <c r="T4849" i="1"/>
  <c r="U4849" i="1"/>
  <c r="V4849" i="1"/>
  <c r="W4849" i="1"/>
  <c r="X4849" i="1"/>
  <c r="Y4849" i="1"/>
  <c r="Z4849" i="1"/>
  <c r="A4850" i="1"/>
  <c r="B4850" i="1"/>
  <c r="C4850" i="1"/>
  <c r="D4850" i="1"/>
  <c r="E4850" i="1"/>
  <c r="F4850" i="1"/>
  <c r="G4850" i="1"/>
  <c r="I4850" i="1"/>
  <c r="J4850" i="1"/>
  <c r="K4850" i="1"/>
  <c r="L4850" i="1"/>
  <c r="M4850" i="1"/>
  <c r="N4850" i="1"/>
  <c r="O4850" i="1"/>
  <c r="P4850" i="1"/>
  <c r="Q4850" i="1"/>
  <c r="R4850" i="1"/>
  <c r="S4850" i="1"/>
  <c r="T4850" i="1"/>
  <c r="U4850" i="1"/>
  <c r="V4850" i="1"/>
  <c r="W4850" i="1"/>
  <c r="X4850" i="1"/>
  <c r="Y4850" i="1"/>
  <c r="Z4850" i="1"/>
  <c r="A4851" i="1"/>
  <c r="B4851" i="1"/>
  <c r="C4851" i="1"/>
  <c r="D4851" i="1"/>
  <c r="E4851" i="1"/>
  <c r="F4851" i="1"/>
  <c r="G4851" i="1"/>
  <c r="I4851" i="1"/>
  <c r="J4851" i="1"/>
  <c r="K4851" i="1"/>
  <c r="L4851" i="1"/>
  <c r="M4851" i="1"/>
  <c r="N4851" i="1"/>
  <c r="O4851" i="1"/>
  <c r="P4851" i="1"/>
  <c r="Q4851" i="1"/>
  <c r="R4851" i="1"/>
  <c r="S4851" i="1"/>
  <c r="T4851" i="1"/>
  <c r="U4851" i="1"/>
  <c r="V4851" i="1"/>
  <c r="W4851" i="1"/>
  <c r="X4851" i="1"/>
  <c r="Y4851" i="1"/>
  <c r="Z4851" i="1"/>
  <c r="A4852" i="1"/>
  <c r="B4852" i="1"/>
  <c r="C4852" i="1"/>
  <c r="D4852" i="1"/>
  <c r="E4852" i="1"/>
  <c r="F4852" i="1"/>
  <c r="G4852" i="1"/>
  <c r="I4852" i="1"/>
  <c r="J4852" i="1"/>
  <c r="K4852" i="1"/>
  <c r="L4852" i="1"/>
  <c r="M4852" i="1"/>
  <c r="N4852" i="1"/>
  <c r="O4852" i="1"/>
  <c r="P4852" i="1"/>
  <c r="Q4852" i="1"/>
  <c r="R4852" i="1"/>
  <c r="S4852" i="1"/>
  <c r="T4852" i="1"/>
  <c r="U4852" i="1"/>
  <c r="V4852" i="1"/>
  <c r="W4852" i="1"/>
  <c r="X4852" i="1"/>
  <c r="Y4852" i="1"/>
  <c r="Z4852" i="1"/>
  <c r="A4853" i="1"/>
  <c r="B4853" i="1"/>
  <c r="C4853" i="1"/>
  <c r="D4853" i="1"/>
  <c r="E4853" i="1"/>
  <c r="F4853" i="1"/>
  <c r="G4853" i="1"/>
  <c r="I4853" i="1"/>
  <c r="J4853" i="1"/>
  <c r="K4853" i="1"/>
  <c r="L4853" i="1"/>
  <c r="M4853" i="1"/>
  <c r="N4853" i="1"/>
  <c r="O4853" i="1"/>
  <c r="P4853" i="1"/>
  <c r="Q4853" i="1"/>
  <c r="R4853" i="1"/>
  <c r="S4853" i="1"/>
  <c r="T4853" i="1"/>
  <c r="U4853" i="1"/>
  <c r="V4853" i="1"/>
  <c r="W4853" i="1"/>
  <c r="X4853" i="1"/>
  <c r="Y4853" i="1"/>
  <c r="Z4853" i="1"/>
  <c r="A4854" i="1"/>
  <c r="B4854" i="1"/>
  <c r="C4854" i="1"/>
  <c r="D4854" i="1"/>
  <c r="E4854" i="1"/>
  <c r="F4854" i="1"/>
  <c r="G4854" i="1"/>
  <c r="I4854" i="1"/>
  <c r="J4854" i="1"/>
  <c r="K4854" i="1"/>
  <c r="L4854" i="1"/>
  <c r="M4854" i="1"/>
  <c r="N4854" i="1"/>
  <c r="O4854" i="1"/>
  <c r="P4854" i="1"/>
  <c r="Q4854" i="1"/>
  <c r="R4854" i="1"/>
  <c r="S4854" i="1"/>
  <c r="T4854" i="1"/>
  <c r="U4854" i="1"/>
  <c r="V4854" i="1"/>
  <c r="W4854" i="1"/>
  <c r="X4854" i="1"/>
  <c r="Y4854" i="1"/>
  <c r="Z4854" i="1"/>
  <c r="A4855" i="1"/>
  <c r="B4855" i="1"/>
  <c r="C4855" i="1"/>
  <c r="D4855" i="1"/>
  <c r="E4855" i="1"/>
  <c r="F4855" i="1"/>
  <c r="G4855" i="1"/>
  <c r="I4855" i="1"/>
  <c r="J4855" i="1"/>
  <c r="K4855" i="1"/>
  <c r="L4855" i="1"/>
  <c r="M4855" i="1"/>
  <c r="N4855" i="1"/>
  <c r="O4855" i="1"/>
  <c r="P4855" i="1"/>
  <c r="Q4855" i="1"/>
  <c r="R4855" i="1"/>
  <c r="S4855" i="1"/>
  <c r="T4855" i="1"/>
  <c r="U4855" i="1"/>
  <c r="V4855" i="1"/>
  <c r="W4855" i="1"/>
  <c r="X4855" i="1"/>
  <c r="Y4855" i="1"/>
  <c r="Z4855" i="1"/>
  <c r="A4856" i="1"/>
  <c r="B4856" i="1"/>
  <c r="C4856" i="1"/>
  <c r="D4856" i="1"/>
  <c r="E4856" i="1"/>
  <c r="F4856" i="1"/>
  <c r="G4856" i="1"/>
  <c r="I4856" i="1"/>
  <c r="J4856" i="1"/>
  <c r="K4856" i="1"/>
  <c r="L4856" i="1"/>
  <c r="M4856" i="1"/>
  <c r="N4856" i="1"/>
  <c r="O4856" i="1"/>
  <c r="P4856" i="1"/>
  <c r="Q4856" i="1"/>
  <c r="R4856" i="1"/>
  <c r="S4856" i="1"/>
  <c r="T4856" i="1"/>
  <c r="U4856" i="1"/>
  <c r="V4856" i="1"/>
  <c r="W4856" i="1"/>
  <c r="X4856" i="1"/>
  <c r="Y4856" i="1"/>
  <c r="Z4856" i="1"/>
  <c r="A4857" i="1"/>
  <c r="B4857" i="1"/>
  <c r="C4857" i="1"/>
  <c r="D4857" i="1"/>
  <c r="E4857" i="1"/>
  <c r="F4857" i="1"/>
  <c r="G4857" i="1"/>
  <c r="I4857" i="1"/>
  <c r="J4857" i="1"/>
  <c r="K4857" i="1"/>
  <c r="L4857" i="1"/>
  <c r="M4857" i="1"/>
  <c r="N4857" i="1"/>
  <c r="O4857" i="1"/>
  <c r="P4857" i="1"/>
  <c r="Q4857" i="1"/>
  <c r="R4857" i="1"/>
  <c r="S4857" i="1"/>
  <c r="T4857" i="1"/>
  <c r="U4857" i="1"/>
  <c r="V4857" i="1"/>
  <c r="W4857" i="1"/>
  <c r="X4857" i="1"/>
  <c r="Y4857" i="1"/>
  <c r="Z4857" i="1"/>
  <c r="A4858" i="1"/>
  <c r="B4858" i="1"/>
  <c r="C4858" i="1"/>
  <c r="D4858" i="1"/>
  <c r="E4858" i="1"/>
  <c r="F4858" i="1"/>
  <c r="G4858" i="1"/>
  <c r="I4858" i="1"/>
  <c r="J4858" i="1"/>
  <c r="K4858" i="1"/>
  <c r="L4858" i="1"/>
  <c r="M4858" i="1"/>
  <c r="N4858" i="1"/>
  <c r="O4858" i="1"/>
  <c r="P4858" i="1"/>
  <c r="Q4858" i="1"/>
  <c r="R4858" i="1"/>
  <c r="S4858" i="1"/>
  <c r="T4858" i="1"/>
  <c r="U4858" i="1"/>
  <c r="V4858" i="1"/>
  <c r="W4858" i="1"/>
  <c r="X4858" i="1"/>
  <c r="Y4858" i="1"/>
  <c r="Z4858" i="1"/>
  <c r="A4859" i="1"/>
  <c r="B4859" i="1"/>
  <c r="C4859" i="1"/>
  <c r="D4859" i="1"/>
  <c r="E4859" i="1"/>
  <c r="F4859" i="1"/>
  <c r="G4859" i="1"/>
  <c r="I4859" i="1"/>
  <c r="J4859" i="1"/>
  <c r="K4859" i="1"/>
  <c r="L4859" i="1"/>
  <c r="M4859" i="1"/>
  <c r="N4859" i="1"/>
  <c r="O4859" i="1"/>
  <c r="P4859" i="1"/>
  <c r="Q4859" i="1"/>
  <c r="R4859" i="1"/>
  <c r="S4859" i="1"/>
  <c r="T4859" i="1"/>
  <c r="U4859" i="1"/>
  <c r="V4859" i="1"/>
  <c r="W4859" i="1"/>
  <c r="X4859" i="1"/>
  <c r="Y4859" i="1"/>
  <c r="Z4859" i="1"/>
  <c r="A4860" i="1"/>
  <c r="B4860" i="1"/>
  <c r="C4860" i="1"/>
  <c r="D4860" i="1"/>
  <c r="E4860" i="1"/>
  <c r="F4860" i="1"/>
  <c r="G4860" i="1"/>
  <c r="I4860" i="1"/>
  <c r="J4860" i="1"/>
  <c r="K4860" i="1"/>
  <c r="L4860" i="1"/>
  <c r="M4860" i="1"/>
  <c r="N4860" i="1"/>
  <c r="O4860" i="1"/>
  <c r="P4860" i="1"/>
  <c r="Q4860" i="1"/>
  <c r="R4860" i="1"/>
  <c r="S4860" i="1"/>
  <c r="T4860" i="1"/>
  <c r="U4860" i="1"/>
  <c r="V4860" i="1"/>
  <c r="W4860" i="1"/>
  <c r="X4860" i="1"/>
  <c r="Y4860" i="1"/>
  <c r="Z4860" i="1"/>
  <c r="A4861" i="1"/>
  <c r="B4861" i="1"/>
  <c r="C4861" i="1"/>
  <c r="D4861" i="1"/>
  <c r="E4861" i="1"/>
  <c r="F4861" i="1"/>
  <c r="G4861" i="1"/>
  <c r="I4861" i="1"/>
  <c r="J4861" i="1"/>
  <c r="K4861" i="1"/>
  <c r="L4861" i="1"/>
  <c r="M4861" i="1"/>
  <c r="N4861" i="1"/>
  <c r="O4861" i="1"/>
  <c r="P4861" i="1"/>
  <c r="Q4861" i="1"/>
  <c r="R4861" i="1"/>
  <c r="S4861" i="1"/>
  <c r="T4861" i="1"/>
  <c r="U4861" i="1"/>
  <c r="V4861" i="1"/>
  <c r="W4861" i="1"/>
  <c r="X4861" i="1"/>
  <c r="Y4861" i="1"/>
  <c r="Z4861" i="1"/>
  <c r="A4862" i="1"/>
  <c r="B4862" i="1"/>
  <c r="C4862" i="1"/>
  <c r="D4862" i="1"/>
  <c r="E4862" i="1"/>
  <c r="F4862" i="1"/>
  <c r="G4862" i="1"/>
  <c r="I4862" i="1"/>
  <c r="J4862" i="1"/>
  <c r="K4862" i="1"/>
  <c r="L4862" i="1"/>
  <c r="M4862" i="1"/>
  <c r="N4862" i="1"/>
  <c r="O4862" i="1"/>
  <c r="P4862" i="1"/>
  <c r="Q4862" i="1"/>
  <c r="R4862" i="1"/>
  <c r="S4862" i="1"/>
  <c r="T4862" i="1"/>
  <c r="U4862" i="1"/>
  <c r="V4862" i="1"/>
  <c r="W4862" i="1"/>
  <c r="X4862" i="1"/>
  <c r="Y4862" i="1"/>
  <c r="Z4862" i="1"/>
  <c r="A4863" i="1"/>
  <c r="B4863" i="1"/>
  <c r="C4863" i="1"/>
  <c r="D4863" i="1"/>
  <c r="E4863" i="1"/>
  <c r="F4863" i="1"/>
  <c r="G4863" i="1"/>
  <c r="I4863" i="1"/>
  <c r="J4863" i="1"/>
  <c r="K4863" i="1"/>
  <c r="L4863" i="1"/>
  <c r="M4863" i="1"/>
  <c r="N4863" i="1"/>
  <c r="O4863" i="1"/>
  <c r="P4863" i="1"/>
  <c r="Q4863" i="1"/>
  <c r="R4863" i="1"/>
  <c r="S4863" i="1"/>
  <c r="T4863" i="1"/>
  <c r="U4863" i="1"/>
  <c r="V4863" i="1"/>
  <c r="W4863" i="1"/>
  <c r="X4863" i="1"/>
  <c r="Y4863" i="1"/>
  <c r="Z4863" i="1"/>
  <c r="A4864" i="1"/>
  <c r="B4864" i="1"/>
  <c r="C4864" i="1"/>
  <c r="D4864" i="1"/>
  <c r="E4864" i="1"/>
  <c r="F4864" i="1"/>
  <c r="G4864" i="1"/>
  <c r="I4864" i="1"/>
  <c r="J4864" i="1"/>
  <c r="K4864" i="1"/>
  <c r="L4864" i="1"/>
  <c r="M4864" i="1"/>
  <c r="N4864" i="1"/>
  <c r="O4864" i="1"/>
  <c r="P4864" i="1"/>
  <c r="Q4864" i="1"/>
  <c r="R4864" i="1"/>
  <c r="S4864" i="1"/>
  <c r="T4864" i="1"/>
  <c r="U4864" i="1"/>
  <c r="V4864" i="1"/>
  <c r="W4864" i="1"/>
  <c r="X4864" i="1"/>
  <c r="Y4864" i="1"/>
  <c r="Z4864" i="1"/>
  <c r="A4865" i="1"/>
  <c r="B4865" i="1"/>
  <c r="C4865" i="1"/>
  <c r="D4865" i="1"/>
  <c r="E4865" i="1"/>
  <c r="F4865" i="1"/>
  <c r="G4865" i="1"/>
  <c r="I4865" i="1"/>
  <c r="J4865" i="1"/>
  <c r="K4865" i="1"/>
  <c r="L4865" i="1"/>
  <c r="M4865" i="1"/>
  <c r="N4865" i="1"/>
  <c r="O4865" i="1"/>
  <c r="P4865" i="1"/>
  <c r="Q4865" i="1"/>
  <c r="R4865" i="1"/>
  <c r="S4865" i="1"/>
  <c r="T4865" i="1"/>
  <c r="U4865" i="1"/>
  <c r="V4865" i="1"/>
  <c r="W4865" i="1"/>
  <c r="X4865" i="1"/>
  <c r="Y4865" i="1"/>
  <c r="Z4865" i="1"/>
  <c r="A4866" i="1"/>
  <c r="B4866" i="1"/>
  <c r="C4866" i="1"/>
  <c r="D4866" i="1"/>
  <c r="E4866" i="1"/>
  <c r="F4866" i="1"/>
  <c r="G4866" i="1"/>
  <c r="I4866" i="1"/>
  <c r="J4866" i="1"/>
  <c r="K4866" i="1"/>
  <c r="L4866" i="1"/>
  <c r="M4866" i="1"/>
  <c r="N4866" i="1"/>
  <c r="O4866" i="1"/>
  <c r="P4866" i="1"/>
  <c r="Q4866" i="1"/>
  <c r="R4866" i="1"/>
  <c r="S4866" i="1"/>
  <c r="T4866" i="1"/>
  <c r="U4866" i="1"/>
  <c r="V4866" i="1"/>
  <c r="W4866" i="1"/>
  <c r="X4866" i="1"/>
  <c r="Y4866" i="1"/>
  <c r="Z4866" i="1"/>
  <c r="A4867" i="1"/>
  <c r="B4867" i="1"/>
  <c r="C4867" i="1"/>
  <c r="D4867" i="1"/>
  <c r="E4867" i="1"/>
  <c r="F4867" i="1"/>
  <c r="G4867" i="1"/>
  <c r="I4867" i="1"/>
  <c r="J4867" i="1"/>
  <c r="K4867" i="1"/>
  <c r="L4867" i="1"/>
  <c r="M4867" i="1"/>
  <c r="N4867" i="1"/>
  <c r="O4867" i="1"/>
  <c r="P4867" i="1"/>
  <c r="Q4867" i="1"/>
  <c r="R4867" i="1"/>
  <c r="S4867" i="1"/>
  <c r="T4867" i="1"/>
  <c r="U4867" i="1"/>
  <c r="V4867" i="1"/>
  <c r="W4867" i="1"/>
  <c r="X4867" i="1"/>
  <c r="Y4867" i="1"/>
  <c r="Z4867" i="1"/>
  <c r="A4868" i="1"/>
  <c r="B4868" i="1"/>
  <c r="C4868" i="1"/>
  <c r="D4868" i="1"/>
  <c r="E4868" i="1"/>
  <c r="F4868" i="1"/>
  <c r="G4868" i="1"/>
  <c r="I4868" i="1"/>
  <c r="J4868" i="1"/>
  <c r="K4868" i="1"/>
  <c r="L4868" i="1"/>
  <c r="M4868" i="1"/>
  <c r="N4868" i="1"/>
  <c r="O4868" i="1"/>
  <c r="P4868" i="1"/>
  <c r="Q4868" i="1"/>
  <c r="R4868" i="1"/>
  <c r="S4868" i="1"/>
  <c r="T4868" i="1"/>
  <c r="U4868" i="1"/>
  <c r="V4868" i="1"/>
  <c r="W4868" i="1"/>
  <c r="X4868" i="1"/>
  <c r="Y4868" i="1"/>
  <c r="Z4868" i="1"/>
  <c r="A4869" i="1"/>
  <c r="B4869" i="1"/>
  <c r="C4869" i="1"/>
  <c r="D4869" i="1"/>
  <c r="E4869" i="1"/>
  <c r="F4869" i="1"/>
  <c r="G4869" i="1"/>
  <c r="I4869" i="1"/>
  <c r="J4869" i="1"/>
  <c r="K4869" i="1"/>
  <c r="L4869" i="1"/>
  <c r="M4869" i="1"/>
  <c r="N4869" i="1"/>
  <c r="O4869" i="1"/>
  <c r="P4869" i="1"/>
  <c r="Q4869" i="1"/>
  <c r="R4869" i="1"/>
  <c r="S4869" i="1"/>
  <c r="T4869" i="1"/>
  <c r="U4869" i="1"/>
  <c r="V4869" i="1"/>
  <c r="W4869" i="1"/>
  <c r="X4869" i="1"/>
  <c r="Y4869" i="1"/>
  <c r="Z4869" i="1"/>
  <c r="A4870" i="1"/>
  <c r="B4870" i="1"/>
  <c r="C4870" i="1"/>
  <c r="D4870" i="1"/>
  <c r="E4870" i="1"/>
  <c r="F4870" i="1"/>
  <c r="G4870" i="1"/>
  <c r="I4870" i="1"/>
  <c r="J4870" i="1"/>
  <c r="K4870" i="1"/>
  <c r="L4870" i="1"/>
  <c r="M4870" i="1"/>
  <c r="N4870" i="1"/>
  <c r="O4870" i="1"/>
  <c r="P4870" i="1"/>
  <c r="Q4870" i="1"/>
  <c r="R4870" i="1"/>
  <c r="S4870" i="1"/>
  <c r="T4870" i="1"/>
  <c r="U4870" i="1"/>
  <c r="V4870" i="1"/>
  <c r="W4870" i="1"/>
  <c r="X4870" i="1"/>
  <c r="Y4870" i="1"/>
  <c r="Z4870" i="1"/>
  <c r="A4871" i="1"/>
  <c r="B4871" i="1"/>
  <c r="C4871" i="1"/>
  <c r="D4871" i="1"/>
  <c r="E4871" i="1"/>
  <c r="F4871" i="1"/>
  <c r="G4871" i="1"/>
  <c r="I4871" i="1"/>
  <c r="J4871" i="1"/>
  <c r="K4871" i="1"/>
  <c r="L4871" i="1"/>
  <c r="M4871" i="1"/>
  <c r="N4871" i="1"/>
  <c r="O4871" i="1"/>
  <c r="P4871" i="1"/>
  <c r="Q4871" i="1"/>
  <c r="R4871" i="1"/>
  <c r="S4871" i="1"/>
  <c r="T4871" i="1"/>
  <c r="U4871" i="1"/>
  <c r="V4871" i="1"/>
  <c r="W4871" i="1"/>
  <c r="X4871" i="1"/>
  <c r="Y4871" i="1"/>
  <c r="Z4871" i="1"/>
  <c r="A4872" i="1"/>
  <c r="B4872" i="1"/>
  <c r="C4872" i="1"/>
  <c r="D4872" i="1"/>
  <c r="E4872" i="1"/>
  <c r="F4872" i="1"/>
  <c r="G4872" i="1"/>
  <c r="I4872" i="1"/>
  <c r="J4872" i="1"/>
  <c r="K4872" i="1"/>
  <c r="L4872" i="1"/>
  <c r="M4872" i="1"/>
  <c r="N4872" i="1"/>
  <c r="O4872" i="1"/>
  <c r="P4872" i="1"/>
  <c r="Q4872" i="1"/>
  <c r="R4872" i="1"/>
  <c r="S4872" i="1"/>
  <c r="T4872" i="1"/>
  <c r="U4872" i="1"/>
  <c r="V4872" i="1"/>
  <c r="W4872" i="1"/>
  <c r="X4872" i="1"/>
  <c r="Y4872" i="1"/>
  <c r="Z4872" i="1"/>
  <c r="A4873" i="1"/>
  <c r="B4873" i="1"/>
  <c r="C4873" i="1"/>
  <c r="D4873" i="1"/>
  <c r="E4873" i="1"/>
  <c r="F4873" i="1"/>
  <c r="G4873" i="1"/>
  <c r="I4873" i="1"/>
  <c r="J4873" i="1"/>
  <c r="K4873" i="1"/>
  <c r="L4873" i="1"/>
  <c r="M4873" i="1"/>
  <c r="N4873" i="1"/>
  <c r="O4873" i="1"/>
  <c r="P4873" i="1"/>
  <c r="Q4873" i="1"/>
  <c r="R4873" i="1"/>
  <c r="S4873" i="1"/>
  <c r="T4873" i="1"/>
  <c r="U4873" i="1"/>
  <c r="V4873" i="1"/>
  <c r="W4873" i="1"/>
  <c r="X4873" i="1"/>
  <c r="Y4873" i="1"/>
  <c r="Z4873" i="1"/>
  <c r="A4874" i="1"/>
  <c r="B4874" i="1"/>
  <c r="C4874" i="1"/>
  <c r="D4874" i="1"/>
  <c r="E4874" i="1"/>
  <c r="F4874" i="1"/>
  <c r="G4874" i="1"/>
  <c r="I4874" i="1"/>
  <c r="J4874" i="1"/>
  <c r="K4874" i="1"/>
  <c r="L4874" i="1"/>
  <c r="M4874" i="1"/>
  <c r="N4874" i="1"/>
  <c r="O4874" i="1"/>
  <c r="P4874" i="1"/>
  <c r="Q4874" i="1"/>
  <c r="R4874" i="1"/>
  <c r="S4874" i="1"/>
  <c r="T4874" i="1"/>
  <c r="U4874" i="1"/>
  <c r="V4874" i="1"/>
  <c r="W4874" i="1"/>
  <c r="X4874" i="1"/>
  <c r="Y4874" i="1"/>
  <c r="Z4874" i="1"/>
  <c r="A4875" i="1"/>
  <c r="B4875" i="1"/>
  <c r="C4875" i="1"/>
  <c r="D4875" i="1"/>
  <c r="E4875" i="1"/>
  <c r="F4875" i="1"/>
  <c r="G4875" i="1"/>
  <c r="I4875" i="1"/>
  <c r="J4875" i="1"/>
  <c r="K4875" i="1"/>
  <c r="L4875" i="1"/>
  <c r="M4875" i="1"/>
  <c r="N4875" i="1"/>
  <c r="O4875" i="1"/>
  <c r="P4875" i="1"/>
  <c r="Q4875" i="1"/>
  <c r="R4875" i="1"/>
  <c r="S4875" i="1"/>
  <c r="T4875" i="1"/>
  <c r="U4875" i="1"/>
  <c r="V4875" i="1"/>
  <c r="W4875" i="1"/>
  <c r="X4875" i="1"/>
  <c r="Y4875" i="1"/>
  <c r="Z4875" i="1"/>
  <c r="A4876" i="1"/>
  <c r="B4876" i="1"/>
  <c r="C4876" i="1"/>
  <c r="D4876" i="1"/>
  <c r="E4876" i="1"/>
  <c r="F4876" i="1"/>
  <c r="G4876" i="1"/>
  <c r="I4876" i="1"/>
  <c r="J4876" i="1"/>
  <c r="K4876" i="1"/>
  <c r="L4876" i="1"/>
  <c r="M4876" i="1"/>
  <c r="N4876" i="1"/>
  <c r="O4876" i="1"/>
  <c r="P4876" i="1"/>
  <c r="Q4876" i="1"/>
  <c r="R4876" i="1"/>
  <c r="S4876" i="1"/>
  <c r="T4876" i="1"/>
  <c r="U4876" i="1"/>
  <c r="V4876" i="1"/>
  <c r="W4876" i="1"/>
  <c r="X4876" i="1"/>
  <c r="Y4876" i="1"/>
  <c r="Z4876" i="1"/>
  <c r="A4877" i="1"/>
  <c r="B4877" i="1"/>
  <c r="C4877" i="1"/>
  <c r="D4877" i="1"/>
  <c r="E4877" i="1"/>
  <c r="F4877" i="1"/>
  <c r="G4877" i="1"/>
  <c r="I4877" i="1"/>
  <c r="J4877" i="1"/>
  <c r="K4877" i="1"/>
  <c r="L4877" i="1"/>
  <c r="M4877" i="1"/>
  <c r="N4877" i="1"/>
  <c r="O4877" i="1"/>
  <c r="P4877" i="1"/>
  <c r="Q4877" i="1"/>
  <c r="R4877" i="1"/>
  <c r="S4877" i="1"/>
  <c r="T4877" i="1"/>
  <c r="U4877" i="1"/>
  <c r="V4877" i="1"/>
  <c r="W4877" i="1"/>
  <c r="X4877" i="1"/>
  <c r="Y4877" i="1"/>
  <c r="Z4877" i="1"/>
  <c r="A4878" i="1"/>
  <c r="B4878" i="1"/>
  <c r="C4878" i="1"/>
  <c r="D4878" i="1"/>
  <c r="E4878" i="1"/>
  <c r="F4878" i="1"/>
  <c r="G4878" i="1"/>
  <c r="I4878" i="1"/>
  <c r="J4878" i="1"/>
  <c r="K4878" i="1"/>
  <c r="L4878" i="1"/>
  <c r="M4878" i="1"/>
  <c r="N4878" i="1"/>
  <c r="O4878" i="1"/>
  <c r="P4878" i="1"/>
  <c r="Q4878" i="1"/>
  <c r="R4878" i="1"/>
  <c r="S4878" i="1"/>
  <c r="T4878" i="1"/>
  <c r="U4878" i="1"/>
  <c r="V4878" i="1"/>
  <c r="W4878" i="1"/>
  <c r="X4878" i="1"/>
  <c r="Y4878" i="1"/>
  <c r="Z4878" i="1"/>
  <c r="A4879" i="1"/>
  <c r="B4879" i="1"/>
  <c r="C4879" i="1"/>
  <c r="D4879" i="1"/>
  <c r="E4879" i="1"/>
  <c r="F4879" i="1"/>
  <c r="G4879" i="1"/>
  <c r="I4879" i="1"/>
  <c r="J4879" i="1"/>
  <c r="K4879" i="1"/>
  <c r="L4879" i="1"/>
  <c r="M4879" i="1"/>
  <c r="N4879" i="1"/>
  <c r="O4879" i="1"/>
  <c r="P4879" i="1"/>
  <c r="Q4879" i="1"/>
  <c r="R4879" i="1"/>
  <c r="S4879" i="1"/>
  <c r="T4879" i="1"/>
  <c r="U4879" i="1"/>
  <c r="V4879" i="1"/>
  <c r="W4879" i="1"/>
  <c r="X4879" i="1"/>
  <c r="Y4879" i="1"/>
  <c r="Z4879" i="1"/>
  <c r="A4880" i="1"/>
  <c r="B4880" i="1"/>
  <c r="C4880" i="1"/>
  <c r="D4880" i="1"/>
  <c r="E4880" i="1"/>
  <c r="F4880" i="1"/>
  <c r="G4880" i="1"/>
  <c r="I4880" i="1"/>
  <c r="J4880" i="1"/>
  <c r="K4880" i="1"/>
  <c r="L4880" i="1"/>
  <c r="M4880" i="1"/>
  <c r="N4880" i="1"/>
  <c r="O4880" i="1"/>
  <c r="P4880" i="1"/>
  <c r="Q4880" i="1"/>
  <c r="R4880" i="1"/>
  <c r="S4880" i="1"/>
  <c r="T4880" i="1"/>
  <c r="U4880" i="1"/>
  <c r="V4880" i="1"/>
  <c r="W4880" i="1"/>
  <c r="X4880" i="1"/>
  <c r="Y4880" i="1"/>
  <c r="Z4880" i="1"/>
  <c r="A4881" i="1"/>
  <c r="B4881" i="1"/>
  <c r="C4881" i="1"/>
  <c r="D4881" i="1"/>
  <c r="E4881" i="1"/>
  <c r="F4881" i="1"/>
  <c r="G4881" i="1"/>
  <c r="I4881" i="1"/>
  <c r="J4881" i="1"/>
  <c r="K4881" i="1"/>
  <c r="L4881" i="1"/>
  <c r="M4881" i="1"/>
  <c r="N4881" i="1"/>
  <c r="O4881" i="1"/>
  <c r="P4881" i="1"/>
  <c r="Q4881" i="1"/>
  <c r="R4881" i="1"/>
  <c r="S4881" i="1"/>
  <c r="T4881" i="1"/>
  <c r="U4881" i="1"/>
  <c r="V4881" i="1"/>
  <c r="W4881" i="1"/>
  <c r="X4881" i="1"/>
  <c r="Y4881" i="1"/>
  <c r="Z4881" i="1"/>
  <c r="A4882" i="1"/>
  <c r="B4882" i="1"/>
  <c r="C4882" i="1"/>
  <c r="D4882" i="1"/>
  <c r="E4882" i="1"/>
  <c r="F4882" i="1"/>
  <c r="G4882" i="1"/>
  <c r="I4882" i="1"/>
  <c r="J4882" i="1"/>
  <c r="K4882" i="1"/>
  <c r="L4882" i="1"/>
  <c r="M4882" i="1"/>
  <c r="N4882" i="1"/>
  <c r="O4882" i="1"/>
  <c r="P4882" i="1"/>
  <c r="Q4882" i="1"/>
  <c r="R4882" i="1"/>
  <c r="S4882" i="1"/>
  <c r="T4882" i="1"/>
  <c r="U4882" i="1"/>
  <c r="V4882" i="1"/>
  <c r="W4882" i="1"/>
  <c r="X4882" i="1"/>
  <c r="Y4882" i="1"/>
  <c r="Z4882" i="1"/>
  <c r="A4883" i="1"/>
  <c r="B4883" i="1"/>
  <c r="C4883" i="1"/>
  <c r="D4883" i="1"/>
  <c r="E4883" i="1"/>
  <c r="F4883" i="1"/>
  <c r="G4883" i="1"/>
  <c r="I4883" i="1"/>
  <c r="J4883" i="1"/>
  <c r="K4883" i="1"/>
  <c r="L4883" i="1"/>
  <c r="M4883" i="1"/>
  <c r="N4883" i="1"/>
  <c r="O4883" i="1"/>
  <c r="P4883" i="1"/>
  <c r="Q4883" i="1"/>
  <c r="R4883" i="1"/>
  <c r="S4883" i="1"/>
  <c r="T4883" i="1"/>
  <c r="U4883" i="1"/>
  <c r="V4883" i="1"/>
  <c r="W4883" i="1"/>
  <c r="X4883" i="1"/>
  <c r="Y4883" i="1"/>
  <c r="Z4883" i="1"/>
  <c r="A4884" i="1"/>
  <c r="B4884" i="1"/>
  <c r="C4884" i="1"/>
  <c r="D4884" i="1"/>
  <c r="E4884" i="1"/>
  <c r="F4884" i="1"/>
  <c r="G4884" i="1"/>
  <c r="I4884" i="1"/>
  <c r="J4884" i="1"/>
  <c r="K4884" i="1"/>
  <c r="L4884" i="1"/>
  <c r="M4884" i="1"/>
  <c r="N4884" i="1"/>
  <c r="O4884" i="1"/>
  <c r="P4884" i="1"/>
  <c r="Q4884" i="1"/>
  <c r="R4884" i="1"/>
  <c r="S4884" i="1"/>
  <c r="T4884" i="1"/>
  <c r="U4884" i="1"/>
  <c r="V4884" i="1"/>
  <c r="W4884" i="1"/>
  <c r="X4884" i="1"/>
  <c r="Y4884" i="1"/>
  <c r="Z4884" i="1"/>
  <c r="A4885" i="1"/>
  <c r="B4885" i="1"/>
  <c r="C4885" i="1"/>
  <c r="D4885" i="1"/>
  <c r="E4885" i="1"/>
  <c r="F4885" i="1"/>
  <c r="G4885" i="1"/>
  <c r="I4885" i="1"/>
  <c r="J4885" i="1"/>
  <c r="K4885" i="1"/>
  <c r="L4885" i="1"/>
  <c r="M4885" i="1"/>
  <c r="N4885" i="1"/>
  <c r="O4885" i="1"/>
  <c r="P4885" i="1"/>
  <c r="Q4885" i="1"/>
  <c r="R4885" i="1"/>
  <c r="S4885" i="1"/>
  <c r="T4885" i="1"/>
  <c r="U4885" i="1"/>
  <c r="V4885" i="1"/>
  <c r="W4885" i="1"/>
  <c r="X4885" i="1"/>
  <c r="Y4885" i="1"/>
  <c r="Z4885" i="1"/>
  <c r="A4886" i="1"/>
  <c r="B4886" i="1"/>
  <c r="C4886" i="1"/>
  <c r="D4886" i="1"/>
  <c r="E4886" i="1"/>
  <c r="F4886" i="1"/>
  <c r="G4886" i="1"/>
  <c r="I4886" i="1"/>
  <c r="J4886" i="1"/>
  <c r="K4886" i="1"/>
  <c r="L4886" i="1"/>
  <c r="M4886" i="1"/>
  <c r="N4886" i="1"/>
  <c r="O4886" i="1"/>
  <c r="P4886" i="1"/>
  <c r="Q4886" i="1"/>
  <c r="R4886" i="1"/>
  <c r="S4886" i="1"/>
  <c r="T4886" i="1"/>
  <c r="U4886" i="1"/>
  <c r="V4886" i="1"/>
  <c r="W4886" i="1"/>
  <c r="X4886" i="1"/>
  <c r="Y4886" i="1"/>
  <c r="Z4886" i="1"/>
  <c r="A4887" i="1"/>
  <c r="B4887" i="1"/>
  <c r="C4887" i="1"/>
  <c r="D4887" i="1"/>
  <c r="E4887" i="1"/>
  <c r="F4887" i="1"/>
  <c r="G4887" i="1"/>
  <c r="I4887" i="1"/>
  <c r="J4887" i="1"/>
  <c r="K4887" i="1"/>
  <c r="L4887" i="1"/>
  <c r="M4887" i="1"/>
  <c r="N4887" i="1"/>
  <c r="O4887" i="1"/>
  <c r="P4887" i="1"/>
  <c r="Q4887" i="1"/>
  <c r="R4887" i="1"/>
  <c r="S4887" i="1"/>
  <c r="T4887" i="1"/>
  <c r="U4887" i="1"/>
  <c r="V4887" i="1"/>
  <c r="W4887" i="1"/>
  <c r="X4887" i="1"/>
  <c r="Y4887" i="1"/>
  <c r="Z4887" i="1"/>
  <c r="A4888" i="1"/>
  <c r="B4888" i="1"/>
  <c r="C4888" i="1"/>
  <c r="D4888" i="1"/>
  <c r="E4888" i="1"/>
  <c r="F4888" i="1"/>
  <c r="G4888" i="1"/>
  <c r="I4888" i="1"/>
  <c r="J4888" i="1"/>
  <c r="K4888" i="1"/>
  <c r="L4888" i="1"/>
  <c r="M4888" i="1"/>
  <c r="N4888" i="1"/>
  <c r="O4888" i="1"/>
  <c r="P4888" i="1"/>
  <c r="Q4888" i="1"/>
  <c r="R4888" i="1"/>
  <c r="S4888" i="1"/>
  <c r="T4888" i="1"/>
  <c r="U4888" i="1"/>
  <c r="V4888" i="1"/>
  <c r="W4888" i="1"/>
  <c r="X4888" i="1"/>
  <c r="Y4888" i="1"/>
  <c r="Z4888" i="1"/>
  <c r="A4889" i="1"/>
  <c r="B4889" i="1"/>
  <c r="C4889" i="1"/>
  <c r="D4889" i="1"/>
  <c r="E4889" i="1"/>
  <c r="F4889" i="1"/>
  <c r="G4889" i="1"/>
  <c r="I4889" i="1"/>
  <c r="J4889" i="1"/>
  <c r="K4889" i="1"/>
  <c r="L4889" i="1"/>
  <c r="M4889" i="1"/>
  <c r="N4889" i="1"/>
  <c r="O4889" i="1"/>
  <c r="P4889" i="1"/>
  <c r="Q4889" i="1"/>
  <c r="R4889" i="1"/>
  <c r="S4889" i="1"/>
  <c r="T4889" i="1"/>
  <c r="U4889" i="1"/>
  <c r="V4889" i="1"/>
  <c r="W4889" i="1"/>
  <c r="X4889" i="1"/>
  <c r="Y4889" i="1"/>
  <c r="Z4889" i="1"/>
  <c r="A4890" i="1"/>
  <c r="B4890" i="1"/>
  <c r="C4890" i="1"/>
  <c r="D4890" i="1"/>
  <c r="E4890" i="1"/>
  <c r="F4890" i="1"/>
  <c r="G4890" i="1"/>
  <c r="I4890" i="1"/>
  <c r="J4890" i="1"/>
  <c r="K4890" i="1"/>
  <c r="L4890" i="1"/>
  <c r="M4890" i="1"/>
  <c r="N4890" i="1"/>
  <c r="O4890" i="1"/>
  <c r="P4890" i="1"/>
  <c r="Q4890" i="1"/>
  <c r="R4890" i="1"/>
  <c r="S4890" i="1"/>
  <c r="T4890" i="1"/>
  <c r="U4890" i="1"/>
  <c r="V4890" i="1"/>
  <c r="W4890" i="1"/>
  <c r="X4890" i="1"/>
  <c r="Y4890" i="1"/>
  <c r="Z4890" i="1"/>
  <c r="A4891" i="1"/>
  <c r="B4891" i="1"/>
  <c r="C4891" i="1"/>
  <c r="D4891" i="1"/>
  <c r="E4891" i="1"/>
  <c r="F4891" i="1"/>
  <c r="G4891" i="1"/>
  <c r="I4891" i="1"/>
  <c r="J4891" i="1"/>
  <c r="K4891" i="1"/>
  <c r="L4891" i="1"/>
  <c r="M4891" i="1"/>
  <c r="N4891" i="1"/>
  <c r="O4891" i="1"/>
  <c r="P4891" i="1"/>
  <c r="Q4891" i="1"/>
  <c r="R4891" i="1"/>
  <c r="S4891" i="1"/>
  <c r="T4891" i="1"/>
  <c r="U4891" i="1"/>
  <c r="V4891" i="1"/>
  <c r="W4891" i="1"/>
  <c r="X4891" i="1"/>
  <c r="Y4891" i="1"/>
  <c r="Z4891" i="1"/>
  <c r="A4892" i="1"/>
  <c r="B4892" i="1"/>
  <c r="C4892" i="1"/>
  <c r="D4892" i="1"/>
  <c r="E4892" i="1"/>
  <c r="F4892" i="1"/>
  <c r="G4892" i="1"/>
  <c r="I4892" i="1"/>
  <c r="J4892" i="1"/>
  <c r="K4892" i="1"/>
  <c r="L4892" i="1"/>
  <c r="M4892" i="1"/>
  <c r="N4892" i="1"/>
  <c r="O4892" i="1"/>
  <c r="P4892" i="1"/>
  <c r="Q4892" i="1"/>
  <c r="R4892" i="1"/>
  <c r="S4892" i="1"/>
  <c r="T4892" i="1"/>
  <c r="U4892" i="1"/>
  <c r="V4892" i="1"/>
  <c r="W4892" i="1"/>
  <c r="X4892" i="1"/>
  <c r="Y4892" i="1"/>
  <c r="Z4892" i="1"/>
  <c r="A4893" i="1"/>
  <c r="B4893" i="1"/>
  <c r="C4893" i="1"/>
  <c r="D4893" i="1"/>
  <c r="E4893" i="1"/>
  <c r="F4893" i="1"/>
  <c r="G4893" i="1"/>
  <c r="I4893" i="1"/>
  <c r="J4893" i="1"/>
  <c r="K4893" i="1"/>
  <c r="L4893" i="1"/>
  <c r="M4893" i="1"/>
  <c r="N4893" i="1"/>
  <c r="O4893" i="1"/>
  <c r="P4893" i="1"/>
  <c r="Q4893" i="1"/>
  <c r="R4893" i="1"/>
  <c r="S4893" i="1"/>
  <c r="T4893" i="1"/>
  <c r="U4893" i="1"/>
  <c r="V4893" i="1"/>
  <c r="W4893" i="1"/>
  <c r="X4893" i="1"/>
  <c r="Y4893" i="1"/>
  <c r="Z4893" i="1"/>
  <c r="A4894" i="1"/>
  <c r="B4894" i="1"/>
  <c r="C4894" i="1"/>
  <c r="D4894" i="1"/>
  <c r="E4894" i="1"/>
  <c r="F4894" i="1"/>
  <c r="G4894" i="1"/>
  <c r="I4894" i="1"/>
  <c r="J4894" i="1"/>
  <c r="K4894" i="1"/>
  <c r="L4894" i="1"/>
  <c r="M4894" i="1"/>
  <c r="N4894" i="1"/>
  <c r="O4894" i="1"/>
  <c r="P4894" i="1"/>
  <c r="Q4894" i="1"/>
  <c r="R4894" i="1"/>
  <c r="S4894" i="1"/>
  <c r="T4894" i="1"/>
  <c r="U4894" i="1"/>
  <c r="V4894" i="1"/>
  <c r="W4894" i="1"/>
  <c r="X4894" i="1"/>
  <c r="Y4894" i="1"/>
  <c r="Z4894" i="1"/>
  <c r="A4895" i="1"/>
  <c r="B4895" i="1"/>
  <c r="C4895" i="1"/>
  <c r="D4895" i="1"/>
  <c r="E4895" i="1"/>
  <c r="F4895" i="1"/>
  <c r="G4895" i="1"/>
  <c r="I4895" i="1"/>
  <c r="J4895" i="1"/>
  <c r="K4895" i="1"/>
  <c r="L4895" i="1"/>
  <c r="M4895" i="1"/>
  <c r="N4895" i="1"/>
  <c r="O4895" i="1"/>
  <c r="P4895" i="1"/>
  <c r="Q4895" i="1"/>
  <c r="R4895" i="1"/>
  <c r="S4895" i="1"/>
  <c r="T4895" i="1"/>
  <c r="U4895" i="1"/>
  <c r="V4895" i="1"/>
  <c r="W4895" i="1"/>
  <c r="X4895" i="1"/>
  <c r="Y4895" i="1"/>
  <c r="Z4895" i="1"/>
  <c r="A4896" i="1"/>
  <c r="B4896" i="1"/>
  <c r="C4896" i="1"/>
  <c r="D4896" i="1"/>
  <c r="E4896" i="1"/>
  <c r="F4896" i="1"/>
  <c r="G4896" i="1"/>
  <c r="I4896" i="1"/>
  <c r="J4896" i="1"/>
  <c r="K4896" i="1"/>
  <c r="L4896" i="1"/>
  <c r="M4896" i="1"/>
  <c r="N4896" i="1"/>
  <c r="O4896" i="1"/>
  <c r="P4896" i="1"/>
  <c r="Q4896" i="1"/>
  <c r="R4896" i="1"/>
  <c r="S4896" i="1"/>
  <c r="T4896" i="1"/>
  <c r="U4896" i="1"/>
  <c r="V4896" i="1"/>
  <c r="W4896" i="1"/>
  <c r="X4896" i="1"/>
  <c r="Y4896" i="1"/>
  <c r="Z4896" i="1"/>
  <c r="A4897" i="1"/>
  <c r="B4897" i="1"/>
  <c r="C4897" i="1"/>
  <c r="D4897" i="1"/>
  <c r="E4897" i="1"/>
  <c r="F4897" i="1"/>
  <c r="G4897" i="1"/>
  <c r="I4897" i="1"/>
  <c r="J4897" i="1"/>
  <c r="K4897" i="1"/>
  <c r="L4897" i="1"/>
  <c r="M4897" i="1"/>
  <c r="N4897" i="1"/>
  <c r="O4897" i="1"/>
  <c r="P4897" i="1"/>
  <c r="Q4897" i="1"/>
  <c r="R4897" i="1"/>
  <c r="S4897" i="1"/>
  <c r="T4897" i="1"/>
  <c r="U4897" i="1"/>
  <c r="V4897" i="1"/>
  <c r="W4897" i="1"/>
  <c r="X4897" i="1"/>
  <c r="Y4897" i="1"/>
  <c r="Z4897" i="1"/>
  <c r="A4898" i="1"/>
  <c r="B4898" i="1"/>
  <c r="C4898" i="1"/>
  <c r="D4898" i="1"/>
  <c r="E4898" i="1"/>
  <c r="F4898" i="1"/>
  <c r="G4898" i="1"/>
  <c r="I4898" i="1"/>
  <c r="J4898" i="1"/>
  <c r="K4898" i="1"/>
  <c r="L4898" i="1"/>
  <c r="M4898" i="1"/>
  <c r="N4898" i="1"/>
  <c r="O4898" i="1"/>
  <c r="P4898" i="1"/>
  <c r="Q4898" i="1"/>
  <c r="R4898" i="1"/>
  <c r="S4898" i="1"/>
  <c r="T4898" i="1"/>
  <c r="U4898" i="1"/>
  <c r="V4898" i="1"/>
  <c r="W4898" i="1"/>
  <c r="X4898" i="1"/>
  <c r="Y4898" i="1"/>
  <c r="Z4898" i="1"/>
  <c r="A4899" i="1"/>
  <c r="B4899" i="1"/>
  <c r="C4899" i="1"/>
  <c r="D4899" i="1"/>
  <c r="E4899" i="1"/>
  <c r="F4899" i="1"/>
  <c r="G4899" i="1"/>
  <c r="I4899" i="1"/>
  <c r="J4899" i="1"/>
  <c r="K4899" i="1"/>
  <c r="L4899" i="1"/>
  <c r="M4899" i="1"/>
  <c r="N4899" i="1"/>
  <c r="O4899" i="1"/>
  <c r="P4899" i="1"/>
  <c r="Q4899" i="1"/>
  <c r="R4899" i="1"/>
  <c r="S4899" i="1"/>
  <c r="T4899" i="1"/>
  <c r="U4899" i="1"/>
  <c r="V4899" i="1"/>
  <c r="W4899" i="1"/>
  <c r="X4899" i="1"/>
  <c r="Y4899" i="1"/>
  <c r="Z4899" i="1"/>
  <c r="A4900" i="1"/>
  <c r="B4900" i="1"/>
  <c r="C4900" i="1"/>
  <c r="D4900" i="1"/>
  <c r="E4900" i="1"/>
  <c r="F4900" i="1"/>
  <c r="G4900" i="1"/>
  <c r="I4900" i="1"/>
  <c r="J4900" i="1"/>
  <c r="K4900" i="1"/>
  <c r="L4900" i="1"/>
  <c r="M4900" i="1"/>
  <c r="N4900" i="1"/>
  <c r="O4900" i="1"/>
  <c r="P4900" i="1"/>
  <c r="Q4900" i="1"/>
  <c r="R4900" i="1"/>
  <c r="S4900" i="1"/>
  <c r="T4900" i="1"/>
  <c r="U4900" i="1"/>
  <c r="V4900" i="1"/>
  <c r="W4900" i="1"/>
  <c r="X4900" i="1"/>
  <c r="Y4900" i="1"/>
  <c r="Z4900" i="1"/>
  <c r="A4901" i="1"/>
  <c r="B4901" i="1"/>
  <c r="C4901" i="1"/>
  <c r="D4901" i="1"/>
  <c r="E4901" i="1"/>
  <c r="F4901" i="1"/>
  <c r="G4901" i="1"/>
  <c r="I4901" i="1"/>
  <c r="J4901" i="1"/>
  <c r="K4901" i="1"/>
  <c r="L4901" i="1"/>
  <c r="M4901" i="1"/>
  <c r="N4901" i="1"/>
  <c r="O4901" i="1"/>
  <c r="P4901" i="1"/>
  <c r="Q4901" i="1"/>
  <c r="R4901" i="1"/>
  <c r="S4901" i="1"/>
  <c r="T4901" i="1"/>
  <c r="U4901" i="1"/>
  <c r="V4901" i="1"/>
  <c r="W4901" i="1"/>
  <c r="X4901" i="1"/>
  <c r="Y4901" i="1"/>
  <c r="Z4901" i="1"/>
  <c r="A4902" i="1"/>
  <c r="B4902" i="1"/>
  <c r="C4902" i="1"/>
  <c r="D4902" i="1"/>
  <c r="E4902" i="1"/>
  <c r="F4902" i="1"/>
  <c r="G4902" i="1"/>
  <c r="I4902" i="1"/>
  <c r="J4902" i="1"/>
  <c r="K4902" i="1"/>
  <c r="L4902" i="1"/>
  <c r="M4902" i="1"/>
  <c r="N4902" i="1"/>
  <c r="O4902" i="1"/>
  <c r="P4902" i="1"/>
  <c r="Q4902" i="1"/>
  <c r="R4902" i="1"/>
  <c r="S4902" i="1"/>
  <c r="T4902" i="1"/>
  <c r="U4902" i="1"/>
  <c r="V4902" i="1"/>
  <c r="W4902" i="1"/>
  <c r="X4902" i="1"/>
  <c r="Y4902" i="1"/>
  <c r="Z4902" i="1"/>
  <c r="A4903" i="1"/>
  <c r="B4903" i="1"/>
  <c r="C4903" i="1"/>
  <c r="D4903" i="1"/>
  <c r="E4903" i="1"/>
  <c r="F4903" i="1"/>
  <c r="G4903" i="1"/>
  <c r="I4903" i="1"/>
  <c r="J4903" i="1"/>
  <c r="K4903" i="1"/>
  <c r="L4903" i="1"/>
  <c r="M4903" i="1"/>
  <c r="N4903" i="1"/>
  <c r="O4903" i="1"/>
  <c r="P4903" i="1"/>
  <c r="Q4903" i="1"/>
  <c r="R4903" i="1"/>
  <c r="S4903" i="1"/>
  <c r="T4903" i="1"/>
  <c r="U4903" i="1"/>
  <c r="V4903" i="1"/>
  <c r="W4903" i="1"/>
  <c r="X4903" i="1"/>
  <c r="Y4903" i="1"/>
  <c r="Z4903" i="1"/>
  <c r="A4904" i="1"/>
  <c r="B4904" i="1"/>
  <c r="C4904" i="1"/>
  <c r="D4904" i="1"/>
  <c r="E4904" i="1"/>
  <c r="F4904" i="1"/>
  <c r="G4904" i="1"/>
  <c r="I4904" i="1"/>
  <c r="J4904" i="1"/>
  <c r="K4904" i="1"/>
  <c r="L4904" i="1"/>
  <c r="M4904" i="1"/>
  <c r="N4904" i="1"/>
  <c r="O4904" i="1"/>
  <c r="P4904" i="1"/>
  <c r="Q4904" i="1"/>
  <c r="R4904" i="1"/>
  <c r="S4904" i="1"/>
  <c r="T4904" i="1"/>
  <c r="U4904" i="1"/>
  <c r="V4904" i="1"/>
  <c r="W4904" i="1"/>
  <c r="X4904" i="1"/>
  <c r="Y4904" i="1"/>
  <c r="Z4904" i="1"/>
  <c r="A4905" i="1"/>
  <c r="B4905" i="1"/>
  <c r="C4905" i="1"/>
  <c r="D4905" i="1"/>
  <c r="E4905" i="1"/>
  <c r="F4905" i="1"/>
  <c r="G4905" i="1"/>
  <c r="I4905" i="1"/>
  <c r="J4905" i="1"/>
  <c r="K4905" i="1"/>
  <c r="L4905" i="1"/>
  <c r="M4905" i="1"/>
  <c r="N4905" i="1"/>
  <c r="O4905" i="1"/>
  <c r="P4905" i="1"/>
  <c r="Q4905" i="1"/>
  <c r="R4905" i="1"/>
  <c r="S4905" i="1"/>
  <c r="T4905" i="1"/>
  <c r="U4905" i="1"/>
  <c r="V4905" i="1"/>
  <c r="W4905" i="1"/>
  <c r="X4905" i="1"/>
  <c r="Y4905" i="1"/>
  <c r="Z4905" i="1"/>
  <c r="A4906" i="1"/>
  <c r="B4906" i="1"/>
  <c r="C4906" i="1"/>
  <c r="D4906" i="1"/>
  <c r="E4906" i="1"/>
  <c r="F4906" i="1"/>
  <c r="G4906" i="1"/>
  <c r="I4906" i="1"/>
  <c r="J4906" i="1"/>
  <c r="K4906" i="1"/>
  <c r="L4906" i="1"/>
  <c r="M4906" i="1"/>
  <c r="N4906" i="1"/>
  <c r="O4906" i="1"/>
  <c r="P4906" i="1"/>
  <c r="Q4906" i="1"/>
  <c r="R4906" i="1"/>
  <c r="S4906" i="1"/>
  <c r="T4906" i="1"/>
  <c r="U4906" i="1"/>
  <c r="V4906" i="1"/>
  <c r="W4906" i="1"/>
  <c r="X4906" i="1"/>
  <c r="Y4906" i="1"/>
  <c r="Z4906" i="1"/>
  <c r="A4907" i="1"/>
  <c r="B4907" i="1"/>
  <c r="C4907" i="1"/>
  <c r="D4907" i="1"/>
  <c r="E4907" i="1"/>
  <c r="F4907" i="1"/>
  <c r="G4907" i="1"/>
  <c r="I4907" i="1"/>
  <c r="J4907" i="1"/>
  <c r="K4907" i="1"/>
  <c r="L4907" i="1"/>
  <c r="M4907" i="1"/>
  <c r="N4907" i="1"/>
  <c r="O4907" i="1"/>
  <c r="P4907" i="1"/>
  <c r="Q4907" i="1"/>
  <c r="R4907" i="1"/>
  <c r="S4907" i="1"/>
  <c r="T4907" i="1"/>
  <c r="U4907" i="1"/>
  <c r="V4907" i="1"/>
  <c r="W4907" i="1"/>
  <c r="X4907" i="1"/>
  <c r="Y4907" i="1"/>
  <c r="Z4907" i="1"/>
  <c r="A4908" i="1"/>
  <c r="B4908" i="1"/>
  <c r="C4908" i="1"/>
  <c r="D4908" i="1"/>
  <c r="E4908" i="1"/>
  <c r="F4908" i="1"/>
  <c r="G4908" i="1"/>
  <c r="I4908" i="1"/>
  <c r="J4908" i="1"/>
  <c r="K4908" i="1"/>
  <c r="L4908" i="1"/>
  <c r="M4908" i="1"/>
  <c r="N4908" i="1"/>
  <c r="O4908" i="1"/>
  <c r="P4908" i="1"/>
  <c r="Q4908" i="1"/>
  <c r="R4908" i="1"/>
  <c r="S4908" i="1"/>
  <c r="T4908" i="1"/>
  <c r="U4908" i="1"/>
  <c r="V4908" i="1"/>
  <c r="W4908" i="1"/>
  <c r="X4908" i="1"/>
  <c r="Y4908" i="1"/>
  <c r="Z4908" i="1"/>
  <c r="A4909" i="1"/>
  <c r="B4909" i="1"/>
  <c r="C4909" i="1"/>
  <c r="D4909" i="1"/>
  <c r="E4909" i="1"/>
  <c r="F4909" i="1"/>
  <c r="G4909" i="1"/>
  <c r="I4909" i="1"/>
  <c r="J4909" i="1"/>
  <c r="K4909" i="1"/>
  <c r="L4909" i="1"/>
  <c r="M4909" i="1"/>
  <c r="N4909" i="1"/>
  <c r="O4909" i="1"/>
  <c r="P4909" i="1"/>
  <c r="Q4909" i="1"/>
  <c r="R4909" i="1"/>
  <c r="S4909" i="1"/>
  <c r="T4909" i="1"/>
  <c r="U4909" i="1"/>
  <c r="V4909" i="1"/>
  <c r="W4909" i="1"/>
  <c r="X4909" i="1"/>
  <c r="Y4909" i="1"/>
  <c r="Z4909" i="1"/>
  <c r="A4910" i="1"/>
  <c r="B4910" i="1"/>
  <c r="C4910" i="1"/>
  <c r="D4910" i="1"/>
  <c r="E4910" i="1"/>
  <c r="F4910" i="1"/>
  <c r="G4910" i="1"/>
  <c r="I4910" i="1"/>
  <c r="J4910" i="1"/>
  <c r="K4910" i="1"/>
  <c r="L4910" i="1"/>
  <c r="M4910" i="1"/>
  <c r="N4910" i="1"/>
  <c r="O4910" i="1"/>
  <c r="P4910" i="1"/>
  <c r="Q4910" i="1"/>
  <c r="R4910" i="1"/>
  <c r="S4910" i="1"/>
  <c r="T4910" i="1"/>
  <c r="U4910" i="1"/>
  <c r="V4910" i="1"/>
  <c r="W4910" i="1"/>
  <c r="X4910" i="1"/>
  <c r="Y4910" i="1"/>
  <c r="Z4910" i="1"/>
  <c r="A4911" i="1"/>
  <c r="B4911" i="1"/>
  <c r="C4911" i="1"/>
  <c r="D4911" i="1"/>
  <c r="E4911" i="1"/>
  <c r="F4911" i="1"/>
  <c r="G4911" i="1"/>
  <c r="I4911" i="1"/>
  <c r="J4911" i="1"/>
  <c r="K4911" i="1"/>
  <c r="L4911" i="1"/>
  <c r="M4911" i="1"/>
  <c r="N4911" i="1"/>
  <c r="O4911" i="1"/>
  <c r="P4911" i="1"/>
  <c r="Q4911" i="1"/>
  <c r="R4911" i="1"/>
  <c r="S4911" i="1"/>
  <c r="T4911" i="1"/>
  <c r="U4911" i="1"/>
  <c r="V4911" i="1"/>
  <c r="W4911" i="1"/>
  <c r="X4911" i="1"/>
  <c r="Y4911" i="1"/>
  <c r="Z4911" i="1"/>
  <c r="A4912" i="1"/>
  <c r="B4912" i="1"/>
  <c r="C4912" i="1"/>
  <c r="D4912" i="1"/>
  <c r="E4912" i="1"/>
  <c r="F4912" i="1"/>
  <c r="G4912" i="1"/>
  <c r="I4912" i="1"/>
  <c r="J4912" i="1"/>
  <c r="K4912" i="1"/>
  <c r="L4912" i="1"/>
  <c r="M4912" i="1"/>
  <c r="N4912" i="1"/>
  <c r="O4912" i="1"/>
  <c r="P4912" i="1"/>
  <c r="Q4912" i="1"/>
  <c r="R4912" i="1"/>
  <c r="S4912" i="1"/>
  <c r="T4912" i="1"/>
  <c r="U4912" i="1"/>
  <c r="V4912" i="1"/>
  <c r="W4912" i="1"/>
  <c r="X4912" i="1"/>
  <c r="Y4912" i="1"/>
  <c r="Z4912" i="1"/>
  <c r="A4913" i="1"/>
  <c r="B4913" i="1"/>
  <c r="C4913" i="1"/>
  <c r="D4913" i="1"/>
  <c r="E4913" i="1"/>
  <c r="F4913" i="1"/>
  <c r="G4913" i="1"/>
  <c r="I4913" i="1"/>
  <c r="J4913" i="1"/>
  <c r="K4913" i="1"/>
  <c r="L4913" i="1"/>
  <c r="M4913" i="1"/>
  <c r="N4913" i="1"/>
  <c r="O4913" i="1"/>
  <c r="P4913" i="1"/>
  <c r="Q4913" i="1"/>
  <c r="R4913" i="1"/>
  <c r="S4913" i="1"/>
  <c r="T4913" i="1"/>
  <c r="U4913" i="1"/>
  <c r="V4913" i="1"/>
  <c r="W4913" i="1"/>
  <c r="X4913" i="1"/>
  <c r="Y4913" i="1"/>
  <c r="Z4913" i="1"/>
  <c r="A4914" i="1"/>
  <c r="B4914" i="1"/>
  <c r="C4914" i="1"/>
  <c r="D4914" i="1"/>
  <c r="E4914" i="1"/>
  <c r="F4914" i="1"/>
  <c r="G4914" i="1"/>
  <c r="I4914" i="1"/>
  <c r="J4914" i="1"/>
  <c r="K4914" i="1"/>
  <c r="L4914" i="1"/>
  <c r="M4914" i="1"/>
  <c r="N4914" i="1"/>
  <c r="O4914" i="1"/>
  <c r="P4914" i="1"/>
  <c r="Q4914" i="1"/>
  <c r="R4914" i="1"/>
  <c r="S4914" i="1"/>
  <c r="T4914" i="1"/>
  <c r="U4914" i="1"/>
  <c r="V4914" i="1"/>
  <c r="W4914" i="1"/>
  <c r="X4914" i="1"/>
  <c r="Y4914" i="1"/>
  <c r="Z4914" i="1"/>
  <c r="A4915" i="1"/>
  <c r="B4915" i="1"/>
  <c r="C4915" i="1"/>
  <c r="D4915" i="1"/>
  <c r="E4915" i="1"/>
  <c r="F4915" i="1"/>
  <c r="G4915" i="1"/>
  <c r="I4915" i="1"/>
  <c r="J4915" i="1"/>
  <c r="K4915" i="1"/>
  <c r="L4915" i="1"/>
  <c r="M4915" i="1"/>
  <c r="N4915" i="1"/>
  <c r="O4915" i="1"/>
  <c r="P4915" i="1"/>
  <c r="Q4915" i="1"/>
  <c r="R4915" i="1"/>
  <c r="S4915" i="1"/>
  <c r="T4915" i="1"/>
  <c r="U4915" i="1"/>
  <c r="V4915" i="1"/>
  <c r="W4915" i="1"/>
  <c r="X4915" i="1"/>
  <c r="Y4915" i="1"/>
  <c r="Z4915" i="1"/>
  <c r="A4916" i="1"/>
  <c r="B4916" i="1"/>
  <c r="C4916" i="1"/>
  <c r="D4916" i="1"/>
  <c r="E4916" i="1"/>
  <c r="F4916" i="1"/>
  <c r="G4916" i="1"/>
  <c r="I4916" i="1"/>
  <c r="J4916" i="1"/>
  <c r="K4916" i="1"/>
  <c r="L4916" i="1"/>
  <c r="M4916" i="1"/>
  <c r="N4916" i="1"/>
  <c r="O4916" i="1"/>
  <c r="P4916" i="1"/>
  <c r="Q4916" i="1"/>
  <c r="R4916" i="1"/>
  <c r="S4916" i="1"/>
  <c r="T4916" i="1"/>
  <c r="U4916" i="1"/>
  <c r="V4916" i="1"/>
  <c r="W4916" i="1"/>
  <c r="X4916" i="1"/>
  <c r="Y4916" i="1"/>
  <c r="Z4916" i="1"/>
  <c r="A4917" i="1"/>
  <c r="B4917" i="1"/>
  <c r="C4917" i="1"/>
  <c r="D4917" i="1"/>
  <c r="E4917" i="1"/>
  <c r="F4917" i="1"/>
  <c r="G4917" i="1"/>
  <c r="I4917" i="1"/>
  <c r="J4917" i="1"/>
  <c r="K4917" i="1"/>
  <c r="L4917" i="1"/>
  <c r="M4917" i="1"/>
  <c r="N4917" i="1"/>
  <c r="O4917" i="1"/>
  <c r="P4917" i="1"/>
  <c r="Q4917" i="1"/>
  <c r="R4917" i="1"/>
  <c r="S4917" i="1"/>
  <c r="T4917" i="1"/>
  <c r="U4917" i="1"/>
  <c r="V4917" i="1"/>
  <c r="W4917" i="1"/>
  <c r="X4917" i="1"/>
  <c r="Y4917" i="1"/>
  <c r="Z4917" i="1"/>
  <c r="A4918" i="1"/>
  <c r="B4918" i="1"/>
  <c r="C4918" i="1"/>
  <c r="D4918" i="1"/>
  <c r="E4918" i="1"/>
  <c r="F4918" i="1"/>
  <c r="G4918" i="1"/>
  <c r="I4918" i="1"/>
  <c r="J4918" i="1"/>
  <c r="K4918" i="1"/>
  <c r="L4918" i="1"/>
  <c r="M4918" i="1"/>
  <c r="N4918" i="1"/>
  <c r="O4918" i="1"/>
  <c r="P4918" i="1"/>
  <c r="Q4918" i="1"/>
  <c r="R4918" i="1"/>
  <c r="S4918" i="1"/>
  <c r="T4918" i="1"/>
  <c r="U4918" i="1"/>
  <c r="V4918" i="1"/>
  <c r="W4918" i="1"/>
  <c r="X4918" i="1"/>
  <c r="Y4918" i="1"/>
  <c r="Z4918" i="1"/>
  <c r="A4919" i="1"/>
  <c r="B4919" i="1"/>
  <c r="C4919" i="1"/>
  <c r="D4919" i="1"/>
  <c r="E4919" i="1"/>
  <c r="F4919" i="1"/>
  <c r="G4919" i="1"/>
  <c r="I4919" i="1"/>
  <c r="J4919" i="1"/>
  <c r="K4919" i="1"/>
  <c r="L4919" i="1"/>
  <c r="M4919" i="1"/>
  <c r="N4919" i="1"/>
  <c r="O4919" i="1"/>
  <c r="P4919" i="1"/>
  <c r="Q4919" i="1"/>
  <c r="R4919" i="1"/>
  <c r="S4919" i="1"/>
  <c r="T4919" i="1"/>
  <c r="U4919" i="1"/>
  <c r="V4919" i="1"/>
  <c r="W4919" i="1"/>
  <c r="X4919" i="1"/>
  <c r="Y4919" i="1"/>
  <c r="Z4919" i="1"/>
  <c r="A4920" i="1"/>
  <c r="B4920" i="1"/>
  <c r="C4920" i="1"/>
  <c r="D4920" i="1"/>
  <c r="E4920" i="1"/>
  <c r="F4920" i="1"/>
  <c r="G4920" i="1"/>
  <c r="I4920" i="1"/>
  <c r="J4920" i="1"/>
  <c r="K4920" i="1"/>
  <c r="L4920" i="1"/>
  <c r="M4920" i="1"/>
  <c r="N4920" i="1"/>
  <c r="O4920" i="1"/>
  <c r="P4920" i="1"/>
  <c r="Q4920" i="1"/>
  <c r="R4920" i="1"/>
  <c r="S4920" i="1"/>
  <c r="T4920" i="1"/>
  <c r="U4920" i="1"/>
  <c r="V4920" i="1"/>
  <c r="W4920" i="1"/>
  <c r="X4920" i="1"/>
  <c r="Y4920" i="1"/>
  <c r="Z4920" i="1"/>
  <c r="A4921" i="1"/>
  <c r="B4921" i="1"/>
  <c r="C4921" i="1"/>
  <c r="D4921" i="1"/>
  <c r="E4921" i="1"/>
  <c r="F4921" i="1"/>
  <c r="G4921" i="1"/>
  <c r="I4921" i="1"/>
  <c r="J4921" i="1"/>
  <c r="K4921" i="1"/>
  <c r="L4921" i="1"/>
  <c r="M4921" i="1"/>
  <c r="N4921" i="1"/>
  <c r="O4921" i="1"/>
  <c r="P4921" i="1"/>
  <c r="Q4921" i="1"/>
  <c r="R4921" i="1"/>
  <c r="S4921" i="1"/>
  <c r="T4921" i="1"/>
  <c r="U4921" i="1"/>
  <c r="V4921" i="1"/>
  <c r="W4921" i="1"/>
  <c r="X4921" i="1"/>
  <c r="Y4921" i="1"/>
  <c r="Z4921" i="1"/>
  <c r="A4922" i="1"/>
  <c r="B4922" i="1"/>
  <c r="C4922" i="1"/>
  <c r="D4922" i="1"/>
  <c r="E4922" i="1"/>
  <c r="F4922" i="1"/>
  <c r="G4922" i="1"/>
  <c r="I4922" i="1"/>
  <c r="J4922" i="1"/>
  <c r="K4922" i="1"/>
  <c r="L4922" i="1"/>
  <c r="M4922" i="1"/>
  <c r="N4922" i="1"/>
  <c r="O4922" i="1"/>
  <c r="P4922" i="1"/>
  <c r="Q4922" i="1"/>
  <c r="R4922" i="1"/>
  <c r="S4922" i="1"/>
  <c r="T4922" i="1"/>
  <c r="U4922" i="1"/>
  <c r="V4922" i="1"/>
  <c r="W4922" i="1"/>
  <c r="X4922" i="1"/>
  <c r="Y4922" i="1"/>
  <c r="Z4922" i="1"/>
  <c r="A4923" i="1"/>
  <c r="B4923" i="1"/>
  <c r="C4923" i="1"/>
  <c r="D4923" i="1"/>
  <c r="E4923" i="1"/>
  <c r="F4923" i="1"/>
  <c r="G4923" i="1"/>
  <c r="I4923" i="1"/>
  <c r="J4923" i="1"/>
  <c r="K4923" i="1"/>
  <c r="L4923" i="1"/>
  <c r="M4923" i="1"/>
  <c r="N4923" i="1"/>
  <c r="O4923" i="1"/>
  <c r="P4923" i="1"/>
  <c r="Q4923" i="1"/>
  <c r="R4923" i="1"/>
  <c r="S4923" i="1"/>
  <c r="T4923" i="1"/>
  <c r="U4923" i="1"/>
  <c r="V4923" i="1"/>
  <c r="W4923" i="1"/>
  <c r="X4923" i="1"/>
  <c r="Y4923" i="1"/>
  <c r="Z4923" i="1"/>
  <c r="A4924" i="1"/>
  <c r="B4924" i="1"/>
  <c r="C4924" i="1"/>
  <c r="D4924" i="1"/>
  <c r="E4924" i="1"/>
  <c r="F4924" i="1"/>
  <c r="G4924" i="1"/>
  <c r="I4924" i="1"/>
  <c r="J4924" i="1"/>
  <c r="K4924" i="1"/>
  <c r="L4924" i="1"/>
  <c r="M4924" i="1"/>
  <c r="N4924" i="1"/>
  <c r="O4924" i="1"/>
  <c r="P4924" i="1"/>
  <c r="Q4924" i="1"/>
  <c r="R4924" i="1"/>
  <c r="S4924" i="1"/>
  <c r="T4924" i="1"/>
  <c r="U4924" i="1"/>
  <c r="V4924" i="1"/>
  <c r="W4924" i="1"/>
  <c r="X4924" i="1"/>
  <c r="Y4924" i="1"/>
  <c r="Z4924" i="1"/>
  <c r="A4925" i="1"/>
  <c r="B4925" i="1"/>
  <c r="C4925" i="1"/>
  <c r="D4925" i="1"/>
  <c r="E4925" i="1"/>
  <c r="F4925" i="1"/>
  <c r="G4925" i="1"/>
  <c r="I4925" i="1"/>
  <c r="J4925" i="1"/>
  <c r="K4925" i="1"/>
  <c r="L4925" i="1"/>
  <c r="M4925" i="1"/>
  <c r="N4925" i="1"/>
  <c r="O4925" i="1"/>
  <c r="P4925" i="1"/>
  <c r="Q4925" i="1"/>
  <c r="R4925" i="1"/>
  <c r="S4925" i="1"/>
  <c r="T4925" i="1"/>
  <c r="U4925" i="1"/>
  <c r="V4925" i="1"/>
  <c r="W4925" i="1"/>
  <c r="X4925" i="1"/>
  <c r="Y4925" i="1"/>
  <c r="Z4925" i="1"/>
  <c r="A4926" i="1"/>
  <c r="B4926" i="1"/>
  <c r="C4926" i="1"/>
  <c r="D4926" i="1"/>
  <c r="E4926" i="1"/>
  <c r="F4926" i="1"/>
  <c r="G4926" i="1"/>
  <c r="I4926" i="1"/>
  <c r="J4926" i="1"/>
  <c r="K4926" i="1"/>
  <c r="L4926" i="1"/>
  <c r="M4926" i="1"/>
  <c r="N4926" i="1"/>
  <c r="O4926" i="1"/>
  <c r="P4926" i="1"/>
  <c r="Q4926" i="1"/>
  <c r="R4926" i="1"/>
  <c r="S4926" i="1"/>
  <c r="T4926" i="1"/>
  <c r="U4926" i="1"/>
  <c r="V4926" i="1"/>
  <c r="W4926" i="1"/>
  <c r="X4926" i="1"/>
  <c r="Y4926" i="1"/>
  <c r="Z4926" i="1"/>
  <c r="A4927" i="1"/>
  <c r="B4927" i="1"/>
  <c r="C4927" i="1"/>
  <c r="D4927" i="1"/>
  <c r="E4927" i="1"/>
  <c r="F4927" i="1"/>
  <c r="G4927" i="1"/>
  <c r="I4927" i="1"/>
  <c r="J4927" i="1"/>
  <c r="K4927" i="1"/>
  <c r="L4927" i="1"/>
  <c r="M4927" i="1"/>
  <c r="N4927" i="1"/>
  <c r="O4927" i="1"/>
  <c r="P4927" i="1"/>
  <c r="Q4927" i="1"/>
  <c r="R4927" i="1"/>
  <c r="S4927" i="1"/>
  <c r="T4927" i="1"/>
  <c r="U4927" i="1"/>
  <c r="V4927" i="1"/>
  <c r="W4927" i="1"/>
  <c r="X4927" i="1"/>
  <c r="Y4927" i="1"/>
  <c r="Z4927" i="1"/>
  <c r="A4928" i="1"/>
  <c r="B4928" i="1"/>
  <c r="C4928" i="1"/>
  <c r="D4928" i="1"/>
  <c r="E4928" i="1"/>
  <c r="F4928" i="1"/>
  <c r="G4928" i="1"/>
  <c r="I4928" i="1"/>
  <c r="J4928" i="1"/>
  <c r="K4928" i="1"/>
  <c r="L4928" i="1"/>
  <c r="M4928" i="1"/>
  <c r="N4928" i="1"/>
  <c r="O4928" i="1"/>
  <c r="P4928" i="1"/>
  <c r="Q4928" i="1"/>
  <c r="R4928" i="1"/>
  <c r="S4928" i="1"/>
  <c r="T4928" i="1"/>
  <c r="U4928" i="1"/>
  <c r="V4928" i="1"/>
  <c r="W4928" i="1"/>
  <c r="X4928" i="1"/>
  <c r="Y4928" i="1"/>
  <c r="Z4928" i="1"/>
  <c r="A4929" i="1"/>
  <c r="B4929" i="1"/>
  <c r="C4929" i="1"/>
  <c r="D4929" i="1"/>
  <c r="E4929" i="1"/>
  <c r="F4929" i="1"/>
  <c r="G4929" i="1"/>
  <c r="I4929" i="1"/>
  <c r="J4929" i="1"/>
  <c r="K4929" i="1"/>
  <c r="L4929" i="1"/>
  <c r="M4929" i="1"/>
  <c r="N4929" i="1"/>
  <c r="O4929" i="1"/>
  <c r="P4929" i="1"/>
  <c r="Q4929" i="1"/>
  <c r="R4929" i="1"/>
  <c r="S4929" i="1"/>
  <c r="T4929" i="1"/>
  <c r="U4929" i="1"/>
  <c r="V4929" i="1"/>
  <c r="W4929" i="1"/>
  <c r="X4929" i="1"/>
  <c r="Y4929" i="1"/>
  <c r="Z4929" i="1"/>
  <c r="A4930" i="1"/>
  <c r="B4930" i="1"/>
  <c r="C4930" i="1"/>
  <c r="D4930" i="1"/>
  <c r="E4930" i="1"/>
  <c r="F4930" i="1"/>
  <c r="G4930" i="1"/>
  <c r="I4930" i="1"/>
  <c r="J4930" i="1"/>
  <c r="K4930" i="1"/>
  <c r="L4930" i="1"/>
  <c r="M4930" i="1"/>
  <c r="N4930" i="1"/>
  <c r="O4930" i="1"/>
  <c r="P4930" i="1"/>
  <c r="Q4930" i="1"/>
  <c r="R4930" i="1"/>
  <c r="S4930" i="1"/>
  <c r="T4930" i="1"/>
  <c r="U4930" i="1"/>
  <c r="V4930" i="1"/>
  <c r="W4930" i="1"/>
  <c r="X4930" i="1"/>
  <c r="Y4930" i="1"/>
  <c r="Z4930" i="1"/>
  <c r="A4931" i="1"/>
  <c r="B4931" i="1"/>
  <c r="C4931" i="1"/>
  <c r="D4931" i="1"/>
  <c r="E4931" i="1"/>
  <c r="F4931" i="1"/>
  <c r="G4931" i="1"/>
  <c r="I4931" i="1"/>
  <c r="J4931" i="1"/>
  <c r="K4931" i="1"/>
  <c r="L4931" i="1"/>
  <c r="M4931" i="1"/>
  <c r="N4931" i="1"/>
  <c r="O4931" i="1"/>
  <c r="P4931" i="1"/>
  <c r="Q4931" i="1"/>
  <c r="R4931" i="1"/>
  <c r="S4931" i="1"/>
  <c r="T4931" i="1"/>
  <c r="U4931" i="1"/>
  <c r="V4931" i="1"/>
  <c r="W4931" i="1"/>
  <c r="X4931" i="1"/>
  <c r="Y4931" i="1"/>
  <c r="Z4931" i="1"/>
  <c r="A4932" i="1"/>
  <c r="B4932" i="1"/>
  <c r="C4932" i="1"/>
  <c r="D4932" i="1"/>
  <c r="E4932" i="1"/>
  <c r="F4932" i="1"/>
  <c r="G4932" i="1"/>
  <c r="I4932" i="1"/>
  <c r="J4932" i="1"/>
  <c r="K4932" i="1"/>
  <c r="L4932" i="1"/>
  <c r="M4932" i="1"/>
  <c r="N4932" i="1"/>
  <c r="O4932" i="1"/>
  <c r="P4932" i="1"/>
  <c r="Q4932" i="1"/>
  <c r="R4932" i="1"/>
  <c r="S4932" i="1"/>
  <c r="T4932" i="1"/>
  <c r="U4932" i="1"/>
  <c r="V4932" i="1"/>
  <c r="W4932" i="1"/>
  <c r="X4932" i="1"/>
  <c r="Y4932" i="1"/>
  <c r="Z4932" i="1"/>
  <c r="A4933" i="1"/>
  <c r="B4933" i="1"/>
  <c r="C4933" i="1"/>
  <c r="D4933" i="1"/>
  <c r="E4933" i="1"/>
  <c r="F4933" i="1"/>
  <c r="G4933" i="1"/>
  <c r="I4933" i="1"/>
  <c r="J4933" i="1"/>
  <c r="K4933" i="1"/>
  <c r="L4933" i="1"/>
  <c r="M4933" i="1"/>
  <c r="N4933" i="1"/>
  <c r="O4933" i="1"/>
  <c r="P4933" i="1"/>
  <c r="Q4933" i="1"/>
  <c r="R4933" i="1"/>
  <c r="S4933" i="1"/>
  <c r="T4933" i="1"/>
  <c r="U4933" i="1"/>
  <c r="V4933" i="1"/>
  <c r="W4933" i="1"/>
  <c r="X4933" i="1"/>
  <c r="Y4933" i="1"/>
  <c r="Z4933" i="1"/>
  <c r="A4934" i="1"/>
  <c r="B4934" i="1"/>
  <c r="C4934" i="1"/>
  <c r="D4934" i="1"/>
  <c r="E4934" i="1"/>
  <c r="F4934" i="1"/>
  <c r="G4934" i="1"/>
  <c r="I4934" i="1"/>
  <c r="J4934" i="1"/>
  <c r="K4934" i="1"/>
  <c r="L4934" i="1"/>
  <c r="M4934" i="1"/>
  <c r="N4934" i="1"/>
  <c r="O4934" i="1"/>
  <c r="P4934" i="1"/>
  <c r="Q4934" i="1"/>
  <c r="R4934" i="1"/>
  <c r="S4934" i="1"/>
  <c r="T4934" i="1"/>
  <c r="U4934" i="1"/>
  <c r="V4934" i="1"/>
  <c r="W4934" i="1"/>
  <c r="X4934" i="1"/>
  <c r="Y4934" i="1"/>
  <c r="Z4934" i="1"/>
  <c r="A4935" i="1"/>
  <c r="B4935" i="1"/>
  <c r="C4935" i="1"/>
  <c r="D4935" i="1"/>
  <c r="E4935" i="1"/>
  <c r="F4935" i="1"/>
  <c r="G4935" i="1"/>
  <c r="I4935" i="1"/>
  <c r="J4935" i="1"/>
  <c r="K4935" i="1"/>
  <c r="L4935" i="1"/>
  <c r="M4935" i="1"/>
  <c r="N4935" i="1"/>
  <c r="O4935" i="1"/>
  <c r="P4935" i="1"/>
  <c r="Q4935" i="1"/>
  <c r="R4935" i="1"/>
  <c r="S4935" i="1"/>
  <c r="T4935" i="1"/>
  <c r="U4935" i="1"/>
  <c r="V4935" i="1"/>
  <c r="W4935" i="1"/>
  <c r="X4935" i="1"/>
  <c r="Y4935" i="1"/>
  <c r="Z4935" i="1"/>
  <c r="A4936" i="1"/>
  <c r="B4936" i="1"/>
  <c r="C4936" i="1"/>
  <c r="D4936" i="1"/>
  <c r="E4936" i="1"/>
  <c r="F4936" i="1"/>
  <c r="G4936" i="1"/>
  <c r="I4936" i="1"/>
  <c r="J4936" i="1"/>
  <c r="K4936" i="1"/>
  <c r="L4936" i="1"/>
  <c r="M4936" i="1"/>
  <c r="N4936" i="1"/>
  <c r="O4936" i="1"/>
  <c r="P4936" i="1"/>
  <c r="Q4936" i="1"/>
  <c r="R4936" i="1"/>
  <c r="S4936" i="1"/>
  <c r="T4936" i="1"/>
  <c r="U4936" i="1"/>
  <c r="V4936" i="1"/>
  <c r="W4936" i="1"/>
  <c r="X4936" i="1"/>
  <c r="Y4936" i="1"/>
  <c r="Z4936" i="1"/>
  <c r="A4937" i="1"/>
  <c r="B4937" i="1"/>
  <c r="C4937" i="1"/>
  <c r="D4937" i="1"/>
  <c r="E4937" i="1"/>
  <c r="F4937" i="1"/>
  <c r="G4937" i="1"/>
  <c r="I4937" i="1"/>
  <c r="J4937" i="1"/>
  <c r="K4937" i="1"/>
  <c r="L4937" i="1"/>
  <c r="M4937" i="1"/>
  <c r="N4937" i="1"/>
  <c r="O4937" i="1"/>
  <c r="P4937" i="1"/>
  <c r="Q4937" i="1"/>
  <c r="R4937" i="1"/>
  <c r="S4937" i="1"/>
  <c r="T4937" i="1"/>
  <c r="U4937" i="1"/>
  <c r="V4937" i="1"/>
  <c r="W4937" i="1"/>
  <c r="X4937" i="1"/>
  <c r="Y4937" i="1"/>
  <c r="Z4937" i="1"/>
  <c r="A4938" i="1"/>
  <c r="B4938" i="1"/>
  <c r="C4938" i="1"/>
  <c r="D4938" i="1"/>
  <c r="E4938" i="1"/>
  <c r="F4938" i="1"/>
  <c r="G4938" i="1"/>
  <c r="I4938" i="1"/>
  <c r="J4938" i="1"/>
  <c r="K4938" i="1"/>
  <c r="L4938" i="1"/>
  <c r="M4938" i="1"/>
  <c r="N4938" i="1"/>
  <c r="O4938" i="1"/>
  <c r="P4938" i="1"/>
  <c r="Q4938" i="1"/>
  <c r="R4938" i="1"/>
  <c r="S4938" i="1"/>
  <c r="T4938" i="1"/>
  <c r="U4938" i="1"/>
  <c r="V4938" i="1"/>
  <c r="W4938" i="1"/>
  <c r="X4938" i="1"/>
  <c r="Y4938" i="1"/>
  <c r="Z4938" i="1"/>
  <c r="A4939" i="1"/>
  <c r="B4939" i="1"/>
  <c r="C4939" i="1"/>
  <c r="D4939" i="1"/>
  <c r="E4939" i="1"/>
  <c r="F4939" i="1"/>
  <c r="G4939" i="1"/>
  <c r="I4939" i="1"/>
  <c r="J4939" i="1"/>
  <c r="K4939" i="1"/>
  <c r="L4939" i="1"/>
  <c r="M4939" i="1"/>
  <c r="N4939" i="1"/>
  <c r="O4939" i="1"/>
  <c r="P4939" i="1"/>
  <c r="Q4939" i="1"/>
  <c r="R4939" i="1"/>
  <c r="S4939" i="1"/>
  <c r="T4939" i="1"/>
  <c r="U4939" i="1"/>
  <c r="V4939" i="1"/>
  <c r="W4939" i="1"/>
  <c r="X4939" i="1"/>
  <c r="Y4939" i="1"/>
  <c r="Z4939" i="1"/>
  <c r="A4940" i="1"/>
  <c r="B4940" i="1"/>
  <c r="C4940" i="1"/>
  <c r="D4940" i="1"/>
  <c r="E4940" i="1"/>
  <c r="F4940" i="1"/>
  <c r="G4940" i="1"/>
  <c r="I4940" i="1"/>
  <c r="J4940" i="1"/>
  <c r="K4940" i="1"/>
  <c r="L4940" i="1"/>
  <c r="M4940" i="1"/>
  <c r="N4940" i="1"/>
  <c r="O4940" i="1"/>
  <c r="P4940" i="1"/>
  <c r="Q4940" i="1"/>
  <c r="R4940" i="1"/>
  <c r="S4940" i="1"/>
  <c r="T4940" i="1"/>
  <c r="U4940" i="1"/>
  <c r="V4940" i="1"/>
  <c r="W4940" i="1"/>
  <c r="X4940" i="1"/>
  <c r="Y4940" i="1"/>
  <c r="Z4940" i="1"/>
  <c r="A4941" i="1"/>
  <c r="B4941" i="1"/>
  <c r="C4941" i="1"/>
  <c r="D4941" i="1"/>
  <c r="E4941" i="1"/>
  <c r="F4941" i="1"/>
  <c r="G4941" i="1"/>
  <c r="I4941" i="1"/>
  <c r="J4941" i="1"/>
  <c r="K4941" i="1"/>
  <c r="L4941" i="1"/>
  <c r="M4941" i="1"/>
  <c r="N4941" i="1"/>
  <c r="O4941" i="1"/>
  <c r="P4941" i="1"/>
  <c r="Q4941" i="1"/>
  <c r="R4941" i="1"/>
  <c r="S4941" i="1"/>
  <c r="T4941" i="1"/>
  <c r="U4941" i="1"/>
  <c r="V4941" i="1"/>
  <c r="W4941" i="1"/>
  <c r="X4941" i="1"/>
  <c r="Y4941" i="1"/>
  <c r="Z4941" i="1"/>
  <c r="A4942" i="1"/>
  <c r="B4942" i="1"/>
  <c r="C4942" i="1"/>
  <c r="D4942" i="1"/>
  <c r="E4942" i="1"/>
  <c r="F4942" i="1"/>
  <c r="G4942" i="1"/>
  <c r="I4942" i="1"/>
  <c r="J4942" i="1"/>
  <c r="K4942" i="1"/>
  <c r="L4942" i="1"/>
  <c r="M4942" i="1"/>
  <c r="N4942" i="1"/>
  <c r="O4942" i="1"/>
  <c r="P4942" i="1"/>
  <c r="Q4942" i="1"/>
  <c r="R4942" i="1"/>
  <c r="S4942" i="1"/>
  <c r="T4942" i="1"/>
  <c r="U4942" i="1"/>
  <c r="V4942" i="1"/>
  <c r="W4942" i="1"/>
  <c r="X4942" i="1"/>
  <c r="Y4942" i="1"/>
  <c r="Z4942" i="1"/>
  <c r="A4943" i="1"/>
  <c r="B4943" i="1"/>
  <c r="C4943" i="1"/>
  <c r="D4943" i="1"/>
  <c r="E4943" i="1"/>
  <c r="F4943" i="1"/>
  <c r="G4943" i="1"/>
  <c r="I4943" i="1"/>
  <c r="J4943" i="1"/>
  <c r="K4943" i="1"/>
  <c r="L4943" i="1"/>
  <c r="M4943" i="1"/>
  <c r="N4943" i="1"/>
  <c r="O4943" i="1"/>
  <c r="P4943" i="1"/>
  <c r="Q4943" i="1"/>
  <c r="R4943" i="1"/>
  <c r="S4943" i="1"/>
  <c r="T4943" i="1"/>
  <c r="U4943" i="1"/>
  <c r="V4943" i="1"/>
  <c r="W4943" i="1"/>
  <c r="X4943" i="1"/>
  <c r="Y4943" i="1"/>
  <c r="Z4943" i="1"/>
  <c r="A4944" i="1"/>
  <c r="B4944" i="1"/>
  <c r="C4944" i="1"/>
  <c r="D4944" i="1"/>
  <c r="E4944" i="1"/>
  <c r="F4944" i="1"/>
  <c r="G4944" i="1"/>
  <c r="I4944" i="1"/>
  <c r="J4944" i="1"/>
  <c r="K4944" i="1"/>
  <c r="L4944" i="1"/>
  <c r="M4944" i="1"/>
  <c r="N4944" i="1"/>
  <c r="O4944" i="1"/>
  <c r="P4944" i="1"/>
  <c r="Q4944" i="1"/>
  <c r="R4944" i="1"/>
  <c r="S4944" i="1"/>
  <c r="T4944" i="1"/>
  <c r="U4944" i="1"/>
  <c r="V4944" i="1"/>
  <c r="W4944" i="1"/>
  <c r="X4944" i="1"/>
  <c r="Y4944" i="1"/>
  <c r="Z4944" i="1"/>
  <c r="A4945" i="1"/>
  <c r="B4945" i="1"/>
  <c r="C4945" i="1"/>
  <c r="D4945" i="1"/>
  <c r="E4945" i="1"/>
  <c r="F4945" i="1"/>
  <c r="G4945" i="1"/>
  <c r="I4945" i="1"/>
  <c r="J4945" i="1"/>
  <c r="K4945" i="1"/>
  <c r="L4945" i="1"/>
  <c r="M4945" i="1"/>
  <c r="N4945" i="1"/>
  <c r="O4945" i="1"/>
  <c r="P4945" i="1"/>
  <c r="Q4945" i="1"/>
  <c r="R4945" i="1"/>
  <c r="S4945" i="1"/>
  <c r="T4945" i="1"/>
  <c r="U4945" i="1"/>
  <c r="V4945" i="1"/>
  <c r="W4945" i="1"/>
  <c r="X4945" i="1"/>
  <c r="Y4945" i="1"/>
  <c r="Z4945" i="1"/>
  <c r="A4946" i="1"/>
  <c r="B4946" i="1"/>
  <c r="C4946" i="1"/>
  <c r="D4946" i="1"/>
  <c r="E4946" i="1"/>
  <c r="F4946" i="1"/>
  <c r="G4946" i="1"/>
  <c r="I4946" i="1"/>
  <c r="J4946" i="1"/>
  <c r="K4946" i="1"/>
  <c r="L4946" i="1"/>
  <c r="M4946" i="1"/>
  <c r="N4946" i="1"/>
  <c r="O4946" i="1"/>
  <c r="P4946" i="1"/>
  <c r="Q4946" i="1"/>
  <c r="R4946" i="1"/>
  <c r="S4946" i="1"/>
  <c r="T4946" i="1"/>
  <c r="U4946" i="1"/>
  <c r="V4946" i="1"/>
  <c r="W4946" i="1"/>
  <c r="X4946" i="1"/>
  <c r="Y4946" i="1"/>
  <c r="Z4946" i="1"/>
  <c r="A4947" i="1"/>
  <c r="B4947" i="1"/>
  <c r="C4947" i="1"/>
  <c r="D4947" i="1"/>
  <c r="E4947" i="1"/>
  <c r="F4947" i="1"/>
  <c r="G4947" i="1"/>
  <c r="I4947" i="1"/>
  <c r="J4947" i="1"/>
  <c r="K4947" i="1"/>
  <c r="L4947" i="1"/>
  <c r="M4947" i="1"/>
  <c r="N4947" i="1"/>
  <c r="O4947" i="1"/>
  <c r="P4947" i="1"/>
  <c r="Q4947" i="1"/>
  <c r="R4947" i="1"/>
  <c r="S4947" i="1"/>
  <c r="T4947" i="1"/>
  <c r="U4947" i="1"/>
  <c r="V4947" i="1"/>
  <c r="W4947" i="1"/>
  <c r="X4947" i="1"/>
  <c r="Y4947" i="1"/>
  <c r="Z4947" i="1"/>
  <c r="A4948" i="1"/>
  <c r="B4948" i="1"/>
  <c r="C4948" i="1"/>
  <c r="D4948" i="1"/>
  <c r="E4948" i="1"/>
  <c r="F4948" i="1"/>
  <c r="G4948" i="1"/>
  <c r="I4948" i="1"/>
  <c r="J4948" i="1"/>
  <c r="K4948" i="1"/>
  <c r="L4948" i="1"/>
  <c r="M4948" i="1"/>
  <c r="N4948" i="1"/>
  <c r="O4948" i="1"/>
  <c r="P4948" i="1"/>
  <c r="Q4948" i="1"/>
  <c r="R4948" i="1"/>
  <c r="S4948" i="1"/>
  <c r="T4948" i="1"/>
  <c r="U4948" i="1"/>
  <c r="V4948" i="1"/>
  <c r="W4948" i="1"/>
  <c r="X4948" i="1"/>
  <c r="Y4948" i="1"/>
  <c r="Z4948" i="1"/>
  <c r="A4949" i="1"/>
  <c r="B4949" i="1"/>
  <c r="C4949" i="1"/>
  <c r="D4949" i="1"/>
  <c r="E4949" i="1"/>
  <c r="F4949" i="1"/>
  <c r="G4949" i="1"/>
  <c r="I4949" i="1"/>
  <c r="J4949" i="1"/>
  <c r="K4949" i="1"/>
  <c r="L4949" i="1"/>
  <c r="M4949" i="1"/>
  <c r="N4949" i="1"/>
  <c r="O4949" i="1"/>
  <c r="P4949" i="1"/>
  <c r="Q4949" i="1"/>
  <c r="R4949" i="1"/>
  <c r="S4949" i="1"/>
  <c r="T4949" i="1"/>
  <c r="U4949" i="1"/>
  <c r="V4949" i="1"/>
  <c r="W4949" i="1"/>
  <c r="X4949" i="1"/>
  <c r="Y4949" i="1"/>
  <c r="Z4949" i="1"/>
  <c r="A4950" i="1"/>
  <c r="B4950" i="1"/>
  <c r="C4950" i="1"/>
  <c r="D4950" i="1"/>
  <c r="E4950" i="1"/>
  <c r="F4950" i="1"/>
  <c r="G4950" i="1"/>
  <c r="I4950" i="1"/>
  <c r="J4950" i="1"/>
  <c r="K4950" i="1"/>
  <c r="L4950" i="1"/>
  <c r="M4950" i="1"/>
  <c r="N4950" i="1"/>
  <c r="O4950" i="1"/>
  <c r="P4950" i="1"/>
  <c r="Q4950" i="1"/>
  <c r="R4950" i="1"/>
  <c r="S4950" i="1"/>
  <c r="T4950" i="1"/>
  <c r="U4950" i="1"/>
  <c r="V4950" i="1"/>
  <c r="W4950" i="1"/>
  <c r="X4950" i="1"/>
  <c r="Y4950" i="1"/>
  <c r="Z4950" i="1"/>
  <c r="A4951" i="1"/>
  <c r="B4951" i="1"/>
  <c r="C4951" i="1"/>
  <c r="D4951" i="1"/>
  <c r="E4951" i="1"/>
  <c r="F4951" i="1"/>
  <c r="G4951" i="1"/>
  <c r="I4951" i="1"/>
  <c r="J4951" i="1"/>
  <c r="K4951" i="1"/>
  <c r="L4951" i="1"/>
  <c r="M4951" i="1"/>
  <c r="N4951" i="1"/>
  <c r="O4951" i="1"/>
  <c r="P4951" i="1"/>
  <c r="Q4951" i="1"/>
  <c r="R4951" i="1"/>
  <c r="S4951" i="1"/>
  <c r="T4951" i="1"/>
  <c r="U4951" i="1"/>
  <c r="V4951" i="1"/>
  <c r="W4951" i="1"/>
  <c r="X4951" i="1"/>
  <c r="Y4951" i="1"/>
  <c r="Z4951" i="1"/>
  <c r="A4952" i="1"/>
  <c r="B4952" i="1"/>
  <c r="C4952" i="1"/>
  <c r="D4952" i="1"/>
  <c r="E4952" i="1"/>
  <c r="F4952" i="1"/>
  <c r="G4952" i="1"/>
  <c r="I4952" i="1"/>
  <c r="J4952" i="1"/>
  <c r="K4952" i="1"/>
  <c r="L4952" i="1"/>
  <c r="M4952" i="1"/>
  <c r="N4952" i="1"/>
  <c r="O4952" i="1"/>
  <c r="P4952" i="1"/>
  <c r="Q4952" i="1"/>
  <c r="R4952" i="1"/>
  <c r="S4952" i="1"/>
  <c r="T4952" i="1"/>
  <c r="U4952" i="1"/>
  <c r="V4952" i="1"/>
  <c r="W4952" i="1"/>
  <c r="X4952" i="1"/>
  <c r="Y4952" i="1"/>
  <c r="Z4952" i="1"/>
  <c r="A4953" i="1"/>
  <c r="B4953" i="1"/>
  <c r="C4953" i="1"/>
  <c r="D4953" i="1"/>
  <c r="E4953" i="1"/>
  <c r="F4953" i="1"/>
  <c r="G4953" i="1"/>
  <c r="I4953" i="1"/>
  <c r="J4953" i="1"/>
  <c r="K4953" i="1"/>
  <c r="L4953" i="1"/>
  <c r="M4953" i="1"/>
  <c r="N4953" i="1"/>
  <c r="O4953" i="1"/>
  <c r="P4953" i="1"/>
  <c r="Q4953" i="1"/>
  <c r="R4953" i="1"/>
  <c r="S4953" i="1"/>
  <c r="T4953" i="1"/>
  <c r="U4953" i="1"/>
  <c r="V4953" i="1"/>
  <c r="W4953" i="1"/>
  <c r="X4953" i="1"/>
  <c r="Y4953" i="1"/>
  <c r="Z4953" i="1"/>
  <c r="A4954" i="1"/>
  <c r="B4954" i="1"/>
  <c r="C4954" i="1"/>
  <c r="D4954" i="1"/>
  <c r="E4954" i="1"/>
  <c r="F4954" i="1"/>
  <c r="G4954" i="1"/>
  <c r="I4954" i="1"/>
  <c r="J4954" i="1"/>
  <c r="K4954" i="1"/>
  <c r="L4954" i="1"/>
  <c r="M4954" i="1"/>
  <c r="N4954" i="1"/>
  <c r="O4954" i="1"/>
  <c r="P4954" i="1"/>
  <c r="Q4954" i="1"/>
  <c r="R4954" i="1"/>
  <c r="S4954" i="1"/>
  <c r="T4954" i="1"/>
  <c r="U4954" i="1"/>
  <c r="V4954" i="1"/>
  <c r="W4954" i="1"/>
  <c r="X4954" i="1"/>
  <c r="Y4954" i="1"/>
  <c r="Z4954" i="1"/>
  <c r="A4955" i="1"/>
  <c r="B4955" i="1"/>
  <c r="C4955" i="1"/>
  <c r="D4955" i="1"/>
  <c r="E4955" i="1"/>
  <c r="F4955" i="1"/>
  <c r="G4955" i="1"/>
  <c r="I4955" i="1"/>
  <c r="J4955" i="1"/>
  <c r="K4955" i="1"/>
  <c r="L4955" i="1"/>
  <c r="M4955" i="1"/>
  <c r="N4955" i="1"/>
  <c r="O4955" i="1"/>
  <c r="P4955" i="1"/>
  <c r="Q4955" i="1"/>
  <c r="R4955" i="1"/>
  <c r="S4955" i="1"/>
  <c r="T4955" i="1"/>
  <c r="U4955" i="1"/>
  <c r="V4955" i="1"/>
  <c r="W4955" i="1"/>
  <c r="X4955" i="1"/>
  <c r="Y4955" i="1"/>
  <c r="Z4955" i="1"/>
  <c r="A4956" i="1"/>
  <c r="B4956" i="1"/>
  <c r="C4956" i="1"/>
  <c r="D4956" i="1"/>
  <c r="E4956" i="1"/>
  <c r="F4956" i="1"/>
  <c r="G4956" i="1"/>
  <c r="I4956" i="1"/>
  <c r="J4956" i="1"/>
  <c r="K4956" i="1"/>
  <c r="L4956" i="1"/>
  <c r="M4956" i="1"/>
  <c r="N4956" i="1"/>
  <c r="O4956" i="1"/>
  <c r="P4956" i="1"/>
  <c r="Q4956" i="1"/>
  <c r="R4956" i="1"/>
  <c r="S4956" i="1"/>
  <c r="T4956" i="1"/>
  <c r="U4956" i="1"/>
  <c r="V4956" i="1"/>
  <c r="W4956" i="1"/>
  <c r="X4956" i="1"/>
  <c r="Y4956" i="1"/>
  <c r="Z4956" i="1"/>
  <c r="A4957" i="1"/>
  <c r="B4957" i="1"/>
  <c r="C4957" i="1"/>
  <c r="D4957" i="1"/>
  <c r="E4957" i="1"/>
  <c r="F4957" i="1"/>
  <c r="G4957" i="1"/>
  <c r="I4957" i="1"/>
  <c r="J4957" i="1"/>
  <c r="K4957" i="1"/>
  <c r="L4957" i="1"/>
  <c r="M4957" i="1"/>
  <c r="N4957" i="1"/>
  <c r="O4957" i="1"/>
  <c r="P4957" i="1"/>
  <c r="Q4957" i="1"/>
  <c r="R4957" i="1"/>
  <c r="S4957" i="1"/>
  <c r="T4957" i="1"/>
  <c r="U4957" i="1"/>
  <c r="V4957" i="1"/>
  <c r="W4957" i="1"/>
  <c r="X4957" i="1"/>
  <c r="Y4957" i="1"/>
  <c r="Z4957" i="1"/>
  <c r="A4958" i="1"/>
  <c r="B4958" i="1"/>
  <c r="C4958" i="1"/>
  <c r="D4958" i="1"/>
  <c r="E4958" i="1"/>
  <c r="F4958" i="1"/>
  <c r="G4958" i="1"/>
  <c r="I4958" i="1"/>
  <c r="J4958" i="1"/>
  <c r="K4958" i="1"/>
  <c r="L4958" i="1"/>
  <c r="M4958" i="1"/>
  <c r="N4958" i="1"/>
  <c r="O4958" i="1"/>
  <c r="P4958" i="1"/>
  <c r="Q4958" i="1"/>
  <c r="R4958" i="1"/>
  <c r="S4958" i="1"/>
  <c r="T4958" i="1"/>
  <c r="U4958" i="1"/>
  <c r="V4958" i="1"/>
  <c r="W4958" i="1"/>
  <c r="X4958" i="1"/>
  <c r="Y4958" i="1"/>
  <c r="Z4958" i="1"/>
  <c r="A4959" i="1"/>
  <c r="B4959" i="1"/>
  <c r="C4959" i="1"/>
  <c r="D4959" i="1"/>
  <c r="E4959" i="1"/>
  <c r="F4959" i="1"/>
  <c r="G4959" i="1"/>
  <c r="I4959" i="1"/>
  <c r="J4959" i="1"/>
  <c r="K4959" i="1"/>
  <c r="L4959" i="1"/>
  <c r="M4959" i="1"/>
  <c r="N4959" i="1"/>
  <c r="O4959" i="1"/>
  <c r="P4959" i="1"/>
  <c r="Q4959" i="1"/>
  <c r="R4959" i="1"/>
  <c r="S4959" i="1"/>
  <c r="T4959" i="1"/>
  <c r="U4959" i="1"/>
  <c r="V4959" i="1"/>
  <c r="W4959" i="1"/>
  <c r="X4959" i="1"/>
  <c r="Y4959" i="1"/>
  <c r="Z4959" i="1"/>
  <c r="A4960" i="1"/>
  <c r="B4960" i="1"/>
  <c r="C4960" i="1"/>
  <c r="D4960" i="1"/>
  <c r="E4960" i="1"/>
  <c r="F4960" i="1"/>
  <c r="G4960" i="1"/>
  <c r="I4960" i="1"/>
  <c r="J4960" i="1"/>
  <c r="K4960" i="1"/>
  <c r="L4960" i="1"/>
  <c r="M4960" i="1"/>
  <c r="N4960" i="1"/>
  <c r="O4960" i="1"/>
  <c r="P4960" i="1"/>
  <c r="Q4960" i="1"/>
  <c r="R4960" i="1"/>
  <c r="S4960" i="1"/>
  <c r="T4960" i="1"/>
  <c r="U4960" i="1"/>
  <c r="V4960" i="1"/>
  <c r="W4960" i="1"/>
  <c r="X4960" i="1"/>
  <c r="Y4960" i="1"/>
  <c r="Z4960" i="1"/>
  <c r="A4961" i="1"/>
  <c r="B4961" i="1"/>
  <c r="C4961" i="1"/>
  <c r="D4961" i="1"/>
  <c r="E4961" i="1"/>
  <c r="F4961" i="1"/>
  <c r="G4961" i="1"/>
  <c r="I4961" i="1"/>
  <c r="J4961" i="1"/>
  <c r="K4961" i="1"/>
  <c r="L4961" i="1"/>
  <c r="M4961" i="1"/>
  <c r="N4961" i="1"/>
  <c r="O4961" i="1"/>
  <c r="P4961" i="1"/>
  <c r="Q4961" i="1"/>
  <c r="R4961" i="1"/>
  <c r="S4961" i="1"/>
  <c r="T4961" i="1"/>
  <c r="U4961" i="1"/>
  <c r="V4961" i="1"/>
  <c r="W4961" i="1"/>
  <c r="X4961" i="1"/>
  <c r="Y4961" i="1"/>
  <c r="Z4961" i="1"/>
  <c r="A4962" i="1"/>
  <c r="B4962" i="1"/>
  <c r="C4962" i="1"/>
  <c r="D4962" i="1"/>
  <c r="E4962" i="1"/>
  <c r="F4962" i="1"/>
  <c r="G4962" i="1"/>
  <c r="I4962" i="1"/>
  <c r="J4962" i="1"/>
  <c r="K4962" i="1"/>
  <c r="L4962" i="1"/>
  <c r="M4962" i="1"/>
  <c r="N4962" i="1"/>
  <c r="O4962" i="1"/>
  <c r="P4962" i="1"/>
  <c r="Q4962" i="1"/>
  <c r="R4962" i="1"/>
  <c r="S4962" i="1"/>
  <c r="T4962" i="1"/>
  <c r="U4962" i="1"/>
  <c r="V4962" i="1"/>
  <c r="W4962" i="1"/>
  <c r="X4962" i="1"/>
  <c r="Y4962" i="1"/>
  <c r="Z4962" i="1"/>
  <c r="A4963" i="1"/>
  <c r="B4963" i="1"/>
  <c r="C4963" i="1"/>
  <c r="D4963" i="1"/>
  <c r="E4963" i="1"/>
  <c r="F4963" i="1"/>
  <c r="G4963" i="1"/>
  <c r="I4963" i="1"/>
  <c r="J4963" i="1"/>
  <c r="K4963" i="1"/>
  <c r="L4963" i="1"/>
  <c r="M4963" i="1"/>
  <c r="N4963" i="1"/>
  <c r="O4963" i="1"/>
  <c r="P4963" i="1"/>
  <c r="Q4963" i="1"/>
  <c r="R4963" i="1"/>
  <c r="S4963" i="1"/>
  <c r="T4963" i="1"/>
  <c r="U4963" i="1"/>
  <c r="V4963" i="1"/>
  <c r="W4963" i="1"/>
  <c r="X4963" i="1"/>
  <c r="Y4963" i="1"/>
  <c r="Z4963" i="1"/>
  <c r="A4964" i="1"/>
  <c r="B4964" i="1"/>
  <c r="C4964" i="1"/>
  <c r="D4964" i="1"/>
  <c r="E4964" i="1"/>
  <c r="F4964" i="1"/>
  <c r="G4964" i="1"/>
  <c r="I4964" i="1"/>
  <c r="J4964" i="1"/>
  <c r="K4964" i="1"/>
  <c r="L4964" i="1"/>
  <c r="M4964" i="1"/>
  <c r="N4964" i="1"/>
  <c r="O4964" i="1"/>
  <c r="P4964" i="1"/>
  <c r="Q4964" i="1"/>
  <c r="R4964" i="1"/>
  <c r="S4964" i="1"/>
  <c r="T4964" i="1"/>
  <c r="U4964" i="1"/>
  <c r="V4964" i="1"/>
  <c r="W4964" i="1"/>
  <c r="X4964" i="1"/>
  <c r="Y4964" i="1"/>
  <c r="Z4964" i="1"/>
  <c r="A4965" i="1"/>
  <c r="B4965" i="1"/>
  <c r="C4965" i="1"/>
  <c r="D4965" i="1"/>
  <c r="E4965" i="1"/>
  <c r="F4965" i="1"/>
  <c r="G4965" i="1"/>
  <c r="I4965" i="1"/>
  <c r="J4965" i="1"/>
  <c r="K4965" i="1"/>
  <c r="L4965" i="1"/>
  <c r="M4965" i="1"/>
  <c r="N4965" i="1"/>
  <c r="O4965" i="1"/>
  <c r="P4965" i="1"/>
  <c r="Q4965" i="1"/>
  <c r="R4965" i="1"/>
  <c r="S4965" i="1"/>
  <c r="T4965" i="1"/>
  <c r="U4965" i="1"/>
  <c r="V4965" i="1"/>
  <c r="W4965" i="1"/>
  <c r="X4965" i="1"/>
  <c r="Y4965" i="1"/>
  <c r="Z4965" i="1"/>
  <c r="A4966" i="1"/>
  <c r="B4966" i="1"/>
  <c r="C4966" i="1"/>
  <c r="D4966" i="1"/>
  <c r="E4966" i="1"/>
  <c r="F4966" i="1"/>
  <c r="G4966" i="1"/>
  <c r="I4966" i="1"/>
  <c r="J4966" i="1"/>
  <c r="K4966" i="1"/>
  <c r="L4966" i="1"/>
  <c r="M4966" i="1"/>
  <c r="N4966" i="1"/>
  <c r="O4966" i="1"/>
  <c r="P4966" i="1"/>
  <c r="Q4966" i="1"/>
  <c r="R4966" i="1"/>
  <c r="S4966" i="1"/>
  <c r="T4966" i="1"/>
  <c r="U4966" i="1"/>
  <c r="V4966" i="1"/>
  <c r="W4966" i="1"/>
  <c r="X4966" i="1"/>
  <c r="Y4966" i="1"/>
  <c r="Z4966" i="1"/>
  <c r="A4967" i="1"/>
  <c r="B4967" i="1"/>
  <c r="C4967" i="1"/>
  <c r="D4967" i="1"/>
  <c r="E4967" i="1"/>
  <c r="F4967" i="1"/>
  <c r="G4967" i="1"/>
  <c r="I4967" i="1"/>
  <c r="J4967" i="1"/>
  <c r="K4967" i="1"/>
  <c r="L4967" i="1"/>
  <c r="M4967" i="1"/>
  <c r="N4967" i="1"/>
  <c r="O4967" i="1"/>
  <c r="P4967" i="1"/>
  <c r="Q4967" i="1"/>
  <c r="R4967" i="1"/>
  <c r="S4967" i="1"/>
  <c r="T4967" i="1"/>
  <c r="U4967" i="1"/>
  <c r="V4967" i="1"/>
  <c r="W4967" i="1"/>
  <c r="X4967" i="1"/>
  <c r="Y4967" i="1"/>
  <c r="Z4967" i="1"/>
  <c r="A4968" i="1"/>
  <c r="B4968" i="1"/>
  <c r="C4968" i="1"/>
  <c r="D4968" i="1"/>
  <c r="E4968" i="1"/>
  <c r="F4968" i="1"/>
  <c r="G4968" i="1"/>
  <c r="I4968" i="1"/>
  <c r="J4968" i="1"/>
  <c r="K4968" i="1"/>
  <c r="L4968" i="1"/>
  <c r="M4968" i="1"/>
  <c r="N4968" i="1"/>
  <c r="O4968" i="1"/>
  <c r="P4968" i="1"/>
  <c r="Q4968" i="1"/>
  <c r="R4968" i="1"/>
  <c r="S4968" i="1"/>
  <c r="T4968" i="1"/>
  <c r="U4968" i="1"/>
  <c r="V4968" i="1"/>
  <c r="W4968" i="1"/>
  <c r="X4968" i="1"/>
  <c r="Y4968" i="1"/>
  <c r="Z4968" i="1"/>
  <c r="A4969" i="1"/>
  <c r="B4969" i="1"/>
  <c r="C4969" i="1"/>
  <c r="D4969" i="1"/>
  <c r="E4969" i="1"/>
  <c r="F4969" i="1"/>
  <c r="G4969" i="1"/>
  <c r="I4969" i="1"/>
  <c r="J4969" i="1"/>
  <c r="K4969" i="1"/>
  <c r="L4969" i="1"/>
  <c r="M4969" i="1"/>
  <c r="N4969" i="1"/>
  <c r="O4969" i="1"/>
  <c r="P4969" i="1"/>
  <c r="Q4969" i="1"/>
  <c r="R4969" i="1"/>
  <c r="S4969" i="1"/>
  <c r="T4969" i="1"/>
  <c r="U4969" i="1"/>
  <c r="V4969" i="1"/>
  <c r="W4969" i="1"/>
  <c r="X4969" i="1"/>
  <c r="Y4969" i="1"/>
  <c r="Z4969" i="1"/>
  <c r="A4970" i="1"/>
  <c r="B4970" i="1"/>
  <c r="C4970" i="1"/>
  <c r="D4970" i="1"/>
  <c r="E4970" i="1"/>
  <c r="F4970" i="1"/>
  <c r="G4970" i="1"/>
  <c r="I4970" i="1"/>
  <c r="J4970" i="1"/>
  <c r="K4970" i="1"/>
  <c r="L4970" i="1"/>
  <c r="M4970" i="1"/>
  <c r="N4970" i="1"/>
  <c r="O4970" i="1"/>
  <c r="P4970" i="1"/>
  <c r="Q4970" i="1"/>
  <c r="R4970" i="1"/>
  <c r="S4970" i="1"/>
  <c r="T4970" i="1"/>
  <c r="U4970" i="1"/>
  <c r="V4970" i="1"/>
  <c r="W4970" i="1"/>
  <c r="X4970" i="1"/>
  <c r="Y4970" i="1"/>
  <c r="Z4970" i="1"/>
  <c r="A4971" i="1"/>
  <c r="B4971" i="1"/>
  <c r="C4971" i="1"/>
  <c r="D4971" i="1"/>
  <c r="E4971" i="1"/>
  <c r="F4971" i="1"/>
  <c r="G4971" i="1"/>
  <c r="I4971" i="1"/>
  <c r="J4971" i="1"/>
  <c r="K4971" i="1"/>
  <c r="L4971" i="1"/>
  <c r="M4971" i="1"/>
  <c r="N4971" i="1"/>
  <c r="O4971" i="1"/>
  <c r="P4971" i="1"/>
  <c r="Q4971" i="1"/>
  <c r="R4971" i="1"/>
  <c r="S4971" i="1"/>
  <c r="T4971" i="1"/>
  <c r="U4971" i="1"/>
  <c r="V4971" i="1"/>
  <c r="W4971" i="1"/>
  <c r="X4971" i="1"/>
  <c r="Y4971" i="1"/>
  <c r="Z4971" i="1"/>
  <c r="A4972" i="1"/>
  <c r="B4972" i="1"/>
  <c r="C4972" i="1"/>
  <c r="D4972" i="1"/>
  <c r="E4972" i="1"/>
  <c r="F4972" i="1"/>
  <c r="G4972" i="1"/>
  <c r="I4972" i="1"/>
  <c r="J4972" i="1"/>
  <c r="K4972" i="1"/>
  <c r="L4972" i="1"/>
  <c r="M4972" i="1"/>
  <c r="N4972" i="1"/>
  <c r="O4972" i="1"/>
  <c r="P4972" i="1"/>
  <c r="Q4972" i="1"/>
  <c r="R4972" i="1"/>
  <c r="S4972" i="1"/>
  <c r="T4972" i="1"/>
  <c r="U4972" i="1"/>
  <c r="V4972" i="1"/>
  <c r="W4972" i="1"/>
  <c r="X4972" i="1"/>
  <c r="Y4972" i="1"/>
  <c r="Z4972" i="1"/>
  <c r="A4973" i="1"/>
  <c r="B4973" i="1"/>
  <c r="C4973" i="1"/>
  <c r="D4973" i="1"/>
  <c r="E4973" i="1"/>
  <c r="F4973" i="1"/>
  <c r="G4973" i="1"/>
  <c r="I4973" i="1"/>
  <c r="J4973" i="1"/>
  <c r="K4973" i="1"/>
  <c r="L4973" i="1"/>
  <c r="M4973" i="1"/>
  <c r="N4973" i="1"/>
  <c r="O4973" i="1"/>
  <c r="P4973" i="1"/>
  <c r="Q4973" i="1"/>
  <c r="R4973" i="1"/>
  <c r="S4973" i="1"/>
  <c r="T4973" i="1"/>
  <c r="U4973" i="1"/>
  <c r="V4973" i="1"/>
  <c r="W4973" i="1"/>
  <c r="X4973" i="1"/>
  <c r="Y4973" i="1"/>
  <c r="Z4973" i="1"/>
  <c r="A4974" i="1"/>
  <c r="B4974" i="1"/>
  <c r="C4974" i="1"/>
  <c r="D4974" i="1"/>
  <c r="E4974" i="1"/>
  <c r="F4974" i="1"/>
  <c r="G4974" i="1"/>
  <c r="I4974" i="1"/>
  <c r="J4974" i="1"/>
  <c r="K4974" i="1"/>
  <c r="L4974" i="1"/>
  <c r="M4974" i="1"/>
  <c r="N4974" i="1"/>
  <c r="O4974" i="1"/>
  <c r="P4974" i="1"/>
  <c r="Q4974" i="1"/>
  <c r="R4974" i="1"/>
  <c r="S4974" i="1"/>
  <c r="T4974" i="1"/>
  <c r="U4974" i="1"/>
  <c r="V4974" i="1"/>
  <c r="W4974" i="1"/>
  <c r="X4974" i="1"/>
  <c r="Y4974" i="1"/>
  <c r="Z4974" i="1"/>
  <c r="A4975" i="1"/>
  <c r="B4975" i="1"/>
  <c r="C4975" i="1"/>
  <c r="D4975" i="1"/>
  <c r="E4975" i="1"/>
  <c r="F4975" i="1"/>
  <c r="G4975" i="1"/>
  <c r="I4975" i="1"/>
  <c r="J4975" i="1"/>
  <c r="K4975" i="1"/>
  <c r="L4975" i="1"/>
  <c r="M4975" i="1"/>
  <c r="N4975" i="1"/>
  <c r="O4975" i="1"/>
  <c r="P4975" i="1"/>
  <c r="Q4975" i="1"/>
  <c r="R4975" i="1"/>
  <c r="S4975" i="1"/>
  <c r="T4975" i="1"/>
  <c r="U4975" i="1"/>
  <c r="V4975" i="1"/>
  <c r="W4975" i="1"/>
  <c r="X4975" i="1"/>
  <c r="Y4975" i="1"/>
  <c r="Z4975" i="1"/>
  <c r="A4976" i="1"/>
  <c r="B4976" i="1"/>
  <c r="C4976" i="1"/>
  <c r="D4976" i="1"/>
  <c r="E4976" i="1"/>
  <c r="F4976" i="1"/>
  <c r="G4976" i="1"/>
  <c r="I4976" i="1"/>
  <c r="J4976" i="1"/>
  <c r="K4976" i="1"/>
  <c r="L4976" i="1"/>
  <c r="M4976" i="1"/>
  <c r="N4976" i="1"/>
  <c r="O4976" i="1"/>
  <c r="P4976" i="1"/>
  <c r="Q4976" i="1"/>
  <c r="R4976" i="1"/>
  <c r="S4976" i="1"/>
  <c r="T4976" i="1"/>
  <c r="U4976" i="1"/>
  <c r="V4976" i="1"/>
  <c r="W4976" i="1"/>
  <c r="X4976" i="1"/>
  <c r="Y4976" i="1"/>
  <c r="Z4976" i="1"/>
  <c r="A4977" i="1"/>
  <c r="B4977" i="1"/>
  <c r="C4977" i="1"/>
  <c r="D4977" i="1"/>
  <c r="E4977" i="1"/>
  <c r="F4977" i="1"/>
  <c r="G4977" i="1"/>
  <c r="I4977" i="1"/>
  <c r="J4977" i="1"/>
  <c r="K4977" i="1"/>
  <c r="L4977" i="1"/>
  <c r="M4977" i="1"/>
  <c r="N4977" i="1"/>
  <c r="O4977" i="1"/>
  <c r="P4977" i="1"/>
  <c r="Q4977" i="1"/>
  <c r="R4977" i="1"/>
  <c r="S4977" i="1"/>
  <c r="T4977" i="1"/>
  <c r="U4977" i="1"/>
  <c r="V4977" i="1"/>
  <c r="W4977" i="1"/>
  <c r="X4977" i="1"/>
  <c r="Y4977" i="1"/>
  <c r="Z4977" i="1"/>
  <c r="A4978" i="1"/>
  <c r="B4978" i="1"/>
  <c r="C4978" i="1"/>
  <c r="D4978" i="1"/>
  <c r="E4978" i="1"/>
  <c r="F4978" i="1"/>
  <c r="G4978" i="1"/>
  <c r="I4978" i="1"/>
  <c r="J4978" i="1"/>
  <c r="K4978" i="1"/>
  <c r="L4978" i="1"/>
  <c r="M4978" i="1"/>
  <c r="N4978" i="1"/>
  <c r="O4978" i="1"/>
  <c r="P4978" i="1"/>
  <c r="Q4978" i="1"/>
  <c r="R4978" i="1"/>
  <c r="S4978" i="1"/>
  <c r="T4978" i="1"/>
  <c r="U4978" i="1"/>
  <c r="V4978" i="1"/>
  <c r="W4978" i="1"/>
  <c r="X4978" i="1"/>
  <c r="Y4978" i="1"/>
  <c r="Z4978" i="1"/>
  <c r="A4979" i="1"/>
  <c r="B4979" i="1"/>
  <c r="C4979" i="1"/>
  <c r="D4979" i="1"/>
  <c r="E4979" i="1"/>
  <c r="F4979" i="1"/>
  <c r="G4979" i="1"/>
  <c r="I4979" i="1"/>
  <c r="J4979" i="1"/>
  <c r="K4979" i="1"/>
  <c r="L4979" i="1"/>
  <c r="M4979" i="1"/>
  <c r="N4979" i="1"/>
  <c r="O4979" i="1"/>
  <c r="P4979" i="1"/>
  <c r="Q4979" i="1"/>
  <c r="R4979" i="1"/>
  <c r="S4979" i="1"/>
  <c r="T4979" i="1"/>
  <c r="U4979" i="1"/>
  <c r="V4979" i="1"/>
  <c r="W4979" i="1"/>
  <c r="X4979" i="1"/>
  <c r="Y4979" i="1"/>
  <c r="Z4979" i="1"/>
  <c r="A4980" i="1"/>
  <c r="B4980" i="1"/>
  <c r="C4980" i="1"/>
  <c r="D4980" i="1"/>
  <c r="E4980" i="1"/>
  <c r="F4980" i="1"/>
  <c r="G4980" i="1"/>
  <c r="I4980" i="1"/>
  <c r="J4980" i="1"/>
  <c r="K4980" i="1"/>
  <c r="L4980" i="1"/>
  <c r="M4980" i="1"/>
  <c r="N4980" i="1"/>
  <c r="O4980" i="1"/>
  <c r="P4980" i="1"/>
  <c r="Q4980" i="1"/>
  <c r="R4980" i="1"/>
  <c r="S4980" i="1"/>
  <c r="T4980" i="1"/>
  <c r="U4980" i="1"/>
  <c r="V4980" i="1"/>
  <c r="W4980" i="1"/>
  <c r="X4980" i="1"/>
  <c r="Y4980" i="1"/>
  <c r="Z4980" i="1"/>
  <c r="A4981" i="1"/>
  <c r="B4981" i="1"/>
  <c r="C4981" i="1"/>
  <c r="D4981" i="1"/>
  <c r="E4981" i="1"/>
  <c r="F4981" i="1"/>
  <c r="G4981" i="1"/>
  <c r="I4981" i="1"/>
  <c r="J4981" i="1"/>
  <c r="K4981" i="1"/>
  <c r="L4981" i="1"/>
  <c r="M4981" i="1"/>
  <c r="N4981" i="1"/>
  <c r="O4981" i="1"/>
  <c r="P4981" i="1"/>
  <c r="Q4981" i="1"/>
  <c r="R4981" i="1"/>
  <c r="S4981" i="1"/>
  <c r="T4981" i="1"/>
  <c r="U4981" i="1"/>
  <c r="V4981" i="1"/>
  <c r="W4981" i="1"/>
  <c r="X4981" i="1"/>
  <c r="Y4981" i="1"/>
  <c r="Z4981" i="1"/>
  <c r="A4982" i="1"/>
  <c r="B4982" i="1"/>
  <c r="C4982" i="1"/>
  <c r="D4982" i="1"/>
  <c r="E4982" i="1"/>
  <c r="F4982" i="1"/>
  <c r="G4982" i="1"/>
  <c r="I4982" i="1"/>
  <c r="J4982" i="1"/>
  <c r="K4982" i="1"/>
  <c r="L4982" i="1"/>
  <c r="M4982" i="1"/>
  <c r="N4982" i="1"/>
  <c r="O4982" i="1"/>
  <c r="P4982" i="1"/>
  <c r="Q4982" i="1"/>
  <c r="R4982" i="1"/>
  <c r="S4982" i="1"/>
  <c r="T4982" i="1"/>
  <c r="U4982" i="1"/>
  <c r="V4982" i="1"/>
  <c r="W4982" i="1"/>
  <c r="X4982" i="1"/>
  <c r="Y4982" i="1"/>
  <c r="Z4982" i="1"/>
  <c r="A4983" i="1"/>
  <c r="B4983" i="1"/>
  <c r="C4983" i="1"/>
  <c r="D4983" i="1"/>
  <c r="E4983" i="1"/>
  <c r="F4983" i="1"/>
  <c r="G4983" i="1"/>
  <c r="I4983" i="1"/>
  <c r="J4983" i="1"/>
  <c r="K4983" i="1"/>
  <c r="L4983" i="1"/>
  <c r="M4983" i="1"/>
  <c r="N4983" i="1"/>
  <c r="O4983" i="1"/>
  <c r="P4983" i="1"/>
  <c r="Q4983" i="1"/>
  <c r="R4983" i="1"/>
  <c r="S4983" i="1"/>
  <c r="T4983" i="1"/>
  <c r="U4983" i="1"/>
  <c r="V4983" i="1"/>
  <c r="W4983" i="1"/>
  <c r="X4983" i="1"/>
  <c r="Y4983" i="1"/>
  <c r="Z4983" i="1"/>
  <c r="A4984" i="1"/>
  <c r="B4984" i="1"/>
  <c r="C4984" i="1"/>
  <c r="D4984" i="1"/>
  <c r="E4984" i="1"/>
  <c r="F4984" i="1"/>
  <c r="G4984" i="1"/>
  <c r="I4984" i="1"/>
  <c r="J4984" i="1"/>
  <c r="K4984" i="1"/>
  <c r="L4984" i="1"/>
  <c r="M4984" i="1"/>
  <c r="N4984" i="1"/>
  <c r="O4984" i="1"/>
  <c r="P4984" i="1"/>
  <c r="Q4984" i="1"/>
  <c r="R4984" i="1"/>
  <c r="S4984" i="1"/>
  <c r="T4984" i="1"/>
  <c r="U4984" i="1"/>
  <c r="V4984" i="1"/>
  <c r="W4984" i="1"/>
  <c r="X4984" i="1"/>
  <c r="Y4984" i="1"/>
  <c r="Z4984" i="1"/>
  <c r="A4985" i="1"/>
  <c r="B4985" i="1"/>
  <c r="C4985" i="1"/>
  <c r="D4985" i="1"/>
  <c r="E4985" i="1"/>
  <c r="F4985" i="1"/>
  <c r="G4985" i="1"/>
  <c r="I4985" i="1"/>
  <c r="J4985" i="1"/>
  <c r="K4985" i="1"/>
  <c r="L4985" i="1"/>
  <c r="M4985" i="1"/>
  <c r="N4985" i="1"/>
  <c r="O4985" i="1"/>
  <c r="P4985" i="1"/>
  <c r="Q4985" i="1"/>
  <c r="R4985" i="1"/>
  <c r="S4985" i="1"/>
  <c r="T4985" i="1"/>
  <c r="U4985" i="1"/>
  <c r="V4985" i="1"/>
  <c r="W4985" i="1"/>
  <c r="X4985" i="1"/>
  <c r="Y4985" i="1"/>
  <c r="Z4985" i="1"/>
  <c r="A4986" i="1"/>
  <c r="B4986" i="1"/>
  <c r="C4986" i="1"/>
  <c r="D4986" i="1"/>
  <c r="E4986" i="1"/>
  <c r="F4986" i="1"/>
  <c r="G4986" i="1"/>
  <c r="I4986" i="1"/>
  <c r="J4986" i="1"/>
  <c r="K4986" i="1"/>
  <c r="L4986" i="1"/>
  <c r="M4986" i="1"/>
  <c r="N4986" i="1"/>
  <c r="O4986" i="1"/>
  <c r="P4986" i="1"/>
  <c r="Q4986" i="1"/>
  <c r="R4986" i="1"/>
  <c r="S4986" i="1"/>
  <c r="T4986" i="1"/>
  <c r="U4986" i="1"/>
  <c r="V4986" i="1"/>
  <c r="W4986" i="1"/>
  <c r="X4986" i="1"/>
  <c r="Y4986" i="1"/>
  <c r="Z4986" i="1"/>
  <c r="A4987" i="1"/>
  <c r="B4987" i="1"/>
  <c r="C4987" i="1"/>
  <c r="D4987" i="1"/>
  <c r="E4987" i="1"/>
  <c r="F4987" i="1"/>
  <c r="G4987" i="1"/>
  <c r="I4987" i="1"/>
  <c r="J4987" i="1"/>
  <c r="K4987" i="1"/>
  <c r="L4987" i="1"/>
  <c r="M4987" i="1"/>
  <c r="N4987" i="1"/>
  <c r="O4987" i="1"/>
  <c r="P4987" i="1"/>
  <c r="Q4987" i="1"/>
  <c r="R4987" i="1"/>
  <c r="S4987" i="1"/>
  <c r="T4987" i="1"/>
  <c r="U4987" i="1"/>
  <c r="V4987" i="1"/>
  <c r="W4987" i="1"/>
  <c r="X4987" i="1"/>
  <c r="Y4987" i="1"/>
  <c r="Z4987" i="1"/>
  <c r="A4988" i="1"/>
  <c r="B4988" i="1"/>
  <c r="C4988" i="1"/>
  <c r="D4988" i="1"/>
  <c r="E4988" i="1"/>
  <c r="F4988" i="1"/>
  <c r="G4988" i="1"/>
  <c r="I4988" i="1"/>
  <c r="J4988" i="1"/>
  <c r="K4988" i="1"/>
  <c r="L4988" i="1"/>
  <c r="M4988" i="1"/>
  <c r="N4988" i="1"/>
  <c r="O4988" i="1"/>
  <c r="P4988" i="1"/>
  <c r="Q4988" i="1"/>
  <c r="R4988" i="1"/>
  <c r="S4988" i="1"/>
  <c r="T4988" i="1"/>
  <c r="U4988" i="1"/>
  <c r="V4988" i="1"/>
  <c r="W4988" i="1"/>
  <c r="X4988" i="1"/>
  <c r="Y4988" i="1"/>
  <c r="Z4988" i="1"/>
  <c r="A4989" i="1"/>
  <c r="B4989" i="1"/>
  <c r="C4989" i="1"/>
  <c r="D4989" i="1"/>
  <c r="E4989" i="1"/>
  <c r="F4989" i="1"/>
  <c r="G4989" i="1"/>
  <c r="I4989" i="1"/>
  <c r="J4989" i="1"/>
  <c r="K4989" i="1"/>
  <c r="L4989" i="1"/>
  <c r="M4989" i="1"/>
  <c r="N4989" i="1"/>
  <c r="O4989" i="1"/>
  <c r="P4989" i="1"/>
  <c r="Q4989" i="1"/>
  <c r="R4989" i="1"/>
  <c r="S4989" i="1"/>
  <c r="T4989" i="1"/>
  <c r="U4989" i="1"/>
  <c r="V4989" i="1"/>
  <c r="W4989" i="1"/>
  <c r="X4989" i="1"/>
  <c r="Y4989" i="1"/>
  <c r="Z4989" i="1"/>
  <c r="A4990" i="1"/>
  <c r="B4990" i="1"/>
  <c r="C4990" i="1"/>
  <c r="D4990" i="1"/>
  <c r="E4990" i="1"/>
  <c r="F4990" i="1"/>
  <c r="G4990" i="1"/>
  <c r="I4990" i="1"/>
  <c r="J4990" i="1"/>
  <c r="K4990" i="1"/>
  <c r="L4990" i="1"/>
  <c r="M4990" i="1"/>
  <c r="N4990" i="1"/>
  <c r="O4990" i="1"/>
  <c r="P4990" i="1"/>
  <c r="Q4990" i="1"/>
  <c r="R4990" i="1"/>
  <c r="S4990" i="1"/>
  <c r="T4990" i="1"/>
  <c r="U4990" i="1"/>
  <c r="V4990" i="1"/>
  <c r="W4990" i="1"/>
  <c r="X4990" i="1"/>
  <c r="Y4990" i="1"/>
  <c r="Z4990" i="1"/>
  <c r="A4991" i="1"/>
  <c r="B4991" i="1"/>
  <c r="C4991" i="1"/>
  <c r="D4991" i="1"/>
  <c r="E4991" i="1"/>
  <c r="F4991" i="1"/>
  <c r="G4991" i="1"/>
  <c r="I4991" i="1"/>
  <c r="J4991" i="1"/>
  <c r="K4991" i="1"/>
  <c r="L4991" i="1"/>
  <c r="M4991" i="1"/>
  <c r="N4991" i="1"/>
  <c r="O4991" i="1"/>
  <c r="P4991" i="1"/>
  <c r="Q4991" i="1"/>
  <c r="R4991" i="1"/>
  <c r="S4991" i="1"/>
  <c r="T4991" i="1"/>
  <c r="U4991" i="1"/>
  <c r="V4991" i="1"/>
  <c r="W4991" i="1"/>
  <c r="X4991" i="1"/>
  <c r="Y4991" i="1"/>
  <c r="Z4991" i="1"/>
  <c r="A4992" i="1"/>
  <c r="B4992" i="1"/>
  <c r="C4992" i="1"/>
  <c r="D4992" i="1"/>
  <c r="E4992" i="1"/>
  <c r="F4992" i="1"/>
  <c r="G4992" i="1"/>
  <c r="I4992" i="1"/>
  <c r="J4992" i="1"/>
  <c r="K4992" i="1"/>
  <c r="L4992" i="1"/>
  <c r="M4992" i="1"/>
  <c r="N4992" i="1"/>
  <c r="O4992" i="1"/>
  <c r="P4992" i="1"/>
  <c r="Q4992" i="1"/>
  <c r="R4992" i="1"/>
  <c r="S4992" i="1"/>
  <c r="T4992" i="1"/>
  <c r="U4992" i="1"/>
  <c r="V4992" i="1"/>
  <c r="W4992" i="1"/>
  <c r="X4992" i="1"/>
  <c r="Y4992" i="1"/>
  <c r="Z4992" i="1"/>
  <c r="A4993" i="1"/>
  <c r="B4993" i="1"/>
  <c r="C4993" i="1"/>
  <c r="D4993" i="1"/>
  <c r="E4993" i="1"/>
  <c r="F4993" i="1"/>
  <c r="G4993" i="1"/>
  <c r="I4993" i="1"/>
  <c r="J4993" i="1"/>
  <c r="K4993" i="1"/>
  <c r="L4993" i="1"/>
  <c r="M4993" i="1"/>
  <c r="N4993" i="1"/>
  <c r="O4993" i="1"/>
  <c r="P4993" i="1"/>
  <c r="Q4993" i="1"/>
  <c r="R4993" i="1"/>
  <c r="S4993" i="1"/>
  <c r="T4993" i="1"/>
  <c r="U4993" i="1"/>
  <c r="V4993" i="1"/>
  <c r="W4993" i="1"/>
  <c r="X4993" i="1"/>
  <c r="Y4993" i="1"/>
  <c r="Z4993" i="1"/>
  <c r="A4994" i="1"/>
  <c r="B4994" i="1"/>
  <c r="C4994" i="1"/>
  <c r="D4994" i="1"/>
  <c r="E4994" i="1"/>
  <c r="F4994" i="1"/>
  <c r="G4994" i="1"/>
  <c r="I4994" i="1"/>
  <c r="J4994" i="1"/>
  <c r="K4994" i="1"/>
  <c r="L4994" i="1"/>
  <c r="M4994" i="1"/>
  <c r="N4994" i="1"/>
  <c r="O4994" i="1"/>
  <c r="P4994" i="1"/>
  <c r="Q4994" i="1"/>
  <c r="R4994" i="1"/>
  <c r="S4994" i="1"/>
  <c r="T4994" i="1"/>
  <c r="U4994" i="1"/>
  <c r="V4994" i="1"/>
  <c r="W4994" i="1"/>
  <c r="X4994" i="1"/>
  <c r="Y4994" i="1"/>
  <c r="Z4994" i="1"/>
  <c r="A4995" i="1"/>
  <c r="B4995" i="1"/>
  <c r="C4995" i="1"/>
  <c r="D4995" i="1"/>
  <c r="E4995" i="1"/>
  <c r="F4995" i="1"/>
  <c r="G4995" i="1"/>
  <c r="I4995" i="1"/>
  <c r="J4995" i="1"/>
  <c r="K4995" i="1"/>
  <c r="L4995" i="1"/>
  <c r="M4995" i="1"/>
  <c r="N4995" i="1"/>
  <c r="O4995" i="1"/>
  <c r="P4995" i="1"/>
  <c r="Q4995" i="1"/>
  <c r="R4995" i="1"/>
  <c r="S4995" i="1"/>
  <c r="T4995" i="1"/>
  <c r="U4995" i="1"/>
  <c r="V4995" i="1"/>
  <c r="W4995" i="1"/>
  <c r="X4995" i="1"/>
  <c r="Y4995" i="1"/>
  <c r="Z4995" i="1"/>
  <c r="A4996" i="1"/>
  <c r="B4996" i="1"/>
  <c r="C4996" i="1"/>
  <c r="D4996" i="1"/>
  <c r="E4996" i="1"/>
  <c r="F4996" i="1"/>
  <c r="G4996" i="1"/>
  <c r="I4996" i="1"/>
  <c r="J4996" i="1"/>
  <c r="K4996" i="1"/>
  <c r="L4996" i="1"/>
  <c r="M4996" i="1"/>
  <c r="N4996" i="1"/>
  <c r="O4996" i="1"/>
  <c r="P4996" i="1"/>
  <c r="Q4996" i="1"/>
  <c r="R4996" i="1"/>
  <c r="S4996" i="1"/>
  <c r="T4996" i="1"/>
  <c r="U4996" i="1"/>
  <c r="V4996" i="1"/>
  <c r="W4996" i="1"/>
  <c r="X4996" i="1"/>
  <c r="Y4996" i="1"/>
  <c r="Z4996" i="1"/>
  <c r="A4997" i="1"/>
  <c r="B4997" i="1"/>
  <c r="C4997" i="1"/>
  <c r="D4997" i="1"/>
  <c r="E4997" i="1"/>
  <c r="F4997" i="1"/>
  <c r="G4997" i="1"/>
  <c r="I4997" i="1"/>
  <c r="J4997" i="1"/>
  <c r="K4997" i="1"/>
  <c r="L4997" i="1"/>
  <c r="M4997" i="1"/>
  <c r="N4997" i="1"/>
  <c r="O4997" i="1"/>
  <c r="P4997" i="1"/>
  <c r="Q4997" i="1"/>
  <c r="R4997" i="1"/>
  <c r="S4997" i="1"/>
  <c r="T4997" i="1"/>
  <c r="U4997" i="1"/>
  <c r="V4997" i="1"/>
  <c r="W4997" i="1"/>
  <c r="X4997" i="1"/>
  <c r="Y4997" i="1"/>
  <c r="Z4997" i="1"/>
  <c r="A4998" i="1"/>
  <c r="B4998" i="1"/>
  <c r="C4998" i="1"/>
  <c r="D4998" i="1"/>
  <c r="E4998" i="1"/>
  <c r="F4998" i="1"/>
  <c r="G4998" i="1"/>
  <c r="I4998" i="1"/>
  <c r="J4998" i="1"/>
  <c r="K4998" i="1"/>
  <c r="L4998" i="1"/>
  <c r="M4998" i="1"/>
  <c r="N4998" i="1"/>
  <c r="O4998" i="1"/>
  <c r="P4998" i="1"/>
  <c r="Q4998" i="1"/>
  <c r="R4998" i="1"/>
  <c r="S4998" i="1"/>
  <c r="T4998" i="1"/>
  <c r="U4998" i="1"/>
  <c r="V4998" i="1"/>
  <c r="W4998" i="1"/>
  <c r="X4998" i="1"/>
  <c r="Y4998" i="1"/>
  <c r="Z4998" i="1"/>
  <c r="A4999" i="1"/>
  <c r="B4999" i="1"/>
  <c r="C4999" i="1"/>
  <c r="D4999" i="1"/>
  <c r="E4999" i="1"/>
  <c r="F4999" i="1"/>
  <c r="G4999" i="1"/>
  <c r="I4999" i="1"/>
  <c r="J4999" i="1"/>
  <c r="K4999" i="1"/>
  <c r="L4999" i="1"/>
  <c r="M4999" i="1"/>
  <c r="N4999" i="1"/>
  <c r="O4999" i="1"/>
  <c r="P4999" i="1"/>
  <c r="Q4999" i="1"/>
  <c r="R4999" i="1"/>
  <c r="S4999" i="1"/>
  <c r="T4999" i="1"/>
  <c r="U4999" i="1"/>
  <c r="V4999" i="1"/>
  <c r="W4999" i="1"/>
  <c r="X4999" i="1"/>
  <c r="Y4999" i="1"/>
  <c r="Z4999" i="1"/>
  <c r="A5000" i="1"/>
  <c r="B5000" i="1"/>
  <c r="C5000" i="1"/>
  <c r="D5000" i="1"/>
  <c r="E5000" i="1"/>
  <c r="F5000" i="1"/>
  <c r="G5000" i="1"/>
  <c r="I5000" i="1"/>
  <c r="J5000" i="1"/>
  <c r="K5000" i="1"/>
  <c r="L5000" i="1"/>
  <c r="M5000" i="1"/>
  <c r="N5000" i="1"/>
  <c r="O5000" i="1"/>
  <c r="P5000" i="1"/>
  <c r="Q5000" i="1"/>
  <c r="R5000" i="1"/>
  <c r="S5000" i="1"/>
  <c r="T5000" i="1"/>
  <c r="U5000" i="1"/>
  <c r="V5000" i="1"/>
  <c r="W5000" i="1"/>
  <c r="X5000" i="1"/>
  <c r="Y5000" i="1"/>
  <c r="Z5000" i="1"/>
  <c r="A5001" i="1"/>
  <c r="B5001" i="1"/>
  <c r="C5001" i="1"/>
  <c r="D5001" i="1"/>
  <c r="E5001" i="1"/>
  <c r="F5001" i="1"/>
  <c r="G5001" i="1"/>
  <c r="I5001" i="1"/>
  <c r="J5001" i="1"/>
  <c r="K5001" i="1"/>
  <c r="L5001" i="1"/>
  <c r="M5001" i="1"/>
  <c r="N5001" i="1"/>
  <c r="O5001" i="1"/>
  <c r="P5001" i="1"/>
  <c r="Q5001" i="1"/>
  <c r="R5001" i="1"/>
  <c r="S5001" i="1"/>
  <c r="T5001" i="1"/>
  <c r="U5001" i="1"/>
  <c r="V5001" i="1"/>
  <c r="W5001" i="1"/>
  <c r="X5001" i="1"/>
  <c r="Y5001" i="1"/>
  <c r="Z5001" i="1"/>
  <c r="A5002" i="1"/>
  <c r="B5002" i="1"/>
  <c r="C5002" i="1"/>
  <c r="D5002" i="1"/>
  <c r="E5002" i="1"/>
  <c r="F5002" i="1"/>
  <c r="G5002" i="1"/>
  <c r="I5002" i="1"/>
  <c r="J5002" i="1"/>
  <c r="K5002" i="1"/>
  <c r="L5002" i="1"/>
  <c r="M5002" i="1"/>
  <c r="N5002" i="1"/>
  <c r="O5002" i="1"/>
  <c r="P5002" i="1"/>
  <c r="Q5002" i="1"/>
  <c r="R5002" i="1"/>
  <c r="S5002" i="1"/>
  <c r="T5002" i="1"/>
  <c r="U5002" i="1"/>
  <c r="V5002" i="1"/>
  <c r="W5002" i="1"/>
  <c r="X5002" i="1"/>
  <c r="Y5002" i="1"/>
  <c r="Z5002" i="1"/>
  <c r="A5003" i="1"/>
  <c r="B5003" i="1"/>
  <c r="C5003" i="1"/>
  <c r="D5003" i="1"/>
  <c r="E5003" i="1"/>
  <c r="F5003" i="1"/>
  <c r="G5003" i="1"/>
  <c r="I5003" i="1"/>
  <c r="J5003" i="1"/>
  <c r="K5003" i="1"/>
  <c r="L5003" i="1"/>
  <c r="M5003" i="1"/>
  <c r="N5003" i="1"/>
  <c r="O5003" i="1"/>
  <c r="P5003" i="1"/>
  <c r="Q5003" i="1"/>
  <c r="R5003" i="1"/>
  <c r="S5003" i="1"/>
  <c r="T5003" i="1"/>
  <c r="U5003" i="1"/>
  <c r="V5003" i="1"/>
  <c r="W5003" i="1"/>
  <c r="X5003" i="1"/>
  <c r="Y5003" i="1"/>
  <c r="Z5003" i="1"/>
  <c r="A5004" i="1"/>
  <c r="B5004" i="1"/>
  <c r="C5004" i="1"/>
  <c r="D5004" i="1"/>
  <c r="E5004" i="1"/>
  <c r="F5004" i="1"/>
  <c r="G5004" i="1"/>
  <c r="I5004" i="1"/>
  <c r="J5004" i="1"/>
  <c r="K5004" i="1"/>
  <c r="L5004" i="1"/>
  <c r="M5004" i="1"/>
  <c r="N5004" i="1"/>
  <c r="O5004" i="1"/>
  <c r="P5004" i="1"/>
  <c r="Q5004" i="1"/>
  <c r="R5004" i="1"/>
  <c r="S5004" i="1"/>
  <c r="T5004" i="1"/>
  <c r="U5004" i="1"/>
  <c r="V5004" i="1"/>
  <c r="W5004" i="1"/>
  <c r="X5004" i="1"/>
  <c r="Y5004" i="1"/>
  <c r="Z5004" i="1"/>
  <c r="A5005" i="1"/>
  <c r="B5005" i="1"/>
  <c r="C5005" i="1"/>
  <c r="D5005" i="1"/>
  <c r="E5005" i="1"/>
  <c r="F5005" i="1"/>
  <c r="G5005" i="1"/>
  <c r="I5005" i="1"/>
  <c r="J5005" i="1"/>
  <c r="K5005" i="1"/>
  <c r="L5005" i="1"/>
  <c r="M5005" i="1"/>
  <c r="N5005" i="1"/>
  <c r="O5005" i="1"/>
  <c r="P5005" i="1"/>
  <c r="Q5005" i="1"/>
  <c r="R5005" i="1"/>
  <c r="S5005" i="1"/>
  <c r="T5005" i="1"/>
  <c r="U5005" i="1"/>
  <c r="V5005" i="1"/>
  <c r="W5005" i="1"/>
  <c r="X5005" i="1"/>
  <c r="Y5005" i="1"/>
  <c r="Z5005" i="1"/>
  <c r="A5006" i="1"/>
  <c r="B5006" i="1"/>
  <c r="C5006" i="1"/>
  <c r="D5006" i="1"/>
  <c r="E5006" i="1"/>
  <c r="F5006" i="1"/>
  <c r="G5006" i="1"/>
  <c r="I5006" i="1"/>
  <c r="J5006" i="1"/>
  <c r="K5006" i="1"/>
  <c r="L5006" i="1"/>
  <c r="M5006" i="1"/>
  <c r="N5006" i="1"/>
  <c r="O5006" i="1"/>
  <c r="P5006" i="1"/>
  <c r="Q5006" i="1"/>
  <c r="R5006" i="1"/>
  <c r="S5006" i="1"/>
  <c r="T5006" i="1"/>
  <c r="U5006" i="1"/>
  <c r="V5006" i="1"/>
  <c r="W5006" i="1"/>
  <c r="X5006" i="1"/>
  <c r="Y5006" i="1"/>
  <c r="Z5006" i="1"/>
  <c r="A5007" i="1"/>
  <c r="B5007" i="1"/>
  <c r="C5007" i="1"/>
  <c r="D5007" i="1"/>
  <c r="E5007" i="1"/>
  <c r="F5007" i="1"/>
  <c r="G5007" i="1"/>
  <c r="I5007" i="1"/>
  <c r="J5007" i="1"/>
  <c r="K5007" i="1"/>
  <c r="L5007" i="1"/>
  <c r="M5007" i="1"/>
  <c r="N5007" i="1"/>
  <c r="O5007" i="1"/>
  <c r="P5007" i="1"/>
  <c r="Q5007" i="1"/>
  <c r="R5007" i="1"/>
  <c r="S5007" i="1"/>
  <c r="T5007" i="1"/>
  <c r="U5007" i="1"/>
  <c r="V5007" i="1"/>
  <c r="W5007" i="1"/>
  <c r="X5007" i="1"/>
  <c r="Y5007" i="1"/>
  <c r="Z5007" i="1"/>
  <c r="A5008" i="1"/>
  <c r="B5008" i="1"/>
  <c r="C5008" i="1"/>
  <c r="D5008" i="1"/>
  <c r="E5008" i="1"/>
  <c r="F5008" i="1"/>
  <c r="G5008" i="1"/>
  <c r="I5008" i="1"/>
  <c r="J5008" i="1"/>
  <c r="K5008" i="1"/>
  <c r="L5008" i="1"/>
  <c r="M5008" i="1"/>
  <c r="N5008" i="1"/>
  <c r="O5008" i="1"/>
  <c r="P5008" i="1"/>
  <c r="Q5008" i="1"/>
  <c r="R5008" i="1"/>
  <c r="S5008" i="1"/>
  <c r="T5008" i="1"/>
  <c r="U5008" i="1"/>
  <c r="V5008" i="1"/>
  <c r="W5008" i="1"/>
  <c r="X5008" i="1"/>
  <c r="Y5008" i="1"/>
  <c r="Z5008" i="1"/>
  <c r="A5009" i="1"/>
  <c r="B5009" i="1"/>
  <c r="C5009" i="1"/>
  <c r="D5009" i="1"/>
  <c r="E5009" i="1"/>
  <c r="F5009" i="1"/>
  <c r="G5009" i="1"/>
  <c r="I5009" i="1"/>
  <c r="J5009" i="1"/>
  <c r="K5009" i="1"/>
  <c r="L5009" i="1"/>
  <c r="M5009" i="1"/>
  <c r="N5009" i="1"/>
  <c r="O5009" i="1"/>
  <c r="P5009" i="1"/>
  <c r="Q5009" i="1"/>
  <c r="R5009" i="1"/>
  <c r="S5009" i="1"/>
  <c r="T5009" i="1"/>
  <c r="U5009" i="1"/>
  <c r="V5009" i="1"/>
  <c r="W5009" i="1"/>
  <c r="X5009" i="1"/>
  <c r="Y5009" i="1"/>
  <c r="Z5009" i="1"/>
  <c r="A5010" i="1"/>
  <c r="B5010" i="1"/>
  <c r="C5010" i="1"/>
  <c r="D5010" i="1"/>
  <c r="E5010" i="1"/>
  <c r="F5010" i="1"/>
  <c r="G5010" i="1"/>
  <c r="I5010" i="1"/>
  <c r="J5010" i="1"/>
  <c r="K5010" i="1"/>
  <c r="L5010" i="1"/>
  <c r="M5010" i="1"/>
  <c r="N5010" i="1"/>
  <c r="O5010" i="1"/>
  <c r="P5010" i="1"/>
  <c r="Q5010" i="1"/>
  <c r="R5010" i="1"/>
  <c r="S5010" i="1"/>
  <c r="T5010" i="1"/>
  <c r="U5010" i="1"/>
  <c r="V5010" i="1"/>
  <c r="W5010" i="1"/>
  <c r="X5010" i="1"/>
  <c r="Y5010" i="1"/>
  <c r="Z5010" i="1"/>
  <c r="A5011" i="1"/>
  <c r="B5011" i="1"/>
  <c r="C5011" i="1"/>
  <c r="D5011" i="1"/>
  <c r="E5011" i="1"/>
  <c r="F5011" i="1"/>
  <c r="G5011" i="1"/>
  <c r="I5011" i="1"/>
  <c r="J5011" i="1"/>
  <c r="K5011" i="1"/>
  <c r="L5011" i="1"/>
  <c r="M5011" i="1"/>
  <c r="N5011" i="1"/>
  <c r="O5011" i="1"/>
  <c r="P5011" i="1"/>
  <c r="Q5011" i="1"/>
  <c r="R5011" i="1"/>
  <c r="S5011" i="1"/>
  <c r="T5011" i="1"/>
  <c r="U5011" i="1"/>
  <c r="V5011" i="1"/>
  <c r="W5011" i="1"/>
  <c r="X5011" i="1"/>
  <c r="Y5011" i="1"/>
  <c r="Z5011" i="1"/>
  <c r="A5012" i="1"/>
  <c r="B5012" i="1"/>
  <c r="C5012" i="1"/>
  <c r="D5012" i="1"/>
  <c r="E5012" i="1"/>
  <c r="F5012" i="1"/>
  <c r="G5012" i="1"/>
  <c r="I5012" i="1"/>
  <c r="J5012" i="1"/>
  <c r="K5012" i="1"/>
  <c r="L5012" i="1"/>
  <c r="M5012" i="1"/>
  <c r="N5012" i="1"/>
  <c r="O5012" i="1"/>
  <c r="P5012" i="1"/>
  <c r="Q5012" i="1"/>
  <c r="R5012" i="1"/>
  <c r="S5012" i="1"/>
  <c r="T5012" i="1"/>
  <c r="U5012" i="1"/>
  <c r="V5012" i="1"/>
  <c r="W5012" i="1"/>
  <c r="X5012" i="1"/>
  <c r="Y5012" i="1"/>
  <c r="Z5012" i="1"/>
  <c r="A5013" i="1"/>
  <c r="B5013" i="1"/>
  <c r="C5013" i="1"/>
  <c r="D5013" i="1"/>
  <c r="E5013" i="1"/>
  <c r="F5013" i="1"/>
  <c r="G5013" i="1"/>
  <c r="I5013" i="1"/>
  <c r="J5013" i="1"/>
  <c r="K5013" i="1"/>
  <c r="L5013" i="1"/>
  <c r="M5013" i="1"/>
  <c r="N5013" i="1"/>
  <c r="O5013" i="1"/>
  <c r="P5013" i="1"/>
  <c r="Q5013" i="1"/>
  <c r="R5013" i="1"/>
  <c r="S5013" i="1"/>
  <c r="T5013" i="1"/>
  <c r="U5013" i="1"/>
  <c r="V5013" i="1"/>
  <c r="W5013" i="1"/>
  <c r="X5013" i="1"/>
  <c r="Y5013" i="1"/>
  <c r="Z5013" i="1"/>
  <c r="A5014" i="1"/>
  <c r="B5014" i="1"/>
  <c r="C5014" i="1"/>
  <c r="D5014" i="1"/>
  <c r="E5014" i="1"/>
  <c r="F5014" i="1"/>
  <c r="G5014" i="1"/>
  <c r="I5014" i="1"/>
  <c r="J5014" i="1"/>
  <c r="K5014" i="1"/>
  <c r="L5014" i="1"/>
  <c r="M5014" i="1"/>
  <c r="N5014" i="1"/>
  <c r="O5014" i="1"/>
  <c r="P5014" i="1"/>
  <c r="Q5014" i="1"/>
  <c r="R5014" i="1"/>
  <c r="S5014" i="1"/>
  <c r="T5014" i="1"/>
  <c r="U5014" i="1"/>
  <c r="V5014" i="1"/>
  <c r="W5014" i="1"/>
  <c r="X5014" i="1"/>
  <c r="Y5014" i="1"/>
  <c r="Z5014" i="1"/>
  <c r="A5015" i="1"/>
  <c r="B5015" i="1"/>
  <c r="C5015" i="1"/>
  <c r="D5015" i="1"/>
  <c r="E5015" i="1"/>
  <c r="F5015" i="1"/>
  <c r="G5015" i="1"/>
  <c r="I5015" i="1"/>
  <c r="J5015" i="1"/>
  <c r="K5015" i="1"/>
  <c r="L5015" i="1"/>
  <c r="M5015" i="1"/>
  <c r="N5015" i="1"/>
  <c r="O5015" i="1"/>
  <c r="P5015" i="1"/>
  <c r="Q5015" i="1"/>
  <c r="R5015" i="1"/>
  <c r="S5015" i="1"/>
  <c r="T5015" i="1"/>
  <c r="U5015" i="1"/>
  <c r="V5015" i="1"/>
  <c r="W5015" i="1"/>
  <c r="X5015" i="1"/>
  <c r="Y5015" i="1"/>
  <c r="Z5015" i="1"/>
  <c r="A5016" i="1"/>
  <c r="B5016" i="1"/>
  <c r="C5016" i="1"/>
  <c r="D5016" i="1"/>
  <c r="E5016" i="1"/>
  <c r="F5016" i="1"/>
  <c r="G5016" i="1"/>
  <c r="I5016" i="1"/>
  <c r="J5016" i="1"/>
  <c r="K5016" i="1"/>
  <c r="L5016" i="1"/>
  <c r="M5016" i="1"/>
  <c r="N5016" i="1"/>
  <c r="O5016" i="1"/>
  <c r="P5016" i="1"/>
  <c r="Q5016" i="1"/>
  <c r="R5016" i="1"/>
  <c r="S5016" i="1"/>
  <c r="T5016" i="1"/>
  <c r="U5016" i="1"/>
  <c r="V5016" i="1"/>
  <c r="W5016" i="1"/>
  <c r="X5016" i="1"/>
  <c r="Y5016" i="1"/>
  <c r="Z5016" i="1"/>
  <c r="A5017" i="1"/>
  <c r="B5017" i="1"/>
  <c r="C5017" i="1"/>
  <c r="D5017" i="1"/>
  <c r="E5017" i="1"/>
  <c r="F5017" i="1"/>
  <c r="G5017" i="1"/>
  <c r="I5017" i="1"/>
  <c r="J5017" i="1"/>
  <c r="K5017" i="1"/>
  <c r="L5017" i="1"/>
  <c r="M5017" i="1"/>
  <c r="N5017" i="1"/>
  <c r="O5017" i="1"/>
  <c r="P5017" i="1"/>
  <c r="Q5017" i="1"/>
  <c r="R5017" i="1"/>
  <c r="S5017" i="1"/>
  <c r="T5017" i="1"/>
  <c r="U5017" i="1"/>
  <c r="V5017" i="1"/>
  <c r="W5017" i="1"/>
  <c r="X5017" i="1"/>
  <c r="Y5017" i="1"/>
  <c r="Z5017" i="1"/>
  <c r="A5018" i="1"/>
  <c r="B5018" i="1"/>
  <c r="C5018" i="1"/>
  <c r="D5018" i="1"/>
  <c r="E5018" i="1"/>
  <c r="F5018" i="1"/>
  <c r="G5018" i="1"/>
  <c r="I5018" i="1"/>
  <c r="J5018" i="1"/>
  <c r="K5018" i="1"/>
  <c r="L5018" i="1"/>
  <c r="M5018" i="1"/>
  <c r="N5018" i="1"/>
  <c r="O5018" i="1"/>
  <c r="P5018" i="1"/>
  <c r="Q5018" i="1"/>
  <c r="R5018" i="1"/>
  <c r="S5018" i="1"/>
  <c r="T5018" i="1"/>
  <c r="U5018" i="1"/>
  <c r="V5018" i="1"/>
  <c r="W5018" i="1"/>
  <c r="X5018" i="1"/>
  <c r="Y5018" i="1"/>
  <c r="Z5018" i="1"/>
  <c r="A5019" i="1"/>
  <c r="B5019" i="1"/>
  <c r="C5019" i="1"/>
  <c r="D5019" i="1"/>
  <c r="E5019" i="1"/>
  <c r="F5019" i="1"/>
  <c r="G5019" i="1"/>
  <c r="I5019" i="1"/>
  <c r="J5019" i="1"/>
  <c r="K5019" i="1"/>
  <c r="L5019" i="1"/>
  <c r="M5019" i="1"/>
  <c r="N5019" i="1"/>
  <c r="O5019" i="1"/>
  <c r="P5019" i="1"/>
  <c r="Q5019" i="1"/>
  <c r="R5019" i="1"/>
  <c r="S5019" i="1"/>
  <c r="T5019" i="1"/>
  <c r="U5019" i="1"/>
  <c r="V5019" i="1"/>
  <c r="W5019" i="1"/>
  <c r="X5019" i="1"/>
  <c r="Y5019" i="1"/>
  <c r="Z5019" i="1"/>
  <c r="A5020" i="1"/>
  <c r="B5020" i="1"/>
  <c r="C5020" i="1"/>
  <c r="D5020" i="1"/>
  <c r="E5020" i="1"/>
  <c r="F5020" i="1"/>
  <c r="G5020" i="1"/>
  <c r="I5020" i="1"/>
  <c r="J5020" i="1"/>
  <c r="K5020" i="1"/>
  <c r="L5020" i="1"/>
  <c r="M5020" i="1"/>
  <c r="N5020" i="1"/>
  <c r="O5020" i="1"/>
  <c r="P5020" i="1"/>
  <c r="Q5020" i="1"/>
  <c r="R5020" i="1"/>
  <c r="S5020" i="1"/>
  <c r="T5020" i="1"/>
  <c r="U5020" i="1"/>
  <c r="V5020" i="1"/>
  <c r="W5020" i="1"/>
  <c r="X5020" i="1"/>
  <c r="Y5020" i="1"/>
  <c r="Z5020" i="1"/>
  <c r="A5021" i="1"/>
  <c r="B5021" i="1"/>
  <c r="C5021" i="1"/>
  <c r="D5021" i="1"/>
  <c r="E5021" i="1"/>
  <c r="F5021" i="1"/>
  <c r="G5021" i="1"/>
  <c r="I5021" i="1"/>
  <c r="J5021" i="1"/>
  <c r="K5021" i="1"/>
  <c r="L5021" i="1"/>
  <c r="M5021" i="1"/>
  <c r="N5021" i="1"/>
  <c r="O5021" i="1"/>
  <c r="P5021" i="1"/>
  <c r="Q5021" i="1"/>
  <c r="R5021" i="1"/>
  <c r="S5021" i="1"/>
  <c r="T5021" i="1"/>
  <c r="U5021" i="1"/>
  <c r="V5021" i="1"/>
  <c r="W5021" i="1"/>
  <c r="X5021" i="1"/>
  <c r="Y5021" i="1"/>
  <c r="Z5021" i="1"/>
  <c r="A5022" i="1"/>
  <c r="B5022" i="1"/>
  <c r="C5022" i="1"/>
  <c r="D5022" i="1"/>
  <c r="E5022" i="1"/>
  <c r="F5022" i="1"/>
  <c r="G5022" i="1"/>
  <c r="I5022" i="1"/>
  <c r="J5022" i="1"/>
  <c r="K5022" i="1"/>
  <c r="L5022" i="1"/>
  <c r="M5022" i="1"/>
  <c r="N5022" i="1"/>
  <c r="O5022" i="1"/>
  <c r="P5022" i="1"/>
  <c r="Q5022" i="1"/>
  <c r="R5022" i="1"/>
  <c r="S5022" i="1"/>
  <c r="T5022" i="1"/>
  <c r="U5022" i="1"/>
  <c r="V5022" i="1"/>
  <c r="W5022" i="1"/>
  <c r="X5022" i="1"/>
  <c r="Y5022" i="1"/>
  <c r="Z5022" i="1"/>
  <c r="A5023" i="1"/>
  <c r="B5023" i="1"/>
  <c r="C5023" i="1"/>
  <c r="D5023" i="1"/>
  <c r="E5023" i="1"/>
  <c r="F5023" i="1"/>
  <c r="G5023" i="1"/>
  <c r="I5023" i="1"/>
  <c r="J5023" i="1"/>
  <c r="K5023" i="1"/>
  <c r="L5023" i="1"/>
  <c r="M5023" i="1"/>
  <c r="N5023" i="1"/>
  <c r="O5023" i="1"/>
  <c r="P5023" i="1"/>
  <c r="Q5023" i="1"/>
  <c r="R5023" i="1"/>
  <c r="S5023" i="1"/>
  <c r="T5023" i="1"/>
  <c r="U5023" i="1"/>
  <c r="V5023" i="1"/>
  <c r="W5023" i="1"/>
  <c r="X5023" i="1"/>
  <c r="Y5023" i="1"/>
  <c r="Z5023" i="1"/>
  <c r="A5024" i="1"/>
  <c r="B5024" i="1"/>
  <c r="C5024" i="1"/>
  <c r="D5024" i="1"/>
  <c r="E5024" i="1"/>
  <c r="F5024" i="1"/>
  <c r="G5024" i="1"/>
  <c r="I5024" i="1"/>
  <c r="J5024" i="1"/>
  <c r="K5024" i="1"/>
  <c r="L5024" i="1"/>
  <c r="M5024" i="1"/>
  <c r="N5024" i="1"/>
  <c r="O5024" i="1"/>
  <c r="P5024" i="1"/>
  <c r="Q5024" i="1"/>
  <c r="R5024" i="1"/>
  <c r="S5024" i="1"/>
  <c r="T5024" i="1"/>
  <c r="U5024" i="1"/>
  <c r="V5024" i="1"/>
  <c r="W5024" i="1"/>
  <c r="X5024" i="1"/>
  <c r="Y5024" i="1"/>
  <c r="Z5024" i="1"/>
  <c r="A5025" i="1"/>
  <c r="B5025" i="1"/>
  <c r="C5025" i="1"/>
  <c r="D5025" i="1"/>
  <c r="E5025" i="1"/>
  <c r="F5025" i="1"/>
  <c r="G5025" i="1"/>
  <c r="I5025" i="1"/>
  <c r="J5025" i="1"/>
  <c r="K5025" i="1"/>
  <c r="L5025" i="1"/>
  <c r="M5025" i="1"/>
  <c r="N5025" i="1"/>
  <c r="O5025" i="1"/>
  <c r="P5025" i="1"/>
  <c r="Q5025" i="1"/>
  <c r="R5025" i="1"/>
  <c r="S5025" i="1"/>
  <c r="T5025" i="1"/>
  <c r="U5025" i="1"/>
  <c r="V5025" i="1"/>
  <c r="W5025" i="1"/>
  <c r="X5025" i="1"/>
  <c r="Y5025" i="1"/>
  <c r="Z5025" i="1"/>
  <c r="A5026" i="1"/>
  <c r="B5026" i="1"/>
  <c r="C5026" i="1"/>
  <c r="D5026" i="1"/>
  <c r="E5026" i="1"/>
  <c r="F5026" i="1"/>
  <c r="G5026" i="1"/>
  <c r="I5026" i="1"/>
  <c r="J5026" i="1"/>
  <c r="K5026" i="1"/>
  <c r="L5026" i="1"/>
  <c r="M5026" i="1"/>
  <c r="N5026" i="1"/>
  <c r="O5026" i="1"/>
  <c r="P5026" i="1"/>
  <c r="Q5026" i="1"/>
  <c r="R5026" i="1"/>
  <c r="S5026" i="1"/>
  <c r="T5026" i="1"/>
  <c r="U5026" i="1"/>
  <c r="V5026" i="1"/>
  <c r="W5026" i="1"/>
  <c r="X5026" i="1"/>
  <c r="Y5026" i="1"/>
  <c r="Z5026" i="1"/>
  <c r="A5027" i="1"/>
  <c r="B5027" i="1"/>
  <c r="C5027" i="1"/>
  <c r="D5027" i="1"/>
  <c r="E5027" i="1"/>
  <c r="F5027" i="1"/>
  <c r="G5027" i="1"/>
  <c r="I5027" i="1"/>
  <c r="J5027" i="1"/>
  <c r="K5027" i="1"/>
  <c r="L5027" i="1"/>
  <c r="M5027" i="1"/>
  <c r="N5027" i="1"/>
  <c r="O5027" i="1"/>
  <c r="P5027" i="1"/>
  <c r="Q5027" i="1"/>
  <c r="R5027" i="1"/>
  <c r="S5027" i="1"/>
  <c r="T5027" i="1"/>
  <c r="U5027" i="1"/>
  <c r="V5027" i="1"/>
  <c r="W5027" i="1"/>
  <c r="X5027" i="1"/>
  <c r="Y5027" i="1"/>
  <c r="Z5027" i="1"/>
  <c r="A5028" i="1"/>
  <c r="B5028" i="1"/>
  <c r="C5028" i="1"/>
  <c r="D5028" i="1"/>
  <c r="E5028" i="1"/>
  <c r="F5028" i="1"/>
  <c r="G5028" i="1"/>
  <c r="I5028" i="1"/>
  <c r="J5028" i="1"/>
  <c r="K5028" i="1"/>
  <c r="L5028" i="1"/>
  <c r="M5028" i="1"/>
  <c r="N5028" i="1"/>
  <c r="O5028" i="1"/>
  <c r="P5028" i="1"/>
  <c r="Q5028" i="1"/>
  <c r="R5028" i="1"/>
  <c r="S5028" i="1"/>
  <c r="T5028" i="1"/>
  <c r="U5028" i="1"/>
  <c r="V5028" i="1"/>
  <c r="W5028" i="1"/>
  <c r="X5028" i="1"/>
  <c r="Y5028" i="1"/>
  <c r="Z5028" i="1"/>
  <c r="A5029" i="1"/>
  <c r="B5029" i="1"/>
  <c r="C5029" i="1"/>
  <c r="D5029" i="1"/>
  <c r="E5029" i="1"/>
  <c r="F5029" i="1"/>
  <c r="G5029" i="1"/>
  <c r="I5029" i="1"/>
  <c r="J5029" i="1"/>
  <c r="K5029" i="1"/>
  <c r="L5029" i="1"/>
  <c r="M5029" i="1"/>
  <c r="N5029" i="1"/>
  <c r="O5029" i="1"/>
  <c r="P5029" i="1"/>
  <c r="Q5029" i="1"/>
  <c r="R5029" i="1"/>
  <c r="S5029" i="1"/>
  <c r="T5029" i="1"/>
  <c r="U5029" i="1"/>
  <c r="V5029" i="1"/>
  <c r="W5029" i="1"/>
  <c r="X5029" i="1"/>
  <c r="Y5029" i="1"/>
  <c r="Z5029" i="1"/>
  <c r="A5030" i="1"/>
  <c r="B5030" i="1"/>
  <c r="C5030" i="1"/>
  <c r="D5030" i="1"/>
  <c r="E5030" i="1"/>
  <c r="F5030" i="1"/>
  <c r="G5030" i="1"/>
  <c r="I5030" i="1"/>
  <c r="J5030" i="1"/>
  <c r="K5030" i="1"/>
  <c r="L5030" i="1"/>
  <c r="M5030" i="1"/>
  <c r="N5030" i="1"/>
  <c r="O5030" i="1"/>
  <c r="P5030" i="1"/>
  <c r="Q5030" i="1"/>
  <c r="R5030" i="1"/>
  <c r="S5030" i="1"/>
  <c r="T5030" i="1"/>
  <c r="U5030" i="1"/>
  <c r="V5030" i="1"/>
  <c r="W5030" i="1"/>
  <c r="X5030" i="1"/>
  <c r="Y5030" i="1"/>
  <c r="Z5030" i="1"/>
  <c r="A5031" i="1"/>
  <c r="B5031" i="1"/>
  <c r="C5031" i="1"/>
  <c r="D5031" i="1"/>
  <c r="E5031" i="1"/>
  <c r="F5031" i="1"/>
  <c r="G5031" i="1"/>
  <c r="I5031" i="1"/>
  <c r="J5031" i="1"/>
  <c r="K5031" i="1"/>
  <c r="L5031" i="1"/>
  <c r="M5031" i="1"/>
  <c r="N5031" i="1"/>
  <c r="O5031" i="1"/>
  <c r="P5031" i="1"/>
  <c r="Q5031" i="1"/>
  <c r="R5031" i="1"/>
  <c r="S5031" i="1"/>
  <c r="T5031" i="1"/>
  <c r="U5031" i="1"/>
  <c r="V5031" i="1"/>
  <c r="W5031" i="1"/>
  <c r="X5031" i="1"/>
  <c r="Y5031" i="1"/>
  <c r="Z5031" i="1"/>
  <c r="A5032" i="1"/>
  <c r="B5032" i="1"/>
  <c r="C5032" i="1"/>
  <c r="D5032" i="1"/>
  <c r="E5032" i="1"/>
  <c r="F5032" i="1"/>
  <c r="G5032" i="1"/>
  <c r="I5032" i="1"/>
  <c r="J5032" i="1"/>
  <c r="K5032" i="1"/>
  <c r="L5032" i="1"/>
  <c r="M5032" i="1"/>
  <c r="N5032" i="1"/>
  <c r="O5032" i="1"/>
  <c r="P5032" i="1"/>
  <c r="Q5032" i="1"/>
  <c r="R5032" i="1"/>
  <c r="S5032" i="1"/>
  <c r="T5032" i="1"/>
  <c r="U5032" i="1"/>
  <c r="V5032" i="1"/>
  <c r="W5032" i="1"/>
  <c r="X5032" i="1"/>
  <c r="Y5032" i="1"/>
  <c r="Z5032" i="1"/>
  <c r="A5033" i="1"/>
  <c r="B5033" i="1"/>
  <c r="C5033" i="1"/>
  <c r="D5033" i="1"/>
  <c r="E5033" i="1"/>
  <c r="F5033" i="1"/>
  <c r="G5033" i="1"/>
  <c r="I5033" i="1"/>
  <c r="J5033" i="1"/>
  <c r="K5033" i="1"/>
  <c r="L5033" i="1"/>
  <c r="M5033" i="1"/>
  <c r="N5033" i="1"/>
  <c r="O5033" i="1"/>
  <c r="P5033" i="1"/>
  <c r="Q5033" i="1"/>
  <c r="R5033" i="1"/>
  <c r="S5033" i="1"/>
  <c r="T5033" i="1"/>
  <c r="U5033" i="1"/>
  <c r="V5033" i="1"/>
  <c r="W5033" i="1"/>
  <c r="X5033" i="1"/>
  <c r="Y5033" i="1"/>
  <c r="Z5033" i="1"/>
  <c r="A5034" i="1"/>
  <c r="B5034" i="1"/>
  <c r="C5034" i="1"/>
  <c r="D5034" i="1"/>
  <c r="E5034" i="1"/>
  <c r="F5034" i="1"/>
  <c r="G5034" i="1"/>
  <c r="I5034" i="1"/>
  <c r="J5034" i="1"/>
  <c r="K5034" i="1"/>
  <c r="L5034" i="1"/>
  <c r="M5034" i="1"/>
  <c r="N5034" i="1"/>
  <c r="O5034" i="1"/>
  <c r="P5034" i="1"/>
  <c r="Q5034" i="1"/>
  <c r="R5034" i="1"/>
  <c r="S5034" i="1"/>
  <c r="T5034" i="1"/>
  <c r="U5034" i="1"/>
  <c r="V5034" i="1"/>
  <c r="W5034" i="1"/>
  <c r="X5034" i="1"/>
  <c r="Y5034" i="1"/>
  <c r="Z5034" i="1"/>
  <c r="A5035" i="1"/>
  <c r="B5035" i="1"/>
  <c r="C5035" i="1"/>
  <c r="D5035" i="1"/>
  <c r="E5035" i="1"/>
  <c r="F5035" i="1"/>
  <c r="G5035" i="1"/>
  <c r="I5035" i="1"/>
  <c r="J5035" i="1"/>
  <c r="K5035" i="1"/>
  <c r="L5035" i="1"/>
  <c r="M5035" i="1"/>
  <c r="N5035" i="1"/>
  <c r="O5035" i="1"/>
  <c r="P5035" i="1"/>
  <c r="Q5035" i="1"/>
  <c r="R5035" i="1"/>
  <c r="S5035" i="1"/>
  <c r="T5035" i="1"/>
  <c r="U5035" i="1"/>
  <c r="V5035" i="1"/>
  <c r="W5035" i="1"/>
  <c r="X5035" i="1"/>
  <c r="Y5035" i="1"/>
  <c r="Z5035" i="1"/>
  <c r="A5036" i="1"/>
  <c r="B5036" i="1"/>
  <c r="C5036" i="1"/>
  <c r="D5036" i="1"/>
  <c r="E5036" i="1"/>
  <c r="F5036" i="1"/>
  <c r="G5036" i="1"/>
  <c r="I5036" i="1"/>
  <c r="J5036" i="1"/>
  <c r="K5036" i="1"/>
  <c r="L5036" i="1"/>
  <c r="M5036" i="1"/>
  <c r="N5036" i="1"/>
  <c r="O5036" i="1"/>
  <c r="P5036" i="1"/>
  <c r="Q5036" i="1"/>
  <c r="R5036" i="1"/>
  <c r="S5036" i="1"/>
  <c r="T5036" i="1"/>
  <c r="U5036" i="1"/>
  <c r="V5036" i="1"/>
  <c r="W5036" i="1"/>
  <c r="X5036" i="1"/>
  <c r="Y5036" i="1"/>
  <c r="Z5036" i="1"/>
  <c r="A5037" i="1"/>
  <c r="B5037" i="1"/>
  <c r="C5037" i="1"/>
  <c r="D5037" i="1"/>
  <c r="E5037" i="1"/>
  <c r="F5037" i="1"/>
  <c r="G5037" i="1"/>
  <c r="I5037" i="1"/>
  <c r="J5037" i="1"/>
  <c r="K5037" i="1"/>
  <c r="L5037" i="1"/>
  <c r="M5037" i="1"/>
  <c r="N5037" i="1"/>
  <c r="O5037" i="1"/>
  <c r="P5037" i="1"/>
  <c r="Q5037" i="1"/>
  <c r="R5037" i="1"/>
  <c r="S5037" i="1"/>
  <c r="T5037" i="1"/>
  <c r="U5037" i="1"/>
  <c r="V5037" i="1"/>
  <c r="W5037" i="1"/>
  <c r="X5037" i="1"/>
  <c r="Y5037" i="1"/>
  <c r="Z5037" i="1"/>
  <c r="A5038" i="1"/>
  <c r="B5038" i="1"/>
  <c r="C5038" i="1"/>
  <c r="D5038" i="1"/>
  <c r="E5038" i="1"/>
  <c r="F5038" i="1"/>
  <c r="G5038" i="1"/>
  <c r="I5038" i="1"/>
  <c r="J5038" i="1"/>
  <c r="K5038" i="1"/>
  <c r="L5038" i="1"/>
  <c r="M5038" i="1"/>
  <c r="N5038" i="1"/>
  <c r="O5038" i="1"/>
  <c r="P5038" i="1"/>
  <c r="Q5038" i="1"/>
  <c r="R5038" i="1"/>
  <c r="S5038" i="1"/>
  <c r="T5038" i="1"/>
  <c r="U5038" i="1"/>
  <c r="V5038" i="1"/>
  <c r="W5038" i="1"/>
  <c r="X5038" i="1"/>
  <c r="Y5038" i="1"/>
  <c r="Z5038" i="1"/>
  <c r="A5039" i="1"/>
  <c r="B5039" i="1"/>
  <c r="C5039" i="1"/>
  <c r="D5039" i="1"/>
  <c r="E5039" i="1"/>
  <c r="F5039" i="1"/>
  <c r="G5039" i="1"/>
  <c r="I5039" i="1"/>
  <c r="J5039" i="1"/>
  <c r="K5039" i="1"/>
  <c r="L5039" i="1"/>
  <c r="M5039" i="1"/>
  <c r="N5039" i="1"/>
  <c r="O5039" i="1"/>
  <c r="P5039" i="1"/>
  <c r="Q5039" i="1"/>
  <c r="R5039" i="1"/>
  <c r="S5039" i="1"/>
  <c r="T5039" i="1"/>
  <c r="U5039" i="1"/>
  <c r="V5039" i="1"/>
  <c r="W5039" i="1"/>
  <c r="X5039" i="1"/>
  <c r="Y5039" i="1"/>
  <c r="Z5039" i="1"/>
  <c r="A5040" i="1"/>
  <c r="B5040" i="1"/>
  <c r="C5040" i="1"/>
  <c r="D5040" i="1"/>
  <c r="E5040" i="1"/>
  <c r="F5040" i="1"/>
  <c r="G5040" i="1"/>
  <c r="I5040" i="1"/>
  <c r="J5040" i="1"/>
  <c r="K5040" i="1"/>
  <c r="L5040" i="1"/>
  <c r="M5040" i="1"/>
  <c r="N5040" i="1"/>
  <c r="O5040" i="1"/>
  <c r="P5040" i="1"/>
  <c r="Q5040" i="1"/>
  <c r="R5040" i="1"/>
  <c r="S5040" i="1"/>
  <c r="T5040" i="1"/>
  <c r="U5040" i="1"/>
  <c r="V5040" i="1"/>
  <c r="W5040" i="1"/>
  <c r="X5040" i="1"/>
  <c r="Y5040" i="1"/>
  <c r="Z5040" i="1"/>
  <c r="A5041" i="1"/>
  <c r="B5041" i="1"/>
  <c r="C5041" i="1"/>
  <c r="D5041" i="1"/>
  <c r="E5041" i="1"/>
  <c r="F5041" i="1"/>
  <c r="G5041" i="1"/>
  <c r="I5041" i="1"/>
  <c r="J5041" i="1"/>
  <c r="K5041" i="1"/>
  <c r="L5041" i="1"/>
  <c r="M5041" i="1"/>
  <c r="N5041" i="1"/>
  <c r="O5041" i="1"/>
  <c r="P5041" i="1"/>
  <c r="Q5041" i="1"/>
  <c r="R5041" i="1"/>
  <c r="S5041" i="1"/>
  <c r="T5041" i="1"/>
  <c r="U5041" i="1"/>
  <c r="V5041" i="1"/>
  <c r="W5041" i="1"/>
  <c r="X5041" i="1"/>
  <c r="Y5041" i="1"/>
  <c r="Z5041" i="1"/>
  <c r="A5042" i="1"/>
  <c r="B5042" i="1"/>
  <c r="C5042" i="1"/>
  <c r="D5042" i="1"/>
  <c r="E5042" i="1"/>
  <c r="F5042" i="1"/>
  <c r="G5042" i="1"/>
  <c r="I5042" i="1"/>
  <c r="J5042" i="1"/>
  <c r="K5042" i="1"/>
  <c r="L5042" i="1"/>
  <c r="M5042" i="1"/>
  <c r="N5042" i="1"/>
  <c r="O5042" i="1"/>
  <c r="P5042" i="1"/>
  <c r="Q5042" i="1"/>
  <c r="R5042" i="1"/>
  <c r="S5042" i="1"/>
  <c r="T5042" i="1"/>
  <c r="U5042" i="1"/>
  <c r="V5042" i="1"/>
  <c r="W5042" i="1"/>
  <c r="X5042" i="1"/>
  <c r="Y5042" i="1"/>
  <c r="Z5042" i="1"/>
  <c r="A5043" i="1"/>
  <c r="B5043" i="1"/>
  <c r="C5043" i="1"/>
  <c r="D5043" i="1"/>
  <c r="E5043" i="1"/>
  <c r="F5043" i="1"/>
  <c r="G5043" i="1"/>
  <c r="I5043" i="1"/>
  <c r="J5043" i="1"/>
  <c r="K5043" i="1"/>
  <c r="L5043" i="1"/>
  <c r="M5043" i="1"/>
  <c r="N5043" i="1"/>
  <c r="O5043" i="1"/>
  <c r="P5043" i="1"/>
  <c r="Q5043" i="1"/>
  <c r="R5043" i="1"/>
  <c r="S5043" i="1"/>
  <c r="T5043" i="1"/>
  <c r="U5043" i="1"/>
  <c r="V5043" i="1"/>
  <c r="W5043" i="1"/>
  <c r="X5043" i="1"/>
  <c r="Y5043" i="1"/>
  <c r="Z5043" i="1"/>
  <c r="A5044" i="1"/>
  <c r="B5044" i="1"/>
  <c r="C5044" i="1"/>
  <c r="D5044" i="1"/>
  <c r="E5044" i="1"/>
  <c r="F5044" i="1"/>
  <c r="G5044" i="1"/>
  <c r="I5044" i="1"/>
  <c r="J5044" i="1"/>
  <c r="K5044" i="1"/>
  <c r="L5044" i="1"/>
  <c r="M5044" i="1"/>
  <c r="N5044" i="1"/>
  <c r="O5044" i="1"/>
  <c r="P5044" i="1"/>
  <c r="Q5044" i="1"/>
  <c r="R5044" i="1"/>
  <c r="S5044" i="1"/>
  <c r="T5044" i="1"/>
  <c r="U5044" i="1"/>
  <c r="V5044" i="1"/>
  <c r="W5044" i="1"/>
  <c r="X5044" i="1"/>
  <c r="Y5044" i="1"/>
  <c r="Z5044" i="1"/>
  <c r="A5045" i="1"/>
  <c r="B5045" i="1"/>
  <c r="C5045" i="1"/>
  <c r="D5045" i="1"/>
  <c r="E5045" i="1"/>
  <c r="F5045" i="1"/>
  <c r="G5045" i="1"/>
  <c r="I5045" i="1"/>
  <c r="J5045" i="1"/>
  <c r="K5045" i="1"/>
  <c r="L5045" i="1"/>
  <c r="M5045" i="1"/>
  <c r="N5045" i="1"/>
  <c r="O5045" i="1"/>
  <c r="P5045" i="1"/>
  <c r="Q5045" i="1"/>
  <c r="R5045" i="1"/>
  <c r="S5045" i="1"/>
  <c r="T5045" i="1"/>
  <c r="U5045" i="1"/>
  <c r="V5045" i="1"/>
  <c r="W5045" i="1"/>
  <c r="X5045" i="1"/>
  <c r="Y5045" i="1"/>
  <c r="Z5045" i="1"/>
  <c r="A5046" i="1"/>
  <c r="B5046" i="1"/>
  <c r="C5046" i="1"/>
  <c r="D5046" i="1"/>
  <c r="E5046" i="1"/>
  <c r="F5046" i="1"/>
  <c r="G5046" i="1"/>
  <c r="I5046" i="1"/>
  <c r="J5046" i="1"/>
  <c r="K5046" i="1"/>
  <c r="L5046" i="1"/>
  <c r="M5046" i="1"/>
  <c r="N5046" i="1"/>
  <c r="O5046" i="1"/>
  <c r="P5046" i="1"/>
  <c r="Q5046" i="1"/>
  <c r="R5046" i="1"/>
  <c r="S5046" i="1"/>
  <c r="T5046" i="1"/>
  <c r="U5046" i="1"/>
  <c r="V5046" i="1"/>
  <c r="W5046" i="1"/>
  <c r="X5046" i="1"/>
  <c r="Y5046" i="1"/>
  <c r="Z5046" i="1"/>
  <c r="A5047" i="1"/>
  <c r="B5047" i="1"/>
  <c r="C5047" i="1"/>
  <c r="D5047" i="1"/>
  <c r="E5047" i="1"/>
  <c r="F5047" i="1"/>
  <c r="G5047" i="1"/>
  <c r="I5047" i="1"/>
  <c r="J5047" i="1"/>
  <c r="K5047" i="1"/>
  <c r="L5047" i="1"/>
  <c r="M5047" i="1"/>
  <c r="N5047" i="1"/>
  <c r="O5047" i="1"/>
  <c r="P5047" i="1"/>
  <c r="Q5047" i="1"/>
  <c r="R5047" i="1"/>
  <c r="S5047" i="1"/>
  <c r="T5047" i="1"/>
  <c r="U5047" i="1"/>
  <c r="V5047" i="1"/>
  <c r="W5047" i="1"/>
  <c r="X5047" i="1"/>
  <c r="Y5047" i="1"/>
  <c r="Z5047" i="1"/>
  <c r="A5048" i="1"/>
  <c r="B5048" i="1"/>
  <c r="C5048" i="1"/>
  <c r="D5048" i="1"/>
  <c r="E5048" i="1"/>
  <c r="F5048" i="1"/>
  <c r="G5048" i="1"/>
  <c r="I5048" i="1"/>
  <c r="J5048" i="1"/>
  <c r="K5048" i="1"/>
  <c r="L5048" i="1"/>
  <c r="M5048" i="1"/>
  <c r="N5048" i="1"/>
  <c r="O5048" i="1"/>
  <c r="P5048" i="1"/>
  <c r="Q5048" i="1"/>
  <c r="R5048" i="1"/>
  <c r="S5048" i="1"/>
  <c r="T5048" i="1"/>
  <c r="U5048" i="1"/>
  <c r="V5048" i="1"/>
  <c r="W5048" i="1"/>
  <c r="X5048" i="1"/>
  <c r="Y5048" i="1"/>
  <c r="Z5048" i="1"/>
  <c r="A5049" i="1"/>
  <c r="B5049" i="1"/>
  <c r="C5049" i="1"/>
  <c r="D5049" i="1"/>
  <c r="E5049" i="1"/>
  <c r="F5049" i="1"/>
  <c r="G5049" i="1"/>
  <c r="I5049" i="1"/>
  <c r="J5049" i="1"/>
  <c r="K5049" i="1"/>
  <c r="L5049" i="1"/>
  <c r="M5049" i="1"/>
  <c r="N5049" i="1"/>
  <c r="O5049" i="1"/>
  <c r="P5049" i="1"/>
  <c r="Q5049" i="1"/>
  <c r="R5049" i="1"/>
  <c r="S5049" i="1"/>
  <c r="T5049" i="1"/>
  <c r="U5049" i="1"/>
  <c r="V5049" i="1"/>
  <c r="W5049" i="1"/>
  <c r="X5049" i="1"/>
  <c r="Y5049" i="1"/>
  <c r="Z5049" i="1"/>
  <c r="A5050" i="1"/>
  <c r="B5050" i="1"/>
  <c r="C5050" i="1"/>
  <c r="D5050" i="1"/>
  <c r="E5050" i="1"/>
  <c r="F5050" i="1"/>
  <c r="G5050" i="1"/>
  <c r="I5050" i="1"/>
  <c r="J5050" i="1"/>
  <c r="K5050" i="1"/>
  <c r="L5050" i="1"/>
  <c r="M5050" i="1"/>
  <c r="N5050" i="1"/>
  <c r="O5050" i="1"/>
  <c r="P5050" i="1"/>
  <c r="Q5050" i="1"/>
  <c r="R5050" i="1"/>
  <c r="S5050" i="1"/>
  <c r="T5050" i="1"/>
  <c r="U5050" i="1"/>
  <c r="V5050" i="1"/>
  <c r="W5050" i="1"/>
  <c r="X5050" i="1"/>
  <c r="Y5050" i="1"/>
  <c r="Z5050" i="1"/>
  <c r="A5051" i="1"/>
  <c r="B5051" i="1"/>
  <c r="C5051" i="1"/>
  <c r="D5051" i="1"/>
  <c r="E5051" i="1"/>
  <c r="F5051" i="1"/>
  <c r="G5051" i="1"/>
  <c r="I5051" i="1"/>
  <c r="J5051" i="1"/>
  <c r="K5051" i="1"/>
  <c r="L5051" i="1"/>
  <c r="M5051" i="1"/>
  <c r="N5051" i="1"/>
  <c r="O5051" i="1"/>
  <c r="P5051" i="1"/>
  <c r="Q5051" i="1"/>
  <c r="R5051" i="1"/>
  <c r="S5051" i="1"/>
  <c r="T5051" i="1"/>
  <c r="U5051" i="1"/>
  <c r="V5051" i="1"/>
  <c r="W5051" i="1"/>
  <c r="X5051" i="1"/>
  <c r="Y5051" i="1"/>
  <c r="Z5051" i="1"/>
  <c r="A5052" i="1"/>
  <c r="B5052" i="1"/>
  <c r="C5052" i="1"/>
  <c r="D5052" i="1"/>
  <c r="E5052" i="1"/>
  <c r="F5052" i="1"/>
  <c r="G5052" i="1"/>
  <c r="I5052" i="1"/>
  <c r="J5052" i="1"/>
  <c r="K5052" i="1"/>
  <c r="L5052" i="1"/>
  <c r="M5052" i="1"/>
  <c r="N5052" i="1"/>
  <c r="O5052" i="1"/>
  <c r="P5052" i="1"/>
  <c r="Q5052" i="1"/>
  <c r="R5052" i="1"/>
  <c r="S5052" i="1"/>
  <c r="T5052" i="1"/>
  <c r="U5052" i="1"/>
  <c r="V5052" i="1"/>
  <c r="W5052" i="1"/>
  <c r="X5052" i="1"/>
  <c r="Y5052" i="1"/>
  <c r="Z5052" i="1"/>
  <c r="A5053" i="1"/>
  <c r="B5053" i="1"/>
  <c r="C5053" i="1"/>
  <c r="D5053" i="1"/>
  <c r="E5053" i="1"/>
  <c r="F5053" i="1"/>
  <c r="G5053" i="1"/>
  <c r="I5053" i="1"/>
  <c r="J5053" i="1"/>
  <c r="K5053" i="1"/>
  <c r="L5053" i="1"/>
  <c r="M5053" i="1"/>
  <c r="N5053" i="1"/>
  <c r="O5053" i="1"/>
  <c r="P5053" i="1"/>
  <c r="Q5053" i="1"/>
  <c r="R5053" i="1"/>
  <c r="S5053" i="1"/>
  <c r="T5053" i="1"/>
  <c r="U5053" i="1"/>
  <c r="V5053" i="1"/>
  <c r="W5053" i="1"/>
  <c r="X5053" i="1"/>
  <c r="Y5053" i="1"/>
  <c r="Z5053" i="1"/>
  <c r="A5054" i="1"/>
  <c r="B5054" i="1"/>
  <c r="C5054" i="1"/>
  <c r="D5054" i="1"/>
  <c r="E5054" i="1"/>
  <c r="F5054" i="1"/>
  <c r="G5054" i="1"/>
  <c r="I5054" i="1"/>
  <c r="J5054" i="1"/>
  <c r="K5054" i="1"/>
  <c r="L5054" i="1"/>
  <c r="M5054" i="1"/>
  <c r="N5054" i="1"/>
  <c r="O5054" i="1"/>
  <c r="P5054" i="1"/>
  <c r="Q5054" i="1"/>
  <c r="R5054" i="1"/>
  <c r="S5054" i="1"/>
  <c r="T5054" i="1"/>
  <c r="U5054" i="1"/>
  <c r="V5054" i="1"/>
  <c r="W5054" i="1"/>
  <c r="X5054" i="1"/>
  <c r="Y5054" i="1"/>
  <c r="Z5054" i="1"/>
  <c r="A5055" i="1"/>
  <c r="B5055" i="1"/>
  <c r="C5055" i="1"/>
  <c r="D5055" i="1"/>
  <c r="E5055" i="1"/>
  <c r="F5055" i="1"/>
  <c r="G5055" i="1"/>
  <c r="I5055" i="1"/>
  <c r="J5055" i="1"/>
  <c r="K5055" i="1"/>
  <c r="L5055" i="1"/>
  <c r="M5055" i="1"/>
  <c r="N5055" i="1"/>
  <c r="O5055" i="1"/>
  <c r="P5055" i="1"/>
  <c r="Q5055" i="1"/>
  <c r="R5055" i="1"/>
  <c r="S5055" i="1"/>
  <c r="T5055" i="1"/>
  <c r="U5055" i="1"/>
  <c r="V5055" i="1"/>
  <c r="W5055" i="1"/>
  <c r="X5055" i="1"/>
  <c r="Y5055" i="1"/>
  <c r="Z5055" i="1"/>
  <c r="A5056" i="1"/>
  <c r="B5056" i="1"/>
  <c r="C5056" i="1"/>
  <c r="D5056" i="1"/>
  <c r="E5056" i="1"/>
  <c r="F5056" i="1"/>
  <c r="G5056" i="1"/>
  <c r="I5056" i="1"/>
  <c r="J5056" i="1"/>
  <c r="K5056" i="1"/>
  <c r="L5056" i="1"/>
  <c r="M5056" i="1"/>
  <c r="N5056" i="1"/>
  <c r="O5056" i="1"/>
  <c r="P5056" i="1"/>
  <c r="Q5056" i="1"/>
  <c r="R5056" i="1"/>
  <c r="S5056" i="1"/>
  <c r="T5056" i="1"/>
  <c r="U5056" i="1"/>
  <c r="V5056" i="1"/>
  <c r="W5056" i="1"/>
  <c r="X5056" i="1"/>
  <c r="Y5056" i="1"/>
  <c r="Z5056" i="1"/>
  <c r="A5057" i="1"/>
  <c r="B5057" i="1"/>
  <c r="C5057" i="1"/>
  <c r="D5057" i="1"/>
  <c r="E5057" i="1"/>
  <c r="F5057" i="1"/>
  <c r="G5057" i="1"/>
  <c r="I5057" i="1"/>
  <c r="J5057" i="1"/>
  <c r="K5057" i="1"/>
  <c r="L5057" i="1"/>
  <c r="M5057" i="1"/>
  <c r="N5057" i="1"/>
  <c r="O5057" i="1"/>
  <c r="P5057" i="1"/>
  <c r="Q5057" i="1"/>
  <c r="R5057" i="1"/>
  <c r="S5057" i="1"/>
  <c r="T5057" i="1"/>
  <c r="U5057" i="1"/>
  <c r="V5057" i="1"/>
  <c r="W5057" i="1"/>
  <c r="X5057" i="1"/>
  <c r="Y5057" i="1"/>
  <c r="Z5057" i="1"/>
  <c r="A5058" i="1"/>
  <c r="B5058" i="1"/>
  <c r="C5058" i="1"/>
  <c r="D5058" i="1"/>
  <c r="E5058" i="1"/>
  <c r="F5058" i="1"/>
  <c r="G5058" i="1"/>
  <c r="I5058" i="1"/>
  <c r="J5058" i="1"/>
  <c r="K5058" i="1"/>
  <c r="L5058" i="1"/>
  <c r="M5058" i="1"/>
  <c r="N5058" i="1"/>
  <c r="O5058" i="1"/>
  <c r="P5058" i="1"/>
  <c r="Q5058" i="1"/>
  <c r="R5058" i="1"/>
  <c r="S5058" i="1"/>
  <c r="T5058" i="1"/>
  <c r="U5058" i="1"/>
  <c r="V5058" i="1"/>
  <c r="W5058" i="1"/>
  <c r="X5058" i="1"/>
  <c r="Y5058" i="1"/>
  <c r="Z5058" i="1"/>
  <c r="A5059" i="1"/>
  <c r="B5059" i="1"/>
  <c r="C5059" i="1"/>
  <c r="D5059" i="1"/>
  <c r="E5059" i="1"/>
  <c r="F5059" i="1"/>
  <c r="G5059" i="1"/>
  <c r="I5059" i="1"/>
  <c r="J5059" i="1"/>
  <c r="K5059" i="1"/>
  <c r="L5059" i="1"/>
  <c r="M5059" i="1"/>
  <c r="N5059" i="1"/>
  <c r="O5059" i="1"/>
  <c r="P5059" i="1"/>
  <c r="Q5059" i="1"/>
  <c r="R5059" i="1"/>
  <c r="S5059" i="1"/>
  <c r="T5059" i="1"/>
  <c r="U5059" i="1"/>
  <c r="V5059" i="1"/>
  <c r="W5059" i="1"/>
  <c r="X5059" i="1"/>
  <c r="Y5059" i="1"/>
  <c r="Z5059" i="1"/>
  <c r="A5060" i="1"/>
  <c r="B5060" i="1"/>
  <c r="C5060" i="1"/>
  <c r="D5060" i="1"/>
  <c r="E5060" i="1"/>
  <c r="F5060" i="1"/>
  <c r="G5060" i="1"/>
  <c r="I5060" i="1"/>
  <c r="J5060" i="1"/>
  <c r="K5060" i="1"/>
  <c r="L5060" i="1"/>
  <c r="M5060" i="1"/>
  <c r="N5060" i="1"/>
  <c r="O5060" i="1"/>
  <c r="P5060" i="1"/>
  <c r="Q5060" i="1"/>
  <c r="R5060" i="1"/>
  <c r="S5060" i="1"/>
  <c r="T5060" i="1"/>
  <c r="U5060" i="1"/>
  <c r="V5060" i="1"/>
  <c r="W5060" i="1"/>
  <c r="X5060" i="1"/>
  <c r="Y5060" i="1"/>
  <c r="Z5060" i="1"/>
  <c r="A5061" i="1"/>
  <c r="B5061" i="1"/>
  <c r="C5061" i="1"/>
  <c r="D5061" i="1"/>
  <c r="E5061" i="1"/>
  <c r="F5061" i="1"/>
  <c r="G5061" i="1"/>
  <c r="I5061" i="1"/>
  <c r="J5061" i="1"/>
  <c r="K5061" i="1"/>
  <c r="L5061" i="1"/>
  <c r="M5061" i="1"/>
  <c r="N5061" i="1"/>
  <c r="O5061" i="1"/>
  <c r="P5061" i="1"/>
  <c r="Q5061" i="1"/>
  <c r="R5061" i="1"/>
  <c r="S5061" i="1"/>
  <c r="T5061" i="1"/>
  <c r="U5061" i="1"/>
  <c r="V5061" i="1"/>
  <c r="W5061" i="1"/>
  <c r="X5061" i="1"/>
  <c r="Y5061" i="1"/>
  <c r="Z5061" i="1"/>
  <c r="A5062" i="1"/>
  <c r="B5062" i="1"/>
  <c r="C5062" i="1"/>
  <c r="D5062" i="1"/>
  <c r="E5062" i="1"/>
  <c r="F5062" i="1"/>
  <c r="G5062" i="1"/>
  <c r="I5062" i="1"/>
  <c r="J5062" i="1"/>
  <c r="K5062" i="1"/>
  <c r="L5062" i="1"/>
  <c r="M5062" i="1"/>
  <c r="N5062" i="1"/>
  <c r="O5062" i="1"/>
  <c r="P5062" i="1"/>
  <c r="Q5062" i="1"/>
  <c r="R5062" i="1"/>
  <c r="S5062" i="1"/>
  <c r="T5062" i="1"/>
  <c r="U5062" i="1"/>
  <c r="V5062" i="1"/>
  <c r="W5062" i="1"/>
  <c r="X5062" i="1"/>
  <c r="Y5062" i="1"/>
  <c r="Z5062" i="1"/>
  <c r="A5063" i="1"/>
  <c r="B5063" i="1"/>
  <c r="C5063" i="1"/>
  <c r="D5063" i="1"/>
  <c r="E5063" i="1"/>
  <c r="F5063" i="1"/>
  <c r="G5063" i="1"/>
  <c r="I5063" i="1"/>
  <c r="J5063" i="1"/>
  <c r="K5063" i="1"/>
  <c r="L5063" i="1"/>
  <c r="M5063" i="1"/>
  <c r="N5063" i="1"/>
  <c r="O5063" i="1"/>
  <c r="P5063" i="1"/>
  <c r="Q5063" i="1"/>
  <c r="R5063" i="1"/>
  <c r="S5063" i="1"/>
  <c r="T5063" i="1"/>
  <c r="U5063" i="1"/>
  <c r="V5063" i="1"/>
  <c r="W5063" i="1"/>
  <c r="X5063" i="1"/>
  <c r="Y5063" i="1"/>
  <c r="Z5063" i="1"/>
  <c r="A5064" i="1"/>
  <c r="B5064" i="1"/>
  <c r="C5064" i="1"/>
  <c r="D5064" i="1"/>
  <c r="E5064" i="1"/>
  <c r="F5064" i="1"/>
  <c r="G5064" i="1"/>
  <c r="I5064" i="1"/>
  <c r="J5064" i="1"/>
  <c r="K5064" i="1"/>
  <c r="L5064" i="1"/>
  <c r="M5064" i="1"/>
  <c r="N5064" i="1"/>
  <c r="O5064" i="1"/>
  <c r="P5064" i="1"/>
  <c r="Q5064" i="1"/>
  <c r="R5064" i="1"/>
  <c r="S5064" i="1"/>
  <c r="T5064" i="1"/>
  <c r="U5064" i="1"/>
  <c r="V5064" i="1"/>
  <c r="W5064" i="1"/>
  <c r="X5064" i="1"/>
  <c r="Y5064" i="1"/>
  <c r="Z5064" i="1"/>
  <c r="A5065" i="1"/>
  <c r="B5065" i="1"/>
  <c r="C5065" i="1"/>
  <c r="D5065" i="1"/>
  <c r="E5065" i="1"/>
  <c r="F5065" i="1"/>
  <c r="G5065" i="1"/>
  <c r="I5065" i="1"/>
  <c r="J5065" i="1"/>
  <c r="K5065" i="1"/>
  <c r="L5065" i="1"/>
  <c r="M5065" i="1"/>
  <c r="N5065" i="1"/>
  <c r="O5065" i="1"/>
  <c r="P5065" i="1"/>
  <c r="Q5065" i="1"/>
  <c r="R5065" i="1"/>
  <c r="S5065" i="1"/>
  <c r="T5065" i="1"/>
  <c r="U5065" i="1"/>
  <c r="V5065" i="1"/>
  <c r="W5065" i="1"/>
  <c r="X5065" i="1"/>
  <c r="Y5065" i="1"/>
  <c r="Z5065" i="1"/>
  <c r="A5066" i="1"/>
  <c r="B5066" i="1"/>
  <c r="C5066" i="1"/>
  <c r="D5066" i="1"/>
  <c r="E5066" i="1"/>
  <c r="F5066" i="1"/>
  <c r="G5066" i="1"/>
  <c r="I5066" i="1"/>
  <c r="J5066" i="1"/>
  <c r="K5066" i="1"/>
  <c r="L5066" i="1"/>
  <c r="M5066" i="1"/>
  <c r="N5066" i="1"/>
  <c r="O5066" i="1"/>
  <c r="P5066" i="1"/>
  <c r="Q5066" i="1"/>
  <c r="R5066" i="1"/>
  <c r="S5066" i="1"/>
  <c r="T5066" i="1"/>
  <c r="U5066" i="1"/>
  <c r="V5066" i="1"/>
  <c r="W5066" i="1"/>
  <c r="X5066" i="1"/>
  <c r="Y5066" i="1"/>
  <c r="Z5066" i="1"/>
  <c r="A5067" i="1"/>
  <c r="B5067" i="1"/>
  <c r="C5067" i="1"/>
  <c r="D5067" i="1"/>
  <c r="E5067" i="1"/>
  <c r="F5067" i="1"/>
  <c r="G5067" i="1"/>
  <c r="I5067" i="1"/>
  <c r="J5067" i="1"/>
  <c r="K5067" i="1"/>
  <c r="L5067" i="1"/>
  <c r="M5067" i="1"/>
  <c r="N5067" i="1"/>
  <c r="O5067" i="1"/>
  <c r="P5067" i="1"/>
  <c r="Q5067" i="1"/>
  <c r="R5067" i="1"/>
  <c r="S5067" i="1"/>
  <c r="T5067" i="1"/>
  <c r="U5067" i="1"/>
  <c r="V5067" i="1"/>
  <c r="W5067" i="1"/>
  <c r="X5067" i="1"/>
  <c r="Y5067" i="1"/>
  <c r="Z5067" i="1"/>
  <c r="A5068" i="1"/>
  <c r="B5068" i="1"/>
  <c r="C5068" i="1"/>
  <c r="D5068" i="1"/>
  <c r="E5068" i="1"/>
  <c r="F5068" i="1"/>
  <c r="G5068" i="1"/>
  <c r="I5068" i="1"/>
  <c r="J5068" i="1"/>
  <c r="K5068" i="1"/>
  <c r="L5068" i="1"/>
  <c r="M5068" i="1"/>
  <c r="N5068" i="1"/>
  <c r="O5068" i="1"/>
  <c r="P5068" i="1"/>
  <c r="Q5068" i="1"/>
  <c r="R5068" i="1"/>
  <c r="S5068" i="1"/>
  <c r="T5068" i="1"/>
  <c r="U5068" i="1"/>
  <c r="V5068" i="1"/>
  <c r="W5068" i="1"/>
  <c r="X5068" i="1"/>
  <c r="Y5068" i="1"/>
  <c r="Z5068" i="1"/>
  <c r="A5069" i="1"/>
  <c r="B5069" i="1"/>
  <c r="C5069" i="1"/>
  <c r="D5069" i="1"/>
  <c r="E5069" i="1"/>
  <c r="F5069" i="1"/>
  <c r="G5069" i="1"/>
  <c r="I5069" i="1"/>
  <c r="J5069" i="1"/>
  <c r="K5069" i="1"/>
  <c r="L5069" i="1"/>
  <c r="M5069" i="1"/>
  <c r="N5069" i="1"/>
  <c r="O5069" i="1"/>
  <c r="P5069" i="1"/>
  <c r="Q5069" i="1"/>
  <c r="R5069" i="1"/>
  <c r="S5069" i="1"/>
  <c r="T5069" i="1"/>
  <c r="U5069" i="1"/>
  <c r="V5069" i="1"/>
  <c r="W5069" i="1"/>
  <c r="X5069" i="1"/>
  <c r="Y5069" i="1"/>
  <c r="Z5069" i="1"/>
  <c r="A5070" i="1"/>
  <c r="B5070" i="1"/>
  <c r="C5070" i="1"/>
  <c r="D5070" i="1"/>
  <c r="E5070" i="1"/>
  <c r="F5070" i="1"/>
  <c r="G5070" i="1"/>
  <c r="I5070" i="1"/>
  <c r="J5070" i="1"/>
  <c r="K5070" i="1"/>
  <c r="L5070" i="1"/>
  <c r="M5070" i="1"/>
  <c r="N5070" i="1"/>
  <c r="O5070" i="1"/>
  <c r="P5070" i="1"/>
  <c r="Q5070" i="1"/>
  <c r="R5070" i="1"/>
  <c r="S5070" i="1"/>
  <c r="T5070" i="1"/>
  <c r="U5070" i="1"/>
  <c r="V5070" i="1"/>
  <c r="W5070" i="1"/>
  <c r="X5070" i="1"/>
  <c r="Y5070" i="1"/>
  <c r="Z5070" i="1"/>
  <c r="A5071" i="1"/>
  <c r="B5071" i="1"/>
  <c r="C5071" i="1"/>
  <c r="D5071" i="1"/>
  <c r="E5071" i="1"/>
  <c r="F5071" i="1"/>
  <c r="G5071" i="1"/>
  <c r="I5071" i="1"/>
  <c r="J5071" i="1"/>
  <c r="K5071" i="1"/>
  <c r="L5071" i="1"/>
  <c r="M5071" i="1"/>
  <c r="N5071" i="1"/>
  <c r="O5071" i="1"/>
  <c r="P5071" i="1"/>
  <c r="Q5071" i="1"/>
  <c r="R5071" i="1"/>
  <c r="S5071" i="1"/>
  <c r="T5071" i="1"/>
  <c r="U5071" i="1"/>
  <c r="V5071" i="1"/>
  <c r="W5071" i="1"/>
  <c r="X5071" i="1"/>
  <c r="Y5071" i="1"/>
  <c r="Z5071" i="1"/>
  <c r="A5072" i="1"/>
  <c r="B5072" i="1"/>
  <c r="C5072" i="1"/>
  <c r="D5072" i="1"/>
  <c r="E5072" i="1"/>
  <c r="F5072" i="1"/>
  <c r="G5072" i="1"/>
  <c r="I5072" i="1"/>
  <c r="J5072" i="1"/>
  <c r="K5072" i="1"/>
  <c r="L5072" i="1"/>
  <c r="M5072" i="1"/>
  <c r="N5072" i="1"/>
  <c r="O5072" i="1"/>
  <c r="P5072" i="1"/>
  <c r="Q5072" i="1"/>
  <c r="R5072" i="1"/>
  <c r="S5072" i="1"/>
  <c r="T5072" i="1"/>
  <c r="U5072" i="1"/>
  <c r="V5072" i="1"/>
  <c r="W5072" i="1"/>
  <c r="X5072" i="1"/>
  <c r="Y5072" i="1"/>
  <c r="Z5072" i="1"/>
  <c r="A5073" i="1"/>
  <c r="B5073" i="1"/>
  <c r="C5073" i="1"/>
  <c r="D5073" i="1"/>
  <c r="E5073" i="1"/>
  <c r="F5073" i="1"/>
  <c r="G5073" i="1"/>
  <c r="I5073" i="1"/>
  <c r="J5073" i="1"/>
  <c r="K5073" i="1"/>
  <c r="L5073" i="1"/>
  <c r="M5073" i="1"/>
  <c r="N5073" i="1"/>
  <c r="O5073" i="1"/>
  <c r="P5073" i="1"/>
  <c r="Q5073" i="1"/>
  <c r="R5073" i="1"/>
  <c r="S5073" i="1"/>
  <c r="T5073" i="1"/>
  <c r="U5073" i="1"/>
  <c r="V5073" i="1"/>
  <c r="W5073" i="1"/>
  <c r="X5073" i="1"/>
  <c r="Y5073" i="1"/>
  <c r="Z5073" i="1"/>
  <c r="A5074" i="1"/>
  <c r="B5074" i="1"/>
  <c r="C5074" i="1"/>
  <c r="D5074" i="1"/>
  <c r="E5074" i="1"/>
  <c r="F5074" i="1"/>
  <c r="G5074" i="1"/>
  <c r="I5074" i="1"/>
  <c r="J5074" i="1"/>
  <c r="K5074" i="1"/>
  <c r="L5074" i="1"/>
  <c r="M5074" i="1"/>
  <c r="N5074" i="1"/>
  <c r="O5074" i="1"/>
  <c r="P5074" i="1"/>
  <c r="Q5074" i="1"/>
  <c r="R5074" i="1"/>
  <c r="S5074" i="1"/>
  <c r="T5074" i="1"/>
  <c r="U5074" i="1"/>
  <c r="V5074" i="1"/>
  <c r="W5074" i="1"/>
  <c r="X5074" i="1"/>
  <c r="Y5074" i="1"/>
  <c r="Z5074" i="1"/>
  <c r="A5075" i="1"/>
  <c r="B5075" i="1"/>
  <c r="C5075" i="1"/>
  <c r="D5075" i="1"/>
  <c r="E5075" i="1"/>
  <c r="F5075" i="1"/>
  <c r="G5075" i="1"/>
  <c r="I5075" i="1"/>
  <c r="J5075" i="1"/>
  <c r="K5075" i="1"/>
  <c r="L5075" i="1"/>
  <c r="M5075" i="1"/>
  <c r="N5075" i="1"/>
  <c r="O5075" i="1"/>
  <c r="P5075" i="1"/>
  <c r="Q5075" i="1"/>
  <c r="R5075" i="1"/>
  <c r="S5075" i="1"/>
  <c r="T5075" i="1"/>
  <c r="U5075" i="1"/>
  <c r="V5075" i="1"/>
  <c r="W5075" i="1"/>
  <c r="X5075" i="1"/>
  <c r="Y5075" i="1"/>
  <c r="Z5075" i="1"/>
  <c r="A5076" i="1"/>
  <c r="B5076" i="1"/>
  <c r="C5076" i="1"/>
  <c r="D5076" i="1"/>
  <c r="E5076" i="1"/>
  <c r="F5076" i="1"/>
  <c r="G5076" i="1"/>
  <c r="I5076" i="1"/>
  <c r="J5076" i="1"/>
  <c r="K5076" i="1"/>
  <c r="L5076" i="1"/>
  <c r="M5076" i="1"/>
  <c r="N5076" i="1"/>
  <c r="O5076" i="1"/>
  <c r="P5076" i="1"/>
  <c r="Q5076" i="1"/>
  <c r="R5076" i="1"/>
  <c r="S5076" i="1"/>
  <c r="T5076" i="1"/>
  <c r="U5076" i="1"/>
  <c r="V5076" i="1"/>
  <c r="W5076" i="1"/>
  <c r="X5076" i="1"/>
  <c r="Y5076" i="1"/>
  <c r="Z5076" i="1"/>
  <c r="A5077" i="1"/>
  <c r="B5077" i="1"/>
  <c r="C5077" i="1"/>
  <c r="D5077" i="1"/>
  <c r="E5077" i="1"/>
  <c r="F5077" i="1"/>
  <c r="G5077" i="1"/>
  <c r="I5077" i="1"/>
  <c r="J5077" i="1"/>
  <c r="K5077" i="1"/>
  <c r="L5077" i="1"/>
  <c r="M5077" i="1"/>
  <c r="N5077" i="1"/>
  <c r="O5077" i="1"/>
  <c r="P5077" i="1"/>
  <c r="Q5077" i="1"/>
  <c r="R5077" i="1"/>
  <c r="S5077" i="1"/>
  <c r="T5077" i="1"/>
  <c r="U5077" i="1"/>
  <c r="V5077" i="1"/>
  <c r="W5077" i="1"/>
  <c r="X5077" i="1"/>
  <c r="Y5077" i="1"/>
  <c r="Z5077" i="1"/>
  <c r="A5078" i="1"/>
  <c r="B5078" i="1"/>
  <c r="C5078" i="1"/>
  <c r="D5078" i="1"/>
  <c r="E5078" i="1"/>
  <c r="F5078" i="1"/>
  <c r="G5078" i="1"/>
  <c r="I5078" i="1"/>
  <c r="J5078" i="1"/>
  <c r="K5078" i="1"/>
  <c r="L5078" i="1"/>
  <c r="M5078" i="1"/>
  <c r="N5078" i="1"/>
  <c r="O5078" i="1"/>
  <c r="P5078" i="1"/>
  <c r="Q5078" i="1"/>
  <c r="R5078" i="1"/>
  <c r="S5078" i="1"/>
  <c r="T5078" i="1"/>
  <c r="U5078" i="1"/>
  <c r="V5078" i="1"/>
  <c r="W5078" i="1"/>
  <c r="X5078" i="1"/>
  <c r="Y5078" i="1"/>
  <c r="Z5078" i="1"/>
  <c r="A5079" i="1"/>
  <c r="B5079" i="1"/>
  <c r="C5079" i="1"/>
  <c r="D5079" i="1"/>
  <c r="E5079" i="1"/>
  <c r="F5079" i="1"/>
  <c r="G5079" i="1"/>
  <c r="I5079" i="1"/>
  <c r="J5079" i="1"/>
  <c r="K5079" i="1"/>
  <c r="L5079" i="1"/>
  <c r="M5079" i="1"/>
  <c r="N5079" i="1"/>
  <c r="O5079" i="1"/>
  <c r="P5079" i="1"/>
  <c r="Q5079" i="1"/>
  <c r="R5079" i="1"/>
  <c r="S5079" i="1"/>
  <c r="T5079" i="1"/>
  <c r="U5079" i="1"/>
  <c r="V5079" i="1"/>
  <c r="W5079" i="1"/>
  <c r="X5079" i="1"/>
  <c r="Y5079" i="1"/>
  <c r="Z5079" i="1"/>
  <c r="A5080" i="1"/>
  <c r="B5080" i="1"/>
  <c r="C5080" i="1"/>
  <c r="D5080" i="1"/>
  <c r="E5080" i="1"/>
  <c r="F5080" i="1"/>
  <c r="G5080" i="1"/>
  <c r="I5080" i="1"/>
  <c r="J5080" i="1"/>
  <c r="K5080" i="1"/>
  <c r="L5080" i="1"/>
  <c r="M5080" i="1"/>
  <c r="N5080" i="1"/>
  <c r="O5080" i="1"/>
  <c r="P5080" i="1"/>
  <c r="Q5080" i="1"/>
  <c r="R5080" i="1"/>
  <c r="S5080" i="1"/>
  <c r="T5080" i="1"/>
  <c r="U5080" i="1"/>
  <c r="V5080" i="1"/>
  <c r="W5080" i="1"/>
  <c r="X5080" i="1"/>
  <c r="Y5080" i="1"/>
  <c r="Z5080" i="1"/>
  <c r="A5081" i="1"/>
  <c r="B5081" i="1"/>
  <c r="C5081" i="1"/>
  <c r="D5081" i="1"/>
  <c r="E5081" i="1"/>
  <c r="F5081" i="1"/>
  <c r="G5081" i="1"/>
  <c r="I5081" i="1"/>
  <c r="J5081" i="1"/>
  <c r="K5081" i="1"/>
  <c r="L5081" i="1"/>
  <c r="M5081" i="1"/>
  <c r="N5081" i="1"/>
  <c r="O5081" i="1"/>
  <c r="P5081" i="1"/>
  <c r="Q5081" i="1"/>
  <c r="R5081" i="1"/>
  <c r="S5081" i="1"/>
  <c r="T5081" i="1"/>
  <c r="U5081" i="1"/>
  <c r="V5081" i="1"/>
  <c r="W5081" i="1"/>
  <c r="X5081" i="1"/>
  <c r="Y5081" i="1"/>
  <c r="Z5081" i="1"/>
  <c r="A5082" i="1"/>
  <c r="B5082" i="1"/>
  <c r="C5082" i="1"/>
  <c r="D5082" i="1"/>
  <c r="E5082" i="1"/>
  <c r="F5082" i="1"/>
  <c r="G5082" i="1"/>
  <c r="I5082" i="1"/>
  <c r="J5082" i="1"/>
  <c r="K5082" i="1"/>
  <c r="L5082" i="1"/>
  <c r="M5082" i="1"/>
  <c r="N5082" i="1"/>
  <c r="O5082" i="1"/>
  <c r="P5082" i="1"/>
  <c r="Q5082" i="1"/>
  <c r="R5082" i="1"/>
  <c r="S5082" i="1"/>
  <c r="T5082" i="1"/>
  <c r="U5082" i="1"/>
  <c r="V5082" i="1"/>
  <c r="W5082" i="1"/>
  <c r="X5082" i="1"/>
  <c r="Y5082" i="1"/>
  <c r="Z5082" i="1"/>
  <c r="A5083" i="1"/>
  <c r="B5083" i="1"/>
  <c r="C5083" i="1"/>
  <c r="D5083" i="1"/>
  <c r="E5083" i="1"/>
  <c r="F5083" i="1"/>
  <c r="G5083" i="1"/>
  <c r="I5083" i="1"/>
  <c r="J5083" i="1"/>
  <c r="K5083" i="1"/>
  <c r="L5083" i="1"/>
  <c r="M5083" i="1"/>
  <c r="N5083" i="1"/>
  <c r="O5083" i="1"/>
  <c r="P5083" i="1"/>
  <c r="Q5083" i="1"/>
  <c r="R5083" i="1"/>
  <c r="S5083" i="1"/>
  <c r="T5083" i="1"/>
  <c r="U5083" i="1"/>
  <c r="V5083" i="1"/>
  <c r="W5083" i="1"/>
  <c r="X5083" i="1"/>
  <c r="Y5083" i="1"/>
  <c r="Z5083" i="1"/>
  <c r="A5084" i="1"/>
  <c r="B5084" i="1"/>
  <c r="C5084" i="1"/>
  <c r="D5084" i="1"/>
  <c r="E5084" i="1"/>
  <c r="F5084" i="1"/>
  <c r="G5084" i="1"/>
  <c r="I5084" i="1"/>
  <c r="J5084" i="1"/>
  <c r="K5084" i="1"/>
  <c r="L5084" i="1"/>
  <c r="M5084" i="1"/>
  <c r="N5084" i="1"/>
  <c r="O5084" i="1"/>
  <c r="P5084" i="1"/>
  <c r="Q5084" i="1"/>
  <c r="R5084" i="1"/>
  <c r="S5084" i="1"/>
  <c r="T5084" i="1"/>
  <c r="U5084" i="1"/>
  <c r="V5084" i="1"/>
  <c r="W5084" i="1"/>
  <c r="X5084" i="1"/>
  <c r="Y5084" i="1"/>
  <c r="Z5084" i="1"/>
  <c r="A5085" i="1"/>
  <c r="B5085" i="1"/>
  <c r="C5085" i="1"/>
  <c r="D5085" i="1"/>
  <c r="E5085" i="1"/>
  <c r="F5085" i="1"/>
  <c r="G5085" i="1"/>
  <c r="I5085" i="1"/>
  <c r="J5085" i="1"/>
  <c r="K5085" i="1"/>
  <c r="L5085" i="1"/>
  <c r="M5085" i="1"/>
  <c r="N5085" i="1"/>
  <c r="O5085" i="1"/>
  <c r="P5085" i="1"/>
  <c r="Q5085" i="1"/>
  <c r="R5085" i="1"/>
  <c r="S5085" i="1"/>
  <c r="T5085" i="1"/>
  <c r="U5085" i="1"/>
  <c r="V5085" i="1"/>
  <c r="W5085" i="1"/>
  <c r="X5085" i="1"/>
  <c r="Y5085" i="1"/>
  <c r="Z5085" i="1"/>
  <c r="A5086" i="1"/>
  <c r="B5086" i="1"/>
  <c r="C5086" i="1"/>
  <c r="D5086" i="1"/>
  <c r="E5086" i="1"/>
  <c r="F5086" i="1"/>
  <c r="G5086" i="1"/>
  <c r="I5086" i="1"/>
  <c r="J5086" i="1"/>
  <c r="K5086" i="1"/>
  <c r="L5086" i="1"/>
  <c r="M5086" i="1"/>
  <c r="N5086" i="1"/>
  <c r="O5086" i="1"/>
  <c r="P5086" i="1"/>
  <c r="Q5086" i="1"/>
  <c r="R5086" i="1"/>
  <c r="S5086" i="1"/>
  <c r="T5086" i="1"/>
  <c r="U5086" i="1"/>
  <c r="V5086" i="1"/>
  <c r="W5086" i="1"/>
  <c r="X5086" i="1"/>
  <c r="Y5086" i="1"/>
  <c r="Z5086" i="1"/>
  <c r="A5087" i="1"/>
  <c r="B5087" i="1"/>
  <c r="C5087" i="1"/>
  <c r="D5087" i="1"/>
  <c r="E5087" i="1"/>
  <c r="F5087" i="1"/>
  <c r="G5087" i="1"/>
  <c r="I5087" i="1"/>
  <c r="J5087" i="1"/>
  <c r="K5087" i="1"/>
  <c r="L5087" i="1"/>
  <c r="M5087" i="1"/>
  <c r="N5087" i="1"/>
  <c r="O5087" i="1"/>
  <c r="P5087" i="1"/>
  <c r="Q5087" i="1"/>
  <c r="R5087" i="1"/>
  <c r="S5087" i="1"/>
  <c r="T5087" i="1"/>
  <c r="U5087" i="1"/>
  <c r="V5087" i="1"/>
  <c r="W5087" i="1"/>
  <c r="X5087" i="1"/>
  <c r="Y5087" i="1"/>
  <c r="Z5087" i="1"/>
  <c r="A5088" i="1"/>
  <c r="B5088" i="1"/>
  <c r="C5088" i="1"/>
  <c r="D5088" i="1"/>
  <c r="E5088" i="1"/>
  <c r="F5088" i="1"/>
  <c r="G5088" i="1"/>
  <c r="I5088" i="1"/>
  <c r="J5088" i="1"/>
  <c r="K5088" i="1"/>
  <c r="L5088" i="1"/>
  <c r="M5088" i="1"/>
  <c r="N5088" i="1"/>
  <c r="O5088" i="1"/>
  <c r="P5088" i="1"/>
  <c r="Q5088" i="1"/>
  <c r="R5088" i="1"/>
  <c r="S5088" i="1"/>
  <c r="T5088" i="1"/>
  <c r="U5088" i="1"/>
  <c r="V5088" i="1"/>
  <c r="W5088" i="1"/>
  <c r="X5088" i="1"/>
  <c r="Y5088" i="1"/>
  <c r="Z5088" i="1"/>
  <c r="A5089" i="1"/>
  <c r="B5089" i="1"/>
  <c r="C5089" i="1"/>
  <c r="D5089" i="1"/>
  <c r="E5089" i="1"/>
  <c r="F5089" i="1"/>
  <c r="G5089" i="1"/>
  <c r="I5089" i="1"/>
  <c r="J5089" i="1"/>
  <c r="K5089" i="1"/>
  <c r="L5089" i="1"/>
  <c r="M5089" i="1"/>
  <c r="N5089" i="1"/>
  <c r="O5089" i="1"/>
  <c r="P5089" i="1"/>
  <c r="Q5089" i="1"/>
  <c r="R5089" i="1"/>
  <c r="S5089" i="1"/>
  <c r="T5089" i="1"/>
  <c r="U5089" i="1"/>
  <c r="V5089" i="1"/>
  <c r="W5089" i="1"/>
  <c r="X5089" i="1"/>
  <c r="Y5089" i="1"/>
  <c r="Z5089" i="1"/>
  <c r="A5090" i="1"/>
  <c r="B5090" i="1"/>
  <c r="C5090" i="1"/>
  <c r="D5090" i="1"/>
  <c r="E5090" i="1"/>
  <c r="F5090" i="1"/>
  <c r="G5090" i="1"/>
  <c r="I5090" i="1"/>
  <c r="J5090" i="1"/>
  <c r="K5090" i="1"/>
  <c r="L5090" i="1"/>
  <c r="M5090" i="1"/>
  <c r="N5090" i="1"/>
  <c r="O5090" i="1"/>
  <c r="P5090" i="1"/>
  <c r="Q5090" i="1"/>
  <c r="R5090" i="1"/>
  <c r="S5090" i="1"/>
  <c r="T5090" i="1"/>
  <c r="U5090" i="1"/>
  <c r="V5090" i="1"/>
  <c r="W5090" i="1"/>
  <c r="X5090" i="1"/>
  <c r="Y5090" i="1"/>
  <c r="Z5090" i="1"/>
  <c r="A5091" i="1"/>
  <c r="B5091" i="1"/>
  <c r="C5091" i="1"/>
  <c r="D5091" i="1"/>
  <c r="E5091" i="1"/>
  <c r="F5091" i="1"/>
  <c r="G5091" i="1"/>
  <c r="I5091" i="1"/>
  <c r="J5091" i="1"/>
  <c r="K5091" i="1"/>
  <c r="L5091" i="1"/>
  <c r="M5091" i="1"/>
  <c r="N5091" i="1"/>
  <c r="O5091" i="1"/>
  <c r="P5091" i="1"/>
  <c r="Q5091" i="1"/>
  <c r="R5091" i="1"/>
  <c r="S5091" i="1"/>
  <c r="T5091" i="1"/>
  <c r="U5091" i="1"/>
  <c r="V5091" i="1"/>
  <c r="W5091" i="1"/>
  <c r="X5091" i="1"/>
  <c r="Y5091" i="1"/>
  <c r="Z5091" i="1"/>
  <c r="A5092" i="1"/>
  <c r="B5092" i="1"/>
  <c r="C5092" i="1"/>
  <c r="D5092" i="1"/>
  <c r="E5092" i="1"/>
  <c r="F5092" i="1"/>
  <c r="G5092" i="1"/>
  <c r="I5092" i="1"/>
  <c r="J5092" i="1"/>
  <c r="K5092" i="1"/>
  <c r="L5092" i="1"/>
  <c r="M5092" i="1"/>
  <c r="N5092" i="1"/>
  <c r="O5092" i="1"/>
  <c r="P5092" i="1"/>
  <c r="Q5092" i="1"/>
  <c r="R5092" i="1"/>
  <c r="S5092" i="1"/>
  <c r="T5092" i="1"/>
  <c r="U5092" i="1"/>
  <c r="V5092" i="1"/>
  <c r="W5092" i="1"/>
  <c r="X5092" i="1"/>
  <c r="Y5092" i="1"/>
  <c r="Z5092" i="1"/>
  <c r="A5093" i="1"/>
  <c r="B5093" i="1"/>
  <c r="C5093" i="1"/>
  <c r="D5093" i="1"/>
  <c r="E5093" i="1"/>
  <c r="F5093" i="1"/>
  <c r="G5093" i="1"/>
  <c r="I5093" i="1"/>
  <c r="J5093" i="1"/>
  <c r="K5093" i="1"/>
  <c r="L5093" i="1"/>
  <c r="M5093" i="1"/>
  <c r="N5093" i="1"/>
  <c r="O5093" i="1"/>
  <c r="P5093" i="1"/>
  <c r="Q5093" i="1"/>
  <c r="R5093" i="1"/>
  <c r="S5093" i="1"/>
  <c r="T5093" i="1"/>
  <c r="U5093" i="1"/>
  <c r="V5093" i="1"/>
  <c r="W5093" i="1"/>
  <c r="X5093" i="1"/>
  <c r="Y5093" i="1"/>
  <c r="Z5093" i="1"/>
  <c r="A5094" i="1"/>
  <c r="B5094" i="1"/>
  <c r="C5094" i="1"/>
  <c r="D5094" i="1"/>
  <c r="E5094" i="1"/>
  <c r="F5094" i="1"/>
  <c r="G5094" i="1"/>
  <c r="I5094" i="1"/>
  <c r="J5094" i="1"/>
  <c r="K5094" i="1"/>
  <c r="L5094" i="1"/>
  <c r="M5094" i="1"/>
  <c r="N5094" i="1"/>
  <c r="O5094" i="1"/>
  <c r="P5094" i="1"/>
  <c r="Q5094" i="1"/>
  <c r="R5094" i="1"/>
  <c r="S5094" i="1"/>
  <c r="T5094" i="1"/>
  <c r="U5094" i="1"/>
  <c r="V5094" i="1"/>
  <c r="W5094" i="1"/>
  <c r="X5094" i="1"/>
  <c r="Y5094" i="1"/>
  <c r="Z5094" i="1"/>
  <c r="A5095" i="1"/>
  <c r="B5095" i="1"/>
  <c r="C5095" i="1"/>
  <c r="D5095" i="1"/>
  <c r="E5095" i="1"/>
  <c r="F5095" i="1"/>
  <c r="G5095" i="1"/>
  <c r="I5095" i="1"/>
  <c r="J5095" i="1"/>
  <c r="K5095" i="1"/>
  <c r="L5095" i="1"/>
  <c r="M5095" i="1"/>
  <c r="N5095" i="1"/>
  <c r="O5095" i="1"/>
  <c r="P5095" i="1"/>
  <c r="Q5095" i="1"/>
  <c r="R5095" i="1"/>
  <c r="S5095" i="1"/>
  <c r="T5095" i="1"/>
  <c r="U5095" i="1"/>
  <c r="V5095" i="1"/>
  <c r="W5095" i="1"/>
  <c r="X5095" i="1"/>
  <c r="Y5095" i="1"/>
  <c r="Z5095" i="1"/>
  <c r="A5096" i="1"/>
  <c r="B5096" i="1"/>
  <c r="C5096" i="1"/>
  <c r="D5096" i="1"/>
  <c r="E5096" i="1"/>
  <c r="F5096" i="1"/>
  <c r="G5096" i="1"/>
  <c r="I5096" i="1"/>
  <c r="J5096" i="1"/>
  <c r="K5096" i="1"/>
  <c r="L5096" i="1"/>
  <c r="M5096" i="1"/>
  <c r="N5096" i="1"/>
  <c r="O5096" i="1"/>
  <c r="P5096" i="1"/>
  <c r="Q5096" i="1"/>
  <c r="R5096" i="1"/>
  <c r="S5096" i="1"/>
  <c r="T5096" i="1"/>
  <c r="U5096" i="1"/>
  <c r="V5096" i="1"/>
  <c r="W5096" i="1"/>
  <c r="X5096" i="1"/>
  <c r="Y5096" i="1"/>
  <c r="Z5096" i="1"/>
  <c r="A5097" i="1"/>
  <c r="B5097" i="1"/>
  <c r="C5097" i="1"/>
  <c r="D5097" i="1"/>
  <c r="E5097" i="1"/>
  <c r="F5097" i="1"/>
  <c r="G5097" i="1"/>
  <c r="I5097" i="1"/>
  <c r="J5097" i="1"/>
  <c r="K5097" i="1"/>
  <c r="L5097" i="1"/>
  <c r="M5097" i="1"/>
  <c r="N5097" i="1"/>
  <c r="O5097" i="1"/>
  <c r="P5097" i="1"/>
  <c r="Q5097" i="1"/>
  <c r="R5097" i="1"/>
  <c r="S5097" i="1"/>
  <c r="T5097" i="1"/>
  <c r="U5097" i="1"/>
  <c r="V5097" i="1"/>
  <c r="W5097" i="1"/>
  <c r="X5097" i="1"/>
  <c r="Y5097" i="1"/>
  <c r="Z5097" i="1"/>
  <c r="A5098" i="1"/>
  <c r="B5098" i="1"/>
  <c r="C5098" i="1"/>
  <c r="D5098" i="1"/>
  <c r="E5098" i="1"/>
  <c r="F5098" i="1"/>
  <c r="G5098" i="1"/>
  <c r="I5098" i="1"/>
  <c r="J5098" i="1"/>
  <c r="K5098" i="1"/>
  <c r="L5098" i="1"/>
  <c r="M5098" i="1"/>
  <c r="N5098" i="1"/>
  <c r="O5098" i="1"/>
  <c r="P5098" i="1"/>
  <c r="Q5098" i="1"/>
  <c r="R5098" i="1"/>
  <c r="S5098" i="1"/>
  <c r="T5098" i="1"/>
  <c r="U5098" i="1"/>
  <c r="V5098" i="1"/>
  <c r="W5098" i="1"/>
  <c r="X5098" i="1"/>
  <c r="Y5098" i="1"/>
  <c r="Z5098" i="1"/>
  <c r="A5099" i="1"/>
  <c r="B5099" i="1"/>
  <c r="C5099" i="1"/>
  <c r="D5099" i="1"/>
  <c r="E5099" i="1"/>
  <c r="F5099" i="1"/>
  <c r="G5099" i="1"/>
  <c r="I5099" i="1"/>
  <c r="J5099" i="1"/>
  <c r="K5099" i="1"/>
  <c r="L5099" i="1"/>
  <c r="M5099" i="1"/>
  <c r="N5099" i="1"/>
  <c r="O5099" i="1"/>
  <c r="P5099" i="1"/>
  <c r="Q5099" i="1"/>
  <c r="R5099" i="1"/>
  <c r="S5099" i="1"/>
  <c r="T5099" i="1"/>
  <c r="U5099" i="1"/>
  <c r="V5099" i="1"/>
  <c r="W5099" i="1"/>
  <c r="X5099" i="1"/>
  <c r="Y5099" i="1"/>
  <c r="Z5099" i="1"/>
  <c r="A5100" i="1"/>
  <c r="B5100" i="1"/>
  <c r="C5100" i="1"/>
  <c r="D5100" i="1"/>
  <c r="E5100" i="1"/>
  <c r="F5100" i="1"/>
  <c r="G5100" i="1"/>
  <c r="I5100" i="1"/>
  <c r="J5100" i="1"/>
  <c r="K5100" i="1"/>
  <c r="L5100" i="1"/>
  <c r="M5100" i="1"/>
  <c r="N5100" i="1"/>
  <c r="O5100" i="1"/>
  <c r="P5100" i="1"/>
  <c r="Q5100" i="1"/>
  <c r="R5100" i="1"/>
  <c r="S5100" i="1"/>
  <c r="T5100" i="1"/>
  <c r="U5100" i="1"/>
  <c r="V5100" i="1"/>
  <c r="W5100" i="1"/>
  <c r="X5100" i="1"/>
  <c r="Y5100" i="1"/>
  <c r="Z5100" i="1"/>
  <c r="A5101" i="1"/>
  <c r="B5101" i="1"/>
  <c r="C5101" i="1"/>
  <c r="D5101" i="1"/>
  <c r="E5101" i="1"/>
  <c r="F5101" i="1"/>
  <c r="G5101" i="1"/>
  <c r="I5101" i="1"/>
  <c r="J5101" i="1"/>
  <c r="K5101" i="1"/>
  <c r="L5101" i="1"/>
  <c r="M5101" i="1"/>
  <c r="N5101" i="1"/>
  <c r="O5101" i="1"/>
  <c r="P5101" i="1"/>
  <c r="Q5101" i="1"/>
  <c r="R5101" i="1"/>
  <c r="S5101" i="1"/>
  <c r="T5101" i="1"/>
  <c r="U5101" i="1"/>
  <c r="V5101" i="1"/>
  <c r="W5101" i="1"/>
  <c r="X5101" i="1"/>
  <c r="Y5101" i="1"/>
  <c r="Z5101" i="1"/>
  <c r="A5102" i="1"/>
  <c r="B5102" i="1"/>
  <c r="C5102" i="1"/>
  <c r="D5102" i="1"/>
  <c r="E5102" i="1"/>
  <c r="F5102" i="1"/>
  <c r="G5102" i="1"/>
  <c r="I5102" i="1"/>
  <c r="J5102" i="1"/>
  <c r="K5102" i="1"/>
  <c r="L5102" i="1"/>
  <c r="M5102" i="1"/>
  <c r="N5102" i="1"/>
  <c r="O5102" i="1"/>
  <c r="P5102" i="1"/>
  <c r="Q5102" i="1"/>
  <c r="R5102" i="1"/>
  <c r="S5102" i="1"/>
  <c r="T5102" i="1"/>
  <c r="U5102" i="1"/>
  <c r="V5102" i="1"/>
  <c r="W5102" i="1"/>
  <c r="X5102" i="1"/>
  <c r="Y5102" i="1"/>
  <c r="Z5102" i="1"/>
  <c r="A5103" i="1"/>
  <c r="B5103" i="1"/>
  <c r="C5103" i="1"/>
  <c r="D5103" i="1"/>
  <c r="E5103" i="1"/>
  <c r="F5103" i="1"/>
  <c r="G5103" i="1"/>
  <c r="I5103" i="1"/>
  <c r="J5103" i="1"/>
  <c r="K5103" i="1"/>
  <c r="L5103" i="1"/>
  <c r="M5103" i="1"/>
  <c r="N5103" i="1"/>
  <c r="O5103" i="1"/>
  <c r="P5103" i="1"/>
  <c r="Q5103" i="1"/>
  <c r="R5103" i="1"/>
  <c r="S5103" i="1"/>
  <c r="T5103" i="1"/>
  <c r="U5103" i="1"/>
  <c r="V5103" i="1"/>
  <c r="W5103" i="1"/>
  <c r="X5103" i="1"/>
  <c r="Y5103" i="1"/>
  <c r="Z5103" i="1"/>
  <c r="A5104" i="1"/>
  <c r="B5104" i="1"/>
  <c r="C5104" i="1"/>
  <c r="D5104" i="1"/>
  <c r="E5104" i="1"/>
  <c r="F5104" i="1"/>
  <c r="G5104" i="1"/>
  <c r="I5104" i="1"/>
  <c r="J5104" i="1"/>
  <c r="K5104" i="1"/>
  <c r="L5104" i="1"/>
  <c r="M5104" i="1"/>
  <c r="N5104" i="1"/>
  <c r="O5104" i="1"/>
  <c r="P5104" i="1"/>
  <c r="Q5104" i="1"/>
  <c r="R5104" i="1"/>
  <c r="S5104" i="1"/>
  <c r="T5104" i="1"/>
  <c r="U5104" i="1"/>
  <c r="V5104" i="1"/>
  <c r="W5104" i="1"/>
  <c r="X5104" i="1"/>
  <c r="Y5104" i="1"/>
  <c r="Z5104" i="1"/>
  <c r="A5105" i="1"/>
  <c r="B5105" i="1"/>
  <c r="C5105" i="1"/>
  <c r="D5105" i="1"/>
  <c r="E5105" i="1"/>
  <c r="F5105" i="1"/>
  <c r="G5105" i="1"/>
  <c r="I5105" i="1"/>
  <c r="J5105" i="1"/>
  <c r="K5105" i="1"/>
  <c r="L5105" i="1"/>
  <c r="M5105" i="1"/>
  <c r="N5105" i="1"/>
  <c r="O5105" i="1"/>
  <c r="P5105" i="1"/>
  <c r="Q5105" i="1"/>
  <c r="R5105" i="1"/>
  <c r="S5105" i="1"/>
  <c r="T5105" i="1"/>
  <c r="U5105" i="1"/>
  <c r="V5105" i="1"/>
  <c r="W5105" i="1"/>
  <c r="X5105" i="1"/>
  <c r="Y5105" i="1"/>
  <c r="Z5105" i="1"/>
  <c r="A5106" i="1"/>
  <c r="B5106" i="1"/>
  <c r="C5106" i="1"/>
  <c r="D5106" i="1"/>
  <c r="E5106" i="1"/>
  <c r="F5106" i="1"/>
  <c r="G5106" i="1"/>
  <c r="I5106" i="1"/>
  <c r="J5106" i="1"/>
  <c r="K5106" i="1"/>
  <c r="L5106" i="1"/>
  <c r="M5106" i="1"/>
  <c r="N5106" i="1"/>
  <c r="O5106" i="1"/>
  <c r="P5106" i="1"/>
  <c r="Q5106" i="1"/>
  <c r="R5106" i="1"/>
  <c r="S5106" i="1"/>
  <c r="T5106" i="1"/>
  <c r="U5106" i="1"/>
  <c r="V5106" i="1"/>
  <c r="W5106" i="1"/>
  <c r="X5106" i="1"/>
  <c r="Y5106" i="1"/>
  <c r="Z5106" i="1"/>
  <c r="A5107" i="1"/>
  <c r="B5107" i="1"/>
  <c r="C5107" i="1"/>
  <c r="D5107" i="1"/>
  <c r="E5107" i="1"/>
  <c r="F5107" i="1"/>
  <c r="G5107" i="1"/>
  <c r="I5107" i="1"/>
  <c r="J5107" i="1"/>
  <c r="K5107" i="1"/>
  <c r="L5107" i="1"/>
  <c r="M5107" i="1"/>
  <c r="N5107" i="1"/>
  <c r="O5107" i="1"/>
  <c r="P5107" i="1"/>
  <c r="Q5107" i="1"/>
  <c r="R5107" i="1"/>
  <c r="S5107" i="1"/>
  <c r="T5107" i="1"/>
  <c r="U5107" i="1"/>
  <c r="V5107" i="1"/>
  <c r="W5107" i="1"/>
  <c r="X5107" i="1"/>
  <c r="Y5107" i="1"/>
  <c r="Z5107" i="1"/>
  <c r="A5108" i="1"/>
  <c r="B5108" i="1"/>
  <c r="C5108" i="1"/>
  <c r="D5108" i="1"/>
  <c r="E5108" i="1"/>
  <c r="F5108" i="1"/>
  <c r="G5108" i="1"/>
  <c r="I5108" i="1"/>
  <c r="J5108" i="1"/>
  <c r="K5108" i="1"/>
  <c r="L5108" i="1"/>
  <c r="M5108" i="1"/>
  <c r="N5108" i="1"/>
  <c r="O5108" i="1"/>
  <c r="P5108" i="1"/>
  <c r="Q5108" i="1"/>
  <c r="R5108" i="1"/>
  <c r="S5108" i="1"/>
  <c r="T5108" i="1"/>
  <c r="U5108" i="1"/>
  <c r="V5108" i="1"/>
  <c r="W5108" i="1"/>
  <c r="X5108" i="1"/>
  <c r="Y5108" i="1"/>
  <c r="Z5108" i="1"/>
  <c r="A5109" i="1"/>
  <c r="B5109" i="1"/>
  <c r="C5109" i="1"/>
  <c r="D5109" i="1"/>
  <c r="E5109" i="1"/>
  <c r="F5109" i="1"/>
  <c r="G5109" i="1"/>
  <c r="I5109" i="1"/>
  <c r="J5109" i="1"/>
  <c r="K5109" i="1"/>
  <c r="L5109" i="1"/>
  <c r="M5109" i="1"/>
  <c r="N5109" i="1"/>
  <c r="O5109" i="1"/>
  <c r="P5109" i="1"/>
  <c r="Q5109" i="1"/>
  <c r="R5109" i="1"/>
  <c r="S5109" i="1"/>
  <c r="T5109" i="1"/>
  <c r="U5109" i="1"/>
  <c r="V5109" i="1"/>
  <c r="W5109" i="1"/>
  <c r="X5109" i="1"/>
  <c r="Y5109" i="1"/>
  <c r="Z5109" i="1"/>
  <c r="A5110" i="1"/>
  <c r="B5110" i="1"/>
  <c r="C5110" i="1"/>
  <c r="D5110" i="1"/>
  <c r="E5110" i="1"/>
  <c r="F5110" i="1"/>
  <c r="G5110" i="1"/>
  <c r="I5110" i="1"/>
  <c r="J5110" i="1"/>
  <c r="K5110" i="1"/>
  <c r="L5110" i="1"/>
  <c r="M5110" i="1"/>
  <c r="N5110" i="1"/>
  <c r="O5110" i="1"/>
  <c r="P5110" i="1"/>
  <c r="Q5110" i="1"/>
  <c r="R5110" i="1"/>
  <c r="S5110" i="1"/>
  <c r="T5110" i="1"/>
  <c r="U5110" i="1"/>
  <c r="V5110" i="1"/>
  <c r="W5110" i="1"/>
  <c r="X5110" i="1"/>
  <c r="Y5110" i="1"/>
  <c r="Z5110" i="1"/>
  <c r="A5111" i="1"/>
  <c r="B5111" i="1"/>
  <c r="C5111" i="1"/>
  <c r="D5111" i="1"/>
  <c r="E5111" i="1"/>
  <c r="F5111" i="1"/>
  <c r="G5111" i="1"/>
  <c r="I5111" i="1"/>
  <c r="J5111" i="1"/>
  <c r="K5111" i="1"/>
  <c r="L5111" i="1"/>
  <c r="M5111" i="1"/>
  <c r="N5111" i="1"/>
  <c r="O5111" i="1"/>
  <c r="P5111" i="1"/>
  <c r="Q5111" i="1"/>
  <c r="R5111" i="1"/>
  <c r="S5111" i="1"/>
  <c r="T5111" i="1"/>
  <c r="U5111" i="1"/>
  <c r="V5111" i="1"/>
  <c r="W5111" i="1"/>
  <c r="X5111" i="1"/>
  <c r="Y5111" i="1"/>
  <c r="Z5111" i="1"/>
  <c r="A5112" i="1"/>
  <c r="B5112" i="1"/>
  <c r="C5112" i="1"/>
  <c r="D5112" i="1"/>
  <c r="E5112" i="1"/>
  <c r="F5112" i="1"/>
  <c r="G5112" i="1"/>
  <c r="I5112" i="1"/>
  <c r="J5112" i="1"/>
  <c r="K5112" i="1"/>
  <c r="L5112" i="1"/>
  <c r="M5112" i="1"/>
  <c r="N5112" i="1"/>
  <c r="O5112" i="1"/>
  <c r="P5112" i="1"/>
  <c r="Q5112" i="1"/>
  <c r="R5112" i="1"/>
  <c r="S5112" i="1"/>
  <c r="T5112" i="1"/>
  <c r="U5112" i="1"/>
  <c r="V5112" i="1"/>
  <c r="W5112" i="1"/>
  <c r="X5112" i="1"/>
  <c r="Y5112" i="1"/>
  <c r="Z5112" i="1"/>
  <c r="A5113" i="1"/>
  <c r="B5113" i="1"/>
  <c r="C5113" i="1"/>
  <c r="D5113" i="1"/>
  <c r="E5113" i="1"/>
  <c r="F5113" i="1"/>
  <c r="G5113" i="1"/>
  <c r="I5113" i="1"/>
  <c r="J5113" i="1"/>
  <c r="K5113" i="1"/>
  <c r="L5113" i="1"/>
  <c r="M5113" i="1"/>
  <c r="N5113" i="1"/>
  <c r="O5113" i="1"/>
  <c r="P5113" i="1"/>
  <c r="Q5113" i="1"/>
  <c r="R5113" i="1"/>
  <c r="S5113" i="1"/>
  <c r="T5113" i="1"/>
  <c r="U5113" i="1"/>
  <c r="V5113" i="1"/>
  <c r="W5113" i="1"/>
  <c r="X5113" i="1"/>
  <c r="Y5113" i="1"/>
  <c r="Z5113" i="1"/>
  <c r="A5114" i="1"/>
  <c r="B5114" i="1"/>
  <c r="C5114" i="1"/>
  <c r="D5114" i="1"/>
  <c r="E5114" i="1"/>
  <c r="F5114" i="1"/>
  <c r="G5114" i="1"/>
  <c r="I5114" i="1"/>
  <c r="J5114" i="1"/>
  <c r="K5114" i="1"/>
  <c r="L5114" i="1"/>
  <c r="M5114" i="1"/>
  <c r="N5114" i="1"/>
  <c r="O5114" i="1"/>
  <c r="P5114" i="1"/>
  <c r="Q5114" i="1"/>
  <c r="R5114" i="1"/>
  <c r="S5114" i="1"/>
  <c r="T5114" i="1"/>
  <c r="U5114" i="1"/>
  <c r="V5114" i="1"/>
  <c r="W5114" i="1"/>
  <c r="X5114" i="1"/>
  <c r="Y5114" i="1"/>
  <c r="Z5114" i="1"/>
  <c r="A5115" i="1"/>
  <c r="B5115" i="1"/>
  <c r="C5115" i="1"/>
  <c r="D5115" i="1"/>
  <c r="E5115" i="1"/>
  <c r="F5115" i="1"/>
  <c r="G5115" i="1"/>
  <c r="I5115" i="1"/>
  <c r="J5115" i="1"/>
  <c r="K5115" i="1"/>
  <c r="L5115" i="1"/>
  <c r="M5115" i="1"/>
  <c r="N5115" i="1"/>
  <c r="O5115" i="1"/>
  <c r="P5115" i="1"/>
  <c r="Q5115" i="1"/>
  <c r="R5115" i="1"/>
  <c r="S5115" i="1"/>
  <c r="T5115" i="1"/>
  <c r="U5115" i="1"/>
  <c r="V5115" i="1"/>
  <c r="W5115" i="1"/>
  <c r="X5115" i="1"/>
  <c r="Y5115" i="1"/>
  <c r="Z5115" i="1"/>
  <c r="A5116" i="1"/>
  <c r="B5116" i="1"/>
  <c r="C5116" i="1"/>
  <c r="D5116" i="1"/>
  <c r="E5116" i="1"/>
  <c r="F5116" i="1"/>
  <c r="G5116" i="1"/>
  <c r="I5116" i="1"/>
  <c r="J5116" i="1"/>
  <c r="K5116" i="1"/>
  <c r="L5116" i="1"/>
  <c r="M5116" i="1"/>
  <c r="N5116" i="1"/>
  <c r="O5116" i="1"/>
  <c r="P5116" i="1"/>
  <c r="Q5116" i="1"/>
  <c r="R5116" i="1"/>
  <c r="S5116" i="1"/>
  <c r="T5116" i="1"/>
  <c r="U5116" i="1"/>
  <c r="V5116" i="1"/>
  <c r="W5116" i="1"/>
  <c r="X5116" i="1"/>
  <c r="Y5116" i="1"/>
  <c r="Z5116" i="1"/>
  <c r="A5117" i="1"/>
  <c r="B5117" i="1"/>
  <c r="C5117" i="1"/>
  <c r="D5117" i="1"/>
  <c r="E5117" i="1"/>
  <c r="F5117" i="1"/>
  <c r="G5117" i="1"/>
  <c r="I5117" i="1"/>
  <c r="J5117" i="1"/>
  <c r="K5117" i="1"/>
  <c r="L5117" i="1"/>
  <c r="M5117" i="1"/>
  <c r="N5117" i="1"/>
  <c r="O5117" i="1"/>
  <c r="P5117" i="1"/>
  <c r="Q5117" i="1"/>
  <c r="R5117" i="1"/>
  <c r="S5117" i="1"/>
  <c r="T5117" i="1"/>
  <c r="U5117" i="1"/>
  <c r="V5117" i="1"/>
  <c r="W5117" i="1"/>
  <c r="X5117" i="1"/>
  <c r="Y5117" i="1"/>
  <c r="Z5117" i="1"/>
  <c r="A5118" i="1"/>
  <c r="B5118" i="1"/>
  <c r="C5118" i="1"/>
  <c r="D5118" i="1"/>
  <c r="E5118" i="1"/>
  <c r="F5118" i="1"/>
  <c r="G5118" i="1"/>
  <c r="I5118" i="1"/>
  <c r="J5118" i="1"/>
  <c r="K5118" i="1"/>
  <c r="L5118" i="1"/>
  <c r="M5118" i="1"/>
  <c r="N5118" i="1"/>
  <c r="O5118" i="1"/>
  <c r="P5118" i="1"/>
  <c r="Q5118" i="1"/>
  <c r="R5118" i="1"/>
  <c r="S5118" i="1"/>
  <c r="T5118" i="1"/>
  <c r="U5118" i="1"/>
  <c r="V5118" i="1"/>
  <c r="W5118" i="1"/>
  <c r="X5118" i="1"/>
  <c r="Y5118" i="1"/>
  <c r="Z5118" i="1"/>
  <c r="A5119" i="1"/>
  <c r="B5119" i="1"/>
  <c r="C5119" i="1"/>
  <c r="D5119" i="1"/>
  <c r="E5119" i="1"/>
  <c r="F5119" i="1"/>
  <c r="G5119" i="1"/>
  <c r="I5119" i="1"/>
  <c r="J5119" i="1"/>
  <c r="K5119" i="1"/>
  <c r="L5119" i="1"/>
  <c r="M5119" i="1"/>
  <c r="N5119" i="1"/>
  <c r="O5119" i="1"/>
  <c r="P5119" i="1"/>
  <c r="Q5119" i="1"/>
  <c r="R5119" i="1"/>
  <c r="S5119" i="1"/>
  <c r="T5119" i="1"/>
  <c r="U5119" i="1"/>
  <c r="V5119" i="1"/>
  <c r="W5119" i="1"/>
  <c r="X5119" i="1"/>
  <c r="Y5119" i="1"/>
  <c r="Z5119" i="1"/>
  <c r="A5120" i="1"/>
  <c r="B5120" i="1"/>
  <c r="C5120" i="1"/>
  <c r="D5120" i="1"/>
  <c r="E5120" i="1"/>
  <c r="F5120" i="1"/>
  <c r="G5120" i="1"/>
  <c r="I5120" i="1"/>
  <c r="J5120" i="1"/>
  <c r="K5120" i="1"/>
  <c r="L5120" i="1"/>
  <c r="M5120" i="1"/>
  <c r="N5120" i="1"/>
  <c r="O5120" i="1"/>
  <c r="P5120" i="1"/>
  <c r="Q5120" i="1"/>
  <c r="R5120" i="1"/>
  <c r="S5120" i="1"/>
  <c r="T5120" i="1"/>
  <c r="U5120" i="1"/>
  <c r="V5120" i="1"/>
  <c r="W5120" i="1"/>
  <c r="X5120" i="1"/>
  <c r="Y5120" i="1"/>
  <c r="Z5120" i="1"/>
  <c r="A5121" i="1"/>
  <c r="B5121" i="1"/>
  <c r="C5121" i="1"/>
  <c r="D5121" i="1"/>
  <c r="E5121" i="1"/>
  <c r="F5121" i="1"/>
  <c r="G5121" i="1"/>
  <c r="I5121" i="1"/>
  <c r="J5121" i="1"/>
  <c r="K5121" i="1"/>
  <c r="L5121" i="1"/>
  <c r="M5121" i="1"/>
  <c r="N5121" i="1"/>
  <c r="O5121" i="1"/>
  <c r="P5121" i="1"/>
  <c r="Q5121" i="1"/>
  <c r="R5121" i="1"/>
  <c r="S5121" i="1"/>
  <c r="T5121" i="1"/>
  <c r="U5121" i="1"/>
  <c r="V5121" i="1"/>
  <c r="W5121" i="1"/>
  <c r="X5121" i="1"/>
  <c r="Y5121" i="1"/>
  <c r="Z5121" i="1"/>
  <c r="A5122" i="1"/>
  <c r="B5122" i="1"/>
  <c r="C5122" i="1"/>
  <c r="D5122" i="1"/>
  <c r="E5122" i="1"/>
  <c r="F5122" i="1"/>
  <c r="G5122" i="1"/>
  <c r="I5122" i="1"/>
  <c r="J5122" i="1"/>
  <c r="K5122" i="1"/>
  <c r="L5122" i="1"/>
  <c r="M5122" i="1"/>
  <c r="N5122" i="1"/>
  <c r="O5122" i="1"/>
  <c r="P5122" i="1"/>
  <c r="Q5122" i="1"/>
  <c r="R5122" i="1"/>
  <c r="S5122" i="1"/>
  <c r="T5122" i="1"/>
  <c r="U5122" i="1"/>
  <c r="V5122" i="1"/>
  <c r="W5122" i="1"/>
  <c r="X5122" i="1"/>
  <c r="Y5122" i="1"/>
  <c r="Z5122" i="1"/>
  <c r="A5123" i="1"/>
  <c r="B5123" i="1"/>
  <c r="C5123" i="1"/>
  <c r="D5123" i="1"/>
  <c r="E5123" i="1"/>
  <c r="F5123" i="1"/>
  <c r="G5123" i="1"/>
  <c r="I5123" i="1"/>
  <c r="J5123" i="1"/>
  <c r="K5123" i="1"/>
  <c r="L5123" i="1"/>
  <c r="M5123" i="1"/>
  <c r="N5123" i="1"/>
  <c r="O5123" i="1"/>
  <c r="P5123" i="1"/>
  <c r="Q5123" i="1"/>
  <c r="R5123" i="1"/>
  <c r="S5123" i="1"/>
  <c r="T5123" i="1"/>
  <c r="U5123" i="1"/>
  <c r="V5123" i="1"/>
  <c r="W5123" i="1"/>
  <c r="X5123" i="1"/>
  <c r="Y5123" i="1"/>
  <c r="Z5123" i="1"/>
  <c r="A5124" i="1"/>
  <c r="B5124" i="1"/>
  <c r="C5124" i="1"/>
  <c r="D5124" i="1"/>
  <c r="E5124" i="1"/>
  <c r="F5124" i="1"/>
  <c r="G5124" i="1"/>
  <c r="I5124" i="1"/>
  <c r="J5124" i="1"/>
  <c r="K5124" i="1"/>
  <c r="L5124" i="1"/>
  <c r="M5124" i="1"/>
  <c r="N5124" i="1"/>
  <c r="O5124" i="1"/>
  <c r="P5124" i="1"/>
  <c r="Q5124" i="1"/>
  <c r="R5124" i="1"/>
  <c r="S5124" i="1"/>
  <c r="T5124" i="1"/>
  <c r="U5124" i="1"/>
  <c r="V5124" i="1"/>
  <c r="W5124" i="1"/>
  <c r="X5124" i="1"/>
  <c r="Y5124" i="1"/>
  <c r="Z5124" i="1"/>
  <c r="A5125" i="1"/>
  <c r="B5125" i="1"/>
  <c r="C5125" i="1"/>
  <c r="D5125" i="1"/>
  <c r="E5125" i="1"/>
  <c r="F5125" i="1"/>
  <c r="G5125" i="1"/>
  <c r="I5125" i="1"/>
  <c r="J5125" i="1"/>
  <c r="K5125" i="1"/>
  <c r="L5125" i="1"/>
  <c r="M5125" i="1"/>
  <c r="N5125" i="1"/>
  <c r="O5125" i="1"/>
  <c r="P5125" i="1"/>
  <c r="Q5125" i="1"/>
  <c r="R5125" i="1"/>
  <c r="S5125" i="1"/>
  <c r="T5125" i="1"/>
  <c r="U5125" i="1"/>
  <c r="V5125" i="1"/>
  <c r="W5125" i="1"/>
  <c r="X5125" i="1"/>
  <c r="Y5125" i="1"/>
  <c r="Z5125" i="1"/>
  <c r="A5126" i="1"/>
  <c r="B5126" i="1"/>
  <c r="C5126" i="1"/>
  <c r="D5126" i="1"/>
  <c r="E5126" i="1"/>
  <c r="F5126" i="1"/>
  <c r="G5126" i="1"/>
  <c r="I5126" i="1"/>
  <c r="J5126" i="1"/>
  <c r="K5126" i="1"/>
  <c r="L5126" i="1"/>
  <c r="M5126" i="1"/>
  <c r="N5126" i="1"/>
  <c r="O5126" i="1"/>
  <c r="P5126" i="1"/>
  <c r="Q5126" i="1"/>
  <c r="R5126" i="1"/>
  <c r="S5126" i="1"/>
  <c r="T5126" i="1"/>
  <c r="U5126" i="1"/>
  <c r="V5126" i="1"/>
  <c r="W5126" i="1"/>
  <c r="X5126" i="1"/>
  <c r="Y5126" i="1"/>
  <c r="Z5126" i="1"/>
  <c r="A5127" i="1"/>
  <c r="B5127" i="1"/>
  <c r="C5127" i="1"/>
  <c r="D5127" i="1"/>
  <c r="E5127" i="1"/>
  <c r="F5127" i="1"/>
  <c r="G5127" i="1"/>
  <c r="I5127" i="1"/>
  <c r="J5127" i="1"/>
  <c r="K5127" i="1"/>
  <c r="L5127" i="1"/>
  <c r="M5127" i="1"/>
  <c r="N5127" i="1"/>
  <c r="O5127" i="1"/>
  <c r="P5127" i="1"/>
  <c r="Q5127" i="1"/>
  <c r="R5127" i="1"/>
  <c r="S5127" i="1"/>
  <c r="T5127" i="1"/>
  <c r="U5127" i="1"/>
  <c r="V5127" i="1"/>
  <c r="W5127" i="1"/>
  <c r="X5127" i="1"/>
  <c r="Y5127" i="1"/>
  <c r="Z5127" i="1"/>
  <c r="A5128" i="1"/>
  <c r="B5128" i="1"/>
  <c r="C5128" i="1"/>
  <c r="D5128" i="1"/>
  <c r="E5128" i="1"/>
  <c r="F5128" i="1"/>
  <c r="G5128" i="1"/>
  <c r="I5128" i="1"/>
  <c r="J5128" i="1"/>
  <c r="K5128" i="1"/>
  <c r="L5128" i="1"/>
  <c r="M5128" i="1"/>
  <c r="N5128" i="1"/>
  <c r="O5128" i="1"/>
  <c r="P5128" i="1"/>
  <c r="Q5128" i="1"/>
  <c r="R5128" i="1"/>
  <c r="S5128" i="1"/>
  <c r="T5128" i="1"/>
  <c r="U5128" i="1"/>
  <c r="V5128" i="1"/>
  <c r="W5128" i="1"/>
  <c r="X5128" i="1"/>
  <c r="Y5128" i="1"/>
  <c r="Z5128" i="1"/>
  <c r="A5129" i="1"/>
  <c r="B5129" i="1"/>
  <c r="C5129" i="1"/>
  <c r="D5129" i="1"/>
  <c r="E5129" i="1"/>
  <c r="F5129" i="1"/>
  <c r="G5129" i="1"/>
  <c r="I5129" i="1"/>
  <c r="J5129" i="1"/>
  <c r="K5129" i="1"/>
  <c r="L5129" i="1"/>
  <c r="M5129" i="1"/>
  <c r="N5129" i="1"/>
  <c r="O5129" i="1"/>
  <c r="P5129" i="1"/>
  <c r="Q5129" i="1"/>
  <c r="R5129" i="1"/>
  <c r="S5129" i="1"/>
  <c r="T5129" i="1"/>
  <c r="U5129" i="1"/>
  <c r="V5129" i="1"/>
  <c r="W5129" i="1"/>
  <c r="X5129" i="1"/>
  <c r="Y5129" i="1"/>
  <c r="Z5129" i="1"/>
  <c r="A5130" i="1"/>
  <c r="B5130" i="1"/>
  <c r="C5130" i="1"/>
  <c r="D5130" i="1"/>
  <c r="E5130" i="1"/>
  <c r="F5130" i="1"/>
  <c r="G5130" i="1"/>
  <c r="I5130" i="1"/>
  <c r="J5130" i="1"/>
  <c r="K5130" i="1"/>
  <c r="L5130" i="1"/>
  <c r="M5130" i="1"/>
  <c r="N5130" i="1"/>
  <c r="O5130" i="1"/>
  <c r="P5130" i="1"/>
  <c r="Q5130" i="1"/>
  <c r="R5130" i="1"/>
  <c r="S5130" i="1"/>
  <c r="T5130" i="1"/>
  <c r="U5130" i="1"/>
  <c r="V5130" i="1"/>
  <c r="W5130" i="1"/>
  <c r="X5130" i="1"/>
  <c r="Y5130" i="1"/>
  <c r="Z5130" i="1"/>
  <c r="A5131" i="1"/>
  <c r="B5131" i="1"/>
  <c r="C5131" i="1"/>
  <c r="D5131" i="1"/>
  <c r="E5131" i="1"/>
  <c r="F5131" i="1"/>
  <c r="G5131" i="1"/>
  <c r="I5131" i="1"/>
  <c r="J5131" i="1"/>
  <c r="K5131" i="1"/>
  <c r="L5131" i="1"/>
  <c r="M5131" i="1"/>
  <c r="N5131" i="1"/>
  <c r="O5131" i="1"/>
  <c r="P5131" i="1"/>
  <c r="Q5131" i="1"/>
  <c r="R5131" i="1"/>
  <c r="S5131" i="1"/>
  <c r="T5131" i="1"/>
  <c r="U5131" i="1"/>
  <c r="V5131" i="1"/>
  <c r="W5131" i="1"/>
  <c r="X5131" i="1"/>
  <c r="Y5131" i="1"/>
  <c r="Z5131" i="1"/>
  <c r="A5132" i="1"/>
  <c r="B5132" i="1"/>
  <c r="C5132" i="1"/>
  <c r="D5132" i="1"/>
  <c r="E5132" i="1"/>
  <c r="F5132" i="1"/>
  <c r="G5132" i="1"/>
  <c r="I5132" i="1"/>
  <c r="J5132" i="1"/>
  <c r="K5132" i="1"/>
  <c r="L5132" i="1"/>
  <c r="M5132" i="1"/>
  <c r="N5132" i="1"/>
  <c r="O5132" i="1"/>
  <c r="P5132" i="1"/>
  <c r="Q5132" i="1"/>
  <c r="R5132" i="1"/>
  <c r="S5132" i="1"/>
  <c r="T5132" i="1"/>
  <c r="U5132" i="1"/>
  <c r="V5132" i="1"/>
  <c r="W5132" i="1"/>
  <c r="X5132" i="1"/>
  <c r="Y5132" i="1"/>
  <c r="Z5132" i="1"/>
  <c r="A5133" i="1"/>
  <c r="B5133" i="1"/>
  <c r="C5133" i="1"/>
  <c r="D5133" i="1"/>
  <c r="E5133" i="1"/>
  <c r="F5133" i="1"/>
  <c r="G5133" i="1"/>
  <c r="I5133" i="1"/>
  <c r="J5133" i="1"/>
  <c r="K5133" i="1"/>
  <c r="L5133" i="1"/>
  <c r="M5133" i="1"/>
  <c r="N5133" i="1"/>
  <c r="O5133" i="1"/>
  <c r="P5133" i="1"/>
  <c r="Q5133" i="1"/>
  <c r="R5133" i="1"/>
  <c r="S5133" i="1"/>
  <c r="T5133" i="1"/>
  <c r="U5133" i="1"/>
  <c r="V5133" i="1"/>
  <c r="W5133" i="1"/>
  <c r="X5133" i="1"/>
  <c r="Y5133" i="1"/>
  <c r="Z5133" i="1"/>
  <c r="A5134" i="1"/>
  <c r="B5134" i="1"/>
  <c r="C5134" i="1"/>
  <c r="D5134" i="1"/>
  <c r="E5134" i="1"/>
  <c r="F5134" i="1"/>
  <c r="G5134" i="1"/>
  <c r="I5134" i="1"/>
  <c r="J5134" i="1"/>
  <c r="K5134" i="1"/>
  <c r="L5134" i="1"/>
  <c r="M5134" i="1"/>
  <c r="N5134" i="1"/>
  <c r="O5134" i="1"/>
  <c r="P5134" i="1"/>
  <c r="Q5134" i="1"/>
  <c r="R5134" i="1"/>
  <c r="S5134" i="1"/>
  <c r="T5134" i="1"/>
  <c r="U5134" i="1"/>
  <c r="V5134" i="1"/>
  <c r="W5134" i="1"/>
  <c r="X5134" i="1"/>
  <c r="Y5134" i="1"/>
  <c r="Z5134" i="1"/>
  <c r="A5135" i="1"/>
  <c r="B5135" i="1"/>
  <c r="C5135" i="1"/>
  <c r="D5135" i="1"/>
  <c r="E5135" i="1"/>
  <c r="F5135" i="1"/>
  <c r="G5135" i="1"/>
  <c r="I5135" i="1"/>
  <c r="J5135" i="1"/>
  <c r="K5135" i="1"/>
  <c r="L5135" i="1"/>
  <c r="M5135" i="1"/>
  <c r="N5135" i="1"/>
  <c r="O5135" i="1"/>
  <c r="P5135" i="1"/>
  <c r="Q5135" i="1"/>
  <c r="R5135" i="1"/>
  <c r="S5135" i="1"/>
  <c r="T5135" i="1"/>
  <c r="U5135" i="1"/>
  <c r="V5135" i="1"/>
  <c r="W5135" i="1"/>
  <c r="X5135" i="1"/>
  <c r="Y5135" i="1"/>
  <c r="Z5135" i="1"/>
  <c r="A5136" i="1"/>
  <c r="B5136" i="1"/>
  <c r="C5136" i="1"/>
  <c r="D5136" i="1"/>
  <c r="E5136" i="1"/>
  <c r="F5136" i="1"/>
  <c r="G5136" i="1"/>
  <c r="I5136" i="1"/>
  <c r="J5136" i="1"/>
  <c r="K5136" i="1"/>
  <c r="L5136" i="1"/>
  <c r="M5136" i="1"/>
  <c r="N5136" i="1"/>
  <c r="O5136" i="1"/>
  <c r="P5136" i="1"/>
  <c r="Q5136" i="1"/>
  <c r="R5136" i="1"/>
  <c r="S5136" i="1"/>
  <c r="T5136" i="1"/>
  <c r="U5136" i="1"/>
  <c r="V5136" i="1"/>
  <c r="W5136" i="1"/>
  <c r="X5136" i="1"/>
  <c r="Y5136" i="1"/>
  <c r="Z5136" i="1"/>
  <c r="A5137" i="1"/>
  <c r="B5137" i="1"/>
  <c r="C5137" i="1"/>
  <c r="D5137" i="1"/>
  <c r="E5137" i="1"/>
  <c r="F5137" i="1"/>
  <c r="G5137" i="1"/>
  <c r="I5137" i="1"/>
  <c r="J5137" i="1"/>
  <c r="K5137" i="1"/>
  <c r="L5137" i="1"/>
  <c r="M5137" i="1"/>
  <c r="N5137" i="1"/>
  <c r="O5137" i="1"/>
  <c r="P5137" i="1"/>
  <c r="Q5137" i="1"/>
  <c r="R5137" i="1"/>
  <c r="S5137" i="1"/>
  <c r="T5137" i="1"/>
  <c r="U5137" i="1"/>
  <c r="V5137" i="1"/>
  <c r="W5137" i="1"/>
  <c r="X5137" i="1"/>
  <c r="Y5137" i="1"/>
  <c r="Z5137" i="1"/>
  <c r="A5138" i="1"/>
  <c r="B5138" i="1"/>
  <c r="C5138" i="1"/>
  <c r="D5138" i="1"/>
  <c r="E5138" i="1"/>
  <c r="F5138" i="1"/>
  <c r="G5138" i="1"/>
  <c r="I5138" i="1"/>
  <c r="J5138" i="1"/>
  <c r="K5138" i="1"/>
  <c r="L5138" i="1"/>
  <c r="M5138" i="1"/>
  <c r="N5138" i="1"/>
  <c r="O5138" i="1"/>
  <c r="P5138" i="1"/>
  <c r="Q5138" i="1"/>
  <c r="R5138" i="1"/>
  <c r="S5138" i="1"/>
  <c r="T5138" i="1"/>
  <c r="U5138" i="1"/>
  <c r="V5138" i="1"/>
  <c r="W5138" i="1"/>
  <c r="X5138" i="1"/>
  <c r="Y5138" i="1"/>
  <c r="Z5138" i="1"/>
  <c r="A5139" i="1"/>
  <c r="B5139" i="1"/>
  <c r="C5139" i="1"/>
  <c r="D5139" i="1"/>
  <c r="E5139" i="1"/>
  <c r="F5139" i="1"/>
  <c r="G5139" i="1"/>
  <c r="I5139" i="1"/>
  <c r="J5139" i="1"/>
  <c r="K5139" i="1"/>
  <c r="L5139" i="1"/>
  <c r="M5139" i="1"/>
  <c r="N5139" i="1"/>
  <c r="O5139" i="1"/>
  <c r="P5139" i="1"/>
  <c r="Q5139" i="1"/>
  <c r="R5139" i="1"/>
  <c r="S5139" i="1"/>
  <c r="T5139" i="1"/>
  <c r="U5139" i="1"/>
  <c r="V5139" i="1"/>
  <c r="W5139" i="1"/>
  <c r="X5139" i="1"/>
  <c r="Y5139" i="1"/>
  <c r="Z5139" i="1"/>
  <c r="A5140" i="1"/>
  <c r="B5140" i="1"/>
  <c r="C5140" i="1"/>
  <c r="D5140" i="1"/>
  <c r="E5140" i="1"/>
  <c r="F5140" i="1"/>
  <c r="G5140" i="1"/>
  <c r="I5140" i="1"/>
  <c r="J5140" i="1"/>
  <c r="K5140" i="1"/>
  <c r="L5140" i="1"/>
  <c r="M5140" i="1"/>
  <c r="N5140" i="1"/>
  <c r="O5140" i="1"/>
  <c r="P5140" i="1"/>
  <c r="Q5140" i="1"/>
  <c r="R5140" i="1"/>
  <c r="S5140" i="1"/>
  <c r="T5140" i="1"/>
  <c r="U5140" i="1"/>
  <c r="V5140" i="1"/>
  <c r="W5140" i="1"/>
  <c r="X5140" i="1"/>
  <c r="Y5140" i="1"/>
  <c r="Z5140" i="1"/>
  <c r="A5141" i="1"/>
  <c r="B5141" i="1"/>
  <c r="C5141" i="1"/>
  <c r="D5141" i="1"/>
  <c r="E5141" i="1"/>
  <c r="F5141" i="1"/>
  <c r="G5141" i="1"/>
  <c r="I5141" i="1"/>
  <c r="J5141" i="1"/>
  <c r="K5141" i="1"/>
  <c r="L5141" i="1"/>
  <c r="M5141" i="1"/>
  <c r="N5141" i="1"/>
  <c r="O5141" i="1"/>
  <c r="P5141" i="1"/>
  <c r="Q5141" i="1"/>
  <c r="R5141" i="1"/>
  <c r="S5141" i="1"/>
  <c r="T5141" i="1"/>
  <c r="U5141" i="1"/>
  <c r="V5141" i="1"/>
  <c r="W5141" i="1"/>
  <c r="X5141" i="1"/>
  <c r="Y5141" i="1"/>
  <c r="Z5141" i="1"/>
  <c r="A5142" i="1"/>
  <c r="B5142" i="1"/>
  <c r="C5142" i="1"/>
  <c r="D5142" i="1"/>
  <c r="E5142" i="1"/>
  <c r="F5142" i="1"/>
  <c r="G5142" i="1"/>
  <c r="I5142" i="1"/>
  <c r="J5142" i="1"/>
  <c r="K5142" i="1"/>
  <c r="L5142" i="1"/>
  <c r="M5142" i="1"/>
  <c r="N5142" i="1"/>
  <c r="O5142" i="1"/>
  <c r="P5142" i="1"/>
  <c r="Q5142" i="1"/>
  <c r="R5142" i="1"/>
  <c r="S5142" i="1"/>
  <c r="T5142" i="1"/>
  <c r="U5142" i="1"/>
  <c r="V5142" i="1"/>
  <c r="W5142" i="1"/>
  <c r="X5142" i="1"/>
  <c r="Y5142" i="1"/>
  <c r="Z5142" i="1"/>
  <c r="A5143" i="1"/>
  <c r="B5143" i="1"/>
  <c r="C5143" i="1"/>
  <c r="D5143" i="1"/>
  <c r="E5143" i="1"/>
  <c r="F5143" i="1"/>
  <c r="G5143" i="1"/>
  <c r="I5143" i="1"/>
  <c r="J5143" i="1"/>
  <c r="K5143" i="1"/>
  <c r="L5143" i="1"/>
  <c r="M5143" i="1"/>
  <c r="N5143" i="1"/>
  <c r="O5143" i="1"/>
  <c r="P5143" i="1"/>
  <c r="Q5143" i="1"/>
  <c r="R5143" i="1"/>
  <c r="S5143" i="1"/>
  <c r="T5143" i="1"/>
  <c r="U5143" i="1"/>
  <c r="V5143" i="1"/>
  <c r="W5143" i="1"/>
  <c r="X5143" i="1"/>
  <c r="Y5143" i="1"/>
  <c r="Z5143" i="1"/>
  <c r="A5144" i="1"/>
  <c r="B5144" i="1"/>
  <c r="C5144" i="1"/>
  <c r="D5144" i="1"/>
  <c r="E5144" i="1"/>
  <c r="F5144" i="1"/>
  <c r="G5144" i="1"/>
  <c r="I5144" i="1"/>
  <c r="J5144" i="1"/>
  <c r="K5144" i="1"/>
  <c r="L5144" i="1"/>
  <c r="M5144" i="1"/>
  <c r="N5144" i="1"/>
  <c r="O5144" i="1"/>
  <c r="P5144" i="1"/>
  <c r="Q5144" i="1"/>
  <c r="R5144" i="1"/>
  <c r="S5144" i="1"/>
  <c r="T5144" i="1"/>
  <c r="U5144" i="1"/>
  <c r="V5144" i="1"/>
  <c r="W5144" i="1"/>
  <c r="X5144" i="1"/>
  <c r="Y5144" i="1"/>
  <c r="Z5144" i="1"/>
  <c r="A5145" i="1"/>
  <c r="B5145" i="1"/>
  <c r="C5145" i="1"/>
  <c r="D5145" i="1"/>
  <c r="E5145" i="1"/>
  <c r="F5145" i="1"/>
  <c r="G5145" i="1"/>
  <c r="I5145" i="1"/>
  <c r="J5145" i="1"/>
  <c r="K5145" i="1"/>
  <c r="L5145" i="1"/>
  <c r="M5145" i="1"/>
  <c r="N5145" i="1"/>
  <c r="O5145" i="1"/>
  <c r="P5145" i="1"/>
  <c r="Q5145" i="1"/>
  <c r="R5145" i="1"/>
  <c r="S5145" i="1"/>
  <c r="T5145" i="1"/>
  <c r="U5145" i="1"/>
  <c r="V5145" i="1"/>
  <c r="W5145" i="1"/>
  <c r="X5145" i="1"/>
  <c r="Y5145" i="1"/>
  <c r="Z5145" i="1"/>
  <c r="A5146" i="1"/>
  <c r="B5146" i="1"/>
  <c r="C5146" i="1"/>
  <c r="D5146" i="1"/>
  <c r="E5146" i="1"/>
  <c r="F5146" i="1"/>
  <c r="G5146" i="1"/>
  <c r="I5146" i="1"/>
  <c r="J5146" i="1"/>
  <c r="K5146" i="1"/>
  <c r="L5146" i="1"/>
  <c r="M5146" i="1"/>
  <c r="N5146" i="1"/>
  <c r="O5146" i="1"/>
  <c r="P5146" i="1"/>
  <c r="Q5146" i="1"/>
  <c r="R5146" i="1"/>
  <c r="S5146" i="1"/>
  <c r="T5146" i="1"/>
  <c r="U5146" i="1"/>
  <c r="V5146" i="1"/>
  <c r="W5146" i="1"/>
  <c r="X5146" i="1"/>
  <c r="Y5146" i="1"/>
  <c r="Z5146" i="1"/>
  <c r="A5147" i="1"/>
  <c r="B5147" i="1"/>
  <c r="C5147" i="1"/>
  <c r="D5147" i="1"/>
  <c r="E5147" i="1"/>
  <c r="F5147" i="1"/>
  <c r="G5147" i="1"/>
  <c r="I5147" i="1"/>
  <c r="J5147" i="1"/>
  <c r="K5147" i="1"/>
  <c r="L5147" i="1"/>
  <c r="M5147" i="1"/>
  <c r="N5147" i="1"/>
  <c r="O5147" i="1"/>
  <c r="P5147" i="1"/>
  <c r="Q5147" i="1"/>
  <c r="R5147" i="1"/>
  <c r="S5147" i="1"/>
  <c r="T5147" i="1"/>
  <c r="U5147" i="1"/>
  <c r="V5147" i="1"/>
  <c r="W5147" i="1"/>
  <c r="X5147" i="1"/>
  <c r="Y5147" i="1"/>
  <c r="Z5147" i="1"/>
  <c r="A5148" i="1"/>
  <c r="B5148" i="1"/>
  <c r="C5148" i="1"/>
  <c r="D5148" i="1"/>
  <c r="E5148" i="1"/>
  <c r="F5148" i="1"/>
  <c r="G5148" i="1"/>
  <c r="I5148" i="1"/>
  <c r="J5148" i="1"/>
  <c r="K5148" i="1"/>
  <c r="L5148" i="1"/>
  <c r="M5148" i="1"/>
  <c r="N5148" i="1"/>
  <c r="O5148" i="1"/>
  <c r="P5148" i="1"/>
  <c r="Q5148" i="1"/>
  <c r="R5148" i="1"/>
  <c r="S5148" i="1"/>
  <c r="T5148" i="1"/>
  <c r="U5148" i="1"/>
  <c r="V5148" i="1"/>
  <c r="W5148" i="1"/>
  <c r="X5148" i="1"/>
  <c r="Y5148" i="1"/>
  <c r="Z5148" i="1"/>
  <c r="A5149" i="1"/>
  <c r="B5149" i="1"/>
  <c r="C5149" i="1"/>
  <c r="D5149" i="1"/>
  <c r="E5149" i="1"/>
  <c r="F5149" i="1"/>
  <c r="G5149" i="1"/>
  <c r="I5149" i="1"/>
  <c r="J5149" i="1"/>
  <c r="K5149" i="1"/>
  <c r="L5149" i="1"/>
  <c r="M5149" i="1"/>
  <c r="N5149" i="1"/>
  <c r="O5149" i="1"/>
  <c r="P5149" i="1"/>
  <c r="Q5149" i="1"/>
  <c r="R5149" i="1"/>
  <c r="S5149" i="1"/>
  <c r="T5149" i="1"/>
  <c r="U5149" i="1"/>
  <c r="V5149" i="1"/>
  <c r="W5149" i="1"/>
  <c r="X5149" i="1"/>
  <c r="Y5149" i="1"/>
  <c r="Z5149" i="1"/>
  <c r="A5150" i="1"/>
  <c r="B5150" i="1"/>
  <c r="C5150" i="1"/>
  <c r="D5150" i="1"/>
  <c r="E5150" i="1"/>
  <c r="F5150" i="1"/>
  <c r="G5150" i="1"/>
  <c r="I5150" i="1"/>
  <c r="J5150" i="1"/>
  <c r="K5150" i="1"/>
  <c r="L5150" i="1"/>
  <c r="M5150" i="1"/>
  <c r="N5150" i="1"/>
  <c r="O5150" i="1"/>
  <c r="P5150" i="1"/>
  <c r="Q5150" i="1"/>
  <c r="R5150" i="1"/>
  <c r="S5150" i="1"/>
  <c r="T5150" i="1"/>
  <c r="U5150" i="1"/>
  <c r="V5150" i="1"/>
  <c r="W5150" i="1"/>
  <c r="X5150" i="1"/>
  <c r="Y5150" i="1"/>
  <c r="Z5150" i="1"/>
  <c r="A5151" i="1"/>
  <c r="B5151" i="1"/>
  <c r="C5151" i="1"/>
  <c r="D5151" i="1"/>
  <c r="E5151" i="1"/>
  <c r="F5151" i="1"/>
  <c r="G5151" i="1"/>
  <c r="I5151" i="1"/>
  <c r="J5151" i="1"/>
  <c r="K5151" i="1"/>
  <c r="L5151" i="1"/>
  <c r="M5151" i="1"/>
  <c r="N5151" i="1"/>
  <c r="O5151" i="1"/>
  <c r="P5151" i="1"/>
  <c r="Q5151" i="1"/>
  <c r="R5151" i="1"/>
  <c r="S5151" i="1"/>
  <c r="T5151" i="1"/>
  <c r="U5151" i="1"/>
  <c r="V5151" i="1"/>
  <c r="W5151" i="1"/>
  <c r="X5151" i="1"/>
  <c r="Y5151" i="1"/>
  <c r="Z5151" i="1"/>
  <c r="A5152" i="1"/>
  <c r="B5152" i="1"/>
  <c r="C5152" i="1"/>
  <c r="D5152" i="1"/>
  <c r="E5152" i="1"/>
  <c r="F5152" i="1"/>
  <c r="G5152" i="1"/>
  <c r="I5152" i="1"/>
  <c r="J5152" i="1"/>
  <c r="K5152" i="1"/>
  <c r="L5152" i="1"/>
  <c r="M5152" i="1"/>
  <c r="N5152" i="1"/>
  <c r="O5152" i="1"/>
  <c r="P5152" i="1"/>
  <c r="Q5152" i="1"/>
  <c r="R5152" i="1"/>
  <c r="S5152" i="1"/>
  <c r="T5152" i="1"/>
  <c r="U5152" i="1"/>
  <c r="V5152" i="1"/>
  <c r="W5152" i="1"/>
  <c r="X5152" i="1"/>
  <c r="Y5152" i="1"/>
  <c r="Z5152" i="1"/>
  <c r="A5153" i="1"/>
  <c r="B5153" i="1"/>
  <c r="C5153" i="1"/>
  <c r="D5153" i="1"/>
  <c r="E5153" i="1"/>
  <c r="F5153" i="1"/>
  <c r="G5153" i="1"/>
  <c r="I5153" i="1"/>
  <c r="J5153" i="1"/>
  <c r="K5153" i="1"/>
  <c r="L5153" i="1"/>
  <c r="M5153" i="1"/>
  <c r="N5153" i="1"/>
  <c r="O5153" i="1"/>
  <c r="P5153" i="1"/>
  <c r="Q5153" i="1"/>
  <c r="R5153" i="1"/>
  <c r="S5153" i="1"/>
  <c r="T5153" i="1"/>
  <c r="U5153" i="1"/>
  <c r="V5153" i="1"/>
  <c r="W5153" i="1"/>
  <c r="X5153" i="1"/>
  <c r="Y5153" i="1"/>
  <c r="Z5153" i="1"/>
  <c r="A5154" i="1"/>
  <c r="B5154" i="1"/>
  <c r="C5154" i="1"/>
  <c r="D5154" i="1"/>
  <c r="E5154" i="1"/>
  <c r="F5154" i="1"/>
  <c r="G5154" i="1"/>
  <c r="I5154" i="1"/>
  <c r="J5154" i="1"/>
  <c r="K5154" i="1"/>
  <c r="L5154" i="1"/>
  <c r="M5154" i="1"/>
  <c r="N5154" i="1"/>
  <c r="O5154" i="1"/>
  <c r="P5154" i="1"/>
  <c r="Q5154" i="1"/>
  <c r="R5154" i="1"/>
  <c r="S5154" i="1"/>
  <c r="T5154" i="1"/>
  <c r="U5154" i="1"/>
  <c r="V5154" i="1"/>
  <c r="W5154" i="1"/>
  <c r="X5154" i="1"/>
  <c r="Y5154" i="1"/>
  <c r="Z5154" i="1"/>
  <c r="A5155" i="1"/>
  <c r="B5155" i="1"/>
  <c r="C5155" i="1"/>
  <c r="D5155" i="1"/>
  <c r="E5155" i="1"/>
  <c r="F5155" i="1"/>
  <c r="G5155" i="1"/>
  <c r="I5155" i="1"/>
  <c r="J5155" i="1"/>
  <c r="K5155" i="1"/>
  <c r="L5155" i="1"/>
  <c r="M5155" i="1"/>
  <c r="N5155" i="1"/>
  <c r="O5155" i="1"/>
  <c r="P5155" i="1"/>
  <c r="Q5155" i="1"/>
  <c r="R5155" i="1"/>
  <c r="S5155" i="1"/>
  <c r="T5155" i="1"/>
  <c r="U5155" i="1"/>
  <c r="V5155" i="1"/>
  <c r="W5155" i="1"/>
  <c r="X5155" i="1"/>
  <c r="Y5155" i="1"/>
  <c r="Z5155" i="1"/>
  <c r="A5156" i="1"/>
  <c r="B5156" i="1"/>
  <c r="C5156" i="1"/>
  <c r="D5156" i="1"/>
  <c r="E5156" i="1"/>
  <c r="F5156" i="1"/>
  <c r="G5156" i="1"/>
  <c r="I5156" i="1"/>
  <c r="J5156" i="1"/>
  <c r="K5156" i="1"/>
  <c r="L5156" i="1"/>
  <c r="M5156" i="1"/>
  <c r="N5156" i="1"/>
  <c r="O5156" i="1"/>
  <c r="P5156" i="1"/>
  <c r="Q5156" i="1"/>
  <c r="R5156" i="1"/>
  <c r="S5156" i="1"/>
  <c r="T5156" i="1"/>
  <c r="U5156" i="1"/>
  <c r="V5156" i="1"/>
  <c r="W5156" i="1"/>
  <c r="X5156" i="1"/>
  <c r="Y5156" i="1"/>
  <c r="Z5156" i="1"/>
  <c r="A5157" i="1"/>
  <c r="B5157" i="1"/>
  <c r="C5157" i="1"/>
  <c r="D5157" i="1"/>
  <c r="E5157" i="1"/>
  <c r="F5157" i="1"/>
  <c r="G5157" i="1"/>
  <c r="I5157" i="1"/>
  <c r="J5157" i="1"/>
  <c r="K5157" i="1"/>
  <c r="L5157" i="1"/>
  <c r="M5157" i="1"/>
  <c r="N5157" i="1"/>
  <c r="O5157" i="1"/>
  <c r="P5157" i="1"/>
  <c r="Q5157" i="1"/>
  <c r="R5157" i="1"/>
  <c r="S5157" i="1"/>
  <c r="T5157" i="1"/>
  <c r="U5157" i="1"/>
  <c r="V5157" i="1"/>
  <c r="W5157" i="1"/>
  <c r="X5157" i="1"/>
  <c r="Y5157" i="1"/>
  <c r="Z5157" i="1"/>
  <c r="A5158" i="1"/>
  <c r="B5158" i="1"/>
  <c r="C5158" i="1"/>
  <c r="D5158" i="1"/>
  <c r="E5158" i="1"/>
  <c r="F5158" i="1"/>
  <c r="G5158" i="1"/>
  <c r="I5158" i="1"/>
  <c r="J5158" i="1"/>
  <c r="K5158" i="1"/>
  <c r="L5158" i="1"/>
  <c r="M5158" i="1"/>
  <c r="N5158" i="1"/>
  <c r="O5158" i="1"/>
  <c r="P5158" i="1"/>
  <c r="Q5158" i="1"/>
  <c r="R5158" i="1"/>
  <c r="S5158" i="1"/>
  <c r="T5158" i="1"/>
  <c r="U5158" i="1"/>
  <c r="V5158" i="1"/>
  <c r="W5158" i="1"/>
  <c r="X5158" i="1"/>
  <c r="Y5158" i="1"/>
  <c r="Z5158" i="1"/>
  <c r="A5159" i="1"/>
  <c r="B5159" i="1"/>
  <c r="C5159" i="1"/>
  <c r="D5159" i="1"/>
  <c r="E5159" i="1"/>
  <c r="F5159" i="1"/>
  <c r="G5159" i="1"/>
  <c r="I5159" i="1"/>
  <c r="J5159" i="1"/>
  <c r="K5159" i="1"/>
  <c r="L5159" i="1"/>
  <c r="M5159" i="1"/>
  <c r="N5159" i="1"/>
  <c r="O5159" i="1"/>
  <c r="P5159" i="1"/>
  <c r="Q5159" i="1"/>
  <c r="R5159" i="1"/>
  <c r="S5159" i="1"/>
  <c r="T5159" i="1"/>
  <c r="U5159" i="1"/>
  <c r="V5159" i="1"/>
  <c r="W5159" i="1"/>
  <c r="X5159" i="1"/>
  <c r="Y5159" i="1"/>
  <c r="Z5159" i="1"/>
  <c r="A5160" i="1"/>
  <c r="B5160" i="1"/>
  <c r="C5160" i="1"/>
  <c r="D5160" i="1"/>
  <c r="E5160" i="1"/>
  <c r="F5160" i="1"/>
  <c r="G5160" i="1"/>
  <c r="I5160" i="1"/>
  <c r="J5160" i="1"/>
  <c r="K5160" i="1"/>
  <c r="L5160" i="1"/>
  <c r="M5160" i="1"/>
  <c r="N5160" i="1"/>
  <c r="O5160" i="1"/>
  <c r="P5160" i="1"/>
  <c r="Q5160" i="1"/>
  <c r="R5160" i="1"/>
  <c r="S5160" i="1"/>
  <c r="T5160" i="1"/>
  <c r="U5160" i="1"/>
  <c r="V5160" i="1"/>
  <c r="W5160" i="1"/>
  <c r="X5160" i="1"/>
  <c r="Y5160" i="1"/>
  <c r="Z5160" i="1"/>
  <c r="A5161" i="1"/>
  <c r="B5161" i="1"/>
  <c r="C5161" i="1"/>
  <c r="D5161" i="1"/>
  <c r="E5161" i="1"/>
  <c r="F5161" i="1"/>
  <c r="G5161" i="1"/>
  <c r="I5161" i="1"/>
  <c r="J5161" i="1"/>
  <c r="K5161" i="1"/>
  <c r="L5161" i="1"/>
  <c r="M5161" i="1"/>
  <c r="N5161" i="1"/>
  <c r="O5161" i="1"/>
  <c r="P5161" i="1"/>
  <c r="Q5161" i="1"/>
  <c r="R5161" i="1"/>
  <c r="S5161" i="1"/>
  <c r="T5161" i="1"/>
  <c r="U5161" i="1"/>
  <c r="V5161" i="1"/>
  <c r="W5161" i="1"/>
  <c r="X5161" i="1"/>
  <c r="Y5161" i="1"/>
  <c r="Z5161" i="1"/>
  <c r="A5162" i="1"/>
  <c r="B5162" i="1"/>
  <c r="C5162" i="1"/>
  <c r="D5162" i="1"/>
  <c r="E5162" i="1"/>
  <c r="F5162" i="1"/>
  <c r="G5162" i="1"/>
  <c r="I5162" i="1"/>
  <c r="J5162" i="1"/>
  <c r="K5162" i="1"/>
  <c r="L5162" i="1"/>
  <c r="M5162" i="1"/>
  <c r="N5162" i="1"/>
  <c r="O5162" i="1"/>
  <c r="P5162" i="1"/>
  <c r="Q5162" i="1"/>
  <c r="R5162" i="1"/>
  <c r="S5162" i="1"/>
  <c r="T5162" i="1"/>
  <c r="U5162" i="1"/>
  <c r="V5162" i="1"/>
  <c r="W5162" i="1"/>
  <c r="X5162" i="1"/>
  <c r="Y5162" i="1"/>
  <c r="Z5162" i="1"/>
  <c r="A5163" i="1"/>
  <c r="B5163" i="1"/>
  <c r="C5163" i="1"/>
  <c r="D5163" i="1"/>
  <c r="E5163" i="1"/>
  <c r="F5163" i="1"/>
  <c r="G5163" i="1"/>
  <c r="I5163" i="1"/>
  <c r="J5163" i="1"/>
  <c r="K5163" i="1"/>
  <c r="L5163" i="1"/>
  <c r="M5163" i="1"/>
  <c r="N5163" i="1"/>
  <c r="O5163" i="1"/>
  <c r="P5163" i="1"/>
  <c r="Q5163" i="1"/>
  <c r="R5163" i="1"/>
  <c r="S5163" i="1"/>
  <c r="T5163" i="1"/>
  <c r="U5163" i="1"/>
  <c r="V5163" i="1"/>
  <c r="W5163" i="1"/>
  <c r="X5163" i="1"/>
  <c r="Y5163" i="1"/>
  <c r="Z5163" i="1"/>
  <c r="A5164" i="1"/>
  <c r="B5164" i="1"/>
  <c r="C5164" i="1"/>
  <c r="D5164" i="1"/>
  <c r="E5164" i="1"/>
  <c r="F5164" i="1"/>
  <c r="G5164" i="1"/>
  <c r="I5164" i="1"/>
  <c r="J5164" i="1"/>
  <c r="K5164" i="1"/>
  <c r="L5164" i="1"/>
  <c r="M5164" i="1"/>
  <c r="N5164" i="1"/>
  <c r="O5164" i="1"/>
  <c r="P5164" i="1"/>
  <c r="Q5164" i="1"/>
  <c r="R5164" i="1"/>
  <c r="S5164" i="1"/>
  <c r="T5164" i="1"/>
  <c r="U5164" i="1"/>
  <c r="V5164" i="1"/>
  <c r="W5164" i="1"/>
  <c r="X5164" i="1"/>
  <c r="Y5164" i="1"/>
  <c r="Z5164" i="1"/>
  <c r="A5165" i="1"/>
  <c r="B5165" i="1"/>
  <c r="C5165" i="1"/>
  <c r="D5165" i="1"/>
  <c r="E5165" i="1"/>
  <c r="F5165" i="1"/>
  <c r="G5165" i="1"/>
  <c r="I5165" i="1"/>
  <c r="J5165" i="1"/>
  <c r="K5165" i="1"/>
  <c r="L5165" i="1"/>
  <c r="M5165" i="1"/>
  <c r="N5165" i="1"/>
  <c r="O5165" i="1"/>
  <c r="P5165" i="1"/>
  <c r="Q5165" i="1"/>
  <c r="R5165" i="1"/>
  <c r="S5165" i="1"/>
  <c r="T5165" i="1"/>
  <c r="U5165" i="1"/>
  <c r="V5165" i="1"/>
  <c r="W5165" i="1"/>
  <c r="X5165" i="1"/>
  <c r="Y5165" i="1"/>
  <c r="Z5165" i="1"/>
  <c r="A5166" i="1"/>
  <c r="B5166" i="1"/>
  <c r="C5166" i="1"/>
  <c r="D5166" i="1"/>
  <c r="E5166" i="1"/>
  <c r="F5166" i="1"/>
  <c r="G5166" i="1"/>
  <c r="I5166" i="1"/>
  <c r="J5166" i="1"/>
  <c r="K5166" i="1"/>
  <c r="L5166" i="1"/>
  <c r="M5166" i="1"/>
  <c r="N5166" i="1"/>
  <c r="O5166" i="1"/>
  <c r="P5166" i="1"/>
  <c r="Q5166" i="1"/>
  <c r="R5166" i="1"/>
  <c r="S5166" i="1"/>
  <c r="T5166" i="1"/>
  <c r="U5166" i="1"/>
  <c r="V5166" i="1"/>
  <c r="W5166" i="1"/>
  <c r="X5166" i="1"/>
  <c r="Y5166" i="1"/>
  <c r="Z5166" i="1"/>
  <c r="A5167" i="1"/>
  <c r="B5167" i="1"/>
  <c r="C5167" i="1"/>
  <c r="D5167" i="1"/>
  <c r="E5167" i="1"/>
  <c r="F5167" i="1"/>
  <c r="G5167" i="1"/>
  <c r="I5167" i="1"/>
  <c r="J5167" i="1"/>
  <c r="K5167" i="1"/>
  <c r="L5167" i="1"/>
  <c r="M5167" i="1"/>
  <c r="N5167" i="1"/>
  <c r="O5167" i="1"/>
  <c r="P5167" i="1"/>
  <c r="Q5167" i="1"/>
  <c r="R5167" i="1"/>
  <c r="S5167" i="1"/>
  <c r="T5167" i="1"/>
  <c r="U5167" i="1"/>
  <c r="V5167" i="1"/>
  <c r="W5167" i="1"/>
  <c r="X5167" i="1"/>
  <c r="Y5167" i="1"/>
  <c r="Z5167" i="1"/>
  <c r="A5168" i="1"/>
  <c r="B5168" i="1"/>
  <c r="C5168" i="1"/>
  <c r="D5168" i="1"/>
  <c r="E5168" i="1"/>
  <c r="F5168" i="1"/>
  <c r="G5168" i="1"/>
  <c r="I5168" i="1"/>
  <c r="J5168" i="1"/>
  <c r="K5168" i="1"/>
  <c r="L5168" i="1"/>
  <c r="M5168" i="1"/>
  <c r="N5168" i="1"/>
  <c r="O5168" i="1"/>
  <c r="P5168" i="1"/>
  <c r="Q5168" i="1"/>
  <c r="R5168" i="1"/>
  <c r="S5168" i="1"/>
  <c r="T5168" i="1"/>
  <c r="U5168" i="1"/>
  <c r="V5168" i="1"/>
  <c r="W5168" i="1"/>
  <c r="X5168" i="1"/>
  <c r="Y5168" i="1"/>
  <c r="Z5168" i="1"/>
  <c r="A5169" i="1"/>
  <c r="B5169" i="1"/>
  <c r="C5169" i="1"/>
  <c r="D5169" i="1"/>
  <c r="E5169" i="1"/>
  <c r="F5169" i="1"/>
  <c r="G5169" i="1"/>
  <c r="I5169" i="1"/>
  <c r="J5169" i="1"/>
  <c r="K5169" i="1"/>
  <c r="L5169" i="1"/>
  <c r="M5169" i="1"/>
  <c r="N5169" i="1"/>
  <c r="O5169" i="1"/>
  <c r="P5169" i="1"/>
  <c r="Q5169" i="1"/>
  <c r="R5169" i="1"/>
  <c r="S5169" i="1"/>
  <c r="T5169" i="1"/>
  <c r="U5169" i="1"/>
  <c r="V5169" i="1"/>
  <c r="W5169" i="1"/>
  <c r="X5169" i="1"/>
  <c r="Y5169" i="1"/>
  <c r="Z5169" i="1"/>
  <c r="A5170" i="1"/>
  <c r="B5170" i="1"/>
  <c r="C5170" i="1"/>
  <c r="D5170" i="1"/>
  <c r="E5170" i="1"/>
  <c r="F5170" i="1"/>
  <c r="G5170" i="1"/>
  <c r="I5170" i="1"/>
  <c r="J5170" i="1"/>
  <c r="K5170" i="1"/>
  <c r="L5170" i="1"/>
  <c r="M5170" i="1"/>
  <c r="N5170" i="1"/>
  <c r="O5170" i="1"/>
  <c r="P5170" i="1"/>
  <c r="Q5170" i="1"/>
  <c r="R5170" i="1"/>
  <c r="S5170" i="1"/>
  <c r="T5170" i="1"/>
  <c r="U5170" i="1"/>
  <c r="V5170" i="1"/>
  <c r="W5170" i="1"/>
  <c r="X5170" i="1"/>
  <c r="Y5170" i="1"/>
  <c r="Z5170" i="1"/>
  <c r="A5171" i="1"/>
  <c r="B5171" i="1"/>
  <c r="C5171" i="1"/>
  <c r="D5171" i="1"/>
  <c r="E5171" i="1"/>
  <c r="F5171" i="1"/>
  <c r="G5171" i="1"/>
  <c r="I5171" i="1"/>
  <c r="J5171" i="1"/>
  <c r="K5171" i="1"/>
  <c r="L5171" i="1"/>
  <c r="M5171" i="1"/>
  <c r="N5171" i="1"/>
  <c r="O5171" i="1"/>
  <c r="P5171" i="1"/>
  <c r="Q5171" i="1"/>
  <c r="R5171" i="1"/>
  <c r="S5171" i="1"/>
  <c r="T5171" i="1"/>
  <c r="U5171" i="1"/>
  <c r="V5171" i="1"/>
  <c r="W5171" i="1"/>
  <c r="X5171" i="1"/>
  <c r="Y5171" i="1"/>
  <c r="Z5171" i="1"/>
  <c r="A5172" i="1"/>
  <c r="B5172" i="1"/>
  <c r="C5172" i="1"/>
  <c r="D5172" i="1"/>
  <c r="E5172" i="1"/>
  <c r="F5172" i="1"/>
  <c r="G5172" i="1"/>
  <c r="I5172" i="1"/>
  <c r="J5172" i="1"/>
  <c r="K5172" i="1"/>
  <c r="L5172" i="1"/>
  <c r="M5172" i="1"/>
  <c r="N5172" i="1"/>
  <c r="O5172" i="1"/>
  <c r="P5172" i="1"/>
  <c r="Q5172" i="1"/>
  <c r="R5172" i="1"/>
  <c r="S5172" i="1"/>
  <c r="T5172" i="1"/>
  <c r="U5172" i="1"/>
  <c r="V5172" i="1"/>
  <c r="W5172" i="1"/>
  <c r="X5172" i="1"/>
  <c r="Y5172" i="1"/>
  <c r="Z5172" i="1"/>
  <c r="A5173" i="1"/>
  <c r="B5173" i="1"/>
  <c r="C5173" i="1"/>
  <c r="D5173" i="1"/>
  <c r="E5173" i="1"/>
  <c r="F5173" i="1"/>
  <c r="G5173" i="1"/>
  <c r="I5173" i="1"/>
  <c r="J5173" i="1"/>
  <c r="K5173" i="1"/>
  <c r="L5173" i="1"/>
  <c r="M5173" i="1"/>
  <c r="N5173" i="1"/>
  <c r="O5173" i="1"/>
  <c r="P5173" i="1"/>
  <c r="Q5173" i="1"/>
  <c r="R5173" i="1"/>
  <c r="S5173" i="1"/>
  <c r="T5173" i="1"/>
  <c r="U5173" i="1"/>
  <c r="V5173" i="1"/>
  <c r="W5173" i="1"/>
  <c r="X5173" i="1"/>
  <c r="Y5173" i="1"/>
  <c r="Z5173" i="1"/>
  <c r="A5174" i="1"/>
  <c r="B5174" i="1"/>
  <c r="C5174" i="1"/>
  <c r="D5174" i="1"/>
  <c r="E5174" i="1"/>
  <c r="F5174" i="1"/>
  <c r="G5174" i="1"/>
  <c r="I5174" i="1"/>
  <c r="J5174" i="1"/>
  <c r="K5174" i="1"/>
  <c r="L5174" i="1"/>
  <c r="M5174" i="1"/>
  <c r="N5174" i="1"/>
  <c r="O5174" i="1"/>
  <c r="P5174" i="1"/>
  <c r="Q5174" i="1"/>
  <c r="R5174" i="1"/>
  <c r="S5174" i="1"/>
  <c r="T5174" i="1"/>
  <c r="U5174" i="1"/>
  <c r="V5174" i="1"/>
  <c r="W5174" i="1"/>
  <c r="X5174" i="1"/>
  <c r="Y5174" i="1"/>
  <c r="Z5174" i="1"/>
  <c r="A5175" i="1"/>
  <c r="B5175" i="1"/>
  <c r="C5175" i="1"/>
  <c r="D5175" i="1"/>
  <c r="E5175" i="1"/>
  <c r="F5175" i="1"/>
  <c r="G5175" i="1"/>
  <c r="I5175" i="1"/>
  <c r="J5175" i="1"/>
  <c r="K5175" i="1"/>
  <c r="L5175" i="1"/>
  <c r="M5175" i="1"/>
  <c r="N5175" i="1"/>
  <c r="O5175" i="1"/>
  <c r="P5175" i="1"/>
  <c r="Q5175" i="1"/>
  <c r="R5175" i="1"/>
  <c r="S5175" i="1"/>
  <c r="T5175" i="1"/>
  <c r="U5175" i="1"/>
  <c r="V5175" i="1"/>
  <c r="W5175" i="1"/>
  <c r="X5175" i="1"/>
  <c r="Y5175" i="1"/>
  <c r="Z5175" i="1"/>
  <c r="A5176" i="1"/>
  <c r="B5176" i="1"/>
  <c r="C5176" i="1"/>
  <c r="D5176" i="1"/>
  <c r="E5176" i="1"/>
  <c r="F5176" i="1"/>
  <c r="G5176" i="1"/>
  <c r="I5176" i="1"/>
  <c r="J5176" i="1"/>
  <c r="K5176" i="1"/>
  <c r="L5176" i="1"/>
  <c r="M5176" i="1"/>
  <c r="N5176" i="1"/>
  <c r="O5176" i="1"/>
  <c r="P5176" i="1"/>
  <c r="Q5176" i="1"/>
  <c r="R5176" i="1"/>
  <c r="S5176" i="1"/>
  <c r="T5176" i="1"/>
  <c r="U5176" i="1"/>
  <c r="V5176" i="1"/>
  <c r="W5176" i="1"/>
  <c r="X5176" i="1"/>
  <c r="Y5176" i="1"/>
  <c r="Z5176" i="1"/>
  <c r="A5177" i="1"/>
  <c r="B5177" i="1"/>
  <c r="C5177" i="1"/>
  <c r="D5177" i="1"/>
  <c r="E5177" i="1"/>
  <c r="F5177" i="1"/>
  <c r="G5177" i="1"/>
  <c r="I5177" i="1"/>
  <c r="J5177" i="1"/>
  <c r="K5177" i="1"/>
  <c r="L5177" i="1"/>
  <c r="M5177" i="1"/>
  <c r="N5177" i="1"/>
  <c r="O5177" i="1"/>
  <c r="P5177" i="1"/>
  <c r="Q5177" i="1"/>
  <c r="R5177" i="1"/>
  <c r="S5177" i="1"/>
  <c r="T5177" i="1"/>
  <c r="U5177" i="1"/>
  <c r="V5177" i="1"/>
  <c r="W5177" i="1"/>
  <c r="X5177" i="1"/>
  <c r="Y5177" i="1"/>
  <c r="Z5177" i="1"/>
  <c r="A5178" i="1"/>
  <c r="B5178" i="1"/>
  <c r="C5178" i="1"/>
  <c r="D5178" i="1"/>
  <c r="E5178" i="1"/>
  <c r="F5178" i="1"/>
  <c r="G5178" i="1"/>
  <c r="I5178" i="1"/>
  <c r="J5178" i="1"/>
  <c r="K5178" i="1"/>
  <c r="L5178" i="1"/>
  <c r="M5178" i="1"/>
  <c r="N5178" i="1"/>
  <c r="O5178" i="1"/>
  <c r="P5178" i="1"/>
  <c r="Q5178" i="1"/>
  <c r="R5178" i="1"/>
  <c r="S5178" i="1"/>
  <c r="T5178" i="1"/>
  <c r="U5178" i="1"/>
  <c r="V5178" i="1"/>
  <c r="W5178" i="1"/>
  <c r="X5178" i="1"/>
  <c r="Y5178" i="1"/>
  <c r="Z5178" i="1"/>
  <c r="A5179" i="1"/>
  <c r="B5179" i="1"/>
  <c r="C5179" i="1"/>
  <c r="D5179" i="1"/>
  <c r="E5179" i="1"/>
  <c r="F5179" i="1"/>
  <c r="G5179" i="1"/>
  <c r="I5179" i="1"/>
  <c r="J5179" i="1"/>
  <c r="K5179" i="1"/>
  <c r="L5179" i="1"/>
  <c r="M5179" i="1"/>
  <c r="N5179" i="1"/>
  <c r="O5179" i="1"/>
  <c r="P5179" i="1"/>
  <c r="Q5179" i="1"/>
  <c r="R5179" i="1"/>
  <c r="S5179" i="1"/>
  <c r="T5179" i="1"/>
  <c r="U5179" i="1"/>
  <c r="V5179" i="1"/>
  <c r="W5179" i="1"/>
  <c r="X5179" i="1"/>
  <c r="Y5179" i="1"/>
  <c r="Z5179" i="1"/>
  <c r="A5180" i="1"/>
  <c r="B5180" i="1"/>
  <c r="C5180" i="1"/>
  <c r="D5180" i="1"/>
  <c r="E5180" i="1"/>
  <c r="F5180" i="1"/>
  <c r="G5180" i="1"/>
  <c r="I5180" i="1"/>
  <c r="J5180" i="1"/>
  <c r="K5180" i="1"/>
  <c r="L5180" i="1"/>
  <c r="M5180" i="1"/>
  <c r="N5180" i="1"/>
  <c r="O5180" i="1"/>
  <c r="P5180" i="1"/>
  <c r="Q5180" i="1"/>
  <c r="R5180" i="1"/>
  <c r="S5180" i="1"/>
  <c r="T5180" i="1"/>
  <c r="U5180" i="1"/>
  <c r="V5180" i="1"/>
  <c r="W5180" i="1"/>
  <c r="X5180" i="1"/>
  <c r="Y5180" i="1"/>
  <c r="Z5180" i="1"/>
  <c r="A5181" i="1"/>
  <c r="B5181" i="1"/>
  <c r="C5181" i="1"/>
  <c r="D5181" i="1"/>
  <c r="E5181" i="1"/>
  <c r="F5181" i="1"/>
  <c r="G5181" i="1"/>
  <c r="I5181" i="1"/>
  <c r="J5181" i="1"/>
  <c r="K5181" i="1"/>
  <c r="L5181" i="1"/>
  <c r="M5181" i="1"/>
  <c r="N5181" i="1"/>
  <c r="O5181" i="1"/>
  <c r="P5181" i="1"/>
  <c r="Q5181" i="1"/>
  <c r="R5181" i="1"/>
  <c r="S5181" i="1"/>
  <c r="T5181" i="1"/>
  <c r="U5181" i="1"/>
  <c r="V5181" i="1"/>
  <c r="W5181" i="1"/>
  <c r="X5181" i="1"/>
  <c r="Y5181" i="1"/>
  <c r="Z5181" i="1"/>
  <c r="A5182" i="1"/>
  <c r="B5182" i="1"/>
  <c r="C5182" i="1"/>
  <c r="D5182" i="1"/>
  <c r="E5182" i="1"/>
  <c r="F5182" i="1"/>
  <c r="G5182" i="1"/>
  <c r="I5182" i="1"/>
  <c r="J5182" i="1"/>
  <c r="K5182" i="1"/>
  <c r="L5182" i="1"/>
  <c r="M5182" i="1"/>
  <c r="N5182" i="1"/>
  <c r="O5182" i="1"/>
  <c r="P5182" i="1"/>
  <c r="Q5182" i="1"/>
  <c r="R5182" i="1"/>
  <c r="S5182" i="1"/>
  <c r="T5182" i="1"/>
  <c r="U5182" i="1"/>
  <c r="V5182" i="1"/>
  <c r="W5182" i="1"/>
  <c r="X5182" i="1"/>
  <c r="Y5182" i="1"/>
  <c r="Z5182" i="1"/>
  <c r="A5183" i="1"/>
  <c r="B5183" i="1"/>
  <c r="C5183" i="1"/>
  <c r="D5183" i="1"/>
  <c r="E5183" i="1"/>
  <c r="F5183" i="1"/>
  <c r="G5183" i="1"/>
  <c r="I5183" i="1"/>
  <c r="J5183" i="1"/>
  <c r="K5183" i="1"/>
  <c r="L5183" i="1"/>
  <c r="M5183" i="1"/>
  <c r="N5183" i="1"/>
  <c r="O5183" i="1"/>
  <c r="P5183" i="1"/>
  <c r="Q5183" i="1"/>
  <c r="R5183" i="1"/>
  <c r="S5183" i="1"/>
  <c r="T5183" i="1"/>
  <c r="U5183" i="1"/>
  <c r="V5183" i="1"/>
  <c r="W5183" i="1"/>
  <c r="X5183" i="1"/>
  <c r="Y5183" i="1"/>
  <c r="Z5183" i="1"/>
  <c r="A5184" i="1"/>
  <c r="B5184" i="1"/>
  <c r="C5184" i="1"/>
  <c r="D5184" i="1"/>
  <c r="E5184" i="1"/>
  <c r="F5184" i="1"/>
  <c r="G5184" i="1"/>
  <c r="I5184" i="1"/>
  <c r="J5184" i="1"/>
  <c r="K5184" i="1"/>
  <c r="L5184" i="1"/>
  <c r="M5184" i="1"/>
  <c r="N5184" i="1"/>
  <c r="O5184" i="1"/>
  <c r="P5184" i="1"/>
  <c r="Q5184" i="1"/>
  <c r="R5184" i="1"/>
  <c r="S5184" i="1"/>
  <c r="T5184" i="1"/>
  <c r="U5184" i="1"/>
  <c r="V5184" i="1"/>
  <c r="W5184" i="1"/>
  <c r="X5184" i="1"/>
  <c r="Y5184" i="1"/>
  <c r="Z5184" i="1"/>
  <c r="A5185" i="1"/>
  <c r="B5185" i="1"/>
  <c r="C5185" i="1"/>
  <c r="D5185" i="1"/>
  <c r="E5185" i="1"/>
  <c r="F5185" i="1"/>
  <c r="G5185" i="1"/>
  <c r="I5185" i="1"/>
  <c r="J5185" i="1"/>
  <c r="K5185" i="1"/>
  <c r="L5185" i="1"/>
  <c r="M5185" i="1"/>
  <c r="N5185" i="1"/>
  <c r="O5185" i="1"/>
  <c r="P5185" i="1"/>
  <c r="Q5185" i="1"/>
  <c r="R5185" i="1"/>
  <c r="S5185" i="1"/>
  <c r="T5185" i="1"/>
  <c r="U5185" i="1"/>
  <c r="V5185" i="1"/>
  <c r="W5185" i="1"/>
  <c r="X5185" i="1"/>
  <c r="Y5185" i="1"/>
  <c r="Z5185" i="1"/>
  <c r="A5186" i="1"/>
  <c r="B5186" i="1"/>
  <c r="C5186" i="1"/>
  <c r="D5186" i="1"/>
  <c r="E5186" i="1"/>
  <c r="F5186" i="1"/>
  <c r="G5186" i="1"/>
  <c r="I5186" i="1"/>
  <c r="J5186" i="1"/>
  <c r="K5186" i="1"/>
  <c r="L5186" i="1"/>
  <c r="M5186" i="1"/>
  <c r="N5186" i="1"/>
  <c r="O5186" i="1"/>
  <c r="P5186" i="1"/>
  <c r="Q5186" i="1"/>
  <c r="R5186" i="1"/>
  <c r="S5186" i="1"/>
  <c r="T5186" i="1"/>
  <c r="U5186" i="1"/>
  <c r="V5186" i="1"/>
  <c r="W5186" i="1"/>
  <c r="X5186" i="1"/>
  <c r="Y5186" i="1"/>
  <c r="Z5186" i="1"/>
  <c r="A5187" i="1"/>
  <c r="B5187" i="1"/>
  <c r="C5187" i="1"/>
  <c r="D5187" i="1"/>
  <c r="E5187" i="1"/>
  <c r="F5187" i="1"/>
  <c r="G5187" i="1"/>
  <c r="I5187" i="1"/>
  <c r="J5187" i="1"/>
  <c r="K5187" i="1"/>
  <c r="L5187" i="1"/>
  <c r="M5187" i="1"/>
  <c r="N5187" i="1"/>
  <c r="O5187" i="1"/>
  <c r="P5187" i="1"/>
  <c r="Q5187" i="1"/>
  <c r="R5187" i="1"/>
  <c r="S5187" i="1"/>
  <c r="T5187" i="1"/>
  <c r="U5187" i="1"/>
  <c r="V5187" i="1"/>
  <c r="W5187" i="1"/>
  <c r="X5187" i="1"/>
  <c r="Y5187" i="1"/>
  <c r="Z5187" i="1"/>
  <c r="A5188" i="1"/>
  <c r="B5188" i="1"/>
  <c r="C5188" i="1"/>
  <c r="D5188" i="1"/>
  <c r="E5188" i="1"/>
  <c r="F5188" i="1"/>
  <c r="G5188" i="1"/>
  <c r="I5188" i="1"/>
  <c r="J5188" i="1"/>
  <c r="K5188" i="1"/>
  <c r="L5188" i="1"/>
  <c r="M5188" i="1"/>
  <c r="N5188" i="1"/>
  <c r="O5188" i="1"/>
  <c r="P5188" i="1"/>
  <c r="Q5188" i="1"/>
  <c r="R5188" i="1"/>
  <c r="S5188" i="1"/>
  <c r="T5188" i="1"/>
  <c r="U5188" i="1"/>
  <c r="V5188" i="1"/>
  <c r="W5188" i="1"/>
  <c r="X5188" i="1"/>
  <c r="Y5188" i="1"/>
  <c r="Z5188" i="1"/>
  <c r="A5189" i="1"/>
  <c r="B5189" i="1"/>
  <c r="C5189" i="1"/>
  <c r="D5189" i="1"/>
  <c r="E5189" i="1"/>
  <c r="F5189" i="1"/>
  <c r="G5189" i="1"/>
  <c r="I5189" i="1"/>
  <c r="J5189" i="1"/>
  <c r="K5189" i="1"/>
  <c r="L5189" i="1"/>
  <c r="M5189" i="1"/>
  <c r="N5189" i="1"/>
  <c r="O5189" i="1"/>
  <c r="P5189" i="1"/>
  <c r="Q5189" i="1"/>
  <c r="R5189" i="1"/>
  <c r="S5189" i="1"/>
  <c r="T5189" i="1"/>
  <c r="U5189" i="1"/>
  <c r="V5189" i="1"/>
  <c r="W5189" i="1"/>
  <c r="X5189" i="1"/>
  <c r="Y5189" i="1"/>
  <c r="Z5189" i="1"/>
  <c r="A5190" i="1"/>
  <c r="B5190" i="1"/>
  <c r="C5190" i="1"/>
  <c r="D5190" i="1"/>
  <c r="E5190" i="1"/>
  <c r="F5190" i="1"/>
  <c r="G5190" i="1"/>
  <c r="I5190" i="1"/>
  <c r="J5190" i="1"/>
  <c r="K5190" i="1"/>
  <c r="L5190" i="1"/>
  <c r="M5190" i="1"/>
  <c r="N5190" i="1"/>
  <c r="O5190" i="1"/>
  <c r="P5190" i="1"/>
  <c r="Q5190" i="1"/>
  <c r="R5190" i="1"/>
  <c r="S5190" i="1"/>
  <c r="T5190" i="1"/>
  <c r="U5190" i="1"/>
  <c r="V5190" i="1"/>
  <c r="W5190" i="1"/>
  <c r="X5190" i="1"/>
  <c r="Y5190" i="1"/>
  <c r="Z5190" i="1"/>
  <c r="A5191" i="1"/>
  <c r="B5191" i="1"/>
  <c r="C5191" i="1"/>
  <c r="D5191" i="1"/>
  <c r="E5191" i="1"/>
  <c r="F5191" i="1"/>
  <c r="G5191" i="1"/>
  <c r="I5191" i="1"/>
  <c r="J5191" i="1"/>
  <c r="K5191" i="1"/>
  <c r="L5191" i="1"/>
  <c r="M5191" i="1"/>
  <c r="N5191" i="1"/>
  <c r="O5191" i="1"/>
  <c r="P5191" i="1"/>
  <c r="Q5191" i="1"/>
  <c r="R5191" i="1"/>
  <c r="S5191" i="1"/>
  <c r="T5191" i="1"/>
  <c r="U5191" i="1"/>
  <c r="V5191" i="1"/>
  <c r="W5191" i="1"/>
  <c r="X5191" i="1"/>
  <c r="Y5191" i="1"/>
  <c r="Z5191" i="1"/>
  <c r="A5192" i="1"/>
  <c r="B5192" i="1"/>
  <c r="C5192" i="1"/>
  <c r="D5192" i="1"/>
  <c r="E5192" i="1"/>
  <c r="F5192" i="1"/>
  <c r="G5192" i="1"/>
  <c r="I5192" i="1"/>
  <c r="J5192" i="1"/>
  <c r="K5192" i="1"/>
  <c r="L5192" i="1"/>
  <c r="M5192" i="1"/>
  <c r="N5192" i="1"/>
  <c r="O5192" i="1"/>
  <c r="P5192" i="1"/>
  <c r="Q5192" i="1"/>
  <c r="R5192" i="1"/>
  <c r="S5192" i="1"/>
  <c r="T5192" i="1"/>
  <c r="U5192" i="1"/>
  <c r="V5192" i="1"/>
  <c r="W5192" i="1"/>
  <c r="X5192" i="1"/>
  <c r="Y5192" i="1"/>
  <c r="Z5192" i="1"/>
  <c r="A5193" i="1"/>
  <c r="B5193" i="1"/>
  <c r="C5193" i="1"/>
  <c r="D5193" i="1"/>
  <c r="E5193" i="1"/>
  <c r="F5193" i="1"/>
  <c r="G5193" i="1"/>
  <c r="I5193" i="1"/>
  <c r="J5193" i="1"/>
  <c r="K5193" i="1"/>
  <c r="L5193" i="1"/>
  <c r="M5193" i="1"/>
  <c r="N5193" i="1"/>
  <c r="O5193" i="1"/>
  <c r="P5193" i="1"/>
  <c r="Q5193" i="1"/>
  <c r="R5193" i="1"/>
  <c r="S5193" i="1"/>
  <c r="T5193" i="1"/>
  <c r="U5193" i="1"/>
  <c r="V5193" i="1"/>
  <c r="W5193" i="1"/>
  <c r="X5193" i="1"/>
  <c r="Y5193" i="1"/>
  <c r="Z5193" i="1"/>
  <c r="A5194" i="1"/>
  <c r="B5194" i="1"/>
  <c r="C5194" i="1"/>
  <c r="D5194" i="1"/>
  <c r="E5194" i="1"/>
  <c r="F5194" i="1"/>
  <c r="G5194" i="1"/>
  <c r="I5194" i="1"/>
  <c r="J5194" i="1"/>
  <c r="K5194" i="1"/>
  <c r="L5194" i="1"/>
  <c r="M5194" i="1"/>
  <c r="N5194" i="1"/>
  <c r="O5194" i="1"/>
  <c r="P5194" i="1"/>
  <c r="Q5194" i="1"/>
  <c r="R5194" i="1"/>
  <c r="S5194" i="1"/>
  <c r="T5194" i="1"/>
  <c r="U5194" i="1"/>
  <c r="V5194" i="1"/>
  <c r="W5194" i="1"/>
  <c r="X5194" i="1"/>
  <c r="Y5194" i="1"/>
  <c r="Z5194" i="1"/>
  <c r="A5195" i="1"/>
  <c r="B5195" i="1"/>
  <c r="C5195" i="1"/>
  <c r="D5195" i="1"/>
  <c r="E5195" i="1"/>
  <c r="F5195" i="1"/>
  <c r="G5195" i="1"/>
  <c r="I5195" i="1"/>
  <c r="J5195" i="1"/>
  <c r="K5195" i="1"/>
  <c r="L5195" i="1"/>
  <c r="M5195" i="1"/>
  <c r="N5195" i="1"/>
  <c r="O5195" i="1"/>
  <c r="P5195" i="1"/>
  <c r="Q5195" i="1"/>
  <c r="R5195" i="1"/>
  <c r="S5195" i="1"/>
  <c r="T5195" i="1"/>
  <c r="U5195" i="1"/>
  <c r="V5195" i="1"/>
  <c r="W5195" i="1"/>
  <c r="X5195" i="1"/>
  <c r="Y5195" i="1"/>
  <c r="Z5195" i="1"/>
  <c r="A5196" i="1"/>
  <c r="B5196" i="1"/>
  <c r="C5196" i="1"/>
  <c r="D5196" i="1"/>
  <c r="E5196" i="1"/>
  <c r="F5196" i="1"/>
  <c r="G5196" i="1"/>
  <c r="I5196" i="1"/>
  <c r="J5196" i="1"/>
  <c r="K5196" i="1"/>
  <c r="L5196" i="1"/>
  <c r="M5196" i="1"/>
  <c r="N5196" i="1"/>
  <c r="O5196" i="1"/>
  <c r="P5196" i="1"/>
  <c r="Q5196" i="1"/>
  <c r="R5196" i="1"/>
  <c r="S5196" i="1"/>
  <c r="T5196" i="1"/>
  <c r="U5196" i="1"/>
  <c r="V5196" i="1"/>
  <c r="W5196" i="1"/>
  <c r="X5196" i="1"/>
  <c r="Y5196" i="1"/>
  <c r="Z5196" i="1"/>
  <c r="A5197" i="1"/>
  <c r="B5197" i="1"/>
  <c r="C5197" i="1"/>
  <c r="D5197" i="1"/>
  <c r="E5197" i="1"/>
  <c r="F5197" i="1"/>
  <c r="G5197" i="1"/>
  <c r="I5197" i="1"/>
  <c r="J5197" i="1"/>
  <c r="K5197" i="1"/>
  <c r="L5197" i="1"/>
  <c r="M5197" i="1"/>
  <c r="N5197" i="1"/>
  <c r="O5197" i="1"/>
  <c r="P5197" i="1"/>
  <c r="Q5197" i="1"/>
  <c r="R5197" i="1"/>
  <c r="S5197" i="1"/>
  <c r="T5197" i="1"/>
  <c r="U5197" i="1"/>
  <c r="V5197" i="1"/>
  <c r="W5197" i="1"/>
  <c r="X5197" i="1"/>
  <c r="Y5197" i="1"/>
  <c r="Z5197" i="1"/>
  <c r="A5198" i="1"/>
  <c r="B5198" i="1"/>
  <c r="C5198" i="1"/>
  <c r="D5198" i="1"/>
  <c r="E5198" i="1"/>
  <c r="F5198" i="1"/>
  <c r="G5198" i="1"/>
  <c r="I5198" i="1"/>
  <c r="J5198" i="1"/>
  <c r="K5198" i="1"/>
  <c r="L5198" i="1"/>
  <c r="M5198" i="1"/>
  <c r="N5198" i="1"/>
  <c r="O5198" i="1"/>
  <c r="P5198" i="1"/>
  <c r="Q5198" i="1"/>
  <c r="R5198" i="1"/>
  <c r="S5198" i="1"/>
  <c r="T5198" i="1"/>
  <c r="U5198" i="1"/>
  <c r="V5198" i="1"/>
  <c r="W5198" i="1"/>
  <c r="X5198" i="1"/>
  <c r="Y5198" i="1"/>
  <c r="Z5198" i="1"/>
  <c r="A5199" i="1"/>
  <c r="B5199" i="1"/>
  <c r="C5199" i="1"/>
  <c r="D5199" i="1"/>
  <c r="E5199" i="1"/>
  <c r="F5199" i="1"/>
  <c r="G5199" i="1"/>
  <c r="I5199" i="1"/>
  <c r="J5199" i="1"/>
  <c r="K5199" i="1"/>
  <c r="L5199" i="1"/>
  <c r="M5199" i="1"/>
  <c r="N5199" i="1"/>
  <c r="O5199" i="1"/>
  <c r="P5199" i="1"/>
  <c r="Q5199" i="1"/>
  <c r="R5199" i="1"/>
  <c r="S5199" i="1"/>
  <c r="T5199" i="1"/>
  <c r="U5199" i="1"/>
  <c r="V5199" i="1"/>
  <c r="W5199" i="1"/>
  <c r="X5199" i="1"/>
  <c r="Y5199" i="1"/>
  <c r="Z5199" i="1"/>
  <c r="A5200" i="1"/>
  <c r="B5200" i="1"/>
  <c r="C5200" i="1"/>
  <c r="D5200" i="1"/>
  <c r="E5200" i="1"/>
  <c r="F5200" i="1"/>
  <c r="G5200" i="1"/>
  <c r="I5200" i="1"/>
  <c r="J5200" i="1"/>
  <c r="K5200" i="1"/>
  <c r="L5200" i="1"/>
  <c r="M5200" i="1"/>
  <c r="N5200" i="1"/>
  <c r="O5200" i="1"/>
  <c r="P5200" i="1"/>
  <c r="Q5200" i="1"/>
  <c r="R5200" i="1"/>
  <c r="S5200" i="1"/>
  <c r="T5200" i="1"/>
  <c r="U5200" i="1"/>
  <c r="V5200" i="1"/>
  <c r="W5200" i="1"/>
  <c r="X5200" i="1"/>
  <c r="Y5200" i="1"/>
  <c r="Z5200" i="1"/>
  <c r="A5201" i="1"/>
  <c r="B5201" i="1"/>
  <c r="C5201" i="1"/>
  <c r="D5201" i="1"/>
  <c r="E5201" i="1"/>
  <c r="F5201" i="1"/>
  <c r="G5201" i="1"/>
  <c r="I5201" i="1"/>
  <c r="J5201" i="1"/>
  <c r="K5201" i="1"/>
  <c r="L5201" i="1"/>
  <c r="M5201" i="1"/>
  <c r="N5201" i="1"/>
  <c r="O5201" i="1"/>
  <c r="P5201" i="1"/>
  <c r="Q5201" i="1"/>
  <c r="R5201" i="1"/>
  <c r="S5201" i="1"/>
  <c r="T5201" i="1"/>
  <c r="U5201" i="1"/>
  <c r="V5201" i="1"/>
  <c r="W5201" i="1"/>
  <c r="X5201" i="1"/>
  <c r="Y5201" i="1"/>
  <c r="Z5201" i="1"/>
  <c r="A5202" i="1"/>
  <c r="B5202" i="1"/>
  <c r="C5202" i="1"/>
  <c r="D5202" i="1"/>
  <c r="E5202" i="1"/>
  <c r="F5202" i="1"/>
  <c r="G5202" i="1"/>
  <c r="I5202" i="1"/>
  <c r="J5202" i="1"/>
  <c r="K5202" i="1"/>
  <c r="L5202" i="1"/>
  <c r="M5202" i="1"/>
  <c r="N5202" i="1"/>
  <c r="O5202" i="1"/>
  <c r="P5202" i="1"/>
  <c r="Q5202" i="1"/>
  <c r="R5202" i="1"/>
  <c r="S5202" i="1"/>
  <c r="T5202" i="1"/>
  <c r="U5202" i="1"/>
  <c r="V5202" i="1"/>
  <c r="W5202" i="1"/>
  <c r="X5202" i="1"/>
  <c r="Y5202" i="1"/>
  <c r="Z5202" i="1"/>
  <c r="A5203" i="1"/>
  <c r="B5203" i="1"/>
  <c r="C5203" i="1"/>
  <c r="D5203" i="1"/>
  <c r="E5203" i="1"/>
  <c r="F5203" i="1"/>
  <c r="G5203" i="1"/>
  <c r="I5203" i="1"/>
  <c r="J5203" i="1"/>
  <c r="K5203" i="1"/>
  <c r="L5203" i="1"/>
  <c r="M5203" i="1"/>
  <c r="N5203" i="1"/>
  <c r="O5203" i="1"/>
  <c r="P5203" i="1"/>
  <c r="Q5203" i="1"/>
  <c r="R5203" i="1"/>
  <c r="S5203" i="1"/>
  <c r="T5203" i="1"/>
  <c r="U5203" i="1"/>
  <c r="V5203" i="1"/>
  <c r="W5203" i="1"/>
  <c r="X5203" i="1"/>
  <c r="Y5203" i="1"/>
  <c r="Z5203" i="1"/>
  <c r="A5204" i="1"/>
  <c r="B5204" i="1"/>
  <c r="C5204" i="1"/>
  <c r="D5204" i="1"/>
  <c r="E5204" i="1"/>
  <c r="F5204" i="1"/>
  <c r="G5204" i="1"/>
  <c r="I5204" i="1"/>
  <c r="J5204" i="1"/>
  <c r="K5204" i="1"/>
  <c r="L5204" i="1"/>
  <c r="M5204" i="1"/>
  <c r="N5204" i="1"/>
  <c r="O5204" i="1"/>
  <c r="P5204" i="1"/>
  <c r="Q5204" i="1"/>
  <c r="R5204" i="1"/>
  <c r="S5204" i="1"/>
  <c r="T5204" i="1"/>
  <c r="U5204" i="1"/>
  <c r="V5204" i="1"/>
  <c r="W5204" i="1"/>
  <c r="X5204" i="1"/>
  <c r="Y5204" i="1"/>
  <c r="Z5204" i="1"/>
  <c r="A5205" i="1"/>
  <c r="B5205" i="1"/>
  <c r="C5205" i="1"/>
  <c r="D5205" i="1"/>
  <c r="E5205" i="1"/>
  <c r="F5205" i="1"/>
  <c r="G5205" i="1"/>
  <c r="I5205" i="1"/>
  <c r="J5205" i="1"/>
  <c r="K5205" i="1"/>
  <c r="L5205" i="1"/>
  <c r="M5205" i="1"/>
  <c r="N5205" i="1"/>
  <c r="O5205" i="1"/>
  <c r="P5205" i="1"/>
  <c r="Q5205" i="1"/>
  <c r="R5205" i="1"/>
  <c r="S5205" i="1"/>
  <c r="T5205" i="1"/>
  <c r="U5205" i="1"/>
  <c r="V5205" i="1"/>
  <c r="W5205" i="1"/>
  <c r="X5205" i="1"/>
  <c r="Y5205" i="1"/>
  <c r="Z5205" i="1"/>
  <c r="A5206" i="1"/>
  <c r="B5206" i="1"/>
  <c r="C5206" i="1"/>
  <c r="D5206" i="1"/>
  <c r="E5206" i="1"/>
  <c r="F5206" i="1"/>
  <c r="G5206" i="1"/>
  <c r="I5206" i="1"/>
  <c r="J5206" i="1"/>
  <c r="K5206" i="1"/>
  <c r="L5206" i="1"/>
  <c r="M5206" i="1"/>
  <c r="N5206" i="1"/>
  <c r="O5206" i="1"/>
  <c r="P5206" i="1"/>
  <c r="Q5206" i="1"/>
  <c r="R5206" i="1"/>
  <c r="S5206" i="1"/>
  <c r="T5206" i="1"/>
  <c r="U5206" i="1"/>
  <c r="V5206" i="1"/>
  <c r="W5206" i="1"/>
  <c r="X5206" i="1"/>
  <c r="Y5206" i="1"/>
  <c r="Z5206" i="1"/>
  <c r="A5207" i="1"/>
  <c r="B5207" i="1"/>
  <c r="C5207" i="1"/>
  <c r="D5207" i="1"/>
  <c r="E5207" i="1"/>
  <c r="F5207" i="1"/>
  <c r="G5207" i="1"/>
  <c r="I5207" i="1"/>
  <c r="J5207" i="1"/>
  <c r="K5207" i="1"/>
  <c r="L5207" i="1"/>
  <c r="M5207" i="1"/>
  <c r="N5207" i="1"/>
  <c r="O5207" i="1"/>
  <c r="P5207" i="1"/>
  <c r="Q5207" i="1"/>
  <c r="R5207" i="1"/>
  <c r="S5207" i="1"/>
  <c r="T5207" i="1"/>
  <c r="U5207" i="1"/>
  <c r="V5207" i="1"/>
  <c r="W5207" i="1"/>
  <c r="X5207" i="1"/>
  <c r="Y5207" i="1"/>
  <c r="Z5207" i="1"/>
  <c r="A5208" i="1"/>
  <c r="B5208" i="1"/>
  <c r="C5208" i="1"/>
  <c r="D5208" i="1"/>
  <c r="E5208" i="1"/>
  <c r="F5208" i="1"/>
  <c r="G5208" i="1"/>
  <c r="I5208" i="1"/>
  <c r="J5208" i="1"/>
  <c r="K5208" i="1"/>
  <c r="L5208" i="1"/>
  <c r="M5208" i="1"/>
  <c r="N5208" i="1"/>
  <c r="O5208" i="1"/>
  <c r="P5208" i="1"/>
  <c r="Q5208" i="1"/>
  <c r="R5208" i="1"/>
  <c r="S5208" i="1"/>
  <c r="T5208" i="1"/>
  <c r="U5208" i="1"/>
  <c r="V5208" i="1"/>
  <c r="W5208" i="1"/>
  <c r="X5208" i="1"/>
  <c r="Y5208" i="1"/>
  <c r="Z5208" i="1"/>
  <c r="A5209" i="1"/>
  <c r="B5209" i="1"/>
  <c r="C5209" i="1"/>
  <c r="D5209" i="1"/>
  <c r="E5209" i="1"/>
  <c r="F5209" i="1"/>
  <c r="G5209" i="1"/>
  <c r="I5209" i="1"/>
  <c r="J5209" i="1"/>
  <c r="K5209" i="1"/>
  <c r="L5209" i="1"/>
  <c r="M5209" i="1"/>
  <c r="N5209" i="1"/>
  <c r="O5209" i="1"/>
  <c r="P5209" i="1"/>
  <c r="Q5209" i="1"/>
  <c r="R5209" i="1"/>
  <c r="S5209" i="1"/>
  <c r="T5209" i="1"/>
  <c r="U5209" i="1"/>
  <c r="V5209" i="1"/>
  <c r="W5209" i="1"/>
  <c r="X5209" i="1"/>
  <c r="Y5209" i="1"/>
  <c r="Z5209" i="1"/>
  <c r="A5210" i="1"/>
  <c r="B5210" i="1"/>
  <c r="C5210" i="1"/>
  <c r="D5210" i="1"/>
  <c r="E5210" i="1"/>
  <c r="F5210" i="1"/>
  <c r="G5210" i="1"/>
  <c r="I5210" i="1"/>
  <c r="J5210" i="1"/>
  <c r="K5210" i="1"/>
  <c r="L5210" i="1"/>
  <c r="M5210" i="1"/>
  <c r="N5210" i="1"/>
  <c r="O5210" i="1"/>
  <c r="P5210" i="1"/>
  <c r="Q5210" i="1"/>
  <c r="R5210" i="1"/>
  <c r="S5210" i="1"/>
  <c r="T5210" i="1"/>
  <c r="U5210" i="1"/>
  <c r="V5210" i="1"/>
  <c r="W5210" i="1"/>
  <c r="X5210" i="1"/>
  <c r="Y5210" i="1"/>
  <c r="Z5210" i="1"/>
  <c r="A5211" i="1"/>
  <c r="B5211" i="1"/>
  <c r="C5211" i="1"/>
  <c r="D5211" i="1"/>
  <c r="E5211" i="1"/>
  <c r="F5211" i="1"/>
  <c r="G5211" i="1"/>
  <c r="I5211" i="1"/>
  <c r="J5211" i="1"/>
  <c r="K5211" i="1"/>
  <c r="L5211" i="1"/>
  <c r="M5211" i="1"/>
  <c r="N5211" i="1"/>
  <c r="O5211" i="1"/>
  <c r="P5211" i="1"/>
  <c r="Q5211" i="1"/>
  <c r="R5211" i="1"/>
  <c r="S5211" i="1"/>
  <c r="T5211" i="1"/>
  <c r="U5211" i="1"/>
  <c r="V5211" i="1"/>
  <c r="W5211" i="1"/>
  <c r="X5211" i="1"/>
  <c r="Y5211" i="1"/>
  <c r="Z5211" i="1"/>
  <c r="A5212" i="1"/>
  <c r="B5212" i="1"/>
  <c r="C5212" i="1"/>
  <c r="D5212" i="1"/>
  <c r="E5212" i="1"/>
  <c r="F5212" i="1"/>
  <c r="G5212" i="1"/>
  <c r="I5212" i="1"/>
  <c r="J5212" i="1"/>
  <c r="K5212" i="1"/>
  <c r="L5212" i="1"/>
  <c r="M5212" i="1"/>
  <c r="N5212" i="1"/>
  <c r="O5212" i="1"/>
  <c r="P5212" i="1"/>
  <c r="Q5212" i="1"/>
  <c r="R5212" i="1"/>
  <c r="S5212" i="1"/>
  <c r="T5212" i="1"/>
  <c r="U5212" i="1"/>
  <c r="V5212" i="1"/>
  <c r="W5212" i="1"/>
  <c r="X5212" i="1"/>
  <c r="Y5212" i="1"/>
  <c r="Z5212" i="1"/>
  <c r="A5213" i="1"/>
  <c r="B5213" i="1"/>
  <c r="C5213" i="1"/>
  <c r="D5213" i="1"/>
  <c r="E5213" i="1"/>
  <c r="F5213" i="1"/>
  <c r="G5213" i="1"/>
  <c r="I5213" i="1"/>
  <c r="J5213" i="1"/>
  <c r="K5213" i="1"/>
  <c r="L5213" i="1"/>
  <c r="M5213" i="1"/>
  <c r="N5213" i="1"/>
  <c r="O5213" i="1"/>
  <c r="P5213" i="1"/>
  <c r="Q5213" i="1"/>
  <c r="R5213" i="1"/>
  <c r="S5213" i="1"/>
  <c r="T5213" i="1"/>
  <c r="U5213" i="1"/>
  <c r="V5213" i="1"/>
  <c r="W5213" i="1"/>
  <c r="X5213" i="1"/>
  <c r="Y5213" i="1"/>
  <c r="Z5213" i="1"/>
  <c r="A5214" i="1"/>
  <c r="B5214" i="1"/>
  <c r="C5214" i="1"/>
  <c r="D5214" i="1"/>
  <c r="E5214" i="1"/>
  <c r="F5214" i="1"/>
  <c r="G5214" i="1"/>
  <c r="I5214" i="1"/>
  <c r="J5214" i="1"/>
  <c r="K5214" i="1"/>
  <c r="L5214" i="1"/>
  <c r="M5214" i="1"/>
  <c r="N5214" i="1"/>
  <c r="O5214" i="1"/>
  <c r="P5214" i="1"/>
  <c r="Q5214" i="1"/>
  <c r="R5214" i="1"/>
  <c r="S5214" i="1"/>
  <c r="T5214" i="1"/>
  <c r="U5214" i="1"/>
  <c r="V5214" i="1"/>
  <c r="W5214" i="1"/>
  <c r="X5214" i="1"/>
  <c r="Y5214" i="1"/>
  <c r="Z5214" i="1"/>
  <c r="A5215" i="1"/>
  <c r="B5215" i="1"/>
  <c r="C5215" i="1"/>
  <c r="D5215" i="1"/>
  <c r="E5215" i="1"/>
  <c r="F5215" i="1"/>
  <c r="G5215" i="1"/>
  <c r="I5215" i="1"/>
  <c r="J5215" i="1"/>
  <c r="K5215" i="1"/>
  <c r="L5215" i="1"/>
  <c r="M5215" i="1"/>
  <c r="N5215" i="1"/>
  <c r="O5215" i="1"/>
  <c r="P5215" i="1"/>
  <c r="Q5215" i="1"/>
  <c r="R5215" i="1"/>
  <c r="S5215" i="1"/>
  <c r="T5215" i="1"/>
  <c r="U5215" i="1"/>
  <c r="V5215" i="1"/>
  <c r="W5215" i="1"/>
  <c r="X5215" i="1"/>
  <c r="Y5215" i="1"/>
  <c r="Z5215" i="1"/>
  <c r="A5216" i="1"/>
  <c r="B5216" i="1"/>
  <c r="C5216" i="1"/>
  <c r="D5216" i="1"/>
  <c r="E5216" i="1"/>
  <c r="F5216" i="1"/>
  <c r="G5216" i="1"/>
  <c r="I5216" i="1"/>
  <c r="J5216" i="1"/>
  <c r="K5216" i="1"/>
  <c r="L5216" i="1"/>
  <c r="M5216" i="1"/>
  <c r="N5216" i="1"/>
  <c r="O5216" i="1"/>
  <c r="P5216" i="1"/>
  <c r="Q5216" i="1"/>
  <c r="R5216" i="1"/>
  <c r="S5216" i="1"/>
  <c r="T5216" i="1"/>
  <c r="U5216" i="1"/>
  <c r="V5216" i="1"/>
  <c r="W5216" i="1"/>
  <c r="X5216" i="1"/>
  <c r="Y5216" i="1"/>
  <c r="Z5216" i="1"/>
  <c r="A5217" i="1"/>
  <c r="B5217" i="1"/>
  <c r="C5217" i="1"/>
  <c r="D5217" i="1"/>
  <c r="E5217" i="1"/>
  <c r="F5217" i="1"/>
  <c r="G5217" i="1"/>
  <c r="I5217" i="1"/>
  <c r="J5217" i="1"/>
  <c r="K5217" i="1"/>
  <c r="L5217" i="1"/>
  <c r="M5217" i="1"/>
  <c r="N5217" i="1"/>
  <c r="O5217" i="1"/>
  <c r="P5217" i="1"/>
  <c r="Q5217" i="1"/>
  <c r="R5217" i="1"/>
  <c r="S5217" i="1"/>
  <c r="T5217" i="1"/>
  <c r="U5217" i="1"/>
  <c r="V5217" i="1"/>
  <c r="W5217" i="1"/>
  <c r="X5217" i="1"/>
  <c r="Y5217" i="1"/>
  <c r="Z5217" i="1"/>
  <c r="A5218" i="1"/>
  <c r="B5218" i="1"/>
  <c r="C5218" i="1"/>
  <c r="D5218" i="1"/>
  <c r="E5218" i="1"/>
  <c r="F5218" i="1"/>
  <c r="G5218" i="1"/>
  <c r="I5218" i="1"/>
  <c r="J5218" i="1"/>
  <c r="K5218" i="1"/>
  <c r="L5218" i="1"/>
  <c r="M5218" i="1"/>
  <c r="N5218" i="1"/>
  <c r="O5218" i="1"/>
  <c r="P5218" i="1"/>
  <c r="Q5218" i="1"/>
  <c r="R5218" i="1"/>
  <c r="S5218" i="1"/>
  <c r="T5218" i="1"/>
  <c r="U5218" i="1"/>
  <c r="V5218" i="1"/>
  <c r="W5218" i="1"/>
  <c r="X5218" i="1"/>
  <c r="Y5218" i="1"/>
  <c r="Z5218" i="1"/>
  <c r="A5219" i="1"/>
  <c r="B5219" i="1"/>
  <c r="C5219" i="1"/>
  <c r="D5219" i="1"/>
  <c r="E5219" i="1"/>
  <c r="F5219" i="1"/>
  <c r="G5219" i="1"/>
  <c r="I5219" i="1"/>
  <c r="J5219" i="1"/>
  <c r="K5219" i="1"/>
  <c r="L5219" i="1"/>
  <c r="M5219" i="1"/>
  <c r="N5219" i="1"/>
  <c r="O5219" i="1"/>
  <c r="P5219" i="1"/>
  <c r="Q5219" i="1"/>
  <c r="R5219" i="1"/>
  <c r="S5219" i="1"/>
  <c r="T5219" i="1"/>
  <c r="U5219" i="1"/>
  <c r="V5219" i="1"/>
  <c r="W5219" i="1"/>
  <c r="X5219" i="1"/>
  <c r="Y5219" i="1"/>
  <c r="Z5219" i="1"/>
  <c r="A5220" i="1"/>
  <c r="B5220" i="1"/>
  <c r="C5220" i="1"/>
  <c r="D5220" i="1"/>
  <c r="E5220" i="1"/>
  <c r="F5220" i="1"/>
  <c r="G5220" i="1"/>
  <c r="I5220" i="1"/>
  <c r="J5220" i="1"/>
  <c r="K5220" i="1"/>
  <c r="L5220" i="1"/>
  <c r="M5220" i="1"/>
  <c r="N5220" i="1"/>
  <c r="O5220" i="1"/>
  <c r="P5220" i="1"/>
  <c r="Q5220" i="1"/>
  <c r="R5220" i="1"/>
  <c r="S5220" i="1"/>
  <c r="T5220" i="1"/>
  <c r="U5220" i="1"/>
  <c r="V5220" i="1"/>
  <c r="W5220" i="1"/>
  <c r="X5220" i="1"/>
  <c r="Y5220" i="1"/>
  <c r="Z5220" i="1"/>
  <c r="A5221" i="1"/>
  <c r="B5221" i="1"/>
  <c r="C5221" i="1"/>
  <c r="D5221" i="1"/>
  <c r="E5221" i="1"/>
  <c r="F5221" i="1"/>
  <c r="G5221" i="1"/>
  <c r="I5221" i="1"/>
  <c r="J5221" i="1"/>
  <c r="K5221" i="1"/>
  <c r="L5221" i="1"/>
  <c r="M5221" i="1"/>
  <c r="N5221" i="1"/>
  <c r="O5221" i="1"/>
  <c r="P5221" i="1"/>
  <c r="Q5221" i="1"/>
  <c r="R5221" i="1"/>
  <c r="S5221" i="1"/>
  <c r="T5221" i="1"/>
  <c r="U5221" i="1"/>
  <c r="V5221" i="1"/>
  <c r="W5221" i="1"/>
  <c r="X5221" i="1"/>
  <c r="Y5221" i="1"/>
  <c r="Z5221" i="1"/>
  <c r="A5222" i="1"/>
  <c r="B5222" i="1"/>
  <c r="C5222" i="1"/>
  <c r="D5222" i="1"/>
  <c r="E5222" i="1"/>
  <c r="F5222" i="1"/>
  <c r="G5222" i="1"/>
  <c r="I5222" i="1"/>
  <c r="J5222" i="1"/>
  <c r="K5222" i="1"/>
  <c r="L5222" i="1"/>
  <c r="M5222" i="1"/>
  <c r="N5222" i="1"/>
  <c r="O5222" i="1"/>
  <c r="P5222" i="1"/>
  <c r="Q5222" i="1"/>
  <c r="R5222" i="1"/>
  <c r="S5222" i="1"/>
  <c r="T5222" i="1"/>
  <c r="U5222" i="1"/>
  <c r="V5222" i="1"/>
  <c r="W5222" i="1"/>
  <c r="X5222" i="1"/>
  <c r="Y5222" i="1"/>
  <c r="Z5222" i="1"/>
  <c r="A5223" i="1"/>
  <c r="B5223" i="1"/>
  <c r="C5223" i="1"/>
  <c r="D5223" i="1"/>
  <c r="E5223" i="1"/>
  <c r="F5223" i="1"/>
  <c r="G5223" i="1"/>
  <c r="I5223" i="1"/>
  <c r="J5223" i="1"/>
  <c r="K5223" i="1"/>
  <c r="L5223" i="1"/>
  <c r="M5223" i="1"/>
  <c r="N5223" i="1"/>
  <c r="O5223" i="1"/>
  <c r="P5223" i="1"/>
  <c r="Q5223" i="1"/>
  <c r="R5223" i="1"/>
  <c r="S5223" i="1"/>
  <c r="T5223" i="1"/>
  <c r="U5223" i="1"/>
  <c r="V5223" i="1"/>
  <c r="W5223" i="1"/>
  <c r="X5223" i="1"/>
  <c r="Y5223" i="1"/>
  <c r="Z5223" i="1"/>
  <c r="A5224" i="1"/>
  <c r="B5224" i="1"/>
  <c r="C5224" i="1"/>
  <c r="D5224" i="1"/>
  <c r="E5224" i="1"/>
  <c r="F5224" i="1"/>
  <c r="G5224" i="1"/>
  <c r="I5224" i="1"/>
  <c r="J5224" i="1"/>
  <c r="K5224" i="1"/>
  <c r="L5224" i="1"/>
  <c r="M5224" i="1"/>
  <c r="N5224" i="1"/>
  <c r="O5224" i="1"/>
  <c r="P5224" i="1"/>
  <c r="Q5224" i="1"/>
  <c r="R5224" i="1"/>
  <c r="S5224" i="1"/>
  <c r="T5224" i="1"/>
  <c r="U5224" i="1"/>
  <c r="V5224" i="1"/>
  <c r="W5224" i="1"/>
  <c r="X5224" i="1"/>
  <c r="Y5224" i="1"/>
  <c r="Z5224" i="1"/>
  <c r="A5225" i="1"/>
  <c r="B5225" i="1"/>
  <c r="C5225" i="1"/>
  <c r="D5225" i="1"/>
  <c r="E5225" i="1"/>
  <c r="F5225" i="1"/>
  <c r="G5225" i="1"/>
  <c r="I5225" i="1"/>
  <c r="J5225" i="1"/>
  <c r="K5225" i="1"/>
  <c r="L5225" i="1"/>
  <c r="M5225" i="1"/>
  <c r="N5225" i="1"/>
  <c r="O5225" i="1"/>
  <c r="P5225" i="1"/>
  <c r="Q5225" i="1"/>
  <c r="R5225" i="1"/>
  <c r="S5225" i="1"/>
  <c r="T5225" i="1"/>
  <c r="U5225" i="1"/>
  <c r="V5225" i="1"/>
  <c r="W5225" i="1"/>
  <c r="X5225" i="1"/>
  <c r="Y5225" i="1"/>
  <c r="Z5225" i="1"/>
  <c r="A5226" i="1"/>
  <c r="B5226" i="1"/>
  <c r="C5226" i="1"/>
  <c r="D5226" i="1"/>
  <c r="E5226" i="1"/>
  <c r="F5226" i="1"/>
  <c r="G5226" i="1"/>
  <c r="I5226" i="1"/>
  <c r="J5226" i="1"/>
  <c r="K5226" i="1"/>
  <c r="L5226" i="1"/>
  <c r="M5226" i="1"/>
  <c r="N5226" i="1"/>
  <c r="O5226" i="1"/>
  <c r="P5226" i="1"/>
  <c r="Q5226" i="1"/>
  <c r="R5226" i="1"/>
  <c r="S5226" i="1"/>
  <c r="T5226" i="1"/>
  <c r="U5226" i="1"/>
  <c r="V5226" i="1"/>
  <c r="W5226" i="1"/>
  <c r="X5226" i="1"/>
  <c r="Y5226" i="1"/>
  <c r="Z5226" i="1"/>
  <c r="A5227" i="1"/>
  <c r="B5227" i="1"/>
  <c r="C5227" i="1"/>
  <c r="D5227" i="1"/>
  <c r="E5227" i="1"/>
  <c r="F5227" i="1"/>
  <c r="G5227" i="1"/>
  <c r="I5227" i="1"/>
  <c r="J5227" i="1"/>
  <c r="K5227" i="1"/>
  <c r="L5227" i="1"/>
  <c r="M5227" i="1"/>
  <c r="N5227" i="1"/>
  <c r="O5227" i="1"/>
  <c r="P5227" i="1"/>
  <c r="Q5227" i="1"/>
  <c r="R5227" i="1"/>
  <c r="S5227" i="1"/>
  <c r="T5227" i="1"/>
  <c r="U5227" i="1"/>
  <c r="V5227" i="1"/>
  <c r="W5227" i="1"/>
  <c r="X5227" i="1"/>
  <c r="Y5227" i="1"/>
  <c r="Z5227" i="1"/>
  <c r="A5228" i="1"/>
  <c r="B5228" i="1"/>
  <c r="C5228" i="1"/>
  <c r="D5228" i="1"/>
  <c r="E5228" i="1"/>
  <c r="F5228" i="1"/>
  <c r="G5228" i="1"/>
  <c r="I5228" i="1"/>
  <c r="J5228" i="1"/>
  <c r="K5228" i="1"/>
  <c r="L5228" i="1"/>
  <c r="M5228" i="1"/>
  <c r="N5228" i="1"/>
  <c r="O5228" i="1"/>
  <c r="P5228" i="1"/>
  <c r="Q5228" i="1"/>
  <c r="R5228" i="1"/>
  <c r="S5228" i="1"/>
  <c r="T5228" i="1"/>
  <c r="U5228" i="1"/>
  <c r="V5228" i="1"/>
  <c r="W5228" i="1"/>
  <c r="X5228" i="1"/>
  <c r="Y5228" i="1"/>
  <c r="Z5228" i="1"/>
  <c r="A5229" i="1"/>
  <c r="B5229" i="1"/>
  <c r="C5229" i="1"/>
  <c r="D5229" i="1"/>
  <c r="E5229" i="1"/>
  <c r="F5229" i="1"/>
  <c r="G5229" i="1"/>
  <c r="I5229" i="1"/>
  <c r="J5229" i="1"/>
  <c r="K5229" i="1"/>
  <c r="L5229" i="1"/>
  <c r="M5229" i="1"/>
  <c r="N5229" i="1"/>
  <c r="O5229" i="1"/>
  <c r="P5229" i="1"/>
  <c r="Q5229" i="1"/>
  <c r="R5229" i="1"/>
  <c r="S5229" i="1"/>
  <c r="T5229" i="1"/>
  <c r="U5229" i="1"/>
  <c r="V5229" i="1"/>
  <c r="W5229" i="1"/>
  <c r="X5229" i="1"/>
  <c r="Y5229" i="1"/>
  <c r="Z5229" i="1"/>
  <c r="A5230" i="1"/>
  <c r="B5230" i="1"/>
  <c r="C5230" i="1"/>
  <c r="D5230" i="1"/>
  <c r="E5230" i="1"/>
  <c r="F5230" i="1"/>
  <c r="G5230" i="1"/>
  <c r="I5230" i="1"/>
  <c r="J5230" i="1"/>
  <c r="K5230" i="1"/>
  <c r="L5230" i="1"/>
  <c r="M5230" i="1"/>
  <c r="N5230" i="1"/>
  <c r="O5230" i="1"/>
  <c r="P5230" i="1"/>
  <c r="Q5230" i="1"/>
  <c r="R5230" i="1"/>
  <c r="S5230" i="1"/>
  <c r="T5230" i="1"/>
  <c r="U5230" i="1"/>
  <c r="V5230" i="1"/>
  <c r="W5230" i="1"/>
  <c r="X5230" i="1"/>
  <c r="Y5230" i="1"/>
  <c r="Z5230" i="1"/>
  <c r="A5231" i="1"/>
  <c r="B5231" i="1"/>
  <c r="C5231" i="1"/>
  <c r="D5231" i="1"/>
  <c r="E5231" i="1"/>
  <c r="F5231" i="1"/>
  <c r="G5231" i="1"/>
  <c r="I5231" i="1"/>
  <c r="J5231" i="1"/>
  <c r="K5231" i="1"/>
  <c r="L5231" i="1"/>
  <c r="M5231" i="1"/>
  <c r="N5231" i="1"/>
  <c r="O5231" i="1"/>
  <c r="P5231" i="1"/>
  <c r="Q5231" i="1"/>
  <c r="R5231" i="1"/>
  <c r="S5231" i="1"/>
  <c r="T5231" i="1"/>
  <c r="U5231" i="1"/>
  <c r="V5231" i="1"/>
  <c r="W5231" i="1"/>
  <c r="X5231" i="1"/>
  <c r="Y5231" i="1"/>
  <c r="Z5231" i="1"/>
  <c r="A5232" i="1"/>
  <c r="B5232" i="1"/>
  <c r="C5232" i="1"/>
  <c r="D5232" i="1"/>
  <c r="E5232" i="1"/>
  <c r="F5232" i="1"/>
  <c r="G5232" i="1"/>
  <c r="I5232" i="1"/>
  <c r="J5232" i="1"/>
  <c r="K5232" i="1"/>
  <c r="L5232" i="1"/>
  <c r="M5232" i="1"/>
  <c r="N5232" i="1"/>
  <c r="O5232" i="1"/>
  <c r="P5232" i="1"/>
  <c r="Q5232" i="1"/>
  <c r="R5232" i="1"/>
  <c r="S5232" i="1"/>
  <c r="T5232" i="1"/>
  <c r="U5232" i="1"/>
  <c r="V5232" i="1"/>
  <c r="W5232" i="1"/>
  <c r="X5232" i="1"/>
  <c r="Y5232" i="1"/>
  <c r="Z5232" i="1"/>
  <c r="A5233" i="1"/>
  <c r="B5233" i="1"/>
  <c r="C5233" i="1"/>
  <c r="D5233" i="1"/>
  <c r="E5233" i="1"/>
  <c r="F5233" i="1"/>
  <c r="G5233" i="1"/>
  <c r="I5233" i="1"/>
  <c r="J5233" i="1"/>
  <c r="K5233" i="1"/>
  <c r="L5233" i="1"/>
  <c r="M5233" i="1"/>
  <c r="N5233" i="1"/>
  <c r="O5233" i="1"/>
  <c r="P5233" i="1"/>
  <c r="Q5233" i="1"/>
  <c r="R5233" i="1"/>
  <c r="S5233" i="1"/>
  <c r="T5233" i="1"/>
  <c r="U5233" i="1"/>
  <c r="V5233" i="1"/>
  <c r="W5233" i="1"/>
  <c r="X5233" i="1"/>
  <c r="Y5233" i="1"/>
  <c r="Z5233" i="1"/>
  <c r="A5234" i="1"/>
  <c r="B5234" i="1"/>
  <c r="C5234" i="1"/>
  <c r="D5234" i="1"/>
  <c r="E5234" i="1"/>
  <c r="F5234" i="1"/>
  <c r="G5234" i="1"/>
  <c r="I5234" i="1"/>
  <c r="J5234" i="1"/>
  <c r="K5234" i="1"/>
  <c r="L5234" i="1"/>
  <c r="M5234" i="1"/>
  <c r="N5234" i="1"/>
  <c r="O5234" i="1"/>
  <c r="P5234" i="1"/>
  <c r="Q5234" i="1"/>
  <c r="R5234" i="1"/>
  <c r="S5234" i="1"/>
  <c r="T5234" i="1"/>
  <c r="U5234" i="1"/>
  <c r="V5234" i="1"/>
  <c r="W5234" i="1"/>
  <c r="X5234" i="1"/>
  <c r="Y5234" i="1"/>
  <c r="Z5234" i="1"/>
  <c r="A5235" i="1"/>
  <c r="B5235" i="1"/>
  <c r="C5235" i="1"/>
  <c r="D5235" i="1"/>
  <c r="E5235" i="1"/>
  <c r="F5235" i="1"/>
  <c r="G5235" i="1"/>
  <c r="I5235" i="1"/>
  <c r="J5235" i="1"/>
  <c r="K5235" i="1"/>
  <c r="L5235" i="1"/>
  <c r="M5235" i="1"/>
  <c r="N5235" i="1"/>
  <c r="O5235" i="1"/>
  <c r="P5235" i="1"/>
  <c r="Q5235" i="1"/>
  <c r="R5235" i="1"/>
  <c r="S5235" i="1"/>
  <c r="T5235" i="1"/>
  <c r="U5235" i="1"/>
  <c r="V5235" i="1"/>
  <c r="W5235" i="1"/>
  <c r="X5235" i="1"/>
  <c r="Y5235" i="1"/>
  <c r="Z5235" i="1"/>
  <c r="A5236" i="1"/>
  <c r="B5236" i="1"/>
  <c r="C5236" i="1"/>
  <c r="D5236" i="1"/>
  <c r="E5236" i="1"/>
  <c r="F5236" i="1"/>
  <c r="G5236" i="1"/>
  <c r="I5236" i="1"/>
  <c r="J5236" i="1"/>
  <c r="K5236" i="1"/>
  <c r="L5236" i="1"/>
  <c r="M5236" i="1"/>
  <c r="N5236" i="1"/>
  <c r="O5236" i="1"/>
  <c r="P5236" i="1"/>
  <c r="Q5236" i="1"/>
  <c r="R5236" i="1"/>
  <c r="S5236" i="1"/>
  <c r="T5236" i="1"/>
  <c r="U5236" i="1"/>
  <c r="V5236" i="1"/>
  <c r="W5236" i="1"/>
  <c r="X5236" i="1"/>
  <c r="Y5236" i="1"/>
  <c r="Z5236" i="1"/>
  <c r="A5237" i="1"/>
  <c r="B5237" i="1"/>
  <c r="C5237" i="1"/>
  <c r="D5237" i="1"/>
  <c r="E5237" i="1"/>
  <c r="F5237" i="1"/>
  <c r="G5237" i="1"/>
  <c r="I5237" i="1"/>
  <c r="J5237" i="1"/>
  <c r="K5237" i="1"/>
  <c r="L5237" i="1"/>
  <c r="M5237" i="1"/>
  <c r="N5237" i="1"/>
  <c r="O5237" i="1"/>
  <c r="P5237" i="1"/>
  <c r="Q5237" i="1"/>
  <c r="R5237" i="1"/>
  <c r="S5237" i="1"/>
  <c r="T5237" i="1"/>
  <c r="U5237" i="1"/>
  <c r="V5237" i="1"/>
  <c r="W5237" i="1"/>
  <c r="X5237" i="1"/>
  <c r="Y5237" i="1"/>
  <c r="Z5237" i="1"/>
  <c r="A5238" i="1"/>
  <c r="B5238" i="1"/>
  <c r="C5238" i="1"/>
  <c r="D5238" i="1"/>
  <c r="E5238" i="1"/>
  <c r="F5238" i="1"/>
  <c r="G5238" i="1"/>
  <c r="I5238" i="1"/>
  <c r="J5238" i="1"/>
  <c r="K5238" i="1"/>
  <c r="L5238" i="1"/>
  <c r="M5238" i="1"/>
  <c r="N5238" i="1"/>
  <c r="O5238" i="1"/>
  <c r="P5238" i="1"/>
  <c r="Q5238" i="1"/>
  <c r="R5238" i="1"/>
  <c r="S5238" i="1"/>
  <c r="T5238" i="1"/>
  <c r="U5238" i="1"/>
  <c r="V5238" i="1"/>
  <c r="W5238" i="1"/>
  <c r="X5238" i="1"/>
  <c r="Y5238" i="1"/>
  <c r="Z5238" i="1"/>
  <c r="A5239" i="1"/>
  <c r="B5239" i="1"/>
  <c r="C5239" i="1"/>
  <c r="D5239" i="1"/>
  <c r="E5239" i="1"/>
  <c r="F5239" i="1"/>
  <c r="G5239" i="1"/>
  <c r="I5239" i="1"/>
  <c r="J5239" i="1"/>
  <c r="K5239" i="1"/>
  <c r="L5239" i="1"/>
  <c r="M5239" i="1"/>
  <c r="N5239" i="1"/>
  <c r="O5239" i="1"/>
  <c r="P5239" i="1"/>
  <c r="Q5239" i="1"/>
  <c r="R5239" i="1"/>
  <c r="S5239" i="1"/>
  <c r="T5239" i="1"/>
  <c r="U5239" i="1"/>
  <c r="V5239" i="1"/>
  <c r="W5239" i="1"/>
  <c r="X5239" i="1"/>
  <c r="Y5239" i="1"/>
  <c r="Z5239" i="1"/>
  <c r="A5240" i="1"/>
  <c r="B5240" i="1"/>
  <c r="C5240" i="1"/>
  <c r="D5240" i="1"/>
  <c r="E5240" i="1"/>
  <c r="F5240" i="1"/>
  <c r="G5240" i="1"/>
  <c r="I5240" i="1"/>
  <c r="J5240" i="1"/>
  <c r="K5240" i="1"/>
  <c r="L5240" i="1"/>
  <c r="M5240" i="1"/>
  <c r="N5240" i="1"/>
  <c r="O5240" i="1"/>
  <c r="P5240" i="1"/>
  <c r="Q5240" i="1"/>
  <c r="R5240" i="1"/>
  <c r="S5240" i="1"/>
  <c r="T5240" i="1"/>
  <c r="U5240" i="1"/>
  <c r="V5240" i="1"/>
  <c r="W5240" i="1"/>
  <c r="X5240" i="1"/>
  <c r="Y5240" i="1"/>
  <c r="Z5240" i="1"/>
  <c r="A5241" i="1"/>
  <c r="B5241" i="1"/>
  <c r="C5241" i="1"/>
  <c r="D5241" i="1"/>
  <c r="E5241" i="1"/>
  <c r="F5241" i="1"/>
  <c r="G5241" i="1"/>
  <c r="I5241" i="1"/>
  <c r="J5241" i="1"/>
  <c r="K5241" i="1"/>
  <c r="L5241" i="1"/>
  <c r="M5241" i="1"/>
  <c r="N5241" i="1"/>
  <c r="O5241" i="1"/>
  <c r="P5241" i="1"/>
  <c r="Q5241" i="1"/>
  <c r="R5241" i="1"/>
  <c r="S5241" i="1"/>
  <c r="T5241" i="1"/>
  <c r="U5241" i="1"/>
  <c r="V5241" i="1"/>
  <c r="W5241" i="1"/>
  <c r="X5241" i="1"/>
  <c r="Y5241" i="1"/>
  <c r="Z5241" i="1"/>
  <c r="A5242" i="1"/>
  <c r="B5242" i="1"/>
  <c r="C5242" i="1"/>
  <c r="D5242" i="1"/>
  <c r="E5242" i="1"/>
  <c r="F5242" i="1"/>
  <c r="G5242" i="1"/>
  <c r="I5242" i="1"/>
  <c r="J5242" i="1"/>
  <c r="K5242" i="1"/>
  <c r="L5242" i="1"/>
  <c r="M5242" i="1"/>
  <c r="N5242" i="1"/>
  <c r="O5242" i="1"/>
  <c r="P5242" i="1"/>
  <c r="Q5242" i="1"/>
  <c r="R5242" i="1"/>
  <c r="S5242" i="1"/>
  <c r="T5242" i="1"/>
  <c r="U5242" i="1"/>
  <c r="V5242" i="1"/>
  <c r="W5242" i="1"/>
  <c r="X5242" i="1"/>
  <c r="Y5242" i="1"/>
  <c r="Z5242" i="1"/>
  <c r="A5243" i="1"/>
  <c r="B5243" i="1"/>
  <c r="C5243" i="1"/>
  <c r="D5243" i="1"/>
  <c r="E5243" i="1"/>
  <c r="F5243" i="1"/>
  <c r="G5243" i="1"/>
  <c r="I5243" i="1"/>
  <c r="J5243" i="1"/>
  <c r="K5243" i="1"/>
  <c r="L5243" i="1"/>
  <c r="M5243" i="1"/>
  <c r="N5243" i="1"/>
  <c r="O5243" i="1"/>
  <c r="P5243" i="1"/>
  <c r="Q5243" i="1"/>
  <c r="R5243" i="1"/>
  <c r="S5243" i="1"/>
  <c r="T5243" i="1"/>
  <c r="U5243" i="1"/>
  <c r="V5243" i="1"/>
  <c r="W5243" i="1"/>
  <c r="X5243" i="1"/>
  <c r="Y5243" i="1"/>
  <c r="Z5243" i="1"/>
  <c r="A5244" i="1"/>
  <c r="B5244" i="1"/>
  <c r="C5244" i="1"/>
  <c r="D5244" i="1"/>
  <c r="E5244" i="1"/>
  <c r="F5244" i="1"/>
  <c r="G5244" i="1"/>
  <c r="I5244" i="1"/>
  <c r="J5244" i="1"/>
  <c r="K5244" i="1"/>
  <c r="L5244" i="1"/>
  <c r="M5244" i="1"/>
  <c r="N5244" i="1"/>
  <c r="O5244" i="1"/>
  <c r="P5244" i="1"/>
  <c r="Q5244" i="1"/>
  <c r="R5244" i="1"/>
  <c r="S5244" i="1"/>
  <c r="T5244" i="1"/>
  <c r="U5244" i="1"/>
  <c r="V5244" i="1"/>
  <c r="W5244" i="1"/>
  <c r="X5244" i="1"/>
  <c r="Y5244" i="1"/>
  <c r="Z5244" i="1"/>
  <c r="A5245" i="1"/>
  <c r="B5245" i="1"/>
  <c r="C5245" i="1"/>
  <c r="D5245" i="1"/>
  <c r="E5245" i="1"/>
  <c r="F5245" i="1"/>
  <c r="G5245" i="1"/>
  <c r="I5245" i="1"/>
  <c r="J5245" i="1"/>
  <c r="K5245" i="1"/>
  <c r="L5245" i="1"/>
  <c r="M5245" i="1"/>
  <c r="N5245" i="1"/>
  <c r="O5245" i="1"/>
  <c r="P5245" i="1"/>
  <c r="Q5245" i="1"/>
  <c r="R5245" i="1"/>
  <c r="S5245" i="1"/>
  <c r="T5245" i="1"/>
  <c r="U5245" i="1"/>
  <c r="V5245" i="1"/>
  <c r="W5245" i="1"/>
  <c r="X5245" i="1"/>
  <c r="Y5245" i="1"/>
  <c r="Z5245" i="1"/>
  <c r="A5246" i="1"/>
  <c r="B5246" i="1"/>
  <c r="C5246" i="1"/>
  <c r="D5246" i="1"/>
  <c r="E5246" i="1"/>
  <c r="F5246" i="1"/>
  <c r="G5246" i="1"/>
  <c r="I5246" i="1"/>
  <c r="J5246" i="1"/>
  <c r="K5246" i="1"/>
  <c r="L5246" i="1"/>
  <c r="M5246" i="1"/>
  <c r="N5246" i="1"/>
  <c r="O5246" i="1"/>
  <c r="P5246" i="1"/>
  <c r="Q5246" i="1"/>
  <c r="R5246" i="1"/>
  <c r="S5246" i="1"/>
  <c r="T5246" i="1"/>
  <c r="U5246" i="1"/>
  <c r="V5246" i="1"/>
  <c r="W5246" i="1"/>
  <c r="X5246" i="1"/>
  <c r="Y5246" i="1"/>
  <c r="Z5246" i="1"/>
  <c r="A5247" i="1"/>
  <c r="B5247" i="1"/>
  <c r="C5247" i="1"/>
  <c r="D5247" i="1"/>
  <c r="E5247" i="1"/>
  <c r="F5247" i="1"/>
  <c r="G5247" i="1"/>
  <c r="I5247" i="1"/>
  <c r="J5247" i="1"/>
  <c r="K5247" i="1"/>
  <c r="L5247" i="1"/>
  <c r="M5247" i="1"/>
  <c r="N5247" i="1"/>
  <c r="O5247" i="1"/>
  <c r="P5247" i="1"/>
  <c r="Q5247" i="1"/>
  <c r="R5247" i="1"/>
  <c r="S5247" i="1"/>
  <c r="T5247" i="1"/>
  <c r="U5247" i="1"/>
  <c r="V5247" i="1"/>
  <c r="W5247" i="1"/>
  <c r="X5247" i="1"/>
  <c r="Y5247" i="1"/>
  <c r="Z5247" i="1"/>
  <c r="A5248" i="1"/>
  <c r="B5248" i="1"/>
  <c r="C5248" i="1"/>
  <c r="D5248" i="1"/>
  <c r="E5248" i="1"/>
  <c r="F5248" i="1"/>
  <c r="G5248" i="1"/>
  <c r="I5248" i="1"/>
  <c r="J5248" i="1"/>
  <c r="K5248" i="1"/>
  <c r="L5248" i="1"/>
  <c r="M5248" i="1"/>
  <c r="N5248" i="1"/>
  <c r="O5248" i="1"/>
  <c r="P5248" i="1"/>
  <c r="Q5248" i="1"/>
  <c r="R5248" i="1"/>
  <c r="S5248" i="1"/>
  <c r="T5248" i="1"/>
  <c r="U5248" i="1"/>
  <c r="V5248" i="1"/>
  <c r="W5248" i="1"/>
  <c r="X5248" i="1"/>
  <c r="Y5248" i="1"/>
  <c r="Z5248" i="1"/>
  <c r="A5249" i="1"/>
  <c r="B5249" i="1"/>
  <c r="C5249" i="1"/>
  <c r="D5249" i="1"/>
  <c r="E5249" i="1"/>
  <c r="F5249" i="1"/>
  <c r="G5249" i="1"/>
  <c r="I5249" i="1"/>
  <c r="J5249" i="1"/>
  <c r="K5249" i="1"/>
  <c r="L5249" i="1"/>
  <c r="M5249" i="1"/>
  <c r="N5249" i="1"/>
  <c r="O5249" i="1"/>
  <c r="P5249" i="1"/>
  <c r="Q5249" i="1"/>
  <c r="R5249" i="1"/>
  <c r="S5249" i="1"/>
  <c r="T5249" i="1"/>
  <c r="U5249" i="1"/>
  <c r="V5249" i="1"/>
  <c r="W5249" i="1"/>
  <c r="X5249" i="1"/>
  <c r="Y5249" i="1"/>
  <c r="Z5249" i="1"/>
  <c r="A5250" i="1"/>
  <c r="B5250" i="1"/>
  <c r="C5250" i="1"/>
  <c r="D5250" i="1"/>
  <c r="E5250" i="1"/>
  <c r="F5250" i="1"/>
  <c r="G5250" i="1"/>
  <c r="I5250" i="1"/>
  <c r="J5250" i="1"/>
  <c r="K5250" i="1"/>
  <c r="L5250" i="1"/>
  <c r="M5250" i="1"/>
  <c r="N5250" i="1"/>
  <c r="O5250" i="1"/>
  <c r="P5250" i="1"/>
  <c r="Q5250" i="1"/>
  <c r="R5250" i="1"/>
  <c r="S5250" i="1"/>
  <c r="T5250" i="1"/>
  <c r="U5250" i="1"/>
  <c r="V5250" i="1"/>
  <c r="W5250" i="1"/>
  <c r="X5250" i="1"/>
  <c r="Y5250" i="1"/>
  <c r="Z5250" i="1"/>
  <c r="A5251" i="1"/>
  <c r="B5251" i="1"/>
  <c r="C5251" i="1"/>
  <c r="D5251" i="1"/>
  <c r="E5251" i="1"/>
  <c r="F5251" i="1"/>
  <c r="G5251" i="1"/>
  <c r="I5251" i="1"/>
  <c r="J5251" i="1"/>
  <c r="K5251" i="1"/>
  <c r="L5251" i="1"/>
  <c r="M5251" i="1"/>
  <c r="N5251" i="1"/>
  <c r="O5251" i="1"/>
  <c r="P5251" i="1"/>
  <c r="Q5251" i="1"/>
  <c r="R5251" i="1"/>
  <c r="S5251" i="1"/>
  <c r="T5251" i="1"/>
  <c r="U5251" i="1"/>
  <c r="V5251" i="1"/>
  <c r="W5251" i="1"/>
  <c r="X5251" i="1"/>
  <c r="Y5251" i="1"/>
  <c r="Z5251" i="1"/>
  <c r="A5252" i="1"/>
  <c r="B5252" i="1"/>
  <c r="C5252" i="1"/>
  <c r="D5252" i="1"/>
  <c r="E5252" i="1"/>
  <c r="F5252" i="1"/>
  <c r="G5252" i="1"/>
  <c r="I5252" i="1"/>
  <c r="J5252" i="1"/>
  <c r="K5252" i="1"/>
  <c r="L5252" i="1"/>
  <c r="M5252" i="1"/>
  <c r="N5252" i="1"/>
  <c r="O5252" i="1"/>
  <c r="P5252" i="1"/>
  <c r="Q5252" i="1"/>
  <c r="R5252" i="1"/>
  <c r="S5252" i="1"/>
  <c r="T5252" i="1"/>
  <c r="U5252" i="1"/>
  <c r="V5252" i="1"/>
  <c r="W5252" i="1"/>
  <c r="X5252" i="1"/>
  <c r="Y5252" i="1"/>
  <c r="Z5252" i="1"/>
  <c r="A5253" i="1"/>
  <c r="B5253" i="1"/>
  <c r="C5253" i="1"/>
  <c r="D5253" i="1"/>
  <c r="E5253" i="1"/>
  <c r="F5253" i="1"/>
  <c r="G5253" i="1"/>
  <c r="I5253" i="1"/>
  <c r="J5253" i="1"/>
  <c r="K5253" i="1"/>
  <c r="L5253" i="1"/>
  <c r="M5253" i="1"/>
  <c r="N5253" i="1"/>
  <c r="O5253" i="1"/>
  <c r="P5253" i="1"/>
  <c r="Q5253" i="1"/>
  <c r="R5253" i="1"/>
  <c r="S5253" i="1"/>
  <c r="T5253" i="1"/>
  <c r="U5253" i="1"/>
  <c r="V5253" i="1"/>
  <c r="W5253" i="1"/>
  <c r="X5253" i="1"/>
  <c r="Y5253" i="1"/>
  <c r="Z5253" i="1"/>
  <c r="A5254" i="1"/>
  <c r="B5254" i="1"/>
  <c r="C5254" i="1"/>
  <c r="D5254" i="1"/>
  <c r="E5254" i="1"/>
  <c r="F5254" i="1"/>
  <c r="G5254" i="1"/>
  <c r="I5254" i="1"/>
  <c r="J5254" i="1"/>
  <c r="K5254" i="1"/>
  <c r="L5254" i="1"/>
  <c r="M5254" i="1"/>
  <c r="N5254" i="1"/>
  <c r="O5254" i="1"/>
  <c r="P5254" i="1"/>
  <c r="Q5254" i="1"/>
  <c r="R5254" i="1"/>
  <c r="S5254" i="1"/>
  <c r="T5254" i="1"/>
  <c r="U5254" i="1"/>
  <c r="V5254" i="1"/>
  <c r="W5254" i="1"/>
  <c r="X5254" i="1"/>
  <c r="Y5254" i="1"/>
  <c r="Z5254" i="1"/>
  <c r="A5255" i="1"/>
  <c r="B5255" i="1"/>
  <c r="C5255" i="1"/>
  <c r="D5255" i="1"/>
  <c r="E5255" i="1"/>
  <c r="F5255" i="1"/>
  <c r="G5255" i="1"/>
  <c r="I5255" i="1"/>
  <c r="J5255" i="1"/>
  <c r="K5255" i="1"/>
  <c r="L5255" i="1"/>
  <c r="M5255" i="1"/>
  <c r="N5255" i="1"/>
  <c r="O5255" i="1"/>
  <c r="P5255" i="1"/>
  <c r="Q5255" i="1"/>
  <c r="R5255" i="1"/>
  <c r="S5255" i="1"/>
  <c r="T5255" i="1"/>
  <c r="U5255" i="1"/>
  <c r="V5255" i="1"/>
  <c r="W5255" i="1"/>
  <c r="X5255" i="1"/>
  <c r="Y5255" i="1"/>
  <c r="Z5255" i="1"/>
  <c r="A5256" i="1"/>
  <c r="B5256" i="1"/>
  <c r="C5256" i="1"/>
  <c r="D5256" i="1"/>
  <c r="E5256" i="1"/>
  <c r="F5256" i="1"/>
  <c r="G5256" i="1"/>
  <c r="I5256" i="1"/>
  <c r="J5256" i="1"/>
  <c r="K5256" i="1"/>
  <c r="L5256" i="1"/>
  <c r="M5256" i="1"/>
  <c r="N5256" i="1"/>
  <c r="O5256" i="1"/>
  <c r="P5256" i="1"/>
  <c r="Q5256" i="1"/>
  <c r="R5256" i="1"/>
  <c r="S5256" i="1"/>
  <c r="T5256" i="1"/>
  <c r="U5256" i="1"/>
  <c r="V5256" i="1"/>
  <c r="W5256" i="1"/>
  <c r="X5256" i="1"/>
  <c r="Y5256" i="1"/>
  <c r="Z5256" i="1"/>
  <c r="A5257" i="1"/>
  <c r="B5257" i="1"/>
  <c r="C5257" i="1"/>
  <c r="D5257" i="1"/>
  <c r="E5257" i="1"/>
  <c r="F5257" i="1"/>
  <c r="G5257" i="1"/>
  <c r="I5257" i="1"/>
  <c r="J5257" i="1"/>
  <c r="K5257" i="1"/>
  <c r="L5257" i="1"/>
  <c r="M5257" i="1"/>
  <c r="N5257" i="1"/>
  <c r="O5257" i="1"/>
  <c r="P5257" i="1"/>
  <c r="Q5257" i="1"/>
  <c r="R5257" i="1"/>
  <c r="S5257" i="1"/>
  <c r="T5257" i="1"/>
  <c r="U5257" i="1"/>
  <c r="V5257" i="1"/>
  <c r="W5257" i="1"/>
  <c r="X5257" i="1"/>
  <c r="Y5257" i="1"/>
  <c r="Z5257" i="1"/>
  <c r="A5258" i="1"/>
  <c r="B5258" i="1"/>
  <c r="C5258" i="1"/>
  <c r="D5258" i="1"/>
  <c r="E5258" i="1"/>
  <c r="F5258" i="1"/>
  <c r="G5258" i="1"/>
  <c r="I5258" i="1"/>
  <c r="J5258" i="1"/>
  <c r="K5258" i="1"/>
  <c r="L5258" i="1"/>
  <c r="M5258" i="1"/>
  <c r="N5258" i="1"/>
  <c r="O5258" i="1"/>
  <c r="P5258" i="1"/>
  <c r="Q5258" i="1"/>
  <c r="R5258" i="1"/>
  <c r="S5258" i="1"/>
  <c r="T5258" i="1"/>
  <c r="U5258" i="1"/>
  <c r="V5258" i="1"/>
  <c r="W5258" i="1"/>
  <c r="X5258" i="1"/>
  <c r="Y5258" i="1"/>
  <c r="Z5258" i="1"/>
  <c r="A5259" i="1"/>
  <c r="B5259" i="1"/>
  <c r="C5259" i="1"/>
  <c r="D5259" i="1"/>
  <c r="E5259" i="1"/>
  <c r="F5259" i="1"/>
  <c r="G5259" i="1"/>
  <c r="I5259" i="1"/>
  <c r="J5259" i="1"/>
  <c r="K5259" i="1"/>
  <c r="L5259" i="1"/>
  <c r="M5259" i="1"/>
  <c r="N5259" i="1"/>
  <c r="O5259" i="1"/>
  <c r="P5259" i="1"/>
  <c r="Q5259" i="1"/>
  <c r="R5259" i="1"/>
  <c r="S5259" i="1"/>
  <c r="T5259" i="1"/>
  <c r="U5259" i="1"/>
  <c r="V5259" i="1"/>
  <c r="W5259" i="1"/>
  <c r="X5259" i="1"/>
  <c r="Y5259" i="1"/>
  <c r="Z5259" i="1"/>
  <c r="A5260" i="1"/>
  <c r="B5260" i="1"/>
  <c r="C5260" i="1"/>
  <c r="D5260" i="1"/>
  <c r="E5260" i="1"/>
  <c r="F5260" i="1"/>
  <c r="G5260" i="1"/>
  <c r="I5260" i="1"/>
  <c r="J5260" i="1"/>
  <c r="K5260" i="1"/>
  <c r="L5260" i="1"/>
  <c r="M5260" i="1"/>
  <c r="N5260" i="1"/>
  <c r="O5260" i="1"/>
  <c r="P5260" i="1"/>
  <c r="Q5260" i="1"/>
  <c r="R5260" i="1"/>
  <c r="S5260" i="1"/>
  <c r="T5260" i="1"/>
  <c r="U5260" i="1"/>
  <c r="V5260" i="1"/>
  <c r="W5260" i="1"/>
  <c r="X5260" i="1"/>
  <c r="Y5260" i="1"/>
  <c r="Z5260" i="1"/>
  <c r="A5261" i="1"/>
  <c r="B5261" i="1"/>
  <c r="C5261" i="1"/>
  <c r="D5261" i="1"/>
  <c r="E5261" i="1"/>
  <c r="F5261" i="1"/>
  <c r="G5261" i="1"/>
  <c r="I5261" i="1"/>
  <c r="J5261" i="1"/>
  <c r="K5261" i="1"/>
  <c r="L5261" i="1"/>
  <c r="M5261" i="1"/>
  <c r="N5261" i="1"/>
  <c r="O5261" i="1"/>
  <c r="P5261" i="1"/>
  <c r="Q5261" i="1"/>
  <c r="R5261" i="1"/>
  <c r="S5261" i="1"/>
  <c r="T5261" i="1"/>
  <c r="U5261" i="1"/>
  <c r="V5261" i="1"/>
  <c r="W5261" i="1"/>
  <c r="X5261" i="1"/>
  <c r="Y5261" i="1"/>
  <c r="Z5261" i="1"/>
  <c r="A5262" i="1"/>
  <c r="B5262" i="1"/>
  <c r="C5262" i="1"/>
  <c r="D5262" i="1"/>
  <c r="E5262" i="1"/>
  <c r="F5262" i="1"/>
  <c r="G5262" i="1"/>
  <c r="I5262" i="1"/>
  <c r="J5262" i="1"/>
  <c r="K5262" i="1"/>
  <c r="L5262" i="1"/>
  <c r="M5262" i="1"/>
  <c r="N5262" i="1"/>
  <c r="O5262" i="1"/>
  <c r="P5262" i="1"/>
  <c r="Q5262" i="1"/>
  <c r="R5262" i="1"/>
  <c r="S5262" i="1"/>
  <c r="T5262" i="1"/>
  <c r="U5262" i="1"/>
  <c r="V5262" i="1"/>
  <c r="W5262" i="1"/>
  <c r="X5262" i="1"/>
  <c r="Y5262" i="1"/>
  <c r="Z5262" i="1"/>
  <c r="A5263" i="1"/>
  <c r="B5263" i="1"/>
  <c r="C5263" i="1"/>
  <c r="D5263" i="1"/>
  <c r="E5263" i="1"/>
  <c r="F5263" i="1"/>
  <c r="G5263" i="1"/>
  <c r="I5263" i="1"/>
  <c r="J5263" i="1"/>
  <c r="K5263" i="1"/>
  <c r="L5263" i="1"/>
  <c r="M5263" i="1"/>
  <c r="N5263" i="1"/>
  <c r="O5263" i="1"/>
  <c r="P5263" i="1"/>
  <c r="Q5263" i="1"/>
  <c r="R5263" i="1"/>
  <c r="S5263" i="1"/>
  <c r="T5263" i="1"/>
  <c r="U5263" i="1"/>
  <c r="V5263" i="1"/>
  <c r="W5263" i="1"/>
  <c r="X5263" i="1"/>
  <c r="Y5263" i="1"/>
  <c r="Z5263" i="1"/>
  <c r="A5264" i="1"/>
  <c r="B5264" i="1"/>
  <c r="C5264" i="1"/>
  <c r="D5264" i="1"/>
  <c r="E5264" i="1"/>
  <c r="F5264" i="1"/>
  <c r="G5264" i="1"/>
  <c r="I5264" i="1"/>
  <c r="J5264" i="1"/>
  <c r="K5264" i="1"/>
  <c r="L5264" i="1"/>
  <c r="M5264" i="1"/>
  <c r="N5264" i="1"/>
  <c r="O5264" i="1"/>
  <c r="P5264" i="1"/>
  <c r="Q5264" i="1"/>
  <c r="R5264" i="1"/>
  <c r="S5264" i="1"/>
  <c r="T5264" i="1"/>
  <c r="U5264" i="1"/>
  <c r="V5264" i="1"/>
  <c r="W5264" i="1"/>
  <c r="X5264" i="1"/>
  <c r="Y5264" i="1"/>
  <c r="Z5264" i="1"/>
  <c r="A5265" i="1"/>
  <c r="B5265" i="1"/>
  <c r="C5265" i="1"/>
  <c r="D5265" i="1"/>
  <c r="E5265" i="1"/>
  <c r="F5265" i="1"/>
  <c r="G5265" i="1"/>
  <c r="I5265" i="1"/>
  <c r="J5265" i="1"/>
  <c r="K5265" i="1"/>
  <c r="L5265" i="1"/>
  <c r="M5265" i="1"/>
  <c r="N5265" i="1"/>
  <c r="O5265" i="1"/>
  <c r="P5265" i="1"/>
  <c r="Q5265" i="1"/>
  <c r="R5265" i="1"/>
  <c r="S5265" i="1"/>
  <c r="T5265" i="1"/>
  <c r="U5265" i="1"/>
  <c r="V5265" i="1"/>
  <c r="W5265" i="1"/>
  <c r="X5265" i="1"/>
  <c r="Y5265" i="1"/>
  <c r="Z5265" i="1"/>
  <c r="A5266" i="1"/>
  <c r="B5266" i="1"/>
  <c r="C5266" i="1"/>
  <c r="D5266" i="1"/>
  <c r="E5266" i="1"/>
  <c r="F5266" i="1"/>
  <c r="G5266" i="1"/>
  <c r="I5266" i="1"/>
  <c r="J5266" i="1"/>
  <c r="K5266" i="1"/>
  <c r="L5266" i="1"/>
  <c r="M5266" i="1"/>
  <c r="N5266" i="1"/>
  <c r="O5266" i="1"/>
  <c r="P5266" i="1"/>
  <c r="Q5266" i="1"/>
  <c r="R5266" i="1"/>
  <c r="S5266" i="1"/>
  <c r="T5266" i="1"/>
  <c r="U5266" i="1"/>
  <c r="V5266" i="1"/>
  <c r="W5266" i="1"/>
  <c r="X5266" i="1"/>
  <c r="Y5266" i="1"/>
  <c r="Z5266" i="1"/>
  <c r="A5267" i="1"/>
  <c r="B5267" i="1"/>
  <c r="C5267" i="1"/>
  <c r="D5267" i="1"/>
  <c r="E5267" i="1"/>
  <c r="F5267" i="1"/>
  <c r="G5267" i="1"/>
  <c r="I5267" i="1"/>
  <c r="J5267" i="1"/>
  <c r="K5267" i="1"/>
  <c r="L5267" i="1"/>
  <c r="M5267" i="1"/>
  <c r="N5267" i="1"/>
  <c r="O5267" i="1"/>
  <c r="P5267" i="1"/>
  <c r="Q5267" i="1"/>
  <c r="R5267" i="1"/>
  <c r="S5267" i="1"/>
  <c r="T5267" i="1"/>
  <c r="U5267" i="1"/>
  <c r="V5267" i="1"/>
  <c r="W5267" i="1"/>
  <c r="X5267" i="1"/>
  <c r="Y5267" i="1"/>
  <c r="Z5267" i="1"/>
  <c r="A5268" i="1"/>
  <c r="B5268" i="1"/>
  <c r="C5268" i="1"/>
  <c r="D5268" i="1"/>
  <c r="E5268" i="1"/>
  <c r="F5268" i="1"/>
  <c r="G5268" i="1"/>
  <c r="I5268" i="1"/>
  <c r="J5268" i="1"/>
  <c r="K5268" i="1"/>
  <c r="L5268" i="1"/>
  <c r="M5268" i="1"/>
  <c r="N5268" i="1"/>
  <c r="O5268" i="1"/>
  <c r="P5268" i="1"/>
  <c r="Q5268" i="1"/>
  <c r="R5268" i="1"/>
  <c r="S5268" i="1"/>
  <c r="T5268" i="1"/>
  <c r="U5268" i="1"/>
  <c r="V5268" i="1"/>
  <c r="W5268" i="1"/>
  <c r="X5268" i="1"/>
  <c r="Y5268" i="1"/>
  <c r="Z5268" i="1"/>
  <c r="A5269" i="1"/>
  <c r="B5269" i="1"/>
  <c r="C5269" i="1"/>
  <c r="D5269" i="1"/>
  <c r="E5269" i="1"/>
  <c r="F5269" i="1"/>
  <c r="G5269" i="1"/>
  <c r="I5269" i="1"/>
  <c r="J5269" i="1"/>
  <c r="K5269" i="1"/>
  <c r="L5269" i="1"/>
  <c r="M5269" i="1"/>
  <c r="N5269" i="1"/>
  <c r="O5269" i="1"/>
  <c r="P5269" i="1"/>
  <c r="Q5269" i="1"/>
  <c r="R5269" i="1"/>
  <c r="S5269" i="1"/>
  <c r="T5269" i="1"/>
  <c r="U5269" i="1"/>
  <c r="V5269" i="1"/>
  <c r="W5269" i="1"/>
  <c r="X5269" i="1"/>
  <c r="Y5269" i="1"/>
  <c r="Z5269" i="1"/>
  <c r="A5270" i="1"/>
  <c r="B5270" i="1"/>
  <c r="C5270" i="1"/>
  <c r="D5270" i="1"/>
  <c r="E5270" i="1"/>
  <c r="F5270" i="1"/>
  <c r="G5270" i="1"/>
  <c r="I5270" i="1"/>
  <c r="J5270" i="1"/>
  <c r="K5270" i="1"/>
  <c r="L5270" i="1"/>
  <c r="M5270" i="1"/>
  <c r="N5270" i="1"/>
  <c r="O5270" i="1"/>
  <c r="P5270" i="1"/>
  <c r="Q5270" i="1"/>
  <c r="R5270" i="1"/>
  <c r="S5270" i="1"/>
  <c r="T5270" i="1"/>
  <c r="U5270" i="1"/>
  <c r="V5270" i="1"/>
  <c r="W5270" i="1"/>
  <c r="X5270" i="1"/>
  <c r="Y5270" i="1"/>
  <c r="Z5270" i="1"/>
  <c r="A5271" i="1"/>
  <c r="B5271" i="1"/>
  <c r="C5271" i="1"/>
  <c r="D5271" i="1"/>
  <c r="E5271" i="1"/>
  <c r="F5271" i="1"/>
  <c r="G5271" i="1"/>
  <c r="I5271" i="1"/>
  <c r="J5271" i="1"/>
  <c r="K5271" i="1"/>
  <c r="L5271" i="1"/>
  <c r="M5271" i="1"/>
  <c r="N5271" i="1"/>
  <c r="O5271" i="1"/>
  <c r="P5271" i="1"/>
  <c r="Q5271" i="1"/>
  <c r="R5271" i="1"/>
  <c r="S5271" i="1"/>
  <c r="T5271" i="1"/>
  <c r="U5271" i="1"/>
  <c r="V5271" i="1"/>
  <c r="W5271" i="1"/>
  <c r="X5271" i="1"/>
  <c r="Y5271" i="1"/>
  <c r="Z5271" i="1"/>
  <c r="A5272" i="1"/>
  <c r="B5272" i="1"/>
  <c r="C5272" i="1"/>
  <c r="D5272" i="1"/>
  <c r="E5272" i="1"/>
  <c r="F5272" i="1"/>
  <c r="G5272" i="1"/>
  <c r="I5272" i="1"/>
  <c r="J5272" i="1"/>
  <c r="K5272" i="1"/>
  <c r="L5272" i="1"/>
  <c r="M5272" i="1"/>
  <c r="N5272" i="1"/>
  <c r="O5272" i="1"/>
  <c r="P5272" i="1"/>
  <c r="Q5272" i="1"/>
  <c r="R5272" i="1"/>
  <c r="S5272" i="1"/>
  <c r="T5272" i="1"/>
  <c r="U5272" i="1"/>
  <c r="V5272" i="1"/>
  <c r="W5272" i="1"/>
  <c r="X5272" i="1"/>
  <c r="Y5272" i="1"/>
  <c r="Z5272" i="1"/>
  <c r="A5273" i="1"/>
  <c r="B5273" i="1"/>
  <c r="C5273" i="1"/>
  <c r="D5273" i="1"/>
  <c r="E5273" i="1"/>
  <c r="F5273" i="1"/>
  <c r="G5273" i="1"/>
  <c r="I5273" i="1"/>
  <c r="J5273" i="1"/>
  <c r="K5273" i="1"/>
  <c r="L5273" i="1"/>
  <c r="M5273" i="1"/>
  <c r="N5273" i="1"/>
  <c r="O5273" i="1"/>
  <c r="P5273" i="1"/>
  <c r="Q5273" i="1"/>
  <c r="R5273" i="1"/>
  <c r="S5273" i="1"/>
  <c r="T5273" i="1"/>
  <c r="U5273" i="1"/>
  <c r="V5273" i="1"/>
  <c r="W5273" i="1"/>
  <c r="X5273" i="1"/>
  <c r="Y5273" i="1"/>
  <c r="Z5273" i="1"/>
  <c r="A5274" i="1"/>
  <c r="B5274" i="1"/>
  <c r="C5274" i="1"/>
  <c r="D5274" i="1"/>
  <c r="E5274" i="1"/>
  <c r="F5274" i="1"/>
  <c r="G5274" i="1"/>
  <c r="I5274" i="1"/>
  <c r="J5274" i="1"/>
  <c r="K5274" i="1"/>
  <c r="L5274" i="1"/>
  <c r="M5274" i="1"/>
  <c r="N5274" i="1"/>
  <c r="O5274" i="1"/>
  <c r="P5274" i="1"/>
  <c r="Q5274" i="1"/>
  <c r="R5274" i="1"/>
  <c r="S5274" i="1"/>
  <c r="T5274" i="1"/>
  <c r="U5274" i="1"/>
  <c r="V5274" i="1"/>
  <c r="W5274" i="1"/>
  <c r="X5274" i="1"/>
  <c r="Y5274" i="1"/>
  <c r="Z5274" i="1"/>
  <c r="A5275" i="1"/>
  <c r="B5275" i="1"/>
  <c r="C5275" i="1"/>
  <c r="D5275" i="1"/>
  <c r="E5275" i="1"/>
  <c r="F5275" i="1"/>
  <c r="G5275" i="1"/>
  <c r="I5275" i="1"/>
  <c r="J5275" i="1"/>
  <c r="K5275" i="1"/>
  <c r="L5275" i="1"/>
  <c r="M5275" i="1"/>
  <c r="N5275" i="1"/>
  <c r="O5275" i="1"/>
  <c r="P5275" i="1"/>
  <c r="Q5275" i="1"/>
  <c r="R5275" i="1"/>
  <c r="S5275" i="1"/>
  <c r="T5275" i="1"/>
  <c r="U5275" i="1"/>
  <c r="V5275" i="1"/>
  <c r="W5275" i="1"/>
  <c r="X5275" i="1"/>
  <c r="Y5275" i="1"/>
  <c r="Z5275" i="1"/>
  <c r="A5276" i="1"/>
  <c r="B5276" i="1"/>
  <c r="C5276" i="1"/>
  <c r="D5276" i="1"/>
  <c r="E5276" i="1"/>
  <c r="F5276" i="1"/>
  <c r="G5276" i="1"/>
  <c r="I5276" i="1"/>
  <c r="J5276" i="1"/>
  <c r="K5276" i="1"/>
  <c r="L5276" i="1"/>
  <c r="M5276" i="1"/>
  <c r="N5276" i="1"/>
  <c r="O5276" i="1"/>
  <c r="P5276" i="1"/>
  <c r="Q5276" i="1"/>
  <c r="R5276" i="1"/>
  <c r="S5276" i="1"/>
  <c r="T5276" i="1"/>
  <c r="U5276" i="1"/>
  <c r="V5276" i="1"/>
  <c r="W5276" i="1"/>
  <c r="X5276" i="1"/>
  <c r="Y5276" i="1"/>
  <c r="Z5276" i="1"/>
  <c r="A5277" i="1"/>
  <c r="B5277" i="1"/>
  <c r="C5277" i="1"/>
  <c r="D5277" i="1"/>
  <c r="E5277" i="1"/>
  <c r="F5277" i="1"/>
  <c r="G5277" i="1"/>
  <c r="I5277" i="1"/>
  <c r="J5277" i="1"/>
  <c r="K5277" i="1"/>
  <c r="L5277" i="1"/>
  <c r="M5277" i="1"/>
  <c r="N5277" i="1"/>
  <c r="O5277" i="1"/>
  <c r="P5277" i="1"/>
  <c r="Q5277" i="1"/>
  <c r="R5277" i="1"/>
  <c r="S5277" i="1"/>
  <c r="T5277" i="1"/>
  <c r="U5277" i="1"/>
  <c r="V5277" i="1"/>
  <c r="W5277" i="1"/>
  <c r="X5277" i="1"/>
  <c r="Y5277" i="1"/>
  <c r="Z5277" i="1"/>
  <c r="A5278" i="1"/>
  <c r="B5278" i="1"/>
  <c r="C5278" i="1"/>
  <c r="D5278" i="1"/>
  <c r="E5278" i="1"/>
  <c r="F5278" i="1"/>
  <c r="G5278" i="1"/>
  <c r="I5278" i="1"/>
  <c r="J5278" i="1"/>
  <c r="K5278" i="1"/>
  <c r="L5278" i="1"/>
  <c r="M5278" i="1"/>
  <c r="N5278" i="1"/>
  <c r="O5278" i="1"/>
  <c r="P5278" i="1"/>
  <c r="Q5278" i="1"/>
  <c r="R5278" i="1"/>
  <c r="S5278" i="1"/>
  <c r="T5278" i="1"/>
  <c r="U5278" i="1"/>
  <c r="V5278" i="1"/>
  <c r="W5278" i="1"/>
  <c r="X5278" i="1"/>
  <c r="Y5278" i="1"/>
  <c r="Z5278" i="1"/>
  <c r="A5279" i="1"/>
  <c r="B5279" i="1"/>
  <c r="C5279" i="1"/>
  <c r="D5279" i="1"/>
  <c r="E5279" i="1"/>
  <c r="F5279" i="1"/>
  <c r="G5279" i="1"/>
  <c r="I5279" i="1"/>
  <c r="J5279" i="1"/>
  <c r="K5279" i="1"/>
  <c r="L5279" i="1"/>
  <c r="M5279" i="1"/>
  <c r="N5279" i="1"/>
  <c r="O5279" i="1"/>
  <c r="P5279" i="1"/>
  <c r="Q5279" i="1"/>
  <c r="R5279" i="1"/>
  <c r="S5279" i="1"/>
  <c r="T5279" i="1"/>
  <c r="U5279" i="1"/>
  <c r="V5279" i="1"/>
  <c r="W5279" i="1"/>
  <c r="X5279" i="1"/>
  <c r="Y5279" i="1"/>
  <c r="Z5279" i="1"/>
  <c r="A5280" i="1"/>
  <c r="B5280" i="1"/>
  <c r="C5280" i="1"/>
  <c r="D5280" i="1"/>
  <c r="E5280" i="1"/>
  <c r="F5280" i="1"/>
  <c r="G5280" i="1"/>
  <c r="I5280" i="1"/>
  <c r="J5280" i="1"/>
  <c r="K5280" i="1"/>
  <c r="L5280" i="1"/>
  <c r="M5280" i="1"/>
  <c r="N5280" i="1"/>
  <c r="O5280" i="1"/>
  <c r="P5280" i="1"/>
  <c r="Q5280" i="1"/>
  <c r="R5280" i="1"/>
  <c r="S5280" i="1"/>
  <c r="T5280" i="1"/>
  <c r="U5280" i="1"/>
  <c r="V5280" i="1"/>
  <c r="W5280" i="1"/>
  <c r="X5280" i="1"/>
  <c r="Y5280" i="1"/>
  <c r="Z5280" i="1"/>
  <c r="A5281" i="1"/>
  <c r="B5281" i="1"/>
  <c r="C5281" i="1"/>
  <c r="D5281" i="1"/>
  <c r="E5281" i="1"/>
  <c r="F5281" i="1"/>
  <c r="G5281" i="1"/>
  <c r="I5281" i="1"/>
  <c r="J5281" i="1"/>
  <c r="K5281" i="1"/>
  <c r="L5281" i="1"/>
  <c r="M5281" i="1"/>
  <c r="N5281" i="1"/>
  <c r="O5281" i="1"/>
  <c r="P5281" i="1"/>
  <c r="Q5281" i="1"/>
  <c r="R5281" i="1"/>
  <c r="S5281" i="1"/>
  <c r="T5281" i="1"/>
  <c r="U5281" i="1"/>
  <c r="V5281" i="1"/>
  <c r="W5281" i="1"/>
  <c r="X5281" i="1"/>
  <c r="Y5281" i="1"/>
  <c r="Z5281" i="1"/>
  <c r="A5282" i="1"/>
  <c r="B5282" i="1"/>
  <c r="C5282" i="1"/>
  <c r="D5282" i="1"/>
  <c r="E5282" i="1"/>
  <c r="F5282" i="1"/>
  <c r="G5282" i="1"/>
  <c r="I5282" i="1"/>
  <c r="J5282" i="1"/>
  <c r="K5282" i="1"/>
  <c r="L5282" i="1"/>
  <c r="M5282" i="1"/>
  <c r="N5282" i="1"/>
  <c r="O5282" i="1"/>
  <c r="P5282" i="1"/>
  <c r="Q5282" i="1"/>
  <c r="R5282" i="1"/>
  <c r="S5282" i="1"/>
  <c r="T5282" i="1"/>
  <c r="U5282" i="1"/>
  <c r="V5282" i="1"/>
  <c r="W5282" i="1"/>
  <c r="X5282" i="1"/>
  <c r="Y5282" i="1"/>
  <c r="Z5282" i="1"/>
  <c r="A5283" i="1"/>
  <c r="B5283" i="1"/>
  <c r="C5283" i="1"/>
  <c r="D5283" i="1"/>
  <c r="E5283" i="1"/>
  <c r="F5283" i="1"/>
  <c r="G5283" i="1"/>
  <c r="I5283" i="1"/>
  <c r="J5283" i="1"/>
  <c r="K5283" i="1"/>
  <c r="L5283" i="1"/>
  <c r="M5283" i="1"/>
  <c r="N5283" i="1"/>
  <c r="O5283" i="1"/>
  <c r="P5283" i="1"/>
  <c r="Q5283" i="1"/>
  <c r="R5283" i="1"/>
  <c r="S5283" i="1"/>
  <c r="T5283" i="1"/>
  <c r="U5283" i="1"/>
  <c r="V5283" i="1"/>
  <c r="W5283" i="1"/>
  <c r="X5283" i="1"/>
  <c r="Y5283" i="1"/>
  <c r="Z5283" i="1"/>
  <c r="A5284" i="1"/>
  <c r="B5284" i="1"/>
  <c r="C5284" i="1"/>
  <c r="D5284" i="1"/>
  <c r="E5284" i="1"/>
  <c r="F5284" i="1"/>
  <c r="G5284" i="1"/>
  <c r="I5284" i="1"/>
  <c r="J5284" i="1"/>
  <c r="K5284" i="1"/>
  <c r="L5284" i="1"/>
  <c r="M5284" i="1"/>
  <c r="N5284" i="1"/>
  <c r="O5284" i="1"/>
  <c r="P5284" i="1"/>
  <c r="Q5284" i="1"/>
  <c r="R5284" i="1"/>
  <c r="S5284" i="1"/>
  <c r="T5284" i="1"/>
  <c r="U5284" i="1"/>
  <c r="V5284" i="1"/>
  <c r="W5284" i="1"/>
  <c r="X5284" i="1"/>
  <c r="Y5284" i="1"/>
  <c r="Z5284" i="1"/>
  <c r="A5285" i="1"/>
  <c r="B5285" i="1"/>
  <c r="C5285" i="1"/>
  <c r="D5285" i="1"/>
  <c r="E5285" i="1"/>
  <c r="F5285" i="1"/>
  <c r="G5285" i="1"/>
  <c r="I5285" i="1"/>
  <c r="J5285" i="1"/>
  <c r="K5285" i="1"/>
  <c r="L5285" i="1"/>
  <c r="M5285" i="1"/>
  <c r="N5285" i="1"/>
  <c r="O5285" i="1"/>
  <c r="P5285" i="1"/>
  <c r="Q5285" i="1"/>
  <c r="R5285" i="1"/>
  <c r="S5285" i="1"/>
  <c r="T5285" i="1"/>
  <c r="U5285" i="1"/>
  <c r="V5285" i="1"/>
  <c r="W5285" i="1"/>
  <c r="X5285" i="1"/>
  <c r="Y5285" i="1"/>
  <c r="Z5285" i="1"/>
  <c r="A5286" i="1"/>
  <c r="B5286" i="1"/>
  <c r="C5286" i="1"/>
  <c r="D5286" i="1"/>
  <c r="E5286" i="1"/>
  <c r="F5286" i="1"/>
  <c r="G5286" i="1"/>
  <c r="I5286" i="1"/>
  <c r="J5286" i="1"/>
  <c r="K5286" i="1"/>
  <c r="L5286" i="1"/>
  <c r="M5286" i="1"/>
  <c r="N5286" i="1"/>
  <c r="O5286" i="1"/>
  <c r="P5286" i="1"/>
  <c r="Q5286" i="1"/>
  <c r="R5286" i="1"/>
  <c r="S5286" i="1"/>
  <c r="T5286" i="1"/>
  <c r="U5286" i="1"/>
  <c r="V5286" i="1"/>
  <c r="W5286" i="1"/>
  <c r="X5286" i="1"/>
  <c r="Y5286" i="1"/>
  <c r="Z5286" i="1"/>
  <c r="A5287" i="1"/>
  <c r="B5287" i="1"/>
  <c r="C5287" i="1"/>
  <c r="D5287" i="1"/>
  <c r="E5287" i="1"/>
  <c r="F5287" i="1"/>
  <c r="G5287" i="1"/>
  <c r="I5287" i="1"/>
  <c r="J5287" i="1"/>
  <c r="K5287" i="1"/>
  <c r="L5287" i="1"/>
  <c r="M5287" i="1"/>
  <c r="N5287" i="1"/>
  <c r="O5287" i="1"/>
  <c r="P5287" i="1"/>
  <c r="Q5287" i="1"/>
  <c r="R5287" i="1"/>
  <c r="S5287" i="1"/>
  <c r="T5287" i="1"/>
  <c r="U5287" i="1"/>
  <c r="V5287" i="1"/>
  <c r="W5287" i="1"/>
  <c r="X5287" i="1"/>
  <c r="Y5287" i="1"/>
  <c r="Z5287" i="1"/>
  <c r="A5288" i="1"/>
  <c r="B5288" i="1"/>
  <c r="C5288" i="1"/>
  <c r="D5288" i="1"/>
  <c r="E5288" i="1"/>
  <c r="F5288" i="1"/>
  <c r="G5288" i="1"/>
  <c r="I5288" i="1"/>
  <c r="J5288" i="1"/>
  <c r="K5288" i="1"/>
  <c r="L5288" i="1"/>
  <c r="M5288" i="1"/>
  <c r="N5288" i="1"/>
  <c r="O5288" i="1"/>
  <c r="P5288" i="1"/>
  <c r="Q5288" i="1"/>
  <c r="R5288" i="1"/>
  <c r="S5288" i="1"/>
  <c r="T5288" i="1"/>
  <c r="U5288" i="1"/>
  <c r="V5288" i="1"/>
  <c r="W5288" i="1"/>
  <c r="X5288" i="1"/>
  <c r="Y5288" i="1"/>
  <c r="Z5288" i="1"/>
  <c r="A5289" i="1"/>
  <c r="B5289" i="1"/>
  <c r="C5289" i="1"/>
  <c r="D5289" i="1"/>
  <c r="E5289" i="1"/>
  <c r="F5289" i="1"/>
  <c r="G5289" i="1"/>
  <c r="I5289" i="1"/>
  <c r="J5289" i="1"/>
  <c r="K5289" i="1"/>
  <c r="L5289" i="1"/>
  <c r="M5289" i="1"/>
  <c r="N5289" i="1"/>
  <c r="O5289" i="1"/>
  <c r="P5289" i="1"/>
  <c r="Q5289" i="1"/>
  <c r="R5289" i="1"/>
  <c r="S5289" i="1"/>
  <c r="T5289" i="1"/>
  <c r="U5289" i="1"/>
  <c r="V5289" i="1"/>
  <c r="W5289" i="1"/>
  <c r="X5289" i="1"/>
  <c r="Y5289" i="1"/>
  <c r="Z5289" i="1"/>
  <c r="A5290" i="1"/>
  <c r="B5290" i="1"/>
  <c r="C5290" i="1"/>
  <c r="D5290" i="1"/>
  <c r="E5290" i="1"/>
  <c r="F5290" i="1"/>
  <c r="G5290" i="1"/>
  <c r="I5290" i="1"/>
  <c r="J5290" i="1"/>
  <c r="K5290" i="1"/>
  <c r="L5290" i="1"/>
  <c r="M5290" i="1"/>
  <c r="N5290" i="1"/>
  <c r="O5290" i="1"/>
  <c r="P5290" i="1"/>
  <c r="Q5290" i="1"/>
  <c r="R5290" i="1"/>
  <c r="S5290" i="1"/>
  <c r="T5290" i="1"/>
  <c r="U5290" i="1"/>
  <c r="V5290" i="1"/>
  <c r="W5290" i="1"/>
  <c r="X5290" i="1"/>
  <c r="Y5290" i="1"/>
  <c r="Z5290" i="1"/>
  <c r="A5291" i="1"/>
  <c r="B5291" i="1"/>
  <c r="C5291" i="1"/>
  <c r="D5291" i="1"/>
  <c r="E5291" i="1"/>
  <c r="F5291" i="1"/>
  <c r="G5291" i="1"/>
  <c r="I5291" i="1"/>
  <c r="J5291" i="1"/>
  <c r="K5291" i="1"/>
  <c r="L5291" i="1"/>
  <c r="M5291" i="1"/>
  <c r="N5291" i="1"/>
  <c r="O5291" i="1"/>
  <c r="P5291" i="1"/>
  <c r="Q5291" i="1"/>
  <c r="R5291" i="1"/>
  <c r="S5291" i="1"/>
  <c r="T5291" i="1"/>
  <c r="U5291" i="1"/>
  <c r="V5291" i="1"/>
  <c r="W5291" i="1"/>
  <c r="X5291" i="1"/>
  <c r="Y5291" i="1"/>
  <c r="Z5291" i="1"/>
  <c r="A5292" i="1"/>
  <c r="B5292" i="1"/>
  <c r="C5292" i="1"/>
  <c r="D5292" i="1"/>
  <c r="E5292" i="1"/>
  <c r="F5292" i="1"/>
  <c r="G5292" i="1"/>
  <c r="I5292" i="1"/>
  <c r="J5292" i="1"/>
  <c r="K5292" i="1"/>
  <c r="L5292" i="1"/>
  <c r="M5292" i="1"/>
  <c r="N5292" i="1"/>
  <c r="O5292" i="1"/>
  <c r="P5292" i="1"/>
  <c r="Q5292" i="1"/>
  <c r="R5292" i="1"/>
  <c r="S5292" i="1"/>
  <c r="T5292" i="1"/>
  <c r="U5292" i="1"/>
  <c r="V5292" i="1"/>
  <c r="W5292" i="1"/>
  <c r="X5292" i="1"/>
  <c r="Y5292" i="1"/>
  <c r="Z5292" i="1"/>
  <c r="A5293" i="1"/>
  <c r="B5293" i="1"/>
  <c r="C5293" i="1"/>
  <c r="D5293" i="1"/>
  <c r="E5293" i="1"/>
  <c r="F5293" i="1"/>
  <c r="G5293" i="1"/>
  <c r="I5293" i="1"/>
  <c r="J5293" i="1"/>
  <c r="K5293" i="1"/>
  <c r="L5293" i="1"/>
  <c r="M5293" i="1"/>
  <c r="N5293" i="1"/>
  <c r="O5293" i="1"/>
  <c r="P5293" i="1"/>
  <c r="Q5293" i="1"/>
  <c r="R5293" i="1"/>
  <c r="S5293" i="1"/>
  <c r="T5293" i="1"/>
  <c r="U5293" i="1"/>
  <c r="V5293" i="1"/>
  <c r="W5293" i="1"/>
  <c r="X5293" i="1"/>
  <c r="Y5293" i="1"/>
  <c r="Z5293" i="1"/>
  <c r="A5294" i="1"/>
  <c r="B5294" i="1"/>
  <c r="C5294" i="1"/>
  <c r="D5294" i="1"/>
  <c r="E5294" i="1"/>
  <c r="F5294" i="1"/>
  <c r="G5294" i="1"/>
  <c r="I5294" i="1"/>
  <c r="J5294" i="1"/>
  <c r="K5294" i="1"/>
  <c r="L5294" i="1"/>
  <c r="M5294" i="1"/>
  <c r="N5294" i="1"/>
  <c r="O5294" i="1"/>
  <c r="P5294" i="1"/>
  <c r="Q5294" i="1"/>
  <c r="R5294" i="1"/>
  <c r="S5294" i="1"/>
  <c r="T5294" i="1"/>
  <c r="U5294" i="1"/>
  <c r="V5294" i="1"/>
  <c r="W5294" i="1"/>
  <c r="X5294" i="1"/>
  <c r="Y5294" i="1"/>
  <c r="Z5294" i="1"/>
  <c r="A5295" i="1"/>
  <c r="B5295" i="1"/>
  <c r="C5295" i="1"/>
  <c r="D5295" i="1"/>
  <c r="E5295" i="1"/>
  <c r="F5295" i="1"/>
  <c r="G5295" i="1"/>
  <c r="I5295" i="1"/>
  <c r="J5295" i="1"/>
  <c r="K5295" i="1"/>
  <c r="L5295" i="1"/>
  <c r="M5295" i="1"/>
  <c r="N5295" i="1"/>
  <c r="O5295" i="1"/>
  <c r="P5295" i="1"/>
  <c r="Q5295" i="1"/>
  <c r="R5295" i="1"/>
  <c r="S5295" i="1"/>
  <c r="T5295" i="1"/>
  <c r="U5295" i="1"/>
  <c r="V5295" i="1"/>
  <c r="W5295" i="1"/>
  <c r="X5295" i="1"/>
  <c r="Y5295" i="1"/>
  <c r="Z5295" i="1"/>
  <c r="A5296" i="1"/>
  <c r="B5296" i="1"/>
  <c r="C5296" i="1"/>
  <c r="D5296" i="1"/>
  <c r="E5296" i="1"/>
  <c r="F5296" i="1"/>
  <c r="G5296" i="1"/>
  <c r="I5296" i="1"/>
  <c r="J5296" i="1"/>
  <c r="K5296" i="1"/>
  <c r="L5296" i="1"/>
  <c r="M5296" i="1"/>
  <c r="N5296" i="1"/>
  <c r="O5296" i="1"/>
  <c r="P5296" i="1"/>
  <c r="Q5296" i="1"/>
  <c r="R5296" i="1"/>
  <c r="S5296" i="1"/>
  <c r="T5296" i="1"/>
  <c r="U5296" i="1"/>
  <c r="V5296" i="1"/>
  <c r="W5296" i="1"/>
  <c r="X5296" i="1"/>
  <c r="Y5296" i="1"/>
  <c r="Z5296" i="1"/>
  <c r="A5297" i="1"/>
  <c r="B5297" i="1"/>
  <c r="C5297" i="1"/>
  <c r="D5297" i="1"/>
  <c r="E5297" i="1"/>
  <c r="F5297" i="1"/>
  <c r="G5297" i="1"/>
  <c r="I5297" i="1"/>
  <c r="J5297" i="1"/>
  <c r="K5297" i="1"/>
  <c r="L5297" i="1"/>
  <c r="M5297" i="1"/>
  <c r="N5297" i="1"/>
  <c r="O5297" i="1"/>
  <c r="P5297" i="1"/>
  <c r="Q5297" i="1"/>
  <c r="R5297" i="1"/>
  <c r="S5297" i="1"/>
  <c r="T5297" i="1"/>
  <c r="U5297" i="1"/>
  <c r="V5297" i="1"/>
  <c r="W5297" i="1"/>
  <c r="X5297" i="1"/>
  <c r="Y5297" i="1"/>
  <c r="Z5297" i="1"/>
  <c r="A5298" i="1"/>
  <c r="B5298" i="1"/>
  <c r="C5298" i="1"/>
  <c r="D5298" i="1"/>
  <c r="E5298" i="1"/>
  <c r="F5298" i="1"/>
  <c r="G5298" i="1"/>
  <c r="I5298" i="1"/>
  <c r="J5298" i="1"/>
  <c r="K5298" i="1"/>
  <c r="L5298" i="1"/>
  <c r="M5298" i="1"/>
  <c r="N5298" i="1"/>
  <c r="O5298" i="1"/>
  <c r="P5298" i="1"/>
  <c r="Q5298" i="1"/>
  <c r="R5298" i="1"/>
  <c r="S5298" i="1"/>
  <c r="T5298" i="1"/>
  <c r="U5298" i="1"/>
  <c r="V5298" i="1"/>
  <c r="W5298" i="1"/>
  <c r="X5298" i="1"/>
  <c r="Y5298" i="1"/>
  <c r="Z5298" i="1"/>
  <c r="A5299" i="1"/>
  <c r="B5299" i="1"/>
  <c r="C5299" i="1"/>
  <c r="D5299" i="1"/>
  <c r="E5299" i="1"/>
  <c r="F5299" i="1"/>
  <c r="G5299" i="1"/>
  <c r="I5299" i="1"/>
  <c r="J5299" i="1"/>
  <c r="K5299" i="1"/>
  <c r="L5299" i="1"/>
  <c r="M5299" i="1"/>
  <c r="N5299" i="1"/>
  <c r="O5299" i="1"/>
  <c r="P5299" i="1"/>
  <c r="Q5299" i="1"/>
  <c r="R5299" i="1"/>
  <c r="S5299" i="1"/>
  <c r="T5299" i="1"/>
  <c r="U5299" i="1"/>
  <c r="V5299" i="1"/>
  <c r="W5299" i="1"/>
  <c r="X5299" i="1"/>
  <c r="Y5299" i="1"/>
  <c r="Z5299" i="1"/>
  <c r="A5300" i="1"/>
  <c r="B5300" i="1"/>
  <c r="C5300" i="1"/>
  <c r="D5300" i="1"/>
  <c r="E5300" i="1"/>
  <c r="F5300" i="1"/>
  <c r="G5300" i="1"/>
  <c r="I5300" i="1"/>
  <c r="J5300" i="1"/>
  <c r="K5300" i="1"/>
  <c r="L5300" i="1"/>
  <c r="M5300" i="1"/>
  <c r="N5300" i="1"/>
  <c r="O5300" i="1"/>
  <c r="P5300" i="1"/>
  <c r="Q5300" i="1"/>
  <c r="R5300" i="1"/>
  <c r="S5300" i="1"/>
  <c r="T5300" i="1"/>
  <c r="U5300" i="1"/>
  <c r="V5300" i="1"/>
  <c r="W5300" i="1"/>
  <c r="X5300" i="1"/>
  <c r="Y5300" i="1"/>
  <c r="Z5300" i="1"/>
  <c r="A5301" i="1"/>
  <c r="B5301" i="1"/>
  <c r="C5301" i="1"/>
  <c r="D5301" i="1"/>
  <c r="E5301" i="1"/>
  <c r="F5301" i="1"/>
  <c r="G5301" i="1"/>
  <c r="I5301" i="1"/>
  <c r="J5301" i="1"/>
  <c r="K5301" i="1"/>
  <c r="L5301" i="1"/>
  <c r="M5301" i="1"/>
  <c r="N5301" i="1"/>
  <c r="O5301" i="1"/>
  <c r="P5301" i="1"/>
  <c r="Q5301" i="1"/>
  <c r="R5301" i="1"/>
  <c r="S5301" i="1"/>
  <c r="T5301" i="1"/>
  <c r="U5301" i="1"/>
  <c r="V5301" i="1"/>
  <c r="W5301" i="1"/>
  <c r="X5301" i="1"/>
  <c r="Y5301" i="1"/>
  <c r="Z5301" i="1"/>
  <c r="A5302" i="1"/>
  <c r="B5302" i="1"/>
  <c r="C5302" i="1"/>
  <c r="D5302" i="1"/>
  <c r="E5302" i="1"/>
  <c r="F5302" i="1"/>
  <c r="G5302" i="1"/>
  <c r="I5302" i="1"/>
  <c r="J5302" i="1"/>
  <c r="K5302" i="1"/>
  <c r="L5302" i="1"/>
  <c r="M5302" i="1"/>
  <c r="N5302" i="1"/>
  <c r="O5302" i="1"/>
  <c r="P5302" i="1"/>
  <c r="Q5302" i="1"/>
  <c r="R5302" i="1"/>
  <c r="S5302" i="1"/>
  <c r="T5302" i="1"/>
  <c r="U5302" i="1"/>
  <c r="V5302" i="1"/>
  <c r="W5302" i="1"/>
  <c r="X5302" i="1"/>
  <c r="Y5302" i="1"/>
  <c r="Z5302" i="1"/>
  <c r="A5303" i="1"/>
  <c r="B5303" i="1"/>
  <c r="C5303" i="1"/>
  <c r="D5303" i="1"/>
  <c r="E5303" i="1"/>
  <c r="F5303" i="1"/>
  <c r="G5303" i="1"/>
  <c r="I5303" i="1"/>
  <c r="J5303" i="1"/>
  <c r="K5303" i="1"/>
  <c r="L5303" i="1"/>
  <c r="M5303" i="1"/>
  <c r="N5303" i="1"/>
  <c r="O5303" i="1"/>
  <c r="P5303" i="1"/>
  <c r="Q5303" i="1"/>
  <c r="R5303" i="1"/>
  <c r="S5303" i="1"/>
  <c r="T5303" i="1"/>
  <c r="U5303" i="1"/>
  <c r="V5303" i="1"/>
  <c r="W5303" i="1"/>
  <c r="X5303" i="1"/>
  <c r="Y5303" i="1"/>
  <c r="Z5303" i="1"/>
  <c r="A5304" i="1"/>
  <c r="B5304" i="1"/>
  <c r="C5304" i="1"/>
  <c r="D5304" i="1"/>
  <c r="E5304" i="1"/>
  <c r="F5304" i="1"/>
  <c r="G5304" i="1"/>
  <c r="I5304" i="1"/>
  <c r="J5304" i="1"/>
  <c r="K5304" i="1"/>
  <c r="L5304" i="1"/>
  <c r="M5304" i="1"/>
  <c r="N5304" i="1"/>
  <c r="O5304" i="1"/>
  <c r="P5304" i="1"/>
  <c r="Q5304" i="1"/>
  <c r="R5304" i="1"/>
  <c r="S5304" i="1"/>
  <c r="T5304" i="1"/>
  <c r="U5304" i="1"/>
  <c r="V5304" i="1"/>
  <c r="W5304" i="1"/>
  <c r="X5304" i="1"/>
  <c r="Y5304" i="1"/>
  <c r="Z5304" i="1"/>
  <c r="A5305" i="1"/>
  <c r="B5305" i="1"/>
  <c r="C5305" i="1"/>
  <c r="D5305" i="1"/>
  <c r="E5305" i="1"/>
  <c r="F5305" i="1"/>
  <c r="G5305" i="1"/>
  <c r="I5305" i="1"/>
  <c r="J5305" i="1"/>
  <c r="K5305" i="1"/>
  <c r="L5305" i="1"/>
  <c r="M5305" i="1"/>
  <c r="N5305" i="1"/>
  <c r="O5305" i="1"/>
  <c r="P5305" i="1"/>
  <c r="Q5305" i="1"/>
  <c r="R5305" i="1"/>
  <c r="S5305" i="1"/>
  <c r="T5305" i="1"/>
  <c r="U5305" i="1"/>
  <c r="V5305" i="1"/>
  <c r="W5305" i="1"/>
  <c r="X5305" i="1"/>
  <c r="Y5305" i="1"/>
  <c r="Z5305" i="1"/>
  <c r="A5306" i="1"/>
  <c r="B5306" i="1"/>
  <c r="C5306" i="1"/>
  <c r="D5306" i="1"/>
  <c r="E5306" i="1"/>
  <c r="F5306" i="1"/>
  <c r="G5306" i="1"/>
  <c r="I5306" i="1"/>
  <c r="J5306" i="1"/>
  <c r="K5306" i="1"/>
  <c r="L5306" i="1"/>
  <c r="M5306" i="1"/>
  <c r="N5306" i="1"/>
  <c r="O5306" i="1"/>
  <c r="P5306" i="1"/>
  <c r="Q5306" i="1"/>
  <c r="R5306" i="1"/>
  <c r="S5306" i="1"/>
  <c r="T5306" i="1"/>
  <c r="U5306" i="1"/>
  <c r="V5306" i="1"/>
  <c r="W5306" i="1"/>
  <c r="X5306" i="1"/>
  <c r="Y5306" i="1"/>
  <c r="Z5306" i="1"/>
  <c r="A5307" i="1"/>
  <c r="B5307" i="1"/>
  <c r="C5307" i="1"/>
  <c r="D5307" i="1"/>
  <c r="E5307" i="1"/>
  <c r="F5307" i="1"/>
  <c r="G5307" i="1"/>
  <c r="I5307" i="1"/>
  <c r="J5307" i="1"/>
  <c r="K5307" i="1"/>
  <c r="L5307" i="1"/>
  <c r="M5307" i="1"/>
  <c r="N5307" i="1"/>
  <c r="O5307" i="1"/>
  <c r="P5307" i="1"/>
  <c r="Q5307" i="1"/>
  <c r="R5307" i="1"/>
  <c r="S5307" i="1"/>
  <c r="T5307" i="1"/>
  <c r="U5307" i="1"/>
  <c r="V5307" i="1"/>
  <c r="W5307" i="1"/>
  <c r="X5307" i="1"/>
  <c r="Y5307" i="1"/>
  <c r="Z5307" i="1"/>
  <c r="A5308" i="1"/>
  <c r="B5308" i="1"/>
  <c r="C5308" i="1"/>
  <c r="D5308" i="1"/>
  <c r="E5308" i="1"/>
  <c r="F5308" i="1"/>
  <c r="G5308" i="1"/>
  <c r="I5308" i="1"/>
  <c r="J5308" i="1"/>
  <c r="K5308" i="1"/>
  <c r="L5308" i="1"/>
  <c r="M5308" i="1"/>
  <c r="N5308" i="1"/>
  <c r="O5308" i="1"/>
  <c r="P5308" i="1"/>
  <c r="Q5308" i="1"/>
  <c r="R5308" i="1"/>
  <c r="S5308" i="1"/>
  <c r="T5308" i="1"/>
  <c r="U5308" i="1"/>
  <c r="V5308" i="1"/>
  <c r="W5308" i="1"/>
  <c r="X5308" i="1"/>
  <c r="Y5308" i="1"/>
  <c r="Z5308" i="1"/>
  <c r="A5309" i="1"/>
  <c r="B5309" i="1"/>
  <c r="C5309" i="1"/>
  <c r="D5309" i="1"/>
  <c r="E5309" i="1"/>
  <c r="F5309" i="1"/>
  <c r="G5309" i="1"/>
  <c r="I5309" i="1"/>
  <c r="J5309" i="1"/>
  <c r="K5309" i="1"/>
  <c r="L5309" i="1"/>
  <c r="M5309" i="1"/>
  <c r="N5309" i="1"/>
  <c r="O5309" i="1"/>
  <c r="P5309" i="1"/>
  <c r="Q5309" i="1"/>
  <c r="R5309" i="1"/>
  <c r="S5309" i="1"/>
  <c r="T5309" i="1"/>
  <c r="U5309" i="1"/>
  <c r="V5309" i="1"/>
  <c r="W5309" i="1"/>
  <c r="X5309" i="1"/>
  <c r="Y5309" i="1"/>
  <c r="Z5309" i="1"/>
  <c r="A5310" i="1"/>
  <c r="B5310" i="1"/>
  <c r="C5310" i="1"/>
  <c r="D5310" i="1"/>
  <c r="E5310" i="1"/>
  <c r="F5310" i="1"/>
  <c r="G5310" i="1"/>
  <c r="I5310" i="1"/>
  <c r="J5310" i="1"/>
  <c r="K5310" i="1"/>
  <c r="L5310" i="1"/>
  <c r="M5310" i="1"/>
  <c r="N5310" i="1"/>
  <c r="O5310" i="1"/>
  <c r="P5310" i="1"/>
  <c r="Q5310" i="1"/>
  <c r="R5310" i="1"/>
  <c r="S5310" i="1"/>
  <c r="T5310" i="1"/>
  <c r="U5310" i="1"/>
  <c r="V5310" i="1"/>
  <c r="W5310" i="1"/>
  <c r="X5310" i="1"/>
  <c r="Y5310" i="1"/>
  <c r="Z5310" i="1"/>
  <c r="A5311" i="1"/>
  <c r="B5311" i="1"/>
  <c r="C5311" i="1"/>
  <c r="D5311" i="1"/>
  <c r="E5311" i="1"/>
  <c r="F5311" i="1"/>
  <c r="G5311" i="1"/>
  <c r="I5311" i="1"/>
  <c r="J5311" i="1"/>
  <c r="K5311" i="1"/>
  <c r="L5311" i="1"/>
  <c r="M5311" i="1"/>
  <c r="N5311" i="1"/>
  <c r="O5311" i="1"/>
  <c r="P5311" i="1"/>
  <c r="Q5311" i="1"/>
  <c r="R5311" i="1"/>
  <c r="S5311" i="1"/>
  <c r="T5311" i="1"/>
  <c r="U5311" i="1"/>
  <c r="V5311" i="1"/>
  <c r="W5311" i="1"/>
  <c r="X5311" i="1"/>
  <c r="Y5311" i="1"/>
  <c r="Z5311" i="1"/>
  <c r="A5312" i="1"/>
  <c r="B5312" i="1"/>
  <c r="C5312" i="1"/>
  <c r="D5312" i="1"/>
  <c r="E5312" i="1"/>
  <c r="F5312" i="1"/>
  <c r="G5312" i="1"/>
  <c r="I5312" i="1"/>
  <c r="J5312" i="1"/>
  <c r="K5312" i="1"/>
  <c r="L5312" i="1"/>
  <c r="M5312" i="1"/>
  <c r="N5312" i="1"/>
  <c r="O5312" i="1"/>
  <c r="P5312" i="1"/>
  <c r="Q5312" i="1"/>
  <c r="R5312" i="1"/>
  <c r="S5312" i="1"/>
  <c r="T5312" i="1"/>
  <c r="U5312" i="1"/>
  <c r="V5312" i="1"/>
  <c r="W5312" i="1"/>
  <c r="X5312" i="1"/>
  <c r="Y5312" i="1"/>
  <c r="Z5312" i="1"/>
  <c r="A5313" i="1"/>
  <c r="B5313" i="1"/>
  <c r="C5313" i="1"/>
  <c r="D5313" i="1"/>
  <c r="E5313" i="1"/>
  <c r="F5313" i="1"/>
  <c r="G5313" i="1"/>
  <c r="I5313" i="1"/>
  <c r="J5313" i="1"/>
  <c r="K5313" i="1"/>
  <c r="L5313" i="1"/>
  <c r="M5313" i="1"/>
  <c r="N5313" i="1"/>
  <c r="O5313" i="1"/>
  <c r="P5313" i="1"/>
  <c r="Q5313" i="1"/>
  <c r="R5313" i="1"/>
  <c r="S5313" i="1"/>
  <c r="T5313" i="1"/>
  <c r="U5313" i="1"/>
  <c r="V5313" i="1"/>
  <c r="W5313" i="1"/>
  <c r="X5313" i="1"/>
  <c r="Y5313" i="1"/>
  <c r="Z5313" i="1"/>
  <c r="A5314" i="1"/>
  <c r="B5314" i="1"/>
  <c r="C5314" i="1"/>
  <c r="D5314" i="1"/>
  <c r="E5314" i="1"/>
  <c r="F5314" i="1"/>
  <c r="G5314" i="1"/>
  <c r="I5314" i="1"/>
  <c r="J5314" i="1"/>
  <c r="K5314" i="1"/>
  <c r="L5314" i="1"/>
  <c r="M5314" i="1"/>
  <c r="N5314" i="1"/>
  <c r="O5314" i="1"/>
  <c r="P5314" i="1"/>
  <c r="Q5314" i="1"/>
  <c r="R5314" i="1"/>
  <c r="S5314" i="1"/>
  <c r="T5314" i="1"/>
  <c r="U5314" i="1"/>
  <c r="V5314" i="1"/>
  <c r="W5314" i="1"/>
  <c r="X5314" i="1"/>
  <c r="Y5314" i="1"/>
  <c r="Z5314" i="1"/>
  <c r="A5315" i="1"/>
  <c r="B5315" i="1"/>
  <c r="C5315" i="1"/>
  <c r="D5315" i="1"/>
  <c r="E5315" i="1"/>
  <c r="F5315" i="1"/>
  <c r="G5315" i="1"/>
  <c r="I5315" i="1"/>
  <c r="J5315" i="1"/>
  <c r="K5315" i="1"/>
  <c r="L5315" i="1"/>
  <c r="M5315" i="1"/>
  <c r="N5315" i="1"/>
  <c r="O5315" i="1"/>
  <c r="P5315" i="1"/>
  <c r="Q5315" i="1"/>
  <c r="R5315" i="1"/>
  <c r="S5315" i="1"/>
  <c r="T5315" i="1"/>
  <c r="U5315" i="1"/>
  <c r="V5315" i="1"/>
  <c r="W5315" i="1"/>
  <c r="X5315" i="1"/>
  <c r="Y5315" i="1"/>
  <c r="Z5315" i="1"/>
  <c r="A5316" i="1"/>
  <c r="B5316" i="1"/>
  <c r="C5316" i="1"/>
  <c r="D5316" i="1"/>
  <c r="E5316" i="1"/>
  <c r="F5316" i="1"/>
  <c r="G5316" i="1"/>
  <c r="I5316" i="1"/>
  <c r="J5316" i="1"/>
  <c r="K5316" i="1"/>
  <c r="L5316" i="1"/>
  <c r="M5316" i="1"/>
  <c r="N5316" i="1"/>
  <c r="O5316" i="1"/>
  <c r="P5316" i="1"/>
  <c r="Q5316" i="1"/>
  <c r="R5316" i="1"/>
  <c r="S5316" i="1"/>
  <c r="T5316" i="1"/>
  <c r="U5316" i="1"/>
  <c r="V5316" i="1"/>
  <c r="W5316" i="1"/>
  <c r="X5316" i="1"/>
  <c r="Y5316" i="1"/>
  <c r="Z5316" i="1"/>
  <c r="A5317" i="1"/>
  <c r="B5317" i="1"/>
  <c r="C5317" i="1"/>
  <c r="D5317" i="1"/>
  <c r="E5317" i="1"/>
  <c r="F5317" i="1"/>
  <c r="G5317" i="1"/>
  <c r="I5317" i="1"/>
  <c r="J5317" i="1"/>
  <c r="K5317" i="1"/>
  <c r="L5317" i="1"/>
  <c r="M5317" i="1"/>
  <c r="N5317" i="1"/>
  <c r="O5317" i="1"/>
  <c r="P5317" i="1"/>
  <c r="Q5317" i="1"/>
  <c r="R5317" i="1"/>
  <c r="S5317" i="1"/>
  <c r="T5317" i="1"/>
  <c r="U5317" i="1"/>
  <c r="V5317" i="1"/>
  <c r="W5317" i="1"/>
  <c r="X5317" i="1"/>
  <c r="Y5317" i="1"/>
  <c r="Z5317" i="1"/>
  <c r="A5318" i="1"/>
  <c r="B5318" i="1"/>
  <c r="C5318" i="1"/>
  <c r="D5318" i="1"/>
  <c r="E5318" i="1"/>
  <c r="F5318" i="1"/>
  <c r="G5318" i="1"/>
  <c r="I5318" i="1"/>
  <c r="J5318" i="1"/>
  <c r="K5318" i="1"/>
  <c r="L5318" i="1"/>
  <c r="M5318" i="1"/>
  <c r="N5318" i="1"/>
  <c r="O5318" i="1"/>
  <c r="P5318" i="1"/>
  <c r="Q5318" i="1"/>
  <c r="R5318" i="1"/>
  <c r="S5318" i="1"/>
  <c r="T5318" i="1"/>
  <c r="U5318" i="1"/>
  <c r="V5318" i="1"/>
  <c r="W5318" i="1"/>
  <c r="X5318" i="1"/>
  <c r="Y5318" i="1"/>
  <c r="Z5318" i="1"/>
  <c r="A5319" i="1"/>
  <c r="B5319" i="1"/>
  <c r="C5319" i="1"/>
  <c r="D5319" i="1"/>
  <c r="E5319" i="1"/>
  <c r="F5319" i="1"/>
  <c r="G5319" i="1"/>
  <c r="I5319" i="1"/>
  <c r="J5319" i="1"/>
  <c r="K5319" i="1"/>
  <c r="L5319" i="1"/>
  <c r="M5319" i="1"/>
  <c r="N5319" i="1"/>
  <c r="O5319" i="1"/>
  <c r="P5319" i="1"/>
  <c r="Q5319" i="1"/>
  <c r="R5319" i="1"/>
  <c r="S5319" i="1"/>
  <c r="T5319" i="1"/>
  <c r="U5319" i="1"/>
  <c r="V5319" i="1"/>
  <c r="W5319" i="1"/>
  <c r="X5319" i="1"/>
  <c r="Y5319" i="1"/>
  <c r="Z5319" i="1"/>
  <c r="A5320" i="1"/>
  <c r="B5320" i="1"/>
  <c r="C5320" i="1"/>
  <c r="D5320" i="1"/>
  <c r="E5320" i="1"/>
  <c r="F5320" i="1"/>
  <c r="G5320" i="1"/>
  <c r="I5320" i="1"/>
  <c r="J5320" i="1"/>
  <c r="K5320" i="1"/>
  <c r="L5320" i="1"/>
  <c r="M5320" i="1"/>
  <c r="N5320" i="1"/>
  <c r="O5320" i="1"/>
  <c r="P5320" i="1"/>
  <c r="Q5320" i="1"/>
  <c r="R5320" i="1"/>
  <c r="S5320" i="1"/>
  <c r="T5320" i="1"/>
  <c r="U5320" i="1"/>
  <c r="V5320" i="1"/>
  <c r="W5320" i="1"/>
  <c r="X5320" i="1"/>
  <c r="Y5320" i="1"/>
  <c r="Z5320" i="1"/>
  <c r="A5321" i="1"/>
  <c r="B5321" i="1"/>
  <c r="C5321" i="1"/>
  <c r="D5321" i="1"/>
  <c r="E5321" i="1"/>
  <c r="F5321" i="1"/>
  <c r="G5321" i="1"/>
  <c r="I5321" i="1"/>
  <c r="J5321" i="1"/>
  <c r="K5321" i="1"/>
  <c r="L5321" i="1"/>
  <c r="M5321" i="1"/>
  <c r="N5321" i="1"/>
  <c r="O5321" i="1"/>
  <c r="P5321" i="1"/>
  <c r="Q5321" i="1"/>
  <c r="R5321" i="1"/>
  <c r="S5321" i="1"/>
  <c r="T5321" i="1"/>
  <c r="U5321" i="1"/>
  <c r="V5321" i="1"/>
  <c r="W5321" i="1"/>
  <c r="X5321" i="1"/>
  <c r="Y5321" i="1"/>
  <c r="Z5321" i="1"/>
  <c r="A5322" i="1"/>
  <c r="B5322" i="1"/>
  <c r="C5322" i="1"/>
  <c r="D5322" i="1"/>
  <c r="E5322" i="1"/>
  <c r="F5322" i="1"/>
  <c r="G5322" i="1"/>
  <c r="I5322" i="1"/>
  <c r="J5322" i="1"/>
  <c r="K5322" i="1"/>
  <c r="L5322" i="1"/>
  <c r="M5322" i="1"/>
  <c r="N5322" i="1"/>
  <c r="O5322" i="1"/>
  <c r="P5322" i="1"/>
  <c r="Q5322" i="1"/>
  <c r="R5322" i="1"/>
  <c r="S5322" i="1"/>
  <c r="T5322" i="1"/>
  <c r="U5322" i="1"/>
  <c r="V5322" i="1"/>
  <c r="W5322" i="1"/>
  <c r="X5322" i="1"/>
  <c r="Y5322" i="1"/>
  <c r="Z5322" i="1"/>
  <c r="A5323" i="1"/>
  <c r="B5323" i="1"/>
  <c r="C5323" i="1"/>
  <c r="D5323" i="1"/>
  <c r="E5323" i="1"/>
  <c r="F5323" i="1"/>
  <c r="G5323" i="1"/>
  <c r="I5323" i="1"/>
  <c r="J5323" i="1"/>
  <c r="K5323" i="1"/>
  <c r="L5323" i="1"/>
  <c r="M5323" i="1"/>
  <c r="N5323" i="1"/>
  <c r="O5323" i="1"/>
  <c r="P5323" i="1"/>
  <c r="Q5323" i="1"/>
  <c r="R5323" i="1"/>
  <c r="S5323" i="1"/>
  <c r="T5323" i="1"/>
  <c r="U5323" i="1"/>
  <c r="V5323" i="1"/>
  <c r="W5323" i="1"/>
  <c r="X5323" i="1"/>
  <c r="Y5323" i="1"/>
  <c r="Z5323" i="1"/>
  <c r="A5324" i="1"/>
  <c r="B5324" i="1"/>
  <c r="C5324" i="1"/>
  <c r="D5324" i="1"/>
  <c r="E5324" i="1"/>
  <c r="F5324" i="1"/>
  <c r="G5324" i="1"/>
  <c r="I5324" i="1"/>
  <c r="J5324" i="1"/>
  <c r="K5324" i="1"/>
  <c r="L5324" i="1"/>
  <c r="M5324" i="1"/>
  <c r="N5324" i="1"/>
  <c r="O5324" i="1"/>
  <c r="P5324" i="1"/>
  <c r="Q5324" i="1"/>
  <c r="R5324" i="1"/>
  <c r="S5324" i="1"/>
  <c r="T5324" i="1"/>
  <c r="U5324" i="1"/>
  <c r="V5324" i="1"/>
  <c r="W5324" i="1"/>
  <c r="X5324" i="1"/>
  <c r="Y5324" i="1"/>
  <c r="Z5324" i="1"/>
  <c r="A5325" i="1"/>
  <c r="B5325" i="1"/>
  <c r="C5325" i="1"/>
  <c r="D5325" i="1"/>
  <c r="E5325" i="1"/>
  <c r="F5325" i="1"/>
  <c r="G5325" i="1"/>
  <c r="I5325" i="1"/>
  <c r="J5325" i="1"/>
  <c r="K5325" i="1"/>
  <c r="L5325" i="1"/>
  <c r="M5325" i="1"/>
  <c r="N5325" i="1"/>
  <c r="O5325" i="1"/>
  <c r="P5325" i="1"/>
  <c r="Q5325" i="1"/>
  <c r="R5325" i="1"/>
  <c r="S5325" i="1"/>
  <c r="T5325" i="1"/>
  <c r="U5325" i="1"/>
  <c r="V5325" i="1"/>
  <c r="W5325" i="1"/>
  <c r="X5325" i="1"/>
  <c r="Y5325" i="1"/>
  <c r="Z5325" i="1"/>
  <c r="A5326" i="1"/>
  <c r="B5326" i="1"/>
  <c r="C5326" i="1"/>
  <c r="D5326" i="1"/>
  <c r="E5326" i="1"/>
  <c r="F5326" i="1"/>
  <c r="G5326" i="1"/>
  <c r="I5326" i="1"/>
  <c r="J5326" i="1"/>
  <c r="K5326" i="1"/>
  <c r="L5326" i="1"/>
  <c r="M5326" i="1"/>
  <c r="N5326" i="1"/>
  <c r="O5326" i="1"/>
  <c r="P5326" i="1"/>
  <c r="Q5326" i="1"/>
  <c r="R5326" i="1"/>
  <c r="S5326" i="1"/>
  <c r="T5326" i="1"/>
  <c r="U5326" i="1"/>
  <c r="V5326" i="1"/>
  <c r="W5326" i="1"/>
  <c r="X5326" i="1"/>
  <c r="Y5326" i="1"/>
  <c r="Z5326" i="1"/>
  <c r="A5327" i="1"/>
  <c r="B5327" i="1"/>
  <c r="C5327" i="1"/>
  <c r="D5327" i="1"/>
  <c r="E5327" i="1"/>
  <c r="F5327" i="1"/>
  <c r="G5327" i="1"/>
  <c r="I5327" i="1"/>
  <c r="J5327" i="1"/>
  <c r="K5327" i="1"/>
  <c r="L5327" i="1"/>
  <c r="M5327" i="1"/>
  <c r="N5327" i="1"/>
  <c r="O5327" i="1"/>
  <c r="P5327" i="1"/>
  <c r="Q5327" i="1"/>
  <c r="R5327" i="1"/>
  <c r="S5327" i="1"/>
  <c r="T5327" i="1"/>
  <c r="U5327" i="1"/>
  <c r="V5327" i="1"/>
  <c r="W5327" i="1"/>
  <c r="X5327" i="1"/>
  <c r="Y5327" i="1"/>
  <c r="Z5327" i="1"/>
  <c r="A5328" i="1"/>
  <c r="B5328" i="1"/>
  <c r="C5328" i="1"/>
  <c r="D5328" i="1"/>
  <c r="E5328" i="1"/>
  <c r="F5328" i="1"/>
  <c r="G5328" i="1"/>
  <c r="I5328" i="1"/>
  <c r="J5328" i="1"/>
  <c r="K5328" i="1"/>
  <c r="L5328" i="1"/>
  <c r="M5328" i="1"/>
  <c r="N5328" i="1"/>
  <c r="O5328" i="1"/>
  <c r="P5328" i="1"/>
  <c r="Q5328" i="1"/>
  <c r="R5328" i="1"/>
  <c r="S5328" i="1"/>
  <c r="T5328" i="1"/>
  <c r="U5328" i="1"/>
  <c r="V5328" i="1"/>
  <c r="W5328" i="1"/>
  <c r="X5328" i="1"/>
  <c r="Y5328" i="1"/>
  <c r="Z5328" i="1"/>
  <c r="A5329" i="1"/>
  <c r="B5329" i="1"/>
  <c r="C5329" i="1"/>
  <c r="D5329" i="1"/>
  <c r="E5329" i="1"/>
  <c r="F5329" i="1"/>
  <c r="G5329" i="1"/>
  <c r="I5329" i="1"/>
  <c r="J5329" i="1"/>
  <c r="K5329" i="1"/>
  <c r="L5329" i="1"/>
  <c r="M5329" i="1"/>
  <c r="N5329" i="1"/>
  <c r="O5329" i="1"/>
  <c r="P5329" i="1"/>
  <c r="Q5329" i="1"/>
  <c r="R5329" i="1"/>
  <c r="S5329" i="1"/>
  <c r="T5329" i="1"/>
  <c r="U5329" i="1"/>
  <c r="V5329" i="1"/>
  <c r="W5329" i="1"/>
  <c r="X5329" i="1"/>
  <c r="Y5329" i="1"/>
  <c r="Z5329" i="1"/>
  <c r="A5330" i="1"/>
  <c r="B5330" i="1"/>
  <c r="C5330" i="1"/>
  <c r="D5330" i="1"/>
  <c r="E5330" i="1"/>
  <c r="F5330" i="1"/>
  <c r="G5330" i="1"/>
  <c r="I5330" i="1"/>
  <c r="J5330" i="1"/>
  <c r="K5330" i="1"/>
  <c r="L5330" i="1"/>
  <c r="M5330" i="1"/>
  <c r="N5330" i="1"/>
  <c r="O5330" i="1"/>
  <c r="P5330" i="1"/>
  <c r="Q5330" i="1"/>
  <c r="R5330" i="1"/>
  <c r="S5330" i="1"/>
  <c r="T5330" i="1"/>
  <c r="U5330" i="1"/>
  <c r="V5330" i="1"/>
  <c r="W5330" i="1"/>
  <c r="X5330" i="1"/>
  <c r="Y5330" i="1"/>
  <c r="Z5330" i="1"/>
  <c r="A5331" i="1"/>
  <c r="B5331" i="1"/>
  <c r="C5331" i="1"/>
  <c r="D5331" i="1"/>
  <c r="E5331" i="1"/>
  <c r="F5331" i="1"/>
  <c r="G5331" i="1"/>
  <c r="I5331" i="1"/>
  <c r="J5331" i="1"/>
  <c r="K5331" i="1"/>
  <c r="L5331" i="1"/>
  <c r="M5331" i="1"/>
  <c r="N5331" i="1"/>
  <c r="O5331" i="1"/>
  <c r="P5331" i="1"/>
  <c r="Q5331" i="1"/>
  <c r="R5331" i="1"/>
  <c r="S5331" i="1"/>
  <c r="T5331" i="1"/>
  <c r="U5331" i="1"/>
  <c r="V5331" i="1"/>
  <c r="W5331" i="1"/>
  <c r="X5331" i="1"/>
  <c r="Y5331" i="1"/>
  <c r="Z5331" i="1"/>
  <c r="A5332" i="1"/>
  <c r="B5332" i="1"/>
  <c r="C5332" i="1"/>
  <c r="D5332" i="1"/>
  <c r="E5332" i="1"/>
  <c r="F5332" i="1"/>
  <c r="G5332" i="1"/>
  <c r="I5332" i="1"/>
  <c r="J5332" i="1"/>
  <c r="K5332" i="1"/>
  <c r="L5332" i="1"/>
  <c r="M5332" i="1"/>
  <c r="N5332" i="1"/>
  <c r="O5332" i="1"/>
  <c r="P5332" i="1"/>
  <c r="Q5332" i="1"/>
  <c r="R5332" i="1"/>
  <c r="S5332" i="1"/>
  <c r="T5332" i="1"/>
  <c r="U5332" i="1"/>
  <c r="V5332" i="1"/>
  <c r="W5332" i="1"/>
  <c r="X5332" i="1"/>
  <c r="Y5332" i="1"/>
  <c r="Z5332" i="1"/>
  <c r="A5333" i="1"/>
  <c r="B5333" i="1"/>
  <c r="C5333" i="1"/>
  <c r="D5333" i="1"/>
  <c r="E5333" i="1"/>
  <c r="F5333" i="1"/>
  <c r="G5333" i="1"/>
  <c r="I5333" i="1"/>
  <c r="J5333" i="1"/>
  <c r="K5333" i="1"/>
  <c r="L5333" i="1"/>
  <c r="M5333" i="1"/>
  <c r="N5333" i="1"/>
  <c r="O5333" i="1"/>
  <c r="P5333" i="1"/>
  <c r="Q5333" i="1"/>
  <c r="R5333" i="1"/>
  <c r="S5333" i="1"/>
  <c r="T5333" i="1"/>
  <c r="U5333" i="1"/>
  <c r="V5333" i="1"/>
  <c r="W5333" i="1"/>
  <c r="X5333" i="1"/>
  <c r="Y5333" i="1"/>
  <c r="Z5333" i="1"/>
  <c r="A5334" i="1"/>
  <c r="B5334" i="1"/>
  <c r="C5334" i="1"/>
  <c r="D5334" i="1"/>
  <c r="E5334" i="1"/>
  <c r="F5334" i="1"/>
  <c r="G5334" i="1"/>
  <c r="I5334" i="1"/>
  <c r="J5334" i="1"/>
  <c r="K5334" i="1"/>
  <c r="L5334" i="1"/>
  <c r="M5334" i="1"/>
  <c r="N5334" i="1"/>
  <c r="O5334" i="1"/>
  <c r="P5334" i="1"/>
  <c r="Q5334" i="1"/>
  <c r="R5334" i="1"/>
  <c r="S5334" i="1"/>
  <c r="T5334" i="1"/>
  <c r="U5334" i="1"/>
  <c r="V5334" i="1"/>
  <c r="W5334" i="1"/>
  <c r="X5334" i="1"/>
  <c r="Y5334" i="1"/>
  <c r="Z5334" i="1"/>
  <c r="A5335" i="1"/>
  <c r="B5335" i="1"/>
  <c r="C5335" i="1"/>
  <c r="D5335" i="1"/>
  <c r="E5335" i="1"/>
  <c r="F5335" i="1"/>
  <c r="G5335" i="1"/>
  <c r="I5335" i="1"/>
  <c r="J5335" i="1"/>
  <c r="K5335" i="1"/>
  <c r="L5335" i="1"/>
  <c r="M5335" i="1"/>
  <c r="N5335" i="1"/>
  <c r="O5335" i="1"/>
  <c r="P5335" i="1"/>
  <c r="Q5335" i="1"/>
  <c r="R5335" i="1"/>
  <c r="S5335" i="1"/>
  <c r="T5335" i="1"/>
  <c r="U5335" i="1"/>
  <c r="V5335" i="1"/>
  <c r="W5335" i="1"/>
  <c r="X5335" i="1"/>
  <c r="Y5335" i="1"/>
  <c r="Z5335" i="1"/>
  <c r="A5336" i="1"/>
  <c r="B5336" i="1"/>
  <c r="C5336" i="1"/>
  <c r="D5336" i="1"/>
  <c r="E5336" i="1"/>
  <c r="F5336" i="1"/>
  <c r="G5336" i="1"/>
  <c r="I5336" i="1"/>
  <c r="J5336" i="1"/>
  <c r="K5336" i="1"/>
  <c r="L5336" i="1"/>
  <c r="M5336" i="1"/>
  <c r="N5336" i="1"/>
  <c r="O5336" i="1"/>
  <c r="P5336" i="1"/>
  <c r="Q5336" i="1"/>
  <c r="R5336" i="1"/>
  <c r="S5336" i="1"/>
  <c r="T5336" i="1"/>
  <c r="U5336" i="1"/>
  <c r="V5336" i="1"/>
  <c r="W5336" i="1"/>
  <c r="X5336" i="1"/>
  <c r="Y5336" i="1"/>
  <c r="Z5336" i="1"/>
  <c r="A5337" i="1"/>
  <c r="B5337" i="1"/>
  <c r="C5337" i="1"/>
  <c r="D5337" i="1"/>
  <c r="E5337" i="1"/>
  <c r="F5337" i="1"/>
  <c r="G5337" i="1"/>
  <c r="I5337" i="1"/>
  <c r="J5337" i="1"/>
  <c r="K5337" i="1"/>
  <c r="L5337" i="1"/>
  <c r="M5337" i="1"/>
  <c r="N5337" i="1"/>
  <c r="O5337" i="1"/>
  <c r="P5337" i="1"/>
  <c r="Q5337" i="1"/>
  <c r="R5337" i="1"/>
  <c r="S5337" i="1"/>
  <c r="T5337" i="1"/>
  <c r="U5337" i="1"/>
  <c r="V5337" i="1"/>
  <c r="W5337" i="1"/>
  <c r="X5337" i="1"/>
  <c r="Y5337" i="1"/>
  <c r="Z5337" i="1"/>
  <c r="A5338" i="1"/>
  <c r="B5338" i="1"/>
  <c r="C5338" i="1"/>
  <c r="D5338" i="1"/>
  <c r="E5338" i="1"/>
  <c r="F5338" i="1"/>
  <c r="G5338" i="1"/>
  <c r="I5338" i="1"/>
  <c r="J5338" i="1"/>
  <c r="K5338" i="1"/>
  <c r="L5338" i="1"/>
  <c r="M5338" i="1"/>
  <c r="N5338" i="1"/>
  <c r="O5338" i="1"/>
  <c r="P5338" i="1"/>
  <c r="Q5338" i="1"/>
  <c r="R5338" i="1"/>
  <c r="S5338" i="1"/>
  <c r="T5338" i="1"/>
  <c r="U5338" i="1"/>
  <c r="V5338" i="1"/>
  <c r="W5338" i="1"/>
  <c r="X5338" i="1"/>
  <c r="Y5338" i="1"/>
  <c r="Z5338" i="1"/>
  <c r="A5339" i="1"/>
  <c r="B5339" i="1"/>
  <c r="C5339" i="1"/>
  <c r="D5339" i="1"/>
  <c r="E5339" i="1"/>
  <c r="F5339" i="1"/>
  <c r="G5339" i="1"/>
  <c r="I5339" i="1"/>
  <c r="J5339" i="1"/>
  <c r="K5339" i="1"/>
  <c r="L5339" i="1"/>
  <c r="M5339" i="1"/>
  <c r="N5339" i="1"/>
  <c r="O5339" i="1"/>
  <c r="P5339" i="1"/>
  <c r="Q5339" i="1"/>
  <c r="R5339" i="1"/>
  <c r="S5339" i="1"/>
  <c r="T5339" i="1"/>
  <c r="U5339" i="1"/>
  <c r="V5339" i="1"/>
  <c r="W5339" i="1"/>
  <c r="X5339" i="1"/>
  <c r="Y5339" i="1"/>
  <c r="Z5339" i="1"/>
  <c r="A5340" i="1"/>
  <c r="B5340" i="1"/>
  <c r="C5340" i="1"/>
  <c r="D5340" i="1"/>
  <c r="E5340" i="1"/>
  <c r="F5340" i="1"/>
  <c r="G5340" i="1"/>
  <c r="I5340" i="1"/>
  <c r="J5340" i="1"/>
  <c r="K5340" i="1"/>
  <c r="L5340" i="1"/>
  <c r="M5340" i="1"/>
  <c r="N5340" i="1"/>
  <c r="O5340" i="1"/>
  <c r="P5340" i="1"/>
  <c r="Q5340" i="1"/>
  <c r="R5340" i="1"/>
  <c r="S5340" i="1"/>
  <c r="T5340" i="1"/>
  <c r="U5340" i="1"/>
  <c r="V5340" i="1"/>
  <c r="W5340" i="1"/>
  <c r="X5340" i="1"/>
  <c r="Y5340" i="1"/>
  <c r="Z5340" i="1"/>
  <c r="A5341" i="1"/>
  <c r="B5341" i="1"/>
  <c r="C5341" i="1"/>
  <c r="D5341" i="1"/>
  <c r="E5341" i="1"/>
  <c r="F5341" i="1"/>
  <c r="G5341" i="1"/>
  <c r="I5341" i="1"/>
  <c r="J5341" i="1"/>
  <c r="K5341" i="1"/>
  <c r="L5341" i="1"/>
  <c r="M5341" i="1"/>
  <c r="N5341" i="1"/>
  <c r="O5341" i="1"/>
  <c r="P5341" i="1"/>
  <c r="Q5341" i="1"/>
  <c r="R5341" i="1"/>
  <c r="S5341" i="1"/>
  <c r="T5341" i="1"/>
  <c r="U5341" i="1"/>
  <c r="V5341" i="1"/>
  <c r="W5341" i="1"/>
  <c r="X5341" i="1"/>
  <c r="Y5341" i="1"/>
  <c r="Z5341" i="1"/>
  <c r="A5342" i="1"/>
  <c r="B5342" i="1"/>
  <c r="C5342" i="1"/>
  <c r="D5342" i="1"/>
  <c r="E5342" i="1"/>
  <c r="F5342" i="1"/>
  <c r="G5342" i="1"/>
  <c r="I5342" i="1"/>
  <c r="J5342" i="1"/>
  <c r="K5342" i="1"/>
  <c r="L5342" i="1"/>
  <c r="M5342" i="1"/>
  <c r="N5342" i="1"/>
  <c r="O5342" i="1"/>
  <c r="P5342" i="1"/>
  <c r="Q5342" i="1"/>
  <c r="R5342" i="1"/>
  <c r="S5342" i="1"/>
  <c r="T5342" i="1"/>
  <c r="U5342" i="1"/>
  <c r="V5342" i="1"/>
  <c r="W5342" i="1"/>
  <c r="X5342" i="1"/>
  <c r="Y5342" i="1"/>
  <c r="Z5342" i="1"/>
  <c r="A5343" i="1"/>
  <c r="B5343" i="1"/>
  <c r="C5343" i="1"/>
  <c r="D5343" i="1"/>
  <c r="E5343" i="1"/>
  <c r="F5343" i="1"/>
  <c r="G5343" i="1"/>
  <c r="I5343" i="1"/>
  <c r="J5343" i="1"/>
  <c r="K5343" i="1"/>
  <c r="L5343" i="1"/>
  <c r="M5343" i="1"/>
  <c r="N5343" i="1"/>
  <c r="O5343" i="1"/>
  <c r="P5343" i="1"/>
  <c r="Q5343" i="1"/>
  <c r="R5343" i="1"/>
  <c r="S5343" i="1"/>
  <c r="T5343" i="1"/>
  <c r="U5343" i="1"/>
  <c r="V5343" i="1"/>
  <c r="W5343" i="1"/>
  <c r="X5343" i="1"/>
  <c r="Y5343" i="1"/>
  <c r="Z5343" i="1"/>
  <c r="A5344" i="1"/>
  <c r="B5344" i="1"/>
  <c r="C5344" i="1"/>
  <c r="D5344" i="1"/>
  <c r="E5344" i="1"/>
  <c r="F5344" i="1"/>
  <c r="G5344" i="1"/>
  <c r="I5344" i="1"/>
  <c r="J5344" i="1"/>
  <c r="K5344" i="1"/>
  <c r="L5344" i="1"/>
  <c r="M5344" i="1"/>
  <c r="N5344" i="1"/>
  <c r="O5344" i="1"/>
  <c r="P5344" i="1"/>
  <c r="Q5344" i="1"/>
  <c r="R5344" i="1"/>
  <c r="S5344" i="1"/>
  <c r="T5344" i="1"/>
  <c r="U5344" i="1"/>
  <c r="V5344" i="1"/>
  <c r="W5344" i="1"/>
  <c r="X5344" i="1"/>
  <c r="Y5344" i="1"/>
  <c r="Z5344" i="1"/>
  <c r="A5345" i="1"/>
  <c r="B5345" i="1"/>
  <c r="C5345" i="1"/>
  <c r="D5345" i="1"/>
  <c r="E5345" i="1"/>
  <c r="F5345" i="1"/>
  <c r="G5345" i="1"/>
  <c r="I5345" i="1"/>
  <c r="J5345" i="1"/>
  <c r="K5345" i="1"/>
  <c r="L5345" i="1"/>
  <c r="M5345" i="1"/>
  <c r="N5345" i="1"/>
  <c r="O5345" i="1"/>
  <c r="P5345" i="1"/>
  <c r="Q5345" i="1"/>
  <c r="R5345" i="1"/>
  <c r="S5345" i="1"/>
  <c r="T5345" i="1"/>
  <c r="U5345" i="1"/>
  <c r="V5345" i="1"/>
  <c r="W5345" i="1"/>
  <c r="X5345" i="1"/>
  <c r="Y5345" i="1"/>
  <c r="Z5345" i="1"/>
  <c r="A5346" i="1"/>
  <c r="B5346" i="1"/>
  <c r="C5346" i="1"/>
  <c r="D5346" i="1"/>
  <c r="E5346" i="1"/>
  <c r="F5346" i="1"/>
  <c r="G5346" i="1"/>
  <c r="I5346" i="1"/>
  <c r="J5346" i="1"/>
  <c r="K5346" i="1"/>
  <c r="L5346" i="1"/>
  <c r="M5346" i="1"/>
  <c r="N5346" i="1"/>
  <c r="O5346" i="1"/>
  <c r="P5346" i="1"/>
  <c r="Q5346" i="1"/>
  <c r="R5346" i="1"/>
  <c r="S5346" i="1"/>
  <c r="T5346" i="1"/>
  <c r="U5346" i="1"/>
  <c r="V5346" i="1"/>
  <c r="W5346" i="1"/>
  <c r="X5346" i="1"/>
  <c r="Y5346" i="1"/>
  <c r="Z5346" i="1"/>
  <c r="A5347" i="1"/>
  <c r="B5347" i="1"/>
  <c r="C5347" i="1"/>
  <c r="D5347" i="1"/>
  <c r="E5347" i="1"/>
  <c r="F5347" i="1"/>
  <c r="G5347" i="1"/>
  <c r="I5347" i="1"/>
  <c r="J5347" i="1"/>
  <c r="K5347" i="1"/>
  <c r="L5347" i="1"/>
  <c r="M5347" i="1"/>
  <c r="N5347" i="1"/>
  <c r="O5347" i="1"/>
  <c r="P5347" i="1"/>
  <c r="Q5347" i="1"/>
  <c r="R5347" i="1"/>
  <c r="S5347" i="1"/>
  <c r="T5347" i="1"/>
  <c r="U5347" i="1"/>
  <c r="V5347" i="1"/>
  <c r="W5347" i="1"/>
  <c r="X5347" i="1"/>
  <c r="Y5347" i="1"/>
  <c r="Z5347" i="1"/>
  <c r="A5348" i="1"/>
  <c r="B5348" i="1"/>
  <c r="C5348" i="1"/>
  <c r="D5348" i="1"/>
  <c r="E5348" i="1"/>
  <c r="F5348" i="1"/>
  <c r="G5348" i="1"/>
  <c r="I5348" i="1"/>
  <c r="J5348" i="1"/>
  <c r="K5348" i="1"/>
  <c r="L5348" i="1"/>
  <c r="M5348" i="1"/>
  <c r="N5348" i="1"/>
  <c r="O5348" i="1"/>
  <c r="P5348" i="1"/>
  <c r="Q5348" i="1"/>
  <c r="R5348" i="1"/>
  <c r="S5348" i="1"/>
  <c r="T5348" i="1"/>
  <c r="U5348" i="1"/>
  <c r="V5348" i="1"/>
  <c r="W5348" i="1"/>
  <c r="X5348" i="1"/>
  <c r="Y5348" i="1"/>
  <c r="Z5348" i="1"/>
  <c r="A5349" i="1"/>
  <c r="B5349" i="1"/>
  <c r="C5349" i="1"/>
  <c r="D5349" i="1"/>
  <c r="E5349" i="1"/>
  <c r="F5349" i="1"/>
  <c r="G5349" i="1"/>
  <c r="I5349" i="1"/>
  <c r="J5349" i="1"/>
  <c r="K5349" i="1"/>
  <c r="L5349" i="1"/>
  <c r="M5349" i="1"/>
  <c r="N5349" i="1"/>
  <c r="O5349" i="1"/>
  <c r="P5349" i="1"/>
  <c r="Q5349" i="1"/>
  <c r="R5349" i="1"/>
  <c r="S5349" i="1"/>
  <c r="T5349" i="1"/>
  <c r="U5349" i="1"/>
  <c r="V5349" i="1"/>
  <c r="W5349" i="1"/>
  <c r="X5349" i="1"/>
  <c r="Y5349" i="1"/>
  <c r="Z5349" i="1"/>
  <c r="A5350" i="1"/>
  <c r="B5350" i="1"/>
  <c r="C5350" i="1"/>
  <c r="D5350" i="1"/>
  <c r="E5350" i="1"/>
  <c r="F5350" i="1"/>
  <c r="G5350" i="1"/>
  <c r="I5350" i="1"/>
  <c r="J5350" i="1"/>
  <c r="K5350" i="1"/>
  <c r="L5350" i="1"/>
  <c r="M5350" i="1"/>
  <c r="N5350" i="1"/>
  <c r="O5350" i="1"/>
  <c r="P5350" i="1"/>
  <c r="Q5350" i="1"/>
  <c r="R5350" i="1"/>
  <c r="S5350" i="1"/>
  <c r="T5350" i="1"/>
  <c r="U5350" i="1"/>
  <c r="V5350" i="1"/>
  <c r="W5350" i="1"/>
  <c r="X5350" i="1"/>
  <c r="Y5350" i="1"/>
  <c r="Z5350" i="1"/>
  <c r="A5351" i="1"/>
  <c r="B5351" i="1"/>
  <c r="C5351" i="1"/>
  <c r="D5351" i="1"/>
  <c r="E5351" i="1"/>
  <c r="F5351" i="1"/>
  <c r="G5351" i="1"/>
  <c r="I5351" i="1"/>
  <c r="J5351" i="1"/>
  <c r="K5351" i="1"/>
  <c r="L5351" i="1"/>
  <c r="M5351" i="1"/>
  <c r="N5351" i="1"/>
  <c r="O5351" i="1"/>
  <c r="P5351" i="1"/>
  <c r="Q5351" i="1"/>
  <c r="R5351" i="1"/>
  <c r="S5351" i="1"/>
  <c r="T5351" i="1"/>
  <c r="U5351" i="1"/>
  <c r="V5351" i="1"/>
  <c r="W5351" i="1"/>
  <c r="X5351" i="1"/>
  <c r="Y5351" i="1"/>
  <c r="Z5351" i="1"/>
  <c r="A5352" i="1"/>
  <c r="B5352" i="1"/>
  <c r="C5352" i="1"/>
  <c r="D5352" i="1"/>
  <c r="E5352" i="1"/>
  <c r="F5352" i="1"/>
  <c r="G5352" i="1"/>
  <c r="I5352" i="1"/>
  <c r="J5352" i="1"/>
  <c r="K5352" i="1"/>
  <c r="L5352" i="1"/>
  <c r="M5352" i="1"/>
  <c r="N5352" i="1"/>
  <c r="O5352" i="1"/>
  <c r="P5352" i="1"/>
  <c r="Q5352" i="1"/>
  <c r="R5352" i="1"/>
  <c r="S5352" i="1"/>
  <c r="T5352" i="1"/>
  <c r="U5352" i="1"/>
  <c r="V5352" i="1"/>
  <c r="W5352" i="1"/>
  <c r="X5352" i="1"/>
  <c r="Y5352" i="1"/>
  <c r="Z5352" i="1"/>
  <c r="A5353" i="1"/>
  <c r="B5353" i="1"/>
  <c r="C5353" i="1"/>
  <c r="D5353" i="1"/>
  <c r="E5353" i="1"/>
  <c r="F5353" i="1"/>
  <c r="G5353" i="1"/>
  <c r="I5353" i="1"/>
  <c r="J5353" i="1"/>
  <c r="K5353" i="1"/>
  <c r="L5353" i="1"/>
  <c r="M5353" i="1"/>
  <c r="N5353" i="1"/>
  <c r="O5353" i="1"/>
  <c r="P5353" i="1"/>
  <c r="Q5353" i="1"/>
  <c r="R5353" i="1"/>
  <c r="S5353" i="1"/>
  <c r="T5353" i="1"/>
  <c r="U5353" i="1"/>
  <c r="V5353" i="1"/>
  <c r="W5353" i="1"/>
  <c r="X5353" i="1"/>
  <c r="Y5353" i="1"/>
  <c r="Z5353" i="1"/>
  <c r="A5354" i="1"/>
  <c r="B5354" i="1"/>
  <c r="C5354" i="1"/>
  <c r="D5354" i="1"/>
  <c r="E5354" i="1"/>
  <c r="F5354" i="1"/>
  <c r="G5354" i="1"/>
  <c r="I5354" i="1"/>
  <c r="J5354" i="1"/>
  <c r="K5354" i="1"/>
  <c r="L5354" i="1"/>
  <c r="M5354" i="1"/>
  <c r="N5354" i="1"/>
  <c r="O5354" i="1"/>
  <c r="P5354" i="1"/>
  <c r="Q5354" i="1"/>
  <c r="R5354" i="1"/>
  <c r="S5354" i="1"/>
  <c r="T5354" i="1"/>
  <c r="U5354" i="1"/>
  <c r="V5354" i="1"/>
  <c r="W5354" i="1"/>
  <c r="X5354" i="1"/>
  <c r="Y5354" i="1"/>
  <c r="Z5354" i="1"/>
  <c r="A5355" i="1"/>
  <c r="B5355" i="1"/>
  <c r="C5355" i="1"/>
  <c r="D5355" i="1"/>
  <c r="E5355" i="1"/>
  <c r="F5355" i="1"/>
  <c r="G5355" i="1"/>
  <c r="I5355" i="1"/>
  <c r="J5355" i="1"/>
  <c r="K5355" i="1"/>
  <c r="L5355" i="1"/>
  <c r="M5355" i="1"/>
  <c r="N5355" i="1"/>
  <c r="O5355" i="1"/>
  <c r="P5355" i="1"/>
  <c r="Q5355" i="1"/>
  <c r="R5355" i="1"/>
  <c r="S5355" i="1"/>
  <c r="T5355" i="1"/>
  <c r="U5355" i="1"/>
  <c r="V5355" i="1"/>
  <c r="W5355" i="1"/>
  <c r="X5355" i="1"/>
  <c r="Y5355" i="1"/>
  <c r="Z5355" i="1"/>
  <c r="A5356" i="1"/>
  <c r="B5356" i="1"/>
  <c r="C5356" i="1"/>
  <c r="D5356" i="1"/>
  <c r="E5356" i="1"/>
  <c r="F5356" i="1"/>
  <c r="G5356" i="1"/>
  <c r="I5356" i="1"/>
  <c r="J5356" i="1"/>
  <c r="K5356" i="1"/>
  <c r="L5356" i="1"/>
  <c r="M5356" i="1"/>
  <c r="N5356" i="1"/>
  <c r="O5356" i="1"/>
  <c r="P5356" i="1"/>
  <c r="Q5356" i="1"/>
  <c r="R5356" i="1"/>
  <c r="S5356" i="1"/>
  <c r="T5356" i="1"/>
  <c r="U5356" i="1"/>
  <c r="V5356" i="1"/>
  <c r="W5356" i="1"/>
  <c r="X5356" i="1"/>
  <c r="Y5356" i="1"/>
  <c r="Z5356" i="1"/>
  <c r="A5357" i="1"/>
  <c r="B5357" i="1"/>
  <c r="C5357" i="1"/>
  <c r="D5357" i="1"/>
  <c r="E5357" i="1"/>
  <c r="F5357" i="1"/>
  <c r="G5357" i="1"/>
  <c r="I5357" i="1"/>
  <c r="J5357" i="1"/>
  <c r="K5357" i="1"/>
  <c r="L5357" i="1"/>
  <c r="M5357" i="1"/>
  <c r="N5357" i="1"/>
  <c r="O5357" i="1"/>
  <c r="P5357" i="1"/>
  <c r="Q5357" i="1"/>
  <c r="R5357" i="1"/>
  <c r="S5357" i="1"/>
  <c r="T5357" i="1"/>
  <c r="U5357" i="1"/>
  <c r="V5357" i="1"/>
  <c r="W5357" i="1"/>
  <c r="X5357" i="1"/>
  <c r="Y5357" i="1"/>
  <c r="Z5357" i="1"/>
  <c r="A5358" i="1"/>
  <c r="B5358" i="1"/>
  <c r="C5358" i="1"/>
  <c r="D5358" i="1"/>
  <c r="E5358" i="1"/>
  <c r="F5358" i="1"/>
  <c r="G5358" i="1"/>
  <c r="I5358" i="1"/>
  <c r="J5358" i="1"/>
  <c r="K5358" i="1"/>
  <c r="L5358" i="1"/>
  <c r="M5358" i="1"/>
  <c r="N5358" i="1"/>
  <c r="O5358" i="1"/>
  <c r="P5358" i="1"/>
  <c r="Q5358" i="1"/>
  <c r="R5358" i="1"/>
  <c r="S5358" i="1"/>
  <c r="T5358" i="1"/>
  <c r="U5358" i="1"/>
  <c r="V5358" i="1"/>
  <c r="W5358" i="1"/>
  <c r="X5358" i="1"/>
  <c r="Y5358" i="1"/>
  <c r="Z5358" i="1"/>
  <c r="A5359" i="1"/>
  <c r="B5359" i="1"/>
  <c r="C5359" i="1"/>
  <c r="D5359" i="1"/>
  <c r="E5359" i="1"/>
  <c r="F5359" i="1"/>
  <c r="G5359" i="1"/>
  <c r="I5359" i="1"/>
  <c r="J5359" i="1"/>
  <c r="K5359" i="1"/>
  <c r="L5359" i="1"/>
  <c r="M5359" i="1"/>
  <c r="N5359" i="1"/>
  <c r="O5359" i="1"/>
  <c r="P5359" i="1"/>
  <c r="Q5359" i="1"/>
  <c r="R5359" i="1"/>
  <c r="S5359" i="1"/>
  <c r="T5359" i="1"/>
  <c r="U5359" i="1"/>
  <c r="V5359" i="1"/>
  <c r="W5359" i="1"/>
  <c r="X5359" i="1"/>
  <c r="Y5359" i="1"/>
  <c r="Z5359" i="1"/>
  <c r="A5360" i="1"/>
  <c r="B5360" i="1"/>
  <c r="C5360" i="1"/>
  <c r="D5360" i="1"/>
  <c r="E5360" i="1"/>
  <c r="F5360" i="1"/>
  <c r="G5360" i="1"/>
  <c r="I5360" i="1"/>
  <c r="J5360" i="1"/>
  <c r="K5360" i="1"/>
  <c r="L5360" i="1"/>
  <c r="M5360" i="1"/>
  <c r="N5360" i="1"/>
  <c r="O5360" i="1"/>
  <c r="P5360" i="1"/>
  <c r="Q5360" i="1"/>
  <c r="R5360" i="1"/>
  <c r="S5360" i="1"/>
  <c r="T5360" i="1"/>
  <c r="U5360" i="1"/>
  <c r="V5360" i="1"/>
  <c r="W5360" i="1"/>
  <c r="X5360" i="1"/>
  <c r="Y5360" i="1"/>
  <c r="Z5360" i="1"/>
  <c r="A5361" i="1"/>
  <c r="B5361" i="1"/>
  <c r="C5361" i="1"/>
  <c r="D5361" i="1"/>
  <c r="E5361" i="1"/>
  <c r="F5361" i="1"/>
  <c r="G5361" i="1"/>
  <c r="I5361" i="1"/>
  <c r="J5361" i="1"/>
  <c r="K5361" i="1"/>
  <c r="L5361" i="1"/>
  <c r="M5361" i="1"/>
  <c r="N5361" i="1"/>
  <c r="O5361" i="1"/>
  <c r="P5361" i="1"/>
  <c r="Q5361" i="1"/>
  <c r="R5361" i="1"/>
  <c r="S5361" i="1"/>
  <c r="T5361" i="1"/>
  <c r="U5361" i="1"/>
  <c r="V5361" i="1"/>
  <c r="W5361" i="1"/>
  <c r="X5361" i="1"/>
  <c r="Y5361" i="1"/>
  <c r="Z5361" i="1"/>
  <c r="A5362" i="1"/>
  <c r="B5362" i="1"/>
  <c r="C5362" i="1"/>
  <c r="D5362" i="1"/>
  <c r="E5362" i="1"/>
  <c r="F5362" i="1"/>
  <c r="G5362" i="1"/>
  <c r="I5362" i="1"/>
  <c r="J5362" i="1"/>
  <c r="K5362" i="1"/>
  <c r="L5362" i="1"/>
  <c r="M5362" i="1"/>
  <c r="N5362" i="1"/>
  <c r="O5362" i="1"/>
  <c r="P5362" i="1"/>
  <c r="Q5362" i="1"/>
  <c r="R5362" i="1"/>
  <c r="S5362" i="1"/>
  <c r="T5362" i="1"/>
  <c r="U5362" i="1"/>
  <c r="V5362" i="1"/>
  <c r="W5362" i="1"/>
  <c r="X5362" i="1"/>
  <c r="Y5362" i="1"/>
  <c r="Z5362" i="1"/>
  <c r="A5363" i="1"/>
  <c r="B5363" i="1"/>
  <c r="C5363" i="1"/>
  <c r="D5363" i="1"/>
  <c r="E5363" i="1"/>
  <c r="F5363" i="1"/>
  <c r="G5363" i="1"/>
  <c r="I5363" i="1"/>
  <c r="J5363" i="1"/>
  <c r="K5363" i="1"/>
  <c r="L5363" i="1"/>
  <c r="M5363" i="1"/>
  <c r="N5363" i="1"/>
  <c r="O5363" i="1"/>
  <c r="P5363" i="1"/>
  <c r="Q5363" i="1"/>
  <c r="R5363" i="1"/>
  <c r="S5363" i="1"/>
  <c r="T5363" i="1"/>
  <c r="U5363" i="1"/>
  <c r="V5363" i="1"/>
  <c r="W5363" i="1"/>
  <c r="X5363" i="1"/>
  <c r="Y5363" i="1"/>
  <c r="Z5363" i="1"/>
  <c r="A5364" i="1"/>
  <c r="B5364" i="1"/>
  <c r="C5364" i="1"/>
  <c r="D5364" i="1"/>
  <c r="E5364" i="1"/>
  <c r="F5364" i="1"/>
  <c r="G5364" i="1"/>
  <c r="I5364" i="1"/>
  <c r="J5364" i="1"/>
  <c r="K5364" i="1"/>
  <c r="L5364" i="1"/>
  <c r="M5364" i="1"/>
  <c r="N5364" i="1"/>
  <c r="O5364" i="1"/>
  <c r="P5364" i="1"/>
  <c r="Q5364" i="1"/>
  <c r="R5364" i="1"/>
  <c r="S5364" i="1"/>
  <c r="T5364" i="1"/>
  <c r="U5364" i="1"/>
  <c r="V5364" i="1"/>
  <c r="W5364" i="1"/>
  <c r="X5364" i="1"/>
  <c r="Y5364" i="1"/>
  <c r="Z5364" i="1"/>
  <c r="A5365" i="1"/>
  <c r="B5365" i="1"/>
  <c r="C5365" i="1"/>
  <c r="D5365" i="1"/>
  <c r="E5365" i="1"/>
  <c r="F5365" i="1"/>
  <c r="G5365" i="1"/>
  <c r="I5365" i="1"/>
  <c r="J5365" i="1"/>
  <c r="K5365" i="1"/>
  <c r="L5365" i="1"/>
  <c r="M5365" i="1"/>
  <c r="N5365" i="1"/>
  <c r="O5365" i="1"/>
  <c r="P5365" i="1"/>
  <c r="Q5365" i="1"/>
  <c r="R5365" i="1"/>
  <c r="S5365" i="1"/>
  <c r="T5365" i="1"/>
  <c r="U5365" i="1"/>
  <c r="V5365" i="1"/>
  <c r="W5365" i="1"/>
  <c r="X5365" i="1"/>
  <c r="Y5365" i="1"/>
  <c r="Z5365" i="1"/>
  <c r="A5366" i="1"/>
  <c r="B5366" i="1"/>
  <c r="C5366" i="1"/>
  <c r="D5366" i="1"/>
  <c r="E5366" i="1"/>
  <c r="F5366" i="1"/>
  <c r="G5366" i="1"/>
  <c r="I5366" i="1"/>
  <c r="J5366" i="1"/>
  <c r="K5366" i="1"/>
  <c r="L5366" i="1"/>
  <c r="M5366" i="1"/>
  <c r="N5366" i="1"/>
  <c r="O5366" i="1"/>
  <c r="P5366" i="1"/>
  <c r="Q5366" i="1"/>
  <c r="R5366" i="1"/>
  <c r="S5366" i="1"/>
  <c r="T5366" i="1"/>
  <c r="U5366" i="1"/>
  <c r="V5366" i="1"/>
  <c r="W5366" i="1"/>
  <c r="X5366" i="1"/>
  <c r="Y5366" i="1"/>
  <c r="Z5366" i="1"/>
  <c r="A5367" i="1"/>
  <c r="B5367" i="1"/>
  <c r="C5367" i="1"/>
  <c r="D5367" i="1"/>
  <c r="E5367" i="1"/>
  <c r="F5367" i="1"/>
  <c r="G5367" i="1"/>
  <c r="I5367" i="1"/>
  <c r="J5367" i="1"/>
  <c r="K5367" i="1"/>
  <c r="L5367" i="1"/>
  <c r="M5367" i="1"/>
  <c r="N5367" i="1"/>
  <c r="O5367" i="1"/>
  <c r="P5367" i="1"/>
  <c r="Q5367" i="1"/>
  <c r="R5367" i="1"/>
  <c r="S5367" i="1"/>
  <c r="T5367" i="1"/>
  <c r="U5367" i="1"/>
  <c r="V5367" i="1"/>
  <c r="W5367" i="1"/>
  <c r="X5367" i="1"/>
  <c r="Y5367" i="1"/>
  <c r="Z5367" i="1"/>
  <c r="A5368" i="1"/>
  <c r="B5368" i="1"/>
  <c r="C5368" i="1"/>
  <c r="D5368" i="1"/>
  <c r="E5368" i="1"/>
  <c r="F5368" i="1"/>
  <c r="G5368" i="1"/>
  <c r="I5368" i="1"/>
  <c r="J5368" i="1"/>
  <c r="K5368" i="1"/>
  <c r="L5368" i="1"/>
  <c r="M5368" i="1"/>
  <c r="N5368" i="1"/>
  <c r="O5368" i="1"/>
  <c r="P5368" i="1"/>
  <c r="Q5368" i="1"/>
  <c r="R5368" i="1"/>
  <c r="S5368" i="1"/>
  <c r="T5368" i="1"/>
  <c r="U5368" i="1"/>
  <c r="V5368" i="1"/>
  <c r="W5368" i="1"/>
  <c r="X5368" i="1"/>
  <c r="Y5368" i="1"/>
  <c r="Z5368" i="1"/>
  <c r="A5369" i="1"/>
  <c r="B5369" i="1"/>
  <c r="C5369" i="1"/>
  <c r="D5369" i="1"/>
  <c r="E5369" i="1"/>
  <c r="F5369" i="1"/>
  <c r="G5369" i="1"/>
  <c r="I5369" i="1"/>
  <c r="J5369" i="1"/>
  <c r="K5369" i="1"/>
  <c r="L5369" i="1"/>
  <c r="M5369" i="1"/>
  <c r="N5369" i="1"/>
  <c r="O5369" i="1"/>
  <c r="P5369" i="1"/>
  <c r="Q5369" i="1"/>
  <c r="R5369" i="1"/>
  <c r="S5369" i="1"/>
  <c r="T5369" i="1"/>
  <c r="U5369" i="1"/>
  <c r="V5369" i="1"/>
  <c r="W5369" i="1"/>
  <c r="X5369" i="1"/>
  <c r="Y5369" i="1"/>
  <c r="Z5369" i="1"/>
  <c r="A5370" i="1"/>
  <c r="B5370" i="1"/>
  <c r="C5370" i="1"/>
  <c r="D5370" i="1"/>
  <c r="E5370" i="1"/>
  <c r="F5370" i="1"/>
  <c r="G5370" i="1"/>
  <c r="I5370" i="1"/>
  <c r="J5370" i="1"/>
  <c r="K5370" i="1"/>
  <c r="L5370" i="1"/>
  <c r="M5370" i="1"/>
  <c r="N5370" i="1"/>
  <c r="O5370" i="1"/>
  <c r="P5370" i="1"/>
  <c r="Q5370" i="1"/>
  <c r="R5370" i="1"/>
  <c r="S5370" i="1"/>
  <c r="T5370" i="1"/>
  <c r="U5370" i="1"/>
  <c r="V5370" i="1"/>
  <c r="W5370" i="1"/>
  <c r="X5370" i="1"/>
  <c r="Y5370" i="1"/>
  <c r="Z5370" i="1"/>
  <c r="A5371" i="1"/>
  <c r="B5371" i="1"/>
  <c r="C5371" i="1"/>
  <c r="D5371" i="1"/>
  <c r="E5371" i="1"/>
  <c r="F5371" i="1"/>
  <c r="G5371" i="1"/>
  <c r="I5371" i="1"/>
  <c r="J5371" i="1"/>
  <c r="K5371" i="1"/>
  <c r="L5371" i="1"/>
  <c r="M5371" i="1"/>
  <c r="N5371" i="1"/>
  <c r="O5371" i="1"/>
  <c r="P5371" i="1"/>
  <c r="Q5371" i="1"/>
  <c r="R5371" i="1"/>
  <c r="S5371" i="1"/>
  <c r="T5371" i="1"/>
  <c r="U5371" i="1"/>
  <c r="V5371" i="1"/>
  <c r="W5371" i="1"/>
  <c r="X5371" i="1"/>
  <c r="Y5371" i="1"/>
  <c r="Z5371" i="1"/>
  <c r="A5372" i="1"/>
  <c r="B5372" i="1"/>
  <c r="C5372" i="1"/>
  <c r="D5372" i="1"/>
  <c r="E5372" i="1"/>
  <c r="F5372" i="1"/>
  <c r="G5372" i="1"/>
  <c r="I5372" i="1"/>
  <c r="J5372" i="1"/>
  <c r="K5372" i="1"/>
  <c r="L5372" i="1"/>
  <c r="M5372" i="1"/>
  <c r="N5372" i="1"/>
  <c r="O5372" i="1"/>
  <c r="P5372" i="1"/>
  <c r="Q5372" i="1"/>
  <c r="R5372" i="1"/>
  <c r="S5372" i="1"/>
  <c r="T5372" i="1"/>
  <c r="U5372" i="1"/>
  <c r="V5372" i="1"/>
  <c r="W5372" i="1"/>
  <c r="X5372" i="1"/>
  <c r="Y5372" i="1"/>
  <c r="Z5372" i="1"/>
  <c r="A5373" i="1"/>
  <c r="B5373" i="1"/>
  <c r="C5373" i="1"/>
  <c r="D5373" i="1"/>
  <c r="E5373" i="1"/>
  <c r="F5373" i="1"/>
  <c r="G5373" i="1"/>
  <c r="I5373" i="1"/>
  <c r="J5373" i="1"/>
  <c r="K5373" i="1"/>
  <c r="L5373" i="1"/>
  <c r="M5373" i="1"/>
  <c r="N5373" i="1"/>
  <c r="O5373" i="1"/>
  <c r="P5373" i="1"/>
  <c r="Q5373" i="1"/>
  <c r="R5373" i="1"/>
  <c r="S5373" i="1"/>
  <c r="T5373" i="1"/>
  <c r="U5373" i="1"/>
  <c r="V5373" i="1"/>
  <c r="W5373" i="1"/>
  <c r="X5373" i="1"/>
  <c r="Y5373" i="1"/>
  <c r="Z5373" i="1"/>
  <c r="A5374" i="1"/>
  <c r="B5374" i="1"/>
  <c r="C5374" i="1"/>
  <c r="D5374" i="1"/>
  <c r="E5374" i="1"/>
  <c r="F5374" i="1"/>
  <c r="G5374" i="1"/>
  <c r="I5374" i="1"/>
  <c r="J5374" i="1"/>
  <c r="K5374" i="1"/>
  <c r="L5374" i="1"/>
  <c r="M5374" i="1"/>
  <c r="N5374" i="1"/>
  <c r="O5374" i="1"/>
  <c r="P5374" i="1"/>
  <c r="Q5374" i="1"/>
  <c r="R5374" i="1"/>
  <c r="S5374" i="1"/>
  <c r="T5374" i="1"/>
  <c r="U5374" i="1"/>
  <c r="V5374" i="1"/>
  <c r="W5374" i="1"/>
  <c r="X5374" i="1"/>
  <c r="Y5374" i="1"/>
  <c r="Z5374" i="1"/>
  <c r="A5375" i="1"/>
  <c r="B5375" i="1"/>
  <c r="C5375" i="1"/>
  <c r="D5375" i="1"/>
  <c r="E5375" i="1"/>
  <c r="F5375" i="1"/>
  <c r="G5375" i="1"/>
  <c r="I5375" i="1"/>
  <c r="J5375" i="1"/>
  <c r="K5375" i="1"/>
  <c r="L5375" i="1"/>
  <c r="M5375" i="1"/>
  <c r="N5375" i="1"/>
  <c r="O5375" i="1"/>
  <c r="P5375" i="1"/>
  <c r="Q5375" i="1"/>
  <c r="R5375" i="1"/>
  <c r="S5375" i="1"/>
  <c r="T5375" i="1"/>
  <c r="U5375" i="1"/>
  <c r="V5375" i="1"/>
  <c r="W5375" i="1"/>
  <c r="X5375" i="1"/>
  <c r="Y5375" i="1"/>
  <c r="Z5375" i="1"/>
  <c r="A5376" i="1"/>
  <c r="B5376" i="1"/>
  <c r="C5376" i="1"/>
  <c r="D5376" i="1"/>
  <c r="E5376" i="1"/>
  <c r="F5376" i="1"/>
  <c r="G5376" i="1"/>
  <c r="I5376" i="1"/>
  <c r="J5376" i="1"/>
  <c r="K5376" i="1"/>
  <c r="L5376" i="1"/>
  <c r="M5376" i="1"/>
  <c r="N5376" i="1"/>
  <c r="O5376" i="1"/>
  <c r="P5376" i="1"/>
  <c r="Q5376" i="1"/>
  <c r="R5376" i="1"/>
  <c r="S5376" i="1"/>
  <c r="T5376" i="1"/>
  <c r="U5376" i="1"/>
  <c r="V5376" i="1"/>
  <c r="W5376" i="1"/>
  <c r="X5376" i="1"/>
  <c r="Y5376" i="1"/>
  <c r="Z5376" i="1"/>
  <c r="A5377" i="1"/>
  <c r="B5377" i="1"/>
  <c r="C5377" i="1"/>
  <c r="D5377" i="1"/>
  <c r="E5377" i="1"/>
  <c r="F5377" i="1"/>
  <c r="G5377" i="1"/>
  <c r="I5377" i="1"/>
  <c r="J5377" i="1"/>
  <c r="K5377" i="1"/>
  <c r="L5377" i="1"/>
  <c r="M5377" i="1"/>
  <c r="N5377" i="1"/>
  <c r="O5377" i="1"/>
  <c r="P5377" i="1"/>
  <c r="Q5377" i="1"/>
  <c r="R5377" i="1"/>
  <c r="S5377" i="1"/>
  <c r="T5377" i="1"/>
  <c r="U5377" i="1"/>
  <c r="V5377" i="1"/>
  <c r="W5377" i="1"/>
  <c r="X5377" i="1"/>
  <c r="Y5377" i="1"/>
  <c r="Z5377" i="1"/>
  <c r="A5378" i="1"/>
  <c r="B5378" i="1"/>
  <c r="C5378" i="1"/>
  <c r="D5378" i="1"/>
  <c r="E5378" i="1"/>
  <c r="F5378" i="1"/>
  <c r="G5378" i="1"/>
  <c r="I5378" i="1"/>
  <c r="J5378" i="1"/>
  <c r="K5378" i="1"/>
  <c r="L5378" i="1"/>
  <c r="M5378" i="1"/>
  <c r="N5378" i="1"/>
  <c r="O5378" i="1"/>
  <c r="P5378" i="1"/>
  <c r="Q5378" i="1"/>
  <c r="R5378" i="1"/>
  <c r="S5378" i="1"/>
  <c r="T5378" i="1"/>
  <c r="U5378" i="1"/>
  <c r="V5378" i="1"/>
  <c r="W5378" i="1"/>
  <c r="X5378" i="1"/>
  <c r="Y5378" i="1"/>
  <c r="Z5378" i="1"/>
  <c r="A5379" i="1"/>
  <c r="B5379" i="1"/>
  <c r="C5379" i="1"/>
  <c r="D5379" i="1"/>
  <c r="E5379" i="1"/>
  <c r="F5379" i="1"/>
  <c r="G5379" i="1"/>
  <c r="I5379" i="1"/>
  <c r="J5379" i="1"/>
  <c r="K5379" i="1"/>
  <c r="L5379" i="1"/>
  <c r="M5379" i="1"/>
  <c r="N5379" i="1"/>
  <c r="O5379" i="1"/>
  <c r="P5379" i="1"/>
  <c r="Q5379" i="1"/>
  <c r="R5379" i="1"/>
  <c r="S5379" i="1"/>
  <c r="T5379" i="1"/>
  <c r="U5379" i="1"/>
  <c r="V5379" i="1"/>
  <c r="W5379" i="1"/>
  <c r="X5379" i="1"/>
  <c r="Y5379" i="1"/>
  <c r="Z5379" i="1"/>
  <c r="A5380" i="1"/>
  <c r="B5380" i="1"/>
  <c r="C5380" i="1"/>
  <c r="D5380" i="1"/>
  <c r="E5380" i="1"/>
  <c r="F5380" i="1"/>
  <c r="G5380" i="1"/>
  <c r="I5380" i="1"/>
  <c r="J5380" i="1"/>
  <c r="K5380" i="1"/>
  <c r="L5380" i="1"/>
  <c r="M5380" i="1"/>
  <c r="N5380" i="1"/>
  <c r="O5380" i="1"/>
  <c r="P5380" i="1"/>
  <c r="Q5380" i="1"/>
  <c r="R5380" i="1"/>
  <c r="S5380" i="1"/>
  <c r="T5380" i="1"/>
  <c r="U5380" i="1"/>
  <c r="V5380" i="1"/>
  <c r="W5380" i="1"/>
  <c r="X5380" i="1"/>
  <c r="Y5380" i="1"/>
  <c r="Z5380" i="1"/>
  <c r="A5381" i="1"/>
  <c r="B5381" i="1"/>
  <c r="C5381" i="1"/>
  <c r="D5381" i="1"/>
  <c r="E5381" i="1"/>
  <c r="F5381" i="1"/>
  <c r="G5381" i="1"/>
  <c r="I5381" i="1"/>
  <c r="J5381" i="1"/>
  <c r="K5381" i="1"/>
  <c r="L5381" i="1"/>
  <c r="M5381" i="1"/>
  <c r="N5381" i="1"/>
  <c r="O5381" i="1"/>
  <c r="P5381" i="1"/>
  <c r="Q5381" i="1"/>
  <c r="R5381" i="1"/>
  <c r="S5381" i="1"/>
  <c r="T5381" i="1"/>
  <c r="U5381" i="1"/>
  <c r="V5381" i="1"/>
  <c r="W5381" i="1"/>
  <c r="X5381" i="1"/>
  <c r="Y5381" i="1"/>
  <c r="Z5381" i="1"/>
  <c r="A5382" i="1"/>
  <c r="B5382" i="1"/>
  <c r="C5382" i="1"/>
  <c r="D5382" i="1"/>
  <c r="E5382" i="1"/>
  <c r="F5382" i="1"/>
  <c r="G5382" i="1"/>
  <c r="I5382" i="1"/>
  <c r="J5382" i="1"/>
  <c r="K5382" i="1"/>
  <c r="L5382" i="1"/>
  <c r="M5382" i="1"/>
  <c r="N5382" i="1"/>
  <c r="O5382" i="1"/>
  <c r="P5382" i="1"/>
  <c r="Q5382" i="1"/>
  <c r="R5382" i="1"/>
  <c r="S5382" i="1"/>
  <c r="T5382" i="1"/>
  <c r="U5382" i="1"/>
  <c r="V5382" i="1"/>
  <c r="W5382" i="1"/>
  <c r="X5382" i="1"/>
  <c r="Y5382" i="1"/>
  <c r="Z5382" i="1"/>
  <c r="A5383" i="1"/>
  <c r="B5383" i="1"/>
  <c r="C5383" i="1"/>
  <c r="D5383" i="1"/>
  <c r="E5383" i="1"/>
  <c r="F5383" i="1"/>
  <c r="G5383" i="1"/>
  <c r="I5383" i="1"/>
  <c r="J5383" i="1"/>
  <c r="K5383" i="1"/>
  <c r="L5383" i="1"/>
  <c r="M5383" i="1"/>
  <c r="N5383" i="1"/>
  <c r="O5383" i="1"/>
  <c r="P5383" i="1"/>
  <c r="Q5383" i="1"/>
  <c r="R5383" i="1"/>
  <c r="S5383" i="1"/>
  <c r="T5383" i="1"/>
  <c r="U5383" i="1"/>
  <c r="V5383" i="1"/>
  <c r="W5383" i="1"/>
  <c r="X5383" i="1"/>
  <c r="Y5383" i="1"/>
  <c r="Z5383" i="1"/>
  <c r="A5384" i="1"/>
  <c r="B5384" i="1"/>
  <c r="C5384" i="1"/>
  <c r="D5384" i="1"/>
  <c r="E5384" i="1"/>
  <c r="F5384" i="1"/>
  <c r="G5384" i="1"/>
  <c r="I5384" i="1"/>
  <c r="J5384" i="1"/>
  <c r="K5384" i="1"/>
  <c r="L5384" i="1"/>
  <c r="M5384" i="1"/>
  <c r="N5384" i="1"/>
  <c r="O5384" i="1"/>
  <c r="P5384" i="1"/>
  <c r="Q5384" i="1"/>
  <c r="R5384" i="1"/>
  <c r="S5384" i="1"/>
  <c r="T5384" i="1"/>
  <c r="U5384" i="1"/>
  <c r="V5384" i="1"/>
  <c r="W5384" i="1"/>
  <c r="X5384" i="1"/>
  <c r="Y5384" i="1"/>
  <c r="Z5384" i="1"/>
  <c r="A5385" i="1"/>
  <c r="B5385" i="1"/>
  <c r="C5385" i="1"/>
  <c r="D5385" i="1"/>
  <c r="E5385" i="1"/>
  <c r="F5385" i="1"/>
  <c r="G5385" i="1"/>
  <c r="I5385" i="1"/>
  <c r="J5385" i="1"/>
  <c r="K5385" i="1"/>
  <c r="L5385" i="1"/>
  <c r="M5385" i="1"/>
  <c r="N5385" i="1"/>
  <c r="O5385" i="1"/>
  <c r="P5385" i="1"/>
  <c r="Q5385" i="1"/>
  <c r="R5385" i="1"/>
  <c r="S5385" i="1"/>
  <c r="T5385" i="1"/>
  <c r="U5385" i="1"/>
  <c r="V5385" i="1"/>
  <c r="W5385" i="1"/>
  <c r="X5385" i="1"/>
  <c r="Y5385" i="1"/>
  <c r="Z5385" i="1"/>
  <c r="A5386" i="1"/>
  <c r="B5386" i="1"/>
  <c r="C5386" i="1"/>
  <c r="D5386" i="1"/>
  <c r="E5386" i="1"/>
  <c r="F5386" i="1"/>
  <c r="G5386" i="1"/>
  <c r="I5386" i="1"/>
  <c r="J5386" i="1"/>
  <c r="K5386" i="1"/>
  <c r="L5386" i="1"/>
  <c r="M5386" i="1"/>
  <c r="N5386" i="1"/>
  <c r="O5386" i="1"/>
  <c r="P5386" i="1"/>
  <c r="Q5386" i="1"/>
  <c r="R5386" i="1"/>
  <c r="S5386" i="1"/>
  <c r="T5386" i="1"/>
  <c r="U5386" i="1"/>
  <c r="V5386" i="1"/>
  <c r="W5386" i="1"/>
  <c r="X5386" i="1"/>
  <c r="Y5386" i="1"/>
  <c r="Z5386" i="1"/>
  <c r="A5387" i="1"/>
  <c r="B5387" i="1"/>
  <c r="C5387" i="1"/>
  <c r="D5387" i="1"/>
  <c r="E5387" i="1"/>
  <c r="F5387" i="1"/>
  <c r="G5387" i="1"/>
  <c r="I5387" i="1"/>
  <c r="J5387" i="1"/>
  <c r="K5387" i="1"/>
  <c r="L5387" i="1"/>
  <c r="M5387" i="1"/>
  <c r="N5387" i="1"/>
  <c r="O5387" i="1"/>
  <c r="P5387" i="1"/>
  <c r="Q5387" i="1"/>
  <c r="R5387" i="1"/>
  <c r="S5387" i="1"/>
  <c r="T5387" i="1"/>
  <c r="U5387" i="1"/>
  <c r="V5387" i="1"/>
  <c r="W5387" i="1"/>
  <c r="X5387" i="1"/>
  <c r="Y5387" i="1"/>
  <c r="Z5387" i="1"/>
  <c r="A5388" i="1"/>
  <c r="B5388" i="1"/>
  <c r="C5388" i="1"/>
  <c r="D5388" i="1"/>
  <c r="E5388" i="1"/>
  <c r="F5388" i="1"/>
  <c r="G5388" i="1"/>
  <c r="I5388" i="1"/>
  <c r="J5388" i="1"/>
  <c r="K5388" i="1"/>
  <c r="L5388" i="1"/>
  <c r="M5388" i="1"/>
  <c r="N5388" i="1"/>
  <c r="O5388" i="1"/>
  <c r="P5388" i="1"/>
  <c r="Q5388" i="1"/>
  <c r="R5388" i="1"/>
  <c r="S5388" i="1"/>
  <c r="T5388" i="1"/>
  <c r="U5388" i="1"/>
  <c r="V5388" i="1"/>
  <c r="W5388" i="1"/>
  <c r="X5388" i="1"/>
  <c r="Y5388" i="1"/>
  <c r="Z5388" i="1"/>
  <c r="A5389" i="1"/>
  <c r="B5389" i="1"/>
  <c r="C5389" i="1"/>
  <c r="D5389" i="1"/>
  <c r="E5389" i="1"/>
  <c r="F5389" i="1"/>
  <c r="G5389" i="1"/>
  <c r="I5389" i="1"/>
  <c r="J5389" i="1"/>
  <c r="K5389" i="1"/>
  <c r="L5389" i="1"/>
  <c r="M5389" i="1"/>
  <c r="N5389" i="1"/>
  <c r="O5389" i="1"/>
  <c r="P5389" i="1"/>
  <c r="Q5389" i="1"/>
  <c r="R5389" i="1"/>
  <c r="S5389" i="1"/>
  <c r="T5389" i="1"/>
  <c r="U5389" i="1"/>
  <c r="V5389" i="1"/>
  <c r="W5389" i="1"/>
  <c r="X5389" i="1"/>
  <c r="Y5389" i="1"/>
  <c r="Z5389" i="1"/>
  <c r="A5390" i="1"/>
  <c r="B5390" i="1"/>
  <c r="C5390" i="1"/>
  <c r="D5390" i="1"/>
  <c r="E5390" i="1"/>
  <c r="F5390" i="1"/>
  <c r="G5390" i="1"/>
  <c r="I5390" i="1"/>
  <c r="J5390" i="1"/>
  <c r="K5390" i="1"/>
  <c r="L5390" i="1"/>
  <c r="M5390" i="1"/>
  <c r="N5390" i="1"/>
  <c r="O5390" i="1"/>
  <c r="P5390" i="1"/>
  <c r="Q5390" i="1"/>
  <c r="R5390" i="1"/>
  <c r="S5390" i="1"/>
  <c r="T5390" i="1"/>
  <c r="U5390" i="1"/>
  <c r="V5390" i="1"/>
  <c r="W5390" i="1"/>
  <c r="X5390" i="1"/>
  <c r="Y5390" i="1"/>
  <c r="Z5390" i="1"/>
  <c r="A5391" i="1"/>
  <c r="B5391" i="1"/>
  <c r="C5391" i="1"/>
  <c r="D5391" i="1"/>
  <c r="E5391" i="1"/>
  <c r="F5391" i="1"/>
  <c r="G5391" i="1"/>
  <c r="I5391" i="1"/>
  <c r="J5391" i="1"/>
  <c r="K5391" i="1"/>
  <c r="L5391" i="1"/>
  <c r="M5391" i="1"/>
  <c r="N5391" i="1"/>
  <c r="O5391" i="1"/>
  <c r="P5391" i="1"/>
  <c r="Q5391" i="1"/>
  <c r="R5391" i="1"/>
  <c r="S5391" i="1"/>
  <c r="T5391" i="1"/>
  <c r="U5391" i="1"/>
  <c r="V5391" i="1"/>
  <c r="W5391" i="1"/>
  <c r="X5391" i="1"/>
  <c r="Y5391" i="1"/>
  <c r="Z5391" i="1"/>
  <c r="A5392" i="1"/>
  <c r="B5392" i="1"/>
  <c r="C5392" i="1"/>
  <c r="D5392" i="1"/>
  <c r="E5392" i="1"/>
  <c r="F5392" i="1"/>
  <c r="G5392" i="1"/>
  <c r="I5392" i="1"/>
  <c r="J5392" i="1"/>
  <c r="K5392" i="1"/>
  <c r="L5392" i="1"/>
  <c r="M5392" i="1"/>
  <c r="N5392" i="1"/>
  <c r="O5392" i="1"/>
  <c r="P5392" i="1"/>
  <c r="Q5392" i="1"/>
  <c r="R5392" i="1"/>
  <c r="S5392" i="1"/>
  <c r="T5392" i="1"/>
  <c r="U5392" i="1"/>
  <c r="V5392" i="1"/>
  <c r="W5392" i="1"/>
  <c r="X5392" i="1"/>
  <c r="Y5392" i="1"/>
  <c r="Z5392" i="1"/>
  <c r="A5393" i="1"/>
  <c r="B5393" i="1"/>
  <c r="C5393" i="1"/>
  <c r="D5393" i="1"/>
  <c r="E5393" i="1"/>
  <c r="F5393" i="1"/>
  <c r="G5393" i="1"/>
  <c r="I5393" i="1"/>
  <c r="J5393" i="1"/>
  <c r="K5393" i="1"/>
  <c r="L5393" i="1"/>
  <c r="M5393" i="1"/>
  <c r="N5393" i="1"/>
  <c r="O5393" i="1"/>
  <c r="P5393" i="1"/>
  <c r="Q5393" i="1"/>
  <c r="R5393" i="1"/>
  <c r="S5393" i="1"/>
  <c r="T5393" i="1"/>
  <c r="U5393" i="1"/>
  <c r="V5393" i="1"/>
  <c r="W5393" i="1"/>
  <c r="X5393" i="1"/>
  <c r="Y5393" i="1"/>
  <c r="Z5393" i="1"/>
  <c r="A5394" i="1"/>
  <c r="B5394" i="1"/>
  <c r="C5394" i="1"/>
  <c r="D5394" i="1"/>
  <c r="E5394" i="1"/>
  <c r="F5394" i="1"/>
  <c r="G5394" i="1"/>
  <c r="I5394" i="1"/>
  <c r="J5394" i="1"/>
  <c r="K5394" i="1"/>
  <c r="L5394" i="1"/>
  <c r="M5394" i="1"/>
  <c r="N5394" i="1"/>
  <c r="O5394" i="1"/>
  <c r="P5394" i="1"/>
  <c r="Q5394" i="1"/>
  <c r="R5394" i="1"/>
  <c r="S5394" i="1"/>
  <c r="T5394" i="1"/>
  <c r="U5394" i="1"/>
  <c r="V5394" i="1"/>
  <c r="W5394" i="1"/>
  <c r="X5394" i="1"/>
  <c r="Y5394" i="1"/>
  <c r="Z5394" i="1"/>
  <c r="A5395" i="1"/>
  <c r="B5395" i="1"/>
  <c r="C5395" i="1"/>
  <c r="D5395" i="1"/>
  <c r="E5395" i="1"/>
  <c r="F5395" i="1"/>
  <c r="G5395" i="1"/>
  <c r="I5395" i="1"/>
  <c r="J5395" i="1"/>
  <c r="K5395" i="1"/>
  <c r="L5395" i="1"/>
  <c r="M5395" i="1"/>
  <c r="N5395" i="1"/>
  <c r="O5395" i="1"/>
  <c r="P5395" i="1"/>
  <c r="Q5395" i="1"/>
  <c r="R5395" i="1"/>
  <c r="S5395" i="1"/>
  <c r="T5395" i="1"/>
  <c r="U5395" i="1"/>
  <c r="V5395" i="1"/>
  <c r="W5395" i="1"/>
  <c r="X5395" i="1"/>
  <c r="Y5395" i="1"/>
  <c r="Z5395" i="1"/>
  <c r="A5396" i="1"/>
  <c r="B5396" i="1"/>
  <c r="C5396" i="1"/>
  <c r="D5396" i="1"/>
  <c r="E5396" i="1"/>
  <c r="F5396" i="1"/>
  <c r="G5396" i="1"/>
  <c r="I5396" i="1"/>
  <c r="J5396" i="1"/>
  <c r="K5396" i="1"/>
  <c r="L5396" i="1"/>
  <c r="M5396" i="1"/>
  <c r="N5396" i="1"/>
  <c r="O5396" i="1"/>
  <c r="P5396" i="1"/>
  <c r="Q5396" i="1"/>
  <c r="R5396" i="1"/>
  <c r="S5396" i="1"/>
  <c r="T5396" i="1"/>
  <c r="U5396" i="1"/>
  <c r="V5396" i="1"/>
  <c r="W5396" i="1"/>
  <c r="X5396" i="1"/>
  <c r="Y5396" i="1"/>
  <c r="Z5396" i="1"/>
  <c r="A5397" i="1"/>
  <c r="B5397" i="1"/>
  <c r="C5397" i="1"/>
  <c r="D5397" i="1"/>
  <c r="E5397" i="1"/>
  <c r="F5397" i="1"/>
  <c r="G5397" i="1"/>
  <c r="I5397" i="1"/>
  <c r="J5397" i="1"/>
  <c r="K5397" i="1"/>
  <c r="L5397" i="1"/>
  <c r="M5397" i="1"/>
  <c r="N5397" i="1"/>
  <c r="O5397" i="1"/>
  <c r="P5397" i="1"/>
  <c r="Q5397" i="1"/>
  <c r="R5397" i="1"/>
  <c r="S5397" i="1"/>
  <c r="T5397" i="1"/>
  <c r="U5397" i="1"/>
  <c r="V5397" i="1"/>
  <c r="W5397" i="1"/>
  <c r="X5397" i="1"/>
  <c r="Y5397" i="1"/>
  <c r="Z5397" i="1"/>
  <c r="A5398" i="1"/>
  <c r="B5398" i="1"/>
  <c r="C5398" i="1"/>
  <c r="D5398" i="1"/>
  <c r="E5398" i="1"/>
  <c r="F5398" i="1"/>
  <c r="G5398" i="1"/>
  <c r="I5398" i="1"/>
  <c r="J5398" i="1"/>
  <c r="K5398" i="1"/>
  <c r="L5398" i="1"/>
  <c r="M5398" i="1"/>
  <c r="N5398" i="1"/>
  <c r="O5398" i="1"/>
  <c r="P5398" i="1"/>
  <c r="Q5398" i="1"/>
  <c r="R5398" i="1"/>
  <c r="S5398" i="1"/>
  <c r="T5398" i="1"/>
  <c r="U5398" i="1"/>
  <c r="V5398" i="1"/>
  <c r="W5398" i="1"/>
  <c r="X5398" i="1"/>
  <c r="Y5398" i="1"/>
  <c r="Z5398" i="1"/>
  <c r="A5399" i="1"/>
  <c r="B5399" i="1"/>
  <c r="C5399" i="1"/>
  <c r="D5399" i="1"/>
  <c r="E5399" i="1"/>
  <c r="F5399" i="1"/>
  <c r="G5399" i="1"/>
  <c r="I5399" i="1"/>
  <c r="J5399" i="1"/>
  <c r="K5399" i="1"/>
  <c r="L5399" i="1"/>
  <c r="M5399" i="1"/>
  <c r="N5399" i="1"/>
  <c r="O5399" i="1"/>
  <c r="P5399" i="1"/>
  <c r="Q5399" i="1"/>
  <c r="R5399" i="1"/>
  <c r="S5399" i="1"/>
  <c r="T5399" i="1"/>
  <c r="U5399" i="1"/>
  <c r="V5399" i="1"/>
  <c r="W5399" i="1"/>
  <c r="X5399" i="1"/>
  <c r="Y5399" i="1"/>
  <c r="Z5399" i="1"/>
  <c r="A5400" i="1"/>
  <c r="B5400" i="1"/>
  <c r="C5400" i="1"/>
  <c r="D5400" i="1"/>
  <c r="E5400" i="1"/>
  <c r="F5400" i="1"/>
  <c r="G5400" i="1"/>
  <c r="I5400" i="1"/>
  <c r="J5400" i="1"/>
  <c r="K5400" i="1"/>
  <c r="L5400" i="1"/>
  <c r="M5400" i="1"/>
  <c r="N5400" i="1"/>
  <c r="O5400" i="1"/>
  <c r="P5400" i="1"/>
  <c r="Q5400" i="1"/>
  <c r="R5400" i="1"/>
  <c r="S5400" i="1"/>
  <c r="T5400" i="1"/>
  <c r="U5400" i="1"/>
  <c r="V5400" i="1"/>
  <c r="W5400" i="1"/>
  <c r="X5400" i="1"/>
  <c r="Y5400" i="1"/>
  <c r="Z5400" i="1"/>
  <c r="A5401" i="1"/>
  <c r="B5401" i="1"/>
  <c r="C5401" i="1"/>
  <c r="D5401" i="1"/>
  <c r="E5401" i="1"/>
  <c r="F5401" i="1"/>
  <c r="G5401" i="1"/>
  <c r="I5401" i="1"/>
  <c r="J5401" i="1"/>
  <c r="K5401" i="1"/>
  <c r="L5401" i="1"/>
  <c r="M5401" i="1"/>
  <c r="N5401" i="1"/>
  <c r="O5401" i="1"/>
  <c r="P5401" i="1"/>
  <c r="Q5401" i="1"/>
  <c r="R5401" i="1"/>
  <c r="S5401" i="1"/>
  <c r="T5401" i="1"/>
  <c r="U5401" i="1"/>
  <c r="V5401" i="1"/>
  <c r="W5401" i="1"/>
  <c r="X5401" i="1"/>
  <c r="Y5401" i="1"/>
  <c r="Z5401" i="1"/>
  <c r="A5402" i="1"/>
  <c r="B5402" i="1"/>
  <c r="C5402" i="1"/>
  <c r="D5402" i="1"/>
  <c r="E5402" i="1"/>
  <c r="F5402" i="1"/>
  <c r="G5402" i="1"/>
  <c r="I5402" i="1"/>
  <c r="J5402" i="1"/>
  <c r="K5402" i="1"/>
  <c r="L5402" i="1"/>
  <c r="M5402" i="1"/>
  <c r="N5402" i="1"/>
  <c r="O5402" i="1"/>
  <c r="P5402" i="1"/>
  <c r="Q5402" i="1"/>
  <c r="R5402" i="1"/>
  <c r="S5402" i="1"/>
  <c r="T5402" i="1"/>
  <c r="U5402" i="1"/>
  <c r="V5402" i="1"/>
  <c r="W5402" i="1"/>
  <c r="X5402" i="1"/>
  <c r="Y5402" i="1"/>
  <c r="Z5402" i="1"/>
  <c r="A5403" i="1"/>
  <c r="B5403" i="1"/>
  <c r="C5403" i="1"/>
  <c r="D5403" i="1"/>
  <c r="E5403" i="1"/>
  <c r="F5403" i="1"/>
  <c r="G5403" i="1"/>
  <c r="I5403" i="1"/>
  <c r="J5403" i="1"/>
  <c r="K5403" i="1"/>
  <c r="L5403" i="1"/>
  <c r="M5403" i="1"/>
  <c r="N5403" i="1"/>
  <c r="O5403" i="1"/>
  <c r="P5403" i="1"/>
  <c r="Q5403" i="1"/>
  <c r="R5403" i="1"/>
  <c r="S5403" i="1"/>
  <c r="T5403" i="1"/>
  <c r="U5403" i="1"/>
  <c r="V5403" i="1"/>
  <c r="W5403" i="1"/>
  <c r="X5403" i="1"/>
  <c r="Y5403" i="1"/>
  <c r="Z5403" i="1"/>
  <c r="A5404" i="1"/>
  <c r="B5404" i="1"/>
  <c r="C5404" i="1"/>
  <c r="D5404" i="1"/>
  <c r="E5404" i="1"/>
  <c r="F5404" i="1"/>
  <c r="G5404" i="1"/>
  <c r="I5404" i="1"/>
  <c r="J5404" i="1"/>
  <c r="K5404" i="1"/>
  <c r="L5404" i="1"/>
  <c r="M5404" i="1"/>
  <c r="N5404" i="1"/>
  <c r="O5404" i="1"/>
  <c r="P5404" i="1"/>
  <c r="Q5404" i="1"/>
  <c r="R5404" i="1"/>
  <c r="S5404" i="1"/>
  <c r="T5404" i="1"/>
  <c r="U5404" i="1"/>
  <c r="V5404" i="1"/>
  <c r="W5404" i="1"/>
  <c r="X5404" i="1"/>
  <c r="Y5404" i="1"/>
  <c r="Z5404" i="1"/>
  <c r="A5405" i="1"/>
  <c r="B5405" i="1"/>
  <c r="C5405" i="1"/>
  <c r="D5405" i="1"/>
  <c r="E5405" i="1"/>
  <c r="F5405" i="1"/>
  <c r="G5405" i="1"/>
  <c r="I5405" i="1"/>
  <c r="J5405" i="1"/>
  <c r="K5405" i="1"/>
  <c r="L5405" i="1"/>
  <c r="M5405" i="1"/>
  <c r="N5405" i="1"/>
  <c r="O5405" i="1"/>
  <c r="P5405" i="1"/>
  <c r="Q5405" i="1"/>
  <c r="R5405" i="1"/>
  <c r="S5405" i="1"/>
  <c r="T5405" i="1"/>
  <c r="U5405" i="1"/>
  <c r="V5405" i="1"/>
  <c r="W5405" i="1"/>
  <c r="X5405" i="1"/>
  <c r="Y5405" i="1"/>
  <c r="Z5405" i="1"/>
  <c r="A5406" i="1"/>
  <c r="B5406" i="1"/>
  <c r="C5406" i="1"/>
  <c r="D5406" i="1"/>
  <c r="E5406" i="1"/>
  <c r="F5406" i="1"/>
  <c r="G5406" i="1"/>
  <c r="I5406" i="1"/>
  <c r="J5406" i="1"/>
  <c r="K5406" i="1"/>
  <c r="L5406" i="1"/>
  <c r="M5406" i="1"/>
  <c r="N5406" i="1"/>
  <c r="O5406" i="1"/>
  <c r="P5406" i="1"/>
  <c r="Q5406" i="1"/>
  <c r="R5406" i="1"/>
  <c r="S5406" i="1"/>
  <c r="T5406" i="1"/>
  <c r="U5406" i="1"/>
  <c r="V5406" i="1"/>
  <c r="W5406" i="1"/>
  <c r="X5406" i="1"/>
  <c r="Y5406" i="1"/>
  <c r="Z5406" i="1"/>
  <c r="A5407" i="1"/>
  <c r="B5407" i="1"/>
  <c r="C5407" i="1"/>
  <c r="D5407" i="1"/>
  <c r="E5407" i="1"/>
  <c r="F5407" i="1"/>
  <c r="G5407" i="1"/>
  <c r="I5407" i="1"/>
  <c r="J5407" i="1"/>
  <c r="K5407" i="1"/>
  <c r="L5407" i="1"/>
  <c r="M5407" i="1"/>
  <c r="N5407" i="1"/>
  <c r="O5407" i="1"/>
  <c r="P5407" i="1"/>
  <c r="Q5407" i="1"/>
  <c r="R5407" i="1"/>
  <c r="S5407" i="1"/>
  <c r="T5407" i="1"/>
  <c r="U5407" i="1"/>
  <c r="V5407" i="1"/>
  <c r="W5407" i="1"/>
  <c r="X5407" i="1"/>
  <c r="Y5407" i="1"/>
  <c r="Z5407" i="1"/>
  <c r="A5408" i="1"/>
  <c r="B5408" i="1"/>
  <c r="C5408" i="1"/>
  <c r="D5408" i="1"/>
  <c r="E5408" i="1"/>
  <c r="F5408" i="1"/>
  <c r="G5408" i="1"/>
  <c r="I5408" i="1"/>
  <c r="J5408" i="1"/>
  <c r="K5408" i="1"/>
  <c r="L5408" i="1"/>
  <c r="M5408" i="1"/>
  <c r="N5408" i="1"/>
  <c r="O5408" i="1"/>
  <c r="P5408" i="1"/>
  <c r="Q5408" i="1"/>
  <c r="R5408" i="1"/>
  <c r="S5408" i="1"/>
  <c r="T5408" i="1"/>
  <c r="U5408" i="1"/>
  <c r="V5408" i="1"/>
  <c r="W5408" i="1"/>
  <c r="X5408" i="1"/>
  <c r="Y5408" i="1"/>
  <c r="Z5408" i="1"/>
  <c r="A5409" i="1"/>
  <c r="B5409" i="1"/>
  <c r="C5409" i="1"/>
  <c r="D5409" i="1"/>
  <c r="E5409" i="1"/>
  <c r="F5409" i="1"/>
  <c r="G5409" i="1"/>
  <c r="I5409" i="1"/>
  <c r="J5409" i="1"/>
  <c r="K5409" i="1"/>
  <c r="L5409" i="1"/>
  <c r="M5409" i="1"/>
  <c r="N5409" i="1"/>
  <c r="O5409" i="1"/>
  <c r="P5409" i="1"/>
  <c r="Q5409" i="1"/>
  <c r="R5409" i="1"/>
  <c r="S5409" i="1"/>
  <c r="T5409" i="1"/>
  <c r="U5409" i="1"/>
  <c r="V5409" i="1"/>
  <c r="W5409" i="1"/>
  <c r="X5409" i="1"/>
  <c r="Y5409" i="1"/>
  <c r="Z5409" i="1"/>
  <c r="A5410" i="1"/>
  <c r="B5410" i="1"/>
  <c r="C5410" i="1"/>
  <c r="D5410" i="1"/>
  <c r="E5410" i="1"/>
  <c r="F5410" i="1"/>
  <c r="G5410" i="1"/>
  <c r="I5410" i="1"/>
  <c r="J5410" i="1"/>
  <c r="K5410" i="1"/>
  <c r="L5410" i="1"/>
  <c r="M5410" i="1"/>
  <c r="N5410" i="1"/>
  <c r="O5410" i="1"/>
  <c r="P5410" i="1"/>
  <c r="Q5410" i="1"/>
  <c r="R5410" i="1"/>
  <c r="S5410" i="1"/>
  <c r="T5410" i="1"/>
  <c r="U5410" i="1"/>
  <c r="V5410" i="1"/>
  <c r="W5410" i="1"/>
  <c r="X5410" i="1"/>
  <c r="Y5410" i="1"/>
  <c r="Z5410" i="1"/>
  <c r="A5411" i="1"/>
  <c r="B5411" i="1"/>
  <c r="C5411" i="1"/>
  <c r="D5411" i="1"/>
  <c r="E5411" i="1"/>
  <c r="F5411" i="1"/>
  <c r="G5411" i="1"/>
  <c r="I5411" i="1"/>
  <c r="J5411" i="1"/>
  <c r="K5411" i="1"/>
  <c r="L5411" i="1"/>
  <c r="M5411" i="1"/>
  <c r="N5411" i="1"/>
  <c r="O5411" i="1"/>
  <c r="P5411" i="1"/>
  <c r="Q5411" i="1"/>
  <c r="R5411" i="1"/>
  <c r="S5411" i="1"/>
  <c r="T5411" i="1"/>
  <c r="U5411" i="1"/>
  <c r="V5411" i="1"/>
  <c r="W5411" i="1"/>
  <c r="X5411" i="1"/>
  <c r="Y5411" i="1"/>
  <c r="Z5411" i="1"/>
  <c r="A5412" i="1"/>
  <c r="B5412" i="1"/>
  <c r="C5412" i="1"/>
  <c r="D5412" i="1"/>
  <c r="E5412" i="1"/>
  <c r="F5412" i="1"/>
  <c r="G5412" i="1"/>
  <c r="I5412" i="1"/>
  <c r="J5412" i="1"/>
  <c r="K5412" i="1"/>
  <c r="L5412" i="1"/>
  <c r="M5412" i="1"/>
  <c r="N5412" i="1"/>
  <c r="O5412" i="1"/>
  <c r="P5412" i="1"/>
  <c r="Q5412" i="1"/>
  <c r="R5412" i="1"/>
  <c r="S5412" i="1"/>
  <c r="T5412" i="1"/>
  <c r="U5412" i="1"/>
  <c r="V5412" i="1"/>
  <c r="W5412" i="1"/>
  <c r="X5412" i="1"/>
  <c r="Y5412" i="1"/>
  <c r="Z5412" i="1"/>
  <c r="A5413" i="1"/>
  <c r="B5413" i="1"/>
  <c r="C5413" i="1"/>
  <c r="D5413" i="1"/>
  <c r="E5413" i="1"/>
  <c r="F5413" i="1"/>
  <c r="G5413" i="1"/>
  <c r="I5413" i="1"/>
  <c r="J5413" i="1"/>
  <c r="K5413" i="1"/>
  <c r="L5413" i="1"/>
  <c r="M5413" i="1"/>
  <c r="N5413" i="1"/>
  <c r="O5413" i="1"/>
  <c r="P5413" i="1"/>
  <c r="Q5413" i="1"/>
  <c r="R5413" i="1"/>
  <c r="S5413" i="1"/>
  <c r="T5413" i="1"/>
  <c r="U5413" i="1"/>
  <c r="V5413" i="1"/>
  <c r="W5413" i="1"/>
  <c r="X5413" i="1"/>
  <c r="Y5413" i="1"/>
  <c r="Z5413" i="1"/>
  <c r="A5414" i="1"/>
  <c r="B5414" i="1"/>
  <c r="C5414" i="1"/>
  <c r="D5414" i="1"/>
  <c r="E5414" i="1"/>
  <c r="F5414" i="1"/>
  <c r="G5414" i="1"/>
  <c r="I5414" i="1"/>
  <c r="J5414" i="1"/>
  <c r="K5414" i="1"/>
  <c r="L5414" i="1"/>
  <c r="M5414" i="1"/>
  <c r="N5414" i="1"/>
  <c r="O5414" i="1"/>
  <c r="P5414" i="1"/>
  <c r="Q5414" i="1"/>
  <c r="R5414" i="1"/>
  <c r="S5414" i="1"/>
  <c r="T5414" i="1"/>
  <c r="U5414" i="1"/>
  <c r="V5414" i="1"/>
  <c r="W5414" i="1"/>
  <c r="X5414" i="1"/>
  <c r="Y5414" i="1"/>
  <c r="Z5414" i="1"/>
  <c r="A5415" i="1"/>
  <c r="B5415" i="1"/>
  <c r="C5415" i="1"/>
  <c r="D5415" i="1"/>
  <c r="E5415" i="1"/>
  <c r="F5415" i="1"/>
  <c r="G5415" i="1"/>
  <c r="I5415" i="1"/>
  <c r="J5415" i="1"/>
  <c r="K5415" i="1"/>
  <c r="L5415" i="1"/>
  <c r="M5415" i="1"/>
  <c r="N5415" i="1"/>
  <c r="O5415" i="1"/>
  <c r="P5415" i="1"/>
  <c r="Q5415" i="1"/>
  <c r="R5415" i="1"/>
  <c r="S5415" i="1"/>
  <c r="T5415" i="1"/>
  <c r="U5415" i="1"/>
  <c r="V5415" i="1"/>
  <c r="W5415" i="1"/>
  <c r="X5415" i="1"/>
  <c r="Y5415" i="1"/>
  <c r="Z5415" i="1"/>
  <c r="A5416" i="1"/>
  <c r="B5416" i="1"/>
  <c r="C5416" i="1"/>
  <c r="D5416" i="1"/>
  <c r="E5416" i="1"/>
  <c r="F5416" i="1"/>
  <c r="G5416" i="1"/>
  <c r="I5416" i="1"/>
  <c r="J5416" i="1"/>
  <c r="K5416" i="1"/>
  <c r="L5416" i="1"/>
  <c r="M5416" i="1"/>
  <c r="N5416" i="1"/>
  <c r="O5416" i="1"/>
  <c r="P5416" i="1"/>
  <c r="Q5416" i="1"/>
  <c r="R5416" i="1"/>
  <c r="S5416" i="1"/>
  <c r="T5416" i="1"/>
  <c r="U5416" i="1"/>
  <c r="V5416" i="1"/>
  <c r="W5416" i="1"/>
  <c r="X5416" i="1"/>
  <c r="Y5416" i="1"/>
  <c r="Z5416" i="1"/>
  <c r="A5417" i="1"/>
  <c r="B5417" i="1"/>
  <c r="C5417" i="1"/>
  <c r="D5417" i="1"/>
  <c r="E5417" i="1"/>
  <c r="F5417" i="1"/>
  <c r="G5417" i="1"/>
  <c r="I5417" i="1"/>
  <c r="J5417" i="1"/>
  <c r="K5417" i="1"/>
  <c r="L5417" i="1"/>
  <c r="M5417" i="1"/>
  <c r="N5417" i="1"/>
  <c r="O5417" i="1"/>
  <c r="P5417" i="1"/>
  <c r="Q5417" i="1"/>
  <c r="R5417" i="1"/>
  <c r="S5417" i="1"/>
  <c r="T5417" i="1"/>
  <c r="U5417" i="1"/>
  <c r="V5417" i="1"/>
  <c r="W5417" i="1"/>
  <c r="X5417" i="1"/>
  <c r="Y5417" i="1"/>
  <c r="Z5417" i="1"/>
  <c r="A5418" i="1"/>
  <c r="B5418" i="1"/>
  <c r="C5418" i="1"/>
  <c r="D5418" i="1"/>
  <c r="E5418" i="1"/>
  <c r="F5418" i="1"/>
  <c r="G5418" i="1"/>
  <c r="I5418" i="1"/>
  <c r="J5418" i="1"/>
  <c r="K5418" i="1"/>
  <c r="L5418" i="1"/>
  <c r="M5418" i="1"/>
  <c r="N5418" i="1"/>
  <c r="O5418" i="1"/>
  <c r="P5418" i="1"/>
  <c r="Q5418" i="1"/>
  <c r="R5418" i="1"/>
  <c r="S5418" i="1"/>
  <c r="T5418" i="1"/>
  <c r="U5418" i="1"/>
  <c r="V5418" i="1"/>
  <c r="W5418" i="1"/>
  <c r="X5418" i="1"/>
  <c r="Y5418" i="1"/>
  <c r="Z5418" i="1"/>
  <c r="A5419" i="1"/>
  <c r="B5419" i="1"/>
  <c r="C5419" i="1"/>
  <c r="D5419" i="1"/>
  <c r="E5419" i="1"/>
  <c r="F5419" i="1"/>
  <c r="G5419" i="1"/>
  <c r="I5419" i="1"/>
  <c r="J5419" i="1"/>
  <c r="K5419" i="1"/>
  <c r="L5419" i="1"/>
  <c r="M5419" i="1"/>
  <c r="N5419" i="1"/>
  <c r="O5419" i="1"/>
  <c r="P5419" i="1"/>
  <c r="Q5419" i="1"/>
  <c r="R5419" i="1"/>
  <c r="S5419" i="1"/>
  <c r="T5419" i="1"/>
  <c r="U5419" i="1"/>
  <c r="V5419" i="1"/>
  <c r="W5419" i="1"/>
  <c r="X5419" i="1"/>
  <c r="Y5419" i="1"/>
  <c r="Z5419" i="1"/>
  <c r="A5420" i="1"/>
  <c r="B5420" i="1"/>
  <c r="C5420" i="1"/>
  <c r="D5420" i="1"/>
  <c r="E5420" i="1"/>
  <c r="F5420" i="1"/>
  <c r="G5420" i="1"/>
  <c r="I5420" i="1"/>
  <c r="J5420" i="1"/>
  <c r="K5420" i="1"/>
  <c r="L5420" i="1"/>
  <c r="M5420" i="1"/>
  <c r="N5420" i="1"/>
  <c r="O5420" i="1"/>
  <c r="P5420" i="1"/>
  <c r="Q5420" i="1"/>
  <c r="R5420" i="1"/>
  <c r="S5420" i="1"/>
  <c r="T5420" i="1"/>
  <c r="U5420" i="1"/>
  <c r="V5420" i="1"/>
  <c r="W5420" i="1"/>
  <c r="X5420" i="1"/>
  <c r="Y5420" i="1"/>
  <c r="Z5420" i="1"/>
  <c r="A5421" i="1"/>
  <c r="B5421" i="1"/>
  <c r="C5421" i="1"/>
  <c r="D5421" i="1"/>
  <c r="E5421" i="1"/>
  <c r="F5421" i="1"/>
  <c r="G5421" i="1"/>
  <c r="I5421" i="1"/>
  <c r="J5421" i="1"/>
  <c r="K5421" i="1"/>
  <c r="L5421" i="1"/>
  <c r="M5421" i="1"/>
  <c r="N5421" i="1"/>
  <c r="O5421" i="1"/>
  <c r="P5421" i="1"/>
  <c r="Q5421" i="1"/>
  <c r="R5421" i="1"/>
  <c r="S5421" i="1"/>
  <c r="T5421" i="1"/>
  <c r="U5421" i="1"/>
  <c r="V5421" i="1"/>
  <c r="W5421" i="1"/>
  <c r="X5421" i="1"/>
  <c r="Y5421" i="1"/>
  <c r="Z5421" i="1"/>
  <c r="A5422" i="1"/>
  <c r="B5422" i="1"/>
  <c r="C5422" i="1"/>
  <c r="D5422" i="1"/>
  <c r="E5422" i="1"/>
  <c r="F5422" i="1"/>
  <c r="G5422" i="1"/>
  <c r="I5422" i="1"/>
  <c r="J5422" i="1"/>
  <c r="K5422" i="1"/>
  <c r="L5422" i="1"/>
  <c r="M5422" i="1"/>
  <c r="N5422" i="1"/>
  <c r="O5422" i="1"/>
  <c r="P5422" i="1"/>
  <c r="Q5422" i="1"/>
  <c r="R5422" i="1"/>
  <c r="S5422" i="1"/>
  <c r="T5422" i="1"/>
  <c r="U5422" i="1"/>
  <c r="V5422" i="1"/>
  <c r="W5422" i="1"/>
  <c r="X5422" i="1"/>
  <c r="Y5422" i="1"/>
  <c r="Z5422" i="1"/>
  <c r="A5423" i="1"/>
  <c r="B5423" i="1"/>
  <c r="C5423" i="1"/>
  <c r="D5423" i="1"/>
  <c r="E5423" i="1"/>
  <c r="F5423" i="1"/>
  <c r="G5423" i="1"/>
  <c r="I5423" i="1"/>
  <c r="J5423" i="1"/>
  <c r="K5423" i="1"/>
  <c r="L5423" i="1"/>
  <c r="M5423" i="1"/>
  <c r="N5423" i="1"/>
  <c r="O5423" i="1"/>
  <c r="P5423" i="1"/>
  <c r="Q5423" i="1"/>
  <c r="R5423" i="1"/>
  <c r="S5423" i="1"/>
  <c r="T5423" i="1"/>
  <c r="U5423" i="1"/>
  <c r="V5423" i="1"/>
  <c r="W5423" i="1"/>
  <c r="X5423" i="1"/>
  <c r="Y5423" i="1"/>
  <c r="Z5423" i="1"/>
  <c r="A5424" i="1"/>
  <c r="B5424" i="1"/>
  <c r="C5424" i="1"/>
  <c r="D5424" i="1"/>
  <c r="E5424" i="1"/>
  <c r="F5424" i="1"/>
  <c r="G5424" i="1"/>
  <c r="I5424" i="1"/>
  <c r="J5424" i="1"/>
  <c r="K5424" i="1"/>
  <c r="L5424" i="1"/>
  <c r="M5424" i="1"/>
  <c r="N5424" i="1"/>
  <c r="O5424" i="1"/>
  <c r="P5424" i="1"/>
  <c r="Q5424" i="1"/>
  <c r="R5424" i="1"/>
  <c r="S5424" i="1"/>
  <c r="T5424" i="1"/>
  <c r="U5424" i="1"/>
  <c r="V5424" i="1"/>
  <c r="W5424" i="1"/>
  <c r="X5424" i="1"/>
  <c r="Y5424" i="1"/>
  <c r="Z5424" i="1"/>
  <c r="A5425" i="1"/>
  <c r="B5425" i="1"/>
  <c r="C5425" i="1"/>
  <c r="D5425" i="1"/>
  <c r="E5425" i="1"/>
  <c r="F5425" i="1"/>
  <c r="G5425" i="1"/>
  <c r="I5425" i="1"/>
  <c r="J5425" i="1"/>
  <c r="K5425" i="1"/>
  <c r="L5425" i="1"/>
  <c r="M5425" i="1"/>
  <c r="N5425" i="1"/>
  <c r="O5425" i="1"/>
  <c r="P5425" i="1"/>
  <c r="Q5425" i="1"/>
  <c r="R5425" i="1"/>
  <c r="S5425" i="1"/>
  <c r="T5425" i="1"/>
  <c r="U5425" i="1"/>
  <c r="V5425" i="1"/>
  <c r="W5425" i="1"/>
  <c r="X5425" i="1"/>
  <c r="Y5425" i="1"/>
  <c r="Z5425" i="1"/>
  <c r="A5426" i="1"/>
  <c r="B5426" i="1"/>
  <c r="C5426" i="1"/>
  <c r="D5426" i="1"/>
  <c r="E5426" i="1"/>
  <c r="F5426" i="1"/>
  <c r="G5426" i="1"/>
  <c r="I5426" i="1"/>
  <c r="J5426" i="1"/>
  <c r="K5426" i="1"/>
  <c r="L5426" i="1"/>
  <c r="M5426" i="1"/>
  <c r="N5426" i="1"/>
  <c r="O5426" i="1"/>
  <c r="P5426" i="1"/>
  <c r="Q5426" i="1"/>
  <c r="R5426" i="1"/>
  <c r="S5426" i="1"/>
  <c r="T5426" i="1"/>
  <c r="U5426" i="1"/>
  <c r="V5426" i="1"/>
  <c r="W5426" i="1"/>
  <c r="X5426" i="1"/>
  <c r="Y5426" i="1"/>
  <c r="Z5426" i="1"/>
  <c r="A5427" i="1"/>
  <c r="B5427" i="1"/>
  <c r="C5427" i="1"/>
  <c r="D5427" i="1"/>
  <c r="E5427" i="1"/>
  <c r="F5427" i="1"/>
  <c r="G5427" i="1"/>
  <c r="I5427" i="1"/>
  <c r="J5427" i="1"/>
  <c r="K5427" i="1"/>
  <c r="L5427" i="1"/>
  <c r="M5427" i="1"/>
  <c r="N5427" i="1"/>
  <c r="O5427" i="1"/>
  <c r="P5427" i="1"/>
  <c r="Q5427" i="1"/>
  <c r="R5427" i="1"/>
  <c r="S5427" i="1"/>
  <c r="T5427" i="1"/>
  <c r="U5427" i="1"/>
  <c r="V5427" i="1"/>
  <c r="W5427" i="1"/>
  <c r="X5427" i="1"/>
  <c r="Y5427" i="1"/>
  <c r="Z5427" i="1"/>
  <c r="A5428" i="1"/>
  <c r="B5428" i="1"/>
  <c r="C5428" i="1"/>
  <c r="D5428" i="1"/>
  <c r="E5428" i="1"/>
  <c r="F5428" i="1"/>
  <c r="G5428" i="1"/>
  <c r="I5428" i="1"/>
  <c r="J5428" i="1"/>
  <c r="K5428" i="1"/>
  <c r="L5428" i="1"/>
  <c r="M5428" i="1"/>
  <c r="N5428" i="1"/>
  <c r="O5428" i="1"/>
  <c r="P5428" i="1"/>
  <c r="Q5428" i="1"/>
  <c r="R5428" i="1"/>
  <c r="S5428" i="1"/>
  <c r="T5428" i="1"/>
  <c r="U5428" i="1"/>
  <c r="V5428" i="1"/>
  <c r="W5428" i="1"/>
  <c r="X5428" i="1"/>
  <c r="Y5428" i="1"/>
  <c r="Z5428" i="1"/>
  <c r="A5429" i="1"/>
  <c r="B5429" i="1"/>
  <c r="C5429" i="1"/>
  <c r="D5429" i="1"/>
  <c r="E5429" i="1"/>
  <c r="F5429" i="1"/>
  <c r="G5429" i="1"/>
  <c r="I5429" i="1"/>
  <c r="J5429" i="1"/>
  <c r="K5429" i="1"/>
  <c r="L5429" i="1"/>
  <c r="M5429" i="1"/>
  <c r="N5429" i="1"/>
  <c r="O5429" i="1"/>
  <c r="P5429" i="1"/>
  <c r="Q5429" i="1"/>
  <c r="R5429" i="1"/>
  <c r="S5429" i="1"/>
  <c r="T5429" i="1"/>
  <c r="U5429" i="1"/>
  <c r="V5429" i="1"/>
  <c r="W5429" i="1"/>
  <c r="X5429" i="1"/>
  <c r="Y5429" i="1"/>
  <c r="Z5429" i="1"/>
  <c r="A5430" i="1"/>
  <c r="B5430" i="1"/>
  <c r="C5430" i="1"/>
  <c r="D5430" i="1"/>
  <c r="E5430" i="1"/>
  <c r="F5430" i="1"/>
  <c r="G5430" i="1"/>
  <c r="I5430" i="1"/>
  <c r="J5430" i="1"/>
  <c r="K5430" i="1"/>
  <c r="L5430" i="1"/>
  <c r="M5430" i="1"/>
  <c r="N5430" i="1"/>
  <c r="O5430" i="1"/>
  <c r="P5430" i="1"/>
  <c r="Q5430" i="1"/>
  <c r="R5430" i="1"/>
  <c r="S5430" i="1"/>
  <c r="T5430" i="1"/>
  <c r="U5430" i="1"/>
  <c r="V5430" i="1"/>
  <c r="W5430" i="1"/>
  <c r="X5430" i="1"/>
  <c r="Y5430" i="1"/>
  <c r="Z5430" i="1"/>
  <c r="A5431" i="1"/>
  <c r="B5431" i="1"/>
  <c r="C5431" i="1"/>
  <c r="D5431" i="1"/>
  <c r="E5431" i="1"/>
  <c r="F5431" i="1"/>
  <c r="G5431" i="1"/>
  <c r="I5431" i="1"/>
  <c r="J5431" i="1"/>
  <c r="K5431" i="1"/>
  <c r="L5431" i="1"/>
  <c r="M5431" i="1"/>
  <c r="N5431" i="1"/>
  <c r="O5431" i="1"/>
  <c r="P5431" i="1"/>
  <c r="Q5431" i="1"/>
  <c r="R5431" i="1"/>
  <c r="S5431" i="1"/>
  <c r="T5431" i="1"/>
  <c r="U5431" i="1"/>
  <c r="V5431" i="1"/>
  <c r="W5431" i="1"/>
  <c r="X5431" i="1"/>
  <c r="Y5431" i="1"/>
  <c r="Z5431" i="1"/>
  <c r="A5432" i="1"/>
  <c r="B5432" i="1"/>
  <c r="C5432" i="1"/>
  <c r="D5432" i="1"/>
  <c r="E5432" i="1"/>
  <c r="F5432" i="1"/>
  <c r="G5432" i="1"/>
  <c r="I5432" i="1"/>
  <c r="J5432" i="1"/>
  <c r="K5432" i="1"/>
  <c r="L5432" i="1"/>
  <c r="M5432" i="1"/>
  <c r="N5432" i="1"/>
  <c r="O5432" i="1"/>
  <c r="P5432" i="1"/>
  <c r="Q5432" i="1"/>
  <c r="R5432" i="1"/>
  <c r="S5432" i="1"/>
  <c r="T5432" i="1"/>
  <c r="U5432" i="1"/>
  <c r="V5432" i="1"/>
  <c r="W5432" i="1"/>
  <c r="X5432" i="1"/>
  <c r="Y5432" i="1"/>
  <c r="Z5432" i="1"/>
  <c r="A5433" i="1"/>
  <c r="B5433" i="1"/>
  <c r="C5433" i="1"/>
  <c r="D5433" i="1"/>
  <c r="E5433" i="1"/>
  <c r="F5433" i="1"/>
  <c r="G5433" i="1"/>
  <c r="I5433" i="1"/>
  <c r="J5433" i="1"/>
  <c r="K5433" i="1"/>
  <c r="L5433" i="1"/>
  <c r="M5433" i="1"/>
  <c r="N5433" i="1"/>
  <c r="O5433" i="1"/>
  <c r="P5433" i="1"/>
  <c r="Q5433" i="1"/>
  <c r="R5433" i="1"/>
  <c r="S5433" i="1"/>
  <c r="T5433" i="1"/>
  <c r="U5433" i="1"/>
  <c r="V5433" i="1"/>
  <c r="W5433" i="1"/>
  <c r="X5433" i="1"/>
  <c r="Y5433" i="1"/>
  <c r="Z5433" i="1"/>
  <c r="A5434" i="1"/>
  <c r="B5434" i="1"/>
  <c r="C5434" i="1"/>
  <c r="D5434" i="1"/>
  <c r="E5434" i="1"/>
  <c r="F5434" i="1"/>
  <c r="G5434" i="1"/>
  <c r="I5434" i="1"/>
  <c r="J5434" i="1"/>
  <c r="K5434" i="1"/>
  <c r="L5434" i="1"/>
  <c r="M5434" i="1"/>
  <c r="N5434" i="1"/>
  <c r="O5434" i="1"/>
  <c r="P5434" i="1"/>
  <c r="Q5434" i="1"/>
  <c r="R5434" i="1"/>
  <c r="S5434" i="1"/>
  <c r="T5434" i="1"/>
  <c r="U5434" i="1"/>
  <c r="V5434" i="1"/>
  <c r="W5434" i="1"/>
  <c r="X5434" i="1"/>
  <c r="Y5434" i="1"/>
  <c r="Z5434" i="1"/>
  <c r="A5435" i="1"/>
  <c r="B5435" i="1"/>
  <c r="C5435" i="1"/>
  <c r="D5435" i="1"/>
  <c r="E5435" i="1"/>
  <c r="F5435" i="1"/>
  <c r="G5435" i="1"/>
  <c r="I5435" i="1"/>
  <c r="J5435" i="1"/>
  <c r="K5435" i="1"/>
  <c r="L5435" i="1"/>
  <c r="M5435" i="1"/>
  <c r="N5435" i="1"/>
  <c r="O5435" i="1"/>
  <c r="P5435" i="1"/>
  <c r="Q5435" i="1"/>
  <c r="R5435" i="1"/>
  <c r="S5435" i="1"/>
  <c r="T5435" i="1"/>
  <c r="U5435" i="1"/>
  <c r="V5435" i="1"/>
  <c r="W5435" i="1"/>
  <c r="X5435" i="1"/>
  <c r="Y5435" i="1"/>
  <c r="Z5435" i="1"/>
  <c r="A5436" i="1"/>
  <c r="B5436" i="1"/>
  <c r="C5436" i="1"/>
  <c r="D5436" i="1"/>
  <c r="E5436" i="1"/>
  <c r="F5436" i="1"/>
  <c r="G5436" i="1"/>
  <c r="I5436" i="1"/>
  <c r="J5436" i="1"/>
  <c r="K5436" i="1"/>
  <c r="L5436" i="1"/>
  <c r="M5436" i="1"/>
  <c r="N5436" i="1"/>
  <c r="O5436" i="1"/>
  <c r="P5436" i="1"/>
  <c r="Q5436" i="1"/>
  <c r="R5436" i="1"/>
  <c r="S5436" i="1"/>
  <c r="T5436" i="1"/>
  <c r="U5436" i="1"/>
  <c r="V5436" i="1"/>
  <c r="W5436" i="1"/>
  <c r="X5436" i="1"/>
  <c r="Y5436" i="1"/>
  <c r="Z5436" i="1"/>
  <c r="A5437" i="1"/>
  <c r="B5437" i="1"/>
  <c r="C5437" i="1"/>
  <c r="D5437" i="1"/>
  <c r="E5437" i="1"/>
  <c r="F5437" i="1"/>
  <c r="G5437" i="1"/>
  <c r="I5437" i="1"/>
  <c r="J5437" i="1"/>
  <c r="K5437" i="1"/>
  <c r="L5437" i="1"/>
  <c r="M5437" i="1"/>
  <c r="N5437" i="1"/>
  <c r="O5437" i="1"/>
  <c r="P5437" i="1"/>
  <c r="Q5437" i="1"/>
  <c r="R5437" i="1"/>
  <c r="S5437" i="1"/>
  <c r="T5437" i="1"/>
  <c r="U5437" i="1"/>
  <c r="V5437" i="1"/>
  <c r="W5437" i="1"/>
  <c r="X5437" i="1"/>
  <c r="Y5437" i="1"/>
  <c r="Z5437" i="1"/>
  <c r="A5438" i="1"/>
  <c r="B5438" i="1"/>
  <c r="C5438" i="1"/>
  <c r="D5438" i="1"/>
  <c r="E5438" i="1"/>
  <c r="F5438" i="1"/>
  <c r="G5438" i="1"/>
  <c r="I5438" i="1"/>
  <c r="J5438" i="1"/>
  <c r="K5438" i="1"/>
  <c r="L5438" i="1"/>
  <c r="M5438" i="1"/>
  <c r="N5438" i="1"/>
  <c r="O5438" i="1"/>
  <c r="P5438" i="1"/>
  <c r="Q5438" i="1"/>
  <c r="R5438" i="1"/>
  <c r="S5438" i="1"/>
  <c r="T5438" i="1"/>
  <c r="U5438" i="1"/>
  <c r="V5438" i="1"/>
  <c r="W5438" i="1"/>
  <c r="X5438" i="1"/>
  <c r="Y5438" i="1"/>
  <c r="Z5438" i="1"/>
  <c r="A5439" i="1"/>
  <c r="B5439" i="1"/>
  <c r="C5439" i="1"/>
  <c r="D5439" i="1"/>
  <c r="E5439" i="1"/>
  <c r="F5439" i="1"/>
  <c r="G5439" i="1"/>
  <c r="I5439" i="1"/>
  <c r="J5439" i="1"/>
  <c r="K5439" i="1"/>
  <c r="L5439" i="1"/>
  <c r="M5439" i="1"/>
  <c r="N5439" i="1"/>
  <c r="O5439" i="1"/>
  <c r="P5439" i="1"/>
  <c r="Q5439" i="1"/>
  <c r="R5439" i="1"/>
  <c r="S5439" i="1"/>
  <c r="T5439" i="1"/>
  <c r="U5439" i="1"/>
  <c r="V5439" i="1"/>
  <c r="W5439" i="1"/>
  <c r="X5439" i="1"/>
  <c r="Y5439" i="1"/>
  <c r="Z5439" i="1"/>
  <c r="A5440" i="1"/>
  <c r="B5440" i="1"/>
  <c r="C5440" i="1"/>
  <c r="D5440" i="1"/>
  <c r="E5440" i="1"/>
  <c r="F5440" i="1"/>
  <c r="G5440" i="1"/>
  <c r="I5440" i="1"/>
  <c r="J5440" i="1"/>
  <c r="K5440" i="1"/>
  <c r="L5440" i="1"/>
  <c r="M5440" i="1"/>
  <c r="N5440" i="1"/>
  <c r="O5440" i="1"/>
  <c r="P5440" i="1"/>
  <c r="Q5440" i="1"/>
  <c r="R5440" i="1"/>
  <c r="S5440" i="1"/>
  <c r="T5440" i="1"/>
  <c r="U5440" i="1"/>
  <c r="V5440" i="1"/>
  <c r="W5440" i="1"/>
  <c r="X5440" i="1"/>
  <c r="Y5440" i="1"/>
  <c r="Z5440" i="1"/>
  <c r="A5441" i="1"/>
  <c r="B5441" i="1"/>
  <c r="C5441" i="1"/>
  <c r="D5441" i="1"/>
  <c r="E5441" i="1"/>
  <c r="F5441" i="1"/>
  <c r="G5441" i="1"/>
  <c r="I5441" i="1"/>
  <c r="J5441" i="1"/>
  <c r="K5441" i="1"/>
  <c r="L5441" i="1"/>
  <c r="M5441" i="1"/>
  <c r="N5441" i="1"/>
  <c r="O5441" i="1"/>
  <c r="P5441" i="1"/>
  <c r="Q5441" i="1"/>
  <c r="R5441" i="1"/>
  <c r="S5441" i="1"/>
  <c r="T5441" i="1"/>
  <c r="U5441" i="1"/>
  <c r="V5441" i="1"/>
  <c r="W5441" i="1"/>
  <c r="X5441" i="1"/>
  <c r="Y5441" i="1"/>
  <c r="Z5441" i="1"/>
  <c r="A5442" i="1"/>
  <c r="B5442" i="1"/>
  <c r="C5442" i="1"/>
  <c r="D5442" i="1"/>
  <c r="E5442" i="1"/>
  <c r="F5442" i="1"/>
  <c r="G5442" i="1"/>
  <c r="I5442" i="1"/>
  <c r="J5442" i="1"/>
  <c r="K5442" i="1"/>
  <c r="L5442" i="1"/>
  <c r="M5442" i="1"/>
  <c r="N5442" i="1"/>
  <c r="O5442" i="1"/>
  <c r="P5442" i="1"/>
  <c r="Q5442" i="1"/>
  <c r="R5442" i="1"/>
  <c r="S5442" i="1"/>
  <c r="T5442" i="1"/>
  <c r="U5442" i="1"/>
  <c r="V5442" i="1"/>
  <c r="W5442" i="1"/>
  <c r="X5442" i="1"/>
  <c r="Y5442" i="1"/>
  <c r="Z5442" i="1"/>
  <c r="A5443" i="1"/>
  <c r="B5443" i="1"/>
  <c r="C5443" i="1"/>
  <c r="D5443" i="1"/>
  <c r="E5443" i="1"/>
  <c r="F5443" i="1"/>
  <c r="G5443" i="1"/>
  <c r="I5443" i="1"/>
  <c r="J5443" i="1"/>
  <c r="K5443" i="1"/>
  <c r="L5443" i="1"/>
  <c r="M5443" i="1"/>
  <c r="N5443" i="1"/>
  <c r="O5443" i="1"/>
  <c r="P5443" i="1"/>
  <c r="Q5443" i="1"/>
  <c r="R5443" i="1"/>
  <c r="S5443" i="1"/>
  <c r="T5443" i="1"/>
  <c r="U5443" i="1"/>
  <c r="V5443" i="1"/>
  <c r="W5443" i="1"/>
  <c r="X5443" i="1"/>
  <c r="Y5443" i="1"/>
  <c r="Z5443" i="1"/>
  <c r="A5444" i="1"/>
  <c r="B5444" i="1"/>
  <c r="C5444" i="1"/>
  <c r="D5444" i="1"/>
  <c r="E5444" i="1"/>
  <c r="F5444" i="1"/>
  <c r="G5444" i="1"/>
  <c r="I5444" i="1"/>
  <c r="J5444" i="1"/>
  <c r="K5444" i="1"/>
  <c r="L5444" i="1"/>
  <c r="M5444" i="1"/>
  <c r="N5444" i="1"/>
  <c r="O5444" i="1"/>
  <c r="P5444" i="1"/>
  <c r="Q5444" i="1"/>
  <c r="R5444" i="1"/>
  <c r="S5444" i="1"/>
  <c r="T5444" i="1"/>
  <c r="U5444" i="1"/>
  <c r="V5444" i="1"/>
  <c r="W5444" i="1"/>
  <c r="X5444" i="1"/>
  <c r="Y5444" i="1"/>
  <c r="Z5444" i="1"/>
  <c r="A5445" i="1"/>
  <c r="B5445" i="1"/>
  <c r="C5445" i="1"/>
  <c r="D5445" i="1"/>
  <c r="E5445" i="1"/>
  <c r="F5445" i="1"/>
  <c r="G5445" i="1"/>
  <c r="I5445" i="1"/>
  <c r="J5445" i="1"/>
  <c r="K5445" i="1"/>
  <c r="L5445" i="1"/>
  <c r="M5445" i="1"/>
  <c r="N5445" i="1"/>
  <c r="O5445" i="1"/>
  <c r="P5445" i="1"/>
  <c r="Q5445" i="1"/>
  <c r="R5445" i="1"/>
  <c r="S5445" i="1"/>
  <c r="T5445" i="1"/>
  <c r="U5445" i="1"/>
  <c r="V5445" i="1"/>
  <c r="W5445" i="1"/>
  <c r="X5445" i="1"/>
  <c r="Y5445" i="1"/>
  <c r="Z5445" i="1"/>
  <c r="A5446" i="1"/>
  <c r="B5446" i="1"/>
  <c r="C5446" i="1"/>
  <c r="D5446" i="1"/>
  <c r="E5446" i="1"/>
  <c r="F5446" i="1"/>
  <c r="G5446" i="1"/>
  <c r="I5446" i="1"/>
  <c r="J5446" i="1"/>
  <c r="K5446" i="1"/>
  <c r="L5446" i="1"/>
  <c r="M5446" i="1"/>
  <c r="N5446" i="1"/>
  <c r="O5446" i="1"/>
  <c r="P5446" i="1"/>
  <c r="Q5446" i="1"/>
  <c r="R5446" i="1"/>
  <c r="S5446" i="1"/>
  <c r="T5446" i="1"/>
  <c r="U5446" i="1"/>
  <c r="V5446" i="1"/>
  <c r="W5446" i="1"/>
  <c r="X5446" i="1"/>
  <c r="Y5446" i="1"/>
  <c r="Z5446" i="1"/>
  <c r="A5447" i="1"/>
  <c r="B5447" i="1"/>
  <c r="C5447" i="1"/>
  <c r="D5447" i="1"/>
  <c r="E5447" i="1"/>
  <c r="F5447" i="1"/>
  <c r="G5447" i="1"/>
  <c r="I5447" i="1"/>
  <c r="J5447" i="1"/>
  <c r="K5447" i="1"/>
  <c r="L5447" i="1"/>
  <c r="M5447" i="1"/>
  <c r="N5447" i="1"/>
  <c r="O5447" i="1"/>
  <c r="P5447" i="1"/>
  <c r="Q5447" i="1"/>
  <c r="R5447" i="1"/>
  <c r="S5447" i="1"/>
  <c r="T5447" i="1"/>
  <c r="U5447" i="1"/>
  <c r="V5447" i="1"/>
  <c r="W5447" i="1"/>
  <c r="X5447" i="1"/>
  <c r="Y5447" i="1"/>
  <c r="Z5447" i="1"/>
  <c r="A5448" i="1"/>
  <c r="B5448" i="1"/>
  <c r="C5448" i="1"/>
  <c r="D5448" i="1"/>
  <c r="E5448" i="1"/>
  <c r="F5448" i="1"/>
  <c r="G5448" i="1"/>
  <c r="I5448" i="1"/>
  <c r="J5448" i="1"/>
  <c r="K5448" i="1"/>
  <c r="L5448" i="1"/>
  <c r="M5448" i="1"/>
  <c r="N5448" i="1"/>
  <c r="O5448" i="1"/>
  <c r="P5448" i="1"/>
  <c r="Q5448" i="1"/>
  <c r="R5448" i="1"/>
  <c r="S5448" i="1"/>
  <c r="T5448" i="1"/>
  <c r="U5448" i="1"/>
  <c r="V5448" i="1"/>
  <c r="W5448" i="1"/>
  <c r="X5448" i="1"/>
  <c r="Y5448" i="1"/>
  <c r="Z5448" i="1"/>
  <c r="A5449" i="1"/>
  <c r="B5449" i="1"/>
  <c r="C5449" i="1"/>
  <c r="D5449" i="1"/>
  <c r="E5449" i="1"/>
  <c r="F5449" i="1"/>
  <c r="G5449" i="1"/>
  <c r="I5449" i="1"/>
  <c r="J5449" i="1"/>
  <c r="K5449" i="1"/>
  <c r="L5449" i="1"/>
  <c r="M5449" i="1"/>
  <c r="N5449" i="1"/>
  <c r="O5449" i="1"/>
  <c r="P5449" i="1"/>
  <c r="Q5449" i="1"/>
  <c r="R5449" i="1"/>
  <c r="S5449" i="1"/>
  <c r="T5449" i="1"/>
  <c r="U5449" i="1"/>
  <c r="V5449" i="1"/>
  <c r="W5449" i="1"/>
  <c r="X5449" i="1"/>
  <c r="Y5449" i="1"/>
  <c r="Z5449" i="1"/>
  <c r="A5450" i="1"/>
  <c r="B5450" i="1"/>
  <c r="C5450" i="1"/>
  <c r="D5450" i="1"/>
  <c r="E5450" i="1"/>
  <c r="F5450" i="1"/>
  <c r="G5450" i="1"/>
  <c r="I5450" i="1"/>
  <c r="J5450" i="1"/>
  <c r="K5450" i="1"/>
  <c r="L5450" i="1"/>
  <c r="M5450" i="1"/>
  <c r="N5450" i="1"/>
  <c r="O5450" i="1"/>
  <c r="P5450" i="1"/>
  <c r="Q5450" i="1"/>
  <c r="R5450" i="1"/>
  <c r="S5450" i="1"/>
  <c r="T5450" i="1"/>
  <c r="U5450" i="1"/>
  <c r="V5450" i="1"/>
  <c r="W5450" i="1"/>
  <c r="X5450" i="1"/>
  <c r="Y5450" i="1"/>
  <c r="Z5450" i="1"/>
  <c r="A5451" i="1"/>
  <c r="B5451" i="1"/>
  <c r="C5451" i="1"/>
  <c r="D5451" i="1"/>
  <c r="E5451" i="1"/>
  <c r="F5451" i="1"/>
  <c r="G5451" i="1"/>
  <c r="I5451" i="1"/>
  <c r="J5451" i="1"/>
  <c r="K5451" i="1"/>
  <c r="L5451" i="1"/>
  <c r="M5451" i="1"/>
  <c r="N5451" i="1"/>
  <c r="O5451" i="1"/>
  <c r="P5451" i="1"/>
  <c r="Q5451" i="1"/>
  <c r="R5451" i="1"/>
  <c r="S5451" i="1"/>
  <c r="T5451" i="1"/>
  <c r="U5451" i="1"/>
  <c r="V5451" i="1"/>
  <c r="W5451" i="1"/>
  <c r="X5451" i="1"/>
  <c r="Y5451" i="1"/>
  <c r="Z5451" i="1"/>
  <c r="A5452" i="1"/>
  <c r="B5452" i="1"/>
  <c r="C5452" i="1"/>
  <c r="D5452" i="1"/>
  <c r="E5452" i="1"/>
  <c r="F5452" i="1"/>
  <c r="G5452" i="1"/>
  <c r="I5452" i="1"/>
  <c r="J5452" i="1"/>
  <c r="K5452" i="1"/>
  <c r="L5452" i="1"/>
  <c r="M5452" i="1"/>
  <c r="N5452" i="1"/>
  <c r="O5452" i="1"/>
  <c r="P5452" i="1"/>
  <c r="Q5452" i="1"/>
  <c r="R5452" i="1"/>
  <c r="S5452" i="1"/>
  <c r="T5452" i="1"/>
  <c r="U5452" i="1"/>
  <c r="V5452" i="1"/>
  <c r="W5452" i="1"/>
  <c r="X5452" i="1"/>
  <c r="Y5452" i="1"/>
  <c r="Z5452" i="1"/>
  <c r="A5453" i="1"/>
  <c r="B5453" i="1"/>
  <c r="C5453" i="1"/>
  <c r="D5453" i="1"/>
  <c r="E5453" i="1"/>
  <c r="F5453" i="1"/>
  <c r="G5453" i="1"/>
  <c r="I5453" i="1"/>
  <c r="J5453" i="1"/>
  <c r="K5453" i="1"/>
  <c r="L5453" i="1"/>
  <c r="M5453" i="1"/>
  <c r="N5453" i="1"/>
  <c r="O5453" i="1"/>
  <c r="P5453" i="1"/>
  <c r="Q5453" i="1"/>
  <c r="R5453" i="1"/>
  <c r="S5453" i="1"/>
  <c r="T5453" i="1"/>
  <c r="U5453" i="1"/>
  <c r="V5453" i="1"/>
  <c r="W5453" i="1"/>
  <c r="X5453" i="1"/>
  <c r="Y5453" i="1"/>
  <c r="Z5453" i="1"/>
  <c r="A5454" i="1"/>
  <c r="B5454" i="1"/>
  <c r="C5454" i="1"/>
  <c r="D5454" i="1"/>
  <c r="E5454" i="1"/>
  <c r="F5454" i="1"/>
  <c r="G5454" i="1"/>
  <c r="I5454" i="1"/>
  <c r="J5454" i="1"/>
  <c r="K5454" i="1"/>
  <c r="L5454" i="1"/>
  <c r="M5454" i="1"/>
  <c r="N5454" i="1"/>
  <c r="O5454" i="1"/>
  <c r="P5454" i="1"/>
  <c r="Q5454" i="1"/>
  <c r="R5454" i="1"/>
  <c r="S5454" i="1"/>
  <c r="T5454" i="1"/>
  <c r="U5454" i="1"/>
  <c r="V5454" i="1"/>
  <c r="W5454" i="1"/>
  <c r="X5454" i="1"/>
  <c r="Y5454" i="1"/>
  <c r="Z5454" i="1"/>
  <c r="A5455" i="1"/>
  <c r="B5455" i="1"/>
  <c r="C5455" i="1"/>
  <c r="D5455" i="1"/>
  <c r="E5455" i="1"/>
  <c r="F5455" i="1"/>
  <c r="G5455" i="1"/>
  <c r="I5455" i="1"/>
  <c r="J5455" i="1"/>
  <c r="K5455" i="1"/>
  <c r="L5455" i="1"/>
  <c r="M5455" i="1"/>
  <c r="N5455" i="1"/>
  <c r="O5455" i="1"/>
  <c r="P5455" i="1"/>
  <c r="Q5455" i="1"/>
  <c r="R5455" i="1"/>
  <c r="S5455" i="1"/>
  <c r="T5455" i="1"/>
  <c r="U5455" i="1"/>
  <c r="V5455" i="1"/>
  <c r="W5455" i="1"/>
  <c r="X5455" i="1"/>
  <c r="Y5455" i="1"/>
  <c r="Z5455" i="1"/>
  <c r="A5456" i="1"/>
  <c r="B5456" i="1"/>
  <c r="C5456" i="1"/>
  <c r="D5456" i="1"/>
  <c r="E5456" i="1"/>
  <c r="F5456" i="1"/>
  <c r="G5456" i="1"/>
  <c r="I5456" i="1"/>
  <c r="J5456" i="1"/>
  <c r="K5456" i="1"/>
  <c r="L5456" i="1"/>
  <c r="M5456" i="1"/>
  <c r="N5456" i="1"/>
  <c r="O5456" i="1"/>
  <c r="P5456" i="1"/>
  <c r="Q5456" i="1"/>
  <c r="R5456" i="1"/>
  <c r="S5456" i="1"/>
  <c r="T5456" i="1"/>
  <c r="U5456" i="1"/>
  <c r="V5456" i="1"/>
  <c r="W5456" i="1"/>
  <c r="X5456" i="1"/>
  <c r="Y5456" i="1"/>
  <c r="Z5456" i="1"/>
  <c r="A5457" i="1"/>
  <c r="B5457" i="1"/>
  <c r="C5457" i="1"/>
  <c r="D5457" i="1"/>
  <c r="E5457" i="1"/>
  <c r="F5457" i="1"/>
  <c r="G5457" i="1"/>
  <c r="I5457" i="1"/>
  <c r="J5457" i="1"/>
  <c r="K5457" i="1"/>
  <c r="L5457" i="1"/>
  <c r="M5457" i="1"/>
  <c r="N5457" i="1"/>
  <c r="O5457" i="1"/>
  <c r="P5457" i="1"/>
  <c r="Q5457" i="1"/>
  <c r="R5457" i="1"/>
  <c r="S5457" i="1"/>
  <c r="T5457" i="1"/>
  <c r="U5457" i="1"/>
  <c r="V5457" i="1"/>
  <c r="W5457" i="1"/>
  <c r="X5457" i="1"/>
  <c r="Y5457" i="1"/>
  <c r="Z5457" i="1"/>
  <c r="A5458" i="1"/>
  <c r="B5458" i="1"/>
  <c r="C5458" i="1"/>
  <c r="D5458" i="1"/>
  <c r="E5458" i="1"/>
  <c r="F5458" i="1"/>
  <c r="G5458" i="1"/>
  <c r="I5458" i="1"/>
  <c r="J5458" i="1"/>
  <c r="K5458" i="1"/>
  <c r="L5458" i="1"/>
  <c r="M5458" i="1"/>
  <c r="N5458" i="1"/>
  <c r="O5458" i="1"/>
  <c r="P5458" i="1"/>
  <c r="Q5458" i="1"/>
  <c r="R5458" i="1"/>
  <c r="S5458" i="1"/>
  <c r="T5458" i="1"/>
  <c r="U5458" i="1"/>
  <c r="V5458" i="1"/>
  <c r="W5458" i="1"/>
  <c r="X5458" i="1"/>
  <c r="Y5458" i="1"/>
  <c r="Z5458" i="1"/>
  <c r="A5459" i="1"/>
  <c r="B5459" i="1"/>
  <c r="C5459" i="1"/>
  <c r="D5459" i="1"/>
  <c r="E5459" i="1"/>
  <c r="F5459" i="1"/>
  <c r="G5459" i="1"/>
  <c r="I5459" i="1"/>
  <c r="J5459" i="1"/>
  <c r="K5459" i="1"/>
  <c r="L5459" i="1"/>
  <c r="M5459" i="1"/>
  <c r="N5459" i="1"/>
  <c r="O5459" i="1"/>
  <c r="P5459" i="1"/>
  <c r="Q5459" i="1"/>
  <c r="R5459" i="1"/>
  <c r="S5459" i="1"/>
  <c r="T5459" i="1"/>
  <c r="U5459" i="1"/>
  <c r="V5459" i="1"/>
  <c r="W5459" i="1"/>
  <c r="X5459" i="1"/>
  <c r="Y5459" i="1"/>
  <c r="Z5459" i="1"/>
  <c r="A5460" i="1"/>
  <c r="B5460" i="1"/>
  <c r="C5460" i="1"/>
  <c r="D5460" i="1"/>
  <c r="E5460" i="1"/>
  <c r="F5460" i="1"/>
  <c r="G5460" i="1"/>
  <c r="I5460" i="1"/>
  <c r="J5460" i="1"/>
  <c r="K5460" i="1"/>
  <c r="L5460" i="1"/>
  <c r="M5460" i="1"/>
  <c r="N5460" i="1"/>
  <c r="O5460" i="1"/>
  <c r="P5460" i="1"/>
  <c r="Q5460" i="1"/>
  <c r="R5460" i="1"/>
  <c r="S5460" i="1"/>
  <c r="T5460" i="1"/>
  <c r="U5460" i="1"/>
  <c r="V5460" i="1"/>
  <c r="W5460" i="1"/>
  <c r="X5460" i="1"/>
  <c r="Y5460" i="1"/>
  <c r="Z5460" i="1"/>
  <c r="A5461" i="1"/>
  <c r="B5461" i="1"/>
  <c r="C5461" i="1"/>
  <c r="D5461" i="1"/>
  <c r="E5461" i="1"/>
  <c r="F5461" i="1"/>
  <c r="G5461" i="1"/>
  <c r="I5461" i="1"/>
  <c r="J5461" i="1"/>
  <c r="K5461" i="1"/>
  <c r="L5461" i="1"/>
  <c r="M5461" i="1"/>
  <c r="N5461" i="1"/>
  <c r="O5461" i="1"/>
  <c r="P5461" i="1"/>
  <c r="Q5461" i="1"/>
  <c r="R5461" i="1"/>
  <c r="S5461" i="1"/>
  <c r="T5461" i="1"/>
  <c r="U5461" i="1"/>
  <c r="V5461" i="1"/>
  <c r="W5461" i="1"/>
  <c r="X5461" i="1"/>
  <c r="Y5461" i="1"/>
  <c r="Z5461" i="1"/>
  <c r="A5462" i="1"/>
  <c r="B5462" i="1"/>
  <c r="C5462" i="1"/>
  <c r="D5462" i="1"/>
  <c r="E5462" i="1"/>
  <c r="F5462" i="1"/>
  <c r="G5462" i="1"/>
  <c r="I5462" i="1"/>
  <c r="J5462" i="1"/>
  <c r="K5462" i="1"/>
  <c r="L5462" i="1"/>
  <c r="M5462" i="1"/>
  <c r="N5462" i="1"/>
  <c r="O5462" i="1"/>
  <c r="P5462" i="1"/>
  <c r="Q5462" i="1"/>
  <c r="R5462" i="1"/>
  <c r="S5462" i="1"/>
  <c r="T5462" i="1"/>
  <c r="U5462" i="1"/>
  <c r="V5462" i="1"/>
  <c r="W5462" i="1"/>
  <c r="X5462" i="1"/>
  <c r="Y5462" i="1"/>
  <c r="Z5462" i="1"/>
  <c r="A5463" i="1"/>
  <c r="B5463" i="1"/>
  <c r="C5463" i="1"/>
  <c r="D5463" i="1"/>
  <c r="E5463" i="1"/>
  <c r="F5463" i="1"/>
  <c r="G5463" i="1"/>
  <c r="I5463" i="1"/>
  <c r="J5463" i="1"/>
  <c r="K5463" i="1"/>
  <c r="L5463" i="1"/>
  <c r="M5463" i="1"/>
  <c r="N5463" i="1"/>
  <c r="O5463" i="1"/>
  <c r="P5463" i="1"/>
  <c r="Q5463" i="1"/>
  <c r="R5463" i="1"/>
  <c r="S5463" i="1"/>
  <c r="T5463" i="1"/>
  <c r="U5463" i="1"/>
  <c r="V5463" i="1"/>
  <c r="W5463" i="1"/>
  <c r="X5463" i="1"/>
  <c r="Y5463" i="1"/>
  <c r="Z5463" i="1"/>
  <c r="A5464" i="1"/>
  <c r="B5464" i="1"/>
  <c r="C5464" i="1"/>
  <c r="D5464" i="1"/>
  <c r="E5464" i="1"/>
  <c r="F5464" i="1"/>
  <c r="G5464" i="1"/>
  <c r="I5464" i="1"/>
  <c r="J5464" i="1"/>
  <c r="K5464" i="1"/>
  <c r="L5464" i="1"/>
  <c r="M5464" i="1"/>
  <c r="N5464" i="1"/>
  <c r="O5464" i="1"/>
  <c r="P5464" i="1"/>
  <c r="Q5464" i="1"/>
  <c r="R5464" i="1"/>
  <c r="S5464" i="1"/>
  <c r="T5464" i="1"/>
  <c r="U5464" i="1"/>
  <c r="V5464" i="1"/>
  <c r="W5464" i="1"/>
  <c r="X5464" i="1"/>
  <c r="Y5464" i="1"/>
  <c r="Z5464" i="1"/>
  <c r="A5465" i="1"/>
  <c r="B5465" i="1"/>
  <c r="C5465" i="1"/>
  <c r="D5465" i="1"/>
  <c r="E5465" i="1"/>
  <c r="F5465" i="1"/>
  <c r="G5465" i="1"/>
  <c r="I5465" i="1"/>
  <c r="J5465" i="1"/>
  <c r="K5465" i="1"/>
  <c r="L5465" i="1"/>
  <c r="M5465" i="1"/>
  <c r="N5465" i="1"/>
  <c r="O5465" i="1"/>
  <c r="P5465" i="1"/>
  <c r="Q5465" i="1"/>
  <c r="R5465" i="1"/>
  <c r="S5465" i="1"/>
  <c r="T5465" i="1"/>
  <c r="U5465" i="1"/>
  <c r="V5465" i="1"/>
  <c r="W5465" i="1"/>
  <c r="X5465" i="1"/>
  <c r="Y5465" i="1"/>
  <c r="Z5465" i="1"/>
  <c r="A5466" i="1"/>
  <c r="B5466" i="1"/>
  <c r="C5466" i="1"/>
  <c r="D5466" i="1"/>
  <c r="E5466" i="1"/>
  <c r="F5466" i="1"/>
  <c r="G5466" i="1"/>
  <c r="I5466" i="1"/>
  <c r="J5466" i="1"/>
  <c r="K5466" i="1"/>
  <c r="L5466" i="1"/>
  <c r="M5466" i="1"/>
  <c r="N5466" i="1"/>
  <c r="O5466" i="1"/>
  <c r="P5466" i="1"/>
  <c r="Q5466" i="1"/>
  <c r="R5466" i="1"/>
  <c r="S5466" i="1"/>
  <c r="T5466" i="1"/>
  <c r="U5466" i="1"/>
  <c r="V5466" i="1"/>
  <c r="W5466" i="1"/>
  <c r="X5466" i="1"/>
  <c r="Y5466" i="1"/>
  <c r="Z5466" i="1"/>
  <c r="A5467" i="1"/>
  <c r="B5467" i="1"/>
  <c r="C5467" i="1"/>
  <c r="D5467" i="1"/>
  <c r="E5467" i="1"/>
  <c r="F5467" i="1"/>
  <c r="G5467" i="1"/>
  <c r="I5467" i="1"/>
  <c r="J5467" i="1"/>
  <c r="K5467" i="1"/>
  <c r="L5467" i="1"/>
  <c r="M5467" i="1"/>
  <c r="N5467" i="1"/>
  <c r="O5467" i="1"/>
  <c r="P5467" i="1"/>
  <c r="Q5467" i="1"/>
  <c r="R5467" i="1"/>
  <c r="S5467" i="1"/>
  <c r="T5467" i="1"/>
  <c r="U5467" i="1"/>
  <c r="V5467" i="1"/>
  <c r="W5467" i="1"/>
  <c r="X5467" i="1"/>
  <c r="Y5467" i="1"/>
  <c r="Z5467" i="1"/>
  <c r="A5468" i="1"/>
  <c r="B5468" i="1"/>
  <c r="C5468" i="1"/>
  <c r="D5468" i="1"/>
  <c r="E5468" i="1"/>
  <c r="F5468" i="1"/>
  <c r="G5468" i="1"/>
  <c r="I5468" i="1"/>
  <c r="J5468" i="1"/>
  <c r="K5468" i="1"/>
  <c r="L5468" i="1"/>
  <c r="M5468" i="1"/>
  <c r="N5468" i="1"/>
  <c r="O5468" i="1"/>
  <c r="P5468" i="1"/>
  <c r="Q5468" i="1"/>
  <c r="R5468" i="1"/>
  <c r="S5468" i="1"/>
  <c r="T5468" i="1"/>
  <c r="U5468" i="1"/>
  <c r="V5468" i="1"/>
  <c r="W5468" i="1"/>
  <c r="X5468" i="1"/>
  <c r="Y5468" i="1"/>
  <c r="Z5468" i="1"/>
  <c r="A5469" i="1"/>
  <c r="B5469" i="1"/>
  <c r="C5469" i="1"/>
  <c r="D5469" i="1"/>
  <c r="E5469" i="1"/>
  <c r="F5469" i="1"/>
  <c r="G5469" i="1"/>
  <c r="I5469" i="1"/>
  <c r="J5469" i="1"/>
  <c r="K5469" i="1"/>
  <c r="L5469" i="1"/>
  <c r="M5469" i="1"/>
  <c r="N5469" i="1"/>
  <c r="O5469" i="1"/>
  <c r="P5469" i="1"/>
  <c r="Q5469" i="1"/>
  <c r="R5469" i="1"/>
  <c r="S5469" i="1"/>
  <c r="T5469" i="1"/>
  <c r="U5469" i="1"/>
  <c r="V5469" i="1"/>
  <c r="W5469" i="1"/>
  <c r="X5469" i="1"/>
  <c r="Y5469" i="1"/>
  <c r="Z5469" i="1"/>
  <c r="A5470" i="1"/>
  <c r="B5470" i="1"/>
  <c r="C5470" i="1"/>
  <c r="D5470" i="1"/>
  <c r="E5470" i="1"/>
  <c r="F5470" i="1"/>
  <c r="G5470" i="1"/>
  <c r="I5470" i="1"/>
  <c r="J5470" i="1"/>
  <c r="K5470" i="1"/>
  <c r="L5470" i="1"/>
  <c r="M5470" i="1"/>
  <c r="N5470" i="1"/>
  <c r="O5470" i="1"/>
  <c r="P5470" i="1"/>
  <c r="Q5470" i="1"/>
  <c r="R5470" i="1"/>
  <c r="S5470" i="1"/>
  <c r="T5470" i="1"/>
  <c r="U5470" i="1"/>
  <c r="V5470" i="1"/>
  <c r="W5470" i="1"/>
  <c r="X5470" i="1"/>
  <c r="Y5470" i="1"/>
  <c r="Z5470" i="1"/>
  <c r="A5471" i="1"/>
  <c r="B5471" i="1"/>
  <c r="C5471" i="1"/>
  <c r="D5471" i="1"/>
  <c r="E5471" i="1"/>
  <c r="F5471" i="1"/>
  <c r="G5471" i="1"/>
  <c r="I5471" i="1"/>
  <c r="J5471" i="1"/>
  <c r="K5471" i="1"/>
  <c r="L5471" i="1"/>
  <c r="M5471" i="1"/>
  <c r="N5471" i="1"/>
  <c r="O5471" i="1"/>
  <c r="P5471" i="1"/>
  <c r="Q5471" i="1"/>
  <c r="R5471" i="1"/>
  <c r="S5471" i="1"/>
  <c r="T5471" i="1"/>
  <c r="U5471" i="1"/>
  <c r="V5471" i="1"/>
  <c r="W5471" i="1"/>
  <c r="X5471" i="1"/>
  <c r="Y5471" i="1"/>
  <c r="Z5471" i="1"/>
  <c r="A5472" i="1"/>
  <c r="B5472" i="1"/>
  <c r="C5472" i="1"/>
  <c r="D5472" i="1"/>
  <c r="E5472" i="1"/>
  <c r="F5472" i="1"/>
  <c r="G5472" i="1"/>
  <c r="I5472" i="1"/>
  <c r="J5472" i="1"/>
  <c r="K5472" i="1"/>
  <c r="L5472" i="1"/>
  <c r="M5472" i="1"/>
  <c r="N5472" i="1"/>
  <c r="O5472" i="1"/>
  <c r="P5472" i="1"/>
  <c r="Q5472" i="1"/>
  <c r="R5472" i="1"/>
  <c r="S5472" i="1"/>
  <c r="T5472" i="1"/>
  <c r="U5472" i="1"/>
  <c r="V5472" i="1"/>
  <c r="W5472" i="1"/>
  <c r="X5472" i="1"/>
  <c r="Y5472" i="1"/>
  <c r="Z5472" i="1"/>
  <c r="A5473" i="1"/>
  <c r="B5473" i="1"/>
  <c r="C5473" i="1"/>
  <c r="D5473" i="1"/>
  <c r="E5473" i="1"/>
  <c r="F5473" i="1"/>
  <c r="G5473" i="1"/>
  <c r="I5473" i="1"/>
  <c r="J5473" i="1"/>
  <c r="K5473" i="1"/>
  <c r="L5473" i="1"/>
  <c r="M5473" i="1"/>
  <c r="N5473" i="1"/>
  <c r="O5473" i="1"/>
  <c r="P5473" i="1"/>
  <c r="Q5473" i="1"/>
  <c r="R5473" i="1"/>
  <c r="S5473" i="1"/>
  <c r="T5473" i="1"/>
  <c r="U5473" i="1"/>
  <c r="V5473" i="1"/>
  <c r="W5473" i="1"/>
  <c r="X5473" i="1"/>
  <c r="Y5473" i="1"/>
  <c r="Z5473" i="1"/>
  <c r="A5474" i="1"/>
  <c r="B5474" i="1"/>
  <c r="C5474" i="1"/>
  <c r="D5474" i="1"/>
  <c r="E5474" i="1"/>
  <c r="F5474" i="1"/>
  <c r="G5474" i="1"/>
  <c r="I5474" i="1"/>
  <c r="J5474" i="1"/>
  <c r="K5474" i="1"/>
  <c r="L5474" i="1"/>
  <c r="M5474" i="1"/>
  <c r="N5474" i="1"/>
  <c r="O5474" i="1"/>
  <c r="P5474" i="1"/>
  <c r="Q5474" i="1"/>
  <c r="R5474" i="1"/>
  <c r="S5474" i="1"/>
  <c r="T5474" i="1"/>
  <c r="U5474" i="1"/>
  <c r="V5474" i="1"/>
  <c r="W5474" i="1"/>
  <c r="X5474" i="1"/>
  <c r="Y5474" i="1"/>
  <c r="Z5474" i="1"/>
  <c r="A5475" i="1"/>
  <c r="B5475" i="1"/>
  <c r="C5475" i="1"/>
  <c r="D5475" i="1"/>
  <c r="E5475" i="1"/>
  <c r="F5475" i="1"/>
  <c r="G5475" i="1"/>
  <c r="I5475" i="1"/>
  <c r="J5475" i="1"/>
  <c r="K5475" i="1"/>
  <c r="L5475" i="1"/>
  <c r="M5475" i="1"/>
  <c r="N5475" i="1"/>
  <c r="O5475" i="1"/>
  <c r="P5475" i="1"/>
  <c r="Q5475" i="1"/>
  <c r="R5475" i="1"/>
  <c r="S5475" i="1"/>
  <c r="T5475" i="1"/>
  <c r="U5475" i="1"/>
  <c r="V5475" i="1"/>
  <c r="W5475" i="1"/>
  <c r="X5475" i="1"/>
  <c r="Y5475" i="1"/>
  <c r="Z5475" i="1"/>
  <c r="A5476" i="1"/>
  <c r="B5476" i="1"/>
  <c r="C5476" i="1"/>
  <c r="D5476" i="1"/>
  <c r="E5476" i="1"/>
  <c r="F5476" i="1"/>
  <c r="G5476" i="1"/>
  <c r="I5476" i="1"/>
  <c r="J5476" i="1"/>
  <c r="K5476" i="1"/>
  <c r="L5476" i="1"/>
  <c r="M5476" i="1"/>
  <c r="N5476" i="1"/>
  <c r="O5476" i="1"/>
  <c r="P5476" i="1"/>
  <c r="Q5476" i="1"/>
  <c r="R5476" i="1"/>
  <c r="S5476" i="1"/>
  <c r="T5476" i="1"/>
  <c r="U5476" i="1"/>
  <c r="V5476" i="1"/>
  <c r="W5476" i="1"/>
  <c r="X5476" i="1"/>
  <c r="Y5476" i="1"/>
  <c r="Z5476" i="1"/>
  <c r="A5477" i="1"/>
  <c r="B5477" i="1"/>
  <c r="C5477" i="1"/>
  <c r="D5477" i="1"/>
  <c r="E5477" i="1"/>
  <c r="F5477" i="1"/>
  <c r="G5477" i="1"/>
  <c r="I5477" i="1"/>
  <c r="J5477" i="1"/>
  <c r="K5477" i="1"/>
  <c r="L5477" i="1"/>
  <c r="M5477" i="1"/>
  <c r="N5477" i="1"/>
  <c r="O5477" i="1"/>
  <c r="P5477" i="1"/>
  <c r="Q5477" i="1"/>
  <c r="R5477" i="1"/>
  <c r="S5477" i="1"/>
  <c r="T5477" i="1"/>
  <c r="U5477" i="1"/>
  <c r="V5477" i="1"/>
  <c r="W5477" i="1"/>
  <c r="X5477" i="1"/>
  <c r="Y5477" i="1"/>
  <c r="Z5477" i="1"/>
  <c r="A5478" i="1"/>
  <c r="B5478" i="1"/>
  <c r="C5478" i="1"/>
  <c r="D5478" i="1"/>
  <c r="E5478" i="1"/>
  <c r="F5478" i="1"/>
  <c r="G5478" i="1"/>
  <c r="I5478" i="1"/>
  <c r="J5478" i="1"/>
  <c r="K5478" i="1"/>
  <c r="L5478" i="1"/>
  <c r="M5478" i="1"/>
  <c r="N5478" i="1"/>
  <c r="O5478" i="1"/>
  <c r="P5478" i="1"/>
  <c r="Q5478" i="1"/>
  <c r="R5478" i="1"/>
  <c r="S5478" i="1"/>
  <c r="T5478" i="1"/>
  <c r="U5478" i="1"/>
  <c r="V5478" i="1"/>
  <c r="W5478" i="1"/>
  <c r="X5478" i="1"/>
  <c r="Y5478" i="1"/>
  <c r="Z5478" i="1"/>
  <c r="A5479" i="1"/>
  <c r="B5479" i="1"/>
  <c r="C5479" i="1"/>
  <c r="D5479" i="1"/>
  <c r="E5479" i="1"/>
  <c r="F5479" i="1"/>
  <c r="G5479" i="1"/>
  <c r="I5479" i="1"/>
  <c r="J5479" i="1"/>
  <c r="K5479" i="1"/>
  <c r="L5479" i="1"/>
  <c r="M5479" i="1"/>
  <c r="N5479" i="1"/>
  <c r="O5479" i="1"/>
  <c r="P5479" i="1"/>
  <c r="Q5479" i="1"/>
  <c r="R5479" i="1"/>
  <c r="S5479" i="1"/>
  <c r="T5479" i="1"/>
  <c r="U5479" i="1"/>
  <c r="V5479" i="1"/>
  <c r="W5479" i="1"/>
  <c r="X5479" i="1"/>
  <c r="Y5479" i="1"/>
  <c r="Z5479" i="1"/>
  <c r="A5480" i="1"/>
  <c r="B5480" i="1"/>
  <c r="C5480" i="1"/>
  <c r="D5480" i="1"/>
  <c r="E5480" i="1"/>
  <c r="F5480" i="1"/>
  <c r="G5480" i="1"/>
  <c r="I5480" i="1"/>
  <c r="J5480" i="1"/>
  <c r="K5480" i="1"/>
  <c r="L5480" i="1"/>
  <c r="M5480" i="1"/>
  <c r="N5480" i="1"/>
  <c r="O5480" i="1"/>
  <c r="P5480" i="1"/>
  <c r="Q5480" i="1"/>
  <c r="R5480" i="1"/>
  <c r="S5480" i="1"/>
  <c r="T5480" i="1"/>
  <c r="U5480" i="1"/>
  <c r="V5480" i="1"/>
  <c r="W5480" i="1"/>
  <c r="X5480" i="1"/>
  <c r="Y5480" i="1"/>
  <c r="Z5480" i="1"/>
  <c r="A5481" i="1"/>
  <c r="B5481" i="1"/>
  <c r="C5481" i="1"/>
  <c r="D5481" i="1"/>
  <c r="E5481" i="1"/>
  <c r="F5481" i="1"/>
  <c r="G5481" i="1"/>
  <c r="I5481" i="1"/>
  <c r="J5481" i="1"/>
  <c r="K5481" i="1"/>
  <c r="L5481" i="1"/>
  <c r="M5481" i="1"/>
  <c r="N5481" i="1"/>
  <c r="O5481" i="1"/>
  <c r="P5481" i="1"/>
  <c r="Q5481" i="1"/>
  <c r="R5481" i="1"/>
  <c r="S5481" i="1"/>
  <c r="T5481" i="1"/>
  <c r="U5481" i="1"/>
  <c r="V5481" i="1"/>
  <c r="W5481" i="1"/>
  <c r="X5481" i="1"/>
  <c r="Y5481" i="1"/>
  <c r="Z5481" i="1"/>
  <c r="A5482" i="1"/>
  <c r="B5482" i="1"/>
  <c r="C5482" i="1"/>
  <c r="D5482" i="1"/>
  <c r="E5482" i="1"/>
  <c r="F5482" i="1"/>
  <c r="G5482" i="1"/>
  <c r="I5482" i="1"/>
  <c r="J5482" i="1"/>
  <c r="K5482" i="1"/>
  <c r="L5482" i="1"/>
  <c r="M5482" i="1"/>
  <c r="N5482" i="1"/>
  <c r="O5482" i="1"/>
  <c r="P5482" i="1"/>
  <c r="Q5482" i="1"/>
  <c r="R5482" i="1"/>
  <c r="S5482" i="1"/>
  <c r="T5482" i="1"/>
  <c r="U5482" i="1"/>
  <c r="V5482" i="1"/>
  <c r="W5482" i="1"/>
  <c r="X5482" i="1"/>
  <c r="Y5482" i="1"/>
  <c r="Z5482" i="1"/>
  <c r="A5483" i="1"/>
  <c r="B5483" i="1"/>
  <c r="C5483" i="1"/>
  <c r="D5483" i="1"/>
  <c r="E5483" i="1"/>
  <c r="F5483" i="1"/>
  <c r="G5483" i="1"/>
  <c r="I5483" i="1"/>
  <c r="J5483" i="1"/>
  <c r="K5483" i="1"/>
  <c r="L5483" i="1"/>
  <c r="M5483" i="1"/>
  <c r="N5483" i="1"/>
  <c r="O5483" i="1"/>
  <c r="P5483" i="1"/>
  <c r="Q5483" i="1"/>
  <c r="R5483" i="1"/>
  <c r="S5483" i="1"/>
  <c r="T5483" i="1"/>
  <c r="U5483" i="1"/>
  <c r="V5483" i="1"/>
  <c r="W5483" i="1"/>
  <c r="X5483" i="1"/>
  <c r="Y5483" i="1"/>
  <c r="Z5483" i="1"/>
  <c r="A5484" i="1"/>
  <c r="B5484" i="1"/>
  <c r="C5484" i="1"/>
  <c r="D5484" i="1"/>
  <c r="E5484" i="1"/>
  <c r="F5484" i="1"/>
  <c r="G5484" i="1"/>
  <c r="I5484" i="1"/>
  <c r="J5484" i="1"/>
  <c r="K5484" i="1"/>
  <c r="L5484" i="1"/>
  <c r="M5484" i="1"/>
  <c r="N5484" i="1"/>
  <c r="O5484" i="1"/>
  <c r="P5484" i="1"/>
  <c r="Q5484" i="1"/>
  <c r="R5484" i="1"/>
  <c r="S5484" i="1"/>
  <c r="T5484" i="1"/>
  <c r="U5484" i="1"/>
  <c r="V5484" i="1"/>
  <c r="W5484" i="1"/>
  <c r="X5484" i="1"/>
  <c r="Y5484" i="1"/>
  <c r="Z5484" i="1"/>
  <c r="A5485" i="1"/>
  <c r="B5485" i="1"/>
  <c r="C5485" i="1"/>
  <c r="D5485" i="1"/>
  <c r="E5485" i="1"/>
  <c r="F5485" i="1"/>
  <c r="G5485" i="1"/>
  <c r="I5485" i="1"/>
  <c r="J5485" i="1"/>
  <c r="K5485" i="1"/>
  <c r="L5485" i="1"/>
  <c r="M5485" i="1"/>
  <c r="N5485" i="1"/>
  <c r="O5485" i="1"/>
  <c r="P5485" i="1"/>
  <c r="Q5485" i="1"/>
  <c r="R5485" i="1"/>
  <c r="S5485" i="1"/>
  <c r="T5485" i="1"/>
  <c r="U5485" i="1"/>
  <c r="V5485" i="1"/>
  <c r="W5485" i="1"/>
  <c r="X5485" i="1"/>
  <c r="Y5485" i="1"/>
  <c r="Z5485" i="1"/>
  <c r="A5486" i="1"/>
  <c r="B5486" i="1"/>
  <c r="C5486" i="1"/>
  <c r="D5486" i="1"/>
  <c r="E5486" i="1"/>
  <c r="F5486" i="1"/>
  <c r="G5486" i="1"/>
  <c r="I5486" i="1"/>
  <c r="J5486" i="1"/>
  <c r="K5486" i="1"/>
  <c r="L5486" i="1"/>
  <c r="M5486" i="1"/>
  <c r="N5486" i="1"/>
  <c r="O5486" i="1"/>
  <c r="P5486" i="1"/>
  <c r="Q5486" i="1"/>
  <c r="R5486" i="1"/>
  <c r="S5486" i="1"/>
  <c r="T5486" i="1"/>
  <c r="U5486" i="1"/>
  <c r="V5486" i="1"/>
  <c r="W5486" i="1"/>
  <c r="X5486" i="1"/>
  <c r="Y5486" i="1"/>
  <c r="Z5486" i="1"/>
  <c r="A5487" i="1"/>
  <c r="B5487" i="1"/>
  <c r="C5487" i="1"/>
  <c r="D5487" i="1"/>
  <c r="E5487" i="1"/>
  <c r="F5487" i="1"/>
  <c r="G5487" i="1"/>
  <c r="I5487" i="1"/>
  <c r="J5487" i="1"/>
  <c r="K5487" i="1"/>
  <c r="L5487" i="1"/>
  <c r="M5487" i="1"/>
  <c r="N5487" i="1"/>
  <c r="O5487" i="1"/>
  <c r="P5487" i="1"/>
  <c r="Q5487" i="1"/>
  <c r="R5487" i="1"/>
  <c r="S5487" i="1"/>
  <c r="T5487" i="1"/>
  <c r="U5487" i="1"/>
  <c r="V5487" i="1"/>
  <c r="W5487" i="1"/>
  <c r="X5487" i="1"/>
  <c r="Y5487" i="1"/>
  <c r="Z5487" i="1"/>
  <c r="A5488" i="1"/>
  <c r="B5488" i="1"/>
  <c r="C5488" i="1"/>
  <c r="D5488" i="1"/>
  <c r="E5488" i="1"/>
  <c r="F5488" i="1"/>
  <c r="G5488" i="1"/>
  <c r="I5488" i="1"/>
  <c r="J5488" i="1"/>
  <c r="K5488" i="1"/>
  <c r="L5488" i="1"/>
  <c r="M5488" i="1"/>
  <c r="N5488" i="1"/>
  <c r="O5488" i="1"/>
  <c r="P5488" i="1"/>
  <c r="Q5488" i="1"/>
  <c r="R5488" i="1"/>
  <c r="S5488" i="1"/>
  <c r="T5488" i="1"/>
  <c r="U5488" i="1"/>
  <c r="V5488" i="1"/>
  <c r="W5488" i="1"/>
  <c r="X5488" i="1"/>
  <c r="Y5488" i="1"/>
  <c r="Z5488" i="1"/>
  <c r="A5489" i="1"/>
  <c r="B5489" i="1"/>
  <c r="C5489" i="1"/>
  <c r="D5489" i="1"/>
  <c r="E5489" i="1"/>
  <c r="F5489" i="1"/>
  <c r="G5489" i="1"/>
  <c r="I5489" i="1"/>
  <c r="J5489" i="1"/>
  <c r="K5489" i="1"/>
  <c r="L5489" i="1"/>
  <c r="M5489" i="1"/>
  <c r="N5489" i="1"/>
  <c r="O5489" i="1"/>
  <c r="P5489" i="1"/>
  <c r="Q5489" i="1"/>
  <c r="R5489" i="1"/>
  <c r="S5489" i="1"/>
  <c r="T5489" i="1"/>
  <c r="U5489" i="1"/>
  <c r="V5489" i="1"/>
  <c r="W5489" i="1"/>
  <c r="X5489" i="1"/>
  <c r="Y5489" i="1"/>
  <c r="Z5489" i="1"/>
  <c r="A5490" i="1"/>
  <c r="B5490" i="1"/>
  <c r="C5490" i="1"/>
  <c r="D5490" i="1"/>
  <c r="E5490" i="1"/>
  <c r="F5490" i="1"/>
  <c r="G5490" i="1"/>
  <c r="I5490" i="1"/>
  <c r="J5490" i="1"/>
  <c r="K5490" i="1"/>
  <c r="L5490" i="1"/>
  <c r="M5490" i="1"/>
  <c r="N5490" i="1"/>
  <c r="O5490" i="1"/>
  <c r="P5490" i="1"/>
  <c r="Q5490" i="1"/>
  <c r="R5490" i="1"/>
  <c r="S5490" i="1"/>
  <c r="T5490" i="1"/>
  <c r="U5490" i="1"/>
  <c r="V5490" i="1"/>
  <c r="W5490" i="1"/>
  <c r="X5490" i="1"/>
  <c r="Y5490" i="1"/>
  <c r="Z5490" i="1"/>
  <c r="A5491" i="1"/>
  <c r="B5491" i="1"/>
  <c r="C5491" i="1"/>
  <c r="D5491" i="1"/>
  <c r="E5491" i="1"/>
  <c r="F5491" i="1"/>
  <c r="G5491" i="1"/>
  <c r="I5491" i="1"/>
  <c r="J5491" i="1"/>
  <c r="K5491" i="1"/>
  <c r="L5491" i="1"/>
  <c r="M5491" i="1"/>
  <c r="N5491" i="1"/>
  <c r="O5491" i="1"/>
  <c r="P5491" i="1"/>
  <c r="Q5491" i="1"/>
  <c r="R5491" i="1"/>
  <c r="S5491" i="1"/>
  <c r="T5491" i="1"/>
  <c r="U5491" i="1"/>
  <c r="V5491" i="1"/>
  <c r="W5491" i="1"/>
  <c r="X5491" i="1"/>
  <c r="Y5491" i="1"/>
  <c r="Z5491" i="1"/>
  <c r="A5492" i="1"/>
  <c r="B5492" i="1"/>
  <c r="C5492" i="1"/>
  <c r="D5492" i="1"/>
  <c r="E5492" i="1"/>
  <c r="F5492" i="1"/>
  <c r="G5492" i="1"/>
  <c r="I5492" i="1"/>
  <c r="J5492" i="1"/>
  <c r="K5492" i="1"/>
  <c r="L5492" i="1"/>
  <c r="M5492" i="1"/>
  <c r="N5492" i="1"/>
  <c r="O5492" i="1"/>
  <c r="P5492" i="1"/>
  <c r="Q5492" i="1"/>
  <c r="R5492" i="1"/>
  <c r="S5492" i="1"/>
  <c r="T5492" i="1"/>
  <c r="U5492" i="1"/>
  <c r="V5492" i="1"/>
  <c r="W5492" i="1"/>
  <c r="X5492" i="1"/>
  <c r="Y5492" i="1"/>
  <c r="Z5492" i="1"/>
  <c r="A5493" i="1"/>
  <c r="B5493" i="1"/>
  <c r="C5493" i="1"/>
  <c r="D5493" i="1"/>
  <c r="E5493" i="1"/>
  <c r="F5493" i="1"/>
  <c r="G5493" i="1"/>
  <c r="I5493" i="1"/>
  <c r="J5493" i="1"/>
  <c r="K5493" i="1"/>
  <c r="L5493" i="1"/>
  <c r="M5493" i="1"/>
  <c r="N5493" i="1"/>
  <c r="O5493" i="1"/>
  <c r="P5493" i="1"/>
  <c r="Q5493" i="1"/>
  <c r="R5493" i="1"/>
  <c r="S5493" i="1"/>
  <c r="T5493" i="1"/>
  <c r="U5493" i="1"/>
  <c r="V5493" i="1"/>
  <c r="W5493" i="1"/>
  <c r="X5493" i="1"/>
  <c r="Y5493" i="1"/>
  <c r="Z5493" i="1"/>
  <c r="A5494" i="1"/>
  <c r="B5494" i="1"/>
  <c r="C5494" i="1"/>
  <c r="D5494" i="1"/>
  <c r="E5494" i="1"/>
  <c r="F5494" i="1"/>
  <c r="G5494" i="1"/>
  <c r="I5494" i="1"/>
  <c r="J5494" i="1"/>
  <c r="K5494" i="1"/>
  <c r="L5494" i="1"/>
  <c r="M5494" i="1"/>
  <c r="N5494" i="1"/>
  <c r="O5494" i="1"/>
  <c r="P5494" i="1"/>
  <c r="Q5494" i="1"/>
  <c r="R5494" i="1"/>
  <c r="S5494" i="1"/>
  <c r="T5494" i="1"/>
  <c r="U5494" i="1"/>
  <c r="V5494" i="1"/>
  <c r="W5494" i="1"/>
  <c r="X5494" i="1"/>
  <c r="Y5494" i="1"/>
  <c r="Z5494" i="1"/>
  <c r="A5495" i="1"/>
  <c r="B5495" i="1"/>
  <c r="C5495" i="1"/>
  <c r="D5495" i="1"/>
  <c r="E5495" i="1"/>
  <c r="F5495" i="1"/>
  <c r="G5495" i="1"/>
  <c r="I5495" i="1"/>
  <c r="J5495" i="1"/>
  <c r="K5495" i="1"/>
  <c r="L5495" i="1"/>
  <c r="M5495" i="1"/>
  <c r="N5495" i="1"/>
  <c r="O5495" i="1"/>
  <c r="P5495" i="1"/>
  <c r="Q5495" i="1"/>
  <c r="R5495" i="1"/>
  <c r="S5495" i="1"/>
  <c r="T5495" i="1"/>
  <c r="U5495" i="1"/>
  <c r="V5495" i="1"/>
  <c r="W5495" i="1"/>
  <c r="X5495" i="1"/>
  <c r="Y5495" i="1"/>
  <c r="Z5495" i="1"/>
  <c r="A5496" i="1"/>
  <c r="B5496" i="1"/>
  <c r="C5496" i="1"/>
  <c r="D5496" i="1"/>
  <c r="E5496" i="1"/>
  <c r="F5496" i="1"/>
  <c r="G5496" i="1"/>
  <c r="I5496" i="1"/>
  <c r="J5496" i="1"/>
  <c r="K5496" i="1"/>
  <c r="L5496" i="1"/>
  <c r="M5496" i="1"/>
  <c r="N5496" i="1"/>
  <c r="O5496" i="1"/>
  <c r="P5496" i="1"/>
  <c r="Q5496" i="1"/>
  <c r="R5496" i="1"/>
  <c r="S5496" i="1"/>
  <c r="T5496" i="1"/>
  <c r="U5496" i="1"/>
  <c r="V5496" i="1"/>
  <c r="W5496" i="1"/>
  <c r="X5496" i="1"/>
  <c r="Y5496" i="1"/>
  <c r="Z5496" i="1"/>
  <c r="A5497" i="1"/>
  <c r="B5497" i="1"/>
  <c r="C5497" i="1"/>
  <c r="D5497" i="1"/>
  <c r="E5497" i="1"/>
  <c r="F5497" i="1"/>
  <c r="G5497" i="1"/>
  <c r="I5497" i="1"/>
  <c r="J5497" i="1"/>
  <c r="K5497" i="1"/>
  <c r="L5497" i="1"/>
  <c r="M5497" i="1"/>
  <c r="N5497" i="1"/>
  <c r="O5497" i="1"/>
  <c r="P5497" i="1"/>
  <c r="Q5497" i="1"/>
  <c r="R5497" i="1"/>
  <c r="S5497" i="1"/>
  <c r="T5497" i="1"/>
  <c r="U5497" i="1"/>
  <c r="V5497" i="1"/>
  <c r="W5497" i="1"/>
  <c r="X5497" i="1"/>
  <c r="Y5497" i="1"/>
  <c r="Z5497" i="1"/>
  <c r="A5498" i="1"/>
  <c r="B5498" i="1"/>
  <c r="C5498" i="1"/>
  <c r="D5498" i="1"/>
  <c r="E5498" i="1"/>
  <c r="F5498" i="1"/>
  <c r="G5498" i="1"/>
  <c r="I5498" i="1"/>
  <c r="J5498" i="1"/>
  <c r="K5498" i="1"/>
  <c r="L5498" i="1"/>
  <c r="M5498" i="1"/>
  <c r="N5498" i="1"/>
  <c r="O5498" i="1"/>
  <c r="P5498" i="1"/>
  <c r="Q5498" i="1"/>
  <c r="R5498" i="1"/>
  <c r="S5498" i="1"/>
  <c r="T5498" i="1"/>
  <c r="U5498" i="1"/>
  <c r="V5498" i="1"/>
  <c r="W5498" i="1"/>
  <c r="X5498" i="1"/>
  <c r="Y5498" i="1"/>
  <c r="Z5498" i="1"/>
  <c r="A5499" i="1"/>
  <c r="B5499" i="1"/>
  <c r="C5499" i="1"/>
  <c r="D5499" i="1"/>
  <c r="E5499" i="1"/>
  <c r="F5499" i="1"/>
  <c r="G5499" i="1"/>
  <c r="I5499" i="1"/>
  <c r="J5499" i="1"/>
  <c r="K5499" i="1"/>
  <c r="L5499" i="1"/>
  <c r="M5499" i="1"/>
  <c r="N5499" i="1"/>
  <c r="O5499" i="1"/>
  <c r="P5499" i="1"/>
  <c r="Q5499" i="1"/>
  <c r="R5499" i="1"/>
  <c r="S5499" i="1"/>
  <c r="T5499" i="1"/>
  <c r="U5499" i="1"/>
  <c r="V5499" i="1"/>
  <c r="W5499" i="1"/>
  <c r="X5499" i="1"/>
  <c r="Y5499" i="1"/>
  <c r="Z5499" i="1"/>
  <c r="A5500" i="1"/>
  <c r="B5500" i="1"/>
  <c r="C5500" i="1"/>
  <c r="D5500" i="1"/>
  <c r="E5500" i="1"/>
  <c r="F5500" i="1"/>
  <c r="G5500" i="1"/>
  <c r="I5500" i="1"/>
  <c r="J5500" i="1"/>
  <c r="K5500" i="1"/>
  <c r="L5500" i="1"/>
  <c r="M5500" i="1"/>
  <c r="N5500" i="1"/>
  <c r="O5500" i="1"/>
  <c r="P5500" i="1"/>
  <c r="Q5500" i="1"/>
  <c r="R5500" i="1"/>
  <c r="S5500" i="1"/>
  <c r="T5500" i="1"/>
  <c r="U5500" i="1"/>
  <c r="V5500" i="1"/>
  <c r="W5500" i="1"/>
  <c r="X5500" i="1"/>
  <c r="Y5500" i="1"/>
  <c r="Z5500" i="1"/>
  <c r="A5501" i="1"/>
  <c r="B5501" i="1"/>
  <c r="C5501" i="1"/>
  <c r="D5501" i="1"/>
  <c r="E5501" i="1"/>
  <c r="F5501" i="1"/>
  <c r="G5501" i="1"/>
  <c r="I5501" i="1"/>
  <c r="J5501" i="1"/>
  <c r="K5501" i="1"/>
  <c r="L5501" i="1"/>
  <c r="M5501" i="1"/>
  <c r="N5501" i="1"/>
  <c r="O5501" i="1"/>
  <c r="P5501" i="1"/>
  <c r="Q5501" i="1"/>
  <c r="R5501" i="1"/>
  <c r="S5501" i="1"/>
  <c r="T5501" i="1"/>
  <c r="U5501" i="1"/>
  <c r="V5501" i="1"/>
  <c r="W5501" i="1"/>
  <c r="X5501" i="1"/>
  <c r="Y5501" i="1"/>
  <c r="Z5501" i="1"/>
  <c r="A5502" i="1"/>
  <c r="B5502" i="1"/>
  <c r="C5502" i="1"/>
  <c r="D5502" i="1"/>
  <c r="E5502" i="1"/>
  <c r="F5502" i="1"/>
  <c r="G5502" i="1"/>
  <c r="I5502" i="1"/>
  <c r="J5502" i="1"/>
  <c r="K5502" i="1"/>
  <c r="L5502" i="1"/>
  <c r="M5502" i="1"/>
  <c r="N5502" i="1"/>
  <c r="O5502" i="1"/>
  <c r="P5502" i="1"/>
  <c r="Q5502" i="1"/>
  <c r="R5502" i="1"/>
  <c r="S5502" i="1"/>
  <c r="T5502" i="1"/>
  <c r="U5502" i="1"/>
  <c r="V5502" i="1"/>
  <c r="W5502" i="1"/>
  <c r="X5502" i="1"/>
  <c r="Y5502" i="1"/>
  <c r="Z5502" i="1"/>
  <c r="A5503" i="1"/>
  <c r="B5503" i="1"/>
  <c r="C5503" i="1"/>
  <c r="D5503" i="1"/>
  <c r="E5503" i="1"/>
  <c r="F5503" i="1"/>
  <c r="G5503" i="1"/>
  <c r="I5503" i="1"/>
  <c r="J5503" i="1"/>
  <c r="K5503" i="1"/>
  <c r="L5503" i="1"/>
  <c r="M5503" i="1"/>
  <c r="N5503" i="1"/>
  <c r="O5503" i="1"/>
  <c r="P5503" i="1"/>
  <c r="Q5503" i="1"/>
  <c r="R5503" i="1"/>
  <c r="S5503" i="1"/>
  <c r="T5503" i="1"/>
  <c r="U5503" i="1"/>
  <c r="V5503" i="1"/>
  <c r="W5503" i="1"/>
  <c r="X5503" i="1"/>
  <c r="Y5503" i="1"/>
  <c r="Z5503" i="1"/>
  <c r="A5504" i="1"/>
  <c r="B5504" i="1"/>
  <c r="C5504" i="1"/>
  <c r="D5504" i="1"/>
  <c r="E5504" i="1"/>
  <c r="F5504" i="1"/>
  <c r="G5504" i="1"/>
  <c r="I5504" i="1"/>
  <c r="J5504" i="1"/>
  <c r="K5504" i="1"/>
  <c r="L5504" i="1"/>
  <c r="M5504" i="1"/>
  <c r="N5504" i="1"/>
  <c r="O5504" i="1"/>
  <c r="P5504" i="1"/>
  <c r="Q5504" i="1"/>
  <c r="R5504" i="1"/>
  <c r="S5504" i="1"/>
  <c r="T5504" i="1"/>
  <c r="U5504" i="1"/>
  <c r="V5504" i="1"/>
  <c r="W5504" i="1"/>
  <c r="X5504" i="1"/>
  <c r="Y5504" i="1"/>
  <c r="Z5504" i="1"/>
  <c r="A5505" i="1"/>
  <c r="B5505" i="1"/>
  <c r="C5505" i="1"/>
  <c r="D5505" i="1"/>
  <c r="E5505" i="1"/>
  <c r="F5505" i="1"/>
  <c r="G5505" i="1"/>
  <c r="I5505" i="1"/>
  <c r="J5505" i="1"/>
  <c r="K5505" i="1"/>
  <c r="L5505" i="1"/>
  <c r="M5505" i="1"/>
  <c r="N5505" i="1"/>
  <c r="O5505" i="1"/>
  <c r="P5505" i="1"/>
  <c r="Q5505" i="1"/>
  <c r="R5505" i="1"/>
  <c r="S5505" i="1"/>
  <c r="T5505" i="1"/>
  <c r="U5505" i="1"/>
  <c r="V5505" i="1"/>
  <c r="W5505" i="1"/>
  <c r="X5505" i="1"/>
  <c r="Y5505" i="1"/>
  <c r="Z5505" i="1"/>
  <c r="A5506" i="1"/>
  <c r="B5506" i="1"/>
  <c r="C5506" i="1"/>
  <c r="D5506" i="1"/>
  <c r="E5506" i="1"/>
  <c r="F5506" i="1"/>
  <c r="G5506" i="1"/>
  <c r="I5506" i="1"/>
  <c r="J5506" i="1"/>
  <c r="K5506" i="1"/>
  <c r="L5506" i="1"/>
  <c r="M5506" i="1"/>
  <c r="N5506" i="1"/>
  <c r="O5506" i="1"/>
  <c r="P5506" i="1"/>
  <c r="Q5506" i="1"/>
  <c r="R5506" i="1"/>
  <c r="S5506" i="1"/>
  <c r="T5506" i="1"/>
  <c r="U5506" i="1"/>
  <c r="V5506" i="1"/>
  <c r="W5506" i="1"/>
  <c r="X5506" i="1"/>
  <c r="Y5506" i="1"/>
  <c r="Z5506" i="1"/>
  <c r="A5507" i="1"/>
  <c r="B5507" i="1"/>
  <c r="C5507" i="1"/>
  <c r="D5507" i="1"/>
  <c r="E5507" i="1"/>
  <c r="F5507" i="1"/>
  <c r="G5507" i="1"/>
  <c r="I5507" i="1"/>
  <c r="J5507" i="1"/>
  <c r="K5507" i="1"/>
  <c r="L5507" i="1"/>
  <c r="M5507" i="1"/>
  <c r="N5507" i="1"/>
  <c r="O5507" i="1"/>
  <c r="P5507" i="1"/>
  <c r="Q5507" i="1"/>
  <c r="R5507" i="1"/>
  <c r="S5507" i="1"/>
  <c r="T5507" i="1"/>
  <c r="U5507" i="1"/>
  <c r="V5507" i="1"/>
  <c r="W5507" i="1"/>
  <c r="X5507" i="1"/>
  <c r="Y5507" i="1"/>
  <c r="Z5507" i="1"/>
  <c r="A5508" i="1"/>
  <c r="B5508" i="1"/>
  <c r="C5508" i="1"/>
  <c r="D5508" i="1"/>
  <c r="E5508" i="1"/>
  <c r="F5508" i="1"/>
  <c r="G5508" i="1"/>
  <c r="I5508" i="1"/>
  <c r="J5508" i="1"/>
  <c r="K5508" i="1"/>
  <c r="L5508" i="1"/>
  <c r="M5508" i="1"/>
  <c r="N5508" i="1"/>
  <c r="O5508" i="1"/>
  <c r="P5508" i="1"/>
  <c r="Q5508" i="1"/>
  <c r="R5508" i="1"/>
  <c r="S5508" i="1"/>
  <c r="T5508" i="1"/>
  <c r="U5508" i="1"/>
  <c r="V5508" i="1"/>
  <c r="W5508" i="1"/>
  <c r="X5508" i="1"/>
  <c r="Y5508" i="1"/>
  <c r="Z5508" i="1"/>
  <c r="A5509" i="1"/>
  <c r="B5509" i="1"/>
  <c r="C5509" i="1"/>
  <c r="D5509" i="1"/>
  <c r="E5509" i="1"/>
  <c r="F5509" i="1"/>
  <c r="G5509" i="1"/>
  <c r="I5509" i="1"/>
  <c r="J5509" i="1"/>
  <c r="K5509" i="1"/>
  <c r="L5509" i="1"/>
  <c r="M5509" i="1"/>
  <c r="N5509" i="1"/>
  <c r="O5509" i="1"/>
  <c r="P5509" i="1"/>
  <c r="Q5509" i="1"/>
  <c r="R5509" i="1"/>
  <c r="S5509" i="1"/>
  <c r="T5509" i="1"/>
  <c r="U5509" i="1"/>
  <c r="V5509" i="1"/>
  <c r="W5509" i="1"/>
  <c r="X5509" i="1"/>
  <c r="Y5509" i="1"/>
  <c r="Z5509" i="1"/>
  <c r="A5510" i="1"/>
  <c r="B5510" i="1"/>
  <c r="C5510" i="1"/>
  <c r="D5510" i="1"/>
  <c r="E5510" i="1"/>
  <c r="F5510" i="1"/>
  <c r="G5510" i="1"/>
  <c r="I5510" i="1"/>
  <c r="J5510" i="1"/>
  <c r="K5510" i="1"/>
  <c r="L5510" i="1"/>
  <c r="M5510" i="1"/>
  <c r="N5510" i="1"/>
  <c r="O5510" i="1"/>
  <c r="P5510" i="1"/>
  <c r="Q5510" i="1"/>
  <c r="R5510" i="1"/>
  <c r="S5510" i="1"/>
  <c r="T5510" i="1"/>
  <c r="U5510" i="1"/>
  <c r="V5510" i="1"/>
  <c r="W5510" i="1"/>
  <c r="X5510" i="1"/>
  <c r="Y5510" i="1"/>
  <c r="Z5510" i="1"/>
  <c r="A5511" i="1"/>
  <c r="B5511" i="1"/>
  <c r="C5511" i="1"/>
  <c r="D5511" i="1"/>
  <c r="E5511" i="1"/>
  <c r="F5511" i="1"/>
  <c r="G5511" i="1"/>
  <c r="I5511" i="1"/>
  <c r="J5511" i="1"/>
  <c r="K5511" i="1"/>
  <c r="L5511" i="1"/>
  <c r="M5511" i="1"/>
  <c r="N5511" i="1"/>
  <c r="O5511" i="1"/>
  <c r="P5511" i="1"/>
  <c r="Q5511" i="1"/>
  <c r="R5511" i="1"/>
  <c r="S5511" i="1"/>
  <c r="T5511" i="1"/>
  <c r="U5511" i="1"/>
  <c r="V5511" i="1"/>
  <c r="W5511" i="1"/>
  <c r="X5511" i="1"/>
  <c r="Y5511" i="1"/>
  <c r="Z5511" i="1"/>
  <c r="A5512" i="1"/>
  <c r="B5512" i="1"/>
  <c r="C5512" i="1"/>
  <c r="D5512" i="1"/>
  <c r="E5512" i="1"/>
  <c r="F5512" i="1"/>
  <c r="G5512" i="1"/>
  <c r="I5512" i="1"/>
  <c r="J5512" i="1"/>
  <c r="K5512" i="1"/>
  <c r="L5512" i="1"/>
  <c r="M5512" i="1"/>
  <c r="N5512" i="1"/>
  <c r="O5512" i="1"/>
  <c r="P5512" i="1"/>
  <c r="Q5512" i="1"/>
  <c r="R5512" i="1"/>
  <c r="S5512" i="1"/>
  <c r="T5512" i="1"/>
  <c r="U5512" i="1"/>
  <c r="V5512" i="1"/>
  <c r="W5512" i="1"/>
  <c r="X5512" i="1"/>
  <c r="Y5512" i="1"/>
  <c r="Z5512" i="1"/>
  <c r="A5513" i="1"/>
  <c r="B5513" i="1"/>
  <c r="C5513" i="1"/>
  <c r="D5513" i="1"/>
  <c r="E5513" i="1"/>
  <c r="F5513" i="1"/>
  <c r="G5513" i="1"/>
  <c r="I5513" i="1"/>
  <c r="J5513" i="1"/>
  <c r="K5513" i="1"/>
  <c r="L5513" i="1"/>
  <c r="M5513" i="1"/>
  <c r="N5513" i="1"/>
  <c r="O5513" i="1"/>
  <c r="P5513" i="1"/>
  <c r="Q5513" i="1"/>
  <c r="R5513" i="1"/>
  <c r="S5513" i="1"/>
  <c r="T5513" i="1"/>
  <c r="U5513" i="1"/>
  <c r="V5513" i="1"/>
  <c r="W5513" i="1"/>
  <c r="X5513" i="1"/>
  <c r="Y5513" i="1"/>
  <c r="Z5513" i="1"/>
  <c r="A5514" i="1"/>
  <c r="B5514" i="1"/>
  <c r="C5514" i="1"/>
  <c r="D5514" i="1"/>
  <c r="E5514" i="1"/>
  <c r="F5514" i="1"/>
  <c r="G5514" i="1"/>
  <c r="I5514" i="1"/>
  <c r="J5514" i="1"/>
  <c r="K5514" i="1"/>
  <c r="L5514" i="1"/>
  <c r="M5514" i="1"/>
  <c r="N5514" i="1"/>
  <c r="O5514" i="1"/>
  <c r="P5514" i="1"/>
  <c r="Q5514" i="1"/>
  <c r="R5514" i="1"/>
  <c r="S5514" i="1"/>
  <c r="T5514" i="1"/>
  <c r="U5514" i="1"/>
  <c r="V5514" i="1"/>
  <c r="W5514" i="1"/>
  <c r="X5514" i="1"/>
  <c r="Y5514" i="1"/>
  <c r="Z5514" i="1"/>
  <c r="A5515" i="1"/>
  <c r="B5515" i="1"/>
  <c r="C5515" i="1"/>
  <c r="D5515" i="1"/>
  <c r="E5515" i="1"/>
  <c r="F5515" i="1"/>
  <c r="G5515" i="1"/>
  <c r="I5515" i="1"/>
  <c r="J5515" i="1"/>
  <c r="K5515" i="1"/>
  <c r="L5515" i="1"/>
  <c r="M5515" i="1"/>
  <c r="N5515" i="1"/>
  <c r="O5515" i="1"/>
  <c r="P5515" i="1"/>
  <c r="Q5515" i="1"/>
  <c r="R5515" i="1"/>
  <c r="S5515" i="1"/>
  <c r="T5515" i="1"/>
  <c r="U5515" i="1"/>
  <c r="V5515" i="1"/>
  <c r="W5515" i="1"/>
  <c r="X5515" i="1"/>
  <c r="Y5515" i="1"/>
  <c r="Z5515" i="1"/>
  <c r="A5516" i="1"/>
  <c r="B5516" i="1"/>
  <c r="C5516" i="1"/>
  <c r="D5516" i="1"/>
  <c r="E5516" i="1"/>
  <c r="F5516" i="1"/>
  <c r="G5516" i="1"/>
  <c r="I5516" i="1"/>
  <c r="J5516" i="1"/>
  <c r="K5516" i="1"/>
  <c r="L5516" i="1"/>
  <c r="M5516" i="1"/>
  <c r="N5516" i="1"/>
  <c r="O5516" i="1"/>
  <c r="P5516" i="1"/>
  <c r="Q5516" i="1"/>
  <c r="R5516" i="1"/>
  <c r="S5516" i="1"/>
  <c r="T5516" i="1"/>
  <c r="U5516" i="1"/>
  <c r="V5516" i="1"/>
  <c r="W5516" i="1"/>
  <c r="X5516" i="1"/>
  <c r="Y5516" i="1"/>
  <c r="Z5516" i="1"/>
  <c r="A5517" i="1"/>
  <c r="B5517" i="1"/>
  <c r="C5517" i="1"/>
  <c r="D5517" i="1"/>
  <c r="E5517" i="1"/>
  <c r="F5517" i="1"/>
  <c r="G5517" i="1"/>
  <c r="I5517" i="1"/>
  <c r="J5517" i="1"/>
  <c r="K5517" i="1"/>
  <c r="L5517" i="1"/>
  <c r="M5517" i="1"/>
  <c r="N5517" i="1"/>
  <c r="O5517" i="1"/>
  <c r="P5517" i="1"/>
  <c r="Q5517" i="1"/>
  <c r="R5517" i="1"/>
  <c r="S5517" i="1"/>
  <c r="T5517" i="1"/>
  <c r="U5517" i="1"/>
  <c r="V5517" i="1"/>
  <c r="W5517" i="1"/>
  <c r="X5517" i="1"/>
  <c r="Y5517" i="1"/>
  <c r="Z5517" i="1"/>
  <c r="A5518" i="1"/>
  <c r="B5518" i="1"/>
  <c r="C5518" i="1"/>
  <c r="D5518" i="1"/>
  <c r="E5518" i="1"/>
  <c r="F5518" i="1"/>
  <c r="G5518" i="1"/>
  <c r="I5518" i="1"/>
  <c r="J5518" i="1"/>
  <c r="K5518" i="1"/>
  <c r="L5518" i="1"/>
  <c r="M5518" i="1"/>
  <c r="N5518" i="1"/>
  <c r="O5518" i="1"/>
  <c r="P5518" i="1"/>
  <c r="Q5518" i="1"/>
  <c r="R5518" i="1"/>
  <c r="S5518" i="1"/>
  <c r="T5518" i="1"/>
  <c r="U5518" i="1"/>
  <c r="V5518" i="1"/>
  <c r="W5518" i="1"/>
  <c r="X5518" i="1"/>
  <c r="Y5518" i="1"/>
  <c r="Z5518" i="1"/>
  <c r="A5519" i="1"/>
  <c r="B5519" i="1"/>
  <c r="C5519" i="1"/>
  <c r="D5519" i="1"/>
  <c r="E5519" i="1"/>
  <c r="F5519" i="1"/>
  <c r="G5519" i="1"/>
  <c r="I5519" i="1"/>
  <c r="J5519" i="1"/>
  <c r="K5519" i="1"/>
  <c r="L5519" i="1"/>
  <c r="M5519" i="1"/>
  <c r="N5519" i="1"/>
  <c r="O5519" i="1"/>
  <c r="P5519" i="1"/>
  <c r="Q5519" i="1"/>
  <c r="R5519" i="1"/>
  <c r="S5519" i="1"/>
  <c r="T5519" i="1"/>
  <c r="U5519" i="1"/>
  <c r="V5519" i="1"/>
  <c r="W5519" i="1"/>
  <c r="X5519" i="1"/>
  <c r="Y5519" i="1"/>
  <c r="Z5519" i="1"/>
  <c r="A5520" i="1"/>
  <c r="B5520" i="1"/>
  <c r="C5520" i="1"/>
  <c r="D5520" i="1"/>
  <c r="E5520" i="1"/>
  <c r="F5520" i="1"/>
  <c r="G5520" i="1"/>
  <c r="I5520" i="1"/>
  <c r="J5520" i="1"/>
  <c r="K5520" i="1"/>
  <c r="L5520" i="1"/>
  <c r="M5520" i="1"/>
  <c r="N5520" i="1"/>
  <c r="O5520" i="1"/>
  <c r="P5520" i="1"/>
  <c r="Q5520" i="1"/>
  <c r="R5520" i="1"/>
  <c r="S5520" i="1"/>
  <c r="T5520" i="1"/>
  <c r="U5520" i="1"/>
  <c r="V5520" i="1"/>
  <c r="W5520" i="1"/>
  <c r="X5520" i="1"/>
  <c r="Y5520" i="1"/>
  <c r="Z5520" i="1"/>
  <c r="A5521" i="1"/>
  <c r="B5521" i="1"/>
  <c r="C5521" i="1"/>
  <c r="D5521" i="1"/>
  <c r="E5521" i="1"/>
  <c r="F5521" i="1"/>
  <c r="G5521" i="1"/>
  <c r="I5521" i="1"/>
  <c r="J5521" i="1"/>
  <c r="K5521" i="1"/>
  <c r="L5521" i="1"/>
  <c r="M5521" i="1"/>
  <c r="N5521" i="1"/>
  <c r="O5521" i="1"/>
  <c r="P5521" i="1"/>
  <c r="Q5521" i="1"/>
  <c r="R5521" i="1"/>
  <c r="S5521" i="1"/>
  <c r="T5521" i="1"/>
  <c r="U5521" i="1"/>
  <c r="V5521" i="1"/>
  <c r="W5521" i="1"/>
  <c r="X5521" i="1"/>
  <c r="Y5521" i="1"/>
  <c r="Z5521" i="1"/>
  <c r="A5522" i="1"/>
  <c r="B5522" i="1"/>
  <c r="C5522" i="1"/>
  <c r="D5522" i="1"/>
  <c r="E5522" i="1"/>
  <c r="F5522" i="1"/>
  <c r="G5522" i="1"/>
  <c r="I5522" i="1"/>
  <c r="J5522" i="1"/>
  <c r="K5522" i="1"/>
  <c r="L5522" i="1"/>
  <c r="M5522" i="1"/>
  <c r="N5522" i="1"/>
  <c r="O5522" i="1"/>
  <c r="P5522" i="1"/>
  <c r="Q5522" i="1"/>
  <c r="R5522" i="1"/>
  <c r="S5522" i="1"/>
  <c r="T5522" i="1"/>
  <c r="U5522" i="1"/>
  <c r="V5522" i="1"/>
  <c r="W5522" i="1"/>
  <c r="X5522" i="1"/>
  <c r="Y5522" i="1"/>
  <c r="Z5522" i="1"/>
  <c r="A5523" i="1"/>
  <c r="B5523" i="1"/>
  <c r="C5523" i="1"/>
  <c r="D5523" i="1"/>
  <c r="E5523" i="1"/>
  <c r="F5523" i="1"/>
  <c r="G5523" i="1"/>
  <c r="I5523" i="1"/>
  <c r="J5523" i="1"/>
  <c r="K5523" i="1"/>
  <c r="L5523" i="1"/>
  <c r="M5523" i="1"/>
  <c r="N5523" i="1"/>
  <c r="O5523" i="1"/>
  <c r="P5523" i="1"/>
  <c r="Q5523" i="1"/>
  <c r="R5523" i="1"/>
  <c r="S5523" i="1"/>
  <c r="T5523" i="1"/>
  <c r="U5523" i="1"/>
  <c r="V5523" i="1"/>
  <c r="W5523" i="1"/>
  <c r="X5523" i="1"/>
  <c r="Y5523" i="1"/>
  <c r="Z5523" i="1"/>
  <c r="A5524" i="1"/>
  <c r="B5524" i="1"/>
  <c r="C5524" i="1"/>
  <c r="D5524" i="1"/>
  <c r="E5524" i="1"/>
  <c r="F5524" i="1"/>
  <c r="G5524" i="1"/>
  <c r="I5524" i="1"/>
  <c r="J5524" i="1"/>
  <c r="K5524" i="1"/>
  <c r="L5524" i="1"/>
  <c r="M5524" i="1"/>
  <c r="N5524" i="1"/>
  <c r="O5524" i="1"/>
  <c r="P5524" i="1"/>
  <c r="Q5524" i="1"/>
  <c r="R5524" i="1"/>
  <c r="S5524" i="1"/>
  <c r="T5524" i="1"/>
  <c r="U5524" i="1"/>
  <c r="V5524" i="1"/>
  <c r="W5524" i="1"/>
  <c r="X5524" i="1"/>
  <c r="Y5524" i="1"/>
  <c r="Z5524" i="1"/>
  <c r="A5525" i="1"/>
  <c r="B5525" i="1"/>
  <c r="C5525" i="1"/>
  <c r="D5525" i="1"/>
  <c r="E5525" i="1"/>
  <c r="F5525" i="1"/>
  <c r="G5525" i="1"/>
  <c r="I5525" i="1"/>
  <c r="J5525" i="1"/>
  <c r="K5525" i="1"/>
  <c r="L5525" i="1"/>
  <c r="M5525" i="1"/>
  <c r="N5525" i="1"/>
  <c r="O5525" i="1"/>
  <c r="P5525" i="1"/>
  <c r="Q5525" i="1"/>
  <c r="R5525" i="1"/>
  <c r="S5525" i="1"/>
  <c r="T5525" i="1"/>
  <c r="U5525" i="1"/>
  <c r="V5525" i="1"/>
  <c r="W5525" i="1"/>
  <c r="X5525" i="1"/>
  <c r="Y5525" i="1"/>
  <c r="Z5525" i="1"/>
  <c r="A5526" i="1"/>
  <c r="B5526" i="1"/>
  <c r="C5526" i="1"/>
  <c r="D5526" i="1"/>
  <c r="E5526" i="1"/>
  <c r="F5526" i="1"/>
  <c r="G5526" i="1"/>
  <c r="I5526" i="1"/>
  <c r="J5526" i="1"/>
  <c r="K5526" i="1"/>
  <c r="L5526" i="1"/>
  <c r="M5526" i="1"/>
  <c r="N5526" i="1"/>
  <c r="O5526" i="1"/>
  <c r="P5526" i="1"/>
  <c r="Q5526" i="1"/>
  <c r="R5526" i="1"/>
  <c r="S5526" i="1"/>
  <c r="T5526" i="1"/>
  <c r="U5526" i="1"/>
  <c r="V5526" i="1"/>
  <c r="W5526" i="1"/>
  <c r="X5526" i="1"/>
  <c r="Y5526" i="1"/>
  <c r="Z5526" i="1"/>
  <c r="A5527" i="1"/>
  <c r="B5527" i="1"/>
  <c r="C5527" i="1"/>
  <c r="D5527" i="1"/>
  <c r="E5527" i="1"/>
  <c r="F5527" i="1"/>
  <c r="G5527" i="1"/>
  <c r="I5527" i="1"/>
  <c r="J5527" i="1"/>
  <c r="K5527" i="1"/>
  <c r="L5527" i="1"/>
  <c r="M5527" i="1"/>
  <c r="N5527" i="1"/>
  <c r="O5527" i="1"/>
  <c r="P5527" i="1"/>
  <c r="Q5527" i="1"/>
  <c r="R5527" i="1"/>
  <c r="S5527" i="1"/>
  <c r="T5527" i="1"/>
  <c r="U5527" i="1"/>
  <c r="V5527" i="1"/>
  <c r="W5527" i="1"/>
  <c r="X5527" i="1"/>
  <c r="Y5527" i="1"/>
  <c r="Z5527" i="1"/>
  <c r="A5528" i="1"/>
  <c r="B5528" i="1"/>
  <c r="C5528" i="1"/>
  <c r="D5528" i="1"/>
  <c r="E5528" i="1"/>
  <c r="F5528" i="1"/>
  <c r="G5528" i="1"/>
  <c r="I5528" i="1"/>
  <c r="J5528" i="1"/>
  <c r="K5528" i="1"/>
  <c r="L5528" i="1"/>
  <c r="M5528" i="1"/>
  <c r="N5528" i="1"/>
  <c r="O5528" i="1"/>
  <c r="P5528" i="1"/>
  <c r="Q5528" i="1"/>
  <c r="R5528" i="1"/>
  <c r="S5528" i="1"/>
  <c r="T5528" i="1"/>
  <c r="U5528" i="1"/>
  <c r="V5528" i="1"/>
  <c r="W5528" i="1"/>
  <c r="X5528" i="1"/>
  <c r="Y5528" i="1"/>
  <c r="Z5528" i="1"/>
  <c r="A5529" i="1"/>
  <c r="B5529" i="1"/>
  <c r="C5529" i="1"/>
  <c r="D5529" i="1"/>
  <c r="E5529" i="1"/>
  <c r="F5529" i="1"/>
  <c r="G5529" i="1"/>
  <c r="I5529" i="1"/>
  <c r="J5529" i="1"/>
  <c r="K5529" i="1"/>
  <c r="L5529" i="1"/>
  <c r="M5529" i="1"/>
  <c r="N5529" i="1"/>
  <c r="O5529" i="1"/>
  <c r="P5529" i="1"/>
  <c r="Q5529" i="1"/>
  <c r="R5529" i="1"/>
  <c r="S5529" i="1"/>
  <c r="T5529" i="1"/>
  <c r="U5529" i="1"/>
  <c r="V5529" i="1"/>
  <c r="W5529" i="1"/>
  <c r="X5529" i="1"/>
  <c r="Y5529" i="1"/>
  <c r="Z5529" i="1"/>
  <c r="A5530" i="1"/>
  <c r="B5530" i="1"/>
  <c r="C5530" i="1"/>
  <c r="D5530" i="1"/>
  <c r="E5530" i="1"/>
  <c r="F5530" i="1"/>
  <c r="G5530" i="1"/>
  <c r="I5530" i="1"/>
  <c r="J5530" i="1"/>
  <c r="K5530" i="1"/>
  <c r="L5530" i="1"/>
  <c r="M5530" i="1"/>
  <c r="N5530" i="1"/>
  <c r="O5530" i="1"/>
  <c r="P5530" i="1"/>
  <c r="Q5530" i="1"/>
  <c r="R5530" i="1"/>
  <c r="S5530" i="1"/>
  <c r="T5530" i="1"/>
  <c r="U5530" i="1"/>
  <c r="V5530" i="1"/>
  <c r="W5530" i="1"/>
  <c r="X5530" i="1"/>
  <c r="Y5530" i="1"/>
  <c r="Z5530" i="1"/>
  <c r="A5531" i="1"/>
  <c r="B5531" i="1"/>
  <c r="C5531" i="1"/>
  <c r="D5531" i="1"/>
  <c r="E5531" i="1"/>
  <c r="F5531" i="1"/>
  <c r="G5531" i="1"/>
  <c r="I5531" i="1"/>
  <c r="J5531" i="1"/>
  <c r="K5531" i="1"/>
  <c r="L5531" i="1"/>
  <c r="M5531" i="1"/>
  <c r="N5531" i="1"/>
  <c r="O5531" i="1"/>
  <c r="P5531" i="1"/>
  <c r="Q5531" i="1"/>
  <c r="R5531" i="1"/>
  <c r="S5531" i="1"/>
  <c r="T5531" i="1"/>
  <c r="U5531" i="1"/>
  <c r="V5531" i="1"/>
  <c r="W5531" i="1"/>
  <c r="X5531" i="1"/>
  <c r="Y5531" i="1"/>
  <c r="Z5531" i="1"/>
  <c r="A5532" i="1"/>
  <c r="B5532" i="1"/>
  <c r="C5532" i="1"/>
  <c r="D5532" i="1"/>
  <c r="E5532" i="1"/>
  <c r="F5532" i="1"/>
  <c r="G5532" i="1"/>
  <c r="I5532" i="1"/>
  <c r="J5532" i="1"/>
  <c r="K5532" i="1"/>
  <c r="L5532" i="1"/>
  <c r="M5532" i="1"/>
  <c r="N5532" i="1"/>
  <c r="O5532" i="1"/>
  <c r="P5532" i="1"/>
  <c r="Q5532" i="1"/>
  <c r="R5532" i="1"/>
  <c r="S5532" i="1"/>
  <c r="T5532" i="1"/>
  <c r="U5532" i="1"/>
  <c r="V5532" i="1"/>
  <c r="W5532" i="1"/>
  <c r="X5532" i="1"/>
  <c r="Y5532" i="1"/>
  <c r="Z5532" i="1"/>
  <c r="A5533" i="1"/>
  <c r="B5533" i="1"/>
  <c r="C5533" i="1"/>
  <c r="D5533" i="1"/>
  <c r="E5533" i="1"/>
  <c r="F5533" i="1"/>
  <c r="G5533" i="1"/>
  <c r="I5533" i="1"/>
  <c r="J5533" i="1"/>
  <c r="K5533" i="1"/>
  <c r="L5533" i="1"/>
  <c r="M5533" i="1"/>
  <c r="N5533" i="1"/>
  <c r="O5533" i="1"/>
  <c r="P5533" i="1"/>
  <c r="Q5533" i="1"/>
  <c r="R5533" i="1"/>
  <c r="S5533" i="1"/>
  <c r="T5533" i="1"/>
  <c r="U5533" i="1"/>
  <c r="V5533" i="1"/>
  <c r="W5533" i="1"/>
  <c r="X5533" i="1"/>
  <c r="Y5533" i="1"/>
  <c r="Z5533" i="1"/>
  <c r="A5534" i="1"/>
  <c r="B5534" i="1"/>
  <c r="C5534" i="1"/>
  <c r="D5534" i="1"/>
  <c r="E5534" i="1"/>
  <c r="F5534" i="1"/>
  <c r="G5534" i="1"/>
  <c r="I5534" i="1"/>
  <c r="J5534" i="1"/>
  <c r="K5534" i="1"/>
  <c r="L5534" i="1"/>
  <c r="M5534" i="1"/>
  <c r="N5534" i="1"/>
  <c r="O5534" i="1"/>
  <c r="P5534" i="1"/>
  <c r="Q5534" i="1"/>
  <c r="R5534" i="1"/>
  <c r="S5534" i="1"/>
  <c r="T5534" i="1"/>
  <c r="U5534" i="1"/>
  <c r="V5534" i="1"/>
  <c r="W5534" i="1"/>
  <c r="X5534" i="1"/>
  <c r="Y5534" i="1"/>
  <c r="Z5534" i="1"/>
  <c r="A5535" i="1"/>
  <c r="B5535" i="1"/>
  <c r="C5535" i="1"/>
  <c r="D5535" i="1"/>
  <c r="E5535" i="1"/>
  <c r="F5535" i="1"/>
  <c r="G5535" i="1"/>
  <c r="I5535" i="1"/>
  <c r="J5535" i="1"/>
  <c r="K5535" i="1"/>
  <c r="L5535" i="1"/>
  <c r="M5535" i="1"/>
  <c r="N5535" i="1"/>
  <c r="O5535" i="1"/>
  <c r="P5535" i="1"/>
  <c r="Q5535" i="1"/>
  <c r="R5535" i="1"/>
  <c r="S5535" i="1"/>
  <c r="T5535" i="1"/>
  <c r="U5535" i="1"/>
  <c r="V5535" i="1"/>
  <c r="W5535" i="1"/>
  <c r="X5535" i="1"/>
  <c r="Y5535" i="1"/>
  <c r="Z5535" i="1"/>
  <c r="A5536" i="1"/>
  <c r="B5536" i="1"/>
  <c r="C5536" i="1"/>
  <c r="D5536" i="1"/>
  <c r="E5536" i="1"/>
  <c r="F5536" i="1"/>
  <c r="G5536" i="1"/>
  <c r="I5536" i="1"/>
  <c r="J5536" i="1"/>
  <c r="K5536" i="1"/>
  <c r="L5536" i="1"/>
  <c r="M5536" i="1"/>
  <c r="N5536" i="1"/>
  <c r="O5536" i="1"/>
  <c r="P5536" i="1"/>
  <c r="Q5536" i="1"/>
  <c r="R5536" i="1"/>
  <c r="S5536" i="1"/>
  <c r="T5536" i="1"/>
  <c r="U5536" i="1"/>
  <c r="V5536" i="1"/>
  <c r="W5536" i="1"/>
  <c r="X5536" i="1"/>
  <c r="Y5536" i="1"/>
  <c r="Z5536" i="1"/>
  <c r="A5537" i="1"/>
  <c r="B5537" i="1"/>
  <c r="C5537" i="1"/>
  <c r="D5537" i="1"/>
  <c r="E5537" i="1"/>
  <c r="F5537" i="1"/>
  <c r="G5537" i="1"/>
  <c r="I5537" i="1"/>
  <c r="J5537" i="1"/>
  <c r="K5537" i="1"/>
  <c r="L5537" i="1"/>
  <c r="M5537" i="1"/>
  <c r="N5537" i="1"/>
  <c r="O5537" i="1"/>
  <c r="P5537" i="1"/>
  <c r="Q5537" i="1"/>
  <c r="R5537" i="1"/>
  <c r="S5537" i="1"/>
  <c r="T5537" i="1"/>
  <c r="U5537" i="1"/>
  <c r="V5537" i="1"/>
  <c r="W5537" i="1"/>
  <c r="X5537" i="1"/>
  <c r="Y5537" i="1"/>
  <c r="Z5537" i="1"/>
  <c r="A5538" i="1"/>
  <c r="B5538" i="1"/>
  <c r="C5538" i="1"/>
  <c r="D5538" i="1"/>
  <c r="E5538" i="1"/>
  <c r="F5538" i="1"/>
  <c r="G5538" i="1"/>
  <c r="I5538" i="1"/>
  <c r="J5538" i="1"/>
  <c r="K5538" i="1"/>
  <c r="L5538" i="1"/>
  <c r="M5538" i="1"/>
  <c r="N5538" i="1"/>
  <c r="O5538" i="1"/>
  <c r="P5538" i="1"/>
  <c r="Q5538" i="1"/>
  <c r="R5538" i="1"/>
  <c r="S5538" i="1"/>
  <c r="T5538" i="1"/>
  <c r="U5538" i="1"/>
  <c r="V5538" i="1"/>
  <c r="W5538" i="1"/>
  <c r="X5538" i="1"/>
  <c r="Y5538" i="1"/>
  <c r="Z5538" i="1"/>
  <c r="A5539" i="1"/>
  <c r="B5539" i="1"/>
  <c r="C5539" i="1"/>
  <c r="D5539" i="1"/>
  <c r="E5539" i="1"/>
  <c r="F5539" i="1"/>
  <c r="G5539" i="1"/>
  <c r="I5539" i="1"/>
  <c r="J5539" i="1"/>
  <c r="K5539" i="1"/>
  <c r="L5539" i="1"/>
  <c r="M5539" i="1"/>
  <c r="N5539" i="1"/>
  <c r="O5539" i="1"/>
  <c r="P5539" i="1"/>
  <c r="Q5539" i="1"/>
  <c r="R5539" i="1"/>
  <c r="S5539" i="1"/>
  <c r="T5539" i="1"/>
  <c r="U5539" i="1"/>
  <c r="V5539" i="1"/>
  <c r="W5539" i="1"/>
  <c r="X5539" i="1"/>
  <c r="Y5539" i="1"/>
  <c r="Z5539" i="1"/>
  <c r="A5540" i="1"/>
  <c r="B5540" i="1"/>
  <c r="C5540" i="1"/>
  <c r="D5540" i="1"/>
  <c r="E5540" i="1"/>
  <c r="F5540" i="1"/>
  <c r="G5540" i="1"/>
  <c r="I5540" i="1"/>
  <c r="J5540" i="1"/>
  <c r="K5540" i="1"/>
  <c r="L5540" i="1"/>
  <c r="M5540" i="1"/>
  <c r="N5540" i="1"/>
  <c r="O5540" i="1"/>
  <c r="P5540" i="1"/>
  <c r="Q5540" i="1"/>
  <c r="R5540" i="1"/>
  <c r="S5540" i="1"/>
  <c r="T5540" i="1"/>
  <c r="U5540" i="1"/>
  <c r="V5540" i="1"/>
  <c r="W5540" i="1"/>
  <c r="X5540" i="1"/>
  <c r="Y5540" i="1"/>
  <c r="Z5540" i="1"/>
  <c r="A5541" i="1"/>
  <c r="B5541" i="1"/>
  <c r="C5541" i="1"/>
  <c r="D5541" i="1"/>
  <c r="E5541" i="1"/>
  <c r="F5541" i="1"/>
  <c r="G5541" i="1"/>
  <c r="I5541" i="1"/>
  <c r="J5541" i="1"/>
  <c r="K5541" i="1"/>
  <c r="L5541" i="1"/>
  <c r="M5541" i="1"/>
  <c r="N5541" i="1"/>
  <c r="O5541" i="1"/>
  <c r="P5541" i="1"/>
  <c r="Q5541" i="1"/>
  <c r="R5541" i="1"/>
  <c r="S5541" i="1"/>
  <c r="T5541" i="1"/>
  <c r="U5541" i="1"/>
  <c r="V5541" i="1"/>
  <c r="W5541" i="1"/>
  <c r="X5541" i="1"/>
  <c r="Y5541" i="1"/>
  <c r="Z5541" i="1"/>
  <c r="A5542" i="1"/>
  <c r="B5542" i="1"/>
  <c r="C5542" i="1"/>
  <c r="D5542" i="1"/>
  <c r="E5542" i="1"/>
  <c r="F5542" i="1"/>
  <c r="G5542" i="1"/>
  <c r="I5542" i="1"/>
  <c r="J5542" i="1"/>
  <c r="K5542" i="1"/>
  <c r="L5542" i="1"/>
  <c r="M5542" i="1"/>
  <c r="N5542" i="1"/>
  <c r="O5542" i="1"/>
  <c r="P5542" i="1"/>
  <c r="Q5542" i="1"/>
  <c r="R5542" i="1"/>
  <c r="S5542" i="1"/>
  <c r="T5542" i="1"/>
  <c r="U5542" i="1"/>
  <c r="V5542" i="1"/>
  <c r="W5542" i="1"/>
  <c r="X5542" i="1"/>
  <c r="Y5542" i="1"/>
  <c r="Z5542" i="1"/>
  <c r="A5543" i="1"/>
  <c r="B5543" i="1"/>
  <c r="C5543" i="1"/>
  <c r="D5543" i="1"/>
  <c r="E5543" i="1"/>
  <c r="F5543" i="1"/>
  <c r="G5543" i="1"/>
  <c r="I5543" i="1"/>
  <c r="J5543" i="1"/>
  <c r="K5543" i="1"/>
  <c r="L5543" i="1"/>
  <c r="M5543" i="1"/>
  <c r="N5543" i="1"/>
  <c r="O5543" i="1"/>
  <c r="P5543" i="1"/>
  <c r="Q5543" i="1"/>
  <c r="R5543" i="1"/>
  <c r="S5543" i="1"/>
  <c r="T5543" i="1"/>
  <c r="U5543" i="1"/>
  <c r="V5543" i="1"/>
  <c r="W5543" i="1"/>
  <c r="X5543" i="1"/>
  <c r="Y5543" i="1"/>
  <c r="Z5543" i="1"/>
  <c r="A5544" i="1"/>
  <c r="B5544" i="1"/>
  <c r="C5544" i="1"/>
  <c r="D5544" i="1"/>
  <c r="E5544" i="1"/>
  <c r="F5544" i="1"/>
  <c r="G5544" i="1"/>
  <c r="I5544" i="1"/>
  <c r="J5544" i="1"/>
  <c r="K5544" i="1"/>
  <c r="L5544" i="1"/>
  <c r="M5544" i="1"/>
  <c r="N5544" i="1"/>
  <c r="O5544" i="1"/>
  <c r="P5544" i="1"/>
  <c r="Q5544" i="1"/>
  <c r="R5544" i="1"/>
  <c r="S5544" i="1"/>
  <c r="T5544" i="1"/>
  <c r="U5544" i="1"/>
  <c r="V5544" i="1"/>
  <c r="W5544" i="1"/>
  <c r="X5544" i="1"/>
  <c r="Y5544" i="1"/>
  <c r="Z5544" i="1"/>
  <c r="A5545" i="1"/>
  <c r="B5545" i="1"/>
  <c r="C5545" i="1"/>
  <c r="D5545" i="1"/>
  <c r="E5545" i="1"/>
  <c r="F5545" i="1"/>
  <c r="G5545" i="1"/>
  <c r="I5545" i="1"/>
  <c r="J5545" i="1"/>
  <c r="K5545" i="1"/>
  <c r="L5545" i="1"/>
  <c r="M5545" i="1"/>
  <c r="N5545" i="1"/>
  <c r="O5545" i="1"/>
  <c r="P5545" i="1"/>
  <c r="Q5545" i="1"/>
  <c r="R5545" i="1"/>
  <c r="S5545" i="1"/>
  <c r="T5545" i="1"/>
  <c r="U5545" i="1"/>
  <c r="V5545" i="1"/>
  <c r="W5545" i="1"/>
  <c r="X5545" i="1"/>
  <c r="Y5545" i="1"/>
  <c r="Z5545" i="1"/>
  <c r="A5546" i="1"/>
  <c r="B5546" i="1"/>
  <c r="C5546" i="1"/>
  <c r="D5546" i="1"/>
  <c r="E5546" i="1"/>
  <c r="F5546" i="1"/>
  <c r="G5546" i="1"/>
  <c r="I5546" i="1"/>
  <c r="J5546" i="1"/>
  <c r="K5546" i="1"/>
  <c r="L5546" i="1"/>
  <c r="M5546" i="1"/>
  <c r="N5546" i="1"/>
  <c r="O5546" i="1"/>
  <c r="P5546" i="1"/>
  <c r="Q5546" i="1"/>
  <c r="R5546" i="1"/>
  <c r="S5546" i="1"/>
  <c r="T5546" i="1"/>
  <c r="U5546" i="1"/>
  <c r="V5546" i="1"/>
  <c r="W5546" i="1"/>
  <c r="X5546" i="1"/>
  <c r="Y5546" i="1"/>
  <c r="Z5546" i="1"/>
  <c r="A5547" i="1"/>
  <c r="B5547" i="1"/>
  <c r="C5547" i="1"/>
  <c r="D5547" i="1"/>
  <c r="E5547" i="1"/>
  <c r="F5547" i="1"/>
  <c r="G5547" i="1"/>
  <c r="I5547" i="1"/>
  <c r="J5547" i="1"/>
  <c r="K5547" i="1"/>
  <c r="L5547" i="1"/>
  <c r="M5547" i="1"/>
  <c r="N5547" i="1"/>
  <c r="O5547" i="1"/>
  <c r="P5547" i="1"/>
  <c r="Q5547" i="1"/>
  <c r="R5547" i="1"/>
  <c r="S5547" i="1"/>
  <c r="T5547" i="1"/>
  <c r="U5547" i="1"/>
  <c r="V5547" i="1"/>
  <c r="W5547" i="1"/>
  <c r="X5547" i="1"/>
  <c r="Y5547" i="1"/>
  <c r="Z5547" i="1"/>
  <c r="A5548" i="1"/>
  <c r="B5548" i="1"/>
  <c r="C5548" i="1"/>
  <c r="D5548" i="1"/>
  <c r="E5548" i="1"/>
  <c r="F5548" i="1"/>
  <c r="G5548" i="1"/>
  <c r="I5548" i="1"/>
  <c r="J5548" i="1"/>
  <c r="K5548" i="1"/>
  <c r="L5548" i="1"/>
  <c r="M5548" i="1"/>
  <c r="N5548" i="1"/>
  <c r="O5548" i="1"/>
  <c r="P5548" i="1"/>
  <c r="Q5548" i="1"/>
  <c r="R5548" i="1"/>
  <c r="S5548" i="1"/>
  <c r="T5548" i="1"/>
  <c r="U5548" i="1"/>
  <c r="V5548" i="1"/>
  <c r="W5548" i="1"/>
  <c r="X5548" i="1"/>
  <c r="Y5548" i="1"/>
  <c r="Z5548" i="1"/>
  <c r="A5549" i="1"/>
  <c r="B5549" i="1"/>
  <c r="C5549" i="1"/>
  <c r="D5549" i="1"/>
  <c r="E5549" i="1"/>
  <c r="F5549" i="1"/>
  <c r="G5549" i="1"/>
  <c r="I5549" i="1"/>
  <c r="J5549" i="1"/>
  <c r="K5549" i="1"/>
  <c r="L5549" i="1"/>
  <c r="M5549" i="1"/>
  <c r="N5549" i="1"/>
  <c r="O5549" i="1"/>
  <c r="P5549" i="1"/>
  <c r="Q5549" i="1"/>
  <c r="R5549" i="1"/>
  <c r="S5549" i="1"/>
  <c r="T5549" i="1"/>
  <c r="U5549" i="1"/>
  <c r="V5549" i="1"/>
  <c r="W5549" i="1"/>
  <c r="X5549" i="1"/>
  <c r="Y5549" i="1"/>
  <c r="Z5549" i="1"/>
  <c r="A5550" i="1"/>
  <c r="B5550" i="1"/>
  <c r="C5550" i="1"/>
  <c r="D5550" i="1"/>
  <c r="E5550" i="1"/>
  <c r="F5550" i="1"/>
  <c r="G5550" i="1"/>
  <c r="I5550" i="1"/>
  <c r="J5550" i="1"/>
  <c r="K5550" i="1"/>
  <c r="L5550" i="1"/>
  <c r="M5550" i="1"/>
  <c r="N5550" i="1"/>
  <c r="O5550" i="1"/>
  <c r="P5550" i="1"/>
  <c r="Q5550" i="1"/>
  <c r="R5550" i="1"/>
  <c r="S5550" i="1"/>
  <c r="T5550" i="1"/>
  <c r="U5550" i="1"/>
  <c r="V5550" i="1"/>
  <c r="W5550" i="1"/>
  <c r="X5550" i="1"/>
  <c r="Y5550" i="1"/>
  <c r="Z5550" i="1"/>
  <c r="A5551" i="1"/>
  <c r="B5551" i="1"/>
  <c r="C5551" i="1"/>
  <c r="D5551" i="1"/>
  <c r="E5551" i="1"/>
  <c r="F5551" i="1"/>
  <c r="G5551" i="1"/>
  <c r="I5551" i="1"/>
  <c r="J5551" i="1"/>
  <c r="K5551" i="1"/>
  <c r="L5551" i="1"/>
  <c r="M5551" i="1"/>
  <c r="N5551" i="1"/>
  <c r="O5551" i="1"/>
  <c r="P5551" i="1"/>
  <c r="Q5551" i="1"/>
  <c r="R5551" i="1"/>
  <c r="S5551" i="1"/>
  <c r="T5551" i="1"/>
  <c r="U5551" i="1"/>
  <c r="V5551" i="1"/>
  <c r="W5551" i="1"/>
  <c r="X5551" i="1"/>
  <c r="Y5551" i="1"/>
  <c r="Z5551" i="1"/>
  <c r="A5552" i="1"/>
  <c r="B5552" i="1"/>
  <c r="C5552" i="1"/>
  <c r="D5552" i="1"/>
  <c r="E5552" i="1"/>
  <c r="F5552" i="1"/>
  <c r="G5552" i="1"/>
  <c r="I5552" i="1"/>
  <c r="J5552" i="1"/>
  <c r="K5552" i="1"/>
  <c r="L5552" i="1"/>
  <c r="M5552" i="1"/>
  <c r="N5552" i="1"/>
  <c r="O5552" i="1"/>
  <c r="P5552" i="1"/>
  <c r="Q5552" i="1"/>
  <c r="R5552" i="1"/>
  <c r="S5552" i="1"/>
  <c r="T5552" i="1"/>
  <c r="U5552" i="1"/>
  <c r="V5552" i="1"/>
  <c r="W5552" i="1"/>
  <c r="X5552" i="1"/>
  <c r="Y5552" i="1"/>
  <c r="Z5552" i="1"/>
  <c r="A5553" i="1"/>
  <c r="B5553" i="1"/>
  <c r="C5553" i="1"/>
  <c r="D5553" i="1"/>
  <c r="E5553" i="1"/>
  <c r="F5553" i="1"/>
  <c r="G5553" i="1"/>
  <c r="I5553" i="1"/>
  <c r="J5553" i="1"/>
  <c r="K5553" i="1"/>
  <c r="L5553" i="1"/>
  <c r="M5553" i="1"/>
  <c r="N5553" i="1"/>
  <c r="O5553" i="1"/>
  <c r="P5553" i="1"/>
  <c r="Q5553" i="1"/>
  <c r="R5553" i="1"/>
  <c r="S5553" i="1"/>
  <c r="T5553" i="1"/>
  <c r="U5553" i="1"/>
  <c r="V5553" i="1"/>
  <c r="W5553" i="1"/>
  <c r="X5553" i="1"/>
  <c r="Y5553" i="1"/>
  <c r="Z5553" i="1"/>
  <c r="A5554" i="1"/>
  <c r="B5554" i="1"/>
  <c r="C5554" i="1"/>
  <c r="D5554" i="1"/>
  <c r="E5554" i="1"/>
  <c r="F5554" i="1"/>
  <c r="G5554" i="1"/>
  <c r="I5554" i="1"/>
  <c r="J5554" i="1"/>
  <c r="K5554" i="1"/>
  <c r="L5554" i="1"/>
  <c r="M5554" i="1"/>
  <c r="N5554" i="1"/>
  <c r="O5554" i="1"/>
  <c r="P5554" i="1"/>
  <c r="Q5554" i="1"/>
  <c r="R5554" i="1"/>
  <c r="S5554" i="1"/>
  <c r="T5554" i="1"/>
  <c r="U5554" i="1"/>
  <c r="V5554" i="1"/>
  <c r="W5554" i="1"/>
  <c r="X5554" i="1"/>
  <c r="Y5554" i="1"/>
  <c r="Z5554" i="1"/>
  <c r="A5555" i="1"/>
  <c r="B5555" i="1"/>
  <c r="C5555" i="1"/>
  <c r="D5555" i="1"/>
  <c r="E5555" i="1"/>
  <c r="F5555" i="1"/>
  <c r="G5555" i="1"/>
  <c r="I5555" i="1"/>
  <c r="J5555" i="1"/>
  <c r="K5555" i="1"/>
  <c r="L5555" i="1"/>
  <c r="M5555" i="1"/>
  <c r="N5555" i="1"/>
  <c r="O5555" i="1"/>
  <c r="P5555" i="1"/>
  <c r="Q5555" i="1"/>
  <c r="R5555" i="1"/>
  <c r="S5555" i="1"/>
  <c r="T5555" i="1"/>
  <c r="U5555" i="1"/>
  <c r="V5555" i="1"/>
  <c r="W5555" i="1"/>
  <c r="X5555" i="1"/>
  <c r="Y5555" i="1"/>
  <c r="Z5555" i="1"/>
  <c r="A5556" i="1"/>
  <c r="B5556" i="1"/>
  <c r="C5556" i="1"/>
  <c r="D5556" i="1"/>
  <c r="E5556" i="1"/>
  <c r="F5556" i="1"/>
  <c r="G5556" i="1"/>
  <c r="I5556" i="1"/>
  <c r="J5556" i="1"/>
  <c r="K5556" i="1"/>
  <c r="L5556" i="1"/>
  <c r="M5556" i="1"/>
  <c r="N5556" i="1"/>
  <c r="O5556" i="1"/>
  <c r="P5556" i="1"/>
  <c r="Q5556" i="1"/>
  <c r="R5556" i="1"/>
  <c r="S5556" i="1"/>
  <c r="T5556" i="1"/>
  <c r="U5556" i="1"/>
  <c r="V5556" i="1"/>
  <c r="W5556" i="1"/>
  <c r="X5556" i="1"/>
  <c r="Y5556" i="1"/>
  <c r="Z5556" i="1"/>
  <c r="A5557" i="1"/>
  <c r="B5557" i="1"/>
  <c r="C5557" i="1"/>
  <c r="D5557" i="1"/>
  <c r="E5557" i="1"/>
  <c r="F5557" i="1"/>
  <c r="G5557" i="1"/>
  <c r="I5557" i="1"/>
  <c r="J5557" i="1"/>
  <c r="K5557" i="1"/>
  <c r="L5557" i="1"/>
  <c r="M5557" i="1"/>
  <c r="N5557" i="1"/>
  <c r="O5557" i="1"/>
  <c r="P5557" i="1"/>
  <c r="Q5557" i="1"/>
  <c r="R5557" i="1"/>
  <c r="S5557" i="1"/>
  <c r="T5557" i="1"/>
  <c r="U5557" i="1"/>
  <c r="V5557" i="1"/>
  <c r="W5557" i="1"/>
  <c r="X5557" i="1"/>
  <c r="Y5557" i="1"/>
  <c r="Z5557" i="1"/>
  <c r="A5558" i="1"/>
  <c r="B5558" i="1"/>
  <c r="C5558" i="1"/>
  <c r="D5558" i="1"/>
  <c r="E5558" i="1"/>
  <c r="F5558" i="1"/>
  <c r="G5558" i="1"/>
  <c r="I5558" i="1"/>
  <c r="J5558" i="1"/>
  <c r="K5558" i="1"/>
  <c r="L5558" i="1"/>
  <c r="M5558" i="1"/>
  <c r="N5558" i="1"/>
  <c r="O5558" i="1"/>
  <c r="P5558" i="1"/>
  <c r="Q5558" i="1"/>
  <c r="R5558" i="1"/>
  <c r="S5558" i="1"/>
  <c r="T5558" i="1"/>
  <c r="U5558" i="1"/>
  <c r="V5558" i="1"/>
  <c r="W5558" i="1"/>
  <c r="X5558" i="1"/>
  <c r="Y5558" i="1"/>
  <c r="Z5558" i="1"/>
  <c r="A5559" i="1"/>
  <c r="B5559" i="1"/>
  <c r="C5559" i="1"/>
  <c r="D5559" i="1"/>
  <c r="E5559" i="1"/>
  <c r="F5559" i="1"/>
  <c r="G5559" i="1"/>
  <c r="I5559" i="1"/>
  <c r="J5559" i="1"/>
  <c r="K5559" i="1"/>
  <c r="L5559" i="1"/>
  <c r="M5559" i="1"/>
  <c r="N5559" i="1"/>
  <c r="O5559" i="1"/>
  <c r="P5559" i="1"/>
  <c r="Q5559" i="1"/>
  <c r="R5559" i="1"/>
  <c r="S5559" i="1"/>
  <c r="T5559" i="1"/>
  <c r="U5559" i="1"/>
  <c r="V5559" i="1"/>
  <c r="W5559" i="1"/>
  <c r="X5559" i="1"/>
  <c r="Y5559" i="1"/>
  <c r="Z5559" i="1"/>
  <c r="A5560" i="1"/>
  <c r="B5560" i="1"/>
  <c r="C5560" i="1"/>
  <c r="D5560" i="1"/>
  <c r="E5560" i="1"/>
  <c r="F5560" i="1"/>
  <c r="G5560" i="1"/>
  <c r="I5560" i="1"/>
  <c r="J5560" i="1"/>
  <c r="K5560" i="1"/>
  <c r="L5560" i="1"/>
  <c r="M5560" i="1"/>
  <c r="N5560" i="1"/>
  <c r="O5560" i="1"/>
  <c r="P5560" i="1"/>
  <c r="Q5560" i="1"/>
  <c r="R5560" i="1"/>
  <c r="S5560" i="1"/>
  <c r="T5560" i="1"/>
  <c r="U5560" i="1"/>
  <c r="V5560" i="1"/>
  <c r="W5560" i="1"/>
  <c r="X5560" i="1"/>
  <c r="Y5560" i="1"/>
  <c r="Z5560" i="1"/>
  <c r="A5561" i="1"/>
  <c r="B5561" i="1"/>
  <c r="C5561" i="1"/>
  <c r="D5561" i="1"/>
  <c r="E5561" i="1"/>
  <c r="F5561" i="1"/>
  <c r="G5561" i="1"/>
  <c r="I5561" i="1"/>
  <c r="J5561" i="1"/>
  <c r="K5561" i="1"/>
  <c r="L5561" i="1"/>
  <c r="M5561" i="1"/>
  <c r="N5561" i="1"/>
  <c r="O5561" i="1"/>
  <c r="P5561" i="1"/>
  <c r="Q5561" i="1"/>
  <c r="R5561" i="1"/>
  <c r="S5561" i="1"/>
  <c r="T5561" i="1"/>
  <c r="U5561" i="1"/>
  <c r="V5561" i="1"/>
  <c r="W5561" i="1"/>
  <c r="X5561" i="1"/>
  <c r="Y5561" i="1"/>
  <c r="Z5561" i="1"/>
  <c r="A5562" i="1"/>
  <c r="B5562" i="1"/>
  <c r="C5562" i="1"/>
  <c r="D5562" i="1"/>
  <c r="E5562" i="1"/>
  <c r="F5562" i="1"/>
  <c r="G5562" i="1"/>
  <c r="I5562" i="1"/>
  <c r="J5562" i="1"/>
  <c r="K5562" i="1"/>
  <c r="L5562" i="1"/>
  <c r="M5562" i="1"/>
  <c r="N5562" i="1"/>
  <c r="O5562" i="1"/>
  <c r="P5562" i="1"/>
  <c r="Q5562" i="1"/>
  <c r="R5562" i="1"/>
  <c r="S5562" i="1"/>
  <c r="T5562" i="1"/>
  <c r="U5562" i="1"/>
  <c r="V5562" i="1"/>
  <c r="W5562" i="1"/>
  <c r="X5562" i="1"/>
  <c r="Y5562" i="1"/>
  <c r="Z5562" i="1"/>
  <c r="A5563" i="1"/>
  <c r="B5563" i="1"/>
  <c r="C5563" i="1"/>
  <c r="D5563" i="1"/>
  <c r="E5563" i="1"/>
  <c r="F5563" i="1"/>
  <c r="G5563" i="1"/>
  <c r="I5563" i="1"/>
  <c r="J5563" i="1"/>
  <c r="K5563" i="1"/>
  <c r="L5563" i="1"/>
  <c r="M5563" i="1"/>
  <c r="N5563" i="1"/>
  <c r="O5563" i="1"/>
  <c r="P5563" i="1"/>
  <c r="Q5563" i="1"/>
  <c r="R5563" i="1"/>
  <c r="S5563" i="1"/>
  <c r="T5563" i="1"/>
  <c r="U5563" i="1"/>
  <c r="V5563" i="1"/>
  <c r="W5563" i="1"/>
  <c r="X5563" i="1"/>
  <c r="Y5563" i="1"/>
  <c r="Z5563" i="1"/>
  <c r="A5564" i="1"/>
  <c r="B5564" i="1"/>
  <c r="C5564" i="1"/>
  <c r="D5564" i="1"/>
  <c r="E5564" i="1"/>
  <c r="F5564" i="1"/>
  <c r="G5564" i="1"/>
  <c r="I5564" i="1"/>
  <c r="J5564" i="1"/>
  <c r="K5564" i="1"/>
  <c r="L5564" i="1"/>
  <c r="M5564" i="1"/>
  <c r="N5564" i="1"/>
  <c r="O5564" i="1"/>
  <c r="P5564" i="1"/>
  <c r="Q5564" i="1"/>
  <c r="R5564" i="1"/>
  <c r="S5564" i="1"/>
  <c r="T5564" i="1"/>
  <c r="U5564" i="1"/>
  <c r="V5564" i="1"/>
  <c r="W5564" i="1"/>
  <c r="X5564" i="1"/>
  <c r="Y5564" i="1"/>
  <c r="Z5564" i="1"/>
  <c r="A5565" i="1"/>
  <c r="B5565" i="1"/>
  <c r="C5565" i="1"/>
  <c r="D5565" i="1"/>
  <c r="E5565" i="1"/>
  <c r="F5565" i="1"/>
  <c r="G5565" i="1"/>
  <c r="I5565" i="1"/>
  <c r="J5565" i="1"/>
  <c r="K5565" i="1"/>
  <c r="L5565" i="1"/>
  <c r="M5565" i="1"/>
  <c r="N5565" i="1"/>
  <c r="O5565" i="1"/>
  <c r="P5565" i="1"/>
  <c r="Q5565" i="1"/>
  <c r="R5565" i="1"/>
  <c r="S5565" i="1"/>
  <c r="T5565" i="1"/>
  <c r="U5565" i="1"/>
  <c r="V5565" i="1"/>
  <c r="W5565" i="1"/>
  <c r="X5565" i="1"/>
  <c r="Y5565" i="1"/>
  <c r="Z5565" i="1"/>
  <c r="A5566" i="1"/>
  <c r="B5566" i="1"/>
  <c r="C5566" i="1"/>
  <c r="D5566" i="1"/>
  <c r="E5566" i="1"/>
  <c r="F5566" i="1"/>
  <c r="G5566" i="1"/>
  <c r="I5566" i="1"/>
  <c r="J5566" i="1"/>
  <c r="K5566" i="1"/>
  <c r="L5566" i="1"/>
  <c r="M5566" i="1"/>
  <c r="N5566" i="1"/>
  <c r="O5566" i="1"/>
  <c r="P5566" i="1"/>
  <c r="Q5566" i="1"/>
  <c r="R5566" i="1"/>
  <c r="S5566" i="1"/>
  <c r="T5566" i="1"/>
  <c r="U5566" i="1"/>
  <c r="V5566" i="1"/>
  <c r="W5566" i="1"/>
  <c r="X5566" i="1"/>
  <c r="Y5566" i="1"/>
  <c r="Z5566" i="1"/>
  <c r="A5567" i="1"/>
  <c r="B5567" i="1"/>
  <c r="C5567" i="1"/>
  <c r="D5567" i="1"/>
  <c r="E5567" i="1"/>
  <c r="F5567" i="1"/>
  <c r="G5567" i="1"/>
  <c r="I5567" i="1"/>
  <c r="J5567" i="1"/>
  <c r="K5567" i="1"/>
  <c r="L5567" i="1"/>
  <c r="M5567" i="1"/>
  <c r="N5567" i="1"/>
  <c r="O5567" i="1"/>
  <c r="P5567" i="1"/>
  <c r="Q5567" i="1"/>
  <c r="R5567" i="1"/>
  <c r="S5567" i="1"/>
  <c r="T5567" i="1"/>
  <c r="U5567" i="1"/>
  <c r="V5567" i="1"/>
  <c r="W5567" i="1"/>
  <c r="X5567" i="1"/>
  <c r="Y5567" i="1"/>
  <c r="Z5567" i="1"/>
  <c r="A5568" i="1"/>
  <c r="B5568" i="1"/>
  <c r="C5568" i="1"/>
  <c r="D5568" i="1"/>
  <c r="E5568" i="1"/>
  <c r="F5568" i="1"/>
  <c r="G5568" i="1"/>
  <c r="I5568" i="1"/>
  <c r="J5568" i="1"/>
  <c r="K5568" i="1"/>
  <c r="L5568" i="1"/>
  <c r="M5568" i="1"/>
  <c r="N5568" i="1"/>
  <c r="O5568" i="1"/>
  <c r="P5568" i="1"/>
  <c r="Q5568" i="1"/>
  <c r="R5568" i="1"/>
  <c r="S5568" i="1"/>
  <c r="T5568" i="1"/>
  <c r="U5568" i="1"/>
  <c r="V5568" i="1"/>
  <c r="W5568" i="1"/>
  <c r="X5568" i="1"/>
  <c r="Y5568" i="1"/>
  <c r="Z5568" i="1"/>
  <c r="A5569" i="1"/>
  <c r="B5569" i="1"/>
  <c r="C5569" i="1"/>
  <c r="D5569" i="1"/>
  <c r="E5569" i="1"/>
  <c r="F5569" i="1"/>
  <c r="G5569" i="1"/>
  <c r="I5569" i="1"/>
  <c r="J5569" i="1"/>
  <c r="K5569" i="1"/>
  <c r="L5569" i="1"/>
  <c r="M5569" i="1"/>
  <c r="N5569" i="1"/>
  <c r="O5569" i="1"/>
  <c r="P5569" i="1"/>
  <c r="Q5569" i="1"/>
  <c r="R5569" i="1"/>
  <c r="S5569" i="1"/>
  <c r="T5569" i="1"/>
  <c r="U5569" i="1"/>
  <c r="V5569" i="1"/>
  <c r="W5569" i="1"/>
  <c r="X5569" i="1"/>
  <c r="Y5569" i="1"/>
  <c r="Z5569" i="1"/>
  <c r="A5570" i="1"/>
  <c r="B5570" i="1"/>
  <c r="C5570" i="1"/>
  <c r="D5570" i="1"/>
  <c r="E5570" i="1"/>
  <c r="F5570" i="1"/>
  <c r="G5570" i="1"/>
  <c r="I5570" i="1"/>
  <c r="J5570" i="1"/>
  <c r="K5570" i="1"/>
  <c r="L5570" i="1"/>
  <c r="M5570" i="1"/>
  <c r="N5570" i="1"/>
  <c r="O5570" i="1"/>
  <c r="P5570" i="1"/>
  <c r="Q5570" i="1"/>
  <c r="R5570" i="1"/>
  <c r="S5570" i="1"/>
  <c r="T5570" i="1"/>
  <c r="U5570" i="1"/>
  <c r="V5570" i="1"/>
  <c r="W5570" i="1"/>
  <c r="X5570" i="1"/>
  <c r="Y5570" i="1"/>
  <c r="Z5570" i="1"/>
  <c r="A5571" i="1"/>
  <c r="B5571" i="1"/>
  <c r="C5571" i="1"/>
  <c r="D5571" i="1"/>
  <c r="E5571" i="1"/>
  <c r="F5571" i="1"/>
  <c r="G5571" i="1"/>
  <c r="I5571" i="1"/>
  <c r="J5571" i="1"/>
  <c r="K5571" i="1"/>
  <c r="L5571" i="1"/>
  <c r="M5571" i="1"/>
  <c r="N5571" i="1"/>
  <c r="O5571" i="1"/>
  <c r="P5571" i="1"/>
  <c r="Q5571" i="1"/>
  <c r="R5571" i="1"/>
  <c r="S5571" i="1"/>
  <c r="T5571" i="1"/>
  <c r="U5571" i="1"/>
  <c r="V5571" i="1"/>
  <c r="W5571" i="1"/>
  <c r="X5571" i="1"/>
  <c r="Y5571" i="1"/>
  <c r="Z5571" i="1"/>
  <c r="A5572" i="1"/>
  <c r="B5572" i="1"/>
  <c r="C5572" i="1"/>
  <c r="D5572" i="1"/>
  <c r="E5572" i="1"/>
  <c r="F5572" i="1"/>
  <c r="G5572" i="1"/>
  <c r="I5572" i="1"/>
  <c r="J5572" i="1"/>
  <c r="K5572" i="1"/>
  <c r="L5572" i="1"/>
  <c r="M5572" i="1"/>
  <c r="N5572" i="1"/>
  <c r="O5572" i="1"/>
  <c r="P5572" i="1"/>
  <c r="Q5572" i="1"/>
  <c r="R5572" i="1"/>
  <c r="S5572" i="1"/>
  <c r="T5572" i="1"/>
  <c r="U5572" i="1"/>
  <c r="V5572" i="1"/>
  <c r="W5572" i="1"/>
  <c r="X5572" i="1"/>
  <c r="Y5572" i="1"/>
  <c r="Z5572" i="1"/>
  <c r="A5573" i="1"/>
  <c r="B5573" i="1"/>
  <c r="C5573" i="1"/>
  <c r="D5573" i="1"/>
  <c r="E5573" i="1"/>
  <c r="F5573" i="1"/>
  <c r="G5573" i="1"/>
  <c r="I5573" i="1"/>
  <c r="J5573" i="1"/>
  <c r="K5573" i="1"/>
  <c r="L5573" i="1"/>
  <c r="M5573" i="1"/>
  <c r="N5573" i="1"/>
  <c r="O5573" i="1"/>
  <c r="P5573" i="1"/>
  <c r="Q5573" i="1"/>
  <c r="R5573" i="1"/>
  <c r="S5573" i="1"/>
  <c r="T5573" i="1"/>
  <c r="U5573" i="1"/>
  <c r="V5573" i="1"/>
  <c r="W5573" i="1"/>
  <c r="X5573" i="1"/>
  <c r="Y5573" i="1"/>
  <c r="Z5573" i="1"/>
  <c r="A5574" i="1"/>
  <c r="B5574" i="1"/>
  <c r="C5574" i="1"/>
  <c r="D5574" i="1"/>
  <c r="E5574" i="1"/>
  <c r="F5574" i="1"/>
  <c r="G5574" i="1"/>
  <c r="I5574" i="1"/>
  <c r="J5574" i="1"/>
  <c r="K5574" i="1"/>
  <c r="L5574" i="1"/>
  <c r="M5574" i="1"/>
  <c r="N5574" i="1"/>
  <c r="O5574" i="1"/>
  <c r="P5574" i="1"/>
  <c r="Q5574" i="1"/>
  <c r="R5574" i="1"/>
  <c r="S5574" i="1"/>
  <c r="T5574" i="1"/>
  <c r="U5574" i="1"/>
  <c r="V5574" i="1"/>
  <c r="W5574" i="1"/>
  <c r="X5574" i="1"/>
  <c r="Y5574" i="1"/>
  <c r="Z5574" i="1"/>
  <c r="A5575" i="1"/>
  <c r="B5575" i="1"/>
  <c r="C5575" i="1"/>
  <c r="D5575" i="1"/>
  <c r="E5575" i="1"/>
  <c r="F5575" i="1"/>
  <c r="G5575" i="1"/>
  <c r="I5575" i="1"/>
  <c r="J5575" i="1"/>
  <c r="K5575" i="1"/>
  <c r="L5575" i="1"/>
  <c r="M5575" i="1"/>
  <c r="N5575" i="1"/>
  <c r="O5575" i="1"/>
  <c r="P5575" i="1"/>
  <c r="Q5575" i="1"/>
  <c r="R5575" i="1"/>
  <c r="S5575" i="1"/>
  <c r="T5575" i="1"/>
  <c r="U5575" i="1"/>
  <c r="V5575" i="1"/>
  <c r="W5575" i="1"/>
  <c r="X5575" i="1"/>
  <c r="Y5575" i="1"/>
  <c r="Z5575" i="1"/>
  <c r="A5576" i="1"/>
  <c r="B5576" i="1"/>
  <c r="C5576" i="1"/>
  <c r="D5576" i="1"/>
  <c r="E5576" i="1"/>
  <c r="F5576" i="1"/>
  <c r="G5576" i="1"/>
  <c r="I5576" i="1"/>
  <c r="J5576" i="1"/>
  <c r="K5576" i="1"/>
  <c r="L5576" i="1"/>
  <c r="M5576" i="1"/>
  <c r="N5576" i="1"/>
  <c r="O5576" i="1"/>
  <c r="P5576" i="1"/>
  <c r="Q5576" i="1"/>
  <c r="R5576" i="1"/>
  <c r="S5576" i="1"/>
  <c r="T5576" i="1"/>
  <c r="U5576" i="1"/>
  <c r="V5576" i="1"/>
  <c r="W5576" i="1"/>
  <c r="X5576" i="1"/>
  <c r="Y5576" i="1"/>
  <c r="Z5576" i="1"/>
  <c r="A5577" i="1"/>
  <c r="B5577" i="1"/>
  <c r="C5577" i="1"/>
  <c r="D5577" i="1"/>
  <c r="E5577" i="1"/>
  <c r="F5577" i="1"/>
  <c r="G5577" i="1"/>
  <c r="I5577" i="1"/>
  <c r="J5577" i="1"/>
  <c r="K5577" i="1"/>
  <c r="L5577" i="1"/>
  <c r="M5577" i="1"/>
  <c r="N5577" i="1"/>
  <c r="O5577" i="1"/>
  <c r="P5577" i="1"/>
  <c r="Q5577" i="1"/>
  <c r="R5577" i="1"/>
  <c r="S5577" i="1"/>
  <c r="T5577" i="1"/>
  <c r="U5577" i="1"/>
  <c r="V5577" i="1"/>
  <c r="W5577" i="1"/>
  <c r="X5577" i="1"/>
  <c r="Y5577" i="1"/>
  <c r="Z5577" i="1"/>
  <c r="A5578" i="1"/>
  <c r="B5578" i="1"/>
  <c r="C5578" i="1"/>
  <c r="D5578" i="1"/>
  <c r="E5578" i="1"/>
  <c r="F5578" i="1"/>
  <c r="G5578" i="1"/>
  <c r="I5578" i="1"/>
  <c r="J5578" i="1"/>
  <c r="K5578" i="1"/>
  <c r="L5578" i="1"/>
  <c r="M5578" i="1"/>
  <c r="N5578" i="1"/>
  <c r="O5578" i="1"/>
  <c r="P5578" i="1"/>
  <c r="Q5578" i="1"/>
  <c r="R5578" i="1"/>
  <c r="S5578" i="1"/>
  <c r="T5578" i="1"/>
  <c r="U5578" i="1"/>
  <c r="V5578" i="1"/>
  <c r="W5578" i="1"/>
  <c r="X5578" i="1"/>
  <c r="Y5578" i="1"/>
  <c r="Z5578" i="1"/>
  <c r="A5579" i="1"/>
  <c r="B5579" i="1"/>
  <c r="C5579" i="1"/>
  <c r="D5579" i="1"/>
  <c r="E5579" i="1"/>
  <c r="F5579" i="1"/>
  <c r="G5579" i="1"/>
  <c r="I5579" i="1"/>
  <c r="J5579" i="1"/>
  <c r="K5579" i="1"/>
  <c r="L5579" i="1"/>
  <c r="M5579" i="1"/>
  <c r="N5579" i="1"/>
  <c r="O5579" i="1"/>
  <c r="P5579" i="1"/>
  <c r="Q5579" i="1"/>
  <c r="R5579" i="1"/>
  <c r="S5579" i="1"/>
  <c r="T5579" i="1"/>
  <c r="U5579" i="1"/>
  <c r="V5579" i="1"/>
  <c r="W5579" i="1"/>
  <c r="X5579" i="1"/>
  <c r="Y5579" i="1"/>
  <c r="Z5579" i="1"/>
  <c r="A5580" i="1"/>
  <c r="B5580" i="1"/>
  <c r="C5580" i="1"/>
  <c r="D5580" i="1"/>
  <c r="E5580" i="1"/>
  <c r="F5580" i="1"/>
  <c r="G5580" i="1"/>
  <c r="I5580" i="1"/>
  <c r="J5580" i="1"/>
  <c r="K5580" i="1"/>
  <c r="L5580" i="1"/>
  <c r="M5580" i="1"/>
  <c r="N5580" i="1"/>
  <c r="O5580" i="1"/>
  <c r="P5580" i="1"/>
  <c r="Q5580" i="1"/>
  <c r="R5580" i="1"/>
  <c r="S5580" i="1"/>
  <c r="T5580" i="1"/>
  <c r="U5580" i="1"/>
  <c r="V5580" i="1"/>
  <c r="W5580" i="1"/>
  <c r="X5580" i="1"/>
  <c r="Y5580" i="1"/>
  <c r="Z5580" i="1"/>
  <c r="A5581" i="1"/>
  <c r="B5581" i="1"/>
  <c r="C5581" i="1"/>
  <c r="D5581" i="1"/>
  <c r="E5581" i="1"/>
  <c r="F5581" i="1"/>
  <c r="G5581" i="1"/>
  <c r="I5581" i="1"/>
  <c r="J5581" i="1"/>
  <c r="K5581" i="1"/>
  <c r="L5581" i="1"/>
  <c r="M5581" i="1"/>
  <c r="N5581" i="1"/>
  <c r="O5581" i="1"/>
  <c r="P5581" i="1"/>
  <c r="Q5581" i="1"/>
  <c r="R5581" i="1"/>
  <c r="S5581" i="1"/>
  <c r="T5581" i="1"/>
  <c r="U5581" i="1"/>
  <c r="V5581" i="1"/>
  <c r="W5581" i="1"/>
  <c r="X5581" i="1"/>
  <c r="Y5581" i="1"/>
  <c r="Z5581" i="1"/>
  <c r="A5582" i="1"/>
  <c r="B5582" i="1"/>
  <c r="C5582" i="1"/>
  <c r="D5582" i="1"/>
  <c r="E5582" i="1"/>
  <c r="F5582" i="1"/>
  <c r="G5582" i="1"/>
  <c r="I5582" i="1"/>
  <c r="J5582" i="1"/>
  <c r="K5582" i="1"/>
  <c r="L5582" i="1"/>
  <c r="M5582" i="1"/>
  <c r="N5582" i="1"/>
  <c r="O5582" i="1"/>
  <c r="P5582" i="1"/>
  <c r="Q5582" i="1"/>
  <c r="R5582" i="1"/>
  <c r="S5582" i="1"/>
  <c r="T5582" i="1"/>
  <c r="U5582" i="1"/>
  <c r="V5582" i="1"/>
  <c r="W5582" i="1"/>
  <c r="X5582" i="1"/>
  <c r="Y5582" i="1"/>
  <c r="Z5582" i="1"/>
  <c r="A5583" i="1"/>
  <c r="B5583" i="1"/>
  <c r="C5583" i="1"/>
  <c r="D5583" i="1"/>
  <c r="E5583" i="1"/>
  <c r="F5583" i="1"/>
  <c r="G5583" i="1"/>
  <c r="I5583" i="1"/>
  <c r="J5583" i="1"/>
  <c r="K5583" i="1"/>
  <c r="L5583" i="1"/>
  <c r="M5583" i="1"/>
  <c r="N5583" i="1"/>
  <c r="O5583" i="1"/>
  <c r="P5583" i="1"/>
  <c r="Q5583" i="1"/>
  <c r="R5583" i="1"/>
  <c r="S5583" i="1"/>
  <c r="T5583" i="1"/>
  <c r="U5583" i="1"/>
  <c r="V5583" i="1"/>
  <c r="W5583" i="1"/>
  <c r="X5583" i="1"/>
  <c r="Y5583" i="1"/>
  <c r="Z5583" i="1"/>
  <c r="A5584" i="1"/>
  <c r="B5584" i="1"/>
  <c r="C5584" i="1"/>
  <c r="D5584" i="1"/>
  <c r="E5584" i="1"/>
  <c r="F5584" i="1"/>
  <c r="G5584" i="1"/>
  <c r="I5584" i="1"/>
  <c r="J5584" i="1"/>
  <c r="K5584" i="1"/>
  <c r="L5584" i="1"/>
  <c r="M5584" i="1"/>
  <c r="N5584" i="1"/>
  <c r="O5584" i="1"/>
  <c r="P5584" i="1"/>
  <c r="Q5584" i="1"/>
  <c r="R5584" i="1"/>
  <c r="S5584" i="1"/>
  <c r="T5584" i="1"/>
  <c r="U5584" i="1"/>
  <c r="V5584" i="1"/>
  <c r="W5584" i="1"/>
  <c r="X5584" i="1"/>
  <c r="Y5584" i="1"/>
  <c r="Z5584" i="1"/>
  <c r="A5585" i="1"/>
  <c r="B5585" i="1"/>
  <c r="C5585" i="1"/>
  <c r="D5585" i="1"/>
  <c r="E5585" i="1"/>
  <c r="F5585" i="1"/>
  <c r="G5585" i="1"/>
  <c r="I5585" i="1"/>
  <c r="J5585" i="1"/>
  <c r="K5585" i="1"/>
  <c r="L5585" i="1"/>
  <c r="M5585" i="1"/>
  <c r="N5585" i="1"/>
  <c r="O5585" i="1"/>
  <c r="P5585" i="1"/>
  <c r="Q5585" i="1"/>
  <c r="R5585" i="1"/>
  <c r="S5585" i="1"/>
  <c r="T5585" i="1"/>
  <c r="U5585" i="1"/>
  <c r="V5585" i="1"/>
  <c r="W5585" i="1"/>
  <c r="X5585" i="1"/>
  <c r="Y5585" i="1"/>
  <c r="Z5585" i="1"/>
  <c r="A5586" i="1"/>
  <c r="B5586" i="1"/>
  <c r="C5586" i="1"/>
  <c r="D5586" i="1"/>
  <c r="E5586" i="1"/>
  <c r="F5586" i="1"/>
  <c r="G5586" i="1"/>
  <c r="I5586" i="1"/>
  <c r="J5586" i="1"/>
  <c r="K5586" i="1"/>
  <c r="L5586" i="1"/>
  <c r="M5586" i="1"/>
  <c r="N5586" i="1"/>
  <c r="O5586" i="1"/>
  <c r="P5586" i="1"/>
  <c r="Q5586" i="1"/>
  <c r="R5586" i="1"/>
  <c r="S5586" i="1"/>
  <c r="T5586" i="1"/>
  <c r="U5586" i="1"/>
  <c r="V5586" i="1"/>
  <c r="W5586" i="1"/>
  <c r="X5586" i="1"/>
  <c r="Y5586" i="1"/>
  <c r="Z5586" i="1"/>
  <c r="A5587" i="1"/>
  <c r="B5587" i="1"/>
  <c r="C5587" i="1"/>
  <c r="D5587" i="1"/>
  <c r="E5587" i="1"/>
  <c r="F5587" i="1"/>
  <c r="G5587" i="1"/>
  <c r="I5587" i="1"/>
  <c r="J5587" i="1"/>
  <c r="K5587" i="1"/>
  <c r="L5587" i="1"/>
  <c r="M5587" i="1"/>
  <c r="N5587" i="1"/>
  <c r="O5587" i="1"/>
  <c r="P5587" i="1"/>
  <c r="Q5587" i="1"/>
  <c r="R5587" i="1"/>
  <c r="S5587" i="1"/>
  <c r="T5587" i="1"/>
  <c r="U5587" i="1"/>
  <c r="V5587" i="1"/>
  <c r="W5587" i="1"/>
  <c r="X5587" i="1"/>
  <c r="Y5587" i="1"/>
  <c r="Z5587" i="1"/>
  <c r="A5588" i="1"/>
  <c r="B5588" i="1"/>
  <c r="C5588" i="1"/>
  <c r="D5588" i="1"/>
  <c r="E5588" i="1"/>
  <c r="F5588" i="1"/>
  <c r="G5588" i="1"/>
  <c r="I5588" i="1"/>
  <c r="J5588" i="1"/>
  <c r="K5588" i="1"/>
  <c r="L5588" i="1"/>
  <c r="M5588" i="1"/>
  <c r="N5588" i="1"/>
  <c r="O5588" i="1"/>
  <c r="P5588" i="1"/>
  <c r="Q5588" i="1"/>
  <c r="R5588" i="1"/>
  <c r="S5588" i="1"/>
  <c r="T5588" i="1"/>
  <c r="U5588" i="1"/>
  <c r="V5588" i="1"/>
  <c r="W5588" i="1"/>
  <c r="X5588" i="1"/>
  <c r="Y5588" i="1"/>
  <c r="Z5588" i="1"/>
  <c r="A5589" i="1"/>
  <c r="B5589" i="1"/>
  <c r="C5589" i="1"/>
  <c r="D5589" i="1"/>
  <c r="E5589" i="1"/>
  <c r="F5589" i="1"/>
  <c r="G5589" i="1"/>
  <c r="I5589" i="1"/>
  <c r="J5589" i="1"/>
  <c r="K5589" i="1"/>
  <c r="L5589" i="1"/>
  <c r="M5589" i="1"/>
  <c r="N5589" i="1"/>
  <c r="O5589" i="1"/>
  <c r="P5589" i="1"/>
  <c r="Q5589" i="1"/>
  <c r="R5589" i="1"/>
  <c r="S5589" i="1"/>
  <c r="T5589" i="1"/>
  <c r="U5589" i="1"/>
  <c r="V5589" i="1"/>
  <c r="W5589" i="1"/>
  <c r="X5589" i="1"/>
  <c r="Y5589" i="1"/>
  <c r="Z5589" i="1"/>
  <c r="A5590" i="1"/>
  <c r="B5590" i="1"/>
  <c r="C5590" i="1"/>
  <c r="D5590" i="1"/>
  <c r="E5590" i="1"/>
  <c r="F5590" i="1"/>
  <c r="G5590" i="1"/>
  <c r="I5590" i="1"/>
  <c r="J5590" i="1"/>
  <c r="K5590" i="1"/>
  <c r="L5590" i="1"/>
  <c r="M5590" i="1"/>
  <c r="N5590" i="1"/>
  <c r="O5590" i="1"/>
  <c r="P5590" i="1"/>
  <c r="Q5590" i="1"/>
  <c r="R5590" i="1"/>
  <c r="S5590" i="1"/>
  <c r="T5590" i="1"/>
  <c r="U5590" i="1"/>
  <c r="V5590" i="1"/>
  <c r="W5590" i="1"/>
  <c r="X5590" i="1"/>
  <c r="Y5590" i="1"/>
  <c r="Z5590" i="1"/>
  <c r="A5591" i="1"/>
  <c r="B5591" i="1"/>
  <c r="C5591" i="1"/>
  <c r="D5591" i="1"/>
  <c r="E5591" i="1"/>
  <c r="F5591" i="1"/>
  <c r="G5591" i="1"/>
  <c r="I5591" i="1"/>
  <c r="J5591" i="1"/>
  <c r="K5591" i="1"/>
  <c r="L5591" i="1"/>
  <c r="M5591" i="1"/>
  <c r="N5591" i="1"/>
  <c r="O5591" i="1"/>
  <c r="P5591" i="1"/>
  <c r="Q5591" i="1"/>
  <c r="R5591" i="1"/>
  <c r="S5591" i="1"/>
  <c r="T5591" i="1"/>
  <c r="U5591" i="1"/>
  <c r="V5591" i="1"/>
  <c r="W5591" i="1"/>
  <c r="X5591" i="1"/>
  <c r="Y5591" i="1"/>
  <c r="Z5591" i="1"/>
  <c r="A5592" i="1"/>
  <c r="B5592" i="1"/>
  <c r="C5592" i="1"/>
  <c r="D5592" i="1"/>
  <c r="E5592" i="1"/>
  <c r="F5592" i="1"/>
  <c r="G5592" i="1"/>
  <c r="I5592" i="1"/>
  <c r="J5592" i="1"/>
  <c r="K5592" i="1"/>
  <c r="L5592" i="1"/>
  <c r="M5592" i="1"/>
  <c r="N5592" i="1"/>
  <c r="O5592" i="1"/>
  <c r="P5592" i="1"/>
  <c r="Q5592" i="1"/>
  <c r="R5592" i="1"/>
  <c r="S5592" i="1"/>
  <c r="T5592" i="1"/>
  <c r="U5592" i="1"/>
  <c r="V5592" i="1"/>
  <c r="W5592" i="1"/>
  <c r="X5592" i="1"/>
  <c r="Y5592" i="1"/>
  <c r="Z5592" i="1"/>
  <c r="A5593" i="1"/>
  <c r="B5593" i="1"/>
  <c r="C5593" i="1"/>
  <c r="D5593" i="1"/>
  <c r="E5593" i="1"/>
  <c r="F5593" i="1"/>
  <c r="G5593" i="1"/>
  <c r="I5593" i="1"/>
  <c r="J5593" i="1"/>
  <c r="K5593" i="1"/>
  <c r="L5593" i="1"/>
  <c r="M5593" i="1"/>
  <c r="N5593" i="1"/>
  <c r="O5593" i="1"/>
  <c r="P5593" i="1"/>
  <c r="Q5593" i="1"/>
  <c r="R5593" i="1"/>
  <c r="S5593" i="1"/>
  <c r="T5593" i="1"/>
  <c r="U5593" i="1"/>
  <c r="V5593" i="1"/>
  <c r="W5593" i="1"/>
  <c r="X5593" i="1"/>
  <c r="Y5593" i="1"/>
  <c r="Z5593" i="1"/>
  <c r="A5594" i="1"/>
  <c r="B5594" i="1"/>
  <c r="C5594" i="1"/>
  <c r="D5594" i="1"/>
  <c r="E5594" i="1"/>
  <c r="F5594" i="1"/>
  <c r="G5594" i="1"/>
  <c r="I5594" i="1"/>
  <c r="J5594" i="1"/>
  <c r="K5594" i="1"/>
  <c r="L5594" i="1"/>
  <c r="M5594" i="1"/>
  <c r="N5594" i="1"/>
  <c r="O5594" i="1"/>
  <c r="P5594" i="1"/>
  <c r="Q5594" i="1"/>
  <c r="R5594" i="1"/>
  <c r="S5594" i="1"/>
  <c r="T5594" i="1"/>
  <c r="U5594" i="1"/>
  <c r="V5594" i="1"/>
  <c r="W5594" i="1"/>
  <c r="X5594" i="1"/>
  <c r="Y5594" i="1"/>
  <c r="Z5594" i="1"/>
  <c r="A5595" i="1"/>
  <c r="B5595" i="1"/>
  <c r="C5595" i="1"/>
  <c r="D5595" i="1"/>
  <c r="E5595" i="1"/>
  <c r="F5595" i="1"/>
  <c r="G5595" i="1"/>
  <c r="I5595" i="1"/>
  <c r="J5595" i="1"/>
  <c r="K5595" i="1"/>
  <c r="L5595" i="1"/>
  <c r="M5595" i="1"/>
  <c r="N5595" i="1"/>
  <c r="O5595" i="1"/>
  <c r="P5595" i="1"/>
  <c r="Q5595" i="1"/>
  <c r="R5595" i="1"/>
  <c r="S5595" i="1"/>
  <c r="T5595" i="1"/>
  <c r="U5595" i="1"/>
  <c r="V5595" i="1"/>
  <c r="W5595" i="1"/>
  <c r="X5595" i="1"/>
  <c r="Y5595" i="1"/>
  <c r="Z5595" i="1"/>
  <c r="A5596" i="1"/>
  <c r="B5596" i="1"/>
  <c r="C5596" i="1"/>
  <c r="D5596" i="1"/>
  <c r="E5596" i="1"/>
  <c r="F5596" i="1"/>
  <c r="G5596" i="1"/>
  <c r="I5596" i="1"/>
  <c r="J5596" i="1"/>
  <c r="K5596" i="1"/>
  <c r="L5596" i="1"/>
  <c r="M5596" i="1"/>
  <c r="N5596" i="1"/>
  <c r="O5596" i="1"/>
  <c r="P5596" i="1"/>
  <c r="Q5596" i="1"/>
  <c r="R5596" i="1"/>
  <c r="S5596" i="1"/>
  <c r="T5596" i="1"/>
  <c r="U5596" i="1"/>
  <c r="V5596" i="1"/>
  <c r="W5596" i="1"/>
  <c r="X5596" i="1"/>
  <c r="Y5596" i="1"/>
  <c r="Z5596" i="1"/>
  <c r="A5597" i="1"/>
  <c r="B5597" i="1"/>
  <c r="C5597" i="1"/>
  <c r="D5597" i="1"/>
  <c r="E5597" i="1"/>
  <c r="F5597" i="1"/>
  <c r="G5597" i="1"/>
  <c r="I5597" i="1"/>
  <c r="J5597" i="1"/>
  <c r="K5597" i="1"/>
  <c r="L5597" i="1"/>
  <c r="M5597" i="1"/>
  <c r="N5597" i="1"/>
  <c r="O5597" i="1"/>
  <c r="P5597" i="1"/>
  <c r="Q5597" i="1"/>
  <c r="R5597" i="1"/>
  <c r="S5597" i="1"/>
  <c r="T5597" i="1"/>
  <c r="U5597" i="1"/>
  <c r="V5597" i="1"/>
  <c r="W5597" i="1"/>
  <c r="X5597" i="1"/>
  <c r="Y5597" i="1"/>
  <c r="Z5597" i="1"/>
  <c r="A5598" i="1"/>
  <c r="B5598" i="1"/>
  <c r="C5598" i="1"/>
  <c r="D5598" i="1"/>
  <c r="E5598" i="1"/>
  <c r="F5598" i="1"/>
  <c r="G5598" i="1"/>
  <c r="I5598" i="1"/>
  <c r="J5598" i="1"/>
  <c r="K5598" i="1"/>
  <c r="L5598" i="1"/>
  <c r="M5598" i="1"/>
  <c r="N5598" i="1"/>
  <c r="O5598" i="1"/>
  <c r="P5598" i="1"/>
  <c r="Q5598" i="1"/>
  <c r="R5598" i="1"/>
  <c r="S5598" i="1"/>
  <c r="T5598" i="1"/>
  <c r="U5598" i="1"/>
  <c r="V5598" i="1"/>
  <c r="W5598" i="1"/>
  <c r="X5598" i="1"/>
  <c r="Y5598" i="1"/>
  <c r="Z5598" i="1"/>
  <c r="A5599" i="1"/>
  <c r="B5599" i="1"/>
  <c r="C5599" i="1"/>
  <c r="D5599" i="1"/>
  <c r="E5599" i="1"/>
  <c r="F5599" i="1"/>
  <c r="G5599" i="1"/>
  <c r="I5599" i="1"/>
  <c r="J5599" i="1"/>
  <c r="K5599" i="1"/>
  <c r="L5599" i="1"/>
  <c r="M5599" i="1"/>
  <c r="N5599" i="1"/>
  <c r="O5599" i="1"/>
  <c r="P5599" i="1"/>
  <c r="Q5599" i="1"/>
  <c r="R5599" i="1"/>
  <c r="S5599" i="1"/>
  <c r="T5599" i="1"/>
  <c r="U5599" i="1"/>
  <c r="V5599" i="1"/>
  <c r="W5599" i="1"/>
  <c r="X5599" i="1"/>
  <c r="Y5599" i="1"/>
  <c r="Z5599" i="1"/>
  <c r="A5600" i="1"/>
  <c r="B5600" i="1"/>
  <c r="C5600" i="1"/>
  <c r="D5600" i="1"/>
  <c r="E5600" i="1"/>
  <c r="F5600" i="1"/>
  <c r="G5600" i="1"/>
  <c r="I5600" i="1"/>
  <c r="J5600" i="1"/>
  <c r="K5600" i="1"/>
  <c r="L5600" i="1"/>
  <c r="M5600" i="1"/>
  <c r="N5600" i="1"/>
  <c r="O5600" i="1"/>
  <c r="P5600" i="1"/>
  <c r="Q5600" i="1"/>
  <c r="R5600" i="1"/>
  <c r="S5600" i="1"/>
  <c r="T5600" i="1"/>
  <c r="U5600" i="1"/>
  <c r="V5600" i="1"/>
  <c r="W5600" i="1"/>
  <c r="X5600" i="1"/>
  <c r="Y5600" i="1"/>
  <c r="Z5600" i="1"/>
  <c r="A5601" i="1"/>
  <c r="B5601" i="1"/>
  <c r="C5601" i="1"/>
  <c r="D5601" i="1"/>
  <c r="E5601" i="1"/>
  <c r="F5601" i="1"/>
  <c r="G5601" i="1"/>
  <c r="I5601" i="1"/>
  <c r="J5601" i="1"/>
  <c r="K5601" i="1"/>
  <c r="L5601" i="1"/>
  <c r="M5601" i="1"/>
  <c r="N5601" i="1"/>
  <c r="O5601" i="1"/>
  <c r="P5601" i="1"/>
  <c r="Q5601" i="1"/>
  <c r="R5601" i="1"/>
  <c r="S5601" i="1"/>
  <c r="T5601" i="1"/>
  <c r="U5601" i="1"/>
  <c r="V5601" i="1"/>
  <c r="W5601" i="1"/>
  <c r="X5601" i="1"/>
  <c r="Y5601" i="1"/>
  <c r="Z5601" i="1"/>
  <c r="A5602" i="1"/>
  <c r="B5602" i="1"/>
  <c r="C5602" i="1"/>
  <c r="D5602" i="1"/>
  <c r="E5602" i="1"/>
  <c r="F5602" i="1"/>
  <c r="G5602" i="1"/>
  <c r="I5602" i="1"/>
  <c r="J5602" i="1"/>
  <c r="K5602" i="1"/>
  <c r="L5602" i="1"/>
  <c r="M5602" i="1"/>
  <c r="N5602" i="1"/>
  <c r="O5602" i="1"/>
  <c r="P5602" i="1"/>
  <c r="Q5602" i="1"/>
  <c r="R5602" i="1"/>
  <c r="S5602" i="1"/>
  <c r="T5602" i="1"/>
  <c r="U5602" i="1"/>
  <c r="V5602" i="1"/>
  <c r="W5602" i="1"/>
  <c r="X5602" i="1"/>
  <c r="Y5602" i="1"/>
  <c r="Z5602" i="1"/>
  <c r="A5603" i="1"/>
  <c r="B5603" i="1"/>
  <c r="C5603" i="1"/>
  <c r="D5603" i="1"/>
  <c r="E5603" i="1"/>
  <c r="F5603" i="1"/>
  <c r="G5603" i="1"/>
  <c r="I5603" i="1"/>
  <c r="J5603" i="1"/>
  <c r="K5603" i="1"/>
  <c r="L5603" i="1"/>
  <c r="M5603" i="1"/>
  <c r="N5603" i="1"/>
  <c r="O5603" i="1"/>
  <c r="P5603" i="1"/>
  <c r="Q5603" i="1"/>
  <c r="R5603" i="1"/>
  <c r="S5603" i="1"/>
  <c r="T5603" i="1"/>
  <c r="U5603" i="1"/>
  <c r="V5603" i="1"/>
  <c r="W5603" i="1"/>
  <c r="X5603" i="1"/>
  <c r="Y5603" i="1"/>
  <c r="Z5603" i="1"/>
  <c r="A5604" i="1"/>
  <c r="B5604" i="1"/>
  <c r="C5604" i="1"/>
  <c r="D5604" i="1"/>
  <c r="E5604" i="1"/>
  <c r="F5604" i="1"/>
  <c r="G5604" i="1"/>
  <c r="I5604" i="1"/>
  <c r="J5604" i="1"/>
  <c r="K5604" i="1"/>
  <c r="L5604" i="1"/>
  <c r="M5604" i="1"/>
  <c r="N5604" i="1"/>
  <c r="O5604" i="1"/>
  <c r="P5604" i="1"/>
  <c r="Q5604" i="1"/>
  <c r="R5604" i="1"/>
  <c r="S5604" i="1"/>
  <c r="T5604" i="1"/>
  <c r="U5604" i="1"/>
  <c r="V5604" i="1"/>
  <c r="W5604" i="1"/>
  <c r="X5604" i="1"/>
  <c r="Y5604" i="1"/>
  <c r="Z5604" i="1"/>
  <c r="A5605" i="1"/>
  <c r="B5605" i="1"/>
  <c r="C5605" i="1"/>
  <c r="D5605" i="1"/>
  <c r="E5605" i="1"/>
  <c r="F5605" i="1"/>
  <c r="G5605" i="1"/>
  <c r="I5605" i="1"/>
  <c r="J5605" i="1"/>
  <c r="K5605" i="1"/>
  <c r="L5605" i="1"/>
  <c r="M5605" i="1"/>
  <c r="N5605" i="1"/>
  <c r="O5605" i="1"/>
  <c r="P5605" i="1"/>
  <c r="Q5605" i="1"/>
  <c r="R5605" i="1"/>
  <c r="S5605" i="1"/>
  <c r="T5605" i="1"/>
  <c r="U5605" i="1"/>
  <c r="V5605" i="1"/>
  <c r="W5605" i="1"/>
  <c r="X5605" i="1"/>
  <c r="Y5605" i="1"/>
  <c r="Z5605" i="1"/>
  <c r="A5606" i="1"/>
  <c r="B5606" i="1"/>
  <c r="C5606" i="1"/>
  <c r="D5606" i="1"/>
  <c r="E5606" i="1"/>
  <c r="F5606" i="1"/>
  <c r="G5606" i="1"/>
  <c r="I5606" i="1"/>
  <c r="J5606" i="1"/>
  <c r="K5606" i="1"/>
  <c r="L5606" i="1"/>
  <c r="M5606" i="1"/>
  <c r="N5606" i="1"/>
  <c r="O5606" i="1"/>
  <c r="P5606" i="1"/>
  <c r="Q5606" i="1"/>
  <c r="R5606" i="1"/>
  <c r="S5606" i="1"/>
  <c r="T5606" i="1"/>
  <c r="U5606" i="1"/>
  <c r="V5606" i="1"/>
  <c r="W5606" i="1"/>
  <c r="X5606" i="1"/>
  <c r="Y5606" i="1"/>
  <c r="Z5606" i="1"/>
  <c r="A5607" i="1"/>
  <c r="B5607" i="1"/>
  <c r="C5607" i="1"/>
  <c r="D5607" i="1"/>
  <c r="E5607" i="1"/>
  <c r="F5607" i="1"/>
  <c r="G5607" i="1"/>
  <c r="I5607" i="1"/>
  <c r="J5607" i="1"/>
  <c r="K5607" i="1"/>
  <c r="L5607" i="1"/>
  <c r="M5607" i="1"/>
  <c r="N5607" i="1"/>
  <c r="O5607" i="1"/>
  <c r="P5607" i="1"/>
  <c r="Q5607" i="1"/>
  <c r="R5607" i="1"/>
  <c r="S5607" i="1"/>
  <c r="T5607" i="1"/>
  <c r="U5607" i="1"/>
  <c r="V5607" i="1"/>
  <c r="W5607" i="1"/>
  <c r="X5607" i="1"/>
  <c r="Y5607" i="1"/>
  <c r="Z5607" i="1"/>
  <c r="A5608" i="1"/>
  <c r="B5608" i="1"/>
  <c r="C5608" i="1"/>
  <c r="D5608" i="1"/>
  <c r="E5608" i="1"/>
  <c r="F5608" i="1"/>
  <c r="G5608" i="1"/>
  <c r="I5608" i="1"/>
  <c r="J5608" i="1"/>
  <c r="K5608" i="1"/>
  <c r="L5608" i="1"/>
  <c r="M5608" i="1"/>
  <c r="N5608" i="1"/>
  <c r="O5608" i="1"/>
  <c r="P5608" i="1"/>
  <c r="Q5608" i="1"/>
  <c r="R5608" i="1"/>
  <c r="S5608" i="1"/>
  <c r="T5608" i="1"/>
  <c r="U5608" i="1"/>
  <c r="V5608" i="1"/>
  <c r="W5608" i="1"/>
  <c r="X5608" i="1"/>
  <c r="Y5608" i="1"/>
  <c r="Z5608" i="1"/>
  <c r="A5609" i="1"/>
  <c r="B5609" i="1"/>
  <c r="C5609" i="1"/>
  <c r="D5609" i="1"/>
  <c r="E5609" i="1"/>
  <c r="F5609" i="1"/>
  <c r="G5609" i="1"/>
  <c r="I5609" i="1"/>
  <c r="J5609" i="1"/>
  <c r="K5609" i="1"/>
  <c r="L5609" i="1"/>
  <c r="M5609" i="1"/>
  <c r="N5609" i="1"/>
  <c r="O5609" i="1"/>
  <c r="P5609" i="1"/>
  <c r="Q5609" i="1"/>
  <c r="R5609" i="1"/>
  <c r="S5609" i="1"/>
  <c r="T5609" i="1"/>
  <c r="U5609" i="1"/>
  <c r="V5609" i="1"/>
  <c r="W5609" i="1"/>
  <c r="X5609" i="1"/>
  <c r="Y5609" i="1"/>
  <c r="Z5609" i="1"/>
  <c r="A5610" i="1"/>
  <c r="B5610" i="1"/>
  <c r="C5610" i="1"/>
  <c r="D5610" i="1"/>
  <c r="E5610" i="1"/>
  <c r="F5610" i="1"/>
  <c r="G5610" i="1"/>
  <c r="I5610" i="1"/>
  <c r="J5610" i="1"/>
  <c r="K5610" i="1"/>
  <c r="L5610" i="1"/>
  <c r="M5610" i="1"/>
  <c r="N5610" i="1"/>
  <c r="O5610" i="1"/>
  <c r="P5610" i="1"/>
  <c r="Q5610" i="1"/>
  <c r="R5610" i="1"/>
  <c r="S5610" i="1"/>
  <c r="T5610" i="1"/>
  <c r="U5610" i="1"/>
  <c r="V5610" i="1"/>
  <c r="W5610" i="1"/>
  <c r="X5610" i="1"/>
  <c r="Y5610" i="1"/>
  <c r="Z5610" i="1"/>
  <c r="A5611" i="1"/>
  <c r="B5611" i="1"/>
  <c r="C5611" i="1"/>
  <c r="D5611" i="1"/>
  <c r="E5611" i="1"/>
  <c r="F5611" i="1"/>
  <c r="G5611" i="1"/>
  <c r="I5611" i="1"/>
  <c r="J5611" i="1"/>
  <c r="K5611" i="1"/>
  <c r="L5611" i="1"/>
  <c r="M5611" i="1"/>
  <c r="N5611" i="1"/>
  <c r="O5611" i="1"/>
  <c r="P5611" i="1"/>
  <c r="Q5611" i="1"/>
  <c r="R5611" i="1"/>
  <c r="S5611" i="1"/>
  <c r="T5611" i="1"/>
  <c r="U5611" i="1"/>
  <c r="V5611" i="1"/>
  <c r="W5611" i="1"/>
  <c r="X5611" i="1"/>
  <c r="Y5611" i="1"/>
  <c r="Z5611" i="1"/>
  <c r="A5612" i="1"/>
  <c r="B5612" i="1"/>
  <c r="C5612" i="1"/>
  <c r="D5612" i="1"/>
  <c r="E5612" i="1"/>
  <c r="F5612" i="1"/>
  <c r="G5612" i="1"/>
  <c r="I5612" i="1"/>
  <c r="J5612" i="1"/>
  <c r="K5612" i="1"/>
  <c r="L5612" i="1"/>
  <c r="M5612" i="1"/>
  <c r="N5612" i="1"/>
  <c r="O5612" i="1"/>
  <c r="P5612" i="1"/>
  <c r="Q5612" i="1"/>
  <c r="R5612" i="1"/>
  <c r="S5612" i="1"/>
  <c r="T5612" i="1"/>
  <c r="U5612" i="1"/>
  <c r="V5612" i="1"/>
  <c r="W5612" i="1"/>
  <c r="X5612" i="1"/>
  <c r="Y5612" i="1"/>
  <c r="Z5612" i="1"/>
  <c r="A5613" i="1"/>
  <c r="B5613" i="1"/>
  <c r="C5613" i="1"/>
  <c r="D5613" i="1"/>
  <c r="E5613" i="1"/>
  <c r="F5613" i="1"/>
  <c r="G5613" i="1"/>
  <c r="I5613" i="1"/>
  <c r="J5613" i="1"/>
  <c r="K5613" i="1"/>
  <c r="L5613" i="1"/>
  <c r="M5613" i="1"/>
  <c r="N5613" i="1"/>
  <c r="O5613" i="1"/>
  <c r="P5613" i="1"/>
  <c r="Q5613" i="1"/>
  <c r="R5613" i="1"/>
  <c r="S5613" i="1"/>
  <c r="T5613" i="1"/>
  <c r="U5613" i="1"/>
  <c r="V5613" i="1"/>
  <c r="W5613" i="1"/>
  <c r="X5613" i="1"/>
  <c r="Y5613" i="1"/>
  <c r="Z5613" i="1"/>
  <c r="A5614" i="1"/>
  <c r="B5614" i="1"/>
  <c r="C5614" i="1"/>
  <c r="D5614" i="1"/>
  <c r="E5614" i="1"/>
  <c r="F5614" i="1"/>
  <c r="G5614" i="1"/>
  <c r="I5614" i="1"/>
  <c r="J5614" i="1"/>
  <c r="K5614" i="1"/>
  <c r="L5614" i="1"/>
  <c r="M5614" i="1"/>
  <c r="N5614" i="1"/>
  <c r="O5614" i="1"/>
  <c r="P5614" i="1"/>
  <c r="Q5614" i="1"/>
  <c r="R5614" i="1"/>
  <c r="S5614" i="1"/>
  <c r="T5614" i="1"/>
  <c r="U5614" i="1"/>
  <c r="V5614" i="1"/>
  <c r="W5614" i="1"/>
  <c r="X5614" i="1"/>
  <c r="Y5614" i="1"/>
  <c r="Z5614" i="1"/>
  <c r="A5615" i="1"/>
  <c r="B5615" i="1"/>
  <c r="C5615" i="1"/>
  <c r="D5615" i="1"/>
  <c r="E5615" i="1"/>
  <c r="F5615" i="1"/>
  <c r="G5615" i="1"/>
  <c r="I5615" i="1"/>
  <c r="J5615" i="1"/>
  <c r="K5615" i="1"/>
  <c r="L5615" i="1"/>
  <c r="M5615" i="1"/>
  <c r="N5615" i="1"/>
  <c r="O5615" i="1"/>
  <c r="P5615" i="1"/>
  <c r="Q5615" i="1"/>
  <c r="R5615" i="1"/>
  <c r="S5615" i="1"/>
  <c r="T5615" i="1"/>
  <c r="U5615" i="1"/>
  <c r="V5615" i="1"/>
  <c r="W5615" i="1"/>
  <c r="X5615" i="1"/>
  <c r="Y5615" i="1"/>
  <c r="Z5615" i="1"/>
  <c r="A5616" i="1"/>
  <c r="B5616" i="1"/>
  <c r="C5616" i="1"/>
  <c r="D5616" i="1"/>
  <c r="E5616" i="1"/>
  <c r="F5616" i="1"/>
  <c r="G5616" i="1"/>
  <c r="I5616" i="1"/>
  <c r="J5616" i="1"/>
  <c r="K5616" i="1"/>
  <c r="L5616" i="1"/>
  <c r="M5616" i="1"/>
  <c r="N5616" i="1"/>
  <c r="O5616" i="1"/>
  <c r="P5616" i="1"/>
  <c r="Q5616" i="1"/>
  <c r="R5616" i="1"/>
  <c r="S5616" i="1"/>
  <c r="T5616" i="1"/>
  <c r="U5616" i="1"/>
  <c r="V5616" i="1"/>
  <c r="W5616" i="1"/>
  <c r="X5616" i="1"/>
  <c r="Y5616" i="1"/>
  <c r="Z5616" i="1"/>
  <c r="A5617" i="1"/>
  <c r="B5617" i="1"/>
  <c r="C5617" i="1"/>
  <c r="D5617" i="1"/>
  <c r="E5617" i="1"/>
  <c r="F5617" i="1"/>
  <c r="G5617" i="1"/>
  <c r="I5617" i="1"/>
  <c r="J5617" i="1"/>
  <c r="K5617" i="1"/>
  <c r="L5617" i="1"/>
  <c r="M5617" i="1"/>
  <c r="N5617" i="1"/>
  <c r="O5617" i="1"/>
  <c r="P5617" i="1"/>
  <c r="Q5617" i="1"/>
  <c r="R5617" i="1"/>
  <c r="S5617" i="1"/>
  <c r="T5617" i="1"/>
  <c r="U5617" i="1"/>
  <c r="V5617" i="1"/>
  <c r="W5617" i="1"/>
  <c r="X5617" i="1"/>
  <c r="Y5617" i="1"/>
  <c r="Z5617" i="1"/>
  <c r="A5618" i="1"/>
  <c r="B5618" i="1"/>
  <c r="C5618" i="1"/>
  <c r="D5618" i="1"/>
  <c r="E5618" i="1"/>
  <c r="F5618" i="1"/>
  <c r="G5618" i="1"/>
  <c r="I5618" i="1"/>
  <c r="J5618" i="1"/>
  <c r="K5618" i="1"/>
  <c r="L5618" i="1"/>
  <c r="M5618" i="1"/>
  <c r="N5618" i="1"/>
  <c r="O5618" i="1"/>
  <c r="P5618" i="1"/>
  <c r="Q5618" i="1"/>
  <c r="R5618" i="1"/>
  <c r="S5618" i="1"/>
  <c r="T5618" i="1"/>
  <c r="U5618" i="1"/>
  <c r="V5618" i="1"/>
  <c r="W5618" i="1"/>
  <c r="X5618" i="1"/>
  <c r="Y5618" i="1"/>
  <c r="Z5618" i="1"/>
  <c r="A5619" i="1"/>
  <c r="B5619" i="1"/>
  <c r="C5619" i="1"/>
  <c r="D5619" i="1"/>
  <c r="E5619" i="1"/>
  <c r="F5619" i="1"/>
  <c r="G5619" i="1"/>
  <c r="I5619" i="1"/>
  <c r="J5619" i="1"/>
  <c r="K5619" i="1"/>
  <c r="L5619" i="1"/>
  <c r="M5619" i="1"/>
  <c r="N5619" i="1"/>
  <c r="O5619" i="1"/>
  <c r="P5619" i="1"/>
  <c r="Q5619" i="1"/>
  <c r="R5619" i="1"/>
  <c r="S5619" i="1"/>
  <c r="T5619" i="1"/>
  <c r="U5619" i="1"/>
  <c r="V5619" i="1"/>
  <c r="W5619" i="1"/>
  <c r="X5619" i="1"/>
  <c r="Y5619" i="1"/>
  <c r="Z5619" i="1"/>
  <c r="A5620" i="1"/>
  <c r="B5620" i="1"/>
  <c r="C5620" i="1"/>
  <c r="D5620" i="1"/>
  <c r="E5620" i="1"/>
  <c r="F5620" i="1"/>
  <c r="G5620" i="1"/>
  <c r="I5620" i="1"/>
  <c r="J5620" i="1"/>
  <c r="K5620" i="1"/>
  <c r="L5620" i="1"/>
  <c r="M5620" i="1"/>
  <c r="N5620" i="1"/>
  <c r="O5620" i="1"/>
  <c r="P5620" i="1"/>
  <c r="Q5620" i="1"/>
  <c r="R5620" i="1"/>
  <c r="S5620" i="1"/>
  <c r="T5620" i="1"/>
  <c r="U5620" i="1"/>
  <c r="V5620" i="1"/>
  <c r="W5620" i="1"/>
  <c r="X5620" i="1"/>
  <c r="Y5620" i="1"/>
  <c r="Z5620" i="1"/>
  <c r="A5621" i="1"/>
  <c r="B5621" i="1"/>
  <c r="C5621" i="1"/>
  <c r="D5621" i="1"/>
  <c r="E5621" i="1"/>
  <c r="F5621" i="1"/>
  <c r="G5621" i="1"/>
  <c r="I5621" i="1"/>
  <c r="J5621" i="1"/>
  <c r="K5621" i="1"/>
  <c r="L5621" i="1"/>
  <c r="M5621" i="1"/>
  <c r="N5621" i="1"/>
  <c r="O5621" i="1"/>
  <c r="P5621" i="1"/>
  <c r="Q5621" i="1"/>
  <c r="R5621" i="1"/>
  <c r="S5621" i="1"/>
  <c r="T5621" i="1"/>
  <c r="U5621" i="1"/>
  <c r="V5621" i="1"/>
  <c r="W5621" i="1"/>
  <c r="X5621" i="1"/>
  <c r="Y5621" i="1"/>
  <c r="Z5621" i="1"/>
  <c r="A5622" i="1"/>
  <c r="B5622" i="1"/>
  <c r="C5622" i="1"/>
  <c r="D5622" i="1"/>
  <c r="E5622" i="1"/>
  <c r="F5622" i="1"/>
  <c r="G5622" i="1"/>
  <c r="I5622" i="1"/>
  <c r="J5622" i="1"/>
  <c r="K5622" i="1"/>
  <c r="L5622" i="1"/>
  <c r="M5622" i="1"/>
  <c r="N5622" i="1"/>
  <c r="O5622" i="1"/>
  <c r="P5622" i="1"/>
  <c r="Q5622" i="1"/>
  <c r="R5622" i="1"/>
  <c r="S5622" i="1"/>
  <c r="T5622" i="1"/>
  <c r="U5622" i="1"/>
  <c r="V5622" i="1"/>
  <c r="W5622" i="1"/>
  <c r="X5622" i="1"/>
  <c r="Y5622" i="1"/>
  <c r="Z5622" i="1"/>
  <c r="A5623" i="1"/>
  <c r="B5623" i="1"/>
  <c r="C5623" i="1"/>
  <c r="D5623" i="1"/>
  <c r="E5623" i="1"/>
  <c r="F5623" i="1"/>
  <c r="G5623" i="1"/>
  <c r="I5623" i="1"/>
  <c r="J5623" i="1"/>
  <c r="K5623" i="1"/>
  <c r="L5623" i="1"/>
  <c r="M5623" i="1"/>
  <c r="N5623" i="1"/>
  <c r="O5623" i="1"/>
  <c r="P5623" i="1"/>
  <c r="Q5623" i="1"/>
  <c r="R5623" i="1"/>
  <c r="S5623" i="1"/>
  <c r="T5623" i="1"/>
  <c r="U5623" i="1"/>
  <c r="V5623" i="1"/>
  <c r="W5623" i="1"/>
  <c r="X5623" i="1"/>
  <c r="Y5623" i="1"/>
  <c r="Z5623" i="1"/>
  <c r="A5624" i="1"/>
  <c r="B5624" i="1"/>
  <c r="C5624" i="1"/>
  <c r="D5624" i="1"/>
  <c r="E5624" i="1"/>
  <c r="F5624" i="1"/>
  <c r="G5624" i="1"/>
  <c r="I5624" i="1"/>
  <c r="J5624" i="1"/>
  <c r="K5624" i="1"/>
  <c r="L5624" i="1"/>
  <c r="M5624" i="1"/>
  <c r="N5624" i="1"/>
  <c r="O5624" i="1"/>
  <c r="P5624" i="1"/>
  <c r="Q5624" i="1"/>
  <c r="R5624" i="1"/>
  <c r="S5624" i="1"/>
  <c r="T5624" i="1"/>
  <c r="U5624" i="1"/>
  <c r="V5624" i="1"/>
  <c r="W5624" i="1"/>
  <c r="X5624" i="1"/>
  <c r="Y5624" i="1"/>
  <c r="Z5624" i="1"/>
  <c r="A5625" i="1"/>
  <c r="B5625" i="1"/>
  <c r="C5625" i="1"/>
  <c r="D5625" i="1"/>
  <c r="E5625" i="1"/>
  <c r="F5625" i="1"/>
  <c r="G5625" i="1"/>
  <c r="I5625" i="1"/>
  <c r="J5625" i="1"/>
  <c r="K5625" i="1"/>
  <c r="L5625" i="1"/>
  <c r="M5625" i="1"/>
  <c r="N5625" i="1"/>
  <c r="O5625" i="1"/>
  <c r="P5625" i="1"/>
  <c r="Q5625" i="1"/>
  <c r="R5625" i="1"/>
  <c r="S5625" i="1"/>
  <c r="T5625" i="1"/>
  <c r="U5625" i="1"/>
  <c r="V5625" i="1"/>
  <c r="W5625" i="1"/>
  <c r="X5625" i="1"/>
  <c r="Y5625" i="1"/>
  <c r="Z5625" i="1"/>
  <c r="A5626" i="1"/>
  <c r="B5626" i="1"/>
  <c r="C5626" i="1"/>
  <c r="D5626" i="1"/>
  <c r="E5626" i="1"/>
  <c r="F5626" i="1"/>
  <c r="G5626" i="1"/>
  <c r="I5626" i="1"/>
  <c r="J5626" i="1"/>
  <c r="K5626" i="1"/>
  <c r="L5626" i="1"/>
  <c r="M5626" i="1"/>
  <c r="N5626" i="1"/>
  <c r="O5626" i="1"/>
  <c r="P5626" i="1"/>
  <c r="Q5626" i="1"/>
  <c r="R5626" i="1"/>
  <c r="S5626" i="1"/>
  <c r="T5626" i="1"/>
  <c r="U5626" i="1"/>
  <c r="V5626" i="1"/>
  <c r="W5626" i="1"/>
  <c r="X5626" i="1"/>
  <c r="Y5626" i="1"/>
  <c r="Z5626" i="1"/>
  <c r="A5627" i="1"/>
  <c r="B5627" i="1"/>
  <c r="C5627" i="1"/>
  <c r="D5627" i="1"/>
  <c r="E5627" i="1"/>
  <c r="F5627" i="1"/>
  <c r="G5627" i="1"/>
  <c r="I5627" i="1"/>
  <c r="J5627" i="1"/>
  <c r="K5627" i="1"/>
  <c r="L5627" i="1"/>
  <c r="M5627" i="1"/>
  <c r="N5627" i="1"/>
  <c r="O5627" i="1"/>
  <c r="P5627" i="1"/>
  <c r="Q5627" i="1"/>
  <c r="R5627" i="1"/>
  <c r="S5627" i="1"/>
  <c r="T5627" i="1"/>
  <c r="U5627" i="1"/>
  <c r="V5627" i="1"/>
  <c r="W5627" i="1"/>
  <c r="X5627" i="1"/>
  <c r="Y5627" i="1"/>
  <c r="Z5627" i="1"/>
  <c r="A5628" i="1"/>
  <c r="B5628" i="1"/>
  <c r="C5628" i="1"/>
  <c r="D5628" i="1"/>
  <c r="E5628" i="1"/>
  <c r="F5628" i="1"/>
  <c r="G5628" i="1"/>
  <c r="I5628" i="1"/>
  <c r="J5628" i="1"/>
  <c r="K5628" i="1"/>
  <c r="L5628" i="1"/>
  <c r="M5628" i="1"/>
  <c r="N5628" i="1"/>
  <c r="O5628" i="1"/>
  <c r="P5628" i="1"/>
  <c r="Q5628" i="1"/>
  <c r="R5628" i="1"/>
  <c r="S5628" i="1"/>
  <c r="T5628" i="1"/>
  <c r="U5628" i="1"/>
  <c r="V5628" i="1"/>
  <c r="W5628" i="1"/>
  <c r="X5628" i="1"/>
  <c r="Y5628" i="1"/>
  <c r="Z5628" i="1"/>
  <c r="A5629" i="1"/>
  <c r="B5629" i="1"/>
  <c r="C5629" i="1"/>
  <c r="D5629" i="1"/>
  <c r="E5629" i="1"/>
  <c r="F5629" i="1"/>
  <c r="G5629" i="1"/>
  <c r="I5629" i="1"/>
  <c r="J5629" i="1"/>
  <c r="K5629" i="1"/>
  <c r="L5629" i="1"/>
  <c r="M5629" i="1"/>
  <c r="N5629" i="1"/>
  <c r="O5629" i="1"/>
  <c r="P5629" i="1"/>
  <c r="Q5629" i="1"/>
  <c r="R5629" i="1"/>
  <c r="S5629" i="1"/>
  <c r="T5629" i="1"/>
  <c r="U5629" i="1"/>
  <c r="V5629" i="1"/>
  <c r="W5629" i="1"/>
  <c r="X5629" i="1"/>
  <c r="Y5629" i="1"/>
  <c r="Z5629" i="1"/>
  <c r="A5630" i="1"/>
  <c r="B5630" i="1"/>
  <c r="C5630" i="1"/>
  <c r="D5630" i="1"/>
  <c r="E5630" i="1"/>
  <c r="F5630" i="1"/>
  <c r="G5630" i="1"/>
  <c r="I5630" i="1"/>
  <c r="J5630" i="1"/>
  <c r="K5630" i="1"/>
  <c r="L5630" i="1"/>
  <c r="M5630" i="1"/>
  <c r="N5630" i="1"/>
  <c r="O5630" i="1"/>
  <c r="P5630" i="1"/>
  <c r="Q5630" i="1"/>
  <c r="R5630" i="1"/>
  <c r="S5630" i="1"/>
  <c r="T5630" i="1"/>
  <c r="U5630" i="1"/>
  <c r="V5630" i="1"/>
  <c r="W5630" i="1"/>
  <c r="X5630" i="1"/>
  <c r="Y5630" i="1"/>
  <c r="Z5630" i="1"/>
  <c r="A5631" i="1"/>
  <c r="B5631" i="1"/>
  <c r="C5631" i="1"/>
  <c r="D5631" i="1"/>
  <c r="E5631" i="1"/>
  <c r="F5631" i="1"/>
  <c r="G5631" i="1"/>
  <c r="I5631" i="1"/>
  <c r="J5631" i="1"/>
  <c r="K5631" i="1"/>
  <c r="L5631" i="1"/>
  <c r="M5631" i="1"/>
  <c r="N5631" i="1"/>
  <c r="O5631" i="1"/>
  <c r="P5631" i="1"/>
  <c r="Q5631" i="1"/>
  <c r="R5631" i="1"/>
  <c r="S5631" i="1"/>
  <c r="T5631" i="1"/>
  <c r="U5631" i="1"/>
  <c r="V5631" i="1"/>
  <c r="W5631" i="1"/>
  <c r="X5631" i="1"/>
  <c r="Y5631" i="1"/>
  <c r="Z5631" i="1"/>
  <c r="A5632" i="1"/>
  <c r="B5632" i="1"/>
  <c r="C5632" i="1"/>
  <c r="D5632" i="1"/>
  <c r="E5632" i="1"/>
  <c r="F5632" i="1"/>
  <c r="G5632" i="1"/>
  <c r="I5632" i="1"/>
  <c r="J5632" i="1"/>
  <c r="K5632" i="1"/>
  <c r="L5632" i="1"/>
  <c r="M5632" i="1"/>
  <c r="N5632" i="1"/>
  <c r="O5632" i="1"/>
  <c r="P5632" i="1"/>
  <c r="Q5632" i="1"/>
  <c r="R5632" i="1"/>
  <c r="S5632" i="1"/>
  <c r="T5632" i="1"/>
  <c r="U5632" i="1"/>
  <c r="V5632" i="1"/>
  <c r="W5632" i="1"/>
  <c r="X5632" i="1"/>
  <c r="Y5632" i="1"/>
  <c r="Z5632" i="1"/>
  <c r="A5633" i="1"/>
  <c r="B5633" i="1"/>
  <c r="C5633" i="1"/>
  <c r="D5633" i="1"/>
  <c r="E5633" i="1"/>
  <c r="F5633" i="1"/>
  <c r="G5633" i="1"/>
  <c r="I5633" i="1"/>
  <c r="J5633" i="1"/>
  <c r="K5633" i="1"/>
  <c r="L5633" i="1"/>
  <c r="M5633" i="1"/>
  <c r="N5633" i="1"/>
  <c r="O5633" i="1"/>
  <c r="P5633" i="1"/>
  <c r="Q5633" i="1"/>
  <c r="R5633" i="1"/>
  <c r="S5633" i="1"/>
  <c r="T5633" i="1"/>
  <c r="U5633" i="1"/>
  <c r="V5633" i="1"/>
  <c r="W5633" i="1"/>
  <c r="X5633" i="1"/>
  <c r="Y5633" i="1"/>
  <c r="Z5633" i="1"/>
  <c r="A5634" i="1"/>
  <c r="B5634" i="1"/>
  <c r="C5634" i="1"/>
  <c r="D5634" i="1"/>
  <c r="E5634" i="1"/>
  <c r="F5634" i="1"/>
  <c r="G5634" i="1"/>
  <c r="I5634" i="1"/>
  <c r="J5634" i="1"/>
  <c r="K5634" i="1"/>
  <c r="L5634" i="1"/>
  <c r="M5634" i="1"/>
  <c r="N5634" i="1"/>
  <c r="O5634" i="1"/>
  <c r="P5634" i="1"/>
  <c r="Q5634" i="1"/>
  <c r="R5634" i="1"/>
  <c r="S5634" i="1"/>
  <c r="T5634" i="1"/>
  <c r="U5634" i="1"/>
  <c r="V5634" i="1"/>
  <c r="W5634" i="1"/>
  <c r="X5634" i="1"/>
  <c r="Y5634" i="1"/>
  <c r="Z5634" i="1"/>
  <c r="A5635" i="1"/>
  <c r="B5635" i="1"/>
  <c r="C5635" i="1"/>
  <c r="D5635" i="1"/>
  <c r="E5635" i="1"/>
  <c r="F5635" i="1"/>
  <c r="G5635" i="1"/>
  <c r="I5635" i="1"/>
  <c r="J5635" i="1"/>
  <c r="K5635" i="1"/>
  <c r="L5635" i="1"/>
  <c r="M5635" i="1"/>
  <c r="N5635" i="1"/>
  <c r="O5635" i="1"/>
  <c r="P5635" i="1"/>
  <c r="Q5635" i="1"/>
  <c r="R5635" i="1"/>
  <c r="S5635" i="1"/>
  <c r="T5635" i="1"/>
  <c r="U5635" i="1"/>
  <c r="V5635" i="1"/>
  <c r="W5635" i="1"/>
  <c r="X5635" i="1"/>
  <c r="Y5635" i="1"/>
  <c r="Z5635" i="1"/>
  <c r="A5636" i="1"/>
  <c r="B5636" i="1"/>
  <c r="C5636" i="1"/>
  <c r="D5636" i="1"/>
  <c r="E5636" i="1"/>
  <c r="F5636" i="1"/>
  <c r="G5636" i="1"/>
  <c r="I5636" i="1"/>
  <c r="J5636" i="1"/>
  <c r="K5636" i="1"/>
  <c r="L5636" i="1"/>
  <c r="M5636" i="1"/>
  <c r="N5636" i="1"/>
  <c r="O5636" i="1"/>
  <c r="P5636" i="1"/>
  <c r="Q5636" i="1"/>
  <c r="R5636" i="1"/>
  <c r="S5636" i="1"/>
  <c r="T5636" i="1"/>
  <c r="U5636" i="1"/>
  <c r="V5636" i="1"/>
  <c r="W5636" i="1"/>
  <c r="X5636" i="1"/>
  <c r="Y5636" i="1"/>
  <c r="Z5636" i="1"/>
  <c r="A5637" i="1"/>
  <c r="B5637" i="1"/>
  <c r="C5637" i="1"/>
  <c r="D5637" i="1"/>
  <c r="E5637" i="1"/>
  <c r="F5637" i="1"/>
  <c r="G5637" i="1"/>
  <c r="I5637" i="1"/>
  <c r="J5637" i="1"/>
  <c r="K5637" i="1"/>
  <c r="L5637" i="1"/>
  <c r="M5637" i="1"/>
  <c r="N5637" i="1"/>
  <c r="O5637" i="1"/>
  <c r="P5637" i="1"/>
  <c r="Q5637" i="1"/>
  <c r="R5637" i="1"/>
  <c r="S5637" i="1"/>
  <c r="T5637" i="1"/>
  <c r="U5637" i="1"/>
  <c r="V5637" i="1"/>
  <c r="W5637" i="1"/>
  <c r="X5637" i="1"/>
  <c r="Y5637" i="1"/>
  <c r="Z5637" i="1"/>
  <c r="A5638" i="1"/>
  <c r="B5638" i="1"/>
  <c r="C5638" i="1"/>
  <c r="D5638" i="1"/>
  <c r="E5638" i="1"/>
  <c r="F5638" i="1"/>
  <c r="G5638" i="1"/>
  <c r="I5638" i="1"/>
  <c r="J5638" i="1"/>
  <c r="K5638" i="1"/>
  <c r="L5638" i="1"/>
  <c r="M5638" i="1"/>
  <c r="N5638" i="1"/>
  <c r="O5638" i="1"/>
  <c r="P5638" i="1"/>
  <c r="Q5638" i="1"/>
  <c r="R5638" i="1"/>
  <c r="S5638" i="1"/>
  <c r="T5638" i="1"/>
  <c r="U5638" i="1"/>
  <c r="V5638" i="1"/>
  <c r="W5638" i="1"/>
  <c r="X5638" i="1"/>
  <c r="Y5638" i="1"/>
  <c r="Z5638" i="1"/>
  <c r="A5639" i="1"/>
  <c r="B5639" i="1"/>
  <c r="C5639" i="1"/>
  <c r="D5639" i="1"/>
  <c r="E5639" i="1"/>
  <c r="F5639" i="1"/>
  <c r="G5639" i="1"/>
  <c r="I5639" i="1"/>
  <c r="J5639" i="1"/>
  <c r="K5639" i="1"/>
  <c r="L5639" i="1"/>
  <c r="M5639" i="1"/>
  <c r="N5639" i="1"/>
  <c r="O5639" i="1"/>
  <c r="P5639" i="1"/>
  <c r="Q5639" i="1"/>
  <c r="R5639" i="1"/>
  <c r="S5639" i="1"/>
  <c r="T5639" i="1"/>
  <c r="U5639" i="1"/>
  <c r="V5639" i="1"/>
  <c r="W5639" i="1"/>
  <c r="X5639" i="1"/>
  <c r="Y5639" i="1"/>
  <c r="Z5639" i="1"/>
  <c r="A5640" i="1"/>
  <c r="B5640" i="1"/>
  <c r="C5640" i="1"/>
  <c r="D5640" i="1"/>
  <c r="E5640" i="1"/>
  <c r="F5640" i="1"/>
  <c r="G5640" i="1"/>
  <c r="I5640" i="1"/>
  <c r="J5640" i="1"/>
  <c r="K5640" i="1"/>
  <c r="L5640" i="1"/>
  <c r="M5640" i="1"/>
  <c r="N5640" i="1"/>
  <c r="O5640" i="1"/>
  <c r="P5640" i="1"/>
  <c r="Q5640" i="1"/>
  <c r="R5640" i="1"/>
  <c r="S5640" i="1"/>
  <c r="T5640" i="1"/>
  <c r="U5640" i="1"/>
  <c r="V5640" i="1"/>
  <c r="W5640" i="1"/>
  <c r="X5640" i="1"/>
  <c r="Y5640" i="1"/>
  <c r="Z5640" i="1"/>
  <c r="A5641" i="1"/>
  <c r="B5641" i="1"/>
  <c r="C5641" i="1"/>
  <c r="D5641" i="1"/>
  <c r="E5641" i="1"/>
  <c r="F5641" i="1"/>
  <c r="G5641" i="1"/>
  <c r="I5641" i="1"/>
  <c r="J5641" i="1"/>
  <c r="K5641" i="1"/>
  <c r="L5641" i="1"/>
  <c r="M5641" i="1"/>
  <c r="N5641" i="1"/>
  <c r="O5641" i="1"/>
  <c r="P5641" i="1"/>
  <c r="Q5641" i="1"/>
  <c r="R5641" i="1"/>
  <c r="S5641" i="1"/>
  <c r="T5641" i="1"/>
  <c r="U5641" i="1"/>
  <c r="V5641" i="1"/>
  <c r="W5641" i="1"/>
  <c r="X5641" i="1"/>
  <c r="Y5641" i="1"/>
  <c r="Z5641" i="1"/>
  <c r="A5642" i="1"/>
  <c r="B5642" i="1"/>
  <c r="C5642" i="1"/>
  <c r="D5642" i="1"/>
  <c r="E5642" i="1"/>
  <c r="F5642" i="1"/>
  <c r="G5642" i="1"/>
  <c r="I5642" i="1"/>
  <c r="J5642" i="1"/>
  <c r="K5642" i="1"/>
  <c r="L5642" i="1"/>
  <c r="M5642" i="1"/>
  <c r="N5642" i="1"/>
  <c r="O5642" i="1"/>
  <c r="P5642" i="1"/>
  <c r="Q5642" i="1"/>
  <c r="R5642" i="1"/>
  <c r="S5642" i="1"/>
  <c r="T5642" i="1"/>
  <c r="U5642" i="1"/>
  <c r="V5642" i="1"/>
  <c r="W5642" i="1"/>
  <c r="X5642" i="1"/>
  <c r="Y5642" i="1"/>
  <c r="Z5642" i="1"/>
  <c r="A5643" i="1"/>
  <c r="B5643" i="1"/>
  <c r="C5643" i="1"/>
  <c r="D5643" i="1"/>
  <c r="E5643" i="1"/>
  <c r="F5643" i="1"/>
  <c r="G5643" i="1"/>
  <c r="I5643" i="1"/>
  <c r="J5643" i="1"/>
  <c r="K5643" i="1"/>
  <c r="L5643" i="1"/>
  <c r="M5643" i="1"/>
  <c r="N5643" i="1"/>
  <c r="O5643" i="1"/>
  <c r="P5643" i="1"/>
  <c r="Q5643" i="1"/>
  <c r="R5643" i="1"/>
  <c r="S5643" i="1"/>
  <c r="T5643" i="1"/>
  <c r="U5643" i="1"/>
  <c r="V5643" i="1"/>
  <c r="W5643" i="1"/>
  <c r="X5643" i="1"/>
  <c r="Y5643" i="1"/>
  <c r="Z5643" i="1"/>
  <c r="A5644" i="1"/>
  <c r="B5644" i="1"/>
  <c r="C5644" i="1"/>
  <c r="D5644" i="1"/>
  <c r="E5644" i="1"/>
  <c r="F5644" i="1"/>
  <c r="G5644" i="1"/>
  <c r="I5644" i="1"/>
  <c r="J5644" i="1"/>
  <c r="K5644" i="1"/>
  <c r="L5644" i="1"/>
  <c r="M5644" i="1"/>
  <c r="N5644" i="1"/>
  <c r="O5644" i="1"/>
  <c r="P5644" i="1"/>
  <c r="Q5644" i="1"/>
  <c r="R5644" i="1"/>
  <c r="S5644" i="1"/>
  <c r="T5644" i="1"/>
  <c r="U5644" i="1"/>
  <c r="V5644" i="1"/>
  <c r="W5644" i="1"/>
  <c r="X5644" i="1"/>
  <c r="Y5644" i="1"/>
  <c r="Z5644" i="1"/>
  <c r="A5645" i="1"/>
  <c r="B5645" i="1"/>
  <c r="C5645" i="1"/>
  <c r="D5645" i="1"/>
  <c r="E5645" i="1"/>
  <c r="F5645" i="1"/>
  <c r="G5645" i="1"/>
  <c r="I5645" i="1"/>
  <c r="J5645" i="1"/>
  <c r="K5645" i="1"/>
  <c r="L5645" i="1"/>
  <c r="M5645" i="1"/>
  <c r="N5645" i="1"/>
  <c r="O5645" i="1"/>
  <c r="P5645" i="1"/>
  <c r="Q5645" i="1"/>
  <c r="R5645" i="1"/>
  <c r="S5645" i="1"/>
  <c r="T5645" i="1"/>
  <c r="U5645" i="1"/>
  <c r="V5645" i="1"/>
  <c r="W5645" i="1"/>
  <c r="X5645" i="1"/>
  <c r="Y5645" i="1"/>
  <c r="Z5645" i="1"/>
  <c r="A5646" i="1"/>
  <c r="B5646" i="1"/>
  <c r="C5646" i="1"/>
  <c r="D5646" i="1"/>
  <c r="E5646" i="1"/>
  <c r="F5646" i="1"/>
  <c r="G5646" i="1"/>
  <c r="I5646" i="1"/>
  <c r="J5646" i="1"/>
  <c r="K5646" i="1"/>
  <c r="L5646" i="1"/>
  <c r="M5646" i="1"/>
  <c r="N5646" i="1"/>
  <c r="O5646" i="1"/>
  <c r="P5646" i="1"/>
  <c r="Q5646" i="1"/>
  <c r="R5646" i="1"/>
  <c r="S5646" i="1"/>
  <c r="T5646" i="1"/>
  <c r="U5646" i="1"/>
  <c r="V5646" i="1"/>
  <c r="W5646" i="1"/>
  <c r="X5646" i="1"/>
  <c r="Y5646" i="1"/>
  <c r="Z5646" i="1"/>
  <c r="A5647" i="1"/>
  <c r="B5647" i="1"/>
  <c r="C5647" i="1"/>
  <c r="D5647" i="1"/>
  <c r="E5647" i="1"/>
  <c r="F5647" i="1"/>
  <c r="G5647" i="1"/>
  <c r="I5647" i="1"/>
  <c r="J5647" i="1"/>
  <c r="K5647" i="1"/>
  <c r="L5647" i="1"/>
  <c r="M5647" i="1"/>
  <c r="N5647" i="1"/>
  <c r="O5647" i="1"/>
  <c r="P5647" i="1"/>
  <c r="Q5647" i="1"/>
  <c r="R5647" i="1"/>
  <c r="S5647" i="1"/>
  <c r="T5647" i="1"/>
  <c r="U5647" i="1"/>
  <c r="V5647" i="1"/>
  <c r="W5647" i="1"/>
  <c r="X5647" i="1"/>
  <c r="Y5647" i="1"/>
  <c r="Z5647" i="1"/>
  <c r="A5648" i="1"/>
  <c r="B5648" i="1"/>
  <c r="C5648" i="1"/>
  <c r="D5648" i="1"/>
  <c r="E5648" i="1"/>
  <c r="F5648" i="1"/>
  <c r="G5648" i="1"/>
  <c r="I5648" i="1"/>
  <c r="J5648" i="1"/>
  <c r="K5648" i="1"/>
  <c r="L5648" i="1"/>
  <c r="M5648" i="1"/>
  <c r="N5648" i="1"/>
  <c r="O5648" i="1"/>
  <c r="P5648" i="1"/>
  <c r="Q5648" i="1"/>
  <c r="R5648" i="1"/>
  <c r="S5648" i="1"/>
  <c r="T5648" i="1"/>
  <c r="U5648" i="1"/>
  <c r="V5648" i="1"/>
  <c r="W5648" i="1"/>
  <c r="X5648" i="1"/>
  <c r="Y5648" i="1"/>
  <c r="Z5648" i="1"/>
  <c r="A5649" i="1"/>
  <c r="B5649" i="1"/>
  <c r="C5649" i="1"/>
  <c r="D5649" i="1"/>
  <c r="E5649" i="1"/>
  <c r="F5649" i="1"/>
  <c r="G5649" i="1"/>
  <c r="I5649" i="1"/>
  <c r="J5649" i="1"/>
  <c r="K5649" i="1"/>
  <c r="L5649" i="1"/>
  <c r="M5649" i="1"/>
  <c r="N5649" i="1"/>
  <c r="O5649" i="1"/>
  <c r="P5649" i="1"/>
  <c r="Q5649" i="1"/>
  <c r="R5649" i="1"/>
  <c r="S5649" i="1"/>
  <c r="T5649" i="1"/>
  <c r="U5649" i="1"/>
  <c r="V5649" i="1"/>
  <c r="W5649" i="1"/>
  <c r="X5649" i="1"/>
  <c r="Y5649" i="1"/>
  <c r="Z5649" i="1"/>
  <c r="A5650" i="1"/>
  <c r="B5650" i="1"/>
  <c r="C5650" i="1"/>
  <c r="D5650" i="1"/>
  <c r="E5650" i="1"/>
  <c r="F5650" i="1"/>
  <c r="G5650" i="1"/>
  <c r="I5650" i="1"/>
  <c r="J5650" i="1"/>
  <c r="K5650" i="1"/>
  <c r="L5650" i="1"/>
  <c r="M5650" i="1"/>
  <c r="N5650" i="1"/>
  <c r="O5650" i="1"/>
  <c r="P5650" i="1"/>
  <c r="Q5650" i="1"/>
  <c r="R5650" i="1"/>
  <c r="S5650" i="1"/>
  <c r="T5650" i="1"/>
  <c r="U5650" i="1"/>
  <c r="V5650" i="1"/>
  <c r="W5650" i="1"/>
  <c r="X5650" i="1"/>
  <c r="Y5650" i="1"/>
  <c r="Z5650" i="1"/>
  <c r="A5651" i="1"/>
  <c r="B5651" i="1"/>
  <c r="C5651" i="1"/>
  <c r="D5651" i="1"/>
  <c r="E5651" i="1"/>
  <c r="F5651" i="1"/>
  <c r="G5651" i="1"/>
  <c r="I5651" i="1"/>
  <c r="J5651" i="1"/>
  <c r="K5651" i="1"/>
  <c r="L5651" i="1"/>
  <c r="M5651" i="1"/>
  <c r="N5651" i="1"/>
  <c r="O5651" i="1"/>
  <c r="P5651" i="1"/>
  <c r="Q5651" i="1"/>
  <c r="R5651" i="1"/>
  <c r="S5651" i="1"/>
  <c r="T5651" i="1"/>
  <c r="U5651" i="1"/>
  <c r="V5651" i="1"/>
  <c r="W5651" i="1"/>
  <c r="X5651" i="1"/>
  <c r="Y5651" i="1"/>
  <c r="Z5651" i="1"/>
  <c r="A5652" i="1"/>
  <c r="B5652" i="1"/>
  <c r="C5652" i="1"/>
  <c r="D5652" i="1"/>
  <c r="E5652" i="1"/>
  <c r="F5652" i="1"/>
  <c r="G5652" i="1"/>
  <c r="I5652" i="1"/>
  <c r="J5652" i="1"/>
  <c r="K5652" i="1"/>
  <c r="L5652" i="1"/>
  <c r="M5652" i="1"/>
  <c r="N5652" i="1"/>
  <c r="O5652" i="1"/>
  <c r="P5652" i="1"/>
  <c r="Q5652" i="1"/>
  <c r="R5652" i="1"/>
  <c r="S5652" i="1"/>
  <c r="T5652" i="1"/>
  <c r="U5652" i="1"/>
  <c r="V5652" i="1"/>
  <c r="W5652" i="1"/>
  <c r="X5652" i="1"/>
  <c r="Y5652" i="1"/>
  <c r="Z5652" i="1"/>
  <c r="A5653" i="1"/>
  <c r="B5653" i="1"/>
  <c r="C5653" i="1"/>
  <c r="D5653" i="1"/>
  <c r="E5653" i="1"/>
  <c r="F5653" i="1"/>
  <c r="G5653" i="1"/>
  <c r="I5653" i="1"/>
  <c r="J5653" i="1"/>
  <c r="K5653" i="1"/>
  <c r="L5653" i="1"/>
  <c r="M5653" i="1"/>
  <c r="N5653" i="1"/>
  <c r="O5653" i="1"/>
  <c r="P5653" i="1"/>
  <c r="Q5653" i="1"/>
  <c r="R5653" i="1"/>
  <c r="S5653" i="1"/>
  <c r="T5653" i="1"/>
  <c r="U5653" i="1"/>
  <c r="V5653" i="1"/>
  <c r="W5653" i="1"/>
  <c r="X5653" i="1"/>
  <c r="Y5653" i="1"/>
  <c r="Z5653" i="1"/>
  <c r="A5654" i="1"/>
  <c r="B5654" i="1"/>
  <c r="C5654" i="1"/>
  <c r="D5654" i="1"/>
  <c r="E5654" i="1"/>
  <c r="F5654" i="1"/>
  <c r="G5654" i="1"/>
  <c r="I5654" i="1"/>
  <c r="J5654" i="1"/>
  <c r="K5654" i="1"/>
  <c r="L5654" i="1"/>
  <c r="M5654" i="1"/>
  <c r="N5654" i="1"/>
  <c r="O5654" i="1"/>
  <c r="P5654" i="1"/>
  <c r="Q5654" i="1"/>
  <c r="R5654" i="1"/>
  <c r="S5654" i="1"/>
  <c r="T5654" i="1"/>
  <c r="U5654" i="1"/>
  <c r="V5654" i="1"/>
  <c r="W5654" i="1"/>
  <c r="X5654" i="1"/>
  <c r="Y5654" i="1"/>
  <c r="Z5654" i="1"/>
  <c r="A5655" i="1"/>
  <c r="B5655" i="1"/>
  <c r="C5655" i="1"/>
  <c r="D5655" i="1"/>
  <c r="E5655" i="1"/>
  <c r="F5655" i="1"/>
  <c r="G5655" i="1"/>
  <c r="I5655" i="1"/>
  <c r="J5655" i="1"/>
  <c r="K5655" i="1"/>
  <c r="L5655" i="1"/>
  <c r="M5655" i="1"/>
  <c r="N5655" i="1"/>
  <c r="O5655" i="1"/>
  <c r="P5655" i="1"/>
  <c r="Q5655" i="1"/>
  <c r="R5655" i="1"/>
  <c r="S5655" i="1"/>
  <c r="T5655" i="1"/>
  <c r="U5655" i="1"/>
  <c r="V5655" i="1"/>
  <c r="W5655" i="1"/>
  <c r="X5655" i="1"/>
  <c r="Y5655" i="1"/>
  <c r="Z5655" i="1"/>
  <c r="A5656" i="1"/>
  <c r="B5656" i="1"/>
  <c r="C5656" i="1"/>
  <c r="D5656" i="1"/>
  <c r="E5656" i="1"/>
  <c r="F5656" i="1"/>
  <c r="G5656" i="1"/>
  <c r="I5656" i="1"/>
  <c r="J5656" i="1"/>
  <c r="K5656" i="1"/>
  <c r="L5656" i="1"/>
  <c r="M5656" i="1"/>
  <c r="N5656" i="1"/>
  <c r="O5656" i="1"/>
  <c r="P5656" i="1"/>
  <c r="Q5656" i="1"/>
  <c r="R5656" i="1"/>
  <c r="S5656" i="1"/>
  <c r="T5656" i="1"/>
  <c r="U5656" i="1"/>
  <c r="V5656" i="1"/>
  <c r="W5656" i="1"/>
  <c r="X5656" i="1"/>
  <c r="Y5656" i="1"/>
  <c r="Z5656" i="1"/>
  <c r="A5657" i="1"/>
  <c r="B5657" i="1"/>
  <c r="C5657" i="1"/>
  <c r="D5657" i="1"/>
  <c r="E5657" i="1"/>
  <c r="F5657" i="1"/>
  <c r="G5657" i="1"/>
  <c r="I5657" i="1"/>
  <c r="J5657" i="1"/>
  <c r="K5657" i="1"/>
  <c r="L5657" i="1"/>
  <c r="M5657" i="1"/>
  <c r="N5657" i="1"/>
  <c r="O5657" i="1"/>
  <c r="P5657" i="1"/>
  <c r="Q5657" i="1"/>
  <c r="R5657" i="1"/>
  <c r="S5657" i="1"/>
  <c r="T5657" i="1"/>
  <c r="U5657" i="1"/>
  <c r="V5657" i="1"/>
  <c r="W5657" i="1"/>
  <c r="X5657" i="1"/>
  <c r="Y5657" i="1"/>
  <c r="Z5657" i="1"/>
  <c r="A5658" i="1"/>
  <c r="B5658" i="1"/>
  <c r="C5658" i="1"/>
  <c r="D5658" i="1"/>
  <c r="E5658" i="1"/>
  <c r="F5658" i="1"/>
  <c r="G5658" i="1"/>
  <c r="I5658" i="1"/>
  <c r="J5658" i="1"/>
  <c r="K5658" i="1"/>
  <c r="L5658" i="1"/>
  <c r="M5658" i="1"/>
  <c r="N5658" i="1"/>
  <c r="O5658" i="1"/>
  <c r="P5658" i="1"/>
  <c r="Q5658" i="1"/>
  <c r="R5658" i="1"/>
  <c r="S5658" i="1"/>
  <c r="T5658" i="1"/>
  <c r="U5658" i="1"/>
  <c r="V5658" i="1"/>
  <c r="W5658" i="1"/>
  <c r="X5658" i="1"/>
  <c r="Y5658" i="1"/>
  <c r="Z5658" i="1"/>
  <c r="A5659" i="1"/>
  <c r="B5659" i="1"/>
  <c r="C5659" i="1"/>
  <c r="D5659" i="1"/>
  <c r="E5659" i="1"/>
  <c r="F5659" i="1"/>
  <c r="G5659" i="1"/>
  <c r="I5659" i="1"/>
  <c r="J5659" i="1"/>
  <c r="K5659" i="1"/>
  <c r="L5659" i="1"/>
  <c r="M5659" i="1"/>
  <c r="N5659" i="1"/>
  <c r="O5659" i="1"/>
  <c r="P5659" i="1"/>
  <c r="Q5659" i="1"/>
  <c r="R5659" i="1"/>
  <c r="S5659" i="1"/>
  <c r="T5659" i="1"/>
  <c r="U5659" i="1"/>
  <c r="V5659" i="1"/>
  <c r="W5659" i="1"/>
  <c r="X5659" i="1"/>
  <c r="Y5659" i="1"/>
  <c r="Z5659" i="1"/>
  <c r="A5660" i="1"/>
  <c r="B5660" i="1"/>
  <c r="C5660" i="1"/>
  <c r="D5660" i="1"/>
  <c r="E5660" i="1"/>
  <c r="F5660" i="1"/>
  <c r="G5660" i="1"/>
  <c r="I5660" i="1"/>
  <c r="J5660" i="1"/>
  <c r="K5660" i="1"/>
  <c r="L5660" i="1"/>
  <c r="M5660" i="1"/>
  <c r="N5660" i="1"/>
  <c r="O5660" i="1"/>
  <c r="P5660" i="1"/>
  <c r="Q5660" i="1"/>
  <c r="R5660" i="1"/>
  <c r="S5660" i="1"/>
  <c r="T5660" i="1"/>
  <c r="U5660" i="1"/>
  <c r="V5660" i="1"/>
  <c r="W5660" i="1"/>
  <c r="X5660" i="1"/>
  <c r="Y5660" i="1"/>
  <c r="Z5660" i="1"/>
  <c r="A5661" i="1"/>
  <c r="B5661" i="1"/>
  <c r="C5661" i="1"/>
  <c r="D5661" i="1"/>
  <c r="E5661" i="1"/>
  <c r="F5661" i="1"/>
  <c r="G5661" i="1"/>
  <c r="I5661" i="1"/>
  <c r="J5661" i="1"/>
  <c r="K5661" i="1"/>
  <c r="L5661" i="1"/>
  <c r="M5661" i="1"/>
  <c r="N5661" i="1"/>
  <c r="O5661" i="1"/>
  <c r="P5661" i="1"/>
  <c r="Q5661" i="1"/>
  <c r="R5661" i="1"/>
  <c r="S5661" i="1"/>
  <c r="T5661" i="1"/>
  <c r="U5661" i="1"/>
  <c r="V5661" i="1"/>
  <c r="W5661" i="1"/>
  <c r="X5661" i="1"/>
  <c r="Y5661" i="1"/>
  <c r="Z5661" i="1"/>
  <c r="A5662" i="1"/>
  <c r="B5662" i="1"/>
  <c r="C5662" i="1"/>
  <c r="D5662" i="1"/>
  <c r="E5662" i="1"/>
  <c r="F5662" i="1"/>
  <c r="G5662" i="1"/>
  <c r="I5662" i="1"/>
  <c r="J5662" i="1"/>
  <c r="K5662" i="1"/>
  <c r="L5662" i="1"/>
  <c r="M5662" i="1"/>
  <c r="N5662" i="1"/>
  <c r="O5662" i="1"/>
  <c r="P5662" i="1"/>
  <c r="Q5662" i="1"/>
  <c r="R5662" i="1"/>
  <c r="S5662" i="1"/>
  <c r="T5662" i="1"/>
  <c r="U5662" i="1"/>
  <c r="V5662" i="1"/>
  <c r="W5662" i="1"/>
  <c r="X5662" i="1"/>
  <c r="Y5662" i="1"/>
  <c r="Z5662" i="1"/>
  <c r="A5663" i="1"/>
  <c r="B5663" i="1"/>
  <c r="C5663" i="1"/>
  <c r="D5663" i="1"/>
  <c r="E5663" i="1"/>
  <c r="F5663" i="1"/>
  <c r="G5663" i="1"/>
  <c r="I5663" i="1"/>
  <c r="J5663" i="1"/>
  <c r="K5663" i="1"/>
  <c r="L5663" i="1"/>
  <c r="M5663" i="1"/>
  <c r="N5663" i="1"/>
  <c r="O5663" i="1"/>
  <c r="P5663" i="1"/>
  <c r="Q5663" i="1"/>
  <c r="R5663" i="1"/>
  <c r="S5663" i="1"/>
  <c r="T5663" i="1"/>
  <c r="U5663" i="1"/>
  <c r="V5663" i="1"/>
  <c r="W5663" i="1"/>
  <c r="X5663" i="1"/>
  <c r="Y5663" i="1"/>
  <c r="Z5663" i="1"/>
  <c r="A5664" i="1"/>
  <c r="B5664" i="1"/>
  <c r="C5664" i="1"/>
  <c r="D5664" i="1"/>
  <c r="E5664" i="1"/>
  <c r="F5664" i="1"/>
  <c r="G5664" i="1"/>
  <c r="I5664" i="1"/>
  <c r="J5664" i="1"/>
  <c r="K5664" i="1"/>
  <c r="L5664" i="1"/>
  <c r="M5664" i="1"/>
  <c r="N5664" i="1"/>
  <c r="O5664" i="1"/>
  <c r="P5664" i="1"/>
  <c r="Q5664" i="1"/>
  <c r="R5664" i="1"/>
  <c r="S5664" i="1"/>
  <c r="T5664" i="1"/>
  <c r="U5664" i="1"/>
  <c r="V5664" i="1"/>
  <c r="W5664" i="1"/>
  <c r="X5664" i="1"/>
  <c r="Y5664" i="1"/>
  <c r="Z5664" i="1"/>
  <c r="A5665" i="1"/>
  <c r="B5665" i="1"/>
  <c r="C5665" i="1"/>
  <c r="D5665" i="1"/>
  <c r="E5665" i="1"/>
  <c r="F5665" i="1"/>
  <c r="G5665" i="1"/>
  <c r="I5665" i="1"/>
  <c r="J5665" i="1"/>
  <c r="K5665" i="1"/>
  <c r="L5665" i="1"/>
  <c r="M5665" i="1"/>
  <c r="N5665" i="1"/>
  <c r="O5665" i="1"/>
  <c r="P5665" i="1"/>
  <c r="Q5665" i="1"/>
  <c r="R5665" i="1"/>
  <c r="S5665" i="1"/>
  <c r="T5665" i="1"/>
  <c r="U5665" i="1"/>
  <c r="V5665" i="1"/>
  <c r="W5665" i="1"/>
  <c r="X5665" i="1"/>
  <c r="Y5665" i="1"/>
  <c r="Z5665" i="1"/>
  <c r="A5666" i="1"/>
  <c r="B5666" i="1"/>
  <c r="C5666" i="1"/>
  <c r="D5666" i="1"/>
  <c r="E5666" i="1"/>
  <c r="F5666" i="1"/>
  <c r="G5666" i="1"/>
  <c r="I5666" i="1"/>
  <c r="J5666" i="1"/>
  <c r="K5666" i="1"/>
  <c r="L5666" i="1"/>
  <c r="M5666" i="1"/>
  <c r="N5666" i="1"/>
  <c r="O5666" i="1"/>
  <c r="P5666" i="1"/>
  <c r="Q5666" i="1"/>
  <c r="R5666" i="1"/>
  <c r="S5666" i="1"/>
  <c r="T5666" i="1"/>
  <c r="U5666" i="1"/>
  <c r="V5666" i="1"/>
  <c r="W5666" i="1"/>
  <c r="X5666" i="1"/>
  <c r="Y5666" i="1"/>
  <c r="Z5666" i="1"/>
  <c r="A5667" i="1"/>
  <c r="B5667" i="1"/>
  <c r="C5667" i="1"/>
  <c r="D5667" i="1"/>
  <c r="E5667" i="1"/>
  <c r="F5667" i="1"/>
  <c r="G5667" i="1"/>
  <c r="I5667" i="1"/>
  <c r="J5667" i="1"/>
  <c r="K5667" i="1"/>
  <c r="L5667" i="1"/>
  <c r="M5667" i="1"/>
  <c r="N5667" i="1"/>
  <c r="O5667" i="1"/>
  <c r="P5667" i="1"/>
  <c r="Q5667" i="1"/>
  <c r="R5667" i="1"/>
  <c r="S5667" i="1"/>
  <c r="T5667" i="1"/>
  <c r="U5667" i="1"/>
  <c r="V5667" i="1"/>
  <c r="W5667" i="1"/>
  <c r="X5667" i="1"/>
  <c r="Y5667" i="1"/>
  <c r="Z5667" i="1"/>
  <c r="A5668" i="1"/>
  <c r="B5668" i="1"/>
  <c r="C5668" i="1"/>
  <c r="D5668" i="1"/>
  <c r="E5668" i="1"/>
  <c r="F5668" i="1"/>
  <c r="G5668" i="1"/>
  <c r="I5668" i="1"/>
  <c r="J5668" i="1"/>
  <c r="K5668" i="1"/>
  <c r="L5668" i="1"/>
  <c r="M5668" i="1"/>
  <c r="N5668" i="1"/>
  <c r="O5668" i="1"/>
  <c r="P5668" i="1"/>
  <c r="Q5668" i="1"/>
  <c r="R5668" i="1"/>
  <c r="S5668" i="1"/>
  <c r="T5668" i="1"/>
  <c r="U5668" i="1"/>
  <c r="V5668" i="1"/>
  <c r="W5668" i="1"/>
  <c r="X5668" i="1"/>
  <c r="Y5668" i="1"/>
  <c r="Z5668" i="1"/>
  <c r="A5669" i="1"/>
  <c r="B5669" i="1"/>
  <c r="C5669" i="1"/>
  <c r="D5669" i="1"/>
  <c r="E5669" i="1"/>
  <c r="F5669" i="1"/>
  <c r="G5669" i="1"/>
  <c r="I5669" i="1"/>
  <c r="J5669" i="1"/>
  <c r="K5669" i="1"/>
  <c r="L5669" i="1"/>
  <c r="M5669" i="1"/>
  <c r="N5669" i="1"/>
  <c r="O5669" i="1"/>
  <c r="P5669" i="1"/>
  <c r="Q5669" i="1"/>
  <c r="R5669" i="1"/>
  <c r="S5669" i="1"/>
  <c r="T5669" i="1"/>
  <c r="U5669" i="1"/>
  <c r="V5669" i="1"/>
  <c r="W5669" i="1"/>
  <c r="X5669" i="1"/>
  <c r="Y5669" i="1"/>
  <c r="Z5669" i="1"/>
  <c r="A5670" i="1"/>
  <c r="B5670" i="1"/>
  <c r="C5670" i="1"/>
  <c r="D5670" i="1"/>
  <c r="E5670" i="1"/>
  <c r="F5670" i="1"/>
  <c r="G5670" i="1"/>
  <c r="I5670" i="1"/>
  <c r="J5670" i="1"/>
  <c r="K5670" i="1"/>
  <c r="L5670" i="1"/>
  <c r="M5670" i="1"/>
  <c r="N5670" i="1"/>
  <c r="O5670" i="1"/>
  <c r="P5670" i="1"/>
  <c r="Q5670" i="1"/>
  <c r="R5670" i="1"/>
  <c r="S5670" i="1"/>
  <c r="T5670" i="1"/>
  <c r="U5670" i="1"/>
  <c r="V5670" i="1"/>
  <c r="W5670" i="1"/>
  <c r="X5670" i="1"/>
  <c r="Y5670" i="1"/>
  <c r="Z5670" i="1"/>
  <c r="A5671" i="1"/>
  <c r="B5671" i="1"/>
  <c r="C5671" i="1"/>
  <c r="D5671" i="1"/>
  <c r="E5671" i="1"/>
  <c r="F5671" i="1"/>
  <c r="G5671" i="1"/>
  <c r="I5671" i="1"/>
  <c r="J5671" i="1"/>
  <c r="K5671" i="1"/>
  <c r="L5671" i="1"/>
  <c r="M5671" i="1"/>
  <c r="N5671" i="1"/>
  <c r="O5671" i="1"/>
  <c r="P5671" i="1"/>
  <c r="Q5671" i="1"/>
  <c r="R5671" i="1"/>
  <c r="S5671" i="1"/>
  <c r="T5671" i="1"/>
  <c r="U5671" i="1"/>
  <c r="V5671" i="1"/>
  <c r="W5671" i="1"/>
  <c r="X5671" i="1"/>
  <c r="Y5671" i="1"/>
  <c r="Z5671" i="1"/>
  <c r="A5672" i="1"/>
  <c r="B5672" i="1"/>
  <c r="C5672" i="1"/>
  <c r="D5672" i="1"/>
  <c r="E5672" i="1"/>
  <c r="F5672" i="1"/>
  <c r="G5672" i="1"/>
  <c r="I5672" i="1"/>
  <c r="J5672" i="1"/>
  <c r="K5672" i="1"/>
  <c r="L5672" i="1"/>
  <c r="M5672" i="1"/>
  <c r="N5672" i="1"/>
  <c r="O5672" i="1"/>
  <c r="P5672" i="1"/>
  <c r="Q5672" i="1"/>
  <c r="R5672" i="1"/>
  <c r="S5672" i="1"/>
  <c r="T5672" i="1"/>
  <c r="U5672" i="1"/>
  <c r="V5672" i="1"/>
  <c r="W5672" i="1"/>
  <c r="X5672" i="1"/>
  <c r="Y5672" i="1"/>
  <c r="Z5672" i="1"/>
  <c r="A5673" i="1"/>
  <c r="B5673" i="1"/>
  <c r="C5673" i="1"/>
  <c r="D5673" i="1"/>
  <c r="E5673" i="1"/>
  <c r="F5673" i="1"/>
  <c r="G5673" i="1"/>
  <c r="I5673" i="1"/>
  <c r="J5673" i="1"/>
  <c r="K5673" i="1"/>
  <c r="L5673" i="1"/>
  <c r="M5673" i="1"/>
  <c r="N5673" i="1"/>
  <c r="O5673" i="1"/>
  <c r="P5673" i="1"/>
  <c r="Q5673" i="1"/>
  <c r="R5673" i="1"/>
  <c r="S5673" i="1"/>
  <c r="T5673" i="1"/>
  <c r="U5673" i="1"/>
  <c r="V5673" i="1"/>
  <c r="W5673" i="1"/>
  <c r="X5673" i="1"/>
  <c r="Y5673" i="1"/>
  <c r="Z5673" i="1"/>
  <c r="A5674" i="1"/>
  <c r="B5674" i="1"/>
  <c r="C5674" i="1"/>
  <c r="D5674" i="1"/>
  <c r="E5674" i="1"/>
  <c r="F5674" i="1"/>
  <c r="G5674" i="1"/>
  <c r="I5674" i="1"/>
  <c r="J5674" i="1"/>
  <c r="K5674" i="1"/>
  <c r="L5674" i="1"/>
  <c r="M5674" i="1"/>
  <c r="N5674" i="1"/>
  <c r="O5674" i="1"/>
  <c r="P5674" i="1"/>
  <c r="Q5674" i="1"/>
  <c r="R5674" i="1"/>
  <c r="S5674" i="1"/>
  <c r="T5674" i="1"/>
  <c r="U5674" i="1"/>
  <c r="V5674" i="1"/>
  <c r="W5674" i="1"/>
  <c r="X5674" i="1"/>
  <c r="Y5674" i="1"/>
  <c r="Z5674" i="1"/>
  <c r="A5675" i="1"/>
  <c r="B5675" i="1"/>
  <c r="C5675" i="1"/>
  <c r="D5675" i="1"/>
  <c r="E5675" i="1"/>
  <c r="F5675" i="1"/>
  <c r="G5675" i="1"/>
  <c r="I5675" i="1"/>
  <c r="J5675" i="1"/>
  <c r="K5675" i="1"/>
  <c r="L5675" i="1"/>
  <c r="M5675" i="1"/>
  <c r="N5675" i="1"/>
  <c r="O5675" i="1"/>
  <c r="P5675" i="1"/>
  <c r="Q5675" i="1"/>
  <c r="R5675" i="1"/>
  <c r="S5675" i="1"/>
  <c r="T5675" i="1"/>
  <c r="U5675" i="1"/>
  <c r="V5675" i="1"/>
  <c r="W5675" i="1"/>
  <c r="X5675" i="1"/>
  <c r="Y5675" i="1"/>
  <c r="Z5675" i="1"/>
  <c r="A5676" i="1"/>
  <c r="B5676" i="1"/>
  <c r="C5676" i="1"/>
  <c r="D5676" i="1"/>
  <c r="E5676" i="1"/>
  <c r="F5676" i="1"/>
  <c r="G5676" i="1"/>
  <c r="I5676" i="1"/>
  <c r="J5676" i="1"/>
  <c r="K5676" i="1"/>
  <c r="L5676" i="1"/>
  <c r="M5676" i="1"/>
  <c r="N5676" i="1"/>
  <c r="O5676" i="1"/>
  <c r="P5676" i="1"/>
  <c r="Q5676" i="1"/>
  <c r="R5676" i="1"/>
  <c r="S5676" i="1"/>
  <c r="T5676" i="1"/>
  <c r="U5676" i="1"/>
  <c r="V5676" i="1"/>
  <c r="W5676" i="1"/>
  <c r="X5676" i="1"/>
  <c r="Y5676" i="1"/>
  <c r="Z5676" i="1"/>
  <c r="A5677" i="1"/>
  <c r="B5677" i="1"/>
  <c r="C5677" i="1"/>
  <c r="D5677" i="1"/>
  <c r="E5677" i="1"/>
  <c r="F5677" i="1"/>
  <c r="G5677" i="1"/>
  <c r="I5677" i="1"/>
  <c r="J5677" i="1"/>
  <c r="K5677" i="1"/>
  <c r="L5677" i="1"/>
  <c r="M5677" i="1"/>
  <c r="N5677" i="1"/>
  <c r="O5677" i="1"/>
  <c r="P5677" i="1"/>
  <c r="Q5677" i="1"/>
  <c r="R5677" i="1"/>
  <c r="S5677" i="1"/>
  <c r="T5677" i="1"/>
  <c r="U5677" i="1"/>
  <c r="V5677" i="1"/>
  <c r="W5677" i="1"/>
  <c r="X5677" i="1"/>
  <c r="Y5677" i="1"/>
  <c r="Z5677" i="1"/>
  <c r="A5678" i="1"/>
  <c r="B5678" i="1"/>
  <c r="C5678" i="1"/>
  <c r="D5678" i="1"/>
  <c r="E5678" i="1"/>
  <c r="F5678" i="1"/>
  <c r="G5678" i="1"/>
  <c r="I5678" i="1"/>
  <c r="J5678" i="1"/>
  <c r="K5678" i="1"/>
  <c r="L5678" i="1"/>
  <c r="M5678" i="1"/>
  <c r="N5678" i="1"/>
  <c r="O5678" i="1"/>
  <c r="P5678" i="1"/>
  <c r="Q5678" i="1"/>
  <c r="R5678" i="1"/>
  <c r="S5678" i="1"/>
  <c r="T5678" i="1"/>
  <c r="U5678" i="1"/>
  <c r="V5678" i="1"/>
  <c r="W5678" i="1"/>
  <c r="X5678" i="1"/>
  <c r="Y5678" i="1"/>
  <c r="Z5678" i="1"/>
  <c r="A5679" i="1"/>
  <c r="B5679" i="1"/>
  <c r="C5679" i="1"/>
  <c r="D5679" i="1"/>
  <c r="E5679" i="1"/>
  <c r="F5679" i="1"/>
  <c r="G5679" i="1"/>
  <c r="I5679" i="1"/>
  <c r="J5679" i="1"/>
  <c r="K5679" i="1"/>
  <c r="L5679" i="1"/>
  <c r="M5679" i="1"/>
  <c r="N5679" i="1"/>
  <c r="O5679" i="1"/>
  <c r="P5679" i="1"/>
  <c r="Q5679" i="1"/>
  <c r="R5679" i="1"/>
  <c r="S5679" i="1"/>
  <c r="T5679" i="1"/>
  <c r="U5679" i="1"/>
  <c r="V5679" i="1"/>
  <c r="W5679" i="1"/>
  <c r="X5679" i="1"/>
  <c r="Y5679" i="1"/>
  <c r="Z5679" i="1"/>
  <c r="A5680" i="1"/>
  <c r="B5680" i="1"/>
  <c r="C5680" i="1"/>
  <c r="D5680" i="1"/>
  <c r="E5680" i="1"/>
  <c r="F5680" i="1"/>
  <c r="G5680" i="1"/>
  <c r="I5680" i="1"/>
  <c r="J5680" i="1"/>
  <c r="K5680" i="1"/>
  <c r="L5680" i="1"/>
  <c r="M5680" i="1"/>
  <c r="N5680" i="1"/>
  <c r="O5680" i="1"/>
  <c r="P5680" i="1"/>
  <c r="Q5680" i="1"/>
  <c r="R5680" i="1"/>
  <c r="S5680" i="1"/>
  <c r="T5680" i="1"/>
  <c r="U5680" i="1"/>
  <c r="V5680" i="1"/>
  <c r="W5680" i="1"/>
  <c r="X5680" i="1"/>
  <c r="Y5680" i="1"/>
  <c r="Z5680" i="1"/>
  <c r="A5681" i="1"/>
  <c r="B5681" i="1"/>
  <c r="C5681" i="1"/>
  <c r="D5681" i="1"/>
  <c r="E5681" i="1"/>
  <c r="F5681" i="1"/>
  <c r="G5681" i="1"/>
  <c r="I5681" i="1"/>
  <c r="J5681" i="1"/>
  <c r="K5681" i="1"/>
  <c r="L5681" i="1"/>
  <c r="M5681" i="1"/>
  <c r="N5681" i="1"/>
  <c r="O5681" i="1"/>
  <c r="P5681" i="1"/>
  <c r="Q5681" i="1"/>
  <c r="R5681" i="1"/>
  <c r="S5681" i="1"/>
  <c r="T5681" i="1"/>
  <c r="U5681" i="1"/>
  <c r="V5681" i="1"/>
  <c r="W5681" i="1"/>
  <c r="X5681" i="1"/>
  <c r="Y5681" i="1"/>
  <c r="Z5681" i="1"/>
  <c r="A5682" i="1"/>
  <c r="B5682" i="1"/>
  <c r="C5682" i="1"/>
  <c r="D5682" i="1"/>
  <c r="E5682" i="1"/>
  <c r="F5682" i="1"/>
  <c r="G5682" i="1"/>
  <c r="I5682" i="1"/>
  <c r="J5682" i="1"/>
  <c r="K5682" i="1"/>
  <c r="L5682" i="1"/>
  <c r="M5682" i="1"/>
  <c r="N5682" i="1"/>
  <c r="O5682" i="1"/>
  <c r="P5682" i="1"/>
  <c r="Q5682" i="1"/>
  <c r="R5682" i="1"/>
  <c r="S5682" i="1"/>
  <c r="T5682" i="1"/>
  <c r="U5682" i="1"/>
  <c r="V5682" i="1"/>
  <c r="W5682" i="1"/>
  <c r="X5682" i="1"/>
  <c r="Y5682" i="1"/>
  <c r="Z5682" i="1"/>
  <c r="A5683" i="1"/>
  <c r="B5683" i="1"/>
  <c r="C5683" i="1"/>
  <c r="D5683" i="1"/>
  <c r="E5683" i="1"/>
  <c r="F5683" i="1"/>
  <c r="G5683" i="1"/>
  <c r="I5683" i="1"/>
  <c r="J5683" i="1"/>
  <c r="K5683" i="1"/>
  <c r="L5683" i="1"/>
  <c r="M5683" i="1"/>
  <c r="N5683" i="1"/>
  <c r="O5683" i="1"/>
  <c r="P5683" i="1"/>
  <c r="Q5683" i="1"/>
  <c r="R5683" i="1"/>
  <c r="S5683" i="1"/>
  <c r="T5683" i="1"/>
  <c r="U5683" i="1"/>
  <c r="V5683" i="1"/>
  <c r="W5683" i="1"/>
  <c r="X5683" i="1"/>
  <c r="Y5683" i="1"/>
  <c r="Z5683" i="1"/>
  <c r="A5684" i="1"/>
  <c r="B5684" i="1"/>
  <c r="C5684" i="1"/>
  <c r="D5684" i="1"/>
  <c r="E5684" i="1"/>
  <c r="F5684" i="1"/>
  <c r="G5684" i="1"/>
  <c r="I5684" i="1"/>
  <c r="J5684" i="1"/>
  <c r="K5684" i="1"/>
  <c r="L5684" i="1"/>
  <c r="M5684" i="1"/>
  <c r="N5684" i="1"/>
  <c r="O5684" i="1"/>
  <c r="P5684" i="1"/>
  <c r="Q5684" i="1"/>
  <c r="R5684" i="1"/>
  <c r="S5684" i="1"/>
  <c r="T5684" i="1"/>
  <c r="U5684" i="1"/>
  <c r="V5684" i="1"/>
  <c r="W5684" i="1"/>
  <c r="X5684" i="1"/>
  <c r="Y5684" i="1"/>
  <c r="Z5684" i="1"/>
  <c r="A5685" i="1"/>
  <c r="B5685" i="1"/>
  <c r="C5685" i="1"/>
  <c r="D5685" i="1"/>
  <c r="E5685" i="1"/>
  <c r="F5685" i="1"/>
  <c r="G5685" i="1"/>
  <c r="I5685" i="1"/>
  <c r="J5685" i="1"/>
  <c r="K5685" i="1"/>
  <c r="L5685" i="1"/>
  <c r="M5685" i="1"/>
  <c r="N5685" i="1"/>
  <c r="O5685" i="1"/>
  <c r="P5685" i="1"/>
  <c r="Q5685" i="1"/>
  <c r="R5685" i="1"/>
  <c r="S5685" i="1"/>
  <c r="T5685" i="1"/>
  <c r="U5685" i="1"/>
  <c r="V5685" i="1"/>
  <c r="W5685" i="1"/>
  <c r="X5685" i="1"/>
  <c r="Y5685" i="1"/>
  <c r="Z5685" i="1"/>
  <c r="A5686" i="1"/>
  <c r="B5686" i="1"/>
  <c r="C5686" i="1"/>
  <c r="D5686" i="1"/>
  <c r="E5686" i="1"/>
  <c r="F5686" i="1"/>
  <c r="G5686" i="1"/>
  <c r="I5686" i="1"/>
  <c r="J5686" i="1"/>
  <c r="K5686" i="1"/>
  <c r="L5686" i="1"/>
  <c r="M5686" i="1"/>
  <c r="N5686" i="1"/>
  <c r="O5686" i="1"/>
  <c r="P5686" i="1"/>
  <c r="Q5686" i="1"/>
  <c r="R5686" i="1"/>
  <c r="S5686" i="1"/>
  <c r="T5686" i="1"/>
  <c r="U5686" i="1"/>
  <c r="V5686" i="1"/>
  <c r="W5686" i="1"/>
  <c r="X5686" i="1"/>
  <c r="Y5686" i="1"/>
  <c r="Z5686" i="1"/>
  <c r="A5687" i="1"/>
  <c r="B5687" i="1"/>
  <c r="C5687" i="1"/>
  <c r="D5687" i="1"/>
  <c r="E5687" i="1"/>
  <c r="F5687" i="1"/>
  <c r="G5687" i="1"/>
  <c r="I5687" i="1"/>
  <c r="J5687" i="1"/>
  <c r="K5687" i="1"/>
  <c r="L5687" i="1"/>
  <c r="M5687" i="1"/>
  <c r="N5687" i="1"/>
  <c r="O5687" i="1"/>
  <c r="P5687" i="1"/>
  <c r="Q5687" i="1"/>
  <c r="R5687" i="1"/>
  <c r="S5687" i="1"/>
  <c r="T5687" i="1"/>
  <c r="U5687" i="1"/>
  <c r="V5687" i="1"/>
  <c r="W5687" i="1"/>
  <c r="X5687" i="1"/>
  <c r="Y5687" i="1"/>
  <c r="Z5687" i="1"/>
  <c r="A5688" i="1"/>
  <c r="B5688" i="1"/>
  <c r="C5688" i="1"/>
  <c r="D5688" i="1"/>
  <c r="E5688" i="1"/>
  <c r="F5688" i="1"/>
  <c r="G5688" i="1"/>
  <c r="I5688" i="1"/>
  <c r="J5688" i="1"/>
  <c r="K5688" i="1"/>
  <c r="L5688" i="1"/>
  <c r="M5688" i="1"/>
  <c r="N5688" i="1"/>
  <c r="O5688" i="1"/>
  <c r="P5688" i="1"/>
  <c r="Q5688" i="1"/>
  <c r="R5688" i="1"/>
  <c r="S5688" i="1"/>
  <c r="T5688" i="1"/>
  <c r="U5688" i="1"/>
  <c r="V5688" i="1"/>
  <c r="W5688" i="1"/>
  <c r="X5688" i="1"/>
  <c r="Y5688" i="1"/>
  <c r="Z5688" i="1"/>
  <c r="A5689" i="1"/>
  <c r="B5689" i="1"/>
  <c r="C5689" i="1"/>
  <c r="D5689" i="1"/>
  <c r="E5689" i="1"/>
  <c r="F5689" i="1"/>
  <c r="G5689" i="1"/>
  <c r="I5689" i="1"/>
  <c r="J5689" i="1"/>
  <c r="K5689" i="1"/>
  <c r="L5689" i="1"/>
  <c r="M5689" i="1"/>
  <c r="N5689" i="1"/>
  <c r="O5689" i="1"/>
  <c r="P5689" i="1"/>
  <c r="Q5689" i="1"/>
  <c r="R5689" i="1"/>
  <c r="S5689" i="1"/>
  <c r="T5689" i="1"/>
  <c r="U5689" i="1"/>
  <c r="V5689" i="1"/>
  <c r="W5689" i="1"/>
  <c r="X5689" i="1"/>
  <c r="Y5689" i="1"/>
  <c r="Z5689" i="1"/>
  <c r="A5690" i="1"/>
  <c r="B5690" i="1"/>
  <c r="C5690" i="1"/>
  <c r="D5690" i="1"/>
  <c r="E5690" i="1"/>
  <c r="F5690" i="1"/>
  <c r="G5690" i="1"/>
  <c r="I5690" i="1"/>
  <c r="J5690" i="1"/>
  <c r="K5690" i="1"/>
  <c r="L5690" i="1"/>
  <c r="M5690" i="1"/>
  <c r="N5690" i="1"/>
  <c r="O5690" i="1"/>
  <c r="P5690" i="1"/>
  <c r="Q5690" i="1"/>
  <c r="R5690" i="1"/>
  <c r="S5690" i="1"/>
  <c r="T5690" i="1"/>
  <c r="U5690" i="1"/>
  <c r="V5690" i="1"/>
  <c r="W5690" i="1"/>
  <c r="X5690" i="1"/>
  <c r="Y5690" i="1"/>
  <c r="Z5690" i="1"/>
  <c r="A5691" i="1"/>
  <c r="B5691" i="1"/>
  <c r="C5691" i="1"/>
  <c r="D5691" i="1"/>
  <c r="E5691" i="1"/>
  <c r="F5691" i="1"/>
  <c r="G5691" i="1"/>
  <c r="I5691" i="1"/>
  <c r="J5691" i="1"/>
  <c r="K5691" i="1"/>
  <c r="L5691" i="1"/>
  <c r="M5691" i="1"/>
  <c r="N5691" i="1"/>
  <c r="O5691" i="1"/>
  <c r="P5691" i="1"/>
  <c r="Q5691" i="1"/>
  <c r="R5691" i="1"/>
  <c r="S5691" i="1"/>
  <c r="T5691" i="1"/>
  <c r="U5691" i="1"/>
  <c r="V5691" i="1"/>
  <c r="W5691" i="1"/>
  <c r="X5691" i="1"/>
  <c r="Y5691" i="1"/>
  <c r="Z5691" i="1"/>
  <c r="A5692" i="1"/>
  <c r="B5692" i="1"/>
  <c r="C5692" i="1"/>
  <c r="D5692" i="1"/>
  <c r="E5692" i="1"/>
  <c r="F5692" i="1"/>
  <c r="G5692" i="1"/>
  <c r="I5692" i="1"/>
  <c r="J5692" i="1"/>
  <c r="K5692" i="1"/>
  <c r="L5692" i="1"/>
  <c r="M5692" i="1"/>
  <c r="N5692" i="1"/>
  <c r="O5692" i="1"/>
  <c r="P5692" i="1"/>
  <c r="Q5692" i="1"/>
  <c r="R5692" i="1"/>
  <c r="S5692" i="1"/>
  <c r="T5692" i="1"/>
  <c r="U5692" i="1"/>
  <c r="V5692" i="1"/>
  <c r="W5692" i="1"/>
  <c r="X5692" i="1"/>
  <c r="Y5692" i="1"/>
  <c r="Z5692" i="1"/>
  <c r="A5693" i="1"/>
  <c r="B5693" i="1"/>
  <c r="C5693" i="1"/>
  <c r="D5693" i="1"/>
  <c r="E5693" i="1"/>
  <c r="F5693" i="1"/>
  <c r="G5693" i="1"/>
  <c r="I5693" i="1"/>
  <c r="J5693" i="1"/>
  <c r="K5693" i="1"/>
  <c r="L5693" i="1"/>
  <c r="M5693" i="1"/>
  <c r="N5693" i="1"/>
  <c r="O5693" i="1"/>
  <c r="P5693" i="1"/>
  <c r="Q5693" i="1"/>
  <c r="R5693" i="1"/>
  <c r="S5693" i="1"/>
  <c r="T5693" i="1"/>
  <c r="U5693" i="1"/>
  <c r="V5693" i="1"/>
  <c r="W5693" i="1"/>
  <c r="X5693" i="1"/>
  <c r="Y5693" i="1"/>
  <c r="Z5693" i="1"/>
  <c r="A5694" i="1"/>
  <c r="B5694" i="1"/>
  <c r="C5694" i="1"/>
  <c r="D5694" i="1"/>
  <c r="E5694" i="1"/>
  <c r="F5694" i="1"/>
  <c r="G5694" i="1"/>
  <c r="I5694" i="1"/>
  <c r="J5694" i="1"/>
  <c r="K5694" i="1"/>
  <c r="L5694" i="1"/>
  <c r="M5694" i="1"/>
  <c r="N5694" i="1"/>
  <c r="O5694" i="1"/>
  <c r="P5694" i="1"/>
  <c r="Q5694" i="1"/>
  <c r="R5694" i="1"/>
  <c r="S5694" i="1"/>
  <c r="T5694" i="1"/>
  <c r="U5694" i="1"/>
  <c r="V5694" i="1"/>
  <c r="W5694" i="1"/>
  <c r="X5694" i="1"/>
  <c r="Y5694" i="1"/>
  <c r="Z5694" i="1"/>
  <c r="A5695" i="1"/>
  <c r="B5695" i="1"/>
  <c r="C5695" i="1"/>
  <c r="D5695" i="1"/>
  <c r="E5695" i="1"/>
  <c r="F5695" i="1"/>
  <c r="G5695" i="1"/>
  <c r="I5695" i="1"/>
  <c r="J5695" i="1"/>
  <c r="K5695" i="1"/>
  <c r="L5695" i="1"/>
  <c r="M5695" i="1"/>
  <c r="N5695" i="1"/>
  <c r="O5695" i="1"/>
  <c r="P5695" i="1"/>
  <c r="Q5695" i="1"/>
  <c r="R5695" i="1"/>
  <c r="S5695" i="1"/>
  <c r="T5695" i="1"/>
  <c r="U5695" i="1"/>
  <c r="V5695" i="1"/>
  <c r="W5695" i="1"/>
  <c r="X5695" i="1"/>
  <c r="Y5695" i="1"/>
  <c r="Z5695" i="1"/>
  <c r="A5696" i="1"/>
  <c r="B5696" i="1"/>
  <c r="C5696" i="1"/>
  <c r="D5696" i="1"/>
  <c r="E5696" i="1"/>
  <c r="F5696" i="1"/>
  <c r="G5696" i="1"/>
  <c r="I5696" i="1"/>
  <c r="J5696" i="1"/>
  <c r="K5696" i="1"/>
  <c r="L5696" i="1"/>
  <c r="M5696" i="1"/>
  <c r="N5696" i="1"/>
  <c r="O5696" i="1"/>
  <c r="P5696" i="1"/>
  <c r="Q5696" i="1"/>
  <c r="R5696" i="1"/>
  <c r="S5696" i="1"/>
  <c r="T5696" i="1"/>
  <c r="U5696" i="1"/>
  <c r="V5696" i="1"/>
  <c r="W5696" i="1"/>
  <c r="X5696" i="1"/>
  <c r="Y5696" i="1"/>
  <c r="Z5696" i="1"/>
  <c r="A5697" i="1"/>
  <c r="B5697" i="1"/>
  <c r="C5697" i="1"/>
  <c r="D5697" i="1"/>
  <c r="E5697" i="1"/>
  <c r="F5697" i="1"/>
  <c r="G5697" i="1"/>
  <c r="I5697" i="1"/>
  <c r="J5697" i="1"/>
  <c r="K5697" i="1"/>
  <c r="L5697" i="1"/>
  <c r="M5697" i="1"/>
  <c r="N5697" i="1"/>
  <c r="O5697" i="1"/>
  <c r="P5697" i="1"/>
  <c r="Q5697" i="1"/>
  <c r="R5697" i="1"/>
  <c r="S5697" i="1"/>
  <c r="T5697" i="1"/>
  <c r="U5697" i="1"/>
  <c r="V5697" i="1"/>
  <c r="W5697" i="1"/>
  <c r="X5697" i="1"/>
  <c r="Y5697" i="1"/>
  <c r="Z5697" i="1"/>
  <c r="A5698" i="1"/>
  <c r="B5698" i="1"/>
  <c r="C5698" i="1"/>
  <c r="D5698" i="1"/>
  <c r="E5698" i="1"/>
  <c r="F5698" i="1"/>
  <c r="G5698" i="1"/>
  <c r="I5698" i="1"/>
  <c r="J5698" i="1"/>
  <c r="K5698" i="1"/>
  <c r="L5698" i="1"/>
  <c r="M5698" i="1"/>
  <c r="N5698" i="1"/>
  <c r="O5698" i="1"/>
  <c r="P5698" i="1"/>
  <c r="Q5698" i="1"/>
  <c r="R5698" i="1"/>
  <c r="S5698" i="1"/>
  <c r="T5698" i="1"/>
  <c r="U5698" i="1"/>
  <c r="V5698" i="1"/>
  <c r="W5698" i="1"/>
  <c r="X5698" i="1"/>
  <c r="Y5698" i="1"/>
  <c r="Z5698" i="1"/>
  <c r="A5699" i="1"/>
  <c r="B5699" i="1"/>
  <c r="C5699" i="1"/>
  <c r="D5699" i="1"/>
  <c r="E5699" i="1"/>
  <c r="F5699" i="1"/>
  <c r="G5699" i="1"/>
  <c r="I5699" i="1"/>
  <c r="J5699" i="1"/>
  <c r="K5699" i="1"/>
  <c r="L5699" i="1"/>
  <c r="M5699" i="1"/>
  <c r="N5699" i="1"/>
  <c r="O5699" i="1"/>
  <c r="P5699" i="1"/>
  <c r="Q5699" i="1"/>
  <c r="R5699" i="1"/>
  <c r="S5699" i="1"/>
  <c r="T5699" i="1"/>
  <c r="U5699" i="1"/>
  <c r="V5699" i="1"/>
  <c r="W5699" i="1"/>
  <c r="X5699" i="1"/>
  <c r="Y5699" i="1"/>
  <c r="Z5699" i="1"/>
  <c r="A5700" i="1"/>
  <c r="B5700" i="1"/>
  <c r="C5700" i="1"/>
  <c r="D5700" i="1"/>
  <c r="E5700" i="1"/>
  <c r="F5700" i="1"/>
  <c r="G5700" i="1"/>
  <c r="I5700" i="1"/>
  <c r="J5700" i="1"/>
  <c r="K5700" i="1"/>
  <c r="L5700" i="1"/>
  <c r="M5700" i="1"/>
  <c r="N5700" i="1"/>
  <c r="O5700" i="1"/>
  <c r="P5700" i="1"/>
  <c r="Q5700" i="1"/>
  <c r="R5700" i="1"/>
  <c r="S5700" i="1"/>
  <c r="T5700" i="1"/>
  <c r="U5700" i="1"/>
  <c r="V5700" i="1"/>
  <c r="W5700" i="1"/>
  <c r="X5700" i="1"/>
  <c r="Y5700" i="1"/>
  <c r="Z5700" i="1"/>
  <c r="A5701" i="1"/>
  <c r="B5701" i="1"/>
  <c r="C5701" i="1"/>
  <c r="D5701" i="1"/>
  <c r="E5701" i="1"/>
  <c r="F5701" i="1"/>
  <c r="G5701" i="1"/>
  <c r="I5701" i="1"/>
  <c r="J5701" i="1"/>
  <c r="K5701" i="1"/>
  <c r="L5701" i="1"/>
  <c r="M5701" i="1"/>
  <c r="N5701" i="1"/>
  <c r="O5701" i="1"/>
  <c r="P5701" i="1"/>
  <c r="Q5701" i="1"/>
  <c r="R5701" i="1"/>
  <c r="S5701" i="1"/>
  <c r="T5701" i="1"/>
  <c r="U5701" i="1"/>
  <c r="V5701" i="1"/>
  <c r="W5701" i="1"/>
  <c r="X5701" i="1"/>
  <c r="Y5701" i="1"/>
  <c r="Z5701" i="1"/>
  <c r="A5702" i="1"/>
  <c r="B5702" i="1"/>
  <c r="C5702" i="1"/>
  <c r="D5702" i="1"/>
  <c r="E5702" i="1"/>
  <c r="F5702" i="1"/>
  <c r="G5702" i="1"/>
  <c r="I5702" i="1"/>
  <c r="J5702" i="1"/>
  <c r="K5702" i="1"/>
  <c r="L5702" i="1"/>
  <c r="M5702" i="1"/>
  <c r="N5702" i="1"/>
  <c r="O5702" i="1"/>
  <c r="P5702" i="1"/>
  <c r="Q5702" i="1"/>
  <c r="R5702" i="1"/>
  <c r="S5702" i="1"/>
  <c r="T5702" i="1"/>
  <c r="U5702" i="1"/>
  <c r="V5702" i="1"/>
  <c r="W5702" i="1"/>
  <c r="X5702" i="1"/>
  <c r="Y5702" i="1"/>
  <c r="Z5702" i="1"/>
  <c r="A5703" i="1"/>
  <c r="B5703" i="1"/>
  <c r="C5703" i="1"/>
  <c r="D5703" i="1"/>
  <c r="E5703" i="1"/>
  <c r="F5703" i="1"/>
  <c r="G5703" i="1"/>
  <c r="I5703" i="1"/>
  <c r="J5703" i="1"/>
  <c r="K5703" i="1"/>
  <c r="L5703" i="1"/>
  <c r="M5703" i="1"/>
  <c r="N5703" i="1"/>
  <c r="O5703" i="1"/>
  <c r="P5703" i="1"/>
  <c r="Q5703" i="1"/>
  <c r="R5703" i="1"/>
  <c r="S5703" i="1"/>
  <c r="T5703" i="1"/>
  <c r="U5703" i="1"/>
  <c r="V5703" i="1"/>
  <c r="W5703" i="1"/>
  <c r="X5703" i="1"/>
  <c r="Y5703" i="1"/>
  <c r="Z5703" i="1"/>
  <c r="A5704" i="1"/>
  <c r="B5704" i="1"/>
  <c r="C5704" i="1"/>
  <c r="D5704" i="1"/>
  <c r="E5704" i="1"/>
  <c r="F5704" i="1"/>
  <c r="G5704" i="1"/>
  <c r="I5704" i="1"/>
  <c r="J5704" i="1"/>
  <c r="K5704" i="1"/>
  <c r="L5704" i="1"/>
  <c r="M5704" i="1"/>
  <c r="N5704" i="1"/>
  <c r="O5704" i="1"/>
  <c r="P5704" i="1"/>
  <c r="Q5704" i="1"/>
  <c r="R5704" i="1"/>
  <c r="S5704" i="1"/>
  <c r="T5704" i="1"/>
  <c r="U5704" i="1"/>
  <c r="V5704" i="1"/>
  <c r="W5704" i="1"/>
  <c r="X5704" i="1"/>
  <c r="Y5704" i="1"/>
  <c r="Z5704" i="1"/>
  <c r="A5705" i="1"/>
  <c r="B5705" i="1"/>
  <c r="C5705" i="1"/>
  <c r="D5705" i="1"/>
  <c r="E5705" i="1"/>
  <c r="F5705" i="1"/>
  <c r="G5705" i="1"/>
  <c r="I5705" i="1"/>
  <c r="J5705" i="1"/>
  <c r="K5705" i="1"/>
  <c r="L5705" i="1"/>
  <c r="M5705" i="1"/>
  <c r="N5705" i="1"/>
  <c r="O5705" i="1"/>
  <c r="P5705" i="1"/>
  <c r="Q5705" i="1"/>
  <c r="R5705" i="1"/>
  <c r="S5705" i="1"/>
  <c r="T5705" i="1"/>
  <c r="U5705" i="1"/>
  <c r="V5705" i="1"/>
  <c r="W5705" i="1"/>
  <c r="X5705" i="1"/>
  <c r="Y5705" i="1"/>
  <c r="Z5705" i="1"/>
  <c r="A5706" i="1"/>
  <c r="B5706" i="1"/>
  <c r="C5706" i="1"/>
  <c r="D5706" i="1"/>
  <c r="E5706" i="1"/>
  <c r="F5706" i="1"/>
  <c r="G5706" i="1"/>
  <c r="I5706" i="1"/>
  <c r="J5706" i="1"/>
  <c r="K5706" i="1"/>
  <c r="L5706" i="1"/>
  <c r="M5706" i="1"/>
  <c r="N5706" i="1"/>
  <c r="O5706" i="1"/>
  <c r="P5706" i="1"/>
  <c r="Q5706" i="1"/>
  <c r="R5706" i="1"/>
  <c r="S5706" i="1"/>
  <c r="T5706" i="1"/>
  <c r="U5706" i="1"/>
  <c r="V5706" i="1"/>
  <c r="W5706" i="1"/>
  <c r="X5706" i="1"/>
  <c r="Y5706" i="1"/>
  <c r="Z5706" i="1"/>
  <c r="A5707" i="1"/>
  <c r="B5707" i="1"/>
  <c r="C5707" i="1"/>
  <c r="D5707" i="1"/>
  <c r="E5707" i="1"/>
  <c r="F5707" i="1"/>
  <c r="G5707" i="1"/>
  <c r="I5707" i="1"/>
  <c r="J5707" i="1"/>
  <c r="K5707" i="1"/>
  <c r="L5707" i="1"/>
  <c r="M5707" i="1"/>
  <c r="N5707" i="1"/>
  <c r="O5707" i="1"/>
  <c r="P5707" i="1"/>
  <c r="Q5707" i="1"/>
  <c r="R5707" i="1"/>
  <c r="S5707" i="1"/>
  <c r="T5707" i="1"/>
  <c r="U5707" i="1"/>
  <c r="V5707" i="1"/>
  <c r="W5707" i="1"/>
  <c r="X5707" i="1"/>
  <c r="Y5707" i="1"/>
  <c r="Z5707" i="1"/>
  <c r="A5708" i="1"/>
  <c r="B5708" i="1"/>
  <c r="C5708" i="1"/>
  <c r="D5708" i="1"/>
  <c r="E5708" i="1"/>
  <c r="F5708" i="1"/>
  <c r="G5708" i="1"/>
  <c r="I5708" i="1"/>
  <c r="J5708" i="1"/>
  <c r="K5708" i="1"/>
  <c r="L5708" i="1"/>
  <c r="M5708" i="1"/>
  <c r="N5708" i="1"/>
  <c r="O5708" i="1"/>
  <c r="P5708" i="1"/>
  <c r="Q5708" i="1"/>
  <c r="R5708" i="1"/>
  <c r="S5708" i="1"/>
  <c r="T5708" i="1"/>
  <c r="U5708" i="1"/>
  <c r="V5708" i="1"/>
  <c r="W5708" i="1"/>
  <c r="X5708" i="1"/>
  <c r="Y5708" i="1"/>
  <c r="Z5708" i="1"/>
  <c r="A5709" i="1"/>
  <c r="B5709" i="1"/>
  <c r="C5709" i="1"/>
  <c r="D5709" i="1"/>
  <c r="E5709" i="1"/>
  <c r="F5709" i="1"/>
  <c r="G5709" i="1"/>
  <c r="I5709" i="1"/>
  <c r="J5709" i="1"/>
  <c r="K5709" i="1"/>
  <c r="L5709" i="1"/>
  <c r="M5709" i="1"/>
  <c r="N5709" i="1"/>
  <c r="O5709" i="1"/>
  <c r="P5709" i="1"/>
  <c r="Q5709" i="1"/>
  <c r="R5709" i="1"/>
  <c r="S5709" i="1"/>
  <c r="T5709" i="1"/>
  <c r="U5709" i="1"/>
  <c r="V5709" i="1"/>
  <c r="W5709" i="1"/>
  <c r="X5709" i="1"/>
  <c r="Y5709" i="1"/>
  <c r="Z5709" i="1"/>
  <c r="A5710" i="1"/>
  <c r="B5710" i="1"/>
  <c r="C5710" i="1"/>
  <c r="D5710" i="1"/>
  <c r="E5710" i="1"/>
  <c r="F5710" i="1"/>
  <c r="G5710" i="1"/>
  <c r="I5710" i="1"/>
  <c r="J5710" i="1"/>
  <c r="K5710" i="1"/>
  <c r="L5710" i="1"/>
  <c r="M5710" i="1"/>
  <c r="N5710" i="1"/>
  <c r="O5710" i="1"/>
  <c r="P5710" i="1"/>
  <c r="Q5710" i="1"/>
  <c r="R5710" i="1"/>
  <c r="S5710" i="1"/>
  <c r="T5710" i="1"/>
  <c r="U5710" i="1"/>
  <c r="V5710" i="1"/>
  <c r="W5710" i="1"/>
  <c r="X5710" i="1"/>
  <c r="Y5710" i="1"/>
  <c r="Z5710" i="1"/>
  <c r="A5711" i="1"/>
  <c r="B5711" i="1"/>
  <c r="C5711" i="1"/>
  <c r="D5711" i="1"/>
  <c r="E5711" i="1"/>
  <c r="F5711" i="1"/>
  <c r="G5711" i="1"/>
  <c r="I5711" i="1"/>
  <c r="J5711" i="1"/>
  <c r="K5711" i="1"/>
  <c r="L5711" i="1"/>
  <c r="M5711" i="1"/>
  <c r="N5711" i="1"/>
  <c r="O5711" i="1"/>
  <c r="P5711" i="1"/>
  <c r="Q5711" i="1"/>
  <c r="R5711" i="1"/>
  <c r="S5711" i="1"/>
  <c r="T5711" i="1"/>
  <c r="U5711" i="1"/>
  <c r="V5711" i="1"/>
  <c r="W5711" i="1"/>
  <c r="X5711" i="1"/>
  <c r="Y5711" i="1"/>
  <c r="Z5711" i="1"/>
  <c r="A5712" i="1"/>
  <c r="B5712" i="1"/>
  <c r="C5712" i="1"/>
  <c r="D5712" i="1"/>
  <c r="E5712" i="1"/>
  <c r="F5712" i="1"/>
  <c r="G5712" i="1"/>
  <c r="I5712" i="1"/>
  <c r="J5712" i="1"/>
  <c r="K5712" i="1"/>
  <c r="L5712" i="1"/>
  <c r="M5712" i="1"/>
  <c r="N5712" i="1"/>
  <c r="O5712" i="1"/>
  <c r="P5712" i="1"/>
  <c r="Q5712" i="1"/>
  <c r="R5712" i="1"/>
  <c r="S5712" i="1"/>
  <c r="T5712" i="1"/>
  <c r="U5712" i="1"/>
  <c r="V5712" i="1"/>
  <c r="W5712" i="1"/>
  <c r="X5712" i="1"/>
  <c r="Y5712" i="1"/>
  <c r="Z5712" i="1"/>
  <c r="A5713" i="1"/>
  <c r="B5713" i="1"/>
  <c r="C5713" i="1"/>
  <c r="D5713" i="1"/>
  <c r="E5713" i="1"/>
  <c r="F5713" i="1"/>
  <c r="G5713" i="1"/>
  <c r="I5713" i="1"/>
  <c r="J5713" i="1"/>
  <c r="K5713" i="1"/>
  <c r="L5713" i="1"/>
  <c r="M5713" i="1"/>
  <c r="N5713" i="1"/>
  <c r="O5713" i="1"/>
  <c r="P5713" i="1"/>
  <c r="Q5713" i="1"/>
  <c r="R5713" i="1"/>
  <c r="S5713" i="1"/>
  <c r="T5713" i="1"/>
  <c r="U5713" i="1"/>
  <c r="V5713" i="1"/>
  <c r="W5713" i="1"/>
  <c r="X5713" i="1"/>
  <c r="Y5713" i="1"/>
  <c r="Z5713" i="1"/>
  <c r="A5714" i="1"/>
  <c r="B5714" i="1"/>
  <c r="C5714" i="1"/>
  <c r="D5714" i="1"/>
  <c r="E5714" i="1"/>
  <c r="F5714" i="1"/>
  <c r="G5714" i="1"/>
  <c r="I5714" i="1"/>
  <c r="J5714" i="1"/>
  <c r="K5714" i="1"/>
  <c r="L5714" i="1"/>
  <c r="M5714" i="1"/>
  <c r="N5714" i="1"/>
  <c r="O5714" i="1"/>
  <c r="P5714" i="1"/>
  <c r="Q5714" i="1"/>
  <c r="R5714" i="1"/>
  <c r="S5714" i="1"/>
  <c r="T5714" i="1"/>
  <c r="U5714" i="1"/>
  <c r="V5714" i="1"/>
  <c r="W5714" i="1"/>
  <c r="X5714" i="1"/>
  <c r="Y5714" i="1"/>
  <c r="Z5714" i="1"/>
  <c r="A5715" i="1"/>
  <c r="B5715" i="1"/>
  <c r="C5715" i="1"/>
  <c r="D5715" i="1"/>
  <c r="E5715" i="1"/>
  <c r="F5715" i="1"/>
  <c r="G5715" i="1"/>
  <c r="I5715" i="1"/>
  <c r="J5715" i="1"/>
  <c r="K5715" i="1"/>
  <c r="L5715" i="1"/>
  <c r="M5715" i="1"/>
  <c r="N5715" i="1"/>
  <c r="O5715" i="1"/>
  <c r="P5715" i="1"/>
  <c r="Q5715" i="1"/>
  <c r="R5715" i="1"/>
  <c r="S5715" i="1"/>
  <c r="T5715" i="1"/>
  <c r="U5715" i="1"/>
  <c r="V5715" i="1"/>
  <c r="W5715" i="1"/>
  <c r="X5715" i="1"/>
  <c r="Y5715" i="1"/>
  <c r="Z5715" i="1"/>
  <c r="A5716" i="1"/>
  <c r="B5716" i="1"/>
  <c r="C5716" i="1"/>
  <c r="D5716" i="1"/>
  <c r="E5716" i="1"/>
  <c r="F5716" i="1"/>
  <c r="G5716" i="1"/>
  <c r="I5716" i="1"/>
  <c r="J5716" i="1"/>
  <c r="K5716" i="1"/>
  <c r="L5716" i="1"/>
  <c r="M5716" i="1"/>
  <c r="N5716" i="1"/>
  <c r="O5716" i="1"/>
  <c r="P5716" i="1"/>
  <c r="Q5716" i="1"/>
  <c r="R5716" i="1"/>
  <c r="S5716" i="1"/>
  <c r="T5716" i="1"/>
  <c r="U5716" i="1"/>
  <c r="V5716" i="1"/>
  <c r="W5716" i="1"/>
  <c r="X5716" i="1"/>
  <c r="Y5716" i="1"/>
  <c r="Z5716" i="1"/>
  <c r="A5717" i="1"/>
  <c r="B5717" i="1"/>
  <c r="C5717" i="1"/>
  <c r="D5717" i="1"/>
  <c r="E5717" i="1"/>
  <c r="F5717" i="1"/>
  <c r="G5717" i="1"/>
  <c r="I5717" i="1"/>
  <c r="J5717" i="1"/>
  <c r="K5717" i="1"/>
  <c r="L5717" i="1"/>
  <c r="M5717" i="1"/>
  <c r="N5717" i="1"/>
  <c r="O5717" i="1"/>
  <c r="P5717" i="1"/>
  <c r="Q5717" i="1"/>
  <c r="R5717" i="1"/>
  <c r="S5717" i="1"/>
  <c r="T5717" i="1"/>
  <c r="U5717" i="1"/>
  <c r="V5717" i="1"/>
  <c r="W5717" i="1"/>
  <c r="X5717" i="1"/>
  <c r="Y5717" i="1"/>
  <c r="Z5717" i="1"/>
  <c r="A5718" i="1"/>
  <c r="B5718" i="1"/>
  <c r="C5718" i="1"/>
  <c r="D5718" i="1"/>
  <c r="E5718" i="1"/>
  <c r="F5718" i="1"/>
  <c r="G5718" i="1"/>
  <c r="I5718" i="1"/>
  <c r="J5718" i="1"/>
  <c r="K5718" i="1"/>
  <c r="L5718" i="1"/>
  <c r="M5718" i="1"/>
  <c r="N5718" i="1"/>
  <c r="O5718" i="1"/>
  <c r="P5718" i="1"/>
  <c r="Q5718" i="1"/>
  <c r="R5718" i="1"/>
  <c r="S5718" i="1"/>
  <c r="T5718" i="1"/>
  <c r="U5718" i="1"/>
  <c r="V5718" i="1"/>
  <c r="W5718" i="1"/>
  <c r="X5718" i="1"/>
  <c r="Y5718" i="1"/>
  <c r="Z5718" i="1"/>
  <c r="A5719" i="1"/>
  <c r="B5719" i="1"/>
  <c r="C5719" i="1"/>
  <c r="D5719" i="1"/>
  <c r="E5719" i="1"/>
  <c r="F5719" i="1"/>
  <c r="G5719" i="1"/>
  <c r="I5719" i="1"/>
  <c r="J5719" i="1"/>
  <c r="K5719" i="1"/>
  <c r="L5719" i="1"/>
  <c r="M5719" i="1"/>
  <c r="N5719" i="1"/>
  <c r="O5719" i="1"/>
  <c r="P5719" i="1"/>
  <c r="Q5719" i="1"/>
  <c r="R5719" i="1"/>
  <c r="S5719" i="1"/>
  <c r="T5719" i="1"/>
  <c r="U5719" i="1"/>
  <c r="V5719" i="1"/>
  <c r="W5719" i="1"/>
  <c r="X5719" i="1"/>
  <c r="Y5719" i="1"/>
  <c r="Z5719" i="1"/>
  <c r="A5720" i="1"/>
  <c r="B5720" i="1"/>
  <c r="C5720" i="1"/>
  <c r="D5720" i="1"/>
  <c r="E5720" i="1"/>
  <c r="F5720" i="1"/>
  <c r="G5720" i="1"/>
  <c r="I5720" i="1"/>
  <c r="J5720" i="1"/>
  <c r="K5720" i="1"/>
  <c r="L5720" i="1"/>
  <c r="M5720" i="1"/>
  <c r="N5720" i="1"/>
  <c r="O5720" i="1"/>
  <c r="P5720" i="1"/>
  <c r="Q5720" i="1"/>
  <c r="R5720" i="1"/>
  <c r="S5720" i="1"/>
  <c r="T5720" i="1"/>
  <c r="U5720" i="1"/>
  <c r="V5720" i="1"/>
  <c r="W5720" i="1"/>
  <c r="X5720" i="1"/>
  <c r="Y5720" i="1"/>
  <c r="Z5720" i="1"/>
  <c r="A5721" i="1"/>
  <c r="B5721" i="1"/>
  <c r="C5721" i="1"/>
  <c r="D5721" i="1"/>
  <c r="E5721" i="1"/>
  <c r="F5721" i="1"/>
  <c r="G5721" i="1"/>
  <c r="I5721" i="1"/>
  <c r="J5721" i="1"/>
  <c r="K5721" i="1"/>
  <c r="L5721" i="1"/>
  <c r="M5721" i="1"/>
  <c r="N5721" i="1"/>
  <c r="O5721" i="1"/>
  <c r="P5721" i="1"/>
  <c r="Q5721" i="1"/>
  <c r="R5721" i="1"/>
  <c r="S5721" i="1"/>
  <c r="T5721" i="1"/>
  <c r="U5721" i="1"/>
  <c r="V5721" i="1"/>
  <c r="W5721" i="1"/>
  <c r="X5721" i="1"/>
  <c r="Y5721" i="1"/>
  <c r="Z5721" i="1"/>
  <c r="A5722" i="1"/>
  <c r="B5722" i="1"/>
  <c r="C5722" i="1"/>
  <c r="D5722" i="1"/>
  <c r="E5722" i="1"/>
  <c r="F5722" i="1"/>
  <c r="G5722" i="1"/>
  <c r="I5722" i="1"/>
  <c r="J5722" i="1"/>
  <c r="K5722" i="1"/>
  <c r="L5722" i="1"/>
  <c r="M5722" i="1"/>
  <c r="N5722" i="1"/>
  <c r="O5722" i="1"/>
  <c r="P5722" i="1"/>
  <c r="Q5722" i="1"/>
  <c r="R5722" i="1"/>
  <c r="S5722" i="1"/>
  <c r="T5722" i="1"/>
  <c r="U5722" i="1"/>
  <c r="V5722" i="1"/>
  <c r="W5722" i="1"/>
  <c r="X5722" i="1"/>
  <c r="Y5722" i="1"/>
  <c r="Z5722" i="1"/>
  <c r="A5723" i="1"/>
  <c r="B5723" i="1"/>
  <c r="C5723" i="1"/>
  <c r="D5723" i="1"/>
  <c r="E5723" i="1"/>
  <c r="F5723" i="1"/>
  <c r="G5723" i="1"/>
  <c r="I5723" i="1"/>
  <c r="J5723" i="1"/>
  <c r="K5723" i="1"/>
  <c r="L5723" i="1"/>
  <c r="M5723" i="1"/>
  <c r="N5723" i="1"/>
  <c r="O5723" i="1"/>
  <c r="P5723" i="1"/>
  <c r="Q5723" i="1"/>
  <c r="R5723" i="1"/>
  <c r="S5723" i="1"/>
  <c r="T5723" i="1"/>
  <c r="U5723" i="1"/>
  <c r="V5723" i="1"/>
  <c r="W5723" i="1"/>
  <c r="X5723" i="1"/>
  <c r="Y5723" i="1"/>
  <c r="Z5723" i="1"/>
  <c r="A5724" i="1"/>
  <c r="B5724" i="1"/>
  <c r="C5724" i="1"/>
  <c r="D5724" i="1"/>
  <c r="E5724" i="1"/>
  <c r="F5724" i="1"/>
  <c r="G5724" i="1"/>
  <c r="I5724" i="1"/>
  <c r="J5724" i="1"/>
  <c r="K5724" i="1"/>
  <c r="L5724" i="1"/>
  <c r="M5724" i="1"/>
  <c r="N5724" i="1"/>
  <c r="O5724" i="1"/>
  <c r="P5724" i="1"/>
  <c r="Q5724" i="1"/>
  <c r="R5724" i="1"/>
  <c r="S5724" i="1"/>
  <c r="T5724" i="1"/>
  <c r="U5724" i="1"/>
  <c r="V5724" i="1"/>
  <c r="W5724" i="1"/>
  <c r="X5724" i="1"/>
  <c r="Y5724" i="1"/>
  <c r="Z5724" i="1"/>
  <c r="A5725" i="1"/>
  <c r="B5725" i="1"/>
  <c r="C5725" i="1"/>
  <c r="D5725" i="1"/>
  <c r="E5725" i="1"/>
  <c r="F5725" i="1"/>
  <c r="G5725" i="1"/>
  <c r="I5725" i="1"/>
  <c r="J5725" i="1"/>
  <c r="K5725" i="1"/>
  <c r="L5725" i="1"/>
  <c r="M5725" i="1"/>
  <c r="N5725" i="1"/>
  <c r="O5725" i="1"/>
  <c r="P5725" i="1"/>
  <c r="Q5725" i="1"/>
  <c r="R5725" i="1"/>
  <c r="S5725" i="1"/>
  <c r="T5725" i="1"/>
  <c r="U5725" i="1"/>
  <c r="V5725" i="1"/>
  <c r="W5725" i="1"/>
  <c r="X5725" i="1"/>
  <c r="Y5725" i="1"/>
  <c r="Z5725" i="1"/>
  <c r="A5726" i="1"/>
  <c r="B5726" i="1"/>
  <c r="C5726" i="1"/>
  <c r="D5726" i="1"/>
  <c r="E5726" i="1"/>
  <c r="F5726" i="1"/>
  <c r="G5726" i="1"/>
  <c r="I5726" i="1"/>
  <c r="J5726" i="1"/>
  <c r="K5726" i="1"/>
  <c r="L5726" i="1"/>
  <c r="M5726" i="1"/>
  <c r="N5726" i="1"/>
  <c r="O5726" i="1"/>
  <c r="P5726" i="1"/>
  <c r="Q5726" i="1"/>
  <c r="R5726" i="1"/>
  <c r="S5726" i="1"/>
  <c r="T5726" i="1"/>
  <c r="U5726" i="1"/>
  <c r="V5726" i="1"/>
  <c r="W5726" i="1"/>
  <c r="X5726" i="1"/>
  <c r="Y5726" i="1"/>
  <c r="Z5726" i="1"/>
  <c r="A5727" i="1"/>
  <c r="B5727" i="1"/>
  <c r="C5727" i="1"/>
  <c r="D5727" i="1"/>
  <c r="E5727" i="1"/>
  <c r="F5727" i="1"/>
  <c r="G5727" i="1"/>
  <c r="I5727" i="1"/>
  <c r="J5727" i="1"/>
  <c r="K5727" i="1"/>
  <c r="L5727" i="1"/>
  <c r="M5727" i="1"/>
  <c r="N5727" i="1"/>
  <c r="O5727" i="1"/>
  <c r="P5727" i="1"/>
  <c r="Q5727" i="1"/>
  <c r="R5727" i="1"/>
  <c r="S5727" i="1"/>
  <c r="T5727" i="1"/>
  <c r="U5727" i="1"/>
  <c r="V5727" i="1"/>
  <c r="W5727" i="1"/>
  <c r="X5727" i="1"/>
  <c r="Y5727" i="1"/>
  <c r="Z5727" i="1"/>
  <c r="A5728" i="1"/>
  <c r="B5728" i="1"/>
  <c r="C5728" i="1"/>
  <c r="D5728" i="1"/>
  <c r="E5728" i="1"/>
  <c r="F5728" i="1"/>
  <c r="G5728" i="1"/>
  <c r="I5728" i="1"/>
  <c r="J5728" i="1"/>
  <c r="K5728" i="1"/>
  <c r="L5728" i="1"/>
  <c r="M5728" i="1"/>
  <c r="N5728" i="1"/>
  <c r="O5728" i="1"/>
  <c r="P5728" i="1"/>
  <c r="Q5728" i="1"/>
  <c r="R5728" i="1"/>
  <c r="S5728" i="1"/>
  <c r="T5728" i="1"/>
  <c r="U5728" i="1"/>
  <c r="V5728" i="1"/>
  <c r="W5728" i="1"/>
  <c r="X5728" i="1"/>
  <c r="Y5728" i="1"/>
  <c r="Z5728" i="1"/>
  <c r="A5729" i="1"/>
  <c r="B5729" i="1"/>
  <c r="C5729" i="1"/>
  <c r="D5729" i="1"/>
  <c r="E5729" i="1"/>
  <c r="F5729" i="1"/>
  <c r="G5729" i="1"/>
  <c r="I5729" i="1"/>
  <c r="J5729" i="1"/>
  <c r="K5729" i="1"/>
  <c r="L5729" i="1"/>
  <c r="M5729" i="1"/>
  <c r="N5729" i="1"/>
  <c r="O5729" i="1"/>
  <c r="P5729" i="1"/>
  <c r="Q5729" i="1"/>
  <c r="R5729" i="1"/>
  <c r="S5729" i="1"/>
  <c r="T5729" i="1"/>
  <c r="U5729" i="1"/>
  <c r="V5729" i="1"/>
  <c r="W5729" i="1"/>
  <c r="X5729" i="1"/>
  <c r="Y5729" i="1"/>
  <c r="Z5729" i="1"/>
  <c r="A5730" i="1"/>
  <c r="B5730" i="1"/>
  <c r="C5730" i="1"/>
  <c r="D5730" i="1"/>
  <c r="E5730" i="1"/>
  <c r="F5730" i="1"/>
  <c r="G5730" i="1"/>
  <c r="I5730" i="1"/>
  <c r="J5730" i="1"/>
  <c r="K5730" i="1"/>
  <c r="L5730" i="1"/>
  <c r="M5730" i="1"/>
  <c r="N5730" i="1"/>
  <c r="O5730" i="1"/>
  <c r="P5730" i="1"/>
  <c r="Q5730" i="1"/>
  <c r="R5730" i="1"/>
  <c r="S5730" i="1"/>
  <c r="T5730" i="1"/>
  <c r="U5730" i="1"/>
  <c r="V5730" i="1"/>
  <c r="W5730" i="1"/>
  <c r="X5730" i="1"/>
  <c r="Y5730" i="1"/>
  <c r="Z5730" i="1"/>
  <c r="A5731" i="1"/>
  <c r="B5731" i="1"/>
  <c r="C5731" i="1"/>
  <c r="D5731" i="1"/>
  <c r="E5731" i="1"/>
  <c r="F5731" i="1"/>
  <c r="G5731" i="1"/>
  <c r="I5731" i="1"/>
  <c r="J5731" i="1"/>
  <c r="K5731" i="1"/>
  <c r="L5731" i="1"/>
  <c r="M5731" i="1"/>
  <c r="N5731" i="1"/>
  <c r="O5731" i="1"/>
  <c r="P5731" i="1"/>
  <c r="Q5731" i="1"/>
  <c r="R5731" i="1"/>
  <c r="S5731" i="1"/>
  <c r="T5731" i="1"/>
  <c r="U5731" i="1"/>
  <c r="V5731" i="1"/>
  <c r="W5731" i="1"/>
  <c r="X5731" i="1"/>
  <c r="Y5731" i="1"/>
  <c r="Z5731" i="1"/>
  <c r="A5732" i="1"/>
  <c r="B5732" i="1"/>
  <c r="C5732" i="1"/>
  <c r="D5732" i="1"/>
  <c r="E5732" i="1"/>
  <c r="F5732" i="1"/>
  <c r="G5732" i="1"/>
  <c r="I5732" i="1"/>
  <c r="J5732" i="1"/>
  <c r="K5732" i="1"/>
  <c r="L5732" i="1"/>
  <c r="M5732" i="1"/>
  <c r="N5732" i="1"/>
  <c r="O5732" i="1"/>
  <c r="P5732" i="1"/>
  <c r="Q5732" i="1"/>
  <c r="R5732" i="1"/>
  <c r="S5732" i="1"/>
  <c r="T5732" i="1"/>
  <c r="U5732" i="1"/>
  <c r="V5732" i="1"/>
  <c r="W5732" i="1"/>
  <c r="X5732" i="1"/>
  <c r="Y5732" i="1"/>
  <c r="Z5732" i="1"/>
  <c r="A5733" i="1"/>
  <c r="B5733" i="1"/>
  <c r="C5733" i="1"/>
  <c r="D5733" i="1"/>
  <c r="E5733" i="1"/>
  <c r="F5733" i="1"/>
  <c r="G5733" i="1"/>
  <c r="I5733" i="1"/>
  <c r="J5733" i="1"/>
  <c r="K5733" i="1"/>
  <c r="L5733" i="1"/>
  <c r="M5733" i="1"/>
  <c r="N5733" i="1"/>
  <c r="O5733" i="1"/>
  <c r="P5733" i="1"/>
  <c r="Q5733" i="1"/>
  <c r="R5733" i="1"/>
  <c r="S5733" i="1"/>
  <c r="T5733" i="1"/>
  <c r="U5733" i="1"/>
  <c r="V5733" i="1"/>
  <c r="W5733" i="1"/>
  <c r="X5733" i="1"/>
  <c r="Y5733" i="1"/>
  <c r="Z5733" i="1"/>
  <c r="A5734" i="1"/>
  <c r="B5734" i="1"/>
  <c r="C5734" i="1"/>
  <c r="D5734" i="1"/>
  <c r="E5734" i="1"/>
  <c r="F5734" i="1"/>
  <c r="G5734" i="1"/>
  <c r="I5734" i="1"/>
  <c r="J5734" i="1"/>
  <c r="K5734" i="1"/>
  <c r="L5734" i="1"/>
  <c r="M5734" i="1"/>
  <c r="N5734" i="1"/>
  <c r="O5734" i="1"/>
  <c r="P5734" i="1"/>
  <c r="Q5734" i="1"/>
  <c r="R5734" i="1"/>
  <c r="S5734" i="1"/>
  <c r="T5734" i="1"/>
  <c r="U5734" i="1"/>
  <c r="V5734" i="1"/>
  <c r="W5734" i="1"/>
  <c r="X5734" i="1"/>
  <c r="Y5734" i="1"/>
  <c r="Z5734" i="1"/>
  <c r="A5735" i="1"/>
  <c r="B5735" i="1"/>
  <c r="C5735" i="1"/>
  <c r="D5735" i="1"/>
  <c r="E5735" i="1"/>
  <c r="F5735" i="1"/>
  <c r="G5735" i="1"/>
  <c r="I5735" i="1"/>
  <c r="J5735" i="1"/>
  <c r="K5735" i="1"/>
  <c r="L5735" i="1"/>
  <c r="M5735" i="1"/>
  <c r="N5735" i="1"/>
  <c r="O5735" i="1"/>
  <c r="P5735" i="1"/>
  <c r="Q5735" i="1"/>
  <c r="R5735" i="1"/>
  <c r="S5735" i="1"/>
  <c r="T5735" i="1"/>
  <c r="U5735" i="1"/>
  <c r="V5735" i="1"/>
  <c r="W5735" i="1"/>
  <c r="X5735" i="1"/>
  <c r="Y5735" i="1"/>
  <c r="Z5735" i="1"/>
  <c r="A5736" i="1"/>
  <c r="B5736" i="1"/>
  <c r="C5736" i="1"/>
  <c r="D5736" i="1"/>
  <c r="E5736" i="1"/>
  <c r="F5736" i="1"/>
  <c r="G5736" i="1"/>
  <c r="I5736" i="1"/>
  <c r="J5736" i="1"/>
  <c r="K5736" i="1"/>
  <c r="L5736" i="1"/>
  <c r="M5736" i="1"/>
  <c r="N5736" i="1"/>
  <c r="O5736" i="1"/>
  <c r="P5736" i="1"/>
  <c r="Q5736" i="1"/>
  <c r="R5736" i="1"/>
  <c r="S5736" i="1"/>
  <c r="T5736" i="1"/>
  <c r="U5736" i="1"/>
  <c r="V5736" i="1"/>
  <c r="W5736" i="1"/>
  <c r="X5736" i="1"/>
  <c r="Y5736" i="1"/>
  <c r="Z5736" i="1"/>
  <c r="A5737" i="1"/>
  <c r="B5737" i="1"/>
  <c r="C5737" i="1"/>
  <c r="D5737" i="1"/>
  <c r="E5737" i="1"/>
  <c r="F5737" i="1"/>
  <c r="G5737" i="1"/>
  <c r="I5737" i="1"/>
  <c r="J5737" i="1"/>
  <c r="K5737" i="1"/>
  <c r="L5737" i="1"/>
  <c r="M5737" i="1"/>
  <c r="N5737" i="1"/>
  <c r="O5737" i="1"/>
  <c r="P5737" i="1"/>
  <c r="Q5737" i="1"/>
  <c r="R5737" i="1"/>
  <c r="S5737" i="1"/>
  <c r="T5737" i="1"/>
  <c r="U5737" i="1"/>
  <c r="V5737" i="1"/>
  <c r="W5737" i="1"/>
  <c r="X5737" i="1"/>
  <c r="Y5737" i="1"/>
  <c r="Z5737" i="1"/>
  <c r="A5738" i="1"/>
  <c r="B5738" i="1"/>
  <c r="C5738" i="1"/>
  <c r="D5738" i="1"/>
  <c r="E5738" i="1"/>
  <c r="F5738" i="1"/>
  <c r="G5738" i="1"/>
  <c r="I5738" i="1"/>
  <c r="J5738" i="1"/>
  <c r="K5738" i="1"/>
  <c r="L5738" i="1"/>
  <c r="M5738" i="1"/>
  <c r="N5738" i="1"/>
  <c r="O5738" i="1"/>
  <c r="P5738" i="1"/>
  <c r="Q5738" i="1"/>
  <c r="R5738" i="1"/>
  <c r="S5738" i="1"/>
  <c r="T5738" i="1"/>
  <c r="U5738" i="1"/>
  <c r="V5738" i="1"/>
  <c r="W5738" i="1"/>
  <c r="X5738" i="1"/>
  <c r="Y5738" i="1"/>
  <c r="Z5738" i="1"/>
  <c r="A5739" i="1"/>
  <c r="B5739" i="1"/>
  <c r="C5739" i="1"/>
  <c r="D5739" i="1"/>
  <c r="E5739" i="1"/>
  <c r="F5739" i="1"/>
  <c r="G5739" i="1"/>
  <c r="I5739" i="1"/>
  <c r="J5739" i="1"/>
  <c r="K5739" i="1"/>
  <c r="L5739" i="1"/>
  <c r="M5739" i="1"/>
  <c r="N5739" i="1"/>
  <c r="O5739" i="1"/>
  <c r="P5739" i="1"/>
  <c r="Q5739" i="1"/>
  <c r="R5739" i="1"/>
  <c r="S5739" i="1"/>
  <c r="T5739" i="1"/>
  <c r="U5739" i="1"/>
  <c r="V5739" i="1"/>
  <c r="W5739" i="1"/>
  <c r="X5739" i="1"/>
  <c r="Y5739" i="1"/>
  <c r="Z5739" i="1"/>
  <c r="A5740" i="1"/>
  <c r="B5740" i="1"/>
  <c r="C5740" i="1"/>
  <c r="D5740" i="1"/>
  <c r="E5740" i="1"/>
  <c r="F5740" i="1"/>
  <c r="G5740" i="1"/>
  <c r="I5740" i="1"/>
  <c r="J5740" i="1"/>
  <c r="K5740" i="1"/>
  <c r="L5740" i="1"/>
  <c r="M5740" i="1"/>
  <c r="N5740" i="1"/>
  <c r="O5740" i="1"/>
  <c r="P5740" i="1"/>
  <c r="Q5740" i="1"/>
  <c r="R5740" i="1"/>
  <c r="S5740" i="1"/>
  <c r="T5740" i="1"/>
  <c r="U5740" i="1"/>
  <c r="V5740" i="1"/>
  <c r="W5740" i="1"/>
  <c r="X5740" i="1"/>
  <c r="Y5740" i="1"/>
  <c r="Z5740" i="1"/>
  <c r="A5741" i="1"/>
  <c r="B5741" i="1"/>
  <c r="C5741" i="1"/>
  <c r="D5741" i="1"/>
  <c r="E5741" i="1"/>
  <c r="F5741" i="1"/>
  <c r="G5741" i="1"/>
  <c r="I5741" i="1"/>
  <c r="J5741" i="1"/>
  <c r="K5741" i="1"/>
  <c r="L5741" i="1"/>
  <c r="M5741" i="1"/>
  <c r="N5741" i="1"/>
  <c r="O5741" i="1"/>
  <c r="P5741" i="1"/>
  <c r="Q5741" i="1"/>
  <c r="R5741" i="1"/>
  <c r="S5741" i="1"/>
  <c r="T5741" i="1"/>
  <c r="U5741" i="1"/>
  <c r="V5741" i="1"/>
  <c r="W5741" i="1"/>
  <c r="X5741" i="1"/>
  <c r="Y5741" i="1"/>
  <c r="Z5741" i="1"/>
  <c r="A5742" i="1"/>
  <c r="B5742" i="1"/>
  <c r="C5742" i="1"/>
  <c r="D5742" i="1"/>
  <c r="E5742" i="1"/>
  <c r="F5742" i="1"/>
  <c r="G5742" i="1"/>
  <c r="I5742" i="1"/>
  <c r="J5742" i="1"/>
  <c r="K5742" i="1"/>
  <c r="L5742" i="1"/>
  <c r="M5742" i="1"/>
  <c r="N5742" i="1"/>
  <c r="O5742" i="1"/>
  <c r="P5742" i="1"/>
  <c r="Q5742" i="1"/>
  <c r="R5742" i="1"/>
  <c r="S5742" i="1"/>
  <c r="T5742" i="1"/>
  <c r="U5742" i="1"/>
  <c r="V5742" i="1"/>
  <c r="W5742" i="1"/>
  <c r="X5742" i="1"/>
  <c r="Y5742" i="1"/>
  <c r="Z5742" i="1"/>
  <c r="A5743" i="1"/>
  <c r="B5743" i="1"/>
  <c r="C5743" i="1"/>
  <c r="D5743" i="1"/>
  <c r="E5743" i="1"/>
  <c r="F5743" i="1"/>
  <c r="G5743" i="1"/>
  <c r="I5743" i="1"/>
  <c r="J5743" i="1"/>
  <c r="K5743" i="1"/>
  <c r="L5743" i="1"/>
  <c r="M5743" i="1"/>
  <c r="N5743" i="1"/>
  <c r="O5743" i="1"/>
  <c r="P5743" i="1"/>
  <c r="Q5743" i="1"/>
  <c r="R5743" i="1"/>
  <c r="S5743" i="1"/>
  <c r="T5743" i="1"/>
  <c r="U5743" i="1"/>
  <c r="V5743" i="1"/>
  <c r="W5743" i="1"/>
  <c r="X5743" i="1"/>
  <c r="Y5743" i="1"/>
  <c r="Z5743" i="1"/>
  <c r="A5744" i="1"/>
  <c r="B5744" i="1"/>
  <c r="C5744" i="1"/>
  <c r="D5744" i="1"/>
  <c r="E5744" i="1"/>
  <c r="F5744" i="1"/>
  <c r="G5744" i="1"/>
  <c r="I5744" i="1"/>
  <c r="J5744" i="1"/>
  <c r="K5744" i="1"/>
  <c r="L5744" i="1"/>
  <c r="M5744" i="1"/>
  <c r="N5744" i="1"/>
  <c r="O5744" i="1"/>
  <c r="P5744" i="1"/>
  <c r="Q5744" i="1"/>
  <c r="R5744" i="1"/>
  <c r="S5744" i="1"/>
  <c r="T5744" i="1"/>
  <c r="U5744" i="1"/>
  <c r="V5744" i="1"/>
  <c r="W5744" i="1"/>
  <c r="X5744" i="1"/>
  <c r="Y5744" i="1"/>
  <c r="Z5744" i="1"/>
  <c r="A5745" i="1"/>
  <c r="B5745" i="1"/>
  <c r="C5745" i="1"/>
  <c r="D5745" i="1"/>
  <c r="E5745" i="1"/>
  <c r="F5745" i="1"/>
  <c r="G5745" i="1"/>
  <c r="I5745" i="1"/>
  <c r="J5745" i="1"/>
  <c r="K5745" i="1"/>
  <c r="L5745" i="1"/>
  <c r="M5745" i="1"/>
  <c r="N5745" i="1"/>
  <c r="O5745" i="1"/>
  <c r="P5745" i="1"/>
  <c r="Q5745" i="1"/>
  <c r="R5745" i="1"/>
  <c r="S5745" i="1"/>
  <c r="T5745" i="1"/>
  <c r="U5745" i="1"/>
  <c r="V5745" i="1"/>
  <c r="W5745" i="1"/>
  <c r="X5745" i="1"/>
  <c r="Y5745" i="1"/>
  <c r="Z5745" i="1"/>
  <c r="A5746" i="1"/>
  <c r="B5746" i="1"/>
  <c r="C5746" i="1"/>
  <c r="D5746" i="1"/>
  <c r="E5746" i="1"/>
  <c r="F5746" i="1"/>
  <c r="G5746" i="1"/>
  <c r="I5746" i="1"/>
  <c r="J5746" i="1"/>
  <c r="K5746" i="1"/>
  <c r="L5746" i="1"/>
  <c r="M5746" i="1"/>
  <c r="N5746" i="1"/>
  <c r="O5746" i="1"/>
  <c r="P5746" i="1"/>
  <c r="Q5746" i="1"/>
  <c r="R5746" i="1"/>
  <c r="S5746" i="1"/>
  <c r="T5746" i="1"/>
  <c r="U5746" i="1"/>
  <c r="V5746" i="1"/>
  <c r="W5746" i="1"/>
  <c r="X5746" i="1"/>
  <c r="Y5746" i="1"/>
  <c r="Z5746" i="1"/>
  <c r="A5747" i="1"/>
  <c r="B5747" i="1"/>
  <c r="C5747" i="1"/>
  <c r="D5747" i="1"/>
  <c r="E5747" i="1"/>
  <c r="F5747" i="1"/>
  <c r="G5747" i="1"/>
  <c r="I5747" i="1"/>
  <c r="J5747" i="1"/>
  <c r="K5747" i="1"/>
  <c r="L5747" i="1"/>
  <c r="M5747" i="1"/>
  <c r="N5747" i="1"/>
  <c r="O5747" i="1"/>
  <c r="P5747" i="1"/>
  <c r="Q5747" i="1"/>
  <c r="R5747" i="1"/>
  <c r="S5747" i="1"/>
  <c r="T5747" i="1"/>
  <c r="U5747" i="1"/>
  <c r="V5747" i="1"/>
  <c r="W5747" i="1"/>
  <c r="X5747" i="1"/>
  <c r="Y5747" i="1"/>
  <c r="Z5747" i="1"/>
  <c r="A5748" i="1"/>
  <c r="B5748" i="1"/>
  <c r="C5748" i="1"/>
  <c r="D5748" i="1"/>
  <c r="E5748" i="1"/>
  <c r="F5748" i="1"/>
  <c r="G5748" i="1"/>
  <c r="I5748" i="1"/>
  <c r="J5748" i="1"/>
  <c r="K5748" i="1"/>
  <c r="L5748" i="1"/>
  <c r="M5748" i="1"/>
  <c r="N5748" i="1"/>
  <c r="O5748" i="1"/>
  <c r="P5748" i="1"/>
  <c r="Q5748" i="1"/>
  <c r="R5748" i="1"/>
  <c r="S5748" i="1"/>
  <c r="T5748" i="1"/>
  <c r="U5748" i="1"/>
  <c r="V5748" i="1"/>
  <c r="W5748" i="1"/>
  <c r="X5748" i="1"/>
  <c r="Y5748" i="1"/>
  <c r="Z5748" i="1"/>
  <c r="A5749" i="1"/>
  <c r="B5749" i="1"/>
  <c r="C5749" i="1"/>
  <c r="D5749" i="1"/>
  <c r="E5749" i="1"/>
  <c r="F5749" i="1"/>
  <c r="G5749" i="1"/>
  <c r="I5749" i="1"/>
  <c r="J5749" i="1"/>
  <c r="K5749" i="1"/>
  <c r="L5749" i="1"/>
  <c r="M5749" i="1"/>
  <c r="N5749" i="1"/>
  <c r="O5749" i="1"/>
  <c r="P5749" i="1"/>
  <c r="Q5749" i="1"/>
  <c r="R5749" i="1"/>
  <c r="S5749" i="1"/>
  <c r="T5749" i="1"/>
  <c r="U5749" i="1"/>
  <c r="V5749" i="1"/>
  <c r="W5749" i="1"/>
  <c r="X5749" i="1"/>
  <c r="Y5749" i="1"/>
  <c r="Z5749" i="1"/>
  <c r="A5750" i="1"/>
  <c r="B5750" i="1"/>
  <c r="C5750" i="1"/>
  <c r="D5750" i="1"/>
  <c r="E5750" i="1"/>
  <c r="F5750" i="1"/>
  <c r="G5750" i="1"/>
  <c r="I5750" i="1"/>
  <c r="J5750" i="1"/>
  <c r="K5750" i="1"/>
  <c r="L5750" i="1"/>
  <c r="M5750" i="1"/>
  <c r="N5750" i="1"/>
  <c r="O5750" i="1"/>
  <c r="P5750" i="1"/>
  <c r="Q5750" i="1"/>
  <c r="R5750" i="1"/>
  <c r="S5750" i="1"/>
  <c r="T5750" i="1"/>
  <c r="U5750" i="1"/>
  <c r="V5750" i="1"/>
  <c r="W5750" i="1"/>
  <c r="X5750" i="1"/>
  <c r="Y5750" i="1"/>
  <c r="Z5750" i="1"/>
  <c r="A5751" i="1"/>
  <c r="B5751" i="1"/>
  <c r="C5751" i="1"/>
  <c r="D5751" i="1"/>
  <c r="E5751" i="1"/>
  <c r="F5751" i="1"/>
  <c r="G5751" i="1"/>
  <c r="I5751" i="1"/>
  <c r="J5751" i="1"/>
  <c r="K5751" i="1"/>
  <c r="L5751" i="1"/>
  <c r="M5751" i="1"/>
  <c r="N5751" i="1"/>
  <c r="O5751" i="1"/>
  <c r="P5751" i="1"/>
  <c r="Q5751" i="1"/>
  <c r="R5751" i="1"/>
  <c r="S5751" i="1"/>
  <c r="T5751" i="1"/>
  <c r="U5751" i="1"/>
  <c r="V5751" i="1"/>
  <c r="W5751" i="1"/>
  <c r="X5751" i="1"/>
  <c r="Y5751" i="1"/>
  <c r="Z5751" i="1"/>
  <c r="A5752" i="1"/>
  <c r="B5752" i="1"/>
  <c r="C5752" i="1"/>
  <c r="D5752" i="1"/>
  <c r="E5752" i="1"/>
  <c r="F5752" i="1"/>
  <c r="G5752" i="1"/>
  <c r="I5752" i="1"/>
  <c r="J5752" i="1"/>
  <c r="K5752" i="1"/>
  <c r="L5752" i="1"/>
  <c r="M5752" i="1"/>
  <c r="N5752" i="1"/>
  <c r="O5752" i="1"/>
  <c r="P5752" i="1"/>
  <c r="Q5752" i="1"/>
  <c r="R5752" i="1"/>
  <c r="S5752" i="1"/>
  <c r="T5752" i="1"/>
  <c r="U5752" i="1"/>
  <c r="V5752" i="1"/>
  <c r="W5752" i="1"/>
  <c r="X5752" i="1"/>
  <c r="Y5752" i="1"/>
  <c r="Z5752" i="1"/>
  <c r="A5753" i="1"/>
  <c r="B5753" i="1"/>
  <c r="C5753" i="1"/>
  <c r="D5753" i="1"/>
  <c r="E5753" i="1"/>
  <c r="F5753" i="1"/>
  <c r="G5753" i="1"/>
  <c r="I5753" i="1"/>
  <c r="J5753" i="1"/>
  <c r="K5753" i="1"/>
  <c r="L5753" i="1"/>
  <c r="M5753" i="1"/>
  <c r="N5753" i="1"/>
  <c r="O5753" i="1"/>
  <c r="P5753" i="1"/>
  <c r="Q5753" i="1"/>
  <c r="R5753" i="1"/>
  <c r="S5753" i="1"/>
  <c r="T5753" i="1"/>
  <c r="U5753" i="1"/>
  <c r="V5753" i="1"/>
  <c r="W5753" i="1"/>
  <c r="X5753" i="1"/>
  <c r="Y5753" i="1"/>
  <c r="Z5753" i="1"/>
  <c r="A5754" i="1"/>
  <c r="B5754" i="1"/>
  <c r="C5754" i="1"/>
  <c r="D5754" i="1"/>
  <c r="E5754" i="1"/>
  <c r="F5754" i="1"/>
  <c r="G5754" i="1"/>
  <c r="I5754" i="1"/>
  <c r="J5754" i="1"/>
  <c r="K5754" i="1"/>
  <c r="L5754" i="1"/>
  <c r="M5754" i="1"/>
  <c r="N5754" i="1"/>
  <c r="O5754" i="1"/>
  <c r="P5754" i="1"/>
  <c r="Q5754" i="1"/>
  <c r="R5754" i="1"/>
  <c r="S5754" i="1"/>
  <c r="T5754" i="1"/>
  <c r="U5754" i="1"/>
  <c r="V5754" i="1"/>
  <c r="W5754" i="1"/>
  <c r="X5754" i="1"/>
  <c r="Y5754" i="1"/>
  <c r="Z5754" i="1"/>
  <c r="A5755" i="1"/>
  <c r="B5755" i="1"/>
  <c r="C5755" i="1"/>
  <c r="D5755" i="1"/>
  <c r="E5755" i="1"/>
  <c r="F5755" i="1"/>
  <c r="G5755" i="1"/>
  <c r="I5755" i="1"/>
  <c r="J5755" i="1"/>
  <c r="K5755" i="1"/>
  <c r="L5755" i="1"/>
  <c r="M5755" i="1"/>
  <c r="N5755" i="1"/>
  <c r="O5755" i="1"/>
  <c r="P5755" i="1"/>
  <c r="Q5755" i="1"/>
  <c r="R5755" i="1"/>
  <c r="S5755" i="1"/>
  <c r="T5755" i="1"/>
  <c r="U5755" i="1"/>
  <c r="V5755" i="1"/>
  <c r="W5755" i="1"/>
  <c r="X5755" i="1"/>
  <c r="Y5755" i="1"/>
  <c r="Z5755" i="1"/>
  <c r="A5756" i="1"/>
  <c r="B5756" i="1"/>
  <c r="C5756" i="1"/>
  <c r="D5756" i="1"/>
  <c r="E5756" i="1"/>
  <c r="F5756" i="1"/>
  <c r="G5756" i="1"/>
  <c r="I5756" i="1"/>
  <c r="J5756" i="1"/>
  <c r="K5756" i="1"/>
  <c r="L5756" i="1"/>
  <c r="M5756" i="1"/>
  <c r="N5756" i="1"/>
  <c r="O5756" i="1"/>
  <c r="P5756" i="1"/>
  <c r="Q5756" i="1"/>
  <c r="R5756" i="1"/>
  <c r="S5756" i="1"/>
  <c r="T5756" i="1"/>
  <c r="U5756" i="1"/>
  <c r="V5756" i="1"/>
  <c r="W5756" i="1"/>
  <c r="X5756" i="1"/>
  <c r="Y5756" i="1"/>
  <c r="Z5756" i="1"/>
  <c r="A5757" i="1"/>
  <c r="B5757" i="1"/>
  <c r="C5757" i="1"/>
  <c r="D5757" i="1"/>
  <c r="E5757" i="1"/>
  <c r="F5757" i="1"/>
  <c r="G5757" i="1"/>
  <c r="I5757" i="1"/>
  <c r="J5757" i="1"/>
  <c r="K5757" i="1"/>
  <c r="L5757" i="1"/>
  <c r="M5757" i="1"/>
  <c r="N5757" i="1"/>
  <c r="O5757" i="1"/>
  <c r="P5757" i="1"/>
  <c r="Q5757" i="1"/>
  <c r="R5757" i="1"/>
  <c r="S5757" i="1"/>
  <c r="T5757" i="1"/>
  <c r="U5757" i="1"/>
  <c r="V5757" i="1"/>
  <c r="W5757" i="1"/>
  <c r="X5757" i="1"/>
  <c r="Y5757" i="1"/>
  <c r="Z5757" i="1"/>
  <c r="A5758" i="1"/>
  <c r="B5758" i="1"/>
  <c r="C5758" i="1"/>
  <c r="D5758" i="1"/>
  <c r="E5758" i="1"/>
  <c r="F5758" i="1"/>
  <c r="G5758" i="1"/>
  <c r="I5758" i="1"/>
  <c r="J5758" i="1"/>
  <c r="K5758" i="1"/>
  <c r="L5758" i="1"/>
  <c r="M5758" i="1"/>
  <c r="N5758" i="1"/>
  <c r="O5758" i="1"/>
  <c r="P5758" i="1"/>
  <c r="Q5758" i="1"/>
  <c r="R5758" i="1"/>
  <c r="S5758" i="1"/>
  <c r="T5758" i="1"/>
  <c r="U5758" i="1"/>
  <c r="V5758" i="1"/>
  <c r="W5758" i="1"/>
  <c r="X5758" i="1"/>
  <c r="Y5758" i="1"/>
  <c r="Z5758" i="1"/>
  <c r="A5759" i="1"/>
  <c r="B5759" i="1"/>
  <c r="C5759" i="1"/>
  <c r="D5759" i="1"/>
  <c r="E5759" i="1"/>
  <c r="F5759" i="1"/>
  <c r="G5759" i="1"/>
  <c r="I5759" i="1"/>
  <c r="J5759" i="1"/>
  <c r="K5759" i="1"/>
  <c r="L5759" i="1"/>
  <c r="M5759" i="1"/>
  <c r="N5759" i="1"/>
  <c r="O5759" i="1"/>
  <c r="P5759" i="1"/>
  <c r="Q5759" i="1"/>
  <c r="R5759" i="1"/>
  <c r="S5759" i="1"/>
  <c r="T5759" i="1"/>
  <c r="U5759" i="1"/>
  <c r="V5759" i="1"/>
  <c r="W5759" i="1"/>
  <c r="X5759" i="1"/>
  <c r="Y5759" i="1"/>
  <c r="Z5759" i="1"/>
  <c r="A5760" i="1"/>
  <c r="B5760" i="1"/>
  <c r="C5760" i="1"/>
  <c r="D5760" i="1"/>
  <c r="E5760" i="1"/>
  <c r="F5760" i="1"/>
  <c r="G5760" i="1"/>
  <c r="I5760" i="1"/>
  <c r="J5760" i="1"/>
  <c r="K5760" i="1"/>
  <c r="L5760" i="1"/>
  <c r="M5760" i="1"/>
  <c r="N5760" i="1"/>
  <c r="O5760" i="1"/>
  <c r="P5760" i="1"/>
  <c r="Q5760" i="1"/>
  <c r="R5760" i="1"/>
  <c r="S5760" i="1"/>
  <c r="T5760" i="1"/>
  <c r="U5760" i="1"/>
  <c r="V5760" i="1"/>
  <c r="W5760" i="1"/>
  <c r="X5760" i="1"/>
  <c r="Y5760" i="1"/>
  <c r="Z5760" i="1"/>
  <c r="A5761" i="1"/>
  <c r="B5761" i="1"/>
  <c r="C5761" i="1"/>
  <c r="D5761" i="1"/>
  <c r="E5761" i="1"/>
  <c r="F5761" i="1"/>
  <c r="G5761" i="1"/>
  <c r="I5761" i="1"/>
  <c r="J5761" i="1"/>
  <c r="K5761" i="1"/>
  <c r="L5761" i="1"/>
  <c r="M5761" i="1"/>
  <c r="N5761" i="1"/>
  <c r="O5761" i="1"/>
  <c r="P5761" i="1"/>
  <c r="Q5761" i="1"/>
  <c r="R5761" i="1"/>
  <c r="S5761" i="1"/>
  <c r="T5761" i="1"/>
  <c r="U5761" i="1"/>
  <c r="V5761" i="1"/>
  <c r="W5761" i="1"/>
  <c r="X5761" i="1"/>
  <c r="Y5761" i="1"/>
  <c r="Z5761" i="1"/>
  <c r="A5762" i="1"/>
  <c r="B5762" i="1"/>
  <c r="C5762" i="1"/>
  <c r="D5762" i="1"/>
  <c r="E5762" i="1"/>
  <c r="F5762" i="1"/>
  <c r="G5762" i="1"/>
  <c r="I5762" i="1"/>
  <c r="J5762" i="1"/>
  <c r="K5762" i="1"/>
  <c r="L5762" i="1"/>
  <c r="M5762" i="1"/>
  <c r="N5762" i="1"/>
  <c r="O5762" i="1"/>
  <c r="P5762" i="1"/>
  <c r="Q5762" i="1"/>
  <c r="R5762" i="1"/>
  <c r="S5762" i="1"/>
  <c r="T5762" i="1"/>
  <c r="U5762" i="1"/>
  <c r="V5762" i="1"/>
  <c r="W5762" i="1"/>
  <c r="X5762" i="1"/>
  <c r="Y5762" i="1"/>
  <c r="Z5762" i="1"/>
  <c r="A5763" i="1"/>
  <c r="B5763" i="1"/>
  <c r="C5763" i="1"/>
  <c r="D5763" i="1"/>
  <c r="E5763" i="1"/>
  <c r="F5763" i="1"/>
  <c r="G5763" i="1"/>
  <c r="I5763" i="1"/>
  <c r="J5763" i="1"/>
  <c r="K5763" i="1"/>
  <c r="L5763" i="1"/>
  <c r="M5763" i="1"/>
  <c r="N5763" i="1"/>
  <c r="O5763" i="1"/>
  <c r="P5763" i="1"/>
  <c r="Q5763" i="1"/>
  <c r="R5763" i="1"/>
  <c r="S5763" i="1"/>
  <c r="T5763" i="1"/>
  <c r="U5763" i="1"/>
  <c r="V5763" i="1"/>
  <c r="W5763" i="1"/>
  <c r="X5763" i="1"/>
  <c r="Y5763" i="1"/>
  <c r="Z5763" i="1"/>
  <c r="A5764" i="1"/>
  <c r="B5764" i="1"/>
  <c r="C5764" i="1"/>
  <c r="D5764" i="1"/>
  <c r="E5764" i="1"/>
  <c r="F5764" i="1"/>
  <c r="G5764" i="1"/>
  <c r="I5764" i="1"/>
  <c r="J5764" i="1"/>
  <c r="K5764" i="1"/>
  <c r="L5764" i="1"/>
  <c r="M5764" i="1"/>
  <c r="N5764" i="1"/>
  <c r="O5764" i="1"/>
  <c r="P5764" i="1"/>
  <c r="Q5764" i="1"/>
  <c r="R5764" i="1"/>
  <c r="S5764" i="1"/>
  <c r="T5764" i="1"/>
  <c r="U5764" i="1"/>
  <c r="V5764" i="1"/>
  <c r="W5764" i="1"/>
  <c r="X5764" i="1"/>
  <c r="Y5764" i="1"/>
  <c r="Z5764" i="1"/>
  <c r="A5765" i="1"/>
  <c r="B5765" i="1"/>
  <c r="C5765" i="1"/>
  <c r="D5765" i="1"/>
  <c r="E5765" i="1"/>
  <c r="F5765" i="1"/>
  <c r="G5765" i="1"/>
  <c r="I5765" i="1"/>
  <c r="J5765" i="1"/>
  <c r="K5765" i="1"/>
  <c r="L5765" i="1"/>
  <c r="M5765" i="1"/>
  <c r="N5765" i="1"/>
  <c r="O5765" i="1"/>
  <c r="P5765" i="1"/>
  <c r="Q5765" i="1"/>
  <c r="R5765" i="1"/>
  <c r="S5765" i="1"/>
  <c r="T5765" i="1"/>
  <c r="U5765" i="1"/>
  <c r="V5765" i="1"/>
  <c r="W5765" i="1"/>
  <c r="X5765" i="1"/>
  <c r="Y5765" i="1"/>
  <c r="Z5765" i="1"/>
  <c r="A5766" i="1"/>
  <c r="B5766" i="1"/>
  <c r="C5766" i="1"/>
  <c r="D5766" i="1"/>
  <c r="E5766" i="1"/>
  <c r="F5766" i="1"/>
  <c r="G5766" i="1"/>
  <c r="I5766" i="1"/>
  <c r="J5766" i="1"/>
  <c r="K5766" i="1"/>
  <c r="L5766" i="1"/>
  <c r="M5766" i="1"/>
  <c r="N5766" i="1"/>
  <c r="O5766" i="1"/>
  <c r="P5766" i="1"/>
  <c r="Q5766" i="1"/>
  <c r="R5766" i="1"/>
  <c r="S5766" i="1"/>
  <c r="T5766" i="1"/>
  <c r="U5766" i="1"/>
  <c r="V5766" i="1"/>
  <c r="W5766" i="1"/>
  <c r="X5766" i="1"/>
  <c r="Y5766" i="1"/>
  <c r="Z5766" i="1"/>
  <c r="A5767" i="1"/>
  <c r="B5767" i="1"/>
  <c r="C5767" i="1"/>
  <c r="D5767" i="1"/>
  <c r="E5767" i="1"/>
  <c r="F5767" i="1"/>
  <c r="G5767" i="1"/>
  <c r="I5767" i="1"/>
  <c r="J5767" i="1"/>
  <c r="K5767" i="1"/>
  <c r="L5767" i="1"/>
  <c r="M5767" i="1"/>
  <c r="N5767" i="1"/>
  <c r="O5767" i="1"/>
  <c r="P5767" i="1"/>
  <c r="Q5767" i="1"/>
  <c r="R5767" i="1"/>
  <c r="S5767" i="1"/>
  <c r="T5767" i="1"/>
  <c r="U5767" i="1"/>
  <c r="V5767" i="1"/>
  <c r="W5767" i="1"/>
  <c r="X5767" i="1"/>
  <c r="Y5767" i="1"/>
  <c r="Z5767" i="1"/>
  <c r="A5768" i="1"/>
  <c r="B5768" i="1"/>
  <c r="C5768" i="1"/>
  <c r="D5768" i="1"/>
  <c r="E5768" i="1"/>
  <c r="F5768" i="1"/>
  <c r="G5768" i="1"/>
  <c r="I5768" i="1"/>
  <c r="J5768" i="1"/>
  <c r="K5768" i="1"/>
  <c r="L5768" i="1"/>
  <c r="M5768" i="1"/>
  <c r="N5768" i="1"/>
  <c r="O5768" i="1"/>
  <c r="P5768" i="1"/>
  <c r="Q5768" i="1"/>
  <c r="R5768" i="1"/>
  <c r="S5768" i="1"/>
  <c r="T5768" i="1"/>
  <c r="U5768" i="1"/>
  <c r="V5768" i="1"/>
  <c r="W5768" i="1"/>
  <c r="X5768" i="1"/>
  <c r="Y5768" i="1"/>
  <c r="Z5768" i="1"/>
  <c r="A5769" i="1"/>
  <c r="B5769" i="1"/>
  <c r="C5769" i="1"/>
  <c r="D5769" i="1"/>
  <c r="E5769" i="1"/>
  <c r="F5769" i="1"/>
  <c r="G5769" i="1"/>
  <c r="I5769" i="1"/>
  <c r="J5769" i="1"/>
  <c r="K5769" i="1"/>
  <c r="L5769" i="1"/>
  <c r="M5769" i="1"/>
  <c r="N5769" i="1"/>
  <c r="O5769" i="1"/>
  <c r="P5769" i="1"/>
  <c r="Q5769" i="1"/>
  <c r="R5769" i="1"/>
  <c r="S5769" i="1"/>
  <c r="T5769" i="1"/>
  <c r="U5769" i="1"/>
  <c r="V5769" i="1"/>
  <c r="W5769" i="1"/>
  <c r="X5769" i="1"/>
  <c r="Y5769" i="1"/>
  <c r="Z5769" i="1"/>
  <c r="A5770" i="1"/>
  <c r="B5770" i="1"/>
  <c r="C5770" i="1"/>
  <c r="D5770" i="1"/>
  <c r="E5770" i="1"/>
  <c r="F5770" i="1"/>
  <c r="G5770" i="1"/>
  <c r="I5770" i="1"/>
  <c r="J5770" i="1"/>
  <c r="K5770" i="1"/>
  <c r="L5770" i="1"/>
  <c r="M5770" i="1"/>
  <c r="N5770" i="1"/>
  <c r="O5770" i="1"/>
  <c r="P5770" i="1"/>
  <c r="Q5770" i="1"/>
  <c r="R5770" i="1"/>
  <c r="S5770" i="1"/>
  <c r="T5770" i="1"/>
  <c r="U5770" i="1"/>
  <c r="V5770" i="1"/>
  <c r="W5770" i="1"/>
  <c r="X5770" i="1"/>
  <c r="Y5770" i="1"/>
  <c r="Z5770" i="1"/>
  <c r="A5771" i="1"/>
  <c r="B5771" i="1"/>
  <c r="C5771" i="1"/>
  <c r="D5771" i="1"/>
  <c r="E5771" i="1"/>
  <c r="F5771" i="1"/>
  <c r="G5771" i="1"/>
  <c r="I5771" i="1"/>
  <c r="J5771" i="1"/>
  <c r="K5771" i="1"/>
  <c r="L5771" i="1"/>
  <c r="M5771" i="1"/>
  <c r="N5771" i="1"/>
  <c r="O5771" i="1"/>
  <c r="P5771" i="1"/>
  <c r="Q5771" i="1"/>
  <c r="R5771" i="1"/>
  <c r="S5771" i="1"/>
  <c r="T5771" i="1"/>
  <c r="U5771" i="1"/>
  <c r="V5771" i="1"/>
  <c r="W5771" i="1"/>
  <c r="X5771" i="1"/>
  <c r="Y5771" i="1"/>
  <c r="Z5771" i="1"/>
  <c r="A5772" i="1"/>
  <c r="B5772" i="1"/>
  <c r="C5772" i="1"/>
  <c r="D5772" i="1"/>
  <c r="E5772" i="1"/>
  <c r="F5772" i="1"/>
  <c r="G5772" i="1"/>
  <c r="I5772" i="1"/>
  <c r="J5772" i="1"/>
  <c r="K5772" i="1"/>
  <c r="L5772" i="1"/>
  <c r="M5772" i="1"/>
  <c r="N5772" i="1"/>
  <c r="O5772" i="1"/>
  <c r="P5772" i="1"/>
  <c r="Q5772" i="1"/>
  <c r="R5772" i="1"/>
  <c r="S5772" i="1"/>
  <c r="T5772" i="1"/>
  <c r="U5772" i="1"/>
  <c r="V5772" i="1"/>
  <c r="W5772" i="1"/>
  <c r="X5772" i="1"/>
  <c r="Y5772" i="1"/>
  <c r="Z5772" i="1"/>
  <c r="A5773" i="1"/>
  <c r="B5773" i="1"/>
  <c r="C5773" i="1"/>
  <c r="D5773" i="1"/>
  <c r="E5773" i="1"/>
  <c r="F5773" i="1"/>
  <c r="G5773" i="1"/>
  <c r="I5773" i="1"/>
  <c r="J5773" i="1"/>
  <c r="K5773" i="1"/>
  <c r="L5773" i="1"/>
  <c r="M5773" i="1"/>
  <c r="N5773" i="1"/>
  <c r="O5773" i="1"/>
  <c r="P5773" i="1"/>
  <c r="Q5773" i="1"/>
  <c r="R5773" i="1"/>
  <c r="S5773" i="1"/>
  <c r="T5773" i="1"/>
  <c r="U5773" i="1"/>
  <c r="V5773" i="1"/>
  <c r="W5773" i="1"/>
  <c r="X5773" i="1"/>
  <c r="Y5773" i="1"/>
  <c r="Z5773" i="1"/>
  <c r="A5774" i="1"/>
  <c r="B5774" i="1"/>
  <c r="C5774" i="1"/>
  <c r="D5774" i="1"/>
  <c r="E5774" i="1"/>
  <c r="F5774" i="1"/>
  <c r="G5774" i="1"/>
  <c r="I5774" i="1"/>
  <c r="J5774" i="1"/>
  <c r="K5774" i="1"/>
  <c r="L5774" i="1"/>
  <c r="M5774" i="1"/>
  <c r="N5774" i="1"/>
  <c r="O5774" i="1"/>
  <c r="P5774" i="1"/>
  <c r="Q5774" i="1"/>
  <c r="R5774" i="1"/>
  <c r="S5774" i="1"/>
  <c r="T5774" i="1"/>
  <c r="U5774" i="1"/>
  <c r="V5774" i="1"/>
  <c r="W5774" i="1"/>
  <c r="X5774" i="1"/>
  <c r="Y5774" i="1"/>
  <c r="Z5774" i="1"/>
  <c r="A5775" i="1"/>
  <c r="B5775" i="1"/>
  <c r="C5775" i="1"/>
  <c r="D5775" i="1"/>
  <c r="E5775" i="1"/>
  <c r="F5775" i="1"/>
  <c r="G5775" i="1"/>
  <c r="I5775" i="1"/>
  <c r="J5775" i="1"/>
  <c r="K5775" i="1"/>
  <c r="L5775" i="1"/>
  <c r="M5775" i="1"/>
  <c r="N5775" i="1"/>
  <c r="O5775" i="1"/>
  <c r="P5775" i="1"/>
  <c r="Q5775" i="1"/>
  <c r="R5775" i="1"/>
  <c r="S5775" i="1"/>
  <c r="T5775" i="1"/>
  <c r="U5775" i="1"/>
  <c r="V5775" i="1"/>
  <c r="W5775" i="1"/>
  <c r="X5775" i="1"/>
  <c r="Y5775" i="1"/>
  <c r="Z5775" i="1"/>
  <c r="A5776" i="1"/>
  <c r="B5776" i="1"/>
  <c r="C5776" i="1"/>
  <c r="D5776" i="1"/>
  <c r="E5776" i="1"/>
  <c r="F5776" i="1"/>
  <c r="G5776" i="1"/>
  <c r="I5776" i="1"/>
  <c r="J5776" i="1"/>
  <c r="K5776" i="1"/>
  <c r="L5776" i="1"/>
  <c r="M5776" i="1"/>
  <c r="N5776" i="1"/>
  <c r="O5776" i="1"/>
  <c r="P5776" i="1"/>
  <c r="Q5776" i="1"/>
  <c r="R5776" i="1"/>
  <c r="S5776" i="1"/>
  <c r="T5776" i="1"/>
  <c r="U5776" i="1"/>
  <c r="V5776" i="1"/>
  <c r="W5776" i="1"/>
  <c r="X5776" i="1"/>
  <c r="Y5776" i="1"/>
  <c r="Z5776" i="1"/>
  <c r="A5777" i="1"/>
  <c r="B5777" i="1"/>
  <c r="C5777" i="1"/>
  <c r="D5777" i="1"/>
  <c r="E5777" i="1"/>
  <c r="F5777" i="1"/>
  <c r="G5777" i="1"/>
  <c r="I5777" i="1"/>
  <c r="J5777" i="1"/>
  <c r="K5777" i="1"/>
  <c r="L5777" i="1"/>
  <c r="M5777" i="1"/>
  <c r="N5777" i="1"/>
  <c r="O5777" i="1"/>
  <c r="P5777" i="1"/>
  <c r="Q5777" i="1"/>
  <c r="R5777" i="1"/>
  <c r="S5777" i="1"/>
  <c r="T5777" i="1"/>
  <c r="U5777" i="1"/>
  <c r="V5777" i="1"/>
  <c r="W5777" i="1"/>
  <c r="X5777" i="1"/>
  <c r="Y5777" i="1"/>
  <c r="Z5777" i="1"/>
  <c r="A5778" i="1"/>
  <c r="B5778" i="1"/>
  <c r="C5778" i="1"/>
  <c r="D5778" i="1"/>
  <c r="E5778" i="1"/>
  <c r="F5778" i="1"/>
  <c r="G5778" i="1"/>
  <c r="I5778" i="1"/>
  <c r="J5778" i="1"/>
  <c r="K5778" i="1"/>
  <c r="L5778" i="1"/>
  <c r="M5778" i="1"/>
  <c r="N5778" i="1"/>
  <c r="O5778" i="1"/>
  <c r="P5778" i="1"/>
  <c r="Q5778" i="1"/>
  <c r="R5778" i="1"/>
  <c r="S5778" i="1"/>
  <c r="T5778" i="1"/>
  <c r="U5778" i="1"/>
  <c r="V5778" i="1"/>
  <c r="W5778" i="1"/>
  <c r="X5778" i="1"/>
  <c r="Y5778" i="1"/>
  <c r="Z5778" i="1"/>
  <c r="A5779" i="1"/>
  <c r="B5779" i="1"/>
  <c r="C5779" i="1"/>
  <c r="D5779" i="1"/>
  <c r="E5779" i="1"/>
  <c r="F5779" i="1"/>
  <c r="G5779" i="1"/>
  <c r="I5779" i="1"/>
  <c r="J5779" i="1"/>
  <c r="K5779" i="1"/>
  <c r="L5779" i="1"/>
  <c r="M5779" i="1"/>
  <c r="N5779" i="1"/>
  <c r="O5779" i="1"/>
  <c r="P5779" i="1"/>
  <c r="Q5779" i="1"/>
  <c r="R5779" i="1"/>
  <c r="S5779" i="1"/>
  <c r="T5779" i="1"/>
  <c r="U5779" i="1"/>
  <c r="V5779" i="1"/>
  <c r="W5779" i="1"/>
  <c r="X5779" i="1"/>
  <c r="Y5779" i="1"/>
  <c r="Z5779" i="1"/>
  <c r="A5780" i="1"/>
  <c r="B5780" i="1"/>
  <c r="C5780" i="1"/>
  <c r="D5780" i="1"/>
  <c r="E5780" i="1"/>
  <c r="F5780" i="1"/>
  <c r="G5780" i="1"/>
  <c r="I5780" i="1"/>
  <c r="J5780" i="1"/>
  <c r="K5780" i="1"/>
  <c r="L5780" i="1"/>
  <c r="M5780" i="1"/>
  <c r="N5780" i="1"/>
  <c r="O5780" i="1"/>
  <c r="P5780" i="1"/>
  <c r="Q5780" i="1"/>
  <c r="R5780" i="1"/>
  <c r="S5780" i="1"/>
  <c r="T5780" i="1"/>
  <c r="U5780" i="1"/>
  <c r="V5780" i="1"/>
  <c r="W5780" i="1"/>
  <c r="X5780" i="1"/>
  <c r="Y5780" i="1"/>
  <c r="Z5780" i="1"/>
  <c r="A5781" i="1"/>
  <c r="B5781" i="1"/>
  <c r="C5781" i="1"/>
  <c r="D5781" i="1"/>
  <c r="E5781" i="1"/>
  <c r="F5781" i="1"/>
  <c r="G5781" i="1"/>
  <c r="I5781" i="1"/>
  <c r="J5781" i="1"/>
  <c r="K5781" i="1"/>
  <c r="L5781" i="1"/>
  <c r="M5781" i="1"/>
  <c r="N5781" i="1"/>
  <c r="O5781" i="1"/>
  <c r="P5781" i="1"/>
  <c r="Q5781" i="1"/>
  <c r="R5781" i="1"/>
  <c r="S5781" i="1"/>
  <c r="T5781" i="1"/>
  <c r="U5781" i="1"/>
  <c r="V5781" i="1"/>
  <c r="W5781" i="1"/>
  <c r="X5781" i="1"/>
  <c r="Y5781" i="1"/>
  <c r="Z5781" i="1"/>
  <c r="A5782" i="1"/>
  <c r="B5782" i="1"/>
  <c r="C5782" i="1"/>
  <c r="D5782" i="1"/>
  <c r="E5782" i="1"/>
  <c r="F5782" i="1"/>
  <c r="G5782" i="1"/>
  <c r="I5782" i="1"/>
  <c r="J5782" i="1"/>
  <c r="K5782" i="1"/>
  <c r="L5782" i="1"/>
  <c r="M5782" i="1"/>
  <c r="N5782" i="1"/>
  <c r="O5782" i="1"/>
  <c r="P5782" i="1"/>
  <c r="Q5782" i="1"/>
  <c r="R5782" i="1"/>
  <c r="S5782" i="1"/>
  <c r="T5782" i="1"/>
  <c r="U5782" i="1"/>
  <c r="V5782" i="1"/>
  <c r="W5782" i="1"/>
  <c r="X5782" i="1"/>
  <c r="Y5782" i="1"/>
  <c r="Z5782" i="1"/>
  <c r="A5783" i="1"/>
  <c r="B5783" i="1"/>
  <c r="C5783" i="1"/>
  <c r="D5783" i="1"/>
  <c r="E5783" i="1"/>
  <c r="F5783" i="1"/>
  <c r="G5783" i="1"/>
  <c r="I5783" i="1"/>
  <c r="J5783" i="1"/>
  <c r="K5783" i="1"/>
  <c r="L5783" i="1"/>
  <c r="M5783" i="1"/>
  <c r="N5783" i="1"/>
  <c r="O5783" i="1"/>
  <c r="P5783" i="1"/>
  <c r="Q5783" i="1"/>
  <c r="R5783" i="1"/>
  <c r="S5783" i="1"/>
  <c r="T5783" i="1"/>
  <c r="U5783" i="1"/>
  <c r="V5783" i="1"/>
  <c r="W5783" i="1"/>
  <c r="X5783" i="1"/>
  <c r="Y5783" i="1"/>
  <c r="Z5783" i="1"/>
  <c r="A5784" i="1"/>
  <c r="B5784" i="1"/>
  <c r="C5784" i="1"/>
  <c r="D5784" i="1"/>
  <c r="E5784" i="1"/>
  <c r="F5784" i="1"/>
  <c r="G5784" i="1"/>
  <c r="I5784" i="1"/>
  <c r="J5784" i="1"/>
  <c r="K5784" i="1"/>
  <c r="L5784" i="1"/>
  <c r="M5784" i="1"/>
  <c r="N5784" i="1"/>
  <c r="O5784" i="1"/>
  <c r="P5784" i="1"/>
  <c r="Q5784" i="1"/>
  <c r="R5784" i="1"/>
  <c r="S5784" i="1"/>
  <c r="T5784" i="1"/>
  <c r="U5784" i="1"/>
  <c r="V5784" i="1"/>
  <c r="W5784" i="1"/>
  <c r="X5784" i="1"/>
  <c r="Y5784" i="1"/>
  <c r="Z5784" i="1"/>
  <c r="A5785" i="1"/>
  <c r="B5785" i="1"/>
  <c r="C5785" i="1"/>
  <c r="D5785" i="1"/>
  <c r="E5785" i="1"/>
  <c r="F5785" i="1"/>
  <c r="G5785" i="1"/>
  <c r="I5785" i="1"/>
  <c r="J5785" i="1"/>
  <c r="K5785" i="1"/>
  <c r="L5785" i="1"/>
  <c r="M5785" i="1"/>
  <c r="N5785" i="1"/>
  <c r="O5785" i="1"/>
  <c r="P5785" i="1"/>
  <c r="Q5785" i="1"/>
  <c r="R5785" i="1"/>
  <c r="S5785" i="1"/>
  <c r="T5785" i="1"/>
  <c r="U5785" i="1"/>
  <c r="V5785" i="1"/>
  <c r="W5785" i="1"/>
  <c r="X5785" i="1"/>
  <c r="Y5785" i="1"/>
  <c r="Z5785" i="1"/>
  <c r="A5786" i="1"/>
  <c r="B5786" i="1"/>
  <c r="C5786" i="1"/>
  <c r="D5786" i="1"/>
  <c r="E5786" i="1"/>
  <c r="F5786" i="1"/>
  <c r="G5786" i="1"/>
  <c r="I5786" i="1"/>
  <c r="J5786" i="1"/>
  <c r="K5786" i="1"/>
  <c r="L5786" i="1"/>
  <c r="M5786" i="1"/>
  <c r="N5786" i="1"/>
  <c r="O5786" i="1"/>
  <c r="P5786" i="1"/>
  <c r="Q5786" i="1"/>
  <c r="R5786" i="1"/>
  <c r="S5786" i="1"/>
  <c r="T5786" i="1"/>
  <c r="U5786" i="1"/>
  <c r="V5786" i="1"/>
  <c r="W5786" i="1"/>
  <c r="X5786" i="1"/>
  <c r="Y5786" i="1"/>
  <c r="Z5786" i="1"/>
  <c r="A5787" i="1"/>
  <c r="B5787" i="1"/>
  <c r="C5787" i="1"/>
  <c r="D5787" i="1"/>
  <c r="E5787" i="1"/>
  <c r="F5787" i="1"/>
  <c r="G5787" i="1"/>
  <c r="I5787" i="1"/>
  <c r="J5787" i="1"/>
  <c r="K5787" i="1"/>
  <c r="L5787" i="1"/>
  <c r="M5787" i="1"/>
  <c r="N5787" i="1"/>
  <c r="O5787" i="1"/>
  <c r="P5787" i="1"/>
  <c r="Q5787" i="1"/>
  <c r="R5787" i="1"/>
  <c r="S5787" i="1"/>
  <c r="T5787" i="1"/>
  <c r="U5787" i="1"/>
  <c r="V5787" i="1"/>
  <c r="W5787" i="1"/>
  <c r="X5787" i="1"/>
  <c r="Y5787" i="1"/>
  <c r="Z5787" i="1"/>
  <c r="A5788" i="1"/>
  <c r="B5788" i="1"/>
  <c r="C5788" i="1"/>
  <c r="D5788" i="1"/>
  <c r="E5788" i="1"/>
  <c r="F5788" i="1"/>
  <c r="G5788" i="1"/>
  <c r="I5788" i="1"/>
  <c r="J5788" i="1"/>
  <c r="K5788" i="1"/>
  <c r="L5788" i="1"/>
  <c r="M5788" i="1"/>
  <c r="N5788" i="1"/>
  <c r="O5788" i="1"/>
  <c r="P5788" i="1"/>
  <c r="Q5788" i="1"/>
  <c r="R5788" i="1"/>
  <c r="S5788" i="1"/>
  <c r="T5788" i="1"/>
  <c r="U5788" i="1"/>
  <c r="V5788" i="1"/>
  <c r="W5788" i="1"/>
  <c r="X5788" i="1"/>
  <c r="Y5788" i="1"/>
  <c r="Z5788" i="1"/>
  <c r="A5789" i="1"/>
  <c r="B5789" i="1"/>
  <c r="C5789" i="1"/>
  <c r="D5789" i="1"/>
  <c r="E5789" i="1"/>
  <c r="F5789" i="1"/>
  <c r="G5789" i="1"/>
  <c r="I5789" i="1"/>
  <c r="J5789" i="1"/>
  <c r="K5789" i="1"/>
  <c r="L5789" i="1"/>
  <c r="M5789" i="1"/>
  <c r="N5789" i="1"/>
  <c r="O5789" i="1"/>
  <c r="P5789" i="1"/>
  <c r="Q5789" i="1"/>
  <c r="R5789" i="1"/>
  <c r="S5789" i="1"/>
  <c r="T5789" i="1"/>
  <c r="U5789" i="1"/>
  <c r="V5789" i="1"/>
  <c r="W5789" i="1"/>
  <c r="X5789" i="1"/>
  <c r="Y5789" i="1"/>
  <c r="Z5789" i="1"/>
  <c r="A5790" i="1"/>
  <c r="B5790" i="1"/>
  <c r="C5790" i="1"/>
  <c r="D5790" i="1"/>
  <c r="E5790" i="1"/>
  <c r="F5790" i="1"/>
  <c r="G5790" i="1"/>
  <c r="I5790" i="1"/>
  <c r="J5790" i="1"/>
  <c r="K5790" i="1"/>
  <c r="L5790" i="1"/>
  <c r="M5790" i="1"/>
  <c r="N5790" i="1"/>
  <c r="O5790" i="1"/>
  <c r="P5790" i="1"/>
  <c r="Q5790" i="1"/>
  <c r="R5790" i="1"/>
  <c r="S5790" i="1"/>
  <c r="T5790" i="1"/>
  <c r="U5790" i="1"/>
  <c r="V5790" i="1"/>
  <c r="W5790" i="1"/>
  <c r="X5790" i="1"/>
  <c r="Y5790" i="1"/>
  <c r="Z5790" i="1"/>
  <c r="A5791" i="1"/>
  <c r="B5791" i="1"/>
  <c r="C5791" i="1"/>
  <c r="D5791" i="1"/>
  <c r="E5791" i="1"/>
  <c r="F5791" i="1"/>
  <c r="G5791" i="1"/>
  <c r="I5791" i="1"/>
  <c r="J5791" i="1"/>
  <c r="K5791" i="1"/>
  <c r="L5791" i="1"/>
  <c r="M5791" i="1"/>
  <c r="N5791" i="1"/>
  <c r="O5791" i="1"/>
  <c r="P5791" i="1"/>
  <c r="Q5791" i="1"/>
  <c r="R5791" i="1"/>
  <c r="S5791" i="1"/>
  <c r="T5791" i="1"/>
  <c r="U5791" i="1"/>
  <c r="V5791" i="1"/>
  <c r="W5791" i="1"/>
  <c r="X5791" i="1"/>
  <c r="Y5791" i="1"/>
  <c r="Z5791" i="1"/>
  <c r="A5792" i="1"/>
  <c r="B5792" i="1"/>
  <c r="C5792" i="1"/>
  <c r="D5792" i="1"/>
  <c r="E5792" i="1"/>
  <c r="F5792" i="1"/>
  <c r="G5792" i="1"/>
  <c r="I5792" i="1"/>
  <c r="J5792" i="1"/>
  <c r="K5792" i="1"/>
  <c r="L5792" i="1"/>
  <c r="M5792" i="1"/>
  <c r="N5792" i="1"/>
  <c r="O5792" i="1"/>
  <c r="P5792" i="1"/>
  <c r="Q5792" i="1"/>
  <c r="R5792" i="1"/>
  <c r="S5792" i="1"/>
  <c r="T5792" i="1"/>
  <c r="U5792" i="1"/>
  <c r="V5792" i="1"/>
  <c r="W5792" i="1"/>
  <c r="X5792" i="1"/>
  <c r="Y5792" i="1"/>
  <c r="Z5792" i="1"/>
  <c r="A5793" i="1"/>
  <c r="B5793" i="1"/>
  <c r="C5793" i="1"/>
  <c r="D5793" i="1"/>
  <c r="E5793" i="1"/>
  <c r="F5793" i="1"/>
  <c r="G5793" i="1"/>
  <c r="I5793" i="1"/>
  <c r="J5793" i="1"/>
  <c r="K5793" i="1"/>
  <c r="L5793" i="1"/>
  <c r="M5793" i="1"/>
  <c r="N5793" i="1"/>
  <c r="O5793" i="1"/>
  <c r="P5793" i="1"/>
  <c r="Q5793" i="1"/>
  <c r="R5793" i="1"/>
  <c r="S5793" i="1"/>
  <c r="T5793" i="1"/>
  <c r="U5793" i="1"/>
  <c r="V5793" i="1"/>
  <c r="W5793" i="1"/>
  <c r="X5793" i="1"/>
  <c r="Y5793" i="1"/>
  <c r="Z5793" i="1"/>
  <c r="A5794" i="1"/>
  <c r="B5794" i="1"/>
  <c r="C5794" i="1"/>
  <c r="D5794" i="1"/>
  <c r="E5794" i="1"/>
  <c r="F5794" i="1"/>
  <c r="G5794" i="1"/>
  <c r="I5794" i="1"/>
  <c r="J5794" i="1"/>
  <c r="K5794" i="1"/>
  <c r="L5794" i="1"/>
  <c r="M5794" i="1"/>
  <c r="N5794" i="1"/>
  <c r="O5794" i="1"/>
  <c r="P5794" i="1"/>
  <c r="Q5794" i="1"/>
  <c r="R5794" i="1"/>
  <c r="S5794" i="1"/>
  <c r="T5794" i="1"/>
  <c r="U5794" i="1"/>
  <c r="V5794" i="1"/>
  <c r="W5794" i="1"/>
  <c r="X5794" i="1"/>
  <c r="Y5794" i="1"/>
  <c r="Z5794" i="1"/>
  <c r="A5795" i="1"/>
  <c r="B5795" i="1"/>
  <c r="C5795" i="1"/>
  <c r="D5795" i="1"/>
  <c r="E5795" i="1"/>
  <c r="F5795" i="1"/>
  <c r="G5795" i="1"/>
  <c r="I5795" i="1"/>
  <c r="J5795" i="1"/>
  <c r="K5795" i="1"/>
  <c r="L5795" i="1"/>
  <c r="M5795" i="1"/>
  <c r="N5795" i="1"/>
  <c r="O5795" i="1"/>
  <c r="P5795" i="1"/>
  <c r="Q5795" i="1"/>
  <c r="R5795" i="1"/>
  <c r="S5795" i="1"/>
  <c r="T5795" i="1"/>
  <c r="U5795" i="1"/>
  <c r="V5795" i="1"/>
  <c r="W5795" i="1"/>
  <c r="X5795" i="1"/>
  <c r="Y5795" i="1"/>
  <c r="Z5795" i="1"/>
  <c r="A5796" i="1"/>
  <c r="B5796" i="1"/>
  <c r="C5796" i="1"/>
  <c r="D5796" i="1"/>
  <c r="E5796" i="1"/>
  <c r="F5796" i="1"/>
  <c r="G5796" i="1"/>
  <c r="I5796" i="1"/>
  <c r="J5796" i="1"/>
  <c r="K5796" i="1"/>
  <c r="L5796" i="1"/>
  <c r="M5796" i="1"/>
  <c r="N5796" i="1"/>
  <c r="O5796" i="1"/>
  <c r="P5796" i="1"/>
  <c r="Q5796" i="1"/>
  <c r="R5796" i="1"/>
  <c r="S5796" i="1"/>
  <c r="T5796" i="1"/>
  <c r="U5796" i="1"/>
  <c r="V5796" i="1"/>
  <c r="W5796" i="1"/>
  <c r="X5796" i="1"/>
  <c r="Y5796" i="1"/>
  <c r="Z5796" i="1"/>
  <c r="A5797" i="1"/>
  <c r="B5797" i="1"/>
  <c r="C5797" i="1"/>
  <c r="D5797" i="1"/>
  <c r="E5797" i="1"/>
  <c r="F5797" i="1"/>
  <c r="G5797" i="1"/>
  <c r="I5797" i="1"/>
  <c r="J5797" i="1"/>
  <c r="K5797" i="1"/>
  <c r="L5797" i="1"/>
  <c r="M5797" i="1"/>
  <c r="N5797" i="1"/>
  <c r="O5797" i="1"/>
  <c r="P5797" i="1"/>
  <c r="Q5797" i="1"/>
  <c r="R5797" i="1"/>
  <c r="S5797" i="1"/>
  <c r="T5797" i="1"/>
  <c r="U5797" i="1"/>
  <c r="V5797" i="1"/>
  <c r="W5797" i="1"/>
  <c r="X5797" i="1"/>
  <c r="Y5797" i="1"/>
  <c r="Z5797" i="1"/>
  <c r="A5798" i="1"/>
  <c r="B5798" i="1"/>
  <c r="C5798" i="1"/>
  <c r="D5798" i="1"/>
  <c r="E5798" i="1"/>
  <c r="F5798" i="1"/>
  <c r="G5798" i="1"/>
  <c r="I5798" i="1"/>
  <c r="J5798" i="1"/>
  <c r="K5798" i="1"/>
  <c r="L5798" i="1"/>
  <c r="M5798" i="1"/>
  <c r="N5798" i="1"/>
  <c r="O5798" i="1"/>
  <c r="P5798" i="1"/>
  <c r="Q5798" i="1"/>
  <c r="R5798" i="1"/>
  <c r="S5798" i="1"/>
  <c r="T5798" i="1"/>
  <c r="U5798" i="1"/>
  <c r="V5798" i="1"/>
  <c r="W5798" i="1"/>
  <c r="X5798" i="1"/>
  <c r="Y5798" i="1"/>
  <c r="Z5798" i="1"/>
  <c r="A5799" i="1"/>
  <c r="B5799" i="1"/>
  <c r="C5799" i="1"/>
  <c r="D5799" i="1"/>
  <c r="E5799" i="1"/>
  <c r="F5799" i="1"/>
  <c r="G5799" i="1"/>
  <c r="I5799" i="1"/>
  <c r="J5799" i="1"/>
  <c r="K5799" i="1"/>
  <c r="L5799" i="1"/>
  <c r="M5799" i="1"/>
  <c r="N5799" i="1"/>
  <c r="O5799" i="1"/>
  <c r="P5799" i="1"/>
  <c r="Q5799" i="1"/>
  <c r="R5799" i="1"/>
  <c r="S5799" i="1"/>
  <c r="T5799" i="1"/>
  <c r="U5799" i="1"/>
  <c r="V5799" i="1"/>
  <c r="W5799" i="1"/>
  <c r="X5799" i="1"/>
  <c r="Y5799" i="1"/>
  <c r="Z5799" i="1"/>
  <c r="A5800" i="1"/>
  <c r="B5800" i="1"/>
  <c r="C5800" i="1"/>
  <c r="D5800" i="1"/>
  <c r="E5800" i="1"/>
  <c r="F5800" i="1"/>
  <c r="G5800" i="1"/>
  <c r="I5800" i="1"/>
  <c r="J5800" i="1"/>
  <c r="K5800" i="1"/>
  <c r="L5800" i="1"/>
  <c r="M5800" i="1"/>
  <c r="N5800" i="1"/>
  <c r="O5800" i="1"/>
  <c r="P5800" i="1"/>
  <c r="Q5800" i="1"/>
  <c r="R5800" i="1"/>
  <c r="S5800" i="1"/>
  <c r="T5800" i="1"/>
  <c r="U5800" i="1"/>
  <c r="V5800" i="1"/>
  <c r="W5800" i="1"/>
  <c r="X5800" i="1"/>
  <c r="Y5800" i="1"/>
  <c r="Z5800" i="1"/>
  <c r="A5801" i="1"/>
  <c r="B5801" i="1"/>
  <c r="C5801" i="1"/>
  <c r="D5801" i="1"/>
  <c r="E5801" i="1"/>
  <c r="F5801" i="1"/>
  <c r="G5801" i="1"/>
  <c r="I5801" i="1"/>
  <c r="J5801" i="1"/>
  <c r="K5801" i="1"/>
  <c r="L5801" i="1"/>
  <c r="M5801" i="1"/>
  <c r="N5801" i="1"/>
  <c r="O5801" i="1"/>
  <c r="P5801" i="1"/>
  <c r="Q5801" i="1"/>
  <c r="R5801" i="1"/>
  <c r="S5801" i="1"/>
  <c r="T5801" i="1"/>
  <c r="U5801" i="1"/>
  <c r="V5801" i="1"/>
  <c r="W5801" i="1"/>
  <c r="X5801" i="1"/>
  <c r="Y5801" i="1"/>
  <c r="Z5801" i="1"/>
  <c r="A5802" i="1"/>
  <c r="B5802" i="1"/>
  <c r="C5802" i="1"/>
  <c r="D5802" i="1"/>
  <c r="E5802" i="1"/>
  <c r="F5802" i="1"/>
  <c r="G5802" i="1"/>
  <c r="I5802" i="1"/>
  <c r="J5802" i="1"/>
  <c r="K5802" i="1"/>
  <c r="L5802" i="1"/>
  <c r="M5802" i="1"/>
  <c r="N5802" i="1"/>
  <c r="O5802" i="1"/>
  <c r="P5802" i="1"/>
  <c r="Q5802" i="1"/>
  <c r="R5802" i="1"/>
  <c r="S5802" i="1"/>
  <c r="T5802" i="1"/>
  <c r="U5802" i="1"/>
  <c r="V5802" i="1"/>
  <c r="W5802" i="1"/>
  <c r="X5802" i="1"/>
  <c r="Y5802" i="1"/>
  <c r="Z5802" i="1"/>
  <c r="A5803" i="1"/>
  <c r="B5803" i="1"/>
  <c r="C5803" i="1"/>
  <c r="D5803" i="1"/>
  <c r="E5803" i="1"/>
  <c r="F5803" i="1"/>
  <c r="G5803" i="1"/>
  <c r="I5803" i="1"/>
  <c r="J5803" i="1"/>
  <c r="K5803" i="1"/>
  <c r="L5803" i="1"/>
  <c r="M5803" i="1"/>
  <c r="N5803" i="1"/>
  <c r="O5803" i="1"/>
  <c r="P5803" i="1"/>
  <c r="Q5803" i="1"/>
  <c r="R5803" i="1"/>
  <c r="S5803" i="1"/>
  <c r="T5803" i="1"/>
  <c r="U5803" i="1"/>
  <c r="V5803" i="1"/>
  <c r="W5803" i="1"/>
  <c r="X5803" i="1"/>
  <c r="Y5803" i="1"/>
  <c r="Z5803" i="1"/>
  <c r="A5804" i="1"/>
  <c r="B5804" i="1"/>
  <c r="C5804" i="1"/>
  <c r="D5804" i="1"/>
  <c r="E5804" i="1"/>
  <c r="F5804" i="1"/>
  <c r="G5804" i="1"/>
  <c r="I5804" i="1"/>
  <c r="J5804" i="1"/>
  <c r="K5804" i="1"/>
  <c r="L5804" i="1"/>
  <c r="M5804" i="1"/>
  <c r="N5804" i="1"/>
  <c r="O5804" i="1"/>
  <c r="P5804" i="1"/>
  <c r="Q5804" i="1"/>
  <c r="R5804" i="1"/>
  <c r="S5804" i="1"/>
  <c r="T5804" i="1"/>
  <c r="U5804" i="1"/>
  <c r="V5804" i="1"/>
  <c r="W5804" i="1"/>
  <c r="X5804" i="1"/>
  <c r="Y5804" i="1"/>
  <c r="Z5804" i="1"/>
  <c r="A5805" i="1"/>
  <c r="B5805" i="1"/>
  <c r="C5805" i="1"/>
  <c r="D5805" i="1"/>
  <c r="E5805" i="1"/>
  <c r="F5805" i="1"/>
  <c r="G5805" i="1"/>
  <c r="I5805" i="1"/>
  <c r="J5805" i="1"/>
  <c r="K5805" i="1"/>
  <c r="L5805" i="1"/>
  <c r="M5805" i="1"/>
  <c r="N5805" i="1"/>
  <c r="O5805" i="1"/>
  <c r="P5805" i="1"/>
  <c r="Q5805" i="1"/>
  <c r="R5805" i="1"/>
  <c r="S5805" i="1"/>
  <c r="T5805" i="1"/>
  <c r="U5805" i="1"/>
  <c r="V5805" i="1"/>
  <c r="W5805" i="1"/>
  <c r="X5805" i="1"/>
  <c r="Y5805" i="1"/>
  <c r="Z5805" i="1"/>
  <c r="A5806" i="1"/>
  <c r="B5806" i="1"/>
  <c r="C5806" i="1"/>
  <c r="D5806" i="1"/>
  <c r="E5806" i="1"/>
  <c r="F5806" i="1"/>
  <c r="G5806" i="1"/>
  <c r="I5806" i="1"/>
  <c r="J5806" i="1"/>
  <c r="K5806" i="1"/>
  <c r="L5806" i="1"/>
  <c r="M5806" i="1"/>
  <c r="N5806" i="1"/>
  <c r="O5806" i="1"/>
  <c r="P5806" i="1"/>
  <c r="Q5806" i="1"/>
  <c r="R5806" i="1"/>
  <c r="S5806" i="1"/>
  <c r="T5806" i="1"/>
  <c r="U5806" i="1"/>
  <c r="V5806" i="1"/>
  <c r="W5806" i="1"/>
  <c r="X5806" i="1"/>
  <c r="Y5806" i="1"/>
  <c r="Z5806" i="1"/>
  <c r="A5807" i="1"/>
  <c r="B5807" i="1"/>
  <c r="C5807" i="1"/>
  <c r="D5807" i="1"/>
  <c r="E5807" i="1"/>
  <c r="F5807" i="1"/>
  <c r="G5807" i="1"/>
  <c r="I5807" i="1"/>
  <c r="J5807" i="1"/>
  <c r="K5807" i="1"/>
  <c r="L5807" i="1"/>
  <c r="M5807" i="1"/>
  <c r="N5807" i="1"/>
  <c r="O5807" i="1"/>
  <c r="P5807" i="1"/>
  <c r="Q5807" i="1"/>
  <c r="R5807" i="1"/>
  <c r="S5807" i="1"/>
  <c r="T5807" i="1"/>
  <c r="U5807" i="1"/>
  <c r="V5807" i="1"/>
  <c r="W5807" i="1"/>
  <c r="X5807" i="1"/>
  <c r="Y5807" i="1"/>
  <c r="Z5807" i="1"/>
  <c r="A5808" i="1"/>
  <c r="B5808" i="1"/>
  <c r="C5808" i="1"/>
  <c r="D5808" i="1"/>
  <c r="E5808" i="1"/>
  <c r="F5808" i="1"/>
  <c r="G5808" i="1"/>
  <c r="I5808" i="1"/>
  <c r="J5808" i="1"/>
  <c r="K5808" i="1"/>
  <c r="L5808" i="1"/>
  <c r="M5808" i="1"/>
  <c r="N5808" i="1"/>
  <c r="O5808" i="1"/>
  <c r="P5808" i="1"/>
  <c r="Q5808" i="1"/>
  <c r="R5808" i="1"/>
  <c r="S5808" i="1"/>
  <c r="T5808" i="1"/>
  <c r="U5808" i="1"/>
  <c r="V5808" i="1"/>
  <c r="W5808" i="1"/>
  <c r="X5808" i="1"/>
  <c r="Y5808" i="1"/>
  <c r="Z5808" i="1"/>
  <c r="A5809" i="1"/>
  <c r="B5809" i="1"/>
  <c r="C5809" i="1"/>
  <c r="D5809" i="1"/>
  <c r="E5809" i="1"/>
  <c r="F5809" i="1"/>
  <c r="G5809" i="1"/>
  <c r="I5809" i="1"/>
  <c r="J5809" i="1"/>
  <c r="K5809" i="1"/>
  <c r="L5809" i="1"/>
  <c r="M5809" i="1"/>
  <c r="N5809" i="1"/>
  <c r="O5809" i="1"/>
  <c r="P5809" i="1"/>
  <c r="Q5809" i="1"/>
  <c r="R5809" i="1"/>
  <c r="S5809" i="1"/>
  <c r="T5809" i="1"/>
  <c r="U5809" i="1"/>
  <c r="V5809" i="1"/>
  <c r="W5809" i="1"/>
  <c r="X5809" i="1"/>
  <c r="Y5809" i="1"/>
  <c r="Z5809" i="1"/>
  <c r="A5810" i="1"/>
  <c r="B5810" i="1"/>
  <c r="C5810" i="1"/>
  <c r="D5810" i="1"/>
  <c r="E5810" i="1"/>
  <c r="F5810" i="1"/>
  <c r="G5810" i="1"/>
  <c r="I5810" i="1"/>
  <c r="J5810" i="1"/>
  <c r="K5810" i="1"/>
  <c r="L5810" i="1"/>
  <c r="M5810" i="1"/>
  <c r="N5810" i="1"/>
  <c r="O5810" i="1"/>
  <c r="P5810" i="1"/>
  <c r="Q5810" i="1"/>
  <c r="R5810" i="1"/>
  <c r="S5810" i="1"/>
  <c r="T5810" i="1"/>
  <c r="U5810" i="1"/>
  <c r="V5810" i="1"/>
  <c r="W5810" i="1"/>
  <c r="X5810" i="1"/>
  <c r="Y5810" i="1"/>
  <c r="Z5810" i="1"/>
  <c r="A5811" i="1"/>
  <c r="B5811" i="1"/>
  <c r="C5811" i="1"/>
  <c r="D5811" i="1"/>
  <c r="E5811" i="1"/>
  <c r="F5811" i="1"/>
  <c r="G5811" i="1"/>
  <c r="I5811" i="1"/>
  <c r="J5811" i="1"/>
  <c r="K5811" i="1"/>
  <c r="L5811" i="1"/>
  <c r="M5811" i="1"/>
  <c r="N5811" i="1"/>
  <c r="O5811" i="1"/>
  <c r="P5811" i="1"/>
  <c r="Q5811" i="1"/>
  <c r="R5811" i="1"/>
  <c r="S5811" i="1"/>
  <c r="T5811" i="1"/>
  <c r="U5811" i="1"/>
  <c r="V5811" i="1"/>
  <c r="W5811" i="1"/>
  <c r="X5811" i="1"/>
  <c r="Y5811" i="1"/>
  <c r="Z5811" i="1"/>
  <c r="A5812" i="1"/>
  <c r="B5812" i="1"/>
  <c r="C5812" i="1"/>
  <c r="D5812" i="1"/>
  <c r="E5812" i="1"/>
  <c r="F5812" i="1"/>
  <c r="G5812" i="1"/>
  <c r="I5812" i="1"/>
  <c r="J5812" i="1"/>
  <c r="K5812" i="1"/>
  <c r="L5812" i="1"/>
  <c r="M5812" i="1"/>
  <c r="N5812" i="1"/>
  <c r="O5812" i="1"/>
  <c r="P5812" i="1"/>
  <c r="Q5812" i="1"/>
  <c r="R5812" i="1"/>
  <c r="S5812" i="1"/>
  <c r="T5812" i="1"/>
  <c r="U5812" i="1"/>
  <c r="V5812" i="1"/>
  <c r="W5812" i="1"/>
  <c r="X5812" i="1"/>
  <c r="Y5812" i="1"/>
  <c r="Z5812" i="1"/>
  <c r="A5813" i="1"/>
  <c r="B5813" i="1"/>
  <c r="C5813" i="1"/>
  <c r="D5813" i="1"/>
  <c r="E5813" i="1"/>
  <c r="F5813" i="1"/>
  <c r="G5813" i="1"/>
  <c r="I5813" i="1"/>
  <c r="J5813" i="1"/>
  <c r="K5813" i="1"/>
  <c r="L5813" i="1"/>
  <c r="M5813" i="1"/>
  <c r="N5813" i="1"/>
  <c r="O5813" i="1"/>
  <c r="P5813" i="1"/>
  <c r="Q5813" i="1"/>
  <c r="R5813" i="1"/>
  <c r="S5813" i="1"/>
  <c r="T5813" i="1"/>
  <c r="U5813" i="1"/>
  <c r="V5813" i="1"/>
  <c r="W5813" i="1"/>
  <c r="X5813" i="1"/>
  <c r="Y5813" i="1"/>
  <c r="Z5813" i="1"/>
  <c r="A5814" i="1"/>
  <c r="B5814" i="1"/>
  <c r="C5814" i="1"/>
  <c r="D5814" i="1"/>
  <c r="E5814" i="1"/>
  <c r="F5814" i="1"/>
  <c r="G5814" i="1"/>
  <c r="I5814" i="1"/>
  <c r="J5814" i="1"/>
  <c r="K5814" i="1"/>
  <c r="L5814" i="1"/>
  <c r="M5814" i="1"/>
  <c r="N5814" i="1"/>
  <c r="O5814" i="1"/>
  <c r="P5814" i="1"/>
  <c r="Q5814" i="1"/>
  <c r="R5814" i="1"/>
  <c r="S5814" i="1"/>
  <c r="T5814" i="1"/>
  <c r="U5814" i="1"/>
  <c r="V5814" i="1"/>
  <c r="W5814" i="1"/>
  <c r="X5814" i="1"/>
  <c r="Y5814" i="1"/>
  <c r="Z5814" i="1"/>
  <c r="A5815" i="1"/>
  <c r="B5815" i="1"/>
  <c r="C5815" i="1"/>
  <c r="D5815" i="1"/>
  <c r="E5815" i="1"/>
  <c r="F5815" i="1"/>
  <c r="G5815" i="1"/>
  <c r="I5815" i="1"/>
  <c r="J5815" i="1"/>
  <c r="K5815" i="1"/>
  <c r="L5815" i="1"/>
  <c r="M5815" i="1"/>
  <c r="N5815" i="1"/>
  <c r="O5815" i="1"/>
  <c r="P5815" i="1"/>
  <c r="Q5815" i="1"/>
  <c r="R5815" i="1"/>
  <c r="S5815" i="1"/>
  <c r="T5815" i="1"/>
  <c r="U5815" i="1"/>
  <c r="V5815" i="1"/>
  <c r="W5815" i="1"/>
  <c r="X5815" i="1"/>
  <c r="Y5815" i="1"/>
  <c r="Z5815" i="1"/>
  <c r="A5816" i="1"/>
  <c r="B5816" i="1"/>
  <c r="C5816" i="1"/>
  <c r="D5816" i="1"/>
  <c r="E5816" i="1"/>
  <c r="F5816" i="1"/>
  <c r="G5816" i="1"/>
  <c r="I5816" i="1"/>
  <c r="J5816" i="1"/>
  <c r="K5816" i="1"/>
  <c r="L5816" i="1"/>
  <c r="M5816" i="1"/>
  <c r="N5816" i="1"/>
  <c r="O5816" i="1"/>
  <c r="P5816" i="1"/>
  <c r="Q5816" i="1"/>
  <c r="R5816" i="1"/>
  <c r="S5816" i="1"/>
  <c r="T5816" i="1"/>
  <c r="U5816" i="1"/>
  <c r="V5816" i="1"/>
  <c r="W5816" i="1"/>
  <c r="X5816" i="1"/>
  <c r="Y5816" i="1"/>
  <c r="Z5816" i="1"/>
  <c r="A5817" i="1"/>
  <c r="B5817" i="1"/>
  <c r="C5817" i="1"/>
  <c r="D5817" i="1"/>
  <c r="E5817" i="1"/>
  <c r="F5817" i="1"/>
  <c r="G5817" i="1"/>
  <c r="I5817" i="1"/>
  <c r="J5817" i="1"/>
  <c r="K5817" i="1"/>
  <c r="L5817" i="1"/>
  <c r="M5817" i="1"/>
  <c r="N5817" i="1"/>
  <c r="O5817" i="1"/>
  <c r="P5817" i="1"/>
  <c r="Q5817" i="1"/>
  <c r="R5817" i="1"/>
  <c r="S5817" i="1"/>
  <c r="T5817" i="1"/>
  <c r="U5817" i="1"/>
  <c r="V5817" i="1"/>
  <c r="W5817" i="1"/>
  <c r="X5817" i="1"/>
  <c r="Y5817" i="1"/>
  <c r="Z5817" i="1"/>
  <c r="A5818" i="1"/>
  <c r="B5818" i="1"/>
  <c r="C5818" i="1"/>
  <c r="D5818" i="1"/>
  <c r="E5818" i="1"/>
  <c r="F5818" i="1"/>
  <c r="G5818" i="1"/>
  <c r="I5818" i="1"/>
  <c r="J5818" i="1"/>
  <c r="K5818" i="1"/>
  <c r="L5818" i="1"/>
  <c r="M5818" i="1"/>
  <c r="N5818" i="1"/>
  <c r="O5818" i="1"/>
  <c r="P5818" i="1"/>
  <c r="Q5818" i="1"/>
  <c r="R5818" i="1"/>
  <c r="S5818" i="1"/>
  <c r="T5818" i="1"/>
  <c r="U5818" i="1"/>
  <c r="V5818" i="1"/>
  <c r="W5818" i="1"/>
  <c r="X5818" i="1"/>
  <c r="Y5818" i="1"/>
  <c r="Z5818" i="1"/>
  <c r="A5819" i="1"/>
  <c r="B5819" i="1"/>
  <c r="C5819" i="1"/>
  <c r="D5819" i="1"/>
  <c r="E5819" i="1"/>
  <c r="F5819" i="1"/>
  <c r="G5819" i="1"/>
  <c r="I5819" i="1"/>
  <c r="J5819" i="1"/>
  <c r="K5819" i="1"/>
  <c r="L5819" i="1"/>
  <c r="M5819" i="1"/>
  <c r="N5819" i="1"/>
  <c r="O5819" i="1"/>
  <c r="P5819" i="1"/>
  <c r="Q5819" i="1"/>
  <c r="R5819" i="1"/>
  <c r="S5819" i="1"/>
  <c r="T5819" i="1"/>
  <c r="U5819" i="1"/>
  <c r="V5819" i="1"/>
  <c r="W5819" i="1"/>
  <c r="X5819" i="1"/>
  <c r="Y5819" i="1"/>
  <c r="Z5819" i="1"/>
  <c r="A5820" i="1"/>
  <c r="B5820" i="1"/>
  <c r="C5820" i="1"/>
  <c r="D5820" i="1"/>
  <c r="E5820" i="1"/>
  <c r="F5820" i="1"/>
  <c r="G5820" i="1"/>
  <c r="I5820" i="1"/>
  <c r="J5820" i="1"/>
  <c r="K5820" i="1"/>
  <c r="L5820" i="1"/>
  <c r="M5820" i="1"/>
  <c r="N5820" i="1"/>
  <c r="O5820" i="1"/>
  <c r="P5820" i="1"/>
  <c r="Q5820" i="1"/>
  <c r="R5820" i="1"/>
  <c r="S5820" i="1"/>
  <c r="T5820" i="1"/>
  <c r="U5820" i="1"/>
  <c r="V5820" i="1"/>
  <c r="W5820" i="1"/>
  <c r="X5820" i="1"/>
  <c r="Y5820" i="1"/>
  <c r="Z5820" i="1"/>
  <c r="A5821" i="1"/>
  <c r="B5821" i="1"/>
  <c r="C5821" i="1"/>
  <c r="D5821" i="1"/>
  <c r="E5821" i="1"/>
  <c r="F5821" i="1"/>
  <c r="G5821" i="1"/>
  <c r="I5821" i="1"/>
  <c r="J5821" i="1"/>
  <c r="K5821" i="1"/>
  <c r="L5821" i="1"/>
  <c r="M5821" i="1"/>
  <c r="N5821" i="1"/>
  <c r="O5821" i="1"/>
  <c r="P5821" i="1"/>
  <c r="Q5821" i="1"/>
  <c r="R5821" i="1"/>
  <c r="S5821" i="1"/>
  <c r="T5821" i="1"/>
  <c r="U5821" i="1"/>
  <c r="V5821" i="1"/>
  <c r="W5821" i="1"/>
  <c r="X5821" i="1"/>
  <c r="Y5821" i="1"/>
  <c r="Z5821" i="1"/>
  <c r="A5822" i="1"/>
  <c r="B5822" i="1"/>
  <c r="C5822" i="1"/>
  <c r="D5822" i="1"/>
  <c r="E5822" i="1"/>
  <c r="F5822" i="1"/>
  <c r="G5822" i="1"/>
  <c r="I5822" i="1"/>
  <c r="J5822" i="1"/>
  <c r="K5822" i="1"/>
  <c r="L5822" i="1"/>
  <c r="M5822" i="1"/>
  <c r="N5822" i="1"/>
  <c r="O5822" i="1"/>
  <c r="P5822" i="1"/>
  <c r="Q5822" i="1"/>
  <c r="R5822" i="1"/>
  <c r="S5822" i="1"/>
  <c r="T5822" i="1"/>
  <c r="U5822" i="1"/>
  <c r="V5822" i="1"/>
  <c r="W5822" i="1"/>
  <c r="X5822" i="1"/>
  <c r="Y5822" i="1"/>
  <c r="Z5822" i="1"/>
  <c r="A5823" i="1"/>
  <c r="B5823" i="1"/>
  <c r="C5823" i="1"/>
  <c r="D5823" i="1"/>
  <c r="E5823" i="1"/>
  <c r="F5823" i="1"/>
  <c r="G5823" i="1"/>
  <c r="I5823" i="1"/>
  <c r="J5823" i="1"/>
  <c r="K5823" i="1"/>
  <c r="L5823" i="1"/>
  <c r="M5823" i="1"/>
  <c r="N5823" i="1"/>
  <c r="O5823" i="1"/>
  <c r="P5823" i="1"/>
  <c r="Q5823" i="1"/>
  <c r="R5823" i="1"/>
  <c r="S5823" i="1"/>
  <c r="T5823" i="1"/>
  <c r="U5823" i="1"/>
  <c r="V5823" i="1"/>
  <c r="W5823" i="1"/>
  <c r="X5823" i="1"/>
  <c r="Y5823" i="1"/>
  <c r="Z5823" i="1"/>
  <c r="A5824" i="1"/>
  <c r="B5824" i="1"/>
  <c r="C5824" i="1"/>
  <c r="D5824" i="1"/>
  <c r="E5824" i="1"/>
  <c r="F5824" i="1"/>
  <c r="G5824" i="1"/>
  <c r="I5824" i="1"/>
  <c r="J5824" i="1"/>
  <c r="K5824" i="1"/>
  <c r="L5824" i="1"/>
  <c r="M5824" i="1"/>
  <c r="N5824" i="1"/>
  <c r="O5824" i="1"/>
  <c r="P5824" i="1"/>
  <c r="Q5824" i="1"/>
  <c r="R5824" i="1"/>
  <c r="S5824" i="1"/>
  <c r="T5824" i="1"/>
  <c r="U5824" i="1"/>
  <c r="V5824" i="1"/>
  <c r="W5824" i="1"/>
  <c r="X5824" i="1"/>
  <c r="Y5824" i="1"/>
  <c r="Z5824" i="1"/>
  <c r="A5825" i="1"/>
  <c r="B5825" i="1"/>
  <c r="C5825" i="1"/>
  <c r="D5825" i="1"/>
  <c r="E5825" i="1"/>
  <c r="F5825" i="1"/>
  <c r="G5825" i="1"/>
  <c r="I5825" i="1"/>
  <c r="J5825" i="1"/>
  <c r="K5825" i="1"/>
  <c r="L5825" i="1"/>
  <c r="M5825" i="1"/>
  <c r="N5825" i="1"/>
  <c r="O5825" i="1"/>
  <c r="P5825" i="1"/>
  <c r="Q5825" i="1"/>
  <c r="R5825" i="1"/>
  <c r="S5825" i="1"/>
  <c r="T5825" i="1"/>
  <c r="U5825" i="1"/>
  <c r="V5825" i="1"/>
  <c r="W5825" i="1"/>
  <c r="X5825" i="1"/>
  <c r="Y5825" i="1"/>
  <c r="Z5825" i="1"/>
  <c r="A5826" i="1"/>
  <c r="B5826" i="1"/>
  <c r="C5826" i="1"/>
  <c r="D5826" i="1"/>
  <c r="E5826" i="1"/>
  <c r="F5826" i="1"/>
  <c r="G5826" i="1"/>
  <c r="I5826" i="1"/>
  <c r="J5826" i="1"/>
  <c r="K5826" i="1"/>
  <c r="L5826" i="1"/>
  <c r="M5826" i="1"/>
  <c r="N5826" i="1"/>
  <c r="O5826" i="1"/>
  <c r="P5826" i="1"/>
  <c r="Q5826" i="1"/>
  <c r="R5826" i="1"/>
  <c r="S5826" i="1"/>
  <c r="T5826" i="1"/>
  <c r="U5826" i="1"/>
  <c r="V5826" i="1"/>
  <c r="W5826" i="1"/>
  <c r="X5826" i="1"/>
  <c r="Y5826" i="1"/>
  <c r="Z5826" i="1"/>
  <c r="A5827" i="1"/>
  <c r="B5827" i="1"/>
  <c r="C5827" i="1"/>
  <c r="D5827" i="1"/>
  <c r="E5827" i="1"/>
  <c r="F5827" i="1"/>
  <c r="G5827" i="1"/>
  <c r="I5827" i="1"/>
  <c r="J5827" i="1"/>
  <c r="K5827" i="1"/>
  <c r="L5827" i="1"/>
  <c r="M5827" i="1"/>
  <c r="N5827" i="1"/>
  <c r="O5827" i="1"/>
  <c r="P5827" i="1"/>
  <c r="Q5827" i="1"/>
  <c r="R5827" i="1"/>
  <c r="S5827" i="1"/>
  <c r="T5827" i="1"/>
  <c r="U5827" i="1"/>
  <c r="V5827" i="1"/>
  <c r="W5827" i="1"/>
  <c r="X5827" i="1"/>
  <c r="Y5827" i="1"/>
  <c r="Z5827" i="1"/>
  <c r="A5828" i="1"/>
  <c r="B5828" i="1"/>
  <c r="C5828" i="1"/>
  <c r="D5828" i="1"/>
  <c r="E5828" i="1"/>
  <c r="F5828" i="1"/>
  <c r="G5828" i="1"/>
  <c r="I5828" i="1"/>
  <c r="J5828" i="1"/>
  <c r="K5828" i="1"/>
  <c r="L5828" i="1"/>
  <c r="M5828" i="1"/>
  <c r="N5828" i="1"/>
  <c r="O5828" i="1"/>
  <c r="P5828" i="1"/>
  <c r="Q5828" i="1"/>
  <c r="R5828" i="1"/>
  <c r="S5828" i="1"/>
  <c r="T5828" i="1"/>
  <c r="U5828" i="1"/>
  <c r="V5828" i="1"/>
  <c r="W5828" i="1"/>
  <c r="X5828" i="1"/>
  <c r="Y5828" i="1"/>
  <c r="Z5828" i="1"/>
  <c r="A5829" i="1"/>
  <c r="B5829" i="1"/>
  <c r="C5829" i="1"/>
  <c r="D5829" i="1"/>
  <c r="E5829" i="1"/>
  <c r="F5829" i="1"/>
  <c r="G5829" i="1"/>
  <c r="I5829" i="1"/>
  <c r="J5829" i="1"/>
  <c r="K5829" i="1"/>
  <c r="L5829" i="1"/>
  <c r="M5829" i="1"/>
  <c r="N5829" i="1"/>
  <c r="O5829" i="1"/>
  <c r="P5829" i="1"/>
  <c r="Q5829" i="1"/>
  <c r="R5829" i="1"/>
  <c r="S5829" i="1"/>
  <c r="T5829" i="1"/>
  <c r="U5829" i="1"/>
  <c r="V5829" i="1"/>
  <c r="W5829" i="1"/>
  <c r="X5829" i="1"/>
  <c r="Y5829" i="1"/>
  <c r="Z5829" i="1"/>
  <c r="A5830" i="1"/>
  <c r="B5830" i="1"/>
  <c r="C5830" i="1"/>
  <c r="D5830" i="1"/>
  <c r="E5830" i="1"/>
  <c r="F5830" i="1"/>
  <c r="G5830" i="1"/>
  <c r="I5830" i="1"/>
  <c r="J5830" i="1"/>
  <c r="K5830" i="1"/>
  <c r="L5830" i="1"/>
  <c r="M5830" i="1"/>
  <c r="N5830" i="1"/>
  <c r="O5830" i="1"/>
  <c r="P5830" i="1"/>
  <c r="Q5830" i="1"/>
  <c r="R5830" i="1"/>
  <c r="S5830" i="1"/>
  <c r="T5830" i="1"/>
  <c r="U5830" i="1"/>
  <c r="V5830" i="1"/>
  <c r="W5830" i="1"/>
  <c r="X5830" i="1"/>
  <c r="Y5830" i="1"/>
  <c r="Z5830" i="1"/>
  <c r="A5831" i="1"/>
  <c r="B5831" i="1"/>
  <c r="C5831" i="1"/>
  <c r="D5831" i="1"/>
  <c r="E5831" i="1"/>
  <c r="F5831" i="1"/>
  <c r="G5831" i="1"/>
  <c r="I5831" i="1"/>
  <c r="J5831" i="1"/>
  <c r="K5831" i="1"/>
  <c r="L5831" i="1"/>
  <c r="M5831" i="1"/>
  <c r="N5831" i="1"/>
  <c r="O5831" i="1"/>
  <c r="P5831" i="1"/>
  <c r="Q5831" i="1"/>
  <c r="R5831" i="1"/>
  <c r="S5831" i="1"/>
  <c r="T5831" i="1"/>
  <c r="U5831" i="1"/>
  <c r="V5831" i="1"/>
  <c r="W5831" i="1"/>
  <c r="X5831" i="1"/>
  <c r="Y5831" i="1"/>
  <c r="Z5831" i="1"/>
  <c r="A5832" i="1"/>
  <c r="B5832" i="1"/>
  <c r="C5832" i="1"/>
  <c r="D5832" i="1"/>
  <c r="E5832" i="1"/>
  <c r="F5832" i="1"/>
  <c r="G5832" i="1"/>
  <c r="I5832" i="1"/>
  <c r="J5832" i="1"/>
  <c r="K5832" i="1"/>
  <c r="L5832" i="1"/>
  <c r="M5832" i="1"/>
  <c r="N5832" i="1"/>
  <c r="O5832" i="1"/>
  <c r="P5832" i="1"/>
  <c r="Q5832" i="1"/>
  <c r="R5832" i="1"/>
  <c r="S5832" i="1"/>
  <c r="T5832" i="1"/>
  <c r="U5832" i="1"/>
  <c r="V5832" i="1"/>
  <c r="W5832" i="1"/>
  <c r="X5832" i="1"/>
  <c r="Y5832" i="1"/>
  <c r="Z5832" i="1"/>
  <c r="A5833" i="1"/>
  <c r="B5833" i="1"/>
  <c r="C5833" i="1"/>
  <c r="D5833" i="1"/>
  <c r="E5833" i="1"/>
  <c r="F5833" i="1"/>
  <c r="G5833" i="1"/>
  <c r="I5833" i="1"/>
  <c r="J5833" i="1"/>
  <c r="K5833" i="1"/>
  <c r="L5833" i="1"/>
  <c r="M5833" i="1"/>
  <c r="N5833" i="1"/>
  <c r="O5833" i="1"/>
  <c r="P5833" i="1"/>
  <c r="Q5833" i="1"/>
  <c r="R5833" i="1"/>
  <c r="S5833" i="1"/>
  <c r="T5833" i="1"/>
  <c r="U5833" i="1"/>
  <c r="V5833" i="1"/>
  <c r="W5833" i="1"/>
  <c r="X5833" i="1"/>
  <c r="Y5833" i="1"/>
  <c r="Z5833" i="1"/>
  <c r="A5834" i="1"/>
  <c r="B5834" i="1"/>
  <c r="C5834" i="1"/>
  <c r="D5834" i="1"/>
  <c r="E5834" i="1"/>
  <c r="F5834" i="1"/>
  <c r="G5834" i="1"/>
  <c r="I5834" i="1"/>
  <c r="J5834" i="1"/>
  <c r="K5834" i="1"/>
  <c r="L5834" i="1"/>
  <c r="M5834" i="1"/>
  <c r="N5834" i="1"/>
  <c r="O5834" i="1"/>
  <c r="P5834" i="1"/>
  <c r="Q5834" i="1"/>
  <c r="R5834" i="1"/>
  <c r="S5834" i="1"/>
  <c r="T5834" i="1"/>
  <c r="U5834" i="1"/>
  <c r="V5834" i="1"/>
  <c r="W5834" i="1"/>
  <c r="X5834" i="1"/>
  <c r="Y5834" i="1"/>
  <c r="Z5834" i="1"/>
  <c r="A5835" i="1"/>
  <c r="B5835" i="1"/>
  <c r="C5835" i="1"/>
  <c r="D5835" i="1"/>
  <c r="E5835" i="1"/>
  <c r="F5835" i="1"/>
  <c r="G5835" i="1"/>
  <c r="I5835" i="1"/>
  <c r="J5835" i="1"/>
  <c r="K5835" i="1"/>
  <c r="L5835" i="1"/>
  <c r="M5835" i="1"/>
  <c r="N5835" i="1"/>
  <c r="O5835" i="1"/>
  <c r="P5835" i="1"/>
  <c r="Q5835" i="1"/>
  <c r="R5835" i="1"/>
  <c r="S5835" i="1"/>
  <c r="T5835" i="1"/>
  <c r="U5835" i="1"/>
  <c r="V5835" i="1"/>
  <c r="W5835" i="1"/>
  <c r="X5835" i="1"/>
  <c r="Y5835" i="1"/>
  <c r="Z5835" i="1"/>
  <c r="A5836" i="1"/>
  <c r="B5836" i="1"/>
  <c r="C5836" i="1"/>
  <c r="D5836" i="1"/>
  <c r="E5836" i="1"/>
  <c r="F5836" i="1"/>
  <c r="G5836" i="1"/>
  <c r="I5836" i="1"/>
  <c r="J5836" i="1"/>
  <c r="K5836" i="1"/>
  <c r="L5836" i="1"/>
  <c r="M5836" i="1"/>
  <c r="N5836" i="1"/>
  <c r="O5836" i="1"/>
  <c r="P5836" i="1"/>
  <c r="Q5836" i="1"/>
  <c r="R5836" i="1"/>
  <c r="S5836" i="1"/>
  <c r="T5836" i="1"/>
  <c r="U5836" i="1"/>
  <c r="V5836" i="1"/>
  <c r="W5836" i="1"/>
  <c r="X5836" i="1"/>
  <c r="Y5836" i="1"/>
  <c r="Z5836" i="1"/>
  <c r="A5837" i="1"/>
  <c r="B5837" i="1"/>
  <c r="C5837" i="1"/>
  <c r="D5837" i="1"/>
  <c r="E5837" i="1"/>
  <c r="F5837" i="1"/>
  <c r="G5837" i="1"/>
  <c r="I5837" i="1"/>
  <c r="J5837" i="1"/>
  <c r="K5837" i="1"/>
  <c r="L5837" i="1"/>
  <c r="M5837" i="1"/>
  <c r="N5837" i="1"/>
  <c r="O5837" i="1"/>
  <c r="P5837" i="1"/>
  <c r="Q5837" i="1"/>
  <c r="R5837" i="1"/>
  <c r="S5837" i="1"/>
  <c r="T5837" i="1"/>
  <c r="U5837" i="1"/>
  <c r="V5837" i="1"/>
  <c r="W5837" i="1"/>
  <c r="X5837" i="1"/>
  <c r="Y5837" i="1"/>
  <c r="Z5837" i="1"/>
  <c r="A5838" i="1"/>
  <c r="B5838" i="1"/>
  <c r="C5838" i="1"/>
  <c r="D5838" i="1"/>
  <c r="E5838" i="1"/>
  <c r="F5838" i="1"/>
  <c r="G5838" i="1"/>
  <c r="I5838" i="1"/>
  <c r="J5838" i="1"/>
  <c r="K5838" i="1"/>
  <c r="L5838" i="1"/>
  <c r="M5838" i="1"/>
  <c r="N5838" i="1"/>
  <c r="O5838" i="1"/>
  <c r="P5838" i="1"/>
  <c r="Q5838" i="1"/>
  <c r="R5838" i="1"/>
  <c r="S5838" i="1"/>
  <c r="T5838" i="1"/>
  <c r="U5838" i="1"/>
  <c r="V5838" i="1"/>
  <c r="W5838" i="1"/>
  <c r="X5838" i="1"/>
  <c r="Y5838" i="1"/>
  <c r="Z5838" i="1"/>
  <c r="A5839" i="1"/>
  <c r="B5839" i="1"/>
  <c r="C5839" i="1"/>
  <c r="D5839" i="1"/>
  <c r="E5839" i="1"/>
  <c r="F5839" i="1"/>
  <c r="G5839" i="1"/>
  <c r="I5839" i="1"/>
  <c r="J5839" i="1"/>
  <c r="K5839" i="1"/>
  <c r="L5839" i="1"/>
  <c r="M5839" i="1"/>
  <c r="N5839" i="1"/>
  <c r="O5839" i="1"/>
  <c r="P5839" i="1"/>
  <c r="Q5839" i="1"/>
  <c r="R5839" i="1"/>
  <c r="S5839" i="1"/>
  <c r="T5839" i="1"/>
  <c r="U5839" i="1"/>
  <c r="V5839" i="1"/>
  <c r="W5839" i="1"/>
  <c r="X5839" i="1"/>
  <c r="Y5839" i="1"/>
  <c r="Z5839" i="1"/>
  <c r="A5840" i="1"/>
  <c r="B5840" i="1"/>
  <c r="C5840" i="1"/>
  <c r="D5840" i="1"/>
  <c r="E5840" i="1"/>
  <c r="F5840" i="1"/>
  <c r="G5840" i="1"/>
  <c r="I5840" i="1"/>
  <c r="J5840" i="1"/>
  <c r="K5840" i="1"/>
  <c r="L5840" i="1"/>
  <c r="M5840" i="1"/>
  <c r="N5840" i="1"/>
  <c r="O5840" i="1"/>
  <c r="P5840" i="1"/>
  <c r="Q5840" i="1"/>
  <c r="R5840" i="1"/>
  <c r="S5840" i="1"/>
  <c r="T5840" i="1"/>
  <c r="U5840" i="1"/>
  <c r="V5840" i="1"/>
  <c r="W5840" i="1"/>
  <c r="X5840" i="1"/>
  <c r="Y5840" i="1"/>
  <c r="Z5840" i="1"/>
  <c r="A5841" i="1"/>
  <c r="B5841" i="1"/>
  <c r="C5841" i="1"/>
  <c r="D5841" i="1"/>
  <c r="E5841" i="1"/>
  <c r="F5841" i="1"/>
  <c r="G5841" i="1"/>
  <c r="I5841" i="1"/>
  <c r="J5841" i="1"/>
  <c r="K5841" i="1"/>
  <c r="L5841" i="1"/>
  <c r="M5841" i="1"/>
  <c r="N5841" i="1"/>
  <c r="O5841" i="1"/>
  <c r="P5841" i="1"/>
  <c r="Q5841" i="1"/>
  <c r="R5841" i="1"/>
  <c r="S5841" i="1"/>
  <c r="T5841" i="1"/>
  <c r="U5841" i="1"/>
  <c r="V5841" i="1"/>
  <c r="W5841" i="1"/>
  <c r="X5841" i="1"/>
  <c r="Y5841" i="1"/>
  <c r="Z5841" i="1"/>
  <c r="A5842" i="1"/>
  <c r="B5842" i="1"/>
  <c r="C5842" i="1"/>
  <c r="D5842" i="1"/>
  <c r="E5842" i="1"/>
  <c r="F5842" i="1"/>
  <c r="G5842" i="1"/>
  <c r="I5842" i="1"/>
  <c r="J5842" i="1"/>
  <c r="K5842" i="1"/>
  <c r="L5842" i="1"/>
  <c r="M5842" i="1"/>
  <c r="N5842" i="1"/>
  <c r="O5842" i="1"/>
  <c r="P5842" i="1"/>
  <c r="Q5842" i="1"/>
  <c r="R5842" i="1"/>
  <c r="S5842" i="1"/>
  <c r="T5842" i="1"/>
  <c r="U5842" i="1"/>
  <c r="V5842" i="1"/>
  <c r="W5842" i="1"/>
  <c r="X5842" i="1"/>
  <c r="Y5842" i="1"/>
  <c r="Z5842" i="1"/>
  <c r="A5843" i="1"/>
  <c r="B5843" i="1"/>
  <c r="C5843" i="1"/>
  <c r="D5843" i="1"/>
  <c r="E5843" i="1"/>
  <c r="F5843" i="1"/>
  <c r="G5843" i="1"/>
  <c r="I5843" i="1"/>
  <c r="J5843" i="1"/>
  <c r="K5843" i="1"/>
  <c r="L5843" i="1"/>
  <c r="M5843" i="1"/>
  <c r="N5843" i="1"/>
  <c r="O5843" i="1"/>
  <c r="P5843" i="1"/>
  <c r="Q5843" i="1"/>
  <c r="R5843" i="1"/>
  <c r="S5843" i="1"/>
  <c r="T5843" i="1"/>
  <c r="U5843" i="1"/>
  <c r="V5843" i="1"/>
  <c r="W5843" i="1"/>
  <c r="X5843" i="1"/>
  <c r="Y5843" i="1"/>
  <c r="Z5843" i="1"/>
  <c r="A5844" i="1"/>
  <c r="B5844" i="1"/>
  <c r="C5844" i="1"/>
  <c r="D5844" i="1"/>
  <c r="E5844" i="1"/>
  <c r="F5844" i="1"/>
  <c r="G5844" i="1"/>
  <c r="I5844" i="1"/>
  <c r="J5844" i="1"/>
  <c r="K5844" i="1"/>
  <c r="L5844" i="1"/>
  <c r="M5844" i="1"/>
  <c r="N5844" i="1"/>
  <c r="O5844" i="1"/>
  <c r="P5844" i="1"/>
  <c r="Q5844" i="1"/>
  <c r="R5844" i="1"/>
  <c r="S5844" i="1"/>
  <c r="T5844" i="1"/>
  <c r="U5844" i="1"/>
  <c r="V5844" i="1"/>
  <c r="W5844" i="1"/>
  <c r="X5844" i="1"/>
  <c r="Y5844" i="1"/>
  <c r="Z5844" i="1"/>
  <c r="A5845" i="1"/>
  <c r="B5845" i="1"/>
  <c r="C5845" i="1"/>
  <c r="D5845" i="1"/>
  <c r="E5845" i="1"/>
  <c r="F5845" i="1"/>
  <c r="G5845" i="1"/>
  <c r="I5845" i="1"/>
  <c r="J5845" i="1"/>
  <c r="K5845" i="1"/>
  <c r="L5845" i="1"/>
  <c r="M5845" i="1"/>
  <c r="N5845" i="1"/>
  <c r="O5845" i="1"/>
  <c r="P5845" i="1"/>
  <c r="Q5845" i="1"/>
  <c r="R5845" i="1"/>
  <c r="S5845" i="1"/>
  <c r="T5845" i="1"/>
  <c r="U5845" i="1"/>
  <c r="V5845" i="1"/>
  <c r="W5845" i="1"/>
  <c r="X5845" i="1"/>
  <c r="Y5845" i="1"/>
  <c r="Z5845" i="1"/>
  <c r="A5846" i="1"/>
  <c r="B5846" i="1"/>
  <c r="C5846" i="1"/>
  <c r="D5846" i="1"/>
  <c r="E5846" i="1"/>
  <c r="F5846" i="1"/>
  <c r="G5846" i="1"/>
  <c r="I5846" i="1"/>
  <c r="J5846" i="1"/>
  <c r="K5846" i="1"/>
  <c r="L5846" i="1"/>
  <c r="M5846" i="1"/>
  <c r="N5846" i="1"/>
  <c r="O5846" i="1"/>
  <c r="P5846" i="1"/>
  <c r="Q5846" i="1"/>
  <c r="R5846" i="1"/>
  <c r="S5846" i="1"/>
  <c r="T5846" i="1"/>
  <c r="U5846" i="1"/>
  <c r="V5846" i="1"/>
  <c r="W5846" i="1"/>
  <c r="X5846" i="1"/>
  <c r="Y5846" i="1"/>
  <c r="Z5846" i="1"/>
  <c r="A5847" i="1"/>
  <c r="B5847" i="1"/>
  <c r="C5847" i="1"/>
  <c r="D5847" i="1"/>
  <c r="E5847" i="1"/>
  <c r="F5847" i="1"/>
  <c r="G5847" i="1"/>
  <c r="I5847" i="1"/>
  <c r="J5847" i="1"/>
  <c r="K5847" i="1"/>
  <c r="L5847" i="1"/>
  <c r="M5847" i="1"/>
  <c r="N5847" i="1"/>
  <c r="O5847" i="1"/>
  <c r="P5847" i="1"/>
  <c r="Q5847" i="1"/>
  <c r="R5847" i="1"/>
  <c r="S5847" i="1"/>
  <c r="T5847" i="1"/>
  <c r="U5847" i="1"/>
  <c r="V5847" i="1"/>
  <c r="W5847" i="1"/>
  <c r="X5847" i="1"/>
  <c r="Y5847" i="1"/>
  <c r="Z5847" i="1"/>
  <c r="A5848" i="1"/>
  <c r="B5848" i="1"/>
  <c r="C5848" i="1"/>
  <c r="D5848" i="1"/>
  <c r="E5848" i="1"/>
  <c r="F5848" i="1"/>
  <c r="G5848" i="1"/>
  <c r="I5848" i="1"/>
  <c r="J5848" i="1"/>
  <c r="K5848" i="1"/>
  <c r="L5848" i="1"/>
  <c r="M5848" i="1"/>
  <c r="N5848" i="1"/>
  <c r="O5848" i="1"/>
  <c r="P5848" i="1"/>
  <c r="Q5848" i="1"/>
  <c r="R5848" i="1"/>
  <c r="S5848" i="1"/>
  <c r="T5848" i="1"/>
  <c r="U5848" i="1"/>
  <c r="V5848" i="1"/>
  <c r="W5848" i="1"/>
  <c r="X5848" i="1"/>
  <c r="Y5848" i="1"/>
  <c r="Z5848" i="1"/>
  <c r="A5849" i="1"/>
  <c r="B5849" i="1"/>
  <c r="C5849" i="1"/>
  <c r="D5849" i="1"/>
  <c r="E5849" i="1"/>
  <c r="F5849" i="1"/>
  <c r="G5849" i="1"/>
  <c r="I5849" i="1"/>
  <c r="J5849" i="1"/>
  <c r="K5849" i="1"/>
  <c r="L5849" i="1"/>
  <c r="M5849" i="1"/>
  <c r="N5849" i="1"/>
  <c r="O5849" i="1"/>
  <c r="P5849" i="1"/>
  <c r="Q5849" i="1"/>
  <c r="R5849" i="1"/>
  <c r="S5849" i="1"/>
  <c r="T5849" i="1"/>
  <c r="U5849" i="1"/>
  <c r="V5849" i="1"/>
  <c r="W5849" i="1"/>
  <c r="X5849" i="1"/>
  <c r="Y5849" i="1"/>
  <c r="Z5849" i="1"/>
  <c r="A5850" i="1"/>
  <c r="B5850" i="1"/>
  <c r="C5850" i="1"/>
  <c r="D5850" i="1"/>
  <c r="E5850" i="1"/>
  <c r="F5850" i="1"/>
  <c r="G5850" i="1"/>
  <c r="I5850" i="1"/>
  <c r="J5850" i="1"/>
  <c r="K5850" i="1"/>
  <c r="L5850" i="1"/>
  <c r="M5850" i="1"/>
  <c r="N5850" i="1"/>
  <c r="O5850" i="1"/>
  <c r="P5850" i="1"/>
  <c r="Q5850" i="1"/>
  <c r="R5850" i="1"/>
  <c r="S5850" i="1"/>
  <c r="T5850" i="1"/>
  <c r="U5850" i="1"/>
  <c r="V5850" i="1"/>
  <c r="W5850" i="1"/>
  <c r="X5850" i="1"/>
  <c r="Y5850" i="1"/>
  <c r="Z5850" i="1"/>
  <c r="A5851" i="1"/>
  <c r="B5851" i="1"/>
  <c r="C5851" i="1"/>
  <c r="D5851" i="1"/>
  <c r="E5851" i="1"/>
  <c r="F5851" i="1"/>
  <c r="G5851" i="1"/>
  <c r="I5851" i="1"/>
  <c r="J5851" i="1"/>
  <c r="K5851" i="1"/>
  <c r="L5851" i="1"/>
  <c r="M5851" i="1"/>
  <c r="N5851" i="1"/>
  <c r="O5851" i="1"/>
  <c r="P5851" i="1"/>
  <c r="Q5851" i="1"/>
  <c r="R5851" i="1"/>
  <c r="S5851" i="1"/>
  <c r="T5851" i="1"/>
  <c r="U5851" i="1"/>
  <c r="V5851" i="1"/>
  <c r="W5851" i="1"/>
  <c r="X5851" i="1"/>
  <c r="Y5851" i="1"/>
  <c r="Z5851" i="1"/>
  <c r="A5852" i="1"/>
  <c r="B5852" i="1"/>
  <c r="C5852" i="1"/>
  <c r="D5852" i="1"/>
  <c r="E5852" i="1"/>
  <c r="F5852" i="1"/>
  <c r="G5852" i="1"/>
  <c r="I5852" i="1"/>
  <c r="J5852" i="1"/>
  <c r="K5852" i="1"/>
  <c r="L5852" i="1"/>
  <c r="M5852" i="1"/>
  <c r="N5852" i="1"/>
  <c r="O5852" i="1"/>
  <c r="P5852" i="1"/>
  <c r="Q5852" i="1"/>
  <c r="R5852" i="1"/>
  <c r="S5852" i="1"/>
  <c r="T5852" i="1"/>
  <c r="U5852" i="1"/>
  <c r="V5852" i="1"/>
  <c r="W5852" i="1"/>
  <c r="X5852" i="1"/>
  <c r="Y5852" i="1"/>
  <c r="Z5852" i="1"/>
  <c r="A5853" i="1"/>
  <c r="B5853" i="1"/>
  <c r="C5853" i="1"/>
  <c r="D5853" i="1"/>
  <c r="E5853" i="1"/>
  <c r="F5853" i="1"/>
  <c r="G5853" i="1"/>
  <c r="I5853" i="1"/>
  <c r="J5853" i="1"/>
  <c r="K5853" i="1"/>
  <c r="L5853" i="1"/>
  <c r="M5853" i="1"/>
  <c r="N5853" i="1"/>
  <c r="O5853" i="1"/>
  <c r="P5853" i="1"/>
  <c r="Q5853" i="1"/>
  <c r="R5853" i="1"/>
  <c r="S5853" i="1"/>
  <c r="T5853" i="1"/>
  <c r="U5853" i="1"/>
  <c r="V5853" i="1"/>
  <c r="W5853" i="1"/>
  <c r="X5853" i="1"/>
  <c r="Y5853" i="1"/>
  <c r="Z5853" i="1"/>
  <c r="A5854" i="1"/>
  <c r="B5854" i="1"/>
  <c r="C5854" i="1"/>
  <c r="D5854" i="1"/>
  <c r="E5854" i="1"/>
  <c r="F5854" i="1"/>
  <c r="G5854" i="1"/>
  <c r="I5854" i="1"/>
  <c r="J5854" i="1"/>
  <c r="K5854" i="1"/>
  <c r="L5854" i="1"/>
  <c r="M5854" i="1"/>
  <c r="N5854" i="1"/>
  <c r="O5854" i="1"/>
  <c r="P5854" i="1"/>
  <c r="Q5854" i="1"/>
  <c r="R5854" i="1"/>
  <c r="S5854" i="1"/>
  <c r="T5854" i="1"/>
  <c r="U5854" i="1"/>
  <c r="V5854" i="1"/>
  <c r="W5854" i="1"/>
  <c r="X5854" i="1"/>
  <c r="Y5854" i="1"/>
  <c r="Z5854" i="1"/>
  <c r="A5855" i="1"/>
  <c r="B5855" i="1"/>
  <c r="C5855" i="1"/>
  <c r="D5855" i="1"/>
  <c r="E5855" i="1"/>
  <c r="F5855" i="1"/>
  <c r="G5855" i="1"/>
  <c r="I5855" i="1"/>
  <c r="J5855" i="1"/>
  <c r="K5855" i="1"/>
  <c r="L5855" i="1"/>
  <c r="M5855" i="1"/>
  <c r="N5855" i="1"/>
  <c r="O5855" i="1"/>
  <c r="P5855" i="1"/>
  <c r="Q5855" i="1"/>
  <c r="R5855" i="1"/>
  <c r="S5855" i="1"/>
  <c r="T5855" i="1"/>
  <c r="U5855" i="1"/>
  <c r="V5855" i="1"/>
  <c r="W5855" i="1"/>
  <c r="X5855" i="1"/>
  <c r="Y5855" i="1"/>
  <c r="Z5855" i="1"/>
  <c r="A5856" i="1"/>
  <c r="B5856" i="1"/>
  <c r="C5856" i="1"/>
  <c r="D5856" i="1"/>
  <c r="E5856" i="1"/>
  <c r="F5856" i="1"/>
  <c r="G5856" i="1"/>
  <c r="I5856" i="1"/>
  <c r="J5856" i="1"/>
  <c r="K5856" i="1"/>
  <c r="L5856" i="1"/>
  <c r="M5856" i="1"/>
  <c r="N5856" i="1"/>
  <c r="O5856" i="1"/>
  <c r="P5856" i="1"/>
  <c r="Q5856" i="1"/>
  <c r="R5856" i="1"/>
  <c r="S5856" i="1"/>
  <c r="T5856" i="1"/>
  <c r="U5856" i="1"/>
  <c r="V5856" i="1"/>
  <c r="W5856" i="1"/>
  <c r="X5856" i="1"/>
  <c r="Y5856" i="1"/>
  <c r="Z5856" i="1"/>
  <c r="A5857" i="1"/>
  <c r="B5857" i="1"/>
  <c r="C5857" i="1"/>
  <c r="D5857" i="1"/>
  <c r="E5857" i="1"/>
  <c r="F5857" i="1"/>
  <c r="G5857" i="1"/>
  <c r="I5857" i="1"/>
  <c r="J5857" i="1"/>
  <c r="K5857" i="1"/>
  <c r="L5857" i="1"/>
  <c r="M5857" i="1"/>
  <c r="N5857" i="1"/>
  <c r="O5857" i="1"/>
  <c r="P5857" i="1"/>
  <c r="Q5857" i="1"/>
  <c r="R5857" i="1"/>
  <c r="S5857" i="1"/>
  <c r="T5857" i="1"/>
  <c r="U5857" i="1"/>
  <c r="V5857" i="1"/>
  <c r="W5857" i="1"/>
  <c r="X5857" i="1"/>
  <c r="Y5857" i="1"/>
  <c r="Z5857" i="1"/>
  <c r="A5858" i="1"/>
  <c r="B5858" i="1"/>
  <c r="C5858" i="1"/>
  <c r="D5858" i="1"/>
  <c r="E5858" i="1"/>
  <c r="F5858" i="1"/>
  <c r="G5858" i="1"/>
  <c r="I5858" i="1"/>
  <c r="J5858" i="1"/>
  <c r="K5858" i="1"/>
  <c r="L5858" i="1"/>
  <c r="M5858" i="1"/>
  <c r="N5858" i="1"/>
  <c r="O5858" i="1"/>
  <c r="P5858" i="1"/>
  <c r="Q5858" i="1"/>
  <c r="R5858" i="1"/>
  <c r="S5858" i="1"/>
  <c r="T5858" i="1"/>
  <c r="U5858" i="1"/>
  <c r="V5858" i="1"/>
  <c r="W5858" i="1"/>
  <c r="X5858" i="1"/>
  <c r="Y5858" i="1"/>
  <c r="Z5858" i="1"/>
  <c r="A5859" i="1"/>
  <c r="B5859" i="1"/>
  <c r="C5859" i="1"/>
  <c r="D5859" i="1"/>
  <c r="E5859" i="1"/>
  <c r="F5859" i="1"/>
  <c r="G5859" i="1"/>
  <c r="I5859" i="1"/>
  <c r="J5859" i="1"/>
  <c r="K5859" i="1"/>
  <c r="L5859" i="1"/>
  <c r="M5859" i="1"/>
  <c r="N5859" i="1"/>
  <c r="O5859" i="1"/>
  <c r="P5859" i="1"/>
  <c r="Q5859" i="1"/>
  <c r="R5859" i="1"/>
  <c r="S5859" i="1"/>
  <c r="T5859" i="1"/>
  <c r="U5859" i="1"/>
  <c r="V5859" i="1"/>
  <c r="W5859" i="1"/>
  <c r="X5859" i="1"/>
  <c r="Y5859" i="1"/>
  <c r="Z5859" i="1"/>
  <c r="A5860" i="1"/>
  <c r="B5860" i="1"/>
  <c r="C5860" i="1"/>
  <c r="D5860" i="1"/>
  <c r="E5860" i="1"/>
  <c r="F5860" i="1"/>
  <c r="G5860" i="1"/>
  <c r="I5860" i="1"/>
  <c r="J5860" i="1"/>
  <c r="K5860" i="1"/>
  <c r="L5860" i="1"/>
  <c r="M5860" i="1"/>
  <c r="N5860" i="1"/>
  <c r="O5860" i="1"/>
  <c r="P5860" i="1"/>
  <c r="Q5860" i="1"/>
  <c r="R5860" i="1"/>
  <c r="S5860" i="1"/>
  <c r="T5860" i="1"/>
  <c r="U5860" i="1"/>
  <c r="V5860" i="1"/>
  <c r="W5860" i="1"/>
  <c r="X5860" i="1"/>
  <c r="Y5860" i="1"/>
  <c r="Z5860" i="1"/>
  <c r="A5861" i="1"/>
  <c r="B5861" i="1"/>
  <c r="C5861" i="1"/>
  <c r="D5861" i="1"/>
  <c r="E5861" i="1"/>
  <c r="F5861" i="1"/>
  <c r="G5861" i="1"/>
  <c r="I5861" i="1"/>
  <c r="J5861" i="1"/>
  <c r="K5861" i="1"/>
  <c r="L5861" i="1"/>
  <c r="M5861" i="1"/>
  <c r="N5861" i="1"/>
  <c r="O5861" i="1"/>
  <c r="P5861" i="1"/>
  <c r="Q5861" i="1"/>
  <c r="R5861" i="1"/>
  <c r="S5861" i="1"/>
  <c r="T5861" i="1"/>
  <c r="U5861" i="1"/>
  <c r="V5861" i="1"/>
  <c r="W5861" i="1"/>
  <c r="X5861" i="1"/>
  <c r="Y5861" i="1"/>
  <c r="Z5861" i="1"/>
  <c r="A5862" i="1"/>
  <c r="B5862" i="1"/>
  <c r="C5862" i="1"/>
  <c r="D5862" i="1"/>
  <c r="E5862" i="1"/>
  <c r="F5862" i="1"/>
  <c r="G5862" i="1"/>
  <c r="I5862" i="1"/>
  <c r="J5862" i="1"/>
  <c r="K5862" i="1"/>
  <c r="L5862" i="1"/>
  <c r="M5862" i="1"/>
  <c r="N5862" i="1"/>
  <c r="O5862" i="1"/>
  <c r="P5862" i="1"/>
  <c r="Q5862" i="1"/>
  <c r="R5862" i="1"/>
  <c r="S5862" i="1"/>
  <c r="T5862" i="1"/>
  <c r="U5862" i="1"/>
  <c r="V5862" i="1"/>
  <c r="W5862" i="1"/>
  <c r="X5862" i="1"/>
  <c r="Y5862" i="1"/>
  <c r="Z5862" i="1"/>
  <c r="A5863" i="1"/>
  <c r="B5863" i="1"/>
  <c r="C5863" i="1"/>
  <c r="D5863" i="1"/>
  <c r="E5863" i="1"/>
  <c r="F5863" i="1"/>
  <c r="G5863" i="1"/>
  <c r="I5863" i="1"/>
  <c r="J5863" i="1"/>
  <c r="K5863" i="1"/>
  <c r="L5863" i="1"/>
  <c r="M5863" i="1"/>
  <c r="N5863" i="1"/>
  <c r="O5863" i="1"/>
  <c r="P5863" i="1"/>
  <c r="Q5863" i="1"/>
  <c r="R5863" i="1"/>
  <c r="S5863" i="1"/>
  <c r="T5863" i="1"/>
  <c r="U5863" i="1"/>
  <c r="V5863" i="1"/>
  <c r="W5863" i="1"/>
  <c r="X5863" i="1"/>
  <c r="Y5863" i="1"/>
  <c r="Z5863" i="1"/>
  <c r="A5864" i="1"/>
  <c r="B5864" i="1"/>
  <c r="C5864" i="1"/>
  <c r="D5864" i="1"/>
  <c r="E5864" i="1"/>
  <c r="F5864" i="1"/>
  <c r="G5864" i="1"/>
  <c r="I5864" i="1"/>
  <c r="J5864" i="1"/>
  <c r="K5864" i="1"/>
  <c r="L5864" i="1"/>
  <c r="M5864" i="1"/>
  <c r="N5864" i="1"/>
  <c r="O5864" i="1"/>
  <c r="P5864" i="1"/>
  <c r="Q5864" i="1"/>
  <c r="R5864" i="1"/>
  <c r="S5864" i="1"/>
  <c r="T5864" i="1"/>
  <c r="U5864" i="1"/>
  <c r="V5864" i="1"/>
  <c r="W5864" i="1"/>
  <c r="X5864" i="1"/>
  <c r="Y5864" i="1"/>
  <c r="Z5864" i="1"/>
  <c r="A5865" i="1"/>
  <c r="B5865" i="1"/>
  <c r="C5865" i="1"/>
  <c r="D5865" i="1"/>
  <c r="E5865" i="1"/>
  <c r="F5865" i="1"/>
  <c r="G5865" i="1"/>
  <c r="I5865" i="1"/>
  <c r="J5865" i="1"/>
  <c r="K5865" i="1"/>
  <c r="L5865" i="1"/>
  <c r="M5865" i="1"/>
  <c r="N5865" i="1"/>
  <c r="O5865" i="1"/>
  <c r="P5865" i="1"/>
  <c r="Q5865" i="1"/>
  <c r="R5865" i="1"/>
  <c r="S5865" i="1"/>
  <c r="T5865" i="1"/>
  <c r="U5865" i="1"/>
  <c r="V5865" i="1"/>
  <c r="W5865" i="1"/>
  <c r="X5865" i="1"/>
  <c r="Y5865" i="1"/>
  <c r="Z5865" i="1"/>
  <c r="A5866" i="1"/>
  <c r="B5866" i="1"/>
  <c r="C5866" i="1"/>
  <c r="D5866" i="1"/>
  <c r="E5866" i="1"/>
  <c r="F5866" i="1"/>
  <c r="G5866" i="1"/>
  <c r="I5866" i="1"/>
  <c r="J5866" i="1"/>
  <c r="K5866" i="1"/>
  <c r="L5866" i="1"/>
  <c r="M5866" i="1"/>
  <c r="N5866" i="1"/>
  <c r="O5866" i="1"/>
  <c r="P5866" i="1"/>
  <c r="Q5866" i="1"/>
  <c r="R5866" i="1"/>
  <c r="S5866" i="1"/>
  <c r="T5866" i="1"/>
  <c r="U5866" i="1"/>
  <c r="V5866" i="1"/>
  <c r="W5866" i="1"/>
  <c r="X5866" i="1"/>
  <c r="Y5866" i="1"/>
  <c r="Z5866" i="1"/>
  <c r="A5867" i="1"/>
  <c r="B5867" i="1"/>
  <c r="C5867" i="1"/>
  <c r="D5867" i="1"/>
  <c r="E5867" i="1"/>
  <c r="F5867" i="1"/>
  <c r="G5867" i="1"/>
  <c r="I5867" i="1"/>
  <c r="J5867" i="1"/>
  <c r="K5867" i="1"/>
  <c r="L5867" i="1"/>
  <c r="M5867" i="1"/>
  <c r="N5867" i="1"/>
  <c r="O5867" i="1"/>
  <c r="P5867" i="1"/>
  <c r="Q5867" i="1"/>
  <c r="R5867" i="1"/>
  <c r="S5867" i="1"/>
  <c r="T5867" i="1"/>
  <c r="U5867" i="1"/>
  <c r="V5867" i="1"/>
  <c r="W5867" i="1"/>
  <c r="X5867" i="1"/>
  <c r="Y5867" i="1"/>
  <c r="Z5867" i="1"/>
  <c r="A5868" i="1"/>
  <c r="B5868" i="1"/>
  <c r="C5868" i="1"/>
  <c r="D5868" i="1"/>
  <c r="E5868" i="1"/>
  <c r="F5868" i="1"/>
  <c r="G5868" i="1"/>
  <c r="I5868" i="1"/>
  <c r="J5868" i="1"/>
  <c r="K5868" i="1"/>
  <c r="L5868" i="1"/>
  <c r="M5868" i="1"/>
  <c r="N5868" i="1"/>
  <c r="O5868" i="1"/>
  <c r="P5868" i="1"/>
  <c r="Q5868" i="1"/>
  <c r="R5868" i="1"/>
  <c r="S5868" i="1"/>
  <c r="T5868" i="1"/>
  <c r="U5868" i="1"/>
  <c r="V5868" i="1"/>
  <c r="W5868" i="1"/>
  <c r="X5868" i="1"/>
  <c r="Y5868" i="1"/>
  <c r="Z5868" i="1"/>
  <c r="A5869" i="1"/>
  <c r="B5869" i="1"/>
  <c r="C5869" i="1"/>
  <c r="D5869" i="1"/>
  <c r="E5869" i="1"/>
  <c r="F5869" i="1"/>
  <c r="G5869" i="1"/>
  <c r="I5869" i="1"/>
  <c r="J5869" i="1"/>
  <c r="K5869" i="1"/>
  <c r="L5869" i="1"/>
  <c r="M5869" i="1"/>
  <c r="N5869" i="1"/>
  <c r="O5869" i="1"/>
  <c r="P5869" i="1"/>
  <c r="Q5869" i="1"/>
  <c r="R5869" i="1"/>
  <c r="S5869" i="1"/>
  <c r="T5869" i="1"/>
  <c r="U5869" i="1"/>
  <c r="V5869" i="1"/>
  <c r="W5869" i="1"/>
  <c r="X5869" i="1"/>
  <c r="Y5869" i="1"/>
  <c r="Z5869" i="1"/>
  <c r="A5870" i="1"/>
  <c r="B5870" i="1"/>
  <c r="C5870" i="1"/>
  <c r="D5870" i="1"/>
  <c r="E5870" i="1"/>
  <c r="F5870" i="1"/>
  <c r="G5870" i="1"/>
  <c r="I5870" i="1"/>
  <c r="J5870" i="1"/>
  <c r="K5870" i="1"/>
  <c r="L5870" i="1"/>
  <c r="M5870" i="1"/>
  <c r="N5870" i="1"/>
  <c r="O5870" i="1"/>
  <c r="P5870" i="1"/>
  <c r="Q5870" i="1"/>
  <c r="R5870" i="1"/>
  <c r="S5870" i="1"/>
  <c r="T5870" i="1"/>
  <c r="U5870" i="1"/>
  <c r="V5870" i="1"/>
  <c r="W5870" i="1"/>
  <c r="X5870" i="1"/>
  <c r="Y5870" i="1"/>
  <c r="Z5870" i="1"/>
  <c r="A5871" i="1"/>
  <c r="B5871" i="1"/>
  <c r="C5871" i="1"/>
  <c r="D5871" i="1"/>
  <c r="E5871" i="1"/>
  <c r="F5871" i="1"/>
  <c r="G5871" i="1"/>
  <c r="I5871" i="1"/>
  <c r="J5871" i="1"/>
  <c r="K5871" i="1"/>
  <c r="L5871" i="1"/>
  <c r="M5871" i="1"/>
  <c r="N5871" i="1"/>
  <c r="O5871" i="1"/>
  <c r="P5871" i="1"/>
  <c r="Q5871" i="1"/>
  <c r="R5871" i="1"/>
  <c r="S5871" i="1"/>
  <c r="T5871" i="1"/>
  <c r="U5871" i="1"/>
  <c r="V5871" i="1"/>
  <c r="W5871" i="1"/>
  <c r="X5871" i="1"/>
  <c r="Y5871" i="1"/>
  <c r="Z5871" i="1"/>
  <c r="A5872" i="1"/>
  <c r="B5872" i="1"/>
  <c r="C5872" i="1"/>
  <c r="D5872" i="1"/>
  <c r="E5872" i="1"/>
  <c r="F5872" i="1"/>
  <c r="G5872" i="1"/>
  <c r="I5872" i="1"/>
  <c r="J5872" i="1"/>
  <c r="K5872" i="1"/>
  <c r="L5872" i="1"/>
  <c r="M5872" i="1"/>
  <c r="N5872" i="1"/>
  <c r="O5872" i="1"/>
  <c r="P5872" i="1"/>
  <c r="Q5872" i="1"/>
  <c r="R5872" i="1"/>
  <c r="S5872" i="1"/>
  <c r="T5872" i="1"/>
  <c r="U5872" i="1"/>
  <c r="V5872" i="1"/>
  <c r="W5872" i="1"/>
  <c r="X5872" i="1"/>
  <c r="Y5872" i="1"/>
  <c r="Z5872" i="1"/>
  <c r="A5873" i="1"/>
  <c r="B5873" i="1"/>
  <c r="C5873" i="1"/>
  <c r="D5873" i="1"/>
  <c r="E5873" i="1"/>
  <c r="F5873" i="1"/>
  <c r="G5873" i="1"/>
  <c r="I5873" i="1"/>
  <c r="J5873" i="1"/>
  <c r="K5873" i="1"/>
  <c r="L5873" i="1"/>
  <c r="M5873" i="1"/>
  <c r="N5873" i="1"/>
  <c r="O5873" i="1"/>
  <c r="P5873" i="1"/>
  <c r="Q5873" i="1"/>
  <c r="R5873" i="1"/>
  <c r="S5873" i="1"/>
  <c r="T5873" i="1"/>
  <c r="U5873" i="1"/>
  <c r="V5873" i="1"/>
  <c r="W5873" i="1"/>
  <c r="X5873" i="1"/>
  <c r="Y5873" i="1"/>
  <c r="Z5873" i="1"/>
  <c r="A5874" i="1"/>
  <c r="B5874" i="1"/>
  <c r="C5874" i="1"/>
  <c r="D5874" i="1"/>
  <c r="E5874" i="1"/>
  <c r="F5874" i="1"/>
  <c r="G5874" i="1"/>
  <c r="I5874" i="1"/>
  <c r="J5874" i="1"/>
  <c r="K5874" i="1"/>
  <c r="L5874" i="1"/>
  <c r="M5874" i="1"/>
  <c r="N5874" i="1"/>
  <c r="O5874" i="1"/>
  <c r="P5874" i="1"/>
  <c r="Q5874" i="1"/>
  <c r="R5874" i="1"/>
  <c r="S5874" i="1"/>
  <c r="T5874" i="1"/>
  <c r="U5874" i="1"/>
  <c r="V5874" i="1"/>
  <c r="W5874" i="1"/>
  <c r="X5874" i="1"/>
  <c r="Y5874" i="1"/>
  <c r="Z5874" i="1"/>
  <c r="A5875" i="1"/>
  <c r="B5875" i="1"/>
  <c r="C5875" i="1"/>
  <c r="D5875" i="1"/>
  <c r="E5875" i="1"/>
  <c r="F5875" i="1"/>
  <c r="G5875" i="1"/>
  <c r="I5875" i="1"/>
  <c r="J5875" i="1"/>
  <c r="K5875" i="1"/>
  <c r="L5875" i="1"/>
  <c r="M5875" i="1"/>
  <c r="N5875" i="1"/>
  <c r="O5875" i="1"/>
  <c r="P5875" i="1"/>
  <c r="Q5875" i="1"/>
  <c r="R5875" i="1"/>
  <c r="S5875" i="1"/>
  <c r="T5875" i="1"/>
  <c r="U5875" i="1"/>
  <c r="V5875" i="1"/>
  <c r="W5875" i="1"/>
  <c r="X5875" i="1"/>
  <c r="Y5875" i="1"/>
  <c r="Z5875" i="1"/>
  <c r="A5876" i="1"/>
  <c r="B5876" i="1"/>
  <c r="C5876" i="1"/>
  <c r="D5876" i="1"/>
  <c r="E5876" i="1"/>
  <c r="F5876" i="1"/>
  <c r="G5876" i="1"/>
  <c r="I5876" i="1"/>
  <c r="J5876" i="1"/>
  <c r="K5876" i="1"/>
  <c r="L5876" i="1"/>
  <c r="M5876" i="1"/>
  <c r="N5876" i="1"/>
  <c r="O5876" i="1"/>
  <c r="P5876" i="1"/>
  <c r="Q5876" i="1"/>
  <c r="R5876" i="1"/>
  <c r="S5876" i="1"/>
  <c r="T5876" i="1"/>
  <c r="U5876" i="1"/>
  <c r="V5876" i="1"/>
  <c r="W5876" i="1"/>
  <c r="X5876" i="1"/>
  <c r="Y5876" i="1"/>
  <c r="Z5876" i="1"/>
  <c r="A5877" i="1"/>
  <c r="B5877" i="1"/>
  <c r="C5877" i="1"/>
  <c r="D5877" i="1"/>
  <c r="E5877" i="1"/>
  <c r="F5877" i="1"/>
  <c r="G5877" i="1"/>
  <c r="I5877" i="1"/>
  <c r="J5877" i="1"/>
  <c r="K5877" i="1"/>
  <c r="L5877" i="1"/>
  <c r="M5877" i="1"/>
  <c r="N5877" i="1"/>
  <c r="O5877" i="1"/>
  <c r="P5877" i="1"/>
  <c r="Q5877" i="1"/>
  <c r="R5877" i="1"/>
  <c r="S5877" i="1"/>
  <c r="T5877" i="1"/>
  <c r="U5877" i="1"/>
  <c r="V5877" i="1"/>
  <c r="W5877" i="1"/>
  <c r="X5877" i="1"/>
  <c r="Y5877" i="1"/>
  <c r="Z5877" i="1"/>
  <c r="A5878" i="1"/>
  <c r="B5878" i="1"/>
  <c r="C5878" i="1"/>
  <c r="D5878" i="1"/>
  <c r="E5878" i="1"/>
  <c r="F5878" i="1"/>
  <c r="G5878" i="1"/>
  <c r="I5878" i="1"/>
  <c r="J5878" i="1"/>
  <c r="K5878" i="1"/>
  <c r="L5878" i="1"/>
  <c r="M5878" i="1"/>
  <c r="N5878" i="1"/>
  <c r="O5878" i="1"/>
  <c r="P5878" i="1"/>
  <c r="Q5878" i="1"/>
  <c r="R5878" i="1"/>
  <c r="S5878" i="1"/>
  <c r="T5878" i="1"/>
  <c r="U5878" i="1"/>
  <c r="V5878" i="1"/>
  <c r="W5878" i="1"/>
  <c r="X5878" i="1"/>
  <c r="Y5878" i="1"/>
  <c r="Z5878" i="1"/>
  <c r="A5879" i="1"/>
  <c r="B5879" i="1"/>
  <c r="C5879" i="1"/>
  <c r="D5879" i="1"/>
  <c r="E5879" i="1"/>
  <c r="F5879" i="1"/>
  <c r="G5879" i="1"/>
  <c r="I5879" i="1"/>
  <c r="J5879" i="1"/>
  <c r="K5879" i="1"/>
  <c r="L5879" i="1"/>
  <c r="M5879" i="1"/>
  <c r="N5879" i="1"/>
  <c r="O5879" i="1"/>
  <c r="P5879" i="1"/>
  <c r="Q5879" i="1"/>
  <c r="R5879" i="1"/>
  <c r="S5879" i="1"/>
  <c r="T5879" i="1"/>
  <c r="U5879" i="1"/>
  <c r="V5879" i="1"/>
  <c r="W5879" i="1"/>
  <c r="X5879" i="1"/>
  <c r="Y5879" i="1"/>
  <c r="Z5879" i="1"/>
  <c r="A5880" i="1"/>
  <c r="B5880" i="1"/>
  <c r="C5880" i="1"/>
  <c r="D5880" i="1"/>
  <c r="E5880" i="1"/>
  <c r="F5880" i="1"/>
  <c r="G5880" i="1"/>
  <c r="I5880" i="1"/>
  <c r="J5880" i="1"/>
  <c r="K5880" i="1"/>
  <c r="L5880" i="1"/>
  <c r="M5880" i="1"/>
  <c r="N5880" i="1"/>
  <c r="O5880" i="1"/>
  <c r="P5880" i="1"/>
  <c r="Q5880" i="1"/>
  <c r="R5880" i="1"/>
  <c r="S5880" i="1"/>
  <c r="T5880" i="1"/>
  <c r="U5880" i="1"/>
  <c r="V5880" i="1"/>
  <c r="W5880" i="1"/>
  <c r="X5880" i="1"/>
  <c r="Y5880" i="1"/>
  <c r="Z5880" i="1"/>
  <c r="A5881" i="1"/>
  <c r="B5881" i="1"/>
  <c r="C5881" i="1"/>
  <c r="D5881" i="1"/>
  <c r="E5881" i="1"/>
  <c r="F5881" i="1"/>
  <c r="G5881" i="1"/>
  <c r="I5881" i="1"/>
  <c r="J5881" i="1"/>
  <c r="K5881" i="1"/>
  <c r="L5881" i="1"/>
  <c r="M5881" i="1"/>
  <c r="N5881" i="1"/>
  <c r="O5881" i="1"/>
  <c r="P5881" i="1"/>
  <c r="Q5881" i="1"/>
  <c r="R5881" i="1"/>
  <c r="S5881" i="1"/>
  <c r="T5881" i="1"/>
  <c r="U5881" i="1"/>
  <c r="V5881" i="1"/>
  <c r="W5881" i="1"/>
  <c r="X5881" i="1"/>
  <c r="Y5881" i="1"/>
  <c r="Z5881" i="1"/>
  <c r="A5882" i="1"/>
  <c r="B5882" i="1"/>
  <c r="C5882" i="1"/>
  <c r="D5882" i="1"/>
  <c r="E5882" i="1"/>
  <c r="F5882" i="1"/>
  <c r="G5882" i="1"/>
  <c r="I5882" i="1"/>
  <c r="J5882" i="1"/>
  <c r="K5882" i="1"/>
  <c r="L5882" i="1"/>
  <c r="M5882" i="1"/>
  <c r="N5882" i="1"/>
  <c r="O5882" i="1"/>
  <c r="P5882" i="1"/>
  <c r="Q5882" i="1"/>
  <c r="R5882" i="1"/>
  <c r="S5882" i="1"/>
  <c r="T5882" i="1"/>
  <c r="U5882" i="1"/>
  <c r="V5882" i="1"/>
  <c r="W5882" i="1"/>
  <c r="X5882" i="1"/>
  <c r="Y5882" i="1"/>
  <c r="Z5882" i="1"/>
  <c r="A5883" i="1"/>
  <c r="B5883" i="1"/>
  <c r="C5883" i="1"/>
  <c r="D5883" i="1"/>
  <c r="E5883" i="1"/>
  <c r="F5883" i="1"/>
  <c r="G5883" i="1"/>
  <c r="I5883" i="1"/>
  <c r="J5883" i="1"/>
  <c r="K5883" i="1"/>
  <c r="L5883" i="1"/>
  <c r="M5883" i="1"/>
  <c r="N5883" i="1"/>
  <c r="O5883" i="1"/>
  <c r="P5883" i="1"/>
  <c r="Q5883" i="1"/>
  <c r="R5883" i="1"/>
  <c r="S5883" i="1"/>
  <c r="T5883" i="1"/>
  <c r="U5883" i="1"/>
  <c r="V5883" i="1"/>
  <c r="W5883" i="1"/>
  <c r="X5883" i="1"/>
  <c r="Y5883" i="1"/>
  <c r="Z5883" i="1"/>
  <c r="A5884" i="1"/>
  <c r="B5884" i="1"/>
  <c r="C5884" i="1"/>
  <c r="D5884" i="1"/>
  <c r="E5884" i="1"/>
  <c r="F5884" i="1"/>
  <c r="G5884" i="1"/>
  <c r="I5884" i="1"/>
  <c r="J5884" i="1"/>
  <c r="K5884" i="1"/>
  <c r="L5884" i="1"/>
  <c r="M5884" i="1"/>
  <c r="N5884" i="1"/>
  <c r="O5884" i="1"/>
  <c r="P5884" i="1"/>
  <c r="Q5884" i="1"/>
  <c r="R5884" i="1"/>
  <c r="S5884" i="1"/>
  <c r="T5884" i="1"/>
  <c r="U5884" i="1"/>
  <c r="V5884" i="1"/>
  <c r="W5884" i="1"/>
  <c r="X5884" i="1"/>
  <c r="Y5884" i="1"/>
  <c r="Z5884" i="1"/>
  <c r="A5885" i="1"/>
  <c r="B5885" i="1"/>
  <c r="C5885" i="1"/>
  <c r="D5885" i="1"/>
  <c r="E5885" i="1"/>
  <c r="F5885" i="1"/>
  <c r="G5885" i="1"/>
  <c r="I5885" i="1"/>
  <c r="J5885" i="1"/>
  <c r="K5885" i="1"/>
  <c r="L5885" i="1"/>
  <c r="M5885" i="1"/>
  <c r="N5885" i="1"/>
  <c r="O5885" i="1"/>
  <c r="P5885" i="1"/>
  <c r="Q5885" i="1"/>
  <c r="R5885" i="1"/>
  <c r="S5885" i="1"/>
  <c r="T5885" i="1"/>
  <c r="U5885" i="1"/>
  <c r="V5885" i="1"/>
  <c r="W5885" i="1"/>
  <c r="X5885" i="1"/>
  <c r="Y5885" i="1"/>
  <c r="Z5885" i="1"/>
  <c r="A5886" i="1"/>
  <c r="B5886" i="1"/>
  <c r="C5886" i="1"/>
  <c r="D5886" i="1"/>
  <c r="E5886" i="1"/>
  <c r="F5886" i="1"/>
  <c r="G5886" i="1"/>
  <c r="I5886" i="1"/>
  <c r="J5886" i="1"/>
  <c r="K5886" i="1"/>
  <c r="L5886" i="1"/>
  <c r="M5886" i="1"/>
  <c r="N5886" i="1"/>
  <c r="O5886" i="1"/>
  <c r="P5886" i="1"/>
  <c r="Q5886" i="1"/>
  <c r="R5886" i="1"/>
  <c r="S5886" i="1"/>
  <c r="T5886" i="1"/>
  <c r="U5886" i="1"/>
  <c r="V5886" i="1"/>
  <c r="W5886" i="1"/>
  <c r="X5886" i="1"/>
  <c r="Y5886" i="1"/>
  <c r="Z5886" i="1"/>
  <c r="A5887" i="1"/>
  <c r="B5887" i="1"/>
  <c r="C5887" i="1"/>
  <c r="D5887" i="1"/>
  <c r="E5887" i="1"/>
  <c r="F5887" i="1"/>
  <c r="G5887" i="1"/>
  <c r="I5887" i="1"/>
  <c r="J5887" i="1"/>
  <c r="K5887" i="1"/>
  <c r="L5887" i="1"/>
  <c r="M5887" i="1"/>
  <c r="N5887" i="1"/>
  <c r="O5887" i="1"/>
  <c r="P5887" i="1"/>
  <c r="Q5887" i="1"/>
  <c r="R5887" i="1"/>
  <c r="S5887" i="1"/>
  <c r="T5887" i="1"/>
  <c r="U5887" i="1"/>
  <c r="V5887" i="1"/>
  <c r="W5887" i="1"/>
  <c r="X5887" i="1"/>
  <c r="Y5887" i="1"/>
  <c r="Z5887" i="1"/>
  <c r="A5888" i="1"/>
  <c r="B5888" i="1"/>
  <c r="C5888" i="1"/>
  <c r="D5888" i="1"/>
  <c r="E5888" i="1"/>
  <c r="F5888" i="1"/>
  <c r="G5888" i="1"/>
  <c r="I5888" i="1"/>
  <c r="J5888" i="1"/>
  <c r="K5888" i="1"/>
  <c r="L5888" i="1"/>
  <c r="M5888" i="1"/>
  <c r="N5888" i="1"/>
  <c r="O5888" i="1"/>
  <c r="P5888" i="1"/>
  <c r="Q5888" i="1"/>
  <c r="R5888" i="1"/>
  <c r="S5888" i="1"/>
  <c r="T5888" i="1"/>
  <c r="U5888" i="1"/>
  <c r="V5888" i="1"/>
  <c r="W5888" i="1"/>
  <c r="X5888" i="1"/>
  <c r="Y5888" i="1"/>
  <c r="Z5888" i="1"/>
  <c r="A5889" i="1"/>
  <c r="B5889" i="1"/>
  <c r="C5889" i="1"/>
  <c r="D5889" i="1"/>
  <c r="E5889" i="1"/>
  <c r="F5889" i="1"/>
  <c r="G5889" i="1"/>
  <c r="I5889" i="1"/>
  <c r="J5889" i="1"/>
  <c r="K5889" i="1"/>
  <c r="L5889" i="1"/>
  <c r="M5889" i="1"/>
  <c r="N5889" i="1"/>
  <c r="O5889" i="1"/>
  <c r="P5889" i="1"/>
  <c r="Q5889" i="1"/>
  <c r="R5889" i="1"/>
  <c r="S5889" i="1"/>
  <c r="T5889" i="1"/>
  <c r="U5889" i="1"/>
  <c r="V5889" i="1"/>
  <c r="W5889" i="1"/>
  <c r="X5889" i="1"/>
  <c r="Y5889" i="1"/>
  <c r="Z5889" i="1"/>
  <c r="A5890" i="1"/>
  <c r="B5890" i="1"/>
  <c r="C5890" i="1"/>
  <c r="D5890" i="1"/>
  <c r="E5890" i="1"/>
  <c r="F5890" i="1"/>
  <c r="G5890" i="1"/>
  <c r="I5890" i="1"/>
  <c r="J5890" i="1"/>
  <c r="K5890" i="1"/>
  <c r="L5890" i="1"/>
  <c r="M5890" i="1"/>
  <c r="N5890" i="1"/>
  <c r="O5890" i="1"/>
  <c r="P5890" i="1"/>
  <c r="Q5890" i="1"/>
  <c r="R5890" i="1"/>
  <c r="S5890" i="1"/>
  <c r="T5890" i="1"/>
  <c r="U5890" i="1"/>
  <c r="V5890" i="1"/>
  <c r="W5890" i="1"/>
  <c r="X5890" i="1"/>
  <c r="Y5890" i="1"/>
  <c r="Z5890" i="1"/>
  <c r="A5891" i="1"/>
  <c r="B5891" i="1"/>
  <c r="C5891" i="1"/>
  <c r="D5891" i="1"/>
  <c r="E5891" i="1"/>
  <c r="F5891" i="1"/>
  <c r="G5891" i="1"/>
  <c r="I5891" i="1"/>
  <c r="J5891" i="1"/>
  <c r="K5891" i="1"/>
  <c r="L5891" i="1"/>
  <c r="M5891" i="1"/>
  <c r="N5891" i="1"/>
  <c r="O5891" i="1"/>
  <c r="P5891" i="1"/>
  <c r="Q5891" i="1"/>
  <c r="R5891" i="1"/>
  <c r="S5891" i="1"/>
  <c r="T5891" i="1"/>
  <c r="U5891" i="1"/>
  <c r="V5891" i="1"/>
  <c r="W5891" i="1"/>
  <c r="X5891" i="1"/>
  <c r="Y5891" i="1"/>
  <c r="Z5891" i="1"/>
  <c r="A5892" i="1"/>
  <c r="B5892" i="1"/>
  <c r="C5892" i="1"/>
  <c r="D5892" i="1"/>
  <c r="E5892" i="1"/>
  <c r="F5892" i="1"/>
  <c r="G5892" i="1"/>
  <c r="I5892" i="1"/>
  <c r="J5892" i="1"/>
  <c r="K5892" i="1"/>
  <c r="L5892" i="1"/>
  <c r="M5892" i="1"/>
  <c r="N5892" i="1"/>
  <c r="O5892" i="1"/>
  <c r="P5892" i="1"/>
  <c r="Q5892" i="1"/>
  <c r="R5892" i="1"/>
  <c r="S5892" i="1"/>
  <c r="T5892" i="1"/>
  <c r="U5892" i="1"/>
  <c r="V5892" i="1"/>
  <c r="W5892" i="1"/>
  <c r="X5892" i="1"/>
  <c r="Y5892" i="1"/>
  <c r="Z5892" i="1"/>
  <c r="A5893" i="1"/>
  <c r="B5893" i="1"/>
  <c r="C5893" i="1"/>
  <c r="D5893" i="1"/>
  <c r="E5893" i="1"/>
  <c r="F5893" i="1"/>
  <c r="G5893" i="1"/>
  <c r="I5893" i="1"/>
  <c r="J5893" i="1"/>
  <c r="K5893" i="1"/>
  <c r="L5893" i="1"/>
  <c r="M5893" i="1"/>
  <c r="N5893" i="1"/>
  <c r="O5893" i="1"/>
  <c r="P5893" i="1"/>
  <c r="Q5893" i="1"/>
  <c r="R5893" i="1"/>
  <c r="S5893" i="1"/>
  <c r="T5893" i="1"/>
  <c r="U5893" i="1"/>
  <c r="V5893" i="1"/>
  <c r="W5893" i="1"/>
  <c r="X5893" i="1"/>
  <c r="Y5893" i="1"/>
  <c r="Z5893" i="1"/>
  <c r="A5894" i="1"/>
  <c r="B5894" i="1"/>
  <c r="C5894" i="1"/>
  <c r="D5894" i="1"/>
  <c r="E5894" i="1"/>
  <c r="F5894" i="1"/>
  <c r="G5894" i="1"/>
  <c r="I5894" i="1"/>
  <c r="J5894" i="1"/>
  <c r="K5894" i="1"/>
  <c r="L5894" i="1"/>
  <c r="M5894" i="1"/>
  <c r="N5894" i="1"/>
  <c r="O5894" i="1"/>
  <c r="P5894" i="1"/>
  <c r="Q5894" i="1"/>
  <c r="R5894" i="1"/>
  <c r="S5894" i="1"/>
  <c r="T5894" i="1"/>
  <c r="U5894" i="1"/>
  <c r="V5894" i="1"/>
  <c r="W5894" i="1"/>
  <c r="X5894" i="1"/>
  <c r="Y5894" i="1"/>
  <c r="Z5894" i="1"/>
  <c r="A5895" i="1"/>
  <c r="B5895" i="1"/>
  <c r="C5895" i="1"/>
  <c r="D5895" i="1"/>
  <c r="E5895" i="1"/>
  <c r="F5895" i="1"/>
  <c r="G5895" i="1"/>
  <c r="I5895" i="1"/>
  <c r="J5895" i="1"/>
  <c r="K5895" i="1"/>
  <c r="L5895" i="1"/>
  <c r="M5895" i="1"/>
  <c r="N5895" i="1"/>
  <c r="O5895" i="1"/>
  <c r="P5895" i="1"/>
  <c r="Q5895" i="1"/>
  <c r="R5895" i="1"/>
  <c r="S5895" i="1"/>
  <c r="T5895" i="1"/>
  <c r="U5895" i="1"/>
  <c r="V5895" i="1"/>
  <c r="W5895" i="1"/>
  <c r="X5895" i="1"/>
  <c r="Y5895" i="1"/>
  <c r="Z5895" i="1"/>
  <c r="A5896" i="1"/>
  <c r="B5896" i="1"/>
  <c r="C5896" i="1"/>
  <c r="D5896" i="1"/>
  <c r="E5896" i="1"/>
  <c r="F5896" i="1"/>
  <c r="G5896" i="1"/>
  <c r="I5896" i="1"/>
  <c r="J5896" i="1"/>
  <c r="K5896" i="1"/>
  <c r="L5896" i="1"/>
  <c r="M5896" i="1"/>
  <c r="N5896" i="1"/>
  <c r="O5896" i="1"/>
  <c r="P5896" i="1"/>
  <c r="Q5896" i="1"/>
  <c r="R5896" i="1"/>
  <c r="S5896" i="1"/>
  <c r="T5896" i="1"/>
  <c r="U5896" i="1"/>
  <c r="V5896" i="1"/>
  <c r="W5896" i="1"/>
  <c r="X5896" i="1"/>
  <c r="Y5896" i="1"/>
  <c r="Z5896" i="1"/>
  <c r="A5897" i="1"/>
  <c r="B5897" i="1"/>
  <c r="C5897" i="1"/>
  <c r="D5897" i="1"/>
  <c r="E5897" i="1"/>
  <c r="F5897" i="1"/>
  <c r="G5897" i="1"/>
  <c r="I5897" i="1"/>
  <c r="J5897" i="1"/>
  <c r="K5897" i="1"/>
  <c r="L5897" i="1"/>
  <c r="M5897" i="1"/>
  <c r="N5897" i="1"/>
  <c r="O5897" i="1"/>
  <c r="P5897" i="1"/>
  <c r="Q5897" i="1"/>
  <c r="R5897" i="1"/>
  <c r="S5897" i="1"/>
  <c r="T5897" i="1"/>
  <c r="U5897" i="1"/>
  <c r="V5897" i="1"/>
  <c r="W5897" i="1"/>
  <c r="X5897" i="1"/>
  <c r="Y5897" i="1"/>
  <c r="Z5897" i="1"/>
  <c r="A5898" i="1"/>
  <c r="B5898" i="1"/>
  <c r="C5898" i="1"/>
  <c r="D5898" i="1"/>
  <c r="E5898" i="1"/>
  <c r="F5898" i="1"/>
  <c r="G5898" i="1"/>
  <c r="I5898" i="1"/>
  <c r="J5898" i="1"/>
  <c r="K5898" i="1"/>
  <c r="L5898" i="1"/>
  <c r="M5898" i="1"/>
  <c r="N5898" i="1"/>
  <c r="O5898" i="1"/>
  <c r="P5898" i="1"/>
  <c r="Q5898" i="1"/>
  <c r="R5898" i="1"/>
  <c r="S5898" i="1"/>
  <c r="T5898" i="1"/>
  <c r="U5898" i="1"/>
  <c r="V5898" i="1"/>
  <c r="W5898" i="1"/>
  <c r="X5898" i="1"/>
  <c r="Y5898" i="1"/>
  <c r="Z5898" i="1"/>
  <c r="A5899" i="1"/>
  <c r="B5899" i="1"/>
  <c r="C5899" i="1"/>
  <c r="D5899" i="1"/>
  <c r="E5899" i="1"/>
  <c r="F5899" i="1"/>
  <c r="G5899" i="1"/>
  <c r="I5899" i="1"/>
  <c r="J5899" i="1"/>
  <c r="K5899" i="1"/>
  <c r="L5899" i="1"/>
  <c r="M5899" i="1"/>
  <c r="N5899" i="1"/>
  <c r="O5899" i="1"/>
  <c r="P5899" i="1"/>
  <c r="Q5899" i="1"/>
  <c r="R5899" i="1"/>
  <c r="S5899" i="1"/>
  <c r="T5899" i="1"/>
  <c r="U5899" i="1"/>
  <c r="V5899" i="1"/>
  <c r="W5899" i="1"/>
  <c r="X5899" i="1"/>
  <c r="Y5899" i="1"/>
  <c r="Z5899" i="1"/>
  <c r="A5900" i="1"/>
  <c r="B5900" i="1"/>
  <c r="C5900" i="1"/>
  <c r="D5900" i="1"/>
  <c r="E5900" i="1"/>
  <c r="F5900" i="1"/>
  <c r="G5900" i="1"/>
  <c r="I5900" i="1"/>
  <c r="J5900" i="1"/>
  <c r="K5900" i="1"/>
  <c r="L5900" i="1"/>
  <c r="M5900" i="1"/>
  <c r="N5900" i="1"/>
  <c r="O5900" i="1"/>
  <c r="P5900" i="1"/>
  <c r="Q5900" i="1"/>
  <c r="R5900" i="1"/>
  <c r="S5900" i="1"/>
  <c r="T5900" i="1"/>
  <c r="U5900" i="1"/>
  <c r="V5900" i="1"/>
  <c r="W5900" i="1"/>
  <c r="X5900" i="1"/>
  <c r="Y5900" i="1"/>
  <c r="Z5900" i="1"/>
  <c r="A5901" i="1"/>
  <c r="B5901" i="1"/>
  <c r="C5901" i="1"/>
  <c r="D5901" i="1"/>
  <c r="E5901" i="1"/>
  <c r="F5901" i="1"/>
  <c r="G5901" i="1"/>
  <c r="I5901" i="1"/>
  <c r="J5901" i="1"/>
  <c r="K5901" i="1"/>
  <c r="L5901" i="1"/>
  <c r="M5901" i="1"/>
  <c r="N5901" i="1"/>
  <c r="O5901" i="1"/>
  <c r="P5901" i="1"/>
  <c r="Q5901" i="1"/>
  <c r="R5901" i="1"/>
  <c r="S5901" i="1"/>
  <c r="T5901" i="1"/>
  <c r="U5901" i="1"/>
  <c r="V5901" i="1"/>
  <c r="W5901" i="1"/>
  <c r="X5901" i="1"/>
  <c r="Y5901" i="1"/>
  <c r="Z5901" i="1"/>
  <c r="A5902" i="1"/>
  <c r="B5902" i="1"/>
  <c r="C5902" i="1"/>
  <c r="D5902" i="1"/>
  <c r="E5902" i="1"/>
  <c r="F5902" i="1"/>
  <c r="G5902" i="1"/>
  <c r="I5902" i="1"/>
  <c r="J5902" i="1"/>
  <c r="K5902" i="1"/>
  <c r="L5902" i="1"/>
  <c r="M5902" i="1"/>
  <c r="N5902" i="1"/>
  <c r="O5902" i="1"/>
  <c r="P5902" i="1"/>
  <c r="Q5902" i="1"/>
  <c r="R5902" i="1"/>
  <c r="S5902" i="1"/>
  <c r="T5902" i="1"/>
  <c r="U5902" i="1"/>
  <c r="V5902" i="1"/>
  <c r="W5902" i="1"/>
  <c r="X5902" i="1"/>
  <c r="Y5902" i="1"/>
  <c r="Z5902" i="1"/>
  <c r="A5903" i="1"/>
  <c r="B5903" i="1"/>
  <c r="C5903" i="1"/>
  <c r="D5903" i="1"/>
  <c r="E5903" i="1"/>
  <c r="F5903" i="1"/>
  <c r="G5903" i="1"/>
  <c r="I5903" i="1"/>
  <c r="J5903" i="1"/>
  <c r="K5903" i="1"/>
  <c r="L5903" i="1"/>
  <c r="M5903" i="1"/>
  <c r="N5903" i="1"/>
  <c r="O5903" i="1"/>
  <c r="P5903" i="1"/>
  <c r="Q5903" i="1"/>
  <c r="R5903" i="1"/>
  <c r="S5903" i="1"/>
  <c r="T5903" i="1"/>
  <c r="U5903" i="1"/>
  <c r="V5903" i="1"/>
  <c r="W5903" i="1"/>
  <c r="X5903" i="1"/>
  <c r="Y5903" i="1"/>
  <c r="Z5903" i="1"/>
  <c r="A5904" i="1"/>
  <c r="B5904" i="1"/>
  <c r="C5904" i="1"/>
  <c r="D5904" i="1"/>
  <c r="E5904" i="1"/>
  <c r="F5904" i="1"/>
  <c r="G5904" i="1"/>
  <c r="I5904" i="1"/>
  <c r="J5904" i="1"/>
  <c r="K5904" i="1"/>
  <c r="L5904" i="1"/>
  <c r="M5904" i="1"/>
  <c r="N5904" i="1"/>
  <c r="O5904" i="1"/>
  <c r="P5904" i="1"/>
  <c r="Q5904" i="1"/>
  <c r="R5904" i="1"/>
  <c r="S5904" i="1"/>
  <c r="T5904" i="1"/>
  <c r="U5904" i="1"/>
  <c r="V5904" i="1"/>
  <c r="W5904" i="1"/>
  <c r="X5904" i="1"/>
  <c r="Y5904" i="1"/>
  <c r="Z5904" i="1"/>
  <c r="A5905" i="1"/>
  <c r="B5905" i="1"/>
  <c r="C5905" i="1"/>
  <c r="D5905" i="1"/>
  <c r="E5905" i="1"/>
  <c r="F5905" i="1"/>
  <c r="G5905" i="1"/>
  <c r="I5905" i="1"/>
  <c r="J5905" i="1"/>
  <c r="K5905" i="1"/>
  <c r="L5905" i="1"/>
  <c r="M5905" i="1"/>
  <c r="N5905" i="1"/>
  <c r="O5905" i="1"/>
  <c r="P5905" i="1"/>
  <c r="Q5905" i="1"/>
  <c r="R5905" i="1"/>
  <c r="S5905" i="1"/>
  <c r="T5905" i="1"/>
  <c r="U5905" i="1"/>
  <c r="V5905" i="1"/>
  <c r="W5905" i="1"/>
  <c r="X5905" i="1"/>
  <c r="Y5905" i="1"/>
  <c r="Z5905" i="1"/>
  <c r="A5906" i="1"/>
  <c r="B5906" i="1"/>
  <c r="C5906" i="1"/>
  <c r="D5906" i="1"/>
  <c r="E5906" i="1"/>
  <c r="F5906" i="1"/>
  <c r="G5906" i="1"/>
  <c r="I5906" i="1"/>
  <c r="J5906" i="1"/>
  <c r="K5906" i="1"/>
  <c r="L5906" i="1"/>
  <c r="M5906" i="1"/>
  <c r="N5906" i="1"/>
  <c r="O5906" i="1"/>
  <c r="P5906" i="1"/>
  <c r="Q5906" i="1"/>
  <c r="R5906" i="1"/>
  <c r="S5906" i="1"/>
  <c r="T5906" i="1"/>
  <c r="U5906" i="1"/>
  <c r="V5906" i="1"/>
  <c r="W5906" i="1"/>
  <c r="X5906" i="1"/>
  <c r="Y5906" i="1"/>
  <c r="Z5906" i="1"/>
  <c r="A5907" i="1"/>
  <c r="B5907" i="1"/>
  <c r="C5907" i="1"/>
  <c r="D5907" i="1"/>
  <c r="E5907" i="1"/>
  <c r="F5907" i="1"/>
  <c r="G5907" i="1"/>
  <c r="I5907" i="1"/>
  <c r="J5907" i="1"/>
  <c r="K5907" i="1"/>
  <c r="L5907" i="1"/>
  <c r="M5907" i="1"/>
  <c r="N5907" i="1"/>
  <c r="O5907" i="1"/>
  <c r="P5907" i="1"/>
  <c r="Q5907" i="1"/>
  <c r="R5907" i="1"/>
  <c r="S5907" i="1"/>
  <c r="T5907" i="1"/>
  <c r="U5907" i="1"/>
  <c r="V5907" i="1"/>
  <c r="W5907" i="1"/>
  <c r="X5907" i="1"/>
  <c r="Y5907" i="1"/>
  <c r="Z5907" i="1"/>
  <c r="A5908" i="1"/>
  <c r="B5908" i="1"/>
  <c r="C5908" i="1"/>
  <c r="D5908" i="1"/>
  <c r="E5908" i="1"/>
  <c r="F5908" i="1"/>
  <c r="G5908" i="1"/>
  <c r="I5908" i="1"/>
  <c r="J5908" i="1"/>
  <c r="K5908" i="1"/>
  <c r="L5908" i="1"/>
  <c r="M5908" i="1"/>
  <c r="N5908" i="1"/>
  <c r="O5908" i="1"/>
  <c r="P5908" i="1"/>
  <c r="Q5908" i="1"/>
  <c r="R5908" i="1"/>
  <c r="S5908" i="1"/>
  <c r="T5908" i="1"/>
  <c r="U5908" i="1"/>
  <c r="V5908" i="1"/>
  <c r="W5908" i="1"/>
  <c r="X5908" i="1"/>
  <c r="Y5908" i="1"/>
  <c r="Z5908" i="1"/>
  <c r="A5909" i="1"/>
  <c r="B5909" i="1"/>
  <c r="C5909" i="1"/>
  <c r="D5909" i="1"/>
  <c r="E5909" i="1"/>
  <c r="F5909" i="1"/>
  <c r="G5909" i="1"/>
  <c r="I5909" i="1"/>
  <c r="J5909" i="1"/>
  <c r="K5909" i="1"/>
  <c r="L5909" i="1"/>
  <c r="M5909" i="1"/>
  <c r="N5909" i="1"/>
  <c r="O5909" i="1"/>
  <c r="P5909" i="1"/>
  <c r="Q5909" i="1"/>
  <c r="R5909" i="1"/>
  <c r="S5909" i="1"/>
  <c r="T5909" i="1"/>
  <c r="U5909" i="1"/>
  <c r="V5909" i="1"/>
  <c r="W5909" i="1"/>
  <c r="X5909" i="1"/>
  <c r="Y5909" i="1"/>
  <c r="Z5909" i="1"/>
  <c r="A5910" i="1"/>
  <c r="B5910" i="1"/>
  <c r="C5910" i="1"/>
  <c r="D5910" i="1"/>
  <c r="E5910" i="1"/>
  <c r="F5910" i="1"/>
  <c r="G5910" i="1"/>
  <c r="I5910" i="1"/>
  <c r="J5910" i="1"/>
  <c r="K5910" i="1"/>
  <c r="L5910" i="1"/>
  <c r="M5910" i="1"/>
  <c r="N5910" i="1"/>
  <c r="O5910" i="1"/>
  <c r="P5910" i="1"/>
  <c r="Q5910" i="1"/>
  <c r="R5910" i="1"/>
  <c r="S5910" i="1"/>
  <c r="T5910" i="1"/>
  <c r="U5910" i="1"/>
  <c r="V5910" i="1"/>
  <c r="W5910" i="1"/>
  <c r="X5910" i="1"/>
  <c r="Y5910" i="1"/>
  <c r="Z5910" i="1"/>
  <c r="A5911" i="1"/>
  <c r="B5911" i="1"/>
  <c r="C5911" i="1"/>
  <c r="D5911" i="1"/>
  <c r="E5911" i="1"/>
  <c r="F5911" i="1"/>
  <c r="G5911" i="1"/>
  <c r="I5911" i="1"/>
  <c r="J5911" i="1"/>
  <c r="K5911" i="1"/>
  <c r="L5911" i="1"/>
  <c r="M5911" i="1"/>
  <c r="N5911" i="1"/>
  <c r="O5911" i="1"/>
  <c r="P5911" i="1"/>
  <c r="Q5911" i="1"/>
  <c r="R5911" i="1"/>
  <c r="S5911" i="1"/>
  <c r="T5911" i="1"/>
  <c r="U5911" i="1"/>
  <c r="V5911" i="1"/>
  <c r="W5911" i="1"/>
  <c r="X5911" i="1"/>
  <c r="Y5911" i="1"/>
  <c r="Z5911" i="1"/>
  <c r="A5912" i="1"/>
  <c r="B5912" i="1"/>
  <c r="C5912" i="1"/>
  <c r="D5912" i="1"/>
  <c r="E5912" i="1"/>
  <c r="F5912" i="1"/>
  <c r="G5912" i="1"/>
  <c r="I5912" i="1"/>
  <c r="J5912" i="1"/>
  <c r="K5912" i="1"/>
  <c r="L5912" i="1"/>
  <c r="M5912" i="1"/>
  <c r="N5912" i="1"/>
  <c r="O5912" i="1"/>
  <c r="P5912" i="1"/>
  <c r="Q5912" i="1"/>
  <c r="R5912" i="1"/>
  <c r="S5912" i="1"/>
  <c r="T5912" i="1"/>
  <c r="U5912" i="1"/>
  <c r="V5912" i="1"/>
  <c r="W5912" i="1"/>
  <c r="X5912" i="1"/>
  <c r="Y5912" i="1"/>
  <c r="Z5912" i="1"/>
  <c r="A5913" i="1"/>
  <c r="B5913" i="1"/>
  <c r="C5913" i="1"/>
  <c r="D5913" i="1"/>
  <c r="E5913" i="1"/>
  <c r="F5913" i="1"/>
  <c r="G5913" i="1"/>
  <c r="I5913" i="1"/>
  <c r="J5913" i="1"/>
  <c r="K5913" i="1"/>
  <c r="L5913" i="1"/>
  <c r="M5913" i="1"/>
  <c r="N5913" i="1"/>
  <c r="O5913" i="1"/>
  <c r="P5913" i="1"/>
  <c r="Q5913" i="1"/>
  <c r="R5913" i="1"/>
  <c r="S5913" i="1"/>
  <c r="T5913" i="1"/>
  <c r="U5913" i="1"/>
  <c r="V5913" i="1"/>
  <c r="W5913" i="1"/>
  <c r="X5913" i="1"/>
  <c r="Y5913" i="1"/>
  <c r="Z5913" i="1"/>
  <c r="A5914" i="1"/>
  <c r="B5914" i="1"/>
  <c r="C5914" i="1"/>
  <c r="D5914" i="1"/>
  <c r="E5914" i="1"/>
  <c r="F5914" i="1"/>
  <c r="G5914" i="1"/>
  <c r="I5914" i="1"/>
  <c r="J5914" i="1"/>
  <c r="K5914" i="1"/>
  <c r="L5914" i="1"/>
  <c r="M5914" i="1"/>
  <c r="N5914" i="1"/>
  <c r="O5914" i="1"/>
  <c r="P5914" i="1"/>
  <c r="Q5914" i="1"/>
  <c r="R5914" i="1"/>
  <c r="S5914" i="1"/>
  <c r="T5914" i="1"/>
  <c r="U5914" i="1"/>
  <c r="V5914" i="1"/>
  <c r="W5914" i="1"/>
  <c r="X5914" i="1"/>
  <c r="Y5914" i="1"/>
  <c r="Z5914" i="1"/>
  <c r="A5915" i="1"/>
  <c r="B5915" i="1"/>
  <c r="C5915" i="1"/>
  <c r="D5915" i="1"/>
  <c r="E5915" i="1"/>
  <c r="F5915" i="1"/>
  <c r="G5915" i="1"/>
  <c r="I5915" i="1"/>
  <c r="J5915" i="1"/>
  <c r="K5915" i="1"/>
  <c r="L5915" i="1"/>
  <c r="M5915" i="1"/>
  <c r="N5915" i="1"/>
  <c r="O5915" i="1"/>
  <c r="P5915" i="1"/>
  <c r="Q5915" i="1"/>
  <c r="R5915" i="1"/>
  <c r="S5915" i="1"/>
  <c r="T5915" i="1"/>
  <c r="U5915" i="1"/>
  <c r="V5915" i="1"/>
  <c r="W5915" i="1"/>
  <c r="X5915" i="1"/>
  <c r="Y5915" i="1"/>
  <c r="Z5915" i="1"/>
  <c r="A5916" i="1"/>
  <c r="B5916" i="1"/>
  <c r="C5916" i="1"/>
  <c r="D5916" i="1"/>
  <c r="E5916" i="1"/>
  <c r="F5916" i="1"/>
  <c r="G5916" i="1"/>
  <c r="I5916" i="1"/>
  <c r="J5916" i="1"/>
  <c r="K5916" i="1"/>
  <c r="L5916" i="1"/>
  <c r="M5916" i="1"/>
  <c r="N5916" i="1"/>
  <c r="O5916" i="1"/>
  <c r="P5916" i="1"/>
  <c r="Q5916" i="1"/>
  <c r="R5916" i="1"/>
  <c r="S5916" i="1"/>
  <c r="T5916" i="1"/>
  <c r="U5916" i="1"/>
  <c r="V5916" i="1"/>
  <c r="W5916" i="1"/>
  <c r="X5916" i="1"/>
  <c r="Y5916" i="1"/>
  <c r="Z5916" i="1"/>
  <c r="A5917" i="1"/>
  <c r="B5917" i="1"/>
  <c r="C5917" i="1"/>
  <c r="D5917" i="1"/>
  <c r="E5917" i="1"/>
  <c r="F5917" i="1"/>
  <c r="G5917" i="1"/>
  <c r="I5917" i="1"/>
  <c r="J5917" i="1"/>
  <c r="K5917" i="1"/>
  <c r="L5917" i="1"/>
  <c r="M5917" i="1"/>
  <c r="N5917" i="1"/>
  <c r="O5917" i="1"/>
  <c r="P5917" i="1"/>
  <c r="Q5917" i="1"/>
  <c r="R5917" i="1"/>
  <c r="S5917" i="1"/>
  <c r="T5917" i="1"/>
  <c r="U5917" i="1"/>
  <c r="V5917" i="1"/>
  <c r="W5917" i="1"/>
  <c r="X5917" i="1"/>
  <c r="Y5917" i="1"/>
  <c r="Z5917" i="1"/>
  <c r="A5918" i="1"/>
  <c r="B5918" i="1"/>
  <c r="C5918" i="1"/>
  <c r="D5918" i="1"/>
  <c r="E5918" i="1"/>
  <c r="F5918" i="1"/>
  <c r="G5918" i="1"/>
  <c r="I5918" i="1"/>
  <c r="J5918" i="1"/>
  <c r="K5918" i="1"/>
  <c r="L5918" i="1"/>
  <c r="M5918" i="1"/>
  <c r="N5918" i="1"/>
  <c r="O5918" i="1"/>
  <c r="P5918" i="1"/>
  <c r="Q5918" i="1"/>
  <c r="R5918" i="1"/>
  <c r="S5918" i="1"/>
  <c r="T5918" i="1"/>
  <c r="U5918" i="1"/>
  <c r="V5918" i="1"/>
  <c r="W5918" i="1"/>
  <c r="X5918" i="1"/>
  <c r="Y5918" i="1"/>
  <c r="Z5918" i="1"/>
  <c r="A5919" i="1"/>
  <c r="B5919" i="1"/>
  <c r="C5919" i="1"/>
  <c r="D5919" i="1"/>
  <c r="E5919" i="1"/>
  <c r="F5919" i="1"/>
  <c r="G5919" i="1"/>
  <c r="I5919" i="1"/>
  <c r="J5919" i="1"/>
  <c r="K5919" i="1"/>
  <c r="L5919" i="1"/>
  <c r="M5919" i="1"/>
  <c r="N5919" i="1"/>
  <c r="O5919" i="1"/>
  <c r="P5919" i="1"/>
  <c r="Q5919" i="1"/>
  <c r="R5919" i="1"/>
  <c r="S5919" i="1"/>
  <c r="T5919" i="1"/>
  <c r="U5919" i="1"/>
  <c r="V5919" i="1"/>
  <c r="W5919" i="1"/>
  <c r="X5919" i="1"/>
  <c r="Y5919" i="1"/>
  <c r="Z5919" i="1"/>
  <c r="A5920" i="1"/>
  <c r="B5920" i="1"/>
  <c r="C5920" i="1"/>
  <c r="D5920" i="1"/>
  <c r="E5920" i="1"/>
  <c r="F5920" i="1"/>
  <c r="G5920" i="1"/>
  <c r="I5920" i="1"/>
  <c r="J5920" i="1"/>
  <c r="K5920" i="1"/>
  <c r="L5920" i="1"/>
  <c r="M5920" i="1"/>
  <c r="N5920" i="1"/>
  <c r="O5920" i="1"/>
  <c r="P5920" i="1"/>
  <c r="Q5920" i="1"/>
  <c r="R5920" i="1"/>
  <c r="S5920" i="1"/>
  <c r="T5920" i="1"/>
  <c r="U5920" i="1"/>
  <c r="V5920" i="1"/>
  <c r="W5920" i="1"/>
  <c r="X5920" i="1"/>
  <c r="Y5920" i="1"/>
  <c r="Z5920" i="1"/>
  <c r="A5921" i="1"/>
  <c r="B5921" i="1"/>
  <c r="C5921" i="1"/>
  <c r="D5921" i="1"/>
  <c r="E5921" i="1"/>
  <c r="F5921" i="1"/>
  <c r="G5921" i="1"/>
  <c r="I5921" i="1"/>
  <c r="J5921" i="1"/>
  <c r="K5921" i="1"/>
  <c r="L5921" i="1"/>
  <c r="M5921" i="1"/>
  <c r="N5921" i="1"/>
  <c r="O5921" i="1"/>
  <c r="P5921" i="1"/>
  <c r="Q5921" i="1"/>
  <c r="R5921" i="1"/>
  <c r="S5921" i="1"/>
  <c r="T5921" i="1"/>
  <c r="U5921" i="1"/>
  <c r="V5921" i="1"/>
  <c r="W5921" i="1"/>
  <c r="X5921" i="1"/>
  <c r="Y5921" i="1"/>
  <c r="Z5921" i="1"/>
  <c r="A5922" i="1"/>
  <c r="B5922" i="1"/>
  <c r="C5922" i="1"/>
  <c r="D5922" i="1"/>
  <c r="E5922" i="1"/>
  <c r="F5922" i="1"/>
  <c r="G5922" i="1"/>
  <c r="I5922" i="1"/>
  <c r="J5922" i="1"/>
  <c r="K5922" i="1"/>
  <c r="L5922" i="1"/>
  <c r="M5922" i="1"/>
  <c r="N5922" i="1"/>
  <c r="O5922" i="1"/>
  <c r="P5922" i="1"/>
  <c r="Q5922" i="1"/>
  <c r="R5922" i="1"/>
  <c r="S5922" i="1"/>
  <c r="T5922" i="1"/>
  <c r="U5922" i="1"/>
  <c r="V5922" i="1"/>
  <c r="W5922" i="1"/>
  <c r="X5922" i="1"/>
  <c r="Y5922" i="1"/>
  <c r="Z5922" i="1"/>
  <c r="A5923" i="1"/>
  <c r="B5923" i="1"/>
  <c r="C5923" i="1"/>
  <c r="D5923" i="1"/>
  <c r="E5923" i="1"/>
  <c r="F5923" i="1"/>
  <c r="G5923" i="1"/>
  <c r="I5923" i="1"/>
  <c r="J5923" i="1"/>
  <c r="K5923" i="1"/>
  <c r="L5923" i="1"/>
  <c r="M5923" i="1"/>
  <c r="N5923" i="1"/>
  <c r="O5923" i="1"/>
  <c r="P5923" i="1"/>
  <c r="Q5923" i="1"/>
  <c r="R5923" i="1"/>
  <c r="S5923" i="1"/>
  <c r="T5923" i="1"/>
  <c r="U5923" i="1"/>
  <c r="V5923" i="1"/>
  <c r="W5923" i="1"/>
  <c r="X5923" i="1"/>
  <c r="Y5923" i="1"/>
  <c r="Z5923" i="1"/>
  <c r="A5924" i="1"/>
  <c r="B5924" i="1"/>
  <c r="C5924" i="1"/>
  <c r="D5924" i="1"/>
  <c r="E5924" i="1"/>
  <c r="F5924" i="1"/>
  <c r="G5924" i="1"/>
  <c r="I5924" i="1"/>
  <c r="J5924" i="1"/>
  <c r="K5924" i="1"/>
  <c r="L5924" i="1"/>
  <c r="M5924" i="1"/>
  <c r="N5924" i="1"/>
  <c r="O5924" i="1"/>
  <c r="P5924" i="1"/>
  <c r="Q5924" i="1"/>
  <c r="R5924" i="1"/>
  <c r="S5924" i="1"/>
  <c r="T5924" i="1"/>
  <c r="U5924" i="1"/>
  <c r="V5924" i="1"/>
  <c r="W5924" i="1"/>
  <c r="X5924" i="1"/>
  <c r="Y5924" i="1"/>
  <c r="Z5924" i="1"/>
  <c r="A5925" i="1"/>
  <c r="B5925" i="1"/>
  <c r="C5925" i="1"/>
  <c r="D5925" i="1"/>
  <c r="E5925" i="1"/>
  <c r="F5925" i="1"/>
  <c r="G5925" i="1"/>
  <c r="I5925" i="1"/>
  <c r="J5925" i="1"/>
  <c r="K5925" i="1"/>
  <c r="L5925" i="1"/>
  <c r="M5925" i="1"/>
  <c r="N5925" i="1"/>
  <c r="O5925" i="1"/>
  <c r="P5925" i="1"/>
  <c r="Q5925" i="1"/>
  <c r="R5925" i="1"/>
  <c r="S5925" i="1"/>
  <c r="T5925" i="1"/>
  <c r="U5925" i="1"/>
  <c r="V5925" i="1"/>
  <c r="W5925" i="1"/>
  <c r="X5925" i="1"/>
  <c r="Y5925" i="1"/>
  <c r="Z5925" i="1"/>
  <c r="A5926" i="1"/>
  <c r="B5926" i="1"/>
  <c r="C5926" i="1"/>
  <c r="D5926" i="1"/>
  <c r="E5926" i="1"/>
  <c r="F5926" i="1"/>
  <c r="G5926" i="1"/>
  <c r="I5926" i="1"/>
  <c r="J5926" i="1"/>
  <c r="K5926" i="1"/>
  <c r="L5926" i="1"/>
  <c r="M5926" i="1"/>
  <c r="N5926" i="1"/>
  <c r="O5926" i="1"/>
  <c r="P5926" i="1"/>
  <c r="Q5926" i="1"/>
  <c r="R5926" i="1"/>
  <c r="S5926" i="1"/>
  <c r="T5926" i="1"/>
  <c r="U5926" i="1"/>
  <c r="V5926" i="1"/>
  <c r="W5926" i="1"/>
  <c r="X5926" i="1"/>
  <c r="Y5926" i="1"/>
  <c r="Z5926" i="1"/>
  <c r="A5927" i="1"/>
  <c r="B5927" i="1"/>
  <c r="C5927" i="1"/>
  <c r="D5927" i="1"/>
  <c r="E5927" i="1"/>
  <c r="F5927" i="1"/>
  <c r="G5927" i="1"/>
  <c r="I5927" i="1"/>
  <c r="J5927" i="1"/>
  <c r="K5927" i="1"/>
  <c r="L5927" i="1"/>
  <c r="M5927" i="1"/>
  <c r="N5927" i="1"/>
  <c r="O5927" i="1"/>
  <c r="P5927" i="1"/>
  <c r="Q5927" i="1"/>
  <c r="R5927" i="1"/>
  <c r="S5927" i="1"/>
  <c r="T5927" i="1"/>
  <c r="U5927" i="1"/>
  <c r="V5927" i="1"/>
  <c r="W5927" i="1"/>
  <c r="X5927" i="1"/>
  <c r="Y5927" i="1"/>
  <c r="Z5927" i="1"/>
  <c r="A5928" i="1"/>
  <c r="B5928" i="1"/>
  <c r="C5928" i="1"/>
  <c r="D5928" i="1"/>
  <c r="E5928" i="1"/>
  <c r="F5928" i="1"/>
  <c r="G5928" i="1"/>
  <c r="I5928" i="1"/>
  <c r="J5928" i="1"/>
  <c r="K5928" i="1"/>
  <c r="L5928" i="1"/>
  <c r="M5928" i="1"/>
  <c r="N5928" i="1"/>
  <c r="O5928" i="1"/>
  <c r="P5928" i="1"/>
  <c r="Q5928" i="1"/>
  <c r="R5928" i="1"/>
  <c r="S5928" i="1"/>
  <c r="T5928" i="1"/>
  <c r="U5928" i="1"/>
  <c r="V5928" i="1"/>
  <c r="W5928" i="1"/>
  <c r="X5928" i="1"/>
  <c r="Y5928" i="1"/>
  <c r="Z5928" i="1"/>
  <c r="A5929" i="1"/>
  <c r="B5929" i="1"/>
  <c r="C5929" i="1"/>
  <c r="D5929" i="1"/>
  <c r="E5929" i="1"/>
  <c r="F5929" i="1"/>
  <c r="G5929" i="1"/>
  <c r="I5929" i="1"/>
  <c r="J5929" i="1"/>
  <c r="K5929" i="1"/>
  <c r="L5929" i="1"/>
  <c r="M5929" i="1"/>
  <c r="N5929" i="1"/>
  <c r="O5929" i="1"/>
  <c r="P5929" i="1"/>
  <c r="Q5929" i="1"/>
  <c r="R5929" i="1"/>
  <c r="S5929" i="1"/>
  <c r="T5929" i="1"/>
  <c r="U5929" i="1"/>
  <c r="V5929" i="1"/>
  <c r="W5929" i="1"/>
  <c r="X5929" i="1"/>
  <c r="Y5929" i="1"/>
  <c r="Z5929" i="1"/>
  <c r="A5930" i="1"/>
  <c r="B5930" i="1"/>
  <c r="C5930" i="1"/>
  <c r="D5930" i="1"/>
  <c r="E5930" i="1"/>
  <c r="F5930" i="1"/>
  <c r="G5930" i="1"/>
  <c r="I5930" i="1"/>
  <c r="J5930" i="1"/>
  <c r="K5930" i="1"/>
  <c r="L5930" i="1"/>
  <c r="M5930" i="1"/>
  <c r="N5930" i="1"/>
  <c r="O5930" i="1"/>
  <c r="P5930" i="1"/>
  <c r="Q5930" i="1"/>
  <c r="R5930" i="1"/>
  <c r="S5930" i="1"/>
  <c r="T5930" i="1"/>
  <c r="U5930" i="1"/>
  <c r="V5930" i="1"/>
  <c r="W5930" i="1"/>
  <c r="X5930" i="1"/>
  <c r="Y5930" i="1"/>
  <c r="Z5930" i="1"/>
  <c r="A5931" i="1"/>
  <c r="B5931" i="1"/>
  <c r="C5931" i="1"/>
  <c r="D5931" i="1"/>
  <c r="E5931" i="1"/>
  <c r="F5931" i="1"/>
  <c r="G5931" i="1"/>
  <c r="I5931" i="1"/>
  <c r="J5931" i="1"/>
  <c r="K5931" i="1"/>
  <c r="L5931" i="1"/>
  <c r="M5931" i="1"/>
  <c r="N5931" i="1"/>
  <c r="O5931" i="1"/>
  <c r="P5931" i="1"/>
  <c r="Q5931" i="1"/>
  <c r="R5931" i="1"/>
  <c r="S5931" i="1"/>
  <c r="T5931" i="1"/>
  <c r="U5931" i="1"/>
  <c r="V5931" i="1"/>
  <c r="W5931" i="1"/>
  <c r="X5931" i="1"/>
  <c r="Y5931" i="1"/>
  <c r="Z5931" i="1"/>
  <c r="A5932" i="1"/>
  <c r="B5932" i="1"/>
  <c r="C5932" i="1"/>
  <c r="D5932" i="1"/>
  <c r="E5932" i="1"/>
  <c r="F5932" i="1"/>
  <c r="G5932" i="1"/>
  <c r="I5932" i="1"/>
  <c r="J5932" i="1"/>
  <c r="K5932" i="1"/>
  <c r="L5932" i="1"/>
  <c r="M5932" i="1"/>
  <c r="N5932" i="1"/>
  <c r="O5932" i="1"/>
  <c r="P5932" i="1"/>
  <c r="Q5932" i="1"/>
  <c r="R5932" i="1"/>
  <c r="S5932" i="1"/>
  <c r="T5932" i="1"/>
  <c r="U5932" i="1"/>
  <c r="V5932" i="1"/>
  <c r="W5932" i="1"/>
  <c r="X5932" i="1"/>
  <c r="Y5932" i="1"/>
  <c r="Z5932" i="1"/>
  <c r="A5933" i="1"/>
  <c r="B5933" i="1"/>
  <c r="C5933" i="1"/>
  <c r="D5933" i="1"/>
  <c r="E5933" i="1"/>
  <c r="F5933" i="1"/>
  <c r="G5933" i="1"/>
  <c r="I5933" i="1"/>
  <c r="J5933" i="1"/>
  <c r="K5933" i="1"/>
  <c r="L5933" i="1"/>
  <c r="M5933" i="1"/>
  <c r="N5933" i="1"/>
  <c r="O5933" i="1"/>
  <c r="P5933" i="1"/>
  <c r="Q5933" i="1"/>
  <c r="R5933" i="1"/>
  <c r="S5933" i="1"/>
  <c r="T5933" i="1"/>
  <c r="U5933" i="1"/>
  <c r="V5933" i="1"/>
  <c r="W5933" i="1"/>
  <c r="X5933" i="1"/>
  <c r="Y5933" i="1"/>
  <c r="Z5933" i="1"/>
  <c r="A5934" i="1"/>
  <c r="B5934" i="1"/>
  <c r="C5934" i="1"/>
  <c r="D5934" i="1"/>
  <c r="E5934" i="1"/>
  <c r="F5934" i="1"/>
  <c r="G5934" i="1"/>
  <c r="I5934" i="1"/>
  <c r="J5934" i="1"/>
  <c r="K5934" i="1"/>
  <c r="L5934" i="1"/>
  <c r="M5934" i="1"/>
  <c r="N5934" i="1"/>
  <c r="O5934" i="1"/>
  <c r="P5934" i="1"/>
  <c r="Q5934" i="1"/>
  <c r="R5934" i="1"/>
  <c r="S5934" i="1"/>
  <c r="T5934" i="1"/>
  <c r="U5934" i="1"/>
  <c r="V5934" i="1"/>
  <c r="W5934" i="1"/>
  <c r="X5934" i="1"/>
  <c r="Y5934" i="1"/>
  <c r="Z5934" i="1"/>
  <c r="A5935" i="1"/>
  <c r="B5935" i="1"/>
  <c r="C5935" i="1"/>
  <c r="D5935" i="1"/>
  <c r="E5935" i="1"/>
  <c r="F5935" i="1"/>
  <c r="G5935" i="1"/>
  <c r="I5935" i="1"/>
  <c r="J5935" i="1"/>
  <c r="K5935" i="1"/>
  <c r="L5935" i="1"/>
  <c r="M5935" i="1"/>
  <c r="N5935" i="1"/>
  <c r="O5935" i="1"/>
  <c r="P5935" i="1"/>
  <c r="Q5935" i="1"/>
  <c r="R5935" i="1"/>
  <c r="S5935" i="1"/>
  <c r="T5935" i="1"/>
  <c r="U5935" i="1"/>
  <c r="V5935" i="1"/>
  <c r="W5935" i="1"/>
  <c r="X5935" i="1"/>
  <c r="Y5935" i="1"/>
  <c r="Z5935" i="1"/>
  <c r="A5936" i="1"/>
  <c r="B5936" i="1"/>
  <c r="C5936" i="1"/>
  <c r="D5936" i="1"/>
  <c r="E5936" i="1"/>
  <c r="F5936" i="1"/>
  <c r="G5936" i="1"/>
  <c r="I5936" i="1"/>
  <c r="J5936" i="1"/>
  <c r="K5936" i="1"/>
  <c r="L5936" i="1"/>
  <c r="M5936" i="1"/>
  <c r="N5936" i="1"/>
  <c r="O5936" i="1"/>
  <c r="P5936" i="1"/>
  <c r="Q5936" i="1"/>
  <c r="R5936" i="1"/>
  <c r="S5936" i="1"/>
  <c r="T5936" i="1"/>
  <c r="U5936" i="1"/>
  <c r="V5936" i="1"/>
  <c r="W5936" i="1"/>
  <c r="X5936" i="1"/>
  <c r="Y5936" i="1"/>
  <c r="Z5936" i="1"/>
  <c r="A5937" i="1"/>
  <c r="B5937" i="1"/>
  <c r="C5937" i="1"/>
  <c r="D5937" i="1"/>
  <c r="E5937" i="1"/>
  <c r="F5937" i="1"/>
  <c r="G5937" i="1"/>
  <c r="I5937" i="1"/>
  <c r="J5937" i="1"/>
  <c r="K5937" i="1"/>
  <c r="L5937" i="1"/>
  <c r="M5937" i="1"/>
  <c r="N5937" i="1"/>
  <c r="O5937" i="1"/>
  <c r="P5937" i="1"/>
  <c r="Q5937" i="1"/>
  <c r="R5937" i="1"/>
  <c r="S5937" i="1"/>
  <c r="T5937" i="1"/>
  <c r="U5937" i="1"/>
  <c r="V5937" i="1"/>
  <c r="W5937" i="1"/>
  <c r="X5937" i="1"/>
  <c r="Y5937" i="1"/>
  <c r="Z5937" i="1"/>
  <c r="A5938" i="1"/>
  <c r="B5938" i="1"/>
  <c r="C5938" i="1"/>
  <c r="D5938" i="1"/>
  <c r="E5938" i="1"/>
  <c r="F5938" i="1"/>
  <c r="G5938" i="1"/>
  <c r="I5938" i="1"/>
  <c r="J5938" i="1"/>
  <c r="K5938" i="1"/>
  <c r="L5938" i="1"/>
  <c r="M5938" i="1"/>
  <c r="N5938" i="1"/>
  <c r="O5938" i="1"/>
  <c r="P5938" i="1"/>
  <c r="Q5938" i="1"/>
  <c r="R5938" i="1"/>
  <c r="S5938" i="1"/>
  <c r="T5938" i="1"/>
  <c r="U5938" i="1"/>
  <c r="V5938" i="1"/>
  <c r="W5938" i="1"/>
  <c r="X5938" i="1"/>
  <c r="Y5938" i="1"/>
  <c r="Z5938" i="1"/>
  <c r="A5939" i="1"/>
  <c r="B5939" i="1"/>
  <c r="C5939" i="1"/>
  <c r="D5939" i="1"/>
  <c r="E5939" i="1"/>
  <c r="F5939" i="1"/>
  <c r="G5939" i="1"/>
  <c r="I5939" i="1"/>
  <c r="J5939" i="1"/>
  <c r="K5939" i="1"/>
  <c r="L5939" i="1"/>
  <c r="M5939" i="1"/>
  <c r="N5939" i="1"/>
  <c r="O5939" i="1"/>
  <c r="P5939" i="1"/>
  <c r="Q5939" i="1"/>
  <c r="R5939" i="1"/>
  <c r="S5939" i="1"/>
  <c r="T5939" i="1"/>
  <c r="U5939" i="1"/>
  <c r="V5939" i="1"/>
  <c r="W5939" i="1"/>
  <c r="X5939" i="1"/>
  <c r="Y5939" i="1"/>
  <c r="Z5939" i="1"/>
  <c r="A5940" i="1"/>
  <c r="B5940" i="1"/>
  <c r="C5940" i="1"/>
  <c r="D5940" i="1"/>
  <c r="E5940" i="1"/>
  <c r="F5940" i="1"/>
  <c r="G5940" i="1"/>
  <c r="I5940" i="1"/>
  <c r="J5940" i="1"/>
  <c r="K5940" i="1"/>
  <c r="L5940" i="1"/>
  <c r="M5940" i="1"/>
  <c r="N5940" i="1"/>
  <c r="O5940" i="1"/>
  <c r="P5940" i="1"/>
  <c r="Q5940" i="1"/>
  <c r="R5940" i="1"/>
  <c r="S5940" i="1"/>
  <c r="T5940" i="1"/>
  <c r="U5940" i="1"/>
  <c r="V5940" i="1"/>
  <c r="W5940" i="1"/>
  <c r="X5940" i="1"/>
  <c r="Y5940" i="1"/>
  <c r="Z5940" i="1"/>
  <c r="A5941" i="1"/>
  <c r="B5941" i="1"/>
  <c r="C5941" i="1"/>
  <c r="D5941" i="1"/>
  <c r="E5941" i="1"/>
  <c r="F5941" i="1"/>
  <c r="G5941" i="1"/>
  <c r="I5941" i="1"/>
  <c r="J5941" i="1"/>
  <c r="K5941" i="1"/>
  <c r="L5941" i="1"/>
  <c r="M5941" i="1"/>
  <c r="N5941" i="1"/>
  <c r="O5941" i="1"/>
  <c r="P5941" i="1"/>
  <c r="Q5941" i="1"/>
  <c r="R5941" i="1"/>
  <c r="S5941" i="1"/>
  <c r="T5941" i="1"/>
  <c r="U5941" i="1"/>
  <c r="V5941" i="1"/>
  <c r="W5941" i="1"/>
  <c r="X5941" i="1"/>
  <c r="Y5941" i="1"/>
  <c r="Z5941" i="1"/>
  <c r="A5942" i="1"/>
  <c r="B5942" i="1"/>
  <c r="C5942" i="1"/>
  <c r="D5942" i="1"/>
  <c r="E5942" i="1"/>
  <c r="F5942" i="1"/>
  <c r="G5942" i="1"/>
  <c r="I5942" i="1"/>
  <c r="J5942" i="1"/>
  <c r="K5942" i="1"/>
  <c r="L5942" i="1"/>
  <c r="M5942" i="1"/>
  <c r="N5942" i="1"/>
  <c r="O5942" i="1"/>
  <c r="P5942" i="1"/>
  <c r="Q5942" i="1"/>
  <c r="R5942" i="1"/>
  <c r="S5942" i="1"/>
  <c r="T5942" i="1"/>
  <c r="U5942" i="1"/>
  <c r="V5942" i="1"/>
  <c r="W5942" i="1"/>
  <c r="X5942" i="1"/>
  <c r="Y5942" i="1"/>
  <c r="Z5942" i="1"/>
  <c r="A5943" i="1"/>
  <c r="B5943" i="1"/>
  <c r="C5943" i="1"/>
  <c r="D5943" i="1"/>
  <c r="E5943" i="1"/>
  <c r="F5943" i="1"/>
  <c r="G5943" i="1"/>
  <c r="I5943" i="1"/>
  <c r="J5943" i="1"/>
  <c r="K5943" i="1"/>
  <c r="L5943" i="1"/>
  <c r="M5943" i="1"/>
  <c r="N5943" i="1"/>
  <c r="O5943" i="1"/>
  <c r="P5943" i="1"/>
  <c r="Q5943" i="1"/>
  <c r="R5943" i="1"/>
  <c r="S5943" i="1"/>
  <c r="T5943" i="1"/>
  <c r="U5943" i="1"/>
  <c r="V5943" i="1"/>
  <c r="W5943" i="1"/>
  <c r="X5943" i="1"/>
  <c r="Y5943" i="1"/>
  <c r="Z5943" i="1"/>
  <c r="A5944" i="1"/>
  <c r="B5944" i="1"/>
  <c r="C5944" i="1"/>
  <c r="D5944" i="1"/>
  <c r="E5944" i="1"/>
  <c r="F5944" i="1"/>
  <c r="G5944" i="1"/>
  <c r="I5944" i="1"/>
  <c r="J5944" i="1"/>
  <c r="K5944" i="1"/>
  <c r="L5944" i="1"/>
  <c r="M5944" i="1"/>
  <c r="N5944" i="1"/>
  <c r="O5944" i="1"/>
  <c r="P5944" i="1"/>
  <c r="Q5944" i="1"/>
  <c r="R5944" i="1"/>
  <c r="S5944" i="1"/>
  <c r="T5944" i="1"/>
  <c r="U5944" i="1"/>
  <c r="V5944" i="1"/>
  <c r="W5944" i="1"/>
  <c r="X5944" i="1"/>
  <c r="Y5944" i="1"/>
  <c r="Z5944" i="1"/>
  <c r="A5945" i="1"/>
  <c r="B5945" i="1"/>
  <c r="C5945" i="1"/>
  <c r="D5945" i="1"/>
  <c r="E5945" i="1"/>
  <c r="F5945" i="1"/>
  <c r="G5945" i="1"/>
  <c r="I5945" i="1"/>
  <c r="J5945" i="1"/>
  <c r="K5945" i="1"/>
  <c r="L5945" i="1"/>
  <c r="M5945" i="1"/>
  <c r="N5945" i="1"/>
  <c r="O5945" i="1"/>
  <c r="P5945" i="1"/>
  <c r="Q5945" i="1"/>
  <c r="R5945" i="1"/>
  <c r="S5945" i="1"/>
  <c r="T5945" i="1"/>
  <c r="U5945" i="1"/>
  <c r="V5945" i="1"/>
  <c r="W5945" i="1"/>
  <c r="X5945" i="1"/>
  <c r="Y5945" i="1"/>
  <c r="Z5945" i="1"/>
  <c r="A5946" i="1"/>
  <c r="B5946" i="1"/>
  <c r="C5946" i="1"/>
  <c r="D5946" i="1"/>
  <c r="E5946" i="1"/>
  <c r="F5946" i="1"/>
  <c r="G5946" i="1"/>
  <c r="I5946" i="1"/>
  <c r="J5946" i="1"/>
  <c r="K5946" i="1"/>
  <c r="L5946" i="1"/>
  <c r="M5946" i="1"/>
  <c r="N5946" i="1"/>
  <c r="O5946" i="1"/>
  <c r="P5946" i="1"/>
  <c r="Q5946" i="1"/>
  <c r="R5946" i="1"/>
  <c r="S5946" i="1"/>
  <c r="T5946" i="1"/>
  <c r="U5946" i="1"/>
  <c r="V5946" i="1"/>
  <c r="W5946" i="1"/>
  <c r="X5946" i="1"/>
  <c r="Y5946" i="1"/>
  <c r="Z5946" i="1"/>
  <c r="A5947" i="1"/>
  <c r="B5947" i="1"/>
  <c r="C5947" i="1"/>
  <c r="D5947" i="1"/>
  <c r="E5947" i="1"/>
  <c r="F5947" i="1"/>
  <c r="G5947" i="1"/>
  <c r="I5947" i="1"/>
  <c r="J5947" i="1"/>
  <c r="K5947" i="1"/>
  <c r="L5947" i="1"/>
  <c r="M5947" i="1"/>
  <c r="N5947" i="1"/>
  <c r="O5947" i="1"/>
  <c r="P5947" i="1"/>
  <c r="Q5947" i="1"/>
  <c r="R5947" i="1"/>
  <c r="S5947" i="1"/>
  <c r="T5947" i="1"/>
  <c r="U5947" i="1"/>
  <c r="V5947" i="1"/>
  <c r="W5947" i="1"/>
  <c r="X5947" i="1"/>
  <c r="Y5947" i="1"/>
  <c r="Z5947" i="1"/>
  <c r="A5948" i="1"/>
  <c r="B5948" i="1"/>
  <c r="C5948" i="1"/>
  <c r="D5948" i="1"/>
  <c r="E5948" i="1"/>
  <c r="F5948" i="1"/>
  <c r="G5948" i="1"/>
  <c r="I5948" i="1"/>
  <c r="J5948" i="1"/>
  <c r="K5948" i="1"/>
  <c r="L5948" i="1"/>
  <c r="M5948" i="1"/>
  <c r="N5948" i="1"/>
  <c r="O5948" i="1"/>
  <c r="P5948" i="1"/>
  <c r="Q5948" i="1"/>
  <c r="R5948" i="1"/>
  <c r="S5948" i="1"/>
  <c r="T5948" i="1"/>
  <c r="U5948" i="1"/>
  <c r="V5948" i="1"/>
  <c r="W5948" i="1"/>
  <c r="X5948" i="1"/>
  <c r="Y5948" i="1"/>
  <c r="Z5948" i="1"/>
  <c r="A5949" i="1"/>
  <c r="B5949" i="1"/>
  <c r="C5949" i="1"/>
  <c r="D5949" i="1"/>
  <c r="E5949" i="1"/>
  <c r="F5949" i="1"/>
  <c r="G5949" i="1"/>
  <c r="I5949" i="1"/>
  <c r="J5949" i="1"/>
  <c r="K5949" i="1"/>
  <c r="L5949" i="1"/>
  <c r="M5949" i="1"/>
  <c r="N5949" i="1"/>
  <c r="O5949" i="1"/>
  <c r="P5949" i="1"/>
  <c r="Q5949" i="1"/>
  <c r="R5949" i="1"/>
  <c r="S5949" i="1"/>
  <c r="T5949" i="1"/>
  <c r="U5949" i="1"/>
  <c r="V5949" i="1"/>
  <c r="W5949" i="1"/>
  <c r="X5949" i="1"/>
  <c r="Y5949" i="1"/>
  <c r="Z5949" i="1"/>
  <c r="A5950" i="1"/>
  <c r="B5950" i="1"/>
  <c r="C5950" i="1"/>
  <c r="D5950" i="1"/>
  <c r="E5950" i="1"/>
  <c r="F5950" i="1"/>
  <c r="G5950" i="1"/>
  <c r="I5950" i="1"/>
  <c r="J5950" i="1"/>
  <c r="K5950" i="1"/>
  <c r="L5950" i="1"/>
  <c r="M5950" i="1"/>
  <c r="N5950" i="1"/>
  <c r="O5950" i="1"/>
  <c r="P5950" i="1"/>
  <c r="Q5950" i="1"/>
  <c r="R5950" i="1"/>
  <c r="S5950" i="1"/>
  <c r="T5950" i="1"/>
  <c r="U5950" i="1"/>
  <c r="V5950" i="1"/>
  <c r="W5950" i="1"/>
  <c r="X5950" i="1"/>
  <c r="Y5950" i="1"/>
  <c r="Z5950" i="1"/>
  <c r="A5951" i="1"/>
  <c r="B5951" i="1"/>
  <c r="C5951" i="1"/>
  <c r="D5951" i="1"/>
  <c r="E5951" i="1"/>
  <c r="F5951" i="1"/>
  <c r="G5951" i="1"/>
  <c r="I5951" i="1"/>
  <c r="J5951" i="1"/>
  <c r="K5951" i="1"/>
  <c r="L5951" i="1"/>
  <c r="M5951" i="1"/>
  <c r="N5951" i="1"/>
  <c r="O5951" i="1"/>
  <c r="P5951" i="1"/>
  <c r="Q5951" i="1"/>
  <c r="R5951" i="1"/>
  <c r="S5951" i="1"/>
  <c r="T5951" i="1"/>
  <c r="U5951" i="1"/>
  <c r="V5951" i="1"/>
  <c r="W5951" i="1"/>
  <c r="X5951" i="1"/>
  <c r="Y5951" i="1"/>
  <c r="Z5951" i="1"/>
  <c r="A5952" i="1"/>
  <c r="B5952" i="1"/>
  <c r="C5952" i="1"/>
  <c r="D5952" i="1"/>
  <c r="E5952" i="1"/>
  <c r="F5952" i="1"/>
  <c r="G5952" i="1"/>
  <c r="I5952" i="1"/>
  <c r="J5952" i="1"/>
  <c r="K5952" i="1"/>
  <c r="L5952" i="1"/>
  <c r="M5952" i="1"/>
  <c r="N5952" i="1"/>
  <c r="O5952" i="1"/>
  <c r="P5952" i="1"/>
  <c r="Q5952" i="1"/>
  <c r="R5952" i="1"/>
  <c r="S5952" i="1"/>
  <c r="T5952" i="1"/>
  <c r="U5952" i="1"/>
  <c r="V5952" i="1"/>
  <c r="W5952" i="1"/>
  <c r="X5952" i="1"/>
  <c r="Y5952" i="1"/>
  <c r="Z5952" i="1"/>
  <c r="A5953" i="1"/>
  <c r="B5953" i="1"/>
  <c r="C5953" i="1"/>
  <c r="D5953" i="1"/>
  <c r="E5953" i="1"/>
  <c r="F5953" i="1"/>
  <c r="G5953" i="1"/>
  <c r="I5953" i="1"/>
  <c r="J5953" i="1"/>
  <c r="K5953" i="1"/>
  <c r="L5953" i="1"/>
  <c r="M5953" i="1"/>
  <c r="N5953" i="1"/>
  <c r="O5953" i="1"/>
  <c r="P5953" i="1"/>
  <c r="Q5953" i="1"/>
  <c r="R5953" i="1"/>
  <c r="S5953" i="1"/>
  <c r="T5953" i="1"/>
  <c r="U5953" i="1"/>
  <c r="V5953" i="1"/>
  <c r="W5953" i="1"/>
  <c r="X5953" i="1"/>
  <c r="Y5953" i="1"/>
  <c r="Z5953" i="1"/>
  <c r="A5954" i="1"/>
  <c r="B5954" i="1"/>
  <c r="C5954" i="1"/>
  <c r="D5954" i="1"/>
  <c r="E5954" i="1"/>
  <c r="F5954" i="1"/>
  <c r="G5954" i="1"/>
  <c r="I5954" i="1"/>
  <c r="J5954" i="1"/>
  <c r="K5954" i="1"/>
  <c r="L5954" i="1"/>
  <c r="M5954" i="1"/>
  <c r="N5954" i="1"/>
  <c r="O5954" i="1"/>
  <c r="P5954" i="1"/>
  <c r="Q5954" i="1"/>
  <c r="R5954" i="1"/>
  <c r="S5954" i="1"/>
  <c r="T5954" i="1"/>
  <c r="U5954" i="1"/>
  <c r="V5954" i="1"/>
  <c r="W5954" i="1"/>
  <c r="X5954" i="1"/>
  <c r="Y5954" i="1"/>
  <c r="Z5954" i="1"/>
  <c r="A5955" i="1"/>
  <c r="B5955" i="1"/>
  <c r="C5955" i="1"/>
  <c r="D5955" i="1"/>
  <c r="E5955" i="1"/>
  <c r="F5955" i="1"/>
  <c r="G5955" i="1"/>
  <c r="I5955" i="1"/>
  <c r="J5955" i="1"/>
  <c r="K5955" i="1"/>
  <c r="L5955" i="1"/>
  <c r="M5955" i="1"/>
  <c r="N5955" i="1"/>
  <c r="O5955" i="1"/>
  <c r="P5955" i="1"/>
  <c r="Q5955" i="1"/>
  <c r="R5955" i="1"/>
  <c r="S5955" i="1"/>
  <c r="T5955" i="1"/>
  <c r="U5955" i="1"/>
  <c r="V5955" i="1"/>
  <c r="W5955" i="1"/>
  <c r="X5955" i="1"/>
  <c r="Y5955" i="1"/>
  <c r="Z5955" i="1"/>
  <c r="A5956" i="1"/>
  <c r="B5956" i="1"/>
  <c r="C5956" i="1"/>
  <c r="D5956" i="1"/>
  <c r="E5956" i="1"/>
  <c r="F5956" i="1"/>
  <c r="G5956" i="1"/>
  <c r="I5956" i="1"/>
  <c r="J5956" i="1"/>
  <c r="K5956" i="1"/>
  <c r="L5956" i="1"/>
  <c r="M5956" i="1"/>
  <c r="N5956" i="1"/>
  <c r="O5956" i="1"/>
  <c r="P5956" i="1"/>
  <c r="Q5956" i="1"/>
  <c r="R5956" i="1"/>
  <c r="S5956" i="1"/>
  <c r="T5956" i="1"/>
  <c r="U5956" i="1"/>
  <c r="V5956" i="1"/>
  <c r="W5956" i="1"/>
  <c r="X5956" i="1"/>
  <c r="Y5956" i="1"/>
  <c r="Z5956" i="1"/>
  <c r="A5957" i="1"/>
  <c r="B5957" i="1"/>
  <c r="C5957" i="1"/>
  <c r="D5957" i="1"/>
  <c r="E5957" i="1"/>
  <c r="F5957" i="1"/>
  <c r="G5957" i="1"/>
  <c r="I5957" i="1"/>
  <c r="J5957" i="1"/>
  <c r="K5957" i="1"/>
  <c r="L5957" i="1"/>
  <c r="M5957" i="1"/>
  <c r="N5957" i="1"/>
  <c r="O5957" i="1"/>
  <c r="P5957" i="1"/>
  <c r="Q5957" i="1"/>
  <c r="R5957" i="1"/>
  <c r="S5957" i="1"/>
  <c r="T5957" i="1"/>
  <c r="U5957" i="1"/>
  <c r="V5957" i="1"/>
  <c r="W5957" i="1"/>
  <c r="X5957" i="1"/>
  <c r="Y5957" i="1"/>
  <c r="Z5957" i="1"/>
  <c r="A5958" i="1"/>
  <c r="B5958" i="1"/>
  <c r="C5958" i="1"/>
  <c r="D5958" i="1"/>
  <c r="E5958" i="1"/>
  <c r="F5958" i="1"/>
  <c r="G5958" i="1"/>
  <c r="I5958" i="1"/>
  <c r="J5958" i="1"/>
  <c r="K5958" i="1"/>
  <c r="L5958" i="1"/>
  <c r="M5958" i="1"/>
  <c r="N5958" i="1"/>
  <c r="O5958" i="1"/>
  <c r="P5958" i="1"/>
  <c r="Q5958" i="1"/>
  <c r="R5958" i="1"/>
  <c r="S5958" i="1"/>
  <c r="T5958" i="1"/>
  <c r="U5958" i="1"/>
  <c r="V5958" i="1"/>
  <c r="W5958" i="1"/>
  <c r="X5958" i="1"/>
  <c r="Y5958" i="1"/>
  <c r="Z5958" i="1"/>
  <c r="A5959" i="1"/>
  <c r="B5959" i="1"/>
  <c r="C5959" i="1"/>
  <c r="D5959" i="1"/>
  <c r="E5959" i="1"/>
  <c r="F5959" i="1"/>
  <c r="G5959" i="1"/>
  <c r="I5959" i="1"/>
  <c r="J5959" i="1"/>
  <c r="K5959" i="1"/>
  <c r="L5959" i="1"/>
  <c r="M5959" i="1"/>
  <c r="N5959" i="1"/>
  <c r="O5959" i="1"/>
  <c r="P5959" i="1"/>
  <c r="Q5959" i="1"/>
  <c r="R5959" i="1"/>
  <c r="S5959" i="1"/>
  <c r="T5959" i="1"/>
  <c r="U5959" i="1"/>
  <c r="V5959" i="1"/>
  <c r="W5959" i="1"/>
  <c r="X5959" i="1"/>
  <c r="Y5959" i="1"/>
  <c r="Z5959" i="1"/>
  <c r="A5960" i="1"/>
  <c r="B5960" i="1"/>
  <c r="C5960" i="1"/>
  <c r="D5960" i="1"/>
  <c r="E5960" i="1"/>
  <c r="F5960" i="1"/>
  <c r="G5960" i="1"/>
  <c r="I5960" i="1"/>
  <c r="J5960" i="1"/>
  <c r="K5960" i="1"/>
  <c r="L5960" i="1"/>
  <c r="M5960" i="1"/>
  <c r="N5960" i="1"/>
  <c r="O5960" i="1"/>
  <c r="P5960" i="1"/>
  <c r="Q5960" i="1"/>
  <c r="R5960" i="1"/>
  <c r="S5960" i="1"/>
  <c r="T5960" i="1"/>
  <c r="U5960" i="1"/>
  <c r="V5960" i="1"/>
  <c r="W5960" i="1"/>
  <c r="X5960" i="1"/>
  <c r="Y5960" i="1"/>
  <c r="Z5960" i="1"/>
  <c r="A5961" i="1"/>
  <c r="B5961" i="1"/>
  <c r="C5961" i="1"/>
  <c r="D5961" i="1"/>
  <c r="E5961" i="1"/>
  <c r="F5961" i="1"/>
  <c r="G5961" i="1"/>
  <c r="I5961" i="1"/>
  <c r="J5961" i="1"/>
  <c r="K5961" i="1"/>
  <c r="L5961" i="1"/>
  <c r="M5961" i="1"/>
  <c r="N5961" i="1"/>
  <c r="O5961" i="1"/>
  <c r="P5961" i="1"/>
  <c r="Q5961" i="1"/>
  <c r="R5961" i="1"/>
  <c r="S5961" i="1"/>
  <c r="T5961" i="1"/>
  <c r="U5961" i="1"/>
  <c r="V5961" i="1"/>
  <c r="W5961" i="1"/>
  <c r="X5961" i="1"/>
  <c r="Y5961" i="1"/>
  <c r="Z5961" i="1"/>
  <c r="A5962" i="1"/>
  <c r="B5962" i="1"/>
  <c r="C5962" i="1"/>
  <c r="D5962" i="1"/>
  <c r="E5962" i="1"/>
  <c r="F5962" i="1"/>
  <c r="G5962" i="1"/>
  <c r="I5962" i="1"/>
  <c r="J5962" i="1"/>
  <c r="K5962" i="1"/>
  <c r="L5962" i="1"/>
  <c r="M5962" i="1"/>
  <c r="N5962" i="1"/>
  <c r="O5962" i="1"/>
  <c r="P5962" i="1"/>
  <c r="Q5962" i="1"/>
  <c r="R5962" i="1"/>
  <c r="S5962" i="1"/>
  <c r="T5962" i="1"/>
  <c r="U5962" i="1"/>
  <c r="V5962" i="1"/>
  <c r="W5962" i="1"/>
  <c r="X5962" i="1"/>
  <c r="Y5962" i="1"/>
  <c r="Z5962" i="1"/>
  <c r="A5963" i="1"/>
  <c r="B5963" i="1"/>
  <c r="C5963" i="1"/>
  <c r="D5963" i="1"/>
  <c r="E5963" i="1"/>
  <c r="F5963" i="1"/>
  <c r="G5963" i="1"/>
  <c r="I5963" i="1"/>
  <c r="J5963" i="1"/>
  <c r="K5963" i="1"/>
  <c r="L5963" i="1"/>
  <c r="M5963" i="1"/>
  <c r="N5963" i="1"/>
  <c r="O5963" i="1"/>
  <c r="P5963" i="1"/>
  <c r="Q5963" i="1"/>
  <c r="R5963" i="1"/>
  <c r="S5963" i="1"/>
  <c r="T5963" i="1"/>
  <c r="U5963" i="1"/>
  <c r="V5963" i="1"/>
  <c r="W5963" i="1"/>
  <c r="X5963" i="1"/>
  <c r="Y5963" i="1"/>
  <c r="Z5963" i="1"/>
  <c r="A5964" i="1"/>
  <c r="B5964" i="1"/>
  <c r="C5964" i="1"/>
  <c r="D5964" i="1"/>
  <c r="E5964" i="1"/>
  <c r="F5964" i="1"/>
  <c r="G5964" i="1"/>
  <c r="I5964" i="1"/>
  <c r="J5964" i="1"/>
  <c r="K5964" i="1"/>
  <c r="L5964" i="1"/>
  <c r="M5964" i="1"/>
  <c r="N5964" i="1"/>
  <c r="O5964" i="1"/>
  <c r="P5964" i="1"/>
  <c r="Q5964" i="1"/>
  <c r="R5964" i="1"/>
  <c r="S5964" i="1"/>
  <c r="T5964" i="1"/>
  <c r="U5964" i="1"/>
  <c r="V5964" i="1"/>
  <c r="W5964" i="1"/>
  <c r="X5964" i="1"/>
  <c r="Y5964" i="1"/>
  <c r="Z5964" i="1"/>
  <c r="A5965" i="1"/>
  <c r="B5965" i="1"/>
  <c r="C5965" i="1"/>
  <c r="D5965" i="1"/>
  <c r="E5965" i="1"/>
  <c r="F5965" i="1"/>
  <c r="G5965" i="1"/>
  <c r="I5965" i="1"/>
  <c r="J5965" i="1"/>
  <c r="K5965" i="1"/>
  <c r="L5965" i="1"/>
  <c r="M5965" i="1"/>
  <c r="N5965" i="1"/>
  <c r="O5965" i="1"/>
  <c r="P5965" i="1"/>
  <c r="Q5965" i="1"/>
  <c r="R5965" i="1"/>
  <c r="S5965" i="1"/>
  <c r="T5965" i="1"/>
  <c r="U5965" i="1"/>
  <c r="V5965" i="1"/>
  <c r="W5965" i="1"/>
  <c r="X5965" i="1"/>
  <c r="Y5965" i="1"/>
  <c r="Z5965" i="1"/>
  <c r="A5966" i="1"/>
  <c r="B5966" i="1"/>
  <c r="C5966" i="1"/>
  <c r="D5966" i="1"/>
  <c r="E5966" i="1"/>
  <c r="F5966" i="1"/>
  <c r="G5966" i="1"/>
  <c r="I5966" i="1"/>
  <c r="J5966" i="1"/>
  <c r="K5966" i="1"/>
  <c r="L5966" i="1"/>
  <c r="M5966" i="1"/>
  <c r="N5966" i="1"/>
  <c r="O5966" i="1"/>
  <c r="P5966" i="1"/>
  <c r="Q5966" i="1"/>
  <c r="R5966" i="1"/>
  <c r="S5966" i="1"/>
  <c r="T5966" i="1"/>
  <c r="U5966" i="1"/>
  <c r="V5966" i="1"/>
  <c r="W5966" i="1"/>
  <c r="X5966" i="1"/>
  <c r="Y5966" i="1"/>
  <c r="Z5966" i="1"/>
  <c r="A5967" i="1"/>
  <c r="B5967" i="1"/>
  <c r="C5967" i="1"/>
  <c r="D5967" i="1"/>
  <c r="E5967" i="1"/>
  <c r="F5967" i="1"/>
  <c r="G5967" i="1"/>
  <c r="I5967" i="1"/>
  <c r="J5967" i="1"/>
  <c r="K5967" i="1"/>
  <c r="L5967" i="1"/>
  <c r="M5967" i="1"/>
  <c r="N5967" i="1"/>
  <c r="O5967" i="1"/>
  <c r="P5967" i="1"/>
  <c r="Q5967" i="1"/>
  <c r="R5967" i="1"/>
  <c r="S5967" i="1"/>
  <c r="T5967" i="1"/>
  <c r="U5967" i="1"/>
  <c r="V5967" i="1"/>
  <c r="W5967" i="1"/>
  <c r="X5967" i="1"/>
  <c r="Y5967" i="1"/>
  <c r="Z5967" i="1"/>
  <c r="A5968" i="1"/>
  <c r="B5968" i="1"/>
  <c r="C5968" i="1"/>
  <c r="D5968" i="1"/>
  <c r="E5968" i="1"/>
  <c r="F5968" i="1"/>
  <c r="G5968" i="1"/>
  <c r="I5968" i="1"/>
  <c r="J5968" i="1"/>
  <c r="K5968" i="1"/>
  <c r="L5968" i="1"/>
  <c r="M5968" i="1"/>
  <c r="N5968" i="1"/>
  <c r="O5968" i="1"/>
  <c r="P5968" i="1"/>
  <c r="Q5968" i="1"/>
  <c r="R5968" i="1"/>
  <c r="S5968" i="1"/>
  <c r="T5968" i="1"/>
  <c r="U5968" i="1"/>
  <c r="V5968" i="1"/>
  <c r="W5968" i="1"/>
  <c r="X5968" i="1"/>
  <c r="Y5968" i="1"/>
  <c r="Z5968" i="1"/>
  <c r="A5969" i="1"/>
  <c r="B5969" i="1"/>
  <c r="C5969" i="1"/>
  <c r="D5969" i="1"/>
  <c r="E5969" i="1"/>
  <c r="F5969" i="1"/>
  <c r="G5969" i="1"/>
  <c r="I5969" i="1"/>
  <c r="J5969" i="1"/>
  <c r="K5969" i="1"/>
  <c r="L5969" i="1"/>
  <c r="M5969" i="1"/>
  <c r="N5969" i="1"/>
  <c r="O5969" i="1"/>
  <c r="P5969" i="1"/>
  <c r="Q5969" i="1"/>
  <c r="R5969" i="1"/>
  <c r="S5969" i="1"/>
  <c r="T5969" i="1"/>
  <c r="U5969" i="1"/>
  <c r="V5969" i="1"/>
  <c r="W5969" i="1"/>
  <c r="X5969" i="1"/>
  <c r="Y5969" i="1"/>
  <c r="Z5969" i="1"/>
  <c r="A5970" i="1"/>
  <c r="B5970" i="1"/>
  <c r="C5970" i="1"/>
  <c r="D5970" i="1"/>
  <c r="E5970" i="1"/>
  <c r="F5970" i="1"/>
  <c r="G5970" i="1"/>
  <c r="I5970" i="1"/>
  <c r="J5970" i="1"/>
  <c r="K5970" i="1"/>
  <c r="L5970" i="1"/>
  <c r="M5970" i="1"/>
  <c r="N5970" i="1"/>
  <c r="O5970" i="1"/>
  <c r="P5970" i="1"/>
  <c r="Q5970" i="1"/>
  <c r="R5970" i="1"/>
  <c r="S5970" i="1"/>
  <c r="T5970" i="1"/>
  <c r="U5970" i="1"/>
  <c r="V5970" i="1"/>
  <c r="W5970" i="1"/>
  <c r="X5970" i="1"/>
  <c r="Y5970" i="1"/>
  <c r="Z5970" i="1"/>
  <c r="A5971" i="1"/>
  <c r="B5971" i="1"/>
  <c r="C5971" i="1"/>
  <c r="D5971" i="1"/>
  <c r="E5971" i="1"/>
  <c r="F5971" i="1"/>
  <c r="G5971" i="1"/>
  <c r="I5971" i="1"/>
  <c r="J5971" i="1"/>
  <c r="K5971" i="1"/>
  <c r="L5971" i="1"/>
  <c r="M5971" i="1"/>
  <c r="N5971" i="1"/>
  <c r="O5971" i="1"/>
  <c r="P5971" i="1"/>
  <c r="Q5971" i="1"/>
  <c r="R5971" i="1"/>
  <c r="S5971" i="1"/>
  <c r="T5971" i="1"/>
  <c r="U5971" i="1"/>
  <c r="V5971" i="1"/>
  <c r="W5971" i="1"/>
  <c r="X5971" i="1"/>
  <c r="Y5971" i="1"/>
  <c r="Z5971" i="1"/>
  <c r="A5972" i="1"/>
  <c r="B5972" i="1"/>
  <c r="C5972" i="1"/>
  <c r="D5972" i="1"/>
  <c r="E5972" i="1"/>
  <c r="F5972" i="1"/>
  <c r="G5972" i="1"/>
  <c r="I5972" i="1"/>
  <c r="J5972" i="1"/>
  <c r="K5972" i="1"/>
  <c r="L5972" i="1"/>
  <c r="M5972" i="1"/>
  <c r="N5972" i="1"/>
  <c r="O5972" i="1"/>
  <c r="P5972" i="1"/>
  <c r="Q5972" i="1"/>
  <c r="R5972" i="1"/>
  <c r="S5972" i="1"/>
  <c r="T5972" i="1"/>
  <c r="U5972" i="1"/>
  <c r="V5972" i="1"/>
  <c r="W5972" i="1"/>
  <c r="X5972" i="1"/>
  <c r="Y5972" i="1"/>
  <c r="Z5972" i="1"/>
  <c r="A5973" i="1"/>
  <c r="B5973" i="1"/>
  <c r="C5973" i="1"/>
  <c r="D5973" i="1"/>
  <c r="E5973" i="1"/>
  <c r="F5973" i="1"/>
  <c r="G5973" i="1"/>
  <c r="I5973" i="1"/>
  <c r="J5973" i="1"/>
  <c r="K5973" i="1"/>
  <c r="L5973" i="1"/>
  <c r="M5973" i="1"/>
  <c r="N5973" i="1"/>
  <c r="O5973" i="1"/>
  <c r="P5973" i="1"/>
  <c r="Q5973" i="1"/>
  <c r="R5973" i="1"/>
  <c r="S5973" i="1"/>
  <c r="T5973" i="1"/>
  <c r="U5973" i="1"/>
  <c r="V5973" i="1"/>
  <c r="W5973" i="1"/>
  <c r="X5973" i="1"/>
  <c r="Y5973" i="1"/>
  <c r="Z5973" i="1"/>
  <c r="A5974" i="1"/>
  <c r="B5974" i="1"/>
  <c r="C5974" i="1"/>
  <c r="D5974" i="1"/>
  <c r="E5974" i="1"/>
  <c r="F5974" i="1"/>
  <c r="G5974" i="1"/>
  <c r="I5974" i="1"/>
  <c r="J5974" i="1"/>
  <c r="K5974" i="1"/>
  <c r="L5974" i="1"/>
  <c r="M5974" i="1"/>
  <c r="N5974" i="1"/>
  <c r="O5974" i="1"/>
  <c r="P5974" i="1"/>
  <c r="Q5974" i="1"/>
  <c r="R5974" i="1"/>
  <c r="S5974" i="1"/>
  <c r="T5974" i="1"/>
  <c r="U5974" i="1"/>
  <c r="V5974" i="1"/>
  <c r="W5974" i="1"/>
  <c r="X5974" i="1"/>
  <c r="Y5974" i="1"/>
  <c r="Z5974" i="1"/>
  <c r="A5975" i="1"/>
  <c r="B5975" i="1"/>
  <c r="C5975" i="1"/>
  <c r="D5975" i="1"/>
  <c r="E5975" i="1"/>
  <c r="F5975" i="1"/>
  <c r="G5975" i="1"/>
  <c r="I5975" i="1"/>
  <c r="J5975" i="1"/>
  <c r="K5975" i="1"/>
  <c r="L5975" i="1"/>
  <c r="M5975" i="1"/>
  <c r="N5975" i="1"/>
  <c r="O5975" i="1"/>
  <c r="P5975" i="1"/>
  <c r="Q5975" i="1"/>
  <c r="R5975" i="1"/>
  <c r="S5975" i="1"/>
  <c r="T5975" i="1"/>
  <c r="U5975" i="1"/>
  <c r="V5975" i="1"/>
  <c r="W5975" i="1"/>
  <c r="X5975" i="1"/>
  <c r="Y5975" i="1"/>
  <c r="Z5975" i="1"/>
  <c r="A5976" i="1"/>
  <c r="B5976" i="1"/>
  <c r="C5976" i="1"/>
  <c r="D5976" i="1"/>
  <c r="E5976" i="1"/>
  <c r="F5976" i="1"/>
  <c r="G5976" i="1"/>
  <c r="I5976" i="1"/>
  <c r="J5976" i="1"/>
  <c r="K5976" i="1"/>
  <c r="L5976" i="1"/>
  <c r="M5976" i="1"/>
  <c r="N5976" i="1"/>
  <c r="O5976" i="1"/>
  <c r="P5976" i="1"/>
  <c r="Q5976" i="1"/>
  <c r="R5976" i="1"/>
  <c r="S5976" i="1"/>
  <c r="T5976" i="1"/>
  <c r="U5976" i="1"/>
  <c r="V5976" i="1"/>
  <c r="W5976" i="1"/>
  <c r="X5976" i="1"/>
  <c r="Y5976" i="1"/>
  <c r="Z5976" i="1"/>
  <c r="A5977" i="1"/>
  <c r="B5977" i="1"/>
  <c r="C5977" i="1"/>
  <c r="D5977" i="1"/>
  <c r="E5977" i="1"/>
  <c r="F5977" i="1"/>
  <c r="G5977" i="1"/>
  <c r="I5977" i="1"/>
  <c r="J5977" i="1"/>
  <c r="K5977" i="1"/>
  <c r="L5977" i="1"/>
  <c r="M5977" i="1"/>
  <c r="N5977" i="1"/>
  <c r="O5977" i="1"/>
  <c r="P5977" i="1"/>
  <c r="Q5977" i="1"/>
  <c r="R5977" i="1"/>
  <c r="S5977" i="1"/>
  <c r="T5977" i="1"/>
  <c r="U5977" i="1"/>
  <c r="V5977" i="1"/>
  <c r="W5977" i="1"/>
  <c r="X5977" i="1"/>
  <c r="Y5977" i="1"/>
  <c r="Z5977" i="1"/>
  <c r="A5978" i="1"/>
  <c r="B5978" i="1"/>
  <c r="C5978" i="1"/>
  <c r="D5978" i="1"/>
  <c r="E5978" i="1"/>
  <c r="F5978" i="1"/>
  <c r="G5978" i="1"/>
  <c r="I5978" i="1"/>
  <c r="J5978" i="1"/>
  <c r="K5978" i="1"/>
  <c r="L5978" i="1"/>
  <c r="M5978" i="1"/>
  <c r="N5978" i="1"/>
  <c r="O5978" i="1"/>
  <c r="P5978" i="1"/>
  <c r="Q5978" i="1"/>
  <c r="R5978" i="1"/>
  <c r="S5978" i="1"/>
  <c r="T5978" i="1"/>
  <c r="U5978" i="1"/>
  <c r="V5978" i="1"/>
  <c r="W5978" i="1"/>
  <c r="X5978" i="1"/>
  <c r="Y5978" i="1"/>
  <c r="Z5978" i="1"/>
  <c r="A5979" i="1"/>
  <c r="B5979" i="1"/>
  <c r="C5979" i="1"/>
  <c r="D5979" i="1"/>
  <c r="E5979" i="1"/>
  <c r="F5979" i="1"/>
  <c r="G5979" i="1"/>
  <c r="I5979" i="1"/>
  <c r="J5979" i="1"/>
  <c r="K5979" i="1"/>
  <c r="L5979" i="1"/>
  <c r="M5979" i="1"/>
  <c r="N5979" i="1"/>
  <c r="O5979" i="1"/>
  <c r="P5979" i="1"/>
  <c r="Q5979" i="1"/>
  <c r="R5979" i="1"/>
  <c r="S5979" i="1"/>
  <c r="T5979" i="1"/>
  <c r="U5979" i="1"/>
  <c r="V5979" i="1"/>
  <c r="W5979" i="1"/>
  <c r="X5979" i="1"/>
  <c r="Y5979" i="1"/>
  <c r="Z5979" i="1"/>
  <c r="A5980" i="1"/>
  <c r="B5980" i="1"/>
  <c r="C5980" i="1"/>
  <c r="D5980" i="1"/>
  <c r="E5980" i="1"/>
  <c r="F5980" i="1"/>
  <c r="G5980" i="1"/>
  <c r="I5980" i="1"/>
  <c r="J5980" i="1"/>
  <c r="K5980" i="1"/>
  <c r="L5980" i="1"/>
  <c r="M5980" i="1"/>
  <c r="N5980" i="1"/>
  <c r="O5980" i="1"/>
  <c r="P5980" i="1"/>
  <c r="Q5980" i="1"/>
  <c r="R5980" i="1"/>
  <c r="S5980" i="1"/>
  <c r="T5980" i="1"/>
  <c r="U5980" i="1"/>
  <c r="V5980" i="1"/>
  <c r="W5980" i="1"/>
  <c r="X5980" i="1"/>
  <c r="Y5980" i="1"/>
  <c r="Z5980" i="1"/>
  <c r="A5981" i="1"/>
  <c r="B5981" i="1"/>
  <c r="C5981" i="1"/>
  <c r="D5981" i="1"/>
  <c r="E5981" i="1"/>
  <c r="F5981" i="1"/>
  <c r="G5981" i="1"/>
  <c r="I5981" i="1"/>
  <c r="J5981" i="1"/>
  <c r="K5981" i="1"/>
  <c r="L5981" i="1"/>
  <c r="M5981" i="1"/>
  <c r="N5981" i="1"/>
  <c r="O5981" i="1"/>
  <c r="P5981" i="1"/>
  <c r="Q5981" i="1"/>
  <c r="R5981" i="1"/>
  <c r="S5981" i="1"/>
  <c r="T5981" i="1"/>
  <c r="U5981" i="1"/>
  <c r="V5981" i="1"/>
  <c r="W5981" i="1"/>
  <c r="X5981" i="1"/>
  <c r="Y5981" i="1"/>
  <c r="Z5981" i="1"/>
  <c r="A5982" i="1"/>
  <c r="B5982" i="1"/>
  <c r="C5982" i="1"/>
  <c r="D5982" i="1"/>
  <c r="E5982" i="1"/>
  <c r="F5982" i="1"/>
  <c r="G5982" i="1"/>
  <c r="I5982" i="1"/>
  <c r="J5982" i="1"/>
  <c r="K5982" i="1"/>
  <c r="L5982" i="1"/>
  <c r="M5982" i="1"/>
  <c r="N5982" i="1"/>
  <c r="O5982" i="1"/>
  <c r="P5982" i="1"/>
  <c r="Q5982" i="1"/>
  <c r="R5982" i="1"/>
  <c r="S5982" i="1"/>
  <c r="T5982" i="1"/>
  <c r="U5982" i="1"/>
  <c r="V5982" i="1"/>
  <c r="W5982" i="1"/>
  <c r="X5982" i="1"/>
  <c r="Y5982" i="1"/>
  <c r="Z5982" i="1"/>
  <c r="A5983" i="1"/>
  <c r="B5983" i="1"/>
  <c r="C5983" i="1"/>
  <c r="D5983" i="1"/>
  <c r="E5983" i="1"/>
  <c r="F5983" i="1"/>
  <c r="G5983" i="1"/>
  <c r="I5983" i="1"/>
  <c r="J5983" i="1"/>
  <c r="K5983" i="1"/>
  <c r="L5983" i="1"/>
  <c r="M5983" i="1"/>
  <c r="N5983" i="1"/>
  <c r="O5983" i="1"/>
  <c r="P5983" i="1"/>
  <c r="Q5983" i="1"/>
  <c r="R5983" i="1"/>
  <c r="S5983" i="1"/>
  <c r="T5983" i="1"/>
  <c r="U5983" i="1"/>
  <c r="V5983" i="1"/>
  <c r="W5983" i="1"/>
  <c r="X5983" i="1"/>
  <c r="Y5983" i="1"/>
  <c r="Z5983" i="1"/>
  <c r="A5984" i="1"/>
  <c r="B5984" i="1"/>
  <c r="C5984" i="1"/>
  <c r="D5984" i="1"/>
  <c r="E5984" i="1"/>
  <c r="F5984" i="1"/>
  <c r="G5984" i="1"/>
  <c r="I5984" i="1"/>
  <c r="J5984" i="1"/>
  <c r="K5984" i="1"/>
  <c r="L5984" i="1"/>
  <c r="M5984" i="1"/>
  <c r="N5984" i="1"/>
  <c r="O5984" i="1"/>
  <c r="P5984" i="1"/>
  <c r="Q5984" i="1"/>
  <c r="R5984" i="1"/>
  <c r="S5984" i="1"/>
  <c r="T5984" i="1"/>
  <c r="U5984" i="1"/>
  <c r="V5984" i="1"/>
  <c r="W5984" i="1"/>
  <c r="X5984" i="1"/>
  <c r="Y5984" i="1"/>
  <c r="Z5984" i="1"/>
  <c r="A5985" i="1"/>
  <c r="B5985" i="1"/>
  <c r="C5985" i="1"/>
  <c r="D5985" i="1"/>
  <c r="E5985" i="1"/>
  <c r="F5985" i="1"/>
  <c r="G5985" i="1"/>
  <c r="I5985" i="1"/>
  <c r="J5985" i="1"/>
  <c r="K5985" i="1"/>
  <c r="L5985" i="1"/>
  <c r="M5985" i="1"/>
  <c r="N5985" i="1"/>
  <c r="O5985" i="1"/>
  <c r="P5985" i="1"/>
  <c r="Q5985" i="1"/>
  <c r="R5985" i="1"/>
  <c r="S5985" i="1"/>
  <c r="T5985" i="1"/>
  <c r="U5985" i="1"/>
  <c r="V5985" i="1"/>
  <c r="W5985" i="1"/>
  <c r="X5985" i="1"/>
  <c r="Y5985" i="1"/>
  <c r="Z5985" i="1"/>
  <c r="A5986" i="1"/>
  <c r="B5986" i="1"/>
  <c r="C5986" i="1"/>
  <c r="D5986" i="1"/>
  <c r="E5986" i="1"/>
  <c r="F5986" i="1"/>
  <c r="G5986" i="1"/>
  <c r="I5986" i="1"/>
  <c r="J5986" i="1"/>
  <c r="K5986" i="1"/>
  <c r="L5986" i="1"/>
  <c r="M5986" i="1"/>
  <c r="N5986" i="1"/>
  <c r="O5986" i="1"/>
  <c r="P5986" i="1"/>
  <c r="Q5986" i="1"/>
  <c r="R5986" i="1"/>
  <c r="S5986" i="1"/>
  <c r="T5986" i="1"/>
  <c r="U5986" i="1"/>
  <c r="V5986" i="1"/>
  <c r="W5986" i="1"/>
  <c r="X5986" i="1"/>
  <c r="Y5986" i="1"/>
  <c r="Z5986" i="1"/>
  <c r="A5987" i="1"/>
  <c r="B5987" i="1"/>
  <c r="C5987" i="1"/>
  <c r="D5987" i="1"/>
  <c r="E5987" i="1"/>
  <c r="F5987" i="1"/>
  <c r="G5987" i="1"/>
  <c r="I5987" i="1"/>
  <c r="J5987" i="1"/>
  <c r="K5987" i="1"/>
  <c r="L5987" i="1"/>
  <c r="M5987" i="1"/>
  <c r="N5987" i="1"/>
  <c r="O5987" i="1"/>
  <c r="P5987" i="1"/>
  <c r="Q5987" i="1"/>
  <c r="R5987" i="1"/>
  <c r="S5987" i="1"/>
  <c r="T5987" i="1"/>
  <c r="U5987" i="1"/>
  <c r="V5987" i="1"/>
  <c r="W5987" i="1"/>
  <c r="X5987" i="1"/>
  <c r="Y5987" i="1"/>
  <c r="Z5987" i="1"/>
  <c r="A5988" i="1"/>
  <c r="B5988" i="1"/>
  <c r="C5988" i="1"/>
  <c r="D5988" i="1"/>
  <c r="E5988" i="1"/>
  <c r="F5988" i="1"/>
  <c r="G5988" i="1"/>
  <c r="I5988" i="1"/>
  <c r="J5988" i="1"/>
  <c r="K5988" i="1"/>
  <c r="L5988" i="1"/>
  <c r="M5988" i="1"/>
  <c r="N5988" i="1"/>
  <c r="O5988" i="1"/>
  <c r="P5988" i="1"/>
  <c r="Q5988" i="1"/>
  <c r="R5988" i="1"/>
  <c r="S5988" i="1"/>
  <c r="T5988" i="1"/>
  <c r="U5988" i="1"/>
  <c r="V5988" i="1"/>
  <c r="W5988" i="1"/>
  <c r="X5988" i="1"/>
  <c r="Y5988" i="1"/>
  <c r="Z5988" i="1"/>
  <c r="A5989" i="1"/>
  <c r="B5989" i="1"/>
  <c r="C5989" i="1"/>
  <c r="D5989" i="1"/>
  <c r="E5989" i="1"/>
  <c r="F5989" i="1"/>
  <c r="G5989" i="1"/>
  <c r="I5989" i="1"/>
  <c r="J5989" i="1"/>
  <c r="K5989" i="1"/>
  <c r="L5989" i="1"/>
  <c r="M5989" i="1"/>
  <c r="N5989" i="1"/>
  <c r="O5989" i="1"/>
  <c r="P5989" i="1"/>
  <c r="Q5989" i="1"/>
  <c r="R5989" i="1"/>
  <c r="S5989" i="1"/>
  <c r="T5989" i="1"/>
  <c r="U5989" i="1"/>
  <c r="V5989" i="1"/>
  <c r="W5989" i="1"/>
  <c r="X5989" i="1"/>
  <c r="Y5989" i="1"/>
  <c r="Z5989" i="1"/>
  <c r="A5990" i="1"/>
  <c r="B5990" i="1"/>
  <c r="C5990" i="1"/>
  <c r="D5990" i="1"/>
  <c r="E5990" i="1"/>
  <c r="F5990" i="1"/>
  <c r="G5990" i="1"/>
  <c r="I5990" i="1"/>
  <c r="J5990" i="1"/>
  <c r="K5990" i="1"/>
  <c r="L5990" i="1"/>
  <c r="M5990" i="1"/>
  <c r="N5990" i="1"/>
  <c r="O5990" i="1"/>
  <c r="P5990" i="1"/>
  <c r="Q5990" i="1"/>
  <c r="R5990" i="1"/>
  <c r="S5990" i="1"/>
  <c r="T5990" i="1"/>
  <c r="U5990" i="1"/>
  <c r="V5990" i="1"/>
  <c r="W5990" i="1"/>
  <c r="X5990" i="1"/>
  <c r="Y5990" i="1"/>
  <c r="Z5990" i="1"/>
  <c r="A5991" i="1"/>
  <c r="B5991" i="1"/>
  <c r="C5991" i="1"/>
  <c r="D5991" i="1"/>
  <c r="E5991" i="1"/>
  <c r="F5991" i="1"/>
  <c r="G5991" i="1"/>
  <c r="I5991" i="1"/>
  <c r="J5991" i="1"/>
  <c r="K5991" i="1"/>
  <c r="L5991" i="1"/>
  <c r="M5991" i="1"/>
  <c r="N5991" i="1"/>
  <c r="O5991" i="1"/>
  <c r="P5991" i="1"/>
  <c r="Q5991" i="1"/>
  <c r="R5991" i="1"/>
  <c r="S5991" i="1"/>
  <c r="T5991" i="1"/>
  <c r="U5991" i="1"/>
  <c r="V5991" i="1"/>
  <c r="W5991" i="1"/>
  <c r="X5991" i="1"/>
  <c r="Y5991" i="1"/>
  <c r="Z5991" i="1"/>
  <c r="A5992" i="1"/>
  <c r="B5992" i="1"/>
  <c r="C5992" i="1"/>
  <c r="D5992" i="1"/>
  <c r="E5992" i="1"/>
  <c r="F5992" i="1"/>
  <c r="G5992" i="1"/>
  <c r="I5992" i="1"/>
  <c r="J5992" i="1"/>
  <c r="K5992" i="1"/>
  <c r="L5992" i="1"/>
  <c r="M5992" i="1"/>
  <c r="N5992" i="1"/>
  <c r="O5992" i="1"/>
  <c r="P5992" i="1"/>
  <c r="Q5992" i="1"/>
  <c r="R5992" i="1"/>
  <c r="S5992" i="1"/>
  <c r="T5992" i="1"/>
  <c r="U5992" i="1"/>
  <c r="V5992" i="1"/>
  <c r="W5992" i="1"/>
  <c r="X5992" i="1"/>
  <c r="Y5992" i="1"/>
  <c r="Z5992" i="1"/>
  <c r="A5993" i="1"/>
  <c r="B5993" i="1"/>
  <c r="C5993" i="1"/>
  <c r="D5993" i="1"/>
  <c r="E5993" i="1"/>
  <c r="F5993" i="1"/>
  <c r="G5993" i="1"/>
  <c r="I5993" i="1"/>
  <c r="J5993" i="1"/>
  <c r="K5993" i="1"/>
  <c r="L5993" i="1"/>
  <c r="M5993" i="1"/>
  <c r="N5993" i="1"/>
  <c r="O5993" i="1"/>
  <c r="P5993" i="1"/>
  <c r="Q5993" i="1"/>
  <c r="R5993" i="1"/>
  <c r="S5993" i="1"/>
  <c r="T5993" i="1"/>
  <c r="U5993" i="1"/>
  <c r="V5993" i="1"/>
  <c r="W5993" i="1"/>
  <c r="X5993" i="1"/>
  <c r="Y5993" i="1"/>
  <c r="Z5993" i="1"/>
  <c r="A5994" i="1"/>
  <c r="B5994" i="1"/>
  <c r="C5994" i="1"/>
  <c r="D5994" i="1"/>
  <c r="E5994" i="1"/>
  <c r="F5994" i="1"/>
  <c r="G5994" i="1"/>
  <c r="I5994" i="1"/>
  <c r="J5994" i="1"/>
  <c r="K5994" i="1"/>
  <c r="L5994" i="1"/>
  <c r="M5994" i="1"/>
  <c r="N5994" i="1"/>
  <c r="O5994" i="1"/>
  <c r="P5994" i="1"/>
  <c r="Q5994" i="1"/>
  <c r="R5994" i="1"/>
  <c r="S5994" i="1"/>
  <c r="T5994" i="1"/>
  <c r="U5994" i="1"/>
  <c r="V5994" i="1"/>
  <c r="W5994" i="1"/>
  <c r="X5994" i="1"/>
  <c r="Y5994" i="1"/>
  <c r="Z5994" i="1"/>
  <c r="A5995" i="1"/>
  <c r="B5995" i="1"/>
  <c r="C5995" i="1"/>
  <c r="D5995" i="1"/>
  <c r="E5995" i="1"/>
  <c r="F5995" i="1"/>
  <c r="G5995" i="1"/>
  <c r="I5995" i="1"/>
  <c r="J5995" i="1"/>
  <c r="K5995" i="1"/>
  <c r="L5995" i="1"/>
  <c r="M5995" i="1"/>
  <c r="N5995" i="1"/>
  <c r="O5995" i="1"/>
  <c r="P5995" i="1"/>
  <c r="Q5995" i="1"/>
  <c r="R5995" i="1"/>
  <c r="S5995" i="1"/>
  <c r="T5995" i="1"/>
  <c r="U5995" i="1"/>
  <c r="V5995" i="1"/>
  <c r="W5995" i="1"/>
  <c r="X5995" i="1"/>
  <c r="Y5995" i="1"/>
  <c r="Z5995" i="1"/>
  <c r="A5996" i="1"/>
  <c r="B5996" i="1"/>
  <c r="C5996" i="1"/>
  <c r="D5996" i="1"/>
  <c r="E5996" i="1"/>
  <c r="F5996" i="1"/>
  <c r="G5996" i="1"/>
  <c r="I5996" i="1"/>
  <c r="J5996" i="1"/>
  <c r="K5996" i="1"/>
  <c r="L5996" i="1"/>
  <c r="M5996" i="1"/>
  <c r="N5996" i="1"/>
  <c r="O5996" i="1"/>
  <c r="P5996" i="1"/>
  <c r="Q5996" i="1"/>
  <c r="R5996" i="1"/>
  <c r="S5996" i="1"/>
  <c r="T5996" i="1"/>
  <c r="U5996" i="1"/>
  <c r="V5996" i="1"/>
  <c r="W5996" i="1"/>
  <c r="X5996" i="1"/>
  <c r="Y5996" i="1"/>
  <c r="Z5996" i="1"/>
  <c r="A5997" i="1"/>
  <c r="B5997" i="1"/>
  <c r="C5997" i="1"/>
  <c r="D5997" i="1"/>
  <c r="E5997" i="1"/>
  <c r="F5997" i="1"/>
  <c r="G5997" i="1"/>
  <c r="I5997" i="1"/>
  <c r="J5997" i="1"/>
  <c r="K5997" i="1"/>
  <c r="L5997" i="1"/>
  <c r="M5997" i="1"/>
  <c r="N5997" i="1"/>
  <c r="O5997" i="1"/>
  <c r="P5997" i="1"/>
  <c r="Q5997" i="1"/>
  <c r="R5997" i="1"/>
  <c r="S5997" i="1"/>
  <c r="T5997" i="1"/>
  <c r="U5997" i="1"/>
  <c r="V5997" i="1"/>
  <c r="W5997" i="1"/>
  <c r="X5997" i="1"/>
  <c r="Y5997" i="1"/>
  <c r="Z5997" i="1"/>
  <c r="A5998" i="1"/>
  <c r="B5998" i="1"/>
  <c r="C5998" i="1"/>
  <c r="D5998" i="1"/>
  <c r="E5998" i="1"/>
  <c r="F5998" i="1"/>
  <c r="G5998" i="1"/>
  <c r="I5998" i="1"/>
  <c r="J5998" i="1"/>
  <c r="K5998" i="1"/>
  <c r="L5998" i="1"/>
  <c r="M5998" i="1"/>
  <c r="N5998" i="1"/>
  <c r="O5998" i="1"/>
  <c r="P5998" i="1"/>
  <c r="Q5998" i="1"/>
  <c r="R5998" i="1"/>
  <c r="S5998" i="1"/>
  <c r="T5998" i="1"/>
  <c r="U5998" i="1"/>
  <c r="V5998" i="1"/>
  <c r="W5998" i="1"/>
  <c r="X5998" i="1"/>
  <c r="Y5998" i="1"/>
  <c r="Z5998" i="1"/>
  <c r="A5999" i="1"/>
  <c r="B5999" i="1"/>
  <c r="C5999" i="1"/>
  <c r="D5999" i="1"/>
  <c r="E5999" i="1"/>
  <c r="F5999" i="1"/>
  <c r="G5999" i="1"/>
  <c r="I5999" i="1"/>
  <c r="J5999" i="1"/>
  <c r="K5999" i="1"/>
  <c r="L5999" i="1"/>
  <c r="M5999" i="1"/>
  <c r="N5999" i="1"/>
  <c r="O5999" i="1"/>
  <c r="P5999" i="1"/>
  <c r="Q5999" i="1"/>
  <c r="R5999" i="1"/>
  <c r="S5999" i="1"/>
  <c r="T5999" i="1"/>
  <c r="U5999" i="1"/>
  <c r="V5999" i="1"/>
  <c r="W5999" i="1"/>
  <c r="X5999" i="1"/>
  <c r="Y5999" i="1"/>
  <c r="Z5999" i="1"/>
  <c r="A6000" i="1"/>
  <c r="B6000" i="1"/>
  <c r="C6000" i="1"/>
  <c r="D6000" i="1"/>
  <c r="E6000" i="1"/>
  <c r="F6000" i="1"/>
  <c r="G6000" i="1"/>
  <c r="I6000" i="1"/>
  <c r="J6000" i="1"/>
  <c r="K6000" i="1"/>
  <c r="L6000" i="1"/>
  <c r="M6000" i="1"/>
  <c r="N6000" i="1"/>
  <c r="O6000" i="1"/>
  <c r="P6000" i="1"/>
  <c r="Q6000" i="1"/>
  <c r="R6000" i="1"/>
  <c r="S6000" i="1"/>
  <c r="T6000" i="1"/>
  <c r="U6000" i="1"/>
  <c r="V6000" i="1"/>
  <c r="W6000" i="1"/>
  <c r="X6000" i="1"/>
  <c r="Y6000" i="1"/>
  <c r="Z6000" i="1"/>
  <c r="A6001" i="1"/>
  <c r="B6001" i="1"/>
  <c r="C6001" i="1"/>
  <c r="D6001" i="1"/>
  <c r="E6001" i="1"/>
  <c r="F6001" i="1"/>
  <c r="G6001" i="1"/>
  <c r="I6001" i="1"/>
  <c r="J6001" i="1"/>
  <c r="K6001" i="1"/>
  <c r="L6001" i="1"/>
  <c r="M6001" i="1"/>
  <c r="N6001" i="1"/>
  <c r="O6001" i="1"/>
  <c r="P6001" i="1"/>
  <c r="Q6001" i="1"/>
  <c r="R6001" i="1"/>
  <c r="S6001" i="1"/>
  <c r="T6001" i="1"/>
  <c r="U6001" i="1"/>
  <c r="V6001" i="1"/>
  <c r="W6001" i="1"/>
  <c r="X6001" i="1"/>
  <c r="Y6001" i="1"/>
  <c r="Z6001" i="1"/>
  <c r="A6002" i="1"/>
  <c r="B6002" i="1"/>
  <c r="C6002" i="1"/>
  <c r="D6002" i="1"/>
  <c r="E6002" i="1"/>
  <c r="F6002" i="1"/>
  <c r="G6002" i="1"/>
  <c r="I6002" i="1"/>
  <c r="J6002" i="1"/>
  <c r="K6002" i="1"/>
  <c r="L6002" i="1"/>
  <c r="M6002" i="1"/>
  <c r="N6002" i="1"/>
  <c r="O6002" i="1"/>
  <c r="P6002" i="1"/>
  <c r="Q6002" i="1"/>
  <c r="R6002" i="1"/>
  <c r="S6002" i="1"/>
  <c r="T6002" i="1"/>
  <c r="U6002" i="1"/>
  <c r="V6002" i="1"/>
  <c r="W6002" i="1"/>
  <c r="X6002" i="1"/>
  <c r="Y6002" i="1"/>
  <c r="Z6002" i="1"/>
  <c r="A6003" i="1"/>
  <c r="B6003" i="1"/>
  <c r="C6003" i="1"/>
  <c r="D6003" i="1"/>
  <c r="E6003" i="1"/>
  <c r="F6003" i="1"/>
  <c r="G6003" i="1"/>
  <c r="I6003" i="1"/>
  <c r="J6003" i="1"/>
  <c r="K6003" i="1"/>
  <c r="L6003" i="1"/>
  <c r="M6003" i="1"/>
  <c r="N6003" i="1"/>
  <c r="O6003" i="1"/>
  <c r="P6003" i="1"/>
  <c r="Q6003" i="1"/>
  <c r="R6003" i="1"/>
  <c r="S6003" i="1"/>
  <c r="T6003" i="1"/>
  <c r="U6003" i="1"/>
  <c r="V6003" i="1"/>
  <c r="W6003" i="1"/>
  <c r="X6003" i="1"/>
  <c r="Y6003" i="1"/>
  <c r="Z6003" i="1"/>
  <c r="A6004" i="1"/>
  <c r="B6004" i="1"/>
  <c r="C6004" i="1"/>
  <c r="D6004" i="1"/>
  <c r="E6004" i="1"/>
  <c r="F6004" i="1"/>
  <c r="G6004" i="1"/>
  <c r="I6004" i="1"/>
  <c r="J6004" i="1"/>
  <c r="K6004" i="1"/>
  <c r="L6004" i="1"/>
  <c r="M6004" i="1"/>
  <c r="N6004" i="1"/>
  <c r="O6004" i="1"/>
  <c r="P6004" i="1"/>
  <c r="Q6004" i="1"/>
  <c r="R6004" i="1"/>
  <c r="S6004" i="1"/>
  <c r="T6004" i="1"/>
  <c r="U6004" i="1"/>
  <c r="V6004" i="1"/>
  <c r="W6004" i="1"/>
  <c r="X6004" i="1"/>
  <c r="Y6004" i="1"/>
  <c r="Z6004" i="1"/>
  <c r="A6005" i="1"/>
  <c r="B6005" i="1"/>
  <c r="C6005" i="1"/>
  <c r="D6005" i="1"/>
  <c r="E6005" i="1"/>
  <c r="F6005" i="1"/>
  <c r="G6005" i="1"/>
  <c r="I6005" i="1"/>
  <c r="J6005" i="1"/>
  <c r="K6005" i="1"/>
  <c r="L6005" i="1"/>
  <c r="M6005" i="1"/>
  <c r="N6005" i="1"/>
  <c r="O6005" i="1"/>
  <c r="P6005" i="1"/>
  <c r="Q6005" i="1"/>
  <c r="R6005" i="1"/>
  <c r="S6005" i="1"/>
  <c r="T6005" i="1"/>
  <c r="U6005" i="1"/>
  <c r="V6005" i="1"/>
  <c r="W6005" i="1"/>
  <c r="X6005" i="1"/>
  <c r="Y6005" i="1"/>
  <c r="Z6005" i="1"/>
  <c r="A6006" i="1"/>
  <c r="B6006" i="1"/>
  <c r="C6006" i="1"/>
  <c r="D6006" i="1"/>
  <c r="E6006" i="1"/>
  <c r="F6006" i="1"/>
  <c r="G6006" i="1"/>
  <c r="I6006" i="1"/>
  <c r="J6006" i="1"/>
  <c r="K6006" i="1"/>
  <c r="L6006" i="1"/>
  <c r="M6006" i="1"/>
  <c r="N6006" i="1"/>
  <c r="O6006" i="1"/>
  <c r="P6006" i="1"/>
  <c r="Q6006" i="1"/>
  <c r="R6006" i="1"/>
  <c r="S6006" i="1"/>
  <c r="T6006" i="1"/>
  <c r="U6006" i="1"/>
  <c r="V6006" i="1"/>
  <c r="W6006" i="1"/>
  <c r="X6006" i="1"/>
  <c r="Y6006" i="1"/>
  <c r="Z6006" i="1"/>
  <c r="A6007" i="1"/>
  <c r="B6007" i="1"/>
  <c r="C6007" i="1"/>
  <c r="D6007" i="1"/>
  <c r="E6007" i="1"/>
  <c r="F6007" i="1"/>
  <c r="G6007" i="1"/>
  <c r="I6007" i="1"/>
  <c r="J6007" i="1"/>
  <c r="K6007" i="1"/>
  <c r="L6007" i="1"/>
  <c r="M6007" i="1"/>
  <c r="N6007" i="1"/>
  <c r="O6007" i="1"/>
  <c r="P6007" i="1"/>
  <c r="Q6007" i="1"/>
  <c r="R6007" i="1"/>
  <c r="S6007" i="1"/>
  <c r="T6007" i="1"/>
  <c r="U6007" i="1"/>
  <c r="V6007" i="1"/>
  <c r="W6007" i="1"/>
  <c r="X6007" i="1"/>
  <c r="Y6007" i="1"/>
  <c r="Z6007" i="1"/>
  <c r="A6008" i="1"/>
  <c r="B6008" i="1"/>
  <c r="C6008" i="1"/>
  <c r="D6008" i="1"/>
  <c r="E6008" i="1"/>
  <c r="F6008" i="1"/>
  <c r="G6008" i="1"/>
  <c r="I6008" i="1"/>
  <c r="J6008" i="1"/>
  <c r="K6008" i="1"/>
  <c r="L6008" i="1"/>
  <c r="M6008" i="1"/>
  <c r="N6008" i="1"/>
  <c r="O6008" i="1"/>
  <c r="P6008" i="1"/>
  <c r="Q6008" i="1"/>
  <c r="R6008" i="1"/>
  <c r="S6008" i="1"/>
  <c r="T6008" i="1"/>
  <c r="U6008" i="1"/>
  <c r="V6008" i="1"/>
  <c r="W6008" i="1"/>
  <c r="X6008" i="1"/>
  <c r="Y6008" i="1"/>
  <c r="Z6008" i="1"/>
  <c r="A6009" i="1"/>
  <c r="B6009" i="1"/>
  <c r="C6009" i="1"/>
  <c r="D6009" i="1"/>
  <c r="E6009" i="1"/>
  <c r="F6009" i="1"/>
  <c r="G6009" i="1"/>
  <c r="I6009" i="1"/>
  <c r="J6009" i="1"/>
  <c r="K6009" i="1"/>
  <c r="L6009" i="1"/>
  <c r="M6009" i="1"/>
  <c r="N6009" i="1"/>
  <c r="O6009" i="1"/>
  <c r="P6009" i="1"/>
  <c r="Q6009" i="1"/>
  <c r="R6009" i="1"/>
  <c r="S6009" i="1"/>
  <c r="T6009" i="1"/>
  <c r="U6009" i="1"/>
  <c r="V6009" i="1"/>
  <c r="W6009" i="1"/>
  <c r="X6009" i="1"/>
  <c r="Y6009" i="1"/>
  <c r="Z6009" i="1"/>
  <c r="A6010" i="1"/>
  <c r="B6010" i="1"/>
  <c r="C6010" i="1"/>
  <c r="D6010" i="1"/>
  <c r="E6010" i="1"/>
  <c r="F6010" i="1"/>
  <c r="G6010" i="1"/>
  <c r="I6010" i="1"/>
  <c r="J6010" i="1"/>
  <c r="K6010" i="1"/>
  <c r="L6010" i="1"/>
  <c r="M6010" i="1"/>
  <c r="N6010" i="1"/>
  <c r="O6010" i="1"/>
  <c r="P6010" i="1"/>
  <c r="Q6010" i="1"/>
  <c r="R6010" i="1"/>
  <c r="S6010" i="1"/>
  <c r="T6010" i="1"/>
  <c r="U6010" i="1"/>
  <c r="V6010" i="1"/>
  <c r="W6010" i="1"/>
  <c r="X6010" i="1"/>
  <c r="Y6010" i="1"/>
  <c r="Z6010" i="1"/>
  <c r="A6011" i="1"/>
  <c r="B6011" i="1"/>
  <c r="C6011" i="1"/>
  <c r="D6011" i="1"/>
  <c r="E6011" i="1"/>
  <c r="F6011" i="1"/>
  <c r="G6011" i="1"/>
  <c r="I6011" i="1"/>
  <c r="J6011" i="1"/>
  <c r="K6011" i="1"/>
  <c r="L6011" i="1"/>
  <c r="M6011" i="1"/>
  <c r="N6011" i="1"/>
  <c r="O6011" i="1"/>
  <c r="P6011" i="1"/>
  <c r="Q6011" i="1"/>
  <c r="R6011" i="1"/>
  <c r="S6011" i="1"/>
  <c r="T6011" i="1"/>
  <c r="U6011" i="1"/>
  <c r="V6011" i="1"/>
  <c r="W6011" i="1"/>
  <c r="X6011" i="1"/>
  <c r="Y6011" i="1"/>
  <c r="Z6011" i="1"/>
  <c r="A6012" i="1"/>
  <c r="B6012" i="1"/>
  <c r="C6012" i="1"/>
  <c r="D6012" i="1"/>
  <c r="E6012" i="1"/>
  <c r="F6012" i="1"/>
  <c r="G6012" i="1"/>
  <c r="I6012" i="1"/>
  <c r="J6012" i="1"/>
  <c r="K6012" i="1"/>
  <c r="L6012" i="1"/>
  <c r="M6012" i="1"/>
  <c r="N6012" i="1"/>
  <c r="O6012" i="1"/>
  <c r="P6012" i="1"/>
  <c r="Q6012" i="1"/>
  <c r="R6012" i="1"/>
  <c r="S6012" i="1"/>
  <c r="T6012" i="1"/>
  <c r="U6012" i="1"/>
  <c r="V6012" i="1"/>
  <c r="W6012" i="1"/>
  <c r="X6012" i="1"/>
  <c r="Y6012" i="1"/>
  <c r="Z6012" i="1"/>
  <c r="A6013" i="1"/>
  <c r="B6013" i="1"/>
  <c r="C6013" i="1"/>
  <c r="D6013" i="1"/>
  <c r="E6013" i="1"/>
  <c r="F6013" i="1"/>
  <c r="G6013" i="1"/>
  <c r="I6013" i="1"/>
  <c r="J6013" i="1"/>
  <c r="K6013" i="1"/>
  <c r="L6013" i="1"/>
  <c r="M6013" i="1"/>
  <c r="N6013" i="1"/>
  <c r="O6013" i="1"/>
  <c r="P6013" i="1"/>
  <c r="Q6013" i="1"/>
  <c r="R6013" i="1"/>
  <c r="S6013" i="1"/>
  <c r="T6013" i="1"/>
  <c r="U6013" i="1"/>
  <c r="V6013" i="1"/>
  <c r="W6013" i="1"/>
  <c r="X6013" i="1"/>
  <c r="Y6013" i="1"/>
  <c r="Z6013" i="1"/>
  <c r="A6014" i="1"/>
  <c r="B6014" i="1"/>
  <c r="C6014" i="1"/>
  <c r="D6014" i="1"/>
  <c r="E6014" i="1"/>
  <c r="F6014" i="1"/>
  <c r="G6014" i="1"/>
  <c r="I6014" i="1"/>
  <c r="J6014" i="1"/>
  <c r="K6014" i="1"/>
  <c r="L6014" i="1"/>
  <c r="M6014" i="1"/>
  <c r="N6014" i="1"/>
  <c r="O6014" i="1"/>
  <c r="P6014" i="1"/>
  <c r="Q6014" i="1"/>
  <c r="R6014" i="1"/>
  <c r="S6014" i="1"/>
  <c r="T6014" i="1"/>
  <c r="U6014" i="1"/>
  <c r="V6014" i="1"/>
  <c r="W6014" i="1"/>
  <c r="X6014" i="1"/>
  <c r="Y6014" i="1"/>
  <c r="Z6014" i="1"/>
  <c r="A6015" i="1"/>
  <c r="B6015" i="1"/>
  <c r="C6015" i="1"/>
  <c r="D6015" i="1"/>
  <c r="E6015" i="1"/>
  <c r="F6015" i="1"/>
  <c r="G6015" i="1"/>
  <c r="I6015" i="1"/>
  <c r="J6015" i="1"/>
  <c r="K6015" i="1"/>
  <c r="L6015" i="1"/>
  <c r="M6015" i="1"/>
  <c r="N6015" i="1"/>
  <c r="O6015" i="1"/>
  <c r="P6015" i="1"/>
  <c r="Q6015" i="1"/>
  <c r="R6015" i="1"/>
  <c r="S6015" i="1"/>
  <c r="T6015" i="1"/>
  <c r="U6015" i="1"/>
  <c r="V6015" i="1"/>
  <c r="W6015" i="1"/>
  <c r="X6015" i="1"/>
  <c r="Y6015" i="1"/>
  <c r="Z6015" i="1"/>
  <c r="A6016" i="1"/>
  <c r="B6016" i="1"/>
  <c r="C6016" i="1"/>
  <c r="D6016" i="1"/>
  <c r="E6016" i="1"/>
  <c r="F6016" i="1"/>
  <c r="G6016" i="1"/>
  <c r="I6016" i="1"/>
  <c r="J6016" i="1"/>
  <c r="K6016" i="1"/>
  <c r="L6016" i="1"/>
  <c r="M6016" i="1"/>
  <c r="N6016" i="1"/>
  <c r="O6016" i="1"/>
  <c r="P6016" i="1"/>
  <c r="Q6016" i="1"/>
  <c r="R6016" i="1"/>
  <c r="S6016" i="1"/>
  <c r="T6016" i="1"/>
  <c r="U6016" i="1"/>
  <c r="V6016" i="1"/>
  <c r="W6016" i="1"/>
  <c r="X6016" i="1"/>
  <c r="Y6016" i="1"/>
  <c r="Z6016" i="1"/>
  <c r="A6017" i="1"/>
  <c r="B6017" i="1"/>
  <c r="C6017" i="1"/>
  <c r="D6017" i="1"/>
  <c r="E6017" i="1"/>
  <c r="F6017" i="1"/>
  <c r="G6017" i="1"/>
  <c r="I6017" i="1"/>
  <c r="J6017" i="1"/>
  <c r="K6017" i="1"/>
  <c r="L6017" i="1"/>
  <c r="M6017" i="1"/>
  <c r="N6017" i="1"/>
  <c r="O6017" i="1"/>
  <c r="P6017" i="1"/>
  <c r="Q6017" i="1"/>
  <c r="R6017" i="1"/>
  <c r="S6017" i="1"/>
  <c r="T6017" i="1"/>
  <c r="U6017" i="1"/>
  <c r="V6017" i="1"/>
  <c r="W6017" i="1"/>
  <c r="X6017" i="1"/>
  <c r="Y6017" i="1"/>
  <c r="Z6017" i="1"/>
  <c r="A6018" i="1"/>
  <c r="B6018" i="1"/>
  <c r="C6018" i="1"/>
  <c r="D6018" i="1"/>
  <c r="E6018" i="1"/>
  <c r="F6018" i="1"/>
  <c r="G6018" i="1"/>
  <c r="I6018" i="1"/>
  <c r="J6018" i="1"/>
  <c r="K6018" i="1"/>
  <c r="L6018" i="1"/>
  <c r="M6018" i="1"/>
  <c r="N6018" i="1"/>
  <c r="O6018" i="1"/>
  <c r="P6018" i="1"/>
  <c r="Q6018" i="1"/>
  <c r="R6018" i="1"/>
  <c r="S6018" i="1"/>
  <c r="T6018" i="1"/>
  <c r="U6018" i="1"/>
  <c r="V6018" i="1"/>
  <c r="W6018" i="1"/>
  <c r="X6018" i="1"/>
  <c r="Y6018" i="1"/>
  <c r="Z6018" i="1"/>
  <c r="A6019" i="1"/>
  <c r="B6019" i="1"/>
  <c r="C6019" i="1"/>
  <c r="D6019" i="1"/>
  <c r="E6019" i="1"/>
  <c r="F6019" i="1"/>
  <c r="G6019" i="1"/>
  <c r="I6019" i="1"/>
  <c r="J6019" i="1"/>
  <c r="K6019" i="1"/>
  <c r="L6019" i="1"/>
  <c r="M6019" i="1"/>
  <c r="N6019" i="1"/>
  <c r="O6019" i="1"/>
  <c r="P6019" i="1"/>
  <c r="Q6019" i="1"/>
  <c r="R6019" i="1"/>
  <c r="S6019" i="1"/>
  <c r="T6019" i="1"/>
  <c r="U6019" i="1"/>
  <c r="V6019" i="1"/>
  <c r="W6019" i="1"/>
  <c r="X6019" i="1"/>
  <c r="Y6019" i="1"/>
  <c r="Z6019" i="1"/>
  <c r="A6020" i="1"/>
  <c r="B6020" i="1"/>
  <c r="C6020" i="1"/>
  <c r="D6020" i="1"/>
  <c r="E6020" i="1"/>
  <c r="F6020" i="1"/>
  <c r="G6020" i="1"/>
  <c r="I6020" i="1"/>
  <c r="J6020" i="1"/>
  <c r="K6020" i="1"/>
  <c r="L6020" i="1"/>
  <c r="M6020" i="1"/>
  <c r="N6020" i="1"/>
  <c r="O6020" i="1"/>
  <c r="P6020" i="1"/>
  <c r="Q6020" i="1"/>
  <c r="R6020" i="1"/>
  <c r="S6020" i="1"/>
  <c r="T6020" i="1"/>
  <c r="U6020" i="1"/>
  <c r="V6020" i="1"/>
  <c r="W6020" i="1"/>
  <c r="X6020" i="1"/>
  <c r="Y6020" i="1"/>
  <c r="Z6020" i="1"/>
  <c r="A6021" i="1"/>
  <c r="B6021" i="1"/>
  <c r="C6021" i="1"/>
  <c r="D6021" i="1"/>
  <c r="E6021" i="1"/>
  <c r="F6021" i="1"/>
  <c r="G6021" i="1"/>
  <c r="I6021" i="1"/>
  <c r="J6021" i="1"/>
  <c r="K6021" i="1"/>
  <c r="L6021" i="1"/>
  <c r="M6021" i="1"/>
  <c r="N6021" i="1"/>
  <c r="O6021" i="1"/>
  <c r="P6021" i="1"/>
  <c r="Q6021" i="1"/>
  <c r="R6021" i="1"/>
  <c r="S6021" i="1"/>
  <c r="T6021" i="1"/>
  <c r="U6021" i="1"/>
  <c r="V6021" i="1"/>
  <c r="W6021" i="1"/>
  <c r="X6021" i="1"/>
  <c r="Y6021" i="1"/>
  <c r="Z6021" i="1"/>
  <c r="A6022" i="1"/>
  <c r="B6022" i="1"/>
  <c r="C6022" i="1"/>
  <c r="D6022" i="1"/>
  <c r="E6022" i="1"/>
  <c r="F6022" i="1"/>
  <c r="G6022" i="1"/>
  <c r="I6022" i="1"/>
  <c r="J6022" i="1"/>
  <c r="K6022" i="1"/>
  <c r="L6022" i="1"/>
  <c r="M6022" i="1"/>
  <c r="N6022" i="1"/>
  <c r="O6022" i="1"/>
  <c r="P6022" i="1"/>
  <c r="Q6022" i="1"/>
  <c r="R6022" i="1"/>
  <c r="S6022" i="1"/>
  <c r="T6022" i="1"/>
  <c r="U6022" i="1"/>
  <c r="V6022" i="1"/>
  <c r="W6022" i="1"/>
  <c r="X6022" i="1"/>
  <c r="Y6022" i="1"/>
  <c r="Z6022" i="1"/>
  <c r="A6023" i="1"/>
  <c r="B6023" i="1"/>
  <c r="C6023" i="1"/>
  <c r="D6023" i="1"/>
  <c r="E6023" i="1"/>
  <c r="F6023" i="1"/>
  <c r="G6023" i="1"/>
  <c r="I6023" i="1"/>
  <c r="J6023" i="1"/>
  <c r="K6023" i="1"/>
  <c r="L6023" i="1"/>
  <c r="M6023" i="1"/>
  <c r="N6023" i="1"/>
  <c r="O6023" i="1"/>
  <c r="P6023" i="1"/>
  <c r="Q6023" i="1"/>
  <c r="R6023" i="1"/>
  <c r="S6023" i="1"/>
  <c r="T6023" i="1"/>
  <c r="U6023" i="1"/>
  <c r="V6023" i="1"/>
  <c r="W6023" i="1"/>
  <c r="X6023" i="1"/>
  <c r="Y6023" i="1"/>
  <c r="Z6023" i="1"/>
  <c r="A6024" i="1"/>
  <c r="B6024" i="1"/>
  <c r="C6024" i="1"/>
  <c r="D6024" i="1"/>
  <c r="E6024" i="1"/>
  <c r="F6024" i="1"/>
  <c r="G6024" i="1"/>
  <c r="I6024" i="1"/>
  <c r="J6024" i="1"/>
  <c r="K6024" i="1"/>
  <c r="L6024" i="1"/>
  <c r="M6024" i="1"/>
  <c r="N6024" i="1"/>
  <c r="O6024" i="1"/>
  <c r="P6024" i="1"/>
  <c r="Q6024" i="1"/>
  <c r="R6024" i="1"/>
  <c r="S6024" i="1"/>
  <c r="T6024" i="1"/>
  <c r="U6024" i="1"/>
  <c r="V6024" i="1"/>
  <c r="W6024" i="1"/>
  <c r="X6024" i="1"/>
  <c r="Y6024" i="1"/>
  <c r="Z6024" i="1"/>
  <c r="A6025" i="1"/>
  <c r="B6025" i="1"/>
  <c r="C6025" i="1"/>
  <c r="D6025" i="1"/>
  <c r="E6025" i="1"/>
  <c r="F6025" i="1"/>
  <c r="G6025" i="1"/>
  <c r="I6025" i="1"/>
  <c r="J6025" i="1"/>
  <c r="K6025" i="1"/>
  <c r="L6025" i="1"/>
  <c r="M6025" i="1"/>
  <c r="N6025" i="1"/>
  <c r="O6025" i="1"/>
  <c r="P6025" i="1"/>
  <c r="Q6025" i="1"/>
  <c r="R6025" i="1"/>
  <c r="S6025" i="1"/>
  <c r="T6025" i="1"/>
  <c r="U6025" i="1"/>
  <c r="V6025" i="1"/>
  <c r="W6025" i="1"/>
  <c r="X6025" i="1"/>
  <c r="Y6025" i="1"/>
  <c r="Z6025" i="1"/>
  <c r="A6026" i="1"/>
  <c r="B6026" i="1"/>
  <c r="C6026" i="1"/>
  <c r="D6026" i="1"/>
  <c r="E6026" i="1"/>
  <c r="F6026" i="1"/>
  <c r="G6026" i="1"/>
  <c r="I6026" i="1"/>
  <c r="J6026" i="1"/>
  <c r="K6026" i="1"/>
  <c r="L6026" i="1"/>
  <c r="M6026" i="1"/>
  <c r="N6026" i="1"/>
  <c r="O6026" i="1"/>
  <c r="P6026" i="1"/>
  <c r="Q6026" i="1"/>
  <c r="R6026" i="1"/>
  <c r="S6026" i="1"/>
  <c r="T6026" i="1"/>
  <c r="U6026" i="1"/>
  <c r="V6026" i="1"/>
  <c r="W6026" i="1"/>
  <c r="X6026" i="1"/>
  <c r="Y6026" i="1"/>
  <c r="Z6026" i="1"/>
  <c r="A6027" i="1"/>
  <c r="B6027" i="1"/>
  <c r="C6027" i="1"/>
  <c r="D6027" i="1"/>
  <c r="E6027" i="1"/>
  <c r="F6027" i="1"/>
  <c r="G6027" i="1"/>
  <c r="I6027" i="1"/>
  <c r="J6027" i="1"/>
  <c r="K6027" i="1"/>
  <c r="L6027" i="1"/>
  <c r="M6027" i="1"/>
  <c r="N6027" i="1"/>
  <c r="O6027" i="1"/>
  <c r="P6027" i="1"/>
  <c r="Q6027" i="1"/>
  <c r="R6027" i="1"/>
  <c r="S6027" i="1"/>
  <c r="T6027" i="1"/>
  <c r="U6027" i="1"/>
  <c r="V6027" i="1"/>
  <c r="W6027" i="1"/>
  <c r="X6027" i="1"/>
  <c r="Y6027" i="1"/>
  <c r="Z6027" i="1"/>
  <c r="A6028" i="1"/>
  <c r="B6028" i="1"/>
  <c r="C6028" i="1"/>
  <c r="D6028" i="1"/>
  <c r="E6028" i="1"/>
  <c r="F6028" i="1"/>
  <c r="G6028" i="1"/>
  <c r="I6028" i="1"/>
  <c r="J6028" i="1"/>
  <c r="K6028" i="1"/>
  <c r="L6028" i="1"/>
  <c r="M6028" i="1"/>
  <c r="N6028" i="1"/>
  <c r="O6028" i="1"/>
  <c r="P6028" i="1"/>
  <c r="Q6028" i="1"/>
  <c r="R6028" i="1"/>
  <c r="S6028" i="1"/>
  <c r="T6028" i="1"/>
  <c r="U6028" i="1"/>
  <c r="V6028" i="1"/>
  <c r="W6028" i="1"/>
  <c r="X6028" i="1"/>
  <c r="Y6028" i="1"/>
  <c r="Z6028" i="1"/>
  <c r="A6029" i="1"/>
  <c r="B6029" i="1"/>
  <c r="C6029" i="1"/>
  <c r="D6029" i="1"/>
  <c r="E6029" i="1"/>
  <c r="F6029" i="1"/>
  <c r="G6029" i="1"/>
  <c r="I6029" i="1"/>
  <c r="J6029" i="1"/>
  <c r="K6029" i="1"/>
  <c r="L6029" i="1"/>
  <c r="M6029" i="1"/>
  <c r="N6029" i="1"/>
  <c r="O6029" i="1"/>
  <c r="P6029" i="1"/>
  <c r="Q6029" i="1"/>
  <c r="R6029" i="1"/>
  <c r="S6029" i="1"/>
  <c r="T6029" i="1"/>
  <c r="U6029" i="1"/>
  <c r="V6029" i="1"/>
  <c r="W6029" i="1"/>
  <c r="X6029" i="1"/>
  <c r="Y6029" i="1"/>
  <c r="Z6029" i="1"/>
  <c r="A6030" i="1"/>
  <c r="B6030" i="1"/>
  <c r="C6030" i="1"/>
  <c r="D6030" i="1"/>
  <c r="E6030" i="1"/>
  <c r="F6030" i="1"/>
  <c r="G6030" i="1"/>
  <c r="I6030" i="1"/>
  <c r="J6030" i="1"/>
  <c r="K6030" i="1"/>
  <c r="L6030" i="1"/>
  <c r="M6030" i="1"/>
  <c r="N6030" i="1"/>
  <c r="O6030" i="1"/>
  <c r="P6030" i="1"/>
  <c r="Q6030" i="1"/>
  <c r="R6030" i="1"/>
  <c r="S6030" i="1"/>
  <c r="T6030" i="1"/>
  <c r="U6030" i="1"/>
  <c r="V6030" i="1"/>
  <c r="W6030" i="1"/>
  <c r="X6030" i="1"/>
  <c r="Y6030" i="1"/>
  <c r="Z6030" i="1"/>
  <c r="A6031" i="1"/>
  <c r="B6031" i="1"/>
  <c r="C6031" i="1"/>
  <c r="D6031" i="1"/>
  <c r="E6031" i="1"/>
  <c r="F6031" i="1"/>
  <c r="G6031" i="1"/>
  <c r="I6031" i="1"/>
  <c r="J6031" i="1"/>
  <c r="K6031" i="1"/>
  <c r="L6031" i="1"/>
  <c r="M6031" i="1"/>
  <c r="N6031" i="1"/>
  <c r="O6031" i="1"/>
  <c r="P6031" i="1"/>
  <c r="Q6031" i="1"/>
  <c r="R6031" i="1"/>
  <c r="S6031" i="1"/>
  <c r="T6031" i="1"/>
  <c r="U6031" i="1"/>
  <c r="V6031" i="1"/>
  <c r="W6031" i="1"/>
  <c r="X6031" i="1"/>
  <c r="Y6031" i="1"/>
  <c r="Z6031" i="1"/>
  <c r="A6032" i="1"/>
  <c r="B6032" i="1"/>
  <c r="C6032" i="1"/>
  <c r="D6032" i="1"/>
  <c r="E6032" i="1"/>
  <c r="F6032" i="1"/>
  <c r="G6032" i="1"/>
  <c r="I6032" i="1"/>
  <c r="J6032" i="1"/>
  <c r="K6032" i="1"/>
  <c r="L6032" i="1"/>
  <c r="M6032" i="1"/>
  <c r="N6032" i="1"/>
  <c r="O6032" i="1"/>
  <c r="P6032" i="1"/>
  <c r="Q6032" i="1"/>
  <c r="R6032" i="1"/>
  <c r="S6032" i="1"/>
  <c r="T6032" i="1"/>
  <c r="U6032" i="1"/>
  <c r="V6032" i="1"/>
  <c r="W6032" i="1"/>
  <c r="X6032" i="1"/>
  <c r="Y6032" i="1"/>
  <c r="Z6032" i="1"/>
  <c r="A6033" i="1"/>
  <c r="B6033" i="1"/>
  <c r="C6033" i="1"/>
  <c r="D6033" i="1"/>
  <c r="E6033" i="1"/>
  <c r="F6033" i="1"/>
  <c r="G6033" i="1"/>
  <c r="I6033" i="1"/>
  <c r="J6033" i="1"/>
  <c r="K6033" i="1"/>
  <c r="L6033" i="1"/>
  <c r="M6033" i="1"/>
  <c r="N6033" i="1"/>
  <c r="O6033" i="1"/>
  <c r="P6033" i="1"/>
  <c r="Q6033" i="1"/>
  <c r="R6033" i="1"/>
  <c r="S6033" i="1"/>
  <c r="T6033" i="1"/>
  <c r="U6033" i="1"/>
  <c r="V6033" i="1"/>
  <c r="W6033" i="1"/>
  <c r="X6033" i="1"/>
  <c r="Y6033" i="1"/>
  <c r="Z6033" i="1"/>
  <c r="A6034" i="1"/>
  <c r="B6034" i="1"/>
  <c r="C6034" i="1"/>
  <c r="D6034" i="1"/>
  <c r="E6034" i="1"/>
  <c r="F6034" i="1"/>
  <c r="G6034" i="1"/>
  <c r="I6034" i="1"/>
  <c r="J6034" i="1"/>
  <c r="K6034" i="1"/>
  <c r="L6034" i="1"/>
  <c r="M6034" i="1"/>
  <c r="N6034" i="1"/>
  <c r="O6034" i="1"/>
  <c r="P6034" i="1"/>
  <c r="Q6034" i="1"/>
  <c r="R6034" i="1"/>
  <c r="S6034" i="1"/>
  <c r="T6034" i="1"/>
  <c r="U6034" i="1"/>
  <c r="V6034" i="1"/>
  <c r="W6034" i="1"/>
  <c r="X6034" i="1"/>
  <c r="Y6034" i="1"/>
  <c r="Z6034" i="1"/>
  <c r="A6035" i="1"/>
  <c r="B6035" i="1"/>
  <c r="C6035" i="1"/>
  <c r="D6035" i="1"/>
  <c r="E6035" i="1"/>
  <c r="F6035" i="1"/>
  <c r="G6035" i="1"/>
  <c r="I6035" i="1"/>
  <c r="J6035" i="1"/>
  <c r="K6035" i="1"/>
  <c r="L6035" i="1"/>
  <c r="M6035" i="1"/>
  <c r="N6035" i="1"/>
  <c r="O6035" i="1"/>
  <c r="P6035" i="1"/>
  <c r="Q6035" i="1"/>
  <c r="R6035" i="1"/>
  <c r="S6035" i="1"/>
  <c r="T6035" i="1"/>
  <c r="U6035" i="1"/>
  <c r="V6035" i="1"/>
  <c r="W6035" i="1"/>
  <c r="X6035" i="1"/>
  <c r="Y6035" i="1"/>
  <c r="Z6035" i="1"/>
  <c r="A6036" i="1"/>
  <c r="B6036" i="1"/>
  <c r="C6036" i="1"/>
  <c r="D6036" i="1"/>
  <c r="E6036" i="1"/>
  <c r="F6036" i="1"/>
  <c r="G6036" i="1"/>
  <c r="I6036" i="1"/>
  <c r="J6036" i="1"/>
  <c r="K6036" i="1"/>
  <c r="L6036" i="1"/>
  <c r="M6036" i="1"/>
  <c r="N6036" i="1"/>
  <c r="O6036" i="1"/>
  <c r="P6036" i="1"/>
  <c r="Q6036" i="1"/>
  <c r="R6036" i="1"/>
  <c r="S6036" i="1"/>
  <c r="T6036" i="1"/>
  <c r="U6036" i="1"/>
  <c r="V6036" i="1"/>
  <c r="W6036" i="1"/>
  <c r="X6036" i="1"/>
  <c r="Y6036" i="1"/>
  <c r="Z6036" i="1"/>
  <c r="A6037" i="1"/>
  <c r="B6037" i="1"/>
  <c r="C6037" i="1"/>
  <c r="D6037" i="1"/>
  <c r="E6037" i="1"/>
  <c r="F6037" i="1"/>
  <c r="G6037" i="1"/>
  <c r="I6037" i="1"/>
  <c r="J6037" i="1"/>
  <c r="K6037" i="1"/>
  <c r="L6037" i="1"/>
  <c r="M6037" i="1"/>
  <c r="N6037" i="1"/>
  <c r="O6037" i="1"/>
  <c r="P6037" i="1"/>
  <c r="Q6037" i="1"/>
  <c r="R6037" i="1"/>
  <c r="S6037" i="1"/>
  <c r="T6037" i="1"/>
  <c r="U6037" i="1"/>
  <c r="V6037" i="1"/>
  <c r="W6037" i="1"/>
  <c r="X6037" i="1"/>
  <c r="Y6037" i="1"/>
  <c r="Z6037" i="1"/>
  <c r="A6038" i="1"/>
  <c r="B6038" i="1"/>
  <c r="C6038" i="1"/>
  <c r="D6038" i="1"/>
  <c r="E6038" i="1"/>
  <c r="F6038" i="1"/>
  <c r="G6038" i="1"/>
  <c r="I6038" i="1"/>
  <c r="J6038" i="1"/>
  <c r="K6038" i="1"/>
  <c r="L6038" i="1"/>
  <c r="M6038" i="1"/>
  <c r="N6038" i="1"/>
  <c r="O6038" i="1"/>
  <c r="P6038" i="1"/>
  <c r="Q6038" i="1"/>
  <c r="R6038" i="1"/>
  <c r="S6038" i="1"/>
  <c r="T6038" i="1"/>
  <c r="U6038" i="1"/>
  <c r="V6038" i="1"/>
  <c r="W6038" i="1"/>
  <c r="X6038" i="1"/>
  <c r="Y6038" i="1"/>
  <c r="Z6038" i="1"/>
  <c r="A6039" i="1"/>
  <c r="B6039" i="1"/>
  <c r="C6039" i="1"/>
  <c r="D6039" i="1"/>
  <c r="E6039" i="1"/>
  <c r="F6039" i="1"/>
  <c r="G6039" i="1"/>
  <c r="I6039" i="1"/>
  <c r="J6039" i="1"/>
  <c r="K6039" i="1"/>
  <c r="L6039" i="1"/>
  <c r="M6039" i="1"/>
  <c r="N6039" i="1"/>
  <c r="O6039" i="1"/>
  <c r="P6039" i="1"/>
  <c r="Q6039" i="1"/>
  <c r="R6039" i="1"/>
  <c r="S6039" i="1"/>
  <c r="T6039" i="1"/>
  <c r="U6039" i="1"/>
  <c r="V6039" i="1"/>
  <c r="W6039" i="1"/>
  <c r="X6039" i="1"/>
  <c r="Y6039" i="1"/>
  <c r="Z6039" i="1"/>
  <c r="A6040" i="1"/>
  <c r="B6040" i="1"/>
  <c r="C6040" i="1"/>
  <c r="D6040" i="1"/>
  <c r="E6040" i="1"/>
  <c r="F6040" i="1"/>
  <c r="G6040" i="1"/>
  <c r="I6040" i="1"/>
  <c r="J6040" i="1"/>
  <c r="K6040" i="1"/>
  <c r="L6040" i="1"/>
  <c r="M6040" i="1"/>
  <c r="N6040" i="1"/>
  <c r="O6040" i="1"/>
  <c r="P6040" i="1"/>
  <c r="Q6040" i="1"/>
  <c r="R6040" i="1"/>
  <c r="S6040" i="1"/>
  <c r="T6040" i="1"/>
  <c r="U6040" i="1"/>
  <c r="V6040" i="1"/>
  <c r="W6040" i="1"/>
  <c r="X6040" i="1"/>
  <c r="Y6040" i="1"/>
  <c r="Z6040" i="1"/>
  <c r="A6041" i="1"/>
  <c r="B6041" i="1"/>
  <c r="C6041" i="1"/>
  <c r="D6041" i="1"/>
  <c r="E6041" i="1"/>
  <c r="F6041" i="1"/>
  <c r="G6041" i="1"/>
  <c r="I6041" i="1"/>
  <c r="J6041" i="1"/>
  <c r="K6041" i="1"/>
  <c r="L6041" i="1"/>
  <c r="M6041" i="1"/>
  <c r="N6041" i="1"/>
  <c r="O6041" i="1"/>
  <c r="P6041" i="1"/>
  <c r="Q6041" i="1"/>
  <c r="R6041" i="1"/>
  <c r="S6041" i="1"/>
  <c r="T6041" i="1"/>
  <c r="U6041" i="1"/>
  <c r="V6041" i="1"/>
  <c r="W6041" i="1"/>
  <c r="X6041" i="1"/>
  <c r="Y6041" i="1"/>
  <c r="Z6041" i="1"/>
  <c r="A6042" i="1"/>
  <c r="B6042" i="1"/>
  <c r="C6042" i="1"/>
  <c r="D6042" i="1"/>
  <c r="E6042" i="1"/>
  <c r="F6042" i="1"/>
  <c r="G6042" i="1"/>
  <c r="I6042" i="1"/>
  <c r="J6042" i="1"/>
  <c r="K6042" i="1"/>
  <c r="L6042" i="1"/>
  <c r="M6042" i="1"/>
  <c r="N6042" i="1"/>
  <c r="O6042" i="1"/>
  <c r="P6042" i="1"/>
  <c r="Q6042" i="1"/>
  <c r="R6042" i="1"/>
  <c r="S6042" i="1"/>
  <c r="T6042" i="1"/>
  <c r="U6042" i="1"/>
  <c r="V6042" i="1"/>
  <c r="W6042" i="1"/>
  <c r="X6042" i="1"/>
  <c r="Y6042" i="1"/>
  <c r="Z6042" i="1"/>
  <c r="A6043" i="1"/>
  <c r="B6043" i="1"/>
  <c r="C6043" i="1"/>
  <c r="D6043" i="1"/>
  <c r="E6043" i="1"/>
  <c r="F6043" i="1"/>
  <c r="G6043" i="1"/>
  <c r="I6043" i="1"/>
  <c r="J6043" i="1"/>
  <c r="K6043" i="1"/>
  <c r="L6043" i="1"/>
  <c r="M6043" i="1"/>
  <c r="N6043" i="1"/>
  <c r="O6043" i="1"/>
  <c r="P6043" i="1"/>
  <c r="Q6043" i="1"/>
  <c r="R6043" i="1"/>
  <c r="S6043" i="1"/>
  <c r="T6043" i="1"/>
  <c r="U6043" i="1"/>
  <c r="V6043" i="1"/>
  <c r="W6043" i="1"/>
  <c r="X6043" i="1"/>
  <c r="Y6043" i="1"/>
  <c r="Z6043" i="1"/>
  <c r="A6044" i="1"/>
  <c r="B6044" i="1"/>
  <c r="C6044" i="1"/>
  <c r="D6044" i="1"/>
  <c r="E6044" i="1"/>
  <c r="F6044" i="1"/>
  <c r="G6044" i="1"/>
  <c r="I6044" i="1"/>
  <c r="J6044" i="1"/>
  <c r="K6044" i="1"/>
  <c r="L6044" i="1"/>
  <c r="M6044" i="1"/>
  <c r="N6044" i="1"/>
  <c r="O6044" i="1"/>
  <c r="P6044" i="1"/>
  <c r="Q6044" i="1"/>
  <c r="R6044" i="1"/>
  <c r="S6044" i="1"/>
  <c r="T6044" i="1"/>
  <c r="U6044" i="1"/>
  <c r="V6044" i="1"/>
  <c r="W6044" i="1"/>
  <c r="X6044" i="1"/>
  <c r="Y6044" i="1"/>
  <c r="Z6044" i="1"/>
  <c r="A6045" i="1"/>
  <c r="B6045" i="1"/>
  <c r="C6045" i="1"/>
  <c r="D6045" i="1"/>
  <c r="E6045" i="1"/>
  <c r="F6045" i="1"/>
  <c r="G6045" i="1"/>
  <c r="I6045" i="1"/>
  <c r="J6045" i="1"/>
  <c r="K6045" i="1"/>
  <c r="L6045" i="1"/>
  <c r="M6045" i="1"/>
  <c r="N6045" i="1"/>
  <c r="O6045" i="1"/>
  <c r="P6045" i="1"/>
  <c r="Q6045" i="1"/>
  <c r="R6045" i="1"/>
  <c r="S6045" i="1"/>
  <c r="T6045" i="1"/>
  <c r="U6045" i="1"/>
  <c r="V6045" i="1"/>
  <c r="W6045" i="1"/>
  <c r="X6045" i="1"/>
  <c r="Y6045" i="1"/>
  <c r="Z6045" i="1"/>
  <c r="A6046" i="1"/>
  <c r="B6046" i="1"/>
  <c r="C6046" i="1"/>
  <c r="D6046" i="1"/>
  <c r="E6046" i="1"/>
  <c r="F6046" i="1"/>
  <c r="G6046" i="1"/>
  <c r="I6046" i="1"/>
  <c r="J6046" i="1"/>
  <c r="K6046" i="1"/>
  <c r="L6046" i="1"/>
  <c r="M6046" i="1"/>
  <c r="N6046" i="1"/>
  <c r="O6046" i="1"/>
  <c r="P6046" i="1"/>
  <c r="Q6046" i="1"/>
  <c r="R6046" i="1"/>
  <c r="S6046" i="1"/>
  <c r="T6046" i="1"/>
  <c r="U6046" i="1"/>
  <c r="V6046" i="1"/>
  <c r="W6046" i="1"/>
  <c r="X6046" i="1"/>
  <c r="Y6046" i="1"/>
  <c r="Z6046" i="1"/>
  <c r="A6047" i="1"/>
  <c r="B6047" i="1"/>
  <c r="C6047" i="1"/>
  <c r="D6047" i="1"/>
  <c r="E6047" i="1"/>
  <c r="F6047" i="1"/>
  <c r="G6047" i="1"/>
  <c r="I6047" i="1"/>
  <c r="J6047" i="1"/>
  <c r="K6047" i="1"/>
  <c r="L6047" i="1"/>
  <c r="M6047" i="1"/>
  <c r="N6047" i="1"/>
  <c r="O6047" i="1"/>
  <c r="P6047" i="1"/>
  <c r="Q6047" i="1"/>
  <c r="R6047" i="1"/>
  <c r="S6047" i="1"/>
  <c r="T6047" i="1"/>
  <c r="U6047" i="1"/>
  <c r="V6047" i="1"/>
  <c r="W6047" i="1"/>
  <c r="X6047" i="1"/>
  <c r="Y6047" i="1"/>
  <c r="Z6047" i="1"/>
  <c r="A6048" i="1"/>
  <c r="B6048" i="1"/>
  <c r="C6048" i="1"/>
  <c r="D6048" i="1"/>
  <c r="E6048" i="1"/>
  <c r="F6048" i="1"/>
  <c r="G6048" i="1"/>
  <c r="I6048" i="1"/>
  <c r="J6048" i="1"/>
  <c r="K6048" i="1"/>
  <c r="L6048" i="1"/>
  <c r="M6048" i="1"/>
  <c r="N6048" i="1"/>
  <c r="O6048" i="1"/>
  <c r="P6048" i="1"/>
  <c r="Q6048" i="1"/>
  <c r="R6048" i="1"/>
  <c r="S6048" i="1"/>
  <c r="T6048" i="1"/>
  <c r="U6048" i="1"/>
  <c r="V6048" i="1"/>
  <c r="W6048" i="1"/>
  <c r="X6048" i="1"/>
  <c r="Y6048" i="1"/>
  <c r="Z6048" i="1"/>
  <c r="A6049" i="1"/>
  <c r="B6049" i="1"/>
  <c r="C6049" i="1"/>
  <c r="D6049" i="1"/>
  <c r="E6049" i="1"/>
  <c r="F6049" i="1"/>
  <c r="G6049" i="1"/>
  <c r="I6049" i="1"/>
  <c r="J6049" i="1"/>
  <c r="K6049" i="1"/>
  <c r="L6049" i="1"/>
  <c r="M6049" i="1"/>
  <c r="N6049" i="1"/>
  <c r="O6049" i="1"/>
  <c r="P6049" i="1"/>
  <c r="Q6049" i="1"/>
  <c r="R6049" i="1"/>
  <c r="S6049" i="1"/>
  <c r="T6049" i="1"/>
  <c r="U6049" i="1"/>
  <c r="V6049" i="1"/>
  <c r="W6049" i="1"/>
  <c r="X6049" i="1"/>
  <c r="Y6049" i="1"/>
  <c r="Z6049" i="1"/>
  <c r="A6050" i="1"/>
  <c r="B6050" i="1"/>
  <c r="C6050" i="1"/>
  <c r="D6050" i="1"/>
  <c r="E6050" i="1"/>
  <c r="F6050" i="1"/>
  <c r="G6050" i="1"/>
  <c r="I6050" i="1"/>
  <c r="J6050" i="1"/>
  <c r="K6050" i="1"/>
  <c r="L6050" i="1"/>
  <c r="M6050" i="1"/>
  <c r="N6050" i="1"/>
  <c r="O6050" i="1"/>
  <c r="P6050" i="1"/>
  <c r="Q6050" i="1"/>
  <c r="R6050" i="1"/>
  <c r="S6050" i="1"/>
  <c r="T6050" i="1"/>
  <c r="U6050" i="1"/>
  <c r="V6050" i="1"/>
  <c r="W6050" i="1"/>
  <c r="X6050" i="1"/>
  <c r="Y6050" i="1"/>
  <c r="Z6050" i="1"/>
  <c r="A6051" i="1"/>
  <c r="B6051" i="1"/>
  <c r="C6051" i="1"/>
  <c r="D6051" i="1"/>
  <c r="E6051" i="1"/>
  <c r="F6051" i="1"/>
  <c r="G6051" i="1"/>
  <c r="I6051" i="1"/>
  <c r="J6051" i="1"/>
  <c r="K6051" i="1"/>
  <c r="L6051" i="1"/>
  <c r="M6051" i="1"/>
  <c r="N6051" i="1"/>
  <c r="O6051" i="1"/>
  <c r="P6051" i="1"/>
  <c r="Q6051" i="1"/>
  <c r="R6051" i="1"/>
  <c r="S6051" i="1"/>
  <c r="T6051" i="1"/>
  <c r="U6051" i="1"/>
  <c r="V6051" i="1"/>
  <c r="W6051" i="1"/>
  <c r="X6051" i="1"/>
  <c r="Y6051" i="1"/>
  <c r="Z6051" i="1"/>
  <c r="A6052" i="1"/>
  <c r="B6052" i="1"/>
  <c r="C6052" i="1"/>
  <c r="D6052" i="1"/>
  <c r="E6052" i="1"/>
  <c r="F6052" i="1"/>
  <c r="G6052" i="1"/>
  <c r="I6052" i="1"/>
  <c r="J6052" i="1"/>
  <c r="K6052" i="1"/>
  <c r="L6052" i="1"/>
  <c r="M6052" i="1"/>
  <c r="N6052" i="1"/>
  <c r="O6052" i="1"/>
  <c r="P6052" i="1"/>
  <c r="Q6052" i="1"/>
  <c r="R6052" i="1"/>
  <c r="S6052" i="1"/>
  <c r="T6052" i="1"/>
  <c r="U6052" i="1"/>
  <c r="V6052" i="1"/>
  <c r="W6052" i="1"/>
  <c r="X6052" i="1"/>
  <c r="Y6052" i="1"/>
  <c r="Z6052" i="1"/>
  <c r="A6053" i="1"/>
  <c r="B6053" i="1"/>
  <c r="C6053" i="1"/>
  <c r="D6053" i="1"/>
  <c r="E6053" i="1"/>
  <c r="F6053" i="1"/>
  <c r="G6053" i="1"/>
  <c r="I6053" i="1"/>
  <c r="J6053" i="1"/>
  <c r="K6053" i="1"/>
  <c r="L6053" i="1"/>
  <c r="M6053" i="1"/>
  <c r="N6053" i="1"/>
  <c r="O6053" i="1"/>
  <c r="P6053" i="1"/>
  <c r="Q6053" i="1"/>
  <c r="R6053" i="1"/>
  <c r="S6053" i="1"/>
  <c r="T6053" i="1"/>
  <c r="U6053" i="1"/>
  <c r="V6053" i="1"/>
  <c r="W6053" i="1"/>
  <c r="X6053" i="1"/>
  <c r="Y6053" i="1"/>
  <c r="Z6053" i="1"/>
  <c r="A6054" i="1"/>
  <c r="B6054" i="1"/>
  <c r="C6054" i="1"/>
  <c r="D6054" i="1"/>
  <c r="E6054" i="1"/>
  <c r="F6054" i="1"/>
  <c r="G6054" i="1"/>
  <c r="I6054" i="1"/>
  <c r="J6054" i="1"/>
  <c r="K6054" i="1"/>
  <c r="L6054" i="1"/>
  <c r="M6054" i="1"/>
  <c r="N6054" i="1"/>
  <c r="O6054" i="1"/>
  <c r="P6054" i="1"/>
  <c r="Q6054" i="1"/>
  <c r="R6054" i="1"/>
  <c r="S6054" i="1"/>
  <c r="T6054" i="1"/>
  <c r="U6054" i="1"/>
  <c r="V6054" i="1"/>
  <c r="W6054" i="1"/>
  <c r="X6054" i="1"/>
  <c r="Y6054" i="1"/>
  <c r="Z6054" i="1"/>
  <c r="A6055" i="1"/>
  <c r="B6055" i="1"/>
  <c r="C6055" i="1"/>
  <c r="D6055" i="1"/>
  <c r="E6055" i="1"/>
  <c r="F6055" i="1"/>
  <c r="G6055" i="1"/>
  <c r="I6055" i="1"/>
  <c r="J6055" i="1"/>
  <c r="K6055" i="1"/>
  <c r="L6055" i="1"/>
  <c r="M6055" i="1"/>
  <c r="N6055" i="1"/>
  <c r="O6055" i="1"/>
  <c r="P6055" i="1"/>
  <c r="Q6055" i="1"/>
  <c r="R6055" i="1"/>
  <c r="S6055" i="1"/>
  <c r="T6055" i="1"/>
  <c r="U6055" i="1"/>
  <c r="V6055" i="1"/>
  <c r="W6055" i="1"/>
  <c r="X6055" i="1"/>
  <c r="Y6055" i="1"/>
  <c r="Z6055" i="1"/>
  <c r="A6056" i="1"/>
  <c r="B6056" i="1"/>
  <c r="C6056" i="1"/>
  <c r="D6056" i="1"/>
  <c r="E6056" i="1"/>
  <c r="F6056" i="1"/>
  <c r="G6056" i="1"/>
  <c r="I6056" i="1"/>
  <c r="J6056" i="1"/>
  <c r="K6056" i="1"/>
  <c r="L6056" i="1"/>
  <c r="M6056" i="1"/>
  <c r="N6056" i="1"/>
  <c r="O6056" i="1"/>
  <c r="P6056" i="1"/>
  <c r="Q6056" i="1"/>
  <c r="R6056" i="1"/>
  <c r="S6056" i="1"/>
  <c r="T6056" i="1"/>
  <c r="U6056" i="1"/>
  <c r="V6056" i="1"/>
  <c r="W6056" i="1"/>
  <c r="X6056" i="1"/>
  <c r="Y6056" i="1"/>
  <c r="Z6056" i="1"/>
  <c r="A6057" i="1"/>
  <c r="B6057" i="1"/>
  <c r="C6057" i="1"/>
  <c r="D6057" i="1"/>
  <c r="E6057" i="1"/>
  <c r="F6057" i="1"/>
  <c r="G6057" i="1"/>
  <c r="I6057" i="1"/>
  <c r="J6057" i="1"/>
  <c r="K6057" i="1"/>
  <c r="L6057" i="1"/>
  <c r="M6057" i="1"/>
  <c r="N6057" i="1"/>
  <c r="O6057" i="1"/>
  <c r="P6057" i="1"/>
  <c r="Q6057" i="1"/>
  <c r="R6057" i="1"/>
  <c r="S6057" i="1"/>
  <c r="T6057" i="1"/>
  <c r="U6057" i="1"/>
  <c r="V6057" i="1"/>
  <c r="W6057" i="1"/>
  <c r="X6057" i="1"/>
  <c r="Y6057" i="1"/>
  <c r="Z6057" i="1"/>
  <c r="A6058" i="1"/>
  <c r="B6058" i="1"/>
  <c r="C6058" i="1"/>
  <c r="D6058" i="1"/>
  <c r="E6058" i="1"/>
  <c r="F6058" i="1"/>
  <c r="G6058" i="1"/>
  <c r="I6058" i="1"/>
  <c r="J6058" i="1"/>
  <c r="K6058" i="1"/>
  <c r="L6058" i="1"/>
  <c r="M6058" i="1"/>
  <c r="N6058" i="1"/>
  <c r="O6058" i="1"/>
  <c r="P6058" i="1"/>
  <c r="Q6058" i="1"/>
  <c r="R6058" i="1"/>
  <c r="S6058" i="1"/>
  <c r="T6058" i="1"/>
  <c r="U6058" i="1"/>
  <c r="V6058" i="1"/>
  <c r="W6058" i="1"/>
  <c r="X6058" i="1"/>
  <c r="Y6058" i="1"/>
  <c r="Z6058" i="1"/>
  <c r="A6059" i="1"/>
  <c r="B6059" i="1"/>
  <c r="C6059" i="1"/>
  <c r="D6059" i="1"/>
  <c r="E6059" i="1"/>
  <c r="F6059" i="1"/>
  <c r="G6059" i="1"/>
  <c r="I6059" i="1"/>
  <c r="J6059" i="1"/>
  <c r="K6059" i="1"/>
  <c r="L6059" i="1"/>
  <c r="M6059" i="1"/>
  <c r="N6059" i="1"/>
  <c r="O6059" i="1"/>
  <c r="P6059" i="1"/>
  <c r="Q6059" i="1"/>
  <c r="R6059" i="1"/>
  <c r="S6059" i="1"/>
  <c r="T6059" i="1"/>
  <c r="U6059" i="1"/>
  <c r="V6059" i="1"/>
  <c r="W6059" i="1"/>
  <c r="X6059" i="1"/>
  <c r="Y6059" i="1"/>
  <c r="Z6059" i="1"/>
  <c r="A6060" i="1"/>
  <c r="B6060" i="1"/>
  <c r="C6060" i="1"/>
  <c r="D6060" i="1"/>
  <c r="E6060" i="1"/>
  <c r="F6060" i="1"/>
  <c r="G6060" i="1"/>
  <c r="I6060" i="1"/>
  <c r="J6060" i="1"/>
  <c r="K6060" i="1"/>
  <c r="L6060" i="1"/>
  <c r="M6060" i="1"/>
  <c r="N6060" i="1"/>
  <c r="O6060" i="1"/>
  <c r="P6060" i="1"/>
  <c r="Q6060" i="1"/>
  <c r="R6060" i="1"/>
  <c r="S6060" i="1"/>
  <c r="T6060" i="1"/>
  <c r="U6060" i="1"/>
  <c r="V6060" i="1"/>
  <c r="W6060" i="1"/>
  <c r="X6060" i="1"/>
  <c r="Y6060" i="1"/>
  <c r="Z6060" i="1"/>
  <c r="A6061" i="1"/>
  <c r="B6061" i="1"/>
  <c r="C6061" i="1"/>
  <c r="D6061" i="1"/>
  <c r="E6061" i="1"/>
  <c r="F6061" i="1"/>
  <c r="G6061" i="1"/>
  <c r="I6061" i="1"/>
  <c r="J6061" i="1"/>
  <c r="K6061" i="1"/>
  <c r="L6061" i="1"/>
  <c r="M6061" i="1"/>
  <c r="N6061" i="1"/>
  <c r="O6061" i="1"/>
  <c r="P6061" i="1"/>
  <c r="Q6061" i="1"/>
  <c r="R6061" i="1"/>
  <c r="S6061" i="1"/>
  <c r="T6061" i="1"/>
  <c r="U6061" i="1"/>
  <c r="V6061" i="1"/>
  <c r="W6061" i="1"/>
  <c r="X6061" i="1"/>
  <c r="Y6061" i="1"/>
  <c r="Z6061" i="1"/>
  <c r="A6062" i="1"/>
  <c r="B6062" i="1"/>
  <c r="C6062" i="1"/>
  <c r="D6062" i="1"/>
  <c r="E6062" i="1"/>
  <c r="F6062" i="1"/>
  <c r="G6062" i="1"/>
  <c r="I6062" i="1"/>
  <c r="J6062" i="1"/>
  <c r="K6062" i="1"/>
  <c r="L6062" i="1"/>
  <c r="M6062" i="1"/>
  <c r="N6062" i="1"/>
  <c r="O6062" i="1"/>
  <c r="P6062" i="1"/>
  <c r="Q6062" i="1"/>
  <c r="R6062" i="1"/>
  <c r="S6062" i="1"/>
  <c r="T6062" i="1"/>
  <c r="U6062" i="1"/>
  <c r="V6062" i="1"/>
  <c r="W6062" i="1"/>
  <c r="X6062" i="1"/>
  <c r="Y6062" i="1"/>
  <c r="Z6062" i="1"/>
  <c r="A6063" i="1"/>
  <c r="B6063" i="1"/>
  <c r="C6063" i="1"/>
  <c r="D6063" i="1"/>
  <c r="E6063" i="1"/>
  <c r="F6063" i="1"/>
  <c r="G6063" i="1"/>
  <c r="I6063" i="1"/>
  <c r="J6063" i="1"/>
  <c r="K6063" i="1"/>
  <c r="L6063" i="1"/>
  <c r="M6063" i="1"/>
  <c r="N6063" i="1"/>
  <c r="O6063" i="1"/>
  <c r="P6063" i="1"/>
  <c r="Q6063" i="1"/>
  <c r="R6063" i="1"/>
  <c r="S6063" i="1"/>
  <c r="T6063" i="1"/>
  <c r="U6063" i="1"/>
  <c r="V6063" i="1"/>
  <c r="W6063" i="1"/>
  <c r="X6063" i="1"/>
  <c r="Y6063" i="1"/>
  <c r="Z6063" i="1"/>
  <c r="A6064" i="1"/>
  <c r="B6064" i="1"/>
  <c r="C6064" i="1"/>
  <c r="D6064" i="1"/>
  <c r="E6064" i="1"/>
  <c r="F6064" i="1"/>
  <c r="G6064" i="1"/>
  <c r="I6064" i="1"/>
  <c r="J6064" i="1"/>
  <c r="K6064" i="1"/>
  <c r="L6064" i="1"/>
  <c r="M6064" i="1"/>
  <c r="N6064" i="1"/>
  <c r="O6064" i="1"/>
  <c r="P6064" i="1"/>
  <c r="Q6064" i="1"/>
  <c r="R6064" i="1"/>
  <c r="S6064" i="1"/>
  <c r="T6064" i="1"/>
  <c r="U6064" i="1"/>
  <c r="V6064" i="1"/>
  <c r="W6064" i="1"/>
  <c r="X6064" i="1"/>
  <c r="Y6064" i="1"/>
  <c r="Z6064" i="1"/>
  <c r="A6065" i="1"/>
  <c r="B6065" i="1"/>
  <c r="C6065" i="1"/>
  <c r="D6065" i="1"/>
  <c r="E6065" i="1"/>
  <c r="F6065" i="1"/>
  <c r="G6065" i="1"/>
  <c r="I6065" i="1"/>
  <c r="J6065" i="1"/>
  <c r="K6065" i="1"/>
  <c r="L6065" i="1"/>
  <c r="M6065" i="1"/>
  <c r="N6065" i="1"/>
  <c r="O6065" i="1"/>
  <c r="P6065" i="1"/>
  <c r="Q6065" i="1"/>
  <c r="R6065" i="1"/>
  <c r="S6065" i="1"/>
  <c r="T6065" i="1"/>
  <c r="U6065" i="1"/>
  <c r="V6065" i="1"/>
  <c r="W6065" i="1"/>
  <c r="X6065" i="1"/>
  <c r="Y6065" i="1"/>
  <c r="Z6065" i="1"/>
  <c r="A6066" i="1"/>
  <c r="B6066" i="1"/>
  <c r="C6066" i="1"/>
  <c r="D6066" i="1"/>
  <c r="E6066" i="1"/>
  <c r="F6066" i="1"/>
  <c r="G6066" i="1"/>
  <c r="I6066" i="1"/>
  <c r="J6066" i="1"/>
  <c r="K6066" i="1"/>
  <c r="L6066" i="1"/>
  <c r="M6066" i="1"/>
  <c r="N6066" i="1"/>
  <c r="O6066" i="1"/>
  <c r="P6066" i="1"/>
  <c r="Q6066" i="1"/>
  <c r="R6066" i="1"/>
  <c r="S6066" i="1"/>
  <c r="T6066" i="1"/>
  <c r="U6066" i="1"/>
  <c r="V6066" i="1"/>
  <c r="W6066" i="1"/>
  <c r="X6066" i="1"/>
  <c r="Y6066" i="1"/>
  <c r="Z6066" i="1"/>
  <c r="A6067" i="1"/>
  <c r="B6067" i="1"/>
  <c r="C6067" i="1"/>
  <c r="D6067" i="1"/>
  <c r="E6067" i="1"/>
  <c r="F6067" i="1"/>
  <c r="G6067" i="1"/>
  <c r="I6067" i="1"/>
  <c r="J6067" i="1"/>
  <c r="K6067" i="1"/>
  <c r="L6067" i="1"/>
  <c r="M6067" i="1"/>
  <c r="N6067" i="1"/>
  <c r="O6067" i="1"/>
  <c r="P6067" i="1"/>
  <c r="Q6067" i="1"/>
  <c r="R6067" i="1"/>
  <c r="S6067" i="1"/>
  <c r="T6067" i="1"/>
  <c r="U6067" i="1"/>
  <c r="V6067" i="1"/>
  <c r="W6067" i="1"/>
  <c r="X6067" i="1"/>
  <c r="Y6067" i="1"/>
  <c r="Z6067" i="1"/>
  <c r="A6068" i="1"/>
  <c r="B6068" i="1"/>
  <c r="C6068" i="1"/>
  <c r="D6068" i="1"/>
  <c r="E6068" i="1"/>
  <c r="F6068" i="1"/>
  <c r="G6068" i="1"/>
  <c r="I6068" i="1"/>
  <c r="J6068" i="1"/>
  <c r="K6068" i="1"/>
  <c r="L6068" i="1"/>
  <c r="M6068" i="1"/>
  <c r="N6068" i="1"/>
  <c r="O6068" i="1"/>
  <c r="P6068" i="1"/>
  <c r="Q6068" i="1"/>
  <c r="R6068" i="1"/>
  <c r="S6068" i="1"/>
  <c r="T6068" i="1"/>
  <c r="U6068" i="1"/>
  <c r="V6068" i="1"/>
  <c r="W6068" i="1"/>
  <c r="X6068" i="1"/>
  <c r="Y6068" i="1"/>
  <c r="Z6068" i="1"/>
  <c r="A6069" i="1"/>
  <c r="B6069" i="1"/>
  <c r="C6069" i="1"/>
  <c r="D6069" i="1"/>
  <c r="E6069" i="1"/>
  <c r="F6069" i="1"/>
  <c r="G6069" i="1"/>
  <c r="I6069" i="1"/>
  <c r="J6069" i="1"/>
  <c r="K6069" i="1"/>
  <c r="L6069" i="1"/>
  <c r="M6069" i="1"/>
  <c r="N6069" i="1"/>
  <c r="O6069" i="1"/>
  <c r="P6069" i="1"/>
  <c r="Q6069" i="1"/>
  <c r="R6069" i="1"/>
  <c r="S6069" i="1"/>
  <c r="T6069" i="1"/>
  <c r="U6069" i="1"/>
  <c r="V6069" i="1"/>
  <c r="W6069" i="1"/>
  <c r="X6069" i="1"/>
  <c r="Y6069" i="1"/>
  <c r="Z6069" i="1"/>
  <c r="A6070" i="1"/>
  <c r="B6070" i="1"/>
  <c r="C6070" i="1"/>
  <c r="D6070" i="1"/>
  <c r="E6070" i="1"/>
  <c r="F6070" i="1"/>
  <c r="G6070" i="1"/>
  <c r="I6070" i="1"/>
  <c r="J6070" i="1"/>
  <c r="K6070" i="1"/>
  <c r="L6070" i="1"/>
  <c r="M6070" i="1"/>
  <c r="N6070" i="1"/>
  <c r="O6070" i="1"/>
  <c r="P6070" i="1"/>
  <c r="Q6070" i="1"/>
  <c r="R6070" i="1"/>
  <c r="S6070" i="1"/>
  <c r="T6070" i="1"/>
  <c r="U6070" i="1"/>
  <c r="V6070" i="1"/>
  <c r="W6070" i="1"/>
  <c r="X6070" i="1"/>
  <c r="Y6070" i="1"/>
  <c r="Z6070" i="1"/>
  <c r="A6071" i="1"/>
  <c r="B6071" i="1"/>
  <c r="C6071" i="1"/>
  <c r="D6071" i="1"/>
  <c r="E6071" i="1"/>
  <c r="F6071" i="1"/>
  <c r="G6071" i="1"/>
  <c r="I6071" i="1"/>
  <c r="J6071" i="1"/>
  <c r="K6071" i="1"/>
  <c r="L6071" i="1"/>
  <c r="M6071" i="1"/>
  <c r="N6071" i="1"/>
  <c r="O6071" i="1"/>
  <c r="P6071" i="1"/>
  <c r="Q6071" i="1"/>
  <c r="R6071" i="1"/>
  <c r="S6071" i="1"/>
  <c r="T6071" i="1"/>
  <c r="U6071" i="1"/>
  <c r="V6071" i="1"/>
  <c r="W6071" i="1"/>
  <c r="X6071" i="1"/>
  <c r="Y6071" i="1"/>
  <c r="Z6071" i="1"/>
  <c r="A6072" i="1"/>
  <c r="B6072" i="1"/>
  <c r="C6072" i="1"/>
  <c r="D6072" i="1"/>
  <c r="E6072" i="1"/>
  <c r="F6072" i="1"/>
  <c r="G6072" i="1"/>
  <c r="I6072" i="1"/>
  <c r="J6072" i="1"/>
  <c r="K6072" i="1"/>
  <c r="L6072" i="1"/>
  <c r="M6072" i="1"/>
  <c r="N6072" i="1"/>
  <c r="O6072" i="1"/>
  <c r="P6072" i="1"/>
  <c r="Q6072" i="1"/>
  <c r="R6072" i="1"/>
  <c r="S6072" i="1"/>
  <c r="T6072" i="1"/>
  <c r="U6072" i="1"/>
  <c r="V6072" i="1"/>
  <c r="W6072" i="1"/>
  <c r="X6072" i="1"/>
  <c r="Y6072" i="1"/>
  <c r="Z6072" i="1"/>
  <c r="A6073" i="1"/>
  <c r="B6073" i="1"/>
  <c r="C6073" i="1"/>
  <c r="D6073" i="1"/>
  <c r="E6073" i="1"/>
  <c r="F6073" i="1"/>
  <c r="G6073" i="1"/>
  <c r="I6073" i="1"/>
  <c r="J6073" i="1"/>
  <c r="K6073" i="1"/>
  <c r="L6073" i="1"/>
  <c r="M6073" i="1"/>
  <c r="N6073" i="1"/>
  <c r="O6073" i="1"/>
  <c r="P6073" i="1"/>
  <c r="Q6073" i="1"/>
  <c r="R6073" i="1"/>
  <c r="S6073" i="1"/>
  <c r="T6073" i="1"/>
  <c r="U6073" i="1"/>
  <c r="V6073" i="1"/>
  <c r="W6073" i="1"/>
  <c r="X6073" i="1"/>
  <c r="Y6073" i="1"/>
  <c r="Z6073" i="1"/>
  <c r="A6074" i="1"/>
  <c r="B6074" i="1"/>
  <c r="C6074" i="1"/>
  <c r="D6074" i="1"/>
  <c r="E6074" i="1"/>
  <c r="F6074" i="1"/>
  <c r="G6074" i="1"/>
  <c r="I6074" i="1"/>
  <c r="J6074" i="1"/>
  <c r="K6074" i="1"/>
  <c r="L6074" i="1"/>
  <c r="M6074" i="1"/>
  <c r="N6074" i="1"/>
  <c r="O6074" i="1"/>
  <c r="P6074" i="1"/>
  <c r="Q6074" i="1"/>
  <c r="R6074" i="1"/>
  <c r="S6074" i="1"/>
  <c r="T6074" i="1"/>
  <c r="U6074" i="1"/>
  <c r="V6074" i="1"/>
  <c r="W6074" i="1"/>
  <c r="X6074" i="1"/>
  <c r="Y6074" i="1"/>
  <c r="Z6074" i="1"/>
  <c r="A6075" i="1"/>
  <c r="B6075" i="1"/>
  <c r="C6075" i="1"/>
  <c r="D6075" i="1"/>
  <c r="E6075" i="1"/>
  <c r="F6075" i="1"/>
  <c r="G6075" i="1"/>
  <c r="I6075" i="1"/>
  <c r="J6075" i="1"/>
  <c r="K6075" i="1"/>
  <c r="L6075" i="1"/>
  <c r="M6075" i="1"/>
  <c r="N6075" i="1"/>
  <c r="O6075" i="1"/>
  <c r="P6075" i="1"/>
  <c r="Q6075" i="1"/>
  <c r="R6075" i="1"/>
  <c r="S6075" i="1"/>
  <c r="T6075" i="1"/>
  <c r="U6075" i="1"/>
  <c r="V6075" i="1"/>
  <c r="W6075" i="1"/>
  <c r="X6075" i="1"/>
  <c r="Y6075" i="1"/>
  <c r="Z6075" i="1"/>
  <c r="A6076" i="1"/>
  <c r="B6076" i="1"/>
  <c r="C6076" i="1"/>
  <c r="D6076" i="1"/>
  <c r="E6076" i="1"/>
  <c r="F6076" i="1"/>
  <c r="G6076" i="1"/>
  <c r="I6076" i="1"/>
  <c r="J6076" i="1"/>
  <c r="K6076" i="1"/>
  <c r="L6076" i="1"/>
  <c r="M6076" i="1"/>
  <c r="N6076" i="1"/>
  <c r="O6076" i="1"/>
  <c r="P6076" i="1"/>
  <c r="Q6076" i="1"/>
  <c r="R6076" i="1"/>
  <c r="S6076" i="1"/>
  <c r="T6076" i="1"/>
  <c r="U6076" i="1"/>
  <c r="V6076" i="1"/>
  <c r="W6076" i="1"/>
  <c r="X6076" i="1"/>
  <c r="Y6076" i="1"/>
  <c r="Z6076" i="1"/>
  <c r="A6077" i="1"/>
  <c r="B6077" i="1"/>
  <c r="C6077" i="1"/>
  <c r="D6077" i="1"/>
  <c r="E6077" i="1"/>
  <c r="F6077" i="1"/>
  <c r="G6077" i="1"/>
  <c r="I6077" i="1"/>
  <c r="J6077" i="1"/>
  <c r="K6077" i="1"/>
  <c r="L6077" i="1"/>
  <c r="M6077" i="1"/>
  <c r="N6077" i="1"/>
  <c r="O6077" i="1"/>
  <c r="P6077" i="1"/>
  <c r="Q6077" i="1"/>
  <c r="R6077" i="1"/>
  <c r="S6077" i="1"/>
  <c r="T6077" i="1"/>
  <c r="U6077" i="1"/>
  <c r="V6077" i="1"/>
  <c r="W6077" i="1"/>
  <c r="X6077" i="1"/>
  <c r="Y6077" i="1"/>
  <c r="Z6077" i="1"/>
  <c r="A6078" i="1"/>
  <c r="B6078" i="1"/>
  <c r="C6078" i="1"/>
  <c r="D6078" i="1"/>
  <c r="E6078" i="1"/>
  <c r="F6078" i="1"/>
  <c r="G6078" i="1"/>
  <c r="I6078" i="1"/>
  <c r="J6078" i="1"/>
  <c r="K6078" i="1"/>
  <c r="L6078" i="1"/>
  <c r="M6078" i="1"/>
  <c r="N6078" i="1"/>
  <c r="O6078" i="1"/>
  <c r="P6078" i="1"/>
  <c r="Q6078" i="1"/>
  <c r="R6078" i="1"/>
  <c r="S6078" i="1"/>
  <c r="T6078" i="1"/>
  <c r="U6078" i="1"/>
  <c r="V6078" i="1"/>
  <c r="W6078" i="1"/>
  <c r="X6078" i="1"/>
  <c r="Y6078" i="1"/>
  <c r="Z6078" i="1"/>
  <c r="A6079" i="1"/>
  <c r="B6079" i="1"/>
  <c r="C6079" i="1"/>
  <c r="D6079" i="1"/>
  <c r="E6079" i="1"/>
  <c r="F6079" i="1"/>
  <c r="G6079" i="1"/>
  <c r="I6079" i="1"/>
  <c r="J6079" i="1"/>
  <c r="K6079" i="1"/>
  <c r="L6079" i="1"/>
  <c r="M6079" i="1"/>
  <c r="N6079" i="1"/>
  <c r="O6079" i="1"/>
  <c r="P6079" i="1"/>
  <c r="Q6079" i="1"/>
  <c r="R6079" i="1"/>
  <c r="S6079" i="1"/>
  <c r="T6079" i="1"/>
  <c r="U6079" i="1"/>
  <c r="V6079" i="1"/>
  <c r="W6079" i="1"/>
  <c r="X6079" i="1"/>
  <c r="Y6079" i="1"/>
  <c r="Z6079" i="1"/>
  <c r="A6080" i="1"/>
  <c r="B6080" i="1"/>
  <c r="C6080" i="1"/>
  <c r="D6080" i="1"/>
  <c r="E6080" i="1"/>
  <c r="F6080" i="1"/>
  <c r="G6080" i="1"/>
  <c r="I6080" i="1"/>
  <c r="J6080" i="1"/>
  <c r="K6080" i="1"/>
  <c r="L6080" i="1"/>
  <c r="M6080" i="1"/>
  <c r="N6080" i="1"/>
  <c r="O6080" i="1"/>
  <c r="P6080" i="1"/>
  <c r="Q6080" i="1"/>
  <c r="R6080" i="1"/>
  <c r="S6080" i="1"/>
  <c r="T6080" i="1"/>
  <c r="U6080" i="1"/>
  <c r="V6080" i="1"/>
  <c r="W6080" i="1"/>
  <c r="X6080" i="1"/>
  <c r="Y6080" i="1"/>
  <c r="Z6080" i="1"/>
  <c r="A6081" i="1"/>
  <c r="B6081" i="1"/>
  <c r="C6081" i="1"/>
  <c r="D6081" i="1"/>
  <c r="E6081" i="1"/>
  <c r="F6081" i="1"/>
  <c r="G6081" i="1"/>
  <c r="I6081" i="1"/>
  <c r="J6081" i="1"/>
  <c r="K6081" i="1"/>
  <c r="L6081" i="1"/>
  <c r="M6081" i="1"/>
  <c r="N6081" i="1"/>
  <c r="O6081" i="1"/>
  <c r="P6081" i="1"/>
  <c r="Q6081" i="1"/>
  <c r="R6081" i="1"/>
  <c r="S6081" i="1"/>
  <c r="T6081" i="1"/>
  <c r="U6081" i="1"/>
  <c r="V6081" i="1"/>
  <c r="W6081" i="1"/>
  <c r="X6081" i="1"/>
  <c r="Y6081" i="1"/>
  <c r="Z6081" i="1"/>
  <c r="A6082" i="1"/>
  <c r="B6082" i="1"/>
  <c r="C6082" i="1"/>
  <c r="D6082" i="1"/>
  <c r="E6082" i="1"/>
  <c r="F6082" i="1"/>
  <c r="G6082" i="1"/>
  <c r="I6082" i="1"/>
  <c r="J6082" i="1"/>
  <c r="K6082" i="1"/>
  <c r="L6082" i="1"/>
  <c r="M6082" i="1"/>
  <c r="N6082" i="1"/>
  <c r="O6082" i="1"/>
  <c r="P6082" i="1"/>
  <c r="Q6082" i="1"/>
  <c r="R6082" i="1"/>
  <c r="S6082" i="1"/>
  <c r="T6082" i="1"/>
  <c r="U6082" i="1"/>
  <c r="V6082" i="1"/>
  <c r="W6082" i="1"/>
  <c r="X6082" i="1"/>
  <c r="Y6082" i="1"/>
  <c r="Z6082" i="1"/>
  <c r="A6083" i="1"/>
  <c r="B6083" i="1"/>
  <c r="C6083" i="1"/>
  <c r="D6083" i="1"/>
  <c r="E6083" i="1"/>
  <c r="F6083" i="1"/>
  <c r="G6083" i="1"/>
  <c r="I6083" i="1"/>
  <c r="J6083" i="1"/>
  <c r="K6083" i="1"/>
  <c r="L6083" i="1"/>
  <c r="M6083" i="1"/>
  <c r="N6083" i="1"/>
  <c r="O6083" i="1"/>
  <c r="P6083" i="1"/>
  <c r="Q6083" i="1"/>
  <c r="R6083" i="1"/>
  <c r="S6083" i="1"/>
  <c r="T6083" i="1"/>
  <c r="U6083" i="1"/>
  <c r="V6083" i="1"/>
  <c r="W6083" i="1"/>
  <c r="X6083" i="1"/>
  <c r="Y6083" i="1"/>
  <c r="Z6083" i="1"/>
  <c r="A6084" i="1"/>
  <c r="B6084" i="1"/>
  <c r="C6084" i="1"/>
  <c r="D6084" i="1"/>
  <c r="E6084" i="1"/>
  <c r="F6084" i="1"/>
  <c r="G6084" i="1"/>
  <c r="I6084" i="1"/>
  <c r="J6084" i="1"/>
  <c r="K6084" i="1"/>
  <c r="L6084" i="1"/>
  <c r="M6084" i="1"/>
  <c r="N6084" i="1"/>
  <c r="O6084" i="1"/>
  <c r="P6084" i="1"/>
  <c r="Q6084" i="1"/>
  <c r="R6084" i="1"/>
  <c r="S6084" i="1"/>
  <c r="T6084" i="1"/>
  <c r="U6084" i="1"/>
  <c r="V6084" i="1"/>
  <c r="W6084" i="1"/>
  <c r="X6084" i="1"/>
  <c r="Y6084" i="1"/>
  <c r="Z6084" i="1"/>
  <c r="A6085" i="1"/>
  <c r="B6085" i="1"/>
  <c r="C6085" i="1"/>
  <c r="D6085" i="1"/>
  <c r="E6085" i="1"/>
  <c r="F6085" i="1"/>
  <c r="G6085" i="1"/>
  <c r="I6085" i="1"/>
  <c r="J6085" i="1"/>
  <c r="K6085" i="1"/>
  <c r="L6085" i="1"/>
  <c r="M6085" i="1"/>
  <c r="N6085" i="1"/>
  <c r="O6085" i="1"/>
  <c r="P6085" i="1"/>
  <c r="Q6085" i="1"/>
  <c r="R6085" i="1"/>
  <c r="S6085" i="1"/>
  <c r="T6085" i="1"/>
  <c r="U6085" i="1"/>
  <c r="V6085" i="1"/>
  <c r="W6085" i="1"/>
  <c r="X6085" i="1"/>
  <c r="Y6085" i="1"/>
  <c r="Z6085" i="1"/>
  <c r="A6086" i="1"/>
  <c r="B6086" i="1"/>
  <c r="C6086" i="1"/>
  <c r="D6086" i="1"/>
  <c r="E6086" i="1"/>
  <c r="F6086" i="1"/>
  <c r="G6086" i="1"/>
  <c r="I6086" i="1"/>
  <c r="J6086" i="1"/>
  <c r="K6086" i="1"/>
  <c r="L6086" i="1"/>
  <c r="M6086" i="1"/>
  <c r="N6086" i="1"/>
  <c r="O6086" i="1"/>
  <c r="P6086" i="1"/>
  <c r="Q6086" i="1"/>
  <c r="R6086" i="1"/>
  <c r="S6086" i="1"/>
  <c r="T6086" i="1"/>
  <c r="U6086" i="1"/>
  <c r="V6086" i="1"/>
  <c r="W6086" i="1"/>
  <c r="X6086" i="1"/>
  <c r="Y6086" i="1"/>
  <c r="Z6086" i="1"/>
  <c r="A6087" i="1"/>
  <c r="B6087" i="1"/>
  <c r="C6087" i="1"/>
  <c r="D6087" i="1"/>
  <c r="E6087" i="1"/>
  <c r="F6087" i="1"/>
  <c r="G6087" i="1"/>
  <c r="I6087" i="1"/>
  <c r="J6087" i="1"/>
  <c r="K6087" i="1"/>
  <c r="L6087" i="1"/>
  <c r="M6087" i="1"/>
  <c r="N6087" i="1"/>
  <c r="O6087" i="1"/>
  <c r="P6087" i="1"/>
  <c r="Q6087" i="1"/>
  <c r="R6087" i="1"/>
  <c r="S6087" i="1"/>
  <c r="T6087" i="1"/>
  <c r="U6087" i="1"/>
  <c r="V6087" i="1"/>
  <c r="W6087" i="1"/>
  <c r="X6087" i="1"/>
  <c r="Y6087" i="1"/>
  <c r="Z6087" i="1"/>
  <c r="A6088" i="1"/>
  <c r="B6088" i="1"/>
  <c r="C6088" i="1"/>
  <c r="D6088" i="1"/>
  <c r="E6088" i="1"/>
  <c r="F6088" i="1"/>
  <c r="G6088" i="1"/>
  <c r="I6088" i="1"/>
  <c r="J6088" i="1"/>
  <c r="K6088" i="1"/>
  <c r="L6088" i="1"/>
  <c r="M6088" i="1"/>
  <c r="N6088" i="1"/>
  <c r="O6088" i="1"/>
  <c r="P6088" i="1"/>
  <c r="Q6088" i="1"/>
  <c r="R6088" i="1"/>
  <c r="S6088" i="1"/>
  <c r="T6088" i="1"/>
  <c r="U6088" i="1"/>
  <c r="V6088" i="1"/>
  <c r="W6088" i="1"/>
  <c r="X6088" i="1"/>
  <c r="Y6088" i="1"/>
  <c r="Z6088" i="1"/>
  <c r="A6089" i="1"/>
  <c r="B6089" i="1"/>
  <c r="C6089" i="1"/>
  <c r="D6089" i="1"/>
  <c r="E6089" i="1"/>
  <c r="F6089" i="1"/>
  <c r="G6089" i="1"/>
  <c r="I6089" i="1"/>
  <c r="J6089" i="1"/>
  <c r="K6089" i="1"/>
  <c r="L6089" i="1"/>
  <c r="M6089" i="1"/>
  <c r="N6089" i="1"/>
  <c r="O6089" i="1"/>
  <c r="P6089" i="1"/>
  <c r="Q6089" i="1"/>
  <c r="R6089" i="1"/>
  <c r="S6089" i="1"/>
  <c r="T6089" i="1"/>
  <c r="U6089" i="1"/>
  <c r="V6089" i="1"/>
  <c r="W6089" i="1"/>
  <c r="X6089" i="1"/>
  <c r="Y6089" i="1"/>
  <c r="Z6089" i="1"/>
  <c r="A6090" i="1"/>
  <c r="B6090" i="1"/>
  <c r="C6090" i="1"/>
  <c r="D6090" i="1"/>
  <c r="E6090" i="1"/>
  <c r="F6090" i="1"/>
  <c r="G6090" i="1"/>
  <c r="I6090" i="1"/>
  <c r="J6090" i="1"/>
  <c r="K6090" i="1"/>
  <c r="L6090" i="1"/>
  <c r="M6090" i="1"/>
  <c r="N6090" i="1"/>
  <c r="O6090" i="1"/>
  <c r="P6090" i="1"/>
  <c r="Q6090" i="1"/>
  <c r="R6090" i="1"/>
  <c r="S6090" i="1"/>
  <c r="T6090" i="1"/>
  <c r="U6090" i="1"/>
  <c r="V6090" i="1"/>
  <c r="W6090" i="1"/>
  <c r="X6090" i="1"/>
  <c r="Y6090" i="1"/>
  <c r="Z6090" i="1"/>
  <c r="A6091" i="1"/>
  <c r="B6091" i="1"/>
  <c r="C6091" i="1"/>
  <c r="D6091" i="1"/>
  <c r="E6091" i="1"/>
  <c r="F6091" i="1"/>
  <c r="G6091" i="1"/>
  <c r="I6091" i="1"/>
  <c r="J6091" i="1"/>
  <c r="K6091" i="1"/>
  <c r="L6091" i="1"/>
  <c r="M6091" i="1"/>
  <c r="N6091" i="1"/>
  <c r="O6091" i="1"/>
  <c r="P6091" i="1"/>
  <c r="Q6091" i="1"/>
  <c r="R6091" i="1"/>
  <c r="S6091" i="1"/>
  <c r="T6091" i="1"/>
  <c r="U6091" i="1"/>
  <c r="V6091" i="1"/>
  <c r="W6091" i="1"/>
  <c r="X6091" i="1"/>
  <c r="Y6091" i="1"/>
  <c r="Z6091" i="1"/>
  <c r="A6092" i="1"/>
  <c r="B6092" i="1"/>
  <c r="C6092" i="1"/>
  <c r="D6092" i="1"/>
  <c r="E6092" i="1"/>
  <c r="F6092" i="1"/>
  <c r="G6092" i="1"/>
  <c r="I6092" i="1"/>
  <c r="J6092" i="1"/>
  <c r="K6092" i="1"/>
  <c r="L6092" i="1"/>
  <c r="M6092" i="1"/>
  <c r="N6092" i="1"/>
  <c r="O6092" i="1"/>
  <c r="P6092" i="1"/>
  <c r="Q6092" i="1"/>
  <c r="R6092" i="1"/>
  <c r="S6092" i="1"/>
  <c r="T6092" i="1"/>
  <c r="U6092" i="1"/>
  <c r="V6092" i="1"/>
  <c r="W6092" i="1"/>
  <c r="X6092" i="1"/>
  <c r="Y6092" i="1"/>
  <c r="Z6092" i="1"/>
  <c r="A6093" i="1"/>
  <c r="B6093" i="1"/>
  <c r="C6093" i="1"/>
  <c r="D6093" i="1"/>
  <c r="E6093" i="1"/>
  <c r="F6093" i="1"/>
  <c r="G6093" i="1"/>
  <c r="I6093" i="1"/>
  <c r="J6093" i="1"/>
  <c r="K6093" i="1"/>
  <c r="L6093" i="1"/>
  <c r="M6093" i="1"/>
  <c r="N6093" i="1"/>
  <c r="O6093" i="1"/>
  <c r="P6093" i="1"/>
  <c r="Q6093" i="1"/>
  <c r="R6093" i="1"/>
  <c r="S6093" i="1"/>
  <c r="T6093" i="1"/>
  <c r="U6093" i="1"/>
  <c r="V6093" i="1"/>
  <c r="W6093" i="1"/>
  <c r="X6093" i="1"/>
  <c r="Y6093" i="1"/>
  <c r="Z6093" i="1"/>
  <c r="A6094" i="1"/>
  <c r="B6094" i="1"/>
  <c r="C6094" i="1"/>
  <c r="D6094" i="1"/>
  <c r="E6094" i="1"/>
  <c r="F6094" i="1"/>
  <c r="G6094" i="1"/>
  <c r="I6094" i="1"/>
  <c r="J6094" i="1"/>
  <c r="K6094" i="1"/>
  <c r="L6094" i="1"/>
  <c r="M6094" i="1"/>
  <c r="N6094" i="1"/>
  <c r="O6094" i="1"/>
  <c r="P6094" i="1"/>
  <c r="Q6094" i="1"/>
  <c r="R6094" i="1"/>
  <c r="S6094" i="1"/>
  <c r="T6094" i="1"/>
  <c r="U6094" i="1"/>
  <c r="V6094" i="1"/>
  <c r="W6094" i="1"/>
  <c r="X6094" i="1"/>
  <c r="Y6094" i="1"/>
  <c r="Z6094" i="1"/>
  <c r="A6095" i="1"/>
  <c r="B6095" i="1"/>
  <c r="C6095" i="1"/>
  <c r="D6095" i="1"/>
  <c r="E6095" i="1"/>
  <c r="F6095" i="1"/>
  <c r="G6095" i="1"/>
  <c r="I6095" i="1"/>
  <c r="J6095" i="1"/>
  <c r="K6095" i="1"/>
  <c r="L6095" i="1"/>
  <c r="M6095" i="1"/>
  <c r="N6095" i="1"/>
  <c r="O6095" i="1"/>
  <c r="P6095" i="1"/>
  <c r="Q6095" i="1"/>
  <c r="R6095" i="1"/>
  <c r="S6095" i="1"/>
  <c r="T6095" i="1"/>
  <c r="U6095" i="1"/>
  <c r="V6095" i="1"/>
  <c r="W6095" i="1"/>
  <c r="X6095" i="1"/>
  <c r="Y6095" i="1"/>
  <c r="Z6095" i="1"/>
  <c r="A6096" i="1"/>
  <c r="B6096" i="1"/>
  <c r="C6096" i="1"/>
  <c r="D6096" i="1"/>
  <c r="E6096" i="1"/>
  <c r="F6096" i="1"/>
  <c r="G6096" i="1"/>
  <c r="I6096" i="1"/>
  <c r="J6096" i="1"/>
  <c r="K6096" i="1"/>
  <c r="L6096" i="1"/>
  <c r="M6096" i="1"/>
  <c r="N6096" i="1"/>
  <c r="O6096" i="1"/>
  <c r="P6096" i="1"/>
  <c r="Q6096" i="1"/>
  <c r="R6096" i="1"/>
  <c r="S6096" i="1"/>
  <c r="T6096" i="1"/>
  <c r="U6096" i="1"/>
  <c r="V6096" i="1"/>
  <c r="W6096" i="1"/>
  <c r="X6096" i="1"/>
  <c r="Y6096" i="1"/>
  <c r="Z6096" i="1"/>
  <c r="A6097" i="1"/>
  <c r="B6097" i="1"/>
  <c r="C6097" i="1"/>
  <c r="D6097" i="1"/>
  <c r="E6097" i="1"/>
  <c r="F6097" i="1"/>
  <c r="G6097" i="1"/>
  <c r="I6097" i="1"/>
  <c r="J6097" i="1"/>
  <c r="K6097" i="1"/>
  <c r="L6097" i="1"/>
  <c r="M6097" i="1"/>
  <c r="N6097" i="1"/>
  <c r="O6097" i="1"/>
  <c r="P6097" i="1"/>
  <c r="Q6097" i="1"/>
  <c r="R6097" i="1"/>
  <c r="S6097" i="1"/>
  <c r="T6097" i="1"/>
  <c r="U6097" i="1"/>
  <c r="V6097" i="1"/>
  <c r="W6097" i="1"/>
  <c r="X6097" i="1"/>
  <c r="Y6097" i="1"/>
  <c r="Z6097" i="1"/>
  <c r="A6098" i="1"/>
  <c r="B6098" i="1"/>
  <c r="C6098" i="1"/>
  <c r="D6098" i="1"/>
  <c r="E6098" i="1"/>
  <c r="F6098" i="1"/>
  <c r="G6098" i="1"/>
  <c r="I6098" i="1"/>
  <c r="J6098" i="1"/>
  <c r="K6098" i="1"/>
  <c r="L6098" i="1"/>
  <c r="M6098" i="1"/>
  <c r="N6098" i="1"/>
  <c r="O6098" i="1"/>
  <c r="P6098" i="1"/>
  <c r="Q6098" i="1"/>
  <c r="R6098" i="1"/>
  <c r="S6098" i="1"/>
  <c r="T6098" i="1"/>
  <c r="U6098" i="1"/>
  <c r="V6098" i="1"/>
  <c r="W6098" i="1"/>
  <c r="X6098" i="1"/>
  <c r="Y6098" i="1"/>
  <c r="Z6098" i="1"/>
  <c r="A6099" i="1"/>
  <c r="B6099" i="1"/>
  <c r="C6099" i="1"/>
  <c r="D6099" i="1"/>
  <c r="E6099" i="1"/>
  <c r="F6099" i="1"/>
  <c r="G6099" i="1"/>
  <c r="I6099" i="1"/>
  <c r="J6099" i="1"/>
  <c r="K6099" i="1"/>
  <c r="L6099" i="1"/>
  <c r="M6099" i="1"/>
  <c r="N6099" i="1"/>
  <c r="O6099" i="1"/>
  <c r="P6099" i="1"/>
  <c r="Q6099" i="1"/>
  <c r="R6099" i="1"/>
  <c r="S6099" i="1"/>
  <c r="T6099" i="1"/>
  <c r="U6099" i="1"/>
  <c r="V6099" i="1"/>
  <c r="W6099" i="1"/>
  <c r="X6099" i="1"/>
  <c r="Y6099" i="1"/>
  <c r="Z6099" i="1"/>
  <c r="A6100" i="1"/>
  <c r="B6100" i="1"/>
  <c r="C6100" i="1"/>
  <c r="D6100" i="1"/>
  <c r="E6100" i="1"/>
  <c r="F6100" i="1"/>
  <c r="G6100" i="1"/>
  <c r="I6100" i="1"/>
  <c r="J6100" i="1"/>
  <c r="K6100" i="1"/>
  <c r="L6100" i="1"/>
  <c r="M6100" i="1"/>
  <c r="N6100" i="1"/>
  <c r="O6100" i="1"/>
  <c r="P6100" i="1"/>
  <c r="Q6100" i="1"/>
  <c r="R6100" i="1"/>
  <c r="S6100" i="1"/>
  <c r="T6100" i="1"/>
  <c r="U6100" i="1"/>
  <c r="V6100" i="1"/>
  <c r="W6100" i="1"/>
  <c r="X6100" i="1"/>
  <c r="Y6100" i="1"/>
  <c r="Z6100" i="1"/>
  <c r="A6101" i="1"/>
  <c r="B6101" i="1"/>
  <c r="C6101" i="1"/>
  <c r="D6101" i="1"/>
  <c r="E6101" i="1"/>
  <c r="F6101" i="1"/>
  <c r="G6101" i="1"/>
  <c r="I6101" i="1"/>
  <c r="J6101" i="1"/>
  <c r="K6101" i="1"/>
  <c r="L6101" i="1"/>
  <c r="M6101" i="1"/>
  <c r="N6101" i="1"/>
  <c r="O6101" i="1"/>
  <c r="P6101" i="1"/>
  <c r="Q6101" i="1"/>
  <c r="R6101" i="1"/>
  <c r="S6101" i="1"/>
  <c r="T6101" i="1"/>
  <c r="U6101" i="1"/>
  <c r="V6101" i="1"/>
  <c r="W6101" i="1"/>
  <c r="X6101" i="1"/>
  <c r="Y6101" i="1"/>
  <c r="Z6101" i="1"/>
  <c r="A6102" i="1"/>
  <c r="B6102" i="1"/>
  <c r="C6102" i="1"/>
  <c r="D6102" i="1"/>
  <c r="E6102" i="1"/>
  <c r="F6102" i="1"/>
  <c r="G6102" i="1"/>
  <c r="I6102" i="1"/>
  <c r="J6102" i="1"/>
  <c r="K6102" i="1"/>
  <c r="L6102" i="1"/>
  <c r="M6102" i="1"/>
  <c r="N6102" i="1"/>
  <c r="O6102" i="1"/>
  <c r="P6102" i="1"/>
  <c r="Q6102" i="1"/>
  <c r="R6102" i="1"/>
  <c r="S6102" i="1"/>
  <c r="T6102" i="1"/>
  <c r="U6102" i="1"/>
  <c r="V6102" i="1"/>
  <c r="W6102" i="1"/>
  <c r="X6102" i="1"/>
  <c r="Y6102" i="1"/>
  <c r="Z6102" i="1"/>
  <c r="A6103" i="1"/>
  <c r="B6103" i="1"/>
  <c r="C6103" i="1"/>
  <c r="D6103" i="1"/>
  <c r="E6103" i="1"/>
  <c r="F6103" i="1"/>
  <c r="G6103" i="1"/>
  <c r="I6103" i="1"/>
  <c r="J6103" i="1"/>
  <c r="K6103" i="1"/>
  <c r="L6103" i="1"/>
  <c r="M6103" i="1"/>
  <c r="N6103" i="1"/>
  <c r="O6103" i="1"/>
  <c r="P6103" i="1"/>
  <c r="Q6103" i="1"/>
  <c r="R6103" i="1"/>
  <c r="S6103" i="1"/>
  <c r="T6103" i="1"/>
  <c r="U6103" i="1"/>
  <c r="V6103" i="1"/>
  <c r="W6103" i="1"/>
  <c r="X6103" i="1"/>
  <c r="Y6103" i="1"/>
  <c r="Z6103" i="1"/>
  <c r="A6104" i="1"/>
  <c r="B6104" i="1"/>
  <c r="C6104" i="1"/>
  <c r="D6104" i="1"/>
  <c r="E6104" i="1"/>
  <c r="F6104" i="1"/>
  <c r="G6104" i="1"/>
  <c r="I6104" i="1"/>
  <c r="J6104" i="1"/>
  <c r="K6104" i="1"/>
  <c r="L6104" i="1"/>
  <c r="M6104" i="1"/>
  <c r="N6104" i="1"/>
  <c r="O6104" i="1"/>
  <c r="P6104" i="1"/>
  <c r="Q6104" i="1"/>
  <c r="R6104" i="1"/>
  <c r="S6104" i="1"/>
  <c r="T6104" i="1"/>
  <c r="U6104" i="1"/>
  <c r="V6104" i="1"/>
  <c r="W6104" i="1"/>
  <c r="X6104" i="1"/>
  <c r="Y6104" i="1"/>
  <c r="Z6104" i="1"/>
  <c r="A6105" i="1"/>
  <c r="B6105" i="1"/>
  <c r="C6105" i="1"/>
  <c r="D6105" i="1"/>
  <c r="E6105" i="1"/>
  <c r="F6105" i="1"/>
  <c r="G6105" i="1"/>
  <c r="I6105" i="1"/>
  <c r="J6105" i="1"/>
  <c r="K6105" i="1"/>
  <c r="L6105" i="1"/>
  <c r="M6105" i="1"/>
  <c r="N6105" i="1"/>
  <c r="O6105" i="1"/>
  <c r="P6105" i="1"/>
  <c r="Q6105" i="1"/>
  <c r="R6105" i="1"/>
  <c r="S6105" i="1"/>
  <c r="T6105" i="1"/>
  <c r="U6105" i="1"/>
  <c r="V6105" i="1"/>
  <c r="W6105" i="1"/>
  <c r="X6105" i="1"/>
  <c r="Y6105" i="1"/>
  <c r="Z6105" i="1"/>
  <c r="A6106" i="1"/>
  <c r="B6106" i="1"/>
  <c r="C6106" i="1"/>
  <c r="D6106" i="1"/>
  <c r="E6106" i="1"/>
  <c r="F6106" i="1"/>
  <c r="G6106" i="1"/>
  <c r="I6106" i="1"/>
  <c r="J6106" i="1"/>
  <c r="K6106" i="1"/>
  <c r="L6106" i="1"/>
  <c r="M6106" i="1"/>
  <c r="N6106" i="1"/>
  <c r="O6106" i="1"/>
  <c r="P6106" i="1"/>
  <c r="Q6106" i="1"/>
  <c r="R6106" i="1"/>
  <c r="S6106" i="1"/>
  <c r="T6106" i="1"/>
  <c r="U6106" i="1"/>
  <c r="V6106" i="1"/>
  <c r="W6106" i="1"/>
  <c r="X6106" i="1"/>
  <c r="Y6106" i="1"/>
  <c r="Z6106" i="1"/>
  <c r="A6107" i="1"/>
  <c r="B6107" i="1"/>
  <c r="C6107" i="1"/>
  <c r="D6107" i="1"/>
  <c r="E6107" i="1"/>
  <c r="F6107" i="1"/>
  <c r="G6107" i="1"/>
  <c r="I6107" i="1"/>
  <c r="J6107" i="1"/>
  <c r="K6107" i="1"/>
  <c r="L6107" i="1"/>
  <c r="M6107" i="1"/>
  <c r="N6107" i="1"/>
  <c r="O6107" i="1"/>
  <c r="P6107" i="1"/>
  <c r="Q6107" i="1"/>
  <c r="R6107" i="1"/>
  <c r="S6107" i="1"/>
  <c r="T6107" i="1"/>
  <c r="U6107" i="1"/>
  <c r="V6107" i="1"/>
  <c r="W6107" i="1"/>
  <c r="X6107" i="1"/>
  <c r="Y6107" i="1"/>
  <c r="Z6107" i="1"/>
  <c r="A6108" i="1"/>
  <c r="B6108" i="1"/>
  <c r="C6108" i="1"/>
  <c r="D6108" i="1"/>
  <c r="E6108" i="1"/>
  <c r="F6108" i="1"/>
  <c r="G6108" i="1"/>
  <c r="I6108" i="1"/>
  <c r="J6108" i="1"/>
  <c r="K6108" i="1"/>
  <c r="L6108" i="1"/>
  <c r="M6108" i="1"/>
  <c r="N6108" i="1"/>
  <c r="O6108" i="1"/>
  <c r="P6108" i="1"/>
  <c r="Q6108" i="1"/>
  <c r="R6108" i="1"/>
  <c r="S6108" i="1"/>
  <c r="T6108" i="1"/>
  <c r="U6108" i="1"/>
  <c r="V6108" i="1"/>
  <c r="W6108" i="1"/>
  <c r="X6108" i="1"/>
  <c r="Y6108" i="1"/>
  <c r="Z6108" i="1"/>
  <c r="A6109" i="1"/>
  <c r="B6109" i="1"/>
  <c r="C6109" i="1"/>
  <c r="D6109" i="1"/>
  <c r="E6109" i="1"/>
  <c r="F6109" i="1"/>
  <c r="G6109" i="1"/>
  <c r="I6109" i="1"/>
  <c r="J6109" i="1"/>
  <c r="K6109" i="1"/>
  <c r="L6109" i="1"/>
  <c r="M6109" i="1"/>
  <c r="N6109" i="1"/>
  <c r="O6109" i="1"/>
  <c r="P6109" i="1"/>
  <c r="Q6109" i="1"/>
  <c r="R6109" i="1"/>
  <c r="S6109" i="1"/>
  <c r="T6109" i="1"/>
  <c r="U6109" i="1"/>
  <c r="V6109" i="1"/>
  <c r="W6109" i="1"/>
  <c r="X6109" i="1"/>
  <c r="Y6109" i="1"/>
  <c r="Z6109" i="1"/>
  <c r="A6110" i="1"/>
  <c r="B6110" i="1"/>
  <c r="C6110" i="1"/>
  <c r="D6110" i="1"/>
  <c r="E6110" i="1"/>
  <c r="F6110" i="1"/>
  <c r="G6110" i="1"/>
  <c r="I6110" i="1"/>
  <c r="J6110" i="1"/>
  <c r="K6110" i="1"/>
  <c r="L6110" i="1"/>
  <c r="M6110" i="1"/>
  <c r="N6110" i="1"/>
  <c r="O6110" i="1"/>
  <c r="P6110" i="1"/>
  <c r="Q6110" i="1"/>
  <c r="R6110" i="1"/>
  <c r="S6110" i="1"/>
  <c r="T6110" i="1"/>
  <c r="U6110" i="1"/>
  <c r="V6110" i="1"/>
  <c r="W6110" i="1"/>
  <c r="X6110" i="1"/>
  <c r="Y6110" i="1"/>
  <c r="Z6110" i="1"/>
  <c r="A6111" i="1"/>
  <c r="B6111" i="1"/>
  <c r="C6111" i="1"/>
  <c r="D6111" i="1"/>
  <c r="E6111" i="1"/>
  <c r="F6111" i="1"/>
  <c r="G6111" i="1"/>
  <c r="I6111" i="1"/>
  <c r="J6111" i="1"/>
  <c r="K6111" i="1"/>
  <c r="L6111" i="1"/>
  <c r="M6111" i="1"/>
  <c r="N6111" i="1"/>
  <c r="O6111" i="1"/>
  <c r="P6111" i="1"/>
  <c r="Q6111" i="1"/>
  <c r="R6111" i="1"/>
  <c r="S6111" i="1"/>
  <c r="T6111" i="1"/>
  <c r="U6111" i="1"/>
  <c r="V6111" i="1"/>
  <c r="W6111" i="1"/>
  <c r="X6111" i="1"/>
  <c r="Y6111" i="1"/>
  <c r="Z6111" i="1"/>
  <c r="A6112" i="1"/>
  <c r="B6112" i="1"/>
  <c r="C6112" i="1"/>
  <c r="D6112" i="1"/>
  <c r="E6112" i="1"/>
  <c r="F6112" i="1"/>
  <c r="G6112" i="1"/>
  <c r="I6112" i="1"/>
  <c r="J6112" i="1"/>
  <c r="K6112" i="1"/>
  <c r="L6112" i="1"/>
  <c r="M6112" i="1"/>
  <c r="N6112" i="1"/>
  <c r="O6112" i="1"/>
  <c r="P6112" i="1"/>
  <c r="Q6112" i="1"/>
  <c r="R6112" i="1"/>
  <c r="S6112" i="1"/>
  <c r="T6112" i="1"/>
  <c r="U6112" i="1"/>
  <c r="V6112" i="1"/>
  <c r="W6112" i="1"/>
  <c r="X6112" i="1"/>
  <c r="Y6112" i="1"/>
  <c r="Z6112" i="1"/>
  <c r="A6113" i="1"/>
  <c r="B6113" i="1"/>
  <c r="C6113" i="1"/>
  <c r="D6113" i="1"/>
  <c r="E6113" i="1"/>
  <c r="F6113" i="1"/>
  <c r="G6113" i="1"/>
  <c r="I6113" i="1"/>
  <c r="J6113" i="1"/>
  <c r="K6113" i="1"/>
  <c r="L6113" i="1"/>
  <c r="M6113" i="1"/>
  <c r="N6113" i="1"/>
  <c r="O6113" i="1"/>
  <c r="P6113" i="1"/>
  <c r="Q6113" i="1"/>
  <c r="R6113" i="1"/>
  <c r="S6113" i="1"/>
  <c r="T6113" i="1"/>
  <c r="U6113" i="1"/>
  <c r="V6113" i="1"/>
  <c r="W6113" i="1"/>
  <c r="X6113" i="1"/>
  <c r="Y6113" i="1"/>
  <c r="Z6113" i="1"/>
  <c r="A6114" i="1"/>
  <c r="B6114" i="1"/>
  <c r="C6114" i="1"/>
  <c r="D6114" i="1"/>
  <c r="E6114" i="1"/>
  <c r="F6114" i="1"/>
  <c r="G6114" i="1"/>
  <c r="I6114" i="1"/>
  <c r="J6114" i="1"/>
  <c r="K6114" i="1"/>
  <c r="L6114" i="1"/>
  <c r="M6114" i="1"/>
  <c r="N6114" i="1"/>
  <c r="O6114" i="1"/>
  <c r="P6114" i="1"/>
  <c r="Q6114" i="1"/>
  <c r="R6114" i="1"/>
  <c r="S6114" i="1"/>
  <c r="T6114" i="1"/>
  <c r="U6114" i="1"/>
  <c r="V6114" i="1"/>
  <c r="W6114" i="1"/>
  <c r="X6114" i="1"/>
  <c r="Y6114" i="1"/>
  <c r="Z6114" i="1"/>
  <c r="A6115" i="1"/>
  <c r="B6115" i="1"/>
  <c r="C6115" i="1"/>
  <c r="D6115" i="1"/>
  <c r="E6115" i="1"/>
  <c r="F6115" i="1"/>
  <c r="G6115" i="1"/>
  <c r="I6115" i="1"/>
  <c r="J6115" i="1"/>
  <c r="K6115" i="1"/>
  <c r="L6115" i="1"/>
  <c r="M6115" i="1"/>
  <c r="N6115" i="1"/>
  <c r="O6115" i="1"/>
  <c r="P6115" i="1"/>
  <c r="Q6115" i="1"/>
  <c r="R6115" i="1"/>
  <c r="S6115" i="1"/>
  <c r="T6115" i="1"/>
  <c r="U6115" i="1"/>
  <c r="V6115" i="1"/>
  <c r="W6115" i="1"/>
  <c r="X6115" i="1"/>
  <c r="Y6115" i="1"/>
  <c r="Z6115" i="1"/>
  <c r="A6116" i="1"/>
  <c r="B6116" i="1"/>
  <c r="C6116" i="1"/>
  <c r="D6116" i="1"/>
  <c r="E6116" i="1"/>
  <c r="F6116" i="1"/>
  <c r="G6116" i="1"/>
  <c r="I6116" i="1"/>
  <c r="J6116" i="1"/>
  <c r="K6116" i="1"/>
  <c r="L6116" i="1"/>
  <c r="M6116" i="1"/>
  <c r="N6116" i="1"/>
  <c r="O6116" i="1"/>
  <c r="P6116" i="1"/>
  <c r="Q6116" i="1"/>
  <c r="R6116" i="1"/>
  <c r="S6116" i="1"/>
  <c r="T6116" i="1"/>
  <c r="U6116" i="1"/>
  <c r="V6116" i="1"/>
  <c r="W6116" i="1"/>
  <c r="X6116" i="1"/>
  <c r="Y6116" i="1"/>
  <c r="Z6116" i="1"/>
  <c r="A6117" i="1"/>
  <c r="B6117" i="1"/>
  <c r="C6117" i="1"/>
  <c r="D6117" i="1"/>
  <c r="E6117" i="1"/>
  <c r="F6117" i="1"/>
  <c r="G6117" i="1"/>
  <c r="I6117" i="1"/>
  <c r="J6117" i="1"/>
  <c r="K6117" i="1"/>
  <c r="L6117" i="1"/>
  <c r="M6117" i="1"/>
  <c r="N6117" i="1"/>
  <c r="O6117" i="1"/>
  <c r="P6117" i="1"/>
  <c r="Q6117" i="1"/>
  <c r="R6117" i="1"/>
  <c r="S6117" i="1"/>
  <c r="T6117" i="1"/>
  <c r="U6117" i="1"/>
  <c r="V6117" i="1"/>
  <c r="W6117" i="1"/>
  <c r="X6117" i="1"/>
  <c r="Y6117" i="1"/>
  <c r="Z6117" i="1"/>
  <c r="A6118" i="1"/>
  <c r="B6118" i="1"/>
  <c r="C6118" i="1"/>
  <c r="D6118" i="1"/>
  <c r="E6118" i="1"/>
  <c r="F6118" i="1"/>
  <c r="G6118" i="1"/>
  <c r="I6118" i="1"/>
  <c r="J6118" i="1"/>
  <c r="K6118" i="1"/>
  <c r="L6118" i="1"/>
  <c r="M6118" i="1"/>
  <c r="N6118" i="1"/>
  <c r="O6118" i="1"/>
  <c r="P6118" i="1"/>
  <c r="Q6118" i="1"/>
  <c r="R6118" i="1"/>
  <c r="S6118" i="1"/>
  <c r="T6118" i="1"/>
  <c r="U6118" i="1"/>
  <c r="V6118" i="1"/>
  <c r="W6118" i="1"/>
  <c r="X6118" i="1"/>
  <c r="Y6118" i="1"/>
  <c r="Z6118" i="1"/>
  <c r="A6119" i="1"/>
  <c r="B6119" i="1"/>
  <c r="C6119" i="1"/>
  <c r="D6119" i="1"/>
  <c r="E6119" i="1"/>
  <c r="F6119" i="1"/>
  <c r="G6119" i="1"/>
  <c r="I6119" i="1"/>
  <c r="J6119" i="1"/>
  <c r="K6119" i="1"/>
  <c r="L6119" i="1"/>
  <c r="M6119" i="1"/>
  <c r="N6119" i="1"/>
  <c r="O6119" i="1"/>
  <c r="P6119" i="1"/>
  <c r="Q6119" i="1"/>
  <c r="R6119" i="1"/>
  <c r="S6119" i="1"/>
  <c r="T6119" i="1"/>
  <c r="U6119" i="1"/>
  <c r="V6119" i="1"/>
  <c r="W6119" i="1"/>
  <c r="X6119" i="1"/>
  <c r="Y6119" i="1"/>
  <c r="Z6119" i="1"/>
  <c r="A6120" i="1"/>
  <c r="B6120" i="1"/>
  <c r="C6120" i="1"/>
  <c r="D6120" i="1"/>
  <c r="E6120" i="1"/>
  <c r="F6120" i="1"/>
  <c r="G6120" i="1"/>
  <c r="I6120" i="1"/>
  <c r="J6120" i="1"/>
  <c r="K6120" i="1"/>
  <c r="L6120" i="1"/>
  <c r="M6120" i="1"/>
  <c r="N6120" i="1"/>
  <c r="O6120" i="1"/>
  <c r="P6120" i="1"/>
  <c r="Q6120" i="1"/>
  <c r="R6120" i="1"/>
  <c r="S6120" i="1"/>
  <c r="T6120" i="1"/>
  <c r="U6120" i="1"/>
  <c r="V6120" i="1"/>
  <c r="W6120" i="1"/>
  <c r="X6120" i="1"/>
  <c r="Y6120" i="1"/>
  <c r="Z6120" i="1"/>
  <c r="A6121" i="1"/>
  <c r="B6121" i="1"/>
  <c r="C6121" i="1"/>
  <c r="D6121" i="1"/>
  <c r="E6121" i="1"/>
  <c r="F6121" i="1"/>
  <c r="G6121" i="1"/>
  <c r="I6121" i="1"/>
  <c r="J6121" i="1"/>
  <c r="K6121" i="1"/>
  <c r="L6121" i="1"/>
  <c r="M6121" i="1"/>
  <c r="N6121" i="1"/>
  <c r="O6121" i="1"/>
  <c r="P6121" i="1"/>
  <c r="Q6121" i="1"/>
  <c r="R6121" i="1"/>
  <c r="S6121" i="1"/>
  <c r="T6121" i="1"/>
  <c r="U6121" i="1"/>
  <c r="V6121" i="1"/>
  <c r="W6121" i="1"/>
  <c r="X6121" i="1"/>
  <c r="Y6121" i="1"/>
  <c r="Z6121" i="1"/>
  <c r="A6122" i="1"/>
  <c r="B6122" i="1"/>
  <c r="C6122" i="1"/>
  <c r="D6122" i="1"/>
  <c r="E6122" i="1"/>
  <c r="F6122" i="1"/>
  <c r="G6122" i="1"/>
  <c r="I6122" i="1"/>
  <c r="J6122" i="1"/>
  <c r="K6122" i="1"/>
  <c r="L6122" i="1"/>
  <c r="M6122" i="1"/>
  <c r="N6122" i="1"/>
  <c r="O6122" i="1"/>
  <c r="P6122" i="1"/>
  <c r="Q6122" i="1"/>
  <c r="R6122" i="1"/>
  <c r="S6122" i="1"/>
  <c r="T6122" i="1"/>
  <c r="U6122" i="1"/>
  <c r="V6122" i="1"/>
  <c r="W6122" i="1"/>
  <c r="X6122" i="1"/>
  <c r="Y6122" i="1"/>
  <c r="Z6122" i="1"/>
  <c r="A6123" i="1"/>
  <c r="B6123" i="1"/>
  <c r="C6123" i="1"/>
  <c r="D6123" i="1"/>
  <c r="E6123" i="1"/>
  <c r="F6123" i="1"/>
  <c r="G6123" i="1"/>
  <c r="I6123" i="1"/>
  <c r="J6123" i="1"/>
  <c r="K6123" i="1"/>
  <c r="L6123" i="1"/>
  <c r="M6123" i="1"/>
  <c r="N6123" i="1"/>
  <c r="O6123" i="1"/>
  <c r="P6123" i="1"/>
  <c r="Q6123" i="1"/>
  <c r="R6123" i="1"/>
  <c r="S6123" i="1"/>
  <c r="T6123" i="1"/>
  <c r="U6123" i="1"/>
  <c r="V6123" i="1"/>
  <c r="W6123" i="1"/>
  <c r="X6123" i="1"/>
  <c r="Y6123" i="1"/>
  <c r="Z6123" i="1"/>
  <c r="A6124" i="1"/>
  <c r="B6124" i="1"/>
  <c r="C6124" i="1"/>
  <c r="D6124" i="1"/>
  <c r="E6124" i="1"/>
  <c r="F6124" i="1"/>
  <c r="G6124" i="1"/>
  <c r="I6124" i="1"/>
  <c r="J6124" i="1"/>
  <c r="K6124" i="1"/>
  <c r="L6124" i="1"/>
  <c r="M6124" i="1"/>
  <c r="N6124" i="1"/>
  <c r="O6124" i="1"/>
  <c r="P6124" i="1"/>
  <c r="Q6124" i="1"/>
  <c r="R6124" i="1"/>
  <c r="S6124" i="1"/>
  <c r="T6124" i="1"/>
  <c r="U6124" i="1"/>
  <c r="V6124" i="1"/>
  <c r="W6124" i="1"/>
  <c r="X6124" i="1"/>
  <c r="Y6124" i="1"/>
  <c r="Z6124" i="1"/>
  <c r="A6125" i="1"/>
  <c r="B6125" i="1"/>
  <c r="C6125" i="1"/>
  <c r="D6125" i="1"/>
  <c r="E6125" i="1"/>
  <c r="F6125" i="1"/>
  <c r="G6125" i="1"/>
  <c r="I6125" i="1"/>
  <c r="J6125" i="1"/>
  <c r="K6125" i="1"/>
  <c r="L6125" i="1"/>
  <c r="M6125" i="1"/>
  <c r="N6125" i="1"/>
  <c r="O6125" i="1"/>
  <c r="P6125" i="1"/>
  <c r="Q6125" i="1"/>
  <c r="R6125" i="1"/>
  <c r="S6125" i="1"/>
  <c r="T6125" i="1"/>
  <c r="U6125" i="1"/>
  <c r="V6125" i="1"/>
  <c r="W6125" i="1"/>
  <c r="X6125" i="1"/>
  <c r="Y6125" i="1"/>
  <c r="Z6125" i="1"/>
  <c r="A6126" i="1"/>
  <c r="B6126" i="1"/>
  <c r="C6126" i="1"/>
  <c r="D6126" i="1"/>
  <c r="E6126" i="1"/>
  <c r="F6126" i="1"/>
  <c r="G6126" i="1"/>
  <c r="I6126" i="1"/>
  <c r="J6126" i="1"/>
  <c r="K6126" i="1"/>
  <c r="L6126" i="1"/>
  <c r="M6126" i="1"/>
  <c r="N6126" i="1"/>
  <c r="O6126" i="1"/>
  <c r="P6126" i="1"/>
  <c r="Q6126" i="1"/>
  <c r="R6126" i="1"/>
  <c r="S6126" i="1"/>
  <c r="T6126" i="1"/>
  <c r="U6126" i="1"/>
  <c r="V6126" i="1"/>
  <c r="W6126" i="1"/>
  <c r="X6126" i="1"/>
  <c r="Y6126" i="1"/>
  <c r="Z6126" i="1"/>
  <c r="A6127" i="1"/>
  <c r="B6127" i="1"/>
  <c r="C6127" i="1"/>
  <c r="D6127" i="1"/>
  <c r="E6127" i="1"/>
  <c r="F6127" i="1"/>
  <c r="G6127" i="1"/>
  <c r="I6127" i="1"/>
  <c r="J6127" i="1"/>
  <c r="K6127" i="1"/>
  <c r="L6127" i="1"/>
  <c r="M6127" i="1"/>
  <c r="N6127" i="1"/>
  <c r="O6127" i="1"/>
  <c r="P6127" i="1"/>
  <c r="Q6127" i="1"/>
  <c r="R6127" i="1"/>
  <c r="S6127" i="1"/>
  <c r="T6127" i="1"/>
  <c r="U6127" i="1"/>
  <c r="V6127" i="1"/>
  <c r="W6127" i="1"/>
  <c r="X6127" i="1"/>
  <c r="Y6127" i="1"/>
  <c r="Z6127" i="1"/>
  <c r="A6128" i="1"/>
  <c r="B6128" i="1"/>
  <c r="C6128" i="1"/>
  <c r="D6128" i="1"/>
  <c r="E6128" i="1"/>
  <c r="F6128" i="1"/>
  <c r="G6128" i="1"/>
  <c r="I6128" i="1"/>
  <c r="J6128" i="1"/>
  <c r="K6128" i="1"/>
  <c r="L6128" i="1"/>
  <c r="M6128" i="1"/>
  <c r="N6128" i="1"/>
  <c r="O6128" i="1"/>
  <c r="P6128" i="1"/>
  <c r="Q6128" i="1"/>
  <c r="R6128" i="1"/>
  <c r="S6128" i="1"/>
  <c r="T6128" i="1"/>
  <c r="U6128" i="1"/>
  <c r="V6128" i="1"/>
  <c r="W6128" i="1"/>
  <c r="X6128" i="1"/>
  <c r="Y6128" i="1"/>
  <c r="Z6128" i="1"/>
  <c r="A6129" i="1"/>
  <c r="B6129" i="1"/>
  <c r="C6129" i="1"/>
  <c r="D6129" i="1"/>
  <c r="E6129" i="1"/>
  <c r="F6129" i="1"/>
  <c r="G6129" i="1"/>
  <c r="I6129" i="1"/>
  <c r="J6129" i="1"/>
  <c r="K6129" i="1"/>
  <c r="L6129" i="1"/>
  <c r="M6129" i="1"/>
  <c r="N6129" i="1"/>
  <c r="O6129" i="1"/>
  <c r="P6129" i="1"/>
  <c r="Q6129" i="1"/>
  <c r="R6129" i="1"/>
  <c r="S6129" i="1"/>
  <c r="T6129" i="1"/>
  <c r="U6129" i="1"/>
  <c r="V6129" i="1"/>
  <c r="W6129" i="1"/>
  <c r="X6129" i="1"/>
  <c r="Y6129" i="1"/>
  <c r="Z6129" i="1"/>
  <c r="A6130" i="1"/>
  <c r="B6130" i="1"/>
  <c r="C6130" i="1"/>
  <c r="D6130" i="1"/>
  <c r="E6130" i="1"/>
  <c r="F6130" i="1"/>
  <c r="G6130" i="1"/>
  <c r="I6130" i="1"/>
  <c r="J6130" i="1"/>
  <c r="K6130" i="1"/>
  <c r="L6130" i="1"/>
  <c r="M6130" i="1"/>
  <c r="N6130" i="1"/>
  <c r="O6130" i="1"/>
  <c r="P6130" i="1"/>
  <c r="Q6130" i="1"/>
  <c r="R6130" i="1"/>
  <c r="S6130" i="1"/>
  <c r="T6130" i="1"/>
  <c r="U6130" i="1"/>
  <c r="V6130" i="1"/>
  <c r="W6130" i="1"/>
  <c r="X6130" i="1"/>
  <c r="Y6130" i="1"/>
  <c r="Z6130" i="1"/>
  <c r="A6131" i="1"/>
  <c r="B6131" i="1"/>
  <c r="C6131" i="1"/>
  <c r="D6131" i="1"/>
  <c r="E6131" i="1"/>
  <c r="F6131" i="1"/>
  <c r="G6131" i="1"/>
  <c r="I6131" i="1"/>
  <c r="J6131" i="1"/>
  <c r="K6131" i="1"/>
  <c r="L6131" i="1"/>
  <c r="M6131" i="1"/>
  <c r="N6131" i="1"/>
  <c r="O6131" i="1"/>
  <c r="P6131" i="1"/>
  <c r="Q6131" i="1"/>
  <c r="R6131" i="1"/>
  <c r="S6131" i="1"/>
  <c r="T6131" i="1"/>
  <c r="U6131" i="1"/>
  <c r="V6131" i="1"/>
  <c r="W6131" i="1"/>
  <c r="X6131" i="1"/>
  <c r="Y6131" i="1"/>
  <c r="Z6131" i="1"/>
  <c r="A6132" i="1"/>
  <c r="B6132" i="1"/>
  <c r="C6132" i="1"/>
  <c r="D6132" i="1"/>
  <c r="E6132" i="1"/>
  <c r="F6132" i="1"/>
  <c r="G6132" i="1"/>
  <c r="I6132" i="1"/>
  <c r="J6132" i="1"/>
  <c r="K6132" i="1"/>
  <c r="L6132" i="1"/>
  <c r="M6132" i="1"/>
  <c r="N6132" i="1"/>
  <c r="O6132" i="1"/>
  <c r="P6132" i="1"/>
  <c r="Q6132" i="1"/>
  <c r="R6132" i="1"/>
  <c r="S6132" i="1"/>
  <c r="T6132" i="1"/>
  <c r="U6132" i="1"/>
  <c r="V6132" i="1"/>
  <c r="W6132" i="1"/>
  <c r="X6132" i="1"/>
  <c r="Y6132" i="1"/>
  <c r="Z6132" i="1"/>
  <c r="A6133" i="1"/>
  <c r="B6133" i="1"/>
  <c r="C6133" i="1"/>
  <c r="D6133" i="1"/>
  <c r="E6133" i="1"/>
  <c r="F6133" i="1"/>
  <c r="G6133" i="1"/>
  <c r="I6133" i="1"/>
  <c r="J6133" i="1"/>
  <c r="K6133" i="1"/>
  <c r="L6133" i="1"/>
  <c r="M6133" i="1"/>
  <c r="N6133" i="1"/>
  <c r="O6133" i="1"/>
  <c r="P6133" i="1"/>
  <c r="Q6133" i="1"/>
  <c r="R6133" i="1"/>
  <c r="S6133" i="1"/>
  <c r="T6133" i="1"/>
  <c r="U6133" i="1"/>
  <c r="V6133" i="1"/>
  <c r="W6133" i="1"/>
  <c r="X6133" i="1"/>
  <c r="Y6133" i="1"/>
  <c r="Z6133" i="1"/>
  <c r="A6134" i="1"/>
  <c r="B6134" i="1"/>
  <c r="C6134" i="1"/>
  <c r="D6134" i="1"/>
  <c r="E6134" i="1"/>
  <c r="F6134" i="1"/>
  <c r="G6134" i="1"/>
  <c r="I6134" i="1"/>
  <c r="J6134" i="1"/>
  <c r="K6134" i="1"/>
  <c r="L6134" i="1"/>
  <c r="M6134" i="1"/>
  <c r="N6134" i="1"/>
  <c r="O6134" i="1"/>
  <c r="P6134" i="1"/>
  <c r="Q6134" i="1"/>
  <c r="R6134" i="1"/>
  <c r="S6134" i="1"/>
  <c r="T6134" i="1"/>
  <c r="U6134" i="1"/>
  <c r="V6134" i="1"/>
  <c r="W6134" i="1"/>
  <c r="X6134" i="1"/>
  <c r="Y6134" i="1"/>
  <c r="Z6134" i="1"/>
  <c r="A6135" i="1"/>
  <c r="B6135" i="1"/>
  <c r="C6135" i="1"/>
  <c r="D6135" i="1"/>
  <c r="E6135" i="1"/>
  <c r="F6135" i="1"/>
  <c r="G6135" i="1"/>
  <c r="I6135" i="1"/>
  <c r="J6135" i="1"/>
  <c r="K6135" i="1"/>
  <c r="L6135" i="1"/>
  <c r="M6135" i="1"/>
  <c r="N6135" i="1"/>
  <c r="O6135" i="1"/>
  <c r="P6135" i="1"/>
  <c r="Q6135" i="1"/>
  <c r="R6135" i="1"/>
  <c r="S6135" i="1"/>
  <c r="T6135" i="1"/>
  <c r="U6135" i="1"/>
  <c r="V6135" i="1"/>
  <c r="W6135" i="1"/>
  <c r="X6135" i="1"/>
  <c r="Y6135" i="1"/>
  <c r="Z6135" i="1"/>
  <c r="A6136" i="1"/>
  <c r="B6136" i="1"/>
  <c r="C6136" i="1"/>
  <c r="D6136" i="1"/>
  <c r="E6136" i="1"/>
  <c r="F6136" i="1"/>
  <c r="G6136" i="1"/>
  <c r="I6136" i="1"/>
  <c r="J6136" i="1"/>
  <c r="K6136" i="1"/>
  <c r="L6136" i="1"/>
  <c r="M6136" i="1"/>
  <c r="N6136" i="1"/>
  <c r="O6136" i="1"/>
  <c r="P6136" i="1"/>
  <c r="Q6136" i="1"/>
  <c r="R6136" i="1"/>
  <c r="S6136" i="1"/>
  <c r="T6136" i="1"/>
  <c r="U6136" i="1"/>
  <c r="V6136" i="1"/>
  <c r="W6136" i="1"/>
  <c r="X6136" i="1"/>
  <c r="Y6136" i="1"/>
  <c r="Z6136" i="1"/>
  <c r="A6137" i="1"/>
  <c r="B6137" i="1"/>
  <c r="C6137" i="1"/>
  <c r="D6137" i="1"/>
  <c r="E6137" i="1"/>
  <c r="F6137" i="1"/>
  <c r="G6137" i="1"/>
  <c r="I6137" i="1"/>
  <c r="J6137" i="1"/>
  <c r="K6137" i="1"/>
  <c r="L6137" i="1"/>
  <c r="M6137" i="1"/>
  <c r="N6137" i="1"/>
  <c r="O6137" i="1"/>
  <c r="P6137" i="1"/>
  <c r="Q6137" i="1"/>
  <c r="R6137" i="1"/>
  <c r="S6137" i="1"/>
  <c r="T6137" i="1"/>
  <c r="U6137" i="1"/>
  <c r="V6137" i="1"/>
  <c r="W6137" i="1"/>
  <c r="X6137" i="1"/>
  <c r="Y6137" i="1"/>
  <c r="Z6137" i="1"/>
  <c r="A6138" i="1"/>
  <c r="B6138" i="1"/>
  <c r="C6138" i="1"/>
  <c r="D6138" i="1"/>
  <c r="E6138" i="1"/>
  <c r="F6138" i="1"/>
  <c r="G6138" i="1"/>
  <c r="I6138" i="1"/>
  <c r="J6138" i="1"/>
  <c r="K6138" i="1"/>
  <c r="L6138" i="1"/>
  <c r="M6138" i="1"/>
  <c r="N6138" i="1"/>
  <c r="O6138" i="1"/>
  <c r="P6138" i="1"/>
  <c r="Q6138" i="1"/>
  <c r="R6138" i="1"/>
  <c r="S6138" i="1"/>
  <c r="T6138" i="1"/>
  <c r="U6138" i="1"/>
  <c r="V6138" i="1"/>
  <c r="W6138" i="1"/>
  <c r="X6138" i="1"/>
  <c r="Y6138" i="1"/>
  <c r="Z6138" i="1"/>
  <c r="A6139" i="1"/>
  <c r="B6139" i="1"/>
  <c r="C6139" i="1"/>
  <c r="D6139" i="1"/>
  <c r="E6139" i="1"/>
  <c r="F6139" i="1"/>
  <c r="G6139" i="1"/>
  <c r="I6139" i="1"/>
  <c r="J6139" i="1"/>
  <c r="K6139" i="1"/>
  <c r="L6139" i="1"/>
  <c r="M6139" i="1"/>
  <c r="N6139" i="1"/>
  <c r="O6139" i="1"/>
  <c r="P6139" i="1"/>
  <c r="Q6139" i="1"/>
  <c r="R6139" i="1"/>
  <c r="S6139" i="1"/>
  <c r="T6139" i="1"/>
  <c r="U6139" i="1"/>
  <c r="V6139" i="1"/>
  <c r="W6139" i="1"/>
  <c r="X6139" i="1"/>
  <c r="Y6139" i="1"/>
  <c r="Z6139" i="1"/>
  <c r="A6140" i="1"/>
  <c r="B6140" i="1"/>
  <c r="C6140" i="1"/>
  <c r="D6140" i="1"/>
  <c r="E6140" i="1"/>
  <c r="F6140" i="1"/>
  <c r="G6140" i="1"/>
  <c r="I6140" i="1"/>
  <c r="J6140" i="1"/>
  <c r="K6140" i="1"/>
  <c r="L6140" i="1"/>
  <c r="M6140" i="1"/>
  <c r="N6140" i="1"/>
  <c r="O6140" i="1"/>
  <c r="P6140" i="1"/>
  <c r="Q6140" i="1"/>
  <c r="R6140" i="1"/>
  <c r="S6140" i="1"/>
  <c r="T6140" i="1"/>
  <c r="U6140" i="1"/>
  <c r="V6140" i="1"/>
  <c r="W6140" i="1"/>
  <c r="X6140" i="1"/>
  <c r="Y6140" i="1"/>
  <c r="Z6140" i="1"/>
  <c r="A6141" i="1"/>
  <c r="B6141" i="1"/>
  <c r="C6141" i="1"/>
  <c r="D6141" i="1"/>
  <c r="E6141" i="1"/>
  <c r="F6141" i="1"/>
  <c r="G6141" i="1"/>
  <c r="I6141" i="1"/>
  <c r="J6141" i="1"/>
  <c r="K6141" i="1"/>
  <c r="L6141" i="1"/>
  <c r="M6141" i="1"/>
  <c r="N6141" i="1"/>
  <c r="O6141" i="1"/>
  <c r="P6141" i="1"/>
  <c r="Q6141" i="1"/>
  <c r="R6141" i="1"/>
  <c r="S6141" i="1"/>
  <c r="T6141" i="1"/>
  <c r="U6141" i="1"/>
  <c r="V6141" i="1"/>
  <c r="W6141" i="1"/>
  <c r="X6141" i="1"/>
  <c r="Y6141" i="1"/>
  <c r="Z6141" i="1"/>
  <c r="A6142" i="1"/>
  <c r="B6142" i="1"/>
  <c r="C6142" i="1"/>
  <c r="D6142" i="1"/>
  <c r="E6142" i="1"/>
  <c r="F6142" i="1"/>
  <c r="G6142" i="1"/>
  <c r="I6142" i="1"/>
  <c r="J6142" i="1"/>
  <c r="K6142" i="1"/>
  <c r="L6142" i="1"/>
  <c r="M6142" i="1"/>
  <c r="N6142" i="1"/>
  <c r="O6142" i="1"/>
  <c r="P6142" i="1"/>
  <c r="Q6142" i="1"/>
  <c r="R6142" i="1"/>
  <c r="S6142" i="1"/>
  <c r="T6142" i="1"/>
  <c r="U6142" i="1"/>
  <c r="V6142" i="1"/>
  <c r="W6142" i="1"/>
  <c r="X6142" i="1"/>
  <c r="Y6142" i="1"/>
  <c r="Z6142" i="1"/>
  <c r="A6143" i="1"/>
  <c r="B6143" i="1"/>
  <c r="C6143" i="1"/>
  <c r="D6143" i="1"/>
  <c r="E6143" i="1"/>
  <c r="F6143" i="1"/>
  <c r="G6143" i="1"/>
  <c r="I6143" i="1"/>
  <c r="J6143" i="1"/>
  <c r="K6143" i="1"/>
  <c r="L6143" i="1"/>
  <c r="M6143" i="1"/>
  <c r="N6143" i="1"/>
  <c r="O6143" i="1"/>
  <c r="P6143" i="1"/>
  <c r="Q6143" i="1"/>
  <c r="R6143" i="1"/>
  <c r="S6143" i="1"/>
  <c r="T6143" i="1"/>
  <c r="U6143" i="1"/>
  <c r="V6143" i="1"/>
  <c r="W6143" i="1"/>
  <c r="X6143" i="1"/>
  <c r="Y6143" i="1"/>
  <c r="Z6143" i="1"/>
  <c r="A6144" i="1"/>
  <c r="B6144" i="1"/>
  <c r="C6144" i="1"/>
  <c r="D6144" i="1"/>
  <c r="E6144" i="1"/>
  <c r="F6144" i="1"/>
  <c r="G6144" i="1"/>
  <c r="I6144" i="1"/>
  <c r="J6144" i="1"/>
  <c r="K6144" i="1"/>
  <c r="L6144" i="1"/>
  <c r="M6144" i="1"/>
  <c r="N6144" i="1"/>
  <c r="O6144" i="1"/>
  <c r="P6144" i="1"/>
  <c r="Q6144" i="1"/>
  <c r="R6144" i="1"/>
  <c r="S6144" i="1"/>
  <c r="T6144" i="1"/>
  <c r="U6144" i="1"/>
  <c r="V6144" i="1"/>
  <c r="W6144" i="1"/>
  <c r="X6144" i="1"/>
  <c r="Y6144" i="1"/>
  <c r="Z6144" i="1"/>
  <c r="A6145" i="1"/>
  <c r="B6145" i="1"/>
  <c r="C6145" i="1"/>
  <c r="D6145" i="1"/>
  <c r="E6145" i="1"/>
  <c r="F6145" i="1"/>
  <c r="G6145" i="1"/>
  <c r="I6145" i="1"/>
  <c r="J6145" i="1"/>
  <c r="K6145" i="1"/>
  <c r="L6145" i="1"/>
  <c r="M6145" i="1"/>
  <c r="N6145" i="1"/>
  <c r="O6145" i="1"/>
  <c r="P6145" i="1"/>
  <c r="Q6145" i="1"/>
  <c r="R6145" i="1"/>
  <c r="S6145" i="1"/>
  <c r="T6145" i="1"/>
  <c r="U6145" i="1"/>
  <c r="V6145" i="1"/>
  <c r="W6145" i="1"/>
  <c r="X6145" i="1"/>
  <c r="Y6145" i="1"/>
  <c r="Z6145" i="1"/>
  <c r="A6146" i="1"/>
  <c r="B6146" i="1"/>
  <c r="C6146" i="1"/>
  <c r="D6146" i="1"/>
  <c r="E6146" i="1"/>
  <c r="F6146" i="1"/>
  <c r="G6146" i="1"/>
  <c r="I6146" i="1"/>
  <c r="J6146" i="1"/>
  <c r="K6146" i="1"/>
  <c r="L6146" i="1"/>
  <c r="M6146" i="1"/>
  <c r="N6146" i="1"/>
  <c r="O6146" i="1"/>
  <c r="P6146" i="1"/>
  <c r="Q6146" i="1"/>
  <c r="R6146" i="1"/>
  <c r="S6146" i="1"/>
  <c r="T6146" i="1"/>
  <c r="U6146" i="1"/>
  <c r="V6146" i="1"/>
  <c r="W6146" i="1"/>
  <c r="X6146" i="1"/>
  <c r="Y6146" i="1"/>
  <c r="Z6146" i="1"/>
  <c r="A6147" i="1"/>
  <c r="B6147" i="1"/>
  <c r="C6147" i="1"/>
  <c r="D6147" i="1"/>
  <c r="E6147" i="1"/>
  <c r="F6147" i="1"/>
  <c r="G6147" i="1"/>
  <c r="I6147" i="1"/>
  <c r="J6147" i="1"/>
  <c r="K6147" i="1"/>
  <c r="L6147" i="1"/>
  <c r="M6147" i="1"/>
  <c r="N6147" i="1"/>
  <c r="O6147" i="1"/>
  <c r="P6147" i="1"/>
  <c r="Q6147" i="1"/>
  <c r="R6147" i="1"/>
  <c r="S6147" i="1"/>
  <c r="T6147" i="1"/>
  <c r="U6147" i="1"/>
  <c r="V6147" i="1"/>
  <c r="W6147" i="1"/>
  <c r="X6147" i="1"/>
  <c r="Y6147" i="1"/>
  <c r="Z6147" i="1"/>
  <c r="A6148" i="1"/>
  <c r="B6148" i="1"/>
  <c r="C6148" i="1"/>
  <c r="D6148" i="1"/>
  <c r="E6148" i="1"/>
  <c r="F6148" i="1"/>
  <c r="G6148" i="1"/>
  <c r="I6148" i="1"/>
  <c r="J6148" i="1"/>
  <c r="K6148" i="1"/>
  <c r="L6148" i="1"/>
  <c r="M6148" i="1"/>
  <c r="N6148" i="1"/>
  <c r="O6148" i="1"/>
  <c r="P6148" i="1"/>
  <c r="Q6148" i="1"/>
  <c r="R6148" i="1"/>
  <c r="S6148" i="1"/>
  <c r="T6148" i="1"/>
  <c r="U6148" i="1"/>
  <c r="V6148" i="1"/>
  <c r="W6148" i="1"/>
  <c r="X6148" i="1"/>
  <c r="Y6148" i="1"/>
  <c r="Z6148" i="1"/>
  <c r="A6149" i="1"/>
  <c r="B6149" i="1"/>
  <c r="C6149" i="1"/>
  <c r="D6149" i="1"/>
  <c r="E6149" i="1"/>
  <c r="F6149" i="1"/>
  <c r="G6149" i="1"/>
  <c r="I6149" i="1"/>
  <c r="J6149" i="1"/>
  <c r="K6149" i="1"/>
  <c r="L6149" i="1"/>
  <c r="M6149" i="1"/>
  <c r="N6149" i="1"/>
  <c r="O6149" i="1"/>
  <c r="P6149" i="1"/>
  <c r="Q6149" i="1"/>
  <c r="R6149" i="1"/>
  <c r="S6149" i="1"/>
  <c r="T6149" i="1"/>
  <c r="U6149" i="1"/>
  <c r="V6149" i="1"/>
  <c r="W6149" i="1"/>
  <c r="X6149" i="1"/>
  <c r="Y6149" i="1"/>
  <c r="Z6149" i="1"/>
  <c r="A6150" i="1"/>
  <c r="B6150" i="1"/>
  <c r="C6150" i="1"/>
  <c r="D6150" i="1"/>
  <c r="E6150" i="1"/>
  <c r="F6150" i="1"/>
  <c r="G6150" i="1"/>
  <c r="I6150" i="1"/>
  <c r="J6150" i="1"/>
  <c r="K6150" i="1"/>
  <c r="L6150" i="1"/>
  <c r="M6150" i="1"/>
  <c r="N6150" i="1"/>
  <c r="O6150" i="1"/>
  <c r="P6150" i="1"/>
  <c r="Q6150" i="1"/>
  <c r="R6150" i="1"/>
  <c r="S6150" i="1"/>
  <c r="T6150" i="1"/>
  <c r="U6150" i="1"/>
  <c r="V6150" i="1"/>
  <c r="W6150" i="1"/>
  <c r="X6150" i="1"/>
  <c r="Y6150" i="1"/>
  <c r="Z6150" i="1"/>
  <c r="A6151" i="1"/>
  <c r="B6151" i="1"/>
  <c r="C6151" i="1"/>
  <c r="D6151" i="1"/>
  <c r="E6151" i="1"/>
  <c r="F6151" i="1"/>
  <c r="G6151" i="1"/>
  <c r="I6151" i="1"/>
  <c r="J6151" i="1"/>
  <c r="K6151" i="1"/>
  <c r="L6151" i="1"/>
  <c r="M6151" i="1"/>
  <c r="N6151" i="1"/>
  <c r="O6151" i="1"/>
  <c r="P6151" i="1"/>
  <c r="Q6151" i="1"/>
  <c r="R6151" i="1"/>
  <c r="S6151" i="1"/>
  <c r="T6151" i="1"/>
  <c r="U6151" i="1"/>
  <c r="V6151" i="1"/>
  <c r="W6151" i="1"/>
  <c r="X6151" i="1"/>
  <c r="Y6151" i="1"/>
  <c r="Z6151" i="1"/>
  <c r="A6152" i="1"/>
  <c r="B6152" i="1"/>
  <c r="C6152" i="1"/>
  <c r="D6152" i="1"/>
  <c r="E6152" i="1"/>
  <c r="F6152" i="1"/>
  <c r="G6152" i="1"/>
  <c r="I6152" i="1"/>
  <c r="J6152" i="1"/>
  <c r="K6152" i="1"/>
  <c r="L6152" i="1"/>
  <c r="M6152" i="1"/>
  <c r="N6152" i="1"/>
  <c r="O6152" i="1"/>
  <c r="P6152" i="1"/>
  <c r="Q6152" i="1"/>
  <c r="R6152" i="1"/>
  <c r="S6152" i="1"/>
  <c r="T6152" i="1"/>
  <c r="U6152" i="1"/>
  <c r="V6152" i="1"/>
  <c r="W6152" i="1"/>
  <c r="X6152" i="1"/>
  <c r="Y6152" i="1"/>
  <c r="Z6152" i="1"/>
  <c r="A6153" i="1"/>
  <c r="B6153" i="1"/>
  <c r="C6153" i="1"/>
  <c r="D6153" i="1"/>
  <c r="E6153" i="1"/>
  <c r="F6153" i="1"/>
  <c r="G6153" i="1"/>
  <c r="I6153" i="1"/>
  <c r="J6153" i="1"/>
  <c r="K6153" i="1"/>
  <c r="L6153" i="1"/>
  <c r="M6153" i="1"/>
  <c r="N6153" i="1"/>
  <c r="O6153" i="1"/>
  <c r="P6153" i="1"/>
  <c r="Q6153" i="1"/>
  <c r="R6153" i="1"/>
  <c r="S6153" i="1"/>
  <c r="T6153" i="1"/>
  <c r="U6153" i="1"/>
  <c r="V6153" i="1"/>
  <c r="W6153" i="1"/>
  <c r="X6153" i="1"/>
  <c r="Y6153" i="1"/>
  <c r="Z6153" i="1"/>
  <c r="A6154" i="1"/>
  <c r="B6154" i="1"/>
  <c r="C6154" i="1"/>
  <c r="D6154" i="1"/>
  <c r="E6154" i="1"/>
  <c r="F6154" i="1"/>
  <c r="G6154" i="1"/>
  <c r="I6154" i="1"/>
  <c r="J6154" i="1"/>
  <c r="K6154" i="1"/>
  <c r="L6154" i="1"/>
  <c r="M6154" i="1"/>
  <c r="N6154" i="1"/>
  <c r="O6154" i="1"/>
  <c r="P6154" i="1"/>
  <c r="Q6154" i="1"/>
  <c r="R6154" i="1"/>
  <c r="S6154" i="1"/>
  <c r="T6154" i="1"/>
  <c r="U6154" i="1"/>
  <c r="V6154" i="1"/>
  <c r="W6154" i="1"/>
  <c r="X6154" i="1"/>
  <c r="Y6154" i="1"/>
  <c r="Z6154" i="1"/>
  <c r="A6155" i="1"/>
  <c r="B6155" i="1"/>
  <c r="C6155" i="1"/>
  <c r="D6155" i="1"/>
  <c r="E6155" i="1"/>
  <c r="F6155" i="1"/>
  <c r="G6155" i="1"/>
  <c r="I6155" i="1"/>
  <c r="J6155" i="1"/>
  <c r="K6155" i="1"/>
  <c r="L6155" i="1"/>
  <c r="M6155" i="1"/>
  <c r="N6155" i="1"/>
  <c r="O6155" i="1"/>
  <c r="P6155" i="1"/>
  <c r="Q6155" i="1"/>
  <c r="R6155" i="1"/>
  <c r="S6155" i="1"/>
  <c r="T6155" i="1"/>
  <c r="U6155" i="1"/>
  <c r="V6155" i="1"/>
  <c r="W6155" i="1"/>
  <c r="X6155" i="1"/>
  <c r="Y6155" i="1"/>
  <c r="Z6155" i="1"/>
  <c r="A6156" i="1"/>
  <c r="B6156" i="1"/>
  <c r="C6156" i="1"/>
  <c r="D6156" i="1"/>
  <c r="E6156" i="1"/>
  <c r="F6156" i="1"/>
  <c r="G6156" i="1"/>
  <c r="I6156" i="1"/>
  <c r="J6156" i="1"/>
  <c r="K6156" i="1"/>
  <c r="L6156" i="1"/>
  <c r="M6156" i="1"/>
  <c r="N6156" i="1"/>
  <c r="O6156" i="1"/>
  <c r="P6156" i="1"/>
  <c r="Q6156" i="1"/>
  <c r="R6156" i="1"/>
  <c r="S6156" i="1"/>
  <c r="T6156" i="1"/>
  <c r="U6156" i="1"/>
  <c r="V6156" i="1"/>
  <c r="W6156" i="1"/>
  <c r="X6156" i="1"/>
  <c r="Y6156" i="1"/>
  <c r="Z6156" i="1"/>
  <c r="A6157" i="1"/>
  <c r="B6157" i="1"/>
  <c r="C6157" i="1"/>
  <c r="D6157" i="1"/>
  <c r="E6157" i="1"/>
  <c r="F6157" i="1"/>
  <c r="G6157" i="1"/>
  <c r="I6157" i="1"/>
  <c r="J6157" i="1"/>
  <c r="K6157" i="1"/>
  <c r="L6157" i="1"/>
  <c r="M6157" i="1"/>
  <c r="N6157" i="1"/>
  <c r="O6157" i="1"/>
  <c r="P6157" i="1"/>
  <c r="Q6157" i="1"/>
  <c r="R6157" i="1"/>
  <c r="S6157" i="1"/>
  <c r="T6157" i="1"/>
  <c r="U6157" i="1"/>
  <c r="V6157" i="1"/>
  <c r="W6157" i="1"/>
  <c r="X6157" i="1"/>
  <c r="Y6157" i="1"/>
  <c r="Z6157" i="1"/>
  <c r="A6158" i="1"/>
  <c r="B6158" i="1"/>
  <c r="C6158" i="1"/>
  <c r="D6158" i="1"/>
  <c r="E6158" i="1"/>
  <c r="F6158" i="1"/>
  <c r="G6158" i="1"/>
  <c r="I6158" i="1"/>
  <c r="J6158" i="1"/>
  <c r="K6158" i="1"/>
  <c r="L6158" i="1"/>
  <c r="M6158" i="1"/>
  <c r="N6158" i="1"/>
  <c r="O6158" i="1"/>
  <c r="P6158" i="1"/>
  <c r="Q6158" i="1"/>
  <c r="R6158" i="1"/>
  <c r="S6158" i="1"/>
  <c r="T6158" i="1"/>
  <c r="U6158" i="1"/>
  <c r="V6158" i="1"/>
  <c r="W6158" i="1"/>
  <c r="X6158" i="1"/>
  <c r="Y6158" i="1"/>
  <c r="Z6158" i="1"/>
  <c r="A6159" i="1"/>
  <c r="B6159" i="1"/>
  <c r="C6159" i="1"/>
  <c r="D6159" i="1"/>
  <c r="E6159" i="1"/>
  <c r="F6159" i="1"/>
  <c r="G6159" i="1"/>
  <c r="I6159" i="1"/>
  <c r="J6159" i="1"/>
  <c r="K6159" i="1"/>
  <c r="L6159" i="1"/>
  <c r="M6159" i="1"/>
  <c r="N6159" i="1"/>
  <c r="O6159" i="1"/>
  <c r="P6159" i="1"/>
  <c r="Q6159" i="1"/>
  <c r="R6159" i="1"/>
  <c r="S6159" i="1"/>
  <c r="T6159" i="1"/>
  <c r="U6159" i="1"/>
  <c r="V6159" i="1"/>
  <c r="W6159" i="1"/>
  <c r="X6159" i="1"/>
  <c r="Y6159" i="1"/>
  <c r="Z6159" i="1"/>
  <c r="A6160" i="1"/>
  <c r="B6160" i="1"/>
  <c r="C6160" i="1"/>
  <c r="D6160" i="1"/>
  <c r="E6160" i="1"/>
  <c r="F6160" i="1"/>
  <c r="G6160" i="1"/>
  <c r="I6160" i="1"/>
  <c r="J6160" i="1"/>
  <c r="K6160" i="1"/>
  <c r="L6160" i="1"/>
  <c r="M6160" i="1"/>
  <c r="N6160" i="1"/>
  <c r="O6160" i="1"/>
  <c r="P6160" i="1"/>
  <c r="Q6160" i="1"/>
  <c r="R6160" i="1"/>
  <c r="S6160" i="1"/>
  <c r="T6160" i="1"/>
  <c r="U6160" i="1"/>
  <c r="V6160" i="1"/>
  <c r="W6160" i="1"/>
  <c r="X6160" i="1"/>
  <c r="Y6160" i="1"/>
  <c r="Z6160" i="1"/>
  <c r="A6161" i="1"/>
  <c r="B6161" i="1"/>
  <c r="C6161" i="1"/>
  <c r="D6161" i="1"/>
  <c r="E6161" i="1"/>
  <c r="F6161" i="1"/>
  <c r="G6161" i="1"/>
  <c r="I6161" i="1"/>
  <c r="J6161" i="1"/>
  <c r="K6161" i="1"/>
  <c r="L6161" i="1"/>
  <c r="M6161" i="1"/>
  <c r="N6161" i="1"/>
  <c r="O6161" i="1"/>
  <c r="P6161" i="1"/>
  <c r="Q6161" i="1"/>
  <c r="R6161" i="1"/>
  <c r="S6161" i="1"/>
  <c r="T6161" i="1"/>
  <c r="U6161" i="1"/>
  <c r="V6161" i="1"/>
  <c r="W6161" i="1"/>
  <c r="X6161" i="1"/>
  <c r="Y6161" i="1"/>
  <c r="Z6161" i="1"/>
  <c r="A6162" i="1"/>
  <c r="B6162" i="1"/>
  <c r="C6162" i="1"/>
  <c r="D6162" i="1"/>
  <c r="E6162" i="1"/>
  <c r="F6162" i="1"/>
  <c r="G6162" i="1"/>
  <c r="I6162" i="1"/>
  <c r="J6162" i="1"/>
  <c r="K6162" i="1"/>
  <c r="L6162" i="1"/>
  <c r="M6162" i="1"/>
  <c r="N6162" i="1"/>
  <c r="O6162" i="1"/>
  <c r="P6162" i="1"/>
  <c r="Q6162" i="1"/>
  <c r="R6162" i="1"/>
  <c r="S6162" i="1"/>
  <c r="T6162" i="1"/>
  <c r="U6162" i="1"/>
  <c r="V6162" i="1"/>
  <c r="W6162" i="1"/>
  <c r="X6162" i="1"/>
  <c r="Y6162" i="1"/>
  <c r="Z6162" i="1"/>
  <c r="A6163" i="1"/>
  <c r="B6163" i="1"/>
  <c r="C6163" i="1"/>
  <c r="D6163" i="1"/>
  <c r="E6163" i="1"/>
  <c r="F6163" i="1"/>
  <c r="G6163" i="1"/>
  <c r="I6163" i="1"/>
  <c r="J6163" i="1"/>
  <c r="K6163" i="1"/>
  <c r="L6163" i="1"/>
  <c r="M6163" i="1"/>
  <c r="N6163" i="1"/>
  <c r="O6163" i="1"/>
  <c r="P6163" i="1"/>
  <c r="Q6163" i="1"/>
  <c r="R6163" i="1"/>
  <c r="S6163" i="1"/>
  <c r="T6163" i="1"/>
  <c r="U6163" i="1"/>
  <c r="V6163" i="1"/>
  <c r="W6163" i="1"/>
  <c r="X6163" i="1"/>
  <c r="Y6163" i="1"/>
  <c r="Z6163" i="1"/>
  <c r="A6164" i="1"/>
  <c r="B6164" i="1"/>
  <c r="C6164" i="1"/>
  <c r="D6164" i="1"/>
  <c r="E6164" i="1"/>
  <c r="F6164" i="1"/>
  <c r="G6164" i="1"/>
  <c r="I6164" i="1"/>
  <c r="J6164" i="1"/>
  <c r="K6164" i="1"/>
  <c r="L6164" i="1"/>
  <c r="M6164" i="1"/>
  <c r="N6164" i="1"/>
  <c r="O6164" i="1"/>
  <c r="P6164" i="1"/>
  <c r="Q6164" i="1"/>
  <c r="R6164" i="1"/>
  <c r="S6164" i="1"/>
  <c r="T6164" i="1"/>
  <c r="U6164" i="1"/>
  <c r="V6164" i="1"/>
  <c r="W6164" i="1"/>
  <c r="X6164" i="1"/>
  <c r="Y6164" i="1"/>
  <c r="Z6164" i="1"/>
  <c r="A6165" i="1"/>
  <c r="B6165" i="1"/>
  <c r="C6165" i="1"/>
  <c r="D6165" i="1"/>
  <c r="E6165" i="1"/>
  <c r="F6165" i="1"/>
  <c r="G6165" i="1"/>
  <c r="I6165" i="1"/>
  <c r="J6165" i="1"/>
  <c r="K6165" i="1"/>
  <c r="L6165" i="1"/>
  <c r="M6165" i="1"/>
  <c r="N6165" i="1"/>
  <c r="O6165" i="1"/>
  <c r="P6165" i="1"/>
  <c r="Q6165" i="1"/>
  <c r="R6165" i="1"/>
  <c r="S6165" i="1"/>
  <c r="T6165" i="1"/>
  <c r="U6165" i="1"/>
  <c r="V6165" i="1"/>
  <c r="W6165" i="1"/>
  <c r="X6165" i="1"/>
  <c r="Y6165" i="1"/>
  <c r="Z6165" i="1"/>
  <c r="A6166" i="1"/>
  <c r="B6166" i="1"/>
  <c r="C6166" i="1"/>
  <c r="D6166" i="1"/>
  <c r="E6166" i="1"/>
  <c r="F6166" i="1"/>
  <c r="G6166" i="1"/>
  <c r="I6166" i="1"/>
  <c r="J6166" i="1"/>
  <c r="K6166" i="1"/>
  <c r="L6166" i="1"/>
  <c r="M6166" i="1"/>
  <c r="N6166" i="1"/>
  <c r="O6166" i="1"/>
  <c r="P6166" i="1"/>
  <c r="Q6166" i="1"/>
  <c r="R6166" i="1"/>
  <c r="S6166" i="1"/>
  <c r="T6166" i="1"/>
  <c r="U6166" i="1"/>
  <c r="V6166" i="1"/>
  <c r="W6166" i="1"/>
  <c r="X6166" i="1"/>
  <c r="Y6166" i="1"/>
  <c r="Z6166" i="1"/>
  <c r="A6167" i="1"/>
  <c r="B6167" i="1"/>
  <c r="C6167" i="1"/>
  <c r="D6167" i="1"/>
  <c r="E6167" i="1"/>
  <c r="F6167" i="1"/>
  <c r="G6167" i="1"/>
  <c r="I6167" i="1"/>
  <c r="J6167" i="1"/>
  <c r="K6167" i="1"/>
  <c r="L6167" i="1"/>
  <c r="M6167" i="1"/>
  <c r="N6167" i="1"/>
  <c r="O6167" i="1"/>
  <c r="P6167" i="1"/>
  <c r="Q6167" i="1"/>
  <c r="R6167" i="1"/>
  <c r="S6167" i="1"/>
  <c r="T6167" i="1"/>
  <c r="U6167" i="1"/>
  <c r="V6167" i="1"/>
  <c r="W6167" i="1"/>
  <c r="X6167" i="1"/>
  <c r="Y6167" i="1"/>
  <c r="Z6167" i="1"/>
  <c r="A6168" i="1"/>
  <c r="B6168" i="1"/>
  <c r="C6168" i="1"/>
  <c r="D6168" i="1"/>
  <c r="E6168" i="1"/>
  <c r="F6168" i="1"/>
  <c r="G6168" i="1"/>
  <c r="I6168" i="1"/>
  <c r="J6168" i="1"/>
  <c r="K6168" i="1"/>
  <c r="L6168" i="1"/>
  <c r="M6168" i="1"/>
  <c r="N6168" i="1"/>
  <c r="O6168" i="1"/>
  <c r="P6168" i="1"/>
  <c r="Q6168" i="1"/>
  <c r="R6168" i="1"/>
  <c r="S6168" i="1"/>
  <c r="T6168" i="1"/>
  <c r="U6168" i="1"/>
  <c r="V6168" i="1"/>
  <c r="W6168" i="1"/>
  <c r="X6168" i="1"/>
  <c r="Y6168" i="1"/>
  <c r="Z6168" i="1"/>
  <c r="A6169" i="1"/>
  <c r="B6169" i="1"/>
  <c r="C6169" i="1"/>
  <c r="D6169" i="1"/>
  <c r="E6169" i="1"/>
  <c r="F6169" i="1"/>
  <c r="G6169" i="1"/>
  <c r="I6169" i="1"/>
  <c r="J6169" i="1"/>
  <c r="K6169" i="1"/>
  <c r="L6169" i="1"/>
  <c r="M6169" i="1"/>
  <c r="N6169" i="1"/>
  <c r="O6169" i="1"/>
  <c r="P6169" i="1"/>
  <c r="Q6169" i="1"/>
  <c r="R6169" i="1"/>
  <c r="S6169" i="1"/>
  <c r="T6169" i="1"/>
  <c r="U6169" i="1"/>
  <c r="V6169" i="1"/>
  <c r="W6169" i="1"/>
  <c r="X6169" i="1"/>
  <c r="Y6169" i="1"/>
  <c r="Z6169" i="1"/>
  <c r="A6170" i="1"/>
  <c r="B6170" i="1"/>
  <c r="C6170" i="1"/>
  <c r="D6170" i="1"/>
  <c r="E6170" i="1"/>
  <c r="F6170" i="1"/>
  <c r="G6170" i="1"/>
  <c r="I6170" i="1"/>
  <c r="J6170" i="1"/>
  <c r="K6170" i="1"/>
  <c r="L6170" i="1"/>
  <c r="M6170" i="1"/>
  <c r="N6170" i="1"/>
  <c r="O6170" i="1"/>
  <c r="P6170" i="1"/>
  <c r="Q6170" i="1"/>
  <c r="R6170" i="1"/>
  <c r="S6170" i="1"/>
  <c r="T6170" i="1"/>
  <c r="U6170" i="1"/>
  <c r="V6170" i="1"/>
  <c r="W6170" i="1"/>
  <c r="X6170" i="1"/>
  <c r="Y6170" i="1"/>
  <c r="Z6170" i="1"/>
  <c r="A6171" i="1"/>
  <c r="B6171" i="1"/>
  <c r="C6171" i="1"/>
  <c r="D6171" i="1"/>
  <c r="E6171" i="1"/>
  <c r="F6171" i="1"/>
  <c r="G6171" i="1"/>
  <c r="I6171" i="1"/>
  <c r="J6171" i="1"/>
  <c r="K6171" i="1"/>
  <c r="L6171" i="1"/>
  <c r="M6171" i="1"/>
  <c r="N6171" i="1"/>
  <c r="O6171" i="1"/>
  <c r="P6171" i="1"/>
  <c r="Q6171" i="1"/>
  <c r="R6171" i="1"/>
  <c r="S6171" i="1"/>
  <c r="T6171" i="1"/>
  <c r="U6171" i="1"/>
  <c r="V6171" i="1"/>
  <c r="W6171" i="1"/>
  <c r="X6171" i="1"/>
  <c r="Y6171" i="1"/>
  <c r="Z6171" i="1"/>
  <c r="A6172" i="1"/>
  <c r="B6172" i="1"/>
  <c r="C6172" i="1"/>
  <c r="D6172" i="1"/>
  <c r="E6172" i="1"/>
  <c r="F6172" i="1"/>
  <c r="G6172" i="1"/>
  <c r="I6172" i="1"/>
  <c r="J6172" i="1"/>
  <c r="K6172" i="1"/>
  <c r="L6172" i="1"/>
  <c r="M6172" i="1"/>
  <c r="N6172" i="1"/>
  <c r="O6172" i="1"/>
  <c r="P6172" i="1"/>
  <c r="Q6172" i="1"/>
  <c r="R6172" i="1"/>
  <c r="S6172" i="1"/>
  <c r="T6172" i="1"/>
  <c r="U6172" i="1"/>
  <c r="V6172" i="1"/>
  <c r="W6172" i="1"/>
  <c r="X6172" i="1"/>
  <c r="Y6172" i="1"/>
  <c r="Z6172" i="1"/>
  <c r="A6173" i="1"/>
  <c r="B6173" i="1"/>
  <c r="C6173" i="1"/>
  <c r="D6173" i="1"/>
  <c r="E6173" i="1"/>
  <c r="F6173" i="1"/>
  <c r="G6173" i="1"/>
  <c r="I6173" i="1"/>
  <c r="J6173" i="1"/>
  <c r="K6173" i="1"/>
  <c r="L6173" i="1"/>
  <c r="M6173" i="1"/>
  <c r="N6173" i="1"/>
  <c r="O6173" i="1"/>
  <c r="P6173" i="1"/>
  <c r="Q6173" i="1"/>
  <c r="R6173" i="1"/>
  <c r="S6173" i="1"/>
  <c r="T6173" i="1"/>
  <c r="U6173" i="1"/>
  <c r="V6173" i="1"/>
  <c r="W6173" i="1"/>
  <c r="X6173" i="1"/>
  <c r="Y6173" i="1"/>
  <c r="Z6173" i="1"/>
  <c r="A6174" i="1"/>
  <c r="B6174" i="1"/>
  <c r="C6174" i="1"/>
  <c r="D6174" i="1"/>
  <c r="E6174" i="1"/>
  <c r="F6174" i="1"/>
  <c r="G6174" i="1"/>
  <c r="I6174" i="1"/>
  <c r="J6174" i="1"/>
  <c r="K6174" i="1"/>
  <c r="L6174" i="1"/>
  <c r="M6174" i="1"/>
  <c r="N6174" i="1"/>
  <c r="O6174" i="1"/>
  <c r="P6174" i="1"/>
  <c r="Q6174" i="1"/>
  <c r="R6174" i="1"/>
  <c r="S6174" i="1"/>
  <c r="T6174" i="1"/>
  <c r="U6174" i="1"/>
  <c r="V6174" i="1"/>
  <c r="W6174" i="1"/>
  <c r="X6174" i="1"/>
  <c r="Y6174" i="1"/>
  <c r="Z6174" i="1"/>
  <c r="A6175" i="1"/>
  <c r="B6175" i="1"/>
  <c r="C6175" i="1"/>
  <c r="D6175" i="1"/>
  <c r="E6175" i="1"/>
  <c r="F6175" i="1"/>
  <c r="G6175" i="1"/>
  <c r="I6175" i="1"/>
  <c r="J6175" i="1"/>
  <c r="K6175" i="1"/>
  <c r="L6175" i="1"/>
  <c r="M6175" i="1"/>
  <c r="N6175" i="1"/>
  <c r="O6175" i="1"/>
  <c r="P6175" i="1"/>
  <c r="Q6175" i="1"/>
  <c r="R6175" i="1"/>
  <c r="S6175" i="1"/>
  <c r="T6175" i="1"/>
  <c r="U6175" i="1"/>
  <c r="V6175" i="1"/>
  <c r="W6175" i="1"/>
  <c r="X6175" i="1"/>
  <c r="Y6175" i="1"/>
  <c r="Z6175" i="1"/>
  <c r="A6176" i="1"/>
  <c r="B6176" i="1"/>
  <c r="C6176" i="1"/>
  <c r="D6176" i="1"/>
  <c r="E6176" i="1"/>
  <c r="F6176" i="1"/>
  <c r="G6176" i="1"/>
  <c r="I6176" i="1"/>
  <c r="J6176" i="1"/>
  <c r="K6176" i="1"/>
  <c r="L6176" i="1"/>
  <c r="M6176" i="1"/>
  <c r="N6176" i="1"/>
  <c r="O6176" i="1"/>
  <c r="P6176" i="1"/>
  <c r="Q6176" i="1"/>
  <c r="R6176" i="1"/>
  <c r="S6176" i="1"/>
  <c r="T6176" i="1"/>
  <c r="U6176" i="1"/>
  <c r="V6176" i="1"/>
  <c r="W6176" i="1"/>
  <c r="X6176" i="1"/>
  <c r="Y6176" i="1"/>
  <c r="Z6176" i="1"/>
  <c r="A6177" i="1"/>
  <c r="B6177" i="1"/>
  <c r="C6177" i="1"/>
  <c r="D6177" i="1"/>
  <c r="E6177" i="1"/>
  <c r="F6177" i="1"/>
  <c r="G6177" i="1"/>
  <c r="I6177" i="1"/>
  <c r="J6177" i="1"/>
  <c r="K6177" i="1"/>
  <c r="L6177" i="1"/>
  <c r="M6177" i="1"/>
  <c r="N6177" i="1"/>
  <c r="O6177" i="1"/>
  <c r="P6177" i="1"/>
  <c r="Q6177" i="1"/>
  <c r="R6177" i="1"/>
  <c r="S6177" i="1"/>
  <c r="T6177" i="1"/>
  <c r="U6177" i="1"/>
  <c r="V6177" i="1"/>
  <c r="W6177" i="1"/>
  <c r="X6177" i="1"/>
  <c r="Y6177" i="1"/>
  <c r="Z6177" i="1"/>
  <c r="A6178" i="1"/>
  <c r="B6178" i="1"/>
  <c r="C6178" i="1"/>
  <c r="D6178" i="1"/>
  <c r="E6178" i="1"/>
  <c r="F6178" i="1"/>
  <c r="G6178" i="1"/>
  <c r="I6178" i="1"/>
  <c r="J6178" i="1"/>
  <c r="K6178" i="1"/>
  <c r="L6178" i="1"/>
  <c r="M6178" i="1"/>
  <c r="N6178" i="1"/>
  <c r="O6178" i="1"/>
  <c r="P6178" i="1"/>
  <c r="Q6178" i="1"/>
  <c r="R6178" i="1"/>
  <c r="S6178" i="1"/>
  <c r="T6178" i="1"/>
  <c r="U6178" i="1"/>
  <c r="V6178" i="1"/>
  <c r="W6178" i="1"/>
  <c r="X6178" i="1"/>
  <c r="Y6178" i="1"/>
  <c r="Z6178" i="1"/>
  <c r="A6179" i="1"/>
  <c r="B6179" i="1"/>
  <c r="C6179" i="1"/>
  <c r="D6179" i="1"/>
  <c r="E6179" i="1"/>
  <c r="F6179" i="1"/>
  <c r="G6179" i="1"/>
  <c r="I6179" i="1"/>
  <c r="J6179" i="1"/>
  <c r="K6179" i="1"/>
  <c r="L6179" i="1"/>
  <c r="M6179" i="1"/>
  <c r="N6179" i="1"/>
  <c r="O6179" i="1"/>
  <c r="P6179" i="1"/>
  <c r="Q6179" i="1"/>
  <c r="R6179" i="1"/>
  <c r="S6179" i="1"/>
  <c r="T6179" i="1"/>
  <c r="U6179" i="1"/>
  <c r="V6179" i="1"/>
  <c r="W6179" i="1"/>
  <c r="X6179" i="1"/>
  <c r="Y6179" i="1"/>
  <c r="Z6179" i="1"/>
  <c r="A6180" i="1"/>
  <c r="B6180" i="1"/>
  <c r="C6180" i="1"/>
  <c r="D6180" i="1"/>
  <c r="E6180" i="1"/>
  <c r="F6180" i="1"/>
  <c r="G6180" i="1"/>
  <c r="I6180" i="1"/>
  <c r="J6180" i="1"/>
  <c r="K6180" i="1"/>
  <c r="L6180" i="1"/>
  <c r="M6180" i="1"/>
  <c r="N6180" i="1"/>
  <c r="O6180" i="1"/>
  <c r="P6180" i="1"/>
  <c r="Q6180" i="1"/>
  <c r="R6180" i="1"/>
  <c r="S6180" i="1"/>
  <c r="T6180" i="1"/>
  <c r="U6180" i="1"/>
  <c r="V6180" i="1"/>
  <c r="W6180" i="1"/>
  <c r="X6180" i="1"/>
  <c r="Y6180" i="1"/>
  <c r="Z6180" i="1"/>
  <c r="A6181" i="1"/>
  <c r="B6181" i="1"/>
  <c r="C6181" i="1"/>
  <c r="D6181" i="1"/>
  <c r="E6181" i="1"/>
  <c r="F6181" i="1"/>
  <c r="G6181" i="1"/>
  <c r="I6181" i="1"/>
  <c r="J6181" i="1"/>
  <c r="K6181" i="1"/>
  <c r="L6181" i="1"/>
  <c r="M6181" i="1"/>
  <c r="N6181" i="1"/>
  <c r="O6181" i="1"/>
  <c r="P6181" i="1"/>
  <c r="Q6181" i="1"/>
  <c r="R6181" i="1"/>
  <c r="S6181" i="1"/>
  <c r="T6181" i="1"/>
  <c r="U6181" i="1"/>
  <c r="V6181" i="1"/>
  <c r="W6181" i="1"/>
  <c r="X6181" i="1"/>
  <c r="Y6181" i="1"/>
  <c r="Z6181" i="1"/>
  <c r="A6182" i="1"/>
  <c r="B6182" i="1"/>
  <c r="C6182" i="1"/>
  <c r="D6182" i="1"/>
  <c r="E6182" i="1"/>
  <c r="F6182" i="1"/>
  <c r="G6182" i="1"/>
  <c r="I6182" i="1"/>
  <c r="J6182" i="1"/>
  <c r="K6182" i="1"/>
  <c r="L6182" i="1"/>
  <c r="M6182" i="1"/>
  <c r="N6182" i="1"/>
  <c r="O6182" i="1"/>
  <c r="P6182" i="1"/>
  <c r="Q6182" i="1"/>
  <c r="R6182" i="1"/>
  <c r="S6182" i="1"/>
  <c r="T6182" i="1"/>
  <c r="U6182" i="1"/>
  <c r="V6182" i="1"/>
  <c r="W6182" i="1"/>
  <c r="X6182" i="1"/>
  <c r="Y6182" i="1"/>
  <c r="Z6182" i="1"/>
  <c r="A6183" i="1"/>
  <c r="B6183" i="1"/>
  <c r="C6183" i="1"/>
  <c r="D6183" i="1"/>
  <c r="E6183" i="1"/>
  <c r="F6183" i="1"/>
  <c r="G6183" i="1"/>
  <c r="I6183" i="1"/>
  <c r="J6183" i="1"/>
  <c r="K6183" i="1"/>
  <c r="L6183" i="1"/>
  <c r="M6183" i="1"/>
  <c r="N6183" i="1"/>
  <c r="O6183" i="1"/>
  <c r="P6183" i="1"/>
  <c r="Q6183" i="1"/>
  <c r="R6183" i="1"/>
  <c r="S6183" i="1"/>
  <c r="T6183" i="1"/>
  <c r="U6183" i="1"/>
  <c r="V6183" i="1"/>
  <c r="W6183" i="1"/>
  <c r="X6183" i="1"/>
  <c r="Y6183" i="1"/>
  <c r="Z6183" i="1"/>
  <c r="A6184" i="1"/>
  <c r="B6184" i="1"/>
  <c r="C6184" i="1"/>
  <c r="D6184" i="1"/>
  <c r="E6184" i="1"/>
  <c r="F6184" i="1"/>
  <c r="G6184" i="1"/>
  <c r="I6184" i="1"/>
  <c r="J6184" i="1"/>
  <c r="K6184" i="1"/>
  <c r="L6184" i="1"/>
  <c r="M6184" i="1"/>
  <c r="N6184" i="1"/>
  <c r="O6184" i="1"/>
  <c r="P6184" i="1"/>
  <c r="Q6184" i="1"/>
  <c r="R6184" i="1"/>
  <c r="S6184" i="1"/>
  <c r="T6184" i="1"/>
  <c r="U6184" i="1"/>
  <c r="V6184" i="1"/>
  <c r="W6184" i="1"/>
  <c r="X6184" i="1"/>
  <c r="Y6184" i="1"/>
  <c r="Z6184" i="1"/>
  <c r="A6185" i="1"/>
  <c r="B6185" i="1"/>
  <c r="C6185" i="1"/>
  <c r="D6185" i="1"/>
  <c r="E6185" i="1"/>
  <c r="F6185" i="1"/>
  <c r="G6185" i="1"/>
  <c r="I6185" i="1"/>
  <c r="J6185" i="1"/>
  <c r="K6185" i="1"/>
  <c r="L6185" i="1"/>
  <c r="M6185" i="1"/>
  <c r="N6185" i="1"/>
  <c r="O6185" i="1"/>
  <c r="P6185" i="1"/>
  <c r="Q6185" i="1"/>
  <c r="R6185" i="1"/>
  <c r="S6185" i="1"/>
  <c r="T6185" i="1"/>
  <c r="U6185" i="1"/>
  <c r="V6185" i="1"/>
  <c r="W6185" i="1"/>
  <c r="X6185" i="1"/>
  <c r="Y6185" i="1"/>
  <c r="Z6185" i="1"/>
  <c r="A6186" i="1"/>
  <c r="B6186" i="1"/>
  <c r="C6186" i="1"/>
  <c r="D6186" i="1"/>
  <c r="E6186" i="1"/>
  <c r="F6186" i="1"/>
  <c r="G6186" i="1"/>
  <c r="I6186" i="1"/>
  <c r="J6186" i="1"/>
  <c r="K6186" i="1"/>
  <c r="L6186" i="1"/>
  <c r="M6186" i="1"/>
  <c r="N6186" i="1"/>
  <c r="O6186" i="1"/>
  <c r="P6186" i="1"/>
  <c r="Q6186" i="1"/>
  <c r="R6186" i="1"/>
  <c r="S6186" i="1"/>
  <c r="T6186" i="1"/>
  <c r="U6186" i="1"/>
  <c r="V6186" i="1"/>
  <c r="W6186" i="1"/>
  <c r="X6186" i="1"/>
  <c r="Y6186" i="1"/>
  <c r="Z6186" i="1"/>
  <c r="A6187" i="1"/>
  <c r="B6187" i="1"/>
  <c r="C6187" i="1"/>
  <c r="D6187" i="1"/>
  <c r="E6187" i="1"/>
  <c r="F6187" i="1"/>
  <c r="G6187" i="1"/>
  <c r="I6187" i="1"/>
  <c r="J6187" i="1"/>
  <c r="K6187" i="1"/>
  <c r="L6187" i="1"/>
  <c r="M6187" i="1"/>
  <c r="N6187" i="1"/>
  <c r="O6187" i="1"/>
  <c r="P6187" i="1"/>
  <c r="Q6187" i="1"/>
  <c r="R6187" i="1"/>
  <c r="S6187" i="1"/>
  <c r="T6187" i="1"/>
  <c r="U6187" i="1"/>
  <c r="V6187" i="1"/>
  <c r="W6187" i="1"/>
  <c r="X6187" i="1"/>
  <c r="Y6187" i="1"/>
  <c r="Z6187" i="1"/>
  <c r="A6188" i="1"/>
  <c r="B6188" i="1"/>
  <c r="C6188" i="1"/>
  <c r="D6188" i="1"/>
  <c r="E6188" i="1"/>
  <c r="F6188" i="1"/>
  <c r="G6188" i="1"/>
  <c r="I6188" i="1"/>
  <c r="J6188" i="1"/>
  <c r="K6188" i="1"/>
  <c r="L6188" i="1"/>
  <c r="M6188" i="1"/>
  <c r="N6188" i="1"/>
  <c r="O6188" i="1"/>
  <c r="P6188" i="1"/>
  <c r="Q6188" i="1"/>
  <c r="R6188" i="1"/>
  <c r="S6188" i="1"/>
  <c r="T6188" i="1"/>
  <c r="U6188" i="1"/>
  <c r="V6188" i="1"/>
  <c r="W6188" i="1"/>
  <c r="X6188" i="1"/>
  <c r="Y6188" i="1"/>
  <c r="Z6188" i="1"/>
  <c r="A6189" i="1"/>
  <c r="B6189" i="1"/>
  <c r="C6189" i="1"/>
  <c r="D6189" i="1"/>
  <c r="E6189" i="1"/>
  <c r="F6189" i="1"/>
  <c r="G6189" i="1"/>
  <c r="I6189" i="1"/>
  <c r="J6189" i="1"/>
  <c r="K6189" i="1"/>
  <c r="L6189" i="1"/>
  <c r="M6189" i="1"/>
  <c r="N6189" i="1"/>
  <c r="O6189" i="1"/>
  <c r="P6189" i="1"/>
  <c r="Q6189" i="1"/>
  <c r="R6189" i="1"/>
  <c r="S6189" i="1"/>
  <c r="T6189" i="1"/>
  <c r="U6189" i="1"/>
  <c r="V6189" i="1"/>
  <c r="W6189" i="1"/>
  <c r="X6189" i="1"/>
  <c r="Y6189" i="1"/>
  <c r="Z6189" i="1"/>
  <c r="A6190" i="1"/>
  <c r="B6190" i="1"/>
  <c r="C6190" i="1"/>
  <c r="D6190" i="1"/>
  <c r="E6190" i="1"/>
  <c r="F6190" i="1"/>
  <c r="G6190" i="1"/>
  <c r="I6190" i="1"/>
  <c r="J6190" i="1"/>
  <c r="K6190" i="1"/>
  <c r="L6190" i="1"/>
  <c r="M6190" i="1"/>
  <c r="N6190" i="1"/>
  <c r="O6190" i="1"/>
  <c r="P6190" i="1"/>
  <c r="Q6190" i="1"/>
  <c r="R6190" i="1"/>
  <c r="S6190" i="1"/>
  <c r="T6190" i="1"/>
  <c r="U6190" i="1"/>
  <c r="V6190" i="1"/>
  <c r="W6190" i="1"/>
  <c r="X6190" i="1"/>
  <c r="Y6190" i="1"/>
  <c r="Z6190" i="1"/>
  <c r="A6191" i="1"/>
  <c r="B6191" i="1"/>
  <c r="C6191" i="1"/>
  <c r="D6191" i="1"/>
  <c r="E6191" i="1"/>
  <c r="F6191" i="1"/>
  <c r="G6191" i="1"/>
  <c r="I6191" i="1"/>
  <c r="J6191" i="1"/>
  <c r="K6191" i="1"/>
  <c r="L6191" i="1"/>
  <c r="M6191" i="1"/>
  <c r="N6191" i="1"/>
  <c r="O6191" i="1"/>
  <c r="P6191" i="1"/>
  <c r="Q6191" i="1"/>
  <c r="R6191" i="1"/>
  <c r="S6191" i="1"/>
  <c r="T6191" i="1"/>
  <c r="U6191" i="1"/>
  <c r="V6191" i="1"/>
  <c r="W6191" i="1"/>
  <c r="X6191" i="1"/>
  <c r="Y6191" i="1"/>
  <c r="Z6191" i="1"/>
  <c r="A6192" i="1"/>
  <c r="B6192" i="1"/>
  <c r="C6192" i="1"/>
  <c r="D6192" i="1"/>
  <c r="E6192" i="1"/>
  <c r="F6192" i="1"/>
  <c r="G6192" i="1"/>
  <c r="I6192" i="1"/>
  <c r="J6192" i="1"/>
  <c r="K6192" i="1"/>
  <c r="L6192" i="1"/>
  <c r="M6192" i="1"/>
  <c r="N6192" i="1"/>
  <c r="O6192" i="1"/>
  <c r="P6192" i="1"/>
  <c r="Q6192" i="1"/>
  <c r="R6192" i="1"/>
  <c r="S6192" i="1"/>
  <c r="T6192" i="1"/>
  <c r="U6192" i="1"/>
  <c r="V6192" i="1"/>
  <c r="W6192" i="1"/>
  <c r="X6192" i="1"/>
  <c r="Y6192" i="1"/>
  <c r="Z6192" i="1"/>
  <c r="A6193" i="1"/>
  <c r="B6193" i="1"/>
  <c r="C6193" i="1"/>
  <c r="D6193" i="1"/>
  <c r="E6193" i="1"/>
  <c r="F6193" i="1"/>
  <c r="G6193" i="1"/>
  <c r="I6193" i="1"/>
  <c r="J6193" i="1"/>
  <c r="K6193" i="1"/>
  <c r="L6193" i="1"/>
  <c r="M6193" i="1"/>
  <c r="N6193" i="1"/>
  <c r="O6193" i="1"/>
  <c r="P6193" i="1"/>
  <c r="Q6193" i="1"/>
  <c r="R6193" i="1"/>
  <c r="S6193" i="1"/>
  <c r="T6193" i="1"/>
  <c r="U6193" i="1"/>
  <c r="V6193" i="1"/>
  <c r="W6193" i="1"/>
  <c r="X6193" i="1"/>
  <c r="Y6193" i="1"/>
  <c r="Z6193" i="1"/>
  <c r="A6194" i="1"/>
  <c r="B6194" i="1"/>
  <c r="C6194" i="1"/>
  <c r="D6194" i="1"/>
  <c r="E6194" i="1"/>
  <c r="F6194" i="1"/>
  <c r="G6194" i="1"/>
  <c r="I6194" i="1"/>
  <c r="J6194" i="1"/>
  <c r="K6194" i="1"/>
  <c r="L6194" i="1"/>
  <c r="M6194" i="1"/>
  <c r="N6194" i="1"/>
  <c r="O6194" i="1"/>
  <c r="P6194" i="1"/>
  <c r="Q6194" i="1"/>
  <c r="R6194" i="1"/>
  <c r="S6194" i="1"/>
  <c r="T6194" i="1"/>
  <c r="U6194" i="1"/>
  <c r="V6194" i="1"/>
  <c r="W6194" i="1"/>
  <c r="X6194" i="1"/>
  <c r="Y6194" i="1"/>
  <c r="Z6194" i="1"/>
  <c r="A6195" i="1"/>
  <c r="B6195" i="1"/>
  <c r="C6195" i="1"/>
  <c r="D6195" i="1"/>
  <c r="E6195" i="1"/>
  <c r="F6195" i="1"/>
  <c r="G6195" i="1"/>
  <c r="I6195" i="1"/>
  <c r="J6195" i="1"/>
  <c r="K6195" i="1"/>
  <c r="L6195" i="1"/>
  <c r="M6195" i="1"/>
  <c r="N6195" i="1"/>
  <c r="O6195" i="1"/>
  <c r="P6195" i="1"/>
  <c r="Q6195" i="1"/>
  <c r="R6195" i="1"/>
  <c r="S6195" i="1"/>
  <c r="T6195" i="1"/>
  <c r="U6195" i="1"/>
  <c r="V6195" i="1"/>
  <c r="W6195" i="1"/>
  <c r="X6195" i="1"/>
  <c r="Y6195" i="1"/>
  <c r="Z6195" i="1"/>
  <c r="A6196" i="1"/>
  <c r="B6196" i="1"/>
  <c r="C6196" i="1"/>
  <c r="D6196" i="1"/>
  <c r="E6196" i="1"/>
  <c r="F6196" i="1"/>
  <c r="G6196" i="1"/>
  <c r="I6196" i="1"/>
  <c r="J6196" i="1"/>
  <c r="K6196" i="1"/>
  <c r="L6196" i="1"/>
  <c r="M6196" i="1"/>
  <c r="N6196" i="1"/>
  <c r="O6196" i="1"/>
  <c r="P6196" i="1"/>
  <c r="Q6196" i="1"/>
  <c r="R6196" i="1"/>
  <c r="S6196" i="1"/>
  <c r="T6196" i="1"/>
  <c r="U6196" i="1"/>
  <c r="V6196" i="1"/>
  <c r="W6196" i="1"/>
  <c r="X6196" i="1"/>
  <c r="Y6196" i="1"/>
  <c r="Z6196" i="1"/>
  <c r="A6197" i="1"/>
  <c r="B6197" i="1"/>
  <c r="C6197" i="1"/>
  <c r="D6197" i="1"/>
  <c r="E6197" i="1"/>
  <c r="F6197" i="1"/>
  <c r="G6197" i="1"/>
  <c r="I6197" i="1"/>
  <c r="J6197" i="1"/>
  <c r="K6197" i="1"/>
  <c r="L6197" i="1"/>
  <c r="M6197" i="1"/>
  <c r="N6197" i="1"/>
  <c r="O6197" i="1"/>
  <c r="P6197" i="1"/>
  <c r="Q6197" i="1"/>
  <c r="R6197" i="1"/>
  <c r="S6197" i="1"/>
  <c r="T6197" i="1"/>
  <c r="U6197" i="1"/>
  <c r="V6197" i="1"/>
  <c r="W6197" i="1"/>
  <c r="X6197" i="1"/>
  <c r="Y6197" i="1"/>
  <c r="Z6197" i="1"/>
  <c r="A6198" i="1"/>
  <c r="B6198" i="1"/>
  <c r="C6198" i="1"/>
  <c r="D6198" i="1"/>
  <c r="E6198" i="1"/>
  <c r="F6198" i="1"/>
  <c r="G6198" i="1"/>
  <c r="I6198" i="1"/>
  <c r="J6198" i="1"/>
  <c r="K6198" i="1"/>
  <c r="L6198" i="1"/>
  <c r="M6198" i="1"/>
  <c r="N6198" i="1"/>
  <c r="O6198" i="1"/>
  <c r="P6198" i="1"/>
  <c r="Q6198" i="1"/>
  <c r="R6198" i="1"/>
  <c r="S6198" i="1"/>
  <c r="T6198" i="1"/>
  <c r="U6198" i="1"/>
  <c r="V6198" i="1"/>
  <c r="W6198" i="1"/>
  <c r="X6198" i="1"/>
  <c r="Y6198" i="1"/>
  <c r="Z6198" i="1"/>
  <c r="A6199" i="1"/>
  <c r="B6199" i="1"/>
  <c r="C6199" i="1"/>
  <c r="D6199" i="1"/>
  <c r="E6199" i="1"/>
  <c r="F6199" i="1"/>
  <c r="G6199" i="1"/>
  <c r="I6199" i="1"/>
  <c r="J6199" i="1"/>
  <c r="K6199" i="1"/>
  <c r="L6199" i="1"/>
  <c r="M6199" i="1"/>
  <c r="N6199" i="1"/>
  <c r="O6199" i="1"/>
  <c r="P6199" i="1"/>
  <c r="Q6199" i="1"/>
  <c r="R6199" i="1"/>
  <c r="S6199" i="1"/>
  <c r="T6199" i="1"/>
  <c r="U6199" i="1"/>
  <c r="V6199" i="1"/>
  <c r="W6199" i="1"/>
  <c r="X6199" i="1"/>
  <c r="Y6199" i="1"/>
  <c r="Z6199" i="1"/>
  <c r="A6200" i="1"/>
  <c r="B6200" i="1"/>
  <c r="C6200" i="1"/>
  <c r="D6200" i="1"/>
  <c r="E6200" i="1"/>
  <c r="F6200" i="1"/>
  <c r="G6200" i="1"/>
  <c r="I6200" i="1"/>
  <c r="J6200" i="1"/>
  <c r="K6200" i="1"/>
  <c r="L6200" i="1"/>
  <c r="M6200" i="1"/>
  <c r="N6200" i="1"/>
  <c r="O6200" i="1"/>
  <c r="P6200" i="1"/>
  <c r="Q6200" i="1"/>
  <c r="R6200" i="1"/>
  <c r="S6200" i="1"/>
  <c r="T6200" i="1"/>
  <c r="U6200" i="1"/>
  <c r="V6200" i="1"/>
  <c r="W6200" i="1"/>
  <c r="X6200" i="1"/>
  <c r="Y6200" i="1"/>
  <c r="Z6200" i="1"/>
  <c r="A6201" i="1"/>
  <c r="B6201" i="1"/>
  <c r="C6201" i="1"/>
  <c r="D6201" i="1"/>
  <c r="E6201" i="1"/>
  <c r="F6201" i="1"/>
  <c r="G6201" i="1"/>
  <c r="I6201" i="1"/>
  <c r="J6201" i="1"/>
  <c r="K6201" i="1"/>
  <c r="L6201" i="1"/>
  <c r="M6201" i="1"/>
  <c r="N6201" i="1"/>
  <c r="O6201" i="1"/>
  <c r="P6201" i="1"/>
  <c r="Q6201" i="1"/>
  <c r="R6201" i="1"/>
  <c r="S6201" i="1"/>
  <c r="T6201" i="1"/>
  <c r="U6201" i="1"/>
  <c r="V6201" i="1"/>
  <c r="W6201" i="1"/>
  <c r="X6201" i="1"/>
  <c r="Y6201" i="1"/>
  <c r="Z6201" i="1"/>
  <c r="A6202" i="1"/>
  <c r="B6202" i="1"/>
  <c r="C6202" i="1"/>
  <c r="D6202" i="1"/>
  <c r="E6202" i="1"/>
  <c r="F6202" i="1"/>
  <c r="G6202" i="1"/>
  <c r="I6202" i="1"/>
  <c r="J6202" i="1"/>
  <c r="K6202" i="1"/>
  <c r="L6202" i="1"/>
  <c r="M6202" i="1"/>
  <c r="N6202" i="1"/>
  <c r="O6202" i="1"/>
  <c r="P6202" i="1"/>
  <c r="Q6202" i="1"/>
  <c r="R6202" i="1"/>
  <c r="S6202" i="1"/>
  <c r="T6202" i="1"/>
  <c r="U6202" i="1"/>
  <c r="V6202" i="1"/>
  <c r="W6202" i="1"/>
  <c r="X6202" i="1"/>
  <c r="Y6202" i="1"/>
  <c r="Z6202" i="1"/>
  <c r="A6203" i="1"/>
  <c r="B6203" i="1"/>
  <c r="C6203" i="1"/>
  <c r="D6203" i="1"/>
  <c r="E6203" i="1"/>
  <c r="F6203" i="1"/>
  <c r="G6203" i="1"/>
  <c r="I6203" i="1"/>
  <c r="J6203" i="1"/>
  <c r="K6203" i="1"/>
  <c r="L6203" i="1"/>
  <c r="M6203" i="1"/>
  <c r="N6203" i="1"/>
  <c r="O6203" i="1"/>
  <c r="P6203" i="1"/>
  <c r="Q6203" i="1"/>
  <c r="R6203" i="1"/>
  <c r="S6203" i="1"/>
  <c r="T6203" i="1"/>
  <c r="U6203" i="1"/>
  <c r="V6203" i="1"/>
  <c r="W6203" i="1"/>
  <c r="X6203" i="1"/>
  <c r="Y6203" i="1"/>
  <c r="Z6203" i="1"/>
  <c r="A6204" i="1"/>
  <c r="B6204" i="1"/>
  <c r="C6204" i="1"/>
  <c r="D6204" i="1"/>
  <c r="E6204" i="1"/>
  <c r="F6204" i="1"/>
  <c r="G6204" i="1"/>
  <c r="I6204" i="1"/>
  <c r="J6204" i="1"/>
  <c r="K6204" i="1"/>
  <c r="L6204" i="1"/>
  <c r="M6204" i="1"/>
  <c r="N6204" i="1"/>
  <c r="O6204" i="1"/>
  <c r="P6204" i="1"/>
  <c r="Q6204" i="1"/>
  <c r="R6204" i="1"/>
  <c r="S6204" i="1"/>
  <c r="T6204" i="1"/>
  <c r="U6204" i="1"/>
  <c r="V6204" i="1"/>
  <c r="W6204" i="1"/>
  <c r="X6204" i="1"/>
  <c r="Y6204" i="1"/>
  <c r="Z6204" i="1"/>
  <c r="A6205" i="1"/>
  <c r="B6205" i="1"/>
  <c r="C6205" i="1"/>
  <c r="D6205" i="1"/>
  <c r="E6205" i="1"/>
  <c r="F6205" i="1"/>
  <c r="G6205" i="1"/>
  <c r="I6205" i="1"/>
  <c r="J6205" i="1"/>
  <c r="K6205" i="1"/>
  <c r="L6205" i="1"/>
  <c r="M6205" i="1"/>
  <c r="N6205" i="1"/>
  <c r="O6205" i="1"/>
  <c r="P6205" i="1"/>
  <c r="Q6205" i="1"/>
  <c r="R6205" i="1"/>
  <c r="S6205" i="1"/>
  <c r="T6205" i="1"/>
  <c r="U6205" i="1"/>
  <c r="V6205" i="1"/>
  <c r="W6205" i="1"/>
  <c r="X6205" i="1"/>
  <c r="Y6205" i="1"/>
  <c r="Z6205" i="1"/>
  <c r="A6206" i="1"/>
  <c r="B6206" i="1"/>
  <c r="C6206" i="1"/>
  <c r="D6206" i="1"/>
  <c r="E6206" i="1"/>
  <c r="F6206" i="1"/>
  <c r="G6206" i="1"/>
  <c r="I6206" i="1"/>
  <c r="J6206" i="1"/>
  <c r="K6206" i="1"/>
  <c r="L6206" i="1"/>
  <c r="M6206" i="1"/>
  <c r="N6206" i="1"/>
  <c r="O6206" i="1"/>
  <c r="P6206" i="1"/>
  <c r="Q6206" i="1"/>
  <c r="R6206" i="1"/>
  <c r="S6206" i="1"/>
  <c r="T6206" i="1"/>
  <c r="U6206" i="1"/>
  <c r="V6206" i="1"/>
  <c r="W6206" i="1"/>
  <c r="X6206" i="1"/>
  <c r="Y6206" i="1"/>
  <c r="Z6206" i="1"/>
  <c r="A6207" i="1"/>
  <c r="B6207" i="1"/>
  <c r="C6207" i="1"/>
  <c r="D6207" i="1"/>
  <c r="E6207" i="1"/>
  <c r="F6207" i="1"/>
  <c r="G6207" i="1"/>
  <c r="I6207" i="1"/>
  <c r="J6207" i="1"/>
  <c r="K6207" i="1"/>
  <c r="L6207" i="1"/>
  <c r="M6207" i="1"/>
  <c r="N6207" i="1"/>
  <c r="O6207" i="1"/>
  <c r="P6207" i="1"/>
  <c r="Q6207" i="1"/>
  <c r="R6207" i="1"/>
  <c r="S6207" i="1"/>
  <c r="T6207" i="1"/>
  <c r="U6207" i="1"/>
  <c r="V6207" i="1"/>
  <c r="W6207" i="1"/>
  <c r="X6207" i="1"/>
  <c r="Y6207" i="1"/>
  <c r="Z6207" i="1"/>
  <c r="A6208" i="1"/>
  <c r="B6208" i="1"/>
  <c r="C6208" i="1"/>
  <c r="D6208" i="1"/>
  <c r="E6208" i="1"/>
  <c r="F6208" i="1"/>
  <c r="G6208" i="1"/>
  <c r="I6208" i="1"/>
  <c r="J6208" i="1"/>
  <c r="K6208" i="1"/>
  <c r="L6208" i="1"/>
  <c r="M6208" i="1"/>
  <c r="N6208" i="1"/>
  <c r="O6208" i="1"/>
  <c r="P6208" i="1"/>
  <c r="Q6208" i="1"/>
  <c r="R6208" i="1"/>
  <c r="S6208" i="1"/>
  <c r="T6208" i="1"/>
  <c r="U6208" i="1"/>
  <c r="V6208" i="1"/>
  <c r="W6208" i="1"/>
  <c r="X6208" i="1"/>
  <c r="Y6208" i="1"/>
  <c r="Z6208" i="1"/>
  <c r="A6209" i="1"/>
  <c r="B6209" i="1"/>
  <c r="C6209" i="1"/>
  <c r="D6209" i="1"/>
  <c r="E6209" i="1"/>
  <c r="F6209" i="1"/>
  <c r="G6209" i="1"/>
  <c r="I6209" i="1"/>
  <c r="J6209" i="1"/>
  <c r="K6209" i="1"/>
  <c r="L6209" i="1"/>
  <c r="M6209" i="1"/>
  <c r="N6209" i="1"/>
  <c r="O6209" i="1"/>
  <c r="P6209" i="1"/>
  <c r="Q6209" i="1"/>
  <c r="R6209" i="1"/>
  <c r="S6209" i="1"/>
  <c r="T6209" i="1"/>
  <c r="U6209" i="1"/>
  <c r="V6209" i="1"/>
  <c r="W6209" i="1"/>
  <c r="X6209" i="1"/>
  <c r="Y6209" i="1"/>
  <c r="Z6209" i="1"/>
  <c r="A6210" i="1"/>
  <c r="B6210" i="1"/>
  <c r="C6210" i="1"/>
  <c r="D6210" i="1"/>
  <c r="E6210" i="1"/>
  <c r="F6210" i="1"/>
  <c r="G6210" i="1"/>
  <c r="I6210" i="1"/>
  <c r="J6210" i="1"/>
  <c r="K6210" i="1"/>
  <c r="L6210" i="1"/>
  <c r="M6210" i="1"/>
  <c r="N6210" i="1"/>
  <c r="O6210" i="1"/>
  <c r="P6210" i="1"/>
  <c r="Q6210" i="1"/>
  <c r="R6210" i="1"/>
  <c r="S6210" i="1"/>
  <c r="T6210" i="1"/>
  <c r="U6210" i="1"/>
  <c r="V6210" i="1"/>
  <c r="W6210" i="1"/>
  <c r="X6210" i="1"/>
  <c r="Y6210" i="1"/>
  <c r="Z6210" i="1"/>
  <c r="A6211" i="1"/>
  <c r="B6211" i="1"/>
  <c r="C6211" i="1"/>
  <c r="D6211" i="1"/>
  <c r="E6211" i="1"/>
  <c r="F6211" i="1"/>
  <c r="G6211" i="1"/>
  <c r="I6211" i="1"/>
  <c r="J6211" i="1"/>
  <c r="K6211" i="1"/>
  <c r="L6211" i="1"/>
  <c r="M6211" i="1"/>
  <c r="N6211" i="1"/>
  <c r="O6211" i="1"/>
  <c r="P6211" i="1"/>
  <c r="Q6211" i="1"/>
  <c r="R6211" i="1"/>
  <c r="S6211" i="1"/>
  <c r="T6211" i="1"/>
  <c r="U6211" i="1"/>
  <c r="V6211" i="1"/>
  <c r="W6211" i="1"/>
  <c r="X6211" i="1"/>
  <c r="Y6211" i="1"/>
  <c r="Z6211" i="1"/>
  <c r="A6212" i="1"/>
  <c r="B6212" i="1"/>
  <c r="C6212" i="1"/>
  <c r="D6212" i="1"/>
  <c r="E6212" i="1"/>
  <c r="F6212" i="1"/>
  <c r="G6212" i="1"/>
  <c r="I6212" i="1"/>
  <c r="J6212" i="1"/>
  <c r="K6212" i="1"/>
  <c r="L6212" i="1"/>
  <c r="M6212" i="1"/>
  <c r="N6212" i="1"/>
  <c r="O6212" i="1"/>
  <c r="P6212" i="1"/>
  <c r="Q6212" i="1"/>
  <c r="R6212" i="1"/>
  <c r="S6212" i="1"/>
  <c r="T6212" i="1"/>
  <c r="U6212" i="1"/>
  <c r="V6212" i="1"/>
  <c r="W6212" i="1"/>
  <c r="X6212" i="1"/>
  <c r="Y6212" i="1"/>
  <c r="Z6212" i="1"/>
  <c r="A6213" i="1"/>
  <c r="B6213" i="1"/>
  <c r="C6213" i="1"/>
  <c r="D6213" i="1"/>
  <c r="E6213" i="1"/>
  <c r="F6213" i="1"/>
  <c r="G6213" i="1"/>
  <c r="I6213" i="1"/>
  <c r="J6213" i="1"/>
  <c r="K6213" i="1"/>
  <c r="L6213" i="1"/>
  <c r="M6213" i="1"/>
  <c r="N6213" i="1"/>
  <c r="O6213" i="1"/>
  <c r="P6213" i="1"/>
  <c r="Q6213" i="1"/>
  <c r="R6213" i="1"/>
  <c r="S6213" i="1"/>
  <c r="T6213" i="1"/>
  <c r="U6213" i="1"/>
  <c r="V6213" i="1"/>
  <c r="W6213" i="1"/>
  <c r="X6213" i="1"/>
  <c r="Y6213" i="1"/>
  <c r="Z6213" i="1"/>
  <c r="A6214" i="1"/>
  <c r="B6214" i="1"/>
  <c r="C6214" i="1"/>
  <c r="D6214" i="1"/>
  <c r="E6214" i="1"/>
  <c r="F6214" i="1"/>
  <c r="G6214" i="1"/>
  <c r="I6214" i="1"/>
  <c r="J6214" i="1"/>
  <c r="K6214" i="1"/>
  <c r="L6214" i="1"/>
  <c r="M6214" i="1"/>
  <c r="N6214" i="1"/>
  <c r="O6214" i="1"/>
  <c r="P6214" i="1"/>
  <c r="Q6214" i="1"/>
  <c r="R6214" i="1"/>
  <c r="S6214" i="1"/>
  <c r="T6214" i="1"/>
  <c r="U6214" i="1"/>
  <c r="V6214" i="1"/>
  <c r="W6214" i="1"/>
  <c r="X6214" i="1"/>
  <c r="Y6214" i="1"/>
  <c r="Z6214" i="1"/>
  <c r="A6215" i="1"/>
  <c r="B6215" i="1"/>
  <c r="C6215" i="1"/>
  <c r="D6215" i="1"/>
  <c r="E6215" i="1"/>
  <c r="F6215" i="1"/>
  <c r="G6215" i="1"/>
  <c r="I6215" i="1"/>
  <c r="J6215" i="1"/>
  <c r="K6215" i="1"/>
  <c r="L6215" i="1"/>
  <c r="M6215" i="1"/>
  <c r="N6215" i="1"/>
  <c r="O6215" i="1"/>
  <c r="P6215" i="1"/>
  <c r="Q6215" i="1"/>
  <c r="R6215" i="1"/>
  <c r="S6215" i="1"/>
  <c r="T6215" i="1"/>
  <c r="U6215" i="1"/>
  <c r="V6215" i="1"/>
  <c r="W6215" i="1"/>
  <c r="X6215" i="1"/>
  <c r="Y6215" i="1"/>
  <c r="Z6215" i="1"/>
  <c r="A6216" i="1"/>
  <c r="B6216" i="1"/>
  <c r="C6216" i="1"/>
  <c r="D6216" i="1"/>
  <c r="E6216" i="1"/>
  <c r="F6216" i="1"/>
  <c r="G6216" i="1"/>
  <c r="I6216" i="1"/>
  <c r="J6216" i="1"/>
  <c r="K6216" i="1"/>
  <c r="L6216" i="1"/>
  <c r="M6216" i="1"/>
  <c r="N6216" i="1"/>
  <c r="O6216" i="1"/>
  <c r="P6216" i="1"/>
  <c r="Q6216" i="1"/>
  <c r="R6216" i="1"/>
  <c r="S6216" i="1"/>
  <c r="T6216" i="1"/>
  <c r="U6216" i="1"/>
  <c r="V6216" i="1"/>
  <c r="W6216" i="1"/>
  <c r="X6216" i="1"/>
  <c r="Y6216" i="1"/>
  <c r="Z6216" i="1"/>
  <c r="A6217" i="1"/>
  <c r="B6217" i="1"/>
  <c r="C6217" i="1"/>
  <c r="D6217" i="1"/>
  <c r="E6217" i="1"/>
  <c r="F6217" i="1"/>
  <c r="G6217" i="1"/>
  <c r="I6217" i="1"/>
  <c r="J6217" i="1"/>
  <c r="K6217" i="1"/>
  <c r="L6217" i="1"/>
  <c r="M6217" i="1"/>
  <c r="N6217" i="1"/>
  <c r="O6217" i="1"/>
  <c r="P6217" i="1"/>
  <c r="Q6217" i="1"/>
  <c r="R6217" i="1"/>
  <c r="S6217" i="1"/>
  <c r="T6217" i="1"/>
  <c r="U6217" i="1"/>
  <c r="V6217" i="1"/>
  <c r="W6217" i="1"/>
  <c r="X6217" i="1"/>
  <c r="Y6217" i="1"/>
  <c r="Z6217" i="1"/>
  <c r="A6218" i="1"/>
  <c r="B6218" i="1"/>
  <c r="C6218" i="1"/>
  <c r="D6218" i="1"/>
  <c r="E6218" i="1"/>
  <c r="F6218" i="1"/>
  <c r="G6218" i="1"/>
  <c r="I6218" i="1"/>
  <c r="J6218" i="1"/>
  <c r="K6218" i="1"/>
  <c r="L6218" i="1"/>
  <c r="M6218" i="1"/>
  <c r="N6218" i="1"/>
  <c r="O6218" i="1"/>
  <c r="P6218" i="1"/>
  <c r="Q6218" i="1"/>
  <c r="R6218" i="1"/>
  <c r="S6218" i="1"/>
  <c r="T6218" i="1"/>
  <c r="U6218" i="1"/>
  <c r="V6218" i="1"/>
  <c r="W6218" i="1"/>
  <c r="X6218" i="1"/>
  <c r="Y6218" i="1"/>
  <c r="Z6218" i="1"/>
  <c r="A6219" i="1"/>
  <c r="B6219" i="1"/>
  <c r="C6219" i="1"/>
  <c r="D6219" i="1"/>
  <c r="E6219" i="1"/>
  <c r="F6219" i="1"/>
  <c r="G6219" i="1"/>
  <c r="I6219" i="1"/>
  <c r="J6219" i="1"/>
  <c r="K6219" i="1"/>
  <c r="L6219" i="1"/>
  <c r="M6219" i="1"/>
  <c r="N6219" i="1"/>
  <c r="O6219" i="1"/>
  <c r="P6219" i="1"/>
  <c r="Q6219" i="1"/>
  <c r="R6219" i="1"/>
  <c r="S6219" i="1"/>
  <c r="T6219" i="1"/>
  <c r="U6219" i="1"/>
  <c r="V6219" i="1"/>
  <c r="W6219" i="1"/>
  <c r="X6219" i="1"/>
  <c r="Y6219" i="1"/>
  <c r="Z6219" i="1"/>
  <c r="A6220" i="1"/>
  <c r="B6220" i="1"/>
  <c r="C6220" i="1"/>
  <c r="D6220" i="1"/>
  <c r="E6220" i="1"/>
  <c r="F6220" i="1"/>
  <c r="G6220" i="1"/>
  <c r="I6220" i="1"/>
  <c r="J6220" i="1"/>
  <c r="K6220" i="1"/>
  <c r="L6220" i="1"/>
  <c r="M6220" i="1"/>
  <c r="N6220" i="1"/>
  <c r="O6220" i="1"/>
  <c r="P6220" i="1"/>
  <c r="Q6220" i="1"/>
  <c r="R6220" i="1"/>
  <c r="S6220" i="1"/>
  <c r="T6220" i="1"/>
  <c r="U6220" i="1"/>
  <c r="V6220" i="1"/>
  <c r="W6220" i="1"/>
  <c r="X6220" i="1"/>
  <c r="Y6220" i="1"/>
  <c r="Z6220" i="1"/>
  <c r="A6221" i="1"/>
  <c r="B6221" i="1"/>
  <c r="C6221" i="1"/>
  <c r="D6221" i="1"/>
  <c r="E6221" i="1"/>
  <c r="F6221" i="1"/>
  <c r="G6221" i="1"/>
  <c r="I6221" i="1"/>
  <c r="J6221" i="1"/>
  <c r="K6221" i="1"/>
  <c r="L6221" i="1"/>
  <c r="M6221" i="1"/>
  <c r="N6221" i="1"/>
  <c r="O6221" i="1"/>
  <c r="P6221" i="1"/>
  <c r="Q6221" i="1"/>
  <c r="R6221" i="1"/>
  <c r="S6221" i="1"/>
  <c r="T6221" i="1"/>
  <c r="U6221" i="1"/>
  <c r="V6221" i="1"/>
  <c r="W6221" i="1"/>
  <c r="X6221" i="1"/>
  <c r="Y6221" i="1"/>
  <c r="Z6221" i="1"/>
  <c r="A6222" i="1"/>
  <c r="B6222" i="1"/>
  <c r="C6222" i="1"/>
  <c r="D6222" i="1"/>
  <c r="E6222" i="1"/>
  <c r="F6222" i="1"/>
  <c r="G6222" i="1"/>
  <c r="I6222" i="1"/>
  <c r="J6222" i="1"/>
  <c r="K6222" i="1"/>
  <c r="L6222" i="1"/>
  <c r="M6222" i="1"/>
  <c r="N6222" i="1"/>
  <c r="O6222" i="1"/>
  <c r="P6222" i="1"/>
  <c r="Q6222" i="1"/>
  <c r="R6222" i="1"/>
  <c r="S6222" i="1"/>
  <c r="T6222" i="1"/>
  <c r="U6222" i="1"/>
  <c r="V6222" i="1"/>
  <c r="W6222" i="1"/>
  <c r="X6222" i="1"/>
  <c r="Y6222" i="1"/>
  <c r="Z6222" i="1"/>
  <c r="A6223" i="1"/>
  <c r="B6223" i="1"/>
  <c r="C6223" i="1"/>
  <c r="D6223" i="1"/>
  <c r="E6223" i="1"/>
  <c r="F6223" i="1"/>
  <c r="G6223" i="1"/>
  <c r="I6223" i="1"/>
  <c r="J6223" i="1"/>
  <c r="K6223" i="1"/>
  <c r="L6223" i="1"/>
  <c r="M6223" i="1"/>
  <c r="N6223" i="1"/>
  <c r="O6223" i="1"/>
  <c r="P6223" i="1"/>
  <c r="Q6223" i="1"/>
  <c r="R6223" i="1"/>
  <c r="S6223" i="1"/>
  <c r="T6223" i="1"/>
  <c r="U6223" i="1"/>
  <c r="V6223" i="1"/>
  <c r="W6223" i="1"/>
  <c r="X6223" i="1"/>
  <c r="Y6223" i="1"/>
  <c r="Z6223" i="1"/>
  <c r="A6224" i="1"/>
  <c r="B6224" i="1"/>
  <c r="C6224" i="1"/>
  <c r="D6224" i="1"/>
  <c r="E6224" i="1"/>
  <c r="F6224" i="1"/>
  <c r="G6224" i="1"/>
  <c r="I6224" i="1"/>
  <c r="J6224" i="1"/>
  <c r="K6224" i="1"/>
  <c r="L6224" i="1"/>
  <c r="M6224" i="1"/>
  <c r="N6224" i="1"/>
  <c r="O6224" i="1"/>
  <c r="P6224" i="1"/>
  <c r="Q6224" i="1"/>
  <c r="R6224" i="1"/>
  <c r="S6224" i="1"/>
  <c r="T6224" i="1"/>
  <c r="U6224" i="1"/>
  <c r="V6224" i="1"/>
  <c r="W6224" i="1"/>
  <c r="X6224" i="1"/>
  <c r="Y6224" i="1"/>
  <c r="Z6224" i="1"/>
  <c r="A6225" i="1"/>
  <c r="B6225" i="1"/>
  <c r="C6225" i="1"/>
  <c r="D6225" i="1"/>
  <c r="E6225" i="1"/>
  <c r="F6225" i="1"/>
  <c r="G6225" i="1"/>
  <c r="I6225" i="1"/>
  <c r="J6225" i="1"/>
  <c r="K6225" i="1"/>
  <c r="L6225" i="1"/>
  <c r="M6225" i="1"/>
  <c r="N6225" i="1"/>
  <c r="O6225" i="1"/>
  <c r="P6225" i="1"/>
  <c r="Q6225" i="1"/>
  <c r="R6225" i="1"/>
  <c r="S6225" i="1"/>
  <c r="T6225" i="1"/>
  <c r="U6225" i="1"/>
  <c r="V6225" i="1"/>
  <c r="W6225" i="1"/>
  <c r="X6225" i="1"/>
  <c r="Y6225" i="1"/>
  <c r="Z6225" i="1"/>
  <c r="A6226" i="1"/>
  <c r="B6226" i="1"/>
  <c r="C6226" i="1"/>
  <c r="D6226" i="1"/>
  <c r="E6226" i="1"/>
  <c r="F6226" i="1"/>
  <c r="G6226" i="1"/>
  <c r="I6226" i="1"/>
  <c r="J6226" i="1"/>
  <c r="K6226" i="1"/>
  <c r="L6226" i="1"/>
  <c r="M6226" i="1"/>
  <c r="N6226" i="1"/>
  <c r="O6226" i="1"/>
  <c r="P6226" i="1"/>
  <c r="Q6226" i="1"/>
  <c r="R6226" i="1"/>
  <c r="S6226" i="1"/>
  <c r="T6226" i="1"/>
  <c r="U6226" i="1"/>
  <c r="V6226" i="1"/>
  <c r="W6226" i="1"/>
  <c r="X6226" i="1"/>
  <c r="Y6226" i="1"/>
  <c r="Z6226" i="1"/>
  <c r="A6227" i="1"/>
  <c r="B6227" i="1"/>
  <c r="C6227" i="1"/>
  <c r="D6227" i="1"/>
  <c r="E6227" i="1"/>
  <c r="F6227" i="1"/>
  <c r="G6227" i="1"/>
  <c r="I6227" i="1"/>
  <c r="J6227" i="1"/>
  <c r="K6227" i="1"/>
  <c r="L6227" i="1"/>
  <c r="M6227" i="1"/>
  <c r="N6227" i="1"/>
  <c r="O6227" i="1"/>
  <c r="P6227" i="1"/>
  <c r="Q6227" i="1"/>
  <c r="R6227" i="1"/>
  <c r="S6227" i="1"/>
  <c r="T6227" i="1"/>
  <c r="U6227" i="1"/>
  <c r="V6227" i="1"/>
  <c r="W6227" i="1"/>
  <c r="X6227" i="1"/>
  <c r="Y6227" i="1"/>
  <c r="Z6227" i="1"/>
  <c r="A6228" i="1"/>
  <c r="B6228" i="1"/>
  <c r="C6228" i="1"/>
  <c r="D6228" i="1"/>
  <c r="E6228" i="1"/>
  <c r="F6228" i="1"/>
  <c r="G6228" i="1"/>
  <c r="I6228" i="1"/>
  <c r="J6228" i="1"/>
  <c r="K6228" i="1"/>
  <c r="L6228" i="1"/>
  <c r="M6228" i="1"/>
  <c r="N6228" i="1"/>
  <c r="O6228" i="1"/>
  <c r="P6228" i="1"/>
  <c r="Q6228" i="1"/>
  <c r="R6228" i="1"/>
  <c r="S6228" i="1"/>
  <c r="T6228" i="1"/>
  <c r="U6228" i="1"/>
  <c r="V6228" i="1"/>
  <c r="W6228" i="1"/>
  <c r="X6228" i="1"/>
  <c r="Y6228" i="1"/>
  <c r="Z6228" i="1"/>
  <c r="A6229" i="1"/>
  <c r="B6229" i="1"/>
  <c r="C6229" i="1"/>
  <c r="D6229" i="1"/>
  <c r="E6229" i="1"/>
  <c r="F6229" i="1"/>
  <c r="G6229" i="1"/>
  <c r="I6229" i="1"/>
  <c r="J6229" i="1"/>
  <c r="K6229" i="1"/>
  <c r="L6229" i="1"/>
  <c r="M6229" i="1"/>
  <c r="N6229" i="1"/>
  <c r="O6229" i="1"/>
  <c r="P6229" i="1"/>
  <c r="Q6229" i="1"/>
  <c r="R6229" i="1"/>
  <c r="S6229" i="1"/>
  <c r="T6229" i="1"/>
  <c r="U6229" i="1"/>
  <c r="V6229" i="1"/>
  <c r="W6229" i="1"/>
  <c r="X6229" i="1"/>
  <c r="Y6229" i="1"/>
  <c r="Z6229" i="1"/>
  <c r="A6230" i="1"/>
  <c r="B6230" i="1"/>
  <c r="C6230" i="1"/>
  <c r="D6230" i="1"/>
  <c r="E6230" i="1"/>
  <c r="F6230" i="1"/>
  <c r="G6230" i="1"/>
  <c r="I6230" i="1"/>
  <c r="J6230" i="1"/>
  <c r="K6230" i="1"/>
  <c r="L6230" i="1"/>
  <c r="M6230" i="1"/>
  <c r="N6230" i="1"/>
  <c r="O6230" i="1"/>
  <c r="P6230" i="1"/>
  <c r="Q6230" i="1"/>
  <c r="R6230" i="1"/>
  <c r="S6230" i="1"/>
  <c r="T6230" i="1"/>
  <c r="U6230" i="1"/>
  <c r="V6230" i="1"/>
  <c r="W6230" i="1"/>
  <c r="X6230" i="1"/>
  <c r="Y6230" i="1"/>
  <c r="Z6230" i="1"/>
  <c r="A6231" i="1"/>
  <c r="B6231" i="1"/>
  <c r="C6231" i="1"/>
  <c r="D6231" i="1"/>
  <c r="E6231" i="1"/>
  <c r="F6231" i="1"/>
  <c r="G6231" i="1"/>
  <c r="I6231" i="1"/>
  <c r="J6231" i="1"/>
  <c r="K6231" i="1"/>
  <c r="L6231" i="1"/>
  <c r="M6231" i="1"/>
  <c r="N6231" i="1"/>
  <c r="O6231" i="1"/>
  <c r="P6231" i="1"/>
  <c r="Q6231" i="1"/>
  <c r="R6231" i="1"/>
  <c r="S6231" i="1"/>
  <c r="T6231" i="1"/>
  <c r="U6231" i="1"/>
  <c r="V6231" i="1"/>
  <c r="W6231" i="1"/>
  <c r="X6231" i="1"/>
  <c r="Y6231" i="1"/>
  <c r="Z6231" i="1"/>
  <c r="A6232" i="1"/>
  <c r="B6232" i="1"/>
  <c r="C6232" i="1"/>
  <c r="D6232" i="1"/>
  <c r="E6232" i="1"/>
  <c r="F6232" i="1"/>
  <c r="G6232" i="1"/>
  <c r="I6232" i="1"/>
  <c r="J6232" i="1"/>
  <c r="K6232" i="1"/>
  <c r="L6232" i="1"/>
  <c r="M6232" i="1"/>
  <c r="N6232" i="1"/>
  <c r="O6232" i="1"/>
  <c r="P6232" i="1"/>
  <c r="Q6232" i="1"/>
  <c r="R6232" i="1"/>
  <c r="S6232" i="1"/>
  <c r="T6232" i="1"/>
  <c r="U6232" i="1"/>
  <c r="V6232" i="1"/>
  <c r="W6232" i="1"/>
  <c r="X6232" i="1"/>
  <c r="Y6232" i="1"/>
  <c r="Z6232" i="1"/>
  <c r="A6233" i="1"/>
  <c r="B6233" i="1"/>
  <c r="C6233" i="1"/>
  <c r="D6233" i="1"/>
  <c r="E6233" i="1"/>
  <c r="F6233" i="1"/>
  <c r="G6233" i="1"/>
  <c r="I6233" i="1"/>
  <c r="J6233" i="1"/>
  <c r="K6233" i="1"/>
  <c r="L6233" i="1"/>
  <c r="M6233" i="1"/>
  <c r="N6233" i="1"/>
  <c r="O6233" i="1"/>
  <c r="P6233" i="1"/>
  <c r="Q6233" i="1"/>
  <c r="R6233" i="1"/>
  <c r="S6233" i="1"/>
  <c r="T6233" i="1"/>
  <c r="U6233" i="1"/>
  <c r="V6233" i="1"/>
  <c r="W6233" i="1"/>
  <c r="X6233" i="1"/>
  <c r="Y6233" i="1"/>
  <c r="Z6233" i="1"/>
  <c r="A6234" i="1"/>
  <c r="B6234" i="1"/>
  <c r="C6234" i="1"/>
  <c r="D6234" i="1"/>
  <c r="E6234" i="1"/>
  <c r="F6234" i="1"/>
  <c r="G6234" i="1"/>
  <c r="I6234" i="1"/>
  <c r="J6234" i="1"/>
  <c r="K6234" i="1"/>
  <c r="L6234" i="1"/>
  <c r="M6234" i="1"/>
  <c r="N6234" i="1"/>
  <c r="O6234" i="1"/>
  <c r="P6234" i="1"/>
  <c r="Q6234" i="1"/>
  <c r="R6234" i="1"/>
  <c r="S6234" i="1"/>
  <c r="T6234" i="1"/>
  <c r="U6234" i="1"/>
  <c r="V6234" i="1"/>
  <c r="W6234" i="1"/>
  <c r="X6234" i="1"/>
  <c r="Y6234" i="1"/>
  <c r="Z6234" i="1"/>
  <c r="A6235" i="1"/>
  <c r="B6235" i="1"/>
  <c r="C6235" i="1"/>
  <c r="D6235" i="1"/>
  <c r="E6235" i="1"/>
  <c r="F6235" i="1"/>
  <c r="G6235" i="1"/>
  <c r="I6235" i="1"/>
  <c r="J6235" i="1"/>
  <c r="K6235" i="1"/>
  <c r="L6235" i="1"/>
  <c r="M6235" i="1"/>
  <c r="N6235" i="1"/>
  <c r="O6235" i="1"/>
  <c r="P6235" i="1"/>
  <c r="Q6235" i="1"/>
  <c r="R6235" i="1"/>
  <c r="S6235" i="1"/>
  <c r="T6235" i="1"/>
  <c r="U6235" i="1"/>
  <c r="V6235" i="1"/>
  <c r="W6235" i="1"/>
  <c r="X6235" i="1"/>
  <c r="Y6235" i="1"/>
  <c r="Z6235" i="1"/>
  <c r="A6236" i="1"/>
  <c r="B6236" i="1"/>
  <c r="C6236" i="1"/>
  <c r="D6236" i="1"/>
  <c r="E6236" i="1"/>
  <c r="F6236" i="1"/>
  <c r="G6236" i="1"/>
  <c r="I6236" i="1"/>
  <c r="J6236" i="1"/>
  <c r="K6236" i="1"/>
  <c r="L6236" i="1"/>
  <c r="M6236" i="1"/>
  <c r="N6236" i="1"/>
  <c r="O6236" i="1"/>
  <c r="P6236" i="1"/>
  <c r="Q6236" i="1"/>
  <c r="R6236" i="1"/>
  <c r="S6236" i="1"/>
  <c r="T6236" i="1"/>
  <c r="U6236" i="1"/>
  <c r="V6236" i="1"/>
  <c r="W6236" i="1"/>
  <c r="X6236" i="1"/>
  <c r="Y6236" i="1"/>
  <c r="Z6236" i="1"/>
  <c r="A6237" i="1"/>
  <c r="B6237" i="1"/>
  <c r="C6237" i="1"/>
  <c r="D6237" i="1"/>
  <c r="E6237" i="1"/>
  <c r="F6237" i="1"/>
  <c r="G6237" i="1"/>
  <c r="I6237" i="1"/>
  <c r="J6237" i="1"/>
  <c r="K6237" i="1"/>
  <c r="L6237" i="1"/>
  <c r="M6237" i="1"/>
  <c r="N6237" i="1"/>
  <c r="O6237" i="1"/>
  <c r="P6237" i="1"/>
  <c r="Q6237" i="1"/>
  <c r="R6237" i="1"/>
  <c r="S6237" i="1"/>
  <c r="T6237" i="1"/>
  <c r="U6237" i="1"/>
  <c r="V6237" i="1"/>
  <c r="W6237" i="1"/>
  <c r="X6237" i="1"/>
  <c r="Y6237" i="1"/>
  <c r="Z6237" i="1"/>
  <c r="A6238" i="1"/>
  <c r="B6238" i="1"/>
  <c r="C6238" i="1"/>
  <c r="D6238" i="1"/>
  <c r="E6238" i="1"/>
  <c r="F6238" i="1"/>
  <c r="G6238" i="1"/>
  <c r="I6238" i="1"/>
  <c r="J6238" i="1"/>
  <c r="K6238" i="1"/>
  <c r="L6238" i="1"/>
  <c r="M6238" i="1"/>
  <c r="N6238" i="1"/>
  <c r="O6238" i="1"/>
  <c r="P6238" i="1"/>
  <c r="Q6238" i="1"/>
  <c r="R6238" i="1"/>
  <c r="S6238" i="1"/>
  <c r="T6238" i="1"/>
  <c r="U6238" i="1"/>
  <c r="V6238" i="1"/>
  <c r="W6238" i="1"/>
  <c r="X6238" i="1"/>
  <c r="Y6238" i="1"/>
  <c r="Z6238" i="1"/>
  <c r="A6239" i="1"/>
  <c r="B6239" i="1"/>
  <c r="C6239" i="1"/>
  <c r="D6239" i="1"/>
  <c r="E6239" i="1"/>
  <c r="F6239" i="1"/>
  <c r="G6239" i="1"/>
  <c r="I6239" i="1"/>
  <c r="J6239" i="1"/>
  <c r="K6239" i="1"/>
  <c r="L6239" i="1"/>
  <c r="M6239" i="1"/>
  <c r="N6239" i="1"/>
  <c r="O6239" i="1"/>
  <c r="P6239" i="1"/>
  <c r="Q6239" i="1"/>
  <c r="R6239" i="1"/>
  <c r="S6239" i="1"/>
  <c r="T6239" i="1"/>
  <c r="U6239" i="1"/>
  <c r="V6239" i="1"/>
  <c r="W6239" i="1"/>
  <c r="X6239" i="1"/>
  <c r="Y6239" i="1"/>
  <c r="Z6239" i="1"/>
  <c r="A6240" i="1"/>
  <c r="B6240" i="1"/>
  <c r="C6240" i="1"/>
  <c r="D6240" i="1"/>
  <c r="E6240" i="1"/>
  <c r="F6240" i="1"/>
  <c r="G6240" i="1"/>
  <c r="I6240" i="1"/>
  <c r="J6240" i="1"/>
  <c r="K6240" i="1"/>
  <c r="L6240" i="1"/>
  <c r="M6240" i="1"/>
  <c r="N6240" i="1"/>
  <c r="O6240" i="1"/>
  <c r="P6240" i="1"/>
  <c r="Q6240" i="1"/>
  <c r="R6240" i="1"/>
  <c r="S6240" i="1"/>
  <c r="T6240" i="1"/>
  <c r="U6240" i="1"/>
  <c r="V6240" i="1"/>
  <c r="W6240" i="1"/>
  <c r="X6240" i="1"/>
  <c r="Y6240" i="1"/>
  <c r="Z6240" i="1"/>
  <c r="A6241" i="1"/>
  <c r="B6241" i="1"/>
  <c r="C6241" i="1"/>
  <c r="D6241" i="1"/>
  <c r="E6241" i="1"/>
  <c r="F6241" i="1"/>
  <c r="G6241" i="1"/>
  <c r="I6241" i="1"/>
  <c r="J6241" i="1"/>
  <c r="K6241" i="1"/>
  <c r="L6241" i="1"/>
  <c r="M6241" i="1"/>
  <c r="N6241" i="1"/>
  <c r="O6241" i="1"/>
  <c r="P6241" i="1"/>
  <c r="Q6241" i="1"/>
  <c r="R6241" i="1"/>
  <c r="S6241" i="1"/>
  <c r="T6241" i="1"/>
  <c r="U6241" i="1"/>
  <c r="V6241" i="1"/>
  <c r="W6241" i="1"/>
  <c r="X6241" i="1"/>
  <c r="Y6241" i="1"/>
  <c r="Z6241" i="1"/>
  <c r="A6242" i="1"/>
  <c r="B6242" i="1"/>
  <c r="C6242" i="1"/>
  <c r="D6242" i="1"/>
  <c r="E6242" i="1"/>
  <c r="F6242" i="1"/>
  <c r="G6242" i="1"/>
  <c r="I6242" i="1"/>
  <c r="J6242" i="1"/>
  <c r="K6242" i="1"/>
  <c r="L6242" i="1"/>
  <c r="M6242" i="1"/>
  <c r="N6242" i="1"/>
  <c r="O6242" i="1"/>
  <c r="P6242" i="1"/>
  <c r="Q6242" i="1"/>
  <c r="R6242" i="1"/>
  <c r="S6242" i="1"/>
  <c r="T6242" i="1"/>
  <c r="U6242" i="1"/>
  <c r="V6242" i="1"/>
  <c r="W6242" i="1"/>
  <c r="X6242" i="1"/>
  <c r="Y6242" i="1"/>
  <c r="Z6242" i="1"/>
  <c r="A6243" i="1"/>
  <c r="B6243" i="1"/>
  <c r="C6243" i="1"/>
  <c r="D6243" i="1"/>
  <c r="E6243" i="1"/>
  <c r="F6243" i="1"/>
  <c r="G6243" i="1"/>
  <c r="I6243" i="1"/>
  <c r="J6243" i="1"/>
  <c r="K6243" i="1"/>
  <c r="L6243" i="1"/>
  <c r="M6243" i="1"/>
  <c r="N6243" i="1"/>
  <c r="O6243" i="1"/>
  <c r="P6243" i="1"/>
  <c r="Q6243" i="1"/>
  <c r="R6243" i="1"/>
  <c r="S6243" i="1"/>
  <c r="T6243" i="1"/>
  <c r="U6243" i="1"/>
  <c r="V6243" i="1"/>
  <c r="W6243" i="1"/>
  <c r="X6243" i="1"/>
  <c r="Y6243" i="1"/>
  <c r="Z6243" i="1"/>
  <c r="A6244" i="1"/>
  <c r="B6244" i="1"/>
  <c r="C6244" i="1"/>
  <c r="D6244" i="1"/>
  <c r="E6244" i="1"/>
  <c r="F6244" i="1"/>
  <c r="G6244" i="1"/>
  <c r="I6244" i="1"/>
  <c r="J6244" i="1"/>
  <c r="K6244" i="1"/>
  <c r="L6244" i="1"/>
  <c r="M6244" i="1"/>
  <c r="N6244" i="1"/>
  <c r="O6244" i="1"/>
  <c r="P6244" i="1"/>
  <c r="Q6244" i="1"/>
  <c r="R6244" i="1"/>
  <c r="S6244" i="1"/>
  <c r="T6244" i="1"/>
  <c r="U6244" i="1"/>
  <c r="V6244" i="1"/>
  <c r="W6244" i="1"/>
  <c r="X6244" i="1"/>
  <c r="Y6244" i="1"/>
  <c r="Z6244" i="1"/>
  <c r="A6245" i="1"/>
  <c r="B6245" i="1"/>
  <c r="C6245" i="1"/>
  <c r="D6245" i="1"/>
  <c r="E6245" i="1"/>
  <c r="F6245" i="1"/>
  <c r="G6245" i="1"/>
  <c r="I6245" i="1"/>
  <c r="J6245" i="1"/>
  <c r="K6245" i="1"/>
  <c r="L6245" i="1"/>
  <c r="M6245" i="1"/>
  <c r="N6245" i="1"/>
  <c r="O6245" i="1"/>
  <c r="P6245" i="1"/>
  <c r="Q6245" i="1"/>
  <c r="R6245" i="1"/>
  <c r="S6245" i="1"/>
  <c r="T6245" i="1"/>
  <c r="U6245" i="1"/>
  <c r="V6245" i="1"/>
  <c r="W6245" i="1"/>
  <c r="X6245" i="1"/>
  <c r="Y6245" i="1"/>
  <c r="Z6245" i="1"/>
  <c r="A6246" i="1"/>
  <c r="B6246" i="1"/>
  <c r="C6246" i="1"/>
  <c r="D6246" i="1"/>
  <c r="E6246" i="1"/>
  <c r="F6246" i="1"/>
  <c r="G6246" i="1"/>
  <c r="I6246" i="1"/>
  <c r="J6246" i="1"/>
  <c r="K6246" i="1"/>
  <c r="L6246" i="1"/>
  <c r="M6246" i="1"/>
  <c r="N6246" i="1"/>
  <c r="O6246" i="1"/>
  <c r="P6246" i="1"/>
  <c r="Q6246" i="1"/>
  <c r="R6246" i="1"/>
  <c r="S6246" i="1"/>
  <c r="T6246" i="1"/>
  <c r="U6246" i="1"/>
  <c r="V6246" i="1"/>
  <c r="W6246" i="1"/>
  <c r="X6246" i="1"/>
  <c r="Y6246" i="1"/>
  <c r="Z6246" i="1"/>
  <c r="A6247" i="1"/>
  <c r="B6247" i="1"/>
  <c r="C6247" i="1"/>
  <c r="D6247" i="1"/>
  <c r="E6247" i="1"/>
  <c r="F6247" i="1"/>
  <c r="G6247" i="1"/>
  <c r="I6247" i="1"/>
  <c r="J6247" i="1"/>
  <c r="K6247" i="1"/>
  <c r="L6247" i="1"/>
  <c r="M6247" i="1"/>
  <c r="N6247" i="1"/>
  <c r="O6247" i="1"/>
  <c r="P6247" i="1"/>
  <c r="Q6247" i="1"/>
  <c r="R6247" i="1"/>
  <c r="S6247" i="1"/>
  <c r="T6247" i="1"/>
  <c r="U6247" i="1"/>
  <c r="V6247" i="1"/>
  <c r="W6247" i="1"/>
  <c r="X6247" i="1"/>
  <c r="Y6247" i="1"/>
  <c r="Z6247" i="1"/>
  <c r="A6248" i="1"/>
  <c r="B6248" i="1"/>
  <c r="C6248" i="1"/>
  <c r="D6248" i="1"/>
  <c r="E6248" i="1"/>
  <c r="F6248" i="1"/>
  <c r="G6248" i="1"/>
  <c r="I6248" i="1"/>
  <c r="J6248" i="1"/>
  <c r="K6248" i="1"/>
  <c r="L6248" i="1"/>
  <c r="M6248" i="1"/>
  <c r="N6248" i="1"/>
  <c r="O6248" i="1"/>
  <c r="P6248" i="1"/>
  <c r="Q6248" i="1"/>
  <c r="R6248" i="1"/>
  <c r="S6248" i="1"/>
  <c r="T6248" i="1"/>
  <c r="U6248" i="1"/>
  <c r="V6248" i="1"/>
  <c r="W6248" i="1"/>
  <c r="X6248" i="1"/>
  <c r="Y6248" i="1"/>
  <c r="Z6248" i="1"/>
  <c r="A6249" i="1"/>
  <c r="B6249" i="1"/>
  <c r="C6249" i="1"/>
  <c r="D6249" i="1"/>
  <c r="E6249" i="1"/>
  <c r="F6249" i="1"/>
  <c r="G6249" i="1"/>
  <c r="I6249" i="1"/>
  <c r="J6249" i="1"/>
  <c r="K6249" i="1"/>
  <c r="L6249" i="1"/>
  <c r="M6249" i="1"/>
  <c r="N6249" i="1"/>
  <c r="O6249" i="1"/>
  <c r="P6249" i="1"/>
  <c r="Q6249" i="1"/>
  <c r="R6249" i="1"/>
  <c r="S6249" i="1"/>
  <c r="T6249" i="1"/>
  <c r="U6249" i="1"/>
  <c r="V6249" i="1"/>
  <c r="W6249" i="1"/>
  <c r="X6249" i="1"/>
  <c r="Y6249" i="1"/>
  <c r="Z6249" i="1"/>
  <c r="A6250" i="1"/>
  <c r="B6250" i="1"/>
  <c r="C6250" i="1"/>
  <c r="D6250" i="1"/>
  <c r="E6250" i="1"/>
  <c r="F6250" i="1"/>
  <c r="G6250" i="1"/>
  <c r="I6250" i="1"/>
  <c r="J6250" i="1"/>
  <c r="K6250" i="1"/>
  <c r="L6250" i="1"/>
  <c r="M6250" i="1"/>
  <c r="N6250" i="1"/>
  <c r="O6250" i="1"/>
  <c r="P6250" i="1"/>
  <c r="Q6250" i="1"/>
  <c r="R6250" i="1"/>
  <c r="S6250" i="1"/>
  <c r="T6250" i="1"/>
  <c r="U6250" i="1"/>
  <c r="V6250" i="1"/>
  <c r="W6250" i="1"/>
  <c r="X6250" i="1"/>
  <c r="Y6250" i="1"/>
  <c r="Z6250" i="1"/>
  <c r="A6251" i="1"/>
  <c r="B6251" i="1"/>
  <c r="C6251" i="1"/>
  <c r="D6251" i="1"/>
  <c r="E6251" i="1"/>
  <c r="F6251" i="1"/>
  <c r="G6251" i="1"/>
  <c r="I6251" i="1"/>
  <c r="J6251" i="1"/>
  <c r="K6251" i="1"/>
  <c r="L6251" i="1"/>
  <c r="M6251" i="1"/>
  <c r="N6251" i="1"/>
  <c r="O6251" i="1"/>
  <c r="P6251" i="1"/>
  <c r="Q6251" i="1"/>
  <c r="R6251" i="1"/>
  <c r="S6251" i="1"/>
  <c r="T6251" i="1"/>
  <c r="U6251" i="1"/>
  <c r="V6251" i="1"/>
  <c r="W6251" i="1"/>
  <c r="X6251" i="1"/>
  <c r="Y6251" i="1"/>
  <c r="Z6251" i="1"/>
  <c r="A6252" i="1"/>
  <c r="B6252" i="1"/>
  <c r="C6252" i="1"/>
  <c r="D6252" i="1"/>
  <c r="E6252" i="1"/>
  <c r="F6252" i="1"/>
  <c r="G6252" i="1"/>
  <c r="I6252" i="1"/>
  <c r="J6252" i="1"/>
  <c r="K6252" i="1"/>
  <c r="L6252" i="1"/>
  <c r="M6252" i="1"/>
  <c r="N6252" i="1"/>
  <c r="O6252" i="1"/>
  <c r="P6252" i="1"/>
  <c r="Q6252" i="1"/>
  <c r="R6252" i="1"/>
  <c r="S6252" i="1"/>
  <c r="T6252" i="1"/>
  <c r="U6252" i="1"/>
  <c r="V6252" i="1"/>
  <c r="W6252" i="1"/>
  <c r="X6252" i="1"/>
  <c r="Y6252" i="1"/>
  <c r="Z6252" i="1"/>
  <c r="A6253" i="1"/>
  <c r="B6253" i="1"/>
  <c r="C6253" i="1"/>
  <c r="D6253" i="1"/>
  <c r="E6253" i="1"/>
  <c r="F6253" i="1"/>
  <c r="G6253" i="1"/>
  <c r="I6253" i="1"/>
  <c r="J6253" i="1"/>
  <c r="K6253" i="1"/>
  <c r="L6253" i="1"/>
  <c r="M6253" i="1"/>
  <c r="N6253" i="1"/>
  <c r="O6253" i="1"/>
  <c r="P6253" i="1"/>
  <c r="Q6253" i="1"/>
  <c r="R6253" i="1"/>
  <c r="S6253" i="1"/>
  <c r="T6253" i="1"/>
  <c r="U6253" i="1"/>
  <c r="V6253" i="1"/>
  <c r="W6253" i="1"/>
  <c r="X6253" i="1"/>
  <c r="Y6253" i="1"/>
  <c r="Z6253" i="1"/>
  <c r="A6254" i="1"/>
  <c r="B6254" i="1"/>
  <c r="C6254" i="1"/>
  <c r="D6254" i="1"/>
  <c r="E6254" i="1"/>
  <c r="F6254" i="1"/>
  <c r="G6254" i="1"/>
  <c r="I6254" i="1"/>
  <c r="J6254" i="1"/>
  <c r="K6254" i="1"/>
  <c r="L6254" i="1"/>
  <c r="M6254" i="1"/>
  <c r="N6254" i="1"/>
  <c r="O6254" i="1"/>
  <c r="P6254" i="1"/>
  <c r="Q6254" i="1"/>
  <c r="R6254" i="1"/>
  <c r="S6254" i="1"/>
  <c r="T6254" i="1"/>
  <c r="U6254" i="1"/>
  <c r="V6254" i="1"/>
  <c r="W6254" i="1"/>
  <c r="X6254" i="1"/>
  <c r="Y6254" i="1"/>
  <c r="Z6254" i="1"/>
  <c r="A6255" i="1"/>
  <c r="B6255" i="1"/>
  <c r="C6255" i="1"/>
  <c r="D6255" i="1"/>
  <c r="E6255" i="1"/>
  <c r="F6255" i="1"/>
  <c r="G6255" i="1"/>
  <c r="I6255" i="1"/>
  <c r="J6255" i="1"/>
  <c r="K6255" i="1"/>
  <c r="L6255" i="1"/>
  <c r="M6255" i="1"/>
  <c r="N6255" i="1"/>
  <c r="O6255" i="1"/>
  <c r="P6255" i="1"/>
  <c r="Q6255" i="1"/>
  <c r="R6255" i="1"/>
  <c r="S6255" i="1"/>
  <c r="T6255" i="1"/>
  <c r="U6255" i="1"/>
  <c r="V6255" i="1"/>
  <c r="W6255" i="1"/>
  <c r="X6255" i="1"/>
  <c r="Y6255" i="1"/>
  <c r="Z6255" i="1"/>
  <c r="A6256" i="1"/>
  <c r="B6256" i="1"/>
  <c r="C6256" i="1"/>
  <c r="D6256" i="1"/>
  <c r="E6256" i="1"/>
  <c r="F6256" i="1"/>
  <c r="G6256" i="1"/>
  <c r="I6256" i="1"/>
  <c r="J6256" i="1"/>
  <c r="K6256" i="1"/>
  <c r="L6256" i="1"/>
  <c r="M6256" i="1"/>
  <c r="N6256" i="1"/>
  <c r="O6256" i="1"/>
  <c r="P6256" i="1"/>
  <c r="Q6256" i="1"/>
  <c r="R6256" i="1"/>
  <c r="S6256" i="1"/>
  <c r="T6256" i="1"/>
  <c r="U6256" i="1"/>
  <c r="V6256" i="1"/>
  <c r="W6256" i="1"/>
  <c r="X6256" i="1"/>
  <c r="Y6256" i="1"/>
  <c r="Z6256" i="1"/>
  <c r="A6257" i="1"/>
  <c r="B6257" i="1"/>
  <c r="C6257" i="1"/>
  <c r="D6257" i="1"/>
  <c r="E6257" i="1"/>
  <c r="F6257" i="1"/>
  <c r="G6257" i="1"/>
  <c r="I6257" i="1"/>
  <c r="J6257" i="1"/>
  <c r="K6257" i="1"/>
  <c r="L6257" i="1"/>
  <c r="M6257" i="1"/>
  <c r="N6257" i="1"/>
  <c r="O6257" i="1"/>
  <c r="P6257" i="1"/>
  <c r="Q6257" i="1"/>
  <c r="R6257" i="1"/>
  <c r="S6257" i="1"/>
  <c r="T6257" i="1"/>
  <c r="U6257" i="1"/>
  <c r="V6257" i="1"/>
  <c r="W6257" i="1"/>
  <c r="X6257" i="1"/>
  <c r="Y6257" i="1"/>
  <c r="Z6257" i="1"/>
  <c r="A6258" i="1"/>
  <c r="B6258" i="1"/>
  <c r="C6258" i="1"/>
  <c r="D6258" i="1"/>
  <c r="E6258" i="1"/>
  <c r="F6258" i="1"/>
  <c r="G6258" i="1"/>
  <c r="I6258" i="1"/>
  <c r="J6258" i="1"/>
  <c r="K6258" i="1"/>
  <c r="L6258" i="1"/>
  <c r="M6258" i="1"/>
  <c r="N6258" i="1"/>
  <c r="O6258" i="1"/>
  <c r="P6258" i="1"/>
  <c r="Q6258" i="1"/>
  <c r="R6258" i="1"/>
  <c r="S6258" i="1"/>
  <c r="T6258" i="1"/>
  <c r="U6258" i="1"/>
  <c r="V6258" i="1"/>
  <c r="W6258" i="1"/>
  <c r="X6258" i="1"/>
  <c r="Y6258" i="1"/>
  <c r="Z6258" i="1"/>
  <c r="A6259" i="1"/>
  <c r="B6259" i="1"/>
  <c r="C6259" i="1"/>
  <c r="D6259" i="1"/>
  <c r="E6259" i="1"/>
  <c r="F6259" i="1"/>
  <c r="G6259" i="1"/>
  <c r="I6259" i="1"/>
  <c r="J6259" i="1"/>
  <c r="K6259" i="1"/>
  <c r="L6259" i="1"/>
  <c r="M6259" i="1"/>
  <c r="N6259" i="1"/>
  <c r="O6259" i="1"/>
  <c r="P6259" i="1"/>
  <c r="Q6259" i="1"/>
  <c r="R6259" i="1"/>
  <c r="S6259" i="1"/>
  <c r="T6259" i="1"/>
  <c r="U6259" i="1"/>
  <c r="V6259" i="1"/>
  <c r="W6259" i="1"/>
  <c r="X6259" i="1"/>
  <c r="Y6259" i="1"/>
  <c r="Z6259" i="1"/>
  <c r="A6260" i="1"/>
  <c r="B6260" i="1"/>
  <c r="C6260" i="1"/>
  <c r="D6260" i="1"/>
  <c r="E6260" i="1"/>
  <c r="F6260" i="1"/>
  <c r="G6260" i="1"/>
  <c r="I6260" i="1"/>
  <c r="J6260" i="1"/>
  <c r="K6260" i="1"/>
  <c r="L6260" i="1"/>
  <c r="M6260" i="1"/>
  <c r="N6260" i="1"/>
  <c r="O6260" i="1"/>
  <c r="P6260" i="1"/>
  <c r="Q6260" i="1"/>
  <c r="R6260" i="1"/>
  <c r="S6260" i="1"/>
  <c r="T6260" i="1"/>
  <c r="U6260" i="1"/>
  <c r="V6260" i="1"/>
  <c r="W6260" i="1"/>
  <c r="X6260" i="1"/>
  <c r="Y6260" i="1"/>
  <c r="Z6260" i="1"/>
  <c r="A6261" i="1"/>
  <c r="B6261" i="1"/>
  <c r="C6261" i="1"/>
  <c r="D6261" i="1"/>
  <c r="E6261" i="1"/>
  <c r="F6261" i="1"/>
  <c r="G6261" i="1"/>
  <c r="I6261" i="1"/>
  <c r="J6261" i="1"/>
  <c r="K6261" i="1"/>
  <c r="L6261" i="1"/>
  <c r="M6261" i="1"/>
  <c r="N6261" i="1"/>
  <c r="O6261" i="1"/>
  <c r="P6261" i="1"/>
  <c r="Q6261" i="1"/>
  <c r="R6261" i="1"/>
  <c r="S6261" i="1"/>
  <c r="T6261" i="1"/>
  <c r="U6261" i="1"/>
  <c r="V6261" i="1"/>
  <c r="W6261" i="1"/>
  <c r="X6261" i="1"/>
  <c r="Y6261" i="1"/>
  <c r="Z6261" i="1"/>
  <c r="A6262" i="1"/>
  <c r="B6262" i="1"/>
  <c r="C6262" i="1"/>
  <c r="D6262" i="1"/>
  <c r="E6262" i="1"/>
  <c r="F6262" i="1"/>
  <c r="G6262" i="1"/>
  <c r="I6262" i="1"/>
  <c r="J6262" i="1"/>
  <c r="K6262" i="1"/>
  <c r="L6262" i="1"/>
  <c r="M6262" i="1"/>
  <c r="N6262" i="1"/>
  <c r="O6262" i="1"/>
  <c r="P6262" i="1"/>
  <c r="Q6262" i="1"/>
  <c r="R6262" i="1"/>
  <c r="S6262" i="1"/>
  <c r="T6262" i="1"/>
  <c r="U6262" i="1"/>
  <c r="V6262" i="1"/>
  <c r="W6262" i="1"/>
  <c r="X6262" i="1"/>
  <c r="Y6262" i="1"/>
  <c r="Z6262" i="1"/>
  <c r="A6263" i="1"/>
  <c r="B6263" i="1"/>
  <c r="C6263" i="1"/>
  <c r="D6263" i="1"/>
  <c r="E6263" i="1"/>
  <c r="F6263" i="1"/>
  <c r="G6263" i="1"/>
  <c r="I6263" i="1"/>
  <c r="J6263" i="1"/>
  <c r="K6263" i="1"/>
  <c r="L6263" i="1"/>
  <c r="M6263" i="1"/>
  <c r="N6263" i="1"/>
  <c r="O6263" i="1"/>
  <c r="P6263" i="1"/>
  <c r="Q6263" i="1"/>
  <c r="R6263" i="1"/>
  <c r="S6263" i="1"/>
  <c r="T6263" i="1"/>
  <c r="U6263" i="1"/>
  <c r="V6263" i="1"/>
  <c r="W6263" i="1"/>
  <c r="X6263" i="1"/>
  <c r="Y6263" i="1"/>
  <c r="Z6263" i="1"/>
  <c r="A6264" i="1"/>
  <c r="B6264" i="1"/>
  <c r="C6264" i="1"/>
  <c r="D6264" i="1"/>
  <c r="E6264" i="1"/>
  <c r="F6264" i="1"/>
  <c r="G6264" i="1"/>
  <c r="I6264" i="1"/>
  <c r="J6264" i="1"/>
  <c r="K6264" i="1"/>
  <c r="L6264" i="1"/>
  <c r="M6264" i="1"/>
  <c r="N6264" i="1"/>
  <c r="O6264" i="1"/>
  <c r="P6264" i="1"/>
  <c r="Q6264" i="1"/>
  <c r="R6264" i="1"/>
  <c r="S6264" i="1"/>
  <c r="T6264" i="1"/>
  <c r="U6264" i="1"/>
  <c r="V6264" i="1"/>
  <c r="W6264" i="1"/>
  <c r="X6264" i="1"/>
  <c r="Y6264" i="1"/>
  <c r="Z6264" i="1"/>
  <c r="A6265" i="1"/>
  <c r="B6265" i="1"/>
  <c r="C6265" i="1"/>
  <c r="D6265" i="1"/>
  <c r="E6265" i="1"/>
  <c r="F6265" i="1"/>
  <c r="G6265" i="1"/>
  <c r="I6265" i="1"/>
  <c r="J6265" i="1"/>
  <c r="K6265" i="1"/>
  <c r="L6265" i="1"/>
  <c r="M6265" i="1"/>
  <c r="N6265" i="1"/>
  <c r="O6265" i="1"/>
  <c r="P6265" i="1"/>
  <c r="Q6265" i="1"/>
  <c r="R6265" i="1"/>
  <c r="S6265" i="1"/>
  <c r="T6265" i="1"/>
  <c r="U6265" i="1"/>
  <c r="V6265" i="1"/>
  <c r="W6265" i="1"/>
  <c r="X6265" i="1"/>
  <c r="Y6265" i="1"/>
  <c r="Z6265" i="1"/>
  <c r="A6266" i="1"/>
  <c r="B6266" i="1"/>
  <c r="C6266" i="1"/>
  <c r="D6266" i="1"/>
  <c r="E6266" i="1"/>
  <c r="F6266" i="1"/>
  <c r="G6266" i="1"/>
  <c r="I6266" i="1"/>
  <c r="J6266" i="1"/>
  <c r="K6266" i="1"/>
  <c r="L6266" i="1"/>
  <c r="M6266" i="1"/>
  <c r="N6266" i="1"/>
  <c r="O6266" i="1"/>
  <c r="P6266" i="1"/>
  <c r="Q6266" i="1"/>
  <c r="R6266" i="1"/>
  <c r="S6266" i="1"/>
  <c r="T6266" i="1"/>
  <c r="U6266" i="1"/>
  <c r="V6266" i="1"/>
  <c r="W6266" i="1"/>
  <c r="X6266" i="1"/>
  <c r="Y6266" i="1"/>
  <c r="Z6266" i="1"/>
  <c r="A6267" i="1"/>
  <c r="B6267" i="1"/>
  <c r="C6267" i="1"/>
  <c r="D6267" i="1"/>
  <c r="E6267" i="1"/>
  <c r="F6267" i="1"/>
  <c r="G6267" i="1"/>
  <c r="I6267" i="1"/>
  <c r="J6267" i="1"/>
  <c r="K6267" i="1"/>
  <c r="L6267" i="1"/>
  <c r="M6267" i="1"/>
  <c r="N6267" i="1"/>
  <c r="O6267" i="1"/>
  <c r="P6267" i="1"/>
  <c r="Q6267" i="1"/>
  <c r="R6267" i="1"/>
  <c r="S6267" i="1"/>
  <c r="T6267" i="1"/>
  <c r="U6267" i="1"/>
  <c r="V6267" i="1"/>
  <c r="W6267" i="1"/>
  <c r="X6267" i="1"/>
  <c r="Y6267" i="1"/>
  <c r="Z6267" i="1"/>
  <c r="A6268" i="1"/>
  <c r="B6268" i="1"/>
  <c r="C6268" i="1"/>
  <c r="D6268" i="1"/>
  <c r="E6268" i="1"/>
  <c r="F6268" i="1"/>
  <c r="G6268" i="1"/>
  <c r="I6268" i="1"/>
  <c r="J6268" i="1"/>
  <c r="K6268" i="1"/>
  <c r="L6268" i="1"/>
  <c r="M6268" i="1"/>
  <c r="N6268" i="1"/>
  <c r="O6268" i="1"/>
  <c r="P6268" i="1"/>
  <c r="Q6268" i="1"/>
  <c r="R6268" i="1"/>
  <c r="S6268" i="1"/>
  <c r="T6268" i="1"/>
  <c r="U6268" i="1"/>
  <c r="V6268" i="1"/>
  <c r="W6268" i="1"/>
  <c r="X6268" i="1"/>
  <c r="Y6268" i="1"/>
  <c r="Z6268" i="1"/>
  <c r="A6269" i="1"/>
  <c r="B6269" i="1"/>
  <c r="C6269" i="1"/>
  <c r="D6269" i="1"/>
  <c r="E6269" i="1"/>
  <c r="F6269" i="1"/>
  <c r="G6269" i="1"/>
  <c r="I6269" i="1"/>
  <c r="J6269" i="1"/>
  <c r="K6269" i="1"/>
  <c r="L6269" i="1"/>
  <c r="M6269" i="1"/>
  <c r="N6269" i="1"/>
  <c r="O6269" i="1"/>
  <c r="P6269" i="1"/>
  <c r="Q6269" i="1"/>
  <c r="R6269" i="1"/>
  <c r="S6269" i="1"/>
  <c r="T6269" i="1"/>
  <c r="U6269" i="1"/>
  <c r="V6269" i="1"/>
  <c r="W6269" i="1"/>
  <c r="X6269" i="1"/>
  <c r="Y6269" i="1"/>
  <c r="Z6269" i="1"/>
  <c r="A6270" i="1"/>
  <c r="B6270" i="1"/>
  <c r="C6270" i="1"/>
  <c r="D6270" i="1"/>
  <c r="E6270" i="1"/>
  <c r="F6270" i="1"/>
  <c r="G6270" i="1"/>
  <c r="I6270" i="1"/>
  <c r="J6270" i="1"/>
  <c r="K6270" i="1"/>
  <c r="L6270" i="1"/>
  <c r="M6270" i="1"/>
  <c r="N6270" i="1"/>
  <c r="O6270" i="1"/>
  <c r="P6270" i="1"/>
  <c r="Q6270" i="1"/>
  <c r="R6270" i="1"/>
  <c r="S6270" i="1"/>
  <c r="T6270" i="1"/>
  <c r="U6270" i="1"/>
  <c r="V6270" i="1"/>
  <c r="W6270" i="1"/>
  <c r="X6270" i="1"/>
  <c r="Y6270" i="1"/>
  <c r="Z6270" i="1"/>
  <c r="A6271" i="1"/>
  <c r="B6271" i="1"/>
  <c r="C6271" i="1"/>
  <c r="D6271" i="1"/>
  <c r="E6271" i="1"/>
  <c r="F6271" i="1"/>
  <c r="G6271" i="1"/>
  <c r="I6271" i="1"/>
  <c r="J6271" i="1"/>
  <c r="K6271" i="1"/>
  <c r="L6271" i="1"/>
  <c r="M6271" i="1"/>
  <c r="N6271" i="1"/>
  <c r="O6271" i="1"/>
  <c r="P6271" i="1"/>
  <c r="Q6271" i="1"/>
  <c r="R6271" i="1"/>
  <c r="S6271" i="1"/>
  <c r="T6271" i="1"/>
  <c r="U6271" i="1"/>
  <c r="V6271" i="1"/>
  <c r="W6271" i="1"/>
  <c r="X6271" i="1"/>
  <c r="Y6271" i="1"/>
  <c r="Z6271" i="1"/>
  <c r="A6272" i="1"/>
  <c r="B6272" i="1"/>
  <c r="C6272" i="1"/>
  <c r="D6272" i="1"/>
  <c r="E6272" i="1"/>
  <c r="F6272" i="1"/>
  <c r="G6272" i="1"/>
  <c r="I6272" i="1"/>
  <c r="J6272" i="1"/>
  <c r="K6272" i="1"/>
  <c r="L6272" i="1"/>
  <c r="M6272" i="1"/>
  <c r="N6272" i="1"/>
  <c r="O6272" i="1"/>
  <c r="P6272" i="1"/>
  <c r="Q6272" i="1"/>
  <c r="R6272" i="1"/>
  <c r="S6272" i="1"/>
  <c r="T6272" i="1"/>
  <c r="U6272" i="1"/>
  <c r="V6272" i="1"/>
  <c r="W6272" i="1"/>
  <c r="X6272" i="1"/>
  <c r="Y6272" i="1"/>
  <c r="Z6272" i="1"/>
  <c r="A6273" i="1"/>
  <c r="B6273" i="1"/>
  <c r="C6273" i="1"/>
  <c r="D6273" i="1"/>
  <c r="E6273" i="1"/>
  <c r="F6273" i="1"/>
  <c r="G6273" i="1"/>
  <c r="I6273" i="1"/>
  <c r="J6273" i="1"/>
  <c r="K6273" i="1"/>
  <c r="L6273" i="1"/>
  <c r="M6273" i="1"/>
  <c r="N6273" i="1"/>
  <c r="O6273" i="1"/>
  <c r="P6273" i="1"/>
  <c r="Q6273" i="1"/>
  <c r="R6273" i="1"/>
  <c r="S6273" i="1"/>
  <c r="T6273" i="1"/>
  <c r="U6273" i="1"/>
  <c r="V6273" i="1"/>
  <c r="W6273" i="1"/>
  <c r="X6273" i="1"/>
  <c r="Y6273" i="1"/>
  <c r="Z6273" i="1"/>
  <c r="A6274" i="1"/>
  <c r="B6274" i="1"/>
  <c r="C6274" i="1"/>
  <c r="D6274" i="1"/>
  <c r="E6274" i="1"/>
  <c r="F6274" i="1"/>
  <c r="G6274" i="1"/>
  <c r="I6274" i="1"/>
  <c r="J6274" i="1"/>
  <c r="K6274" i="1"/>
  <c r="L6274" i="1"/>
  <c r="M6274" i="1"/>
  <c r="N6274" i="1"/>
  <c r="O6274" i="1"/>
  <c r="P6274" i="1"/>
  <c r="Q6274" i="1"/>
  <c r="R6274" i="1"/>
  <c r="S6274" i="1"/>
  <c r="T6274" i="1"/>
  <c r="U6274" i="1"/>
  <c r="V6274" i="1"/>
  <c r="W6274" i="1"/>
  <c r="X6274" i="1"/>
  <c r="Y6274" i="1"/>
  <c r="Z6274" i="1"/>
  <c r="A6275" i="1"/>
  <c r="B6275" i="1"/>
  <c r="C6275" i="1"/>
  <c r="D6275" i="1"/>
  <c r="E6275" i="1"/>
  <c r="F6275" i="1"/>
  <c r="G6275" i="1"/>
  <c r="I6275" i="1"/>
  <c r="J6275" i="1"/>
  <c r="K6275" i="1"/>
  <c r="L6275" i="1"/>
  <c r="M6275" i="1"/>
  <c r="N6275" i="1"/>
  <c r="O6275" i="1"/>
  <c r="P6275" i="1"/>
  <c r="Q6275" i="1"/>
  <c r="R6275" i="1"/>
  <c r="S6275" i="1"/>
  <c r="T6275" i="1"/>
  <c r="U6275" i="1"/>
  <c r="V6275" i="1"/>
  <c r="W6275" i="1"/>
  <c r="X6275" i="1"/>
  <c r="Y6275" i="1"/>
  <c r="Z6275" i="1"/>
  <c r="A6276" i="1"/>
  <c r="B6276" i="1"/>
  <c r="C6276" i="1"/>
  <c r="D6276" i="1"/>
  <c r="E6276" i="1"/>
  <c r="F6276" i="1"/>
  <c r="G6276" i="1"/>
  <c r="I6276" i="1"/>
  <c r="J6276" i="1"/>
  <c r="K6276" i="1"/>
  <c r="L6276" i="1"/>
  <c r="M6276" i="1"/>
  <c r="N6276" i="1"/>
  <c r="O6276" i="1"/>
  <c r="P6276" i="1"/>
  <c r="Q6276" i="1"/>
  <c r="R6276" i="1"/>
  <c r="S6276" i="1"/>
  <c r="T6276" i="1"/>
  <c r="U6276" i="1"/>
  <c r="V6276" i="1"/>
  <c r="W6276" i="1"/>
  <c r="X6276" i="1"/>
  <c r="Y6276" i="1"/>
  <c r="Z6276" i="1"/>
  <c r="A6277" i="1"/>
  <c r="B6277" i="1"/>
  <c r="C6277" i="1"/>
  <c r="D6277" i="1"/>
  <c r="E6277" i="1"/>
  <c r="F6277" i="1"/>
  <c r="G6277" i="1"/>
  <c r="I6277" i="1"/>
  <c r="J6277" i="1"/>
  <c r="K6277" i="1"/>
  <c r="L6277" i="1"/>
  <c r="M6277" i="1"/>
  <c r="N6277" i="1"/>
  <c r="O6277" i="1"/>
  <c r="P6277" i="1"/>
  <c r="Q6277" i="1"/>
  <c r="R6277" i="1"/>
  <c r="S6277" i="1"/>
  <c r="T6277" i="1"/>
  <c r="U6277" i="1"/>
  <c r="V6277" i="1"/>
  <c r="W6277" i="1"/>
  <c r="X6277" i="1"/>
  <c r="Y6277" i="1"/>
  <c r="Z6277" i="1"/>
  <c r="A6278" i="1"/>
  <c r="B6278" i="1"/>
  <c r="C6278" i="1"/>
  <c r="D6278" i="1"/>
  <c r="E6278" i="1"/>
  <c r="F6278" i="1"/>
  <c r="G6278" i="1"/>
  <c r="I6278" i="1"/>
  <c r="J6278" i="1"/>
  <c r="K6278" i="1"/>
  <c r="L6278" i="1"/>
  <c r="M6278" i="1"/>
  <c r="N6278" i="1"/>
  <c r="O6278" i="1"/>
  <c r="P6278" i="1"/>
  <c r="Q6278" i="1"/>
  <c r="R6278" i="1"/>
  <c r="S6278" i="1"/>
  <c r="T6278" i="1"/>
  <c r="U6278" i="1"/>
  <c r="V6278" i="1"/>
  <c r="W6278" i="1"/>
  <c r="X6278" i="1"/>
  <c r="Y6278" i="1"/>
  <c r="Z6278" i="1"/>
  <c r="A6279" i="1"/>
  <c r="B6279" i="1"/>
  <c r="C6279" i="1"/>
  <c r="D6279" i="1"/>
  <c r="E6279" i="1"/>
  <c r="F6279" i="1"/>
  <c r="G6279" i="1"/>
  <c r="I6279" i="1"/>
  <c r="J6279" i="1"/>
  <c r="K6279" i="1"/>
  <c r="L6279" i="1"/>
  <c r="M6279" i="1"/>
  <c r="N6279" i="1"/>
  <c r="O6279" i="1"/>
  <c r="P6279" i="1"/>
  <c r="Q6279" i="1"/>
  <c r="R6279" i="1"/>
  <c r="S6279" i="1"/>
  <c r="T6279" i="1"/>
  <c r="U6279" i="1"/>
  <c r="V6279" i="1"/>
  <c r="W6279" i="1"/>
  <c r="X6279" i="1"/>
  <c r="Y6279" i="1"/>
  <c r="Z6279" i="1"/>
  <c r="A6280" i="1"/>
  <c r="B6280" i="1"/>
  <c r="C6280" i="1"/>
  <c r="D6280" i="1"/>
  <c r="E6280" i="1"/>
  <c r="F6280" i="1"/>
  <c r="G6280" i="1"/>
  <c r="I6280" i="1"/>
  <c r="J6280" i="1"/>
  <c r="K6280" i="1"/>
  <c r="L6280" i="1"/>
  <c r="M6280" i="1"/>
  <c r="N6280" i="1"/>
  <c r="O6280" i="1"/>
  <c r="P6280" i="1"/>
  <c r="Q6280" i="1"/>
  <c r="R6280" i="1"/>
  <c r="S6280" i="1"/>
  <c r="T6280" i="1"/>
  <c r="U6280" i="1"/>
  <c r="V6280" i="1"/>
  <c r="W6280" i="1"/>
  <c r="X6280" i="1"/>
  <c r="Y6280" i="1"/>
  <c r="Z6280" i="1"/>
  <c r="A6281" i="1"/>
  <c r="B6281" i="1"/>
  <c r="C6281" i="1"/>
  <c r="D6281" i="1"/>
  <c r="E6281" i="1"/>
  <c r="F6281" i="1"/>
  <c r="G6281" i="1"/>
  <c r="I6281" i="1"/>
  <c r="J6281" i="1"/>
  <c r="K6281" i="1"/>
  <c r="L6281" i="1"/>
  <c r="M6281" i="1"/>
  <c r="N6281" i="1"/>
  <c r="O6281" i="1"/>
  <c r="P6281" i="1"/>
  <c r="Q6281" i="1"/>
  <c r="R6281" i="1"/>
  <c r="S6281" i="1"/>
  <c r="T6281" i="1"/>
  <c r="U6281" i="1"/>
  <c r="V6281" i="1"/>
  <c r="W6281" i="1"/>
  <c r="X6281" i="1"/>
  <c r="Y6281" i="1"/>
  <c r="Z6281" i="1"/>
  <c r="A6282" i="1"/>
  <c r="B6282" i="1"/>
  <c r="C6282" i="1"/>
  <c r="D6282" i="1"/>
  <c r="E6282" i="1"/>
  <c r="F6282" i="1"/>
  <c r="G6282" i="1"/>
  <c r="I6282" i="1"/>
  <c r="J6282" i="1"/>
  <c r="K6282" i="1"/>
  <c r="L6282" i="1"/>
  <c r="M6282" i="1"/>
  <c r="N6282" i="1"/>
  <c r="O6282" i="1"/>
  <c r="P6282" i="1"/>
  <c r="Q6282" i="1"/>
  <c r="R6282" i="1"/>
  <c r="S6282" i="1"/>
  <c r="T6282" i="1"/>
  <c r="U6282" i="1"/>
  <c r="V6282" i="1"/>
  <c r="W6282" i="1"/>
  <c r="X6282" i="1"/>
  <c r="Y6282" i="1"/>
  <c r="Z6282" i="1"/>
  <c r="A6283" i="1"/>
  <c r="B6283" i="1"/>
  <c r="C6283" i="1"/>
  <c r="D6283" i="1"/>
  <c r="E6283" i="1"/>
  <c r="F6283" i="1"/>
  <c r="G6283" i="1"/>
  <c r="I6283" i="1"/>
  <c r="J6283" i="1"/>
  <c r="K6283" i="1"/>
  <c r="L6283" i="1"/>
  <c r="M6283" i="1"/>
  <c r="N6283" i="1"/>
  <c r="O6283" i="1"/>
  <c r="P6283" i="1"/>
  <c r="Q6283" i="1"/>
  <c r="R6283" i="1"/>
  <c r="S6283" i="1"/>
  <c r="T6283" i="1"/>
  <c r="U6283" i="1"/>
  <c r="V6283" i="1"/>
  <c r="W6283" i="1"/>
  <c r="X6283" i="1"/>
  <c r="Y6283" i="1"/>
  <c r="Z6283" i="1"/>
  <c r="A6284" i="1"/>
  <c r="B6284" i="1"/>
  <c r="C6284" i="1"/>
  <c r="D6284" i="1"/>
  <c r="E6284" i="1"/>
  <c r="F6284" i="1"/>
  <c r="G6284" i="1"/>
  <c r="I6284" i="1"/>
  <c r="J6284" i="1"/>
  <c r="K6284" i="1"/>
  <c r="L6284" i="1"/>
  <c r="M6284" i="1"/>
  <c r="N6284" i="1"/>
  <c r="O6284" i="1"/>
  <c r="P6284" i="1"/>
  <c r="Q6284" i="1"/>
  <c r="R6284" i="1"/>
  <c r="S6284" i="1"/>
  <c r="T6284" i="1"/>
  <c r="U6284" i="1"/>
  <c r="V6284" i="1"/>
  <c r="W6284" i="1"/>
  <c r="X6284" i="1"/>
  <c r="Y6284" i="1"/>
  <c r="Z6284" i="1"/>
  <c r="A6285" i="1"/>
  <c r="B6285" i="1"/>
  <c r="C6285" i="1"/>
  <c r="D6285" i="1"/>
  <c r="E6285" i="1"/>
  <c r="F6285" i="1"/>
  <c r="G6285" i="1"/>
  <c r="I6285" i="1"/>
  <c r="J6285" i="1"/>
  <c r="K6285" i="1"/>
  <c r="L6285" i="1"/>
  <c r="M6285" i="1"/>
  <c r="N6285" i="1"/>
  <c r="O6285" i="1"/>
  <c r="P6285" i="1"/>
  <c r="Q6285" i="1"/>
  <c r="R6285" i="1"/>
  <c r="S6285" i="1"/>
  <c r="T6285" i="1"/>
  <c r="U6285" i="1"/>
  <c r="V6285" i="1"/>
  <c r="W6285" i="1"/>
  <c r="X6285" i="1"/>
  <c r="Y6285" i="1"/>
  <c r="Z6285" i="1"/>
  <c r="A6286" i="1"/>
  <c r="B6286" i="1"/>
  <c r="C6286" i="1"/>
  <c r="D6286" i="1"/>
  <c r="E6286" i="1"/>
  <c r="F6286" i="1"/>
  <c r="G6286" i="1"/>
  <c r="I6286" i="1"/>
  <c r="J6286" i="1"/>
  <c r="K6286" i="1"/>
  <c r="L6286" i="1"/>
  <c r="M6286" i="1"/>
  <c r="N6286" i="1"/>
  <c r="O6286" i="1"/>
  <c r="P6286" i="1"/>
  <c r="Q6286" i="1"/>
  <c r="R6286" i="1"/>
  <c r="S6286" i="1"/>
  <c r="T6286" i="1"/>
  <c r="U6286" i="1"/>
  <c r="V6286" i="1"/>
  <c r="W6286" i="1"/>
  <c r="X6286" i="1"/>
  <c r="Y6286" i="1"/>
  <c r="Z6286" i="1"/>
  <c r="A6287" i="1"/>
  <c r="B6287" i="1"/>
  <c r="C6287" i="1"/>
  <c r="D6287" i="1"/>
  <c r="E6287" i="1"/>
  <c r="F6287" i="1"/>
  <c r="G6287" i="1"/>
  <c r="I6287" i="1"/>
  <c r="J6287" i="1"/>
  <c r="K6287" i="1"/>
  <c r="L6287" i="1"/>
  <c r="M6287" i="1"/>
  <c r="N6287" i="1"/>
  <c r="O6287" i="1"/>
  <c r="P6287" i="1"/>
  <c r="Q6287" i="1"/>
  <c r="R6287" i="1"/>
  <c r="S6287" i="1"/>
  <c r="T6287" i="1"/>
  <c r="U6287" i="1"/>
  <c r="V6287" i="1"/>
  <c r="W6287" i="1"/>
  <c r="X6287" i="1"/>
  <c r="Y6287" i="1"/>
  <c r="Z6287" i="1"/>
  <c r="A6288" i="1"/>
  <c r="B6288" i="1"/>
  <c r="C6288" i="1"/>
  <c r="D6288" i="1"/>
  <c r="E6288" i="1"/>
  <c r="F6288" i="1"/>
  <c r="G6288" i="1"/>
  <c r="I6288" i="1"/>
  <c r="J6288" i="1"/>
  <c r="K6288" i="1"/>
  <c r="L6288" i="1"/>
  <c r="M6288" i="1"/>
  <c r="N6288" i="1"/>
  <c r="O6288" i="1"/>
  <c r="P6288" i="1"/>
  <c r="Q6288" i="1"/>
  <c r="R6288" i="1"/>
  <c r="S6288" i="1"/>
  <c r="T6288" i="1"/>
  <c r="U6288" i="1"/>
  <c r="V6288" i="1"/>
  <c r="W6288" i="1"/>
  <c r="X6288" i="1"/>
  <c r="Y6288" i="1"/>
  <c r="Z6288" i="1"/>
  <c r="A6289" i="1"/>
  <c r="B6289" i="1"/>
  <c r="C6289" i="1"/>
  <c r="D6289" i="1"/>
  <c r="E6289" i="1"/>
  <c r="F6289" i="1"/>
  <c r="G6289" i="1"/>
  <c r="I6289" i="1"/>
  <c r="J6289" i="1"/>
  <c r="K6289" i="1"/>
  <c r="L6289" i="1"/>
  <c r="M6289" i="1"/>
  <c r="N6289" i="1"/>
  <c r="O6289" i="1"/>
  <c r="P6289" i="1"/>
  <c r="Q6289" i="1"/>
  <c r="R6289" i="1"/>
  <c r="S6289" i="1"/>
  <c r="T6289" i="1"/>
  <c r="U6289" i="1"/>
  <c r="V6289" i="1"/>
  <c r="W6289" i="1"/>
  <c r="X6289" i="1"/>
  <c r="Y6289" i="1"/>
  <c r="Z6289" i="1"/>
  <c r="A6290" i="1"/>
  <c r="B6290" i="1"/>
  <c r="C6290" i="1"/>
  <c r="D6290" i="1"/>
  <c r="E6290" i="1"/>
  <c r="F6290" i="1"/>
  <c r="G6290" i="1"/>
  <c r="I6290" i="1"/>
  <c r="J6290" i="1"/>
  <c r="K6290" i="1"/>
  <c r="L6290" i="1"/>
  <c r="M6290" i="1"/>
  <c r="N6290" i="1"/>
  <c r="O6290" i="1"/>
  <c r="P6290" i="1"/>
  <c r="Q6290" i="1"/>
  <c r="R6290" i="1"/>
  <c r="S6290" i="1"/>
  <c r="T6290" i="1"/>
  <c r="U6290" i="1"/>
  <c r="V6290" i="1"/>
  <c r="W6290" i="1"/>
  <c r="X6290" i="1"/>
  <c r="Y6290" i="1"/>
  <c r="Z6290" i="1"/>
  <c r="A6291" i="1"/>
  <c r="B6291" i="1"/>
  <c r="C6291" i="1"/>
  <c r="D6291" i="1"/>
  <c r="E6291" i="1"/>
  <c r="F6291" i="1"/>
  <c r="G6291" i="1"/>
  <c r="I6291" i="1"/>
  <c r="J6291" i="1"/>
  <c r="K6291" i="1"/>
  <c r="L6291" i="1"/>
  <c r="M6291" i="1"/>
  <c r="N6291" i="1"/>
  <c r="O6291" i="1"/>
  <c r="P6291" i="1"/>
  <c r="Q6291" i="1"/>
  <c r="R6291" i="1"/>
  <c r="S6291" i="1"/>
  <c r="T6291" i="1"/>
  <c r="U6291" i="1"/>
  <c r="V6291" i="1"/>
  <c r="W6291" i="1"/>
  <c r="X6291" i="1"/>
  <c r="Y6291" i="1"/>
  <c r="Z6291" i="1"/>
  <c r="A6292" i="1"/>
  <c r="B6292" i="1"/>
  <c r="C6292" i="1"/>
  <c r="D6292" i="1"/>
  <c r="E6292" i="1"/>
  <c r="F6292" i="1"/>
  <c r="G6292" i="1"/>
  <c r="I6292" i="1"/>
  <c r="J6292" i="1"/>
  <c r="K6292" i="1"/>
  <c r="L6292" i="1"/>
  <c r="M6292" i="1"/>
  <c r="N6292" i="1"/>
  <c r="O6292" i="1"/>
  <c r="P6292" i="1"/>
  <c r="Q6292" i="1"/>
  <c r="R6292" i="1"/>
  <c r="S6292" i="1"/>
  <c r="T6292" i="1"/>
  <c r="U6292" i="1"/>
  <c r="V6292" i="1"/>
  <c r="W6292" i="1"/>
  <c r="X6292" i="1"/>
  <c r="Y6292" i="1"/>
  <c r="Z6292" i="1"/>
  <c r="A6293" i="1"/>
  <c r="B6293" i="1"/>
  <c r="C6293" i="1"/>
  <c r="D6293" i="1"/>
  <c r="E6293" i="1"/>
  <c r="F6293" i="1"/>
  <c r="G6293" i="1"/>
  <c r="I6293" i="1"/>
  <c r="J6293" i="1"/>
  <c r="K6293" i="1"/>
  <c r="L6293" i="1"/>
  <c r="M6293" i="1"/>
  <c r="N6293" i="1"/>
  <c r="O6293" i="1"/>
  <c r="P6293" i="1"/>
  <c r="Q6293" i="1"/>
  <c r="R6293" i="1"/>
  <c r="S6293" i="1"/>
  <c r="T6293" i="1"/>
  <c r="U6293" i="1"/>
  <c r="V6293" i="1"/>
  <c r="W6293" i="1"/>
  <c r="X6293" i="1"/>
  <c r="Y6293" i="1"/>
  <c r="Z6293" i="1"/>
  <c r="A6294" i="1"/>
  <c r="B6294" i="1"/>
  <c r="C6294" i="1"/>
  <c r="D6294" i="1"/>
  <c r="E6294" i="1"/>
  <c r="F6294" i="1"/>
  <c r="G6294" i="1"/>
  <c r="I6294" i="1"/>
  <c r="J6294" i="1"/>
  <c r="K6294" i="1"/>
  <c r="L6294" i="1"/>
  <c r="M6294" i="1"/>
  <c r="N6294" i="1"/>
  <c r="O6294" i="1"/>
  <c r="P6294" i="1"/>
  <c r="Q6294" i="1"/>
  <c r="R6294" i="1"/>
  <c r="S6294" i="1"/>
  <c r="T6294" i="1"/>
  <c r="U6294" i="1"/>
  <c r="V6294" i="1"/>
  <c r="W6294" i="1"/>
  <c r="X6294" i="1"/>
  <c r="Y6294" i="1"/>
  <c r="Z6294" i="1"/>
  <c r="A6295" i="1"/>
  <c r="B6295" i="1"/>
  <c r="C6295" i="1"/>
  <c r="D6295" i="1"/>
  <c r="E6295" i="1"/>
  <c r="F6295" i="1"/>
  <c r="G6295" i="1"/>
  <c r="I6295" i="1"/>
  <c r="J6295" i="1"/>
  <c r="K6295" i="1"/>
  <c r="L6295" i="1"/>
  <c r="M6295" i="1"/>
  <c r="N6295" i="1"/>
  <c r="O6295" i="1"/>
  <c r="P6295" i="1"/>
  <c r="Q6295" i="1"/>
  <c r="R6295" i="1"/>
  <c r="S6295" i="1"/>
  <c r="T6295" i="1"/>
  <c r="U6295" i="1"/>
  <c r="V6295" i="1"/>
  <c r="W6295" i="1"/>
  <c r="X6295" i="1"/>
  <c r="Y6295" i="1"/>
  <c r="Z6295" i="1"/>
  <c r="A6296" i="1"/>
  <c r="B6296" i="1"/>
  <c r="C6296" i="1"/>
  <c r="D6296" i="1"/>
  <c r="E6296" i="1"/>
  <c r="F6296" i="1"/>
  <c r="G6296" i="1"/>
  <c r="I6296" i="1"/>
  <c r="J6296" i="1"/>
  <c r="K6296" i="1"/>
  <c r="L6296" i="1"/>
  <c r="M6296" i="1"/>
  <c r="N6296" i="1"/>
  <c r="O6296" i="1"/>
  <c r="P6296" i="1"/>
  <c r="Q6296" i="1"/>
  <c r="R6296" i="1"/>
  <c r="S6296" i="1"/>
  <c r="T6296" i="1"/>
  <c r="U6296" i="1"/>
  <c r="V6296" i="1"/>
  <c r="W6296" i="1"/>
  <c r="X6296" i="1"/>
  <c r="Y6296" i="1"/>
  <c r="Z6296" i="1"/>
  <c r="A6297" i="1"/>
  <c r="B6297" i="1"/>
  <c r="C6297" i="1"/>
  <c r="D6297" i="1"/>
  <c r="E6297" i="1"/>
  <c r="F6297" i="1"/>
  <c r="G6297" i="1"/>
  <c r="I6297" i="1"/>
  <c r="J6297" i="1"/>
  <c r="K6297" i="1"/>
  <c r="L6297" i="1"/>
  <c r="M6297" i="1"/>
  <c r="N6297" i="1"/>
  <c r="O6297" i="1"/>
  <c r="P6297" i="1"/>
  <c r="Q6297" i="1"/>
  <c r="R6297" i="1"/>
  <c r="S6297" i="1"/>
  <c r="T6297" i="1"/>
  <c r="U6297" i="1"/>
  <c r="V6297" i="1"/>
  <c r="W6297" i="1"/>
  <c r="X6297" i="1"/>
  <c r="Y6297" i="1"/>
  <c r="Z6297" i="1"/>
  <c r="A6298" i="1"/>
  <c r="B6298" i="1"/>
  <c r="C6298" i="1"/>
  <c r="D6298" i="1"/>
  <c r="E6298" i="1"/>
  <c r="F6298" i="1"/>
  <c r="G6298" i="1"/>
  <c r="I6298" i="1"/>
  <c r="J6298" i="1"/>
  <c r="K6298" i="1"/>
  <c r="L6298" i="1"/>
  <c r="M6298" i="1"/>
  <c r="N6298" i="1"/>
  <c r="O6298" i="1"/>
  <c r="P6298" i="1"/>
  <c r="Q6298" i="1"/>
  <c r="R6298" i="1"/>
  <c r="S6298" i="1"/>
  <c r="T6298" i="1"/>
  <c r="U6298" i="1"/>
  <c r="V6298" i="1"/>
  <c r="W6298" i="1"/>
  <c r="X6298" i="1"/>
  <c r="Y6298" i="1"/>
  <c r="Z6298" i="1"/>
  <c r="A6299" i="1"/>
  <c r="B6299" i="1"/>
  <c r="C6299" i="1"/>
  <c r="D6299" i="1"/>
  <c r="E6299" i="1"/>
  <c r="F6299" i="1"/>
  <c r="G6299" i="1"/>
  <c r="I6299" i="1"/>
  <c r="J6299" i="1"/>
  <c r="K6299" i="1"/>
  <c r="L6299" i="1"/>
  <c r="M6299" i="1"/>
  <c r="N6299" i="1"/>
  <c r="O6299" i="1"/>
  <c r="P6299" i="1"/>
  <c r="Q6299" i="1"/>
  <c r="R6299" i="1"/>
  <c r="S6299" i="1"/>
  <c r="T6299" i="1"/>
  <c r="U6299" i="1"/>
  <c r="V6299" i="1"/>
  <c r="W6299" i="1"/>
  <c r="X6299" i="1"/>
  <c r="Y6299" i="1"/>
  <c r="Z6299" i="1"/>
  <c r="A6300" i="1"/>
  <c r="B6300" i="1"/>
  <c r="C6300" i="1"/>
  <c r="D6300" i="1"/>
  <c r="E6300" i="1"/>
  <c r="F6300" i="1"/>
  <c r="G6300" i="1"/>
  <c r="I6300" i="1"/>
  <c r="J6300" i="1"/>
  <c r="K6300" i="1"/>
  <c r="L6300" i="1"/>
  <c r="M6300" i="1"/>
  <c r="N6300" i="1"/>
  <c r="O6300" i="1"/>
  <c r="P6300" i="1"/>
  <c r="Q6300" i="1"/>
  <c r="R6300" i="1"/>
  <c r="S6300" i="1"/>
  <c r="T6300" i="1"/>
  <c r="U6300" i="1"/>
  <c r="V6300" i="1"/>
  <c r="W6300" i="1"/>
  <c r="X6300" i="1"/>
  <c r="Y6300" i="1"/>
  <c r="Z6300" i="1"/>
  <c r="A6301" i="1"/>
  <c r="B6301" i="1"/>
  <c r="C6301" i="1"/>
  <c r="D6301" i="1"/>
  <c r="E6301" i="1"/>
  <c r="F6301" i="1"/>
  <c r="G6301" i="1"/>
  <c r="I6301" i="1"/>
  <c r="J6301" i="1"/>
  <c r="K6301" i="1"/>
  <c r="L6301" i="1"/>
  <c r="M6301" i="1"/>
  <c r="N6301" i="1"/>
  <c r="O6301" i="1"/>
  <c r="P6301" i="1"/>
  <c r="Q6301" i="1"/>
  <c r="R6301" i="1"/>
  <c r="S6301" i="1"/>
  <c r="T6301" i="1"/>
  <c r="U6301" i="1"/>
  <c r="V6301" i="1"/>
  <c r="W6301" i="1"/>
  <c r="X6301" i="1"/>
  <c r="Y6301" i="1"/>
  <c r="Z6301" i="1"/>
  <c r="A6302" i="1"/>
  <c r="B6302" i="1"/>
  <c r="C6302" i="1"/>
  <c r="D6302" i="1"/>
  <c r="E6302" i="1"/>
  <c r="F6302" i="1"/>
  <c r="G6302" i="1"/>
  <c r="I6302" i="1"/>
  <c r="J6302" i="1"/>
  <c r="K6302" i="1"/>
  <c r="L6302" i="1"/>
  <c r="M6302" i="1"/>
  <c r="N6302" i="1"/>
  <c r="O6302" i="1"/>
  <c r="P6302" i="1"/>
  <c r="Q6302" i="1"/>
  <c r="R6302" i="1"/>
  <c r="S6302" i="1"/>
  <c r="T6302" i="1"/>
  <c r="U6302" i="1"/>
  <c r="V6302" i="1"/>
  <c r="W6302" i="1"/>
  <c r="X6302" i="1"/>
  <c r="Y6302" i="1"/>
  <c r="Z6302" i="1"/>
  <c r="A6303" i="1"/>
  <c r="B6303" i="1"/>
  <c r="C6303" i="1"/>
  <c r="D6303" i="1"/>
  <c r="E6303" i="1"/>
  <c r="F6303" i="1"/>
  <c r="G6303" i="1"/>
  <c r="I6303" i="1"/>
  <c r="J6303" i="1"/>
  <c r="K6303" i="1"/>
  <c r="L6303" i="1"/>
  <c r="M6303" i="1"/>
  <c r="N6303" i="1"/>
  <c r="O6303" i="1"/>
  <c r="P6303" i="1"/>
  <c r="Q6303" i="1"/>
  <c r="R6303" i="1"/>
  <c r="S6303" i="1"/>
  <c r="T6303" i="1"/>
  <c r="U6303" i="1"/>
  <c r="V6303" i="1"/>
  <c r="W6303" i="1"/>
  <c r="X6303" i="1"/>
  <c r="Y6303" i="1"/>
  <c r="Z6303" i="1"/>
  <c r="A6304" i="1"/>
  <c r="B6304" i="1"/>
  <c r="C6304" i="1"/>
  <c r="D6304" i="1"/>
  <c r="E6304" i="1"/>
  <c r="F6304" i="1"/>
  <c r="G6304" i="1"/>
  <c r="I6304" i="1"/>
  <c r="J6304" i="1"/>
  <c r="K6304" i="1"/>
  <c r="L6304" i="1"/>
  <c r="M6304" i="1"/>
  <c r="N6304" i="1"/>
  <c r="O6304" i="1"/>
  <c r="P6304" i="1"/>
  <c r="Q6304" i="1"/>
  <c r="R6304" i="1"/>
  <c r="S6304" i="1"/>
  <c r="T6304" i="1"/>
  <c r="U6304" i="1"/>
  <c r="V6304" i="1"/>
  <c r="W6304" i="1"/>
  <c r="X6304" i="1"/>
  <c r="Y6304" i="1"/>
  <c r="Z6304" i="1"/>
  <c r="A6305" i="1"/>
  <c r="B6305" i="1"/>
  <c r="C6305" i="1"/>
  <c r="D6305" i="1"/>
  <c r="E6305" i="1"/>
  <c r="F6305" i="1"/>
  <c r="G6305" i="1"/>
  <c r="I6305" i="1"/>
  <c r="J6305" i="1"/>
  <c r="K6305" i="1"/>
  <c r="L6305" i="1"/>
  <c r="M6305" i="1"/>
  <c r="N6305" i="1"/>
  <c r="O6305" i="1"/>
  <c r="P6305" i="1"/>
  <c r="Q6305" i="1"/>
  <c r="R6305" i="1"/>
  <c r="S6305" i="1"/>
  <c r="T6305" i="1"/>
  <c r="U6305" i="1"/>
  <c r="V6305" i="1"/>
  <c r="W6305" i="1"/>
  <c r="X6305" i="1"/>
  <c r="Y6305" i="1"/>
  <c r="Z6305" i="1"/>
  <c r="A6306" i="1"/>
  <c r="B6306" i="1"/>
  <c r="C6306" i="1"/>
  <c r="D6306" i="1"/>
  <c r="E6306" i="1"/>
  <c r="F6306" i="1"/>
  <c r="G6306" i="1"/>
  <c r="I6306" i="1"/>
  <c r="J6306" i="1"/>
  <c r="K6306" i="1"/>
  <c r="L6306" i="1"/>
  <c r="M6306" i="1"/>
  <c r="N6306" i="1"/>
  <c r="O6306" i="1"/>
  <c r="P6306" i="1"/>
  <c r="Q6306" i="1"/>
  <c r="R6306" i="1"/>
  <c r="S6306" i="1"/>
  <c r="T6306" i="1"/>
  <c r="U6306" i="1"/>
  <c r="V6306" i="1"/>
  <c r="W6306" i="1"/>
  <c r="X6306" i="1"/>
  <c r="Y6306" i="1"/>
  <c r="Z6306" i="1"/>
  <c r="A6307" i="1"/>
  <c r="B6307" i="1"/>
  <c r="C6307" i="1"/>
  <c r="D6307" i="1"/>
  <c r="E6307" i="1"/>
  <c r="F6307" i="1"/>
  <c r="G6307" i="1"/>
  <c r="I6307" i="1"/>
  <c r="J6307" i="1"/>
  <c r="K6307" i="1"/>
  <c r="L6307" i="1"/>
  <c r="M6307" i="1"/>
  <c r="N6307" i="1"/>
  <c r="O6307" i="1"/>
  <c r="P6307" i="1"/>
  <c r="Q6307" i="1"/>
  <c r="R6307" i="1"/>
  <c r="S6307" i="1"/>
  <c r="T6307" i="1"/>
  <c r="U6307" i="1"/>
  <c r="V6307" i="1"/>
  <c r="W6307" i="1"/>
  <c r="X6307" i="1"/>
  <c r="Y6307" i="1"/>
  <c r="Z6307" i="1"/>
  <c r="A6308" i="1"/>
  <c r="B6308" i="1"/>
  <c r="C6308" i="1"/>
  <c r="D6308" i="1"/>
  <c r="E6308" i="1"/>
  <c r="F6308" i="1"/>
  <c r="G6308" i="1"/>
  <c r="I6308" i="1"/>
  <c r="J6308" i="1"/>
  <c r="K6308" i="1"/>
  <c r="L6308" i="1"/>
  <c r="M6308" i="1"/>
  <c r="N6308" i="1"/>
  <c r="O6308" i="1"/>
  <c r="P6308" i="1"/>
  <c r="Q6308" i="1"/>
  <c r="R6308" i="1"/>
  <c r="S6308" i="1"/>
  <c r="T6308" i="1"/>
  <c r="U6308" i="1"/>
  <c r="V6308" i="1"/>
  <c r="W6308" i="1"/>
  <c r="X6308" i="1"/>
  <c r="Y6308" i="1"/>
  <c r="Z6308" i="1"/>
  <c r="A6309" i="1"/>
  <c r="B6309" i="1"/>
  <c r="C6309" i="1"/>
  <c r="D6309" i="1"/>
  <c r="E6309" i="1"/>
  <c r="F6309" i="1"/>
  <c r="G6309" i="1"/>
  <c r="I6309" i="1"/>
  <c r="J6309" i="1"/>
  <c r="K6309" i="1"/>
  <c r="L6309" i="1"/>
  <c r="M6309" i="1"/>
  <c r="N6309" i="1"/>
  <c r="O6309" i="1"/>
  <c r="P6309" i="1"/>
  <c r="Q6309" i="1"/>
  <c r="R6309" i="1"/>
  <c r="S6309" i="1"/>
  <c r="T6309" i="1"/>
  <c r="U6309" i="1"/>
  <c r="V6309" i="1"/>
  <c r="W6309" i="1"/>
  <c r="X6309" i="1"/>
  <c r="Y6309" i="1"/>
  <c r="Z6309" i="1"/>
  <c r="A6310" i="1"/>
  <c r="B6310" i="1"/>
  <c r="C6310" i="1"/>
  <c r="D6310" i="1"/>
  <c r="E6310" i="1"/>
  <c r="F6310" i="1"/>
  <c r="G6310" i="1"/>
  <c r="I6310" i="1"/>
  <c r="J6310" i="1"/>
  <c r="K6310" i="1"/>
  <c r="L6310" i="1"/>
  <c r="M6310" i="1"/>
  <c r="N6310" i="1"/>
  <c r="O6310" i="1"/>
  <c r="P6310" i="1"/>
  <c r="Q6310" i="1"/>
  <c r="R6310" i="1"/>
  <c r="S6310" i="1"/>
  <c r="T6310" i="1"/>
  <c r="U6310" i="1"/>
  <c r="V6310" i="1"/>
  <c r="W6310" i="1"/>
  <c r="X6310" i="1"/>
  <c r="Y6310" i="1"/>
  <c r="Z6310" i="1"/>
  <c r="A6311" i="1"/>
  <c r="B6311" i="1"/>
  <c r="C6311" i="1"/>
  <c r="D6311" i="1"/>
  <c r="E6311" i="1"/>
  <c r="F6311" i="1"/>
  <c r="G6311" i="1"/>
  <c r="I6311" i="1"/>
  <c r="J6311" i="1"/>
  <c r="K6311" i="1"/>
  <c r="L6311" i="1"/>
  <c r="M6311" i="1"/>
  <c r="N6311" i="1"/>
  <c r="O6311" i="1"/>
  <c r="P6311" i="1"/>
  <c r="Q6311" i="1"/>
  <c r="R6311" i="1"/>
  <c r="S6311" i="1"/>
  <c r="T6311" i="1"/>
  <c r="U6311" i="1"/>
  <c r="V6311" i="1"/>
  <c r="W6311" i="1"/>
  <c r="X6311" i="1"/>
  <c r="Y6311" i="1"/>
  <c r="Z6311" i="1"/>
  <c r="A6312" i="1"/>
  <c r="B6312" i="1"/>
  <c r="C6312" i="1"/>
  <c r="D6312" i="1"/>
  <c r="E6312" i="1"/>
  <c r="F6312" i="1"/>
  <c r="G6312" i="1"/>
  <c r="I6312" i="1"/>
  <c r="J6312" i="1"/>
  <c r="K6312" i="1"/>
  <c r="L6312" i="1"/>
  <c r="M6312" i="1"/>
  <c r="N6312" i="1"/>
  <c r="O6312" i="1"/>
  <c r="P6312" i="1"/>
  <c r="Q6312" i="1"/>
  <c r="R6312" i="1"/>
  <c r="S6312" i="1"/>
  <c r="T6312" i="1"/>
  <c r="U6312" i="1"/>
  <c r="V6312" i="1"/>
  <c r="W6312" i="1"/>
  <c r="X6312" i="1"/>
  <c r="Y6312" i="1"/>
  <c r="Z6312" i="1"/>
  <c r="A6313" i="1"/>
  <c r="B6313" i="1"/>
  <c r="C6313" i="1"/>
  <c r="D6313" i="1"/>
  <c r="E6313" i="1"/>
  <c r="F6313" i="1"/>
  <c r="G6313" i="1"/>
  <c r="I6313" i="1"/>
  <c r="J6313" i="1"/>
  <c r="K6313" i="1"/>
  <c r="L6313" i="1"/>
  <c r="M6313" i="1"/>
  <c r="N6313" i="1"/>
  <c r="O6313" i="1"/>
  <c r="P6313" i="1"/>
  <c r="Q6313" i="1"/>
  <c r="R6313" i="1"/>
  <c r="S6313" i="1"/>
  <c r="T6313" i="1"/>
  <c r="U6313" i="1"/>
  <c r="V6313" i="1"/>
  <c r="W6313" i="1"/>
  <c r="X6313" i="1"/>
  <c r="Y6313" i="1"/>
  <c r="Z6313" i="1"/>
  <c r="A6314" i="1"/>
  <c r="B6314" i="1"/>
  <c r="C6314" i="1"/>
  <c r="D6314" i="1"/>
  <c r="E6314" i="1"/>
  <c r="F6314" i="1"/>
  <c r="G6314" i="1"/>
  <c r="I6314" i="1"/>
  <c r="J6314" i="1"/>
  <c r="K6314" i="1"/>
  <c r="L6314" i="1"/>
  <c r="M6314" i="1"/>
  <c r="N6314" i="1"/>
  <c r="O6314" i="1"/>
  <c r="P6314" i="1"/>
  <c r="Q6314" i="1"/>
  <c r="R6314" i="1"/>
  <c r="S6314" i="1"/>
  <c r="T6314" i="1"/>
  <c r="U6314" i="1"/>
  <c r="V6314" i="1"/>
  <c r="W6314" i="1"/>
  <c r="X6314" i="1"/>
  <c r="Y6314" i="1"/>
  <c r="Z6314" i="1"/>
  <c r="A6315" i="1"/>
  <c r="B6315" i="1"/>
  <c r="C6315" i="1"/>
  <c r="D6315" i="1"/>
  <c r="E6315" i="1"/>
  <c r="F6315" i="1"/>
  <c r="G6315" i="1"/>
  <c r="I6315" i="1"/>
  <c r="J6315" i="1"/>
  <c r="K6315" i="1"/>
  <c r="L6315" i="1"/>
  <c r="M6315" i="1"/>
  <c r="N6315" i="1"/>
  <c r="O6315" i="1"/>
  <c r="P6315" i="1"/>
  <c r="Q6315" i="1"/>
  <c r="R6315" i="1"/>
  <c r="S6315" i="1"/>
  <c r="T6315" i="1"/>
  <c r="U6315" i="1"/>
  <c r="V6315" i="1"/>
  <c r="W6315" i="1"/>
  <c r="X6315" i="1"/>
  <c r="Y6315" i="1"/>
  <c r="Z6315" i="1"/>
  <c r="A6316" i="1"/>
  <c r="B6316" i="1"/>
  <c r="C6316" i="1"/>
  <c r="D6316" i="1"/>
  <c r="E6316" i="1"/>
  <c r="F6316" i="1"/>
  <c r="G6316" i="1"/>
  <c r="I6316" i="1"/>
  <c r="J6316" i="1"/>
  <c r="K6316" i="1"/>
  <c r="L6316" i="1"/>
  <c r="M6316" i="1"/>
  <c r="N6316" i="1"/>
  <c r="O6316" i="1"/>
  <c r="P6316" i="1"/>
  <c r="Q6316" i="1"/>
  <c r="R6316" i="1"/>
  <c r="S6316" i="1"/>
  <c r="T6316" i="1"/>
  <c r="U6316" i="1"/>
  <c r="V6316" i="1"/>
  <c r="W6316" i="1"/>
  <c r="X6316" i="1"/>
  <c r="Y6316" i="1"/>
  <c r="Z6316" i="1"/>
  <c r="A6317" i="1"/>
  <c r="B6317" i="1"/>
  <c r="C6317" i="1"/>
  <c r="D6317" i="1"/>
  <c r="E6317" i="1"/>
  <c r="F6317" i="1"/>
  <c r="G6317" i="1"/>
  <c r="I6317" i="1"/>
  <c r="J6317" i="1"/>
  <c r="K6317" i="1"/>
  <c r="L6317" i="1"/>
  <c r="M6317" i="1"/>
  <c r="N6317" i="1"/>
  <c r="O6317" i="1"/>
  <c r="P6317" i="1"/>
  <c r="Q6317" i="1"/>
  <c r="R6317" i="1"/>
  <c r="S6317" i="1"/>
  <c r="T6317" i="1"/>
  <c r="U6317" i="1"/>
  <c r="V6317" i="1"/>
  <c r="W6317" i="1"/>
  <c r="X6317" i="1"/>
  <c r="Y6317" i="1"/>
  <c r="Z6317" i="1"/>
  <c r="A6318" i="1"/>
  <c r="B6318" i="1"/>
  <c r="C6318" i="1"/>
  <c r="D6318" i="1"/>
  <c r="E6318" i="1"/>
  <c r="F6318" i="1"/>
  <c r="G6318" i="1"/>
  <c r="I6318" i="1"/>
  <c r="J6318" i="1"/>
  <c r="K6318" i="1"/>
  <c r="L6318" i="1"/>
  <c r="M6318" i="1"/>
  <c r="N6318" i="1"/>
  <c r="O6318" i="1"/>
  <c r="P6318" i="1"/>
  <c r="Q6318" i="1"/>
  <c r="R6318" i="1"/>
  <c r="S6318" i="1"/>
  <c r="T6318" i="1"/>
  <c r="U6318" i="1"/>
  <c r="V6318" i="1"/>
  <c r="W6318" i="1"/>
  <c r="X6318" i="1"/>
  <c r="Y6318" i="1"/>
  <c r="Z6318" i="1"/>
  <c r="A6319" i="1"/>
  <c r="B6319" i="1"/>
  <c r="C6319" i="1"/>
  <c r="D6319" i="1"/>
  <c r="E6319" i="1"/>
  <c r="F6319" i="1"/>
  <c r="G6319" i="1"/>
  <c r="I6319" i="1"/>
  <c r="J6319" i="1"/>
  <c r="K6319" i="1"/>
  <c r="L6319" i="1"/>
  <c r="M6319" i="1"/>
  <c r="N6319" i="1"/>
  <c r="O6319" i="1"/>
  <c r="P6319" i="1"/>
  <c r="Q6319" i="1"/>
  <c r="R6319" i="1"/>
  <c r="S6319" i="1"/>
  <c r="T6319" i="1"/>
  <c r="U6319" i="1"/>
  <c r="V6319" i="1"/>
  <c r="W6319" i="1"/>
  <c r="X6319" i="1"/>
  <c r="Y6319" i="1"/>
  <c r="Z6319" i="1"/>
  <c r="A6320" i="1"/>
  <c r="B6320" i="1"/>
  <c r="C6320" i="1"/>
  <c r="D6320" i="1"/>
  <c r="E6320" i="1"/>
  <c r="F6320" i="1"/>
  <c r="G6320" i="1"/>
  <c r="I6320" i="1"/>
  <c r="J6320" i="1"/>
  <c r="K6320" i="1"/>
  <c r="L6320" i="1"/>
  <c r="M6320" i="1"/>
  <c r="N6320" i="1"/>
  <c r="O6320" i="1"/>
  <c r="P6320" i="1"/>
  <c r="Q6320" i="1"/>
  <c r="R6320" i="1"/>
  <c r="S6320" i="1"/>
  <c r="T6320" i="1"/>
  <c r="U6320" i="1"/>
  <c r="V6320" i="1"/>
  <c r="W6320" i="1"/>
  <c r="X6320" i="1"/>
  <c r="Y6320" i="1"/>
  <c r="Z6320" i="1"/>
  <c r="A6321" i="1"/>
  <c r="B6321" i="1"/>
  <c r="C6321" i="1"/>
  <c r="D6321" i="1"/>
  <c r="E6321" i="1"/>
  <c r="F6321" i="1"/>
  <c r="G6321" i="1"/>
  <c r="I6321" i="1"/>
  <c r="J6321" i="1"/>
  <c r="K6321" i="1"/>
  <c r="L6321" i="1"/>
  <c r="M6321" i="1"/>
  <c r="N6321" i="1"/>
  <c r="O6321" i="1"/>
  <c r="P6321" i="1"/>
  <c r="Q6321" i="1"/>
  <c r="R6321" i="1"/>
  <c r="S6321" i="1"/>
  <c r="T6321" i="1"/>
  <c r="U6321" i="1"/>
  <c r="V6321" i="1"/>
  <c r="W6321" i="1"/>
  <c r="X6321" i="1"/>
  <c r="Y6321" i="1"/>
  <c r="Z6321" i="1"/>
  <c r="A6322" i="1"/>
  <c r="B6322" i="1"/>
  <c r="C6322" i="1"/>
  <c r="D6322" i="1"/>
  <c r="E6322" i="1"/>
  <c r="F6322" i="1"/>
  <c r="G6322" i="1"/>
  <c r="I6322" i="1"/>
  <c r="J6322" i="1"/>
  <c r="K6322" i="1"/>
  <c r="L6322" i="1"/>
  <c r="M6322" i="1"/>
  <c r="N6322" i="1"/>
  <c r="O6322" i="1"/>
  <c r="P6322" i="1"/>
  <c r="Q6322" i="1"/>
  <c r="R6322" i="1"/>
  <c r="S6322" i="1"/>
  <c r="T6322" i="1"/>
  <c r="U6322" i="1"/>
  <c r="V6322" i="1"/>
  <c r="W6322" i="1"/>
  <c r="X6322" i="1"/>
  <c r="Y6322" i="1"/>
  <c r="Z6322" i="1"/>
  <c r="A6323" i="1"/>
  <c r="B6323" i="1"/>
  <c r="C6323" i="1"/>
  <c r="D6323" i="1"/>
  <c r="E6323" i="1"/>
  <c r="F6323" i="1"/>
  <c r="G6323" i="1"/>
  <c r="I6323" i="1"/>
  <c r="J6323" i="1"/>
  <c r="K6323" i="1"/>
  <c r="L6323" i="1"/>
  <c r="M6323" i="1"/>
  <c r="N6323" i="1"/>
  <c r="O6323" i="1"/>
  <c r="P6323" i="1"/>
  <c r="Q6323" i="1"/>
  <c r="R6323" i="1"/>
  <c r="S6323" i="1"/>
  <c r="T6323" i="1"/>
  <c r="U6323" i="1"/>
  <c r="V6323" i="1"/>
  <c r="W6323" i="1"/>
  <c r="X6323" i="1"/>
  <c r="Y6323" i="1"/>
  <c r="Z6323" i="1"/>
  <c r="A6324" i="1"/>
  <c r="B6324" i="1"/>
  <c r="C6324" i="1"/>
  <c r="D6324" i="1"/>
  <c r="E6324" i="1"/>
  <c r="F6324" i="1"/>
  <c r="G6324" i="1"/>
  <c r="I6324" i="1"/>
  <c r="J6324" i="1"/>
  <c r="K6324" i="1"/>
  <c r="L6324" i="1"/>
  <c r="M6324" i="1"/>
  <c r="N6324" i="1"/>
  <c r="O6324" i="1"/>
  <c r="P6324" i="1"/>
  <c r="Q6324" i="1"/>
  <c r="R6324" i="1"/>
  <c r="S6324" i="1"/>
  <c r="T6324" i="1"/>
  <c r="U6324" i="1"/>
  <c r="V6324" i="1"/>
  <c r="W6324" i="1"/>
  <c r="X6324" i="1"/>
  <c r="Y6324" i="1"/>
  <c r="Z6324" i="1"/>
  <c r="A6325" i="1"/>
  <c r="B6325" i="1"/>
  <c r="C6325" i="1"/>
  <c r="D6325" i="1"/>
  <c r="E6325" i="1"/>
  <c r="F6325" i="1"/>
  <c r="G6325" i="1"/>
  <c r="I6325" i="1"/>
  <c r="J6325" i="1"/>
  <c r="K6325" i="1"/>
  <c r="L6325" i="1"/>
  <c r="M6325" i="1"/>
  <c r="N6325" i="1"/>
  <c r="O6325" i="1"/>
  <c r="P6325" i="1"/>
  <c r="Q6325" i="1"/>
  <c r="R6325" i="1"/>
  <c r="S6325" i="1"/>
  <c r="T6325" i="1"/>
  <c r="U6325" i="1"/>
  <c r="V6325" i="1"/>
  <c r="W6325" i="1"/>
  <c r="X6325" i="1"/>
  <c r="Y6325" i="1"/>
  <c r="Z6325" i="1"/>
  <c r="A6326" i="1"/>
  <c r="B6326" i="1"/>
  <c r="C6326" i="1"/>
  <c r="D6326" i="1"/>
  <c r="E6326" i="1"/>
  <c r="F6326" i="1"/>
  <c r="G6326" i="1"/>
  <c r="I6326" i="1"/>
  <c r="J6326" i="1"/>
  <c r="K6326" i="1"/>
  <c r="L6326" i="1"/>
  <c r="M6326" i="1"/>
  <c r="N6326" i="1"/>
  <c r="O6326" i="1"/>
  <c r="P6326" i="1"/>
  <c r="Q6326" i="1"/>
  <c r="R6326" i="1"/>
  <c r="S6326" i="1"/>
  <c r="T6326" i="1"/>
  <c r="U6326" i="1"/>
  <c r="V6326" i="1"/>
  <c r="W6326" i="1"/>
  <c r="X6326" i="1"/>
  <c r="Y6326" i="1"/>
  <c r="Z6326" i="1"/>
  <c r="A6327" i="1"/>
  <c r="B6327" i="1"/>
  <c r="C6327" i="1"/>
  <c r="D6327" i="1"/>
  <c r="E6327" i="1"/>
  <c r="F6327" i="1"/>
  <c r="G6327" i="1"/>
  <c r="I6327" i="1"/>
  <c r="J6327" i="1"/>
  <c r="K6327" i="1"/>
  <c r="L6327" i="1"/>
  <c r="M6327" i="1"/>
  <c r="N6327" i="1"/>
  <c r="O6327" i="1"/>
  <c r="P6327" i="1"/>
  <c r="Q6327" i="1"/>
  <c r="R6327" i="1"/>
  <c r="S6327" i="1"/>
  <c r="T6327" i="1"/>
  <c r="U6327" i="1"/>
  <c r="V6327" i="1"/>
  <c r="W6327" i="1"/>
  <c r="X6327" i="1"/>
  <c r="Y6327" i="1"/>
  <c r="Z6327" i="1"/>
  <c r="A6328" i="1"/>
  <c r="B6328" i="1"/>
  <c r="C6328" i="1"/>
  <c r="D6328" i="1"/>
  <c r="E6328" i="1"/>
  <c r="F6328" i="1"/>
  <c r="G6328" i="1"/>
  <c r="I6328" i="1"/>
  <c r="J6328" i="1"/>
  <c r="K6328" i="1"/>
  <c r="L6328" i="1"/>
  <c r="M6328" i="1"/>
  <c r="N6328" i="1"/>
  <c r="O6328" i="1"/>
  <c r="P6328" i="1"/>
  <c r="Q6328" i="1"/>
  <c r="R6328" i="1"/>
  <c r="S6328" i="1"/>
  <c r="T6328" i="1"/>
  <c r="U6328" i="1"/>
  <c r="V6328" i="1"/>
  <c r="W6328" i="1"/>
  <c r="X6328" i="1"/>
  <c r="Y6328" i="1"/>
  <c r="Z6328" i="1"/>
  <c r="A6329" i="1"/>
  <c r="B6329" i="1"/>
  <c r="C6329" i="1"/>
  <c r="D6329" i="1"/>
  <c r="E6329" i="1"/>
  <c r="F6329" i="1"/>
  <c r="G6329" i="1"/>
  <c r="I6329" i="1"/>
  <c r="J6329" i="1"/>
  <c r="K6329" i="1"/>
  <c r="L6329" i="1"/>
  <c r="M6329" i="1"/>
  <c r="N6329" i="1"/>
  <c r="O6329" i="1"/>
  <c r="P6329" i="1"/>
  <c r="Q6329" i="1"/>
  <c r="R6329" i="1"/>
  <c r="S6329" i="1"/>
  <c r="T6329" i="1"/>
  <c r="U6329" i="1"/>
  <c r="V6329" i="1"/>
  <c r="W6329" i="1"/>
  <c r="X6329" i="1"/>
  <c r="Y6329" i="1"/>
  <c r="Z6329" i="1"/>
  <c r="A6330" i="1"/>
  <c r="B6330" i="1"/>
  <c r="C6330" i="1"/>
  <c r="D6330" i="1"/>
  <c r="E6330" i="1"/>
  <c r="F6330" i="1"/>
  <c r="G6330" i="1"/>
  <c r="I6330" i="1"/>
  <c r="J6330" i="1"/>
  <c r="K6330" i="1"/>
  <c r="L6330" i="1"/>
  <c r="M6330" i="1"/>
  <c r="N6330" i="1"/>
  <c r="O6330" i="1"/>
  <c r="P6330" i="1"/>
  <c r="Q6330" i="1"/>
  <c r="R6330" i="1"/>
  <c r="S6330" i="1"/>
  <c r="T6330" i="1"/>
  <c r="U6330" i="1"/>
  <c r="V6330" i="1"/>
  <c r="W6330" i="1"/>
  <c r="X6330" i="1"/>
  <c r="Y6330" i="1"/>
  <c r="Z6330" i="1"/>
  <c r="A6331" i="1"/>
  <c r="B6331" i="1"/>
  <c r="C6331" i="1"/>
  <c r="D6331" i="1"/>
  <c r="E6331" i="1"/>
  <c r="F6331" i="1"/>
  <c r="G6331" i="1"/>
  <c r="I6331" i="1"/>
  <c r="J6331" i="1"/>
  <c r="K6331" i="1"/>
  <c r="L6331" i="1"/>
  <c r="M6331" i="1"/>
  <c r="N6331" i="1"/>
  <c r="O6331" i="1"/>
  <c r="P6331" i="1"/>
  <c r="Q6331" i="1"/>
  <c r="R6331" i="1"/>
  <c r="S6331" i="1"/>
  <c r="T6331" i="1"/>
  <c r="U6331" i="1"/>
  <c r="V6331" i="1"/>
  <c r="W6331" i="1"/>
  <c r="X6331" i="1"/>
  <c r="Y6331" i="1"/>
  <c r="Z6331" i="1"/>
  <c r="A6332" i="1"/>
  <c r="B6332" i="1"/>
  <c r="C6332" i="1"/>
  <c r="D6332" i="1"/>
  <c r="E6332" i="1"/>
  <c r="F6332" i="1"/>
  <c r="G6332" i="1"/>
  <c r="I6332" i="1"/>
  <c r="J6332" i="1"/>
  <c r="K6332" i="1"/>
  <c r="L6332" i="1"/>
  <c r="M6332" i="1"/>
  <c r="N6332" i="1"/>
  <c r="O6332" i="1"/>
  <c r="P6332" i="1"/>
  <c r="Q6332" i="1"/>
  <c r="R6332" i="1"/>
  <c r="S6332" i="1"/>
  <c r="T6332" i="1"/>
  <c r="U6332" i="1"/>
  <c r="V6332" i="1"/>
  <c r="W6332" i="1"/>
  <c r="X6332" i="1"/>
  <c r="Y6332" i="1"/>
  <c r="Z6332" i="1"/>
  <c r="A6333" i="1"/>
  <c r="B6333" i="1"/>
  <c r="C6333" i="1"/>
  <c r="D6333" i="1"/>
  <c r="E6333" i="1"/>
  <c r="F6333" i="1"/>
  <c r="G6333" i="1"/>
  <c r="I6333" i="1"/>
  <c r="J6333" i="1"/>
  <c r="K6333" i="1"/>
  <c r="L6333" i="1"/>
  <c r="M6333" i="1"/>
  <c r="N6333" i="1"/>
  <c r="O6333" i="1"/>
  <c r="P6333" i="1"/>
  <c r="Q6333" i="1"/>
  <c r="R6333" i="1"/>
  <c r="S6333" i="1"/>
  <c r="T6333" i="1"/>
  <c r="U6333" i="1"/>
  <c r="V6333" i="1"/>
  <c r="W6333" i="1"/>
  <c r="X6333" i="1"/>
  <c r="Y6333" i="1"/>
  <c r="Z6333" i="1"/>
  <c r="A6334" i="1"/>
  <c r="B6334" i="1"/>
  <c r="C6334" i="1"/>
  <c r="D6334" i="1"/>
  <c r="E6334" i="1"/>
  <c r="F6334" i="1"/>
  <c r="G6334" i="1"/>
  <c r="I6334" i="1"/>
  <c r="J6334" i="1"/>
  <c r="K6334" i="1"/>
  <c r="L6334" i="1"/>
  <c r="M6334" i="1"/>
  <c r="N6334" i="1"/>
  <c r="O6334" i="1"/>
  <c r="P6334" i="1"/>
  <c r="Q6334" i="1"/>
  <c r="R6334" i="1"/>
  <c r="S6334" i="1"/>
  <c r="T6334" i="1"/>
  <c r="U6334" i="1"/>
  <c r="V6334" i="1"/>
  <c r="W6334" i="1"/>
  <c r="X6334" i="1"/>
  <c r="Y6334" i="1"/>
  <c r="Z6334" i="1"/>
  <c r="A6335" i="1"/>
  <c r="B6335" i="1"/>
  <c r="C6335" i="1"/>
  <c r="D6335" i="1"/>
  <c r="E6335" i="1"/>
  <c r="F6335" i="1"/>
  <c r="G6335" i="1"/>
  <c r="I6335" i="1"/>
  <c r="J6335" i="1"/>
  <c r="K6335" i="1"/>
  <c r="L6335" i="1"/>
  <c r="M6335" i="1"/>
  <c r="N6335" i="1"/>
  <c r="O6335" i="1"/>
  <c r="P6335" i="1"/>
  <c r="Q6335" i="1"/>
  <c r="R6335" i="1"/>
  <c r="S6335" i="1"/>
  <c r="T6335" i="1"/>
  <c r="U6335" i="1"/>
  <c r="V6335" i="1"/>
  <c r="W6335" i="1"/>
  <c r="X6335" i="1"/>
  <c r="Y6335" i="1"/>
  <c r="Z6335" i="1"/>
  <c r="A6336" i="1"/>
  <c r="B6336" i="1"/>
  <c r="C6336" i="1"/>
  <c r="D6336" i="1"/>
  <c r="E6336" i="1"/>
  <c r="F6336" i="1"/>
  <c r="G6336" i="1"/>
  <c r="I6336" i="1"/>
  <c r="J6336" i="1"/>
  <c r="K6336" i="1"/>
  <c r="L6336" i="1"/>
  <c r="M6336" i="1"/>
  <c r="N6336" i="1"/>
  <c r="O6336" i="1"/>
  <c r="P6336" i="1"/>
  <c r="Q6336" i="1"/>
  <c r="R6336" i="1"/>
  <c r="S6336" i="1"/>
  <c r="T6336" i="1"/>
  <c r="U6336" i="1"/>
  <c r="V6336" i="1"/>
  <c r="W6336" i="1"/>
  <c r="X6336" i="1"/>
  <c r="Y6336" i="1"/>
  <c r="Z6336" i="1"/>
  <c r="A6337" i="1"/>
  <c r="B6337" i="1"/>
  <c r="C6337" i="1"/>
  <c r="D6337" i="1"/>
  <c r="E6337" i="1"/>
  <c r="F6337" i="1"/>
  <c r="G6337" i="1"/>
  <c r="I6337" i="1"/>
  <c r="J6337" i="1"/>
  <c r="K6337" i="1"/>
  <c r="L6337" i="1"/>
  <c r="M6337" i="1"/>
  <c r="N6337" i="1"/>
  <c r="O6337" i="1"/>
  <c r="P6337" i="1"/>
  <c r="Q6337" i="1"/>
  <c r="R6337" i="1"/>
  <c r="S6337" i="1"/>
  <c r="T6337" i="1"/>
  <c r="U6337" i="1"/>
  <c r="V6337" i="1"/>
  <c r="W6337" i="1"/>
  <c r="X6337" i="1"/>
  <c r="Y6337" i="1"/>
  <c r="Z6337" i="1"/>
  <c r="A6338" i="1"/>
  <c r="B6338" i="1"/>
  <c r="C6338" i="1"/>
  <c r="D6338" i="1"/>
  <c r="E6338" i="1"/>
  <c r="F6338" i="1"/>
  <c r="G6338" i="1"/>
  <c r="I6338" i="1"/>
  <c r="J6338" i="1"/>
  <c r="K6338" i="1"/>
  <c r="L6338" i="1"/>
  <c r="M6338" i="1"/>
  <c r="N6338" i="1"/>
  <c r="O6338" i="1"/>
  <c r="P6338" i="1"/>
  <c r="Q6338" i="1"/>
  <c r="R6338" i="1"/>
  <c r="S6338" i="1"/>
  <c r="T6338" i="1"/>
  <c r="U6338" i="1"/>
  <c r="V6338" i="1"/>
  <c r="W6338" i="1"/>
  <c r="X6338" i="1"/>
  <c r="Y6338" i="1"/>
  <c r="Z6338" i="1"/>
  <c r="A6339" i="1"/>
  <c r="B6339" i="1"/>
  <c r="C6339" i="1"/>
  <c r="D6339" i="1"/>
  <c r="E6339" i="1"/>
  <c r="F6339" i="1"/>
  <c r="G6339" i="1"/>
  <c r="I6339" i="1"/>
  <c r="J6339" i="1"/>
  <c r="K6339" i="1"/>
  <c r="L6339" i="1"/>
  <c r="M6339" i="1"/>
  <c r="N6339" i="1"/>
  <c r="O6339" i="1"/>
  <c r="P6339" i="1"/>
  <c r="Q6339" i="1"/>
  <c r="R6339" i="1"/>
  <c r="S6339" i="1"/>
  <c r="T6339" i="1"/>
  <c r="U6339" i="1"/>
  <c r="V6339" i="1"/>
  <c r="W6339" i="1"/>
  <c r="X6339" i="1"/>
  <c r="Y6339" i="1"/>
  <c r="Z6339" i="1"/>
  <c r="A6340" i="1"/>
  <c r="B6340" i="1"/>
  <c r="C6340" i="1"/>
  <c r="D6340" i="1"/>
  <c r="E6340" i="1"/>
  <c r="F6340" i="1"/>
  <c r="G6340" i="1"/>
  <c r="I6340" i="1"/>
  <c r="J6340" i="1"/>
  <c r="K6340" i="1"/>
  <c r="L6340" i="1"/>
  <c r="M6340" i="1"/>
  <c r="N6340" i="1"/>
  <c r="O6340" i="1"/>
  <c r="P6340" i="1"/>
  <c r="Q6340" i="1"/>
  <c r="R6340" i="1"/>
  <c r="S6340" i="1"/>
  <c r="T6340" i="1"/>
  <c r="U6340" i="1"/>
  <c r="V6340" i="1"/>
  <c r="W6340" i="1"/>
  <c r="X6340" i="1"/>
  <c r="Y6340" i="1"/>
  <c r="Z6340" i="1"/>
  <c r="A6341" i="1"/>
  <c r="B6341" i="1"/>
  <c r="C6341" i="1"/>
  <c r="D6341" i="1"/>
  <c r="E6341" i="1"/>
  <c r="F6341" i="1"/>
  <c r="G6341" i="1"/>
  <c r="I6341" i="1"/>
  <c r="J6341" i="1"/>
  <c r="K6341" i="1"/>
  <c r="L6341" i="1"/>
  <c r="M6341" i="1"/>
  <c r="N6341" i="1"/>
  <c r="O6341" i="1"/>
  <c r="P6341" i="1"/>
  <c r="Q6341" i="1"/>
  <c r="R6341" i="1"/>
  <c r="S6341" i="1"/>
  <c r="T6341" i="1"/>
  <c r="U6341" i="1"/>
  <c r="V6341" i="1"/>
  <c r="W6341" i="1"/>
  <c r="X6341" i="1"/>
  <c r="Y6341" i="1"/>
  <c r="Z6341" i="1"/>
  <c r="A6342" i="1"/>
  <c r="B6342" i="1"/>
  <c r="C6342" i="1"/>
  <c r="D6342" i="1"/>
  <c r="E6342" i="1"/>
  <c r="F6342" i="1"/>
  <c r="G6342" i="1"/>
  <c r="I6342" i="1"/>
  <c r="J6342" i="1"/>
  <c r="K6342" i="1"/>
  <c r="L6342" i="1"/>
  <c r="M6342" i="1"/>
  <c r="N6342" i="1"/>
  <c r="O6342" i="1"/>
  <c r="P6342" i="1"/>
  <c r="Q6342" i="1"/>
  <c r="R6342" i="1"/>
  <c r="S6342" i="1"/>
  <c r="T6342" i="1"/>
  <c r="U6342" i="1"/>
  <c r="V6342" i="1"/>
  <c r="W6342" i="1"/>
  <c r="X6342" i="1"/>
  <c r="Y6342" i="1"/>
  <c r="Z6342" i="1"/>
  <c r="A6343" i="1"/>
  <c r="B6343" i="1"/>
  <c r="C6343" i="1"/>
  <c r="D6343" i="1"/>
  <c r="E6343" i="1"/>
  <c r="F6343" i="1"/>
  <c r="G6343" i="1"/>
  <c r="I6343" i="1"/>
  <c r="J6343" i="1"/>
  <c r="K6343" i="1"/>
  <c r="L6343" i="1"/>
  <c r="M6343" i="1"/>
  <c r="N6343" i="1"/>
  <c r="O6343" i="1"/>
  <c r="P6343" i="1"/>
  <c r="Q6343" i="1"/>
  <c r="R6343" i="1"/>
  <c r="S6343" i="1"/>
  <c r="T6343" i="1"/>
  <c r="U6343" i="1"/>
  <c r="V6343" i="1"/>
  <c r="W6343" i="1"/>
  <c r="X6343" i="1"/>
  <c r="Y6343" i="1"/>
  <c r="Z6343" i="1"/>
  <c r="A6344" i="1"/>
  <c r="B6344" i="1"/>
  <c r="C6344" i="1"/>
  <c r="D6344" i="1"/>
  <c r="E6344" i="1"/>
  <c r="F6344" i="1"/>
  <c r="G6344" i="1"/>
  <c r="I6344" i="1"/>
  <c r="J6344" i="1"/>
  <c r="K6344" i="1"/>
  <c r="L6344" i="1"/>
  <c r="M6344" i="1"/>
  <c r="N6344" i="1"/>
  <c r="O6344" i="1"/>
  <c r="P6344" i="1"/>
  <c r="Q6344" i="1"/>
  <c r="R6344" i="1"/>
  <c r="S6344" i="1"/>
  <c r="T6344" i="1"/>
  <c r="U6344" i="1"/>
  <c r="V6344" i="1"/>
  <c r="W6344" i="1"/>
  <c r="X6344" i="1"/>
  <c r="Y6344" i="1"/>
  <c r="Z6344" i="1"/>
  <c r="A6345" i="1"/>
  <c r="B6345" i="1"/>
  <c r="C6345" i="1"/>
  <c r="D6345" i="1"/>
  <c r="E6345" i="1"/>
  <c r="F6345" i="1"/>
  <c r="G6345" i="1"/>
  <c r="I6345" i="1"/>
  <c r="J6345" i="1"/>
  <c r="K6345" i="1"/>
  <c r="L6345" i="1"/>
  <c r="M6345" i="1"/>
  <c r="N6345" i="1"/>
  <c r="O6345" i="1"/>
  <c r="P6345" i="1"/>
  <c r="Q6345" i="1"/>
  <c r="R6345" i="1"/>
  <c r="S6345" i="1"/>
  <c r="T6345" i="1"/>
  <c r="U6345" i="1"/>
  <c r="V6345" i="1"/>
  <c r="W6345" i="1"/>
  <c r="X6345" i="1"/>
  <c r="Y6345" i="1"/>
  <c r="Z6345" i="1"/>
  <c r="A6346" i="1"/>
  <c r="B6346" i="1"/>
  <c r="C6346" i="1"/>
  <c r="D6346" i="1"/>
  <c r="E6346" i="1"/>
  <c r="F6346" i="1"/>
  <c r="G6346" i="1"/>
  <c r="I6346" i="1"/>
  <c r="J6346" i="1"/>
  <c r="K6346" i="1"/>
  <c r="L6346" i="1"/>
  <c r="M6346" i="1"/>
  <c r="N6346" i="1"/>
  <c r="O6346" i="1"/>
  <c r="P6346" i="1"/>
  <c r="Q6346" i="1"/>
  <c r="R6346" i="1"/>
  <c r="S6346" i="1"/>
  <c r="T6346" i="1"/>
  <c r="U6346" i="1"/>
  <c r="V6346" i="1"/>
  <c r="W6346" i="1"/>
  <c r="X6346" i="1"/>
  <c r="Y6346" i="1"/>
  <c r="Z6346" i="1"/>
  <c r="A6347" i="1"/>
  <c r="B6347" i="1"/>
  <c r="C6347" i="1"/>
  <c r="D6347" i="1"/>
  <c r="E6347" i="1"/>
  <c r="F6347" i="1"/>
  <c r="G6347" i="1"/>
  <c r="I6347" i="1"/>
  <c r="J6347" i="1"/>
  <c r="K6347" i="1"/>
  <c r="L6347" i="1"/>
  <c r="M6347" i="1"/>
  <c r="N6347" i="1"/>
  <c r="O6347" i="1"/>
  <c r="P6347" i="1"/>
  <c r="Q6347" i="1"/>
  <c r="R6347" i="1"/>
  <c r="S6347" i="1"/>
  <c r="T6347" i="1"/>
  <c r="U6347" i="1"/>
  <c r="V6347" i="1"/>
  <c r="W6347" i="1"/>
  <c r="X6347" i="1"/>
  <c r="Y6347" i="1"/>
  <c r="Z6347" i="1"/>
  <c r="A6348" i="1"/>
  <c r="B6348" i="1"/>
  <c r="C6348" i="1"/>
  <c r="D6348" i="1"/>
  <c r="E6348" i="1"/>
  <c r="F6348" i="1"/>
  <c r="G6348" i="1"/>
  <c r="I6348" i="1"/>
  <c r="J6348" i="1"/>
  <c r="K6348" i="1"/>
  <c r="L6348" i="1"/>
  <c r="M6348" i="1"/>
  <c r="N6348" i="1"/>
  <c r="O6348" i="1"/>
  <c r="P6348" i="1"/>
  <c r="Q6348" i="1"/>
  <c r="R6348" i="1"/>
  <c r="S6348" i="1"/>
  <c r="T6348" i="1"/>
  <c r="U6348" i="1"/>
  <c r="V6348" i="1"/>
  <c r="W6348" i="1"/>
  <c r="X6348" i="1"/>
  <c r="Y6348" i="1"/>
  <c r="Z6348" i="1"/>
  <c r="A6349" i="1"/>
  <c r="B6349" i="1"/>
  <c r="C6349" i="1"/>
  <c r="D6349" i="1"/>
  <c r="E6349" i="1"/>
  <c r="F6349" i="1"/>
  <c r="G6349" i="1"/>
  <c r="I6349" i="1"/>
  <c r="J6349" i="1"/>
  <c r="K6349" i="1"/>
  <c r="L6349" i="1"/>
  <c r="M6349" i="1"/>
  <c r="N6349" i="1"/>
  <c r="O6349" i="1"/>
  <c r="P6349" i="1"/>
  <c r="Q6349" i="1"/>
  <c r="R6349" i="1"/>
  <c r="S6349" i="1"/>
  <c r="T6349" i="1"/>
  <c r="U6349" i="1"/>
  <c r="V6349" i="1"/>
  <c r="W6349" i="1"/>
  <c r="X6349" i="1"/>
  <c r="Y6349" i="1"/>
  <c r="Z6349" i="1"/>
  <c r="A6350" i="1"/>
  <c r="B6350" i="1"/>
  <c r="C6350" i="1"/>
  <c r="D6350" i="1"/>
  <c r="E6350" i="1"/>
  <c r="F6350" i="1"/>
  <c r="G6350" i="1"/>
  <c r="I6350" i="1"/>
  <c r="J6350" i="1"/>
  <c r="K6350" i="1"/>
  <c r="L6350" i="1"/>
  <c r="M6350" i="1"/>
  <c r="N6350" i="1"/>
  <c r="O6350" i="1"/>
  <c r="P6350" i="1"/>
  <c r="Q6350" i="1"/>
  <c r="R6350" i="1"/>
  <c r="S6350" i="1"/>
  <c r="T6350" i="1"/>
  <c r="U6350" i="1"/>
  <c r="V6350" i="1"/>
  <c r="W6350" i="1"/>
  <c r="X6350" i="1"/>
  <c r="Y6350" i="1"/>
  <c r="Z6350" i="1"/>
  <c r="A6351" i="1"/>
  <c r="B6351" i="1"/>
  <c r="C6351" i="1"/>
  <c r="D6351" i="1"/>
  <c r="E6351" i="1"/>
  <c r="F6351" i="1"/>
  <c r="G6351" i="1"/>
  <c r="I6351" i="1"/>
  <c r="J6351" i="1"/>
  <c r="K6351" i="1"/>
  <c r="L6351" i="1"/>
  <c r="M6351" i="1"/>
  <c r="N6351" i="1"/>
  <c r="O6351" i="1"/>
  <c r="P6351" i="1"/>
  <c r="Q6351" i="1"/>
  <c r="R6351" i="1"/>
  <c r="S6351" i="1"/>
  <c r="T6351" i="1"/>
  <c r="U6351" i="1"/>
  <c r="V6351" i="1"/>
  <c r="W6351" i="1"/>
  <c r="X6351" i="1"/>
  <c r="Y6351" i="1"/>
  <c r="Z6351" i="1"/>
  <c r="A6352" i="1"/>
  <c r="B6352" i="1"/>
  <c r="C6352" i="1"/>
  <c r="D6352" i="1"/>
  <c r="E6352" i="1"/>
  <c r="F6352" i="1"/>
  <c r="G6352" i="1"/>
  <c r="I6352" i="1"/>
  <c r="J6352" i="1"/>
  <c r="K6352" i="1"/>
  <c r="L6352" i="1"/>
  <c r="M6352" i="1"/>
  <c r="N6352" i="1"/>
  <c r="O6352" i="1"/>
  <c r="P6352" i="1"/>
  <c r="Q6352" i="1"/>
  <c r="R6352" i="1"/>
  <c r="S6352" i="1"/>
  <c r="T6352" i="1"/>
  <c r="U6352" i="1"/>
  <c r="V6352" i="1"/>
  <c r="W6352" i="1"/>
  <c r="X6352" i="1"/>
  <c r="Y6352" i="1"/>
  <c r="Z6352" i="1"/>
  <c r="A6353" i="1"/>
  <c r="B6353" i="1"/>
  <c r="C6353" i="1"/>
  <c r="D6353" i="1"/>
  <c r="E6353" i="1"/>
  <c r="F6353" i="1"/>
  <c r="G6353" i="1"/>
  <c r="I6353" i="1"/>
  <c r="J6353" i="1"/>
  <c r="K6353" i="1"/>
  <c r="L6353" i="1"/>
  <c r="M6353" i="1"/>
  <c r="N6353" i="1"/>
  <c r="O6353" i="1"/>
  <c r="P6353" i="1"/>
  <c r="Q6353" i="1"/>
  <c r="R6353" i="1"/>
  <c r="S6353" i="1"/>
  <c r="T6353" i="1"/>
  <c r="U6353" i="1"/>
  <c r="V6353" i="1"/>
  <c r="W6353" i="1"/>
  <c r="X6353" i="1"/>
  <c r="Y6353" i="1"/>
  <c r="Z6353" i="1"/>
  <c r="A6354" i="1"/>
  <c r="B6354" i="1"/>
  <c r="C6354" i="1"/>
  <c r="D6354" i="1"/>
  <c r="E6354" i="1"/>
  <c r="F6354" i="1"/>
  <c r="G6354" i="1"/>
  <c r="I6354" i="1"/>
  <c r="J6354" i="1"/>
  <c r="K6354" i="1"/>
  <c r="L6354" i="1"/>
  <c r="M6354" i="1"/>
  <c r="N6354" i="1"/>
  <c r="O6354" i="1"/>
  <c r="P6354" i="1"/>
  <c r="Q6354" i="1"/>
  <c r="R6354" i="1"/>
  <c r="S6354" i="1"/>
  <c r="T6354" i="1"/>
  <c r="U6354" i="1"/>
  <c r="V6354" i="1"/>
  <c r="W6354" i="1"/>
  <c r="X6354" i="1"/>
  <c r="Y6354" i="1"/>
  <c r="Z6354" i="1"/>
  <c r="A6355" i="1"/>
  <c r="B6355" i="1"/>
  <c r="C6355" i="1"/>
  <c r="D6355" i="1"/>
  <c r="E6355" i="1"/>
  <c r="F6355" i="1"/>
  <c r="G6355" i="1"/>
  <c r="I6355" i="1"/>
  <c r="J6355" i="1"/>
  <c r="K6355" i="1"/>
  <c r="L6355" i="1"/>
  <c r="M6355" i="1"/>
  <c r="N6355" i="1"/>
  <c r="O6355" i="1"/>
  <c r="P6355" i="1"/>
  <c r="Q6355" i="1"/>
  <c r="R6355" i="1"/>
  <c r="S6355" i="1"/>
  <c r="T6355" i="1"/>
  <c r="U6355" i="1"/>
  <c r="V6355" i="1"/>
  <c r="W6355" i="1"/>
  <c r="X6355" i="1"/>
  <c r="Y6355" i="1"/>
  <c r="Z6355" i="1"/>
  <c r="A6356" i="1"/>
  <c r="B6356" i="1"/>
  <c r="C6356" i="1"/>
  <c r="D6356" i="1"/>
  <c r="E6356" i="1"/>
  <c r="F6356" i="1"/>
  <c r="G6356" i="1"/>
  <c r="I6356" i="1"/>
  <c r="J6356" i="1"/>
  <c r="K6356" i="1"/>
  <c r="L6356" i="1"/>
  <c r="M6356" i="1"/>
  <c r="N6356" i="1"/>
  <c r="O6356" i="1"/>
  <c r="P6356" i="1"/>
  <c r="Q6356" i="1"/>
  <c r="R6356" i="1"/>
  <c r="S6356" i="1"/>
  <c r="T6356" i="1"/>
  <c r="U6356" i="1"/>
  <c r="V6356" i="1"/>
  <c r="W6356" i="1"/>
  <c r="X6356" i="1"/>
  <c r="Y6356" i="1"/>
  <c r="Z6356" i="1"/>
  <c r="A6357" i="1"/>
  <c r="B6357" i="1"/>
  <c r="C6357" i="1"/>
  <c r="D6357" i="1"/>
  <c r="E6357" i="1"/>
  <c r="F6357" i="1"/>
  <c r="G6357" i="1"/>
  <c r="I6357" i="1"/>
  <c r="J6357" i="1"/>
  <c r="K6357" i="1"/>
  <c r="L6357" i="1"/>
  <c r="M6357" i="1"/>
  <c r="N6357" i="1"/>
  <c r="O6357" i="1"/>
  <c r="P6357" i="1"/>
  <c r="Q6357" i="1"/>
  <c r="R6357" i="1"/>
  <c r="S6357" i="1"/>
  <c r="T6357" i="1"/>
  <c r="U6357" i="1"/>
  <c r="V6357" i="1"/>
  <c r="W6357" i="1"/>
  <c r="X6357" i="1"/>
  <c r="Y6357" i="1"/>
  <c r="Z6357" i="1"/>
  <c r="A6358" i="1"/>
  <c r="B6358" i="1"/>
  <c r="C6358" i="1"/>
  <c r="D6358" i="1"/>
  <c r="E6358" i="1"/>
  <c r="F6358" i="1"/>
  <c r="G6358" i="1"/>
  <c r="I6358" i="1"/>
  <c r="J6358" i="1"/>
  <c r="K6358" i="1"/>
  <c r="L6358" i="1"/>
  <c r="M6358" i="1"/>
  <c r="N6358" i="1"/>
  <c r="O6358" i="1"/>
  <c r="P6358" i="1"/>
  <c r="Q6358" i="1"/>
  <c r="R6358" i="1"/>
  <c r="S6358" i="1"/>
  <c r="T6358" i="1"/>
  <c r="U6358" i="1"/>
  <c r="V6358" i="1"/>
  <c r="W6358" i="1"/>
  <c r="X6358" i="1"/>
  <c r="Y6358" i="1"/>
  <c r="Z6358" i="1"/>
  <c r="A6359" i="1"/>
  <c r="B6359" i="1"/>
  <c r="C6359" i="1"/>
  <c r="D6359" i="1"/>
  <c r="E6359" i="1"/>
  <c r="F6359" i="1"/>
  <c r="G6359" i="1"/>
  <c r="I6359" i="1"/>
  <c r="J6359" i="1"/>
  <c r="K6359" i="1"/>
  <c r="L6359" i="1"/>
  <c r="M6359" i="1"/>
  <c r="N6359" i="1"/>
  <c r="O6359" i="1"/>
  <c r="P6359" i="1"/>
  <c r="Q6359" i="1"/>
  <c r="R6359" i="1"/>
  <c r="S6359" i="1"/>
  <c r="T6359" i="1"/>
  <c r="U6359" i="1"/>
  <c r="V6359" i="1"/>
  <c r="W6359" i="1"/>
  <c r="X6359" i="1"/>
  <c r="Y6359" i="1"/>
  <c r="Z6359" i="1"/>
  <c r="A6360" i="1"/>
  <c r="B6360" i="1"/>
  <c r="C6360" i="1"/>
  <c r="D6360" i="1"/>
  <c r="E6360" i="1"/>
  <c r="F6360" i="1"/>
  <c r="G6360" i="1"/>
  <c r="I6360" i="1"/>
  <c r="J6360" i="1"/>
  <c r="K6360" i="1"/>
  <c r="L6360" i="1"/>
  <c r="M6360" i="1"/>
  <c r="N6360" i="1"/>
  <c r="O6360" i="1"/>
  <c r="P6360" i="1"/>
  <c r="Q6360" i="1"/>
  <c r="R6360" i="1"/>
  <c r="S6360" i="1"/>
  <c r="T6360" i="1"/>
  <c r="U6360" i="1"/>
  <c r="V6360" i="1"/>
  <c r="W6360" i="1"/>
  <c r="X6360" i="1"/>
  <c r="Y6360" i="1"/>
  <c r="Z6360" i="1"/>
  <c r="A6361" i="1"/>
  <c r="B6361" i="1"/>
  <c r="C6361" i="1"/>
  <c r="D6361" i="1"/>
  <c r="E6361" i="1"/>
  <c r="F6361" i="1"/>
  <c r="G6361" i="1"/>
  <c r="I6361" i="1"/>
  <c r="J6361" i="1"/>
  <c r="K6361" i="1"/>
  <c r="L6361" i="1"/>
  <c r="M6361" i="1"/>
  <c r="N6361" i="1"/>
  <c r="O6361" i="1"/>
  <c r="P6361" i="1"/>
  <c r="Q6361" i="1"/>
  <c r="R6361" i="1"/>
  <c r="S6361" i="1"/>
  <c r="T6361" i="1"/>
  <c r="U6361" i="1"/>
  <c r="V6361" i="1"/>
  <c r="W6361" i="1"/>
  <c r="X6361" i="1"/>
  <c r="Y6361" i="1"/>
  <c r="Z6361" i="1"/>
  <c r="A6362" i="1"/>
  <c r="B6362" i="1"/>
  <c r="C6362" i="1"/>
  <c r="D6362" i="1"/>
  <c r="E6362" i="1"/>
  <c r="F6362" i="1"/>
  <c r="G6362" i="1"/>
  <c r="I6362" i="1"/>
  <c r="J6362" i="1"/>
  <c r="K6362" i="1"/>
  <c r="L6362" i="1"/>
  <c r="M6362" i="1"/>
  <c r="N6362" i="1"/>
  <c r="O6362" i="1"/>
  <c r="P6362" i="1"/>
  <c r="Q6362" i="1"/>
  <c r="R6362" i="1"/>
  <c r="S6362" i="1"/>
  <c r="T6362" i="1"/>
  <c r="U6362" i="1"/>
  <c r="V6362" i="1"/>
  <c r="W6362" i="1"/>
  <c r="X6362" i="1"/>
  <c r="Y6362" i="1"/>
  <c r="Z6362" i="1"/>
  <c r="A6363" i="1"/>
  <c r="B6363" i="1"/>
  <c r="C6363" i="1"/>
  <c r="D6363" i="1"/>
  <c r="E6363" i="1"/>
  <c r="F6363" i="1"/>
  <c r="G6363" i="1"/>
  <c r="I6363" i="1"/>
  <c r="J6363" i="1"/>
  <c r="K6363" i="1"/>
  <c r="L6363" i="1"/>
  <c r="M6363" i="1"/>
  <c r="N6363" i="1"/>
  <c r="O6363" i="1"/>
  <c r="P6363" i="1"/>
  <c r="Q6363" i="1"/>
  <c r="R6363" i="1"/>
  <c r="S6363" i="1"/>
  <c r="T6363" i="1"/>
  <c r="U6363" i="1"/>
  <c r="V6363" i="1"/>
  <c r="W6363" i="1"/>
  <c r="X6363" i="1"/>
  <c r="Y6363" i="1"/>
  <c r="Z6363" i="1"/>
  <c r="A6364" i="1"/>
  <c r="B6364" i="1"/>
  <c r="C6364" i="1"/>
  <c r="D6364" i="1"/>
  <c r="E6364" i="1"/>
  <c r="F6364" i="1"/>
  <c r="G6364" i="1"/>
  <c r="I6364" i="1"/>
  <c r="J6364" i="1"/>
  <c r="K6364" i="1"/>
  <c r="L6364" i="1"/>
  <c r="M6364" i="1"/>
  <c r="N6364" i="1"/>
  <c r="O6364" i="1"/>
  <c r="P6364" i="1"/>
  <c r="Q6364" i="1"/>
  <c r="R6364" i="1"/>
  <c r="S6364" i="1"/>
  <c r="T6364" i="1"/>
  <c r="U6364" i="1"/>
  <c r="V6364" i="1"/>
  <c r="W6364" i="1"/>
  <c r="X6364" i="1"/>
  <c r="Y6364" i="1"/>
  <c r="Z6364" i="1"/>
  <c r="A6365" i="1"/>
  <c r="B6365" i="1"/>
  <c r="C6365" i="1"/>
  <c r="D6365" i="1"/>
  <c r="E6365" i="1"/>
  <c r="F6365" i="1"/>
  <c r="G6365" i="1"/>
  <c r="I6365" i="1"/>
  <c r="J6365" i="1"/>
  <c r="K6365" i="1"/>
  <c r="L6365" i="1"/>
  <c r="M6365" i="1"/>
  <c r="N6365" i="1"/>
  <c r="O6365" i="1"/>
  <c r="P6365" i="1"/>
  <c r="Q6365" i="1"/>
  <c r="R6365" i="1"/>
  <c r="S6365" i="1"/>
  <c r="T6365" i="1"/>
  <c r="U6365" i="1"/>
  <c r="V6365" i="1"/>
  <c r="W6365" i="1"/>
  <c r="X6365" i="1"/>
  <c r="Y6365" i="1"/>
  <c r="Z6365" i="1"/>
  <c r="A6366" i="1"/>
  <c r="B6366" i="1"/>
  <c r="C6366" i="1"/>
  <c r="D6366" i="1"/>
  <c r="E6366" i="1"/>
  <c r="F6366" i="1"/>
  <c r="G6366" i="1"/>
  <c r="I6366" i="1"/>
  <c r="J6366" i="1"/>
  <c r="K6366" i="1"/>
  <c r="L6366" i="1"/>
  <c r="M6366" i="1"/>
  <c r="N6366" i="1"/>
  <c r="O6366" i="1"/>
  <c r="P6366" i="1"/>
  <c r="Q6366" i="1"/>
  <c r="R6366" i="1"/>
  <c r="S6366" i="1"/>
  <c r="T6366" i="1"/>
  <c r="U6366" i="1"/>
  <c r="V6366" i="1"/>
  <c r="W6366" i="1"/>
  <c r="X6366" i="1"/>
  <c r="Y6366" i="1"/>
  <c r="Z6366" i="1"/>
  <c r="A6367" i="1"/>
  <c r="B6367" i="1"/>
  <c r="C6367" i="1"/>
  <c r="D6367" i="1"/>
  <c r="E6367" i="1"/>
  <c r="F6367" i="1"/>
  <c r="G6367" i="1"/>
  <c r="I6367" i="1"/>
  <c r="J6367" i="1"/>
  <c r="K6367" i="1"/>
  <c r="L6367" i="1"/>
  <c r="M6367" i="1"/>
  <c r="N6367" i="1"/>
  <c r="O6367" i="1"/>
  <c r="P6367" i="1"/>
  <c r="Q6367" i="1"/>
  <c r="R6367" i="1"/>
  <c r="S6367" i="1"/>
  <c r="T6367" i="1"/>
  <c r="U6367" i="1"/>
  <c r="V6367" i="1"/>
  <c r="W6367" i="1"/>
  <c r="X6367" i="1"/>
  <c r="Y6367" i="1"/>
  <c r="Z6367" i="1"/>
  <c r="A6368" i="1"/>
  <c r="B6368" i="1"/>
  <c r="C6368" i="1"/>
  <c r="D6368" i="1"/>
  <c r="E6368" i="1"/>
  <c r="F6368" i="1"/>
  <c r="G6368" i="1"/>
  <c r="I6368" i="1"/>
  <c r="J6368" i="1"/>
  <c r="K6368" i="1"/>
  <c r="L6368" i="1"/>
  <c r="M6368" i="1"/>
  <c r="N6368" i="1"/>
  <c r="O6368" i="1"/>
  <c r="P6368" i="1"/>
  <c r="Q6368" i="1"/>
  <c r="R6368" i="1"/>
  <c r="S6368" i="1"/>
  <c r="T6368" i="1"/>
  <c r="U6368" i="1"/>
  <c r="V6368" i="1"/>
  <c r="W6368" i="1"/>
  <c r="X6368" i="1"/>
  <c r="Y6368" i="1"/>
  <c r="Z6368" i="1"/>
  <c r="A6369" i="1"/>
  <c r="B6369" i="1"/>
  <c r="C6369" i="1"/>
  <c r="D6369" i="1"/>
  <c r="E6369" i="1"/>
  <c r="F6369" i="1"/>
  <c r="G6369" i="1"/>
  <c r="I6369" i="1"/>
  <c r="J6369" i="1"/>
  <c r="K6369" i="1"/>
  <c r="L6369" i="1"/>
  <c r="M6369" i="1"/>
  <c r="N6369" i="1"/>
  <c r="O6369" i="1"/>
  <c r="P6369" i="1"/>
  <c r="Q6369" i="1"/>
  <c r="R6369" i="1"/>
  <c r="S6369" i="1"/>
  <c r="T6369" i="1"/>
  <c r="U6369" i="1"/>
  <c r="V6369" i="1"/>
  <c r="W6369" i="1"/>
  <c r="X6369" i="1"/>
  <c r="Y6369" i="1"/>
  <c r="Z6369" i="1"/>
  <c r="A6370" i="1"/>
  <c r="B6370" i="1"/>
  <c r="C6370" i="1"/>
  <c r="D6370" i="1"/>
  <c r="E6370" i="1"/>
  <c r="F6370" i="1"/>
  <c r="G6370" i="1"/>
  <c r="I6370" i="1"/>
  <c r="J6370" i="1"/>
  <c r="K6370" i="1"/>
  <c r="L6370" i="1"/>
  <c r="M6370" i="1"/>
  <c r="N6370" i="1"/>
  <c r="O6370" i="1"/>
  <c r="P6370" i="1"/>
  <c r="Q6370" i="1"/>
  <c r="R6370" i="1"/>
  <c r="S6370" i="1"/>
  <c r="T6370" i="1"/>
  <c r="U6370" i="1"/>
  <c r="V6370" i="1"/>
  <c r="W6370" i="1"/>
  <c r="X6370" i="1"/>
  <c r="Y6370" i="1"/>
  <c r="Z6370" i="1"/>
  <c r="A6371" i="1"/>
  <c r="B6371" i="1"/>
  <c r="C6371" i="1"/>
  <c r="D6371" i="1"/>
  <c r="E6371" i="1"/>
  <c r="F6371" i="1"/>
  <c r="G6371" i="1"/>
  <c r="I6371" i="1"/>
  <c r="J6371" i="1"/>
  <c r="K6371" i="1"/>
  <c r="L6371" i="1"/>
  <c r="M6371" i="1"/>
  <c r="N6371" i="1"/>
  <c r="O6371" i="1"/>
  <c r="P6371" i="1"/>
  <c r="Q6371" i="1"/>
  <c r="R6371" i="1"/>
  <c r="S6371" i="1"/>
  <c r="T6371" i="1"/>
  <c r="U6371" i="1"/>
  <c r="V6371" i="1"/>
  <c r="W6371" i="1"/>
  <c r="X6371" i="1"/>
  <c r="Y6371" i="1"/>
  <c r="Z6371" i="1"/>
  <c r="A6372" i="1"/>
  <c r="B6372" i="1"/>
  <c r="C6372" i="1"/>
  <c r="D6372" i="1"/>
  <c r="E6372" i="1"/>
  <c r="F6372" i="1"/>
  <c r="G6372" i="1"/>
  <c r="I6372" i="1"/>
  <c r="J6372" i="1"/>
  <c r="K6372" i="1"/>
  <c r="L6372" i="1"/>
  <c r="M6372" i="1"/>
  <c r="N6372" i="1"/>
  <c r="O6372" i="1"/>
  <c r="P6372" i="1"/>
  <c r="Q6372" i="1"/>
  <c r="R6372" i="1"/>
  <c r="S6372" i="1"/>
  <c r="T6372" i="1"/>
  <c r="U6372" i="1"/>
  <c r="V6372" i="1"/>
  <c r="W6372" i="1"/>
  <c r="X6372" i="1"/>
  <c r="Y6372" i="1"/>
  <c r="Z6372" i="1"/>
  <c r="A6373" i="1"/>
  <c r="B6373" i="1"/>
  <c r="C6373" i="1"/>
  <c r="D6373" i="1"/>
  <c r="E6373" i="1"/>
  <c r="F6373" i="1"/>
  <c r="G6373" i="1"/>
  <c r="I6373" i="1"/>
  <c r="J6373" i="1"/>
  <c r="K6373" i="1"/>
  <c r="L6373" i="1"/>
  <c r="M6373" i="1"/>
  <c r="N6373" i="1"/>
  <c r="O6373" i="1"/>
  <c r="P6373" i="1"/>
  <c r="Q6373" i="1"/>
  <c r="R6373" i="1"/>
  <c r="S6373" i="1"/>
  <c r="T6373" i="1"/>
  <c r="U6373" i="1"/>
  <c r="V6373" i="1"/>
  <c r="W6373" i="1"/>
  <c r="X6373" i="1"/>
  <c r="Y6373" i="1"/>
  <c r="Z6373" i="1"/>
  <c r="A6374" i="1"/>
  <c r="B6374" i="1"/>
  <c r="C6374" i="1"/>
  <c r="D6374" i="1"/>
  <c r="E6374" i="1"/>
  <c r="F6374" i="1"/>
  <c r="G6374" i="1"/>
  <c r="I6374" i="1"/>
  <c r="J6374" i="1"/>
  <c r="K6374" i="1"/>
  <c r="L6374" i="1"/>
  <c r="M6374" i="1"/>
  <c r="N6374" i="1"/>
  <c r="O6374" i="1"/>
  <c r="P6374" i="1"/>
  <c r="Q6374" i="1"/>
  <c r="R6374" i="1"/>
  <c r="S6374" i="1"/>
  <c r="T6374" i="1"/>
  <c r="U6374" i="1"/>
  <c r="V6374" i="1"/>
  <c r="W6374" i="1"/>
  <c r="X6374" i="1"/>
  <c r="Y6374" i="1"/>
  <c r="Z6374" i="1"/>
  <c r="A6375" i="1"/>
  <c r="B6375" i="1"/>
  <c r="C6375" i="1"/>
  <c r="D6375" i="1"/>
  <c r="E6375" i="1"/>
  <c r="F6375" i="1"/>
  <c r="G6375" i="1"/>
  <c r="I6375" i="1"/>
  <c r="J6375" i="1"/>
  <c r="K6375" i="1"/>
  <c r="L6375" i="1"/>
  <c r="M6375" i="1"/>
  <c r="N6375" i="1"/>
  <c r="O6375" i="1"/>
  <c r="P6375" i="1"/>
  <c r="Q6375" i="1"/>
  <c r="R6375" i="1"/>
  <c r="S6375" i="1"/>
  <c r="T6375" i="1"/>
  <c r="U6375" i="1"/>
  <c r="V6375" i="1"/>
  <c r="W6375" i="1"/>
  <c r="X6375" i="1"/>
  <c r="Y6375" i="1"/>
  <c r="Z6375" i="1"/>
  <c r="A6376" i="1"/>
  <c r="B6376" i="1"/>
  <c r="C6376" i="1"/>
  <c r="D6376" i="1"/>
  <c r="E6376" i="1"/>
  <c r="F6376" i="1"/>
  <c r="G6376" i="1"/>
  <c r="I6376" i="1"/>
  <c r="J6376" i="1"/>
  <c r="K6376" i="1"/>
  <c r="L6376" i="1"/>
  <c r="M6376" i="1"/>
  <c r="N6376" i="1"/>
  <c r="O6376" i="1"/>
  <c r="P6376" i="1"/>
  <c r="Q6376" i="1"/>
  <c r="R6376" i="1"/>
  <c r="S6376" i="1"/>
  <c r="T6376" i="1"/>
  <c r="U6376" i="1"/>
  <c r="V6376" i="1"/>
  <c r="W6376" i="1"/>
  <c r="X6376" i="1"/>
  <c r="Y6376" i="1"/>
  <c r="Z6376" i="1"/>
  <c r="A6377" i="1"/>
  <c r="B6377" i="1"/>
  <c r="C6377" i="1"/>
  <c r="D6377" i="1"/>
  <c r="E6377" i="1"/>
  <c r="F6377" i="1"/>
  <c r="G6377" i="1"/>
  <c r="I6377" i="1"/>
  <c r="J6377" i="1"/>
  <c r="K6377" i="1"/>
  <c r="L6377" i="1"/>
  <c r="M6377" i="1"/>
  <c r="N6377" i="1"/>
  <c r="O6377" i="1"/>
  <c r="P6377" i="1"/>
  <c r="Q6377" i="1"/>
  <c r="R6377" i="1"/>
  <c r="S6377" i="1"/>
  <c r="T6377" i="1"/>
  <c r="U6377" i="1"/>
  <c r="V6377" i="1"/>
  <c r="W6377" i="1"/>
  <c r="X6377" i="1"/>
  <c r="Y6377" i="1"/>
  <c r="Z6377" i="1"/>
  <c r="A6378" i="1"/>
  <c r="B6378" i="1"/>
  <c r="C6378" i="1"/>
  <c r="D6378" i="1"/>
  <c r="E6378" i="1"/>
  <c r="F6378" i="1"/>
  <c r="G6378" i="1"/>
  <c r="I6378" i="1"/>
  <c r="J6378" i="1"/>
  <c r="K6378" i="1"/>
  <c r="L6378" i="1"/>
  <c r="M6378" i="1"/>
  <c r="N6378" i="1"/>
  <c r="O6378" i="1"/>
  <c r="P6378" i="1"/>
  <c r="Q6378" i="1"/>
  <c r="R6378" i="1"/>
  <c r="S6378" i="1"/>
  <c r="T6378" i="1"/>
  <c r="U6378" i="1"/>
  <c r="V6378" i="1"/>
  <c r="W6378" i="1"/>
  <c r="X6378" i="1"/>
  <c r="Y6378" i="1"/>
  <c r="Z6378" i="1"/>
  <c r="A6379" i="1"/>
  <c r="B6379" i="1"/>
  <c r="C6379" i="1"/>
  <c r="D6379" i="1"/>
  <c r="E6379" i="1"/>
  <c r="F6379" i="1"/>
  <c r="G6379" i="1"/>
  <c r="I6379" i="1"/>
  <c r="J6379" i="1"/>
  <c r="K6379" i="1"/>
  <c r="L6379" i="1"/>
  <c r="M6379" i="1"/>
  <c r="N6379" i="1"/>
  <c r="O6379" i="1"/>
  <c r="P6379" i="1"/>
  <c r="Q6379" i="1"/>
  <c r="R6379" i="1"/>
  <c r="S6379" i="1"/>
  <c r="T6379" i="1"/>
  <c r="U6379" i="1"/>
  <c r="V6379" i="1"/>
  <c r="W6379" i="1"/>
  <c r="X6379" i="1"/>
  <c r="Y6379" i="1"/>
  <c r="Z6379" i="1"/>
  <c r="A6380" i="1"/>
  <c r="B6380" i="1"/>
  <c r="C6380" i="1"/>
  <c r="D6380" i="1"/>
  <c r="E6380" i="1"/>
  <c r="F6380" i="1"/>
  <c r="G6380" i="1"/>
  <c r="I6380" i="1"/>
  <c r="J6380" i="1"/>
  <c r="K6380" i="1"/>
  <c r="L6380" i="1"/>
  <c r="M6380" i="1"/>
  <c r="N6380" i="1"/>
  <c r="O6380" i="1"/>
  <c r="P6380" i="1"/>
  <c r="Q6380" i="1"/>
  <c r="R6380" i="1"/>
  <c r="S6380" i="1"/>
  <c r="T6380" i="1"/>
  <c r="U6380" i="1"/>
  <c r="V6380" i="1"/>
  <c r="W6380" i="1"/>
  <c r="X6380" i="1"/>
  <c r="Y6380" i="1"/>
  <c r="Z6380" i="1"/>
  <c r="A6381" i="1"/>
  <c r="B6381" i="1"/>
  <c r="C6381" i="1"/>
  <c r="D6381" i="1"/>
  <c r="E6381" i="1"/>
  <c r="F6381" i="1"/>
  <c r="G6381" i="1"/>
  <c r="I6381" i="1"/>
  <c r="J6381" i="1"/>
  <c r="K6381" i="1"/>
  <c r="L6381" i="1"/>
  <c r="M6381" i="1"/>
  <c r="N6381" i="1"/>
  <c r="O6381" i="1"/>
  <c r="P6381" i="1"/>
  <c r="Q6381" i="1"/>
  <c r="R6381" i="1"/>
  <c r="S6381" i="1"/>
  <c r="T6381" i="1"/>
  <c r="U6381" i="1"/>
  <c r="V6381" i="1"/>
  <c r="W6381" i="1"/>
  <c r="X6381" i="1"/>
  <c r="Y6381" i="1"/>
  <c r="Z6381" i="1"/>
  <c r="A6382" i="1"/>
  <c r="B6382" i="1"/>
  <c r="C6382" i="1"/>
  <c r="D6382" i="1"/>
  <c r="E6382" i="1"/>
  <c r="F6382" i="1"/>
  <c r="G6382" i="1"/>
  <c r="I6382" i="1"/>
  <c r="J6382" i="1"/>
  <c r="K6382" i="1"/>
  <c r="L6382" i="1"/>
  <c r="M6382" i="1"/>
  <c r="N6382" i="1"/>
  <c r="O6382" i="1"/>
  <c r="P6382" i="1"/>
  <c r="Q6382" i="1"/>
  <c r="R6382" i="1"/>
  <c r="S6382" i="1"/>
  <c r="T6382" i="1"/>
  <c r="U6382" i="1"/>
  <c r="V6382" i="1"/>
  <c r="W6382" i="1"/>
  <c r="X6382" i="1"/>
  <c r="Y6382" i="1"/>
  <c r="Z6382" i="1"/>
  <c r="A6383" i="1"/>
  <c r="B6383" i="1"/>
  <c r="C6383" i="1"/>
  <c r="D6383" i="1"/>
  <c r="E6383" i="1"/>
  <c r="F6383" i="1"/>
  <c r="G6383" i="1"/>
  <c r="I6383" i="1"/>
  <c r="J6383" i="1"/>
  <c r="K6383" i="1"/>
  <c r="L6383" i="1"/>
  <c r="M6383" i="1"/>
  <c r="N6383" i="1"/>
  <c r="O6383" i="1"/>
  <c r="P6383" i="1"/>
  <c r="Q6383" i="1"/>
  <c r="R6383" i="1"/>
  <c r="S6383" i="1"/>
  <c r="T6383" i="1"/>
  <c r="U6383" i="1"/>
  <c r="V6383" i="1"/>
  <c r="W6383" i="1"/>
  <c r="X6383" i="1"/>
  <c r="Y6383" i="1"/>
  <c r="Z6383" i="1"/>
  <c r="A6384" i="1"/>
  <c r="B6384" i="1"/>
  <c r="C6384" i="1"/>
  <c r="D6384" i="1"/>
  <c r="E6384" i="1"/>
  <c r="F6384" i="1"/>
  <c r="G6384" i="1"/>
  <c r="I6384" i="1"/>
  <c r="J6384" i="1"/>
  <c r="K6384" i="1"/>
  <c r="L6384" i="1"/>
  <c r="M6384" i="1"/>
  <c r="N6384" i="1"/>
  <c r="O6384" i="1"/>
  <c r="P6384" i="1"/>
  <c r="Q6384" i="1"/>
  <c r="R6384" i="1"/>
  <c r="S6384" i="1"/>
  <c r="T6384" i="1"/>
  <c r="U6384" i="1"/>
  <c r="V6384" i="1"/>
  <c r="W6384" i="1"/>
  <c r="X6384" i="1"/>
  <c r="Y6384" i="1"/>
  <c r="Z6384" i="1"/>
  <c r="A6385" i="1"/>
  <c r="B6385" i="1"/>
  <c r="C6385" i="1"/>
  <c r="D6385" i="1"/>
  <c r="E6385" i="1"/>
  <c r="F6385" i="1"/>
  <c r="G6385" i="1"/>
  <c r="I6385" i="1"/>
  <c r="J6385" i="1"/>
  <c r="K6385" i="1"/>
  <c r="L6385" i="1"/>
  <c r="M6385" i="1"/>
  <c r="N6385" i="1"/>
  <c r="O6385" i="1"/>
  <c r="P6385" i="1"/>
  <c r="Q6385" i="1"/>
  <c r="R6385" i="1"/>
  <c r="S6385" i="1"/>
  <c r="T6385" i="1"/>
  <c r="U6385" i="1"/>
  <c r="V6385" i="1"/>
  <c r="W6385" i="1"/>
  <c r="X6385" i="1"/>
  <c r="Y6385" i="1"/>
  <c r="Z6385" i="1"/>
  <c r="A6386" i="1"/>
  <c r="B6386" i="1"/>
  <c r="C6386" i="1"/>
  <c r="D6386" i="1"/>
  <c r="E6386" i="1"/>
  <c r="F6386" i="1"/>
  <c r="G6386" i="1"/>
  <c r="I6386" i="1"/>
  <c r="J6386" i="1"/>
  <c r="K6386" i="1"/>
  <c r="L6386" i="1"/>
  <c r="M6386" i="1"/>
  <c r="N6386" i="1"/>
  <c r="O6386" i="1"/>
  <c r="P6386" i="1"/>
  <c r="Q6386" i="1"/>
  <c r="R6386" i="1"/>
  <c r="S6386" i="1"/>
  <c r="T6386" i="1"/>
  <c r="U6386" i="1"/>
  <c r="V6386" i="1"/>
  <c r="W6386" i="1"/>
  <c r="X6386" i="1"/>
  <c r="Y6386" i="1"/>
  <c r="Z6386" i="1"/>
  <c r="A6387" i="1"/>
  <c r="B6387" i="1"/>
  <c r="C6387" i="1"/>
  <c r="D6387" i="1"/>
  <c r="E6387" i="1"/>
  <c r="F6387" i="1"/>
  <c r="G6387" i="1"/>
  <c r="I6387" i="1"/>
  <c r="J6387" i="1"/>
  <c r="K6387" i="1"/>
  <c r="L6387" i="1"/>
  <c r="M6387" i="1"/>
  <c r="N6387" i="1"/>
  <c r="O6387" i="1"/>
  <c r="P6387" i="1"/>
  <c r="Q6387" i="1"/>
  <c r="R6387" i="1"/>
  <c r="S6387" i="1"/>
  <c r="T6387" i="1"/>
  <c r="U6387" i="1"/>
  <c r="V6387" i="1"/>
  <c r="W6387" i="1"/>
  <c r="X6387" i="1"/>
  <c r="Y6387" i="1"/>
  <c r="Z6387" i="1"/>
  <c r="A6388" i="1"/>
  <c r="B6388" i="1"/>
  <c r="C6388" i="1"/>
  <c r="D6388" i="1"/>
  <c r="E6388" i="1"/>
  <c r="F6388" i="1"/>
  <c r="G6388" i="1"/>
  <c r="I6388" i="1"/>
  <c r="J6388" i="1"/>
  <c r="K6388" i="1"/>
  <c r="L6388" i="1"/>
  <c r="M6388" i="1"/>
  <c r="N6388" i="1"/>
  <c r="O6388" i="1"/>
  <c r="P6388" i="1"/>
  <c r="Q6388" i="1"/>
  <c r="R6388" i="1"/>
  <c r="S6388" i="1"/>
  <c r="T6388" i="1"/>
  <c r="U6388" i="1"/>
  <c r="V6388" i="1"/>
  <c r="W6388" i="1"/>
  <c r="X6388" i="1"/>
  <c r="Y6388" i="1"/>
  <c r="Z6388" i="1"/>
  <c r="A6389" i="1"/>
  <c r="B6389" i="1"/>
  <c r="C6389" i="1"/>
  <c r="D6389" i="1"/>
  <c r="E6389" i="1"/>
  <c r="F6389" i="1"/>
  <c r="G6389" i="1"/>
  <c r="I6389" i="1"/>
  <c r="J6389" i="1"/>
  <c r="K6389" i="1"/>
  <c r="L6389" i="1"/>
  <c r="M6389" i="1"/>
  <c r="N6389" i="1"/>
  <c r="O6389" i="1"/>
  <c r="P6389" i="1"/>
  <c r="Q6389" i="1"/>
  <c r="R6389" i="1"/>
  <c r="S6389" i="1"/>
  <c r="T6389" i="1"/>
  <c r="U6389" i="1"/>
  <c r="V6389" i="1"/>
  <c r="W6389" i="1"/>
  <c r="X6389" i="1"/>
  <c r="Y6389" i="1"/>
  <c r="Z6389" i="1"/>
  <c r="A6390" i="1"/>
  <c r="B6390" i="1"/>
  <c r="C6390" i="1"/>
  <c r="D6390" i="1"/>
  <c r="E6390" i="1"/>
  <c r="F6390" i="1"/>
  <c r="G6390" i="1"/>
  <c r="I6390" i="1"/>
  <c r="J6390" i="1"/>
  <c r="K6390" i="1"/>
  <c r="L6390" i="1"/>
  <c r="M6390" i="1"/>
  <c r="N6390" i="1"/>
  <c r="O6390" i="1"/>
  <c r="P6390" i="1"/>
  <c r="Q6390" i="1"/>
  <c r="R6390" i="1"/>
  <c r="S6390" i="1"/>
  <c r="T6390" i="1"/>
  <c r="U6390" i="1"/>
  <c r="V6390" i="1"/>
  <c r="W6390" i="1"/>
  <c r="X6390" i="1"/>
  <c r="Y6390" i="1"/>
  <c r="Z6390" i="1"/>
  <c r="A6391" i="1"/>
  <c r="B6391" i="1"/>
  <c r="C6391" i="1"/>
  <c r="D6391" i="1"/>
  <c r="E6391" i="1"/>
  <c r="F6391" i="1"/>
  <c r="G6391" i="1"/>
  <c r="I6391" i="1"/>
  <c r="J6391" i="1"/>
  <c r="K6391" i="1"/>
  <c r="L6391" i="1"/>
  <c r="M6391" i="1"/>
  <c r="N6391" i="1"/>
  <c r="O6391" i="1"/>
  <c r="P6391" i="1"/>
  <c r="Q6391" i="1"/>
  <c r="R6391" i="1"/>
  <c r="S6391" i="1"/>
  <c r="T6391" i="1"/>
  <c r="U6391" i="1"/>
  <c r="V6391" i="1"/>
  <c r="W6391" i="1"/>
  <c r="X6391" i="1"/>
  <c r="Y6391" i="1"/>
  <c r="Z6391" i="1"/>
  <c r="A6392" i="1"/>
  <c r="B6392" i="1"/>
  <c r="C6392" i="1"/>
  <c r="D6392" i="1"/>
  <c r="E6392" i="1"/>
  <c r="F6392" i="1"/>
  <c r="G6392" i="1"/>
  <c r="I6392" i="1"/>
  <c r="J6392" i="1"/>
  <c r="K6392" i="1"/>
  <c r="L6392" i="1"/>
  <c r="M6392" i="1"/>
  <c r="N6392" i="1"/>
  <c r="O6392" i="1"/>
  <c r="P6392" i="1"/>
  <c r="Q6392" i="1"/>
  <c r="R6392" i="1"/>
  <c r="S6392" i="1"/>
  <c r="T6392" i="1"/>
  <c r="U6392" i="1"/>
  <c r="V6392" i="1"/>
  <c r="W6392" i="1"/>
  <c r="X6392" i="1"/>
  <c r="Y6392" i="1"/>
  <c r="Z6392" i="1"/>
  <c r="A6393" i="1"/>
  <c r="B6393" i="1"/>
  <c r="C6393" i="1"/>
  <c r="D6393" i="1"/>
  <c r="E6393" i="1"/>
  <c r="F6393" i="1"/>
  <c r="G6393" i="1"/>
  <c r="I6393" i="1"/>
  <c r="J6393" i="1"/>
  <c r="K6393" i="1"/>
  <c r="L6393" i="1"/>
  <c r="M6393" i="1"/>
  <c r="N6393" i="1"/>
  <c r="O6393" i="1"/>
  <c r="P6393" i="1"/>
  <c r="Q6393" i="1"/>
  <c r="R6393" i="1"/>
  <c r="S6393" i="1"/>
  <c r="T6393" i="1"/>
  <c r="U6393" i="1"/>
  <c r="V6393" i="1"/>
  <c r="W6393" i="1"/>
  <c r="X6393" i="1"/>
  <c r="Y6393" i="1"/>
  <c r="Z6393" i="1"/>
  <c r="A6394" i="1"/>
  <c r="B6394" i="1"/>
  <c r="C6394" i="1"/>
  <c r="D6394" i="1"/>
  <c r="E6394" i="1"/>
  <c r="F6394" i="1"/>
  <c r="G6394" i="1"/>
  <c r="I6394" i="1"/>
  <c r="J6394" i="1"/>
  <c r="K6394" i="1"/>
  <c r="L6394" i="1"/>
  <c r="M6394" i="1"/>
  <c r="N6394" i="1"/>
  <c r="O6394" i="1"/>
  <c r="P6394" i="1"/>
  <c r="Q6394" i="1"/>
  <c r="R6394" i="1"/>
  <c r="S6394" i="1"/>
  <c r="T6394" i="1"/>
  <c r="U6394" i="1"/>
  <c r="V6394" i="1"/>
  <c r="W6394" i="1"/>
  <c r="X6394" i="1"/>
  <c r="Y6394" i="1"/>
  <c r="Z6394" i="1"/>
  <c r="A6395" i="1"/>
  <c r="B6395" i="1"/>
  <c r="C6395" i="1"/>
  <c r="D6395" i="1"/>
  <c r="E6395" i="1"/>
  <c r="F6395" i="1"/>
  <c r="G6395" i="1"/>
  <c r="I6395" i="1"/>
  <c r="J6395" i="1"/>
  <c r="K6395" i="1"/>
  <c r="L6395" i="1"/>
  <c r="M6395" i="1"/>
  <c r="N6395" i="1"/>
  <c r="O6395" i="1"/>
  <c r="P6395" i="1"/>
  <c r="Q6395" i="1"/>
  <c r="R6395" i="1"/>
  <c r="S6395" i="1"/>
  <c r="T6395" i="1"/>
  <c r="U6395" i="1"/>
  <c r="V6395" i="1"/>
  <c r="W6395" i="1"/>
  <c r="X6395" i="1"/>
  <c r="Y6395" i="1"/>
  <c r="Z6395" i="1"/>
  <c r="A6396" i="1"/>
  <c r="B6396" i="1"/>
  <c r="C6396" i="1"/>
  <c r="D6396" i="1"/>
  <c r="E6396" i="1"/>
  <c r="F6396" i="1"/>
  <c r="G6396" i="1"/>
  <c r="I6396" i="1"/>
  <c r="J6396" i="1"/>
  <c r="K6396" i="1"/>
  <c r="L6396" i="1"/>
  <c r="M6396" i="1"/>
  <c r="N6396" i="1"/>
  <c r="O6396" i="1"/>
  <c r="P6396" i="1"/>
  <c r="Q6396" i="1"/>
  <c r="R6396" i="1"/>
  <c r="S6396" i="1"/>
  <c r="T6396" i="1"/>
  <c r="U6396" i="1"/>
  <c r="V6396" i="1"/>
  <c r="W6396" i="1"/>
  <c r="X6396" i="1"/>
  <c r="Y6396" i="1"/>
  <c r="Z6396" i="1"/>
  <c r="A6397" i="1"/>
  <c r="B6397" i="1"/>
  <c r="C6397" i="1"/>
  <c r="D6397" i="1"/>
  <c r="E6397" i="1"/>
  <c r="F6397" i="1"/>
  <c r="G6397" i="1"/>
  <c r="I6397" i="1"/>
  <c r="J6397" i="1"/>
  <c r="K6397" i="1"/>
  <c r="L6397" i="1"/>
  <c r="M6397" i="1"/>
  <c r="N6397" i="1"/>
  <c r="O6397" i="1"/>
  <c r="P6397" i="1"/>
  <c r="Q6397" i="1"/>
  <c r="R6397" i="1"/>
  <c r="S6397" i="1"/>
  <c r="T6397" i="1"/>
  <c r="U6397" i="1"/>
  <c r="V6397" i="1"/>
  <c r="W6397" i="1"/>
  <c r="X6397" i="1"/>
  <c r="Y6397" i="1"/>
  <c r="Z6397" i="1"/>
  <c r="A6398" i="1"/>
  <c r="B6398" i="1"/>
  <c r="C6398" i="1"/>
  <c r="D6398" i="1"/>
  <c r="E6398" i="1"/>
  <c r="F6398" i="1"/>
  <c r="G6398" i="1"/>
  <c r="I6398" i="1"/>
  <c r="J6398" i="1"/>
  <c r="K6398" i="1"/>
  <c r="L6398" i="1"/>
  <c r="M6398" i="1"/>
  <c r="N6398" i="1"/>
  <c r="O6398" i="1"/>
  <c r="P6398" i="1"/>
  <c r="Q6398" i="1"/>
  <c r="R6398" i="1"/>
  <c r="S6398" i="1"/>
  <c r="T6398" i="1"/>
  <c r="U6398" i="1"/>
  <c r="V6398" i="1"/>
  <c r="W6398" i="1"/>
  <c r="X6398" i="1"/>
  <c r="Y6398" i="1"/>
  <c r="Z6398" i="1"/>
  <c r="A6399" i="1"/>
  <c r="B6399" i="1"/>
  <c r="C6399" i="1"/>
  <c r="D6399" i="1"/>
  <c r="E6399" i="1"/>
  <c r="F6399" i="1"/>
  <c r="G6399" i="1"/>
  <c r="I6399" i="1"/>
  <c r="J6399" i="1"/>
  <c r="K6399" i="1"/>
  <c r="L6399" i="1"/>
  <c r="M6399" i="1"/>
  <c r="N6399" i="1"/>
  <c r="O6399" i="1"/>
  <c r="P6399" i="1"/>
  <c r="Q6399" i="1"/>
  <c r="R6399" i="1"/>
  <c r="S6399" i="1"/>
  <c r="T6399" i="1"/>
  <c r="U6399" i="1"/>
  <c r="V6399" i="1"/>
  <c r="W6399" i="1"/>
  <c r="X6399" i="1"/>
  <c r="Y6399" i="1"/>
  <c r="Z6399" i="1"/>
  <c r="A6400" i="1"/>
  <c r="B6400" i="1"/>
  <c r="C6400" i="1"/>
  <c r="D6400" i="1"/>
  <c r="E6400" i="1"/>
  <c r="F6400" i="1"/>
  <c r="G6400" i="1"/>
  <c r="I6400" i="1"/>
  <c r="J6400" i="1"/>
  <c r="K6400" i="1"/>
  <c r="L6400" i="1"/>
  <c r="M6400" i="1"/>
  <c r="N6400" i="1"/>
  <c r="O6400" i="1"/>
  <c r="P6400" i="1"/>
  <c r="Q6400" i="1"/>
  <c r="R6400" i="1"/>
  <c r="S6400" i="1"/>
  <c r="T6400" i="1"/>
  <c r="U6400" i="1"/>
  <c r="V6400" i="1"/>
  <c r="W6400" i="1"/>
  <c r="X6400" i="1"/>
  <c r="Y6400" i="1"/>
  <c r="Z6400" i="1"/>
  <c r="A6401" i="1"/>
  <c r="B6401" i="1"/>
  <c r="C6401" i="1"/>
  <c r="D6401" i="1"/>
  <c r="E6401" i="1"/>
  <c r="F6401" i="1"/>
  <c r="G6401" i="1"/>
  <c r="I6401" i="1"/>
  <c r="J6401" i="1"/>
  <c r="K6401" i="1"/>
  <c r="L6401" i="1"/>
  <c r="M6401" i="1"/>
  <c r="N6401" i="1"/>
  <c r="O6401" i="1"/>
  <c r="P6401" i="1"/>
  <c r="Q6401" i="1"/>
  <c r="R6401" i="1"/>
  <c r="S6401" i="1"/>
  <c r="T6401" i="1"/>
  <c r="U6401" i="1"/>
  <c r="V6401" i="1"/>
  <c r="W6401" i="1"/>
  <c r="X6401" i="1"/>
  <c r="Y6401" i="1"/>
  <c r="Z6401" i="1"/>
  <c r="A6402" i="1"/>
  <c r="B6402" i="1"/>
  <c r="C6402" i="1"/>
  <c r="D6402" i="1"/>
  <c r="E6402" i="1"/>
  <c r="F6402" i="1"/>
  <c r="G6402" i="1"/>
  <c r="I6402" i="1"/>
  <c r="J6402" i="1"/>
  <c r="K6402" i="1"/>
  <c r="L6402" i="1"/>
  <c r="M6402" i="1"/>
  <c r="N6402" i="1"/>
  <c r="O6402" i="1"/>
  <c r="P6402" i="1"/>
  <c r="Q6402" i="1"/>
  <c r="R6402" i="1"/>
  <c r="S6402" i="1"/>
  <c r="T6402" i="1"/>
  <c r="U6402" i="1"/>
  <c r="V6402" i="1"/>
  <c r="W6402" i="1"/>
  <c r="X6402" i="1"/>
  <c r="Y6402" i="1"/>
  <c r="Z6402" i="1"/>
  <c r="A6403" i="1"/>
  <c r="B6403" i="1"/>
  <c r="C6403" i="1"/>
  <c r="D6403" i="1"/>
  <c r="E6403" i="1"/>
  <c r="F6403" i="1"/>
  <c r="G6403" i="1"/>
  <c r="I6403" i="1"/>
  <c r="J6403" i="1"/>
  <c r="K6403" i="1"/>
  <c r="L6403" i="1"/>
  <c r="M6403" i="1"/>
  <c r="N6403" i="1"/>
  <c r="O6403" i="1"/>
  <c r="P6403" i="1"/>
  <c r="Q6403" i="1"/>
  <c r="R6403" i="1"/>
  <c r="S6403" i="1"/>
  <c r="T6403" i="1"/>
  <c r="U6403" i="1"/>
  <c r="V6403" i="1"/>
  <c r="W6403" i="1"/>
  <c r="X6403" i="1"/>
  <c r="Y6403" i="1"/>
  <c r="Z6403" i="1"/>
  <c r="A6404" i="1"/>
  <c r="B6404" i="1"/>
  <c r="C6404" i="1"/>
  <c r="D6404" i="1"/>
  <c r="E6404" i="1"/>
  <c r="F6404" i="1"/>
  <c r="G6404" i="1"/>
  <c r="I6404" i="1"/>
  <c r="J6404" i="1"/>
  <c r="K6404" i="1"/>
  <c r="L6404" i="1"/>
  <c r="M6404" i="1"/>
  <c r="N6404" i="1"/>
  <c r="O6404" i="1"/>
  <c r="P6404" i="1"/>
  <c r="Q6404" i="1"/>
  <c r="R6404" i="1"/>
  <c r="S6404" i="1"/>
  <c r="T6404" i="1"/>
  <c r="U6404" i="1"/>
  <c r="V6404" i="1"/>
  <c r="W6404" i="1"/>
  <c r="X6404" i="1"/>
  <c r="Y6404" i="1"/>
  <c r="Z6404" i="1"/>
  <c r="A6405" i="1"/>
  <c r="B6405" i="1"/>
  <c r="C6405" i="1"/>
  <c r="D6405" i="1"/>
  <c r="E6405" i="1"/>
  <c r="F6405" i="1"/>
  <c r="G6405" i="1"/>
  <c r="I6405" i="1"/>
  <c r="J6405" i="1"/>
  <c r="K6405" i="1"/>
  <c r="L6405" i="1"/>
  <c r="M6405" i="1"/>
  <c r="N6405" i="1"/>
  <c r="O6405" i="1"/>
  <c r="P6405" i="1"/>
  <c r="Q6405" i="1"/>
  <c r="R6405" i="1"/>
  <c r="S6405" i="1"/>
  <c r="T6405" i="1"/>
  <c r="U6405" i="1"/>
  <c r="V6405" i="1"/>
  <c r="W6405" i="1"/>
  <c r="X6405" i="1"/>
  <c r="Y6405" i="1"/>
  <c r="Z6405" i="1"/>
  <c r="A6406" i="1"/>
  <c r="B6406" i="1"/>
  <c r="C6406" i="1"/>
  <c r="D6406" i="1"/>
  <c r="E6406" i="1"/>
  <c r="F6406" i="1"/>
  <c r="G6406" i="1"/>
  <c r="I6406" i="1"/>
  <c r="J6406" i="1"/>
  <c r="K6406" i="1"/>
  <c r="L6406" i="1"/>
  <c r="M6406" i="1"/>
  <c r="N6406" i="1"/>
  <c r="O6406" i="1"/>
  <c r="P6406" i="1"/>
  <c r="Q6406" i="1"/>
  <c r="R6406" i="1"/>
  <c r="S6406" i="1"/>
  <c r="T6406" i="1"/>
  <c r="U6406" i="1"/>
  <c r="V6406" i="1"/>
  <c r="W6406" i="1"/>
  <c r="X6406" i="1"/>
  <c r="Y6406" i="1"/>
  <c r="Z6406" i="1"/>
  <c r="A6407" i="1"/>
  <c r="B6407" i="1"/>
  <c r="C6407" i="1"/>
  <c r="D6407" i="1"/>
  <c r="E6407" i="1"/>
  <c r="F6407" i="1"/>
  <c r="G6407" i="1"/>
  <c r="I6407" i="1"/>
  <c r="J6407" i="1"/>
  <c r="K6407" i="1"/>
  <c r="L6407" i="1"/>
  <c r="M6407" i="1"/>
  <c r="N6407" i="1"/>
  <c r="O6407" i="1"/>
  <c r="P6407" i="1"/>
  <c r="Q6407" i="1"/>
  <c r="R6407" i="1"/>
  <c r="S6407" i="1"/>
  <c r="T6407" i="1"/>
  <c r="U6407" i="1"/>
  <c r="V6407" i="1"/>
  <c r="W6407" i="1"/>
  <c r="X6407" i="1"/>
  <c r="Y6407" i="1"/>
  <c r="Z6407" i="1"/>
  <c r="A6408" i="1"/>
  <c r="B6408" i="1"/>
  <c r="C6408" i="1"/>
  <c r="D6408" i="1"/>
  <c r="E6408" i="1"/>
  <c r="F6408" i="1"/>
  <c r="G6408" i="1"/>
  <c r="I6408" i="1"/>
  <c r="J6408" i="1"/>
  <c r="K6408" i="1"/>
  <c r="L6408" i="1"/>
  <c r="M6408" i="1"/>
  <c r="N6408" i="1"/>
  <c r="O6408" i="1"/>
  <c r="P6408" i="1"/>
  <c r="Q6408" i="1"/>
  <c r="R6408" i="1"/>
  <c r="S6408" i="1"/>
  <c r="T6408" i="1"/>
  <c r="U6408" i="1"/>
  <c r="V6408" i="1"/>
  <c r="W6408" i="1"/>
  <c r="X6408" i="1"/>
  <c r="Y6408" i="1"/>
  <c r="Z6408" i="1"/>
  <c r="A6409" i="1"/>
  <c r="B6409" i="1"/>
  <c r="C6409" i="1"/>
  <c r="D6409" i="1"/>
  <c r="E6409" i="1"/>
  <c r="F6409" i="1"/>
  <c r="G6409" i="1"/>
  <c r="I6409" i="1"/>
  <c r="J6409" i="1"/>
  <c r="K6409" i="1"/>
  <c r="L6409" i="1"/>
  <c r="M6409" i="1"/>
  <c r="N6409" i="1"/>
  <c r="O6409" i="1"/>
  <c r="P6409" i="1"/>
  <c r="Q6409" i="1"/>
  <c r="R6409" i="1"/>
  <c r="S6409" i="1"/>
  <c r="T6409" i="1"/>
  <c r="U6409" i="1"/>
  <c r="V6409" i="1"/>
  <c r="W6409" i="1"/>
  <c r="X6409" i="1"/>
  <c r="Y6409" i="1"/>
  <c r="Z6409" i="1"/>
  <c r="A6410" i="1"/>
  <c r="B6410" i="1"/>
  <c r="C6410" i="1"/>
  <c r="D6410" i="1"/>
  <c r="E6410" i="1"/>
  <c r="F6410" i="1"/>
  <c r="G6410" i="1"/>
  <c r="I6410" i="1"/>
  <c r="J6410" i="1"/>
  <c r="K6410" i="1"/>
  <c r="L6410" i="1"/>
  <c r="M6410" i="1"/>
  <c r="N6410" i="1"/>
  <c r="O6410" i="1"/>
  <c r="P6410" i="1"/>
  <c r="Q6410" i="1"/>
  <c r="R6410" i="1"/>
  <c r="S6410" i="1"/>
  <c r="T6410" i="1"/>
  <c r="U6410" i="1"/>
  <c r="V6410" i="1"/>
  <c r="W6410" i="1"/>
  <c r="X6410" i="1"/>
  <c r="Y6410" i="1"/>
  <c r="Z6410" i="1"/>
  <c r="A6411" i="1"/>
  <c r="B6411" i="1"/>
  <c r="C6411" i="1"/>
  <c r="D6411" i="1"/>
  <c r="E6411" i="1"/>
  <c r="F6411" i="1"/>
  <c r="G6411" i="1"/>
  <c r="I6411" i="1"/>
  <c r="J6411" i="1"/>
  <c r="K6411" i="1"/>
  <c r="L6411" i="1"/>
  <c r="M6411" i="1"/>
  <c r="N6411" i="1"/>
  <c r="O6411" i="1"/>
  <c r="P6411" i="1"/>
  <c r="Q6411" i="1"/>
  <c r="R6411" i="1"/>
  <c r="S6411" i="1"/>
  <c r="T6411" i="1"/>
  <c r="U6411" i="1"/>
  <c r="V6411" i="1"/>
  <c r="W6411" i="1"/>
  <c r="X6411" i="1"/>
  <c r="Y6411" i="1"/>
  <c r="Z6411" i="1"/>
  <c r="A6412" i="1"/>
  <c r="B6412" i="1"/>
  <c r="C6412" i="1"/>
  <c r="D6412" i="1"/>
  <c r="E6412" i="1"/>
  <c r="F6412" i="1"/>
  <c r="G6412" i="1"/>
  <c r="I6412" i="1"/>
  <c r="J6412" i="1"/>
  <c r="K6412" i="1"/>
  <c r="L6412" i="1"/>
  <c r="M6412" i="1"/>
  <c r="N6412" i="1"/>
  <c r="O6412" i="1"/>
  <c r="P6412" i="1"/>
  <c r="Q6412" i="1"/>
  <c r="R6412" i="1"/>
  <c r="S6412" i="1"/>
  <c r="T6412" i="1"/>
  <c r="U6412" i="1"/>
  <c r="V6412" i="1"/>
  <c r="W6412" i="1"/>
  <c r="X6412" i="1"/>
  <c r="Y6412" i="1"/>
  <c r="Z6412" i="1"/>
  <c r="A6413" i="1"/>
  <c r="B6413" i="1"/>
  <c r="C6413" i="1"/>
  <c r="D6413" i="1"/>
  <c r="E6413" i="1"/>
  <c r="F6413" i="1"/>
  <c r="G6413" i="1"/>
  <c r="I6413" i="1"/>
  <c r="J6413" i="1"/>
  <c r="K6413" i="1"/>
  <c r="L6413" i="1"/>
  <c r="M6413" i="1"/>
  <c r="N6413" i="1"/>
  <c r="O6413" i="1"/>
  <c r="P6413" i="1"/>
  <c r="Q6413" i="1"/>
  <c r="R6413" i="1"/>
  <c r="S6413" i="1"/>
  <c r="T6413" i="1"/>
  <c r="U6413" i="1"/>
  <c r="V6413" i="1"/>
  <c r="W6413" i="1"/>
  <c r="X6413" i="1"/>
  <c r="Y6413" i="1"/>
  <c r="Z6413" i="1"/>
  <c r="A6414" i="1"/>
  <c r="B6414" i="1"/>
  <c r="C6414" i="1"/>
  <c r="D6414" i="1"/>
  <c r="E6414" i="1"/>
  <c r="F6414" i="1"/>
  <c r="G6414" i="1"/>
  <c r="I6414" i="1"/>
  <c r="J6414" i="1"/>
  <c r="K6414" i="1"/>
  <c r="L6414" i="1"/>
  <c r="M6414" i="1"/>
  <c r="N6414" i="1"/>
  <c r="O6414" i="1"/>
  <c r="P6414" i="1"/>
  <c r="Q6414" i="1"/>
  <c r="R6414" i="1"/>
  <c r="S6414" i="1"/>
  <c r="T6414" i="1"/>
  <c r="U6414" i="1"/>
  <c r="V6414" i="1"/>
  <c r="W6414" i="1"/>
  <c r="X6414" i="1"/>
  <c r="Y6414" i="1"/>
  <c r="Z6414" i="1"/>
  <c r="A6415" i="1"/>
  <c r="B6415" i="1"/>
  <c r="C6415" i="1"/>
  <c r="D6415" i="1"/>
  <c r="E6415" i="1"/>
  <c r="F6415" i="1"/>
  <c r="G6415" i="1"/>
  <c r="I6415" i="1"/>
  <c r="J6415" i="1"/>
  <c r="K6415" i="1"/>
  <c r="L6415" i="1"/>
  <c r="M6415" i="1"/>
  <c r="N6415" i="1"/>
  <c r="O6415" i="1"/>
  <c r="P6415" i="1"/>
  <c r="Q6415" i="1"/>
  <c r="R6415" i="1"/>
  <c r="S6415" i="1"/>
  <c r="T6415" i="1"/>
  <c r="U6415" i="1"/>
  <c r="V6415" i="1"/>
  <c r="W6415" i="1"/>
  <c r="X6415" i="1"/>
  <c r="Y6415" i="1"/>
  <c r="Z6415" i="1"/>
  <c r="A6416" i="1"/>
  <c r="B6416" i="1"/>
  <c r="C6416" i="1"/>
  <c r="D6416" i="1"/>
  <c r="E6416" i="1"/>
  <c r="F6416" i="1"/>
  <c r="G6416" i="1"/>
  <c r="I6416" i="1"/>
  <c r="J6416" i="1"/>
  <c r="K6416" i="1"/>
  <c r="L6416" i="1"/>
  <c r="M6416" i="1"/>
  <c r="N6416" i="1"/>
  <c r="O6416" i="1"/>
  <c r="P6416" i="1"/>
  <c r="Q6416" i="1"/>
  <c r="R6416" i="1"/>
  <c r="S6416" i="1"/>
  <c r="T6416" i="1"/>
  <c r="U6416" i="1"/>
  <c r="V6416" i="1"/>
  <c r="W6416" i="1"/>
  <c r="X6416" i="1"/>
  <c r="Y6416" i="1"/>
  <c r="Z6416" i="1"/>
  <c r="A6417" i="1"/>
  <c r="B6417" i="1"/>
  <c r="C6417" i="1"/>
  <c r="D6417" i="1"/>
  <c r="E6417" i="1"/>
  <c r="F6417" i="1"/>
  <c r="G6417" i="1"/>
  <c r="I6417" i="1"/>
  <c r="J6417" i="1"/>
  <c r="K6417" i="1"/>
  <c r="L6417" i="1"/>
  <c r="M6417" i="1"/>
  <c r="N6417" i="1"/>
  <c r="O6417" i="1"/>
  <c r="P6417" i="1"/>
  <c r="Q6417" i="1"/>
  <c r="R6417" i="1"/>
  <c r="S6417" i="1"/>
  <c r="T6417" i="1"/>
  <c r="U6417" i="1"/>
  <c r="V6417" i="1"/>
  <c r="W6417" i="1"/>
  <c r="X6417" i="1"/>
  <c r="Y6417" i="1"/>
  <c r="Z6417" i="1"/>
  <c r="A6418" i="1"/>
  <c r="B6418" i="1"/>
  <c r="C6418" i="1"/>
  <c r="D6418" i="1"/>
  <c r="E6418" i="1"/>
  <c r="F6418" i="1"/>
  <c r="G6418" i="1"/>
  <c r="I6418" i="1"/>
  <c r="J6418" i="1"/>
  <c r="K6418" i="1"/>
  <c r="L6418" i="1"/>
  <c r="M6418" i="1"/>
  <c r="N6418" i="1"/>
  <c r="O6418" i="1"/>
  <c r="P6418" i="1"/>
  <c r="Q6418" i="1"/>
  <c r="R6418" i="1"/>
  <c r="S6418" i="1"/>
  <c r="T6418" i="1"/>
  <c r="U6418" i="1"/>
  <c r="V6418" i="1"/>
  <c r="W6418" i="1"/>
  <c r="X6418" i="1"/>
  <c r="Y6418" i="1"/>
  <c r="Z6418" i="1"/>
  <c r="A6419" i="1"/>
  <c r="B6419" i="1"/>
  <c r="C6419" i="1"/>
  <c r="D6419" i="1"/>
  <c r="E6419" i="1"/>
  <c r="F6419" i="1"/>
  <c r="G6419" i="1"/>
  <c r="I6419" i="1"/>
  <c r="J6419" i="1"/>
  <c r="K6419" i="1"/>
  <c r="L6419" i="1"/>
  <c r="M6419" i="1"/>
  <c r="N6419" i="1"/>
  <c r="O6419" i="1"/>
  <c r="P6419" i="1"/>
  <c r="Q6419" i="1"/>
  <c r="R6419" i="1"/>
  <c r="S6419" i="1"/>
  <c r="T6419" i="1"/>
  <c r="U6419" i="1"/>
  <c r="V6419" i="1"/>
  <c r="W6419" i="1"/>
  <c r="X6419" i="1"/>
  <c r="Y6419" i="1"/>
  <c r="Z6419" i="1"/>
  <c r="A6420" i="1"/>
  <c r="B6420" i="1"/>
  <c r="C6420" i="1"/>
  <c r="D6420" i="1"/>
  <c r="E6420" i="1"/>
  <c r="F6420" i="1"/>
  <c r="G6420" i="1"/>
  <c r="I6420" i="1"/>
  <c r="J6420" i="1"/>
  <c r="K6420" i="1"/>
  <c r="L6420" i="1"/>
  <c r="M6420" i="1"/>
  <c r="N6420" i="1"/>
  <c r="O6420" i="1"/>
  <c r="P6420" i="1"/>
  <c r="Q6420" i="1"/>
  <c r="R6420" i="1"/>
  <c r="S6420" i="1"/>
  <c r="T6420" i="1"/>
  <c r="U6420" i="1"/>
  <c r="V6420" i="1"/>
  <c r="W6420" i="1"/>
  <c r="X6420" i="1"/>
  <c r="Y6420" i="1"/>
  <c r="Z6420" i="1"/>
  <c r="A6421" i="1"/>
  <c r="B6421" i="1"/>
  <c r="C6421" i="1"/>
  <c r="D6421" i="1"/>
  <c r="E6421" i="1"/>
  <c r="F6421" i="1"/>
  <c r="G6421" i="1"/>
  <c r="I6421" i="1"/>
  <c r="J6421" i="1"/>
  <c r="K6421" i="1"/>
  <c r="L6421" i="1"/>
  <c r="M6421" i="1"/>
  <c r="N6421" i="1"/>
  <c r="O6421" i="1"/>
  <c r="P6421" i="1"/>
  <c r="Q6421" i="1"/>
  <c r="R6421" i="1"/>
  <c r="S6421" i="1"/>
  <c r="T6421" i="1"/>
  <c r="U6421" i="1"/>
  <c r="V6421" i="1"/>
  <c r="W6421" i="1"/>
  <c r="X6421" i="1"/>
  <c r="Y6421" i="1"/>
  <c r="Z6421" i="1"/>
  <c r="A6422" i="1"/>
  <c r="B6422" i="1"/>
  <c r="C6422" i="1"/>
  <c r="D6422" i="1"/>
  <c r="E6422" i="1"/>
  <c r="F6422" i="1"/>
  <c r="G6422" i="1"/>
  <c r="I6422" i="1"/>
  <c r="J6422" i="1"/>
  <c r="K6422" i="1"/>
  <c r="L6422" i="1"/>
  <c r="M6422" i="1"/>
  <c r="N6422" i="1"/>
  <c r="O6422" i="1"/>
  <c r="P6422" i="1"/>
  <c r="Q6422" i="1"/>
  <c r="R6422" i="1"/>
  <c r="S6422" i="1"/>
  <c r="T6422" i="1"/>
  <c r="U6422" i="1"/>
  <c r="V6422" i="1"/>
  <c r="W6422" i="1"/>
  <c r="X6422" i="1"/>
  <c r="Y6422" i="1"/>
  <c r="Z6422" i="1"/>
  <c r="A6423" i="1"/>
  <c r="B6423" i="1"/>
  <c r="C6423" i="1"/>
  <c r="D6423" i="1"/>
  <c r="E6423" i="1"/>
  <c r="F6423" i="1"/>
  <c r="G6423" i="1"/>
  <c r="I6423" i="1"/>
  <c r="J6423" i="1"/>
  <c r="K6423" i="1"/>
  <c r="L6423" i="1"/>
  <c r="M6423" i="1"/>
  <c r="N6423" i="1"/>
  <c r="O6423" i="1"/>
  <c r="P6423" i="1"/>
  <c r="Q6423" i="1"/>
  <c r="R6423" i="1"/>
  <c r="S6423" i="1"/>
  <c r="T6423" i="1"/>
  <c r="U6423" i="1"/>
  <c r="V6423" i="1"/>
  <c r="W6423" i="1"/>
  <c r="X6423" i="1"/>
  <c r="Y6423" i="1"/>
  <c r="Z6423" i="1"/>
  <c r="A6424" i="1"/>
  <c r="B6424" i="1"/>
  <c r="C6424" i="1"/>
  <c r="D6424" i="1"/>
  <c r="E6424" i="1"/>
  <c r="F6424" i="1"/>
  <c r="G6424" i="1"/>
  <c r="I6424" i="1"/>
  <c r="J6424" i="1"/>
  <c r="K6424" i="1"/>
  <c r="L6424" i="1"/>
  <c r="M6424" i="1"/>
  <c r="N6424" i="1"/>
  <c r="O6424" i="1"/>
  <c r="P6424" i="1"/>
  <c r="Q6424" i="1"/>
  <c r="R6424" i="1"/>
  <c r="S6424" i="1"/>
  <c r="T6424" i="1"/>
  <c r="U6424" i="1"/>
  <c r="V6424" i="1"/>
  <c r="W6424" i="1"/>
  <c r="X6424" i="1"/>
  <c r="Y6424" i="1"/>
  <c r="Z6424" i="1"/>
  <c r="A6425" i="1"/>
  <c r="B6425" i="1"/>
  <c r="C6425" i="1"/>
  <c r="D6425" i="1"/>
  <c r="E6425" i="1"/>
  <c r="F6425" i="1"/>
  <c r="G6425" i="1"/>
  <c r="I6425" i="1"/>
  <c r="J6425" i="1"/>
  <c r="K6425" i="1"/>
  <c r="L6425" i="1"/>
  <c r="M6425" i="1"/>
  <c r="N6425" i="1"/>
  <c r="O6425" i="1"/>
  <c r="P6425" i="1"/>
  <c r="Q6425" i="1"/>
  <c r="R6425" i="1"/>
  <c r="S6425" i="1"/>
  <c r="T6425" i="1"/>
  <c r="U6425" i="1"/>
  <c r="V6425" i="1"/>
  <c r="W6425" i="1"/>
  <c r="X6425" i="1"/>
  <c r="Y6425" i="1"/>
  <c r="Z6425" i="1"/>
  <c r="A6426" i="1"/>
  <c r="B6426" i="1"/>
  <c r="C6426" i="1"/>
  <c r="D6426" i="1"/>
  <c r="E6426" i="1"/>
  <c r="F6426" i="1"/>
  <c r="G6426" i="1"/>
  <c r="I6426" i="1"/>
  <c r="J6426" i="1"/>
  <c r="K6426" i="1"/>
  <c r="L6426" i="1"/>
  <c r="M6426" i="1"/>
  <c r="N6426" i="1"/>
  <c r="O6426" i="1"/>
  <c r="P6426" i="1"/>
  <c r="Q6426" i="1"/>
  <c r="R6426" i="1"/>
  <c r="S6426" i="1"/>
  <c r="T6426" i="1"/>
  <c r="U6426" i="1"/>
  <c r="V6426" i="1"/>
  <c r="W6426" i="1"/>
  <c r="X6426" i="1"/>
  <c r="Y6426" i="1"/>
  <c r="Z6426" i="1"/>
  <c r="A6427" i="1"/>
  <c r="B6427" i="1"/>
  <c r="C6427" i="1"/>
  <c r="D6427" i="1"/>
  <c r="E6427" i="1"/>
  <c r="F6427" i="1"/>
  <c r="G6427" i="1"/>
  <c r="I6427" i="1"/>
  <c r="J6427" i="1"/>
  <c r="K6427" i="1"/>
  <c r="L6427" i="1"/>
  <c r="M6427" i="1"/>
  <c r="N6427" i="1"/>
  <c r="O6427" i="1"/>
  <c r="P6427" i="1"/>
  <c r="Q6427" i="1"/>
  <c r="R6427" i="1"/>
  <c r="S6427" i="1"/>
  <c r="T6427" i="1"/>
  <c r="U6427" i="1"/>
  <c r="V6427" i="1"/>
  <c r="W6427" i="1"/>
  <c r="X6427" i="1"/>
  <c r="Y6427" i="1"/>
  <c r="Z6427" i="1"/>
  <c r="A6428" i="1"/>
  <c r="B6428" i="1"/>
  <c r="C6428" i="1"/>
  <c r="D6428" i="1"/>
  <c r="E6428" i="1"/>
  <c r="F6428" i="1"/>
  <c r="G6428" i="1"/>
  <c r="I6428" i="1"/>
  <c r="J6428" i="1"/>
  <c r="K6428" i="1"/>
  <c r="L6428" i="1"/>
  <c r="M6428" i="1"/>
  <c r="N6428" i="1"/>
  <c r="O6428" i="1"/>
  <c r="P6428" i="1"/>
  <c r="Q6428" i="1"/>
  <c r="R6428" i="1"/>
  <c r="S6428" i="1"/>
  <c r="T6428" i="1"/>
  <c r="U6428" i="1"/>
  <c r="V6428" i="1"/>
  <c r="W6428" i="1"/>
  <c r="X6428" i="1"/>
  <c r="Y6428" i="1"/>
  <c r="Z6428" i="1"/>
  <c r="A6429" i="1"/>
  <c r="B6429" i="1"/>
  <c r="C6429" i="1"/>
  <c r="D6429" i="1"/>
  <c r="E6429" i="1"/>
  <c r="F6429" i="1"/>
  <c r="G6429" i="1"/>
  <c r="I6429" i="1"/>
  <c r="J6429" i="1"/>
  <c r="K6429" i="1"/>
  <c r="L6429" i="1"/>
  <c r="M6429" i="1"/>
  <c r="N6429" i="1"/>
  <c r="O6429" i="1"/>
  <c r="P6429" i="1"/>
  <c r="Q6429" i="1"/>
  <c r="R6429" i="1"/>
  <c r="S6429" i="1"/>
  <c r="T6429" i="1"/>
  <c r="U6429" i="1"/>
  <c r="V6429" i="1"/>
  <c r="W6429" i="1"/>
  <c r="X6429" i="1"/>
  <c r="Y6429" i="1"/>
  <c r="Z6429" i="1"/>
  <c r="A6430" i="1"/>
  <c r="B6430" i="1"/>
  <c r="C6430" i="1"/>
  <c r="D6430" i="1"/>
  <c r="E6430" i="1"/>
  <c r="F6430" i="1"/>
  <c r="G6430" i="1"/>
  <c r="I6430" i="1"/>
  <c r="J6430" i="1"/>
  <c r="K6430" i="1"/>
  <c r="L6430" i="1"/>
  <c r="M6430" i="1"/>
  <c r="N6430" i="1"/>
  <c r="O6430" i="1"/>
  <c r="P6430" i="1"/>
  <c r="Q6430" i="1"/>
  <c r="R6430" i="1"/>
  <c r="S6430" i="1"/>
  <c r="T6430" i="1"/>
  <c r="U6430" i="1"/>
  <c r="V6430" i="1"/>
  <c r="W6430" i="1"/>
  <c r="X6430" i="1"/>
  <c r="Y6430" i="1"/>
  <c r="Z6430" i="1"/>
  <c r="A6431" i="1"/>
  <c r="B6431" i="1"/>
  <c r="C6431" i="1"/>
  <c r="D6431" i="1"/>
  <c r="E6431" i="1"/>
  <c r="F6431" i="1"/>
  <c r="G6431" i="1"/>
  <c r="I6431" i="1"/>
  <c r="J6431" i="1"/>
  <c r="K6431" i="1"/>
  <c r="L6431" i="1"/>
  <c r="M6431" i="1"/>
  <c r="N6431" i="1"/>
  <c r="O6431" i="1"/>
  <c r="P6431" i="1"/>
  <c r="Q6431" i="1"/>
  <c r="R6431" i="1"/>
  <c r="S6431" i="1"/>
  <c r="T6431" i="1"/>
  <c r="U6431" i="1"/>
  <c r="V6431" i="1"/>
  <c r="W6431" i="1"/>
  <c r="X6431" i="1"/>
  <c r="Y6431" i="1"/>
  <c r="Z6431" i="1"/>
  <c r="A6432" i="1"/>
  <c r="B6432" i="1"/>
  <c r="C6432" i="1"/>
  <c r="D6432" i="1"/>
  <c r="E6432" i="1"/>
  <c r="F6432" i="1"/>
  <c r="G6432" i="1"/>
  <c r="I6432" i="1"/>
  <c r="J6432" i="1"/>
  <c r="K6432" i="1"/>
  <c r="L6432" i="1"/>
  <c r="M6432" i="1"/>
  <c r="N6432" i="1"/>
  <c r="O6432" i="1"/>
  <c r="P6432" i="1"/>
  <c r="Q6432" i="1"/>
  <c r="R6432" i="1"/>
  <c r="S6432" i="1"/>
  <c r="T6432" i="1"/>
  <c r="U6432" i="1"/>
  <c r="V6432" i="1"/>
  <c r="W6432" i="1"/>
  <c r="X6432" i="1"/>
  <c r="Y6432" i="1"/>
  <c r="Z6432" i="1"/>
  <c r="A6433" i="1"/>
  <c r="B6433" i="1"/>
  <c r="C6433" i="1"/>
  <c r="D6433" i="1"/>
  <c r="E6433" i="1"/>
  <c r="F6433" i="1"/>
  <c r="G6433" i="1"/>
  <c r="I6433" i="1"/>
  <c r="J6433" i="1"/>
  <c r="K6433" i="1"/>
  <c r="L6433" i="1"/>
  <c r="M6433" i="1"/>
  <c r="N6433" i="1"/>
  <c r="O6433" i="1"/>
  <c r="P6433" i="1"/>
  <c r="Q6433" i="1"/>
  <c r="R6433" i="1"/>
  <c r="S6433" i="1"/>
  <c r="T6433" i="1"/>
  <c r="U6433" i="1"/>
  <c r="V6433" i="1"/>
  <c r="W6433" i="1"/>
  <c r="X6433" i="1"/>
  <c r="Y6433" i="1"/>
  <c r="Z6433" i="1"/>
  <c r="A6434" i="1"/>
  <c r="B6434" i="1"/>
  <c r="C6434" i="1"/>
  <c r="D6434" i="1"/>
  <c r="E6434" i="1"/>
  <c r="F6434" i="1"/>
  <c r="G6434" i="1"/>
  <c r="I6434" i="1"/>
  <c r="J6434" i="1"/>
  <c r="K6434" i="1"/>
  <c r="L6434" i="1"/>
  <c r="M6434" i="1"/>
  <c r="N6434" i="1"/>
  <c r="O6434" i="1"/>
  <c r="P6434" i="1"/>
  <c r="Q6434" i="1"/>
  <c r="R6434" i="1"/>
  <c r="S6434" i="1"/>
  <c r="T6434" i="1"/>
  <c r="U6434" i="1"/>
  <c r="V6434" i="1"/>
  <c r="W6434" i="1"/>
  <c r="X6434" i="1"/>
  <c r="Y6434" i="1"/>
  <c r="Z6434" i="1"/>
  <c r="A6435" i="1"/>
  <c r="B6435" i="1"/>
  <c r="C6435" i="1"/>
  <c r="D6435" i="1"/>
  <c r="E6435" i="1"/>
  <c r="F6435" i="1"/>
  <c r="G6435" i="1"/>
  <c r="I6435" i="1"/>
  <c r="J6435" i="1"/>
  <c r="K6435" i="1"/>
  <c r="L6435" i="1"/>
  <c r="M6435" i="1"/>
  <c r="N6435" i="1"/>
  <c r="O6435" i="1"/>
  <c r="P6435" i="1"/>
  <c r="Q6435" i="1"/>
  <c r="R6435" i="1"/>
  <c r="S6435" i="1"/>
  <c r="T6435" i="1"/>
  <c r="U6435" i="1"/>
  <c r="V6435" i="1"/>
  <c r="W6435" i="1"/>
  <c r="X6435" i="1"/>
  <c r="Y6435" i="1"/>
  <c r="Z6435" i="1"/>
  <c r="A6436" i="1"/>
  <c r="B6436" i="1"/>
  <c r="C6436" i="1"/>
  <c r="D6436" i="1"/>
  <c r="E6436" i="1"/>
  <c r="F6436" i="1"/>
  <c r="G6436" i="1"/>
  <c r="I6436" i="1"/>
  <c r="J6436" i="1"/>
  <c r="K6436" i="1"/>
  <c r="L6436" i="1"/>
  <c r="M6436" i="1"/>
  <c r="N6436" i="1"/>
  <c r="O6436" i="1"/>
  <c r="P6436" i="1"/>
  <c r="Q6436" i="1"/>
  <c r="R6436" i="1"/>
  <c r="S6436" i="1"/>
  <c r="T6436" i="1"/>
  <c r="U6436" i="1"/>
  <c r="V6436" i="1"/>
  <c r="W6436" i="1"/>
  <c r="X6436" i="1"/>
  <c r="Y6436" i="1"/>
  <c r="Z6436" i="1"/>
  <c r="A6437" i="1"/>
  <c r="B6437" i="1"/>
  <c r="C6437" i="1"/>
  <c r="D6437" i="1"/>
  <c r="E6437" i="1"/>
  <c r="F6437" i="1"/>
  <c r="G6437" i="1"/>
  <c r="I6437" i="1"/>
  <c r="J6437" i="1"/>
  <c r="K6437" i="1"/>
  <c r="L6437" i="1"/>
  <c r="M6437" i="1"/>
  <c r="N6437" i="1"/>
  <c r="O6437" i="1"/>
  <c r="P6437" i="1"/>
  <c r="Q6437" i="1"/>
  <c r="R6437" i="1"/>
  <c r="S6437" i="1"/>
  <c r="T6437" i="1"/>
  <c r="U6437" i="1"/>
  <c r="V6437" i="1"/>
  <c r="W6437" i="1"/>
  <c r="X6437" i="1"/>
  <c r="Y6437" i="1"/>
  <c r="Z6437" i="1"/>
  <c r="A6438" i="1"/>
  <c r="B6438" i="1"/>
  <c r="C6438" i="1"/>
  <c r="D6438" i="1"/>
  <c r="E6438" i="1"/>
  <c r="F6438" i="1"/>
  <c r="G6438" i="1"/>
  <c r="I6438" i="1"/>
  <c r="J6438" i="1"/>
  <c r="K6438" i="1"/>
  <c r="L6438" i="1"/>
  <c r="M6438" i="1"/>
  <c r="N6438" i="1"/>
  <c r="O6438" i="1"/>
  <c r="P6438" i="1"/>
  <c r="Q6438" i="1"/>
  <c r="R6438" i="1"/>
  <c r="S6438" i="1"/>
  <c r="T6438" i="1"/>
  <c r="U6438" i="1"/>
  <c r="V6438" i="1"/>
  <c r="W6438" i="1"/>
  <c r="X6438" i="1"/>
  <c r="Y6438" i="1"/>
  <c r="Z6438" i="1"/>
  <c r="A6439" i="1"/>
  <c r="B6439" i="1"/>
  <c r="C6439" i="1"/>
  <c r="D6439" i="1"/>
  <c r="E6439" i="1"/>
  <c r="F6439" i="1"/>
  <c r="G6439" i="1"/>
  <c r="I6439" i="1"/>
  <c r="J6439" i="1"/>
  <c r="K6439" i="1"/>
  <c r="L6439" i="1"/>
  <c r="M6439" i="1"/>
  <c r="N6439" i="1"/>
  <c r="O6439" i="1"/>
  <c r="P6439" i="1"/>
  <c r="Q6439" i="1"/>
  <c r="R6439" i="1"/>
  <c r="S6439" i="1"/>
  <c r="T6439" i="1"/>
  <c r="U6439" i="1"/>
  <c r="V6439" i="1"/>
  <c r="W6439" i="1"/>
  <c r="X6439" i="1"/>
  <c r="Y6439" i="1"/>
  <c r="Z6439" i="1"/>
  <c r="A6440" i="1"/>
  <c r="B6440" i="1"/>
  <c r="C6440" i="1"/>
  <c r="D6440" i="1"/>
  <c r="E6440" i="1"/>
  <c r="F6440" i="1"/>
  <c r="G6440" i="1"/>
  <c r="I6440" i="1"/>
  <c r="J6440" i="1"/>
  <c r="K6440" i="1"/>
  <c r="L6440" i="1"/>
  <c r="M6440" i="1"/>
  <c r="N6440" i="1"/>
  <c r="O6440" i="1"/>
  <c r="P6440" i="1"/>
  <c r="Q6440" i="1"/>
  <c r="R6440" i="1"/>
  <c r="S6440" i="1"/>
  <c r="T6440" i="1"/>
  <c r="U6440" i="1"/>
  <c r="V6440" i="1"/>
  <c r="W6440" i="1"/>
  <c r="X6440" i="1"/>
  <c r="Y6440" i="1"/>
  <c r="Z6440" i="1"/>
  <c r="A6441" i="1"/>
  <c r="B6441" i="1"/>
  <c r="C6441" i="1"/>
  <c r="D6441" i="1"/>
  <c r="E6441" i="1"/>
  <c r="F6441" i="1"/>
  <c r="G6441" i="1"/>
  <c r="I6441" i="1"/>
  <c r="J6441" i="1"/>
  <c r="K6441" i="1"/>
  <c r="L6441" i="1"/>
  <c r="M6441" i="1"/>
  <c r="N6441" i="1"/>
  <c r="O6441" i="1"/>
  <c r="P6441" i="1"/>
  <c r="Q6441" i="1"/>
  <c r="R6441" i="1"/>
  <c r="S6441" i="1"/>
  <c r="T6441" i="1"/>
  <c r="U6441" i="1"/>
  <c r="V6441" i="1"/>
  <c r="W6441" i="1"/>
  <c r="X6441" i="1"/>
  <c r="Y6441" i="1"/>
  <c r="Z6441" i="1"/>
  <c r="A6442" i="1"/>
  <c r="B6442" i="1"/>
  <c r="C6442" i="1"/>
  <c r="D6442" i="1"/>
  <c r="E6442" i="1"/>
  <c r="F6442" i="1"/>
  <c r="G6442" i="1"/>
  <c r="I6442" i="1"/>
  <c r="J6442" i="1"/>
  <c r="K6442" i="1"/>
  <c r="L6442" i="1"/>
  <c r="M6442" i="1"/>
  <c r="N6442" i="1"/>
  <c r="O6442" i="1"/>
  <c r="P6442" i="1"/>
  <c r="Q6442" i="1"/>
  <c r="R6442" i="1"/>
  <c r="S6442" i="1"/>
  <c r="T6442" i="1"/>
  <c r="U6442" i="1"/>
  <c r="V6442" i="1"/>
  <c r="W6442" i="1"/>
  <c r="X6442" i="1"/>
  <c r="Y6442" i="1"/>
  <c r="Z6442" i="1"/>
  <c r="A6443" i="1"/>
  <c r="B6443" i="1"/>
  <c r="C6443" i="1"/>
  <c r="D6443" i="1"/>
  <c r="E6443" i="1"/>
  <c r="F6443" i="1"/>
  <c r="G6443" i="1"/>
  <c r="I6443" i="1"/>
  <c r="J6443" i="1"/>
  <c r="K6443" i="1"/>
  <c r="L6443" i="1"/>
  <c r="M6443" i="1"/>
  <c r="N6443" i="1"/>
  <c r="O6443" i="1"/>
  <c r="P6443" i="1"/>
  <c r="Q6443" i="1"/>
  <c r="R6443" i="1"/>
  <c r="S6443" i="1"/>
  <c r="T6443" i="1"/>
  <c r="U6443" i="1"/>
  <c r="V6443" i="1"/>
  <c r="W6443" i="1"/>
  <c r="X6443" i="1"/>
  <c r="Y6443" i="1"/>
  <c r="Z6443" i="1"/>
  <c r="A6444" i="1"/>
  <c r="B6444" i="1"/>
  <c r="C6444" i="1"/>
  <c r="D6444" i="1"/>
  <c r="E6444" i="1"/>
  <c r="F6444" i="1"/>
  <c r="G6444" i="1"/>
  <c r="I6444" i="1"/>
  <c r="J6444" i="1"/>
  <c r="K6444" i="1"/>
  <c r="L6444" i="1"/>
  <c r="M6444" i="1"/>
  <c r="N6444" i="1"/>
  <c r="O6444" i="1"/>
  <c r="P6444" i="1"/>
  <c r="Q6444" i="1"/>
  <c r="R6444" i="1"/>
  <c r="S6444" i="1"/>
  <c r="T6444" i="1"/>
  <c r="U6444" i="1"/>
  <c r="V6444" i="1"/>
  <c r="W6444" i="1"/>
  <c r="X6444" i="1"/>
  <c r="Y6444" i="1"/>
  <c r="Z6444" i="1"/>
  <c r="A6445" i="1"/>
  <c r="B6445" i="1"/>
  <c r="C6445" i="1"/>
  <c r="D6445" i="1"/>
  <c r="E6445" i="1"/>
  <c r="F6445" i="1"/>
  <c r="G6445" i="1"/>
  <c r="I6445" i="1"/>
  <c r="J6445" i="1"/>
  <c r="K6445" i="1"/>
  <c r="L6445" i="1"/>
  <c r="M6445" i="1"/>
  <c r="N6445" i="1"/>
  <c r="O6445" i="1"/>
  <c r="P6445" i="1"/>
  <c r="Q6445" i="1"/>
  <c r="R6445" i="1"/>
  <c r="S6445" i="1"/>
  <c r="T6445" i="1"/>
  <c r="U6445" i="1"/>
  <c r="V6445" i="1"/>
  <c r="W6445" i="1"/>
  <c r="X6445" i="1"/>
  <c r="Y6445" i="1"/>
  <c r="Z6445" i="1"/>
  <c r="A6446" i="1"/>
  <c r="B6446" i="1"/>
  <c r="C6446" i="1"/>
  <c r="D6446" i="1"/>
  <c r="E6446" i="1"/>
  <c r="F6446" i="1"/>
  <c r="G6446" i="1"/>
  <c r="I6446" i="1"/>
  <c r="J6446" i="1"/>
  <c r="K6446" i="1"/>
  <c r="L6446" i="1"/>
  <c r="M6446" i="1"/>
  <c r="N6446" i="1"/>
  <c r="O6446" i="1"/>
  <c r="P6446" i="1"/>
  <c r="Q6446" i="1"/>
  <c r="R6446" i="1"/>
  <c r="S6446" i="1"/>
  <c r="T6446" i="1"/>
  <c r="U6446" i="1"/>
  <c r="V6446" i="1"/>
  <c r="W6446" i="1"/>
  <c r="X6446" i="1"/>
  <c r="Y6446" i="1"/>
  <c r="Z6446" i="1"/>
  <c r="A6447" i="1"/>
  <c r="B6447" i="1"/>
  <c r="C6447" i="1"/>
  <c r="D6447" i="1"/>
  <c r="E6447" i="1"/>
  <c r="F6447" i="1"/>
  <c r="G6447" i="1"/>
  <c r="I6447" i="1"/>
  <c r="J6447" i="1"/>
  <c r="K6447" i="1"/>
  <c r="L6447" i="1"/>
  <c r="M6447" i="1"/>
  <c r="N6447" i="1"/>
  <c r="O6447" i="1"/>
  <c r="P6447" i="1"/>
  <c r="Q6447" i="1"/>
  <c r="R6447" i="1"/>
  <c r="S6447" i="1"/>
  <c r="T6447" i="1"/>
  <c r="U6447" i="1"/>
  <c r="V6447" i="1"/>
  <c r="W6447" i="1"/>
  <c r="X6447" i="1"/>
  <c r="Y6447" i="1"/>
  <c r="Z6447" i="1"/>
  <c r="A6448" i="1"/>
  <c r="B6448" i="1"/>
  <c r="C6448" i="1"/>
  <c r="D6448" i="1"/>
  <c r="E6448" i="1"/>
  <c r="F6448" i="1"/>
  <c r="G6448" i="1"/>
  <c r="I6448" i="1"/>
  <c r="J6448" i="1"/>
  <c r="K6448" i="1"/>
  <c r="L6448" i="1"/>
  <c r="M6448" i="1"/>
  <c r="N6448" i="1"/>
  <c r="O6448" i="1"/>
  <c r="P6448" i="1"/>
  <c r="Q6448" i="1"/>
  <c r="R6448" i="1"/>
  <c r="S6448" i="1"/>
  <c r="T6448" i="1"/>
  <c r="U6448" i="1"/>
  <c r="V6448" i="1"/>
  <c r="W6448" i="1"/>
  <c r="X6448" i="1"/>
  <c r="Y6448" i="1"/>
  <c r="Z6448" i="1"/>
  <c r="A6449" i="1"/>
  <c r="B6449" i="1"/>
  <c r="C6449" i="1"/>
  <c r="D6449" i="1"/>
  <c r="E6449" i="1"/>
  <c r="F6449" i="1"/>
  <c r="G6449" i="1"/>
  <c r="I6449" i="1"/>
  <c r="J6449" i="1"/>
  <c r="K6449" i="1"/>
  <c r="L6449" i="1"/>
  <c r="M6449" i="1"/>
  <c r="N6449" i="1"/>
  <c r="O6449" i="1"/>
  <c r="P6449" i="1"/>
  <c r="Q6449" i="1"/>
  <c r="R6449" i="1"/>
  <c r="S6449" i="1"/>
  <c r="T6449" i="1"/>
  <c r="U6449" i="1"/>
  <c r="V6449" i="1"/>
  <c r="W6449" i="1"/>
  <c r="X6449" i="1"/>
  <c r="Y6449" i="1"/>
  <c r="Z6449" i="1"/>
  <c r="A6450" i="1"/>
  <c r="B6450" i="1"/>
  <c r="C6450" i="1"/>
  <c r="D6450" i="1"/>
  <c r="E6450" i="1"/>
  <c r="F6450" i="1"/>
  <c r="G6450" i="1"/>
  <c r="I6450" i="1"/>
  <c r="J6450" i="1"/>
  <c r="K6450" i="1"/>
  <c r="L6450" i="1"/>
  <c r="M6450" i="1"/>
  <c r="N6450" i="1"/>
  <c r="O6450" i="1"/>
  <c r="P6450" i="1"/>
  <c r="Q6450" i="1"/>
  <c r="R6450" i="1"/>
  <c r="S6450" i="1"/>
  <c r="T6450" i="1"/>
  <c r="U6450" i="1"/>
  <c r="V6450" i="1"/>
  <c r="W6450" i="1"/>
  <c r="X6450" i="1"/>
  <c r="Y6450" i="1"/>
  <c r="Z6450" i="1"/>
  <c r="A6451" i="1"/>
  <c r="B6451" i="1"/>
  <c r="C6451" i="1"/>
  <c r="D6451" i="1"/>
  <c r="E6451" i="1"/>
  <c r="F6451" i="1"/>
  <c r="G6451" i="1"/>
  <c r="I6451" i="1"/>
  <c r="J6451" i="1"/>
  <c r="K6451" i="1"/>
  <c r="L6451" i="1"/>
  <c r="M6451" i="1"/>
  <c r="N6451" i="1"/>
  <c r="O6451" i="1"/>
  <c r="P6451" i="1"/>
  <c r="Q6451" i="1"/>
  <c r="R6451" i="1"/>
  <c r="S6451" i="1"/>
  <c r="T6451" i="1"/>
  <c r="U6451" i="1"/>
  <c r="V6451" i="1"/>
  <c r="W6451" i="1"/>
  <c r="X6451" i="1"/>
  <c r="Y6451" i="1"/>
  <c r="Z6451" i="1"/>
  <c r="A6452" i="1"/>
  <c r="B6452" i="1"/>
  <c r="C6452" i="1"/>
  <c r="D6452" i="1"/>
  <c r="E6452" i="1"/>
  <c r="F6452" i="1"/>
  <c r="G6452" i="1"/>
  <c r="I6452" i="1"/>
  <c r="J6452" i="1"/>
  <c r="K6452" i="1"/>
  <c r="L6452" i="1"/>
  <c r="M6452" i="1"/>
  <c r="N6452" i="1"/>
  <c r="O6452" i="1"/>
  <c r="P6452" i="1"/>
  <c r="Q6452" i="1"/>
  <c r="R6452" i="1"/>
  <c r="S6452" i="1"/>
  <c r="T6452" i="1"/>
  <c r="U6452" i="1"/>
  <c r="V6452" i="1"/>
  <c r="W6452" i="1"/>
  <c r="X6452" i="1"/>
  <c r="Y6452" i="1"/>
  <c r="Z6452" i="1"/>
  <c r="A6453" i="1"/>
  <c r="B6453" i="1"/>
  <c r="C6453" i="1"/>
  <c r="D6453" i="1"/>
  <c r="E6453" i="1"/>
  <c r="F6453" i="1"/>
  <c r="G6453" i="1"/>
  <c r="I6453" i="1"/>
  <c r="J6453" i="1"/>
  <c r="K6453" i="1"/>
  <c r="L6453" i="1"/>
  <c r="M6453" i="1"/>
  <c r="N6453" i="1"/>
  <c r="O6453" i="1"/>
  <c r="P6453" i="1"/>
  <c r="Q6453" i="1"/>
  <c r="R6453" i="1"/>
  <c r="S6453" i="1"/>
  <c r="T6453" i="1"/>
  <c r="U6453" i="1"/>
  <c r="V6453" i="1"/>
  <c r="W6453" i="1"/>
  <c r="X6453" i="1"/>
  <c r="Y6453" i="1"/>
  <c r="Z6453" i="1"/>
  <c r="A6454" i="1"/>
  <c r="B6454" i="1"/>
  <c r="C6454" i="1"/>
  <c r="D6454" i="1"/>
  <c r="E6454" i="1"/>
  <c r="F6454" i="1"/>
  <c r="G6454" i="1"/>
  <c r="I6454" i="1"/>
  <c r="J6454" i="1"/>
  <c r="K6454" i="1"/>
  <c r="L6454" i="1"/>
  <c r="M6454" i="1"/>
  <c r="N6454" i="1"/>
  <c r="O6454" i="1"/>
  <c r="P6454" i="1"/>
  <c r="Q6454" i="1"/>
  <c r="R6454" i="1"/>
  <c r="S6454" i="1"/>
  <c r="T6454" i="1"/>
  <c r="U6454" i="1"/>
  <c r="V6454" i="1"/>
  <c r="W6454" i="1"/>
  <c r="X6454" i="1"/>
  <c r="Y6454" i="1"/>
  <c r="Z6454" i="1"/>
  <c r="A6455" i="1"/>
  <c r="B6455" i="1"/>
  <c r="C6455" i="1"/>
  <c r="D6455" i="1"/>
  <c r="E6455" i="1"/>
  <c r="F6455" i="1"/>
  <c r="G6455" i="1"/>
  <c r="I6455" i="1"/>
  <c r="J6455" i="1"/>
  <c r="K6455" i="1"/>
  <c r="L6455" i="1"/>
  <c r="M6455" i="1"/>
  <c r="N6455" i="1"/>
  <c r="O6455" i="1"/>
  <c r="P6455" i="1"/>
  <c r="Q6455" i="1"/>
  <c r="R6455" i="1"/>
  <c r="S6455" i="1"/>
  <c r="T6455" i="1"/>
  <c r="U6455" i="1"/>
  <c r="V6455" i="1"/>
  <c r="W6455" i="1"/>
  <c r="X6455" i="1"/>
  <c r="Y6455" i="1"/>
  <c r="Z6455" i="1"/>
  <c r="A6456" i="1"/>
  <c r="B6456" i="1"/>
  <c r="C6456" i="1"/>
  <c r="D6456" i="1"/>
  <c r="E6456" i="1"/>
  <c r="F6456" i="1"/>
  <c r="G6456" i="1"/>
  <c r="I6456" i="1"/>
  <c r="J6456" i="1"/>
  <c r="K6456" i="1"/>
  <c r="L6456" i="1"/>
  <c r="M6456" i="1"/>
  <c r="N6456" i="1"/>
  <c r="O6456" i="1"/>
  <c r="P6456" i="1"/>
  <c r="Q6456" i="1"/>
  <c r="R6456" i="1"/>
  <c r="S6456" i="1"/>
  <c r="T6456" i="1"/>
  <c r="U6456" i="1"/>
  <c r="V6456" i="1"/>
  <c r="W6456" i="1"/>
  <c r="X6456" i="1"/>
  <c r="Y6456" i="1"/>
  <c r="Z6456" i="1"/>
  <c r="A6457" i="1"/>
  <c r="B6457" i="1"/>
  <c r="C6457" i="1"/>
  <c r="D6457" i="1"/>
  <c r="E6457" i="1"/>
  <c r="F6457" i="1"/>
  <c r="G6457" i="1"/>
  <c r="I6457" i="1"/>
  <c r="J6457" i="1"/>
  <c r="K6457" i="1"/>
  <c r="L6457" i="1"/>
  <c r="M6457" i="1"/>
  <c r="N6457" i="1"/>
  <c r="O6457" i="1"/>
  <c r="P6457" i="1"/>
  <c r="Q6457" i="1"/>
  <c r="R6457" i="1"/>
  <c r="S6457" i="1"/>
  <c r="T6457" i="1"/>
  <c r="U6457" i="1"/>
  <c r="V6457" i="1"/>
  <c r="W6457" i="1"/>
  <c r="X6457" i="1"/>
  <c r="Y6457" i="1"/>
  <c r="Z6457" i="1"/>
  <c r="A6458" i="1"/>
  <c r="B6458" i="1"/>
  <c r="C6458" i="1"/>
  <c r="D6458" i="1"/>
  <c r="E6458" i="1"/>
  <c r="F6458" i="1"/>
  <c r="G6458" i="1"/>
  <c r="I6458" i="1"/>
  <c r="J6458" i="1"/>
  <c r="K6458" i="1"/>
  <c r="L6458" i="1"/>
  <c r="M6458" i="1"/>
  <c r="N6458" i="1"/>
  <c r="O6458" i="1"/>
  <c r="P6458" i="1"/>
  <c r="Q6458" i="1"/>
  <c r="R6458" i="1"/>
  <c r="S6458" i="1"/>
  <c r="T6458" i="1"/>
  <c r="U6458" i="1"/>
  <c r="V6458" i="1"/>
  <c r="W6458" i="1"/>
  <c r="X6458" i="1"/>
  <c r="Y6458" i="1"/>
  <c r="Z6458" i="1"/>
  <c r="A6459" i="1"/>
  <c r="B6459" i="1"/>
  <c r="C6459" i="1"/>
  <c r="D6459" i="1"/>
  <c r="E6459" i="1"/>
  <c r="F6459" i="1"/>
  <c r="G6459" i="1"/>
  <c r="I6459" i="1"/>
  <c r="J6459" i="1"/>
  <c r="K6459" i="1"/>
  <c r="L6459" i="1"/>
  <c r="M6459" i="1"/>
  <c r="N6459" i="1"/>
  <c r="O6459" i="1"/>
  <c r="P6459" i="1"/>
  <c r="Q6459" i="1"/>
  <c r="R6459" i="1"/>
  <c r="S6459" i="1"/>
  <c r="T6459" i="1"/>
  <c r="U6459" i="1"/>
  <c r="V6459" i="1"/>
  <c r="W6459" i="1"/>
  <c r="X6459" i="1"/>
  <c r="Y6459" i="1"/>
  <c r="Z6459" i="1"/>
  <c r="A6460" i="1"/>
  <c r="B6460" i="1"/>
  <c r="C6460" i="1"/>
  <c r="D6460" i="1"/>
  <c r="E6460" i="1"/>
  <c r="F6460" i="1"/>
  <c r="G6460" i="1"/>
  <c r="I6460" i="1"/>
  <c r="J6460" i="1"/>
  <c r="K6460" i="1"/>
  <c r="L6460" i="1"/>
  <c r="M6460" i="1"/>
  <c r="N6460" i="1"/>
  <c r="O6460" i="1"/>
  <c r="P6460" i="1"/>
  <c r="Q6460" i="1"/>
  <c r="R6460" i="1"/>
  <c r="S6460" i="1"/>
  <c r="T6460" i="1"/>
  <c r="U6460" i="1"/>
  <c r="V6460" i="1"/>
  <c r="W6460" i="1"/>
  <c r="X6460" i="1"/>
  <c r="Y6460" i="1"/>
  <c r="Z6460" i="1"/>
  <c r="A6461" i="1"/>
  <c r="B6461" i="1"/>
  <c r="C6461" i="1"/>
  <c r="D6461" i="1"/>
  <c r="E6461" i="1"/>
  <c r="F6461" i="1"/>
  <c r="G6461" i="1"/>
  <c r="I6461" i="1"/>
  <c r="J6461" i="1"/>
  <c r="K6461" i="1"/>
  <c r="L6461" i="1"/>
  <c r="M6461" i="1"/>
  <c r="N6461" i="1"/>
  <c r="O6461" i="1"/>
  <c r="P6461" i="1"/>
  <c r="Q6461" i="1"/>
  <c r="R6461" i="1"/>
  <c r="S6461" i="1"/>
  <c r="T6461" i="1"/>
  <c r="U6461" i="1"/>
  <c r="V6461" i="1"/>
  <c r="W6461" i="1"/>
  <c r="X6461" i="1"/>
  <c r="Y6461" i="1"/>
  <c r="Z6461" i="1"/>
  <c r="A6462" i="1"/>
  <c r="B6462" i="1"/>
  <c r="C6462" i="1"/>
  <c r="D6462" i="1"/>
  <c r="E6462" i="1"/>
  <c r="F6462" i="1"/>
  <c r="G6462" i="1"/>
  <c r="I6462" i="1"/>
  <c r="J6462" i="1"/>
  <c r="K6462" i="1"/>
  <c r="L6462" i="1"/>
  <c r="M6462" i="1"/>
  <c r="N6462" i="1"/>
  <c r="O6462" i="1"/>
  <c r="P6462" i="1"/>
  <c r="Q6462" i="1"/>
  <c r="R6462" i="1"/>
  <c r="S6462" i="1"/>
  <c r="T6462" i="1"/>
  <c r="U6462" i="1"/>
  <c r="V6462" i="1"/>
  <c r="W6462" i="1"/>
  <c r="X6462" i="1"/>
  <c r="Y6462" i="1"/>
  <c r="Z6462" i="1"/>
  <c r="A6463" i="1"/>
  <c r="B6463" i="1"/>
  <c r="C6463" i="1"/>
  <c r="D6463" i="1"/>
  <c r="E6463" i="1"/>
  <c r="F6463" i="1"/>
  <c r="G6463" i="1"/>
  <c r="I6463" i="1"/>
  <c r="J6463" i="1"/>
  <c r="K6463" i="1"/>
  <c r="L6463" i="1"/>
  <c r="M6463" i="1"/>
  <c r="N6463" i="1"/>
  <c r="O6463" i="1"/>
  <c r="P6463" i="1"/>
  <c r="Q6463" i="1"/>
  <c r="R6463" i="1"/>
  <c r="S6463" i="1"/>
  <c r="T6463" i="1"/>
  <c r="U6463" i="1"/>
  <c r="V6463" i="1"/>
  <c r="W6463" i="1"/>
  <c r="X6463" i="1"/>
  <c r="Y6463" i="1"/>
  <c r="Z6463" i="1"/>
  <c r="A6464" i="1"/>
  <c r="B6464" i="1"/>
  <c r="C6464" i="1"/>
  <c r="D6464" i="1"/>
  <c r="E6464" i="1"/>
  <c r="F6464" i="1"/>
  <c r="G6464" i="1"/>
  <c r="I6464" i="1"/>
  <c r="J6464" i="1"/>
  <c r="K6464" i="1"/>
  <c r="L6464" i="1"/>
  <c r="M6464" i="1"/>
  <c r="N6464" i="1"/>
  <c r="O6464" i="1"/>
  <c r="P6464" i="1"/>
  <c r="Q6464" i="1"/>
  <c r="R6464" i="1"/>
  <c r="S6464" i="1"/>
  <c r="T6464" i="1"/>
  <c r="U6464" i="1"/>
  <c r="V6464" i="1"/>
  <c r="W6464" i="1"/>
  <c r="X6464" i="1"/>
  <c r="Y6464" i="1"/>
  <c r="Z6464" i="1"/>
  <c r="A6465" i="1"/>
  <c r="B6465" i="1"/>
  <c r="C6465" i="1"/>
  <c r="D6465" i="1"/>
  <c r="E6465" i="1"/>
  <c r="F6465" i="1"/>
  <c r="G6465" i="1"/>
  <c r="I6465" i="1"/>
  <c r="J6465" i="1"/>
  <c r="K6465" i="1"/>
  <c r="L6465" i="1"/>
  <c r="M6465" i="1"/>
  <c r="N6465" i="1"/>
  <c r="O6465" i="1"/>
  <c r="P6465" i="1"/>
  <c r="Q6465" i="1"/>
  <c r="R6465" i="1"/>
  <c r="S6465" i="1"/>
  <c r="T6465" i="1"/>
  <c r="U6465" i="1"/>
  <c r="V6465" i="1"/>
  <c r="W6465" i="1"/>
  <c r="X6465" i="1"/>
  <c r="Y6465" i="1"/>
  <c r="Z6465" i="1"/>
  <c r="A6466" i="1"/>
  <c r="B6466" i="1"/>
  <c r="C6466" i="1"/>
  <c r="D6466" i="1"/>
  <c r="E6466" i="1"/>
  <c r="F6466" i="1"/>
  <c r="G6466" i="1"/>
  <c r="I6466" i="1"/>
  <c r="J6466" i="1"/>
  <c r="K6466" i="1"/>
  <c r="L6466" i="1"/>
  <c r="M6466" i="1"/>
  <c r="N6466" i="1"/>
  <c r="O6466" i="1"/>
  <c r="P6466" i="1"/>
  <c r="Q6466" i="1"/>
  <c r="R6466" i="1"/>
  <c r="S6466" i="1"/>
  <c r="T6466" i="1"/>
  <c r="U6466" i="1"/>
  <c r="V6466" i="1"/>
  <c r="W6466" i="1"/>
  <c r="X6466" i="1"/>
  <c r="Y6466" i="1"/>
  <c r="Z6466" i="1"/>
  <c r="A6467" i="1"/>
  <c r="B6467" i="1"/>
  <c r="C6467" i="1"/>
  <c r="D6467" i="1"/>
  <c r="E6467" i="1"/>
  <c r="F6467" i="1"/>
  <c r="G6467" i="1"/>
  <c r="I6467" i="1"/>
  <c r="J6467" i="1"/>
  <c r="K6467" i="1"/>
  <c r="L6467" i="1"/>
  <c r="M6467" i="1"/>
  <c r="N6467" i="1"/>
  <c r="O6467" i="1"/>
  <c r="P6467" i="1"/>
  <c r="Q6467" i="1"/>
  <c r="R6467" i="1"/>
  <c r="S6467" i="1"/>
  <c r="T6467" i="1"/>
  <c r="U6467" i="1"/>
  <c r="V6467" i="1"/>
  <c r="W6467" i="1"/>
  <c r="X6467" i="1"/>
  <c r="Y6467" i="1"/>
  <c r="Z6467" i="1"/>
  <c r="A6468" i="1"/>
  <c r="B6468" i="1"/>
  <c r="C6468" i="1"/>
  <c r="D6468" i="1"/>
  <c r="E6468" i="1"/>
  <c r="F6468" i="1"/>
  <c r="G6468" i="1"/>
  <c r="I6468" i="1"/>
  <c r="J6468" i="1"/>
  <c r="K6468" i="1"/>
  <c r="L6468" i="1"/>
  <c r="M6468" i="1"/>
  <c r="N6468" i="1"/>
  <c r="O6468" i="1"/>
  <c r="P6468" i="1"/>
  <c r="Q6468" i="1"/>
  <c r="R6468" i="1"/>
  <c r="S6468" i="1"/>
  <c r="T6468" i="1"/>
  <c r="U6468" i="1"/>
  <c r="V6468" i="1"/>
  <c r="W6468" i="1"/>
  <c r="X6468" i="1"/>
  <c r="Y6468" i="1"/>
  <c r="Z6468" i="1"/>
  <c r="A6469" i="1"/>
  <c r="B6469" i="1"/>
  <c r="C6469" i="1"/>
  <c r="D6469" i="1"/>
  <c r="E6469" i="1"/>
  <c r="F6469" i="1"/>
  <c r="G6469" i="1"/>
  <c r="I6469" i="1"/>
  <c r="J6469" i="1"/>
  <c r="K6469" i="1"/>
  <c r="L6469" i="1"/>
  <c r="M6469" i="1"/>
  <c r="N6469" i="1"/>
  <c r="O6469" i="1"/>
  <c r="P6469" i="1"/>
  <c r="Q6469" i="1"/>
  <c r="R6469" i="1"/>
  <c r="S6469" i="1"/>
  <c r="T6469" i="1"/>
  <c r="U6469" i="1"/>
  <c r="V6469" i="1"/>
  <c r="W6469" i="1"/>
  <c r="X6469" i="1"/>
  <c r="Y6469" i="1"/>
  <c r="Z6469" i="1"/>
  <c r="A6470" i="1"/>
  <c r="B6470" i="1"/>
  <c r="C6470" i="1"/>
  <c r="D6470" i="1"/>
  <c r="E6470" i="1"/>
  <c r="F6470" i="1"/>
  <c r="G6470" i="1"/>
  <c r="I6470" i="1"/>
  <c r="J6470" i="1"/>
  <c r="K6470" i="1"/>
  <c r="L6470" i="1"/>
  <c r="M6470" i="1"/>
  <c r="N6470" i="1"/>
  <c r="O6470" i="1"/>
  <c r="P6470" i="1"/>
  <c r="Q6470" i="1"/>
  <c r="R6470" i="1"/>
  <c r="S6470" i="1"/>
  <c r="T6470" i="1"/>
  <c r="U6470" i="1"/>
  <c r="V6470" i="1"/>
  <c r="W6470" i="1"/>
  <c r="X6470" i="1"/>
  <c r="Y6470" i="1"/>
  <c r="Z6470" i="1"/>
  <c r="A6471" i="1"/>
  <c r="B6471" i="1"/>
  <c r="C6471" i="1"/>
  <c r="D6471" i="1"/>
  <c r="E6471" i="1"/>
  <c r="F6471" i="1"/>
  <c r="G6471" i="1"/>
  <c r="I6471" i="1"/>
  <c r="J6471" i="1"/>
  <c r="K6471" i="1"/>
  <c r="L6471" i="1"/>
  <c r="M6471" i="1"/>
  <c r="N6471" i="1"/>
  <c r="O6471" i="1"/>
  <c r="P6471" i="1"/>
  <c r="Q6471" i="1"/>
  <c r="R6471" i="1"/>
  <c r="S6471" i="1"/>
  <c r="T6471" i="1"/>
  <c r="U6471" i="1"/>
  <c r="V6471" i="1"/>
  <c r="W6471" i="1"/>
  <c r="X6471" i="1"/>
  <c r="Y6471" i="1"/>
  <c r="Z6471" i="1"/>
  <c r="A6472" i="1"/>
  <c r="B6472" i="1"/>
  <c r="C6472" i="1"/>
  <c r="D6472" i="1"/>
  <c r="E6472" i="1"/>
  <c r="F6472" i="1"/>
  <c r="G6472" i="1"/>
  <c r="I6472" i="1"/>
  <c r="J6472" i="1"/>
  <c r="K6472" i="1"/>
  <c r="L6472" i="1"/>
  <c r="M6472" i="1"/>
  <c r="N6472" i="1"/>
  <c r="O6472" i="1"/>
  <c r="P6472" i="1"/>
  <c r="Q6472" i="1"/>
  <c r="R6472" i="1"/>
  <c r="S6472" i="1"/>
  <c r="T6472" i="1"/>
  <c r="U6472" i="1"/>
  <c r="V6472" i="1"/>
  <c r="W6472" i="1"/>
  <c r="X6472" i="1"/>
  <c r="Y6472" i="1"/>
  <c r="Z6472" i="1"/>
  <c r="A6473" i="1"/>
  <c r="B6473" i="1"/>
  <c r="C6473" i="1"/>
  <c r="D6473" i="1"/>
  <c r="E6473" i="1"/>
  <c r="F6473" i="1"/>
  <c r="G6473" i="1"/>
  <c r="I6473" i="1"/>
  <c r="J6473" i="1"/>
  <c r="K6473" i="1"/>
  <c r="L6473" i="1"/>
  <c r="M6473" i="1"/>
  <c r="N6473" i="1"/>
  <c r="O6473" i="1"/>
  <c r="P6473" i="1"/>
  <c r="Q6473" i="1"/>
  <c r="R6473" i="1"/>
  <c r="S6473" i="1"/>
  <c r="T6473" i="1"/>
  <c r="U6473" i="1"/>
  <c r="V6473" i="1"/>
  <c r="W6473" i="1"/>
  <c r="X6473" i="1"/>
  <c r="Y6473" i="1"/>
  <c r="Z6473" i="1"/>
  <c r="A6474" i="1"/>
  <c r="B6474" i="1"/>
  <c r="C6474" i="1"/>
  <c r="D6474" i="1"/>
  <c r="E6474" i="1"/>
  <c r="F6474" i="1"/>
  <c r="G6474" i="1"/>
  <c r="I6474" i="1"/>
  <c r="J6474" i="1"/>
  <c r="K6474" i="1"/>
  <c r="L6474" i="1"/>
  <c r="M6474" i="1"/>
  <c r="N6474" i="1"/>
  <c r="O6474" i="1"/>
  <c r="P6474" i="1"/>
  <c r="Q6474" i="1"/>
  <c r="R6474" i="1"/>
  <c r="S6474" i="1"/>
  <c r="T6474" i="1"/>
  <c r="U6474" i="1"/>
  <c r="V6474" i="1"/>
  <c r="W6474" i="1"/>
  <c r="X6474" i="1"/>
  <c r="Y6474" i="1"/>
  <c r="Z6474" i="1"/>
  <c r="A6475" i="1"/>
  <c r="B6475" i="1"/>
  <c r="C6475" i="1"/>
  <c r="D6475" i="1"/>
  <c r="E6475" i="1"/>
  <c r="F6475" i="1"/>
  <c r="G6475" i="1"/>
  <c r="I6475" i="1"/>
  <c r="J6475" i="1"/>
  <c r="K6475" i="1"/>
  <c r="L6475" i="1"/>
  <c r="M6475" i="1"/>
  <c r="N6475" i="1"/>
  <c r="O6475" i="1"/>
  <c r="P6475" i="1"/>
  <c r="Q6475" i="1"/>
  <c r="R6475" i="1"/>
  <c r="S6475" i="1"/>
  <c r="T6475" i="1"/>
  <c r="U6475" i="1"/>
  <c r="V6475" i="1"/>
  <c r="W6475" i="1"/>
  <c r="X6475" i="1"/>
  <c r="Y6475" i="1"/>
  <c r="Z6475" i="1"/>
  <c r="A6476" i="1"/>
  <c r="B6476" i="1"/>
  <c r="C6476" i="1"/>
  <c r="D6476" i="1"/>
  <c r="E6476" i="1"/>
  <c r="F6476" i="1"/>
  <c r="G6476" i="1"/>
  <c r="I6476" i="1"/>
  <c r="J6476" i="1"/>
  <c r="K6476" i="1"/>
  <c r="L6476" i="1"/>
  <c r="M6476" i="1"/>
  <c r="N6476" i="1"/>
  <c r="O6476" i="1"/>
  <c r="P6476" i="1"/>
  <c r="Q6476" i="1"/>
  <c r="R6476" i="1"/>
  <c r="S6476" i="1"/>
  <c r="T6476" i="1"/>
  <c r="U6476" i="1"/>
  <c r="V6476" i="1"/>
  <c r="W6476" i="1"/>
  <c r="X6476" i="1"/>
  <c r="Y6476" i="1"/>
  <c r="Z6476" i="1"/>
  <c r="A6477" i="1"/>
  <c r="B6477" i="1"/>
  <c r="C6477" i="1"/>
  <c r="D6477" i="1"/>
  <c r="E6477" i="1"/>
  <c r="F6477" i="1"/>
  <c r="G6477" i="1"/>
  <c r="I6477" i="1"/>
  <c r="J6477" i="1"/>
  <c r="K6477" i="1"/>
  <c r="L6477" i="1"/>
  <c r="M6477" i="1"/>
  <c r="N6477" i="1"/>
  <c r="O6477" i="1"/>
  <c r="P6477" i="1"/>
  <c r="Q6477" i="1"/>
  <c r="R6477" i="1"/>
  <c r="S6477" i="1"/>
  <c r="T6477" i="1"/>
  <c r="U6477" i="1"/>
  <c r="V6477" i="1"/>
  <c r="W6477" i="1"/>
  <c r="X6477" i="1"/>
  <c r="Y6477" i="1"/>
  <c r="Z6477" i="1"/>
  <c r="A6478" i="1"/>
  <c r="B6478" i="1"/>
  <c r="C6478" i="1"/>
  <c r="D6478" i="1"/>
  <c r="E6478" i="1"/>
  <c r="F6478" i="1"/>
  <c r="G6478" i="1"/>
  <c r="I6478" i="1"/>
  <c r="J6478" i="1"/>
  <c r="K6478" i="1"/>
  <c r="L6478" i="1"/>
  <c r="M6478" i="1"/>
  <c r="N6478" i="1"/>
  <c r="O6478" i="1"/>
  <c r="P6478" i="1"/>
  <c r="Q6478" i="1"/>
  <c r="R6478" i="1"/>
  <c r="S6478" i="1"/>
  <c r="T6478" i="1"/>
  <c r="U6478" i="1"/>
  <c r="V6478" i="1"/>
  <c r="W6478" i="1"/>
  <c r="X6478" i="1"/>
  <c r="Y6478" i="1"/>
  <c r="Z6478" i="1"/>
  <c r="A6479" i="1"/>
  <c r="B6479" i="1"/>
  <c r="C6479" i="1"/>
  <c r="D6479" i="1"/>
  <c r="E6479" i="1"/>
  <c r="F6479" i="1"/>
  <c r="G6479" i="1"/>
  <c r="I6479" i="1"/>
  <c r="J6479" i="1"/>
  <c r="K6479" i="1"/>
  <c r="L6479" i="1"/>
  <c r="M6479" i="1"/>
  <c r="N6479" i="1"/>
  <c r="O6479" i="1"/>
  <c r="P6479" i="1"/>
  <c r="Q6479" i="1"/>
  <c r="R6479" i="1"/>
  <c r="S6479" i="1"/>
  <c r="T6479" i="1"/>
  <c r="U6479" i="1"/>
  <c r="V6479" i="1"/>
  <c r="W6479" i="1"/>
  <c r="X6479" i="1"/>
  <c r="Y6479" i="1"/>
  <c r="Z6479" i="1"/>
  <c r="A6480" i="1"/>
  <c r="B6480" i="1"/>
  <c r="C6480" i="1"/>
  <c r="D6480" i="1"/>
  <c r="E6480" i="1"/>
  <c r="F6480" i="1"/>
  <c r="G6480" i="1"/>
  <c r="I6480" i="1"/>
  <c r="J6480" i="1"/>
  <c r="K6480" i="1"/>
  <c r="L6480" i="1"/>
  <c r="M6480" i="1"/>
  <c r="N6480" i="1"/>
  <c r="O6480" i="1"/>
  <c r="P6480" i="1"/>
  <c r="Q6480" i="1"/>
  <c r="R6480" i="1"/>
  <c r="S6480" i="1"/>
  <c r="T6480" i="1"/>
  <c r="U6480" i="1"/>
  <c r="V6480" i="1"/>
  <c r="W6480" i="1"/>
  <c r="X6480" i="1"/>
  <c r="Y6480" i="1"/>
  <c r="Z6480" i="1"/>
  <c r="A6481" i="1"/>
  <c r="B6481" i="1"/>
  <c r="C6481" i="1"/>
  <c r="D6481" i="1"/>
  <c r="E6481" i="1"/>
  <c r="F6481" i="1"/>
  <c r="G6481" i="1"/>
  <c r="I6481" i="1"/>
  <c r="J6481" i="1"/>
  <c r="K6481" i="1"/>
  <c r="L6481" i="1"/>
  <c r="M6481" i="1"/>
  <c r="N6481" i="1"/>
  <c r="O6481" i="1"/>
  <c r="P6481" i="1"/>
  <c r="Q6481" i="1"/>
  <c r="R6481" i="1"/>
  <c r="S6481" i="1"/>
  <c r="T6481" i="1"/>
  <c r="U6481" i="1"/>
  <c r="V6481" i="1"/>
  <c r="W6481" i="1"/>
  <c r="X6481" i="1"/>
  <c r="Y6481" i="1"/>
  <c r="Z6481" i="1"/>
  <c r="A6482" i="1"/>
  <c r="B6482" i="1"/>
  <c r="C6482" i="1"/>
  <c r="D6482" i="1"/>
  <c r="E6482" i="1"/>
  <c r="F6482" i="1"/>
  <c r="G6482" i="1"/>
  <c r="I6482" i="1"/>
  <c r="J6482" i="1"/>
  <c r="K6482" i="1"/>
  <c r="L6482" i="1"/>
  <c r="M6482" i="1"/>
  <c r="N6482" i="1"/>
  <c r="O6482" i="1"/>
  <c r="P6482" i="1"/>
  <c r="Q6482" i="1"/>
  <c r="R6482" i="1"/>
  <c r="S6482" i="1"/>
  <c r="T6482" i="1"/>
  <c r="U6482" i="1"/>
  <c r="V6482" i="1"/>
  <c r="W6482" i="1"/>
  <c r="X6482" i="1"/>
  <c r="Y6482" i="1"/>
  <c r="Z6482" i="1"/>
  <c r="A6483" i="1"/>
  <c r="B6483" i="1"/>
  <c r="C6483" i="1"/>
  <c r="D6483" i="1"/>
  <c r="E6483" i="1"/>
  <c r="F6483" i="1"/>
  <c r="G6483" i="1"/>
  <c r="I6483" i="1"/>
  <c r="J6483" i="1"/>
  <c r="K6483" i="1"/>
  <c r="L6483" i="1"/>
  <c r="M6483" i="1"/>
  <c r="N6483" i="1"/>
  <c r="O6483" i="1"/>
  <c r="P6483" i="1"/>
  <c r="Q6483" i="1"/>
  <c r="R6483" i="1"/>
  <c r="S6483" i="1"/>
  <c r="T6483" i="1"/>
  <c r="U6483" i="1"/>
  <c r="V6483" i="1"/>
  <c r="W6483" i="1"/>
  <c r="X6483" i="1"/>
  <c r="Y6483" i="1"/>
  <c r="Z6483" i="1"/>
  <c r="A6484" i="1"/>
  <c r="B6484" i="1"/>
  <c r="C6484" i="1"/>
  <c r="D6484" i="1"/>
  <c r="E6484" i="1"/>
  <c r="F6484" i="1"/>
  <c r="G6484" i="1"/>
  <c r="I6484" i="1"/>
  <c r="J6484" i="1"/>
  <c r="K6484" i="1"/>
  <c r="L6484" i="1"/>
  <c r="M6484" i="1"/>
  <c r="N6484" i="1"/>
  <c r="O6484" i="1"/>
  <c r="P6484" i="1"/>
  <c r="Q6484" i="1"/>
  <c r="R6484" i="1"/>
  <c r="S6484" i="1"/>
  <c r="T6484" i="1"/>
  <c r="U6484" i="1"/>
  <c r="V6484" i="1"/>
  <c r="W6484" i="1"/>
  <c r="X6484" i="1"/>
  <c r="Y6484" i="1"/>
  <c r="Z6484" i="1"/>
  <c r="A6485" i="1"/>
  <c r="B6485" i="1"/>
  <c r="C6485" i="1"/>
  <c r="D6485" i="1"/>
  <c r="E6485" i="1"/>
  <c r="F6485" i="1"/>
  <c r="G6485" i="1"/>
  <c r="I6485" i="1"/>
  <c r="J6485" i="1"/>
  <c r="K6485" i="1"/>
  <c r="L6485" i="1"/>
  <c r="M6485" i="1"/>
  <c r="N6485" i="1"/>
  <c r="O6485" i="1"/>
  <c r="P6485" i="1"/>
  <c r="Q6485" i="1"/>
  <c r="R6485" i="1"/>
  <c r="S6485" i="1"/>
  <c r="T6485" i="1"/>
  <c r="U6485" i="1"/>
  <c r="V6485" i="1"/>
  <c r="W6485" i="1"/>
  <c r="X6485" i="1"/>
  <c r="Y6485" i="1"/>
  <c r="Z6485" i="1"/>
  <c r="A6486" i="1"/>
  <c r="B6486" i="1"/>
  <c r="C6486" i="1"/>
  <c r="D6486" i="1"/>
  <c r="E6486" i="1"/>
  <c r="F6486" i="1"/>
  <c r="G6486" i="1"/>
  <c r="I6486" i="1"/>
  <c r="J6486" i="1"/>
  <c r="K6486" i="1"/>
  <c r="L6486" i="1"/>
  <c r="M6486" i="1"/>
  <c r="N6486" i="1"/>
  <c r="O6486" i="1"/>
  <c r="P6486" i="1"/>
  <c r="Q6486" i="1"/>
  <c r="R6486" i="1"/>
  <c r="S6486" i="1"/>
  <c r="T6486" i="1"/>
  <c r="U6486" i="1"/>
  <c r="V6486" i="1"/>
  <c r="W6486" i="1"/>
  <c r="X6486" i="1"/>
  <c r="Y6486" i="1"/>
  <c r="Z6486" i="1"/>
  <c r="A6487" i="1"/>
  <c r="B6487" i="1"/>
  <c r="C6487" i="1"/>
  <c r="D6487" i="1"/>
  <c r="E6487" i="1"/>
  <c r="F6487" i="1"/>
  <c r="G6487" i="1"/>
  <c r="I6487" i="1"/>
  <c r="J6487" i="1"/>
  <c r="K6487" i="1"/>
  <c r="L6487" i="1"/>
  <c r="M6487" i="1"/>
  <c r="N6487" i="1"/>
  <c r="O6487" i="1"/>
  <c r="P6487" i="1"/>
  <c r="Q6487" i="1"/>
  <c r="R6487" i="1"/>
  <c r="S6487" i="1"/>
  <c r="T6487" i="1"/>
  <c r="U6487" i="1"/>
  <c r="V6487" i="1"/>
  <c r="W6487" i="1"/>
  <c r="X6487" i="1"/>
  <c r="Y6487" i="1"/>
  <c r="Z6487" i="1"/>
  <c r="A6488" i="1"/>
  <c r="B6488" i="1"/>
  <c r="C6488" i="1"/>
  <c r="D6488" i="1"/>
  <c r="E6488" i="1"/>
  <c r="F6488" i="1"/>
  <c r="G6488" i="1"/>
  <c r="I6488" i="1"/>
  <c r="J6488" i="1"/>
  <c r="K6488" i="1"/>
  <c r="L6488" i="1"/>
  <c r="M6488" i="1"/>
  <c r="N6488" i="1"/>
  <c r="O6488" i="1"/>
  <c r="P6488" i="1"/>
  <c r="Q6488" i="1"/>
  <c r="R6488" i="1"/>
  <c r="S6488" i="1"/>
  <c r="T6488" i="1"/>
  <c r="U6488" i="1"/>
  <c r="V6488" i="1"/>
  <c r="W6488" i="1"/>
  <c r="X6488" i="1"/>
  <c r="Y6488" i="1"/>
  <c r="Z6488" i="1"/>
  <c r="A6489" i="1"/>
  <c r="B6489" i="1"/>
  <c r="C6489" i="1"/>
  <c r="D6489" i="1"/>
  <c r="E6489" i="1"/>
  <c r="F6489" i="1"/>
  <c r="G6489" i="1"/>
  <c r="I6489" i="1"/>
  <c r="J6489" i="1"/>
  <c r="K6489" i="1"/>
  <c r="L6489" i="1"/>
  <c r="M6489" i="1"/>
  <c r="N6489" i="1"/>
  <c r="O6489" i="1"/>
  <c r="P6489" i="1"/>
  <c r="Q6489" i="1"/>
  <c r="R6489" i="1"/>
  <c r="S6489" i="1"/>
  <c r="T6489" i="1"/>
  <c r="U6489" i="1"/>
  <c r="V6489" i="1"/>
  <c r="W6489" i="1"/>
  <c r="X6489" i="1"/>
  <c r="Y6489" i="1"/>
  <c r="Z6489" i="1"/>
  <c r="A6490" i="1"/>
  <c r="B6490" i="1"/>
  <c r="C6490" i="1"/>
  <c r="D6490" i="1"/>
  <c r="E6490" i="1"/>
  <c r="F6490" i="1"/>
  <c r="G6490" i="1"/>
  <c r="I6490" i="1"/>
  <c r="J6490" i="1"/>
  <c r="K6490" i="1"/>
  <c r="L6490" i="1"/>
  <c r="M6490" i="1"/>
  <c r="N6490" i="1"/>
  <c r="O6490" i="1"/>
  <c r="P6490" i="1"/>
  <c r="Q6490" i="1"/>
  <c r="R6490" i="1"/>
  <c r="S6490" i="1"/>
  <c r="T6490" i="1"/>
  <c r="U6490" i="1"/>
  <c r="V6490" i="1"/>
  <c r="W6490" i="1"/>
  <c r="X6490" i="1"/>
  <c r="Y6490" i="1"/>
  <c r="Z6490" i="1"/>
  <c r="A6491" i="1"/>
  <c r="B6491" i="1"/>
  <c r="C6491" i="1"/>
  <c r="D6491" i="1"/>
  <c r="E6491" i="1"/>
  <c r="F6491" i="1"/>
  <c r="G6491" i="1"/>
  <c r="I6491" i="1"/>
  <c r="J6491" i="1"/>
  <c r="K6491" i="1"/>
  <c r="L6491" i="1"/>
  <c r="M6491" i="1"/>
  <c r="N6491" i="1"/>
  <c r="O6491" i="1"/>
  <c r="P6491" i="1"/>
  <c r="Q6491" i="1"/>
  <c r="R6491" i="1"/>
  <c r="S6491" i="1"/>
  <c r="T6491" i="1"/>
  <c r="U6491" i="1"/>
  <c r="V6491" i="1"/>
  <c r="W6491" i="1"/>
  <c r="X6491" i="1"/>
  <c r="Y6491" i="1"/>
  <c r="Z6491" i="1"/>
  <c r="A6492" i="1"/>
  <c r="B6492" i="1"/>
  <c r="C6492" i="1"/>
  <c r="D6492" i="1"/>
  <c r="E6492" i="1"/>
  <c r="F6492" i="1"/>
  <c r="G6492" i="1"/>
  <c r="I6492" i="1"/>
  <c r="J6492" i="1"/>
  <c r="K6492" i="1"/>
  <c r="L6492" i="1"/>
  <c r="M6492" i="1"/>
  <c r="N6492" i="1"/>
  <c r="O6492" i="1"/>
  <c r="P6492" i="1"/>
  <c r="Q6492" i="1"/>
  <c r="R6492" i="1"/>
  <c r="S6492" i="1"/>
  <c r="T6492" i="1"/>
  <c r="U6492" i="1"/>
  <c r="V6492" i="1"/>
  <c r="W6492" i="1"/>
  <c r="X6492" i="1"/>
  <c r="Y6492" i="1"/>
  <c r="Z6492" i="1"/>
  <c r="A6493" i="1"/>
  <c r="B6493" i="1"/>
  <c r="C6493" i="1"/>
  <c r="D6493" i="1"/>
  <c r="E6493" i="1"/>
  <c r="F6493" i="1"/>
  <c r="G6493" i="1"/>
  <c r="I6493" i="1"/>
  <c r="J6493" i="1"/>
  <c r="K6493" i="1"/>
  <c r="L6493" i="1"/>
  <c r="M6493" i="1"/>
  <c r="N6493" i="1"/>
  <c r="O6493" i="1"/>
  <c r="P6493" i="1"/>
  <c r="Q6493" i="1"/>
  <c r="R6493" i="1"/>
  <c r="S6493" i="1"/>
  <c r="T6493" i="1"/>
  <c r="U6493" i="1"/>
  <c r="V6493" i="1"/>
  <c r="W6493" i="1"/>
  <c r="X6493" i="1"/>
  <c r="Y6493" i="1"/>
  <c r="Z6493" i="1"/>
  <c r="A6494" i="1"/>
  <c r="B6494" i="1"/>
  <c r="C6494" i="1"/>
  <c r="D6494" i="1"/>
  <c r="E6494" i="1"/>
  <c r="F6494" i="1"/>
  <c r="G6494" i="1"/>
  <c r="I6494" i="1"/>
  <c r="J6494" i="1"/>
  <c r="K6494" i="1"/>
  <c r="L6494" i="1"/>
  <c r="M6494" i="1"/>
  <c r="N6494" i="1"/>
  <c r="O6494" i="1"/>
  <c r="P6494" i="1"/>
  <c r="Q6494" i="1"/>
  <c r="R6494" i="1"/>
  <c r="S6494" i="1"/>
  <c r="T6494" i="1"/>
  <c r="U6494" i="1"/>
  <c r="V6494" i="1"/>
  <c r="W6494" i="1"/>
  <c r="X6494" i="1"/>
  <c r="Y6494" i="1"/>
  <c r="Z6494" i="1"/>
  <c r="A6495" i="1"/>
  <c r="B6495" i="1"/>
  <c r="C6495" i="1"/>
  <c r="D6495" i="1"/>
  <c r="E6495" i="1"/>
  <c r="F6495" i="1"/>
  <c r="G6495" i="1"/>
  <c r="I6495" i="1"/>
  <c r="J6495" i="1"/>
  <c r="K6495" i="1"/>
  <c r="L6495" i="1"/>
  <c r="M6495" i="1"/>
  <c r="N6495" i="1"/>
  <c r="O6495" i="1"/>
  <c r="P6495" i="1"/>
  <c r="Q6495" i="1"/>
  <c r="R6495" i="1"/>
  <c r="S6495" i="1"/>
  <c r="T6495" i="1"/>
  <c r="U6495" i="1"/>
  <c r="V6495" i="1"/>
  <c r="W6495" i="1"/>
  <c r="X6495" i="1"/>
  <c r="Y6495" i="1"/>
  <c r="Z6495" i="1"/>
  <c r="A6496" i="1"/>
  <c r="B6496" i="1"/>
  <c r="C6496" i="1"/>
  <c r="D6496" i="1"/>
  <c r="E6496" i="1"/>
  <c r="F6496" i="1"/>
  <c r="G6496" i="1"/>
  <c r="I6496" i="1"/>
  <c r="J6496" i="1"/>
  <c r="K6496" i="1"/>
  <c r="L6496" i="1"/>
  <c r="M6496" i="1"/>
  <c r="N6496" i="1"/>
  <c r="O6496" i="1"/>
  <c r="P6496" i="1"/>
  <c r="Q6496" i="1"/>
  <c r="R6496" i="1"/>
  <c r="S6496" i="1"/>
  <c r="T6496" i="1"/>
  <c r="U6496" i="1"/>
  <c r="V6496" i="1"/>
  <c r="W6496" i="1"/>
  <c r="X6496" i="1"/>
  <c r="Y6496" i="1"/>
  <c r="Z6496" i="1"/>
  <c r="A6497" i="1"/>
  <c r="B6497" i="1"/>
  <c r="C6497" i="1"/>
  <c r="D6497" i="1"/>
  <c r="E6497" i="1"/>
  <c r="F6497" i="1"/>
  <c r="G6497" i="1"/>
  <c r="I6497" i="1"/>
  <c r="J6497" i="1"/>
  <c r="K6497" i="1"/>
  <c r="L6497" i="1"/>
  <c r="M6497" i="1"/>
  <c r="N6497" i="1"/>
  <c r="O6497" i="1"/>
  <c r="P6497" i="1"/>
  <c r="Q6497" i="1"/>
  <c r="R6497" i="1"/>
  <c r="S6497" i="1"/>
  <c r="T6497" i="1"/>
  <c r="U6497" i="1"/>
  <c r="V6497" i="1"/>
  <c r="W6497" i="1"/>
  <c r="X6497" i="1"/>
  <c r="Y6497" i="1"/>
  <c r="Z6497" i="1"/>
  <c r="A6498" i="1"/>
  <c r="B6498" i="1"/>
  <c r="C6498" i="1"/>
  <c r="D6498" i="1"/>
  <c r="E6498" i="1"/>
  <c r="F6498" i="1"/>
  <c r="G6498" i="1"/>
  <c r="I6498" i="1"/>
  <c r="J6498" i="1"/>
  <c r="K6498" i="1"/>
  <c r="L6498" i="1"/>
  <c r="M6498" i="1"/>
  <c r="N6498" i="1"/>
  <c r="O6498" i="1"/>
  <c r="P6498" i="1"/>
  <c r="Q6498" i="1"/>
  <c r="R6498" i="1"/>
  <c r="S6498" i="1"/>
  <c r="T6498" i="1"/>
  <c r="U6498" i="1"/>
  <c r="V6498" i="1"/>
  <c r="W6498" i="1"/>
  <c r="X6498" i="1"/>
  <c r="Y6498" i="1"/>
  <c r="Z6498" i="1"/>
  <c r="A6499" i="1"/>
  <c r="B6499" i="1"/>
  <c r="C6499" i="1"/>
  <c r="D6499" i="1"/>
  <c r="E6499" i="1"/>
  <c r="F6499" i="1"/>
  <c r="G6499" i="1"/>
  <c r="I6499" i="1"/>
  <c r="J6499" i="1"/>
  <c r="K6499" i="1"/>
  <c r="L6499" i="1"/>
  <c r="M6499" i="1"/>
  <c r="N6499" i="1"/>
  <c r="O6499" i="1"/>
  <c r="P6499" i="1"/>
  <c r="Q6499" i="1"/>
  <c r="R6499" i="1"/>
  <c r="S6499" i="1"/>
  <c r="T6499" i="1"/>
  <c r="U6499" i="1"/>
  <c r="V6499" i="1"/>
  <c r="W6499" i="1"/>
  <c r="X6499" i="1"/>
  <c r="Y6499" i="1"/>
  <c r="Z6499" i="1"/>
  <c r="A6500" i="1"/>
  <c r="B6500" i="1"/>
  <c r="C6500" i="1"/>
  <c r="D6500" i="1"/>
  <c r="E6500" i="1"/>
  <c r="F6500" i="1"/>
  <c r="G6500" i="1"/>
  <c r="I6500" i="1"/>
  <c r="J6500" i="1"/>
  <c r="K6500" i="1"/>
  <c r="L6500" i="1"/>
  <c r="M6500" i="1"/>
  <c r="N6500" i="1"/>
  <c r="O6500" i="1"/>
  <c r="P6500" i="1"/>
  <c r="Q6500" i="1"/>
  <c r="R6500" i="1"/>
  <c r="S6500" i="1"/>
  <c r="T6500" i="1"/>
  <c r="U6500" i="1"/>
  <c r="V6500" i="1"/>
  <c r="W6500" i="1"/>
  <c r="X6500" i="1"/>
  <c r="Y6500" i="1"/>
  <c r="Z6500" i="1"/>
  <c r="A6501" i="1"/>
  <c r="B6501" i="1"/>
  <c r="C6501" i="1"/>
  <c r="D6501" i="1"/>
  <c r="E6501" i="1"/>
  <c r="F6501" i="1"/>
  <c r="G6501" i="1"/>
  <c r="I6501" i="1"/>
  <c r="J6501" i="1"/>
  <c r="K6501" i="1"/>
  <c r="L6501" i="1"/>
  <c r="M6501" i="1"/>
  <c r="N6501" i="1"/>
  <c r="O6501" i="1"/>
  <c r="P6501" i="1"/>
  <c r="Q6501" i="1"/>
  <c r="R6501" i="1"/>
  <c r="S6501" i="1"/>
  <c r="T6501" i="1"/>
  <c r="U6501" i="1"/>
  <c r="V6501" i="1"/>
  <c r="W6501" i="1"/>
  <c r="X6501" i="1"/>
  <c r="Y6501" i="1"/>
  <c r="Z6501" i="1"/>
  <c r="A6502" i="1"/>
  <c r="B6502" i="1"/>
  <c r="C6502" i="1"/>
  <c r="D6502" i="1"/>
  <c r="E6502" i="1"/>
  <c r="F6502" i="1"/>
  <c r="G6502" i="1"/>
  <c r="I6502" i="1"/>
  <c r="J6502" i="1"/>
  <c r="K6502" i="1"/>
  <c r="L6502" i="1"/>
  <c r="M6502" i="1"/>
  <c r="N6502" i="1"/>
  <c r="O6502" i="1"/>
  <c r="P6502" i="1"/>
  <c r="Q6502" i="1"/>
  <c r="R6502" i="1"/>
  <c r="S6502" i="1"/>
  <c r="T6502" i="1"/>
  <c r="U6502" i="1"/>
  <c r="V6502" i="1"/>
  <c r="W6502" i="1"/>
  <c r="X6502" i="1"/>
  <c r="Y6502" i="1"/>
  <c r="Z6502" i="1"/>
  <c r="A6503" i="1"/>
  <c r="B6503" i="1"/>
  <c r="C6503" i="1"/>
  <c r="D6503" i="1"/>
  <c r="E6503" i="1"/>
  <c r="F6503" i="1"/>
  <c r="G6503" i="1"/>
  <c r="I6503" i="1"/>
  <c r="J6503" i="1"/>
  <c r="K6503" i="1"/>
  <c r="L6503" i="1"/>
  <c r="M6503" i="1"/>
  <c r="N6503" i="1"/>
  <c r="O6503" i="1"/>
  <c r="P6503" i="1"/>
  <c r="Q6503" i="1"/>
  <c r="R6503" i="1"/>
  <c r="S6503" i="1"/>
  <c r="T6503" i="1"/>
  <c r="U6503" i="1"/>
  <c r="V6503" i="1"/>
  <c r="W6503" i="1"/>
  <c r="X6503" i="1"/>
  <c r="Y6503" i="1"/>
  <c r="Z6503" i="1"/>
  <c r="A6504" i="1"/>
  <c r="B6504" i="1"/>
  <c r="C6504" i="1"/>
  <c r="D6504" i="1"/>
  <c r="E6504" i="1"/>
  <c r="F6504" i="1"/>
  <c r="G6504" i="1"/>
  <c r="I6504" i="1"/>
  <c r="J6504" i="1"/>
  <c r="K6504" i="1"/>
  <c r="L6504" i="1"/>
  <c r="M6504" i="1"/>
  <c r="N6504" i="1"/>
  <c r="O6504" i="1"/>
  <c r="P6504" i="1"/>
  <c r="Q6504" i="1"/>
  <c r="R6504" i="1"/>
  <c r="S6504" i="1"/>
  <c r="T6504" i="1"/>
  <c r="U6504" i="1"/>
  <c r="V6504" i="1"/>
  <c r="W6504" i="1"/>
  <c r="X6504" i="1"/>
  <c r="Y6504" i="1"/>
  <c r="Z6504" i="1"/>
  <c r="A6505" i="1"/>
  <c r="B6505" i="1"/>
  <c r="C6505" i="1"/>
  <c r="D6505" i="1"/>
  <c r="E6505" i="1"/>
  <c r="F6505" i="1"/>
  <c r="G6505" i="1"/>
  <c r="I6505" i="1"/>
  <c r="J6505" i="1"/>
  <c r="K6505" i="1"/>
  <c r="L6505" i="1"/>
  <c r="M6505" i="1"/>
  <c r="N6505" i="1"/>
  <c r="O6505" i="1"/>
  <c r="P6505" i="1"/>
  <c r="Q6505" i="1"/>
  <c r="R6505" i="1"/>
  <c r="S6505" i="1"/>
  <c r="T6505" i="1"/>
  <c r="U6505" i="1"/>
  <c r="V6505" i="1"/>
  <c r="W6505" i="1"/>
  <c r="X6505" i="1"/>
  <c r="Y6505" i="1"/>
  <c r="Z6505" i="1"/>
  <c r="A6506" i="1"/>
  <c r="B6506" i="1"/>
  <c r="C6506" i="1"/>
  <c r="D6506" i="1"/>
  <c r="E6506" i="1"/>
  <c r="F6506" i="1"/>
  <c r="G6506" i="1"/>
  <c r="I6506" i="1"/>
  <c r="J6506" i="1"/>
  <c r="K6506" i="1"/>
  <c r="L6506" i="1"/>
  <c r="M6506" i="1"/>
  <c r="N6506" i="1"/>
  <c r="O6506" i="1"/>
  <c r="P6506" i="1"/>
  <c r="Q6506" i="1"/>
  <c r="R6506" i="1"/>
  <c r="S6506" i="1"/>
  <c r="T6506" i="1"/>
  <c r="U6506" i="1"/>
  <c r="V6506" i="1"/>
  <c r="W6506" i="1"/>
  <c r="X6506" i="1"/>
  <c r="Y6506" i="1"/>
  <c r="Z6506" i="1"/>
  <c r="A6507" i="1"/>
  <c r="B6507" i="1"/>
  <c r="C6507" i="1"/>
  <c r="D6507" i="1"/>
  <c r="E6507" i="1"/>
  <c r="F6507" i="1"/>
  <c r="G6507" i="1"/>
  <c r="I6507" i="1"/>
  <c r="J6507" i="1"/>
  <c r="K6507" i="1"/>
  <c r="L6507" i="1"/>
  <c r="M6507" i="1"/>
  <c r="N6507" i="1"/>
  <c r="O6507" i="1"/>
  <c r="P6507" i="1"/>
  <c r="Q6507" i="1"/>
  <c r="R6507" i="1"/>
  <c r="S6507" i="1"/>
  <c r="T6507" i="1"/>
  <c r="U6507" i="1"/>
  <c r="V6507" i="1"/>
  <c r="W6507" i="1"/>
  <c r="X6507" i="1"/>
  <c r="Y6507" i="1"/>
  <c r="Z6507" i="1"/>
  <c r="A6508" i="1"/>
  <c r="B6508" i="1"/>
  <c r="C6508" i="1"/>
  <c r="D6508" i="1"/>
  <c r="E6508" i="1"/>
  <c r="F6508" i="1"/>
  <c r="G6508" i="1"/>
  <c r="I6508" i="1"/>
  <c r="J6508" i="1"/>
  <c r="K6508" i="1"/>
  <c r="L6508" i="1"/>
  <c r="M6508" i="1"/>
  <c r="N6508" i="1"/>
  <c r="O6508" i="1"/>
  <c r="P6508" i="1"/>
  <c r="Q6508" i="1"/>
  <c r="R6508" i="1"/>
  <c r="S6508" i="1"/>
  <c r="T6508" i="1"/>
  <c r="U6508" i="1"/>
  <c r="V6508" i="1"/>
  <c r="W6508" i="1"/>
  <c r="X6508" i="1"/>
  <c r="Y6508" i="1"/>
  <c r="Z6508" i="1"/>
  <c r="A6509" i="1"/>
  <c r="B6509" i="1"/>
  <c r="C6509" i="1"/>
  <c r="D6509" i="1"/>
  <c r="E6509" i="1"/>
  <c r="F6509" i="1"/>
  <c r="G6509" i="1"/>
  <c r="I6509" i="1"/>
  <c r="J6509" i="1"/>
  <c r="K6509" i="1"/>
  <c r="L6509" i="1"/>
  <c r="M6509" i="1"/>
  <c r="N6509" i="1"/>
  <c r="O6509" i="1"/>
  <c r="P6509" i="1"/>
  <c r="Q6509" i="1"/>
  <c r="R6509" i="1"/>
  <c r="S6509" i="1"/>
  <c r="T6509" i="1"/>
  <c r="U6509" i="1"/>
  <c r="V6509" i="1"/>
  <c r="W6509" i="1"/>
  <c r="X6509" i="1"/>
  <c r="Y6509" i="1"/>
  <c r="Z6509" i="1"/>
  <c r="A6510" i="1"/>
  <c r="B6510" i="1"/>
  <c r="C6510" i="1"/>
  <c r="D6510" i="1"/>
  <c r="E6510" i="1"/>
  <c r="F6510" i="1"/>
  <c r="G6510" i="1"/>
  <c r="I6510" i="1"/>
  <c r="J6510" i="1"/>
  <c r="K6510" i="1"/>
  <c r="L6510" i="1"/>
  <c r="M6510" i="1"/>
  <c r="N6510" i="1"/>
  <c r="O6510" i="1"/>
  <c r="P6510" i="1"/>
  <c r="Q6510" i="1"/>
  <c r="R6510" i="1"/>
  <c r="S6510" i="1"/>
  <c r="T6510" i="1"/>
  <c r="U6510" i="1"/>
  <c r="V6510" i="1"/>
  <c r="W6510" i="1"/>
  <c r="X6510" i="1"/>
  <c r="Y6510" i="1"/>
  <c r="Z6510" i="1"/>
  <c r="A6511" i="1"/>
  <c r="B6511" i="1"/>
  <c r="C6511" i="1"/>
  <c r="D6511" i="1"/>
  <c r="E6511" i="1"/>
  <c r="F6511" i="1"/>
  <c r="G6511" i="1"/>
  <c r="I6511" i="1"/>
  <c r="J6511" i="1"/>
  <c r="K6511" i="1"/>
  <c r="L6511" i="1"/>
  <c r="M6511" i="1"/>
  <c r="N6511" i="1"/>
  <c r="O6511" i="1"/>
  <c r="P6511" i="1"/>
  <c r="Q6511" i="1"/>
  <c r="R6511" i="1"/>
  <c r="S6511" i="1"/>
  <c r="T6511" i="1"/>
  <c r="U6511" i="1"/>
  <c r="V6511" i="1"/>
  <c r="W6511" i="1"/>
  <c r="X6511" i="1"/>
  <c r="Y6511" i="1"/>
  <c r="Z6511" i="1"/>
  <c r="A6512" i="1"/>
  <c r="B6512" i="1"/>
  <c r="C6512" i="1"/>
  <c r="D6512" i="1"/>
  <c r="E6512" i="1"/>
  <c r="F6512" i="1"/>
  <c r="G6512" i="1"/>
  <c r="I6512" i="1"/>
  <c r="J6512" i="1"/>
  <c r="K6512" i="1"/>
  <c r="L6512" i="1"/>
  <c r="M6512" i="1"/>
  <c r="N6512" i="1"/>
  <c r="O6512" i="1"/>
  <c r="P6512" i="1"/>
  <c r="Q6512" i="1"/>
  <c r="R6512" i="1"/>
  <c r="S6512" i="1"/>
  <c r="T6512" i="1"/>
  <c r="U6512" i="1"/>
  <c r="V6512" i="1"/>
  <c r="W6512" i="1"/>
  <c r="X6512" i="1"/>
  <c r="Y6512" i="1"/>
  <c r="Z6512" i="1"/>
  <c r="A6513" i="1"/>
  <c r="B6513" i="1"/>
  <c r="C6513" i="1"/>
  <c r="D6513" i="1"/>
  <c r="E6513" i="1"/>
  <c r="F6513" i="1"/>
  <c r="G6513" i="1"/>
  <c r="I6513" i="1"/>
  <c r="J6513" i="1"/>
  <c r="K6513" i="1"/>
  <c r="L6513" i="1"/>
  <c r="M6513" i="1"/>
  <c r="N6513" i="1"/>
  <c r="O6513" i="1"/>
  <c r="P6513" i="1"/>
  <c r="Q6513" i="1"/>
  <c r="R6513" i="1"/>
  <c r="S6513" i="1"/>
  <c r="T6513" i="1"/>
  <c r="U6513" i="1"/>
  <c r="V6513" i="1"/>
  <c r="W6513" i="1"/>
  <c r="X6513" i="1"/>
  <c r="Y6513" i="1"/>
  <c r="Z6513" i="1"/>
  <c r="A6514" i="1"/>
  <c r="B6514" i="1"/>
  <c r="C6514" i="1"/>
  <c r="D6514" i="1"/>
  <c r="E6514" i="1"/>
  <c r="F6514" i="1"/>
  <c r="G6514" i="1"/>
  <c r="I6514" i="1"/>
  <c r="J6514" i="1"/>
  <c r="K6514" i="1"/>
  <c r="L6514" i="1"/>
  <c r="M6514" i="1"/>
  <c r="N6514" i="1"/>
  <c r="O6514" i="1"/>
  <c r="P6514" i="1"/>
  <c r="Q6514" i="1"/>
  <c r="R6514" i="1"/>
  <c r="S6514" i="1"/>
  <c r="T6514" i="1"/>
  <c r="U6514" i="1"/>
  <c r="V6514" i="1"/>
  <c r="W6514" i="1"/>
  <c r="X6514" i="1"/>
  <c r="Y6514" i="1"/>
  <c r="Z6514" i="1"/>
  <c r="A6515" i="1"/>
  <c r="B6515" i="1"/>
  <c r="C6515" i="1"/>
  <c r="D6515" i="1"/>
  <c r="E6515" i="1"/>
  <c r="F6515" i="1"/>
  <c r="G6515" i="1"/>
  <c r="I6515" i="1"/>
  <c r="J6515" i="1"/>
  <c r="K6515" i="1"/>
  <c r="L6515" i="1"/>
  <c r="M6515" i="1"/>
  <c r="N6515" i="1"/>
  <c r="O6515" i="1"/>
  <c r="P6515" i="1"/>
  <c r="Q6515" i="1"/>
  <c r="R6515" i="1"/>
  <c r="S6515" i="1"/>
  <c r="T6515" i="1"/>
  <c r="U6515" i="1"/>
  <c r="V6515" i="1"/>
  <c r="W6515" i="1"/>
  <c r="X6515" i="1"/>
  <c r="Y6515" i="1"/>
  <c r="Z6515" i="1"/>
  <c r="A6516" i="1"/>
  <c r="B6516" i="1"/>
  <c r="C6516" i="1"/>
  <c r="D6516" i="1"/>
  <c r="E6516" i="1"/>
  <c r="F6516" i="1"/>
  <c r="G6516" i="1"/>
  <c r="I6516" i="1"/>
  <c r="J6516" i="1"/>
  <c r="K6516" i="1"/>
  <c r="L6516" i="1"/>
  <c r="M6516" i="1"/>
  <c r="N6516" i="1"/>
  <c r="O6516" i="1"/>
  <c r="P6516" i="1"/>
  <c r="Q6516" i="1"/>
  <c r="R6516" i="1"/>
  <c r="S6516" i="1"/>
  <c r="T6516" i="1"/>
  <c r="U6516" i="1"/>
  <c r="V6516" i="1"/>
  <c r="W6516" i="1"/>
  <c r="X6516" i="1"/>
  <c r="Y6516" i="1"/>
  <c r="Z6516" i="1"/>
  <c r="A6517" i="1"/>
  <c r="B6517" i="1"/>
  <c r="C6517" i="1"/>
  <c r="D6517" i="1"/>
  <c r="E6517" i="1"/>
  <c r="F6517" i="1"/>
  <c r="G6517" i="1"/>
  <c r="I6517" i="1"/>
  <c r="J6517" i="1"/>
  <c r="K6517" i="1"/>
  <c r="L6517" i="1"/>
  <c r="M6517" i="1"/>
  <c r="N6517" i="1"/>
  <c r="O6517" i="1"/>
  <c r="P6517" i="1"/>
  <c r="Q6517" i="1"/>
  <c r="R6517" i="1"/>
  <c r="S6517" i="1"/>
  <c r="T6517" i="1"/>
  <c r="U6517" i="1"/>
  <c r="V6517" i="1"/>
  <c r="W6517" i="1"/>
  <c r="X6517" i="1"/>
  <c r="Y6517" i="1"/>
  <c r="Z6517" i="1"/>
  <c r="A6518" i="1"/>
  <c r="B6518" i="1"/>
  <c r="C6518" i="1"/>
  <c r="D6518" i="1"/>
  <c r="E6518" i="1"/>
  <c r="F6518" i="1"/>
  <c r="G6518" i="1"/>
  <c r="I6518" i="1"/>
  <c r="J6518" i="1"/>
  <c r="K6518" i="1"/>
  <c r="L6518" i="1"/>
  <c r="M6518" i="1"/>
  <c r="N6518" i="1"/>
  <c r="O6518" i="1"/>
  <c r="P6518" i="1"/>
  <c r="Q6518" i="1"/>
  <c r="R6518" i="1"/>
  <c r="S6518" i="1"/>
  <c r="T6518" i="1"/>
  <c r="U6518" i="1"/>
  <c r="V6518" i="1"/>
  <c r="W6518" i="1"/>
  <c r="X6518" i="1"/>
  <c r="Y6518" i="1"/>
  <c r="Z6518" i="1"/>
  <c r="A6519" i="1"/>
  <c r="B6519" i="1"/>
  <c r="C6519" i="1"/>
  <c r="D6519" i="1"/>
  <c r="E6519" i="1"/>
  <c r="F6519" i="1"/>
  <c r="G6519" i="1"/>
  <c r="I6519" i="1"/>
  <c r="J6519" i="1"/>
  <c r="K6519" i="1"/>
  <c r="L6519" i="1"/>
  <c r="M6519" i="1"/>
  <c r="N6519" i="1"/>
  <c r="O6519" i="1"/>
  <c r="P6519" i="1"/>
  <c r="Q6519" i="1"/>
  <c r="R6519" i="1"/>
  <c r="S6519" i="1"/>
  <c r="T6519" i="1"/>
  <c r="U6519" i="1"/>
  <c r="V6519" i="1"/>
  <c r="W6519" i="1"/>
  <c r="X6519" i="1"/>
  <c r="Y6519" i="1"/>
  <c r="Z6519" i="1"/>
  <c r="A6520" i="1"/>
  <c r="B6520" i="1"/>
  <c r="C6520" i="1"/>
  <c r="D6520" i="1"/>
  <c r="E6520" i="1"/>
  <c r="F6520" i="1"/>
  <c r="G6520" i="1"/>
  <c r="I6520" i="1"/>
  <c r="J6520" i="1"/>
  <c r="K6520" i="1"/>
  <c r="L6520" i="1"/>
  <c r="M6520" i="1"/>
  <c r="N6520" i="1"/>
  <c r="O6520" i="1"/>
  <c r="P6520" i="1"/>
  <c r="Q6520" i="1"/>
  <c r="R6520" i="1"/>
  <c r="S6520" i="1"/>
  <c r="T6520" i="1"/>
  <c r="U6520" i="1"/>
  <c r="V6520" i="1"/>
  <c r="W6520" i="1"/>
  <c r="X6520" i="1"/>
  <c r="Y6520" i="1"/>
  <c r="Z6520" i="1"/>
  <c r="A6521" i="1"/>
  <c r="B6521" i="1"/>
  <c r="C6521" i="1"/>
  <c r="D6521" i="1"/>
  <c r="E6521" i="1"/>
  <c r="F6521" i="1"/>
  <c r="G6521" i="1"/>
  <c r="I6521" i="1"/>
  <c r="J6521" i="1"/>
  <c r="K6521" i="1"/>
  <c r="L6521" i="1"/>
  <c r="M6521" i="1"/>
  <c r="N6521" i="1"/>
  <c r="O6521" i="1"/>
  <c r="P6521" i="1"/>
  <c r="Q6521" i="1"/>
  <c r="R6521" i="1"/>
  <c r="S6521" i="1"/>
  <c r="T6521" i="1"/>
  <c r="U6521" i="1"/>
  <c r="V6521" i="1"/>
  <c r="W6521" i="1"/>
  <c r="X6521" i="1"/>
  <c r="Y6521" i="1"/>
  <c r="Z6521" i="1"/>
  <c r="A6522" i="1"/>
  <c r="B6522" i="1"/>
  <c r="C6522" i="1"/>
  <c r="D6522" i="1"/>
  <c r="E6522" i="1"/>
  <c r="F6522" i="1"/>
  <c r="G6522" i="1"/>
  <c r="I6522" i="1"/>
  <c r="J6522" i="1"/>
  <c r="K6522" i="1"/>
  <c r="L6522" i="1"/>
  <c r="M6522" i="1"/>
  <c r="N6522" i="1"/>
  <c r="O6522" i="1"/>
  <c r="P6522" i="1"/>
  <c r="Q6522" i="1"/>
  <c r="R6522" i="1"/>
  <c r="S6522" i="1"/>
  <c r="T6522" i="1"/>
  <c r="U6522" i="1"/>
  <c r="V6522" i="1"/>
  <c r="W6522" i="1"/>
  <c r="X6522" i="1"/>
  <c r="Y6522" i="1"/>
  <c r="Z6522" i="1"/>
  <c r="A6523" i="1"/>
  <c r="B6523" i="1"/>
  <c r="C6523" i="1"/>
  <c r="D6523" i="1"/>
  <c r="E6523" i="1"/>
  <c r="F6523" i="1"/>
  <c r="G6523" i="1"/>
  <c r="I6523" i="1"/>
  <c r="J6523" i="1"/>
  <c r="K6523" i="1"/>
  <c r="L6523" i="1"/>
  <c r="M6523" i="1"/>
  <c r="N6523" i="1"/>
  <c r="O6523" i="1"/>
  <c r="P6523" i="1"/>
  <c r="Q6523" i="1"/>
  <c r="R6523" i="1"/>
  <c r="S6523" i="1"/>
  <c r="T6523" i="1"/>
  <c r="U6523" i="1"/>
  <c r="V6523" i="1"/>
  <c r="W6523" i="1"/>
  <c r="X6523" i="1"/>
  <c r="Y6523" i="1"/>
  <c r="Z6523" i="1"/>
  <c r="A6524" i="1"/>
  <c r="B6524" i="1"/>
  <c r="C6524" i="1"/>
  <c r="D6524" i="1"/>
  <c r="E6524" i="1"/>
  <c r="F6524" i="1"/>
  <c r="G6524" i="1"/>
  <c r="I6524" i="1"/>
  <c r="J6524" i="1"/>
  <c r="K6524" i="1"/>
  <c r="L6524" i="1"/>
  <c r="M6524" i="1"/>
  <c r="N6524" i="1"/>
  <c r="O6524" i="1"/>
  <c r="P6524" i="1"/>
  <c r="Q6524" i="1"/>
  <c r="R6524" i="1"/>
  <c r="S6524" i="1"/>
  <c r="T6524" i="1"/>
  <c r="U6524" i="1"/>
  <c r="V6524" i="1"/>
  <c r="W6524" i="1"/>
  <c r="X6524" i="1"/>
  <c r="Y6524" i="1"/>
  <c r="Z6524" i="1"/>
  <c r="A6525" i="1"/>
  <c r="B6525" i="1"/>
  <c r="C6525" i="1"/>
  <c r="D6525" i="1"/>
  <c r="E6525" i="1"/>
  <c r="F6525" i="1"/>
  <c r="G6525" i="1"/>
  <c r="I6525" i="1"/>
  <c r="J6525" i="1"/>
  <c r="K6525" i="1"/>
  <c r="L6525" i="1"/>
  <c r="M6525" i="1"/>
  <c r="N6525" i="1"/>
  <c r="O6525" i="1"/>
  <c r="P6525" i="1"/>
  <c r="Q6525" i="1"/>
  <c r="R6525" i="1"/>
  <c r="S6525" i="1"/>
  <c r="T6525" i="1"/>
  <c r="U6525" i="1"/>
  <c r="V6525" i="1"/>
  <c r="W6525" i="1"/>
  <c r="X6525" i="1"/>
  <c r="Y6525" i="1"/>
  <c r="Z6525" i="1"/>
  <c r="A6526" i="1"/>
  <c r="B6526" i="1"/>
  <c r="C6526" i="1"/>
  <c r="D6526" i="1"/>
  <c r="E6526" i="1"/>
  <c r="F6526" i="1"/>
  <c r="G6526" i="1"/>
  <c r="I6526" i="1"/>
  <c r="J6526" i="1"/>
  <c r="K6526" i="1"/>
  <c r="L6526" i="1"/>
  <c r="M6526" i="1"/>
  <c r="N6526" i="1"/>
  <c r="O6526" i="1"/>
  <c r="P6526" i="1"/>
  <c r="Q6526" i="1"/>
  <c r="R6526" i="1"/>
  <c r="S6526" i="1"/>
  <c r="T6526" i="1"/>
  <c r="U6526" i="1"/>
  <c r="V6526" i="1"/>
  <c r="W6526" i="1"/>
  <c r="X6526" i="1"/>
  <c r="Y6526" i="1"/>
  <c r="Z6526" i="1"/>
  <c r="A6527" i="1"/>
  <c r="B6527" i="1"/>
  <c r="C6527" i="1"/>
  <c r="D6527" i="1"/>
  <c r="E6527" i="1"/>
  <c r="F6527" i="1"/>
  <c r="G6527" i="1"/>
  <c r="I6527" i="1"/>
  <c r="J6527" i="1"/>
  <c r="K6527" i="1"/>
  <c r="L6527" i="1"/>
  <c r="M6527" i="1"/>
  <c r="N6527" i="1"/>
  <c r="O6527" i="1"/>
  <c r="P6527" i="1"/>
  <c r="Q6527" i="1"/>
  <c r="R6527" i="1"/>
  <c r="S6527" i="1"/>
  <c r="T6527" i="1"/>
  <c r="U6527" i="1"/>
  <c r="V6527" i="1"/>
  <c r="W6527" i="1"/>
  <c r="X6527" i="1"/>
  <c r="Y6527" i="1"/>
  <c r="Z6527" i="1"/>
  <c r="A6528" i="1"/>
  <c r="B6528" i="1"/>
  <c r="C6528" i="1"/>
  <c r="D6528" i="1"/>
  <c r="E6528" i="1"/>
  <c r="F6528" i="1"/>
  <c r="G6528" i="1"/>
  <c r="I6528" i="1"/>
  <c r="J6528" i="1"/>
  <c r="K6528" i="1"/>
  <c r="L6528" i="1"/>
  <c r="M6528" i="1"/>
  <c r="N6528" i="1"/>
  <c r="O6528" i="1"/>
  <c r="P6528" i="1"/>
  <c r="Q6528" i="1"/>
  <c r="R6528" i="1"/>
  <c r="S6528" i="1"/>
  <c r="T6528" i="1"/>
  <c r="U6528" i="1"/>
  <c r="V6528" i="1"/>
  <c r="W6528" i="1"/>
  <c r="X6528" i="1"/>
  <c r="Y6528" i="1"/>
  <c r="Z6528" i="1"/>
  <c r="A6529" i="1"/>
  <c r="B6529" i="1"/>
  <c r="C6529" i="1"/>
  <c r="D6529" i="1"/>
  <c r="E6529" i="1"/>
  <c r="F6529" i="1"/>
  <c r="G6529" i="1"/>
  <c r="I6529" i="1"/>
  <c r="J6529" i="1"/>
  <c r="K6529" i="1"/>
  <c r="L6529" i="1"/>
  <c r="M6529" i="1"/>
  <c r="N6529" i="1"/>
  <c r="O6529" i="1"/>
  <c r="P6529" i="1"/>
  <c r="Q6529" i="1"/>
  <c r="R6529" i="1"/>
  <c r="S6529" i="1"/>
  <c r="T6529" i="1"/>
  <c r="U6529" i="1"/>
  <c r="V6529" i="1"/>
  <c r="W6529" i="1"/>
  <c r="X6529" i="1"/>
  <c r="Y6529" i="1"/>
  <c r="Z6529" i="1"/>
  <c r="A6530" i="1"/>
  <c r="B6530" i="1"/>
  <c r="C6530" i="1"/>
  <c r="D6530" i="1"/>
  <c r="E6530" i="1"/>
  <c r="F6530" i="1"/>
  <c r="G6530" i="1"/>
  <c r="I6530" i="1"/>
  <c r="J6530" i="1"/>
  <c r="K6530" i="1"/>
  <c r="L6530" i="1"/>
  <c r="M6530" i="1"/>
  <c r="N6530" i="1"/>
  <c r="O6530" i="1"/>
  <c r="P6530" i="1"/>
  <c r="Q6530" i="1"/>
  <c r="R6530" i="1"/>
  <c r="S6530" i="1"/>
  <c r="T6530" i="1"/>
  <c r="U6530" i="1"/>
  <c r="V6530" i="1"/>
  <c r="W6530" i="1"/>
  <c r="X6530" i="1"/>
  <c r="Y6530" i="1"/>
  <c r="Z6530" i="1"/>
  <c r="A6531" i="1"/>
  <c r="B6531" i="1"/>
  <c r="C6531" i="1"/>
  <c r="D6531" i="1"/>
  <c r="E6531" i="1"/>
  <c r="F6531" i="1"/>
  <c r="G6531" i="1"/>
  <c r="I6531" i="1"/>
  <c r="J6531" i="1"/>
  <c r="K6531" i="1"/>
  <c r="L6531" i="1"/>
  <c r="M6531" i="1"/>
  <c r="N6531" i="1"/>
  <c r="O6531" i="1"/>
  <c r="P6531" i="1"/>
  <c r="Q6531" i="1"/>
  <c r="R6531" i="1"/>
  <c r="S6531" i="1"/>
  <c r="T6531" i="1"/>
  <c r="U6531" i="1"/>
  <c r="V6531" i="1"/>
  <c r="W6531" i="1"/>
  <c r="X6531" i="1"/>
  <c r="Y6531" i="1"/>
  <c r="Z6531" i="1"/>
  <c r="A6532" i="1"/>
  <c r="B6532" i="1"/>
  <c r="C6532" i="1"/>
  <c r="D6532" i="1"/>
  <c r="E6532" i="1"/>
  <c r="F6532" i="1"/>
  <c r="G6532" i="1"/>
  <c r="I6532" i="1"/>
  <c r="J6532" i="1"/>
  <c r="K6532" i="1"/>
  <c r="L6532" i="1"/>
  <c r="M6532" i="1"/>
  <c r="N6532" i="1"/>
  <c r="O6532" i="1"/>
  <c r="P6532" i="1"/>
  <c r="Q6532" i="1"/>
  <c r="R6532" i="1"/>
  <c r="S6532" i="1"/>
  <c r="T6532" i="1"/>
  <c r="U6532" i="1"/>
  <c r="V6532" i="1"/>
  <c r="W6532" i="1"/>
  <c r="X6532" i="1"/>
  <c r="Y6532" i="1"/>
  <c r="Z6532" i="1"/>
  <c r="A6533" i="1"/>
  <c r="B6533" i="1"/>
  <c r="C6533" i="1"/>
  <c r="D6533" i="1"/>
  <c r="E6533" i="1"/>
  <c r="F6533" i="1"/>
  <c r="G6533" i="1"/>
  <c r="I6533" i="1"/>
  <c r="J6533" i="1"/>
  <c r="K6533" i="1"/>
  <c r="L6533" i="1"/>
  <c r="M6533" i="1"/>
  <c r="N6533" i="1"/>
  <c r="O6533" i="1"/>
  <c r="P6533" i="1"/>
  <c r="Q6533" i="1"/>
  <c r="R6533" i="1"/>
  <c r="S6533" i="1"/>
  <c r="T6533" i="1"/>
  <c r="U6533" i="1"/>
  <c r="V6533" i="1"/>
  <c r="W6533" i="1"/>
  <c r="X6533" i="1"/>
  <c r="Y6533" i="1"/>
  <c r="Z6533" i="1"/>
  <c r="A6534" i="1"/>
  <c r="B6534" i="1"/>
  <c r="C6534" i="1"/>
  <c r="D6534" i="1"/>
  <c r="E6534" i="1"/>
  <c r="F6534" i="1"/>
  <c r="G6534" i="1"/>
  <c r="I6534" i="1"/>
  <c r="J6534" i="1"/>
  <c r="K6534" i="1"/>
  <c r="L6534" i="1"/>
  <c r="M6534" i="1"/>
  <c r="N6534" i="1"/>
  <c r="O6534" i="1"/>
  <c r="P6534" i="1"/>
  <c r="Q6534" i="1"/>
  <c r="R6534" i="1"/>
  <c r="S6534" i="1"/>
  <c r="T6534" i="1"/>
  <c r="U6534" i="1"/>
  <c r="V6534" i="1"/>
  <c r="W6534" i="1"/>
  <c r="X6534" i="1"/>
  <c r="Y6534" i="1"/>
  <c r="Z6534" i="1"/>
  <c r="A6535" i="1"/>
  <c r="B6535" i="1"/>
  <c r="C6535" i="1"/>
  <c r="D6535" i="1"/>
  <c r="E6535" i="1"/>
  <c r="F6535" i="1"/>
  <c r="G6535" i="1"/>
  <c r="I6535" i="1"/>
  <c r="J6535" i="1"/>
  <c r="K6535" i="1"/>
  <c r="L6535" i="1"/>
  <c r="M6535" i="1"/>
  <c r="N6535" i="1"/>
  <c r="O6535" i="1"/>
  <c r="P6535" i="1"/>
  <c r="Q6535" i="1"/>
  <c r="R6535" i="1"/>
  <c r="S6535" i="1"/>
  <c r="T6535" i="1"/>
  <c r="U6535" i="1"/>
  <c r="V6535" i="1"/>
  <c r="W6535" i="1"/>
  <c r="X6535" i="1"/>
  <c r="Y6535" i="1"/>
  <c r="Z6535" i="1"/>
  <c r="A6536" i="1"/>
  <c r="B6536" i="1"/>
  <c r="C6536" i="1"/>
  <c r="D6536" i="1"/>
  <c r="E6536" i="1"/>
  <c r="F6536" i="1"/>
  <c r="G6536" i="1"/>
  <c r="I6536" i="1"/>
  <c r="J6536" i="1"/>
  <c r="K6536" i="1"/>
  <c r="L6536" i="1"/>
  <c r="M6536" i="1"/>
  <c r="N6536" i="1"/>
  <c r="O6536" i="1"/>
  <c r="P6536" i="1"/>
  <c r="Q6536" i="1"/>
  <c r="R6536" i="1"/>
  <c r="S6536" i="1"/>
  <c r="T6536" i="1"/>
  <c r="U6536" i="1"/>
  <c r="V6536" i="1"/>
  <c r="W6536" i="1"/>
  <c r="X6536" i="1"/>
  <c r="Y6536" i="1"/>
  <c r="Z6536" i="1"/>
  <c r="A6537" i="1"/>
  <c r="B6537" i="1"/>
  <c r="C6537" i="1"/>
  <c r="D6537" i="1"/>
  <c r="E6537" i="1"/>
  <c r="F6537" i="1"/>
  <c r="G6537" i="1"/>
  <c r="I6537" i="1"/>
  <c r="J6537" i="1"/>
  <c r="K6537" i="1"/>
  <c r="L6537" i="1"/>
  <c r="M6537" i="1"/>
  <c r="N6537" i="1"/>
  <c r="O6537" i="1"/>
  <c r="P6537" i="1"/>
  <c r="Q6537" i="1"/>
  <c r="R6537" i="1"/>
  <c r="S6537" i="1"/>
  <c r="T6537" i="1"/>
  <c r="U6537" i="1"/>
  <c r="V6537" i="1"/>
  <c r="W6537" i="1"/>
  <c r="X6537" i="1"/>
  <c r="Y6537" i="1"/>
  <c r="Z6537" i="1"/>
  <c r="A6538" i="1"/>
  <c r="B6538" i="1"/>
  <c r="C6538" i="1"/>
  <c r="D6538" i="1"/>
  <c r="E6538" i="1"/>
  <c r="F6538" i="1"/>
  <c r="G6538" i="1"/>
  <c r="I6538" i="1"/>
  <c r="J6538" i="1"/>
  <c r="K6538" i="1"/>
  <c r="L6538" i="1"/>
  <c r="M6538" i="1"/>
  <c r="N6538" i="1"/>
  <c r="O6538" i="1"/>
  <c r="P6538" i="1"/>
  <c r="Q6538" i="1"/>
  <c r="R6538" i="1"/>
  <c r="S6538" i="1"/>
  <c r="T6538" i="1"/>
  <c r="U6538" i="1"/>
  <c r="V6538" i="1"/>
  <c r="W6538" i="1"/>
  <c r="X6538" i="1"/>
  <c r="Y6538" i="1"/>
  <c r="Z6538" i="1"/>
  <c r="A6539" i="1"/>
  <c r="B6539" i="1"/>
  <c r="C6539" i="1"/>
  <c r="D6539" i="1"/>
  <c r="E6539" i="1"/>
  <c r="F6539" i="1"/>
  <c r="G6539" i="1"/>
  <c r="I6539" i="1"/>
  <c r="J6539" i="1"/>
  <c r="K6539" i="1"/>
  <c r="L6539" i="1"/>
  <c r="M6539" i="1"/>
  <c r="N6539" i="1"/>
  <c r="O6539" i="1"/>
  <c r="P6539" i="1"/>
  <c r="Q6539" i="1"/>
  <c r="R6539" i="1"/>
  <c r="S6539" i="1"/>
  <c r="T6539" i="1"/>
  <c r="U6539" i="1"/>
  <c r="V6539" i="1"/>
  <c r="W6539" i="1"/>
  <c r="X6539" i="1"/>
  <c r="Y6539" i="1"/>
  <c r="Z6539" i="1"/>
  <c r="A6540" i="1"/>
  <c r="B6540" i="1"/>
  <c r="C6540" i="1"/>
  <c r="D6540" i="1"/>
  <c r="E6540" i="1"/>
  <c r="F6540" i="1"/>
  <c r="G6540" i="1"/>
  <c r="I6540" i="1"/>
  <c r="J6540" i="1"/>
  <c r="K6540" i="1"/>
  <c r="L6540" i="1"/>
  <c r="M6540" i="1"/>
  <c r="N6540" i="1"/>
  <c r="O6540" i="1"/>
  <c r="P6540" i="1"/>
  <c r="Q6540" i="1"/>
  <c r="R6540" i="1"/>
  <c r="S6540" i="1"/>
  <c r="T6540" i="1"/>
  <c r="U6540" i="1"/>
  <c r="V6540" i="1"/>
  <c r="W6540" i="1"/>
  <c r="X6540" i="1"/>
  <c r="Y6540" i="1"/>
  <c r="Z6540" i="1"/>
  <c r="A6541" i="1"/>
  <c r="B6541" i="1"/>
  <c r="C6541" i="1"/>
  <c r="D6541" i="1"/>
  <c r="E6541" i="1"/>
  <c r="F6541" i="1"/>
  <c r="G6541" i="1"/>
  <c r="I6541" i="1"/>
  <c r="J6541" i="1"/>
  <c r="K6541" i="1"/>
  <c r="L6541" i="1"/>
  <c r="M6541" i="1"/>
  <c r="N6541" i="1"/>
  <c r="O6541" i="1"/>
  <c r="P6541" i="1"/>
  <c r="Q6541" i="1"/>
  <c r="R6541" i="1"/>
  <c r="S6541" i="1"/>
  <c r="T6541" i="1"/>
  <c r="U6541" i="1"/>
  <c r="V6541" i="1"/>
  <c r="W6541" i="1"/>
  <c r="X6541" i="1"/>
  <c r="Y6541" i="1"/>
  <c r="Z6541" i="1"/>
  <c r="A6542" i="1"/>
  <c r="B6542" i="1"/>
  <c r="C6542" i="1"/>
  <c r="D6542" i="1"/>
  <c r="E6542" i="1"/>
  <c r="F6542" i="1"/>
  <c r="G6542" i="1"/>
  <c r="I6542" i="1"/>
  <c r="J6542" i="1"/>
  <c r="K6542" i="1"/>
  <c r="L6542" i="1"/>
  <c r="M6542" i="1"/>
  <c r="N6542" i="1"/>
  <c r="O6542" i="1"/>
  <c r="P6542" i="1"/>
  <c r="Q6542" i="1"/>
  <c r="R6542" i="1"/>
  <c r="S6542" i="1"/>
  <c r="T6542" i="1"/>
  <c r="U6542" i="1"/>
  <c r="V6542" i="1"/>
  <c r="W6542" i="1"/>
  <c r="X6542" i="1"/>
  <c r="Y6542" i="1"/>
  <c r="Z6542" i="1"/>
  <c r="A6543" i="1"/>
  <c r="B6543" i="1"/>
  <c r="C6543" i="1"/>
  <c r="D6543" i="1"/>
  <c r="E6543" i="1"/>
  <c r="F6543" i="1"/>
  <c r="G6543" i="1"/>
  <c r="I6543" i="1"/>
  <c r="J6543" i="1"/>
  <c r="K6543" i="1"/>
  <c r="L6543" i="1"/>
  <c r="M6543" i="1"/>
  <c r="N6543" i="1"/>
  <c r="O6543" i="1"/>
  <c r="P6543" i="1"/>
  <c r="Q6543" i="1"/>
  <c r="R6543" i="1"/>
  <c r="S6543" i="1"/>
  <c r="T6543" i="1"/>
  <c r="U6543" i="1"/>
  <c r="V6543" i="1"/>
  <c r="W6543" i="1"/>
  <c r="X6543" i="1"/>
  <c r="Y6543" i="1"/>
  <c r="Z6543" i="1"/>
  <c r="A6544" i="1"/>
  <c r="B6544" i="1"/>
  <c r="C6544" i="1"/>
  <c r="D6544" i="1"/>
  <c r="E6544" i="1"/>
  <c r="F6544" i="1"/>
  <c r="G6544" i="1"/>
  <c r="I6544" i="1"/>
  <c r="J6544" i="1"/>
  <c r="K6544" i="1"/>
  <c r="L6544" i="1"/>
  <c r="M6544" i="1"/>
  <c r="N6544" i="1"/>
  <c r="O6544" i="1"/>
  <c r="P6544" i="1"/>
  <c r="Q6544" i="1"/>
  <c r="R6544" i="1"/>
  <c r="S6544" i="1"/>
  <c r="T6544" i="1"/>
  <c r="U6544" i="1"/>
  <c r="V6544" i="1"/>
  <c r="W6544" i="1"/>
  <c r="X6544" i="1"/>
  <c r="Y6544" i="1"/>
  <c r="Z6544" i="1"/>
  <c r="A6545" i="1"/>
  <c r="B6545" i="1"/>
  <c r="C6545" i="1"/>
  <c r="D6545" i="1"/>
  <c r="E6545" i="1"/>
  <c r="F6545" i="1"/>
  <c r="G6545" i="1"/>
  <c r="I6545" i="1"/>
  <c r="J6545" i="1"/>
  <c r="K6545" i="1"/>
  <c r="L6545" i="1"/>
  <c r="M6545" i="1"/>
  <c r="N6545" i="1"/>
  <c r="O6545" i="1"/>
  <c r="P6545" i="1"/>
  <c r="Q6545" i="1"/>
  <c r="R6545" i="1"/>
  <c r="S6545" i="1"/>
  <c r="T6545" i="1"/>
  <c r="U6545" i="1"/>
  <c r="V6545" i="1"/>
  <c r="W6545" i="1"/>
  <c r="X6545" i="1"/>
  <c r="Y6545" i="1"/>
  <c r="Z6545" i="1"/>
  <c r="A6546" i="1"/>
  <c r="B6546" i="1"/>
  <c r="C6546" i="1"/>
  <c r="D6546" i="1"/>
  <c r="E6546" i="1"/>
  <c r="F6546" i="1"/>
  <c r="G6546" i="1"/>
  <c r="I6546" i="1"/>
  <c r="J6546" i="1"/>
  <c r="K6546" i="1"/>
  <c r="L6546" i="1"/>
  <c r="M6546" i="1"/>
  <c r="N6546" i="1"/>
  <c r="O6546" i="1"/>
  <c r="P6546" i="1"/>
  <c r="Q6546" i="1"/>
  <c r="R6546" i="1"/>
  <c r="S6546" i="1"/>
  <c r="T6546" i="1"/>
  <c r="U6546" i="1"/>
  <c r="V6546" i="1"/>
  <c r="W6546" i="1"/>
  <c r="X6546" i="1"/>
  <c r="Y6546" i="1"/>
  <c r="Z6546" i="1"/>
  <c r="A6547" i="1"/>
  <c r="B6547" i="1"/>
  <c r="C6547" i="1"/>
  <c r="D6547" i="1"/>
  <c r="E6547" i="1"/>
  <c r="F6547" i="1"/>
  <c r="G6547" i="1"/>
  <c r="I6547" i="1"/>
  <c r="J6547" i="1"/>
  <c r="K6547" i="1"/>
  <c r="L6547" i="1"/>
  <c r="M6547" i="1"/>
  <c r="N6547" i="1"/>
  <c r="O6547" i="1"/>
  <c r="P6547" i="1"/>
  <c r="Q6547" i="1"/>
  <c r="R6547" i="1"/>
  <c r="S6547" i="1"/>
  <c r="T6547" i="1"/>
  <c r="U6547" i="1"/>
  <c r="V6547" i="1"/>
  <c r="W6547" i="1"/>
  <c r="X6547" i="1"/>
  <c r="Y6547" i="1"/>
  <c r="Z6547" i="1"/>
  <c r="A6548" i="1"/>
  <c r="B6548" i="1"/>
  <c r="C6548" i="1"/>
  <c r="D6548" i="1"/>
  <c r="E6548" i="1"/>
  <c r="F6548" i="1"/>
  <c r="G6548" i="1"/>
  <c r="I6548" i="1"/>
  <c r="J6548" i="1"/>
  <c r="K6548" i="1"/>
  <c r="L6548" i="1"/>
  <c r="M6548" i="1"/>
  <c r="N6548" i="1"/>
  <c r="O6548" i="1"/>
  <c r="P6548" i="1"/>
  <c r="Q6548" i="1"/>
  <c r="R6548" i="1"/>
  <c r="S6548" i="1"/>
  <c r="T6548" i="1"/>
  <c r="U6548" i="1"/>
  <c r="V6548" i="1"/>
  <c r="W6548" i="1"/>
  <c r="X6548" i="1"/>
  <c r="Y6548" i="1"/>
  <c r="Z6548" i="1"/>
  <c r="A6549" i="1"/>
  <c r="B6549" i="1"/>
  <c r="C6549" i="1"/>
  <c r="D6549" i="1"/>
  <c r="E6549" i="1"/>
  <c r="F6549" i="1"/>
  <c r="G6549" i="1"/>
  <c r="I6549" i="1"/>
  <c r="J6549" i="1"/>
  <c r="K6549" i="1"/>
  <c r="L6549" i="1"/>
  <c r="M6549" i="1"/>
  <c r="N6549" i="1"/>
  <c r="O6549" i="1"/>
  <c r="P6549" i="1"/>
  <c r="Q6549" i="1"/>
  <c r="R6549" i="1"/>
  <c r="S6549" i="1"/>
  <c r="T6549" i="1"/>
  <c r="U6549" i="1"/>
  <c r="V6549" i="1"/>
  <c r="W6549" i="1"/>
  <c r="X6549" i="1"/>
  <c r="Y6549" i="1"/>
  <c r="Z6549" i="1"/>
  <c r="A6550" i="1"/>
  <c r="B6550" i="1"/>
  <c r="C6550" i="1"/>
  <c r="D6550" i="1"/>
  <c r="E6550" i="1"/>
  <c r="F6550" i="1"/>
  <c r="G6550" i="1"/>
  <c r="I6550" i="1"/>
  <c r="J6550" i="1"/>
  <c r="K6550" i="1"/>
  <c r="L6550" i="1"/>
  <c r="M6550" i="1"/>
  <c r="N6550" i="1"/>
  <c r="O6550" i="1"/>
  <c r="P6550" i="1"/>
  <c r="Q6550" i="1"/>
  <c r="R6550" i="1"/>
  <c r="S6550" i="1"/>
  <c r="T6550" i="1"/>
  <c r="U6550" i="1"/>
  <c r="V6550" i="1"/>
  <c r="W6550" i="1"/>
  <c r="X6550" i="1"/>
  <c r="Y6550" i="1"/>
  <c r="Z6550" i="1"/>
  <c r="A6551" i="1"/>
  <c r="B6551" i="1"/>
  <c r="C6551" i="1"/>
  <c r="D6551" i="1"/>
  <c r="E6551" i="1"/>
  <c r="F6551" i="1"/>
  <c r="G6551" i="1"/>
  <c r="I6551" i="1"/>
  <c r="J6551" i="1"/>
  <c r="K6551" i="1"/>
  <c r="L6551" i="1"/>
  <c r="M6551" i="1"/>
  <c r="N6551" i="1"/>
  <c r="O6551" i="1"/>
  <c r="P6551" i="1"/>
  <c r="Q6551" i="1"/>
  <c r="R6551" i="1"/>
  <c r="S6551" i="1"/>
  <c r="T6551" i="1"/>
  <c r="U6551" i="1"/>
  <c r="V6551" i="1"/>
  <c r="W6551" i="1"/>
  <c r="X6551" i="1"/>
  <c r="Y6551" i="1"/>
  <c r="Z6551" i="1"/>
  <c r="A6552" i="1"/>
  <c r="B6552" i="1"/>
  <c r="C6552" i="1"/>
  <c r="D6552" i="1"/>
  <c r="E6552" i="1"/>
  <c r="F6552" i="1"/>
  <c r="G6552" i="1"/>
  <c r="I6552" i="1"/>
  <c r="J6552" i="1"/>
  <c r="K6552" i="1"/>
  <c r="L6552" i="1"/>
  <c r="M6552" i="1"/>
  <c r="N6552" i="1"/>
  <c r="O6552" i="1"/>
  <c r="P6552" i="1"/>
  <c r="Q6552" i="1"/>
  <c r="R6552" i="1"/>
  <c r="S6552" i="1"/>
  <c r="T6552" i="1"/>
  <c r="U6552" i="1"/>
  <c r="V6552" i="1"/>
  <c r="W6552" i="1"/>
  <c r="X6552" i="1"/>
  <c r="Y6552" i="1"/>
  <c r="Z6552" i="1"/>
  <c r="A6553" i="1"/>
  <c r="B6553" i="1"/>
  <c r="C6553" i="1"/>
  <c r="D6553" i="1"/>
  <c r="E6553" i="1"/>
  <c r="F6553" i="1"/>
  <c r="G6553" i="1"/>
  <c r="I6553" i="1"/>
  <c r="J6553" i="1"/>
  <c r="K6553" i="1"/>
  <c r="L6553" i="1"/>
  <c r="M6553" i="1"/>
  <c r="N6553" i="1"/>
  <c r="O6553" i="1"/>
  <c r="P6553" i="1"/>
  <c r="Q6553" i="1"/>
  <c r="R6553" i="1"/>
  <c r="S6553" i="1"/>
  <c r="T6553" i="1"/>
  <c r="U6553" i="1"/>
  <c r="V6553" i="1"/>
  <c r="W6553" i="1"/>
  <c r="X6553" i="1"/>
  <c r="Y6553" i="1"/>
  <c r="Z6553" i="1"/>
  <c r="A6554" i="1"/>
  <c r="B6554" i="1"/>
  <c r="C6554" i="1"/>
  <c r="D6554" i="1"/>
  <c r="E6554" i="1"/>
  <c r="F6554" i="1"/>
  <c r="G6554" i="1"/>
  <c r="I6554" i="1"/>
  <c r="J6554" i="1"/>
  <c r="K6554" i="1"/>
  <c r="L6554" i="1"/>
  <c r="M6554" i="1"/>
  <c r="N6554" i="1"/>
  <c r="O6554" i="1"/>
  <c r="P6554" i="1"/>
  <c r="Q6554" i="1"/>
  <c r="R6554" i="1"/>
  <c r="S6554" i="1"/>
  <c r="T6554" i="1"/>
  <c r="U6554" i="1"/>
  <c r="V6554" i="1"/>
  <c r="W6554" i="1"/>
  <c r="X6554" i="1"/>
  <c r="Y6554" i="1"/>
  <c r="Z6554" i="1"/>
  <c r="A6555" i="1"/>
  <c r="B6555" i="1"/>
  <c r="C6555" i="1"/>
  <c r="D6555" i="1"/>
  <c r="E6555" i="1"/>
  <c r="F6555" i="1"/>
  <c r="G6555" i="1"/>
  <c r="I6555" i="1"/>
  <c r="J6555" i="1"/>
  <c r="K6555" i="1"/>
  <c r="L6555" i="1"/>
  <c r="M6555" i="1"/>
  <c r="N6555" i="1"/>
  <c r="O6555" i="1"/>
  <c r="P6555" i="1"/>
  <c r="Q6555" i="1"/>
  <c r="R6555" i="1"/>
  <c r="S6555" i="1"/>
  <c r="T6555" i="1"/>
  <c r="U6555" i="1"/>
  <c r="V6555" i="1"/>
  <c r="W6555" i="1"/>
  <c r="X6555" i="1"/>
  <c r="Y6555" i="1"/>
  <c r="Z6555" i="1"/>
  <c r="A6556" i="1"/>
  <c r="B6556" i="1"/>
  <c r="C6556" i="1"/>
  <c r="D6556" i="1"/>
  <c r="E6556" i="1"/>
  <c r="F6556" i="1"/>
  <c r="G6556" i="1"/>
  <c r="I6556" i="1"/>
  <c r="J6556" i="1"/>
  <c r="K6556" i="1"/>
  <c r="L6556" i="1"/>
  <c r="M6556" i="1"/>
  <c r="N6556" i="1"/>
  <c r="O6556" i="1"/>
  <c r="P6556" i="1"/>
  <c r="Q6556" i="1"/>
  <c r="R6556" i="1"/>
  <c r="S6556" i="1"/>
  <c r="T6556" i="1"/>
  <c r="U6556" i="1"/>
  <c r="V6556" i="1"/>
  <c r="W6556" i="1"/>
  <c r="X6556" i="1"/>
  <c r="Y6556" i="1"/>
  <c r="Z6556" i="1"/>
  <c r="A6557" i="1"/>
  <c r="B6557" i="1"/>
  <c r="C6557" i="1"/>
  <c r="D6557" i="1"/>
  <c r="E6557" i="1"/>
  <c r="F6557" i="1"/>
  <c r="G6557" i="1"/>
  <c r="I6557" i="1"/>
  <c r="J6557" i="1"/>
  <c r="K6557" i="1"/>
  <c r="L6557" i="1"/>
  <c r="M6557" i="1"/>
  <c r="N6557" i="1"/>
  <c r="O6557" i="1"/>
  <c r="P6557" i="1"/>
  <c r="Q6557" i="1"/>
  <c r="R6557" i="1"/>
  <c r="S6557" i="1"/>
  <c r="T6557" i="1"/>
  <c r="U6557" i="1"/>
  <c r="V6557" i="1"/>
  <c r="W6557" i="1"/>
  <c r="X6557" i="1"/>
  <c r="Y6557" i="1"/>
  <c r="Z6557" i="1"/>
  <c r="A6558" i="1"/>
  <c r="B6558" i="1"/>
  <c r="C6558" i="1"/>
  <c r="D6558" i="1"/>
  <c r="E6558" i="1"/>
  <c r="F6558" i="1"/>
  <c r="G6558" i="1"/>
  <c r="I6558" i="1"/>
  <c r="J6558" i="1"/>
  <c r="K6558" i="1"/>
  <c r="L6558" i="1"/>
  <c r="M6558" i="1"/>
  <c r="N6558" i="1"/>
  <c r="O6558" i="1"/>
  <c r="P6558" i="1"/>
  <c r="Q6558" i="1"/>
  <c r="R6558" i="1"/>
  <c r="S6558" i="1"/>
  <c r="T6558" i="1"/>
  <c r="U6558" i="1"/>
  <c r="V6558" i="1"/>
  <c r="W6558" i="1"/>
  <c r="X6558" i="1"/>
  <c r="Y6558" i="1"/>
  <c r="Z6558" i="1"/>
  <c r="A6559" i="1"/>
  <c r="B6559" i="1"/>
  <c r="C6559" i="1"/>
  <c r="D6559" i="1"/>
  <c r="E6559" i="1"/>
  <c r="F6559" i="1"/>
  <c r="G6559" i="1"/>
  <c r="I6559" i="1"/>
  <c r="J6559" i="1"/>
  <c r="K6559" i="1"/>
  <c r="L6559" i="1"/>
  <c r="M6559" i="1"/>
  <c r="N6559" i="1"/>
  <c r="O6559" i="1"/>
  <c r="P6559" i="1"/>
  <c r="Q6559" i="1"/>
  <c r="R6559" i="1"/>
  <c r="S6559" i="1"/>
  <c r="T6559" i="1"/>
  <c r="U6559" i="1"/>
  <c r="V6559" i="1"/>
  <c r="W6559" i="1"/>
  <c r="X6559" i="1"/>
  <c r="Y6559" i="1"/>
  <c r="Z6559" i="1"/>
  <c r="A6560" i="1"/>
  <c r="B6560" i="1"/>
  <c r="C6560" i="1"/>
  <c r="D6560" i="1"/>
  <c r="E6560" i="1"/>
  <c r="F6560" i="1"/>
  <c r="G6560" i="1"/>
  <c r="I6560" i="1"/>
  <c r="J6560" i="1"/>
  <c r="K6560" i="1"/>
  <c r="L6560" i="1"/>
  <c r="M6560" i="1"/>
  <c r="N6560" i="1"/>
  <c r="O6560" i="1"/>
  <c r="P6560" i="1"/>
  <c r="Q6560" i="1"/>
  <c r="R6560" i="1"/>
  <c r="S6560" i="1"/>
  <c r="T6560" i="1"/>
  <c r="U6560" i="1"/>
  <c r="V6560" i="1"/>
  <c r="W6560" i="1"/>
  <c r="X6560" i="1"/>
  <c r="Y6560" i="1"/>
  <c r="Z6560" i="1"/>
  <c r="A6561" i="1"/>
  <c r="B6561" i="1"/>
  <c r="C6561" i="1"/>
  <c r="D6561" i="1"/>
  <c r="E6561" i="1"/>
  <c r="F6561" i="1"/>
  <c r="G6561" i="1"/>
  <c r="I6561" i="1"/>
  <c r="J6561" i="1"/>
  <c r="K6561" i="1"/>
  <c r="L6561" i="1"/>
  <c r="M6561" i="1"/>
  <c r="N6561" i="1"/>
  <c r="O6561" i="1"/>
  <c r="P6561" i="1"/>
  <c r="Q6561" i="1"/>
  <c r="R6561" i="1"/>
  <c r="S6561" i="1"/>
  <c r="T6561" i="1"/>
  <c r="U6561" i="1"/>
  <c r="V6561" i="1"/>
  <c r="W6561" i="1"/>
  <c r="X6561" i="1"/>
  <c r="Y6561" i="1"/>
  <c r="Z6561" i="1"/>
  <c r="A6562" i="1"/>
  <c r="B6562" i="1"/>
  <c r="C6562" i="1"/>
  <c r="D6562" i="1"/>
  <c r="E6562" i="1"/>
  <c r="F6562" i="1"/>
  <c r="G6562" i="1"/>
  <c r="I6562" i="1"/>
  <c r="J6562" i="1"/>
  <c r="K6562" i="1"/>
  <c r="L6562" i="1"/>
  <c r="M6562" i="1"/>
  <c r="N6562" i="1"/>
  <c r="O6562" i="1"/>
  <c r="P6562" i="1"/>
  <c r="Q6562" i="1"/>
  <c r="R6562" i="1"/>
  <c r="S6562" i="1"/>
  <c r="T6562" i="1"/>
  <c r="U6562" i="1"/>
  <c r="V6562" i="1"/>
  <c r="W6562" i="1"/>
  <c r="X6562" i="1"/>
  <c r="Y6562" i="1"/>
  <c r="Z6562" i="1"/>
  <c r="A6563" i="1"/>
  <c r="B6563" i="1"/>
  <c r="C6563" i="1"/>
  <c r="D6563" i="1"/>
  <c r="E6563" i="1"/>
  <c r="F6563" i="1"/>
  <c r="G6563" i="1"/>
  <c r="I6563" i="1"/>
  <c r="J6563" i="1"/>
  <c r="K6563" i="1"/>
  <c r="L6563" i="1"/>
  <c r="M6563" i="1"/>
  <c r="N6563" i="1"/>
  <c r="O6563" i="1"/>
  <c r="P6563" i="1"/>
  <c r="Q6563" i="1"/>
  <c r="R6563" i="1"/>
  <c r="S6563" i="1"/>
  <c r="T6563" i="1"/>
  <c r="U6563" i="1"/>
  <c r="V6563" i="1"/>
  <c r="W6563" i="1"/>
  <c r="X6563" i="1"/>
  <c r="Y6563" i="1"/>
  <c r="Z6563" i="1"/>
  <c r="A6564" i="1"/>
  <c r="B6564" i="1"/>
  <c r="C6564" i="1"/>
  <c r="D6564" i="1"/>
  <c r="E6564" i="1"/>
  <c r="F6564" i="1"/>
  <c r="G6564" i="1"/>
  <c r="I6564" i="1"/>
  <c r="J6564" i="1"/>
  <c r="K6564" i="1"/>
  <c r="L6564" i="1"/>
  <c r="M6564" i="1"/>
  <c r="N6564" i="1"/>
  <c r="O6564" i="1"/>
  <c r="P6564" i="1"/>
  <c r="Q6564" i="1"/>
  <c r="R6564" i="1"/>
  <c r="S6564" i="1"/>
  <c r="T6564" i="1"/>
  <c r="U6564" i="1"/>
  <c r="V6564" i="1"/>
  <c r="W6564" i="1"/>
  <c r="X6564" i="1"/>
  <c r="Y6564" i="1"/>
  <c r="Z6564" i="1"/>
  <c r="A6565" i="1"/>
  <c r="B6565" i="1"/>
  <c r="C6565" i="1"/>
  <c r="D6565" i="1"/>
  <c r="E6565" i="1"/>
  <c r="F6565" i="1"/>
  <c r="G6565" i="1"/>
  <c r="I6565" i="1"/>
  <c r="J6565" i="1"/>
  <c r="K6565" i="1"/>
  <c r="L6565" i="1"/>
  <c r="M6565" i="1"/>
  <c r="N6565" i="1"/>
  <c r="O6565" i="1"/>
  <c r="P6565" i="1"/>
  <c r="Q6565" i="1"/>
  <c r="R6565" i="1"/>
  <c r="S6565" i="1"/>
  <c r="T6565" i="1"/>
  <c r="U6565" i="1"/>
  <c r="V6565" i="1"/>
  <c r="W6565" i="1"/>
  <c r="X6565" i="1"/>
  <c r="Y6565" i="1"/>
  <c r="Z6565" i="1"/>
  <c r="A6566" i="1"/>
  <c r="B6566" i="1"/>
  <c r="C6566" i="1"/>
  <c r="D6566" i="1"/>
  <c r="E6566" i="1"/>
  <c r="F6566" i="1"/>
  <c r="G6566" i="1"/>
  <c r="I6566" i="1"/>
  <c r="J6566" i="1"/>
  <c r="K6566" i="1"/>
  <c r="L6566" i="1"/>
  <c r="M6566" i="1"/>
  <c r="N6566" i="1"/>
  <c r="O6566" i="1"/>
  <c r="P6566" i="1"/>
  <c r="Q6566" i="1"/>
  <c r="R6566" i="1"/>
  <c r="S6566" i="1"/>
  <c r="T6566" i="1"/>
  <c r="U6566" i="1"/>
  <c r="V6566" i="1"/>
  <c r="W6566" i="1"/>
  <c r="X6566" i="1"/>
  <c r="Y6566" i="1"/>
  <c r="Z6566" i="1"/>
  <c r="A6567" i="1"/>
  <c r="B6567" i="1"/>
  <c r="C6567" i="1"/>
  <c r="D6567" i="1"/>
  <c r="E6567" i="1"/>
  <c r="F6567" i="1"/>
  <c r="G6567" i="1"/>
  <c r="I6567" i="1"/>
  <c r="J6567" i="1"/>
  <c r="K6567" i="1"/>
  <c r="L6567" i="1"/>
  <c r="M6567" i="1"/>
  <c r="N6567" i="1"/>
  <c r="O6567" i="1"/>
  <c r="P6567" i="1"/>
  <c r="Q6567" i="1"/>
  <c r="R6567" i="1"/>
  <c r="S6567" i="1"/>
  <c r="T6567" i="1"/>
  <c r="U6567" i="1"/>
  <c r="V6567" i="1"/>
  <c r="W6567" i="1"/>
  <c r="X6567" i="1"/>
  <c r="Y6567" i="1"/>
  <c r="Z6567" i="1"/>
  <c r="A6568" i="1"/>
  <c r="B6568" i="1"/>
  <c r="C6568" i="1"/>
  <c r="D6568" i="1"/>
  <c r="E6568" i="1"/>
  <c r="F6568" i="1"/>
  <c r="G6568" i="1"/>
  <c r="I6568" i="1"/>
  <c r="J6568" i="1"/>
  <c r="K6568" i="1"/>
  <c r="L6568" i="1"/>
  <c r="M6568" i="1"/>
  <c r="N6568" i="1"/>
  <c r="O6568" i="1"/>
  <c r="P6568" i="1"/>
  <c r="Q6568" i="1"/>
  <c r="R6568" i="1"/>
  <c r="S6568" i="1"/>
  <c r="T6568" i="1"/>
  <c r="U6568" i="1"/>
  <c r="V6568" i="1"/>
  <c r="W6568" i="1"/>
  <c r="X6568" i="1"/>
  <c r="Y6568" i="1"/>
  <c r="Z6568" i="1"/>
  <c r="A6569" i="1"/>
  <c r="B6569" i="1"/>
  <c r="C6569" i="1"/>
  <c r="D6569" i="1"/>
  <c r="E6569" i="1"/>
  <c r="F6569" i="1"/>
  <c r="G6569" i="1"/>
  <c r="I6569" i="1"/>
  <c r="J6569" i="1"/>
  <c r="K6569" i="1"/>
  <c r="L6569" i="1"/>
  <c r="M6569" i="1"/>
  <c r="N6569" i="1"/>
  <c r="O6569" i="1"/>
  <c r="P6569" i="1"/>
  <c r="Q6569" i="1"/>
  <c r="R6569" i="1"/>
  <c r="S6569" i="1"/>
  <c r="T6569" i="1"/>
  <c r="U6569" i="1"/>
  <c r="V6569" i="1"/>
  <c r="W6569" i="1"/>
  <c r="X6569" i="1"/>
  <c r="Y6569" i="1"/>
  <c r="Z6569" i="1"/>
  <c r="A6570" i="1"/>
  <c r="B6570" i="1"/>
  <c r="C6570" i="1"/>
  <c r="D6570" i="1"/>
  <c r="E6570" i="1"/>
  <c r="F6570" i="1"/>
  <c r="G6570" i="1"/>
  <c r="I6570" i="1"/>
  <c r="J6570" i="1"/>
  <c r="K6570" i="1"/>
  <c r="L6570" i="1"/>
  <c r="M6570" i="1"/>
  <c r="N6570" i="1"/>
  <c r="O6570" i="1"/>
  <c r="P6570" i="1"/>
  <c r="Q6570" i="1"/>
  <c r="R6570" i="1"/>
  <c r="S6570" i="1"/>
  <c r="T6570" i="1"/>
  <c r="U6570" i="1"/>
  <c r="V6570" i="1"/>
  <c r="W6570" i="1"/>
  <c r="X6570" i="1"/>
  <c r="Y6570" i="1"/>
  <c r="Z6570" i="1"/>
  <c r="A6571" i="1"/>
  <c r="B6571" i="1"/>
  <c r="C6571" i="1"/>
  <c r="D6571" i="1"/>
  <c r="E6571" i="1"/>
  <c r="F6571" i="1"/>
  <c r="G6571" i="1"/>
  <c r="I6571" i="1"/>
  <c r="J6571" i="1"/>
  <c r="K6571" i="1"/>
  <c r="L6571" i="1"/>
  <c r="M6571" i="1"/>
  <c r="N6571" i="1"/>
  <c r="O6571" i="1"/>
  <c r="P6571" i="1"/>
  <c r="Q6571" i="1"/>
  <c r="R6571" i="1"/>
  <c r="S6571" i="1"/>
  <c r="T6571" i="1"/>
  <c r="U6571" i="1"/>
  <c r="V6571" i="1"/>
  <c r="W6571" i="1"/>
  <c r="X6571" i="1"/>
  <c r="Y6571" i="1"/>
  <c r="Z6571" i="1"/>
  <c r="A6572" i="1"/>
  <c r="B6572" i="1"/>
  <c r="C6572" i="1"/>
  <c r="D6572" i="1"/>
  <c r="E6572" i="1"/>
  <c r="F6572" i="1"/>
  <c r="G6572" i="1"/>
  <c r="I6572" i="1"/>
  <c r="J6572" i="1"/>
  <c r="K6572" i="1"/>
  <c r="L6572" i="1"/>
  <c r="M6572" i="1"/>
  <c r="N6572" i="1"/>
  <c r="O6572" i="1"/>
  <c r="P6572" i="1"/>
  <c r="Q6572" i="1"/>
  <c r="R6572" i="1"/>
  <c r="S6572" i="1"/>
  <c r="T6572" i="1"/>
  <c r="U6572" i="1"/>
  <c r="V6572" i="1"/>
  <c r="W6572" i="1"/>
  <c r="X6572" i="1"/>
  <c r="Y6572" i="1"/>
  <c r="Z6572" i="1"/>
  <c r="A6573" i="1"/>
  <c r="B6573" i="1"/>
  <c r="C6573" i="1"/>
  <c r="D6573" i="1"/>
  <c r="E6573" i="1"/>
  <c r="F6573" i="1"/>
  <c r="G6573" i="1"/>
  <c r="I6573" i="1"/>
  <c r="J6573" i="1"/>
  <c r="K6573" i="1"/>
  <c r="L6573" i="1"/>
  <c r="M6573" i="1"/>
  <c r="N6573" i="1"/>
  <c r="O6573" i="1"/>
  <c r="P6573" i="1"/>
  <c r="Q6573" i="1"/>
  <c r="R6573" i="1"/>
  <c r="S6573" i="1"/>
  <c r="T6573" i="1"/>
  <c r="U6573" i="1"/>
  <c r="V6573" i="1"/>
  <c r="W6573" i="1"/>
  <c r="X6573" i="1"/>
  <c r="Y6573" i="1"/>
  <c r="Z6573" i="1"/>
  <c r="A6574" i="1"/>
  <c r="B6574" i="1"/>
  <c r="C6574" i="1"/>
  <c r="D6574" i="1"/>
  <c r="E6574" i="1"/>
  <c r="F6574" i="1"/>
  <c r="G6574" i="1"/>
  <c r="I6574" i="1"/>
  <c r="J6574" i="1"/>
  <c r="K6574" i="1"/>
  <c r="L6574" i="1"/>
  <c r="M6574" i="1"/>
  <c r="N6574" i="1"/>
  <c r="O6574" i="1"/>
  <c r="P6574" i="1"/>
  <c r="Q6574" i="1"/>
  <c r="R6574" i="1"/>
  <c r="S6574" i="1"/>
  <c r="T6574" i="1"/>
  <c r="U6574" i="1"/>
  <c r="V6574" i="1"/>
  <c r="W6574" i="1"/>
  <c r="X6574" i="1"/>
  <c r="Y6574" i="1"/>
  <c r="Z6574" i="1"/>
  <c r="A6575" i="1"/>
  <c r="B6575" i="1"/>
  <c r="C6575" i="1"/>
  <c r="D6575" i="1"/>
  <c r="E6575" i="1"/>
  <c r="F6575" i="1"/>
  <c r="G6575" i="1"/>
  <c r="I6575" i="1"/>
  <c r="J6575" i="1"/>
  <c r="K6575" i="1"/>
  <c r="L6575" i="1"/>
  <c r="M6575" i="1"/>
  <c r="N6575" i="1"/>
  <c r="O6575" i="1"/>
  <c r="P6575" i="1"/>
  <c r="Q6575" i="1"/>
  <c r="R6575" i="1"/>
  <c r="S6575" i="1"/>
  <c r="T6575" i="1"/>
  <c r="U6575" i="1"/>
  <c r="V6575" i="1"/>
  <c r="W6575" i="1"/>
  <c r="X6575" i="1"/>
  <c r="Y6575" i="1"/>
  <c r="Z6575" i="1"/>
  <c r="A6576" i="1"/>
  <c r="B6576" i="1"/>
  <c r="C6576" i="1"/>
  <c r="D6576" i="1"/>
  <c r="E6576" i="1"/>
  <c r="F6576" i="1"/>
  <c r="G6576" i="1"/>
  <c r="I6576" i="1"/>
  <c r="J6576" i="1"/>
  <c r="K6576" i="1"/>
  <c r="L6576" i="1"/>
  <c r="M6576" i="1"/>
  <c r="N6576" i="1"/>
  <c r="O6576" i="1"/>
  <c r="P6576" i="1"/>
  <c r="Q6576" i="1"/>
  <c r="R6576" i="1"/>
  <c r="S6576" i="1"/>
  <c r="T6576" i="1"/>
  <c r="U6576" i="1"/>
  <c r="V6576" i="1"/>
  <c r="W6576" i="1"/>
  <c r="X6576" i="1"/>
  <c r="Y6576" i="1"/>
  <c r="Z6576" i="1"/>
  <c r="A6577" i="1"/>
  <c r="B6577" i="1"/>
  <c r="C6577" i="1"/>
  <c r="D6577" i="1"/>
  <c r="E6577" i="1"/>
  <c r="F6577" i="1"/>
  <c r="G6577" i="1"/>
  <c r="I6577" i="1"/>
  <c r="J6577" i="1"/>
  <c r="K6577" i="1"/>
  <c r="L6577" i="1"/>
  <c r="M6577" i="1"/>
  <c r="N6577" i="1"/>
  <c r="O6577" i="1"/>
  <c r="P6577" i="1"/>
  <c r="Q6577" i="1"/>
  <c r="R6577" i="1"/>
  <c r="S6577" i="1"/>
  <c r="T6577" i="1"/>
  <c r="U6577" i="1"/>
  <c r="V6577" i="1"/>
  <c r="W6577" i="1"/>
  <c r="X6577" i="1"/>
  <c r="Y6577" i="1"/>
  <c r="Z6577" i="1"/>
  <c r="A6578" i="1"/>
  <c r="B6578" i="1"/>
  <c r="C6578" i="1"/>
  <c r="D6578" i="1"/>
  <c r="E6578" i="1"/>
  <c r="F6578" i="1"/>
  <c r="G6578" i="1"/>
  <c r="I6578" i="1"/>
  <c r="J6578" i="1"/>
  <c r="K6578" i="1"/>
  <c r="L6578" i="1"/>
  <c r="M6578" i="1"/>
  <c r="N6578" i="1"/>
  <c r="O6578" i="1"/>
  <c r="P6578" i="1"/>
  <c r="Q6578" i="1"/>
  <c r="R6578" i="1"/>
  <c r="S6578" i="1"/>
  <c r="T6578" i="1"/>
  <c r="U6578" i="1"/>
  <c r="V6578" i="1"/>
  <c r="W6578" i="1"/>
  <c r="X6578" i="1"/>
  <c r="Y6578" i="1"/>
  <c r="Z6578" i="1"/>
  <c r="A6579" i="1"/>
  <c r="B6579" i="1"/>
  <c r="C6579" i="1"/>
  <c r="D6579" i="1"/>
  <c r="E6579" i="1"/>
  <c r="F6579" i="1"/>
  <c r="G6579" i="1"/>
  <c r="I6579" i="1"/>
  <c r="J6579" i="1"/>
  <c r="K6579" i="1"/>
  <c r="L6579" i="1"/>
  <c r="M6579" i="1"/>
  <c r="N6579" i="1"/>
  <c r="O6579" i="1"/>
  <c r="P6579" i="1"/>
  <c r="Q6579" i="1"/>
  <c r="R6579" i="1"/>
  <c r="S6579" i="1"/>
  <c r="T6579" i="1"/>
  <c r="U6579" i="1"/>
  <c r="V6579" i="1"/>
  <c r="W6579" i="1"/>
  <c r="X6579" i="1"/>
  <c r="Y6579" i="1"/>
  <c r="Z6579" i="1"/>
  <c r="A6580" i="1"/>
  <c r="B6580" i="1"/>
  <c r="C6580" i="1"/>
  <c r="D6580" i="1"/>
  <c r="E6580" i="1"/>
  <c r="F6580" i="1"/>
  <c r="G6580" i="1"/>
  <c r="I6580" i="1"/>
  <c r="J6580" i="1"/>
  <c r="K6580" i="1"/>
  <c r="L6580" i="1"/>
  <c r="M6580" i="1"/>
  <c r="N6580" i="1"/>
  <c r="O6580" i="1"/>
  <c r="P6580" i="1"/>
  <c r="Q6580" i="1"/>
  <c r="R6580" i="1"/>
  <c r="S6580" i="1"/>
  <c r="T6580" i="1"/>
  <c r="U6580" i="1"/>
  <c r="V6580" i="1"/>
  <c r="W6580" i="1"/>
  <c r="X6580" i="1"/>
  <c r="Y6580" i="1"/>
  <c r="Z6580" i="1"/>
  <c r="A6581" i="1"/>
  <c r="B6581" i="1"/>
  <c r="C6581" i="1"/>
  <c r="D6581" i="1"/>
  <c r="E6581" i="1"/>
  <c r="F6581" i="1"/>
  <c r="G6581" i="1"/>
  <c r="I6581" i="1"/>
  <c r="J6581" i="1"/>
  <c r="K6581" i="1"/>
  <c r="L6581" i="1"/>
  <c r="M6581" i="1"/>
  <c r="N6581" i="1"/>
  <c r="O6581" i="1"/>
  <c r="P6581" i="1"/>
  <c r="Q6581" i="1"/>
  <c r="R6581" i="1"/>
  <c r="S6581" i="1"/>
  <c r="T6581" i="1"/>
  <c r="U6581" i="1"/>
  <c r="V6581" i="1"/>
  <c r="W6581" i="1"/>
  <c r="X6581" i="1"/>
  <c r="Y6581" i="1"/>
  <c r="Z6581" i="1"/>
  <c r="A6582" i="1"/>
  <c r="B6582" i="1"/>
  <c r="C6582" i="1"/>
  <c r="D6582" i="1"/>
  <c r="E6582" i="1"/>
  <c r="F6582" i="1"/>
  <c r="G6582" i="1"/>
  <c r="I6582" i="1"/>
  <c r="J6582" i="1"/>
  <c r="K6582" i="1"/>
  <c r="L6582" i="1"/>
  <c r="M6582" i="1"/>
  <c r="N6582" i="1"/>
  <c r="O6582" i="1"/>
  <c r="P6582" i="1"/>
  <c r="Q6582" i="1"/>
  <c r="R6582" i="1"/>
  <c r="S6582" i="1"/>
  <c r="T6582" i="1"/>
  <c r="U6582" i="1"/>
  <c r="V6582" i="1"/>
  <c r="W6582" i="1"/>
  <c r="X6582" i="1"/>
  <c r="Y6582" i="1"/>
  <c r="Z6582" i="1"/>
  <c r="A6583" i="1"/>
  <c r="B6583" i="1"/>
  <c r="C6583" i="1"/>
  <c r="D6583" i="1"/>
  <c r="E6583" i="1"/>
  <c r="F6583" i="1"/>
  <c r="G6583" i="1"/>
  <c r="I6583" i="1"/>
  <c r="J6583" i="1"/>
  <c r="K6583" i="1"/>
  <c r="L6583" i="1"/>
  <c r="M6583" i="1"/>
  <c r="N6583" i="1"/>
  <c r="O6583" i="1"/>
  <c r="P6583" i="1"/>
  <c r="Q6583" i="1"/>
  <c r="R6583" i="1"/>
  <c r="S6583" i="1"/>
  <c r="T6583" i="1"/>
  <c r="U6583" i="1"/>
  <c r="V6583" i="1"/>
  <c r="W6583" i="1"/>
  <c r="X6583" i="1"/>
  <c r="Y6583" i="1"/>
  <c r="Z6583" i="1"/>
  <c r="A6584" i="1"/>
  <c r="B6584" i="1"/>
  <c r="C6584" i="1"/>
  <c r="D6584" i="1"/>
  <c r="E6584" i="1"/>
  <c r="F6584" i="1"/>
  <c r="G6584" i="1"/>
  <c r="I6584" i="1"/>
  <c r="J6584" i="1"/>
  <c r="K6584" i="1"/>
  <c r="L6584" i="1"/>
  <c r="M6584" i="1"/>
  <c r="N6584" i="1"/>
  <c r="O6584" i="1"/>
  <c r="P6584" i="1"/>
  <c r="Q6584" i="1"/>
  <c r="R6584" i="1"/>
  <c r="S6584" i="1"/>
  <c r="T6584" i="1"/>
  <c r="U6584" i="1"/>
  <c r="V6584" i="1"/>
  <c r="W6584" i="1"/>
  <c r="X6584" i="1"/>
  <c r="Y6584" i="1"/>
  <c r="Z6584" i="1"/>
  <c r="A6585" i="1"/>
  <c r="B6585" i="1"/>
  <c r="C6585" i="1"/>
  <c r="D6585" i="1"/>
  <c r="E6585" i="1"/>
  <c r="F6585" i="1"/>
  <c r="G6585" i="1"/>
  <c r="I6585" i="1"/>
  <c r="J6585" i="1"/>
  <c r="K6585" i="1"/>
  <c r="L6585" i="1"/>
  <c r="M6585" i="1"/>
  <c r="N6585" i="1"/>
  <c r="O6585" i="1"/>
  <c r="P6585" i="1"/>
  <c r="Q6585" i="1"/>
  <c r="R6585" i="1"/>
  <c r="S6585" i="1"/>
  <c r="T6585" i="1"/>
  <c r="U6585" i="1"/>
  <c r="V6585" i="1"/>
  <c r="W6585" i="1"/>
  <c r="X6585" i="1"/>
  <c r="Y6585" i="1"/>
  <c r="Z6585" i="1"/>
  <c r="A6586" i="1"/>
  <c r="B6586" i="1"/>
  <c r="C6586" i="1"/>
  <c r="D6586" i="1"/>
  <c r="E6586" i="1"/>
  <c r="F6586" i="1"/>
  <c r="G6586" i="1"/>
  <c r="I6586" i="1"/>
  <c r="J6586" i="1"/>
  <c r="K6586" i="1"/>
  <c r="L6586" i="1"/>
  <c r="M6586" i="1"/>
  <c r="N6586" i="1"/>
  <c r="O6586" i="1"/>
  <c r="P6586" i="1"/>
  <c r="Q6586" i="1"/>
  <c r="R6586" i="1"/>
  <c r="S6586" i="1"/>
  <c r="T6586" i="1"/>
  <c r="U6586" i="1"/>
  <c r="V6586" i="1"/>
  <c r="W6586" i="1"/>
  <c r="X6586" i="1"/>
  <c r="Y6586" i="1"/>
  <c r="Z6586" i="1"/>
  <c r="A6587" i="1"/>
  <c r="B6587" i="1"/>
  <c r="C6587" i="1"/>
  <c r="D6587" i="1"/>
  <c r="E6587" i="1"/>
  <c r="F6587" i="1"/>
  <c r="G6587" i="1"/>
  <c r="I6587" i="1"/>
  <c r="J6587" i="1"/>
  <c r="K6587" i="1"/>
  <c r="L6587" i="1"/>
  <c r="M6587" i="1"/>
  <c r="N6587" i="1"/>
  <c r="O6587" i="1"/>
  <c r="P6587" i="1"/>
  <c r="Q6587" i="1"/>
  <c r="R6587" i="1"/>
  <c r="S6587" i="1"/>
  <c r="T6587" i="1"/>
  <c r="U6587" i="1"/>
  <c r="V6587" i="1"/>
  <c r="W6587" i="1"/>
  <c r="X6587" i="1"/>
  <c r="Y6587" i="1"/>
  <c r="Z6587" i="1"/>
  <c r="A6588" i="1"/>
  <c r="B6588" i="1"/>
  <c r="C6588" i="1"/>
  <c r="D6588" i="1"/>
  <c r="E6588" i="1"/>
  <c r="F6588" i="1"/>
  <c r="G6588" i="1"/>
  <c r="I6588" i="1"/>
  <c r="J6588" i="1"/>
  <c r="K6588" i="1"/>
  <c r="L6588" i="1"/>
  <c r="M6588" i="1"/>
  <c r="N6588" i="1"/>
  <c r="O6588" i="1"/>
  <c r="P6588" i="1"/>
  <c r="Q6588" i="1"/>
  <c r="R6588" i="1"/>
  <c r="S6588" i="1"/>
  <c r="T6588" i="1"/>
  <c r="U6588" i="1"/>
  <c r="V6588" i="1"/>
  <c r="W6588" i="1"/>
  <c r="X6588" i="1"/>
  <c r="Y6588" i="1"/>
  <c r="Z6588" i="1"/>
  <c r="A6589" i="1"/>
  <c r="B6589" i="1"/>
  <c r="C6589" i="1"/>
  <c r="D6589" i="1"/>
  <c r="E6589" i="1"/>
  <c r="F6589" i="1"/>
  <c r="G6589" i="1"/>
  <c r="I6589" i="1"/>
  <c r="J6589" i="1"/>
  <c r="K6589" i="1"/>
  <c r="L6589" i="1"/>
  <c r="M6589" i="1"/>
  <c r="N6589" i="1"/>
  <c r="O6589" i="1"/>
  <c r="P6589" i="1"/>
  <c r="Q6589" i="1"/>
  <c r="R6589" i="1"/>
  <c r="S6589" i="1"/>
  <c r="T6589" i="1"/>
  <c r="U6589" i="1"/>
  <c r="V6589" i="1"/>
  <c r="W6589" i="1"/>
  <c r="X6589" i="1"/>
  <c r="Y6589" i="1"/>
  <c r="Z6589" i="1"/>
  <c r="A6590" i="1"/>
  <c r="B6590" i="1"/>
  <c r="C6590" i="1"/>
  <c r="D6590" i="1"/>
  <c r="E6590" i="1"/>
  <c r="F6590" i="1"/>
  <c r="G6590" i="1"/>
  <c r="I6590" i="1"/>
  <c r="J6590" i="1"/>
  <c r="K6590" i="1"/>
  <c r="L6590" i="1"/>
  <c r="M6590" i="1"/>
  <c r="N6590" i="1"/>
  <c r="O6590" i="1"/>
  <c r="P6590" i="1"/>
  <c r="Q6590" i="1"/>
  <c r="R6590" i="1"/>
  <c r="S6590" i="1"/>
  <c r="T6590" i="1"/>
  <c r="U6590" i="1"/>
  <c r="V6590" i="1"/>
  <c r="W6590" i="1"/>
  <c r="X6590" i="1"/>
  <c r="Y6590" i="1"/>
  <c r="Z6590" i="1"/>
  <c r="A6591" i="1"/>
  <c r="B6591" i="1"/>
  <c r="C6591" i="1"/>
  <c r="D6591" i="1"/>
  <c r="E6591" i="1"/>
  <c r="F6591" i="1"/>
  <c r="G6591" i="1"/>
  <c r="I6591" i="1"/>
  <c r="J6591" i="1"/>
  <c r="K6591" i="1"/>
  <c r="L6591" i="1"/>
  <c r="M6591" i="1"/>
  <c r="N6591" i="1"/>
  <c r="O6591" i="1"/>
  <c r="P6591" i="1"/>
  <c r="Q6591" i="1"/>
  <c r="R6591" i="1"/>
  <c r="S6591" i="1"/>
  <c r="T6591" i="1"/>
  <c r="U6591" i="1"/>
  <c r="V6591" i="1"/>
  <c r="W6591" i="1"/>
  <c r="X6591" i="1"/>
  <c r="Y6591" i="1"/>
  <c r="Z6591" i="1"/>
  <c r="A6592" i="1"/>
  <c r="B6592" i="1"/>
  <c r="C6592" i="1"/>
  <c r="D6592" i="1"/>
  <c r="E6592" i="1"/>
  <c r="F6592" i="1"/>
  <c r="G6592" i="1"/>
  <c r="I6592" i="1"/>
  <c r="J6592" i="1"/>
  <c r="K6592" i="1"/>
  <c r="L6592" i="1"/>
  <c r="M6592" i="1"/>
  <c r="N6592" i="1"/>
  <c r="O6592" i="1"/>
  <c r="P6592" i="1"/>
  <c r="Q6592" i="1"/>
  <c r="R6592" i="1"/>
  <c r="S6592" i="1"/>
  <c r="T6592" i="1"/>
  <c r="U6592" i="1"/>
  <c r="V6592" i="1"/>
  <c r="W6592" i="1"/>
  <c r="X6592" i="1"/>
  <c r="Y6592" i="1"/>
  <c r="Z6592" i="1"/>
  <c r="A6593" i="1"/>
  <c r="B6593" i="1"/>
  <c r="C6593" i="1"/>
  <c r="D6593" i="1"/>
  <c r="E6593" i="1"/>
  <c r="F6593" i="1"/>
  <c r="G6593" i="1"/>
  <c r="I6593" i="1"/>
  <c r="J6593" i="1"/>
  <c r="K6593" i="1"/>
  <c r="L6593" i="1"/>
  <c r="M6593" i="1"/>
  <c r="N6593" i="1"/>
  <c r="O6593" i="1"/>
  <c r="P6593" i="1"/>
  <c r="Q6593" i="1"/>
  <c r="R6593" i="1"/>
  <c r="S6593" i="1"/>
  <c r="T6593" i="1"/>
  <c r="U6593" i="1"/>
  <c r="V6593" i="1"/>
  <c r="W6593" i="1"/>
  <c r="X6593" i="1"/>
  <c r="Y6593" i="1"/>
  <c r="Z6593" i="1"/>
  <c r="A6594" i="1"/>
  <c r="B6594" i="1"/>
  <c r="C6594" i="1"/>
  <c r="D6594" i="1"/>
  <c r="E6594" i="1"/>
  <c r="F6594" i="1"/>
  <c r="G6594" i="1"/>
  <c r="I6594" i="1"/>
  <c r="J6594" i="1"/>
  <c r="K6594" i="1"/>
  <c r="L6594" i="1"/>
  <c r="M6594" i="1"/>
  <c r="N6594" i="1"/>
  <c r="O6594" i="1"/>
  <c r="P6594" i="1"/>
  <c r="Q6594" i="1"/>
  <c r="R6594" i="1"/>
  <c r="S6594" i="1"/>
  <c r="T6594" i="1"/>
  <c r="U6594" i="1"/>
  <c r="V6594" i="1"/>
  <c r="W6594" i="1"/>
  <c r="X6594" i="1"/>
  <c r="Y6594" i="1"/>
  <c r="Z6594" i="1"/>
  <c r="A6595" i="1"/>
  <c r="B6595" i="1"/>
  <c r="C6595" i="1"/>
  <c r="D6595" i="1"/>
  <c r="E6595" i="1"/>
  <c r="F6595" i="1"/>
  <c r="G6595" i="1"/>
  <c r="I6595" i="1"/>
  <c r="J6595" i="1"/>
  <c r="K6595" i="1"/>
  <c r="L6595" i="1"/>
  <c r="M6595" i="1"/>
  <c r="N6595" i="1"/>
  <c r="O6595" i="1"/>
  <c r="P6595" i="1"/>
  <c r="Q6595" i="1"/>
  <c r="R6595" i="1"/>
  <c r="S6595" i="1"/>
  <c r="T6595" i="1"/>
  <c r="U6595" i="1"/>
  <c r="V6595" i="1"/>
  <c r="W6595" i="1"/>
  <c r="X6595" i="1"/>
  <c r="Y6595" i="1"/>
  <c r="Z6595" i="1"/>
  <c r="A6596" i="1"/>
  <c r="B6596" i="1"/>
  <c r="C6596" i="1"/>
  <c r="D6596" i="1"/>
  <c r="E6596" i="1"/>
  <c r="F6596" i="1"/>
  <c r="G6596" i="1"/>
  <c r="I6596" i="1"/>
  <c r="J6596" i="1"/>
  <c r="K6596" i="1"/>
  <c r="L6596" i="1"/>
  <c r="M6596" i="1"/>
  <c r="N6596" i="1"/>
  <c r="O6596" i="1"/>
  <c r="P6596" i="1"/>
  <c r="Q6596" i="1"/>
  <c r="R6596" i="1"/>
  <c r="S6596" i="1"/>
  <c r="T6596" i="1"/>
  <c r="U6596" i="1"/>
  <c r="V6596" i="1"/>
  <c r="W6596" i="1"/>
  <c r="X6596" i="1"/>
  <c r="Y6596" i="1"/>
  <c r="Z6596" i="1"/>
  <c r="A6597" i="1"/>
  <c r="B6597" i="1"/>
  <c r="C6597" i="1"/>
  <c r="D6597" i="1"/>
  <c r="E6597" i="1"/>
  <c r="F6597" i="1"/>
  <c r="G6597" i="1"/>
  <c r="I6597" i="1"/>
  <c r="J6597" i="1"/>
  <c r="K6597" i="1"/>
  <c r="L6597" i="1"/>
  <c r="M6597" i="1"/>
  <c r="N6597" i="1"/>
  <c r="O6597" i="1"/>
  <c r="P6597" i="1"/>
  <c r="Q6597" i="1"/>
  <c r="R6597" i="1"/>
  <c r="S6597" i="1"/>
  <c r="T6597" i="1"/>
  <c r="U6597" i="1"/>
  <c r="V6597" i="1"/>
  <c r="W6597" i="1"/>
  <c r="X6597" i="1"/>
  <c r="Y6597" i="1"/>
  <c r="Z6597" i="1"/>
  <c r="A6598" i="1"/>
  <c r="B6598" i="1"/>
  <c r="C6598" i="1"/>
  <c r="D6598" i="1"/>
  <c r="E6598" i="1"/>
  <c r="F6598" i="1"/>
  <c r="G6598" i="1"/>
  <c r="I6598" i="1"/>
  <c r="J6598" i="1"/>
  <c r="K6598" i="1"/>
  <c r="L6598" i="1"/>
  <c r="M6598" i="1"/>
  <c r="N6598" i="1"/>
  <c r="O6598" i="1"/>
  <c r="P6598" i="1"/>
  <c r="Q6598" i="1"/>
  <c r="R6598" i="1"/>
  <c r="S6598" i="1"/>
  <c r="T6598" i="1"/>
  <c r="U6598" i="1"/>
  <c r="V6598" i="1"/>
  <c r="W6598" i="1"/>
  <c r="X6598" i="1"/>
  <c r="Y6598" i="1"/>
  <c r="Z6598" i="1"/>
  <c r="A6599" i="1"/>
  <c r="B6599" i="1"/>
  <c r="C6599" i="1"/>
  <c r="D6599" i="1"/>
  <c r="E6599" i="1"/>
  <c r="F6599" i="1"/>
  <c r="G6599" i="1"/>
  <c r="I6599" i="1"/>
  <c r="J6599" i="1"/>
  <c r="K6599" i="1"/>
  <c r="L6599" i="1"/>
  <c r="M6599" i="1"/>
  <c r="N6599" i="1"/>
  <c r="O6599" i="1"/>
  <c r="P6599" i="1"/>
  <c r="Q6599" i="1"/>
  <c r="R6599" i="1"/>
  <c r="S6599" i="1"/>
  <c r="T6599" i="1"/>
  <c r="U6599" i="1"/>
  <c r="V6599" i="1"/>
  <c r="W6599" i="1"/>
  <c r="X6599" i="1"/>
  <c r="Y6599" i="1"/>
  <c r="Z6599" i="1"/>
  <c r="A6600" i="1"/>
  <c r="B6600" i="1"/>
  <c r="C6600" i="1"/>
  <c r="D6600" i="1"/>
  <c r="E6600" i="1"/>
  <c r="F6600" i="1"/>
  <c r="G6600" i="1"/>
  <c r="I6600" i="1"/>
  <c r="J6600" i="1"/>
  <c r="K6600" i="1"/>
  <c r="L6600" i="1"/>
  <c r="M6600" i="1"/>
  <c r="N6600" i="1"/>
  <c r="O6600" i="1"/>
  <c r="P6600" i="1"/>
  <c r="Q6600" i="1"/>
  <c r="R6600" i="1"/>
  <c r="S6600" i="1"/>
  <c r="T6600" i="1"/>
  <c r="U6600" i="1"/>
  <c r="V6600" i="1"/>
  <c r="W6600" i="1"/>
  <c r="X6600" i="1"/>
  <c r="Y6600" i="1"/>
  <c r="Z6600" i="1"/>
  <c r="A6601" i="1"/>
  <c r="B6601" i="1"/>
  <c r="C6601" i="1"/>
  <c r="D6601" i="1"/>
  <c r="E6601" i="1"/>
  <c r="F6601" i="1"/>
  <c r="G6601" i="1"/>
  <c r="I6601" i="1"/>
  <c r="J6601" i="1"/>
  <c r="K6601" i="1"/>
  <c r="L6601" i="1"/>
  <c r="M6601" i="1"/>
  <c r="N6601" i="1"/>
  <c r="O6601" i="1"/>
  <c r="P6601" i="1"/>
  <c r="Q6601" i="1"/>
  <c r="R6601" i="1"/>
  <c r="S6601" i="1"/>
  <c r="T6601" i="1"/>
  <c r="U6601" i="1"/>
  <c r="V6601" i="1"/>
  <c r="W6601" i="1"/>
  <c r="X6601" i="1"/>
  <c r="Y6601" i="1"/>
  <c r="Z6601" i="1"/>
  <c r="A6602" i="1"/>
  <c r="B6602" i="1"/>
  <c r="C6602" i="1"/>
  <c r="D6602" i="1"/>
  <c r="E6602" i="1"/>
  <c r="F6602" i="1"/>
  <c r="G6602" i="1"/>
  <c r="I6602" i="1"/>
  <c r="J6602" i="1"/>
  <c r="K6602" i="1"/>
  <c r="L6602" i="1"/>
  <c r="M6602" i="1"/>
  <c r="N6602" i="1"/>
  <c r="O6602" i="1"/>
  <c r="P6602" i="1"/>
  <c r="Q6602" i="1"/>
  <c r="R6602" i="1"/>
  <c r="S6602" i="1"/>
  <c r="T6602" i="1"/>
  <c r="U6602" i="1"/>
  <c r="V6602" i="1"/>
  <c r="W6602" i="1"/>
  <c r="X6602" i="1"/>
  <c r="Y6602" i="1"/>
  <c r="Z6602" i="1"/>
  <c r="A6603" i="1"/>
  <c r="B6603" i="1"/>
  <c r="C6603" i="1"/>
  <c r="D6603" i="1"/>
  <c r="E6603" i="1"/>
  <c r="F6603" i="1"/>
  <c r="G6603" i="1"/>
  <c r="I6603" i="1"/>
  <c r="J6603" i="1"/>
  <c r="K6603" i="1"/>
  <c r="L6603" i="1"/>
  <c r="M6603" i="1"/>
  <c r="N6603" i="1"/>
  <c r="O6603" i="1"/>
  <c r="P6603" i="1"/>
  <c r="Q6603" i="1"/>
  <c r="R6603" i="1"/>
  <c r="S6603" i="1"/>
  <c r="T6603" i="1"/>
  <c r="U6603" i="1"/>
  <c r="V6603" i="1"/>
  <c r="W6603" i="1"/>
  <c r="X6603" i="1"/>
  <c r="Y6603" i="1"/>
  <c r="Z6603" i="1"/>
  <c r="A6604" i="1"/>
  <c r="B6604" i="1"/>
  <c r="C6604" i="1"/>
  <c r="D6604" i="1"/>
  <c r="E6604" i="1"/>
  <c r="F6604" i="1"/>
  <c r="G6604" i="1"/>
  <c r="I6604" i="1"/>
  <c r="J6604" i="1"/>
  <c r="K6604" i="1"/>
  <c r="L6604" i="1"/>
  <c r="M6604" i="1"/>
  <c r="N6604" i="1"/>
  <c r="O6604" i="1"/>
  <c r="P6604" i="1"/>
  <c r="Q6604" i="1"/>
  <c r="R6604" i="1"/>
  <c r="S6604" i="1"/>
  <c r="T6604" i="1"/>
  <c r="U6604" i="1"/>
  <c r="V6604" i="1"/>
  <c r="W6604" i="1"/>
  <c r="X6604" i="1"/>
  <c r="Y6604" i="1"/>
  <c r="Z6604" i="1"/>
  <c r="A6605" i="1"/>
  <c r="B6605" i="1"/>
  <c r="C6605" i="1"/>
  <c r="D6605" i="1"/>
  <c r="E6605" i="1"/>
  <c r="F6605" i="1"/>
  <c r="G6605" i="1"/>
  <c r="I6605" i="1"/>
  <c r="J6605" i="1"/>
  <c r="K6605" i="1"/>
  <c r="L6605" i="1"/>
  <c r="M6605" i="1"/>
  <c r="N6605" i="1"/>
  <c r="O6605" i="1"/>
  <c r="P6605" i="1"/>
  <c r="Q6605" i="1"/>
  <c r="R6605" i="1"/>
  <c r="S6605" i="1"/>
  <c r="T6605" i="1"/>
  <c r="U6605" i="1"/>
  <c r="V6605" i="1"/>
  <c r="W6605" i="1"/>
  <c r="X6605" i="1"/>
  <c r="Y6605" i="1"/>
  <c r="Z6605" i="1"/>
  <c r="A6606" i="1"/>
  <c r="B6606" i="1"/>
  <c r="C6606" i="1"/>
  <c r="D6606" i="1"/>
  <c r="E6606" i="1"/>
  <c r="F6606" i="1"/>
  <c r="G6606" i="1"/>
  <c r="I6606" i="1"/>
  <c r="J6606" i="1"/>
  <c r="K6606" i="1"/>
  <c r="L6606" i="1"/>
  <c r="M6606" i="1"/>
  <c r="N6606" i="1"/>
  <c r="O6606" i="1"/>
  <c r="P6606" i="1"/>
  <c r="Q6606" i="1"/>
  <c r="R6606" i="1"/>
  <c r="S6606" i="1"/>
  <c r="T6606" i="1"/>
  <c r="U6606" i="1"/>
  <c r="V6606" i="1"/>
  <c r="W6606" i="1"/>
  <c r="X6606" i="1"/>
  <c r="Y6606" i="1"/>
  <c r="Z6606" i="1"/>
  <c r="A6607" i="1"/>
  <c r="B6607" i="1"/>
  <c r="C6607" i="1"/>
  <c r="D6607" i="1"/>
  <c r="E6607" i="1"/>
  <c r="F6607" i="1"/>
  <c r="G6607" i="1"/>
  <c r="I6607" i="1"/>
  <c r="J6607" i="1"/>
  <c r="K6607" i="1"/>
  <c r="L6607" i="1"/>
  <c r="M6607" i="1"/>
  <c r="N6607" i="1"/>
  <c r="O6607" i="1"/>
  <c r="P6607" i="1"/>
  <c r="Q6607" i="1"/>
  <c r="R6607" i="1"/>
  <c r="S6607" i="1"/>
  <c r="T6607" i="1"/>
  <c r="U6607" i="1"/>
  <c r="V6607" i="1"/>
  <c r="W6607" i="1"/>
  <c r="X6607" i="1"/>
  <c r="Y6607" i="1"/>
  <c r="Z6607" i="1"/>
  <c r="A6608" i="1"/>
  <c r="B6608" i="1"/>
  <c r="C6608" i="1"/>
  <c r="D6608" i="1"/>
  <c r="E6608" i="1"/>
  <c r="F6608" i="1"/>
  <c r="G6608" i="1"/>
  <c r="I6608" i="1"/>
  <c r="J6608" i="1"/>
  <c r="K6608" i="1"/>
  <c r="L6608" i="1"/>
  <c r="M6608" i="1"/>
  <c r="N6608" i="1"/>
  <c r="O6608" i="1"/>
  <c r="P6608" i="1"/>
  <c r="Q6608" i="1"/>
  <c r="R6608" i="1"/>
  <c r="S6608" i="1"/>
  <c r="T6608" i="1"/>
  <c r="U6608" i="1"/>
  <c r="V6608" i="1"/>
  <c r="W6608" i="1"/>
  <c r="X6608" i="1"/>
  <c r="Y6608" i="1"/>
  <c r="Z6608" i="1"/>
  <c r="A6609" i="1"/>
  <c r="B6609" i="1"/>
  <c r="C6609" i="1"/>
  <c r="D6609" i="1"/>
  <c r="E6609" i="1"/>
  <c r="F6609" i="1"/>
  <c r="G6609" i="1"/>
  <c r="I6609" i="1"/>
  <c r="J6609" i="1"/>
  <c r="K6609" i="1"/>
  <c r="L6609" i="1"/>
  <c r="M6609" i="1"/>
  <c r="N6609" i="1"/>
  <c r="O6609" i="1"/>
  <c r="P6609" i="1"/>
  <c r="Q6609" i="1"/>
  <c r="R6609" i="1"/>
  <c r="S6609" i="1"/>
  <c r="T6609" i="1"/>
  <c r="U6609" i="1"/>
  <c r="V6609" i="1"/>
  <c r="W6609" i="1"/>
  <c r="X6609" i="1"/>
  <c r="Y6609" i="1"/>
  <c r="Z6609" i="1"/>
  <c r="A6610" i="1"/>
  <c r="B6610" i="1"/>
  <c r="C6610" i="1"/>
  <c r="D6610" i="1"/>
  <c r="E6610" i="1"/>
  <c r="F6610" i="1"/>
  <c r="G6610" i="1"/>
  <c r="I6610" i="1"/>
  <c r="J6610" i="1"/>
  <c r="K6610" i="1"/>
  <c r="L6610" i="1"/>
  <c r="M6610" i="1"/>
  <c r="N6610" i="1"/>
  <c r="O6610" i="1"/>
  <c r="P6610" i="1"/>
  <c r="Q6610" i="1"/>
  <c r="R6610" i="1"/>
  <c r="S6610" i="1"/>
  <c r="T6610" i="1"/>
  <c r="U6610" i="1"/>
  <c r="V6610" i="1"/>
  <c r="W6610" i="1"/>
  <c r="X6610" i="1"/>
  <c r="Y6610" i="1"/>
  <c r="Z6610" i="1"/>
  <c r="A6611" i="1"/>
  <c r="B6611" i="1"/>
  <c r="C6611" i="1"/>
  <c r="D6611" i="1"/>
  <c r="E6611" i="1"/>
  <c r="F6611" i="1"/>
  <c r="G6611" i="1"/>
  <c r="I6611" i="1"/>
  <c r="J6611" i="1"/>
  <c r="K6611" i="1"/>
  <c r="L6611" i="1"/>
  <c r="M6611" i="1"/>
  <c r="N6611" i="1"/>
  <c r="O6611" i="1"/>
  <c r="P6611" i="1"/>
  <c r="Q6611" i="1"/>
  <c r="R6611" i="1"/>
  <c r="S6611" i="1"/>
  <c r="T6611" i="1"/>
  <c r="U6611" i="1"/>
  <c r="V6611" i="1"/>
  <c r="W6611" i="1"/>
  <c r="X6611" i="1"/>
  <c r="Y6611" i="1"/>
  <c r="Z6611" i="1"/>
  <c r="A6612" i="1"/>
  <c r="B6612" i="1"/>
  <c r="C6612" i="1"/>
  <c r="D6612" i="1"/>
  <c r="E6612" i="1"/>
  <c r="F6612" i="1"/>
  <c r="G6612" i="1"/>
  <c r="I6612" i="1"/>
  <c r="J6612" i="1"/>
  <c r="K6612" i="1"/>
  <c r="L6612" i="1"/>
  <c r="M6612" i="1"/>
  <c r="N6612" i="1"/>
  <c r="O6612" i="1"/>
  <c r="P6612" i="1"/>
  <c r="Q6612" i="1"/>
  <c r="R6612" i="1"/>
  <c r="S6612" i="1"/>
  <c r="T6612" i="1"/>
  <c r="U6612" i="1"/>
  <c r="V6612" i="1"/>
  <c r="W6612" i="1"/>
  <c r="X6612" i="1"/>
  <c r="Y6612" i="1"/>
  <c r="Z6612" i="1"/>
  <c r="A6613" i="1"/>
  <c r="B6613" i="1"/>
  <c r="C6613" i="1"/>
  <c r="D6613" i="1"/>
  <c r="E6613" i="1"/>
  <c r="F6613" i="1"/>
  <c r="G6613" i="1"/>
  <c r="I6613" i="1"/>
  <c r="J6613" i="1"/>
  <c r="K6613" i="1"/>
  <c r="L6613" i="1"/>
  <c r="M6613" i="1"/>
  <c r="N6613" i="1"/>
  <c r="O6613" i="1"/>
  <c r="P6613" i="1"/>
  <c r="Q6613" i="1"/>
  <c r="R6613" i="1"/>
  <c r="S6613" i="1"/>
  <c r="T6613" i="1"/>
  <c r="U6613" i="1"/>
  <c r="V6613" i="1"/>
  <c r="W6613" i="1"/>
  <c r="X6613" i="1"/>
  <c r="Y6613" i="1"/>
  <c r="Z6613" i="1"/>
  <c r="A6614" i="1"/>
  <c r="B6614" i="1"/>
  <c r="C6614" i="1"/>
  <c r="D6614" i="1"/>
  <c r="E6614" i="1"/>
  <c r="F6614" i="1"/>
  <c r="G6614" i="1"/>
  <c r="I6614" i="1"/>
  <c r="J6614" i="1"/>
  <c r="K6614" i="1"/>
  <c r="L6614" i="1"/>
  <c r="M6614" i="1"/>
  <c r="N6614" i="1"/>
  <c r="O6614" i="1"/>
  <c r="P6614" i="1"/>
  <c r="Q6614" i="1"/>
  <c r="R6614" i="1"/>
  <c r="S6614" i="1"/>
  <c r="T6614" i="1"/>
  <c r="U6614" i="1"/>
  <c r="V6614" i="1"/>
  <c r="W6614" i="1"/>
  <c r="X6614" i="1"/>
  <c r="Y6614" i="1"/>
  <c r="Z6614" i="1"/>
  <c r="A6615" i="1"/>
  <c r="B6615" i="1"/>
  <c r="C6615" i="1"/>
  <c r="D6615" i="1"/>
  <c r="E6615" i="1"/>
  <c r="F6615" i="1"/>
  <c r="G6615" i="1"/>
  <c r="I6615" i="1"/>
  <c r="J6615" i="1"/>
  <c r="K6615" i="1"/>
  <c r="L6615" i="1"/>
  <c r="M6615" i="1"/>
  <c r="N6615" i="1"/>
  <c r="O6615" i="1"/>
  <c r="P6615" i="1"/>
  <c r="Q6615" i="1"/>
  <c r="R6615" i="1"/>
  <c r="S6615" i="1"/>
  <c r="T6615" i="1"/>
  <c r="U6615" i="1"/>
  <c r="V6615" i="1"/>
  <c r="W6615" i="1"/>
  <c r="X6615" i="1"/>
  <c r="Y6615" i="1"/>
  <c r="Z6615" i="1"/>
  <c r="A6616" i="1"/>
  <c r="B6616" i="1"/>
  <c r="C6616" i="1"/>
  <c r="D6616" i="1"/>
  <c r="E6616" i="1"/>
  <c r="F6616" i="1"/>
  <c r="G6616" i="1"/>
  <c r="I6616" i="1"/>
  <c r="J6616" i="1"/>
  <c r="K6616" i="1"/>
  <c r="L6616" i="1"/>
  <c r="M6616" i="1"/>
  <c r="N6616" i="1"/>
  <c r="O6616" i="1"/>
  <c r="P6616" i="1"/>
  <c r="Q6616" i="1"/>
  <c r="R6616" i="1"/>
  <c r="S6616" i="1"/>
  <c r="T6616" i="1"/>
  <c r="U6616" i="1"/>
  <c r="V6616" i="1"/>
  <c r="W6616" i="1"/>
  <c r="X6616" i="1"/>
  <c r="Y6616" i="1"/>
  <c r="Z6616" i="1"/>
  <c r="A6617" i="1"/>
  <c r="B6617" i="1"/>
  <c r="C6617" i="1"/>
  <c r="D6617" i="1"/>
  <c r="E6617" i="1"/>
  <c r="F6617" i="1"/>
  <c r="G6617" i="1"/>
  <c r="I6617" i="1"/>
  <c r="J6617" i="1"/>
  <c r="K6617" i="1"/>
  <c r="L6617" i="1"/>
  <c r="M6617" i="1"/>
  <c r="N6617" i="1"/>
  <c r="O6617" i="1"/>
  <c r="P6617" i="1"/>
  <c r="Q6617" i="1"/>
  <c r="R6617" i="1"/>
  <c r="S6617" i="1"/>
  <c r="T6617" i="1"/>
  <c r="U6617" i="1"/>
  <c r="V6617" i="1"/>
  <c r="W6617" i="1"/>
  <c r="X6617" i="1"/>
  <c r="Y6617" i="1"/>
  <c r="Z6617" i="1"/>
  <c r="A6618" i="1"/>
  <c r="B6618" i="1"/>
  <c r="C6618" i="1"/>
  <c r="D6618" i="1"/>
  <c r="E6618" i="1"/>
  <c r="F6618" i="1"/>
  <c r="G6618" i="1"/>
  <c r="I6618" i="1"/>
  <c r="J6618" i="1"/>
  <c r="K6618" i="1"/>
  <c r="L6618" i="1"/>
  <c r="M6618" i="1"/>
  <c r="N6618" i="1"/>
  <c r="O6618" i="1"/>
  <c r="P6618" i="1"/>
  <c r="Q6618" i="1"/>
  <c r="R6618" i="1"/>
  <c r="S6618" i="1"/>
  <c r="T6618" i="1"/>
  <c r="U6618" i="1"/>
  <c r="V6618" i="1"/>
  <c r="W6618" i="1"/>
  <c r="X6618" i="1"/>
  <c r="Y6618" i="1"/>
  <c r="Z6618" i="1"/>
  <c r="A6619" i="1"/>
  <c r="B6619" i="1"/>
  <c r="C6619" i="1"/>
  <c r="D6619" i="1"/>
  <c r="E6619" i="1"/>
  <c r="F6619" i="1"/>
  <c r="G6619" i="1"/>
  <c r="I6619" i="1"/>
  <c r="J6619" i="1"/>
  <c r="K6619" i="1"/>
  <c r="L6619" i="1"/>
  <c r="M6619" i="1"/>
  <c r="N6619" i="1"/>
  <c r="O6619" i="1"/>
  <c r="P6619" i="1"/>
  <c r="Q6619" i="1"/>
  <c r="R6619" i="1"/>
  <c r="S6619" i="1"/>
  <c r="T6619" i="1"/>
  <c r="U6619" i="1"/>
  <c r="V6619" i="1"/>
  <c r="W6619" i="1"/>
  <c r="X6619" i="1"/>
  <c r="Y6619" i="1"/>
  <c r="Z6619" i="1"/>
  <c r="A6620" i="1"/>
  <c r="B6620" i="1"/>
  <c r="C6620" i="1"/>
  <c r="D6620" i="1"/>
  <c r="E6620" i="1"/>
  <c r="F6620" i="1"/>
  <c r="G6620" i="1"/>
  <c r="I6620" i="1"/>
  <c r="J6620" i="1"/>
  <c r="K6620" i="1"/>
  <c r="L6620" i="1"/>
  <c r="M6620" i="1"/>
  <c r="N6620" i="1"/>
  <c r="O6620" i="1"/>
  <c r="P6620" i="1"/>
  <c r="Q6620" i="1"/>
  <c r="R6620" i="1"/>
  <c r="S6620" i="1"/>
  <c r="T6620" i="1"/>
  <c r="U6620" i="1"/>
  <c r="V6620" i="1"/>
  <c r="W6620" i="1"/>
  <c r="X6620" i="1"/>
  <c r="Y6620" i="1"/>
  <c r="Z6620" i="1"/>
  <c r="A6621" i="1"/>
  <c r="B6621" i="1"/>
  <c r="C6621" i="1"/>
  <c r="D6621" i="1"/>
  <c r="E6621" i="1"/>
  <c r="F6621" i="1"/>
  <c r="G6621" i="1"/>
  <c r="I6621" i="1"/>
  <c r="J6621" i="1"/>
  <c r="K6621" i="1"/>
  <c r="L6621" i="1"/>
  <c r="M6621" i="1"/>
  <c r="N6621" i="1"/>
  <c r="O6621" i="1"/>
  <c r="P6621" i="1"/>
  <c r="Q6621" i="1"/>
  <c r="R6621" i="1"/>
  <c r="S6621" i="1"/>
  <c r="T6621" i="1"/>
  <c r="U6621" i="1"/>
  <c r="V6621" i="1"/>
  <c r="W6621" i="1"/>
  <c r="X6621" i="1"/>
  <c r="Y6621" i="1"/>
  <c r="Z6621" i="1"/>
  <c r="A6622" i="1"/>
  <c r="B6622" i="1"/>
  <c r="C6622" i="1"/>
  <c r="D6622" i="1"/>
  <c r="E6622" i="1"/>
  <c r="F6622" i="1"/>
  <c r="G6622" i="1"/>
  <c r="I6622" i="1"/>
  <c r="J6622" i="1"/>
  <c r="K6622" i="1"/>
  <c r="L6622" i="1"/>
  <c r="M6622" i="1"/>
  <c r="N6622" i="1"/>
  <c r="O6622" i="1"/>
  <c r="P6622" i="1"/>
  <c r="Q6622" i="1"/>
  <c r="R6622" i="1"/>
  <c r="S6622" i="1"/>
  <c r="T6622" i="1"/>
  <c r="U6622" i="1"/>
  <c r="V6622" i="1"/>
  <c r="W6622" i="1"/>
  <c r="X6622" i="1"/>
  <c r="Y6622" i="1"/>
  <c r="Z6622" i="1"/>
  <c r="A6623" i="1"/>
  <c r="B6623" i="1"/>
  <c r="C6623" i="1"/>
  <c r="D6623" i="1"/>
  <c r="E6623" i="1"/>
  <c r="F6623" i="1"/>
  <c r="G6623" i="1"/>
  <c r="I6623" i="1"/>
  <c r="J6623" i="1"/>
  <c r="K6623" i="1"/>
  <c r="L6623" i="1"/>
  <c r="M6623" i="1"/>
  <c r="N6623" i="1"/>
  <c r="O6623" i="1"/>
  <c r="P6623" i="1"/>
  <c r="Q6623" i="1"/>
  <c r="R6623" i="1"/>
  <c r="S6623" i="1"/>
  <c r="T6623" i="1"/>
  <c r="U6623" i="1"/>
  <c r="V6623" i="1"/>
  <c r="W6623" i="1"/>
  <c r="X6623" i="1"/>
  <c r="Y6623" i="1"/>
  <c r="Z6623" i="1"/>
  <c r="A6624" i="1"/>
  <c r="B6624" i="1"/>
  <c r="C6624" i="1"/>
  <c r="D6624" i="1"/>
  <c r="E6624" i="1"/>
  <c r="F6624" i="1"/>
  <c r="G6624" i="1"/>
  <c r="I6624" i="1"/>
  <c r="J6624" i="1"/>
  <c r="K6624" i="1"/>
  <c r="L6624" i="1"/>
  <c r="M6624" i="1"/>
  <c r="N6624" i="1"/>
  <c r="O6624" i="1"/>
  <c r="P6624" i="1"/>
  <c r="Q6624" i="1"/>
  <c r="R6624" i="1"/>
  <c r="S6624" i="1"/>
  <c r="T6624" i="1"/>
  <c r="U6624" i="1"/>
  <c r="V6624" i="1"/>
  <c r="W6624" i="1"/>
  <c r="X6624" i="1"/>
  <c r="Y6624" i="1"/>
  <c r="Z6624" i="1"/>
  <c r="A6625" i="1"/>
  <c r="B6625" i="1"/>
  <c r="C6625" i="1"/>
  <c r="D6625" i="1"/>
  <c r="E6625" i="1"/>
  <c r="F6625" i="1"/>
  <c r="G6625" i="1"/>
  <c r="I6625" i="1"/>
  <c r="J6625" i="1"/>
  <c r="K6625" i="1"/>
  <c r="L6625" i="1"/>
  <c r="M6625" i="1"/>
  <c r="N6625" i="1"/>
  <c r="O6625" i="1"/>
  <c r="P6625" i="1"/>
  <c r="Q6625" i="1"/>
  <c r="R6625" i="1"/>
  <c r="S6625" i="1"/>
  <c r="T6625" i="1"/>
  <c r="U6625" i="1"/>
  <c r="V6625" i="1"/>
  <c r="W6625" i="1"/>
  <c r="X6625" i="1"/>
  <c r="Y6625" i="1"/>
  <c r="Z6625" i="1"/>
  <c r="A6626" i="1"/>
  <c r="B6626" i="1"/>
  <c r="C6626" i="1"/>
  <c r="D6626" i="1"/>
  <c r="E6626" i="1"/>
  <c r="F6626" i="1"/>
  <c r="G6626" i="1"/>
  <c r="I6626" i="1"/>
  <c r="J6626" i="1"/>
  <c r="K6626" i="1"/>
  <c r="L6626" i="1"/>
  <c r="M6626" i="1"/>
  <c r="N6626" i="1"/>
  <c r="O6626" i="1"/>
  <c r="P6626" i="1"/>
  <c r="Q6626" i="1"/>
  <c r="R6626" i="1"/>
  <c r="S6626" i="1"/>
  <c r="T6626" i="1"/>
  <c r="U6626" i="1"/>
  <c r="V6626" i="1"/>
  <c r="W6626" i="1"/>
  <c r="X6626" i="1"/>
  <c r="Y6626" i="1"/>
  <c r="Z6626" i="1"/>
  <c r="A6627" i="1"/>
  <c r="B6627" i="1"/>
  <c r="C6627" i="1"/>
  <c r="D6627" i="1"/>
  <c r="E6627" i="1"/>
  <c r="F6627" i="1"/>
  <c r="G6627" i="1"/>
  <c r="I6627" i="1"/>
  <c r="J6627" i="1"/>
  <c r="K6627" i="1"/>
  <c r="L6627" i="1"/>
  <c r="M6627" i="1"/>
  <c r="N6627" i="1"/>
  <c r="O6627" i="1"/>
  <c r="P6627" i="1"/>
  <c r="Q6627" i="1"/>
  <c r="R6627" i="1"/>
  <c r="S6627" i="1"/>
  <c r="T6627" i="1"/>
  <c r="U6627" i="1"/>
  <c r="V6627" i="1"/>
  <c r="W6627" i="1"/>
  <c r="X6627" i="1"/>
  <c r="Y6627" i="1"/>
  <c r="Z6627" i="1"/>
  <c r="A6628" i="1"/>
  <c r="B6628" i="1"/>
  <c r="C6628" i="1"/>
  <c r="D6628" i="1"/>
  <c r="E6628" i="1"/>
  <c r="F6628" i="1"/>
  <c r="G6628" i="1"/>
  <c r="I6628" i="1"/>
  <c r="J6628" i="1"/>
  <c r="K6628" i="1"/>
  <c r="L6628" i="1"/>
  <c r="M6628" i="1"/>
  <c r="N6628" i="1"/>
  <c r="O6628" i="1"/>
  <c r="P6628" i="1"/>
  <c r="Q6628" i="1"/>
  <c r="R6628" i="1"/>
  <c r="S6628" i="1"/>
  <c r="T6628" i="1"/>
  <c r="U6628" i="1"/>
  <c r="V6628" i="1"/>
  <c r="W6628" i="1"/>
  <c r="X6628" i="1"/>
  <c r="Y6628" i="1"/>
  <c r="Z6628" i="1"/>
  <c r="A6629" i="1"/>
  <c r="B6629" i="1"/>
  <c r="C6629" i="1"/>
  <c r="D6629" i="1"/>
  <c r="E6629" i="1"/>
  <c r="F6629" i="1"/>
  <c r="G6629" i="1"/>
  <c r="I6629" i="1"/>
  <c r="J6629" i="1"/>
  <c r="K6629" i="1"/>
  <c r="L6629" i="1"/>
  <c r="M6629" i="1"/>
  <c r="N6629" i="1"/>
  <c r="O6629" i="1"/>
  <c r="P6629" i="1"/>
  <c r="Q6629" i="1"/>
  <c r="R6629" i="1"/>
  <c r="S6629" i="1"/>
  <c r="T6629" i="1"/>
  <c r="U6629" i="1"/>
  <c r="V6629" i="1"/>
  <c r="W6629" i="1"/>
  <c r="X6629" i="1"/>
  <c r="Y6629" i="1"/>
  <c r="Z6629" i="1"/>
  <c r="A6630" i="1"/>
  <c r="B6630" i="1"/>
  <c r="C6630" i="1"/>
  <c r="D6630" i="1"/>
  <c r="E6630" i="1"/>
  <c r="F6630" i="1"/>
  <c r="G6630" i="1"/>
  <c r="I6630" i="1"/>
  <c r="J6630" i="1"/>
  <c r="K6630" i="1"/>
  <c r="L6630" i="1"/>
  <c r="M6630" i="1"/>
  <c r="N6630" i="1"/>
  <c r="O6630" i="1"/>
  <c r="P6630" i="1"/>
  <c r="Q6630" i="1"/>
  <c r="R6630" i="1"/>
  <c r="S6630" i="1"/>
  <c r="T6630" i="1"/>
  <c r="U6630" i="1"/>
  <c r="V6630" i="1"/>
  <c r="W6630" i="1"/>
  <c r="X6630" i="1"/>
  <c r="Y6630" i="1"/>
  <c r="Z6630" i="1"/>
  <c r="A6631" i="1"/>
  <c r="B6631" i="1"/>
  <c r="C6631" i="1"/>
  <c r="D6631" i="1"/>
  <c r="E6631" i="1"/>
  <c r="F6631" i="1"/>
  <c r="G6631" i="1"/>
  <c r="I6631" i="1"/>
  <c r="J6631" i="1"/>
  <c r="K6631" i="1"/>
  <c r="L6631" i="1"/>
  <c r="M6631" i="1"/>
  <c r="N6631" i="1"/>
  <c r="O6631" i="1"/>
  <c r="P6631" i="1"/>
  <c r="Q6631" i="1"/>
  <c r="R6631" i="1"/>
  <c r="S6631" i="1"/>
  <c r="T6631" i="1"/>
  <c r="U6631" i="1"/>
  <c r="V6631" i="1"/>
  <c r="W6631" i="1"/>
  <c r="X6631" i="1"/>
  <c r="Y6631" i="1"/>
  <c r="Z6631" i="1"/>
  <c r="A6632" i="1"/>
  <c r="B6632" i="1"/>
  <c r="C6632" i="1"/>
  <c r="D6632" i="1"/>
  <c r="E6632" i="1"/>
  <c r="F6632" i="1"/>
  <c r="G6632" i="1"/>
  <c r="I6632" i="1"/>
  <c r="J6632" i="1"/>
  <c r="K6632" i="1"/>
  <c r="L6632" i="1"/>
  <c r="M6632" i="1"/>
  <c r="N6632" i="1"/>
  <c r="O6632" i="1"/>
  <c r="P6632" i="1"/>
  <c r="Q6632" i="1"/>
  <c r="R6632" i="1"/>
  <c r="S6632" i="1"/>
  <c r="T6632" i="1"/>
  <c r="U6632" i="1"/>
  <c r="V6632" i="1"/>
  <c r="W6632" i="1"/>
  <c r="X6632" i="1"/>
  <c r="Y6632" i="1"/>
  <c r="Z6632" i="1"/>
  <c r="A6633" i="1"/>
  <c r="B6633" i="1"/>
  <c r="C6633" i="1"/>
  <c r="D6633" i="1"/>
  <c r="E6633" i="1"/>
  <c r="F6633" i="1"/>
  <c r="G6633" i="1"/>
  <c r="I6633" i="1"/>
  <c r="J6633" i="1"/>
  <c r="K6633" i="1"/>
  <c r="L6633" i="1"/>
  <c r="M6633" i="1"/>
  <c r="N6633" i="1"/>
  <c r="O6633" i="1"/>
  <c r="P6633" i="1"/>
  <c r="Q6633" i="1"/>
  <c r="R6633" i="1"/>
  <c r="S6633" i="1"/>
  <c r="T6633" i="1"/>
  <c r="U6633" i="1"/>
  <c r="V6633" i="1"/>
  <c r="W6633" i="1"/>
  <c r="X6633" i="1"/>
  <c r="Y6633" i="1"/>
  <c r="Z6633" i="1"/>
  <c r="A6634" i="1"/>
  <c r="B6634" i="1"/>
  <c r="C6634" i="1"/>
  <c r="D6634" i="1"/>
  <c r="E6634" i="1"/>
  <c r="F6634" i="1"/>
  <c r="G6634" i="1"/>
  <c r="I6634" i="1"/>
  <c r="J6634" i="1"/>
  <c r="K6634" i="1"/>
  <c r="L6634" i="1"/>
  <c r="M6634" i="1"/>
  <c r="N6634" i="1"/>
  <c r="O6634" i="1"/>
  <c r="P6634" i="1"/>
  <c r="Q6634" i="1"/>
  <c r="R6634" i="1"/>
  <c r="S6634" i="1"/>
  <c r="T6634" i="1"/>
  <c r="U6634" i="1"/>
  <c r="V6634" i="1"/>
  <c r="W6634" i="1"/>
  <c r="X6634" i="1"/>
  <c r="Y6634" i="1"/>
  <c r="Z6634" i="1"/>
  <c r="A6635" i="1"/>
  <c r="B6635" i="1"/>
  <c r="C6635" i="1"/>
  <c r="D6635" i="1"/>
  <c r="E6635" i="1"/>
  <c r="F6635" i="1"/>
  <c r="G6635" i="1"/>
  <c r="I6635" i="1"/>
  <c r="J6635" i="1"/>
  <c r="K6635" i="1"/>
  <c r="L6635" i="1"/>
  <c r="M6635" i="1"/>
  <c r="N6635" i="1"/>
  <c r="O6635" i="1"/>
  <c r="P6635" i="1"/>
  <c r="Q6635" i="1"/>
  <c r="R6635" i="1"/>
  <c r="S6635" i="1"/>
  <c r="T6635" i="1"/>
  <c r="U6635" i="1"/>
  <c r="V6635" i="1"/>
  <c r="W6635" i="1"/>
  <c r="X6635" i="1"/>
  <c r="Y6635" i="1"/>
  <c r="Z6635" i="1"/>
  <c r="A6636" i="1"/>
  <c r="B6636" i="1"/>
  <c r="C6636" i="1"/>
  <c r="D6636" i="1"/>
  <c r="E6636" i="1"/>
  <c r="F6636" i="1"/>
  <c r="G6636" i="1"/>
  <c r="I6636" i="1"/>
  <c r="J6636" i="1"/>
  <c r="K6636" i="1"/>
  <c r="L6636" i="1"/>
  <c r="M6636" i="1"/>
  <c r="N6636" i="1"/>
  <c r="O6636" i="1"/>
  <c r="P6636" i="1"/>
  <c r="Q6636" i="1"/>
  <c r="R6636" i="1"/>
  <c r="S6636" i="1"/>
  <c r="T6636" i="1"/>
  <c r="U6636" i="1"/>
  <c r="V6636" i="1"/>
  <c r="W6636" i="1"/>
  <c r="X6636" i="1"/>
  <c r="Y6636" i="1"/>
  <c r="Z6636" i="1"/>
  <c r="A6637" i="1"/>
  <c r="B6637" i="1"/>
  <c r="C6637" i="1"/>
  <c r="D6637" i="1"/>
  <c r="E6637" i="1"/>
  <c r="F6637" i="1"/>
  <c r="G6637" i="1"/>
  <c r="I6637" i="1"/>
  <c r="J6637" i="1"/>
  <c r="K6637" i="1"/>
  <c r="L6637" i="1"/>
  <c r="M6637" i="1"/>
  <c r="N6637" i="1"/>
  <c r="O6637" i="1"/>
  <c r="P6637" i="1"/>
  <c r="Q6637" i="1"/>
  <c r="R6637" i="1"/>
  <c r="S6637" i="1"/>
  <c r="T6637" i="1"/>
  <c r="U6637" i="1"/>
  <c r="V6637" i="1"/>
  <c r="W6637" i="1"/>
  <c r="X6637" i="1"/>
  <c r="Y6637" i="1"/>
  <c r="Z6637" i="1"/>
  <c r="A6638" i="1"/>
  <c r="B6638" i="1"/>
  <c r="C6638" i="1"/>
  <c r="D6638" i="1"/>
  <c r="E6638" i="1"/>
  <c r="F6638" i="1"/>
  <c r="G6638" i="1"/>
  <c r="I6638" i="1"/>
  <c r="J6638" i="1"/>
  <c r="K6638" i="1"/>
  <c r="L6638" i="1"/>
  <c r="M6638" i="1"/>
  <c r="N6638" i="1"/>
  <c r="O6638" i="1"/>
  <c r="P6638" i="1"/>
  <c r="Q6638" i="1"/>
  <c r="R6638" i="1"/>
  <c r="S6638" i="1"/>
  <c r="T6638" i="1"/>
  <c r="U6638" i="1"/>
  <c r="V6638" i="1"/>
  <c r="W6638" i="1"/>
  <c r="X6638" i="1"/>
  <c r="Y6638" i="1"/>
  <c r="Z6638" i="1"/>
  <c r="A6639" i="1"/>
  <c r="B6639" i="1"/>
  <c r="C6639" i="1"/>
  <c r="D6639" i="1"/>
  <c r="E6639" i="1"/>
  <c r="F6639" i="1"/>
  <c r="G6639" i="1"/>
  <c r="I6639" i="1"/>
  <c r="J6639" i="1"/>
  <c r="K6639" i="1"/>
  <c r="L6639" i="1"/>
  <c r="M6639" i="1"/>
  <c r="N6639" i="1"/>
  <c r="O6639" i="1"/>
  <c r="P6639" i="1"/>
  <c r="Q6639" i="1"/>
  <c r="R6639" i="1"/>
  <c r="S6639" i="1"/>
  <c r="T6639" i="1"/>
  <c r="U6639" i="1"/>
  <c r="V6639" i="1"/>
  <c r="W6639" i="1"/>
  <c r="X6639" i="1"/>
  <c r="Y6639" i="1"/>
  <c r="Z6639" i="1"/>
  <c r="A6640" i="1"/>
  <c r="B6640" i="1"/>
  <c r="C6640" i="1"/>
  <c r="D6640" i="1"/>
  <c r="E6640" i="1"/>
  <c r="F6640" i="1"/>
  <c r="G6640" i="1"/>
  <c r="I6640" i="1"/>
  <c r="J6640" i="1"/>
  <c r="K6640" i="1"/>
  <c r="L6640" i="1"/>
  <c r="M6640" i="1"/>
  <c r="N6640" i="1"/>
  <c r="O6640" i="1"/>
  <c r="P6640" i="1"/>
  <c r="Q6640" i="1"/>
  <c r="R6640" i="1"/>
  <c r="S6640" i="1"/>
  <c r="T6640" i="1"/>
  <c r="U6640" i="1"/>
  <c r="V6640" i="1"/>
  <c r="W6640" i="1"/>
  <c r="X6640" i="1"/>
  <c r="Y6640" i="1"/>
  <c r="Z6640" i="1"/>
  <c r="A6641" i="1"/>
  <c r="B6641" i="1"/>
  <c r="C6641" i="1"/>
  <c r="D6641" i="1"/>
  <c r="E6641" i="1"/>
  <c r="F6641" i="1"/>
  <c r="G6641" i="1"/>
  <c r="I6641" i="1"/>
  <c r="J6641" i="1"/>
  <c r="K6641" i="1"/>
  <c r="L6641" i="1"/>
  <c r="M6641" i="1"/>
  <c r="N6641" i="1"/>
  <c r="O6641" i="1"/>
  <c r="P6641" i="1"/>
  <c r="Q6641" i="1"/>
  <c r="R6641" i="1"/>
  <c r="S6641" i="1"/>
  <c r="T6641" i="1"/>
  <c r="U6641" i="1"/>
  <c r="V6641" i="1"/>
  <c r="W6641" i="1"/>
  <c r="X6641" i="1"/>
  <c r="Y6641" i="1"/>
  <c r="Z6641" i="1"/>
  <c r="A6642" i="1"/>
  <c r="B6642" i="1"/>
  <c r="C6642" i="1"/>
  <c r="D6642" i="1"/>
  <c r="E6642" i="1"/>
  <c r="F6642" i="1"/>
  <c r="G6642" i="1"/>
  <c r="I6642" i="1"/>
  <c r="J6642" i="1"/>
  <c r="K6642" i="1"/>
  <c r="L6642" i="1"/>
  <c r="M6642" i="1"/>
  <c r="N6642" i="1"/>
  <c r="O6642" i="1"/>
  <c r="P6642" i="1"/>
  <c r="Q6642" i="1"/>
  <c r="R6642" i="1"/>
  <c r="S6642" i="1"/>
  <c r="T6642" i="1"/>
  <c r="U6642" i="1"/>
  <c r="V6642" i="1"/>
  <c r="W6642" i="1"/>
  <c r="X6642" i="1"/>
  <c r="Y6642" i="1"/>
  <c r="Z6642" i="1"/>
  <c r="A6643" i="1"/>
  <c r="B6643" i="1"/>
  <c r="C6643" i="1"/>
  <c r="D6643" i="1"/>
  <c r="E6643" i="1"/>
  <c r="F6643" i="1"/>
  <c r="G6643" i="1"/>
  <c r="I6643" i="1"/>
  <c r="J6643" i="1"/>
  <c r="K6643" i="1"/>
  <c r="L6643" i="1"/>
  <c r="M6643" i="1"/>
  <c r="N6643" i="1"/>
  <c r="O6643" i="1"/>
  <c r="P6643" i="1"/>
  <c r="Q6643" i="1"/>
  <c r="R6643" i="1"/>
  <c r="S6643" i="1"/>
  <c r="T6643" i="1"/>
  <c r="U6643" i="1"/>
  <c r="V6643" i="1"/>
  <c r="W6643" i="1"/>
  <c r="X6643" i="1"/>
  <c r="Y6643" i="1"/>
  <c r="Z6643" i="1"/>
  <c r="A6644" i="1"/>
  <c r="B6644" i="1"/>
  <c r="C6644" i="1"/>
  <c r="D6644" i="1"/>
  <c r="E6644" i="1"/>
  <c r="F6644" i="1"/>
  <c r="G6644" i="1"/>
  <c r="I6644" i="1"/>
  <c r="J6644" i="1"/>
  <c r="K6644" i="1"/>
  <c r="L6644" i="1"/>
  <c r="M6644" i="1"/>
  <c r="N6644" i="1"/>
  <c r="O6644" i="1"/>
  <c r="P6644" i="1"/>
  <c r="Q6644" i="1"/>
  <c r="R6644" i="1"/>
  <c r="S6644" i="1"/>
  <c r="T6644" i="1"/>
  <c r="U6644" i="1"/>
  <c r="V6644" i="1"/>
  <c r="W6644" i="1"/>
  <c r="X6644" i="1"/>
  <c r="Y6644" i="1"/>
  <c r="Z6644" i="1"/>
  <c r="A6645" i="1"/>
  <c r="B6645" i="1"/>
  <c r="C6645" i="1"/>
  <c r="D6645" i="1"/>
  <c r="E6645" i="1"/>
  <c r="F6645" i="1"/>
  <c r="G6645" i="1"/>
  <c r="I6645" i="1"/>
  <c r="J6645" i="1"/>
  <c r="K6645" i="1"/>
  <c r="L6645" i="1"/>
  <c r="M6645" i="1"/>
  <c r="N6645" i="1"/>
  <c r="O6645" i="1"/>
  <c r="P6645" i="1"/>
  <c r="Q6645" i="1"/>
  <c r="R6645" i="1"/>
  <c r="S6645" i="1"/>
  <c r="T6645" i="1"/>
  <c r="U6645" i="1"/>
  <c r="V6645" i="1"/>
  <c r="W6645" i="1"/>
  <c r="X6645" i="1"/>
  <c r="Y6645" i="1"/>
  <c r="Z6645" i="1"/>
  <c r="A6646" i="1"/>
  <c r="B6646" i="1"/>
  <c r="C6646" i="1"/>
  <c r="D6646" i="1"/>
  <c r="E6646" i="1"/>
  <c r="F6646" i="1"/>
  <c r="G6646" i="1"/>
  <c r="I6646" i="1"/>
  <c r="J6646" i="1"/>
  <c r="K6646" i="1"/>
  <c r="L6646" i="1"/>
  <c r="M6646" i="1"/>
  <c r="N6646" i="1"/>
  <c r="O6646" i="1"/>
  <c r="P6646" i="1"/>
  <c r="Q6646" i="1"/>
  <c r="R6646" i="1"/>
  <c r="S6646" i="1"/>
  <c r="T6646" i="1"/>
  <c r="U6646" i="1"/>
  <c r="V6646" i="1"/>
  <c r="W6646" i="1"/>
  <c r="X6646" i="1"/>
  <c r="Y6646" i="1"/>
  <c r="Z6646" i="1"/>
  <c r="A6647" i="1"/>
  <c r="B6647" i="1"/>
  <c r="C6647" i="1"/>
  <c r="D6647" i="1"/>
  <c r="E6647" i="1"/>
  <c r="F6647" i="1"/>
  <c r="G6647" i="1"/>
  <c r="I6647" i="1"/>
  <c r="J6647" i="1"/>
  <c r="K6647" i="1"/>
  <c r="L6647" i="1"/>
  <c r="M6647" i="1"/>
  <c r="N6647" i="1"/>
  <c r="O6647" i="1"/>
  <c r="P6647" i="1"/>
  <c r="Q6647" i="1"/>
  <c r="R6647" i="1"/>
  <c r="S6647" i="1"/>
  <c r="T6647" i="1"/>
  <c r="U6647" i="1"/>
  <c r="V6647" i="1"/>
  <c r="W6647" i="1"/>
  <c r="X6647" i="1"/>
  <c r="Y6647" i="1"/>
  <c r="Z6647" i="1"/>
  <c r="A6648" i="1"/>
  <c r="B6648" i="1"/>
  <c r="C6648" i="1"/>
  <c r="D6648" i="1"/>
  <c r="E6648" i="1"/>
  <c r="F6648" i="1"/>
  <c r="G6648" i="1"/>
  <c r="I6648" i="1"/>
  <c r="J6648" i="1"/>
  <c r="K6648" i="1"/>
  <c r="L6648" i="1"/>
  <c r="M6648" i="1"/>
  <c r="N6648" i="1"/>
  <c r="O6648" i="1"/>
  <c r="P6648" i="1"/>
  <c r="Q6648" i="1"/>
  <c r="R6648" i="1"/>
  <c r="S6648" i="1"/>
  <c r="T6648" i="1"/>
  <c r="U6648" i="1"/>
  <c r="V6648" i="1"/>
  <c r="W6648" i="1"/>
  <c r="X6648" i="1"/>
  <c r="Y6648" i="1"/>
  <c r="Z6648" i="1"/>
  <c r="A6649" i="1"/>
  <c r="B6649" i="1"/>
  <c r="C6649" i="1"/>
  <c r="D6649" i="1"/>
  <c r="E6649" i="1"/>
  <c r="F6649" i="1"/>
  <c r="G6649" i="1"/>
  <c r="I6649" i="1"/>
  <c r="J6649" i="1"/>
  <c r="K6649" i="1"/>
  <c r="L6649" i="1"/>
  <c r="M6649" i="1"/>
  <c r="N6649" i="1"/>
  <c r="O6649" i="1"/>
  <c r="P6649" i="1"/>
  <c r="Q6649" i="1"/>
  <c r="R6649" i="1"/>
  <c r="S6649" i="1"/>
  <c r="T6649" i="1"/>
  <c r="U6649" i="1"/>
  <c r="V6649" i="1"/>
  <c r="W6649" i="1"/>
  <c r="X6649" i="1"/>
  <c r="Y6649" i="1"/>
  <c r="Z6649" i="1"/>
  <c r="A6650" i="1"/>
  <c r="B6650" i="1"/>
  <c r="C6650" i="1"/>
  <c r="D6650" i="1"/>
  <c r="E6650" i="1"/>
  <c r="F6650" i="1"/>
  <c r="G6650" i="1"/>
  <c r="I6650" i="1"/>
  <c r="J6650" i="1"/>
  <c r="K6650" i="1"/>
  <c r="L6650" i="1"/>
  <c r="M6650" i="1"/>
  <c r="N6650" i="1"/>
  <c r="O6650" i="1"/>
  <c r="P6650" i="1"/>
  <c r="Q6650" i="1"/>
  <c r="R6650" i="1"/>
  <c r="S6650" i="1"/>
  <c r="T6650" i="1"/>
  <c r="U6650" i="1"/>
  <c r="V6650" i="1"/>
  <c r="W6650" i="1"/>
  <c r="X6650" i="1"/>
  <c r="Y6650" i="1"/>
  <c r="Z6650" i="1"/>
  <c r="A6651" i="1"/>
  <c r="B6651" i="1"/>
  <c r="C6651" i="1"/>
  <c r="D6651" i="1"/>
  <c r="E6651" i="1"/>
  <c r="F6651" i="1"/>
  <c r="G6651" i="1"/>
  <c r="I6651" i="1"/>
  <c r="J6651" i="1"/>
  <c r="K6651" i="1"/>
  <c r="L6651" i="1"/>
  <c r="M6651" i="1"/>
  <c r="N6651" i="1"/>
  <c r="O6651" i="1"/>
  <c r="P6651" i="1"/>
  <c r="Q6651" i="1"/>
  <c r="R6651" i="1"/>
  <c r="S6651" i="1"/>
  <c r="T6651" i="1"/>
  <c r="U6651" i="1"/>
  <c r="V6651" i="1"/>
  <c r="W6651" i="1"/>
  <c r="X6651" i="1"/>
  <c r="Y6651" i="1"/>
  <c r="Z6651" i="1"/>
  <c r="A6652" i="1"/>
  <c r="B6652" i="1"/>
  <c r="C6652" i="1"/>
  <c r="D6652" i="1"/>
  <c r="E6652" i="1"/>
  <c r="F6652" i="1"/>
  <c r="G6652" i="1"/>
  <c r="I6652" i="1"/>
  <c r="J6652" i="1"/>
  <c r="K6652" i="1"/>
  <c r="L6652" i="1"/>
  <c r="M6652" i="1"/>
  <c r="N6652" i="1"/>
  <c r="O6652" i="1"/>
  <c r="P6652" i="1"/>
  <c r="Q6652" i="1"/>
  <c r="R6652" i="1"/>
  <c r="S6652" i="1"/>
  <c r="T6652" i="1"/>
  <c r="U6652" i="1"/>
  <c r="V6652" i="1"/>
  <c r="W6652" i="1"/>
  <c r="X6652" i="1"/>
  <c r="Y6652" i="1"/>
  <c r="Z6652" i="1"/>
  <c r="A6653" i="1"/>
  <c r="B6653" i="1"/>
  <c r="C6653" i="1"/>
  <c r="D6653" i="1"/>
  <c r="E6653" i="1"/>
  <c r="F6653" i="1"/>
  <c r="G6653" i="1"/>
  <c r="I6653" i="1"/>
  <c r="J6653" i="1"/>
  <c r="K6653" i="1"/>
  <c r="L6653" i="1"/>
  <c r="M6653" i="1"/>
  <c r="N6653" i="1"/>
  <c r="O6653" i="1"/>
  <c r="P6653" i="1"/>
  <c r="Q6653" i="1"/>
  <c r="R6653" i="1"/>
  <c r="S6653" i="1"/>
  <c r="T6653" i="1"/>
  <c r="U6653" i="1"/>
  <c r="V6653" i="1"/>
  <c r="W6653" i="1"/>
  <c r="X6653" i="1"/>
  <c r="Y6653" i="1"/>
  <c r="Z6653" i="1"/>
  <c r="A6654" i="1"/>
  <c r="B6654" i="1"/>
  <c r="C6654" i="1"/>
  <c r="D6654" i="1"/>
  <c r="E6654" i="1"/>
  <c r="F6654" i="1"/>
  <c r="G6654" i="1"/>
  <c r="I6654" i="1"/>
  <c r="J6654" i="1"/>
  <c r="K6654" i="1"/>
  <c r="L6654" i="1"/>
  <c r="M6654" i="1"/>
  <c r="N6654" i="1"/>
  <c r="O6654" i="1"/>
  <c r="P6654" i="1"/>
  <c r="Q6654" i="1"/>
  <c r="R6654" i="1"/>
  <c r="S6654" i="1"/>
  <c r="T6654" i="1"/>
  <c r="U6654" i="1"/>
  <c r="V6654" i="1"/>
  <c r="W6654" i="1"/>
  <c r="X6654" i="1"/>
  <c r="Y6654" i="1"/>
  <c r="Z6654" i="1"/>
  <c r="A6655" i="1"/>
  <c r="B6655" i="1"/>
  <c r="C6655" i="1"/>
  <c r="D6655" i="1"/>
  <c r="E6655" i="1"/>
  <c r="F6655" i="1"/>
  <c r="G6655" i="1"/>
  <c r="I6655" i="1"/>
  <c r="J6655" i="1"/>
  <c r="K6655" i="1"/>
  <c r="L6655" i="1"/>
  <c r="M6655" i="1"/>
  <c r="N6655" i="1"/>
  <c r="O6655" i="1"/>
  <c r="P6655" i="1"/>
  <c r="Q6655" i="1"/>
  <c r="R6655" i="1"/>
  <c r="S6655" i="1"/>
  <c r="T6655" i="1"/>
  <c r="U6655" i="1"/>
  <c r="V6655" i="1"/>
  <c r="W6655" i="1"/>
  <c r="X6655" i="1"/>
  <c r="Y6655" i="1"/>
  <c r="Z6655" i="1"/>
  <c r="A6656" i="1"/>
  <c r="B6656" i="1"/>
  <c r="C6656" i="1"/>
  <c r="D6656" i="1"/>
  <c r="E6656" i="1"/>
  <c r="F6656" i="1"/>
  <c r="G6656" i="1"/>
  <c r="I6656" i="1"/>
  <c r="J6656" i="1"/>
  <c r="K6656" i="1"/>
  <c r="L6656" i="1"/>
  <c r="M6656" i="1"/>
  <c r="N6656" i="1"/>
  <c r="O6656" i="1"/>
  <c r="P6656" i="1"/>
  <c r="Q6656" i="1"/>
  <c r="R6656" i="1"/>
  <c r="S6656" i="1"/>
  <c r="T6656" i="1"/>
  <c r="U6656" i="1"/>
  <c r="V6656" i="1"/>
  <c r="W6656" i="1"/>
  <c r="X6656" i="1"/>
  <c r="Y6656" i="1"/>
  <c r="Z6656" i="1"/>
  <c r="A6657" i="1"/>
  <c r="B6657" i="1"/>
  <c r="C6657" i="1"/>
  <c r="D6657" i="1"/>
  <c r="E6657" i="1"/>
  <c r="F6657" i="1"/>
  <c r="G6657" i="1"/>
  <c r="I6657" i="1"/>
  <c r="J6657" i="1"/>
  <c r="K6657" i="1"/>
  <c r="L6657" i="1"/>
  <c r="M6657" i="1"/>
  <c r="N6657" i="1"/>
  <c r="O6657" i="1"/>
  <c r="P6657" i="1"/>
  <c r="Q6657" i="1"/>
  <c r="R6657" i="1"/>
  <c r="S6657" i="1"/>
  <c r="T6657" i="1"/>
  <c r="U6657" i="1"/>
  <c r="V6657" i="1"/>
  <c r="W6657" i="1"/>
  <c r="X6657" i="1"/>
  <c r="Y6657" i="1"/>
  <c r="Z6657" i="1"/>
  <c r="A6658" i="1"/>
  <c r="B6658" i="1"/>
  <c r="C6658" i="1"/>
  <c r="D6658" i="1"/>
  <c r="E6658" i="1"/>
  <c r="F6658" i="1"/>
  <c r="G6658" i="1"/>
  <c r="I6658" i="1"/>
  <c r="J6658" i="1"/>
  <c r="K6658" i="1"/>
  <c r="L6658" i="1"/>
  <c r="M6658" i="1"/>
  <c r="N6658" i="1"/>
  <c r="O6658" i="1"/>
  <c r="P6658" i="1"/>
  <c r="Q6658" i="1"/>
  <c r="R6658" i="1"/>
  <c r="S6658" i="1"/>
  <c r="T6658" i="1"/>
  <c r="U6658" i="1"/>
  <c r="V6658" i="1"/>
  <c r="W6658" i="1"/>
  <c r="X6658" i="1"/>
  <c r="Y6658" i="1"/>
  <c r="Z6658" i="1"/>
  <c r="A6659" i="1"/>
  <c r="B6659" i="1"/>
  <c r="C6659" i="1"/>
  <c r="D6659" i="1"/>
  <c r="E6659" i="1"/>
  <c r="F6659" i="1"/>
  <c r="G6659" i="1"/>
  <c r="I6659" i="1"/>
  <c r="J6659" i="1"/>
  <c r="K6659" i="1"/>
  <c r="L6659" i="1"/>
  <c r="M6659" i="1"/>
  <c r="N6659" i="1"/>
  <c r="O6659" i="1"/>
  <c r="P6659" i="1"/>
  <c r="Q6659" i="1"/>
  <c r="R6659" i="1"/>
  <c r="S6659" i="1"/>
  <c r="T6659" i="1"/>
  <c r="U6659" i="1"/>
  <c r="V6659" i="1"/>
  <c r="W6659" i="1"/>
  <c r="X6659" i="1"/>
  <c r="Y6659" i="1"/>
  <c r="Z6659" i="1"/>
  <c r="A6660" i="1"/>
  <c r="B6660" i="1"/>
  <c r="C6660" i="1"/>
  <c r="D6660" i="1"/>
  <c r="E6660" i="1"/>
  <c r="F6660" i="1"/>
  <c r="G6660" i="1"/>
  <c r="I6660" i="1"/>
  <c r="J6660" i="1"/>
  <c r="K6660" i="1"/>
  <c r="L6660" i="1"/>
  <c r="M6660" i="1"/>
  <c r="N6660" i="1"/>
  <c r="O6660" i="1"/>
  <c r="P6660" i="1"/>
  <c r="Q6660" i="1"/>
  <c r="R6660" i="1"/>
  <c r="S6660" i="1"/>
  <c r="T6660" i="1"/>
  <c r="U6660" i="1"/>
  <c r="V6660" i="1"/>
  <c r="W6660" i="1"/>
  <c r="X6660" i="1"/>
  <c r="Y6660" i="1"/>
  <c r="Z6660" i="1"/>
  <c r="A6661" i="1"/>
  <c r="B6661" i="1"/>
  <c r="C6661" i="1"/>
  <c r="D6661" i="1"/>
  <c r="E6661" i="1"/>
  <c r="F6661" i="1"/>
  <c r="G6661" i="1"/>
  <c r="I6661" i="1"/>
  <c r="J6661" i="1"/>
  <c r="K6661" i="1"/>
  <c r="L6661" i="1"/>
  <c r="M6661" i="1"/>
  <c r="N6661" i="1"/>
  <c r="O6661" i="1"/>
  <c r="P6661" i="1"/>
  <c r="Q6661" i="1"/>
  <c r="R6661" i="1"/>
  <c r="S6661" i="1"/>
  <c r="T6661" i="1"/>
  <c r="U6661" i="1"/>
  <c r="V6661" i="1"/>
  <c r="W6661" i="1"/>
  <c r="X6661" i="1"/>
  <c r="Y6661" i="1"/>
  <c r="Z6661" i="1"/>
  <c r="A6662" i="1"/>
  <c r="B6662" i="1"/>
  <c r="C6662" i="1"/>
  <c r="D6662" i="1"/>
  <c r="E6662" i="1"/>
  <c r="F6662" i="1"/>
  <c r="G6662" i="1"/>
  <c r="I6662" i="1"/>
  <c r="J6662" i="1"/>
  <c r="K6662" i="1"/>
  <c r="L6662" i="1"/>
  <c r="M6662" i="1"/>
  <c r="N6662" i="1"/>
  <c r="O6662" i="1"/>
  <c r="P6662" i="1"/>
  <c r="Q6662" i="1"/>
  <c r="R6662" i="1"/>
  <c r="S6662" i="1"/>
  <c r="T6662" i="1"/>
  <c r="U6662" i="1"/>
  <c r="V6662" i="1"/>
  <c r="W6662" i="1"/>
  <c r="X6662" i="1"/>
  <c r="Y6662" i="1"/>
  <c r="Z6662" i="1"/>
  <c r="A6663" i="1"/>
  <c r="B6663" i="1"/>
  <c r="C6663" i="1"/>
  <c r="D6663" i="1"/>
  <c r="E6663" i="1"/>
  <c r="F6663" i="1"/>
  <c r="G6663" i="1"/>
  <c r="I6663" i="1"/>
  <c r="J6663" i="1"/>
  <c r="K6663" i="1"/>
  <c r="L6663" i="1"/>
  <c r="M6663" i="1"/>
  <c r="N6663" i="1"/>
  <c r="O6663" i="1"/>
  <c r="P6663" i="1"/>
  <c r="Q6663" i="1"/>
  <c r="R6663" i="1"/>
  <c r="S6663" i="1"/>
  <c r="T6663" i="1"/>
  <c r="U6663" i="1"/>
  <c r="V6663" i="1"/>
  <c r="W6663" i="1"/>
  <c r="X6663" i="1"/>
  <c r="Y6663" i="1"/>
  <c r="Z6663" i="1"/>
  <c r="A6664" i="1"/>
  <c r="B6664" i="1"/>
  <c r="C6664" i="1"/>
  <c r="D6664" i="1"/>
  <c r="E6664" i="1"/>
  <c r="F6664" i="1"/>
  <c r="G6664" i="1"/>
  <c r="I6664" i="1"/>
  <c r="J6664" i="1"/>
  <c r="K6664" i="1"/>
  <c r="L6664" i="1"/>
  <c r="M6664" i="1"/>
  <c r="N6664" i="1"/>
  <c r="O6664" i="1"/>
  <c r="P6664" i="1"/>
  <c r="Q6664" i="1"/>
  <c r="R6664" i="1"/>
  <c r="S6664" i="1"/>
  <c r="T6664" i="1"/>
  <c r="U6664" i="1"/>
  <c r="V6664" i="1"/>
  <c r="W6664" i="1"/>
  <c r="X6664" i="1"/>
  <c r="Y6664" i="1"/>
  <c r="Z6664" i="1"/>
  <c r="A6665" i="1"/>
  <c r="B6665" i="1"/>
  <c r="C6665" i="1"/>
  <c r="D6665" i="1"/>
  <c r="E6665" i="1"/>
  <c r="F6665" i="1"/>
  <c r="G6665" i="1"/>
  <c r="I6665" i="1"/>
  <c r="J6665" i="1"/>
  <c r="K6665" i="1"/>
  <c r="L6665" i="1"/>
  <c r="M6665" i="1"/>
  <c r="N6665" i="1"/>
  <c r="O6665" i="1"/>
  <c r="P6665" i="1"/>
  <c r="Q6665" i="1"/>
  <c r="R6665" i="1"/>
  <c r="S6665" i="1"/>
  <c r="T6665" i="1"/>
  <c r="U6665" i="1"/>
  <c r="V6665" i="1"/>
  <c r="W6665" i="1"/>
  <c r="X6665" i="1"/>
  <c r="Y6665" i="1"/>
  <c r="Z6665" i="1"/>
  <c r="A6666" i="1"/>
  <c r="B6666" i="1"/>
  <c r="C6666" i="1"/>
  <c r="D6666" i="1"/>
  <c r="E6666" i="1"/>
  <c r="F6666" i="1"/>
  <c r="G6666" i="1"/>
  <c r="I6666" i="1"/>
  <c r="J6666" i="1"/>
  <c r="K6666" i="1"/>
  <c r="L6666" i="1"/>
  <c r="M6666" i="1"/>
  <c r="N6666" i="1"/>
  <c r="O6666" i="1"/>
  <c r="P6666" i="1"/>
  <c r="Q6666" i="1"/>
  <c r="R6666" i="1"/>
  <c r="S6666" i="1"/>
  <c r="T6666" i="1"/>
  <c r="U6666" i="1"/>
  <c r="V6666" i="1"/>
  <c r="W6666" i="1"/>
  <c r="X6666" i="1"/>
  <c r="Y6666" i="1"/>
  <c r="Z6666" i="1"/>
  <c r="A6667" i="1"/>
  <c r="B6667" i="1"/>
  <c r="C6667" i="1"/>
  <c r="D6667" i="1"/>
  <c r="E6667" i="1"/>
  <c r="F6667" i="1"/>
  <c r="G6667" i="1"/>
  <c r="I6667" i="1"/>
  <c r="J6667" i="1"/>
  <c r="K6667" i="1"/>
  <c r="L6667" i="1"/>
  <c r="M6667" i="1"/>
  <c r="N6667" i="1"/>
  <c r="O6667" i="1"/>
  <c r="P6667" i="1"/>
  <c r="Q6667" i="1"/>
  <c r="R6667" i="1"/>
  <c r="S6667" i="1"/>
  <c r="T6667" i="1"/>
  <c r="U6667" i="1"/>
  <c r="V6667" i="1"/>
  <c r="W6667" i="1"/>
  <c r="X6667" i="1"/>
  <c r="Y6667" i="1"/>
  <c r="Z6667" i="1"/>
  <c r="A6668" i="1"/>
  <c r="B6668" i="1"/>
  <c r="C6668" i="1"/>
  <c r="D6668" i="1"/>
  <c r="E6668" i="1"/>
  <c r="F6668" i="1"/>
  <c r="G6668" i="1"/>
  <c r="I6668" i="1"/>
  <c r="J6668" i="1"/>
  <c r="K6668" i="1"/>
  <c r="L6668" i="1"/>
  <c r="M6668" i="1"/>
  <c r="N6668" i="1"/>
  <c r="O6668" i="1"/>
  <c r="P6668" i="1"/>
  <c r="Q6668" i="1"/>
  <c r="R6668" i="1"/>
  <c r="S6668" i="1"/>
  <c r="T6668" i="1"/>
  <c r="U6668" i="1"/>
  <c r="V6668" i="1"/>
  <c r="W6668" i="1"/>
  <c r="X6668" i="1"/>
  <c r="Y6668" i="1"/>
  <c r="Z6668" i="1"/>
  <c r="A6669" i="1"/>
  <c r="B6669" i="1"/>
  <c r="C6669" i="1"/>
  <c r="D6669" i="1"/>
  <c r="E6669" i="1"/>
  <c r="F6669" i="1"/>
  <c r="G6669" i="1"/>
  <c r="I6669" i="1"/>
  <c r="J6669" i="1"/>
  <c r="K6669" i="1"/>
  <c r="L6669" i="1"/>
  <c r="M6669" i="1"/>
  <c r="N6669" i="1"/>
  <c r="O6669" i="1"/>
  <c r="P6669" i="1"/>
  <c r="Q6669" i="1"/>
  <c r="R6669" i="1"/>
  <c r="S6669" i="1"/>
  <c r="T6669" i="1"/>
  <c r="U6669" i="1"/>
  <c r="V6669" i="1"/>
  <c r="W6669" i="1"/>
  <c r="X6669" i="1"/>
  <c r="Y6669" i="1"/>
  <c r="Z6669" i="1"/>
  <c r="A6670" i="1"/>
  <c r="B6670" i="1"/>
  <c r="C6670" i="1"/>
  <c r="D6670" i="1"/>
  <c r="E6670" i="1"/>
  <c r="F6670" i="1"/>
  <c r="G6670" i="1"/>
  <c r="I6670" i="1"/>
  <c r="J6670" i="1"/>
  <c r="K6670" i="1"/>
  <c r="L6670" i="1"/>
  <c r="M6670" i="1"/>
  <c r="N6670" i="1"/>
  <c r="O6670" i="1"/>
  <c r="P6670" i="1"/>
  <c r="Q6670" i="1"/>
  <c r="R6670" i="1"/>
  <c r="S6670" i="1"/>
  <c r="T6670" i="1"/>
  <c r="U6670" i="1"/>
  <c r="V6670" i="1"/>
  <c r="W6670" i="1"/>
  <c r="X6670" i="1"/>
  <c r="Y6670" i="1"/>
  <c r="Z6670" i="1"/>
  <c r="A6671" i="1"/>
  <c r="B6671" i="1"/>
  <c r="C6671" i="1"/>
  <c r="D6671" i="1"/>
  <c r="E6671" i="1"/>
  <c r="F6671" i="1"/>
  <c r="G6671" i="1"/>
  <c r="I6671" i="1"/>
  <c r="J6671" i="1"/>
  <c r="K6671" i="1"/>
  <c r="L6671" i="1"/>
  <c r="M6671" i="1"/>
  <c r="N6671" i="1"/>
  <c r="O6671" i="1"/>
  <c r="P6671" i="1"/>
  <c r="Q6671" i="1"/>
  <c r="R6671" i="1"/>
  <c r="S6671" i="1"/>
  <c r="T6671" i="1"/>
  <c r="U6671" i="1"/>
  <c r="V6671" i="1"/>
  <c r="W6671" i="1"/>
  <c r="X6671" i="1"/>
  <c r="Y6671" i="1"/>
  <c r="Z6671" i="1"/>
  <c r="A6672" i="1"/>
  <c r="B6672" i="1"/>
  <c r="C6672" i="1"/>
  <c r="D6672" i="1"/>
  <c r="E6672" i="1"/>
  <c r="F6672" i="1"/>
  <c r="G6672" i="1"/>
  <c r="I6672" i="1"/>
  <c r="J6672" i="1"/>
  <c r="K6672" i="1"/>
  <c r="L6672" i="1"/>
  <c r="M6672" i="1"/>
  <c r="N6672" i="1"/>
  <c r="O6672" i="1"/>
  <c r="P6672" i="1"/>
  <c r="Q6672" i="1"/>
  <c r="R6672" i="1"/>
  <c r="S6672" i="1"/>
  <c r="T6672" i="1"/>
  <c r="U6672" i="1"/>
  <c r="V6672" i="1"/>
  <c r="W6672" i="1"/>
  <c r="X6672" i="1"/>
  <c r="Y6672" i="1"/>
  <c r="Z6672" i="1"/>
  <c r="A6673" i="1"/>
  <c r="B6673" i="1"/>
  <c r="C6673" i="1"/>
  <c r="D6673" i="1"/>
  <c r="E6673" i="1"/>
  <c r="F6673" i="1"/>
  <c r="G6673" i="1"/>
  <c r="I6673" i="1"/>
  <c r="J6673" i="1"/>
  <c r="K6673" i="1"/>
  <c r="L6673" i="1"/>
  <c r="M6673" i="1"/>
  <c r="N6673" i="1"/>
  <c r="O6673" i="1"/>
  <c r="P6673" i="1"/>
  <c r="Q6673" i="1"/>
  <c r="R6673" i="1"/>
  <c r="S6673" i="1"/>
  <c r="T6673" i="1"/>
  <c r="U6673" i="1"/>
  <c r="V6673" i="1"/>
  <c r="W6673" i="1"/>
  <c r="X6673" i="1"/>
  <c r="Y6673" i="1"/>
  <c r="Z6673" i="1"/>
  <c r="A6674" i="1"/>
  <c r="B6674" i="1"/>
  <c r="C6674" i="1"/>
  <c r="D6674" i="1"/>
  <c r="E6674" i="1"/>
  <c r="F6674" i="1"/>
  <c r="G6674" i="1"/>
  <c r="I6674" i="1"/>
  <c r="J6674" i="1"/>
  <c r="K6674" i="1"/>
  <c r="L6674" i="1"/>
  <c r="M6674" i="1"/>
  <c r="N6674" i="1"/>
  <c r="O6674" i="1"/>
  <c r="P6674" i="1"/>
  <c r="Q6674" i="1"/>
  <c r="R6674" i="1"/>
  <c r="S6674" i="1"/>
  <c r="T6674" i="1"/>
  <c r="U6674" i="1"/>
  <c r="V6674" i="1"/>
  <c r="W6674" i="1"/>
  <c r="X6674" i="1"/>
  <c r="Y6674" i="1"/>
  <c r="Z6674" i="1"/>
  <c r="A6675" i="1"/>
  <c r="B6675" i="1"/>
  <c r="C6675" i="1"/>
  <c r="D6675" i="1"/>
  <c r="E6675" i="1"/>
  <c r="F6675" i="1"/>
  <c r="G6675" i="1"/>
  <c r="I6675" i="1"/>
  <c r="J6675" i="1"/>
  <c r="K6675" i="1"/>
  <c r="L6675" i="1"/>
  <c r="M6675" i="1"/>
  <c r="N6675" i="1"/>
  <c r="O6675" i="1"/>
  <c r="P6675" i="1"/>
  <c r="Q6675" i="1"/>
  <c r="R6675" i="1"/>
  <c r="S6675" i="1"/>
  <c r="T6675" i="1"/>
  <c r="U6675" i="1"/>
  <c r="V6675" i="1"/>
  <c r="W6675" i="1"/>
  <c r="X6675" i="1"/>
  <c r="Y6675" i="1"/>
  <c r="Z6675" i="1"/>
  <c r="A6676" i="1"/>
  <c r="B6676" i="1"/>
  <c r="C6676" i="1"/>
  <c r="D6676" i="1"/>
  <c r="E6676" i="1"/>
  <c r="F6676" i="1"/>
  <c r="G6676" i="1"/>
  <c r="I6676" i="1"/>
  <c r="J6676" i="1"/>
  <c r="K6676" i="1"/>
  <c r="L6676" i="1"/>
  <c r="M6676" i="1"/>
  <c r="N6676" i="1"/>
  <c r="O6676" i="1"/>
  <c r="P6676" i="1"/>
  <c r="Q6676" i="1"/>
  <c r="R6676" i="1"/>
  <c r="S6676" i="1"/>
  <c r="T6676" i="1"/>
  <c r="U6676" i="1"/>
  <c r="V6676" i="1"/>
  <c r="W6676" i="1"/>
  <c r="X6676" i="1"/>
  <c r="Y6676" i="1"/>
  <c r="Z6676" i="1"/>
  <c r="A6677" i="1"/>
  <c r="B6677" i="1"/>
  <c r="C6677" i="1"/>
  <c r="D6677" i="1"/>
  <c r="E6677" i="1"/>
  <c r="F6677" i="1"/>
  <c r="G6677" i="1"/>
  <c r="I6677" i="1"/>
  <c r="J6677" i="1"/>
  <c r="K6677" i="1"/>
  <c r="L6677" i="1"/>
  <c r="M6677" i="1"/>
  <c r="N6677" i="1"/>
  <c r="O6677" i="1"/>
  <c r="P6677" i="1"/>
  <c r="Q6677" i="1"/>
  <c r="R6677" i="1"/>
  <c r="S6677" i="1"/>
  <c r="T6677" i="1"/>
  <c r="U6677" i="1"/>
  <c r="V6677" i="1"/>
  <c r="W6677" i="1"/>
  <c r="X6677" i="1"/>
  <c r="Y6677" i="1"/>
  <c r="Z6677" i="1"/>
  <c r="A6678" i="1"/>
  <c r="B6678" i="1"/>
  <c r="C6678" i="1"/>
  <c r="D6678" i="1"/>
  <c r="E6678" i="1"/>
  <c r="F6678" i="1"/>
  <c r="G6678" i="1"/>
  <c r="I6678" i="1"/>
  <c r="J6678" i="1"/>
  <c r="K6678" i="1"/>
  <c r="L6678" i="1"/>
  <c r="M6678" i="1"/>
  <c r="N6678" i="1"/>
  <c r="O6678" i="1"/>
  <c r="P6678" i="1"/>
  <c r="Q6678" i="1"/>
  <c r="R6678" i="1"/>
  <c r="S6678" i="1"/>
  <c r="T6678" i="1"/>
  <c r="U6678" i="1"/>
  <c r="V6678" i="1"/>
  <c r="W6678" i="1"/>
  <c r="X6678" i="1"/>
  <c r="Y6678" i="1"/>
  <c r="Z6678" i="1"/>
  <c r="A6679" i="1"/>
  <c r="B6679" i="1"/>
  <c r="C6679" i="1"/>
  <c r="D6679" i="1"/>
  <c r="E6679" i="1"/>
  <c r="F6679" i="1"/>
  <c r="G6679" i="1"/>
  <c r="I6679" i="1"/>
  <c r="J6679" i="1"/>
  <c r="K6679" i="1"/>
  <c r="L6679" i="1"/>
  <c r="M6679" i="1"/>
  <c r="N6679" i="1"/>
  <c r="O6679" i="1"/>
  <c r="P6679" i="1"/>
  <c r="Q6679" i="1"/>
  <c r="R6679" i="1"/>
  <c r="S6679" i="1"/>
  <c r="T6679" i="1"/>
  <c r="U6679" i="1"/>
  <c r="V6679" i="1"/>
  <c r="W6679" i="1"/>
  <c r="X6679" i="1"/>
  <c r="Y6679" i="1"/>
  <c r="Z6679" i="1"/>
  <c r="A6680" i="1"/>
  <c r="B6680" i="1"/>
  <c r="C6680" i="1"/>
  <c r="D6680" i="1"/>
  <c r="E6680" i="1"/>
  <c r="F6680" i="1"/>
  <c r="G6680" i="1"/>
  <c r="I6680" i="1"/>
  <c r="J6680" i="1"/>
  <c r="K6680" i="1"/>
  <c r="L6680" i="1"/>
  <c r="M6680" i="1"/>
  <c r="N6680" i="1"/>
  <c r="O6680" i="1"/>
  <c r="P6680" i="1"/>
  <c r="Q6680" i="1"/>
  <c r="R6680" i="1"/>
  <c r="S6680" i="1"/>
  <c r="T6680" i="1"/>
  <c r="U6680" i="1"/>
  <c r="V6680" i="1"/>
  <c r="W6680" i="1"/>
  <c r="X6680" i="1"/>
  <c r="Y6680" i="1"/>
  <c r="Z6680" i="1"/>
  <c r="A6681" i="1"/>
  <c r="B6681" i="1"/>
  <c r="C6681" i="1"/>
  <c r="D6681" i="1"/>
  <c r="E6681" i="1"/>
  <c r="F6681" i="1"/>
  <c r="G6681" i="1"/>
  <c r="I6681" i="1"/>
  <c r="J6681" i="1"/>
  <c r="K6681" i="1"/>
  <c r="L6681" i="1"/>
  <c r="M6681" i="1"/>
  <c r="N6681" i="1"/>
  <c r="O6681" i="1"/>
  <c r="P6681" i="1"/>
  <c r="Q6681" i="1"/>
  <c r="R6681" i="1"/>
  <c r="S6681" i="1"/>
  <c r="T6681" i="1"/>
  <c r="U6681" i="1"/>
  <c r="V6681" i="1"/>
  <c r="W6681" i="1"/>
  <c r="X6681" i="1"/>
  <c r="Y6681" i="1"/>
  <c r="Z6681" i="1"/>
  <c r="A6682" i="1"/>
  <c r="B6682" i="1"/>
  <c r="C6682" i="1"/>
  <c r="D6682" i="1"/>
  <c r="E6682" i="1"/>
  <c r="F6682" i="1"/>
  <c r="G6682" i="1"/>
  <c r="I6682" i="1"/>
  <c r="J6682" i="1"/>
  <c r="K6682" i="1"/>
  <c r="L6682" i="1"/>
  <c r="M6682" i="1"/>
  <c r="N6682" i="1"/>
  <c r="O6682" i="1"/>
  <c r="P6682" i="1"/>
  <c r="Q6682" i="1"/>
  <c r="R6682" i="1"/>
  <c r="S6682" i="1"/>
  <c r="T6682" i="1"/>
  <c r="U6682" i="1"/>
  <c r="V6682" i="1"/>
  <c r="W6682" i="1"/>
  <c r="X6682" i="1"/>
  <c r="Y6682" i="1"/>
  <c r="Z6682" i="1"/>
  <c r="A6683" i="1"/>
  <c r="B6683" i="1"/>
  <c r="C6683" i="1"/>
  <c r="D6683" i="1"/>
  <c r="E6683" i="1"/>
  <c r="F6683" i="1"/>
  <c r="G6683" i="1"/>
  <c r="I6683" i="1"/>
  <c r="J6683" i="1"/>
  <c r="K6683" i="1"/>
  <c r="L6683" i="1"/>
  <c r="M6683" i="1"/>
  <c r="N6683" i="1"/>
  <c r="O6683" i="1"/>
  <c r="P6683" i="1"/>
  <c r="Q6683" i="1"/>
  <c r="R6683" i="1"/>
  <c r="S6683" i="1"/>
  <c r="T6683" i="1"/>
  <c r="U6683" i="1"/>
  <c r="V6683" i="1"/>
  <c r="W6683" i="1"/>
  <c r="X6683" i="1"/>
  <c r="Y6683" i="1"/>
  <c r="Z6683" i="1"/>
  <c r="A6684" i="1"/>
  <c r="B6684" i="1"/>
  <c r="C6684" i="1"/>
  <c r="D6684" i="1"/>
  <c r="E6684" i="1"/>
  <c r="F6684" i="1"/>
  <c r="G6684" i="1"/>
  <c r="I6684" i="1"/>
  <c r="J6684" i="1"/>
  <c r="K6684" i="1"/>
  <c r="L6684" i="1"/>
  <c r="M6684" i="1"/>
  <c r="N6684" i="1"/>
  <c r="O6684" i="1"/>
  <c r="P6684" i="1"/>
  <c r="Q6684" i="1"/>
  <c r="R6684" i="1"/>
  <c r="S6684" i="1"/>
  <c r="T6684" i="1"/>
  <c r="U6684" i="1"/>
  <c r="V6684" i="1"/>
  <c r="W6684" i="1"/>
  <c r="X6684" i="1"/>
  <c r="Y6684" i="1"/>
  <c r="Z6684" i="1"/>
  <c r="A6685" i="1"/>
  <c r="B6685" i="1"/>
  <c r="C6685" i="1"/>
  <c r="D6685" i="1"/>
  <c r="E6685" i="1"/>
  <c r="F6685" i="1"/>
  <c r="G6685" i="1"/>
  <c r="I6685" i="1"/>
  <c r="J6685" i="1"/>
  <c r="K6685" i="1"/>
  <c r="L6685" i="1"/>
  <c r="M6685" i="1"/>
  <c r="N6685" i="1"/>
  <c r="O6685" i="1"/>
  <c r="P6685" i="1"/>
  <c r="Q6685" i="1"/>
  <c r="R6685" i="1"/>
  <c r="S6685" i="1"/>
  <c r="T6685" i="1"/>
  <c r="U6685" i="1"/>
  <c r="V6685" i="1"/>
  <c r="W6685" i="1"/>
  <c r="X6685" i="1"/>
  <c r="Y6685" i="1"/>
  <c r="Z6685" i="1"/>
  <c r="A6686" i="1"/>
  <c r="B6686" i="1"/>
  <c r="C6686" i="1"/>
  <c r="D6686" i="1"/>
  <c r="E6686" i="1"/>
  <c r="F6686" i="1"/>
  <c r="G6686" i="1"/>
  <c r="I6686" i="1"/>
  <c r="J6686" i="1"/>
  <c r="K6686" i="1"/>
  <c r="L6686" i="1"/>
  <c r="M6686" i="1"/>
  <c r="N6686" i="1"/>
  <c r="O6686" i="1"/>
  <c r="P6686" i="1"/>
  <c r="Q6686" i="1"/>
  <c r="R6686" i="1"/>
  <c r="S6686" i="1"/>
  <c r="T6686" i="1"/>
  <c r="U6686" i="1"/>
  <c r="V6686" i="1"/>
  <c r="W6686" i="1"/>
  <c r="X6686" i="1"/>
  <c r="Y6686" i="1"/>
  <c r="Z6686" i="1"/>
  <c r="A6687" i="1"/>
  <c r="B6687" i="1"/>
  <c r="C6687" i="1"/>
  <c r="D6687" i="1"/>
  <c r="E6687" i="1"/>
  <c r="F6687" i="1"/>
  <c r="G6687" i="1"/>
  <c r="I6687" i="1"/>
  <c r="J6687" i="1"/>
  <c r="K6687" i="1"/>
  <c r="L6687" i="1"/>
  <c r="M6687" i="1"/>
  <c r="N6687" i="1"/>
  <c r="O6687" i="1"/>
  <c r="P6687" i="1"/>
  <c r="Q6687" i="1"/>
  <c r="R6687" i="1"/>
  <c r="S6687" i="1"/>
  <c r="T6687" i="1"/>
  <c r="U6687" i="1"/>
  <c r="V6687" i="1"/>
  <c r="W6687" i="1"/>
  <c r="X6687" i="1"/>
  <c r="Y6687" i="1"/>
  <c r="Z6687" i="1"/>
  <c r="A6688" i="1"/>
  <c r="B6688" i="1"/>
  <c r="C6688" i="1"/>
  <c r="D6688" i="1"/>
  <c r="E6688" i="1"/>
  <c r="F6688" i="1"/>
  <c r="G6688" i="1"/>
  <c r="I6688" i="1"/>
  <c r="J6688" i="1"/>
  <c r="K6688" i="1"/>
  <c r="L6688" i="1"/>
  <c r="M6688" i="1"/>
  <c r="N6688" i="1"/>
  <c r="O6688" i="1"/>
  <c r="P6688" i="1"/>
  <c r="Q6688" i="1"/>
  <c r="R6688" i="1"/>
  <c r="S6688" i="1"/>
  <c r="T6688" i="1"/>
  <c r="U6688" i="1"/>
  <c r="V6688" i="1"/>
  <c r="W6688" i="1"/>
  <c r="X6688" i="1"/>
  <c r="Y6688" i="1"/>
  <c r="Z6688" i="1"/>
  <c r="A6689" i="1"/>
  <c r="B6689" i="1"/>
  <c r="C6689" i="1"/>
  <c r="D6689" i="1"/>
  <c r="E6689" i="1"/>
  <c r="F6689" i="1"/>
  <c r="G6689" i="1"/>
  <c r="I6689" i="1"/>
  <c r="J6689" i="1"/>
  <c r="K6689" i="1"/>
  <c r="L6689" i="1"/>
  <c r="M6689" i="1"/>
  <c r="N6689" i="1"/>
  <c r="O6689" i="1"/>
  <c r="P6689" i="1"/>
  <c r="Q6689" i="1"/>
  <c r="R6689" i="1"/>
  <c r="S6689" i="1"/>
  <c r="T6689" i="1"/>
  <c r="U6689" i="1"/>
  <c r="V6689" i="1"/>
  <c r="W6689" i="1"/>
  <c r="X6689" i="1"/>
  <c r="Y6689" i="1"/>
  <c r="Z6689" i="1"/>
  <c r="A6690" i="1"/>
  <c r="B6690" i="1"/>
  <c r="C6690" i="1"/>
  <c r="D6690" i="1"/>
  <c r="E6690" i="1"/>
  <c r="F6690" i="1"/>
  <c r="G6690" i="1"/>
  <c r="I6690" i="1"/>
  <c r="J6690" i="1"/>
  <c r="K6690" i="1"/>
  <c r="L6690" i="1"/>
  <c r="M6690" i="1"/>
  <c r="N6690" i="1"/>
  <c r="O6690" i="1"/>
  <c r="P6690" i="1"/>
  <c r="Q6690" i="1"/>
  <c r="R6690" i="1"/>
  <c r="S6690" i="1"/>
  <c r="T6690" i="1"/>
  <c r="U6690" i="1"/>
  <c r="V6690" i="1"/>
  <c r="W6690" i="1"/>
  <c r="X6690" i="1"/>
  <c r="Y6690" i="1"/>
  <c r="Z6690" i="1"/>
  <c r="A6691" i="1"/>
  <c r="B6691" i="1"/>
  <c r="C6691" i="1"/>
  <c r="D6691" i="1"/>
  <c r="E6691" i="1"/>
  <c r="F6691" i="1"/>
  <c r="G6691" i="1"/>
  <c r="I6691" i="1"/>
  <c r="J6691" i="1"/>
  <c r="K6691" i="1"/>
  <c r="L6691" i="1"/>
  <c r="M6691" i="1"/>
  <c r="N6691" i="1"/>
  <c r="O6691" i="1"/>
  <c r="P6691" i="1"/>
  <c r="Q6691" i="1"/>
  <c r="R6691" i="1"/>
  <c r="S6691" i="1"/>
  <c r="T6691" i="1"/>
  <c r="U6691" i="1"/>
  <c r="V6691" i="1"/>
  <c r="W6691" i="1"/>
  <c r="X6691" i="1"/>
  <c r="Y6691" i="1"/>
  <c r="Z6691" i="1"/>
  <c r="A6692" i="1"/>
  <c r="B6692" i="1"/>
  <c r="C6692" i="1"/>
  <c r="D6692" i="1"/>
  <c r="E6692" i="1"/>
  <c r="F6692" i="1"/>
  <c r="G6692" i="1"/>
  <c r="I6692" i="1"/>
  <c r="J6692" i="1"/>
  <c r="K6692" i="1"/>
  <c r="L6692" i="1"/>
  <c r="M6692" i="1"/>
  <c r="N6692" i="1"/>
  <c r="O6692" i="1"/>
  <c r="P6692" i="1"/>
  <c r="Q6692" i="1"/>
  <c r="R6692" i="1"/>
  <c r="S6692" i="1"/>
  <c r="T6692" i="1"/>
  <c r="U6692" i="1"/>
  <c r="V6692" i="1"/>
  <c r="W6692" i="1"/>
  <c r="X6692" i="1"/>
  <c r="Y6692" i="1"/>
  <c r="Z6692" i="1"/>
  <c r="A6693" i="1"/>
  <c r="B6693" i="1"/>
  <c r="C6693" i="1"/>
  <c r="D6693" i="1"/>
  <c r="E6693" i="1"/>
  <c r="F6693" i="1"/>
  <c r="G6693" i="1"/>
  <c r="I6693" i="1"/>
  <c r="J6693" i="1"/>
  <c r="K6693" i="1"/>
  <c r="L6693" i="1"/>
  <c r="M6693" i="1"/>
  <c r="N6693" i="1"/>
  <c r="O6693" i="1"/>
  <c r="P6693" i="1"/>
  <c r="Q6693" i="1"/>
  <c r="R6693" i="1"/>
  <c r="S6693" i="1"/>
  <c r="T6693" i="1"/>
  <c r="U6693" i="1"/>
  <c r="V6693" i="1"/>
  <c r="W6693" i="1"/>
  <c r="X6693" i="1"/>
  <c r="Y6693" i="1"/>
  <c r="Z6693" i="1"/>
  <c r="A6694" i="1"/>
  <c r="B6694" i="1"/>
  <c r="C6694" i="1"/>
  <c r="D6694" i="1"/>
  <c r="E6694" i="1"/>
  <c r="F6694" i="1"/>
  <c r="G6694" i="1"/>
  <c r="I6694" i="1"/>
  <c r="J6694" i="1"/>
  <c r="K6694" i="1"/>
  <c r="L6694" i="1"/>
  <c r="M6694" i="1"/>
  <c r="N6694" i="1"/>
  <c r="O6694" i="1"/>
  <c r="P6694" i="1"/>
  <c r="Q6694" i="1"/>
  <c r="R6694" i="1"/>
  <c r="S6694" i="1"/>
  <c r="T6694" i="1"/>
  <c r="U6694" i="1"/>
  <c r="V6694" i="1"/>
  <c r="W6694" i="1"/>
  <c r="X6694" i="1"/>
  <c r="Y6694" i="1"/>
  <c r="Z6694" i="1"/>
  <c r="A6695" i="1"/>
  <c r="B6695" i="1"/>
  <c r="C6695" i="1"/>
  <c r="D6695" i="1"/>
  <c r="E6695" i="1"/>
  <c r="F6695" i="1"/>
  <c r="G6695" i="1"/>
  <c r="I6695" i="1"/>
  <c r="J6695" i="1"/>
  <c r="K6695" i="1"/>
  <c r="L6695" i="1"/>
  <c r="M6695" i="1"/>
  <c r="N6695" i="1"/>
  <c r="O6695" i="1"/>
  <c r="P6695" i="1"/>
  <c r="Q6695" i="1"/>
  <c r="R6695" i="1"/>
  <c r="S6695" i="1"/>
  <c r="T6695" i="1"/>
  <c r="U6695" i="1"/>
  <c r="V6695" i="1"/>
  <c r="W6695" i="1"/>
  <c r="X6695" i="1"/>
  <c r="Y6695" i="1"/>
  <c r="Z6695" i="1"/>
  <c r="A6696" i="1"/>
  <c r="B6696" i="1"/>
  <c r="C6696" i="1"/>
  <c r="D6696" i="1"/>
  <c r="E6696" i="1"/>
  <c r="F6696" i="1"/>
  <c r="G6696" i="1"/>
  <c r="I6696" i="1"/>
  <c r="J6696" i="1"/>
  <c r="K6696" i="1"/>
  <c r="L6696" i="1"/>
  <c r="M6696" i="1"/>
  <c r="N6696" i="1"/>
  <c r="O6696" i="1"/>
  <c r="P6696" i="1"/>
  <c r="Q6696" i="1"/>
  <c r="R6696" i="1"/>
  <c r="S6696" i="1"/>
  <c r="T6696" i="1"/>
  <c r="U6696" i="1"/>
  <c r="V6696" i="1"/>
  <c r="W6696" i="1"/>
  <c r="X6696" i="1"/>
  <c r="Y6696" i="1"/>
  <c r="Z6696" i="1"/>
  <c r="A6697" i="1"/>
  <c r="B6697" i="1"/>
  <c r="C6697" i="1"/>
  <c r="D6697" i="1"/>
  <c r="E6697" i="1"/>
  <c r="F6697" i="1"/>
  <c r="G6697" i="1"/>
  <c r="I6697" i="1"/>
  <c r="J6697" i="1"/>
  <c r="K6697" i="1"/>
  <c r="L6697" i="1"/>
  <c r="M6697" i="1"/>
  <c r="N6697" i="1"/>
  <c r="O6697" i="1"/>
  <c r="P6697" i="1"/>
  <c r="Q6697" i="1"/>
  <c r="R6697" i="1"/>
  <c r="S6697" i="1"/>
  <c r="T6697" i="1"/>
  <c r="U6697" i="1"/>
  <c r="V6697" i="1"/>
  <c r="W6697" i="1"/>
  <c r="X6697" i="1"/>
  <c r="Y6697" i="1"/>
  <c r="Z6697" i="1"/>
  <c r="A6698" i="1"/>
  <c r="B6698" i="1"/>
  <c r="C6698" i="1"/>
  <c r="D6698" i="1"/>
  <c r="E6698" i="1"/>
  <c r="F6698" i="1"/>
  <c r="G6698" i="1"/>
  <c r="I6698" i="1"/>
  <c r="J6698" i="1"/>
  <c r="K6698" i="1"/>
  <c r="L6698" i="1"/>
  <c r="M6698" i="1"/>
  <c r="N6698" i="1"/>
  <c r="O6698" i="1"/>
  <c r="P6698" i="1"/>
  <c r="Q6698" i="1"/>
  <c r="R6698" i="1"/>
  <c r="S6698" i="1"/>
  <c r="T6698" i="1"/>
  <c r="U6698" i="1"/>
  <c r="V6698" i="1"/>
  <c r="W6698" i="1"/>
  <c r="X6698" i="1"/>
  <c r="Y6698" i="1"/>
  <c r="Z6698" i="1"/>
  <c r="A6699" i="1"/>
  <c r="B6699" i="1"/>
  <c r="C6699" i="1"/>
  <c r="D6699" i="1"/>
  <c r="E6699" i="1"/>
  <c r="F6699" i="1"/>
  <c r="G6699" i="1"/>
  <c r="I6699" i="1"/>
  <c r="J6699" i="1"/>
  <c r="K6699" i="1"/>
  <c r="L6699" i="1"/>
  <c r="M6699" i="1"/>
  <c r="N6699" i="1"/>
  <c r="O6699" i="1"/>
  <c r="P6699" i="1"/>
  <c r="Q6699" i="1"/>
  <c r="R6699" i="1"/>
  <c r="S6699" i="1"/>
  <c r="T6699" i="1"/>
  <c r="U6699" i="1"/>
  <c r="V6699" i="1"/>
  <c r="W6699" i="1"/>
  <c r="X6699" i="1"/>
  <c r="Y6699" i="1"/>
  <c r="Z6699" i="1"/>
  <c r="A6700" i="1"/>
  <c r="B6700" i="1"/>
  <c r="C6700" i="1"/>
  <c r="D6700" i="1"/>
  <c r="E6700" i="1"/>
  <c r="F6700" i="1"/>
  <c r="G6700" i="1"/>
  <c r="I6700" i="1"/>
  <c r="J6700" i="1"/>
  <c r="K6700" i="1"/>
  <c r="L6700" i="1"/>
  <c r="M6700" i="1"/>
  <c r="N6700" i="1"/>
  <c r="O6700" i="1"/>
  <c r="P6700" i="1"/>
  <c r="Q6700" i="1"/>
  <c r="R6700" i="1"/>
  <c r="S6700" i="1"/>
  <c r="T6700" i="1"/>
  <c r="U6700" i="1"/>
  <c r="V6700" i="1"/>
  <c r="W6700" i="1"/>
  <c r="X6700" i="1"/>
  <c r="Y6700" i="1"/>
  <c r="Z6700" i="1"/>
  <c r="A6701" i="1"/>
  <c r="B6701" i="1"/>
  <c r="C6701" i="1"/>
  <c r="D6701" i="1"/>
  <c r="E6701" i="1"/>
  <c r="F6701" i="1"/>
  <c r="G6701" i="1"/>
  <c r="I6701" i="1"/>
  <c r="J6701" i="1"/>
  <c r="K6701" i="1"/>
  <c r="L6701" i="1"/>
  <c r="M6701" i="1"/>
  <c r="N6701" i="1"/>
  <c r="O6701" i="1"/>
  <c r="P6701" i="1"/>
  <c r="Q6701" i="1"/>
  <c r="R6701" i="1"/>
  <c r="S6701" i="1"/>
  <c r="T6701" i="1"/>
  <c r="U6701" i="1"/>
  <c r="V6701" i="1"/>
  <c r="W6701" i="1"/>
  <c r="X6701" i="1"/>
  <c r="Y6701" i="1"/>
  <c r="Z6701" i="1"/>
  <c r="A6702" i="1"/>
  <c r="B6702" i="1"/>
  <c r="C6702" i="1"/>
  <c r="D6702" i="1"/>
  <c r="E6702" i="1"/>
  <c r="F6702" i="1"/>
  <c r="G6702" i="1"/>
  <c r="I6702" i="1"/>
  <c r="J6702" i="1"/>
  <c r="K6702" i="1"/>
  <c r="L6702" i="1"/>
  <c r="M6702" i="1"/>
  <c r="N6702" i="1"/>
  <c r="O6702" i="1"/>
  <c r="P6702" i="1"/>
  <c r="Q6702" i="1"/>
  <c r="R6702" i="1"/>
  <c r="S6702" i="1"/>
  <c r="T6702" i="1"/>
  <c r="U6702" i="1"/>
  <c r="V6702" i="1"/>
  <c r="W6702" i="1"/>
  <c r="X6702" i="1"/>
  <c r="Y6702" i="1"/>
  <c r="Z6702" i="1"/>
  <c r="A6703" i="1"/>
  <c r="B6703" i="1"/>
  <c r="C6703" i="1"/>
  <c r="D6703" i="1"/>
  <c r="E6703" i="1"/>
  <c r="F6703" i="1"/>
  <c r="G6703" i="1"/>
  <c r="I6703" i="1"/>
  <c r="J6703" i="1"/>
  <c r="K6703" i="1"/>
  <c r="L6703" i="1"/>
  <c r="M6703" i="1"/>
  <c r="N6703" i="1"/>
  <c r="O6703" i="1"/>
  <c r="P6703" i="1"/>
  <c r="Q6703" i="1"/>
  <c r="R6703" i="1"/>
  <c r="S6703" i="1"/>
  <c r="T6703" i="1"/>
  <c r="U6703" i="1"/>
  <c r="V6703" i="1"/>
  <c r="W6703" i="1"/>
  <c r="X6703" i="1"/>
  <c r="Y6703" i="1"/>
  <c r="Z6703" i="1"/>
  <c r="A6704" i="1"/>
  <c r="B6704" i="1"/>
  <c r="C6704" i="1"/>
  <c r="D6704" i="1"/>
  <c r="E6704" i="1"/>
  <c r="F6704" i="1"/>
  <c r="G6704" i="1"/>
  <c r="I6704" i="1"/>
  <c r="J6704" i="1"/>
  <c r="K6704" i="1"/>
  <c r="L6704" i="1"/>
  <c r="M6704" i="1"/>
  <c r="N6704" i="1"/>
  <c r="O6704" i="1"/>
  <c r="P6704" i="1"/>
  <c r="Q6704" i="1"/>
  <c r="R6704" i="1"/>
  <c r="S6704" i="1"/>
  <c r="T6704" i="1"/>
  <c r="U6704" i="1"/>
  <c r="V6704" i="1"/>
  <c r="W6704" i="1"/>
  <c r="X6704" i="1"/>
  <c r="Y6704" i="1"/>
  <c r="Z6704" i="1"/>
  <c r="A6705" i="1"/>
  <c r="B6705" i="1"/>
  <c r="C6705" i="1"/>
  <c r="D6705" i="1"/>
  <c r="E6705" i="1"/>
  <c r="F6705" i="1"/>
  <c r="G6705" i="1"/>
  <c r="I6705" i="1"/>
  <c r="J6705" i="1"/>
  <c r="K6705" i="1"/>
  <c r="L6705" i="1"/>
  <c r="M6705" i="1"/>
  <c r="N6705" i="1"/>
  <c r="O6705" i="1"/>
  <c r="P6705" i="1"/>
  <c r="Q6705" i="1"/>
  <c r="R6705" i="1"/>
  <c r="S6705" i="1"/>
  <c r="T6705" i="1"/>
  <c r="U6705" i="1"/>
  <c r="V6705" i="1"/>
  <c r="W6705" i="1"/>
  <c r="X6705" i="1"/>
  <c r="Y6705" i="1"/>
  <c r="Z6705" i="1"/>
  <c r="A6706" i="1"/>
  <c r="B6706" i="1"/>
  <c r="C6706" i="1"/>
  <c r="D6706" i="1"/>
  <c r="E6706" i="1"/>
  <c r="F6706" i="1"/>
  <c r="G6706" i="1"/>
  <c r="I6706" i="1"/>
  <c r="J6706" i="1"/>
  <c r="K6706" i="1"/>
  <c r="L6706" i="1"/>
  <c r="M6706" i="1"/>
  <c r="N6706" i="1"/>
  <c r="O6706" i="1"/>
  <c r="P6706" i="1"/>
  <c r="Q6706" i="1"/>
  <c r="R6706" i="1"/>
  <c r="S6706" i="1"/>
  <c r="T6706" i="1"/>
  <c r="U6706" i="1"/>
  <c r="V6706" i="1"/>
  <c r="W6706" i="1"/>
  <c r="X6706" i="1"/>
  <c r="Y6706" i="1"/>
  <c r="Z6706" i="1"/>
  <c r="A6707" i="1"/>
  <c r="B6707" i="1"/>
  <c r="C6707" i="1"/>
  <c r="D6707" i="1"/>
  <c r="E6707" i="1"/>
  <c r="F6707" i="1"/>
  <c r="G6707" i="1"/>
  <c r="I6707" i="1"/>
  <c r="J6707" i="1"/>
  <c r="K6707" i="1"/>
  <c r="L6707" i="1"/>
  <c r="M6707" i="1"/>
  <c r="N6707" i="1"/>
  <c r="O6707" i="1"/>
  <c r="P6707" i="1"/>
  <c r="Q6707" i="1"/>
  <c r="R6707" i="1"/>
  <c r="S6707" i="1"/>
  <c r="T6707" i="1"/>
  <c r="U6707" i="1"/>
  <c r="V6707" i="1"/>
  <c r="W6707" i="1"/>
  <c r="X6707" i="1"/>
  <c r="Y6707" i="1"/>
  <c r="Z6707" i="1"/>
  <c r="A6708" i="1"/>
  <c r="B6708" i="1"/>
  <c r="C6708" i="1"/>
  <c r="D6708" i="1"/>
  <c r="E6708" i="1"/>
  <c r="F6708" i="1"/>
  <c r="G6708" i="1"/>
  <c r="I6708" i="1"/>
  <c r="J6708" i="1"/>
  <c r="K6708" i="1"/>
  <c r="L6708" i="1"/>
  <c r="M6708" i="1"/>
  <c r="N6708" i="1"/>
  <c r="O6708" i="1"/>
  <c r="P6708" i="1"/>
  <c r="Q6708" i="1"/>
  <c r="R6708" i="1"/>
  <c r="S6708" i="1"/>
  <c r="T6708" i="1"/>
  <c r="U6708" i="1"/>
  <c r="V6708" i="1"/>
  <c r="W6708" i="1"/>
  <c r="X6708" i="1"/>
  <c r="Y6708" i="1"/>
  <c r="Z6708" i="1"/>
  <c r="A6709" i="1"/>
  <c r="B6709" i="1"/>
  <c r="C6709" i="1"/>
  <c r="D6709" i="1"/>
  <c r="E6709" i="1"/>
  <c r="F6709" i="1"/>
  <c r="G6709" i="1"/>
  <c r="I6709" i="1"/>
  <c r="J6709" i="1"/>
  <c r="K6709" i="1"/>
  <c r="L6709" i="1"/>
  <c r="M6709" i="1"/>
  <c r="N6709" i="1"/>
  <c r="O6709" i="1"/>
  <c r="P6709" i="1"/>
  <c r="Q6709" i="1"/>
  <c r="R6709" i="1"/>
  <c r="S6709" i="1"/>
  <c r="T6709" i="1"/>
  <c r="U6709" i="1"/>
  <c r="V6709" i="1"/>
  <c r="W6709" i="1"/>
  <c r="X6709" i="1"/>
  <c r="Y6709" i="1"/>
  <c r="Z6709" i="1"/>
  <c r="A6710" i="1"/>
  <c r="B6710" i="1"/>
  <c r="C6710" i="1"/>
  <c r="D6710" i="1"/>
  <c r="E6710" i="1"/>
  <c r="F6710" i="1"/>
  <c r="G6710" i="1"/>
  <c r="I6710" i="1"/>
  <c r="J6710" i="1"/>
  <c r="K6710" i="1"/>
  <c r="L6710" i="1"/>
  <c r="M6710" i="1"/>
  <c r="N6710" i="1"/>
  <c r="O6710" i="1"/>
  <c r="P6710" i="1"/>
  <c r="Q6710" i="1"/>
  <c r="R6710" i="1"/>
  <c r="S6710" i="1"/>
  <c r="T6710" i="1"/>
  <c r="U6710" i="1"/>
  <c r="V6710" i="1"/>
  <c r="W6710" i="1"/>
  <c r="X6710" i="1"/>
  <c r="Y6710" i="1"/>
  <c r="Z6710" i="1"/>
  <c r="A6711" i="1"/>
  <c r="B6711" i="1"/>
  <c r="C6711" i="1"/>
  <c r="D6711" i="1"/>
  <c r="E6711" i="1"/>
  <c r="F6711" i="1"/>
  <c r="G6711" i="1"/>
  <c r="I6711" i="1"/>
  <c r="J6711" i="1"/>
  <c r="K6711" i="1"/>
  <c r="L6711" i="1"/>
  <c r="M6711" i="1"/>
  <c r="N6711" i="1"/>
  <c r="O6711" i="1"/>
  <c r="P6711" i="1"/>
  <c r="Q6711" i="1"/>
  <c r="R6711" i="1"/>
  <c r="S6711" i="1"/>
  <c r="T6711" i="1"/>
  <c r="U6711" i="1"/>
  <c r="V6711" i="1"/>
  <c r="W6711" i="1"/>
  <c r="X6711" i="1"/>
  <c r="Y6711" i="1"/>
  <c r="Z6711" i="1"/>
  <c r="A6712" i="1"/>
  <c r="B6712" i="1"/>
  <c r="C6712" i="1"/>
  <c r="D6712" i="1"/>
  <c r="E6712" i="1"/>
  <c r="F6712" i="1"/>
  <c r="G6712" i="1"/>
  <c r="I6712" i="1"/>
  <c r="J6712" i="1"/>
  <c r="K6712" i="1"/>
  <c r="L6712" i="1"/>
  <c r="M6712" i="1"/>
  <c r="N6712" i="1"/>
  <c r="O6712" i="1"/>
  <c r="P6712" i="1"/>
  <c r="Q6712" i="1"/>
  <c r="R6712" i="1"/>
  <c r="S6712" i="1"/>
  <c r="T6712" i="1"/>
  <c r="U6712" i="1"/>
  <c r="V6712" i="1"/>
  <c r="W6712" i="1"/>
  <c r="X6712" i="1"/>
  <c r="Y6712" i="1"/>
  <c r="Z6712" i="1"/>
  <c r="A6713" i="1"/>
  <c r="B6713" i="1"/>
  <c r="C6713" i="1"/>
  <c r="D6713" i="1"/>
  <c r="E6713" i="1"/>
  <c r="F6713" i="1"/>
  <c r="G6713" i="1"/>
  <c r="I6713" i="1"/>
  <c r="J6713" i="1"/>
  <c r="K6713" i="1"/>
  <c r="L6713" i="1"/>
  <c r="M6713" i="1"/>
  <c r="N6713" i="1"/>
  <c r="O6713" i="1"/>
  <c r="P6713" i="1"/>
  <c r="Q6713" i="1"/>
  <c r="R6713" i="1"/>
  <c r="S6713" i="1"/>
  <c r="T6713" i="1"/>
  <c r="U6713" i="1"/>
  <c r="V6713" i="1"/>
  <c r="W6713" i="1"/>
  <c r="X6713" i="1"/>
  <c r="Y6713" i="1"/>
  <c r="Z6713" i="1"/>
  <c r="A6714" i="1"/>
  <c r="B6714" i="1"/>
  <c r="C6714" i="1"/>
  <c r="D6714" i="1"/>
  <c r="E6714" i="1"/>
  <c r="F6714" i="1"/>
  <c r="G6714" i="1"/>
  <c r="I6714" i="1"/>
  <c r="J6714" i="1"/>
  <c r="K6714" i="1"/>
  <c r="L6714" i="1"/>
  <c r="M6714" i="1"/>
  <c r="N6714" i="1"/>
  <c r="O6714" i="1"/>
  <c r="P6714" i="1"/>
  <c r="Q6714" i="1"/>
  <c r="R6714" i="1"/>
  <c r="S6714" i="1"/>
  <c r="T6714" i="1"/>
  <c r="U6714" i="1"/>
  <c r="V6714" i="1"/>
  <c r="W6714" i="1"/>
  <c r="X6714" i="1"/>
  <c r="Y6714" i="1"/>
  <c r="Z6714" i="1"/>
  <c r="A6715" i="1"/>
  <c r="B6715" i="1"/>
  <c r="C6715" i="1"/>
  <c r="D6715" i="1"/>
  <c r="E6715" i="1"/>
  <c r="F6715" i="1"/>
  <c r="G6715" i="1"/>
  <c r="I6715" i="1"/>
  <c r="J6715" i="1"/>
  <c r="K6715" i="1"/>
  <c r="L6715" i="1"/>
  <c r="M6715" i="1"/>
  <c r="N6715" i="1"/>
  <c r="O6715" i="1"/>
  <c r="P6715" i="1"/>
  <c r="Q6715" i="1"/>
  <c r="R6715" i="1"/>
  <c r="S6715" i="1"/>
  <c r="T6715" i="1"/>
  <c r="U6715" i="1"/>
  <c r="V6715" i="1"/>
  <c r="W6715" i="1"/>
  <c r="X6715" i="1"/>
  <c r="Y6715" i="1"/>
  <c r="Z6715" i="1"/>
  <c r="A6716" i="1"/>
  <c r="B6716" i="1"/>
  <c r="C6716" i="1"/>
  <c r="D6716" i="1"/>
  <c r="E6716" i="1"/>
  <c r="F6716" i="1"/>
  <c r="G6716" i="1"/>
  <c r="I6716" i="1"/>
  <c r="J6716" i="1"/>
  <c r="K6716" i="1"/>
  <c r="L6716" i="1"/>
  <c r="M6716" i="1"/>
  <c r="N6716" i="1"/>
  <c r="O6716" i="1"/>
  <c r="P6716" i="1"/>
  <c r="Q6716" i="1"/>
  <c r="R6716" i="1"/>
  <c r="S6716" i="1"/>
  <c r="T6716" i="1"/>
  <c r="U6716" i="1"/>
  <c r="V6716" i="1"/>
  <c r="W6716" i="1"/>
  <c r="X6716" i="1"/>
  <c r="Y6716" i="1"/>
  <c r="Z6716" i="1"/>
  <c r="A6717" i="1"/>
  <c r="B6717" i="1"/>
  <c r="C6717" i="1"/>
  <c r="D6717" i="1"/>
  <c r="E6717" i="1"/>
  <c r="F6717" i="1"/>
  <c r="G6717" i="1"/>
  <c r="I6717" i="1"/>
  <c r="J6717" i="1"/>
  <c r="K6717" i="1"/>
  <c r="L6717" i="1"/>
  <c r="M6717" i="1"/>
  <c r="N6717" i="1"/>
  <c r="O6717" i="1"/>
  <c r="P6717" i="1"/>
  <c r="Q6717" i="1"/>
  <c r="R6717" i="1"/>
  <c r="S6717" i="1"/>
  <c r="T6717" i="1"/>
  <c r="U6717" i="1"/>
  <c r="V6717" i="1"/>
  <c r="W6717" i="1"/>
  <c r="X6717" i="1"/>
  <c r="Y6717" i="1"/>
  <c r="Z6717" i="1"/>
  <c r="A6718" i="1"/>
  <c r="B6718" i="1"/>
  <c r="C6718" i="1"/>
  <c r="D6718" i="1"/>
  <c r="E6718" i="1"/>
  <c r="F6718" i="1"/>
  <c r="G6718" i="1"/>
  <c r="I6718" i="1"/>
  <c r="J6718" i="1"/>
  <c r="K6718" i="1"/>
  <c r="L6718" i="1"/>
  <c r="M6718" i="1"/>
  <c r="N6718" i="1"/>
  <c r="O6718" i="1"/>
  <c r="P6718" i="1"/>
  <c r="Q6718" i="1"/>
  <c r="R6718" i="1"/>
  <c r="S6718" i="1"/>
  <c r="T6718" i="1"/>
  <c r="U6718" i="1"/>
  <c r="V6718" i="1"/>
  <c r="W6718" i="1"/>
  <c r="X6718" i="1"/>
  <c r="Y6718" i="1"/>
  <c r="Z6718" i="1"/>
  <c r="A6719" i="1"/>
  <c r="B6719" i="1"/>
  <c r="C6719" i="1"/>
  <c r="D6719" i="1"/>
  <c r="E6719" i="1"/>
  <c r="F6719" i="1"/>
  <c r="G6719" i="1"/>
  <c r="I6719" i="1"/>
  <c r="J6719" i="1"/>
  <c r="K6719" i="1"/>
  <c r="L6719" i="1"/>
  <c r="M6719" i="1"/>
  <c r="N6719" i="1"/>
  <c r="O6719" i="1"/>
  <c r="P6719" i="1"/>
  <c r="Q6719" i="1"/>
  <c r="R6719" i="1"/>
  <c r="S6719" i="1"/>
  <c r="T6719" i="1"/>
  <c r="U6719" i="1"/>
  <c r="V6719" i="1"/>
  <c r="W6719" i="1"/>
  <c r="X6719" i="1"/>
  <c r="Y6719" i="1"/>
  <c r="Z6719" i="1"/>
  <c r="A6720" i="1"/>
  <c r="B6720" i="1"/>
  <c r="C6720" i="1"/>
  <c r="D6720" i="1"/>
  <c r="E6720" i="1"/>
  <c r="F6720" i="1"/>
  <c r="G6720" i="1"/>
  <c r="I6720" i="1"/>
  <c r="J6720" i="1"/>
  <c r="K6720" i="1"/>
  <c r="L6720" i="1"/>
  <c r="M6720" i="1"/>
  <c r="N6720" i="1"/>
  <c r="O6720" i="1"/>
  <c r="P6720" i="1"/>
  <c r="Q6720" i="1"/>
  <c r="R6720" i="1"/>
  <c r="S6720" i="1"/>
  <c r="T6720" i="1"/>
  <c r="U6720" i="1"/>
  <c r="V6720" i="1"/>
  <c r="W6720" i="1"/>
  <c r="X6720" i="1"/>
  <c r="Y6720" i="1"/>
  <c r="Z6720" i="1"/>
  <c r="A6721" i="1"/>
  <c r="B6721" i="1"/>
  <c r="C6721" i="1"/>
  <c r="D6721" i="1"/>
  <c r="E6721" i="1"/>
  <c r="F6721" i="1"/>
  <c r="G6721" i="1"/>
  <c r="I6721" i="1"/>
  <c r="J6721" i="1"/>
  <c r="K6721" i="1"/>
  <c r="L6721" i="1"/>
  <c r="M6721" i="1"/>
  <c r="N6721" i="1"/>
  <c r="O6721" i="1"/>
  <c r="P6721" i="1"/>
  <c r="Q6721" i="1"/>
  <c r="R6721" i="1"/>
  <c r="S6721" i="1"/>
  <c r="T6721" i="1"/>
  <c r="U6721" i="1"/>
  <c r="V6721" i="1"/>
  <c r="W6721" i="1"/>
  <c r="X6721" i="1"/>
  <c r="Y6721" i="1"/>
  <c r="Z6721" i="1"/>
  <c r="A6722" i="1"/>
  <c r="B6722" i="1"/>
  <c r="C6722" i="1"/>
  <c r="D6722" i="1"/>
  <c r="E6722" i="1"/>
  <c r="F6722" i="1"/>
  <c r="G6722" i="1"/>
  <c r="I6722" i="1"/>
  <c r="J6722" i="1"/>
  <c r="K6722" i="1"/>
  <c r="L6722" i="1"/>
  <c r="M6722" i="1"/>
  <c r="N6722" i="1"/>
  <c r="O6722" i="1"/>
  <c r="P6722" i="1"/>
  <c r="Q6722" i="1"/>
  <c r="R6722" i="1"/>
  <c r="S6722" i="1"/>
  <c r="T6722" i="1"/>
  <c r="U6722" i="1"/>
  <c r="V6722" i="1"/>
  <c r="W6722" i="1"/>
  <c r="X6722" i="1"/>
  <c r="Y6722" i="1"/>
  <c r="Z6722" i="1"/>
  <c r="A6723" i="1"/>
  <c r="B6723" i="1"/>
  <c r="C6723" i="1"/>
  <c r="D6723" i="1"/>
  <c r="E6723" i="1"/>
  <c r="F6723" i="1"/>
  <c r="G6723" i="1"/>
  <c r="I6723" i="1"/>
  <c r="J6723" i="1"/>
  <c r="K6723" i="1"/>
  <c r="L6723" i="1"/>
  <c r="M6723" i="1"/>
  <c r="N6723" i="1"/>
  <c r="O6723" i="1"/>
  <c r="P6723" i="1"/>
  <c r="Q6723" i="1"/>
  <c r="R6723" i="1"/>
  <c r="S6723" i="1"/>
  <c r="T6723" i="1"/>
  <c r="U6723" i="1"/>
  <c r="V6723" i="1"/>
  <c r="W6723" i="1"/>
  <c r="X6723" i="1"/>
  <c r="Y6723" i="1"/>
  <c r="Z6723" i="1"/>
  <c r="A6724" i="1"/>
  <c r="B6724" i="1"/>
  <c r="C6724" i="1"/>
  <c r="D6724" i="1"/>
  <c r="E6724" i="1"/>
  <c r="F6724" i="1"/>
  <c r="G6724" i="1"/>
  <c r="I6724" i="1"/>
  <c r="J6724" i="1"/>
  <c r="K6724" i="1"/>
  <c r="L6724" i="1"/>
  <c r="M6724" i="1"/>
  <c r="N6724" i="1"/>
  <c r="O6724" i="1"/>
  <c r="P6724" i="1"/>
  <c r="Q6724" i="1"/>
  <c r="R6724" i="1"/>
  <c r="S6724" i="1"/>
  <c r="T6724" i="1"/>
  <c r="U6724" i="1"/>
  <c r="V6724" i="1"/>
  <c r="W6724" i="1"/>
  <c r="X6724" i="1"/>
  <c r="Y6724" i="1"/>
  <c r="Z6724" i="1"/>
  <c r="A6725" i="1"/>
  <c r="B6725" i="1"/>
  <c r="C6725" i="1"/>
  <c r="D6725" i="1"/>
  <c r="E6725" i="1"/>
  <c r="F6725" i="1"/>
  <c r="G6725" i="1"/>
  <c r="I6725" i="1"/>
  <c r="J6725" i="1"/>
  <c r="K6725" i="1"/>
  <c r="L6725" i="1"/>
  <c r="M6725" i="1"/>
  <c r="N6725" i="1"/>
  <c r="O6725" i="1"/>
  <c r="P6725" i="1"/>
  <c r="Q6725" i="1"/>
  <c r="R6725" i="1"/>
  <c r="S6725" i="1"/>
  <c r="T6725" i="1"/>
  <c r="U6725" i="1"/>
  <c r="V6725" i="1"/>
  <c r="W6725" i="1"/>
  <c r="X6725" i="1"/>
  <c r="Y6725" i="1"/>
  <c r="Z6725" i="1"/>
  <c r="A6726" i="1"/>
  <c r="B6726" i="1"/>
  <c r="C6726" i="1"/>
  <c r="D6726" i="1"/>
  <c r="E6726" i="1"/>
  <c r="F6726" i="1"/>
  <c r="G6726" i="1"/>
  <c r="I6726" i="1"/>
  <c r="J6726" i="1"/>
  <c r="K6726" i="1"/>
  <c r="L6726" i="1"/>
  <c r="M6726" i="1"/>
  <c r="N6726" i="1"/>
  <c r="O6726" i="1"/>
  <c r="P6726" i="1"/>
  <c r="Q6726" i="1"/>
  <c r="R6726" i="1"/>
  <c r="S6726" i="1"/>
  <c r="T6726" i="1"/>
  <c r="U6726" i="1"/>
  <c r="V6726" i="1"/>
  <c r="W6726" i="1"/>
  <c r="X6726" i="1"/>
  <c r="Y6726" i="1"/>
  <c r="Z6726" i="1"/>
  <c r="A6727" i="1"/>
  <c r="B6727" i="1"/>
  <c r="C6727" i="1"/>
  <c r="D6727" i="1"/>
  <c r="E6727" i="1"/>
  <c r="F6727" i="1"/>
  <c r="G6727" i="1"/>
  <c r="I6727" i="1"/>
  <c r="J6727" i="1"/>
  <c r="K6727" i="1"/>
  <c r="L6727" i="1"/>
  <c r="M6727" i="1"/>
  <c r="N6727" i="1"/>
  <c r="O6727" i="1"/>
  <c r="P6727" i="1"/>
  <c r="Q6727" i="1"/>
  <c r="R6727" i="1"/>
  <c r="S6727" i="1"/>
  <c r="T6727" i="1"/>
  <c r="U6727" i="1"/>
  <c r="V6727" i="1"/>
  <c r="W6727" i="1"/>
  <c r="X6727" i="1"/>
  <c r="Y6727" i="1"/>
  <c r="Z6727" i="1"/>
  <c r="A6728" i="1"/>
  <c r="B6728" i="1"/>
  <c r="C6728" i="1"/>
  <c r="D6728" i="1"/>
  <c r="E6728" i="1"/>
  <c r="F6728" i="1"/>
  <c r="G6728" i="1"/>
  <c r="I6728" i="1"/>
  <c r="J6728" i="1"/>
  <c r="K6728" i="1"/>
  <c r="L6728" i="1"/>
  <c r="M6728" i="1"/>
  <c r="N6728" i="1"/>
  <c r="O6728" i="1"/>
  <c r="P6728" i="1"/>
  <c r="Q6728" i="1"/>
  <c r="R6728" i="1"/>
  <c r="S6728" i="1"/>
  <c r="T6728" i="1"/>
  <c r="U6728" i="1"/>
  <c r="V6728" i="1"/>
  <c r="W6728" i="1"/>
  <c r="X6728" i="1"/>
  <c r="Y6728" i="1"/>
  <c r="Z6728" i="1"/>
  <c r="A6729" i="1"/>
  <c r="B6729" i="1"/>
  <c r="C6729" i="1"/>
  <c r="D6729" i="1"/>
  <c r="E6729" i="1"/>
  <c r="F6729" i="1"/>
  <c r="G6729" i="1"/>
  <c r="I6729" i="1"/>
  <c r="J6729" i="1"/>
  <c r="K6729" i="1"/>
  <c r="L6729" i="1"/>
  <c r="M6729" i="1"/>
  <c r="N6729" i="1"/>
  <c r="O6729" i="1"/>
  <c r="P6729" i="1"/>
  <c r="Q6729" i="1"/>
  <c r="R6729" i="1"/>
  <c r="S6729" i="1"/>
  <c r="T6729" i="1"/>
  <c r="U6729" i="1"/>
  <c r="V6729" i="1"/>
  <c r="W6729" i="1"/>
  <c r="X6729" i="1"/>
  <c r="Y6729" i="1"/>
  <c r="Z6729" i="1"/>
  <c r="A6730" i="1"/>
  <c r="B6730" i="1"/>
  <c r="C6730" i="1"/>
  <c r="D6730" i="1"/>
  <c r="E6730" i="1"/>
  <c r="F6730" i="1"/>
  <c r="G6730" i="1"/>
  <c r="I6730" i="1"/>
  <c r="J6730" i="1"/>
  <c r="K6730" i="1"/>
  <c r="L6730" i="1"/>
  <c r="M6730" i="1"/>
  <c r="N6730" i="1"/>
  <c r="O6730" i="1"/>
  <c r="P6730" i="1"/>
  <c r="Q6730" i="1"/>
  <c r="R6730" i="1"/>
  <c r="S6730" i="1"/>
  <c r="T6730" i="1"/>
  <c r="U6730" i="1"/>
  <c r="V6730" i="1"/>
  <c r="W6730" i="1"/>
  <c r="X6730" i="1"/>
  <c r="Y6730" i="1"/>
  <c r="Z6730" i="1"/>
  <c r="A6731" i="1"/>
  <c r="B6731" i="1"/>
  <c r="C6731" i="1"/>
  <c r="D6731" i="1"/>
  <c r="E6731" i="1"/>
  <c r="F6731" i="1"/>
  <c r="G6731" i="1"/>
  <c r="I6731" i="1"/>
  <c r="J6731" i="1"/>
  <c r="K6731" i="1"/>
  <c r="L6731" i="1"/>
  <c r="M6731" i="1"/>
  <c r="N6731" i="1"/>
  <c r="O6731" i="1"/>
  <c r="P6731" i="1"/>
  <c r="Q6731" i="1"/>
  <c r="R6731" i="1"/>
  <c r="S6731" i="1"/>
  <c r="T6731" i="1"/>
  <c r="U6731" i="1"/>
  <c r="V6731" i="1"/>
  <c r="W6731" i="1"/>
  <c r="X6731" i="1"/>
  <c r="Y6731" i="1"/>
  <c r="Z6731" i="1"/>
  <c r="A6732" i="1"/>
  <c r="B6732" i="1"/>
  <c r="C6732" i="1"/>
  <c r="D6732" i="1"/>
  <c r="E6732" i="1"/>
  <c r="F6732" i="1"/>
  <c r="G6732" i="1"/>
  <c r="I6732" i="1"/>
  <c r="J6732" i="1"/>
  <c r="K6732" i="1"/>
  <c r="L6732" i="1"/>
  <c r="M6732" i="1"/>
  <c r="N6732" i="1"/>
  <c r="O6732" i="1"/>
  <c r="P6732" i="1"/>
  <c r="Q6732" i="1"/>
  <c r="R6732" i="1"/>
  <c r="S6732" i="1"/>
  <c r="T6732" i="1"/>
  <c r="U6732" i="1"/>
  <c r="V6732" i="1"/>
  <c r="W6732" i="1"/>
  <c r="X6732" i="1"/>
  <c r="Y6732" i="1"/>
  <c r="Z6732" i="1"/>
  <c r="A6733" i="1"/>
  <c r="B6733" i="1"/>
  <c r="C6733" i="1"/>
  <c r="D6733" i="1"/>
  <c r="E6733" i="1"/>
  <c r="F6733" i="1"/>
  <c r="G6733" i="1"/>
  <c r="I6733" i="1"/>
  <c r="J6733" i="1"/>
  <c r="K6733" i="1"/>
  <c r="L6733" i="1"/>
  <c r="M6733" i="1"/>
  <c r="N6733" i="1"/>
  <c r="O6733" i="1"/>
  <c r="P6733" i="1"/>
  <c r="Q6733" i="1"/>
  <c r="R6733" i="1"/>
  <c r="S6733" i="1"/>
  <c r="T6733" i="1"/>
  <c r="U6733" i="1"/>
  <c r="V6733" i="1"/>
  <c r="W6733" i="1"/>
  <c r="X6733" i="1"/>
  <c r="Y6733" i="1"/>
  <c r="Z6733" i="1"/>
  <c r="A6734" i="1"/>
  <c r="B6734" i="1"/>
  <c r="C6734" i="1"/>
  <c r="D6734" i="1"/>
  <c r="E6734" i="1"/>
  <c r="F6734" i="1"/>
  <c r="G6734" i="1"/>
  <c r="I6734" i="1"/>
  <c r="J6734" i="1"/>
  <c r="K6734" i="1"/>
  <c r="L6734" i="1"/>
  <c r="M6734" i="1"/>
  <c r="N6734" i="1"/>
  <c r="O6734" i="1"/>
  <c r="P6734" i="1"/>
  <c r="Q6734" i="1"/>
  <c r="R6734" i="1"/>
  <c r="S6734" i="1"/>
  <c r="T6734" i="1"/>
  <c r="U6734" i="1"/>
  <c r="V6734" i="1"/>
  <c r="W6734" i="1"/>
  <c r="X6734" i="1"/>
  <c r="Y6734" i="1"/>
  <c r="Z6734" i="1"/>
  <c r="A6735" i="1"/>
  <c r="B6735" i="1"/>
  <c r="C6735" i="1"/>
  <c r="D6735" i="1"/>
  <c r="E6735" i="1"/>
  <c r="F6735" i="1"/>
  <c r="G6735" i="1"/>
  <c r="I6735" i="1"/>
  <c r="J6735" i="1"/>
  <c r="K6735" i="1"/>
  <c r="L6735" i="1"/>
  <c r="M6735" i="1"/>
  <c r="N6735" i="1"/>
  <c r="O6735" i="1"/>
  <c r="P6735" i="1"/>
  <c r="Q6735" i="1"/>
  <c r="R6735" i="1"/>
  <c r="S6735" i="1"/>
  <c r="T6735" i="1"/>
  <c r="U6735" i="1"/>
  <c r="V6735" i="1"/>
  <c r="W6735" i="1"/>
  <c r="X6735" i="1"/>
  <c r="Y6735" i="1"/>
  <c r="Z6735" i="1"/>
  <c r="A6736" i="1"/>
  <c r="B6736" i="1"/>
  <c r="C6736" i="1"/>
  <c r="D6736" i="1"/>
  <c r="E6736" i="1"/>
  <c r="F6736" i="1"/>
  <c r="G6736" i="1"/>
  <c r="I6736" i="1"/>
  <c r="J6736" i="1"/>
  <c r="K6736" i="1"/>
  <c r="L6736" i="1"/>
  <c r="M6736" i="1"/>
  <c r="N6736" i="1"/>
  <c r="O6736" i="1"/>
  <c r="P6736" i="1"/>
  <c r="Q6736" i="1"/>
  <c r="R6736" i="1"/>
  <c r="S6736" i="1"/>
  <c r="T6736" i="1"/>
  <c r="U6736" i="1"/>
  <c r="V6736" i="1"/>
  <c r="W6736" i="1"/>
  <c r="X6736" i="1"/>
  <c r="Y6736" i="1"/>
  <c r="Z6736" i="1"/>
  <c r="A6737" i="1"/>
  <c r="B6737" i="1"/>
  <c r="C6737" i="1"/>
  <c r="D6737" i="1"/>
  <c r="E6737" i="1"/>
  <c r="F6737" i="1"/>
  <c r="G6737" i="1"/>
  <c r="I6737" i="1"/>
  <c r="J6737" i="1"/>
  <c r="K6737" i="1"/>
  <c r="L6737" i="1"/>
  <c r="M6737" i="1"/>
  <c r="N6737" i="1"/>
  <c r="O6737" i="1"/>
  <c r="P6737" i="1"/>
  <c r="Q6737" i="1"/>
  <c r="R6737" i="1"/>
  <c r="S6737" i="1"/>
  <c r="T6737" i="1"/>
  <c r="U6737" i="1"/>
  <c r="V6737" i="1"/>
  <c r="W6737" i="1"/>
  <c r="X6737" i="1"/>
  <c r="Y6737" i="1"/>
  <c r="Z6737" i="1"/>
  <c r="A6738" i="1"/>
  <c r="B6738" i="1"/>
  <c r="C6738" i="1"/>
  <c r="D6738" i="1"/>
  <c r="E6738" i="1"/>
  <c r="F6738" i="1"/>
  <c r="G6738" i="1"/>
  <c r="I6738" i="1"/>
  <c r="J6738" i="1"/>
  <c r="K6738" i="1"/>
  <c r="L6738" i="1"/>
  <c r="M6738" i="1"/>
  <c r="N6738" i="1"/>
  <c r="O6738" i="1"/>
  <c r="P6738" i="1"/>
  <c r="Q6738" i="1"/>
  <c r="R6738" i="1"/>
  <c r="S6738" i="1"/>
  <c r="T6738" i="1"/>
  <c r="U6738" i="1"/>
  <c r="V6738" i="1"/>
  <c r="W6738" i="1"/>
  <c r="X6738" i="1"/>
  <c r="Y6738" i="1"/>
  <c r="Z6738" i="1"/>
  <c r="A6739" i="1"/>
  <c r="B6739" i="1"/>
  <c r="C6739" i="1"/>
  <c r="D6739" i="1"/>
  <c r="E6739" i="1"/>
  <c r="F6739" i="1"/>
  <c r="G6739" i="1"/>
  <c r="I6739" i="1"/>
  <c r="J6739" i="1"/>
  <c r="K6739" i="1"/>
  <c r="L6739" i="1"/>
  <c r="M6739" i="1"/>
  <c r="N6739" i="1"/>
  <c r="O6739" i="1"/>
  <c r="P6739" i="1"/>
  <c r="Q6739" i="1"/>
  <c r="R6739" i="1"/>
  <c r="S6739" i="1"/>
  <c r="T6739" i="1"/>
  <c r="U6739" i="1"/>
  <c r="V6739" i="1"/>
  <c r="W6739" i="1"/>
  <c r="X6739" i="1"/>
  <c r="Y6739" i="1"/>
  <c r="Z6739" i="1"/>
  <c r="A6740" i="1"/>
  <c r="B6740" i="1"/>
  <c r="C6740" i="1"/>
  <c r="D6740" i="1"/>
  <c r="E6740" i="1"/>
  <c r="F6740" i="1"/>
  <c r="G6740" i="1"/>
  <c r="I6740" i="1"/>
  <c r="J6740" i="1"/>
  <c r="K6740" i="1"/>
  <c r="L6740" i="1"/>
  <c r="M6740" i="1"/>
  <c r="N6740" i="1"/>
  <c r="O6740" i="1"/>
  <c r="P6740" i="1"/>
  <c r="Q6740" i="1"/>
  <c r="R6740" i="1"/>
  <c r="S6740" i="1"/>
  <c r="T6740" i="1"/>
  <c r="U6740" i="1"/>
  <c r="V6740" i="1"/>
  <c r="W6740" i="1"/>
  <c r="X6740" i="1"/>
  <c r="Y6740" i="1"/>
  <c r="Z6740" i="1"/>
  <c r="A6741" i="1"/>
  <c r="B6741" i="1"/>
  <c r="C6741" i="1"/>
  <c r="D6741" i="1"/>
  <c r="E6741" i="1"/>
  <c r="F6741" i="1"/>
  <c r="G6741" i="1"/>
  <c r="I6741" i="1"/>
  <c r="J6741" i="1"/>
  <c r="K6741" i="1"/>
  <c r="L6741" i="1"/>
  <c r="M6741" i="1"/>
  <c r="N6741" i="1"/>
  <c r="O6741" i="1"/>
  <c r="P6741" i="1"/>
  <c r="Q6741" i="1"/>
  <c r="R6741" i="1"/>
  <c r="S6741" i="1"/>
  <c r="T6741" i="1"/>
  <c r="U6741" i="1"/>
  <c r="V6741" i="1"/>
  <c r="W6741" i="1"/>
  <c r="X6741" i="1"/>
  <c r="Y6741" i="1"/>
  <c r="Z6741" i="1"/>
  <c r="A6742" i="1"/>
  <c r="B6742" i="1"/>
  <c r="C6742" i="1"/>
  <c r="D6742" i="1"/>
  <c r="E6742" i="1"/>
  <c r="F6742" i="1"/>
  <c r="G6742" i="1"/>
  <c r="I6742" i="1"/>
  <c r="J6742" i="1"/>
  <c r="K6742" i="1"/>
  <c r="L6742" i="1"/>
  <c r="M6742" i="1"/>
  <c r="N6742" i="1"/>
  <c r="O6742" i="1"/>
  <c r="P6742" i="1"/>
  <c r="Q6742" i="1"/>
  <c r="R6742" i="1"/>
  <c r="S6742" i="1"/>
  <c r="T6742" i="1"/>
  <c r="U6742" i="1"/>
  <c r="V6742" i="1"/>
  <c r="W6742" i="1"/>
  <c r="X6742" i="1"/>
  <c r="Y6742" i="1"/>
  <c r="Z6742" i="1"/>
  <c r="A6743" i="1"/>
  <c r="B6743" i="1"/>
  <c r="C6743" i="1"/>
  <c r="D6743" i="1"/>
  <c r="E6743" i="1"/>
  <c r="F6743" i="1"/>
  <c r="G6743" i="1"/>
  <c r="I6743" i="1"/>
  <c r="J6743" i="1"/>
  <c r="K6743" i="1"/>
  <c r="L6743" i="1"/>
  <c r="M6743" i="1"/>
  <c r="N6743" i="1"/>
  <c r="O6743" i="1"/>
  <c r="P6743" i="1"/>
  <c r="Q6743" i="1"/>
  <c r="R6743" i="1"/>
  <c r="S6743" i="1"/>
  <c r="T6743" i="1"/>
  <c r="U6743" i="1"/>
  <c r="V6743" i="1"/>
  <c r="W6743" i="1"/>
  <c r="X6743" i="1"/>
  <c r="Y6743" i="1"/>
  <c r="Z6743" i="1"/>
  <c r="A6744" i="1"/>
  <c r="B6744" i="1"/>
  <c r="C6744" i="1"/>
  <c r="D6744" i="1"/>
  <c r="E6744" i="1"/>
  <c r="F6744" i="1"/>
  <c r="G6744" i="1"/>
  <c r="I6744" i="1"/>
  <c r="J6744" i="1"/>
  <c r="K6744" i="1"/>
  <c r="L6744" i="1"/>
  <c r="M6744" i="1"/>
  <c r="N6744" i="1"/>
  <c r="O6744" i="1"/>
  <c r="P6744" i="1"/>
  <c r="Q6744" i="1"/>
  <c r="R6744" i="1"/>
  <c r="S6744" i="1"/>
  <c r="T6744" i="1"/>
  <c r="U6744" i="1"/>
  <c r="V6744" i="1"/>
  <c r="W6744" i="1"/>
  <c r="X6744" i="1"/>
  <c r="Y6744" i="1"/>
  <c r="Z6744" i="1"/>
  <c r="A6745" i="1"/>
  <c r="B6745" i="1"/>
  <c r="C6745" i="1"/>
  <c r="D6745" i="1"/>
  <c r="E6745" i="1"/>
  <c r="F6745" i="1"/>
  <c r="G6745" i="1"/>
  <c r="I6745" i="1"/>
  <c r="J6745" i="1"/>
  <c r="K6745" i="1"/>
  <c r="L6745" i="1"/>
  <c r="M6745" i="1"/>
  <c r="N6745" i="1"/>
  <c r="O6745" i="1"/>
  <c r="P6745" i="1"/>
  <c r="Q6745" i="1"/>
  <c r="R6745" i="1"/>
  <c r="S6745" i="1"/>
  <c r="T6745" i="1"/>
  <c r="U6745" i="1"/>
  <c r="V6745" i="1"/>
  <c r="W6745" i="1"/>
  <c r="X6745" i="1"/>
  <c r="Y6745" i="1"/>
  <c r="Z6745" i="1"/>
  <c r="A6746" i="1"/>
  <c r="B6746" i="1"/>
  <c r="C6746" i="1"/>
  <c r="D6746" i="1"/>
  <c r="E6746" i="1"/>
  <c r="F6746" i="1"/>
  <c r="G6746" i="1"/>
  <c r="I6746" i="1"/>
  <c r="J6746" i="1"/>
  <c r="K6746" i="1"/>
  <c r="L6746" i="1"/>
  <c r="M6746" i="1"/>
  <c r="N6746" i="1"/>
  <c r="O6746" i="1"/>
  <c r="P6746" i="1"/>
  <c r="Q6746" i="1"/>
  <c r="R6746" i="1"/>
  <c r="S6746" i="1"/>
  <c r="T6746" i="1"/>
  <c r="U6746" i="1"/>
  <c r="V6746" i="1"/>
  <c r="W6746" i="1"/>
  <c r="X6746" i="1"/>
  <c r="Y6746" i="1"/>
  <c r="Z6746" i="1"/>
  <c r="A6747" i="1"/>
  <c r="B6747" i="1"/>
  <c r="C6747" i="1"/>
  <c r="D6747" i="1"/>
  <c r="E6747" i="1"/>
  <c r="F6747" i="1"/>
  <c r="G6747" i="1"/>
  <c r="I6747" i="1"/>
  <c r="J6747" i="1"/>
  <c r="K6747" i="1"/>
  <c r="L6747" i="1"/>
  <c r="M6747" i="1"/>
  <c r="N6747" i="1"/>
  <c r="O6747" i="1"/>
  <c r="P6747" i="1"/>
  <c r="Q6747" i="1"/>
  <c r="R6747" i="1"/>
  <c r="S6747" i="1"/>
  <c r="T6747" i="1"/>
  <c r="U6747" i="1"/>
  <c r="V6747" i="1"/>
  <c r="W6747" i="1"/>
  <c r="X6747" i="1"/>
  <c r="Y6747" i="1"/>
  <c r="Z6747" i="1"/>
  <c r="A6748" i="1"/>
  <c r="B6748" i="1"/>
  <c r="C6748" i="1"/>
  <c r="D6748" i="1"/>
  <c r="E6748" i="1"/>
  <c r="F6748" i="1"/>
  <c r="G6748" i="1"/>
  <c r="I6748" i="1"/>
  <c r="J6748" i="1"/>
  <c r="K6748" i="1"/>
  <c r="L6748" i="1"/>
  <c r="M6748" i="1"/>
  <c r="N6748" i="1"/>
  <c r="O6748" i="1"/>
  <c r="P6748" i="1"/>
  <c r="Q6748" i="1"/>
  <c r="R6748" i="1"/>
  <c r="S6748" i="1"/>
  <c r="T6748" i="1"/>
  <c r="U6748" i="1"/>
  <c r="V6748" i="1"/>
  <c r="W6748" i="1"/>
  <c r="X6748" i="1"/>
  <c r="Y6748" i="1"/>
  <c r="Z6748" i="1"/>
  <c r="A6749" i="1"/>
  <c r="B6749" i="1"/>
  <c r="C6749" i="1"/>
  <c r="D6749" i="1"/>
  <c r="E6749" i="1"/>
  <c r="F6749" i="1"/>
  <c r="G6749" i="1"/>
  <c r="I6749" i="1"/>
  <c r="J6749" i="1"/>
  <c r="K6749" i="1"/>
  <c r="L6749" i="1"/>
  <c r="M6749" i="1"/>
  <c r="N6749" i="1"/>
  <c r="O6749" i="1"/>
  <c r="P6749" i="1"/>
  <c r="Q6749" i="1"/>
  <c r="R6749" i="1"/>
  <c r="S6749" i="1"/>
  <c r="T6749" i="1"/>
  <c r="U6749" i="1"/>
  <c r="V6749" i="1"/>
  <c r="W6749" i="1"/>
  <c r="X6749" i="1"/>
  <c r="Y6749" i="1"/>
  <c r="Z6749" i="1"/>
  <c r="A6750" i="1"/>
  <c r="B6750" i="1"/>
  <c r="C6750" i="1"/>
  <c r="D6750" i="1"/>
  <c r="E6750" i="1"/>
  <c r="F6750" i="1"/>
  <c r="G6750" i="1"/>
  <c r="I6750" i="1"/>
  <c r="J6750" i="1"/>
  <c r="K6750" i="1"/>
  <c r="L6750" i="1"/>
  <c r="M6750" i="1"/>
  <c r="N6750" i="1"/>
  <c r="O6750" i="1"/>
  <c r="P6750" i="1"/>
  <c r="Q6750" i="1"/>
  <c r="R6750" i="1"/>
  <c r="S6750" i="1"/>
  <c r="T6750" i="1"/>
  <c r="U6750" i="1"/>
  <c r="V6750" i="1"/>
  <c r="W6750" i="1"/>
  <c r="X6750" i="1"/>
  <c r="Y6750" i="1"/>
  <c r="Z6750" i="1"/>
  <c r="A6751" i="1"/>
  <c r="B6751" i="1"/>
  <c r="C6751" i="1"/>
  <c r="D6751" i="1"/>
  <c r="E6751" i="1"/>
  <c r="F6751" i="1"/>
  <c r="G6751" i="1"/>
  <c r="I6751" i="1"/>
  <c r="J6751" i="1"/>
  <c r="K6751" i="1"/>
  <c r="L6751" i="1"/>
  <c r="M6751" i="1"/>
  <c r="N6751" i="1"/>
  <c r="O6751" i="1"/>
  <c r="P6751" i="1"/>
  <c r="Q6751" i="1"/>
  <c r="R6751" i="1"/>
  <c r="S6751" i="1"/>
  <c r="T6751" i="1"/>
  <c r="U6751" i="1"/>
  <c r="V6751" i="1"/>
  <c r="W6751" i="1"/>
  <c r="X6751" i="1"/>
  <c r="Y6751" i="1"/>
  <c r="Z6751" i="1"/>
  <c r="A6752" i="1"/>
  <c r="B6752" i="1"/>
  <c r="C6752" i="1"/>
  <c r="D6752" i="1"/>
  <c r="E6752" i="1"/>
  <c r="F6752" i="1"/>
  <c r="G6752" i="1"/>
  <c r="I6752" i="1"/>
  <c r="J6752" i="1"/>
  <c r="K6752" i="1"/>
  <c r="L6752" i="1"/>
  <c r="M6752" i="1"/>
  <c r="N6752" i="1"/>
  <c r="O6752" i="1"/>
  <c r="P6752" i="1"/>
  <c r="Q6752" i="1"/>
  <c r="R6752" i="1"/>
  <c r="S6752" i="1"/>
  <c r="T6752" i="1"/>
  <c r="U6752" i="1"/>
  <c r="V6752" i="1"/>
  <c r="W6752" i="1"/>
  <c r="X6752" i="1"/>
  <c r="Y6752" i="1"/>
  <c r="Z6752" i="1"/>
  <c r="A6753" i="1"/>
  <c r="B6753" i="1"/>
  <c r="C6753" i="1"/>
  <c r="D6753" i="1"/>
  <c r="E6753" i="1"/>
  <c r="F6753" i="1"/>
  <c r="G6753" i="1"/>
  <c r="I6753" i="1"/>
  <c r="J6753" i="1"/>
  <c r="K6753" i="1"/>
  <c r="L6753" i="1"/>
  <c r="M6753" i="1"/>
  <c r="N6753" i="1"/>
  <c r="O6753" i="1"/>
  <c r="P6753" i="1"/>
  <c r="Q6753" i="1"/>
  <c r="R6753" i="1"/>
  <c r="S6753" i="1"/>
  <c r="T6753" i="1"/>
  <c r="U6753" i="1"/>
  <c r="V6753" i="1"/>
  <c r="W6753" i="1"/>
  <c r="X6753" i="1"/>
  <c r="Y6753" i="1"/>
  <c r="Z6753" i="1"/>
  <c r="A6754" i="1"/>
  <c r="B6754" i="1"/>
  <c r="C6754" i="1"/>
  <c r="D6754" i="1"/>
  <c r="E6754" i="1"/>
  <c r="F6754" i="1"/>
  <c r="G6754" i="1"/>
  <c r="I6754" i="1"/>
  <c r="J6754" i="1"/>
  <c r="K6754" i="1"/>
  <c r="L6754" i="1"/>
  <c r="M6754" i="1"/>
  <c r="N6754" i="1"/>
  <c r="O6754" i="1"/>
  <c r="P6754" i="1"/>
  <c r="Q6754" i="1"/>
  <c r="R6754" i="1"/>
  <c r="S6754" i="1"/>
  <c r="T6754" i="1"/>
  <c r="U6754" i="1"/>
  <c r="V6754" i="1"/>
  <c r="W6754" i="1"/>
  <c r="X6754" i="1"/>
  <c r="Y6754" i="1"/>
  <c r="Z6754" i="1"/>
  <c r="A6755" i="1"/>
  <c r="B6755" i="1"/>
  <c r="C6755" i="1"/>
  <c r="D6755" i="1"/>
  <c r="E6755" i="1"/>
  <c r="F6755" i="1"/>
  <c r="G6755" i="1"/>
  <c r="I6755" i="1"/>
  <c r="J6755" i="1"/>
  <c r="K6755" i="1"/>
  <c r="L6755" i="1"/>
  <c r="M6755" i="1"/>
  <c r="N6755" i="1"/>
  <c r="O6755" i="1"/>
  <c r="P6755" i="1"/>
  <c r="Q6755" i="1"/>
  <c r="R6755" i="1"/>
  <c r="S6755" i="1"/>
  <c r="T6755" i="1"/>
  <c r="U6755" i="1"/>
  <c r="V6755" i="1"/>
  <c r="W6755" i="1"/>
  <c r="X6755" i="1"/>
  <c r="Y6755" i="1"/>
  <c r="Z6755" i="1"/>
  <c r="A6756" i="1"/>
  <c r="B6756" i="1"/>
  <c r="C6756" i="1"/>
  <c r="D6756" i="1"/>
  <c r="E6756" i="1"/>
  <c r="F6756" i="1"/>
  <c r="G6756" i="1"/>
  <c r="I6756" i="1"/>
  <c r="J6756" i="1"/>
  <c r="K6756" i="1"/>
  <c r="L6756" i="1"/>
  <c r="M6756" i="1"/>
  <c r="N6756" i="1"/>
  <c r="O6756" i="1"/>
  <c r="P6756" i="1"/>
  <c r="Q6756" i="1"/>
  <c r="R6756" i="1"/>
  <c r="S6756" i="1"/>
  <c r="T6756" i="1"/>
  <c r="U6756" i="1"/>
  <c r="V6756" i="1"/>
  <c r="W6756" i="1"/>
  <c r="X6756" i="1"/>
  <c r="Y6756" i="1"/>
  <c r="Z6756" i="1"/>
  <c r="A6757" i="1"/>
  <c r="B6757" i="1"/>
  <c r="C6757" i="1"/>
  <c r="D6757" i="1"/>
  <c r="E6757" i="1"/>
  <c r="F6757" i="1"/>
  <c r="G6757" i="1"/>
  <c r="I6757" i="1"/>
  <c r="J6757" i="1"/>
  <c r="K6757" i="1"/>
  <c r="L6757" i="1"/>
  <c r="M6757" i="1"/>
  <c r="N6757" i="1"/>
  <c r="O6757" i="1"/>
  <c r="P6757" i="1"/>
  <c r="Q6757" i="1"/>
  <c r="R6757" i="1"/>
  <c r="S6757" i="1"/>
  <c r="T6757" i="1"/>
  <c r="U6757" i="1"/>
  <c r="V6757" i="1"/>
  <c r="W6757" i="1"/>
  <c r="X6757" i="1"/>
  <c r="Y6757" i="1"/>
  <c r="Z6757" i="1"/>
  <c r="A6758" i="1"/>
  <c r="B6758" i="1"/>
  <c r="C6758" i="1"/>
  <c r="D6758" i="1"/>
  <c r="E6758" i="1"/>
  <c r="F6758" i="1"/>
  <c r="G6758" i="1"/>
  <c r="I6758" i="1"/>
  <c r="J6758" i="1"/>
  <c r="K6758" i="1"/>
  <c r="L6758" i="1"/>
  <c r="M6758" i="1"/>
  <c r="N6758" i="1"/>
  <c r="O6758" i="1"/>
  <c r="P6758" i="1"/>
  <c r="Q6758" i="1"/>
  <c r="R6758" i="1"/>
  <c r="S6758" i="1"/>
  <c r="T6758" i="1"/>
  <c r="U6758" i="1"/>
  <c r="V6758" i="1"/>
  <c r="W6758" i="1"/>
  <c r="X6758" i="1"/>
  <c r="Y6758" i="1"/>
  <c r="Z6758" i="1"/>
  <c r="A6759" i="1"/>
  <c r="B6759" i="1"/>
  <c r="C6759" i="1"/>
  <c r="D6759" i="1"/>
  <c r="E6759" i="1"/>
  <c r="F6759" i="1"/>
  <c r="G6759" i="1"/>
  <c r="I6759" i="1"/>
  <c r="J6759" i="1"/>
  <c r="K6759" i="1"/>
  <c r="L6759" i="1"/>
  <c r="M6759" i="1"/>
  <c r="N6759" i="1"/>
  <c r="O6759" i="1"/>
  <c r="P6759" i="1"/>
  <c r="Q6759" i="1"/>
  <c r="R6759" i="1"/>
  <c r="S6759" i="1"/>
  <c r="T6759" i="1"/>
  <c r="U6759" i="1"/>
  <c r="V6759" i="1"/>
  <c r="W6759" i="1"/>
  <c r="X6759" i="1"/>
  <c r="Y6759" i="1"/>
  <c r="Z6759" i="1"/>
  <c r="A6760" i="1"/>
  <c r="B6760" i="1"/>
  <c r="C6760" i="1"/>
  <c r="D6760" i="1"/>
  <c r="E6760" i="1"/>
  <c r="F6760" i="1"/>
  <c r="G6760" i="1"/>
  <c r="I6760" i="1"/>
  <c r="J6760" i="1"/>
  <c r="K6760" i="1"/>
  <c r="L6760" i="1"/>
  <c r="M6760" i="1"/>
  <c r="N6760" i="1"/>
  <c r="O6760" i="1"/>
  <c r="P6760" i="1"/>
  <c r="Q6760" i="1"/>
  <c r="R6760" i="1"/>
  <c r="S6760" i="1"/>
  <c r="T6760" i="1"/>
  <c r="U6760" i="1"/>
  <c r="V6760" i="1"/>
  <c r="W6760" i="1"/>
  <c r="X6760" i="1"/>
  <c r="Y6760" i="1"/>
  <c r="Z6760" i="1"/>
  <c r="A6761" i="1"/>
  <c r="B6761" i="1"/>
  <c r="C6761" i="1"/>
  <c r="D6761" i="1"/>
  <c r="E6761" i="1"/>
  <c r="F6761" i="1"/>
  <c r="G6761" i="1"/>
  <c r="I6761" i="1"/>
  <c r="J6761" i="1"/>
  <c r="K6761" i="1"/>
  <c r="L6761" i="1"/>
  <c r="M6761" i="1"/>
  <c r="N6761" i="1"/>
  <c r="O6761" i="1"/>
  <c r="P6761" i="1"/>
  <c r="Q6761" i="1"/>
  <c r="R6761" i="1"/>
  <c r="S6761" i="1"/>
  <c r="T6761" i="1"/>
  <c r="U6761" i="1"/>
  <c r="V6761" i="1"/>
  <c r="W6761" i="1"/>
  <c r="X6761" i="1"/>
  <c r="Y6761" i="1"/>
  <c r="Z6761" i="1"/>
  <c r="A6762" i="1"/>
  <c r="B6762" i="1"/>
  <c r="C6762" i="1"/>
  <c r="D6762" i="1"/>
  <c r="E6762" i="1"/>
  <c r="F6762" i="1"/>
  <c r="G6762" i="1"/>
  <c r="I6762" i="1"/>
  <c r="J6762" i="1"/>
  <c r="K6762" i="1"/>
  <c r="L6762" i="1"/>
  <c r="M6762" i="1"/>
  <c r="N6762" i="1"/>
  <c r="O6762" i="1"/>
  <c r="P6762" i="1"/>
  <c r="Q6762" i="1"/>
  <c r="R6762" i="1"/>
  <c r="S6762" i="1"/>
  <c r="T6762" i="1"/>
  <c r="U6762" i="1"/>
  <c r="V6762" i="1"/>
  <c r="W6762" i="1"/>
  <c r="X6762" i="1"/>
  <c r="Y6762" i="1"/>
  <c r="Z6762" i="1"/>
  <c r="A6763" i="1"/>
  <c r="B6763" i="1"/>
  <c r="C6763" i="1"/>
  <c r="D6763" i="1"/>
  <c r="E6763" i="1"/>
  <c r="F6763" i="1"/>
  <c r="G6763" i="1"/>
  <c r="I6763" i="1"/>
  <c r="J6763" i="1"/>
  <c r="K6763" i="1"/>
  <c r="L6763" i="1"/>
  <c r="M6763" i="1"/>
  <c r="N6763" i="1"/>
  <c r="O6763" i="1"/>
  <c r="P6763" i="1"/>
  <c r="Q6763" i="1"/>
  <c r="R6763" i="1"/>
  <c r="S6763" i="1"/>
  <c r="T6763" i="1"/>
  <c r="U6763" i="1"/>
  <c r="V6763" i="1"/>
  <c r="W6763" i="1"/>
  <c r="X6763" i="1"/>
  <c r="Y6763" i="1"/>
  <c r="Z6763" i="1"/>
  <c r="A6764" i="1"/>
  <c r="B6764" i="1"/>
  <c r="C6764" i="1"/>
  <c r="D6764" i="1"/>
  <c r="E6764" i="1"/>
  <c r="F6764" i="1"/>
  <c r="G6764" i="1"/>
  <c r="I6764" i="1"/>
  <c r="J6764" i="1"/>
  <c r="K6764" i="1"/>
  <c r="L6764" i="1"/>
  <c r="M6764" i="1"/>
  <c r="N6764" i="1"/>
  <c r="O6764" i="1"/>
  <c r="P6764" i="1"/>
  <c r="Q6764" i="1"/>
  <c r="R6764" i="1"/>
  <c r="S6764" i="1"/>
  <c r="T6764" i="1"/>
  <c r="U6764" i="1"/>
  <c r="V6764" i="1"/>
  <c r="W6764" i="1"/>
  <c r="X6764" i="1"/>
  <c r="Y6764" i="1"/>
  <c r="Z6764" i="1"/>
  <c r="A6765" i="1"/>
  <c r="B6765" i="1"/>
  <c r="C6765" i="1"/>
  <c r="D6765" i="1"/>
  <c r="E6765" i="1"/>
  <c r="F6765" i="1"/>
  <c r="G6765" i="1"/>
  <c r="I6765" i="1"/>
  <c r="J6765" i="1"/>
  <c r="K6765" i="1"/>
  <c r="L6765" i="1"/>
  <c r="M6765" i="1"/>
  <c r="N6765" i="1"/>
  <c r="O6765" i="1"/>
  <c r="P6765" i="1"/>
  <c r="Q6765" i="1"/>
  <c r="R6765" i="1"/>
  <c r="S6765" i="1"/>
  <c r="T6765" i="1"/>
  <c r="U6765" i="1"/>
  <c r="V6765" i="1"/>
  <c r="W6765" i="1"/>
  <c r="X6765" i="1"/>
  <c r="Y6765" i="1"/>
  <c r="Z6765" i="1"/>
  <c r="A6766" i="1"/>
  <c r="B6766" i="1"/>
  <c r="C6766" i="1"/>
  <c r="D6766" i="1"/>
  <c r="E6766" i="1"/>
  <c r="F6766" i="1"/>
  <c r="G6766" i="1"/>
  <c r="I6766" i="1"/>
  <c r="J6766" i="1"/>
  <c r="K6766" i="1"/>
  <c r="L6766" i="1"/>
  <c r="M6766" i="1"/>
  <c r="N6766" i="1"/>
  <c r="O6766" i="1"/>
  <c r="P6766" i="1"/>
  <c r="Q6766" i="1"/>
  <c r="R6766" i="1"/>
  <c r="S6766" i="1"/>
  <c r="T6766" i="1"/>
  <c r="U6766" i="1"/>
  <c r="V6766" i="1"/>
  <c r="W6766" i="1"/>
  <c r="X6766" i="1"/>
  <c r="Y6766" i="1"/>
  <c r="Z6766" i="1"/>
  <c r="A6767" i="1"/>
  <c r="B6767" i="1"/>
  <c r="C6767" i="1"/>
  <c r="D6767" i="1"/>
  <c r="E6767" i="1"/>
  <c r="F6767" i="1"/>
  <c r="G6767" i="1"/>
  <c r="I6767" i="1"/>
  <c r="J6767" i="1"/>
  <c r="K6767" i="1"/>
  <c r="L6767" i="1"/>
  <c r="M6767" i="1"/>
  <c r="N6767" i="1"/>
  <c r="O6767" i="1"/>
  <c r="P6767" i="1"/>
  <c r="Q6767" i="1"/>
  <c r="R6767" i="1"/>
  <c r="S6767" i="1"/>
  <c r="T6767" i="1"/>
  <c r="U6767" i="1"/>
  <c r="V6767" i="1"/>
  <c r="W6767" i="1"/>
  <c r="X6767" i="1"/>
  <c r="Y6767" i="1"/>
  <c r="Z6767" i="1"/>
  <c r="A6768" i="1"/>
  <c r="B6768" i="1"/>
  <c r="C6768" i="1"/>
  <c r="D6768" i="1"/>
  <c r="E6768" i="1"/>
  <c r="F6768" i="1"/>
  <c r="G6768" i="1"/>
  <c r="I6768" i="1"/>
  <c r="J6768" i="1"/>
  <c r="K6768" i="1"/>
  <c r="L6768" i="1"/>
  <c r="M6768" i="1"/>
  <c r="N6768" i="1"/>
  <c r="O6768" i="1"/>
  <c r="P6768" i="1"/>
  <c r="Q6768" i="1"/>
  <c r="R6768" i="1"/>
  <c r="S6768" i="1"/>
  <c r="T6768" i="1"/>
  <c r="U6768" i="1"/>
  <c r="V6768" i="1"/>
  <c r="W6768" i="1"/>
  <c r="X6768" i="1"/>
  <c r="Y6768" i="1"/>
  <c r="Z6768" i="1"/>
  <c r="A6769" i="1"/>
  <c r="B6769" i="1"/>
  <c r="C6769" i="1"/>
  <c r="D6769" i="1"/>
  <c r="E6769" i="1"/>
  <c r="F6769" i="1"/>
  <c r="G6769" i="1"/>
  <c r="I6769" i="1"/>
  <c r="J6769" i="1"/>
  <c r="K6769" i="1"/>
  <c r="L6769" i="1"/>
  <c r="M6769" i="1"/>
  <c r="N6769" i="1"/>
  <c r="O6769" i="1"/>
  <c r="P6769" i="1"/>
  <c r="Q6769" i="1"/>
  <c r="R6769" i="1"/>
  <c r="S6769" i="1"/>
  <c r="T6769" i="1"/>
  <c r="U6769" i="1"/>
  <c r="V6769" i="1"/>
  <c r="W6769" i="1"/>
  <c r="X6769" i="1"/>
  <c r="Y6769" i="1"/>
  <c r="Z6769" i="1"/>
  <c r="A6770" i="1"/>
  <c r="B6770" i="1"/>
  <c r="C6770" i="1"/>
  <c r="D6770" i="1"/>
  <c r="E6770" i="1"/>
  <c r="F6770" i="1"/>
  <c r="G6770" i="1"/>
  <c r="I6770" i="1"/>
  <c r="J6770" i="1"/>
  <c r="K6770" i="1"/>
  <c r="L6770" i="1"/>
  <c r="M6770" i="1"/>
  <c r="N6770" i="1"/>
  <c r="O6770" i="1"/>
  <c r="P6770" i="1"/>
  <c r="Q6770" i="1"/>
  <c r="R6770" i="1"/>
  <c r="S6770" i="1"/>
  <c r="T6770" i="1"/>
  <c r="U6770" i="1"/>
  <c r="V6770" i="1"/>
  <c r="W6770" i="1"/>
  <c r="X6770" i="1"/>
  <c r="Y6770" i="1"/>
  <c r="Z6770" i="1"/>
  <c r="A6771" i="1"/>
  <c r="B6771" i="1"/>
  <c r="C6771" i="1"/>
  <c r="D6771" i="1"/>
  <c r="E6771" i="1"/>
  <c r="F6771" i="1"/>
  <c r="G6771" i="1"/>
  <c r="I6771" i="1"/>
  <c r="J6771" i="1"/>
  <c r="K6771" i="1"/>
  <c r="L6771" i="1"/>
  <c r="M6771" i="1"/>
  <c r="N6771" i="1"/>
  <c r="O6771" i="1"/>
  <c r="P6771" i="1"/>
  <c r="Q6771" i="1"/>
  <c r="R6771" i="1"/>
  <c r="S6771" i="1"/>
  <c r="T6771" i="1"/>
  <c r="U6771" i="1"/>
  <c r="V6771" i="1"/>
  <c r="W6771" i="1"/>
  <c r="X6771" i="1"/>
  <c r="Y6771" i="1"/>
  <c r="Z6771" i="1"/>
  <c r="A6772" i="1"/>
  <c r="B6772" i="1"/>
  <c r="C6772" i="1"/>
  <c r="D6772" i="1"/>
  <c r="E6772" i="1"/>
  <c r="F6772" i="1"/>
  <c r="G6772" i="1"/>
  <c r="I6772" i="1"/>
  <c r="J6772" i="1"/>
  <c r="K6772" i="1"/>
  <c r="L6772" i="1"/>
  <c r="M6772" i="1"/>
  <c r="N6772" i="1"/>
  <c r="O6772" i="1"/>
  <c r="P6772" i="1"/>
  <c r="Q6772" i="1"/>
  <c r="R6772" i="1"/>
  <c r="S6772" i="1"/>
  <c r="T6772" i="1"/>
  <c r="U6772" i="1"/>
  <c r="V6772" i="1"/>
  <c r="W6772" i="1"/>
  <c r="X6772" i="1"/>
  <c r="Y6772" i="1"/>
  <c r="Z6772" i="1"/>
  <c r="A6773" i="1"/>
  <c r="B6773" i="1"/>
  <c r="C6773" i="1"/>
  <c r="D6773" i="1"/>
  <c r="E6773" i="1"/>
  <c r="F6773" i="1"/>
  <c r="G6773" i="1"/>
  <c r="I6773" i="1"/>
  <c r="J6773" i="1"/>
  <c r="K6773" i="1"/>
  <c r="L6773" i="1"/>
  <c r="M6773" i="1"/>
  <c r="N6773" i="1"/>
  <c r="O6773" i="1"/>
  <c r="P6773" i="1"/>
  <c r="Q6773" i="1"/>
  <c r="R6773" i="1"/>
  <c r="S6773" i="1"/>
  <c r="T6773" i="1"/>
  <c r="U6773" i="1"/>
  <c r="V6773" i="1"/>
  <c r="W6773" i="1"/>
  <c r="X6773" i="1"/>
  <c r="Y6773" i="1"/>
  <c r="Z6773" i="1"/>
  <c r="A6774" i="1"/>
  <c r="B6774" i="1"/>
  <c r="C6774" i="1"/>
  <c r="D6774" i="1"/>
  <c r="E6774" i="1"/>
  <c r="F6774" i="1"/>
  <c r="G6774" i="1"/>
  <c r="I6774" i="1"/>
  <c r="J6774" i="1"/>
  <c r="K6774" i="1"/>
  <c r="L6774" i="1"/>
  <c r="M6774" i="1"/>
  <c r="N6774" i="1"/>
  <c r="O6774" i="1"/>
  <c r="P6774" i="1"/>
  <c r="Q6774" i="1"/>
  <c r="R6774" i="1"/>
  <c r="S6774" i="1"/>
  <c r="T6774" i="1"/>
  <c r="U6774" i="1"/>
  <c r="V6774" i="1"/>
  <c r="W6774" i="1"/>
  <c r="X6774" i="1"/>
  <c r="Y6774" i="1"/>
  <c r="Z6774" i="1"/>
  <c r="A6775" i="1"/>
  <c r="B6775" i="1"/>
  <c r="C6775" i="1"/>
  <c r="D6775" i="1"/>
  <c r="E6775" i="1"/>
  <c r="F6775" i="1"/>
  <c r="G6775" i="1"/>
  <c r="I6775" i="1"/>
  <c r="J6775" i="1"/>
  <c r="K6775" i="1"/>
  <c r="L6775" i="1"/>
  <c r="M6775" i="1"/>
  <c r="N6775" i="1"/>
  <c r="O6775" i="1"/>
  <c r="P6775" i="1"/>
  <c r="Q6775" i="1"/>
  <c r="R6775" i="1"/>
  <c r="S6775" i="1"/>
  <c r="T6775" i="1"/>
  <c r="U6775" i="1"/>
  <c r="V6775" i="1"/>
  <c r="W6775" i="1"/>
  <c r="X6775" i="1"/>
  <c r="Y6775" i="1"/>
  <c r="Z6775" i="1"/>
  <c r="A6776" i="1"/>
  <c r="B6776" i="1"/>
  <c r="C6776" i="1"/>
  <c r="D6776" i="1"/>
  <c r="E6776" i="1"/>
  <c r="F6776" i="1"/>
  <c r="G6776" i="1"/>
  <c r="I6776" i="1"/>
  <c r="J6776" i="1"/>
  <c r="K6776" i="1"/>
  <c r="L6776" i="1"/>
  <c r="M6776" i="1"/>
  <c r="N6776" i="1"/>
  <c r="O6776" i="1"/>
  <c r="P6776" i="1"/>
  <c r="Q6776" i="1"/>
  <c r="R6776" i="1"/>
  <c r="S6776" i="1"/>
  <c r="T6776" i="1"/>
  <c r="U6776" i="1"/>
  <c r="V6776" i="1"/>
  <c r="W6776" i="1"/>
  <c r="X6776" i="1"/>
  <c r="Y6776" i="1"/>
  <c r="Z6776" i="1"/>
  <c r="A6777" i="1"/>
  <c r="B6777" i="1"/>
  <c r="C6777" i="1"/>
  <c r="D6777" i="1"/>
  <c r="E6777" i="1"/>
  <c r="F6777" i="1"/>
  <c r="G6777" i="1"/>
  <c r="I6777" i="1"/>
  <c r="J6777" i="1"/>
  <c r="K6777" i="1"/>
  <c r="L6777" i="1"/>
  <c r="M6777" i="1"/>
  <c r="N6777" i="1"/>
  <c r="O6777" i="1"/>
  <c r="P6777" i="1"/>
  <c r="Q6777" i="1"/>
  <c r="R6777" i="1"/>
  <c r="S6777" i="1"/>
  <c r="T6777" i="1"/>
  <c r="U6777" i="1"/>
  <c r="V6777" i="1"/>
  <c r="W6777" i="1"/>
  <c r="X6777" i="1"/>
  <c r="Y6777" i="1"/>
  <c r="Z6777" i="1"/>
  <c r="A6778" i="1"/>
  <c r="B6778" i="1"/>
  <c r="C6778" i="1"/>
  <c r="D6778" i="1"/>
  <c r="E6778" i="1"/>
  <c r="F6778" i="1"/>
  <c r="G6778" i="1"/>
  <c r="I6778" i="1"/>
  <c r="J6778" i="1"/>
  <c r="K6778" i="1"/>
  <c r="L6778" i="1"/>
  <c r="M6778" i="1"/>
  <c r="N6778" i="1"/>
  <c r="O6778" i="1"/>
  <c r="P6778" i="1"/>
  <c r="Q6778" i="1"/>
  <c r="R6778" i="1"/>
  <c r="S6778" i="1"/>
  <c r="T6778" i="1"/>
  <c r="U6778" i="1"/>
  <c r="V6778" i="1"/>
  <c r="W6778" i="1"/>
  <c r="X6778" i="1"/>
  <c r="Y6778" i="1"/>
  <c r="Z6778" i="1"/>
  <c r="A6779" i="1"/>
  <c r="B6779" i="1"/>
  <c r="C6779" i="1"/>
  <c r="D6779" i="1"/>
  <c r="E6779" i="1"/>
  <c r="F6779" i="1"/>
  <c r="G6779" i="1"/>
  <c r="I6779" i="1"/>
  <c r="J6779" i="1"/>
  <c r="K6779" i="1"/>
  <c r="L6779" i="1"/>
  <c r="M6779" i="1"/>
  <c r="N6779" i="1"/>
  <c r="O6779" i="1"/>
  <c r="P6779" i="1"/>
  <c r="Q6779" i="1"/>
  <c r="R6779" i="1"/>
  <c r="S6779" i="1"/>
  <c r="T6779" i="1"/>
  <c r="U6779" i="1"/>
  <c r="V6779" i="1"/>
  <c r="W6779" i="1"/>
  <c r="X6779" i="1"/>
  <c r="Y6779" i="1"/>
  <c r="Z6779" i="1"/>
  <c r="A6780" i="1"/>
  <c r="B6780" i="1"/>
  <c r="C6780" i="1"/>
  <c r="D6780" i="1"/>
  <c r="E6780" i="1"/>
  <c r="F6780" i="1"/>
  <c r="G6780" i="1"/>
  <c r="I6780" i="1"/>
  <c r="J6780" i="1"/>
  <c r="K6780" i="1"/>
  <c r="L6780" i="1"/>
  <c r="M6780" i="1"/>
  <c r="N6780" i="1"/>
  <c r="O6780" i="1"/>
  <c r="P6780" i="1"/>
  <c r="Q6780" i="1"/>
  <c r="R6780" i="1"/>
  <c r="S6780" i="1"/>
  <c r="T6780" i="1"/>
  <c r="U6780" i="1"/>
  <c r="V6780" i="1"/>
  <c r="W6780" i="1"/>
  <c r="X6780" i="1"/>
  <c r="Y6780" i="1"/>
  <c r="Z6780" i="1"/>
  <c r="A6781" i="1"/>
  <c r="B6781" i="1"/>
  <c r="C6781" i="1"/>
  <c r="D6781" i="1"/>
  <c r="E6781" i="1"/>
  <c r="F6781" i="1"/>
  <c r="G6781" i="1"/>
  <c r="I6781" i="1"/>
  <c r="J6781" i="1"/>
  <c r="K6781" i="1"/>
  <c r="L6781" i="1"/>
  <c r="M6781" i="1"/>
  <c r="N6781" i="1"/>
  <c r="O6781" i="1"/>
  <c r="P6781" i="1"/>
  <c r="Q6781" i="1"/>
  <c r="R6781" i="1"/>
  <c r="S6781" i="1"/>
  <c r="T6781" i="1"/>
  <c r="U6781" i="1"/>
  <c r="V6781" i="1"/>
  <c r="W6781" i="1"/>
  <c r="X6781" i="1"/>
  <c r="Y6781" i="1"/>
  <c r="Z6781" i="1"/>
  <c r="A6782" i="1"/>
  <c r="B6782" i="1"/>
  <c r="C6782" i="1"/>
  <c r="D6782" i="1"/>
  <c r="E6782" i="1"/>
  <c r="F6782" i="1"/>
  <c r="G6782" i="1"/>
  <c r="I6782" i="1"/>
  <c r="J6782" i="1"/>
  <c r="K6782" i="1"/>
  <c r="L6782" i="1"/>
  <c r="M6782" i="1"/>
  <c r="N6782" i="1"/>
  <c r="O6782" i="1"/>
  <c r="P6782" i="1"/>
  <c r="Q6782" i="1"/>
  <c r="R6782" i="1"/>
  <c r="S6782" i="1"/>
  <c r="T6782" i="1"/>
  <c r="U6782" i="1"/>
  <c r="V6782" i="1"/>
  <c r="W6782" i="1"/>
  <c r="X6782" i="1"/>
  <c r="Y6782" i="1"/>
  <c r="Z6782" i="1"/>
  <c r="A6783" i="1"/>
  <c r="B6783" i="1"/>
  <c r="C6783" i="1"/>
  <c r="D6783" i="1"/>
  <c r="E6783" i="1"/>
  <c r="F6783" i="1"/>
  <c r="G6783" i="1"/>
  <c r="I6783" i="1"/>
  <c r="J6783" i="1"/>
  <c r="K6783" i="1"/>
  <c r="L6783" i="1"/>
  <c r="M6783" i="1"/>
  <c r="N6783" i="1"/>
  <c r="O6783" i="1"/>
  <c r="P6783" i="1"/>
  <c r="Q6783" i="1"/>
  <c r="R6783" i="1"/>
  <c r="S6783" i="1"/>
  <c r="T6783" i="1"/>
  <c r="U6783" i="1"/>
  <c r="V6783" i="1"/>
  <c r="W6783" i="1"/>
  <c r="X6783" i="1"/>
  <c r="Y6783" i="1"/>
  <c r="Z6783" i="1"/>
  <c r="A6784" i="1"/>
  <c r="B6784" i="1"/>
  <c r="C6784" i="1"/>
  <c r="D6784" i="1"/>
  <c r="E6784" i="1"/>
  <c r="F6784" i="1"/>
  <c r="G6784" i="1"/>
  <c r="I6784" i="1"/>
  <c r="J6784" i="1"/>
  <c r="K6784" i="1"/>
  <c r="L6784" i="1"/>
  <c r="M6784" i="1"/>
  <c r="N6784" i="1"/>
  <c r="O6784" i="1"/>
  <c r="P6784" i="1"/>
  <c r="Q6784" i="1"/>
  <c r="R6784" i="1"/>
  <c r="S6784" i="1"/>
  <c r="T6784" i="1"/>
  <c r="U6784" i="1"/>
  <c r="V6784" i="1"/>
  <c r="W6784" i="1"/>
  <c r="X6784" i="1"/>
  <c r="Y6784" i="1"/>
  <c r="Z6784" i="1"/>
  <c r="A6785" i="1"/>
  <c r="B6785" i="1"/>
  <c r="C6785" i="1"/>
  <c r="D6785" i="1"/>
  <c r="E6785" i="1"/>
  <c r="F6785" i="1"/>
  <c r="G6785" i="1"/>
  <c r="I6785" i="1"/>
  <c r="J6785" i="1"/>
  <c r="K6785" i="1"/>
  <c r="L6785" i="1"/>
  <c r="M6785" i="1"/>
  <c r="N6785" i="1"/>
  <c r="O6785" i="1"/>
  <c r="P6785" i="1"/>
  <c r="Q6785" i="1"/>
  <c r="R6785" i="1"/>
  <c r="S6785" i="1"/>
  <c r="T6785" i="1"/>
  <c r="U6785" i="1"/>
  <c r="V6785" i="1"/>
  <c r="W6785" i="1"/>
  <c r="X6785" i="1"/>
  <c r="Y6785" i="1"/>
  <c r="Z6785" i="1"/>
  <c r="A6786" i="1"/>
  <c r="B6786" i="1"/>
  <c r="C6786" i="1"/>
  <c r="D6786" i="1"/>
  <c r="E6786" i="1"/>
  <c r="F6786" i="1"/>
  <c r="G6786" i="1"/>
  <c r="I6786" i="1"/>
  <c r="J6786" i="1"/>
  <c r="K6786" i="1"/>
  <c r="L6786" i="1"/>
  <c r="M6786" i="1"/>
  <c r="N6786" i="1"/>
  <c r="O6786" i="1"/>
  <c r="P6786" i="1"/>
  <c r="Q6786" i="1"/>
  <c r="R6786" i="1"/>
  <c r="S6786" i="1"/>
  <c r="T6786" i="1"/>
  <c r="U6786" i="1"/>
  <c r="V6786" i="1"/>
  <c r="W6786" i="1"/>
  <c r="X6786" i="1"/>
  <c r="Y6786" i="1"/>
  <c r="Z6786" i="1"/>
  <c r="A6787" i="1"/>
  <c r="B6787" i="1"/>
  <c r="C6787" i="1"/>
  <c r="D6787" i="1"/>
  <c r="E6787" i="1"/>
  <c r="F6787" i="1"/>
  <c r="G6787" i="1"/>
  <c r="I6787" i="1"/>
  <c r="J6787" i="1"/>
  <c r="K6787" i="1"/>
  <c r="L6787" i="1"/>
  <c r="M6787" i="1"/>
  <c r="N6787" i="1"/>
  <c r="O6787" i="1"/>
  <c r="P6787" i="1"/>
  <c r="Q6787" i="1"/>
  <c r="R6787" i="1"/>
  <c r="S6787" i="1"/>
  <c r="T6787" i="1"/>
  <c r="U6787" i="1"/>
  <c r="V6787" i="1"/>
  <c r="W6787" i="1"/>
  <c r="X6787" i="1"/>
  <c r="Y6787" i="1"/>
  <c r="Z6787" i="1"/>
  <c r="A6788" i="1"/>
  <c r="B6788" i="1"/>
  <c r="C6788" i="1"/>
  <c r="D6788" i="1"/>
  <c r="E6788" i="1"/>
  <c r="F6788" i="1"/>
  <c r="G6788" i="1"/>
  <c r="I6788" i="1"/>
  <c r="J6788" i="1"/>
  <c r="K6788" i="1"/>
  <c r="L6788" i="1"/>
  <c r="M6788" i="1"/>
  <c r="N6788" i="1"/>
  <c r="O6788" i="1"/>
  <c r="P6788" i="1"/>
  <c r="Q6788" i="1"/>
  <c r="R6788" i="1"/>
  <c r="S6788" i="1"/>
  <c r="T6788" i="1"/>
  <c r="U6788" i="1"/>
  <c r="V6788" i="1"/>
  <c r="W6788" i="1"/>
  <c r="X6788" i="1"/>
  <c r="Y6788" i="1"/>
  <c r="Z6788" i="1"/>
  <c r="A6789" i="1"/>
  <c r="B6789" i="1"/>
  <c r="C6789" i="1"/>
  <c r="D6789" i="1"/>
  <c r="E6789" i="1"/>
  <c r="F6789" i="1"/>
  <c r="G6789" i="1"/>
  <c r="I6789" i="1"/>
  <c r="J6789" i="1"/>
  <c r="K6789" i="1"/>
  <c r="L6789" i="1"/>
  <c r="M6789" i="1"/>
  <c r="N6789" i="1"/>
  <c r="O6789" i="1"/>
  <c r="P6789" i="1"/>
  <c r="Q6789" i="1"/>
  <c r="R6789" i="1"/>
  <c r="S6789" i="1"/>
  <c r="T6789" i="1"/>
  <c r="U6789" i="1"/>
  <c r="V6789" i="1"/>
  <c r="W6789" i="1"/>
  <c r="X6789" i="1"/>
  <c r="Y6789" i="1"/>
  <c r="Z6789" i="1"/>
  <c r="A6790" i="1"/>
  <c r="B6790" i="1"/>
  <c r="C6790" i="1"/>
  <c r="D6790" i="1"/>
  <c r="E6790" i="1"/>
  <c r="F6790" i="1"/>
  <c r="G6790" i="1"/>
  <c r="I6790" i="1"/>
  <c r="J6790" i="1"/>
  <c r="K6790" i="1"/>
  <c r="L6790" i="1"/>
  <c r="M6790" i="1"/>
  <c r="N6790" i="1"/>
  <c r="O6790" i="1"/>
  <c r="P6790" i="1"/>
  <c r="Q6790" i="1"/>
  <c r="R6790" i="1"/>
  <c r="S6790" i="1"/>
  <c r="T6790" i="1"/>
  <c r="U6790" i="1"/>
  <c r="V6790" i="1"/>
  <c r="W6790" i="1"/>
  <c r="X6790" i="1"/>
  <c r="Y6790" i="1"/>
  <c r="Z6790" i="1"/>
  <c r="A6791" i="1"/>
  <c r="B6791" i="1"/>
  <c r="C6791" i="1"/>
  <c r="D6791" i="1"/>
  <c r="E6791" i="1"/>
  <c r="F6791" i="1"/>
  <c r="G6791" i="1"/>
  <c r="I6791" i="1"/>
  <c r="J6791" i="1"/>
  <c r="K6791" i="1"/>
  <c r="L6791" i="1"/>
  <c r="M6791" i="1"/>
  <c r="N6791" i="1"/>
  <c r="O6791" i="1"/>
  <c r="P6791" i="1"/>
  <c r="Q6791" i="1"/>
  <c r="R6791" i="1"/>
  <c r="S6791" i="1"/>
  <c r="T6791" i="1"/>
  <c r="U6791" i="1"/>
  <c r="V6791" i="1"/>
  <c r="W6791" i="1"/>
  <c r="X6791" i="1"/>
  <c r="Y6791" i="1"/>
  <c r="Z6791" i="1"/>
  <c r="A6792" i="1"/>
  <c r="B6792" i="1"/>
  <c r="C6792" i="1"/>
  <c r="D6792" i="1"/>
  <c r="E6792" i="1"/>
  <c r="F6792" i="1"/>
  <c r="G6792" i="1"/>
  <c r="I6792" i="1"/>
  <c r="J6792" i="1"/>
  <c r="K6792" i="1"/>
  <c r="L6792" i="1"/>
  <c r="M6792" i="1"/>
  <c r="N6792" i="1"/>
  <c r="O6792" i="1"/>
  <c r="P6792" i="1"/>
  <c r="Q6792" i="1"/>
  <c r="R6792" i="1"/>
  <c r="S6792" i="1"/>
  <c r="T6792" i="1"/>
  <c r="U6792" i="1"/>
  <c r="V6792" i="1"/>
  <c r="W6792" i="1"/>
  <c r="X6792" i="1"/>
  <c r="Y6792" i="1"/>
  <c r="Z6792" i="1"/>
  <c r="A6793" i="1"/>
  <c r="B6793" i="1"/>
  <c r="C6793" i="1"/>
  <c r="D6793" i="1"/>
  <c r="E6793" i="1"/>
  <c r="F6793" i="1"/>
  <c r="G6793" i="1"/>
  <c r="I6793" i="1"/>
  <c r="J6793" i="1"/>
  <c r="K6793" i="1"/>
  <c r="L6793" i="1"/>
  <c r="M6793" i="1"/>
  <c r="N6793" i="1"/>
  <c r="O6793" i="1"/>
  <c r="P6793" i="1"/>
  <c r="Q6793" i="1"/>
  <c r="R6793" i="1"/>
  <c r="S6793" i="1"/>
  <c r="T6793" i="1"/>
  <c r="U6793" i="1"/>
  <c r="V6793" i="1"/>
  <c r="W6793" i="1"/>
  <c r="X6793" i="1"/>
  <c r="Y6793" i="1"/>
  <c r="Z6793" i="1"/>
  <c r="A6794" i="1"/>
  <c r="B6794" i="1"/>
  <c r="C6794" i="1"/>
  <c r="D6794" i="1"/>
  <c r="E6794" i="1"/>
  <c r="F6794" i="1"/>
  <c r="G6794" i="1"/>
  <c r="I6794" i="1"/>
  <c r="J6794" i="1"/>
  <c r="K6794" i="1"/>
  <c r="L6794" i="1"/>
  <c r="M6794" i="1"/>
  <c r="N6794" i="1"/>
  <c r="O6794" i="1"/>
  <c r="P6794" i="1"/>
  <c r="Q6794" i="1"/>
  <c r="R6794" i="1"/>
  <c r="S6794" i="1"/>
  <c r="T6794" i="1"/>
  <c r="U6794" i="1"/>
  <c r="V6794" i="1"/>
  <c r="W6794" i="1"/>
  <c r="X6794" i="1"/>
  <c r="Y6794" i="1"/>
  <c r="Z6794" i="1"/>
  <c r="A6795" i="1"/>
  <c r="B6795" i="1"/>
  <c r="C6795" i="1"/>
  <c r="D6795" i="1"/>
  <c r="E6795" i="1"/>
  <c r="F6795" i="1"/>
  <c r="G6795" i="1"/>
  <c r="I6795" i="1"/>
  <c r="J6795" i="1"/>
  <c r="K6795" i="1"/>
  <c r="L6795" i="1"/>
  <c r="M6795" i="1"/>
  <c r="N6795" i="1"/>
  <c r="O6795" i="1"/>
  <c r="P6795" i="1"/>
  <c r="Q6795" i="1"/>
  <c r="R6795" i="1"/>
  <c r="S6795" i="1"/>
  <c r="T6795" i="1"/>
  <c r="U6795" i="1"/>
  <c r="V6795" i="1"/>
  <c r="W6795" i="1"/>
  <c r="X6795" i="1"/>
  <c r="Y6795" i="1"/>
  <c r="Z6795" i="1"/>
  <c r="A6796" i="1"/>
  <c r="B6796" i="1"/>
  <c r="C6796" i="1"/>
  <c r="D6796" i="1"/>
  <c r="E6796" i="1"/>
  <c r="F6796" i="1"/>
  <c r="G6796" i="1"/>
  <c r="I6796" i="1"/>
  <c r="J6796" i="1"/>
  <c r="K6796" i="1"/>
  <c r="L6796" i="1"/>
  <c r="M6796" i="1"/>
  <c r="N6796" i="1"/>
  <c r="O6796" i="1"/>
  <c r="P6796" i="1"/>
  <c r="Q6796" i="1"/>
  <c r="R6796" i="1"/>
  <c r="S6796" i="1"/>
  <c r="T6796" i="1"/>
  <c r="U6796" i="1"/>
  <c r="V6796" i="1"/>
  <c r="W6796" i="1"/>
  <c r="X6796" i="1"/>
  <c r="Y6796" i="1"/>
  <c r="Z6796" i="1"/>
  <c r="A6797" i="1"/>
  <c r="B6797" i="1"/>
  <c r="C6797" i="1"/>
  <c r="D6797" i="1"/>
  <c r="E6797" i="1"/>
  <c r="F6797" i="1"/>
  <c r="G6797" i="1"/>
  <c r="I6797" i="1"/>
  <c r="J6797" i="1"/>
  <c r="K6797" i="1"/>
  <c r="L6797" i="1"/>
  <c r="M6797" i="1"/>
  <c r="N6797" i="1"/>
  <c r="O6797" i="1"/>
  <c r="P6797" i="1"/>
  <c r="Q6797" i="1"/>
  <c r="R6797" i="1"/>
  <c r="S6797" i="1"/>
  <c r="T6797" i="1"/>
  <c r="U6797" i="1"/>
  <c r="V6797" i="1"/>
  <c r="W6797" i="1"/>
  <c r="X6797" i="1"/>
  <c r="Y6797" i="1"/>
  <c r="Z6797" i="1"/>
  <c r="A6798" i="1"/>
  <c r="B6798" i="1"/>
  <c r="C6798" i="1"/>
  <c r="D6798" i="1"/>
  <c r="E6798" i="1"/>
  <c r="F6798" i="1"/>
  <c r="G6798" i="1"/>
  <c r="I6798" i="1"/>
  <c r="J6798" i="1"/>
  <c r="K6798" i="1"/>
  <c r="L6798" i="1"/>
  <c r="M6798" i="1"/>
  <c r="N6798" i="1"/>
  <c r="O6798" i="1"/>
  <c r="P6798" i="1"/>
  <c r="Q6798" i="1"/>
  <c r="R6798" i="1"/>
  <c r="S6798" i="1"/>
  <c r="T6798" i="1"/>
  <c r="U6798" i="1"/>
  <c r="V6798" i="1"/>
  <c r="W6798" i="1"/>
  <c r="X6798" i="1"/>
  <c r="Y6798" i="1"/>
  <c r="Z6798" i="1"/>
  <c r="A6799" i="1"/>
  <c r="B6799" i="1"/>
  <c r="C6799" i="1"/>
  <c r="D6799" i="1"/>
  <c r="E6799" i="1"/>
  <c r="F6799" i="1"/>
  <c r="G6799" i="1"/>
  <c r="I6799" i="1"/>
  <c r="J6799" i="1"/>
  <c r="K6799" i="1"/>
  <c r="L6799" i="1"/>
  <c r="M6799" i="1"/>
  <c r="N6799" i="1"/>
  <c r="O6799" i="1"/>
  <c r="P6799" i="1"/>
  <c r="Q6799" i="1"/>
  <c r="R6799" i="1"/>
  <c r="S6799" i="1"/>
  <c r="T6799" i="1"/>
  <c r="U6799" i="1"/>
  <c r="V6799" i="1"/>
  <c r="W6799" i="1"/>
  <c r="X6799" i="1"/>
  <c r="Y6799" i="1"/>
  <c r="Z6799" i="1"/>
  <c r="A6800" i="1"/>
  <c r="B6800" i="1"/>
  <c r="C6800" i="1"/>
  <c r="D6800" i="1"/>
  <c r="E6800" i="1"/>
  <c r="F6800" i="1"/>
  <c r="G6800" i="1"/>
  <c r="I6800" i="1"/>
  <c r="J6800" i="1"/>
  <c r="K6800" i="1"/>
  <c r="L6800" i="1"/>
  <c r="M6800" i="1"/>
  <c r="N6800" i="1"/>
  <c r="O6800" i="1"/>
  <c r="P6800" i="1"/>
  <c r="Q6800" i="1"/>
  <c r="R6800" i="1"/>
  <c r="S6800" i="1"/>
  <c r="T6800" i="1"/>
  <c r="U6800" i="1"/>
  <c r="V6800" i="1"/>
  <c r="W6800" i="1"/>
  <c r="X6800" i="1"/>
  <c r="Y6800" i="1"/>
  <c r="Z6800" i="1"/>
  <c r="A6801" i="1"/>
  <c r="B6801" i="1"/>
  <c r="C6801" i="1"/>
  <c r="D6801" i="1"/>
  <c r="E6801" i="1"/>
  <c r="F6801" i="1"/>
  <c r="G6801" i="1"/>
  <c r="I6801" i="1"/>
  <c r="J6801" i="1"/>
  <c r="K6801" i="1"/>
  <c r="L6801" i="1"/>
  <c r="M6801" i="1"/>
  <c r="N6801" i="1"/>
  <c r="O6801" i="1"/>
  <c r="P6801" i="1"/>
  <c r="Q6801" i="1"/>
  <c r="R6801" i="1"/>
  <c r="S6801" i="1"/>
  <c r="T6801" i="1"/>
  <c r="U6801" i="1"/>
  <c r="V6801" i="1"/>
  <c r="W6801" i="1"/>
  <c r="X6801" i="1"/>
  <c r="Y6801" i="1"/>
  <c r="Z6801" i="1"/>
  <c r="A6802" i="1"/>
  <c r="B6802" i="1"/>
  <c r="C6802" i="1"/>
  <c r="D6802" i="1"/>
  <c r="E6802" i="1"/>
  <c r="F6802" i="1"/>
  <c r="G6802" i="1"/>
  <c r="I6802" i="1"/>
  <c r="J6802" i="1"/>
  <c r="K6802" i="1"/>
  <c r="L6802" i="1"/>
  <c r="M6802" i="1"/>
  <c r="N6802" i="1"/>
  <c r="O6802" i="1"/>
  <c r="P6802" i="1"/>
  <c r="Q6802" i="1"/>
  <c r="R6802" i="1"/>
  <c r="S6802" i="1"/>
  <c r="T6802" i="1"/>
  <c r="U6802" i="1"/>
  <c r="V6802" i="1"/>
  <c r="W6802" i="1"/>
  <c r="X6802" i="1"/>
  <c r="Y6802" i="1"/>
  <c r="Z6802" i="1"/>
  <c r="A6803" i="1"/>
  <c r="B6803" i="1"/>
  <c r="C6803" i="1"/>
  <c r="D6803" i="1"/>
  <c r="E6803" i="1"/>
  <c r="F6803" i="1"/>
  <c r="G6803" i="1"/>
  <c r="I6803" i="1"/>
  <c r="J6803" i="1"/>
  <c r="K6803" i="1"/>
  <c r="L6803" i="1"/>
  <c r="M6803" i="1"/>
  <c r="N6803" i="1"/>
  <c r="O6803" i="1"/>
  <c r="P6803" i="1"/>
  <c r="Q6803" i="1"/>
  <c r="R6803" i="1"/>
  <c r="S6803" i="1"/>
  <c r="T6803" i="1"/>
  <c r="U6803" i="1"/>
  <c r="V6803" i="1"/>
  <c r="W6803" i="1"/>
  <c r="X6803" i="1"/>
  <c r="Y6803" i="1"/>
  <c r="Z6803" i="1"/>
  <c r="A6804" i="1"/>
  <c r="B6804" i="1"/>
  <c r="C6804" i="1"/>
  <c r="D6804" i="1"/>
  <c r="E6804" i="1"/>
  <c r="F6804" i="1"/>
  <c r="G6804" i="1"/>
  <c r="I6804" i="1"/>
  <c r="J6804" i="1"/>
  <c r="K6804" i="1"/>
  <c r="L6804" i="1"/>
  <c r="M6804" i="1"/>
  <c r="N6804" i="1"/>
  <c r="O6804" i="1"/>
  <c r="P6804" i="1"/>
  <c r="Q6804" i="1"/>
  <c r="R6804" i="1"/>
  <c r="S6804" i="1"/>
  <c r="T6804" i="1"/>
  <c r="U6804" i="1"/>
  <c r="V6804" i="1"/>
  <c r="W6804" i="1"/>
  <c r="X6804" i="1"/>
  <c r="Y6804" i="1"/>
  <c r="Z6804" i="1"/>
  <c r="A6805" i="1"/>
  <c r="B6805" i="1"/>
  <c r="C6805" i="1"/>
  <c r="D6805" i="1"/>
  <c r="E6805" i="1"/>
  <c r="F6805" i="1"/>
  <c r="G6805" i="1"/>
  <c r="I6805" i="1"/>
  <c r="J6805" i="1"/>
  <c r="K6805" i="1"/>
  <c r="L6805" i="1"/>
  <c r="M6805" i="1"/>
  <c r="N6805" i="1"/>
  <c r="O6805" i="1"/>
  <c r="P6805" i="1"/>
  <c r="Q6805" i="1"/>
  <c r="R6805" i="1"/>
  <c r="S6805" i="1"/>
  <c r="T6805" i="1"/>
  <c r="U6805" i="1"/>
  <c r="V6805" i="1"/>
  <c r="W6805" i="1"/>
  <c r="X6805" i="1"/>
  <c r="Y6805" i="1"/>
  <c r="Z6805" i="1"/>
  <c r="A6806" i="1"/>
  <c r="B6806" i="1"/>
  <c r="C6806" i="1"/>
  <c r="D6806" i="1"/>
  <c r="E6806" i="1"/>
  <c r="F6806" i="1"/>
  <c r="G6806" i="1"/>
  <c r="I6806" i="1"/>
  <c r="J6806" i="1"/>
  <c r="K6806" i="1"/>
  <c r="L6806" i="1"/>
  <c r="M6806" i="1"/>
  <c r="N6806" i="1"/>
  <c r="O6806" i="1"/>
  <c r="P6806" i="1"/>
  <c r="Q6806" i="1"/>
  <c r="R6806" i="1"/>
  <c r="S6806" i="1"/>
  <c r="T6806" i="1"/>
  <c r="U6806" i="1"/>
  <c r="V6806" i="1"/>
  <c r="W6806" i="1"/>
  <c r="X6806" i="1"/>
  <c r="Y6806" i="1"/>
  <c r="Z6806" i="1"/>
  <c r="A6807" i="1"/>
  <c r="B6807" i="1"/>
  <c r="C6807" i="1"/>
  <c r="D6807" i="1"/>
  <c r="E6807" i="1"/>
  <c r="F6807" i="1"/>
  <c r="G6807" i="1"/>
  <c r="I6807" i="1"/>
  <c r="J6807" i="1"/>
  <c r="K6807" i="1"/>
  <c r="L6807" i="1"/>
  <c r="M6807" i="1"/>
  <c r="N6807" i="1"/>
  <c r="O6807" i="1"/>
  <c r="P6807" i="1"/>
  <c r="Q6807" i="1"/>
  <c r="R6807" i="1"/>
  <c r="S6807" i="1"/>
  <c r="T6807" i="1"/>
  <c r="U6807" i="1"/>
  <c r="V6807" i="1"/>
  <c r="W6807" i="1"/>
  <c r="X6807" i="1"/>
  <c r="Y6807" i="1"/>
  <c r="Z6807" i="1"/>
  <c r="A6808" i="1"/>
  <c r="B6808" i="1"/>
  <c r="C6808" i="1"/>
  <c r="D6808" i="1"/>
  <c r="E6808" i="1"/>
  <c r="F6808" i="1"/>
  <c r="G6808" i="1"/>
  <c r="I6808" i="1"/>
  <c r="J6808" i="1"/>
  <c r="K6808" i="1"/>
  <c r="L6808" i="1"/>
  <c r="M6808" i="1"/>
  <c r="N6808" i="1"/>
  <c r="O6808" i="1"/>
  <c r="P6808" i="1"/>
  <c r="Q6808" i="1"/>
  <c r="R6808" i="1"/>
  <c r="S6808" i="1"/>
  <c r="T6808" i="1"/>
  <c r="U6808" i="1"/>
  <c r="V6808" i="1"/>
  <c r="W6808" i="1"/>
  <c r="X6808" i="1"/>
  <c r="Y6808" i="1"/>
  <c r="Z6808" i="1"/>
  <c r="A6809" i="1"/>
  <c r="B6809" i="1"/>
  <c r="C6809" i="1"/>
  <c r="D6809" i="1"/>
  <c r="E6809" i="1"/>
  <c r="F6809" i="1"/>
  <c r="G6809" i="1"/>
  <c r="I6809" i="1"/>
  <c r="J6809" i="1"/>
  <c r="K6809" i="1"/>
  <c r="L6809" i="1"/>
  <c r="M6809" i="1"/>
  <c r="N6809" i="1"/>
  <c r="O6809" i="1"/>
  <c r="P6809" i="1"/>
  <c r="Q6809" i="1"/>
  <c r="R6809" i="1"/>
  <c r="S6809" i="1"/>
  <c r="T6809" i="1"/>
  <c r="U6809" i="1"/>
  <c r="V6809" i="1"/>
  <c r="W6809" i="1"/>
  <c r="X6809" i="1"/>
  <c r="Y6809" i="1"/>
  <c r="Z6809" i="1"/>
  <c r="A6810" i="1"/>
  <c r="B6810" i="1"/>
  <c r="C6810" i="1"/>
  <c r="D6810" i="1"/>
  <c r="E6810" i="1"/>
  <c r="F6810" i="1"/>
  <c r="G6810" i="1"/>
  <c r="I6810" i="1"/>
  <c r="J6810" i="1"/>
  <c r="K6810" i="1"/>
  <c r="L6810" i="1"/>
  <c r="M6810" i="1"/>
  <c r="N6810" i="1"/>
  <c r="O6810" i="1"/>
  <c r="P6810" i="1"/>
  <c r="Q6810" i="1"/>
  <c r="R6810" i="1"/>
  <c r="S6810" i="1"/>
  <c r="T6810" i="1"/>
  <c r="U6810" i="1"/>
  <c r="V6810" i="1"/>
  <c r="W6810" i="1"/>
  <c r="X6810" i="1"/>
  <c r="Y6810" i="1"/>
  <c r="Z6810" i="1"/>
  <c r="A6811" i="1"/>
  <c r="B6811" i="1"/>
  <c r="C6811" i="1"/>
  <c r="D6811" i="1"/>
  <c r="E6811" i="1"/>
  <c r="F6811" i="1"/>
  <c r="G6811" i="1"/>
  <c r="I6811" i="1"/>
  <c r="J6811" i="1"/>
  <c r="K6811" i="1"/>
  <c r="L6811" i="1"/>
  <c r="M6811" i="1"/>
  <c r="N6811" i="1"/>
  <c r="O6811" i="1"/>
  <c r="P6811" i="1"/>
  <c r="Q6811" i="1"/>
  <c r="R6811" i="1"/>
  <c r="S6811" i="1"/>
  <c r="T6811" i="1"/>
  <c r="U6811" i="1"/>
  <c r="V6811" i="1"/>
  <c r="W6811" i="1"/>
  <c r="X6811" i="1"/>
  <c r="Y6811" i="1"/>
  <c r="Z6811" i="1"/>
  <c r="A6812" i="1"/>
  <c r="B6812" i="1"/>
  <c r="C6812" i="1"/>
  <c r="D6812" i="1"/>
  <c r="E6812" i="1"/>
  <c r="F6812" i="1"/>
  <c r="G6812" i="1"/>
  <c r="I6812" i="1"/>
  <c r="J6812" i="1"/>
  <c r="K6812" i="1"/>
  <c r="L6812" i="1"/>
  <c r="M6812" i="1"/>
  <c r="N6812" i="1"/>
  <c r="O6812" i="1"/>
  <c r="P6812" i="1"/>
  <c r="Q6812" i="1"/>
  <c r="R6812" i="1"/>
  <c r="S6812" i="1"/>
  <c r="T6812" i="1"/>
  <c r="U6812" i="1"/>
  <c r="V6812" i="1"/>
  <c r="W6812" i="1"/>
  <c r="X6812" i="1"/>
  <c r="Y6812" i="1"/>
  <c r="Z6812" i="1"/>
  <c r="A6813" i="1"/>
  <c r="B6813" i="1"/>
  <c r="C6813" i="1"/>
  <c r="D6813" i="1"/>
  <c r="E6813" i="1"/>
  <c r="F6813" i="1"/>
  <c r="G6813" i="1"/>
  <c r="I6813" i="1"/>
  <c r="J6813" i="1"/>
  <c r="K6813" i="1"/>
  <c r="L6813" i="1"/>
  <c r="M6813" i="1"/>
  <c r="N6813" i="1"/>
  <c r="O6813" i="1"/>
  <c r="P6813" i="1"/>
  <c r="Q6813" i="1"/>
  <c r="R6813" i="1"/>
  <c r="S6813" i="1"/>
  <c r="T6813" i="1"/>
  <c r="U6813" i="1"/>
  <c r="V6813" i="1"/>
  <c r="W6813" i="1"/>
  <c r="X6813" i="1"/>
  <c r="Y6813" i="1"/>
  <c r="Z6813" i="1"/>
  <c r="A6814" i="1"/>
  <c r="B6814" i="1"/>
  <c r="C6814" i="1"/>
  <c r="D6814" i="1"/>
  <c r="E6814" i="1"/>
  <c r="F6814" i="1"/>
  <c r="G6814" i="1"/>
  <c r="I6814" i="1"/>
  <c r="J6814" i="1"/>
  <c r="K6814" i="1"/>
  <c r="L6814" i="1"/>
  <c r="M6814" i="1"/>
  <c r="N6814" i="1"/>
  <c r="O6814" i="1"/>
  <c r="P6814" i="1"/>
  <c r="Q6814" i="1"/>
  <c r="R6814" i="1"/>
  <c r="S6814" i="1"/>
  <c r="T6814" i="1"/>
  <c r="U6814" i="1"/>
  <c r="V6814" i="1"/>
  <c r="W6814" i="1"/>
  <c r="X6814" i="1"/>
  <c r="Y6814" i="1"/>
  <c r="Z6814" i="1"/>
  <c r="A6815" i="1"/>
  <c r="B6815" i="1"/>
  <c r="C6815" i="1"/>
  <c r="D6815" i="1"/>
  <c r="E6815" i="1"/>
  <c r="F6815" i="1"/>
  <c r="G6815" i="1"/>
  <c r="I6815" i="1"/>
  <c r="J6815" i="1"/>
  <c r="K6815" i="1"/>
  <c r="L6815" i="1"/>
  <c r="M6815" i="1"/>
  <c r="N6815" i="1"/>
  <c r="O6815" i="1"/>
  <c r="P6815" i="1"/>
  <c r="Q6815" i="1"/>
  <c r="R6815" i="1"/>
  <c r="S6815" i="1"/>
  <c r="T6815" i="1"/>
  <c r="U6815" i="1"/>
  <c r="V6815" i="1"/>
  <c r="W6815" i="1"/>
  <c r="X6815" i="1"/>
  <c r="Y6815" i="1"/>
  <c r="Z6815" i="1"/>
  <c r="A6816" i="1"/>
  <c r="B6816" i="1"/>
  <c r="C6816" i="1"/>
  <c r="D6816" i="1"/>
  <c r="E6816" i="1"/>
  <c r="F6816" i="1"/>
  <c r="G6816" i="1"/>
  <c r="I6816" i="1"/>
  <c r="J6816" i="1"/>
  <c r="K6816" i="1"/>
  <c r="L6816" i="1"/>
  <c r="M6816" i="1"/>
  <c r="N6816" i="1"/>
  <c r="O6816" i="1"/>
  <c r="P6816" i="1"/>
  <c r="Q6816" i="1"/>
  <c r="R6816" i="1"/>
  <c r="S6816" i="1"/>
  <c r="T6816" i="1"/>
  <c r="U6816" i="1"/>
  <c r="V6816" i="1"/>
  <c r="W6816" i="1"/>
  <c r="X6816" i="1"/>
  <c r="Y6816" i="1"/>
  <c r="Z6816" i="1"/>
  <c r="A6817" i="1"/>
  <c r="B6817" i="1"/>
  <c r="C6817" i="1"/>
  <c r="D6817" i="1"/>
  <c r="E6817" i="1"/>
  <c r="F6817" i="1"/>
  <c r="G6817" i="1"/>
  <c r="I6817" i="1"/>
  <c r="J6817" i="1"/>
  <c r="K6817" i="1"/>
  <c r="L6817" i="1"/>
  <c r="M6817" i="1"/>
  <c r="N6817" i="1"/>
  <c r="O6817" i="1"/>
  <c r="P6817" i="1"/>
  <c r="Q6817" i="1"/>
  <c r="R6817" i="1"/>
  <c r="S6817" i="1"/>
  <c r="T6817" i="1"/>
  <c r="U6817" i="1"/>
  <c r="V6817" i="1"/>
  <c r="W6817" i="1"/>
  <c r="X6817" i="1"/>
  <c r="Y6817" i="1"/>
  <c r="Z6817" i="1"/>
  <c r="A6818" i="1"/>
  <c r="B6818" i="1"/>
  <c r="C6818" i="1"/>
  <c r="D6818" i="1"/>
  <c r="E6818" i="1"/>
  <c r="F6818" i="1"/>
  <c r="G6818" i="1"/>
  <c r="I6818" i="1"/>
  <c r="J6818" i="1"/>
  <c r="K6818" i="1"/>
  <c r="L6818" i="1"/>
  <c r="M6818" i="1"/>
  <c r="N6818" i="1"/>
  <c r="O6818" i="1"/>
  <c r="P6818" i="1"/>
  <c r="Q6818" i="1"/>
  <c r="R6818" i="1"/>
  <c r="S6818" i="1"/>
  <c r="T6818" i="1"/>
  <c r="U6818" i="1"/>
  <c r="V6818" i="1"/>
  <c r="W6818" i="1"/>
  <c r="X6818" i="1"/>
  <c r="Y6818" i="1"/>
  <c r="Z6818" i="1"/>
  <c r="A6819" i="1"/>
  <c r="B6819" i="1"/>
  <c r="C6819" i="1"/>
  <c r="D6819" i="1"/>
  <c r="E6819" i="1"/>
  <c r="F6819" i="1"/>
  <c r="G6819" i="1"/>
  <c r="I6819" i="1"/>
  <c r="J6819" i="1"/>
  <c r="K6819" i="1"/>
  <c r="L6819" i="1"/>
  <c r="M6819" i="1"/>
  <c r="N6819" i="1"/>
  <c r="O6819" i="1"/>
  <c r="P6819" i="1"/>
  <c r="Q6819" i="1"/>
  <c r="R6819" i="1"/>
  <c r="S6819" i="1"/>
  <c r="T6819" i="1"/>
  <c r="U6819" i="1"/>
  <c r="V6819" i="1"/>
  <c r="W6819" i="1"/>
  <c r="X6819" i="1"/>
  <c r="Y6819" i="1"/>
  <c r="Z6819" i="1"/>
  <c r="A6820" i="1"/>
  <c r="B6820" i="1"/>
  <c r="C6820" i="1"/>
  <c r="D6820" i="1"/>
  <c r="E6820" i="1"/>
  <c r="F6820" i="1"/>
  <c r="G6820" i="1"/>
  <c r="I6820" i="1"/>
  <c r="J6820" i="1"/>
  <c r="K6820" i="1"/>
  <c r="L6820" i="1"/>
  <c r="M6820" i="1"/>
  <c r="N6820" i="1"/>
  <c r="O6820" i="1"/>
  <c r="P6820" i="1"/>
  <c r="Q6820" i="1"/>
  <c r="R6820" i="1"/>
  <c r="S6820" i="1"/>
  <c r="T6820" i="1"/>
  <c r="U6820" i="1"/>
  <c r="V6820" i="1"/>
  <c r="W6820" i="1"/>
  <c r="X6820" i="1"/>
  <c r="Y6820" i="1"/>
  <c r="Z6820" i="1"/>
  <c r="A6821" i="1"/>
  <c r="B6821" i="1"/>
  <c r="C6821" i="1"/>
  <c r="D6821" i="1"/>
  <c r="E6821" i="1"/>
  <c r="F6821" i="1"/>
  <c r="G6821" i="1"/>
  <c r="I6821" i="1"/>
  <c r="J6821" i="1"/>
  <c r="K6821" i="1"/>
  <c r="L6821" i="1"/>
  <c r="M6821" i="1"/>
  <c r="N6821" i="1"/>
  <c r="O6821" i="1"/>
  <c r="P6821" i="1"/>
  <c r="Q6821" i="1"/>
  <c r="R6821" i="1"/>
  <c r="S6821" i="1"/>
  <c r="T6821" i="1"/>
  <c r="U6821" i="1"/>
  <c r="V6821" i="1"/>
  <c r="W6821" i="1"/>
  <c r="X6821" i="1"/>
  <c r="Y6821" i="1"/>
  <c r="Z6821" i="1"/>
  <c r="A6822" i="1"/>
  <c r="B6822" i="1"/>
  <c r="C6822" i="1"/>
  <c r="D6822" i="1"/>
  <c r="E6822" i="1"/>
  <c r="F6822" i="1"/>
  <c r="G6822" i="1"/>
  <c r="I6822" i="1"/>
  <c r="J6822" i="1"/>
  <c r="K6822" i="1"/>
  <c r="L6822" i="1"/>
  <c r="M6822" i="1"/>
  <c r="N6822" i="1"/>
  <c r="O6822" i="1"/>
  <c r="P6822" i="1"/>
  <c r="Q6822" i="1"/>
  <c r="R6822" i="1"/>
  <c r="S6822" i="1"/>
  <c r="T6822" i="1"/>
  <c r="U6822" i="1"/>
  <c r="V6822" i="1"/>
  <c r="W6822" i="1"/>
  <c r="X6822" i="1"/>
  <c r="Y6822" i="1"/>
  <c r="Z6822" i="1"/>
  <c r="A6823" i="1"/>
  <c r="B6823" i="1"/>
  <c r="C6823" i="1"/>
  <c r="D6823" i="1"/>
  <c r="E6823" i="1"/>
  <c r="F6823" i="1"/>
  <c r="G6823" i="1"/>
  <c r="I6823" i="1"/>
  <c r="J6823" i="1"/>
  <c r="K6823" i="1"/>
  <c r="L6823" i="1"/>
  <c r="M6823" i="1"/>
  <c r="N6823" i="1"/>
  <c r="O6823" i="1"/>
  <c r="P6823" i="1"/>
  <c r="Q6823" i="1"/>
  <c r="R6823" i="1"/>
  <c r="S6823" i="1"/>
  <c r="T6823" i="1"/>
  <c r="U6823" i="1"/>
  <c r="V6823" i="1"/>
  <c r="W6823" i="1"/>
  <c r="X6823" i="1"/>
  <c r="Y6823" i="1"/>
  <c r="Z6823" i="1"/>
  <c r="A6824" i="1"/>
  <c r="B6824" i="1"/>
  <c r="C6824" i="1"/>
  <c r="D6824" i="1"/>
  <c r="E6824" i="1"/>
  <c r="F6824" i="1"/>
  <c r="G6824" i="1"/>
  <c r="I6824" i="1"/>
  <c r="J6824" i="1"/>
  <c r="K6824" i="1"/>
  <c r="L6824" i="1"/>
  <c r="M6824" i="1"/>
  <c r="N6824" i="1"/>
  <c r="O6824" i="1"/>
  <c r="P6824" i="1"/>
  <c r="Q6824" i="1"/>
  <c r="R6824" i="1"/>
  <c r="S6824" i="1"/>
  <c r="T6824" i="1"/>
  <c r="U6824" i="1"/>
  <c r="V6824" i="1"/>
  <c r="W6824" i="1"/>
  <c r="X6824" i="1"/>
  <c r="Y6824" i="1"/>
  <c r="Z6824" i="1"/>
  <c r="A6825" i="1"/>
  <c r="B6825" i="1"/>
  <c r="C6825" i="1"/>
  <c r="D6825" i="1"/>
  <c r="E6825" i="1"/>
  <c r="F6825" i="1"/>
  <c r="G6825" i="1"/>
  <c r="I6825" i="1"/>
  <c r="J6825" i="1"/>
  <c r="K6825" i="1"/>
  <c r="L6825" i="1"/>
  <c r="M6825" i="1"/>
  <c r="N6825" i="1"/>
  <c r="O6825" i="1"/>
  <c r="P6825" i="1"/>
  <c r="Q6825" i="1"/>
  <c r="R6825" i="1"/>
  <c r="S6825" i="1"/>
  <c r="T6825" i="1"/>
  <c r="U6825" i="1"/>
  <c r="V6825" i="1"/>
  <c r="W6825" i="1"/>
  <c r="X6825" i="1"/>
  <c r="Y6825" i="1"/>
  <c r="Z6825" i="1"/>
  <c r="A6826" i="1"/>
  <c r="B6826" i="1"/>
  <c r="C6826" i="1"/>
  <c r="D6826" i="1"/>
  <c r="E6826" i="1"/>
  <c r="F6826" i="1"/>
  <c r="G6826" i="1"/>
  <c r="I6826" i="1"/>
  <c r="J6826" i="1"/>
  <c r="K6826" i="1"/>
  <c r="L6826" i="1"/>
  <c r="M6826" i="1"/>
  <c r="N6826" i="1"/>
  <c r="O6826" i="1"/>
  <c r="P6826" i="1"/>
  <c r="Q6826" i="1"/>
  <c r="R6826" i="1"/>
  <c r="S6826" i="1"/>
  <c r="T6826" i="1"/>
  <c r="U6826" i="1"/>
  <c r="V6826" i="1"/>
  <c r="W6826" i="1"/>
  <c r="X6826" i="1"/>
  <c r="Y6826" i="1"/>
  <c r="Z6826" i="1"/>
  <c r="A6827" i="1"/>
  <c r="B6827" i="1"/>
  <c r="C6827" i="1"/>
  <c r="D6827" i="1"/>
  <c r="E6827" i="1"/>
  <c r="F6827" i="1"/>
  <c r="G6827" i="1"/>
  <c r="I6827" i="1"/>
  <c r="J6827" i="1"/>
  <c r="K6827" i="1"/>
  <c r="L6827" i="1"/>
  <c r="M6827" i="1"/>
  <c r="N6827" i="1"/>
  <c r="O6827" i="1"/>
  <c r="P6827" i="1"/>
  <c r="Q6827" i="1"/>
  <c r="R6827" i="1"/>
  <c r="S6827" i="1"/>
  <c r="T6827" i="1"/>
  <c r="U6827" i="1"/>
  <c r="V6827" i="1"/>
  <c r="W6827" i="1"/>
  <c r="X6827" i="1"/>
  <c r="Y6827" i="1"/>
  <c r="Z6827" i="1"/>
  <c r="A6828" i="1"/>
  <c r="B6828" i="1"/>
  <c r="C6828" i="1"/>
  <c r="D6828" i="1"/>
  <c r="E6828" i="1"/>
  <c r="F6828" i="1"/>
  <c r="G6828" i="1"/>
  <c r="I6828" i="1"/>
  <c r="J6828" i="1"/>
  <c r="K6828" i="1"/>
  <c r="L6828" i="1"/>
  <c r="M6828" i="1"/>
  <c r="N6828" i="1"/>
  <c r="O6828" i="1"/>
  <c r="P6828" i="1"/>
  <c r="Q6828" i="1"/>
  <c r="R6828" i="1"/>
  <c r="S6828" i="1"/>
  <c r="T6828" i="1"/>
  <c r="U6828" i="1"/>
  <c r="V6828" i="1"/>
  <c r="W6828" i="1"/>
  <c r="X6828" i="1"/>
  <c r="Y6828" i="1"/>
  <c r="Z6828" i="1"/>
  <c r="A6829" i="1"/>
  <c r="B6829" i="1"/>
  <c r="C6829" i="1"/>
  <c r="D6829" i="1"/>
  <c r="E6829" i="1"/>
  <c r="F6829" i="1"/>
  <c r="G6829" i="1"/>
  <c r="I6829" i="1"/>
  <c r="J6829" i="1"/>
  <c r="K6829" i="1"/>
  <c r="L6829" i="1"/>
  <c r="M6829" i="1"/>
  <c r="N6829" i="1"/>
  <c r="O6829" i="1"/>
  <c r="P6829" i="1"/>
  <c r="Q6829" i="1"/>
  <c r="R6829" i="1"/>
  <c r="S6829" i="1"/>
  <c r="T6829" i="1"/>
  <c r="U6829" i="1"/>
  <c r="V6829" i="1"/>
  <c r="W6829" i="1"/>
  <c r="X6829" i="1"/>
  <c r="Y6829" i="1"/>
  <c r="Z6829" i="1"/>
  <c r="A6830" i="1"/>
  <c r="B6830" i="1"/>
  <c r="C6830" i="1"/>
  <c r="D6830" i="1"/>
  <c r="E6830" i="1"/>
  <c r="F6830" i="1"/>
  <c r="G6830" i="1"/>
  <c r="I6830" i="1"/>
  <c r="J6830" i="1"/>
  <c r="K6830" i="1"/>
  <c r="L6830" i="1"/>
  <c r="M6830" i="1"/>
  <c r="N6830" i="1"/>
  <c r="O6830" i="1"/>
  <c r="P6830" i="1"/>
  <c r="Q6830" i="1"/>
  <c r="R6830" i="1"/>
  <c r="S6830" i="1"/>
  <c r="T6830" i="1"/>
  <c r="U6830" i="1"/>
  <c r="V6830" i="1"/>
  <c r="W6830" i="1"/>
  <c r="X6830" i="1"/>
  <c r="Y6830" i="1"/>
  <c r="Z6830" i="1"/>
  <c r="A6831" i="1"/>
  <c r="B6831" i="1"/>
  <c r="C6831" i="1"/>
  <c r="D6831" i="1"/>
  <c r="E6831" i="1"/>
  <c r="F6831" i="1"/>
  <c r="G6831" i="1"/>
  <c r="I6831" i="1"/>
  <c r="J6831" i="1"/>
  <c r="K6831" i="1"/>
  <c r="L6831" i="1"/>
  <c r="M6831" i="1"/>
  <c r="N6831" i="1"/>
  <c r="O6831" i="1"/>
  <c r="P6831" i="1"/>
  <c r="Q6831" i="1"/>
  <c r="R6831" i="1"/>
  <c r="S6831" i="1"/>
  <c r="T6831" i="1"/>
  <c r="U6831" i="1"/>
  <c r="V6831" i="1"/>
  <c r="W6831" i="1"/>
  <c r="X6831" i="1"/>
  <c r="Y6831" i="1"/>
  <c r="Z6831" i="1"/>
  <c r="A6832" i="1"/>
  <c r="B6832" i="1"/>
  <c r="C6832" i="1"/>
  <c r="D6832" i="1"/>
  <c r="E6832" i="1"/>
  <c r="F6832" i="1"/>
  <c r="G6832" i="1"/>
  <c r="I6832" i="1"/>
  <c r="J6832" i="1"/>
  <c r="K6832" i="1"/>
  <c r="L6832" i="1"/>
  <c r="M6832" i="1"/>
  <c r="N6832" i="1"/>
  <c r="O6832" i="1"/>
  <c r="P6832" i="1"/>
  <c r="Q6832" i="1"/>
  <c r="R6832" i="1"/>
  <c r="S6832" i="1"/>
  <c r="T6832" i="1"/>
  <c r="U6832" i="1"/>
  <c r="V6832" i="1"/>
  <c r="W6832" i="1"/>
  <c r="X6832" i="1"/>
  <c r="Y6832" i="1"/>
  <c r="Z6832" i="1"/>
  <c r="A6833" i="1"/>
  <c r="B6833" i="1"/>
  <c r="C6833" i="1"/>
  <c r="D6833" i="1"/>
  <c r="E6833" i="1"/>
  <c r="F6833" i="1"/>
  <c r="G6833" i="1"/>
  <c r="I6833" i="1"/>
  <c r="J6833" i="1"/>
  <c r="K6833" i="1"/>
  <c r="L6833" i="1"/>
  <c r="M6833" i="1"/>
  <c r="N6833" i="1"/>
  <c r="O6833" i="1"/>
  <c r="P6833" i="1"/>
  <c r="Q6833" i="1"/>
  <c r="R6833" i="1"/>
  <c r="S6833" i="1"/>
  <c r="T6833" i="1"/>
  <c r="U6833" i="1"/>
  <c r="V6833" i="1"/>
  <c r="W6833" i="1"/>
  <c r="X6833" i="1"/>
  <c r="Y6833" i="1"/>
  <c r="Z6833" i="1"/>
  <c r="A6834" i="1"/>
  <c r="B6834" i="1"/>
  <c r="C6834" i="1"/>
  <c r="D6834" i="1"/>
  <c r="E6834" i="1"/>
  <c r="F6834" i="1"/>
  <c r="G6834" i="1"/>
  <c r="I6834" i="1"/>
  <c r="J6834" i="1"/>
  <c r="K6834" i="1"/>
  <c r="L6834" i="1"/>
  <c r="M6834" i="1"/>
  <c r="N6834" i="1"/>
  <c r="O6834" i="1"/>
  <c r="P6834" i="1"/>
  <c r="Q6834" i="1"/>
  <c r="R6834" i="1"/>
  <c r="S6834" i="1"/>
  <c r="T6834" i="1"/>
  <c r="U6834" i="1"/>
  <c r="V6834" i="1"/>
  <c r="W6834" i="1"/>
  <c r="X6834" i="1"/>
  <c r="Y6834" i="1"/>
  <c r="Z6834" i="1"/>
  <c r="A6835" i="1"/>
  <c r="B6835" i="1"/>
  <c r="C6835" i="1"/>
  <c r="D6835" i="1"/>
  <c r="E6835" i="1"/>
  <c r="F6835" i="1"/>
  <c r="G6835" i="1"/>
  <c r="I6835" i="1"/>
  <c r="J6835" i="1"/>
  <c r="K6835" i="1"/>
  <c r="L6835" i="1"/>
  <c r="M6835" i="1"/>
  <c r="N6835" i="1"/>
  <c r="O6835" i="1"/>
  <c r="P6835" i="1"/>
  <c r="Q6835" i="1"/>
  <c r="R6835" i="1"/>
  <c r="S6835" i="1"/>
  <c r="T6835" i="1"/>
  <c r="U6835" i="1"/>
  <c r="V6835" i="1"/>
  <c r="W6835" i="1"/>
  <c r="X6835" i="1"/>
  <c r="Y6835" i="1"/>
  <c r="Z6835" i="1"/>
  <c r="A6836" i="1"/>
  <c r="B6836" i="1"/>
  <c r="C6836" i="1"/>
  <c r="D6836" i="1"/>
  <c r="E6836" i="1"/>
  <c r="F6836" i="1"/>
  <c r="G6836" i="1"/>
  <c r="I6836" i="1"/>
  <c r="J6836" i="1"/>
  <c r="K6836" i="1"/>
  <c r="L6836" i="1"/>
  <c r="M6836" i="1"/>
  <c r="N6836" i="1"/>
  <c r="O6836" i="1"/>
  <c r="P6836" i="1"/>
  <c r="Q6836" i="1"/>
  <c r="R6836" i="1"/>
  <c r="S6836" i="1"/>
  <c r="T6836" i="1"/>
  <c r="U6836" i="1"/>
  <c r="V6836" i="1"/>
  <c r="W6836" i="1"/>
  <c r="X6836" i="1"/>
  <c r="Y6836" i="1"/>
  <c r="Z6836" i="1"/>
  <c r="A6837" i="1"/>
  <c r="B6837" i="1"/>
  <c r="C6837" i="1"/>
  <c r="D6837" i="1"/>
  <c r="E6837" i="1"/>
  <c r="F6837" i="1"/>
  <c r="G6837" i="1"/>
  <c r="I6837" i="1"/>
  <c r="J6837" i="1"/>
  <c r="K6837" i="1"/>
  <c r="L6837" i="1"/>
  <c r="M6837" i="1"/>
  <c r="N6837" i="1"/>
  <c r="O6837" i="1"/>
  <c r="P6837" i="1"/>
  <c r="Q6837" i="1"/>
  <c r="R6837" i="1"/>
  <c r="S6837" i="1"/>
  <c r="T6837" i="1"/>
  <c r="U6837" i="1"/>
  <c r="V6837" i="1"/>
  <c r="W6837" i="1"/>
  <c r="X6837" i="1"/>
  <c r="Y6837" i="1"/>
  <c r="Z6837" i="1"/>
  <c r="A6838" i="1"/>
  <c r="B6838" i="1"/>
  <c r="C6838" i="1"/>
  <c r="D6838" i="1"/>
  <c r="E6838" i="1"/>
  <c r="F6838" i="1"/>
  <c r="G6838" i="1"/>
  <c r="I6838" i="1"/>
  <c r="J6838" i="1"/>
  <c r="K6838" i="1"/>
  <c r="L6838" i="1"/>
  <c r="M6838" i="1"/>
  <c r="N6838" i="1"/>
  <c r="O6838" i="1"/>
  <c r="P6838" i="1"/>
  <c r="Q6838" i="1"/>
  <c r="R6838" i="1"/>
  <c r="S6838" i="1"/>
  <c r="T6838" i="1"/>
  <c r="U6838" i="1"/>
  <c r="V6838" i="1"/>
  <c r="W6838" i="1"/>
  <c r="X6838" i="1"/>
  <c r="Y6838" i="1"/>
  <c r="Z6838" i="1"/>
  <c r="A6839" i="1"/>
  <c r="B6839" i="1"/>
  <c r="C6839" i="1"/>
  <c r="D6839" i="1"/>
  <c r="E6839" i="1"/>
  <c r="F6839" i="1"/>
  <c r="G6839" i="1"/>
  <c r="I6839" i="1"/>
  <c r="J6839" i="1"/>
  <c r="K6839" i="1"/>
  <c r="L6839" i="1"/>
  <c r="M6839" i="1"/>
  <c r="N6839" i="1"/>
  <c r="O6839" i="1"/>
  <c r="P6839" i="1"/>
  <c r="Q6839" i="1"/>
  <c r="R6839" i="1"/>
  <c r="S6839" i="1"/>
  <c r="T6839" i="1"/>
  <c r="U6839" i="1"/>
  <c r="V6839" i="1"/>
  <c r="W6839" i="1"/>
  <c r="X6839" i="1"/>
  <c r="Y6839" i="1"/>
  <c r="Z6839" i="1"/>
  <c r="A6840" i="1"/>
  <c r="B6840" i="1"/>
  <c r="C6840" i="1"/>
  <c r="D6840" i="1"/>
  <c r="E6840" i="1"/>
  <c r="F6840" i="1"/>
  <c r="G6840" i="1"/>
  <c r="I6840" i="1"/>
  <c r="J6840" i="1"/>
  <c r="K6840" i="1"/>
  <c r="L6840" i="1"/>
  <c r="M6840" i="1"/>
  <c r="N6840" i="1"/>
  <c r="O6840" i="1"/>
  <c r="P6840" i="1"/>
  <c r="Q6840" i="1"/>
  <c r="R6840" i="1"/>
  <c r="S6840" i="1"/>
  <c r="T6840" i="1"/>
  <c r="U6840" i="1"/>
  <c r="V6840" i="1"/>
  <c r="W6840" i="1"/>
  <c r="X6840" i="1"/>
  <c r="Y6840" i="1"/>
  <c r="Z6840" i="1"/>
  <c r="A6841" i="1"/>
  <c r="B6841" i="1"/>
  <c r="C6841" i="1"/>
  <c r="D6841" i="1"/>
  <c r="E6841" i="1"/>
  <c r="F6841" i="1"/>
  <c r="G6841" i="1"/>
  <c r="I6841" i="1"/>
  <c r="J6841" i="1"/>
  <c r="K6841" i="1"/>
  <c r="L6841" i="1"/>
  <c r="M6841" i="1"/>
  <c r="N6841" i="1"/>
  <c r="O6841" i="1"/>
  <c r="P6841" i="1"/>
  <c r="Q6841" i="1"/>
  <c r="R6841" i="1"/>
  <c r="S6841" i="1"/>
  <c r="T6841" i="1"/>
  <c r="U6841" i="1"/>
  <c r="V6841" i="1"/>
  <c r="W6841" i="1"/>
  <c r="X6841" i="1"/>
  <c r="Y6841" i="1"/>
  <c r="Z6841" i="1"/>
  <c r="A6842" i="1"/>
  <c r="B6842" i="1"/>
  <c r="C6842" i="1"/>
  <c r="D6842" i="1"/>
  <c r="E6842" i="1"/>
  <c r="F6842" i="1"/>
  <c r="G6842" i="1"/>
  <c r="I6842" i="1"/>
  <c r="J6842" i="1"/>
  <c r="K6842" i="1"/>
  <c r="L6842" i="1"/>
  <c r="M6842" i="1"/>
  <c r="N6842" i="1"/>
  <c r="O6842" i="1"/>
  <c r="P6842" i="1"/>
  <c r="Q6842" i="1"/>
  <c r="R6842" i="1"/>
  <c r="S6842" i="1"/>
  <c r="T6842" i="1"/>
  <c r="U6842" i="1"/>
  <c r="V6842" i="1"/>
  <c r="W6842" i="1"/>
  <c r="X6842" i="1"/>
  <c r="Y6842" i="1"/>
  <c r="Z6842" i="1"/>
  <c r="A6843" i="1"/>
  <c r="B6843" i="1"/>
  <c r="C6843" i="1"/>
  <c r="D6843" i="1"/>
  <c r="E6843" i="1"/>
  <c r="F6843" i="1"/>
  <c r="G6843" i="1"/>
  <c r="I6843" i="1"/>
  <c r="J6843" i="1"/>
  <c r="K6843" i="1"/>
  <c r="L6843" i="1"/>
  <c r="M6843" i="1"/>
  <c r="N6843" i="1"/>
  <c r="O6843" i="1"/>
  <c r="P6843" i="1"/>
  <c r="Q6843" i="1"/>
  <c r="R6843" i="1"/>
  <c r="S6843" i="1"/>
  <c r="T6843" i="1"/>
  <c r="U6843" i="1"/>
  <c r="V6843" i="1"/>
  <c r="W6843" i="1"/>
  <c r="X6843" i="1"/>
  <c r="Y6843" i="1"/>
  <c r="Z6843" i="1"/>
  <c r="A6844" i="1"/>
  <c r="B6844" i="1"/>
  <c r="C6844" i="1"/>
  <c r="D6844" i="1"/>
  <c r="E6844" i="1"/>
  <c r="F6844" i="1"/>
  <c r="G6844" i="1"/>
  <c r="I6844" i="1"/>
  <c r="J6844" i="1"/>
  <c r="K6844" i="1"/>
  <c r="L6844" i="1"/>
  <c r="M6844" i="1"/>
  <c r="N6844" i="1"/>
  <c r="O6844" i="1"/>
  <c r="P6844" i="1"/>
  <c r="Q6844" i="1"/>
  <c r="R6844" i="1"/>
  <c r="S6844" i="1"/>
  <c r="T6844" i="1"/>
  <c r="U6844" i="1"/>
  <c r="V6844" i="1"/>
  <c r="W6844" i="1"/>
  <c r="X6844" i="1"/>
  <c r="Y6844" i="1"/>
  <c r="Z6844" i="1"/>
  <c r="A6845" i="1"/>
  <c r="B6845" i="1"/>
  <c r="C6845" i="1"/>
  <c r="D6845" i="1"/>
  <c r="E6845" i="1"/>
  <c r="F6845" i="1"/>
  <c r="G6845" i="1"/>
  <c r="I6845" i="1"/>
  <c r="J6845" i="1"/>
  <c r="K6845" i="1"/>
  <c r="L6845" i="1"/>
  <c r="M6845" i="1"/>
  <c r="N6845" i="1"/>
  <c r="O6845" i="1"/>
  <c r="P6845" i="1"/>
  <c r="Q6845" i="1"/>
  <c r="R6845" i="1"/>
  <c r="S6845" i="1"/>
  <c r="T6845" i="1"/>
  <c r="U6845" i="1"/>
  <c r="V6845" i="1"/>
  <c r="W6845" i="1"/>
  <c r="X6845" i="1"/>
  <c r="Y6845" i="1"/>
  <c r="Z6845" i="1"/>
  <c r="A6846" i="1"/>
  <c r="B6846" i="1"/>
  <c r="C6846" i="1"/>
  <c r="D6846" i="1"/>
  <c r="E6846" i="1"/>
  <c r="F6846" i="1"/>
  <c r="G6846" i="1"/>
  <c r="I6846" i="1"/>
  <c r="J6846" i="1"/>
  <c r="K6846" i="1"/>
  <c r="L6846" i="1"/>
  <c r="M6846" i="1"/>
  <c r="N6846" i="1"/>
  <c r="O6846" i="1"/>
  <c r="P6846" i="1"/>
  <c r="Q6846" i="1"/>
  <c r="R6846" i="1"/>
  <c r="S6846" i="1"/>
  <c r="T6846" i="1"/>
  <c r="U6846" i="1"/>
  <c r="V6846" i="1"/>
  <c r="W6846" i="1"/>
  <c r="X6846" i="1"/>
  <c r="Y6846" i="1"/>
  <c r="Z6846" i="1"/>
  <c r="A6847" i="1"/>
  <c r="B6847" i="1"/>
  <c r="C6847" i="1"/>
  <c r="D6847" i="1"/>
  <c r="E6847" i="1"/>
  <c r="F6847" i="1"/>
  <c r="G6847" i="1"/>
  <c r="I6847" i="1"/>
  <c r="J6847" i="1"/>
  <c r="K6847" i="1"/>
  <c r="L6847" i="1"/>
  <c r="M6847" i="1"/>
  <c r="N6847" i="1"/>
  <c r="O6847" i="1"/>
  <c r="P6847" i="1"/>
  <c r="Q6847" i="1"/>
  <c r="R6847" i="1"/>
  <c r="S6847" i="1"/>
  <c r="T6847" i="1"/>
  <c r="U6847" i="1"/>
  <c r="V6847" i="1"/>
  <c r="W6847" i="1"/>
  <c r="X6847" i="1"/>
  <c r="Y6847" i="1"/>
  <c r="Z6847" i="1"/>
  <c r="A6848" i="1"/>
  <c r="B6848" i="1"/>
  <c r="C6848" i="1"/>
  <c r="D6848" i="1"/>
  <c r="E6848" i="1"/>
  <c r="F6848" i="1"/>
  <c r="G6848" i="1"/>
  <c r="I6848" i="1"/>
  <c r="J6848" i="1"/>
  <c r="K6848" i="1"/>
  <c r="L6848" i="1"/>
  <c r="M6848" i="1"/>
  <c r="N6848" i="1"/>
  <c r="O6848" i="1"/>
  <c r="P6848" i="1"/>
  <c r="Q6848" i="1"/>
  <c r="R6848" i="1"/>
  <c r="S6848" i="1"/>
  <c r="T6848" i="1"/>
  <c r="U6848" i="1"/>
  <c r="V6848" i="1"/>
  <c r="W6848" i="1"/>
  <c r="X6848" i="1"/>
  <c r="Y6848" i="1"/>
  <c r="Z6848" i="1"/>
  <c r="A6849" i="1"/>
  <c r="B6849" i="1"/>
  <c r="C6849" i="1"/>
  <c r="D6849" i="1"/>
  <c r="E6849" i="1"/>
  <c r="F6849" i="1"/>
  <c r="G6849" i="1"/>
  <c r="I6849" i="1"/>
  <c r="J6849" i="1"/>
  <c r="K6849" i="1"/>
  <c r="L6849" i="1"/>
  <c r="M6849" i="1"/>
  <c r="N6849" i="1"/>
  <c r="O6849" i="1"/>
  <c r="P6849" i="1"/>
  <c r="Q6849" i="1"/>
  <c r="R6849" i="1"/>
  <c r="S6849" i="1"/>
  <c r="T6849" i="1"/>
  <c r="U6849" i="1"/>
  <c r="V6849" i="1"/>
  <c r="W6849" i="1"/>
  <c r="X6849" i="1"/>
  <c r="Y6849" i="1"/>
  <c r="Z6849" i="1"/>
  <c r="A6850" i="1"/>
  <c r="B6850" i="1"/>
  <c r="C6850" i="1"/>
  <c r="D6850" i="1"/>
  <c r="E6850" i="1"/>
  <c r="F6850" i="1"/>
  <c r="G6850" i="1"/>
  <c r="I6850" i="1"/>
  <c r="J6850" i="1"/>
  <c r="K6850" i="1"/>
  <c r="L6850" i="1"/>
  <c r="M6850" i="1"/>
  <c r="N6850" i="1"/>
  <c r="O6850" i="1"/>
  <c r="P6850" i="1"/>
  <c r="Q6850" i="1"/>
  <c r="R6850" i="1"/>
  <c r="S6850" i="1"/>
  <c r="T6850" i="1"/>
  <c r="U6850" i="1"/>
  <c r="V6850" i="1"/>
  <c r="W6850" i="1"/>
  <c r="X6850" i="1"/>
  <c r="Y6850" i="1"/>
  <c r="Z6850" i="1"/>
  <c r="A6851" i="1"/>
  <c r="B6851" i="1"/>
  <c r="C6851" i="1"/>
  <c r="D6851" i="1"/>
  <c r="E6851" i="1"/>
  <c r="F6851" i="1"/>
  <c r="G6851" i="1"/>
  <c r="I6851" i="1"/>
  <c r="J6851" i="1"/>
  <c r="K6851" i="1"/>
  <c r="L6851" i="1"/>
  <c r="M6851" i="1"/>
  <c r="N6851" i="1"/>
  <c r="O6851" i="1"/>
  <c r="P6851" i="1"/>
  <c r="Q6851" i="1"/>
  <c r="R6851" i="1"/>
  <c r="S6851" i="1"/>
  <c r="T6851" i="1"/>
  <c r="U6851" i="1"/>
  <c r="V6851" i="1"/>
  <c r="W6851" i="1"/>
  <c r="X6851" i="1"/>
  <c r="Y6851" i="1"/>
  <c r="Z6851" i="1"/>
  <c r="A6852" i="1"/>
  <c r="B6852" i="1"/>
  <c r="C6852" i="1"/>
  <c r="D6852" i="1"/>
  <c r="E6852" i="1"/>
  <c r="F6852" i="1"/>
  <c r="G6852" i="1"/>
  <c r="I6852" i="1"/>
  <c r="J6852" i="1"/>
  <c r="K6852" i="1"/>
  <c r="L6852" i="1"/>
  <c r="M6852" i="1"/>
  <c r="N6852" i="1"/>
  <c r="O6852" i="1"/>
  <c r="P6852" i="1"/>
  <c r="Q6852" i="1"/>
  <c r="R6852" i="1"/>
  <c r="S6852" i="1"/>
  <c r="T6852" i="1"/>
  <c r="U6852" i="1"/>
  <c r="V6852" i="1"/>
  <c r="W6852" i="1"/>
  <c r="X6852" i="1"/>
  <c r="Y6852" i="1"/>
  <c r="Z6852" i="1"/>
  <c r="A6853" i="1"/>
  <c r="B6853" i="1"/>
  <c r="C6853" i="1"/>
  <c r="D6853" i="1"/>
  <c r="E6853" i="1"/>
  <c r="F6853" i="1"/>
  <c r="G6853" i="1"/>
  <c r="I6853" i="1"/>
  <c r="J6853" i="1"/>
  <c r="K6853" i="1"/>
  <c r="L6853" i="1"/>
  <c r="M6853" i="1"/>
  <c r="N6853" i="1"/>
  <c r="O6853" i="1"/>
  <c r="P6853" i="1"/>
  <c r="Q6853" i="1"/>
  <c r="R6853" i="1"/>
  <c r="S6853" i="1"/>
  <c r="T6853" i="1"/>
  <c r="U6853" i="1"/>
  <c r="V6853" i="1"/>
  <c r="W6853" i="1"/>
  <c r="X6853" i="1"/>
  <c r="Y6853" i="1"/>
  <c r="Z6853" i="1"/>
  <c r="A6854" i="1"/>
  <c r="B6854" i="1"/>
  <c r="C6854" i="1"/>
  <c r="D6854" i="1"/>
  <c r="E6854" i="1"/>
  <c r="F6854" i="1"/>
  <c r="G6854" i="1"/>
  <c r="I6854" i="1"/>
  <c r="J6854" i="1"/>
  <c r="K6854" i="1"/>
  <c r="L6854" i="1"/>
  <c r="M6854" i="1"/>
  <c r="N6854" i="1"/>
  <c r="O6854" i="1"/>
  <c r="P6854" i="1"/>
  <c r="Q6854" i="1"/>
  <c r="R6854" i="1"/>
  <c r="S6854" i="1"/>
  <c r="T6854" i="1"/>
  <c r="U6854" i="1"/>
  <c r="V6854" i="1"/>
  <c r="W6854" i="1"/>
  <c r="X6854" i="1"/>
  <c r="Y6854" i="1"/>
  <c r="Z6854" i="1"/>
  <c r="A6855" i="1"/>
  <c r="B6855" i="1"/>
  <c r="C6855" i="1"/>
  <c r="D6855" i="1"/>
  <c r="E6855" i="1"/>
  <c r="F6855" i="1"/>
  <c r="G6855" i="1"/>
  <c r="I6855" i="1"/>
  <c r="J6855" i="1"/>
  <c r="K6855" i="1"/>
  <c r="L6855" i="1"/>
  <c r="M6855" i="1"/>
  <c r="N6855" i="1"/>
  <c r="O6855" i="1"/>
  <c r="P6855" i="1"/>
  <c r="Q6855" i="1"/>
  <c r="R6855" i="1"/>
  <c r="S6855" i="1"/>
  <c r="T6855" i="1"/>
  <c r="U6855" i="1"/>
  <c r="V6855" i="1"/>
  <c r="W6855" i="1"/>
  <c r="X6855" i="1"/>
  <c r="Y6855" i="1"/>
  <c r="Z6855" i="1"/>
  <c r="A6856" i="1"/>
  <c r="B6856" i="1"/>
  <c r="C6856" i="1"/>
  <c r="D6856" i="1"/>
  <c r="E6856" i="1"/>
  <c r="F6856" i="1"/>
  <c r="G6856" i="1"/>
  <c r="I6856" i="1"/>
  <c r="J6856" i="1"/>
  <c r="K6856" i="1"/>
  <c r="L6856" i="1"/>
  <c r="M6856" i="1"/>
  <c r="N6856" i="1"/>
  <c r="O6856" i="1"/>
  <c r="P6856" i="1"/>
  <c r="Q6856" i="1"/>
  <c r="R6856" i="1"/>
  <c r="S6856" i="1"/>
  <c r="T6856" i="1"/>
  <c r="U6856" i="1"/>
  <c r="V6856" i="1"/>
  <c r="W6856" i="1"/>
  <c r="X6856" i="1"/>
  <c r="Y6856" i="1"/>
  <c r="Z6856" i="1"/>
  <c r="A6857" i="1"/>
  <c r="B6857" i="1"/>
  <c r="C6857" i="1"/>
  <c r="D6857" i="1"/>
  <c r="E6857" i="1"/>
  <c r="F6857" i="1"/>
  <c r="G6857" i="1"/>
  <c r="I6857" i="1"/>
  <c r="J6857" i="1"/>
  <c r="K6857" i="1"/>
  <c r="L6857" i="1"/>
  <c r="M6857" i="1"/>
  <c r="N6857" i="1"/>
  <c r="O6857" i="1"/>
  <c r="P6857" i="1"/>
  <c r="Q6857" i="1"/>
  <c r="R6857" i="1"/>
  <c r="S6857" i="1"/>
  <c r="T6857" i="1"/>
  <c r="U6857" i="1"/>
  <c r="V6857" i="1"/>
  <c r="W6857" i="1"/>
  <c r="X6857" i="1"/>
  <c r="Y6857" i="1"/>
  <c r="Z6857" i="1"/>
  <c r="A6858" i="1"/>
  <c r="B6858" i="1"/>
  <c r="C6858" i="1"/>
  <c r="D6858" i="1"/>
  <c r="E6858" i="1"/>
  <c r="F6858" i="1"/>
  <c r="G6858" i="1"/>
  <c r="I6858" i="1"/>
  <c r="J6858" i="1"/>
  <c r="K6858" i="1"/>
  <c r="L6858" i="1"/>
  <c r="M6858" i="1"/>
  <c r="N6858" i="1"/>
  <c r="O6858" i="1"/>
  <c r="P6858" i="1"/>
  <c r="Q6858" i="1"/>
  <c r="R6858" i="1"/>
  <c r="S6858" i="1"/>
  <c r="T6858" i="1"/>
  <c r="U6858" i="1"/>
  <c r="V6858" i="1"/>
  <c r="W6858" i="1"/>
  <c r="X6858" i="1"/>
  <c r="Y6858" i="1"/>
  <c r="Z6858" i="1"/>
  <c r="A6859" i="1"/>
  <c r="B6859" i="1"/>
  <c r="C6859" i="1"/>
  <c r="D6859" i="1"/>
  <c r="E6859" i="1"/>
  <c r="F6859" i="1"/>
  <c r="G6859" i="1"/>
  <c r="I6859" i="1"/>
  <c r="J6859" i="1"/>
  <c r="K6859" i="1"/>
  <c r="L6859" i="1"/>
  <c r="M6859" i="1"/>
  <c r="N6859" i="1"/>
  <c r="O6859" i="1"/>
  <c r="P6859" i="1"/>
  <c r="Q6859" i="1"/>
  <c r="R6859" i="1"/>
  <c r="S6859" i="1"/>
  <c r="T6859" i="1"/>
  <c r="U6859" i="1"/>
  <c r="V6859" i="1"/>
  <c r="W6859" i="1"/>
  <c r="X6859" i="1"/>
  <c r="Y6859" i="1"/>
  <c r="Z6859" i="1"/>
  <c r="A6860" i="1"/>
  <c r="B6860" i="1"/>
  <c r="C6860" i="1"/>
  <c r="D6860" i="1"/>
  <c r="E6860" i="1"/>
  <c r="F6860" i="1"/>
  <c r="G6860" i="1"/>
  <c r="I6860" i="1"/>
  <c r="J6860" i="1"/>
  <c r="K6860" i="1"/>
  <c r="L6860" i="1"/>
  <c r="M6860" i="1"/>
  <c r="N6860" i="1"/>
  <c r="O6860" i="1"/>
  <c r="P6860" i="1"/>
  <c r="Q6860" i="1"/>
  <c r="R6860" i="1"/>
  <c r="S6860" i="1"/>
  <c r="T6860" i="1"/>
  <c r="U6860" i="1"/>
  <c r="V6860" i="1"/>
  <c r="W6860" i="1"/>
  <c r="X6860" i="1"/>
  <c r="Y6860" i="1"/>
  <c r="Z6860" i="1"/>
  <c r="A6861" i="1"/>
  <c r="B6861" i="1"/>
  <c r="C6861" i="1"/>
  <c r="D6861" i="1"/>
  <c r="E6861" i="1"/>
  <c r="F6861" i="1"/>
  <c r="G6861" i="1"/>
  <c r="I6861" i="1"/>
  <c r="J6861" i="1"/>
  <c r="K6861" i="1"/>
  <c r="L6861" i="1"/>
  <c r="M6861" i="1"/>
  <c r="N6861" i="1"/>
  <c r="O6861" i="1"/>
  <c r="P6861" i="1"/>
  <c r="Q6861" i="1"/>
  <c r="R6861" i="1"/>
  <c r="S6861" i="1"/>
  <c r="T6861" i="1"/>
  <c r="U6861" i="1"/>
  <c r="V6861" i="1"/>
  <c r="W6861" i="1"/>
  <c r="X6861" i="1"/>
  <c r="Y6861" i="1"/>
  <c r="Z6861" i="1"/>
  <c r="A6862" i="1"/>
  <c r="B6862" i="1"/>
  <c r="C6862" i="1"/>
  <c r="D6862" i="1"/>
  <c r="E6862" i="1"/>
  <c r="F6862" i="1"/>
  <c r="G6862" i="1"/>
  <c r="I6862" i="1"/>
  <c r="J6862" i="1"/>
  <c r="K6862" i="1"/>
  <c r="L6862" i="1"/>
  <c r="M6862" i="1"/>
  <c r="N6862" i="1"/>
  <c r="O6862" i="1"/>
  <c r="P6862" i="1"/>
  <c r="Q6862" i="1"/>
  <c r="R6862" i="1"/>
  <c r="S6862" i="1"/>
  <c r="T6862" i="1"/>
  <c r="U6862" i="1"/>
  <c r="V6862" i="1"/>
  <c r="W6862" i="1"/>
  <c r="X6862" i="1"/>
  <c r="Y6862" i="1"/>
  <c r="Z6862" i="1"/>
  <c r="A6863" i="1"/>
  <c r="B6863" i="1"/>
  <c r="C6863" i="1"/>
  <c r="D6863" i="1"/>
  <c r="E6863" i="1"/>
  <c r="F6863" i="1"/>
  <c r="G6863" i="1"/>
  <c r="I6863" i="1"/>
  <c r="J6863" i="1"/>
  <c r="K6863" i="1"/>
  <c r="L6863" i="1"/>
  <c r="M6863" i="1"/>
  <c r="N6863" i="1"/>
  <c r="O6863" i="1"/>
  <c r="P6863" i="1"/>
  <c r="Q6863" i="1"/>
  <c r="R6863" i="1"/>
  <c r="S6863" i="1"/>
  <c r="T6863" i="1"/>
  <c r="U6863" i="1"/>
  <c r="V6863" i="1"/>
  <c r="W6863" i="1"/>
  <c r="X6863" i="1"/>
  <c r="Y6863" i="1"/>
  <c r="Z6863" i="1"/>
  <c r="A6864" i="1"/>
  <c r="B6864" i="1"/>
  <c r="C6864" i="1"/>
  <c r="D6864" i="1"/>
  <c r="E6864" i="1"/>
  <c r="F6864" i="1"/>
  <c r="G6864" i="1"/>
  <c r="I6864" i="1"/>
  <c r="J6864" i="1"/>
  <c r="K6864" i="1"/>
  <c r="L6864" i="1"/>
  <c r="M6864" i="1"/>
  <c r="N6864" i="1"/>
  <c r="O6864" i="1"/>
  <c r="P6864" i="1"/>
  <c r="Q6864" i="1"/>
  <c r="R6864" i="1"/>
  <c r="S6864" i="1"/>
  <c r="T6864" i="1"/>
  <c r="U6864" i="1"/>
  <c r="V6864" i="1"/>
  <c r="W6864" i="1"/>
  <c r="X6864" i="1"/>
  <c r="Y6864" i="1"/>
  <c r="Z6864" i="1"/>
  <c r="A6865" i="1"/>
  <c r="B6865" i="1"/>
  <c r="C6865" i="1"/>
  <c r="D6865" i="1"/>
  <c r="E6865" i="1"/>
  <c r="F6865" i="1"/>
  <c r="G6865" i="1"/>
  <c r="I6865" i="1"/>
  <c r="J6865" i="1"/>
  <c r="K6865" i="1"/>
  <c r="L6865" i="1"/>
  <c r="M6865" i="1"/>
  <c r="N6865" i="1"/>
  <c r="O6865" i="1"/>
  <c r="P6865" i="1"/>
  <c r="Q6865" i="1"/>
  <c r="R6865" i="1"/>
  <c r="S6865" i="1"/>
  <c r="T6865" i="1"/>
  <c r="U6865" i="1"/>
  <c r="V6865" i="1"/>
  <c r="W6865" i="1"/>
  <c r="X6865" i="1"/>
  <c r="Y6865" i="1"/>
  <c r="Z6865" i="1"/>
  <c r="A6866" i="1"/>
  <c r="B6866" i="1"/>
  <c r="C6866" i="1"/>
  <c r="D6866" i="1"/>
  <c r="E6866" i="1"/>
  <c r="F6866" i="1"/>
  <c r="G6866" i="1"/>
  <c r="I6866" i="1"/>
  <c r="J6866" i="1"/>
  <c r="K6866" i="1"/>
  <c r="L6866" i="1"/>
  <c r="M6866" i="1"/>
  <c r="N6866" i="1"/>
  <c r="O6866" i="1"/>
  <c r="P6866" i="1"/>
  <c r="Q6866" i="1"/>
  <c r="R6866" i="1"/>
  <c r="S6866" i="1"/>
  <c r="T6866" i="1"/>
  <c r="U6866" i="1"/>
  <c r="V6866" i="1"/>
  <c r="W6866" i="1"/>
  <c r="X6866" i="1"/>
  <c r="Y6866" i="1"/>
  <c r="Z6866" i="1"/>
  <c r="A6867" i="1"/>
  <c r="B6867" i="1"/>
  <c r="C6867" i="1"/>
  <c r="D6867" i="1"/>
  <c r="E6867" i="1"/>
  <c r="F6867" i="1"/>
  <c r="G6867" i="1"/>
  <c r="I6867" i="1"/>
  <c r="J6867" i="1"/>
  <c r="K6867" i="1"/>
  <c r="L6867" i="1"/>
  <c r="M6867" i="1"/>
  <c r="N6867" i="1"/>
  <c r="O6867" i="1"/>
  <c r="P6867" i="1"/>
  <c r="Q6867" i="1"/>
  <c r="R6867" i="1"/>
  <c r="S6867" i="1"/>
  <c r="T6867" i="1"/>
  <c r="U6867" i="1"/>
  <c r="V6867" i="1"/>
  <c r="W6867" i="1"/>
  <c r="X6867" i="1"/>
  <c r="Y6867" i="1"/>
  <c r="Z6867" i="1"/>
  <c r="A6868" i="1"/>
  <c r="B6868" i="1"/>
  <c r="C6868" i="1"/>
  <c r="D6868" i="1"/>
  <c r="E6868" i="1"/>
  <c r="F6868" i="1"/>
  <c r="G6868" i="1"/>
  <c r="I6868" i="1"/>
  <c r="J6868" i="1"/>
  <c r="K6868" i="1"/>
  <c r="L6868" i="1"/>
  <c r="M6868" i="1"/>
  <c r="N6868" i="1"/>
  <c r="O6868" i="1"/>
  <c r="P6868" i="1"/>
  <c r="Q6868" i="1"/>
  <c r="R6868" i="1"/>
  <c r="S6868" i="1"/>
  <c r="T6868" i="1"/>
  <c r="U6868" i="1"/>
  <c r="V6868" i="1"/>
  <c r="W6868" i="1"/>
  <c r="X6868" i="1"/>
  <c r="Y6868" i="1"/>
  <c r="Z6868" i="1"/>
  <c r="A6869" i="1"/>
  <c r="B6869" i="1"/>
  <c r="C6869" i="1"/>
  <c r="D6869" i="1"/>
  <c r="E6869" i="1"/>
  <c r="F6869" i="1"/>
  <c r="G6869" i="1"/>
  <c r="I6869" i="1"/>
  <c r="J6869" i="1"/>
  <c r="K6869" i="1"/>
  <c r="L6869" i="1"/>
  <c r="M6869" i="1"/>
  <c r="N6869" i="1"/>
  <c r="O6869" i="1"/>
  <c r="P6869" i="1"/>
  <c r="Q6869" i="1"/>
  <c r="R6869" i="1"/>
  <c r="S6869" i="1"/>
  <c r="T6869" i="1"/>
  <c r="U6869" i="1"/>
  <c r="V6869" i="1"/>
  <c r="W6869" i="1"/>
  <c r="X6869" i="1"/>
  <c r="Y6869" i="1"/>
  <c r="Z6869" i="1"/>
  <c r="A6870" i="1"/>
  <c r="B6870" i="1"/>
  <c r="C6870" i="1"/>
  <c r="D6870" i="1"/>
  <c r="E6870" i="1"/>
  <c r="F6870" i="1"/>
  <c r="G6870" i="1"/>
  <c r="I6870" i="1"/>
  <c r="J6870" i="1"/>
  <c r="K6870" i="1"/>
  <c r="L6870" i="1"/>
  <c r="M6870" i="1"/>
  <c r="N6870" i="1"/>
  <c r="O6870" i="1"/>
  <c r="P6870" i="1"/>
  <c r="Q6870" i="1"/>
  <c r="R6870" i="1"/>
  <c r="S6870" i="1"/>
  <c r="T6870" i="1"/>
  <c r="U6870" i="1"/>
  <c r="V6870" i="1"/>
  <c r="W6870" i="1"/>
  <c r="X6870" i="1"/>
  <c r="Y6870" i="1"/>
  <c r="Z6870" i="1"/>
  <c r="A6871" i="1"/>
  <c r="B6871" i="1"/>
  <c r="C6871" i="1"/>
  <c r="D6871" i="1"/>
  <c r="E6871" i="1"/>
  <c r="F6871" i="1"/>
  <c r="G6871" i="1"/>
  <c r="I6871" i="1"/>
  <c r="J6871" i="1"/>
  <c r="K6871" i="1"/>
  <c r="L6871" i="1"/>
  <c r="M6871" i="1"/>
  <c r="N6871" i="1"/>
  <c r="O6871" i="1"/>
  <c r="P6871" i="1"/>
  <c r="Q6871" i="1"/>
  <c r="R6871" i="1"/>
  <c r="S6871" i="1"/>
  <c r="T6871" i="1"/>
  <c r="U6871" i="1"/>
  <c r="V6871" i="1"/>
  <c r="W6871" i="1"/>
  <c r="X6871" i="1"/>
  <c r="Y6871" i="1"/>
  <c r="Z6871" i="1"/>
  <c r="A6872" i="1"/>
  <c r="B6872" i="1"/>
  <c r="C6872" i="1"/>
  <c r="D6872" i="1"/>
  <c r="E6872" i="1"/>
  <c r="F6872" i="1"/>
  <c r="G6872" i="1"/>
  <c r="I6872" i="1"/>
  <c r="J6872" i="1"/>
  <c r="K6872" i="1"/>
  <c r="L6872" i="1"/>
  <c r="M6872" i="1"/>
  <c r="N6872" i="1"/>
  <c r="O6872" i="1"/>
  <c r="P6872" i="1"/>
  <c r="Q6872" i="1"/>
  <c r="R6872" i="1"/>
  <c r="S6872" i="1"/>
  <c r="T6872" i="1"/>
  <c r="U6872" i="1"/>
  <c r="V6872" i="1"/>
  <c r="W6872" i="1"/>
  <c r="X6872" i="1"/>
  <c r="Y6872" i="1"/>
  <c r="Z6872" i="1"/>
  <c r="A6873" i="1"/>
  <c r="B6873" i="1"/>
  <c r="C6873" i="1"/>
  <c r="D6873" i="1"/>
  <c r="E6873" i="1"/>
  <c r="F6873" i="1"/>
  <c r="G6873" i="1"/>
  <c r="I6873" i="1"/>
  <c r="J6873" i="1"/>
  <c r="K6873" i="1"/>
  <c r="L6873" i="1"/>
  <c r="M6873" i="1"/>
  <c r="N6873" i="1"/>
  <c r="O6873" i="1"/>
  <c r="P6873" i="1"/>
  <c r="Q6873" i="1"/>
  <c r="R6873" i="1"/>
  <c r="S6873" i="1"/>
  <c r="T6873" i="1"/>
  <c r="U6873" i="1"/>
  <c r="V6873" i="1"/>
  <c r="W6873" i="1"/>
  <c r="X6873" i="1"/>
  <c r="Y6873" i="1"/>
  <c r="Z6873" i="1"/>
  <c r="A6874" i="1"/>
  <c r="B6874" i="1"/>
  <c r="C6874" i="1"/>
  <c r="D6874" i="1"/>
  <c r="E6874" i="1"/>
  <c r="F6874" i="1"/>
  <c r="G6874" i="1"/>
  <c r="I6874" i="1"/>
  <c r="J6874" i="1"/>
  <c r="K6874" i="1"/>
  <c r="L6874" i="1"/>
  <c r="M6874" i="1"/>
  <c r="N6874" i="1"/>
  <c r="O6874" i="1"/>
  <c r="P6874" i="1"/>
  <c r="Q6874" i="1"/>
  <c r="R6874" i="1"/>
  <c r="S6874" i="1"/>
  <c r="T6874" i="1"/>
  <c r="U6874" i="1"/>
  <c r="V6874" i="1"/>
  <c r="W6874" i="1"/>
  <c r="X6874" i="1"/>
  <c r="Y6874" i="1"/>
  <c r="Z6874" i="1"/>
  <c r="A6875" i="1"/>
  <c r="B6875" i="1"/>
  <c r="C6875" i="1"/>
  <c r="D6875" i="1"/>
  <c r="E6875" i="1"/>
  <c r="F6875" i="1"/>
  <c r="G6875" i="1"/>
  <c r="I6875" i="1"/>
  <c r="J6875" i="1"/>
  <c r="K6875" i="1"/>
  <c r="L6875" i="1"/>
  <c r="M6875" i="1"/>
  <c r="N6875" i="1"/>
  <c r="O6875" i="1"/>
  <c r="P6875" i="1"/>
  <c r="Q6875" i="1"/>
  <c r="R6875" i="1"/>
  <c r="S6875" i="1"/>
  <c r="T6875" i="1"/>
  <c r="U6875" i="1"/>
  <c r="V6875" i="1"/>
  <c r="W6875" i="1"/>
  <c r="X6875" i="1"/>
  <c r="Y6875" i="1"/>
  <c r="Z6875" i="1"/>
  <c r="A6876" i="1"/>
  <c r="B6876" i="1"/>
  <c r="C6876" i="1"/>
  <c r="D6876" i="1"/>
  <c r="E6876" i="1"/>
  <c r="F6876" i="1"/>
  <c r="G6876" i="1"/>
  <c r="I6876" i="1"/>
  <c r="J6876" i="1"/>
  <c r="K6876" i="1"/>
  <c r="L6876" i="1"/>
  <c r="M6876" i="1"/>
  <c r="N6876" i="1"/>
  <c r="O6876" i="1"/>
  <c r="P6876" i="1"/>
  <c r="Q6876" i="1"/>
  <c r="R6876" i="1"/>
  <c r="S6876" i="1"/>
  <c r="T6876" i="1"/>
  <c r="U6876" i="1"/>
  <c r="V6876" i="1"/>
  <c r="W6876" i="1"/>
  <c r="X6876" i="1"/>
  <c r="Y6876" i="1"/>
  <c r="Z6876" i="1"/>
  <c r="A6877" i="1"/>
  <c r="B6877" i="1"/>
  <c r="C6877" i="1"/>
  <c r="D6877" i="1"/>
  <c r="E6877" i="1"/>
  <c r="F6877" i="1"/>
  <c r="G6877" i="1"/>
  <c r="I6877" i="1"/>
  <c r="J6877" i="1"/>
  <c r="K6877" i="1"/>
  <c r="L6877" i="1"/>
  <c r="M6877" i="1"/>
  <c r="N6877" i="1"/>
  <c r="O6877" i="1"/>
  <c r="P6877" i="1"/>
  <c r="Q6877" i="1"/>
  <c r="R6877" i="1"/>
  <c r="S6877" i="1"/>
  <c r="T6877" i="1"/>
  <c r="U6877" i="1"/>
  <c r="V6877" i="1"/>
  <c r="W6877" i="1"/>
  <c r="X6877" i="1"/>
  <c r="Y6877" i="1"/>
  <c r="Z6877" i="1"/>
  <c r="A6878" i="1"/>
  <c r="B6878" i="1"/>
  <c r="C6878" i="1"/>
  <c r="D6878" i="1"/>
  <c r="E6878" i="1"/>
  <c r="F6878" i="1"/>
  <c r="G6878" i="1"/>
  <c r="I6878" i="1"/>
  <c r="J6878" i="1"/>
  <c r="K6878" i="1"/>
  <c r="L6878" i="1"/>
  <c r="M6878" i="1"/>
  <c r="N6878" i="1"/>
  <c r="O6878" i="1"/>
  <c r="P6878" i="1"/>
  <c r="Q6878" i="1"/>
  <c r="R6878" i="1"/>
  <c r="S6878" i="1"/>
  <c r="T6878" i="1"/>
  <c r="U6878" i="1"/>
  <c r="V6878" i="1"/>
  <c r="W6878" i="1"/>
  <c r="X6878" i="1"/>
  <c r="Y6878" i="1"/>
  <c r="Z6878" i="1"/>
  <c r="A6879" i="1"/>
  <c r="B6879" i="1"/>
  <c r="C6879" i="1"/>
  <c r="D6879" i="1"/>
  <c r="E6879" i="1"/>
  <c r="F6879" i="1"/>
  <c r="G6879" i="1"/>
  <c r="I6879" i="1"/>
  <c r="J6879" i="1"/>
  <c r="K6879" i="1"/>
  <c r="L6879" i="1"/>
  <c r="M6879" i="1"/>
  <c r="N6879" i="1"/>
  <c r="O6879" i="1"/>
  <c r="P6879" i="1"/>
  <c r="Q6879" i="1"/>
  <c r="R6879" i="1"/>
  <c r="S6879" i="1"/>
  <c r="T6879" i="1"/>
  <c r="U6879" i="1"/>
  <c r="V6879" i="1"/>
  <c r="W6879" i="1"/>
  <c r="X6879" i="1"/>
  <c r="Y6879" i="1"/>
  <c r="Z6879" i="1"/>
  <c r="A6880" i="1"/>
  <c r="B6880" i="1"/>
  <c r="C6880" i="1"/>
  <c r="D6880" i="1"/>
  <c r="E6880" i="1"/>
  <c r="F6880" i="1"/>
  <c r="G6880" i="1"/>
  <c r="I6880" i="1"/>
  <c r="J6880" i="1"/>
  <c r="K6880" i="1"/>
  <c r="L6880" i="1"/>
  <c r="M6880" i="1"/>
  <c r="N6880" i="1"/>
  <c r="O6880" i="1"/>
  <c r="P6880" i="1"/>
  <c r="Q6880" i="1"/>
  <c r="R6880" i="1"/>
  <c r="S6880" i="1"/>
  <c r="T6880" i="1"/>
  <c r="U6880" i="1"/>
  <c r="V6880" i="1"/>
  <c r="W6880" i="1"/>
  <c r="X6880" i="1"/>
  <c r="Y6880" i="1"/>
  <c r="Z6880" i="1"/>
  <c r="A6881" i="1"/>
  <c r="B6881" i="1"/>
  <c r="C6881" i="1"/>
  <c r="D6881" i="1"/>
  <c r="E6881" i="1"/>
  <c r="F6881" i="1"/>
  <c r="G6881" i="1"/>
  <c r="I6881" i="1"/>
  <c r="J6881" i="1"/>
  <c r="K6881" i="1"/>
  <c r="L6881" i="1"/>
  <c r="M6881" i="1"/>
  <c r="N6881" i="1"/>
  <c r="O6881" i="1"/>
  <c r="P6881" i="1"/>
  <c r="Q6881" i="1"/>
  <c r="R6881" i="1"/>
  <c r="S6881" i="1"/>
  <c r="T6881" i="1"/>
  <c r="U6881" i="1"/>
  <c r="V6881" i="1"/>
  <c r="W6881" i="1"/>
  <c r="X6881" i="1"/>
  <c r="Y6881" i="1"/>
  <c r="Z6881" i="1"/>
  <c r="A6882" i="1"/>
  <c r="B6882" i="1"/>
  <c r="C6882" i="1"/>
  <c r="D6882" i="1"/>
  <c r="E6882" i="1"/>
  <c r="F6882" i="1"/>
  <c r="G6882" i="1"/>
  <c r="I6882" i="1"/>
  <c r="J6882" i="1"/>
  <c r="K6882" i="1"/>
  <c r="L6882" i="1"/>
  <c r="M6882" i="1"/>
  <c r="N6882" i="1"/>
  <c r="O6882" i="1"/>
  <c r="P6882" i="1"/>
  <c r="Q6882" i="1"/>
  <c r="R6882" i="1"/>
  <c r="S6882" i="1"/>
  <c r="T6882" i="1"/>
  <c r="U6882" i="1"/>
  <c r="V6882" i="1"/>
  <c r="W6882" i="1"/>
  <c r="X6882" i="1"/>
  <c r="Y6882" i="1"/>
  <c r="Z6882" i="1"/>
  <c r="A6883" i="1"/>
  <c r="B6883" i="1"/>
  <c r="C6883" i="1"/>
  <c r="D6883" i="1"/>
  <c r="E6883" i="1"/>
  <c r="F6883" i="1"/>
  <c r="G6883" i="1"/>
  <c r="I6883" i="1"/>
  <c r="J6883" i="1"/>
  <c r="K6883" i="1"/>
  <c r="L6883" i="1"/>
  <c r="M6883" i="1"/>
  <c r="N6883" i="1"/>
  <c r="O6883" i="1"/>
  <c r="P6883" i="1"/>
  <c r="Q6883" i="1"/>
  <c r="R6883" i="1"/>
  <c r="S6883" i="1"/>
  <c r="T6883" i="1"/>
  <c r="U6883" i="1"/>
  <c r="V6883" i="1"/>
  <c r="W6883" i="1"/>
  <c r="X6883" i="1"/>
  <c r="Y6883" i="1"/>
  <c r="Z6883" i="1"/>
  <c r="A6884" i="1"/>
  <c r="B6884" i="1"/>
  <c r="C6884" i="1"/>
  <c r="D6884" i="1"/>
  <c r="E6884" i="1"/>
  <c r="F6884" i="1"/>
  <c r="G6884" i="1"/>
  <c r="I6884" i="1"/>
  <c r="J6884" i="1"/>
  <c r="K6884" i="1"/>
  <c r="L6884" i="1"/>
  <c r="M6884" i="1"/>
  <c r="N6884" i="1"/>
  <c r="O6884" i="1"/>
  <c r="P6884" i="1"/>
  <c r="Q6884" i="1"/>
  <c r="R6884" i="1"/>
  <c r="S6884" i="1"/>
  <c r="T6884" i="1"/>
  <c r="U6884" i="1"/>
  <c r="V6884" i="1"/>
  <c r="W6884" i="1"/>
  <c r="X6884" i="1"/>
  <c r="Y6884" i="1"/>
  <c r="Z6884" i="1"/>
  <c r="A6885" i="1"/>
  <c r="B6885" i="1"/>
  <c r="C6885" i="1"/>
  <c r="D6885" i="1"/>
  <c r="E6885" i="1"/>
  <c r="F6885" i="1"/>
  <c r="G6885" i="1"/>
  <c r="I6885" i="1"/>
  <c r="J6885" i="1"/>
  <c r="K6885" i="1"/>
  <c r="L6885" i="1"/>
  <c r="M6885" i="1"/>
  <c r="N6885" i="1"/>
  <c r="O6885" i="1"/>
  <c r="P6885" i="1"/>
  <c r="Q6885" i="1"/>
  <c r="R6885" i="1"/>
  <c r="S6885" i="1"/>
  <c r="T6885" i="1"/>
  <c r="U6885" i="1"/>
  <c r="V6885" i="1"/>
  <c r="W6885" i="1"/>
  <c r="X6885" i="1"/>
  <c r="Y6885" i="1"/>
  <c r="Z6885" i="1"/>
  <c r="A6886" i="1"/>
  <c r="B6886" i="1"/>
  <c r="C6886" i="1"/>
  <c r="D6886" i="1"/>
  <c r="E6886" i="1"/>
  <c r="F6886" i="1"/>
  <c r="G6886" i="1"/>
  <c r="I6886" i="1"/>
  <c r="J6886" i="1"/>
  <c r="K6886" i="1"/>
  <c r="L6886" i="1"/>
  <c r="M6886" i="1"/>
  <c r="N6886" i="1"/>
  <c r="O6886" i="1"/>
  <c r="P6886" i="1"/>
  <c r="Q6886" i="1"/>
  <c r="R6886" i="1"/>
  <c r="S6886" i="1"/>
  <c r="T6886" i="1"/>
  <c r="U6886" i="1"/>
  <c r="V6886" i="1"/>
  <c r="W6886" i="1"/>
  <c r="X6886" i="1"/>
  <c r="Y6886" i="1"/>
  <c r="Z6886" i="1"/>
  <c r="A6887" i="1"/>
  <c r="B6887" i="1"/>
  <c r="C6887" i="1"/>
  <c r="D6887" i="1"/>
  <c r="E6887" i="1"/>
  <c r="F6887" i="1"/>
  <c r="G6887" i="1"/>
  <c r="I6887" i="1"/>
  <c r="J6887" i="1"/>
  <c r="K6887" i="1"/>
  <c r="L6887" i="1"/>
  <c r="M6887" i="1"/>
  <c r="N6887" i="1"/>
  <c r="O6887" i="1"/>
  <c r="P6887" i="1"/>
  <c r="Q6887" i="1"/>
  <c r="R6887" i="1"/>
  <c r="S6887" i="1"/>
  <c r="T6887" i="1"/>
  <c r="U6887" i="1"/>
  <c r="V6887" i="1"/>
  <c r="W6887" i="1"/>
  <c r="X6887" i="1"/>
  <c r="Y6887" i="1"/>
  <c r="Z6887" i="1"/>
  <c r="A6888" i="1"/>
  <c r="B6888" i="1"/>
  <c r="C6888" i="1"/>
  <c r="D6888" i="1"/>
  <c r="E6888" i="1"/>
  <c r="F6888" i="1"/>
  <c r="G6888" i="1"/>
  <c r="I6888" i="1"/>
  <c r="J6888" i="1"/>
  <c r="K6888" i="1"/>
  <c r="L6888" i="1"/>
  <c r="M6888" i="1"/>
  <c r="N6888" i="1"/>
  <c r="O6888" i="1"/>
  <c r="P6888" i="1"/>
  <c r="Q6888" i="1"/>
  <c r="R6888" i="1"/>
  <c r="S6888" i="1"/>
  <c r="T6888" i="1"/>
  <c r="U6888" i="1"/>
  <c r="V6888" i="1"/>
  <c r="W6888" i="1"/>
  <c r="X6888" i="1"/>
  <c r="Y6888" i="1"/>
  <c r="Z6888" i="1"/>
  <c r="A6889" i="1"/>
  <c r="B6889" i="1"/>
  <c r="C6889" i="1"/>
  <c r="D6889" i="1"/>
  <c r="E6889" i="1"/>
  <c r="F6889" i="1"/>
  <c r="G6889" i="1"/>
  <c r="I6889" i="1"/>
  <c r="J6889" i="1"/>
  <c r="K6889" i="1"/>
  <c r="L6889" i="1"/>
  <c r="M6889" i="1"/>
  <c r="N6889" i="1"/>
  <c r="O6889" i="1"/>
  <c r="P6889" i="1"/>
  <c r="Q6889" i="1"/>
  <c r="R6889" i="1"/>
  <c r="S6889" i="1"/>
  <c r="T6889" i="1"/>
  <c r="U6889" i="1"/>
  <c r="V6889" i="1"/>
  <c r="W6889" i="1"/>
  <c r="X6889" i="1"/>
  <c r="Y6889" i="1"/>
  <c r="Z6889" i="1"/>
  <c r="A6890" i="1"/>
  <c r="B6890" i="1"/>
  <c r="C6890" i="1"/>
  <c r="D6890" i="1"/>
  <c r="E6890" i="1"/>
  <c r="F6890" i="1"/>
  <c r="G6890" i="1"/>
  <c r="I6890" i="1"/>
  <c r="J6890" i="1"/>
  <c r="K6890" i="1"/>
  <c r="L6890" i="1"/>
  <c r="M6890" i="1"/>
  <c r="N6890" i="1"/>
  <c r="O6890" i="1"/>
  <c r="P6890" i="1"/>
  <c r="Q6890" i="1"/>
  <c r="R6890" i="1"/>
  <c r="S6890" i="1"/>
  <c r="T6890" i="1"/>
  <c r="U6890" i="1"/>
  <c r="V6890" i="1"/>
  <c r="W6890" i="1"/>
  <c r="X6890" i="1"/>
  <c r="Y6890" i="1"/>
  <c r="Z6890" i="1"/>
  <c r="A6891" i="1"/>
  <c r="B6891" i="1"/>
  <c r="C6891" i="1"/>
  <c r="D6891" i="1"/>
  <c r="E6891" i="1"/>
  <c r="F6891" i="1"/>
  <c r="G6891" i="1"/>
  <c r="I6891" i="1"/>
  <c r="J6891" i="1"/>
  <c r="K6891" i="1"/>
  <c r="L6891" i="1"/>
  <c r="M6891" i="1"/>
  <c r="N6891" i="1"/>
  <c r="O6891" i="1"/>
  <c r="P6891" i="1"/>
  <c r="Q6891" i="1"/>
  <c r="R6891" i="1"/>
  <c r="S6891" i="1"/>
  <c r="T6891" i="1"/>
  <c r="U6891" i="1"/>
  <c r="V6891" i="1"/>
  <c r="W6891" i="1"/>
  <c r="X6891" i="1"/>
  <c r="Y6891" i="1"/>
  <c r="Z6891" i="1"/>
  <c r="A6892" i="1"/>
  <c r="B6892" i="1"/>
  <c r="C6892" i="1"/>
  <c r="D6892" i="1"/>
  <c r="E6892" i="1"/>
  <c r="F6892" i="1"/>
  <c r="G6892" i="1"/>
  <c r="I6892" i="1"/>
  <c r="J6892" i="1"/>
  <c r="K6892" i="1"/>
  <c r="L6892" i="1"/>
  <c r="M6892" i="1"/>
  <c r="N6892" i="1"/>
  <c r="O6892" i="1"/>
  <c r="P6892" i="1"/>
  <c r="Q6892" i="1"/>
  <c r="R6892" i="1"/>
  <c r="S6892" i="1"/>
  <c r="T6892" i="1"/>
  <c r="U6892" i="1"/>
  <c r="V6892" i="1"/>
  <c r="W6892" i="1"/>
  <c r="X6892" i="1"/>
  <c r="Y6892" i="1"/>
  <c r="Z6892" i="1"/>
  <c r="A6893" i="1"/>
  <c r="B6893" i="1"/>
  <c r="C6893" i="1"/>
  <c r="D6893" i="1"/>
  <c r="E6893" i="1"/>
  <c r="F6893" i="1"/>
  <c r="G6893" i="1"/>
  <c r="I6893" i="1"/>
  <c r="J6893" i="1"/>
  <c r="K6893" i="1"/>
  <c r="L6893" i="1"/>
  <c r="M6893" i="1"/>
  <c r="N6893" i="1"/>
  <c r="O6893" i="1"/>
  <c r="P6893" i="1"/>
  <c r="Q6893" i="1"/>
  <c r="R6893" i="1"/>
  <c r="S6893" i="1"/>
  <c r="T6893" i="1"/>
  <c r="U6893" i="1"/>
  <c r="V6893" i="1"/>
  <c r="W6893" i="1"/>
  <c r="X6893" i="1"/>
  <c r="Y6893" i="1"/>
  <c r="Z6893" i="1"/>
  <c r="A6894" i="1"/>
  <c r="B6894" i="1"/>
  <c r="C6894" i="1"/>
  <c r="D6894" i="1"/>
  <c r="E6894" i="1"/>
  <c r="F6894" i="1"/>
  <c r="G6894" i="1"/>
  <c r="I6894" i="1"/>
  <c r="J6894" i="1"/>
  <c r="K6894" i="1"/>
  <c r="L6894" i="1"/>
  <c r="M6894" i="1"/>
  <c r="N6894" i="1"/>
  <c r="O6894" i="1"/>
  <c r="P6894" i="1"/>
  <c r="Q6894" i="1"/>
  <c r="R6894" i="1"/>
  <c r="S6894" i="1"/>
  <c r="T6894" i="1"/>
  <c r="U6894" i="1"/>
  <c r="V6894" i="1"/>
  <c r="W6894" i="1"/>
  <c r="X6894" i="1"/>
  <c r="Y6894" i="1"/>
  <c r="Z6894" i="1"/>
  <c r="A6895" i="1"/>
  <c r="B6895" i="1"/>
  <c r="C6895" i="1"/>
  <c r="D6895" i="1"/>
  <c r="E6895" i="1"/>
  <c r="F6895" i="1"/>
  <c r="G6895" i="1"/>
  <c r="I6895" i="1"/>
  <c r="J6895" i="1"/>
  <c r="K6895" i="1"/>
  <c r="L6895" i="1"/>
  <c r="M6895" i="1"/>
  <c r="N6895" i="1"/>
  <c r="O6895" i="1"/>
  <c r="P6895" i="1"/>
  <c r="Q6895" i="1"/>
  <c r="R6895" i="1"/>
  <c r="S6895" i="1"/>
  <c r="T6895" i="1"/>
  <c r="U6895" i="1"/>
  <c r="V6895" i="1"/>
  <c r="W6895" i="1"/>
  <c r="X6895" i="1"/>
  <c r="Y6895" i="1"/>
  <c r="Z6895" i="1"/>
  <c r="A6896" i="1"/>
  <c r="B6896" i="1"/>
  <c r="C6896" i="1"/>
  <c r="D6896" i="1"/>
  <c r="E6896" i="1"/>
  <c r="F6896" i="1"/>
  <c r="G6896" i="1"/>
  <c r="I6896" i="1"/>
  <c r="J6896" i="1"/>
  <c r="K6896" i="1"/>
  <c r="L6896" i="1"/>
  <c r="M6896" i="1"/>
  <c r="N6896" i="1"/>
  <c r="O6896" i="1"/>
  <c r="P6896" i="1"/>
  <c r="Q6896" i="1"/>
  <c r="R6896" i="1"/>
  <c r="S6896" i="1"/>
  <c r="T6896" i="1"/>
  <c r="U6896" i="1"/>
  <c r="V6896" i="1"/>
  <c r="W6896" i="1"/>
  <c r="X6896" i="1"/>
  <c r="Y6896" i="1"/>
  <c r="Z6896" i="1"/>
  <c r="A6897" i="1"/>
  <c r="B6897" i="1"/>
  <c r="C6897" i="1"/>
  <c r="D6897" i="1"/>
  <c r="E6897" i="1"/>
  <c r="F6897" i="1"/>
  <c r="G6897" i="1"/>
  <c r="I6897" i="1"/>
  <c r="J6897" i="1"/>
  <c r="K6897" i="1"/>
  <c r="L6897" i="1"/>
  <c r="M6897" i="1"/>
  <c r="N6897" i="1"/>
  <c r="O6897" i="1"/>
  <c r="P6897" i="1"/>
  <c r="Q6897" i="1"/>
  <c r="R6897" i="1"/>
  <c r="S6897" i="1"/>
  <c r="T6897" i="1"/>
  <c r="U6897" i="1"/>
  <c r="V6897" i="1"/>
  <c r="W6897" i="1"/>
  <c r="X6897" i="1"/>
  <c r="Y6897" i="1"/>
  <c r="Z6897" i="1"/>
  <c r="A6898" i="1"/>
  <c r="B6898" i="1"/>
  <c r="C6898" i="1"/>
  <c r="D6898" i="1"/>
  <c r="E6898" i="1"/>
  <c r="F6898" i="1"/>
  <c r="G6898" i="1"/>
  <c r="I6898" i="1"/>
  <c r="J6898" i="1"/>
  <c r="K6898" i="1"/>
  <c r="L6898" i="1"/>
  <c r="M6898" i="1"/>
  <c r="N6898" i="1"/>
  <c r="O6898" i="1"/>
  <c r="P6898" i="1"/>
  <c r="Q6898" i="1"/>
  <c r="R6898" i="1"/>
  <c r="S6898" i="1"/>
  <c r="T6898" i="1"/>
  <c r="U6898" i="1"/>
  <c r="V6898" i="1"/>
  <c r="W6898" i="1"/>
  <c r="X6898" i="1"/>
  <c r="Y6898" i="1"/>
  <c r="Z6898" i="1"/>
  <c r="A6899" i="1"/>
  <c r="B6899" i="1"/>
  <c r="C6899" i="1"/>
  <c r="D6899" i="1"/>
  <c r="E6899" i="1"/>
  <c r="F6899" i="1"/>
  <c r="G6899" i="1"/>
  <c r="I6899" i="1"/>
  <c r="J6899" i="1"/>
  <c r="K6899" i="1"/>
  <c r="L6899" i="1"/>
  <c r="M6899" i="1"/>
  <c r="N6899" i="1"/>
  <c r="O6899" i="1"/>
  <c r="P6899" i="1"/>
  <c r="Q6899" i="1"/>
  <c r="R6899" i="1"/>
  <c r="S6899" i="1"/>
  <c r="T6899" i="1"/>
  <c r="U6899" i="1"/>
  <c r="V6899" i="1"/>
  <c r="W6899" i="1"/>
  <c r="X6899" i="1"/>
  <c r="Y6899" i="1"/>
  <c r="Z6899" i="1"/>
  <c r="A6900" i="1"/>
  <c r="B6900" i="1"/>
  <c r="C6900" i="1"/>
  <c r="D6900" i="1"/>
  <c r="E6900" i="1"/>
  <c r="F6900" i="1"/>
  <c r="G6900" i="1"/>
  <c r="I6900" i="1"/>
  <c r="J6900" i="1"/>
  <c r="K6900" i="1"/>
  <c r="L6900" i="1"/>
  <c r="M6900" i="1"/>
  <c r="N6900" i="1"/>
  <c r="O6900" i="1"/>
  <c r="P6900" i="1"/>
  <c r="Q6900" i="1"/>
  <c r="R6900" i="1"/>
  <c r="S6900" i="1"/>
  <c r="T6900" i="1"/>
  <c r="U6900" i="1"/>
  <c r="V6900" i="1"/>
  <c r="W6900" i="1"/>
  <c r="X6900" i="1"/>
  <c r="Y6900" i="1"/>
  <c r="Z6900" i="1"/>
  <c r="A6901" i="1"/>
  <c r="B6901" i="1"/>
  <c r="C6901" i="1"/>
  <c r="D6901" i="1"/>
  <c r="E6901" i="1"/>
  <c r="F6901" i="1"/>
  <c r="G6901" i="1"/>
  <c r="I6901" i="1"/>
  <c r="J6901" i="1"/>
  <c r="K6901" i="1"/>
  <c r="L6901" i="1"/>
  <c r="M6901" i="1"/>
  <c r="N6901" i="1"/>
  <c r="O6901" i="1"/>
  <c r="P6901" i="1"/>
  <c r="Q6901" i="1"/>
  <c r="R6901" i="1"/>
  <c r="S6901" i="1"/>
  <c r="T6901" i="1"/>
  <c r="U6901" i="1"/>
  <c r="V6901" i="1"/>
  <c r="W6901" i="1"/>
  <c r="X6901" i="1"/>
  <c r="Y6901" i="1"/>
  <c r="Z6901" i="1"/>
  <c r="A6902" i="1"/>
  <c r="B6902" i="1"/>
  <c r="C6902" i="1"/>
  <c r="D6902" i="1"/>
  <c r="E6902" i="1"/>
  <c r="F6902" i="1"/>
  <c r="G6902" i="1"/>
  <c r="I6902" i="1"/>
  <c r="J6902" i="1"/>
  <c r="K6902" i="1"/>
  <c r="L6902" i="1"/>
  <c r="M6902" i="1"/>
  <c r="N6902" i="1"/>
  <c r="O6902" i="1"/>
  <c r="P6902" i="1"/>
  <c r="Q6902" i="1"/>
  <c r="R6902" i="1"/>
  <c r="S6902" i="1"/>
  <c r="T6902" i="1"/>
  <c r="U6902" i="1"/>
  <c r="V6902" i="1"/>
  <c r="W6902" i="1"/>
  <c r="X6902" i="1"/>
  <c r="Y6902" i="1"/>
  <c r="Z6902" i="1"/>
  <c r="A6903" i="1"/>
  <c r="B6903" i="1"/>
  <c r="C6903" i="1"/>
  <c r="D6903" i="1"/>
  <c r="E6903" i="1"/>
  <c r="F6903" i="1"/>
  <c r="G6903" i="1"/>
  <c r="I6903" i="1"/>
  <c r="J6903" i="1"/>
  <c r="K6903" i="1"/>
  <c r="L6903" i="1"/>
  <c r="M6903" i="1"/>
  <c r="N6903" i="1"/>
  <c r="O6903" i="1"/>
  <c r="P6903" i="1"/>
  <c r="Q6903" i="1"/>
  <c r="R6903" i="1"/>
  <c r="S6903" i="1"/>
  <c r="T6903" i="1"/>
  <c r="U6903" i="1"/>
  <c r="V6903" i="1"/>
  <c r="W6903" i="1"/>
  <c r="X6903" i="1"/>
  <c r="Y6903" i="1"/>
  <c r="Z6903" i="1"/>
  <c r="A6904" i="1"/>
  <c r="B6904" i="1"/>
  <c r="C6904" i="1"/>
  <c r="D6904" i="1"/>
  <c r="E6904" i="1"/>
  <c r="F6904" i="1"/>
  <c r="G6904" i="1"/>
  <c r="I6904" i="1"/>
  <c r="J6904" i="1"/>
  <c r="K6904" i="1"/>
  <c r="L6904" i="1"/>
  <c r="M6904" i="1"/>
  <c r="N6904" i="1"/>
  <c r="O6904" i="1"/>
  <c r="P6904" i="1"/>
  <c r="Q6904" i="1"/>
  <c r="R6904" i="1"/>
  <c r="S6904" i="1"/>
  <c r="T6904" i="1"/>
  <c r="U6904" i="1"/>
  <c r="V6904" i="1"/>
  <c r="W6904" i="1"/>
  <c r="X6904" i="1"/>
  <c r="Y6904" i="1"/>
  <c r="Z6904" i="1"/>
  <c r="A6905" i="1"/>
  <c r="B6905" i="1"/>
  <c r="C6905" i="1"/>
  <c r="D6905" i="1"/>
  <c r="E6905" i="1"/>
  <c r="F6905" i="1"/>
  <c r="G6905" i="1"/>
  <c r="I6905" i="1"/>
  <c r="J6905" i="1"/>
  <c r="K6905" i="1"/>
  <c r="L6905" i="1"/>
  <c r="M6905" i="1"/>
  <c r="N6905" i="1"/>
  <c r="O6905" i="1"/>
  <c r="P6905" i="1"/>
  <c r="Q6905" i="1"/>
  <c r="R6905" i="1"/>
  <c r="S6905" i="1"/>
  <c r="T6905" i="1"/>
  <c r="U6905" i="1"/>
  <c r="V6905" i="1"/>
  <c r="W6905" i="1"/>
  <c r="X6905" i="1"/>
  <c r="Y6905" i="1"/>
  <c r="Z6905" i="1"/>
  <c r="A6906" i="1"/>
  <c r="B6906" i="1"/>
  <c r="C6906" i="1"/>
  <c r="D6906" i="1"/>
  <c r="E6906" i="1"/>
  <c r="F6906" i="1"/>
  <c r="G6906" i="1"/>
  <c r="I6906" i="1"/>
  <c r="J6906" i="1"/>
  <c r="K6906" i="1"/>
  <c r="L6906" i="1"/>
  <c r="M6906" i="1"/>
  <c r="N6906" i="1"/>
  <c r="O6906" i="1"/>
  <c r="P6906" i="1"/>
  <c r="Q6906" i="1"/>
  <c r="R6906" i="1"/>
  <c r="S6906" i="1"/>
  <c r="T6906" i="1"/>
  <c r="U6906" i="1"/>
  <c r="V6906" i="1"/>
  <c r="W6906" i="1"/>
  <c r="X6906" i="1"/>
  <c r="Y6906" i="1"/>
  <c r="Z6906" i="1"/>
  <c r="A6907" i="1"/>
  <c r="B6907" i="1"/>
  <c r="C6907" i="1"/>
  <c r="D6907" i="1"/>
  <c r="E6907" i="1"/>
  <c r="F6907" i="1"/>
  <c r="G6907" i="1"/>
  <c r="I6907" i="1"/>
  <c r="J6907" i="1"/>
  <c r="K6907" i="1"/>
  <c r="L6907" i="1"/>
  <c r="M6907" i="1"/>
  <c r="N6907" i="1"/>
  <c r="O6907" i="1"/>
  <c r="P6907" i="1"/>
  <c r="Q6907" i="1"/>
  <c r="R6907" i="1"/>
  <c r="S6907" i="1"/>
  <c r="T6907" i="1"/>
  <c r="U6907" i="1"/>
  <c r="V6907" i="1"/>
  <c r="W6907" i="1"/>
  <c r="X6907" i="1"/>
  <c r="Y6907" i="1"/>
  <c r="Z6907" i="1"/>
  <c r="A6908" i="1"/>
  <c r="B6908" i="1"/>
  <c r="C6908" i="1"/>
  <c r="D6908" i="1"/>
  <c r="E6908" i="1"/>
  <c r="F6908" i="1"/>
  <c r="G6908" i="1"/>
  <c r="I6908" i="1"/>
  <c r="J6908" i="1"/>
  <c r="K6908" i="1"/>
  <c r="L6908" i="1"/>
  <c r="M6908" i="1"/>
  <c r="N6908" i="1"/>
  <c r="O6908" i="1"/>
  <c r="P6908" i="1"/>
  <c r="Q6908" i="1"/>
  <c r="R6908" i="1"/>
  <c r="S6908" i="1"/>
  <c r="T6908" i="1"/>
  <c r="U6908" i="1"/>
  <c r="V6908" i="1"/>
  <c r="W6908" i="1"/>
  <c r="X6908" i="1"/>
  <c r="Y6908" i="1"/>
  <c r="Z6908" i="1"/>
  <c r="A6909" i="1"/>
  <c r="B6909" i="1"/>
  <c r="C6909" i="1"/>
  <c r="D6909" i="1"/>
  <c r="E6909" i="1"/>
  <c r="F6909" i="1"/>
  <c r="G6909" i="1"/>
  <c r="I6909" i="1"/>
  <c r="J6909" i="1"/>
  <c r="K6909" i="1"/>
  <c r="L6909" i="1"/>
  <c r="M6909" i="1"/>
  <c r="N6909" i="1"/>
  <c r="O6909" i="1"/>
  <c r="P6909" i="1"/>
  <c r="Q6909" i="1"/>
  <c r="R6909" i="1"/>
  <c r="S6909" i="1"/>
  <c r="T6909" i="1"/>
  <c r="U6909" i="1"/>
  <c r="V6909" i="1"/>
  <c r="W6909" i="1"/>
  <c r="X6909" i="1"/>
  <c r="Y6909" i="1"/>
  <c r="Z6909" i="1"/>
  <c r="A6910" i="1"/>
  <c r="B6910" i="1"/>
  <c r="C6910" i="1"/>
  <c r="D6910" i="1"/>
  <c r="E6910" i="1"/>
  <c r="F6910" i="1"/>
  <c r="G6910" i="1"/>
  <c r="I6910" i="1"/>
  <c r="J6910" i="1"/>
  <c r="K6910" i="1"/>
  <c r="L6910" i="1"/>
  <c r="M6910" i="1"/>
  <c r="N6910" i="1"/>
  <c r="O6910" i="1"/>
  <c r="P6910" i="1"/>
  <c r="Q6910" i="1"/>
  <c r="R6910" i="1"/>
  <c r="S6910" i="1"/>
  <c r="T6910" i="1"/>
  <c r="U6910" i="1"/>
  <c r="V6910" i="1"/>
  <c r="W6910" i="1"/>
  <c r="X6910" i="1"/>
  <c r="Y6910" i="1"/>
  <c r="Z6910" i="1"/>
  <c r="A6911" i="1"/>
  <c r="B6911" i="1"/>
  <c r="C6911" i="1"/>
  <c r="D6911" i="1"/>
  <c r="E6911" i="1"/>
  <c r="F6911" i="1"/>
  <c r="G6911" i="1"/>
  <c r="I6911" i="1"/>
  <c r="J6911" i="1"/>
  <c r="K6911" i="1"/>
  <c r="L6911" i="1"/>
  <c r="M6911" i="1"/>
  <c r="N6911" i="1"/>
  <c r="O6911" i="1"/>
  <c r="P6911" i="1"/>
  <c r="Q6911" i="1"/>
  <c r="R6911" i="1"/>
  <c r="S6911" i="1"/>
  <c r="T6911" i="1"/>
  <c r="U6911" i="1"/>
  <c r="V6911" i="1"/>
  <c r="W6911" i="1"/>
  <c r="X6911" i="1"/>
  <c r="Y6911" i="1"/>
  <c r="Z6911" i="1"/>
  <c r="A6912" i="1"/>
  <c r="B6912" i="1"/>
  <c r="C6912" i="1"/>
  <c r="D6912" i="1"/>
  <c r="E6912" i="1"/>
  <c r="F6912" i="1"/>
  <c r="G6912" i="1"/>
  <c r="I6912" i="1"/>
  <c r="J6912" i="1"/>
  <c r="K6912" i="1"/>
  <c r="L6912" i="1"/>
  <c r="M6912" i="1"/>
  <c r="N6912" i="1"/>
  <c r="O6912" i="1"/>
  <c r="P6912" i="1"/>
  <c r="Q6912" i="1"/>
  <c r="R6912" i="1"/>
  <c r="S6912" i="1"/>
  <c r="T6912" i="1"/>
  <c r="U6912" i="1"/>
  <c r="V6912" i="1"/>
  <c r="W6912" i="1"/>
  <c r="X6912" i="1"/>
  <c r="Y6912" i="1"/>
  <c r="Z6912" i="1"/>
  <c r="A6913" i="1"/>
  <c r="B6913" i="1"/>
  <c r="C6913" i="1"/>
  <c r="D6913" i="1"/>
  <c r="E6913" i="1"/>
  <c r="F6913" i="1"/>
  <c r="G6913" i="1"/>
  <c r="I6913" i="1"/>
  <c r="J6913" i="1"/>
  <c r="K6913" i="1"/>
  <c r="L6913" i="1"/>
  <c r="M6913" i="1"/>
  <c r="N6913" i="1"/>
  <c r="O6913" i="1"/>
  <c r="P6913" i="1"/>
  <c r="Q6913" i="1"/>
  <c r="R6913" i="1"/>
  <c r="S6913" i="1"/>
  <c r="T6913" i="1"/>
  <c r="U6913" i="1"/>
  <c r="V6913" i="1"/>
  <c r="W6913" i="1"/>
  <c r="X6913" i="1"/>
  <c r="Y6913" i="1"/>
  <c r="Z6913" i="1"/>
  <c r="A6914" i="1"/>
  <c r="B6914" i="1"/>
  <c r="C6914" i="1"/>
  <c r="D6914" i="1"/>
  <c r="E6914" i="1"/>
  <c r="F6914" i="1"/>
  <c r="G6914" i="1"/>
  <c r="I6914" i="1"/>
  <c r="J6914" i="1"/>
  <c r="K6914" i="1"/>
  <c r="L6914" i="1"/>
  <c r="M6914" i="1"/>
  <c r="N6914" i="1"/>
  <c r="O6914" i="1"/>
  <c r="P6914" i="1"/>
  <c r="Q6914" i="1"/>
  <c r="R6914" i="1"/>
  <c r="S6914" i="1"/>
  <c r="T6914" i="1"/>
  <c r="U6914" i="1"/>
  <c r="V6914" i="1"/>
  <c r="W6914" i="1"/>
  <c r="X6914" i="1"/>
  <c r="Y6914" i="1"/>
  <c r="Z6914" i="1"/>
  <c r="A6915" i="1"/>
  <c r="B6915" i="1"/>
  <c r="C6915" i="1"/>
  <c r="D6915" i="1"/>
  <c r="E6915" i="1"/>
  <c r="F6915" i="1"/>
  <c r="G6915" i="1"/>
  <c r="I6915" i="1"/>
  <c r="J6915" i="1"/>
  <c r="K6915" i="1"/>
  <c r="L6915" i="1"/>
  <c r="M6915" i="1"/>
  <c r="N6915" i="1"/>
  <c r="O6915" i="1"/>
  <c r="P6915" i="1"/>
  <c r="Q6915" i="1"/>
  <c r="R6915" i="1"/>
  <c r="S6915" i="1"/>
  <c r="T6915" i="1"/>
  <c r="U6915" i="1"/>
  <c r="V6915" i="1"/>
  <c r="W6915" i="1"/>
  <c r="X6915" i="1"/>
  <c r="Y6915" i="1"/>
  <c r="Z6915" i="1"/>
  <c r="A6916" i="1"/>
  <c r="B6916" i="1"/>
  <c r="C6916" i="1"/>
  <c r="D6916" i="1"/>
  <c r="E6916" i="1"/>
  <c r="F6916" i="1"/>
  <c r="G6916" i="1"/>
  <c r="I6916" i="1"/>
  <c r="J6916" i="1"/>
  <c r="K6916" i="1"/>
  <c r="L6916" i="1"/>
  <c r="M6916" i="1"/>
  <c r="N6916" i="1"/>
  <c r="O6916" i="1"/>
  <c r="P6916" i="1"/>
  <c r="Q6916" i="1"/>
  <c r="R6916" i="1"/>
  <c r="S6916" i="1"/>
  <c r="T6916" i="1"/>
  <c r="U6916" i="1"/>
  <c r="V6916" i="1"/>
  <c r="W6916" i="1"/>
  <c r="X6916" i="1"/>
  <c r="Y6916" i="1"/>
  <c r="Z6916" i="1"/>
  <c r="A6917" i="1"/>
  <c r="B6917" i="1"/>
  <c r="C6917" i="1"/>
  <c r="D6917" i="1"/>
  <c r="E6917" i="1"/>
  <c r="F6917" i="1"/>
  <c r="G6917" i="1"/>
  <c r="I6917" i="1"/>
  <c r="J6917" i="1"/>
  <c r="K6917" i="1"/>
  <c r="L6917" i="1"/>
  <c r="M6917" i="1"/>
  <c r="N6917" i="1"/>
  <c r="O6917" i="1"/>
  <c r="P6917" i="1"/>
  <c r="Q6917" i="1"/>
  <c r="R6917" i="1"/>
  <c r="S6917" i="1"/>
  <c r="T6917" i="1"/>
  <c r="U6917" i="1"/>
  <c r="V6917" i="1"/>
  <c r="W6917" i="1"/>
  <c r="X6917" i="1"/>
  <c r="Y6917" i="1"/>
  <c r="Z6917" i="1"/>
  <c r="A6918" i="1"/>
  <c r="B6918" i="1"/>
  <c r="C6918" i="1"/>
  <c r="D6918" i="1"/>
  <c r="E6918" i="1"/>
  <c r="F6918" i="1"/>
  <c r="G6918" i="1"/>
  <c r="I6918" i="1"/>
  <c r="J6918" i="1"/>
  <c r="K6918" i="1"/>
  <c r="L6918" i="1"/>
  <c r="M6918" i="1"/>
  <c r="N6918" i="1"/>
  <c r="O6918" i="1"/>
  <c r="P6918" i="1"/>
  <c r="Q6918" i="1"/>
  <c r="R6918" i="1"/>
  <c r="S6918" i="1"/>
  <c r="T6918" i="1"/>
  <c r="U6918" i="1"/>
  <c r="V6918" i="1"/>
  <c r="W6918" i="1"/>
  <c r="X6918" i="1"/>
  <c r="Y6918" i="1"/>
  <c r="Z6918" i="1"/>
  <c r="A6919" i="1"/>
  <c r="B6919" i="1"/>
  <c r="C6919" i="1"/>
  <c r="D6919" i="1"/>
  <c r="E6919" i="1"/>
  <c r="F6919" i="1"/>
  <c r="G6919" i="1"/>
  <c r="I6919" i="1"/>
  <c r="J6919" i="1"/>
  <c r="K6919" i="1"/>
  <c r="L6919" i="1"/>
  <c r="M6919" i="1"/>
  <c r="N6919" i="1"/>
  <c r="O6919" i="1"/>
  <c r="P6919" i="1"/>
  <c r="Q6919" i="1"/>
  <c r="R6919" i="1"/>
  <c r="S6919" i="1"/>
  <c r="T6919" i="1"/>
  <c r="U6919" i="1"/>
  <c r="V6919" i="1"/>
  <c r="W6919" i="1"/>
  <c r="X6919" i="1"/>
  <c r="Y6919" i="1"/>
  <c r="Z6919" i="1"/>
  <c r="A6920" i="1"/>
  <c r="B6920" i="1"/>
  <c r="C6920" i="1"/>
  <c r="D6920" i="1"/>
  <c r="E6920" i="1"/>
  <c r="F6920" i="1"/>
  <c r="G6920" i="1"/>
  <c r="I6920" i="1"/>
  <c r="J6920" i="1"/>
  <c r="K6920" i="1"/>
  <c r="L6920" i="1"/>
  <c r="M6920" i="1"/>
  <c r="N6920" i="1"/>
  <c r="O6920" i="1"/>
  <c r="P6920" i="1"/>
  <c r="Q6920" i="1"/>
  <c r="R6920" i="1"/>
  <c r="S6920" i="1"/>
  <c r="T6920" i="1"/>
  <c r="U6920" i="1"/>
  <c r="V6920" i="1"/>
  <c r="W6920" i="1"/>
  <c r="X6920" i="1"/>
  <c r="Y6920" i="1"/>
  <c r="Z6920" i="1"/>
  <c r="A6921" i="1"/>
  <c r="B6921" i="1"/>
  <c r="C6921" i="1"/>
  <c r="D6921" i="1"/>
  <c r="E6921" i="1"/>
  <c r="F6921" i="1"/>
  <c r="G6921" i="1"/>
  <c r="I6921" i="1"/>
  <c r="J6921" i="1"/>
  <c r="K6921" i="1"/>
  <c r="L6921" i="1"/>
  <c r="M6921" i="1"/>
  <c r="N6921" i="1"/>
  <c r="O6921" i="1"/>
  <c r="P6921" i="1"/>
  <c r="Q6921" i="1"/>
  <c r="R6921" i="1"/>
  <c r="S6921" i="1"/>
  <c r="T6921" i="1"/>
  <c r="U6921" i="1"/>
  <c r="V6921" i="1"/>
  <c r="W6921" i="1"/>
  <c r="X6921" i="1"/>
  <c r="Y6921" i="1"/>
  <c r="Z6921" i="1"/>
  <c r="A6922" i="1"/>
  <c r="B6922" i="1"/>
  <c r="C6922" i="1"/>
  <c r="D6922" i="1"/>
  <c r="E6922" i="1"/>
  <c r="F6922" i="1"/>
  <c r="G6922" i="1"/>
  <c r="I6922" i="1"/>
  <c r="J6922" i="1"/>
  <c r="K6922" i="1"/>
  <c r="L6922" i="1"/>
  <c r="M6922" i="1"/>
  <c r="N6922" i="1"/>
  <c r="O6922" i="1"/>
  <c r="P6922" i="1"/>
  <c r="Q6922" i="1"/>
  <c r="R6922" i="1"/>
  <c r="S6922" i="1"/>
  <c r="T6922" i="1"/>
  <c r="U6922" i="1"/>
  <c r="V6922" i="1"/>
  <c r="W6922" i="1"/>
  <c r="X6922" i="1"/>
  <c r="Y6922" i="1"/>
  <c r="Z6922" i="1"/>
  <c r="A6923" i="1"/>
  <c r="B6923" i="1"/>
  <c r="C6923" i="1"/>
  <c r="D6923" i="1"/>
  <c r="E6923" i="1"/>
  <c r="F6923" i="1"/>
  <c r="G6923" i="1"/>
  <c r="I6923" i="1"/>
  <c r="J6923" i="1"/>
  <c r="K6923" i="1"/>
  <c r="L6923" i="1"/>
  <c r="M6923" i="1"/>
  <c r="N6923" i="1"/>
  <c r="O6923" i="1"/>
  <c r="P6923" i="1"/>
  <c r="Q6923" i="1"/>
  <c r="R6923" i="1"/>
  <c r="S6923" i="1"/>
  <c r="T6923" i="1"/>
  <c r="U6923" i="1"/>
  <c r="V6923" i="1"/>
  <c r="W6923" i="1"/>
  <c r="X6923" i="1"/>
  <c r="Y6923" i="1"/>
  <c r="Z6923" i="1"/>
  <c r="A6924" i="1"/>
  <c r="B6924" i="1"/>
  <c r="C6924" i="1"/>
  <c r="D6924" i="1"/>
  <c r="E6924" i="1"/>
  <c r="F6924" i="1"/>
  <c r="G6924" i="1"/>
  <c r="I6924" i="1"/>
  <c r="J6924" i="1"/>
  <c r="K6924" i="1"/>
  <c r="L6924" i="1"/>
  <c r="M6924" i="1"/>
  <c r="N6924" i="1"/>
  <c r="O6924" i="1"/>
  <c r="P6924" i="1"/>
  <c r="Q6924" i="1"/>
  <c r="R6924" i="1"/>
  <c r="S6924" i="1"/>
  <c r="T6924" i="1"/>
  <c r="U6924" i="1"/>
  <c r="V6924" i="1"/>
  <c r="W6924" i="1"/>
  <c r="X6924" i="1"/>
  <c r="Y6924" i="1"/>
  <c r="Z6924" i="1"/>
  <c r="A6925" i="1"/>
  <c r="B6925" i="1"/>
  <c r="C6925" i="1"/>
  <c r="D6925" i="1"/>
  <c r="E6925" i="1"/>
  <c r="F6925" i="1"/>
  <c r="G6925" i="1"/>
  <c r="I6925" i="1"/>
  <c r="J6925" i="1"/>
  <c r="K6925" i="1"/>
  <c r="L6925" i="1"/>
  <c r="M6925" i="1"/>
  <c r="N6925" i="1"/>
  <c r="O6925" i="1"/>
  <c r="P6925" i="1"/>
  <c r="Q6925" i="1"/>
  <c r="R6925" i="1"/>
  <c r="S6925" i="1"/>
  <c r="T6925" i="1"/>
  <c r="U6925" i="1"/>
  <c r="V6925" i="1"/>
  <c r="W6925" i="1"/>
  <c r="X6925" i="1"/>
  <c r="Y6925" i="1"/>
  <c r="Z6925" i="1"/>
  <c r="A6926" i="1"/>
  <c r="B6926" i="1"/>
  <c r="C6926" i="1"/>
  <c r="D6926" i="1"/>
  <c r="E6926" i="1"/>
  <c r="F6926" i="1"/>
  <c r="G6926" i="1"/>
  <c r="I6926" i="1"/>
  <c r="J6926" i="1"/>
  <c r="K6926" i="1"/>
  <c r="L6926" i="1"/>
  <c r="M6926" i="1"/>
  <c r="N6926" i="1"/>
  <c r="O6926" i="1"/>
  <c r="P6926" i="1"/>
  <c r="Q6926" i="1"/>
  <c r="R6926" i="1"/>
  <c r="S6926" i="1"/>
  <c r="T6926" i="1"/>
  <c r="U6926" i="1"/>
  <c r="V6926" i="1"/>
  <c r="W6926" i="1"/>
  <c r="X6926" i="1"/>
  <c r="Y6926" i="1"/>
  <c r="Z6926" i="1"/>
  <c r="A6927" i="1"/>
  <c r="B6927" i="1"/>
  <c r="C6927" i="1"/>
  <c r="D6927" i="1"/>
  <c r="E6927" i="1"/>
  <c r="F6927" i="1"/>
  <c r="G6927" i="1"/>
  <c r="I6927" i="1"/>
  <c r="J6927" i="1"/>
  <c r="K6927" i="1"/>
  <c r="L6927" i="1"/>
  <c r="M6927" i="1"/>
  <c r="N6927" i="1"/>
  <c r="O6927" i="1"/>
  <c r="P6927" i="1"/>
  <c r="Q6927" i="1"/>
  <c r="R6927" i="1"/>
  <c r="S6927" i="1"/>
  <c r="T6927" i="1"/>
  <c r="U6927" i="1"/>
  <c r="V6927" i="1"/>
  <c r="W6927" i="1"/>
  <c r="X6927" i="1"/>
  <c r="Y6927" i="1"/>
  <c r="Z6927" i="1"/>
  <c r="A6928" i="1"/>
  <c r="B6928" i="1"/>
  <c r="C6928" i="1"/>
  <c r="D6928" i="1"/>
  <c r="E6928" i="1"/>
  <c r="F6928" i="1"/>
  <c r="G6928" i="1"/>
  <c r="I6928" i="1"/>
  <c r="J6928" i="1"/>
  <c r="K6928" i="1"/>
  <c r="L6928" i="1"/>
  <c r="M6928" i="1"/>
  <c r="N6928" i="1"/>
  <c r="O6928" i="1"/>
  <c r="P6928" i="1"/>
  <c r="Q6928" i="1"/>
  <c r="R6928" i="1"/>
  <c r="S6928" i="1"/>
  <c r="T6928" i="1"/>
  <c r="U6928" i="1"/>
  <c r="V6928" i="1"/>
  <c r="W6928" i="1"/>
  <c r="X6928" i="1"/>
  <c r="Y6928" i="1"/>
  <c r="Z6928" i="1"/>
  <c r="A6929" i="1"/>
  <c r="B6929" i="1"/>
  <c r="C6929" i="1"/>
  <c r="D6929" i="1"/>
  <c r="E6929" i="1"/>
  <c r="F6929" i="1"/>
  <c r="G6929" i="1"/>
  <c r="I6929" i="1"/>
  <c r="J6929" i="1"/>
  <c r="K6929" i="1"/>
  <c r="L6929" i="1"/>
  <c r="M6929" i="1"/>
  <c r="N6929" i="1"/>
  <c r="O6929" i="1"/>
  <c r="P6929" i="1"/>
  <c r="Q6929" i="1"/>
  <c r="R6929" i="1"/>
  <c r="S6929" i="1"/>
  <c r="T6929" i="1"/>
  <c r="U6929" i="1"/>
  <c r="V6929" i="1"/>
  <c r="W6929" i="1"/>
  <c r="X6929" i="1"/>
  <c r="Y6929" i="1"/>
  <c r="Z6929" i="1"/>
  <c r="A6930" i="1"/>
  <c r="B6930" i="1"/>
  <c r="C6930" i="1"/>
  <c r="D6930" i="1"/>
  <c r="E6930" i="1"/>
  <c r="F6930" i="1"/>
  <c r="G6930" i="1"/>
  <c r="I6930" i="1"/>
  <c r="J6930" i="1"/>
  <c r="K6930" i="1"/>
  <c r="L6930" i="1"/>
  <c r="M6930" i="1"/>
  <c r="N6930" i="1"/>
  <c r="O6930" i="1"/>
  <c r="P6930" i="1"/>
  <c r="Q6930" i="1"/>
  <c r="R6930" i="1"/>
  <c r="S6930" i="1"/>
  <c r="T6930" i="1"/>
  <c r="U6930" i="1"/>
  <c r="V6930" i="1"/>
  <c r="W6930" i="1"/>
  <c r="X6930" i="1"/>
  <c r="Y6930" i="1"/>
  <c r="Z6930" i="1"/>
  <c r="A6931" i="1"/>
  <c r="B6931" i="1"/>
  <c r="C6931" i="1"/>
  <c r="D6931" i="1"/>
  <c r="E6931" i="1"/>
  <c r="F6931" i="1"/>
  <c r="G6931" i="1"/>
  <c r="I6931" i="1"/>
  <c r="J6931" i="1"/>
  <c r="K6931" i="1"/>
  <c r="L6931" i="1"/>
  <c r="M6931" i="1"/>
  <c r="N6931" i="1"/>
  <c r="O6931" i="1"/>
  <c r="P6931" i="1"/>
  <c r="Q6931" i="1"/>
  <c r="R6931" i="1"/>
  <c r="S6931" i="1"/>
  <c r="T6931" i="1"/>
  <c r="U6931" i="1"/>
  <c r="V6931" i="1"/>
  <c r="W6931" i="1"/>
  <c r="X6931" i="1"/>
  <c r="Y6931" i="1"/>
  <c r="Z6931" i="1"/>
  <c r="A6932" i="1"/>
  <c r="B6932" i="1"/>
  <c r="C6932" i="1"/>
  <c r="D6932" i="1"/>
  <c r="E6932" i="1"/>
  <c r="F6932" i="1"/>
  <c r="G6932" i="1"/>
  <c r="I6932" i="1"/>
  <c r="J6932" i="1"/>
  <c r="K6932" i="1"/>
  <c r="L6932" i="1"/>
  <c r="M6932" i="1"/>
  <c r="N6932" i="1"/>
  <c r="O6932" i="1"/>
  <c r="P6932" i="1"/>
  <c r="Q6932" i="1"/>
  <c r="R6932" i="1"/>
  <c r="S6932" i="1"/>
  <c r="T6932" i="1"/>
  <c r="U6932" i="1"/>
  <c r="V6932" i="1"/>
  <c r="W6932" i="1"/>
  <c r="X6932" i="1"/>
  <c r="Y6932" i="1"/>
  <c r="Z6932" i="1"/>
  <c r="A6933" i="1"/>
  <c r="B6933" i="1"/>
  <c r="C6933" i="1"/>
  <c r="D6933" i="1"/>
  <c r="E6933" i="1"/>
  <c r="F6933" i="1"/>
  <c r="G6933" i="1"/>
  <c r="I6933" i="1"/>
  <c r="J6933" i="1"/>
  <c r="K6933" i="1"/>
  <c r="L6933" i="1"/>
  <c r="M6933" i="1"/>
  <c r="N6933" i="1"/>
  <c r="O6933" i="1"/>
  <c r="P6933" i="1"/>
  <c r="Q6933" i="1"/>
  <c r="R6933" i="1"/>
  <c r="S6933" i="1"/>
  <c r="T6933" i="1"/>
  <c r="U6933" i="1"/>
  <c r="V6933" i="1"/>
  <c r="W6933" i="1"/>
  <c r="X6933" i="1"/>
  <c r="Y6933" i="1"/>
  <c r="Z6933" i="1"/>
  <c r="A6934" i="1"/>
  <c r="B6934" i="1"/>
  <c r="C6934" i="1"/>
  <c r="D6934" i="1"/>
  <c r="E6934" i="1"/>
  <c r="F6934" i="1"/>
  <c r="G6934" i="1"/>
  <c r="I6934" i="1"/>
  <c r="J6934" i="1"/>
  <c r="K6934" i="1"/>
  <c r="L6934" i="1"/>
  <c r="M6934" i="1"/>
  <c r="N6934" i="1"/>
  <c r="O6934" i="1"/>
  <c r="P6934" i="1"/>
  <c r="Q6934" i="1"/>
  <c r="R6934" i="1"/>
  <c r="S6934" i="1"/>
  <c r="T6934" i="1"/>
  <c r="U6934" i="1"/>
  <c r="V6934" i="1"/>
  <c r="W6934" i="1"/>
  <c r="X6934" i="1"/>
  <c r="Y6934" i="1"/>
  <c r="Z6934" i="1"/>
  <c r="A6935" i="1"/>
  <c r="B6935" i="1"/>
  <c r="C6935" i="1"/>
  <c r="D6935" i="1"/>
  <c r="E6935" i="1"/>
  <c r="F6935" i="1"/>
  <c r="G6935" i="1"/>
  <c r="I6935" i="1"/>
  <c r="J6935" i="1"/>
  <c r="K6935" i="1"/>
  <c r="L6935" i="1"/>
  <c r="M6935" i="1"/>
  <c r="N6935" i="1"/>
  <c r="O6935" i="1"/>
  <c r="P6935" i="1"/>
  <c r="Q6935" i="1"/>
  <c r="R6935" i="1"/>
  <c r="S6935" i="1"/>
  <c r="T6935" i="1"/>
  <c r="U6935" i="1"/>
  <c r="V6935" i="1"/>
  <c r="W6935" i="1"/>
  <c r="X6935" i="1"/>
  <c r="Y6935" i="1"/>
  <c r="Z6935" i="1"/>
  <c r="A6936" i="1"/>
  <c r="B6936" i="1"/>
  <c r="C6936" i="1"/>
  <c r="D6936" i="1"/>
  <c r="E6936" i="1"/>
  <c r="F6936" i="1"/>
  <c r="G6936" i="1"/>
  <c r="I6936" i="1"/>
  <c r="J6936" i="1"/>
  <c r="K6936" i="1"/>
  <c r="L6936" i="1"/>
  <c r="M6936" i="1"/>
  <c r="N6936" i="1"/>
  <c r="O6936" i="1"/>
  <c r="P6936" i="1"/>
  <c r="Q6936" i="1"/>
  <c r="R6936" i="1"/>
  <c r="S6936" i="1"/>
  <c r="T6936" i="1"/>
  <c r="U6936" i="1"/>
  <c r="V6936" i="1"/>
  <c r="W6936" i="1"/>
  <c r="X6936" i="1"/>
  <c r="Y6936" i="1"/>
  <c r="Z6936" i="1"/>
  <c r="A6937" i="1"/>
  <c r="B6937" i="1"/>
  <c r="C6937" i="1"/>
  <c r="D6937" i="1"/>
  <c r="E6937" i="1"/>
  <c r="F6937" i="1"/>
  <c r="G6937" i="1"/>
  <c r="I6937" i="1"/>
  <c r="J6937" i="1"/>
  <c r="K6937" i="1"/>
  <c r="L6937" i="1"/>
  <c r="M6937" i="1"/>
  <c r="N6937" i="1"/>
  <c r="O6937" i="1"/>
  <c r="P6937" i="1"/>
  <c r="Q6937" i="1"/>
  <c r="R6937" i="1"/>
  <c r="S6937" i="1"/>
  <c r="T6937" i="1"/>
  <c r="U6937" i="1"/>
  <c r="V6937" i="1"/>
  <c r="W6937" i="1"/>
  <c r="X6937" i="1"/>
  <c r="Y6937" i="1"/>
  <c r="Z6937" i="1"/>
  <c r="A6938" i="1"/>
  <c r="B6938" i="1"/>
  <c r="C6938" i="1"/>
  <c r="D6938" i="1"/>
  <c r="E6938" i="1"/>
  <c r="F6938" i="1"/>
  <c r="G6938" i="1"/>
  <c r="I6938" i="1"/>
  <c r="J6938" i="1"/>
  <c r="K6938" i="1"/>
  <c r="L6938" i="1"/>
  <c r="M6938" i="1"/>
  <c r="N6938" i="1"/>
  <c r="O6938" i="1"/>
  <c r="P6938" i="1"/>
  <c r="Q6938" i="1"/>
  <c r="R6938" i="1"/>
  <c r="S6938" i="1"/>
  <c r="T6938" i="1"/>
  <c r="U6938" i="1"/>
  <c r="V6938" i="1"/>
  <c r="W6938" i="1"/>
  <c r="X6938" i="1"/>
  <c r="Y6938" i="1"/>
  <c r="Z6938" i="1"/>
  <c r="A6939" i="1"/>
  <c r="B6939" i="1"/>
  <c r="C6939" i="1"/>
  <c r="D6939" i="1"/>
  <c r="E6939" i="1"/>
  <c r="F6939" i="1"/>
  <c r="G6939" i="1"/>
  <c r="I6939" i="1"/>
  <c r="J6939" i="1"/>
  <c r="K6939" i="1"/>
  <c r="L6939" i="1"/>
  <c r="M6939" i="1"/>
  <c r="N6939" i="1"/>
  <c r="O6939" i="1"/>
  <c r="P6939" i="1"/>
  <c r="Q6939" i="1"/>
  <c r="R6939" i="1"/>
  <c r="S6939" i="1"/>
  <c r="T6939" i="1"/>
  <c r="U6939" i="1"/>
  <c r="V6939" i="1"/>
  <c r="W6939" i="1"/>
  <c r="X6939" i="1"/>
  <c r="Y6939" i="1"/>
  <c r="Z6939" i="1"/>
  <c r="A6940" i="1"/>
  <c r="B6940" i="1"/>
  <c r="C6940" i="1"/>
  <c r="D6940" i="1"/>
  <c r="E6940" i="1"/>
  <c r="F6940" i="1"/>
  <c r="G6940" i="1"/>
  <c r="I6940" i="1"/>
  <c r="J6940" i="1"/>
  <c r="K6940" i="1"/>
  <c r="L6940" i="1"/>
  <c r="M6940" i="1"/>
  <c r="N6940" i="1"/>
  <c r="O6940" i="1"/>
  <c r="P6940" i="1"/>
  <c r="Q6940" i="1"/>
  <c r="R6940" i="1"/>
  <c r="S6940" i="1"/>
  <c r="T6940" i="1"/>
  <c r="U6940" i="1"/>
  <c r="V6940" i="1"/>
  <c r="W6940" i="1"/>
  <c r="X6940" i="1"/>
  <c r="Y6940" i="1"/>
  <c r="Z6940" i="1"/>
  <c r="A6941" i="1"/>
  <c r="B6941" i="1"/>
  <c r="C6941" i="1"/>
  <c r="D6941" i="1"/>
  <c r="E6941" i="1"/>
  <c r="F6941" i="1"/>
  <c r="G6941" i="1"/>
  <c r="I6941" i="1"/>
  <c r="J6941" i="1"/>
  <c r="K6941" i="1"/>
  <c r="L6941" i="1"/>
  <c r="M6941" i="1"/>
  <c r="N6941" i="1"/>
  <c r="O6941" i="1"/>
  <c r="P6941" i="1"/>
  <c r="Q6941" i="1"/>
  <c r="R6941" i="1"/>
  <c r="S6941" i="1"/>
  <c r="T6941" i="1"/>
  <c r="U6941" i="1"/>
  <c r="V6941" i="1"/>
  <c r="W6941" i="1"/>
  <c r="X6941" i="1"/>
  <c r="Y6941" i="1"/>
  <c r="Z6941" i="1"/>
  <c r="A6942" i="1"/>
  <c r="B6942" i="1"/>
  <c r="C6942" i="1"/>
  <c r="D6942" i="1"/>
  <c r="E6942" i="1"/>
  <c r="F6942" i="1"/>
  <c r="G6942" i="1"/>
  <c r="I6942" i="1"/>
  <c r="J6942" i="1"/>
  <c r="K6942" i="1"/>
  <c r="L6942" i="1"/>
  <c r="M6942" i="1"/>
  <c r="N6942" i="1"/>
  <c r="O6942" i="1"/>
  <c r="P6942" i="1"/>
  <c r="Q6942" i="1"/>
  <c r="R6942" i="1"/>
  <c r="S6942" i="1"/>
  <c r="T6942" i="1"/>
  <c r="U6942" i="1"/>
  <c r="V6942" i="1"/>
  <c r="W6942" i="1"/>
  <c r="X6942" i="1"/>
  <c r="Y6942" i="1"/>
  <c r="Z6942" i="1"/>
  <c r="A6943" i="1"/>
  <c r="B6943" i="1"/>
  <c r="C6943" i="1"/>
  <c r="D6943" i="1"/>
  <c r="E6943" i="1"/>
  <c r="F6943" i="1"/>
  <c r="G6943" i="1"/>
  <c r="I6943" i="1"/>
  <c r="J6943" i="1"/>
  <c r="K6943" i="1"/>
  <c r="L6943" i="1"/>
  <c r="M6943" i="1"/>
  <c r="N6943" i="1"/>
  <c r="O6943" i="1"/>
  <c r="P6943" i="1"/>
  <c r="Q6943" i="1"/>
  <c r="R6943" i="1"/>
  <c r="S6943" i="1"/>
  <c r="T6943" i="1"/>
  <c r="U6943" i="1"/>
  <c r="V6943" i="1"/>
  <c r="W6943" i="1"/>
  <c r="X6943" i="1"/>
  <c r="Y6943" i="1"/>
  <c r="Z6943" i="1"/>
  <c r="A6944" i="1"/>
  <c r="B6944" i="1"/>
  <c r="C6944" i="1"/>
  <c r="D6944" i="1"/>
  <c r="E6944" i="1"/>
  <c r="F6944" i="1"/>
  <c r="G6944" i="1"/>
  <c r="I6944" i="1"/>
  <c r="J6944" i="1"/>
  <c r="K6944" i="1"/>
  <c r="L6944" i="1"/>
  <c r="M6944" i="1"/>
  <c r="N6944" i="1"/>
  <c r="O6944" i="1"/>
  <c r="P6944" i="1"/>
  <c r="Q6944" i="1"/>
  <c r="R6944" i="1"/>
  <c r="S6944" i="1"/>
  <c r="T6944" i="1"/>
  <c r="U6944" i="1"/>
  <c r="V6944" i="1"/>
  <c r="W6944" i="1"/>
  <c r="X6944" i="1"/>
  <c r="Y6944" i="1"/>
  <c r="Z6944" i="1"/>
  <c r="A6945" i="1"/>
  <c r="B6945" i="1"/>
  <c r="C6945" i="1"/>
  <c r="D6945" i="1"/>
  <c r="E6945" i="1"/>
  <c r="F6945" i="1"/>
  <c r="G6945" i="1"/>
  <c r="I6945" i="1"/>
  <c r="J6945" i="1"/>
  <c r="K6945" i="1"/>
  <c r="L6945" i="1"/>
  <c r="M6945" i="1"/>
  <c r="N6945" i="1"/>
  <c r="O6945" i="1"/>
  <c r="P6945" i="1"/>
  <c r="Q6945" i="1"/>
  <c r="R6945" i="1"/>
  <c r="S6945" i="1"/>
  <c r="T6945" i="1"/>
  <c r="U6945" i="1"/>
  <c r="V6945" i="1"/>
  <c r="W6945" i="1"/>
  <c r="X6945" i="1"/>
  <c r="Y6945" i="1"/>
  <c r="Z6945" i="1"/>
  <c r="A6946" i="1"/>
  <c r="B6946" i="1"/>
  <c r="C6946" i="1"/>
  <c r="D6946" i="1"/>
  <c r="E6946" i="1"/>
  <c r="F6946" i="1"/>
  <c r="G6946" i="1"/>
  <c r="I6946" i="1"/>
  <c r="J6946" i="1"/>
  <c r="K6946" i="1"/>
  <c r="L6946" i="1"/>
  <c r="M6946" i="1"/>
  <c r="N6946" i="1"/>
  <c r="O6946" i="1"/>
  <c r="P6946" i="1"/>
  <c r="Q6946" i="1"/>
  <c r="R6946" i="1"/>
  <c r="S6946" i="1"/>
  <c r="T6946" i="1"/>
  <c r="U6946" i="1"/>
  <c r="V6946" i="1"/>
  <c r="W6946" i="1"/>
  <c r="X6946" i="1"/>
  <c r="Y6946" i="1"/>
  <c r="Z6946" i="1"/>
  <c r="A6947" i="1"/>
  <c r="B6947" i="1"/>
  <c r="C6947" i="1"/>
  <c r="D6947" i="1"/>
  <c r="E6947" i="1"/>
  <c r="F6947" i="1"/>
  <c r="G6947" i="1"/>
  <c r="I6947" i="1"/>
  <c r="J6947" i="1"/>
  <c r="K6947" i="1"/>
  <c r="L6947" i="1"/>
  <c r="M6947" i="1"/>
  <c r="N6947" i="1"/>
  <c r="O6947" i="1"/>
  <c r="P6947" i="1"/>
  <c r="Q6947" i="1"/>
  <c r="R6947" i="1"/>
  <c r="S6947" i="1"/>
  <c r="T6947" i="1"/>
  <c r="U6947" i="1"/>
  <c r="V6947" i="1"/>
  <c r="W6947" i="1"/>
  <c r="X6947" i="1"/>
  <c r="Y6947" i="1"/>
  <c r="Z6947" i="1"/>
  <c r="A6948" i="1"/>
  <c r="B6948" i="1"/>
  <c r="C6948" i="1"/>
  <c r="D6948" i="1"/>
  <c r="E6948" i="1"/>
  <c r="F6948" i="1"/>
  <c r="G6948" i="1"/>
  <c r="I6948" i="1"/>
  <c r="J6948" i="1"/>
  <c r="K6948" i="1"/>
  <c r="L6948" i="1"/>
  <c r="M6948" i="1"/>
  <c r="N6948" i="1"/>
  <c r="O6948" i="1"/>
  <c r="P6948" i="1"/>
  <c r="Q6948" i="1"/>
  <c r="R6948" i="1"/>
  <c r="S6948" i="1"/>
  <c r="T6948" i="1"/>
  <c r="U6948" i="1"/>
  <c r="V6948" i="1"/>
  <c r="W6948" i="1"/>
  <c r="X6948" i="1"/>
  <c r="Y6948" i="1"/>
  <c r="Z6948" i="1"/>
  <c r="A6949" i="1"/>
  <c r="B6949" i="1"/>
  <c r="C6949" i="1"/>
  <c r="D6949" i="1"/>
  <c r="E6949" i="1"/>
  <c r="F6949" i="1"/>
  <c r="G6949" i="1"/>
  <c r="I6949" i="1"/>
  <c r="J6949" i="1"/>
  <c r="K6949" i="1"/>
  <c r="L6949" i="1"/>
  <c r="M6949" i="1"/>
  <c r="N6949" i="1"/>
  <c r="O6949" i="1"/>
  <c r="P6949" i="1"/>
  <c r="Q6949" i="1"/>
  <c r="R6949" i="1"/>
  <c r="S6949" i="1"/>
  <c r="T6949" i="1"/>
  <c r="U6949" i="1"/>
  <c r="V6949" i="1"/>
  <c r="W6949" i="1"/>
  <c r="X6949" i="1"/>
  <c r="Y6949" i="1"/>
  <c r="Z6949" i="1"/>
  <c r="A6950" i="1"/>
  <c r="B6950" i="1"/>
  <c r="C6950" i="1"/>
  <c r="D6950" i="1"/>
  <c r="E6950" i="1"/>
  <c r="F6950" i="1"/>
  <c r="G6950" i="1"/>
  <c r="I6950" i="1"/>
  <c r="J6950" i="1"/>
  <c r="K6950" i="1"/>
  <c r="L6950" i="1"/>
  <c r="M6950" i="1"/>
  <c r="N6950" i="1"/>
  <c r="O6950" i="1"/>
  <c r="P6950" i="1"/>
  <c r="Q6950" i="1"/>
  <c r="R6950" i="1"/>
  <c r="S6950" i="1"/>
  <c r="T6950" i="1"/>
  <c r="U6950" i="1"/>
  <c r="V6950" i="1"/>
  <c r="W6950" i="1"/>
  <c r="X6950" i="1"/>
  <c r="Y6950" i="1"/>
  <c r="Z6950" i="1"/>
  <c r="A6951" i="1"/>
  <c r="B6951" i="1"/>
  <c r="C6951" i="1"/>
  <c r="D6951" i="1"/>
  <c r="E6951" i="1"/>
  <c r="F6951" i="1"/>
  <c r="G6951" i="1"/>
  <c r="I6951" i="1"/>
  <c r="J6951" i="1"/>
  <c r="K6951" i="1"/>
  <c r="L6951" i="1"/>
  <c r="M6951" i="1"/>
  <c r="N6951" i="1"/>
  <c r="O6951" i="1"/>
  <c r="P6951" i="1"/>
  <c r="Q6951" i="1"/>
  <c r="R6951" i="1"/>
  <c r="S6951" i="1"/>
  <c r="T6951" i="1"/>
  <c r="U6951" i="1"/>
  <c r="V6951" i="1"/>
  <c r="W6951" i="1"/>
  <c r="X6951" i="1"/>
  <c r="Y6951" i="1"/>
  <c r="Z6951" i="1"/>
  <c r="A6952" i="1"/>
  <c r="B6952" i="1"/>
  <c r="C6952" i="1"/>
  <c r="D6952" i="1"/>
  <c r="E6952" i="1"/>
  <c r="F6952" i="1"/>
  <c r="G6952" i="1"/>
  <c r="I6952" i="1"/>
  <c r="J6952" i="1"/>
  <c r="K6952" i="1"/>
  <c r="L6952" i="1"/>
  <c r="M6952" i="1"/>
  <c r="N6952" i="1"/>
  <c r="O6952" i="1"/>
  <c r="P6952" i="1"/>
  <c r="Q6952" i="1"/>
  <c r="R6952" i="1"/>
  <c r="S6952" i="1"/>
  <c r="T6952" i="1"/>
  <c r="U6952" i="1"/>
  <c r="V6952" i="1"/>
  <c r="W6952" i="1"/>
  <c r="X6952" i="1"/>
  <c r="Y6952" i="1"/>
  <c r="Z6952" i="1"/>
  <c r="A6953" i="1"/>
  <c r="B6953" i="1"/>
  <c r="C6953" i="1"/>
  <c r="D6953" i="1"/>
  <c r="E6953" i="1"/>
  <c r="F6953" i="1"/>
  <c r="G6953" i="1"/>
  <c r="I6953" i="1"/>
  <c r="J6953" i="1"/>
  <c r="K6953" i="1"/>
  <c r="L6953" i="1"/>
  <c r="M6953" i="1"/>
  <c r="N6953" i="1"/>
  <c r="O6953" i="1"/>
  <c r="P6953" i="1"/>
  <c r="Q6953" i="1"/>
  <c r="R6953" i="1"/>
  <c r="S6953" i="1"/>
  <c r="T6953" i="1"/>
  <c r="U6953" i="1"/>
  <c r="V6953" i="1"/>
  <c r="W6953" i="1"/>
  <c r="X6953" i="1"/>
  <c r="Y6953" i="1"/>
  <c r="Z6953" i="1"/>
  <c r="A6954" i="1"/>
  <c r="B6954" i="1"/>
  <c r="C6954" i="1"/>
  <c r="D6954" i="1"/>
  <c r="E6954" i="1"/>
  <c r="F6954" i="1"/>
  <c r="G6954" i="1"/>
  <c r="I6954" i="1"/>
  <c r="J6954" i="1"/>
  <c r="K6954" i="1"/>
  <c r="L6954" i="1"/>
  <c r="M6954" i="1"/>
  <c r="N6954" i="1"/>
  <c r="O6954" i="1"/>
  <c r="P6954" i="1"/>
  <c r="Q6954" i="1"/>
  <c r="R6954" i="1"/>
  <c r="S6954" i="1"/>
  <c r="T6954" i="1"/>
  <c r="U6954" i="1"/>
  <c r="V6954" i="1"/>
  <c r="W6954" i="1"/>
  <c r="X6954" i="1"/>
  <c r="Y6954" i="1"/>
  <c r="Z6954" i="1"/>
  <c r="A6955" i="1"/>
  <c r="B6955" i="1"/>
  <c r="C6955" i="1"/>
  <c r="D6955" i="1"/>
  <c r="E6955" i="1"/>
  <c r="F6955" i="1"/>
  <c r="G6955" i="1"/>
  <c r="I6955" i="1"/>
  <c r="J6955" i="1"/>
  <c r="K6955" i="1"/>
  <c r="L6955" i="1"/>
  <c r="M6955" i="1"/>
  <c r="N6955" i="1"/>
  <c r="O6955" i="1"/>
  <c r="P6955" i="1"/>
  <c r="Q6955" i="1"/>
  <c r="R6955" i="1"/>
  <c r="S6955" i="1"/>
  <c r="T6955" i="1"/>
  <c r="U6955" i="1"/>
  <c r="V6955" i="1"/>
  <c r="W6955" i="1"/>
  <c r="X6955" i="1"/>
  <c r="Y6955" i="1"/>
  <c r="Z6955" i="1"/>
  <c r="A6956" i="1"/>
  <c r="B6956" i="1"/>
  <c r="C6956" i="1"/>
  <c r="D6956" i="1"/>
  <c r="E6956" i="1"/>
  <c r="F6956" i="1"/>
  <c r="G6956" i="1"/>
  <c r="I6956" i="1"/>
  <c r="J6956" i="1"/>
  <c r="K6956" i="1"/>
  <c r="L6956" i="1"/>
  <c r="M6956" i="1"/>
  <c r="N6956" i="1"/>
  <c r="O6956" i="1"/>
  <c r="P6956" i="1"/>
  <c r="Q6956" i="1"/>
  <c r="R6956" i="1"/>
  <c r="S6956" i="1"/>
  <c r="T6956" i="1"/>
  <c r="U6956" i="1"/>
  <c r="V6956" i="1"/>
  <c r="W6956" i="1"/>
  <c r="X6956" i="1"/>
  <c r="Y6956" i="1"/>
  <c r="Z6956" i="1"/>
  <c r="A6957" i="1"/>
  <c r="B6957" i="1"/>
  <c r="C6957" i="1"/>
  <c r="D6957" i="1"/>
  <c r="E6957" i="1"/>
  <c r="F6957" i="1"/>
  <c r="G6957" i="1"/>
  <c r="I6957" i="1"/>
  <c r="J6957" i="1"/>
  <c r="K6957" i="1"/>
  <c r="L6957" i="1"/>
  <c r="M6957" i="1"/>
  <c r="N6957" i="1"/>
  <c r="O6957" i="1"/>
  <c r="P6957" i="1"/>
  <c r="Q6957" i="1"/>
  <c r="R6957" i="1"/>
  <c r="S6957" i="1"/>
  <c r="T6957" i="1"/>
  <c r="U6957" i="1"/>
  <c r="V6957" i="1"/>
  <c r="W6957" i="1"/>
  <c r="X6957" i="1"/>
  <c r="Y6957" i="1"/>
  <c r="Z6957" i="1"/>
  <c r="A6958" i="1"/>
  <c r="B6958" i="1"/>
  <c r="C6958" i="1"/>
  <c r="D6958" i="1"/>
  <c r="E6958" i="1"/>
  <c r="F6958" i="1"/>
  <c r="G6958" i="1"/>
  <c r="I6958" i="1"/>
  <c r="J6958" i="1"/>
  <c r="K6958" i="1"/>
  <c r="L6958" i="1"/>
  <c r="M6958" i="1"/>
  <c r="N6958" i="1"/>
  <c r="O6958" i="1"/>
  <c r="P6958" i="1"/>
  <c r="Q6958" i="1"/>
  <c r="R6958" i="1"/>
  <c r="S6958" i="1"/>
  <c r="T6958" i="1"/>
  <c r="U6958" i="1"/>
  <c r="V6958" i="1"/>
  <c r="W6958" i="1"/>
  <c r="X6958" i="1"/>
  <c r="Y6958" i="1"/>
  <c r="Z6958" i="1"/>
  <c r="A6959" i="1"/>
  <c r="B6959" i="1"/>
  <c r="C6959" i="1"/>
  <c r="D6959" i="1"/>
  <c r="E6959" i="1"/>
  <c r="F6959" i="1"/>
  <c r="G6959" i="1"/>
  <c r="I6959" i="1"/>
  <c r="J6959" i="1"/>
  <c r="K6959" i="1"/>
  <c r="L6959" i="1"/>
  <c r="M6959" i="1"/>
  <c r="N6959" i="1"/>
  <c r="O6959" i="1"/>
  <c r="P6959" i="1"/>
  <c r="Q6959" i="1"/>
  <c r="R6959" i="1"/>
  <c r="S6959" i="1"/>
  <c r="T6959" i="1"/>
  <c r="U6959" i="1"/>
  <c r="V6959" i="1"/>
  <c r="W6959" i="1"/>
  <c r="X6959" i="1"/>
  <c r="Y6959" i="1"/>
  <c r="Z6959" i="1"/>
  <c r="A6960" i="1"/>
  <c r="B6960" i="1"/>
  <c r="C6960" i="1"/>
  <c r="D6960" i="1"/>
  <c r="E6960" i="1"/>
  <c r="F6960" i="1"/>
  <c r="G6960" i="1"/>
  <c r="I6960" i="1"/>
  <c r="J6960" i="1"/>
  <c r="K6960" i="1"/>
  <c r="L6960" i="1"/>
  <c r="M6960" i="1"/>
  <c r="N6960" i="1"/>
  <c r="O6960" i="1"/>
  <c r="P6960" i="1"/>
  <c r="Q6960" i="1"/>
  <c r="R6960" i="1"/>
  <c r="S6960" i="1"/>
  <c r="T6960" i="1"/>
  <c r="U6960" i="1"/>
  <c r="V6960" i="1"/>
  <c r="W6960" i="1"/>
  <c r="X6960" i="1"/>
  <c r="Y6960" i="1"/>
  <c r="Z6960" i="1"/>
  <c r="A6961" i="1"/>
  <c r="B6961" i="1"/>
  <c r="C6961" i="1"/>
  <c r="D6961" i="1"/>
  <c r="E6961" i="1"/>
  <c r="F6961" i="1"/>
  <c r="G6961" i="1"/>
  <c r="I6961" i="1"/>
  <c r="J6961" i="1"/>
  <c r="K6961" i="1"/>
  <c r="L6961" i="1"/>
  <c r="M6961" i="1"/>
  <c r="N6961" i="1"/>
  <c r="O6961" i="1"/>
  <c r="P6961" i="1"/>
  <c r="Q6961" i="1"/>
  <c r="R6961" i="1"/>
  <c r="S6961" i="1"/>
  <c r="T6961" i="1"/>
  <c r="U6961" i="1"/>
  <c r="V6961" i="1"/>
  <c r="W6961" i="1"/>
  <c r="X6961" i="1"/>
  <c r="Y6961" i="1"/>
  <c r="Z6961" i="1"/>
  <c r="A6962" i="1"/>
  <c r="B6962" i="1"/>
  <c r="C6962" i="1"/>
  <c r="D6962" i="1"/>
  <c r="E6962" i="1"/>
  <c r="F6962" i="1"/>
  <c r="G6962" i="1"/>
  <c r="I6962" i="1"/>
  <c r="J6962" i="1"/>
  <c r="K6962" i="1"/>
  <c r="L6962" i="1"/>
  <c r="M6962" i="1"/>
  <c r="N6962" i="1"/>
  <c r="O6962" i="1"/>
  <c r="P6962" i="1"/>
  <c r="Q6962" i="1"/>
  <c r="R6962" i="1"/>
  <c r="S6962" i="1"/>
  <c r="T6962" i="1"/>
  <c r="U6962" i="1"/>
  <c r="V6962" i="1"/>
  <c r="W6962" i="1"/>
  <c r="X6962" i="1"/>
  <c r="Y6962" i="1"/>
  <c r="Z6962" i="1"/>
  <c r="A6963" i="1"/>
  <c r="B6963" i="1"/>
  <c r="C6963" i="1"/>
  <c r="D6963" i="1"/>
  <c r="E6963" i="1"/>
  <c r="F6963" i="1"/>
  <c r="G6963" i="1"/>
  <c r="I6963" i="1"/>
  <c r="J6963" i="1"/>
  <c r="K6963" i="1"/>
  <c r="L6963" i="1"/>
  <c r="M6963" i="1"/>
  <c r="N6963" i="1"/>
  <c r="O6963" i="1"/>
  <c r="P6963" i="1"/>
  <c r="Q6963" i="1"/>
  <c r="R6963" i="1"/>
  <c r="S6963" i="1"/>
  <c r="T6963" i="1"/>
  <c r="U6963" i="1"/>
  <c r="V6963" i="1"/>
  <c r="W6963" i="1"/>
  <c r="X6963" i="1"/>
  <c r="Y6963" i="1"/>
  <c r="Z6963" i="1"/>
  <c r="A6964" i="1"/>
  <c r="B6964" i="1"/>
  <c r="C6964" i="1"/>
  <c r="D6964" i="1"/>
  <c r="E6964" i="1"/>
  <c r="F6964" i="1"/>
  <c r="G6964" i="1"/>
  <c r="I6964" i="1"/>
  <c r="J6964" i="1"/>
  <c r="K6964" i="1"/>
  <c r="L6964" i="1"/>
  <c r="M6964" i="1"/>
  <c r="N6964" i="1"/>
  <c r="O6964" i="1"/>
  <c r="P6964" i="1"/>
  <c r="Q6964" i="1"/>
  <c r="R6964" i="1"/>
  <c r="S6964" i="1"/>
  <c r="T6964" i="1"/>
  <c r="U6964" i="1"/>
  <c r="V6964" i="1"/>
  <c r="W6964" i="1"/>
  <c r="X6964" i="1"/>
  <c r="Y6964" i="1"/>
  <c r="Z6964" i="1"/>
  <c r="A6965" i="1"/>
  <c r="B6965" i="1"/>
  <c r="C6965" i="1"/>
  <c r="D6965" i="1"/>
  <c r="E6965" i="1"/>
  <c r="F6965" i="1"/>
  <c r="G6965" i="1"/>
  <c r="I6965" i="1"/>
  <c r="J6965" i="1"/>
  <c r="K6965" i="1"/>
  <c r="L6965" i="1"/>
  <c r="M6965" i="1"/>
  <c r="N6965" i="1"/>
  <c r="O6965" i="1"/>
  <c r="P6965" i="1"/>
  <c r="Q6965" i="1"/>
  <c r="R6965" i="1"/>
  <c r="S6965" i="1"/>
  <c r="T6965" i="1"/>
  <c r="U6965" i="1"/>
  <c r="V6965" i="1"/>
  <c r="W6965" i="1"/>
  <c r="X6965" i="1"/>
  <c r="Y6965" i="1"/>
  <c r="Z6965" i="1"/>
  <c r="A6966" i="1"/>
  <c r="B6966" i="1"/>
  <c r="C6966" i="1"/>
  <c r="D6966" i="1"/>
  <c r="E6966" i="1"/>
  <c r="F6966" i="1"/>
  <c r="G6966" i="1"/>
  <c r="I6966" i="1"/>
  <c r="J6966" i="1"/>
  <c r="K6966" i="1"/>
  <c r="L6966" i="1"/>
  <c r="M6966" i="1"/>
  <c r="N6966" i="1"/>
  <c r="O6966" i="1"/>
  <c r="P6966" i="1"/>
  <c r="Q6966" i="1"/>
  <c r="R6966" i="1"/>
  <c r="S6966" i="1"/>
  <c r="T6966" i="1"/>
  <c r="U6966" i="1"/>
  <c r="V6966" i="1"/>
  <c r="W6966" i="1"/>
  <c r="X6966" i="1"/>
  <c r="Y6966" i="1"/>
  <c r="Z6966" i="1"/>
  <c r="A6967" i="1"/>
  <c r="B6967" i="1"/>
  <c r="C6967" i="1"/>
  <c r="D6967" i="1"/>
  <c r="E6967" i="1"/>
  <c r="F6967" i="1"/>
  <c r="G6967" i="1"/>
  <c r="I6967" i="1"/>
  <c r="J6967" i="1"/>
  <c r="K6967" i="1"/>
  <c r="L6967" i="1"/>
  <c r="M6967" i="1"/>
  <c r="N6967" i="1"/>
  <c r="O6967" i="1"/>
  <c r="P6967" i="1"/>
  <c r="Q6967" i="1"/>
  <c r="R6967" i="1"/>
  <c r="S6967" i="1"/>
  <c r="T6967" i="1"/>
  <c r="U6967" i="1"/>
  <c r="V6967" i="1"/>
  <c r="W6967" i="1"/>
  <c r="X6967" i="1"/>
  <c r="Y6967" i="1"/>
  <c r="Z6967" i="1"/>
  <c r="A6968" i="1"/>
  <c r="B6968" i="1"/>
  <c r="C6968" i="1"/>
  <c r="D6968" i="1"/>
  <c r="E6968" i="1"/>
  <c r="F6968" i="1"/>
  <c r="G6968" i="1"/>
  <c r="I6968" i="1"/>
  <c r="J6968" i="1"/>
  <c r="K6968" i="1"/>
  <c r="L6968" i="1"/>
  <c r="M6968" i="1"/>
  <c r="N6968" i="1"/>
  <c r="O6968" i="1"/>
  <c r="P6968" i="1"/>
  <c r="Q6968" i="1"/>
  <c r="R6968" i="1"/>
  <c r="S6968" i="1"/>
  <c r="T6968" i="1"/>
  <c r="U6968" i="1"/>
  <c r="V6968" i="1"/>
  <c r="W6968" i="1"/>
  <c r="X6968" i="1"/>
  <c r="Y6968" i="1"/>
  <c r="Z6968" i="1"/>
  <c r="A6969" i="1"/>
  <c r="B6969" i="1"/>
  <c r="C6969" i="1"/>
  <c r="D6969" i="1"/>
  <c r="E6969" i="1"/>
  <c r="F6969" i="1"/>
  <c r="G6969" i="1"/>
  <c r="I6969" i="1"/>
  <c r="J6969" i="1"/>
  <c r="K6969" i="1"/>
  <c r="L6969" i="1"/>
  <c r="M6969" i="1"/>
  <c r="N6969" i="1"/>
  <c r="O6969" i="1"/>
  <c r="P6969" i="1"/>
  <c r="Q6969" i="1"/>
  <c r="R6969" i="1"/>
  <c r="S6969" i="1"/>
  <c r="T6969" i="1"/>
  <c r="U6969" i="1"/>
  <c r="V6969" i="1"/>
  <c r="W6969" i="1"/>
  <c r="X6969" i="1"/>
  <c r="Y6969" i="1"/>
  <c r="Z6969" i="1"/>
  <c r="A6970" i="1"/>
  <c r="B6970" i="1"/>
  <c r="C6970" i="1"/>
  <c r="D6970" i="1"/>
  <c r="E6970" i="1"/>
  <c r="F6970" i="1"/>
  <c r="G6970" i="1"/>
  <c r="I6970" i="1"/>
  <c r="J6970" i="1"/>
  <c r="K6970" i="1"/>
  <c r="L6970" i="1"/>
  <c r="M6970" i="1"/>
  <c r="N6970" i="1"/>
  <c r="O6970" i="1"/>
  <c r="P6970" i="1"/>
  <c r="Q6970" i="1"/>
  <c r="R6970" i="1"/>
  <c r="S6970" i="1"/>
  <c r="T6970" i="1"/>
  <c r="U6970" i="1"/>
  <c r="V6970" i="1"/>
  <c r="W6970" i="1"/>
  <c r="X6970" i="1"/>
  <c r="Y6970" i="1"/>
  <c r="Z6970" i="1"/>
  <c r="A6971" i="1"/>
  <c r="B6971" i="1"/>
  <c r="C6971" i="1"/>
  <c r="D6971" i="1"/>
  <c r="E6971" i="1"/>
  <c r="F6971" i="1"/>
  <c r="G6971" i="1"/>
  <c r="I6971" i="1"/>
  <c r="J6971" i="1"/>
  <c r="K6971" i="1"/>
  <c r="L6971" i="1"/>
  <c r="M6971" i="1"/>
  <c r="N6971" i="1"/>
  <c r="O6971" i="1"/>
  <c r="P6971" i="1"/>
  <c r="Q6971" i="1"/>
  <c r="R6971" i="1"/>
  <c r="S6971" i="1"/>
  <c r="T6971" i="1"/>
  <c r="U6971" i="1"/>
  <c r="V6971" i="1"/>
  <c r="W6971" i="1"/>
  <c r="X6971" i="1"/>
  <c r="Y6971" i="1"/>
  <c r="Z6971" i="1"/>
  <c r="A6972" i="1"/>
  <c r="B6972" i="1"/>
  <c r="C6972" i="1"/>
  <c r="D6972" i="1"/>
  <c r="E6972" i="1"/>
  <c r="F6972" i="1"/>
  <c r="G6972" i="1"/>
  <c r="I6972" i="1"/>
  <c r="J6972" i="1"/>
  <c r="K6972" i="1"/>
  <c r="L6972" i="1"/>
  <c r="M6972" i="1"/>
  <c r="N6972" i="1"/>
  <c r="O6972" i="1"/>
  <c r="P6972" i="1"/>
  <c r="Q6972" i="1"/>
  <c r="R6972" i="1"/>
  <c r="S6972" i="1"/>
  <c r="T6972" i="1"/>
  <c r="U6972" i="1"/>
  <c r="V6972" i="1"/>
  <c r="W6972" i="1"/>
  <c r="X6972" i="1"/>
  <c r="Y6972" i="1"/>
  <c r="Z6972" i="1"/>
  <c r="A6973" i="1"/>
  <c r="B6973" i="1"/>
  <c r="C6973" i="1"/>
  <c r="D6973" i="1"/>
  <c r="E6973" i="1"/>
  <c r="F6973" i="1"/>
  <c r="G6973" i="1"/>
  <c r="I6973" i="1"/>
  <c r="J6973" i="1"/>
  <c r="K6973" i="1"/>
  <c r="L6973" i="1"/>
  <c r="M6973" i="1"/>
  <c r="N6973" i="1"/>
  <c r="O6973" i="1"/>
  <c r="P6973" i="1"/>
  <c r="Q6973" i="1"/>
  <c r="R6973" i="1"/>
  <c r="S6973" i="1"/>
  <c r="T6973" i="1"/>
  <c r="U6973" i="1"/>
  <c r="V6973" i="1"/>
  <c r="W6973" i="1"/>
  <c r="X6973" i="1"/>
  <c r="Y6973" i="1"/>
  <c r="Z6973" i="1"/>
  <c r="A6974" i="1"/>
  <c r="B6974" i="1"/>
  <c r="C6974" i="1"/>
  <c r="D6974" i="1"/>
  <c r="E6974" i="1"/>
  <c r="F6974" i="1"/>
  <c r="G6974" i="1"/>
  <c r="I6974" i="1"/>
  <c r="J6974" i="1"/>
  <c r="K6974" i="1"/>
  <c r="L6974" i="1"/>
  <c r="M6974" i="1"/>
  <c r="N6974" i="1"/>
  <c r="O6974" i="1"/>
  <c r="P6974" i="1"/>
  <c r="Q6974" i="1"/>
  <c r="R6974" i="1"/>
  <c r="S6974" i="1"/>
  <c r="T6974" i="1"/>
  <c r="U6974" i="1"/>
  <c r="V6974" i="1"/>
  <c r="W6974" i="1"/>
  <c r="X6974" i="1"/>
  <c r="Y6974" i="1"/>
  <c r="Z6974" i="1"/>
  <c r="A6975" i="1"/>
  <c r="B6975" i="1"/>
  <c r="C6975" i="1"/>
  <c r="D6975" i="1"/>
  <c r="E6975" i="1"/>
  <c r="F6975" i="1"/>
  <c r="G6975" i="1"/>
  <c r="I6975" i="1"/>
  <c r="J6975" i="1"/>
  <c r="K6975" i="1"/>
  <c r="L6975" i="1"/>
  <c r="M6975" i="1"/>
  <c r="N6975" i="1"/>
  <c r="O6975" i="1"/>
  <c r="P6975" i="1"/>
  <c r="Q6975" i="1"/>
  <c r="R6975" i="1"/>
  <c r="S6975" i="1"/>
  <c r="T6975" i="1"/>
  <c r="U6975" i="1"/>
  <c r="V6975" i="1"/>
  <c r="W6975" i="1"/>
  <c r="X6975" i="1"/>
  <c r="Y6975" i="1"/>
  <c r="Z6975" i="1"/>
  <c r="A6976" i="1"/>
  <c r="B6976" i="1"/>
  <c r="C6976" i="1"/>
  <c r="D6976" i="1"/>
  <c r="E6976" i="1"/>
  <c r="F6976" i="1"/>
  <c r="G6976" i="1"/>
  <c r="I6976" i="1"/>
  <c r="J6976" i="1"/>
  <c r="K6976" i="1"/>
  <c r="L6976" i="1"/>
  <c r="M6976" i="1"/>
  <c r="N6976" i="1"/>
  <c r="O6976" i="1"/>
  <c r="P6976" i="1"/>
  <c r="Q6976" i="1"/>
  <c r="R6976" i="1"/>
  <c r="S6976" i="1"/>
  <c r="T6976" i="1"/>
  <c r="U6976" i="1"/>
  <c r="V6976" i="1"/>
  <c r="W6976" i="1"/>
  <c r="X6976" i="1"/>
  <c r="Y6976" i="1"/>
  <c r="Z6976" i="1"/>
  <c r="A6977" i="1"/>
  <c r="B6977" i="1"/>
  <c r="C6977" i="1"/>
  <c r="D6977" i="1"/>
  <c r="E6977" i="1"/>
  <c r="F6977" i="1"/>
  <c r="G6977" i="1"/>
  <c r="I6977" i="1"/>
  <c r="J6977" i="1"/>
  <c r="K6977" i="1"/>
  <c r="L6977" i="1"/>
  <c r="M6977" i="1"/>
  <c r="N6977" i="1"/>
  <c r="O6977" i="1"/>
  <c r="P6977" i="1"/>
  <c r="Q6977" i="1"/>
  <c r="R6977" i="1"/>
  <c r="S6977" i="1"/>
  <c r="T6977" i="1"/>
  <c r="U6977" i="1"/>
  <c r="V6977" i="1"/>
  <c r="W6977" i="1"/>
  <c r="X6977" i="1"/>
  <c r="Y6977" i="1"/>
  <c r="Z6977" i="1"/>
  <c r="A6978" i="1"/>
  <c r="B6978" i="1"/>
  <c r="C6978" i="1"/>
  <c r="D6978" i="1"/>
  <c r="E6978" i="1"/>
  <c r="F6978" i="1"/>
  <c r="G6978" i="1"/>
  <c r="I6978" i="1"/>
  <c r="J6978" i="1"/>
  <c r="K6978" i="1"/>
  <c r="L6978" i="1"/>
  <c r="M6978" i="1"/>
  <c r="N6978" i="1"/>
  <c r="O6978" i="1"/>
  <c r="P6978" i="1"/>
  <c r="Q6978" i="1"/>
  <c r="R6978" i="1"/>
  <c r="S6978" i="1"/>
  <c r="T6978" i="1"/>
  <c r="U6978" i="1"/>
  <c r="V6978" i="1"/>
  <c r="W6978" i="1"/>
  <c r="X6978" i="1"/>
  <c r="Y6978" i="1"/>
  <c r="Z6978" i="1"/>
  <c r="A6979" i="1"/>
  <c r="B6979" i="1"/>
  <c r="C6979" i="1"/>
  <c r="D6979" i="1"/>
  <c r="E6979" i="1"/>
  <c r="F6979" i="1"/>
  <c r="G6979" i="1"/>
  <c r="I6979" i="1"/>
  <c r="J6979" i="1"/>
  <c r="K6979" i="1"/>
  <c r="L6979" i="1"/>
  <c r="M6979" i="1"/>
  <c r="N6979" i="1"/>
  <c r="O6979" i="1"/>
  <c r="P6979" i="1"/>
  <c r="Q6979" i="1"/>
  <c r="R6979" i="1"/>
  <c r="S6979" i="1"/>
  <c r="T6979" i="1"/>
  <c r="U6979" i="1"/>
  <c r="V6979" i="1"/>
  <c r="W6979" i="1"/>
  <c r="X6979" i="1"/>
  <c r="Y6979" i="1"/>
  <c r="Z6979" i="1"/>
  <c r="A6980" i="1"/>
  <c r="B6980" i="1"/>
  <c r="C6980" i="1"/>
  <c r="D6980" i="1"/>
  <c r="E6980" i="1"/>
  <c r="F6980" i="1"/>
  <c r="G6980" i="1"/>
  <c r="I6980" i="1"/>
  <c r="J6980" i="1"/>
  <c r="K6980" i="1"/>
  <c r="L6980" i="1"/>
  <c r="M6980" i="1"/>
  <c r="N6980" i="1"/>
  <c r="O6980" i="1"/>
  <c r="P6980" i="1"/>
  <c r="Q6980" i="1"/>
  <c r="R6980" i="1"/>
  <c r="S6980" i="1"/>
  <c r="T6980" i="1"/>
  <c r="U6980" i="1"/>
  <c r="V6980" i="1"/>
  <c r="W6980" i="1"/>
  <c r="X6980" i="1"/>
  <c r="Y6980" i="1"/>
  <c r="Z6980" i="1"/>
  <c r="A6981" i="1"/>
  <c r="B6981" i="1"/>
  <c r="C6981" i="1"/>
  <c r="D6981" i="1"/>
  <c r="E6981" i="1"/>
  <c r="F6981" i="1"/>
  <c r="G6981" i="1"/>
  <c r="I6981" i="1"/>
  <c r="J6981" i="1"/>
  <c r="K6981" i="1"/>
  <c r="L6981" i="1"/>
  <c r="M6981" i="1"/>
  <c r="N6981" i="1"/>
  <c r="O6981" i="1"/>
  <c r="P6981" i="1"/>
  <c r="Q6981" i="1"/>
  <c r="R6981" i="1"/>
  <c r="S6981" i="1"/>
  <c r="T6981" i="1"/>
  <c r="U6981" i="1"/>
  <c r="V6981" i="1"/>
  <c r="W6981" i="1"/>
  <c r="X6981" i="1"/>
  <c r="Y6981" i="1"/>
  <c r="Z6981" i="1"/>
  <c r="A6982" i="1"/>
  <c r="B6982" i="1"/>
  <c r="C6982" i="1"/>
  <c r="D6982" i="1"/>
  <c r="E6982" i="1"/>
  <c r="F6982" i="1"/>
  <c r="G6982" i="1"/>
  <c r="I6982" i="1"/>
  <c r="J6982" i="1"/>
  <c r="K6982" i="1"/>
  <c r="L6982" i="1"/>
  <c r="M6982" i="1"/>
  <c r="N6982" i="1"/>
  <c r="O6982" i="1"/>
  <c r="P6982" i="1"/>
  <c r="Q6982" i="1"/>
  <c r="R6982" i="1"/>
  <c r="S6982" i="1"/>
  <c r="T6982" i="1"/>
  <c r="U6982" i="1"/>
  <c r="V6982" i="1"/>
  <c r="W6982" i="1"/>
  <c r="X6982" i="1"/>
  <c r="Y6982" i="1"/>
  <c r="Z6982" i="1"/>
  <c r="A6983" i="1"/>
  <c r="B6983" i="1"/>
  <c r="C6983" i="1"/>
  <c r="D6983" i="1"/>
  <c r="E6983" i="1"/>
  <c r="F6983" i="1"/>
  <c r="G6983" i="1"/>
  <c r="I6983" i="1"/>
  <c r="J6983" i="1"/>
  <c r="K6983" i="1"/>
  <c r="L6983" i="1"/>
  <c r="M6983" i="1"/>
  <c r="N6983" i="1"/>
  <c r="O6983" i="1"/>
  <c r="P6983" i="1"/>
  <c r="Q6983" i="1"/>
  <c r="R6983" i="1"/>
  <c r="S6983" i="1"/>
  <c r="T6983" i="1"/>
  <c r="U6983" i="1"/>
  <c r="V6983" i="1"/>
  <c r="W6983" i="1"/>
  <c r="X6983" i="1"/>
  <c r="Y6983" i="1"/>
  <c r="Z6983" i="1"/>
  <c r="A6984" i="1"/>
  <c r="B6984" i="1"/>
  <c r="C6984" i="1"/>
  <c r="D6984" i="1"/>
  <c r="E6984" i="1"/>
  <c r="F6984" i="1"/>
  <c r="G6984" i="1"/>
  <c r="I6984" i="1"/>
  <c r="J6984" i="1"/>
  <c r="K6984" i="1"/>
  <c r="L6984" i="1"/>
  <c r="M6984" i="1"/>
  <c r="N6984" i="1"/>
  <c r="O6984" i="1"/>
  <c r="P6984" i="1"/>
  <c r="Q6984" i="1"/>
  <c r="R6984" i="1"/>
  <c r="S6984" i="1"/>
  <c r="T6984" i="1"/>
  <c r="U6984" i="1"/>
  <c r="V6984" i="1"/>
  <c r="W6984" i="1"/>
  <c r="X6984" i="1"/>
  <c r="Y6984" i="1"/>
  <c r="Z6984" i="1"/>
  <c r="A6985" i="1"/>
  <c r="B6985" i="1"/>
  <c r="C6985" i="1"/>
  <c r="D6985" i="1"/>
  <c r="E6985" i="1"/>
  <c r="F6985" i="1"/>
  <c r="G6985" i="1"/>
  <c r="I6985" i="1"/>
  <c r="J6985" i="1"/>
  <c r="K6985" i="1"/>
  <c r="L6985" i="1"/>
  <c r="M6985" i="1"/>
  <c r="N6985" i="1"/>
  <c r="O6985" i="1"/>
  <c r="P6985" i="1"/>
  <c r="Q6985" i="1"/>
  <c r="R6985" i="1"/>
  <c r="S6985" i="1"/>
  <c r="T6985" i="1"/>
  <c r="U6985" i="1"/>
  <c r="V6985" i="1"/>
  <c r="W6985" i="1"/>
  <c r="X6985" i="1"/>
  <c r="Y6985" i="1"/>
  <c r="Z6985" i="1"/>
  <c r="A6986" i="1"/>
  <c r="B6986" i="1"/>
  <c r="C6986" i="1"/>
  <c r="D6986" i="1"/>
  <c r="E6986" i="1"/>
  <c r="F6986" i="1"/>
  <c r="G6986" i="1"/>
  <c r="I6986" i="1"/>
  <c r="J6986" i="1"/>
  <c r="K6986" i="1"/>
  <c r="L6986" i="1"/>
  <c r="M6986" i="1"/>
  <c r="N6986" i="1"/>
  <c r="O6986" i="1"/>
  <c r="P6986" i="1"/>
  <c r="Q6986" i="1"/>
  <c r="R6986" i="1"/>
  <c r="S6986" i="1"/>
  <c r="T6986" i="1"/>
  <c r="U6986" i="1"/>
  <c r="V6986" i="1"/>
  <c r="W6986" i="1"/>
  <c r="X6986" i="1"/>
  <c r="Y6986" i="1"/>
  <c r="Z6986" i="1"/>
  <c r="A6987" i="1"/>
  <c r="B6987" i="1"/>
  <c r="C6987" i="1"/>
  <c r="D6987" i="1"/>
  <c r="E6987" i="1"/>
  <c r="F6987" i="1"/>
  <c r="G6987" i="1"/>
  <c r="I6987" i="1"/>
  <c r="J6987" i="1"/>
  <c r="K6987" i="1"/>
  <c r="L6987" i="1"/>
  <c r="M6987" i="1"/>
  <c r="N6987" i="1"/>
  <c r="O6987" i="1"/>
  <c r="P6987" i="1"/>
  <c r="Q6987" i="1"/>
  <c r="R6987" i="1"/>
  <c r="S6987" i="1"/>
  <c r="T6987" i="1"/>
  <c r="U6987" i="1"/>
  <c r="V6987" i="1"/>
  <c r="W6987" i="1"/>
  <c r="X6987" i="1"/>
  <c r="Y6987" i="1"/>
  <c r="Z6987" i="1"/>
  <c r="A6988" i="1"/>
  <c r="B6988" i="1"/>
  <c r="C6988" i="1"/>
  <c r="D6988" i="1"/>
  <c r="E6988" i="1"/>
  <c r="F6988" i="1"/>
  <c r="G6988" i="1"/>
  <c r="I6988" i="1"/>
  <c r="J6988" i="1"/>
  <c r="K6988" i="1"/>
  <c r="L6988" i="1"/>
  <c r="M6988" i="1"/>
  <c r="N6988" i="1"/>
  <c r="O6988" i="1"/>
  <c r="P6988" i="1"/>
  <c r="Q6988" i="1"/>
  <c r="R6988" i="1"/>
  <c r="S6988" i="1"/>
  <c r="T6988" i="1"/>
  <c r="U6988" i="1"/>
  <c r="V6988" i="1"/>
  <c r="W6988" i="1"/>
  <c r="X6988" i="1"/>
  <c r="Y6988" i="1"/>
  <c r="Z6988" i="1"/>
  <c r="A6989" i="1"/>
  <c r="B6989" i="1"/>
  <c r="C6989" i="1"/>
  <c r="D6989" i="1"/>
  <c r="E6989" i="1"/>
  <c r="F6989" i="1"/>
  <c r="G6989" i="1"/>
  <c r="I6989" i="1"/>
  <c r="J6989" i="1"/>
  <c r="K6989" i="1"/>
  <c r="L6989" i="1"/>
  <c r="M6989" i="1"/>
  <c r="N6989" i="1"/>
  <c r="O6989" i="1"/>
  <c r="P6989" i="1"/>
  <c r="Q6989" i="1"/>
  <c r="R6989" i="1"/>
  <c r="S6989" i="1"/>
  <c r="T6989" i="1"/>
  <c r="U6989" i="1"/>
  <c r="V6989" i="1"/>
  <c r="W6989" i="1"/>
  <c r="X6989" i="1"/>
  <c r="Y6989" i="1"/>
  <c r="Z6989" i="1"/>
  <c r="A6990" i="1"/>
  <c r="B6990" i="1"/>
  <c r="C6990" i="1"/>
  <c r="D6990" i="1"/>
  <c r="E6990" i="1"/>
  <c r="F6990" i="1"/>
  <c r="G6990" i="1"/>
  <c r="I6990" i="1"/>
  <c r="J6990" i="1"/>
  <c r="K6990" i="1"/>
  <c r="L6990" i="1"/>
  <c r="M6990" i="1"/>
  <c r="N6990" i="1"/>
  <c r="O6990" i="1"/>
  <c r="P6990" i="1"/>
  <c r="Q6990" i="1"/>
  <c r="R6990" i="1"/>
  <c r="S6990" i="1"/>
  <c r="T6990" i="1"/>
  <c r="U6990" i="1"/>
  <c r="V6990" i="1"/>
  <c r="W6990" i="1"/>
  <c r="X6990" i="1"/>
  <c r="Y6990" i="1"/>
  <c r="Z6990" i="1"/>
  <c r="A6991" i="1"/>
  <c r="B6991" i="1"/>
  <c r="C6991" i="1"/>
  <c r="D6991" i="1"/>
  <c r="E6991" i="1"/>
  <c r="F6991" i="1"/>
  <c r="G6991" i="1"/>
  <c r="I6991" i="1"/>
  <c r="J6991" i="1"/>
  <c r="K6991" i="1"/>
  <c r="L6991" i="1"/>
  <c r="M6991" i="1"/>
  <c r="N6991" i="1"/>
  <c r="O6991" i="1"/>
  <c r="P6991" i="1"/>
  <c r="Q6991" i="1"/>
  <c r="R6991" i="1"/>
  <c r="S6991" i="1"/>
  <c r="T6991" i="1"/>
  <c r="U6991" i="1"/>
  <c r="V6991" i="1"/>
  <c r="W6991" i="1"/>
  <c r="X6991" i="1"/>
  <c r="Y6991" i="1"/>
  <c r="Z6991" i="1"/>
  <c r="A6992" i="1"/>
  <c r="B6992" i="1"/>
  <c r="C6992" i="1"/>
  <c r="D6992" i="1"/>
  <c r="E6992" i="1"/>
  <c r="F6992" i="1"/>
  <c r="G6992" i="1"/>
  <c r="I6992" i="1"/>
  <c r="J6992" i="1"/>
  <c r="K6992" i="1"/>
  <c r="L6992" i="1"/>
  <c r="M6992" i="1"/>
  <c r="N6992" i="1"/>
  <c r="O6992" i="1"/>
  <c r="P6992" i="1"/>
  <c r="Q6992" i="1"/>
  <c r="R6992" i="1"/>
  <c r="S6992" i="1"/>
  <c r="T6992" i="1"/>
  <c r="U6992" i="1"/>
  <c r="V6992" i="1"/>
  <c r="W6992" i="1"/>
  <c r="X6992" i="1"/>
  <c r="Y6992" i="1"/>
  <c r="Z6992" i="1"/>
  <c r="A6993" i="1"/>
  <c r="B6993" i="1"/>
  <c r="C6993" i="1"/>
  <c r="D6993" i="1"/>
  <c r="E6993" i="1"/>
  <c r="F6993" i="1"/>
  <c r="G6993" i="1"/>
  <c r="I6993" i="1"/>
  <c r="J6993" i="1"/>
  <c r="K6993" i="1"/>
  <c r="L6993" i="1"/>
  <c r="M6993" i="1"/>
  <c r="N6993" i="1"/>
  <c r="O6993" i="1"/>
  <c r="P6993" i="1"/>
  <c r="Q6993" i="1"/>
  <c r="R6993" i="1"/>
  <c r="S6993" i="1"/>
  <c r="T6993" i="1"/>
  <c r="U6993" i="1"/>
  <c r="V6993" i="1"/>
  <c r="W6993" i="1"/>
  <c r="X6993" i="1"/>
  <c r="Y6993" i="1"/>
  <c r="Z6993" i="1"/>
  <c r="A6994" i="1"/>
  <c r="B6994" i="1"/>
  <c r="C6994" i="1"/>
  <c r="D6994" i="1"/>
  <c r="E6994" i="1"/>
  <c r="F6994" i="1"/>
  <c r="G6994" i="1"/>
  <c r="I6994" i="1"/>
  <c r="J6994" i="1"/>
  <c r="K6994" i="1"/>
  <c r="L6994" i="1"/>
  <c r="M6994" i="1"/>
  <c r="N6994" i="1"/>
  <c r="O6994" i="1"/>
  <c r="P6994" i="1"/>
  <c r="Q6994" i="1"/>
  <c r="R6994" i="1"/>
  <c r="S6994" i="1"/>
  <c r="T6994" i="1"/>
  <c r="U6994" i="1"/>
  <c r="V6994" i="1"/>
  <c r="W6994" i="1"/>
  <c r="X6994" i="1"/>
  <c r="Y6994" i="1"/>
  <c r="Z6994" i="1"/>
  <c r="A6995" i="1"/>
  <c r="B6995" i="1"/>
  <c r="C6995" i="1"/>
  <c r="D6995" i="1"/>
  <c r="E6995" i="1"/>
  <c r="F6995" i="1"/>
  <c r="G6995" i="1"/>
  <c r="I6995" i="1"/>
  <c r="J6995" i="1"/>
  <c r="K6995" i="1"/>
  <c r="L6995" i="1"/>
  <c r="M6995" i="1"/>
  <c r="N6995" i="1"/>
  <c r="O6995" i="1"/>
  <c r="P6995" i="1"/>
  <c r="Q6995" i="1"/>
  <c r="R6995" i="1"/>
  <c r="S6995" i="1"/>
  <c r="T6995" i="1"/>
  <c r="U6995" i="1"/>
  <c r="V6995" i="1"/>
  <c r="W6995" i="1"/>
  <c r="X6995" i="1"/>
  <c r="Y6995" i="1"/>
  <c r="Z6995" i="1"/>
  <c r="A6996" i="1"/>
  <c r="B6996" i="1"/>
  <c r="C6996" i="1"/>
  <c r="D6996" i="1"/>
  <c r="E6996" i="1"/>
  <c r="F6996" i="1"/>
  <c r="G6996" i="1"/>
  <c r="I6996" i="1"/>
  <c r="J6996" i="1"/>
  <c r="K6996" i="1"/>
  <c r="L6996" i="1"/>
  <c r="M6996" i="1"/>
  <c r="N6996" i="1"/>
  <c r="O6996" i="1"/>
  <c r="P6996" i="1"/>
  <c r="Q6996" i="1"/>
  <c r="R6996" i="1"/>
  <c r="S6996" i="1"/>
  <c r="T6996" i="1"/>
  <c r="U6996" i="1"/>
  <c r="V6996" i="1"/>
  <c r="W6996" i="1"/>
  <c r="X6996" i="1"/>
  <c r="Y6996" i="1"/>
  <c r="Z6996" i="1"/>
  <c r="A6997" i="1"/>
  <c r="B6997" i="1"/>
  <c r="C6997" i="1"/>
  <c r="D6997" i="1"/>
  <c r="E6997" i="1"/>
  <c r="F6997" i="1"/>
  <c r="G6997" i="1"/>
  <c r="I6997" i="1"/>
  <c r="J6997" i="1"/>
  <c r="K6997" i="1"/>
  <c r="L6997" i="1"/>
  <c r="M6997" i="1"/>
  <c r="N6997" i="1"/>
  <c r="O6997" i="1"/>
  <c r="P6997" i="1"/>
  <c r="Q6997" i="1"/>
  <c r="R6997" i="1"/>
  <c r="S6997" i="1"/>
  <c r="T6997" i="1"/>
  <c r="U6997" i="1"/>
  <c r="V6997" i="1"/>
  <c r="W6997" i="1"/>
  <c r="X6997" i="1"/>
  <c r="Y6997" i="1"/>
  <c r="Z6997" i="1"/>
  <c r="A6998" i="1"/>
  <c r="B6998" i="1"/>
  <c r="C6998" i="1"/>
  <c r="D6998" i="1"/>
  <c r="E6998" i="1"/>
  <c r="F6998" i="1"/>
  <c r="G6998" i="1"/>
  <c r="I6998" i="1"/>
  <c r="J6998" i="1"/>
  <c r="K6998" i="1"/>
  <c r="L6998" i="1"/>
  <c r="M6998" i="1"/>
  <c r="N6998" i="1"/>
  <c r="O6998" i="1"/>
  <c r="P6998" i="1"/>
  <c r="Q6998" i="1"/>
  <c r="R6998" i="1"/>
  <c r="S6998" i="1"/>
  <c r="T6998" i="1"/>
  <c r="U6998" i="1"/>
  <c r="V6998" i="1"/>
  <c r="W6998" i="1"/>
  <c r="X6998" i="1"/>
  <c r="Y6998" i="1"/>
  <c r="Z6998" i="1"/>
  <c r="A6999" i="1"/>
  <c r="B6999" i="1"/>
  <c r="C6999" i="1"/>
  <c r="D6999" i="1"/>
  <c r="E6999" i="1"/>
  <c r="F6999" i="1"/>
  <c r="G6999" i="1"/>
  <c r="I6999" i="1"/>
  <c r="J6999" i="1"/>
  <c r="K6999" i="1"/>
  <c r="L6999" i="1"/>
  <c r="M6999" i="1"/>
  <c r="N6999" i="1"/>
  <c r="O6999" i="1"/>
  <c r="P6999" i="1"/>
  <c r="Q6999" i="1"/>
  <c r="R6999" i="1"/>
  <c r="S6999" i="1"/>
  <c r="T6999" i="1"/>
  <c r="U6999" i="1"/>
  <c r="V6999" i="1"/>
  <c r="W6999" i="1"/>
  <c r="X6999" i="1"/>
  <c r="Y6999" i="1"/>
  <c r="Z6999" i="1"/>
  <c r="A7000" i="1"/>
  <c r="B7000" i="1"/>
  <c r="C7000" i="1"/>
  <c r="D7000" i="1"/>
  <c r="E7000" i="1"/>
  <c r="F7000" i="1"/>
  <c r="G7000" i="1"/>
  <c r="I7000" i="1"/>
  <c r="J7000" i="1"/>
  <c r="K7000" i="1"/>
  <c r="L7000" i="1"/>
  <c r="M7000" i="1"/>
  <c r="N7000" i="1"/>
  <c r="O7000" i="1"/>
  <c r="P7000" i="1"/>
  <c r="Q7000" i="1"/>
  <c r="R7000" i="1"/>
  <c r="S7000" i="1"/>
  <c r="T7000" i="1"/>
  <c r="U7000" i="1"/>
  <c r="V7000" i="1"/>
  <c r="W7000" i="1"/>
  <c r="X7000" i="1"/>
  <c r="Y7000" i="1"/>
  <c r="Z7000" i="1"/>
  <c r="A7001" i="1"/>
  <c r="B7001" i="1"/>
  <c r="C7001" i="1"/>
  <c r="D7001" i="1"/>
  <c r="E7001" i="1"/>
  <c r="F7001" i="1"/>
  <c r="G7001" i="1"/>
  <c r="I7001" i="1"/>
  <c r="J7001" i="1"/>
  <c r="K7001" i="1"/>
  <c r="L7001" i="1"/>
  <c r="M7001" i="1"/>
  <c r="N7001" i="1"/>
  <c r="O7001" i="1"/>
  <c r="P7001" i="1"/>
  <c r="Q7001" i="1"/>
  <c r="R7001" i="1"/>
  <c r="S7001" i="1"/>
  <c r="T7001" i="1"/>
  <c r="U7001" i="1"/>
  <c r="V7001" i="1"/>
  <c r="W7001" i="1"/>
  <c r="X7001" i="1"/>
  <c r="Y7001" i="1"/>
  <c r="Z7001" i="1"/>
  <c r="A7002" i="1"/>
  <c r="B7002" i="1"/>
  <c r="C7002" i="1"/>
  <c r="D7002" i="1"/>
  <c r="E7002" i="1"/>
  <c r="F7002" i="1"/>
  <c r="G7002" i="1"/>
  <c r="I7002" i="1"/>
  <c r="J7002" i="1"/>
  <c r="K7002" i="1"/>
  <c r="L7002" i="1"/>
  <c r="M7002" i="1"/>
  <c r="N7002" i="1"/>
  <c r="O7002" i="1"/>
  <c r="P7002" i="1"/>
  <c r="Q7002" i="1"/>
  <c r="R7002" i="1"/>
  <c r="S7002" i="1"/>
  <c r="T7002" i="1"/>
  <c r="U7002" i="1"/>
  <c r="V7002" i="1"/>
  <c r="W7002" i="1"/>
  <c r="X7002" i="1"/>
  <c r="Y7002" i="1"/>
  <c r="Z7002" i="1"/>
  <c r="A7003" i="1"/>
  <c r="B7003" i="1"/>
  <c r="C7003" i="1"/>
  <c r="D7003" i="1"/>
  <c r="E7003" i="1"/>
  <c r="F7003" i="1"/>
  <c r="G7003" i="1"/>
  <c r="I7003" i="1"/>
  <c r="J7003" i="1"/>
  <c r="K7003" i="1"/>
  <c r="L7003" i="1"/>
  <c r="M7003" i="1"/>
  <c r="N7003" i="1"/>
  <c r="O7003" i="1"/>
  <c r="P7003" i="1"/>
  <c r="Q7003" i="1"/>
  <c r="R7003" i="1"/>
  <c r="S7003" i="1"/>
  <c r="T7003" i="1"/>
  <c r="U7003" i="1"/>
  <c r="V7003" i="1"/>
  <c r="W7003" i="1"/>
  <c r="X7003" i="1"/>
  <c r="Y7003" i="1"/>
  <c r="Z7003" i="1"/>
  <c r="A7004" i="1"/>
  <c r="B7004" i="1"/>
  <c r="C7004" i="1"/>
  <c r="D7004" i="1"/>
  <c r="E7004" i="1"/>
  <c r="F7004" i="1"/>
  <c r="G7004" i="1"/>
  <c r="I7004" i="1"/>
  <c r="J7004" i="1"/>
  <c r="K7004" i="1"/>
  <c r="L7004" i="1"/>
  <c r="M7004" i="1"/>
  <c r="N7004" i="1"/>
  <c r="O7004" i="1"/>
  <c r="P7004" i="1"/>
  <c r="Q7004" i="1"/>
  <c r="R7004" i="1"/>
  <c r="S7004" i="1"/>
  <c r="T7004" i="1"/>
  <c r="U7004" i="1"/>
  <c r="V7004" i="1"/>
  <c r="W7004" i="1"/>
  <c r="X7004" i="1"/>
  <c r="Y7004" i="1"/>
  <c r="Z7004" i="1"/>
  <c r="A7005" i="1"/>
  <c r="B7005" i="1"/>
  <c r="C7005" i="1"/>
  <c r="D7005" i="1"/>
  <c r="E7005" i="1"/>
  <c r="F7005" i="1"/>
  <c r="G7005" i="1"/>
  <c r="I7005" i="1"/>
  <c r="J7005" i="1"/>
  <c r="K7005" i="1"/>
  <c r="L7005" i="1"/>
  <c r="M7005" i="1"/>
  <c r="N7005" i="1"/>
  <c r="O7005" i="1"/>
  <c r="P7005" i="1"/>
  <c r="Q7005" i="1"/>
  <c r="R7005" i="1"/>
  <c r="S7005" i="1"/>
  <c r="T7005" i="1"/>
  <c r="U7005" i="1"/>
  <c r="V7005" i="1"/>
  <c r="W7005" i="1"/>
  <c r="X7005" i="1"/>
  <c r="Y7005" i="1"/>
  <c r="Z7005" i="1"/>
  <c r="A7006" i="1"/>
  <c r="B7006" i="1"/>
  <c r="C7006" i="1"/>
  <c r="D7006" i="1"/>
  <c r="E7006" i="1"/>
  <c r="F7006" i="1"/>
  <c r="G7006" i="1"/>
  <c r="I7006" i="1"/>
  <c r="J7006" i="1"/>
  <c r="K7006" i="1"/>
  <c r="L7006" i="1"/>
  <c r="M7006" i="1"/>
  <c r="N7006" i="1"/>
  <c r="O7006" i="1"/>
  <c r="P7006" i="1"/>
  <c r="Q7006" i="1"/>
  <c r="R7006" i="1"/>
  <c r="S7006" i="1"/>
  <c r="T7006" i="1"/>
  <c r="U7006" i="1"/>
  <c r="V7006" i="1"/>
  <c r="W7006" i="1"/>
  <c r="X7006" i="1"/>
  <c r="Y7006" i="1"/>
  <c r="Z7006" i="1"/>
  <c r="A7007" i="1"/>
  <c r="B7007" i="1"/>
  <c r="C7007" i="1"/>
  <c r="D7007" i="1"/>
  <c r="E7007" i="1"/>
  <c r="F7007" i="1"/>
  <c r="G7007" i="1"/>
  <c r="I7007" i="1"/>
  <c r="J7007" i="1"/>
  <c r="K7007" i="1"/>
  <c r="L7007" i="1"/>
  <c r="M7007" i="1"/>
  <c r="N7007" i="1"/>
  <c r="O7007" i="1"/>
  <c r="P7007" i="1"/>
  <c r="Q7007" i="1"/>
  <c r="R7007" i="1"/>
  <c r="S7007" i="1"/>
  <c r="T7007" i="1"/>
  <c r="U7007" i="1"/>
  <c r="V7007" i="1"/>
  <c r="W7007" i="1"/>
  <c r="X7007" i="1"/>
  <c r="Y7007" i="1"/>
  <c r="Z7007" i="1"/>
  <c r="A7008" i="1"/>
  <c r="B7008" i="1"/>
  <c r="C7008" i="1"/>
  <c r="D7008" i="1"/>
  <c r="E7008" i="1"/>
  <c r="F7008" i="1"/>
  <c r="G7008" i="1"/>
  <c r="I7008" i="1"/>
  <c r="J7008" i="1"/>
  <c r="K7008" i="1"/>
  <c r="L7008" i="1"/>
  <c r="M7008" i="1"/>
  <c r="N7008" i="1"/>
  <c r="O7008" i="1"/>
  <c r="P7008" i="1"/>
  <c r="Q7008" i="1"/>
  <c r="R7008" i="1"/>
  <c r="S7008" i="1"/>
  <c r="T7008" i="1"/>
  <c r="U7008" i="1"/>
  <c r="V7008" i="1"/>
  <c r="W7008" i="1"/>
  <c r="X7008" i="1"/>
  <c r="Y7008" i="1"/>
  <c r="Z7008" i="1"/>
  <c r="A7009" i="1"/>
  <c r="B7009" i="1"/>
  <c r="C7009" i="1"/>
  <c r="D7009" i="1"/>
  <c r="E7009" i="1"/>
  <c r="F7009" i="1"/>
  <c r="G7009" i="1"/>
  <c r="I7009" i="1"/>
  <c r="J7009" i="1"/>
  <c r="K7009" i="1"/>
  <c r="L7009" i="1"/>
  <c r="M7009" i="1"/>
  <c r="N7009" i="1"/>
  <c r="O7009" i="1"/>
  <c r="P7009" i="1"/>
  <c r="Q7009" i="1"/>
  <c r="R7009" i="1"/>
  <c r="S7009" i="1"/>
  <c r="T7009" i="1"/>
  <c r="U7009" i="1"/>
  <c r="V7009" i="1"/>
  <c r="W7009" i="1"/>
  <c r="X7009" i="1"/>
  <c r="Y7009" i="1"/>
  <c r="Z7009" i="1"/>
  <c r="A7010" i="1"/>
  <c r="B7010" i="1"/>
  <c r="C7010" i="1"/>
  <c r="D7010" i="1"/>
  <c r="E7010" i="1"/>
  <c r="F7010" i="1"/>
  <c r="G7010" i="1"/>
  <c r="I7010" i="1"/>
  <c r="J7010" i="1"/>
  <c r="K7010" i="1"/>
  <c r="L7010" i="1"/>
  <c r="M7010" i="1"/>
  <c r="N7010" i="1"/>
  <c r="O7010" i="1"/>
  <c r="P7010" i="1"/>
  <c r="Q7010" i="1"/>
  <c r="R7010" i="1"/>
  <c r="S7010" i="1"/>
  <c r="T7010" i="1"/>
  <c r="U7010" i="1"/>
  <c r="V7010" i="1"/>
  <c r="W7010" i="1"/>
  <c r="X7010" i="1"/>
  <c r="Y7010" i="1"/>
  <c r="Z7010" i="1"/>
  <c r="A7011" i="1"/>
  <c r="B7011" i="1"/>
  <c r="C7011" i="1"/>
  <c r="D7011" i="1"/>
  <c r="E7011" i="1"/>
  <c r="F7011" i="1"/>
  <c r="G7011" i="1"/>
  <c r="I7011" i="1"/>
  <c r="J7011" i="1"/>
  <c r="K7011" i="1"/>
  <c r="L7011" i="1"/>
  <c r="M7011" i="1"/>
  <c r="N7011" i="1"/>
  <c r="O7011" i="1"/>
  <c r="P7011" i="1"/>
  <c r="Q7011" i="1"/>
  <c r="R7011" i="1"/>
  <c r="S7011" i="1"/>
  <c r="T7011" i="1"/>
  <c r="U7011" i="1"/>
  <c r="V7011" i="1"/>
  <c r="W7011" i="1"/>
  <c r="X7011" i="1"/>
  <c r="Y7011" i="1"/>
  <c r="Z7011" i="1"/>
  <c r="A7012" i="1"/>
  <c r="B7012" i="1"/>
  <c r="C7012" i="1"/>
  <c r="D7012" i="1"/>
  <c r="E7012" i="1"/>
  <c r="F7012" i="1"/>
  <c r="G7012" i="1"/>
  <c r="I7012" i="1"/>
  <c r="J7012" i="1"/>
  <c r="K7012" i="1"/>
  <c r="L7012" i="1"/>
  <c r="M7012" i="1"/>
  <c r="N7012" i="1"/>
  <c r="O7012" i="1"/>
  <c r="P7012" i="1"/>
  <c r="Q7012" i="1"/>
  <c r="R7012" i="1"/>
  <c r="S7012" i="1"/>
  <c r="T7012" i="1"/>
  <c r="U7012" i="1"/>
  <c r="V7012" i="1"/>
  <c r="W7012" i="1"/>
  <c r="X7012" i="1"/>
  <c r="Y7012" i="1"/>
  <c r="Z7012" i="1"/>
  <c r="A7013" i="1"/>
  <c r="B7013" i="1"/>
  <c r="C7013" i="1"/>
  <c r="D7013" i="1"/>
  <c r="E7013" i="1"/>
  <c r="F7013" i="1"/>
  <c r="G7013" i="1"/>
  <c r="I7013" i="1"/>
  <c r="J7013" i="1"/>
  <c r="K7013" i="1"/>
  <c r="L7013" i="1"/>
  <c r="M7013" i="1"/>
  <c r="N7013" i="1"/>
  <c r="O7013" i="1"/>
  <c r="P7013" i="1"/>
  <c r="Q7013" i="1"/>
  <c r="R7013" i="1"/>
  <c r="S7013" i="1"/>
  <c r="T7013" i="1"/>
  <c r="U7013" i="1"/>
  <c r="V7013" i="1"/>
  <c r="W7013" i="1"/>
  <c r="X7013" i="1"/>
  <c r="Y7013" i="1"/>
  <c r="Z7013" i="1"/>
  <c r="A7014" i="1"/>
  <c r="B7014" i="1"/>
  <c r="C7014" i="1"/>
  <c r="D7014" i="1"/>
  <c r="E7014" i="1"/>
  <c r="F7014" i="1"/>
  <c r="G7014" i="1"/>
  <c r="I7014" i="1"/>
  <c r="J7014" i="1"/>
  <c r="K7014" i="1"/>
  <c r="L7014" i="1"/>
  <c r="M7014" i="1"/>
  <c r="N7014" i="1"/>
  <c r="O7014" i="1"/>
  <c r="P7014" i="1"/>
  <c r="Q7014" i="1"/>
  <c r="R7014" i="1"/>
  <c r="S7014" i="1"/>
  <c r="T7014" i="1"/>
  <c r="U7014" i="1"/>
  <c r="V7014" i="1"/>
  <c r="W7014" i="1"/>
  <c r="X7014" i="1"/>
  <c r="Y7014" i="1"/>
  <c r="Z7014" i="1"/>
  <c r="A7015" i="1"/>
  <c r="B7015" i="1"/>
  <c r="C7015" i="1"/>
  <c r="D7015" i="1"/>
  <c r="E7015" i="1"/>
  <c r="F7015" i="1"/>
  <c r="G7015" i="1"/>
  <c r="I7015" i="1"/>
  <c r="J7015" i="1"/>
  <c r="K7015" i="1"/>
  <c r="L7015" i="1"/>
  <c r="M7015" i="1"/>
  <c r="N7015" i="1"/>
  <c r="O7015" i="1"/>
  <c r="P7015" i="1"/>
  <c r="Q7015" i="1"/>
  <c r="R7015" i="1"/>
  <c r="S7015" i="1"/>
  <c r="T7015" i="1"/>
  <c r="U7015" i="1"/>
  <c r="V7015" i="1"/>
  <c r="W7015" i="1"/>
  <c r="X7015" i="1"/>
  <c r="Y7015" i="1"/>
  <c r="Z7015" i="1"/>
  <c r="A7016" i="1"/>
  <c r="B7016" i="1"/>
  <c r="C7016" i="1"/>
  <c r="D7016" i="1"/>
  <c r="E7016" i="1"/>
  <c r="F7016" i="1"/>
  <c r="G7016" i="1"/>
  <c r="I7016" i="1"/>
  <c r="J7016" i="1"/>
  <c r="K7016" i="1"/>
  <c r="L7016" i="1"/>
  <c r="M7016" i="1"/>
  <c r="N7016" i="1"/>
  <c r="O7016" i="1"/>
  <c r="P7016" i="1"/>
  <c r="Q7016" i="1"/>
  <c r="R7016" i="1"/>
  <c r="S7016" i="1"/>
  <c r="T7016" i="1"/>
  <c r="U7016" i="1"/>
  <c r="V7016" i="1"/>
  <c r="W7016" i="1"/>
  <c r="X7016" i="1"/>
  <c r="Y7016" i="1"/>
  <c r="Z7016" i="1"/>
  <c r="A7017" i="1"/>
  <c r="B7017" i="1"/>
  <c r="C7017" i="1"/>
  <c r="D7017" i="1"/>
  <c r="E7017" i="1"/>
  <c r="F7017" i="1"/>
  <c r="G7017" i="1"/>
  <c r="I7017" i="1"/>
  <c r="J7017" i="1"/>
  <c r="K7017" i="1"/>
  <c r="L7017" i="1"/>
  <c r="M7017" i="1"/>
  <c r="N7017" i="1"/>
  <c r="O7017" i="1"/>
  <c r="P7017" i="1"/>
  <c r="Q7017" i="1"/>
  <c r="R7017" i="1"/>
  <c r="S7017" i="1"/>
  <c r="T7017" i="1"/>
  <c r="U7017" i="1"/>
  <c r="V7017" i="1"/>
  <c r="W7017" i="1"/>
  <c r="X7017" i="1"/>
  <c r="Y7017" i="1"/>
  <c r="Z7017" i="1"/>
  <c r="A7018" i="1"/>
  <c r="B7018" i="1"/>
  <c r="C7018" i="1"/>
  <c r="D7018" i="1"/>
  <c r="E7018" i="1"/>
  <c r="F7018" i="1"/>
  <c r="G7018" i="1"/>
  <c r="I7018" i="1"/>
  <c r="J7018" i="1"/>
  <c r="K7018" i="1"/>
  <c r="L7018" i="1"/>
  <c r="M7018" i="1"/>
  <c r="N7018" i="1"/>
  <c r="O7018" i="1"/>
  <c r="P7018" i="1"/>
  <c r="Q7018" i="1"/>
  <c r="R7018" i="1"/>
  <c r="S7018" i="1"/>
  <c r="T7018" i="1"/>
  <c r="U7018" i="1"/>
  <c r="V7018" i="1"/>
  <c r="W7018" i="1"/>
  <c r="X7018" i="1"/>
  <c r="Y7018" i="1"/>
  <c r="Z7018" i="1"/>
  <c r="A7019" i="1"/>
  <c r="B7019" i="1"/>
  <c r="C7019" i="1"/>
  <c r="D7019" i="1"/>
  <c r="E7019" i="1"/>
  <c r="F7019" i="1"/>
  <c r="G7019" i="1"/>
  <c r="I7019" i="1"/>
  <c r="J7019" i="1"/>
  <c r="K7019" i="1"/>
  <c r="L7019" i="1"/>
  <c r="M7019" i="1"/>
  <c r="N7019" i="1"/>
  <c r="O7019" i="1"/>
  <c r="P7019" i="1"/>
  <c r="Q7019" i="1"/>
  <c r="R7019" i="1"/>
  <c r="S7019" i="1"/>
  <c r="T7019" i="1"/>
  <c r="U7019" i="1"/>
  <c r="V7019" i="1"/>
  <c r="W7019" i="1"/>
  <c r="X7019" i="1"/>
  <c r="Y7019" i="1"/>
  <c r="Z7019" i="1"/>
  <c r="A7020" i="1"/>
  <c r="B7020" i="1"/>
  <c r="C7020" i="1"/>
  <c r="D7020" i="1"/>
  <c r="E7020" i="1"/>
  <c r="F7020" i="1"/>
  <c r="G7020" i="1"/>
  <c r="I7020" i="1"/>
  <c r="J7020" i="1"/>
  <c r="K7020" i="1"/>
  <c r="L7020" i="1"/>
  <c r="M7020" i="1"/>
  <c r="N7020" i="1"/>
  <c r="O7020" i="1"/>
  <c r="P7020" i="1"/>
  <c r="Q7020" i="1"/>
  <c r="R7020" i="1"/>
  <c r="S7020" i="1"/>
  <c r="T7020" i="1"/>
  <c r="U7020" i="1"/>
  <c r="V7020" i="1"/>
  <c r="W7020" i="1"/>
  <c r="X7020" i="1"/>
  <c r="Y7020" i="1"/>
  <c r="Z7020" i="1"/>
  <c r="A7021" i="1"/>
  <c r="B7021" i="1"/>
  <c r="C7021" i="1"/>
  <c r="D7021" i="1"/>
  <c r="E7021" i="1"/>
  <c r="F7021" i="1"/>
  <c r="G7021" i="1"/>
  <c r="I7021" i="1"/>
  <c r="J7021" i="1"/>
  <c r="K7021" i="1"/>
  <c r="L7021" i="1"/>
  <c r="M7021" i="1"/>
  <c r="N7021" i="1"/>
  <c r="O7021" i="1"/>
  <c r="P7021" i="1"/>
  <c r="Q7021" i="1"/>
  <c r="R7021" i="1"/>
  <c r="S7021" i="1"/>
  <c r="T7021" i="1"/>
  <c r="U7021" i="1"/>
  <c r="V7021" i="1"/>
  <c r="W7021" i="1"/>
  <c r="X7021" i="1"/>
  <c r="Y7021" i="1"/>
  <c r="Z7021" i="1"/>
  <c r="A7022" i="1"/>
  <c r="B7022" i="1"/>
  <c r="C7022" i="1"/>
  <c r="D7022" i="1"/>
  <c r="E7022" i="1"/>
  <c r="F7022" i="1"/>
  <c r="G7022" i="1"/>
  <c r="I7022" i="1"/>
  <c r="J7022" i="1"/>
  <c r="K7022" i="1"/>
  <c r="L7022" i="1"/>
  <c r="M7022" i="1"/>
  <c r="N7022" i="1"/>
  <c r="O7022" i="1"/>
  <c r="P7022" i="1"/>
  <c r="Q7022" i="1"/>
  <c r="R7022" i="1"/>
  <c r="S7022" i="1"/>
  <c r="T7022" i="1"/>
  <c r="U7022" i="1"/>
  <c r="V7022" i="1"/>
  <c r="W7022" i="1"/>
  <c r="X7022" i="1"/>
  <c r="Y7022" i="1"/>
  <c r="Z7022" i="1"/>
  <c r="A7023" i="1"/>
  <c r="B7023" i="1"/>
  <c r="C7023" i="1"/>
  <c r="D7023" i="1"/>
  <c r="E7023" i="1"/>
  <c r="F7023" i="1"/>
  <c r="G7023" i="1"/>
  <c r="I7023" i="1"/>
  <c r="J7023" i="1"/>
  <c r="K7023" i="1"/>
  <c r="L7023" i="1"/>
  <c r="M7023" i="1"/>
  <c r="N7023" i="1"/>
  <c r="O7023" i="1"/>
  <c r="P7023" i="1"/>
  <c r="Q7023" i="1"/>
  <c r="R7023" i="1"/>
  <c r="S7023" i="1"/>
  <c r="T7023" i="1"/>
  <c r="U7023" i="1"/>
  <c r="V7023" i="1"/>
  <c r="W7023" i="1"/>
  <c r="X7023" i="1"/>
  <c r="Y7023" i="1"/>
  <c r="Z7023" i="1"/>
  <c r="A7024" i="1"/>
  <c r="B7024" i="1"/>
  <c r="C7024" i="1"/>
  <c r="D7024" i="1"/>
  <c r="E7024" i="1"/>
  <c r="F7024" i="1"/>
  <c r="G7024" i="1"/>
  <c r="I7024" i="1"/>
  <c r="J7024" i="1"/>
  <c r="K7024" i="1"/>
  <c r="L7024" i="1"/>
  <c r="M7024" i="1"/>
  <c r="N7024" i="1"/>
  <c r="O7024" i="1"/>
  <c r="P7024" i="1"/>
  <c r="Q7024" i="1"/>
  <c r="R7024" i="1"/>
  <c r="S7024" i="1"/>
  <c r="T7024" i="1"/>
  <c r="U7024" i="1"/>
  <c r="V7024" i="1"/>
  <c r="W7024" i="1"/>
  <c r="X7024" i="1"/>
  <c r="Y7024" i="1"/>
  <c r="Z7024" i="1"/>
  <c r="A7025" i="1"/>
  <c r="B7025" i="1"/>
  <c r="C7025" i="1"/>
  <c r="D7025" i="1"/>
  <c r="E7025" i="1"/>
  <c r="F7025" i="1"/>
  <c r="G7025" i="1"/>
  <c r="I7025" i="1"/>
  <c r="J7025" i="1"/>
  <c r="K7025" i="1"/>
  <c r="L7025" i="1"/>
  <c r="M7025" i="1"/>
  <c r="N7025" i="1"/>
  <c r="O7025" i="1"/>
  <c r="P7025" i="1"/>
  <c r="Q7025" i="1"/>
  <c r="R7025" i="1"/>
  <c r="S7025" i="1"/>
  <c r="T7025" i="1"/>
  <c r="U7025" i="1"/>
  <c r="V7025" i="1"/>
  <c r="W7025" i="1"/>
  <c r="X7025" i="1"/>
  <c r="Y7025" i="1"/>
  <c r="Z7025" i="1"/>
  <c r="A7026" i="1"/>
  <c r="B7026" i="1"/>
  <c r="C7026" i="1"/>
  <c r="D7026" i="1"/>
  <c r="E7026" i="1"/>
  <c r="F7026" i="1"/>
  <c r="G7026" i="1"/>
  <c r="I7026" i="1"/>
  <c r="J7026" i="1"/>
  <c r="K7026" i="1"/>
  <c r="L7026" i="1"/>
  <c r="M7026" i="1"/>
  <c r="N7026" i="1"/>
  <c r="O7026" i="1"/>
  <c r="P7026" i="1"/>
  <c r="Q7026" i="1"/>
  <c r="R7026" i="1"/>
  <c r="S7026" i="1"/>
  <c r="T7026" i="1"/>
  <c r="U7026" i="1"/>
  <c r="V7026" i="1"/>
  <c r="W7026" i="1"/>
  <c r="X7026" i="1"/>
  <c r="Y7026" i="1"/>
  <c r="Z7026" i="1"/>
  <c r="A7027" i="1"/>
  <c r="B7027" i="1"/>
  <c r="C7027" i="1"/>
  <c r="D7027" i="1"/>
  <c r="E7027" i="1"/>
  <c r="F7027" i="1"/>
  <c r="G7027" i="1"/>
  <c r="I7027" i="1"/>
  <c r="J7027" i="1"/>
  <c r="K7027" i="1"/>
  <c r="L7027" i="1"/>
  <c r="M7027" i="1"/>
  <c r="N7027" i="1"/>
  <c r="O7027" i="1"/>
  <c r="P7027" i="1"/>
  <c r="Q7027" i="1"/>
  <c r="R7027" i="1"/>
  <c r="S7027" i="1"/>
  <c r="T7027" i="1"/>
  <c r="U7027" i="1"/>
  <c r="V7027" i="1"/>
  <c r="W7027" i="1"/>
  <c r="X7027" i="1"/>
  <c r="Y7027" i="1"/>
  <c r="Z7027" i="1"/>
  <c r="A7028" i="1"/>
  <c r="B7028" i="1"/>
  <c r="C7028" i="1"/>
  <c r="D7028" i="1"/>
  <c r="E7028" i="1"/>
  <c r="F7028" i="1"/>
  <c r="G7028" i="1"/>
  <c r="I7028" i="1"/>
  <c r="J7028" i="1"/>
  <c r="K7028" i="1"/>
  <c r="L7028" i="1"/>
  <c r="M7028" i="1"/>
  <c r="N7028" i="1"/>
  <c r="O7028" i="1"/>
  <c r="P7028" i="1"/>
  <c r="Q7028" i="1"/>
  <c r="R7028" i="1"/>
  <c r="S7028" i="1"/>
  <c r="T7028" i="1"/>
  <c r="U7028" i="1"/>
  <c r="V7028" i="1"/>
  <c r="W7028" i="1"/>
  <c r="X7028" i="1"/>
  <c r="Y7028" i="1"/>
  <c r="Z7028" i="1"/>
  <c r="A7029" i="1"/>
  <c r="B7029" i="1"/>
  <c r="C7029" i="1"/>
  <c r="D7029" i="1"/>
  <c r="E7029" i="1"/>
  <c r="F7029" i="1"/>
  <c r="G7029" i="1"/>
  <c r="I7029" i="1"/>
  <c r="J7029" i="1"/>
  <c r="K7029" i="1"/>
  <c r="L7029" i="1"/>
  <c r="M7029" i="1"/>
  <c r="N7029" i="1"/>
  <c r="O7029" i="1"/>
  <c r="P7029" i="1"/>
  <c r="Q7029" i="1"/>
  <c r="R7029" i="1"/>
  <c r="S7029" i="1"/>
  <c r="T7029" i="1"/>
  <c r="U7029" i="1"/>
  <c r="V7029" i="1"/>
  <c r="W7029" i="1"/>
  <c r="X7029" i="1"/>
  <c r="Y7029" i="1"/>
  <c r="Z7029" i="1"/>
  <c r="A7030" i="1"/>
  <c r="B7030" i="1"/>
  <c r="C7030" i="1"/>
  <c r="D7030" i="1"/>
  <c r="E7030" i="1"/>
  <c r="F7030" i="1"/>
  <c r="G7030" i="1"/>
  <c r="I7030" i="1"/>
  <c r="J7030" i="1"/>
  <c r="K7030" i="1"/>
  <c r="L7030" i="1"/>
  <c r="M7030" i="1"/>
  <c r="N7030" i="1"/>
  <c r="O7030" i="1"/>
  <c r="P7030" i="1"/>
  <c r="Q7030" i="1"/>
  <c r="R7030" i="1"/>
  <c r="S7030" i="1"/>
  <c r="T7030" i="1"/>
  <c r="U7030" i="1"/>
  <c r="V7030" i="1"/>
  <c r="W7030" i="1"/>
  <c r="X7030" i="1"/>
  <c r="Y7030" i="1"/>
  <c r="Z7030" i="1"/>
  <c r="A7031" i="1"/>
  <c r="B7031" i="1"/>
  <c r="C7031" i="1"/>
  <c r="D7031" i="1"/>
  <c r="E7031" i="1"/>
  <c r="F7031" i="1"/>
  <c r="G7031" i="1"/>
  <c r="I7031" i="1"/>
  <c r="J7031" i="1"/>
  <c r="K7031" i="1"/>
  <c r="L7031" i="1"/>
  <c r="M7031" i="1"/>
  <c r="N7031" i="1"/>
  <c r="O7031" i="1"/>
  <c r="P7031" i="1"/>
  <c r="Q7031" i="1"/>
  <c r="R7031" i="1"/>
  <c r="S7031" i="1"/>
  <c r="T7031" i="1"/>
  <c r="U7031" i="1"/>
  <c r="V7031" i="1"/>
  <c r="W7031" i="1"/>
  <c r="X7031" i="1"/>
  <c r="Y7031" i="1"/>
  <c r="Z7031" i="1"/>
  <c r="A7032" i="1"/>
  <c r="B7032" i="1"/>
  <c r="C7032" i="1"/>
  <c r="D7032" i="1"/>
  <c r="E7032" i="1"/>
  <c r="F7032" i="1"/>
  <c r="G7032" i="1"/>
  <c r="I7032" i="1"/>
  <c r="J7032" i="1"/>
  <c r="K7032" i="1"/>
  <c r="L7032" i="1"/>
  <c r="M7032" i="1"/>
  <c r="N7032" i="1"/>
  <c r="O7032" i="1"/>
  <c r="P7032" i="1"/>
  <c r="Q7032" i="1"/>
  <c r="R7032" i="1"/>
  <c r="S7032" i="1"/>
  <c r="T7032" i="1"/>
  <c r="U7032" i="1"/>
  <c r="V7032" i="1"/>
  <c r="W7032" i="1"/>
  <c r="X7032" i="1"/>
  <c r="Y7032" i="1"/>
  <c r="Z7032" i="1"/>
  <c r="A7033" i="1"/>
  <c r="B7033" i="1"/>
  <c r="C7033" i="1"/>
  <c r="D7033" i="1"/>
  <c r="E7033" i="1"/>
  <c r="F7033" i="1"/>
  <c r="G7033" i="1"/>
  <c r="I7033" i="1"/>
  <c r="J7033" i="1"/>
  <c r="K7033" i="1"/>
  <c r="L7033" i="1"/>
  <c r="M7033" i="1"/>
  <c r="N7033" i="1"/>
  <c r="O7033" i="1"/>
  <c r="P7033" i="1"/>
  <c r="Q7033" i="1"/>
  <c r="R7033" i="1"/>
  <c r="S7033" i="1"/>
  <c r="T7033" i="1"/>
  <c r="U7033" i="1"/>
  <c r="V7033" i="1"/>
  <c r="W7033" i="1"/>
  <c r="X7033" i="1"/>
  <c r="Y7033" i="1"/>
  <c r="Z7033" i="1"/>
  <c r="A7034" i="1"/>
  <c r="B7034" i="1"/>
  <c r="C7034" i="1"/>
  <c r="D7034" i="1"/>
  <c r="E7034" i="1"/>
  <c r="F7034" i="1"/>
  <c r="G7034" i="1"/>
  <c r="I7034" i="1"/>
  <c r="J7034" i="1"/>
  <c r="K7034" i="1"/>
  <c r="L7034" i="1"/>
  <c r="M7034" i="1"/>
  <c r="N7034" i="1"/>
  <c r="O7034" i="1"/>
  <c r="P7034" i="1"/>
  <c r="Q7034" i="1"/>
  <c r="R7034" i="1"/>
  <c r="S7034" i="1"/>
  <c r="T7034" i="1"/>
  <c r="U7034" i="1"/>
  <c r="V7034" i="1"/>
  <c r="W7034" i="1"/>
  <c r="X7034" i="1"/>
  <c r="Y7034" i="1"/>
  <c r="Z7034" i="1"/>
  <c r="A7035" i="1"/>
  <c r="B7035" i="1"/>
  <c r="C7035" i="1"/>
  <c r="D7035" i="1"/>
  <c r="E7035" i="1"/>
  <c r="F7035" i="1"/>
  <c r="G7035" i="1"/>
  <c r="I7035" i="1"/>
  <c r="J7035" i="1"/>
  <c r="K7035" i="1"/>
  <c r="L7035" i="1"/>
  <c r="M7035" i="1"/>
  <c r="N7035" i="1"/>
  <c r="O7035" i="1"/>
  <c r="P7035" i="1"/>
  <c r="Q7035" i="1"/>
  <c r="R7035" i="1"/>
  <c r="S7035" i="1"/>
  <c r="T7035" i="1"/>
  <c r="U7035" i="1"/>
  <c r="V7035" i="1"/>
  <c r="W7035" i="1"/>
  <c r="X7035" i="1"/>
  <c r="Y7035" i="1"/>
  <c r="Z7035" i="1"/>
  <c r="A7036" i="1"/>
  <c r="B7036" i="1"/>
  <c r="C7036" i="1"/>
  <c r="D7036" i="1"/>
  <c r="E7036" i="1"/>
  <c r="F7036" i="1"/>
  <c r="G7036" i="1"/>
  <c r="I7036" i="1"/>
  <c r="J7036" i="1"/>
  <c r="K7036" i="1"/>
  <c r="L7036" i="1"/>
  <c r="M7036" i="1"/>
  <c r="N7036" i="1"/>
  <c r="O7036" i="1"/>
  <c r="P7036" i="1"/>
  <c r="Q7036" i="1"/>
  <c r="R7036" i="1"/>
  <c r="S7036" i="1"/>
  <c r="T7036" i="1"/>
  <c r="U7036" i="1"/>
  <c r="V7036" i="1"/>
  <c r="W7036" i="1"/>
  <c r="X7036" i="1"/>
  <c r="Y7036" i="1"/>
  <c r="Z7036" i="1"/>
  <c r="A7037" i="1"/>
  <c r="B7037" i="1"/>
  <c r="C7037" i="1"/>
  <c r="D7037" i="1"/>
  <c r="E7037" i="1"/>
  <c r="F7037" i="1"/>
  <c r="G7037" i="1"/>
  <c r="I7037" i="1"/>
  <c r="J7037" i="1"/>
  <c r="K7037" i="1"/>
  <c r="L7037" i="1"/>
  <c r="M7037" i="1"/>
  <c r="N7037" i="1"/>
  <c r="O7037" i="1"/>
  <c r="P7037" i="1"/>
  <c r="Q7037" i="1"/>
  <c r="R7037" i="1"/>
  <c r="S7037" i="1"/>
  <c r="T7037" i="1"/>
  <c r="U7037" i="1"/>
  <c r="V7037" i="1"/>
  <c r="W7037" i="1"/>
  <c r="X7037" i="1"/>
  <c r="Y7037" i="1"/>
  <c r="Z7037" i="1"/>
  <c r="A7038" i="1"/>
  <c r="B7038" i="1"/>
  <c r="C7038" i="1"/>
  <c r="D7038" i="1"/>
  <c r="E7038" i="1"/>
  <c r="F7038" i="1"/>
  <c r="G7038" i="1"/>
  <c r="I7038" i="1"/>
  <c r="J7038" i="1"/>
  <c r="K7038" i="1"/>
  <c r="L7038" i="1"/>
  <c r="M7038" i="1"/>
  <c r="N7038" i="1"/>
  <c r="O7038" i="1"/>
  <c r="P7038" i="1"/>
  <c r="Q7038" i="1"/>
  <c r="R7038" i="1"/>
  <c r="S7038" i="1"/>
  <c r="T7038" i="1"/>
  <c r="U7038" i="1"/>
  <c r="V7038" i="1"/>
  <c r="W7038" i="1"/>
  <c r="X7038" i="1"/>
  <c r="Y7038" i="1"/>
  <c r="Z7038" i="1"/>
  <c r="A7039" i="1"/>
  <c r="B7039" i="1"/>
  <c r="C7039" i="1"/>
  <c r="D7039" i="1"/>
  <c r="E7039" i="1"/>
  <c r="F7039" i="1"/>
  <c r="G7039" i="1"/>
  <c r="I7039" i="1"/>
  <c r="J7039" i="1"/>
  <c r="K7039" i="1"/>
  <c r="L7039" i="1"/>
  <c r="M7039" i="1"/>
  <c r="N7039" i="1"/>
  <c r="O7039" i="1"/>
  <c r="P7039" i="1"/>
  <c r="Q7039" i="1"/>
  <c r="R7039" i="1"/>
  <c r="S7039" i="1"/>
  <c r="T7039" i="1"/>
  <c r="U7039" i="1"/>
  <c r="V7039" i="1"/>
  <c r="W7039" i="1"/>
  <c r="X7039" i="1"/>
  <c r="Y7039" i="1"/>
  <c r="Z7039" i="1"/>
  <c r="A7040" i="1"/>
  <c r="B7040" i="1"/>
  <c r="C7040" i="1"/>
  <c r="D7040" i="1"/>
  <c r="E7040" i="1"/>
  <c r="F7040" i="1"/>
  <c r="G7040" i="1"/>
  <c r="I7040" i="1"/>
  <c r="J7040" i="1"/>
  <c r="K7040" i="1"/>
  <c r="L7040" i="1"/>
  <c r="M7040" i="1"/>
  <c r="N7040" i="1"/>
  <c r="O7040" i="1"/>
  <c r="P7040" i="1"/>
  <c r="Q7040" i="1"/>
  <c r="R7040" i="1"/>
  <c r="S7040" i="1"/>
  <c r="T7040" i="1"/>
  <c r="U7040" i="1"/>
  <c r="V7040" i="1"/>
  <c r="W7040" i="1"/>
  <c r="X7040" i="1"/>
  <c r="Y7040" i="1"/>
  <c r="Z7040" i="1"/>
  <c r="A7041" i="1"/>
  <c r="B7041" i="1"/>
  <c r="C7041" i="1"/>
  <c r="D7041" i="1"/>
  <c r="E7041" i="1"/>
  <c r="F7041" i="1"/>
  <c r="G7041" i="1"/>
  <c r="I7041" i="1"/>
  <c r="J7041" i="1"/>
  <c r="K7041" i="1"/>
  <c r="L7041" i="1"/>
  <c r="M7041" i="1"/>
  <c r="N7041" i="1"/>
  <c r="O7041" i="1"/>
  <c r="P7041" i="1"/>
  <c r="Q7041" i="1"/>
  <c r="R7041" i="1"/>
  <c r="S7041" i="1"/>
  <c r="T7041" i="1"/>
  <c r="U7041" i="1"/>
  <c r="V7041" i="1"/>
  <c r="W7041" i="1"/>
  <c r="X7041" i="1"/>
  <c r="Y7041" i="1"/>
  <c r="Z7041" i="1"/>
  <c r="A7042" i="1"/>
  <c r="B7042" i="1"/>
  <c r="C7042" i="1"/>
  <c r="D7042" i="1"/>
  <c r="E7042" i="1"/>
  <c r="F7042" i="1"/>
  <c r="G7042" i="1"/>
  <c r="I7042" i="1"/>
  <c r="J7042" i="1"/>
  <c r="K7042" i="1"/>
  <c r="L7042" i="1"/>
  <c r="M7042" i="1"/>
  <c r="N7042" i="1"/>
  <c r="O7042" i="1"/>
  <c r="P7042" i="1"/>
  <c r="Q7042" i="1"/>
  <c r="R7042" i="1"/>
  <c r="S7042" i="1"/>
  <c r="T7042" i="1"/>
  <c r="U7042" i="1"/>
  <c r="V7042" i="1"/>
  <c r="W7042" i="1"/>
  <c r="X7042" i="1"/>
  <c r="Y7042" i="1"/>
  <c r="Z7042" i="1"/>
  <c r="A7043" i="1"/>
  <c r="B7043" i="1"/>
  <c r="C7043" i="1"/>
  <c r="D7043" i="1"/>
  <c r="E7043" i="1"/>
  <c r="F7043" i="1"/>
  <c r="G7043" i="1"/>
  <c r="I7043" i="1"/>
  <c r="J7043" i="1"/>
  <c r="K7043" i="1"/>
  <c r="L7043" i="1"/>
  <c r="M7043" i="1"/>
  <c r="N7043" i="1"/>
  <c r="O7043" i="1"/>
  <c r="P7043" i="1"/>
  <c r="Q7043" i="1"/>
  <c r="R7043" i="1"/>
  <c r="S7043" i="1"/>
  <c r="T7043" i="1"/>
  <c r="U7043" i="1"/>
  <c r="V7043" i="1"/>
  <c r="W7043" i="1"/>
  <c r="X7043" i="1"/>
  <c r="Y7043" i="1"/>
  <c r="Z7043" i="1"/>
  <c r="A7044" i="1"/>
  <c r="B7044" i="1"/>
  <c r="C7044" i="1"/>
  <c r="D7044" i="1"/>
  <c r="E7044" i="1"/>
  <c r="F7044" i="1"/>
  <c r="G7044" i="1"/>
  <c r="I7044" i="1"/>
  <c r="J7044" i="1"/>
  <c r="K7044" i="1"/>
  <c r="L7044" i="1"/>
  <c r="M7044" i="1"/>
  <c r="N7044" i="1"/>
  <c r="O7044" i="1"/>
  <c r="P7044" i="1"/>
  <c r="Q7044" i="1"/>
  <c r="R7044" i="1"/>
  <c r="S7044" i="1"/>
  <c r="T7044" i="1"/>
  <c r="U7044" i="1"/>
  <c r="V7044" i="1"/>
  <c r="W7044" i="1"/>
  <c r="X7044" i="1"/>
  <c r="Y7044" i="1"/>
  <c r="Z7044" i="1"/>
  <c r="A7045" i="1"/>
  <c r="B7045" i="1"/>
  <c r="C7045" i="1"/>
  <c r="D7045" i="1"/>
  <c r="E7045" i="1"/>
  <c r="F7045" i="1"/>
  <c r="G7045" i="1"/>
  <c r="I7045" i="1"/>
  <c r="J7045" i="1"/>
  <c r="K7045" i="1"/>
  <c r="L7045" i="1"/>
  <c r="M7045" i="1"/>
  <c r="N7045" i="1"/>
  <c r="O7045" i="1"/>
  <c r="P7045" i="1"/>
  <c r="Q7045" i="1"/>
  <c r="R7045" i="1"/>
  <c r="S7045" i="1"/>
  <c r="T7045" i="1"/>
  <c r="U7045" i="1"/>
  <c r="V7045" i="1"/>
  <c r="W7045" i="1"/>
  <c r="X7045" i="1"/>
  <c r="Y7045" i="1"/>
  <c r="Z7045" i="1"/>
  <c r="A7046" i="1"/>
  <c r="B7046" i="1"/>
  <c r="C7046" i="1"/>
  <c r="D7046" i="1"/>
  <c r="E7046" i="1"/>
  <c r="F7046" i="1"/>
  <c r="G7046" i="1"/>
  <c r="I7046" i="1"/>
  <c r="J7046" i="1"/>
  <c r="K7046" i="1"/>
  <c r="L7046" i="1"/>
  <c r="M7046" i="1"/>
  <c r="N7046" i="1"/>
  <c r="O7046" i="1"/>
  <c r="P7046" i="1"/>
  <c r="Q7046" i="1"/>
  <c r="R7046" i="1"/>
  <c r="S7046" i="1"/>
  <c r="T7046" i="1"/>
  <c r="U7046" i="1"/>
  <c r="V7046" i="1"/>
  <c r="W7046" i="1"/>
  <c r="X7046" i="1"/>
  <c r="Y7046" i="1"/>
  <c r="Z7046" i="1"/>
  <c r="A7047" i="1"/>
  <c r="B7047" i="1"/>
  <c r="C7047" i="1"/>
  <c r="D7047" i="1"/>
  <c r="E7047" i="1"/>
  <c r="F7047" i="1"/>
  <c r="G7047" i="1"/>
  <c r="I7047" i="1"/>
  <c r="J7047" i="1"/>
  <c r="K7047" i="1"/>
  <c r="L7047" i="1"/>
  <c r="M7047" i="1"/>
  <c r="N7047" i="1"/>
  <c r="O7047" i="1"/>
  <c r="P7047" i="1"/>
  <c r="Q7047" i="1"/>
  <c r="R7047" i="1"/>
  <c r="S7047" i="1"/>
  <c r="T7047" i="1"/>
  <c r="U7047" i="1"/>
  <c r="V7047" i="1"/>
  <c r="W7047" i="1"/>
  <c r="X7047" i="1"/>
  <c r="Y7047" i="1"/>
  <c r="Z7047" i="1"/>
  <c r="A7048" i="1"/>
  <c r="B7048" i="1"/>
  <c r="C7048" i="1"/>
  <c r="D7048" i="1"/>
  <c r="E7048" i="1"/>
  <c r="F7048" i="1"/>
  <c r="G7048" i="1"/>
  <c r="I7048" i="1"/>
  <c r="J7048" i="1"/>
  <c r="K7048" i="1"/>
  <c r="L7048" i="1"/>
  <c r="M7048" i="1"/>
  <c r="N7048" i="1"/>
  <c r="O7048" i="1"/>
  <c r="P7048" i="1"/>
  <c r="Q7048" i="1"/>
  <c r="R7048" i="1"/>
  <c r="S7048" i="1"/>
  <c r="T7048" i="1"/>
  <c r="U7048" i="1"/>
  <c r="V7048" i="1"/>
  <c r="W7048" i="1"/>
  <c r="X7048" i="1"/>
  <c r="Y7048" i="1"/>
  <c r="Z7048" i="1"/>
  <c r="A7049" i="1"/>
  <c r="B7049" i="1"/>
  <c r="C7049" i="1"/>
  <c r="D7049" i="1"/>
  <c r="E7049" i="1"/>
  <c r="F7049" i="1"/>
  <c r="G7049" i="1"/>
  <c r="I7049" i="1"/>
  <c r="J7049" i="1"/>
  <c r="K7049" i="1"/>
  <c r="L7049" i="1"/>
  <c r="M7049" i="1"/>
  <c r="N7049" i="1"/>
  <c r="O7049" i="1"/>
  <c r="P7049" i="1"/>
  <c r="Q7049" i="1"/>
  <c r="R7049" i="1"/>
  <c r="S7049" i="1"/>
  <c r="T7049" i="1"/>
  <c r="U7049" i="1"/>
  <c r="V7049" i="1"/>
  <c r="W7049" i="1"/>
  <c r="X7049" i="1"/>
  <c r="Y7049" i="1"/>
  <c r="Z7049" i="1"/>
  <c r="A7050" i="1"/>
  <c r="B7050" i="1"/>
  <c r="C7050" i="1"/>
  <c r="D7050" i="1"/>
  <c r="E7050" i="1"/>
  <c r="F7050" i="1"/>
  <c r="G7050" i="1"/>
  <c r="I7050" i="1"/>
  <c r="J7050" i="1"/>
  <c r="K7050" i="1"/>
  <c r="L7050" i="1"/>
  <c r="M7050" i="1"/>
  <c r="N7050" i="1"/>
  <c r="O7050" i="1"/>
  <c r="P7050" i="1"/>
  <c r="Q7050" i="1"/>
  <c r="R7050" i="1"/>
  <c r="S7050" i="1"/>
  <c r="T7050" i="1"/>
  <c r="U7050" i="1"/>
  <c r="V7050" i="1"/>
  <c r="W7050" i="1"/>
  <c r="X7050" i="1"/>
  <c r="Y7050" i="1"/>
  <c r="Z7050" i="1"/>
  <c r="A7051" i="1"/>
  <c r="B7051" i="1"/>
  <c r="C7051" i="1"/>
  <c r="D7051" i="1"/>
  <c r="E7051" i="1"/>
  <c r="F7051" i="1"/>
  <c r="G7051" i="1"/>
  <c r="I7051" i="1"/>
  <c r="J7051" i="1"/>
  <c r="K7051" i="1"/>
  <c r="L7051" i="1"/>
  <c r="M7051" i="1"/>
  <c r="N7051" i="1"/>
  <c r="O7051" i="1"/>
  <c r="P7051" i="1"/>
  <c r="Q7051" i="1"/>
  <c r="R7051" i="1"/>
  <c r="S7051" i="1"/>
  <c r="T7051" i="1"/>
  <c r="U7051" i="1"/>
  <c r="V7051" i="1"/>
  <c r="W7051" i="1"/>
  <c r="X7051" i="1"/>
  <c r="Y7051" i="1"/>
  <c r="Z7051" i="1"/>
  <c r="A7052" i="1"/>
  <c r="B7052" i="1"/>
  <c r="C7052" i="1"/>
  <c r="D7052" i="1"/>
  <c r="E7052" i="1"/>
  <c r="F7052" i="1"/>
  <c r="G7052" i="1"/>
  <c r="I7052" i="1"/>
  <c r="J7052" i="1"/>
  <c r="K7052" i="1"/>
  <c r="L7052" i="1"/>
  <c r="M7052" i="1"/>
  <c r="N7052" i="1"/>
  <c r="O7052" i="1"/>
  <c r="P7052" i="1"/>
  <c r="Q7052" i="1"/>
  <c r="R7052" i="1"/>
  <c r="S7052" i="1"/>
  <c r="T7052" i="1"/>
  <c r="U7052" i="1"/>
  <c r="V7052" i="1"/>
  <c r="W7052" i="1"/>
  <c r="X7052" i="1"/>
  <c r="Y7052" i="1"/>
  <c r="Z7052" i="1"/>
  <c r="A7053" i="1"/>
  <c r="B7053" i="1"/>
  <c r="C7053" i="1"/>
  <c r="D7053" i="1"/>
  <c r="E7053" i="1"/>
  <c r="F7053" i="1"/>
  <c r="G7053" i="1"/>
  <c r="I7053" i="1"/>
  <c r="J7053" i="1"/>
  <c r="K7053" i="1"/>
  <c r="L7053" i="1"/>
  <c r="M7053" i="1"/>
  <c r="N7053" i="1"/>
  <c r="O7053" i="1"/>
  <c r="P7053" i="1"/>
  <c r="Q7053" i="1"/>
  <c r="R7053" i="1"/>
  <c r="S7053" i="1"/>
  <c r="T7053" i="1"/>
  <c r="U7053" i="1"/>
  <c r="V7053" i="1"/>
  <c r="W7053" i="1"/>
  <c r="X7053" i="1"/>
  <c r="Y7053" i="1"/>
  <c r="Z7053" i="1"/>
  <c r="A7054" i="1"/>
  <c r="B7054" i="1"/>
  <c r="C7054" i="1"/>
  <c r="D7054" i="1"/>
  <c r="E7054" i="1"/>
  <c r="F7054" i="1"/>
  <c r="G7054" i="1"/>
  <c r="I7054" i="1"/>
  <c r="J7054" i="1"/>
  <c r="K7054" i="1"/>
  <c r="L7054" i="1"/>
  <c r="M7054" i="1"/>
  <c r="N7054" i="1"/>
  <c r="O7054" i="1"/>
  <c r="P7054" i="1"/>
  <c r="Q7054" i="1"/>
  <c r="R7054" i="1"/>
  <c r="S7054" i="1"/>
  <c r="T7054" i="1"/>
  <c r="U7054" i="1"/>
  <c r="V7054" i="1"/>
  <c r="W7054" i="1"/>
  <c r="X7054" i="1"/>
  <c r="Y7054" i="1"/>
  <c r="Z7054" i="1"/>
  <c r="A7055" i="1"/>
  <c r="B7055" i="1"/>
  <c r="C7055" i="1"/>
  <c r="D7055" i="1"/>
  <c r="E7055" i="1"/>
  <c r="F7055" i="1"/>
  <c r="G7055" i="1"/>
  <c r="I7055" i="1"/>
  <c r="J7055" i="1"/>
  <c r="K7055" i="1"/>
  <c r="L7055" i="1"/>
  <c r="M7055" i="1"/>
  <c r="N7055" i="1"/>
  <c r="O7055" i="1"/>
  <c r="P7055" i="1"/>
  <c r="Q7055" i="1"/>
  <c r="R7055" i="1"/>
  <c r="S7055" i="1"/>
  <c r="T7055" i="1"/>
  <c r="U7055" i="1"/>
  <c r="V7055" i="1"/>
  <c r="W7055" i="1"/>
  <c r="X7055" i="1"/>
  <c r="Y7055" i="1"/>
  <c r="Z7055" i="1"/>
  <c r="A7056" i="1"/>
  <c r="B7056" i="1"/>
  <c r="C7056" i="1"/>
  <c r="D7056" i="1"/>
  <c r="E7056" i="1"/>
  <c r="F7056" i="1"/>
  <c r="G7056" i="1"/>
  <c r="I7056" i="1"/>
  <c r="J7056" i="1"/>
  <c r="K7056" i="1"/>
  <c r="L7056" i="1"/>
  <c r="M7056" i="1"/>
  <c r="N7056" i="1"/>
  <c r="O7056" i="1"/>
  <c r="P7056" i="1"/>
  <c r="Q7056" i="1"/>
  <c r="R7056" i="1"/>
  <c r="S7056" i="1"/>
  <c r="T7056" i="1"/>
  <c r="U7056" i="1"/>
  <c r="V7056" i="1"/>
  <c r="W7056" i="1"/>
  <c r="X7056" i="1"/>
  <c r="Y7056" i="1"/>
  <c r="Z7056" i="1"/>
  <c r="A7057" i="1"/>
  <c r="B7057" i="1"/>
  <c r="C7057" i="1"/>
  <c r="D7057" i="1"/>
  <c r="E7057" i="1"/>
  <c r="F7057" i="1"/>
  <c r="G7057" i="1"/>
  <c r="I7057" i="1"/>
  <c r="J7057" i="1"/>
  <c r="K7057" i="1"/>
  <c r="L7057" i="1"/>
  <c r="M7057" i="1"/>
  <c r="N7057" i="1"/>
  <c r="O7057" i="1"/>
  <c r="P7057" i="1"/>
  <c r="Q7057" i="1"/>
  <c r="R7057" i="1"/>
  <c r="S7057" i="1"/>
  <c r="T7057" i="1"/>
  <c r="U7057" i="1"/>
  <c r="V7057" i="1"/>
  <c r="W7057" i="1"/>
  <c r="X7057" i="1"/>
  <c r="Y7057" i="1"/>
  <c r="Z7057" i="1"/>
  <c r="A7058" i="1"/>
  <c r="B7058" i="1"/>
  <c r="C7058" i="1"/>
  <c r="D7058" i="1"/>
  <c r="E7058" i="1"/>
  <c r="F7058" i="1"/>
  <c r="G7058" i="1"/>
  <c r="I7058" i="1"/>
  <c r="J7058" i="1"/>
  <c r="K7058" i="1"/>
  <c r="L7058" i="1"/>
  <c r="M7058" i="1"/>
  <c r="N7058" i="1"/>
  <c r="O7058" i="1"/>
  <c r="P7058" i="1"/>
  <c r="Q7058" i="1"/>
  <c r="R7058" i="1"/>
  <c r="S7058" i="1"/>
  <c r="T7058" i="1"/>
  <c r="U7058" i="1"/>
  <c r="V7058" i="1"/>
  <c r="W7058" i="1"/>
  <c r="X7058" i="1"/>
  <c r="Y7058" i="1"/>
  <c r="Z7058" i="1"/>
  <c r="A7059" i="1"/>
  <c r="B7059" i="1"/>
  <c r="C7059" i="1"/>
  <c r="D7059" i="1"/>
  <c r="E7059" i="1"/>
  <c r="F7059" i="1"/>
  <c r="G7059" i="1"/>
  <c r="I7059" i="1"/>
  <c r="J7059" i="1"/>
  <c r="K7059" i="1"/>
  <c r="L7059" i="1"/>
  <c r="M7059" i="1"/>
  <c r="N7059" i="1"/>
  <c r="O7059" i="1"/>
  <c r="P7059" i="1"/>
  <c r="Q7059" i="1"/>
  <c r="R7059" i="1"/>
  <c r="S7059" i="1"/>
  <c r="T7059" i="1"/>
  <c r="U7059" i="1"/>
  <c r="V7059" i="1"/>
  <c r="W7059" i="1"/>
  <c r="X7059" i="1"/>
  <c r="Y7059" i="1"/>
  <c r="Z7059" i="1"/>
  <c r="A7060" i="1"/>
  <c r="B7060" i="1"/>
  <c r="C7060" i="1"/>
  <c r="D7060" i="1"/>
  <c r="E7060" i="1"/>
  <c r="F7060" i="1"/>
  <c r="G7060" i="1"/>
  <c r="I7060" i="1"/>
  <c r="J7060" i="1"/>
  <c r="K7060" i="1"/>
  <c r="L7060" i="1"/>
  <c r="M7060" i="1"/>
  <c r="N7060" i="1"/>
  <c r="O7060" i="1"/>
  <c r="P7060" i="1"/>
  <c r="Q7060" i="1"/>
  <c r="R7060" i="1"/>
  <c r="S7060" i="1"/>
  <c r="T7060" i="1"/>
  <c r="U7060" i="1"/>
  <c r="V7060" i="1"/>
  <c r="W7060" i="1"/>
  <c r="X7060" i="1"/>
  <c r="Y7060" i="1"/>
  <c r="Z7060" i="1"/>
  <c r="A7061" i="1"/>
  <c r="B7061" i="1"/>
  <c r="C7061" i="1"/>
  <c r="D7061" i="1"/>
  <c r="E7061" i="1"/>
  <c r="F7061" i="1"/>
  <c r="G7061" i="1"/>
  <c r="I7061" i="1"/>
  <c r="J7061" i="1"/>
  <c r="K7061" i="1"/>
  <c r="L7061" i="1"/>
  <c r="M7061" i="1"/>
  <c r="N7061" i="1"/>
  <c r="O7061" i="1"/>
  <c r="P7061" i="1"/>
  <c r="Q7061" i="1"/>
  <c r="R7061" i="1"/>
  <c r="S7061" i="1"/>
  <c r="T7061" i="1"/>
  <c r="U7061" i="1"/>
  <c r="V7061" i="1"/>
  <c r="W7061" i="1"/>
  <c r="X7061" i="1"/>
  <c r="Y7061" i="1"/>
  <c r="Z7061" i="1"/>
  <c r="A7062" i="1"/>
  <c r="B7062" i="1"/>
  <c r="C7062" i="1"/>
  <c r="D7062" i="1"/>
  <c r="E7062" i="1"/>
  <c r="F7062" i="1"/>
  <c r="G7062" i="1"/>
  <c r="I7062" i="1"/>
  <c r="J7062" i="1"/>
  <c r="K7062" i="1"/>
  <c r="L7062" i="1"/>
  <c r="M7062" i="1"/>
  <c r="N7062" i="1"/>
  <c r="O7062" i="1"/>
  <c r="P7062" i="1"/>
  <c r="Q7062" i="1"/>
  <c r="R7062" i="1"/>
  <c r="S7062" i="1"/>
  <c r="T7062" i="1"/>
  <c r="U7062" i="1"/>
  <c r="V7062" i="1"/>
  <c r="W7062" i="1"/>
  <c r="X7062" i="1"/>
  <c r="Y7062" i="1"/>
  <c r="Z7062" i="1"/>
  <c r="A7063" i="1"/>
  <c r="B7063" i="1"/>
  <c r="C7063" i="1"/>
  <c r="D7063" i="1"/>
  <c r="E7063" i="1"/>
  <c r="F7063" i="1"/>
  <c r="G7063" i="1"/>
  <c r="I7063" i="1"/>
  <c r="J7063" i="1"/>
  <c r="K7063" i="1"/>
  <c r="L7063" i="1"/>
  <c r="M7063" i="1"/>
  <c r="N7063" i="1"/>
  <c r="O7063" i="1"/>
  <c r="P7063" i="1"/>
  <c r="Q7063" i="1"/>
  <c r="R7063" i="1"/>
  <c r="S7063" i="1"/>
  <c r="T7063" i="1"/>
  <c r="U7063" i="1"/>
  <c r="V7063" i="1"/>
  <c r="W7063" i="1"/>
  <c r="X7063" i="1"/>
  <c r="Y7063" i="1"/>
  <c r="Z7063" i="1"/>
  <c r="A7064" i="1"/>
  <c r="B7064" i="1"/>
  <c r="C7064" i="1"/>
  <c r="D7064" i="1"/>
  <c r="E7064" i="1"/>
  <c r="F7064" i="1"/>
  <c r="G7064" i="1"/>
  <c r="I7064" i="1"/>
  <c r="J7064" i="1"/>
  <c r="K7064" i="1"/>
  <c r="L7064" i="1"/>
  <c r="M7064" i="1"/>
  <c r="N7064" i="1"/>
  <c r="O7064" i="1"/>
  <c r="P7064" i="1"/>
  <c r="Q7064" i="1"/>
  <c r="R7064" i="1"/>
  <c r="S7064" i="1"/>
  <c r="T7064" i="1"/>
  <c r="U7064" i="1"/>
  <c r="V7064" i="1"/>
  <c r="W7064" i="1"/>
  <c r="X7064" i="1"/>
  <c r="Y7064" i="1"/>
  <c r="Z7064" i="1"/>
  <c r="A7065" i="1"/>
  <c r="B7065" i="1"/>
  <c r="C7065" i="1"/>
  <c r="D7065" i="1"/>
  <c r="E7065" i="1"/>
  <c r="F7065" i="1"/>
  <c r="G7065" i="1"/>
  <c r="I7065" i="1"/>
  <c r="J7065" i="1"/>
  <c r="K7065" i="1"/>
  <c r="L7065" i="1"/>
  <c r="M7065" i="1"/>
  <c r="N7065" i="1"/>
  <c r="O7065" i="1"/>
  <c r="P7065" i="1"/>
  <c r="Q7065" i="1"/>
  <c r="R7065" i="1"/>
  <c r="S7065" i="1"/>
  <c r="T7065" i="1"/>
  <c r="U7065" i="1"/>
  <c r="V7065" i="1"/>
  <c r="W7065" i="1"/>
  <c r="X7065" i="1"/>
  <c r="Y7065" i="1"/>
  <c r="Z7065" i="1"/>
  <c r="A7066" i="1"/>
  <c r="B7066" i="1"/>
  <c r="C7066" i="1"/>
  <c r="D7066" i="1"/>
  <c r="E7066" i="1"/>
  <c r="F7066" i="1"/>
  <c r="G7066" i="1"/>
  <c r="I7066" i="1"/>
  <c r="J7066" i="1"/>
  <c r="K7066" i="1"/>
  <c r="L7066" i="1"/>
  <c r="M7066" i="1"/>
  <c r="N7066" i="1"/>
  <c r="O7066" i="1"/>
  <c r="P7066" i="1"/>
  <c r="Q7066" i="1"/>
  <c r="R7066" i="1"/>
  <c r="S7066" i="1"/>
  <c r="T7066" i="1"/>
  <c r="U7066" i="1"/>
  <c r="V7066" i="1"/>
  <c r="W7066" i="1"/>
  <c r="X7066" i="1"/>
  <c r="Y7066" i="1"/>
  <c r="Z7066" i="1"/>
  <c r="A7067" i="1"/>
  <c r="B7067" i="1"/>
  <c r="C7067" i="1"/>
  <c r="D7067" i="1"/>
  <c r="E7067" i="1"/>
  <c r="F7067" i="1"/>
  <c r="G7067" i="1"/>
  <c r="I7067" i="1"/>
  <c r="J7067" i="1"/>
  <c r="K7067" i="1"/>
  <c r="L7067" i="1"/>
  <c r="M7067" i="1"/>
  <c r="N7067" i="1"/>
  <c r="O7067" i="1"/>
  <c r="P7067" i="1"/>
  <c r="Q7067" i="1"/>
  <c r="R7067" i="1"/>
  <c r="S7067" i="1"/>
  <c r="T7067" i="1"/>
  <c r="U7067" i="1"/>
  <c r="V7067" i="1"/>
  <c r="W7067" i="1"/>
  <c r="X7067" i="1"/>
  <c r="Y7067" i="1"/>
  <c r="Z7067" i="1"/>
  <c r="A7068" i="1"/>
  <c r="B7068" i="1"/>
  <c r="C7068" i="1"/>
  <c r="D7068" i="1"/>
  <c r="E7068" i="1"/>
  <c r="F7068" i="1"/>
  <c r="G7068" i="1"/>
  <c r="I7068" i="1"/>
  <c r="J7068" i="1"/>
  <c r="K7068" i="1"/>
  <c r="L7068" i="1"/>
  <c r="M7068" i="1"/>
  <c r="N7068" i="1"/>
  <c r="O7068" i="1"/>
  <c r="P7068" i="1"/>
  <c r="Q7068" i="1"/>
  <c r="R7068" i="1"/>
  <c r="S7068" i="1"/>
  <c r="T7068" i="1"/>
  <c r="U7068" i="1"/>
  <c r="V7068" i="1"/>
  <c r="W7068" i="1"/>
  <c r="X7068" i="1"/>
  <c r="Y7068" i="1"/>
  <c r="Z7068" i="1"/>
  <c r="A7069" i="1"/>
  <c r="B7069" i="1"/>
  <c r="C7069" i="1"/>
  <c r="D7069" i="1"/>
  <c r="E7069" i="1"/>
  <c r="F7069" i="1"/>
  <c r="G7069" i="1"/>
  <c r="I7069" i="1"/>
  <c r="J7069" i="1"/>
  <c r="K7069" i="1"/>
  <c r="L7069" i="1"/>
  <c r="M7069" i="1"/>
  <c r="N7069" i="1"/>
  <c r="O7069" i="1"/>
  <c r="P7069" i="1"/>
  <c r="Q7069" i="1"/>
  <c r="R7069" i="1"/>
  <c r="S7069" i="1"/>
  <c r="T7069" i="1"/>
  <c r="U7069" i="1"/>
  <c r="V7069" i="1"/>
  <c r="W7069" i="1"/>
  <c r="X7069" i="1"/>
  <c r="Y7069" i="1"/>
  <c r="Z7069" i="1"/>
  <c r="A7070" i="1"/>
  <c r="B7070" i="1"/>
  <c r="C7070" i="1"/>
  <c r="D7070" i="1"/>
  <c r="E7070" i="1"/>
  <c r="F7070" i="1"/>
  <c r="G7070" i="1"/>
  <c r="I7070" i="1"/>
  <c r="J7070" i="1"/>
  <c r="K7070" i="1"/>
  <c r="L7070" i="1"/>
  <c r="M7070" i="1"/>
  <c r="N7070" i="1"/>
  <c r="O7070" i="1"/>
  <c r="P7070" i="1"/>
  <c r="Q7070" i="1"/>
  <c r="R7070" i="1"/>
  <c r="S7070" i="1"/>
  <c r="T7070" i="1"/>
  <c r="U7070" i="1"/>
  <c r="V7070" i="1"/>
  <c r="W7070" i="1"/>
  <c r="X7070" i="1"/>
  <c r="Y7070" i="1"/>
  <c r="Z7070" i="1"/>
  <c r="A7071" i="1"/>
  <c r="B7071" i="1"/>
  <c r="C7071" i="1"/>
  <c r="D7071" i="1"/>
  <c r="E7071" i="1"/>
  <c r="F7071" i="1"/>
  <c r="G7071" i="1"/>
  <c r="I7071" i="1"/>
  <c r="J7071" i="1"/>
  <c r="K7071" i="1"/>
  <c r="L7071" i="1"/>
  <c r="M7071" i="1"/>
  <c r="N7071" i="1"/>
  <c r="O7071" i="1"/>
  <c r="P7071" i="1"/>
  <c r="Q7071" i="1"/>
  <c r="R7071" i="1"/>
  <c r="S7071" i="1"/>
  <c r="T7071" i="1"/>
  <c r="U7071" i="1"/>
  <c r="V7071" i="1"/>
  <c r="W7071" i="1"/>
  <c r="X7071" i="1"/>
  <c r="Y7071" i="1"/>
  <c r="Z7071" i="1"/>
  <c r="A7072" i="1"/>
  <c r="B7072" i="1"/>
  <c r="C7072" i="1"/>
  <c r="D7072" i="1"/>
  <c r="E7072" i="1"/>
  <c r="F7072" i="1"/>
  <c r="G7072" i="1"/>
  <c r="I7072" i="1"/>
  <c r="J7072" i="1"/>
  <c r="K7072" i="1"/>
  <c r="L7072" i="1"/>
  <c r="M7072" i="1"/>
  <c r="N7072" i="1"/>
  <c r="O7072" i="1"/>
  <c r="P7072" i="1"/>
  <c r="Q7072" i="1"/>
  <c r="R7072" i="1"/>
  <c r="S7072" i="1"/>
  <c r="T7072" i="1"/>
  <c r="U7072" i="1"/>
  <c r="V7072" i="1"/>
  <c r="W7072" i="1"/>
  <c r="X7072" i="1"/>
  <c r="Y7072" i="1"/>
  <c r="Z7072" i="1"/>
  <c r="A7073" i="1"/>
  <c r="B7073" i="1"/>
  <c r="C7073" i="1"/>
  <c r="D7073" i="1"/>
  <c r="E7073" i="1"/>
  <c r="F7073" i="1"/>
  <c r="G7073" i="1"/>
  <c r="I7073" i="1"/>
  <c r="J7073" i="1"/>
  <c r="K7073" i="1"/>
  <c r="L7073" i="1"/>
  <c r="M7073" i="1"/>
  <c r="N7073" i="1"/>
  <c r="O7073" i="1"/>
  <c r="P7073" i="1"/>
  <c r="Q7073" i="1"/>
  <c r="R7073" i="1"/>
  <c r="S7073" i="1"/>
  <c r="T7073" i="1"/>
  <c r="U7073" i="1"/>
  <c r="V7073" i="1"/>
  <c r="W7073" i="1"/>
  <c r="X7073" i="1"/>
  <c r="Y7073" i="1"/>
  <c r="Z7073" i="1"/>
  <c r="A7074" i="1"/>
  <c r="B7074" i="1"/>
  <c r="C7074" i="1"/>
  <c r="D7074" i="1"/>
  <c r="E7074" i="1"/>
  <c r="F7074" i="1"/>
  <c r="G7074" i="1"/>
  <c r="I7074" i="1"/>
  <c r="J7074" i="1"/>
  <c r="K7074" i="1"/>
  <c r="L7074" i="1"/>
  <c r="M7074" i="1"/>
  <c r="N7074" i="1"/>
  <c r="O7074" i="1"/>
  <c r="P7074" i="1"/>
  <c r="Q7074" i="1"/>
  <c r="R7074" i="1"/>
  <c r="S7074" i="1"/>
  <c r="T7074" i="1"/>
  <c r="U7074" i="1"/>
  <c r="V7074" i="1"/>
  <c r="W7074" i="1"/>
  <c r="X7074" i="1"/>
  <c r="Y7074" i="1"/>
  <c r="Z7074" i="1"/>
  <c r="A7075" i="1"/>
  <c r="B7075" i="1"/>
  <c r="C7075" i="1"/>
  <c r="D7075" i="1"/>
  <c r="E7075" i="1"/>
  <c r="F7075" i="1"/>
  <c r="G7075" i="1"/>
  <c r="I7075" i="1"/>
  <c r="J7075" i="1"/>
  <c r="K7075" i="1"/>
  <c r="L7075" i="1"/>
  <c r="M7075" i="1"/>
  <c r="N7075" i="1"/>
  <c r="O7075" i="1"/>
  <c r="P7075" i="1"/>
  <c r="Q7075" i="1"/>
  <c r="R7075" i="1"/>
  <c r="S7075" i="1"/>
  <c r="T7075" i="1"/>
  <c r="U7075" i="1"/>
  <c r="V7075" i="1"/>
  <c r="W7075" i="1"/>
  <c r="X7075" i="1"/>
  <c r="Y7075" i="1"/>
  <c r="Z7075" i="1"/>
  <c r="A7076" i="1"/>
  <c r="B7076" i="1"/>
  <c r="C7076" i="1"/>
  <c r="D7076" i="1"/>
  <c r="E7076" i="1"/>
  <c r="F7076" i="1"/>
  <c r="G7076" i="1"/>
  <c r="I7076" i="1"/>
  <c r="J7076" i="1"/>
  <c r="K7076" i="1"/>
  <c r="L7076" i="1"/>
  <c r="M7076" i="1"/>
  <c r="N7076" i="1"/>
  <c r="O7076" i="1"/>
  <c r="P7076" i="1"/>
  <c r="Q7076" i="1"/>
  <c r="R7076" i="1"/>
  <c r="S7076" i="1"/>
  <c r="T7076" i="1"/>
  <c r="U7076" i="1"/>
  <c r="V7076" i="1"/>
  <c r="W7076" i="1"/>
  <c r="X7076" i="1"/>
  <c r="Y7076" i="1"/>
  <c r="Z7076" i="1"/>
  <c r="A7077" i="1"/>
  <c r="B7077" i="1"/>
  <c r="C7077" i="1"/>
  <c r="D7077" i="1"/>
  <c r="E7077" i="1"/>
  <c r="F7077" i="1"/>
  <c r="G7077" i="1"/>
  <c r="I7077" i="1"/>
  <c r="J7077" i="1"/>
  <c r="K7077" i="1"/>
  <c r="L7077" i="1"/>
  <c r="M7077" i="1"/>
  <c r="N7077" i="1"/>
  <c r="O7077" i="1"/>
  <c r="P7077" i="1"/>
  <c r="Q7077" i="1"/>
  <c r="R7077" i="1"/>
  <c r="S7077" i="1"/>
  <c r="T7077" i="1"/>
  <c r="U7077" i="1"/>
  <c r="V7077" i="1"/>
  <c r="W7077" i="1"/>
  <c r="X7077" i="1"/>
  <c r="Y7077" i="1"/>
  <c r="Z7077" i="1"/>
  <c r="A7078" i="1"/>
  <c r="B7078" i="1"/>
  <c r="C7078" i="1"/>
  <c r="D7078" i="1"/>
  <c r="E7078" i="1"/>
  <c r="F7078" i="1"/>
  <c r="G7078" i="1"/>
  <c r="I7078" i="1"/>
  <c r="J7078" i="1"/>
  <c r="K7078" i="1"/>
  <c r="L7078" i="1"/>
  <c r="M7078" i="1"/>
  <c r="N7078" i="1"/>
  <c r="O7078" i="1"/>
  <c r="P7078" i="1"/>
  <c r="Q7078" i="1"/>
  <c r="R7078" i="1"/>
  <c r="S7078" i="1"/>
  <c r="T7078" i="1"/>
  <c r="U7078" i="1"/>
  <c r="V7078" i="1"/>
  <c r="W7078" i="1"/>
  <c r="X7078" i="1"/>
  <c r="Y7078" i="1"/>
  <c r="Z7078" i="1"/>
  <c r="A7079" i="1"/>
  <c r="B7079" i="1"/>
  <c r="C7079" i="1"/>
  <c r="D7079" i="1"/>
  <c r="E7079" i="1"/>
  <c r="F7079" i="1"/>
  <c r="G7079" i="1"/>
  <c r="I7079" i="1"/>
  <c r="J7079" i="1"/>
  <c r="K7079" i="1"/>
  <c r="L7079" i="1"/>
  <c r="M7079" i="1"/>
  <c r="N7079" i="1"/>
  <c r="O7079" i="1"/>
  <c r="P7079" i="1"/>
  <c r="Q7079" i="1"/>
  <c r="R7079" i="1"/>
  <c r="S7079" i="1"/>
  <c r="T7079" i="1"/>
  <c r="U7079" i="1"/>
  <c r="V7079" i="1"/>
  <c r="W7079" i="1"/>
  <c r="X7079" i="1"/>
  <c r="Y7079" i="1"/>
  <c r="Z7079" i="1"/>
  <c r="A7080" i="1"/>
  <c r="B7080" i="1"/>
  <c r="C7080" i="1"/>
  <c r="D7080" i="1"/>
  <c r="E7080" i="1"/>
  <c r="F7080" i="1"/>
  <c r="G7080" i="1"/>
  <c r="I7080" i="1"/>
  <c r="J7080" i="1"/>
  <c r="K7080" i="1"/>
  <c r="L7080" i="1"/>
  <c r="M7080" i="1"/>
  <c r="N7080" i="1"/>
  <c r="O7080" i="1"/>
  <c r="P7080" i="1"/>
  <c r="Q7080" i="1"/>
  <c r="R7080" i="1"/>
  <c r="S7080" i="1"/>
  <c r="T7080" i="1"/>
  <c r="U7080" i="1"/>
  <c r="V7080" i="1"/>
  <c r="W7080" i="1"/>
  <c r="X7080" i="1"/>
  <c r="Y7080" i="1"/>
  <c r="Z7080" i="1"/>
  <c r="A7081" i="1"/>
  <c r="B7081" i="1"/>
  <c r="C7081" i="1"/>
  <c r="D7081" i="1"/>
  <c r="E7081" i="1"/>
  <c r="F7081" i="1"/>
  <c r="G7081" i="1"/>
  <c r="I7081" i="1"/>
  <c r="J7081" i="1"/>
  <c r="K7081" i="1"/>
  <c r="L7081" i="1"/>
  <c r="M7081" i="1"/>
  <c r="N7081" i="1"/>
  <c r="O7081" i="1"/>
  <c r="P7081" i="1"/>
  <c r="Q7081" i="1"/>
  <c r="R7081" i="1"/>
  <c r="S7081" i="1"/>
  <c r="T7081" i="1"/>
  <c r="U7081" i="1"/>
  <c r="V7081" i="1"/>
  <c r="W7081" i="1"/>
  <c r="X7081" i="1"/>
  <c r="Y7081" i="1"/>
  <c r="Z7081" i="1"/>
  <c r="A7082" i="1"/>
  <c r="B7082" i="1"/>
  <c r="C7082" i="1"/>
  <c r="D7082" i="1"/>
  <c r="E7082" i="1"/>
  <c r="F7082" i="1"/>
  <c r="G7082" i="1"/>
  <c r="I7082" i="1"/>
  <c r="J7082" i="1"/>
  <c r="K7082" i="1"/>
  <c r="L7082" i="1"/>
  <c r="M7082" i="1"/>
  <c r="N7082" i="1"/>
  <c r="O7082" i="1"/>
  <c r="P7082" i="1"/>
  <c r="Q7082" i="1"/>
  <c r="R7082" i="1"/>
  <c r="S7082" i="1"/>
  <c r="T7082" i="1"/>
  <c r="U7082" i="1"/>
  <c r="V7082" i="1"/>
  <c r="W7082" i="1"/>
  <c r="X7082" i="1"/>
  <c r="Y7082" i="1"/>
  <c r="Z7082" i="1"/>
  <c r="A7083" i="1"/>
  <c r="B7083" i="1"/>
  <c r="C7083" i="1"/>
  <c r="D7083" i="1"/>
  <c r="E7083" i="1"/>
  <c r="F7083" i="1"/>
  <c r="G7083" i="1"/>
  <c r="I7083" i="1"/>
  <c r="J7083" i="1"/>
  <c r="K7083" i="1"/>
  <c r="L7083" i="1"/>
  <c r="M7083" i="1"/>
  <c r="N7083" i="1"/>
  <c r="O7083" i="1"/>
  <c r="P7083" i="1"/>
  <c r="Q7083" i="1"/>
  <c r="R7083" i="1"/>
  <c r="S7083" i="1"/>
  <c r="T7083" i="1"/>
  <c r="U7083" i="1"/>
  <c r="V7083" i="1"/>
  <c r="W7083" i="1"/>
  <c r="X7083" i="1"/>
  <c r="Y7083" i="1"/>
  <c r="Z7083" i="1"/>
  <c r="A7084" i="1"/>
  <c r="B7084" i="1"/>
  <c r="C7084" i="1"/>
  <c r="D7084" i="1"/>
  <c r="E7084" i="1"/>
  <c r="F7084" i="1"/>
  <c r="G7084" i="1"/>
  <c r="I7084" i="1"/>
  <c r="J7084" i="1"/>
  <c r="K7084" i="1"/>
  <c r="L7084" i="1"/>
  <c r="M7084" i="1"/>
  <c r="N7084" i="1"/>
  <c r="O7084" i="1"/>
  <c r="P7084" i="1"/>
  <c r="Q7084" i="1"/>
  <c r="R7084" i="1"/>
  <c r="S7084" i="1"/>
  <c r="T7084" i="1"/>
  <c r="U7084" i="1"/>
  <c r="V7084" i="1"/>
  <c r="W7084" i="1"/>
  <c r="X7084" i="1"/>
  <c r="Y7084" i="1"/>
  <c r="Z7084" i="1"/>
  <c r="A7085" i="1"/>
  <c r="B7085" i="1"/>
  <c r="C7085" i="1"/>
  <c r="D7085" i="1"/>
  <c r="E7085" i="1"/>
  <c r="F7085" i="1"/>
  <c r="G7085" i="1"/>
  <c r="I7085" i="1"/>
  <c r="J7085" i="1"/>
  <c r="K7085" i="1"/>
  <c r="L7085" i="1"/>
  <c r="M7085" i="1"/>
  <c r="N7085" i="1"/>
  <c r="O7085" i="1"/>
  <c r="P7085" i="1"/>
  <c r="Q7085" i="1"/>
  <c r="R7085" i="1"/>
  <c r="S7085" i="1"/>
  <c r="T7085" i="1"/>
  <c r="U7085" i="1"/>
  <c r="V7085" i="1"/>
  <c r="W7085" i="1"/>
  <c r="X7085" i="1"/>
  <c r="Y7085" i="1"/>
  <c r="Z7085" i="1"/>
  <c r="A7086" i="1"/>
  <c r="B7086" i="1"/>
  <c r="C7086" i="1"/>
  <c r="D7086" i="1"/>
  <c r="E7086" i="1"/>
  <c r="F7086" i="1"/>
  <c r="G7086" i="1"/>
  <c r="I7086" i="1"/>
  <c r="J7086" i="1"/>
  <c r="K7086" i="1"/>
  <c r="L7086" i="1"/>
  <c r="M7086" i="1"/>
  <c r="N7086" i="1"/>
  <c r="O7086" i="1"/>
  <c r="P7086" i="1"/>
  <c r="Q7086" i="1"/>
  <c r="R7086" i="1"/>
  <c r="S7086" i="1"/>
  <c r="T7086" i="1"/>
  <c r="U7086" i="1"/>
  <c r="V7086" i="1"/>
  <c r="W7086" i="1"/>
  <c r="X7086" i="1"/>
  <c r="Y7086" i="1"/>
  <c r="Z7086" i="1"/>
  <c r="A7087" i="1"/>
  <c r="B7087" i="1"/>
  <c r="C7087" i="1"/>
  <c r="D7087" i="1"/>
  <c r="E7087" i="1"/>
  <c r="F7087" i="1"/>
  <c r="G7087" i="1"/>
  <c r="I7087" i="1"/>
  <c r="J7087" i="1"/>
  <c r="K7087" i="1"/>
  <c r="L7087" i="1"/>
  <c r="M7087" i="1"/>
  <c r="N7087" i="1"/>
  <c r="O7087" i="1"/>
  <c r="P7087" i="1"/>
  <c r="Q7087" i="1"/>
  <c r="R7087" i="1"/>
  <c r="S7087" i="1"/>
  <c r="T7087" i="1"/>
  <c r="U7087" i="1"/>
  <c r="V7087" i="1"/>
  <c r="W7087" i="1"/>
  <c r="X7087" i="1"/>
  <c r="Y7087" i="1"/>
  <c r="Z7087" i="1"/>
  <c r="A7088" i="1"/>
  <c r="B7088" i="1"/>
  <c r="C7088" i="1"/>
  <c r="D7088" i="1"/>
  <c r="E7088" i="1"/>
  <c r="F7088" i="1"/>
  <c r="G7088" i="1"/>
  <c r="I7088" i="1"/>
  <c r="J7088" i="1"/>
  <c r="K7088" i="1"/>
  <c r="L7088" i="1"/>
  <c r="M7088" i="1"/>
  <c r="N7088" i="1"/>
  <c r="O7088" i="1"/>
  <c r="P7088" i="1"/>
  <c r="Q7088" i="1"/>
  <c r="R7088" i="1"/>
  <c r="S7088" i="1"/>
  <c r="T7088" i="1"/>
  <c r="U7088" i="1"/>
  <c r="V7088" i="1"/>
  <c r="W7088" i="1"/>
  <c r="X7088" i="1"/>
  <c r="Y7088" i="1"/>
  <c r="Z7088" i="1"/>
  <c r="A7089" i="1"/>
  <c r="B7089" i="1"/>
  <c r="C7089" i="1"/>
  <c r="D7089" i="1"/>
  <c r="E7089" i="1"/>
  <c r="F7089" i="1"/>
  <c r="G7089" i="1"/>
  <c r="I7089" i="1"/>
  <c r="J7089" i="1"/>
  <c r="K7089" i="1"/>
  <c r="L7089" i="1"/>
  <c r="M7089" i="1"/>
  <c r="N7089" i="1"/>
  <c r="O7089" i="1"/>
  <c r="P7089" i="1"/>
  <c r="Q7089" i="1"/>
  <c r="R7089" i="1"/>
  <c r="S7089" i="1"/>
  <c r="T7089" i="1"/>
  <c r="U7089" i="1"/>
  <c r="V7089" i="1"/>
  <c r="W7089" i="1"/>
  <c r="X7089" i="1"/>
  <c r="Y7089" i="1"/>
  <c r="Z7089" i="1"/>
  <c r="A7090" i="1"/>
  <c r="B7090" i="1"/>
  <c r="C7090" i="1"/>
  <c r="D7090" i="1"/>
  <c r="E7090" i="1"/>
  <c r="F7090" i="1"/>
  <c r="G7090" i="1"/>
  <c r="I7090" i="1"/>
  <c r="J7090" i="1"/>
  <c r="K7090" i="1"/>
  <c r="L7090" i="1"/>
  <c r="M7090" i="1"/>
  <c r="N7090" i="1"/>
  <c r="O7090" i="1"/>
  <c r="P7090" i="1"/>
  <c r="Q7090" i="1"/>
  <c r="R7090" i="1"/>
  <c r="S7090" i="1"/>
  <c r="T7090" i="1"/>
  <c r="U7090" i="1"/>
  <c r="V7090" i="1"/>
  <c r="W7090" i="1"/>
  <c r="X7090" i="1"/>
  <c r="Y7090" i="1"/>
  <c r="Z7090" i="1"/>
  <c r="A7091" i="1"/>
  <c r="B7091" i="1"/>
  <c r="C7091" i="1"/>
  <c r="D7091" i="1"/>
  <c r="E7091" i="1"/>
  <c r="F7091" i="1"/>
  <c r="G7091" i="1"/>
  <c r="I7091" i="1"/>
  <c r="J7091" i="1"/>
  <c r="K7091" i="1"/>
  <c r="L7091" i="1"/>
  <c r="M7091" i="1"/>
  <c r="N7091" i="1"/>
  <c r="O7091" i="1"/>
  <c r="P7091" i="1"/>
  <c r="Q7091" i="1"/>
  <c r="R7091" i="1"/>
  <c r="S7091" i="1"/>
  <c r="T7091" i="1"/>
  <c r="U7091" i="1"/>
  <c r="V7091" i="1"/>
  <c r="W7091" i="1"/>
  <c r="X7091" i="1"/>
  <c r="Y7091" i="1"/>
  <c r="Z7091" i="1"/>
  <c r="A7092" i="1"/>
  <c r="B7092" i="1"/>
  <c r="C7092" i="1"/>
  <c r="D7092" i="1"/>
  <c r="E7092" i="1"/>
  <c r="F7092" i="1"/>
  <c r="G7092" i="1"/>
  <c r="I7092" i="1"/>
  <c r="J7092" i="1"/>
  <c r="K7092" i="1"/>
  <c r="L7092" i="1"/>
  <c r="M7092" i="1"/>
  <c r="N7092" i="1"/>
  <c r="O7092" i="1"/>
  <c r="P7092" i="1"/>
  <c r="Q7092" i="1"/>
  <c r="R7092" i="1"/>
  <c r="S7092" i="1"/>
  <c r="T7092" i="1"/>
  <c r="U7092" i="1"/>
  <c r="V7092" i="1"/>
  <c r="W7092" i="1"/>
  <c r="X7092" i="1"/>
  <c r="Y7092" i="1"/>
  <c r="Z7092" i="1"/>
  <c r="A7093" i="1"/>
  <c r="B7093" i="1"/>
  <c r="C7093" i="1"/>
  <c r="D7093" i="1"/>
  <c r="E7093" i="1"/>
  <c r="F7093" i="1"/>
  <c r="G7093" i="1"/>
  <c r="I7093" i="1"/>
  <c r="J7093" i="1"/>
  <c r="K7093" i="1"/>
  <c r="L7093" i="1"/>
  <c r="M7093" i="1"/>
  <c r="N7093" i="1"/>
  <c r="O7093" i="1"/>
  <c r="P7093" i="1"/>
  <c r="Q7093" i="1"/>
  <c r="R7093" i="1"/>
  <c r="S7093" i="1"/>
  <c r="T7093" i="1"/>
  <c r="U7093" i="1"/>
  <c r="V7093" i="1"/>
  <c r="W7093" i="1"/>
  <c r="X7093" i="1"/>
  <c r="Y7093" i="1"/>
  <c r="Z7093" i="1"/>
  <c r="A7094" i="1"/>
  <c r="B7094" i="1"/>
  <c r="C7094" i="1"/>
  <c r="D7094" i="1"/>
  <c r="E7094" i="1"/>
  <c r="F7094" i="1"/>
  <c r="G7094" i="1"/>
  <c r="I7094" i="1"/>
  <c r="J7094" i="1"/>
  <c r="K7094" i="1"/>
  <c r="L7094" i="1"/>
  <c r="M7094" i="1"/>
  <c r="N7094" i="1"/>
  <c r="O7094" i="1"/>
  <c r="P7094" i="1"/>
  <c r="Q7094" i="1"/>
  <c r="R7094" i="1"/>
  <c r="S7094" i="1"/>
  <c r="T7094" i="1"/>
  <c r="U7094" i="1"/>
  <c r="V7094" i="1"/>
  <c r="W7094" i="1"/>
  <c r="X7094" i="1"/>
  <c r="Y7094" i="1"/>
  <c r="Z7094" i="1"/>
  <c r="A7095" i="1"/>
  <c r="B7095" i="1"/>
  <c r="C7095" i="1"/>
  <c r="D7095" i="1"/>
  <c r="E7095" i="1"/>
  <c r="F7095" i="1"/>
  <c r="G7095" i="1"/>
  <c r="I7095" i="1"/>
  <c r="J7095" i="1"/>
  <c r="K7095" i="1"/>
  <c r="L7095" i="1"/>
  <c r="M7095" i="1"/>
  <c r="N7095" i="1"/>
  <c r="O7095" i="1"/>
  <c r="P7095" i="1"/>
  <c r="Q7095" i="1"/>
  <c r="R7095" i="1"/>
  <c r="S7095" i="1"/>
  <c r="T7095" i="1"/>
  <c r="U7095" i="1"/>
  <c r="V7095" i="1"/>
  <c r="W7095" i="1"/>
  <c r="X7095" i="1"/>
  <c r="Y7095" i="1"/>
  <c r="Z7095" i="1"/>
  <c r="A7096" i="1"/>
  <c r="B7096" i="1"/>
  <c r="C7096" i="1"/>
  <c r="D7096" i="1"/>
  <c r="E7096" i="1"/>
  <c r="F7096" i="1"/>
  <c r="G7096" i="1"/>
  <c r="I7096" i="1"/>
  <c r="J7096" i="1"/>
  <c r="K7096" i="1"/>
  <c r="L7096" i="1"/>
  <c r="M7096" i="1"/>
  <c r="N7096" i="1"/>
  <c r="O7096" i="1"/>
  <c r="P7096" i="1"/>
  <c r="Q7096" i="1"/>
  <c r="R7096" i="1"/>
  <c r="S7096" i="1"/>
  <c r="T7096" i="1"/>
  <c r="U7096" i="1"/>
  <c r="V7096" i="1"/>
  <c r="W7096" i="1"/>
  <c r="X7096" i="1"/>
  <c r="Y7096" i="1"/>
  <c r="Z7096" i="1"/>
  <c r="A7097" i="1"/>
  <c r="B7097" i="1"/>
  <c r="C7097" i="1"/>
  <c r="D7097" i="1"/>
  <c r="E7097" i="1"/>
  <c r="F7097" i="1"/>
  <c r="G7097" i="1"/>
  <c r="I7097" i="1"/>
  <c r="J7097" i="1"/>
  <c r="K7097" i="1"/>
  <c r="L7097" i="1"/>
  <c r="M7097" i="1"/>
  <c r="N7097" i="1"/>
  <c r="O7097" i="1"/>
  <c r="P7097" i="1"/>
  <c r="Q7097" i="1"/>
  <c r="R7097" i="1"/>
  <c r="S7097" i="1"/>
  <c r="T7097" i="1"/>
  <c r="U7097" i="1"/>
  <c r="V7097" i="1"/>
  <c r="W7097" i="1"/>
  <c r="X7097" i="1"/>
  <c r="Y7097" i="1"/>
  <c r="Z7097" i="1"/>
  <c r="A7098" i="1"/>
  <c r="B7098" i="1"/>
  <c r="C7098" i="1"/>
  <c r="D7098" i="1"/>
  <c r="E7098" i="1"/>
  <c r="F7098" i="1"/>
  <c r="G7098" i="1"/>
  <c r="I7098" i="1"/>
  <c r="J7098" i="1"/>
  <c r="K7098" i="1"/>
  <c r="L7098" i="1"/>
  <c r="M7098" i="1"/>
  <c r="N7098" i="1"/>
  <c r="O7098" i="1"/>
  <c r="P7098" i="1"/>
  <c r="Q7098" i="1"/>
  <c r="R7098" i="1"/>
  <c r="S7098" i="1"/>
  <c r="T7098" i="1"/>
  <c r="U7098" i="1"/>
  <c r="V7098" i="1"/>
  <c r="W7098" i="1"/>
  <c r="X7098" i="1"/>
  <c r="Y7098" i="1"/>
  <c r="Z7098" i="1"/>
  <c r="A7099" i="1"/>
  <c r="B7099" i="1"/>
  <c r="C7099" i="1"/>
  <c r="D7099" i="1"/>
  <c r="E7099" i="1"/>
  <c r="F7099" i="1"/>
  <c r="G7099" i="1"/>
  <c r="I7099" i="1"/>
  <c r="J7099" i="1"/>
  <c r="K7099" i="1"/>
  <c r="L7099" i="1"/>
  <c r="M7099" i="1"/>
  <c r="N7099" i="1"/>
  <c r="O7099" i="1"/>
  <c r="P7099" i="1"/>
  <c r="Q7099" i="1"/>
  <c r="R7099" i="1"/>
  <c r="S7099" i="1"/>
  <c r="T7099" i="1"/>
  <c r="U7099" i="1"/>
  <c r="V7099" i="1"/>
  <c r="W7099" i="1"/>
  <c r="X7099" i="1"/>
  <c r="Y7099" i="1"/>
  <c r="Z7099" i="1"/>
  <c r="A7100" i="1"/>
  <c r="B7100" i="1"/>
  <c r="C7100" i="1"/>
  <c r="D7100" i="1"/>
  <c r="E7100" i="1"/>
  <c r="F7100" i="1"/>
  <c r="G7100" i="1"/>
  <c r="I7100" i="1"/>
  <c r="J7100" i="1"/>
  <c r="K7100" i="1"/>
  <c r="L7100" i="1"/>
  <c r="M7100" i="1"/>
  <c r="N7100" i="1"/>
  <c r="O7100" i="1"/>
  <c r="P7100" i="1"/>
  <c r="Q7100" i="1"/>
  <c r="R7100" i="1"/>
  <c r="S7100" i="1"/>
  <c r="T7100" i="1"/>
  <c r="U7100" i="1"/>
  <c r="V7100" i="1"/>
  <c r="W7100" i="1"/>
  <c r="X7100" i="1"/>
  <c r="Y7100" i="1"/>
  <c r="Z7100" i="1"/>
  <c r="A7101" i="1"/>
  <c r="B7101" i="1"/>
  <c r="C7101" i="1"/>
  <c r="D7101" i="1"/>
  <c r="E7101" i="1"/>
  <c r="F7101" i="1"/>
  <c r="G7101" i="1"/>
  <c r="I7101" i="1"/>
  <c r="J7101" i="1"/>
  <c r="K7101" i="1"/>
  <c r="L7101" i="1"/>
  <c r="M7101" i="1"/>
  <c r="N7101" i="1"/>
  <c r="O7101" i="1"/>
  <c r="P7101" i="1"/>
  <c r="Q7101" i="1"/>
  <c r="R7101" i="1"/>
  <c r="S7101" i="1"/>
  <c r="T7101" i="1"/>
  <c r="U7101" i="1"/>
  <c r="V7101" i="1"/>
  <c r="W7101" i="1"/>
  <c r="X7101" i="1"/>
  <c r="Y7101" i="1"/>
  <c r="Z7101" i="1"/>
  <c r="A7102" i="1"/>
  <c r="B7102" i="1"/>
  <c r="C7102" i="1"/>
  <c r="D7102" i="1"/>
  <c r="E7102" i="1"/>
  <c r="F7102" i="1"/>
  <c r="G7102" i="1"/>
  <c r="I7102" i="1"/>
  <c r="J7102" i="1"/>
  <c r="K7102" i="1"/>
  <c r="L7102" i="1"/>
  <c r="M7102" i="1"/>
  <c r="N7102" i="1"/>
  <c r="O7102" i="1"/>
  <c r="P7102" i="1"/>
  <c r="Q7102" i="1"/>
  <c r="R7102" i="1"/>
  <c r="S7102" i="1"/>
  <c r="T7102" i="1"/>
  <c r="U7102" i="1"/>
  <c r="V7102" i="1"/>
  <c r="W7102" i="1"/>
  <c r="X7102" i="1"/>
  <c r="Y7102" i="1"/>
  <c r="Z7102" i="1"/>
  <c r="A7103" i="1"/>
  <c r="B7103" i="1"/>
  <c r="C7103" i="1"/>
  <c r="D7103" i="1"/>
  <c r="E7103" i="1"/>
  <c r="F7103" i="1"/>
  <c r="G7103" i="1"/>
  <c r="I7103" i="1"/>
  <c r="J7103" i="1"/>
  <c r="K7103" i="1"/>
  <c r="L7103" i="1"/>
  <c r="M7103" i="1"/>
  <c r="N7103" i="1"/>
  <c r="O7103" i="1"/>
  <c r="P7103" i="1"/>
  <c r="Q7103" i="1"/>
  <c r="R7103" i="1"/>
  <c r="S7103" i="1"/>
  <c r="T7103" i="1"/>
  <c r="U7103" i="1"/>
  <c r="V7103" i="1"/>
  <c r="W7103" i="1"/>
  <c r="X7103" i="1"/>
  <c r="Y7103" i="1"/>
  <c r="Z7103" i="1"/>
  <c r="A7104" i="1"/>
  <c r="B7104" i="1"/>
  <c r="C7104" i="1"/>
  <c r="D7104" i="1"/>
  <c r="E7104" i="1"/>
  <c r="F7104" i="1"/>
  <c r="G7104" i="1"/>
  <c r="I7104" i="1"/>
  <c r="J7104" i="1"/>
  <c r="K7104" i="1"/>
  <c r="L7104" i="1"/>
  <c r="M7104" i="1"/>
  <c r="N7104" i="1"/>
  <c r="O7104" i="1"/>
  <c r="P7104" i="1"/>
  <c r="Q7104" i="1"/>
  <c r="R7104" i="1"/>
  <c r="S7104" i="1"/>
  <c r="T7104" i="1"/>
  <c r="U7104" i="1"/>
  <c r="V7104" i="1"/>
  <c r="W7104" i="1"/>
  <c r="X7104" i="1"/>
  <c r="Y7104" i="1"/>
  <c r="Z7104" i="1"/>
  <c r="A7105" i="1"/>
  <c r="B7105" i="1"/>
  <c r="C7105" i="1"/>
  <c r="D7105" i="1"/>
  <c r="E7105" i="1"/>
  <c r="F7105" i="1"/>
  <c r="G7105" i="1"/>
  <c r="I7105" i="1"/>
  <c r="J7105" i="1"/>
  <c r="K7105" i="1"/>
  <c r="L7105" i="1"/>
  <c r="M7105" i="1"/>
  <c r="N7105" i="1"/>
  <c r="O7105" i="1"/>
  <c r="P7105" i="1"/>
  <c r="Q7105" i="1"/>
  <c r="R7105" i="1"/>
  <c r="S7105" i="1"/>
  <c r="T7105" i="1"/>
  <c r="U7105" i="1"/>
  <c r="V7105" i="1"/>
  <c r="W7105" i="1"/>
  <c r="X7105" i="1"/>
  <c r="Y7105" i="1"/>
  <c r="Z7105" i="1"/>
  <c r="A7106" i="1"/>
  <c r="B7106" i="1"/>
  <c r="C7106" i="1"/>
  <c r="D7106" i="1"/>
  <c r="E7106" i="1"/>
  <c r="F7106" i="1"/>
  <c r="G7106" i="1"/>
  <c r="I7106" i="1"/>
  <c r="J7106" i="1"/>
  <c r="K7106" i="1"/>
  <c r="L7106" i="1"/>
  <c r="M7106" i="1"/>
  <c r="N7106" i="1"/>
  <c r="O7106" i="1"/>
  <c r="P7106" i="1"/>
  <c r="Q7106" i="1"/>
  <c r="R7106" i="1"/>
  <c r="S7106" i="1"/>
  <c r="T7106" i="1"/>
  <c r="U7106" i="1"/>
  <c r="V7106" i="1"/>
  <c r="W7106" i="1"/>
  <c r="X7106" i="1"/>
  <c r="Y7106" i="1"/>
  <c r="Z7106" i="1"/>
  <c r="A7107" i="1"/>
  <c r="B7107" i="1"/>
  <c r="C7107" i="1"/>
  <c r="D7107" i="1"/>
  <c r="E7107" i="1"/>
  <c r="F7107" i="1"/>
  <c r="G7107" i="1"/>
  <c r="I7107" i="1"/>
  <c r="J7107" i="1"/>
  <c r="K7107" i="1"/>
  <c r="L7107" i="1"/>
  <c r="M7107" i="1"/>
  <c r="N7107" i="1"/>
  <c r="O7107" i="1"/>
  <c r="P7107" i="1"/>
  <c r="Q7107" i="1"/>
  <c r="R7107" i="1"/>
  <c r="S7107" i="1"/>
  <c r="T7107" i="1"/>
  <c r="U7107" i="1"/>
  <c r="V7107" i="1"/>
  <c r="W7107" i="1"/>
  <c r="X7107" i="1"/>
  <c r="Y7107" i="1"/>
  <c r="Z7107" i="1"/>
  <c r="A7108" i="1"/>
  <c r="B7108" i="1"/>
  <c r="C7108" i="1"/>
  <c r="D7108" i="1"/>
  <c r="E7108" i="1"/>
  <c r="F7108" i="1"/>
  <c r="G7108" i="1"/>
  <c r="I7108" i="1"/>
  <c r="J7108" i="1"/>
  <c r="K7108" i="1"/>
  <c r="L7108" i="1"/>
  <c r="M7108" i="1"/>
  <c r="N7108" i="1"/>
  <c r="O7108" i="1"/>
  <c r="P7108" i="1"/>
  <c r="Q7108" i="1"/>
  <c r="R7108" i="1"/>
  <c r="S7108" i="1"/>
  <c r="T7108" i="1"/>
  <c r="U7108" i="1"/>
  <c r="V7108" i="1"/>
  <c r="W7108" i="1"/>
  <c r="X7108" i="1"/>
  <c r="Y7108" i="1"/>
  <c r="Z7108" i="1"/>
  <c r="A7109" i="1"/>
  <c r="B7109" i="1"/>
  <c r="C7109" i="1"/>
  <c r="D7109" i="1"/>
  <c r="E7109" i="1"/>
  <c r="F7109" i="1"/>
  <c r="G7109" i="1"/>
  <c r="I7109" i="1"/>
  <c r="J7109" i="1"/>
  <c r="K7109" i="1"/>
  <c r="L7109" i="1"/>
  <c r="M7109" i="1"/>
  <c r="N7109" i="1"/>
  <c r="O7109" i="1"/>
  <c r="P7109" i="1"/>
  <c r="Q7109" i="1"/>
  <c r="R7109" i="1"/>
  <c r="S7109" i="1"/>
  <c r="T7109" i="1"/>
  <c r="U7109" i="1"/>
  <c r="V7109" i="1"/>
  <c r="W7109" i="1"/>
  <c r="X7109" i="1"/>
  <c r="Y7109" i="1"/>
  <c r="Z7109" i="1"/>
  <c r="A7110" i="1"/>
  <c r="B7110" i="1"/>
  <c r="C7110" i="1"/>
  <c r="D7110" i="1"/>
  <c r="E7110" i="1"/>
  <c r="F7110" i="1"/>
  <c r="G7110" i="1"/>
  <c r="I7110" i="1"/>
  <c r="J7110" i="1"/>
  <c r="K7110" i="1"/>
  <c r="L7110" i="1"/>
  <c r="M7110" i="1"/>
  <c r="N7110" i="1"/>
  <c r="O7110" i="1"/>
  <c r="P7110" i="1"/>
  <c r="Q7110" i="1"/>
  <c r="R7110" i="1"/>
  <c r="S7110" i="1"/>
  <c r="T7110" i="1"/>
  <c r="U7110" i="1"/>
  <c r="V7110" i="1"/>
  <c r="W7110" i="1"/>
  <c r="X7110" i="1"/>
  <c r="Y7110" i="1"/>
  <c r="Z7110" i="1"/>
  <c r="A7111" i="1"/>
  <c r="B7111" i="1"/>
  <c r="C7111" i="1"/>
  <c r="D7111" i="1"/>
  <c r="E7111" i="1"/>
  <c r="F7111" i="1"/>
  <c r="G7111" i="1"/>
  <c r="I7111" i="1"/>
  <c r="J7111" i="1"/>
  <c r="K7111" i="1"/>
  <c r="L7111" i="1"/>
  <c r="M7111" i="1"/>
  <c r="N7111" i="1"/>
  <c r="O7111" i="1"/>
  <c r="P7111" i="1"/>
  <c r="Q7111" i="1"/>
  <c r="R7111" i="1"/>
  <c r="S7111" i="1"/>
  <c r="T7111" i="1"/>
  <c r="U7111" i="1"/>
  <c r="V7111" i="1"/>
  <c r="W7111" i="1"/>
  <c r="X7111" i="1"/>
  <c r="Y7111" i="1"/>
  <c r="Z7111" i="1"/>
  <c r="A7112" i="1"/>
  <c r="B7112" i="1"/>
  <c r="C7112" i="1"/>
  <c r="D7112" i="1"/>
  <c r="E7112" i="1"/>
  <c r="F7112" i="1"/>
  <c r="G7112" i="1"/>
  <c r="I7112" i="1"/>
  <c r="J7112" i="1"/>
  <c r="K7112" i="1"/>
  <c r="L7112" i="1"/>
  <c r="M7112" i="1"/>
  <c r="N7112" i="1"/>
  <c r="O7112" i="1"/>
  <c r="P7112" i="1"/>
  <c r="Q7112" i="1"/>
  <c r="R7112" i="1"/>
  <c r="S7112" i="1"/>
  <c r="T7112" i="1"/>
  <c r="U7112" i="1"/>
  <c r="V7112" i="1"/>
  <c r="W7112" i="1"/>
  <c r="X7112" i="1"/>
  <c r="Y7112" i="1"/>
  <c r="Z7112" i="1"/>
  <c r="A7113" i="1"/>
  <c r="B7113" i="1"/>
  <c r="C7113" i="1"/>
  <c r="D7113" i="1"/>
  <c r="E7113" i="1"/>
  <c r="F7113" i="1"/>
  <c r="G7113" i="1"/>
  <c r="I7113" i="1"/>
  <c r="J7113" i="1"/>
  <c r="K7113" i="1"/>
  <c r="L7113" i="1"/>
  <c r="M7113" i="1"/>
  <c r="N7113" i="1"/>
  <c r="O7113" i="1"/>
  <c r="P7113" i="1"/>
  <c r="Q7113" i="1"/>
  <c r="R7113" i="1"/>
  <c r="S7113" i="1"/>
  <c r="T7113" i="1"/>
  <c r="U7113" i="1"/>
  <c r="V7113" i="1"/>
  <c r="W7113" i="1"/>
  <c r="X7113" i="1"/>
  <c r="Y7113" i="1"/>
  <c r="Z7113" i="1"/>
  <c r="A7114" i="1"/>
  <c r="B7114" i="1"/>
  <c r="C7114" i="1"/>
  <c r="D7114" i="1"/>
  <c r="E7114" i="1"/>
  <c r="F7114" i="1"/>
  <c r="G7114" i="1"/>
  <c r="I7114" i="1"/>
  <c r="J7114" i="1"/>
  <c r="K7114" i="1"/>
  <c r="L7114" i="1"/>
  <c r="M7114" i="1"/>
  <c r="N7114" i="1"/>
  <c r="O7114" i="1"/>
  <c r="P7114" i="1"/>
  <c r="Q7114" i="1"/>
  <c r="R7114" i="1"/>
  <c r="S7114" i="1"/>
  <c r="T7114" i="1"/>
  <c r="U7114" i="1"/>
  <c r="V7114" i="1"/>
  <c r="W7114" i="1"/>
  <c r="X7114" i="1"/>
  <c r="Y7114" i="1"/>
  <c r="Z7114" i="1"/>
  <c r="A7115" i="1"/>
  <c r="B7115" i="1"/>
  <c r="C7115" i="1"/>
  <c r="D7115" i="1"/>
  <c r="E7115" i="1"/>
  <c r="F7115" i="1"/>
  <c r="G7115" i="1"/>
  <c r="I7115" i="1"/>
  <c r="J7115" i="1"/>
  <c r="K7115" i="1"/>
  <c r="L7115" i="1"/>
  <c r="M7115" i="1"/>
  <c r="N7115" i="1"/>
  <c r="O7115" i="1"/>
  <c r="P7115" i="1"/>
  <c r="Q7115" i="1"/>
  <c r="R7115" i="1"/>
  <c r="S7115" i="1"/>
  <c r="T7115" i="1"/>
  <c r="U7115" i="1"/>
  <c r="V7115" i="1"/>
  <c r="W7115" i="1"/>
  <c r="X7115" i="1"/>
  <c r="Y7115" i="1"/>
  <c r="Z7115" i="1"/>
  <c r="A7116" i="1"/>
  <c r="B7116" i="1"/>
  <c r="C7116" i="1"/>
  <c r="D7116" i="1"/>
  <c r="E7116" i="1"/>
  <c r="F7116" i="1"/>
  <c r="G7116" i="1"/>
  <c r="I7116" i="1"/>
  <c r="J7116" i="1"/>
  <c r="K7116" i="1"/>
  <c r="L7116" i="1"/>
  <c r="M7116" i="1"/>
  <c r="N7116" i="1"/>
  <c r="O7116" i="1"/>
  <c r="P7116" i="1"/>
  <c r="Q7116" i="1"/>
  <c r="R7116" i="1"/>
  <c r="S7116" i="1"/>
  <c r="T7116" i="1"/>
  <c r="U7116" i="1"/>
  <c r="V7116" i="1"/>
  <c r="W7116" i="1"/>
  <c r="X7116" i="1"/>
  <c r="Y7116" i="1"/>
  <c r="Z7116" i="1"/>
  <c r="A7117" i="1"/>
  <c r="B7117" i="1"/>
  <c r="C7117" i="1"/>
  <c r="D7117" i="1"/>
  <c r="E7117" i="1"/>
  <c r="F7117" i="1"/>
  <c r="G7117" i="1"/>
  <c r="I7117" i="1"/>
  <c r="J7117" i="1"/>
  <c r="K7117" i="1"/>
  <c r="L7117" i="1"/>
  <c r="M7117" i="1"/>
  <c r="N7117" i="1"/>
  <c r="O7117" i="1"/>
  <c r="P7117" i="1"/>
  <c r="Q7117" i="1"/>
  <c r="R7117" i="1"/>
  <c r="S7117" i="1"/>
  <c r="T7117" i="1"/>
  <c r="U7117" i="1"/>
  <c r="V7117" i="1"/>
  <c r="W7117" i="1"/>
  <c r="X7117" i="1"/>
  <c r="Y7117" i="1"/>
  <c r="Z7117" i="1"/>
  <c r="A7118" i="1"/>
  <c r="B7118" i="1"/>
  <c r="C7118" i="1"/>
  <c r="D7118" i="1"/>
  <c r="E7118" i="1"/>
  <c r="F7118" i="1"/>
  <c r="G7118" i="1"/>
  <c r="I7118" i="1"/>
  <c r="J7118" i="1"/>
  <c r="K7118" i="1"/>
  <c r="L7118" i="1"/>
  <c r="M7118" i="1"/>
  <c r="N7118" i="1"/>
  <c r="O7118" i="1"/>
  <c r="P7118" i="1"/>
  <c r="Q7118" i="1"/>
  <c r="R7118" i="1"/>
  <c r="S7118" i="1"/>
  <c r="T7118" i="1"/>
  <c r="U7118" i="1"/>
  <c r="V7118" i="1"/>
  <c r="W7118" i="1"/>
  <c r="X7118" i="1"/>
  <c r="Y7118" i="1"/>
  <c r="Z7118" i="1"/>
  <c r="A7119" i="1"/>
  <c r="B7119" i="1"/>
  <c r="C7119" i="1"/>
  <c r="D7119" i="1"/>
  <c r="E7119" i="1"/>
  <c r="F7119" i="1"/>
  <c r="G7119" i="1"/>
  <c r="I7119" i="1"/>
  <c r="J7119" i="1"/>
  <c r="K7119" i="1"/>
  <c r="L7119" i="1"/>
  <c r="M7119" i="1"/>
  <c r="N7119" i="1"/>
  <c r="O7119" i="1"/>
  <c r="P7119" i="1"/>
  <c r="Q7119" i="1"/>
  <c r="R7119" i="1"/>
  <c r="S7119" i="1"/>
  <c r="T7119" i="1"/>
  <c r="U7119" i="1"/>
  <c r="V7119" i="1"/>
  <c r="W7119" i="1"/>
  <c r="X7119" i="1"/>
  <c r="Y7119" i="1"/>
  <c r="Z7119" i="1"/>
  <c r="A7120" i="1"/>
  <c r="B7120" i="1"/>
  <c r="C7120" i="1"/>
  <c r="D7120" i="1"/>
  <c r="E7120" i="1"/>
  <c r="F7120" i="1"/>
  <c r="G7120" i="1"/>
  <c r="I7120" i="1"/>
  <c r="J7120" i="1"/>
  <c r="K7120" i="1"/>
  <c r="L7120" i="1"/>
  <c r="M7120" i="1"/>
  <c r="N7120" i="1"/>
  <c r="O7120" i="1"/>
  <c r="P7120" i="1"/>
  <c r="Q7120" i="1"/>
  <c r="R7120" i="1"/>
  <c r="S7120" i="1"/>
  <c r="T7120" i="1"/>
  <c r="U7120" i="1"/>
  <c r="V7120" i="1"/>
  <c r="W7120" i="1"/>
  <c r="X7120" i="1"/>
  <c r="Y7120" i="1"/>
  <c r="Z7120" i="1"/>
  <c r="A7121" i="1"/>
  <c r="B7121" i="1"/>
  <c r="C7121" i="1"/>
  <c r="D7121" i="1"/>
  <c r="E7121" i="1"/>
  <c r="F7121" i="1"/>
  <c r="G7121" i="1"/>
  <c r="I7121" i="1"/>
  <c r="J7121" i="1"/>
  <c r="K7121" i="1"/>
  <c r="L7121" i="1"/>
  <c r="M7121" i="1"/>
  <c r="N7121" i="1"/>
  <c r="O7121" i="1"/>
  <c r="P7121" i="1"/>
  <c r="Q7121" i="1"/>
  <c r="R7121" i="1"/>
  <c r="S7121" i="1"/>
  <c r="T7121" i="1"/>
  <c r="U7121" i="1"/>
  <c r="V7121" i="1"/>
  <c r="W7121" i="1"/>
  <c r="X7121" i="1"/>
  <c r="Y7121" i="1"/>
  <c r="Z7121" i="1"/>
  <c r="A7122" i="1"/>
  <c r="B7122" i="1"/>
  <c r="C7122" i="1"/>
  <c r="D7122" i="1"/>
  <c r="E7122" i="1"/>
  <c r="F7122" i="1"/>
  <c r="G7122" i="1"/>
  <c r="I7122" i="1"/>
  <c r="J7122" i="1"/>
  <c r="K7122" i="1"/>
  <c r="L7122" i="1"/>
  <c r="M7122" i="1"/>
  <c r="N7122" i="1"/>
  <c r="O7122" i="1"/>
  <c r="P7122" i="1"/>
  <c r="Q7122" i="1"/>
  <c r="R7122" i="1"/>
  <c r="S7122" i="1"/>
  <c r="T7122" i="1"/>
  <c r="U7122" i="1"/>
  <c r="V7122" i="1"/>
  <c r="W7122" i="1"/>
  <c r="X7122" i="1"/>
  <c r="Y7122" i="1"/>
  <c r="Z7122" i="1"/>
  <c r="A7123" i="1"/>
  <c r="B7123" i="1"/>
  <c r="C7123" i="1"/>
  <c r="D7123" i="1"/>
  <c r="E7123" i="1"/>
  <c r="F7123" i="1"/>
  <c r="G7123" i="1"/>
  <c r="I7123" i="1"/>
  <c r="J7123" i="1"/>
  <c r="K7123" i="1"/>
  <c r="L7123" i="1"/>
  <c r="M7123" i="1"/>
  <c r="N7123" i="1"/>
  <c r="O7123" i="1"/>
  <c r="P7123" i="1"/>
  <c r="Q7123" i="1"/>
  <c r="R7123" i="1"/>
  <c r="S7123" i="1"/>
  <c r="T7123" i="1"/>
  <c r="U7123" i="1"/>
  <c r="V7123" i="1"/>
  <c r="W7123" i="1"/>
  <c r="X7123" i="1"/>
  <c r="Y7123" i="1"/>
  <c r="Z7123" i="1"/>
  <c r="A7124" i="1"/>
  <c r="B7124" i="1"/>
  <c r="C7124" i="1"/>
  <c r="D7124" i="1"/>
  <c r="E7124" i="1"/>
  <c r="F7124" i="1"/>
  <c r="G7124" i="1"/>
  <c r="I7124" i="1"/>
  <c r="J7124" i="1"/>
  <c r="K7124" i="1"/>
  <c r="L7124" i="1"/>
  <c r="M7124" i="1"/>
  <c r="N7124" i="1"/>
  <c r="O7124" i="1"/>
  <c r="P7124" i="1"/>
  <c r="Q7124" i="1"/>
  <c r="R7124" i="1"/>
  <c r="S7124" i="1"/>
  <c r="T7124" i="1"/>
  <c r="U7124" i="1"/>
  <c r="V7124" i="1"/>
  <c r="W7124" i="1"/>
  <c r="X7124" i="1"/>
  <c r="Y7124" i="1"/>
  <c r="Z7124" i="1"/>
  <c r="A7125" i="1"/>
  <c r="B7125" i="1"/>
  <c r="C7125" i="1"/>
  <c r="D7125" i="1"/>
  <c r="E7125" i="1"/>
  <c r="F7125" i="1"/>
  <c r="G7125" i="1"/>
  <c r="I7125" i="1"/>
  <c r="J7125" i="1"/>
  <c r="K7125" i="1"/>
  <c r="L7125" i="1"/>
  <c r="M7125" i="1"/>
  <c r="N7125" i="1"/>
  <c r="O7125" i="1"/>
  <c r="P7125" i="1"/>
  <c r="Q7125" i="1"/>
  <c r="R7125" i="1"/>
  <c r="S7125" i="1"/>
  <c r="T7125" i="1"/>
  <c r="U7125" i="1"/>
  <c r="V7125" i="1"/>
  <c r="W7125" i="1"/>
  <c r="X7125" i="1"/>
  <c r="Y7125" i="1"/>
  <c r="Z7125" i="1"/>
  <c r="A7126" i="1"/>
  <c r="B7126" i="1"/>
  <c r="C7126" i="1"/>
  <c r="D7126" i="1"/>
  <c r="E7126" i="1"/>
  <c r="F7126" i="1"/>
  <c r="G7126" i="1"/>
  <c r="I7126" i="1"/>
  <c r="J7126" i="1"/>
  <c r="K7126" i="1"/>
  <c r="L7126" i="1"/>
  <c r="M7126" i="1"/>
  <c r="N7126" i="1"/>
  <c r="O7126" i="1"/>
  <c r="P7126" i="1"/>
  <c r="Q7126" i="1"/>
  <c r="R7126" i="1"/>
  <c r="S7126" i="1"/>
  <c r="T7126" i="1"/>
  <c r="U7126" i="1"/>
  <c r="V7126" i="1"/>
  <c r="W7126" i="1"/>
  <c r="X7126" i="1"/>
  <c r="Y7126" i="1"/>
  <c r="Z7126" i="1"/>
  <c r="A7127" i="1"/>
  <c r="B7127" i="1"/>
  <c r="C7127" i="1"/>
  <c r="D7127" i="1"/>
  <c r="E7127" i="1"/>
  <c r="F7127" i="1"/>
  <c r="G7127" i="1"/>
  <c r="I7127" i="1"/>
  <c r="J7127" i="1"/>
  <c r="K7127" i="1"/>
  <c r="L7127" i="1"/>
  <c r="M7127" i="1"/>
  <c r="N7127" i="1"/>
  <c r="O7127" i="1"/>
  <c r="P7127" i="1"/>
  <c r="Q7127" i="1"/>
  <c r="R7127" i="1"/>
  <c r="S7127" i="1"/>
  <c r="T7127" i="1"/>
  <c r="U7127" i="1"/>
  <c r="V7127" i="1"/>
  <c r="W7127" i="1"/>
  <c r="X7127" i="1"/>
  <c r="Y7127" i="1"/>
  <c r="Z7127" i="1"/>
  <c r="A7128" i="1"/>
  <c r="B7128" i="1"/>
  <c r="C7128" i="1"/>
  <c r="D7128" i="1"/>
  <c r="E7128" i="1"/>
  <c r="F7128" i="1"/>
  <c r="G7128" i="1"/>
  <c r="I7128" i="1"/>
  <c r="J7128" i="1"/>
  <c r="K7128" i="1"/>
  <c r="L7128" i="1"/>
  <c r="M7128" i="1"/>
  <c r="N7128" i="1"/>
  <c r="O7128" i="1"/>
  <c r="P7128" i="1"/>
  <c r="Q7128" i="1"/>
  <c r="R7128" i="1"/>
  <c r="S7128" i="1"/>
  <c r="T7128" i="1"/>
  <c r="U7128" i="1"/>
  <c r="V7128" i="1"/>
  <c r="W7128" i="1"/>
  <c r="X7128" i="1"/>
  <c r="Y7128" i="1"/>
  <c r="Z7128" i="1"/>
  <c r="A7129" i="1"/>
  <c r="B7129" i="1"/>
  <c r="C7129" i="1"/>
  <c r="D7129" i="1"/>
  <c r="E7129" i="1"/>
  <c r="F7129" i="1"/>
  <c r="G7129" i="1"/>
  <c r="I7129" i="1"/>
  <c r="J7129" i="1"/>
  <c r="K7129" i="1"/>
  <c r="L7129" i="1"/>
  <c r="M7129" i="1"/>
  <c r="N7129" i="1"/>
  <c r="O7129" i="1"/>
  <c r="P7129" i="1"/>
  <c r="Q7129" i="1"/>
  <c r="R7129" i="1"/>
  <c r="S7129" i="1"/>
  <c r="T7129" i="1"/>
  <c r="U7129" i="1"/>
  <c r="V7129" i="1"/>
  <c r="W7129" i="1"/>
  <c r="X7129" i="1"/>
  <c r="Y7129" i="1"/>
  <c r="Z7129" i="1"/>
  <c r="A7130" i="1"/>
  <c r="B7130" i="1"/>
  <c r="C7130" i="1"/>
  <c r="D7130" i="1"/>
  <c r="E7130" i="1"/>
  <c r="F7130" i="1"/>
  <c r="G7130" i="1"/>
  <c r="I7130" i="1"/>
  <c r="J7130" i="1"/>
  <c r="K7130" i="1"/>
  <c r="L7130" i="1"/>
  <c r="M7130" i="1"/>
  <c r="N7130" i="1"/>
  <c r="O7130" i="1"/>
  <c r="P7130" i="1"/>
  <c r="Q7130" i="1"/>
  <c r="R7130" i="1"/>
  <c r="S7130" i="1"/>
  <c r="T7130" i="1"/>
  <c r="U7130" i="1"/>
  <c r="V7130" i="1"/>
  <c r="W7130" i="1"/>
  <c r="X7130" i="1"/>
  <c r="Y7130" i="1"/>
  <c r="Z7130" i="1"/>
  <c r="A7131" i="1"/>
  <c r="B7131" i="1"/>
  <c r="C7131" i="1"/>
  <c r="D7131" i="1"/>
  <c r="E7131" i="1"/>
  <c r="F7131" i="1"/>
  <c r="G7131" i="1"/>
  <c r="I7131" i="1"/>
  <c r="J7131" i="1"/>
  <c r="K7131" i="1"/>
  <c r="L7131" i="1"/>
  <c r="M7131" i="1"/>
  <c r="N7131" i="1"/>
  <c r="O7131" i="1"/>
  <c r="P7131" i="1"/>
  <c r="Q7131" i="1"/>
  <c r="R7131" i="1"/>
  <c r="S7131" i="1"/>
  <c r="T7131" i="1"/>
  <c r="U7131" i="1"/>
  <c r="V7131" i="1"/>
  <c r="W7131" i="1"/>
  <c r="X7131" i="1"/>
  <c r="Y7131" i="1"/>
  <c r="Z7131" i="1"/>
  <c r="A7132" i="1"/>
  <c r="B7132" i="1"/>
  <c r="C7132" i="1"/>
  <c r="D7132" i="1"/>
  <c r="E7132" i="1"/>
  <c r="F7132" i="1"/>
  <c r="G7132" i="1"/>
  <c r="I7132" i="1"/>
  <c r="J7132" i="1"/>
  <c r="K7132" i="1"/>
  <c r="L7132" i="1"/>
  <c r="M7132" i="1"/>
  <c r="N7132" i="1"/>
  <c r="O7132" i="1"/>
  <c r="P7132" i="1"/>
  <c r="Q7132" i="1"/>
  <c r="R7132" i="1"/>
  <c r="S7132" i="1"/>
  <c r="T7132" i="1"/>
  <c r="U7132" i="1"/>
  <c r="V7132" i="1"/>
  <c r="W7132" i="1"/>
  <c r="X7132" i="1"/>
  <c r="Y7132" i="1"/>
  <c r="Z7132" i="1"/>
  <c r="A7133" i="1"/>
  <c r="B7133" i="1"/>
  <c r="C7133" i="1"/>
  <c r="D7133" i="1"/>
  <c r="E7133" i="1"/>
  <c r="F7133" i="1"/>
  <c r="G7133" i="1"/>
  <c r="I7133" i="1"/>
  <c r="J7133" i="1"/>
  <c r="K7133" i="1"/>
  <c r="L7133" i="1"/>
  <c r="M7133" i="1"/>
  <c r="N7133" i="1"/>
  <c r="O7133" i="1"/>
  <c r="P7133" i="1"/>
  <c r="Q7133" i="1"/>
  <c r="R7133" i="1"/>
  <c r="S7133" i="1"/>
  <c r="T7133" i="1"/>
  <c r="U7133" i="1"/>
  <c r="V7133" i="1"/>
  <c r="W7133" i="1"/>
  <c r="X7133" i="1"/>
  <c r="Y7133" i="1"/>
  <c r="Z7133" i="1"/>
  <c r="A7134" i="1"/>
  <c r="B7134" i="1"/>
  <c r="C7134" i="1"/>
  <c r="D7134" i="1"/>
  <c r="E7134" i="1"/>
  <c r="F7134" i="1"/>
  <c r="G7134" i="1"/>
  <c r="I7134" i="1"/>
  <c r="J7134" i="1"/>
  <c r="K7134" i="1"/>
  <c r="L7134" i="1"/>
  <c r="M7134" i="1"/>
  <c r="N7134" i="1"/>
  <c r="O7134" i="1"/>
  <c r="P7134" i="1"/>
  <c r="Q7134" i="1"/>
  <c r="R7134" i="1"/>
  <c r="S7134" i="1"/>
  <c r="T7134" i="1"/>
  <c r="U7134" i="1"/>
  <c r="V7134" i="1"/>
  <c r="W7134" i="1"/>
  <c r="X7134" i="1"/>
  <c r="Y7134" i="1"/>
  <c r="Z7134" i="1"/>
  <c r="A7135" i="1"/>
  <c r="B7135" i="1"/>
  <c r="C7135" i="1"/>
  <c r="D7135" i="1"/>
  <c r="E7135" i="1"/>
  <c r="F7135" i="1"/>
  <c r="G7135" i="1"/>
  <c r="I7135" i="1"/>
  <c r="J7135" i="1"/>
  <c r="K7135" i="1"/>
  <c r="L7135" i="1"/>
  <c r="M7135" i="1"/>
  <c r="N7135" i="1"/>
  <c r="O7135" i="1"/>
  <c r="P7135" i="1"/>
  <c r="Q7135" i="1"/>
  <c r="R7135" i="1"/>
  <c r="S7135" i="1"/>
  <c r="T7135" i="1"/>
  <c r="U7135" i="1"/>
  <c r="V7135" i="1"/>
  <c r="W7135" i="1"/>
  <c r="X7135" i="1"/>
  <c r="Y7135" i="1"/>
  <c r="Z7135" i="1"/>
  <c r="A7136" i="1"/>
  <c r="B7136" i="1"/>
  <c r="C7136" i="1"/>
  <c r="D7136" i="1"/>
  <c r="E7136" i="1"/>
  <c r="F7136" i="1"/>
  <c r="G7136" i="1"/>
  <c r="I7136" i="1"/>
  <c r="J7136" i="1"/>
  <c r="K7136" i="1"/>
  <c r="L7136" i="1"/>
  <c r="M7136" i="1"/>
  <c r="N7136" i="1"/>
  <c r="O7136" i="1"/>
  <c r="P7136" i="1"/>
  <c r="Q7136" i="1"/>
  <c r="R7136" i="1"/>
  <c r="S7136" i="1"/>
  <c r="T7136" i="1"/>
  <c r="U7136" i="1"/>
  <c r="V7136" i="1"/>
  <c r="W7136" i="1"/>
  <c r="X7136" i="1"/>
  <c r="Y7136" i="1"/>
  <c r="Z7136" i="1"/>
  <c r="A7137" i="1"/>
  <c r="B7137" i="1"/>
  <c r="C7137" i="1"/>
  <c r="D7137" i="1"/>
  <c r="E7137" i="1"/>
  <c r="F7137" i="1"/>
  <c r="G7137" i="1"/>
  <c r="I7137" i="1"/>
  <c r="J7137" i="1"/>
  <c r="K7137" i="1"/>
  <c r="L7137" i="1"/>
  <c r="M7137" i="1"/>
  <c r="N7137" i="1"/>
  <c r="O7137" i="1"/>
  <c r="P7137" i="1"/>
  <c r="Q7137" i="1"/>
  <c r="R7137" i="1"/>
  <c r="S7137" i="1"/>
  <c r="T7137" i="1"/>
  <c r="U7137" i="1"/>
  <c r="V7137" i="1"/>
  <c r="W7137" i="1"/>
  <c r="X7137" i="1"/>
  <c r="Y7137" i="1"/>
  <c r="Z7137" i="1"/>
  <c r="A7138" i="1"/>
  <c r="B7138" i="1"/>
  <c r="C7138" i="1"/>
  <c r="D7138" i="1"/>
  <c r="E7138" i="1"/>
  <c r="F7138" i="1"/>
  <c r="G7138" i="1"/>
  <c r="I7138" i="1"/>
  <c r="J7138" i="1"/>
  <c r="K7138" i="1"/>
  <c r="L7138" i="1"/>
  <c r="M7138" i="1"/>
  <c r="N7138" i="1"/>
  <c r="O7138" i="1"/>
  <c r="P7138" i="1"/>
  <c r="Q7138" i="1"/>
  <c r="R7138" i="1"/>
  <c r="S7138" i="1"/>
  <c r="T7138" i="1"/>
  <c r="U7138" i="1"/>
  <c r="V7138" i="1"/>
  <c r="W7138" i="1"/>
  <c r="X7138" i="1"/>
  <c r="Y7138" i="1"/>
  <c r="Z7138" i="1"/>
  <c r="A7139" i="1"/>
  <c r="B7139" i="1"/>
  <c r="C7139" i="1"/>
  <c r="D7139" i="1"/>
  <c r="E7139" i="1"/>
  <c r="F7139" i="1"/>
  <c r="G7139" i="1"/>
  <c r="I7139" i="1"/>
  <c r="J7139" i="1"/>
  <c r="K7139" i="1"/>
  <c r="L7139" i="1"/>
  <c r="M7139" i="1"/>
  <c r="N7139" i="1"/>
  <c r="O7139" i="1"/>
  <c r="P7139" i="1"/>
  <c r="Q7139" i="1"/>
  <c r="R7139" i="1"/>
  <c r="S7139" i="1"/>
  <c r="T7139" i="1"/>
  <c r="U7139" i="1"/>
  <c r="V7139" i="1"/>
  <c r="W7139" i="1"/>
  <c r="X7139" i="1"/>
  <c r="Y7139" i="1"/>
  <c r="Z7139" i="1"/>
  <c r="A7140" i="1"/>
  <c r="B7140" i="1"/>
  <c r="C7140" i="1"/>
  <c r="D7140" i="1"/>
  <c r="E7140" i="1"/>
  <c r="F7140" i="1"/>
  <c r="G7140" i="1"/>
  <c r="I7140" i="1"/>
  <c r="J7140" i="1"/>
  <c r="K7140" i="1"/>
  <c r="L7140" i="1"/>
  <c r="M7140" i="1"/>
  <c r="N7140" i="1"/>
  <c r="O7140" i="1"/>
  <c r="P7140" i="1"/>
  <c r="Q7140" i="1"/>
  <c r="R7140" i="1"/>
  <c r="S7140" i="1"/>
  <c r="T7140" i="1"/>
  <c r="U7140" i="1"/>
  <c r="V7140" i="1"/>
  <c r="W7140" i="1"/>
  <c r="X7140" i="1"/>
  <c r="Y7140" i="1"/>
  <c r="Z7140" i="1"/>
  <c r="A7141" i="1"/>
  <c r="B7141" i="1"/>
  <c r="C7141" i="1"/>
  <c r="D7141" i="1"/>
  <c r="E7141" i="1"/>
  <c r="F7141" i="1"/>
  <c r="G7141" i="1"/>
  <c r="I7141" i="1"/>
  <c r="J7141" i="1"/>
  <c r="K7141" i="1"/>
  <c r="L7141" i="1"/>
  <c r="M7141" i="1"/>
  <c r="N7141" i="1"/>
  <c r="O7141" i="1"/>
  <c r="P7141" i="1"/>
  <c r="Q7141" i="1"/>
  <c r="R7141" i="1"/>
  <c r="S7141" i="1"/>
  <c r="T7141" i="1"/>
  <c r="U7141" i="1"/>
  <c r="V7141" i="1"/>
  <c r="W7141" i="1"/>
  <c r="X7141" i="1"/>
  <c r="Y7141" i="1"/>
  <c r="Z7141" i="1"/>
  <c r="A7142" i="1"/>
  <c r="B7142" i="1"/>
  <c r="C7142" i="1"/>
  <c r="D7142" i="1"/>
  <c r="E7142" i="1"/>
  <c r="F7142" i="1"/>
  <c r="G7142" i="1"/>
  <c r="I7142" i="1"/>
  <c r="J7142" i="1"/>
  <c r="K7142" i="1"/>
  <c r="L7142" i="1"/>
  <c r="M7142" i="1"/>
  <c r="N7142" i="1"/>
  <c r="O7142" i="1"/>
  <c r="P7142" i="1"/>
  <c r="Q7142" i="1"/>
  <c r="R7142" i="1"/>
  <c r="S7142" i="1"/>
  <c r="T7142" i="1"/>
  <c r="U7142" i="1"/>
  <c r="V7142" i="1"/>
  <c r="W7142" i="1"/>
  <c r="X7142" i="1"/>
  <c r="Y7142" i="1"/>
  <c r="Z7142" i="1"/>
  <c r="A7143" i="1"/>
  <c r="B7143" i="1"/>
  <c r="C7143" i="1"/>
  <c r="D7143" i="1"/>
  <c r="E7143" i="1"/>
  <c r="F7143" i="1"/>
  <c r="G7143" i="1"/>
  <c r="I7143" i="1"/>
  <c r="J7143" i="1"/>
  <c r="K7143" i="1"/>
  <c r="L7143" i="1"/>
  <c r="M7143" i="1"/>
  <c r="N7143" i="1"/>
  <c r="O7143" i="1"/>
  <c r="P7143" i="1"/>
  <c r="Q7143" i="1"/>
  <c r="R7143" i="1"/>
  <c r="S7143" i="1"/>
  <c r="T7143" i="1"/>
  <c r="U7143" i="1"/>
  <c r="V7143" i="1"/>
  <c r="W7143" i="1"/>
  <c r="X7143" i="1"/>
  <c r="Y7143" i="1"/>
  <c r="Z7143" i="1"/>
  <c r="A7144" i="1"/>
  <c r="B7144" i="1"/>
  <c r="C7144" i="1"/>
  <c r="D7144" i="1"/>
  <c r="E7144" i="1"/>
  <c r="F7144" i="1"/>
  <c r="G7144" i="1"/>
  <c r="I7144" i="1"/>
  <c r="J7144" i="1"/>
  <c r="K7144" i="1"/>
  <c r="L7144" i="1"/>
  <c r="M7144" i="1"/>
  <c r="N7144" i="1"/>
  <c r="O7144" i="1"/>
  <c r="P7144" i="1"/>
  <c r="Q7144" i="1"/>
  <c r="R7144" i="1"/>
  <c r="S7144" i="1"/>
  <c r="T7144" i="1"/>
  <c r="U7144" i="1"/>
  <c r="V7144" i="1"/>
  <c r="W7144" i="1"/>
  <c r="X7144" i="1"/>
  <c r="Y7144" i="1"/>
  <c r="Z7144" i="1"/>
  <c r="A7145" i="1"/>
  <c r="B7145" i="1"/>
  <c r="C7145" i="1"/>
  <c r="D7145" i="1"/>
  <c r="E7145" i="1"/>
  <c r="F7145" i="1"/>
  <c r="G7145" i="1"/>
  <c r="I7145" i="1"/>
  <c r="J7145" i="1"/>
  <c r="K7145" i="1"/>
  <c r="L7145" i="1"/>
  <c r="M7145" i="1"/>
  <c r="N7145" i="1"/>
  <c r="O7145" i="1"/>
  <c r="P7145" i="1"/>
  <c r="Q7145" i="1"/>
  <c r="R7145" i="1"/>
  <c r="S7145" i="1"/>
  <c r="T7145" i="1"/>
  <c r="U7145" i="1"/>
  <c r="V7145" i="1"/>
  <c r="W7145" i="1"/>
  <c r="X7145" i="1"/>
  <c r="Y7145" i="1"/>
  <c r="Z7145" i="1"/>
  <c r="A7146" i="1"/>
  <c r="B7146" i="1"/>
  <c r="C7146" i="1"/>
  <c r="D7146" i="1"/>
  <c r="E7146" i="1"/>
  <c r="F7146" i="1"/>
  <c r="G7146" i="1"/>
  <c r="I7146" i="1"/>
  <c r="J7146" i="1"/>
  <c r="K7146" i="1"/>
  <c r="L7146" i="1"/>
  <c r="M7146" i="1"/>
  <c r="N7146" i="1"/>
  <c r="O7146" i="1"/>
  <c r="P7146" i="1"/>
  <c r="Q7146" i="1"/>
  <c r="R7146" i="1"/>
  <c r="S7146" i="1"/>
  <c r="T7146" i="1"/>
  <c r="U7146" i="1"/>
  <c r="V7146" i="1"/>
  <c r="W7146" i="1"/>
  <c r="X7146" i="1"/>
  <c r="Y7146" i="1"/>
  <c r="Z7146" i="1"/>
  <c r="A7147" i="1"/>
  <c r="B7147" i="1"/>
  <c r="C7147" i="1"/>
  <c r="D7147" i="1"/>
  <c r="E7147" i="1"/>
  <c r="F7147" i="1"/>
  <c r="G7147" i="1"/>
  <c r="I7147" i="1"/>
  <c r="J7147" i="1"/>
  <c r="K7147" i="1"/>
  <c r="L7147" i="1"/>
  <c r="M7147" i="1"/>
  <c r="N7147" i="1"/>
  <c r="O7147" i="1"/>
  <c r="P7147" i="1"/>
  <c r="Q7147" i="1"/>
  <c r="R7147" i="1"/>
  <c r="S7147" i="1"/>
  <c r="T7147" i="1"/>
  <c r="U7147" i="1"/>
  <c r="V7147" i="1"/>
  <c r="W7147" i="1"/>
  <c r="X7147" i="1"/>
  <c r="Y7147" i="1"/>
  <c r="Z7147" i="1"/>
  <c r="A7148" i="1"/>
  <c r="B7148" i="1"/>
  <c r="C7148" i="1"/>
  <c r="D7148" i="1"/>
  <c r="E7148" i="1"/>
  <c r="F7148" i="1"/>
  <c r="G7148" i="1"/>
  <c r="I7148" i="1"/>
  <c r="J7148" i="1"/>
  <c r="K7148" i="1"/>
  <c r="L7148" i="1"/>
  <c r="M7148" i="1"/>
  <c r="N7148" i="1"/>
  <c r="O7148" i="1"/>
  <c r="P7148" i="1"/>
  <c r="Q7148" i="1"/>
  <c r="R7148" i="1"/>
  <c r="S7148" i="1"/>
  <c r="T7148" i="1"/>
  <c r="U7148" i="1"/>
  <c r="V7148" i="1"/>
  <c r="W7148" i="1"/>
  <c r="X7148" i="1"/>
  <c r="Y7148" i="1"/>
  <c r="Z7148" i="1"/>
  <c r="A7149" i="1"/>
  <c r="B7149" i="1"/>
  <c r="C7149" i="1"/>
  <c r="D7149" i="1"/>
  <c r="E7149" i="1"/>
  <c r="F7149" i="1"/>
  <c r="G7149" i="1"/>
  <c r="I7149" i="1"/>
  <c r="J7149" i="1"/>
  <c r="K7149" i="1"/>
  <c r="L7149" i="1"/>
  <c r="M7149" i="1"/>
  <c r="N7149" i="1"/>
  <c r="O7149" i="1"/>
  <c r="P7149" i="1"/>
  <c r="Q7149" i="1"/>
  <c r="R7149" i="1"/>
  <c r="S7149" i="1"/>
  <c r="T7149" i="1"/>
  <c r="U7149" i="1"/>
  <c r="V7149" i="1"/>
  <c r="W7149" i="1"/>
  <c r="X7149" i="1"/>
  <c r="Y7149" i="1"/>
  <c r="Z7149" i="1"/>
  <c r="A7150" i="1"/>
  <c r="B7150" i="1"/>
  <c r="C7150" i="1"/>
  <c r="D7150" i="1"/>
  <c r="E7150" i="1"/>
  <c r="F7150" i="1"/>
  <c r="G7150" i="1"/>
  <c r="I7150" i="1"/>
  <c r="J7150" i="1"/>
  <c r="K7150" i="1"/>
  <c r="L7150" i="1"/>
  <c r="M7150" i="1"/>
  <c r="N7150" i="1"/>
  <c r="O7150" i="1"/>
  <c r="P7150" i="1"/>
  <c r="Q7150" i="1"/>
  <c r="R7150" i="1"/>
  <c r="S7150" i="1"/>
  <c r="T7150" i="1"/>
  <c r="U7150" i="1"/>
  <c r="V7150" i="1"/>
  <c r="W7150" i="1"/>
  <c r="X7150" i="1"/>
  <c r="Y7150" i="1"/>
  <c r="Z7150" i="1"/>
  <c r="A7151" i="1"/>
  <c r="B7151" i="1"/>
  <c r="C7151" i="1"/>
  <c r="D7151" i="1"/>
  <c r="E7151" i="1"/>
  <c r="F7151" i="1"/>
  <c r="G7151" i="1"/>
  <c r="I7151" i="1"/>
  <c r="J7151" i="1"/>
  <c r="K7151" i="1"/>
  <c r="L7151" i="1"/>
  <c r="M7151" i="1"/>
  <c r="N7151" i="1"/>
  <c r="O7151" i="1"/>
  <c r="P7151" i="1"/>
  <c r="Q7151" i="1"/>
  <c r="R7151" i="1"/>
  <c r="S7151" i="1"/>
  <c r="T7151" i="1"/>
  <c r="U7151" i="1"/>
  <c r="V7151" i="1"/>
  <c r="W7151" i="1"/>
  <c r="X7151" i="1"/>
  <c r="Y7151" i="1"/>
  <c r="Z7151" i="1"/>
  <c r="A7152" i="1"/>
  <c r="B7152" i="1"/>
  <c r="C7152" i="1"/>
  <c r="D7152" i="1"/>
  <c r="E7152" i="1"/>
  <c r="F7152" i="1"/>
  <c r="G7152" i="1"/>
  <c r="I7152" i="1"/>
  <c r="J7152" i="1"/>
  <c r="K7152" i="1"/>
  <c r="L7152" i="1"/>
  <c r="M7152" i="1"/>
  <c r="N7152" i="1"/>
  <c r="O7152" i="1"/>
  <c r="P7152" i="1"/>
  <c r="Q7152" i="1"/>
  <c r="R7152" i="1"/>
  <c r="S7152" i="1"/>
  <c r="T7152" i="1"/>
  <c r="U7152" i="1"/>
  <c r="V7152" i="1"/>
  <c r="W7152" i="1"/>
  <c r="X7152" i="1"/>
  <c r="Y7152" i="1"/>
  <c r="Z7152" i="1"/>
  <c r="A7153" i="1"/>
  <c r="B7153" i="1"/>
  <c r="C7153" i="1"/>
  <c r="D7153" i="1"/>
  <c r="E7153" i="1"/>
  <c r="F7153" i="1"/>
  <c r="G7153" i="1"/>
  <c r="I7153" i="1"/>
  <c r="J7153" i="1"/>
  <c r="K7153" i="1"/>
  <c r="L7153" i="1"/>
  <c r="M7153" i="1"/>
  <c r="N7153" i="1"/>
  <c r="O7153" i="1"/>
  <c r="P7153" i="1"/>
  <c r="Q7153" i="1"/>
  <c r="R7153" i="1"/>
  <c r="S7153" i="1"/>
  <c r="T7153" i="1"/>
  <c r="U7153" i="1"/>
  <c r="V7153" i="1"/>
  <c r="W7153" i="1"/>
  <c r="X7153" i="1"/>
  <c r="Y7153" i="1"/>
  <c r="Z7153" i="1"/>
  <c r="A7154" i="1"/>
  <c r="B7154" i="1"/>
  <c r="C7154" i="1"/>
  <c r="D7154" i="1"/>
  <c r="E7154" i="1"/>
  <c r="F7154" i="1"/>
  <c r="G7154" i="1"/>
  <c r="I7154" i="1"/>
  <c r="J7154" i="1"/>
  <c r="K7154" i="1"/>
  <c r="L7154" i="1"/>
  <c r="M7154" i="1"/>
  <c r="N7154" i="1"/>
  <c r="O7154" i="1"/>
  <c r="P7154" i="1"/>
  <c r="Q7154" i="1"/>
  <c r="R7154" i="1"/>
  <c r="S7154" i="1"/>
  <c r="T7154" i="1"/>
  <c r="U7154" i="1"/>
  <c r="V7154" i="1"/>
  <c r="W7154" i="1"/>
  <c r="X7154" i="1"/>
  <c r="Y7154" i="1"/>
  <c r="Z7154" i="1"/>
  <c r="A7155" i="1"/>
  <c r="B7155" i="1"/>
  <c r="C7155" i="1"/>
  <c r="D7155" i="1"/>
  <c r="E7155" i="1"/>
  <c r="F7155" i="1"/>
  <c r="G7155" i="1"/>
  <c r="I7155" i="1"/>
  <c r="J7155" i="1"/>
  <c r="K7155" i="1"/>
  <c r="L7155" i="1"/>
  <c r="M7155" i="1"/>
  <c r="N7155" i="1"/>
  <c r="O7155" i="1"/>
  <c r="P7155" i="1"/>
  <c r="Q7155" i="1"/>
  <c r="R7155" i="1"/>
  <c r="S7155" i="1"/>
  <c r="T7155" i="1"/>
  <c r="U7155" i="1"/>
  <c r="V7155" i="1"/>
  <c r="W7155" i="1"/>
  <c r="X7155" i="1"/>
  <c r="Y7155" i="1"/>
  <c r="Z7155" i="1"/>
  <c r="A7156" i="1"/>
  <c r="B7156" i="1"/>
  <c r="C7156" i="1"/>
  <c r="D7156" i="1"/>
  <c r="E7156" i="1"/>
  <c r="F7156" i="1"/>
  <c r="G7156" i="1"/>
  <c r="I7156" i="1"/>
  <c r="J7156" i="1"/>
  <c r="K7156" i="1"/>
  <c r="L7156" i="1"/>
  <c r="M7156" i="1"/>
  <c r="N7156" i="1"/>
  <c r="O7156" i="1"/>
  <c r="P7156" i="1"/>
  <c r="Q7156" i="1"/>
  <c r="R7156" i="1"/>
  <c r="S7156" i="1"/>
  <c r="T7156" i="1"/>
  <c r="U7156" i="1"/>
  <c r="V7156" i="1"/>
  <c r="W7156" i="1"/>
  <c r="X7156" i="1"/>
  <c r="Y7156" i="1"/>
  <c r="Z7156" i="1"/>
  <c r="A7157" i="1"/>
  <c r="B7157" i="1"/>
  <c r="C7157" i="1"/>
  <c r="D7157" i="1"/>
  <c r="E7157" i="1"/>
  <c r="F7157" i="1"/>
  <c r="G7157" i="1"/>
  <c r="I7157" i="1"/>
  <c r="J7157" i="1"/>
  <c r="K7157" i="1"/>
  <c r="L7157" i="1"/>
  <c r="M7157" i="1"/>
  <c r="N7157" i="1"/>
  <c r="O7157" i="1"/>
  <c r="P7157" i="1"/>
  <c r="Q7157" i="1"/>
  <c r="R7157" i="1"/>
  <c r="S7157" i="1"/>
  <c r="T7157" i="1"/>
  <c r="U7157" i="1"/>
  <c r="V7157" i="1"/>
  <c r="W7157" i="1"/>
  <c r="X7157" i="1"/>
  <c r="Y7157" i="1"/>
  <c r="Z7157" i="1"/>
  <c r="A7158" i="1"/>
  <c r="B7158" i="1"/>
  <c r="C7158" i="1"/>
  <c r="D7158" i="1"/>
  <c r="E7158" i="1"/>
  <c r="F7158" i="1"/>
  <c r="G7158" i="1"/>
  <c r="I7158" i="1"/>
  <c r="J7158" i="1"/>
  <c r="K7158" i="1"/>
  <c r="L7158" i="1"/>
  <c r="M7158" i="1"/>
  <c r="N7158" i="1"/>
  <c r="O7158" i="1"/>
  <c r="P7158" i="1"/>
  <c r="Q7158" i="1"/>
  <c r="R7158" i="1"/>
  <c r="S7158" i="1"/>
  <c r="T7158" i="1"/>
  <c r="U7158" i="1"/>
  <c r="V7158" i="1"/>
  <c r="W7158" i="1"/>
  <c r="X7158" i="1"/>
  <c r="Y7158" i="1"/>
  <c r="Z7158" i="1"/>
  <c r="A7159" i="1"/>
  <c r="B7159" i="1"/>
  <c r="C7159" i="1"/>
  <c r="D7159" i="1"/>
  <c r="E7159" i="1"/>
  <c r="F7159" i="1"/>
  <c r="G7159" i="1"/>
  <c r="I7159" i="1"/>
  <c r="J7159" i="1"/>
  <c r="K7159" i="1"/>
  <c r="L7159" i="1"/>
  <c r="M7159" i="1"/>
  <c r="N7159" i="1"/>
  <c r="O7159" i="1"/>
  <c r="P7159" i="1"/>
  <c r="Q7159" i="1"/>
  <c r="R7159" i="1"/>
  <c r="S7159" i="1"/>
  <c r="T7159" i="1"/>
  <c r="U7159" i="1"/>
  <c r="V7159" i="1"/>
  <c r="W7159" i="1"/>
  <c r="X7159" i="1"/>
  <c r="Y7159" i="1"/>
  <c r="Z7159" i="1"/>
  <c r="A7160" i="1"/>
  <c r="B7160" i="1"/>
  <c r="C7160" i="1"/>
  <c r="D7160" i="1"/>
  <c r="E7160" i="1"/>
  <c r="F7160" i="1"/>
  <c r="G7160" i="1"/>
  <c r="I7160" i="1"/>
  <c r="J7160" i="1"/>
  <c r="K7160" i="1"/>
  <c r="L7160" i="1"/>
  <c r="M7160" i="1"/>
  <c r="N7160" i="1"/>
  <c r="O7160" i="1"/>
  <c r="P7160" i="1"/>
  <c r="Q7160" i="1"/>
  <c r="R7160" i="1"/>
  <c r="S7160" i="1"/>
  <c r="T7160" i="1"/>
  <c r="U7160" i="1"/>
  <c r="V7160" i="1"/>
  <c r="W7160" i="1"/>
  <c r="X7160" i="1"/>
  <c r="Y7160" i="1"/>
  <c r="Z7160" i="1"/>
  <c r="A7161" i="1"/>
  <c r="B7161" i="1"/>
  <c r="C7161" i="1"/>
  <c r="D7161" i="1"/>
  <c r="E7161" i="1"/>
  <c r="F7161" i="1"/>
  <c r="G7161" i="1"/>
  <c r="I7161" i="1"/>
  <c r="J7161" i="1"/>
  <c r="K7161" i="1"/>
  <c r="L7161" i="1"/>
  <c r="M7161" i="1"/>
  <c r="N7161" i="1"/>
  <c r="O7161" i="1"/>
  <c r="P7161" i="1"/>
  <c r="Q7161" i="1"/>
  <c r="R7161" i="1"/>
  <c r="S7161" i="1"/>
  <c r="T7161" i="1"/>
  <c r="U7161" i="1"/>
  <c r="V7161" i="1"/>
  <c r="W7161" i="1"/>
  <c r="X7161" i="1"/>
  <c r="Y7161" i="1"/>
  <c r="Z7161" i="1"/>
  <c r="A7162" i="1"/>
  <c r="B7162" i="1"/>
  <c r="C7162" i="1"/>
  <c r="D7162" i="1"/>
  <c r="E7162" i="1"/>
  <c r="F7162" i="1"/>
  <c r="G7162" i="1"/>
  <c r="I7162" i="1"/>
  <c r="J7162" i="1"/>
  <c r="K7162" i="1"/>
  <c r="L7162" i="1"/>
  <c r="M7162" i="1"/>
  <c r="N7162" i="1"/>
  <c r="O7162" i="1"/>
  <c r="P7162" i="1"/>
  <c r="Q7162" i="1"/>
  <c r="R7162" i="1"/>
  <c r="S7162" i="1"/>
  <c r="T7162" i="1"/>
  <c r="U7162" i="1"/>
  <c r="V7162" i="1"/>
  <c r="W7162" i="1"/>
  <c r="X7162" i="1"/>
  <c r="Y7162" i="1"/>
  <c r="Z7162" i="1"/>
  <c r="A7163" i="1"/>
  <c r="B7163" i="1"/>
  <c r="C7163" i="1"/>
  <c r="D7163" i="1"/>
  <c r="E7163" i="1"/>
  <c r="F7163" i="1"/>
  <c r="G7163" i="1"/>
  <c r="I7163" i="1"/>
  <c r="J7163" i="1"/>
  <c r="K7163" i="1"/>
  <c r="L7163" i="1"/>
  <c r="M7163" i="1"/>
  <c r="N7163" i="1"/>
  <c r="O7163" i="1"/>
  <c r="P7163" i="1"/>
  <c r="Q7163" i="1"/>
  <c r="R7163" i="1"/>
  <c r="S7163" i="1"/>
  <c r="T7163" i="1"/>
  <c r="U7163" i="1"/>
  <c r="V7163" i="1"/>
  <c r="W7163" i="1"/>
  <c r="X7163" i="1"/>
  <c r="Y7163" i="1"/>
  <c r="Z7163" i="1"/>
  <c r="A7164" i="1"/>
  <c r="B7164" i="1"/>
  <c r="C7164" i="1"/>
  <c r="D7164" i="1"/>
  <c r="E7164" i="1"/>
  <c r="F7164" i="1"/>
  <c r="G7164" i="1"/>
  <c r="I7164" i="1"/>
  <c r="J7164" i="1"/>
  <c r="K7164" i="1"/>
  <c r="L7164" i="1"/>
  <c r="M7164" i="1"/>
  <c r="N7164" i="1"/>
  <c r="O7164" i="1"/>
  <c r="P7164" i="1"/>
  <c r="Q7164" i="1"/>
  <c r="R7164" i="1"/>
  <c r="S7164" i="1"/>
  <c r="T7164" i="1"/>
  <c r="U7164" i="1"/>
  <c r="V7164" i="1"/>
  <c r="W7164" i="1"/>
  <c r="X7164" i="1"/>
  <c r="Y7164" i="1"/>
  <c r="Z7164" i="1"/>
  <c r="A7165" i="1"/>
  <c r="B7165" i="1"/>
  <c r="C7165" i="1"/>
  <c r="D7165" i="1"/>
  <c r="E7165" i="1"/>
  <c r="F7165" i="1"/>
  <c r="G7165" i="1"/>
  <c r="I7165" i="1"/>
  <c r="J7165" i="1"/>
  <c r="K7165" i="1"/>
  <c r="L7165" i="1"/>
  <c r="M7165" i="1"/>
  <c r="N7165" i="1"/>
  <c r="O7165" i="1"/>
  <c r="P7165" i="1"/>
  <c r="Q7165" i="1"/>
  <c r="R7165" i="1"/>
  <c r="S7165" i="1"/>
  <c r="T7165" i="1"/>
  <c r="U7165" i="1"/>
  <c r="V7165" i="1"/>
  <c r="W7165" i="1"/>
  <c r="X7165" i="1"/>
  <c r="Y7165" i="1"/>
  <c r="Z7165" i="1"/>
  <c r="A7166" i="1"/>
  <c r="B7166" i="1"/>
  <c r="C7166" i="1"/>
  <c r="D7166" i="1"/>
  <c r="E7166" i="1"/>
  <c r="F7166" i="1"/>
  <c r="G7166" i="1"/>
  <c r="I7166" i="1"/>
  <c r="J7166" i="1"/>
  <c r="K7166" i="1"/>
  <c r="L7166" i="1"/>
  <c r="M7166" i="1"/>
  <c r="N7166" i="1"/>
  <c r="O7166" i="1"/>
  <c r="P7166" i="1"/>
  <c r="Q7166" i="1"/>
  <c r="R7166" i="1"/>
  <c r="S7166" i="1"/>
  <c r="T7166" i="1"/>
  <c r="U7166" i="1"/>
  <c r="V7166" i="1"/>
  <c r="W7166" i="1"/>
  <c r="X7166" i="1"/>
  <c r="Y7166" i="1"/>
  <c r="Z7166" i="1"/>
  <c r="A7167" i="1"/>
  <c r="B7167" i="1"/>
  <c r="C7167" i="1"/>
  <c r="D7167" i="1"/>
  <c r="E7167" i="1"/>
  <c r="F7167" i="1"/>
  <c r="G7167" i="1"/>
  <c r="I7167" i="1"/>
  <c r="J7167" i="1"/>
  <c r="K7167" i="1"/>
  <c r="L7167" i="1"/>
  <c r="M7167" i="1"/>
  <c r="N7167" i="1"/>
  <c r="O7167" i="1"/>
  <c r="P7167" i="1"/>
  <c r="Q7167" i="1"/>
  <c r="R7167" i="1"/>
  <c r="S7167" i="1"/>
  <c r="T7167" i="1"/>
  <c r="U7167" i="1"/>
  <c r="V7167" i="1"/>
  <c r="W7167" i="1"/>
  <c r="X7167" i="1"/>
  <c r="Y7167" i="1"/>
  <c r="Z7167" i="1"/>
  <c r="A7168" i="1"/>
  <c r="B7168" i="1"/>
  <c r="C7168" i="1"/>
  <c r="D7168" i="1"/>
  <c r="E7168" i="1"/>
  <c r="F7168" i="1"/>
  <c r="G7168" i="1"/>
  <c r="I7168" i="1"/>
  <c r="J7168" i="1"/>
  <c r="K7168" i="1"/>
  <c r="L7168" i="1"/>
  <c r="M7168" i="1"/>
  <c r="N7168" i="1"/>
  <c r="O7168" i="1"/>
  <c r="P7168" i="1"/>
  <c r="Q7168" i="1"/>
  <c r="R7168" i="1"/>
  <c r="S7168" i="1"/>
  <c r="T7168" i="1"/>
  <c r="U7168" i="1"/>
  <c r="V7168" i="1"/>
  <c r="W7168" i="1"/>
  <c r="X7168" i="1"/>
  <c r="Y7168" i="1"/>
  <c r="Z7168" i="1"/>
  <c r="A7169" i="1"/>
  <c r="B7169" i="1"/>
  <c r="C7169" i="1"/>
  <c r="D7169" i="1"/>
  <c r="E7169" i="1"/>
  <c r="F7169" i="1"/>
  <c r="G7169" i="1"/>
  <c r="I7169" i="1"/>
  <c r="J7169" i="1"/>
  <c r="K7169" i="1"/>
  <c r="L7169" i="1"/>
  <c r="M7169" i="1"/>
  <c r="N7169" i="1"/>
  <c r="O7169" i="1"/>
  <c r="P7169" i="1"/>
  <c r="Q7169" i="1"/>
  <c r="R7169" i="1"/>
  <c r="S7169" i="1"/>
  <c r="T7169" i="1"/>
  <c r="U7169" i="1"/>
  <c r="V7169" i="1"/>
  <c r="W7169" i="1"/>
  <c r="X7169" i="1"/>
  <c r="Y7169" i="1"/>
  <c r="Z7169" i="1"/>
  <c r="A7170" i="1"/>
  <c r="B7170" i="1"/>
  <c r="C7170" i="1"/>
  <c r="D7170" i="1"/>
  <c r="E7170" i="1"/>
  <c r="F7170" i="1"/>
  <c r="G7170" i="1"/>
  <c r="I7170" i="1"/>
  <c r="J7170" i="1"/>
  <c r="K7170" i="1"/>
  <c r="L7170" i="1"/>
  <c r="M7170" i="1"/>
  <c r="N7170" i="1"/>
  <c r="O7170" i="1"/>
  <c r="P7170" i="1"/>
  <c r="Q7170" i="1"/>
  <c r="R7170" i="1"/>
  <c r="S7170" i="1"/>
  <c r="T7170" i="1"/>
  <c r="U7170" i="1"/>
  <c r="V7170" i="1"/>
  <c r="W7170" i="1"/>
  <c r="X7170" i="1"/>
  <c r="Y7170" i="1"/>
  <c r="Z7170" i="1"/>
  <c r="A7171" i="1"/>
  <c r="B7171" i="1"/>
  <c r="C7171" i="1"/>
  <c r="D7171" i="1"/>
  <c r="E7171" i="1"/>
  <c r="F7171" i="1"/>
  <c r="G7171" i="1"/>
  <c r="I7171" i="1"/>
  <c r="J7171" i="1"/>
  <c r="K7171" i="1"/>
  <c r="L7171" i="1"/>
  <c r="M7171" i="1"/>
  <c r="N7171" i="1"/>
  <c r="O7171" i="1"/>
  <c r="P7171" i="1"/>
  <c r="Q7171" i="1"/>
  <c r="R7171" i="1"/>
  <c r="S7171" i="1"/>
  <c r="T7171" i="1"/>
  <c r="U7171" i="1"/>
  <c r="V7171" i="1"/>
  <c r="W7171" i="1"/>
  <c r="X7171" i="1"/>
  <c r="Y7171" i="1"/>
  <c r="Z7171" i="1"/>
  <c r="A7172" i="1"/>
  <c r="B7172" i="1"/>
  <c r="C7172" i="1"/>
  <c r="D7172" i="1"/>
  <c r="E7172" i="1"/>
  <c r="F7172" i="1"/>
  <c r="G7172" i="1"/>
  <c r="I7172" i="1"/>
  <c r="J7172" i="1"/>
  <c r="K7172" i="1"/>
  <c r="L7172" i="1"/>
  <c r="M7172" i="1"/>
  <c r="N7172" i="1"/>
  <c r="O7172" i="1"/>
  <c r="P7172" i="1"/>
  <c r="Q7172" i="1"/>
  <c r="R7172" i="1"/>
  <c r="S7172" i="1"/>
  <c r="T7172" i="1"/>
  <c r="U7172" i="1"/>
  <c r="V7172" i="1"/>
  <c r="W7172" i="1"/>
  <c r="X7172" i="1"/>
  <c r="Y7172" i="1"/>
  <c r="Z7172" i="1"/>
  <c r="A7173" i="1"/>
  <c r="B7173" i="1"/>
  <c r="C7173" i="1"/>
  <c r="D7173" i="1"/>
  <c r="E7173" i="1"/>
  <c r="F7173" i="1"/>
  <c r="G7173" i="1"/>
  <c r="I7173" i="1"/>
  <c r="J7173" i="1"/>
  <c r="K7173" i="1"/>
  <c r="L7173" i="1"/>
  <c r="M7173" i="1"/>
  <c r="N7173" i="1"/>
  <c r="O7173" i="1"/>
  <c r="P7173" i="1"/>
  <c r="Q7173" i="1"/>
  <c r="R7173" i="1"/>
  <c r="S7173" i="1"/>
  <c r="T7173" i="1"/>
  <c r="U7173" i="1"/>
  <c r="V7173" i="1"/>
  <c r="W7173" i="1"/>
  <c r="X7173" i="1"/>
  <c r="Y7173" i="1"/>
  <c r="Z7173" i="1"/>
  <c r="A7174" i="1"/>
  <c r="B7174" i="1"/>
  <c r="C7174" i="1"/>
  <c r="D7174" i="1"/>
  <c r="E7174" i="1"/>
  <c r="F7174" i="1"/>
  <c r="G7174" i="1"/>
  <c r="I7174" i="1"/>
  <c r="J7174" i="1"/>
  <c r="K7174" i="1"/>
  <c r="L7174" i="1"/>
  <c r="M7174" i="1"/>
  <c r="N7174" i="1"/>
  <c r="O7174" i="1"/>
  <c r="P7174" i="1"/>
  <c r="Q7174" i="1"/>
  <c r="R7174" i="1"/>
  <c r="S7174" i="1"/>
  <c r="T7174" i="1"/>
  <c r="U7174" i="1"/>
  <c r="V7174" i="1"/>
  <c r="W7174" i="1"/>
  <c r="X7174" i="1"/>
  <c r="Y7174" i="1"/>
  <c r="Z7174" i="1"/>
  <c r="A7175" i="1"/>
  <c r="B7175" i="1"/>
  <c r="C7175" i="1"/>
  <c r="D7175" i="1"/>
  <c r="E7175" i="1"/>
  <c r="F7175" i="1"/>
  <c r="G7175" i="1"/>
  <c r="I7175" i="1"/>
  <c r="J7175" i="1"/>
  <c r="K7175" i="1"/>
  <c r="L7175" i="1"/>
  <c r="M7175" i="1"/>
  <c r="N7175" i="1"/>
  <c r="O7175" i="1"/>
  <c r="P7175" i="1"/>
  <c r="Q7175" i="1"/>
  <c r="R7175" i="1"/>
  <c r="S7175" i="1"/>
  <c r="T7175" i="1"/>
  <c r="U7175" i="1"/>
  <c r="V7175" i="1"/>
  <c r="W7175" i="1"/>
  <c r="X7175" i="1"/>
  <c r="Y7175" i="1"/>
  <c r="Z7175" i="1"/>
  <c r="A7176" i="1"/>
  <c r="B7176" i="1"/>
  <c r="C7176" i="1"/>
  <c r="D7176" i="1"/>
  <c r="E7176" i="1"/>
  <c r="F7176" i="1"/>
  <c r="G7176" i="1"/>
  <c r="I7176" i="1"/>
  <c r="J7176" i="1"/>
  <c r="K7176" i="1"/>
  <c r="L7176" i="1"/>
  <c r="M7176" i="1"/>
  <c r="N7176" i="1"/>
  <c r="O7176" i="1"/>
  <c r="P7176" i="1"/>
  <c r="Q7176" i="1"/>
  <c r="R7176" i="1"/>
  <c r="S7176" i="1"/>
  <c r="T7176" i="1"/>
  <c r="U7176" i="1"/>
  <c r="V7176" i="1"/>
  <c r="W7176" i="1"/>
  <c r="X7176" i="1"/>
  <c r="Y7176" i="1"/>
  <c r="Z7176" i="1"/>
  <c r="A7177" i="1"/>
  <c r="B7177" i="1"/>
  <c r="C7177" i="1"/>
  <c r="D7177" i="1"/>
  <c r="E7177" i="1"/>
  <c r="F7177" i="1"/>
  <c r="G7177" i="1"/>
  <c r="I7177" i="1"/>
  <c r="J7177" i="1"/>
  <c r="K7177" i="1"/>
  <c r="L7177" i="1"/>
  <c r="M7177" i="1"/>
  <c r="N7177" i="1"/>
  <c r="O7177" i="1"/>
  <c r="P7177" i="1"/>
  <c r="Q7177" i="1"/>
  <c r="R7177" i="1"/>
  <c r="S7177" i="1"/>
  <c r="T7177" i="1"/>
  <c r="U7177" i="1"/>
  <c r="V7177" i="1"/>
  <c r="W7177" i="1"/>
  <c r="X7177" i="1"/>
  <c r="Y7177" i="1"/>
  <c r="Z7177" i="1"/>
  <c r="A7178" i="1"/>
  <c r="B7178" i="1"/>
  <c r="C7178" i="1"/>
  <c r="D7178" i="1"/>
  <c r="E7178" i="1"/>
  <c r="F7178" i="1"/>
  <c r="G7178" i="1"/>
  <c r="I7178" i="1"/>
  <c r="J7178" i="1"/>
  <c r="K7178" i="1"/>
  <c r="L7178" i="1"/>
  <c r="M7178" i="1"/>
  <c r="N7178" i="1"/>
  <c r="O7178" i="1"/>
  <c r="P7178" i="1"/>
  <c r="Q7178" i="1"/>
  <c r="R7178" i="1"/>
  <c r="S7178" i="1"/>
  <c r="T7178" i="1"/>
  <c r="U7178" i="1"/>
  <c r="V7178" i="1"/>
  <c r="W7178" i="1"/>
  <c r="X7178" i="1"/>
  <c r="Y7178" i="1"/>
  <c r="Z7178" i="1"/>
  <c r="A7179" i="1"/>
  <c r="B7179" i="1"/>
  <c r="C7179" i="1"/>
  <c r="D7179" i="1"/>
  <c r="E7179" i="1"/>
  <c r="F7179" i="1"/>
  <c r="G7179" i="1"/>
  <c r="I7179" i="1"/>
  <c r="J7179" i="1"/>
  <c r="K7179" i="1"/>
  <c r="L7179" i="1"/>
  <c r="M7179" i="1"/>
  <c r="N7179" i="1"/>
  <c r="O7179" i="1"/>
  <c r="P7179" i="1"/>
  <c r="Q7179" i="1"/>
  <c r="R7179" i="1"/>
  <c r="S7179" i="1"/>
  <c r="T7179" i="1"/>
  <c r="U7179" i="1"/>
  <c r="V7179" i="1"/>
  <c r="W7179" i="1"/>
  <c r="X7179" i="1"/>
  <c r="Y7179" i="1"/>
  <c r="Z7179" i="1"/>
  <c r="A7180" i="1"/>
  <c r="B7180" i="1"/>
  <c r="C7180" i="1"/>
  <c r="D7180" i="1"/>
  <c r="E7180" i="1"/>
  <c r="F7180" i="1"/>
  <c r="G7180" i="1"/>
  <c r="I7180" i="1"/>
  <c r="J7180" i="1"/>
  <c r="K7180" i="1"/>
  <c r="L7180" i="1"/>
  <c r="M7180" i="1"/>
  <c r="N7180" i="1"/>
  <c r="O7180" i="1"/>
  <c r="P7180" i="1"/>
  <c r="Q7180" i="1"/>
  <c r="R7180" i="1"/>
  <c r="S7180" i="1"/>
  <c r="T7180" i="1"/>
  <c r="U7180" i="1"/>
  <c r="V7180" i="1"/>
  <c r="W7180" i="1"/>
  <c r="X7180" i="1"/>
  <c r="Y7180" i="1"/>
  <c r="Z7180" i="1"/>
  <c r="A7181" i="1"/>
  <c r="B7181" i="1"/>
  <c r="C7181" i="1"/>
  <c r="D7181" i="1"/>
  <c r="E7181" i="1"/>
  <c r="F7181" i="1"/>
  <c r="G7181" i="1"/>
  <c r="I7181" i="1"/>
  <c r="J7181" i="1"/>
  <c r="K7181" i="1"/>
  <c r="L7181" i="1"/>
  <c r="M7181" i="1"/>
  <c r="N7181" i="1"/>
  <c r="O7181" i="1"/>
  <c r="P7181" i="1"/>
  <c r="Q7181" i="1"/>
  <c r="R7181" i="1"/>
  <c r="S7181" i="1"/>
  <c r="T7181" i="1"/>
  <c r="U7181" i="1"/>
  <c r="V7181" i="1"/>
  <c r="W7181" i="1"/>
  <c r="X7181" i="1"/>
  <c r="Y7181" i="1"/>
  <c r="Z7181" i="1"/>
  <c r="A7182" i="1"/>
  <c r="B7182" i="1"/>
  <c r="C7182" i="1"/>
  <c r="D7182" i="1"/>
  <c r="E7182" i="1"/>
  <c r="F7182" i="1"/>
  <c r="G7182" i="1"/>
  <c r="I7182" i="1"/>
  <c r="J7182" i="1"/>
  <c r="K7182" i="1"/>
  <c r="L7182" i="1"/>
  <c r="M7182" i="1"/>
  <c r="N7182" i="1"/>
  <c r="O7182" i="1"/>
  <c r="P7182" i="1"/>
  <c r="Q7182" i="1"/>
  <c r="R7182" i="1"/>
  <c r="S7182" i="1"/>
  <c r="T7182" i="1"/>
  <c r="U7182" i="1"/>
  <c r="V7182" i="1"/>
  <c r="W7182" i="1"/>
  <c r="X7182" i="1"/>
  <c r="Y7182" i="1"/>
  <c r="Z7182" i="1"/>
  <c r="A7183" i="1"/>
  <c r="B7183" i="1"/>
  <c r="C7183" i="1"/>
  <c r="D7183" i="1"/>
  <c r="E7183" i="1"/>
  <c r="F7183" i="1"/>
  <c r="G7183" i="1"/>
  <c r="I7183" i="1"/>
  <c r="J7183" i="1"/>
  <c r="K7183" i="1"/>
  <c r="L7183" i="1"/>
  <c r="M7183" i="1"/>
  <c r="N7183" i="1"/>
  <c r="O7183" i="1"/>
  <c r="P7183" i="1"/>
  <c r="Q7183" i="1"/>
  <c r="R7183" i="1"/>
  <c r="S7183" i="1"/>
  <c r="T7183" i="1"/>
  <c r="U7183" i="1"/>
  <c r="V7183" i="1"/>
  <c r="W7183" i="1"/>
  <c r="X7183" i="1"/>
  <c r="Y7183" i="1"/>
  <c r="Z7183" i="1"/>
  <c r="A7184" i="1"/>
  <c r="B7184" i="1"/>
  <c r="C7184" i="1"/>
  <c r="D7184" i="1"/>
  <c r="E7184" i="1"/>
  <c r="F7184" i="1"/>
  <c r="G7184" i="1"/>
  <c r="I7184" i="1"/>
  <c r="J7184" i="1"/>
  <c r="K7184" i="1"/>
  <c r="L7184" i="1"/>
  <c r="M7184" i="1"/>
  <c r="N7184" i="1"/>
  <c r="O7184" i="1"/>
  <c r="P7184" i="1"/>
  <c r="Q7184" i="1"/>
  <c r="R7184" i="1"/>
  <c r="S7184" i="1"/>
  <c r="T7184" i="1"/>
  <c r="U7184" i="1"/>
  <c r="V7184" i="1"/>
  <c r="W7184" i="1"/>
  <c r="X7184" i="1"/>
  <c r="Y7184" i="1"/>
  <c r="Z7184" i="1"/>
  <c r="A7185" i="1"/>
  <c r="B7185" i="1"/>
  <c r="C7185" i="1"/>
  <c r="D7185" i="1"/>
  <c r="E7185" i="1"/>
  <c r="F7185" i="1"/>
  <c r="G7185" i="1"/>
  <c r="I7185" i="1"/>
  <c r="J7185" i="1"/>
  <c r="K7185" i="1"/>
  <c r="L7185" i="1"/>
  <c r="M7185" i="1"/>
  <c r="N7185" i="1"/>
  <c r="O7185" i="1"/>
  <c r="P7185" i="1"/>
  <c r="Q7185" i="1"/>
  <c r="R7185" i="1"/>
  <c r="S7185" i="1"/>
  <c r="T7185" i="1"/>
  <c r="U7185" i="1"/>
  <c r="V7185" i="1"/>
  <c r="W7185" i="1"/>
  <c r="X7185" i="1"/>
  <c r="Y7185" i="1"/>
  <c r="Z7185" i="1"/>
  <c r="A7186" i="1"/>
  <c r="B7186" i="1"/>
  <c r="C7186" i="1"/>
  <c r="D7186" i="1"/>
  <c r="E7186" i="1"/>
  <c r="F7186" i="1"/>
  <c r="G7186" i="1"/>
  <c r="I7186" i="1"/>
  <c r="J7186" i="1"/>
  <c r="K7186" i="1"/>
  <c r="L7186" i="1"/>
  <c r="M7186" i="1"/>
  <c r="N7186" i="1"/>
  <c r="O7186" i="1"/>
  <c r="P7186" i="1"/>
  <c r="Q7186" i="1"/>
  <c r="R7186" i="1"/>
  <c r="S7186" i="1"/>
  <c r="T7186" i="1"/>
  <c r="U7186" i="1"/>
  <c r="V7186" i="1"/>
  <c r="W7186" i="1"/>
  <c r="X7186" i="1"/>
  <c r="Y7186" i="1"/>
  <c r="Z7186" i="1"/>
  <c r="A7187" i="1"/>
  <c r="B7187" i="1"/>
  <c r="C7187" i="1"/>
  <c r="D7187" i="1"/>
  <c r="E7187" i="1"/>
  <c r="F7187" i="1"/>
  <c r="G7187" i="1"/>
  <c r="I7187" i="1"/>
  <c r="J7187" i="1"/>
  <c r="K7187" i="1"/>
  <c r="L7187" i="1"/>
  <c r="M7187" i="1"/>
  <c r="N7187" i="1"/>
  <c r="O7187" i="1"/>
  <c r="P7187" i="1"/>
  <c r="Q7187" i="1"/>
  <c r="R7187" i="1"/>
  <c r="S7187" i="1"/>
  <c r="T7187" i="1"/>
  <c r="U7187" i="1"/>
  <c r="V7187" i="1"/>
  <c r="W7187" i="1"/>
  <c r="X7187" i="1"/>
  <c r="Y7187" i="1"/>
  <c r="Z7187" i="1"/>
  <c r="A7188" i="1"/>
  <c r="B7188" i="1"/>
  <c r="C7188" i="1"/>
  <c r="D7188" i="1"/>
  <c r="E7188" i="1"/>
  <c r="F7188" i="1"/>
  <c r="G7188" i="1"/>
  <c r="I7188" i="1"/>
  <c r="J7188" i="1"/>
  <c r="K7188" i="1"/>
  <c r="L7188" i="1"/>
  <c r="M7188" i="1"/>
  <c r="N7188" i="1"/>
  <c r="O7188" i="1"/>
  <c r="P7188" i="1"/>
  <c r="Q7188" i="1"/>
  <c r="R7188" i="1"/>
  <c r="S7188" i="1"/>
  <c r="T7188" i="1"/>
  <c r="U7188" i="1"/>
  <c r="V7188" i="1"/>
  <c r="W7188" i="1"/>
  <c r="X7188" i="1"/>
  <c r="Y7188" i="1"/>
  <c r="Z7188" i="1"/>
  <c r="A7189" i="1"/>
  <c r="B7189" i="1"/>
  <c r="C7189" i="1"/>
  <c r="D7189" i="1"/>
  <c r="E7189" i="1"/>
  <c r="F7189" i="1"/>
  <c r="G7189" i="1"/>
  <c r="I7189" i="1"/>
  <c r="J7189" i="1"/>
  <c r="K7189" i="1"/>
  <c r="L7189" i="1"/>
  <c r="M7189" i="1"/>
  <c r="N7189" i="1"/>
  <c r="O7189" i="1"/>
  <c r="P7189" i="1"/>
  <c r="Q7189" i="1"/>
  <c r="R7189" i="1"/>
  <c r="S7189" i="1"/>
  <c r="T7189" i="1"/>
  <c r="U7189" i="1"/>
  <c r="V7189" i="1"/>
  <c r="W7189" i="1"/>
  <c r="X7189" i="1"/>
  <c r="Y7189" i="1"/>
  <c r="Z7189" i="1"/>
  <c r="A7190" i="1"/>
  <c r="B7190" i="1"/>
  <c r="C7190" i="1"/>
  <c r="D7190" i="1"/>
  <c r="E7190" i="1"/>
  <c r="F7190" i="1"/>
  <c r="G7190" i="1"/>
  <c r="I7190" i="1"/>
  <c r="J7190" i="1"/>
  <c r="K7190" i="1"/>
  <c r="L7190" i="1"/>
  <c r="M7190" i="1"/>
  <c r="N7190" i="1"/>
  <c r="O7190" i="1"/>
  <c r="P7190" i="1"/>
  <c r="Q7190" i="1"/>
  <c r="R7190" i="1"/>
  <c r="S7190" i="1"/>
  <c r="T7190" i="1"/>
  <c r="U7190" i="1"/>
  <c r="V7190" i="1"/>
  <c r="W7190" i="1"/>
  <c r="X7190" i="1"/>
  <c r="Y7190" i="1"/>
  <c r="Z7190" i="1"/>
  <c r="A7191" i="1"/>
  <c r="B7191" i="1"/>
  <c r="C7191" i="1"/>
  <c r="D7191" i="1"/>
  <c r="E7191" i="1"/>
  <c r="F7191" i="1"/>
  <c r="G7191" i="1"/>
  <c r="I7191" i="1"/>
  <c r="J7191" i="1"/>
  <c r="K7191" i="1"/>
  <c r="L7191" i="1"/>
  <c r="M7191" i="1"/>
  <c r="N7191" i="1"/>
  <c r="O7191" i="1"/>
  <c r="P7191" i="1"/>
  <c r="Q7191" i="1"/>
  <c r="R7191" i="1"/>
  <c r="S7191" i="1"/>
  <c r="T7191" i="1"/>
  <c r="U7191" i="1"/>
  <c r="V7191" i="1"/>
  <c r="W7191" i="1"/>
  <c r="X7191" i="1"/>
  <c r="Y7191" i="1"/>
  <c r="Z7191" i="1"/>
  <c r="A7192" i="1"/>
  <c r="B7192" i="1"/>
  <c r="C7192" i="1"/>
  <c r="D7192" i="1"/>
  <c r="E7192" i="1"/>
  <c r="F7192" i="1"/>
  <c r="G7192" i="1"/>
  <c r="I7192" i="1"/>
  <c r="J7192" i="1"/>
  <c r="K7192" i="1"/>
  <c r="L7192" i="1"/>
  <c r="M7192" i="1"/>
  <c r="N7192" i="1"/>
  <c r="O7192" i="1"/>
  <c r="P7192" i="1"/>
  <c r="Q7192" i="1"/>
  <c r="R7192" i="1"/>
  <c r="S7192" i="1"/>
  <c r="T7192" i="1"/>
  <c r="U7192" i="1"/>
  <c r="V7192" i="1"/>
  <c r="W7192" i="1"/>
  <c r="X7192" i="1"/>
  <c r="Y7192" i="1"/>
  <c r="Z7192" i="1"/>
  <c r="A7193" i="1"/>
  <c r="B7193" i="1"/>
  <c r="C7193" i="1"/>
  <c r="D7193" i="1"/>
  <c r="E7193" i="1"/>
  <c r="F7193" i="1"/>
  <c r="G7193" i="1"/>
  <c r="I7193" i="1"/>
  <c r="J7193" i="1"/>
  <c r="K7193" i="1"/>
  <c r="L7193" i="1"/>
  <c r="M7193" i="1"/>
  <c r="N7193" i="1"/>
  <c r="O7193" i="1"/>
  <c r="P7193" i="1"/>
  <c r="Q7193" i="1"/>
  <c r="R7193" i="1"/>
  <c r="S7193" i="1"/>
  <c r="T7193" i="1"/>
  <c r="U7193" i="1"/>
  <c r="V7193" i="1"/>
  <c r="W7193" i="1"/>
  <c r="X7193" i="1"/>
  <c r="Y7193" i="1"/>
  <c r="Z7193" i="1"/>
  <c r="A7194" i="1"/>
  <c r="B7194" i="1"/>
  <c r="C7194" i="1"/>
  <c r="D7194" i="1"/>
  <c r="E7194" i="1"/>
  <c r="F7194" i="1"/>
  <c r="G7194" i="1"/>
  <c r="I7194" i="1"/>
  <c r="J7194" i="1"/>
  <c r="K7194" i="1"/>
  <c r="L7194" i="1"/>
  <c r="M7194" i="1"/>
  <c r="N7194" i="1"/>
  <c r="O7194" i="1"/>
  <c r="P7194" i="1"/>
  <c r="Q7194" i="1"/>
  <c r="R7194" i="1"/>
  <c r="S7194" i="1"/>
  <c r="T7194" i="1"/>
  <c r="U7194" i="1"/>
  <c r="V7194" i="1"/>
  <c r="W7194" i="1"/>
  <c r="X7194" i="1"/>
  <c r="Y7194" i="1"/>
  <c r="Z7194" i="1"/>
  <c r="A7195" i="1"/>
  <c r="B7195" i="1"/>
  <c r="C7195" i="1"/>
  <c r="D7195" i="1"/>
  <c r="E7195" i="1"/>
  <c r="F7195" i="1"/>
  <c r="G7195" i="1"/>
  <c r="I7195" i="1"/>
  <c r="J7195" i="1"/>
  <c r="K7195" i="1"/>
  <c r="L7195" i="1"/>
  <c r="M7195" i="1"/>
  <c r="N7195" i="1"/>
  <c r="O7195" i="1"/>
  <c r="P7195" i="1"/>
  <c r="Q7195" i="1"/>
  <c r="R7195" i="1"/>
  <c r="S7195" i="1"/>
  <c r="T7195" i="1"/>
  <c r="U7195" i="1"/>
  <c r="V7195" i="1"/>
  <c r="W7195" i="1"/>
  <c r="X7195" i="1"/>
  <c r="Y7195" i="1"/>
  <c r="Z7195" i="1"/>
  <c r="A7196" i="1"/>
  <c r="B7196" i="1"/>
  <c r="C7196" i="1"/>
  <c r="D7196" i="1"/>
  <c r="E7196" i="1"/>
  <c r="F7196" i="1"/>
  <c r="G7196" i="1"/>
  <c r="I7196" i="1"/>
  <c r="J7196" i="1"/>
  <c r="K7196" i="1"/>
  <c r="L7196" i="1"/>
  <c r="M7196" i="1"/>
  <c r="N7196" i="1"/>
  <c r="O7196" i="1"/>
  <c r="P7196" i="1"/>
  <c r="Q7196" i="1"/>
  <c r="R7196" i="1"/>
  <c r="S7196" i="1"/>
  <c r="T7196" i="1"/>
  <c r="U7196" i="1"/>
  <c r="V7196" i="1"/>
  <c r="W7196" i="1"/>
  <c r="X7196" i="1"/>
  <c r="Y7196" i="1"/>
  <c r="Z7196" i="1"/>
  <c r="A7197" i="1"/>
  <c r="B7197" i="1"/>
  <c r="C7197" i="1"/>
  <c r="D7197" i="1"/>
  <c r="E7197" i="1"/>
  <c r="F7197" i="1"/>
  <c r="G7197" i="1"/>
  <c r="I7197" i="1"/>
  <c r="J7197" i="1"/>
  <c r="K7197" i="1"/>
  <c r="L7197" i="1"/>
  <c r="M7197" i="1"/>
  <c r="N7197" i="1"/>
  <c r="O7197" i="1"/>
  <c r="P7197" i="1"/>
  <c r="Q7197" i="1"/>
  <c r="R7197" i="1"/>
  <c r="S7197" i="1"/>
  <c r="T7197" i="1"/>
  <c r="U7197" i="1"/>
  <c r="V7197" i="1"/>
  <c r="W7197" i="1"/>
  <c r="X7197" i="1"/>
  <c r="Y7197" i="1"/>
  <c r="Z7197" i="1"/>
  <c r="A7198" i="1"/>
  <c r="B7198" i="1"/>
  <c r="C7198" i="1"/>
  <c r="D7198" i="1"/>
  <c r="E7198" i="1"/>
  <c r="F7198" i="1"/>
  <c r="G7198" i="1"/>
  <c r="I7198" i="1"/>
  <c r="J7198" i="1"/>
  <c r="K7198" i="1"/>
  <c r="L7198" i="1"/>
  <c r="M7198" i="1"/>
  <c r="N7198" i="1"/>
  <c r="O7198" i="1"/>
  <c r="P7198" i="1"/>
  <c r="Q7198" i="1"/>
  <c r="R7198" i="1"/>
  <c r="S7198" i="1"/>
  <c r="T7198" i="1"/>
  <c r="U7198" i="1"/>
  <c r="V7198" i="1"/>
  <c r="W7198" i="1"/>
  <c r="X7198" i="1"/>
  <c r="Y7198" i="1"/>
  <c r="Z7198" i="1"/>
  <c r="A7199" i="1"/>
  <c r="B7199" i="1"/>
  <c r="C7199" i="1"/>
  <c r="D7199" i="1"/>
  <c r="E7199" i="1"/>
  <c r="F7199" i="1"/>
  <c r="G7199" i="1"/>
  <c r="I7199" i="1"/>
  <c r="J7199" i="1"/>
  <c r="K7199" i="1"/>
  <c r="L7199" i="1"/>
  <c r="M7199" i="1"/>
  <c r="N7199" i="1"/>
  <c r="O7199" i="1"/>
  <c r="P7199" i="1"/>
  <c r="Q7199" i="1"/>
  <c r="R7199" i="1"/>
  <c r="S7199" i="1"/>
  <c r="T7199" i="1"/>
  <c r="U7199" i="1"/>
  <c r="V7199" i="1"/>
  <c r="W7199" i="1"/>
  <c r="X7199" i="1"/>
  <c r="Y7199" i="1"/>
  <c r="Z7199" i="1"/>
  <c r="A7200" i="1"/>
  <c r="B7200" i="1"/>
  <c r="C7200" i="1"/>
  <c r="D7200" i="1"/>
  <c r="E7200" i="1"/>
  <c r="F7200" i="1"/>
  <c r="G7200" i="1"/>
  <c r="I7200" i="1"/>
  <c r="J7200" i="1"/>
  <c r="K7200" i="1"/>
  <c r="L7200" i="1"/>
  <c r="M7200" i="1"/>
  <c r="N7200" i="1"/>
  <c r="O7200" i="1"/>
  <c r="P7200" i="1"/>
  <c r="Q7200" i="1"/>
  <c r="R7200" i="1"/>
  <c r="S7200" i="1"/>
  <c r="T7200" i="1"/>
  <c r="U7200" i="1"/>
  <c r="V7200" i="1"/>
  <c r="W7200" i="1"/>
  <c r="X7200" i="1"/>
  <c r="Y7200" i="1"/>
  <c r="Z7200" i="1"/>
  <c r="A7201" i="1"/>
  <c r="B7201" i="1"/>
  <c r="C7201" i="1"/>
  <c r="D7201" i="1"/>
  <c r="E7201" i="1"/>
  <c r="F7201" i="1"/>
  <c r="G7201" i="1"/>
  <c r="I7201" i="1"/>
  <c r="J7201" i="1"/>
  <c r="K7201" i="1"/>
  <c r="L7201" i="1"/>
  <c r="M7201" i="1"/>
  <c r="N7201" i="1"/>
  <c r="O7201" i="1"/>
  <c r="P7201" i="1"/>
  <c r="Q7201" i="1"/>
  <c r="R7201" i="1"/>
  <c r="S7201" i="1"/>
  <c r="T7201" i="1"/>
  <c r="U7201" i="1"/>
  <c r="V7201" i="1"/>
  <c r="W7201" i="1"/>
  <c r="X7201" i="1"/>
  <c r="Y7201" i="1"/>
  <c r="Z7201" i="1"/>
  <c r="A7202" i="1"/>
  <c r="B7202" i="1"/>
  <c r="C7202" i="1"/>
  <c r="D7202" i="1"/>
  <c r="E7202" i="1"/>
  <c r="F7202" i="1"/>
  <c r="G7202" i="1"/>
  <c r="I7202" i="1"/>
  <c r="J7202" i="1"/>
  <c r="K7202" i="1"/>
  <c r="L7202" i="1"/>
  <c r="M7202" i="1"/>
  <c r="N7202" i="1"/>
  <c r="O7202" i="1"/>
  <c r="P7202" i="1"/>
  <c r="Q7202" i="1"/>
  <c r="R7202" i="1"/>
  <c r="S7202" i="1"/>
  <c r="T7202" i="1"/>
  <c r="U7202" i="1"/>
  <c r="V7202" i="1"/>
  <c r="W7202" i="1"/>
  <c r="X7202" i="1"/>
  <c r="Y7202" i="1"/>
  <c r="Z7202" i="1"/>
  <c r="A7203" i="1"/>
  <c r="B7203" i="1"/>
  <c r="C7203" i="1"/>
  <c r="D7203" i="1"/>
  <c r="E7203" i="1"/>
  <c r="F7203" i="1"/>
  <c r="G7203" i="1"/>
  <c r="I7203" i="1"/>
  <c r="J7203" i="1"/>
  <c r="K7203" i="1"/>
  <c r="L7203" i="1"/>
  <c r="M7203" i="1"/>
  <c r="N7203" i="1"/>
  <c r="O7203" i="1"/>
  <c r="P7203" i="1"/>
  <c r="Q7203" i="1"/>
  <c r="R7203" i="1"/>
  <c r="S7203" i="1"/>
  <c r="T7203" i="1"/>
  <c r="U7203" i="1"/>
  <c r="V7203" i="1"/>
  <c r="W7203" i="1"/>
  <c r="X7203" i="1"/>
  <c r="Y7203" i="1"/>
  <c r="Z7203" i="1"/>
  <c r="A7204" i="1"/>
  <c r="B7204" i="1"/>
  <c r="C7204" i="1"/>
  <c r="D7204" i="1"/>
  <c r="E7204" i="1"/>
  <c r="F7204" i="1"/>
  <c r="G7204" i="1"/>
  <c r="I7204" i="1"/>
  <c r="J7204" i="1"/>
  <c r="K7204" i="1"/>
  <c r="L7204" i="1"/>
  <c r="M7204" i="1"/>
  <c r="N7204" i="1"/>
  <c r="O7204" i="1"/>
  <c r="P7204" i="1"/>
  <c r="Q7204" i="1"/>
  <c r="R7204" i="1"/>
  <c r="S7204" i="1"/>
  <c r="T7204" i="1"/>
  <c r="U7204" i="1"/>
  <c r="V7204" i="1"/>
  <c r="W7204" i="1"/>
  <c r="X7204" i="1"/>
  <c r="Y7204" i="1"/>
  <c r="Z7204" i="1"/>
  <c r="A7205" i="1"/>
  <c r="B7205" i="1"/>
  <c r="C7205" i="1"/>
  <c r="D7205" i="1"/>
  <c r="E7205" i="1"/>
  <c r="F7205" i="1"/>
  <c r="G7205" i="1"/>
  <c r="I7205" i="1"/>
  <c r="J7205" i="1"/>
  <c r="K7205" i="1"/>
  <c r="L7205" i="1"/>
  <c r="M7205" i="1"/>
  <c r="N7205" i="1"/>
  <c r="O7205" i="1"/>
  <c r="P7205" i="1"/>
  <c r="Q7205" i="1"/>
  <c r="R7205" i="1"/>
  <c r="S7205" i="1"/>
  <c r="T7205" i="1"/>
  <c r="U7205" i="1"/>
  <c r="V7205" i="1"/>
  <c r="W7205" i="1"/>
  <c r="X7205" i="1"/>
  <c r="Y7205" i="1"/>
  <c r="Z7205" i="1"/>
  <c r="A7206" i="1"/>
  <c r="B7206" i="1"/>
  <c r="C7206" i="1"/>
  <c r="D7206" i="1"/>
  <c r="E7206" i="1"/>
  <c r="F7206" i="1"/>
  <c r="G7206" i="1"/>
  <c r="I7206" i="1"/>
  <c r="J7206" i="1"/>
  <c r="K7206" i="1"/>
  <c r="L7206" i="1"/>
  <c r="M7206" i="1"/>
  <c r="N7206" i="1"/>
  <c r="O7206" i="1"/>
  <c r="P7206" i="1"/>
  <c r="Q7206" i="1"/>
  <c r="R7206" i="1"/>
  <c r="S7206" i="1"/>
  <c r="T7206" i="1"/>
  <c r="U7206" i="1"/>
  <c r="V7206" i="1"/>
  <c r="W7206" i="1"/>
  <c r="X7206" i="1"/>
  <c r="Y7206" i="1"/>
  <c r="Z7206" i="1"/>
  <c r="A7207" i="1"/>
  <c r="B7207" i="1"/>
  <c r="C7207" i="1"/>
  <c r="D7207" i="1"/>
  <c r="E7207" i="1"/>
  <c r="F7207" i="1"/>
  <c r="G7207" i="1"/>
  <c r="I7207" i="1"/>
  <c r="J7207" i="1"/>
  <c r="K7207" i="1"/>
  <c r="L7207" i="1"/>
  <c r="M7207" i="1"/>
  <c r="N7207" i="1"/>
  <c r="O7207" i="1"/>
  <c r="P7207" i="1"/>
  <c r="Q7207" i="1"/>
  <c r="R7207" i="1"/>
  <c r="S7207" i="1"/>
  <c r="T7207" i="1"/>
  <c r="U7207" i="1"/>
  <c r="V7207" i="1"/>
  <c r="W7207" i="1"/>
  <c r="X7207" i="1"/>
  <c r="Y7207" i="1"/>
  <c r="Z7207" i="1"/>
  <c r="A7208" i="1"/>
  <c r="B7208" i="1"/>
  <c r="C7208" i="1"/>
  <c r="D7208" i="1"/>
  <c r="E7208" i="1"/>
  <c r="F7208" i="1"/>
  <c r="G7208" i="1"/>
  <c r="I7208" i="1"/>
  <c r="J7208" i="1"/>
  <c r="K7208" i="1"/>
  <c r="L7208" i="1"/>
  <c r="M7208" i="1"/>
  <c r="N7208" i="1"/>
  <c r="O7208" i="1"/>
  <c r="P7208" i="1"/>
  <c r="Q7208" i="1"/>
  <c r="R7208" i="1"/>
  <c r="S7208" i="1"/>
  <c r="T7208" i="1"/>
  <c r="U7208" i="1"/>
  <c r="V7208" i="1"/>
  <c r="W7208" i="1"/>
  <c r="X7208" i="1"/>
  <c r="Y7208" i="1"/>
  <c r="Z7208" i="1"/>
  <c r="A7209" i="1"/>
  <c r="B7209" i="1"/>
  <c r="C7209" i="1"/>
  <c r="D7209" i="1"/>
  <c r="E7209" i="1"/>
  <c r="F7209" i="1"/>
  <c r="G7209" i="1"/>
  <c r="I7209" i="1"/>
  <c r="J7209" i="1"/>
  <c r="K7209" i="1"/>
  <c r="L7209" i="1"/>
  <c r="M7209" i="1"/>
  <c r="N7209" i="1"/>
  <c r="O7209" i="1"/>
  <c r="P7209" i="1"/>
  <c r="Q7209" i="1"/>
  <c r="R7209" i="1"/>
  <c r="S7209" i="1"/>
  <c r="T7209" i="1"/>
  <c r="U7209" i="1"/>
  <c r="V7209" i="1"/>
  <c r="W7209" i="1"/>
  <c r="X7209" i="1"/>
  <c r="Y7209" i="1"/>
  <c r="Z7209" i="1"/>
  <c r="A7210" i="1"/>
  <c r="B7210" i="1"/>
  <c r="C7210" i="1"/>
  <c r="D7210" i="1"/>
  <c r="E7210" i="1"/>
  <c r="F7210" i="1"/>
  <c r="G7210" i="1"/>
  <c r="I7210" i="1"/>
  <c r="J7210" i="1"/>
  <c r="K7210" i="1"/>
  <c r="L7210" i="1"/>
  <c r="M7210" i="1"/>
  <c r="N7210" i="1"/>
  <c r="O7210" i="1"/>
  <c r="P7210" i="1"/>
  <c r="Q7210" i="1"/>
  <c r="R7210" i="1"/>
  <c r="S7210" i="1"/>
  <c r="T7210" i="1"/>
  <c r="U7210" i="1"/>
  <c r="V7210" i="1"/>
  <c r="W7210" i="1"/>
  <c r="X7210" i="1"/>
  <c r="Y7210" i="1"/>
  <c r="Z7210" i="1"/>
  <c r="A7211" i="1"/>
  <c r="B7211" i="1"/>
  <c r="C7211" i="1"/>
  <c r="D7211" i="1"/>
  <c r="E7211" i="1"/>
  <c r="F7211" i="1"/>
  <c r="G7211" i="1"/>
  <c r="I7211" i="1"/>
  <c r="J7211" i="1"/>
  <c r="K7211" i="1"/>
  <c r="L7211" i="1"/>
  <c r="M7211" i="1"/>
  <c r="N7211" i="1"/>
  <c r="O7211" i="1"/>
  <c r="P7211" i="1"/>
  <c r="Q7211" i="1"/>
  <c r="R7211" i="1"/>
  <c r="S7211" i="1"/>
  <c r="T7211" i="1"/>
  <c r="U7211" i="1"/>
  <c r="V7211" i="1"/>
  <c r="W7211" i="1"/>
  <c r="X7211" i="1"/>
  <c r="Y7211" i="1"/>
  <c r="Z7211" i="1"/>
  <c r="A7212" i="1"/>
  <c r="B7212" i="1"/>
  <c r="C7212" i="1"/>
  <c r="D7212" i="1"/>
  <c r="E7212" i="1"/>
  <c r="F7212" i="1"/>
  <c r="G7212" i="1"/>
  <c r="I7212" i="1"/>
  <c r="J7212" i="1"/>
  <c r="K7212" i="1"/>
  <c r="L7212" i="1"/>
  <c r="M7212" i="1"/>
  <c r="N7212" i="1"/>
  <c r="O7212" i="1"/>
  <c r="P7212" i="1"/>
  <c r="Q7212" i="1"/>
  <c r="R7212" i="1"/>
  <c r="S7212" i="1"/>
  <c r="T7212" i="1"/>
  <c r="U7212" i="1"/>
  <c r="V7212" i="1"/>
  <c r="W7212" i="1"/>
  <c r="X7212" i="1"/>
  <c r="Y7212" i="1"/>
  <c r="Z7212" i="1"/>
  <c r="A7213" i="1"/>
  <c r="B7213" i="1"/>
  <c r="C7213" i="1"/>
  <c r="D7213" i="1"/>
  <c r="E7213" i="1"/>
  <c r="F7213" i="1"/>
  <c r="G7213" i="1"/>
  <c r="I7213" i="1"/>
  <c r="J7213" i="1"/>
  <c r="K7213" i="1"/>
  <c r="L7213" i="1"/>
  <c r="M7213" i="1"/>
  <c r="N7213" i="1"/>
  <c r="O7213" i="1"/>
  <c r="P7213" i="1"/>
  <c r="Q7213" i="1"/>
  <c r="R7213" i="1"/>
  <c r="S7213" i="1"/>
  <c r="T7213" i="1"/>
  <c r="U7213" i="1"/>
  <c r="V7213" i="1"/>
  <c r="W7213" i="1"/>
  <c r="X7213" i="1"/>
  <c r="Y7213" i="1"/>
  <c r="Z7213" i="1"/>
  <c r="A7214" i="1"/>
  <c r="B7214" i="1"/>
  <c r="C7214" i="1"/>
  <c r="D7214" i="1"/>
  <c r="E7214" i="1"/>
  <c r="F7214" i="1"/>
  <c r="G7214" i="1"/>
  <c r="I7214" i="1"/>
  <c r="J7214" i="1"/>
  <c r="K7214" i="1"/>
  <c r="L7214" i="1"/>
  <c r="M7214" i="1"/>
  <c r="N7214" i="1"/>
  <c r="O7214" i="1"/>
  <c r="P7214" i="1"/>
  <c r="Q7214" i="1"/>
  <c r="R7214" i="1"/>
  <c r="S7214" i="1"/>
  <c r="T7214" i="1"/>
  <c r="U7214" i="1"/>
  <c r="V7214" i="1"/>
  <c r="W7214" i="1"/>
  <c r="X7214" i="1"/>
  <c r="Y7214" i="1"/>
  <c r="Z7214" i="1"/>
  <c r="A7215" i="1"/>
  <c r="B7215" i="1"/>
  <c r="C7215" i="1"/>
  <c r="D7215" i="1"/>
  <c r="E7215" i="1"/>
  <c r="F7215" i="1"/>
  <c r="G7215" i="1"/>
  <c r="I7215" i="1"/>
  <c r="J7215" i="1"/>
  <c r="K7215" i="1"/>
  <c r="L7215" i="1"/>
  <c r="M7215" i="1"/>
  <c r="N7215" i="1"/>
  <c r="O7215" i="1"/>
  <c r="P7215" i="1"/>
  <c r="Q7215" i="1"/>
  <c r="R7215" i="1"/>
  <c r="S7215" i="1"/>
  <c r="T7215" i="1"/>
  <c r="U7215" i="1"/>
  <c r="V7215" i="1"/>
  <c r="W7215" i="1"/>
  <c r="X7215" i="1"/>
  <c r="Y7215" i="1"/>
  <c r="Z7215" i="1"/>
  <c r="A7216" i="1"/>
  <c r="B7216" i="1"/>
  <c r="C7216" i="1"/>
  <c r="D7216" i="1"/>
  <c r="E7216" i="1"/>
  <c r="F7216" i="1"/>
  <c r="G7216" i="1"/>
  <c r="I7216" i="1"/>
  <c r="J7216" i="1"/>
  <c r="K7216" i="1"/>
  <c r="L7216" i="1"/>
  <c r="M7216" i="1"/>
  <c r="N7216" i="1"/>
  <c r="O7216" i="1"/>
  <c r="P7216" i="1"/>
  <c r="Q7216" i="1"/>
  <c r="R7216" i="1"/>
  <c r="S7216" i="1"/>
  <c r="T7216" i="1"/>
  <c r="U7216" i="1"/>
  <c r="V7216" i="1"/>
  <c r="W7216" i="1"/>
  <c r="X7216" i="1"/>
  <c r="Y7216" i="1"/>
  <c r="Z7216" i="1"/>
  <c r="A7217" i="1"/>
  <c r="B7217" i="1"/>
  <c r="C7217" i="1"/>
  <c r="D7217" i="1"/>
  <c r="E7217" i="1"/>
  <c r="F7217" i="1"/>
  <c r="G7217" i="1"/>
  <c r="I7217" i="1"/>
  <c r="J7217" i="1"/>
  <c r="K7217" i="1"/>
  <c r="L7217" i="1"/>
  <c r="M7217" i="1"/>
  <c r="N7217" i="1"/>
  <c r="O7217" i="1"/>
  <c r="P7217" i="1"/>
  <c r="Q7217" i="1"/>
  <c r="R7217" i="1"/>
  <c r="S7217" i="1"/>
  <c r="T7217" i="1"/>
  <c r="U7217" i="1"/>
  <c r="V7217" i="1"/>
  <c r="W7217" i="1"/>
  <c r="X7217" i="1"/>
  <c r="Y7217" i="1"/>
  <c r="Z7217" i="1"/>
  <c r="A7218" i="1"/>
  <c r="B7218" i="1"/>
  <c r="C7218" i="1"/>
  <c r="D7218" i="1"/>
  <c r="E7218" i="1"/>
  <c r="F7218" i="1"/>
  <c r="G7218" i="1"/>
  <c r="I7218" i="1"/>
  <c r="J7218" i="1"/>
  <c r="K7218" i="1"/>
  <c r="L7218" i="1"/>
  <c r="M7218" i="1"/>
  <c r="N7218" i="1"/>
  <c r="O7218" i="1"/>
  <c r="P7218" i="1"/>
  <c r="Q7218" i="1"/>
  <c r="R7218" i="1"/>
  <c r="S7218" i="1"/>
  <c r="T7218" i="1"/>
  <c r="U7218" i="1"/>
  <c r="V7218" i="1"/>
  <c r="W7218" i="1"/>
  <c r="X7218" i="1"/>
  <c r="Y7218" i="1"/>
  <c r="Z7218" i="1"/>
  <c r="A7219" i="1"/>
  <c r="B7219" i="1"/>
  <c r="C7219" i="1"/>
  <c r="D7219" i="1"/>
  <c r="E7219" i="1"/>
  <c r="F7219" i="1"/>
  <c r="G7219" i="1"/>
  <c r="I7219" i="1"/>
  <c r="J7219" i="1"/>
  <c r="K7219" i="1"/>
  <c r="L7219" i="1"/>
  <c r="M7219" i="1"/>
  <c r="N7219" i="1"/>
  <c r="O7219" i="1"/>
  <c r="P7219" i="1"/>
  <c r="Q7219" i="1"/>
  <c r="R7219" i="1"/>
  <c r="S7219" i="1"/>
  <c r="T7219" i="1"/>
  <c r="U7219" i="1"/>
  <c r="V7219" i="1"/>
  <c r="W7219" i="1"/>
  <c r="X7219" i="1"/>
  <c r="Y7219" i="1"/>
  <c r="Z7219" i="1"/>
  <c r="A7220" i="1"/>
  <c r="B7220" i="1"/>
  <c r="C7220" i="1"/>
  <c r="D7220" i="1"/>
  <c r="E7220" i="1"/>
  <c r="F7220" i="1"/>
  <c r="G7220" i="1"/>
  <c r="I7220" i="1"/>
  <c r="J7220" i="1"/>
  <c r="K7220" i="1"/>
  <c r="L7220" i="1"/>
  <c r="M7220" i="1"/>
  <c r="N7220" i="1"/>
  <c r="O7220" i="1"/>
  <c r="P7220" i="1"/>
  <c r="Q7220" i="1"/>
  <c r="R7220" i="1"/>
  <c r="S7220" i="1"/>
  <c r="T7220" i="1"/>
  <c r="U7220" i="1"/>
  <c r="V7220" i="1"/>
  <c r="W7220" i="1"/>
  <c r="X7220" i="1"/>
  <c r="Y7220" i="1"/>
  <c r="Z7220" i="1"/>
  <c r="A7221" i="1"/>
  <c r="B7221" i="1"/>
  <c r="C7221" i="1"/>
  <c r="D7221" i="1"/>
  <c r="E7221" i="1"/>
  <c r="F7221" i="1"/>
  <c r="G7221" i="1"/>
  <c r="I7221" i="1"/>
  <c r="J7221" i="1"/>
  <c r="K7221" i="1"/>
  <c r="L7221" i="1"/>
  <c r="M7221" i="1"/>
  <c r="N7221" i="1"/>
  <c r="O7221" i="1"/>
  <c r="P7221" i="1"/>
  <c r="Q7221" i="1"/>
  <c r="R7221" i="1"/>
  <c r="S7221" i="1"/>
  <c r="T7221" i="1"/>
  <c r="U7221" i="1"/>
  <c r="V7221" i="1"/>
  <c r="W7221" i="1"/>
  <c r="X7221" i="1"/>
  <c r="Y7221" i="1"/>
  <c r="Z7221" i="1"/>
  <c r="A7222" i="1"/>
  <c r="B7222" i="1"/>
  <c r="C7222" i="1"/>
  <c r="D7222" i="1"/>
  <c r="E7222" i="1"/>
  <c r="F7222" i="1"/>
  <c r="G7222" i="1"/>
  <c r="I7222" i="1"/>
  <c r="J7222" i="1"/>
  <c r="K7222" i="1"/>
  <c r="L7222" i="1"/>
  <c r="M7222" i="1"/>
  <c r="N7222" i="1"/>
  <c r="O7222" i="1"/>
  <c r="P7222" i="1"/>
  <c r="Q7222" i="1"/>
  <c r="R7222" i="1"/>
  <c r="S7222" i="1"/>
  <c r="T7222" i="1"/>
  <c r="U7222" i="1"/>
  <c r="V7222" i="1"/>
  <c r="W7222" i="1"/>
  <c r="X7222" i="1"/>
  <c r="Y7222" i="1"/>
  <c r="Z7222" i="1"/>
  <c r="A7223" i="1"/>
  <c r="B7223" i="1"/>
  <c r="C7223" i="1"/>
  <c r="D7223" i="1"/>
  <c r="E7223" i="1"/>
  <c r="F7223" i="1"/>
  <c r="G7223" i="1"/>
  <c r="I7223" i="1"/>
  <c r="J7223" i="1"/>
  <c r="K7223" i="1"/>
  <c r="L7223" i="1"/>
  <c r="M7223" i="1"/>
  <c r="N7223" i="1"/>
  <c r="O7223" i="1"/>
  <c r="P7223" i="1"/>
  <c r="Q7223" i="1"/>
  <c r="R7223" i="1"/>
  <c r="S7223" i="1"/>
  <c r="T7223" i="1"/>
  <c r="U7223" i="1"/>
  <c r="V7223" i="1"/>
  <c r="W7223" i="1"/>
  <c r="X7223" i="1"/>
  <c r="Y7223" i="1"/>
  <c r="Z7223" i="1"/>
  <c r="A7224" i="1"/>
  <c r="B7224" i="1"/>
  <c r="C7224" i="1"/>
  <c r="D7224" i="1"/>
  <c r="E7224" i="1"/>
  <c r="F7224" i="1"/>
  <c r="G7224" i="1"/>
  <c r="I7224" i="1"/>
  <c r="J7224" i="1"/>
  <c r="K7224" i="1"/>
  <c r="L7224" i="1"/>
  <c r="M7224" i="1"/>
  <c r="N7224" i="1"/>
  <c r="O7224" i="1"/>
  <c r="P7224" i="1"/>
  <c r="Q7224" i="1"/>
  <c r="R7224" i="1"/>
  <c r="S7224" i="1"/>
  <c r="T7224" i="1"/>
  <c r="U7224" i="1"/>
  <c r="V7224" i="1"/>
  <c r="W7224" i="1"/>
  <c r="X7224" i="1"/>
  <c r="Y7224" i="1"/>
  <c r="Z7224" i="1"/>
  <c r="A7225" i="1"/>
  <c r="B7225" i="1"/>
  <c r="C7225" i="1"/>
  <c r="D7225" i="1"/>
  <c r="E7225" i="1"/>
  <c r="F7225" i="1"/>
  <c r="G7225" i="1"/>
  <c r="I7225" i="1"/>
  <c r="J7225" i="1"/>
  <c r="K7225" i="1"/>
  <c r="L7225" i="1"/>
  <c r="M7225" i="1"/>
  <c r="N7225" i="1"/>
  <c r="O7225" i="1"/>
  <c r="P7225" i="1"/>
  <c r="Q7225" i="1"/>
  <c r="R7225" i="1"/>
  <c r="S7225" i="1"/>
  <c r="T7225" i="1"/>
  <c r="U7225" i="1"/>
  <c r="V7225" i="1"/>
  <c r="W7225" i="1"/>
  <c r="X7225" i="1"/>
  <c r="Y7225" i="1"/>
  <c r="Z7225" i="1"/>
  <c r="A7226" i="1"/>
  <c r="B7226" i="1"/>
  <c r="C7226" i="1"/>
  <c r="D7226" i="1"/>
  <c r="E7226" i="1"/>
  <c r="F7226" i="1"/>
  <c r="G7226" i="1"/>
  <c r="I7226" i="1"/>
  <c r="J7226" i="1"/>
  <c r="K7226" i="1"/>
  <c r="L7226" i="1"/>
  <c r="M7226" i="1"/>
  <c r="N7226" i="1"/>
  <c r="O7226" i="1"/>
  <c r="P7226" i="1"/>
  <c r="Q7226" i="1"/>
  <c r="R7226" i="1"/>
  <c r="S7226" i="1"/>
  <c r="T7226" i="1"/>
  <c r="U7226" i="1"/>
  <c r="V7226" i="1"/>
  <c r="W7226" i="1"/>
  <c r="X7226" i="1"/>
  <c r="Y7226" i="1"/>
  <c r="Z7226" i="1"/>
  <c r="A7227" i="1"/>
  <c r="B7227" i="1"/>
  <c r="C7227" i="1"/>
  <c r="D7227" i="1"/>
  <c r="E7227" i="1"/>
  <c r="F7227" i="1"/>
  <c r="G7227" i="1"/>
  <c r="I7227" i="1"/>
  <c r="J7227" i="1"/>
  <c r="K7227" i="1"/>
  <c r="L7227" i="1"/>
  <c r="M7227" i="1"/>
  <c r="N7227" i="1"/>
  <c r="O7227" i="1"/>
  <c r="P7227" i="1"/>
  <c r="Q7227" i="1"/>
  <c r="R7227" i="1"/>
  <c r="S7227" i="1"/>
  <c r="T7227" i="1"/>
  <c r="U7227" i="1"/>
  <c r="V7227" i="1"/>
  <c r="W7227" i="1"/>
  <c r="X7227" i="1"/>
  <c r="Y7227" i="1"/>
  <c r="Z7227" i="1"/>
  <c r="A7228" i="1"/>
  <c r="B7228" i="1"/>
  <c r="C7228" i="1"/>
  <c r="D7228" i="1"/>
  <c r="E7228" i="1"/>
  <c r="F7228" i="1"/>
  <c r="G7228" i="1"/>
  <c r="I7228" i="1"/>
  <c r="J7228" i="1"/>
  <c r="K7228" i="1"/>
  <c r="L7228" i="1"/>
  <c r="M7228" i="1"/>
  <c r="N7228" i="1"/>
  <c r="O7228" i="1"/>
  <c r="P7228" i="1"/>
  <c r="Q7228" i="1"/>
  <c r="R7228" i="1"/>
  <c r="S7228" i="1"/>
  <c r="T7228" i="1"/>
  <c r="U7228" i="1"/>
  <c r="V7228" i="1"/>
  <c r="W7228" i="1"/>
  <c r="X7228" i="1"/>
  <c r="Y7228" i="1"/>
  <c r="Z7228" i="1"/>
  <c r="A7229" i="1"/>
  <c r="B7229" i="1"/>
  <c r="C7229" i="1"/>
  <c r="D7229" i="1"/>
  <c r="E7229" i="1"/>
  <c r="F7229" i="1"/>
  <c r="G7229" i="1"/>
  <c r="I7229" i="1"/>
  <c r="J7229" i="1"/>
  <c r="K7229" i="1"/>
  <c r="L7229" i="1"/>
  <c r="M7229" i="1"/>
  <c r="N7229" i="1"/>
  <c r="O7229" i="1"/>
  <c r="P7229" i="1"/>
  <c r="Q7229" i="1"/>
  <c r="R7229" i="1"/>
  <c r="S7229" i="1"/>
  <c r="T7229" i="1"/>
  <c r="U7229" i="1"/>
  <c r="V7229" i="1"/>
  <c r="W7229" i="1"/>
  <c r="X7229" i="1"/>
  <c r="Y7229" i="1"/>
  <c r="Z7229" i="1"/>
  <c r="A7230" i="1"/>
  <c r="B7230" i="1"/>
  <c r="C7230" i="1"/>
  <c r="D7230" i="1"/>
  <c r="E7230" i="1"/>
  <c r="F7230" i="1"/>
  <c r="G7230" i="1"/>
  <c r="I7230" i="1"/>
  <c r="J7230" i="1"/>
  <c r="K7230" i="1"/>
  <c r="L7230" i="1"/>
  <c r="M7230" i="1"/>
  <c r="N7230" i="1"/>
  <c r="O7230" i="1"/>
  <c r="P7230" i="1"/>
  <c r="Q7230" i="1"/>
  <c r="R7230" i="1"/>
  <c r="S7230" i="1"/>
  <c r="T7230" i="1"/>
  <c r="U7230" i="1"/>
  <c r="V7230" i="1"/>
  <c r="W7230" i="1"/>
  <c r="X7230" i="1"/>
  <c r="Y7230" i="1"/>
  <c r="Z7230" i="1"/>
  <c r="A7231" i="1"/>
  <c r="B7231" i="1"/>
  <c r="C7231" i="1"/>
  <c r="D7231" i="1"/>
  <c r="E7231" i="1"/>
  <c r="F7231" i="1"/>
  <c r="G7231" i="1"/>
  <c r="I7231" i="1"/>
  <c r="J7231" i="1"/>
  <c r="K7231" i="1"/>
  <c r="L7231" i="1"/>
  <c r="M7231" i="1"/>
  <c r="N7231" i="1"/>
  <c r="O7231" i="1"/>
  <c r="P7231" i="1"/>
  <c r="Q7231" i="1"/>
  <c r="R7231" i="1"/>
  <c r="S7231" i="1"/>
  <c r="T7231" i="1"/>
  <c r="U7231" i="1"/>
  <c r="V7231" i="1"/>
  <c r="W7231" i="1"/>
  <c r="X7231" i="1"/>
  <c r="Y7231" i="1"/>
  <c r="Z7231" i="1"/>
  <c r="A7232" i="1"/>
  <c r="B7232" i="1"/>
  <c r="C7232" i="1"/>
  <c r="D7232" i="1"/>
  <c r="E7232" i="1"/>
  <c r="F7232" i="1"/>
  <c r="G7232" i="1"/>
  <c r="I7232" i="1"/>
  <c r="J7232" i="1"/>
  <c r="K7232" i="1"/>
  <c r="L7232" i="1"/>
  <c r="M7232" i="1"/>
  <c r="N7232" i="1"/>
  <c r="O7232" i="1"/>
  <c r="P7232" i="1"/>
  <c r="Q7232" i="1"/>
  <c r="R7232" i="1"/>
  <c r="S7232" i="1"/>
  <c r="T7232" i="1"/>
  <c r="U7232" i="1"/>
  <c r="V7232" i="1"/>
  <c r="W7232" i="1"/>
  <c r="X7232" i="1"/>
  <c r="Y7232" i="1"/>
  <c r="Z7232" i="1"/>
  <c r="A7233" i="1"/>
  <c r="B7233" i="1"/>
  <c r="C7233" i="1"/>
  <c r="D7233" i="1"/>
  <c r="E7233" i="1"/>
  <c r="F7233" i="1"/>
  <c r="G7233" i="1"/>
  <c r="I7233" i="1"/>
  <c r="J7233" i="1"/>
  <c r="K7233" i="1"/>
  <c r="L7233" i="1"/>
  <c r="M7233" i="1"/>
  <c r="N7233" i="1"/>
  <c r="O7233" i="1"/>
  <c r="P7233" i="1"/>
  <c r="Q7233" i="1"/>
  <c r="R7233" i="1"/>
  <c r="S7233" i="1"/>
  <c r="T7233" i="1"/>
  <c r="U7233" i="1"/>
  <c r="V7233" i="1"/>
  <c r="W7233" i="1"/>
  <c r="X7233" i="1"/>
  <c r="Y7233" i="1"/>
  <c r="Z7233" i="1"/>
  <c r="A7234" i="1"/>
  <c r="B7234" i="1"/>
  <c r="C7234" i="1"/>
  <c r="D7234" i="1"/>
  <c r="E7234" i="1"/>
  <c r="F7234" i="1"/>
  <c r="G7234" i="1"/>
  <c r="I7234" i="1"/>
  <c r="J7234" i="1"/>
  <c r="K7234" i="1"/>
  <c r="L7234" i="1"/>
  <c r="M7234" i="1"/>
  <c r="N7234" i="1"/>
  <c r="O7234" i="1"/>
  <c r="P7234" i="1"/>
  <c r="Q7234" i="1"/>
  <c r="R7234" i="1"/>
  <c r="S7234" i="1"/>
  <c r="T7234" i="1"/>
  <c r="U7234" i="1"/>
  <c r="V7234" i="1"/>
  <c r="W7234" i="1"/>
  <c r="X7234" i="1"/>
  <c r="Y7234" i="1"/>
  <c r="Z7234" i="1"/>
  <c r="A7235" i="1"/>
  <c r="B7235" i="1"/>
  <c r="C7235" i="1"/>
  <c r="D7235" i="1"/>
  <c r="E7235" i="1"/>
  <c r="F7235" i="1"/>
  <c r="G7235" i="1"/>
  <c r="I7235" i="1"/>
  <c r="J7235" i="1"/>
  <c r="K7235" i="1"/>
  <c r="L7235" i="1"/>
  <c r="M7235" i="1"/>
  <c r="N7235" i="1"/>
  <c r="O7235" i="1"/>
  <c r="P7235" i="1"/>
  <c r="Q7235" i="1"/>
  <c r="R7235" i="1"/>
  <c r="S7235" i="1"/>
  <c r="T7235" i="1"/>
  <c r="U7235" i="1"/>
  <c r="V7235" i="1"/>
  <c r="W7235" i="1"/>
  <c r="X7235" i="1"/>
  <c r="Y7235" i="1"/>
  <c r="Z7235" i="1"/>
  <c r="A7236" i="1"/>
  <c r="B7236" i="1"/>
  <c r="C7236" i="1"/>
  <c r="D7236" i="1"/>
  <c r="E7236" i="1"/>
  <c r="F7236" i="1"/>
  <c r="G7236" i="1"/>
  <c r="I7236" i="1"/>
  <c r="J7236" i="1"/>
  <c r="K7236" i="1"/>
  <c r="L7236" i="1"/>
  <c r="M7236" i="1"/>
  <c r="N7236" i="1"/>
  <c r="O7236" i="1"/>
  <c r="P7236" i="1"/>
  <c r="Q7236" i="1"/>
  <c r="R7236" i="1"/>
  <c r="S7236" i="1"/>
  <c r="T7236" i="1"/>
  <c r="U7236" i="1"/>
  <c r="V7236" i="1"/>
  <c r="W7236" i="1"/>
  <c r="X7236" i="1"/>
  <c r="Y7236" i="1"/>
  <c r="Z7236" i="1"/>
  <c r="A7237" i="1"/>
  <c r="B7237" i="1"/>
  <c r="C7237" i="1"/>
  <c r="D7237" i="1"/>
  <c r="E7237" i="1"/>
  <c r="F7237" i="1"/>
  <c r="G7237" i="1"/>
  <c r="I7237" i="1"/>
  <c r="J7237" i="1"/>
  <c r="K7237" i="1"/>
  <c r="L7237" i="1"/>
  <c r="M7237" i="1"/>
  <c r="N7237" i="1"/>
  <c r="O7237" i="1"/>
  <c r="P7237" i="1"/>
  <c r="Q7237" i="1"/>
  <c r="R7237" i="1"/>
  <c r="S7237" i="1"/>
  <c r="T7237" i="1"/>
  <c r="U7237" i="1"/>
  <c r="V7237" i="1"/>
  <c r="W7237" i="1"/>
  <c r="X7237" i="1"/>
  <c r="Y7237" i="1"/>
  <c r="Z7237" i="1"/>
  <c r="A7238" i="1"/>
  <c r="B7238" i="1"/>
  <c r="C7238" i="1"/>
  <c r="D7238" i="1"/>
  <c r="E7238" i="1"/>
  <c r="F7238" i="1"/>
  <c r="G7238" i="1"/>
  <c r="I7238" i="1"/>
  <c r="J7238" i="1"/>
  <c r="K7238" i="1"/>
  <c r="L7238" i="1"/>
  <c r="M7238" i="1"/>
  <c r="N7238" i="1"/>
  <c r="O7238" i="1"/>
  <c r="P7238" i="1"/>
  <c r="Q7238" i="1"/>
  <c r="R7238" i="1"/>
  <c r="S7238" i="1"/>
  <c r="T7238" i="1"/>
  <c r="U7238" i="1"/>
  <c r="V7238" i="1"/>
  <c r="W7238" i="1"/>
  <c r="X7238" i="1"/>
  <c r="Y7238" i="1"/>
  <c r="Z7238" i="1"/>
  <c r="A7239" i="1"/>
  <c r="B7239" i="1"/>
  <c r="C7239" i="1"/>
  <c r="D7239" i="1"/>
  <c r="E7239" i="1"/>
  <c r="F7239" i="1"/>
  <c r="G7239" i="1"/>
  <c r="I7239" i="1"/>
  <c r="J7239" i="1"/>
  <c r="K7239" i="1"/>
  <c r="L7239" i="1"/>
  <c r="M7239" i="1"/>
  <c r="N7239" i="1"/>
  <c r="O7239" i="1"/>
  <c r="P7239" i="1"/>
  <c r="Q7239" i="1"/>
  <c r="R7239" i="1"/>
  <c r="S7239" i="1"/>
  <c r="T7239" i="1"/>
  <c r="U7239" i="1"/>
  <c r="V7239" i="1"/>
  <c r="W7239" i="1"/>
  <c r="X7239" i="1"/>
  <c r="Y7239" i="1"/>
  <c r="Z7239" i="1"/>
  <c r="A7240" i="1"/>
  <c r="B7240" i="1"/>
  <c r="C7240" i="1"/>
  <c r="D7240" i="1"/>
  <c r="E7240" i="1"/>
  <c r="F7240" i="1"/>
  <c r="G7240" i="1"/>
  <c r="I7240" i="1"/>
  <c r="J7240" i="1"/>
  <c r="K7240" i="1"/>
  <c r="L7240" i="1"/>
  <c r="M7240" i="1"/>
  <c r="N7240" i="1"/>
  <c r="O7240" i="1"/>
  <c r="P7240" i="1"/>
  <c r="Q7240" i="1"/>
  <c r="R7240" i="1"/>
  <c r="S7240" i="1"/>
  <c r="T7240" i="1"/>
  <c r="U7240" i="1"/>
  <c r="V7240" i="1"/>
  <c r="W7240" i="1"/>
  <c r="X7240" i="1"/>
  <c r="Y7240" i="1"/>
  <c r="Z7240" i="1"/>
  <c r="A7241" i="1"/>
  <c r="B7241" i="1"/>
  <c r="C7241" i="1"/>
  <c r="D7241" i="1"/>
  <c r="E7241" i="1"/>
  <c r="F7241" i="1"/>
  <c r="G7241" i="1"/>
  <c r="I7241" i="1"/>
  <c r="J7241" i="1"/>
  <c r="K7241" i="1"/>
  <c r="L7241" i="1"/>
  <c r="M7241" i="1"/>
  <c r="N7241" i="1"/>
  <c r="O7241" i="1"/>
  <c r="P7241" i="1"/>
  <c r="Q7241" i="1"/>
  <c r="R7241" i="1"/>
  <c r="S7241" i="1"/>
  <c r="T7241" i="1"/>
  <c r="U7241" i="1"/>
  <c r="V7241" i="1"/>
  <c r="W7241" i="1"/>
  <c r="X7241" i="1"/>
  <c r="Y7241" i="1"/>
  <c r="Z7241" i="1"/>
  <c r="A7242" i="1"/>
  <c r="B7242" i="1"/>
  <c r="C7242" i="1"/>
  <c r="D7242" i="1"/>
  <c r="E7242" i="1"/>
  <c r="F7242" i="1"/>
  <c r="G7242" i="1"/>
  <c r="I7242" i="1"/>
  <c r="J7242" i="1"/>
  <c r="K7242" i="1"/>
  <c r="L7242" i="1"/>
  <c r="M7242" i="1"/>
  <c r="N7242" i="1"/>
  <c r="O7242" i="1"/>
  <c r="P7242" i="1"/>
  <c r="Q7242" i="1"/>
  <c r="R7242" i="1"/>
  <c r="S7242" i="1"/>
  <c r="T7242" i="1"/>
  <c r="U7242" i="1"/>
  <c r="V7242" i="1"/>
  <c r="W7242" i="1"/>
  <c r="X7242" i="1"/>
  <c r="Y7242" i="1"/>
  <c r="Z7242" i="1"/>
  <c r="A7243" i="1"/>
  <c r="B7243" i="1"/>
  <c r="C7243" i="1"/>
  <c r="D7243" i="1"/>
  <c r="E7243" i="1"/>
  <c r="F7243" i="1"/>
  <c r="G7243" i="1"/>
  <c r="I7243" i="1"/>
  <c r="J7243" i="1"/>
  <c r="K7243" i="1"/>
  <c r="L7243" i="1"/>
  <c r="M7243" i="1"/>
  <c r="N7243" i="1"/>
  <c r="O7243" i="1"/>
  <c r="P7243" i="1"/>
  <c r="Q7243" i="1"/>
  <c r="R7243" i="1"/>
  <c r="S7243" i="1"/>
  <c r="T7243" i="1"/>
  <c r="U7243" i="1"/>
  <c r="V7243" i="1"/>
  <c r="W7243" i="1"/>
  <c r="X7243" i="1"/>
  <c r="Y7243" i="1"/>
  <c r="Z7243" i="1"/>
  <c r="A7244" i="1"/>
  <c r="B7244" i="1"/>
  <c r="C7244" i="1"/>
  <c r="D7244" i="1"/>
  <c r="E7244" i="1"/>
  <c r="F7244" i="1"/>
  <c r="G7244" i="1"/>
  <c r="I7244" i="1"/>
  <c r="J7244" i="1"/>
  <c r="K7244" i="1"/>
  <c r="L7244" i="1"/>
  <c r="M7244" i="1"/>
  <c r="N7244" i="1"/>
  <c r="O7244" i="1"/>
  <c r="P7244" i="1"/>
  <c r="Q7244" i="1"/>
  <c r="R7244" i="1"/>
  <c r="S7244" i="1"/>
  <c r="T7244" i="1"/>
  <c r="U7244" i="1"/>
  <c r="V7244" i="1"/>
  <c r="W7244" i="1"/>
  <c r="X7244" i="1"/>
  <c r="Y7244" i="1"/>
  <c r="Z7244" i="1"/>
  <c r="A7245" i="1"/>
  <c r="B7245" i="1"/>
  <c r="C7245" i="1"/>
  <c r="D7245" i="1"/>
  <c r="E7245" i="1"/>
  <c r="F7245" i="1"/>
  <c r="G7245" i="1"/>
  <c r="I7245" i="1"/>
  <c r="J7245" i="1"/>
  <c r="K7245" i="1"/>
  <c r="L7245" i="1"/>
  <c r="M7245" i="1"/>
  <c r="N7245" i="1"/>
  <c r="O7245" i="1"/>
  <c r="P7245" i="1"/>
  <c r="Q7245" i="1"/>
  <c r="R7245" i="1"/>
  <c r="S7245" i="1"/>
  <c r="T7245" i="1"/>
  <c r="U7245" i="1"/>
  <c r="V7245" i="1"/>
  <c r="W7245" i="1"/>
  <c r="X7245" i="1"/>
  <c r="Y7245" i="1"/>
  <c r="Z7245" i="1"/>
  <c r="A7246" i="1"/>
  <c r="B7246" i="1"/>
  <c r="C7246" i="1"/>
  <c r="D7246" i="1"/>
  <c r="E7246" i="1"/>
  <c r="F7246" i="1"/>
  <c r="G7246" i="1"/>
  <c r="I7246" i="1"/>
  <c r="J7246" i="1"/>
  <c r="K7246" i="1"/>
  <c r="L7246" i="1"/>
  <c r="M7246" i="1"/>
  <c r="N7246" i="1"/>
  <c r="O7246" i="1"/>
  <c r="P7246" i="1"/>
  <c r="Q7246" i="1"/>
  <c r="R7246" i="1"/>
  <c r="S7246" i="1"/>
  <c r="T7246" i="1"/>
  <c r="U7246" i="1"/>
  <c r="V7246" i="1"/>
  <c r="W7246" i="1"/>
  <c r="X7246" i="1"/>
  <c r="Y7246" i="1"/>
  <c r="Z7246" i="1"/>
  <c r="A7247" i="1"/>
  <c r="B7247" i="1"/>
  <c r="C7247" i="1"/>
  <c r="D7247" i="1"/>
  <c r="E7247" i="1"/>
  <c r="F7247" i="1"/>
  <c r="G7247" i="1"/>
  <c r="I7247" i="1"/>
  <c r="J7247" i="1"/>
  <c r="K7247" i="1"/>
  <c r="L7247" i="1"/>
  <c r="M7247" i="1"/>
  <c r="N7247" i="1"/>
  <c r="O7247" i="1"/>
  <c r="P7247" i="1"/>
  <c r="Q7247" i="1"/>
  <c r="R7247" i="1"/>
  <c r="S7247" i="1"/>
  <c r="T7247" i="1"/>
  <c r="U7247" i="1"/>
  <c r="V7247" i="1"/>
  <c r="W7247" i="1"/>
  <c r="X7247" i="1"/>
  <c r="Y7247" i="1"/>
  <c r="Z7247" i="1"/>
  <c r="A7248" i="1"/>
  <c r="B7248" i="1"/>
  <c r="C7248" i="1"/>
  <c r="D7248" i="1"/>
  <c r="E7248" i="1"/>
  <c r="F7248" i="1"/>
  <c r="G7248" i="1"/>
  <c r="I7248" i="1"/>
  <c r="J7248" i="1"/>
  <c r="K7248" i="1"/>
  <c r="L7248" i="1"/>
  <c r="M7248" i="1"/>
  <c r="N7248" i="1"/>
  <c r="O7248" i="1"/>
  <c r="P7248" i="1"/>
  <c r="Q7248" i="1"/>
  <c r="R7248" i="1"/>
  <c r="S7248" i="1"/>
  <c r="T7248" i="1"/>
  <c r="U7248" i="1"/>
  <c r="V7248" i="1"/>
  <c r="W7248" i="1"/>
  <c r="X7248" i="1"/>
  <c r="Y7248" i="1"/>
  <c r="Z7248" i="1"/>
  <c r="A7249" i="1"/>
  <c r="B7249" i="1"/>
  <c r="C7249" i="1"/>
  <c r="D7249" i="1"/>
  <c r="E7249" i="1"/>
  <c r="F7249" i="1"/>
  <c r="G7249" i="1"/>
  <c r="I7249" i="1"/>
  <c r="J7249" i="1"/>
  <c r="K7249" i="1"/>
  <c r="L7249" i="1"/>
  <c r="M7249" i="1"/>
  <c r="N7249" i="1"/>
  <c r="O7249" i="1"/>
  <c r="P7249" i="1"/>
  <c r="Q7249" i="1"/>
  <c r="R7249" i="1"/>
  <c r="S7249" i="1"/>
  <c r="T7249" i="1"/>
  <c r="U7249" i="1"/>
  <c r="V7249" i="1"/>
  <c r="W7249" i="1"/>
  <c r="X7249" i="1"/>
  <c r="Y7249" i="1"/>
  <c r="Z7249" i="1"/>
  <c r="A7250" i="1"/>
  <c r="B7250" i="1"/>
  <c r="C7250" i="1"/>
  <c r="D7250" i="1"/>
  <c r="E7250" i="1"/>
  <c r="F7250" i="1"/>
  <c r="G7250" i="1"/>
  <c r="I7250" i="1"/>
  <c r="J7250" i="1"/>
  <c r="K7250" i="1"/>
  <c r="L7250" i="1"/>
  <c r="M7250" i="1"/>
  <c r="N7250" i="1"/>
  <c r="O7250" i="1"/>
  <c r="P7250" i="1"/>
  <c r="Q7250" i="1"/>
  <c r="R7250" i="1"/>
  <c r="S7250" i="1"/>
  <c r="T7250" i="1"/>
  <c r="U7250" i="1"/>
  <c r="V7250" i="1"/>
  <c r="W7250" i="1"/>
  <c r="X7250" i="1"/>
  <c r="Y7250" i="1"/>
  <c r="Z7250" i="1"/>
  <c r="A7251" i="1"/>
  <c r="B7251" i="1"/>
  <c r="C7251" i="1"/>
  <c r="D7251" i="1"/>
  <c r="E7251" i="1"/>
  <c r="F7251" i="1"/>
  <c r="G7251" i="1"/>
  <c r="I7251" i="1"/>
  <c r="J7251" i="1"/>
  <c r="K7251" i="1"/>
  <c r="L7251" i="1"/>
  <c r="M7251" i="1"/>
  <c r="N7251" i="1"/>
  <c r="O7251" i="1"/>
  <c r="P7251" i="1"/>
  <c r="Q7251" i="1"/>
  <c r="R7251" i="1"/>
  <c r="S7251" i="1"/>
  <c r="T7251" i="1"/>
  <c r="U7251" i="1"/>
  <c r="V7251" i="1"/>
  <c r="W7251" i="1"/>
  <c r="X7251" i="1"/>
  <c r="Y7251" i="1"/>
  <c r="Z7251" i="1"/>
  <c r="A7252" i="1"/>
  <c r="B7252" i="1"/>
  <c r="C7252" i="1"/>
  <c r="D7252" i="1"/>
  <c r="E7252" i="1"/>
  <c r="F7252" i="1"/>
  <c r="G7252" i="1"/>
  <c r="I7252" i="1"/>
  <c r="J7252" i="1"/>
  <c r="K7252" i="1"/>
  <c r="L7252" i="1"/>
  <c r="M7252" i="1"/>
  <c r="N7252" i="1"/>
  <c r="O7252" i="1"/>
  <c r="P7252" i="1"/>
  <c r="Q7252" i="1"/>
  <c r="R7252" i="1"/>
  <c r="S7252" i="1"/>
  <c r="T7252" i="1"/>
  <c r="U7252" i="1"/>
  <c r="V7252" i="1"/>
  <c r="W7252" i="1"/>
  <c r="X7252" i="1"/>
  <c r="Y7252" i="1"/>
  <c r="Z7252" i="1"/>
  <c r="A7253" i="1"/>
  <c r="B7253" i="1"/>
  <c r="C7253" i="1"/>
  <c r="D7253" i="1"/>
  <c r="E7253" i="1"/>
  <c r="F7253" i="1"/>
  <c r="G7253" i="1"/>
  <c r="I7253" i="1"/>
  <c r="J7253" i="1"/>
  <c r="K7253" i="1"/>
  <c r="L7253" i="1"/>
  <c r="M7253" i="1"/>
  <c r="N7253" i="1"/>
  <c r="O7253" i="1"/>
  <c r="P7253" i="1"/>
  <c r="Q7253" i="1"/>
  <c r="R7253" i="1"/>
  <c r="S7253" i="1"/>
  <c r="T7253" i="1"/>
  <c r="U7253" i="1"/>
  <c r="V7253" i="1"/>
  <c r="W7253" i="1"/>
  <c r="X7253" i="1"/>
  <c r="Y7253" i="1"/>
  <c r="Z7253" i="1"/>
  <c r="A7254" i="1"/>
  <c r="B7254" i="1"/>
  <c r="C7254" i="1"/>
  <c r="D7254" i="1"/>
  <c r="E7254" i="1"/>
  <c r="F7254" i="1"/>
  <c r="G7254" i="1"/>
  <c r="I7254" i="1"/>
  <c r="J7254" i="1"/>
  <c r="K7254" i="1"/>
  <c r="L7254" i="1"/>
  <c r="M7254" i="1"/>
  <c r="N7254" i="1"/>
  <c r="O7254" i="1"/>
  <c r="P7254" i="1"/>
  <c r="Q7254" i="1"/>
  <c r="R7254" i="1"/>
  <c r="S7254" i="1"/>
  <c r="T7254" i="1"/>
  <c r="U7254" i="1"/>
  <c r="V7254" i="1"/>
  <c r="W7254" i="1"/>
  <c r="X7254" i="1"/>
  <c r="Y7254" i="1"/>
  <c r="Z7254" i="1"/>
  <c r="A7255" i="1"/>
  <c r="B7255" i="1"/>
  <c r="C7255" i="1"/>
  <c r="D7255" i="1"/>
  <c r="E7255" i="1"/>
  <c r="F7255" i="1"/>
  <c r="G7255" i="1"/>
  <c r="I7255" i="1"/>
  <c r="J7255" i="1"/>
  <c r="K7255" i="1"/>
  <c r="L7255" i="1"/>
  <c r="M7255" i="1"/>
  <c r="N7255" i="1"/>
  <c r="O7255" i="1"/>
  <c r="P7255" i="1"/>
  <c r="Q7255" i="1"/>
  <c r="R7255" i="1"/>
  <c r="S7255" i="1"/>
  <c r="T7255" i="1"/>
  <c r="U7255" i="1"/>
  <c r="V7255" i="1"/>
  <c r="W7255" i="1"/>
  <c r="X7255" i="1"/>
  <c r="Y7255" i="1"/>
  <c r="Z7255" i="1"/>
  <c r="A7256" i="1"/>
  <c r="B7256" i="1"/>
  <c r="C7256" i="1"/>
  <c r="D7256" i="1"/>
  <c r="E7256" i="1"/>
  <c r="F7256" i="1"/>
  <c r="G7256" i="1"/>
  <c r="I7256" i="1"/>
  <c r="J7256" i="1"/>
  <c r="K7256" i="1"/>
  <c r="L7256" i="1"/>
  <c r="M7256" i="1"/>
  <c r="N7256" i="1"/>
  <c r="O7256" i="1"/>
  <c r="P7256" i="1"/>
  <c r="Q7256" i="1"/>
  <c r="R7256" i="1"/>
  <c r="S7256" i="1"/>
  <c r="T7256" i="1"/>
  <c r="U7256" i="1"/>
  <c r="V7256" i="1"/>
  <c r="W7256" i="1"/>
  <c r="X7256" i="1"/>
  <c r="Y7256" i="1"/>
  <c r="Z7256" i="1"/>
  <c r="A7257" i="1"/>
  <c r="B7257" i="1"/>
  <c r="C7257" i="1"/>
  <c r="D7257" i="1"/>
  <c r="E7257" i="1"/>
  <c r="F7257" i="1"/>
  <c r="G7257" i="1"/>
  <c r="I7257" i="1"/>
  <c r="J7257" i="1"/>
  <c r="K7257" i="1"/>
  <c r="L7257" i="1"/>
  <c r="M7257" i="1"/>
  <c r="N7257" i="1"/>
  <c r="O7257" i="1"/>
  <c r="P7257" i="1"/>
  <c r="Q7257" i="1"/>
  <c r="R7257" i="1"/>
  <c r="S7257" i="1"/>
  <c r="T7257" i="1"/>
  <c r="U7257" i="1"/>
  <c r="V7257" i="1"/>
  <c r="W7257" i="1"/>
  <c r="X7257" i="1"/>
  <c r="Y7257" i="1"/>
  <c r="Z7257" i="1"/>
  <c r="A7258" i="1"/>
  <c r="B7258" i="1"/>
  <c r="C7258" i="1"/>
  <c r="D7258" i="1"/>
  <c r="E7258" i="1"/>
  <c r="F7258" i="1"/>
  <c r="G7258" i="1"/>
  <c r="I7258" i="1"/>
  <c r="J7258" i="1"/>
  <c r="K7258" i="1"/>
  <c r="L7258" i="1"/>
  <c r="M7258" i="1"/>
  <c r="N7258" i="1"/>
  <c r="O7258" i="1"/>
  <c r="P7258" i="1"/>
  <c r="Q7258" i="1"/>
  <c r="R7258" i="1"/>
  <c r="S7258" i="1"/>
  <c r="T7258" i="1"/>
  <c r="U7258" i="1"/>
  <c r="V7258" i="1"/>
  <c r="W7258" i="1"/>
  <c r="X7258" i="1"/>
  <c r="Y7258" i="1"/>
  <c r="Z7258" i="1"/>
  <c r="A7259" i="1"/>
  <c r="B7259" i="1"/>
  <c r="C7259" i="1"/>
  <c r="D7259" i="1"/>
  <c r="E7259" i="1"/>
  <c r="F7259" i="1"/>
  <c r="G7259" i="1"/>
  <c r="I7259" i="1"/>
  <c r="J7259" i="1"/>
  <c r="K7259" i="1"/>
  <c r="L7259" i="1"/>
  <c r="M7259" i="1"/>
  <c r="N7259" i="1"/>
  <c r="O7259" i="1"/>
  <c r="P7259" i="1"/>
  <c r="Q7259" i="1"/>
  <c r="R7259" i="1"/>
  <c r="S7259" i="1"/>
  <c r="T7259" i="1"/>
  <c r="U7259" i="1"/>
  <c r="V7259" i="1"/>
  <c r="W7259" i="1"/>
  <c r="X7259" i="1"/>
  <c r="Y7259" i="1"/>
  <c r="Z7259" i="1"/>
  <c r="A7260" i="1"/>
  <c r="B7260" i="1"/>
  <c r="C7260" i="1"/>
  <c r="D7260" i="1"/>
  <c r="E7260" i="1"/>
  <c r="F7260" i="1"/>
  <c r="G7260" i="1"/>
  <c r="I7260" i="1"/>
  <c r="J7260" i="1"/>
  <c r="K7260" i="1"/>
  <c r="L7260" i="1"/>
  <c r="M7260" i="1"/>
  <c r="N7260" i="1"/>
  <c r="O7260" i="1"/>
  <c r="P7260" i="1"/>
  <c r="Q7260" i="1"/>
  <c r="R7260" i="1"/>
  <c r="S7260" i="1"/>
  <c r="T7260" i="1"/>
  <c r="U7260" i="1"/>
  <c r="V7260" i="1"/>
  <c r="W7260" i="1"/>
  <c r="X7260" i="1"/>
  <c r="Y7260" i="1"/>
  <c r="Z7260" i="1"/>
  <c r="A7261" i="1"/>
  <c r="B7261" i="1"/>
  <c r="C7261" i="1"/>
  <c r="D7261" i="1"/>
  <c r="E7261" i="1"/>
  <c r="F7261" i="1"/>
  <c r="G7261" i="1"/>
  <c r="I7261" i="1"/>
  <c r="J7261" i="1"/>
  <c r="K7261" i="1"/>
  <c r="L7261" i="1"/>
  <c r="M7261" i="1"/>
  <c r="N7261" i="1"/>
  <c r="O7261" i="1"/>
  <c r="P7261" i="1"/>
  <c r="Q7261" i="1"/>
  <c r="R7261" i="1"/>
  <c r="S7261" i="1"/>
  <c r="T7261" i="1"/>
  <c r="U7261" i="1"/>
  <c r="V7261" i="1"/>
  <c r="W7261" i="1"/>
  <c r="X7261" i="1"/>
  <c r="Y7261" i="1"/>
  <c r="Z7261" i="1"/>
  <c r="A7262" i="1"/>
  <c r="B7262" i="1"/>
  <c r="C7262" i="1"/>
  <c r="D7262" i="1"/>
  <c r="E7262" i="1"/>
  <c r="F7262" i="1"/>
  <c r="G7262" i="1"/>
  <c r="I7262" i="1"/>
  <c r="J7262" i="1"/>
  <c r="K7262" i="1"/>
  <c r="L7262" i="1"/>
  <c r="M7262" i="1"/>
  <c r="N7262" i="1"/>
  <c r="O7262" i="1"/>
  <c r="P7262" i="1"/>
  <c r="Q7262" i="1"/>
  <c r="R7262" i="1"/>
  <c r="S7262" i="1"/>
  <c r="T7262" i="1"/>
  <c r="U7262" i="1"/>
  <c r="V7262" i="1"/>
  <c r="W7262" i="1"/>
  <c r="X7262" i="1"/>
  <c r="Y7262" i="1"/>
  <c r="Z7262" i="1"/>
  <c r="A7263" i="1"/>
  <c r="B7263" i="1"/>
  <c r="C7263" i="1"/>
  <c r="D7263" i="1"/>
  <c r="E7263" i="1"/>
  <c r="F7263" i="1"/>
  <c r="G7263" i="1"/>
  <c r="I7263" i="1"/>
  <c r="J7263" i="1"/>
  <c r="K7263" i="1"/>
  <c r="L7263" i="1"/>
  <c r="M7263" i="1"/>
  <c r="N7263" i="1"/>
  <c r="O7263" i="1"/>
  <c r="P7263" i="1"/>
  <c r="Q7263" i="1"/>
  <c r="R7263" i="1"/>
  <c r="S7263" i="1"/>
  <c r="T7263" i="1"/>
  <c r="U7263" i="1"/>
  <c r="V7263" i="1"/>
  <c r="W7263" i="1"/>
  <c r="X7263" i="1"/>
  <c r="Y7263" i="1"/>
  <c r="Z7263" i="1"/>
  <c r="A7264" i="1"/>
  <c r="B7264" i="1"/>
  <c r="C7264" i="1"/>
  <c r="D7264" i="1"/>
  <c r="E7264" i="1"/>
  <c r="F7264" i="1"/>
  <c r="G7264" i="1"/>
  <c r="I7264" i="1"/>
  <c r="J7264" i="1"/>
  <c r="K7264" i="1"/>
  <c r="L7264" i="1"/>
  <c r="M7264" i="1"/>
  <c r="N7264" i="1"/>
  <c r="O7264" i="1"/>
  <c r="P7264" i="1"/>
  <c r="Q7264" i="1"/>
  <c r="R7264" i="1"/>
  <c r="S7264" i="1"/>
  <c r="T7264" i="1"/>
  <c r="U7264" i="1"/>
  <c r="V7264" i="1"/>
  <c r="W7264" i="1"/>
  <c r="X7264" i="1"/>
  <c r="Y7264" i="1"/>
  <c r="Z7264" i="1"/>
  <c r="A7265" i="1"/>
  <c r="B7265" i="1"/>
  <c r="C7265" i="1"/>
  <c r="D7265" i="1"/>
  <c r="E7265" i="1"/>
  <c r="F7265" i="1"/>
  <c r="G7265" i="1"/>
  <c r="I7265" i="1"/>
  <c r="J7265" i="1"/>
  <c r="K7265" i="1"/>
  <c r="L7265" i="1"/>
  <c r="M7265" i="1"/>
  <c r="N7265" i="1"/>
  <c r="O7265" i="1"/>
  <c r="P7265" i="1"/>
  <c r="Q7265" i="1"/>
  <c r="R7265" i="1"/>
  <c r="S7265" i="1"/>
  <c r="T7265" i="1"/>
  <c r="U7265" i="1"/>
  <c r="V7265" i="1"/>
  <c r="W7265" i="1"/>
  <c r="X7265" i="1"/>
  <c r="Y7265" i="1"/>
  <c r="Z7265" i="1"/>
  <c r="A7266" i="1"/>
  <c r="B7266" i="1"/>
  <c r="C7266" i="1"/>
  <c r="D7266" i="1"/>
  <c r="E7266" i="1"/>
  <c r="F7266" i="1"/>
  <c r="G7266" i="1"/>
  <c r="I7266" i="1"/>
  <c r="J7266" i="1"/>
  <c r="K7266" i="1"/>
  <c r="L7266" i="1"/>
  <c r="M7266" i="1"/>
  <c r="N7266" i="1"/>
  <c r="O7266" i="1"/>
  <c r="P7266" i="1"/>
  <c r="Q7266" i="1"/>
  <c r="R7266" i="1"/>
  <c r="S7266" i="1"/>
  <c r="T7266" i="1"/>
  <c r="U7266" i="1"/>
  <c r="V7266" i="1"/>
  <c r="W7266" i="1"/>
  <c r="X7266" i="1"/>
  <c r="Y7266" i="1"/>
  <c r="Z7266" i="1"/>
  <c r="A7267" i="1"/>
  <c r="B7267" i="1"/>
  <c r="C7267" i="1"/>
  <c r="D7267" i="1"/>
  <c r="E7267" i="1"/>
  <c r="F7267" i="1"/>
  <c r="G7267" i="1"/>
  <c r="I7267" i="1"/>
  <c r="J7267" i="1"/>
  <c r="K7267" i="1"/>
  <c r="L7267" i="1"/>
  <c r="M7267" i="1"/>
  <c r="N7267" i="1"/>
  <c r="O7267" i="1"/>
  <c r="P7267" i="1"/>
  <c r="Q7267" i="1"/>
  <c r="R7267" i="1"/>
  <c r="S7267" i="1"/>
  <c r="T7267" i="1"/>
  <c r="U7267" i="1"/>
  <c r="V7267" i="1"/>
  <c r="W7267" i="1"/>
  <c r="X7267" i="1"/>
  <c r="Y7267" i="1"/>
  <c r="Z7267" i="1"/>
  <c r="A7268" i="1"/>
  <c r="B7268" i="1"/>
  <c r="C7268" i="1"/>
  <c r="D7268" i="1"/>
  <c r="E7268" i="1"/>
  <c r="F7268" i="1"/>
  <c r="G7268" i="1"/>
  <c r="I7268" i="1"/>
  <c r="J7268" i="1"/>
  <c r="K7268" i="1"/>
  <c r="L7268" i="1"/>
  <c r="M7268" i="1"/>
  <c r="N7268" i="1"/>
  <c r="O7268" i="1"/>
  <c r="P7268" i="1"/>
  <c r="Q7268" i="1"/>
  <c r="R7268" i="1"/>
  <c r="S7268" i="1"/>
  <c r="T7268" i="1"/>
  <c r="U7268" i="1"/>
  <c r="V7268" i="1"/>
  <c r="W7268" i="1"/>
  <c r="X7268" i="1"/>
  <c r="Y7268" i="1"/>
  <c r="Z7268" i="1"/>
  <c r="A7269" i="1"/>
  <c r="B7269" i="1"/>
  <c r="C7269" i="1"/>
  <c r="D7269" i="1"/>
  <c r="E7269" i="1"/>
  <c r="F7269" i="1"/>
  <c r="G7269" i="1"/>
  <c r="I7269" i="1"/>
  <c r="J7269" i="1"/>
  <c r="K7269" i="1"/>
  <c r="L7269" i="1"/>
  <c r="M7269" i="1"/>
  <c r="N7269" i="1"/>
  <c r="O7269" i="1"/>
  <c r="P7269" i="1"/>
  <c r="Q7269" i="1"/>
  <c r="R7269" i="1"/>
  <c r="S7269" i="1"/>
  <c r="T7269" i="1"/>
  <c r="U7269" i="1"/>
  <c r="V7269" i="1"/>
  <c r="W7269" i="1"/>
  <c r="X7269" i="1"/>
  <c r="Y7269" i="1"/>
  <c r="Z7269" i="1"/>
  <c r="A7270" i="1"/>
  <c r="B7270" i="1"/>
  <c r="C7270" i="1"/>
  <c r="D7270" i="1"/>
  <c r="E7270" i="1"/>
  <c r="F7270" i="1"/>
  <c r="G7270" i="1"/>
  <c r="I7270" i="1"/>
  <c r="J7270" i="1"/>
  <c r="K7270" i="1"/>
  <c r="L7270" i="1"/>
  <c r="M7270" i="1"/>
  <c r="N7270" i="1"/>
  <c r="O7270" i="1"/>
  <c r="P7270" i="1"/>
  <c r="Q7270" i="1"/>
  <c r="R7270" i="1"/>
  <c r="S7270" i="1"/>
  <c r="T7270" i="1"/>
  <c r="U7270" i="1"/>
  <c r="V7270" i="1"/>
  <c r="W7270" i="1"/>
  <c r="X7270" i="1"/>
  <c r="Y7270" i="1"/>
  <c r="Z7270" i="1"/>
  <c r="A7271" i="1"/>
  <c r="B7271" i="1"/>
  <c r="C7271" i="1"/>
  <c r="D7271" i="1"/>
  <c r="E7271" i="1"/>
  <c r="F7271" i="1"/>
  <c r="G7271" i="1"/>
  <c r="I7271" i="1"/>
  <c r="J7271" i="1"/>
  <c r="K7271" i="1"/>
  <c r="L7271" i="1"/>
  <c r="M7271" i="1"/>
  <c r="N7271" i="1"/>
  <c r="O7271" i="1"/>
  <c r="P7271" i="1"/>
  <c r="Q7271" i="1"/>
  <c r="R7271" i="1"/>
  <c r="S7271" i="1"/>
  <c r="T7271" i="1"/>
  <c r="U7271" i="1"/>
  <c r="V7271" i="1"/>
  <c r="W7271" i="1"/>
  <c r="X7271" i="1"/>
  <c r="Y7271" i="1"/>
  <c r="Z7271" i="1"/>
  <c r="A7272" i="1"/>
  <c r="B7272" i="1"/>
  <c r="C7272" i="1"/>
  <c r="D7272" i="1"/>
  <c r="E7272" i="1"/>
  <c r="F7272" i="1"/>
  <c r="G7272" i="1"/>
  <c r="I7272" i="1"/>
  <c r="J7272" i="1"/>
  <c r="K7272" i="1"/>
  <c r="L7272" i="1"/>
  <c r="M7272" i="1"/>
  <c r="N7272" i="1"/>
  <c r="O7272" i="1"/>
  <c r="P7272" i="1"/>
  <c r="Q7272" i="1"/>
  <c r="R7272" i="1"/>
  <c r="S7272" i="1"/>
  <c r="T7272" i="1"/>
  <c r="U7272" i="1"/>
  <c r="V7272" i="1"/>
  <c r="W7272" i="1"/>
  <c r="X7272" i="1"/>
  <c r="Y7272" i="1"/>
  <c r="Z7272" i="1"/>
  <c r="A7273" i="1"/>
  <c r="B7273" i="1"/>
  <c r="C7273" i="1"/>
  <c r="D7273" i="1"/>
  <c r="E7273" i="1"/>
  <c r="F7273" i="1"/>
  <c r="G7273" i="1"/>
  <c r="I7273" i="1"/>
  <c r="J7273" i="1"/>
  <c r="K7273" i="1"/>
  <c r="L7273" i="1"/>
  <c r="M7273" i="1"/>
  <c r="N7273" i="1"/>
  <c r="O7273" i="1"/>
  <c r="P7273" i="1"/>
  <c r="Q7273" i="1"/>
  <c r="R7273" i="1"/>
  <c r="S7273" i="1"/>
  <c r="T7273" i="1"/>
  <c r="U7273" i="1"/>
  <c r="V7273" i="1"/>
  <c r="W7273" i="1"/>
  <c r="X7273" i="1"/>
  <c r="Y7273" i="1"/>
  <c r="Z7273" i="1"/>
  <c r="A7274" i="1"/>
  <c r="B7274" i="1"/>
  <c r="C7274" i="1"/>
  <c r="D7274" i="1"/>
  <c r="E7274" i="1"/>
  <c r="F7274" i="1"/>
  <c r="G7274" i="1"/>
  <c r="I7274" i="1"/>
  <c r="J7274" i="1"/>
  <c r="K7274" i="1"/>
  <c r="L7274" i="1"/>
  <c r="M7274" i="1"/>
  <c r="N7274" i="1"/>
  <c r="O7274" i="1"/>
  <c r="P7274" i="1"/>
  <c r="Q7274" i="1"/>
  <c r="R7274" i="1"/>
  <c r="S7274" i="1"/>
  <c r="T7274" i="1"/>
  <c r="U7274" i="1"/>
  <c r="V7274" i="1"/>
  <c r="W7274" i="1"/>
  <c r="X7274" i="1"/>
  <c r="Y7274" i="1"/>
  <c r="Z7274" i="1"/>
  <c r="A7275" i="1"/>
  <c r="B7275" i="1"/>
  <c r="C7275" i="1"/>
  <c r="D7275" i="1"/>
  <c r="E7275" i="1"/>
  <c r="F7275" i="1"/>
  <c r="G7275" i="1"/>
  <c r="I7275" i="1"/>
  <c r="J7275" i="1"/>
  <c r="K7275" i="1"/>
  <c r="L7275" i="1"/>
  <c r="M7275" i="1"/>
  <c r="N7275" i="1"/>
  <c r="O7275" i="1"/>
  <c r="P7275" i="1"/>
  <c r="Q7275" i="1"/>
  <c r="R7275" i="1"/>
  <c r="S7275" i="1"/>
  <c r="T7275" i="1"/>
  <c r="U7275" i="1"/>
  <c r="V7275" i="1"/>
  <c r="W7275" i="1"/>
  <c r="X7275" i="1"/>
  <c r="Y7275" i="1"/>
  <c r="Z7275" i="1"/>
  <c r="A7276" i="1"/>
  <c r="B7276" i="1"/>
  <c r="C7276" i="1"/>
  <c r="D7276" i="1"/>
  <c r="E7276" i="1"/>
  <c r="F7276" i="1"/>
  <c r="G7276" i="1"/>
  <c r="I7276" i="1"/>
  <c r="J7276" i="1"/>
  <c r="K7276" i="1"/>
  <c r="L7276" i="1"/>
  <c r="M7276" i="1"/>
  <c r="N7276" i="1"/>
  <c r="O7276" i="1"/>
  <c r="P7276" i="1"/>
  <c r="Q7276" i="1"/>
  <c r="R7276" i="1"/>
  <c r="S7276" i="1"/>
  <c r="T7276" i="1"/>
  <c r="U7276" i="1"/>
  <c r="V7276" i="1"/>
  <c r="W7276" i="1"/>
  <c r="X7276" i="1"/>
  <c r="Y7276" i="1"/>
  <c r="Z7276" i="1"/>
  <c r="A7277" i="1"/>
  <c r="B7277" i="1"/>
  <c r="C7277" i="1"/>
  <c r="D7277" i="1"/>
  <c r="E7277" i="1"/>
  <c r="F7277" i="1"/>
  <c r="G7277" i="1"/>
  <c r="I7277" i="1"/>
  <c r="J7277" i="1"/>
  <c r="K7277" i="1"/>
  <c r="L7277" i="1"/>
  <c r="M7277" i="1"/>
  <c r="N7277" i="1"/>
  <c r="O7277" i="1"/>
  <c r="P7277" i="1"/>
  <c r="Q7277" i="1"/>
  <c r="R7277" i="1"/>
  <c r="S7277" i="1"/>
  <c r="T7277" i="1"/>
  <c r="U7277" i="1"/>
  <c r="V7277" i="1"/>
  <c r="W7277" i="1"/>
  <c r="X7277" i="1"/>
  <c r="Y7277" i="1"/>
  <c r="Z7277" i="1"/>
  <c r="A7278" i="1"/>
  <c r="B7278" i="1"/>
  <c r="C7278" i="1"/>
  <c r="D7278" i="1"/>
  <c r="E7278" i="1"/>
  <c r="F7278" i="1"/>
  <c r="G7278" i="1"/>
  <c r="I7278" i="1"/>
  <c r="J7278" i="1"/>
  <c r="K7278" i="1"/>
  <c r="L7278" i="1"/>
  <c r="M7278" i="1"/>
  <c r="N7278" i="1"/>
  <c r="O7278" i="1"/>
  <c r="P7278" i="1"/>
  <c r="Q7278" i="1"/>
  <c r="R7278" i="1"/>
  <c r="S7278" i="1"/>
  <c r="T7278" i="1"/>
  <c r="U7278" i="1"/>
  <c r="V7278" i="1"/>
  <c r="W7278" i="1"/>
  <c r="X7278" i="1"/>
  <c r="Y7278" i="1"/>
  <c r="Z7278" i="1"/>
  <c r="A7279" i="1"/>
  <c r="B7279" i="1"/>
  <c r="C7279" i="1"/>
  <c r="D7279" i="1"/>
  <c r="E7279" i="1"/>
  <c r="F7279" i="1"/>
  <c r="G7279" i="1"/>
  <c r="I7279" i="1"/>
  <c r="J7279" i="1"/>
  <c r="K7279" i="1"/>
  <c r="L7279" i="1"/>
  <c r="M7279" i="1"/>
  <c r="N7279" i="1"/>
  <c r="O7279" i="1"/>
  <c r="P7279" i="1"/>
  <c r="Q7279" i="1"/>
  <c r="R7279" i="1"/>
  <c r="S7279" i="1"/>
  <c r="T7279" i="1"/>
  <c r="U7279" i="1"/>
  <c r="V7279" i="1"/>
  <c r="W7279" i="1"/>
  <c r="X7279" i="1"/>
  <c r="Y7279" i="1"/>
  <c r="Z7279" i="1"/>
  <c r="A7280" i="1"/>
  <c r="B7280" i="1"/>
  <c r="C7280" i="1"/>
  <c r="D7280" i="1"/>
  <c r="E7280" i="1"/>
  <c r="F7280" i="1"/>
  <c r="G7280" i="1"/>
  <c r="I7280" i="1"/>
  <c r="J7280" i="1"/>
  <c r="K7280" i="1"/>
  <c r="L7280" i="1"/>
  <c r="M7280" i="1"/>
  <c r="N7280" i="1"/>
  <c r="O7280" i="1"/>
  <c r="P7280" i="1"/>
  <c r="Q7280" i="1"/>
  <c r="R7280" i="1"/>
  <c r="S7280" i="1"/>
  <c r="T7280" i="1"/>
  <c r="U7280" i="1"/>
  <c r="V7280" i="1"/>
  <c r="W7280" i="1"/>
  <c r="X7280" i="1"/>
  <c r="Y7280" i="1"/>
  <c r="Z7280" i="1"/>
  <c r="A7281" i="1"/>
  <c r="B7281" i="1"/>
  <c r="C7281" i="1"/>
  <c r="D7281" i="1"/>
  <c r="E7281" i="1"/>
  <c r="F7281" i="1"/>
  <c r="G7281" i="1"/>
  <c r="I7281" i="1"/>
  <c r="J7281" i="1"/>
  <c r="K7281" i="1"/>
  <c r="L7281" i="1"/>
  <c r="M7281" i="1"/>
  <c r="N7281" i="1"/>
  <c r="O7281" i="1"/>
  <c r="P7281" i="1"/>
  <c r="Q7281" i="1"/>
  <c r="R7281" i="1"/>
  <c r="S7281" i="1"/>
  <c r="T7281" i="1"/>
  <c r="U7281" i="1"/>
  <c r="V7281" i="1"/>
  <c r="W7281" i="1"/>
  <c r="X7281" i="1"/>
  <c r="Y7281" i="1"/>
  <c r="Z7281" i="1"/>
  <c r="A7282" i="1"/>
  <c r="B7282" i="1"/>
  <c r="C7282" i="1"/>
  <c r="D7282" i="1"/>
  <c r="E7282" i="1"/>
  <c r="F7282" i="1"/>
  <c r="G7282" i="1"/>
  <c r="I7282" i="1"/>
  <c r="J7282" i="1"/>
  <c r="K7282" i="1"/>
  <c r="L7282" i="1"/>
  <c r="M7282" i="1"/>
  <c r="N7282" i="1"/>
  <c r="O7282" i="1"/>
  <c r="P7282" i="1"/>
  <c r="Q7282" i="1"/>
  <c r="R7282" i="1"/>
  <c r="S7282" i="1"/>
  <c r="T7282" i="1"/>
  <c r="U7282" i="1"/>
  <c r="V7282" i="1"/>
  <c r="W7282" i="1"/>
  <c r="X7282" i="1"/>
  <c r="Y7282" i="1"/>
  <c r="Z7282" i="1"/>
  <c r="A7283" i="1"/>
  <c r="B7283" i="1"/>
  <c r="C7283" i="1"/>
  <c r="D7283" i="1"/>
  <c r="E7283" i="1"/>
  <c r="F7283" i="1"/>
  <c r="G7283" i="1"/>
  <c r="I7283" i="1"/>
  <c r="J7283" i="1"/>
  <c r="K7283" i="1"/>
  <c r="L7283" i="1"/>
  <c r="M7283" i="1"/>
  <c r="N7283" i="1"/>
  <c r="O7283" i="1"/>
  <c r="P7283" i="1"/>
  <c r="Q7283" i="1"/>
  <c r="R7283" i="1"/>
  <c r="S7283" i="1"/>
  <c r="T7283" i="1"/>
  <c r="U7283" i="1"/>
  <c r="V7283" i="1"/>
  <c r="W7283" i="1"/>
  <c r="X7283" i="1"/>
  <c r="Y7283" i="1"/>
  <c r="Z7283" i="1"/>
  <c r="A7284" i="1"/>
  <c r="B7284" i="1"/>
  <c r="C7284" i="1"/>
  <c r="D7284" i="1"/>
  <c r="E7284" i="1"/>
  <c r="F7284" i="1"/>
  <c r="G7284" i="1"/>
  <c r="I7284" i="1"/>
  <c r="J7284" i="1"/>
  <c r="K7284" i="1"/>
  <c r="L7284" i="1"/>
  <c r="M7284" i="1"/>
  <c r="N7284" i="1"/>
  <c r="O7284" i="1"/>
  <c r="P7284" i="1"/>
  <c r="Q7284" i="1"/>
  <c r="R7284" i="1"/>
  <c r="S7284" i="1"/>
  <c r="T7284" i="1"/>
  <c r="U7284" i="1"/>
  <c r="V7284" i="1"/>
  <c r="W7284" i="1"/>
  <c r="X7284" i="1"/>
  <c r="Y7284" i="1"/>
  <c r="Z7284" i="1"/>
  <c r="A7285" i="1"/>
  <c r="B7285" i="1"/>
  <c r="C7285" i="1"/>
  <c r="D7285" i="1"/>
  <c r="E7285" i="1"/>
  <c r="F7285" i="1"/>
  <c r="G7285" i="1"/>
  <c r="I7285" i="1"/>
  <c r="J7285" i="1"/>
  <c r="K7285" i="1"/>
  <c r="L7285" i="1"/>
  <c r="M7285" i="1"/>
  <c r="N7285" i="1"/>
  <c r="O7285" i="1"/>
  <c r="P7285" i="1"/>
  <c r="Q7285" i="1"/>
  <c r="R7285" i="1"/>
  <c r="S7285" i="1"/>
  <c r="T7285" i="1"/>
  <c r="U7285" i="1"/>
  <c r="V7285" i="1"/>
  <c r="W7285" i="1"/>
  <c r="X7285" i="1"/>
  <c r="Y7285" i="1"/>
  <c r="Z7285" i="1"/>
  <c r="A7286" i="1"/>
  <c r="B7286" i="1"/>
  <c r="C7286" i="1"/>
  <c r="D7286" i="1"/>
  <c r="E7286" i="1"/>
  <c r="F7286" i="1"/>
  <c r="G7286" i="1"/>
  <c r="I7286" i="1"/>
  <c r="J7286" i="1"/>
  <c r="K7286" i="1"/>
  <c r="L7286" i="1"/>
  <c r="M7286" i="1"/>
  <c r="N7286" i="1"/>
  <c r="O7286" i="1"/>
  <c r="P7286" i="1"/>
  <c r="Q7286" i="1"/>
  <c r="R7286" i="1"/>
  <c r="S7286" i="1"/>
  <c r="T7286" i="1"/>
  <c r="U7286" i="1"/>
  <c r="V7286" i="1"/>
  <c r="W7286" i="1"/>
  <c r="X7286" i="1"/>
  <c r="Y7286" i="1"/>
  <c r="Z7286" i="1"/>
  <c r="A7287" i="1"/>
  <c r="B7287" i="1"/>
  <c r="C7287" i="1"/>
  <c r="D7287" i="1"/>
  <c r="E7287" i="1"/>
  <c r="F7287" i="1"/>
  <c r="G7287" i="1"/>
  <c r="I7287" i="1"/>
  <c r="J7287" i="1"/>
  <c r="K7287" i="1"/>
  <c r="L7287" i="1"/>
  <c r="M7287" i="1"/>
  <c r="N7287" i="1"/>
  <c r="O7287" i="1"/>
  <c r="P7287" i="1"/>
  <c r="Q7287" i="1"/>
  <c r="R7287" i="1"/>
  <c r="S7287" i="1"/>
  <c r="T7287" i="1"/>
  <c r="U7287" i="1"/>
  <c r="V7287" i="1"/>
  <c r="W7287" i="1"/>
  <c r="X7287" i="1"/>
  <c r="Y7287" i="1"/>
  <c r="Z7287" i="1"/>
  <c r="A7288" i="1"/>
  <c r="B7288" i="1"/>
  <c r="C7288" i="1"/>
  <c r="D7288" i="1"/>
  <c r="E7288" i="1"/>
  <c r="F7288" i="1"/>
  <c r="G7288" i="1"/>
  <c r="I7288" i="1"/>
  <c r="J7288" i="1"/>
  <c r="K7288" i="1"/>
  <c r="L7288" i="1"/>
  <c r="M7288" i="1"/>
  <c r="N7288" i="1"/>
  <c r="O7288" i="1"/>
  <c r="P7288" i="1"/>
  <c r="Q7288" i="1"/>
  <c r="R7288" i="1"/>
  <c r="S7288" i="1"/>
  <c r="T7288" i="1"/>
  <c r="U7288" i="1"/>
  <c r="V7288" i="1"/>
  <c r="W7288" i="1"/>
  <c r="X7288" i="1"/>
  <c r="Y7288" i="1"/>
  <c r="Z7288" i="1"/>
  <c r="A7289" i="1"/>
  <c r="B7289" i="1"/>
  <c r="C7289" i="1"/>
  <c r="D7289" i="1"/>
  <c r="E7289" i="1"/>
  <c r="F7289" i="1"/>
  <c r="G7289" i="1"/>
  <c r="I7289" i="1"/>
  <c r="J7289" i="1"/>
  <c r="K7289" i="1"/>
  <c r="L7289" i="1"/>
  <c r="M7289" i="1"/>
  <c r="N7289" i="1"/>
  <c r="O7289" i="1"/>
  <c r="P7289" i="1"/>
  <c r="Q7289" i="1"/>
  <c r="R7289" i="1"/>
  <c r="S7289" i="1"/>
  <c r="T7289" i="1"/>
  <c r="U7289" i="1"/>
  <c r="V7289" i="1"/>
  <c r="W7289" i="1"/>
  <c r="X7289" i="1"/>
  <c r="Y7289" i="1"/>
  <c r="Z7289" i="1"/>
  <c r="A7290" i="1"/>
  <c r="B7290" i="1"/>
  <c r="C7290" i="1"/>
  <c r="D7290" i="1"/>
  <c r="E7290" i="1"/>
  <c r="F7290" i="1"/>
  <c r="G7290" i="1"/>
  <c r="I7290" i="1"/>
  <c r="J7290" i="1"/>
  <c r="K7290" i="1"/>
  <c r="L7290" i="1"/>
  <c r="M7290" i="1"/>
  <c r="N7290" i="1"/>
  <c r="O7290" i="1"/>
  <c r="P7290" i="1"/>
  <c r="Q7290" i="1"/>
  <c r="R7290" i="1"/>
  <c r="S7290" i="1"/>
  <c r="T7290" i="1"/>
  <c r="U7290" i="1"/>
  <c r="V7290" i="1"/>
  <c r="W7290" i="1"/>
  <c r="X7290" i="1"/>
  <c r="Y7290" i="1"/>
  <c r="Z7290" i="1"/>
  <c r="A7291" i="1"/>
  <c r="B7291" i="1"/>
  <c r="C7291" i="1"/>
  <c r="D7291" i="1"/>
  <c r="E7291" i="1"/>
  <c r="F7291" i="1"/>
  <c r="G7291" i="1"/>
  <c r="I7291" i="1"/>
  <c r="J7291" i="1"/>
  <c r="K7291" i="1"/>
  <c r="L7291" i="1"/>
  <c r="M7291" i="1"/>
  <c r="N7291" i="1"/>
  <c r="O7291" i="1"/>
  <c r="P7291" i="1"/>
  <c r="Q7291" i="1"/>
  <c r="R7291" i="1"/>
  <c r="S7291" i="1"/>
  <c r="T7291" i="1"/>
  <c r="U7291" i="1"/>
  <c r="V7291" i="1"/>
  <c r="W7291" i="1"/>
  <c r="X7291" i="1"/>
  <c r="Y7291" i="1"/>
  <c r="Z7291" i="1"/>
  <c r="A7292" i="1"/>
  <c r="B7292" i="1"/>
  <c r="C7292" i="1"/>
  <c r="D7292" i="1"/>
  <c r="E7292" i="1"/>
  <c r="F7292" i="1"/>
  <c r="G7292" i="1"/>
  <c r="I7292" i="1"/>
  <c r="J7292" i="1"/>
  <c r="K7292" i="1"/>
  <c r="L7292" i="1"/>
  <c r="M7292" i="1"/>
  <c r="N7292" i="1"/>
  <c r="O7292" i="1"/>
  <c r="P7292" i="1"/>
  <c r="Q7292" i="1"/>
  <c r="R7292" i="1"/>
  <c r="S7292" i="1"/>
  <c r="T7292" i="1"/>
  <c r="U7292" i="1"/>
  <c r="V7292" i="1"/>
  <c r="W7292" i="1"/>
  <c r="X7292" i="1"/>
  <c r="Y7292" i="1"/>
  <c r="Z7292" i="1"/>
  <c r="A7293" i="1"/>
  <c r="B7293" i="1"/>
  <c r="C7293" i="1"/>
  <c r="D7293" i="1"/>
  <c r="E7293" i="1"/>
  <c r="F7293" i="1"/>
  <c r="G7293" i="1"/>
  <c r="I7293" i="1"/>
  <c r="J7293" i="1"/>
  <c r="K7293" i="1"/>
  <c r="L7293" i="1"/>
  <c r="M7293" i="1"/>
  <c r="N7293" i="1"/>
  <c r="O7293" i="1"/>
  <c r="P7293" i="1"/>
  <c r="Q7293" i="1"/>
  <c r="R7293" i="1"/>
  <c r="S7293" i="1"/>
  <c r="T7293" i="1"/>
  <c r="U7293" i="1"/>
  <c r="V7293" i="1"/>
  <c r="W7293" i="1"/>
  <c r="X7293" i="1"/>
  <c r="Y7293" i="1"/>
  <c r="Z7293" i="1"/>
  <c r="A7294" i="1"/>
  <c r="B7294" i="1"/>
  <c r="C7294" i="1"/>
  <c r="D7294" i="1"/>
  <c r="E7294" i="1"/>
  <c r="F7294" i="1"/>
  <c r="G7294" i="1"/>
  <c r="I7294" i="1"/>
  <c r="J7294" i="1"/>
  <c r="K7294" i="1"/>
  <c r="L7294" i="1"/>
  <c r="M7294" i="1"/>
  <c r="N7294" i="1"/>
  <c r="O7294" i="1"/>
  <c r="P7294" i="1"/>
  <c r="Q7294" i="1"/>
  <c r="R7294" i="1"/>
  <c r="S7294" i="1"/>
  <c r="T7294" i="1"/>
  <c r="U7294" i="1"/>
  <c r="V7294" i="1"/>
  <c r="W7294" i="1"/>
  <c r="X7294" i="1"/>
  <c r="Y7294" i="1"/>
  <c r="Z7294" i="1"/>
  <c r="A7295" i="1"/>
  <c r="B7295" i="1"/>
  <c r="C7295" i="1"/>
  <c r="D7295" i="1"/>
  <c r="E7295" i="1"/>
  <c r="F7295" i="1"/>
  <c r="G7295" i="1"/>
  <c r="I7295" i="1"/>
  <c r="J7295" i="1"/>
  <c r="K7295" i="1"/>
  <c r="L7295" i="1"/>
  <c r="M7295" i="1"/>
  <c r="N7295" i="1"/>
  <c r="O7295" i="1"/>
  <c r="P7295" i="1"/>
  <c r="Q7295" i="1"/>
  <c r="R7295" i="1"/>
  <c r="S7295" i="1"/>
  <c r="T7295" i="1"/>
  <c r="U7295" i="1"/>
  <c r="V7295" i="1"/>
  <c r="W7295" i="1"/>
  <c r="X7295" i="1"/>
  <c r="Y7295" i="1"/>
  <c r="Z7295" i="1"/>
  <c r="A7296" i="1"/>
  <c r="B7296" i="1"/>
  <c r="C7296" i="1"/>
  <c r="D7296" i="1"/>
  <c r="E7296" i="1"/>
  <c r="F7296" i="1"/>
  <c r="G7296" i="1"/>
  <c r="I7296" i="1"/>
  <c r="J7296" i="1"/>
  <c r="K7296" i="1"/>
  <c r="L7296" i="1"/>
  <c r="M7296" i="1"/>
  <c r="N7296" i="1"/>
  <c r="O7296" i="1"/>
  <c r="P7296" i="1"/>
  <c r="Q7296" i="1"/>
  <c r="R7296" i="1"/>
  <c r="S7296" i="1"/>
  <c r="T7296" i="1"/>
  <c r="U7296" i="1"/>
  <c r="V7296" i="1"/>
  <c r="W7296" i="1"/>
  <c r="X7296" i="1"/>
  <c r="Y7296" i="1"/>
  <c r="Z7296" i="1"/>
  <c r="A7297" i="1"/>
  <c r="B7297" i="1"/>
  <c r="C7297" i="1"/>
  <c r="D7297" i="1"/>
  <c r="E7297" i="1"/>
  <c r="F7297" i="1"/>
  <c r="G7297" i="1"/>
  <c r="I7297" i="1"/>
  <c r="J7297" i="1"/>
  <c r="K7297" i="1"/>
  <c r="L7297" i="1"/>
  <c r="M7297" i="1"/>
  <c r="N7297" i="1"/>
  <c r="O7297" i="1"/>
  <c r="P7297" i="1"/>
  <c r="Q7297" i="1"/>
  <c r="R7297" i="1"/>
  <c r="S7297" i="1"/>
  <c r="T7297" i="1"/>
  <c r="U7297" i="1"/>
  <c r="V7297" i="1"/>
  <c r="W7297" i="1"/>
  <c r="X7297" i="1"/>
  <c r="Y7297" i="1"/>
  <c r="Z7297" i="1"/>
  <c r="A7298" i="1"/>
  <c r="B7298" i="1"/>
  <c r="C7298" i="1"/>
  <c r="D7298" i="1"/>
  <c r="E7298" i="1"/>
  <c r="F7298" i="1"/>
  <c r="G7298" i="1"/>
  <c r="I7298" i="1"/>
  <c r="J7298" i="1"/>
  <c r="K7298" i="1"/>
  <c r="L7298" i="1"/>
  <c r="M7298" i="1"/>
  <c r="N7298" i="1"/>
  <c r="O7298" i="1"/>
  <c r="P7298" i="1"/>
  <c r="Q7298" i="1"/>
  <c r="R7298" i="1"/>
  <c r="S7298" i="1"/>
  <c r="T7298" i="1"/>
  <c r="U7298" i="1"/>
  <c r="V7298" i="1"/>
  <c r="W7298" i="1"/>
  <c r="X7298" i="1"/>
  <c r="Y7298" i="1"/>
  <c r="Z7298" i="1"/>
  <c r="A7299" i="1"/>
  <c r="B7299" i="1"/>
  <c r="C7299" i="1"/>
  <c r="D7299" i="1"/>
  <c r="E7299" i="1"/>
  <c r="F7299" i="1"/>
  <c r="G7299" i="1"/>
  <c r="I7299" i="1"/>
  <c r="J7299" i="1"/>
  <c r="K7299" i="1"/>
  <c r="L7299" i="1"/>
  <c r="M7299" i="1"/>
  <c r="N7299" i="1"/>
  <c r="O7299" i="1"/>
  <c r="P7299" i="1"/>
  <c r="Q7299" i="1"/>
  <c r="R7299" i="1"/>
  <c r="S7299" i="1"/>
  <c r="T7299" i="1"/>
  <c r="U7299" i="1"/>
  <c r="V7299" i="1"/>
  <c r="W7299" i="1"/>
  <c r="X7299" i="1"/>
  <c r="Y7299" i="1"/>
  <c r="Z7299" i="1"/>
  <c r="A7300" i="1"/>
  <c r="B7300" i="1"/>
  <c r="C7300" i="1"/>
  <c r="D7300" i="1"/>
  <c r="E7300" i="1"/>
  <c r="F7300" i="1"/>
  <c r="G7300" i="1"/>
  <c r="I7300" i="1"/>
  <c r="J7300" i="1"/>
  <c r="K7300" i="1"/>
  <c r="L7300" i="1"/>
  <c r="M7300" i="1"/>
  <c r="N7300" i="1"/>
  <c r="O7300" i="1"/>
  <c r="P7300" i="1"/>
  <c r="Q7300" i="1"/>
  <c r="R7300" i="1"/>
  <c r="S7300" i="1"/>
  <c r="T7300" i="1"/>
  <c r="U7300" i="1"/>
  <c r="V7300" i="1"/>
  <c r="W7300" i="1"/>
  <c r="X7300" i="1"/>
  <c r="Y7300" i="1"/>
  <c r="Z7300" i="1"/>
  <c r="A7301" i="1"/>
  <c r="B7301" i="1"/>
  <c r="C7301" i="1"/>
  <c r="D7301" i="1"/>
  <c r="E7301" i="1"/>
  <c r="F7301" i="1"/>
  <c r="G7301" i="1"/>
  <c r="I7301" i="1"/>
  <c r="J7301" i="1"/>
  <c r="K7301" i="1"/>
  <c r="L7301" i="1"/>
  <c r="M7301" i="1"/>
  <c r="N7301" i="1"/>
  <c r="O7301" i="1"/>
  <c r="P7301" i="1"/>
  <c r="Q7301" i="1"/>
  <c r="R7301" i="1"/>
  <c r="S7301" i="1"/>
  <c r="T7301" i="1"/>
  <c r="U7301" i="1"/>
  <c r="V7301" i="1"/>
  <c r="W7301" i="1"/>
  <c r="X7301" i="1"/>
  <c r="Y7301" i="1"/>
  <c r="Z7301" i="1"/>
  <c r="A7302" i="1"/>
  <c r="B7302" i="1"/>
  <c r="C7302" i="1"/>
  <c r="D7302" i="1"/>
  <c r="E7302" i="1"/>
  <c r="F7302" i="1"/>
  <c r="G7302" i="1"/>
  <c r="I7302" i="1"/>
  <c r="J7302" i="1"/>
  <c r="K7302" i="1"/>
  <c r="L7302" i="1"/>
  <c r="M7302" i="1"/>
  <c r="N7302" i="1"/>
  <c r="O7302" i="1"/>
  <c r="P7302" i="1"/>
  <c r="Q7302" i="1"/>
  <c r="R7302" i="1"/>
  <c r="S7302" i="1"/>
  <c r="T7302" i="1"/>
  <c r="U7302" i="1"/>
  <c r="V7302" i="1"/>
  <c r="W7302" i="1"/>
  <c r="X7302" i="1"/>
  <c r="Y7302" i="1"/>
  <c r="Z7302" i="1"/>
  <c r="A7303" i="1"/>
  <c r="B7303" i="1"/>
  <c r="C7303" i="1"/>
  <c r="D7303" i="1"/>
  <c r="E7303" i="1"/>
  <c r="F7303" i="1"/>
  <c r="G7303" i="1"/>
  <c r="I7303" i="1"/>
  <c r="J7303" i="1"/>
  <c r="K7303" i="1"/>
  <c r="L7303" i="1"/>
  <c r="M7303" i="1"/>
  <c r="N7303" i="1"/>
  <c r="O7303" i="1"/>
  <c r="P7303" i="1"/>
  <c r="Q7303" i="1"/>
  <c r="R7303" i="1"/>
  <c r="S7303" i="1"/>
  <c r="T7303" i="1"/>
  <c r="U7303" i="1"/>
  <c r="V7303" i="1"/>
  <c r="W7303" i="1"/>
  <c r="X7303" i="1"/>
  <c r="Y7303" i="1"/>
  <c r="Z7303" i="1"/>
  <c r="A7304" i="1"/>
  <c r="B7304" i="1"/>
  <c r="C7304" i="1"/>
  <c r="D7304" i="1"/>
  <c r="E7304" i="1"/>
  <c r="F7304" i="1"/>
  <c r="G7304" i="1"/>
  <c r="I7304" i="1"/>
  <c r="J7304" i="1"/>
  <c r="K7304" i="1"/>
  <c r="L7304" i="1"/>
  <c r="M7304" i="1"/>
  <c r="N7304" i="1"/>
  <c r="O7304" i="1"/>
  <c r="P7304" i="1"/>
  <c r="Q7304" i="1"/>
  <c r="R7304" i="1"/>
  <c r="S7304" i="1"/>
  <c r="T7304" i="1"/>
  <c r="U7304" i="1"/>
  <c r="V7304" i="1"/>
  <c r="W7304" i="1"/>
  <c r="X7304" i="1"/>
  <c r="Y7304" i="1"/>
  <c r="Z7304" i="1"/>
  <c r="A7305" i="1"/>
  <c r="B7305" i="1"/>
  <c r="C7305" i="1"/>
  <c r="D7305" i="1"/>
  <c r="E7305" i="1"/>
  <c r="F7305" i="1"/>
  <c r="G7305" i="1"/>
  <c r="I7305" i="1"/>
  <c r="J7305" i="1"/>
  <c r="K7305" i="1"/>
  <c r="L7305" i="1"/>
  <c r="M7305" i="1"/>
  <c r="N7305" i="1"/>
  <c r="O7305" i="1"/>
  <c r="P7305" i="1"/>
  <c r="Q7305" i="1"/>
  <c r="R7305" i="1"/>
  <c r="S7305" i="1"/>
  <c r="T7305" i="1"/>
  <c r="U7305" i="1"/>
  <c r="V7305" i="1"/>
  <c r="W7305" i="1"/>
  <c r="X7305" i="1"/>
  <c r="Y7305" i="1"/>
  <c r="Z7305" i="1"/>
  <c r="A7306" i="1"/>
  <c r="B7306" i="1"/>
  <c r="C7306" i="1"/>
  <c r="D7306" i="1"/>
  <c r="E7306" i="1"/>
  <c r="F7306" i="1"/>
  <c r="G7306" i="1"/>
  <c r="I7306" i="1"/>
  <c r="J7306" i="1"/>
  <c r="K7306" i="1"/>
  <c r="L7306" i="1"/>
  <c r="M7306" i="1"/>
  <c r="N7306" i="1"/>
  <c r="O7306" i="1"/>
  <c r="P7306" i="1"/>
  <c r="Q7306" i="1"/>
  <c r="R7306" i="1"/>
  <c r="S7306" i="1"/>
  <c r="T7306" i="1"/>
  <c r="U7306" i="1"/>
  <c r="V7306" i="1"/>
  <c r="W7306" i="1"/>
  <c r="X7306" i="1"/>
  <c r="Y7306" i="1"/>
  <c r="Z7306" i="1"/>
  <c r="A7307" i="1"/>
  <c r="B7307" i="1"/>
  <c r="C7307" i="1"/>
  <c r="D7307" i="1"/>
  <c r="E7307" i="1"/>
  <c r="F7307" i="1"/>
  <c r="G7307" i="1"/>
  <c r="I7307" i="1"/>
  <c r="J7307" i="1"/>
  <c r="K7307" i="1"/>
  <c r="L7307" i="1"/>
  <c r="M7307" i="1"/>
  <c r="N7307" i="1"/>
  <c r="O7307" i="1"/>
  <c r="P7307" i="1"/>
  <c r="Q7307" i="1"/>
  <c r="R7307" i="1"/>
  <c r="S7307" i="1"/>
  <c r="T7307" i="1"/>
  <c r="U7307" i="1"/>
  <c r="V7307" i="1"/>
  <c r="W7307" i="1"/>
  <c r="X7307" i="1"/>
  <c r="Y7307" i="1"/>
  <c r="Z7307" i="1"/>
  <c r="A7308" i="1"/>
  <c r="B7308" i="1"/>
  <c r="C7308" i="1"/>
  <c r="D7308" i="1"/>
  <c r="E7308" i="1"/>
  <c r="F7308" i="1"/>
  <c r="G7308" i="1"/>
  <c r="I7308" i="1"/>
  <c r="J7308" i="1"/>
  <c r="K7308" i="1"/>
  <c r="L7308" i="1"/>
  <c r="M7308" i="1"/>
  <c r="N7308" i="1"/>
  <c r="O7308" i="1"/>
  <c r="P7308" i="1"/>
  <c r="Q7308" i="1"/>
  <c r="R7308" i="1"/>
  <c r="S7308" i="1"/>
  <c r="T7308" i="1"/>
  <c r="U7308" i="1"/>
  <c r="V7308" i="1"/>
  <c r="W7308" i="1"/>
  <c r="X7308" i="1"/>
  <c r="Y7308" i="1"/>
  <c r="Z7308" i="1"/>
  <c r="A7309" i="1"/>
  <c r="B7309" i="1"/>
  <c r="C7309" i="1"/>
  <c r="D7309" i="1"/>
  <c r="E7309" i="1"/>
  <c r="F7309" i="1"/>
  <c r="G7309" i="1"/>
  <c r="I7309" i="1"/>
  <c r="J7309" i="1"/>
  <c r="K7309" i="1"/>
  <c r="L7309" i="1"/>
  <c r="M7309" i="1"/>
  <c r="N7309" i="1"/>
  <c r="O7309" i="1"/>
  <c r="P7309" i="1"/>
  <c r="Q7309" i="1"/>
  <c r="R7309" i="1"/>
  <c r="S7309" i="1"/>
  <c r="T7309" i="1"/>
  <c r="U7309" i="1"/>
  <c r="V7309" i="1"/>
  <c r="W7309" i="1"/>
  <c r="X7309" i="1"/>
  <c r="Y7309" i="1"/>
  <c r="Z7309" i="1"/>
  <c r="A7310" i="1"/>
  <c r="B7310" i="1"/>
  <c r="C7310" i="1"/>
  <c r="D7310" i="1"/>
  <c r="E7310" i="1"/>
  <c r="F7310" i="1"/>
  <c r="G7310" i="1"/>
  <c r="I7310" i="1"/>
  <c r="J7310" i="1"/>
  <c r="K7310" i="1"/>
  <c r="L7310" i="1"/>
  <c r="M7310" i="1"/>
  <c r="N7310" i="1"/>
  <c r="O7310" i="1"/>
  <c r="P7310" i="1"/>
  <c r="Q7310" i="1"/>
  <c r="R7310" i="1"/>
  <c r="S7310" i="1"/>
  <c r="T7310" i="1"/>
  <c r="U7310" i="1"/>
  <c r="V7310" i="1"/>
  <c r="W7310" i="1"/>
  <c r="X7310" i="1"/>
  <c r="Y7310" i="1"/>
  <c r="Z7310" i="1"/>
  <c r="A7311" i="1"/>
  <c r="B7311" i="1"/>
  <c r="C7311" i="1"/>
  <c r="D7311" i="1"/>
  <c r="E7311" i="1"/>
  <c r="F7311" i="1"/>
  <c r="G7311" i="1"/>
  <c r="I7311" i="1"/>
  <c r="J7311" i="1"/>
  <c r="K7311" i="1"/>
  <c r="L7311" i="1"/>
  <c r="M7311" i="1"/>
  <c r="N7311" i="1"/>
  <c r="O7311" i="1"/>
  <c r="P7311" i="1"/>
  <c r="Q7311" i="1"/>
  <c r="R7311" i="1"/>
  <c r="S7311" i="1"/>
  <c r="T7311" i="1"/>
  <c r="U7311" i="1"/>
  <c r="V7311" i="1"/>
  <c r="W7311" i="1"/>
  <c r="X7311" i="1"/>
  <c r="Y7311" i="1"/>
  <c r="Z7311" i="1"/>
  <c r="A7312" i="1"/>
  <c r="B7312" i="1"/>
  <c r="C7312" i="1"/>
  <c r="D7312" i="1"/>
  <c r="E7312" i="1"/>
  <c r="F7312" i="1"/>
  <c r="G7312" i="1"/>
  <c r="I7312" i="1"/>
  <c r="J7312" i="1"/>
  <c r="K7312" i="1"/>
  <c r="L7312" i="1"/>
  <c r="M7312" i="1"/>
  <c r="N7312" i="1"/>
  <c r="O7312" i="1"/>
  <c r="P7312" i="1"/>
  <c r="Q7312" i="1"/>
  <c r="R7312" i="1"/>
  <c r="S7312" i="1"/>
  <c r="T7312" i="1"/>
  <c r="U7312" i="1"/>
  <c r="V7312" i="1"/>
  <c r="W7312" i="1"/>
  <c r="X7312" i="1"/>
  <c r="Y7312" i="1"/>
  <c r="Z7312" i="1"/>
  <c r="A7313" i="1"/>
  <c r="B7313" i="1"/>
  <c r="C7313" i="1"/>
  <c r="D7313" i="1"/>
  <c r="E7313" i="1"/>
  <c r="F7313" i="1"/>
  <c r="G7313" i="1"/>
  <c r="I7313" i="1"/>
  <c r="J7313" i="1"/>
  <c r="K7313" i="1"/>
  <c r="L7313" i="1"/>
  <c r="M7313" i="1"/>
  <c r="N7313" i="1"/>
  <c r="O7313" i="1"/>
  <c r="P7313" i="1"/>
  <c r="Q7313" i="1"/>
  <c r="R7313" i="1"/>
  <c r="S7313" i="1"/>
  <c r="T7313" i="1"/>
  <c r="U7313" i="1"/>
  <c r="V7313" i="1"/>
  <c r="W7313" i="1"/>
  <c r="X7313" i="1"/>
  <c r="Y7313" i="1"/>
  <c r="Z7313" i="1"/>
  <c r="A7314" i="1"/>
  <c r="B7314" i="1"/>
  <c r="C7314" i="1"/>
  <c r="D7314" i="1"/>
  <c r="E7314" i="1"/>
  <c r="F7314" i="1"/>
  <c r="G7314" i="1"/>
  <c r="I7314" i="1"/>
  <c r="J7314" i="1"/>
  <c r="K7314" i="1"/>
  <c r="L7314" i="1"/>
  <c r="M7314" i="1"/>
  <c r="N7314" i="1"/>
  <c r="O7314" i="1"/>
  <c r="P7314" i="1"/>
  <c r="Q7314" i="1"/>
  <c r="R7314" i="1"/>
  <c r="S7314" i="1"/>
  <c r="T7314" i="1"/>
  <c r="U7314" i="1"/>
  <c r="V7314" i="1"/>
  <c r="W7314" i="1"/>
  <c r="X7314" i="1"/>
  <c r="Y7314" i="1"/>
  <c r="Z7314" i="1"/>
  <c r="A7315" i="1"/>
  <c r="B7315" i="1"/>
  <c r="C7315" i="1"/>
  <c r="D7315" i="1"/>
  <c r="E7315" i="1"/>
  <c r="F7315" i="1"/>
  <c r="G7315" i="1"/>
  <c r="I7315" i="1"/>
  <c r="J7315" i="1"/>
  <c r="K7315" i="1"/>
  <c r="L7315" i="1"/>
  <c r="M7315" i="1"/>
  <c r="N7315" i="1"/>
  <c r="O7315" i="1"/>
  <c r="P7315" i="1"/>
  <c r="Q7315" i="1"/>
  <c r="R7315" i="1"/>
  <c r="S7315" i="1"/>
  <c r="T7315" i="1"/>
  <c r="U7315" i="1"/>
  <c r="V7315" i="1"/>
  <c r="W7315" i="1"/>
  <c r="X7315" i="1"/>
  <c r="Y7315" i="1"/>
  <c r="Z7315" i="1"/>
  <c r="A7316" i="1"/>
  <c r="B7316" i="1"/>
  <c r="C7316" i="1"/>
  <c r="D7316" i="1"/>
  <c r="E7316" i="1"/>
  <c r="F7316" i="1"/>
  <c r="G7316" i="1"/>
  <c r="I7316" i="1"/>
  <c r="J7316" i="1"/>
  <c r="K7316" i="1"/>
  <c r="L7316" i="1"/>
  <c r="M7316" i="1"/>
  <c r="N7316" i="1"/>
  <c r="O7316" i="1"/>
  <c r="P7316" i="1"/>
  <c r="Q7316" i="1"/>
  <c r="R7316" i="1"/>
  <c r="S7316" i="1"/>
  <c r="T7316" i="1"/>
  <c r="U7316" i="1"/>
  <c r="V7316" i="1"/>
  <c r="W7316" i="1"/>
  <c r="X7316" i="1"/>
  <c r="Y7316" i="1"/>
  <c r="Z7316" i="1"/>
  <c r="A7317" i="1"/>
  <c r="B7317" i="1"/>
  <c r="C7317" i="1"/>
  <c r="D7317" i="1"/>
  <c r="E7317" i="1"/>
  <c r="F7317" i="1"/>
  <c r="G7317" i="1"/>
  <c r="I7317" i="1"/>
  <c r="J7317" i="1"/>
  <c r="K7317" i="1"/>
  <c r="L7317" i="1"/>
  <c r="M7317" i="1"/>
  <c r="N7317" i="1"/>
  <c r="O7317" i="1"/>
  <c r="P7317" i="1"/>
  <c r="Q7317" i="1"/>
  <c r="R7317" i="1"/>
  <c r="S7317" i="1"/>
  <c r="T7317" i="1"/>
  <c r="U7317" i="1"/>
  <c r="V7317" i="1"/>
  <c r="W7317" i="1"/>
  <c r="X7317" i="1"/>
  <c r="Y7317" i="1"/>
  <c r="Z7317" i="1"/>
  <c r="A7318" i="1"/>
  <c r="B7318" i="1"/>
  <c r="C7318" i="1"/>
  <c r="D7318" i="1"/>
  <c r="E7318" i="1"/>
  <c r="F7318" i="1"/>
  <c r="G7318" i="1"/>
  <c r="I7318" i="1"/>
  <c r="J7318" i="1"/>
  <c r="K7318" i="1"/>
  <c r="L7318" i="1"/>
  <c r="M7318" i="1"/>
  <c r="N7318" i="1"/>
  <c r="O7318" i="1"/>
  <c r="P7318" i="1"/>
  <c r="Q7318" i="1"/>
  <c r="R7318" i="1"/>
  <c r="S7318" i="1"/>
  <c r="T7318" i="1"/>
  <c r="U7318" i="1"/>
  <c r="V7318" i="1"/>
  <c r="W7318" i="1"/>
  <c r="X7318" i="1"/>
  <c r="Y7318" i="1"/>
  <c r="Z7318" i="1"/>
  <c r="A7319" i="1"/>
  <c r="B7319" i="1"/>
  <c r="C7319" i="1"/>
  <c r="D7319" i="1"/>
  <c r="E7319" i="1"/>
  <c r="F7319" i="1"/>
  <c r="G7319" i="1"/>
  <c r="I7319" i="1"/>
  <c r="J7319" i="1"/>
  <c r="K7319" i="1"/>
  <c r="L7319" i="1"/>
  <c r="M7319" i="1"/>
  <c r="N7319" i="1"/>
  <c r="O7319" i="1"/>
  <c r="P7319" i="1"/>
  <c r="Q7319" i="1"/>
  <c r="R7319" i="1"/>
  <c r="S7319" i="1"/>
  <c r="T7319" i="1"/>
  <c r="U7319" i="1"/>
  <c r="V7319" i="1"/>
  <c r="W7319" i="1"/>
  <c r="X7319" i="1"/>
  <c r="Y7319" i="1"/>
  <c r="Z7319" i="1"/>
  <c r="A7320" i="1"/>
  <c r="B7320" i="1"/>
  <c r="C7320" i="1"/>
  <c r="D7320" i="1"/>
  <c r="E7320" i="1"/>
  <c r="F7320" i="1"/>
  <c r="G7320" i="1"/>
  <c r="I7320" i="1"/>
  <c r="J7320" i="1"/>
  <c r="K7320" i="1"/>
  <c r="L7320" i="1"/>
  <c r="M7320" i="1"/>
  <c r="N7320" i="1"/>
  <c r="O7320" i="1"/>
  <c r="P7320" i="1"/>
  <c r="Q7320" i="1"/>
  <c r="R7320" i="1"/>
  <c r="S7320" i="1"/>
  <c r="T7320" i="1"/>
  <c r="U7320" i="1"/>
  <c r="V7320" i="1"/>
  <c r="W7320" i="1"/>
  <c r="X7320" i="1"/>
  <c r="Y7320" i="1"/>
  <c r="Z7320" i="1"/>
  <c r="A7321" i="1"/>
  <c r="B7321" i="1"/>
  <c r="C7321" i="1"/>
  <c r="D7321" i="1"/>
  <c r="E7321" i="1"/>
  <c r="F7321" i="1"/>
  <c r="G7321" i="1"/>
  <c r="I7321" i="1"/>
  <c r="J7321" i="1"/>
  <c r="K7321" i="1"/>
  <c r="L7321" i="1"/>
  <c r="M7321" i="1"/>
  <c r="N7321" i="1"/>
  <c r="O7321" i="1"/>
  <c r="P7321" i="1"/>
  <c r="Q7321" i="1"/>
  <c r="R7321" i="1"/>
  <c r="S7321" i="1"/>
  <c r="T7321" i="1"/>
  <c r="U7321" i="1"/>
  <c r="V7321" i="1"/>
  <c r="W7321" i="1"/>
  <c r="X7321" i="1"/>
  <c r="Y7321" i="1"/>
  <c r="Z7321" i="1"/>
  <c r="A7322" i="1"/>
  <c r="B7322" i="1"/>
  <c r="C7322" i="1"/>
  <c r="D7322" i="1"/>
  <c r="E7322" i="1"/>
  <c r="F7322" i="1"/>
  <c r="G7322" i="1"/>
  <c r="I7322" i="1"/>
  <c r="J7322" i="1"/>
  <c r="K7322" i="1"/>
  <c r="L7322" i="1"/>
  <c r="M7322" i="1"/>
  <c r="N7322" i="1"/>
  <c r="O7322" i="1"/>
  <c r="P7322" i="1"/>
  <c r="Q7322" i="1"/>
  <c r="R7322" i="1"/>
  <c r="S7322" i="1"/>
  <c r="T7322" i="1"/>
  <c r="U7322" i="1"/>
  <c r="V7322" i="1"/>
  <c r="W7322" i="1"/>
  <c r="X7322" i="1"/>
  <c r="Y7322" i="1"/>
  <c r="Z7322" i="1"/>
  <c r="A7323" i="1"/>
  <c r="B7323" i="1"/>
  <c r="C7323" i="1"/>
  <c r="D7323" i="1"/>
  <c r="E7323" i="1"/>
  <c r="F7323" i="1"/>
  <c r="G7323" i="1"/>
  <c r="I7323" i="1"/>
  <c r="J7323" i="1"/>
  <c r="K7323" i="1"/>
  <c r="L7323" i="1"/>
  <c r="M7323" i="1"/>
  <c r="N7323" i="1"/>
  <c r="O7323" i="1"/>
  <c r="P7323" i="1"/>
  <c r="Q7323" i="1"/>
  <c r="R7323" i="1"/>
  <c r="S7323" i="1"/>
  <c r="T7323" i="1"/>
  <c r="U7323" i="1"/>
  <c r="V7323" i="1"/>
  <c r="W7323" i="1"/>
  <c r="X7323" i="1"/>
  <c r="Y7323" i="1"/>
  <c r="Z7323" i="1"/>
  <c r="A7324" i="1"/>
  <c r="B7324" i="1"/>
  <c r="C7324" i="1"/>
  <c r="D7324" i="1"/>
  <c r="E7324" i="1"/>
  <c r="F7324" i="1"/>
  <c r="G7324" i="1"/>
  <c r="I7324" i="1"/>
  <c r="J7324" i="1"/>
  <c r="K7324" i="1"/>
  <c r="L7324" i="1"/>
  <c r="M7324" i="1"/>
  <c r="N7324" i="1"/>
  <c r="O7324" i="1"/>
  <c r="P7324" i="1"/>
  <c r="Q7324" i="1"/>
  <c r="R7324" i="1"/>
  <c r="S7324" i="1"/>
  <c r="T7324" i="1"/>
  <c r="U7324" i="1"/>
  <c r="V7324" i="1"/>
  <c r="W7324" i="1"/>
  <c r="X7324" i="1"/>
  <c r="Y7324" i="1"/>
  <c r="Z7324" i="1"/>
  <c r="A7325" i="1"/>
  <c r="B7325" i="1"/>
  <c r="C7325" i="1"/>
  <c r="D7325" i="1"/>
  <c r="E7325" i="1"/>
  <c r="F7325" i="1"/>
  <c r="G7325" i="1"/>
  <c r="I7325" i="1"/>
  <c r="J7325" i="1"/>
  <c r="K7325" i="1"/>
  <c r="L7325" i="1"/>
  <c r="M7325" i="1"/>
  <c r="N7325" i="1"/>
  <c r="O7325" i="1"/>
  <c r="P7325" i="1"/>
  <c r="Q7325" i="1"/>
  <c r="R7325" i="1"/>
  <c r="S7325" i="1"/>
  <c r="T7325" i="1"/>
  <c r="U7325" i="1"/>
  <c r="V7325" i="1"/>
  <c r="W7325" i="1"/>
  <c r="X7325" i="1"/>
  <c r="Y7325" i="1"/>
  <c r="Z7325" i="1"/>
  <c r="A7326" i="1"/>
  <c r="B7326" i="1"/>
  <c r="C7326" i="1"/>
  <c r="D7326" i="1"/>
  <c r="E7326" i="1"/>
  <c r="F7326" i="1"/>
  <c r="G7326" i="1"/>
  <c r="I7326" i="1"/>
  <c r="J7326" i="1"/>
  <c r="K7326" i="1"/>
  <c r="L7326" i="1"/>
  <c r="M7326" i="1"/>
  <c r="N7326" i="1"/>
  <c r="O7326" i="1"/>
  <c r="P7326" i="1"/>
  <c r="Q7326" i="1"/>
  <c r="R7326" i="1"/>
  <c r="S7326" i="1"/>
  <c r="T7326" i="1"/>
  <c r="U7326" i="1"/>
  <c r="V7326" i="1"/>
  <c r="W7326" i="1"/>
  <c r="X7326" i="1"/>
  <c r="Y7326" i="1"/>
  <c r="Z7326" i="1"/>
  <c r="A7327" i="1"/>
  <c r="B7327" i="1"/>
  <c r="C7327" i="1"/>
  <c r="D7327" i="1"/>
  <c r="E7327" i="1"/>
  <c r="F7327" i="1"/>
  <c r="G7327" i="1"/>
  <c r="I7327" i="1"/>
  <c r="J7327" i="1"/>
  <c r="K7327" i="1"/>
  <c r="L7327" i="1"/>
  <c r="M7327" i="1"/>
  <c r="N7327" i="1"/>
  <c r="O7327" i="1"/>
  <c r="P7327" i="1"/>
  <c r="Q7327" i="1"/>
  <c r="R7327" i="1"/>
  <c r="S7327" i="1"/>
  <c r="T7327" i="1"/>
  <c r="U7327" i="1"/>
  <c r="V7327" i="1"/>
  <c r="W7327" i="1"/>
  <c r="X7327" i="1"/>
  <c r="Y7327" i="1"/>
  <c r="Z7327" i="1"/>
  <c r="A7328" i="1"/>
  <c r="B7328" i="1"/>
  <c r="C7328" i="1"/>
  <c r="D7328" i="1"/>
  <c r="E7328" i="1"/>
  <c r="F7328" i="1"/>
  <c r="G7328" i="1"/>
  <c r="I7328" i="1"/>
  <c r="J7328" i="1"/>
  <c r="K7328" i="1"/>
  <c r="L7328" i="1"/>
  <c r="M7328" i="1"/>
  <c r="N7328" i="1"/>
  <c r="O7328" i="1"/>
  <c r="P7328" i="1"/>
  <c r="Q7328" i="1"/>
  <c r="R7328" i="1"/>
  <c r="S7328" i="1"/>
  <c r="T7328" i="1"/>
  <c r="U7328" i="1"/>
  <c r="V7328" i="1"/>
  <c r="W7328" i="1"/>
  <c r="X7328" i="1"/>
  <c r="Y7328" i="1"/>
  <c r="Z7328" i="1"/>
  <c r="A7329" i="1"/>
  <c r="B7329" i="1"/>
  <c r="C7329" i="1"/>
  <c r="D7329" i="1"/>
  <c r="E7329" i="1"/>
  <c r="F7329" i="1"/>
  <c r="G7329" i="1"/>
  <c r="I7329" i="1"/>
  <c r="J7329" i="1"/>
  <c r="K7329" i="1"/>
  <c r="L7329" i="1"/>
  <c r="M7329" i="1"/>
  <c r="N7329" i="1"/>
  <c r="O7329" i="1"/>
  <c r="P7329" i="1"/>
  <c r="Q7329" i="1"/>
  <c r="R7329" i="1"/>
  <c r="S7329" i="1"/>
  <c r="T7329" i="1"/>
  <c r="U7329" i="1"/>
  <c r="V7329" i="1"/>
  <c r="W7329" i="1"/>
  <c r="X7329" i="1"/>
  <c r="Y7329" i="1"/>
  <c r="Z7329" i="1"/>
  <c r="A7330" i="1"/>
  <c r="B7330" i="1"/>
  <c r="C7330" i="1"/>
  <c r="D7330" i="1"/>
  <c r="E7330" i="1"/>
  <c r="F7330" i="1"/>
  <c r="G7330" i="1"/>
  <c r="I7330" i="1"/>
  <c r="J7330" i="1"/>
  <c r="K7330" i="1"/>
  <c r="L7330" i="1"/>
  <c r="M7330" i="1"/>
  <c r="N7330" i="1"/>
  <c r="O7330" i="1"/>
  <c r="P7330" i="1"/>
  <c r="Q7330" i="1"/>
  <c r="R7330" i="1"/>
  <c r="S7330" i="1"/>
  <c r="T7330" i="1"/>
  <c r="U7330" i="1"/>
  <c r="V7330" i="1"/>
  <c r="W7330" i="1"/>
  <c r="X7330" i="1"/>
  <c r="Y7330" i="1"/>
  <c r="Z7330" i="1"/>
  <c r="A7331" i="1"/>
  <c r="B7331" i="1"/>
  <c r="C7331" i="1"/>
  <c r="D7331" i="1"/>
  <c r="E7331" i="1"/>
  <c r="F7331" i="1"/>
  <c r="G7331" i="1"/>
  <c r="I7331" i="1"/>
  <c r="J7331" i="1"/>
  <c r="K7331" i="1"/>
  <c r="L7331" i="1"/>
  <c r="M7331" i="1"/>
  <c r="N7331" i="1"/>
  <c r="O7331" i="1"/>
  <c r="P7331" i="1"/>
  <c r="Q7331" i="1"/>
  <c r="R7331" i="1"/>
  <c r="S7331" i="1"/>
  <c r="T7331" i="1"/>
  <c r="U7331" i="1"/>
  <c r="V7331" i="1"/>
  <c r="W7331" i="1"/>
  <c r="X7331" i="1"/>
  <c r="Y7331" i="1"/>
  <c r="Z7331" i="1"/>
  <c r="A7332" i="1"/>
  <c r="B7332" i="1"/>
  <c r="C7332" i="1"/>
  <c r="D7332" i="1"/>
  <c r="E7332" i="1"/>
  <c r="F7332" i="1"/>
  <c r="G7332" i="1"/>
  <c r="I7332" i="1"/>
  <c r="J7332" i="1"/>
  <c r="K7332" i="1"/>
  <c r="L7332" i="1"/>
  <c r="M7332" i="1"/>
  <c r="N7332" i="1"/>
  <c r="O7332" i="1"/>
  <c r="P7332" i="1"/>
  <c r="Q7332" i="1"/>
  <c r="R7332" i="1"/>
  <c r="S7332" i="1"/>
  <c r="T7332" i="1"/>
  <c r="U7332" i="1"/>
  <c r="V7332" i="1"/>
  <c r="W7332" i="1"/>
  <c r="X7332" i="1"/>
  <c r="Y7332" i="1"/>
  <c r="Z7332" i="1"/>
  <c r="A7333" i="1"/>
  <c r="B7333" i="1"/>
  <c r="C7333" i="1"/>
  <c r="D7333" i="1"/>
  <c r="E7333" i="1"/>
  <c r="F7333" i="1"/>
  <c r="G7333" i="1"/>
  <c r="I7333" i="1"/>
  <c r="J7333" i="1"/>
  <c r="K7333" i="1"/>
  <c r="L7333" i="1"/>
  <c r="M7333" i="1"/>
  <c r="N7333" i="1"/>
  <c r="O7333" i="1"/>
  <c r="P7333" i="1"/>
  <c r="Q7333" i="1"/>
  <c r="R7333" i="1"/>
  <c r="S7333" i="1"/>
  <c r="T7333" i="1"/>
  <c r="U7333" i="1"/>
  <c r="V7333" i="1"/>
  <c r="W7333" i="1"/>
  <c r="X7333" i="1"/>
  <c r="Y7333" i="1"/>
  <c r="Z7333" i="1"/>
  <c r="A7334" i="1"/>
  <c r="B7334" i="1"/>
  <c r="C7334" i="1"/>
  <c r="D7334" i="1"/>
  <c r="E7334" i="1"/>
  <c r="F7334" i="1"/>
  <c r="G7334" i="1"/>
  <c r="I7334" i="1"/>
  <c r="J7334" i="1"/>
  <c r="K7334" i="1"/>
  <c r="L7334" i="1"/>
  <c r="M7334" i="1"/>
  <c r="N7334" i="1"/>
  <c r="O7334" i="1"/>
  <c r="P7334" i="1"/>
  <c r="Q7334" i="1"/>
  <c r="R7334" i="1"/>
  <c r="S7334" i="1"/>
  <c r="T7334" i="1"/>
  <c r="U7334" i="1"/>
  <c r="V7334" i="1"/>
  <c r="W7334" i="1"/>
  <c r="X7334" i="1"/>
  <c r="Y7334" i="1"/>
  <c r="Z7334" i="1"/>
  <c r="A7335" i="1"/>
  <c r="B7335" i="1"/>
  <c r="C7335" i="1"/>
  <c r="D7335" i="1"/>
  <c r="E7335" i="1"/>
  <c r="F7335" i="1"/>
  <c r="G7335" i="1"/>
  <c r="I7335" i="1"/>
  <c r="J7335" i="1"/>
  <c r="K7335" i="1"/>
  <c r="L7335" i="1"/>
  <c r="M7335" i="1"/>
  <c r="N7335" i="1"/>
  <c r="O7335" i="1"/>
  <c r="P7335" i="1"/>
  <c r="Q7335" i="1"/>
  <c r="R7335" i="1"/>
  <c r="S7335" i="1"/>
  <c r="T7335" i="1"/>
  <c r="U7335" i="1"/>
  <c r="V7335" i="1"/>
  <c r="W7335" i="1"/>
  <c r="X7335" i="1"/>
  <c r="Y7335" i="1"/>
  <c r="Z7335" i="1"/>
  <c r="A7336" i="1"/>
  <c r="B7336" i="1"/>
  <c r="C7336" i="1"/>
  <c r="D7336" i="1"/>
  <c r="E7336" i="1"/>
  <c r="F7336" i="1"/>
  <c r="G7336" i="1"/>
  <c r="I7336" i="1"/>
  <c r="J7336" i="1"/>
  <c r="K7336" i="1"/>
  <c r="L7336" i="1"/>
  <c r="M7336" i="1"/>
  <c r="N7336" i="1"/>
  <c r="O7336" i="1"/>
  <c r="P7336" i="1"/>
  <c r="Q7336" i="1"/>
  <c r="R7336" i="1"/>
  <c r="S7336" i="1"/>
  <c r="T7336" i="1"/>
  <c r="U7336" i="1"/>
  <c r="V7336" i="1"/>
  <c r="W7336" i="1"/>
  <c r="X7336" i="1"/>
  <c r="Y7336" i="1"/>
  <c r="Z7336" i="1"/>
  <c r="A7337" i="1"/>
  <c r="B7337" i="1"/>
  <c r="C7337" i="1"/>
  <c r="D7337" i="1"/>
  <c r="E7337" i="1"/>
  <c r="F7337" i="1"/>
  <c r="G7337" i="1"/>
  <c r="I7337" i="1"/>
  <c r="J7337" i="1"/>
  <c r="K7337" i="1"/>
  <c r="L7337" i="1"/>
  <c r="M7337" i="1"/>
  <c r="N7337" i="1"/>
  <c r="O7337" i="1"/>
  <c r="P7337" i="1"/>
  <c r="Q7337" i="1"/>
  <c r="R7337" i="1"/>
  <c r="S7337" i="1"/>
  <c r="T7337" i="1"/>
  <c r="U7337" i="1"/>
  <c r="V7337" i="1"/>
  <c r="W7337" i="1"/>
  <c r="X7337" i="1"/>
  <c r="Y7337" i="1"/>
  <c r="Z7337" i="1"/>
  <c r="A7338" i="1"/>
  <c r="B7338" i="1"/>
  <c r="C7338" i="1"/>
  <c r="D7338" i="1"/>
  <c r="E7338" i="1"/>
  <c r="F7338" i="1"/>
  <c r="G7338" i="1"/>
  <c r="I7338" i="1"/>
  <c r="J7338" i="1"/>
  <c r="K7338" i="1"/>
  <c r="L7338" i="1"/>
  <c r="M7338" i="1"/>
  <c r="N7338" i="1"/>
  <c r="O7338" i="1"/>
  <c r="P7338" i="1"/>
  <c r="Q7338" i="1"/>
  <c r="R7338" i="1"/>
  <c r="S7338" i="1"/>
  <c r="T7338" i="1"/>
  <c r="U7338" i="1"/>
  <c r="V7338" i="1"/>
  <c r="W7338" i="1"/>
  <c r="X7338" i="1"/>
  <c r="Y7338" i="1"/>
  <c r="Z7338" i="1"/>
  <c r="A7339" i="1"/>
  <c r="B7339" i="1"/>
  <c r="C7339" i="1"/>
  <c r="D7339" i="1"/>
  <c r="E7339" i="1"/>
  <c r="F7339" i="1"/>
  <c r="G7339" i="1"/>
  <c r="I7339" i="1"/>
  <c r="J7339" i="1"/>
  <c r="K7339" i="1"/>
  <c r="L7339" i="1"/>
  <c r="M7339" i="1"/>
  <c r="N7339" i="1"/>
  <c r="O7339" i="1"/>
  <c r="P7339" i="1"/>
  <c r="Q7339" i="1"/>
  <c r="R7339" i="1"/>
  <c r="S7339" i="1"/>
  <c r="T7339" i="1"/>
  <c r="U7339" i="1"/>
  <c r="V7339" i="1"/>
  <c r="W7339" i="1"/>
  <c r="X7339" i="1"/>
  <c r="Y7339" i="1"/>
  <c r="Z7339" i="1"/>
  <c r="A7340" i="1"/>
  <c r="B7340" i="1"/>
  <c r="C7340" i="1"/>
  <c r="D7340" i="1"/>
  <c r="E7340" i="1"/>
  <c r="F7340" i="1"/>
  <c r="G7340" i="1"/>
  <c r="I7340" i="1"/>
  <c r="J7340" i="1"/>
  <c r="K7340" i="1"/>
  <c r="L7340" i="1"/>
  <c r="M7340" i="1"/>
  <c r="N7340" i="1"/>
  <c r="O7340" i="1"/>
  <c r="P7340" i="1"/>
  <c r="Q7340" i="1"/>
  <c r="R7340" i="1"/>
  <c r="S7340" i="1"/>
  <c r="T7340" i="1"/>
  <c r="U7340" i="1"/>
  <c r="V7340" i="1"/>
  <c r="W7340" i="1"/>
  <c r="X7340" i="1"/>
  <c r="Y7340" i="1"/>
  <c r="Z7340" i="1"/>
  <c r="A7341" i="1"/>
  <c r="B7341" i="1"/>
  <c r="C7341" i="1"/>
  <c r="D7341" i="1"/>
  <c r="E7341" i="1"/>
  <c r="F7341" i="1"/>
  <c r="G7341" i="1"/>
  <c r="I7341" i="1"/>
  <c r="J7341" i="1"/>
  <c r="K7341" i="1"/>
  <c r="L7341" i="1"/>
  <c r="M7341" i="1"/>
  <c r="N7341" i="1"/>
  <c r="O7341" i="1"/>
  <c r="P7341" i="1"/>
  <c r="Q7341" i="1"/>
  <c r="R7341" i="1"/>
  <c r="S7341" i="1"/>
  <c r="T7341" i="1"/>
  <c r="U7341" i="1"/>
  <c r="V7341" i="1"/>
  <c r="W7341" i="1"/>
  <c r="X7341" i="1"/>
  <c r="Y7341" i="1"/>
  <c r="Z7341" i="1"/>
  <c r="A7342" i="1"/>
  <c r="B7342" i="1"/>
  <c r="C7342" i="1"/>
  <c r="D7342" i="1"/>
  <c r="E7342" i="1"/>
  <c r="F7342" i="1"/>
  <c r="G7342" i="1"/>
  <c r="I7342" i="1"/>
  <c r="J7342" i="1"/>
  <c r="K7342" i="1"/>
  <c r="L7342" i="1"/>
  <c r="M7342" i="1"/>
  <c r="N7342" i="1"/>
  <c r="O7342" i="1"/>
  <c r="P7342" i="1"/>
  <c r="Q7342" i="1"/>
  <c r="R7342" i="1"/>
  <c r="S7342" i="1"/>
  <c r="T7342" i="1"/>
  <c r="U7342" i="1"/>
  <c r="V7342" i="1"/>
  <c r="W7342" i="1"/>
  <c r="X7342" i="1"/>
  <c r="Y7342" i="1"/>
  <c r="Z7342" i="1"/>
  <c r="A7343" i="1"/>
  <c r="B7343" i="1"/>
  <c r="C7343" i="1"/>
  <c r="D7343" i="1"/>
  <c r="E7343" i="1"/>
  <c r="F7343" i="1"/>
  <c r="G7343" i="1"/>
  <c r="I7343" i="1"/>
  <c r="J7343" i="1"/>
  <c r="K7343" i="1"/>
  <c r="L7343" i="1"/>
  <c r="M7343" i="1"/>
  <c r="N7343" i="1"/>
  <c r="O7343" i="1"/>
  <c r="P7343" i="1"/>
  <c r="Q7343" i="1"/>
  <c r="R7343" i="1"/>
  <c r="S7343" i="1"/>
  <c r="T7343" i="1"/>
  <c r="U7343" i="1"/>
  <c r="V7343" i="1"/>
  <c r="W7343" i="1"/>
  <c r="X7343" i="1"/>
  <c r="Y7343" i="1"/>
  <c r="Z7343" i="1"/>
  <c r="A7344" i="1"/>
  <c r="B7344" i="1"/>
  <c r="C7344" i="1"/>
  <c r="D7344" i="1"/>
  <c r="E7344" i="1"/>
  <c r="F7344" i="1"/>
  <c r="G7344" i="1"/>
  <c r="I7344" i="1"/>
  <c r="J7344" i="1"/>
  <c r="K7344" i="1"/>
  <c r="L7344" i="1"/>
  <c r="M7344" i="1"/>
  <c r="N7344" i="1"/>
  <c r="O7344" i="1"/>
  <c r="P7344" i="1"/>
  <c r="Q7344" i="1"/>
  <c r="R7344" i="1"/>
  <c r="S7344" i="1"/>
  <c r="T7344" i="1"/>
  <c r="U7344" i="1"/>
  <c r="V7344" i="1"/>
  <c r="W7344" i="1"/>
  <c r="X7344" i="1"/>
  <c r="Y7344" i="1"/>
  <c r="Z7344" i="1"/>
  <c r="A7345" i="1"/>
  <c r="B7345" i="1"/>
  <c r="C7345" i="1"/>
  <c r="D7345" i="1"/>
  <c r="E7345" i="1"/>
  <c r="F7345" i="1"/>
  <c r="G7345" i="1"/>
  <c r="I7345" i="1"/>
  <c r="J7345" i="1"/>
  <c r="K7345" i="1"/>
  <c r="L7345" i="1"/>
  <c r="M7345" i="1"/>
  <c r="N7345" i="1"/>
  <c r="O7345" i="1"/>
  <c r="P7345" i="1"/>
  <c r="Q7345" i="1"/>
  <c r="R7345" i="1"/>
  <c r="S7345" i="1"/>
  <c r="T7345" i="1"/>
  <c r="U7345" i="1"/>
  <c r="V7345" i="1"/>
  <c r="W7345" i="1"/>
  <c r="X7345" i="1"/>
  <c r="Y7345" i="1"/>
  <c r="Z7345" i="1"/>
  <c r="A7346" i="1"/>
  <c r="B7346" i="1"/>
  <c r="C7346" i="1"/>
  <c r="D7346" i="1"/>
  <c r="E7346" i="1"/>
  <c r="F7346" i="1"/>
  <c r="G7346" i="1"/>
  <c r="I7346" i="1"/>
  <c r="J7346" i="1"/>
  <c r="K7346" i="1"/>
  <c r="L7346" i="1"/>
  <c r="M7346" i="1"/>
  <c r="N7346" i="1"/>
  <c r="O7346" i="1"/>
  <c r="P7346" i="1"/>
  <c r="Q7346" i="1"/>
  <c r="R7346" i="1"/>
  <c r="S7346" i="1"/>
  <c r="T7346" i="1"/>
  <c r="U7346" i="1"/>
  <c r="V7346" i="1"/>
  <c r="W7346" i="1"/>
  <c r="X7346" i="1"/>
  <c r="Y7346" i="1"/>
  <c r="Z7346" i="1"/>
  <c r="A7347" i="1"/>
  <c r="B7347" i="1"/>
  <c r="C7347" i="1"/>
  <c r="D7347" i="1"/>
  <c r="E7347" i="1"/>
  <c r="F7347" i="1"/>
  <c r="G7347" i="1"/>
  <c r="I7347" i="1"/>
  <c r="J7347" i="1"/>
  <c r="K7347" i="1"/>
  <c r="L7347" i="1"/>
  <c r="M7347" i="1"/>
  <c r="N7347" i="1"/>
  <c r="O7347" i="1"/>
  <c r="P7347" i="1"/>
  <c r="Q7347" i="1"/>
  <c r="R7347" i="1"/>
  <c r="S7347" i="1"/>
  <c r="T7347" i="1"/>
  <c r="U7347" i="1"/>
  <c r="V7347" i="1"/>
  <c r="W7347" i="1"/>
  <c r="X7347" i="1"/>
  <c r="Y7347" i="1"/>
  <c r="Z7347" i="1"/>
  <c r="A7348" i="1"/>
  <c r="B7348" i="1"/>
  <c r="C7348" i="1"/>
  <c r="D7348" i="1"/>
  <c r="E7348" i="1"/>
  <c r="F7348" i="1"/>
  <c r="G7348" i="1"/>
  <c r="I7348" i="1"/>
  <c r="J7348" i="1"/>
  <c r="K7348" i="1"/>
  <c r="L7348" i="1"/>
  <c r="M7348" i="1"/>
  <c r="N7348" i="1"/>
  <c r="O7348" i="1"/>
  <c r="P7348" i="1"/>
  <c r="Q7348" i="1"/>
  <c r="R7348" i="1"/>
  <c r="S7348" i="1"/>
  <c r="T7348" i="1"/>
  <c r="U7348" i="1"/>
  <c r="V7348" i="1"/>
  <c r="W7348" i="1"/>
  <c r="X7348" i="1"/>
  <c r="Y7348" i="1"/>
  <c r="Z7348" i="1"/>
  <c r="A7349" i="1"/>
  <c r="B7349" i="1"/>
  <c r="C7349" i="1"/>
  <c r="D7349" i="1"/>
  <c r="E7349" i="1"/>
  <c r="F7349" i="1"/>
  <c r="G7349" i="1"/>
  <c r="I7349" i="1"/>
  <c r="J7349" i="1"/>
  <c r="K7349" i="1"/>
  <c r="L7349" i="1"/>
  <c r="M7349" i="1"/>
  <c r="N7349" i="1"/>
  <c r="O7349" i="1"/>
  <c r="P7349" i="1"/>
  <c r="Q7349" i="1"/>
  <c r="R7349" i="1"/>
  <c r="S7349" i="1"/>
  <c r="T7349" i="1"/>
  <c r="U7349" i="1"/>
  <c r="V7349" i="1"/>
  <c r="W7349" i="1"/>
  <c r="X7349" i="1"/>
  <c r="Y7349" i="1"/>
  <c r="Z7349" i="1"/>
  <c r="A7350" i="1"/>
  <c r="B7350" i="1"/>
  <c r="C7350" i="1"/>
  <c r="D7350" i="1"/>
  <c r="E7350" i="1"/>
  <c r="F7350" i="1"/>
  <c r="G7350" i="1"/>
  <c r="I7350" i="1"/>
  <c r="J7350" i="1"/>
  <c r="K7350" i="1"/>
  <c r="L7350" i="1"/>
  <c r="M7350" i="1"/>
  <c r="N7350" i="1"/>
  <c r="O7350" i="1"/>
  <c r="P7350" i="1"/>
  <c r="Q7350" i="1"/>
  <c r="R7350" i="1"/>
  <c r="S7350" i="1"/>
  <c r="T7350" i="1"/>
  <c r="U7350" i="1"/>
  <c r="V7350" i="1"/>
  <c r="W7350" i="1"/>
  <c r="X7350" i="1"/>
  <c r="Y7350" i="1"/>
  <c r="Z7350" i="1"/>
  <c r="A7351" i="1"/>
  <c r="B7351" i="1"/>
  <c r="C7351" i="1"/>
  <c r="D7351" i="1"/>
  <c r="E7351" i="1"/>
  <c r="F7351" i="1"/>
  <c r="G7351" i="1"/>
  <c r="I7351" i="1"/>
  <c r="J7351" i="1"/>
  <c r="K7351" i="1"/>
  <c r="L7351" i="1"/>
  <c r="M7351" i="1"/>
  <c r="N7351" i="1"/>
  <c r="O7351" i="1"/>
  <c r="P7351" i="1"/>
  <c r="Q7351" i="1"/>
  <c r="R7351" i="1"/>
  <c r="S7351" i="1"/>
  <c r="T7351" i="1"/>
  <c r="U7351" i="1"/>
  <c r="V7351" i="1"/>
  <c r="W7351" i="1"/>
  <c r="X7351" i="1"/>
  <c r="Y7351" i="1"/>
  <c r="Z7351" i="1"/>
  <c r="A7352" i="1"/>
  <c r="B7352" i="1"/>
  <c r="C7352" i="1"/>
  <c r="D7352" i="1"/>
  <c r="E7352" i="1"/>
  <c r="F7352" i="1"/>
  <c r="G7352" i="1"/>
  <c r="I7352" i="1"/>
  <c r="J7352" i="1"/>
  <c r="K7352" i="1"/>
  <c r="L7352" i="1"/>
  <c r="M7352" i="1"/>
  <c r="N7352" i="1"/>
  <c r="O7352" i="1"/>
  <c r="P7352" i="1"/>
  <c r="Q7352" i="1"/>
  <c r="R7352" i="1"/>
  <c r="S7352" i="1"/>
  <c r="T7352" i="1"/>
  <c r="U7352" i="1"/>
  <c r="V7352" i="1"/>
  <c r="W7352" i="1"/>
  <c r="X7352" i="1"/>
  <c r="Y7352" i="1"/>
  <c r="Z7352" i="1"/>
  <c r="A7353" i="1"/>
  <c r="B7353" i="1"/>
  <c r="C7353" i="1"/>
  <c r="D7353" i="1"/>
  <c r="E7353" i="1"/>
  <c r="F7353" i="1"/>
  <c r="G7353" i="1"/>
  <c r="I7353" i="1"/>
  <c r="J7353" i="1"/>
  <c r="K7353" i="1"/>
  <c r="L7353" i="1"/>
  <c r="M7353" i="1"/>
  <c r="N7353" i="1"/>
  <c r="O7353" i="1"/>
  <c r="P7353" i="1"/>
  <c r="Q7353" i="1"/>
  <c r="R7353" i="1"/>
  <c r="S7353" i="1"/>
  <c r="T7353" i="1"/>
  <c r="U7353" i="1"/>
  <c r="V7353" i="1"/>
  <c r="W7353" i="1"/>
  <c r="X7353" i="1"/>
  <c r="Y7353" i="1"/>
  <c r="Z7353" i="1"/>
  <c r="A7354" i="1"/>
  <c r="B7354" i="1"/>
  <c r="C7354" i="1"/>
  <c r="D7354" i="1"/>
  <c r="E7354" i="1"/>
  <c r="F7354" i="1"/>
  <c r="G7354" i="1"/>
  <c r="I7354" i="1"/>
  <c r="J7354" i="1"/>
  <c r="K7354" i="1"/>
  <c r="L7354" i="1"/>
  <c r="M7354" i="1"/>
  <c r="N7354" i="1"/>
  <c r="O7354" i="1"/>
  <c r="P7354" i="1"/>
  <c r="Q7354" i="1"/>
  <c r="R7354" i="1"/>
  <c r="S7354" i="1"/>
  <c r="T7354" i="1"/>
  <c r="U7354" i="1"/>
  <c r="V7354" i="1"/>
  <c r="W7354" i="1"/>
  <c r="X7354" i="1"/>
  <c r="Y7354" i="1"/>
  <c r="Z7354" i="1"/>
  <c r="A7355" i="1"/>
  <c r="B7355" i="1"/>
  <c r="C7355" i="1"/>
  <c r="D7355" i="1"/>
  <c r="E7355" i="1"/>
  <c r="F7355" i="1"/>
  <c r="G7355" i="1"/>
  <c r="I7355" i="1"/>
  <c r="J7355" i="1"/>
  <c r="K7355" i="1"/>
  <c r="L7355" i="1"/>
  <c r="M7355" i="1"/>
  <c r="N7355" i="1"/>
  <c r="O7355" i="1"/>
  <c r="P7355" i="1"/>
  <c r="Q7355" i="1"/>
  <c r="R7355" i="1"/>
  <c r="S7355" i="1"/>
  <c r="T7355" i="1"/>
  <c r="U7355" i="1"/>
  <c r="V7355" i="1"/>
  <c r="W7355" i="1"/>
  <c r="X7355" i="1"/>
  <c r="Y7355" i="1"/>
  <c r="Z7355" i="1"/>
  <c r="A7356" i="1"/>
  <c r="B7356" i="1"/>
  <c r="C7356" i="1"/>
  <c r="D7356" i="1"/>
  <c r="E7356" i="1"/>
  <c r="F7356" i="1"/>
  <c r="G7356" i="1"/>
  <c r="I7356" i="1"/>
  <c r="J7356" i="1"/>
  <c r="K7356" i="1"/>
  <c r="L7356" i="1"/>
  <c r="M7356" i="1"/>
  <c r="N7356" i="1"/>
  <c r="O7356" i="1"/>
  <c r="P7356" i="1"/>
  <c r="Q7356" i="1"/>
  <c r="R7356" i="1"/>
  <c r="S7356" i="1"/>
  <c r="T7356" i="1"/>
  <c r="U7356" i="1"/>
  <c r="V7356" i="1"/>
  <c r="W7356" i="1"/>
  <c r="X7356" i="1"/>
  <c r="Y7356" i="1"/>
  <c r="Z7356" i="1"/>
  <c r="A7357" i="1"/>
  <c r="B7357" i="1"/>
  <c r="C7357" i="1"/>
  <c r="D7357" i="1"/>
  <c r="E7357" i="1"/>
  <c r="F7357" i="1"/>
  <c r="G7357" i="1"/>
  <c r="I7357" i="1"/>
  <c r="J7357" i="1"/>
  <c r="K7357" i="1"/>
  <c r="L7357" i="1"/>
  <c r="M7357" i="1"/>
  <c r="N7357" i="1"/>
  <c r="O7357" i="1"/>
  <c r="P7357" i="1"/>
  <c r="Q7357" i="1"/>
  <c r="R7357" i="1"/>
  <c r="S7357" i="1"/>
  <c r="T7357" i="1"/>
  <c r="U7357" i="1"/>
  <c r="V7357" i="1"/>
  <c r="W7357" i="1"/>
  <c r="X7357" i="1"/>
  <c r="Y7357" i="1"/>
  <c r="Z7357" i="1"/>
  <c r="A7358" i="1"/>
  <c r="B7358" i="1"/>
  <c r="C7358" i="1"/>
  <c r="D7358" i="1"/>
  <c r="E7358" i="1"/>
  <c r="F7358" i="1"/>
  <c r="G7358" i="1"/>
  <c r="I7358" i="1"/>
  <c r="J7358" i="1"/>
  <c r="K7358" i="1"/>
  <c r="L7358" i="1"/>
  <c r="M7358" i="1"/>
  <c r="N7358" i="1"/>
  <c r="O7358" i="1"/>
  <c r="P7358" i="1"/>
  <c r="Q7358" i="1"/>
  <c r="R7358" i="1"/>
  <c r="S7358" i="1"/>
  <c r="T7358" i="1"/>
  <c r="U7358" i="1"/>
  <c r="V7358" i="1"/>
  <c r="W7358" i="1"/>
  <c r="X7358" i="1"/>
  <c r="Y7358" i="1"/>
  <c r="Z7358" i="1"/>
  <c r="A7359" i="1"/>
  <c r="B7359" i="1"/>
  <c r="C7359" i="1"/>
  <c r="D7359" i="1"/>
  <c r="E7359" i="1"/>
  <c r="F7359" i="1"/>
  <c r="G7359" i="1"/>
  <c r="I7359" i="1"/>
  <c r="J7359" i="1"/>
  <c r="K7359" i="1"/>
  <c r="L7359" i="1"/>
  <c r="M7359" i="1"/>
  <c r="N7359" i="1"/>
  <c r="O7359" i="1"/>
  <c r="P7359" i="1"/>
  <c r="Q7359" i="1"/>
  <c r="R7359" i="1"/>
  <c r="S7359" i="1"/>
  <c r="T7359" i="1"/>
  <c r="U7359" i="1"/>
  <c r="V7359" i="1"/>
  <c r="W7359" i="1"/>
  <c r="X7359" i="1"/>
  <c r="Y7359" i="1"/>
  <c r="Z7359" i="1"/>
  <c r="A7360" i="1"/>
  <c r="B7360" i="1"/>
  <c r="C7360" i="1"/>
  <c r="D7360" i="1"/>
  <c r="E7360" i="1"/>
  <c r="F7360" i="1"/>
  <c r="G7360" i="1"/>
  <c r="I7360" i="1"/>
  <c r="J7360" i="1"/>
  <c r="K7360" i="1"/>
  <c r="L7360" i="1"/>
  <c r="M7360" i="1"/>
  <c r="N7360" i="1"/>
  <c r="O7360" i="1"/>
  <c r="P7360" i="1"/>
  <c r="Q7360" i="1"/>
  <c r="R7360" i="1"/>
  <c r="S7360" i="1"/>
  <c r="T7360" i="1"/>
  <c r="U7360" i="1"/>
  <c r="V7360" i="1"/>
  <c r="W7360" i="1"/>
  <c r="X7360" i="1"/>
  <c r="Y7360" i="1"/>
  <c r="Z7360" i="1"/>
  <c r="A7361" i="1"/>
  <c r="B7361" i="1"/>
  <c r="C7361" i="1"/>
  <c r="D7361" i="1"/>
  <c r="E7361" i="1"/>
  <c r="F7361" i="1"/>
  <c r="G7361" i="1"/>
  <c r="I7361" i="1"/>
  <c r="J7361" i="1"/>
  <c r="K7361" i="1"/>
  <c r="L7361" i="1"/>
  <c r="M7361" i="1"/>
  <c r="N7361" i="1"/>
  <c r="O7361" i="1"/>
  <c r="P7361" i="1"/>
  <c r="Q7361" i="1"/>
  <c r="R7361" i="1"/>
  <c r="S7361" i="1"/>
  <c r="T7361" i="1"/>
  <c r="U7361" i="1"/>
  <c r="V7361" i="1"/>
  <c r="W7361" i="1"/>
  <c r="X7361" i="1"/>
  <c r="Y7361" i="1"/>
  <c r="Z7361" i="1"/>
  <c r="A7362" i="1"/>
  <c r="B7362" i="1"/>
  <c r="C7362" i="1"/>
  <c r="D7362" i="1"/>
  <c r="E7362" i="1"/>
  <c r="F7362" i="1"/>
  <c r="G7362" i="1"/>
  <c r="I7362" i="1"/>
  <c r="J7362" i="1"/>
  <c r="K7362" i="1"/>
  <c r="L7362" i="1"/>
  <c r="M7362" i="1"/>
  <c r="N7362" i="1"/>
  <c r="O7362" i="1"/>
  <c r="P7362" i="1"/>
  <c r="Q7362" i="1"/>
  <c r="R7362" i="1"/>
  <c r="S7362" i="1"/>
  <c r="T7362" i="1"/>
  <c r="U7362" i="1"/>
  <c r="V7362" i="1"/>
  <c r="W7362" i="1"/>
  <c r="X7362" i="1"/>
  <c r="Y7362" i="1"/>
  <c r="Z7362" i="1"/>
  <c r="A7363" i="1"/>
  <c r="B7363" i="1"/>
  <c r="C7363" i="1"/>
  <c r="D7363" i="1"/>
  <c r="E7363" i="1"/>
  <c r="F7363" i="1"/>
  <c r="G7363" i="1"/>
  <c r="I7363" i="1"/>
  <c r="J7363" i="1"/>
  <c r="K7363" i="1"/>
  <c r="L7363" i="1"/>
  <c r="M7363" i="1"/>
  <c r="N7363" i="1"/>
  <c r="O7363" i="1"/>
  <c r="P7363" i="1"/>
  <c r="Q7363" i="1"/>
  <c r="R7363" i="1"/>
  <c r="S7363" i="1"/>
  <c r="T7363" i="1"/>
  <c r="U7363" i="1"/>
  <c r="V7363" i="1"/>
  <c r="W7363" i="1"/>
  <c r="X7363" i="1"/>
  <c r="Y7363" i="1"/>
  <c r="Z7363" i="1"/>
  <c r="A7364" i="1"/>
  <c r="B7364" i="1"/>
  <c r="C7364" i="1"/>
  <c r="D7364" i="1"/>
  <c r="E7364" i="1"/>
  <c r="F7364" i="1"/>
  <c r="G7364" i="1"/>
  <c r="I7364" i="1"/>
  <c r="J7364" i="1"/>
  <c r="K7364" i="1"/>
  <c r="L7364" i="1"/>
  <c r="M7364" i="1"/>
  <c r="N7364" i="1"/>
  <c r="O7364" i="1"/>
  <c r="P7364" i="1"/>
  <c r="Q7364" i="1"/>
  <c r="R7364" i="1"/>
  <c r="S7364" i="1"/>
  <c r="T7364" i="1"/>
  <c r="U7364" i="1"/>
  <c r="V7364" i="1"/>
  <c r="W7364" i="1"/>
  <c r="X7364" i="1"/>
  <c r="Y7364" i="1"/>
  <c r="Z7364" i="1"/>
  <c r="A7365" i="1"/>
  <c r="B7365" i="1"/>
  <c r="C7365" i="1"/>
  <c r="D7365" i="1"/>
  <c r="E7365" i="1"/>
  <c r="F7365" i="1"/>
  <c r="G7365" i="1"/>
  <c r="I7365" i="1"/>
  <c r="J7365" i="1"/>
  <c r="K7365" i="1"/>
  <c r="L7365" i="1"/>
  <c r="M7365" i="1"/>
  <c r="N7365" i="1"/>
  <c r="O7365" i="1"/>
  <c r="P7365" i="1"/>
  <c r="Q7365" i="1"/>
  <c r="R7365" i="1"/>
  <c r="S7365" i="1"/>
  <c r="T7365" i="1"/>
  <c r="U7365" i="1"/>
  <c r="V7365" i="1"/>
  <c r="W7365" i="1"/>
  <c r="X7365" i="1"/>
  <c r="Y7365" i="1"/>
  <c r="Z7365" i="1"/>
  <c r="A7366" i="1"/>
  <c r="B7366" i="1"/>
  <c r="C7366" i="1"/>
  <c r="D7366" i="1"/>
  <c r="E7366" i="1"/>
  <c r="F7366" i="1"/>
  <c r="G7366" i="1"/>
  <c r="I7366" i="1"/>
  <c r="J7366" i="1"/>
  <c r="K7366" i="1"/>
  <c r="L7366" i="1"/>
  <c r="M7366" i="1"/>
  <c r="N7366" i="1"/>
  <c r="O7366" i="1"/>
  <c r="P7366" i="1"/>
  <c r="Q7366" i="1"/>
  <c r="R7366" i="1"/>
  <c r="S7366" i="1"/>
  <c r="T7366" i="1"/>
  <c r="U7366" i="1"/>
  <c r="V7366" i="1"/>
  <c r="W7366" i="1"/>
  <c r="X7366" i="1"/>
  <c r="Y7366" i="1"/>
  <c r="Z7366" i="1"/>
  <c r="A7367" i="1"/>
  <c r="B7367" i="1"/>
  <c r="C7367" i="1"/>
  <c r="D7367" i="1"/>
  <c r="E7367" i="1"/>
  <c r="F7367" i="1"/>
  <c r="G7367" i="1"/>
  <c r="I7367" i="1"/>
  <c r="J7367" i="1"/>
  <c r="K7367" i="1"/>
  <c r="L7367" i="1"/>
  <c r="M7367" i="1"/>
  <c r="N7367" i="1"/>
  <c r="O7367" i="1"/>
  <c r="P7367" i="1"/>
  <c r="Q7367" i="1"/>
  <c r="R7367" i="1"/>
  <c r="S7367" i="1"/>
  <c r="T7367" i="1"/>
  <c r="U7367" i="1"/>
  <c r="V7367" i="1"/>
  <c r="W7367" i="1"/>
  <c r="X7367" i="1"/>
  <c r="Y7367" i="1"/>
  <c r="Z7367" i="1"/>
  <c r="A7368" i="1"/>
  <c r="B7368" i="1"/>
  <c r="C7368" i="1"/>
  <c r="D7368" i="1"/>
  <c r="E7368" i="1"/>
  <c r="F7368" i="1"/>
  <c r="G7368" i="1"/>
  <c r="I7368" i="1"/>
  <c r="J7368" i="1"/>
  <c r="K7368" i="1"/>
  <c r="L7368" i="1"/>
  <c r="M7368" i="1"/>
  <c r="N7368" i="1"/>
  <c r="O7368" i="1"/>
  <c r="P7368" i="1"/>
  <c r="Q7368" i="1"/>
  <c r="R7368" i="1"/>
  <c r="S7368" i="1"/>
  <c r="T7368" i="1"/>
  <c r="U7368" i="1"/>
  <c r="V7368" i="1"/>
  <c r="W7368" i="1"/>
  <c r="X7368" i="1"/>
  <c r="Y7368" i="1"/>
  <c r="Z7368" i="1"/>
  <c r="A7369" i="1"/>
  <c r="B7369" i="1"/>
  <c r="C7369" i="1"/>
  <c r="D7369" i="1"/>
  <c r="E7369" i="1"/>
  <c r="F7369" i="1"/>
  <c r="G7369" i="1"/>
  <c r="I7369" i="1"/>
  <c r="J7369" i="1"/>
  <c r="K7369" i="1"/>
  <c r="L7369" i="1"/>
  <c r="M7369" i="1"/>
  <c r="N7369" i="1"/>
  <c r="O7369" i="1"/>
  <c r="P7369" i="1"/>
  <c r="Q7369" i="1"/>
  <c r="R7369" i="1"/>
  <c r="S7369" i="1"/>
  <c r="T7369" i="1"/>
  <c r="U7369" i="1"/>
  <c r="V7369" i="1"/>
  <c r="W7369" i="1"/>
  <c r="X7369" i="1"/>
  <c r="Y7369" i="1"/>
  <c r="Z7369" i="1"/>
  <c r="A7370" i="1"/>
  <c r="B7370" i="1"/>
  <c r="C7370" i="1"/>
  <c r="D7370" i="1"/>
  <c r="E7370" i="1"/>
  <c r="F7370" i="1"/>
  <c r="G7370" i="1"/>
  <c r="I7370" i="1"/>
  <c r="J7370" i="1"/>
  <c r="K7370" i="1"/>
  <c r="L7370" i="1"/>
  <c r="M7370" i="1"/>
  <c r="N7370" i="1"/>
  <c r="O7370" i="1"/>
  <c r="P7370" i="1"/>
  <c r="Q7370" i="1"/>
  <c r="R7370" i="1"/>
  <c r="S7370" i="1"/>
  <c r="T7370" i="1"/>
  <c r="U7370" i="1"/>
  <c r="V7370" i="1"/>
  <c r="W7370" i="1"/>
  <c r="X7370" i="1"/>
  <c r="Y7370" i="1"/>
  <c r="Z7370" i="1"/>
  <c r="A7371" i="1"/>
  <c r="B7371" i="1"/>
  <c r="C7371" i="1"/>
  <c r="D7371" i="1"/>
  <c r="E7371" i="1"/>
  <c r="F7371" i="1"/>
  <c r="G7371" i="1"/>
  <c r="I7371" i="1"/>
  <c r="J7371" i="1"/>
  <c r="K7371" i="1"/>
  <c r="L7371" i="1"/>
  <c r="M7371" i="1"/>
  <c r="N7371" i="1"/>
  <c r="O7371" i="1"/>
  <c r="P7371" i="1"/>
  <c r="Q7371" i="1"/>
  <c r="R7371" i="1"/>
  <c r="S7371" i="1"/>
  <c r="T7371" i="1"/>
  <c r="U7371" i="1"/>
  <c r="V7371" i="1"/>
  <c r="W7371" i="1"/>
  <c r="X7371" i="1"/>
  <c r="Y7371" i="1"/>
  <c r="Z7371" i="1"/>
  <c r="A7372" i="1"/>
  <c r="B7372" i="1"/>
  <c r="C7372" i="1"/>
  <c r="D7372" i="1"/>
  <c r="E7372" i="1"/>
  <c r="F7372" i="1"/>
  <c r="G7372" i="1"/>
  <c r="I7372" i="1"/>
  <c r="J7372" i="1"/>
  <c r="K7372" i="1"/>
  <c r="L7372" i="1"/>
  <c r="M7372" i="1"/>
  <c r="N7372" i="1"/>
  <c r="O7372" i="1"/>
  <c r="P7372" i="1"/>
  <c r="Q7372" i="1"/>
  <c r="R7372" i="1"/>
  <c r="S7372" i="1"/>
  <c r="T7372" i="1"/>
  <c r="U7372" i="1"/>
  <c r="V7372" i="1"/>
  <c r="W7372" i="1"/>
  <c r="X7372" i="1"/>
  <c r="Y7372" i="1"/>
  <c r="Z7372" i="1"/>
  <c r="A7373" i="1"/>
  <c r="B7373" i="1"/>
  <c r="C7373" i="1"/>
  <c r="D7373" i="1"/>
  <c r="E7373" i="1"/>
  <c r="F7373" i="1"/>
  <c r="G7373" i="1"/>
  <c r="I7373" i="1"/>
  <c r="J7373" i="1"/>
  <c r="K7373" i="1"/>
  <c r="L7373" i="1"/>
  <c r="M7373" i="1"/>
  <c r="N7373" i="1"/>
  <c r="O7373" i="1"/>
  <c r="P7373" i="1"/>
  <c r="Q7373" i="1"/>
  <c r="R7373" i="1"/>
  <c r="S7373" i="1"/>
  <c r="T7373" i="1"/>
  <c r="U7373" i="1"/>
  <c r="V7373" i="1"/>
  <c r="W7373" i="1"/>
  <c r="X7373" i="1"/>
  <c r="Y7373" i="1"/>
  <c r="Z7373" i="1"/>
  <c r="A7374" i="1"/>
  <c r="B7374" i="1"/>
  <c r="C7374" i="1"/>
  <c r="D7374" i="1"/>
  <c r="E7374" i="1"/>
  <c r="F7374" i="1"/>
  <c r="G7374" i="1"/>
  <c r="I7374" i="1"/>
  <c r="J7374" i="1"/>
  <c r="K7374" i="1"/>
  <c r="L7374" i="1"/>
  <c r="M7374" i="1"/>
  <c r="N7374" i="1"/>
  <c r="O7374" i="1"/>
  <c r="P7374" i="1"/>
  <c r="Q7374" i="1"/>
  <c r="R7374" i="1"/>
  <c r="S7374" i="1"/>
  <c r="T7374" i="1"/>
  <c r="U7374" i="1"/>
  <c r="V7374" i="1"/>
  <c r="W7374" i="1"/>
  <c r="X7374" i="1"/>
  <c r="Y7374" i="1"/>
  <c r="Z7374" i="1"/>
  <c r="A7375" i="1"/>
  <c r="B7375" i="1"/>
  <c r="C7375" i="1"/>
  <c r="D7375" i="1"/>
  <c r="E7375" i="1"/>
  <c r="F7375" i="1"/>
  <c r="G7375" i="1"/>
  <c r="I7375" i="1"/>
  <c r="J7375" i="1"/>
  <c r="K7375" i="1"/>
  <c r="L7375" i="1"/>
  <c r="M7375" i="1"/>
  <c r="N7375" i="1"/>
  <c r="O7375" i="1"/>
  <c r="P7375" i="1"/>
  <c r="Q7375" i="1"/>
  <c r="R7375" i="1"/>
  <c r="S7375" i="1"/>
  <c r="T7375" i="1"/>
  <c r="U7375" i="1"/>
  <c r="V7375" i="1"/>
  <c r="W7375" i="1"/>
  <c r="X7375" i="1"/>
  <c r="Y7375" i="1"/>
  <c r="Z7375" i="1"/>
  <c r="A7376" i="1"/>
  <c r="B7376" i="1"/>
  <c r="C7376" i="1"/>
  <c r="D7376" i="1"/>
  <c r="E7376" i="1"/>
  <c r="F7376" i="1"/>
  <c r="G7376" i="1"/>
  <c r="I7376" i="1"/>
  <c r="J7376" i="1"/>
  <c r="K7376" i="1"/>
  <c r="L7376" i="1"/>
  <c r="M7376" i="1"/>
  <c r="N7376" i="1"/>
  <c r="O7376" i="1"/>
  <c r="P7376" i="1"/>
  <c r="Q7376" i="1"/>
  <c r="R7376" i="1"/>
  <c r="S7376" i="1"/>
  <c r="T7376" i="1"/>
  <c r="U7376" i="1"/>
  <c r="V7376" i="1"/>
  <c r="W7376" i="1"/>
  <c r="X7376" i="1"/>
  <c r="Y7376" i="1"/>
  <c r="Z7376" i="1"/>
  <c r="A7377" i="1"/>
  <c r="B7377" i="1"/>
  <c r="C7377" i="1"/>
  <c r="D7377" i="1"/>
  <c r="E7377" i="1"/>
  <c r="F7377" i="1"/>
  <c r="G7377" i="1"/>
  <c r="I7377" i="1"/>
  <c r="J7377" i="1"/>
  <c r="K7377" i="1"/>
  <c r="L7377" i="1"/>
  <c r="M7377" i="1"/>
  <c r="N7377" i="1"/>
  <c r="O7377" i="1"/>
  <c r="P7377" i="1"/>
  <c r="Q7377" i="1"/>
  <c r="R7377" i="1"/>
  <c r="S7377" i="1"/>
  <c r="T7377" i="1"/>
  <c r="U7377" i="1"/>
  <c r="V7377" i="1"/>
  <c r="W7377" i="1"/>
  <c r="X7377" i="1"/>
  <c r="Y7377" i="1"/>
  <c r="Z7377" i="1"/>
  <c r="A7378" i="1"/>
  <c r="B7378" i="1"/>
  <c r="C7378" i="1"/>
  <c r="D7378" i="1"/>
  <c r="E7378" i="1"/>
  <c r="F7378" i="1"/>
  <c r="G7378" i="1"/>
  <c r="I7378" i="1"/>
  <c r="J7378" i="1"/>
  <c r="K7378" i="1"/>
  <c r="L7378" i="1"/>
  <c r="M7378" i="1"/>
  <c r="N7378" i="1"/>
  <c r="O7378" i="1"/>
  <c r="P7378" i="1"/>
  <c r="Q7378" i="1"/>
  <c r="R7378" i="1"/>
  <c r="S7378" i="1"/>
  <c r="T7378" i="1"/>
  <c r="U7378" i="1"/>
  <c r="V7378" i="1"/>
  <c r="W7378" i="1"/>
  <c r="X7378" i="1"/>
  <c r="Y7378" i="1"/>
  <c r="Z7378" i="1"/>
  <c r="A7379" i="1"/>
  <c r="B7379" i="1"/>
  <c r="C7379" i="1"/>
  <c r="D7379" i="1"/>
  <c r="E7379" i="1"/>
  <c r="F7379" i="1"/>
  <c r="G7379" i="1"/>
  <c r="I7379" i="1"/>
  <c r="J7379" i="1"/>
  <c r="K7379" i="1"/>
  <c r="L7379" i="1"/>
  <c r="M7379" i="1"/>
  <c r="N7379" i="1"/>
  <c r="O7379" i="1"/>
  <c r="P7379" i="1"/>
  <c r="Q7379" i="1"/>
  <c r="R7379" i="1"/>
  <c r="S7379" i="1"/>
  <c r="T7379" i="1"/>
  <c r="U7379" i="1"/>
  <c r="V7379" i="1"/>
  <c r="W7379" i="1"/>
  <c r="X7379" i="1"/>
  <c r="Y7379" i="1"/>
  <c r="Z7379" i="1"/>
  <c r="A7380" i="1"/>
  <c r="B7380" i="1"/>
  <c r="C7380" i="1"/>
  <c r="D7380" i="1"/>
  <c r="E7380" i="1"/>
  <c r="F7380" i="1"/>
  <c r="G7380" i="1"/>
  <c r="I7380" i="1"/>
  <c r="J7380" i="1"/>
  <c r="K7380" i="1"/>
  <c r="L7380" i="1"/>
  <c r="M7380" i="1"/>
  <c r="N7380" i="1"/>
  <c r="O7380" i="1"/>
  <c r="P7380" i="1"/>
  <c r="Q7380" i="1"/>
  <c r="R7380" i="1"/>
  <c r="S7380" i="1"/>
  <c r="T7380" i="1"/>
  <c r="U7380" i="1"/>
  <c r="V7380" i="1"/>
  <c r="W7380" i="1"/>
  <c r="X7380" i="1"/>
  <c r="Y7380" i="1"/>
  <c r="Z7380" i="1"/>
  <c r="A7381" i="1"/>
  <c r="B7381" i="1"/>
  <c r="C7381" i="1"/>
  <c r="D7381" i="1"/>
  <c r="E7381" i="1"/>
  <c r="F7381" i="1"/>
  <c r="G7381" i="1"/>
  <c r="I7381" i="1"/>
  <c r="J7381" i="1"/>
  <c r="K7381" i="1"/>
  <c r="L7381" i="1"/>
  <c r="M7381" i="1"/>
  <c r="N7381" i="1"/>
  <c r="O7381" i="1"/>
  <c r="P7381" i="1"/>
  <c r="Q7381" i="1"/>
  <c r="R7381" i="1"/>
  <c r="S7381" i="1"/>
  <c r="T7381" i="1"/>
  <c r="U7381" i="1"/>
  <c r="V7381" i="1"/>
  <c r="W7381" i="1"/>
  <c r="X7381" i="1"/>
  <c r="Y7381" i="1"/>
  <c r="Z7381" i="1"/>
  <c r="A7382" i="1"/>
  <c r="B7382" i="1"/>
  <c r="C7382" i="1"/>
  <c r="D7382" i="1"/>
  <c r="E7382" i="1"/>
  <c r="F7382" i="1"/>
  <c r="G7382" i="1"/>
  <c r="I7382" i="1"/>
  <c r="J7382" i="1"/>
  <c r="K7382" i="1"/>
  <c r="L7382" i="1"/>
  <c r="M7382" i="1"/>
  <c r="N7382" i="1"/>
  <c r="O7382" i="1"/>
  <c r="P7382" i="1"/>
  <c r="Q7382" i="1"/>
  <c r="R7382" i="1"/>
  <c r="S7382" i="1"/>
  <c r="T7382" i="1"/>
  <c r="U7382" i="1"/>
  <c r="V7382" i="1"/>
  <c r="W7382" i="1"/>
  <c r="X7382" i="1"/>
  <c r="Y7382" i="1"/>
  <c r="Z7382" i="1"/>
  <c r="A7383" i="1"/>
  <c r="B7383" i="1"/>
  <c r="C7383" i="1"/>
  <c r="D7383" i="1"/>
  <c r="E7383" i="1"/>
  <c r="F7383" i="1"/>
  <c r="G7383" i="1"/>
  <c r="I7383" i="1"/>
  <c r="J7383" i="1"/>
  <c r="K7383" i="1"/>
  <c r="L7383" i="1"/>
  <c r="M7383" i="1"/>
  <c r="N7383" i="1"/>
  <c r="O7383" i="1"/>
  <c r="P7383" i="1"/>
  <c r="Q7383" i="1"/>
  <c r="R7383" i="1"/>
  <c r="S7383" i="1"/>
  <c r="T7383" i="1"/>
  <c r="U7383" i="1"/>
  <c r="V7383" i="1"/>
  <c r="W7383" i="1"/>
  <c r="X7383" i="1"/>
  <c r="Y7383" i="1"/>
  <c r="Z7383" i="1"/>
  <c r="A7384" i="1"/>
  <c r="B7384" i="1"/>
  <c r="C7384" i="1"/>
  <c r="D7384" i="1"/>
  <c r="E7384" i="1"/>
  <c r="F7384" i="1"/>
  <c r="G7384" i="1"/>
  <c r="I7384" i="1"/>
  <c r="J7384" i="1"/>
  <c r="K7384" i="1"/>
  <c r="L7384" i="1"/>
  <c r="M7384" i="1"/>
  <c r="N7384" i="1"/>
  <c r="O7384" i="1"/>
  <c r="P7384" i="1"/>
  <c r="Q7384" i="1"/>
  <c r="R7384" i="1"/>
  <c r="S7384" i="1"/>
  <c r="T7384" i="1"/>
  <c r="U7384" i="1"/>
  <c r="V7384" i="1"/>
  <c r="W7384" i="1"/>
  <c r="X7384" i="1"/>
  <c r="Y7384" i="1"/>
  <c r="Z7384" i="1"/>
  <c r="A7385" i="1"/>
  <c r="B7385" i="1"/>
  <c r="C7385" i="1"/>
  <c r="D7385" i="1"/>
  <c r="E7385" i="1"/>
  <c r="F7385" i="1"/>
  <c r="G7385" i="1"/>
  <c r="I7385" i="1"/>
  <c r="J7385" i="1"/>
  <c r="K7385" i="1"/>
  <c r="L7385" i="1"/>
  <c r="M7385" i="1"/>
  <c r="N7385" i="1"/>
  <c r="O7385" i="1"/>
  <c r="P7385" i="1"/>
  <c r="Q7385" i="1"/>
  <c r="R7385" i="1"/>
  <c r="S7385" i="1"/>
  <c r="T7385" i="1"/>
  <c r="U7385" i="1"/>
  <c r="V7385" i="1"/>
  <c r="W7385" i="1"/>
  <c r="X7385" i="1"/>
  <c r="Y7385" i="1"/>
  <c r="Z7385" i="1"/>
  <c r="A7386" i="1"/>
  <c r="B7386" i="1"/>
  <c r="C7386" i="1"/>
  <c r="D7386" i="1"/>
  <c r="E7386" i="1"/>
  <c r="F7386" i="1"/>
  <c r="G7386" i="1"/>
  <c r="I7386" i="1"/>
  <c r="J7386" i="1"/>
  <c r="K7386" i="1"/>
  <c r="L7386" i="1"/>
  <c r="M7386" i="1"/>
  <c r="N7386" i="1"/>
  <c r="O7386" i="1"/>
  <c r="P7386" i="1"/>
  <c r="Q7386" i="1"/>
  <c r="R7386" i="1"/>
  <c r="S7386" i="1"/>
  <c r="T7386" i="1"/>
  <c r="U7386" i="1"/>
  <c r="V7386" i="1"/>
  <c r="W7386" i="1"/>
  <c r="X7386" i="1"/>
  <c r="Y7386" i="1"/>
  <c r="Z7386" i="1"/>
  <c r="A7387" i="1"/>
  <c r="B7387" i="1"/>
  <c r="C7387" i="1"/>
  <c r="D7387" i="1"/>
  <c r="E7387" i="1"/>
  <c r="F7387" i="1"/>
  <c r="G7387" i="1"/>
  <c r="I7387" i="1"/>
  <c r="J7387" i="1"/>
  <c r="K7387" i="1"/>
  <c r="L7387" i="1"/>
  <c r="M7387" i="1"/>
  <c r="N7387" i="1"/>
  <c r="O7387" i="1"/>
  <c r="P7387" i="1"/>
  <c r="Q7387" i="1"/>
  <c r="R7387" i="1"/>
  <c r="S7387" i="1"/>
  <c r="T7387" i="1"/>
  <c r="U7387" i="1"/>
  <c r="V7387" i="1"/>
  <c r="W7387" i="1"/>
  <c r="X7387" i="1"/>
  <c r="Y7387" i="1"/>
  <c r="Z7387" i="1"/>
  <c r="A7388" i="1"/>
  <c r="B7388" i="1"/>
  <c r="C7388" i="1"/>
  <c r="D7388" i="1"/>
  <c r="E7388" i="1"/>
  <c r="F7388" i="1"/>
  <c r="G7388" i="1"/>
  <c r="I7388" i="1"/>
  <c r="J7388" i="1"/>
  <c r="K7388" i="1"/>
  <c r="L7388" i="1"/>
  <c r="M7388" i="1"/>
  <c r="N7388" i="1"/>
  <c r="O7388" i="1"/>
  <c r="P7388" i="1"/>
  <c r="Q7388" i="1"/>
  <c r="R7388" i="1"/>
  <c r="S7388" i="1"/>
  <c r="T7388" i="1"/>
  <c r="U7388" i="1"/>
  <c r="V7388" i="1"/>
  <c r="W7388" i="1"/>
  <c r="X7388" i="1"/>
  <c r="Y7388" i="1"/>
  <c r="Z7388" i="1"/>
  <c r="A7389" i="1"/>
  <c r="B7389" i="1"/>
  <c r="C7389" i="1"/>
  <c r="D7389" i="1"/>
  <c r="E7389" i="1"/>
  <c r="F7389" i="1"/>
  <c r="G7389" i="1"/>
  <c r="I7389" i="1"/>
  <c r="J7389" i="1"/>
  <c r="K7389" i="1"/>
  <c r="L7389" i="1"/>
  <c r="M7389" i="1"/>
  <c r="N7389" i="1"/>
  <c r="O7389" i="1"/>
  <c r="P7389" i="1"/>
  <c r="Q7389" i="1"/>
  <c r="R7389" i="1"/>
  <c r="S7389" i="1"/>
  <c r="T7389" i="1"/>
  <c r="U7389" i="1"/>
  <c r="V7389" i="1"/>
  <c r="W7389" i="1"/>
  <c r="X7389" i="1"/>
  <c r="Y7389" i="1"/>
  <c r="Z7389" i="1"/>
  <c r="A7390" i="1"/>
  <c r="B7390" i="1"/>
  <c r="C7390" i="1"/>
  <c r="D7390" i="1"/>
  <c r="E7390" i="1"/>
  <c r="F7390" i="1"/>
  <c r="G7390" i="1"/>
  <c r="I7390" i="1"/>
  <c r="J7390" i="1"/>
  <c r="K7390" i="1"/>
  <c r="L7390" i="1"/>
  <c r="M7390" i="1"/>
  <c r="N7390" i="1"/>
  <c r="O7390" i="1"/>
  <c r="P7390" i="1"/>
  <c r="Q7390" i="1"/>
  <c r="R7390" i="1"/>
  <c r="S7390" i="1"/>
  <c r="T7390" i="1"/>
  <c r="U7390" i="1"/>
  <c r="V7390" i="1"/>
  <c r="W7390" i="1"/>
  <c r="X7390" i="1"/>
  <c r="Y7390" i="1"/>
  <c r="Z7390" i="1"/>
  <c r="A7391" i="1"/>
  <c r="B7391" i="1"/>
  <c r="C7391" i="1"/>
  <c r="D7391" i="1"/>
  <c r="E7391" i="1"/>
  <c r="F7391" i="1"/>
  <c r="G7391" i="1"/>
  <c r="I7391" i="1"/>
  <c r="J7391" i="1"/>
  <c r="K7391" i="1"/>
  <c r="L7391" i="1"/>
  <c r="M7391" i="1"/>
  <c r="N7391" i="1"/>
  <c r="O7391" i="1"/>
  <c r="P7391" i="1"/>
  <c r="Q7391" i="1"/>
  <c r="R7391" i="1"/>
  <c r="S7391" i="1"/>
  <c r="T7391" i="1"/>
  <c r="U7391" i="1"/>
  <c r="V7391" i="1"/>
  <c r="W7391" i="1"/>
  <c r="X7391" i="1"/>
  <c r="Y7391" i="1"/>
  <c r="Z7391" i="1"/>
  <c r="A7392" i="1"/>
  <c r="B7392" i="1"/>
  <c r="C7392" i="1"/>
  <c r="D7392" i="1"/>
  <c r="E7392" i="1"/>
  <c r="F7392" i="1"/>
  <c r="G7392" i="1"/>
  <c r="I7392" i="1"/>
  <c r="J7392" i="1"/>
  <c r="K7392" i="1"/>
  <c r="L7392" i="1"/>
  <c r="M7392" i="1"/>
  <c r="N7392" i="1"/>
  <c r="O7392" i="1"/>
  <c r="P7392" i="1"/>
  <c r="Q7392" i="1"/>
  <c r="R7392" i="1"/>
  <c r="S7392" i="1"/>
  <c r="T7392" i="1"/>
  <c r="U7392" i="1"/>
  <c r="V7392" i="1"/>
  <c r="W7392" i="1"/>
  <c r="X7392" i="1"/>
  <c r="Y7392" i="1"/>
  <c r="Z7392" i="1"/>
  <c r="A7393" i="1"/>
  <c r="B7393" i="1"/>
  <c r="C7393" i="1"/>
  <c r="D7393" i="1"/>
  <c r="E7393" i="1"/>
  <c r="F7393" i="1"/>
  <c r="G7393" i="1"/>
  <c r="I7393" i="1"/>
  <c r="J7393" i="1"/>
  <c r="K7393" i="1"/>
  <c r="L7393" i="1"/>
  <c r="M7393" i="1"/>
  <c r="N7393" i="1"/>
  <c r="O7393" i="1"/>
  <c r="P7393" i="1"/>
  <c r="Q7393" i="1"/>
  <c r="R7393" i="1"/>
  <c r="S7393" i="1"/>
  <c r="T7393" i="1"/>
  <c r="U7393" i="1"/>
  <c r="V7393" i="1"/>
  <c r="W7393" i="1"/>
  <c r="X7393" i="1"/>
  <c r="Y7393" i="1"/>
  <c r="Z7393" i="1"/>
  <c r="A7394" i="1"/>
  <c r="B7394" i="1"/>
  <c r="C7394" i="1"/>
  <c r="D7394" i="1"/>
  <c r="E7394" i="1"/>
  <c r="F7394" i="1"/>
  <c r="G7394" i="1"/>
  <c r="I7394" i="1"/>
  <c r="J7394" i="1"/>
  <c r="K7394" i="1"/>
  <c r="L7394" i="1"/>
  <c r="M7394" i="1"/>
  <c r="N7394" i="1"/>
  <c r="O7394" i="1"/>
  <c r="P7394" i="1"/>
  <c r="Q7394" i="1"/>
  <c r="R7394" i="1"/>
  <c r="S7394" i="1"/>
  <c r="T7394" i="1"/>
  <c r="U7394" i="1"/>
  <c r="V7394" i="1"/>
  <c r="W7394" i="1"/>
  <c r="X7394" i="1"/>
  <c r="Y7394" i="1"/>
  <c r="Z7394" i="1"/>
  <c r="A7395" i="1"/>
  <c r="B7395" i="1"/>
  <c r="C7395" i="1"/>
  <c r="D7395" i="1"/>
  <c r="E7395" i="1"/>
  <c r="F7395" i="1"/>
  <c r="G7395" i="1"/>
  <c r="I7395" i="1"/>
  <c r="J7395" i="1"/>
  <c r="K7395" i="1"/>
  <c r="L7395" i="1"/>
  <c r="M7395" i="1"/>
  <c r="N7395" i="1"/>
  <c r="O7395" i="1"/>
  <c r="P7395" i="1"/>
  <c r="Q7395" i="1"/>
  <c r="R7395" i="1"/>
  <c r="S7395" i="1"/>
  <c r="T7395" i="1"/>
  <c r="U7395" i="1"/>
  <c r="V7395" i="1"/>
  <c r="W7395" i="1"/>
  <c r="X7395" i="1"/>
  <c r="Y7395" i="1"/>
  <c r="Z7395" i="1"/>
  <c r="A7396" i="1"/>
  <c r="B7396" i="1"/>
  <c r="C7396" i="1"/>
  <c r="D7396" i="1"/>
  <c r="E7396" i="1"/>
  <c r="F7396" i="1"/>
  <c r="G7396" i="1"/>
  <c r="I7396" i="1"/>
  <c r="J7396" i="1"/>
  <c r="K7396" i="1"/>
  <c r="L7396" i="1"/>
  <c r="M7396" i="1"/>
  <c r="N7396" i="1"/>
  <c r="O7396" i="1"/>
  <c r="P7396" i="1"/>
  <c r="Q7396" i="1"/>
  <c r="R7396" i="1"/>
  <c r="S7396" i="1"/>
  <c r="T7396" i="1"/>
  <c r="U7396" i="1"/>
  <c r="V7396" i="1"/>
  <c r="W7396" i="1"/>
  <c r="X7396" i="1"/>
  <c r="Y7396" i="1"/>
  <c r="Z7396" i="1"/>
  <c r="A7397" i="1"/>
  <c r="B7397" i="1"/>
  <c r="C7397" i="1"/>
  <c r="D7397" i="1"/>
  <c r="E7397" i="1"/>
  <c r="F7397" i="1"/>
  <c r="G7397" i="1"/>
  <c r="I7397" i="1"/>
  <c r="J7397" i="1"/>
  <c r="K7397" i="1"/>
  <c r="L7397" i="1"/>
  <c r="M7397" i="1"/>
  <c r="N7397" i="1"/>
  <c r="O7397" i="1"/>
  <c r="P7397" i="1"/>
  <c r="Q7397" i="1"/>
  <c r="R7397" i="1"/>
  <c r="S7397" i="1"/>
  <c r="T7397" i="1"/>
  <c r="U7397" i="1"/>
  <c r="V7397" i="1"/>
  <c r="W7397" i="1"/>
  <c r="X7397" i="1"/>
  <c r="Y7397" i="1"/>
  <c r="Z7397" i="1"/>
  <c r="A7398" i="1"/>
  <c r="B7398" i="1"/>
  <c r="C7398" i="1"/>
  <c r="D7398" i="1"/>
  <c r="E7398" i="1"/>
  <c r="F7398" i="1"/>
  <c r="G7398" i="1"/>
  <c r="I7398" i="1"/>
  <c r="J7398" i="1"/>
  <c r="K7398" i="1"/>
  <c r="L7398" i="1"/>
  <c r="M7398" i="1"/>
  <c r="N7398" i="1"/>
  <c r="O7398" i="1"/>
  <c r="P7398" i="1"/>
  <c r="Q7398" i="1"/>
  <c r="R7398" i="1"/>
  <c r="S7398" i="1"/>
  <c r="T7398" i="1"/>
  <c r="U7398" i="1"/>
  <c r="V7398" i="1"/>
  <c r="W7398" i="1"/>
  <c r="X7398" i="1"/>
  <c r="Y7398" i="1"/>
  <c r="Z7398" i="1"/>
  <c r="A7399" i="1"/>
  <c r="B7399" i="1"/>
  <c r="C7399" i="1"/>
  <c r="D7399" i="1"/>
  <c r="E7399" i="1"/>
  <c r="F7399" i="1"/>
  <c r="G7399" i="1"/>
  <c r="I7399" i="1"/>
  <c r="J7399" i="1"/>
  <c r="K7399" i="1"/>
  <c r="L7399" i="1"/>
  <c r="M7399" i="1"/>
  <c r="N7399" i="1"/>
  <c r="O7399" i="1"/>
  <c r="P7399" i="1"/>
  <c r="Q7399" i="1"/>
  <c r="R7399" i="1"/>
  <c r="S7399" i="1"/>
  <c r="T7399" i="1"/>
  <c r="U7399" i="1"/>
  <c r="V7399" i="1"/>
  <c r="W7399" i="1"/>
  <c r="X7399" i="1"/>
  <c r="Y7399" i="1"/>
  <c r="Z7399" i="1"/>
  <c r="A7400" i="1"/>
  <c r="B7400" i="1"/>
  <c r="C7400" i="1"/>
  <c r="D7400" i="1"/>
  <c r="E7400" i="1"/>
  <c r="F7400" i="1"/>
  <c r="G7400" i="1"/>
  <c r="I7400" i="1"/>
  <c r="J7400" i="1"/>
  <c r="K7400" i="1"/>
  <c r="L7400" i="1"/>
  <c r="M7400" i="1"/>
  <c r="N7400" i="1"/>
  <c r="O7400" i="1"/>
  <c r="P7400" i="1"/>
  <c r="Q7400" i="1"/>
  <c r="R7400" i="1"/>
  <c r="S7400" i="1"/>
  <c r="T7400" i="1"/>
  <c r="U7400" i="1"/>
  <c r="V7400" i="1"/>
  <c r="W7400" i="1"/>
  <c r="X7400" i="1"/>
  <c r="Y7400" i="1"/>
  <c r="Z7400" i="1"/>
  <c r="A7401" i="1"/>
  <c r="B7401" i="1"/>
  <c r="C7401" i="1"/>
  <c r="D7401" i="1"/>
  <c r="E7401" i="1"/>
  <c r="F7401" i="1"/>
  <c r="G7401" i="1"/>
  <c r="I7401" i="1"/>
  <c r="J7401" i="1"/>
  <c r="K7401" i="1"/>
  <c r="L7401" i="1"/>
  <c r="M7401" i="1"/>
  <c r="N7401" i="1"/>
  <c r="O7401" i="1"/>
  <c r="P7401" i="1"/>
  <c r="Q7401" i="1"/>
  <c r="R7401" i="1"/>
  <c r="S7401" i="1"/>
  <c r="T7401" i="1"/>
  <c r="U7401" i="1"/>
  <c r="V7401" i="1"/>
  <c r="W7401" i="1"/>
  <c r="X7401" i="1"/>
  <c r="Y7401" i="1"/>
  <c r="Z7401" i="1"/>
  <c r="A7402" i="1"/>
  <c r="B7402" i="1"/>
  <c r="C7402" i="1"/>
  <c r="D7402" i="1"/>
  <c r="E7402" i="1"/>
  <c r="F7402" i="1"/>
  <c r="G7402" i="1"/>
  <c r="I7402" i="1"/>
  <c r="J7402" i="1"/>
  <c r="K7402" i="1"/>
  <c r="L7402" i="1"/>
  <c r="M7402" i="1"/>
  <c r="N7402" i="1"/>
  <c r="O7402" i="1"/>
  <c r="P7402" i="1"/>
  <c r="Q7402" i="1"/>
  <c r="R7402" i="1"/>
  <c r="S7402" i="1"/>
  <c r="T7402" i="1"/>
  <c r="U7402" i="1"/>
  <c r="V7402" i="1"/>
  <c r="W7402" i="1"/>
  <c r="X7402" i="1"/>
  <c r="Y7402" i="1"/>
  <c r="Z7402" i="1"/>
  <c r="A7403" i="1"/>
  <c r="B7403" i="1"/>
  <c r="C7403" i="1"/>
  <c r="D7403" i="1"/>
  <c r="E7403" i="1"/>
  <c r="F7403" i="1"/>
  <c r="G7403" i="1"/>
  <c r="I7403" i="1"/>
  <c r="J7403" i="1"/>
  <c r="K7403" i="1"/>
  <c r="L7403" i="1"/>
  <c r="M7403" i="1"/>
  <c r="N7403" i="1"/>
  <c r="O7403" i="1"/>
  <c r="P7403" i="1"/>
  <c r="Q7403" i="1"/>
  <c r="R7403" i="1"/>
  <c r="S7403" i="1"/>
  <c r="T7403" i="1"/>
  <c r="U7403" i="1"/>
  <c r="V7403" i="1"/>
  <c r="W7403" i="1"/>
  <c r="X7403" i="1"/>
  <c r="Y7403" i="1"/>
  <c r="Z7403" i="1"/>
  <c r="A7404" i="1"/>
  <c r="B7404" i="1"/>
  <c r="C7404" i="1"/>
  <c r="D7404" i="1"/>
  <c r="E7404" i="1"/>
  <c r="F7404" i="1"/>
  <c r="G7404" i="1"/>
  <c r="I7404" i="1"/>
  <c r="J7404" i="1"/>
  <c r="K7404" i="1"/>
  <c r="L7404" i="1"/>
  <c r="M7404" i="1"/>
  <c r="N7404" i="1"/>
  <c r="O7404" i="1"/>
  <c r="P7404" i="1"/>
  <c r="Q7404" i="1"/>
  <c r="R7404" i="1"/>
  <c r="S7404" i="1"/>
  <c r="T7404" i="1"/>
  <c r="U7404" i="1"/>
  <c r="V7404" i="1"/>
  <c r="W7404" i="1"/>
  <c r="X7404" i="1"/>
  <c r="Y7404" i="1"/>
  <c r="Z7404" i="1"/>
  <c r="A7405" i="1"/>
  <c r="B7405" i="1"/>
  <c r="C7405" i="1"/>
  <c r="D7405" i="1"/>
  <c r="E7405" i="1"/>
  <c r="F7405" i="1"/>
  <c r="G7405" i="1"/>
  <c r="I7405" i="1"/>
  <c r="J7405" i="1"/>
  <c r="K7405" i="1"/>
  <c r="L7405" i="1"/>
  <c r="M7405" i="1"/>
  <c r="N7405" i="1"/>
  <c r="O7405" i="1"/>
  <c r="P7405" i="1"/>
  <c r="Q7405" i="1"/>
  <c r="R7405" i="1"/>
  <c r="S7405" i="1"/>
  <c r="T7405" i="1"/>
  <c r="U7405" i="1"/>
  <c r="V7405" i="1"/>
  <c r="W7405" i="1"/>
  <c r="X7405" i="1"/>
  <c r="Y7405" i="1"/>
  <c r="Z7405" i="1"/>
  <c r="A7406" i="1"/>
  <c r="B7406" i="1"/>
  <c r="C7406" i="1"/>
  <c r="D7406" i="1"/>
  <c r="E7406" i="1"/>
  <c r="F7406" i="1"/>
  <c r="G7406" i="1"/>
  <c r="I7406" i="1"/>
  <c r="J7406" i="1"/>
  <c r="K7406" i="1"/>
  <c r="L7406" i="1"/>
  <c r="M7406" i="1"/>
  <c r="N7406" i="1"/>
  <c r="O7406" i="1"/>
  <c r="P7406" i="1"/>
  <c r="Q7406" i="1"/>
  <c r="R7406" i="1"/>
  <c r="S7406" i="1"/>
  <c r="T7406" i="1"/>
  <c r="U7406" i="1"/>
  <c r="V7406" i="1"/>
  <c r="W7406" i="1"/>
  <c r="X7406" i="1"/>
  <c r="Y7406" i="1"/>
  <c r="Z7406" i="1"/>
  <c r="A7407" i="1"/>
  <c r="B7407" i="1"/>
  <c r="C7407" i="1"/>
  <c r="D7407" i="1"/>
  <c r="E7407" i="1"/>
  <c r="F7407" i="1"/>
  <c r="G7407" i="1"/>
  <c r="I7407" i="1"/>
  <c r="J7407" i="1"/>
  <c r="K7407" i="1"/>
  <c r="L7407" i="1"/>
  <c r="M7407" i="1"/>
  <c r="N7407" i="1"/>
  <c r="O7407" i="1"/>
  <c r="P7407" i="1"/>
  <c r="Q7407" i="1"/>
  <c r="R7407" i="1"/>
  <c r="S7407" i="1"/>
  <c r="T7407" i="1"/>
  <c r="U7407" i="1"/>
  <c r="V7407" i="1"/>
  <c r="W7407" i="1"/>
  <c r="X7407" i="1"/>
  <c r="Y7407" i="1"/>
  <c r="Z7407" i="1"/>
  <c r="A7408" i="1"/>
  <c r="B7408" i="1"/>
  <c r="C7408" i="1"/>
  <c r="D7408" i="1"/>
  <c r="E7408" i="1"/>
  <c r="F7408" i="1"/>
  <c r="G7408" i="1"/>
  <c r="I7408" i="1"/>
  <c r="J7408" i="1"/>
  <c r="K7408" i="1"/>
  <c r="L7408" i="1"/>
  <c r="M7408" i="1"/>
  <c r="N7408" i="1"/>
  <c r="O7408" i="1"/>
  <c r="P7408" i="1"/>
  <c r="Q7408" i="1"/>
  <c r="R7408" i="1"/>
  <c r="S7408" i="1"/>
  <c r="T7408" i="1"/>
  <c r="U7408" i="1"/>
  <c r="V7408" i="1"/>
  <c r="W7408" i="1"/>
  <c r="X7408" i="1"/>
  <c r="Y7408" i="1"/>
  <c r="Z7408" i="1"/>
  <c r="A7409" i="1"/>
  <c r="B7409" i="1"/>
  <c r="C7409" i="1"/>
  <c r="D7409" i="1"/>
  <c r="E7409" i="1"/>
  <c r="F7409" i="1"/>
  <c r="G7409" i="1"/>
  <c r="I7409" i="1"/>
  <c r="J7409" i="1"/>
  <c r="K7409" i="1"/>
  <c r="L7409" i="1"/>
  <c r="M7409" i="1"/>
  <c r="N7409" i="1"/>
  <c r="O7409" i="1"/>
  <c r="P7409" i="1"/>
  <c r="Q7409" i="1"/>
  <c r="R7409" i="1"/>
  <c r="S7409" i="1"/>
  <c r="T7409" i="1"/>
  <c r="U7409" i="1"/>
  <c r="V7409" i="1"/>
  <c r="W7409" i="1"/>
  <c r="X7409" i="1"/>
  <c r="Y7409" i="1"/>
  <c r="Z7409" i="1"/>
  <c r="A7410" i="1"/>
  <c r="B7410" i="1"/>
  <c r="C7410" i="1"/>
  <c r="D7410" i="1"/>
  <c r="E7410" i="1"/>
  <c r="F7410" i="1"/>
  <c r="G7410" i="1"/>
  <c r="I7410" i="1"/>
  <c r="J7410" i="1"/>
  <c r="K7410" i="1"/>
  <c r="L7410" i="1"/>
  <c r="M7410" i="1"/>
  <c r="N7410" i="1"/>
  <c r="O7410" i="1"/>
  <c r="P7410" i="1"/>
  <c r="Q7410" i="1"/>
  <c r="R7410" i="1"/>
  <c r="S7410" i="1"/>
  <c r="T7410" i="1"/>
  <c r="U7410" i="1"/>
  <c r="V7410" i="1"/>
  <c r="W7410" i="1"/>
  <c r="X7410" i="1"/>
  <c r="Y7410" i="1"/>
  <c r="Z7410" i="1"/>
  <c r="A7411" i="1"/>
  <c r="B7411" i="1"/>
  <c r="C7411" i="1"/>
  <c r="D7411" i="1"/>
  <c r="E7411" i="1"/>
  <c r="F7411" i="1"/>
  <c r="G7411" i="1"/>
  <c r="I7411" i="1"/>
  <c r="J7411" i="1"/>
  <c r="K7411" i="1"/>
  <c r="L7411" i="1"/>
  <c r="M7411" i="1"/>
  <c r="N7411" i="1"/>
  <c r="O7411" i="1"/>
  <c r="P7411" i="1"/>
  <c r="Q7411" i="1"/>
  <c r="R7411" i="1"/>
  <c r="S7411" i="1"/>
  <c r="T7411" i="1"/>
  <c r="U7411" i="1"/>
  <c r="V7411" i="1"/>
  <c r="W7411" i="1"/>
  <c r="X7411" i="1"/>
  <c r="Y7411" i="1"/>
  <c r="Z7411" i="1"/>
  <c r="A7412" i="1"/>
  <c r="B7412" i="1"/>
  <c r="C7412" i="1"/>
  <c r="D7412" i="1"/>
  <c r="E7412" i="1"/>
  <c r="F7412" i="1"/>
  <c r="G7412" i="1"/>
  <c r="I7412" i="1"/>
  <c r="J7412" i="1"/>
  <c r="K7412" i="1"/>
  <c r="L7412" i="1"/>
  <c r="M7412" i="1"/>
  <c r="N7412" i="1"/>
  <c r="O7412" i="1"/>
  <c r="P7412" i="1"/>
  <c r="Q7412" i="1"/>
  <c r="R7412" i="1"/>
  <c r="S7412" i="1"/>
  <c r="T7412" i="1"/>
  <c r="U7412" i="1"/>
  <c r="V7412" i="1"/>
  <c r="W7412" i="1"/>
  <c r="X7412" i="1"/>
  <c r="Y7412" i="1"/>
  <c r="Z7412" i="1"/>
  <c r="A7413" i="1"/>
  <c r="B7413" i="1"/>
  <c r="C7413" i="1"/>
  <c r="D7413" i="1"/>
  <c r="E7413" i="1"/>
  <c r="F7413" i="1"/>
  <c r="G7413" i="1"/>
  <c r="I7413" i="1"/>
  <c r="J7413" i="1"/>
  <c r="K7413" i="1"/>
  <c r="L7413" i="1"/>
  <c r="M7413" i="1"/>
  <c r="N7413" i="1"/>
  <c r="O7413" i="1"/>
  <c r="P7413" i="1"/>
  <c r="Q7413" i="1"/>
  <c r="R7413" i="1"/>
  <c r="S7413" i="1"/>
  <c r="T7413" i="1"/>
  <c r="U7413" i="1"/>
  <c r="V7413" i="1"/>
  <c r="W7413" i="1"/>
  <c r="X7413" i="1"/>
  <c r="Y7413" i="1"/>
  <c r="Z7413" i="1"/>
  <c r="A7414" i="1"/>
  <c r="B7414" i="1"/>
  <c r="C7414" i="1"/>
  <c r="D7414" i="1"/>
  <c r="E7414" i="1"/>
  <c r="F7414" i="1"/>
  <c r="G7414" i="1"/>
  <c r="I7414" i="1"/>
  <c r="J7414" i="1"/>
  <c r="K7414" i="1"/>
  <c r="L7414" i="1"/>
  <c r="M7414" i="1"/>
  <c r="N7414" i="1"/>
  <c r="O7414" i="1"/>
  <c r="P7414" i="1"/>
  <c r="Q7414" i="1"/>
  <c r="R7414" i="1"/>
  <c r="S7414" i="1"/>
  <c r="T7414" i="1"/>
  <c r="U7414" i="1"/>
  <c r="V7414" i="1"/>
  <c r="W7414" i="1"/>
  <c r="X7414" i="1"/>
  <c r="Y7414" i="1"/>
  <c r="Z7414" i="1"/>
  <c r="A7415" i="1"/>
  <c r="B7415" i="1"/>
  <c r="C7415" i="1"/>
  <c r="D7415" i="1"/>
  <c r="E7415" i="1"/>
  <c r="F7415" i="1"/>
  <c r="G7415" i="1"/>
  <c r="I7415" i="1"/>
  <c r="J7415" i="1"/>
  <c r="K7415" i="1"/>
  <c r="L7415" i="1"/>
  <c r="M7415" i="1"/>
  <c r="N7415" i="1"/>
  <c r="O7415" i="1"/>
  <c r="P7415" i="1"/>
  <c r="Q7415" i="1"/>
  <c r="R7415" i="1"/>
  <c r="S7415" i="1"/>
  <c r="T7415" i="1"/>
  <c r="U7415" i="1"/>
  <c r="V7415" i="1"/>
  <c r="W7415" i="1"/>
  <c r="X7415" i="1"/>
  <c r="Y7415" i="1"/>
  <c r="Z7415" i="1"/>
  <c r="A7416" i="1"/>
  <c r="B7416" i="1"/>
  <c r="C7416" i="1"/>
  <c r="D7416" i="1"/>
  <c r="E7416" i="1"/>
  <c r="F7416" i="1"/>
  <c r="G7416" i="1"/>
  <c r="I7416" i="1"/>
  <c r="J7416" i="1"/>
  <c r="K7416" i="1"/>
  <c r="L7416" i="1"/>
  <c r="M7416" i="1"/>
  <c r="N7416" i="1"/>
  <c r="O7416" i="1"/>
  <c r="P7416" i="1"/>
  <c r="Q7416" i="1"/>
  <c r="R7416" i="1"/>
  <c r="S7416" i="1"/>
  <c r="T7416" i="1"/>
  <c r="U7416" i="1"/>
  <c r="V7416" i="1"/>
  <c r="W7416" i="1"/>
  <c r="X7416" i="1"/>
  <c r="Y7416" i="1"/>
  <c r="Z7416" i="1"/>
  <c r="A7417" i="1"/>
  <c r="B7417" i="1"/>
  <c r="C7417" i="1"/>
  <c r="D7417" i="1"/>
  <c r="E7417" i="1"/>
  <c r="F7417" i="1"/>
  <c r="G7417" i="1"/>
  <c r="I7417" i="1"/>
  <c r="J7417" i="1"/>
  <c r="K7417" i="1"/>
  <c r="L7417" i="1"/>
  <c r="M7417" i="1"/>
  <c r="N7417" i="1"/>
  <c r="O7417" i="1"/>
  <c r="P7417" i="1"/>
  <c r="Q7417" i="1"/>
  <c r="R7417" i="1"/>
  <c r="S7417" i="1"/>
  <c r="T7417" i="1"/>
  <c r="U7417" i="1"/>
  <c r="V7417" i="1"/>
  <c r="W7417" i="1"/>
  <c r="X7417" i="1"/>
  <c r="Y7417" i="1"/>
  <c r="Z7417" i="1"/>
  <c r="A7418" i="1"/>
  <c r="B7418" i="1"/>
  <c r="C7418" i="1"/>
  <c r="D7418" i="1"/>
  <c r="E7418" i="1"/>
  <c r="F7418" i="1"/>
  <c r="G7418" i="1"/>
  <c r="I7418" i="1"/>
  <c r="J7418" i="1"/>
  <c r="K7418" i="1"/>
  <c r="L7418" i="1"/>
  <c r="M7418" i="1"/>
  <c r="N7418" i="1"/>
  <c r="O7418" i="1"/>
  <c r="P7418" i="1"/>
  <c r="Q7418" i="1"/>
  <c r="R7418" i="1"/>
  <c r="S7418" i="1"/>
  <c r="T7418" i="1"/>
  <c r="U7418" i="1"/>
  <c r="V7418" i="1"/>
  <c r="W7418" i="1"/>
  <c r="X7418" i="1"/>
  <c r="Y7418" i="1"/>
  <c r="Z7418" i="1"/>
  <c r="A7419" i="1"/>
  <c r="B7419" i="1"/>
  <c r="C7419" i="1"/>
  <c r="D7419" i="1"/>
  <c r="E7419" i="1"/>
  <c r="F7419" i="1"/>
  <c r="G7419" i="1"/>
  <c r="I7419" i="1"/>
  <c r="J7419" i="1"/>
  <c r="K7419" i="1"/>
  <c r="L7419" i="1"/>
  <c r="M7419" i="1"/>
  <c r="N7419" i="1"/>
  <c r="O7419" i="1"/>
  <c r="P7419" i="1"/>
  <c r="Q7419" i="1"/>
  <c r="R7419" i="1"/>
  <c r="S7419" i="1"/>
  <c r="T7419" i="1"/>
  <c r="U7419" i="1"/>
  <c r="V7419" i="1"/>
  <c r="W7419" i="1"/>
  <c r="X7419" i="1"/>
  <c r="Y7419" i="1"/>
  <c r="Z7419" i="1"/>
  <c r="A7420" i="1"/>
  <c r="B7420" i="1"/>
  <c r="C7420" i="1"/>
  <c r="D7420" i="1"/>
  <c r="E7420" i="1"/>
  <c r="F7420" i="1"/>
  <c r="G7420" i="1"/>
  <c r="I7420" i="1"/>
  <c r="J7420" i="1"/>
  <c r="K7420" i="1"/>
  <c r="L7420" i="1"/>
  <c r="M7420" i="1"/>
  <c r="N7420" i="1"/>
  <c r="O7420" i="1"/>
  <c r="P7420" i="1"/>
  <c r="Q7420" i="1"/>
  <c r="R7420" i="1"/>
  <c r="S7420" i="1"/>
  <c r="T7420" i="1"/>
  <c r="U7420" i="1"/>
  <c r="V7420" i="1"/>
  <c r="W7420" i="1"/>
  <c r="X7420" i="1"/>
  <c r="Y7420" i="1"/>
  <c r="Z7420" i="1"/>
  <c r="A7421" i="1"/>
  <c r="B7421" i="1"/>
  <c r="C7421" i="1"/>
  <c r="D7421" i="1"/>
  <c r="E7421" i="1"/>
  <c r="F7421" i="1"/>
  <c r="G7421" i="1"/>
  <c r="I7421" i="1"/>
  <c r="J7421" i="1"/>
  <c r="K7421" i="1"/>
  <c r="L7421" i="1"/>
  <c r="M7421" i="1"/>
  <c r="N7421" i="1"/>
  <c r="O7421" i="1"/>
  <c r="P7421" i="1"/>
  <c r="Q7421" i="1"/>
  <c r="R7421" i="1"/>
  <c r="S7421" i="1"/>
  <c r="T7421" i="1"/>
  <c r="U7421" i="1"/>
  <c r="V7421" i="1"/>
  <c r="W7421" i="1"/>
  <c r="X7421" i="1"/>
  <c r="Y7421" i="1"/>
  <c r="Z7421" i="1"/>
  <c r="A7422" i="1"/>
  <c r="B7422" i="1"/>
  <c r="C7422" i="1"/>
  <c r="D7422" i="1"/>
  <c r="E7422" i="1"/>
  <c r="F7422" i="1"/>
  <c r="G7422" i="1"/>
  <c r="I7422" i="1"/>
  <c r="J7422" i="1"/>
  <c r="K7422" i="1"/>
  <c r="L7422" i="1"/>
  <c r="M7422" i="1"/>
  <c r="N7422" i="1"/>
  <c r="O7422" i="1"/>
  <c r="P7422" i="1"/>
  <c r="Q7422" i="1"/>
  <c r="R7422" i="1"/>
  <c r="S7422" i="1"/>
  <c r="T7422" i="1"/>
  <c r="U7422" i="1"/>
  <c r="V7422" i="1"/>
  <c r="W7422" i="1"/>
  <c r="X7422" i="1"/>
  <c r="Y7422" i="1"/>
  <c r="Z7422" i="1"/>
  <c r="A7423" i="1"/>
  <c r="B7423" i="1"/>
  <c r="C7423" i="1"/>
  <c r="D7423" i="1"/>
  <c r="E7423" i="1"/>
  <c r="F7423" i="1"/>
  <c r="G7423" i="1"/>
  <c r="I7423" i="1"/>
  <c r="J7423" i="1"/>
  <c r="K7423" i="1"/>
  <c r="L7423" i="1"/>
  <c r="M7423" i="1"/>
  <c r="N7423" i="1"/>
  <c r="O7423" i="1"/>
  <c r="P7423" i="1"/>
  <c r="Q7423" i="1"/>
  <c r="R7423" i="1"/>
  <c r="S7423" i="1"/>
  <c r="T7423" i="1"/>
  <c r="U7423" i="1"/>
  <c r="V7423" i="1"/>
  <c r="W7423" i="1"/>
  <c r="X7423" i="1"/>
  <c r="Y7423" i="1"/>
  <c r="Z7423" i="1"/>
  <c r="A7424" i="1"/>
  <c r="B7424" i="1"/>
  <c r="C7424" i="1"/>
  <c r="D7424" i="1"/>
  <c r="E7424" i="1"/>
  <c r="F7424" i="1"/>
  <c r="G7424" i="1"/>
  <c r="I7424" i="1"/>
  <c r="J7424" i="1"/>
  <c r="K7424" i="1"/>
  <c r="L7424" i="1"/>
  <c r="M7424" i="1"/>
  <c r="N7424" i="1"/>
  <c r="O7424" i="1"/>
  <c r="P7424" i="1"/>
  <c r="Q7424" i="1"/>
  <c r="R7424" i="1"/>
  <c r="S7424" i="1"/>
  <c r="T7424" i="1"/>
  <c r="U7424" i="1"/>
  <c r="V7424" i="1"/>
  <c r="W7424" i="1"/>
  <c r="X7424" i="1"/>
  <c r="Y7424" i="1"/>
  <c r="Z7424" i="1"/>
  <c r="A7425" i="1"/>
  <c r="B7425" i="1"/>
  <c r="C7425" i="1"/>
  <c r="D7425" i="1"/>
  <c r="E7425" i="1"/>
  <c r="F7425" i="1"/>
  <c r="G7425" i="1"/>
  <c r="I7425" i="1"/>
  <c r="J7425" i="1"/>
  <c r="K7425" i="1"/>
  <c r="L7425" i="1"/>
  <c r="M7425" i="1"/>
  <c r="N7425" i="1"/>
  <c r="O7425" i="1"/>
  <c r="P7425" i="1"/>
  <c r="Q7425" i="1"/>
  <c r="R7425" i="1"/>
  <c r="S7425" i="1"/>
  <c r="T7425" i="1"/>
  <c r="U7425" i="1"/>
  <c r="V7425" i="1"/>
  <c r="W7425" i="1"/>
  <c r="X7425" i="1"/>
  <c r="Y7425" i="1"/>
  <c r="Z7425" i="1"/>
  <c r="A7426" i="1"/>
  <c r="B7426" i="1"/>
  <c r="C7426" i="1"/>
  <c r="D7426" i="1"/>
  <c r="E7426" i="1"/>
  <c r="F7426" i="1"/>
  <c r="G7426" i="1"/>
  <c r="I7426" i="1"/>
  <c r="J7426" i="1"/>
  <c r="K7426" i="1"/>
  <c r="L7426" i="1"/>
  <c r="M7426" i="1"/>
  <c r="N7426" i="1"/>
  <c r="O7426" i="1"/>
  <c r="P7426" i="1"/>
  <c r="Q7426" i="1"/>
  <c r="R7426" i="1"/>
  <c r="S7426" i="1"/>
  <c r="T7426" i="1"/>
  <c r="U7426" i="1"/>
  <c r="V7426" i="1"/>
  <c r="W7426" i="1"/>
  <c r="X7426" i="1"/>
  <c r="Y7426" i="1"/>
  <c r="Z7426" i="1"/>
  <c r="A7427" i="1"/>
  <c r="B7427" i="1"/>
  <c r="C7427" i="1"/>
  <c r="D7427" i="1"/>
  <c r="E7427" i="1"/>
  <c r="F7427" i="1"/>
  <c r="G7427" i="1"/>
  <c r="I7427" i="1"/>
  <c r="J7427" i="1"/>
  <c r="K7427" i="1"/>
  <c r="L7427" i="1"/>
  <c r="M7427" i="1"/>
  <c r="N7427" i="1"/>
  <c r="O7427" i="1"/>
  <c r="P7427" i="1"/>
  <c r="Q7427" i="1"/>
  <c r="R7427" i="1"/>
  <c r="S7427" i="1"/>
  <c r="T7427" i="1"/>
  <c r="U7427" i="1"/>
  <c r="V7427" i="1"/>
  <c r="W7427" i="1"/>
  <c r="X7427" i="1"/>
  <c r="Y7427" i="1"/>
  <c r="Z7427" i="1"/>
  <c r="A7428" i="1"/>
  <c r="B7428" i="1"/>
  <c r="C7428" i="1"/>
  <c r="D7428" i="1"/>
  <c r="E7428" i="1"/>
  <c r="F7428" i="1"/>
  <c r="G7428" i="1"/>
  <c r="I7428" i="1"/>
  <c r="J7428" i="1"/>
  <c r="K7428" i="1"/>
  <c r="L7428" i="1"/>
  <c r="M7428" i="1"/>
  <c r="N7428" i="1"/>
  <c r="O7428" i="1"/>
  <c r="P7428" i="1"/>
  <c r="Q7428" i="1"/>
  <c r="R7428" i="1"/>
  <c r="S7428" i="1"/>
  <c r="T7428" i="1"/>
  <c r="U7428" i="1"/>
  <c r="V7428" i="1"/>
  <c r="W7428" i="1"/>
  <c r="X7428" i="1"/>
  <c r="Y7428" i="1"/>
  <c r="Z7428" i="1"/>
  <c r="A7429" i="1"/>
  <c r="B7429" i="1"/>
  <c r="C7429" i="1"/>
  <c r="D7429" i="1"/>
  <c r="E7429" i="1"/>
  <c r="F7429" i="1"/>
  <c r="G7429" i="1"/>
  <c r="I7429" i="1"/>
  <c r="J7429" i="1"/>
  <c r="K7429" i="1"/>
  <c r="L7429" i="1"/>
  <c r="M7429" i="1"/>
  <c r="N7429" i="1"/>
  <c r="O7429" i="1"/>
  <c r="P7429" i="1"/>
  <c r="Q7429" i="1"/>
  <c r="R7429" i="1"/>
  <c r="S7429" i="1"/>
  <c r="T7429" i="1"/>
  <c r="U7429" i="1"/>
  <c r="V7429" i="1"/>
  <c r="W7429" i="1"/>
  <c r="X7429" i="1"/>
  <c r="Y7429" i="1"/>
  <c r="Z7429" i="1"/>
  <c r="A7430" i="1"/>
  <c r="B7430" i="1"/>
  <c r="C7430" i="1"/>
  <c r="D7430" i="1"/>
  <c r="E7430" i="1"/>
  <c r="F7430" i="1"/>
  <c r="G7430" i="1"/>
  <c r="I7430" i="1"/>
  <c r="J7430" i="1"/>
  <c r="K7430" i="1"/>
  <c r="L7430" i="1"/>
  <c r="M7430" i="1"/>
  <c r="N7430" i="1"/>
  <c r="O7430" i="1"/>
  <c r="P7430" i="1"/>
  <c r="Q7430" i="1"/>
  <c r="R7430" i="1"/>
  <c r="S7430" i="1"/>
  <c r="T7430" i="1"/>
  <c r="U7430" i="1"/>
  <c r="V7430" i="1"/>
  <c r="W7430" i="1"/>
  <c r="X7430" i="1"/>
  <c r="Y7430" i="1"/>
  <c r="Z7430" i="1"/>
  <c r="A7431" i="1"/>
  <c r="B7431" i="1"/>
  <c r="C7431" i="1"/>
  <c r="D7431" i="1"/>
  <c r="E7431" i="1"/>
  <c r="F7431" i="1"/>
  <c r="G7431" i="1"/>
  <c r="I7431" i="1"/>
  <c r="J7431" i="1"/>
  <c r="K7431" i="1"/>
  <c r="L7431" i="1"/>
  <c r="M7431" i="1"/>
  <c r="N7431" i="1"/>
  <c r="O7431" i="1"/>
  <c r="P7431" i="1"/>
  <c r="Q7431" i="1"/>
  <c r="R7431" i="1"/>
  <c r="S7431" i="1"/>
  <c r="T7431" i="1"/>
  <c r="U7431" i="1"/>
  <c r="V7431" i="1"/>
  <c r="W7431" i="1"/>
  <c r="X7431" i="1"/>
  <c r="Y7431" i="1"/>
  <c r="Z7431" i="1"/>
  <c r="A7432" i="1"/>
  <c r="B7432" i="1"/>
  <c r="C7432" i="1"/>
  <c r="D7432" i="1"/>
  <c r="E7432" i="1"/>
  <c r="F7432" i="1"/>
  <c r="G7432" i="1"/>
  <c r="I7432" i="1"/>
  <c r="J7432" i="1"/>
  <c r="K7432" i="1"/>
  <c r="L7432" i="1"/>
  <c r="M7432" i="1"/>
  <c r="N7432" i="1"/>
  <c r="O7432" i="1"/>
  <c r="P7432" i="1"/>
  <c r="Q7432" i="1"/>
  <c r="R7432" i="1"/>
  <c r="S7432" i="1"/>
  <c r="T7432" i="1"/>
  <c r="U7432" i="1"/>
  <c r="V7432" i="1"/>
  <c r="W7432" i="1"/>
  <c r="X7432" i="1"/>
  <c r="Y7432" i="1"/>
  <c r="Z7432" i="1"/>
  <c r="A7433" i="1"/>
  <c r="B7433" i="1"/>
  <c r="C7433" i="1"/>
  <c r="D7433" i="1"/>
  <c r="E7433" i="1"/>
  <c r="F7433" i="1"/>
  <c r="G7433" i="1"/>
  <c r="I7433" i="1"/>
  <c r="J7433" i="1"/>
  <c r="K7433" i="1"/>
  <c r="L7433" i="1"/>
  <c r="M7433" i="1"/>
  <c r="N7433" i="1"/>
  <c r="O7433" i="1"/>
  <c r="P7433" i="1"/>
  <c r="Q7433" i="1"/>
  <c r="R7433" i="1"/>
  <c r="S7433" i="1"/>
  <c r="T7433" i="1"/>
  <c r="U7433" i="1"/>
  <c r="V7433" i="1"/>
  <c r="W7433" i="1"/>
  <c r="X7433" i="1"/>
  <c r="Y7433" i="1"/>
  <c r="Z7433" i="1"/>
  <c r="A7434" i="1"/>
  <c r="B7434" i="1"/>
  <c r="C7434" i="1"/>
  <c r="D7434" i="1"/>
  <c r="E7434" i="1"/>
  <c r="F7434" i="1"/>
  <c r="G7434" i="1"/>
  <c r="I7434" i="1"/>
  <c r="J7434" i="1"/>
  <c r="K7434" i="1"/>
  <c r="L7434" i="1"/>
  <c r="M7434" i="1"/>
  <c r="N7434" i="1"/>
  <c r="O7434" i="1"/>
  <c r="P7434" i="1"/>
  <c r="Q7434" i="1"/>
  <c r="R7434" i="1"/>
  <c r="S7434" i="1"/>
  <c r="T7434" i="1"/>
  <c r="U7434" i="1"/>
  <c r="V7434" i="1"/>
  <c r="W7434" i="1"/>
  <c r="X7434" i="1"/>
  <c r="Y7434" i="1"/>
  <c r="Z7434" i="1"/>
  <c r="A7435" i="1"/>
  <c r="B7435" i="1"/>
  <c r="C7435" i="1"/>
  <c r="D7435" i="1"/>
  <c r="E7435" i="1"/>
  <c r="F7435" i="1"/>
  <c r="G7435" i="1"/>
  <c r="I7435" i="1"/>
  <c r="J7435" i="1"/>
  <c r="K7435" i="1"/>
  <c r="L7435" i="1"/>
  <c r="M7435" i="1"/>
  <c r="N7435" i="1"/>
  <c r="O7435" i="1"/>
  <c r="P7435" i="1"/>
  <c r="Q7435" i="1"/>
  <c r="R7435" i="1"/>
  <c r="S7435" i="1"/>
  <c r="T7435" i="1"/>
  <c r="U7435" i="1"/>
  <c r="V7435" i="1"/>
  <c r="W7435" i="1"/>
  <c r="X7435" i="1"/>
  <c r="Y7435" i="1"/>
  <c r="Z7435" i="1"/>
  <c r="A7436" i="1"/>
  <c r="B7436" i="1"/>
  <c r="C7436" i="1"/>
  <c r="D7436" i="1"/>
  <c r="E7436" i="1"/>
  <c r="F7436" i="1"/>
  <c r="G7436" i="1"/>
  <c r="I7436" i="1"/>
  <c r="J7436" i="1"/>
  <c r="K7436" i="1"/>
  <c r="L7436" i="1"/>
  <c r="M7436" i="1"/>
  <c r="N7436" i="1"/>
  <c r="O7436" i="1"/>
  <c r="P7436" i="1"/>
  <c r="Q7436" i="1"/>
  <c r="R7436" i="1"/>
  <c r="S7436" i="1"/>
  <c r="T7436" i="1"/>
  <c r="U7436" i="1"/>
  <c r="V7436" i="1"/>
  <c r="W7436" i="1"/>
  <c r="X7436" i="1"/>
  <c r="Y7436" i="1"/>
  <c r="Z7436" i="1"/>
  <c r="A7437" i="1"/>
  <c r="B7437" i="1"/>
  <c r="C7437" i="1"/>
  <c r="D7437" i="1"/>
  <c r="E7437" i="1"/>
  <c r="F7437" i="1"/>
  <c r="G7437" i="1"/>
  <c r="I7437" i="1"/>
  <c r="J7437" i="1"/>
  <c r="K7437" i="1"/>
  <c r="L7437" i="1"/>
  <c r="M7437" i="1"/>
  <c r="N7437" i="1"/>
  <c r="O7437" i="1"/>
  <c r="P7437" i="1"/>
  <c r="Q7437" i="1"/>
  <c r="R7437" i="1"/>
  <c r="S7437" i="1"/>
  <c r="T7437" i="1"/>
  <c r="U7437" i="1"/>
  <c r="V7437" i="1"/>
  <c r="W7437" i="1"/>
  <c r="X7437" i="1"/>
  <c r="Y7437" i="1"/>
  <c r="Z7437" i="1"/>
  <c r="A7438" i="1"/>
  <c r="B7438" i="1"/>
  <c r="C7438" i="1"/>
  <c r="D7438" i="1"/>
  <c r="E7438" i="1"/>
  <c r="F7438" i="1"/>
  <c r="G7438" i="1"/>
  <c r="I7438" i="1"/>
  <c r="J7438" i="1"/>
  <c r="K7438" i="1"/>
  <c r="L7438" i="1"/>
  <c r="M7438" i="1"/>
  <c r="N7438" i="1"/>
  <c r="O7438" i="1"/>
  <c r="P7438" i="1"/>
  <c r="Q7438" i="1"/>
  <c r="R7438" i="1"/>
  <c r="S7438" i="1"/>
  <c r="T7438" i="1"/>
  <c r="U7438" i="1"/>
  <c r="V7438" i="1"/>
  <c r="W7438" i="1"/>
  <c r="X7438" i="1"/>
  <c r="Y7438" i="1"/>
  <c r="Z7438" i="1"/>
  <c r="A7439" i="1"/>
  <c r="B7439" i="1"/>
  <c r="C7439" i="1"/>
  <c r="D7439" i="1"/>
  <c r="E7439" i="1"/>
  <c r="F7439" i="1"/>
  <c r="G7439" i="1"/>
  <c r="I7439" i="1"/>
  <c r="J7439" i="1"/>
  <c r="K7439" i="1"/>
  <c r="L7439" i="1"/>
  <c r="M7439" i="1"/>
  <c r="N7439" i="1"/>
  <c r="O7439" i="1"/>
  <c r="P7439" i="1"/>
  <c r="Q7439" i="1"/>
  <c r="R7439" i="1"/>
  <c r="S7439" i="1"/>
  <c r="T7439" i="1"/>
  <c r="U7439" i="1"/>
  <c r="V7439" i="1"/>
  <c r="W7439" i="1"/>
  <c r="X7439" i="1"/>
  <c r="Y7439" i="1"/>
  <c r="Z7439" i="1"/>
  <c r="A7440" i="1"/>
  <c r="B7440" i="1"/>
  <c r="C7440" i="1"/>
  <c r="D7440" i="1"/>
  <c r="E7440" i="1"/>
  <c r="F7440" i="1"/>
  <c r="G7440" i="1"/>
  <c r="I7440" i="1"/>
  <c r="J7440" i="1"/>
  <c r="K7440" i="1"/>
  <c r="L7440" i="1"/>
  <c r="M7440" i="1"/>
  <c r="N7440" i="1"/>
  <c r="O7440" i="1"/>
  <c r="P7440" i="1"/>
  <c r="Q7440" i="1"/>
  <c r="R7440" i="1"/>
  <c r="S7440" i="1"/>
  <c r="T7440" i="1"/>
  <c r="U7440" i="1"/>
  <c r="V7440" i="1"/>
  <c r="W7440" i="1"/>
  <c r="X7440" i="1"/>
  <c r="Y7440" i="1"/>
  <c r="Z7440" i="1"/>
  <c r="A7441" i="1"/>
  <c r="B7441" i="1"/>
  <c r="C7441" i="1"/>
  <c r="D7441" i="1"/>
  <c r="E7441" i="1"/>
  <c r="F7441" i="1"/>
  <c r="G7441" i="1"/>
  <c r="I7441" i="1"/>
  <c r="J7441" i="1"/>
  <c r="K7441" i="1"/>
  <c r="L7441" i="1"/>
  <c r="M7441" i="1"/>
  <c r="N7441" i="1"/>
  <c r="O7441" i="1"/>
  <c r="P7441" i="1"/>
  <c r="Q7441" i="1"/>
  <c r="R7441" i="1"/>
  <c r="S7441" i="1"/>
  <c r="T7441" i="1"/>
  <c r="U7441" i="1"/>
  <c r="V7441" i="1"/>
  <c r="W7441" i="1"/>
  <c r="X7441" i="1"/>
  <c r="Y7441" i="1"/>
  <c r="Z7441" i="1"/>
  <c r="A7442" i="1"/>
  <c r="B7442" i="1"/>
  <c r="C7442" i="1"/>
  <c r="D7442" i="1"/>
  <c r="E7442" i="1"/>
  <c r="F7442" i="1"/>
  <c r="G7442" i="1"/>
  <c r="I7442" i="1"/>
  <c r="J7442" i="1"/>
  <c r="K7442" i="1"/>
  <c r="L7442" i="1"/>
  <c r="M7442" i="1"/>
  <c r="N7442" i="1"/>
  <c r="O7442" i="1"/>
  <c r="P7442" i="1"/>
  <c r="Q7442" i="1"/>
  <c r="R7442" i="1"/>
  <c r="S7442" i="1"/>
  <c r="T7442" i="1"/>
  <c r="U7442" i="1"/>
  <c r="V7442" i="1"/>
  <c r="W7442" i="1"/>
  <c r="X7442" i="1"/>
  <c r="Y7442" i="1"/>
  <c r="Z7442" i="1"/>
  <c r="A7443" i="1"/>
  <c r="B7443" i="1"/>
  <c r="C7443" i="1"/>
  <c r="D7443" i="1"/>
  <c r="E7443" i="1"/>
  <c r="F7443" i="1"/>
  <c r="G7443" i="1"/>
  <c r="I7443" i="1"/>
  <c r="J7443" i="1"/>
  <c r="K7443" i="1"/>
  <c r="L7443" i="1"/>
  <c r="M7443" i="1"/>
  <c r="N7443" i="1"/>
  <c r="O7443" i="1"/>
  <c r="P7443" i="1"/>
  <c r="Q7443" i="1"/>
  <c r="R7443" i="1"/>
  <c r="S7443" i="1"/>
  <c r="T7443" i="1"/>
  <c r="U7443" i="1"/>
  <c r="V7443" i="1"/>
  <c r="W7443" i="1"/>
  <c r="X7443" i="1"/>
  <c r="Y7443" i="1"/>
  <c r="Z7443" i="1"/>
  <c r="A7444" i="1"/>
  <c r="B7444" i="1"/>
  <c r="C7444" i="1"/>
  <c r="D7444" i="1"/>
  <c r="E7444" i="1"/>
  <c r="F7444" i="1"/>
  <c r="G7444" i="1"/>
  <c r="I7444" i="1"/>
  <c r="J7444" i="1"/>
  <c r="K7444" i="1"/>
  <c r="L7444" i="1"/>
  <c r="M7444" i="1"/>
  <c r="N7444" i="1"/>
  <c r="O7444" i="1"/>
  <c r="P7444" i="1"/>
  <c r="Q7444" i="1"/>
  <c r="R7444" i="1"/>
  <c r="S7444" i="1"/>
  <c r="T7444" i="1"/>
  <c r="U7444" i="1"/>
  <c r="V7444" i="1"/>
  <c r="W7444" i="1"/>
  <c r="X7444" i="1"/>
  <c r="Y7444" i="1"/>
  <c r="Z7444" i="1"/>
  <c r="A7445" i="1"/>
  <c r="B7445" i="1"/>
  <c r="C7445" i="1"/>
  <c r="D7445" i="1"/>
  <c r="E7445" i="1"/>
  <c r="F7445" i="1"/>
  <c r="G7445" i="1"/>
  <c r="I7445" i="1"/>
  <c r="J7445" i="1"/>
  <c r="K7445" i="1"/>
  <c r="L7445" i="1"/>
  <c r="M7445" i="1"/>
  <c r="N7445" i="1"/>
  <c r="O7445" i="1"/>
  <c r="P7445" i="1"/>
  <c r="Q7445" i="1"/>
  <c r="R7445" i="1"/>
  <c r="S7445" i="1"/>
  <c r="T7445" i="1"/>
  <c r="U7445" i="1"/>
  <c r="V7445" i="1"/>
  <c r="W7445" i="1"/>
  <c r="X7445" i="1"/>
  <c r="Y7445" i="1"/>
  <c r="Z7445" i="1"/>
  <c r="A7446" i="1"/>
  <c r="B7446" i="1"/>
  <c r="C7446" i="1"/>
  <c r="D7446" i="1"/>
  <c r="E7446" i="1"/>
  <c r="F7446" i="1"/>
  <c r="G7446" i="1"/>
  <c r="I7446" i="1"/>
  <c r="J7446" i="1"/>
  <c r="K7446" i="1"/>
  <c r="L7446" i="1"/>
  <c r="M7446" i="1"/>
  <c r="N7446" i="1"/>
  <c r="O7446" i="1"/>
  <c r="P7446" i="1"/>
  <c r="Q7446" i="1"/>
  <c r="R7446" i="1"/>
  <c r="S7446" i="1"/>
  <c r="T7446" i="1"/>
  <c r="U7446" i="1"/>
  <c r="V7446" i="1"/>
  <c r="W7446" i="1"/>
  <c r="X7446" i="1"/>
  <c r="Y7446" i="1"/>
  <c r="Z7446" i="1"/>
  <c r="A7447" i="1"/>
  <c r="B7447" i="1"/>
  <c r="C7447" i="1"/>
  <c r="D7447" i="1"/>
  <c r="E7447" i="1"/>
  <c r="F7447" i="1"/>
  <c r="G7447" i="1"/>
  <c r="I7447" i="1"/>
  <c r="J7447" i="1"/>
  <c r="K7447" i="1"/>
  <c r="L7447" i="1"/>
  <c r="M7447" i="1"/>
  <c r="N7447" i="1"/>
  <c r="O7447" i="1"/>
  <c r="P7447" i="1"/>
  <c r="Q7447" i="1"/>
  <c r="R7447" i="1"/>
  <c r="S7447" i="1"/>
  <c r="T7447" i="1"/>
  <c r="U7447" i="1"/>
  <c r="V7447" i="1"/>
  <c r="W7447" i="1"/>
  <c r="X7447" i="1"/>
  <c r="Y7447" i="1"/>
  <c r="Z7447" i="1"/>
  <c r="A7448" i="1"/>
  <c r="B7448" i="1"/>
  <c r="C7448" i="1"/>
  <c r="D7448" i="1"/>
  <c r="E7448" i="1"/>
  <c r="F7448" i="1"/>
  <c r="G7448" i="1"/>
  <c r="I7448" i="1"/>
  <c r="J7448" i="1"/>
  <c r="K7448" i="1"/>
  <c r="L7448" i="1"/>
  <c r="M7448" i="1"/>
  <c r="N7448" i="1"/>
  <c r="O7448" i="1"/>
  <c r="P7448" i="1"/>
  <c r="Q7448" i="1"/>
  <c r="R7448" i="1"/>
  <c r="S7448" i="1"/>
  <c r="T7448" i="1"/>
  <c r="U7448" i="1"/>
  <c r="V7448" i="1"/>
  <c r="W7448" i="1"/>
  <c r="X7448" i="1"/>
  <c r="Y7448" i="1"/>
  <c r="Z7448" i="1"/>
  <c r="A7449" i="1"/>
  <c r="B7449" i="1"/>
  <c r="C7449" i="1"/>
  <c r="D7449" i="1"/>
  <c r="E7449" i="1"/>
  <c r="F7449" i="1"/>
  <c r="G7449" i="1"/>
  <c r="I7449" i="1"/>
  <c r="J7449" i="1"/>
  <c r="K7449" i="1"/>
  <c r="L7449" i="1"/>
  <c r="M7449" i="1"/>
  <c r="N7449" i="1"/>
  <c r="O7449" i="1"/>
  <c r="P7449" i="1"/>
  <c r="Q7449" i="1"/>
  <c r="R7449" i="1"/>
  <c r="S7449" i="1"/>
  <c r="T7449" i="1"/>
  <c r="U7449" i="1"/>
  <c r="V7449" i="1"/>
  <c r="W7449" i="1"/>
  <c r="X7449" i="1"/>
  <c r="Y7449" i="1"/>
  <c r="Z7449" i="1"/>
  <c r="A7450" i="1"/>
  <c r="B7450" i="1"/>
  <c r="C7450" i="1"/>
  <c r="D7450" i="1"/>
  <c r="E7450" i="1"/>
  <c r="F7450" i="1"/>
  <c r="G7450" i="1"/>
  <c r="I7450" i="1"/>
  <c r="J7450" i="1"/>
  <c r="K7450" i="1"/>
  <c r="L7450" i="1"/>
  <c r="M7450" i="1"/>
  <c r="N7450" i="1"/>
  <c r="O7450" i="1"/>
  <c r="P7450" i="1"/>
  <c r="Q7450" i="1"/>
  <c r="R7450" i="1"/>
  <c r="S7450" i="1"/>
  <c r="T7450" i="1"/>
  <c r="U7450" i="1"/>
  <c r="V7450" i="1"/>
  <c r="W7450" i="1"/>
  <c r="X7450" i="1"/>
  <c r="Y7450" i="1"/>
  <c r="Z7450" i="1"/>
  <c r="A7451" i="1"/>
  <c r="B7451" i="1"/>
  <c r="C7451" i="1"/>
  <c r="D7451" i="1"/>
  <c r="E7451" i="1"/>
  <c r="F7451" i="1"/>
  <c r="G7451" i="1"/>
  <c r="I7451" i="1"/>
  <c r="J7451" i="1"/>
  <c r="K7451" i="1"/>
  <c r="L7451" i="1"/>
  <c r="M7451" i="1"/>
  <c r="N7451" i="1"/>
  <c r="O7451" i="1"/>
  <c r="P7451" i="1"/>
  <c r="Q7451" i="1"/>
  <c r="R7451" i="1"/>
  <c r="S7451" i="1"/>
  <c r="T7451" i="1"/>
  <c r="U7451" i="1"/>
  <c r="V7451" i="1"/>
  <c r="W7451" i="1"/>
  <c r="X7451" i="1"/>
  <c r="Y7451" i="1"/>
  <c r="Z7451" i="1"/>
  <c r="A7452" i="1"/>
  <c r="B7452" i="1"/>
  <c r="C7452" i="1"/>
  <c r="D7452" i="1"/>
  <c r="E7452" i="1"/>
  <c r="F7452" i="1"/>
  <c r="G7452" i="1"/>
  <c r="I7452" i="1"/>
  <c r="J7452" i="1"/>
  <c r="K7452" i="1"/>
  <c r="L7452" i="1"/>
  <c r="M7452" i="1"/>
  <c r="N7452" i="1"/>
  <c r="O7452" i="1"/>
  <c r="P7452" i="1"/>
  <c r="Q7452" i="1"/>
  <c r="R7452" i="1"/>
  <c r="S7452" i="1"/>
  <c r="T7452" i="1"/>
  <c r="U7452" i="1"/>
  <c r="V7452" i="1"/>
  <c r="W7452" i="1"/>
  <c r="X7452" i="1"/>
  <c r="Y7452" i="1"/>
  <c r="Z7452" i="1"/>
  <c r="A7453" i="1"/>
  <c r="B7453" i="1"/>
  <c r="C7453" i="1"/>
  <c r="D7453" i="1"/>
  <c r="E7453" i="1"/>
  <c r="F7453" i="1"/>
  <c r="G7453" i="1"/>
  <c r="I7453" i="1"/>
  <c r="J7453" i="1"/>
  <c r="K7453" i="1"/>
  <c r="L7453" i="1"/>
  <c r="M7453" i="1"/>
  <c r="N7453" i="1"/>
  <c r="O7453" i="1"/>
  <c r="P7453" i="1"/>
  <c r="Q7453" i="1"/>
  <c r="R7453" i="1"/>
  <c r="S7453" i="1"/>
  <c r="T7453" i="1"/>
  <c r="U7453" i="1"/>
  <c r="V7453" i="1"/>
  <c r="W7453" i="1"/>
  <c r="X7453" i="1"/>
  <c r="Y7453" i="1"/>
  <c r="Z7453" i="1"/>
  <c r="A7454" i="1"/>
  <c r="B7454" i="1"/>
  <c r="C7454" i="1"/>
  <c r="D7454" i="1"/>
  <c r="E7454" i="1"/>
  <c r="F7454" i="1"/>
  <c r="G7454" i="1"/>
  <c r="I7454" i="1"/>
  <c r="J7454" i="1"/>
  <c r="K7454" i="1"/>
  <c r="L7454" i="1"/>
  <c r="M7454" i="1"/>
  <c r="N7454" i="1"/>
  <c r="O7454" i="1"/>
  <c r="P7454" i="1"/>
  <c r="Q7454" i="1"/>
  <c r="R7454" i="1"/>
  <c r="S7454" i="1"/>
  <c r="T7454" i="1"/>
  <c r="U7454" i="1"/>
  <c r="V7454" i="1"/>
  <c r="W7454" i="1"/>
  <c r="X7454" i="1"/>
  <c r="Y7454" i="1"/>
  <c r="Z7454" i="1"/>
  <c r="A7455" i="1"/>
  <c r="B7455" i="1"/>
  <c r="C7455" i="1"/>
  <c r="D7455" i="1"/>
  <c r="E7455" i="1"/>
  <c r="F7455" i="1"/>
  <c r="G7455" i="1"/>
  <c r="I7455" i="1"/>
  <c r="J7455" i="1"/>
  <c r="K7455" i="1"/>
  <c r="L7455" i="1"/>
  <c r="M7455" i="1"/>
  <c r="N7455" i="1"/>
  <c r="O7455" i="1"/>
  <c r="P7455" i="1"/>
  <c r="Q7455" i="1"/>
  <c r="R7455" i="1"/>
  <c r="S7455" i="1"/>
  <c r="T7455" i="1"/>
  <c r="U7455" i="1"/>
  <c r="V7455" i="1"/>
  <c r="W7455" i="1"/>
  <c r="X7455" i="1"/>
  <c r="Y7455" i="1"/>
  <c r="Z7455" i="1"/>
  <c r="A7456" i="1"/>
  <c r="B7456" i="1"/>
  <c r="C7456" i="1"/>
  <c r="D7456" i="1"/>
  <c r="E7456" i="1"/>
  <c r="F7456" i="1"/>
  <c r="G7456" i="1"/>
  <c r="I7456" i="1"/>
  <c r="J7456" i="1"/>
  <c r="K7456" i="1"/>
  <c r="L7456" i="1"/>
  <c r="M7456" i="1"/>
  <c r="N7456" i="1"/>
  <c r="O7456" i="1"/>
  <c r="P7456" i="1"/>
  <c r="Q7456" i="1"/>
  <c r="R7456" i="1"/>
  <c r="S7456" i="1"/>
  <c r="T7456" i="1"/>
  <c r="U7456" i="1"/>
  <c r="V7456" i="1"/>
  <c r="W7456" i="1"/>
  <c r="X7456" i="1"/>
  <c r="Y7456" i="1"/>
  <c r="Z7456" i="1"/>
  <c r="A7457" i="1"/>
  <c r="B7457" i="1"/>
  <c r="C7457" i="1"/>
  <c r="D7457" i="1"/>
  <c r="E7457" i="1"/>
  <c r="F7457" i="1"/>
  <c r="G7457" i="1"/>
  <c r="I7457" i="1"/>
  <c r="J7457" i="1"/>
  <c r="K7457" i="1"/>
  <c r="L7457" i="1"/>
  <c r="M7457" i="1"/>
  <c r="N7457" i="1"/>
  <c r="O7457" i="1"/>
  <c r="P7457" i="1"/>
  <c r="Q7457" i="1"/>
  <c r="R7457" i="1"/>
  <c r="S7457" i="1"/>
  <c r="T7457" i="1"/>
  <c r="U7457" i="1"/>
  <c r="V7457" i="1"/>
  <c r="W7457" i="1"/>
  <c r="X7457" i="1"/>
  <c r="Y7457" i="1"/>
  <c r="Z7457" i="1"/>
  <c r="A7458" i="1"/>
  <c r="B7458" i="1"/>
  <c r="C7458" i="1"/>
  <c r="D7458" i="1"/>
  <c r="E7458" i="1"/>
  <c r="F7458" i="1"/>
  <c r="G7458" i="1"/>
  <c r="I7458" i="1"/>
  <c r="J7458" i="1"/>
  <c r="K7458" i="1"/>
  <c r="L7458" i="1"/>
  <c r="M7458" i="1"/>
  <c r="N7458" i="1"/>
  <c r="O7458" i="1"/>
  <c r="P7458" i="1"/>
  <c r="Q7458" i="1"/>
  <c r="R7458" i="1"/>
  <c r="S7458" i="1"/>
  <c r="T7458" i="1"/>
  <c r="U7458" i="1"/>
  <c r="V7458" i="1"/>
  <c r="W7458" i="1"/>
  <c r="X7458" i="1"/>
  <c r="Y7458" i="1"/>
  <c r="Z7458" i="1"/>
  <c r="A7459" i="1"/>
  <c r="B7459" i="1"/>
  <c r="C7459" i="1"/>
  <c r="D7459" i="1"/>
  <c r="E7459" i="1"/>
  <c r="F7459" i="1"/>
  <c r="G7459" i="1"/>
  <c r="I7459" i="1"/>
  <c r="J7459" i="1"/>
  <c r="K7459" i="1"/>
  <c r="L7459" i="1"/>
  <c r="M7459" i="1"/>
  <c r="N7459" i="1"/>
  <c r="O7459" i="1"/>
  <c r="P7459" i="1"/>
  <c r="Q7459" i="1"/>
  <c r="R7459" i="1"/>
  <c r="S7459" i="1"/>
  <c r="T7459" i="1"/>
  <c r="U7459" i="1"/>
  <c r="V7459" i="1"/>
  <c r="W7459" i="1"/>
  <c r="X7459" i="1"/>
  <c r="Y7459" i="1"/>
  <c r="Z7459" i="1"/>
  <c r="A7460" i="1"/>
  <c r="B7460" i="1"/>
  <c r="C7460" i="1"/>
  <c r="D7460" i="1"/>
  <c r="E7460" i="1"/>
  <c r="F7460" i="1"/>
  <c r="G7460" i="1"/>
  <c r="I7460" i="1"/>
  <c r="J7460" i="1"/>
  <c r="K7460" i="1"/>
  <c r="L7460" i="1"/>
  <c r="M7460" i="1"/>
  <c r="N7460" i="1"/>
  <c r="O7460" i="1"/>
  <c r="P7460" i="1"/>
  <c r="Q7460" i="1"/>
  <c r="R7460" i="1"/>
  <c r="S7460" i="1"/>
  <c r="T7460" i="1"/>
  <c r="U7460" i="1"/>
  <c r="V7460" i="1"/>
  <c r="W7460" i="1"/>
  <c r="X7460" i="1"/>
  <c r="Y7460" i="1"/>
  <c r="Z7460" i="1"/>
  <c r="A7461" i="1"/>
  <c r="B7461" i="1"/>
  <c r="C7461" i="1"/>
  <c r="D7461" i="1"/>
  <c r="E7461" i="1"/>
  <c r="F7461" i="1"/>
  <c r="G7461" i="1"/>
  <c r="I7461" i="1"/>
  <c r="J7461" i="1"/>
  <c r="K7461" i="1"/>
  <c r="L7461" i="1"/>
  <c r="M7461" i="1"/>
  <c r="N7461" i="1"/>
  <c r="O7461" i="1"/>
  <c r="P7461" i="1"/>
  <c r="Q7461" i="1"/>
  <c r="R7461" i="1"/>
  <c r="S7461" i="1"/>
  <c r="T7461" i="1"/>
  <c r="U7461" i="1"/>
  <c r="V7461" i="1"/>
  <c r="W7461" i="1"/>
  <c r="X7461" i="1"/>
  <c r="Y7461" i="1"/>
  <c r="Z7461" i="1"/>
  <c r="A7462" i="1"/>
  <c r="B7462" i="1"/>
  <c r="C7462" i="1"/>
  <c r="D7462" i="1"/>
  <c r="E7462" i="1"/>
  <c r="F7462" i="1"/>
  <c r="G7462" i="1"/>
  <c r="I7462" i="1"/>
  <c r="J7462" i="1"/>
  <c r="K7462" i="1"/>
  <c r="L7462" i="1"/>
  <c r="M7462" i="1"/>
  <c r="N7462" i="1"/>
  <c r="O7462" i="1"/>
  <c r="P7462" i="1"/>
  <c r="Q7462" i="1"/>
  <c r="R7462" i="1"/>
  <c r="S7462" i="1"/>
  <c r="T7462" i="1"/>
  <c r="U7462" i="1"/>
  <c r="V7462" i="1"/>
  <c r="W7462" i="1"/>
  <c r="X7462" i="1"/>
  <c r="Y7462" i="1"/>
  <c r="Z7462" i="1"/>
  <c r="A7463" i="1"/>
  <c r="B7463" i="1"/>
  <c r="C7463" i="1"/>
  <c r="D7463" i="1"/>
  <c r="E7463" i="1"/>
  <c r="F7463" i="1"/>
  <c r="G7463" i="1"/>
  <c r="I7463" i="1"/>
  <c r="J7463" i="1"/>
  <c r="K7463" i="1"/>
  <c r="L7463" i="1"/>
  <c r="M7463" i="1"/>
  <c r="N7463" i="1"/>
  <c r="O7463" i="1"/>
  <c r="P7463" i="1"/>
  <c r="Q7463" i="1"/>
  <c r="R7463" i="1"/>
  <c r="S7463" i="1"/>
  <c r="T7463" i="1"/>
  <c r="U7463" i="1"/>
  <c r="V7463" i="1"/>
  <c r="W7463" i="1"/>
  <c r="X7463" i="1"/>
  <c r="Y7463" i="1"/>
  <c r="Z7463" i="1"/>
  <c r="A7464" i="1"/>
  <c r="B7464" i="1"/>
  <c r="C7464" i="1"/>
  <c r="D7464" i="1"/>
  <c r="E7464" i="1"/>
  <c r="F7464" i="1"/>
  <c r="G7464" i="1"/>
  <c r="I7464" i="1"/>
  <c r="J7464" i="1"/>
  <c r="K7464" i="1"/>
  <c r="L7464" i="1"/>
  <c r="M7464" i="1"/>
  <c r="N7464" i="1"/>
  <c r="O7464" i="1"/>
  <c r="P7464" i="1"/>
  <c r="Q7464" i="1"/>
  <c r="R7464" i="1"/>
  <c r="S7464" i="1"/>
  <c r="T7464" i="1"/>
  <c r="U7464" i="1"/>
  <c r="V7464" i="1"/>
  <c r="W7464" i="1"/>
  <c r="X7464" i="1"/>
  <c r="Y7464" i="1"/>
  <c r="Z7464" i="1"/>
  <c r="A7465" i="1"/>
  <c r="B7465" i="1"/>
  <c r="C7465" i="1"/>
  <c r="D7465" i="1"/>
  <c r="E7465" i="1"/>
  <c r="F7465" i="1"/>
  <c r="G7465" i="1"/>
  <c r="I7465" i="1"/>
  <c r="J7465" i="1"/>
  <c r="K7465" i="1"/>
  <c r="L7465" i="1"/>
  <c r="M7465" i="1"/>
  <c r="N7465" i="1"/>
  <c r="O7465" i="1"/>
  <c r="P7465" i="1"/>
  <c r="Q7465" i="1"/>
  <c r="R7465" i="1"/>
  <c r="S7465" i="1"/>
  <c r="T7465" i="1"/>
  <c r="U7465" i="1"/>
  <c r="V7465" i="1"/>
  <c r="W7465" i="1"/>
  <c r="X7465" i="1"/>
  <c r="Y7465" i="1"/>
  <c r="Z7465" i="1"/>
  <c r="A7466" i="1"/>
  <c r="B7466" i="1"/>
  <c r="C7466" i="1"/>
  <c r="D7466" i="1"/>
  <c r="E7466" i="1"/>
  <c r="F7466" i="1"/>
  <c r="G7466" i="1"/>
  <c r="I7466" i="1"/>
  <c r="J7466" i="1"/>
  <c r="K7466" i="1"/>
  <c r="L7466" i="1"/>
  <c r="M7466" i="1"/>
  <c r="N7466" i="1"/>
  <c r="O7466" i="1"/>
  <c r="P7466" i="1"/>
  <c r="Q7466" i="1"/>
  <c r="R7466" i="1"/>
  <c r="S7466" i="1"/>
  <c r="T7466" i="1"/>
  <c r="U7466" i="1"/>
  <c r="V7466" i="1"/>
  <c r="W7466" i="1"/>
  <c r="X7466" i="1"/>
  <c r="Y7466" i="1"/>
  <c r="Z7466" i="1"/>
  <c r="A7467" i="1"/>
  <c r="B7467" i="1"/>
  <c r="C7467" i="1"/>
  <c r="D7467" i="1"/>
  <c r="E7467" i="1"/>
  <c r="F7467" i="1"/>
  <c r="G7467" i="1"/>
  <c r="I7467" i="1"/>
  <c r="J7467" i="1"/>
  <c r="K7467" i="1"/>
  <c r="L7467" i="1"/>
  <c r="M7467" i="1"/>
  <c r="N7467" i="1"/>
  <c r="O7467" i="1"/>
  <c r="P7467" i="1"/>
  <c r="Q7467" i="1"/>
  <c r="R7467" i="1"/>
  <c r="S7467" i="1"/>
  <c r="T7467" i="1"/>
  <c r="U7467" i="1"/>
  <c r="V7467" i="1"/>
  <c r="W7467" i="1"/>
  <c r="X7467" i="1"/>
  <c r="Y7467" i="1"/>
  <c r="Z7467" i="1"/>
  <c r="A7468" i="1"/>
  <c r="B7468" i="1"/>
  <c r="C7468" i="1"/>
  <c r="D7468" i="1"/>
  <c r="E7468" i="1"/>
  <c r="F7468" i="1"/>
  <c r="G7468" i="1"/>
  <c r="I7468" i="1"/>
  <c r="J7468" i="1"/>
  <c r="K7468" i="1"/>
  <c r="L7468" i="1"/>
  <c r="M7468" i="1"/>
  <c r="N7468" i="1"/>
  <c r="O7468" i="1"/>
  <c r="P7468" i="1"/>
  <c r="Q7468" i="1"/>
  <c r="R7468" i="1"/>
  <c r="S7468" i="1"/>
  <c r="T7468" i="1"/>
  <c r="U7468" i="1"/>
  <c r="V7468" i="1"/>
  <c r="W7468" i="1"/>
  <c r="X7468" i="1"/>
  <c r="Y7468" i="1"/>
  <c r="Z7468" i="1"/>
  <c r="A7469" i="1"/>
  <c r="B7469" i="1"/>
  <c r="C7469" i="1"/>
  <c r="D7469" i="1"/>
  <c r="E7469" i="1"/>
  <c r="F7469" i="1"/>
  <c r="G7469" i="1"/>
  <c r="I7469" i="1"/>
  <c r="J7469" i="1"/>
  <c r="K7469" i="1"/>
  <c r="L7469" i="1"/>
  <c r="M7469" i="1"/>
  <c r="N7469" i="1"/>
  <c r="O7469" i="1"/>
  <c r="P7469" i="1"/>
  <c r="Q7469" i="1"/>
  <c r="R7469" i="1"/>
  <c r="S7469" i="1"/>
  <c r="T7469" i="1"/>
  <c r="U7469" i="1"/>
  <c r="V7469" i="1"/>
  <c r="W7469" i="1"/>
  <c r="X7469" i="1"/>
  <c r="Y7469" i="1"/>
  <c r="Z7469" i="1"/>
  <c r="A7470" i="1"/>
  <c r="B7470" i="1"/>
  <c r="C7470" i="1"/>
  <c r="D7470" i="1"/>
  <c r="E7470" i="1"/>
  <c r="F7470" i="1"/>
  <c r="G7470" i="1"/>
  <c r="I7470" i="1"/>
  <c r="J7470" i="1"/>
  <c r="K7470" i="1"/>
  <c r="L7470" i="1"/>
  <c r="M7470" i="1"/>
  <c r="N7470" i="1"/>
  <c r="O7470" i="1"/>
  <c r="P7470" i="1"/>
  <c r="Q7470" i="1"/>
  <c r="R7470" i="1"/>
  <c r="S7470" i="1"/>
  <c r="T7470" i="1"/>
  <c r="U7470" i="1"/>
  <c r="V7470" i="1"/>
  <c r="W7470" i="1"/>
  <c r="X7470" i="1"/>
  <c r="Y7470" i="1"/>
  <c r="Z7470" i="1"/>
  <c r="A7471" i="1"/>
  <c r="B7471" i="1"/>
  <c r="C7471" i="1"/>
  <c r="D7471" i="1"/>
  <c r="E7471" i="1"/>
  <c r="F7471" i="1"/>
  <c r="G7471" i="1"/>
  <c r="I7471" i="1"/>
  <c r="J7471" i="1"/>
  <c r="K7471" i="1"/>
  <c r="L7471" i="1"/>
  <c r="M7471" i="1"/>
  <c r="N7471" i="1"/>
  <c r="O7471" i="1"/>
  <c r="P7471" i="1"/>
  <c r="Q7471" i="1"/>
  <c r="R7471" i="1"/>
  <c r="S7471" i="1"/>
  <c r="T7471" i="1"/>
  <c r="U7471" i="1"/>
  <c r="V7471" i="1"/>
  <c r="W7471" i="1"/>
  <c r="X7471" i="1"/>
  <c r="Y7471" i="1"/>
  <c r="Z7471" i="1"/>
  <c r="A7472" i="1"/>
  <c r="B7472" i="1"/>
  <c r="C7472" i="1"/>
  <c r="D7472" i="1"/>
  <c r="E7472" i="1"/>
  <c r="F7472" i="1"/>
  <c r="G7472" i="1"/>
  <c r="I7472" i="1"/>
  <c r="J7472" i="1"/>
  <c r="K7472" i="1"/>
  <c r="L7472" i="1"/>
  <c r="M7472" i="1"/>
  <c r="N7472" i="1"/>
  <c r="O7472" i="1"/>
  <c r="P7472" i="1"/>
  <c r="Q7472" i="1"/>
  <c r="R7472" i="1"/>
  <c r="S7472" i="1"/>
  <c r="T7472" i="1"/>
  <c r="U7472" i="1"/>
  <c r="V7472" i="1"/>
  <c r="W7472" i="1"/>
  <c r="X7472" i="1"/>
  <c r="Y7472" i="1"/>
  <c r="Z7472" i="1"/>
  <c r="A7473" i="1"/>
  <c r="B7473" i="1"/>
  <c r="C7473" i="1"/>
  <c r="D7473" i="1"/>
  <c r="E7473" i="1"/>
  <c r="F7473" i="1"/>
  <c r="G7473" i="1"/>
  <c r="I7473" i="1"/>
  <c r="J7473" i="1"/>
  <c r="K7473" i="1"/>
  <c r="L7473" i="1"/>
  <c r="M7473" i="1"/>
  <c r="N7473" i="1"/>
  <c r="O7473" i="1"/>
  <c r="P7473" i="1"/>
  <c r="Q7473" i="1"/>
  <c r="R7473" i="1"/>
  <c r="S7473" i="1"/>
  <c r="T7473" i="1"/>
  <c r="U7473" i="1"/>
  <c r="V7473" i="1"/>
  <c r="W7473" i="1"/>
  <c r="X7473" i="1"/>
  <c r="Y7473" i="1"/>
  <c r="Z7473" i="1"/>
  <c r="A7474" i="1"/>
  <c r="B7474" i="1"/>
  <c r="C7474" i="1"/>
  <c r="D7474" i="1"/>
  <c r="E7474" i="1"/>
  <c r="F7474" i="1"/>
  <c r="G7474" i="1"/>
  <c r="I7474" i="1"/>
  <c r="J7474" i="1"/>
  <c r="K7474" i="1"/>
  <c r="L7474" i="1"/>
  <c r="M7474" i="1"/>
  <c r="N7474" i="1"/>
  <c r="O7474" i="1"/>
  <c r="P7474" i="1"/>
  <c r="Q7474" i="1"/>
  <c r="R7474" i="1"/>
  <c r="S7474" i="1"/>
  <c r="T7474" i="1"/>
  <c r="U7474" i="1"/>
  <c r="V7474" i="1"/>
  <c r="W7474" i="1"/>
  <c r="X7474" i="1"/>
  <c r="Y7474" i="1"/>
  <c r="Z7474" i="1"/>
  <c r="A7475" i="1"/>
  <c r="B7475" i="1"/>
  <c r="C7475" i="1"/>
  <c r="D7475" i="1"/>
  <c r="E7475" i="1"/>
  <c r="F7475" i="1"/>
  <c r="G7475" i="1"/>
  <c r="I7475" i="1"/>
  <c r="J7475" i="1"/>
  <c r="K7475" i="1"/>
  <c r="L7475" i="1"/>
  <c r="M7475" i="1"/>
  <c r="N7475" i="1"/>
  <c r="O7475" i="1"/>
  <c r="P7475" i="1"/>
  <c r="Q7475" i="1"/>
  <c r="R7475" i="1"/>
  <c r="S7475" i="1"/>
  <c r="T7475" i="1"/>
  <c r="U7475" i="1"/>
  <c r="V7475" i="1"/>
  <c r="W7475" i="1"/>
  <c r="X7475" i="1"/>
  <c r="Y7475" i="1"/>
  <c r="Z7475" i="1"/>
  <c r="A7476" i="1"/>
  <c r="B7476" i="1"/>
  <c r="C7476" i="1"/>
  <c r="D7476" i="1"/>
  <c r="E7476" i="1"/>
  <c r="F7476" i="1"/>
  <c r="G7476" i="1"/>
  <c r="I7476" i="1"/>
  <c r="J7476" i="1"/>
  <c r="K7476" i="1"/>
  <c r="L7476" i="1"/>
  <c r="M7476" i="1"/>
  <c r="N7476" i="1"/>
  <c r="O7476" i="1"/>
  <c r="P7476" i="1"/>
  <c r="Q7476" i="1"/>
  <c r="R7476" i="1"/>
  <c r="S7476" i="1"/>
  <c r="T7476" i="1"/>
  <c r="U7476" i="1"/>
  <c r="V7476" i="1"/>
  <c r="W7476" i="1"/>
  <c r="X7476" i="1"/>
  <c r="Y7476" i="1"/>
  <c r="Z7476" i="1"/>
  <c r="A7477" i="1"/>
  <c r="B7477" i="1"/>
  <c r="C7477" i="1"/>
  <c r="D7477" i="1"/>
  <c r="E7477" i="1"/>
  <c r="F7477" i="1"/>
  <c r="G7477" i="1"/>
  <c r="I7477" i="1"/>
  <c r="J7477" i="1"/>
  <c r="K7477" i="1"/>
  <c r="L7477" i="1"/>
  <c r="M7477" i="1"/>
  <c r="N7477" i="1"/>
  <c r="O7477" i="1"/>
  <c r="P7477" i="1"/>
  <c r="Q7477" i="1"/>
  <c r="R7477" i="1"/>
  <c r="S7477" i="1"/>
  <c r="T7477" i="1"/>
  <c r="U7477" i="1"/>
  <c r="V7477" i="1"/>
  <c r="W7477" i="1"/>
  <c r="X7477" i="1"/>
  <c r="Y7477" i="1"/>
  <c r="Z7477" i="1"/>
  <c r="A7478" i="1"/>
  <c r="B7478" i="1"/>
  <c r="C7478" i="1"/>
  <c r="D7478" i="1"/>
  <c r="E7478" i="1"/>
  <c r="F7478" i="1"/>
  <c r="G7478" i="1"/>
  <c r="I7478" i="1"/>
  <c r="J7478" i="1"/>
  <c r="K7478" i="1"/>
  <c r="L7478" i="1"/>
  <c r="M7478" i="1"/>
  <c r="N7478" i="1"/>
  <c r="O7478" i="1"/>
  <c r="P7478" i="1"/>
  <c r="Q7478" i="1"/>
  <c r="R7478" i="1"/>
  <c r="S7478" i="1"/>
  <c r="T7478" i="1"/>
  <c r="U7478" i="1"/>
  <c r="V7478" i="1"/>
  <c r="W7478" i="1"/>
  <c r="X7478" i="1"/>
  <c r="Y7478" i="1"/>
  <c r="Z7478" i="1"/>
  <c r="A7479" i="1"/>
  <c r="B7479" i="1"/>
  <c r="C7479" i="1"/>
  <c r="D7479" i="1"/>
  <c r="E7479" i="1"/>
  <c r="F7479" i="1"/>
  <c r="G7479" i="1"/>
  <c r="I7479" i="1"/>
  <c r="J7479" i="1"/>
  <c r="K7479" i="1"/>
  <c r="L7479" i="1"/>
  <c r="M7479" i="1"/>
  <c r="N7479" i="1"/>
  <c r="O7479" i="1"/>
  <c r="P7479" i="1"/>
  <c r="Q7479" i="1"/>
  <c r="R7479" i="1"/>
  <c r="S7479" i="1"/>
  <c r="T7479" i="1"/>
  <c r="U7479" i="1"/>
  <c r="V7479" i="1"/>
  <c r="W7479" i="1"/>
  <c r="X7479" i="1"/>
  <c r="Y7479" i="1"/>
  <c r="Z7479" i="1"/>
  <c r="A7480" i="1"/>
  <c r="B7480" i="1"/>
  <c r="C7480" i="1"/>
  <c r="D7480" i="1"/>
  <c r="E7480" i="1"/>
  <c r="F7480" i="1"/>
  <c r="G7480" i="1"/>
  <c r="I7480" i="1"/>
  <c r="J7480" i="1"/>
  <c r="K7480" i="1"/>
  <c r="L7480" i="1"/>
  <c r="M7480" i="1"/>
  <c r="N7480" i="1"/>
  <c r="O7480" i="1"/>
  <c r="P7480" i="1"/>
  <c r="Q7480" i="1"/>
  <c r="R7480" i="1"/>
  <c r="S7480" i="1"/>
  <c r="T7480" i="1"/>
  <c r="U7480" i="1"/>
  <c r="V7480" i="1"/>
  <c r="W7480" i="1"/>
  <c r="X7480" i="1"/>
  <c r="Y7480" i="1"/>
  <c r="Z7480" i="1"/>
  <c r="A7481" i="1"/>
  <c r="B7481" i="1"/>
  <c r="C7481" i="1"/>
  <c r="D7481" i="1"/>
  <c r="E7481" i="1"/>
  <c r="F7481" i="1"/>
  <c r="G7481" i="1"/>
  <c r="I7481" i="1"/>
  <c r="J7481" i="1"/>
  <c r="K7481" i="1"/>
  <c r="L7481" i="1"/>
  <c r="M7481" i="1"/>
  <c r="N7481" i="1"/>
  <c r="O7481" i="1"/>
  <c r="P7481" i="1"/>
  <c r="Q7481" i="1"/>
  <c r="R7481" i="1"/>
  <c r="S7481" i="1"/>
  <c r="T7481" i="1"/>
  <c r="U7481" i="1"/>
  <c r="V7481" i="1"/>
  <c r="W7481" i="1"/>
  <c r="X7481" i="1"/>
  <c r="Y7481" i="1"/>
  <c r="Z7481" i="1"/>
  <c r="A7482" i="1"/>
  <c r="B7482" i="1"/>
  <c r="C7482" i="1"/>
  <c r="D7482" i="1"/>
  <c r="E7482" i="1"/>
  <c r="F7482" i="1"/>
  <c r="G7482" i="1"/>
  <c r="I7482" i="1"/>
  <c r="J7482" i="1"/>
  <c r="K7482" i="1"/>
  <c r="L7482" i="1"/>
  <c r="M7482" i="1"/>
  <c r="N7482" i="1"/>
  <c r="O7482" i="1"/>
  <c r="P7482" i="1"/>
  <c r="Q7482" i="1"/>
  <c r="R7482" i="1"/>
  <c r="S7482" i="1"/>
  <c r="T7482" i="1"/>
  <c r="U7482" i="1"/>
  <c r="V7482" i="1"/>
  <c r="W7482" i="1"/>
  <c r="X7482" i="1"/>
  <c r="Y7482" i="1"/>
  <c r="Z7482" i="1"/>
  <c r="A7483" i="1"/>
  <c r="B7483" i="1"/>
  <c r="C7483" i="1"/>
  <c r="D7483" i="1"/>
  <c r="E7483" i="1"/>
  <c r="F7483" i="1"/>
  <c r="G7483" i="1"/>
  <c r="I7483" i="1"/>
  <c r="J7483" i="1"/>
  <c r="K7483" i="1"/>
  <c r="L7483" i="1"/>
  <c r="M7483" i="1"/>
  <c r="N7483" i="1"/>
  <c r="O7483" i="1"/>
  <c r="P7483" i="1"/>
  <c r="Q7483" i="1"/>
  <c r="R7483" i="1"/>
  <c r="S7483" i="1"/>
  <c r="T7483" i="1"/>
  <c r="U7483" i="1"/>
  <c r="V7483" i="1"/>
  <c r="W7483" i="1"/>
  <c r="X7483" i="1"/>
  <c r="Y7483" i="1"/>
  <c r="Z7483" i="1"/>
  <c r="A7484" i="1"/>
  <c r="B7484" i="1"/>
  <c r="C7484" i="1"/>
  <c r="D7484" i="1"/>
  <c r="E7484" i="1"/>
  <c r="F7484" i="1"/>
  <c r="G7484" i="1"/>
  <c r="I7484" i="1"/>
  <c r="J7484" i="1"/>
  <c r="K7484" i="1"/>
  <c r="L7484" i="1"/>
  <c r="M7484" i="1"/>
  <c r="N7484" i="1"/>
  <c r="O7484" i="1"/>
  <c r="P7484" i="1"/>
  <c r="Q7484" i="1"/>
  <c r="R7484" i="1"/>
  <c r="S7484" i="1"/>
  <c r="T7484" i="1"/>
  <c r="U7484" i="1"/>
  <c r="V7484" i="1"/>
  <c r="W7484" i="1"/>
  <c r="X7484" i="1"/>
  <c r="Y7484" i="1"/>
  <c r="Z7484" i="1"/>
  <c r="A7485" i="1"/>
  <c r="B7485" i="1"/>
  <c r="C7485" i="1"/>
  <c r="D7485" i="1"/>
  <c r="E7485" i="1"/>
  <c r="F7485" i="1"/>
  <c r="G7485" i="1"/>
  <c r="I7485" i="1"/>
  <c r="J7485" i="1"/>
  <c r="K7485" i="1"/>
  <c r="L7485" i="1"/>
  <c r="M7485" i="1"/>
  <c r="N7485" i="1"/>
  <c r="O7485" i="1"/>
  <c r="P7485" i="1"/>
  <c r="Q7485" i="1"/>
  <c r="R7485" i="1"/>
  <c r="S7485" i="1"/>
  <c r="T7485" i="1"/>
  <c r="U7485" i="1"/>
  <c r="V7485" i="1"/>
  <c r="W7485" i="1"/>
  <c r="X7485" i="1"/>
  <c r="Y7485" i="1"/>
  <c r="Z7485" i="1"/>
  <c r="A7486" i="1"/>
  <c r="B7486" i="1"/>
  <c r="C7486" i="1"/>
  <c r="D7486" i="1"/>
  <c r="E7486" i="1"/>
  <c r="F7486" i="1"/>
  <c r="G7486" i="1"/>
  <c r="I7486" i="1"/>
  <c r="J7486" i="1"/>
  <c r="K7486" i="1"/>
  <c r="L7486" i="1"/>
  <c r="M7486" i="1"/>
  <c r="N7486" i="1"/>
  <c r="O7486" i="1"/>
  <c r="P7486" i="1"/>
  <c r="Q7486" i="1"/>
  <c r="R7486" i="1"/>
  <c r="S7486" i="1"/>
  <c r="T7486" i="1"/>
  <c r="U7486" i="1"/>
  <c r="V7486" i="1"/>
  <c r="W7486" i="1"/>
  <c r="X7486" i="1"/>
  <c r="Y7486" i="1"/>
  <c r="Z7486" i="1"/>
  <c r="A7487" i="1"/>
  <c r="B7487" i="1"/>
  <c r="C7487" i="1"/>
  <c r="D7487" i="1"/>
  <c r="E7487" i="1"/>
  <c r="F7487" i="1"/>
  <c r="G7487" i="1"/>
  <c r="I7487" i="1"/>
  <c r="J7487" i="1"/>
  <c r="K7487" i="1"/>
  <c r="L7487" i="1"/>
  <c r="M7487" i="1"/>
  <c r="N7487" i="1"/>
  <c r="O7487" i="1"/>
  <c r="P7487" i="1"/>
  <c r="Q7487" i="1"/>
  <c r="R7487" i="1"/>
  <c r="S7487" i="1"/>
  <c r="T7487" i="1"/>
  <c r="U7487" i="1"/>
  <c r="V7487" i="1"/>
  <c r="W7487" i="1"/>
  <c r="X7487" i="1"/>
  <c r="Y7487" i="1"/>
  <c r="Z7487" i="1"/>
  <c r="A7488" i="1"/>
  <c r="B7488" i="1"/>
  <c r="C7488" i="1"/>
  <c r="D7488" i="1"/>
  <c r="E7488" i="1"/>
  <c r="F7488" i="1"/>
  <c r="G7488" i="1"/>
  <c r="I7488" i="1"/>
  <c r="J7488" i="1"/>
  <c r="K7488" i="1"/>
  <c r="L7488" i="1"/>
  <c r="M7488" i="1"/>
  <c r="N7488" i="1"/>
  <c r="O7488" i="1"/>
  <c r="P7488" i="1"/>
  <c r="Q7488" i="1"/>
  <c r="R7488" i="1"/>
  <c r="S7488" i="1"/>
  <c r="T7488" i="1"/>
  <c r="U7488" i="1"/>
  <c r="V7488" i="1"/>
  <c r="W7488" i="1"/>
  <c r="X7488" i="1"/>
  <c r="Y7488" i="1"/>
  <c r="Z7488" i="1"/>
  <c r="A7489" i="1"/>
  <c r="B7489" i="1"/>
  <c r="C7489" i="1"/>
  <c r="D7489" i="1"/>
  <c r="E7489" i="1"/>
  <c r="F7489" i="1"/>
  <c r="G7489" i="1"/>
  <c r="I7489" i="1"/>
  <c r="J7489" i="1"/>
  <c r="K7489" i="1"/>
  <c r="L7489" i="1"/>
  <c r="M7489" i="1"/>
  <c r="N7489" i="1"/>
  <c r="O7489" i="1"/>
  <c r="P7489" i="1"/>
  <c r="Q7489" i="1"/>
  <c r="R7489" i="1"/>
  <c r="S7489" i="1"/>
  <c r="T7489" i="1"/>
  <c r="U7489" i="1"/>
  <c r="V7489" i="1"/>
  <c r="W7489" i="1"/>
  <c r="X7489" i="1"/>
  <c r="Y7489" i="1"/>
  <c r="Z7489" i="1"/>
  <c r="A7490" i="1"/>
  <c r="B7490" i="1"/>
  <c r="C7490" i="1"/>
  <c r="D7490" i="1"/>
  <c r="E7490" i="1"/>
  <c r="F7490" i="1"/>
  <c r="G7490" i="1"/>
  <c r="I7490" i="1"/>
  <c r="J7490" i="1"/>
  <c r="K7490" i="1"/>
  <c r="L7490" i="1"/>
  <c r="M7490" i="1"/>
  <c r="N7490" i="1"/>
  <c r="O7490" i="1"/>
  <c r="P7490" i="1"/>
  <c r="Q7490" i="1"/>
  <c r="R7490" i="1"/>
  <c r="S7490" i="1"/>
  <c r="T7490" i="1"/>
  <c r="U7490" i="1"/>
  <c r="V7490" i="1"/>
  <c r="W7490" i="1"/>
  <c r="X7490" i="1"/>
  <c r="Y7490" i="1"/>
  <c r="Z7490" i="1"/>
  <c r="A7491" i="1"/>
  <c r="B7491" i="1"/>
  <c r="C7491" i="1"/>
  <c r="D7491" i="1"/>
  <c r="E7491" i="1"/>
  <c r="F7491" i="1"/>
  <c r="G7491" i="1"/>
  <c r="I7491" i="1"/>
  <c r="J7491" i="1"/>
  <c r="K7491" i="1"/>
  <c r="L7491" i="1"/>
  <c r="M7491" i="1"/>
  <c r="N7491" i="1"/>
  <c r="O7491" i="1"/>
  <c r="P7491" i="1"/>
  <c r="Q7491" i="1"/>
  <c r="R7491" i="1"/>
  <c r="S7491" i="1"/>
  <c r="T7491" i="1"/>
  <c r="U7491" i="1"/>
  <c r="V7491" i="1"/>
  <c r="W7491" i="1"/>
  <c r="X7491" i="1"/>
  <c r="Y7491" i="1"/>
  <c r="Z7491" i="1"/>
  <c r="A7492" i="1"/>
  <c r="B7492" i="1"/>
  <c r="C7492" i="1"/>
  <c r="D7492" i="1"/>
  <c r="E7492" i="1"/>
  <c r="F7492" i="1"/>
  <c r="G7492" i="1"/>
  <c r="I7492" i="1"/>
  <c r="J7492" i="1"/>
  <c r="K7492" i="1"/>
  <c r="L7492" i="1"/>
  <c r="M7492" i="1"/>
  <c r="N7492" i="1"/>
  <c r="O7492" i="1"/>
  <c r="P7492" i="1"/>
  <c r="Q7492" i="1"/>
  <c r="R7492" i="1"/>
  <c r="S7492" i="1"/>
  <c r="T7492" i="1"/>
  <c r="U7492" i="1"/>
  <c r="V7492" i="1"/>
  <c r="W7492" i="1"/>
  <c r="X7492" i="1"/>
  <c r="Y7492" i="1"/>
  <c r="Z7492" i="1"/>
  <c r="A7493" i="1"/>
  <c r="B7493" i="1"/>
  <c r="C7493" i="1"/>
  <c r="D7493" i="1"/>
  <c r="E7493" i="1"/>
  <c r="F7493" i="1"/>
  <c r="G7493" i="1"/>
  <c r="I7493" i="1"/>
  <c r="J7493" i="1"/>
  <c r="K7493" i="1"/>
  <c r="L7493" i="1"/>
  <c r="M7493" i="1"/>
  <c r="N7493" i="1"/>
  <c r="O7493" i="1"/>
  <c r="P7493" i="1"/>
  <c r="Q7493" i="1"/>
  <c r="R7493" i="1"/>
  <c r="S7493" i="1"/>
  <c r="T7493" i="1"/>
  <c r="U7493" i="1"/>
  <c r="V7493" i="1"/>
  <c r="W7493" i="1"/>
  <c r="X7493" i="1"/>
  <c r="Y7493" i="1"/>
  <c r="Z7493" i="1"/>
  <c r="A7494" i="1"/>
  <c r="B7494" i="1"/>
  <c r="C7494" i="1"/>
  <c r="D7494" i="1"/>
  <c r="E7494" i="1"/>
  <c r="F7494" i="1"/>
  <c r="G7494" i="1"/>
  <c r="I7494" i="1"/>
  <c r="J7494" i="1"/>
  <c r="K7494" i="1"/>
  <c r="L7494" i="1"/>
  <c r="M7494" i="1"/>
  <c r="N7494" i="1"/>
  <c r="O7494" i="1"/>
  <c r="P7494" i="1"/>
  <c r="Q7494" i="1"/>
  <c r="R7494" i="1"/>
  <c r="S7494" i="1"/>
  <c r="T7494" i="1"/>
  <c r="U7494" i="1"/>
  <c r="V7494" i="1"/>
  <c r="W7494" i="1"/>
  <c r="X7494" i="1"/>
  <c r="Y7494" i="1"/>
  <c r="Z7494" i="1"/>
  <c r="A7495" i="1"/>
  <c r="B7495" i="1"/>
  <c r="C7495" i="1"/>
  <c r="D7495" i="1"/>
  <c r="E7495" i="1"/>
  <c r="F7495" i="1"/>
  <c r="G7495" i="1"/>
  <c r="I7495" i="1"/>
  <c r="J7495" i="1"/>
  <c r="K7495" i="1"/>
  <c r="L7495" i="1"/>
  <c r="M7495" i="1"/>
  <c r="N7495" i="1"/>
  <c r="O7495" i="1"/>
  <c r="P7495" i="1"/>
  <c r="Q7495" i="1"/>
  <c r="R7495" i="1"/>
  <c r="S7495" i="1"/>
  <c r="T7495" i="1"/>
  <c r="U7495" i="1"/>
  <c r="V7495" i="1"/>
  <c r="W7495" i="1"/>
  <c r="X7495" i="1"/>
  <c r="Y7495" i="1"/>
  <c r="Z7495" i="1"/>
  <c r="A7496" i="1"/>
  <c r="B7496" i="1"/>
  <c r="C7496" i="1"/>
  <c r="D7496" i="1"/>
  <c r="E7496" i="1"/>
  <c r="F7496" i="1"/>
  <c r="G7496" i="1"/>
  <c r="I7496" i="1"/>
  <c r="J7496" i="1"/>
  <c r="K7496" i="1"/>
  <c r="L7496" i="1"/>
  <c r="M7496" i="1"/>
  <c r="N7496" i="1"/>
  <c r="O7496" i="1"/>
  <c r="P7496" i="1"/>
  <c r="Q7496" i="1"/>
  <c r="R7496" i="1"/>
  <c r="S7496" i="1"/>
  <c r="T7496" i="1"/>
  <c r="U7496" i="1"/>
  <c r="V7496" i="1"/>
  <c r="W7496" i="1"/>
  <c r="X7496" i="1"/>
  <c r="Y7496" i="1"/>
  <c r="Z7496" i="1"/>
  <c r="A7497" i="1"/>
  <c r="B7497" i="1"/>
  <c r="C7497" i="1"/>
  <c r="D7497" i="1"/>
  <c r="E7497" i="1"/>
  <c r="F7497" i="1"/>
  <c r="G7497" i="1"/>
  <c r="I7497" i="1"/>
  <c r="J7497" i="1"/>
  <c r="K7497" i="1"/>
  <c r="L7497" i="1"/>
  <c r="M7497" i="1"/>
  <c r="N7497" i="1"/>
  <c r="O7497" i="1"/>
  <c r="P7497" i="1"/>
  <c r="Q7497" i="1"/>
  <c r="R7497" i="1"/>
  <c r="S7497" i="1"/>
  <c r="T7497" i="1"/>
  <c r="U7497" i="1"/>
  <c r="V7497" i="1"/>
  <c r="W7497" i="1"/>
  <c r="X7497" i="1"/>
  <c r="Y7497" i="1"/>
  <c r="Z7497" i="1"/>
  <c r="A7498" i="1"/>
  <c r="B7498" i="1"/>
  <c r="C7498" i="1"/>
  <c r="D7498" i="1"/>
  <c r="E7498" i="1"/>
  <c r="F7498" i="1"/>
  <c r="G7498" i="1"/>
  <c r="I7498" i="1"/>
  <c r="J7498" i="1"/>
  <c r="K7498" i="1"/>
  <c r="L7498" i="1"/>
  <c r="M7498" i="1"/>
  <c r="N7498" i="1"/>
  <c r="O7498" i="1"/>
  <c r="P7498" i="1"/>
  <c r="Q7498" i="1"/>
  <c r="R7498" i="1"/>
  <c r="S7498" i="1"/>
  <c r="T7498" i="1"/>
  <c r="U7498" i="1"/>
  <c r="V7498" i="1"/>
  <c r="W7498" i="1"/>
  <c r="X7498" i="1"/>
  <c r="Y7498" i="1"/>
  <c r="Z7498" i="1"/>
  <c r="A7499" i="1"/>
  <c r="B7499" i="1"/>
  <c r="C7499" i="1"/>
  <c r="D7499" i="1"/>
  <c r="E7499" i="1"/>
  <c r="F7499" i="1"/>
  <c r="G7499" i="1"/>
  <c r="I7499" i="1"/>
  <c r="J7499" i="1"/>
  <c r="K7499" i="1"/>
  <c r="L7499" i="1"/>
  <c r="M7499" i="1"/>
  <c r="N7499" i="1"/>
  <c r="O7499" i="1"/>
  <c r="P7499" i="1"/>
  <c r="Q7499" i="1"/>
  <c r="R7499" i="1"/>
  <c r="S7499" i="1"/>
  <c r="T7499" i="1"/>
  <c r="U7499" i="1"/>
  <c r="V7499" i="1"/>
  <c r="W7499" i="1"/>
  <c r="X7499" i="1"/>
  <c r="Y7499" i="1"/>
  <c r="Z7499" i="1"/>
  <c r="A7500" i="1"/>
  <c r="B7500" i="1"/>
  <c r="C7500" i="1"/>
  <c r="D7500" i="1"/>
  <c r="E7500" i="1"/>
  <c r="F7500" i="1"/>
  <c r="G7500" i="1"/>
  <c r="I7500" i="1"/>
  <c r="J7500" i="1"/>
  <c r="K7500" i="1"/>
  <c r="L7500" i="1"/>
  <c r="M7500" i="1"/>
  <c r="N7500" i="1"/>
  <c r="O7500" i="1"/>
  <c r="P7500" i="1"/>
  <c r="Q7500" i="1"/>
  <c r="R7500" i="1"/>
  <c r="S7500" i="1"/>
  <c r="T7500" i="1"/>
  <c r="U7500" i="1"/>
  <c r="V7500" i="1"/>
  <c r="W7500" i="1"/>
  <c r="X7500" i="1"/>
  <c r="Y7500" i="1"/>
  <c r="Z7500" i="1"/>
  <c r="A7501" i="1"/>
  <c r="B7501" i="1"/>
  <c r="C7501" i="1"/>
  <c r="D7501" i="1"/>
  <c r="E7501" i="1"/>
  <c r="F7501" i="1"/>
  <c r="G7501" i="1"/>
  <c r="I7501" i="1"/>
  <c r="J7501" i="1"/>
  <c r="K7501" i="1"/>
  <c r="L7501" i="1"/>
  <c r="M7501" i="1"/>
  <c r="N7501" i="1"/>
  <c r="O7501" i="1"/>
  <c r="P7501" i="1"/>
  <c r="Q7501" i="1"/>
  <c r="R7501" i="1"/>
  <c r="S7501" i="1"/>
  <c r="T7501" i="1"/>
  <c r="U7501" i="1"/>
  <c r="V7501" i="1"/>
  <c r="W7501" i="1"/>
  <c r="X7501" i="1"/>
  <c r="Y7501" i="1"/>
  <c r="Z7501" i="1"/>
  <c r="A7502" i="1"/>
  <c r="B7502" i="1"/>
  <c r="C7502" i="1"/>
  <c r="D7502" i="1"/>
  <c r="E7502" i="1"/>
  <c r="F7502" i="1"/>
  <c r="G7502" i="1"/>
  <c r="I7502" i="1"/>
  <c r="J7502" i="1"/>
  <c r="K7502" i="1"/>
  <c r="L7502" i="1"/>
  <c r="M7502" i="1"/>
  <c r="N7502" i="1"/>
  <c r="O7502" i="1"/>
  <c r="P7502" i="1"/>
  <c r="Q7502" i="1"/>
  <c r="R7502" i="1"/>
  <c r="S7502" i="1"/>
  <c r="T7502" i="1"/>
  <c r="U7502" i="1"/>
  <c r="V7502" i="1"/>
  <c r="W7502" i="1"/>
  <c r="X7502" i="1"/>
  <c r="Y7502" i="1"/>
  <c r="Z7502" i="1"/>
  <c r="A7503" i="1"/>
  <c r="B7503" i="1"/>
  <c r="C7503" i="1"/>
  <c r="D7503" i="1"/>
  <c r="E7503" i="1"/>
  <c r="F7503" i="1"/>
  <c r="G7503" i="1"/>
  <c r="I7503" i="1"/>
  <c r="J7503" i="1"/>
  <c r="K7503" i="1"/>
  <c r="L7503" i="1"/>
  <c r="M7503" i="1"/>
  <c r="N7503" i="1"/>
  <c r="O7503" i="1"/>
  <c r="P7503" i="1"/>
  <c r="Q7503" i="1"/>
  <c r="R7503" i="1"/>
  <c r="S7503" i="1"/>
  <c r="T7503" i="1"/>
  <c r="U7503" i="1"/>
  <c r="V7503" i="1"/>
  <c r="W7503" i="1"/>
  <c r="X7503" i="1"/>
  <c r="Y7503" i="1"/>
  <c r="Z7503" i="1"/>
  <c r="A7504" i="1"/>
  <c r="B7504" i="1"/>
  <c r="C7504" i="1"/>
  <c r="D7504" i="1"/>
  <c r="E7504" i="1"/>
  <c r="F7504" i="1"/>
  <c r="G7504" i="1"/>
  <c r="I7504" i="1"/>
  <c r="J7504" i="1"/>
  <c r="K7504" i="1"/>
  <c r="L7504" i="1"/>
  <c r="M7504" i="1"/>
  <c r="N7504" i="1"/>
  <c r="O7504" i="1"/>
  <c r="P7504" i="1"/>
  <c r="Q7504" i="1"/>
  <c r="R7504" i="1"/>
  <c r="S7504" i="1"/>
  <c r="T7504" i="1"/>
  <c r="U7504" i="1"/>
  <c r="V7504" i="1"/>
  <c r="W7504" i="1"/>
  <c r="X7504" i="1"/>
  <c r="Y7504" i="1"/>
  <c r="Z7504" i="1"/>
  <c r="A7505" i="1"/>
  <c r="B7505" i="1"/>
  <c r="C7505" i="1"/>
  <c r="D7505" i="1"/>
  <c r="E7505" i="1"/>
  <c r="F7505" i="1"/>
  <c r="G7505" i="1"/>
  <c r="I7505" i="1"/>
  <c r="J7505" i="1"/>
  <c r="K7505" i="1"/>
  <c r="L7505" i="1"/>
  <c r="M7505" i="1"/>
  <c r="N7505" i="1"/>
  <c r="O7505" i="1"/>
  <c r="P7505" i="1"/>
  <c r="Q7505" i="1"/>
  <c r="R7505" i="1"/>
  <c r="S7505" i="1"/>
  <c r="T7505" i="1"/>
  <c r="U7505" i="1"/>
  <c r="V7505" i="1"/>
  <c r="W7505" i="1"/>
  <c r="X7505" i="1"/>
  <c r="Y7505" i="1"/>
  <c r="Z7505" i="1"/>
  <c r="A7506" i="1"/>
  <c r="B7506" i="1"/>
  <c r="C7506" i="1"/>
  <c r="D7506" i="1"/>
  <c r="E7506" i="1"/>
  <c r="F7506" i="1"/>
  <c r="G7506" i="1"/>
  <c r="I7506" i="1"/>
  <c r="J7506" i="1"/>
  <c r="K7506" i="1"/>
  <c r="L7506" i="1"/>
  <c r="M7506" i="1"/>
  <c r="N7506" i="1"/>
  <c r="O7506" i="1"/>
  <c r="P7506" i="1"/>
  <c r="Q7506" i="1"/>
  <c r="R7506" i="1"/>
  <c r="S7506" i="1"/>
  <c r="T7506" i="1"/>
  <c r="U7506" i="1"/>
  <c r="V7506" i="1"/>
  <c r="W7506" i="1"/>
  <c r="X7506" i="1"/>
  <c r="Y7506" i="1"/>
  <c r="Z7506" i="1"/>
  <c r="A7507" i="1"/>
  <c r="B7507" i="1"/>
  <c r="C7507" i="1"/>
  <c r="D7507" i="1"/>
  <c r="E7507" i="1"/>
  <c r="F7507" i="1"/>
  <c r="G7507" i="1"/>
  <c r="I7507" i="1"/>
  <c r="J7507" i="1"/>
  <c r="K7507" i="1"/>
  <c r="L7507" i="1"/>
  <c r="M7507" i="1"/>
  <c r="N7507" i="1"/>
  <c r="O7507" i="1"/>
  <c r="P7507" i="1"/>
  <c r="Q7507" i="1"/>
  <c r="R7507" i="1"/>
  <c r="S7507" i="1"/>
  <c r="T7507" i="1"/>
  <c r="U7507" i="1"/>
  <c r="V7507" i="1"/>
  <c r="W7507" i="1"/>
  <c r="X7507" i="1"/>
  <c r="Y7507" i="1"/>
  <c r="Z7507" i="1"/>
  <c r="A7508" i="1"/>
  <c r="B7508" i="1"/>
  <c r="C7508" i="1"/>
  <c r="D7508" i="1"/>
  <c r="E7508" i="1"/>
  <c r="F7508" i="1"/>
  <c r="G7508" i="1"/>
  <c r="I7508" i="1"/>
  <c r="J7508" i="1"/>
  <c r="K7508" i="1"/>
  <c r="L7508" i="1"/>
  <c r="M7508" i="1"/>
  <c r="N7508" i="1"/>
  <c r="O7508" i="1"/>
  <c r="P7508" i="1"/>
  <c r="Q7508" i="1"/>
  <c r="R7508" i="1"/>
  <c r="S7508" i="1"/>
  <c r="T7508" i="1"/>
  <c r="U7508" i="1"/>
  <c r="V7508" i="1"/>
  <c r="W7508" i="1"/>
  <c r="X7508" i="1"/>
  <c r="Y7508" i="1"/>
  <c r="Z7508" i="1"/>
  <c r="A7509" i="1"/>
  <c r="B7509" i="1"/>
  <c r="C7509" i="1"/>
  <c r="D7509" i="1"/>
  <c r="E7509" i="1"/>
  <c r="F7509" i="1"/>
  <c r="G7509" i="1"/>
  <c r="I7509" i="1"/>
  <c r="J7509" i="1"/>
  <c r="K7509" i="1"/>
  <c r="L7509" i="1"/>
  <c r="M7509" i="1"/>
  <c r="N7509" i="1"/>
  <c r="O7509" i="1"/>
  <c r="P7509" i="1"/>
  <c r="Q7509" i="1"/>
  <c r="R7509" i="1"/>
  <c r="S7509" i="1"/>
  <c r="T7509" i="1"/>
  <c r="U7509" i="1"/>
  <c r="V7509" i="1"/>
  <c r="W7509" i="1"/>
  <c r="X7509" i="1"/>
  <c r="Y7509" i="1"/>
  <c r="Z7509" i="1"/>
  <c r="A7510" i="1"/>
  <c r="B7510" i="1"/>
  <c r="C7510" i="1"/>
  <c r="D7510" i="1"/>
  <c r="E7510" i="1"/>
  <c r="F7510" i="1"/>
  <c r="G7510" i="1"/>
  <c r="I7510" i="1"/>
  <c r="J7510" i="1"/>
  <c r="K7510" i="1"/>
  <c r="L7510" i="1"/>
  <c r="M7510" i="1"/>
  <c r="N7510" i="1"/>
  <c r="O7510" i="1"/>
  <c r="P7510" i="1"/>
  <c r="Q7510" i="1"/>
  <c r="R7510" i="1"/>
  <c r="S7510" i="1"/>
  <c r="T7510" i="1"/>
  <c r="U7510" i="1"/>
  <c r="V7510" i="1"/>
  <c r="W7510" i="1"/>
  <c r="X7510" i="1"/>
  <c r="Y7510" i="1"/>
  <c r="Z7510" i="1"/>
  <c r="A7511" i="1"/>
  <c r="B7511" i="1"/>
  <c r="C7511" i="1"/>
  <c r="D7511" i="1"/>
  <c r="E7511" i="1"/>
  <c r="F7511" i="1"/>
  <c r="G7511" i="1"/>
  <c r="I7511" i="1"/>
  <c r="J7511" i="1"/>
  <c r="K7511" i="1"/>
  <c r="L7511" i="1"/>
  <c r="M7511" i="1"/>
  <c r="N7511" i="1"/>
  <c r="O7511" i="1"/>
  <c r="P7511" i="1"/>
  <c r="Q7511" i="1"/>
  <c r="R7511" i="1"/>
  <c r="S7511" i="1"/>
  <c r="T7511" i="1"/>
  <c r="U7511" i="1"/>
  <c r="V7511" i="1"/>
  <c r="W7511" i="1"/>
  <c r="X7511" i="1"/>
  <c r="Y7511" i="1"/>
  <c r="Z7511" i="1"/>
  <c r="A7512" i="1"/>
  <c r="B7512" i="1"/>
  <c r="C7512" i="1"/>
  <c r="D7512" i="1"/>
  <c r="E7512" i="1"/>
  <c r="F7512" i="1"/>
  <c r="G7512" i="1"/>
  <c r="I7512" i="1"/>
  <c r="J7512" i="1"/>
  <c r="K7512" i="1"/>
  <c r="L7512" i="1"/>
  <c r="M7512" i="1"/>
  <c r="N7512" i="1"/>
  <c r="O7512" i="1"/>
  <c r="P7512" i="1"/>
  <c r="Q7512" i="1"/>
  <c r="R7512" i="1"/>
  <c r="S7512" i="1"/>
  <c r="T7512" i="1"/>
  <c r="U7512" i="1"/>
  <c r="V7512" i="1"/>
  <c r="W7512" i="1"/>
  <c r="X7512" i="1"/>
  <c r="Y7512" i="1"/>
  <c r="Z7512" i="1"/>
  <c r="A7513" i="1"/>
  <c r="B7513" i="1"/>
  <c r="C7513" i="1"/>
  <c r="D7513" i="1"/>
  <c r="E7513" i="1"/>
  <c r="F7513" i="1"/>
  <c r="G7513" i="1"/>
  <c r="I7513" i="1"/>
  <c r="J7513" i="1"/>
  <c r="K7513" i="1"/>
  <c r="L7513" i="1"/>
  <c r="M7513" i="1"/>
  <c r="N7513" i="1"/>
  <c r="O7513" i="1"/>
  <c r="P7513" i="1"/>
  <c r="Q7513" i="1"/>
  <c r="R7513" i="1"/>
  <c r="S7513" i="1"/>
  <c r="T7513" i="1"/>
  <c r="U7513" i="1"/>
  <c r="V7513" i="1"/>
  <c r="W7513" i="1"/>
  <c r="X7513" i="1"/>
  <c r="Y7513" i="1"/>
  <c r="Z7513" i="1"/>
  <c r="A7514" i="1"/>
  <c r="B7514" i="1"/>
  <c r="C7514" i="1"/>
  <c r="D7514" i="1"/>
  <c r="E7514" i="1"/>
  <c r="F7514" i="1"/>
  <c r="G7514" i="1"/>
  <c r="I7514" i="1"/>
  <c r="J7514" i="1"/>
  <c r="K7514" i="1"/>
  <c r="L7514" i="1"/>
  <c r="M7514" i="1"/>
  <c r="N7514" i="1"/>
  <c r="O7514" i="1"/>
  <c r="P7514" i="1"/>
  <c r="Q7514" i="1"/>
  <c r="R7514" i="1"/>
  <c r="S7514" i="1"/>
  <c r="T7514" i="1"/>
  <c r="U7514" i="1"/>
  <c r="V7514" i="1"/>
  <c r="W7514" i="1"/>
  <c r="X7514" i="1"/>
  <c r="Y7514" i="1"/>
  <c r="Z7514" i="1"/>
  <c r="A7515" i="1"/>
  <c r="B7515" i="1"/>
  <c r="C7515" i="1"/>
  <c r="D7515" i="1"/>
  <c r="E7515" i="1"/>
  <c r="F7515" i="1"/>
  <c r="G7515" i="1"/>
  <c r="I7515" i="1"/>
  <c r="J7515" i="1"/>
  <c r="K7515" i="1"/>
  <c r="L7515" i="1"/>
  <c r="M7515" i="1"/>
  <c r="N7515" i="1"/>
  <c r="O7515" i="1"/>
  <c r="P7515" i="1"/>
  <c r="Q7515" i="1"/>
  <c r="R7515" i="1"/>
  <c r="S7515" i="1"/>
  <c r="T7515" i="1"/>
  <c r="U7515" i="1"/>
  <c r="V7515" i="1"/>
  <c r="W7515" i="1"/>
  <c r="X7515" i="1"/>
  <c r="Y7515" i="1"/>
  <c r="Z7515" i="1"/>
  <c r="A7516" i="1"/>
  <c r="B7516" i="1"/>
  <c r="C7516" i="1"/>
  <c r="D7516" i="1"/>
  <c r="E7516" i="1"/>
  <c r="F7516" i="1"/>
  <c r="G7516" i="1"/>
  <c r="I7516" i="1"/>
  <c r="J7516" i="1"/>
  <c r="K7516" i="1"/>
  <c r="L7516" i="1"/>
  <c r="M7516" i="1"/>
  <c r="N7516" i="1"/>
  <c r="O7516" i="1"/>
  <c r="P7516" i="1"/>
  <c r="Q7516" i="1"/>
  <c r="R7516" i="1"/>
  <c r="S7516" i="1"/>
  <c r="T7516" i="1"/>
  <c r="U7516" i="1"/>
  <c r="V7516" i="1"/>
  <c r="W7516" i="1"/>
  <c r="X7516" i="1"/>
  <c r="Y7516" i="1"/>
  <c r="Z7516" i="1"/>
  <c r="A7517" i="1"/>
  <c r="B7517" i="1"/>
  <c r="C7517" i="1"/>
  <c r="D7517" i="1"/>
  <c r="E7517" i="1"/>
  <c r="F7517" i="1"/>
  <c r="G7517" i="1"/>
  <c r="I7517" i="1"/>
  <c r="J7517" i="1"/>
  <c r="K7517" i="1"/>
  <c r="L7517" i="1"/>
  <c r="M7517" i="1"/>
  <c r="N7517" i="1"/>
  <c r="O7517" i="1"/>
  <c r="P7517" i="1"/>
  <c r="Q7517" i="1"/>
  <c r="R7517" i="1"/>
  <c r="S7517" i="1"/>
  <c r="T7517" i="1"/>
  <c r="U7517" i="1"/>
  <c r="V7517" i="1"/>
  <c r="W7517" i="1"/>
  <c r="X7517" i="1"/>
  <c r="Y7517" i="1"/>
  <c r="Z7517" i="1"/>
  <c r="A7518" i="1"/>
  <c r="B7518" i="1"/>
  <c r="C7518" i="1"/>
  <c r="D7518" i="1"/>
  <c r="E7518" i="1"/>
  <c r="F7518" i="1"/>
  <c r="G7518" i="1"/>
  <c r="I7518" i="1"/>
  <c r="J7518" i="1"/>
  <c r="K7518" i="1"/>
  <c r="L7518" i="1"/>
  <c r="M7518" i="1"/>
  <c r="N7518" i="1"/>
  <c r="O7518" i="1"/>
  <c r="P7518" i="1"/>
  <c r="Q7518" i="1"/>
  <c r="R7518" i="1"/>
  <c r="S7518" i="1"/>
  <c r="T7518" i="1"/>
  <c r="U7518" i="1"/>
  <c r="V7518" i="1"/>
  <c r="W7518" i="1"/>
  <c r="X7518" i="1"/>
  <c r="Y7518" i="1"/>
  <c r="Z7518" i="1"/>
  <c r="A7519" i="1"/>
  <c r="B7519" i="1"/>
  <c r="C7519" i="1"/>
  <c r="D7519" i="1"/>
  <c r="E7519" i="1"/>
  <c r="F7519" i="1"/>
  <c r="G7519" i="1"/>
  <c r="I7519" i="1"/>
  <c r="J7519" i="1"/>
  <c r="K7519" i="1"/>
  <c r="L7519" i="1"/>
  <c r="M7519" i="1"/>
  <c r="N7519" i="1"/>
  <c r="O7519" i="1"/>
  <c r="P7519" i="1"/>
  <c r="Q7519" i="1"/>
  <c r="R7519" i="1"/>
  <c r="S7519" i="1"/>
  <c r="T7519" i="1"/>
  <c r="U7519" i="1"/>
  <c r="V7519" i="1"/>
  <c r="W7519" i="1"/>
  <c r="X7519" i="1"/>
  <c r="Y7519" i="1"/>
  <c r="Z7519" i="1"/>
  <c r="A7520" i="1"/>
  <c r="B7520" i="1"/>
  <c r="C7520" i="1"/>
  <c r="D7520" i="1"/>
  <c r="E7520" i="1"/>
  <c r="F7520" i="1"/>
  <c r="G7520" i="1"/>
  <c r="I7520" i="1"/>
  <c r="J7520" i="1"/>
  <c r="K7520" i="1"/>
  <c r="L7520" i="1"/>
  <c r="M7520" i="1"/>
  <c r="N7520" i="1"/>
  <c r="O7520" i="1"/>
  <c r="P7520" i="1"/>
  <c r="Q7520" i="1"/>
  <c r="R7520" i="1"/>
  <c r="S7520" i="1"/>
  <c r="T7520" i="1"/>
  <c r="U7520" i="1"/>
  <c r="V7520" i="1"/>
  <c r="W7520" i="1"/>
  <c r="X7520" i="1"/>
  <c r="Y7520" i="1"/>
  <c r="Z7520" i="1"/>
  <c r="A7521" i="1"/>
  <c r="B7521" i="1"/>
  <c r="C7521" i="1"/>
  <c r="D7521" i="1"/>
  <c r="E7521" i="1"/>
  <c r="F7521" i="1"/>
  <c r="G7521" i="1"/>
  <c r="I7521" i="1"/>
  <c r="J7521" i="1"/>
  <c r="K7521" i="1"/>
  <c r="L7521" i="1"/>
  <c r="M7521" i="1"/>
  <c r="N7521" i="1"/>
  <c r="O7521" i="1"/>
  <c r="P7521" i="1"/>
  <c r="Q7521" i="1"/>
  <c r="R7521" i="1"/>
  <c r="S7521" i="1"/>
  <c r="T7521" i="1"/>
  <c r="U7521" i="1"/>
  <c r="V7521" i="1"/>
  <c r="W7521" i="1"/>
  <c r="X7521" i="1"/>
  <c r="Y7521" i="1"/>
  <c r="Z7521" i="1"/>
  <c r="A7522" i="1"/>
  <c r="B7522" i="1"/>
  <c r="C7522" i="1"/>
  <c r="D7522" i="1"/>
  <c r="E7522" i="1"/>
  <c r="F7522" i="1"/>
  <c r="G7522" i="1"/>
  <c r="I7522" i="1"/>
  <c r="J7522" i="1"/>
  <c r="K7522" i="1"/>
  <c r="L7522" i="1"/>
  <c r="M7522" i="1"/>
  <c r="N7522" i="1"/>
  <c r="O7522" i="1"/>
  <c r="P7522" i="1"/>
  <c r="Q7522" i="1"/>
  <c r="R7522" i="1"/>
  <c r="S7522" i="1"/>
  <c r="T7522" i="1"/>
  <c r="U7522" i="1"/>
  <c r="V7522" i="1"/>
  <c r="W7522" i="1"/>
  <c r="X7522" i="1"/>
  <c r="Y7522" i="1"/>
  <c r="Z7522" i="1"/>
  <c r="A7523" i="1"/>
  <c r="B7523" i="1"/>
  <c r="C7523" i="1"/>
  <c r="D7523" i="1"/>
  <c r="E7523" i="1"/>
  <c r="F7523" i="1"/>
  <c r="G7523" i="1"/>
  <c r="I7523" i="1"/>
  <c r="J7523" i="1"/>
  <c r="K7523" i="1"/>
  <c r="L7523" i="1"/>
  <c r="M7523" i="1"/>
  <c r="N7523" i="1"/>
  <c r="O7523" i="1"/>
  <c r="P7523" i="1"/>
  <c r="Q7523" i="1"/>
  <c r="R7523" i="1"/>
  <c r="S7523" i="1"/>
  <c r="T7523" i="1"/>
  <c r="U7523" i="1"/>
  <c r="V7523" i="1"/>
  <c r="W7523" i="1"/>
  <c r="X7523" i="1"/>
  <c r="Y7523" i="1"/>
  <c r="Z7523" i="1"/>
  <c r="A7524" i="1"/>
  <c r="B7524" i="1"/>
  <c r="C7524" i="1"/>
  <c r="D7524" i="1"/>
  <c r="E7524" i="1"/>
  <c r="F7524" i="1"/>
  <c r="G7524" i="1"/>
  <c r="I7524" i="1"/>
  <c r="J7524" i="1"/>
  <c r="K7524" i="1"/>
  <c r="L7524" i="1"/>
  <c r="M7524" i="1"/>
  <c r="N7524" i="1"/>
  <c r="O7524" i="1"/>
  <c r="P7524" i="1"/>
  <c r="Q7524" i="1"/>
  <c r="R7524" i="1"/>
  <c r="S7524" i="1"/>
  <c r="T7524" i="1"/>
  <c r="U7524" i="1"/>
  <c r="V7524" i="1"/>
  <c r="W7524" i="1"/>
  <c r="X7524" i="1"/>
  <c r="Y7524" i="1"/>
  <c r="Z7524" i="1"/>
  <c r="A7525" i="1"/>
  <c r="B7525" i="1"/>
  <c r="C7525" i="1"/>
  <c r="D7525" i="1"/>
  <c r="E7525" i="1"/>
  <c r="F7525" i="1"/>
  <c r="G7525" i="1"/>
  <c r="I7525" i="1"/>
  <c r="J7525" i="1"/>
  <c r="K7525" i="1"/>
  <c r="L7525" i="1"/>
  <c r="M7525" i="1"/>
  <c r="N7525" i="1"/>
  <c r="O7525" i="1"/>
  <c r="P7525" i="1"/>
  <c r="Q7525" i="1"/>
  <c r="R7525" i="1"/>
  <c r="S7525" i="1"/>
  <c r="T7525" i="1"/>
  <c r="U7525" i="1"/>
  <c r="V7525" i="1"/>
  <c r="W7525" i="1"/>
  <c r="X7525" i="1"/>
  <c r="Y7525" i="1"/>
  <c r="Z7525" i="1"/>
  <c r="A7526" i="1"/>
  <c r="B7526" i="1"/>
  <c r="C7526" i="1"/>
  <c r="D7526" i="1"/>
  <c r="E7526" i="1"/>
  <c r="F7526" i="1"/>
  <c r="G7526" i="1"/>
  <c r="I7526" i="1"/>
  <c r="J7526" i="1"/>
  <c r="K7526" i="1"/>
  <c r="L7526" i="1"/>
  <c r="M7526" i="1"/>
  <c r="N7526" i="1"/>
  <c r="O7526" i="1"/>
  <c r="P7526" i="1"/>
  <c r="Q7526" i="1"/>
  <c r="R7526" i="1"/>
  <c r="S7526" i="1"/>
  <c r="T7526" i="1"/>
  <c r="U7526" i="1"/>
  <c r="V7526" i="1"/>
  <c r="W7526" i="1"/>
  <c r="X7526" i="1"/>
  <c r="Y7526" i="1"/>
  <c r="Z7526" i="1"/>
  <c r="A7527" i="1"/>
  <c r="B7527" i="1"/>
  <c r="C7527" i="1"/>
  <c r="D7527" i="1"/>
  <c r="E7527" i="1"/>
  <c r="F7527" i="1"/>
  <c r="G7527" i="1"/>
  <c r="I7527" i="1"/>
  <c r="J7527" i="1"/>
  <c r="K7527" i="1"/>
  <c r="L7527" i="1"/>
  <c r="M7527" i="1"/>
  <c r="N7527" i="1"/>
  <c r="O7527" i="1"/>
  <c r="P7527" i="1"/>
  <c r="Q7527" i="1"/>
  <c r="R7527" i="1"/>
  <c r="S7527" i="1"/>
  <c r="T7527" i="1"/>
  <c r="U7527" i="1"/>
  <c r="V7527" i="1"/>
  <c r="W7527" i="1"/>
  <c r="X7527" i="1"/>
  <c r="Y7527" i="1"/>
  <c r="Z7527" i="1"/>
  <c r="A7528" i="1"/>
  <c r="B7528" i="1"/>
  <c r="C7528" i="1"/>
  <c r="D7528" i="1"/>
  <c r="E7528" i="1"/>
  <c r="F7528" i="1"/>
  <c r="G7528" i="1"/>
  <c r="I7528" i="1"/>
  <c r="J7528" i="1"/>
  <c r="K7528" i="1"/>
  <c r="L7528" i="1"/>
  <c r="M7528" i="1"/>
  <c r="N7528" i="1"/>
  <c r="O7528" i="1"/>
  <c r="P7528" i="1"/>
  <c r="Q7528" i="1"/>
  <c r="R7528" i="1"/>
  <c r="S7528" i="1"/>
  <c r="T7528" i="1"/>
  <c r="U7528" i="1"/>
  <c r="V7528" i="1"/>
  <c r="W7528" i="1"/>
  <c r="X7528" i="1"/>
  <c r="Y7528" i="1"/>
  <c r="Z7528" i="1"/>
  <c r="A7529" i="1"/>
  <c r="B7529" i="1"/>
  <c r="C7529" i="1"/>
  <c r="D7529" i="1"/>
  <c r="E7529" i="1"/>
  <c r="F7529" i="1"/>
  <c r="G7529" i="1"/>
  <c r="I7529" i="1"/>
  <c r="J7529" i="1"/>
  <c r="K7529" i="1"/>
  <c r="L7529" i="1"/>
  <c r="M7529" i="1"/>
  <c r="N7529" i="1"/>
  <c r="O7529" i="1"/>
  <c r="P7529" i="1"/>
  <c r="Q7529" i="1"/>
  <c r="R7529" i="1"/>
  <c r="S7529" i="1"/>
  <c r="T7529" i="1"/>
  <c r="U7529" i="1"/>
  <c r="V7529" i="1"/>
  <c r="W7529" i="1"/>
  <c r="X7529" i="1"/>
  <c r="Y7529" i="1"/>
  <c r="Z7529" i="1"/>
  <c r="A7530" i="1"/>
  <c r="B7530" i="1"/>
  <c r="C7530" i="1"/>
  <c r="D7530" i="1"/>
  <c r="E7530" i="1"/>
  <c r="F7530" i="1"/>
  <c r="G7530" i="1"/>
  <c r="I7530" i="1"/>
  <c r="J7530" i="1"/>
  <c r="K7530" i="1"/>
  <c r="L7530" i="1"/>
  <c r="M7530" i="1"/>
  <c r="N7530" i="1"/>
  <c r="O7530" i="1"/>
  <c r="P7530" i="1"/>
  <c r="Q7530" i="1"/>
  <c r="R7530" i="1"/>
  <c r="S7530" i="1"/>
  <c r="T7530" i="1"/>
  <c r="U7530" i="1"/>
  <c r="V7530" i="1"/>
  <c r="W7530" i="1"/>
  <c r="X7530" i="1"/>
  <c r="Y7530" i="1"/>
  <c r="Z7530" i="1"/>
  <c r="A7531" i="1"/>
  <c r="B7531" i="1"/>
  <c r="C7531" i="1"/>
  <c r="D7531" i="1"/>
  <c r="E7531" i="1"/>
  <c r="F7531" i="1"/>
  <c r="G7531" i="1"/>
  <c r="I7531" i="1"/>
  <c r="J7531" i="1"/>
  <c r="K7531" i="1"/>
  <c r="L7531" i="1"/>
  <c r="M7531" i="1"/>
  <c r="N7531" i="1"/>
  <c r="O7531" i="1"/>
  <c r="P7531" i="1"/>
  <c r="Q7531" i="1"/>
  <c r="R7531" i="1"/>
  <c r="S7531" i="1"/>
  <c r="T7531" i="1"/>
  <c r="U7531" i="1"/>
  <c r="V7531" i="1"/>
  <c r="W7531" i="1"/>
  <c r="X7531" i="1"/>
  <c r="Y7531" i="1"/>
  <c r="Z7531" i="1"/>
  <c r="A7532" i="1"/>
  <c r="B7532" i="1"/>
  <c r="C7532" i="1"/>
  <c r="D7532" i="1"/>
  <c r="E7532" i="1"/>
  <c r="F7532" i="1"/>
  <c r="G7532" i="1"/>
  <c r="I7532" i="1"/>
  <c r="J7532" i="1"/>
  <c r="K7532" i="1"/>
  <c r="L7532" i="1"/>
  <c r="M7532" i="1"/>
  <c r="N7532" i="1"/>
  <c r="O7532" i="1"/>
  <c r="P7532" i="1"/>
  <c r="Q7532" i="1"/>
  <c r="R7532" i="1"/>
  <c r="S7532" i="1"/>
  <c r="T7532" i="1"/>
  <c r="U7532" i="1"/>
  <c r="V7532" i="1"/>
  <c r="W7532" i="1"/>
  <c r="X7532" i="1"/>
  <c r="Y7532" i="1"/>
  <c r="Z7532" i="1"/>
  <c r="A7533" i="1"/>
  <c r="B7533" i="1"/>
  <c r="C7533" i="1"/>
  <c r="D7533" i="1"/>
  <c r="E7533" i="1"/>
  <c r="F7533" i="1"/>
  <c r="G7533" i="1"/>
  <c r="I7533" i="1"/>
  <c r="J7533" i="1"/>
  <c r="K7533" i="1"/>
  <c r="L7533" i="1"/>
  <c r="M7533" i="1"/>
  <c r="N7533" i="1"/>
  <c r="O7533" i="1"/>
  <c r="P7533" i="1"/>
  <c r="Q7533" i="1"/>
  <c r="R7533" i="1"/>
  <c r="S7533" i="1"/>
  <c r="T7533" i="1"/>
  <c r="U7533" i="1"/>
  <c r="V7533" i="1"/>
  <c r="W7533" i="1"/>
  <c r="X7533" i="1"/>
  <c r="Y7533" i="1"/>
  <c r="Z7533" i="1"/>
  <c r="A7534" i="1"/>
  <c r="B7534" i="1"/>
  <c r="C7534" i="1"/>
  <c r="D7534" i="1"/>
  <c r="E7534" i="1"/>
  <c r="F7534" i="1"/>
  <c r="G7534" i="1"/>
  <c r="I7534" i="1"/>
  <c r="J7534" i="1"/>
  <c r="K7534" i="1"/>
  <c r="L7534" i="1"/>
  <c r="M7534" i="1"/>
  <c r="N7534" i="1"/>
  <c r="O7534" i="1"/>
  <c r="P7534" i="1"/>
  <c r="Q7534" i="1"/>
  <c r="R7534" i="1"/>
  <c r="S7534" i="1"/>
  <c r="T7534" i="1"/>
  <c r="U7534" i="1"/>
  <c r="V7534" i="1"/>
  <c r="W7534" i="1"/>
  <c r="X7534" i="1"/>
  <c r="Y7534" i="1"/>
  <c r="Z7534" i="1"/>
  <c r="A7535" i="1"/>
  <c r="B7535" i="1"/>
  <c r="C7535" i="1"/>
  <c r="D7535" i="1"/>
  <c r="E7535" i="1"/>
  <c r="F7535" i="1"/>
  <c r="G7535" i="1"/>
  <c r="I7535" i="1"/>
  <c r="J7535" i="1"/>
  <c r="K7535" i="1"/>
  <c r="L7535" i="1"/>
  <c r="M7535" i="1"/>
  <c r="N7535" i="1"/>
  <c r="O7535" i="1"/>
  <c r="P7535" i="1"/>
  <c r="Q7535" i="1"/>
  <c r="R7535" i="1"/>
  <c r="S7535" i="1"/>
  <c r="T7535" i="1"/>
  <c r="U7535" i="1"/>
  <c r="V7535" i="1"/>
  <c r="W7535" i="1"/>
  <c r="X7535" i="1"/>
  <c r="Y7535" i="1"/>
  <c r="Z7535" i="1"/>
  <c r="A7536" i="1"/>
  <c r="B7536" i="1"/>
  <c r="C7536" i="1"/>
  <c r="D7536" i="1"/>
  <c r="E7536" i="1"/>
  <c r="F7536" i="1"/>
  <c r="G7536" i="1"/>
  <c r="I7536" i="1"/>
  <c r="J7536" i="1"/>
  <c r="K7536" i="1"/>
  <c r="L7536" i="1"/>
  <c r="M7536" i="1"/>
  <c r="N7536" i="1"/>
  <c r="O7536" i="1"/>
  <c r="P7536" i="1"/>
  <c r="Q7536" i="1"/>
  <c r="R7536" i="1"/>
  <c r="S7536" i="1"/>
  <c r="T7536" i="1"/>
  <c r="U7536" i="1"/>
  <c r="V7536" i="1"/>
  <c r="W7536" i="1"/>
  <c r="X7536" i="1"/>
  <c r="Y7536" i="1"/>
  <c r="Z7536" i="1"/>
  <c r="A7537" i="1"/>
  <c r="B7537" i="1"/>
  <c r="C7537" i="1"/>
  <c r="D7537" i="1"/>
  <c r="E7537" i="1"/>
  <c r="F7537" i="1"/>
  <c r="G7537" i="1"/>
  <c r="I7537" i="1"/>
  <c r="J7537" i="1"/>
  <c r="K7537" i="1"/>
  <c r="L7537" i="1"/>
  <c r="M7537" i="1"/>
  <c r="N7537" i="1"/>
  <c r="O7537" i="1"/>
  <c r="P7537" i="1"/>
  <c r="Q7537" i="1"/>
  <c r="R7537" i="1"/>
  <c r="S7537" i="1"/>
  <c r="T7537" i="1"/>
  <c r="U7537" i="1"/>
  <c r="V7537" i="1"/>
  <c r="W7537" i="1"/>
  <c r="X7537" i="1"/>
  <c r="Y7537" i="1"/>
  <c r="Z7537" i="1"/>
  <c r="A7538" i="1"/>
  <c r="B7538" i="1"/>
  <c r="C7538" i="1"/>
  <c r="D7538" i="1"/>
  <c r="E7538" i="1"/>
  <c r="F7538" i="1"/>
  <c r="G7538" i="1"/>
  <c r="I7538" i="1"/>
  <c r="J7538" i="1"/>
  <c r="K7538" i="1"/>
  <c r="L7538" i="1"/>
  <c r="M7538" i="1"/>
  <c r="N7538" i="1"/>
  <c r="O7538" i="1"/>
  <c r="P7538" i="1"/>
  <c r="Q7538" i="1"/>
  <c r="R7538" i="1"/>
  <c r="S7538" i="1"/>
  <c r="T7538" i="1"/>
  <c r="U7538" i="1"/>
  <c r="V7538" i="1"/>
  <c r="W7538" i="1"/>
  <c r="X7538" i="1"/>
  <c r="Y7538" i="1"/>
  <c r="Z7538" i="1"/>
  <c r="A7539" i="1"/>
  <c r="B7539" i="1"/>
  <c r="C7539" i="1"/>
  <c r="D7539" i="1"/>
  <c r="E7539" i="1"/>
  <c r="F7539" i="1"/>
  <c r="G7539" i="1"/>
  <c r="I7539" i="1"/>
  <c r="J7539" i="1"/>
  <c r="K7539" i="1"/>
  <c r="L7539" i="1"/>
  <c r="M7539" i="1"/>
  <c r="N7539" i="1"/>
  <c r="O7539" i="1"/>
  <c r="P7539" i="1"/>
  <c r="Q7539" i="1"/>
  <c r="R7539" i="1"/>
  <c r="S7539" i="1"/>
  <c r="T7539" i="1"/>
  <c r="U7539" i="1"/>
  <c r="V7539" i="1"/>
  <c r="W7539" i="1"/>
  <c r="X7539" i="1"/>
  <c r="Y7539" i="1"/>
  <c r="Z7539" i="1"/>
  <c r="A7540" i="1"/>
  <c r="B7540" i="1"/>
  <c r="C7540" i="1"/>
  <c r="D7540" i="1"/>
  <c r="E7540" i="1"/>
  <c r="F7540" i="1"/>
  <c r="G7540" i="1"/>
  <c r="I7540" i="1"/>
  <c r="J7540" i="1"/>
  <c r="K7540" i="1"/>
  <c r="L7540" i="1"/>
  <c r="M7540" i="1"/>
  <c r="N7540" i="1"/>
  <c r="O7540" i="1"/>
  <c r="P7540" i="1"/>
  <c r="Q7540" i="1"/>
  <c r="R7540" i="1"/>
  <c r="S7540" i="1"/>
  <c r="T7540" i="1"/>
  <c r="U7540" i="1"/>
  <c r="V7540" i="1"/>
  <c r="W7540" i="1"/>
  <c r="X7540" i="1"/>
  <c r="Y7540" i="1"/>
  <c r="Z7540" i="1"/>
  <c r="A7541" i="1"/>
  <c r="B7541" i="1"/>
  <c r="C7541" i="1"/>
  <c r="D7541" i="1"/>
  <c r="E7541" i="1"/>
  <c r="F7541" i="1"/>
  <c r="G7541" i="1"/>
  <c r="I7541" i="1"/>
  <c r="J7541" i="1"/>
  <c r="K7541" i="1"/>
  <c r="L7541" i="1"/>
  <c r="M7541" i="1"/>
  <c r="N7541" i="1"/>
  <c r="O7541" i="1"/>
  <c r="P7541" i="1"/>
  <c r="Q7541" i="1"/>
  <c r="R7541" i="1"/>
  <c r="S7541" i="1"/>
  <c r="T7541" i="1"/>
  <c r="U7541" i="1"/>
  <c r="V7541" i="1"/>
  <c r="W7541" i="1"/>
  <c r="X7541" i="1"/>
  <c r="Y7541" i="1"/>
  <c r="Z7541" i="1"/>
  <c r="A7542" i="1"/>
  <c r="B7542" i="1"/>
  <c r="C7542" i="1"/>
  <c r="D7542" i="1"/>
  <c r="E7542" i="1"/>
  <c r="F7542" i="1"/>
  <c r="G7542" i="1"/>
  <c r="I7542" i="1"/>
  <c r="J7542" i="1"/>
  <c r="K7542" i="1"/>
  <c r="L7542" i="1"/>
  <c r="M7542" i="1"/>
  <c r="N7542" i="1"/>
  <c r="O7542" i="1"/>
  <c r="P7542" i="1"/>
  <c r="Q7542" i="1"/>
  <c r="R7542" i="1"/>
  <c r="S7542" i="1"/>
  <c r="T7542" i="1"/>
  <c r="U7542" i="1"/>
  <c r="V7542" i="1"/>
  <c r="W7542" i="1"/>
  <c r="X7542" i="1"/>
  <c r="Y7542" i="1"/>
  <c r="Z7542" i="1"/>
  <c r="A7543" i="1"/>
  <c r="B7543" i="1"/>
  <c r="C7543" i="1"/>
  <c r="D7543" i="1"/>
  <c r="E7543" i="1"/>
  <c r="F7543" i="1"/>
  <c r="G7543" i="1"/>
  <c r="I7543" i="1"/>
  <c r="J7543" i="1"/>
  <c r="K7543" i="1"/>
  <c r="L7543" i="1"/>
  <c r="M7543" i="1"/>
  <c r="N7543" i="1"/>
  <c r="O7543" i="1"/>
  <c r="P7543" i="1"/>
  <c r="Q7543" i="1"/>
  <c r="R7543" i="1"/>
  <c r="S7543" i="1"/>
  <c r="T7543" i="1"/>
  <c r="U7543" i="1"/>
  <c r="V7543" i="1"/>
  <c r="W7543" i="1"/>
  <c r="X7543" i="1"/>
  <c r="Y7543" i="1"/>
  <c r="Z7543" i="1"/>
  <c r="A7544" i="1"/>
  <c r="B7544" i="1"/>
  <c r="C7544" i="1"/>
  <c r="D7544" i="1"/>
  <c r="E7544" i="1"/>
  <c r="F7544" i="1"/>
  <c r="G7544" i="1"/>
  <c r="I7544" i="1"/>
  <c r="J7544" i="1"/>
  <c r="K7544" i="1"/>
  <c r="L7544" i="1"/>
  <c r="M7544" i="1"/>
  <c r="N7544" i="1"/>
  <c r="O7544" i="1"/>
  <c r="P7544" i="1"/>
  <c r="Q7544" i="1"/>
  <c r="R7544" i="1"/>
  <c r="S7544" i="1"/>
  <c r="T7544" i="1"/>
  <c r="U7544" i="1"/>
  <c r="V7544" i="1"/>
  <c r="W7544" i="1"/>
  <c r="X7544" i="1"/>
  <c r="Y7544" i="1"/>
  <c r="Z7544" i="1"/>
  <c r="A7545" i="1"/>
  <c r="B7545" i="1"/>
  <c r="C7545" i="1"/>
  <c r="D7545" i="1"/>
  <c r="E7545" i="1"/>
  <c r="F7545" i="1"/>
  <c r="G7545" i="1"/>
  <c r="I7545" i="1"/>
  <c r="J7545" i="1"/>
  <c r="K7545" i="1"/>
  <c r="L7545" i="1"/>
  <c r="M7545" i="1"/>
  <c r="N7545" i="1"/>
  <c r="O7545" i="1"/>
  <c r="P7545" i="1"/>
  <c r="Q7545" i="1"/>
  <c r="R7545" i="1"/>
  <c r="S7545" i="1"/>
  <c r="T7545" i="1"/>
  <c r="U7545" i="1"/>
  <c r="V7545" i="1"/>
  <c r="W7545" i="1"/>
  <c r="X7545" i="1"/>
  <c r="Y7545" i="1"/>
  <c r="Z7545" i="1"/>
  <c r="A7546" i="1"/>
  <c r="B7546" i="1"/>
  <c r="C7546" i="1"/>
  <c r="D7546" i="1"/>
  <c r="E7546" i="1"/>
  <c r="F7546" i="1"/>
  <c r="G7546" i="1"/>
  <c r="I7546" i="1"/>
  <c r="J7546" i="1"/>
  <c r="K7546" i="1"/>
  <c r="L7546" i="1"/>
  <c r="M7546" i="1"/>
  <c r="N7546" i="1"/>
  <c r="O7546" i="1"/>
  <c r="P7546" i="1"/>
  <c r="Q7546" i="1"/>
  <c r="R7546" i="1"/>
  <c r="S7546" i="1"/>
  <c r="T7546" i="1"/>
  <c r="U7546" i="1"/>
  <c r="V7546" i="1"/>
  <c r="W7546" i="1"/>
  <c r="X7546" i="1"/>
  <c r="Y7546" i="1"/>
  <c r="Z7546" i="1"/>
  <c r="A7547" i="1"/>
  <c r="B7547" i="1"/>
  <c r="C7547" i="1"/>
  <c r="D7547" i="1"/>
  <c r="E7547" i="1"/>
  <c r="F7547" i="1"/>
  <c r="G7547" i="1"/>
  <c r="I7547" i="1"/>
  <c r="J7547" i="1"/>
  <c r="K7547" i="1"/>
  <c r="L7547" i="1"/>
  <c r="M7547" i="1"/>
  <c r="N7547" i="1"/>
  <c r="O7547" i="1"/>
  <c r="P7547" i="1"/>
  <c r="Q7547" i="1"/>
  <c r="R7547" i="1"/>
  <c r="S7547" i="1"/>
  <c r="T7547" i="1"/>
  <c r="U7547" i="1"/>
  <c r="V7547" i="1"/>
  <c r="W7547" i="1"/>
  <c r="X7547" i="1"/>
  <c r="Y7547" i="1"/>
  <c r="Z7547" i="1"/>
  <c r="A7548" i="1"/>
  <c r="B7548" i="1"/>
  <c r="C7548" i="1"/>
  <c r="D7548" i="1"/>
  <c r="E7548" i="1"/>
  <c r="F7548" i="1"/>
  <c r="G7548" i="1"/>
  <c r="I7548" i="1"/>
  <c r="J7548" i="1"/>
  <c r="K7548" i="1"/>
  <c r="L7548" i="1"/>
  <c r="M7548" i="1"/>
  <c r="N7548" i="1"/>
  <c r="O7548" i="1"/>
  <c r="P7548" i="1"/>
  <c r="Q7548" i="1"/>
  <c r="R7548" i="1"/>
  <c r="S7548" i="1"/>
  <c r="T7548" i="1"/>
  <c r="U7548" i="1"/>
  <c r="V7548" i="1"/>
  <c r="W7548" i="1"/>
  <c r="X7548" i="1"/>
  <c r="Y7548" i="1"/>
  <c r="Z7548" i="1"/>
  <c r="A7549" i="1"/>
  <c r="B7549" i="1"/>
  <c r="C7549" i="1"/>
  <c r="D7549" i="1"/>
  <c r="E7549" i="1"/>
  <c r="F7549" i="1"/>
  <c r="G7549" i="1"/>
  <c r="I7549" i="1"/>
  <c r="J7549" i="1"/>
  <c r="K7549" i="1"/>
  <c r="L7549" i="1"/>
  <c r="M7549" i="1"/>
  <c r="N7549" i="1"/>
  <c r="O7549" i="1"/>
  <c r="P7549" i="1"/>
  <c r="Q7549" i="1"/>
  <c r="R7549" i="1"/>
  <c r="S7549" i="1"/>
  <c r="T7549" i="1"/>
  <c r="U7549" i="1"/>
  <c r="V7549" i="1"/>
  <c r="W7549" i="1"/>
  <c r="X7549" i="1"/>
  <c r="Y7549" i="1"/>
  <c r="Z7549" i="1"/>
  <c r="A7550" i="1"/>
  <c r="B7550" i="1"/>
  <c r="C7550" i="1"/>
  <c r="D7550" i="1"/>
  <c r="E7550" i="1"/>
  <c r="F7550" i="1"/>
  <c r="G7550" i="1"/>
  <c r="I7550" i="1"/>
  <c r="J7550" i="1"/>
  <c r="K7550" i="1"/>
  <c r="L7550" i="1"/>
  <c r="M7550" i="1"/>
  <c r="N7550" i="1"/>
  <c r="O7550" i="1"/>
  <c r="P7550" i="1"/>
  <c r="Q7550" i="1"/>
  <c r="R7550" i="1"/>
  <c r="S7550" i="1"/>
  <c r="T7550" i="1"/>
  <c r="U7550" i="1"/>
  <c r="V7550" i="1"/>
  <c r="W7550" i="1"/>
  <c r="X7550" i="1"/>
  <c r="Y7550" i="1"/>
  <c r="Z7550" i="1"/>
  <c r="A7551" i="1"/>
  <c r="B7551" i="1"/>
  <c r="C7551" i="1"/>
  <c r="D7551" i="1"/>
  <c r="E7551" i="1"/>
  <c r="F7551" i="1"/>
  <c r="G7551" i="1"/>
  <c r="I7551" i="1"/>
  <c r="J7551" i="1"/>
  <c r="K7551" i="1"/>
  <c r="L7551" i="1"/>
  <c r="M7551" i="1"/>
  <c r="N7551" i="1"/>
  <c r="O7551" i="1"/>
  <c r="P7551" i="1"/>
  <c r="Q7551" i="1"/>
  <c r="R7551" i="1"/>
  <c r="S7551" i="1"/>
  <c r="T7551" i="1"/>
  <c r="U7551" i="1"/>
  <c r="V7551" i="1"/>
  <c r="W7551" i="1"/>
  <c r="X7551" i="1"/>
  <c r="Y7551" i="1"/>
  <c r="Z7551" i="1"/>
  <c r="A7552" i="1"/>
  <c r="B7552" i="1"/>
  <c r="C7552" i="1"/>
  <c r="D7552" i="1"/>
  <c r="E7552" i="1"/>
  <c r="F7552" i="1"/>
  <c r="G7552" i="1"/>
  <c r="I7552" i="1"/>
  <c r="J7552" i="1"/>
  <c r="K7552" i="1"/>
  <c r="L7552" i="1"/>
  <c r="M7552" i="1"/>
  <c r="N7552" i="1"/>
  <c r="O7552" i="1"/>
  <c r="P7552" i="1"/>
  <c r="Q7552" i="1"/>
  <c r="R7552" i="1"/>
  <c r="S7552" i="1"/>
  <c r="T7552" i="1"/>
  <c r="U7552" i="1"/>
  <c r="V7552" i="1"/>
  <c r="W7552" i="1"/>
  <c r="X7552" i="1"/>
  <c r="Y7552" i="1"/>
  <c r="Z7552" i="1"/>
  <c r="A7553" i="1"/>
  <c r="B7553" i="1"/>
  <c r="C7553" i="1"/>
  <c r="D7553" i="1"/>
  <c r="E7553" i="1"/>
  <c r="F7553" i="1"/>
  <c r="G7553" i="1"/>
  <c r="I7553" i="1"/>
  <c r="J7553" i="1"/>
  <c r="K7553" i="1"/>
  <c r="L7553" i="1"/>
  <c r="M7553" i="1"/>
  <c r="N7553" i="1"/>
  <c r="O7553" i="1"/>
  <c r="P7553" i="1"/>
  <c r="Q7553" i="1"/>
  <c r="R7553" i="1"/>
  <c r="S7553" i="1"/>
  <c r="T7553" i="1"/>
  <c r="U7553" i="1"/>
  <c r="V7553" i="1"/>
  <c r="W7553" i="1"/>
  <c r="X7553" i="1"/>
  <c r="Y7553" i="1"/>
  <c r="Z7553" i="1"/>
  <c r="A7554" i="1"/>
  <c r="B7554" i="1"/>
  <c r="C7554" i="1"/>
  <c r="D7554" i="1"/>
  <c r="E7554" i="1"/>
  <c r="F7554" i="1"/>
  <c r="G7554" i="1"/>
  <c r="I7554" i="1"/>
  <c r="J7554" i="1"/>
  <c r="K7554" i="1"/>
  <c r="L7554" i="1"/>
  <c r="M7554" i="1"/>
  <c r="N7554" i="1"/>
  <c r="O7554" i="1"/>
  <c r="P7554" i="1"/>
  <c r="Q7554" i="1"/>
  <c r="R7554" i="1"/>
  <c r="S7554" i="1"/>
  <c r="T7554" i="1"/>
  <c r="U7554" i="1"/>
  <c r="V7554" i="1"/>
  <c r="W7554" i="1"/>
  <c r="X7554" i="1"/>
  <c r="Y7554" i="1"/>
  <c r="Z7554" i="1"/>
  <c r="A7555" i="1"/>
  <c r="B7555" i="1"/>
  <c r="C7555" i="1"/>
  <c r="D7555" i="1"/>
  <c r="E7555" i="1"/>
  <c r="F7555" i="1"/>
  <c r="G7555" i="1"/>
  <c r="I7555" i="1"/>
  <c r="J7555" i="1"/>
  <c r="K7555" i="1"/>
  <c r="L7555" i="1"/>
  <c r="M7555" i="1"/>
  <c r="N7555" i="1"/>
  <c r="O7555" i="1"/>
  <c r="P7555" i="1"/>
  <c r="Q7555" i="1"/>
  <c r="R7555" i="1"/>
  <c r="S7555" i="1"/>
  <c r="T7555" i="1"/>
  <c r="U7555" i="1"/>
  <c r="V7555" i="1"/>
  <c r="W7555" i="1"/>
  <c r="X7555" i="1"/>
  <c r="Y7555" i="1"/>
  <c r="Z7555" i="1"/>
  <c r="A7556" i="1"/>
  <c r="B7556" i="1"/>
  <c r="C7556" i="1"/>
  <c r="D7556" i="1"/>
  <c r="E7556" i="1"/>
  <c r="F7556" i="1"/>
  <c r="G7556" i="1"/>
  <c r="I7556" i="1"/>
  <c r="J7556" i="1"/>
  <c r="K7556" i="1"/>
  <c r="L7556" i="1"/>
  <c r="M7556" i="1"/>
  <c r="N7556" i="1"/>
  <c r="O7556" i="1"/>
  <c r="P7556" i="1"/>
  <c r="Q7556" i="1"/>
  <c r="R7556" i="1"/>
  <c r="S7556" i="1"/>
  <c r="T7556" i="1"/>
  <c r="U7556" i="1"/>
  <c r="V7556" i="1"/>
  <c r="W7556" i="1"/>
  <c r="X7556" i="1"/>
  <c r="Y7556" i="1"/>
  <c r="Z7556" i="1"/>
  <c r="A7557" i="1"/>
  <c r="B7557" i="1"/>
  <c r="C7557" i="1"/>
  <c r="D7557" i="1"/>
  <c r="E7557" i="1"/>
  <c r="F7557" i="1"/>
  <c r="G7557" i="1"/>
  <c r="I7557" i="1"/>
  <c r="J7557" i="1"/>
  <c r="K7557" i="1"/>
  <c r="L7557" i="1"/>
  <c r="M7557" i="1"/>
  <c r="N7557" i="1"/>
  <c r="O7557" i="1"/>
  <c r="P7557" i="1"/>
  <c r="Q7557" i="1"/>
  <c r="R7557" i="1"/>
  <c r="S7557" i="1"/>
  <c r="T7557" i="1"/>
  <c r="U7557" i="1"/>
  <c r="V7557" i="1"/>
  <c r="W7557" i="1"/>
  <c r="X7557" i="1"/>
  <c r="Y7557" i="1"/>
  <c r="Z7557" i="1"/>
  <c r="A7558" i="1"/>
  <c r="B7558" i="1"/>
  <c r="C7558" i="1"/>
  <c r="D7558" i="1"/>
  <c r="E7558" i="1"/>
  <c r="F7558" i="1"/>
  <c r="G7558" i="1"/>
  <c r="I7558" i="1"/>
  <c r="J7558" i="1"/>
  <c r="K7558" i="1"/>
  <c r="L7558" i="1"/>
  <c r="M7558" i="1"/>
  <c r="N7558" i="1"/>
  <c r="O7558" i="1"/>
  <c r="P7558" i="1"/>
  <c r="Q7558" i="1"/>
  <c r="R7558" i="1"/>
  <c r="S7558" i="1"/>
  <c r="T7558" i="1"/>
  <c r="U7558" i="1"/>
  <c r="V7558" i="1"/>
  <c r="W7558" i="1"/>
  <c r="X7558" i="1"/>
  <c r="Y7558" i="1"/>
  <c r="Z7558" i="1"/>
  <c r="A7559" i="1"/>
  <c r="B7559" i="1"/>
  <c r="C7559" i="1"/>
  <c r="D7559" i="1"/>
  <c r="E7559" i="1"/>
  <c r="F7559" i="1"/>
  <c r="G7559" i="1"/>
  <c r="I7559" i="1"/>
  <c r="J7559" i="1"/>
  <c r="K7559" i="1"/>
  <c r="L7559" i="1"/>
  <c r="M7559" i="1"/>
  <c r="N7559" i="1"/>
  <c r="O7559" i="1"/>
  <c r="P7559" i="1"/>
  <c r="Q7559" i="1"/>
  <c r="R7559" i="1"/>
  <c r="S7559" i="1"/>
  <c r="T7559" i="1"/>
  <c r="U7559" i="1"/>
  <c r="V7559" i="1"/>
  <c r="W7559" i="1"/>
  <c r="X7559" i="1"/>
  <c r="Y7559" i="1"/>
  <c r="Z7559" i="1"/>
  <c r="A7560" i="1"/>
  <c r="B7560" i="1"/>
  <c r="C7560" i="1"/>
  <c r="D7560" i="1"/>
  <c r="E7560" i="1"/>
  <c r="F7560" i="1"/>
  <c r="G7560" i="1"/>
  <c r="I7560" i="1"/>
  <c r="J7560" i="1"/>
  <c r="K7560" i="1"/>
  <c r="L7560" i="1"/>
  <c r="M7560" i="1"/>
  <c r="N7560" i="1"/>
  <c r="O7560" i="1"/>
  <c r="P7560" i="1"/>
  <c r="Q7560" i="1"/>
  <c r="R7560" i="1"/>
  <c r="S7560" i="1"/>
  <c r="T7560" i="1"/>
  <c r="U7560" i="1"/>
  <c r="V7560" i="1"/>
  <c r="W7560" i="1"/>
  <c r="X7560" i="1"/>
  <c r="Y7560" i="1"/>
  <c r="Z7560" i="1"/>
  <c r="A7561" i="1"/>
  <c r="B7561" i="1"/>
  <c r="C7561" i="1"/>
  <c r="D7561" i="1"/>
  <c r="E7561" i="1"/>
  <c r="F7561" i="1"/>
  <c r="G7561" i="1"/>
  <c r="I7561" i="1"/>
  <c r="J7561" i="1"/>
  <c r="K7561" i="1"/>
  <c r="L7561" i="1"/>
  <c r="M7561" i="1"/>
  <c r="N7561" i="1"/>
  <c r="O7561" i="1"/>
  <c r="P7561" i="1"/>
  <c r="Q7561" i="1"/>
  <c r="R7561" i="1"/>
  <c r="S7561" i="1"/>
  <c r="T7561" i="1"/>
  <c r="U7561" i="1"/>
  <c r="V7561" i="1"/>
  <c r="W7561" i="1"/>
  <c r="X7561" i="1"/>
  <c r="Y7561" i="1"/>
  <c r="Z7561" i="1"/>
  <c r="A7562" i="1"/>
  <c r="B7562" i="1"/>
  <c r="C7562" i="1"/>
  <c r="D7562" i="1"/>
  <c r="E7562" i="1"/>
  <c r="F7562" i="1"/>
  <c r="G7562" i="1"/>
  <c r="I7562" i="1"/>
  <c r="J7562" i="1"/>
  <c r="K7562" i="1"/>
  <c r="L7562" i="1"/>
  <c r="M7562" i="1"/>
  <c r="N7562" i="1"/>
  <c r="O7562" i="1"/>
  <c r="P7562" i="1"/>
  <c r="Q7562" i="1"/>
  <c r="R7562" i="1"/>
  <c r="S7562" i="1"/>
  <c r="T7562" i="1"/>
  <c r="U7562" i="1"/>
  <c r="V7562" i="1"/>
  <c r="W7562" i="1"/>
  <c r="X7562" i="1"/>
  <c r="Y7562" i="1"/>
  <c r="Z7562" i="1"/>
  <c r="A7563" i="1"/>
  <c r="B7563" i="1"/>
  <c r="C7563" i="1"/>
  <c r="D7563" i="1"/>
  <c r="E7563" i="1"/>
  <c r="F7563" i="1"/>
  <c r="G7563" i="1"/>
  <c r="I7563" i="1"/>
  <c r="J7563" i="1"/>
  <c r="K7563" i="1"/>
  <c r="L7563" i="1"/>
  <c r="M7563" i="1"/>
  <c r="N7563" i="1"/>
  <c r="O7563" i="1"/>
  <c r="P7563" i="1"/>
  <c r="Q7563" i="1"/>
  <c r="R7563" i="1"/>
  <c r="S7563" i="1"/>
  <c r="T7563" i="1"/>
  <c r="U7563" i="1"/>
  <c r="V7563" i="1"/>
  <c r="W7563" i="1"/>
  <c r="X7563" i="1"/>
  <c r="Y7563" i="1"/>
  <c r="Z7563" i="1"/>
  <c r="A7564" i="1"/>
  <c r="B7564" i="1"/>
  <c r="C7564" i="1"/>
  <c r="D7564" i="1"/>
  <c r="E7564" i="1"/>
  <c r="F7564" i="1"/>
  <c r="G7564" i="1"/>
  <c r="I7564" i="1"/>
  <c r="J7564" i="1"/>
  <c r="K7564" i="1"/>
  <c r="L7564" i="1"/>
  <c r="M7564" i="1"/>
  <c r="N7564" i="1"/>
  <c r="O7564" i="1"/>
  <c r="P7564" i="1"/>
  <c r="Q7564" i="1"/>
  <c r="R7564" i="1"/>
  <c r="S7564" i="1"/>
  <c r="T7564" i="1"/>
  <c r="U7564" i="1"/>
  <c r="V7564" i="1"/>
  <c r="W7564" i="1"/>
  <c r="X7564" i="1"/>
  <c r="Y7564" i="1"/>
  <c r="Z7564" i="1"/>
  <c r="A7565" i="1"/>
  <c r="B7565" i="1"/>
  <c r="C7565" i="1"/>
  <c r="D7565" i="1"/>
  <c r="E7565" i="1"/>
  <c r="F7565" i="1"/>
  <c r="G7565" i="1"/>
  <c r="I7565" i="1"/>
  <c r="J7565" i="1"/>
  <c r="K7565" i="1"/>
  <c r="L7565" i="1"/>
  <c r="M7565" i="1"/>
  <c r="N7565" i="1"/>
  <c r="O7565" i="1"/>
  <c r="P7565" i="1"/>
  <c r="Q7565" i="1"/>
  <c r="R7565" i="1"/>
  <c r="S7565" i="1"/>
  <c r="T7565" i="1"/>
  <c r="U7565" i="1"/>
  <c r="V7565" i="1"/>
  <c r="W7565" i="1"/>
  <c r="X7565" i="1"/>
  <c r="Y7565" i="1"/>
  <c r="Z7565" i="1"/>
  <c r="A7566" i="1"/>
  <c r="B7566" i="1"/>
  <c r="C7566" i="1"/>
  <c r="D7566" i="1"/>
  <c r="E7566" i="1"/>
  <c r="F7566" i="1"/>
  <c r="G7566" i="1"/>
  <c r="I7566" i="1"/>
  <c r="J7566" i="1"/>
  <c r="K7566" i="1"/>
  <c r="L7566" i="1"/>
  <c r="M7566" i="1"/>
  <c r="N7566" i="1"/>
  <c r="O7566" i="1"/>
  <c r="P7566" i="1"/>
  <c r="Q7566" i="1"/>
  <c r="R7566" i="1"/>
  <c r="S7566" i="1"/>
  <c r="T7566" i="1"/>
  <c r="U7566" i="1"/>
  <c r="V7566" i="1"/>
  <c r="W7566" i="1"/>
  <c r="X7566" i="1"/>
  <c r="Y7566" i="1"/>
  <c r="Z7566" i="1"/>
  <c r="A7567" i="1"/>
  <c r="B7567" i="1"/>
  <c r="C7567" i="1"/>
  <c r="D7567" i="1"/>
  <c r="E7567" i="1"/>
  <c r="F7567" i="1"/>
  <c r="G7567" i="1"/>
  <c r="I7567" i="1"/>
  <c r="J7567" i="1"/>
  <c r="K7567" i="1"/>
  <c r="L7567" i="1"/>
  <c r="M7567" i="1"/>
  <c r="N7567" i="1"/>
  <c r="O7567" i="1"/>
  <c r="P7567" i="1"/>
  <c r="Q7567" i="1"/>
  <c r="R7567" i="1"/>
  <c r="S7567" i="1"/>
  <c r="T7567" i="1"/>
  <c r="U7567" i="1"/>
  <c r="V7567" i="1"/>
  <c r="W7567" i="1"/>
  <c r="X7567" i="1"/>
  <c r="Y7567" i="1"/>
  <c r="Z7567" i="1"/>
  <c r="A7568" i="1"/>
  <c r="B7568" i="1"/>
  <c r="C7568" i="1"/>
  <c r="D7568" i="1"/>
  <c r="E7568" i="1"/>
  <c r="F7568" i="1"/>
  <c r="G7568" i="1"/>
  <c r="I7568" i="1"/>
  <c r="J7568" i="1"/>
  <c r="K7568" i="1"/>
  <c r="L7568" i="1"/>
  <c r="M7568" i="1"/>
  <c r="N7568" i="1"/>
  <c r="O7568" i="1"/>
  <c r="P7568" i="1"/>
  <c r="Q7568" i="1"/>
  <c r="R7568" i="1"/>
  <c r="S7568" i="1"/>
  <c r="T7568" i="1"/>
  <c r="U7568" i="1"/>
  <c r="V7568" i="1"/>
  <c r="W7568" i="1"/>
  <c r="X7568" i="1"/>
  <c r="Y7568" i="1"/>
  <c r="Z7568" i="1"/>
  <c r="A7569" i="1"/>
  <c r="B7569" i="1"/>
  <c r="C7569" i="1"/>
  <c r="D7569" i="1"/>
  <c r="E7569" i="1"/>
  <c r="F7569" i="1"/>
  <c r="G7569" i="1"/>
  <c r="I7569" i="1"/>
  <c r="J7569" i="1"/>
  <c r="K7569" i="1"/>
  <c r="L7569" i="1"/>
  <c r="M7569" i="1"/>
  <c r="N7569" i="1"/>
  <c r="O7569" i="1"/>
  <c r="P7569" i="1"/>
  <c r="Q7569" i="1"/>
  <c r="R7569" i="1"/>
  <c r="S7569" i="1"/>
  <c r="T7569" i="1"/>
  <c r="U7569" i="1"/>
  <c r="V7569" i="1"/>
  <c r="W7569" i="1"/>
  <c r="X7569" i="1"/>
  <c r="Y7569" i="1"/>
  <c r="Z7569" i="1"/>
  <c r="A7570" i="1"/>
  <c r="B7570" i="1"/>
  <c r="C7570" i="1"/>
  <c r="D7570" i="1"/>
  <c r="E7570" i="1"/>
  <c r="F7570" i="1"/>
  <c r="G7570" i="1"/>
  <c r="I7570" i="1"/>
  <c r="J7570" i="1"/>
  <c r="K7570" i="1"/>
  <c r="L7570" i="1"/>
  <c r="M7570" i="1"/>
  <c r="N7570" i="1"/>
  <c r="O7570" i="1"/>
  <c r="P7570" i="1"/>
  <c r="Q7570" i="1"/>
  <c r="R7570" i="1"/>
  <c r="S7570" i="1"/>
  <c r="T7570" i="1"/>
  <c r="U7570" i="1"/>
  <c r="V7570" i="1"/>
  <c r="W7570" i="1"/>
  <c r="X7570" i="1"/>
  <c r="Y7570" i="1"/>
  <c r="Z7570" i="1"/>
  <c r="A7571" i="1"/>
  <c r="B7571" i="1"/>
  <c r="C7571" i="1"/>
  <c r="D7571" i="1"/>
  <c r="E7571" i="1"/>
  <c r="F7571" i="1"/>
  <c r="G7571" i="1"/>
  <c r="I7571" i="1"/>
  <c r="J7571" i="1"/>
  <c r="K7571" i="1"/>
  <c r="L7571" i="1"/>
  <c r="M7571" i="1"/>
  <c r="N7571" i="1"/>
  <c r="O7571" i="1"/>
  <c r="P7571" i="1"/>
  <c r="Q7571" i="1"/>
  <c r="R7571" i="1"/>
  <c r="S7571" i="1"/>
  <c r="T7571" i="1"/>
  <c r="U7571" i="1"/>
  <c r="V7571" i="1"/>
  <c r="W7571" i="1"/>
  <c r="X7571" i="1"/>
  <c r="Y7571" i="1"/>
  <c r="Z7571" i="1"/>
  <c r="A7572" i="1"/>
  <c r="B7572" i="1"/>
  <c r="C7572" i="1"/>
  <c r="D7572" i="1"/>
  <c r="E7572" i="1"/>
  <c r="F7572" i="1"/>
  <c r="G7572" i="1"/>
  <c r="I7572" i="1"/>
  <c r="J7572" i="1"/>
  <c r="K7572" i="1"/>
  <c r="L7572" i="1"/>
  <c r="M7572" i="1"/>
  <c r="N7572" i="1"/>
  <c r="O7572" i="1"/>
  <c r="P7572" i="1"/>
  <c r="Q7572" i="1"/>
  <c r="R7572" i="1"/>
  <c r="S7572" i="1"/>
  <c r="T7572" i="1"/>
  <c r="U7572" i="1"/>
  <c r="V7572" i="1"/>
  <c r="W7572" i="1"/>
  <c r="X7572" i="1"/>
  <c r="Y7572" i="1"/>
  <c r="Z7572" i="1"/>
  <c r="A7573" i="1"/>
  <c r="B7573" i="1"/>
  <c r="C7573" i="1"/>
  <c r="D7573" i="1"/>
  <c r="E7573" i="1"/>
  <c r="F7573" i="1"/>
  <c r="G7573" i="1"/>
  <c r="I7573" i="1"/>
  <c r="J7573" i="1"/>
  <c r="K7573" i="1"/>
  <c r="L7573" i="1"/>
  <c r="M7573" i="1"/>
  <c r="N7573" i="1"/>
  <c r="O7573" i="1"/>
  <c r="P7573" i="1"/>
  <c r="Q7573" i="1"/>
  <c r="R7573" i="1"/>
  <c r="S7573" i="1"/>
  <c r="T7573" i="1"/>
  <c r="U7573" i="1"/>
  <c r="V7573" i="1"/>
  <c r="W7573" i="1"/>
  <c r="X7573" i="1"/>
  <c r="Y7573" i="1"/>
  <c r="Z7573" i="1"/>
  <c r="A7574" i="1"/>
  <c r="B7574" i="1"/>
  <c r="C7574" i="1"/>
  <c r="D7574" i="1"/>
  <c r="E7574" i="1"/>
  <c r="F7574" i="1"/>
  <c r="G7574" i="1"/>
  <c r="I7574" i="1"/>
  <c r="J7574" i="1"/>
  <c r="K7574" i="1"/>
  <c r="L7574" i="1"/>
  <c r="M7574" i="1"/>
  <c r="N7574" i="1"/>
  <c r="O7574" i="1"/>
  <c r="P7574" i="1"/>
  <c r="Q7574" i="1"/>
  <c r="R7574" i="1"/>
  <c r="S7574" i="1"/>
  <c r="T7574" i="1"/>
  <c r="U7574" i="1"/>
  <c r="V7574" i="1"/>
  <c r="W7574" i="1"/>
  <c r="X7574" i="1"/>
  <c r="Y7574" i="1"/>
  <c r="Z7574" i="1"/>
  <c r="A7575" i="1"/>
  <c r="B7575" i="1"/>
  <c r="C7575" i="1"/>
  <c r="D7575" i="1"/>
  <c r="E7575" i="1"/>
  <c r="F7575" i="1"/>
  <c r="G7575" i="1"/>
  <c r="I7575" i="1"/>
  <c r="J7575" i="1"/>
  <c r="K7575" i="1"/>
  <c r="L7575" i="1"/>
  <c r="M7575" i="1"/>
  <c r="N7575" i="1"/>
  <c r="O7575" i="1"/>
  <c r="P7575" i="1"/>
  <c r="Q7575" i="1"/>
  <c r="R7575" i="1"/>
  <c r="S7575" i="1"/>
  <c r="T7575" i="1"/>
  <c r="U7575" i="1"/>
  <c r="V7575" i="1"/>
  <c r="W7575" i="1"/>
  <c r="X7575" i="1"/>
  <c r="Y7575" i="1"/>
  <c r="Z7575" i="1"/>
  <c r="A7576" i="1"/>
  <c r="B7576" i="1"/>
  <c r="C7576" i="1"/>
  <c r="D7576" i="1"/>
  <c r="E7576" i="1"/>
  <c r="F7576" i="1"/>
  <c r="G7576" i="1"/>
  <c r="I7576" i="1"/>
  <c r="J7576" i="1"/>
  <c r="K7576" i="1"/>
  <c r="L7576" i="1"/>
  <c r="M7576" i="1"/>
  <c r="N7576" i="1"/>
  <c r="O7576" i="1"/>
  <c r="P7576" i="1"/>
  <c r="Q7576" i="1"/>
  <c r="R7576" i="1"/>
  <c r="S7576" i="1"/>
  <c r="T7576" i="1"/>
  <c r="U7576" i="1"/>
  <c r="V7576" i="1"/>
  <c r="W7576" i="1"/>
  <c r="X7576" i="1"/>
  <c r="Y7576" i="1"/>
  <c r="Z7576" i="1"/>
  <c r="A7577" i="1"/>
  <c r="B7577" i="1"/>
  <c r="C7577" i="1"/>
  <c r="D7577" i="1"/>
  <c r="E7577" i="1"/>
  <c r="F7577" i="1"/>
  <c r="G7577" i="1"/>
  <c r="I7577" i="1"/>
  <c r="J7577" i="1"/>
  <c r="K7577" i="1"/>
  <c r="L7577" i="1"/>
  <c r="M7577" i="1"/>
  <c r="N7577" i="1"/>
  <c r="O7577" i="1"/>
  <c r="P7577" i="1"/>
  <c r="Q7577" i="1"/>
  <c r="R7577" i="1"/>
  <c r="S7577" i="1"/>
  <c r="T7577" i="1"/>
  <c r="U7577" i="1"/>
  <c r="V7577" i="1"/>
  <c r="W7577" i="1"/>
  <c r="X7577" i="1"/>
  <c r="Y7577" i="1"/>
  <c r="Z7577" i="1"/>
  <c r="A7578" i="1"/>
  <c r="B7578" i="1"/>
  <c r="C7578" i="1"/>
  <c r="D7578" i="1"/>
  <c r="E7578" i="1"/>
  <c r="F7578" i="1"/>
  <c r="G7578" i="1"/>
  <c r="I7578" i="1"/>
  <c r="J7578" i="1"/>
  <c r="K7578" i="1"/>
  <c r="L7578" i="1"/>
  <c r="M7578" i="1"/>
  <c r="N7578" i="1"/>
  <c r="O7578" i="1"/>
  <c r="P7578" i="1"/>
  <c r="Q7578" i="1"/>
  <c r="R7578" i="1"/>
  <c r="S7578" i="1"/>
  <c r="T7578" i="1"/>
  <c r="U7578" i="1"/>
  <c r="V7578" i="1"/>
  <c r="W7578" i="1"/>
  <c r="X7578" i="1"/>
  <c r="Y7578" i="1"/>
  <c r="Z7578" i="1"/>
  <c r="A7579" i="1"/>
  <c r="B7579" i="1"/>
  <c r="C7579" i="1"/>
  <c r="D7579" i="1"/>
  <c r="E7579" i="1"/>
  <c r="F7579" i="1"/>
  <c r="G7579" i="1"/>
  <c r="I7579" i="1"/>
  <c r="J7579" i="1"/>
  <c r="K7579" i="1"/>
  <c r="L7579" i="1"/>
  <c r="M7579" i="1"/>
  <c r="N7579" i="1"/>
  <c r="O7579" i="1"/>
  <c r="P7579" i="1"/>
  <c r="Q7579" i="1"/>
  <c r="R7579" i="1"/>
  <c r="S7579" i="1"/>
  <c r="T7579" i="1"/>
  <c r="U7579" i="1"/>
  <c r="V7579" i="1"/>
  <c r="W7579" i="1"/>
  <c r="X7579" i="1"/>
  <c r="Y7579" i="1"/>
  <c r="Z7579" i="1"/>
  <c r="A7580" i="1"/>
  <c r="B7580" i="1"/>
  <c r="C7580" i="1"/>
  <c r="D7580" i="1"/>
  <c r="E7580" i="1"/>
  <c r="F7580" i="1"/>
  <c r="G7580" i="1"/>
  <c r="I7580" i="1"/>
  <c r="J7580" i="1"/>
  <c r="K7580" i="1"/>
  <c r="L7580" i="1"/>
  <c r="M7580" i="1"/>
  <c r="N7580" i="1"/>
  <c r="O7580" i="1"/>
  <c r="P7580" i="1"/>
  <c r="Q7580" i="1"/>
  <c r="R7580" i="1"/>
  <c r="S7580" i="1"/>
  <c r="T7580" i="1"/>
  <c r="U7580" i="1"/>
  <c r="V7580" i="1"/>
  <c r="W7580" i="1"/>
  <c r="X7580" i="1"/>
  <c r="Y7580" i="1"/>
  <c r="Z7580" i="1"/>
  <c r="A7581" i="1"/>
  <c r="B7581" i="1"/>
  <c r="C7581" i="1"/>
  <c r="D7581" i="1"/>
  <c r="E7581" i="1"/>
  <c r="F7581" i="1"/>
  <c r="G7581" i="1"/>
  <c r="I7581" i="1"/>
  <c r="J7581" i="1"/>
  <c r="K7581" i="1"/>
  <c r="L7581" i="1"/>
  <c r="M7581" i="1"/>
  <c r="N7581" i="1"/>
  <c r="O7581" i="1"/>
  <c r="P7581" i="1"/>
  <c r="Q7581" i="1"/>
  <c r="R7581" i="1"/>
  <c r="S7581" i="1"/>
  <c r="T7581" i="1"/>
  <c r="U7581" i="1"/>
  <c r="V7581" i="1"/>
  <c r="W7581" i="1"/>
  <c r="X7581" i="1"/>
  <c r="Y7581" i="1"/>
  <c r="Z7581" i="1"/>
  <c r="A7582" i="1"/>
  <c r="B7582" i="1"/>
  <c r="C7582" i="1"/>
  <c r="D7582" i="1"/>
  <c r="E7582" i="1"/>
  <c r="F7582" i="1"/>
  <c r="G7582" i="1"/>
  <c r="I7582" i="1"/>
  <c r="J7582" i="1"/>
  <c r="K7582" i="1"/>
  <c r="L7582" i="1"/>
  <c r="M7582" i="1"/>
  <c r="N7582" i="1"/>
  <c r="O7582" i="1"/>
  <c r="P7582" i="1"/>
  <c r="Q7582" i="1"/>
  <c r="R7582" i="1"/>
  <c r="S7582" i="1"/>
  <c r="T7582" i="1"/>
  <c r="U7582" i="1"/>
  <c r="V7582" i="1"/>
  <c r="W7582" i="1"/>
  <c r="X7582" i="1"/>
  <c r="Y7582" i="1"/>
  <c r="Z7582" i="1"/>
  <c r="A7583" i="1"/>
  <c r="B7583" i="1"/>
  <c r="C7583" i="1"/>
  <c r="D7583" i="1"/>
  <c r="E7583" i="1"/>
  <c r="F7583" i="1"/>
  <c r="G7583" i="1"/>
  <c r="I7583" i="1"/>
  <c r="J7583" i="1"/>
  <c r="K7583" i="1"/>
  <c r="L7583" i="1"/>
  <c r="M7583" i="1"/>
  <c r="N7583" i="1"/>
  <c r="O7583" i="1"/>
  <c r="P7583" i="1"/>
  <c r="Q7583" i="1"/>
  <c r="R7583" i="1"/>
  <c r="S7583" i="1"/>
  <c r="T7583" i="1"/>
  <c r="U7583" i="1"/>
  <c r="V7583" i="1"/>
  <c r="W7583" i="1"/>
  <c r="X7583" i="1"/>
  <c r="Y7583" i="1"/>
  <c r="Z7583" i="1"/>
  <c r="A7584" i="1"/>
  <c r="B7584" i="1"/>
  <c r="C7584" i="1"/>
  <c r="D7584" i="1"/>
  <c r="E7584" i="1"/>
  <c r="F7584" i="1"/>
  <c r="G7584" i="1"/>
  <c r="I7584" i="1"/>
  <c r="J7584" i="1"/>
  <c r="K7584" i="1"/>
  <c r="L7584" i="1"/>
  <c r="M7584" i="1"/>
  <c r="N7584" i="1"/>
  <c r="O7584" i="1"/>
  <c r="P7584" i="1"/>
  <c r="Q7584" i="1"/>
  <c r="R7584" i="1"/>
  <c r="S7584" i="1"/>
  <c r="T7584" i="1"/>
  <c r="U7584" i="1"/>
  <c r="V7584" i="1"/>
  <c r="W7584" i="1"/>
  <c r="X7584" i="1"/>
  <c r="Y7584" i="1"/>
  <c r="Z7584" i="1"/>
  <c r="A7585" i="1"/>
  <c r="B7585" i="1"/>
  <c r="C7585" i="1"/>
  <c r="D7585" i="1"/>
  <c r="E7585" i="1"/>
  <c r="F7585" i="1"/>
  <c r="G7585" i="1"/>
  <c r="I7585" i="1"/>
  <c r="J7585" i="1"/>
  <c r="K7585" i="1"/>
  <c r="L7585" i="1"/>
  <c r="M7585" i="1"/>
  <c r="N7585" i="1"/>
  <c r="O7585" i="1"/>
  <c r="P7585" i="1"/>
  <c r="Q7585" i="1"/>
  <c r="R7585" i="1"/>
  <c r="S7585" i="1"/>
  <c r="T7585" i="1"/>
  <c r="U7585" i="1"/>
  <c r="V7585" i="1"/>
  <c r="W7585" i="1"/>
  <c r="X7585" i="1"/>
  <c r="Y7585" i="1"/>
  <c r="Z7585" i="1"/>
  <c r="A7586" i="1"/>
  <c r="B7586" i="1"/>
  <c r="C7586" i="1"/>
  <c r="D7586" i="1"/>
  <c r="E7586" i="1"/>
  <c r="F7586" i="1"/>
  <c r="G7586" i="1"/>
  <c r="I7586" i="1"/>
  <c r="J7586" i="1"/>
  <c r="K7586" i="1"/>
  <c r="L7586" i="1"/>
  <c r="M7586" i="1"/>
  <c r="N7586" i="1"/>
  <c r="O7586" i="1"/>
  <c r="P7586" i="1"/>
  <c r="Q7586" i="1"/>
  <c r="R7586" i="1"/>
  <c r="S7586" i="1"/>
  <c r="T7586" i="1"/>
  <c r="U7586" i="1"/>
  <c r="V7586" i="1"/>
  <c r="W7586" i="1"/>
  <c r="X7586" i="1"/>
  <c r="Y7586" i="1"/>
  <c r="Z7586" i="1"/>
  <c r="A7587" i="1"/>
  <c r="B7587" i="1"/>
  <c r="C7587" i="1"/>
  <c r="D7587" i="1"/>
  <c r="E7587" i="1"/>
  <c r="F7587" i="1"/>
  <c r="G7587" i="1"/>
  <c r="I7587" i="1"/>
  <c r="J7587" i="1"/>
  <c r="K7587" i="1"/>
  <c r="L7587" i="1"/>
  <c r="M7587" i="1"/>
  <c r="N7587" i="1"/>
  <c r="O7587" i="1"/>
  <c r="P7587" i="1"/>
  <c r="Q7587" i="1"/>
  <c r="R7587" i="1"/>
  <c r="S7587" i="1"/>
  <c r="T7587" i="1"/>
  <c r="U7587" i="1"/>
  <c r="V7587" i="1"/>
  <c r="W7587" i="1"/>
  <c r="X7587" i="1"/>
  <c r="Y7587" i="1"/>
  <c r="Z7587" i="1"/>
  <c r="A7588" i="1"/>
  <c r="B7588" i="1"/>
  <c r="C7588" i="1"/>
  <c r="D7588" i="1"/>
  <c r="E7588" i="1"/>
  <c r="F7588" i="1"/>
  <c r="G7588" i="1"/>
  <c r="I7588" i="1"/>
  <c r="J7588" i="1"/>
  <c r="K7588" i="1"/>
  <c r="L7588" i="1"/>
  <c r="M7588" i="1"/>
  <c r="N7588" i="1"/>
  <c r="O7588" i="1"/>
  <c r="P7588" i="1"/>
  <c r="Q7588" i="1"/>
  <c r="R7588" i="1"/>
  <c r="S7588" i="1"/>
  <c r="T7588" i="1"/>
  <c r="U7588" i="1"/>
  <c r="V7588" i="1"/>
  <c r="W7588" i="1"/>
  <c r="X7588" i="1"/>
  <c r="Y7588" i="1"/>
  <c r="Z7588" i="1"/>
  <c r="A7589" i="1"/>
  <c r="B7589" i="1"/>
  <c r="C7589" i="1"/>
  <c r="D7589" i="1"/>
  <c r="E7589" i="1"/>
  <c r="F7589" i="1"/>
  <c r="G7589" i="1"/>
  <c r="I7589" i="1"/>
  <c r="J7589" i="1"/>
  <c r="K7589" i="1"/>
  <c r="L7589" i="1"/>
  <c r="M7589" i="1"/>
  <c r="N7589" i="1"/>
  <c r="O7589" i="1"/>
  <c r="P7589" i="1"/>
  <c r="Q7589" i="1"/>
  <c r="R7589" i="1"/>
  <c r="S7589" i="1"/>
  <c r="T7589" i="1"/>
  <c r="U7589" i="1"/>
  <c r="V7589" i="1"/>
  <c r="W7589" i="1"/>
  <c r="X7589" i="1"/>
  <c r="Y7589" i="1"/>
  <c r="Z7589" i="1"/>
  <c r="A7590" i="1"/>
  <c r="B7590" i="1"/>
  <c r="C7590" i="1"/>
  <c r="D7590" i="1"/>
  <c r="E7590" i="1"/>
  <c r="F7590" i="1"/>
  <c r="G7590" i="1"/>
  <c r="I7590" i="1"/>
  <c r="J7590" i="1"/>
  <c r="K7590" i="1"/>
  <c r="L7590" i="1"/>
  <c r="M7590" i="1"/>
  <c r="N7590" i="1"/>
  <c r="O7590" i="1"/>
  <c r="P7590" i="1"/>
  <c r="Q7590" i="1"/>
  <c r="R7590" i="1"/>
  <c r="S7590" i="1"/>
  <c r="T7590" i="1"/>
  <c r="U7590" i="1"/>
  <c r="V7590" i="1"/>
  <c r="W7590" i="1"/>
  <c r="X7590" i="1"/>
  <c r="Y7590" i="1"/>
  <c r="Z7590" i="1"/>
  <c r="A7591" i="1"/>
  <c r="B7591" i="1"/>
  <c r="C7591" i="1"/>
  <c r="D7591" i="1"/>
  <c r="E7591" i="1"/>
  <c r="F7591" i="1"/>
  <c r="G7591" i="1"/>
  <c r="I7591" i="1"/>
  <c r="J7591" i="1"/>
  <c r="K7591" i="1"/>
  <c r="L7591" i="1"/>
  <c r="M7591" i="1"/>
  <c r="N7591" i="1"/>
  <c r="O7591" i="1"/>
  <c r="P7591" i="1"/>
  <c r="Q7591" i="1"/>
  <c r="R7591" i="1"/>
  <c r="S7591" i="1"/>
  <c r="T7591" i="1"/>
  <c r="U7591" i="1"/>
  <c r="V7591" i="1"/>
  <c r="W7591" i="1"/>
  <c r="X7591" i="1"/>
  <c r="Y7591" i="1"/>
  <c r="Z7591" i="1"/>
  <c r="A7592" i="1"/>
  <c r="B7592" i="1"/>
  <c r="C7592" i="1"/>
  <c r="D7592" i="1"/>
  <c r="E7592" i="1"/>
  <c r="F7592" i="1"/>
  <c r="G7592" i="1"/>
  <c r="I7592" i="1"/>
  <c r="J7592" i="1"/>
  <c r="K7592" i="1"/>
  <c r="L7592" i="1"/>
  <c r="M7592" i="1"/>
  <c r="N7592" i="1"/>
  <c r="O7592" i="1"/>
  <c r="P7592" i="1"/>
  <c r="Q7592" i="1"/>
  <c r="R7592" i="1"/>
  <c r="S7592" i="1"/>
  <c r="T7592" i="1"/>
  <c r="U7592" i="1"/>
  <c r="V7592" i="1"/>
  <c r="W7592" i="1"/>
  <c r="X7592" i="1"/>
  <c r="Y7592" i="1"/>
  <c r="Z7592" i="1"/>
  <c r="A7593" i="1"/>
  <c r="B7593" i="1"/>
  <c r="C7593" i="1"/>
  <c r="D7593" i="1"/>
  <c r="E7593" i="1"/>
  <c r="F7593" i="1"/>
  <c r="G7593" i="1"/>
  <c r="I7593" i="1"/>
  <c r="J7593" i="1"/>
  <c r="K7593" i="1"/>
  <c r="L7593" i="1"/>
  <c r="M7593" i="1"/>
  <c r="N7593" i="1"/>
  <c r="O7593" i="1"/>
  <c r="P7593" i="1"/>
  <c r="Q7593" i="1"/>
  <c r="R7593" i="1"/>
  <c r="S7593" i="1"/>
  <c r="T7593" i="1"/>
  <c r="U7593" i="1"/>
  <c r="V7593" i="1"/>
  <c r="W7593" i="1"/>
  <c r="X7593" i="1"/>
  <c r="Y7593" i="1"/>
  <c r="Z7593" i="1"/>
  <c r="A7594" i="1"/>
  <c r="B7594" i="1"/>
  <c r="C7594" i="1"/>
  <c r="D7594" i="1"/>
  <c r="E7594" i="1"/>
  <c r="F7594" i="1"/>
  <c r="G7594" i="1"/>
  <c r="I7594" i="1"/>
  <c r="J7594" i="1"/>
  <c r="K7594" i="1"/>
  <c r="L7594" i="1"/>
  <c r="M7594" i="1"/>
  <c r="N7594" i="1"/>
  <c r="O7594" i="1"/>
  <c r="P7594" i="1"/>
  <c r="Q7594" i="1"/>
  <c r="R7594" i="1"/>
  <c r="S7594" i="1"/>
  <c r="T7594" i="1"/>
  <c r="U7594" i="1"/>
  <c r="V7594" i="1"/>
  <c r="W7594" i="1"/>
  <c r="X7594" i="1"/>
  <c r="Y7594" i="1"/>
  <c r="Z7594" i="1"/>
  <c r="A7595" i="1"/>
  <c r="B7595" i="1"/>
  <c r="C7595" i="1"/>
  <c r="D7595" i="1"/>
  <c r="E7595" i="1"/>
  <c r="F7595" i="1"/>
  <c r="G7595" i="1"/>
  <c r="I7595" i="1"/>
  <c r="J7595" i="1"/>
  <c r="K7595" i="1"/>
  <c r="L7595" i="1"/>
  <c r="M7595" i="1"/>
  <c r="N7595" i="1"/>
  <c r="O7595" i="1"/>
  <c r="P7595" i="1"/>
  <c r="Q7595" i="1"/>
  <c r="R7595" i="1"/>
  <c r="S7595" i="1"/>
  <c r="T7595" i="1"/>
  <c r="U7595" i="1"/>
  <c r="V7595" i="1"/>
  <c r="W7595" i="1"/>
  <c r="X7595" i="1"/>
  <c r="Y7595" i="1"/>
  <c r="Z7595" i="1"/>
  <c r="A7596" i="1"/>
  <c r="B7596" i="1"/>
  <c r="C7596" i="1"/>
  <c r="D7596" i="1"/>
  <c r="E7596" i="1"/>
  <c r="F7596" i="1"/>
  <c r="G7596" i="1"/>
  <c r="I7596" i="1"/>
  <c r="J7596" i="1"/>
  <c r="K7596" i="1"/>
  <c r="L7596" i="1"/>
  <c r="M7596" i="1"/>
  <c r="N7596" i="1"/>
  <c r="O7596" i="1"/>
  <c r="P7596" i="1"/>
  <c r="Q7596" i="1"/>
  <c r="R7596" i="1"/>
  <c r="S7596" i="1"/>
  <c r="T7596" i="1"/>
  <c r="U7596" i="1"/>
  <c r="V7596" i="1"/>
  <c r="W7596" i="1"/>
  <c r="X7596" i="1"/>
  <c r="Y7596" i="1"/>
  <c r="Z7596" i="1"/>
  <c r="A7597" i="1"/>
  <c r="B7597" i="1"/>
  <c r="C7597" i="1"/>
  <c r="D7597" i="1"/>
  <c r="E7597" i="1"/>
  <c r="F7597" i="1"/>
  <c r="G7597" i="1"/>
  <c r="I7597" i="1"/>
  <c r="J7597" i="1"/>
  <c r="K7597" i="1"/>
  <c r="L7597" i="1"/>
  <c r="M7597" i="1"/>
  <c r="N7597" i="1"/>
  <c r="O7597" i="1"/>
  <c r="P7597" i="1"/>
  <c r="Q7597" i="1"/>
  <c r="R7597" i="1"/>
  <c r="S7597" i="1"/>
  <c r="T7597" i="1"/>
  <c r="U7597" i="1"/>
  <c r="V7597" i="1"/>
  <c r="W7597" i="1"/>
  <c r="X7597" i="1"/>
  <c r="Y7597" i="1"/>
  <c r="Z7597" i="1"/>
  <c r="A7598" i="1"/>
  <c r="B7598" i="1"/>
  <c r="C7598" i="1"/>
  <c r="D7598" i="1"/>
  <c r="E7598" i="1"/>
  <c r="F7598" i="1"/>
  <c r="G7598" i="1"/>
  <c r="I7598" i="1"/>
  <c r="J7598" i="1"/>
  <c r="K7598" i="1"/>
  <c r="L7598" i="1"/>
  <c r="M7598" i="1"/>
  <c r="N7598" i="1"/>
  <c r="O7598" i="1"/>
  <c r="P7598" i="1"/>
  <c r="Q7598" i="1"/>
  <c r="R7598" i="1"/>
  <c r="S7598" i="1"/>
  <c r="T7598" i="1"/>
  <c r="U7598" i="1"/>
  <c r="V7598" i="1"/>
  <c r="W7598" i="1"/>
  <c r="X7598" i="1"/>
  <c r="Y7598" i="1"/>
  <c r="Z7598" i="1"/>
  <c r="A7599" i="1"/>
  <c r="B7599" i="1"/>
  <c r="C7599" i="1"/>
  <c r="D7599" i="1"/>
  <c r="E7599" i="1"/>
  <c r="F7599" i="1"/>
  <c r="G7599" i="1"/>
  <c r="I7599" i="1"/>
  <c r="J7599" i="1"/>
  <c r="K7599" i="1"/>
  <c r="L7599" i="1"/>
  <c r="M7599" i="1"/>
  <c r="N7599" i="1"/>
  <c r="O7599" i="1"/>
  <c r="P7599" i="1"/>
  <c r="Q7599" i="1"/>
  <c r="R7599" i="1"/>
  <c r="S7599" i="1"/>
  <c r="T7599" i="1"/>
  <c r="U7599" i="1"/>
  <c r="V7599" i="1"/>
  <c r="W7599" i="1"/>
  <c r="X7599" i="1"/>
  <c r="Y7599" i="1"/>
  <c r="Z7599" i="1"/>
  <c r="A7600" i="1"/>
  <c r="B7600" i="1"/>
  <c r="C7600" i="1"/>
  <c r="D7600" i="1"/>
  <c r="E7600" i="1"/>
  <c r="F7600" i="1"/>
  <c r="G7600" i="1"/>
  <c r="I7600" i="1"/>
  <c r="J7600" i="1"/>
  <c r="K7600" i="1"/>
  <c r="L7600" i="1"/>
  <c r="M7600" i="1"/>
  <c r="N7600" i="1"/>
  <c r="O7600" i="1"/>
  <c r="P7600" i="1"/>
  <c r="Q7600" i="1"/>
  <c r="R7600" i="1"/>
  <c r="S7600" i="1"/>
  <c r="T7600" i="1"/>
  <c r="U7600" i="1"/>
  <c r="V7600" i="1"/>
  <c r="W7600" i="1"/>
  <c r="X7600" i="1"/>
  <c r="Y7600" i="1"/>
  <c r="Z7600" i="1"/>
  <c r="A7601" i="1"/>
  <c r="B7601" i="1"/>
  <c r="C7601" i="1"/>
  <c r="D7601" i="1"/>
  <c r="E7601" i="1"/>
  <c r="F7601" i="1"/>
  <c r="G7601" i="1"/>
  <c r="I7601" i="1"/>
  <c r="J7601" i="1"/>
  <c r="K7601" i="1"/>
  <c r="L7601" i="1"/>
  <c r="M7601" i="1"/>
  <c r="N7601" i="1"/>
  <c r="O7601" i="1"/>
  <c r="P7601" i="1"/>
  <c r="Q7601" i="1"/>
  <c r="R7601" i="1"/>
  <c r="S7601" i="1"/>
  <c r="T7601" i="1"/>
  <c r="U7601" i="1"/>
  <c r="V7601" i="1"/>
  <c r="W7601" i="1"/>
  <c r="X7601" i="1"/>
  <c r="Y7601" i="1"/>
  <c r="Z7601" i="1"/>
  <c r="A7602" i="1"/>
  <c r="B7602" i="1"/>
  <c r="C7602" i="1"/>
  <c r="D7602" i="1"/>
  <c r="E7602" i="1"/>
  <c r="F7602" i="1"/>
  <c r="G7602" i="1"/>
  <c r="I7602" i="1"/>
  <c r="J7602" i="1"/>
  <c r="K7602" i="1"/>
  <c r="L7602" i="1"/>
  <c r="M7602" i="1"/>
  <c r="N7602" i="1"/>
  <c r="O7602" i="1"/>
  <c r="P7602" i="1"/>
  <c r="Q7602" i="1"/>
  <c r="R7602" i="1"/>
  <c r="S7602" i="1"/>
  <c r="T7602" i="1"/>
  <c r="U7602" i="1"/>
  <c r="V7602" i="1"/>
  <c r="W7602" i="1"/>
  <c r="X7602" i="1"/>
  <c r="Y7602" i="1"/>
  <c r="Z7602" i="1"/>
  <c r="A7603" i="1"/>
  <c r="B7603" i="1"/>
  <c r="C7603" i="1"/>
  <c r="D7603" i="1"/>
  <c r="E7603" i="1"/>
  <c r="F7603" i="1"/>
  <c r="G7603" i="1"/>
  <c r="I7603" i="1"/>
  <c r="J7603" i="1"/>
  <c r="K7603" i="1"/>
  <c r="L7603" i="1"/>
  <c r="M7603" i="1"/>
  <c r="N7603" i="1"/>
  <c r="O7603" i="1"/>
  <c r="P7603" i="1"/>
  <c r="Q7603" i="1"/>
  <c r="R7603" i="1"/>
  <c r="S7603" i="1"/>
  <c r="T7603" i="1"/>
  <c r="U7603" i="1"/>
  <c r="V7603" i="1"/>
  <c r="W7603" i="1"/>
  <c r="X7603" i="1"/>
  <c r="Y7603" i="1"/>
  <c r="Z7603" i="1"/>
  <c r="A7604" i="1"/>
  <c r="B7604" i="1"/>
  <c r="C7604" i="1"/>
  <c r="D7604" i="1"/>
  <c r="E7604" i="1"/>
  <c r="F7604" i="1"/>
  <c r="G7604" i="1"/>
  <c r="I7604" i="1"/>
  <c r="J7604" i="1"/>
  <c r="K7604" i="1"/>
  <c r="L7604" i="1"/>
  <c r="M7604" i="1"/>
  <c r="N7604" i="1"/>
  <c r="O7604" i="1"/>
  <c r="P7604" i="1"/>
  <c r="Q7604" i="1"/>
  <c r="R7604" i="1"/>
  <c r="S7604" i="1"/>
  <c r="T7604" i="1"/>
  <c r="U7604" i="1"/>
  <c r="V7604" i="1"/>
  <c r="W7604" i="1"/>
  <c r="X7604" i="1"/>
  <c r="Y7604" i="1"/>
  <c r="Z7604" i="1"/>
  <c r="A7605" i="1"/>
  <c r="B7605" i="1"/>
  <c r="C7605" i="1"/>
  <c r="D7605" i="1"/>
  <c r="E7605" i="1"/>
  <c r="F7605" i="1"/>
  <c r="G7605" i="1"/>
  <c r="I7605" i="1"/>
  <c r="J7605" i="1"/>
  <c r="K7605" i="1"/>
  <c r="L7605" i="1"/>
  <c r="M7605" i="1"/>
  <c r="N7605" i="1"/>
  <c r="O7605" i="1"/>
  <c r="P7605" i="1"/>
  <c r="Q7605" i="1"/>
  <c r="R7605" i="1"/>
  <c r="S7605" i="1"/>
  <c r="T7605" i="1"/>
  <c r="U7605" i="1"/>
  <c r="V7605" i="1"/>
  <c r="W7605" i="1"/>
  <c r="X7605" i="1"/>
  <c r="Y7605" i="1"/>
  <c r="Z7605" i="1"/>
  <c r="A7606" i="1"/>
  <c r="B7606" i="1"/>
  <c r="C7606" i="1"/>
  <c r="D7606" i="1"/>
  <c r="E7606" i="1"/>
  <c r="F7606" i="1"/>
  <c r="G7606" i="1"/>
  <c r="I7606" i="1"/>
  <c r="J7606" i="1"/>
  <c r="K7606" i="1"/>
  <c r="L7606" i="1"/>
  <c r="M7606" i="1"/>
  <c r="N7606" i="1"/>
  <c r="O7606" i="1"/>
  <c r="P7606" i="1"/>
  <c r="Q7606" i="1"/>
  <c r="R7606" i="1"/>
  <c r="S7606" i="1"/>
  <c r="T7606" i="1"/>
  <c r="U7606" i="1"/>
  <c r="V7606" i="1"/>
  <c r="W7606" i="1"/>
  <c r="X7606" i="1"/>
  <c r="Y7606" i="1"/>
  <c r="Z7606" i="1"/>
  <c r="A7607" i="1"/>
  <c r="B7607" i="1"/>
  <c r="C7607" i="1"/>
  <c r="D7607" i="1"/>
  <c r="E7607" i="1"/>
  <c r="F7607" i="1"/>
  <c r="G7607" i="1"/>
  <c r="I7607" i="1"/>
  <c r="J7607" i="1"/>
  <c r="K7607" i="1"/>
  <c r="L7607" i="1"/>
  <c r="M7607" i="1"/>
  <c r="N7607" i="1"/>
  <c r="O7607" i="1"/>
  <c r="P7607" i="1"/>
  <c r="Q7607" i="1"/>
  <c r="R7607" i="1"/>
  <c r="S7607" i="1"/>
  <c r="T7607" i="1"/>
  <c r="U7607" i="1"/>
  <c r="V7607" i="1"/>
  <c r="W7607" i="1"/>
  <c r="X7607" i="1"/>
  <c r="Y7607" i="1"/>
  <c r="Z7607" i="1"/>
  <c r="A7608" i="1"/>
  <c r="B7608" i="1"/>
  <c r="C7608" i="1"/>
  <c r="D7608" i="1"/>
  <c r="E7608" i="1"/>
  <c r="F7608" i="1"/>
  <c r="G7608" i="1"/>
  <c r="I7608" i="1"/>
  <c r="J7608" i="1"/>
  <c r="K7608" i="1"/>
  <c r="L7608" i="1"/>
  <c r="M7608" i="1"/>
  <c r="N7608" i="1"/>
  <c r="O7608" i="1"/>
  <c r="P7608" i="1"/>
  <c r="Q7608" i="1"/>
  <c r="R7608" i="1"/>
  <c r="S7608" i="1"/>
  <c r="T7608" i="1"/>
  <c r="U7608" i="1"/>
  <c r="V7608" i="1"/>
  <c r="W7608" i="1"/>
  <c r="X7608" i="1"/>
  <c r="Y7608" i="1"/>
  <c r="Z7608" i="1"/>
  <c r="A7609" i="1"/>
  <c r="B7609" i="1"/>
  <c r="C7609" i="1"/>
  <c r="D7609" i="1"/>
  <c r="E7609" i="1"/>
  <c r="F7609" i="1"/>
  <c r="G7609" i="1"/>
  <c r="I7609" i="1"/>
  <c r="J7609" i="1"/>
  <c r="K7609" i="1"/>
  <c r="L7609" i="1"/>
  <c r="M7609" i="1"/>
  <c r="N7609" i="1"/>
  <c r="O7609" i="1"/>
  <c r="P7609" i="1"/>
  <c r="Q7609" i="1"/>
  <c r="R7609" i="1"/>
  <c r="S7609" i="1"/>
  <c r="T7609" i="1"/>
  <c r="U7609" i="1"/>
  <c r="V7609" i="1"/>
  <c r="W7609" i="1"/>
  <c r="X7609" i="1"/>
  <c r="Y7609" i="1"/>
  <c r="Z7609" i="1"/>
  <c r="A7610" i="1"/>
  <c r="B7610" i="1"/>
  <c r="C7610" i="1"/>
  <c r="D7610" i="1"/>
  <c r="E7610" i="1"/>
  <c r="F7610" i="1"/>
  <c r="G7610" i="1"/>
  <c r="I7610" i="1"/>
  <c r="J7610" i="1"/>
  <c r="K7610" i="1"/>
  <c r="L7610" i="1"/>
  <c r="M7610" i="1"/>
  <c r="N7610" i="1"/>
  <c r="O7610" i="1"/>
  <c r="P7610" i="1"/>
  <c r="Q7610" i="1"/>
  <c r="R7610" i="1"/>
  <c r="S7610" i="1"/>
  <c r="T7610" i="1"/>
  <c r="U7610" i="1"/>
  <c r="V7610" i="1"/>
  <c r="W7610" i="1"/>
  <c r="X7610" i="1"/>
  <c r="Y7610" i="1"/>
  <c r="Z7610" i="1"/>
  <c r="A7611" i="1"/>
  <c r="B7611" i="1"/>
  <c r="C7611" i="1"/>
  <c r="D7611" i="1"/>
  <c r="E7611" i="1"/>
  <c r="F7611" i="1"/>
  <c r="G7611" i="1"/>
  <c r="I7611" i="1"/>
  <c r="J7611" i="1"/>
  <c r="K7611" i="1"/>
  <c r="L7611" i="1"/>
  <c r="M7611" i="1"/>
  <c r="N7611" i="1"/>
  <c r="O7611" i="1"/>
  <c r="P7611" i="1"/>
  <c r="Q7611" i="1"/>
  <c r="R7611" i="1"/>
  <c r="S7611" i="1"/>
  <c r="T7611" i="1"/>
  <c r="U7611" i="1"/>
  <c r="V7611" i="1"/>
  <c r="W7611" i="1"/>
  <c r="X7611" i="1"/>
  <c r="Y7611" i="1"/>
  <c r="Z7611" i="1"/>
  <c r="A7612" i="1"/>
  <c r="B7612" i="1"/>
  <c r="C7612" i="1"/>
  <c r="D7612" i="1"/>
  <c r="E7612" i="1"/>
  <c r="F7612" i="1"/>
  <c r="G7612" i="1"/>
  <c r="I7612" i="1"/>
  <c r="J7612" i="1"/>
  <c r="K7612" i="1"/>
  <c r="L7612" i="1"/>
  <c r="M7612" i="1"/>
  <c r="N7612" i="1"/>
  <c r="O7612" i="1"/>
  <c r="P7612" i="1"/>
  <c r="Q7612" i="1"/>
  <c r="R7612" i="1"/>
  <c r="S7612" i="1"/>
  <c r="T7612" i="1"/>
  <c r="U7612" i="1"/>
  <c r="V7612" i="1"/>
  <c r="W7612" i="1"/>
  <c r="X7612" i="1"/>
  <c r="Y7612" i="1"/>
  <c r="Z7612" i="1"/>
  <c r="A7613" i="1"/>
  <c r="B7613" i="1"/>
  <c r="C7613" i="1"/>
  <c r="D7613" i="1"/>
  <c r="E7613" i="1"/>
  <c r="F7613" i="1"/>
  <c r="G7613" i="1"/>
  <c r="I7613" i="1"/>
  <c r="J7613" i="1"/>
  <c r="K7613" i="1"/>
  <c r="L7613" i="1"/>
  <c r="M7613" i="1"/>
  <c r="N7613" i="1"/>
  <c r="O7613" i="1"/>
  <c r="P7613" i="1"/>
  <c r="Q7613" i="1"/>
  <c r="R7613" i="1"/>
  <c r="S7613" i="1"/>
  <c r="T7613" i="1"/>
  <c r="U7613" i="1"/>
  <c r="V7613" i="1"/>
  <c r="W7613" i="1"/>
  <c r="X7613" i="1"/>
  <c r="Y7613" i="1"/>
  <c r="Z7613" i="1"/>
  <c r="A7614" i="1"/>
  <c r="B7614" i="1"/>
  <c r="C7614" i="1"/>
  <c r="D7614" i="1"/>
  <c r="E7614" i="1"/>
  <c r="F7614" i="1"/>
  <c r="G7614" i="1"/>
  <c r="I7614" i="1"/>
  <c r="J7614" i="1"/>
  <c r="K7614" i="1"/>
  <c r="L7614" i="1"/>
  <c r="M7614" i="1"/>
  <c r="N7614" i="1"/>
  <c r="O7614" i="1"/>
  <c r="P7614" i="1"/>
  <c r="Q7614" i="1"/>
  <c r="R7614" i="1"/>
  <c r="S7614" i="1"/>
  <c r="T7614" i="1"/>
  <c r="U7614" i="1"/>
  <c r="V7614" i="1"/>
  <c r="W7614" i="1"/>
  <c r="X7614" i="1"/>
  <c r="Y7614" i="1"/>
  <c r="Z7614" i="1"/>
  <c r="A7615" i="1"/>
  <c r="B7615" i="1"/>
  <c r="C7615" i="1"/>
  <c r="D7615" i="1"/>
  <c r="E7615" i="1"/>
  <c r="F7615" i="1"/>
  <c r="G7615" i="1"/>
  <c r="I7615" i="1"/>
  <c r="J7615" i="1"/>
  <c r="K7615" i="1"/>
  <c r="L7615" i="1"/>
  <c r="M7615" i="1"/>
  <c r="N7615" i="1"/>
  <c r="O7615" i="1"/>
  <c r="P7615" i="1"/>
  <c r="Q7615" i="1"/>
  <c r="R7615" i="1"/>
  <c r="S7615" i="1"/>
  <c r="T7615" i="1"/>
  <c r="U7615" i="1"/>
  <c r="V7615" i="1"/>
  <c r="W7615" i="1"/>
  <c r="X7615" i="1"/>
  <c r="Y7615" i="1"/>
  <c r="Z7615" i="1"/>
  <c r="A7616" i="1"/>
  <c r="B7616" i="1"/>
  <c r="C7616" i="1"/>
  <c r="D7616" i="1"/>
  <c r="E7616" i="1"/>
  <c r="F7616" i="1"/>
  <c r="G7616" i="1"/>
  <c r="I7616" i="1"/>
  <c r="J7616" i="1"/>
  <c r="K7616" i="1"/>
  <c r="L7616" i="1"/>
  <c r="M7616" i="1"/>
  <c r="N7616" i="1"/>
  <c r="O7616" i="1"/>
  <c r="P7616" i="1"/>
  <c r="Q7616" i="1"/>
  <c r="R7616" i="1"/>
  <c r="S7616" i="1"/>
  <c r="T7616" i="1"/>
  <c r="U7616" i="1"/>
  <c r="V7616" i="1"/>
  <c r="W7616" i="1"/>
  <c r="X7616" i="1"/>
  <c r="Y7616" i="1"/>
  <c r="Z7616" i="1"/>
  <c r="A7617" i="1"/>
  <c r="B7617" i="1"/>
  <c r="C7617" i="1"/>
  <c r="D7617" i="1"/>
  <c r="E7617" i="1"/>
  <c r="F7617" i="1"/>
  <c r="G7617" i="1"/>
  <c r="I7617" i="1"/>
  <c r="J7617" i="1"/>
  <c r="K7617" i="1"/>
  <c r="L7617" i="1"/>
  <c r="M7617" i="1"/>
  <c r="N7617" i="1"/>
  <c r="O7617" i="1"/>
  <c r="P7617" i="1"/>
  <c r="Q7617" i="1"/>
  <c r="R7617" i="1"/>
  <c r="S7617" i="1"/>
  <c r="T7617" i="1"/>
  <c r="U7617" i="1"/>
  <c r="V7617" i="1"/>
  <c r="W7617" i="1"/>
  <c r="X7617" i="1"/>
  <c r="Y7617" i="1"/>
  <c r="Z7617" i="1"/>
  <c r="A7618" i="1"/>
  <c r="B7618" i="1"/>
  <c r="C7618" i="1"/>
  <c r="D7618" i="1"/>
  <c r="E7618" i="1"/>
  <c r="F7618" i="1"/>
  <c r="G7618" i="1"/>
  <c r="I7618" i="1"/>
  <c r="J7618" i="1"/>
  <c r="K7618" i="1"/>
  <c r="L7618" i="1"/>
  <c r="M7618" i="1"/>
  <c r="N7618" i="1"/>
  <c r="O7618" i="1"/>
  <c r="P7618" i="1"/>
  <c r="Q7618" i="1"/>
  <c r="R7618" i="1"/>
  <c r="S7618" i="1"/>
  <c r="T7618" i="1"/>
  <c r="U7618" i="1"/>
  <c r="V7618" i="1"/>
  <c r="W7618" i="1"/>
  <c r="X7618" i="1"/>
  <c r="Y7618" i="1"/>
  <c r="Z7618" i="1"/>
  <c r="A7619" i="1"/>
  <c r="B7619" i="1"/>
  <c r="C7619" i="1"/>
  <c r="D7619" i="1"/>
  <c r="E7619" i="1"/>
  <c r="F7619" i="1"/>
  <c r="G7619" i="1"/>
  <c r="I7619" i="1"/>
  <c r="J7619" i="1"/>
  <c r="K7619" i="1"/>
  <c r="L7619" i="1"/>
  <c r="M7619" i="1"/>
  <c r="N7619" i="1"/>
  <c r="O7619" i="1"/>
  <c r="P7619" i="1"/>
  <c r="Q7619" i="1"/>
  <c r="R7619" i="1"/>
  <c r="S7619" i="1"/>
  <c r="T7619" i="1"/>
  <c r="U7619" i="1"/>
  <c r="V7619" i="1"/>
  <c r="W7619" i="1"/>
  <c r="X7619" i="1"/>
  <c r="Y7619" i="1"/>
  <c r="Z7619" i="1"/>
  <c r="A7620" i="1"/>
  <c r="B7620" i="1"/>
  <c r="C7620" i="1"/>
  <c r="D7620" i="1"/>
  <c r="E7620" i="1"/>
  <c r="F7620" i="1"/>
  <c r="G7620" i="1"/>
  <c r="I7620" i="1"/>
  <c r="J7620" i="1"/>
  <c r="K7620" i="1"/>
  <c r="L7620" i="1"/>
  <c r="M7620" i="1"/>
  <c r="N7620" i="1"/>
  <c r="O7620" i="1"/>
  <c r="P7620" i="1"/>
  <c r="Q7620" i="1"/>
  <c r="R7620" i="1"/>
  <c r="S7620" i="1"/>
  <c r="T7620" i="1"/>
  <c r="U7620" i="1"/>
  <c r="V7620" i="1"/>
  <c r="W7620" i="1"/>
  <c r="X7620" i="1"/>
  <c r="Y7620" i="1"/>
  <c r="Z7620" i="1"/>
  <c r="A7621" i="1"/>
  <c r="B7621" i="1"/>
  <c r="C7621" i="1"/>
  <c r="D7621" i="1"/>
  <c r="E7621" i="1"/>
  <c r="F7621" i="1"/>
  <c r="G7621" i="1"/>
  <c r="I7621" i="1"/>
  <c r="J7621" i="1"/>
  <c r="K7621" i="1"/>
  <c r="L7621" i="1"/>
  <c r="M7621" i="1"/>
  <c r="N7621" i="1"/>
  <c r="O7621" i="1"/>
  <c r="P7621" i="1"/>
  <c r="Q7621" i="1"/>
  <c r="R7621" i="1"/>
  <c r="S7621" i="1"/>
  <c r="T7621" i="1"/>
  <c r="U7621" i="1"/>
  <c r="V7621" i="1"/>
  <c r="W7621" i="1"/>
  <c r="X7621" i="1"/>
  <c r="Y7621" i="1"/>
  <c r="Z7621" i="1"/>
  <c r="A7622" i="1"/>
  <c r="B7622" i="1"/>
  <c r="C7622" i="1"/>
  <c r="D7622" i="1"/>
  <c r="E7622" i="1"/>
  <c r="F7622" i="1"/>
  <c r="G7622" i="1"/>
  <c r="I7622" i="1"/>
  <c r="J7622" i="1"/>
  <c r="K7622" i="1"/>
  <c r="L7622" i="1"/>
  <c r="M7622" i="1"/>
  <c r="N7622" i="1"/>
  <c r="O7622" i="1"/>
  <c r="P7622" i="1"/>
  <c r="Q7622" i="1"/>
  <c r="R7622" i="1"/>
  <c r="S7622" i="1"/>
  <c r="T7622" i="1"/>
  <c r="U7622" i="1"/>
  <c r="V7622" i="1"/>
  <c r="W7622" i="1"/>
  <c r="X7622" i="1"/>
  <c r="Y7622" i="1"/>
  <c r="Z7622" i="1"/>
  <c r="A7623" i="1"/>
  <c r="B7623" i="1"/>
  <c r="C7623" i="1"/>
  <c r="D7623" i="1"/>
  <c r="E7623" i="1"/>
  <c r="F7623" i="1"/>
  <c r="G7623" i="1"/>
  <c r="I7623" i="1"/>
  <c r="J7623" i="1"/>
  <c r="K7623" i="1"/>
  <c r="L7623" i="1"/>
  <c r="M7623" i="1"/>
  <c r="N7623" i="1"/>
  <c r="O7623" i="1"/>
  <c r="P7623" i="1"/>
  <c r="Q7623" i="1"/>
  <c r="R7623" i="1"/>
  <c r="S7623" i="1"/>
  <c r="T7623" i="1"/>
  <c r="U7623" i="1"/>
  <c r="V7623" i="1"/>
  <c r="W7623" i="1"/>
  <c r="X7623" i="1"/>
  <c r="Y7623" i="1"/>
  <c r="Z7623" i="1"/>
  <c r="A7624" i="1"/>
  <c r="B7624" i="1"/>
  <c r="C7624" i="1"/>
  <c r="D7624" i="1"/>
  <c r="E7624" i="1"/>
  <c r="F7624" i="1"/>
  <c r="G7624" i="1"/>
  <c r="I7624" i="1"/>
  <c r="J7624" i="1"/>
  <c r="K7624" i="1"/>
  <c r="L7624" i="1"/>
  <c r="M7624" i="1"/>
  <c r="N7624" i="1"/>
  <c r="O7624" i="1"/>
  <c r="P7624" i="1"/>
  <c r="Q7624" i="1"/>
  <c r="R7624" i="1"/>
  <c r="S7624" i="1"/>
  <c r="T7624" i="1"/>
  <c r="U7624" i="1"/>
  <c r="V7624" i="1"/>
  <c r="W7624" i="1"/>
  <c r="X7624" i="1"/>
  <c r="Y7624" i="1"/>
  <c r="Z7624" i="1"/>
  <c r="A7625" i="1"/>
  <c r="B7625" i="1"/>
  <c r="C7625" i="1"/>
  <c r="D7625" i="1"/>
  <c r="E7625" i="1"/>
  <c r="F7625" i="1"/>
  <c r="G7625" i="1"/>
  <c r="I7625" i="1"/>
  <c r="J7625" i="1"/>
  <c r="K7625" i="1"/>
  <c r="L7625" i="1"/>
  <c r="M7625" i="1"/>
  <c r="N7625" i="1"/>
  <c r="O7625" i="1"/>
  <c r="P7625" i="1"/>
  <c r="Q7625" i="1"/>
  <c r="R7625" i="1"/>
  <c r="S7625" i="1"/>
  <c r="T7625" i="1"/>
  <c r="U7625" i="1"/>
  <c r="V7625" i="1"/>
  <c r="W7625" i="1"/>
  <c r="X7625" i="1"/>
  <c r="Y7625" i="1"/>
  <c r="Z7625" i="1"/>
  <c r="A7626" i="1"/>
  <c r="B7626" i="1"/>
  <c r="C7626" i="1"/>
  <c r="D7626" i="1"/>
  <c r="E7626" i="1"/>
  <c r="F7626" i="1"/>
  <c r="G7626" i="1"/>
  <c r="I7626" i="1"/>
  <c r="J7626" i="1"/>
  <c r="K7626" i="1"/>
  <c r="L7626" i="1"/>
  <c r="M7626" i="1"/>
  <c r="N7626" i="1"/>
  <c r="O7626" i="1"/>
  <c r="P7626" i="1"/>
  <c r="Q7626" i="1"/>
  <c r="R7626" i="1"/>
  <c r="S7626" i="1"/>
  <c r="T7626" i="1"/>
  <c r="U7626" i="1"/>
  <c r="V7626" i="1"/>
  <c r="W7626" i="1"/>
  <c r="X7626" i="1"/>
  <c r="Y7626" i="1"/>
  <c r="Z7626" i="1"/>
  <c r="A7627" i="1"/>
  <c r="B7627" i="1"/>
  <c r="C7627" i="1"/>
  <c r="D7627" i="1"/>
  <c r="E7627" i="1"/>
  <c r="F7627" i="1"/>
  <c r="G7627" i="1"/>
  <c r="I7627" i="1"/>
  <c r="J7627" i="1"/>
  <c r="K7627" i="1"/>
  <c r="L7627" i="1"/>
  <c r="M7627" i="1"/>
  <c r="N7627" i="1"/>
  <c r="O7627" i="1"/>
  <c r="P7627" i="1"/>
  <c r="Q7627" i="1"/>
  <c r="R7627" i="1"/>
  <c r="S7627" i="1"/>
  <c r="T7627" i="1"/>
  <c r="U7627" i="1"/>
  <c r="V7627" i="1"/>
  <c r="W7627" i="1"/>
  <c r="X7627" i="1"/>
  <c r="Y7627" i="1"/>
  <c r="Z7627" i="1"/>
  <c r="A7628" i="1"/>
  <c r="B7628" i="1"/>
  <c r="C7628" i="1"/>
  <c r="D7628" i="1"/>
  <c r="E7628" i="1"/>
  <c r="F7628" i="1"/>
  <c r="G7628" i="1"/>
  <c r="I7628" i="1"/>
  <c r="J7628" i="1"/>
  <c r="K7628" i="1"/>
  <c r="L7628" i="1"/>
  <c r="M7628" i="1"/>
  <c r="N7628" i="1"/>
  <c r="O7628" i="1"/>
  <c r="P7628" i="1"/>
  <c r="Q7628" i="1"/>
  <c r="R7628" i="1"/>
  <c r="S7628" i="1"/>
  <c r="T7628" i="1"/>
  <c r="U7628" i="1"/>
  <c r="V7628" i="1"/>
  <c r="W7628" i="1"/>
  <c r="X7628" i="1"/>
  <c r="Y7628" i="1"/>
  <c r="Z7628" i="1"/>
  <c r="A7629" i="1"/>
  <c r="B7629" i="1"/>
  <c r="C7629" i="1"/>
  <c r="D7629" i="1"/>
  <c r="E7629" i="1"/>
  <c r="F7629" i="1"/>
  <c r="G7629" i="1"/>
  <c r="I7629" i="1"/>
  <c r="J7629" i="1"/>
  <c r="K7629" i="1"/>
  <c r="L7629" i="1"/>
  <c r="M7629" i="1"/>
  <c r="N7629" i="1"/>
  <c r="O7629" i="1"/>
  <c r="P7629" i="1"/>
  <c r="Q7629" i="1"/>
  <c r="R7629" i="1"/>
  <c r="S7629" i="1"/>
  <c r="T7629" i="1"/>
  <c r="U7629" i="1"/>
  <c r="V7629" i="1"/>
  <c r="W7629" i="1"/>
  <c r="X7629" i="1"/>
  <c r="Y7629" i="1"/>
  <c r="Z7629" i="1"/>
  <c r="A7630" i="1"/>
  <c r="B7630" i="1"/>
  <c r="C7630" i="1"/>
  <c r="D7630" i="1"/>
  <c r="E7630" i="1"/>
  <c r="F7630" i="1"/>
  <c r="G7630" i="1"/>
  <c r="I7630" i="1"/>
  <c r="J7630" i="1"/>
  <c r="K7630" i="1"/>
  <c r="L7630" i="1"/>
  <c r="M7630" i="1"/>
  <c r="N7630" i="1"/>
  <c r="O7630" i="1"/>
  <c r="P7630" i="1"/>
  <c r="Q7630" i="1"/>
  <c r="R7630" i="1"/>
  <c r="S7630" i="1"/>
  <c r="T7630" i="1"/>
  <c r="U7630" i="1"/>
  <c r="V7630" i="1"/>
  <c r="W7630" i="1"/>
  <c r="X7630" i="1"/>
  <c r="Y7630" i="1"/>
  <c r="Z7630" i="1"/>
  <c r="A7631" i="1"/>
  <c r="B7631" i="1"/>
  <c r="C7631" i="1"/>
  <c r="D7631" i="1"/>
  <c r="E7631" i="1"/>
  <c r="F7631" i="1"/>
  <c r="G7631" i="1"/>
  <c r="I7631" i="1"/>
  <c r="J7631" i="1"/>
  <c r="K7631" i="1"/>
  <c r="L7631" i="1"/>
  <c r="M7631" i="1"/>
  <c r="N7631" i="1"/>
  <c r="O7631" i="1"/>
  <c r="P7631" i="1"/>
  <c r="Q7631" i="1"/>
  <c r="R7631" i="1"/>
  <c r="S7631" i="1"/>
  <c r="T7631" i="1"/>
  <c r="U7631" i="1"/>
  <c r="V7631" i="1"/>
  <c r="W7631" i="1"/>
  <c r="X7631" i="1"/>
  <c r="Y7631" i="1"/>
  <c r="Z7631" i="1"/>
  <c r="A7632" i="1"/>
  <c r="B7632" i="1"/>
  <c r="C7632" i="1"/>
  <c r="D7632" i="1"/>
  <c r="E7632" i="1"/>
  <c r="F7632" i="1"/>
  <c r="G7632" i="1"/>
  <c r="I7632" i="1"/>
  <c r="J7632" i="1"/>
  <c r="K7632" i="1"/>
  <c r="L7632" i="1"/>
  <c r="M7632" i="1"/>
  <c r="N7632" i="1"/>
  <c r="O7632" i="1"/>
  <c r="P7632" i="1"/>
  <c r="Q7632" i="1"/>
  <c r="R7632" i="1"/>
  <c r="S7632" i="1"/>
  <c r="T7632" i="1"/>
  <c r="U7632" i="1"/>
  <c r="V7632" i="1"/>
  <c r="W7632" i="1"/>
  <c r="X7632" i="1"/>
  <c r="Y7632" i="1"/>
  <c r="Z7632" i="1"/>
  <c r="A7633" i="1"/>
  <c r="B7633" i="1"/>
  <c r="C7633" i="1"/>
  <c r="D7633" i="1"/>
  <c r="E7633" i="1"/>
  <c r="F7633" i="1"/>
  <c r="G7633" i="1"/>
  <c r="I7633" i="1"/>
  <c r="J7633" i="1"/>
  <c r="K7633" i="1"/>
  <c r="L7633" i="1"/>
  <c r="M7633" i="1"/>
  <c r="N7633" i="1"/>
  <c r="O7633" i="1"/>
  <c r="P7633" i="1"/>
  <c r="Q7633" i="1"/>
  <c r="R7633" i="1"/>
  <c r="S7633" i="1"/>
  <c r="T7633" i="1"/>
  <c r="U7633" i="1"/>
  <c r="V7633" i="1"/>
  <c r="W7633" i="1"/>
  <c r="X7633" i="1"/>
  <c r="Y7633" i="1"/>
  <c r="Z7633" i="1"/>
  <c r="A7634" i="1"/>
  <c r="B7634" i="1"/>
  <c r="C7634" i="1"/>
  <c r="D7634" i="1"/>
  <c r="E7634" i="1"/>
  <c r="F7634" i="1"/>
  <c r="G7634" i="1"/>
  <c r="I7634" i="1"/>
  <c r="J7634" i="1"/>
  <c r="K7634" i="1"/>
  <c r="L7634" i="1"/>
  <c r="M7634" i="1"/>
  <c r="N7634" i="1"/>
  <c r="O7634" i="1"/>
  <c r="P7634" i="1"/>
  <c r="Q7634" i="1"/>
  <c r="R7634" i="1"/>
  <c r="S7634" i="1"/>
  <c r="T7634" i="1"/>
  <c r="U7634" i="1"/>
  <c r="V7634" i="1"/>
  <c r="W7634" i="1"/>
  <c r="X7634" i="1"/>
  <c r="Y7634" i="1"/>
  <c r="Z7634" i="1"/>
  <c r="A7635" i="1"/>
  <c r="B7635" i="1"/>
  <c r="C7635" i="1"/>
  <c r="D7635" i="1"/>
  <c r="E7635" i="1"/>
  <c r="F7635" i="1"/>
  <c r="G7635" i="1"/>
  <c r="I7635" i="1"/>
  <c r="J7635" i="1"/>
  <c r="K7635" i="1"/>
  <c r="L7635" i="1"/>
  <c r="M7635" i="1"/>
  <c r="N7635" i="1"/>
  <c r="O7635" i="1"/>
  <c r="P7635" i="1"/>
  <c r="Q7635" i="1"/>
  <c r="R7635" i="1"/>
  <c r="S7635" i="1"/>
  <c r="T7635" i="1"/>
  <c r="U7635" i="1"/>
  <c r="V7635" i="1"/>
  <c r="W7635" i="1"/>
  <c r="X7635" i="1"/>
  <c r="Y7635" i="1"/>
  <c r="Z7635" i="1"/>
  <c r="A7636" i="1"/>
  <c r="B7636" i="1"/>
  <c r="C7636" i="1"/>
  <c r="D7636" i="1"/>
  <c r="E7636" i="1"/>
  <c r="F7636" i="1"/>
  <c r="G7636" i="1"/>
  <c r="I7636" i="1"/>
  <c r="J7636" i="1"/>
  <c r="K7636" i="1"/>
  <c r="L7636" i="1"/>
  <c r="M7636" i="1"/>
  <c r="N7636" i="1"/>
  <c r="O7636" i="1"/>
  <c r="P7636" i="1"/>
  <c r="Q7636" i="1"/>
  <c r="R7636" i="1"/>
  <c r="S7636" i="1"/>
  <c r="T7636" i="1"/>
  <c r="U7636" i="1"/>
  <c r="V7636" i="1"/>
  <c r="W7636" i="1"/>
  <c r="X7636" i="1"/>
  <c r="Y7636" i="1"/>
  <c r="Z7636" i="1"/>
  <c r="A7637" i="1"/>
  <c r="B7637" i="1"/>
  <c r="C7637" i="1"/>
  <c r="D7637" i="1"/>
  <c r="E7637" i="1"/>
  <c r="F7637" i="1"/>
  <c r="G7637" i="1"/>
  <c r="I7637" i="1"/>
  <c r="J7637" i="1"/>
  <c r="K7637" i="1"/>
  <c r="L7637" i="1"/>
  <c r="M7637" i="1"/>
  <c r="N7637" i="1"/>
  <c r="O7637" i="1"/>
  <c r="P7637" i="1"/>
  <c r="Q7637" i="1"/>
  <c r="R7637" i="1"/>
  <c r="S7637" i="1"/>
  <c r="T7637" i="1"/>
  <c r="U7637" i="1"/>
  <c r="V7637" i="1"/>
  <c r="W7637" i="1"/>
  <c r="X7637" i="1"/>
  <c r="Y7637" i="1"/>
  <c r="Z7637" i="1"/>
  <c r="A7638" i="1"/>
  <c r="B7638" i="1"/>
  <c r="C7638" i="1"/>
  <c r="D7638" i="1"/>
  <c r="E7638" i="1"/>
  <c r="F7638" i="1"/>
  <c r="G7638" i="1"/>
  <c r="I7638" i="1"/>
  <c r="J7638" i="1"/>
  <c r="K7638" i="1"/>
  <c r="L7638" i="1"/>
  <c r="M7638" i="1"/>
  <c r="N7638" i="1"/>
  <c r="O7638" i="1"/>
  <c r="P7638" i="1"/>
  <c r="Q7638" i="1"/>
  <c r="R7638" i="1"/>
  <c r="S7638" i="1"/>
  <c r="T7638" i="1"/>
  <c r="U7638" i="1"/>
  <c r="V7638" i="1"/>
  <c r="W7638" i="1"/>
  <c r="X7638" i="1"/>
  <c r="Y7638" i="1"/>
  <c r="Z7638" i="1"/>
  <c r="A7639" i="1"/>
  <c r="B7639" i="1"/>
  <c r="C7639" i="1"/>
  <c r="D7639" i="1"/>
  <c r="E7639" i="1"/>
  <c r="F7639" i="1"/>
  <c r="G7639" i="1"/>
  <c r="I7639" i="1"/>
  <c r="J7639" i="1"/>
  <c r="K7639" i="1"/>
  <c r="L7639" i="1"/>
  <c r="M7639" i="1"/>
  <c r="N7639" i="1"/>
  <c r="O7639" i="1"/>
  <c r="P7639" i="1"/>
  <c r="Q7639" i="1"/>
  <c r="R7639" i="1"/>
  <c r="S7639" i="1"/>
  <c r="T7639" i="1"/>
  <c r="U7639" i="1"/>
  <c r="V7639" i="1"/>
  <c r="W7639" i="1"/>
  <c r="X7639" i="1"/>
  <c r="Y7639" i="1"/>
  <c r="Z7639" i="1"/>
  <c r="A7640" i="1"/>
  <c r="B7640" i="1"/>
  <c r="C7640" i="1"/>
  <c r="D7640" i="1"/>
  <c r="E7640" i="1"/>
  <c r="F7640" i="1"/>
  <c r="G7640" i="1"/>
  <c r="I7640" i="1"/>
  <c r="J7640" i="1"/>
  <c r="K7640" i="1"/>
  <c r="L7640" i="1"/>
  <c r="M7640" i="1"/>
  <c r="N7640" i="1"/>
  <c r="O7640" i="1"/>
  <c r="P7640" i="1"/>
  <c r="Q7640" i="1"/>
  <c r="R7640" i="1"/>
  <c r="S7640" i="1"/>
  <c r="T7640" i="1"/>
  <c r="U7640" i="1"/>
  <c r="V7640" i="1"/>
  <c r="W7640" i="1"/>
  <c r="X7640" i="1"/>
  <c r="Y7640" i="1"/>
  <c r="Z7640" i="1"/>
  <c r="A7641" i="1"/>
  <c r="B7641" i="1"/>
  <c r="C7641" i="1"/>
  <c r="D7641" i="1"/>
  <c r="E7641" i="1"/>
  <c r="F7641" i="1"/>
  <c r="G7641" i="1"/>
  <c r="I7641" i="1"/>
  <c r="J7641" i="1"/>
  <c r="K7641" i="1"/>
  <c r="L7641" i="1"/>
  <c r="M7641" i="1"/>
  <c r="N7641" i="1"/>
  <c r="O7641" i="1"/>
  <c r="P7641" i="1"/>
  <c r="Q7641" i="1"/>
  <c r="R7641" i="1"/>
  <c r="S7641" i="1"/>
  <c r="T7641" i="1"/>
  <c r="U7641" i="1"/>
  <c r="V7641" i="1"/>
  <c r="W7641" i="1"/>
  <c r="X7641" i="1"/>
  <c r="Y7641" i="1"/>
  <c r="Z7641" i="1"/>
  <c r="A7642" i="1"/>
  <c r="B7642" i="1"/>
  <c r="C7642" i="1"/>
  <c r="D7642" i="1"/>
  <c r="E7642" i="1"/>
  <c r="F7642" i="1"/>
  <c r="G7642" i="1"/>
  <c r="I7642" i="1"/>
  <c r="J7642" i="1"/>
  <c r="K7642" i="1"/>
  <c r="L7642" i="1"/>
  <c r="M7642" i="1"/>
  <c r="N7642" i="1"/>
  <c r="O7642" i="1"/>
  <c r="P7642" i="1"/>
  <c r="Q7642" i="1"/>
  <c r="R7642" i="1"/>
  <c r="S7642" i="1"/>
  <c r="T7642" i="1"/>
  <c r="U7642" i="1"/>
  <c r="V7642" i="1"/>
  <c r="W7642" i="1"/>
  <c r="X7642" i="1"/>
  <c r="Y7642" i="1"/>
  <c r="Z7642" i="1"/>
  <c r="A7643" i="1"/>
  <c r="B7643" i="1"/>
  <c r="C7643" i="1"/>
  <c r="D7643" i="1"/>
  <c r="E7643" i="1"/>
  <c r="F7643" i="1"/>
  <c r="G7643" i="1"/>
  <c r="I7643" i="1"/>
  <c r="J7643" i="1"/>
  <c r="K7643" i="1"/>
  <c r="L7643" i="1"/>
  <c r="M7643" i="1"/>
  <c r="N7643" i="1"/>
  <c r="O7643" i="1"/>
  <c r="P7643" i="1"/>
  <c r="Q7643" i="1"/>
  <c r="R7643" i="1"/>
  <c r="S7643" i="1"/>
  <c r="T7643" i="1"/>
  <c r="U7643" i="1"/>
  <c r="V7643" i="1"/>
  <c r="W7643" i="1"/>
  <c r="X7643" i="1"/>
  <c r="Y7643" i="1"/>
  <c r="Z7643" i="1"/>
  <c r="A7644" i="1"/>
  <c r="B7644" i="1"/>
  <c r="C7644" i="1"/>
  <c r="D7644" i="1"/>
  <c r="E7644" i="1"/>
  <c r="F7644" i="1"/>
  <c r="G7644" i="1"/>
  <c r="I7644" i="1"/>
  <c r="J7644" i="1"/>
  <c r="K7644" i="1"/>
  <c r="L7644" i="1"/>
  <c r="M7644" i="1"/>
  <c r="N7644" i="1"/>
  <c r="O7644" i="1"/>
  <c r="P7644" i="1"/>
  <c r="Q7644" i="1"/>
  <c r="R7644" i="1"/>
  <c r="S7644" i="1"/>
  <c r="T7644" i="1"/>
  <c r="U7644" i="1"/>
  <c r="V7644" i="1"/>
  <c r="W7644" i="1"/>
  <c r="X7644" i="1"/>
  <c r="Y7644" i="1"/>
  <c r="Z7644" i="1"/>
  <c r="A7645" i="1"/>
  <c r="B7645" i="1"/>
  <c r="C7645" i="1"/>
  <c r="D7645" i="1"/>
  <c r="E7645" i="1"/>
  <c r="F7645" i="1"/>
  <c r="G7645" i="1"/>
  <c r="I7645" i="1"/>
  <c r="J7645" i="1"/>
  <c r="K7645" i="1"/>
  <c r="L7645" i="1"/>
  <c r="M7645" i="1"/>
  <c r="N7645" i="1"/>
  <c r="O7645" i="1"/>
  <c r="P7645" i="1"/>
  <c r="Q7645" i="1"/>
  <c r="R7645" i="1"/>
  <c r="S7645" i="1"/>
  <c r="T7645" i="1"/>
  <c r="U7645" i="1"/>
  <c r="V7645" i="1"/>
  <c r="W7645" i="1"/>
  <c r="X7645" i="1"/>
  <c r="Y7645" i="1"/>
  <c r="Z7645" i="1"/>
  <c r="A7646" i="1"/>
  <c r="B7646" i="1"/>
  <c r="C7646" i="1"/>
  <c r="D7646" i="1"/>
  <c r="E7646" i="1"/>
  <c r="F7646" i="1"/>
  <c r="G7646" i="1"/>
  <c r="I7646" i="1"/>
  <c r="J7646" i="1"/>
  <c r="K7646" i="1"/>
  <c r="L7646" i="1"/>
  <c r="M7646" i="1"/>
  <c r="N7646" i="1"/>
  <c r="O7646" i="1"/>
  <c r="P7646" i="1"/>
  <c r="Q7646" i="1"/>
  <c r="R7646" i="1"/>
  <c r="S7646" i="1"/>
  <c r="T7646" i="1"/>
  <c r="U7646" i="1"/>
  <c r="V7646" i="1"/>
  <c r="W7646" i="1"/>
  <c r="X7646" i="1"/>
  <c r="Y7646" i="1"/>
  <c r="Z7646" i="1"/>
  <c r="A7647" i="1"/>
  <c r="B7647" i="1"/>
  <c r="C7647" i="1"/>
  <c r="D7647" i="1"/>
  <c r="E7647" i="1"/>
  <c r="F7647" i="1"/>
  <c r="G7647" i="1"/>
  <c r="I7647" i="1"/>
  <c r="J7647" i="1"/>
  <c r="K7647" i="1"/>
  <c r="L7647" i="1"/>
  <c r="M7647" i="1"/>
  <c r="N7647" i="1"/>
  <c r="O7647" i="1"/>
  <c r="P7647" i="1"/>
  <c r="Q7647" i="1"/>
  <c r="R7647" i="1"/>
  <c r="S7647" i="1"/>
  <c r="T7647" i="1"/>
  <c r="U7647" i="1"/>
  <c r="V7647" i="1"/>
  <c r="W7647" i="1"/>
  <c r="X7647" i="1"/>
  <c r="Y7647" i="1"/>
  <c r="Z7647" i="1"/>
  <c r="A7648" i="1"/>
  <c r="B7648" i="1"/>
  <c r="C7648" i="1"/>
  <c r="D7648" i="1"/>
  <c r="E7648" i="1"/>
  <c r="F7648" i="1"/>
  <c r="G7648" i="1"/>
  <c r="I7648" i="1"/>
  <c r="J7648" i="1"/>
  <c r="K7648" i="1"/>
  <c r="L7648" i="1"/>
  <c r="M7648" i="1"/>
  <c r="N7648" i="1"/>
  <c r="O7648" i="1"/>
  <c r="P7648" i="1"/>
  <c r="Q7648" i="1"/>
  <c r="R7648" i="1"/>
  <c r="S7648" i="1"/>
  <c r="T7648" i="1"/>
  <c r="U7648" i="1"/>
  <c r="V7648" i="1"/>
  <c r="W7648" i="1"/>
  <c r="X7648" i="1"/>
  <c r="Y7648" i="1"/>
  <c r="Z7648" i="1"/>
  <c r="A7649" i="1"/>
  <c r="B7649" i="1"/>
  <c r="C7649" i="1"/>
  <c r="D7649" i="1"/>
  <c r="E7649" i="1"/>
  <c r="F7649" i="1"/>
  <c r="G7649" i="1"/>
  <c r="I7649" i="1"/>
  <c r="J7649" i="1"/>
  <c r="K7649" i="1"/>
  <c r="L7649" i="1"/>
  <c r="M7649" i="1"/>
  <c r="N7649" i="1"/>
  <c r="O7649" i="1"/>
  <c r="P7649" i="1"/>
  <c r="Q7649" i="1"/>
  <c r="R7649" i="1"/>
  <c r="S7649" i="1"/>
  <c r="T7649" i="1"/>
  <c r="U7649" i="1"/>
  <c r="V7649" i="1"/>
  <c r="W7649" i="1"/>
  <c r="X7649" i="1"/>
  <c r="Y7649" i="1"/>
  <c r="Z7649" i="1"/>
  <c r="A7650" i="1"/>
  <c r="B7650" i="1"/>
  <c r="C7650" i="1"/>
  <c r="D7650" i="1"/>
  <c r="E7650" i="1"/>
  <c r="F7650" i="1"/>
  <c r="G7650" i="1"/>
  <c r="I7650" i="1"/>
  <c r="J7650" i="1"/>
  <c r="K7650" i="1"/>
  <c r="L7650" i="1"/>
  <c r="M7650" i="1"/>
  <c r="N7650" i="1"/>
  <c r="O7650" i="1"/>
  <c r="P7650" i="1"/>
  <c r="Q7650" i="1"/>
  <c r="R7650" i="1"/>
  <c r="S7650" i="1"/>
  <c r="T7650" i="1"/>
  <c r="U7650" i="1"/>
  <c r="V7650" i="1"/>
  <c r="W7650" i="1"/>
  <c r="X7650" i="1"/>
  <c r="Y7650" i="1"/>
  <c r="Z7650" i="1"/>
  <c r="A7651" i="1"/>
  <c r="B7651" i="1"/>
  <c r="C7651" i="1"/>
  <c r="D7651" i="1"/>
  <c r="E7651" i="1"/>
  <c r="F7651" i="1"/>
  <c r="G7651" i="1"/>
  <c r="I7651" i="1"/>
  <c r="J7651" i="1"/>
  <c r="K7651" i="1"/>
  <c r="L7651" i="1"/>
  <c r="M7651" i="1"/>
  <c r="N7651" i="1"/>
  <c r="O7651" i="1"/>
  <c r="P7651" i="1"/>
  <c r="Q7651" i="1"/>
  <c r="R7651" i="1"/>
  <c r="S7651" i="1"/>
  <c r="T7651" i="1"/>
  <c r="U7651" i="1"/>
  <c r="V7651" i="1"/>
  <c r="W7651" i="1"/>
  <c r="X7651" i="1"/>
  <c r="Y7651" i="1"/>
  <c r="Z7651" i="1"/>
  <c r="A7652" i="1"/>
  <c r="B7652" i="1"/>
  <c r="C7652" i="1"/>
  <c r="D7652" i="1"/>
  <c r="E7652" i="1"/>
  <c r="F7652" i="1"/>
  <c r="G7652" i="1"/>
  <c r="I7652" i="1"/>
  <c r="J7652" i="1"/>
  <c r="K7652" i="1"/>
  <c r="L7652" i="1"/>
  <c r="M7652" i="1"/>
  <c r="N7652" i="1"/>
  <c r="O7652" i="1"/>
  <c r="P7652" i="1"/>
  <c r="Q7652" i="1"/>
  <c r="R7652" i="1"/>
  <c r="S7652" i="1"/>
  <c r="T7652" i="1"/>
  <c r="U7652" i="1"/>
  <c r="V7652" i="1"/>
  <c r="W7652" i="1"/>
  <c r="X7652" i="1"/>
  <c r="Y7652" i="1"/>
  <c r="Z7652" i="1"/>
  <c r="A7653" i="1"/>
  <c r="B7653" i="1"/>
  <c r="C7653" i="1"/>
  <c r="D7653" i="1"/>
  <c r="E7653" i="1"/>
  <c r="F7653" i="1"/>
  <c r="G7653" i="1"/>
  <c r="I7653" i="1"/>
  <c r="J7653" i="1"/>
  <c r="K7653" i="1"/>
  <c r="L7653" i="1"/>
  <c r="M7653" i="1"/>
  <c r="N7653" i="1"/>
  <c r="O7653" i="1"/>
  <c r="P7653" i="1"/>
  <c r="Q7653" i="1"/>
  <c r="R7653" i="1"/>
  <c r="S7653" i="1"/>
  <c r="T7653" i="1"/>
  <c r="U7653" i="1"/>
  <c r="V7653" i="1"/>
  <c r="W7653" i="1"/>
  <c r="X7653" i="1"/>
  <c r="Y7653" i="1"/>
  <c r="Z7653" i="1"/>
  <c r="A7654" i="1"/>
  <c r="B7654" i="1"/>
  <c r="C7654" i="1"/>
  <c r="D7654" i="1"/>
  <c r="E7654" i="1"/>
  <c r="F7654" i="1"/>
  <c r="G7654" i="1"/>
  <c r="I7654" i="1"/>
  <c r="J7654" i="1"/>
  <c r="K7654" i="1"/>
  <c r="L7654" i="1"/>
  <c r="M7654" i="1"/>
  <c r="N7654" i="1"/>
  <c r="O7654" i="1"/>
  <c r="P7654" i="1"/>
  <c r="Q7654" i="1"/>
  <c r="R7654" i="1"/>
  <c r="S7654" i="1"/>
  <c r="T7654" i="1"/>
  <c r="U7654" i="1"/>
  <c r="V7654" i="1"/>
  <c r="W7654" i="1"/>
  <c r="X7654" i="1"/>
  <c r="Y7654" i="1"/>
  <c r="Z7654" i="1"/>
  <c r="A7655" i="1"/>
  <c r="B7655" i="1"/>
  <c r="C7655" i="1"/>
  <c r="D7655" i="1"/>
  <c r="E7655" i="1"/>
  <c r="F7655" i="1"/>
  <c r="G7655" i="1"/>
  <c r="I7655" i="1"/>
  <c r="J7655" i="1"/>
  <c r="K7655" i="1"/>
  <c r="L7655" i="1"/>
  <c r="M7655" i="1"/>
  <c r="N7655" i="1"/>
  <c r="O7655" i="1"/>
  <c r="P7655" i="1"/>
  <c r="Q7655" i="1"/>
  <c r="R7655" i="1"/>
  <c r="S7655" i="1"/>
  <c r="T7655" i="1"/>
  <c r="U7655" i="1"/>
  <c r="V7655" i="1"/>
  <c r="W7655" i="1"/>
  <c r="X7655" i="1"/>
  <c r="Y7655" i="1"/>
  <c r="Z7655" i="1"/>
  <c r="A7656" i="1"/>
  <c r="B7656" i="1"/>
  <c r="C7656" i="1"/>
  <c r="D7656" i="1"/>
  <c r="E7656" i="1"/>
  <c r="F7656" i="1"/>
  <c r="G7656" i="1"/>
  <c r="I7656" i="1"/>
  <c r="J7656" i="1"/>
  <c r="K7656" i="1"/>
  <c r="L7656" i="1"/>
  <c r="M7656" i="1"/>
  <c r="N7656" i="1"/>
  <c r="O7656" i="1"/>
  <c r="P7656" i="1"/>
  <c r="Q7656" i="1"/>
  <c r="R7656" i="1"/>
  <c r="S7656" i="1"/>
  <c r="T7656" i="1"/>
  <c r="U7656" i="1"/>
  <c r="V7656" i="1"/>
  <c r="W7656" i="1"/>
  <c r="X7656" i="1"/>
  <c r="Y7656" i="1"/>
  <c r="Z7656" i="1"/>
  <c r="A7657" i="1"/>
  <c r="B7657" i="1"/>
  <c r="C7657" i="1"/>
  <c r="D7657" i="1"/>
  <c r="E7657" i="1"/>
  <c r="F7657" i="1"/>
  <c r="G7657" i="1"/>
  <c r="I7657" i="1"/>
  <c r="J7657" i="1"/>
  <c r="K7657" i="1"/>
  <c r="L7657" i="1"/>
  <c r="M7657" i="1"/>
  <c r="N7657" i="1"/>
  <c r="O7657" i="1"/>
  <c r="P7657" i="1"/>
  <c r="Q7657" i="1"/>
  <c r="R7657" i="1"/>
  <c r="S7657" i="1"/>
  <c r="T7657" i="1"/>
  <c r="U7657" i="1"/>
  <c r="V7657" i="1"/>
  <c r="W7657" i="1"/>
  <c r="X7657" i="1"/>
  <c r="Y7657" i="1"/>
  <c r="Z7657" i="1"/>
  <c r="A7658" i="1"/>
  <c r="B7658" i="1"/>
  <c r="C7658" i="1"/>
  <c r="D7658" i="1"/>
  <c r="E7658" i="1"/>
  <c r="F7658" i="1"/>
  <c r="G7658" i="1"/>
  <c r="I7658" i="1"/>
  <c r="J7658" i="1"/>
  <c r="K7658" i="1"/>
  <c r="L7658" i="1"/>
  <c r="M7658" i="1"/>
  <c r="N7658" i="1"/>
  <c r="O7658" i="1"/>
  <c r="P7658" i="1"/>
  <c r="Q7658" i="1"/>
  <c r="R7658" i="1"/>
  <c r="S7658" i="1"/>
  <c r="T7658" i="1"/>
  <c r="U7658" i="1"/>
  <c r="V7658" i="1"/>
  <c r="W7658" i="1"/>
  <c r="X7658" i="1"/>
  <c r="Y7658" i="1"/>
  <c r="Z7658" i="1"/>
  <c r="A7659" i="1"/>
  <c r="B7659" i="1"/>
  <c r="C7659" i="1"/>
  <c r="D7659" i="1"/>
  <c r="E7659" i="1"/>
  <c r="F7659" i="1"/>
  <c r="G7659" i="1"/>
  <c r="I7659" i="1"/>
  <c r="J7659" i="1"/>
  <c r="K7659" i="1"/>
  <c r="L7659" i="1"/>
  <c r="M7659" i="1"/>
  <c r="N7659" i="1"/>
  <c r="O7659" i="1"/>
  <c r="P7659" i="1"/>
  <c r="Q7659" i="1"/>
  <c r="R7659" i="1"/>
  <c r="S7659" i="1"/>
  <c r="T7659" i="1"/>
  <c r="U7659" i="1"/>
  <c r="V7659" i="1"/>
  <c r="W7659" i="1"/>
  <c r="X7659" i="1"/>
  <c r="Y7659" i="1"/>
  <c r="Z7659" i="1"/>
  <c r="A7660" i="1"/>
  <c r="B7660" i="1"/>
  <c r="C7660" i="1"/>
  <c r="D7660" i="1"/>
  <c r="E7660" i="1"/>
  <c r="F7660" i="1"/>
  <c r="G7660" i="1"/>
  <c r="I7660" i="1"/>
  <c r="J7660" i="1"/>
  <c r="K7660" i="1"/>
  <c r="L7660" i="1"/>
  <c r="M7660" i="1"/>
  <c r="N7660" i="1"/>
  <c r="O7660" i="1"/>
  <c r="P7660" i="1"/>
  <c r="Q7660" i="1"/>
  <c r="R7660" i="1"/>
  <c r="S7660" i="1"/>
  <c r="T7660" i="1"/>
  <c r="U7660" i="1"/>
  <c r="V7660" i="1"/>
  <c r="W7660" i="1"/>
  <c r="X7660" i="1"/>
  <c r="Y7660" i="1"/>
  <c r="Z7660" i="1"/>
  <c r="A7661" i="1"/>
  <c r="B7661" i="1"/>
  <c r="C7661" i="1"/>
  <c r="D7661" i="1"/>
  <c r="E7661" i="1"/>
  <c r="F7661" i="1"/>
  <c r="G7661" i="1"/>
  <c r="I7661" i="1"/>
  <c r="J7661" i="1"/>
  <c r="K7661" i="1"/>
  <c r="L7661" i="1"/>
  <c r="M7661" i="1"/>
  <c r="N7661" i="1"/>
  <c r="O7661" i="1"/>
  <c r="P7661" i="1"/>
  <c r="Q7661" i="1"/>
  <c r="R7661" i="1"/>
  <c r="S7661" i="1"/>
  <c r="T7661" i="1"/>
  <c r="U7661" i="1"/>
  <c r="V7661" i="1"/>
  <c r="W7661" i="1"/>
  <c r="X7661" i="1"/>
  <c r="Y7661" i="1"/>
  <c r="Z7661" i="1"/>
  <c r="A7662" i="1"/>
  <c r="B7662" i="1"/>
  <c r="C7662" i="1"/>
  <c r="D7662" i="1"/>
  <c r="E7662" i="1"/>
  <c r="F7662" i="1"/>
  <c r="G7662" i="1"/>
  <c r="I7662" i="1"/>
  <c r="J7662" i="1"/>
  <c r="K7662" i="1"/>
  <c r="L7662" i="1"/>
  <c r="M7662" i="1"/>
  <c r="N7662" i="1"/>
  <c r="O7662" i="1"/>
  <c r="P7662" i="1"/>
  <c r="Q7662" i="1"/>
  <c r="R7662" i="1"/>
  <c r="S7662" i="1"/>
  <c r="T7662" i="1"/>
  <c r="U7662" i="1"/>
  <c r="V7662" i="1"/>
  <c r="W7662" i="1"/>
  <c r="X7662" i="1"/>
  <c r="Y7662" i="1"/>
  <c r="Z7662" i="1"/>
  <c r="A7663" i="1"/>
  <c r="B7663" i="1"/>
  <c r="C7663" i="1"/>
  <c r="D7663" i="1"/>
  <c r="E7663" i="1"/>
  <c r="F7663" i="1"/>
  <c r="G7663" i="1"/>
  <c r="I7663" i="1"/>
  <c r="J7663" i="1"/>
  <c r="K7663" i="1"/>
  <c r="L7663" i="1"/>
  <c r="M7663" i="1"/>
  <c r="N7663" i="1"/>
  <c r="O7663" i="1"/>
  <c r="P7663" i="1"/>
  <c r="Q7663" i="1"/>
  <c r="R7663" i="1"/>
  <c r="S7663" i="1"/>
  <c r="T7663" i="1"/>
  <c r="U7663" i="1"/>
  <c r="V7663" i="1"/>
  <c r="W7663" i="1"/>
  <c r="X7663" i="1"/>
  <c r="Y7663" i="1"/>
  <c r="Z7663" i="1"/>
  <c r="A7664" i="1"/>
  <c r="B7664" i="1"/>
  <c r="C7664" i="1"/>
  <c r="D7664" i="1"/>
  <c r="E7664" i="1"/>
  <c r="F7664" i="1"/>
  <c r="G7664" i="1"/>
  <c r="I7664" i="1"/>
  <c r="J7664" i="1"/>
  <c r="K7664" i="1"/>
  <c r="L7664" i="1"/>
  <c r="M7664" i="1"/>
  <c r="N7664" i="1"/>
  <c r="O7664" i="1"/>
  <c r="P7664" i="1"/>
  <c r="Q7664" i="1"/>
  <c r="R7664" i="1"/>
  <c r="S7664" i="1"/>
  <c r="T7664" i="1"/>
  <c r="U7664" i="1"/>
  <c r="V7664" i="1"/>
  <c r="W7664" i="1"/>
  <c r="X7664" i="1"/>
  <c r="Y7664" i="1"/>
  <c r="Z7664" i="1"/>
  <c r="A7665" i="1"/>
  <c r="B7665" i="1"/>
  <c r="C7665" i="1"/>
  <c r="D7665" i="1"/>
  <c r="E7665" i="1"/>
  <c r="F7665" i="1"/>
  <c r="G7665" i="1"/>
  <c r="I7665" i="1"/>
  <c r="J7665" i="1"/>
  <c r="K7665" i="1"/>
  <c r="L7665" i="1"/>
  <c r="M7665" i="1"/>
  <c r="N7665" i="1"/>
  <c r="O7665" i="1"/>
  <c r="P7665" i="1"/>
  <c r="Q7665" i="1"/>
  <c r="R7665" i="1"/>
  <c r="S7665" i="1"/>
  <c r="T7665" i="1"/>
  <c r="U7665" i="1"/>
  <c r="V7665" i="1"/>
  <c r="W7665" i="1"/>
  <c r="X7665" i="1"/>
  <c r="Y7665" i="1"/>
  <c r="Z7665" i="1"/>
  <c r="A7666" i="1"/>
  <c r="B7666" i="1"/>
  <c r="C7666" i="1"/>
  <c r="D7666" i="1"/>
  <c r="E7666" i="1"/>
  <c r="F7666" i="1"/>
  <c r="G7666" i="1"/>
  <c r="I7666" i="1"/>
  <c r="J7666" i="1"/>
  <c r="K7666" i="1"/>
  <c r="L7666" i="1"/>
  <c r="M7666" i="1"/>
  <c r="N7666" i="1"/>
  <c r="O7666" i="1"/>
  <c r="P7666" i="1"/>
  <c r="Q7666" i="1"/>
  <c r="R7666" i="1"/>
  <c r="S7666" i="1"/>
  <c r="T7666" i="1"/>
  <c r="U7666" i="1"/>
  <c r="V7666" i="1"/>
  <c r="W7666" i="1"/>
  <c r="X7666" i="1"/>
  <c r="Y7666" i="1"/>
  <c r="Z7666" i="1"/>
  <c r="A7667" i="1"/>
  <c r="B7667" i="1"/>
  <c r="C7667" i="1"/>
  <c r="D7667" i="1"/>
  <c r="E7667" i="1"/>
  <c r="F7667" i="1"/>
  <c r="G7667" i="1"/>
  <c r="I7667" i="1"/>
  <c r="J7667" i="1"/>
  <c r="K7667" i="1"/>
  <c r="L7667" i="1"/>
  <c r="M7667" i="1"/>
  <c r="N7667" i="1"/>
  <c r="O7667" i="1"/>
  <c r="P7667" i="1"/>
  <c r="Q7667" i="1"/>
  <c r="R7667" i="1"/>
  <c r="S7667" i="1"/>
  <c r="T7667" i="1"/>
  <c r="U7667" i="1"/>
  <c r="V7667" i="1"/>
  <c r="W7667" i="1"/>
  <c r="X7667" i="1"/>
  <c r="Y7667" i="1"/>
  <c r="Z7667" i="1"/>
  <c r="A7668" i="1"/>
  <c r="B7668" i="1"/>
  <c r="C7668" i="1"/>
  <c r="D7668" i="1"/>
  <c r="E7668" i="1"/>
  <c r="F7668" i="1"/>
  <c r="G7668" i="1"/>
  <c r="I7668" i="1"/>
  <c r="J7668" i="1"/>
  <c r="K7668" i="1"/>
  <c r="L7668" i="1"/>
  <c r="M7668" i="1"/>
  <c r="N7668" i="1"/>
  <c r="O7668" i="1"/>
  <c r="P7668" i="1"/>
  <c r="Q7668" i="1"/>
  <c r="R7668" i="1"/>
  <c r="S7668" i="1"/>
  <c r="T7668" i="1"/>
  <c r="U7668" i="1"/>
  <c r="V7668" i="1"/>
  <c r="W7668" i="1"/>
  <c r="X7668" i="1"/>
  <c r="Y7668" i="1"/>
  <c r="Z7668" i="1"/>
  <c r="A7669" i="1"/>
  <c r="B7669" i="1"/>
  <c r="C7669" i="1"/>
  <c r="D7669" i="1"/>
  <c r="E7669" i="1"/>
  <c r="F7669" i="1"/>
  <c r="G7669" i="1"/>
  <c r="I7669" i="1"/>
  <c r="J7669" i="1"/>
  <c r="K7669" i="1"/>
  <c r="L7669" i="1"/>
  <c r="M7669" i="1"/>
  <c r="N7669" i="1"/>
  <c r="O7669" i="1"/>
  <c r="P7669" i="1"/>
  <c r="Q7669" i="1"/>
  <c r="R7669" i="1"/>
  <c r="S7669" i="1"/>
  <c r="T7669" i="1"/>
  <c r="U7669" i="1"/>
  <c r="V7669" i="1"/>
  <c r="W7669" i="1"/>
  <c r="X7669" i="1"/>
  <c r="Y7669" i="1"/>
  <c r="Z7669" i="1"/>
  <c r="A7670" i="1"/>
  <c r="B7670" i="1"/>
  <c r="C7670" i="1"/>
  <c r="D7670" i="1"/>
  <c r="E7670" i="1"/>
  <c r="F7670" i="1"/>
  <c r="G7670" i="1"/>
  <c r="I7670" i="1"/>
  <c r="J7670" i="1"/>
  <c r="K7670" i="1"/>
  <c r="L7670" i="1"/>
  <c r="M7670" i="1"/>
  <c r="N7670" i="1"/>
  <c r="O7670" i="1"/>
  <c r="P7670" i="1"/>
  <c r="Q7670" i="1"/>
  <c r="R7670" i="1"/>
  <c r="S7670" i="1"/>
  <c r="T7670" i="1"/>
  <c r="U7670" i="1"/>
  <c r="V7670" i="1"/>
  <c r="W7670" i="1"/>
  <c r="X7670" i="1"/>
  <c r="Y7670" i="1"/>
  <c r="Z7670" i="1"/>
  <c r="A7671" i="1"/>
  <c r="B7671" i="1"/>
  <c r="C7671" i="1"/>
  <c r="D7671" i="1"/>
  <c r="E7671" i="1"/>
  <c r="F7671" i="1"/>
  <c r="G7671" i="1"/>
  <c r="I7671" i="1"/>
  <c r="J7671" i="1"/>
  <c r="K7671" i="1"/>
  <c r="L7671" i="1"/>
  <c r="M7671" i="1"/>
  <c r="N7671" i="1"/>
  <c r="O7671" i="1"/>
  <c r="P7671" i="1"/>
  <c r="Q7671" i="1"/>
  <c r="R7671" i="1"/>
  <c r="S7671" i="1"/>
  <c r="T7671" i="1"/>
  <c r="U7671" i="1"/>
  <c r="V7671" i="1"/>
  <c r="W7671" i="1"/>
  <c r="X7671" i="1"/>
  <c r="Y7671" i="1"/>
  <c r="Z7671" i="1"/>
  <c r="A7672" i="1"/>
  <c r="B7672" i="1"/>
  <c r="C7672" i="1"/>
  <c r="D7672" i="1"/>
  <c r="E7672" i="1"/>
  <c r="F7672" i="1"/>
  <c r="G7672" i="1"/>
  <c r="I7672" i="1"/>
  <c r="J7672" i="1"/>
  <c r="K7672" i="1"/>
  <c r="L7672" i="1"/>
  <c r="M7672" i="1"/>
  <c r="N7672" i="1"/>
  <c r="O7672" i="1"/>
  <c r="P7672" i="1"/>
  <c r="Q7672" i="1"/>
  <c r="R7672" i="1"/>
  <c r="S7672" i="1"/>
  <c r="T7672" i="1"/>
  <c r="U7672" i="1"/>
  <c r="V7672" i="1"/>
  <c r="W7672" i="1"/>
  <c r="X7672" i="1"/>
  <c r="Y7672" i="1"/>
  <c r="Z7672" i="1"/>
  <c r="A7673" i="1"/>
  <c r="B7673" i="1"/>
  <c r="C7673" i="1"/>
  <c r="D7673" i="1"/>
  <c r="E7673" i="1"/>
  <c r="F7673" i="1"/>
  <c r="G7673" i="1"/>
  <c r="I7673" i="1"/>
  <c r="J7673" i="1"/>
  <c r="K7673" i="1"/>
  <c r="L7673" i="1"/>
  <c r="M7673" i="1"/>
  <c r="N7673" i="1"/>
  <c r="O7673" i="1"/>
  <c r="P7673" i="1"/>
  <c r="Q7673" i="1"/>
  <c r="R7673" i="1"/>
  <c r="S7673" i="1"/>
  <c r="T7673" i="1"/>
  <c r="U7673" i="1"/>
  <c r="V7673" i="1"/>
  <c r="W7673" i="1"/>
  <c r="X7673" i="1"/>
  <c r="Y7673" i="1"/>
  <c r="Z7673" i="1"/>
  <c r="A7674" i="1"/>
  <c r="B7674" i="1"/>
  <c r="C7674" i="1"/>
  <c r="D7674" i="1"/>
  <c r="E7674" i="1"/>
  <c r="F7674" i="1"/>
  <c r="G7674" i="1"/>
  <c r="I7674" i="1"/>
  <c r="J7674" i="1"/>
  <c r="K7674" i="1"/>
  <c r="L7674" i="1"/>
  <c r="M7674" i="1"/>
  <c r="N7674" i="1"/>
  <c r="O7674" i="1"/>
  <c r="P7674" i="1"/>
  <c r="Q7674" i="1"/>
  <c r="R7674" i="1"/>
  <c r="S7674" i="1"/>
  <c r="T7674" i="1"/>
  <c r="U7674" i="1"/>
  <c r="V7674" i="1"/>
  <c r="W7674" i="1"/>
  <c r="X7674" i="1"/>
  <c r="Y7674" i="1"/>
  <c r="Z7674" i="1"/>
  <c r="A7675" i="1"/>
  <c r="B7675" i="1"/>
  <c r="C7675" i="1"/>
  <c r="D7675" i="1"/>
  <c r="E7675" i="1"/>
  <c r="F7675" i="1"/>
  <c r="G7675" i="1"/>
  <c r="I7675" i="1"/>
  <c r="J7675" i="1"/>
  <c r="K7675" i="1"/>
  <c r="L7675" i="1"/>
  <c r="M7675" i="1"/>
  <c r="N7675" i="1"/>
  <c r="O7675" i="1"/>
  <c r="P7675" i="1"/>
  <c r="Q7675" i="1"/>
  <c r="R7675" i="1"/>
  <c r="S7675" i="1"/>
  <c r="T7675" i="1"/>
  <c r="U7675" i="1"/>
  <c r="V7675" i="1"/>
  <c r="W7675" i="1"/>
  <c r="X7675" i="1"/>
  <c r="Y7675" i="1"/>
  <c r="Z7675" i="1"/>
  <c r="A7676" i="1"/>
  <c r="B7676" i="1"/>
  <c r="C7676" i="1"/>
  <c r="D7676" i="1"/>
  <c r="E7676" i="1"/>
  <c r="F7676" i="1"/>
  <c r="G7676" i="1"/>
  <c r="I7676" i="1"/>
  <c r="J7676" i="1"/>
  <c r="K7676" i="1"/>
  <c r="L7676" i="1"/>
  <c r="M7676" i="1"/>
  <c r="N7676" i="1"/>
  <c r="O7676" i="1"/>
  <c r="P7676" i="1"/>
  <c r="Q7676" i="1"/>
  <c r="R7676" i="1"/>
  <c r="S7676" i="1"/>
  <c r="T7676" i="1"/>
  <c r="U7676" i="1"/>
  <c r="V7676" i="1"/>
  <c r="W7676" i="1"/>
  <c r="X7676" i="1"/>
  <c r="Y7676" i="1"/>
  <c r="Z7676" i="1"/>
  <c r="A7677" i="1"/>
  <c r="B7677" i="1"/>
  <c r="C7677" i="1"/>
  <c r="D7677" i="1"/>
  <c r="E7677" i="1"/>
  <c r="F7677" i="1"/>
  <c r="G7677" i="1"/>
  <c r="I7677" i="1"/>
  <c r="J7677" i="1"/>
  <c r="K7677" i="1"/>
  <c r="L7677" i="1"/>
  <c r="M7677" i="1"/>
  <c r="N7677" i="1"/>
  <c r="O7677" i="1"/>
  <c r="P7677" i="1"/>
  <c r="Q7677" i="1"/>
  <c r="R7677" i="1"/>
  <c r="S7677" i="1"/>
  <c r="T7677" i="1"/>
  <c r="U7677" i="1"/>
  <c r="V7677" i="1"/>
  <c r="W7677" i="1"/>
  <c r="X7677" i="1"/>
  <c r="Y7677" i="1"/>
  <c r="Z7677" i="1"/>
  <c r="A7678" i="1"/>
  <c r="B7678" i="1"/>
  <c r="C7678" i="1"/>
  <c r="D7678" i="1"/>
  <c r="E7678" i="1"/>
  <c r="F7678" i="1"/>
  <c r="G7678" i="1"/>
  <c r="I7678" i="1"/>
  <c r="J7678" i="1"/>
  <c r="K7678" i="1"/>
  <c r="L7678" i="1"/>
  <c r="M7678" i="1"/>
  <c r="N7678" i="1"/>
  <c r="O7678" i="1"/>
  <c r="P7678" i="1"/>
  <c r="Q7678" i="1"/>
  <c r="R7678" i="1"/>
  <c r="S7678" i="1"/>
  <c r="T7678" i="1"/>
  <c r="U7678" i="1"/>
  <c r="V7678" i="1"/>
  <c r="W7678" i="1"/>
  <c r="X7678" i="1"/>
  <c r="Y7678" i="1"/>
  <c r="Z7678" i="1"/>
  <c r="A7679" i="1"/>
  <c r="B7679" i="1"/>
  <c r="C7679" i="1"/>
  <c r="D7679" i="1"/>
  <c r="E7679" i="1"/>
  <c r="F7679" i="1"/>
  <c r="G7679" i="1"/>
  <c r="I7679" i="1"/>
  <c r="J7679" i="1"/>
  <c r="K7679" i="1"/>
  <c r="L7679" i="1"/>
  <c r="M7679" i="1"/>
  <c r="N7679" i="1"/>
  <c r="O7679" i="1"/>
  <c r="P7679" i="1"/>
  <c r="Q7679" i="1"/>
  <c r="R7679" i="1"/>
  <c r="S7679" i="1"/>
  <c r="T7679" i="1"/>
  <c r="U7679" i="1"/>
  <c r="V7679" i="1"/>
  <c r="W7679" i="1"/>
  <c r="X7679" i="1"/>
  <c r="Y7679" i="1"/>
  <c r="Z7679" i="1"/>
  <c r="A7680" i="1"/>
  <c r="B7680" i="1"/>
  <c r="C7680" i="1"/>
  <c r="D7680" i="1"/>
  <c r="E7680" i="1"/>
  <c r="F7680" i="1"/>
  <c r="G7680" i="1"/>
  <c r="I7680" i="1"/>
  <c r="J7680" i="1"/>
  <c r="K7680" i="1"/>
  <c r="L7680" i="1"/>
  <c r="M7680" i="1"/>
  <c r="N7680" i="1"/>
  <c r="O7680" i="1"/>
  <c r="P7680" i="1"/>
  <c r="Q7680" i="1"/>
  <c r="R7680" i="1"/>
  <c r="S7680" i="1"/>
  <c r="T7680" i="1"/>
  <c r="U7680" i="1"/>
  <c r="V7680" i="1"/>
  <c r="W7680" i="1"/>
  <c r="X7680" i="1"/>
  <c r="Y7680" i="1"/>
  <c r="Z7680" i="1"/>
  <c r="A7681" i="1"/>
  <c r="B7681" i="1"/>
  <c r="C7681" i="1"/>
  <c r="D7681" i="1"/>
  <c r="E7681" i="1"/>
  <c r="F7681" i="1"/>
  <c r="G7681" i="1"/>
  <c r="I7681" i="1"/>
  <c r="J7681" i="1"/>
  <c r="K7681" i="1"/>
  <c r="L7681" i="1"/>
  <c r="M7681" i="1"/>
  <c r="N7681" i="1"/>
  <c r="O7681" i="1"/>
  <c r="P7681" i="1"/>
  <c r="Q7681" i="1"/>
  <c r="R7681" i="1"/>
  <c r="S7681" i="1"/>
  <c r="T7681" i="1"/>
  <c r="U7681" i="1"/>
  <c r="V7681" i="1"/>
  <c r="W7681" i="1"/>
  <c r="X7681" i="1"/>
  <c r="Y7681" i="1"/>
  <c r="Z7681" i="1"/>
  <c r="A7682" i="1"/>
  <c r="B7682" i="1"/>
  <c r="C7682" i="1"/>
  <c r="D7682" i="1"/>
  <c r="E7682" i="1"/>
  <c r="F7682" i="1"/>
  <c r="G7682" i="1"/>
  <c r="I7682" i="1"/>
  <c r="J7682" i="1"/>
  <c r="K7682" i="1"/>
  <c r="L7682" i="1"/>
  <c r="M7682" i="1"/>
  <c r="N7682" i="1"/>
  <c r="O7682" i="1"/>
  <c r="P7682" i="1"/>
  <c r="Q7682" i="1"/>
  <c r="R7682" i="1"/>
  <c r="S7682" i="1"/>
  <c r="T7682" i="1"/>
  <c r="U7682" i="1"/>
  <c r="V7682" i="1"/>
  <c r="W7682" i="1"/>
  <c r="X7682" i="1"/>
  <c r="Y7682" i="1"/>
  <c r="Z7682" i="1"/>
  <c r="A7683" i="1"/>
  <c r="B7683" i="1"/>
  <c r="C7683" i="1"/>
  <c r="D7683" i="1"/>
  <c r="E7683" i="1"/>
  <c r="F7683" i="1"/>
  <c r="G7683" i="1"/>
  <c r="I7683" i="1"/>
  <c r="J7683" i="1"/>
  <c r="K7683" i="1"/>
  <c r="L7683" i="1"/>
  <c r="M7683" i="1"/>
  <c r="N7683" i="1"/>
  <c r="O7683" i="1"/>
  <c r="P7683" i="1"/>
  <c r="Q7683" i="1"/>
  <c r="R7683" i="1"/>
  <c r="S7683" i="1"/>
  <c r="T7683" i="1"/>
  <c r="U7683" i="1"/>
  <c r="V7683" i="1"/>
  <c r="W7683" i="1"/>
  <c r="X7683" i="1"/>
  <c r="Y7683" i="1"/>
  <c r="Z7683" i="1"/>
  <c r="A7684" i="1"/>
  <c r="B7684" i="1"/>
  <c r="C7684" i="1"/>
  <c r="D7684" i="1"/>
  <c r="E7684" i="1"/>
  <c r="F7684" i="1"/>
  <c r="G7684" i="1"/>
  <c r="I7684" i="1"/>
  <c r="J7684" i="1"/>
  <c r="K7684" i="1"/>
  <c r="L7684" i="1"/>
  <c r="M7684" i="1"/>
  <c r="N7684" i="1"/>
  <c r="O7684" i="1"/>
  <c r="P7684" i="1"/>
  <c r="Q7684" i="1"/>
  <c r="R7684" i="1"/>
  <c r="S7684" i="1"/>
  <c r="T7684" i="1"/>
  <c r="U7684" i="1"/>
  <c r="V7684" i="1"/>
  <c r="W7684" i="1"/>
  <c r="X7684" i="1"/>
  <c r="Y7684" i="1"/>
  <c r="Z7684" i="1"/>
  <c r="A7685" i="1"/>
  <c r="B7685" i="1"/>
  <c r="C7685" i="1"/>
  <c r="D7685" i="1"/>
  <c r="E7685" i="1"/>
  <c r="F7685" i="1"/>
  <c r="G7685" i="1"/>
  <c r="I7685" i="1"/>
  <c r="J7685" i="1"/>
  <c r="K7685" i="1"/>
  <c r="L7685" i="1"/>
  <c r="M7685" i="1"/>
  <c r="N7685" i="1"/>
  <c r="O7685" i="1"/>
  <c r="P7685" i="1"/>
  <c r="Q7685" i="1"/>
  <c r="R7685" i="1"/>
  <c r="S7685" i="1"/>
  <c r="T7685" i="1"/>
  <c r="U7685" i="1"/>
  <c r="V7685" i="1"/>
  <c r="W7685" i="1"/>
  <c r="X7685" i="1"/>
  <c r="Y7685" i="1"/>
  <c r="Z7685" i="1"/>
  <c r="A7686" i="1"/>
  <c r="B7686" i="1"/>
  <c r="C7686" i="1"/>
  <c r="D7686" i="1"/>
  <c r="E7686" i="1"/>
  <c r="F7686" i="1"/>
  <c r="G7686" i="1"/>
  <c r="I7686" i="1"/>
  <c r="J7686" i="1"/>
  <c r="K7686" i="1"/>
  <c r="L7686" i="1"/>
  <c r="M7686" i="1"/>
  <c r="N7686" i="1"/>
  <c r="O7686" i="1"/>
  <c r="P7686" i="1"/>
  <c r="Q7686" i="1"/>
  <c r="R7686" i="1"/>
  <c r="S7686" i="1"/>
  <c r="T7686" i="1"/>
  <c r="U7686" i="1"/>
  <c r="V7686" i="1"/>
  <c r="W7686" i="1"/>
  <c r="X7686" i="1"/>
  <c r="Y7686" i="1"/>
  <c r="Z7686" i="1"/>
  <c r="A7687" i="1"/>
  <c r="B7687" i="1"/>
  <c r="C7687" i="1"/>
  <c r="D7687" i="1"/>
  <c r="E7687" i="1"/>
  <c r="F7687" i="1"/>
  <c r="G7687" i="1"/>
  <c r="I7687" i="1"/>
  <c r="J7687" i="1"/>
  <c r="K7687" i="1"/>
  <c r="L7687" i="1"/>
  <c r="M7687" i="1"/>
  <c r="N7687" i="1"/>
  <c r="O7687" i="1"/>
  <c r="P7687" i="1"/>
  <c r="Q7687" i="1"/>
  <c r="R7687" i="1"/>
  <c r="S7687" i="1"/>
  <c r="T7687" i="1"/>
  <c r="U7687" i="1"/>
  <c r="V7687" i="1"/>
  <c r="W7687" i="1"/>
  <c r="X7687" i="1"/>
  <c r="Y7687" i="1"/>
  <c r="Z7687" i="1"/>
  <c r="A7688" i="1"/>
  <c r="B7688" i="1"/>
  <c r="C7688" i="1"/>
  <c r="D7688" i="1"/>
  <c r="E7688" i="1"/>
  <c r="F7688" i="1"/>
  <c r="G7688" i="1"/>
  <c r="I7688" i="1"/>
  <c r="J7688" i="1"/>
  <c r="K7688" i="1"/>
  <c r="L7688" i="1"/>
  <c r="M7688" i="1"/>
  <c r="N7688" i="1"/>
  <c r="O7688" i="1"/>
  <c r="P7688" i="1"/>
  <c r="Q7688" i="1"/>
  <c r="R7688" i="1"/>
  <c r="S7688" i="1"/>
  <c r="T7688" i="1"/>
  <c r="U7688" i="1"/>
  <c r="V7688" i="1"/>
  <c r="W7688" i="1"/>
  <c r="X7688" i="1"/>
  <c r="Y7688" i="1"/>
  <c r="Z7688" i="1"/>
  <c r="A7689" i="1"/>
  <c r="B7689" i="1"/>
  <c r="C7689" i="1"/>
  <c r="D7689" i="1"/>
  <c r="E7689" i="1"/>
  <c r="F7689" i="1"/>
  <c r="G7689" i="1"/>
  <c r="I7689" i="1"/>
  <c r="J7689" i="1"/>
  <c r="K7689" i="1"/>
  <c r="L7689" i="1"/>
  <c r="M7689" i="1"/>
  <c r="N7689" i="1"/>
  <c r="O7689" i="1"/>
  <c r="P7689" i="1"/>
  <c r="Q7689" i="1"/>
  <c r="R7689" i="1"/>
  <c r="S7689" i="1"/>
  <c r="T7689" i="1"/>
  <c r="U7689" i="1"/>
  <c r="V7689" i="1"/>
  <c r="W7689" i="1"/>
  <c r="X7689" i="1"/>
  <c r="Y7689" i="1"/>
  <c r="Z7689" i="1"/>
  <c r="A7690" i="1"/>
  <c r="B7690" i="1"/>
  <c r="C7690" i="1"/>
  <c r="D7690" i="1"/>
  <c r="E7690" i="1"/>
  <c r="F7690" i="1"/>
  <c r="G7690" i="1"/>
  <c r="I7690" i="1"/>
  <c r="J7690" i="1"/>
  <c r="K7690" i="1"/>
  <c r="L7690" i="1"/>
  <c r="M7690" i="1"/>
  <c r="N7690" i="1"/>
  <c r="O7690" i="1"/>
  <c r="P7690" i="1"/>
  <c r="Q7690" i="1"/>
  <c r="R7690" i="1"/>
  <c r="S7690" i="1"/>
  <c r="T7690" i="1"/>
  <c r="U7690" i="1"/>
  <c r="V7690" i="1"/>
  <c r="W7690" i="1"/>
  <c r="X7690" i="1"/>
  <c r="Y7690" i="1"/>
  <c r="Z7690" i="1"/>
  <c r="A7691" i="1"/>
  <c r="B7691" i="1"/>
  <c r="C7691" i="1"/>
  <c r="D7691" i="1"/>
  <c r="E7691" i="1"/>
  <c r="F7691" i="1"/>
  <c r="G7691" i="1"/>
  <c r="I7691" i="1"/>
  <c r="J7691" i="1"/>
  <c r="K7691" i="1"/>
  <c r="L7691" i="1"/>
  <c r="M7691" i="1"/>
  <c r="N7691" i="1"/>
  <c r="O7691" i="1"/>
  <c r="P7691" i="1"/>
  <c r="Q7691" i="1"/>
  <c r="R7691" i="1"/>
  <c r="S7691" i="1"/>
  <c r="T7691" i="1"/>
  <c r="U7691" i="1"/>
  <c r="V7691" i="1"/>
  <c r="W7691" i="1"/>
  <c r="X7691" i="1"/>
  <c r="Y7691" i="1"/>
  <c r="Z7691" i="1"/>
  <c r="A7692" i="1"/>
  <c r="B7692" i="1"/>
  <c r="C7692" i="1"/>
  <c r="D7692" i="1"/>
  <c r="E7692" i="1"/>
  <c r="F7692" i="1"/>
  <c r="G7692" i="1"/>
  <c r="I7692" i="1"/>
  <c r="J7692" i="1"/>
  <c r="K7692" i="1"/>
  <c r="L7692" i="1"/>
  <c r="M7692" i="1"/>
  <c r="N7692" i="1"/>
  <c r="O7692" i="1"/>
  <c r="P7692" i="1"/>
  <c r="Q7692" i="1"/>
  <c r="R7692" i="1"/>
  <c r="S7692" i="1"/>
  <c r="T7692" i="1"/>
  <c r="U7692" i="1"/>
  <c r="V7692" i="1"/>
  <c r="W7692" i="1"/>
  <c r="X7692" i="1"/>
  <c r="Y7692" i="1"/>
  <c r="Z7692" i="1"/>
  <c r="A7693" i="1"/>
  <c r="B7693" i="1"/>
  <c r="C7693" i="1"/>
  <c r="D7693" i="1"/>
  <c r="E7693" i="1"/>
  <c r="F7693" i="1"/>
  <c r="G7693" i="1"/>
  <c r="I7693" i="1"/>
  <c r="J7693" i="1"/>
  <c r="K7693" i="1"/>
  <c r="L7693" i="1"/>
  <c r="M7693" i="1"/>
  <c r="N7693" i="1"/>
  <c r="O7693" i="1"/>
  <c r="P7693" i="1"/>
  <c r="Q7693" i="1"/>
  <c r="R7693" i="1"/>
  <c r="S7693" i="1"/>
  <c r="T7693" i="1"/>
  <c r="U7693" i="1"/>
  <c r="V7693" i="1"/>
  <c r="W7693" i="1"/>
  <c r="X7693" i="1"/>
  <c r="Y7693" i="1"/>
  <c r="Z7693" i="1"/>
  <c r="A7694" i="1"/>
  <c r="B7694" i="1"/>
  <c r="C7694" i="1"/>
  <c r="D7694" i="1"/>
  <c r="E7694" i="1"/>
  <c r="F7694" i="1"/>
  <c r="G7694" i="1"/>
  <c r="I7694" i="1"/>
  <c r="J7694" i="1"/>
  <c r="K7694" i="1"/>
  <c r="L7694" i="1"/>
  <c r="M7694" i="1"/>
  <c r="N7694" i="1"/>
  <c r="O7694" i="1"/>
  <c r="P7694" i="1"/>
  <c r="Q7694" i="1"/>
  <c r="R7694" i="1"/>
  <c r="S7694" i="1"/>
  <c r="T7694" i="1"/>
  <c r="U7694" i="1"/>
  <c r="V7694" i="1"/>
  <c r="W7694" i="1"/>
  <c r="X7694" i="1"/>
  <c r="Y7694" i="1"/>
  <c r="Z7694" i="1"/>
  <c r="A7695" i="1"/>
  <c r="B7695" i="1"/>
  <c r="C7695" i="1"/>
  <c r="D7695" i="1"/>
  <c r="E7695" i="1"/>
  <c r="F7695" i="1"/>
  <c r="G7695" i="1"/>
  <c r="I7695" i="1"/>
  <c r="J7695" i="1"/>
  <c r="K7695" i="1"/>
  <c r="L7695" i="1"/>
  <c r="M7695" i="1"/>
  <c r="N7695" i="1"/>
  <c r="O7695" i="1"/>
  <c r="P7695" i="1"/>
  <c r="Q7695" i="1"/>
  <c r="R7695" i="1"/>
  <c r="S7695" i="1"/>
  <c r="T7695" i="1"/>
  <c r="U7695" i="1"/>
  <c r="V7695" i="1"/>
  <c r="W7695" i="1"/>
  <c r="X7695" i="1"/>
  <c r="Y7695" i="1"/>
  <c r="Z7695" i="1"/>
  <c r="A7696" i="1"/>
  <c r="B7696" i="1"/>
  <c r="C7696" i="1"/>
  <c r="D7696" i="1"/>
  <c r="E7696" i="1"/>
  <c r="F7696" i="1"/>
  <c r="G7696" i="1"/>
  <c r="I7696" i="1"/>
  <c r="J7696" i="1"/>
  <c r="K7696" i="1"/>
  <c r="L7696" i="1"/>
  <c r="M7696" i="1"/>
  <c r="N7696" i="1"/>
  <c r="O7696" i="1"/>
  <c r="P7696" i="1"/>
  <c r="Q7696" i="1"/>
  <c r="R7696" i="1"/>
  <c r="S7696" i="1"/>
  <c r="T7696" i="1"/>
  <c r="U7696" i="1"/>
  <c r="V7696" i="1"/>
  <c r="W7696" i="1"/>
  <c r="X7696" i="1"/>
  <c r="Y7696" i="1"/>
  <c r="Z7696" i="1"/>
  <c r="A7697" i="1"/>
  <c r="B7697" i="1"/>
  <c r="C7697" i="1"/>
  <c r="D7697" i="1"/>
  <c r="E7697" i="1"/>
  <c r="F7697" i="1"/>
  <c r="G7697" i="1"/>
  <c r="I7697" i="1"/>
  <c r="J7697" i="1"/>
  <c r="K7697" i="1"/>
  <c r="L7697" i="1"/>
  <c r="M7697" i="1"/>
  <c r="N7697" i="1"/>
  <c r="O7697" i="1"/>
  <c r="P7697" i="1"/>
  <c r="Q7697" i="1"/>
  <c r="R7697" i="1"/>
  <c r="S7697" i="1"/>
  <c r="T7697" i="1"/>
  <c r="U7697" i="1"/>
  <c r="V7697" i="1"/>
  <c r="W7697" i="1"/>
  <c r="X7697" i="1"/>
  <c r="Y7697" i="1"/>
  <c r="Z7697" i="1"/>
  <c r="A7698" i="1"/>
  <c r="B7698" i="1"/>
  <c r="C7698" i="1"/>
  <c r="D7698" i="1"/>
  <c r="E7698" i="1"/>
  <c r="F7698" i="1"/>
  <c r="G7698" i="1"/>
  <c r="I7698" i="1"/>
  <c r="J7698" i="1"/>
  <c r="K7698" i="1"/>
  <c r="L7698" i="1"/>
  <c r="M7698" i="1"/>
  <c r="N7698" i="1"/>
  <c r="O7698" i="1"/>
  <c r="P7698" i="1"/>
  <c r="Q7698" i="1"/>
  <c r="R7698" i="1"/>
  <c r="S7698" i="1"/>
  <c r="T7698" i="1"/>
  <c r="U7698" i="1"/>
  <c r="V7698" i="1"/>
  <c r="W7698" i="1"/>
  <c r="X7698" i="1"/>
  <c r="Y7698" i="1"/>
  <c r="Z7698" i="1"/>
  <c r="A7699" i="1"/>
  <c r="B7699" i="1"/>
  <c r="C7699" i="1"/>
  <c r="D7699" i="1"/>
  <c r="E7699" i="1"/>
  <c r="F7699" i="1"/>
  <c r="G7699" i="1"/>
  <c r="I7699" i="1"/>
  <c r="J7699" i="1"/>
  <c r="K7699" i="1"/>
  <c r="L7699" i="1"/>
  <c r="M7699" i="1"/>
  <c r="N7699" i="1"/>
  <c r="O7699" i="1"/>
  <c r="P7699" i="1"/>
  <c r="Q7699" i="1"/>
  <c r="R7699" i="1"/>
  <c r="S7699" i="1"/>
  <c r="T7699" i="1"/>
  <c r="U7699" i="1"/>
  <c r="V7699" i="1"/>
  <c r="W7699" i="1"/>
  <c r="X7699" i="1"/>
  <c r="Y7699" i="1"/>
  <c r="Z7699" i="1"/>
  <c r="A7700" i="1"/>
  <c r="B7700" i="1"/>
  <c r="C7700" i="1"/>
  <c r="D7700" i="1"/>
  <c r="E7700" i="1"/>
  <c r="F7700" i="1"/>
  <c r="G7700" i="1"/>
  <c r="I7700" i="1"/>
  <c r="J7700" i="1"/>
  <c r="K7700" i="1"/>
  <c r="L7700" i="1"/>
  <c r="M7700" i="1"/>
  <c r="N7700" i="1"/>
  <c r="O7700" i="1"/>
  <c r="P7700" i="1"/>
  <c r="Q7700" i="1"/>
  <c r="R7700" i="1"/>
  <c r="S7700" i="1"/>
  <c r="T7700" i="1"/>
  <c r="U7700" i="1"/>
  <c r="V7700" i="1"/>
  <c r="W7700" i="1"/>
  <c r="X7700" i="1"/>
  <c r="Y7700" i="1"/>
  <c r="Z7700" i="1"/>
  <c r="A7701" i="1"/>
  <c r="B7701" i="1"/>
  <c r="C7701" i="1"/>
  <c r="D7701" i="1"/>
  <c r="E7701" i="1"/>
  <c r="F7701" i="1"/>
  <c r="G7701" i="1"/>
  <c r="I7701" i="1"/>
  <c r="J7701" i="1"/>
  <c r="K7701" i="1"/>
  <c r="L7701" i="1"/>
  <c r="M7701" i="1"/>
  <c r="N7701" i="1"/>
  <c r="O7701" i="1"/>
  <c r="P7701" i="1"/>
  <c r="Q7701" i="1"/>
  <c r="R7701" i="1"/>
  <c r="S7701" i="1"/>
  <c r="T7701" i="1"/>
  <c r="U7701" i="1"/>
  <c r="V7701" i="1"/>
  <c r="W7701" i="1"/>
  <c r="X7701" i="1"/>
  <c r="Y7701" i="1"/>
  <c r="Z7701" i="1"/>
  <c r="A7702" i="1"/>
  <c r="B7702" i="1"/>
  <c r="C7702" i="1"/>
  <c r="D7702" i="1"/>
  <c r="E7702" i="1"/>
  <c r="F7702" i="1"/>
  <c r="G7702" i="1"/>
  <c r="I7702" i="1"/>
  <c r="J7702" i="1"/>
  <c r="K7702" i="1"/>
  <c r="L7702" i="1"/>
  <c r="M7702" i="1"/>
  <c r="N7702" i="1"/>
  <c r="O7702" i="1"/>
  <c r="P7702" i="1"/>
  <c r="Q7702" i="1"/>
  <c r="R7702" i="1"/>
  <c r="S7702" i="1"/>
  <c r="T7702" i="1"/>
  <c r="U7702" i="1"/>
  <c r="V7702" i="1"/>
  <c r="W7702" i="1"/>
  <c r="X7702" i="1"/>
  <c r="Y7702" i="1"/>
  <c r="Z7702" i="1"/>
  <c r="A7703" i="1"/>
  <c r="B7703" i="1"/>
  <c r="C7703" i="1"/>
  <c r="D7703" i="1"/>
  <c r="E7703" i="1"/>
  <c r="F7703" i="1"/>
  <c r="G7703" i="1"/>
  <c r="I7703" i="1"/>
  <c r="J7703" i="1"/>
  <c r="K7703" i="1"/>
  <c r="L7703" i="1"/>
  <c r="M7703" i="1"/>
  <c r="N7703" i="1"/>
  <c r="O7703" i="1"/>
  <c r="P7703" i="1"/>
  <c r="Q7703" i="1"/>
  <c r="R7703" i="1"/>
  <c r="S7703" i="1"/>
  <c r="T7703" i="1"/>
  <c r="U7703" i="1"/>
  <c r="V7703" i="1"/>
  <c r="W7703" i="1"/>
  <c r="X7703" i="1"/>
  <c r="Y7703" i="1"/>
  <c r="Z7703" i="1"/>
  <c r="A7704" i="1"/>
  <c r="B7704" i="1"/>
  <c r="C7704" i="1"/>
  <c r="D7704" i="1"/>
  <c r="E7704" i="1"/>
  <c r="F7704" i="1"/>
  <c r="G7704" i="1"/>
  <c r="I7704" i="1"/>
  <c r="J7704" i="1"/>
  <c r="K7704" i="1"/>
  <c r="L7704" i="1"/>
  <c r="M7704" i="1"/>
  <c r="N7704" i="1"/>
  <c r="O7704" i="1"/>
  <c r="P7704" i="1"/>
  <c r="Q7704" i="1"/>
  <c r="R7704" i="1"/>
  <c r="S7704" i="1"/>
  <c r="T7704" i="1"/>
  <c r="U7704" i="1"/>
  <c r="V7704" i="1"/>
  <c r="W7704" i="1"/>
  <c r="X7704" i="1"/>
  <c r="Y7704" i="1"/>
  <c r="Z7704" i="1"/>
  <c r="A7705" i="1"/>
  <c r="B7705" i="1"/>
  <c r="C7705" i="1"/>
  <c r="D7705" i="1"/>
  <c r="E7705" i="1"/>
  <c r="F7705" i="1"/>
  <c r="G7705" i="1"/>
  <c r="I7705" i="1"/>
  <c r="J7705" i="1"/>
  <c r="K7705" i="1"/>
  <c r="L7705" i="1"/>
  <c r="M7705" i="1"/>
  <c r="N7705" i="1"/>
  <c r="O7705" i="1"/>
  <c r="P7705" i="1"/>
  <c r="Q7705" i="1"/>
  <c r="R7705" i="1"/>
  <c r="S7705" i="1"/>
  <c r="T7705" i="1"/>
  <c r="U7705" i="1"/>
  <c r="V7705" i="1"/>
  <c r="W7705" i="1"/>
  <c r="X7705" i="1"/>
  <c r="Y7705" i="1"/>
  <c r="Z7705" i="1"/>
  <c r="A7706" i="1"/>
  <c r="B7706" i="1"/>
  <c r="C7706" i="1"/>
  <c r="D7706" i="1"/>
  <c r="E7706" i="1"/>
  <c r="F7706" i="1"/>
  <c r="G7706" i="1"/>
  <c r="I7706" i="1"/>
  <c r="J7706" i="1"/>
  <c r="K7706" i="1"/>
  <c r="L7706" i="1"/>
  <c r="M7706" i="1"/>
  <c r="N7706" i="1"/>
  <c r="O7706" i="1"/>
  <c r="P7706" i="1"/>
  <c r="Q7706" i="1"/>
  <c r="R7706" i="1"/>
  <c r="S7706" i="1"/>
  <c r="T7706" i="1"/>
  <c r="U7706" i="1"/>
  <c r="V7706" i="1"/>
  <c r="W7706" i="1"/>
  <c r="X7706" i="1"/>
  <c r="Y7706" i="1"/>
  <c r="Z7706" i="1"/>
  <c r="A7707" i="1"/>
  <c r="B7707" i="1"/>
  <c r="C7707" i="1"/>
  <c r="D7707" i="1"/>
  <c r="E7707" i="1"/>
  <c r="F7707" i="1"/>
  <c r="G7707" i="1"/>
  <c r="I7707" i="1"/>
  <c r="J7707" i="1"/>
  <c r="K7707" i="1"/>
  <c r="L7707" i="1"/>
  <c r="M7707" i="1"/>
  <c r="N7707" i="1"/>
  <c r="O7707" i="1"/>
  <c r="P7707" i="1"/>
  <c r="Q7707" i="1"/>
  <c r="R7707" i="1"/>
  <c r="S7707" i="1"/>
  <c r="T7707" i="1"/>
  <c r="U7707" i="1"/>
  <c r="V7707" i="1"/>
  <c r="W7707" i="1"/>
  <c r="X7707" i="1"/>
  <c r="Y7707" i="1"/>
  <c r="Z7707" i="1"/>
  <c r="A7708" i="1"/>
  <c r="B7708" i="1"/>
  <c r="C7708" i="1"/>
  <c r="D7708" i="1"/>
  <c r="E7708" i="1"/>
  <c r="F7708" i="1"/>
  <c r="G7708" i="1"/>
  <c r="I7708" i="1"/>
  <c r="J7708" i="1"/>
  <c r="K7708" i="1"/>
  <c r="L7708" i="1"/>
  <c r="M7708" i="1"/>
  <c r="N7708" i="1"/>
  <c r="O7708" i="1"/>
  <c r="P7708" i="1"/>
  <c r="Q7708" i="1"/>
  <c r="R7708" i="1"/>
  <c r="S7708" i="1"/>
  <c r="T7708" i="1"/>
  <c r="U7708" i="1"/>
  <c r="V7708" i="1"/>
  <c r="W7708" i="1"/>
  <c r="X7708" i="1"/>
  <c r="Y7708" i="1"/>
  <c r="Z7708" i="1"/>
  <c r="A7709" i="1"/>
  <c r="B7709" i="1"/>
  <c r="C7709" i="1"/>
  <c r="D7709" i="1"/>
  <c r="E7709" i="1"/>
  <c r="F7709" i="1"/>
  <c r="G7709" i="1"/>
  <c r="I7709" i="1"/>
  <c r="J7709" i="1"/>
  <c r="K7709" i="1"/>
  <c r="L7709" i="1"/>
  <c r="M7709" i="1"/>
  <c r="N7709" i="1"/>
  <c r="O7709" i="1"/>
  <c r="P7709" i="1"/>
  <c r="Q7709" i="1"/>
  <c r="R7709" i="1"/>
  <c r="S7709" i="1"/>
  <c r="T7709" i="1"/>
  <c r="U7709" i="1"/>
  <c r="V7709" i="1"/>
  <c r="W7709" i="1"/>
  <c r="X7709" i="1"/>
  <c r="Y7709" i="1"/>
  <c r="Z7709" i="1"/>
  <c r="A7710" i="1"/>
  <c r="B7710" i="1"/>
  <c r="C7710" i="1"/>
  <c r="D7710" i="1"/>
  <c r="E7710" i="1"/>
  <c r="F7710" i="1"/>
  <c r="G7710" i="1"/>
  <c r="I7710" i="1"/>
  <c r="J7710" i="1"/>
  <c r="K7710" i="1"/>
  <c r="L7710" i="1"/>
  <c r="M7710" i="1"/>
  <c r="N7710" i="1"/>
  <c r="O7710" i="1"/>
  <c r="P7710" i="1"/>
  <c r="Q7710" i="1"/>
  <c r="R7710" i="1"/>
  <c r="S7710" i="1"/>
  <c r="T7710" i="1"/>
  <c r="U7710" i="1"/>
  <c r="V7710" i="1"/>
  <c r="W7710" i="1"/>
  <c r="X7710" i="1"/>
  <c r="Y7710" i="1"/>
  <c r="Z7710" i="1"/>
  <c r="A7711" i="1"/>
  <c r="B7711" i="1"/>
  <c r="C7711" i="1"/>
  <c r="D7711" i="1"/>
  <c r="E7711" i="1"/>
  <c r="F7711" i="1"/>
  <c r="G7711" i="1"/>
  <c r="I7711" i="1"/>
  <c r="J7711" i="1"/>
  <c r="K7711" i="1"/>
  <c r="L7711" i="1"/>
  <c r="M7711" i="1"/>
  <c r="N7711" i="1"/>
  <c r="O7711" i="1"/>
  <c r="P7711" i="1"/>
  <c r="Q7711" i="1"/>
  <c r="R7711" i="1"/>
  <c r="S7711" i="1"/>
  <c r="T7711" i="1"/>
  <c r="U7711" i="1"/>
  <c r="V7711" i="1"/>
  <c r="W7711" i="1"/>
  <c r="X7711" i="1"/>
  <c r="Y7711" i="1"/>
  <c r="Z7711" i="1"/>
  <c r="A7712" i="1"/>
  <c r="B7712" i="1"/>
  <c r="C7712" i="1"/>
  <c r="D7712" i="1"/>
  <c r="E7712" i="1"/>
  <c r="F7712" i="1"/>
  <c r="G7712" i="1"/>
  <c r="I7712" i="1"/>
  <c r="J7712" i="1"/>
  <c r="K7712" i="1"/>
  <c r="L7712" i="1"/>
  <c r="M7712" i="1"/>
  <c r="N7712" i="1"/>
  <c r="O7712" i="1"/>
  <c r="P7712" i="1"/>
  <c r="Q7712" i="1"/>
  <c r="R7712" i="1"/>
  <c r="S7712" i="1"/>
  <c r="T7712" i="1"/>
  <c r="U7712" i="1"/>
  <c r="V7712" i="1"/>
  <c r="W7712" i="1"/>
  <c r="X7712" i="1"/>
  <c r="Y7712" i="1"/>
  <c r="Z7712" i="1"/>
  <c r="A7713" i="1"/>
  <c r="B7713" i="1"/>
  <c r="C7713" i="1"/>
  <c r="D7713" i="1"/>
  <c r="E7713" i="1"/>
  <c r="F7713" i="1"/>
  <c r="G7713" i="1"/>
  <c r="I7713" i="1"/>
  <c r="J7713" i="1"/>
  <c r="K7713" i="1"/>
  <c r="L7713" i="1"/>
  <c r="M7713" i="1"/>
  <c r="N7713" i="1"/>
  <c r="O7713" i="1"/>
  <c r="P7713" i="1"/>
  <c r="Q7713" i="1"/>
  <c r="R7713" i="1"/>
  <c r="S7713" i="1"/>
  <c r="T7713" i="1"/>
  <c r="U7713" i="1"/>
  <c r="V7713" i="1"/>
  <c r="W7713" i="1"/>
  <c r="X7713" i="1"/>
  <c r="Y7713" i="1"/>
  <c r="Z7713" i="1"/>
  <c r="A7714" i="1"/>
  <c r="B7714" i="1"/>
  <c r="C7714" i="1"/>
  <c r="D7714" i="1"/>
  <c r="E7714" i="1"/>
  <c r="F7714" i="1"/>
  <c r="G7714" i="1"/>
  <c r="I7714" i="1"/>
  <c r="J7714" i="1"/>
  <c r="K7714" i="1"/>
  <c r="L7714" i="1"/>
  <c r="M7714" i="1"/>
  <c r="N7714" i="1"/>
  <c r="O7714" i="1"/>
  <c r="P7714" i="1"/>
  <c r="Q7714" i="1"/>
  <c r="R7714" i="1"/>
  <c r="S7714" i="1"/>
  <c r="T7714" i="1"/>
  <c r="U7714" i="1"/>
  <c r="V7714" i="1"/>
  <c r="W7714" i="1"/>
  <c r="X7714" i="1"/>
  <c r="Y7714" i="1"/>
  <c r="Z7714" i="1"/>
  <c r="A7715" i="1"/>
  <c r="B7715" i="1"/>
  <c r="C7715" i="1"/>
  <c r="D7715" i="1"/>
  <c r="E7715" i="1"/>
  <c r="F7715" i="1"/>
  <c r="G7715" i="1"/>
  <c r="I7715" i="1"/>
  <c r="J7715" i="1"/>
  <c r="K7715" i="1"/>
  <c r="L7715" i="1"/>
  <c r="M7715" i="1"/>
  <c r="N7715" i="1"/>
  <c r="O7715" i="1"/>
  <c r="P7715" i="1"/>
  <c r="Q7715" i="1"/>
  <c r="R7715" i="1"/>
  <c r="S7715" i="1"/>
  <c r="T7715" i="1"/>
  <c r="U7715" i="1"/>
  <c r="V7715" i="1"/>
  <c r="W7715" i="1"/>
  <c r="X7715" i="1"/>
  <c r="Y7715" i="1"/>
  <c r="Z7715" i="1"/>
  <c r="A7716" i="1"/>
  <c r="B7716" i="1"/>
  <c r="C7716" i="1"/>
  <c r="D7716" i="1"/>
  <c r="E7716" i="1"/>
  <c r="F7716" i="1"/>
  <c r="G7716" i="1"/>
  <c r="I7716" i="1"/>
  <c r="J7716" i="1"/>
  <c r="K7716" i="1"/>
  <c r="L7716" i="1"/>
  <c r="M7716" i="1"/>
  <c r="N7716" i="1"/>
  <c r="O7716" i="1"/>
  <c r="P7716" i="1"/>
  <c r="Q7716" i="1"/>
  <c r="R7716" i="1"/>
  <c r="S7716" i="1"/>
  <c r="T7716" i="1"/>
  <c r="U7716" i="1"/>
  <c r="V7716" i="1"/>
  <c r="W7716" i="1"/>
  <c r="X7716" i="1"/>
  <c r="Y7716" i="1"/>
  <c r="Z7716" i="1"/>
  <c r="A7717" i="1"/>
  <c r="B7717" i="1"/>
  <c r="C7717" i="1"/>
  <c r="D7717" i="1"/>
  <c r="E7717" i="1"/>
  <c r="F7717" i="1"/>
  <c r="G7717" i="1"/>
  <c r="I7717" i="1"/>
  <c r="J7717" i="1"/>
  <c r="K7717" i="1"/>
  <c r="L7717" i="1"/>
  <c r="M7717" i="1"/>
  <c r="N7717" i="1"/>
  <c r="O7717" i="1"/>
  <c r="P7717" i="1"/>
  <c r="Q7717" i="1"/>
  <c r="R7717" i="1"/>
  <c r="S7717" i="1"/>
  <c r="T7717" i="1"/>
  <c r="U7717" i="1"/>
  <c r="V7717" i="1"/>
  <c r="W7717" i="1"/>
  <c r="X7717" i="1"/>
  <c r="Y7717" i="1"/>
  <c r="Z7717" i="1"/>
  <c r="A7718" i="1"/>
  <c r="B7718" i="1"/>
  <c r="C7718" i="1"/>
  <c r="D7718" i="1"/>
  <c r="E7718" i="1"/>
  <c r="F7718" i="1"/>
  <c r="G7718" i="1"/>
  <c r="I7718" i="1"/>
  <c r="J7718" i="1"/>
  <c r="K7718" i="1"/>
  <c r="L7718" i="1"/>
  <c r="M7718" i="1"/>
  <c r="N7718" i="1"/>
  <c r="O7718" i="1"/>
  <c r="P7718" i="1"/>
  <c r="Q7718" i="1"/>
  <c r="R7718" i="1"/>
  <c r="S7718" i="1"/>
  <c r="T7718" i="1"/>
  <c r="U7718" i="1"/>
  <c r="V7718" i="1"/>
  <c r="W7718" i="1"/>
  <c r="X7718" i="1"/>
  <c r="Y7718" i="1"/>
  <c r="Z7718" i="1"/>
  <c r="A7719" i="1"/>
  <c r="B7719" i="1"/>
  <c r="C7719" i="1"/>
  <c r="D7719" i="1"/>
  <c r="E7719" i="1"/>
  <c r="F7719" i="1"/>
  <c r="G7719" i="1"/>
  <c r="I7719" i="1"/>
  <c r="J7719" i="1"/>
  <c r="K7719" i="1"/>
  <c r="L7719" i="1"/>
  <c r="M7719" i="1"/>
  <c r="N7719" i="1"/>
  <c r="O7719" i="1"/>
  <c r="P7719" i="1"/>
  <c r="Q7719" i="1"/>
  <c r="R7719" i="1"/>
  <c r="S7719" i="1"/>
  <c r="T7719" i="1"/>
  <c r="U7719" i="1"/>
  <c r="V7719" i="1"/>
  <c r="W7719" i="1"/>
  <c r="X7719" i="1"/>
  <c r="Y7719" i="1"/>
  <c r="Z7719" i="1"/>
  <c r="A7720" i="1"/>
  <c r="B7720" i="1"/>
  <c r="C7720" i="1"/>
  <c r="D7720" i="1"/>
  <c r="E7720" i="1"/>
  <c r="F7720" i="1"/>
  <c r="G7720" i="1"/>
  <c r="I7720" i="1"/>
  <c r="J7720" i="1"/>
  <c r="K7720" i="1"/>
  <c r="L7720" i="1"/>
  <c r="M7720" i="1"/>
  <c r="N7720" i="1"/>
  <c r="O7720" i="1"/>
  <c r="P7720" i="1"/>
  <c r="Q7720" i="1"/>
  <c r="R7720" i="1"/>
  <c r="S7720" i="1"/>
  <c r="T7720" i="1"/>
  <c r="U7720" i="1"/>
  <c r="V7720" i="1"/>
  <c r="W7720" i="1"/>
  <c r="X7720" i="1"/>
  <c r="Y7720" i="1"/>
  <c r="Z7720" i="1"/>
  <c r="A7721" i="1"/>
  <c r="B7721" i="1"/>
  <c r="C7721" i="1"/>
  <c r="D7721" i="1"/>
  <c r="E7721" i="1"/>
  <c r="F7721" i="1"/>
  <c r="G7721" i="1"/>
  <c r="I7721" i="1"/>
  <c r="J7721" i="1"/>
  <c r="K7721" i="1"/>
  <c r="L7721" i="1"/>
  <c r="M7721" i="1"/>
  <c r="N7721" i="1"/>
  <c r="O7721" i="1"/>
  <c r="P7721" i="1"/>
  <c r="Q7721" i="1"/>
  <c r="R7721" i="1"/>
  <c r="S7721" i="1"/>
  <c r="T7721" i="1"/>
  <c r="U7721" i="1"/>
  <c r="V7721" i="1"/>
  <c r="W7721" i="1"/>
  <c r="X7721" i="1"/>
  <c r="Y7721" i="1"/>
  <c r="Z7721" i="1"/>
  <c r="A7722" i="1"/>
  <c r="B7722" i="1"/>
  <c r="C7722" i="1"/>
  <c r="D7722" i="1"/>
  <c r="E7722" i="1"/>
  <c r="F7722" i="1"/>
  <c r="G7722" i="1"/>
  <c r="I7722" i="1"/>
  <c r="J7722" i="1"/>
  <c r="K7722" i="1"/>
  <c r="L7722" i="1"/>
  <c r="M7722" i="1"/>
  <c r="N7722" i="1"/>
  <c r="O7722" i="1"/>
  <c r="P7722" i="1"/>
  <c r="Q7722" i="1"/>
  <c r="R7722" i="1"/>
  <c r="S7722" i="1"/>
  <c r="T7722" i="1"/>
  <c r="U7722" i="1"/>
  <c r="V7722" i="1"/>
  <c r="W7722" i="1"/>
  <c r="X7722" i="1"/>
  <c r="Y7722" i="1"/>
  <c r="Z7722" i="1"/>
  <c r="A7723" i="1"/>
  <c r="B7723" i="1"/>
  <c r="C7723" i="1"/>
  <c r="D7723" i="1"/>
  <c r="E7723" i="1"/>
  <c r="F7723" i="1"/>
  <c r="G7723" i="1"/>
  <c r="I7723" i="1"/>
  <c r="J7723" i="1"/>
  <c r="K7723" i="1"/>
  <c r="L7723" i="1"/>
  <c r="M7723" i="1"/>
  <c r="N7723" i="1"/>
  <c r="O7723" i="1"/>
  <c r="P7723" i="1"/>
  <c r="Q7723" i="1"/>
  <c r="R7723" i="1"/>
  <c r="S7723" i="1"/>
  <c r="T7723" i="1"/>
  <c r="U7723" i="1"/>
  <c r="V7723" i="1"/>
  <c r="W7723" i="1"/>
  <c r="X7723" i="1"/>
  <c r="Y7723" i="1"/>
  <c r="Z7723" i="1"/>
  <c r="A7724" i="1"/>
  <c r="B7724" i="1"/>
  <c r="C7724" i="1"/>
  <c r="D7724" i="1"/>
  <c r="E7724" i="1"/>
  <c r="F7724" i="1"/>
  <c r="G7724" i="1"/>
  <c r="I7724" i="1"/>
  <c r="J7724" i="1"/>
  <c r="K7724" i="1"/>
  <c r="L7724" i="1"/>
  <c r="M7724" i="1"/>
  <c r="N7724" i="1"/>
  <c r="O7724" i="1"/>
  <c r="P7724" i="1"/>
  <c r="Q7724" i="1"/>
  <c r="R7724" i="1"/>
  <c r="S7724" i="1"/>
  <c r="T7724" i="1"/>
  <c r="U7724" i="1"/>
  <c r="V7724" i="1"/>
  <c r="W7724" i="1"/>
  <c r="X7724" i="1"/>
  <c r="Y7724" i="1"/>
  <c r="Z7724" i="1"/>
  <c r="A7725" i="1"/>
  <c r="B7725" i="1"/>
  <c r="C7725" i="1"/>
  <c r="D7725" i="1"/>
  <c r="E7725" i="1"/>
  <c r="F7725" i="1"/>
  <c r="G7725" i="1"/>
  <c r="I7725" i="1"/>
  <c r="J7725" i="1"/>
  <c r="K7725" i="1"/>
  <c r="L7725" i="1"/>
  <c r="M7725" i="1"/>
  <c r="N7725" i="1"/>
  <c r="O7725" i="1"/>
  <c r="P7725" i="1"/>
  <c r="Q7725" i="1"/>
  <c r="R7725" i="1"/>
  <c r="S7725" i="1"/>
  <c r="T7725" i="1"/>
  <c r="U7725" i="1"/>
  <c r="V7725" i="1"/>
  <c r="W7725" i="1"/>
  <c r="X7725" i="1"/>
  <c r="Y7725" i="1"/>
  <c r="Z7725" i="1"/>
  <c r="A7726" i="1"/>
  <c r="B7726" i="1"/>
  <c r="C7726" i="1"/>
  <c r="D7726" i="1"/>
  <c r="E7726" i="1"/>
  <c r="F7726" i="1"/>
  <c r="G7726" i="1"/>
  <c r="I7726" i="1"/>
  <c r="J7726" i="1"/>
  <c r="K7726" i="1"/>
  <c r="L7726" i="1"/>
  <c r="M7726" i="1"/>
  <c r="N7726" i="1"/>
  <c r="O7726" i="1"/>
  <c r="P7726" i="1"/>
  <c r="Q7726" i="1"/>
  <c r="R7726" i="1"/>
  <c r="S7726" i="1"/>
  <c r="T7726" i="1"/>
  <c r="U7726" i="1"/>
  <c r="V7726" i="1"/>
  <c r="W7726" i="1"/>
  <c r="X7726" i="1"/>
  <c r="Y7726" i="1"/>
  <c r="Z7726" i="1"/>
  <c r="A7727" i="1"/>
  <c r="B7727" i="1"/>
  <c r="C7727" i="1"/>
  <c r="D7727" i="1"/>
  <c r="E7727" i="1"/>
  <c r="F7727" i="1"/>
  <c r="G7727" i="1"/>
  <c r="I7727" i="1"/>
  <c r="J7727" i="1"/>
  <c r="K7727" i="1"/>
  <c r="L7727" i="1"/>
  <c r="M7727" i="1"/>
  <c r="N7727" i="1"/>
  <c r="O7727" i="1"/>
  <c r="P7727" i="1"/>
  <c r="Q7727" i="1"/>
  <c r="R7727" i="1"/>
  <c r="S7727" i="1"/>
  <c r="T7727" i="1"/>
  <c r="U7727" i="1"/>
  <c r="V7727" i="1"/>
  <c r="W7727" i="1"/>
  <c r="X7727" i="1"/>
  <c r="Y7727" i="1"/>
  <c r="Z7727" i="1"/>
  <c r="A7728" i="1"/>
  <c r="B7728" i="1"/>
  <c r="C7728" i="1"/>
  <c r="D7728" i="1"/>
  <c r="E7728" i="1"/>
  <c r="F7728" i="1"/>
  <c r="G7728" i="1"/>
  <c r="I7728" i="1"/>
  <c r="J7728" i="1"/>
  <c r="K7728" i="1"/>
  <c r="L7728" i="1"/>
  <c r="M7728" i="1"/>
  <c r="N7728" i="1"/>
  <c r="O7728" i="1"/>
  <c r="P7728" i="1"/>
  <c r="Q7728" i="1"/>
  <c r="R7728" i="1"/>
  <c r="S7728" i="1"/>
  <c r="T7728" i="1"/>
  <c r="U7728" i="1"/>
  <c r="V7728" i="1"/>
  <c r="W7728" i="1"/>
  <c r="X7728" i="1"/>
  <c r="Y7728" i="1"/>
  <c r="Z7728" i="1"/>
  <c r="A7729" i="1"/>
  <c r="B7729" i="1"/>
  <c r="C7729" i="1"/>
  <c r="D7729" i="1"/>
  <c r="E7729" i="1"/>
  <c r="F7729" i="1"/>
  <c r="G7729" i="1"/>
  <c r="I7729" i="1"/>
  <c r="J7729" i="1"/>
  <c r="K7729" i="1"/>
  <c r="L7729" i="1"/>
  <c r="M7729" i="1"/>
  <c r="N7729" i="1"/>
  <c r="O7729" i="1"/>
  <c r="P7729" i="1"/>
  <c r="Q7729" i="1"/>
  <c r="R7729" i="1"/>
  <c r="S7729" i="1"/>
  <c r="T7729" i="1"/>
  <c r="U7729" i="1"/>
  <c r="V7729" i="1"/>
  <c r="W7729" i="1"/>
  <c r="X7729" i="1"/>
  <c r="Y7729" i="1"/>
  <c r="Z7729" i="1"/>
  <c r="A7730" i="1"/>
  <c r="B7730" i="1"/>
  <c r="C7730" i="1"/>
  <c r="D7730" i="1"/>
  <c r="E7730" i="1"/>
  <c r="F7730" i="1"/>
  <c r="G7730" i="1"/>
  <c r="I7730" i="1"/>
  <c r="J7730" i="1"/>
  <c r="K7730" i="1"/>
  <c r="L7730" i="1"/>
  <c r="M7730" i="1"/>
  <c r="N7730" i="1"/>
  <c r="O7730" i="1"/>
  <c r="P7730" i="1"/>
  <c r="Q7730" i="1"/>
  <c r="R7730" i="1"/>
  <c r="S7730" i="1"/>
  <c r="T7730" i="1"/>
  <c r="U7730" i="1"/>
  <c r="V7730" i="1"/>
  <c r="W7730" i="1"/>
  <c r="X7730" i="1"/>
  <c r="Y7730" i="1"/>
  <c r="Z7730" i="1"/>
  <c r="A7731" i="1"/>
  <c r="B7731" i="1"/>
  <c r="C7731" i="1"/>
  <c r="D7731" i="1"/>
  <c r="E7731" i="1"/>
  <c r="F7731" i="1"/>
  <c r="G7731" i="1"/>
  <c r="I7731" i="1"/>
  <c r="J7731" i="1"/>
  <c r="K7731" i="1"/>
  <c r="L7731" i="1"/>
  <c r="M7731" i="1"/>
  <c r="N7731" i="1"/>
  <c r="O7731" i="1"/>
  <c r="P7731" i="1"/>
  <c r="Q7731" i="1"/>
  <c r="R7731" i="1"/>
  <c r="S7731" i="1"/>
  <c r="T7731" i="1"/>
  <c r="U7731" i="1"/>
  <c r="V7731" i="1"/>
  <c r="W7731" i="1"/>
  <c r="X7731" i="1"/>
  <c r="Y7731" i="1"/>
  <c r="Z7731" i="1"/>
  <c r="A7732" i="1"/>
  <c r="B7732" i="1"/>
  <c r="C7732" i="1"/>
  <c r="D7732" i="1"/>
  <c r="E7732" i="1"/>
  <c r="F7732" i="1"/>
  <c r="G7732" i="1"/>
  <c r="I7732" i="1"/>
  <c r="J7732" i="1"/>
  <c r="K7732" i="1"/>
  <c r="L7732" i="1"/>
  <c r="M7732" i="1"/>
  <c r="N7732" i="1"/>
  <c r="O7732" i="1"/>
  <c r="P7732" i="1"/>
  <c r="Q7732" i="1"/>
  <c r="R7732" i="1"/>
  <c r="S7732" i="1"/>
  <c r="T7732" i="1"/>
  <c r="U7732" i="1"/>
  <c r="V7732" i="1"/>
  <c r="W7732" i="1"/>
  <c r="X7732" i="1"/>
  <c r="Y7732" i="1"/>
  <c r="Z7732" i="1"/>
  <c r="A7733" i="1"/>
  <c r="B7733" i="1"/>
  <c r="C7733" i="1"/>
  <c r="D7733" i="1"/>
  <c r="E7733" i="1"/>
  <c r="F7733" i="1"/>
  <c r="G7733" i="1"/>
  <c r="I7733" i="1"/>
  <c r="J7733" i="1"/>
  <c r="K7733" i="1"/>
  <c r="L7733" i="1"/>
  <c r="M7733" i="1"/>
  <c r="N7733" i="1"/>
  <c r="O7733" i="1"/>
  <c r="P7733" i="1"/>
  <c r="Q7733" i="1"/>
  <c r="R7733" i="1"/>
  <c r="S7733" i="1"/>
  <c r="T7733" i="1"/>
  <c r="U7733" i="1"/>
  <c r="V7733" i="1"/>
  <c r="W7733" i="1"/>
  <c r="X7733" i="1"/>
  <c r="Y7733" i="1"/>
  <c r="Z7733" i="1"/>
  <c r="A7734" i="1"/>
  <c r="B7734" i="1"/>
  <c r="C7734" i="1"/>
  <c r="D7734" i="1"/>
  <c r="E7734" i="1"/>
  <c r="F7734" i="1"/>
  <c r="G7734" i="1"/>
  <c r="I7734" i="1"/>
  <c r="J7734" i="1"/>
  <c r="K7734" i="1"/>
  <c r="L7734" i="1"/>
  <c r="M7734" i="1"/>
  <c r="N7734" i="1"/>
  <c r="O7734" i="1"/>
  <c r="P7734" i="1"/>
  <c r="Q7734" i="1"/>
  <c r="R7734" i="1"/>
  <c r="S7734" i="1"/>
  <c r="T7734" i="1"/>
  <c r="U7734" i="1"/>
  <c r="V7734" i="1"/>
  <c r="W7734" i="1"/>
  <c r="X7734" i="1"/>
  <c r="Y7734" i="1"/>
  <c r="Z7734" i="1"/>
  <c r="A7735" i="1"/>
  <c r="B7735" i="1"/>
  <c r="C7735" i="1"/>
  <c r="D7735" i="1"/>
  <c r="E7735" i="1"/>
  <c r="F7735" i="1"/>
  <c r="G7735" i="1"/>
  <c r="I7735" i="1"/>
  <c r="J7735" i="1"/>
  <c r="K7735" i="1"/>
  <c r="L7735" i="1"/>
  <c r="M7735" i="1"/>
  <c r="N7735" i="1"/>
  <c r="O7735" i="1"/>
  <c r="P7735" i="1"/>
  <c r="Q7735" i="1"/>
  <c r="R7735" i="1"/>
  <c r="S7735" i="1"/>
  <c r="T7735" i="1"/>
  <c r="U7735" i="1"/>
  <c r="V7735" i="1"/>
  <c r="W7735" i="1"/>
  <c r="X7735" i="1"/>
  <c r="Y7735" i="1"/>
  <c r="Z7735" i="1"/>
  <c r="A7736" i="1"/>
  <c r="B7736" i="1"/>
  <c r="C7736" i="1"/>
  <c r="D7736" i="1"/>
  <c r="E7736" i="1"/>
  <c r="F7736" i="1"/>
  <c r="G7736" i="1"/>
  <c r="I7736" i="1"/>
  <c r="J7736" i="1"/>
  <c r="K7736" i="1"/>
  <c r="L7736" i="1"/>
  <c r="M7736" i="1"/>
  <c r="N7736" i="1"/>
  <c r="O7736" i="1"/>
  <c r="P7736" i="1"/>
  <c r="Q7736" i="1"/>
  <c r="R7736" i="1"/>
  <c r="S7736" i="1"/>
  <c r="T7736" i="1"/>
  <c r="U7736" i="1"/>
  <c r="V7736" i="1"/>
  <c r="W7736" i="1"/>
  <c r="X7736" i="1"/>
  <c r="Y7736" i="1"/>
  <c r="Z7736" i="1"/>
  <c r="A7737" i="1"/>
  <c r="B7737" i="1"/>
  <c r="C7737" i="1"/>
  <c r="D7737" i="1"/>
  <c r="E7737" i="1"/>
  <c r="F7737" i="1"/>
  <c r="G7737" i="1"/>
  <c r="I7737" i="1"/>
  <c r="J7737" i="1"/>
  <c r="K7737" i="1"/>
  <c r="L7737" i="1"/>
  <c r="M7737" i="1"/>
  <c r="N7737" i="1"/>
  <c r="O7737" i="1"/>
  <c r="P7737" i="1"/>
  <c r="Q7737" i="1"/>
  <c r="R7737" i="1"/>
  <c r="S7737" i="1"/>
  <c r="T7737" i="1"/>
  <c r="U7737" i="1"/>
  <c r="V7737" i="1"/>
  <c r="W7737" i="1"/>
  <c r="X7737" i="1"/>
  <c r="Y7737" i="1"/>
  <c r="Z7737" i="1"/>
  <c r="A7738" i="1"/>
  <c r="B7738" i="1"/>
  <c r="C7738" i="1"/>
  <c r="D7738" i="1"/>
  <c r="E7738" i="1"/>
  <c r="F7738" i="1"/>
  <c r="G7738" i="1"/>
  <c r="I7738" i="1"/>
  <c r="J7738" i="1"/>
  <c r="K7738" i="1"/>
  <c r="L7738" i="1"/>
  <c r="M7738" i="1"/>
  <c r="N7738" i="1"/>
  <c r="O7738" i="1"/>
  <c r="P7738" i="1"/>
  <c r="Q7738" i="1"/>
  <c r="R7738" i="1"/>
  <c r="S7738" i="1"/>
  <c r="T7738" i="1"/>
  <c r="U7738" i="1"/>
  <c r="V7738" i="1"/>
  <c r="W7738" i="1"/>
  <c r="X7738" i="1"/>
  <c r="Y7738" i="1"/>
  <c r="Z7738" i="1"/>
  <c r="A7739" i="1"/>
  <c r="B7739" i="1"/>
  <c r="C7739" i="1"/>
  <c r="D7739" i="1"/>
  <c r="E7739" i="1"/>
  <c r="F7739" i="1"/>
  <c r="G7739" i="1"/>
  <c r="I7739" i="1"/>
  <c r="J7739" i="1"/>
  <c r="K7739" i="1"/>
  <c r="L7739" i="1"/>
  <c r="M7739" i="1"/>
  <c r="N7739" i="1"/>
  <c r="O7739" i="1"/>
  <c r="P7739" i="1"/>
  <c r="Q7739" i="1"/>
  <c r="R7739" i="1"/>
  <c r="S7739" i="1"/>
  <c r="T7739" i="1"/>
  <c r="U7739" i="1"/>
  <c r="V7739" i="1"/>
  <c r="W7739" i="1"/>
  <c r="X7739" i="1"/>
  <c r="Y7739" i="1"/>
  <c r="Z7739" i="1"/>
  <c r="A7740" i="1"/>
  <c r="B7740" i="1"/>
  <c r="C7740" i="1"/>
  <c r="D7740" i="1"/>
  <c r="E7740" i="1"/>
  <c r="F7740" i="1"/>
  <c r="G7740" i="1"/>
  <c r="I7740" i="1"/>
  <c r="J7740" i="1"/>
  <c r="K7740" i="1"/>
  <c r="L7740" i="1"/>
  <c r="M7740" i="1"/>
  <c r="N7740" i="1"/>
  <c r="O7740" i="1"/>
  <c r="P7740" i="1"/>
  <c r="Q7740" i="1"/>
  <c r="R7740" i="1"/>
  <c r="S7740" i="1"/>
  <c r="T7740" i="1"/>
  <c r="U7740" i="1"/>
  <c r="V7740" i="1"/>
  <c r="W7740" i="1"/>
  <c r="X7740" i="1"/>
  <c r="Y7740" i="1"/>
  <c r="Z7740" i="1"/>
  <c r="A7741" i="1"/>
  <c r="B7741" i="1"/>
  <c r="C7741" i="1"/>
  <c r="D7741" i="1"/>
  <c r="E7741" i="1"/>
  <c r="F7741" i="1"/>
  <c r="G7741" i="1"/>
  <c r="I7741" i="1"/>
  <c r="J7741" i="1"/>
  <c r="K7741" i="1"/>
  <c r="L7741" i="1"/>
  <c r="M7741" i="1"/>
  <c r="N7741" i="1"/>
  <c r="O7741" i="1"/>
  <c r="P7741" i="1"/>
  <c r="Q7741" i="1"/>
  <c r="R7741" i="1"/>
  <c r="S7741" i="1"/>
  <c r="T7741" i="1"/>
  <c r="U7741" i="1"/>
  <c r="V7741" i="1"/>
  <c r="W7741" i="1"/>
  <c r="X7741" i="1"/>
  <c r="Y7741" i="1"/>
  <c r="Z7741" i="1"/>
  <c r="A7742" i="1"/>
  <c r="B7742" i="1"/>
  <c r="C7742" i="1"/>
  <c r="D7742" i="1"/>
  <c r="E7742" i="1"/>
  <c r="F7742" i="1"/>
  <c r="G7742" i="1"/>
  <c r="I7742" i="1"/>
  <c r="J7742" i="1"/>
  <c r="K7742" i="1"/>
  <c r="L7742" i="1"/>
  <c r="M7742" i="1"/>
  <c r="N7742" i="1"/>
  <c r="O7742" i="1"/>
  <c r="P7742" i="1"/>
  <c r="Q7742" i="1"/>
  <c r="R7742" i="1"/>
  <c r="S7742" i="1"/>
  <c r="T7742" i="1"/>
  <c r="U7742" i="1"/>
  <c r="V7742" i="1"/>
  <c r="W7742" i="1"/>
  <c r="X7742" i="1"/>
  <c r="Y7742" i="1"/>
  <c r="Z7742" i="1"/>
  <c r="A7743" i="1"/>
  <c r="B7743" i="1"/>
  <c r="C7743" i="1"/>
  <c r="D7743" i="1"/>
  <c r="E7743" i="1"/>
  <c r="F7743" i="1"/>
  <c r="G7743" i="1"/>
  <c r="I7743" i="1"/>
  <c r="J7743" i="1"/>
  <c r="K7743" i="1"/>
  <c r="L7743" i="1"/>
  <c r="M7743" i="1"/>
  <c r="N7743" i="1"/>
  <c r="O7743" i="1"/>
  <c r="P7743" i="1"/>
  <c r="Q7743" i="1"/>
  <c r="R7743" i="1"/>
  <c r="S7743" i="1"/>
  <c r="T7743" i="1"/>
  <c r="U7743" i="1"/>
  <c r="V7743" i="1"/>
  <c r="W7743" i="1"/>
  <c r="X7743" i="1"/>
  <c r="Y7743" i="1"/>
  <c r="Z7743" i="1"/>
  <c r="A7744" i="1"/>
  <c r="B7744" i="1"/>
  <c r="C7744" i="1"/>
  <c r="D7744" i="1"/>
  <c r="E7744" i="1"/>
  <c r="F7744" i="1"/>
  <c r="G7744" i="1"/>
  <c r="I7744" i="1"/>
  <c r="J7744" i="1"/>
  <c r="K7744" i="1"/>
  <c r="L7744" i="1"/>
  <c r="M7744" i="1"/>
  <c r="N7744" i="1"/>
  <c r="O7744" i="1"/>
  <c r="P7744" i="1"/>
  <c r="Q7744" i="1"/>
  <c r="R7744" i="1"/>
  <c r="S7744" i="1"/>
  <c r="T7744" i="1"/>
  <c r="U7744" i="1"/>
  <c r="V7744" i="1"/>
  <c r="W7744" i="1"/>
  <c r="X7744" i="1"/>
  <c r="Y7744" i="1"/>
  <c r="Z7744" i="1"/>
  <c r="A7745" i="1"/>
  <c r="B7745" i="1"/>
  <c r="C7745" i="1"/>
  <c r="D7745" i="1"/>
  <c r="E7745" i="1"/>
  <c r="F7745" i="1"/>
  <c r="G7745" i="1"/>
  <c r="I7745" i="1"/>
  <c r="J7745" i="1"/>
  <c r="K7745" i="1"/>
  <c r="L7745" i="1"/>
  <c r="M7745" i="1"/>
  <c r="N7745" i="1"/>
  <c r="O7745" i="1"/>
  <c r="P7745" i="1"/>
  <c r="Q7745" i="1"/>
  <c r="R7745" i="1"/>
  <c r="S7745" i="1"/>
  <c r="T7745" i="1"/>
  <c r="U7745" i="1"/>
  <c r="V7745" i="1"/>
  <c r="W7745" i="1"/>
  <c r="X7745" i="1"/>
  <c r="Y7745" i="1"/>
  <c r="Z7745" i="1"/>
  <c r="A7746" i="1"/>
  <c r="B7746" i="1"/>
  <c r="C7746" i="1"/>
  <c r="D7746" i="1"/>
  <c r="E7746" i="1"/>
  <c r="F7746" i="1"/>
  <c r="G7746" i="1"/>
  <c r="I7746" i="1"/>
  <c r="J7746" i="1"/>
  <c r="K7746" i="1"/>
  <c r="L7746" i="1"/>
  <c r="M7746" i="1"/>
  <c r="N7746" i="1"/>
  <c r="O7746" i="1"/>
  <c r="P7746" i="1"/>
  <c r="Q7746" i="1"/>
  <c r="R7746" i="1"/>
  <c r="S7746" i="1"/>
  <c r="T7746" i="1"/>
  <c r="U7746" i="1"/>
  <c r="V7746" i="1"/>
  <c r="W7746" i="1"/>
  <c r="X7746" i="1"/>
  <c r="Y7746" i="1"/>
  <c r="Z7746" i="1"/>
  <c r="A7747" i="1"/>
  <c r="B7747" i="1"/>
  <c r="C7747" i="1"/>
  <c r="D7747" i="1"/>
  <c r="E7747" i="1"/>
  <c r="F7747" i="1"/>
  <c r="G7747" i="1"/>
  <c r="I7747" i="1"/>
  <c r="J7747" i="1"/>
  <c r="K7747" i="1"/>
  <c r="L7747" i="1"/>
  <c r="M7747" i="1"/>
  <c r="N7747" i="1"/>
  <c r="O7747" i="1"/>
  <c r="P7747" i="1"/>
  <c r="Q7747" i="1"/>
  <c r="R7747" i="1"/>
  <c r="S7747" i="1"/>
  <c r="T7747" i="1"/>
  <c r="U7747" i="1"/>
  <c r="V7747" i="1"/>
  <c r="W7747" i="1"/>
  <c r="X7747" i="1"/>
  <c r="Y7747" i="1"/>
  <c r="Z7747" i="1"/>
  <c r="A7748" i="1"/>
  <c r="B7748" i="1"/>
  <c r="C7748" i="1"/>
  <c r="D7748" i="1"/>
  <c r="E7748" i="1"/>
  <c r="F7748" i="1"/>
  <c r="G7748" i="1"/>
  <c r="I7748" i="1"/>
  <c r="J7748" i="1"/>
  <c r="K7748" i="1"/>
  <c r="L7748" i="1"/>
  <c r="M7748" i="1"/>
  <c r="N7748" i="1"/>
  <c r="O7748" i="1"/>
  <c r="P7748" i="1"/>
  <c r="Q7748" i="1"/>
  <c r="R7748" i="1"/>
  <c r="S7748" i="1"/>
  <c r="T7748" i="1"/>
  <c r="U7748" i="1"/>
  <c r="V7748" i="1"/>
  <c r="W7748" i="1"/>
  <c r="X7748" i="1"/>
  <c r="Y7748" i="1"/>
  <c r="Z7748" i="1"/>
  <c r="A7749" i="1"/>
  <c r="B7749" i="1"/>
  <c r="C7749" i="1"/>
  <c r="D7749" i="1"/>
  <c r="E7749" i="1"/>
  <c r="F7749" i="1"/>
  <c r="G7749" i="1"/>
  <c r="I7749" i="1"/>
  <c r="J7749" i="1"/>
  <c r="K7749" i="1"/>
  <c r="L7749" i="1"/>
  <c r="M7749" i="1"/>
  <c r="N7749" i="1"/>
  <c r="O7749" i="1"/>
  <c r="P7749" i="1"/>
  <c r="Q7749" i="1"/>
  <c r="R7749" i="1"/>
  <c r="S7749" i="1"/>
  <c r="T7749" i="1"/>
  <c r="U7749" i="1"/>
  <c r="V7749" i="1"/>
  <c r="W7749" i="1"/>
  <c r="X7749" i="1"/>
  <c r="Y7749" i="1"/>
  <c r="Z7749" i="1"/>
  <c r="A7750" i="1"/>
  <c r="B7750" i="1"/>
  <c r="C7750" i="1"/>
  <c r="D7750" i="1"/>
  <c r="E7750" i="1"/>
  <c r="F7750" i="1"/>
  <c r="G7750" i="1"/>
  <c r="I7750" i="1"/>
  <c r="J7750" i="1"/>
  <c r="K7750" i="1"/>
  <c r="L7750" i="1"/>
  <c r="M7750" i="1"/>
  <c r="N7750" i="1"/>
  <c r="O7750" i="1"/>
  <c r="P7750" i="1"/>
  <c r="Q7750" i="1"/>
  <c r="R7750" i="1"/>
  <c r="S7750" i="1"/>
  <c r="T7750" i="1"/>
  <c r="U7750" i="1"/>
  <c r="V7750" i="1"/>
  <c r="W7750" i="1"/>
  <c r="X7750" i="1"/>
  <c r="Y7750" i="1"/>
  <c r="Z7750" i="1"/>
  <c r="A7751" i="1"/>
  <c r="B7751" i="1"/>
  <c r="C7751" i="1"/>
  <c r="D7751" i="1"/>
  <c r="E7751" i="1"/>
  <c r="F7751" i="1"/>
  <c r="G7751" i="1"/>
  <c r="I7751" i="1"/>
  <c r="J7751" i="1"/>
  <c r="K7751" i="1"/>
  <c r="L7751" i="1"/>
  <c r="M7751" i="1"/>
  <c r="N7751" i="1"/>
  <c r="O7751" i="1"/>
  <c r="P7751" i="1"/>
  <c r="Q7751" i="1"/>
  <c r="R7751" i="1"/>
  <c r="S7751" i="1"/>
  <c r="T7751" i="1"/>
  <c r="U7751" i="1"/>
  <c r="V7751" i="1"/>
  <c r="W7751" i="1"/>
  <c r="X7751" i="1"/>
  <c r="Y7751" i="1"/>
  <c r="Z7751" i="1"/>
  <c r="A7752" i="1"/>
  <c r="B7752" i="1"/>
  <c r="C7752" i="1"/>
  <c r="D7752" i="1"/>
  <c r="E7752" i="1"/>
  <c r="F7752" i="1"/>
  <c r="G7752" i="1"/>
  <c r="I7752" i="1"/>
  <c r="J7752" i="1"/>
  <c r="K7752" i="1"/>
  <c r="L7752" i="1"/>
  <c r="M7752" i="1"/>
  <c r="N7752" i="1"/>
  <c r="O7752" i="1"/>
  <c r="P7752" i="1"/>
  <c r="Q7752" i="1"/>
  <c r="R7752" i="1"/>
  <c r="S7752" i="1"/>
  <c r="T7752" i="1"/>
  <c r="U7752" i="1"/>
  <c r="V7752" i="1"/>
  <c r="W7752" i="1"/>
  <c r="X7752" i="1"/>
  <c r="Y7752" i="1"/>
  <c r="Z7752" i="1"/>
  <c r="A7753" i="1"/>
  <c r="B7753" i="1"/>
  <c r="C7753" i="1"/>
  <c r="D7753" i="1"/>
  <c r="E7753" i="1"/>
  <c r="F7753" i="1"/>
  <c r="G7753" i="1"/>
  <c r="I7753" i="1"/>
  <c r="J7753" i="1"/>
  <c r="K7753" i="1"/>
  <c r="L7753" i="1"/>
  <c r="M7753" i="1"/>
  <c r="N7753" i="1"/>
  <c r="O7753" i="1"/>
  <c r="P7753" i="1"/>
  <c r="Q7753" i="1"/>
  <c r="R7753" i="1"/>
  <c r="S7753" i="1"/>
  <c r="T7753" i="1"/>
  <c r="U7753" i="1"/>
  <c r="V7753" i="1"/>
  <c r="W7753" i="1"/>
  <c r="X7753" i="1"/>
  <c r="Y7753" i="1"/>
  <c r="Z7753" i="1"/>
  <c r="A7754" i="1"/>
  <c r="B7754" i="1"/>
  <c r="C7754" i="1"/>
  <c r="D7754" i="1"/>
  <c r="E7754" i="1"/>
  <c r="F7754" i="1"/>
  <c r="G7754" i="1"/>
  <c r="I7754" i="1"/>
  <c r="J7754" i="1"/>
  <c r="K7754" i="1"/>
  <c r="L7754" i="1"/>
  <c r="M7754" i="1"/>
  <c r="N7754" i="1"/>
  <c r="O7754" i="1"/>
  <c r="P7754" i="1"/>
  <c r="Q7754" i="1"/>
  <c r="R7754" i="1"/>
  <c r="S7754" i="1"/>
  <c r="T7754" i="1"/>
  <c r="U7754" i="1"/>
  <c r="V7754" i="1"/>
  <c r="W7754" i="1"/>
  <c r="X7754" i="1"/>
  <c r="Y7754" i="1"/>
  <c r="Z7754" i="1"/>
  <c r="A7755" i="1"/>
  <c r="B7755" i="1"/>
  <c r="C7755" i="1"/>
  <c r="D7755" i="1"/>
  <c r="E7755" i="1"/>
  <c r="F7755" i="1"/>
  <c r="G7755" i="1"/>
  <c r="I7755" i="1"/>
  <c r="J7755" i="1"/>
  <c r="K7755" i="1"/>
  <c r="L7755" i="1"/>
  <c r="M7755" i="1"/>
  <c r="N7755" i="1"/>
  <c r="O7755" i="1"/>
  <c r="P7755" i="1"/>
  <c r="Q7755" i="1"/>
  <c r="R7755" i="1"/>
  <c r="S7755" i="1"/>
  <c r="T7755" i="1"/>
  <c r="U7755" i="1"/>
  <c r="V7755" i="1"/>
  <c r="W7755" i="1"/>
  <c r="X7755" i="1"/>
  <c r="Y7755" i="1"/>
  <c r="Z7755" i="1"/>
  <c r="A7756" i="1"/>
  <c r="B7756" i="1"/>
  <c r="C7756" i="1"/>
  <c r="D7756" i="1"/>
  <c r="E7756" i="1"/>
  <c r="F7756" i="1"/>
  <c r="G7756" i="1"/>
  <c r="I7756" i="1"/>
  <c r="J7756" i="1"/>
  <c r="K7756" i="1"/>
  <c r="L7756" i="1"/>
  <c r="M7756" i="1"/>
  <c r="N7756" i="1"/>
  <c r="O7756" i="1"/>
  <c r="P7756" i="1"/>
  <c r="Q7756" i="1"/>
  <c r="R7756" i="1"/>
  <c r="S7756" i="1"/>
  <c r="T7756" i="1"/>
  <c r="U7756" i="1"/>
  <c r="V7756" i="1"/>
  <c r="W7756" i="1"/>
  <c r="X7756" i="1"/>
  <c r="Y7756" i="1"/>
  <c r="Z7756" i="1"/>
  <c r="A7757" i="1"/>
  <c r="B7757" i="1"/>
  <c r="C7757" i="1"/>
  <c r="D7757" i="1"/>
  <c r="E7757" i="1"/>
  <c r="F7757" i="1"/>
  <c r="G7757" i="1"/>
  <c r="I7757" i="1"/>
  <c r="J7757" i="1"/>
  <c r="K7757" i="1"/>
  <c r="L7757" i="1"/>
  <c r="M7757" i="1"/>
  <c r="N7757" i="1"/>
  <c r="O7757" i="1"/>
  <c r="P7757" i="1"/>
  <c r="Q7757" i="1"/>
  <c r="R7757" i="1"/>
  <c r="S7757" i="1"/>
  <c r="T7757" i="1"/>
  <c r="U7757" i="1"/>
  <c r="V7757" i="1"/>
  <c r="W7757" i="1"/>
  <c r="X7757" i="1"/>
  <c r="Y7757" i="1"/>
  <c r="Z7757" i="1"/>
  <c r="A7758" i="1"/>
  <c r="B7758" i="1"/>
  <c r="C7758" i="1"/>
  <c r="D7758" i="1"/>
  <c r="E7758" i="1"/>
  <c r="F7758" i="1"/>
  <c r="G7758" i="1"/>
  <c r="I7758" i="1"/>
  <c r="J7758" i="1"/>
  <c r="K7758" i="1"/>
  <c r="L7758" i="1"/>
  <c r="M7758" i="1"/>
  <c r="N7758" i="1"/>
  <c r="O7758" i="1"/>
  <c r="P7758" i="1"/>
  <c r="Q7758" i="1"/>
  <c r="R7758" i="1"/>
  <c r="S7758" i="1"/>
  <c r="T7758" i="1"/>
  <c r="U7758" i="1"/>
  <c r="V7758" i="1"/>
  <c r="W7758" i="1"/>
  <c r="X7758" i="1"/>
  <c r="Y7758" i="1"/>
  <c r="Z7758" i="1"/>
  <c r="A7759" i="1"/>
  <c r="B7759" i="1"/>
  <c r="C7759" i="1"/>
  <c r="D7759" i="1"/>
  <c r="E7759" i="1"/>
  <c r="F7759" i="1"/>
  <c r="G7759" i="1"/>
  <c r="I7759" i="1"/>
  <c r="J7759" i="1"/>
  <c r="K7759" i="1"/>
  <c r="L7759" i="1"/>
  <c r="M7759" i="1"/>
  <c r="N7759" i="1"/>
  <c r="O7759" i="1"/>
  <c r="P7759" i="1"/>
  <c r="Q7759" i="1"/>
  <c r="R7759" i="1"/>
  <c r="S7759" i="1"/>
  <c r="T7759" i="1"/>
  <c r="U7759" i="1"/>
  <c r="V7759" i="1"/>
  <c r="W7759" i="1"/>
  <c r="X7759" i="1"/>
  <c r="Y7759" i="1"/>
  <c r="Z7759" i="1"/>
  <c r="A7760" i="1"/>
  <c r="B7760" i="1"/>
  <c r="C7760" i="1"/>
  <c r="D7760" i="1"/>
  <c r="E7760" i="1"/>
  <c r="F7760" i="1"/>
  <c r="G7760" i="1"/>
  <c r="I7760" i="1"/>
  <c r="J7760" i="1"/>
  <c r="K7760" i="1"/>
  <c r="L7760" i="1"/>
  <c r="M7760" i="1"/>
  <c r="N7760" i="1"/>
  <c r="O7760" i="1"/>
  <c r="P7760" i="1"/>
  <c r="Q7760" i="1"/>
  <c r="R7760" i="1"/>
  <c r="S7760" i="1"/>
  <c r="T7760" i="1"/>
  <c r="U7760" i="1"/>
  <c r="V7760" i="1"/>
  <c r="W7760" i="1"/>
  <c r="X7760" i="1"/>
  <c r="Y7760" i="1"/>
  <c r="Z7760" i="1"/>
  <c r="A7761" i="1"/>
  <c r="B7761" i="1"/>
  <c r="C7761" i="1"/>
  <c r="D7761" i="1"/>
  <c r="E7761" i="1"/>
  <c r="F7761" i="1"/>
  <c r="G7761" i="1"/>
  <c r="I7761" i="1"/>
  <c r="J7761" i="1"/>
  <c r="K7761" i="1"/>
  <c r="L7761" i="1"/>
  <c r="M7761" i="1"/>
  <c r="N7761" i="1"/>
  <c r="O7761" i="1"/>
  <c r="P7761" i="1"/>
  <c r="Q7761" i="1"/>
  <c r="R7761" i="1"/>
  <c r="S7761" i="1"/>
  <c r="T7761" i="1"/>
  <c r="U7761" i="1"/>
  <c r="V7761" i="1"/>
  <c r="W7761" i="1"/>
  <c r="X7761" i="1"/>
  <c r="Y7761" i="1"/>
  <c r="Z7761" i="1"/>
  <c r="A7762" i="1"/>
  <c r="B7762" i="1"/>
  <c r="C7762" i="1"/>
  <c r="D7762" i="1"/>
  <c r="E7762" i="1"/>
  <c r="F7762" i="1"/>
  <c r="G7762" i="1"/>
  <c r="I7762" i="1"/>
  <c r="J7762" i="1"/>
  <c r="K7762" i="1"/>
  <c r="L7762" i="1"/>
  <c r="M7762" i="1"/>
  <c r="N7762" i="1"/>
  <c r="O7762" i="1"/>
  <c r="P7762" i="1"/>
  <c r="Q7762" i="1"/>
  <c r="R7762" i="1"/>
  <c r="S7762" i="1"/>
  <c r="T7762" i="1"/>
  <c r="U7762" i="1"/>
  <c r="V7762" i="1"/>
  <c r="W7762" i="1"/>
  <c r="X7762" i="1"/>
  <c r="Y7762" i="1"/>
  <c r="Z7762" i="1"/>
  <c r="A7763" i="1"/>
  <c r="B7763" i="1"/>
  <c r="C7763" i="1"/>
  <c r="D7763" i="1"/>
  <c r="E7763" i="1"/>
  <c r="F7763" i="1"/>
  <c r="G7763" i="1"/>
  <c r="I7763" i="1"/>
  <c r="J7763" i="1"/>
  <c r="K7763" i="1"/>
  <c r="L7763" i="1"/>
  <c r="M7763" i="1"/>
  <c r="N7763" i="1"/>
  <c r="O7763" i="1"/>
  <c r="P7763" i="1"/>
  <c r="Q7763" i="1"/>
  <c r="R7763" i="1"/>
  <c r="S7763" i="1"/>
  <c r="T7763" i="1"/>
  <c r="U7763" i="1"/>
  <c r="V7763" i="1"/>
  <c r="W7763" i="1"/>
  <c r="X7763" i="1"/>
  <c r="Y7763" i="1"/>
  <c r="Z7763" i="1"/>
  <c r="A7764" i="1"/>
  <c r="B7764" i="1"/>
  <c r="C7764" i="1"/>
  <c r="D7764" i="1"/>
  <c r="E7764" i="1"/>
  <c r="F7764" i="1"/>
  <c r="G7764" i="1"/>
  <c r="I7764" i="1"/>
  <c r="J7764" i="1"/>
  <c r="K7764" i="1"/>
  <c r="L7764" i="1"/>
  <c r="M7764" i="1"/>
  <c r="N7764" i="1"/>
  <c r="O7764" i="1"/>
  <c r="P7764" i="1"/>
  <c r="Q7764" i="1"/>
  <c r="R7764" i="1"/>
  <c r="S7764" i="1"/>
  <c r="T7764" i="1"/>
  <c r="U7764" i="1"/>
  <c r="V7764" i="1"/>
  <c r="W7764" i="1"/>
  <c r="X7764" i="1"/>
  <c r="Y7764" i="1"/>
  <c r="Z7764" i="1"/>
  <c r="A7765" i="1"/>
  <c r="B7765" i="1"/>
  <c r="C7765" i="1"/>
  <c r="D7765" i="1"/>
  <c r="E7765" i="1"/>
  <c r="F7765" i="1"/>
  <c r="G7765" i="1"/>
  <c r="I7765" i="1"/>
  <c r="J7765" i="1"/>
  <c r="K7765" i="1"/>
  <c r="L7765" i="1"/>
  <c r="M7765" i="1"/>
  <c r="N7765" i="1"/>
  <c r="O7765" i="1"/>
  <c r="P7765" i="1"/>
  <c r="Q7765" i="1"/>
  <c r="R7765" i="1"/>
  <c r="S7765" i="1"/>
  <c r="T7765" i="1"/>
  <c r="U7765" i="1"/>
  <c r="V7765" i="1"/>
  <c r="W7765" i="1"/>
  <c r="X7765" i="1"/>
  <c r="Y7765" i="1"/>
  <c r="Z7765" i="1"/>
  <c r="A7766" i="1"/>
  <c r="B7766" i="1"/>
  <c r="C7766" i="1"/>
  <c r="D7766" i="1"/>
  <c r="E7766" i="1"/>
  <c r="F7766" i="1"/>
  <c r="G7766" i="1"/>
  <c r="I7766" i="1"/>
  <c r="J7766" i="1"/>
  <c r="K7766" i="1"/>
  <c r="L7766" i="1"/>
  <c r="M7766" i="1"/>
  <c r="N7766" i="1"/>
  <c r="O7766" i="1"/>
  <c r="P7766" i="1"/>
  <c r="Q7766" i="1"/>
  <c r="R7766" i="1"/>
  <c r="S7766" i="1"/>
  <c r="T7766" i="1"/>
  <c r="U7766" i="1"/>
  <c r="V7766" i="1"/>
  <c r="W7766" i="1"/>
  <c r="X7766" i="1"/>
  <c r="Y7766" i="1"/>
  <c r="Z7766" i="1"/>
  <c r="A7767" i="1"/>
  <c r="B7767" i="1"/>
  <c r="C7767" i="1"/>
  <c r="D7767" i="1"/>
  <c r="E7767" i="1"/>
  <c r="F7767" i="1"/>
  <c r="G7767" i="1"/>
  <c r="I7767" i="1"/>
  <c r="J7767" i="1"/>
  <c r="K7767" i="1"/>
  <c r="L7767" i="1"/>
  <c r="M7767" i="1"/>
  <c r="N7767" i="1"/>
  <c r="O7767" i="1"/>
  <c r="P7767" i="1"/>
  <c r="Q7767" i="1"/>
  <c r="R7767" i="1"/>
  <c r="S7767" i="1"/>
  <c r="T7767" i="1"/>
  <c r="U7767" i="1"/>
  <c r="V7767" i="1"/>
  <c r="W7767" i="1"/>
  <c r="X7767" i="1"/>
  <c r="Y7767" i="1"/>
  <c r="Z7767" i="1"/>
  <c r="A7768" i="1"/>
  <c r="B7768" i="1"/>
  <c r="C7768" i="1"/>
  <c r="D7768" i="1"/>
  <c r="E7768" i="1"/>
  <c r="F7768" i="1"/>
  <c r="G7768" i="1"/>
  <c r="I7768" i="1"/>
  <c r="J7768" i="1"/>
  <c r="K7768" i="1"/>
  <c r="L7768" i="1"/>
  <c r="M7768" i="1"/>
  <c r="N7768" i="1"/>
  <c r="O7768" i="1"/>
  <c r="P7768" i="1"/>
  <c r="Q7768" i="1"/>
  <c r="R7768" i="1"/>
  <c r="S7768" i="1"/>
  <c r="T7768" i="1"/>
  <c r="U7768" i="1"/>
  <c r="V7768" i="1"/>
  <c r="W7768" i="1"/>
  <c r="X7768" i="1"/>
  <c r="Y7768" i="1"/>
  <c r="Z7768" i="1"/>
  <c r="A7769" i="1"/>
  <c r="B7769" i="1"/>
  <c r="C7769" i="1"/>
  <c r="D7769" i="1"/>
  <c r="E7769" i="1"/>
  <c r="F7769" i="1"/>
  <c r="G7769" i="1"/>
  <c r="I7769" i="1"/>
  <c r="J7769" i="1"/>
  <c r="K7769" i="1"/>
  <c r="L7769" i="1"/>
  <c r="M7769" i="1"/>
  <c r="N7769" i="1"/>
  <c r="O7769" i="1"/>
  <c r="P7769" i="1"/>
  <c r="Q7769" i="1"/>
  <c r="R7769" i="1"/>
  <c r="S7769" i="1"/>
  <c r="T7769" i="1"/>
  <c r="U7769" i="1"/>
  <c r="V7769" i="1"/>
  <c r="W7769" i="1"/>
  <c r="X7769" i="1"/>
  <c r="Y7769" i="1"/>
  <c r="Z7769" i="1"/>
  <c r="A7770" i="1"/>
  <c r="B7770" i="1"/>
  <c r="C7770" i="1"/>
  <c r="D7770" i="1"/>
  <c r="E7770" i="1"/>
  <c r="F7770" i="1"/>
  <c r="G7770" i="1"/>
  <c r="I7770" i="1"/>
  <c r="J7770" i="1"/>
  <c r="K7770" i="1"/>
  <c r="L7770" i="1"/>
  <c r="M7770" i="1"/>
  <c r="N7770" i="1"/>
  <c r="O7770" i="1"/>
  <c r="P7770" i="1"/>
  <c r="Q7770" i="1"/>
  <c r="R7770" i="1"/>
  <c r="S7770" i="1"/>
  <c r="T7770" i="1"/>
  <c r="U7770" i="1"/>
  <c r="V7770" i="1"/>
  <c r="W7770" i="1"/>
  <c r="X7770" i="1"/>
  <c r="Y7770" i="1"/>
  <c r="Z7770" i="1"/>
  <c r="A7771" i="1"/>
  <c r="B7771" i="1"/>
  <c r="C7771" i="1"/>
  <c r="D7771" i="1"/>
  <c r="E7771" i="1"/>
  <c r="F7771" i="1"/>
  <c r="G7771" i="1"/>
  <c r="I7771" i="1"/>
  <c r="J7771" i="1"/>
  <c r="K7771" i="1"/>
  <c r="L7771" i="1"/>
  <c r="M7771" i="1"/>
  <c r="N7771" i="1"/>
  <c r="O7771" i="1"/>
  <c r="P7771" i="1"/>
  <c r="Q7771" i="1"/>
  <c r="R7771" i="1"/>
  <c r="S7771" i="1"/>
  <c r="T7771" i="1"/>
  <c r="U7771" i="1"/>
  <c r="V7771" i="1"/>
  <c r="W7771" i="1"/>
  <c r="X7771" i="1"/>
  <c r="Y7771" i="1"/>
  <c r="Z7771" i="1"/>
  <c r="A7772" i="1"/>
  <c r="B7772" i="1"/>
  <c r="C7772" i="1"/>
  <c r="D7772" i="1"/>
  <c r="E7772" i="1"/>
  <c r="F7772" i="1"/>
  <c r="G7772" i="1"/>
  <c r="I7772" i="1"/>
  <c r="J7772" i="1"/>
  <c r="K7772" i="1"/>
  <c r="L7772" i="1"/>
  <c r="M7772" i="1"/>
  <c r="N7772" i="1"/>
  <c r="O7772" i="1"/>
  <c r="P7772" i="1"/>
  <c r="Q7772" i="1"/>
  <c r="R7772" i="1"/>
  <c r="S7772" i="1"/>
  <c r="T7772" i="1"/>
  <c r="U7772" i="1"/>
  <c r="V7772" i="1"/>
  <c r="W7772" i="1"/>
  <c r="X7772" i="1"/>
  <c r="Y7772" i="1"/>
  <c r="Z7772" i="1"/>
  <c r="A7773" i="1"/>
  <c r="B7773" i="1"/>
  <c r="C7773" i="1"/>
  <c r="D7773" i="1"/>
  <c r="E7773" i="1"/>
  <c r="F7773" i="1"/>
  <c r="G7773" i="1"/>
  <c r="I7773" i="1"/>
  <c r="J7773" i="1"/>
  <c r="K7773" i="1"/>
  <c r="L7773" i="1"/>
  <c r="M7773" i="1"/>
  <c r="N7773" i="1"/>
  <c r="O7773" i="1"/>
  <c r="P7773" i="1"/>
  <c r="Q7773" i="1"/>
  <c r="R7773" i="1"/>
  <c r="S7773" i="1"/>
  <c r="T7773" i="1"/>
  <c r="U7773" i="1"/>
  <c r="V7773" i="1"/>
  <c r="W7773" i="1"/>
  <c r="X7773" i="1"/>
  <c r="Y7773" i="1"/>
  <c r="Z7773" i="1"/>
  <c r="A7774" i="1"/>
  <c r="B7774" i="1"/>
  <c r="C7774" i="1"/>
  <c r="D7774" i="1"/>
  <c r="E7774" i="1"/>
  <c r="F7774" i="1"/>
  <c r="G7774" i="1"/>
  <c r="I7774" i="1"/>
  <c r="J7774" i="1"/>
  <c r="K7774" i="1"/>
  <c r="L7774" i="1"/>
  <c r="M7774" i="1"/>
  <c r="N7774" i="1"/>
  <c r="O7774" i="1"/>
  <c r="P7774" i="1"/>
  <c r="Q7774" i="1"/>
  <c r="R7774" i="1"/>
  <c r="S7774" i="1"/>
  <c r="T7774" i="1"/>
  <c r="U7774" i="1"/>
  <c r="V7774" i="1"/>
  <c r="W7774" i="1"/>
  <c r="X7774" i="1"/>
  <c r="Y7774" i="1"/>
  <c r="Z7774" i="1"/>
  <c r="A7775" i="1"/>
  <c r="B7775" i="1"/>
  <c r="C7775" i="1"/>
  <c r="D7775" i="1"/>
  <c r="E7775" i="1"/>
  <c r="F7775" i="1"/>
  <c r="G7775" i="1"/>
  <c r="I7775" i="1"/>
  <c r="J7775" i="1"/>
  <c r="K7775" i="1"/>
  <c r="L7775" i="1"/>
  <c r="M7775" i="1"/>
  <c r="N7775" i="1"/>
  <c r="O7775" i="1"/>
  <c r="P7775" i="1"/>
  <c r="Q7775" i="1"/>
  <c r="R7775" i="1"/>
  <c r="S7775" i="1"/>
  <c r="T7775" i="1"/>
  <c r="U7775" i="1"/>
  <c r="V7775" i="1"/>
  <c r="W7775" i="1"/>
  <c r="X7775" i="1"/>
  <c r="Y7775" i="1"/>
  <c r="Z7775" i="1"/>
  <c r="A7776" i="1"/>
  <c r="B7776" i="1"/>
  <c r="C7776" i="1"/>
  <c r="D7776" i="1"/>
  <c r="E7776" i="1"/>
  <c r="F7776" i="1"/>
  <c r="G7776" i="1"/>
  <c r="I7776" i="1"/>
  <c r="J7776" i="1"/>
  <c r="K7776" i="1"/>
  <c r="L7776" i="1"/>
  <c r="M7776" i="1"/>
  <c r="N7776" i="1"/>
  <c r="O7776" i="1"/>
  <c r="P7776" i="1"/>
  <c r="Q7776" i="1"/>
  <c r="R7776" i="1"/>
  <c r="S7776" i="1"/>
  <c r="T7776" i="1"/>
  <c r="U7776" i="1"/>
  <c r="V7776" i="1"/>
  <c r="W7776" i="1"/>
  <c r="X7776" i="1"/>
  <c r="Y7776" i="1"/>
  <c r="Z7776" i="1"/>
  <c r="A7777" i="1"/>
  <c r="B7777" i="1"/>
  <c r="C7777" i="1"/>
  <c r="D7777" i="1"/>
  <c r="E7777" i="1"/>
  <c r="F7777" i="1"/>
  <c r="G7777" i="1"/>
  <c r="I7777" i="1"/>
  <c r="J7777" i="1"/>
  <c r="K7777" i="1"/>
  <c r="L7777" i="1"/>
  <c r="M7777" i="1"/>
  <c r="N7777" i="1"/>
  <c r="O7777" i="1"/>
  <c r="P7777" i="1"/>
  <c r="Q7777" i="1"/>
  <c r="R7777" i="1"/>
  <c r="S7777" i="1"/>
  <c r="T7777" i="1"/>
  <c r="U7777" i="1"/>
  <c r="V7777" i="1"/>
  <c r="W7777" i="1"/>
  <c r="X7777" i="1"/>
  <c r="Y7777" i="1"/>
  <c r="Z7777" i="1"/>
  <c r="A7778" i="1"/>
  <c r="B7778" i="1"/>
  <c r="C7778" i="1"/>
  <c r="D7778" i="1"/>
  <c r="E7778" i="1"/>
  <c r="F7778" i="1"/>
  <c r="G7778" i="1"/>
  <c r="I7778" i="1"/>
  <c r="J7778" i="1"/>
  <c r="K7778" i="1"/>
  <c r="L7778" i="1"/>
  <c r="M7778" i="1"/>
  <c r="N7778" i="1"/>
  <c r="O7778" i="1"/>
  <c r="P7778" i="1"/>
  <c r="Q7778" i="1"/>
  <c r="R7778" i="1"/>
  <c r="S7778" i="1"/>
  <c r="T7778" i="1"/>
  <c r="U7778" i="1"/>
  <c r="V7778" i="1"/>
  <c r="W7778" i="1"/>
  <c r="X7778" i="1"/>
  <c r="Y7778" i="1"/>
  <c r="Z7778" i="1"/>
  <c r="A7779" i="1"/>
  <c r="B7779" i="1"/>
  <c r="C7779" i="1"/>
  <c r="D7779" i="1"/>
  <c r="E7779" i="1"/>
  <c r="F7779" i="1"/>
  <c r="G7779" i="1"/>
  <c r="I7779" i="1"/>
  <c r="J7779" i="1"/>
  <c r="K7779" i="1"/>
  <c r="L7779" i="1"/>
  <c r="M7779" i="1"/>
  <c r="N7779" i="1"/>
  <c r="O7779" i="1"/>
  <c r="P7779" i="1"/>
  <c r="Q7779" i="1"/>
  <c r="R7779" i="1"/>
  <c r="S7779" i="1"/>
  <c r="T7779" i="1"/>
  <c r="U7779" i="1"/>
  <c r="V7779" i="1"/>
  <c r="W7779" i="1"/>
  <c r="X7779" i="1"/>
  <c r="Y7779" i="1"/>
  <c r="Z7779" i="1"/>
  <c r="A7780" i="1"/>
  <c r="B7780" i="1"/>
  <c r="C7780" i="1"/>
  <c r="D7780" i="1"/>
  <c r="E7780" i="1"/>
  <c r="F7780" i="1"/>
  <c r="G7780" i="1"/>
  <c r="I7780" i="1"/>
  <c r="J7780" i="1"/>
  <c r="K7780" i="1"/>
  <c r="L7780" i="1"/>
  <c r="M7780" i="1"/>
  <c r="N7780" i="1"/>
  <c r="O7780" i="1"/>
  <c r="P7780" i="1"/>
  <c r="Q7780" i="1"/>
  <c r="R7780" i="1"/>
  <c r="S7780" i="1"/>
  <c r="T7780" i="1"/>
  <c r="U7780" i="1"/>
  <c r="V7780" i="1"/>
  <c r="W7780" i="1"/>
  <c r="X7780" i="1"/>
  <c r="Y7780" i="1"/>
  <c r="Z7780" i="1"/>
  <c r="A7781" i="1"/>
  <c r="B7781" i="1"/>
  <c r="C7781" i="1"/>
  <c r="D7781" i="1"/>
  <c r="E7781" i="1"/>
  <c r="F7781" i="1"/>
  <c r="G7781" i="1"/>
  <c r="I7781" i="1"/>
  <c r="J7781" i="1"/>
  <c r="K7781" i="1"/>
  <c r="L7781" i="1"/>
  <c r="M7781" i="1"/>
  <c r="N7781" i="1"/>
  <c r="O7781" i="1"/>
  <c r="P7781" i="1"/>
  <c r="Q7781" i="1"/>
  <c r="R7781" i="1"/>
  <c r="S7781" i="1"/>
  <c r="T7781" i="1"/>
  <c r="U7781" i="1"/>
  <c r="V7781" i="1"/>
  <c r="W7781" i="1"/>
  <c r="X7781" i="1"/>
  <c r="Y7781" i="1"/>
  <c r="Z7781" i="1"/>
  <c r="A7782" i="1"/>
  <c r="B7782" i="1"/>
  <c r="C7782" i="1"/>
  <c r="D7782" i="1"/>
  <c r="E7782" i="1"/>
  <c r="F7782" i="1"/>
  <c r="G7782" i="1"/>
  <c r="I7782" i="1"/>
  <c r="J7782" i="1"/>
  <c r="K7782" i="1"/>
  <c r="L7782" i="1"/>
  <c r="M7782" i="1"/>
  <c r="N7782" i="1"/>
  <c r="O7782" i="1"/>
  <c r="P7782" i="1"/>
  <c r="Q7782" i="1"/>
  <c r="R7782" i="1"/>
  <c r="S7782" i="1"/>
  <c r="T7782" i="1"/>
  <c r="U7782" i="1"/>
  <c r="V7782" i="1"/>
  <c r="W7782" i="1"/>
  <c r="X7782" i="1"/>
  <c r="Y7782" i="1"/>
  <c r="Z7782" i="1"/>
  <c r="A7783" i="1"/>
  <c r="B7783" i="1"/>
  <c r="C7783" i="1"/>
  <c r="D7783" i="1"/>
  <c r="E7783" i="1"/>
  <c r="F7783" i="1"/>
  <c r="G7783" i="1"/>
  <c r="I7783" i="1"/>
  <c r="J7783" i="1"/>
  <c r="K7783" i="1"/>
  <c r="L7783" i="1"/>
  <c r="M7783" i="1"/>
  <c r="N7783" i="1"/>
  <c r="O7783" i="1"/>
  <c r="P7783" i="1"/>
  <c r="Q7783" i="1"/>
  <c r="R7783" i="1"/>
  <c r="S7783" i="1"/>
  <c r="T7783" i="1"/>
  <c r="U7783" i="1"/>
  <c r="V7783" i="1"/>
  <c r="W7783" i="1"/>
  <c r="X7783" i="1"/>
  <c r="Y7783" i="1"/>
  <c r="Z7783" i="1"/>
  <c r="A7784" i="1"/>
  <c r="B7784" i="1"/>
  <c r="C7784" i="1"/>
  <c r="D7784" i="1"/>
  <c r="E7784" i="1"/>
  <c r="F7784" i="1"/>
  <c r="G7784" i="1"/>
  <c r="I7784" i="1"/>
  <c r="J7784" i="1"/>
  <c r="K7784" i="1"/>
  <c r="L7784" i="1"/>
  <c r="M7784" i="1"/>
  <c r="N7784" i="1"/>
  <c r="O7784" i="1"/>
  <c r="P7784" i="1"/>
  <c r="Q7784" i="1"/>
  <c r="R7784" i="1"/>
  <c r="S7784" i="1"/>
  <c r="T7784" i="1"/>
  <c r="U7784" i="1"/>
  <c r="V7784" i="1"/>
  <c r="W7784" i="1"/>
  <c r="X7784" i="1"/>
  <c r="Y7784" i="1"/>
  <c r="Z7784" i="1"/>
  <c r="A7785" i="1"/>
  <c r="B7785" i="1"/>
  <c r="C7785" i="1"/>
  <c r="D7785" i="1"/>
  <c r="E7785" i="1"/>
  <c r="F7785" i="1"/>
  <c r="G7785" i="1"/>
  <c r="I7785" i="1"/>
  <c r="J7785" i="1"/>
  <c r="K7785" i="1"/>
  <c r="L7785" i="1"/>
  <c r="M7785" i="1"/>
  <c r="N7785" i="1"/>
  <c r="O7785" i="1"/>
  <c r="P7785" i="1"/>
  <c r="Q7785" i="1"/>
  <c r="R7785" i="1"/>
  <c r="S7785" i="1"/>
  <c r="T7785" i="1"/>
  <c r="U7785" i="1"/>
  <c r="V7785" i="1"/>
  <c r="W7785" i="1"/>
  <c r="X7785" i="1"/>
  <c r="Y7785" i="1"/>
  <c r="Z7785" i="1"/>
  <c r="A7786" i="1"/>
  <c r="B7786" i="1"/>
  <c r="C7786" i="1"/>
  <c r="D7786" i="1"/>
  <c r="E7786" i="1"/>
  <c r="F7786" i="1"/>
  <c r="G7786" i="1"/>
  <c r="I7786" i="1"/>
  <c r="J7786" i="1"/>
  <c r="K7786" i="1"/>
  <c r="L7786" i="1"/>
  <c r="M7786" i="1"/>
  <c r="N7786" i="1"/>
  <c r="O7786" i="1"/>
  <c r="P7786" i="1"/>
  <c r="Q7786" i="1"/>
  <c r="R7786" i="1"/>
  <c r="S7786" i="1"/>
  <c r="T7786" i="1"/>
  <c r="U7786" i="1"/>
  <c r="V7786" i="1"/>
  <c r="W7786" i="1"/>
  <c r="X7786" i="1"/>
  <c r="Y7786" i="1"/>
  <c r="Z7786" i="1"/>
  <c r="A7787" i="1"/>
  <c r="B7787" i="1"/>
  <c r="C7787" i="1"/>
  <c r="D7787" i="1"/>
  <c r="E7787" i="1"/>
  <c r="F7787" i="1"/>
  <c r="G7787" i="1"/>
  <c r="I7787" i="1"/>
  <c r="J7787" i="1"/>
  <c r="K7787" i="1"/>
  <c r="L7787" i="1"/>
  <c r="M7787" i="1"/>
  <c r="N7787" i="1"/>
  <c r="O7787" i="1"/>
  <c r="P7787" i="1"/>
  <c r="Q7787" i="1"/>
  <c r="R7787" i="1"/>
  <c r="S7787" i="1"/>
  <c r="T7787" i="1"/>
  <c r="U7787" i="1"/>
  <c r="V7787" i="1"/>
  <c r="W7787" i="1"/>
  <c r="X7787" i="1"/>
  <c r="Y7787" i="1"/>
  <c r="Z7787" i="1"/>
  <c r="A7788" i="1"/>
  <c r="B7788" i="1"/>
  <c r="C7788" i="1"/>
  <c r="D7788" i="1"/>
  <c r="E7788" i="1"/>
  <c r="F7788" i="1"/>
  <c r="G7788" i="1"/>
  <c r="I7788" i="1"/>
  <c r="J7788" i="1"/>
  <c r="K7788" i="1"/>
  <c r="L7788" i="1"/>
  <c r="M7788" i="1"/>
  <c r="N7788" i="1"/>
  <c r="O7788" i="1"/>
  <c r="P7788" i="1"/>
  <c r="Q7788" i="1"/>
  <c r="R7788" i="1"/>
  <c r="S7788" i="1"/>
  <c r="T7788" i="1"/>
  <c r="U7788" i="1"/>
  <c r="V7788" i="1"/>
  <c r="W7788" i="1"/>
  <c r="X7788" i="1"/>
  <c r="Y7788" i="1"/>
  <c r="Z7788" i="1"/>
  <c r="A7789" i="1"/>
  <c r="B7789" i="1"/>
  <c r="C7789" i="1"/>
  <c r="D7789" i="1"/>
  <c r="E7789" i="1"/>
  <c r="F7789" i="1"/>
  <c r="G7789" i="1"/>
  <c r="I7789" i="1"/>
  <c r="J7789" i="1"/>
  <c r="K7789" i="1"/>
  <c r="L7789" i="1"/>
  <c r="M7789" i="1"/>
  <c r="N7789" i="1"/>
  <c r="O7789" i="1"/>
  <c r="P7789" i="1"/>
  <c r="Q7789" i="1"/>
  <c r="R7789" i="1"/>
  <c r="S7789" i="1"/>
  <c r="T7789" i="1"/>
  <c r="U7789" i="1"/>
  <c r="V7789" i="1"/>
  <c r="W7789" i="1"/>
  <c r="X7789" i="1"/>
  <c r="Y7789" i="1"/>
  <c r="Z7789" i="1"/>
  <c r="A7790" i="1"/>
  <c r="B7790" i="1"/>
  <c r="C7790" i="1"/>
  <c r="D7790" i="1"/>
  <c r="E7790" i="1"/>
  <c r="F7790" i="1"/>
  <c r="G7790" i="1"/>
  <c r="I7790" i="1"/>
  <c r="J7790" i="1"/>
  <c r="K7790" i="1"/>
  <c r="L7790" i="1"/>
  <c r="M7790" i="1"/>
  <c r="N7790" i="1"/>
  <c r="O7790" i="1"/>
  <c r="P7790" i="1"/>
  <c r="Q7790" i="1"/>
  <c r="R7790" i="1"/>
  <c r="S7790" i="1"/>
  <c r="T7790" i="1"/>
  <c r="U7790" i="1"/>
  <c r="V7790" i="1"/>
  <c r="W7790" i="1"/>
  <c r="X7790" i="1"/>
  <c r="Y7790" i="1"/>
  <c r="Z7790" i="1"/>
  <c r="A7791" i="1"/>
  <c r="B7791" i="1"/>
  <c r="C7791" i="1"/>
  <c r="D7791" i="1"/>
  <c r="E7791" i="1"/>
  <c r="F7791" i="1"/>
  <c r="G7791" i="1"/>
  <c r="I7791" i="1"/>
  <c r="J7791" i="1"/>
  <c r="K7791" i="1"/>
  <c r="L7791" i="1"/>
  <c r="M7791" i="1"/>
  <c r="N7791" i="1"/>
  <c r="O7791" i="1"/>
  <c r="P7791" i="1"/>
  <c r="Q7791" i="1"/>
  <c r="R7791" i="1"/>
  <c r="S7791" i="1"/>
  <c r="T7791" i="1"/>
  <c r="U7791" i="1"/>
  <c r="V7791" i="1"/>
  <c r="W7791" i="1"/>
  <c r="X7791" i="1"/>
  <c r="Y7791" i="1"/>
  <c r="Z7791" i="1"/>
  <c r="A7792" i="1"/>
  <c r="B7792" i="1"/>
  <c r="C7792" i="1"/>
  <c r="D7792" i="1"/>
  <c r="E7792" i="1"/>
  <c r="F7792" i="1"/>
  <c r="G7792" i="1"/>
  <c r="I7792" i="1"/>
  <c r="J7792" i="1"/>
  <c r="K7792" i="1"/>
  <c r="L7792" i="1"/>
  <c r="M7792" i="1"/>
  <c r="N7792" i="1"/>
  <c r="O7792" i="1"/>
  <c r="P7792" i="1"/>
  <c r="Q7792" i="1"/>
  <c r="R7792" i="1"/>
  <c r="S7792" i="1"/>
  <c r="T7792" i="1"/>
  <c r="U7792" i="1"/>
  <c r="V7792" i="1"/>
  <c r="W7792" i="1"/>
  <c r="X7792" i="1"/>
  <c r="Y7792" i="1"/>
  <c r="Z7792" i="1"/>
  <c r="A7793" i="1"/>
  <c r="B7793" i="1"/>
  <c r="C7793" i="1"/>
  <c r="D7793" i="1"/>
  <c r="E7793" i="1"/>
  <c r="F7793" i="1"/>
  <c r="G7793" i="1"/>
  <c r="I7793" i="1"/>
  <c r="J7793" i="1"/>
  <c r="K7793" i="1"/>
  <c r="L7793" i="1"/>
  <c r="M7793" i="1"/>
  <c r="N7793" i="1"/>
  <c r="O7793" i="1"/>
  <c r="P7793" i="1"/>
  <c r="Q7793" i="1"/>
  <c r="R7793" i="1"/>
  <c r="S7793" i="1"/>
  <c r="T7793" i="1"/>
  <c r="U7793" i="1"/>
  <c r="V7793" i="1"/>
  <c r="W7793" i="1"/>
  <c r="X7793" i="1"/>
  <c r="Y7793" i="1"/>
  <c r="Z7793" i="1"/>
  <c r="A7794" i="1"/>
  <c r="B7794" i="1"/>
  <c r="C7794" i="1"/>
  <c r="D7794" i="1"/>
  <c r="E7794" i="1"/>
  <c r="F7794" i="1"/>
  <c r="G7794" i="1"/>
  <c r="I7794" i="1"/>
  <c r="J7794" i="1"/>
  <c r="K7794" i="1"/>
  <c r="L7794" i="1"/>
  <c r="M7794" i="1"/>
  <c r="N7794" i="1"/>
  <c r="O7794" i="1"/>
  <c r="P7794" i="1"/>
  <c r="Q7794" i="1"/>
  <c r="R7794" i="1"/>
  <c r="S7794" i="1"/>
  <c r="T7794" i="1"/>
  <c r="U7794" i="1"/>
  <c r="V7794" i="1"/>
  <c r="W7794" i="1"/>
  <c r="X7794" i="1"/>
  <c r="Y7794" i="1"/>
  <c r="Z7794" i="1"/>
  <c r="A7795" i="1"/>
  <c r="B7795" i="1"/>
  <c r="C7795" i="1"/>
  <c r="D7795" i="1"/>
  <c r="E7795" i="1"/>
  <c r="F7795" i="1"/>
  <c r="G7795" i="1"/>
  <c r="I7795" i="1"/>
  <c r="J7795" i="1"/>
  <c r="K7795" i="1"/>
  <c r="L7795" i="1"/>
  <c r="M7795" i="1"/>
  <c r="N7795" i="1"/>
  <c r="O7795" i="1"/>
  <c r="P7795" i="1"/>
  <c r="Q7795" i="1"/>
  <c r="R7795" i="1"/>
  <c r="S7795" i="1"/>
  <c r="T7795" i="1"/>
  <c r="U7795" i="1"/>
  <c r="V7795" i="1"/>
  <c r="W7795" i="1"/>
  <c r="X7795" i="1"/>
  <c r="Y7795" i="1"/>
  <c r="Z7795" i="1"/>
  <c r="A7796" i="1"/>
  <c r="B7796" i="1"/>
  <c r="C7796" i="1"/>
  <c r="D7796" i="1"/>
  <c r="E7796" i="1"/>
  <c r="F7796" i="1"/>
  <c r="G7796" i="1"/>
  <c r="I7796" i="1"/>
  <c r="J7796" i="1"/>
  <c r="K7796" i="1"/>
  <c r="L7796" i="1"/>
  <c r="M7796" i="1"/>
  <c r="N7796" i="1"/>
  <c r="O7796" i="1"/>
  <c r="P7796" i="1"/>
  <c r="Q7796" i="1"/>
  <c r="R7796" i="1"/>
  <c r="S7796" i="1"/>
  <c r="T7796" i="1"/>
  <c r="U7796" i="1"/>
  <c r="V7796" i="1"/>
  <c r="W7796" i="1"/>
  <c r="X7796" i="1"/>
  <c r="Y7796" i="1"/>
  <c r="Z7796" i="1"/>
  <c r="A7797" i="1"/>
  <c r="B7797" i="1"/>
  <c r="C7797" i="1"/>
  <c r="D7797" i="1"/>
  <c r="E7797" i="1"/>
  <c r="F7797" i="1"/>
  <c r="G7797" i="1"/>
  <c r="I7797" i="1"/>
  <c r="J7797" i="1"/>
  <c r="K7797" i="1"/>
  <c r="L7797" i="1"/>
  <c r="M7797" i="1"/>
  <c r="N7797" i="1"/>
  <c r="O7797" i="1"/>
  <c r="P7797" i="1"/>
  <c r="Q7797" i="1"/>
  <c r="R7797" i="1"/>
  <c r="S7797" i="1"/>
  <c r="T7797" i="1"/>
  <c r="U7797" i="1"/>
  <c r="V7797" i="1"/>
  <c r="W7797" i="1"/>
  <c r="X7797" i="1"/>
  <c r="Y7797" i="1"/>
  <c r="Z7797" i="1"/>
  <c r="A7798" i="1"/>
  <c r="B7798" i="1"/>
  <c r="C7798" i="1"/>
  <c r="D7798" i="1"/>
  <c r="E7798" i="1"/>
  <c r="F7798" i="1"/>
  <c r="G7798" i="1"/>
  <c r="I7798" i="1"/>
  <c r="J7798" i="1"/>
  <c r="K7798" i="1"/>
  <c r="L7798" i="1"/>
  <c r="M7798" i="1"/>
  <c r="N7798" i="1"/>
  <c r="O7798" i="1"/>
  <c r="P7798" i="1"/>
  <c r="Q7798" i="1"/>
  <c r="R7798" i="1"/>
  <c r="S7798" i="1"/>
  <c r="T7798" i="1"/>
  <c r="U7798" i="1"/>
  <c r="V7798" i="1"/>
  <c r="W7798" i="1"/>
  <c r="X7798" i="1"/>
  <c r="Y7798" i="1"/>
  <c r="Z7798" i="1"/>
  <c r="A7799" i="1"/>
  <c r="B7799" i="1"/>
  <c r="C7799" i="1"/>
  <c r="D7799" i="1"/>
  <c r="E7799" i="1"/>
  <c r="F7799" i="1"/>
  <c r="G7799" i="1"/>
  <c r="I7799" i="1"/>
  <c r="J7799" i="1"/>
  <c r="K7799" i="1"/>
  <c r="L7799" i="1"/>
  <c r="M7799" i="1"/>
  <c r="N7799" i="1"/>
  <c r="O7799" i="1"/>
  <c r="P7799" i="1"/>
  <c r="Q7799" i="1"/>
  <c r="R7799" i="1"/>
  <c r="S7799" i="1"/>
  <c r="T7799" i="1"/>
  <c r="U7799" i="1"/>
  <c r="V7799" i="1"/>
  <c r="W7799" i="1"/>
  <c r="X7799" i="1"/>
  <c r="Y7799" i="1"/>
  <c r="Z7799" i="1"/>
  <c r="A7800" i="1"/>
  <c r="B7800" i="1"/>
  <c r="C7800" i="1"/>
  <c r="D7800" i="1"/>
  <c r="E7800" i="1"/>
  <c r="F7800" i="1"/>
  <c r="G7800" i="1"/>
  <c r="I7800" i="1"/>
  <c r="J7800" i="1"/>
  <c r="K7800" i="1"/>
  <c r="L7800" i="1"/>
  <c r="M7800" i="1"/>
  <c r="N7800" i="1"/>
  <c r="O7800" i="1"/>
  <c r="P7800" i="1"/>
  <c r="Q7800" i="1"/>
  <c r="R7800" i="1"/>
  <c r="S7800" i="1"/>
  <c r="T7800" i="1"/>
  <c r="U7800" i="1"/>
  <c r="V7800" i="1"/>
  <c r="W7800" i="1"/>
  <c r="X7800" i="1"/>
  <c r="Y7800" i="1"/>
  <c r="Z7800" i="1"/>
  <c r="A7801" i="1"/>
  <c r="B7801" i="1"/>
  <c r="C7801" i="1"/>
  <c r="D7801" i="1"/>
  <c r="E7801" i="1"/>
  <c r="F7801" i="1"/>
  <c r="G7801" i="1"/>
  <c r="I7801" i="1"/>
  <c r="J7801" i="1"/>
  <c r="K7801" i="1"/>
  <c r="L7801" i="1"/>
  <c r="M7801" i="1"/>
  <c r="N7801" i="1"/>
  <c r="O7801" i="1"/>
  <c r="P7801" i="1"/>
  <c r="Q7801" i="1"/>
  <c r="R7801" i="1"/>
  <c r="S7801" i="1"/>
  <c r="T7801" i="1"/>
  <c r="U7801" i="1"/>
  <c r="V7801" i="1"/>
  <c r="W7801" i="1"/>
  <c r="X7801" i="1"/>
  <c r="Y7801" i="1"/>
  <c r="Z7801" i="1"/>
  <c r="A7802" i="1"/>
  <c r="B7802" i="1"/>
  <c r="C7802" i="1"/>
  <c r="D7802" i="1"/>
  <c r="E7802" i="1"/>
  <c r="F7802" i="1"/>
  <c r="G7802" i="1"/>
  <c r="I7802" i="1"/>
  <c r="J7802" i="1"/>
  <c r="K7802" i="1"/>
  <c r="L7802" i="1"/>
  <c r="M7802" i="1"/>
  <c r="N7802" i="1"/>
  <c r="O7802" i="1"/>
  <c r="P7802" i="1"/>
  <c r="Q7802" i="1"/>
  <c r="R7802" i="1"/>
  <c r="S7802" i="1"/>
  <c r="T7802" i="1"/>
  <c r="U7802" i="1"/>
  <c r="V7802" i="1"/>
  <c r="W7802" i="1"/>
  <c r="X7802" i="1"/>
  <c r="Y7802" i="1"/>
  <c r="Z7802" i="1"/>
  <c r="A7803" i="1"/>
  <c r="B7803" i="1"/>
  <c r="C7803" i="1"/>
  <c r="D7803" i="1"/>
  <c r="E7803" i="1"/>
  <c r="F7803" i="1"/>
  <c r="G7803" i="1"/>
  <c r="I7803" i="1"/>
  <c r="J7803" i="1"/>
  <c r="K7803" i="1"/>
  <c r="L7803" i="1"/>
  <c r="M7803" i="1"/>
  <c r="N7803" i="1"/>
  <c r="O7803" i="1"/>
  <c r="P7803" i="1"/>
  <c r="Q7803" i="1"/>
  <c r="R7803" i="1"/>
  <c r="S7803" i="1"/>
  <c r="T7803" i="1"/>
  <c r="U7803" i="1"/>
  <c r="V7803" i="1"/>
  <c r="W7803" i="1"/>
  <c r="X7803" i="1"/>
  <c r="Y7803" i="1"/>
  <c r="Z7803" i="1"/>
  <c r="A7804" i="1"/>
  <c r="B7804" i="1"/>
  <c r="C7804" i="1"/>
  <c r="D7804" i="1"/>
  <c r="E7804" i="1"/>
  <c r="F7804" i="1"/>
  <c r="G7804" i="1"/>
  <c r="I7804" i="1"/>
  <c r="J7804" i="1"/>
  <c r="K7804" i="1"/>
  <c r="L7804" i="1"/>
  <c r="M7804" i="1"/>
  <c r="N7804" i="1"/>
  <c r="O7804" i="1"/>
  <c r="P7804" i="1"/>
  <c r="Q7804" i="1"/>
  <c r="R7804" i="1"/>
  <c r="S7804" i="1"/>
  <c r="T7804" i="1"/>
  <c r="U7804" i="1"/>
  <c r="V7804" i="1"/>
  <c r="W7804" i="1"/>
  <c r="X7804" i="1"/>
  <c r="Y7804" i="1"/>
  <c r="Z7804" i="1"/>
  <c r="A7805" i="1"/>
  <c r="B7805" i="1"/>
  <c r="C7805" i="1"/>
  <c r="D7805" i="1"/>
  <c r="E7805" i="1"/>
  <c r="F7805" i="1"/>
  <c r="G7805" i="1"/>
  <c r="I7805" i="1"/>
  <c r="J7805" i="1"/>
  <c r="K7805" i="1"/>
  <c r="L7805" i="1"/>
  <c r="M7805" i="1"/>
  <c r="N7805" i="1"/>
  <c r="O7805" i="1"/>
  <c r="P7805" i="1"/>
  <c r="Q7805" i="1"/>
  <c r="R7805" i="1"/>
  <c r="S7805" i="1"/>
  <c r="T7805" i="1"/>
  <c r="U7805" i="1"/>
  <c r="V7805" i="1"/>
  <c r="W7805" i="1"/>
  <c r="X7805" i="1"/>
  <c r="Y7805" i="1"/>
  <c r="Z7805" i="1"/>
  <c r="A7806" i="1"/>
  <c r="B7806" i="1"/>
  <c r="C7806" i="1"/>
  <c r="D7806" i="1"/>
  <c r="E7806" i="1"/>
  <c r="F7806" i="1"/>
  <c r="G7806" i="1"/>
  <c r="I7806" i="1"/>
  <c r="J7806" i="1"/>
  <c r="K7806" i="1"/>
  <c r="L7806" i="1"/>
  <c r="M7806" i="1"/>
  <c r="N7806" i="1"/>
  <c r="O7806" i="1"/>
  <c r="P7806" i="1"/>
  <c r="Q7806" i="1"/>
  <c r="R7806" i="1"/>
  <c r="S7806" i="1"/>
  <c r="T7806" i="1"/>
  <c r="U7806" i="1"/>
  <c r="V7806" i="1"/>
  <c r="W7806" i="1"/>
  <c r="X7806" i="1"/>
  <c r="Y7806" i="1"/>
  <c r="Z7806" i="1"/>
  <c r="A7807" i="1"/>
  <c r="B7807" i="1"/>
  <c r="C7807" i="1"/>
  <c r="D7807" i="1"/>
  <c r="E7807" i="1"/>
  <c r="F7807" i="1"/>
  <c r="G7807" i="1"/>
  <c r="I7807" i="1"/>
  <c r="J7807" i="1"/>
  <c r="K7807" i="1"/>
  <c r="L7807" i="1"/>
  <c r="M7807" i="1"/>
  <c r="N7807" i="1"/>
  <c r="O7807" i="1"/>
  <c r="P7807" i="1"/>
  <c r="Q7807" i="1"/>
  <c r="R7807" i="1"/>
  <c r="S7807" i="1"/>
  <c r="T7807" i="1"/>
  <c r="U7807" i="1"/>
  <c r="V7807" i="1"/>
  <c r="W7807" i="1"/>
  <c r="X7807" i="1"/>
  <c r="Y7807" i="1"/>
  <c r="Z7807" i="1"/>
  <c r="A7808" i="1"/>
  <c r="B7808" i="1"/>
  <c r="C7808" i="1"/>
  <c r="D7808" i="1"/>
  <c r="E7808" i="1"/>
  <c r="F7808" i="1"/>
  <c r="G7808" i="1"/>
  <c r="I7808" i="1"/>
  <c r="J7808" i="1"/>
  <c r="K7808" i="1"/>
  <c r="L7808" i="1"/>
  <c r="M7808" i="1"/>
  <c r="N7808" i="1"/>
  <c r="O7808" i="1"/>
  <c r="P7808" i="1"/>
  <c r="Q7808" i="1"/>
  <c r="R7808" i="1"/>
  <c r="S7808" i="1"/>
  <c r="T7808" i="1"/>
  <c r="U7808" i="1"/>
  <c r="V7808" i="1"/>
  <c r="W7808" i="1"/>
  <c r="X7808" i="1"/>
  <c r="Y7808" i="1"/>
  <c r="Z7808" i="1"/>
  <c r="A7809" i="1"/>
  <c r="B7809" i="1"/>
  <c r="C7809" i="1"/>
  <c r="D7809" i="1"/>
  <c r="E7809" i="1"/>
  <c r="F7809" i="1"/>
  <c r="G7809" i="1"/>
  <c r="I7809" i="1"/>
  <c r="J7809" i="1"/>
  <c r="K7809" i="1"/>
  <c r="L7809" i="1"/>
  <c r="M7809" i="1"/>
  <c r="N7809" i="1"/>
  <c r="O7809" i="1"/>
  <c r="P7809" i="1"/>
  <c r="Q7809" i="1"/>
  <c r="R7809" i="1"/>
  <c r="S7809" i="1"/>
  <c r="T7809" i="1"/>
  <c r="U7809" i="1"/>
  <c r="V7809" i="1"/>
  <c r="W7809" i="1"/>
  <c r="X7809" i="1"/>
  <c r="Y7809" i="1"/>
  <c r="Z7809" i="1"/>
  <c r="A7810" i="1"/>
  <c r="B7810" i="1"/>
  <c r="C7810" i="1"/>
  <c r="D7810" i="1"/>
  <c r="E7810" i="1"/>
  <c r="F7810" i="1"/>
  <c r="G7810" i="1"/>
  <c r="I7810" i="1"/>
  <c r="J7810" i="1"/>
  <c r="K7810" i="1"/>
  <c r="L7810" i="1"/>
  <c r="M7810" i="1"/>
  <c r="N7810" i="1"/>
  <c r="O7810" i="1"/>
  <c r="P7810" i="1"/>
  <c r="Q7810" i="1"/>
  <c r="R7810" i="1"/>
  <c r="S7810" i="1"/>
  <c r="T7810" i="1"/>
  <c r="U7810" i="1"/>
  <c r="V7810" i="1"/>
  <c r="W7810" i="1"/>
  <c r="X7810" i="1"/>
  <c r="Y7810" i="1"/>
  <c r="Z7810" i="1"/>
  <c r="A7811" i="1"/>
  <c r="B7811" i="1"/>
  <c r="C7811" i="1"/>
  <c r="D7811" i="1"/>
  <c r="E7811" i="1"/>
  <c r="F7811" i="1"/>
  <c r="G7811" i="1"/>
  <c r="I7811" i="1"/>
  <c r="J7811" i="1"/>
  <c r="K7811" i="1"/>
  <c r="L7811" i="1"/>
  <c r="M7811" i="1"/>
  <c r="N7811" i="1"/>
  <c r="O7811" i="1"/>
  <c r="P7811" i="1"/>
  <c r="Q7811" i="1"/>
  <c r="R7811" i="1"/>
  <c r="S7811" i="1"/>
  <c r="T7811" i="1"/>
  <c r="U7811" i="1"/>
  <c r="V7811" i="1"/>
  <c r="W7811" i="1"/>
  <c r="X7811" i="1"/>
  <c r="Y7811" i="1"/>
  <c r="Z7811" i="1"/>
  <c r="A7812" i="1"/>
  <c r="B7812" i="1"/>
  <c r="C7812" i="1"/>
  <c r="D7812" i="1"/>
  <c r="E7812" i="1"/>
  <c r="F7812" i="1"/>
  <c r="G7812" i="1"/>
  <c r="I7812" i="1"/>
  <c r="J7812" i="1"/>
  <c r="K7812" i="1"/>
  <c r="L7812" i="1"/>
  <c r="M7812" i="1"/>
  <c r="N7812" i="1"/>
  <c r="O7812" i="1"/>
  <c r="P7812" i="1"/>
  <c r="Q7812" i="1"/>
  <c r="R7812" i="1"/>
  <c r="S7812" i="1"/>
  <c r="T7812" i="1"/>
  <c r="U7812" i="1"/>
  <c r="V7812" i="1"/>
  <c r="W7812" i="1"/>
  <c r="X7812" i="1"/>
  <c r="Y7812" i="1"/>
  <c r="Z7812" i="1"/>
  <c r="A7813" i="1"/>
  <c r="B7813" i="1"/>
  <c r="C7813" i="1"/>
  <c r="D7813" i="1"/>
  <c r="E7813" i="1"/>
  <c r="F7813" i="1"/>
  <c r="G7813" i="1"/>
  <c r="I7813" i="1"/>
  <c r="J7813" i="1"/>
  <c r="K7813" i="1"/>
  <c r="L7813" i="1"/>
  <c r="M7813" i="1"/>
  <c r="N7813" i="1"/>
  <c r="O7813" i="1"/>
  <c r="P7813" i="1"/>
  <c r="Q7813" i="1"/>
  <c r="R7813" i="1"/>
  <c r="S7813" i="1"/>
  <c r="T7813" i="1"/>
  <c r="U7813" i="1"/>
  <c r="V7813" i="1"/>
  <c r="W7813" i="1"/>
  <c r="X7813" i="1"/>
  <c r="Y7813" i="1"/>
  <c r="Z7813" i="1"/>
  <c r="A7814" i="1"/>
  <c r="B7814" i="1"/>
  <c r="C7814" i="1"/>
  <c r="D7814" i="1"/>
  <c r="E7814" i="1"/>
  <c r="F7814" i="1"/>
  <c r="G7814" i="1"/>
  <c r="I7814" i="1"/>
  <c r="J7814" i="1"/>
  <c r="K7814" i="1"/>
  <c r="L7814" i="1"/>
  <c r="M7814" i="1"/>
  <c r="N7814" i="1"/>
  <c r="O7814" i="1"/>
  <c r="P7814" i="1"/>
  <c r="Q7814" i="1"/>
  <c r="R7814" i="1"/>
  <c r="S7814" i="1"/>
  <c r="T7814" i="1"/>
  <c r="U7814" i="1"/>
  <c r="V7814" i="1"/>
  <c r="W7814" i="1"/>
  <c r="X7814" i="1"/>
  <c r="Y7814" i="1"/>
  <c r="Z7814" i="1"/>
  <c r="A7815" i="1"/>
  <c r="B7815" i="1"/>
  <c r="C7815" i="1"/>
  <c r="D7815" i="1"/>
  <c r="E7815" i="1"/>
  <c r="F7815" i="1"/>
  <c r="G7815" i="1"/>
  <c r="I7815" i="1"/>
  <c r="J7815" i="1"/>
  <c r="K7815" i="1"/>
  <c r="L7815" i="1"/>
  <c r="M7815" i="1"/>
  <c r="N7815" i="1"/>
  <c r="O7815" i="1"/>
  <c r="P7815" i="1"/>
  <c r="Q7815" i="1"/>
  <c r="R7815" i="1"/>
  <c r="S7815" i="1"/>
  <c r="T7815" i="1"/>
  <c r="U7815" i="1"/>
  <c r="V7815" i="1"/>
  <c r="W7815" i="1"/>
  <c r="X7815" i="1"/>
  <c r="Y7815" i="1"/>
  <c r="Z7815" i="1"/>
  <c r="A7816" i="1"/>
  <c r="B7816" i="1"/>
  <c r="C7816" i="1"/>
  <c r="D7816" i="1"/>
  <c r="E7816" i="1"/>
  <c r="F7816" i="1"/>
  <c r="G7816" i="1"/>
  <c r="I7816" i="1"/>
  <c r="J7816" i="1"/>
  <c r="K7816" i="1"/>
  <c r="L7816" i="1"/>
  <c r="M7816" i="1"/>
  <c r="N7816" i="1"/>
  <c r="O7816" i="1"/>
  <c r="P7816" i="1"/>
  <c r="Q7816" i="1"/>
  <c r="R7816" i="1"/>
  <c r="S7816" i="1"/>
  <c r="T7816" i="1"/>
  <c r="U7816" i="1"/>
  <c r="V7816" i="1"/>
  <c r="W7816" i="1"/>
  <c r="X7816" i="1"/>
  <c r="Y7816" i="1"/>
  <c r="Z7816" i="1"/>
  <c r="A7817" i="1"/>
  <c r="B7817" i="1"/>
  <c r="C7817" i="1"/>
  <c r="D7817" i="1"/>
  <c r="E7817" i="1"/>
  <c r="F7817" i="1"/>
  <c r="G7817" i="1"/>
  <c r="I7817" i="1"/>
  <c r="J7817" i="1"/>
  <c r="K7817" i="1"/>
  <c r="L7817" i="1"/>
  <c r="M7817" i="1"/>
  <c r="N7817" i="1"/>
  <c r="O7817" i="1"/>
  <c r="P7817" i="1"/>
  <c r="Q7817" i="1"/>
  <c r="R7817" i="1"/>
  <c r="S7817" i="1"/>
  <c r="T7817" i="1"/>
  <c r="U7817" i="1"/>
  <c r="V7817" i="1"/>
  <c r="W7817" i="1"/>
  <c r="X7817" i="1"/>
  <c r="Y7817" i="1"/>
  <c r="Z7817" i="1"/>
  <c r="A7818" i="1"/>
  <c r="B7818" i="1"/>
  <c r="C7818" i="1"/>
  <c r="D7818" i="1"/>
  <c r="E7818" i="1"/>
  <c r="F7818" i="1"/>
  <c r="G7818" i="1"/>
  <c r="I7818" i="1"/>
  <c r="J7818" i="1"/>
  <c r="K7818" i="1"/>
  <c r="L7818" i="1"/>
  <c r="M7818" i="1"/>
  <c r="N7818" i="1"/>
  <c r="O7818" i="1"/>
  <c r="P7818" i="1"/>
  <c r="Q7818" i="1"/>
  <c r="R7818" i="1"/>
  <c r="S7818" i="1"/>
  <c r="T7818" i="1"/>
  <c r="U7818" i="1"/>
  <c r="V7818" i="1"/>
  <c r="W7818" i="1"/>
  <c r="X7818" i="1"/>
  <c r="Y7818" i="1"/>
  <c r="Z7818" i="1"/>
  <c r="A7819" i="1"/>
  <c r="B7819" i="1"/>
  <c r="C7819" i="1"/>
  <c r="D7819" i="1"/>
  <c r="E7819" i="1"/>
  <c r="F7819" i="1"/>
  <c r="G7819" i="1"/>
  <c r="I7819" i="1"/>
  <c r="J7819" i="1"/>
  <c r="K7819" i="1"/>
  <c r="L7819" i="1"/>
  <c r="M7819" i="1"/>
  <c r="N7819" i="1"/>
  <c r="O7819" i="1"/>
  <c r="P7819" i="1"/>
  <c r="Q7819" i="1"/>
  <c r="R7819" i="1"/>
  <c r="S7819" i="1"/>
  <c r="T7819" i="1"/>
  <c r="U7819" i="1"/>
  <c r="V7819" i="1"/>
  <c r="W7819" i="1"/>
  <c r="X7819" i="1"/>
  <c r="Y7819" i="1"/>
  <c r="Z7819" i="1"/>
  <c r="A7820" i="1"/>
  <c r="B7820" i="1"/>
  <c r="C7820" i="1"/>
  <c r="D7820" i="1"/>
  <c r="E7820" i="1"/>
  <c r="F7820" i="1"/>
  <c r="G7820" i="1"/>
  <c r="I7820" i="1"/>
  <c r="J7820" i="1"/>
  <c r="K7820" i="1"/>
  <c r="L7820" i="1"/>
  <c r="M7820" i="1"/>
  <c r="N7820" i="1"/>
  <c r="O7820" i="1"/>
  <c r="P7820" i="1"/>
  <c r="Q7820" i="1"/>
  <c r="R7820" i="1"/>
  <c r="S7820" i="1"/>
  <c r="T7820" i="1"/>
  <c r="U7820" i="1"/>
  <c r="V7820" i="1"/>
  <c r="W7820" i="1"/>
  <c r="X7820" i="1"/>
  <c r="Y7820" i="1"/>
  <c r="Z7820" i="1"/>
  <c r="A7821" i="1"/>
  <c r="B7821" i="1"/>
  <c r="C7821" i="1"/>
  <c r="D7821" i="1"/>
  <c r="E7821" i="1"/>
  <c r="F7821" i="1"/>
  <c r="G7821" i="1"/>
  <c r="I7821" i="1"/>
  <c r="J7821" i="1"/>
  <c r="K7821" i="1"/>
  <c r="L7821" i="1"/>
  <c r="M7821" i="1"/>
  <c r="N7821" i="1"/>
  <c r="O7821" i="1"/>
  <c r="P7821" i="1"/>
  <c r="Q7821" i="1"/>
  <c r="R7821" i="1"/>
  <c r="S7821" i="1"/>
  <c r="T7821" i="1"/>
  <c r="U7821" i="1"/>
  <c r="V7821" i="1"/>
  <c r="W7821" i="1"/>
  <c r="X7821" i="1"/>
  <c r="Y7821" i="1"/>
  <c r="Z7821" i="1"/>
  <c r="A7822" i="1"/>
  <c r="B7822" i="1"/>
  <c r="C7822" i="1"/>
  <c r="D7822" i="1"/>
  <c r="E7822" i="1"/>
  <c r="F7822" i="1"/>
  <c r="G7822" i="1"/>
  <c r="I7822" i="1"/>
  <c r="J7822" i="1"/>
  <c r="K7822" i="1"/>
  <c r="L7822" i="1"/>
  <c r="M7822" i="1"/>
  <c r="N7822" i="1"/>
  <c r="O7822" i="1"/>
  <c r="P7822" i="1"/>
  <c r="Q7822" i="1"/>
  <c r="R7822" i="1"/>
  <c r="S7822" i="1"/>
  <c r="T7822" i="1"/>
  <c r="U7822" i="1"/>
  <c r="V7822" i="1"/>
  <c r="W7822" i="1"/>
  <c r="X7822" i="1"/>
  <c r="Y7822" i="1"/>
  <c r="Z7822" i="1"/>
  <c r="A7823" i="1"/>
  <c r="B7823" i="1"/>
  <c r="C7823" i="1"/>
  <c r="D7823" i="1"/>
  <c r="E7823" i="1"/>
  <c r="F7823" i="1"/>
  <c r="G7823" i="1"/>
  <c r="I7823" i="1"/>
  <c r="J7823" i="1"/>
  <c r="K7823" i="1"/>
  <c r="L7823" i="1"/>
  <c r="M7823" i="1"/>
  <c r="N7823" i="1"/>
  <c r="O7823" i="1"/>
  <c r="P7823" i="1"/>
  <c r="Q7823" i="1"/>
  <c r="R7823" i="1"/>
  <c r="S7823" i="1"/>
  <c r="T7823" i="1"/>
  <c r="U7823" i="1"/>
  <c r="V7823" i="1"/>
  <c r="W7823" i="1"/>
  <c r="X7823" i="1"/>
  <c r="Y7823" i="1"/>
  <c r="Z7823" i="1"/>
  <c r="A7824" i="1"/>
  <c r="B7824" i="1"/>
  <c r="C7824" i="1"/>
  <c r="D7824" i="1"/>
  <c r="E7824" i="1"/>
  <c r="F7824" i="1"/>
  <c r="G7824" i="1"/>
  <c r="I7824" i="1"/>
  <c r="J7824" i="1"/>
  <c r="K7824" i="1"/>
  <c r="L7824" i="1"/>
  <c r="M7824" i="1"/>
  <c r="N7824" i="1"/>
  <c r="O7824" i="1"/>
  <c r="P7824" i="1"/>
  <c r="Q7824" i="1"/>
  <c r="R7824" i="1"/>
  <c r="S7824" i="1"/>
  <c r="T7824" i="1"/>
  <c r="U7824" i="1"/>
  <c r="V7824" i="1"/>
  <c r="W7824" i="1"/>
  <c r="X7824" i="1"/>
  <c r="Y7824" i="1"/>
  <c r="Z7824" i="1"/>
  <c r="A7825" i="1"/>
  <c r="B7825" i="1"/>
  <c r="C7825" i="1"/>
  <c r="D7825" i="1"/>
  <c r="E7825" i="1"/>
  <c r="F7825" i="1"/>
  <c r="G7825" i="1"/>
  <c r="I7825" i="1"/>
  <c r="J7825" i="1"/>
  <c r="K7825" i="1"/>
  <c r="L7825" i="1"/>
  <c r="M7825" i="1"/>
  <c r="N7825" i="1"/>
  <c r="O7825" i="1"/>
  <c r="P7825" i="1"/>
  <c r="Q7825" i="1"/>
  <c r="R7825" i="1"/>
  <c r="S7825" i="1"/>
  <c r="T7825" i="1"/>
  <c r="U7825" i="1"/>
  <c r="V7825" i="1"/>
  <c r="W7825" i="1"/>
  <c r="X7825" i="1"/>
  <c r="Y7825" i="1"/>
  <c r="Z7825" i="1"/>
  <c r="A7826" i="1"/>
  <c r="B7826" i="1"/>
  <c r="C7826" i="1"/>
  <c r="D7826" i="1"/>
  <c r="E7826" i="1"/>
  <c r="F7826" i="1"/>
  <c r="G7826" i="1"/>
  <c r="I7826" i="1"/>
  <c r="J7826" i="1"/>
  <c r="K7826" i="1"/>
  <c r="L7826" i="1"/>
  <c r="M7826" i="1"/>
  <c r="N7826" i="1"/>
  <c r="O7826" i="1"/>
  <c r="P7826" i="1"/>
  <c r="Q7826" i="1"/>
  <c r="R7826" i="1"/>
  <c r="S7826" i="1"/>
  <c r="T7826" i="1"/>
  <c r="U7826" i="1"/>
  <c r="V7826" i="1"/>
  <c r="W7826" i="1"/>
  <c r="X7826" i="1"/>
  <c r="Y7826" i="1"/>
  <c r="Z7826" i="1"/>
  <c r="A7827" i="1"/>
  <c r="B7827" i="1"/>
  <c r="C7827" i="1"/>
  <c r="D7827" i="1"/>
  <c r="E7827" i="1"/>
  <c r="F7827" i="1"/>
  <c r="G7827" i="1"/>
  <c r="I7827" i="1"/>
  <c r="J7827" i="1"/>
  <c r="K7827" i="1"/>
  <c r="L7827" i="1"/>
  <c r="M7827" i="1"/>
  <c r="N7827" i="1"/>
  <c r="O7827" i="1"/>
  <c r="P7827" i="1"/>
  <c r="Q7827" i="1"/>
  <c r="R7827" i="1"/>
  <c r="S7827" i="1"/>
  <c r="T7827" i="1"/>
  <c r="U7827" i="1"/>
  <c r="V7827" i="1"/>
  <c r="W7827" i="1"/>
  <c r="X7827" i="1"/>
  <c r="Y7827" i="1"/>
  <c r="Z7827" i="1"/>
  <c r="A7828" i="1"/>
  <c r="B7828" i="1"/>
  <c r="C7828" i="1"/>
  <c r="D7828" i="1"/>
  <c r="E7828" i="1"/>
  <c r="F7828" i="1"/>
  <c r="G7828" i="1"/>
  <c r="I7828" i="1"/>
  <c r="J7828" i="1"/>
  <c r="K7828" i="1"/>
  <c r="L7828" i="1"/>
  <c r="M7828" i="1"/>
  <c r="N7828" i="1"/>
  <c r="O7828" i="1"/>
  <c r="P7828" i="1"/>
  <c r="Q7828" i="1"/>
  <c r="R7828" i="1"/>
  <c r="S7828" i="1"/>
  <c r="T7828" i="1"/>
  <c r="U7828" i="1"/>
  <c r="V7828" i="1"/>
  <c r="W7828" i="1"/>
  <c r="X7828" i="1"/>
  <c r="Y7828" i="1"/>
  <c r="Z7828" i="1"/>
  <c r="A7829" i="1"/>
  <c r="B7829" i="1"/>
  <c r="C7829" i="1"/>
  <c r="D7829" i="1"/>
  <c r="E7829" i="1"/>
  <c r="F7829" i="1"/>
  <c r="G7829" i="1"/>
  <c r="I7829" i="1"/>
  <c r="J7829" i="1"/>
  <c r="K7829" i="1"/>
  <c r="L7829" i="1"/>
  <c r="M7829" i="1"/>
  <c r="N7829" i="1"/>
  <c r="O7829" i="1"/>
  <c r="P7829" i="1"/>
  <c r="Q7829" i="1"/>
  <c r="R7829" i="1"/>
  <c r="S7829" i="1"/>
  <c r="T7829" i="1"/>
  <c r="U7829" i="1"/>
  <c r="V7829" i="1"/>
  <c r="W7829" i="1"/>
  <c r="X7829" i="1"/>
  <c r="Y7829" i="1"/>
  <c r="Z7829" i="1"/>
  <c r="A7830" i="1"/>
  <c r="B7830" i="1"/>
  <c r="C7830" i="1"/>
  <c r="D7830" i="1"/>
  <c r="E7830" i="1"/>
  <c r="F7830" i="1"/>
  <c r="G7830" i="1"/>
  <c r="I7830" i="1"/>
  <c r="J7830" i="1"/>
  <c r="K7830" i="1"/>
  <c r="L7830" i="1"/>
  <c r="M7830" i="1"/>
  <c r="N7830" i="1"/>
  <c r="O7830" i="1"/>
  <c r="P7830" i="1"/>
  <c r="Q7830" i="1"/>
  <c r="R7830" i="1"/>
  <c r="S7830" i="1"/>
  <c r="T7830" i="1"/>
  <c r="U7830" i="1"/>
  <c r="V7830" i="1"/>
  <c r="W7830" i="1"/>
  <c r="X7830" i="1"/>
  <c r="Y7830" i="1"/>
  <c r="Z7830" i="1"/>
  <c r="A7831" i="1"/>
  <c r="B7831" i="1"/>
  <c r="C7831" i="1"/>
  <c r="D7831" i="1"/>
  <c r="E7831" i="1"/>
  <c r="F7831" i="1"/>
  <c r="G7831" i="1"/>
  <c r="I7831" i="1"/>
  <c r="J7831" i="1"/>
  <c r="K7831" i="1"/>
  <c r="L7831" i="1"/>
  <c r="M7831" i="1"/>
  <c r="N7831" i="1"/>
  <c r="O7831" i="1"/>
  <c r="P7831" i="1"/>
  <c r="Q7831" i="1"/>
  <c r="R7831" i="1"/>
  <c r="S7831" i="1"/>
  <c r="T7831" i="1"/>
  <c r="U7831" i="1"/>
  <c r="V7831" i="1"/>
  <c r="W7831" i="1"/>
  <c r="X7831" i="1"/>
  <c r="Y7831" i="1"/>
  <c r="Z7831" i="1"/>
  <c r="A7832" i="1"/>
  <c r="B7832" i="1"/>
  <c r="C7832" i="1"/>
  <c r="D7832" i="1"/>
  <c r="E7832" i="1"/>
  <c r="F7832" i="1"/>
  <c r="G7832" i="1"/>
  <c r="I7832" i="1"/>
  <c r="J7832" i="1"/>
  <c r="K7832" i="1"/>
  <c r="L7832" i="1"/>
  <c r="M7832" i="1"/>
  <c r="N7832" i="1"/>
  <c r="O7832" i="1"/>
  <c r="P7832" i="1"/>
  <c r="Q7832" i="1"/>
  <c r="R7832" i="1"/>
  <c r="S7832" i="1"/>
  <c r="T7832" i="1"/>
  <c r="U7832" i="1"/>
  <c r="V7832" i="1"/>
  <c r="W7832" i="1"/>
  <c r="X7832" i="1"/>
  <c r="Y7832" i="1"/>
  <c r="Z7832" i="1"/>
  <c r="A7833" i="1"/>
  <c r="B7833" i="1"/>
  <c r="C7833" i="1"/>
  <c r="D7833" i="1"/>
  <c r="E7833" i="1"/>
  <c r="F7833" i="1"/>
  <c r="G7833" i="1"/>
  <c r="I7833" i="1"/>
  <c r="J7833" i="1"/>
  <c r="K7833" i="1"/>
  <c r="L7833" i="1"/>
  <c r="M7833" i="1"/>
  <c r="N7833" i="1"/>
  <c r="O7833" i="1"/>
  <c r="P7833" i="1"/>
  <c r="Q7833" i="1"/>
  <c r="R7833" i="1"/>
  <c r="S7833" i="1"/>
  <c r="T7833" i="1"/>
  <c r="U7833" i="1"/>
  <c r="V7833" i="1"/>
  <c r="W7833" i="1"/>
  <c r="X7833" i="1"/>
  <c r="Y7833" i="1"/>
  <c r="Z7833" i="1"/>
  <c r="A7834" i="1"/>
  <c r="B7834" i="1"/>
  <c r="C7834" i="1"/>
  <c r="D7834" i="1"/>
  <c r="E7834" i="1"/>
  <c r="F7834" i="1"/>
  <c r="G7834" i="1"/>
  <c r="I7834" i="1"/>
  <c r="J7834" i="1"/>
  <c r="K7834" i="1"/>
  <c r="L7834" i="1"/>
  <c r="M7834" i="1"/>
  <c r="N7834" i="1"/>
  <c r="O7834" i="1"/>
  <c r="P7834" i="1"/>
  <c r="Q7834" i="1"/>
  <c r="R7834" i="1"/>
  <c r="S7834" i="1"/>
  <c r="T7834" i="1"/>
  <c r="U7834" i="1"/>
  <c r="V7834" i="1"/>
  <c r="W7834" i="1"/>
  <c r="X7834" i="1"/>
  <c r="Y7834" i="1"/>
  <c r="Z7834" i="1"/>
  <c r="A7835" i="1"/>
  <c r="B7835" i="1"/>
  <c r="C7835" i="1"/>
  <c r="D7835" i="1"/>
  <c r="E7835" i="1"/>
  <c r="F7835" i="1"/>
  <c r="G7835" i="1"/>
  <c r="I7835" i="1"/>
  <c r="J7835" i="1"/>
  <c r="K7835" i="1"/>
  <c r="L7835" i="1"/>
  <c r="M7835" i="1"/>
  <c r="N7835" i="1"/>
  <c r="O7835" i="1"/>
  <c r="P7835" i="1"/>
  <c r="Q7835" i="1"/>
  <c r="R7835" i="1"/>
  <c r="S7835" i="1"/>
  <c r="T7835" i="1"/>
  <c r="U7835" i="1"/>
  <c r="V7835" i="1"/>
  <c r="W7835" i="1"/>
  <c r="X7835" i="1"/>
  <c r="Y7835" i="1"/>
  <c r="Z7835" i="1"/>
  <c r="A7836" i="1"/>
  <c r="B7836" i="1"/>
  <c r="C7836" i="1"/>
  <c r="D7836" i="1"/>
  <c r="E7836" i="1"/>
  <c r="F7836" i="1"/>
  <c r="G7836" i="1"/>
  <c r="I7836" i="1"/>
  <c r="J7836" i="1"/>
  <c r="K7836" i="1"/>
  <c r="L7836" i="1"/>
  <c r="M7836" i="1"/>
  <c r="N7836" i="1"/>
  <c r="O7836" i="1"/>
  <c r="P7836" i="1"/>
  <c r="Q7836" i="1"/>
  <c r="R7836" i="1"/>
  <c r="S7836" i="1"/>
  <c r="T7836" i="1"/>
  <c r="U7836" i="1"/>
  <c r="V7836" i="1"/>
  <c r="W7836" i="1"/>
  <c r="X7836" i="1"/>
  <c r="Y7836" i="1"/>
  <c r="Z7836" i="1"/>
  <c r="A7837" i="1"/>
  <c r="B7837" i="1"/>
  <c r="C7837" i="1"/>
  <c r="D7837" i="1"/>
  <c r="E7837" i="1"/>
  <c r="F7837" i="1"/>
  <c r="G7837" i="1"/>
  <c r="I7837" i="1"/>
  <c r="J7837" i="1"/>
  <c r="K7837" i="1"/>
  <c r="L7837" i="1"/>
  <c r="M7837" i="1"/>
  <c r="N7837" i="1"/>
  <c r="O7837" i="1"/>
  <c r="P7837" i="1"/>
  <c r="Q7837" i="1"/>
  <c r="R7837" i="1"/>
  <c r="S7837" i="1"/>
  <c r="T7837" i="1"/>
  <c r="U7837" i="1"/>
  <c r="V7837" i="1"/>
  <c r="W7837" i="1"/>
  <c r="X7837" i="1"/>
  <c r="Y7837" i="1"/>
  <c r="Z7837" i="1"/>
  <c r="A7838" i="1"/>
  <c r="B7838" i="1"/>
  <c r="C7838" i="1"/>
  <c r="D7838" i="1"/>
  <c r="E7838" i="1"/>
  <c r="F7838" i="1"/>
  <c r="G7838" i="1"/>
  <c r="I7838" i="1"/>
  <c r="J7838" i="1"/>
  <c r="K7838" i="1"/>
  <c r="L7838" i="1"/>
  <c r="M7838" i="1"/>
  <c r="N7838" i="1"/>
  <c r="O7838" i="1"/>
  <c r="P7838" i="1"/>
  <c r="Q7838" i="1"/>
  <c r="R7838" i="1"/>
  <c r="S7838" i="1"/>
  <c r="T7838" i="1"/>
  <c r="U7838" i="1"/>
  <c r="V7838" i="1"/>
  <c r="W7838" i="1"/>
  <c r="X7838" i="1"/>
  <c r="Y7838" i="1"/>
  <c r="Z7838" i="1"/>
  <c r="A7839" i="1"/>
  <c r="B7839" i="1"/>
  <c r="C7839" i="1"/>
  <c r="D7839" i="1"/>
  <c r="E7839" i="1"/>
  <c r="F7839" i="1"/>
  <c r="G7839" i="1"/>
  <c r="I7839" i="1"/>
  <c r="J7839" i="1"/>
  <c r="K7839" i="1"/>
  <c r="L7839" i="1"/>
  <c r="M7839" i="1"/>
  <c r="N7839" i="1"/>
  <c r="O7839" i="1"/>
  <c r="P7839" i="1"/>
  <c r="Q7839" i="1"/>
  <c r="R7839" i="1"/>
  <c r="S7839" i="1"/>
  <c r="T7839" i="1"/>
  <c r="U7839" i="1"/>
  <c r="V7839" i="1"/>
  <c r="W7839" i="1"/>
  <c r="X7839" i="1"/>
  <c r="Y7839" i="1"/>
  <c r="Z7839" i="1"/>
  <c r="A7840" i="1"/>
  <c r="B7840" i="1"/>
  <c r="C7840" i="1"/>
  <c r="D7840" i="1"/>
  <c r="E7840" i="1"/>
  <c r="F7840" i="1"/>
  <c r="G7840" i="1"/>
  <c r="I7840" i="1"/>
  <c r="J7840" i="1"/>
  <c r="K7840" i="1"/>
  <c r="L7840" i="1"/>
  <c r="M7840" i="1"/>
  <c r="N7840" i="1"/>
  <c r="O7840" i="1"/>
  <c r="P7840" i="1"/>
  <c r="Q7840" i="1"/>
  <c r="R7840" i="1"/>
  <c r="S7840" i="1"/>
  <c r="T7840" i="1"/>
  <c r="U7840" i="1"/>
  <c r="V7840" i="1"/>
  <c r="W7840" i="1"/>
  <c r="X7840" i="1"/>
  <c r="Y7840" i="1"/>
  <c r="Z7840" i="1"/>
  <c r="A7841" i="1"/>
  <c r="B7841" i="1"/>
  <c r="C7841" i="1"/>
  <c r="D7841" i="1"/>
  <c r="E7841" i="1"/>
  <c r="F7841" i="1"/>
  <c r="G7841" i="1"/>
  <c r="I7841" i="1"/>
  <c r="J7841" i="1"/>
  <c r="K7841" i="1"/>
  <c r="L7841" i="1"/>
  <c r="M7841" i="1"/>
  <c r="N7841" i="1"/>
  <c r="O7841" i="1"/>
  <c r="P7841" i="1"/>
  <c r="Q7841" i="1"/>
  <c r="R7841" i="1"/>
  <c r="S7841" i="1"/>
  <c r="T7841" i="1"/>
  <c r="U7841" i="1"/>
  <c r="V7841" i="1"/>
  <c r="W7841" i="1"/>
  <c r="X7841" i="1"/>
  <c r="Y7841" i="1"/>
  <c r="Z7841" i="1"/>
  <c r="A7842" i="1"/>
  <c r="B7842" i="1"/>
  <c r="C7842" i="1"/>
  <c r="D7842" i="1"/>
  <c r="E7842" i="1"/>
  <c r="F7842" i="1"/>
  <c r="G7842" i="1"/>
  <c r="I7842" i="1"/>
  <c r="J7842" i="1"/>
  <c r="K7842" i="1"/>
  <c r="L7842" i="1"/>
  <c r="M7842" i="1"/>
  <c r="N7842" i="1"/>
  <c r="O7842" i="1"/>
  <c r="P7842" i="1"/>
  <c r="Q7842" i="1"/>
  <c r="R7842" i="1"/>
  <c r="S7842" i="1"/>
  <c r="T7842" i="1"/>
  <c r="U7842" i="1"/>
  <c r="V7842" i="1"/>
  <c r="W7842" i="1"/>
  <c r="X7842" i="1"/>
  <c r="Y7842" i="1"/>
  <c r="Z7842" i="1"/>
  <c r="A7843" i="1"/>
  <c r="B7843" i="1"/>
  <c r="C7843" i="1"/>
  <c r="D7843" i="1"/>
  <c r="E7843" i="1"/>
  <c r="F7843" i="1"/>
  <c r="G7843" i="1"/>
  <c r="I7843" i="1"/>
  <c r="J7843" i="1"/>
  <c r="K7843" i="1"/>
  <c r="L7843" i="1"/>
  <c r="M7843" i="1"/>
  <c r="N7843" i="1"/>
  <c r="O7843" i="1"/>
  <c r="P7843" i="1"/>
  <c r="Q7843" i="1"/>
  <c r="R7843" i="1"/>
  <c r="S7843" i="1"/>
  <c r="T7843" i="1"/>
  <c r="U7843" i="1"/>
  <c r="V7843" i="1"/>
  <c r="W7843" i="1"/>
  <c r="X7843" i="1"/>
  <c r="Y7843" i="1"/>
  <c r="Z7843" i="1"/>
  <c r="A7844" i="1"/>
  <c r="B7844" i="1"/>
  <c r="C7844" i="1"/>
  <c r="D7844" i="1"/>
  <c r="E7844" i="1"/>
  <c r="F7844" i="1"/>
  <c r="G7844" i="1"/>
  <c r="I7844" i="1"/>
  <c r="J7844" i="1"/>
  <c r="K7844" i="1"/>
  <c r="L7844" i="1"/>
  <c r="M7844" i="1"/>
  <c r="N7844" i="1"/>
  <c r="O7844" i="1"/>
  <c r="P7844" i="1"/>
  <c r="Q7844" i="1"/>
  <c r="R7844" i="1"/>
  <c r="S7844" i="1"/>
  <c r="T7844" i="1"/>
  <c r="U7844" i="1"/>
  <c r="V7844" i="1"/>
  <c r="W7844" i="1"/>
  <c r="X7844" i="1"/>
  <c r="Y7844" i="1"/>
  <c r="Z7844" i="1"/>
  <c r="A7845" i="1"/>
  <c r="B7845" i="1"/>
  <c r="C7845" i="1"/>
  <c r="D7845" i="1"/>
  <c r="E7845" i="1"/>
  <c r="F7845" i="1"/>
  <c r="G7845" i="1"/>
  <c r="I7845" i="1"/>
  <c r="J7845" i="1"/>
  <c r="K7845" i="1"/>
  <c r="L7845" i="1"/>
  <c r="M7845" i="1"/>
  <c r="N7845" i="1"/>
  <c r="O7845" i="1"/>
  <c r="P7845" i="1"/>
  <c r="Q7845" i="1"/>
  <c r="R7845" i="1"/>
  <c r="S7845" i="1"/>
  <c r="T7845" i="1"/>
  <c r="U7845" i="1"/>
  <c r="V7845" i="1"/>
  <c r="W7845" i="1"/>
  <c r="X7845" i="1"/>
  <c r="Y7845" i="1"/>
  <c r="Z7845" i="1"/>
  <c r="A7846" i="1"/>
  <c r="B7846" i="1"/>
  <c r="C7846" i="1"/>
  <c r="D7846" i="1"/>
  <c r="E7846" i="1"/>
  <c r="F7846" i="1"/>
  <c r="G7846" i="1"/>
  <c r="I7846" i="1"/>
  <c r="J7846" i="1"/>
  <c r="K7846" i="1"/>
  <c r="L7846" i="1"/>
  <c r="M7846" i="1"/>
  <c r="N7846" i="1"/>
  <c r="O7846" i="1"/>
  <c r="P7846" i="1"/>
  <c r="Q7846" i="1"/>
  <c r="R7846" i="1"/>
  <c r="S7846" i="1"/>
  <c r="T7846" i="1"/>
  <c r="U7846" i="1"/>
  <c r="V7846" i="1"/>
  <c r="W7846" i="1"/>
  <c r="X7846" i="1"/>
  <c r="Y7846" i="1"/>
  <c r="Z7846" i="1"/>
  <c r="A7847" i="1"/>
  <c r="B7847" i="1"/>
  <c r="C7847" i="1"/>
  <c r="D7847" i="1"/>
  <c r="E7847" i="1"/>
  <c r="F7847" i="1"/>
  <c r="G7847" i="1"/>
  <c r="I7847" i="1"/>
  <c r="J7847" i="1"/>
  <c r="K7847" i="1"/>
  <c r="L7847" i="1"/>
  <c r="M7847" i="1"/>
  <c r="N7847" i="1"/>
  <c r="O7847" i="1"/>
  <c r="P7847" i="1"/>
  <c r="Q7847" i="1"/>
  <c r="R7847" i="1"/>
  <c r="S7847" i="1"/>
  <c r="T7847" i="1"/>
  <c r="U7847" i="1"/>
  <c r="V7847" i="1"/>
  <c r="W7847" i="1"/>
  <c r="X7847" i="1"/>
  <c r="Y7847" i="1"/>
  <c r="Z7847" i="1"/>
  <c r="A7848" i="1"/>
  <c r="B7848" i="1"/>
  <c r="C7848" i="1"/>
  <c r="D7848" i="1"/>
  <c r="E7848" i="1"/>
  <c r="F7848" i="1"/>
  <c r="G7848" i="1"/>
  <c r="I7848" i="1"/>
  <c r="J7848" i="1"/>
  <c r="K7848" i="1"/>
  <c r="L7848" i="1"/>
  <c r="M7848" i="1"/>
  <c r="N7848" i="1"/>
  <c r="O7848" i="1"/>
  <c r="P7848" i="1"/>
  <c r="Q7848" i="1"/>
  <c r="R7848" i="1"/>
  <c r="S7848" i="1"/>
  <c r="T7848" i="1"/>
  <c r="U7848" i="1"/>
  <c r="V7848" i="1"/>
  <c r="W7848" i="1"/>
  <c r="X7848" i="1"/>
  <c r="Y7848" i="1"/>
  <c r="Z7848" i="1"/>
  <c r="A7849" i="1"/>
  <c r="B7849" i="1"/>
  <c r="C7849" i="1"/>
  <c r="D7849" i="1"/>
  <c r="E7849" i="1"/>
  <c r="F7849" i="1"/>
  <c r="G7849" i="1"/>
  <c r="I7849" i="1"/>
  <c r="J7849" i="1"/>
  <c r="K7849" i="1"/>
  <c r="L7849" i="1"/>
  <c r="M7849" i="1"/>
  <c r="N7849" i="1"/>
  <c r="O7849" i="1"/>
  <c r="P7849" i="1"/>
  <c r="Q7849" i="1"/>
  <c r="R7849" i="1"/>
  <c r="S7849" i="1"/>
  <c r="T7849" i="1"/>
  <c r="U7849" i="1"/>
  <c r="V7849" i="1"/>
  <c r="W7849" i="1"/>
  <c r="X7849" i="1"/>
  <c r="Y7849" i="1"/>
  <c r="Z7849" i="1"/>
  <c r="A7850" i="1"/>
  <c r="B7850" i="1"/>
  <c r="C7850" i="1"/>
  <c r="D7850" i="1"/>
  <c r="E7850" i="1"/>
  <c r="F7850" i="1"/>
  <c r="G7850" i="1"/>
  <c r="I7850" i="1"/>
  <c r="J7850" i="1"/>
  <c r="K7850" i="1"/>
  <c r="L7850" i="1"/>
  <c r="M7850" i="1"/>
  <c r="N7850" i="1"/>
  <c r="O7850" i="1"/>
  <c r="P7850" i="1"/>
  <c r="Q7850" i="1"/>
  <c r="R7850" i="1"/>
  <c r="S7850" i="1"/>
  <c r="T7850" i="1"/>
  <c r="U7850" i="1"/>
  <c r="V7850" i="1"/>
  <c r="W7850" i="1"/>
  <c r="X7850" i="1"/>
  <c r="Y7850" i="1"/>
  <c r="Z7850" i="1"/>
  <c r="A7851" i="1"/>
  <c r="B7851" i="1"/>
  <c r="C7851" i="1"/>
  <c r="D7851" i="1"/>
  <c r="E7851" i="1"/>
  <c r="F7851" i="1"/>
  <c r="G7851" i="1"/>
  <c r="I7851" i="1"/>
  <c r="J7851" i="1"/>
  <c r="K7851" i="1"/>
  <c r="L7851" i="1"/>
  <c r="M7851" i="1"/>
  <c r="N7851" i="1"/>
  <c r="O7851" i="1"/>
  <c r="P7851" i="1"/>
  <c r="Q7851" i="1"/>
  <c r="R7851" i="1"/>
  <c r="S7851" i="1"/>
  <c r="T7851" i="1"/>
  <c r="U7851" i="1"/>
  <c r="V7851" i="1"/>
  <c r="W7851" i="1"/>
  <c r="X7851" i="1"/>
  <c r="Y7851" i="1"/>
  <c r="Z7851" i="1"/>
  <c r="A7852" i="1"/>
  <c r="B7852" i="1"/>
  <c r="C7852" i="1"/>
  <c r="D7852" i="1"/>
  <c r="E7852" i="1"/>
  <c r="F7852" i="1"/>
  <c r="G7852" i="1"/>
  <c r="I7852" i="1"/>
  <c r="J7852" i="1"/>
  <c r="K7852" i="1"/>
  <c r="L7852" i="1"/>
  <c r="M7852" i="1"/>
  <c r="N7852" i="1"/>
  <c r="O7852" i="1"/>
  <c r="P7852" i="1"/>
  <c r="Q7852" i="1"/>
  <c r="R7852" i="1"/>
  <c r="S7852" i="1"/>
  <c r="T7852" i="1"/>
  <c r="U7852" i="1"/>
  <c r="V7852" i="1"/>
  <c r="W7852" i="1"/>
  <c r="X7852" i="1"/>
  <c r="Y7852" i="1"/>
  <c r="Z7852" i="1"/>
  <c r="A7853" i="1"/>
  <c r="B7853" i="1"/>
  <c r="C7853" i="1"/>
  <c r="D7853" i="1"/>
  <c r="E7853" i="1"/>
  <c r="F7853" i="1"/>
  <c r="G7853" i="1"/>
  <c r="I7853" i="1"/>
  <c r="J7853" i="1"/>
  <c r="K7853" i="1"/>
  <c r="L7853" i="1"/>
  <c r="M7853" i="1"/>
  <c r="N7853" i="1"/>
  <c r="O7853" i="1"/>
  <c r="P7853" i="1"/>
  <c r="Q7853" i="1"/>
  <c r="R7853" i="1"/>
  <c r="S7853" i="1"/>
  <c r="T7853" i="1"/>
  <c r="U7853" i="1"/>
  <c r="V7853" i="1"/>
  <c r="W7853" i="1"/>
  <c r="X7853" i="1"/>
  <c r="Y7853" i="1"/>
  <c r="Z7853" i="1"/>
  <c r="A7854" i="1"/>
  <c r="B7854" i="1"/>
  <c r="C7854" i="1"/>
  <c r="D7854" i="1"/>
  <c r="E7854" i="1"/>
  <c r="F7854" i="1"/>
  <c r="G7854" i="1"/>
  <c r="I7854" i="1"/>
  <c r="J7854" i="1"/>
  <c r="K7854" i="1"/>
  <c r="L7854" i="1"/>
  <c r="M7854" i="1"/>
  <c r="N7854" i="1"/>
  <c r="O7854" i="1"/>
  <c r="P7854" i="1"/>
  <c r="Q7854" i="1"/>
  <c r="R7854" i="1"/>
  <c r="S7854" i="1"/>
  <c r="T7854" i="1"/>
  <c r="U7854" i="1"/>
  <c r="V7854" i="1"/>
  <c r="W7854" i="1"/>
  <c r="X7854" i="1"/>
  <c r="Y7854" i="1"/>
  <c r="Z7854" i="1"/>
  <c r="A7855" i="1"/>
  <c r="B7855" i="1"/>
  <c r="C7855" i="1"/>
  <c r="D7855" i="1"/>
  <c r="E7855" i="1"/>
  <c r="F7855" i="1"/>
  <c r="G7855" i="1"/>
  <c r="I7855" i="1"/>
  <c r="J7855" i="1"/>
  <c r="K7855" i="1"/>
  <c r="L7855" i="1"/>
  <c r="M7855" i="1"/>
  <c r="N7855" i="1"/>
  <c r="O7855" i="1"/>
  <c r="P7855" i="1"/>
  <c r="Q7855" i="1"/>
  <c r="R7855" i="1"/>
  <c r="S7855" i="1"/>
  <c r="T7855" i="1"/>
  <c r="U7855" i="1"/>
  <c r="V7855" i="1"/>
  <c r="W7855" i="1"/>
  <c r="X7855" i="1"/>
  <c r="Y7855" i="1"/>
  <c r="Z7855" i="1"/>
  <c r="A7856" i="1"/>
  <c r="B7856" i="1"/>
  <c r="C7856" i="1"/>
  <c r="D7856" i="1"/>
  <c r="E7856" i="1"/>
  <c r="F7856" i="1"/>
  <c r="G7856" i="1"/>
  <c r="I7856" i="1"/>
  <c r="J7856" i="1"/>
  <c r="K7856" i="1"/>
  <c r="L7856" i="1"/>
  <c r="M7856" i="1"/>
  <c r="N7856" i="1"/>
  <c r="O7856" i="1"/>
  <c r="P7856" i="1"/>
  <c r="Q7856" i="1"/>
  <c r="R7856" i="1"/>
  <c r="S7856" i="1"/>
  <c r="T7856" i="1"/>
  <c r="U7856" i="1"/>
  <c r="V7856" i="1"/>
  <c r="W7856" i="1"/>
  <c r="X7856" i="1"/>
  <c r="Y7856" i="1"/>
  <c r="Z7856" i="1"/>
  <c r="A7857" i="1"/>
  <c r="B7857" i="1"/>
  <c r="C7857" i="1"/>
  <c r="D7857" i="1"/>
  <c r="E7857" i="1"/>
  <c r="F7857" i="1"/>
  <c r="G7857" i="1"/>
  <c r="I7857" i="1"/>
  <c r="J7857" i="1"/>
  <c r="K7857" i="1"/>
  <c r="L7857" i="1"/>
  <c r="M7857" i="1"/>
  <c r="N7857" i="1"/>
  <c r="O7857" i="1"/>
  <c r="P7857" i="1"/>
  <c r="Q7857" i="1"/>
  <c r="R7857" i="1"/>
  <c r="S7857" i="1"/>
  <c r="T7857" i="1"/>
  <c r="U7857" i="1"/>
  <c r="V7857" i="1"/>
  <c r="W7857" i="1"/>
  <c r="X7857" i="1"/>
  <c r="Y7857" i="1"/>
  <c r="Z7857" i="1"/>
  <c r="A7858" i="1"/>
  <c r="B7858" i="1"/>
  <c r="C7858" i="1"/>
  <c r="D7858" i="1"/>
  <c r="E7858" i="1"/>
  <c r="F7858" i="1"/>
  <c r="G7858" i="1"/>
  <c r="I7858" i="1"/>
  <c r="J7858" i="1"/>
  <c r="K7858" i="1"/>
  <c r="L7858" i="1"/>
  <c r="M7858" i="1"/>
  <c r="N7858" i="1"/>
  <c r="O7858" i="1"/>
  <c r="P7858" i="1"/>
  <c r="Q7858" i="1"/>
  <c r="R7858" i="1"/>
  <c r="S7858" i="1"/>
  <c r="T7858" i="1"/>
  <c r="U7858" i="1"/>
  <c r="V7858" i="1"/>
  <c r="W7858" i="1"/>
  <c r="X7858" i="1"/>
  <c r="Y7858" i="1"/>
  <c r="Z7858" i="1"/>
  <c r="A7859" i="1"/>
  <c r="B7859" i="1"/>
  <c r="C7859" i="1"/>
  <c r="D7859" i="1"/>
  <c r="E7859" i="1"/>
  <c r="F7859" i="1"/>
  <c r="G7859" i="1"/>
  <c r="I7859" i="1"/>
  <c r="J7859" i="1"/>
  <c r="K7859" i="1"/>
  <c r="L7859" i="1"/>
  <c r="M7859" i="1"/>
  <c r="N7859" i="1"/>
  <c r="O7859" i="1"/>
  <c r="P7859" i="1"/>
  <c r="Q7859" i="1"/>
  <c r="R7859" i="1"/>
  <c r="S7859" i="1"/>
  <c r="T7859" i="1"/>
  <c r="U7859" i="1"/>
  <c r="V7859" i="1"/>
  <c r="W7859" i="1"/>
  <c r="X7859" i="1"/>
  <c r="Y7859" i="1"/>
  <c r="Z7859" i="1"/>
  <c r="A7860" i="1"/>
  <c r="B7860" i="1"/>
  <c r="C7860" i="1"/>
  <c r="D7860" i="1"/>
  <c r="E7860" i="1"/>
  <c r="F7860" i="1"/>
  <c r="G7860" i="1"/>
  <c r="I7860" i="1"/>
  <c r="J7860" i="1"/>
  <c r="K7860" i="1"/>
  <c r="L7860" i="1"/>
  <c r="M7860" i="1"/>
  <c r="N7860" i="1"/>
  <c r="O7860" i="1"/>
  <c r="P7860" i="1"/>
  <c r="Q7860" i="1"/>
  <c r="R7860" i="1"/>
  <c r="S7860" i="1"/>
  <c r="T7860" i="1"/>
  <c r="U7860" i="1"/>
  <c r="V7860" i="1"/>
  <c r="W7860" i="1"/>
  <c r="X7860" i="1"/>
  <c r="Y7860" i="1"/>
  <c r="Z7860" i="1"/>
  <c r="A7861" i="1"/>
  <c r="B7861" i="1"/>
  <c r="C7861" i="1"/>
  <c r="D7861" i="1"/>
  <c r="E7861" i="1"/>
  <c r="F7861" i="1"/>
  <c r="G7861" i="1"/>
  <c r="I7861" i="1"/>
  <c r="J7861" i="1"/>
  <c r="K7861" i="1"/>
  <c r="L7861" i="1"/>
  <c r="M7861" i="1"/>
  <c r="N7861" i="1"/>
  <c r="O7861" i="1"/>
  <c r="P7861" i="1"/>
  <c r="Q7861" i="1"/>
  <c r="R7861" i="1"/>
  <c r="S7861" i="1"/>
  <c r="T7861" i="1"/>
  <c r="U7861" i="1"/>
  <c r="V7861" i="1"/>
  <c r="W7861" i="1"/>
  <c r="X7861" i="1"/>
  <c r="Y7861" i="1"/>
  <c r="Z7861" i="1"/>
  <c r="A7862" i="1"/>
  <c r="B7862" i="1"/>
  <c r="C7862" i="1"/>
  <c r="D7862" i="1"/>
  <c r="E7862" i="1"/>
  <c r="F7862" i="1"/>
  <c r="G7862" i="1"/>
  <c r="I7862" i="1"/>
  <c r="J7862" i="1"/>
  <c r="K7862" i="1"/>
  <c r="L7862" i="1"/>
  <c r="M7862" i="1"/>
  <c r="N7862" i="1"/>
  <c r="O7862" i="1"/>
  <c r="P7862" i="1"/>
  <c r="Q7862" i="1"/>
  <c r="R7862" i="1"/>
  <c r="S7862" i="1"/>
  <c r="T7862" i="1"/>
  <c r="U7862" i="1"/>
  <c r="V7862" i="1"/>
  <c r="W7862" i="1"/>
  <c r="X7862" i="1"/>
  <c r="Y7862" i="1"/>
  <c r="Z7862" i="1"/>
  <c r="A7863" i="1"/>
  <c r="B7863" i="1"/>
  <c r="C7863" i="1"/>
  <c r="D7863" i="1"/>
  <c r="E7863" i="1"/>
  <c r="F7863" i="1"/>
  <c r="G7863" i="1"/>
  <c r="I7863" i="1"/>
  <c r="J7863" i="1"/>
  <c r="K7863" i="1"/>
  <c r="L7863" i="1"/>
  <c r="M7863" i="1"/>
  <c r="N7863" i="1"/>
  <c r="O7863" i="1"/>
  <c r="P7863" i="1"/>
  <c r="Q7863" i="1"/>
  <c r="R7863" i="1"/>
  <c r="S7863" i="1"/>
  <c r="T7863" i="1"/>
  <c r="U7863" i="1"/>
  <c r="V7863" i="1"/>
  <c r="W7863" i="1"/>
  <c r="X7863" i="1"/>
  <c r="Y7863" i="1"/>
  <c r="Z7863" i="1"/>
  <c r="A7864" i="1"/>
  <c r="B7864" i="1"/>
  <c r="C7864" i="1"/>
  <c r="D7864" i="1"/>
  <c r="E7864" i="1"/>
  <c r="F7864" i="1"/>
  <c r="G7864" i="1"/>
  <c r="I7864" i="1"/>
  <c r="J7864" i="1"/>
  <c r="K7864" i="1"/>
  <c r="L7864" i="1"/>
  <c r="M7864" i="1"/>
  <c r="N7864" i="1"/>
  <c r="O7864" i="1"/>
  <c r="P7864" i="1"/>
  <c r="Q7864" i="1"/>
  <c r="R7864" i="1"/>
  <c r="S7864" i="1"/>
  <c r="T7864" i="1"/>
  <c r="U7864" i="1"/>
  <c r="V7864" i="1"/>
  <c r="W7864" i="1"/>
  <c r="X7864" i="1"/>
  <c r="Y7864" i="1"/>
  <c r="Z7864" i="1"/>
  <c r="A7865" i="1"/>
  <c r="B7865" i="1"/>
  <c r="C7865" i="1"/>
  <c r="D7865" i="1"/>
  <c r="E7865" i="1"/>
  <c r="F7865" i="1"/>
  <c r="G7865" i="1"/>
  <c r="I7865" i="1"/>
  <c r="J7865" i="1"/>
  <c r="K7865" i="1"/>
  <c r="L7865" i="1"/>
  <c r="M7865" i="1"/>
  <c r="N7865" i="1"/>
  <c r="O7865" i="1"/>
  <c r="P7865" i="1"/>
  <c r="Q7865" i="1"/>
  <c r="R7865" i="1"/>
  <c r="S7865" i="1"/>
  <c r="T7865" i="1"/>
  <c r="U7865" i="1"/>
  <c r="V7865" i="1"/>
  <c r="W7865" i="1"/>
  <c r="X7865" i="1"/>
  <c r="Y7865" i="1"/>
  <c r="Z7865" i="1"/>
  <c r="A7866" i="1"/>
  <c r="B7866" i="1"/>
  <c r="C7866" i="1"/>
  <c r="D7866" i="1"/>
  <c r="E7866" i="1"/>
  <c r="F7866" i="1"/>
  <c r="G7866" i="1"/>
  <c r="I7866" i="1"/>
  <c r="J7866" i="1"/>
  <c r="K7866" i="1"/>
  <c r="L7866" i="1"/>
  <c r="M7866" i="1"/>
  <c r="N7866" i="1"/>
  <c r="O7866" i="1"/>
  <c r="P7866" i="1"/>
  <c r="Q7866" i="1"/>
  <c r="R7866" i="1"/>
  <c r="S7866" i="1"/>
  <c r="T7866" i="1"/>
  <c r="U7866" i="1"/>
  <c r="V7866" i="1"/>
  <c r="W7866" i="1"/>
  <c r="X7866" i="1"/>
  <c r="Y7866" i="1"/>
  <c r="Z7866" i="1"/>
  <c r="A7867" i="1"/>
  <c r="B7867" i="1"/>
  <c r="C7867" i="1"/>
  <c r="D7867" i="1"/>
  <c r="E7867" i="1"/>
  <c r="F7867" i="1"/>
  <c r="G7867" i="1"/>
  <c r="I7867" i="1"/>
  <c r="J7867" i="1"/>
  <c r="K7867" i="1"/>
  <c r="L7867" i="1"/>
  <c r="M7867" i="1"/>
  <c r="N7867" i="1"/>
  <c r="O7867" i="1"/>
  <c r="P7867" i="1"/>
  <c r="Q7867" i="1"/>
  <c r="R7867" i="1"/>
  <c r="S7867" i="1"/>
  <c r="T7867" i="1"/>
  <c r="U7867" i="1"/>
  <c r="V7867" i="1"/>
  <c r="W7867" i="1"/>
  <c r="X7867" i="1"/>
  <c r="Y7867" i="1"/>
  <c r="Z7867" i="1"/>
  <c r="A7868" i="1"/>
  <c r="B7868" i="1"/>
  <c r="C7868" i="1"/>
  <c r="D7868" i="1"/>
  <c r="E7868" i="1"/>
  <c r="F7868" i="1"/>
  <c r="G7868" i="1"/>
  <c r="I7868" i="1"/>
  <c r="J7868" i="1"/>
  <c r="K7868" i="1"/>
  <c r="L7868" i="1"/>
  <c r="M7868" i="1"/>
  <c r="N7868" i="1"/>
  <c r="O7868" i="1"/>
  <c r="P7868" i="1"/>
  <c r="Q7868" i="1"/>
  <c r="R7868" i="1"/>
  <c r="S7868" i="1"/>
  <c r="T7868" i="1"/>
  <c r="U7868" i="1"/>
  <c r="V7868" i="1"/>
  <c r="W7868" i="1"/>
  <c r="X7868" i="1"/>
  <c r="Y7868" i="1"/>
  <c r="Z7868" i="1"/>
  <c r="A7869" i="1"/>
  <c r="B7869" i="1"/>
  <c r="C7869" i="1"/>
  <c r="D7869" i="1"/>
  <c r="E7869" i="1"/>
  <c r="F7869" i="1"/>
  <c r="G7869" i="1"/>
  <c r="I7869" i="1"/>
  <c r="J7869" i="1"/>
  <c r="K7869" i="1"/>
  <c r="L7869" i="1"/>
  <c r="M7869" i="1"/>
  <c r="N7869" i="1"/>
  <c r="O7869" i="1"/>
  <c r="P7869" i="1"/>
  <c r="Q7869" i="1"/>
  <c r="R7869" i="1"/>
  <c r="S7869" i="1"/>
  <c r="T7869" i="1"/>
  <c r="U7869" i="1"/>
  <c r="V7869" i="1"/>
  <c r="W7869" i="1"/>
  <c r="X7869" i="1"/>
  <c r="Y7869" i="1"/>
  <c r="Z7869" i="1"/>
  <c r="A7870" i="1"/>
  <c r="B7870" i="1"/>
  <c r="C7870" i="1"/>
  <c r="D7870" i="1"/>
  <c r="E7870" i="1"/>
  <c r="F7870" i="1"/>
  <c r="G7870" i="1"/>
  <c r="I7870" i="1"/>
  <c r="J7870" i="1"/>
  <c r="K7870" i="1"/>
  <c r="L7870" i="1"/>
  <c r="M7870" i="1"/>
  <c r="N7870" i="1"/>
  <c r="O7870" i="1"/>
  <c r="P7870" i="1"/>
  <c r="Q7870" i="1"/>
  <c r="R7870" i="1"/>
  <c r="S7870" i="1"/>
  <c r="T7870" i="1"/>
  <c r="U7870" i="1"/>
  <c r="V7870" i="1"/>
  <c r="W7870" i="1"/>
  <c r="X7870" i="1"/>
  <c r="Y7870" i="1"/>
  <c r="Z7870" i="1"/>
  <c r="A7871" i="1"/>
  <c r="B7871" i="1"/>
  <c r="C7871" i="1"/>
  <c r="D7871" i="1"/>
  <c r="E7871" i="1"/>
  <c r="F7871" i="1"/>
  <c r="G7871" i="1"/>
  <c r="I7871" i="1"/>
  <c r="J7871" i="1"/>
  <c r="K7871" i="1"/>
  <c r="L7871" i="1"/>
  <c r="M7871" i="1"/>
  <c r="N7871" i="1"/>
  <c r="O7871" i="1"/>
  <c r="P7871" i="1"/>
  <c r="Q7871" i="1"/>
  <c r="R7871" i="1"/>
  <c r="S7871" i="1"/>
  <c r="T7871" i="1"/>
  <c r="U7871" i="1"/>
  <c r="V7871" i="1"/>
  <c r="W7871" i="1"/>
  <c r="X7871" i="1"/>
  <c r="Y7871" i="1"/>
  <c r="Z7871" i="1"/>
  <c r="A7872" i="1"/>
  <c r="B7872" i="1"/>
  <c r="C7872" i="1"/>
  <c r="D7872" i="1"/>
  <c r="E7872" i="1"/>
  <c r="F7872" i="1"/>
  <c r="G7872" i="1"/>
  <c r="I7872" i="1"/>
  <c r="J7872" i="1"/>
  <c r="K7872" i="1"/>
  <c r="L7872" i="1"/>
  <c r="M7872" i="1"/>
  <c r="N7872" i="1"/>
  <c r="O7872" i="1"/>
  <c r="P7872" i="1"/>
  <c r="Q7872" i="1"/>
  <c r="R7872" i="1"/>
  <c r="S7872" i="1"/>
  <c r="T7872" i="1"/>
  <c r="U7872" i="1"/>
  <c r="V7872" i="1"/>
  <c r="W7872" i="1"/>
  <c r="X7872" i="1"/>
  <c r="Y7872" i="1"/>
  <c r="Z7872" i="1"/>
  <c r="A7873" i="1"/>
  <c r="B7873" i="1"/>
  <c r="C7873" i="1"/>
  <c r="D7873" i="1"/>
  <c r="E7873" i="1"/>
  <c r="F7873" i="1"/>
  <c r="G7873" i="1"/>
  <c r="I7873" i="1"/>
  <c r="J7873" i="1"/>
  <c r="K7873" i="1"/>
  <c r="L7873" i="1"/>
  <c r="M7873" i="1"/>
  <c r="N7873" i="1"/>
  <c r="O7873" i="1"/>
  <c r="P7873" i="1"/>
  <c r="Q7873" i="1"/>
  <c r="R7873" i="1"/>
  <c r="S7873" i="1"/>
  <c r="T7873" i="1"/>
  <c r="U7873" i="1"/>
  <c r="V7873" i="1"/>
  <c r="W7873" i="1"/>
  <c r="X7873" i="1"/>
  <c r="Y7873" i="1"/>
  <c r="Z7873" i="1"/>
  <c r="A7874" i="1"/>
  <c r="B7874" i="1"/>
  <c r="C7874" i="1"/>
  <c r="D7874" i="1"/>
  <c r="E7874" i="1"/>
  <c r="F7874" i="1"/>
  <c r="G7874" i="1"/>
  <c r="I7874" i="1"/>
  <c r="J7874" i="1"/>
  <c r="K7874" i="1"/>
  <c r="L7874" i="1"/>
  <c r="M7874" i="1"/>
  <c r="N7874" i="1"/>
  <c r="O7874" i="1"/>
  <c r="P7874" i="1"/>
  <c r="Q7874" i="1"/>
  <c r="R7874" i="1"/>
  <c r="S7874" i="1"/>
  <c r="T7874" i="1"/>
  <c r="U7874" i="1"/>
  <c r="V7874" i="1"/>
  <c r="W7874" i="1"/>
  <c r="X7874" i="1"/>
  <c r="Y7874" i="1"/>
  <c r="Z7874" i="1"/>
  <c r="A7875" i="1"/>
  <c r="B7875" i="1"/>
  <c r="C7875" i="1"/>
  <c r="D7875" i="1"/>
  <c r="E7875" i="1"/>
  <c r="F7875" i="1"/>
  <c r="G7875" i="1"/>
  <c r="I7875" i="1"/>
  <c r="J7875" i="1"/>
  <c r="K7875" i="1"/>
  <c r="L7875" i="1"/>
  <c r="M7875" i="1"/>
  <c r="N7875" i="1"/>
  <c r="O7875" i="1"/>
  <c r="P7875" i="1"/>
  <c r="Q7875" i="1"/>
  <c r="R7875" i="1"/>
  <c r="S7875" i="1"/>
  <c r="T7875" i="1"/>
  <c r="U7875" i="1"/>
  <c r="V7875" i="1"/>
  <c r="W7875" i="1"/>
  <c r="X7875" i="1"/>
  <c r="Y7875" i="1"/>
  <c r="Z7875" i="1"/>
  <c r="A7876" i="1"/>
  <c r="B7876" i="1"/>
  <c r="C7876" i="1"/>
  <c r="D7876" i="1"/>
  <c r="E7876" i="1"/>
  <c r="F7876" i="1"/>
  <c r="G7876" i="1"/>
  <c r="I7876" i="1"/>
  <c r="J7876" i="1"/>
  <c r="K7876" i="1"/>
  <c r="L7876" i="1"/>
  <c r="M7876" i="1"/>
  <c r="N7876" i="1"/>
  <c r="O7876" i="1"/>
  <c r="P7876" i="1"/>
  <c r="Q7876" i="1"/>
  <c r="R7876" i="1"/>
  <c r="S7876" i="1"/>
  <c r="T7876" i="1"/>
  <c r="U7876" i="1"/>
  <c r="V7876" i="1"/>
  <c r="W7876" i="1"/>
  <c r="X7876" i="1"/>
  <c r="Y7876" i="1"/>
  <c r="Z7876" i="1"/>
  <c r="A7877" i="1"/>
  <c r="B7877" i="1"/>
  <c r="C7877" i="1"/>
  <c r="D7877" i="1"/>
  <c r="E7877" i="1"/>
  <c r="F7877" i="1"/>
  <c r="G7877" i="1"/>
  <c r="I7877" i="1"/>
  <c r="J7877" i="1"/>
  <c r="K7877" i="1"/>
  <c r="L7877" i="1"/>
  <c r="M7877" i="1"/>
  <c r="N7877" i="1"/>
  <c r="O7877" i="1"/>
  <c r="P7877" i="1"/>
  <c r="Q7877" i="1"/>
  <c r="R7877" i="1"/>
  <c r="S7877" i="1"/>
  <c r="T7877" i="1"/>
  <c r="U7877" i="1"/>
  <c r="V7877" i="1"/>
  <c r="W7877" i="1"/>
  <c r="X7877" i="1"/>
  <c r="Y7877" i="1"/>
  <c r="Z7877" i="1"/>
  <c r="A7878" i="1"/>
  <c r="B7878" i="1"/>
  <c r="C7878" i="1"/>
  <c r="D7878" i="1"/>
  <c r="E7878" i="1"/>
  <c r="F7878" i="1"/>
  <c r="G7878" i="1"/>
  <c r="I7878" i="1"/>
  <c r="J7878" i="1"/>
  <c r="K7878" i="1"/>
  <c r="L7878" i="1"/>
  <c r="M7878" i="1"/>
  <c r="N7878" i="1"/>
  <c r="O7878" i="1"/>
  <c r="P7878" i="1"/>
  <c r="Q7878" i="1"/>
  <c r="R7878" i="1"/>
  <c r="S7878" i="1"/>
  <c r="T7878" i="1"/>
  <c r="U7878" i="1"/>
  <c r="V7878" i="1"/>
  <c r="W7878" i="1"/>
  <c r="X7878" i="1"/>
  <c r="Y7878" i="1"/>
  <c r="Z7878" i="1"/>
  <c r="A7879" i="1"/>
  <c r="B7879" i="1"/>
  <c r="C7879" i="1"/>
  <c r="D7879" i="1"/>
  <c r="E7879" i="1"/>
  <c r="F7879" i="1"/>
  <c r="G7879" i="1"/>
  <c r="I7879" i="1"/>
  <c r="J7879" i="1"/>
  <c r="K7879" i="1"/>
  <c r="L7879" i="1"/>
  <c r="M7879" i="1"/>
  <c r="N7879" i="1"/>
  <c r="O7879" i="1"/>
  <c r="P7879" i="1"/>
  <c r="Q7879" i="1"/>
  <c r="R7879" i="1"/>
  <c r="S7879" i="1"/>
  <c r="T7879" i="1"/>
  <c r="U7879" i="1"/>
  <c r="V7879" i="1"/>
  <c r="W7879" i="1"/>
  <c r="X7879" i="1"/>
  <c r="Y7879" i="1"/>
  <c r="Z7879" i="1"/>
  <c r="A7880" i="1"/>
  <c r="B7880" i="1"/>
  <c r="C7880" i="1"/>
  <c r="D7880" i="1"/>
  <c r="E7880" i="1"/>
  <c r="F7880" i="1"/>
  <c r="G7880" i="1"/>
  <c r="I7880" i="1"/>
  <c r="J7880" i="1"/>
  <c r="K7880" i="1"/>
  <c r="L7880" i="1"/>
  <c r="M7880" i="1"/>
  <c r="N7880" i="1"/>
  <c r="O7880" i="1"/>
  <c r="P7880" i="1"/>
  <c r="Q7880" i="1"/>
  <c r="R7880" i="1"/>
  <c r="S7880" i="1"/>
  <c r="T7880" i="1"/>
  <c r="U7880" i="1"/>
  <c r="V7880" i="1"/>
  <c r="W7880" i="1"/>
  <c r="X7880" i="1"/>
  <c r="Y7880" i="1"/>
  <c r="Z7880" i="1"/>
  <c r="A7881" i="1"/>
  <c r="B7881" i="1"/>
  <c r="C7881" i="1"/>
  <c r="D7881" i="1"/>
  <c r="E7881" i="1"/>
  <c r="F7881" i="1"/>
  <c r="G7881" i="1"/>
  <c r="I7881" i="1"/>
  <c r="J7881" i="1"/>
  <c r="K7881" i="1"/>
  <c r="L7881" i="1"/>
  <c r="M7881" i="1"/>
  <c r="N7881" i="1"/>
  <c r="O7881" i="1"/>
  <c r="P7881" i="1"/>
  <c r="Q7881" i="1"/>
  <c r="R7881" i="1"/>
  <c r="S7881" i="1"/>
  <c r="T7881" i="1"/>
  <c r="U7881" i="1"/>
  <c r="V7881" i="1"/>
  <c r="W7881" i="1"/>
  <c r="X7881" i="1"/>
  <c r="Y7881" i="1"/>
  <c r="Z7881" i="1"/>
  <c r="A7882" i="1"/>
  <c r="B7882" i="1"/>
  <c r="C7882" i="1"/>
  <c r="D7882" i="1"/>
  <c r="E7882" i="1"/>
  <c r="F7882" i="1"/>
  <c r="G7882" i="1"/>
  <c r="I7882" i="1"/>
  <c r="J7882" i="1"/>
  <c r="K7882" i="1"/>
  <c r="L7882" i="1"/>
  <c r="M7882" i="1"/>
  <c r="N7882" i="1"/>
  <c r="O7882" i="1"/>
  <c r="P7882" i="1"/>
  <c r="Q7882" i="1"/>
  <c r="R7882" i="1"/>
  <c r="S7882" i="1"/>
  <c r="T7882" i="1"/>
  <c r="U7882" i="1"/>
  <c r="V7882" i="1"/>
  <c r="W7882" i="1"/>
  <c r="X7882" i="1"/>
  <c r="Y7882" i="1"/>
  <c r="Z7882" i="1"/>
  <c r="A7883" i="1"/>
  <c r="B7883" i="1"/>
  <c r="C7883" i="1"/>
  <c r="D7883" i="1"/>
  <c r="E7883" i="1"/>
  <c r="F7883" i="1"/>
  <c r="G7883" i="1"/>
  <c r="I7883" i="1"/>
  <c r="J7883" i="1"/>
  <c r="K7883" i="1"/>
  <c r="L7883" i="1"/>
  <c r="M7883" i="1"/>
  <c r="N7883" i="1"/>
  <c r="O7883" i="1"/>
  <c r="P7883" i="1"/>
  <c r="Q7883" i="1"/>
  <c r="R7883" i="1"/>
  <c r="S7883" i="1"/>
  <c r="T7883" i="1"/>
  <c r="U7883" i="1"/>
  <c r="V7883" i="1"/>
  <c r="W7883" i="1"/>
  <c r="X7883" i="1"/>
  <c r="Y7883" i="1"/>
  <c r="Z7883" i="1"/>
  <c r="A7884" i="1"/>
  <c r="B7884" i="1"/>
  <c r="C7884" i="1"/>
  <c r="D7884" i="1"/>
  <c r="E7884" i="1"/>
  <c r="F7884" i="1"/>
  <c r="G7884" i="1"/>
  <c r="I7884" i="1"/>
  <c r="J7884" i="1"/>
  <c r="K7884" i="1"/>
  <c r="L7884" i="1"/>
  <c r="M7884" i="1"/>
  <c r="N7884" i="1"/>
  <c r="O7884" i="1"/>
  <c r="P7884" i="1"/>
  <c r="Q7884" i="1"/>
  <c r="R7884" i="1"/>
  <c r="S7884" i="1"/>
  <c r="T7884" i="1"/>
  <c r="U7884" i="1"/>
  <c r="V7884" i="1"/>
  <c r="W7884" i="1"/>
  <c r="X7884" i="1"/>
  <c r="Y7884" i="1"/>
  <c r="Z7884" i="1"/>
  <c r="A7885" i="1"/>
  <c r="B7885" i="1"/>
  <c r="C7885" i="1"/>
  <c r="D7885" i="1"/>
  <c r="E7885" i="1"/>
  <c r="F7885" i="1"/>
  <c r="G7885" i="1"/>
  <c r="I7885" i="1"/>
  <c r="J7885" i="1"/>
  <c r="K7885" i="1"/>
  <c r="L7885" i="1"/>
  <c r="M7885" i="1"/>
  <c r="N7885" i="1"/>
  <c r="O7885" i="1"/>
  <c r="P7885" i="1"/>
  <c r="Q7885" i="1"/>
  <c r="R7885" i="1"/>
  <c r="S7885" i="1"/>
  <c r="T7885" i="1"/>
  <c r="U7885" i="1"/>
  <c r="V7885" i="1"/>
  <c r="W7885" i="1"/>
  <c r="X7885" i="1"/>
  <c r="Y7885" i="1"/>
  <c r="Z7885" i="1"/>
  <c r="A7886" i="1"/>
  <c r="B7886" i="1"/>
  <c r="C7886" i="1"/>
  <c r="D7886" i="1"/>
  <c r="E7886" i="1"/>
  <c r="F7886" i="1"/>
  <c r="G7886" i="1"/>
  <c r="I7886" i="1"/>
  <c r="J7886" i="1"/>
  <c r="K7886" i="1"/>
  <c r="L7886" i="1"/>
  <c r="M7886" i="1"/>
  <c r="N7886" i="1"/>
  <c r="O7886" i="1"/>
  <c r="P7886" i="1"/>
  <c r="Q7886" i="1"/>
  <c r="R7886" i="1"/>
  <c r="S7886" i="1"/>
  <c r="T7886" i="1"/>
  <c r="U7886" i="1"/>
  <c r="V7886" i="1"/>
  <c r="W7886" i="1"/>
  <c r="X7886" i="1"/>
  <c r="Y7886" i="1"/>
  <c r="Z7886" i="1"/>
  <c r="A7887" i="1"/>
  <c r="B7887" i="1"/>
  <c r="C7887" i="1"/>
  <c r="D7887" i="1"/>
  <c r="E7887" i="1"/>
  <c r="F7887" i="1"/>
  <c r="G7887" i="1"/>
  <c r="I7887" i="1"/>
  <c r="J7887" i="1"/>
  <c r="K7887" i="1"/>
  <c r="L7887" i="1"/>
  <c r="M7887" i="1"/>
  <c r="N7887" i="1"/>
  <c r="O7887" i="1"/>
  <c r="P7887" i="1"/>
  <c r="Q7887" i="1"/>
  <c r="R7887" i="1"/>
  <c r="S7887" i="1"/>
  <c r="T7887" i="1"/>
  <c r="U7887" i="1"/>
  <c r="V7887" i="1"/>
  <c r="W7887" i="1"/>
  <c r="X7887" i="1"/>
  <c r="Y7887" i="1"/>
  <c r="Z7887" i="1"/>
  <c r="A7888" i="1"/>
  <c r="B7888" i="1"/>
  <c r="C7888" i="1"/>
  <c r="D7888" i="1"/>
  <c r="E7888" i="1"/>
  <c r="F7888" i="1"/>
  <c r="G7888" i="1"/>
  <c r="I7888" i="1"/>
  <c r="J7888" i="1"/>
  <c r="K7888" i="1"/>
  <c r="L7888" i="1"/>
  <c r="M7888" i="1"/>
  <c r="N7888" i="1"/>
  <c r="O7888" i="1"/>
  <c r="P7888" i="1"/>
  <c r="Q7888" i="1"/>
  <c r="R7888" i="1"/>
  <c r="S7888" i="1"/>
  <c r="T7888" i="1"/>
  <c r="U7888" i="1"/>
  <c r="V7888" i="1"/>
  <c r="W7888" i="1"/>
  <c r="X7888" i="1"/>
  <c r="Y7888" i="1"/>
  <c r="Z7888" i="1"/>
  <c r="A7889" i="1"/>
  <c r="B7889" i="1"/>
  <c r="C7889" i="1"/>
  <c r="D7889" i="1"/>
  <c r="E7889" i="1"/>
  <c r="F7889" i="1"/>
  <c r="G7889" i="1"/>
  <c r="I7889" i="1"/>
  <c r="J7889" i="1"/>
  <c r="K7889" i="1"/>
  <c r="L7889" i="1"/>
  <c r="M7889" i="1"/>
  <c r="N7889" i="1"/>
  <c r="O7889" i="1"/>
  <c r="P7889" i="1"/>
  <c r="Q7889" i="1"/>
  <c r="R7889" i="1"/>
  <c r="S7889" i="1"/>
  <c r="T7889" i="1"/>
  <c r="U7889" i="1"/>
  <c r="V7889" i="1"/>
  <c r="W7889" i="1"/>
  <c r="X7889" i="1"/>
  <c r="Y7889" i="1"/>
  <c r="Z7889" i="1"/>
  <c r="A7890" i="1"/>
  <c r="B7890" i="1"/>
  <c r="C7890" i="1"/>
  <c r="D7890" i="1"/>
  <c r="E7890" i="1"/>
  <c r="F7890" i="1"/>
  <c r="G7890" i="1"/>
  <c r="I7890" i="1"/>
  <c r="J7890" i="1"/>
  <c r="K7890" i="1"/>
  <c r="L7890" i="1"/>
  <c r="M7890" i="1"/>
  <c r="N7890" i="1"/>
  <c r="O7890" i="1"/>
  <c r="P7890" i="1"/>
  <c r="Q7890" i="1"/>
  <c r="R7890" i="1"/>
  <c r="S7890" i="1"/>
  <c r="T7890" i="1"/>
  <c r="U7890" i="1"/>
  <c r="V7890" i="1"/>
  <c r="W7890" i="1"/>
  <c r="X7890" i="1"/>
  <c r="Y7890" i="1"/>
  <c r="Z7890" i="1"/>
  <c r="A7891" i="1"/>
  <c r="B7891" i="1"/>
  <c r="C7891" i="1"/>
  <c r="D7891" i="1"/>
  <c r="E7891" i="1"/>
  <c r="F7891" i="1"/>
  <c r="G7891" i="1"/>
  <c r="I7891" i="1"/>
  <c r="J7891" i="1"/>
  <c r="K7891" i="1"/>
  <c r="L7891" i="1"/>
  <c r="M7891" i="1"/>
  <c r="N7891" i="1"/>
  <c r="O7891" i="1"/>
  <c r="P7891" i="1"/>
  <c r="Q7891" i="1"/>
  <c r="R7891" i="1"/>
  <c r="S7891" i="1"/>
  <c r="T7891" i="1"/>
  <c r="U7891" i="1"/>
  <c r="V7891" i="1"/>
  <c r="W7891" i="1"/>
  <c r="X7891" i="1"/>
  <c r="Y7891" i="1"/>
  <c r="Z7891" i="1"/>
  <c r="A7892" i="1"/>
  <c r="B7892" i="1"/>
  <c r="C7892" i="1"/>
  <c r="D7892" i="1"/>
  <c r="E7892" i="1"/>
  <c r="F7892" i="1"/>
  <c r="G7892" i="1"/>
  <c r="I7892" i="1"/>
  <c r="J7892" i="1"/>
  <c r="K7892" i="1"/>
  <c r="L7892" i="1"/>
  <c r="M7892" i="1"/>
  <c r="N7892" i="1"/>
  <c r="O7892" i="1"/>
  <c r="P7892" i="1"/>
  <c r="Q7892" i="1"/>
  <c r="R7892" i="1"/>
  <c r="S7892" i="1"/>
  <c r="T7892" i="1"/>
  <c r="U7892" i="1"/>
  <c r="V7892" i="1"/>
  <c r="W7892" i="1"/>
  <c r="X7892" i="1"/>
  <c r="Y7892" i="1"/>
  <c r="Z7892" i="1"/>
  <c r="A7893" i="1"/>
  <c r="B7893" i="1"/>
  <c r="C7893" i="1"/>
  <c r="D7893" i="1"/>
  <c r="E7893" i="1"/>
  <c r="F7893" i="1"/>
  <c r="G7893" i="1"/>
  <c r="I7893" i="1"/>
  <c r="J7893" i="1"/>
  <c r="K7893" i="1"/>
  <c r="L7893" i="1"/>
  <c r="M7893" i="1"/>
  <c r="N7893" i="1"/>
  <c r="O7893" i="1"/>
  <c r="P7893" i="1"/>
  <c r="Q7893" i="1"/>
  <c r="R7893" i="1"/>
  <c r="S7893" i="1"/>
  <c r="T7893" i="1"/>
  <c r="U7893" i="1"/>
  <c r="V7893" i="1"/>
  <c r="W7893" i="1"/>
  <c r="X7893" i="1"/>
  <c r="Y7893" i="1"/>
  <c r="Z7893" i="1"/>
  <c r="A7894" i="1"/>
  <c r="B7894" i="1"/>
  <c r="C7894" i="1"/>
  <c r="D7894" i="1"/>
  <c r="E7894" i="1"/>
  <c r="F7894" i="1"/>
  <c r="G7894" i="1"/>
  <c r="I7894" i="1"/>
  <c r="J7894" i="1"/>
  <c r="K7894" i="1"/>
  <c r="L7894" i="1"/>
  <c r="M7894" i="1"/>
  <c r="N7894" i="1"/>
  <c r="O7894" i="1"/>
  <c r="P7894" i="1"/>
  <c r="Q7894" i="1"/>
  <c r="R7894" i="1"/>
  <c r="S7894" i="1"/>
  <c r="T7894" i="1"/>
  <c r="U7894" i="1"/>
  <c r="V7894" i="1"/>
  <c r="W7894" i="1"/>
  <c r="X7894" i="1"/>
  <c r="Y7894" i="1"/>
  <c r="Z7894" i="1"/>
  <c r="A7895" i="1"/>
  <c r="B7895" i="1"/>
  <c r="C7895" i="1"/>
  <c r="D7895" i="1"/>
  <c r="E7895" i="1"/>
  <c r="F7895" i="1"/>
  <c r="G7895" i="1"/>
  <c r="I7895" i="1"/>
  <c r="J7895" i="1"/>
  <c r="K7895" i="1"/>
  <c r="L7895" i="1"/>
  <c r="M7895" i="1"/>
  <c r="N7895" i="1"/>
  <c r="O7895" i="1"/>
  <c r="P7895" i="1"/>
  <c r="Q7895" i="1"/>
  <c r="R7895" i="1"/>
  <c r="S7895" i="1"/>
  <c r="T7895" i="1"/>
  <c r="U7895" i="1"/>
  <c r="V7895" i="1"/>
  <c r="W7895" i="1"/>
  <c r="X7895" i="1"/>
  <c r="Y7895" i="1"/>
  <c r="Z7895" i="1"/>
  <c r="A7896" i="1"/>
  <c r="B7896" i="1"/>
  <c r="C7896" i="1"/>
  <c r="D7896" i="1"/>
  <c r="E7896" i="1"/>
  <c r="F7896" i="1"/>
  <c r="G7896" i="1"/>
  <c r="I7896" i="1"/>
  <c r="J7896" i="1"/>
  <c r="K7896" i="1"/>
  <c r="L7896" i="1"/>
  <c r="M7896" i="1"/>
  <c r="N7896" i="1"/>
  <c r="O7896" i="1"/>
  <c r="P7896" i="1"/>
  <c r="Q7896" i="1"/>
  <c r="R7896" i="1"/>
  <c r="S7896" i="1"/>
  <c r="T7896" i="1"/>
  <c r="U7896" i="1"/>
  <c r="V7896" i="1"/>
  <c r="W7896" i="1"/>
  <c r="X7896" i="1"/>
  <c r="Y7896" i="1"/>
  <c r="Z7896" i="1"/>
  <c r="A7897" i="1"/>
  <c r="B7897" i="1"/>
  <c r="C7897" i="1"/>
  <c r="D7897" i="1"/>
  <c r="E7897" i="1"/>
  <c r="F7897" i="1"/>
  <c r="G7897" i="1"/>
  <c r="I7897" i="1"/>
  <c r="J7897" i="1"/>
  <c r="K7897" i="1"/>
  <c r="L7897" i="1"/>
  <c r="M7897" i="1"/>
  <c r="N7897" i="1"/>
  <c r="O7897" i="1"/>
  <c r="P7897" i="1"/>
  <c r="Q7897" i="1"/>
  <c r="R7897" i="1"/>
  <c r="S7897" i="1"/>
  <c r="T7897" i="1"/>
  <c r="U7897" i="1"/>
  <c r="V7897" i="1"/>
  <c r="W7897" i="1"/>
  <c r="X7897" i="1"/>
  <c r="Y7897" i="1"/>
  <c r="Z7897" i="1"/>
  <c r="A7898" i="1"/>
  <c r="B7898" i="1"/>
  <c r="C7898" i="1"/>
  <c r="D7898" i="1"/>
  <c r="E7898" i="1"/>
  <c r="F7898" i="1"/>
  <c r="G7898" i="1"/>
  <c r="I7898" i="1"/>
  <c r="J7898" i="1"/>
  <c r="K7898" i="1"/>
  <c r="L7898" i="1"/>
  <c r="M7898" i="1"/>
  <c r="N7898" i="1"/>
  <c r="O7898" i="1"/>
  <c r="P7898" i="1"/>
  <c r="Q7898" i="1"/>
  <c r="R7898" i="1"/>
  <c r="S7898" i="1"/>
  <c r="T7898" i="1"/>
  <c r="U7898" i="1"/>
  <c r="V7898" i="1"/>
  <c r="W7898" i="1"/>
  <c r="X7898" i="1"/>
  <c r="Y7898" i="1"/>
  <c r="Z7898" i="1"/>
  <c r="A7899" i="1"/>
  <c r="B7899" i="1"/>
  <c r="C7899" i="1"/>
  <c r="D7899" i="1"/>
  <c r="E7899" i="1"/>
  <c r="F7899" i="1"/>
  <c r="G7899" i="1"/>
  <c r="I7899" i="1"/>
  <c r="J7899" i="1"/>
  <c r="K7899" i="1"/>
  <c r="L7899" i="1"/>
  <c r="M7899" i="1"/>
  <c r="N7899" i="1"/>
  <c r="O7899" i="1"/>
  <c r="P7899" i="1"/>
  <c r="Q7899" i="1"/>
  <c r="R7899" i="1"/>
  <c r="S7899" i="1"/>
  <c r="T7899" i="1"/>
  <c r="U7899" i="1"/>
  <c r="V7899" i="1"/>
  <c r="W7899" i="1"/>
  <c r="X7899" i="1"/>
  <c r="Y7899" i="1"/>
  <c r="Z7899" i="1"/>
  <c r="A7900" i="1"/>
  <c r="B7900" i="1"/>
  <c r="C7900" i="1"/>
  <c r="D7900" i="1"/>
  <c r="E7900" i="1"/>
  <c r="F7900" i="1"/>
  <c r="G7900" i="1"/>
  <c r="I7900" i="1"/>
  <c r="J7900" i="1"/>
  <c r="K7900" i="1"/>
  <c r="L7900" i="1"/>
  <c r="M7900" i="1"/>
  <c r="N7900" i="1"/>
  <c r="O7900" i="1"/>
  <c r="P7900" i="1"/>
  <c r="Q7900" i="1"/>
  <c r="R7900" i="1"/>
  <c r="S7900" i="1"/>
  <c r="T7900" i="1"/>
  <c r="U7900" i="1"/>
  <c r="V7900" i="1"/>
  <c r="W7900" i="1"/>
  <c r="X7900" i="1"/>
  <c r="Y7900" i="1"/>
  <c r="Z7900" i="1"/>
  <c r="A7901" i="1"/>
  <c r="B7901" i="1"/>
  <c r="C7901" i="1"/>
  <c r="D7901" i="1"/>
  <c r="E7901" i="1"/>
  <c r="F7901" i="1"/>
  <c r="G7901" i="1"/>
  <c r="I7901" i="1"/>
  <c r="J7901" i="1"/>
  <c r="K7901" i="1"/>
  <c r="L7901" i="1"/>
  <c r="M7901" i="1"/>
  <c r="N7901" i="1"/>
  <c r="O7901" i="1"/>
  <c r="P7901" i="1"/>
  <c r="Q7901" i="1"/>
  <c r="R7901" i="1"/>
  <c r="S7901" i="1"/>
  <c r="T7901" i="1"/>
  <c r="U7901" i="1"/>
  <c r="V7901" i="1"/>
  <c r="W7901" i="1"/>
  <c r="X7901" i="1"/>
  <c r="Y7901" i="1"/>
  <c r="Z7901" i="1"/>
  <c r="A7902" i="1"/>
  <c r="B7902" i="1"/>
  <c r="C7902" i="1"/>
  <c r="D7902" i="1"/>
  <c r="E7902" i="1"/>
  <c r="F7902" i="1"/>
  <c r="G7902" i="1"/>
  <c r="I7902" i="1"/>
  <c r="J7902" i="1"/>
  <c r="K7902" i="1"/>
  <c r="L7902" i="1"/>
  <c r="M7902" i="1"/>
  <c r="N7902" i="1"/>
  <c r="O7902" i="1"/>
  <c r="P7902" i="1"/>
  <c r="Q7902" i="1"/>
  <c r="R7902" i="1"/>
  <c r="S7902" i="1"/>
  <c r="T7902" i="1"/>
  <c r="U7902" i="1"/>
  <c r="V7902" i="1"/>
  <c r="W7902" i="1"/>
  <c r="X7902" i="1"/>
  <c r="Y7902" i="1"/>
  <c r="Z7902" i="1"/>
  <c r="A7903" i="1"/>
  <c r="B7903" i="1"/>
  <c r="C7903" i="1"/>
  <c r="D7903" i="1"/>
  <c r="E7903" i="1"/>
  <c r="F7903" i="1"/>
  <c r="G7903" i="1"/>
  <c r="I7903" i="1"/>
  <c r="J7903" i="1"/>
  <c r="K7903" i="1"/>
  <c r="L7903" i="1"/>
  <c r="M7903" i="1"/>
  <c r="N7903" i="1"/>
  <c r="O7903" i="1"/>
  <c r="P7903" i="1"/>
  <c r="Q7903" i="1"/>
  <c r="R7903" i="1"/>
  <c r="S7903" i="1"/>
  <c r="T7903" i="1"/>
  <c r="U7903" i="1"/>
  <c r="V7903" i="1"/>
  <c r="W7903" i="1"/>
  <c r="X7903" i="1"/>
  <c r="Y7903" i="1"/>
  <c r="Z7903" i="1"/>
  <c r="A7904" i="1"/>
  <c r="B7904" i="1"/>
  <c r="C7904" i="1"/>
  <c r="D7904" i="1"/>
  <c r="E7904" i="1"/>
  <c r="F7904" i="1"/>
  <c r="G7904" i="1"/>
  <c r="I7904" i="1"/>
  <c r="J7904" i="1"/>
  <c r="K7904" i="1"/>
  <c r="L7904" i="1"/>
  <c r="M7904" i="1"/>
  <c r="N7904" i="1"/>
  <c r="O7904" i="1"/>
  <c r="P7904" i="1"/>
  <c r="Q7904" i="1"/>
  <c r="R7904" i="1"/>
  <c r="S7904" i="1"/>
  <c r="T7904" i="1"/>
  <c r="U7904" i="1"/>
  <c r="V7904" i="1"/>
  <c r="W7904" i="1"/>
  <c r="X7904" i="1"/>
  <c r="Y7904" i="1"/>
  <c r="Z7904" i="1"/>
  <c r="A7905" i="1"/>
  <c r="B7905" i="1"/>
  <c r="C7905" i="1"/>
  <c r="D7905" i="1"/>
  <c r="E7905" i="1"/>
  <c r="F7905" i="1"/>
  <c r="G7905" i="1"/>
  <c r="I7905" i="1"/>
  <c r="J7905" i="1"/>
  <c r="K7905" i="1"/>
  <c r="L7905" i="1"/>
  <c r="M7905" i="1"/>
  <c r="N7905" i="1"/>
  <c r="O7905" i="1"/>
  <c r="P7905" i="1"/>
  <c r="Q7905" i="1"/>
  <c r="R7905" i="1"/>
  <c r="S7905" i="1"/>
  <c r="T7905" i="1"/>
  <c r="U7905" i="1"/>
  <c r="V7905" i="1"/>
  <c r="W7905" i="1"/>
  <c r="X7905" i="1"/>
  <c r="Y7905" i="1"/>
  <c r="Z7905" i="1"/>
  <c r="A7906" i="1"/>
  <c r="B7906" i="1"/>
  <c r="C7906" i="1"/>
  <c r="D7906" i="1"/>
  <c r="E7906" i="1"/>
  <c r="F7906" i="1"/>
  <c r="G7906" i="1"/>
  <c r="I7906" i="1"/>
  <c r="J7906" i="1"/>
  <c r="K7906" i="1"/>
  <c r="L7906" i="1"/>
  <c r="M7906" i="1"/>
  <c r="N7906" i="1"/>
  <c r="O7906" i="1"/>
  <c r="P7906" i="1"/>
  <c r="Q7906" i="1"/>
  <c r="R7906" i="1"/>
  <c r="S7906" i="1"/>
  <c r="T7906" i="1"/>
  <c r="U7906" i="1"/>
  <c r="V7906" i="1"/>
  <c r="W7906" i="1"/>
  <c r="X7906" i="1"/>
  <c r="Y7906" i="1"/>
  <c r="Z7906" i="1"/>
  <c r="A7907" i="1"/>
  <c r="B7907" i="1"/>
  <c r="C7907" i="1"/>
  <c r="D7907" i="1"/>
  <c r="E7907" i="1"/>
  <c r="F7907" i="1"/>
  <c r="G7907" i="1"/>
  <c r="I7907" i="1"/>
  <c r="J7907" i="1"/>
  <c r="K7907" i="1"/>
  <c r="L7907" i="1"/>
  <c r="M7907" i="1"/>
  <c r="N7907" i="1"/>
  <c r="O7907" i="1"/>
  <c r="P7907" i="1"/>
  <c r="Q7907" i="1"/>
  <c r="R7907" i="1"/>
  <c r="S7907" i="1"/>
  <c r="T7907" i="1"/>
  <c r="U7907" i="1"/>
  <c r="V7907" i="1"/>
  <c r="W7907" i="1"/>
  <c r="X7907" i="1"/>
  <c r="Y7907" i="1"/>
  <c r="Z7907" i="1"/>
  <c r="A7908" i="1"/>
  <c r="B7908" i="1"/>
  <c r="C7908" i="1"/>
  <c r="D7908" i="1"/>
  <c r="E7908" i="1"/>
  <c r="F7908" i="1"/>
  <c r="G7908" i="1"/>
  <c r="I7908" i="1"/>
  <c r="J7908" i="1"/>
  <c r="K7908" i="1"/>
  <c r="L7908" i="1"/>
  <c r="M7908" i="1"/>
  <c r="N7908" i="1"/>
  <c r="O7908" i="1"/>
  <c r="P7908" i="1"/>
  <c r="Q7908" i="1"/>
  <c r="R7908" i="1"/>
  <c r="S7908" i="1"/>
  <c r="T7908" i="1"/>
  <c r="U7908" i="1"/>
  <c r="V7908" i="1"/>
  <c r="W7908" i="1"/>
  <c r="X7908" i="1"/>
  <c r="Y7908" i="1"/>
  <c r="Z7908" i="1"/>
  <c r="A7909" i="1"/>
  <c r="B7909" i="1"/>
  <c r="C7909" i="1"/>
  <c r="D7909" i="1"/>
  <c r="E7909" i="1"/>
  <c r="F7909" i="1"/>
  <c r="G7909" i="1"/>
  <c r="I7909" i="1"/>
  <c r="J7909" i="1"/>
  <c r="K7909" i="1"/>
  <c r="L7909" i="1"/>
  <c r="M7909" i="1"/>
  <c r="N7909" i="1"/>
  <c r="O7909" i="1"/>
  <c r="P7909" i="1"/>
  <c r="Q7909" i="1"/>
  <c r="R7909" i="1"/>
  <c r="S7909" i="1"/>
  <c r="T7909" i="1"/>
  <c r="U7909" i="1"/>
  <c r="V7909" i="1"/>
  <c r="W7909" i="1"/>
  <c r="X7909" i="1"/>
  <c r="Y7909" i="1"/>
  <c r="Z7909" i="1"/>
  <c r="A7910" i="1"/>
  <c r="B7910" i="1"/>
  <c r="C7910" i="1"/>
  <c r="D7910" i="1"/>
  <c r="E7910" i="1"/>
  <c r="F7910" i="1"/>
  <c r="G7910" i="1"/>
  <c r="I7910" i="1"/>
  <c r="J7910" i="1"/>
  <c r="K7910" i="1"/>
  <c r="L7910" i="1"/>
  <c r="M7910" i="1"/>
  <c r="N7910" i="1"/>
  <c r="O7910" i="1"/>
  <c r="P7910" i="1"/>
  <c r="Q7910" i="1"/>
  <c r="R7910" i="1"/>
  <c r="S7910" i="1"/>
  <c r="T7910" i="1"/>
  <c r="U7910" i="1"/>
  <c r="V7910" i="1"/>
  <c r="W7910" i="1"/>
  <c r="X7910" i="1"/>
  <c r="Y7910" i="1"/>
  <c r="Z7910" i="1"/>
  <c r="A7911" i="1"/>
  <c r="B7911" i="1"/>
  <c r="C7911" i="1"/>
  <c r="D7911" i="1"/>
  <c r="E7911" i="1"/>
  <c r="F7911" i="1"/>
  <c r="G7911" i="1"/>
  <c r="I7911" i="1"/>
  <c r="J7911" i="1"/>
  <c r="K7911" i="1"/>
  <c r="L7911" i="1"/>
  <c r="M7911" i="1"/>
  <c r="N7911" i="1"/>
  <c r="O7911" i="1"/>
  <c r="P7911" i="1"/>
  <c r="Q7911" i="1"/>
  <c r="R7911" i="1"/>
  <c r="S7911" i="1"/>
  <c r="T7911" i="1"/>
  <c r="U7911" i="1"/>
  <c r="V7911" i="1"/>
  <c r="W7911" i="1"/>
  <c r="X7911" i="1"/>
  <c r="Y7911" i="1"/>
  <c r="Z7911" i="1"/>
  <c r="A7912" i="1"/>
  <c r="B7912" i="1"/>
  <c r="C7912" i="1"/>
  <c r="D7912" i="1"/>
  <c r="E7912" i="1"/>
  <c r="F7912" i="1"/>
  <c r="G7912" i="1"/>
  <c r="I7912" i="1"/>
  <c r="J7912" i="1"/>
  <c r="K7912" i="1"/>
  <c r="L7912" i="1"/>
  <c r="M7912" i="1"/>
  <c r="N7912" i="1"/>
  <c r="O7912" i="1"/>
  <c r="P7912" i="1"/>
  <c r="Q7912" i="1"/>
  <c r="R7912" i="1"/>
  <c r="S7912" i="1"/>
  <c r="T7912" i="1"/>
  <c r="U7912" i="1"/>
  <c r="V7912" i="1"/>
  <c r="W7912" i="1"/>
  <c r="X7912" i="1"/>
  <c r="Y7912" i="1"/>
  <c r="Z7912" i="1"/>
  <c r="A7913" i="1"/>
  <c r="B7913" i="1"/>
  <c r="C7913" i="1"/>
  <c r="D7913" i="1"/>
  <c r="E7913" i="1"/>
  <c r="F7913" i="1"/>
  <c r="G7913" i="1"/>
  <c r="I7913" i="1"/>
  <c r="J7913" i="1"/>
  <c r="K7913" i="1"/>
  <c r="L7913" i="1"/>
  <c r="M7913" i="1"/>
  <c r="N7913" i="1"/>
  <c r="O7913" i="1"/>
  <c r="P7913" i="1"/>
  <c r="Q7913" i="1"/>
  <c r="R7913" i="1"/>
  <c r="S7913" i="1"/>
  <c r="T7913" i="1"/>
  <c r="U7913" i="1"/>
  <c r="V7913" i="1"/>
  <c r="W7913" i="1"/>
  <c r="X7913" i="1"/>
  <c r="Y7913" i="1"/>
  <c r="Z7913" i="1"/>
  <c r="A7914" i="1"/>
  <c r="B7914" i="1"/>
  <c r="C7914" i="1"/>
  <c r="D7914" i="1"/>
  <c r="E7914" i="1"/>
  <c r="F7914" i="1"/>
  <c r="G7914" i="1"/>
  <c r="I7914" i="1"/>
  <c r="J7914" i="1"/>
  <c r="K7914" i="1"/>
  <c r="L7914" i="1"/>
  <c r="M7914" i="1"/>
  <c r="N7914" i="1"/>
  <c r="O7914" i="1"/>
  <c r="P7914" i="1"/>
  <c r="Q7914" i="1"/>
  <c r="R7914" i="1"/>
  <c r="S7914" i="1"/>
  <c r="T7914" i="1"/>
  <c r="U7914" i="1"/>
  <c r="V7914" i="1"/>
  <c r="W7914" i="1"/>
  <c r="X7914" i="1"/>
  <c r="Y7914" i="1"/>
  <c r="Z7914" i="1"/>
  <c r="A7915" i="1"/>
  <c r="B7915" i="1"/>
  <c r="C7915" i="1"/>
  <c r="D7915" i="1"/>
  <c r="E7915" i="1"/>
  <c r="F7915" i="1"/>
  <c r="G7915" i="1"/>
  <c r="I7915" i="1"/>
  <c r="J7915" i="1"/>
  <c r="K7915" i="1"/>
  <c r="L7915" i="1"/>
  <c r="M7915" i="1"/>
  <c r="N7915" i="1"/>
  <c r="O7915" i="1"/>
  <c r="P7915" i="1"/>
  <c r="Q7915" i="1"/>
  <c r="R7915" i="1"/>
  <c r="S7915" i="1"/>
  <c r="T7915" i="1"/>
  <c r="U7915" i="1"/>
  <c r="V7915" i="1"/>
  <c r="W7915" i="1"/>
  <c r="X7915" i="1"/>
  <c r="Y7915" i="1"/>
  <c r="Z7915" i="1"/>
  <c r="A7916" i="1"/>
  <c r="B7916" i="1"/>
  <c r="C7916" i="1"/>
  <c r="D7916" i="1"/>
  <c r="E7916" i="1"/>
  <c r="F7916" i="1"/>
  <c r="G7916" i="1"/>
  <c r="I7916" i="1"/>
  <c r="J7916" i="1"/>
  <c r="K7916" i="1"/>
  <c r="L7916" i="1"/>
  <c r="M7916" i="1"/>
  <c r="N7916" i="1"/>
  <c r="O7916" i="1"/>
  <c r="P7916" i="1"/>
  <c r="Q7916" i="1"/>
  <c r="R7916" i="1"/>
  <c r="S7916" i="1"/>
  <c r="T7916" i="1"/>
  <c r="U7916" i="1"/>
  <c r="V7916" i="1"/>
  <c r="W7916" i="1"/>
  <c r="X7916" i="1"/>
  <c r="Y7916" i="1"/>
  <c r="Z7916" i="1"/>
  <c r="A7917" i="1"/>
  <c r="B7917" i="1"/>
  <c r="C7917" i="1"/>
  <c r="D7917" i="1"/>
  <c r="E7917" i="1"/>
  <c r="F7917" i="1"/>
  <c r="G7917" i="1"/>
  <c r="I7917" i="1"/>
  <c r="J7917" i="1"/>
  <c r="K7917" i="1"/>
  <c r="L7917" i="1"/>
  <c r="M7917" i="1"/>
  <c r="N7917" i="1"/>
  <c r="O7917" i="1"/>
  <c r="P7917" i="1"/>
  <c r="Q7917" i="1"/>
  <c r="R7917" i="1"/>
  <c r="S7917" i="1"/>
  <c r="T7917" i="1"/>
  <c r="U7917" i="1"/>
  <c r="V7917" i="1"/>
  <c r="W7917" i="1"/>
  <c r="X7917" i="1"/>
  <c r="Y7917" i="1"/>
  <c r="Z7917" i="1"/>
  <c r="A7918" i="1"/>
  <c r="B7918" i="1"/>
  <c r="C7918" i="1"/>
  <c r="D7918" i="1"/>
  <c r="E7918" i="1"/>
  <c r="F7918" i="1"/>
  <c r="G7918" i="1"/>
  <c r="I7918" i="1"/>
  <c r="J7918" i="1"/>
  <c r="K7918" i="1"/>
  <c r="L7918" i="1"/>
  <c r="M7918" i="1"/>
  <c r="N7918" i="1"/>
  <c r="O7918" i="1"/>
  <c r="P7918" i="1"/>
  <c r="Q7918" i="1"/>
  <c r="R7918" i="1"/>
  <c r="S7918" i="1"/>
  <c r="T7918" i="1"/>
  <c r="U7918" i="1"/>
  <c r="V7918" i="1"/>
  <c r="W7918" i="1"/>
  <c r="X7918" i="1"/>
  <c r="Y7918" i="1"/>
  <c r="Z7918" i="1"/>
  <c r="A7919" i="1"/>
  <c r="B7919" i="1"/>
  <c r="C7919" i="1"/>
  <c r="D7919" i="1"/>
  <c r="E7919" i="1"/>
  <c r="F7919" i="1"/>
  <c r="G7919" i="1"/>
  <c r="I7919" i="1"/>
  <c r="J7919" i="1"/>
  <c r="K7919" i="1"/>
  <c r="L7919" i="1"/>
  <c r="M7919" i="1"/>
  <c r="N7919" i="1"/>
  <c r="O7919" i="1"/>
  <c r="P7919" i="1"/>
  <c r="Q7919" i="1"/>
  <c r="R7919" i="1"/>
  <c r="S7919" i="1"/>
  <c r="T7919" i="1"/>
  <c r="U7919" i="1"/>
  <c r="V7919" i="1"/>
  <c r="W7919" i="1"/>
  <c r="X7919" i="1"/>
  <c r="Y7919" i="1"/>
  <c r="Z7919" i="1"/>
  <c r="A7920" i="1"/>
  <c r="B7920" i="1"/>
  <c r="C7920" i="1"/>
  <c r="D7920" i="1"/>
  <c r="E7920" i="1"/>
  <c r="F7920" i="1"/>
  <c r="G7920" i="1"/>
  <c r="I7920" i="1"/>
  <c r="J7920" i="1"/>
  <c r="K7920" i="1"/>
  <c r="L7920" i="1"/>
  <c r="M7920" i="1"/>
  <c r="N7920" i="1"/>
  <c r="O7920" i="1"/>
  <c r="P7920" i="1"/>
  <c r="Q7920" i="1"/>
  <c r="R7920" i="1"/>
  <c r="S7920" i="1"/>
  <c r="T7920" i="1"/>
  <c r="U7920" i="1"/>
  <c r="V7920" i="1"/>
  <c r="W7920" i="1"/>
  <c r="X7920" i="1"/>
  <c r="Y7920" i="1"/>
  <c r="Z7920" i="1"/>
  <c r="A7921" i="1"/>
  <c r="B7921" i="1"/>
  <c r="C7921" i="1"/>
  <c r="D7921" i="1"/>
  <c r="E7921" i="1"/>
  <c r="F7921" i="1"/>
  <c r="G7921" i="1"/>
  <c r="I7921" i="1"/>
  <c r="J7921" i="1"/>
  <c r="K7921" i="1"/>
  <c r="L7921" i="1"/>
  <c r="M7921" i="1"/>
  <c r="N7921" i="1"/>
  <c r="O7921" i="1"/>
  <c r="P7921" i="1"/>
  <c r="Q7921" i="1"/>
  <c r="R7921" i="1"/>
  <c r="S7921" i="1"/>
  <c r="T7921" i="1"/>
  <c r="U7921" i="1"/>
  <c r="V7921" i="1"/>
  <c r="W7921" i="1"/>
  <c r="X7921" i="1"/>
  <c r="Y7921" i="1"/>
  <c r="Z7921" i="1"/>
  <c r="A7922" i="1"/>
  <c r="B7922" i="1"/>
  <c r="C7922" i="1"/>
  <c r="D7922" i="1"/>
  <c r="E7922" i="1"/>
  <c r="F7922" i="1"/>
  <c r="G7922" i="1"/>
  <c r="I7922" i="1"/>
  <c r="J7922" i="1"/>
  <c r="K7922" i="1"/>
  <c r="L7922" i="1"/>
  <c r="M7922" i="1"/>
  <c r="N7922" i="1"/>
  <c r="O7922" i="1"/>
  <c r="P7922" i="1"/>
  <c r="Q7922" i="1"/>
  <c r="R7922" i="1"/>
  <c r="S7922" i="1"/>
  <c r="T7922" i="1"/>
  <c r="U7922" i="1"/>
  <c r="V7922" i="1"/>
  <c r="W7922" i="1"/>
  <c r="X7922" i="1"/>
  <c r="Y7922" i="1"/>
  <c r="Z7922" i="1"/>
  <c r="A7923" i="1"/>
  <c r="B7923" i="1"/>
  <c r="C7923" i="1"/>
  <c r="D7923" i="1"/>
  <c r="E7923" i="1"/>
  <c r="F7923" i="1"/>
  <c r="G7923" i="1"/>
  <c r="I7923" i="1"/>
  <c r="J7923" i="1"/>
  <c r="K7923" i="1"/>
  <c r="L7923" i="1"/>
  <c r="M7923" i="1"/>
  <c r="N7923" i="1"/>
  <c r="O7923" i="1"/>
  <c r="P7923" i="1"/>
  <c r="Q7923" i="1"/>
  <c r="R7923" i="1"/>
  <c r="S7923" i="1"/>
  <c r="T7923" i="1"/>
  <c r="U7923" i="1"/>
  <c r="V7923" i="1"/>
  <c r="W7923" i="1"/>
  <c r="X7923" i="1"/>
  <c r="Y7923" i="1"/>
  <c r="Z7923" i="1"/>
  <c r="A7924" i="1"/>
  <c r="B7924" i="1"/>
  <c r="C7924" i="1"/>
  <c r="D7924" i="1"/>
  <c r="E7924" i="1"/>
  <c r="F7924" i="1"/>
  <c r="G7924" i="1"/>
  <c r="I7924" i="1"/>
  <c r="J7924" i="1"/>
  <c r="K7924" i="1"/>
  <c r="L7924" i="1"/>
  <c r="M7924" i="1"/>
  <c r="N7924" i="1"/>
  <c r="O7924" i="1"/>
  <c r="P7924" i="1"/>
  <c r="Q7924" i="1"/>
  <c r="R7924" i="1"/>
  <c r="S7924" i="1"/>
  <c r="T7924" i="1"/>
  <c r="U7924" i="1"/>
  <c r="V7924" i="1"/>
  <c r="W7924" i="1"/>
  <c r="X7924" i="1"/>
  <c r="Y7924" i="1"/>
  <c r="Z7924" i="1"/>
  <c r="A7925" i="1"/>
  <c r="B7925" i="1"/>
  <c r="C7925" i="1"/>
  <c r="D7925" i="1"/>
  <c r="E7925" i="1"/>
  <c r="F7925" i="1"/>
  <c r="G7925" i="1"/>
  <c r="I7925" i="1"/>
  <c r="J7925" i="1"/>
  <c r="K7925" i="1"/>
  <c r="L7925" i="1"/>
  <c r="M7925" i="1"/>
  <c r="N7925" i="1"/>
  <c r="O7925" i="1"/>
  <c r="P7925" i="1"/>
  <c r="Q7925" i="1"/>
  <c r="R7925" i="1"/>
  <c r="S7925" i="1"/>
  <c r="T7925" i="1"/>
  <c r="U7925" i="1"/>
  <c r="V7925" i="1"/>
  <c r="W7925" i="1"/>
  <c r="X7925" i="1"/>
  <c r="Y7925" i="1"/>
  <c r="Z7925" i="1"/>
  <c r="A7926" i="1"/>
  <c r="B7926" i="1"/>
  <c r="C7926" i="1"/>
  <c r="D7926" i="1"/>
  <c r="E7926" i="1"/>
  <c r="F7926" i="1"/>
  <c r="G7926" i="1"/>
  <c r="I7926" i="1"/>
  <c r="J7926" i="1"/>
  <c r="K7926" i="1"/>
  <c r="L7926" i="1"/>
  <c r="M7926" i="1"/>
  <c r="N7926" i="1"/>
  <c r="O7926" i="1"/>
  <c r="P7926" i="1"/>
  <c r="Q7926" i="1"/>
  <c r="R7926" i="1"/>
  <c r="S7926" i="1"/>
  <c r="T7926" i="1"/>
  <c r="U7926" i="1"/>
  <c r="V7926" i="1"/>
  <c r="W7926" i="1"/>
  <c r="X7926" i="1"/>
  <c r="Y7926" i="1"/>
  <c r="Z7926" i="1"/>
  <c r="A7927" i="1"/>
  <c r="B7927" i="1"/>
  <c r="C7927" i="1"/>
  <c r="D7927" i="1"/>
  <c r="E7927" i="1"/>
  <c r="F7927" i="1"/>
  <c r="G7927" i="1"/>
  <c r="I7927" i="1"/>
  <c r="J7927" i="1"/>
  <c r="K7927" i="1"/>
  <c r="L7927" i="1"/>
  <c r="M7927" i="1"/>
  <c r="N7927" i="1"/>
  <c r="O7927" i="1"/>
  <c r="P7927" i="1"/>
  <c r="Q7927" i="1"/>
  <c r="R7927" i="1"/>
  <c r="S7927" i="1"/>
  <c r="T7927" i="1"/>
  <c r="U7927" i="1"/>
  <c r="V7927" i="1"/>
  <c r="W7927" i="1"/>
  <c r="X7927" i="1"/>
  <c r="Y7927" i="1"/>
  <c r="Z7927" i="1"/>
  <c r="A7928" i="1"/>
  <c r="B7928" i="1"/>
  <c r="C7928" i="1"/>
  <c r="D7928" i="1"/>
  <c r="E7928" i="1"/>
  <c r="F7928" i="1"/>
  <c r="G7928" i="1"/>
  <c r="I7928" i="1"/>
  <c r="J7928" i="1"/>
  <c r="K7928" i="1"/>
  <c r="L7928" i="1"/>
  <c r="M7928" i="1"/>
  <c r="N7928" i="1"/>
  <c r="O7928" i="1"/>
  <c r="P7928" i="1"/>
  <c r="Q7928" i="1"/>
  <c r="R7928" i="1"/>
  <c r="S7928" i="1"/>
  <c r="T7928" i="1"/>
  <c r="U7928" i="1"/>
  <c r="V7928" i="1"/>
  <c r="W7928" i="1"/>
  <c r="X7928" i="1"/>
  <c r="Y7928" i="1"/>
  <c r="Z7928" i="1"/>
  <c r="A7929" i="1"/>
  <c r="B7929" i="1"/>
  <c r="C7929" i="1"/>
  <c r="D7929" i="1"/>
  <c r="E7929" i="1"/>
  <c r="F7929" i="1"/>
  <c r="G7929" i="1"/>
  <c r="I7929" i="1"/>
  <c r="J7929" i="1"/>
  <c r="K7929" i="1"/>
  <c r="L7929" i="1"/>
  <c r="M7929" i="1"/>
  <c r="N7929" i="1"/>
  <c r="O7929" i="1"/>
  <c r="P7929" i="1"/>
  <c r="Q7929" i="1"/>
  <c r="R7929" i="1"/>
  <c r="S7929" i="1"/>
  <c r="T7929" i="1"/>
  <c r="U7929" i="1"/>
  <c r="V7929" i="1"/>
  <c r="W7929" i="1"/>
  <c r="X7929" i="1"/>
  <c r="Y7929" i="1"/>
  <c r="Z7929" i="1"/>
  <c r="A7930" i="1"/>
  <c r="B7930" i="1"/>
  <c r="C7930" i="1"/>
  <c r="D7930" i="1"/>
  <c r="E7930" i="1"/>
  <c r="F7930" i="1"/>
  <c r="G7930" i="1"/>
  <c r="I7930" i="1"/>
  <c r="J7930" i="1"/>
  <c r="K7930" i="1"/>
  <c r="L7930" i="1"/>
  <c r="M7930" i="1"/>
  <c r="N7930" i="1"/>
  <c r="O7930" i="1"/>
  <c r="P7930" i="1"/>
  <c r="Q7930" i="1"/>
  <c r="R7930" i="1"/>
  <c r="S7930" i="1"/>
  <c r="T7930" i="1"/>
  <c r="U7930" i="1"/>
  <c r="V7930" i="1"/>
  <c r="W7930" i="1"/>
  <c r="X7930" i="1"/>
  <c r="Y7930" i="1"/>
  <c r="Z7930" i="1"/>
  <c r="A7931" i="1"/>
  <c r="B7931" i="1"/>
  <c r="C7931" i="1"/>
  <c r="D7931" i="1"/>
  <c r="E7931" i="1"/>
  <c r="F7931" i="1"/>
  <c r="G7931" i="1"/>
  <c r="I7931" i="1"/>
  <c r="J7931" i="1"/>
  <c r="K7931" i="1"/>
  <c r="L7931" i="1"/>
  <c r="M7931" i="1"/>
  <c r="N7931" i="1"/>
  <c r="O7931" i="1"/>
  <c r="P7931" i="1"/>
  <c r="Q7931" i="1"/>
  <c r="R7931" i="1"/>
  <c r="S7931" i="1"/>
  <c r="T7931" i="1"/>
  <c r="U7931" i="1"/>
  <c r="V7931" i="1"/>
  <c r="W7931" i="1"/>
  <c r="X7931" i="1"/>
  <c r="Y7931" i="1"/>
  <c r="Z7931" i="1"/>
  <c r="A7932" i="1"/>
  <c r="B7932" i="1"/>
  <c r="C7932" i="1"/>
  <c r="D7932" i="1"/>
  <c r="E7932" i="1"/>
  <c r="F7932" i="1"/>
  <c r="G7932" i="1"/>
  <c r="I7932" i="1"/>
  <c r="J7932" i="1"/>
  <c r="K7932" i="1"/>
  <c r="L7932" i="1"/>
  <c r="M7932" i="1"/>
  <c r="N7932" i="1"/>
  <c r="O7932" i="1"/>
  <c r="P7932" i="1"/>
  <c r="Q7932" i="1"/>
  <c r="R7932" i="1"/>
  <c r="S7932" i="1"/>
  <c r="T7932" i="1"/>
  <c r="U7932" i="1"/>
  <c r="V7932" i="1"/>
  <c r="W7932" i="1"/>
  <c r="X7932" i="1"/>
  <c r="Y7932" i="1"/>
  <c r="Z7932" i="1"/>
  <c r="A7933" i="1"/>
  <c r="B7933" i="1"/>
  <c r="C7933" i="1"/>
  <c r="D7933" i="1"/>
  <c r="E7933" i="1"/>
  <c r="F7933" i="1"/>
  <c r="G7933" i="1"/>
  <c r="I7933" i="1"/>
  <c r="J7933" i="1"/>
  <c r="K7933" i="1"/>
  <c r="L7933" i="1"/>
  <c r="M7933" i="1"/>
  <c r="N7933" i="1"/>
  <c r="O7933" i="1"/>
  <c r="P7933" i="1"/>
  <c r="Q7933" i="1"/>
  <c r="R7933" i="1"/>
  <c r="S7933" i="1"/>
  <c r="T7933" i="1"/>
  <c r="U7933" i="1"/>
  <c r="V7933" i="1"/>
  <c r="W7933" i="1"/>
  <c r="X7933" i="1"/>
  <c r="Y7933" i="1"/>
  <c r="Z7933" i="1"/>
  <c r="A7934" i="1"/>
  <c r="B7934" i="1"/>
  <c r="C7934" i="1"/>
  <c r="D7934" i="1"/>
  <c r="E7934" i="1"/>
  <c r="F7934" i="1"/>
  <c r="G7934" i="1"/>
  <c r="I7934" i="1"/>
  <c r="J7934" i="1"/>
  <c r="K7934" i="1"/>
  <c r="L7934" i="1"/>
  <c r="M7934" i="1"/>
  <c r="N7934" i="1"/>
  <c r="O7934" i="1"/>
  <c r="P7934" i="1"/>
  <c r="Q7934" i="1"/>
  <c r="R7934" i="1"/>
  <c r="S7934" i="1"/>
  <c r="T7934" i="1"/>
  <c r="U7934" i="1"/>
  <c r="V7934" i="1"/>
  <c r="W7934" i="1"/>
  <c r="X7934" i="1"/>
  <c r="Y7934" i="1"/>
  <c r="Z7934" i="1"/>
  <c r="A7935" i="1"/>
  <c r="B7935" i="1"/>
  <c r="C7935" i="1"/>
  <c r="D7935" i="1"/>
  <c r="E7935" i="1"/>
  <c r="F7935" i="1"/>
  <c r="G7935" i="1"/>
  <c r="I7935" i="1"/>
  <c r="J7935" i="1"/>
  <c r="K7935" i="1"/>
  <c r="L7935" i="1"/>
  <c r="M7935" i="1"/>
  <c r="N7935" i="1"/>
  <c r="O7935" i="1"/>
  <c r="P7935" i="1"/>
  <c r="Q7935" i="1"/>
  <c r="R7935" i="1"/>
  <c r="S7935" i="1"/>
  <c r="T7935" i="1"/>
  <c r="U7935" i="1"/>
  <c r="V7935" i="1"/>
  <c r="W7935" i="1"/>
  <c r="X7935" i="1"/>
  <c r="Y7935" i="1"/>
  <c r="Z7935" i="1"/>
  <c r="A7936" i="1"/>
  <c r="B7936" i="1"/>
  <c r="C7936" i="1"/>
  <c r="D7936" i="1"/>
  <c r="E7936" i="1"/>
  <c r="F7936" i="1"/>
  <c r="G7936" i="1"/>
  <c r="I7936" i="1"/>
  <c r="J7936" i="1"/>
  <c r="K7936" i="1"/>
  <c r="L7936" i="1"/>
  <c r="M7936" i="1"/>
  <c r="N7936" i="1"/>
  <c r="O7936" i="1"/>
  <c r="P7936" i="1"/>
  <c r="Q7936" i="1"/>
  <c r="R7936" i="1"/>
  <c r="S7936" i="1"/>
  <c r="T7936" i="1"/>
  <c r="U7936" i="1"/>
  <c r="V7936" i="1"/>
  <c r="W7936" i="1"/>
  <c r="X7936" i="1"/>
  <c r="Y7936" i="1"/>
  <c r="Z7936" i="1"/>
  <c r="A7937" i="1"/>
  <c r="B7937" i="1"/>
  <c r="C7937" i="1"/>
  <c r="D7937" i="1"/>
  <c r="E7937" i="1"/>
  <c r="F7937" i="1"/>
  <c r="G7937" i="1"/>
  <c r="I7937" i="1"/>
  <c r="J7937" i="1"/>
  <c r="K7937" i="1"/>
  <c r="L7937" i="1"/>
  <c r="M7937" i="1"/>
  <c r="N7937" i="1"/>
  <c r="O7937" i="1"/>
  <c r="P7937" i="1"/>
  <c r="Q7937" i="1"/>
  <c r="R7937" i="1"/>
  <c r="S7937" i="1"/>
  <c r="T7937" i="1"/>
  <c r="U7937" i="1"/>
  <c r="V7937" i="1"/>
  <c r="W7937" i="1"/>
  <c r="X7937" i="1"/>
  <c r="Y7937" i="1"/>
  <c r="Z7937" i="1"/>
  <c r="A7938" i="1"/>
  <c r="B7938" i="1"/>
  <c r="C7938" i="1"/>
  <c r="D7938" i="1"/>
  <c r="E7938" i="1"/>
  <c r="F7938" i="1"/>
  <c r="G7938" i="1"/>
  <c r="I7938" i="1"/>
  <c r="J7938" i="1"/>
  <c r="K7938" i="1"/>
  <c r="L7938" i="1"/>
  <c r="M7938" i="1"/>
  <c r="N7938" i="1"/>
  <c r="O7938" i="1"/>
  <c r="P7938" i="1"/>
  <c r="Q7938" i="1"/>
  <c r="R7938" i="1"/>
  <c r="S7938" i="1"/>
  <c r="T7938" i="1"/>
  <c r="U7938" i="1"/>
  <c r="V7938" i="1"/>
  <c r="W7938" i="1"/>
  <c r="X7938" i="1"/>
  <c r="Y7938" i="1"/>
  <c r="Z7938" i="1"/>
  <c r="A7939" i="1"/>
  <c r="B7939" i="1"/>
  <c r="C7939" i="1"/>
  <c r="D7939" i="1"/>
  <c r="E7939" i="1"/>
  <c r="F7939" i="1"/>
  <c r="G7939" i="1"/>
  <c r="I7939" i="1"/>
  <c r="J7939" i="1"/>
  <c r="K7939" i="1"/>
  <c r="L7939" i="1"/>
  <c r="M7939" i="1"/>
  <c r="N7939" i="1"/>
  <c r="O7939" i="1"/>
  <c r="P7939" i="1"/>
  <c r="Q7939" i="1"/>
  <c r="R7939" i="1"/>
  <c r="S7939" i="1"/>
  <c r="T7939" i="1"/>
  <c r="U7939" i="1"/>
  <c r="V7939" i="1"/>
  <c r="W7939" i="1"/>
  <c r="X7939" i="1"/>
  <c r="Y7939" i="1"/>
  <c r="Z7939" i="1"/>
  <c r="A7940" i="1"/>
  <c r="B7940" i="1"/>
  <c r="C7940" i="1"/>
  <c r="D7940" i="1"/>
  <c r="E7940" i="1"/>
  <c r="F7940" i="1"/>
  <c r="G7940" i="1"/>
  <c r="I7940" i="1"/>
  <c r="J7940" i="1"/>
  <c r="K7940" i="1"/>
  <c r="L7940" i="1"/>
  <c r="M7940" i="1"/>
  <c r="N7940" i="1"/>
  <c r="O7940" i="1"/>
  <c r="P7940" i="1"/>
  <c r="Q7940" i="1"/>
  <c r="R7940" i="1"/>
  <c r="S7940" i="1"/>
  <c r="T7940" i="1"/>
  <c r="U7940" i="1"/>
  <c r="V7940" i="1"/>
  <c r="W7940" i="1"/>
  <c r="X7940" i="1"/>
  <c r="Y7940" i="1"/>
  <c r="Z7940" i="1"/>
  <c r="A7941" i="1"/>
  <c r="B7941" i="1"/>
  <c r="C7941" i="1"/>
  <c r="D7941" i="1"/>
  <c r="E7941" i="1"/>
  <c r="F7941" i="1"/>
  <c r="G7941" i="1"/>
  <c r="I7941" i="1"/>
  <c r="J7941" i="1"/>
  <c r="K7941" i="1"/>
  <c r="L7941" i="1"/>
  <c r="M7941" i="1"/>
  <c r="N7941" i="1"/>
  <c r="O7941" i="1"/>
  <c r="P7941" i="1"/>
  <c r="Q7941" i="1"/>
  <c r="R7941" i="1"/>
  <c r="S7941" i="1"/>
  <c r="T7941" i="1"/>
  <c r="U7941" i="1"/>
  <c r="V7941" i="1"/>
  <c r="W7941" i="1"/>
  <c r="X7941" i="1"/>
  <c r="Y7941" i="1"/>
  <c r="Z7941" i="1"/>
  <c r="A7942" i="1"/>
  <c r="B7942" i="1"/>
  <c r="C7942" i="1"/>
  <c r="D7942" i="1"/>
  <c r="E7942" i="1"/>
  <c r="F7942" i="1"/>
  <c r="G7942" i="1"/>
  <c r="I7942" i="1"/>
  <c r="J7942" i="1"/>
  <c r="K7942" i="1"/>
  <c r="L7942" i="1"/>
  <c r="M7942" i="1"/>
  <c r="N7942" i="1"/>
  <c r="O7942" i="1"/>
  <c r="P7942" i="1"/>
  <c r="Q7942" i="1"/>
  <c r="R7942" i="1"/>
  <c r="S7942" i="1"/>
  <c r="T7942" i="1"/>
  <c r="U7942" i="1"/>
  <c r="V7942" i="1"/>
  <c r="W7942" i="1"/>
  <c r="X7942" i="1"/>
  <c r="Y7942" i="1"/>
  <c r="Z7942" i="1"/>
  <c r="A7943" i="1"/>
  <c r="B7943" i="1"/>
  <c r="C7943" i="1"/>
  <c r="D7943" i="1"/>
  <c r="E7943" i="1"/>
  <c r="F7943" i="1"/>
  <c r="G7943" i="1"/>
  <c r="I7943" i="1"/>
  <c r="J7943" i="1"/>
  <c r="K7943" i="1"/>
  <c r="L7943" i="1"/>
  <c r="M7943" i="1"/>
  <c r="N7943" i="1"/>
  <c r="O7943" i="1"/>
  <c r="P7943" i="1"/>
  <c r="Q7943" i="1"/>
  <c r="R7943" i="1"/>
  <c r="S7943" i="1"/>
  <c r="T7943" i="1"/>
  <c r="U7943" i="1"/>
  <c r="V7943" i="1"/>
  <c r="W7943" i="1"/>
  <c r="X7943" i="1"/>
  <c r="Y7943" i="1"/>
  <c r="Z7943" i="1"/>
  <c r="A7944" i="1"/>
  <c r="B7944" i="1"/>
  <c r="C7944" i="1"/>
  <c r="D7944" i="1"/>
  <c r="E7944" i="1"/>
  <c r="F7944" i="1"/>
  <c r="G7944" i="1"/>
  <c r="I7944" i="1"/>
  <c r="J7944" i="1"/>
  <c r="K7944" i="1"/>
  <c r="L7944" i="1"/>
  <c r="M7944" i="1"/>
  <c r="N7944" i="1"/>
  <c r="O7944" i="1"/>
  <c r="P7944" i="1"/>
  <c r="Q7944" i="1"/>
  <c r="R7944" i="1"/>
  <c r="S7944" i="1"/>
  <c r="T7944" i="1"/>
  <c r="U7944" i="1"/>
  <c r="V7944" i="1"/>
  <c r="W7944" i="1"/>
  <c r="X7944" i="1"/>
  <c r="Y7944" i="1"/>
  <c r="Z7944" i="1"/>
  <c r="A7945" i="1"/>
  <c r="B7945" i="1"/>
  <c r="C7945" i="1"/>
  <c r="D7945" i="1"/>
  <c r="E7945" i="1"/>
  <c r="F7945" i="1"/>
  <c r="G7945" i="1"/>
  <c r="I7945" i="1"/>
  <c r="J7945" i="1"/>
  <c r="K7945" i="1"/>
  <c r="L7945" i="1"/>
  <c r="M7945" i="1"/>
  <c r="N7945" i="1"/>
  <c r="O7945" i="1"/>
  <c r="P7945" i="1"/>
  <c r="Q7945" i="1"/>
  <c r="R7945" i="1"/>
  <c r="S7945" i="1"/>
  <c r="T7945" i="1"/>
  <c r="U7945" i="1"/>
  <c r="V7945" i="1"/>
  <c r="W7945" i="1"/>
  <c r="X7945" i="1"/>
  <c r="Y7945" i="1"/>
  <c r="Z7945" i="1"/>
  <c r="A7946" i="1"/>
  <c r="B7946" i="1"/>
  <c r="C7946" i="1"/>
  <c r="D7946" i="1"/>
  <c r="E7946" i="1"/>
  <c r="F7946" i="1"/>
  <c r="G7946" i="1"/>
  <c r="I7946" i="1"/>
  <c r="J7946" i="1"/>
  <c r="K7946" i="1"/>
  <c r="L7946" i="1"/>
  <c r="M7946" i="1"/>
  <c r="N7946" i="1"/>
  <c r="O7946" i="1"/>
  <c r="P7946" i="1"/>
  <c r="Q7946" i="1"/>
  <c r="R7946" i="1"/>
  <c r="S7946" i="1"/>
  <c r="T7946" i="1"/>
  <c r="U7946" i="1"/>
  <c r="V7946" i="1"/>
  <c r="W7946" i="1"/>
  <c r="X7946" i="1"/>
  <c r="Y7946" i="1"/>
  <c r="Z7946" i="1"/>
  <c r="A7947" i="1"/>
  <c r="B7947" i="1"/>
  <c r="C7947" i="1"/>
  <c r="D7947" i="1"/>
  <c r="E7947" i="1"/>
  <c r="F7947" i="1"/>
  <c r="G7947" i="1"/>
  <c r="I7947" i="1"/>
  <c r="J7947" i="1"/>
  <c r="K7947" i="1"/>
  <c r="L7947" i="1"/>
  <c r="M7947" i="1"/>
  <c r="N7947" i="1"/>
  <c r="O7947" i="1"/>
  <c r="P7947" i="1"/>
  <c r="Q7947" i="1"/>
  <c r="R7947" i="1"/>
  <c r="S7947" i="1"/>
  <c r="T7947" i="1"/>
  <c r="U7947" i="1"/>
  <c r="V7947" i="1"/>
  <c r="W7947" i="1"/>
  <c r="X7947" i="1"/>
  <c r="Y7947" i="1"/>
  <c r="Z7947" i="1"/>
  <c r="A7948" i="1"/>
  <c r="B7948" i="1"/>
  <c r="C7948" i="1"/>
  <c r="D7948" i="1"/>
  <c r="E7948" i="1"/>
  <c r="F7948" i="1"/>
  <c r="G7948" i="1"/>
  <c r="I7948" i="1"/>
  <c r="J7948" i="1"/>
  <c r="K7948" i="1"/>
  <c r="L7948" i="1"/>
  <c r="M7948" i="1"/>
  <c r="N7948" i="1"/>
  <c r="O7948" i="1"/>
  <c r="P7948" i="1"/>
  <c r="Q7948" i="1"/>
  <c r="R7948" i="1"/>
  <c r="S7948" i="1"/>
  <c r="T7948" i="1"/>
  <c r="U7948" i="1"/>
  <c r="V7948" i="1"/>
  <c r="W7948" i="1"/>
  <c r="X7948" i="1"/>
  <c r="Y7948" i="1"/>
  <c r="Z7948" i="1"/>
  <c r="A7949" i="1"/>
  <c r="B7949" i="1"/>
  <c r="C7949" i="1"/>
  <c r="D7949" i="1"/>
  <c r="E7949" i="1"/>
  <c r="F7949" i="1"/>
  <c r="G7949" i="1"/>
  <c r="I7949" i="1"/>
  <c r="J7949" i="1"/>
  <c r="K7949" i="1"/>
  <c r="L7949" i="1"/>
  <c r="M7949" i="1"/>
  <c r="N7949" i="1"/>
  <c r="O7949" i="1"/>
  <c r="P7949" i="1"/>
  <c r="Q7949" i="1"/>
  <c r="R7949" i="1"/>
  <c r="S7949" i="1"/>
  <c r="T7949" i="1"/>
  <c r="U7949" i="1"/>
  <c r="V7949" i="1"/>
  <c r="W7949" i="1"/>
  <c r="X7949" i="1"/>
  <c r="Y7949" i="1"/>
  <c r="Z7949" i="1"/>
  <c r="A7950" i="1"/>
  <c r="B7950" i="1"/>
  <c r="C7950" i="1"/>
  <c r="D7950" i="1"/>
  <c r="E7950" i="1"/>
  <c r="F7950" i="1"/>
  <c r="G7950" i="1"/>
  <c r="I7950" i="1"/>
  <c r="J7950" i="1"/>
  <c r="K7950" i="1"/>
  <c r="L7950" i="1"/>
  <c r="M7950" i="1"/>
  <c r="N7950" i="1"/>
  <c r="O7950" i="1"/>
  <c r="P7950" i="1"/>
  <c r="Q7950" i="1"/>
  <c r="R7950" i="1"/>
  <c r="S7950" i="1"/>
  <c r="T7950" i="1"/>
  <c r="U7950" i="1"/>
  <c r="V7950" i="1"/>
  <c r="W7950" i="1"/>
  <c r="X7950" i="1"/>
  <c r="Y7950" i="1"/>
  <c r="Z7950" i="1"/>
  <c r="A7951" i="1"/>
  <c r="B7951" i="1"/>
  <c r="C7951" i="1"/>
  <c r="D7951" i="1"/>
  <c r="E7951" i="1"/>
  <c r="F7951" i="1"/>
  <c r="G7951" i="1"/>
  <c r="I7951" i="1"/>
  <c r="J7951" i="1"/>
  <c r="K7951" i="1"/>
  <c r="L7951" i="1"/>
  <c r="M7951" i="1"/>
  <c r="N7951" i="1"/>
  <c r="O7951" i="1"/>
  <c r="P7951" i="1"/>
  <c r="Q7951" i="1"/>
  <c r="R7951" i="1"/>
  <c r="S7951" i="1"/>
  <c r="T7951" i="1"/>
  <c r="U7951" i="1"/>
  <c r="V7951" i="1"/>
  <c r="W7951" i="1"/>
  <c r="X7951" i="1"/>
  <c r="Y7951" i="1"/>
  <c r="Z7951" i="1"/>
  <c r="A7952" i="1"/>
  <c r="B7952" i="1"/>
  <c r="C7952" i="1"/>
  <c r="D7952" i="1"/>
  <c r="E7952" i="1"/>
  <c r="F7952" i="1"/>
  <c r="G7952" i="1"/>
  <c r="I7952" i="1"/>
  <c r="J7952" i="1"/>
  <c r="K7952" i="1"/>
  <c r="L7952" i="1"/>
  <c r="M7952" i="1"/>
  <c r="N7952" i="1"/>
  <c r="O7952" i="1"/>
  <c r="P7952" i="1"/>
  <c r="Q7952" i="1"/>
  <c r="R7952" i="1"/>
  <c r="S7952" i="1"/>
  <c r="T7952" i="1"/>
  <c r="U7952" i="1"/>
  <c r="V7952" i="1"/>
  <c r="W7952" i="1"/>
  <c r="X7952" i="1"/>
  <c r="Y7952" i="1"/>
  <c r="Z7952" i="1"/>
  <c r="A7953" i="1"/>
  <c r="B7953" i="1"/>
  <c r="C7953" i="1"/>
  <c r="D7953" i="1"/>
  <c r="E7953" i="1"/>
  <c r="F7953" i="1"/>
  <c r="G7953" i="1"/>
  <c r="I7953" i="1"/>
  <c r="J7953" i="1"/>
  <c r="K7953" i="1"/>
  <c r="L7953" i="1"/>
  <c r="M7953" i="1"/>
  <c r="N7953" i="1"/>
  <c r="O7953" i="1"/>
  <c r="P7953" i="1"/>
  <c r="Q7953" i="1"/>
  <c r="R7953" i="1"/>
  <c r="S7953" i="1"/>
  <c r="T7953" i="1"/>
  <c r="U7953" i="1"/>
  <c r="V7953" i="1"/>
  <c r="W7953" i="1"/>
  <c r="X7953" i="1"/>
  <c r="Y7953" i="1"/>
  <c r="Z7953" i="1"/>
  <c r="A7954" i="1"/>
  <c r="B7954" i="1"/>
  <c r="C7954" i="1"/>
  <c r="D7954" i="1"/>
  <c r="E7954" i="1"/>
  <c r="F7954" i="1"/>
  <c r="G7954" i="1"/>
  <c r="I7954" i="1"/>
  <c r="J7954" i="1"/>
  <c r="K7954" i="1"/>
  <c r="L7954" i="1"/>
  <c r="M7954" i="1"/>
  <c r="N7954" i="1"/>
  <c r="O7954" i="1"/>
  <c r="P7954" i="1"/>
  <c r="Q7954" i="1"/>
  <c r="R7954" i="1"/>
  <c r="S7954" i="1"/>
  <c r="T7954" i="1"/>
  <c r="U7954" i="1"/>
  <c r="V7954" i="1"/>
  <c r="W7954" i="1"/>
  <c r="X7954" i="1"/>
  <c r="Y7954" i="1"/>
  <c r="Z7954" i="1"/>
  <c r="A7955" i="1"/>
  <c r="B7955" i="1"/>
  <c r="C7955" i="1"/>
  <c r="D7955" i="1"/>
  <c r="E7955" i="1"/>
  <c r="F7955" i="1"/>
  <c r="G7955" i="1"/>
  <c r="I7955" i="1"/>
  <c r="J7955" i="1"/>
  <c r="K7955" i="1"/>
  <c r="L7955" i="1"/>
  <c r="M7955" i="1"/>
  <c r="N7955" i="1"/>
  <c r="O7955" i="1"/>
  <c r="P7955" i="1"/>
  <c r="Q7955" i="1"/>
  <c r="R7955" i="1"/>
  <c r="S7955" i="1"/>
  <c r="T7955" i="1"/>
  <c r="U7955" i="1"/>
  <c r="V7955" i="1"/>
  <c r="W7955" i="1"/>
  <c r="X7955" i="1"/>
  <c r="Y7955" i="1"/>
  <c r="Z7955" i="1"/>
  <c r="A7956" i="1"/>
  <c r="B7956" i="1"/>
  <c r="C7956" i="1"/>
  <c r="D7956" i="1"/>
  <c r="E7956" i="1"/>
  <c r="F7956" i="1"/>
  <c r="G7956" i="1"/>
  <c r="I7956" i="1"/>
  <c r="J7956" i="1"/>
  <c r="K7956" i="1"/>
  <c r="L7956" i="1"/>
  <c r="M7956" i="1"/>
  <c r="N7956" i="1"/>
  <c r="O7956" i="1"/>
  <c r="P7956" i="1"/>
  <c r="Q7956" i="1"/>
  <c r="R7956" i="1"/>
  <c r="S7956" i="1"/>
  <c r="T7956" i="1"/>
  <c r="U7956" i="1"/>
  <c r="V7956" i="1"/>
  <c r="W7956" i="1"/>
  <c r="X7956" i="1"/>
  <c r="Y7956" i="1"/>
  <c r="Z7956" i="1"/>
  <c r="A7957" i="1"/>
  <c r="B7957" i="1"/>
  <c r="C7957" i="1"/>
  <c r="D7957" i="1"/>
  <c r="E7957" i="1"/>
  <c r="F7957" i="1"/>
  <c r="G7957" i="1"/>
  <c r="I7957" i="1"/>
  <c r="J7957" i="1"/>
  <c r="K7957" i="1"/>
  <c r="L7957" i="1"/>
  <c r="M7957" i="1"/>
  <c r="N7957" i="1"/>
  <c r="O7957" i="1"/>
  <c r="P7957" i="1"/>
  <c r="Q7957" i="1"/>
  <c r="R7957" i="1"/>
  <c r="S7957" i="1"/>
  <c r="T7957" i="1"/>
  <c r="U7957" i="1"/>
  <c r="V7957" i="1"/>
  <c r="W7957" i="1"/>
  <c r="X7957" i="1"/>
  <c r="Y7957" i="1"/>
  <c r="Z7957" i="1"/>
  <c r="A7958" i="1"/>
  <c r="B7958" i="1"/>
  <c r="C7958" i="1"/>
  <c r="D7958" i="1"/>
  <c r="E7958" i="1"/>
  <c r="F7958" i="1"/>
  <c r="G7958" i="1"/>
  <c r="I7958" i="1"/>
  <c r="J7958" i="1"/>
  <c r="K7958" i="1"/>
  <c r="L7958" i="1"/>
  <c r="M7958" i="1"/>
  <c r="N7958" i="1"/>
  <c r="O7958" i="1"/>
  <c r="P7958" i="1"/>
  <c r="Q7958" i="1"/>
  <c r="R7958" i="1"/>
  <c r="S7958" i="1"/>
  <c r="T7958" i="1"/>
  <c r="U7958" i="1"/>
  <c r="V7958" i="1"/>
  <c r="W7958" i="1"/>
  <c r="X7958" i="1"/>
  <c r="Y7958" i="1"/>
  <c r="Z7958" i="1"/>
  <c r="A7959" i="1"/>
  <c r="B7959" i="1"/>
  <c r="C7959" i="1"/>
  <c r="D7959" i="1"/>
  <c r="E7959" i="1"/>
  <c r="F7959" i="1"/>
  <c r="G7959" i="1"/>
  <c r="I7959" i="1"/>
  <c r="J7959" i="1"/>
  <c r="K7959" i="1"/>
  <c r="L7959" i="1"/>
  <c r="M7959" i="1"/>
  <c r="N7959" i="1"/>
  <c r="O7959" i="1"/>
  <c r="P7959" i="1"/>
  <c r="Q7959" i="1"/>
  <c r="R7959" i="1"/>
  <c r="S7959" i="1"/>
  <c r="T7959" i="1"/>
  <c r="U7959" i="1"/>
  <c r="V7959" i="1"/>
  <c r="W7959" i="1"/>
  <c r="X7959" i="1"/>
  <c r="Y7959" i="1"/>
  <c r="Z7959" i="1"/>
  <c r="A7960" i="1"/>
  <c r="B7960" i="1"/>
  <c r="C7960" i="1"/>
  <c r="D7960" i="1"/>
  <c r="E7960" i="1"/>
  <c r="F7960" i="1"/>
  <c r="G7960" i="1"/>
  <c r="I7960" i="1"/>
  <c r="J7960" i="1"/>
  <c r="K7960" i="1"/>
  <c r="L7960" i="1"/>
  <c r="M7960" i="1"/>
  <c r="N7960" i="1"/>
  <c r="O7960" i="1"/>
  <c r="P7960" i="1"/>
  <c r="Q7960" i="1"/>
  <c r="R7960" i="1"/>
  <c r="S7960" i="1"/>
  <c r="T7960" i="1"/>
  <c r="U7960" i="1"/>
  <c r="V7960" i="1"/>
  <c r="W7960" i="1"/>
  <c r="X7960" i="1"/>
  <c r="Y7960" i="1"/>
  <c r="Z7960" i="1"/>
  <c r="A7961" i="1"/>
  <c r="B7961" i="1"/>
  <c r="C7961" i="1"/>
  <c r="D7961" i="1"/>
  <c r="E7961" i="1"/>
  <c r="F7961" i="1"/>
  <c r="G7961" i="1"/>
  <c r="I7961" i="1"/>
  <c r="J7961" i="1"/>
  <c r="K7961" i="1"/>
  <c r="L7961" i="1"/>
  <c r="M7961" i="1"/>
  <c r="N7961" i="1"/>
  <c r="O7961" i="1"/>
  <c r="P7961" i="1"/>
  <c r="Q7961" i="1"/>
  <c r="R7961" i="1"/>
  <c r="S7961" i="1"/>
  <c r="T7961" i="1"/>
  <c r="U7961" i="1"/>
  <c r="V7961" i="1"/>
  <c r="W7961" i="1"/>
  <c r="X7961" i="1"/>
  <c r="Y7961" i="1"/>
  <c r="Z7961" i="1"/>
  <c r="A7962" i="1"/>
  <c r="B7962" i="1"/>
  <c r="C7962" i="1"/>
  <c r="D7962" i="1"/>
  <c r="E7962" i="1"/>
  <c r="F7962" i="1"/>
  <c r="G7962" i="1"/>
  <c r="I7962" i="1"/>
  <c r="J7962" i="1"/>
  <c r="K7962" i="1"/>
  <c r="L7962" i="1"/>
  <c r="M7962" i="1"/>
  <c r="N7962" i="1"/>
  <c r="O7962" i="1"/>
  <c r="P7962" i="1"/>
  <c r="Q7962" i="1"/>
  <c r="R7962" i="1"/>
  <c r="S7962" i="1"/>
  <c r="T7962" i="1"/>
  <c r="U7962" i="1"/>
  <c r="V7962" i="1"/>
  <c r="W7962" i="1"/>
  <c r="X7962" i="1"/>
  <c r="Y7962" i="1"/>
  <c r="Z7962" i="1"/>
  <c r="A7963" i="1"/>
  <c r="B7963" i="1"/>
  <c r="C7963" i="1"/>
  <c r="D7963" i="1"/>
  <c r="E7963" i="1"/>
  <c r="F7963" i="1"/>
  <c r="G7963" i="1"/>
  <c r="I7963" i="1"/>
  <c r="J7963" i="1"/>
  <c r="K7963" i="1"/>
  <c r="L7963" i="1"/>
  <c r="M7963" i="1"/>
  <c r="N7963" i="1"/>
  <c r="O7963" i="1"/>
  <c r="P7963" i="1"/>
  <c r="Q7963" i="1"/>
  <c r="R7963" i="1"/>
  <c r="S7963" i="1"/>
  <c r="T7963" i="1"/>
  <c r="U7963" i="1"/>
  <c r="V7963" i="1"/>
  <c r="W7963" i="1"/>
  <c r="X7963" i="1"/>
  <c r="Y7963" i="1"/>
  <c r="Z7963" i="1"/>
  <c r="A7964" i="1"/>
  <c r="B7964" i="1"/>
  <c r="C7964" i="1"/>
  <c r="D7964" i="1"/>
  <c r="E7964" i="1"/>
  <c r="F7964" i="1"/>
  <c r="G7964" i="1"/>
  <c r="I7964" i="1"/>
  <c r="J7964" i="1"/>
  <c r="K7964" i="1"/>
  <c r="L7964" i="1"/>
  <c r="M7964" i="1"/>
  <c r="N7964" i="1"/>
  <c r="O7964" i="1"/>
  <c r="P7964" i="1"/>
  <c r="Q7964" i="1"/>
  <c r="R7964" i="1"/>
  <c r="S7964" i="1"/>
  <c r="T7964" i="1"/>
  <c r="U7964" i="1"/>
  <c r="V7964" i="1"/>
  <c r="W7964" i="1"/>
  <c r="X7964" i="1"/>
  <c r="Y7964" i="1"/>
  <c r="Z7964" i="1"/>
  <c r="A7965" i="1"/>
  <c r="B7965" i="1"/>
  <c r="C7965" i="1"/>
  <c r="D7965" i="1"/>
  <c r="E7965" i="1"/>
  <c r="F7965" i="1"/>
  <c r="G7965" i="1"/>
  <c r="I7965" i="1"/>
  <c r="J7965" i="1"/>
  <c r="K7965" i="1"/>
  <c r="L7965" i="1"/>
  <c r="M7965" i="1"/>
  <c r="N7965" i="1"/>
  <c r="O7965" i="1"/>
  <c r="P7965" i="1"/>
  <c r="Q7965" i="1"/>
  <c r="R7965" i="1"/>
  <c r="S7965" i="1"/>
  <c r="T7965" i="1"/>
  <c r="U7965" i="1"/>
  <c r="V7965" i="1"/>
  <c r="W7965" i="1"/>
  <c r="X7965" i="1"/>
  <c r="Y7965" i="1"/>
  <c r="Z7965" i="1"/>
  <c r="A7966" i="1"/>
  <c r="B7966" i="1"/>
  <c r="C7966" i="1"/>
  <c r="D7966" i="1"/>
  <c r="E7966" i="1"/>
  <c r="F7966" i="1"/>
  <c r="G7966" i="1"/>
  <c r="I7966" i="1"/>
  <c r="J7966" i="1"/>
  <c r="K7966" i="1"/>
  <c r="L7966" i="1"/>
  <c r="M7966" i="1"/>
  <c r="N7966" i="1"/>
  <c r="O7966" i="1"/>
  <c r="P7966" i="1"/>
  <c r="Q7966" i="1"/>
  <c r="R7966" i="1"/>
  <c r="S7966" i="1"/>
  <c r="T7966" i="1"/>
  <c r="U7966" i="1"/>
  <c r="V7966" i="1"/>
  <c r="W7966" i="1"/>
  <c r="X7966" i="1"/>
  <c r="Y7966" i="1"/>
  <c r="Z7966" i="1"/>
  <c r="A7967" i="1"/>
  <c r="B7967" i="1"/>
  <c r="C7967" i="1"/>
  <c r="D7967" i="1"/>
  <c r="E7967" i="1"/>
  <c r="F7967" i="1"/>
  <c r="G7967" i="1"/>
  <c r="I7967" i="1"/>
  <c r="J7967" i="1"/>
  <c r="K7967" i="1"/>
  <c r="L7967" i="1"/>
  <c r="M7967" i="1"/>
  <c r="N7967" i="1"/>
  <c r="O7967" i="1"/>
  <c r="P7967" i="1"/>
  <c r="Q7967" i="1"/>
  <c r="R7967" i="1"/>
  <c r="S7967" i="1"/>
  <c r="T7967" i="1"/>
  <c r="U7967" i="1"/>
  <c r="V7967" i="1"/>
  <c r="W7967" i="1"/>
  <c r="X7967" i="1"/>
  <c r="Y7967" i="1"/>
  <c r="Z7967" i="1"/>
  <c r="A7968" i="1"/>
  <c r="B7968" i="1"/>
  <c r="C7968" i="1"/>
  <c r="D7968" i="1"/>
  <c r="E7968" i="1"/>
  <c r="F7968" i="1"/>
  <c r="G7968" i="1"/>
  <c r="I7968" i="1"/>
  <c r="J7968" i="1"/>
  <c r="K7968" i="1"/>
  <c r="L7968" i="1"/>
  <c r="M7968" i="1"/>
  <c r="N7968" i="1"/>
  <c r="O7968" i="1"/>
  <c r="P7968" i="1"/>
  <c r="Q7968" i="1"/>
  <c r="R7968" i="1"/>
  <c r="S7968" i="1"/>
  <c r="T7968" i="1"/>
  <c r="U7968" i="1"/>
  <c r="V7968" i="1"/>
  <c r="W7968" i="1"/>
  <c r="X7968" i="1"/>
  <c r="Y7968" i="1"/>
  <c r="Z7968" i="1"/>
  <c r="A7969" i="1"/>
  <c r="B7969" i="1"/>
  <c r="C7969" i="1"/>
  <c r="D7969" i="1"/>
  <c r="E7969" i="1"/>
  <c r="F7969" i="1"/>
  <c r="G7969" i="1"/>
  <c r="I7969" i="1"/>
  <c r="J7969" i="1"/>
  <c r="K7969" i="1"/>
  <c r="L7969" i="1"/>
  <c r="M7969" i="1"/>
  <c r="N7969" i="1"/>
  <c r="O7969" i="1"/>
  <c r="P7969" i="1"/>
  <c r="Q7969" i="1"/>
  <c r="R7969" i="1"/>
  <c r="S7969" i="1"/>
  <c r="T7969" i="1"/>
  <c r="U7969" i="1"/>
  <c r="V7969" i="1"/>
  <c r="W7969" i="1"/>
  <c r="X7969" i="1"/>
  <c r="Y7969" i="1"/>
  <c r="Z7969" i="1"/>
  <c r="A7970" i="1"/>
  <c r="B7970" i="1"/>
  <c r="C7970" i="1"/>
  <c r="D7970" i="1"/>
  <c r="E7970" i="1"/>
  <c r="F7970" i="1"/>
  <c r="G7970" i="1"/>
  <c r="I7970" i="1"/>
  <c r="J7970" i="1"/>
  <c r="K7970" i="1"/>
  <c r="L7970" i="1"/>
  <c r="M7970" i="1"/>
  <c r="N7970" i="1"/>
  <c r="O7970" i="1"/>
  <c r="P7970" i="1"/>
  <c r="Q7970" i="1"/>
  <c r="R7970" i="1"/>
  <c r="S7970" i="1"/>
  <c r="T7970" i="1"/>
  <c r="U7970" i="1"/>
  <c r="V7970" i="1"/>
  <c r="W7970" i="1"/>
  <c r="X7970" i="1"/>
  <c r="Y7970" i="1"/>
  <c r="Z7970" i="1"/>
  <c r="A7971" i="1"/>
  <c r="B7971" i="1"/>
  <c r="C7971" i="1"/>
  <c r="D7971" i="1"/>
  <c r="E7971" i="1"/>
  <c r="F7971" i="1"/>
  <c r="G7971" i="1"/>
  <c r="I7971" i="1"/>
  <c r="J7971" i="1"/>
  <c r="K7971" i="1"/>
  <c r="L7971" i="1"/>
  <c r="M7971" i="1"/>
  <c r="N7971" i="1"/>
  <c r="O7971" i="1"/>
  <c r="P7971" i="1"/>
  <c r="Q7971" i="1"/>
  <c r="R7971" i="1"/>
  <c r="S7971" i="1"/>
  <c r="T7971" i="1"/>
  <c r="U7971" i="1"/>
  <c r="V7971" i="1"/>
  <c r="W7971" i="1"/>
  <c r="X7971" i="1"/>
  <c r="Y7971" i="1"/>
  <c r="Z7971" i="1"/>
  <c r="A7972" i="1"/>
  <c r="B7972" i="1"/>
  <c r="C7972" i="1"/>
  <c r="D7972" i="1"/>
  <c r="E7972" i="1"/>
  <c r="F7972" i="1"/>
  <c r="G7972" i="1"/>
  <c r="I7972" i="1"/>
  <c r="J7972" i="1"/>
  <c r="K7972" i="1"/>
  <c r="L7972" i="1"/>
  <c r="M7972" i="1"/>
  <c r="N7972" i="1"/>
  <c r="O7972" i="1"/>
  <c r="P7972" i="1"/>
  <c r="Q7972" i="1"/>
  <c r="R7972" i="1"/>
  <c r="S7972" i="1"/>
  <c r="T7972" i="1"/>
  <c r="U7972" i="1"/>
  <c r="V7972" i="1"/>
  <c r="W7972" i="1"/>
  <c r="X7972" i="1"/>
  <c r="Y7972" i="1"/>
  <c r="Z7972" i="1"/>
  <c r="A7973" i="1"/>
  <c r="B7973" i="1"/>
  <c r="C7973" i="1"/>
  <c r="D7973" i="1"/>
  <c r="E7973" i="1"/>
  <c r="F7973" i="1"/>
  <c r="G7973" i="1"/>
  <c r="I7973" i="1"/>
  <c r="J7973" i="1"/>
  <c r="K7973" i="1"/>
  <c r="L7973" i="1"/>
  <c r="M7973" i="1"/>
  <c r="N7973" i="1"/>
  <c r="O7973" i="1"/>
  <c r="P7973" i="1"/>
  <c r="Q7973" i="1"/>
  <c r="R7973" i="1"/>
  <c r="S7973" i="1"/>
  <c r="T7973" i="1"/>
  <c r="U7973" i="1"/>
  <c r="V7973" i="1"/>
  <c r="W7973" i="1"/>
  <c r="X7973" i="1"/>
  <c r="Y7973" i="1"/>
  <c r="Z7973" i="1"/>
  <c r="A7974" i="1"/>
  <c r="B7974" i="1"/>
  <c r="C7974" i="1"/>
  <c r="D7974" i="1"/>
  <c r="E7974" i="1"/>
  <c r="F7974" i="1"/>
  <c r="G7974" i="1"/>
  <c r="I7974" i="1"/>
  <c r="J7974" i="1"/>
  <c r="K7974" i="1"/>
  <c r="L7974" i="1"/>
  <c r="M7974" i="1"/>
  <c r="N7974" i="1"/>
  <c r="O7974" i="1"/>
  <c r="P7974" i="1"/>
  <c r="Q7974" i="1"/>
  <c r="R7974" i="1"/>
  <c r="S7974" i="1"/>
  <c r="T7974" i="1"/>
  <c r="U7974" i="1"/>
  <c r="V7974" i="1"/>
  <c r="W7974" i="1"/>
  <c r="X7974" i="1"/>
  <c r="Y7974" i="1"/>
  <c r="Z7974" i="1"/>
  <c r="A7975" i="1"/>
  <c r="B7975" i="1"/>
  <c r="C7975" i="1"/>
  <c r="D7975" i="1"/>
  <c r="E7975" i="1"/>
  <c r="F7975" i="1"/>
  <c r="G7975" i="1"/>
  <c r="I7975" i="1"/>
  <c r="J7975" i="1"/>
  <c r="K7975" i="1"/>
  <c r="L7975" i="1"/>
  <c r="M7975" i="1"/>
  <c r="N7975" i="1"/>
  <c r="O7975" i="1"/>
  <c r="P7975" i="1"/>
  <c r="Q7975" i="1"/>
  <c r="R7975" i="1"/>
  <c r="S7975" i="1"/>
  <c r="T7975" i="1"/>
  <c r="U7975" i="1"/>
  <c r="V7975" i="1"/>
  <c r="W7975" i="1"/>
  <c r="X7975" i="1"/>
  <c r="Y7975" i="1"/>
  <c r="Z7975" i="1"/>
  <c r="A7976" i="1"/>
  <c r="B7976" i="1"/>
  <c r="C7976" i="1"/>
  <c r="D7976" i="1"/>
  <c r="E7976" i="1"/>
  <c r="F7976" i="1"/>
  <c r="G7976" i="1"/>
  <c r="I7976" i="1"/>
  <c r="J7976" i="1"/>
  <c r="K7976" i="1"/>
  <c r="L7976" i="1"/>
  <c r="M7976" i="1"/>
  <c r="N7976" i="1"/>
  <c r="O7976" i="1"/>
  <c r="P7976" i="1"/>
  <c r="Q7976" i="1"/>
  <c r="R7976" i="1"/>
  <c r="S7976" i="1"/>
  <c r="T7976" i="1"/>
  <c r="U7976" i="1"/>
  <c r="V7976" i="1"/>
  <c r="W7976" i="1"/>
  <c r="X7976" i="1"/>
  <c r="Y7976" i="1"/>
  <c r="Z7976" i="1"/>
  <c r="A7977" i="1"/>
  <c r="B7977" i="1"/>
  <c r="C7977" i="1"/>
  <c r="D7977" i="1"/>
  <c r="E7977" i="1"/>
  <c r="F7977" i="1"/>
  <c r="G7977" i="1"/>
  <c r="I7977" i="1"/>
  <c r="J7977" i="1"/>
  <c r="K7977" i="1"/>
  <c r="L7977" i="1"/>
  <c r="M7977" i="1"/>
  <c r="N7977" i="1"/>
  <c r="O7977" i="1"/>
  <c r="P7977" i="1"/>
  <c r="Q7977" i="1"/>
  <c r="R7977" i="1"/>
  <c r="S7977" i="1"/>
  <c r="T7977" i="1"/>
  <c r="U7977" i="1"/>
  <c r="V7977" i="1"/>
  <c r="W7977" i="1"/>
  <c r="X7977" i="1"/>
  <c r="Y7977" i="1"/>
  <c r="Z7977" i="1"/>
  <c r="A7978" i="1"/>
  <c r="B7978" i="1"/>
  <c r="C7978" i="1"/>
  <c r="D7978" i="1"/>
  <c r="E7978" i="1"/>
  <c r="F7978" i="1"/>
  <c r="G7978" i="1"/>
  <c r="I7978" i="1"/>
  <c r="J7978" i="1"/>
  <c r="K7978" i="1"/>
  <c r="L7978" i="1"/>
  <c r="M7978" i="1"/>
  <c r="N7978" i="1"/>
  <c r="O7978" i="1"/>
  <c r="P7978" i="1"/>
  <c r="Q7978" i="1"/>
  <c r="R7978" i="1"/>
  <c r="S7978" i="1"/>
  <c r="T7978" i="1"/>
  <c r="U7978" i="1"/>
  <c r="V7978" i="1"/>
  <c r="W7978" i="1"/>
  <c r="X7978" i="1"/>
  <c r="Y7978" i="1"/>
  <c r="Z7978" i="1"/>
  <c r="A7979" i="1"/>
  <c r="B7979" i="1"/>
  <c r="C7979" i="1"/>
  <c r="D7979" i="1"/>
  <c r="E7979" i="1"/>
  <c r="F7979" i="1"/>
  <c r="G7979" i="1"/>
  <c r="I7979" i="1"/>
  <c r="J7979" i="1"/>
  <c r="K7979" i="1"/>
  <c r="L7979" i="1"/>
  <c r="M7979" i="1"/>
  <c r="N7979" i="1"/>
  <c r="O7979" i="1"/>
  <c r="P7979" i="1"/>
  <c r="Q7979" i="1"/>
  <c r="R7979" i="1"/>
  <c r="S7979" i="1"/>
  <c r="T7979" i="1"/>
  <c r="U7979" i="1"/>
  <c r="V7979" i="1"/>
  <c r="W7979" i="1"/>
  <c r="X7979" i="1"/>
  <c r="Y7979" i="1"/>
  <c r="Z7979" i="1"/>
  <c r="A7980" i="1"/>
  <c r="B7980" i="1"/>
  <c r="C7980" i="1"/>
  <c r="D7980" i="1"/>
  <c r="E7980" i="1"/>
  <c r="F7980" i="1"/>
  <c r="G7980" i="1"/>
  <c r="I7980" i="1"/>
  <c r="J7980" i="1"/>
  <c r="K7980" i="1"/>
  <c r="L7980" i="1"/>
  <c r="M7980" i="1"/>
  <c r="N7980" i="1"/>
  <c r="O7980" i="1"/>
  <c r="P7980" i="1"/>
  <c r="Q7980" i="1"/>
  <c r="R7980" i="1"/>
  <c r="S7980" i="1"/>
  <c r="T7980" i="1"/>
  <c r="U7980" i="1"/>
  <c r="V7980" i="1"/>
  <c r="W7980" i="1"/>
  <c r="X7980" i="1"/>
  <c r="Y7980" i="1"/>
  <c r="Z7980" i="1"/>
  <c r="A7981" i="1"/>
  <c r="B7981" i="1"/>
  <c r="C7981" i="1"/>
  <c r="D7981" i="1"/>
  <c r="E7981" i="1"/>
  <c r="F7981" i="1"/>
  <c r="G7981" i="1"/>
  <c r="I7981" i="1"/>
  <c r="J7981" i="1"/>
  <c r="K7981" i="1"/>
  <c r="L7981" i="1"/>
  <c r="M7981" i="1"/>
  <c r="N7981" i="1"/>
  <c r="O7981" i="1"/>
  <c r="P7981" i="1"/>
  <c r="Q7981" i="1"/>
  <c r="R7981" i="1"/>
  <c r="S7981" i="1"/>
  <c r="T7981" i="1"/>
  <c r="U7981" i="1"/>
  <c r="V7981" i="1"/>
  <c r="W7981" i="1"/>
  <c r="X7981" i="1"/>
  <c r="Y7981" i="1"/>
  <c r="Z7981" i="1"/>
  <c r="A7982" i="1"/>
  <c r="B7982" i="1"/>
  <c r="C7982" i="1"/>
  <c r="D7982" i="1"/>
  <c r="E7982" i="1"/>
  <c r="F7982" i="1"/>
  <c r="G7982" i="1"/>
  <c r="I7982" i="1"/>
  <c r="J7982" i="1"/>
  <c r="K7982" i="1"/>
  <c r="L7982" i="1"/>
  <c r="M7982" i="1"/>
  <c r="N7982" i="1"/>
  <c r="O7982" i="1"/>
  <c r="P7982" i="1"/>
  <c r="Q7982" i="1"/>
  <c r="R7982" i="1"/>
  <c r="S7982" i="1"/>
  <c r="T7982" i="1"/>
  <c r="U7982" i="1"/>
  <c r="V7982" i="1"/>
  <c r="W7982" i="1"/>
  <c r="X7982" i="1"/>
  <c r="Y7982" i="1"/>
  <c r="Z7982" i="1"/>
  <c r="A7983" i="1"/>
  <c r="B7983" i="1"/>
  <c r="C7983" i="1"/>
  <c r="D7983" i="1"/>
  <c r="E7983" i="1"/>
  <c r="F7983" i="1"/>
  <c r="G7983" i="1"/>
  <c r="I7983" i="1"/>
  <c r="J7983" i="1"/>
  <c r="K7983" i="1"/>
  <c r="L7983" i="1"/>
  <c r="M7983" i="1"/>
  <c r="N7983" i="1"/>
  <c r="O7983" i="1"/>
  <c r="P7983" i="1"/>
  <c r="Q7983" i="1"/>
  <c r="R7983" i="1"/>
  <c r="S7983" i="1"/>
  <c r="T7983" i="1"/>
  <c r="U7983" i="1"/>
  <c r="V7983" i="1"/>
  <c r="W7983" i="1"/>
  <c r="X7983" i="1"/>
  <c r="Y7983" i="1"/>
  <c r="Z7983" i="1"/>
  <c r="A7984" i="1"/>
  <c r="B7984" i="1"/>
  <c r="C7984" i="1"/>
  <c r="D7984" i="1"/>
  <c r="E7984" i="1"/>
  <c r="F7984" i="1"/>
  <c r="G7984" i="1"/>
  <c r="I7984" i="1"/>
  <c r="J7984" i="1"/>
  <c r="K7984" i="1"/>
  <c r="L7984" i="1"/>
  <c r="M7984" i="1"/>
  <c r="N7984" i="1"/>
  <c r="O7984" i="1"/>
  <c r="P7984" i="1"/>
  <c r="Q7984" i="1"/>
  <c r="R7984" i="1"/>
  <c r="S7984" i="1"/>
  <c r="T7984" i="1"/>
  <c r="U7984" i="1"/>
  <c r="V7984" i="1"/>
  <c r="W7984" i="1"/>
  <c r="X7984" i="1"/>
  <c r="Y7984" i="1"/>
  <c r="Z7984" i="1"/>
  <c r="A7985" i="1"/>
  <c r="B7985" i="1"/>
  <c r="C7985" i="1"/>
  <c r="D7985" i="1"/>
  <c r="E7985" i="1"/>
  <c r="F7985" i="1"/>
  <c r="G7985" i="1"/>
  <c r="I7985" i="1"/>
  <c r="J7985" i="1"/>
  <c r="K7985" i="1"/>
  <c r="L7985" i="1"/>
  <c r="M7985" i="1"/>
  <c r="N7985" i="1"/>
  <c r="O7985" i="1"/>
  <c r="P7985" i="1"/>
  <c r="Q7985" i="1"/>
  <c r="R7985" i="1"/>
  <c r="S7985" i="1"/>
  <c r="T7985" i="1"/>
  <c r="U7985" i="1"/>
  <c r="V7985" i="1"/>
  <c r="W7985" i="1"/>
  <c r="X7985" i="1"/>
  <c r="Y7985" i="1"/>
  <c r="Z7985" i="1"/>
  <c r="A7986" i="1"/>
  <c r="B7986" i="1"/>
  <c r="C7986" i="1"/>
  <c r="D7986" i="1"/>
  <c r="E7986" i="1"/>
  <c r="F7986" i="1"/>
  <c r="G7986" i="1"/>
  <c r="I7986" i="1"/>
  <c r="J7986" i="1"/>
  <c r="K7986" i="1"/>
  <c r="L7986" i="1"/>
  <c r="M7986" i="1"/>
  <c r="N7986" i="1"/>
  <c r="O7986" i="1"/>
  <c r="P7986" i="1"/>
  <c r="Q7986" i="1"/>
  <c r="R7986" i="1"/>
  <c r="S7986" i="1"/>
  <c r="T7986" i="1"/>
  <c r="U7986" i="1"/>
  <c r="V7986" i="1"/>
  <c r="W7986" i="1"/>
  <c r="X7986" i="1"/>
  <c r="Y7986" i="1"/>
  <c r="Z7986" i="1"/>
  <c r="A7987" i="1"/>
  <c r="B7987" i="1"/>
  <c r="C7987" i="1"/>
  <c r="D7987" i="1"/>
  <c r="E7987" i="1"/>
  <c r="F7987" i="1"/>
  <c r="G7987" i="1"/>
  <c r="I7987" i="1"/>
  <c r="J7987" i="1"/>
  <c r="K7987" i="1"/>
  <c r="L7987" i="1"/>
  <c r="M7987" i="1"/>
  <c r="N7987" i="1"/>
  <c r="O7987" i="1"/>
  <c r="P7987" i="1"/>
  <c r="Q7987" i="1"/>
  <c r="R7987" i="1"/>
  <c r="S7987" i="1"/>
  <c r="T7987" i="1"/>
  <c r="U7987" i="1"/>
  <c r="V7987" i="1"/>
  <c r="W7987" i="1"/>
  <c r="X7987" i="1"/>
  <c r="Y7987" i="1"/>
  <c r="Z7987" i="1"/>
  <c r="A7988" i="1"/>
  <c r="B7988" i="1"/>
  <c r="C7988" i="1"/>
  <c r="D7988" i="1"/>
  <c r="E7988" i="1"/>
  <c r="F7988" i="1"/>
  <c r="G7988" i="1"/>
  <c r="I7988" i="1"/>
  <c r="J7988" i="1"/>
  <c r="K7988" i="1"/>
  <c r="L7988" i="1"/>
  <c r="M7988" i="1"/>
  <c r="N7988" i="1"/>
  <c r="O7988" i="1"/>
  <c r="P7988" i="1"/>
  <c r="Q7988" i="1"/>
  <c r="R7988" i="1"/>
  <c r="S7988" i="1"/>
  <c r="T7988" i="1"/>
  <c r="U7988" i="1"/>
  <c r="V7988" i="1"/>
  <c r="W7988" i="1"/>
  <c r="X7988" i="1"/>
  <c r="Y7988" i="1"/>
  <c r="Z7988" i="1"/>
  <c r="A7989" i="1"/>
  <c r="B7989" i="1"/>
  <c r="C7989" i="1"/>
  <c r="D7989" i="1"/>
  <c r="E7989" i="1"/>
  <c r="F7989" i="1"/>
  <c r="G7989" i="1"/>
  <c r="I7989" i="1"/>
  <c r="J7989" i="1"/>
  <c r="K7989" i="1"/>
  <c r="L7989" i="1"/>
  <c r="M7989" i="1"/>
  <c r="N7989" i="1"/>
  <c r="O7989" i="1"/>
  <c r="P7989" i="1"/>
  <c r="Q7989" i="1"/>
  <c r="R7989" i="1"/>
  <c r="S7989" i="1"/>
  <c r="T7989" i="1"/>
  <c r="U7989" i="1"/>
  <c r="V7989" i="1"/>
  <c r="W7989" i="1"/>
  <c r="X7989" i="1"/>
  <c r="Y7989" i="1"/>
  <c r="Z7989" i="1"/>
  <c r="A7990" i="1"/>
  <c r="B7990" i="1"/>
  <c r="C7990" i="1"/>
  <c r="D7990" i="1"/>
  <c r="E7990" i="1"/>
  <c r="F7990" i="1"/>
  <c r="G7990" i="1"/>
  <c r="I7990" i="1"/>
  <c r="J7990" i="1"/>
  <c r="K7990" i="1"/>
  <c r="L7990" i="1"/>
  <c r="M7990" i="1"/>
  <c r="N7990" i="1"/>
  <c r="O7990" i="1"/>
  <c r="P7990" i="1"/>
  <c r="Q7990" i="1"/>
  <c r="R7990" i="1"/>
  <c r="S7990" i="1"/>
  <c r="T7990" i="1"/>
  <c r="U7990" i="1"/>
  <c r="V7990" i="1"/>
  <c r="W7990" i="1"/>
  <c r="X7990" i="1"/>
  <c r="Y7990" i="1"/>
  <c r="Z7990" i="1"/>
  <c r="A7991" i="1"/>
  <c r="B7991" i="1"/>
  <c r="C7991" i="1"/>
  <c r="D7991" i="1"/>
  <c r="E7991" i="1"/>
  <c r="F7991" i="1"/>
  <c r="G7991" i="1"/>
  <c r="I7991" i="1"/>
  <c r="J7991" i="1"/>
  <c r="K7991" i="1"/>
  <c r="L7991" i="1"/>
  <c r="M7991" i="1"/>
  <c r="N7991" i="1"/>
  <c r="O7991" i="1"/>
  <c r="P7991" i="1"/>
  <c r="Q7991" i="1"/>
  <c r="R7991" i="1"/>
  <c r="S7991" i="1"/>
  <c r="T7991" i="1"/>
  <c r="U7991" i="1"/>
  <c r="V7991" i="1"/>
  <c r="W7991" i="1"/>
  <c r="X7991" i="1"/>
  <c r="Y7991" i="1"/>
  <c r="Z7991" i="1"/>
  <c r="A7992" i="1"/>
  <c r="B7992" i="1"/>
  <c r="C7992" i="1"/>
  <c r="D7992" i="1"/>
  <c r="E7992" i="1"/>
  <c r="F7992" i="1"/>
  <c r="G7992" i="1"/>
  <c r="I7992" i="1"/>
  <c r="J7992" i="1"/>
  <c r="K7992" i="1"/>
  <c r="L7992" i="1"/>
  <c r="M7992" i="1"/>
  <c r="N7992" i="1"/>
  <c r="O7992" i="1"/>
  <c r="P7992" i="1"/>
  <c r="Q7992" i="1"/>
  <c r="R7992" i="1"/>
  <c r="S7992" i="1"/>
  <c r="T7992" i="1"/>
  <c r="U7992" i="1"/>
  <c r="V7992" i="1"/>
  <c r="W7992" i="1"/>
  <c r="X7992" i="1"/>
  <c r="Y7992" i="1"/>
  <c r="Z7992" i="1"/>
  <c r="A7993" i="1"/>
  <c r="B7993" i="1"/>
  <c r="C7993" i="1"/>
  <c r="D7993" i="1"/>
  <c r="E7993" i="1"/>
  <c r="F7993" i="1"/>
  <c r="G7993" i="1"/>
  <c r="I7993" i="1"/>
  <c r="J7993" i="1"/>
  <c r="K7993" i="1"/>
  <c r="L7993" i="1"/>
  <c r="M7993" i="1"/>
  <c r="N7993" i="1"/>
  <c r="O7993" i="1"/>
  <c r="P7993" i="1"/>
  <c r="Q7993" i="1"/>
  <c r="R7993" i="1"/>
  <c r="S7993" i="1"/>
  <c r="T7993" i="1"/>
  <c r="U7993" i="1"/>
  <c r="V7993" i="1"/>
  <c r="W7993" i="1"/>
  <c r="X7993" i="1"/>
  <c r="Y7993" i="1"/>
  <c r="Z7993" i="1"/>
  <c r="A7994" i="1"/>
  <c r="B7994" i="1"/>
  <c r="C7994" i="1"/>
  <c r="D7994" i="1"/>
  <c r="E7994" i="1"/>
  <c r="F7994" i="1"/>
  <c r="G7994" i="1"/>
  <c r="I7994" i="1"/>
  <c r="J7994" i="1"/>
  <c r="K7994" i="1"/>
  <c r="L7994" i="1"/>
  <c r="M7994" i="1"/>
  <c r="N7994" i="1"/>
  <c r="O7994" i="1"/>
  <c r="P7994" i="1"/>
  <c r="Q7994" i="1"/>
  <c r="R7994" i="1"/>
  <c r="S7994" i="1"/>
  <c r="T7994" i="1"/>
  <c r="U7994" i="1"/>
  <c r="V7994" i="1"/>
  <c r="W7994" i="1"/>
  <c r="X7994" i="1"/>
  <c r="Y7994" i="1"/>
  <c r="Z7994" i="1"/>
  <c r="A7995" i="1"/>
  <c r="B7995" i="1"/>
  <c r="C7995" i="1"/>
  <c r="D7995" i="1"/>
  <c r="E7995" i="1"/>
  <c r="F7995" i="1"/>
  <c r="G7995" i="1"/>
  <c r="I7995" i="1"/>
  <c r="J7995" i="1"/>
  <c r="K7995" i="1"/>
  <c r="L7995" i="1"/>
  <c r="M7995" i="1"/>
  <c r="N7995" i="1"/>
  <c r="O7995" i="1"/>
  <c r="P7995" i="1"/>
  <c r="Q7995" i="1"/>
  <c r="R7995" i="1"/>
  <c r="S7995" i="1"/>
  <c r="T7995" i="1"/>
  <c r="U7995" i="1"/>
  <c r="V7995" i="1"/>
  <c r="W7995" i="1"/>
  <c r="X7995" i="1"/>
  <c r="Y7995" i="1"/>
  <c r="Z7995" i="1"/>
  <c r="A7996" i="1"/>
  <c r="B7996" i="1"/>
  <c r="C7996" i="1"/>
  <c r="D7996" i="1"/>
  <c r="E7996" i="1"/>
  <c r="F7996" i="1"/>
  <c r="G7996" i="1"/>
  <c r="I7996" i="1"/>
  <c r="J7996" i="1"/>
  <c r="K7996" i="1"/>
  <c r="L7996" i="1"/>
  <c r="M7996" i="1"/>
  <c r="N7996" i="1"/>
  <c r="O7996" i="1"/>
  <c r="P7996" i="1"/>
  <c r="Q7996" i="1"/>
  <c r="R7996" i="1"/>
  <c r="S7996" i="1"/>
  <c r="T7996" i="1"/>
  <c r="U7996" i="1"/>
  <c r="V7996" i="1"/>
  <c r="W7996" i="1"/>
  <c r="X7996" i="1"/>
  <c r="Y7996" i="1"/>
  <c r="Z7996" i="1"/>
  <c r="A7997" i="1"/>
  <c r="B7997" i="1"/>
  <c r="C7997" i="1"/>
  <c r="D7997" i="1"/>
  <c r="E7997" i="1"/>
  <c r="F7997" i="1"/>
  <c r="G7997" i="1"/>
  <c r="I7997" i="1"/>
  <c r="J7997" i="1"/>
  <c r="K7997" i="1"/>
  <c r="L7997" i="1"/>
  <c r="M7997" i="1"/>
  <c r="N7997" i="1"/>
  <c r="O7997" i="1"/>
  <c r="P7997" i="1"/>
  <c r="Q7997" i="1"/>
  <c r="R7997" i="1"/>
  <c r="S7997" i="1"/>
  <c r="T7997" i="1"/>
  <c r="U7997" i="1"/>
  <c r="V7997" i="1"/>
  <c r="W7997" i="1"/>
  <c r="X7997" i="1"/>
  <c r="Y7997" i="1"/>
  <c r="Z7997" i="1"/>
  <c r="A7998" i="1"/>
  <c r="B7998" i="1"/>
  <c r="C7998" i="1"/>
  <c r="D7998" i="1"/>
  <c r="E7998" i="1"/>
  <c r="F7998" i="1"/>
  <c r="G7998" i="1"/>
  <c r="I7998" i="1"/>
  <c r="J7998" i="1"/>
  <c r="K7998" i="1"/>
  <c r="L7998" i="1"/>
  <c r="M7998" i="1"/>
  <c r="N7998" i="1"/>
  <c r="O7998" i="1"/>
  <c r="P7998" i="1"/>
  <c r="Q7998" i="1"/>
  <c r="R7998" i="1"/>
  <c r="S7998" i="1"/>
  <c r="T7998" i="1"/>
  <c r="U7998" i="1"/>
  <c r="V7998" i="1"/>
  <c r="W7998" i="1"/>
  <c r="X7998" i="1"/>
  <c r="Y7998" i="1"/>
  <c r="Z7998" i="1"/>
  <c r="A7999" i="1"/>
  <c r="B7999" i="1"/>
  <c r="C7999" i="1"/>
  <c r="D7999" i="1"/>
  <c r="E7999" i="1"/>
  <c r="F7999" i="1"/>
  <c r="G7999" i="1"/>
  <c r="I7999" i="1"/>
  <c r="J7999" i="1"/>
  <c r="K7999" i="1"/>
  <c r="L7999" i="1"/>
  <c r="M7999" i="1"/>
  <c r="N7999" i="1"/>
  <c r="O7999" i="1"/>
  <c r="P7999" i="1"/>
  <c r="Q7999" i="1"/>
  <c r="R7999" i="1"/>
  <c r="S7999" i="1"/>
  <c r="T7999" i="1"/>
  <c r="U7999" i="1"/>
  <c r="V7999" i="1"/>
  <c r="W7999" i="1"/>
  <c r="X7999" i="1"/>
  <c r="Y7999" i="1"/>
  <c r="Z7999" i="1"/>
  <c r="A8000" i="1"/>
  <c r="B8000" i="1"/>
  <c r="C8000" i="1"/>
  <c r="D8000" i="1"/>
  <c r="E8000" i="1"/>
  <c r="F8000" i="1"/>
  <c r="G8000" i="1"/>
  <c r="I8000" i="1"/>
  <c r="J8000" i="1"/>
  <c r="K8000" i="1"/>
  <c r="L8000" i="1"/>
  <c r="M8000" i="1"/>
  <c r="N8000" i="1"/>
  <c r="O8000" i="1"/>
  <c r="P8000" i="1"/>
  <c r="Q8000" i="1"/>
  <c r="R8000" i="1"/>
  <c r="S8000" i="1"/>
  <c r="T8000" i="1"/>
  <c r="U8000" i="1"/>
  <c r="V8000" i="1"/>
  <c r="W8000" i="1"/>
  <c r="X8000" i="1"/>
  <c r="Y8000" i="1"/>
  <c r="Z8000" i="1"/>
  <c r="A8001" i="1"/>
  <c r="B8001" i="1"/>
  <c r="C8001" i="1"/>
  <c r="D8001" i="1"/>
  <c r="E8001" i="1"/>
  <c r="F8001" i="1"/>
  <c r="G8001" i="1"/>
  <c r="I8001" i="1"/>
  <c r="J8001" i="1"/>
  <c r="K8001" i="1"/>
  <c r="L8001" i="1"/>
  <c r="M8001" i="1"/>
  <c r="N8001" i="1"/>
  <c r="O8001" i="1"/>
  <c r="P8001" i="1"/>
  <c r="Q8001" i="1"/>
  <c r="R8001" i="1"/>
  <c r="S8001" i="1"/>
  <c r="T8001" i="1"/>
  <c r="U8001" i="1"/>
  <c r="V8001" i="1"/>
  <c r="W8001" i="1"/>
  <c r="X8001" i="1"/>
  <c r="Y8001" i="1"/>
  <c r="Z8001" i="1"/>
  <c r="A8002" i="1"/>
  <c r="B8002" i="1"/>
  <c r="C8002" i="1"/>
  <c r="D8002" i="1"/>
  <c r="E8002" i="1"/>
  <c r="F8002" i="1"/>
  <c r="G8002" i="1"/>
  <c r="I8002" i="1"/>
  <c r="J8002" i="1"/>
  <c r="K8002" i="1"/>
  <c r="L8002" i="1"/>
  <c r="M8002" i="1"/>
  <c r="N8002" i="1"/>
  <c r="O8002" i="1"/>
  <c r="P8002" i="1"/>
  <c r="Q8002" i="1"/>
  <c r="R8002" i="1"/>
  <c r="S8002" i="1"/>
  <c r="T8002" i="1"/>
  <c r="U8002" i="1"/>
  <c r="V8002" i="1"/>
  <c r="W8002" i="1"/>
  <c r="X8002" i="1"/>
  <c r="Y8002" i="1"/>
  <c r="Z8002" i="1"/>
  <c r="A8003" i="1"/>
  <c r="B8003" i="1"/>
  <c r="C8003" i="1"/>
  <c r="D8003" i="1"/>
  <c r="E8003" i="1"/>
  <c r="F8003" i="1"/>
  <c r="G8003" i="1"/>
  <c r="I8003" i="1"/>
  <c r="J8003" i="1"/>
  <c r="K8003" i="1"/>
  <c r="L8003" i="1"/>
  <c r="M8003" i="1"/>
  <c r="N8003" i="1"/>
  <c r="O8003" i="1"/>
  <c r="P8003" i="1"/>
  <c r="Q8003" i="1"/>
  <c r="R8003" i="1"/>
  <c r="S8003" i="1"/>
  <c r="T8003" i="1"/>
  <c r="U8003" i="1"/>
  <c r="V8003" i="1"/>
  <c r="W8003" i="1"/>
  <c r="X8003" i="1"/>
  <c r="Y8003" i="1"/>
  <c r="Z8003" i="1"/>
  <c r="A8004" i="1"/>
  <c r="B8004" i="1"/>
  <c r="C8004" i="1"/>
  <c r="D8004" i="1"/>
  <c r="E8004" i="1"/>
  <c r="F8004" i="1"/>
  <c r="G8004" i="1"/>
  <c r="I8004" i="1"/>
  <c r="J8004" i="1"/>
  <c r="K8004" i="1"/>
  <c r="L8004" i="1"/>
  <c r="M8004" i="1"/>
  <c r="N8004" i="1"/>
  <c r="O8004" i="1"/>
  <c r="P8004" i="1"/>
  <c r="Q8004" i="1"/>
  <c r="R8004" i="1"/>
  <c r="S8004" i="1"/>
  <c r="T8004" i="1"/>
  <c r="U8004" i="1"/>
  <c r="V8004" i="1"/>
  <c r="W8004" i="1"/>
  <c r="X8004" i="1"/>
  <c r="Y8004" i="1"/>
  <c r="Z8004" i="1"/>
  <c r="A8005" i="1"/>
  <c r="B8005" i="1"/>
  <c r="C8005" i="1"/>
  <c r="D8005" i="1"/>
  <c r="E8005" i="1"/>
  <c r="F8005" i="1"/>
  <c r="G8005" i="1"/>
  <c r="I8005" i="1"/>
  <c r="J8005" i="1"/>
  <c r="K8005" i="1"/>
  <c r="L8005" i="1"/>
  <c r="M8005" i="1"/>
  <c r="N8005" i="1"/>
  <c r="O8005" i="1"/>
  <c r="P8005" i="1"/>
  <c r="Q8005" i="1"/>
  <c r="R8005" i="1"/>
  <c r="S8005" i="1"/>
  <c r="T8005" i="1"/>
  <c r="U8005" i="1"/>
  <c r="V8005" i="1"/>
  <c r="W8005" i="1"/>
  <c r="X8005" i="1"/>
  <c r="Y8005" i="1"/>
  <c r="Z8005" i="1"/>
  <c r="A8006" i="1"/>
  <c r="B8006" i="1"/>
  <c r="C8006" i="1"/>
  <c r="D8006" i="1"/>
  <c r="E8006" i="1"/>
  <c r="F8006" i="1"/>
  <c r="G8006" i="1"/>
  <c r="I8006" i="1"/>
  <c r="J8006" i="1"/>
  <c r="K8006" i="1"/>
  <c r="L8006" i="1"/>
  <c r="M8006" i="1"/>
  <c r="N8006" i="1"/>
  <c r="O8006" i="1"/>
  <c r="P8006" i="1"/>
  <c r="Q8006" i="1"/>
  <c r="R8006" i="1"/>
  <c r="S8006" i="1"/>
  <c r="T8006" i="1"/>
  <c r="U8006" i="1"/>
  <c r="V8006" i="1"/>
  <c r="W8006" i="1"/>
  <c r="X8006" i="1"/>
  <c r="Y8006" i="1"/>
  <c r="Z8006" i="1"/>
  <c r="A8007" i="1"/>
  <c r="B8007" i="1"/>
  <c r="C8007" i="1"/>
  <c r="D8007" i="1"/>
  <c r="E8007" i="1"/>
  <c r="F8007" i="1"/>
  <c r="G8007" i="1"/>
  <c r="I8007" i="1"/>
  <c r="J8007" i="1"/>
  <c r="K8007" i="1"/>
  <c r="L8007" i="1"/>
  <c r="M8007" i="1"/>
  <c r="N8007" i="1"/>
  <c r="O8007" i="1"/>
  <c r="P8007" i="1"/>
  <c r="Q8007" i="1"/>
  <c r="R8007" i="1"/>
  <c r="S8007" i="1"/>
  <c r="T8007" i="1"/>
  <c r="U8007" i="1"/>
  <c r="V8007" i="1"/>
  <c r="W8007" i="1"/>
  <c r="X8007" i="1"/>
  <c r="Y8007" i="1"/>
  <c r="Z8007" i="1"/>
  <c r="A8008" i="1"/>
  <c r="B8008" i="1"/>
  <c r="C8008" i="1"/>
  <c r="D8008" i="1"/>
  <c r="E8008" i="1"/>
  <c r="F8008" i="1"/>
  <c r="G8008" i="1"/>
  <c r="I8008" i="1"/>
  <c r="J8008" i="1"/>
  <c r="K8008" i="1"/>
  <c r="L8008" i="1"/>
  <c r="M8008" i="1"/>
  <c r="N8008" i="1"/>
  <c r="O8008" i="1"/>
  <c r="P8008" i="1"/>
  <c r="Q8008" i="1"/>
  <c r="R8008" i="1"/>
  <c r="S8008" i="1"/>
  <c r="T8008" i="1"/>
  <c r="U8008" i="1"/>
  <c r="V8008" i="1"/>
  <c r="W8008" i="1"/>
  <c r="X8008" i="1"/>
  <c r="Y8008" i="1"/>
  <c r="Z8008" i="1"/>
  <c r="A8009" i="1"/>
  <c r="B8009" i="1"/>
  <c r="C8009" i="1"/>
  <c r="D8009" i="1"/>
  <c r="E8009" i="1"/>
  <c r="F8009" i="1"/>
  <c r="G8009" i="1"/>
  <c r="I8009" i="1"/>
  <c r="J8009" i="1"/>
  <c r="K8009" i="1"/>
  <c r="L8009" i="1"/>
  <c r="M8009" i="1"/>
  <c r="N8009" i="1"/>
  <c r="O8009" i="1"/>
  <c r="P8009" i="1"/>
  <c r="Q8009" i="1"/>
  <c r="R8009" i="1"/>
  <c r="S8009" i="1"/>
  <c r="T8009" i="1"/>
  <c r="U8009" i="1"/>
  <c r="V8009" i="1"/>
  <c r="W8009" i="1"/>
  <c r="X8009" i="1"/>
  <c r="Y8009" i="1"/>
  <c r="Z8009" i="1"/>
  <c r="A8010" i="1"/>
  <c r="B8010" i="1"/>
  <c r="C8010" i="1"/>
  <c r="D8010" i="1"/>
  <c r="E8010" i="1"/>
  <c r="F8010" i="1"/>
  <c r="G8010" i="1"/>
  <c r="I8010" i="1"/>
  <c r="J8010" i="1"/>
  <c r="K8010" i="1"/>
  <c r="L8010" i="1"/>
  <c r="M8010" i="1"/>
  <c r="N8010" i="1"/>
  <c r="O8010" i="1"/>
  <c r="P8010" i="1"/>
  <c r="Q8010" i="1"/>
  <c r="R8010" i="1"/>
  <c r="S8010" i="1"/>
  <c r="T8010" i="1"/>
  <c r="U8010" i="1"/>
  <c r="V8010" i="1"/>
  <c r="W8010" i="1"/>
  <c r="X8010" i="1"/>
  <c r="Y8010" i="1"/>
  <c r="Z8010" i="1"/>
  <c r="A8011" i="1"/>
  <c r="B8011" i="1"/>
  <c r="C8011" i="1"/>
  <c r="D8011" i="1"/>
  <c r="E8011" i="1"/>
  <c r="F8011" i="1"/>
  <c r="G8011" i="1"/>
  <c r="I8011" i="1"/>
  <c r="J8011" i="1"/>
  <c r="K8011" i="1"/>
  <c r="L8011" i="1"/>
  <c r="M8011" i="1"/>
  <c r="N8011" i="1"/>
  <c r="O8011" i="1"/>
  <c r="P8011" i="1"/>
  <c r="Q8011" i="1"/>
  <c r="R8011" i="1"/>
  <c r="S8011" i="1"/>
  <c r="T8011" i="1"/>
  <c r="U8011" i="1"/>
  <c r="V8011" i="1"/>
  <c r="W8011" i="1"/>
  <c r="X8011" i="1"/>
  <c r="Y8011" i="1"/>
  <c r="Z8011" i="1"/>
  <c r="A8012" i="1"/>
  <c r="B8012" i="1"/>
  <c r="C8012" i="1"/>
  <c r="D8012" i="1"/>
  <c r="E8012" i="1"/>
  <c r="F8012" i="1"/>
  <c r="G8012" i="1"/>
  <c r="I8012" i="1"/>
  <c r="J8012" i="1"/>
  <c r="K8012" i="1"/>
  <c r="L8012" i="1"/>
  <c r="M8012" i="1"/>
  <c r="N8012" i="1"/>
  <c r="O8012" i="1"/>
  <c r="P8012" i="1"/>
  <c r="Q8012" i="1"/>
  <c r="R8012" i="1"/>
  <c r="S8012" i="1"/>
  <c r="T8012" i="1"/>
  <c r="U8012" i="1"/>
  <c r="V8012" i="1"/>
  <c r="W8012" i="1"/>
  <c r="X8012" i="1"/>
  <c r="Y8012" i="1"/>
  <c r="Z8012" i="1"/>
  <c r="A8013" i="1"/>
  <c r="B8013" i="1"/>
  <c r="C8013" i="1"/>
  <c r="D8013" i="1"/>
  <c r="E8013" i="1"/>
  <c r="F8013" i="1"/>
  <c r="G8013" i="1"/>
  <c r="I8013" i="1"/>
  <c r="J8013" i="1"/>
  <c r="K8013" i="1"/>
  <c r="L8013" i="1"/>
  <c r="M8013" i="1"/>
  <c r="N8013" i="1"/>
  <c r="O8013" i="1"/>
  <c r="P8013" i="1"/>
  <c r="Q8013" i="1"/>
  <c r="R8013" i="1"/>
  <c r="S8013" i="1"/>
  <c r="T8013" i="1"/>
  <c r="U8013" i="1"/>
  <c r="V8013" i="1"/>
  <c r="W8013" i="1"/>
  <c r="X8013" i="1"/>
  <c r="Y8013" i="1"/>
  <c r="Z8013" i="1"/>
  <c r="A8014" i="1"/>
  <c r="B8014" i="1"/>
  <c r="C8014" i="1"/>
  <c r="D8014" i="1"/>
  <c r="E8014" i="1"/>
  <c r="F8014" i="1"/>
  <c r="G8014" i="1"/>
  <c r="I8014" i="1"/>
  <c r="J8014" i="1"/>
  <c r="K8014" i="1"/>
  <c r="L8014" i="1"/>
  <c r="M8014" i="1"/>
  <c r="N8014" i="1"/>
  <c r="O8014" i="1"/>
  <c r="P8014" i="1"/>
  <c r="Q8014" i="1"/>
  <c r="R8014" i="1"/>
  <c r="S8014" i="1"/>
  <c r="T8014" i="1"/>
  <c r="U8014" i="1"/>
  <c r="V8014" i="1"/>
  <c r="W8014" i="1"/>
  <c r="X8014" i="1"/>
  <c r="Y8014" i="1"/>
  <c r="Z8014" i="1"/>
  <c r="A8015" i="1"/>
  <c r="B8015" i="1"/>
  <c r="C8015" i="1"/>
  <c r="D8015" i="1"/>
  <c r="E8015" i="1"/>
  <c r="F8015" i="1"/>
  <c r="G8015" i="1"/>
  <c r="I8015" i="1"/>
  <c r="J8015" i="1"/>
  <c r="K8015" i="1"/>
  <c r="L8015" i="1"/>
  <c r="M8015" i="1"/>
  <c r="N8015" i="1"/>
  <c r="O8015" i="1"/>
  <c r="P8015" i="1"/>
  <c r="Q8015" i="1"/>
  <c r="R8015" i="1"/>
  <c r="S8015" i="1"/>
  <c r="T8015" i="1"/>
  <c r="U8015" i="1"/>
  <c r="V8015" i="1"/>
  <c r="W8015" i="1"/>
  <c r="X8015" i="1"/>
  <c r="Y8015" i="1"/>
  <c r="Z8015" i="1"/>
  <c r="A8016" i="1"/>
  <c r="B8016" i="1"/>
  <c r="C8016" i="1"/>
  <c r="D8016" i="1"/>
  <c r="E8016" i="1"/>
  <c r="F8016" i="1"/>
  <c r="G8016" i="1"/>
  <c r="I8016" i="1"/>
  <c r="J8016" i="1"/>
  <c r="K8016" i="1"/>
  <c r="L8016" i="1"/>
  <c r="M8016" i="1"/>
  <c r="N8016" i="1"/>
  <c r="O8016" i="1"/>
  <c r="P8016" i="1"/>
  <c r="Q8016" i="1"/>
  <c r="R8016" i="1"/>
  <c r="S8016" i="1"/>
  <c r="T8016" i="1"/>
  <c r="U8016" i="1"/>
  <c r="V8016" i="1"/>
  <c r="W8016" i="1"/>
  <c r="X8016" i="1"/>
  <c r="Y8016" i="1"/>
  <c r="Z8016" i="1"/>
  <c r="A8017" i="1"/>
  <c r="B8017" i="1"/>
  <c r="C8017" i="1"/>
  <c r="D8017" i="1"/>
  <c r="E8017" i="1"/>
  <c r="F8017" i="1"/>
  <c r="G8017" i="1"/>
  <c r="I8017" i="1"/>
  <c r="J8017" i="1"/>
  <c r="K8017" i="1"/>
  <c r="L8017" i="1"/>
  <c r="M8017" i="1"/>
  <c r="N8017" i="1"/>
  <c r="O8017" i="1"/>
  <c r="P8017" i="1"/>
  <c r="Q8017" i="1"/>
  <c r="R8017" i="1"/>
  <c r="S8017" i="1"/>
  <c r="T8017" i="1"/>
  <c r="U8017" i="1"/>
  <c r="V8017" i="1"/>
  <c r="W8017" i="1"/>
  <c r="X8017" i="1"/>
  <c r="Y8017" i="1"/>
  <c r="Z8017" i="1"/>
  <c r="A8018" i="1"/>
  <c r="B8018" i="1"/>
  <c r="C8018" i="1"/>
  <c r="D8018" i="1"/>
  <c r="E8018" i="1"/>
  <c r="F8018" i="1"/>
  <c r="G8018" i="1"/>
  <c r="I8018" i="1"/>
  <c r="J8018" i="1"/>
  <c r="K8018" i="1"/>
  <c r="L8018" i="1"/>
  <c r="M8018" i="1"/>
  <c r="N8018" i="1"/>
  <c r="O8018" i="1"/>
  <c r="P8018" i="1"/>
  <c r="Q8018" i="1"/>
  <c r="R8018" i="1"/>
  <c r="S8018" i="1"/>
  <c r="T8018" i="1"/>
  <c r="U8018" i="1"/>
  <c r="V8018" i="1"/>
  <c r="W8018" i="1"/>
  <c r="X8018" i="1"/>
  <c r="Y8018" i="1"/>
  <c r="Z8018" i="1"/>
  <c r="A8019" i="1"/>
  <c r="B8019" i="1"/>
  <c r="C8019" i="1"/>
  <c r="D8019" i="1"/>
  <c r="E8019" i="1"/>
  <c r="F8019" i="1"/>
  <c r="G8019" i="1"/>
  <c r="I8019" i="1"/>
  <c r="J8019" i="1"/>
  <c r="K8019" i="1"/>
  <c r="L8019" i="1"/>
  <c r="M8019" i="1"/>
  <c r="N8019" i="1"/>
  <c r="O8019" i="1"/>
  <c r="P8019" i="1"/>
  <c r="Q8019" i="1"/>
  <c r="R8019" i="1"/>
  <c r="S8019" i="1"/>
  <c r="T8019" i="1"/>
  <c r="U8019" i="1"/>
  <c r="V8019" i="1"/>
  <c r="W8019" i="1"/>
  <c r="X8019" i="1"/>
  <c r="Y8019" i="1"/>
  <c r="Z8019" i="1"/>
  <c r="A8020" i="1"/>
  <c r="B8020" i="1"/>
  <c r="C8020" i="1"/>
  <c r="D8020" i="1"/>
  <c r="E8020" i="1"/>
  <c r="F8020" i="1"/>
  <c r="G8020" i="1"/>
  <c r="I8020" i="1"/>
  <c r="J8020" i="1"/>
  <c r="K8020" i="1"/>
  <c r="L8020" i="1"/>
  <c r="M8020" i="1"/>
  <c r="N8020" i="1"/>
  <c r="O8020" i="1"/>
  <c r="P8020" i="1"/>
  <c r="Q8020" i="1"/>
  <c r="R8020" i="1"/>
  <c r="S8020" i="1"/>
  <c r="T8020" i="1"/>
  <c r="U8020" i="1"/>
  <c r="V8020" i="1"/>
  <c r="W8020" i="1"/>
  <c r="X8020" i="1"/>
  <c r="Y8020" i="1"/>
  <c r="Z8020" i="1"/>
  <c r="A8021" i="1"/>
  <c r="B8021" i="1"/>
  <c r="C8021" i="1"/>
  <c r="D8021" i="1"/>
  <c r="E8021" i="1"/>
  <c r="F8021" i="1"/>
  <c r="G8021" i="1"/>
  <c r="I8021" i="1"/>
  <c r="J8021" i="1"/>
  <c r="K8021" i="1"/>
  <c r="L8021" i="1"/>
  <c r="M8021" i="1"/>
  <c r="N8021" i="1"/>
  <c r="O8021" i="1"/>
  <c r="P8021" i="1"/>
  <c r="Q8021" i="1"/>
  <c r="R8021" i="1"/>
  <c r="S8021" i="1"/>
  <c r="T8021" i="1"/>
  <c r="U8021" i="1"/>
  <c r="V8021" i="1"/>
  <c r="W8021" i="1"/>
  <c r="X8021" i="1"/>
  <c r="Y8021" i="1"/>
  <c r="Z8021" i="1"/>
  <c r="A8022" i="1"/>
  <c r="B8022" i="1"/>
  <c r="C8022" i="1"/>
  <c r="D8022" i="1"/>
  <c r="E8022" i="1"/>
  <c r="F8022" i="1"/>
  <c r="G8022" i="1"/>
  <c r="I8022" i="1"/>
  <c r="J8022" i="1"/>
  <c r="K8022" i="1"/>
  <c r="L8022" i="1"/>
  <c r="M8022" i="1"/>
  <c r="N8022" i="1"/>
  <c r="O8022" i="1"/>
  <c r="P8022" i="1"/>
  <c r="Q8022" i="1"/>
  <c r="R8022" i="1"/>
  <c r="S8022" i="1"/>
  <c r="T8022" i="1"/>
  <c r="U8022" i="1"/>
  <c r="V8022" i="1"/>
  <c r="W8022" i="1"/>
  <c r="X8022" i="1"/>
  <c r="Y8022" i="1"/>
  <c r="Z8022" i="1"/>
  <c r="A8023" i="1"/>
  <c r="B8023" i="1"/>
  <c r="C8023" i="1"/>
  <c r="D8023" i="1"/>
  <c r="E8023" i="1"/>
  <c r="F8023" i="1"/>
  <c r="G8023" i="1"/>
  <c r="I8023" i="1"/>
  <c r="J8023" i="1"/>
  <c r="K8023" i="1"/>
  <c r="L8023" i="1"/>
  <c r="M8023" i="1"/>
  <c r="N8023" i="1"/>
  <c r="O8023" i="1"/>
  <c r="P8023" i="1"/>
  <c r="Q8023" i="1"/>
  <c r="R8023" i="1"/>
  <c r="S8023" i="1"/>
  <c r="T8023" i="1"/>
  <c r="U8023" i="1"/>
  <c r="V8023" i="1"/>
  <c r="W8023" i="1"/>
  <c r="X8023" i="1"/>
  <c r="Y8023" i="1"/>
  <c r="Z8023" i="1"/>
  <c r="A8024" i="1"/>
  <c r="B8024" i="1"/>
  <c r="C8024" i="1"/>
  <c r="D8024" i="1"/>
  <c r="E8024" i="1"/>
  <c r="F8024" i="1"/>
  <c r="G8024" i="1"/>
  <c r="I8024" i="1"/>
  <c r="J8024" i="1"/>
  <c r="K8024" i="1"/>
  <c r="L8024" i="1"/>
  <c r="M8024" i="1"/>
  <c r="N8024" i="1"/>
  <c r="O8024" i="1"/>
  <c r="P8024" i="1"/>
  <c r="Q8024" i="1"/>
  <c r="R8024" i="1"/>
  <c r="S8024" i="1"/>
  <c r="T8024" i="1"/>
  <c r="U8024" i="1"/>
  <c r="V8024" i="1"/>
  <c r="W8024" i="1"/>
  <c r="X8024" i="1"/>
  <c r="Y8024" i="1"/>
  <c r="Z8024" i="1"/>
  <c r="A8025" i="1"/>
  <c r="B8025" i="1"/>
  <c r="C8025" i="1"/>
  <c r="D8025" i="1"/>
  <c r="E8025" i="1"/>
  <c r="F8025" i="1"/>
  <c r="G8025" i="1"/>
  <c r="I8025" i="1"/>
  <c r="J8025" i="1"/>
  <c r="K8025" i="1"/>
  <c r="L8025" i="1"/>
  <c r="M8025" i="1"/>
  <c r="N8025" i="1"/>
  <c r="O8025" i="1"/>
  <c r="P8025" i="1"/>
  <c r="Q8025" i="1"/>
  <c r="R8025" i="1"/>
  <c r="S8025" i="1"/>
  <c r="T8025" i="1"/>
  <c r="U8025" i="1"/>
  <c r="V8025" i="1"/>
  <c r="W8025" i="1"/>
  <c r="X8025" i="1"/>
  <c r="Y8025" i="1"/>
  <c r="Z8025" i="1"/>
  <c r="A8026" i="1"/>
  <c r="B8026" i="1"/>
  <c r="C8026" i="1"/>
  <c r="D8026" i="1"/>
  <c r="E8026" i="1"/>
  <c r="F8026" i="1"/>
  <c r="G8026" i="1"/>
  <c r="I8026" i="1"/>
  <c r="J8026" i="1"/>
  <c r="K8026" i="1"/>
  <c r="L8026" i="1"/>
  <c r="M8026" i="1"/>
  <c r="N8026" i="1"/>
  <c r="O8026" i="1"/>
  <c r="P8026" i="1"/>
  <c r="Q8026" i="1"/>
  <c r="R8026" i="1"/>
  <c r="S8026" i="1"/>
  <c r="T8026" i="1"/>
  <c r="U8026" i="1"/>
  <c r="V8026" i="1"/>
  <c r="W8026" i="1"/>
  <c r="X8026" i="1"/>
  <c r="Y8026" i="1"/>
  <c r="Z8026" i="1"/>
  <c r="A8027" i="1"/>
  <c r="B8027" i="1"/>
  <c r="C8027" i="1"/>
  <c r="D8027" i="1"/>
  <c r="E8027" i="1"/>
  <c r="F8027" i="1"/>
  <c r="G8027" i="1"/>
  <c r="I8027" i="1"/>
  <c r="J8027" i="1"/>
  <c r="K8027" i="1"/>
  <c r="L8027" i="1"/>
  <c r="M8027" i="1"/>
  <c r="N8027" i="1"/>
  <c r="O8027" i="1"/>
  <c r="P8027" i="1"/>
  <c r="Q8027" i="1"/>
  <c r="R8027" i="1"/>
  <c r="S8027" i="1"/>
  <c r="T8027" i="1"/>
  <c r="U8027" i="1"/>
  <c r="V8027" i="1"/>
  <c r="W8027" i="1"/>
  <c r="X8027" i="1"/>
  <c r="Y8027" i="1"/>
  <c r="Z8027" i="1"/>
  <c r="A8028" i="1"/>
  <c r="B8028" i="1"/>
  <c r="C8028" i="1"/>
  <c r="D8028" i="1"/>
  <c r="E8028" i="1"/>
  <c r="F8028" i="1"/>
  <c r="G8028" i="1"/>
  <c r="I8028" i="1"/>
  <c r="J8028" i="1"/>
  <c r="K8028" i="1"/>
  <c r="L8028" i="1"/>
  <c r="M8028" i="1"/>
  <c r="N8028" i="1"/>
  <c r="O8028" i="1"/>
  <c r="P8028" i="1"/>
  <c r="Q8028" i="1"/>
  <c r="R8028" i="1"/>
  <c r="S8028" i="1"/>
  <c r="T8028" i="1"/>
  <c r="U8028" i="1"/>
  <c r="V8028" i="1"/>
  <c r="W8028" i="1"/>
  <c r="X8028" i="1"/>
  <c r="Y8028" i="1"/>
  <c r="Z8028" i="1"/>
  <c r="A8029" i="1"/>
  <c r="B8029" i="1"/>
  <c r="C8029" i="1"/>
  <c r="D8029" i="1"/>
  <c r="E8029" i="1"/>
  <c r="F8029" i="1"/>
  <c r="G8029" i="1"/>
  <c r="I8029" i="1"/>
  <c r="J8029" i="1"/>
  <c r="K8029" i="1"/>
  <c r="L8029" i="1"/>
  <c r="M8029" i="1"/>
  <c r="N8029" i="1"/>
  <c r="O8029" i="1"/>
  <c r="P8029" i="1"/>
  <c r="Q8029" i="1"/>
  <c r="R8029" i="1"/>
  <c r="S8029" i="1"/>
  <c r="T8029" i="1"/>
  <c r="U8029" i="1"/>
  <c r="V8029" i="1"/>
  <c r="W8029" i="1"/>
  <c r="X8029" i="1"/>
  <c r="Y8029" i="1"/>
  <c r="Z8029" i="1"/>
  <c r="A8030" i="1"/>
  <c r="B8030" i="1"/>
  <c r="C8030" i="1"/>
  <c r="D8030" i="1"/>
  <c r="E8030" i="1"/>
  <c r="F8030" i="1"/>
  <c r="G8030" i="1"/>
  <c r="I8030" i="1"/>
  <c r="J8030" i="1"/>
  <c r="K8030" i="1"/>
  <c r="L8030" i="1"/>
  <c r="M8030" i="1"/>
  <c r="N8030" i="1"/>
  <c r="O8030" i="1"/>
  <c r="P8030" i="1"/>
  <c r="Q8030" i="1"/>
  <c r="R8030" i="1"/>
  <c r="S8030" i="1"/>
  <c r="T8030" i="1"/>
  <c r="U8030" i="1"/>
  <c r="V8030" i="1"/>
  <c r="W8030" i="1"/>
  <c r="X8030" i="1"/>
  <c r="Y8030" i="1"/>
  <c r="Z8030" i="1"/>
  <c r="A8031" i="1"/>
  <c r="B8031" i="1"/>
  <c r="C8031" i="1"/>
  <c r="D8031" i="1"/>
  <c r="E8031" i="1"/>
  <c r="F8031" i="1"/>
  <c r="G8031" i="1"/>
  <c r="I8031" i="1"/>
  <c r="J8031" i="1"/>
  <c r="K8031" i="1"/>
  <c r="L8031" i="1"/>
  <c r="M8031" i="1"/>
  <c r="N8031" i="1"/>
  <c r="O8031" i="1"/>
  <c r="P8031" i="1"/>
  <c r="Q8031" i="1"/>
  <c r="R8031" i="1"/>
  <c r="S8031" i="1"/>
  <c r="T8031" i="1"/>
  <c r="U8031" i="1"/>
  <c r="V8031" i="1"/>
  <c r="W8031" i="1"/>
  <c r="X8031" i="1"/>
  <c r="Y8031" i="1"/>
  <c r="Z8031" i="1"/>
  <c r="A8032" i="1"/>
  <c r="B8032" i="1"/>
  <c r="C8032" i="1"/>
  <c r="D8032" i="1"/>
  <c r="E8032" i="1"/>
  <c r="F8032" i="1"/>
  <c r="G8032" i="1"/>
  <c r="I8032" i="1"/>
  <c r="J8032" i="1"/>
  <c r="K8032" i="1"/>
  <c r="L8032" i="1"/>
  <c r="M8032" i="1"/>
  <c r="N8032" i="1"/>
  <c r="O8032" i="1"/>
  <c r="P8032" i="1"/>
  <c r="Q8032" i="1"/>
  <c r="R8032" i="1"/>
  <c r="S8032" i="1"/>
  <c r="T8032" i="1"/>
  <c r="U8032" i="1"/>
  <c r="V8032" i="1"/>
  <c r="W8032" i="1"/>
  <c r="X8032" i="1"/>
  <c r="Y8032" i="1"/>
  <c r="Z8032" i="1"/>
  <c r="A8033" i="1"/>
  <c r="B8033" i="1"/>
  <c r="C8033" i="1"/>
  <c r="D8033" i="1"/>
  <c r="E8033" i="1"/>
  <c r="F8033" i="1"/>
  <c r="G8033" i="1"/>
  <c r="I8033" i="1"/>
  <c r="J8033" i="1"/>
  <c r="K8033" i="1"/>
  <c r="L8033" i="1"/>
  <c r="M8033" i="1"/>
  <c r="N8033" i="1"/>
  <c r="O8033" i="1"/>
  <c r="P8033" i="1"/>
  <c r="Q8033" i="1"/>
  <c r="R8033" i="1"/>
  <c r="S8033" i="1"/>
  <c r="T8033" i="1"/>
  <c r="U8033" i="1"/>
  <c r="V8033" i="1"/>
  <c r="W8033" i="1"/>
  <c r="X8033" i="1"/>
  <c r="Y8033" i="1"/>
  <c r="Z8033" i="1"/>
  <c r="A8034" i="1"/>
  <c r="B8034" i="1"/>
  <c r="C8034" i="1"/>
  <c r="D8034" i="1"/>
  <c r="E8034" i="1"/>
  <c r="F8034" i="1"/>
  <c r="G8034" i="1"/>
  <c r="I8034" i="1"/>
  <c r="J8034" i="1"/>
  <c r="K8034" i="1"/>
  <c r="L8034" i="1"/>
  <c r="M8034" i="1"/>
  <c r="N8034" i="1"/>
  <c r="O8034" i="1"/>
  <c r="P8034" i="1"/>
  <c r="Q8034" i="1"/>
  <c r="R8034" i="1"/>
  <c r="S8034" i="1"/>
  <c r="T8034" i="1"/>
  <c r="U8034" i="1"/>
  <c r="V8034" i="1"/>
  <c r="W8034" i="1"/>
  <c r="X8034" i="1"/>
  <c r="Y8034" i="1"/>
  <c r="Z8034" i="1"/>
  <c r="A8035" i="1"/>
  <c r="B8035" i="1"/>
  <c r="C8035" i="1"/>
  <c r="D8035" i="1"/>
  <c r="E8035" i="1"/>
  <c r="F8035" i="1"/>
  <c r="G8035" i="1"/>
  <c r="I8035" i="1"/>
  <c r="J8035" i="1"/>
  <c r="K8035" i="1"/>
  <c r="L8035" i="1"/>
  <c r="M8035" i="1"/>
  <c r="N8035" i="1"/>
  <c r="O8035" i="1"/>
  <c r="P8035" i="1"/>
  <c r="Q8035" i="1"/>
  <c r="R8035" i="1"/>
  <c r="S8035" i="1"/>
  <c r="T8035" i="1"/>
  <c r="U8035" i="1"/>
  <c r="V8035" i="1"/>
  <c r="W8035" i="1"/>
  <c r="X8035" i="1"/>
  <c r="Y8035" i="1"/>
  <c r="Z8035" i="1"/>
  <c r="A8036" i="1"/>
  <c r="B8036" i="1"/>
  <c r="C8036" i="1"/>
  <c r="D8036" i="1"/>
  <c r="E8036" i="1"/>
  <c r="F8036" i="1"/>
  <c r="G8036" i="1"/>
  <c r="I8036" i="1"/>
  <c r="J8036" i="1"/>
  <c r="K8036" i="1"/>
  <c r="L8036" i="1"/>
  <c r="M8036" i="1"/>
  <c r="N8036" i="1"/>
  <c r="O8036" i="1"/>
  <c r="P8036" i="1"/>
  <c r="Q8036" i="1"/>
  <c r="R8036" i="1"/>
  <c r="S8036" i="1"/>
  <c r="T8036" i="1"/>
  <c r="U8036" i="1"/>
  <c r="V8036" i="1"/>
  <c r="W8036" i="1"/>
  <c r="X8036" i="1"/>
  <c r="Y8036" i="1"/>
  <c r="Z8036" i="1"/>
  <c r="A8037" i="1"/>
  <c r="B8037" i="1"/>
  <c r="C8037" i="1"/>
  <c r="D8037" i="1"/>
  <c r="E8037" i="1"/>
  <c r="F8037" i="1"/>
  <c r="G8037" i="1"/>
  <c r="I8037" i="1"/>
  <c r="J8037" i="1"/>
  <c r="K8037" i="1"/>
  <c r="L8037" i="1"/>
  <c r="M8037" i="1"/>
  <c r="N8037" i="1"/>
  <c r="O8037" i="1"/>
  <c r="P8037" i="1"/>
  <c r="Q8037" i="1"/>
  <c r="R8037" i="1"/>
  <c r="S8037" i="1"/>
  <c r="T8037" i="1"/>
  <c r="U8037" i="1"/>
  <c r="V8037" i="1"/>
  <c r="W8037" i="1"/>
  <c r="X8037" i="1"/>
  <c r="Y8037" i="1"/>
  <c r="Z8037" i="1"/>
  <c r="A8038" i="1"/>
  <c r="B8038" i="1"/>
  <c r="C8038" i="1"/>
  <c r="D8038" i="1"/>
  <c r="E8038" i="1"/>
  <c r="F8038" i="1"/>
  <c r="G8038" i="1"/>
  <c r="I8038" i="1"/>
  <c r="J8038" i="1"/>
  <c r="K8038" i="1"/>
  <c r="L8038" i="1"/>
  <c r="M8038" i="1"/>
  <c r="N8038" i="1"/>
  <c r="O8038" i="1"/>
  <c r="P8038" i="1"/>
  <c r="Q8038" i="1"/>
  <c r="R8038" i="1"/>
  <c r="S8038" i="1"/>
  <c r="T8038" i="1"/>
  <c r="U8038" i="1"/>
  <c r="V8038" i="1"/>
  <c r="W8038" i="1"/>
  <c r="X8038" i="1"/>
  <c r="Y8038" i="1"/>
  <c r="Z8038" i="1"/>
  <c r="A8039" i="1"/>
  <c r="B8039" i="1"/>
  <c r="C8039" i="1"/>
  <c r="D8039" i="1"/>
  <c r="E8039" i="1"/>
  <c r="F8039" i="1"/>
  <c r="G8039" i="1"/>
  <c r="I8039" i="1"/>
  <c r="J8039" i="1"/>
  <c r="K8039" i="1"/>
  <c r="L8039" i="1"/>
  <c r="M8039" i="1"/>
  <c r="N8039" i="1"/>
  <c r="O8039" i="1"/>
  <c r="P8039" i="1"/>
  <c r="Q8039" i="1"/>
  <c r="R8039" i="1"/>
  <c r="S8039" i="1"/>
  <c r="T8039" i="1"/>
  <c r="U8039" i="1"/>
  <c r="V8039" i="1"/>
  <c r="W8039" i="1"/>
  <c r="X8039" i="1"/>
  <c r="Y8039" i="1"/>
  <c r="Z8039" i="1"/>
  <c r="A8040" i="1"/>
  <c r="B8040" i="1"/>
  <c r="C8040" i="1"/>
  <c r="D8040" i="1"/>
  <c r="E8040" i="1"/>
  <c r="F8040" i="1"/>
  <c r="G8040" i="1"/>
  <c r="I8040" i="1"/>
  <c r="J8040" i="1"/>
  <c r="K8040" i="1"/>
  <c r="L8040" i="1"/>
  <c r="M8040" i="1"/>
  <c r="N8040" i="1"/>
  <c r="O8040" i="1"/>
  <c r="P8040" i="1"/>
  <c r="Q8040" i="1"/>
  <c r="R8040" i="1"/>
  <c r="S8040" i="1"/>
  <c r="T8040" i="1"/>
  <c r="U8040" i="1"/>
  <c r="V8040" i="1"/>
  <c r="W8040" i="1"/>
  <c r="X8040" i="1"/>
  <c r="Y8040" i="1"/>
  <c r="Z8040" i="1"/>
  <c r="A8041" i="1"/>
  <c r="B8041" i="1"/>
  <c r="C8041" i="1"/>
  <c r="D8041" i="1"/>
  <c r="E8041" i="1"/>
  <c r="F8041" i="1"/>
  <c r="G8041" i="1"/>
  <c r="I8041" i="1"/>
  <c r="J8041" i="1"/>
  <c r="K8041" i="1"/>
  <c r="L8041" i="1"/>
  <c r="M8041" i="1"/>
  <c r="N8041" i="1"/>
  <c r="O8041" i="1"/>
  <c r="P8041" i="1"/>
  <c r="Q8041" i="1"/>
  <c r="R8041" i="1"/>
  <c r="S8041" i="1"/>
  <c r="T8041" i="1"/>
  <c r="U8041" i="1"/>
  <c r="V8041" i="1"/>
  <c r="W8041" i="1"/>
  <c r="X8041" i="1"/>
  <c r="Y8041" i="1"/>
  <c r="Z8041" i="1"/>
  <c r="A8042" i="1"/>
  <c r="B8042" i="1"/>
  <c r="C8042" i="1"/>
  <c r="D8042" i="1"/>
  <c r="E8042" i="1"/>
  <c r="F8042" i="1"/>
  <c r="G8042" i="1"/>
  <c r="I8042" i="1"/>
  <c r="J8042" i="1"/>
  <c r="K8042" i="1"/>
  <c r="L8042" i="1"/>
  <c r="M8042" i="1"/>
  <c r="N8042" i="1"/>
  <c r="O8042" i="1"/>
  <c r="P8042" i="1"/>
  <c r="Q8042" i="1"/>
  <c r="R8042" i="1"/>
  <c r="S8042" i="1"/>
  <c r="T8042" i="1"/>
  <c r="U8042" i="1"/>
  <c r="V8042" i="1"/>
  <c r="W8042" i="1"/>
  <c r="X8042" i="1"/>
  <c r="Y8042" i="1"/>
  <c r="Z8042" i="1"/>
  <c r="A8043" i="1"/>
  <c r="B8043" i="1"/>
  <c r="C8043" i="1"/>
  <c r="D8043" i="1"/>
  <c r="E8043" i="1"/>
  <c r="F8043" i="1"/>
  <c r="G8043" i="1"/>
  <c r="I8043" i="1"/>
  <c r="J8043" i="1"/>
  <c r="K8043" i="1"/>
  <c r="L8043" i="1"/>
  <c r="M8043" i="1"/>
  <c r="N8043" i="1"/>
  <c r="O8043" i="1"/>
  <c r="P8043" i="1"/>
  <c r="Q8043" i="1"/>
  <c r="R8043" i="1"/>
  <c r="S8043" i="1"/>
  <c r="T8043" i="1"/>
  <c r="U8043" i="1"/>
  <c r="V8043" i="1"/>
  <c r="W8043" i="1"/>
  <c r="X8043" i="1"/>
  <c r="Y8043" i="1"/>
  <c r="Z8043" i="1"/>
  <c r="A8044" i="1"/>
  <c r="B8044" i="1"/>
  <c r="C8044" i="1"/>
  <c r="D8044" i="1"/>
  <c r="E8044" i="1"/>
  <c r="F8044" i="1"/>
  <c r="G8044" i="1"/>
  <c r="I8044" i="1"/>
  <c r="J8044" i="1"/>
  <c r="K8044" i="1"/>
  <c r="L8044" i="1"/>
  <c r="M8044" i="1"/>
  <c r="N8044" i="1"/>
  <c r="O8044" i="1"/>
  <c r="P8044" i="1"/>
  <c r="Q8044" i="1"/>
  <c r="R8044" i="1"/>
  <c r="S8044" i="1"/>
  <c r="T8044" i="1"/>
  <c r="U8044" i="1"/>
  <c r="V8044" i="1"/>
  <c r="W8044" i="1"/>
  <c r="X8044" i="1"/>
  <c r="Y8044" i="1"/>
  <c r="Z8044" i="1"/>
  <c r="A8045" i="1"/>
  <c r="B8045" i="1"/>
  <c r="C8045" i="1"/>
  <c r="D8045" i="1"/>
  <c r="E8045" i="1"/>
  <c r="F8045" i="1"/>
  <c r="G8045" i="1"/>
  <c r="I8045" i="1"/>
  <c r="J8045" i="1"/>
  <c r="K8045" i="1"/>
  <c r="L8045" i="1"/>
  <c r="M8045" i="1"/>
  <c r="N8045" i="1"/>
  <c r="O8045" i="1"/>
  <c r="P8045" i="1"/>
  <c r="Q8045" i="1"/>
  <c r="R8045" i="1"/>
  <c r="S8045" i="1"/>
  <c r="T8045" i="1"/>
  <c r="U8045" i="1"/>
  <c r="V8045" i="1"/>
  <c r="W8045" i="1"/>
  <c r="X8045" i="1"/>
  <c r="Y8045" i="1"/>
  <c r="Z8045" i="1"/>
  <c r="A8046" i="1"/>
  <c r="B8046" i="1"/>
  <c r="C8046" i="1"/>
  <c r="D8046" i="1"/>
  <c r="E8046" i="1"/>
  <c r="F8046" i="1"/>
  <c r="G8046" i="1"/>
  <c r="I8046" i="1"/>
  <c r="J8046" i="1"/>
  <c r="K8046" i="1"/>
  <c r="L8046" i="1"/>
  <c r="M8046" i="1"/>
  <c r="N8046" i="1"/>
  <c r="O8046" i="1"/>
  <c r="P8046" i="1"/>
  <c r="Q8046" i="1"/>
  <c r="R8046" i="1"/>
  <c r="S8046" i="1"/>
  <c r="T8046" i="1"/>
  <c r="U8046" i="1"/>
  <c r="V8046" i="1"/>
  <c r="W8046" i="1"/>
  <c r="X8046" i="1"/>
  <c r="Y8046" i="1"/>
  <c r="Z8046" i="1"/>
  <c r="A8047" i="1"/>
  <c r="B8047" i="1"/>
  <c r="C8047" i="1"/>
  <c r="D8047" i="1"/>
  <c r="E8047" i="1"/>
  <c r="F8047" i="1"/>
  <c r="G8047" i="1"/>
  <c r="I8047" i="1"/>
  <c r="J8047" i="1"/>
  <c r="K8047" i="1"/>
  <c r="L8047" i="1"/>
  <c r="M8047" i="1"/>
  <c r="N8047" i="1"/>
  <c r="O8047" i="1"/>
  <c r="P8047" i="1"/>
  <c r="Q8047" i="1"/>
  <c r="R8047" i="1"/>
  <c r="S8047" i="1"/>
  <c r="T8047" i="1"/>
  <c r="U8047" i="1"/>
  <c r="V8047" i="1"/>
  <c r="W8047" i="1"/>
  <c r="X8047" i="1"/>
  <c r="Y8047" i="1"/>
  <c r="Z8047" i="1"/>
  <c r="A8048" i="1"/>
  <c r="B8048" i="1"/>
  <c r="C8048" i="1"/>
  <c r="D8048" i="1"/>
  <c r="E8048" i="1"/>
  <c r="F8048" i="1"/>
  <c r="G8048" i="1"/>
  <c r="I8048" i="1"/>
  <c r="J8048" i="1"/>
  <c r="K8048" i="1"/>
  <c r="L8048" i="1"/>
  <c r="M8048" i="1"/>
  <c r="N8048" i="1"/>
  <c r="O8048" i="1"/>
  <c r="P8048" i="1"/>
  <c r="Q8048" i="1"/>
  <c r="R8048" i="1"/>
  <c r="S8048" i="1"/>
  <c r="T8048" i="1"/>
  <c r="U8048" i="1"/>
  <c r="V8048" i="1"/>
  <c r="W8048" i="1"/>
  <c r="X8048" i="1"/>
  <c r="Y8048" i="1"/>
  <c r="Z8048" i="1"/>
  <c r="A8049" i="1"/>
  <c r="B8049" i="1"/>
  <c r="C8049" i="1"/>
  <c r="D8049" i="1"/>
  <c r="E8049" i="1"/>
  <c r="F8049" i="1"/>
  <c r="G8049" i="1"/>
  <c r="I8049" i="1"/>
  <c r="J8049" i="1"/>
  <c r="K8049" i="1"/>
  <c r="L8049" i="1"/>
  <c r="M8049" i="1"/>
  <c r="N8049" i="1"/>
  <c r="O8049" i="1"/>
  <c r="P8049" i="1"/>
  <c r="Q8049" i="1"/>
  <c r="R8049" i="1"/>
  <c r="S8049" i="1"/>
  <c r="T8049" i="1"/>
  <c r="U8049" i="1"/>
  <c r="V8049" i="1"/>
  <c r="W8049" i="1"/>
  <c r="X8049" i="1"/>
  <c r="Y8049" i="1"/>
  <c r="Z8049" i="1"/>
  <c r="A8050" i="1"/>
  <c r="B8050" i="1"/>
  <c r="C8050" i="1"/>
  <c r="D8050" i="1"/>
  <c r="E8050" i="1"/>
  <c r="F8050" i="1"/>
  <c r="G8050" i="1"/>
  <c r="I8050" i="1"/>
  <c r="J8050" i="1"/>
  <c r="K8050" i="1"/>
  <c r="L8050" i="1"/>
  <c r="M8050" i="1"/>
  <c r="N8050" i="1"/>
  <c r="O8050" i="1"/>
  <c r="P8050" i="1"/>
  <c r="Q8050" i="1"/>
  <c r="R8050" i="1"/>
  <c r="S8050" i="1"/>
  <c r="T8050" i="1"/>
  <c r="U8050" i="1"/>
  <c r="V8050" i="1"/>
  <c r="W8050" i="1"/>
  <c r="X8050" i="1"/>
  <c r="Y8050" i="1"/>
  <c r="Z8050" i="1"/>
  <c r="A8051" i="1"/>
  <c r="B8051" i="1"/>
  <c r="C8051" i="1"/>
  <c r="D8051" i="1"/>
  <c r="E8051" i="1"/>
  <c r="F8051" i="1"/>
  <c r="G8051" i="1"/>
  <c r="I8051" i="1"/>
  <c r="J8051" i="1"/>
  <c r="K8051" i="1"/>
  <c r="L8051" i="1"/>
  <c r="M8051" i="1"/>
  <c r="N8051" i="1"/>
  <c r="O8051" i="1"/>
  <c r="P8051" i="1"/>
  <c r="Q8051" i="1"/>
  <c r="R8051" i="1"/>
  <c r="S8051" i="1"/>
  <c r="T8051" i="1"/>
  <c r="U8051" i="1"/>
  <c r="V8051" i="1"/>
  <c r="W8051" i="1"/>
  <c r="X8051" i="1"/>
  <c r="Y8051" i="1"/>
  <c r="Z8051" i="1"/>
  <c r="A8052" i="1"/>
  <c r="B8052" i="1"/>
  <c r="C8052" i="1"/>
  <c r="D8052" i="1"/>
  <c r="E8052" i="1"/>
  <c r="F8052" i="1"/>
  <c r="G8052" i="1"/>
  <c r="I8052" i="1"/>
  <c r="J8052" i="1"/>
  <c r="K8052" i="1"/>
  <c r="L8052" i="1"/>
  <c r="M8052" i="1"/>
  <c r="N8052" i="1"/>
  <c r="O8052" i="1"/>
  <c r="P8052" i="1"/>
  <c r="Q8052" i="1"/>
  <c r="R8052" i="1"/>
  <c r="S8052" i="1"/>
  <c r="T8052" i="1"/>
  <c r="U8052" i="1"/>
  <c r="V8052" i="1"/>
  <c r="W8052" i="1"/>
  <c r="X8052" i="1"/>
  <c r="Y8052" i="1"/>
  <c r="Z8052" i="1"/>
  <c r="A8053" i="1"/>
  <c r="B8053" i="1"/>
  <c r="C8053" i="1"/>
  <c r="D8053" i="1"/>
  <c r="E8053" i="1"/>
  <c r="F8053" i="1"/>
  <c r="G8053" i="1"/>
  <c r="I8053" i="1"/>
  <c r="J8053" i="1"/>
  <c r="K8053" i="1"/>
  <c r="L8053" i="1"/>
  <c r="M8053" i="1"/>
  <c r="N8053" i="1"/>
  <c r="O8053" i="1"/>
  <c r="P8053" i="1"/>
  <c r="Q8053" i="1"/>
  <c r="R8053" i="1"/>
  <c r="S8053" i="1"/>
  <c r="T8053" i="1"/>
  <c r="U8053" i="1"/>
  <c r="V8053" i="1"/>
  <c r="W8053" i="1"/>
  <c r="X8053" i="1"/>
  <c r="Y8053" i="1"/>
  <c r="Z8053" i="1"/>
  <c r="A8054" i="1"/>
  <c r="B8054" i="1"/>
  <c r="C8054" i="1"/>
  <c r="D8054" i="1"/>
  <c r="E8054" i="1"/>
  <c r="F8054" i="1"/>
  <c r="G8054" i="1"/>
  <c r="I8054" i="1"/>
  <c r="J8054" i="1"/>
  <c r="K8054" i="1"/>
  <c r="L8054" i="1"/>
  <c r="M8054" i="1"/>
  <c r="N8054" i="1"/>
  <c r="O8054" i="1"/>
  <c r="P8054" i="1"/>
  <c r="Q8054" i="1"/>
  <c r="R8054" i="1"/>
  <c r="S8054" i="1"/>
  <c r="T8054" i="1"/>
  <c r="U8054" i="1"/>
  <c r="V8054" i="1"/>
  <c r="W8054" i="1"/>
  <c r="X8054" i="1"/>
  <c r="Y8054" i="1"/>
  <c r="Z8054" i="1"/>
  <c r="A8055" i="1"/>
  <c r="B8055" i="1"/>
  <c r="C8055" i="1"/>
  <c r="D8055" i="1"/>
  <c r="E8055" i="1"/>
  <c r="F8055" i="1"/>
  <c r="G8055" i="1"/>
  <c r="I8055" i="1"/>
  <c r="J8055" i="1"/>
  <c r="K8055" i="1"/>
  <c r="L8055" i="1"/>
  <c r="M8055" i="1"/>
  <c r="N8055" i="1"/>
  <c r="O8055" i="1"/>
  <c r="P8055" i="1"/>
  <c r="Q8055" i="1"/>
  <c r="R8055" i="1"/>
  <c r="S8055" i="1"/>
  <c r="T8055" i="1"/>
  <c r="U8055" i="1"/>
  <c r="V8055" i="1"/>
  <c r="W8055" i="1"/>
  <c r="X8055" i="1"/>
  <c r="Y8055" i="1"/>
  <c r="Z8055" i="1"/>
  <c r="A8056" i="1"/>
  <c r="B8056" i="1"/>
  <c r="C8056" i="1"/>
  <c r="D8056" i="1"/>
  <c r="E8056" i="1"/>
  <c r="F8056" i="1"/>
  <c r="G8056" i="1"/>
  <c r="I8056" i="1"/>
  <c r="J8056" i="1"/>
  <c r="K8056" i="1"/>
  <c r="L8056" i="1"/>
  <c r="M8056" i="1"/>
  <c r="N8056" i="1"/>
  <c r="O8056" i="1"/>
  <c r="P8056" i="1"/>
  <c r="Q8056" i="1"/>
  <c r="R8056" i="1"/>
  <c r="S8056" i="1"/>
  <c r="T8056" i="1"/>
  <c r="U8056" i="1"/>
  <c r="V8056" i="1"/>
  <c r="W8056" i="1"/>
  <c r="X8056" i="1"/>
  <c r="Y8056" i="1"/>
  <c r="Z8056" i="1"/>
  <c r="A8057" i="1"/>
  <c r="B8057" i="1"/>
  <c r="C8057" i="1"/>
  <c r="D8057" i="1"/>
  <c r="E8057" i="1"/>
  <c r="F8057" i="1"/>
  <c r="G8057" i="1"/>
  <c r="I8057" i="1"/>
  <c r="J8057" i="1"/>
  <c r="K8057" i="1"/>
  <c r="L8057" i="1"/>
  <c r="M8057" i="1"/>
  <c r="N8057" i="1"/>
  <c r="O8057" i="1"/>
  <c r="P8057" i="1"/>
  <c r="Q8057" i="1"/>
  <c r="R8057" i="1"/>
  <c r="S8057" i="1"/>
  <c r="T8057" i="1"/>
  <c r="U8057" i="1"/>
  <c r="V8057" i="1"/>
  <c r="W8057" i="1"/>
  <c r="X8057" i="1"/>
  <c r="Y8057" i="1"/>
  <c r="Z8057" i="1"/>
  <c r="A8058" i="1"/>
  <c r="B8058" i="1"/>
  <c r="C8058" i="1"/>
  <c r="D8058" i="1"/>
  <c r="E8058" i="1"/>
  <c r="F8058" i="1"/>
  <c r="G8058" i="1"/>
  <c r="I8058" i="1"/>
  <c r="J8058" i="1"/>
  <c r="K8058" i="1"/>
  <c r="L8058" i="1"/>
  <c r="M8058" i="1"/>
  <c r="N8058" i="1"/>
  <c r="O8058" i="1"/>
  <c r="P8058" i="1"/>
  <c r="Q8058" i="1"/>
  <c r="R8058" i="1"/>
  <c r="S8058" i="1"/>
  <c r="T8058" i="1"/>
  <c r="U8058" i="1"/>
  <c r="V8058" i="1"/>
  <c r="W8058" i="1"/>
  <c r="X8058" i="1"/>
  <c r="Y8058" i="1"/>
  <c r="Z8058" i="1"/>
  <c r="A8059" i="1"/>
  <c r="B8059" i="1"/>
  <c r="C8059" i="1"/>
  <c r="D8059" i="1"/>
  <c r="E8059" i="1"/>
  <c r="F8059" i="1"/>
  <c r="G8059" i="1"/>
  <c r="I8059" i="1"/>
  <c r="J8059" i="1"/>
  <c r="K8059" i="1"/>
  <c r="L8059" i="1"/>
  <c r="M8059" i="1"/>
  <c r="N8059" i="1"/>
  <c r="O8059" i="1"/>
  <c r="P8059" i="1"/>
  <c r="Q8059" i="1"/>
  <c r="R8059" i="1"/>
  <c r="S8059" i="1"/>
  <c r="T8059" i="1"/>
  <c r="U8059" i="1"/>
  <c r="V8059" i="1"/>
  <c r="W8059" i="1"/>
  <c r="X8059" i="1"/>
  <c r="Y8059" i="1"/>
  <c r="Z8059" i="1"/>
  <c r="A8060" i="1"/>
  <c r="B8060" i="1"/>
  <c r="C8060" i="1"/>
  <c r="D8060" i="1"/>
  <c r="E8060" i="1"/>
  <c r="F8060" i="1"/>
  <c r="G8060" i="1"/>
  <c r="I8060" i="1"/>
  <c r="J8060" i="1"/>
  <c r="K8060" i="1"/>
  <c r="L8060" i="1"/>
  <c r="M8060" i="1"/>
  <c r="N8060" i="1"/>
  <c r="O8060" i="1"/>
  <c r="P8060" i="1"/>
  <c r="Q8060" i="1"/>
  <c r="R8060" i="1"/>
  <c r="S8060" i="1"/>
  <c r="T8060" i="1"/>
  <c r="U8060" i="1"/>
  <c r="V8060" i="1"/>
  <c r="W8060" i="1"/>
  <c r="X8060" i="1"/>
  <c r="Y8060" i="1"/>
  <c r="Z8060" i="1"/>
  <c r="A8061" i="1"/>
  <c r="B8061" i="1"/>
  <c r="C8061" i="1"/>
  <c r="D8061" i="1"/>
  <c r="E8061" i="1"/>
  <c r="F8061" i="1"/>
  <c r="G8061" i="1"/>
  <c r="I8061" i="1"/>
  <c r="J8061" i="1"/>
  <c r="K8061" i="1"/>
  <c r="L8061" i="1"/>
  <c r="M8061" i="1"/>
  <c r="N8061" i="1"/>
  <c r="O8061" i="1"/>
  <c r="P8061" i="1"/>
  <c r="Q8061" i="1"/>
  <c r="R8061" i="1"/>
  <c r="S8061" i="1"/>
  <c r="T8061" i="1"/>
  <c r="U8061" i="1"/>
  <c r="V8061" i="1"/>
  <c r="W8061" i="1"/>
  <c r="X8061" i="1"/>
  <c r="Y8061" i="1"/>
  <c r="Z8061" i="1"/>
  <c r="A8062" i="1"/>
  <c r="B8062" i="1"/>
  <c r="C8062" i="1"/>
  <c r="D8062" i="1"/>
  <c r="E8062" i="1"/>
  <c r="F8062" i="1"/>
  <c r="G8062" i="1"/>
  <c r="I8062" i="1"/>
  <c r="J8062" i="1"/>
  <c r="K8062" i="1"/>
  <c r="L8062" i="1"/>
  <c r="M8062" i="1"/>
  <c r="N8062" i="1"/>
  <c r="O8062" i="1"/>
  <c r="P8062" i="1"/>
  <c r="Q8062" i="1"/>
  <c r="R8062" i="1"/>
  <c r="S8062" i="1"/>
  <c r="T8062" i="1"/>
  <c r="U8062" i="1"/>
  <c r="V8062" i="1"/>
  <c r="W8062" i="1"/>
  <c r="X8062" i="1"/>
  <c r="Y8062" i="1"/>
  <c r="Z8062" i="1"/>
  <c r="A8063" i="1"/>
  <c r="B8063" i="1"/>
  <c r="C8063" i="1"/>
  <c r="D8063" i="1"/>
  <c r="E8063" i="1"/>
  <c r="F8063" i="1"/>
  <c r="G8063" i="1"/>
  <c r="I8063" i="1"/>
  <c r="J8063" i="1"/>
  <c r="K8063" i="1"/>
  <c r="L8063" i="1"/>
  <c r="M8063" i="1"/>
  <c r="N8063" i="1"/>
  <c r="O8063" i="1"/>
  <c r="P8063" i="1"/>
  <c r="Q8063" i="1"/>
  <c r="R8063" i="1"/>
  <c r="S8063" i="1"/>
  <c r="T8063" i="1"/>
  <c r="U8063" i="1"/>
  <c r="V8063" i="1"/>
  <c r="W8063" i="1"/>
  <c r="X8063" i="1"/>
  <c r="Y8063" i="1"/>
  <c r="Z8063" i="1"/>
  <c r="A8064" i="1"/>
  <c r="B8064" i="1"/>
  <c r="C8064" i="1"/>
  <c r="D8064" i="1"/>
  <c r="E8064" i="1"/>
  <c r="F8064" i="1"/>
  <c r="G8064" i="1"/>
  <c r="I8064" i="1"/>
  <c r="J8064" i="1"/>
  <c r="K8064" i="1"/>
  <c r="L8064" i="1"/>
  <c r="M8064" i="1"/>
  <c r="N8064" i="1"/>
  <c r="O8064" i="1"/>
  <c r="P8064" i="1"/>
  <c r="Q8064" i="1"/>
  <c r="R8064" i="1"/>
  <c r="S8064" i="1"/>
  <c r="T8064" i="1"/>
  <c r="U8064" i="1"/>
  <c r="V8064" i="1"/>
  <c r="W8064" i="1"/>
  <c r="X8064" i="1"/>
  <c r="Y8064" i="1"/>
  <c r="Z8064" i="1"/>
  <c r="A8065" i="1"/>
  <c r="B8065" i="1"/>
  <c r="C8065" i="1"/>
  <c r="D8065" i="1"/>
  <c r="E8065" i="1"/>
  <c r="F8065" i="1"/>
  <c r="G8065" i="1"/>
  <c r="I8065" i="1"/>
  <c r="J8065" i="1"/>
  <c r="K8065" i="1"/>
  <c r="L8065" i="1"/>
  <c r="M8065" i="1"/>
  <c r="N8065" i="1"/>
  <c r="O8065" i="1"/>
  <c r="P8065" i="1"/>
  <c r="Q8065" i="1"/>
  <c r="R8065" i="1"/>
  <c r="S8065" i="1"/>
  <c r="T8065" i="1"/>
  <c r="U8065" i="1"/>
  <c r="V8065" i="1"/>
  <c r="W8065" i="1"/>
  <c r="X8065" i="1"/>
  <c r="Y8065" i="1"/>
  <c r="Z8065" i="1"/>
  <c r="A8066" i="1"/>
  <c r="B8066" i="1"/>
  <c r="C8066" i="1"/>
  <c r="D8066" i="1"/>
  <c r="E8066" i="1"/>
  <c r="F8066" i="1"/>
  <c r="G8066" i="1"/>
  <c r="I8066" i="1"/>
  <c r="J8066" i="1"/>
  <c r="K8066" i="1"/>
  <c r="L8066" i="1"/>
  <c r="M8066" i="1"/>
  <c r="N8066" i="1"/>
  <c r="O8066" i="1"/>
  <c r="P8066" i="1"/>
  <c r="Q8066" i="1"/>
  <c r="R8066" i="1"/>
  <c r="S8066" i="1"/>
  <c r="T8066" i="1"/>
  <c r="U8066" i="1"/>
  <c r="V8066" i="1"/>
  <c r="W8066" i="1"/>
  <c r="X8066" i="1"/>
  <c r="Y8066" i="1"/>
  <c r="Z8066" i="1"/>
  <c r="A8067" i="1"/>
  <c r="B8067" i="1"/>
  <c r="C8067" i="1"/>
  <c r="D8067" i="1"/>
  <c r="E8067" i="1"/>
  <c r="F8067" i="1"/>
  <c r="G8067" i="1"/>
  <c r="I8067" i="1"/>
  <c r="J8067" i="1"/>
  <c r="K8067" i="1"/>
  <c r="L8067" i="1"/>
  <c r="M8067" i="1"/>
  <c r="N8067" i="1"/>
  <c r="O8067" i="1"/>
  <c r="P8067" i="1"/>
  <c r="Q8067" i="1"/>
  <c r="R8067" i="1"/>
  <c r="S8067" i="1"/>
  <c r="T8067" i="1"/>
  <c r="U8067" i="1"/>
  <c r="V8067" i="1"/>
  <c r="W8067" i="1"/>
  <c r="X8067" i="1"/>
  <c r="Y8067" i="1"/>
  <c r="Z8067" i="1"/>
  <c r="A8068" i="1"/>
  <c r="B8068" i="1"/>
  <c r="C8068" i="1"/>
  <c r="D8068" i="1"/>
  <c r="E8068" i="1"/>
  <c r="F8068" i="1"/>
  <c r="G8068" i="1"/>
  <c r="I8068" i="1"/>
  <c r="J8068" i="1"/>
  <c r="K8068" i="1"/>
  <c r="L8068" i="1"/>
  <c r="M8068" i="1"/>
  <c r="N8068" i="1"/>
  <c r="O8068" i="1"/>
  <c r="P8068" i="1"/>
  <c r="Q8068" i="1"/>
  <c r="R8068" i="1"/>
  <c r="S8068" i="1"/>
  <c r="T8068" i="1"/>
  <c r="U8068" i="1"/>
  <c r="V8068" i="1"/>
  <c r="W8068" i="1"/>
  <c r="X8068" i="1"/>
  <c r="Y8068" i="1"/>
  <c r="Z8068" i="1"/>
  <c r="A8069" i="1"/>
  <c r="B8069" i="1"/>
  <c r="C8069" i="1"/>
  <c r="D8069" i="1"/>
  <c r="E8069" i="1"/>
  <c r="F8069" i="1"/>
  <c r="G8069" i="1"/>
  <c r="I8069" i="1"/>
  <c r="J8069" i="1"/>
  <c r="K8069" i="1"/>
  <c r="L8069" i="1"/>
  <c r="M8069" i="1"/>
  <c r="N8069" i="1"/>
  <c r="O8069" i="1"/>
  <c r="P8069" i="1"/>
  <c r="Q8069" i="1"/>
  <c r="R8069" i="1"/>
  <c r="S8069" i="1"/>
  <c r="T8069" i="1"/>
  <c r="U8069" i="1"/>
  <c r="V8069" i="1"/>
  <c r="W8069" i="1"/>
  <c r="X8069" i="1"/>
  <c r="Y8069" i="1"/>
  <c r="Z8069" i="1"/>
  <c r="A8070" i="1"/>
  <c r="B8070" i="1"/>
  <c r="C8070" i="1"/>
  <c r="D8070" i="1"/>
  <c r="E8070" i="1"/>
  <c r="F8070" i="1"/>
  <c r="G8070" i="1"/>
  <c r="I8070" i="1"/>
  <c r="J8070" i="1"/>
  <c r="K8070" i="1"/>
  <c r="L8070" i="1"/>
  <c r="M8070" i="1"/>
  <c r="N8070" i="1"/>
  <c r="O8070" i="1"/>
  <c r="P8070" i="1"/>
  <c r="Q8070" i="1"/>
  <c r="R8070" i="1"/>
  <c r="S8070" i="1"/>
  <c r="T8070" i="1"/>
  <c r="U8070" i="1"/>
  <c r="V8070" i="1"/>
  <c r="W8070" i="1"/>
  <c r="X8070" i="1"/>
  <c r="Y8070" i="1"/>
  <c r="Z8070" i="1"/>
  <c r="A8071" i="1"/>
  <c r="B8071" i="1"/>
  <c r="C8071" i="1"/>
  <c r="D8071" i="1"/>
  <c r="E8071" i="1"/>
  <c r="F8071" i="1"/>
  <c r="G8071" i="1"/>
  <c r="I8071" i="1"/>
  <c r="J8071" i="1"/>
  <c r="K8071" i="1"/>
  <c r="L8071" i="1"/>
  <c r="M8071" i="1"/>
  <c r="N8071" i="1"/>
  <c r="O8071" i="1"/>
  <c r="P8071" i="1"/>
  <c r="Q8071" i="1"/>
  <c r="R8071" i="1"/>
  <c r="S8071" i="1"/>
  <c r="T8071" i="1"/>
  <c r="U8071" i="1"/>
  <c r="V8071" i="1"/>
  <c r="W8071" i="1"/>
  <c r="X8071" i="1"/>
  <c r="Y8071" i="1"/>
  <c r="Z8071" i="1"/>
  <c r="A8072" i="1"/>
  <c r="B8072" i="1"/>
  <c r="C8072" i="1"/>
  <c r="D8072" i="1"/>
  <c r="E8072" i="1"/>
  <c r="F8072" i="1"/>
  <c r="G8072" i="1"/>
  <c r="I8072" i="1"/>
  <c r="J8072" i="1"/>
  <c r="K8072" i="1"/>
  <c r="L8072" i="1"/>
  <c r="M8072" i="1"/>
  <c r="N8072" i="1"/>
  <c r="O8072" i="1"/>
  <c r="P8072" i="1"/>
  <c r="Q8072" i="1"/>
  <c r="R8072" i="1"/>
  <c r="S8072" i="1"/>
  <c r="T8072" i="1"/>
  <c r="U8072" i="1"/>
  <c r="V8072" i="1"/>
  <c r="W8072" i="1"/>
  <c r="X8072" i="1"/>
  <c r="Y8072" i="1"/>
  <c r="Z8072" i="1"/>
  <c r="A8073" i="1"/>
  <c r="B8073" i="1"/>
  <c r="C8073" i="1"/>
  <c r="D8073" i="1"/>
  <c r="E8073" i="1"/>
  <c r="F8073" i="1"/>
  <c r="G8073" i="1"/>
  <c r="I8073" i="1"/>
  <c r="J8073" i="1"/>
  <c r="K8073" i="1"/>
  <c r="L8073" i="1"/>
  <c r="M8073" i="1"/>
  <c r="N8073" i="1"/>
  <c r="O8073" i="1"/>
  <c r="P8073" i="1"/>
  <c r="Q8073" i="1"/>
  <c r="R8073" i="1"/>
  <c r="S8073" i="1"/>
  <c r="T8073" i="1"/>
  <c r="U8073" i="1"/>
  <c r="V8073" i="1"/>
  <c r="W8073" i="1"/>
  <c r="X8073" i="1"/>
  <c r="Y8073" i="1"/>
  <c r="Z8073" i="1"/>
  <c r="A8074" i="1"/>
  <c r="B8074" i="1"/>
  <c r="C8074" i="1"/>
  <c r="D8074" i="1"/>
  <c r="E8074" i="1"/>
  <c r="F8074" i="1"/>
  <c r="G8074" i="1"/>
  <c r="I8074" i="1"/>
  <c r="J8074" i="1"/>
  <c r="K8074" i="1"/>
  <c r="L8074" i="1"/>
  <c r="M8074" i="1"/>
  <c r="N8074" i="1"/>
  <c r="O8074" i="1"/>
  <c r="P8074" i="1"/>
  <c r="Q8074" i="1"/>
  <c r="R8074" i="1"/>
  <c r="S8074" i="1"/>
  <c r="T8074" i="1"/>
  <c r="U8074" i="1"/>
  <c r="V8074" i="1"/>
  <c r="W8074" i="1"/>
  <c r="X8074" i="1"/>
  <c r="Y8074" i="1"/>
  <c r="Z8074" i="1"/>
  <c r="A8075" i="1"/>
  <c r="B8075" i="1"/>
  <c r="C8075" i="1"/>
  <c r="D8075" i="1"/>
  <c r="E8075" i="1"/>
  <c r="F8075" i="1"/>
  <c r="G8075" i="1"/>
  <c r="I8075" i="1"/>
  <c r="J8075" i="1"/>
  <c r="K8075" i="1"/>
  <c r="L8075" i="1"/>
  <c r="M8075" i="1"/>
  <c r="N8075" i="1"/>
  <c r="O8075" i="1"/>
  <c r="P8075" i="1"/>
  <c r="Q8075" i="1"/>
  <c r="R8075" i="1"/>
  <c r="S8075" i="1"/>
  <c r="T8075" i="1"/>
  <c r="U8075" i="1"/>
  <c r="V8075" i="1"/>
  <c r="W8075" i="1"/>
  <c r="X8075" i="1"/>
  <c r="Y8075" i="1"/>
  <c r="Z8075" i="1"/>
  <c r="A8076" i="1"/>
  <c r="B8076" i="1"/>
  <c r="C8076" i="1"/>
  <c r="D8076" i="1"/>
  <c r="E8076" i="1"/>
  <c r="F8076" i="1"/>
  <c r="G8076" i="1"/>
  <c r="I8076" i="1"/>
  <c r="J8076" i="1"/>
  <c r="K8076" i="1"/>
  <c r="L8076" i="1"/>
  <c r="M8076" i="1"/>
  <c r="N8076" i="1"/>
  <c r="O8076" i="1"/>
  <c r="P8076" i="1"/>
  <c r="Q8076" i="1"/>
  <c r="R8076" i="1"/>
  <c r="S8076" i="1"/>
  <c r="T8076" i="1"/>
  <c r="U8076" i="1"/>
  <c r="V8076" i="1"/>
  <c r="W8076" i="1"/>
  <c r="X8076" i="1"/>
  <c r="Y8076" i="1"/>
  <c r="Z8076" i="1"/>
  <c r="A8077" i="1"/>
  <c r="B8077" i="1"/>
  <c r="C8077" i="1"/>
  <c r="D8077" i="1"/>
  <c r="E8077" i="1"/>
  <c r="F8077" i="1"/>
  <c r="G8077" i="1"/>
  <c r="I8077" i="1"/>
  <c r="J8077" i="1"/>
  <c r="K8077" i="1"/>
  <c r="L8077" i="1"/>
  <c r="M8077" i="1"/>
  <c r="N8077" i="1"/>
  <c r="O8077" i="1"/>
  <c r="P8077" i="1"/>
  <c r="Q8077" i="1"/>
  <c r="R8077" i="1"/>
  <c r="S8077" i="1"/>
  <c r="T8077" i="1"/>
  <c r="U8077" i="1"/>
  <c r="V8077" i="1"/>
  <c r="W8077" i="1"/>
  <c r="X8077" i="1"/>
  <c r="Y8077" i="1"/>
  <c r="Z8077" i="1"/>
  <c r="A8078" i="1"/>
  <c r="B8078" i="1"/>
  <c r="C8078" i="1"/>
  <c r="D8078" i="1"/>
  <c r="E8078" i="1"/>
  <c r="F8078" i="1"/>
  <c r="G8078" i="1"/>
  <c r="I8078" i="1"/>
  <c r="J8078" i="1"/>
  <c r="K8078" i="1"/>
  <c r="L8078" i="1"/>
  <c r="M8078" i="1"/>
  <c r="N8078" i="1"/>
  <c r="O8078" i="1"/>
  <c r="P8078" i="1"/>
  <c r="Q8078" i="1"/>
  <c r="R8078" i="1"/>
  <c r="S8078" i="1"/>
  <c r="T8078" i="1"/>
  <c r="U8078" i="1"/>
  <c r="V8078" i="1"/>
  <c r="W8078" i="1"/>
  <c r="X8078" i="1"/>
  <c r="Y8078" i="1"/>
  <c r="Z8078" i="1"/>
  <c r="A8079" i="1"/>
  <c r="B8079" i="1"/>
  <c r="C8079" i="1"/>
  <c r="D8079" i="1"/>
  <c r="E8079" i="1"/>
  <c r="F8079" i="1"/>
  <c r="G8079" i="1"/>
  <c r="I8079" i="1"/>
  <c r="J8079" i="1"/>
  <c r="K8079" i="1"/>
  <c r="L8079" i="1"/>
  <c r="M8079" i="1"/>
  <c r="N8079" i="1"/>
  <c r="O8079" i="1"/>
  <c r="P8079" i="1"/>
  <c r="Q8079" i="1"/>
  <c r="R8079" i="1"/>
  <c r="S8079" i="1"/>
  <c r="T8079" i="1"/>
  <c r="U8079" i="1"/>
  <c r="V8079" i="1"/>
  <c r="W8079" i="1"/>
  <c r="X8079" i="1"/>
  <c r="Y8079" i="1"/>
  <c r="Z8079" i="1"/>
  <c r="A8080" i="1"/>
  <c r="B8080" i="1"/>
  <c r="C8080" i="1"/>
  <c r="D8080" i="1"/>
  <c r="E8080" i="1"/>
  <c r="F8080" i="1"/>
  <c r="G8080" i="1"/>
  <c r="I8080" i="1"/>
  <c r="J8080" i="1"/>
  <c r="K8080" i="1"/>
  <c r="L8080" i="1"/>
  <c r="M8080" i="1"/>
  <c r="N8080" i="1"/>
  <c r="O8080" i="1"/>
  <c r="P8080" i="1"/>
  <c r="Q8080" i="1"/>
  <c r="R8080" i="1"/>
  <c r="S8080" i="1"/>
  <c r="T8080" i="1"/>
  <c r="U8080" i="1"/>
  <c r="V8080" i="1"/>
  <c r="W8080" i="1"/>
  <c r="X8080" i="1"/>
  <c r="Y8080" i="1"/>
  <c r="Z8080" i="1"/>
  <c r="A8081" i="1"/>
  <c r="B8081" i="1"/>
  <c r="C8081" i="1"/>
  <c r="D8081" i="1"/>
  <c r="E8081" i="1"/>
  <c r="F8081" i="1"/>
  <c r="G8081" i="1"/>
  <c r="I8081" i="1"/>
  <c r="J8081" i="1"/>
  <c r="K8081" i="1"/>
  <c r="L8081" i="1"/>
  <c r="M8081" i="1"/>
  <c r="N8081" i="1"/>
  <c r="O8081" i="1"/>
  <c r="P8081" i="1"/>
  <c r="Q8081" i="1"/>
  <c r="R8081" i="1"/>
  <c r="S8081" i="1"/>
  <c r="T8081" i="1"/>
  <c r="U8081" i="1"/>
  <c r="V8081" i="1"/>
  <c r="W8081" i="1"/>
  <c r="X8081" i="1"/>
  <c r="Y8081" i="1"/>
  <c r="Z8081" i="1"/>
  <c r="A8082" i="1"/>
  <c r="B8082" i="1"/>
  <c r="C8082" i="1"/>
  <c r="D8082" i="1"/>
  <c r="E8082" i="1"/>
  <c r="F8082" i="1"/>
  <c r="G8082" i="1"/>
  <c r="I8082" i="1"/>
  <c r="J8082" i="1"/>
  <c r="K8082" i="1"/>
  <c r="L8082" i="1"/>
  <c r="M8082" i="1"/>
  <c r="N8082" i="1"/>
  <c r="O8082" i="1"/>
  <c r="P8082" i="1"/>
  <c r="Q8082" i="1"/>
  <c r="R8082" i="1"/>
  <c r="S8082" i="1"/>
  <c r="T8082" i="1"/>
  <c r="U8082" i="1"/>
  <c r="V8082" i="1"/>
  <c r="W8082" i="1"/>
  <c r="X8082" i="1"/>
  <c r="Y8082" i="1"/>
  <c r="Z8082" i="1"/>
  <c r="A8083" i="1"/>
  <c r="B8083" i="1"/>
  <c r="C8083" i="1"/>
  <c r="D8083" i="1"/>
  <c r="E8083" i="1"/>
  <c r="F8083" i="1"/>
  <c r="G8083" i="1"/>
  <c r="I8083" i="1"/>
  <c r="J8083" i="1"/>
  <c r="K8083" i="1"/>
  <c r="L8083" i="1"/>
  <c r="M8083" i="1"/>
  <c r="N8083" i="1"/>
  <c r="O8083" i="1"/>
  <c r="P8083" i="1"/>
  <c r="Q8083" i="1"/>
  <c r="R8083" i="1"/>
  <c r="S8083" i="1"/>
  <c r="T8083" i="1"/>
  <c r="U8083" i="1"/>
  <c r="V8083" i="1"/>
  <c r="W8083" i="1"/>
  <c r="X8083" i="1"/>
  <c r="Y8083" i="1"/>
  <c r="Z8083" i="1"/>
  <c r="A8084" i="1"/>
  <c r="B8084" i="1"/>
  <c r="C8084" i="1"/>
  <c r="D8084" i="1"/>
  <c r="E8084" i="1"/>
  <c r="F8084" i="1"/>
  <c r="G8084" i="1"/>
  <c r="I8084" i="1"/>
  <c r="J8084" i="1"/>
  <c r="K8084" i="1"/>
  <c r="L8084" i="1"/>
  <c r="M8084" i="1"/>
  <c r="N8084" i="1"/>
  <c r="O8084" i="1"/>
  <c r="P8084" i="1"/>
  <c r="Q8084" i="1"/>
  <c r="R8084" i="1"/>
  <c r="S8084" i="1"/>
  <c r="T8084" i="1"/>
  <c r="U8084" i="1"/>
  <c r="V8084" i="1"/>
  <c r="W8084" i="1"/>
  <c r="X8084" i="1"/>
  <c r="Y8084" i="1"/>
  <c r="Z8084" i="1"/>
  <c r="A8085" i="1"/>
  <c r="B8085" i="1"/>
  <c r="C8085" i="1"/>
  <c r="D8085" i="1"/>
  <c r="E8085" i="1"/>
  <c r="F8085" i="1"/>
  <c r="G8085" i="1"/>
  <c r="I8085" i="1"/>
  <c r="J8085" i="1"/>
  <c r="K8085" i="1"/>
  <c r="L8085" i="1"/>
  <c r="M8085" i="1"/>
  <c r="N8085" i="1"/>
  <c r="O8085" i="1"/>
  <c r="P8085" i="1"/>
  <c r="Q8085" i="1"/>
  <c r="R8085" i="1"/>
  <c r="S8085" i="1"/>
  <c r="T8085" i="1"/>
  <c r="U8085" i="1"/>
  <c r="V8085" i="1"/>
  <c r="W8085" i="1"/>
  <c r="X8085" i="1"/>
  <c r="Y8085" i="1"/>
  <c r="Z8085" i="1"/>
  <c r="A8086" i="1"/>
  <c r="B8086" i="1"/>
  <c r="C8086" i="1"/>
  <c r="D8086" i="1"/>
  <c r="E8086" i="1"/>
  <c r="F8086" i="1"/>
  <c r="G8086" i="1"/>
  <c r="I8086" i="1"/>
  <c r="J8086" i="1"/>
  <c r="K8086" i="1"/>
  <c r="L8086" i="1"/>
  <c r="M8086" i="1"/>
  <c r="N8086" i="1"/>
  <c r="O8086" i="1"/>
  <c r="P8086" i="1"/>
  <c r="Q8086" i="1"/>
  <c r="R8086" i="1"/>
  <c r="S8086" i="1"/>
  <c r="T8086" i="1"/>
  <c r="U8086" i="1"/>
  <c r="V8086" i="1"/>
  <c r="W8086" i="1"/>
  <c r="X8086" i="1"/>
  <c r="Y8086" i="1"/>
  <c r="Z8086" i="1"/>
  <c r="A8087" i="1"/>
  <c r="B8087" i="1"/>
  <c r="C8087" i="1"/>
  <c r="D8087" i="1"/>
  <c r="E8087" i="1"/>
  <c r="F8087" i="1"/>
  <c r="G8087" i="1"/>
  <c r="I8087" i="1"/>
  <c r="J8087" i="1"/>
  <c r="K8087" i="1"/>
  <c r="L8087" i="1"/>
  <c r="M8087" i="1"/>
  <c r="N8087" i="1"/>
  <c r="O8087" i="1"/>
  <c r="P8087" i="1"/>
  <c r="Q8087" i="1"/>
  <c r="R8087" i="1"/>
  <c r="S8087" i="1"/>
  <c r="T8087" i="1"/>
  <c r="U8087" i="1"/>
  <c r="V8087" i="1"/>
  <c r="W8087" i="1"/>
  <c r="X8087" i="1"/>
  <c r="Y8087" i="1"/>
  <c r="Z8087" i="1"/>
  <c r="A8088" i="1"/>
  <c r="B8088" i="1"/>
  <c r="C8088" i="1"/>
  <c r="D8088" i="1"/>
  <c r="E8088" i="1"/>
  <c r="F8088" i="1"/>
  <c r="G8088" i="1"/>
  <c r="I8088" i="1"/>
  <c r="J8088" i="1"/>
  <c r="K8088" i="1"/>
  <c r="L8088" i="1"/>
  <c r="M8088" i="1"/>
  <c r="N8088" i="1"/>
  <c r="O8088" i="1"/>
  <c r="P8088" i="1"/>
  <c r="Q8088" i="1"/>
  <c r="R8088" i="1"/>
  <c r="S8088" i="1"/>
  <c r="T8088" i="1"/>
  <c r="U8088" i="1"/>
  <c r="V8088" i="1"/>
  <c r="W8088" i="1"/>
  <c r="X8088" i="1"/>
  <c r="Y8088" i="1"/>
  <c r="Z8088" i="1"/>
  <c r="A8089" i="1"/>
  <c r="B8089" i="1"/>
  <c r="C8089" i="1"/>
  <c r="D8089" i="1"/>
  <c r="E8089" i="1"/>
  <c r="F8089" i="1"/>
  <c r="G8089" i="1"/>
  <c r="I8089" i="1"/>
  <c r="J8089" i="1"/>
  <c r="K8089" i="1"/>
  <c r="L8089" i="1"/>
  <c r="M8089" i="1"/>
  <c r="N8089" i="1"/>
  <c r="O8089" i="1"/>
  <c r="P8089" i="1"/>
  <c r="Q8089" i="1"/>
  <c r="R8089" i="1"/>
  <c r="S8089" i="1"/>
  <c r="T8089" i="1"/>
  <c r="U8089" i="1"/>
  <c r="V8089" i="1"/>
  <c r="W8089" i="1"/>
  <c r="X8089" i="1"/>
  <c r="Y8089" i="1"/>
  <c r="Z8089" i="1"/>
  <c r="A8090" i="1"/>
  <c r="B8090" i="1"/>
  <c r="C8090" i="1"/>
  <c r="D8090" i="1"/>
  <c r="E8090" i="1"/>
  <c r="F8090" i="1"/>
  <c r="G8090" i="1"/>
  <c r="I8090" i="1"/>
  <c r="J8090" i="1"/>
  <c r="K8090" i="1"/>
  <c r="L8090" i="1"/>
  <c r="M8090" i="1"/>
  <c r="N8090" i="1"/>
  <c r="O8090" i="1"/>
  <c r="P8090" i="1"/>
  <c r="Q8090" i="1"/>
  <c r="R8090" i="1"/>
  <c r="S8090" i="1"/>
  <c r="T8090" i="1"/>
  <c r="U8090" i="1"/>
  <c r="V8090" i="1"/>
  <c r="W8090" i="1"/>
  <c r="X8090" i="1"/>
  <c r="Y8090" i="1"/>
  <c r="Z8090" i="1"/>
  <c r="A8091" i="1"/>
  <c r="B8091" i="1"/>
  <c r="C8091" i="1"/>
  <c r="D8091" i="1"/>
  <c r="E8091" i="1"/>
  <c r="F8091" i="1"/>
  <c r="G8091" i="1"/>
  <c r="I8091" i="1"/>
  <c r="J8091" i="1"/>
  <c r="K8091" i="1"/>
  <c r="L8091" i="1"/>
  <c r="M8091" i="1"/>
  <c r="N8091" i="1"/>
  <c r="O8091" i="1"/>
  <c r="P8091" i="1"/>
  <c r="Q8091" i="1"/>
  <c r="R8091" i="1"/>
  <c r="S8091" i="1"/>
  <c r="T8091" i="1"/>
  <c r="U8091" i="1"/>
  <c r="V8091" i="1"/>
  <c r="W8091" i="1"/>
  <c r="X8091" i="1"/>
  <c r="Y8091" i="1"/>
  <c r="Z8091" i="1"/>
  <c r="A8092" i="1"/>
  <c r="B8092" i="1"/>
  <c r="C8092" i="1"/>
  <c r="D8092" i="1"/>
  <c r="E8092" i="1"/>
  <c r="F8092" i="1"/>
  <c r="G8092" i="1"/>
  <c r="I8092" i="1"/>
  <c r="J8092" i="1"/>
  <c r="K8092" i="1"/>
  <c r="L8092" i="1"/>
  <c r="M8092" i="1"/>
  <c r="N8092" i="1"/>
  <c r="O8092" i="1"/>
  <c r="P8092" i="1"/>
  <c r="Q8092" i="1"/>
  <c r="R8092" i="1"/>
  <c r="S8092" i="1"/>
  <c r="T8092" i="1"/>
  <c r="U8092" i="1"/>
  <c r="V8092" i="1"/>
  <c r="W8092" i="1"/>
  <c r="X8092" i="1"/>
  <c r="Y8092" i="1"/>
  <c r="Z8092" i="1"/>
  <c r="A8093" i="1"/>
  <c r="B8093" i="1"/>
  <c r="C8093" i="1"/>
  <c r="D8093" i="1"/>
  <c r="E8093" i="1"/>
  <c r="F8093" i="1"/>
  <c r="G8093" i="1"/>
  <c r="I8093" i="1"/>
  <c r="J8093" i="1"/>
  <c r="K8093" i="1"/>
  <c r="L8093" i="1"/>
  <c r="M8093" i="1"/>
  <c r="N8093" i="1"/>
  <c r="O8093" i="1"/>
  <c r="P8093" i="1"/>
  <c r="Q8093" i="1"/>
  <c r="R8093" i="1"/>
  <c r="S8093" i="1"/>
  <c r="T8093" i="1"/>
  <c r="U8093" i="1"/>
  <c r="V8093" i="1"/>
  <c r="W8093" i="1"/>
  <c r="X8093" i="1"/>
  <c r="Y8093" i="1"/>
  <c r="Z8093" i="1"/>
  <c r="A8094" i="1"/>
  <c r="B8094" i="1"/>
  <c r="C8094" i="1"/>
  <c r="D8094" i="1"/>
  <c r="E8094" i="1"/>
  <c r="F8094" i="1"/>
  <c r="G8094" i="1"/>
  <c r="I8094" i="1"/>
  <c r="J8094" i="1"/>
  <c r="K8094" i="1"/>
  <c r="L8094" i="1"/>
  <c r="M8094" i="1"/>
  <c r="N8094" i="1"/>
  <c r="O8094" i="1"/>
  <c r="P8094" i="1"/>
  <c r="Q8094" i="1"/>
  <c r="R8094" i="1"/>
  <c r="S8094" i="1"/>
  <c r="T8094" i="1"/>
  <c r="U8094" i="1"/>
  <c r="V8094" i="1"/>
  <c r="W8094" i="1"/>
  <c r="X8094" i="1"/>
  <c r="Y8094" i="1"/>
  <c r="Z8094" i="1"/>
  <c r="A8095" i="1"/>
  <c r="B8095" i="1"/>
  <c r="C8095" i="1"/>
  <c r="D8095" i="1"/>
  <c r="E8095" i="1"/>
  <c r="F8095" i="1"/>
  <c r="G8095" i="1"/>
  <c r="I8095" i="1"/>
  <c r="J8095" i="1"/>
  <c r="K8095" i="1"/>
  <c r="L8095" i="1"/>
  <c r="M8095" i="1"/>
  <c r="N8095" i="1"/>
  <c r="O8095" i="1"/>
  <c r="P8095" i="1"/>
  <c r="Q8095" i="1"/>
  <c r="R8095" i="1"/>
  <c r="S8095" i="1"/>
  <c r="T8095" i="1"/>
  <c r="U8095" i="1"/>
  <c r="V8095" i="1"/>
  <c r="W8095" i="1"/>
  <c r="X8095" i="1"/>
  <c r="Y8095" i="1"/>
  <c r="Z8095" i="1"/>
  <c r="A8096" i="1"/>
  <c r="B8096" i="1"/>
  <c r="C8096" i="1"/>
  <c r="D8096" i="1"/>
  <c r="E8096" i="1"/>
  <c r="F8096" i="1"/>
  <c r="G8096" i="1"/>
  <c r="I8096" i="1"/>
  <c r="J8096" i="1"/>
  <c r="K8096" i="1"/>
  <c r="L8096" i="1"/>
  <c r="M8096" i="1"/>
  <c r="N8096" i="1"/>
  <c r="O8096" i="1"/>
  <c r="P8096" i="1"/>
  <c r="Q8096" i="1"/>
  <c r="R8096" i="1"/>
  <c r="S8096" i="1"/>
  <c r="T8096" i="1"/>
  <c r="U8096" i="1"/>
  <c r="V8096" i="1"/>
  <c r="W8096" i="1"/>
  <c r="X8096" i="1"/>
  <c r="Y8096" i="1"/>
  <c r="Z8096" i="1"/>
  <c r="A8097" i="1"/>
  <c r="B8097" i="1"/>
  <c r="C8097" i="1"/>
  <c r="D8097" i="1"/>
  <c r="E8097" i="1"/>
  <c r="F8097" i="1"/>
  <c r="G8097" i="1"/>
  <c r="I8097" i="1"/>
  <c r="J8097" i="1"/>
  <c r="K8097" i="1"/>
  <c r="L8097" i="1"/>
  <c r="M8097" i="1"/>
  <c r="N8097" i="1"/>
  <c r="O8097" i="1"/>
  <c r="P8097" i="1"/>
  <c r="Q8097" i="1"/>
  <c r="R8097" i="1"/>
  <c r="S8097" i="1"/>
  <c r="T8097" i="1"/>
  <c r="U8097" i="1"/>
  <c r="V8097" i="1"/>
  <c r="W8097" i="1"/>
  <c r="X8097" i="1"/>
  <c r="Y8097" i="1"/>
  <c r="Z8097" i="1"/>
  <c r="A8098" i="1"/>
  <c r="B8098" i="1"/>
  <c r="C8098" i="1"/>
  <c r="D8098" i="1"/>
  <c r="E8098" i="1"/>
  <c r="F8098" i="1"/>
  <c r="G8098" i="1"/>
  <c r="I8098" i="1"/>
  <c r="J8098" i="1"/>
  <c r="K8098" i="1"/>
  <c r="L8098" i="1"/>
  <c r="M8098" i="1"/>
  <c r="N8098" i="1"/>
  <c r="O8098" i="1"/>
  <c r="P8098" i="1"/>
  <c r="Q8098" i="1"/>
  <c r="R8098" i="1"/>
  <c r="S8098" i="1"/>
  <c r="T8098" i="1"/>
  <c r="U8098" i="1"/>
  <c r="V8098" i="1"/>
  <c r="W8098" i="1"/>
  <c r="X8098" i="1"/>
  <c r="Y8098" i="1"/>
  <c r="Z8098" i="1"/>
  <c r="A8099" i="1"/>
  <c r="B8099" i="1"/>
  <c r="C8099" i="1"/>
  <c r="D8099" i="1"/>
  <c r="E8099" i="1"/>
  <c r="F8099" i="1"/>
  <c r="G8099" i="1"/>
  <c r="I8099" i="1"/>
  <c r="J8099" i="1"/>
  <c r="K8099" i="1"/>
  <c r="L8099" i="1"/>
  <c r="M8099" i="1"/>
  <c r="N8099" i="1"/>
  <c r="O8099" i="1"/>
  <c r="P8099" i="1"/>
  <c r="Q8099" i="1"/>
  <c r="R8099" i="1"/>
  <c r="S8099" i="1"/>
  <c r="T8099" i="1"/>
  <c r="U8099" i="1"/>
  <c r="V8099" i="1"/>
  <c r="W8099" i="1"/>
  <c r="X8099" i="1"/>
  <c r="Y8099" i="1"/>
  <c r="Z8099" i="1"/>
  <c r="A8100" i="1"/>
  <c r="B8100" i="1"/>
  <c r="C8100" i="1"/>
  <c r="D8100" i="1"/>
  <c r="E8100" i="1"/>
  <c r="F8100" i="1"/>
  <c r="G8100" i="1"/>
  <c r="I8100" i="1"/>
  <c r="J8100" i="1"/>
  <c r="K8100" i="1"/>
  <c r="L8100" i="1"/>
  <c r="M8100" i="1"/>
  <c r="N8100" i="1"/>
  <c r="O8100" i="1"/>
  <c r="P8100" i="1"/>
  <c r="Q8100" i="1"/>
  <c r="R8100" i="1"/>
  <c r="S8100" i="1"/>
  <c r="T8100" i="1"/>
  <c r="U8100" i="1"/>
  <c r="V8100" i="1"/>
  <c r="W8100" i="1"/>
  <c r="X8100" i="1"/>
  <c r="Y8100" i="1"/>
  <c r="Z8100" i="1"/>
  <c r="A8101" i="1"/>
  <c r="B8101" i="1"/>
  <c r="C8101" i="1"/>
  <c r="D8101" i="1"/>
  <c r="E8101" i="1"/>
  <c r="F8101" i="1"/>
  <c r="G8101" i="1"/>
  <c r="I8101" i="1"/>
  <c r="J8101" i="1"/>
  <c r="K8101" i="1"/>
  <c r="L8101" i="1"/>
  <c r="M8101" i="1"/>
  <c r="N8101" i="1"/>
  <c r="O8101" i="1"/>
  <c r="P8101" i="1"/>
  <c r="Q8101" i="1"/>
  <c r="R8101" i="1"/>
  <c r="S8101" i="1"/>
  <c r="T8101" i="1"/>
  <c r="U8101" i="1"/>
  <c r="V8101" i="1"/>
  <c r="W8101" i="1"/>
  <c r="X8101" i="1"/>
  <c r="Y8101" i="1"/>
  <c r="Z8101" i="1"/>
  <c r="A8102" i="1"/>
  <c r="B8102" i="1"/>
  <c r="C8102" i="1"/>
  <c r="D8102" i="1"/>
  <c r="E8102" i="1"/>
  <c r="F8102" i="1"/>
  <c r="G8102" i="1"/>
  <c r="I8102" i="1"/>
  <c r="J8102" i="1"/>
  <c r="K8102" i="1"/>
  <c r="L8102" i="1"/>
  <c r="M8102" i="1"/>
  <c r="N8102" i="1"/>
  <c r="O8102" i="1"/>
  <c r="P8102" i="1"/>
  <c r="Q8102" i="1"/>
  <c r="R8102" i="1"/>
  <c r="S8102" i="1"/>
  <c r="T8102" i="1"/>
  <c r="U8102" i="1"/>
  <c r="V8102" i="1"/>
  <c r="W8102" i="1"/>
  <c r="X8102" i="1"/>
  <c r="Y8102" i="1"/>
  <c r="Z8102" i="1"/>
  <c r="A8103" i="1"/>
  <c r="B8103" i="1"/>
  <c r="C8103" i="1"/>
  <c r="D8103" i="1"/>
  <c r="E8103" i="1"/>
  <c r="F8103" i="1"/>
  <c r="G8103" i="1"/>
  <c r="I8103" i="1"/>
  <c r="J8103" i="1"/>
  <c r="K8103" i="1"/>
  <c r="L8103" i="1"/>
  <c r="M8103" i="1"/>
  <c r="N8103" i="1"/>
  <c r="O8103" i="1"/>
  <c r="P8103" i="1"/>
  <c r="Q8103" i="1"/>
  <c r="R8103" i="1"/>
  <c r="S8103" i="1"/>
  <c r="T8103" i="1"/>
  <c r="U8103" i="1"/>
  <c r="V8103" i="1"/>
  <c r="W8103" i="1"/>
  <c r="X8103" i="1"/>
  <c r="Y8103" i="1"/>
  <c r="Z8103" i="1"/>
  <c r="A8104" i="1"/>
  <c r="B8104" i="1"/>
  <c r="C8104" i="1"/>
  <c r="D8104" i="1"/>
  <c r="E8104" i="1"/>
  <c r="F8104" i="1"/>
  <c r="G8104" i="1"/>
  <c r="I8104" i="1"/>
  <c r="J8104" i="1"/>
  <c r="K8104" i="1"/>
  <c r="L8104" i="1"/>
  <c r="M8104" i="1"/>
  <c r="N8104" i="1"/>
  <c r="O8104" i="1"/>
  <c r="P8104" i="1"/>
  <c r="Q8104" i="1"/>
  <c r="R8104" i="1"/>
  <c r="S8104" i="1"/>
  <c r="T8104" i="1"/>
  <c r="U8104" i="1"/>
  <c r="V8104" i="1"/>
  <c r="W8104" i="1"/>
  <c r="X8104" i="1"/>
  <c r="Y8104" i="1"/>
  <c r="Z8104" i="1"/>
  <c r="A8105" i="1"/>
  <c r="B8105" i="1"/>
  <c r="C8105" i="1"/>
  <c r="D8105" i="1"/>
  <c r="E8105" i="1"/>
  <c r="F8105" i="1"/>
  <c r="G8105" i="1"/>
  <c r="I8105" i="1"/>
  <c r="J8105" i="1"/>
  <c r="K8105" i="1"/>
  <c r="L8105" i="1"/>
  <c r="M8105" i="1"/>
  <c r="N8105" i="1"/>
  <c r="O8105" i="1"/>
  <c r="P8105" i="1"/>
  <c r="Q8105" i="1"/>
  <c r="R8105" i="1"/>
  <c r="S8105" i="1"/>
  <c r="T8105" i="1"/>
  <c r="U8105" i="1"/>
  <c r="V8105" i="1"/>
  <c r="W8105" i="1"/>
  <c r="X8105" i="1"/>
  <c r="Y8105" i="1"/>
  <c r="Z8105" i="1"/>
  <c r="A8106" i="1"/>
  <c r="B8106" i="1"/>
  <c r="C8106" i="1"/>
  <c r="D8106" i="1"/>
  <c r="E8106" i="1"/>
  <c r="F8106" i="1"/>
  <c r="G8106" i="1"/>
  <c r="I8106" i="1"/>
  <c r="J8106" i="1"/>
  <c r="K8106" i="1"/>
  <c r="L8106" i="1"/>
  <c r="M8106" i="1"/>
  <c r="N8106" i="1"/>
  <c r="O8106" i="1"/>
  <c r="P8106" i="1"/>
  <c r="Q8106" i="1"/>
  <c r="R8106" i="1"/>
  <c r="S8106" i="1"/>
  <c r="T8106" i="1"/>
  <c r="U8106" i="1"/>
  <c r="V8106" i="1"/>
  <c r="W8106" i="1"/>
  <c r="X8106" i="1"/>
  <c r="Y8106" i="1"/>
  <c r="Z8106" i="1"/>
  <c r="A8107" i="1"/>
  <c r="B8107" i="1"/>
  <c r="C8107" i="1"/>
  <c r="D8107" i="1"/>
  <c r="E8107" i="1"/>
  <c r="F8107" i="1"/>
  <c r="G8107" i="1"/>
  <c r="I8107" i="1"/>
  <c r="J8107" i="1"/>
  <c r="K8107" i="1"/>
  <c r="L8107" i="1"/>
  <c r="M8107" i="1"/>
  <c r="N8107" i="1"/>
  <c r="O8107" i="1"/>
  <c r="P8107" i="1"/>
  <c r="Q8107" i="1"/>
  <c r="R8107" i="1"/>
  <c r="S8107" i="1"/>
  <c r="T8107" i="1"/>
  <c r="U8107" i="1"/>
  <c r="V8107" i="1"/>
  <c r="W8107" i="1"/>
  <c r="X8107" i="1"/>
  <c r="Y8107" i="1"/>
  <c r="Z8107" i="1"/>
  <c r="A8108" i="1"/>
  <c r="B8108" i="1"/>
  <c r="C8108" i="1"/>
  <c r="D8108" i="1"/>
  <c r="E8108" i="1"/>
  <c r="F8108" i="1"/>
  <c r="G8108" i="1"/>
  <c r="I8108" i="1"/>
  <c r="J8108" i="1"/>
  <c r="K8108" i="1"/>
  <c r="L8108" i="1"/>
  <c r="M8108" i="1"/>
  <c r="N8108" i="1"/>
  <c r="O8108" i="1"/>
  <c r="P8108" i="1"/>
  <c r="Q8108" i="1"/>
  <c r="R8108" i="1"/>
  <c r="S8108" i="1"/>
  <c r="T8108" i="1"/>
  <c r="U8108" i="1"/>
  <c r="V8108" i="1"/>
  <c r="W8108" i="1"/>
  <c r="X8108" i="1"/>
  <c r="Y8108" i="1"/>
  <c r="Z8108" i="1"/>
  <c r="A8109" i="1"/>
  <c r="B8109" i="1"/>
  <c r="C8109" i="1"/>
  <c r="D8109" i="1"/>
  <c r="E8109" i="1"/>
  <c r="F8109" i="1"/>
  <c r="G8109" i="1"/>
  <c r="I8109" i="1"/>
  <c r="J8109" i="1"/>
  <c r="K8109" i="1"/>
  <c r="L8109" i="1"/>
  <c r="M8109" i="1"/>
  <c r="N8109" i="1"/>
  <c r="O8109" i="1"/>
  <c r="P8109" i="1"/>
  <c r="Q8109" i="1"/>
  <c r="R8109" i="1"/>
  <c r="S8109" i="1"/>
  <c r="T8109" i="1"/>
  <c r="U8109" i="1"/>
  <c r="V8109" i="1"/>
  <c r="W8109" i="1"/>
  <c r="X8109" i="1"/>
  <c r="Y8109" i="1"/>
  <c r="Z8109" i="1"/>
  <c r="A8110" i="1"/>
  <c r="B8110" i="1"/>
  <c r="C8110" i="1"/>
  <c r="D8110" i="1"/>
  <c r="E8110" i="1"/>
  <c r="F8110" i="1"/>
  <c r="G8110" i="1"/>
  <c r="I8110" i="1"/>
  <c r="J8110" i="1"/>
  <c r="K8110" i="1"/>
  <c r="L8110" i="1"/>
  <c r="M8110" i="1"/>
  <c r="N8110" i="1"/>
  <c r="O8110" i="1"/>
  <c r="P8110" i="1"/>
  <c r="Q8110" i="1"/>
  <c r="R8110" i="1"/>
  <c r="S8110" i="1"/>
  <c r="T8110" i="1"/>
  <c r="U8110" i="1"/>
  <c r="V8110" i="1"/>
  <c r="W8110" i="1"/>
  <c r="X8110" i="1"/>
  <c r="Y8110" i="1"/>
  <c r="Z8110" i="1"/>
  <c r="A8111" i="1"/>
  <c r="B8111" i="1"/>
  <c r="C8111" i="1"/>
  <c r="D8111" i="1"/>
  <c r="E8111" i="1"/>
  <c r="F8111" i="1"/>
  <c r="G8111" i="1"/>
  <c r="I8111" i="1"/>
  <c r="J8111" i="1"/>
  <c r="K8111" i="1"/>
  <c r="L8111" i="1"/>
  <c r="M8111" i="1"/>
  <c r="N8111" i="1"/>
  <c r="O8111" i="1"/>
  <c r="P8111" i="1"/>
  <c r="Q8111" i="1"/>
  <c r="R8111" i="1"/>
  <c r="S8111" i="1"/>
  <c r="T8111" i="1"/>
  <c r="U8111" i="1"/>
  <c r="V8111" i="1"/>
  <c r="W8111" i="1"/>
  <c r="X8111" i="1"/>
  <c r="Y8111" i="1"/>
  <c r="Z8111" i="1"/>
  <c r="A8112" i="1"/>
  <c r="B8112" i="1"/>
  <c r="C8112" i="1"/>
  <c r="D8112" i="1"/>
  <c r="E8112" i="1"/>
  <c r="F8112" i="1"/>
  <c r="G8112" i="1"/>
  <c r="I8112" i="1"/>
  <c r="J8112" i="1"/>
  <c r="K8112" i="1"/>
  <c r="L8112" i="1"/>
  <c r="M8112" i="1"/>
  <c r="N8112" i="1"/>
  <c r="O8112" i="1"/>
  <c r="P8112" i="1"/>
  <c r="Q8112" i="1"/>
  <c r="R8112" i="1"/>
  <c r="S8112" i="1"/>
  <c r="T8112" i="1"/>
  <c r="U8112" i="1"/>
  <c r="V8112" i="1"/>
  <c r="W8112" i="1"/>
  <c r="X8112" i="1"/>
  <c r="Y8112" i="1"/>
  <c r="Z8112" i="1"/>
  <c r="A8113" i="1"/>
  <c r="B8113" i="1"/>
  <c r="C8113" i="1"/>
  <c r="D8113" i="1"/>
  <c r="E8113" i="1"/>
  <c r="F8113" i="1"/>
  <c r="G8113" i="1"/>
  <c r="I8113" i="1"/>
  <c r="J8113" i="1"/>
  <c r="K8113" i="1"/>
  <c r="L8113" i="1"/>
  <c r="M8113" i="1"/>
  <c r="N8113" i="1"/>
  <c r="O8113" i="1"/>
  <c r="P8113" i="1"/>
  <c r="Q8113" i="1"/>
  <c r="R8113" i="1"/>
  <c r="S8113" i="1"/>
  <c r="T8113" i="1"/>
  <c r="U8113" i="1"/>
  <c r="V8113" i="1"/>
  <c r="W8113" i="1"/>
  <c r="X8113" i="1"/>
  <c r="Y8113" i="1"/>
  <c r="Z8113" i="1"/>
  <c r="A8114" i="1"/>
  <c r="B8114" i="1"/>
  <c r="C8114" i="1"/>
  <c r="D8114" i="1"/>
  <c r="E8114" i="1"/>
  <c r="F8114" i="1"/>
  <c r="G8114" i="1"/>
  <c r="I8114" i="1"/>
  <c r="J8114" i="1"/>
  <c r="K8114" i="1"/>
  <c r="L8114" i="1"/>
  <c r="M8114" i="1"/>
  <c r="N8114" i="1"/>
  <c r="O8114" i="1"/>
  <c r="P8114" i="1"/>
  <c r="Q8114" i="1"/>
  <c r="R8114" i="1"/>
  <c r="S8114" i="1"/>
  <c r="T8114" i="1"/>
  <c r="U8114" i="1"/>
  <c r="V8114" i="1"/>
  <c r="W8114" i="1"/>
  <c r="X8114" i="1"/>
  <c r="Y8114" i="1"/>
  <c r="Z8114" i="1"/>
  <c r="A8115" i="1"/>
  <c r="B8115" i="1"/>
  <c r="C8115" i="1"/>
  <c r="D8115" i="1"/>
  <c r="E8115" i="1"/>
  <c r="F8115" i="1"/>
  <c r="G8115" i="1"/>
  <c r="I8115" i="1"/>
  <c r="J8115" i="1"/>
  <c r="K8115" i="1"/>
  <c r="L8115" i="1"/>
  <c r="M8115" i="1"/>
  <c r="N8115" i="1"/>
  <c r="O8115" i="1"/>
  <c r="P8115" i="1"/>
  <c r="Q8115" i="1"/>
  <c r="R8115" i="1"/>
  <c r="S8115" i="1"/>
  <c r="T8115" i="1"/>
  <c r="U8115" i="1"/>
  <c r="V8115" i="1"/>
  <c r="W8115" i="1"/>
  <c r="X8115" i="1"/>
  <c r="Y8115" i="1"/>
  <c r="Z8115" i="1"/>
  <c r="A8116" i="1"/>
  <c r="B8116" i="1"/>
  <c r="C8116" i="1"/>
  <c r="D8116" i="1"/>
  <c r="E8116" i="1"/>
  <c r="F8116" i="1"/>
  <c r="G8116" i="1"/>
  <c r="I8116" i="1"/>
  <c r="J8116" i="1"/>
  <c r="K8116" i="1"/>
  <c r="L8116" i="1"/>
  <c r="M8116" i="1"/>
  <c r="N8116" i="1"/>
  <c r="O8116" i="1"/>
  <c r="P8116" i="1"/>
  <c r="Q8116" i="1"/>
  <c r="R8116" i="1"/>
  <c r="S8116" i="1"/>
  <c r="T8116" i="1"/>
  <c r="U8116" i="1"/>
  <c r="V8116" i="1"/>
  <c r="W8116" i="1"/>
  <c r="X8116" i="1"/>
  <c r="Y8116" i="1"/>
  <c r="Z8116" i="1"/>
  <c r="A8117" i="1"/>
  <c r="B8117" i="1"/>
  <c r="C8117" i="1"/>
  <c r="D8117" i="1"/>
  <c r="E8117" i="1"/>
  <c r="F8117" i="1"/>
  <c r="G8117" i="1"/>
  <c r="I8117" i="1"/>
  <c r="J8117" i="1"/>
  <c r="K8117" i="1"/>
  <c r="L8117" i="1"/>
  <c r="M8117" i="1"/>
  <c r="N8117" i="1"/>
  <c r="O8117" i="1"/>
  <c r="P8117" i="1"/>
  <c r="Q8117" i="1"/>
  <c r="R8117" i="1"/>
  <c r="S8117" i="1"/>
  <c r="T8117" i="1"/>
  <c r="U8117" i="1"/>
  <c r="V8117" i="1"/>
  <c r="W8117" i="1"/>
  <c r="X8117" i="1"/>
  <c r="Y8117" i="1"/>
  <c r="Z8117" i="1"/>
  <c r="A8118" i="1"/>
  <c r="B8118" i="1"/>
  <c r="C8118" i="1"/>
  <c r="D8118" i="1"/>
  <c r="E8118" i="1"/>
  <c r="F8118" i="1"/>
  <c r="G8118" i="1"/>
  <c r="I8118" i="1"/>
  <c r="J8118" i="1"/>
  <c r="K8118" i="1"/>
  <c r="L8118" i="1"/>
  <c r="M8118" i="1"/>
  <c r="N8118" i="1"/>
  <c r="O8118" i="1"/>
  <c r="P8118" i="1"/>
  <c r="Q8118" i="1"/>
  <c r="R8118" i="1"/>
  <c r="S8118" i="1"/>
  <c r="T8118" i="1"/>
  <c r="U8118" i="1"/>
  <c r="V8118" i="1"/>
  <c r="W8118" i="1"/>
  <c r="X8118" i="1"/>
  <c r="Y8118" i="1"/>
  <c r="Z8118" i="1"/>
  <c r="A8119" i="1"/>
  <c r="B8119" i="1"/>
  <c r="C8119" i="1"/>
  <c r="D8119" i="1"/>
  <c r="E8119" i="1"/>
  <c r="F8119" i="1"/>
  <c r="G8119" i="1"/>
  <c r="I8119" i="1"/>
  <c r="J8119" i="1"/>
  <c r="K8119" i="1"/>
  <c r="L8119" i="1"/>
  <c r="M8119" i="1"/>
  <c r="N8119" i="1"/>
  <c r="O8119" i="1"/>
  <c r="P8119" i="1"/>
  <c r="Q8119" i="1"/>
  <c r="R8119" i="1"/>
  <c r="S8119" i="1"/>
  <c r="T8119" i="1"/>
  <c r="U8119" i="1"/>
  <c r="V8119" i="1"/>
  <c r="W8119" i="1"/>
  <c r="X8119" i="1"/>
  <c r="Y8119" i="1"/>
  <c r="Z8119" i="1"/>
  <c r="A8120" i="1"/>
  <c r="B8120" i="1"/>
  <c r="C8120" i="1"/>
  <c r="D8120" i="1"/>
  <c r="E8120" i="1"/>
  <c r="F8120" i="1"/>
  <c r="G8120" i="1"/>
  <c r="I8120" i="1"/>
  <c r="J8120" i="1"/>
  <c r="K8120" i="1"/>
  <c r="L8120" i="1"/>
  <c r="M8120" i="1"/>
  <c r="N8120" i="1"/>
  <c r="O8120" i="1"/>
  <c r="P8120" i="1"/>
  <c r="Q8120" i="1"/>
  <c r="R8120" i="1"/>
  <c r="S8120" i="1"/>
  <c r="T8120" i="1"/>
  <c r="U8120" i="1"/>
  <c r="V8120" i="1"/>
  <c r="W8120" i="1"/>
  <c r="X8120" i="1"/>
  <c r="Y8120" i="1"/>
  <c r="Z8120" i="1"/>
  <c r="A8121" i="1"/>
  <c r="B8121" i="1"/>
  <c r="C8121" i="1"/>
  <c r="D8121" i="1"/>
  <c r="E8121" i="1"/>
  <c r="F8121" i="1"/>
  <c r="G8121" i="1"/>
  <c r="I8121" i="1"/>
  <c r="J8121" i="1"/>
  <c r="K8121" i="1"/>
  <c r="L8121" i="1"/>
  <c r="M8121" i="1"/>
  <c r="N8121" i="1"/>
  <c r="O8121" i="1"/>
  <c r="P8121" i="1"/>
  <c r="Q8121" i="1"/>
  <c r="R8121" i="1"/>
  <c r="S8121" i="1"/>
  <c r="T8121" i="1"/>
  <c r="U8121" i="1"/>
  <c r="V8121" i="1"/>
  <c r="W8121" i="1"/>
  <c r="X8121" i="1"/>
  <c r="Y8121" i="1"/>
  <c r="Z8121" i="1"/>
  <c r="A8122" i="1"/>
  <c r="B8122" i="1"/>
  <c r="C8122" i="1"/>
  <c r="D8122" i="1"/>
  <c r="E8122" i="1"/>
  <c r="F8122" i="1"/>
  <c r="G8122" i="1"/>
  <c r="I8122" i="1"/>
  <c r="J8122" i="1"/>
  <c r="K8122" i="1"/>
  <c r="L8122" i="1"/>
  <c r="M8122" i="1"/>
  <c r="N8122" i="1"/>
  <c r="O8122" i="1"/>
  <c r="P8122" i="1"/>
  <c r="Q8122" i="1"/>
  <c r="R8122" i="1"/>
  <c r="S8122" i="1"/>
  <c r="T8122" i="1"/>
  <c r="U8122" i="1"/>
  <c r="V8122" i="1"/>
  <c r="W8122" i="1"/>
  <c r="X8122" i="1"/>
  <c r="Y8122" i="1"/>
  <c r="Z8122" i="1"/>
  <c r="A8123" i="1"/>
  <c r="B8123" i="1"/>
  <c r="C8123" i="1"/>
  <c r="D8123" i="1"/>
  <c r="E8123" i="1"/>
  <c r="F8123" i="1"/>
  <c r="G8123" i="1"/>
  <c r="I8123" i="1"/>
  <c r="J8123" i="1"/>
  <c r="K8123" i="1"/>
  <c r="L8123" i="1"/>
  <c r="M8123" i="1"/>
  <c r="N8123" i="1"/>
  <c r="O8123" i="1"/>
  <c r="P8123" i="1"/>
  <c r="Q8123" i="1"/>
  <c r="R8123" i="1"/>
  <c r="S8123" i="1"/>
  <c r="T8123" i="1"/>
  <c r="U8123" i="1"/>
  <c r="V8123" i="1"/>
  <c r="W8123" i="1"/>
  <c r="X8123" i="1"/>
  <c r="Y8123" i="1"/>
  <c r="Z8123" i="1"/>
  <c r="A8124" i="1"/>
  <c r="B8124" i="1"/>
  <c r="C8124" i="1"/>
  <c r="D8124" i="1"/>
  <c r="E8124" i="1"/>
  <c r="F8124" i="1"/>
  <c r="G8124" i="1"/>
  <c r="I8124" i="1"/>
  <c r="J8124" i="1"/>
  <c r="K8124" i="1"/>
  <c r="L8124" i="1"/>
  <c r="M8124" i="1"/>
  <c r="N8124" i="1"/>
  <c r="O8124" i="1"/>
  <c r="P8124" i="1"/>
  <c r="Q8124" i="1"/>
  <c r="R8124" i="1"/>
  <c r="S8124" i="1"/>
  <c r="T8124" i="1"/>
  <c r="U8124" i="1"/>
  <c r="V8124" i="1"/>
  <c r="W8124" i="1"/>
  <c r="X8124" i="1"/>
  <c r="Y8124" i="1"/>
  <c r="Z8124" i="1"/>
  <c r="A8125" i="1"/>
  <c r="B8125" i="1"/>
  <c r="C8125" i="1"/>
  <c r="D8125" i="1"/>
  <c r="E8125" i="1"/>
  <c r="F8125" i="1"/>
  <c r="G8125" i="1"/>
  <c r="I8125" i="1"/>
  <c r="J8125" i="1"/>
  <c r="K8125" i="1"/>
  <c r="L8125" i="1"/>
  <c r="M8125" i="1"/>
  <c r="N8125" i="1"/>
  <c r="O8125" i="1"/>
  <c r="P8125" i="1"/>
  <c r="Q8125" i="1"/>
  <c r="R8125" i="1"/>
  <c r="S8125" i="1"/>
  <c r="T8125" i="1"/>
  <c r="U8125" i="1"/>
  <c r="V8125" i="1"/>
  <c r="W8125" i="1"/>
  <c r="X8125" i="1"/>
  <c r="Y8125" i="1"/>
  <c r="Z8125" i="1"/>
  <c r="A8126" i="1"/>
  <c r="B8126" i="1"/>
  <c r="C8126" i="1"/>
  <c r="D8126" i="1"/>
  <c r="E8126" i="1"/>
  <c r="F8126" i="1"/>
  <c r="G8126" i="1"/>
  <c r="I8126" i="1"/>
  <c r="J8126" i="1"/>
  <c r="K8126" i="1"/>
  <c r="L8126" i="1"/>
  <c r="M8126" i="1"/>
  <c r="N8126" i="1"/>
  <c r="O8126" i="1"/>
  <c r="P8126" i="1"/>
  <c r="Q8126" i="1"/>
  <c r="R8126" i="1"/>
  <c r="S8126" i="1"/>
  <c r="T8126" i="1"/>
  <c r="U8126" i="1"/>
  <c r="V8126" i="1"/>
  <c r="W8126" i="1"/>
  <c r="X8126" i="1"/>
  <c r="Y8126" i="1"/>
  <c r="Z8126" i="1"/>
  <c r="A8127" i="1"/>
  <c r="B8127" i="1"/>
  <c r="C8127" i="1"/>
  <c r="D8127" i="1"/>
  <c r="E8127" i="1"/>
  <c r="F8127" i="1"/>
  <c r="G8127" i="1"/>
  <c r="I8127" i="1"/>
  <c r="J8127" i="1"/>
  <c r="K8127" i="1"/>
  <c r="L8127" i="1"/>
  <c r="M8127" i="1"/>
  <c r="N8127" i="1"/>
  <c r="O8127" i="1"/>
  <c r="P8127" i="1"/>
  <c r="Q8127" i="1"/>
  <c r="R8127" i="1"/>
  <c r="S8127" i="1"/>
  <c r="T8127" i="1"/>
  <c r="U8127" i="1"/>
  <c r="V8127" i="1"/>
  <c r="W8127" i="1"/>
  <c r="X8127" i="1"/>
  <c r="Y8127" i="1"/>
  <c r="Z8127" i="1"/>
  <c r="A8128" i="1"/>
  <c r="B8128" i="1"/>
  <c r="C8128" i="1"/>
  <c r="D8128" i="1"/>
  <c r="E8128" i="1"/>
  <c r="F8128" i="1"/>
  <c r="G8128" i="1"/>
  <c r="I8128" i="1"/>
  <c r="J8128" i="1"/>
  <c r="K8128" i="1"/>
  <c r="L8128" i="1"/>
  <c r="M8128" i="1"/>
  <c r="N8128" i="1"/>
  <c r="O8128" i="1"/>
  <c r="P8128" i="1"/>
  <c r="Q8128" i="1"/>
  <c r="R8128" i="1"/>
  <c r="S8128" i="1"/>
  <c r="T8128" i="1"/>
  <c r="U8128" i="1"/>
  <c r="V8128" i="1"/>
  <c r="W8128" i="1"/>
  <c r="X8128" i="1"/>
  <c r="Y8128" i="1"/>
  <c r="Z8128" i="1"/>
  <c r="A8129" i="1"/>
  <c r="B8129" i="1"/>
  <c r="C8129" i="1"/>
  <c r="D8129" i="1"/>
  <c r="E8129" i="1"/>
  <c r="F8129" i="1"/>
  <c r="G8129" i="1"/>
  <c r="I8129" i="1"/>
  <c r="J8129" i="1"/>
  <c r="K8129" i="1"/>
  <c r="L8129" i="1"/>
  <c r="M8129" i="1"/>
  <c r="N8129" i="1"/>
  <c r="O8129" i="1"/>
  <c r="P8129" i="1"/>
  <c r="Q8129" i="1"/>
  <c r="R8129" i="1"/>
  <c r="S8129" i="1"/>
  <c r="T8129" i="1"/>
  <c r="U8129" i="1"/>
  <c r="V8129" i="1"/>
  <c r="W8129" i="1"/>
  <c r="X8129" i="1"/>
  <c r="Y8129" i="1"/>
  <c r="Z8129" i="1"/>
  <c r="A8130" i="1"/>
  <c r="B8130" i="1"/>
  <c r="C8130" i="1"/>
  <c r="D8130" i="1"/>
  <c r="E8130" i="1"/>
  <c r="F8130" i="1"/>
  <c r="G8130" i="1"/>
  <c r="I8130" i="1"/>
  <c r="J8130" i="1"/>
  <c r="K8130" i="1"/>
  <c r="L8130" i="1"/>
  <c r="M8130" i="1"/>
  <c r="N8130" i="1"/>
  <c r="O8130" i="1"/>
  <c r="P8130" i="1"/>
  <c r="Q8130" i="1"/>
  <c r="R8130" i="1"/>
  <c r="S8130" i="1"/>
  <c r="T8130" i="1"/>
  <c r="U8130" i="1"/>
  <c r="V8130" i="1"/>
  <c r="W8130" i="1"/>
  <c r="X8130" i="1"/>
  <c r="Y8130" i="1"/>
  <c r="Z8130" i="1"/>
  <c r="A8131" i="1"/>
  <c r="B8131" i="1"/>
  <c r="C8131" i="1"/>
  <c r="D8131" i="1"/>
  <c r="E8131" i="1"/>
  <c r="F8131" i="1"/>
  <c r="G8131" i="1"/>
  <c r="I8131" i="1"/>
  <c r="J8131" i="1"/>
  <c r="K8131" i="1"/>
  <c r="L8131" i="1"/>
  <c r="M8131" i="1"/>
  <c r="N8131" i="1"/>
  <c r="O8131" i="1"/>
  <c r="P8131" i="1"/>
  <c r="Q8131" i="1"/>
  <c r="R8131" i="1"/>
  <c r="S8131" i="1"/>
  <c r="T8131" i="1"/>
  <c r="U8131" i="1"/>
  <c r="V8131" i="1"/>
  <c r="W8131" i="1"/>
  <c r="X8131" i="1"/>
  <c r="Y8131" i="1"/>
  <c r="Z8131" i="1"/>
  <c r="A8132" i="1"/>
  <c r="B8132" i="1"/>
  <c r="C8132" i="1"/>
  <c r="D8132" i="1"/>
  <c r="E8132" i="1"/>
  <c r="F8132" i="1"/>
  <c r="G8132" i="1"/>
  <c r="I8132" i="1"/>
  <c r="J8132" i="1"/>
  <c r="K8132" i="1"/>
  <c r="L8132" i="1"/>
  <c r="M8132" i="1"/>
  <c r="N8132" i="1"/>
  <c r="O8132" i="1"/>
  <c r="P8132" i="1"/>
  <c r="Q8132" i="1"/>
  <c r="R8132" i="1"/>
  <c r="S8132" i="1"/>
  <c r="T8132" i="1"/>
  <c r="U8132" i="1"/>
  <c r="V8132" i="1"/>
  <c r="W8132" i="1"/>
  <c r="X8132" i="1"/>
  <c r="Y8132" i="1"/>
  <c r="Z8132" i="1"/>
  <c r="A8133" i="1"/>
  <c r="B8133" i="1"/>
  <c r="C8133" i="1"/>
  <c r="D8133" i="1"/>
  <c r="E8133" i="1"/>
  <c r="F8133" i="1"/>
  <c r="G8133" i="1"/>
  <c r="I8133" i="1"/>
  <c r="J8133" i="1"/>
  <c r="K8133" i="1"/>
  <c r="L8133" i="1"/>
  <c r="M8133" i="1"/>
  <c r="N8133" i="1"/>
  <c r="O8133" i="1"/>
  <c r="P8133" i="1"/>
  <c r="Q8133" i="1"/>
  <c r="R8133" i="1"/>
  <c r="S8133" i="1"/>
  <c r="T8133" i="1"/>
  <c r="U8133" i="1"/>
  <c r="V8133" i="1"/>
  <c r="W8133" i="1"/>
  <c r="X8133" i="1"/>
  <c r="Y8133" i="1"/>
  <c r="Z8133" i="1"/>
  <c r="A8134" i="1"/>
  <c r="B8134" i="1"/>
  <c r="C8134" i="1"/>
  <c r="D8134" i="1"/>
  <c r="E8134" i="1"/>
  <c r="F8134" i="1"/>
  <c r="G8134" i="1"/>
  <c r="I8134" i="1"/>
  <c r="J8134" i="1"/>
  <c r="K8134" i="1"/>
  <c r="L8134" i="1"/>
  <c r="M8134" i="1"/>
  <c r="N8134" i="1"/>
  <c r="O8134" i="1"/>
  <c r="P8134" i="1"/>
  <c r="Q8134" i="1"/>
  <c r="R8134" i="1"/>
  <c r="S8134" i="1"/>
  <c r="T8134" i="1"/>
  <c r="U8134" i="1"/>
  <c r="V8134" i="1"/>
  <c r="W8134" i="1"/>
  <c r="X8134" i="1"/>
  <c r="Y8134" i="1"/>
  <c r="Z8134" i="1"/>
  <c r="A8135" i="1"/>
  <c r="B8135" i="1"/>
  <c r="C8135" i="1"/>
  <c r="D8135" i="1"/>
  <c r="E8135" i="1"/>
  <c r="F8135" i="1"/>
  <c r="G8135" i="1"/>
  <c r="I8135" i="1"/>
  <c r="J8135" i="1"/>
  <c r="K8135" i="1"/>
  <c r="L8135" i="1"/>
  <c r="M8135" i="1"/>
  <c r="N8135" i="1"/>
  <c r="O8135" i="1"/>
  <c r="P8135" i="1"/>
  <c r="Q8135" i="1"/>
  <c r="R8135" i="1"/>
  <c r="S8135" i="1"/>
  <c r="T8135" i="1"/>
  <c r="U8135" i="1"/>
  <c r="V8135" i="1"/>
  <c r="W8135" i="1"/>
  <c r="X8135" i="1"/>
  <c r="Y8135" i="1"/>
  <c r="Z8135" i="1"/>
  <c r="A8136" i="1"/>
  <c r="B8136" i="1"/>
  <c r="C8136" i="1"/>
  <c r="D8136" i="1"/>
  <c r="E8136" i="1"/>
  <c r="F8136" i="1"/>
  <c r="G8136" i="1"/>
  <c r="I8136" i="1"/>
  <c r="J8136" i="1"/>
  <c r="K8136" i="1"/>
  <c r="L8136" i="1"/>
  <c r="M8136" i="1"/>
  <c r="N8136" i="1"/>
  <c r="O8136" i="1"/>
  <c r="P8136" i="1"/>
  <c r="Q8136" i="1"/>
  <c r="R8136" i="1"/>
  <c r="S8136" i="1"/>
  <c r="T8136" i="1"/>
  <c r="U8136" i="1"/>
  <c r="V8136" i="1"/>
  <c r="W8136" i="1"/>
  <c r="X8136" i="1"/>
  <c r="Y8136" i="1"/>
  <c r="Z8136" i="1"/>
  <c r="A8137" i="1"/>
  <c r="B8137" i="1"/>
  <c r="C8137" i="1"/>
  <c r="D8137" i="1"/>
  <c r="E8137" i="1"/>
  <c r="F8137" i="1"/>
  <c r="G8137" i="1"/>
  <c r="I8137" i="1"/>
  <c r="J8137" i="1"/>
  <c r="K8137" i="1"/>
  <c r="L8137" i="1"/>
  <c r="M8137" i="1"/>
  <c r="N8137" i="1"/>
  <c r="O8137" i="1"/>
  <c r="P8137" i="1"/>
  <c r="Q8137" i="1"/>
  <c r="R8137" i="1"/>
  <c r="S8137" i="1"/>
  <c r="T8137" i="1"/>
  <c r="U8137" i="1"/>
  <c r="V8137" i="1"/>
  <c r="W8137" i="1"/>
  <c r="X8137" i="1"/>
  <c r="Y8137" i="1"/>
  <c r="Z8137" i="1"/>
  <c r="A8138" i="1"/>
  <c r="B8138" i="1"/>
  <c r="C8138" i="1"/>
  <c r="D8138" i="1"/>
  <c r="E8138" i="1"/>
  <c r="F8138" i="1"/>
  <c r="G8138" i="1"/>
  <c r="I8138" i="1"/>
  <c r="J8138" i="1"/>
  <c r="K8138" i="1"/>
  <c r="L8138" i="1"/>
  <c r="M8138" i="1"/>
  <c r="N8138" i="1"/>
  <c r="O8138" i="1"/>
  <c r="P8138" i="1"/>
  <c r="Q8138" i="1"/>
  <c r="R8138" i="1"/>
  <c r="S8138" i="1"/>
  <c r="T8138" i="1"/>
  <c r="U8138" i="1"/>
  <c r="V8138" i="1"/>
  <c r="W8138" i="1"/>
  <c r="X8138" i="1"/>
  <c r="Y8138" i="1"/>
  <c r="Z8138" i="1"/>
  <c r="A8139" i="1"/>
  <c r="B8139" i="1"/>
  <c r="C8139" i="1"/>
  <c r="D8139" i="1"/>
  <c r="E8139" i="1"/>
  <c r="F8139" i="1"/>
  <c r="G8139" i="1"/>
  <c r="I8139" i="1"/>
  <c r="J8139" i="1"/>
  <c r="K8139" i="1"/>
  <c r="L8139" i="1"/>
  <c r="M8139" i="1"/>
  <c r="N8139" i="1"/>
  <c r="O8139" i="1"/>
  <c r="P8139" i="1"/>
  <c r="Q8139" i="1"/>
  <c r="R8139" i="1"/>
  <c r="S8139" i="1"/>
  <c r="T8139" i="1"/>
  <c r="U8139" i="1"/>
  <c r="V8139" i="1"/>
  <c r="W8139" i="1"/>
  <c r="X8139" i="1"/>
  <c r="Y8139" i="1"/>
  <c r="Z8139" i="1"/>
  <c r="A8140" i="1"/>
  <c r="B8140" i="1"/>
  <c r="C8140" i="1"/>
  <c r="D8140" i="1"/>
  <c r="E8140" i="1"/>
  <c r="F8140" i="1"/>
  <c r="G8140" i="1"/>
  <c r="I8140" i="1"/>
  <c r="J8140" i="1"/>
  <c r="K8140" i="1"/>
  <c r="L8140" i="1"/>
  <c r="M8140" i="1"/>
  <c r="N8140" i="1"/>
  <c r="O8140" i="1"/>
  <c r="P8140" i="1"/>
  <c r="Q8140" i="1"/>
  <c r="R8140" i="1"/>
  <c r="S8140" i="1"/>
  <c r="T8140" i="1"/>
  <c r="U8140" i="1"/>
  <c r="V8140" i="1"/>
  <c r="W8140" i="1"/>
  <c r="X8140" i="1"/>
  <c r="Y8140" i="1"/>
  <c r="Z8140" i="1"/>
  <c r="A8141" i="1"/>
  <c r="B8141" i="1"/>
  <c r="C8141" i="1"/>
  <c r="D8141" i="1"/>
  <c r="E8141" i="1"/>
  <c r="F8141" i="1"/>
  <c r="G8141" i="1"/>
  <c r="I8141" i="1"/>
  <c r="J8141" i="1"/>
  <c r="K8141" i="1"/>
  <c r="L8141" i="1"/>
  <c r="M8141" i="1"/>
  <c r="N8141" i="1"/>
  <c r="O8141" i="1"/>
  <c r="P8141" i="1"/>
  <c r="Q8141" i="1"/>
  <c r="R8141" i="1"/>
  <c r="S8141" i="1"/>
  <c r="T8141" i="1"/>
  <c r="U8141" i="1"/>
  <c r="V8141" i="1"/>
  <c r="W8141" i="1"/>
  <c r="X8141" i="1"/>
  <c r="Y8141" i="1"/>
  <c r="Z8141" i="1"/>
  <c r="A8142" i="1"/>
  <c r="B8142" i="1"/>
  <c r="C8142" i="1"/>
  <c r="D8142" i="1"/>
  <c r="E8142" i="1"/>
  <c r="F8142" i="1"/>
  <c r="G8142" i="1"/>
  <c r="I8142" i="1"/>
  <c r="J8142" i="1"/>
  <c r="K8142" i="1"/>
  <c r="L8142" i="1"/>
  <c r="M8142" i="1"/>
  <c r="N8142" i="1"/>
  <c r="O8142" i="1"/>
  <c r="P8142" i="1"/>
  <c r="Q8142" i="1"/>
  <c r="R8142" i="1"/>
  <c r="S8142" i="1"/>
  <c r="T8142" i="1"/>
  <c r="U8142" i="1"/>
  <c r="V8142" i="1"/>
  <c r="W8142" i="1"/>
  <c r="X8142" i="1"/>
  <c r="Y8142" i="1"/>
  <c r="Z8142" i="1"/>
  <c r="A8143" i="1"/>
  <c r="B8143" i="1"/>
  <c r="C8143" i="1"/>
  <c r="D8143" i="1"/>
  <c r="E8143" i="1"/>
  <c r="F8143" i="1"/>
  <c r="G8143" i="1"/>
  <c r="I8143" i="1"/>
  <c r="J8143" i="1"/>
  <c r="K8143" i="1"/>
  <c r="L8143" i="1"/>
  <c r="M8143" i="1"/>
  <c r="N8143" i="1"/>
  <c r="O8143" i="1"/>
  <c r="P8143" i="1"/>
  <c r="Q8143" i="1"/>
  <c r="R8143" i="1"/>
  <c r="S8143" i="1"/>
  <c r="T8143" i="1"/>
  <c r="U8143" i="1"/>
  <c r="V8143" i="1"/>
  <c r="W8143" i="1"/>
  <c r="X8143" i="1"/>
  <c r="Y8143" i="1"/>
  <c r="Z8143" i="1"/>
  <c r="A8144" i="1"/>
  <c r="B8144" i="1"/>
  <c r="C8144" i="1"/>
  <c r="D8144" i="1"/>
  <c r="E8144" i="1"/>
  <c r="F8144" i="1"/>
  <c r="G8144" i="1"/>
  <c r="I8144" i="1"/>
  <c r="J8144" i="1"/>
  <c r="K8144" i="1"/>
  <c r="L8144" i="1"/>
  <c r="M8144" i="1"/>
  <c r="N8144" i="1"/>
  <c r="O8144" i="1"/>
  <c r="P8144" i="1"/>
  <c r="Q8144" i="1"/>
  <c r="R8144" i="1"/>
  <c r="S8144" i="1"/>
  <c r="T8144" i="1"/>
  <c r="U8144" i="1"/>
  <c r="V8144" i="1"/>
  <c r="W8144" i="1"/>
  <c r="X8144" i="1"/>
  <c r="Y8144" i="1"/>
  <c r="Z8144" i="1"/>
  <c r="A8145" i="1"/>
  <c r="B8145" i="1"/>
  <c r="C8145" i="1"/>
  <c r="D8145" i="1"/>
  <c r="E8145" i="1"/>
  <c r="F8145" i="1"/>
  <c r="G8145" i="1"/>
  <c r="I8145" i="1"/>
  <c r="J8145" i="1"/>
  <c r="K8145" i="1"/>
  <c r="L8145" i="1"/>
  <c r="M8145" i="1"/>
  <c r="N8145" i="1"/>
  <c r="O8145" i="1"/>
  <c r="P8145" i="1"/>
  <c r="Q8145" i="1"/>
  <c r="R8145" i="1"/>
  <c r="S8145" i="1"/>
  <c r="T8145" i="1"/>
  <c r="U8145" i="1"/>
  <c r="V8145" i="1"/>
  <c r="W8145" i="1"/>
  <c r="X8145" i="1"/>
  <c r="Y8145" i="1"/>
  <c r="Z8145" i="1"/>
  <c r="A8146" i="1"/>
  <c r="B8146" i="1"/>
  <c r="C8146" i="1"/>
  <c r="D8146" i="1"/>
  <c r="E8146" i="1"/>
  <c r="F8146" i="1"/>
  <c r="G8146" i="1"/>
  <c r="I8146" i="1"/>
  <c r="J8146" i="1"/>
  <c r="K8146" i="1"/>
  <c r="L8146" i="1"/>
  <c r="M8146" i="1"/>
  <c r="N8146" i="1"/>
  <c r="O8146" i="1"/>
  <c r="P8146" i="1"/>
  <c r="Q8146" i="1"/>
  <c r="R8146" i="1"/>
  <c r="S8146" i="1"/>
  <c r="T8146" i="1"/>
  <c r="U8146" i="1"/>
  <c r="V8146" i="1"/>
  <c r="W8146" i="1"/>
  <c r="X8146" i="1"/>
  <c r="Y8146" i="1"/>
  <c r="Z8146" i="1"/>
  <c r="A8147" i="1"/>
  <c r="B8147" i="1"/>
  <c r="C8147" i="1"/>
  <c r="D8147" i="1"/>
  <c r="E8147" i="1"/>
  <c r="F8147" i="1"/>
  <c r="G8147" i="1"/>
  <c r="I8147" i="1"/>
  <c r="J8147" i="1"/>
  <c r="K8147" i="1"/>
  <c r="L8147" i="1"/>
  <c r="M8147" i="1"/>
  <c r="N8147" i="1"/>
  <c r="O8147" i="1"/>
  <c r="P8147" i="1"/>
  <c r="Q8147" i="1"/>
  <c r="R8147" i="1"/>
  <c r="S8147" i="1"/>
  <c r="T8147" i="1"/>
  <c r="U8147" i="1"/>
  <c r="V8147" i="1"/>
  <c r="W8147" i="1"/>
  <c r="X8147" i="1"/>
  <c r="Y8147" i="1"/>
  <c r="Z8147" i="1"/>
  <c r="A8148" i="1"/>
  <c r="B8148" i="1"/>
  <c r="C8148" i="1"/>
  <c r="D8148" i="1"/>
  <c r="E8148" i="1"/>
  <c r="F8148" i="1"/>
  <c r="G8148" i="1"/>
  <c r="I8148" i="1"/>
  <c r="J8148" i="1"/>
  <c r="K8148" i="1"/>
  <c r="L8148" i="1"/>
  <c r="M8148" i="1"/>
  <c r="N8148" i="1"/>
  <c r="O8148" i="1"/>
  <c r="P8148" i="1"/>
  <c r="Q8148" i="1"/>
  <c r="R8148" i="1"/>
  <c r="S8148" i="1"/>
  <c r="T8148" i="1"/>
  <c r="U8148" i="1"/>
  <c r="V8148" i="1"/>
  <c r="W8148" i="1"/>
  <c r="X8148" i="1"/>
  <c r="Y8148" i="1"/>
  <c r="Z8148" i="1"/>
  <c r="A8149" i="1"/>
  <c r="B8149" i="1"/>
  <c r="C8149" i="1"/>
  <c r="D8149" i="1"/>
  <c r="E8149" i="1"/>
  <c r="F8149" i="1"/>
  <c r="G8149" i="1"/>
  <c r="I8149" i="1"/>
  <c r="J8149" i="1"/>
  <c r="K8149" i="1"/>
  <c r="L8149" i="1"/>
  <c r="M8149" i="1"/>
  <c r="N8149" i="1"/>
  <c r="O8149" i="1"/>
  <c r="P8149" i="1"/>
  <c r="Q8149" i="1"/>
  <c r="R8149" i="1"/>
  <c r="S8149" i="1"/>
  <c r="T8149" i="1"/>
  <c r="U8149" i="1"/>
  <c r="V8149" i="1"/>
  <c r="W8149" i="1"/>
  <c r="X8149" i="1"/>
  <c r="Y8149" i="1"/>
  <c r="Z8149" i="1"/>
  <c r="A8150" i="1"/>
  <c r="B8150" i="1"/>
  <c r="C8150" i="1"/>
  <c r="D8150" i="1"/>
  <c r="E8150" i="1"/>
  <c r="F8150" i="1"/>
  <c r="G8150" i="1"/>
  <c r="I8150" i="1"/>
  <c r="J8150" i="1"/>
  <c r="K8150" i="1"/>
  <c r="L8150" i="1"/>
  <c r="M8150" i="1"/>
  <c r="N8150" i="1"/>
  <c r="O8150" i="1"/>
  <c r="P8150" i="1"/>
  <c r="Q8150" i="1"/>
  <c r="R8150" i="1"/>
  <c r="S8150" i="1"/>
  <c r="T8150" i="1"/>
  <c r="U8150" i="1"/>
  <c r="V8150" i="1"/>
  <c r="W8150" i="1"/>
  <c r="X8150" i="1"/>
  <c r="Y8150" i="1"/>
  <c r="Z8150" i="1"/>
  <c r="A8151" i="1"/>
  <c r="B8151" i="1"/>
  <c r="C8151" i="1"/>
  <c r="D8151" i="1"/>
  <c r="E8151" i="1"/>
  <c r="F8151" i="1"/>
  <c r="G8151" i="1"/>
  <c r="I8151" i="1"/>
  <c r="J8151" i="1"/>
  <c r="K8151" i="1"/>
  <c r="L8151" i="1"/>
  <c r="M8151" i="1"/>
  <c r="N8151" i="1"/>
  <c r="O8151" i="1"/>
  <c r="P8151" i="1"/>
  <c r="Q8151" i="1"/>
  <c r="R8151" i="1"/>
  <c r="S8151" i="1"/>
  <c r="T8151" i="1"/>
  <c r="U8151" i="1"/>
  <c r="V8151" i="1"/>
  <c r="W8151" i="1"/>
  <c r="X8151" i="1"/>
  <c r="Y8151" i="1"/>
  <c r="Z8151" i="1"/>
  <c r="A8152" i="1"/>
  <c r="B8152" i="1"/>
  <c r="C8152" i="1"/>
  <c r="D8152" i="1"/>
  <c r="E8152" i="1"/>
  <c r="F8152" i="1"/>
  <c r="G8152" i="1"/>
  <c r="I8152" i="1"/>
  <c r="J8152" i="1"/>
  <c r="K8152" i="1"/>
  <c r="L8152" i="1"/>
  <c r="M8152" i="1"/>
  <c r="N8152" i="1"/>
  <c r="O8152" i="1"/>
  <c r="P8152" i="1"/>
  <c r="Q8152" i="1"/>
  <c r="R8152" i="1"/>
  <c r="S8152" i="1"/>
  <c r="T8152" i="1"/>
  <c r="U8152" i="1"/>
  <c r="V8152" i="1"/>
  <c r="W8152" i="1"/>
  <c r="X8152" i="1"/>
  <c r="Y8152" i="1"/>
  <c r="Z8152" i="1"/>
  <c r="A8153" i="1"/>
  <c r="B8153" i="1"/>
  <c r="C8153" i="1"/>
  <c r="D8153" i="1"/>
  <c r="E8153" i="1"/>
  <c r="F8153" i="1"/>
  <c r="G8153" i="1"/>
  <c r="I8153" i="1"/>
  <c r="J8153" i="1"/>
  <c r="K8153" i="1"/>
  <c r="L8153" i="1"/>
  <c r="M8153" i="1"/>
  <c r="N8153" i="1"/>
  <c r="O8153" i="1"/>
  <c r="P8153" i="1"/>
  <c r="Q8153" i="1"/>
  <c r="R8153" i="1"/>
  <c r="S8153" i="1"/>
  <c r="T8153" i="1"/>
  <c r="U8153" i="1"/>
  <c r="V8153" i="1"/>
  <c r="W8153" i="1"/>
  <c r="X8153" i="1"/>
  <c r="Y8153" i="1"/>
  <c r="Z8153" i="1"/>
  <c r="A8154" i="1"/>
  <c r="B8154" i="1"/>
  <c r="C8154" i="1"/>
  <c r="D8154" i="1"/>
  <c r="E8154" i="1"/>
  <c r="F8154" i="1"/>
  <c r="G8154" i="1"/>
  <c r="I8154" i="1"/>
  <c r="J8154" i="1"/>
  <c r="K8154" i="1"/>
  <c r="L8154" i="1"/>
  <c r="M8154" i="1"/>
  <c r="N8154" i="1"/>
  <c r="O8154" i="1"/>
  <c r="P8154" i="1"/>
  <c r="Q8154" i="1"/>
  <c r="R8154" i="1"/>
  <c r="S8154" i="1"/>
  <c r="T8154" i="1"/>
  <c r="U8154" i="1"/>
  <c r="V8154" i="1"/>
  <c r="W8154" i="1"/>
  <c r="X8154" i="1"/>
  <c r="Y8154" i="1"/>
  <c r="Z8154" i="1"/>
  <c r="A8155" i="1"/>
  <c r="B8155" i="1"/>
  <c r="C8155" i="1"/>
  <c r="D8155" i="1"/>
  <c r="E8155" i="1"/>
  <c r="F8155" i="1"/>
  <c r="G8155" i="1"/>
  <c r="I8155" i="1"/>
  <c r="J8155" i="1"/>
  <c r="K8155" i="1"/>
  <c r="L8155" i="1"/>
  <c r="M8155" i="1"/>
  <c r="N8155" i="1"/>
  <c r="O8155" i="1"/>
  <c r="P8155" i="1"/>
  <c r="Q8155" i="1"/>
  <c r="R8155" i="1"/>
  <c r="S8155" i="1"/>
  <c r="T8155" i="1"/>
  <c r="U8155" i="1"/>
  <c r="V8155" i="1"/>
  <c r="W8155" i="1"/>
  <c r="X8155" i="1"/>
  <c r="Y8155" i="1"/>
  <c r="Z8155" i="1"/>
  <c r="A8156" i="1"/>
  <c r="B8156" i="1"/>
  <c r="C8156" i="1"/>
  <c r="D8156" i="1"/>
  <c r="E8156" i="1"/>
  <c r="F8156" i="1"/>
  <c r="G8156" i="1"/>
  <c r="I8156" i="1"/>
  <c r="J8156" i="1"/>
  <c r="K8156" i="1"/>
  <c r="L8156" i="1"/>
  <c r="M8156" i="1"/>
  <c r="N8156" i="1"/>
  <c r="O8156" i="1"/>
  <c r="P8156" i="1"/>
  <c r="Q8156" i="1"/>
  <c r="R8156" i="1"/>
  <c r="S8156" i="1"/>
  <c r="T8156" i="1"/>
  <c r="U8156" i="1"/>
  <c r="V8156" i="1"/>
  <c r="W8156" i="1"/>
  <c r="X8156" i="1"/>
  <c r="Y8156" i="1"/>
  <c r="Z8156" i="1"/>
  <c r="A8157" i="1"/>
  <c r="B8157" i="1"/>
  <c r="C8157" i="1"/>
  <c r="D8157" i="1"/>
  <c r="E8157" i="1"/>
  <c r="F8157" i="1"/>
  <c r="G8157" i="1"/>
  <c r="I8157" i="1"/>
  <c r="J8157" i="1"/>
  <c r="K8157" i="1"/>
  <c r="L8157" i="1"/>
  <c r="M8157" i="1"/>
  <c r="N8157" i="1"/>
  <c r="O8157" i="1"/>
  <c r="P8157" i="1"/>
  <c r="Q8157" i="1"/>
  <c r="R8157" i="1"/>
  <c r="S8157" i="1"/>
  <c r="T8157" i="1"/>
  <c r="U8157" i="1"/>
  <c r="V8157" i="1"/>
  <c r="W8157" i="1"/>
  <c r="X8157" i="1"/>
  <c r="Y8157" i="1"/>
  <c r="Z8157" i="1"/>
  <c r="A8158" i="1"/>
  <c r="B8158" i="1"/>
  <c r="C8158" i="1"/>
  <c r="D8158" i="1"/>
  <c r="E8158" i="1"/>
  <c r="F8158" i="1"/>
  <c r="G8158" i="1"/>
  <c r="I8158" i="1"/>
  <c r="J8158" i="1"/>
  <c r="K8158" i="1"/>
  <c r="L8158" i="1"/>
  <c r="M8158" i="1"/>
  <c r="N8158" i="1"/>
  <c r="O8158" i="1"/>
  <c r="P8158" i="1"/>
  <c r="Q8158" i="1"/>
  <c r="R8158" i="1"/>
  <c r="S8158" i="1"/>
  <c r="T8158" i="1"/>
  <c r="U8158" i="1"/>
  <c r="V8158" i="1"/>
  <c r="W8158" i="1"/>
  <c r="X8158" i="1"/>
  <c r="Y8158" i="1"/>
  <c r="Z8158" i="1"/>
  <c r="A8159" i="1"/>
  <c r="B8159" i="1"/>
  <c r="C8159" i="1"/>
  <c r="D8159" i="1"/>
  <c r="E8159" i="1"/>
  <c r="F8159" i="1"/>
  <c r="G8159" i="1"/>
  <c r="I8159" i="1"/>
  <c r="J8159" i="1"/>
  <c r="K8159" i="1"/>
  <c r="L8159" i="1"/>
  <c r="M8159" i="1"/>
  <c r="N8159" i="1"/>
  <c r="O8159" i="1"/>
  <c r="P8159" i="1"/>
  <c r="Q8159" i="1"/>
  <c r="R8159" i="1"/>
  <c r="S8159" i="1"/>
  <c r="T8159" i="1"/>
  <c r="U8159" i="1"/>
  <c r="V8159" i="1"/>
  <c r="W8159" i="1"/>
  <c r="X8159" i="1"/>
  <c r="Y8159" i="1"/>
  <c r="Z8159" i="1"/>
  <c r="A8160" i="1"/>
  <c r="B8160" i="1"/>
  <c r="C8160" i="1"/>
  <c r="D8160" i="1"/>
  <c r="E8160" i="1"/>
  <c r="F8160" i="1"/>
  <c r="G8160" i="1"/>
  <c r="I8160" i="1"/>
  <c r="J8160" i="1"/>
  <c r="K8160" i="1"/>
  <c r="L8160" i="1"/>
  <c r="M8160" i="1"/>
  <c r="N8160" i="1"/>
  <c r="O8160" i="1"/>
  <c r="P8160" i="1"/>
  <c r="Q8160" i="1"/>
  <c r="R8160" i="1"/>
  <c r="S8160" i="1"/>
  <c r="T8160" i="1"/>
  <c r="U8160" i="1"/>
  <c r="V8160" i="1"/>
  <c r="W8160" i="1"/>
  <c r="X8160" i="1"/>
  <c r="Y8160" i="1"/>
  <c r="Z8160" i="1"/>
  <c r="A8161" i="1"/>
  <c r="B8161" i="1"/>
  <c r="C8161" i="1"/>
  <c r="D8161" i="1"/>
  <c r="E8161" i="1"/>
  <c r="F8161" i="1"/>
  <c r="G8161" i="1"/>
  <c r="I8161" i="1"/>
  <c r="J8161" i="1"/>
  <c r="K8161" i="1"/>
  <c r="L8161" i="1"/>
  <c r="M8161" i="1"/>
  <c r="N8161" i="1"/>
  <c r="O8161" i="1"/>
  <c r="P8161" i="1"/>
  <c r="Q8161" i="1"/>
  <c r="R8161" i="1"/>
  <c r="S8161" i="1"/>
  <c r="T8161" i="1"/>
  <c r="U8161" i="1"/>
  <c r="V8161" i="1"/>
  <c r="W8161" i="1"/>
  <c r="X8161" i="1"/>
  <c r="Y8161" i="1"/>
  <c r="Z8161" i="1"/>
  <c r="A8162" i="1"/>
  <c r="B8162" i="1"/>
  <c r="C8162" i="1"/>
  <c r="D8162" i="1"/>
  <c r="E8162" i="1"/>
  <c r="F8162" i="1"/>
  <c r="G8162" i="1"/>
  <c r="I8162" i="1"/>
  <c r="J8162" i="1"/>
  <c r="K8162" i="1"/>
  <c r="L8162" i="1"/>
  <c r="M8162" i="1"/>
  <c r="N8162" i="1"/>
  <c r="O8162" i="1"/>
  <c r="P8162" i="1"/>
  <c r="Q8162" i="1"/>
  <c r="R8162" i="1"/>
  <c r="S8162" i="1"/>
  <c r="T8162" i="1"/>
  <c r="U8162" i="1"/>
  <c r="V8162" i="1"/>
  <c r="W8162" i="1"/>
  <c r="X8162" i="1"/>
  <c r="Y8162" i="1"/>
  <c r="Z8162" i="1"/>
  <c r="A8163" i="1"/>
  <c r="B8163" i="1"/>
  <c r="C8163" i="1"/>
  <c r="D8163" i="1"/>
  <c r="E8163" i="1"/>
  <c r="F8163" i="1"/>
  <c r="G8163" i="1"/>
  <c r="I8163" i="1"/>
  <c r="J8163" i="1"/>
  <c r="K8163" i="1"/>
  <c r="L8163" i="1"/>
  <c r="M8163" i="1"/>
  <c r="N8163" i="1"/>
  <c r="O8163" i="1"/>
  <c r="P8163" i="1"/>
  <c r="Q8163" i="1"/>
  <c r="R8163" i="1"/>
  <c r="S8163" i="1"/>
  <c r="T8163" i="1"/>
  <c r="U8163" i="1"/>
  <c r="V8163" i="1"/>
  <c r="W8163" i="1"/>
  <c r="X8163" i="1"/>
  <c r="Y8163" i="1"/>
  <c r="Z8163" i="1"/>
  <c r="A8164" i="1"/>
  <c r="B8164" i="1"/>
  <c r="C8164" i="1"/>
  <c r="D8164" i="1"/>
  <c r="E8164" i="1"/>
  <c r="F8164" i="1"/>
  <c r="G8164" i="1"/>
  <c r="I8164" i="1"/>
  <c r="J8164" i="1"/>
  <c r="K8164" i="1"/>
  <c r="L8164" i="1"/>
  <c r="M8164" i="1"/>
  <c r="N8164" i="1"/>
  <c r="O8164" i="1"/>
  <c r="P8164" i="1"/>
  <c r="Q8164" i="1"/>
  <c r="R8164" i="1"/>
  <c r="S8164" i="1"/>
  <c r="T8164" i="1"/>
  <c r="U8164" i="1"/>
  <c r="V8164" i="1"/>
  <c r="W8164" i="1"/>
  <c r="X8164" i="1"/>
  <c r="Y8164" i="1"/>
  <c r="Z8164" i="1"/>
  <c r="A8165" i="1"/>
  <c r="B8165" i="1"/>
  <c r="C8165" i="1"/>
  <c r="D8165" i="1"/>
  <c r="E8165" i="1"/>
  <c r="F8165" i="1"/>
  <c r="G8165" i="1"/>
  <c r="I8165" i="1"/>
  <c r="J8165" i="1"/>
  <c r="K8165" i="1"/>
  <c r="L8165" i="1"/>
  <c r="M8165" i="1"/>
  <c r="N8165" i="1"/>
  <c r="O8165" i="1"/>
  <c r="P8165" i="1"/>
  <c r="Q8165" i="1"/>
  <c r="R8165" i="1"/>
  <c r="S8165" i="1"/>
  <c r="T8165" i="1"/>
  <c r="U8165" i="1"/>
  <c r="V8165" i="1"/>
  <c r="W8165" i="1"/>
  <c r="X8165" i="1"/>
  <c r="Y8165" i="1"/>
  <c r="Z8165" i="1"/>
  <c r="A8166" i="1"/>
  <c r="B8166" i="1"/>
  <c r="C8166" i="1"/>
  <c r="D8166" i="1"/>
  <c r="E8166" i="1"/>
  <c r="F8166" i="1"/>
  <c r="G8166" i="1"/>
  <c r="I8166" i="1"/>
  <c r="J8166" i="1"/>
  <c r="K8166" i="1"/>
  <c r="L8166" i="1"/>
  <c r="M8166" i="1"/>
  <c r="N8166" i="1"/>
  <c r="O8166" i="1"/>
  <c r="P8166" i="1"/>
  <c r="Q8166" i="1"/>
  <c r="R8166" i="1"/>
  <c r="S8166" i="1"/>
  <c r="T8166" i="1"/>
  <c r="U8166" i="1"/>
  <c r="V8166" i="1"/>
  <c r="W8166" i="1"/>
  <c r="X8166" i="1"/>
  <c r="Y8166" i="1"/>
  <c r="Z8166" i="1"/>
  <c r="A8167" i="1"/>
  <c r="B8167" i="1"/>
  <c r="C8167" i="1"/>
  <c r="D8167" i="1"/>
  <c r="E8167" i="1"/>
  <c r="F8167" i="1"/>
  <c r="G8167" i="1"/>
  <c r="I8167" i="1"/>
  <c r="J8167" i="1"/>
  <c r="K8167" i="1"/>
  <c r="L8167" i="1"/>
  <c r="M8167" i="1"/>
  <c r="N8167" i="1"/>
  <c r="O8167" i="1"/>
  <c r="P8167" i="1"/>
  <c r="Q8167" i="1"/>
  <c r="R8167" i="1"/>
  <c r="S8167" i="1"/>
  <c r="T8167" i="1"/>
  <c r="U8167" i="1"/>
  <c r="V8167" i="1"/>
  <c r="W8167" i="1"/>
  <c r="X8167" i="1"/>
  <c r="Y8167" i="1"/>
  <c r="Z8167" i="1"/>
  <c r="A8168" i="1"/>
  <c r="B8168" i="1"/>
  <c r="C8168" i="1"/>
  <c r="D8168" i="1"/>
  <c r="E8168" i="1"/>
  <c r="F8168" i="1"/>
  <c r="G8168" i="1"/>
  <c r="I8168" i="1"/>
  <c r="J8168" i="1"/>
  <c r="K8168" i="1"/>
  <c r="L8168" i="1"/>
  <c r="M8168" i="1"/>
  <c r="N8168" i="1"/>
  <c r="O8168" i="1"/>
  <c r="P8168" i="1"/>
  <c r="Q8168" i="1"/>
  <c r="R8168" i="1"/>
  <c r="S8168" i="1"/>
  <c r="T8168" i="1"/>
  <c r="U8168" i="1"/>
  <c r="V8168" i="1"/>
  <c r="W8168" i="1"/>
  <c r="X8168" i="1"/>
  <c r="Y8168" i="1"/>
  <c r="Z8168" i="1"/>
  <c r="A8169" i="1"/>
  <c r="B8169" i="1"/>
  <c r="C8169" i="1"/>
  <c r="D8169" i="1"/>
  <c r="E8169" i="1"/>
  <c r="F8169" i="1"/>
  <c r="G8169" i="1"/>
  <c r="I8169" i="1"/>
  <c r="J8169" i="1"/>
  <c r="K8169" i="1"/>
  <c r="L8169" i="1"/>
  <c r="M8169" i="1"/>
  <c r="N8169" i="1"/>
  <c r="O8169" i="1"/>
  <c r="P8169" i="1"/>
  <c r="Q8169" i="1"/>
  <c r="R8169" i="1"/>
  <c r="S8169" i="1"/>
  <c r="T8169" i="1"/>
  <c r="U8169" i="1"/>
  <c r="V8169" i="1"/>
  <c r="W8169" i="1"/>
  <c r="X8169" i="1"/>
  <c r="Y8169" i="1"/>
  <c r="Z8169" i="1"/>
  <c r="A8170" i="1"/>
  <c r="B8170" i="1"/>
  <c r="C8170" i="1"/>
  <c r="D8170" i="1"/>
  <c r="E8170" i="1"/>
  <c r="F8170" i="1"/>
  <c r="G8170" i="1"/>
  <c r="I8170" i="1"/>
  <c r="J8170" i="1"/>
  <c r="K8170" i="1"/>
  <c r="L8170" i="1"/>
  <c r="M8170" i="1"/>
  <c r="N8170" i="1"/>
  <c r="O8170" i="1"/>
  <c r="P8170" i="1"/>
  <c r="Q8170" i="1"/>
  <c r="R8170" i="1"/>
  <c r="S8170" i="1"/>
  <c r="T8170" i="1"/>
  <c r="U8170" i="1"/>
  <c r="V8170" i="1"/>
  <c r="W8170" i="1"/>
  <c r="X8170" i="1"/>
  <c r="Y8170" i="1"/>
  <c r="Z8170" i="1"/>
  <c r="A8171" i="1"/>
  <c r="B8171" i="1"/>
  <c r="C8171" i="1"/>
  <c r="D8171" i="1"/>
  <c r="E8171" i="1"/>
  <c r="F8171" i="1"/>
  <c r="G8171" i="1"/>
  <c r="I8171" i="1"/>
  <c r="J8171" i="1"/>
  <c r="K8171" i="1"/>
  <c r="L8171" i="1"/>
  <c r="M8171" i="1"/>
  <c r="N8171" i="1"/>
  <c r="O8171" i="1"/>
  <c r="P8171" i="1"/>
  <c r="Q8171" i="1"/>
  <c r="R8171" i="1"/>
  <c r="S8171" i="1"/>
  <c r="T8171" i="1"/>
  <c r="U8171" i="1"/>
  <c r="V8171" i="1"/>
  <c r="W8171" i="1"/>
  <c r="X8171" i="1"/>
  <c r="Y8171" i="1"/>
  <c r="Z8171" i="1"/>
  <c r="A8172" i="1"/>
  <c r="B8172" i="1"/>
  <c r="C8172" i="1"/>
  <c r="D8172" i="1"/>
  <c r="E8172" i="1"/>
  <c r="F8172" i="1"/>
  <c r="G8172" i="1"/>
  <c r="I8172" i="1"/>
  <c r="J8172" i="1"/>
  <c r="K8172" i="1"/>
  <c r="L8172" i="1"/>
  <c r="M8172" i="1"/>
  <c r="N8172" i="1"/>
  <c r="O8172" i="1"/>
  <c r="P8172" i="1"/>
  <c r="Q8172" i="1"/>
  <c r="R8172" i="1"/>
  <c r="S8172" i="1"/>
  <c r="T8172" i="1"/>
  <c r="U8172" i="1"/>
  <c r="V8172" i="1"/>
  <c r="W8172" i="1"/>
  <c r="X8172" i="1"/>
  <c r="Y8172" i="1"/>
  <c r="Z8172" i="1"/>
  <c r="A8173" i="1"/>
  <c r="B8173" i="1"/>
  <c r="C8173" i="1"/>
  <c r="D8173" i="1"/>
  <c r="E8173" i="1"/>
  <c r="F8173" i="1"/>
  <c r="G8173" i="1"/>
  <c r="I8173" i="1"/>
  <c r="J8173" i="1"/>
  <c r="K8173" i="1"/>
  <c r="L8173" i="1"/>
  <c r="M8173" i="1"/>
  <c r="N8173" i="1"/>
  <c r="O8173" i="1"/>
  <c r="P8173" i="1"/>
  <c r="Q8173" i="1"/>
  <c r="R8173" i="1"/>
  <c r="S8173" i="1"/>
  <c r="T8173" i="1"/>
  <c r="U8173" i="1"/>
  <c r="V8173" i="1"/>
  <c r="W8173" i="1"/>
  <c r="X8173" i="1"/>
  <c r="Y8173" i="1"/>
  <c r="Z8173" i="1"/>
  <c r="A8174" i="1"/>
  <c r="B8174" i="1"/>
  <c r="C8174" i="1"/>
  <c r="D8174" i="1"/>
  <c r="E8174" i="1"/>
  <c r="F8174" i="1"/>
  <c r="G8174" i="1"/>
  <c r="I8174" i="1"/>
  <c r="J8174" i="1"/>
  <c r="K8174" i="1"/>
  <c r="L8174" i="1"/>
  <c r="M8174" i="1"/>
  <c r="N8174" i="1"/>
  <c r="O8174" i="1"/>
  <c r="P8174" i="1"/>
  <c r="Q8174" i="1"/>
  <c r="R8174" i="1"/>
  <c r="S8174" i="1"/>
  <c r="T8174" i="1"/>
  <c r="U8174" i="1"/>
  <c r="V8174" i="1"/>
  <c r="W8174" i="1"/>
  <c r="X8174" i="1"/>
  <c r="Y8174" i="1"/>
  <c r="Z8174" i="1"/>
  <c r="A8175" i="1"/>
  <c r="B8175" i="1"/>
  <c r="C8175" i="1"/>
  <c r="D8175" i="1"/>
  <c r="E8175" i="1"/>
  <c r="F8175" i="1"/>
  <c r="G8175" i="1"/>
  <c r="I8175" i="1"/>
  <c r="J8175" i="1"/>
  <c r="K8175" i="1"/>
  <c r="L8175" i="1"/>
  <c r="M8175" i="1"/>
  <c r="N8175" i="1"/>
  <c r="O8175" i="1"/>
  <c r="P8175" i="1"/>
  <c r="Q8175" i="1"/>
  <c r="R8175" i="1"/>
  <c r="S8175" i="1"/>
  <c r="T8175" i="1"/>
  <c r="U8175" i="1"/>
  <c r="V8175" i="1"/>
  <c r="W8175" i="1"/>
  <c r="X8175" i="1"/>
  <c r="Y8175" i="1"/>
  <c r="Z8175" i="1"/>
  <c r="A8176" i="1"/>
  <c r="B8176" i="1"/>
  <c r="C8176" i="1"/>
  <c r="D8176" i="1"/>
  <c r="E8176" i="1"/>
  <c r="F8176" i="1"/>
  <c r="G8176" i="1"/>
  <c r="I8176" i="1"/>
  <c r="J8176" i="1"/>
  <c r="K8176" i="1"/>
  <c r="L8176" i="1"/>
  <c r="M8176" i="1"/>
  <c r="N8176" i="1"/>
  <c r="O8176" i="1"/>
  <c r="P8176" i="1"/>
  <c r="Q8176" i="1"/>
  <c r="R8176" i="1"/>
  <c r="S8176" i="1"/>
  <c r="T8176" i="1"/>
  <c r="U8176" i="1"/>
  <c r="V8176" i="1"/>
  <c r="W8176" i="1"/>
  <c r="X8176" i="1"/>
  <c r="Y8176" i="1"/>
  <c r="Z8176" i="1"/>
  <c r="A8177" i="1"/>
  <c r="B8177" i="1"/>
  <c r="C8177" i="1"/>
  <c r="D8177" i="1"/>
  <c r="E8177" i="1"/>
  <c r="F8177" i="1"/>
  <c r="G8177" i="1"/>
  <c r="I8177" i="1"/>
  <c r="J8177" i="1"/>
  <c r="K8177" i="1"/>
  <c r="L8177" i="1"/>
  <c r="M8177" i="1"/>
  <c r="N8177" i="1"/>
  <c r="O8177" i="1"/>
  <c r="P8177" i="1"/>
  <c r="Q8177" i="1"/>
  <c r="R8177" i="1"/>
  <c r="S8177" i="1"/>
  <c r="T8177" i="1"/>
  <c r="U8177" i="1"/>
  <c r="V8177" i="1"/>
  <c r="W8177" i="1"/>
  <c r="X8177" i="1"/>
  <c r="Y8177" i="1"/>
  <c r="Z8177" i="1"/>
  <c r="A8178" i="1"/>
  <c r="B8178" i="1"/>
  <c r="C8178" i="1"/>
  <c r="D8178" i="1"/>
  <c r="E8178" i="1"/>
  <c r="F8178" i="1"/>
  <c r="G8178" i="1"/>
  <c r="I8178" i="1"/>
  <c r="J8178" i="1"/>
  <c r="K8178" i="1"/>
  <c r="L8178" i="1"/>
  <c r="M8178" i="1"/>
  <c r="N8178" i="1"/>
  <c r="O8178" i="1"/>
  <c r="P8178" i="1"/>
  <c r="Q8178" i="1"/>
  <c r="R8178" i="1"/>
  <c r="S8178" i="1"/>
  <c r="T8178" i="1"/>
  <c r="U8178" i="1"/>
  <c r="V8178" i="1"/>
  <c r="W8178" i="1"/>
  <c r="X8178" i="1"/>
  <c r="Y8178" i="1"/>
  <c r="Z8178" i="1"/>
  <c r="A8179" i="1"/>
  <c r="B8179" i="1"/>
  <c r="C8179" i="1"/>
  <c r="D8179" i="1"/>
  <c r="E8179" i="1"/>
  <c r="F8179" i="1"/>
  <c r="G8179" i="1"/>
  <c r="I8179" i="1"/>
  <c r="J8179" i="1"/>
  <c r="K8179" i="1"/>
  <c r="L8179" i="1"/>
  <c r="M8179" i="1"/>
  <c r="N8179" i="1"/>
  <c r="O8179" i="1"/>
  <c r="P8179" i="1"/>
  <c r="Q8179" i="1"/>
  <c r="R8179" i="1"/>
  <c r="S8179" i="1"/>
  <c r="T8179" i="1"/>
  <c r="U8179" i="1"/>
  <c r="V8179" i="1"/>
  <c r="W8179" i="1"/>
  <c r="X8179" i="1"/>
  <c r="Y8179" i="1"/>
  <c r="Z8179" i="1"/>
  <c r="A8180" i="1"/>
  <c r="B8180" i="1"/>
  <c r="C8180" i="1"/>
  <c r="D8180" i="1"/>
  <c r="E8180" i="1"/>
  <c r="F8180" i="1"/>
  <c r="G8180" i="1"/>
  <c r="I8180" i="1"/>
  <c r="J8180" i="1"/>
  <c r="K8180" i="1"/>
  <c r="L8180" i="1"/>
  <c r="M8180" i="1"/>
  <c r="N8180" i="1"/>
  <c r="O8180" i="1"/>
  <c r="P8180" i="1"/>
  <c r="Q8180" i="1"/>
  <c r="R8180" i="1"/>
  <c r="S8180" i="1"/>
  <c r="T8180" i="1"/>
  <c r="U8180" i="1"/>
  <c r="V8180" i="1"/>
  <c r="W8180" i="1"/>
  <c r="X8180" i="1"/>
  <c r="Y8180" i="1"/>
  <c r="Z8180" i="1"/>
  <c r="A8181" i="1"/>
  <c r="B8181" i="1"/>
  <c r="C8181" i="1"/>
  <c r="D8181" i="1"/>
  <c r="E8181" i="1"/>
  <c r="F8181" i="1"/>
  <c r="G8181" i="1"/>
  <c r="I8181" i="1"/>
  <c r="J8181" i="1"/>
  <c r="K8181" i="1"/>
  <c r="L8181" i="1"/>
  <c r="M8181" i="1"/>
  <c r="N8181" i="1"/>
  <c r="O8181" i="1"/>
  <c r="P8181" i="1"/>
  <c r="Q8181" i="1"/>
  <c r="R8181" i="1"/>
  <c r="S8181" i="1"/>
  <c r="T8181" i="1"/>
  <c r="U8181" i="1"/>
  <c r="V8181" i="1"/>
  <c r="W8181" i="1"/>
  <c r="X8181" i="1"/>
  <c r="Y8181" i="1"/>
  <c r="Z8181" i="1"/>
  <c r="A8182" i="1"/>
  <c r="B8182" i="1"/>
  <c r="C8182" i="1"/>
  <c r="D8182" i="1"/>
  <c r="E8182" i="1"/>
  <c r="F8182" i="1"/>
  <c r="G8182" i="1"/>
  <c r="I8182" i="1"/>
  <c r="J8182" i="1"/>
  <c r="K8182" i="1"/>
  <c r="L8182" i="1"/>
  <c r="M8182" i="1"/>
  <c r="N8182" i="1"/>
  <c r="O8182" i="1"/>
  <c r="P8182" i="1"/>
  <c r="Q8182" i="1"/>
  <c r="R8182" i="1"/>
  <c r="S8182" i="1"/>
  <c r="T8182" i="1"/>
  <c r="U8182" i="1"/>
  <c r="V8182" i="1"/>
  <c r="W8182" i="1"/>
  <c r="X8182" i="1"/>
  <c r="Y8182" i="1"/>
  <c r="Z8182" i="1"/>
  <c r="A8183" i="1"/>
  <c r="B8183" i="1"/>
  <c r="C8183" i="1"/>
  <c r="D8183" i="1"/>
  <c r="E8183" i="1"/>
  <c r="F8183" i="1"/>
  <c r="G8183" i="1"/>
  <c r="I8183" i="1"/>
  <c r="J8183" i="1"/>
  <c r="K8183" i="1"/>
  <c r="L8183" i="1"/>
  <c r="M8183" i="1"/>
  <c r="N8183" i="1"/>
  <c r="O8183" i="1"/>
  <c r="P8183" i="1"/>
  <c r="Q8183" i="1"/>
  <c r="R8183" i="1"/>
  <c r="S8183" i="1"/>
  <c r="T8183" i="1"/>
  <c r="U8183" i="1"/>
  <c r="V8183" i="1"/>
  <c r="W8183" i="1"/>
  <c r="X8183" i="1"/>
  <c r="Y8183" i="1"/>
  <c r="Z8183" i="1"/>
  <c r="A8184" i="1"/>
  <c r="B8184" i="1"/>
  <c r="C8184" i="1"/>
  <c r="D8184" i="1"/>
  <c r="E8184" i="1"/>
  <c r="F8184" i="1"/>
  <c r="G8184" i="1"/>
  <c r="I8184" i="1"/>
  <c r="J8184" i="1"/>
  <c r="K8184" i="1"/>
  <c r="L8184" i="1"/>
  <c r="M8184" i="1"/>
  <c r="N8184" i="1"/>
  <c r="O8184" i="1"/>
  <c r="P8184" i="1"/>
  <c r="Q8184" i="1"/>
  <c r="R8184" i="1"/>
  <c r="S8184" i="1"/>
  <c r="T8184" i="1"/>
  <c r="U8184" i="1"/>
  <c r="V8184" i="1"/>
  <c r="W8184" i="1"/>
  <c r="X8184" i="1"/>
  <c r="Y8184" i="1"/>
  <c r="Z8184" i="1"/>
  <c r="A8185" i="1"/>
  <c r="B8185" i="1"/>
  <c r="C8185" i="1"/>
  <c r="D8185" i="1"/>
  <c r="E8185" i="1"/>
  <c r="F8185" i="1"/>
  <c r="G8185" i="1"/>
  <c r="I8185" i="1"/>
  <c r="J8185" i="1"/>
  <c r="K8185" i="1"/>
  <c r="L8185" i="1"/>
  <c r="M8185" i="1"/>
  <c r="N8185" i="1"/>
  <c r="O8185" i="1"/>
  <c r="P8185" i="1"/>
  <c r="Q8185" i="1"/>
  <c r="R8185" i="1"/>
  <c r="S8185" i="1"/>
  <c r="T8185" i="1"/>
  <c r="U8185" i="1"/>
  <c r="V8185" i="1"/>
  <c r="W8185" i="1"/>
  <c r="X8185" i="1"/>
  <c r="Y8185" i="1"/>
  <c r="Z8185" i="1"/>
  <c r="A8186" i="1"/>
  <c r="B8186" i="1"/>
  <c r="C8186" i="1"/>
  <c r="D8186" i="1"/>
  <c r="E8186" i="1"/>
  <c r="F8186" i="1"/>
  <c r="G8186" i="1"/>
  <c r="I8186" i="1"/>
  <c r="J8186" i="1"/>
  <c r="K8186" i="1"/>
  <c r="L8186" i="1"/>
  <c r="M8186" i="1"/>
  <c r="N8186" i="1"/>
  <c r="O8186" i="1"/>
  <c r="P8186" i="1"/>
  <c r="Q8186" i="1"/>
  <c r="R8186" i="1"/>
  <c r="S8186" i="1"/>
  <c r="T8186" i="1"/>
  <c r="U8186" i="1"/>
  <c r="V8186" i="1"/>
  <c r="W8186" i="1"/>
  <c r="X8186" i="1"/>
  <c r="Y8186" i="1"/>
  <c r="Z8186" i="1"/>
  <c r="A8187" i="1"/>
  <c r="B8187" i="1"/>
  <c r="C8187" i="1"/>
  <c r="D8187" i="1"/>
  <c r="E8187" i="1"/>
  <c r="F8187" i="1"/>
  <c r="G8187" i="1"/>
  <c r="I8187" i="1"/>
  <c r="J8187" i="1"/>
  <c r="K8187" i="1"/>
  <c r="L8187" i="1"/>
  <c r="M8187" i="1"/>
  <c r="N8187" i="1"/>
  <c r="O8187" i="1"/>
  <c r="P8187" i="1"/>
  <c r="Q8187" i="1"/>
  <c r="R8187" i="1"/>
  <c r="S8187" i="1"/>
  <c r="T8187" i="1"/>
  <c r="U8187" i="1"/>
  <c r="V8187" i="1"/>
  <c r="W8187" i="1"/>
  <c r="X8187" i="1"/>
  <c r="Y8187" i="1"/>
  <c r="Z8187" i="1"/>
  <c r="A8188" i="1"/>
  <c r="B8188" i="1"/>
  <c r="C8188" i="1"/>
  <c r="D8188" i="1"/>
  <c r="E8188" i="1"/>
  <c r="F8188" i="1"/>
  <c r="G8188" i="1"/>
  <c r="I8188" i="1"/>
  <c r="J8188" i="1"/>
  <c r="K8188" i="1"/>
  <c r="L8188" i="1"/>
  <c r="M8188" i="1"/>
  <c r="N8188" i="1"/>
  <c r="O8188" i="1"/>
  <c r="P8188" i="1"/>
  <c r="Q8188" i="1"/>
  <c r="R8188" i="1"/>
  <c r="S8188" i="1"/>
  <c r="T8188" i="1"/>
  <c r="U8188" i="1"/>
  <c r="V8188" i="1"/>
  <c r="W8188" i="1"/>
  <c r="X8188" i="1"/>
  <c r="Y8188" i="1"/>
  <c r="Z8188" i="1"/>
  <c r="A8189" i="1"/>
  <c r="B8189" i="1"/>
  <c r="C8189" i="1"/>
  <c r="D8189" i="1"/>
  <c r="E8189" i="1"/>
  <c r="F8189" i="1"/>
  <c r="G8189" i="1"/>
  <c r="I8189" i="1"/>
  <c r="J8189" i="1"/>
  <c r="K8189" i="1"/>
  <c r="L8189" i="1"/>
  <c r="M8189" i="1"/>
  <c r="N8189" i="1"/>
  <c r="O8189" i="1"/>
  <c r="P8189" i="1"/>
  <c r="Q8189" i="1"/>
  <c r="R8189" i="1"/>
  <c r="S8189" i="1"/>
  <c r="T8189" i="1"/>
  <c r="U8189" i="1"/>
  <c r="V8189" i="1"/>
  <c r="W8189" i="1"/>
  <c r="X8189" i="1"/>
  <c r="Y8189" i="1"/>
  <c r="Z8189" i="1"/>
  <c r="A8190" i="1"/>
  <c r="B8190" i="1"/>
  <c r="C8190" i="1"/>
  <c r="D8190" i="1"/>
  <c r="E8190" i="1"/>
  <c r="F8190" i="1"/>
  <c r="G8190" i="1"/>
  <c r="I8190" i="1"/>
  <c r="J8190" i="1"/>
  <c r="K8190" i="1"/>
  <c r="L8190" i="1"/>
  <c r="M8190" i="1"/>
  <c r="N8190" i="1"/>
  <c r="O8190" i="1"/>
  <c r="P8190" i="1"/>
  <c r="Q8190" i="1"/>
  <c r="R8190" i="1"/>
  <c r="S8190" i="1"/>
  <c r="T8190" i="1"/>
  <c r="U8190" i="1"/>
  <c r="V8190" i="1"/>
  <c r="W8190" i="1"/>
  <c r="X8190" i="1"/>
  <c r="Y8190" i="1"/>
  <c r="Z8190" i="1"/>
  <c r="A8191" i="1"/>
  <c r="B8191" i="1"/>
  <c r="C8191" i="1"/>
  <c r="D8191" i="1"/>
  <c r="E8191" i="1"/>
  <c r="F8191" i="1"/>
  <c r="G8191" i="1"/>
  <c r="I8191" i="1"/>
  <c r="J8191" i="1"/>
  <c r="K8191" i="1"/>
  <c r="L8191" i="1"/>
  <c r="M8191" i="1"/>
  <c r="N8191" i="1"/>
  <c r="O8191" i="1"/>
  <c r="P8191" i="1"/>
  <c r="Q8191" i="1"/>
  <c r="R8191" i="1"/>
  <c r="S8191" i="1"/>
  <c r="T8191" i="1"/>
  <c r="U8191" i="1"/>
  <c r="V8191" i="1"/>
  <c r="W8191" i="1"/>
  <c r="X8191" i="1"/>
  <c r="Y8191" i="1"/>
  <c r="Z8191" i="1"/>
  <c r="A8192" i="1"/>
  <c r="B8192" i="1"/>
  <c r="C8192" i="1"/>
  <c r="D8192" i="1"/>
  <c r="E8192" i="1"/>
  <c r="F8192" i="1"/>
  <c r="G8192" i="1"/>
  <c r="I8192" i="1"/>
  <c r="J8192" i="1"/>
  <c r="K8192" i="1"/>
  <c r="L8192" i="1"/>
  <c r="M8192" i="1"/>
  <c r="N8192" i="1"/>
  <c r="O8192" i="1"/>
  <c r="P8192" i="1"/>
  <c r="Q8192" i="1"/>
  <c r="R8192" i="1"/>
  <c r="S8192" i="1"/>
  <c r="T8192" i="1"/>
  <c r="U8192" i="1"/>
  <c r="V8192" i="1"/>
  <c r="W8192" i="1"/>
  <c r="X8192" i="1"/>
  <c r="Y8192" i="1"/>
  <c r="Z8192" i="1"/>
  <c r="A8193" i="1"/>
  <c r="B8193" i="1"/>
  <c r="C8193" i="1"/>
  <c r="D8193" i="1"/>
  <c r="E8193" i="1"/>
  <c r="F8193" i="1"/>
  <c r="G8193" i="1"/>
  <c r="I8193" i="1"/>
  <c r="J8193" i="1"/>
  <c r="K8193" i="1"/>
  <c r="L8193" i="1"/>
  <c r="M8193" i="1"/>
  <c r="N8193" i="1"/>
  <c r="O8193" i="1"/>
  <c r="P8193" i="1"/>
  <c r="Q8193" i="1"/>
  <c r="R8193" i="1"/>
  <c r="S8193" i="1"/>
  <c r="T8193" i="1"/>
  <c r="U8193" i="1"/>
  <c r="V8193" i="1"/>
  <c r="W8193" i="1"/>
  <c r="X8193" i="1"/>
  <c r="Y8193" i="1"/>
  <c r="Z8193" i="1"/>
  <c r="A8194" i="1"/>
  <c r="B8194" i="1"/>
  <c r="C8194" i="1"/>
  <c r="D8194" i="1"/>
  <c r="E8194" i="1"/>
  <c r="F8194" i="1"/>
  <c r="G8194" i="1"/>
  <c r="I8194" i="1"/>
  <c r="J8194" i="1"/>
  <c r="K8194" i="1"/>
  <c r="L8194" i="1"/>
  <c r="M8194" i="1"/>
  <c r="N8194" i="1"/>
  <c r="O8194" i="1"/>
  <c r="P8194" i="1"/>
  <c r="Q8194" i="1"/>
  <c r="R8194" i="1"/>
  <c r="S8194" i="1"/>
  <c r="T8194" i="1"/>
  <c r="U8194" i="1"/>
  <c r="V8194" i="1"/>
  <c r="W8194" i="1"/>
  <c r="X8194" i="1"/>
  <c r="Y8194" i="1"/>
  <c r="Z8194" i="1"/>
  <c r="A8195" i="1"/>
  <c r="B8195" i="1"/>
  <c r="C8195" i="1"/>
  <c r="D8195" i="1"/>
  <c r="E8195" i="1"/>
  <c r="F8195" i="1"/>
  <c r="G8195" i="1"/>
  <c r="I8195" i="1"/>
  <c r="J8195" i="1"/>
  <c r="K8195" i="1"/>
  <c r="L8195" i="1"/>
  <c r="M8195" i="1"/>
  <c r="N8195" i="1"/>
  <c r="O8195" i="1"/>
  <c r="P8195" i="1"/>
  <c r="Q8195" i="1"/>
  <c r="R8195" i="1"/>
  <c r="S8195" i="1"/>
  <c r="T8195" i="1"/>
  <c r="U8195" i="1"/>
  <c r="V8195" i="1"/>
  <c r="W8195" i="1"/>
  <c r="X8195" i="1"/>
  <c r="Y8195" i="1"/>
  <c r="Z8195" i="1"/>
  <c r="A8196" i="1"/>
  <c r="B8196" i="1"/>
  <c r="C8196" i="1"/>
  <c r="D8196" i="1"/>
  <c r="E8196" i="1"/>
  <c r="F8196" i="1"/>
  <c r="G8196" i="1"/>
  <c r="I8196" i="1"/>
  <c r="J8196" i="1"/>
  <c r="K8196" i="1"/>
  <c r="L8196" i="1"/>
  <c r="M8196" i="1"/>
  <c r="N8196" i="1"/>
  <c r="O8196" i="1"/>
  <c r="P8196" i="1"/>
  <c r="Q8196" i="1"/>
  <c r="R8196" i="1"/>
  <c r="S8196" i="1"/>
  <c r="T8196" i="1"/>
  <c r="U8196" i="1"/>
  <c r="V8196" i="1"/>
  <c r="W8196" i="1"/>
  <c r="X8196" i="1"/>
  <c r="Y8196" i="1"/>
  <c r="Z8196" i="1"/>
  <c r="A8197" i="1"/>
  <c r="B8197" i="1"/>
  <c r="C8197" i="1"/>
  <c r="D8197" i="1"/>
  <c r="E8197" i="1"/>
  <c r="F8197" i="1"/>
  <c r="G8197" i="1"/>
  <c r="I8197" i="1"/>
  <c r="J8197" i="1"/>
  <c r="K8197" i="1"/>
  <c r="L8197" i="1"/>
  <c r="M8197" i="1"/>
  <c r="N8197" i="1"/>
  <c r="O8197" i="1"/>
  <c r="P8197" i="1"/>
  <c r="Q8197" i="1"/>
  <c r="R8197" i="1"/>
  <c r="S8197" i="1"/>
  <c r="T8197" i="1"/>
  <c r="U8197" i="1"/>
  <c r="V8197" i="1"/>
  <c r="W8197" i="1"/>
  <c r="X8197" i="1"/>
  <c r="Y8197" i="1"/>
  <c r="Z8197" i="1"/>
  <c r="A8198" i="1"/>
  <c r="B8198" i="1"/>
  <c r="C8198" i="1"/>
  <c r="D8198" i="1"/>
  <c r="E8198" i="1"/>
  <c r="F8198" i="1"/>
  <c r="G8198" i="1"/>
  <c r="I8198" i="1"/>
  <c r="J8198" i="1"/>
  <c r="K8198" i="1"/>
  <c r="L8198" i="1"/>
  <c r="M8198" i="1"/>
  <c r="N8198" i="1"/>
  <c r="O8198" i="1"/>
  <c r="P8198" i="1"/>
  <c r="Q8198" i="1"/>
  <c r="R8198" i="1"/>
  <c r="S8198" i="1"/>
  <c r="T8198" i="1"/>
  <c r="U8198" i="1"/>
  <c r="V8198" i="1"/>
  <c r="W8198" i="1"/>
  <c r="X8198" i="1"/>
  <c r="Y8198" i="1"/>
  <c r="Z8198" i="1"/>
  <c r="A8199" i="1"/>
  <c r="B8199" i="1"/>
  <c r="C8199" i="1"/>
  <c r="D8199" i="1"/>
  <c r="E8199" i="1"/>
  <c r="F8199" i="1"/>
  <c r="G8199" i="1"/>
  <c r="I8199" i="1"/>
  <c r="J8199" i="1"/>
  <c r="K8199" i="1"/>
  <c r="L8199" i="1"/>
  <c r="M8199" i="1"/>
  <c r="N8199" i="1"/>
  <c r="O8199" i="1"/>
  <c r="P8199" i="1"/>
  <c r="Q8199" i="1"/>
  <c r="R8199" i="1"/>
  <c r="S8199" i="1"/>
  <c r="T8199" i="1"/>
  <c r="U8199" i="1"/>
  <c r="V8199" i="1"/>
  <c r="W8199" i="1"/>
  <c r="X8199" i="1"/>
  <c r="Y8199" i="1"/>
  <c r="Z8199" i="1"/>
  <c r="A8200" i="1"/>
  <c r="B8200" i="1"/>
  <c r="C8200" i="1"/>
  <c r="D8200" i="1"/>
  <c r="E8200" i="1"/>
  <c r="F8200" i="1"/>
  <c r="G8200" i="1"/>
  <c r="I8200" i="1"/>
  <c r="J8200" i="1"/>
  <c r="K8200" i="1"/>
  <c r="L8200" i="1"/>
  <c r="M8200" i="1"/>
  <c r="N8200" i="1"/>
  <c r="O8200" i="1"/>
  <c r="P8200" i="1"/>
  <c r="Q8200" i="1"/>
  <c r="R8200" i="1"/>
  <c r="S8200" i="1"/>
  <c r="T8200" i="1"/>
  <c r="U8200" i="1"/>
  <c r="V8200" i="1"/>
  <c r="W8200" i="1"/>
  <c r="X8200" i="1"/>
  <c r="Y8200" i="1"/>
  <c r="Z8200" i="1"/>
  <c r="A8201" i="1"/>
  <c r="B8201" i="1"/>
  <c r="C8201" i="1"/>
  <c r="D8201" i="1"/>
  <c r="E8201" i="1"/>
  <c r="F8201" i="1"/>
  <c r="G8201" i="1"/>
  <c r="I8201" i="1"/>
  <c r="J8201" i="1"/>
  <c r="K8201" i="1"/>
  <c r="L8201" i="1"/>
  <c r="M8201" i="1"/>
  <c r="N8201" i="1"/>
  <c r="O8201" i="1"/>
  <c r="P8201" i="1"/>
  <c r="Q8201" i="1"/>
  <c r="R8201" i="1"/>
  <c r="S8201" i="1"/>
  <c r="T8201" i="1"/>
  <c r="U8201" i="1"/>
  <c r="V8201" i="1"/>
  <c r="W8201" i="1"/>
  <c r="X8201" i="1"/>
  <c r="Y8201" i="1"/>
  <c r="Z8201" i="1"/>
  <c r="A8202" i="1"/>
  <c r="B8202" i="1"/>
  <c r="C8202" i="1"/>
  <c r="D8202" i="1"/>
  <c r="E8202" i="1"/>
  <c r="F8202" i="1"/>
  <c r="G8202" i="1"/>
  <c r="I8202" i="1"/>
  <c r="J8202" i="1"/>
  <c r="K8202" i="1"/>
  <c r="L8202" i="1"/>
  <c r="M8202" i="1"/>
  <c r="N8202" i="1"/>
  <c r="O8202" i="1"/>
  <c r="P8202" i="1"/>
  <c r="Q8202" i="1"/>
  <c r="R8202" i="1"/>
  <c r="S8202" i="1"/>
  <c r="T8202" i="1"/>
  <c r="U8202" i="1"/>
  <c r="V8202" i="1"/>
  <c r="W8202" i="1"/>
  <c r="X8202" i="1"/>
  <c r="Y8202" i="1"/>
  <c r="Z8202" i="1"/>
  <c r="A8203" i="1"/>
  <c r="B8203" i="1"/>
  <c r="C8203" i="1"/>
  <c r="D8203" i="1"/>
  <c r="E8203" i="1"/>
  <c r="F8203" i="1"/>
  <c r="G8203" i="1"/>
  <c r="I8203" i="1"/>
  <c r="J8203" i="1"/>
  <c r="K8203" i="1"/>
  <c r="L8203" i="1"/>
  <c r="M8203" i="1"/>
  <c r="N8203" i="1"/>
  <c r="O8203" i="1"/>
  <c r="P8203" i="1"/>
  <c r="Q8203" i="1"/>
  <c r="R8203" i="1"/>
  <c r="S8203" i="1"/>
  <c r="T8203" i="1"/>
  <c r="U8203" i="1"/>
  <c r="V8203" i="1"/>
  <c r="W8203" i="1"/>
  <c r="X8203" i="1"/>
  <c r="Y8203" i="1"/>
  <c r="Z8203" i="1"/>
  <c r="A8204" i="1"/>
  <c r="B8204" i="1"/>
  <c r="C8204" i="1"/>
  <c r="D8204" i="1"/>
  <c r="E8204" i="1"/>
  <c r="F8204" i="1"/>
  <c r="G8204" i="1"/>
  <c r="I8204" i="1"/>
  <c r="J8204" i="1"/>
  <c r="K8204" i="1"/>
  <c r="L8204" i="1"/>
  <c r="M8204" i="1"/>
  <c r="N8204" i="1"/>
  <c r="O8204" i="1"/>
  <c r="P8204" i="1"/>
  <c r="Q8204" i="1"/>
  <c r="R8204" i="1"/>
  <c r="S8204" i="1"/>
  <c r="T8204" i="1"/>
  <c r="U8204" i="1"/>
  <c r="V8204" i="1"/>
  <c r="W8204" i="1"/>
  <c r="X8204" i="1"/>
  <c r="Y8204" i="1"/>
  <c r="Z8204" i="1"/>
  <c r="A8205" i="1"/>
  <c r="B8205" i="1"/>
  <c r="C8205" i="1"/>
  <c r="D8205" i="1"/>
  <c r="E8205" i="1"/>
  <c r="F8205" i="1"/>
  <c r="G8205" i="1"/>
  <c r="I8205" i="1"/>
  <c r="J8205" i="1"/>
  <c r="K8205" i="1"/>
  <c r="L8205" i="1"/>
  <c r="M8205" i="1"/>
  <c r="N8205" i="1"/>
  <c r="O8205" i="1"/>
  <c r="P8205" i="1"/>
  <c r="Q8205" i="1"/>
  <c r="R8205" i="1"/>
  <c r="S8205" i="1"/>
  <c r="T8205" i="1"/>
  <c r="U8205" i="1"/>
  <c r="V8205" i="1"/>
  <c r="W8205" i="1"/>
  <c r="X8205" i="1"/>
  <c r="Y8205" i="1"/>
  <c r="Z8205" i="1"/>
  <c r="A8206" i="1"/>
  <c r="B8206" i="1"/>
  <c r="C8206" i="1"/>
  <c r="D8206" i="1"/>
  <c r="E8206" i="1"/>
  <c r="F8206" i="1"/>
  <c r="G8206" i="1"/>
  <c r="I8206" i="1"/>
  <c r="J8206" i="1"/>
  <c r="K8206" i="1"/>
  <c r="L8206" i="1"/>
  <c r="M8206" i="1"/>
  <c r="N8206" i="1"/>
  <c r="O8206" i="1"/>
  <c r="P8206" i="1"/>
  <c r="Q8206" i="1"/>
  <c r="R8206" i="1"/>
  <c r="S8206" i="1"/>
  <c r="T8206" i="1"/>
  <c r="U8206" i="1"/>
  <c r="V8206" i="1"/>
  <c r="W8206" i="1"/>
  <c r="X8206" i="1"/>
  <c r="Y8206" i="1"/>
  <c r="Z8206" i="1"/>
  <c r="A8207" i="1"/>
  <c r="B8207" i="1"/>
  <c r="C8207" i="1"/>
  <c r="D8207" i="1"/>
  <c r="E8207" i="1"/>
  <c r="F8207" i="1"/>
  <c r="G8207" i="1"/>
  <c r="I8207" i="1"/>
  <c r="J8207" i="1"/>
  <c r="K8207" i="1"/>
  <c r="L8207" i="1"/>
  <c r="M8207" i="1"/>
  <c r="N8207" i="1"/>
  <c r="O8207" i="1"/>
  <c r="P8207" i="1"/>
  <c r="Q8207" i="1"/>
  <c r="R8207" i="1"/>
  <c r="S8207" i="1"/>
  <c r="T8207" i="1"/>
  <c r="U8207" i="1"/>
  <c r="V8207" i="1"/>
  <c r="W8207" i="1"/>
  <c r="X8207" i="1"/>
  <c r="Y8207" i="1"/>
  <c r="Z8207" i="1"/>
  <c r="A8208" i="1"/>
  <c r="B8208" i="1"/>
  <c r="C8208" i="1"/>
  <c r="D8208" i="1"/>
  <c r="E8208" i="1"/>
  <c r="F8208" i="1"/>
  <c r="G8208" i="1"/>
  <c r="I8208" i="1"/>
  <c r="J8208" i="1"/>
  <c r="K8208" i="1"/>
  <c r="L8208" i="1"/>
  <c r="M8208" i="1"/>
  <c r="N8208" i="1"/>
  <c r="O8208" i="1"/>
  <c r="P8208" i="1"/>
  <c r="Q8208" i="1"/>
  <c r="R8208" i="1"/>
  <c r="S8208" i="1"/>
  <c r="T8208" i="1"/>
  <c r="U8208" i="1"/>
  <c r="V8208" i="1"/>
  <c r="W8208" i="1"/>
  <c r="X8208" i="1"/>
  <c r="Y8208" i="1"/>
  <c r="Z8208" i="1"/>
  <c r="A8209" i="1"/>
  <c r="B8209" i="1"/>
  <c r="C8209" i="1"/>
  <c r="D8209" i="1"/>
  <c r="E8209" i="1"/>
  <c r="F8209" i="1"/>
  <c r="G8209" i="1"/>
  <c r="I8209" i="1"/>
  <c r="J8209" i="1"/>
  <c r="K8209" i="1"/>
  <c r="L8209" i="1"/>
  <c r="M8209" i="1"/>
  <c r="N8209" i="1"/>
  <c r="O8209" i="1"/>
  <c r="P8209" i="1"/>
  <c r="Q8209" i="1"/>
  <c r="R8209" i="1"/>
  <c r="S8209" i="1"/>
  <c r="T8209" i="1"/>
  <c r="U8209" i="1"/>
  <c r="V8209" i="1"/>
  <c r="W8209" i="1"/>
  <c r="X8209" i="1"/>
  <c r="Y8209" i="1"/>
  <c r="Z8209" i="1"/>
  <c r="A8210" i="1"/>
  <c r="B8210" i="1"/>
  <c r="C8210" i="1"/>
  <c r="D8210" i="1"/>
  <c r="E8210" i="1"/>
  <c r="F8210" i="1"/>
  <c r="G8210" i="1"/>
  <c r="I8210" i="1"/>
  <c r="J8210" i="1"/>
  <c r="K8210" i="1"/>
  <c r="L8210" i="1"/>
  <c r="M8210" i="1"/>
  <c r="N8210" i="1"/>
  <c r="O8210" i="1"/>
  <c r="P8210" i="1"/>
  <c r="Q8210" i="1"/>
  <c r="R8210" i="1"/>
  <c r="S8210" i="1"/>
  <c r="T8210" i="1"/>
  <c r="U8210" i="1"/>
  <c r="V8210" i="1"/>
  <c r="W8210" i="1"/>
  <c r="X8210" i="1"/>
  <c r="Y8210" i="1"/>
  <c r="Z8210" i="1"/>
  <c r="A8211" i="1"/>
  <c r="B8211" i="1"/>
  <c r="C8211" i="1"/>
  <c r="D8211" i="1"/>
  <c r="E8211" i="1"/>
  <c r="F8211" i="1"/>
  <c r="G8211" i="1"/>
  <c r="I8211" i="1"/>
  <c r="J8211" i="1"/>
  <c r="K8211" i="1"/>
  <c r="L8211" i="1"/>
  <c r="M8211" i="1"/>
  <c r="N8211" i="1"/>
  <c r="O8211" i="1"/>
  <c r="P8211" i="1"/>
  <c r="Q8211" i="1"/>
  <c r="R8211" i="1"/>
  <c r="S8211" i="1"/>
  <c r="T8211" i="1"/>
  <c r="U8211" i="1"/>
  <c r="V8211" i="1"/>
  <c r="W8211" i="1"/>
  <c r="X8211" i="1"/>
  <c r="Y8211" i="1"/>
  <c r="Z8211" i="1"/>
  <c r="A8212" i="1"/>
  <c r="B8212" i="1"/>
  <c r="C8212" i="1"/>
  <c r="D8212" i="1"/>
  <c r="E8212" i="1"/>
  <c r="F8212" i="1"/>
  <c r="G8212" i="1"/>
  <c r="I8212" i="1"/>
  <c r="J8212" i="1"/>
  <c r="K8212" i="1"/>
  <c r="L8212" i="1"/>
  <c r="M8212" i="1"/>
  <c r="N8212" i="1"/>
  <c r="O8212" i="1"/>
  <c r="P8212" i="1"/>
  <c r="Q8212" i="1"/>
  <c r="R8212" i="1"/>
  <c r="S8212" i="1"/>
  <c r="T8212" i="1"/>
  <c r="U8212" i="1"/>
  <c r="V8212" i="1"/>
  <c r="W8212" i="1"/>
  <c r="X8212" i="1"/>
  <c r="Y8212" i="1"/>
  <c r="Z8212" i="1"/>
  <c r="A8213" i="1"/>
  <c r="B8213" i="1"/>
  <c r="C8213" i="1"/>
  <c r="D8213" i="1"/>
  <c r="E8213" i="1"/>
  <c r="F8213" i="1"/>
  <c r="G8213" i="1"/>
  <c r="I8213" i="1"/>
  <c r="J8213" i="1"/>
  <c r="K8213" i="1"/>
  <c r="L8213" i="1"/>
  <c r="M8213" i="1"/>
  <c r="N8213" i="1"/>
  <c r="O8213" i="1"/>
  <c r="P8213" i="1"/>
  <c r="Q8213" i="1"/>
  <c r="R8213" i="1"/>
  <c r="S8213" i="1"/>
  <c r="T8213" i="1"/>
  <c r="U8213" i="1"/>
  <c r="V8213" i="1"/>
  <c r="W8213" i="1"/>
  <c r="X8213" i="1"/>
  <c r="Y8213" i="1"/>
  <c r="Z8213" i="1"/>
  <c r="A8214" i="1"/>
  <c r="B8214" i="1"/>
  <c r="C8214" i="1"/>
  <c r="D8214" i="1"/>
  <c r="E8214" i="1"/>
  <c r="F8214" i="1"/>
  <c r="G8214" i="1"/>
  <c r="I8214" i="1"/>
  <c r="J8214" i="1"/>
  <c r="K8214" i="1"/>
  <c r="L8214" i="1"/>
  <c r="M8214" i="1"/>
  <c r="N8214" i="1"/>
  <c r="O8214" i="1"/>
  <c r="P8214" i="1"/>
  <c r="Q8214" i="1"/>
  <c r="R8214" i="1"/>
  <c r="S8214" i="1"/>
  <c r="T8214" i="1"/>
  <c r="U8214" i="1"/>
  <c r="V8214" i="1"/>
  <c r="W8214" i="1"/>
  <c r="X8214" i="1"/>
  <c r="Y8214" i="1"/>
  <c r="Z8214" i="1"/>
  <c r="A8215" i="1"/>
  <c r="B8215" i="1"/>
  <c r="C8215" i="1"/>
  <c r="D8215" i="1"/>
  <c r="E8215" i="1"/>
  <c r="F8215" i="1"/>
  <c r="G8215" i="1"/>
  <c r="I8215" i="1"/>
  <c r="J8215" i="1"/>
  <c r="K8215" i="1"/>
  <c r="L8215" i="1"/>
  <c r="M8215" i="1"/>
  <c r="N8215" i="1"/>
  <c r="O8215" i="1"/>
  <c r="P8215" i="1"/>
  <c r="Q8215" i="1"/>
  <c r="R8215" i="1"/>
  <c r="S8215" i="1"/>
  <c r="T8215" i="1"/>
  <c r="U8215" i="1"/>
  <c r="V8215" i="1"/>
  <c r="W8215" i="1"/>
  <c r="X8215" i="1"/>
  <c r="Y8215" i="1"/>
  <c r="Z8215" i="1"/>
  <c r="A8216" i="1"/>
  <c r="B8216" i="1"/>
  <c r="C8216" i="1"/>
  <c r="D8216" i="1"/>
  <c r="E8216" i="1"/>
  <c r="F8216" i="1"/>
  <c r="G8216" i="1"/>
  <c r="I8216" i="1"/>
  <c r="J8216" i="1"/>
  <c r="K8216" i="1"/>
  <c r="L8216" i="1"/>
  <c r="M8216" i="1"/>
  <c r="N8216" i="1"/>
  <c r="O8216" i="1"/>
  <c r="P8216" i="1"/>
  <c r="Q8216" i="1"/>
  <c r="R8216" i="1"/>
  <c r="S8216" i="1"/>
  <c r="T8216" i="1"/>
  <c r="U8216" i="1"/>
  <c r="V8216" i="1"/>
  <c r="W8216" i="1"/>
  <c r="X8216" i="1"/>
  <c r="Y8216" i="1"/>
  <c r="Z8216" i="1"/>
  <c r="A8217" i="1"/>
  <c r="B8217" i="1"/>
  <c r="C8217" i="1"/>
  <c r="D8217" i="1"/>
  <c r="E8217" i="1"/>
  <c r="F8217" i="1"/>
  <c r="G8217" i="1"/>
  <c r="I8217" i="1"/>
  <c r="J8217" i="1"/>
  <c r="K8217" i="1"/>
  <c r="L8217" i="1"/>
  <c r="M8217" i="1"/>
  <c r="N8217" i="1"/>
  <c r="O8217" i="1"/>
  <c r="P8217" i="1"/>
  <c r="Q8217" i="1"/>
  <c r="R8217" i="1"/>
  <c r="S8217" i="1"/>
  <c r="T8217" i="1"/>
  <c r="U8217" i="1"/>
  <c r="V8217" i="1"/>
  <c r="W8217" i="1"/>
  <c r="X8217" i="1"/>
  <c r="Y8217" i="1"/>
  <c r="Z8217" i="1"/>
  <c r="A8218" i="1"/>
  <c r="B8218" i="1"/>
  <c r="C8218" i="1"/>
  <c r="D8218" i="1"/>
  <c r="E8218" i="1"/>
  <c r="F8218" i="1"/>
  <c r="G8218" i="1"/>
  <c r="I8218" i="1"/>
  <c r="J8218" i="1"/>
  <c r="K8218" i="1"/>
  <c r="L8218" i="1"/>
  <c r="M8218" i="1"/>
  <c r="N8218" i="1"/>
  <c r="O8218" i="1"/>
  <c r="P8218" i="1"/>
  <c r="Q8218" i="1"/>
  <c r="R8218" i="1"/>
  <c r="S8218" i="1"/>
  <c r="T8218" i="1"/>
  <c r="U8218" i="1"/>
  <c r="V8218" i="1"/>
  <c r="W8218" i="1"/>
  <c r="X8218" i="1"/>
  <c r="Y8218" i="1"/>
  <c r="Z8218" i="1"/>
  <c r="A8219" i="1"/>
  <c r="B8219" i="1"/>
  <c r="C8219" i="1"/>
  <c r="D8219" i="1"/>
  <c r="E8219" i="1"/>
  <c r="F8219" i="1"/>
  <c r="G8219" i="1"/>
  <c r="I8219" i="1"/>
  <c r="J8219" i="1"/>
  <c r="K8219" i="1"/>
  <c r="L8219" i="1"/>
  <c r="M8219" i="1"/>
  <c r="N8219" i="1"/>
  <c r="O8219" i="1"/>
  <c r="P8219" i="1"/>
  <c r="Q8219" i="1"/>
  <c r="R8219" i="1"/>
  <c r="S8219" i="1"/>
  <c r="T8219" i="1"/>
  <c r="U8219" i="1"/>
  <c r="V8219" i="1"/>
  <c r="W8219" i="1"/>
  <c r="X8219" i="1"/>
  <c r="Y8219" i="1"/>
  <c r="Z8219" i="1"/>
  <c r="A8220" i="1"/>
  <c r="B8220" i="1"/>
  <c r="C8220" i="1"/>
  <c r="D8220" i="1"/>
  <c r="E8220" i="1"/>
  <c r="F8220" i="1"/>
  <c r="G8220" i="1"/>
  <c r="I8220" i="1"/>
  <c r="J8220" i="1"/>
  <c r="K8220" i="1"/>
  <c r="L8220" i="1"/>
  <c r="M8220" i="1"/>
  <c r="N8220" i="1"/>
  <c r="O8220" i="1"/>
  <c r="P8220" i="1"/>
  <c r="Q8220" i="1"/>
  <c r="R8220" i="1"/>
  <c r="S8220" i="1"/>
  <c r="T8220" i="1"/>
  <c r="U8220" i="1"/>
  <c r="V8220" i="1"/>
  <c r="W8220" i="1"/>
  <c r="X8220" i="1"/>
  <c r="Y8220" i="1"/>
  <c r="Z8220" i="1"/>
  <c r="A8221" i="1"/>
  <c r="B8221" i="1"/>
  <c r="C8221" i="1"/>
  <c r="D8221" i="1"/>
  <c r="E8221" i="1"/>
  <c r="F8221" i="1"/>
  <c r="G8221" i="1"/>
  <c r="I8221" i="1"/>
  <c r="J8221" i="1"/>
  <c r="K8221" i="1"/>
  <c r="L8221" i="1"/>
  <c r="M8221" i="1"/>
  <c r="N8221" i="1"/>
  <c r="O8221" i="1"/>
  <c r="P8221" i="1"/>
  <c r="Q8221" i="1"/>
  <c r="R8221" i="1"/>
  <c r="S8221" i="1"/>
  <c r="T8221" i="1"/>
  <c r="U8221" i="1"/>
  <c r="V8221" i="1"/>
  <c r="W8221" i="1"/>
  <c r="X8221" i="1"/>
  <c r="Y8221" i="1"/>
  <c r="Z8221" i="1"/>
  <c r="A8222" i="1"/>
  <c r="B8222" i="1"/>
  <c r="C8222" i="1"/>
  <c r="D8222" i="1"/>
  <c r="E8222" i="1"/>
  <c r="F8222" i="1"/>
  <c r="G8222" i="1"/>
  <c r="I8222" i="1"/>
  <c r="J8222" i="1"/>
  <c r="K8222" i="1"/>
  <c r="L8222" i="1"/>
  <c r="M8222" i="1"/>
  <c r="N8222" i="1"/>
  <c r="O8222" i="1"/>
  <c r="P8222" i="1"/>
  <c r="Q8222" i="1"/>
  <c r="R8222" i="1"/>
  <c r="S8222" i="1"/>
  <c r="T8222" i="1"/>
  <c r="U8222" i="1"/>
  <c r="V8222" i="1"/>
  <c r="W8222" i="1"/>
  <c r="X8222" i="1"/>
  <c r="Y8222" i="1"/>
  <c r="Z8222" i="1"/>
  <c r="A8223" i="1"/>
  <c r="B8223" i="1"/>
  <c r="C8223" i="1"/>
  <c r="D8223" i="1"/>
  <c r="E8223" i="1"/>
  <c r="F8223" i="1"/>
  <c r="G8223" i="1"/>
  <c r="I8223" i="1"/>
  <c r="J8223" i="1"/>
  <c r="K8223" i="1"/>
  <c r="L8223" i="1"/>
  <c r="M8223" i="1"/>
  <c r="N8223" i="1"/>
  <c r="O8223" i="1"/>
  <c r="P8223" i="1"/>
  <c r="Q8223" i="1"/>
  <c r="R8223" i="1"/>
  <c r="S8223" i="1"/>
  <c r="T8223" i="1"/>
  <c r="U8223" i="1"/>
  <c r="V8223" i="1"/>
  <c r="W8223" i="1"/>
  <c r="X8223" i="1"/>
  <c r="Y8223" i="1"/>
  <c r="Z8223" i="1"/>
  <c r="A8224" i="1"/>
  <c r="B8224" i="1"/>
  <c r="C8224" i="1"/>
  <c r="D8224" i="1"/>
  <c r="E8224" i="1"/>
  <c r="F8224" i="1"/>
  <c r="G8224" i="1"/>
  <c r="I8224" i="1"/>
  <c r="J8224" i="1"/>
  <c r="K8224" i="1"/>
  <c r="L8224" i="1"/>
  <c r="M8224" i="1"/>
  <c r="N8224" i="1"/>
  <c r="O8224" i="1"/>
  <c r="P8224" i="1"/>
  <c r="Q8224" i="1"/>
  <c r="R8224" i="1"/>
  <c r="S8224" i="1"/>
  <c r="T8224" i="1"/>
  <c r="U8224" i="1"/>
  <c r="V8224" i="1"/>
  <c r="W8224" i="1"/>
  <c r="X8224" i="1"/>
  <c r="Y8224" i="1"/>
  <c r="Z8224" i="1"/>
  <c r="A8225" i="1"/>
  <c r="B8225" i="1"/>
  <c r="C8225" i="1"/>
  <c r="D8225" i="1"/>
  <c r="E8225" i="1"/>
  <c r="F8225" i="1"/>
  <c r="G8225" i="1"/>
  <c r="I8225" i="1"/>
  <c r="J8225" i="1"/>
  <c r="K8225" i="1"/>
  <c r="L8225" i="1"/>
  <c r="M8225" i="1"/>
  <c r="N8225" i="1"/>
  <c r="O8225" i="1"/>
  <c r="P8225" i="1"/>
  <c r="Q8225" i="1"/>
  <c r="R8225" i="1"/>
  <c r="S8225" i="1"/>
  <c r="T8225" i="1"/>
  <c r="U8225" i="1"/>
  <c r="V8225" i="1"/>
  <c r="W8225" i="1"/>
  <c r="X8225" i="1"/>
  <c r="Y8225" i="1"/>
  <c r="Z8225" i="1"/>
  <c r="A8226" i="1"/>
  <c r="B8226" i="1"/>
  <c r="C8226" i="1"/>
  <c r="D8226" i="1"/>
  <c r="E8226" i="1"/>
  <c r="F8226" i="1"/>
  <c r="G8226" i="1"/>
  <c r="I8226" i="1"/>
  <c r="J8226" i="1"/>
  <c r="K8226" i="1"/>
  <c r="L8226" i="1"/>
  <c r="M8226" i="1"/>
  <c r="N8226" i="1"/>
  <c r="O8226" i="1"/>
  <c r="P8226" i="1"/>
  <c r="Q8226" i="1"/>
  <c r="R8226" i="1"/>
  <c r="S8226" i="1"/>
  <c r="T8226" i="1"/>
  <c r="U8226" i="1"/>
  <c r="V8226" i="1"/>
  <c r="W8226" i="1"/>
  <c r="X8226" i="1"/>
  <c r="Y8226" i="1"/>
  <c r="Z8226" i="1"/>
  <c r="A8227" i="1"/>
  <c r="B8227" i="1"/>
  <c r="C8227" i="1"/>
  <c r="D8227" i="1"/>
  <c r="E8227" i="1"/>
  <c r="F8227" i="1"/>
  <c r="G8227" i="1"/>
  <c r="I8227" i="1"/>
  <c r="J8227" i="1"/>
  <c r="K8227" i="1"/>
  <c r="L8227" i="1"/>
  <c r="M8227" i="1"/>
  <c r="N8227" i="1"/>
  <c r="O8227" i="1"/>
  <c r="P8227" i="1"/>
  <c r="Q8227" i="1"/>
  <c r="R8227" i="1"/>
  <c r="S8227" i="1"/>
  <c r="T8227" i="1"/>
  <c r="U8227" i="1"/>
  <c r="V8227" i="1"/>
  <c r="W8227" i="1"/>
  <c r="X8227" i="1"/>
  <c r="Y8227" i="1"/>
  <c r="Z8227" i="1"/>
  <c r="A8228" i="1"/>
  <c r="B8228" i="1"/>
  <c r="C8228" i="1"/>
  <c r="D8228" i="1"/>
  <c r="E8228" i="1"/>
  <c r="F8228" i="1"/>
  <c r="G8228" i="1"/>
  <c r="I8228" i="1"/>
  <c r="J8228" i="1"/>
  <c r="K8228" i="1"/>
  <c r="L8228" i="1"/>
  <c r="M8228" i="1"/>
  <c r="N8228" i="1"/>
  <c r="O8228" i="1"/>
  <c r="P8228" i="1"/>
  <c r="Q8228" i="1"/>
  <c r="R8228" i="1"/>
  <c r="S8228" i="1"/>
  <c r="T8228" i="1"/>
  <c r="U8228" i="1"/>
  <c r="V8228" i="1"/>
  <c r="W8228" i="1"/>
  <c r="X8228" i="1"/>
  <c r="Y8228" i="1"/>
  <c r="Z8228" i="1"/>
  <c r="A8229" i="1"/>
  <c r="B8229" i="1"/>
  <c r="C8229" i="1"/>
  <c r="D8229" i="1"/>
  <c r="E8229" i="1"/>
  <c r="F8229" i="1"/>
  <c r="G8229" i="1"/>
  <c r="I8229" i="1"/>
  <c r="J8229" i="1"/>
  <c r="K8229" i="1"/>
  <c r="L8229" i="1"/>
  <c r="M8229" i="1"/>
  <c r="N8229" i="1"/>
  <c r="O8229" i="1"/>
  <c r="P8229" i="1"/>
  <c r="Q8229" i="1"/>
  <c r="R8229" i="1"/>
  <c r="S8229" i="1"/>
  <c r="T8229" i="1"/>
  <c r="U8229" i="1"/>
  <c r="V8229" i="1"/>
  <c r="W8229" i="1"/>
  <c r="X8229" i="1"/>
  <c r="Y8229" i="1"/>
  <c r="Z8229" i="1"/>
  <c r="A8230" i="1"/>
  <c r="B8230" i="1"/>
  <c r="C8230" i="1"/>
  <c r="D8230" i="1"/>
  <c r="E8230" i="1"/>
  <c r="F8230" i="1"/>
  <c r="G8230" i="1"/>
  <c r="I8230" i="1"/>
  <c r="J8230" i="1"/>
  <c r="K8230" i="1"/>
  <c r="L8230" i="1"/>
  <c r="M8230" i="1"/>
  <c r="N8230" i="1"/>
  <c r="O8230" i="1"/>
  <c r="P8230" i="1"/>
  <c r="Q8230" i="1"/>
  <c r="R8230" i="1"/>
  <c r="S8230" i="1"/>
  <c r="T8230" i="1"/>
  <c r="U8230" i="1"/>
  <c r="V8230" i="1"/>
  <c r="W8230" i="1"/>
  <c r="X8230" i="1"/>
  <c r="Y8230" i="1"/>
  <c r="Z8230" i="1"/>
  <c r="A8231" i="1"/>
  <c r="B8231" i="1"/>
  <c r="C8231" i="1"/>
  <c r="D8231" i="1"/>
  <c r="E8231" i="1"/>
  <c r="F8231" i="1"/>
  <c r="G8231" i="1"/>
  <c r="I8231" i="1"/>
  <c r="J8231" i="1"/>
  <c r="K8231" i="1"/>
  <c r="L8231" i="1"/>
  <c r="M8231" i="1"/>
  <c r="N8231" i="1"/>
  <c r="O8231" i="1"/>
  <c r="P8231" i="1"/>
  <c r="Q8231" i="1"/>
  <c r="R8231" i="1"/>
  <c r="S8231" i="1"/>
  <c r="T8231" i="1"/>
  <c r="U8231" i="1"/>
  <c r="V8231" i="1"/>
  <c r="W8231" i="1"/>
  <c r="X8231" i="1"/>
  <c r="Y8231" i="1"/>
  <c r="Z8231" i="1"/>
  <c r="A8232" i="1"/>
  <c r="B8232" i="1"/>
  <c r="C8232" i="1"/>
  <c r="D8232" i="1"/>
  <c r="E8232" i="1"/>
  <c r="F8232" i="1"/>
  <c r="G8232" i="1"/>
  <c r="I8232" i="1"/>
  <c r="J8232" i="1"/>
  <c r="K8232" i="1"/>
  <c r="L8232" i="1"/>
  <c r="M8232" i="1"/>
  <c r="N8232" i="1"/>
  <c r="O8232" i="1"/>
  <c r="P8232" i="1"/>
  <c r="Q8232" i="1"/>
  <c r="R8232" i="1"/>
  <c r="S8232" i="1"/>
  <c r="T8232" i="1"/>
  <c r="U8232" i="1"/>
  <c r="V8232" i="1"/>
  <c r="W8232" i="1"/>
  <c r="X8232" i="1"/>
  <c r="Y8232" i="1"/>
  <c r="Z8232" i="1"/>
  <c r="A8233" i="1"/>
  <c r="B8233" i="1"/>
  <c r="C8233" i="1"/>
  <c r="D8233" i="1"/>
  <c r="E8233" i="1"/>
  <c r="F8233" i="1"/>
  <c r="G8233" i="1"/>
  <c r="I8233" i="1"/>
  <c r="J8233" i="1"/>
  <c r="K8233" i="1"/>
  <c r="L8233" i="1"/>
  <c r="M8233" i="1"/>
  <c r="N8233" i="1"/>
  <c r="O8233" i="1"/>
  <c r="P8233" i="1"/>
  <c r="Q8233" i="1"/>
  <c r="R8233" i="1"/>
  <c r="S8233" i="1"/>
  <c r="T8233" i="1"/>
  <c r="U8233" i="1"/>
  <c r="V8233" i="1"/>
  <c r="W8233" i="1"/>
  <c r="X8233" i="1"/>
  <c r="Y8233" i="1"/>
  <c r="Z8233" i="1"/>
  <c r="A8234" i="1"/>
  <c r="B8234" i="1"/>
  <c r="C8234" i="1"/>
  <c r="D8234" i="1"/>
  <c r="E8234" i="1"/>
  <c r="F8234" i="1"/>
  <c r="G8234" i="1"/>
  <c r="I8234" i="1"/>
  <c r="J8234" i="1"/>
  <c r="K8234" i="1"/>
  <c r="L8234" i="1"/>
  <c r="M8234" i="1"/>
  <c r="N8234" i="1"/>
  <c r="O8234" i="1"/>
  <c r="P8234" i="1"/>
  <c r="Q8234" i="1"/>
  <c r="R8234" i="1"/>
  <c r="S8234" i="1"/>
  <c r="T8234" i="1"/>
  <c r="U8234" i="1"/>
  <c r="V8234" i="1"/>
  <c r="W8234" i="1"/>
  <c r="X8234" i="1"/>
  <c r="Y8234" i="1"/>
  <c r="Z8234" i="1"/>
  <c r="A8235" i="1"/>
  <c r="B8235" i="1"/>
  <c r="C8235" i="1"/>
  <c r="D8235" i="1"/>
  <c r="E8235" i="1"/>
  <c r="F8235" i="1"/>
  <c r="G8235" i="1"/>
  <c r="I8235" i="1"/>
  <c r="J8235" i="1"/>
  <c r="K8235" i="1"/>
  <c r="L8235" i="1"/>
  <c r="M8235" i="1"/>
  <c r="N8235" i="1"/>
  <c r="O8235" i="1"/>
  <c r="P8235" i="1"/>
  <c r="Q8235" i="1"/>
  <c r="R8235" i="1"/>
  <c r="S8235" i="1"/>
  <c r="T8235" i="1"/>
  <c r="U8235" i="1"/>
  <c r="V8235" i="1"/>
  <c r="W8235" i="1"/>
  <c r="X8235" i="1"/>
  <c r="Y8235" i="1"/>
  <c r="Z8235" i="1"/>
  <c r="A8236" i="1"/>
  <c r="B8236" i="1"/>
  <c r="C8236" i="1"/>
  <c r="D8236" i="1"/>
  <c r="E8236" i="1"/>
  <c r="F8236" i="1"/>
  <c r="G8236" i="1"/>
  <c r="I8236" i="1"/>
  <c r="J8236" i="1"/>
  <c r="K8236" i="1"/>
  <c r="L8236" i="1"/>
  <c r="M8236" i="1"/>
  <c r="N8236" i="1"/>
  <c r="O8236" i="1"/>
  <c r="P8236" i="1"/>
  <c r="Q8236" i="1"/>
  <c r="R8236" i="1"/>
  <c r="S8236" i="1"/>
  <c r="T8236" i="1"/>
  <c r="U8236" i="1"/>
  <c r="V8236" i="1"/>
  <c r="W8236" i="1"/>
  <c r="X8236" i="1"/>
  <c r="Y8236" i="1"/>
  <c r="Z8236" i="1"/>
  <c r="A8237" i="1"/>
  <c r="B8237" i="1"/>
  <c r="C8237" i="1"/>
  <c r="D8237" i="1"/>
  <c r="E8237" i="1"/>
  <c r="F8237" i="1"/>
  <c r="G8237" i="1"/>
  <c r="I8237" i="1"/>
  <c r="J8237" i="1"/>
  <c r="K8237" i="1"/>
  <c r="L8237" i="1"/>
  <c r="M8237" i="1"/>
  <c r="N8237" i="1"/>
  <c r="O8237" i="1"/>
  <c r="P8237" i="1"/>
  <c r="Q8237" i="1"/>
  <c r="R8237" i="1"/>
  <c r="S8237" i="1"/>
  <c r="T8237" i="1"/>
  <c r="U8237" i="1"/>
  <c r="V8237" i="1"/>
  <c r="W8237" i="1"/>
  <c r="X8237" i="1"/>
  <c r="Y8237" i="1"/>
  <c r="Z8237" i="1"/>
  <c r="A8238" i="1"/>
  <c r="B8238" i="1"/>
  <c r="C8238" i="1"/>
  <c r="D8238" i="1"/>
  <c r="E8238" i="1"/>
  <c r="F8238" i="1"/>
  <c r="G8238" i="1"/>
  <c r="I8238" i="1"/>
  <c r="J8238" i="1"/>
  <c r="K8238" i="1"/>
  <c r="L8238" i="1"/>
  <c r="M8238" i="1"/>
  <c r="N8238" i="1"/>
  <c r="O8238" i="1"/>
  <c r="P8238" i="1"/>
  <c r="Q8238" i="1"/>
  <c r="R8238" i="1"/>
  <c r="S8238" i="1"/>
  <c r="T8238" i="1"/>
  <c r="U8238" i="1"/>
  <c r="V8238" i="1"/>
  <c r="W8238" i="1"/>
  <c r="X8238" i="1"/>
  <c r="Y8238" i="1"/>
  <c r="Z8238" i="1"/>
  <c r="A8239" i="1"/>
  <c r="B8239" i="1"/>
  <c r="C8239" i="1"/>
  <c r="D8239" i="1"/>
  <c r="E8239" i="1"/>
  <c r="F8239" i="1"/>
  <c r="G8239" i="1"/>
  <c r="I8239" i="1"/>
  <c r="J8239" i="1"/>
  <c r="K8239" i="1"/>
  <c r="L8239" i="1"/>
  <c r="M8239" i="1"/>
  <c r="N8239" i="1"/>
  <c r="O8239" i="1"/>
  <c r="P8239" i="1"/>
  <c r="Q8239" i="1"/>
  <c r="R8239" i="1"/>
  <c r="S8239" i="1"/>
  <c r="T8239" i="1"/>
  <c r="U8239" i="1"/>
  <c r="V8239" i="1"/>
  <c r="W8239" i="1"/>
  <c r="X8239" i="1"/>
  <c r="Y8239" i="1"/>
  <c r="Z8239" i="1"/>
  <c r="A8240" i="1"/>
  <c r="B8240" i="1"/>
  <c r="C8240" i="1"/>
  <c r="D8240" i="1"/>
  <c r="E8240" i="1"/>
  <c r="F8240" i="1"/>
  <c r="G8240" i="1"/>
  <c r="I8240" i="1"/>
  <c r="J8240" i="1"/>
  <c r="K8240" i="1"/>
  <c r="L8240" i="1"/>
  <c r="M8240" i="1"/>
  <c r="N8240" i="1"/>
  <c r="O8240" i="1"/>
  <c r="P8240" i="1"/>
  <c r="Q8240" i="1"/>
  <c r="R8240" i="1"/>
  <c r="S8240" i="1"/>
  <c r="T8240" i="1"/>
  <c r="U8240" i="1"/>
  <c r="V8240" i="1"/>
  <c r="W8240" i="1"/>
  <c r="X8240" i="1"/>
  <c r="Y8240" i="1"/>
  <c r="Z8240" i="1"/>
  <c r="A8241" i="1"/>
  <c r="B8241" i="1"/>
  <c r="C8241" i="1"/>
  <c r="D8241" i="1"/>
  <c r="E8241" i="1"/>
  <c r="F8241" i="1"/>
  <c r="G8241" i="1"/>
  <c r="I8241" i="1"/>
  <c r="J8241" i="1"/>
  <c r="K8241" i="1"/>
  <c r="L8241" i="1"/>
  <c r="M8241" i="1"/>
  <c r="N8241" i="1"/>
  <c r="O8241" i="1"/>
  <c r="P8241" i="1"/>
  <c r="Q8241" i="1"/>
  <c r="R8241" i="1"/>
  <c r="S8241" i="1"/>
  <c r="T8241" i="1"/>
  <c r="U8241" i="1"/>
  <c r="V8241" i="1"/>
  <c r="W8241" i="1"/>
  <c r="X8241" i="1"/>
  <c r="Y8241" i="1"/>
  <c r="Z8241" i="1"/>
  <c r="A8242" i="1"/>
  <c r="B8242" i="1"/>
  <c r="C8242" i="1"/>
  <c r="D8242" i="1"/>
  <c r="E8242" i="1"/>
  <c r="F8242" i="1"/>
  <c r="G8242" i="1"/>
  <c r="I8242" i="1"/>
  <c r="J8242" i="1"/>
  <c r="K8242" i="1"/>
  <c r="L8242" i="1"/>
  <c r="M8242" i="1"/>
  <c r="N8242" i="1"/>
  <c r="O8242" i="1"/>
  <c r="P8242" i="1"/>
  <c r="Q8242" i="1"/>
  <c r="R8242" i="1"/>
  <c r="S8242" i="1"/>
  <c r="T8242" i="1"/>
  <c r="U8242" i="1"/>
  <c r="V8242" i="1"/>
  <c r="W8242" i="1"/>
  <c r="X8242" i="1"/>
  <c r="Y8242" i="1"/>
  <c r="Z8242" i="1"/>
  <c r="A8243" i="1"/>
  <c r="B8243" i="1"/>
  <c r="C8243" i="1"/>
  <c r="D8243" i="1"/>
  <c r="E8243" i="1"/>
  <c r="F8243" i="1"/>
  <c r="G8243" i="1"/>
  <c r="I8243" i="1"/>
  <c r="J8243" i="1"/>
  <c r="K8243" i="1"/>
  <c r="L8243" i="1"/>
  <c r="M8243" i="1"/>
  <c r="N8243" i="1"/>
  <c r="O8243" i="1"/>
  <c r="P8243" i="1"/>
  <c r="Q8243" i="1"/>
  <c r="R8243" i="1"/>
  <c r="S8243" i="1"/>
  <c r="T8243" i="1"/>
  <c r="U8243" i="1"/>
  <c r="V8243" i="1"/>
  <c r="W8243" i="1"/>
  <c r="X8243" i="1"/>
  <c r="Y8243" i="1"/>
  <c r="Z8243" i="1"/>
  <c r="A8244" i="1"/>
  <c r="B8244" i="1"/>
  <c r="C8244" i="1"/>
  <c r="D8244" i="1"/>
  <c r="E8244" i="1"/>
  <c r="F8244" i="1"/>
  <c r="G8244" i="1"/>
  <c r="I8244" i="1"/>
  <c r="J8244" i="1"/>
  <c r="K8244" i="1"/>
  <c r="L8244" i="1"/>
  <c r="M8244" i="1"/>
  <c r="N8244" i="1"/>
  <c r="O8244" i="1"/>
  <c r="P8244" i="1"/>
  <c r="Q8244" i="1"/>
  <c r="R8244" i="1"/>
  <c r="S8244" i="1"/>
  <c r="T8244" i="1"/>
  <c r="U8244" i="1"/>
  <c r="V8244" i="1"/>
  <c r="W8244" i="1"/>
  <c r="X8244" i="1"/>
  <c r="Y8244" i="1"/>
  <c r="Z8244" i="1"/>
  <c r="A8245" i="1"/>
  <c r="B8245" i="1"/>
  <c r="C8245" i="1"/>
  <c r="D8245" i="1"/>
  <c r="E8245" i="1"/>
  <c r="F8245" i="1"/>
  <c r="G8245" i="1"/>
  <c r="I8245" i="1"/>
  <c r="J8245" i="1"/>
  <c r="K8245" i="1"/>
  <c r="L8245" i="1"/>
  <c r="M8245" i="1"/>
  <c r="N8245" i="1"/>
  <c r="O8245" i="1"/>
  <c r="P8245" i="1"/>
  <c r="Q8245" i="1"/>
  <c r="R8245" i="1"/>
  <c r="S8245" i="1"/>
  <c r="T8245" i="1"/>
  <c r="U8245" i="1"/>
  <c r="V8245" i="1"/>
  <c r="W8245" i="1"/>
  <c r="X8245" i="1"/>
  <c r="Y8245" i="1"/>
  <c r="Z8245" i="1"/>
  <c r="A8246" i="1"/>
  <c r="B8246" i="1"/>
  <c r="C8246" i="1"/>
  <c r="D8246" i="1"/>
  <c r="E8246" i="1"/>
  <c r="F8246" i="1"/>
  <c r="G8246" i="1"/>
  <c r="I8246" i="1"/>
  <c r="J8246" i="1"/>
  <c r="K8246" i="1"/>
  <c r="L8246" i="1"/>
  <c r="M8246" i="1"/>
  <c r="N8246" i="1"/>
  <c r="O8246" i="1"/>
  <c r="P8246" i="1"/>
  <c r="Q8246" i="1"/>
  <c r="R8246" i="1"/>
  <c r="S8246" i="1"/>
  <c r="T8246" i="1"/>
  <c r="U8246" i="1"/>
  <c r="V8246" i="1"/>
  <c r="W8246" i="1"/>
  <c r="X8246" i="1"/>
  <c r="Y8246" i="1"/>
  <c r="Z8246" i="1"/>
  <c r="A8247" i="1"/>
  <c r="B8247" i="1"/>
  <c r="C8247" i="1"/>
  <c r="D8247" i="1"/>
  <c r="E8247" i="1"/>
  <c r="F8247" i="1"/>
  <c r="G8247" i="1"/>
  <c r="I8247" i="1"/>
  <c r="J8247" i="1"/>
  <c r="K8247" i="1"/>
  <c r="L8247" i="1"/>
  <c r="M8247" i="1"/>
  <c r="N8247" i="1"/>
  <c r="O8247" i="1"/>
  <c r="P8247" i="1"/>
  <c r="Q8247" i="1"/>
  <c r="R8247" i="1"/>
  <c r="S8247" i="1"/>
  <c r="T8247" i="1"/>
  <c r="U8247" i="1"/>
  <c r="V8247" i="1"/>
  <c r="W8247" i="1"/>
  <c r="X8247" i="1"/>
  <c r="Y8247" i="1"/>
  <c r="Z8247" i="1"/>
  <c r="A8248" i="1"/>
  <c r="B8248" i="1"/>
  <c r="C8248" i="1"/>
  <c r="D8248" i="1"/>
  <c r="E8248" i="1"/>
  <c r="F8248" i="1"/>
  <c r="G8248" i="1"/>
  <c r="I8248" i="1"/>
  <c r="J8248" i="1"/>
  <c r="K8248" i="1"/>
  <c r="L8248" i="1"/>
  <c r="M8248" i="1"/>
  <c r="N8248" i="1"/>
  <c r="O8248" i="1"/>
  <c r="P8248" i="1"/>
  <c r="Q8248" i="1"/>
  <c r="R8248" i="1"/>
  <c r="S8248" i="1"/>
  <c r="T8248" i="1"/>
  <c r="U8248" i="1"/>
  <c r="V8248" i="1"/>
  <c r="W8248" i="1"/>
  <c r="X8248" i="1"/>
  <c r="Y8248" i="1"/>
  <c r="Z8248" i="1"/>
  <c r="A8249" i="1"/>
  <c r="B8249" i="1"/>
  <c r="C8249" i="1"/>
  <c r="D8249" i="1"/>
  <c r="E8249" i="1"/>
  <c r="F8249" i="1"/>
  <c r="G8249" i="1"/>
  <c r="I8249" i="1"/>
  <c r="J8249" i="1"/>
  <c r="K8249" i="1"/>
  <c r="L8249" i="1"/>
  <c r="M8249" i="1"/>
  <c r="N8249" i="1"/>
  <c r="O8249" i="1"/>
  <c r="P8249" i="1"/>
  <c r="Q8249" i="1"/>
  <c r="R8249" i="1"/>
  <c r="S8249" i="1"/>
  <c r="T8249" i="1"/>
  <c r="U8249" i="1"/>
  <c r="V8249" i="1"/>
  <c r="W8249" i="1"/>
  <c r="X8249" i="1"/>
  <c r="Y8249" i="1"/>
  <c r="Z8249" i="1"/>
  <c r="A8250" i="1"/>
  <c r="B8250" i="1"/>
  <c r="C8250" i="1"/>
  <c r="D8250" i="1"/>
  <c r="E8250" i="1"/>
  <c r="F8250" i="1"/>
  <c r="G8250" i="1"/>
  <c r="I8250" i="1"/>
  <c r="J8250" i="1"/>
  <c r="K8250" i="1"/>
  <c r="L8250" i="1"/>
  <c r="M8250" i="1"/>
  <c r="N8250" i="1"/>
  <c r="O8250" i="1"/>
  <c r="P8250" i="1"/>
  <c r="Q8250" i="1"/>
  <c r="R8250" i="1"/>
  <c r="S8250" i="1"/>
  <c r="T8250" i="1"/>
  <c r="U8250" i="1"/>
  <c r="V8250" i="1"/>
  <c r="W8250" i="1"/>
  <c r="X8250" i="1"/>
  <c r="Y8250" i="1"/>
  <c r="Z8250" i="1"/>
  <c r="A8251" i="1"/>
  <c r="B8251" i="1"/>
  <c r="C8251" i="1"/>
  <c r="D8251" i="1"/>
  <c r="E8251" i="1"/>
  <c r="F8251" i="1"/>
  <c r="G8251" i="1"/>
  <c r="I8251" i="1"/>
  <c r="J8251" i="1"/>
  <c r="K8251" i="1"/>
  <c r="L8251" i="1"/>
  <c r="M8251" i="1"/>
  <c r="N8251" i="1"/>
  <c r="O8251" i="1"/>
  <c r="P8251" i="1"/>
  <c r="Q8251" i="1"/>
  <c r="R8251" i="1"/>
  <c r="S8251" i="1"/>
  <c r="T8251" i="1"/>
  <c r="U8251" i="1"/>
  <c r="V8251" i="1"/>
  <c r="W8251" i="1"/>
  <c r="X8251" i="1"/>
  <c r="Y8251" i="1"/>
  <c r="Z8251" i="1"/>
  <c r="A8252" i="1"/>
  <c r="B8252" i="1"/>
  <c r="C8252" i="1"/>
  <c r="D8252" i="1"/>
  <c r="E8252" i="1"/>
  <c r="F8252" i="1"/>
  <c r="G8252" i="1"/>
  <c r="I8252" i="1"/>
  <c r="J8252" i="1"/>
  <c r="K8252" i="1"/>
  <c r="L8252" i="1"/>
  <c r="M8252" i="1"/>
  <c r="N8252" i="1"/>
  <c r="O8252" i="1"/>
  <c r="P8252" i="1"/>
  <c r="Q8252" i="1"/>
  <c r="R8252" i="1"/>
  <c r="S8252" i="1"/>
  <c r="T8252" i="1"/>
  <c r="U8252" i="1"/>
  <c r="V8252" i="1"/>
  <c r="W8252" i="1"/>
  <c r="X8252" i="1"/>
  <c r="Y8252" i="1"/>
  <c r="Z8252" i="1"/>
  <c r="A8253" i="1"/>
  <c r="B8253" i="1"/>
  <c r="C8253" i="1"/>
  <c r="D8253" i="1"/>
  <c r="E8253" i="1"/>
  <c r="F8253" i="1"/>
  <c r="G8253" i="1"/>
  <c r="I8253" i="1"/>
  <c r="J8253" i="1"/>
  <c r="K8253" i="1"/>
  <c r="L8253" i="1"/>
  <c r="M8253" i="1"/>
  <c r="N8253" i="1"/>
  <c r="O8253" i="1"/>
  <c r="P8253" i="1"/>
  <c r="Q8253" i="1"/>
  <c r="R8253" i="1"/>
  <c r="S8253" i="1"/>
  <c r="T8253" i="1"/>
  <c r="U8253" i="1"/>
  <c r="V8253" i="1"/>
  <c r="W8253" i="1"/>
  <c r="X8253" i="1"/>
  <c r="Y8253" i="1"/>
  <c r="Z8253" i="1"/>
  <c r="A8254" i="1"/>
  <c r="B8254" i="1"/>
  <c r="C8254" i="1"/>
  <c r="D8254" i="1"/>
  <c r="E8254" i="1"/>
  <c r="F8254" i="1"/>
  <c r="G8254" i="1"/>
  <c r="I8254" i="1"/>
  <c r="J8254" i="1"/>
  <c r="K8254" i="1"/>
  <c r="L8254" i="1"/>
  <c r="M8254" i="1"/>
  <c r="N8254" i="1"/>
  <c r="O8254" i="1"/>
  <c r="P8254" i="1"/>
  <c r="Q8254" i="1"/>
  <c r="R8254" i="1"/>
  <c r="S8254" i="1"/>
  <c r="T8254" i="1"/>
  <c r="U8254" i="1"/>
  <c r="V8254" i="1"/>
  <c r="W8254" i="1"/>
  <c r="X8254" i="1"/>
  <c r="Y8254" i="1"/>
  <c r="Z8254" i="1"/>
  <c r="A8255" i="1"/>
  <c r="B8255" i="1"/>
  <c r="C8255" i="1"/>
  <c r="D8255" i="1"/>
  <c r="E8255" i="1"/>
  <c r="F8255" i="1"/>
  <c r="G8255" i="1"/>
  <c r="I8255" i="1"/>
  <c r="J8255" i="1"/>
  <c r="K8255" i="1"/>
  <c r="L8255" i="1"/>
  <c r="M8255" i="1"/>
  <c r="N8255" i="1"/>
  <c r="O8255" i="1"/>
  <c r="P8255" i="1"/>
  <c r="Q8255" i="1"/>
  <c r="R8255" i="1"/>
  <c r="S8255" i="1"/>
  <c r="T8255" i="1"/>
  <c r="U8255" i="1"/>
  <c r="V8255" i="1"/>
  <c r="W8255" i="1"/>
  <c r="X8255" i="1"/>
  <c r="Y8255" i="1"/>
  <c r="Z8255" i="1"/>
  <c r="A8256" i="1"/>
  <c r="B8256" i="1"/>
  <c r="C8256" i="1"/>
  <c r="D8256" i="1"/>
  <c r="E8256" i="1"/>
  <c r="F8256" i="1"/>
  <c r="G8256" i="1"/>
  <c r="I8256" i="1"/>
  <c r="J8256" i="1"/>
  <c r="K8256" i="1"/>
  <c r="L8256" i="1"/>
  <c r="M8256" i="1"/>
  <c r="N8256" i="1"/>
  <c r="O8256" i="1"/>
  <c r="P8256" i="1"/>
  <c r="Q8256" i="1"/>
  <c r="R8256" i="1"/>
  <c r="S8256" i="1"/>
  <c r="T8256" i="1"/>
  <c r="U8256" i="1"/>
  <c r="V8256" i="1"/>
  <c r="W8256" i="1"/>
  <c r="X8256" i="1"/>
  <c r="Y8256" i="1"/>
  <c r="Z8256" i="1"/>
  <c r="A8257" i="1"/>
  <c r="B8257" i="1"/>
  <c r="C8257" i="1"/>
  <c r="D8257" i="1"/>
  <c r="E8257" i="1"/>
  <c r="F8257" i="1"/>
  <c r="G8257" i="1"/>
  <c r="I8257" i="1"/>
  <c r="J8257" i="1"/>
  <c r="K8257" i="1"/>
  <c r="L8257" i="1"/>
  <c r="M8257" i="1"/>
  <c r="N8257" i="1"/>
  <c r="O8257" i="1"/>
  <c r="P8257" i="1"/>
  <c r="Q8257" i="1"/>
  <c r="R8257" i="1"/>
  <c r="S8257" i="1"/>
  <c r="T8257" i="1"/>
  <c r="U8257" i="1"/>
  <c r="V8257" i="1"/>
  <c r="W8257" i="1"/>
  <c r="X8257" i="1"/>
  <c r="Y8257" i="1"/>
  <c r="Z8257" i="1"/>
  <c r="A8258" i="1"/>
  <c r="B8258" i="1"/>
  <c r="C8258" i="1"/>
  <c r="D8258" i="1"/>
  <c r="E8258" i="1"/>
  <c r="F8258" i="1"/>
  <c r="G8258" i="1"/>
  <c r="I8258" i="1"/>
  <c r="J8258" i="1"/>
  <c r="K8258" i="1"/>
  <c r="L8258" i="1"/>
  <c r="M8258" i="1"/>
  <c r="N8258" i="1"/>
  <c r="O8258" i="1"/>
  <c r="P8258" i="1"/>
  <c r="Q8258" i="1"/>
  <c r="R8258" i="1"/>
  <c r="S8258" i="1"/>
  <c r="T8258" i="1"/>
  <c r="U8258" i="1"/>
  <c r="V8258" i="1"/>
  <c r="W8258" i="1"/>
  <c r="X8258" i="1"/>
  <c r="Y8258" i="1"/>
  <c r="Z8258" i="1"/>
  <c r="A8259" i="1"/>
  <c r="B8259" i="1"/>
  <c r="C8259" i="1"/>
  <c r="D8259" i="1"/>
  <c r="E8259" i="1"/>
  <c r="F8259" i="1"/>
  <c r="G8259" i="1"/>
  <c r="I8259" i="1"/>
  <c r="J8259" i="1"/>
  <c r="K8259" i="1"/>
  <c r="L8259" i="1"/>
  <c r="M8259" i="1"/>
  <c r="N8259" i="1"/>
  <c r="O8259" i="1"/>
  <c r="P8259" i="1"/>
  <c r="Q8259" i="1"/>
  <c r="R8259" i="1"/>
  <c r="S8259" i="1"/>
  <c r="T8259" i="1"/>
  <c r="U8259" i="1"/>
  <c r="V8259" i="1"/>
  <c r="W8259" i="1"/>
  <c r="X8259" i="1"/>
  <c r="Y8259" i="1"/>
  <c r="Z8259" i="1"/>
  <c r="A8260" i="1"/>
  <c r="B8260" i="1"/>
  <c r="C8260" i="1"/>
  <c r="D8260" i="1"/>
  <c r="E8260" i="1"/>
  <c r="F8260" i="1"/>
  <c r="G8260" i="1"/>
  <c r="I8260" i="1"/>
  <c r="J8260" i="1"/>
  <c r="K8260" i="1"/>
  <c r="L8260" i="1"/>
  <c r="M8260" i="1"/>
  <c r="N8260" i="1"/>
  <c r="O8260" i="1"/>
  <c r="P8260" i="1"/>
  <c r="Q8260" i="1"/>
  <c r="R8260" i="1"/>
  <c r="S8260" i="1"/>
  <c r="T8260" i="1"/>
  <c r="U8260" i="1"/>
  <c r="V8260" i="1"/>
  <c r="W8260" i="1"/>
  <c r="X8260" i="1"/>
  <c r="Y8260" i="1"/>
  <c r="Z8260" i="1"/>
  <c r="A8261" i="1"/>
  <c r="B8261" i="1"/>
  <c r="C8261" i="1"/>
  <c r="D8261" i="1"/>
  <c r="E8261" i="1"/>
  <c r="F8261" i="1"/>
  <c r="G8261" i="1"/>
  <c r="I8261" i="1"/>
  <c r="J8261" i="1"/>
  <c r="K8261" i="1"/>
  <c r="L8261" i="1"/>
  <c r="M8261" i="1"/>
  <c r="N8261" i="1"/>
  <c r="O8261" i="1"/>
  <c r="P8261" i="1"/>
  <c r="Q8261" i="1"/>
  <c r="R8261" i="1"/>
  <c r="S8261" i="1"/>
  <c r="T8261" i="1"/>
  <c r="U8261" i="1"/>
  <c r="V8261" i="1"/>
  <c r="W8261" i="1"/>
  <c r="X8261" i="1"/>
  <c r="Y8261" i="1"/>
  <c r="Z8261" i="1"/>
  <c r="A8262" i="1"/>
  <c r="B8262" i="1"/>
  <c r="C8262" i="1"/>
  <c r="D8262" i="1"/>
  <c r="E8262" i="1"/>
  <c r="F8262" i="1"/>
  <c r="G8262" i="1"/>
  <c r="I8262" i="1"/>
  <c r="J8262" i="1"/>
  <c r="K8262" i="1"/>
  <c r="L8262" i="1"/>
  <c r="M8262" i="1"/>
  <c r="N8262" i="1"/>
  <c r="O8262" i="1"/>
  <c r="P8262" i="1"/>
  <c r="Q8262" i="1"/>
  <c r="R8262" i="1"/>
  <c r="S8262" i="1"/>
  <c r="T8262" i="1"/>
  <c r="U8262" i="1"/>
  <c r="V8262" i="1"/>
  <c r="W8262" i="1"/>
  <c r="X8262" i="1"/>
  <c r="Y8262" i="1"/>
  <c r="Z8262" i="1"/>
  <c r="A8263" i="1"/>
  <c r="B8263" i="1"/>
  <c r="C8263" i="1"/>
  <c r="D8263" i="1"/>
  <c r="E8263" i="1"/>
  <c r="F8263" i="1"/>
  <c r="G8263" i="1"/>
  <c r="I8263" i="1"/>
  <c r="J8263" i="1"/>
  <c r="K8263" i="1"/>
  <c r="L8263" i="1"/>
  <c r="M8263" i="1"/>
  <c r="N8263" i="1"/>
  <c r="O8263" i="1"/>
  <c r="P8263" i="1"/>
  <c r="Q8263" i="1"/>
  <c r="R8263" i="1"/>
  <c r="S8263" i="1"/>
  <c r="T8263" i="1"/>
  <c r="U8263" i="1"/>
  <c r="V8263" i="1"/>
  <c r="W8263" i="1"/>
  <c r="X8263" i="1"/>
  <c r="Y8263" i="1"/>
  <c r="Z8263" i="1"/>
  <c r="A8264" i="1"/>
  <c r="B8264" i="1"/>
  <c r="C8264" i="1"/>
  <c r="D8264" i="1"/>
  <c r="E8264" i="1"/>
  <c r="F8264" i="1"/>
  <c r="G8264" i="1"/>
  <c r="I8264" i="1"/>
  <c r="J8264" i="1"/>
  <c r="K8264" i="1"/>
  <c r="L8264" i="1"/>
  <c r="M8264" i="1"/>
  <c r="N8264" i="1"/>
  <c r="O8264" i="1"/>
  <c r="P8264" i="1"/>
  <c r="Q8264" i="1"/>
  <c r="R8264" i="1"/>
  <c r="S8264" i="1"/>
  <c r="T8264" i="1"/>
  <c r="U8264" i="1"/>
  <c r="V8264" i="1"/>
  <c r="W8264" i="1"/>
  <c r="X8264" i="1"/>
  <c r="Y8264" i="1"/>
  <c r="Z8264" i="1"/>
  <c r="A8265" i="1"/>
  <c r="B8265" i="1"/>
  <c r="C8265" i="1"/>
  <c r="D8265" i="1"/>
  <c r="E8265" i="1"/>
  <c r="F8265" i="1"/>
  <c r="G8265" i="1"/>
  <c r="I8265" i="1"/>
  <c r="J8265" i="1"/>
  <c r="K8265" i="1"/>
  <c r="L8265" i="1"/>
  <c r="M8265" i="1"/>
  <c r="N8265" i="1"/>
  <c r="O8265" i="1"/>
  <c r="P8265" i="1"/>
  <c r="Q8265" i="1"/>
  <c r="R8265" i="1"/>
  <c r="S8265" i="1"/>
  <c r="T8265" i="1"/>
  <c r="U8265" i="1"/>
  <c r="V8265" i="1"/>
  <c r="W8265" i="1"/>
  <c r="X8265" i="1"/>
  <c r="Y8265" i="1"/>
  <c r="Z8265" i="1"/>
  <c r="A8266" i="1"/>
  <c r="B8266" i="1"/>
  <c r="C8266" i="1"/>
  <c r="D8266" i="1"/>
  <c r="E8266" i="1"/>
  <c r="F8266" i="1"/>
  <c r="G8266" i="1"/>
  <c r="I8266" i="1"/>
  <c r="J8266" i="1"/>
  <c r="K8266" i="1"/>
  <c r="L8266" i="1"/>
  <c r="M8266" i="1"/>
  <c r="N8266" i="1"/>
  <c r="O8266" i="1"/>
  <c r="P8266" i="1"/>
  <c r="Q8266" i="1"/>
  <c r="R8266" i="1"/>
  <c r="S8266" i="1"/>
  <c r="T8266" i="1"/>
  <c r="U8266" i="1"/>
  <c r="V8266" i="1"/>
  <c r="W8266" i="1"/>
  <c r="X8266" i="1"/>
  <c r="Y8266" i="1"/>
  <c r="Z8266" i="1"/>
  <c r="A8267" i="1"/>
  <c r="B8267" i="1"/>
  <c r="C8267" i="1"/>
  <c r="D8267" i="1"/>
  <c r="E8267" i="1"/>
  <c r="F8267" i="1"/>
  <c r="G8267" i="1"/>
  <c r="I8267" i="1"/>
  <c r="J8267" i="1"/>
  <c r="K8267" i="1"/>
  <c r="L8267" i="1"/>
  <c r="M8267" i="1"/>
  <c r="N8267" i="1"/>
  <c r="O8267" i="1"/>
  <c r="P8267" i="1"/>
  <c r="Q8267" i="1"/>
  <c r="R8267" i="1"/>
  <c r="S8267" i="1"/>
  <c r="T8267" i="1"/>
  <c r="U8267" i="1"/>
  <c r="V8267" i="1"/>
  <c r="W8267" i="1"/>
  <c r="X8267" i="1"/>
  <c r="Y8267" i="1"/>
  <c r="Z8267" i="1"/>
  <c r="A8268" i="1"/>
  <c r="B8268" i="1"/>
  <c r="C8268" i="1"/>
  <c r="D8268" i="1"/>
  <c r="E8268" i="1"/>
  <c r="F8268" i="1"/>
  <c r="G8268" i="1"/>
  <c r="I8268" i="1"/>
  <c r="J8268" i="1"/>
  <c r="K8268" i="1"/>
  <c r="L8268" i="1"/>
  <c r="M8268" i="1"/>
  <c r="N8268" i="1"/>
  <c r="O8268" i="1"/>
  <c r="P8268" i="1"/>
  <c r="Q8268" i="1"/>
  <c r="R8268" i="1"/>
  <c r="S8268" i="1"/>
  <c r="T8268" i="1"/>
  <c r="U8268" i="1"/>
  <c r="V8268" i="1"/>
  <c r="W8268" i="1"/>
  <c r="X8268" i="1"/>
  <c r="Y8268" i="1"/>
  <c r="Z8268" i="1"/>
  <c r="A8269" i="1"/>
  <c r="B8269" i="1"/>
  <c r="C8269" i="1"/>
  <c r="D8269" i="1"/>
  <c r="E8269" i="1"/>
  <c r="F8269" i="1"/>
  <c r="G8269" i="1"/>
  <c r="I8269" i="1"/>
  <c r="J8269" i="1"/>
  <c r="K8269" i="1"/>
  <c r="L8269" i="1"/>
  <c r="M8269" i="1"/>
  <c r="N8269" i="1"/>
  <c r="O8269" i="1"/>
  <c r="P8269" i="1"/>
  <c r="Q8269" i="1"/>
  <c r="R8269" i="1"/>
  <c r="S8269" i="1"/>
  <c r="T8269" i="1"/>
  <c r="U8269" i="1"/>
  <c r="V8269" i="1"/>
  <c r="W8269" i="1"/>
  <c r="X8269" i="1"/>
  <c r="Y8269" i="1"/>
  <c r="Z8269" i="1"/>
  <c r="A8270" i="1"/>
  <c r="B8270" i="1"/>
  <c r="C8270" i="1"/>
  <c r="D8270" i="1"/>
  <c r="E8270" i="1"/>
  <c r="F8270" i="1"/>
  <c r="G8270" i="1"/>
  <c r="I8270" i="1"/>
  <c r="J8270" i="1"/>
  <c r="K8270" i="1"/>
  <c r="L8270" i="1"/>
  <c r="M8270" i="1"/>
  <c r="N8270" i="1"/>
  <c r="O8270" i="1"/>
  <c r="P8270" i="1"/>
  <c r="Q8270" i="1"/>
  <c r="R8270" i="1"/>
  <c r="S8270" i="1"/>
  <c r="T8270" i="1"/>
  <c r="U8270" i="1"/>
  <c r="V8270" i="1"/>
  <c r="W8270" i="1"/>
  <c r="X8270" i="1"/>
  <c r="Y8270" i="1"/>
  <c r="Z8270" i="1"/>
  <c r="A8271" i="1"/>
  <c r="B8271" i="1"/>
  <c r="C8271" i="1"/>
  <c r="D8271" i="1"/>
  <c r="E8271" i="1"/>
  <c r="F8271" i="1"/>
  <c r="G8271" i="1"/>
  <c r="I8271" i="1"/>
  <c r="J8271" i="1"/>
  <c r="K8271" i="1"/>
  <c r="L8271" i="1"/>
  <c r="M8271" i="1"/>
  <c r="N8271" i="1"/>
  <c r="O8271" i="1"/>
  <c r="P8271" i="1"/>
  <c r="Q8271" i="1"/>
  <c r="R8271" i="1"/>
  <c r="S8271" i="1"/>
  <c r="T8271" i="1"/>
  <c r="U8271" i="1"/>
  <c r="V8271" i="1"/>
  <c r="W8271" i="1"/>
  <c r="X8271" i="1"/>
  <c r="Y8271" i="1"/>
  <c r="Z8271" i="1"/>
  <c r="A8272" i="1"/>
  <c r="B8272" i="1"/>
  <c r="C8272" i="1"/>
  <c r="D8272" i="1"/>
  <c r="E8272" i="1"/>
  <c r="F8272" i="1"/>
  <c r="G8272" i="1"/>
  <c r="I8272" i="1"/>
  <c r="J8272" i="1"/>
  <c r="K8272" i="1"/>
  <c r="L8272" i="1"/>
  <c r="M8272" i="1"/>
  <c r="N8272" i="1"/>
  <c r="O8272" i="1"/>
  <c r="P8272" i="1"/>
  <c r="Q8272" i="1"/>
  <c r="R8272" i="1"/>
  <c r="S8272" i="1"/>
  <c r="T8272" i="1"/>
  <c r="U8272" i="1"/>
  <c r="V8272" i="1"/>
  <c r="W8272" i="1"/>
  <c r="X8272" i="1"/>
  <c r="Y8272" i="1"/>
  <c r="Z8272" i="1"/>
  <c r="A8273" i="1"/>
  <c r="B8273" i="1"/>
  <c r="C8273" i="1"/>
  <c r="D8273" i="1"/>
  <c r="E8273" i="1"/>
  <c r="F8273" i="1"/>
  <c r="G8273" i="1"/>
  <c r="I8273" i="1"/>
  <c r="J8273" i="1"/>
  <c r="K8273" i="1"/>
  <c r="L8273" i="1"/>
  <c r="M8273" i="1"/>
  <c r="N8273" i="1"/>
  <c r="O8273" i="1"/>
  <c r="P8273" i="1"/>
  <c r="Q8273" i="1"/>
  <c r="R8273" i="1"/>
  <c r="S8273" i="1"/>
  <c r="T8273" i="1"/>
  <c r="U8273" i="1"/>
  <c r="V8273" i="1"/>
  <c r="W8273" i="1"/>
  <c r="X8273" i="1"/>
  <c r="Y8273" i="1"/>
  <c r="Z8273" i="1"/>
  <c r="A8274" i="1"/>
  <c r="B8274" i="1"/>
  <c r="C8274" i="1"/>
  <c r="D8274" i="1"/>
  <c r="E8274" i="1"/>
  <c r="F8274" i="1"/>
  <c r="G8274" i="1"/>
  <c r="I8274" i="1"/>
  <c r="J8274" i="1"/>
  <c r="K8274" i="1"/>
  <c r="L8274" i="1"/>
  <c r="M8274" i="1"/>
  <c r="N8274" i="1"/>
  <c r="O8274" i="1"/>
  <c r="P8274" i="1"/>
  <c r="Q8274" i="1"/>
  <c r="R8274" i="1"/>
  <c r="S8274" i="1"/>
  <c r="T8274" i="1"/>
  <c r="U8274" i="1"/>
  <c r="V8274" i="1"/>
  <c r="W8274" i="1"/>
  <c r="X8274" i="1"/>
  <c r="Y8274" i="1"/>
  <c r="Z8274" i="1"/>
  <c r="A8275" i="1"/>
  <c r="B8275" i="1"/>
  <c r="C8275" i="1"/>
  <c r="D8275" i="1"/>
  <c r="E8275" i="1"/>
  <c r="F8275" i="1"/>
  <c r="G8275" i="1"/>
  <c r="I8275" i="1"/>
  <c r="J8275" i="1"/>
  <c r="K8275" i="1"/>
  <c r="L8275" i="1"/>
  <c r="M8275" i="1"/>
  <c r="N8275" i="1"/>
  <c r="O8275" i="1"/>
  <c r="P8275" i="1"/>
  <c r="Q8275" i="1"/>
  <c r="R8275" i="1"/>
  <c r="S8275" i="1"/>
  <c r="T8275" i="1"/>
  <c r="U8275" i="1"/>
  <c r="V8275" i="1"/>
  <c r="W8275" i="1"/>
  <c r="X8275" i="1"/>
  <c r="Y8275" i="1"/>
  <c r="Z8275" i="1"/>
  <c r="A8276" i="1"/>
  <c r="B8276" i="1"/>
  <c r="C8276" i="1"/>
  <c r="D8276" i="1"/>
  <c r="E8276" i="1"/>
  <c r="F8276" i="1"/>
  <c r="G8276" i="1"/>
  <c r="I8276" i="1"/>
  <c r="J8276" i="1"/>
  <c r="K8276" i="1"/>
  <c r="L8276" i="1"/>
  <c r="M8276" i="1"/>
  <c r="N8276" i="1"/>
  <c r="O8276" i="1"/>
  <c r="P8276" i="1"/>
  <c r="Q8276" i="1"/>
  <c r="R8276" i="1"/>
  <c r="S8276" i="1"/>
  <c r="T8276" i="1"/>
  <c r="U8276" i="1"/>
  <c r="V8276" i="1"/>
  <c r="W8276" i="1"/>
  <c r="X8276" i="1"/>
  <c r="Y8276" i="1"/>
  <c r="Z8276" i="1"/>
  <c r="A8277" i="1"/>
  <c r="B8277" i="1"/>
  <c r="C8277" i="1"/>
  <c r="D8277" i="1"/>
  <c r="E8277" i="1"/>
  <c r="F8277" i="1"/>
  <c r="G8277" i="1"/>
  <c r="I8277" i="1"/>
  <c r="J8277" i="1"/>
  <c r="K8277" i="1"/>
  <c r="L8277" i="1"/>
  <c r="M8277" i="1"/>
  <c r="N8277" i="1"/>
  <c r="O8277" i="1"/>
  <c r="P8277" i="1"/>
  <c r="Q8277" i="1"/>
  <c r="R8277" i="1"/>
  <c r="S8277" i="1"/>
  <c r="T8277" i="1"/>
  <c r="U8277" i="1"/>
  <c r="V8277" i="1"/>
  <c r="W8277" i="1"/>
  <c r="X8277" i="1"/>
  <c r="Y8277" i="1"/>
  <c r="Z8277" i="1"/>
  <c r="A8278" i="1"/>
  <c r="B8278" i="1"/>
  <c r="C8278" i="1"/>
  <c r="D8278" i="1"/>
  <c r="E8278" i="1"/>
  <c r="F8278" i="1"/>
  <c r="G8278" i="1"/>
  <c r="I8278" i="1"/>
  <c r="J8278" i="1"/>
  <c r="K8278" i="1"/>
  <c r="L8278" i="1"/>
  <c r="M8278" i="1"/>
  <c r="N8278" i="1"/>
  <c r="O8278" i="1"/>
  <c r="P8278" i="1"/>
  <c r="Q8278" i="1"/>
  <c r="R8278" i="1"/>
  <c r="S8278" i="1"/>
  <c r="T8278" i="1"/>
  <c r="U8278" i="1"/>
  <c r="V8278" i="1"/>
  <c r="W8278" i="1"/>
  <c r="X8278" i="1"/>
  <c r="Y8278" i="1"/>
  <c r="Z8278" i="1"/>
  <c r="A8279" i="1"/>
  <c r="B8279" i="1"/>
  <c r="C8279" i="1"/>
  <c r="D8279" i="1"/>
  <c r="E8279" i="1"/>
  <c r="F8279" i="1"/>
  <c r="G8279" i="1"/>
  <c r="I8279" i="1"/>
  <c r="J8279" i="1"/>
  <c r="K8279" i="1"/>
  <c r="L8279" i="1"/>
  <c r="M8279" i="1"/>
  <c r="N8279" i="1"/>
  <c r="O8279" i="1"/>
  <c r="P8279" i="1"/>
  <c r="Q8279" i="1"/>
  <c r="R8279" i="1"/>
  <c r="S8279" i="1"/>
  <c r="T8279" i="1"/>
  <c r="U8279" i="1"/>
  <c r="V8279" i="1"/>
  <c r="W8279" i="1"/>
  <c r="X8279" i="1"/>
  <c r="Y8279" i="1"/>
  <c r="Z8279" i="1"/>
  <c r="A8280" i="1"/>
  <c r="B8280" i="1"/>
  <c r="C8280" i="1"/>
  <c r="D8280" i="1"/>
  <c r="E8280" i="1"/>
  <c r="F8280" i="1"/>
  <c r="G8280" i="1"/>
  <c r="I8280" i="1"/>
  <c r="J8280" i="1"/>
  <c r="K8280" i="1"/>
  <c r="L8280" i="1"/>
  <c r="M8280" i="1"/>
  <c r="N8280" i="1"/>
  <c r="O8280" i="1"/>
  <c r="P8280" i="1"/>
  <c r="Q8280" i="1"/>
  <c r="R8280" i="1"/>
  <c r="S8280" i="1"/>
  <c r="T8280" i="1"/>
  <c r="U8280" i="1"/>
  <c r="V8280" i="1"/>
  <c r="W8280" i="1"/>
  <c r="X8280" i="1"/>
  <c r="Y8280" i="1"/>
  <c r="Z8280" i="1"/>
  <c r="A8281" i="1"/>
  <c r="B8281" i="1"/>
  <c r="C8281" i="1"/>
  <c r="D8281" i="1"/>
  <c r="E8281" i="1"/>
  <c r="F8281" i="1"/>
  <c r="G8281" i="1"/>
  <c r="I8281" i="1"/>
  <c r="J8281" i="1"/>
  <c r="K8281" i="1"/>
  <c r="L8281" i="1"/>
  <c r="M8281" i="1"/>
  <c r="N8281" i="1"/>
  <c r="O8281" i="1"/>
  <c r="P8281" i="1"/>
  <c r="Q8281" i="1"/>
  <c r="R8281" i="1"/>
  <c r="S8281" i="1"/>
  <c r="T8281" i="1"/>
  <c r="U8281" i="1"/>
  <c r="V8281" i="1"/>
  <c r="W8281" i="1"/>
  <c r="X8281" i="1"/>
  <c r="Y8281" i="1"/>
  <c r="Z8281" i="1"/>
  <c r="A8282" i="1"/>
  <c r="B8282" i="1"/>
  <c r="C8282" i="1"/>
  <c r="D8282" i="1"/>
  <c r="E8282" i="1"/>
  <c r="F8282" i="1"/>
  <c r="G8282" i="1"/>
  <c r="I8282" i="1"/>
  <c r="J8282" i="1"/>
  <c r="K8282" i="1"/>
  <c r="L8282" i="1"/>
  <c r="M8282" i="1"/>
  <c r="N8282" i="1"/>
  <c r="O8282" i="1"/>
  <c r="P8282" i="1"/>
  <c r="Q8282" i="1"/>
  <c r="R8282" i="1"/>
  <c r="S8282" i="1"/>
  <c r="T8282" i="1"/>
  <c r="U8282" i="1"/>
  <c r="V8282" i="1"/>
  <c r="W8282" i="1"/>
  <c r="X8282" i="1"/>
  <c r="Y8282" i="1"/>
  <c r="Z8282" i="1"/>
  <c r="A8283" i="1"/>
  <c r="B8283" i="1"/>
  <c r="C8283" i="1"/>
  <c r="D8283" i="1"/>
  <c r="E8283" i="1"/>
  <c r="F8283" i="1"/>
  <c r="G8283" i="1"/>
  <c r="I8283" i="1"/>
  <c r="J8283" i="1"/>
  <c r="K8283" i="1"/>
  <c r="L8283" i="1"/>
  <c r="M8283" i="1"/>
  <c r="N8283" i="1"/>
  <c r="O8283" i="1"/>
  <c r="P8283" i="1"/>
  <c r="Q8283" i="1"/>
  <c r="R8283" i="1"/>
  <c r="S8283" i="1"/>
  <c r="T8283" i="1"/>
  <c r="U8283" i="1"/>
  <c r="V8283" i="1"/>
  <c r="W8283" i="1"/>
  <c r="X8283" i="1"/>
  <c r="Y8283" i="1"/>
  <c r="Z8283" i="1"/>
  <c r="A8284" i="1"/>
  <c r="B8284" i="1"/>
  <c r="C8284" i="1"/>
  <c r="D8284" i="1"/>
  <c r="E8284" i="1"/>
  <c r="F8284" i="1"/>
  <c r="G8284" i="1"/>
  <c r="I8284" i="1"/>
  <c r="J8284" i="1"/>
  <c r="K8284" i="1"/>
  <c r="L8284" i="1"/>
  <c r="M8284" i="1"/>
  <c r="N8284" i="1"/>
  <c r="O8284" i="1"/>
  <c r="P8284" i="1"/>
  <c r="Q8284" i="1"/>
  <c r="R8284" i="1"/>
  <c r="S8284" i="1"/>
  <c r="T8284" i="1"/>
  <c r="U8284" i="1"/>
  <c r="V8284" i="1"/>
  <c r="W8284" i="1"/>
  <c r="X8284" i="1"/>
  <c r="Y8284" i="1"/>
  <c r="Z8284" i="1"/>
  <c r="A8285" i="1"/>
  <c r="B8285" i="1"/>
  <c r="C8285" i="1"/>
  <c r="D8285" i="1"/>
  <c r="E8285" i="1"/>
  <c r="F8285" i="1"/>
  <c r="G8285" i="1"/>
  <c r="I8285" i="1"/>
  <c r="J8285" i="1"/>
  <c r="K8285" i="1"/>
  <c r="L8285" i="1"/>
  <c r="M8285" i="1"/>
  <c r="N8285" i="1"/>
  <c r="O8285" i="1"/>
  <c r="P8285" i="1"/>
  <c r="Q8285" i="1"/>
  <c r="R8285" i="1"/>
  <c r="S8285" i="1"/>
  <c r="T8285" i="1"/>
  <c r="U8285" i="1"/>
  <c r="V8285" i="1"/>
  <c r="W8285" i="1"/>
  <c r="X8285" i="1"/>
  <c r="Y8285" i="1"/>
  <c r="Z8285" i="1"/>
  <c r="A8286" i="1"/>
  <c r="B8286" i="1"/>
  <c r="C8286" i="1"/>
  <c r="D8286" i="1"/>
  <c r="E8286" i="1"/>
  <c r="F8286" i="1"/>
  <c r="G8286" i="1"/>
  <c r="I8286" i="1"/>
  <c r="J8286" i="1"/>
  <c r="K8286" i="1"/>
  <c r="L8286" i="1"/>
  <c r="M8286" i="1"/>
  <c r="N8286" i="1"/>
  <c r="O8286" i="1"/>
  <c r="P8286" i="1"/>
  <c r="Q8286" i="1"/>
  <c r="R8286" i="1"/>
  <c r="S8286" i="1"/>
  <c r="T8286" i="1"/>
  <c r="U8286" i="1"/>
  <c r="V8286" i="1"/>
  <c r="W8286" i="1"/>
  <c r="X8286" i="1"/>
  <c r="Y8286" i="1"/>
  <c r="Z8286" i="1"/>
  <c r="A8287" i="1"/>
  <c r="B8287" i="1"/>
  <c r="C8287" i="1"/>
  <c r="D8287" i="1"/>
  <c r="E8287" i="1"/>
  <c r="F8287" i="1"/>
  <c r="G8287" i="1"/>
  <c r="I8287" i="1"/>
  <c r="J8287" i="1"/>
  <c r="K8287" i="1"/>
  <c r="L8287" i="1"/>
  <c r="M8287" i="1"/>
  <c r="N8287" i="1"/>
  <c r="O8287" i="1"/>
  <c r="P8287" i="1"/>
  <c r="Q8287" i="1"/>
  <c r="R8287" i="1"/>
  <c r="S8287" i="1"/>
  <c r="T8287" i="1"/>
  <c r="U8287" i="1"/>
  <c r="V8287" i="1"/>
  <c r="W8287" i="1"/>
  <c r="X8287" i="1"/>
  <c r="Y8287" i="1"/>
  <c r="Z8287" i="1"/>
  <c r="A8288" i="1"/>
  <c r="B8288" i="1"/>
  <c r="C8288" i="1"/>
  <c r="D8288" i="1"/>
  <c r="E8288" i="1"/>
  <c r="F8288" i="1"/>
  <c r="G8288" i="1"/>
  <c r="I8288" i="1"/>
  <c r="J8288" i="1"/>
  <c r="K8288" i="1"/>
  <c r="L8288" i="1"/>
  <c r="M8288" i="1"/>
  <c r="N8288" i="1"/>
  <c r="O8288" i="1"/>
  <c r="P8288" i="1"/>
  <c r="Q8288" i="1"/>
  <c r="R8288" i="1"/>
  <c r="S8288" i="1"/>
  <c r="T8288" i="1"/>
  <c r="U8288" i="1"/>
  <c r="V8288" i="1"/>
  <c r="W8288" i="1"/>
  <c r="X8288" i="1"/>
  <c r="Y8288" i="1"/>
  <c r="Z8288" i="1"/>
  <c r="A8289" i="1"/>
  <c r="B8289" i="1"/>
  <c r="C8289" i="1"/>
  <c r="D8289" i="1"/>
  <c r="E8289" i="1"/>
  <c r="F8289" i="1"/>
  <c r="G8289" i="1"/>
  <c r="I8289" i="1"/>
  <c r="J8289" i="1"/>
  <c r="K8289" i="1"/>
  <c r="L8289" i="1"/>
  <c r="M8289" i="1"/>
  <c r="N8289" i="1"/>
  <c r="O8289" i="1"/>
  <c r="P8289" i="1"/>
  <c r="Q8289" i="1"/>
  <c r="R8289" i="1"/>
  <c r="S8289" i="1"/>
  <c r="T8289" i="1"/>
  <c r="U8289" i="1"/>
  <c r="V8289" i="1"/>
  <c r="W8289" i="1"/>
  <c r="X8289" i="1"/>
  <c r="Y8289" i="1"/>
  <c r="Z8289" i="1"/>
  <c r="A8290" i="1"/>
  <c r="B8290" i="1"/>
  <c r="C8290" i="1"/>
  <c r="D8290" i="1"/>
  <c r="E8290" i="1"/>
  <c r="F8290" i="1"/>
  <c r="G8290" i="1"/>
  <c r="I8290" i="1"/>
  <c r="J8290" i="1"/>
  <c r="K8290" i="1"/>
  <c r="L8290" i="1"/>
  <c r="M8290" i="1"/>
  <c r="N8290" i="1"/>
  <c r="O8290" i="1"/>
  <c r="P8290" i="1"/>
  <c r="Q8290" i="1"/>
  <c r="R8290" i="1"/>
  <c r="S8290" i="1"/>
  <c r="T8290" i="1"/>
  <c r="U8290" i="1"/>
  <c r="V8290" i="1"/>
  <c r="W8290" i="1"/>
  <c r="X8290" i="1"/>
  <c r="Y8290" i="1"/>
  <c r="Z8290" i="1"/>
  <c r="A8291" i="1"/>
  <c r="B8291" i="1"/>
  <c r="C8291" i="1"/>
  <c r="D8291" i="1"/>
  <c r="E8291" i="1"/>
  <c r="F8291" i="1"/>
  <c r="G8291" i="1"/>
  <c r="I8291" i="1"/>
  <c r="J8291" i="1"/>
  <c r="K8291" i="1"/>
  <c r="L8291" i="1"/>
  <c r="M8291" i="1"/>
  <c r="N8291" i="1"/>
  <c r="O8291" i="1"/>
  <c r="P8291" i="1"/>
  <c r="Q8291" i="1"/>
  <c r="R8291" i="1"/>
  <c r="S8291" i="1"/>
  <c r="T8291" i="1"/>
  <c r="U8291" i="1"/>
  <c r="V8291" i="1"/>
  <c r="W8291" i="1"/>
  <c r="X8291" i="1"/>
  <c r="Y8291" i="1"/>
  <c r="Z8291" i="1"/>
  <c r="A8292" i="1"/>
  <c r="B8292" i="1"/>
  <c r="C8292" i="1"/>
  <c r="D8292" i="1"/>
  <c r="E8292" i="1"/>
  <c r="F8292" i="1"/>
  <c r="G8292" i="1"/>
  <c r="I8292" i="1"/>
  <c r="J8292" i="1"/>
  <c r="K8292" i="1"/>
  <c r="L8292" i="1"/>
  <c r="M8292" i="1"/>
  <c r="N8292" i="1"/>
  <c r="O8292" i="1"/>
  <c r="P8292" i="1"/>
  <c r="Q8292" i="1"/>
  <c r="R8292" i="1"/>
  <c r="S8292" i="1"/>
  <c r="T8292" i="1"/>
  <c r="U8292" i="1"/>
  <c r="V8292" i="1"/>
  <c r="W8292" i="1"/>
  <c r="X8292" i="1"/>
  <c r="Y8292" i="1"/>
  <c r="Z8292" i="1"/>
  <c r="A8293" i="1"/>
  <c r="B8293" i="1"/>
  <c r="C8293" i="1"/>
  <c r="D8293" i="1"/>
  <c r="E8293" i="1"/>
  <c r="F8293" i="1"/>
  <c r="G8293" i="1"/>
  <c r="I8293" i="1"/>
  <c r="J8293" i="1"/>
  <c r="K8293" i="1"/>
  <c r="L8293" i="1"/>
  <c r="M8293" i="1"/>
  <c r="N8293" i="1"/>
  <c r="O8293" i="1"/>
  <c r="P8293" i="1"/>
  <c r="Q8293" i="1"/>
  <c r="R8293" i="1"/>
  <c r="S8293" i="1"/>
  <c r="T8293" i="1"/>
  <c r="U8293" i="1"/>
  <c r="V8293" i="1"/>
  <c r="W8293" i="1"/>
  <c r="X8293" i="1"/>
  <c r="Y8293" i="1"/>
  <c r="Z8293" i="1"/>
  <c r="A8294" i="1"/>
  <c r="B8294" i="1"/>
  <c r="C8294" i="1"/>
  <c r="D8294" i="1"/>
  <c r="E8294" i="1"/>
  <c r="F8294" i="1"/>
  <c r="G8294" i="1"/>
  <c r="I8294" i="1"/>
  <c r="J8294" i="1"/>
  <c r="K8294" i="1"/>
  <c r="L8294" i="1"/>
  <c r="M8294" i="1"/>
  <c r="N8294" i="1"/>
  <c r="O8294" i="1"/>
  <c r="P8294" i="1"/>
  <c r="Q8294" i="1"/>
  <c r="R8294" i="1"/>
  <c r="S8294" i="1"/>
  <c r="T8294" i="1"/>
  <c r="U8294" i="1"/>
  <c r="V8294" i="1"/>
  <c r="W8294" i="1"/>
  <c r="X8294" i="1"/>
  <c r="Y8294" i="1"/>
  <c r="Z8294" i="1"/>
  <c r="A8295" i="1"/>
  <c r="B8295" i="1"/>
  <c r="C8295" i="1"/>
  <c r="D8295" i="1"/>
  <c r="E8295" i="1"/>
  <c r="F8295" i="1"/>
  <c r="G8295" i="1"/>
  <c r="I8295" i="1"/>
  <c r="J8295" i="1"/>
  <c r="K8295" i="1"/>
  <c r="L8295" i="1"/>
  <c r="M8295" i="1"/>
  <c r="N8295" i="1"/>
  <c r="O8295" i="1"/>
  <c r="P8295" i="1"/>
  <c r="Q8295" i="1"/>
  <c r="R8295" i="1"/>
  <c r="S8295" i="1"/>
  <c r="T8295" i="1"/>
  <c r="U8295" i="1"/>
  <c r="V8295" i="1"/>
  <c r="W8295" i="1"/>
  <c r="X8295" i="1"/>
  <c r="Y8295" i="1"/>
  <c r="Z8295" i="1"/>
  <c r="A8296" i="1"/>
  <c r="B8296" i="1"/>
  <c r="C8296" i="1"/>
  <c r="D8296" i="1"/>
  <c r="E8296" i="1"/>
  <c r="F8296" i="1"/>
  <c r="G8296" i="1"/>
  <c r="I8296" i="1"/>
  <c r="J8296" i="1"/>
  <c r="K8296" i="1"/>
  <c r="L8296" i="1"/>
  <c r="M8296" i="1"/>
  <c r="N8296" i="1"/>
  <c r="O8296" i="1"/>
  <c r="P8296" i="1"/>
  <c r="Q8296" i="1"/>
  <c r="R8296" i="1"/>
  <c r="S8296" i="1"/>
  <c r="T8296" i="1"/>
  <c r="U8296" i="1"/>
  <c r="V8296" i="1"/>
  <c r="W8296" i="1"/>
  <c r="X8296" i="1"/>
  <c r="Y8296" i="1"/>
  <c r="Z8296" i="1"/>
  <c r="A8297" i="1"/>
  <c r="B8297" i="1"/>
  <c r="C8297" i="1"/>
  <c r="D8297" i="1"/>
  <c r="E8297" i="1"/>
  <c r="F8297" i="1"/>
  <c r="G8297" i="1"/>
  <c r="I8297" i="1"/>
  <c r="J8297" i="1"/>
  <c r="K8297" i="1"/>
  <c r="L8297" i="1"/>
  <c r="M8297" i="1"/>
  <c r="N8297" i="1"/>
  <c r="O8297" i="1"/>
  <c r="P8297" i="1"/>
  <c r="Q8297" i="1"/>
  <c r="R8297" i="1"/>
  <c r="S8297" i="1"/>
  <c r="T8297" i="1"/>
  <c r="U8297" i="1"/>
  <c r="V8297" i="1"/>
  <c r="W8297" i="1"/>
  <c r="X8297" i="1"/>
  <c r="Y8297" i="1"/>
  <c r="Z8297" i="1"/>
  <c r="A8298" i="1"/>
  <c r="B8298" i="1"/>
  <c r="C8298" i="1"/>
  <c r="D8298" i="1"/>
  <c r="E8298" i="1"/>
  <c r="F8298" i="1"/>
  <c r="G8298" i="1"/>
  <c r="I8298" i="1"/>
  <c r="J8298" i="1"/>
  <c r="K8298" i="1"/>
  <c r="L8298" i="1"/>
  <c r="M8298" i="1"/>
  <c r="N8298" i="1"/>
  <c r="O8298" i="1"/>
  <c r="P8298" i="1"/>
  <c r="Q8298" i="1"/>
  <c r="R8298" i="1"/>
  <c r="S8298" i="1"/>
  <c r="T8298" i="1"/>
  <c r="U8298" i="1"/>
  <c r="V8298" i="1"/>
  <c r="W8298" i="1"/>
  <c r="X8298" i="1"/>
  <c r="Y8298" i="1"/>
  <c r="Z8298" i="1"/>
  <c r="A8299" i="1"/>
  <c r="B8299" i="1"/>
  <c r="C8299" i="1"/>
  <c r="D8299" i="1"/>
  <c r="E8299" i="1"/>
  <c r="F8299" i="1"/>
  <c r="G8299" i="1"/>
  <c r="I8299" i="1"/>
  <c r="J8299" i="1"/>
  <c r="K8299" i="1"/>
  <c r="L8299" i="1"/>
  <c r="M8299" i="1"/>
  <c r="N8299" i="1"/>
  <c r="O8299" i="1"/>
  <c r="P8299" i="1"/>
  <c r="Q8299" i="1"/>
  <c r="R8299" i="1"/>
  <c r="S8299" i="1"/>
  <c r="T8299" i="1"/>
  <c r="U8299" i="1"/>
  <c r="V8299" i="1"/>
  <c r="W8299" i="1"/>
  <c r="X8299" i="1"/>
  <c r="Y8299" i="1"/>
  <c r="Z8299" i="1"/>
  <c r="A8300" i="1"/>
  <c r="B8300" i="1"/>
  <c r="C8300" i="1"/>
  <c r="D8300" i="1"/>
  <c r="E8300" i="1"/>
  <c r="F8300" i="1"/>
  <c r="G8300" i="1"/>
  <c r="I8300" i="1"/>
  <c r="J8300" i="1"/>
  <c r="K8300" i="1"/>
  <c r="L8300" i="1"/>
  <c r="M8300" i="1"/>
  <c r="N8300" i="1"/>
  <c r="O8300" i="1"/>
  <c r="P8300" i="1"/>
  <c r="Q8300" i="1"/>
  <c r="R8300" i="1"/>
  <c r="S8300" i="1"/>
  <c r="T8300" i="1"/>
  <c r="U8300" i="1"/>
  <c r="V8300" i="1"/>
  <c r="W8300" i="1"/>
  <c r="X8300" i="1"/>
  <c r="Y8300" i="1"/>
  <c r="Z8300" i="1"/>
  <c r="A8301" i="1"/>
  <c r="B8301" i="1"/>
  <c r="C8301" i="1"/>
  <c r="D8301" i="1"/>
  <c r="E8301" i="1"/>
  <c r="F8301" i="1"/>
  <c r="G8301" i="1"/>
  <c r="I8301" i="1"/>
  <c r="J8301" i="1"/>
  <c r="K8301" i="1"/>
  <c r="L8301" i="1"/>
  <c r="M8301" i="1"/>
  <c r="N8301" i="1"/>
  <c r="O8301" i="1"/>
  <c r="P8301" i="1"/>
  <c r="Q8301" i="1"/>
  <c r="R8301" i="1"/>
  <c r="S8301" i="1"/>
  <c r="T8301" i="1"/>
  <c r="U8301" i="1"/>
  <c r="V8301" i="1"/>
  <c r="W8301" i="1"/>
  <c r="X8301" i="1"/>
  <c r="Y8301" i="1"/>
  <c r="Z8301" i="1"/>
  <c r="A8302" i="1"/>
  <c r="B8302" i="1"/>
  <c r="C8302" i="1"/>
  <c r="D8302" i="1"/>
  <c r="E8302" i="1"/>
  <c r="F8302" i="1"/>
  <c r="G8302" i="1"/>
  <c r="I8302" i="1"/>
  <c r="J8302" i="1"/>
  <c r="K8302" i="1"/>
  <c r="L8302" i="1"/>
  <c r="M8302" i="1"/>
  <c r="N8302" i="1"/>
  <c r="O8302" i="1"/>
  <c r="P8302" i="1"/>
  <c r="Q8302" i="1"/>
  <c r="R8302" i="1"/>
  <c r="S8302" i="1"/>
  <c r="T8302" i="1"/>
  <c r="U8302" i="1"/>
  <c r="V8302" i="1"/>
  <c r="W8302" i="1"/>
  <c r="X8302" i="1"/>
  <c r="Y8302" i="1"/>
  <c r="Z8302" i="1"/>
  <c r="A8303" i="1"/>
  <c r="B8303" i="1"/>
  <c r="C8303" i="1"/>
  <c r="D8303" i="1"/>
  <c r="E8303" i="1"/>
  <c r="F8303" i="1"/>
  <c r="G8303" i="1"/>
  <c r="I8303" i="1"/>
  <c r="J8303" i="1"/>
  <c r="K8303" i="1"/>
  <c r="L8303" i="1"/>
  <c r="M8303" i="1"/>
  <c r="N8303" i="1"/>
  <c r="O8303" i="1"/>
  <c r="P8303" i="1"/>
  <c r="Q8303" i="1"/>
  <c r="R8303" i="1"/>
  <c r="S8303" i="1"/>
  <c r="T8303" i="1"/>
  <c r="U8303" i="1"/>
  <c r="V8303" i="1"/>
  <c r="W8303" i="1"/>
  <c r="X8303" i="1"/>
  <c r="Y8303" i="1"/>
  <c r="Z8303" i="1"/>
  <c r="A8304" i="1"/>
  <c r="B8304" i="1"/>
  <c r="C8304" i="1"/>
  <c r="D8304" i="1"/>
  <c r="E8304" i="1"/>
  <c r="F8304" i="1"/>
  <c r="G8304" i="1"/>
  <c r="I8304" i="1"/>
  <c r="J8304" i="1"/>
  <c r="K8304" i="1"/>
  <c r="L8304" i="1"/>
  <c r="M8304" i="1"/>
  <c r="N8304" i="1"/>
  <c r="O8304" i="1"/>
  <c r="P8304" i="1"/>
  <c r="Q8304" i="1"/>
  <c r="R8304" i="1"/>
  <c r="S8304" i="1"/>
  <c r="T8304" i="1"/>
  <c r="U8304" i="1"/>
  <c r="V8304" i="1"/>
  <c r="W8304" i="1"/>
  <c r="X8304" i="1"/>
  <c r="Y8304" i="1"/>
  <c r="Z8304" i="1"/>
  <c r="A8305" i="1"/>
  <c r="B8305" i="1"/>
  <c r="C8305" i="1"/>
  <c r="D8305" i="1"/>
  <c r="E8305" i="1"/>
  <c r="F8305" i="1"/>
  <c r="G8305" i="1"/>
  <c r="I8305" i="1"/>
  <c r="J8305" i="1"/>
  <c r="K8305" i="1"/>
  <c r="L8305" i="1"/>
  <c r="M8305" i="1"/>
  <c r="N8305" i="1"/>
  <c r="O8305" i="1"/>
  <c r="P8305" i="1"/>
  <c r="Q8305" i="1"/>
  <c r="R8305" i="1"/>
  <c r="S8305" i="1"/>
  <c r="T8305" i="1"/>
  <c r="U8305" i="1"/>
  <c r="V8305" i="1"/>
  <c r="W8305" i="1"/>
  <c r="X8305" i="1"/>
  <c r="Y8305" i="1"/>
  <c r="Z8305" i="1"/>
  <c r="A8306" i="1"/>
  <c r="B8306" i="1"/>
  <c r="C8306" i="1"/>
  <c r="D8306" i="1"/>
  <c r="E8306" i="1"/>
  <c r="F8306" i="1"/>
  <c r="G8306" i="1"/>
  <c r="I8306" i="1"/>
  <c r="J8306" i="1"/>
  <c r="K8306" i="1"/>
  <c r="L8306" i="1"/>
  <c r="M8306" i="1"/>
  <c r="N8306" i="1"/>
  <c r="O8306" i="1"/>
  <c r="P8306" i="1"/>
  <c r="Q8306" i="1"/>
  <c r="R8306" i="1"/>
  <c r="S8306" i="1"/>
  <c r="T8306" i="1"/>
  <c r="U8306" i="1"/>
  <c r="V8306" i="1"/>
  <c r="W8306" i="1"/>
  <c r="X8306" i="1"/>
  <c r="Y8306" i="1"/>
  <c r="Z8306" i="1"/>
  <c r="A8307" i="1"/>
  <c r="B8307" i="1"/>
  <c r="C8307" i="1"/>
  <c r="D8307" i="1"/>
  <c r="E8307" i="1"/>
  <c r="F8307" i="1"/>
  <c r="G8307" i="1"/>
  <c r="I8307" i="1"/>
  <c r="J8307" i="1"/>
  <c r="K8307" i="1"/>
  <c r="L8307" i="1"/>
  <c r="M8307" i="1"/>
  <c r="N8307" i="1"/>
  <c r="O8307" i="1"/>
  <c r="P8307" i="1"/>
  <c r="Q8307" i="1"/>
  <c r="R8307" i="1"/>
  <c r="S8307" i="1"/>
  <c r="T8307" i="1"/>
  <c r="U8307" i="1"/>
  <c r="V8307" i="1"/>
  <c r="W8307" i="1"/>
  <c r="X8307" i="1"/>
  <c r="Y8307" i="1"/>
  <c r="Z8307" i="1"/>
  <c r="A8308" i="1"/>
  <c r="B8308" i="1"/>
  <c r="C8308" i="1"/>
  <c r="D8308" i="1"/>
  <c r="E8308" i="1"/>
  <c r="F8308" i="1"/>
  <c r="G8308" i="1"/>
  <c r="I8308" i="1"/>
  <c r="J8308" i="1"/>
  <c r="K8308" i="1"/>
  <c r="L8308" i="1"/>
  <c r="M8308" i="1"/>
  <c r="N8308" i="1"/>
  <c r="O8308" i="1"/>
  <c r="P8308" i="1"/>
  <c r="Q8308" i="1"/>
  <c r="R8308" i="1"/>
  <c r="S8308" i="1"/>
  <c r="T8308" i="1"/>
  <c r="U8308" i="1"/>
  <c r="V8308" i="1"/>
  <c r="W8308" i="1"/>
  <c r="X8308" i="1"/>
  <c r="Y8308" i="1"/>
  <c r="Z8308" i="1"/>
  <c r="A8309" i="1"/>
  <c r="B8309" i="1"/>
  <c r="C8309" i="1"/>
  <c r="D8309" i="1"/>
  <c r="E8309" i="1"/>
  <c r="F8309" i="1"/>
  <c r="G8309" i="1"/>
  <c r="I8309" i="1"/>
  <c r="J8309" i="1"/>
  <c r="K8309" i="1"/>
  <c r="L8309" i="1"/>
  <c r="M8309" i="1"/>
  <c r="N8309" i="1"/>
  <c r="O8309" i="1"/>
  <c r="P8309" i="1"/>
  <c r="Q8309" i="1"/>
  <c r="R8309" i="1"/>
  <c r="S8309" i="1"/>
  <c r="T8309" i="1"/>
  <c r="U8309" i="1"/>
  <c r="V8309" i="1"/>
  <c r="W8309" i="1"/>
  <c r="X8309" i="1"/>
  <c r="Y8309" i="1"/>
  <c r="Z8309" i="1"/>
  <c r="A8310" i="1"/>
  <c r="B8310" i="1"/>
  <c r="C8310" i="1"/>
  <c r="D8310" i="1"/>
  <c r="E8310" i="1"/>
  <c r="F8310" i="1"/>
  <c r="G8310" i="1"/>
  <c r="I8310" i="1"/>
  <c r="J8310" i="1"/>
  <c r="K8310" i="1"/>
  <c r="L8310" i="1"/>
  <c r="M8310" i="1"/>
  <c r="N8310" i="1"/>
  <c r="O8310" i="1"/>
  <c r="P8310" i="1"/>
  <c r="Q8310" i="1"/>
  <c r="R8310" i="1"/>
  <c r="S8310" i="1"/>
  <c r="T8310" i="1"/>
  <c r="U8310" i="1"/>
  <c r="V8310" i="1"/>
  <c r="W8310" i="1"/>
  <c r="X8310" i="1"/>
  <c r="Y8310" i="1"/>
  <c r="Z8310" i="1"/>
  <c r="A8311" i="1"/>
  <c r="B8311" i="1"/>
  <c r="C8311" i="1"/>
  <c r="D8311" i="1"/>
  <c r="E8311" i="1"/>
  <c r="F8311" i="1"/>
  <c r="G8311" i="1"/>
  <c r="I8311" i="1"/>
  <c r="J8311" i="1"/>
  <c r="K8311" i="1"/>
  <c r="L8311" i="1"/>
  <c r="M8311" i="1"/>
  <c r="N8311" i="1"/>
  <c r="O8311" i="1"/>
  <c r="P8311" i="1"/>
  <c r="Q8311" i="1"/>
  <c r="R8311" i="1"/>
  <c r="S8311" i="1"/>
  <c r="T8311" i="1"/>
  <c r="U8311" i="1"/>
  <c r="V8311" i="1"/>
  <c r="W8311" i="1"/>
  <c r="X8311" i="1"/>
  <c r="Y8311" i="1"/>
  <c r="Z8311" i="1"/>
  <c r="A8312" i="1"/>
  <c r="B8312" i="1"/>
  <c r="C8312" i="1"/>
  <c r="D8312" i="1"/>
  <c r="E8312" i="1"/>
  <c r="F8312" i="1"/>
  <c r="G8312" i="1"/>
  <c r="I8312" i="1"/>
  <c r="J8312" i="1"/>
  <c r="K8312" i="1"/>
  <c r="L8312" i="1"/>
  <c r="M8312" i="1"/>
  <c r="N8312" i="1"/>
  <c r="O8312" i="1"/>
  <c r="P8312" i="1"/>
  <c r="Q8312" i="1"/>
  <c r="R8312" i="1"/>
  <c r="S8312" i="1"/>
  <c r="T8312" i="1"/>
  <c r="U8312" i="1"/>
  <c r="V8312" i="1"/>
  <c r="W8312" i="1"/>
  <c r="X8312" i="1"/>
  <c r="Y8312" i="1"/>
  <c r="Z8312" i="1"/>
  <c r="A8313" i="1"/>
  <c r="B8313" i="1"/>
  <c r="C8313" i="1"/>
  <c r="D8313" i="1"/>
  <c r="E8313" i="1"/>
  <c r="F8313" i="1"/>
  <c r="G8313" i="1"/>
  <c r="I8313" i="1"/>
  <c r="J8313" i="1"/>
  <c r="K8313" i="1"/>
  <c r="L8313" i="1"/>
  <c r="M8313" i="1"/>
  <c r="N8313" i="1"/>
  <c r="O8313" i="1"/>
  <c r="P8313" i="1"/>
  <c r="Q8313" i="1"/>
  <c r="R8313" i="1"/>
  <c r="S8313" i="1"/>
  <c r="T8313" i="1"/>
  <c r="U8313" i="1"/>
  <c r="V8313" i="1"/>
  <c r="W8313" i="1"/>
  <c r="X8313" i="1"/>
  <c r="Y8313" i="1"/>
  <c r="Z8313" i="1"/>
  <c r="A8314" i="1"/>
  <c r="B8314" i="1"/>
  <c r="C8314" i="1"/>
  <c r="D8314" i="1"/>
  <c r="E8314" i="1"/>
  <c r="F8314" i="1"/>
  <c r="G8314" i="1"/>
  <c r="I8314" i="1"/>
  <c r="J8314" i="1"/>
  <c r="K8314" i="1"/>
  <c r="L8314" i="1"/>
  <c r="M8314" i="1"/>
  <c r="N8314" i="1"/>
  <c r="O8314" i="1"/>
  <c r="P8314" i="1"/>
  <c r="Q8314" i="1"/>
  <c r="R8314" i="1"/>
  <c r="S8314" i="1"/>
  <c r="T8314" i="1"/>
  <c r="U8314" i="1"/>
  <c r="V8314" i="1"/>
  <c r="W8314" i="1"/>
  <c r="X8314" i="1"/>
  <c r="Y8314" i="1"/>
  <c r="Z8314" i="1"/>
  <c r="A8315" i="1"/>
  <c r="B8315" i="1"/>
  <c r="C8315" i="1"/>
  <c r="D8315" i="1"/>
  <c r="E8315" i="1"/>
  <c r="F8315" i="1"/>
  <c r="G8315" i="1"/>
  <c r="I8315" i="1"/>
  <c r="J8315" i="1"/>
  <c r="K8315" i="1"/>
  <c r="L8315" i="1"/>
  <c r="M8315" i="1"/>
  <c r="N8315" i="1"/>
  <c r="O8315" i="1"/>
  <c r="P8315" i="1"/>
  <c r="Q8315" i="1"/>
  <c r="R8315" i="1"/>
  <c r="S8315" i="1"/>
  <c r="T8315" i="1"/>
  <c r="U8315" i="1"/>
  <c r="V8315" i="1"/>
  <c r="W8315" i="1"/>
  <c r="X8315" i="1"/>
  <c r="Y8315" i="1"/>
  <c r="Z8315" i="1"/>
  <c r="A8316" i="1"/>
  <c r="B8316" i="1"/>
  <c r="C8316" i="1"/>
  <c r="D8316" i="1"/>
  <c r="E8316" i="1"/>
  <c r="F8316" i="1"/>
  <c r="G8316" i="1"/>
  <c r="I8316" i="1"/>
  <c r="J8316" i="1"/>
  <c r="K8316" i="1"/>
  <c r="L8316" i="1"/>
  <c r="M8316" i="1"/>
  <c r="N8316" i="1"/>
  <c r="O8316" i="1"/>
  <c r="P8316" i="1"/>
  <c r="Q8316" i="1"/>
  <c r="R8316" i="1"/>
  <c r="S8316" i="1"/>
  <c r="T8316" i="1"/>
  <c r="U8316" i="1"/>
  <c r="V8316" i="1"/>
  <c r="W8316" i="1"/>
  <c r="X8316" i="1"/>
  <c r="Y8316" i="1"/>
  <c r="Z8316" i="1"/>
  <c r="A8317" i="1"/>
  <c r="B8317" i="1"/>
  <c r="C8317" i="1"/>
  <c r="D8317" i="1"/>
  <c r="E8317" i="1"/>
  <c r="F8317" i="1"/>
  <c r="G8317" i="1"/>
  <c r="I8317" i="1"/>
  <c r="J8317" i="1"/>
  <c r="K8317" i="1"/>
  <c r="L8317" i="1"/>
  <c r="M8317" i="1"/>
  <c r="N8317" i="1"/>
  <c r="O8317" i="1"/>
  <c r="P8317" i="1"/>
  <c r="Q8317" i="1"/>
  <c r="R8317" i="1"/>
  <c r="S8317" i="1"/>
  <c r="T8317" i="1"/>
  <c r="U8317" i="1"/>
  <c r="V8317" i="1"/>
  <c r="W8317" i="1"/>
  <c r="X8317" i="1"/>
  <c r="Y8317" i="1"/>
  <c r="Z8317" i="1"/>
  <c r="A8318" i="1"/>
  <c r="B8318" i="1"/>
  <c r="C8318" i="1"/>
  <c r="D8318" i="1"/>
  <c r="E8318" i="1"/>
  <c r="F8318" i="1"/>
  <c r="G8318" i="1"/>
  <c r="I8318" i="1"/>
  <c r="J8318" i="1"/>
  <c r="K8318" i="1"/>
  <c r="L8318" i="1"/>
  <c r="M8318" i="1"/>
  <c r="N8318" i="1"/>
  <c r="O8318" i="1"/>
  <c r="P8318" i="1"/>
  <c r="Q8318" i="1"/>
  <c r="R8318" i="1"/>
  <c r="S8318" i="1"/>
  <c r="T8318" i="1"/>
  <c r="U8318" i="1"/>
  <c r="V8318" i="1"/>
  <c r="W8318" i="1"/>
  <c r="X8318" i="1"/>
  <c r="Y8318" i="1"/>
  <c r="Z8318" i="1"/>
  <c r="A8319" i="1"/>
  <c r="B8319" i="1"/>
  <c r="C8319" i="1"/>
  <c r="D8319" i="1"/>
  <c r="E8319" i="1"/>
  <c r="F8319" i="1"/>
  <c r="G8319" i="1"/>
  <c r="I8319" i="1"/>
  <c r="J8319" i="1"/>
  <c r="K8319" i="1"/>
  <c r="L8319" i="1"/>
  <c r="M8319" i="1"/>
  <c r="N8319" i="1"/>
  <c r="O8319" i="1"/>
  <c r="P8319" i="1"/>
  <c r="Q8319" i="1"/>
  <c r="R8319" i="1"/>
  <c r="S8319" i="1"/>
  <c r="T8319" i="1"/>
  <c r="U8319" i="1"/>
  <c r="V8319" i="1"/>
  <c r="W8319" i="1"/>
  <c r="X8319" i="1"/>
  <c r="Y8319" i="1"/>
  <c r="Z8319" i="1"/>
  <c r="A8320" i="1"/>
  <c r="B8320" i="1"/>
  <c r="C8320" i="1"/>
  <c r="D8320" i="1"/>
  <c r="E8320" i="1"/>
  <c r="F8320" i="1"/>
  <c r="G8320" i="1"/>
  <c r="I8320" i="1"/>
  <c r="J8320" i="1"/>
  <c r="K8320" i="1"/>
  <c r="L8320" i="1"/>
  <c r="M8320" i="1"/>
  <c r="N8320" i="1"/>
  <c r="O8320" i="1"/>
  <c r="P8320" i="1"/>
  <c r="Q8320" i="1"/>
  <c r="R8320" i="1"/>
  <c r="S8320" i="1"/>
  <c r="T8320" i="1"/>
  <c r="U8320" i="1"/>
  <c r="V8320" i="1"/>
  <c r="W8320" i="1"/>
  <c r="X8320" i="1"/>
  <c r="Y8320" i="1"/>
  <c r="Z8320" i="1"/>
  <c r="A8321" i="1"/>
  <c r="B8321" i="1"/>
  <c r="C8321" i="1"/>
  <c r="D8321" i="1"/>
  <c r="E8321" i="1"/>
  <c r="F8321" i="1"/>
  <c r="G8321" i="1"/>
  <c r="I8321" i="1"/>
  <c r="J8321" i="1"/>
  <c r="K8321" i="1"/>
  <c r="L8321" i="1"/>
  <c r="M8321" i="1"/>
  <c r="N8321" i="1"/>
  <c r="O8321" i="1"/>
  <c r="P8321" i="1"/>
  <c r="Q8321" i="1"/>
  <c r="R8321" i="1"/>
  <c r="S8321" i="1"/>
  <c r="T8321" i="1"/>
  <c r="U8321" i="1"/>
  <c r="V8321" i="1"/>
  <c r="W8321" i="1"/>
  <c r="X8321" i="1"/>
  <c r="Y8321" i="1"/>
  <c r="Z8321" i="1"/>
  <c r="A8322" i="1"/>
  <c r="B8322" i="1"/>
  <c r="C8322" i="1"/>
  <c r="D8322" i="1"/>
  <c r="E8322" i="1"/>
  <c r="F8322" i="1"/>
  <c r="G8322" i="1"/>
  <c r="I8322" i="1"/>
  <c r="J8322" i="1"/>
  <c r="K8322" i="1"/>
  <c r="L8322" i="1"/>
  <c r="M8322" i="1"/>
  <c r="N8322" i="1"/>
  <c r="O8322" i="1"/>
  <c r="P8322" i="1"/>
  <c r="Q8322" i="1"/>
  <c r="R8322" i="1"/>
  <c r="S8322" i="1"/>
  <c r="T8322" i="1"/>
  <c r="U8322" i="1"/>
  <c r="V8322" i="1"/>
  <c r="W8322" i="1"/>
  <c r="X8322" i="1"/>
  <c r="Y8322" i="1"/>
  <c r="Z8322" i="1"/>
  <c r="A8323" i="1"/>
  <c r="B8323" i="1"/>
  <c r="C8323" i="1"/>
  <c r="D8323" i="1"/>
  <c r="E8323" i="1"/>
  <c r="F8323" i="1"/>
  <c r="G8323" i="1"/>
  <c r="I8323" i="1"/>
  <c r="J8323" i="1"/>
  <c r="K8323" i="1"/>
  <c r="L8323" i="1"/>
  <c r="M8323" i="1"/>
  <c r="N8323" i="1"/>
  <c r="O8323" i="1"/>
  <c r="P8323" i="1"/>
  <c r="Q8323" i="1"/>
  <c r="R8323" i="1"/>
  <c r="S8323" i="1"/>
  <c r="T8323" i="1"/>
  <c r="U8323" i="1"/>
  <c r="V8323" i="1"/>
  <c r="W8323" i="1"/>
  <c r="X8323" i="1"/>
  <c r="Y8323" i="1"/>
  <c r="Z8323" i="1"/>
  <c r="A8324" i="1"/>
  <c r="B8324" i="1"/>
  <c r="C8324" i="1"/>
  <c r="D8324" i="1"/>
  <c r="E8324" i="1"/>
  <c r="F8324" i="1"/>
  <c r="G8324" i="1"/>
  <c r="I8324" i="1"/>
  <c r="J8324" i="1"/>
  <c r="K8324" i="1"/>
  <c r="L8324" i="1"/>
  <c r="M8324" i="1"/>
  <c r="N8324" i="1"/>
  <c r="O8324" i="1"/>
  <c r="P8324" i="1"/>
  <c r="Q8324" i="1"/>
  <c r="R8324" i="1"/>
  <c r="S8324" i="1"/>
  <c r="T8324" i="1"/>
  <c r="U8324" i="1"/>
  <c r="V8324" i="1"/>
  <c r="W8324" i="1"/>
  <c r="X8324" i="1"/>
  <c r="Y8324" i="1"/>
  <c r="Z8324" i="1"/>
  <c r="A8325" i="1"/>
  <c r="B8325" i="1"/>
  <c r="C8325" i="1"/>
  <c r="D8325" i="1"/>
  <c r="E8325" i="1"/>
  <c r="F8325" i="1"/>
  <c r="G8325" i="1"/>
  <c r="I8325" i="1"/>
  <c r="J8325" i="1"/>
  <c r="K8325" i="1"/>
  <c r="L8325" i="1"/>
  <c r="M8325" i="1"/>
  <c r="N8325" i="1"/>
  <c r="O8325" i="1"/>
  <c r="P8325" i="1"/>
  <c r="Q8325" i="1"/>
  <c r="R8325" i="1"/>
  <c r="S8325" i="1"/>
  <c r="T8325" i="1"/>
  <c r="U8325" i="1"/>
  <c r="V8325" i="1"/>
  <c r="W8325" i="1"/>
  <c r="X8325" i="1"/>
  <c r="Y8325" i="1"/>
  <c r="Z8325" i="1"/>
  <c r="A8326" i="1"/>
  <c r="B8326" i="1"/>
  <c r="C8326" i="1"/>
  <c r="D8326" i="1"/>
  <c r="E8326" i="1"/>
  <c r="F8326" i="1"/>
  <c r="G8326" i="1"/>
  <c r="I8326" i="1"/>
  <c r="J8326" i="1"/>
  <c r="K8326" i="1"/>
  <c r="L8326" i="1"/>
  <c r="M8326" i="1"/>
  <c r="N8326" i="1"/>
  <c r="O8326" i="1"/>
  <c r="P8326" i="1"/>
  <c r="Q8326" i="1"/>
  <c r="R8326" i="1"/>
  <c r="S8326" i="1"/>
  <c r="T8326" i="1"/>
  <c r="U8326" i="1"/>
  <c r="V8326" i="1"/>
  <c r="W8326" i="1"/>
  <c r="X8326" i="1"/>
  <c r="Y8326" i="1"/>
  <c r="Z8326" i="1"/>
  <c r="A8327" i="1"/>
  <c r="B8327" i="1"/>
  <c r="C8327" i="1"/>
  <c r="D8327" i="1"/>
  <c r="E8327" i="1"/>
  <c r="F8327" i="1"/>
  <c r="G8327" i="1"/>
  <c r="I8327" i="1"/>
  <c r="J8327" i="1"/>
  <c r="K8327" i="1"/>
  <c r="L8327" i="1"/>
  <c r="M8327" i="1"/>
  <c r="N8327" i="1"/>
  <c r="O8327" i="1"/>
  <c r="P8327" i="1"/>
  <c r="Q8327" i="1"/>
  <c r="R8327" i="1"/>
  <c r="S8327" i="1"/>
  <c r="T8327" i="1"/>
  <c r="U8327" i="1"/>
  <c r="V8327" i="1"/>
  <c r="W8327" i="1"/>
  <c r="X8327" i="1"/>
  <c r="Y8327" i="1"/>
  <c r="Z8327" i="1"/>
  <c r="A8328" i="1"/>
  <c r="B8328" i="1"/>
  <c r="C8328" i="1"/>
  <c r="D8328" i="1"/>
  <c r="E8328" i="1"/>
  <c r="F8328" i="1"/>
  <c r="G8328" i="1"/>
  <c r="I8328" i="1"/>
  <c r="J8328" i="1"/>
  <c r="K8328" i="1"/>
  <c r="L8328" i="1"/>
  <c r="M8328" i="1"/>
  <c r="N8328" i="1"/>
  <c r="O8328" i="1"/>
  <c r="P8328" i="1"/>
  <c r="Q8328" i="1"/>
  <c r="R8328" i="1"/>
  <c r="S8328" i="1"/>
  <c r="T8328" i="1"/>
  <c r="U8328" i="1"/>
  <c r="V8328" i="1"/>
  <c r="W8328" i="1"/>
  <c r="X8328" i="1"/>
  <c r="Y8328" i="1"/>
  <c r="Z8328" i="1"/>
  <c r="A8329" i="1"/>
  <c r="B8329" i="1"/>
  <c r="C8329" i="1"/>
  <c r="D8329" i="1"/>
  <c r="E8329" i="1"/>
  <c r="F8329" i="1"/>
  <c r="G8329" i="1"/>
  <c r="I8329" i="1"/>
  <c r="J8329" i="1"/>
  <c r="K8329" i="1"/>
  <c r="L8329" i="1"/>
  <c r="M8329" i="1"/>
  <c r="N8329" i="1"/>
  <c r="O8329" i="1"/>
  <c r="P8329" i="1"/>
  <c r="Q8329" i="1"/>
  <c r="R8329" i="1"/>
  <c r="S8329" i="1"/>
  <c r="T8329" i="1"/>
  <c r="U8329" i="1"/>
  <c r="V8329" i="1"/>
  <c r="W8329" i="1"/>
  <c r="X8329" i="1"/>
  <c r="Y8329" i="1"/>
  <c r="Z8329" i="1"/>
  <c r="A8330" i="1"/>
  <c r="B8330" i="1"/>
  <c r="C8330" i="1"/>
  <c r="D8330" i="1"/>
  <c r="E8330" i="1"/>
  <c r="F8330" i="1"/>
  <c r="G8330" i="1"/>
  <c r="I8330" i="1"/>
  <c r="J8330" i="1"/>
  <c r="K8330" i="1"/>
  <c r="L8330" i="1"/>
  <c r="M8330" i="1"/>
  <c r="N8330" i="1"/>
  <c r="O8330" i="1"/>
  <c r="P8330" i="1"/>
  <c r="Q8330" i="1"/>
  <c r="R8330" i="1"/>
  <c r="S8330" i="1"/>
  <c r="T8330" i="1"/>
  <c r="U8330" i="1"/>
  <c r="V8330" i="1"/>
  <c r="W8330" i="1"/>
  <c r="X8330" i="1"/>
  <c r="Y8330" i="1"/>
  <c r="Z8330" i="1"/>
  <c r="A8331" i="1"/>
  <c r="B8331" i="1"/>
  <c r="C8331" i="1"/>
  <c r="D8331" i="1"/>
  <c r="E8331" i="1"/>
  <c r="F8331" i="1"/>
  <c r="G8331" i="1"/>
  <c r="I8331" i="1"/>
  <c r="J8331" i="1"/>
  <c r="K8331" i="1"/>
  <c r="L8331" i="1"/>
  <c r="M8331" i="1"/>
  <c r="N8331" i="1"/>
  <c r="O8331" i="1"/>
  <c r="P8331" i="1"/>
  <c r="Q8331" i="1"/>
  <c r="R8331" i="1"/>
  <c r="S8331" i="1"/>
  <c r="T8331" i="1"/>
  <c r="U8331" i="1"/>
  <c r="V8331" i="1"/>
  <c r="W8331" i="1"/>
  <c r="X8331" i="1"/>
  <c r="Y8331" i="1"/>
  <c r="Z8331" i="1"/>
  <c r="A8332" i="1"/>
  <c r="B8332" i="1"/>
  <c r="C8332" i="1"/>
  <c r="D8332" i="1"/>
  <c r="E8332" i="1"/>
  <c r="F8332" i="1"/>
  <c r="G8332" i="1"/>
  <c r="I8332" i="1"/>
  <c r="J8332" i="1"/>
  <c r="K8332" i="1"/>
  <c r="L8332" i="1"/>
  <c r="M8332" i="1"/>
  <c r="N8332" i="1"/>
  <c r="O8332" i="1"/>
  <c r="P8332" i="1"/>
  <c r="Q8332" i="1"/>
  <c r="R8332" i="1"/>
  <c r="S8332" i="1"/>
  <c r="T8332" i="1"/>
  <c r="U8332" i="1"/>
  <c r="V8332" i="1"/>
  <c r="W8332" i="1"/>
  <c r="X8332" i="1"/>
  <c r="Y8332" i="1"/>
  <c r="Z8332" i="1"/>
  <c r="A8333" i="1"/>
  <c r="B8333" i="1"/>
  <c r="C8333" i="1"/>
  <c r="D8333" i="1"/>
  <c r="E8333" i="1"/>
  <c r="F8333" i="1"/>
  <c r="G8333" i="1"/>
  <c r="I8333" i="1"/>
  <c r="J8333" i="1"/>
  <c r="K8333" i="1"/>
  <c r="L8333" i="1"/>
  <c r="M8333" i="1"/>
  <c r="N8333" i="1"/>
  <c r="O8333" i="1"/>
  <c r="P8333" i="1"/>
  <c r="Q8333" i="1"/>
  <c r="R8333" i="1"/>
  <c r="S8333" i="1"/>
  <c r="T8333" i="1"/>
  <c r="U8333" i="1"/>
  <c r="V8333" i="1"/>
  <c r="W8333" i="1"/>
  <c r="X8333" i="1"/>
  <c r="Y8333" i="1"/>
  <c r="Z8333" i="1"/>
  <c r="A8334" i="1"/>
  <c r="B8334" i="1"/>
  <c r="C8334" i="1"/>
  <c r="D8334" i="1"/>
  <c r="E8334" i="1"/>
  <c r="F8334" i="1"/>
  <c r="G8334" i="1"/>
  <c r="I8334" i="1"/>
  <c r="J8334" i="1"/>
  <c r="K8334" i="1"/>
  <c r="L8334" i="1"/>
  <c r="M8334" i="1"/>
  <c r="N8334" i="1"/>
  <c r="O8334" i="1"/>
  <c r="P8334" i="1"/>
  <c r="Q8334" i="1"/>
  <c r="R8334" i="1"/>
  <c r="S8334" i="1"/>
  <c r="T8334" i="1"/>
  <c r="U8334" i="1"/>
  <c r="V8334" i="1"/>
  <c r="W8334" i="1"/>
  <c r="X8334" i="1"/>
  <c r="Y8334" i="1"/>
  <c r="Z8334" i="1"/>
  <c r="A8335" i="1"/>
  <c r="B8335" i="1"/>
  <c r="C8335" i="1"/>
  <c r="D8335" i="1"/>
  <c r="E8335" i="1"/>
  <c r="F8335" i="1"/>
  <c r="G8335" i="1"/>
  <c r="I8335" i="1"/>
  <c r="J8335" i="1"/>
  <c r="K8335" i="1"/>
  <c r="L8335" i="1"/>
  <c r="M8335" i="1"/>
  <c r="N8335" i="1"/>
  <c r="O8335" i="1"/>
  <c r="P8335" i="1"/>
  <c r="Q8335" i="1"/>
  <c r="R8335" i="1"/>
  <c r="S8335" i="1"/>
  <c r="T8335" i="1"/>
  <c r="U8335" i="1"/>
  <c r="V8335" i="1"/>
  <c r="W8335" i="1"/>
  <c r="X8335" i="1"/>
  <c r="Y8335" i="1"/>
  <c r="Z8335" i="1"/>
  <c r="A8336" i="1"/>
  <c r="B8336" i="1"/>
  <c r="C8336" i="1"/>
  <c r="D8336" i="1"/>
  <c r="E8336" i="1"/>
  <c r="F8336" i="1"/>
  <c r="G8336" i="1"/>
  <c r="I8336" i="1"/>
  <c r="J8336" i="1"/>
  <c r="K8336" i="1"/>
  <c r="L8336" i="1"/>
  <c r="M8336" i="1"/>
  <c r="N8336" i="1"/>
  <c r="O8336" i="1"/>
  <c r="P8336" i="1"/>
  <c r="Q8336" i="1"/>
  <c r="R8336" i="1"/>
  <c r="S8336" i="1"/>
  <c r="T8336" i="1"/>
  <c r="U8336" i="1"/>
  <c r="V8336" i="1"/>
  <c r="W8336" i="1"/>
  <c r="X8336" i="1"/>
  <c r="Y8336" i="1"/>
  <c r="Z8336" i="1"/>
  <c r="A8337" i="1"/>
  <c r="B8337" i="1"/>
  <c r="C8337" i="1"/>
  <c r="D8337" i="1"/>
  <c r="E8337" i="1"/>
  <c r="F8337" i="1"/>
  <c r="G8337" i="1"/>
  <c r="I8337" i="1"/>
  <c r="J8337" i="1"/>
  <c r="K8337" i="1"/>
  <c r="L8337" i="1"/>
  <c r="M8337" i="1"/>
  <c r="N8337" i="1"/>
  <c r="O8337" i="1"/>
  <c r="P8337" i="1"/>
  <c r="Q8337" i="1"/>
  <c r="R8337" i="1"/>
  <c r="S8337" i="1"/>
  <c r="T8337" i="1"/>
  <c r="U8337" i="1"/>
  <c r="V8337" i="1"/>
  <c r="W8337" i="1"/>
  <c r="X8337" i="1"/>
  <c r="Y8337" i="1"/>
  <c r="Z8337" i="1"/>
  <c r="A8338" i="1"/>
  <c r="B8338" i="1"/>
  <c r="C8338" i="1"/>
  <c r="D8338" i="1"/>
  <c r="E8338" i="1"/>
  <c r="F8338" i="1"/>
  <c r="G8338" i="1"/>
  <c r="I8338" i="1"/>
  <c r="J8338" i="1"/>
  <c r="K8338" i="1"/>
  <c r="L8338" i="1"/>
  <c r="M8338" i="1"/>
  <c r="N8338" i="1"/>
  <c r="O8338" i="1"/>
  <c r="P8338" i="1"/>
  <c r="Q8338" i="1"/>
  <c r="R8338" i="1"/>
  <c r="S8338" i="1"/>
  <c r="T8338" i="1"/>
  <c r="U8338" i="1"/>
  <c r="V8338" i="1"/>
  <c r="W8338" i="1"/>
  <c r="X8338" i="1"/>
  <c r="Y8338" i="1"/>
  <c r="Z8338" i="1"/>
  <c r="A8339" i="1"/>
  <c r="B8339" i="1"/>
  <c r="C8339" i="1"/>
  <c r="D8339" i="1"/>
  <c r="E8339" i="1"/>
  <c r="F8339" i="1"/>
  <c r="G8339" i="1"/>
  <c r="I8339" i="1"/>
  <c r="J8339" i="1"/>
  <c r="K8339" i="1"/>
  <c r="L8339" i="1"/>
  <c r="M8339" i="1"/>
  <c r="N8339" i="1"/>
  <c r="O8339" i="1"/>
  <c r="P8339" i="1"/>
  <c r="Q8339" i="1"/>
  <c r="R8339" i="1"/>
  <c r="S8339" i="1"/>
  <c r="T8339" i="1"/>
  <c r="U8339" i="1"/>
  <c r="V8339" i="1"/>
  <c r="W8339" i="1"/>
  <c r="X8339" i="1"/>
  <c r="Y8339" i="1"/>
  <c r="Z8339" i="1"/>
  <c r="A8340" i="1"/>
  <c r="B8340" i="1"/>
  <c r="C8340" i="1"/>
  <c r="D8340" i="1"/>
  <c r="E8340" i="1"/>
  <c r="F8340" i="1"/>
  <c r="G8340" i="1"/>
  <c r="I8340" i="1"/>
  <c r="J8340" i="1"/>
  <c r="K8340" i="1"/>
  <c r="L8340" i="1"/>
  <c r="M8340" i="1"/>
  <c r="N8340" i="1"/>
  <c r="O8340" i="1"/>
  <c r="P8340" i="1"/>
  <c r="Q8340" i="1"/>
  <c r="R8340" i="1"/>
  <c r="S8340" i="1"/>
  <c r="T8340" i="1"/>
  <c r="U8340" i="1"/>
  <c r="V8340" i="1"/>
  <c r="W8340" i="1"/>
  <c r="X8340" i="1"/>
  <c r="Y8340" i="1"/>
  <c r="Z8340" i="1"/>
  <c r="A8341" i="1"/>
  <c r="B8341" i="1"/>
  <c r="C8341" i="1"/>
  <c r="D8341" i="1"/>
  <c r="E8341" i="1"/>
  <c r="F8341" i="1"/>
  <c r="G8341" i="1"/>
  <c r="I8341" i="1"/>
  <c r="J8341" i="1"/>
  <c r="K8341" i="1"/>
  <c r="L8341" i="1"/>
  <c r="M8341" i="1"/>
  <c r="N8341" i="1"/>
  <c r="O8341" i="1"/>
  <c r="P8341" i="1"/>
  <c r="Q8341" i="1"/>
  <c r="R8341" i="1"/>
  <c r="S8341" i="1"/>
  <c r="T8341" i="1"/>
  <c r="U8341" i="1"/>
  <c r="V8341" i="1"/>
  <c r="W8341" i="1"/>
  <c r="X8341" i="1"/>
  <c r="Y8341" i="1"/>
  <c r="Z8341" i="1"/>
  <c r="A8342" i="1"/>
  <c r="B8342" i="1"/>
  <c r="C8342" i="1"/>
  <c r="D8342" i="1"/>
  <c r="E8342" i="1"/>
  <c r="F8342" i="1"/>
  <c r="G8342" i="1"/>
  <c r="I8342" i="1"/>
  <c r="J8342" i="1"/>
  <c r="K8342" i="1"/>
  <c r="L8342" i="1"/>
  <c r="M8342" i="1"/>
  <c r="N8342" i="1"/>
  <c r="O8342" i="1"/>
  <c r="P8342" i="1"/>
  <c r="Q8342" i="1"/>
  <c r="R8342" i="1"/>
  <c r="S8342" i="1"/>
  <c r="T8342" i="1"/>
  <c r="U8342" i="1"/>
  <c r="V8342" i="1"/>
  <c r="W8342" i="1"/>
  <c r="X8342" i="1"/>
  <c r="Y8342" i="1"/>
  <c r="Z8342" i="1"/>
  <c r="A8343" i="1"/>
  <c r="B8343" i="1"/>
  <c r="C8343" i="1"/>
  <c r="D8343" i="1"/>
  <c r="E8343" i="1"/>
  <c r="F8343" i="1"/>
  <c r="G8343" i="1"/>
  <c r="I8343" i="1"/>
  <c r="J8343" i="1"/>
  <c r="K8343" i="1"/>
  <c r="L8343" i="1"/>
  <c r="M8343" i="1"/>
  <c r="N8343" i="1"/>
  <c r="O8343" i="1"/>
  <c r="P8343" i="1"/>
  <c r="Q8343" i="1"/>
  <c r="R8343" i="1"/>
  <c r="S8343" i="1"/>
  <c r="T8343" i="1"/>
  <c r="U8343" i="1"/>
  <c r="V8343" i="1"/>
  <c r="W8343" i="1"/>
  <c r="X8343" i="1"/>
  <c r="Y8343" i="1"/>
  <c r="Z8343" i="1"/>
  <c r="A8344" i="1"/>
  <c r="B8344" i="1"/>
  <c r="C8344" i="1"/>
  <c r="D8344" i="1"/>
  <c r="E8344" i="1"/>
  <c r="F8344" i="1"/>
  <c r="G8344" i="1"/>
  <c r="I8344" i="1"/>
  <c r="J8344" i="1"/>
  <c r="K8344" i="1"/>
  <c r="L8344" i="1"/>
  <c r="M8344" i="1"/>
  <c r="N8344" i="1"/>
  <c r="O8344" i="1"/>
  <c r="P8344" i="1"/>
  <c r="Q8344" i="1"/>
  <c r="R8344" i="1"/>
  <c r="S8344" i="1"/>
  <c r="T8344" i="1"/>
  <c r="U8344" i="1"/>
  <c r="V8344" i="1"/>
  <c r="W8344" i="1"/>
  <c r="X8344" i="1"/>
  <c r="Y8344" i="1"/>
  <c r="Z8344" i="1"/>
  <c r="A8345" i="1"/>
  <c r="B8345" i="1"/>
  <c r="C8345" i="1"/>
  <c r="D8345" i="1"/>
  <c r="E8345" i="1"/>
  <c r="F8345" i="1"/>
  <c r="G8345" i="1"/>
  <c r="I8345" i="1"/>
  <c r="J8345" i="1"/>
  <c r="K8345" i="1"/>
  <c r="L8345" i="1"/>
  <c r="M8345" i="1"/>
  <c r="N8345" i="1"/>
  <c r="O8345" i="1"/>
  <c r="P8345" i="1"/>
  <c r="Q8345" i="1"/>
  <c r="R8345" i="1"/>
  <c r="S8345" i="1"/>
  <c r="T8345" i="1"/>
  <c r="U8345" i="1"/>
  <c r="V8345" i="1"/>
  <c r="W8345" i="1"/>
  <c r="X8345" i="1"/>
  <c r="Y8345" i="1"/>
  <c r="Z8345" i="1"/>
  <c r="A8346" i="1"/>
  <c r="B8346" i="1"/>
  <c r="C8346" i="1"/>
  <c r="D8346" i="1"/>
  <c r="E8346" i="1"/>
  <c r="F8346" i="1"/>
  <c r="G8346" i="1"/>
  <c r="I8346" i="1"/>
  <c r="J8346" i="1"/>
  <c r="K8346" i="1"/>
  <c r="L8346" i="1"/>
  <c r="M8346" i="1"/>
  <c r="N8346" i="1"/>
  <c r="O8346" i="1"/>
  <c r="P8346" i="1"/>
  <c r="Q8346" i="1"/>
  <c r="R8346" i="1"/>
  <c r="S8346" i="1"/>
  <c r="T8346" i="1"/>
  <c r="U8346" i="1"/>
  <c r="V8346" i="1"/>
  <c r="W8346" i="1"/>
  <c r="X8346" i="1"/>
  <c r="Y8346" i="1"/>
  <c r="Z8346" i="1"/>
  <c r="A8347" i="1"/>
  <c r="B8347" i="1"/>
  <c r="C8347" i="1"/>
  <c r="D8347" i="1"/>
  <c r="E8347" i="1"/>
  <c r="F8347" i="1"/>
  <c r="G8347" i="1"/>
  <c r="I8347" i="1"/>
  <c r="J8347" i="1"/>
  <c r="K8347" i="1"/>
  <c r="L8347" i="1"/>
  <c r="M8347" i="1"/>
  <c r="N8347" i="1"/>
  <c r="O8347" i="1"/>
  <c r="P8347" i="1"/>
  <c r="Q8347" i="1"/>
  <c r="R8347" i="1"/>
  <c r="S8347" i="1"/>
  <c r="T8347" i="1"/>
  <c r="U8347" i="1"/>
  <c r="V8347" i="1"/>
  <c r="W8347" i="1"/>
  <c r="X8347" i="1"/>
  <c r="Y8347" i="1"/>
  <c r="Z8347" i="1"/>
  <c r="A8348" i="1"/>
  <c r="B8348" i="1"/>
  <c r="C8348" i="1"/>
  <c r="D8348" i="1"/>
  <c r="E8348" i="1"/>
  <c r="F8348" i="1"/>
  <c r="G8348" i="1"/>
  <c r="I8348" i="1"/>
  <c r="J8348" i="1"/>
  <c r="K8348" i="1"/>
  <c r="L8348" i="1"/>
  <c r="M8348" i="1"/>
  <c r="N8348" i="1"/>
  <c r="O8348" i="1"/>
  <c r="P8348" i="1"/>
  <c r="Q8348" i="1"/>
  <c r="R8348" i="1"/>
  <c r="S8348" i="1"/>
  <c r="T8348" i="1"/>
  <c r="U8348" i="1"/>
  <c r="V8348" i="1"/>
  <c r="W8348" i="1"/>
  <c r="X8348" i="1"/>
  <c r="Y8348" i="1"/>
  <c r="Z8348" i="1"/>
  <c r="A8349" i="1"/>
  <c r="B8349" i="1"/>
  <c r="C8349" i="1"/>
  <c r="D8349" i="1"/>
  <c r="E8349" i="1"/>
  <c r="F8349" i="1"/>
  <c r="G8349" i="1"/>
  <c r="I8349" i="1"/>
  <c r="J8349" i="1"/>
  <c r="K8349" i="1"/>
  <c r="L8349" i="1"/>
  <c r="M8349" i="1"/>
  <c r="N8349" i="1"/>
  <c r="O8349" i="1"/>
  <c r="P8349" i="1"/>
  <c r="Q8349" i="1"/>
  <c r="R8349" i="1"/>
  <c r="S8349" i="1"/>
  <c r="T8349" i="1"/>
  <c r="U8349" i="1"/>
  <c r="V8349" i="1"/>
  <c r="W8349" i="1"/>
  <c r="X8349" i="1"/>
  <c r="Y8349" i="1"/>
  <c r="Z8349" i="1"/>
  <c r="A8350" i="1"/>
  <c r="B8350" i="1"/>
  <c r="C8350" i="1"/>
  <c r="D8350" i="1"/>
  <c r="E8350" i="1"/>
  <c r="F8350" i="1"/>
  <c r="G8350" i="1"/>
  <c r="I8350" i="1"/>
  <c r="J8350" i="1"/>
  <c r="K8350" i="1"/>
  <c r="L8350" i="1"/>
  <c r="M8350" i="1"/>
  <c r="N8350" i="1"/>
  <c r="O8350" i="1"/>
  <c r="P8350" i="1"/>
  <c r="Q8350" i="1"/>
  <c r="R8350" i="1"/>
  <c r="S8350" i="1"/>
  <c r="T8350" i="1"/>
  <c r="U8350" i="1"/>
  <c r="V8350" i="1"/>
  <c r="W8350" i="1"/>
  <c r="X8350" i="1"/>
  <c r="Y8350" i="1"/>
  <c r="Z8350" i="1"/>
  <c r="A8351" i="1"/>
  <c r="B8351" i="1"/>
  <c r="C8351" i="1"/>
  <c r="D8351" i="1"/>
  <c r="E8351" i="1"/>
  <c r="F8351" i="1"/>
  <c r="G8351" i="1"/>
  <c r="I8351" i="1"/>
  <c r="J8351" i="1"/>
  <c r="K8351" i="1"/>
  <c r="L8351" i="1"/>
  <c r="M8351" i="1"/>
  <c r="N8351" i="1"/>
  <c r="O8351" i="1"/>
  <c r="P8351" i="1"/>
  <c r="Q8351" i="1"/>
  <c r="R8351" i="1"/>
  <c r="S8351" i="1"/>
  <c r="T8351" i="1"/>
  <c r="U8351" i="1"/>
  <c r="V8351" i="1"/>
  <c r="W8351" i="1"/>
  <c r="X8351" i="1"/>
  <c r="Y8351" i="1"/>
  <c r="Z8351" i="1"/>
  <c r="A8352" i="1"/>
  <c r="B8352" i="1"/>
  <c r="C8352" i="1"/>
  <c r="D8352" i="1"/>
  <c r="E8352" i="1"/>
  <c r="F8352" i="1"/>
  <c r="G8352" i="1"/>
  <c r="I8352" i="1"/>
  <c r="J8352" i="1"/>
  <c r="K8352" i="1"/>
  <c r="L8352" i="1"/>
  <c r="M8352" i="1"/>
  <c r="N8352" i="1"/>
  <c r="O8352" i="1"/>
  <c r="P8352" i="1"/>
  <c r="Q8352" i="1"/>
  <c r="R8352" i="1"/>
  <c r="S8352" i="1"/>
  <c r="T8352" i="1"/>
  <c r="U8352" i="1"/>
  <c r="V8352" i="1"/>
  <c r="W8352" i="1"/>
  <c r="X8352" i="1"/>
  <c r="Y8352" i="1"/>
  <c r="Z8352" i="1"/>
  <c r="A8353" i="1"/>
  <c r="B8353" i="1"/>
  <c r="C8353" i="1"/>
  <c r="D8353" i="1"/>
  <c r="E8353" i="1"/>
  <c r="F8353" i="1"/>
  <c r="G8353" i="1"/>
  <c r="I8353" i="1"/>
  <c r="J8353" i="1"/>
  <c r="K8353" i="1"/>
  <c r="L8353" i="1"/>
  <c r="M8353" i="1"/>
  <c r="N8353" i="1"/>
  <c r="O8353" i="1"/>
  <c r="P8353" i="1"/>
  <c r="Q8353" i="1"/>
  <c r="R8353" i="1"/>
  <c r="S8353" i="1"/>
  <c r="T8353" i="1"/>
  <c r="U8353" i="1"/>
  <c r="V8353" i="1"/>
  <c r="W8353" i="1"/>
  <c r="X8353" i="1"/>
  <c r="Y8353" i="1"/>
  <c r="Z8353" i="1"/>
  <c r="A8354" i="1"/>
  <c r="B8354" i="1"/>
  <c r="C8354" i="1"/>
  <c r="D8354" i="1"/>
  <c r="E8354" i="1"/>
  <c r="F8354" i="1"/>
  <c r="G8354" i="1"/>
  <c r="I8354" i="1"/>
  <c r="J8354" i="1"/>
  <c r="K8354" i="1"/>
  <c r="L8354" i="1"/>
  <c r="M8354" i="1"/>
  <c r="N8354" i="1"/>
  <c r="O8354" i="1"/>
  <c r="P8354" i="1"/>
  <c r="Q8354" i="1"/>
  <c r="R8354" i="1"/>
  <c r="S8354" i="1"/>
  <c r="T8354" i="1"/>
  <c r="U8354" i="1"/>
  <c r="V8354" i="1"/>
  <c r="W8354" i="1"/>
  <c r="X8354" i="1"/>
  <c r="Y8354" i="1"/>
  <c r="Z8354" i="1"/>
  <c r="A8355" i="1"/>
  <c r="B8355" i="1"/>
  <c r="C8355" i="1"/>
  <c r="D8355" i="1"/>
  <c r="E8355" i="1"/>
  <c r="F8355" i="1"/>
  <c r="G8355" i="1"/>
  <c r="I8355" i="1"/>
  <c r="J8355" i="1"/>
  <c r="K8355" i="1"/>
  <c r="L8355" i="1"/>
  <c r="M8355" i="1"/>
  <c r="N8355" i="1"/>
  <c r="O8355" i="1"/>
  <c r="P8355" i="1"/>
  <c r="Q8355" i="1"/>
  <c r="R8355" i="1"/>
  <c r="S8355" i="1"/>
  <c r="T8355" i="1"/>
  <c r="U8355" i="1"/>
  <c r="V8355" i="1"/>
  <c r="W8355" i="1"/>
  <c r="X8355" i="1"/>
  <c r="Y8355" i="1"/>
  <c r="Z8355" i="1"/>
  <c r="A8356" i="1"/>
  <c r="B8356" i="1"/>
  <c r="C8356" i="1"/>
  <c r="D8356" i="1"/>
  <c r="E8356" i="1"/>
  <c r="F8356" i="1"/>
  <c r="G8356" i="1"/>
  <c r="I8356" i="1"/>
  <c r="J8356" i="1"/>
  <c r="K8356" i="1"/>
  <c r="L8356" i="1"/>
  <c r="M8356" i="1"/>
  <c r="N8356" i="1"/>
  <c r="O8356" i="1"/>
  <c r="P8356" i="1"/>
  <c r="Q8356" i="1"/>
  <c r="R8356" i="1"/>
  <c r="S8356" i="1"/>
  <c r="T8356" i="1"/>
  <c r="U8356" i="1"/>
  <c r="V8356" i="1"/>
  <c r="W8356" i="1"/>
  <c r="X8356" i="1"/>
  <c r="Y8356" i="1"/>
  <c r="Z8356" i="1"/>
  <c r="A8357" i="1"/>
  <c r="B8357" i="1"/>
  <c r="C8357" i="1"/>
  <c r="D8357" i="1"/>
  <c r="E8357" i="1"/>
  <c r="F8357" i="1"/>
  <c r="G8357" i="1"/>
  <c r="I8357" i="1"/>
  <c r="J8357" i="1"/>
  <c r="K8357" i="1"/>
  <c r="L8357" i="1"/>
  <c r="M8357" i="1"/>
  <c r="N8357" i="1"/>
  <c r="O8357" i="1"/>
  <c r="P8357" i="1"/>
  <c r="Q8357" i="1"/>
  <c r="R8357" i="1"/>
  <c r="S8357" i="1"/>
  <c r="T8357" i="1"/>
  <c r="U8357" i="1"/>
  <c r="V8357" i="1"/>
  <c r="W8357" i="1"/>
  <c r="X8357" i="1"/>
  <c r="Y8357" i="1"/>
  <c r="Z8357" i="1"/>
  <c r="A8358" i="1"/>
  <c r="B8358" i="1"/>
  <c r="C8358" i="1"/>
  <c r="D8358" i="1"/>
  <c r="E8358" i="1"/>
  <c r="F8358" i="1"/>
  <c r="G8358" i="1"/>
  <c r="I8358" i="1"/>
  <c r="J8358" i="1"/>
  <c r="K8358" i="1"/>
  <c r="L8358" i="1"/>
  <c r="M8358" i="1"/>
  <c r="N8358" i="1"/>
  <c r="O8358" i="1"/>
  <c r="P8358" i="1"/>
  <c r="Q8358" i="1"/>
  <c r="R8358" i="1"/>
  <c r="S8358" i="1"/>
  <c r="T8358" i="1"/>
  <c r="U8358" i="1"/>
  <c r="V8358" i="1"/>
  <c r="W8358" i="1"/>
  <c r="X8358" i="1"/>
  <c r="Y8358" i="1"/>
  <c r="Z8358" i="1"/>
  <c r="A8359" i="1"/>
  <c r="B8359" i="1"/>
  <c r="C8359" i="1"/>
  <c r="D8359" i="1"/>
  <c r="E8359" i="1"/>
  <c r="F8359" i="1"/>
  <c r="G8359" i="1"/>
  <c r="I8359" i="1"/>
  <c r="J8359" i="1"/>
  <c r="K8359" i="1"/>
  <c r="L8359" i="1"/>
  <c r="M8359" i="1"/>
  <c r="N8359" i="1"/>
  <c r="O8359" i="1"/>
  <c r="P8359" i="1"/>
  <c r="Q8359" i="1"/>
  <c r="R8359" i="1"/>
  <c r="S8359" i="1"/>
  <c r="T8359" i="1"/>
  <c r="U8359" i="1"/>
  <c r="V8359" i="1"/>
  <c r="W8359" i="1"/>
  <c r="X8359" i="1"/>
  <c r="Y8359" i="1"/>
  <c r="Z8359" i="1"/>
  <c r="A8360" i="1"/>
  <c r="B8360" i="1"/>
  <c r="C8360" i="1"/>
  <c r="D8360" i="1"/>
  <c r="E8360" i="1"/>
  <c r="F8360" i="1"/>
  <c r="G8360" i="1"/>
  <c r="I8360" i="1"/>
  <c r="J8360" i="1"/>
  <c r="K8360" i="1"/>
  <c r="L8360" i="1"/>
  <c r="M8360" i="1"/>
  <c r="N8360" i="1"/>
  <c r="O8360" i="1"/>
  <c r="P8360" i="1"/>
  <c r="Q8360" i="1"/>
  <c r="R8360" i="1"/>
  <c r="S8360" i="1"/>
  <c r="T8360" i="1"/>
  <c r="U8360" i="1"/>
  <c r="V8360" i="1"/>
  <c r="W8360" i="1"/>
  <c r="X8360" i="1"/>
  <c r="Y8360" i="1"/>
  <c r="Z8360" i="1"/>
  <c r="A8361" i="1"/>
  <c r="B8361" i="1"/>
  <c r="C8361" i="1"/>
  <c r="D8361" i="1"/>
  <c r="E8361" i="1"/>
  <c r="F8361" i="1"/>
  <c r="G8361" i="1"/>
  <c r="I8361" i="1"/>
  <c r="J8361" i="1"/>
  <c r="K8361" i="1"/>
  <c r="L8361" i="1"/>
  <c r="M8361" i="1"/>
  <c r="N8361" i="1"/>
  <c r="O8361" i="1"/>
  <c r="P8361" i="1"/>
  <c r="Q8361" i="1"/>
  <c r="R8361" i="1"/>
  <c r="S8361" i="1"/>
  <c r="T8361" i="1"/>
  <c r="U8361" i="1"/>
  <c r="V8361" i="1"/>
  <c r="W8361" i="1"/>
  <c r="X8361" i="1"/>
  <c r="Y8361" i="1"/>
  <c r="Z8361" i="1"/>
  <c r="A8362" i="1"/>
  <c r="B8362" i="1"/>
  <c r="C8362" i="1"/>
  <c r="D8362" i="1"/>
  <c r="E8362" i="1"/>
  <c r="F8362" i="1"/>
  <c r="G8362" i="1"/>
  <c r="I8362" i="1"/>
  <c r="J8362" i="1"/>
  <c r="K8362" i="1"/>
  <c r="L8362" i="1"/>
  <c r="M8362" i="1"/>
  <c r="N8362" i="1"/>
  <c r="O8362" i="1"/>
  <c r="P8362" i="1"/>
  <c r="Q8362" i="1"/>
  <c r="R8362" i="1"/>
  <c r="S8362" i="1"/>
  <c r="T8362" i="1"/>
  <c r="U8362" i="1"/>
  <c r="V8362" i="1"/>
  <c r="W8362" i="1"/>
  <c r="X8362" i="1"/>
  <c r="Y8362" i="1"/>
  <c r="Z8362" i="1"/>
  <c r="A8363" i="1"/>
  <c r="B8363" i="1"/>
  <c r="C8363" i="1"/>
  <c r="D8363" i="1"/>
  <c r="E8363" i="1"/>
  <c r="F8363" i="1"/>
  <c r="G8363" i="1"/>
  <c r="I8363" i="1"/>
  <c r="J8363" i="1"/>
  <c r="K8363" i="1"/>
  <c r="L8363" i="1"/>
  <c r="M8363" i="1"/>
  <c r="N8363" i="1"/>
  <c r="O8363" i="1"/>
  <c r="P8363" i="1"/>
  <c r="Q8363" i="1"/>
  <c r="R8363" i="1"/>
  <c r="S8363" i="1"/>
  <c r="T8363" i="1"/>
  <c r="U8363" i="1"/>
  <c r="V8363" i="1"/>
  <c r="W8363" i="1"/>
  <c r="X8363" i="1"/>
  <c r="Y8363" i="1"/>
  <c r="Z8363" i="1"/>
  <c r="A8364" i="1"/>
  <c r="B8364" i="1"/>
  <c r="C8364" i="1"/>
  <c r="D8364" i="1"/>
  <c r="E8364" i="1"/>
  <c r="F8364" i="1"/>
  <c r="G8364" i="1"/>
  <c r="I8364" i="1"/>
  <c r="J8364" i="1"/>
  <c r="K8364" i="1"/>
  <c r="L8364" i="1"/>
  <c r="M8364" i="1"/>
  <c r="N8364" i="1"/>
  <c r="O8364" i="1"/>
  <c r="P8364" i="1"/>
  <c r="Q8364" i="1"/>
  <c r="R8364" i="1"/>
  <c r="S8364" i="1"/>
  <c r="T8364" i="1"/>
  <c r="U8364" i="1"/>
  <c r="V8364" i="1"/>
  <c r="W8364" i="1"/>
  <c r="X8364" i="1"/>
  <c r="Y8364" i="1"/>
  <c r="Z8364" i="1"/>
  <c r="A8365" i="1"/>
  <c r="B8365" i="1"/>
  <c r="C8365" i="1"/>
  <c r="D8365" i="1"/>
  <c r="E8365" i="1"/>
  <c r="F8365" i="1"/>
  <c r="G8365" i="1"/>
  <c r="I8365" i="1"/>
  <c r="J8365" i="1"/>
  <c r="K8365" i="1"/>
  <c r="L8365" i="1"/>
  <c r="M8365" i="1"/>
  <c r="N8365" i="1"/>
  <c r="O8365" i="1"/>
  <c r="P8365" i="1"/>
  <c r="Q8365" i="1"/>
  <c r="R8365" i="1"/>
  <c r="S8365" i="1"/>
  <c r="T8365" i="1"/>
  <c r="U8365" i="1"/>
  <c r="V8365" i="1"/>
  <c r="W8365" i="1"/>
  <c r="X8365" i="1"/>
  <c r="Y8365" i="1"/>
  <c r="Z8365" i="1"/>
  <c r="A8366" i="1"/>
  <c r="B8366" i="1"/>
  <c r="C8366" i="1"/>
  <c r="D8366" i="1"/>
  <c r="E8366" i="1"/>
  <c r="F8366" i="1"/>
  <c r="G8366" i="1"/>
  <c r="I8366" i="1"/>
  <c r="J8366" i="1"/>
  <c r="K8366" i="1"/>
  <c r="L8366" i="1"/>
  <c r="M8366" i="1"/>
  <c r="N8366" i="1"/>
  <c r="O8366" i="1"/>
  <c r="P8366" i="1"/>
  <c r="Q8366" i="1"/>
  <c r="R8366" i="1"/>
  <c r="S8366" i="1"/>
  <c r="T8366" i="1"/>
  <c r="U8366" i="1"/>
  <c r="V8366" i="1"/>
  <c r="W8366" i="1"/>
  <c r="X8366" i="1"/>
  <c r="Y8366" i="1"/>
  <c r="Z8366" i="1"/>
  <c r="A8367" i="1"/>
  <c r="B8367" i="1"/>
  <c r="C8367" i="1"/>
  <c r="D8367" i="1"/>
  <c r="E8367" i="1"/>
  <c r="F8367" i="1"/>
  <c r="G8367" i="1"/>
  <c r="I8367" i="1"/>
  <c r="J8367" i="1"/>
  <c r="K8367" i="1"/>
  <c r="L8367" i="1"/>
  <c r="M8367" i="1"/>
  <c r="N8367" i="1"/>
  <c r="O8367" i="1"/>
  <c r="P8367" i="1"/>
  <c r="Q8367" i="1"/>
  <c r="R8367" i="1"/>
  <c r="S8367" i="1"/>
  <c r="T8367" i="1"/>
  <c r="U8367" i="1"/>
  <c r="V8367" i="1"/>
  <c r="W8367" i="1"/>
  <c r="X8367" i="1"/>
  <c r="Y8367" i="1"/>
  <c r="Z8367" i="1"/>
  <c r="A8368" i="1"/>
  <c r="B8368" i="1"/>
  <c r="C8368" i="1"/>
  <c r="D8368" i="1"/>
  <c r="E8368" i="1"/>
  <c r="F8368" i="1"/>
  <c r="G8368" i="1"/>
  <c r="I8368" i="1"/>
  <c r="J8368" i="1"/>
  <c r="K8368" i="1"/>
  <c r="L8368" i="1"/>
  <c r="M8368" i="1"/>
  <c r="N8368" i="1"/>
  <c r="O8368" i="1"/>
  <c r="P8368" i="1"/>
  <c r="Q8368" i="1"/>
  <c r="R8368" i="1"/>
  <c r="S8368" i="1"/>
  <c r="T8368" i="1"/>
  <c r="U8368" i="1"/>
  <c r="V8368" i="1"/>
  <c r="W8368" i="1"/>
  <c r="X8368" i="1"/>
  <c r="Y8368" i="1"/>
  <c r="Z8368" i="1"/>
  <c r="A8369" i="1"/>
  <c r="B8369" i="1"/>
  <c r="C8369" i="1"/>
  <c r="D8369" i="1"/>
  <c r="E8369" i="1"/>
  <c r="F8369" i="1"/>
  <c r="G8369" i="1"/>
  <c r="I8369" i="1"/>
  <c r="J8369" i="1"/>
  <c r="K8369" i="1"/>
  <c r="L8369" i="1"/>
  <c r="M8369" i="1"/>
  <c r="N8369" i="1"/>
  <c r="O8369" i="1"/>
  <c r="P8369" i="1"/>
  <c r="Q8369" i="1"/>
  <c r="R8369" i="1"/>
  <c r="S8369" i="1"/>
  <c r="T8369" i="1"/>
  <c r="U8369" i="1"/>
  <c r="V8369" i="1"/>
  <c r="W8369" i="1"/>
  <c r="X8369" i="1"/>
  <c r="Y8369" i="1"/>
  <c r="Z8369" i="1"/>
  <c r="A8370" i="1"/>
  <c r="B8370" i="1"/>
  <c r="C8370" i="1"/>
  <c r="D8370" i="1"/>
  <c r="E8370" i="1"/>
  <c r="F8370" i="1"/>
  <c r="G8370" i="1"/>
  <c r="I8370" i="1"/>
  <c r="J8370" i="1"/>
  <c r="K8370" i="1"/>
  <c r="L8370" i="1"/>
  <c r="M8370" i="1"/>
  <c r="N8370" i="1"/>
  <c r="O8370" i="1"/>
  <c r="P8370" i="1"/>
  <c r="Q8370" i="1"/>
  <c r="R8370" i="1"/>
  <c r="S8370" i="1"/>
  <c r="T8370" i="1"/>
  <c r="U8370" i="1"/>
  <c r="V8370" i="1"/>
  <c r="W8370" i="1"/>
  <c r="X8370" i="1"/>
  <c r="Y8370" i="1"/>
  <c r="Z8370" i="1"/>
  <c r="A8371" i="1"/>
  <c r="B8371" i="1"/>
  <c r="C8371" i="1"/>
  <c r="D8371" i="1"/>
  <c r="E8371" i="1"/>
  <c r="F8371" i="1"/>
  <c r="G8371" i="1"/>
  <c r="I8371" i="1"/>
  <c r="J8371" i="1"/>
  <c r="K8371" i="1"/>
  <c r="L8371" i="1"/>
  <c r="M8371" i="1"/>
  <c r="N8371" i="1"/>
  <c r="O8371" i="1"/>
  <c r="P8371" i="1"/>
  <c r="Q8371" i="1"/>
  <c r="R8371" i="1"/>
  <c r="S8371" i="1"/>
  <c r="T8371" i="1"/>
  <c r="U8371" i="1"/>
  <c r="V8371" i="1"/>
  <c r="W8371" i="1"/>
  <c r="X8371" i="1"/>
  <c r="Y8371" i="1"/>
  <c r="Z8371" i="1"/>
  <c r="A8372" i="1"/>
  <c r="B8372" i="1"/>
  <c r="C8372" i="1"/>
  <c r="D8372" i="1"/>
  <c r="E8372" i="1"/>
  <c r="F8372" i="1"/>
  <c r="G8372" i="1"/>
  <c r="I8372" i="1"/>
  <c r="J8372" i="1"/>
  <c r="K8372" i="1"/>
  <c r="L8372" i="1"/>
  <c r="M8372" i="1"/>
  <c r="N8372" i="1"/>
  <c r="O8372" i="1"/>
  <c r="P8372" i="1"/>
  <c r="Q8372" i="1"/>
  <c r="R8372" i="1"/>
  <c r="S8372" i="1"/>
  <c r="T8372" i="1"/>
  <c r="U8372" i="1"/>
  <c r="V8372" i="1"/>
  <c r="W8372" i="1"/>
  <c r="X8372" i="1"/>
  <c r="Y8372" i="1"/>
  <c r="Z8372" i="1"/>
  <c r="A8373" i="1"/>
  <c r="B8373" i="1"/>
  <c r="C8373" i="1"/>
  <c r="D8373" i="1"/>
  <c r="E8373" i="1"/>
  <c r="F8373" i="1"/>
  <c r="G8373" i="1"/>
  <c r="I8373" i="1"/>
  <c r="J8373" i="1"/>
  <c r="K8373" i="1"/>
  <c r="L8373" i="1"/>
  <c r="M8373" i="1"/>
  <c r="N8373" i="1"/>
  <c r="O8373" i="1"/>
  <c r="P8373" i="1"/>
  <c r="Q8373" i="1"/>
  <c r="R8373" i="1"/>
  <c r="S8373" i="1"/>
  <c r="T8373" i="1"/>
  <c r="U8373" i="1"/>
  <c r="V8373" i="1"/>
  <c r="W8373" i="1"/>
  <c r="X8373" i="1"/>
  <c r="Y8373" i="1"/>
  <c r="Z8373" i="1"/>
  <c r="A8374" i="1"/>
  <c r="B8374" i="1"/>
  <c r="C8374" i="1"/>
  <c r="D8374" i="1"/>
  <c r="E8374" i="1"/>
  <c r="F8374" i="1"/>
  <c r="G8374" i="1"/>
  <c r="I8374" i="1"/>
  <c r="J8374" i="1"/>
  <c r="K8374" i="1"/>
  <c r="L8374" i="1"/>
  <c r="M8374" i="1"/>
  <c r="N8374" i="1"/>
  <c r="O8374" i="1"/>
  <c r="P8374" i="1"/>
  <c r="Q8374" i="1"/>
  <c r="R8374" i="1"/>
  <c r="S8374" i="1"/>
  <c r="T8374" i="1"/>
  <c r="U8374" i="1"/>
  <c r="V8374" i="1"/>
  <c r="W8374" i="1"/>
  <c r="X8374" i="1"/>
  <c r="Y8374" i="1"/>
  <c r="Z8374" i="1"/>
  <c r="A8375" i="1"/>
  <c r="B8375" i="1"/>
  <c r="C8375" i="1"/>
  <c r="D8375" i="1"/>
  <c r="E8375" i="1"/>
  <c r="F8375" i="1"/>
  <c r="G8375" i="1"/>
  <c r="I8375" i="1"/>
  <c r="J8375" i="1"/>
  <c r="K8375" i="1"/>
  <c r="L8375" i="1"/>
  <c r="M8375" i="1"/>
  <c r="N8375" i="1"/>
  <c r="O8375" i="1"/>
  <c r="P8375" i="1"/>
  <c r="Q8375" i="1"/>
  <c r="R8375" i="1"/>
  <c r="S8375" i="1"/>
  <c r="T8375" i="1"/>
  <c r="U8375" i="1"/>
  <c r="V8375" i="1"/>
  <c r="W8375" i="1"/>
  <c r="X8375" i="1"/>
  <c r="Y8375" i="1"/>
  <c r="Z8375" i="1"/>
  <c r="A8376" i="1"/>
  <c r="B8376" i="1"/>
  <c r="C8376" i="1"/>
  <c r="D8376" i="1"/>
  <c r="E8376" i="1"/>
  <c r="F8376" i="1"/>
  <c r="G8376" i="1"/>
  <c r="I8376" i="1"/>
  <c r="J8376" i="1"/>
  <c r="K8376" i="1"/>
  <c r="L8376" i="1"/>
  <c r="M8376" i="1"/>
  <c r="N8376" i="1"/>
  <c r="O8376" i="1"/>
  <c r="P8376" i="1"/>
  <c r="Q8376" i="1"/>
  <c r="R8376" i="1"/>
  <c r="S8376" i="1"/>
  <c r="T8376" i="1"/>
  <c r="U8376" i="1"/>
  <c r="V8376" i="1"/>
  <c r="W8376" i="1"/>
  <c r="X8376" i="1"/>
  <c r="Y8376" i="1"/>
  <c r="Z8376" i="1"/>
  <c r="A8377" i="1"/>
  <c r="B8377" i="1"/>
  <c r="C8377" i="1"/>
  <c r="D8377" i="1"/>
  <c r="E8377" i="1"/>
  <c r="F8377" i="1"/>
  <c r="G8377" i="1"/>
  <c r="I8377" i="1"/>
  <c r="J8377" i="1"/>
  <c r="K8377" i="1"/>
  <c r="L8377" i="1"/>
  <c r="M8377" i="1"/>
  <c r="N8377" i="1"/>
  <c r="O8377" i="1"/>
  <c r="P8377" i="1"/>
  <c r="Q8377" i="1"/>
  <c r="R8377" i="1"/>
  <c r="S8377" i="1"/>
  <c r="T8377" i="1"/>
  <c r="U8377" i="1"/>
  <c r="V8377" i="1"/>
  <c r="W8377" i="1"/>
  <c r="X8377" i="1"/>
  <c r="Y8377" i="1"/>
  <c r="Z8377" i="1"/>
  <c r="A8378" i="1"/>
  <c r="B8378" i="1"/>
  <c r="C8378" i="1"/>
  <c r="D8378" i="1"/>
  <c r="E8378" i="1"/>
  <c r="F8378" i="1"/>
  <c r="G8378" i="1"/>
  <c r="I8378" i="1"/>
  <c r="J8378" i="1"/>
  <c r="K8378" i="1"/>
  <c r="L8378" i="1"/>
  <c r="M8378" i="1"/>
  <c r="N8378" i="1"/>
  <c r="O8378" i="1"/>
  <c r="P8378" i="1"/>
  <c r="Q8378" i="1"/>
  <c r="R8378" i="1"/>
  <c r="S8378" i="1"/>
  <c r="T8378" i="1"/>
  <c r="U8378" i="1"/>
  <c r="V8378" i="1"/>
  <c r="W8378" i="1"/>
  <c r="X8378" i="1"/>
  <c r="Y8378" i="1"/>
  <c r="Z8378" i="1"/>
  <c r="A8379" i="1"/>
  <c r="B8379" i="1"/>
  <c r="C8379" i="1"/>
  <c r="D8379" i="1"/>
  <c r="E8379" i="1"/>
  <c r="F8379" i="1"/>
  <c r="G8379" i="1"/>
  <c r="I8379" i="1"/>
  <c r="J8379" i="1"/>
  <c r="K8379" i="1"/>
  <c r="L8379" i="1"/>
  <c r="M8379" i="1"/>
  <c r="N8379" i="1"/>
  <c r="O8379" i="1"/>
  <c r="P8379" i="1"/>
  <c r="Q8379" i="1"/>
  <c r="R8379" i="1"/>
  <c r="S8379" i="1"/>
  <c r="T8379" i="1"/>
  <c r="U8379" i="1"/>
  <c r="V8379" i="1"/>
  <c r="W8379" i="1"/>
  <c r="X8379" i="1"/>
  <c r="Y8379" i="1"/>
  <c r="Z8379" i="1"/>
  <c r="A8380" i="1"/>
  <c r="B8380" i="1"/>
  <c r="C8380" i="1"/>
  <c r="D8380" i="1"/>
  <c r="E8380" i="1"/>
  <c r="F8380" i="1"/>
  <c r="G8380" i="1"/>
  <c r="I8380" i="1"/>
  <c r="J8380" i="1"/>
  <c r="K8380" i="1"/>
  <c r="L8380" i="1"/>
  <c r="M8380" i="1"/>
  <c r="N8380" i="1"/>
  <c r="O8380" i="1"/>
  <c r="P8380" i="1"/>
  <c r="Q8380" i="1"/>
  <c r="R8380" i="1"/>
  <c r="S8380" i="1"/>
  <c r="T8380" i="1"/>
  <c r="U8380" i="1"/>
  <c r="V8380" i="1"/>
  <c r="W8380" i="1"/>
  <c r="X8380" i="1"/>
  <c r="Y8380" i="1"/>
  <c r="Z8380" i="1"/>
  <c r="A8381" i="1"/>
  <c r="B8381" i="1"/>
  <c r="C8381" i="1"/>
  <c r="D8381" i="1"/>
  <c r="E8381" i="1"/>
  <c r="F8381" i="1"/>
  <c r="G8381" i="1"/>
  <c r="I8381" i="1"/>
  <c r="J8381" i="1"/>
  <c r="K8381" i="1"/>
  <c r="L8381" i="1"/>
  <c r="M8381" i="1"/>
  <c r="N8381" i="1"/>
  <c r="O8381" i="1"/>
  <c r="P8381" i="1"/>
  <c r="Q8381" i="1"/>
  <c r="R8381" i="1"/>
  <c r="S8381" i="1"/>
  <c r="T8381" i="1"/>
  <c r="U8381" i="1"/>
  <c r="V8381" i="1"/>
  <c r="W8381" i="1"/>
  <c r="X8381" i="1"/>
  <c r="Y8381" i="1"/>
  <c r="Z8381" i="1"/>
  <c r="A8382" i="1"/>
  <c r="B8382" i="1"/>
  <c r="C8382" i="1"/>
  <c r="D8382" i="1"/>
  <c r="E8382" i="1"/>
  <c r="F8382" i="1"/>
  <c r="G8382" i="1"/>
  <c r="I8382" i="1"/>
  <c r="J8382" i="1"/>
  <c r="K8382" i="1"/>
  <c r="L8382" i="1"/>
  <c r="M8382" i="1"/>
  <c r="N8382" i="1"/>
  <c r="O8382" i="1"/>
  <c r="P8382" i="1"/>
  <c r="Q8382" i="1"/>
  <c r="R8382" i="1"/>
  <c r="S8382" i="1"/>
  <c r="T8382" i="1"/>
  <c r="U8382" i="1"/>
  <c r="V8382" i="1"/>
  <c r="W8382" i="1"/>
  <c r="X8382" i="1"/>
  <c r="Y8382" i="1"/>
  <c r="Z8382" i="1"/>
  <c r="A8383" i="1"/>
  <c r="B8383" i="1"/>
  <c r="C8383" i="1"/>
  <c r="D8383" i="1"/>
  <c r="E8383" i="1"/>
  <c r="F8383" i="1"/>
  <c r="G8383" i="1"/>
  <c r="I8383" i="1"/>
  <c r="J8383" i="1"/>
  <c r="K8383" i="1"/>
  <c r="L8383" i="1"/>
  <c r="M8383" i="1"/>
  <c r="N8383" i="1"/>
  <c r="O8383" i="1"/>
  <c r="P8383" i="1"/>
  <c r="Q8383" i="1"/>
  <c r="R8383" i="1"/>
  <c r="S8383" i="1"/>
  <c r="T8383" i="1"/>
  <c r="U8383" i="1"/>
  <c r="V8383" i="1"/>
  <c r="W8383" i="1"/>
  <c r="X8383" i="1"/>
  <c r="Y8383" i="1"/>
  <c r="Z8383" i="1"/>
  <c r="A8384" i="1"/>
  <c r="B8384" i="1"/>
  <c r="C8384" i="1"/>
  <c r="D8384" i="1"/>
  <c r="E8384" i="1"/>
  <c r="F8384" i="1"/>
  <c r="G8384" i="1"/>
  <c r="I8384" i="1"/>
  <c r="J8384" i="1"/>
  <c r="K8384" i="1"/>
  <c r="L8384" i="1"/>
  <c r="M8384" i="1"/>
  <c r="N8384" i="1"/>
  <c r="O8384" i="1"/>
  <c r="P8384" i="1"/>
  <c r="Q8384" i="1"/>
  <c r="R8384" i="1"/>
  <c r="S8384" i="1"/>
  <c r="T8384" i="1"/>
  <c r="U8384" i="1"/>
  <c r="V8384" i="1"/>
  <c r="W8384" i="1"/>
  <c r="X8384" i="1"/>
  <c r="Y8384" i="1"/>
  <c r="Z8384" i="1"/>
  <c r="A8385" i="1"/>
  <c r="B8385" i="1"/>
  <c r="C8385" i="1"/>
  <c r="D8385" i="1"/>
  <c r="E8385" i="1"/>
  <c r="F8385" i="1"/>
  <c r="G8385" i="1"/>
  <c r="I8385" i="1"/>
  <c r="J8385" i="1"/>
  <c r="K8385" i="1"/>
  <c r="L8385" i="1"/>
  <c r="M8385" i="1"/>
  <c r="N8385" i="1"/>
  <c r="O8385" i="1"/>
  <c r="P8385" i="1"/>
  <c r="Q8385" i="1"/>
  <c r="R8385" i="1"/>
  <c r="S8385" i="1"/>
  <c r="T8385" i="1"/>
  <c r="U8385" i="1"/>
  <c r="V8385" i="1"/>
  <c r="W8385" i="1"/>
  <c r="X8385" i="1"/>
  <c r="Y8385" i="1"/>
  <c r="Z8385" i="1"/>
  <c r="A8386" i="1"/>
  <c r="B8386" i="1"/>
  <c r="C8386" i="1"/>
  <c r="D8386" i="1"/>
  <c r="E8386" i="1"/>
  <c r="F8386" i="1"/>
  <c r="G8386" i="1"/>
  <c r="I8386" i="1"/>
  <c r="J8386" i="1"/>
  <c r="K8386" i="1"/>
  <c r="L8386" i="1"/>
  <c r="M8386" i="1"/>
  <c r="N8386" i="1"/>
  <c r="O8386" i="1"/>
  <c r="P8386" i="1"/>
  <c r="Q8386" i="1"/>
  <c r="R8386" i="1"/>
  <c r="S8386" i="1"/>
  <c r="T8386" i="1"/>
  <c r="U8386" i="1"/>
  <c r="V8386" i="1"/>
  <c r="W8386" i="1"/>
  <c r="X8386" i="1"/>
  <c r="Y8386" i="1"/>
  <c r="Z8386" i="1"/>
  <c r="A8387" i="1"/>
  <c r="B8387" i="1"/>
  <c r="C8387" i="1"/>
  <c r="D8387" i="1"/>
  <c r="E8387" i="1"/>
  <c r="F8387" i="1"/>
  <c r="G8387" i="1"/>
  <c r="I8387" i="1"/>
  <c r="J8387" i="1"/>
  <c r="K8387" i="1"/>
  <c r="L8387" i="1"/>
  <c r="M8387" i="1"/>
  <c r="N8387" i="1"/>
  <c r="O8387" i="1"/>
  <c r="P8387" i="1"/>
  <c r="Q8387" i="1"/>
  <c r="R8387" i="1"/>
  <c r="S8387" i="1"/>
  <c r="T8387" i="1"/>
  <c r="U8387" i="1"/>
  <c r="V8387" i="1"/>
  <c r="W8387" i="1"/>
  <c r="X8387" i="1"/>
  <c r="Y8387" i="1"/>
  <c r="Z8387" i="1"/>
  <c r="A8388" i="1"/>
  <c r="B8388" i="1"/>
  <c r="C8388" i="1"/>
  <c r="D8388" i="1"/>
  <c r="E8388" i="1"/>
  <c r="F8388" i="1"/>
  <c r="G8388" i="1"/>
  <c r="I8388" i="1"/>
  <c r="J8388" i="1"/>
  <c r="K8388" i="1"/>
  <c r="L8388" i="1"/>
  <c r="M8388" i="1"/>
  <c r="N8388" i="1"/>
  <c r="O8388" i="1"/>
  <c r="P8388" i="1"/>
  <c r="Q8388" i="1"/>
  <c r="R8388" i="1"/>
  <c r="S8388" i="1"/>
  <c r="T8388" i="1"/>
  <c r="U8388" i="1"/>
  <c r="V8388" i="1"/>
  <c r="W8388" i="1"/>
  <c r="X8388" i="1"/>
  <c r="Y8388" i="1"/>
  <c r="Z8388" i="1"/>
  <c r="A8389" i="1"/>
  <c r="B8389" i="1"/>
  <c r="C8389" i="1"/>
  <c r="D8389" i="1"/>
  <c r="E8389" i="1"/>
  <c r="F8389" i="1"/>
  <c r="G8389" i="1"/>
  <c r="I8389" i="1"/>
  <c r="J8389" i="1"/>
  <c r="K8389" i="1"/>
  <c r="L8389" i="1"/>
  <c r="M8389" i="1"/>
  <c r="N8389" i="1"/>
  <c r="O8389" i="1"/>
  <c r="P8389" i="1"/>
  <c r="Q8389" i="1"/>
  <c r="R8389" i="1"/>
  <c r="S8389" i="1"/>
  <c r="T8389" i="1"/>
  <c r="U8389" i="1"/>
  <c r="V8389" i="1"/>
  <c r="W8389" i="1"/>
  <c r="X8389" i="1"/>
  <c r="Y8389" i="1"/>
  <c r="Z8389" i="1"/>
  <c r="A8390" i="1"/>
  <c r="B8390" i="1"/>
  <c r="C8390" i="1"/>
  <c r="D8390" i="1"/>
  <c r="E8390" i="1"/>
  <c r="F8390" i="1"/>
  <c r="G8390" i="1"/>
  <c r="I8390" i="1"/>
  <c r="J8390" i="1"/>
  <c r="K8390" i="1"/>
  <c r="L8390" i="1"/>
  <c r="M8390" i="1"/>
  <c r="N8390" i="1"/>
  <c r="O8390" i="1"/>
  <c r="P8390" i="1"/>
  <c r="Q8390" i="1"/>
  <c r="R8390" i="1"/>
  <c r="S8390" i="1"/>
  <c r="T8390" i="1"/>
  <c r="U8390" i="1"/>
  <c r="V8390" i="1"/>
  <c r="W8390" i="1"/>
  <c r="X8390" i="1"/>
  <c r="Y8390" i="1"/>
  <c r="Z8390" i="1"/>
  <c r="A8391" i="1"/>
  <c r="B8391" i="1"/>
  <c r="C8391" i="1"/>
  <c r="D8391" i="1"/>
  <c r="E8391" i="1"/>
  <c r="F8391" i="1"/>
  <c r="G8391" i="1"/>
  <c r="I8391" i="1"/>
  <c r="J8391" i="1"/>
  <c r="K8391" i="1"/>
  <c r="L8391" i="1"/>
  <c r="M8391" i="1"/>
  <c r="N8391" i="1"/>
  <c r="O8391" i="1"/>
  <c r="P8391" i="1"/>
  <c r="Q8391" i="1"/>
  <c r="R8391" i="1"/>
  <c r="S8391" i="1"/>
  <c r="T8391" i="1"/>
  <c r="U8391" i="1"/>
  <c r="V8391" i="1"/>
  <c r="W8391" i="1"/>
  <c r="X8391" i="1"/>
  <c r="Y8391" i="1"/>
  <c r="Z8391" i="1"/>
  <c r="A8392" i="1"/>
  <c r="B8392" i="1"/>
  <c r="C8392" i="1"/>
  <c r="D8392" i="1"/>
  <c r="E8392" i="1"/>
  <c r="F8392" i="1"/>
  <c r="G8392" i="1"/>
  <c r="I8392" i="1"/>
  <c r="J8392" i="1"/>
  <c r="K8392" i="1"/>
  <c r="L8392" i="1"/>
  <c r="M8392" i="1"/>
  <c r="N8392" i="1"/>
  <c r="O8392" i="1"/>
  <c r="P8392" i="1"/>
  <c r="Q8392" i="1"/>
  <c r="R8392" i="1"/>
  <c r="S8392" i="1"/>
  <c r="T8392" i="1"/>
  <c r="U8392" i="1"/>
  <c r="V8392" i="1"/>
  <c r="W8392" i="1"/>
  <c r="X8392" i="1"/>
  <c r="Y8392" i="1"/>
  <c r="Z8392" i="1"/>
  <c r="A8393" i="1"/>
  <c r="B8393" i="1"/>
  <c r="C8393" i="1"/>
  <c r="D8393" i="1"/>
  <c r="E8393" i="1"/>
  <c r="F8393" i="1"/>
  <c r="G8393" i="1"/>
  <c r="I8393" i="1"/>
  <c r="J8393" i="1"/>
  <c r="K8393" i="1"/>
  <c r="L8393" i="1"/>
  <c r="M8393" i="1"/>
  <c r="N8393" i="1"/>
  <c r="O8393" i="1"/>
  <c r="P8393" i="1"/>
  <c r="Q8393" i="1"/>
  <c r="R8393" i="1"/>
  <c r="S8393" i="1"/>
  <c r="T8393" i="1"/>
  <c r="U8393" i="1"/>
  <c r="V8393" i="1"/>
  <c r="W8393" i="1"/>
  <c r="X8393" i="1"/>
  <c r="Y8393" i="1"/>
  <c r="Z8393" i="1"/>
  <c r="A8394" i="1"/>
  <c r="B8394" i="1"/>
  <c r="C8394" i="1"/>
  <c r="D8394" i="1"/>
  <c r="E8394" i="1"/>
  <c r="F8394" i="1"/>
  <c r="G8394" i="1"/>
  <c r="I8394" i="1"/>
  <c r="J8394" i="1"/>
  <c r="K8394" i="1"/>
  <c r="L8394" i="1"/>
  <c r="M8394" i="1"/>
  <c r="N8394" i="1"/>
  <c r="O8394" i="1"/>
  <c r="P8394" i="1"/>
  <c r="Q8394" i="1"/>
  <c r="R8394" i="1"/>
  <c r="S8394" i="1"/>
  <c r="T8394" i="1"/>
  <c r="U8394" i="1"/>
  <c r="V8394" i="1"/>
  <c r="W8394" i="1"/>
  <c r="X8394" i="1"/>
  <c r="Y8394" i="1"/>
  <c r="Z8394" i="1"/>
  <c r="A8395" i="1"/>
  <c r="B8395" i="1"/>
  <c r="C8395" i="1"/>
  <c r="D8395" i="1"/>
  <c r="E8395" i="1"/>
  <c r="F8395" i="1"/>
  <c r="G8395" i="1"/>
  <c r="I8395" i="1"/>
  <c r="J8395" i="1"/>
  <c r="K8395" i="1"/>
  <c r="L8395" i="1"/>
  <c r="M8395" i="1"/>
  <c r="N8395" i="1"/>
  <c r="O8395" i="1"/>
  <c r="P8395" i="1"/>
  <c r="Q8395" i="1"/>
  <c r="R8395" i="1"/>
  <c r="S8395" i="1"/>
  <c r="T8395" i="1"/>
  <c r="U8395" i="1"/>
  <c r="V8395" i="1"/>
  <c r="W8395" i="1"/>
  <c r="X8395" i="1"/>
  <c r="Y8395" i="1"/>
  <c r="Z8395" i="1"/>
  <c r="A8396" i="1"/>
  <c r="B8396" i="1"/>
  <c r="C8396" i="1"/>
  <c r="D8396" i="1"/>
  <c r="E8396" i="1"/>
  <c r="F8396" i="1"/>
  <c r="G8396" i="1"/>
  <c r="I8396" i="1"/>
  <c r="J8396" i="1"/>
  <c r="K8396" i="1"/>
  <c r="L8396" i="1"/>
  <c r="M8396" i="1"/>
  <c r="N8396" i="1"/>
  <c r="O8396" i="1"/>
  <c r="P8396" i="1"/>
  <c r="Q8396" i="1"/>
  <c r="R8396" i="1"/>
  <c r="S8396" i="1"/>
  <c r="T8396" i="1"/>
  <c r="U8396" i="1"/>
  <c r="V8396" i="1"/>
  <c r="W8396" i="1"/>
  <c r="X8396" i="1"/>
  <c r="Y8396" i="1"/>
  <c r="Z8396" i="1"/>
  <c r="A8397" i="1"/>
  <c r="B8397" i="1"/>
  <c r="C8397" i="1"/>
  <c r="D8397" i="1"/>
  <c r="E8397" i="1"/>
  <c r="F8397" i="1"/>
  <c r="G8397" i="1"/>
  <c r="I8397" i="1"/>
  <c r="J8397" i="1"/>
  <c r="K8397" i="1"/>
  <c r="L8397" i="1"/>
  <c r="M8397" i="1"/>
  <c r="N8397" i="1"/>
  <c r="O8397" i="1"/>
  <c r="P8397" i="1"/>
  <c r="Q8397" i="1"/>
  <c r="R8397" i="1"/>
  <c r="S8397" i="1"/>
  <c r="T8397" i="1"/>
  <c r="U8397" i="1"/>
  <c r="V8397" i="1"/>
  <c r="W8397" i="1"/>
  <c r="X8397" i="1"/>
  <c r="Y8397" i="1"/>
  <c r="Z8397" i="1"/>
  <c r="A8398" i="1"/>
  <c r="B8398" i="1"/>
  <c r="C8398" i="1"/>
  <c r="D8398" i="1"/>
  <c r="E8398" i="1"/>
  <c r="F8398" i="1"/>
  <c r="G8398" i="1"/>
  <c r="I8398" i="1"/>
  <c r="J8398" i="1"/>
  <c r="K8398" i="1"/>
  <c r="L8398" i="1"/>
  <c r="M8398" i="1"/>
  <c r="N8398" i="1"/>
  <c r="O8398" i="1"/>
  <c r="P8398" i="1"/>
  <c r="Q8398" i="1"/>
  <c r="R8398" i="1"/>
  <c r="S8398" i="1"/>
  <c r="T8398" i="1"/>
  <c r="U8398" i="1"/>
  <c r="V8398" i="1"/>
  <c r="W8398" i="1"/>
  <c r="X8398" i="1"/>
  <c r="Y8398" i="1"/>
  <c r="Z8398" i="1"/>
  <c r="A8399" i="1"/>
  <c r="B8399" i="1"/>
  <c r="C8399" i="1"/>
  <c r="D8399" i="1"/>
  <c r="E8399" i="1"/>
  <c r="F8399" i="1"/>
  <c r="G8399" i="1"/>
  <c r="I8399" i="1"/>
  <c r="J8399" i="1"/>
  <c r="K8399" i="1"/>
  <c r="L8399" i="1"/>
  <c r="M8399" i="1"/>
  <c r="N8399" i="1"/>
  <c r="O8399" i="1"/>
  <c r="P8399" i="1"/>
  <c r="Q8399" i="1"/>
  <c r="R8399" i="1"/>
  <c r="S8399" i="1"/>
  <c r="T8399" i="1"/>
  <c r="U8399" i="1"/>
  <c r="V8399" i="1"/>
  <c r="W8399" i="1"/>
  <c r="X8399" i="1"/>
  <c r="Y8399" i="1"/>
  <c r="Z8399" i="1"/>
  <c r="A8400" i="1"/>
  <c r="B8400" i="1"/>
  <c r="C8400" i="1"/>
  <c r="D8400" i="1"/>
  <c r="E8400" i="1"/>
  <c r="F8400" i="1"/>
  <c r="G8400" i="1"/>
  <c r="I8400" i="1"/>
  <c r="J8400" i="1"/>
  <c r="K8400" i="1"/>
  <c r="L8400" i="1"/>
  <c r="M8400" i="1"/>
  <c r="N8400" i="1"/>
  <c r="O8400" i="1"/>
  <c r="P8400" i="1"/>
  <c r="Q8400" i="1"/>
  <c r="R8400" i="1"/>
  <c r="S8400" i="1"/>
  <c r="T8400" i="1"/>
  <c r="U8400" i="1"/>
  <c r="V8400" i="1"/>
  <c r="W8400" i="1"/>
  <c r="X8400" i="1"/>
  <c r="Y8400" i="1"/>
  <c r="Z8400" i="1"/>
  <c r="A8401" i="1"/>
  <c r="B8401" i="1"/>
  <c r="C8401" i="1"/>
  <c r="D8401" i="1"/>
  <c r="E8401" i="1"/>
  <c r="F8401" i="1"/>
  <c r="G8401" i="1"/>
  <c r="I8401" i="1"/>
  <c r="J8401" i="1"/>
  <c r="K8401" i="1"/>
  <c r="L8401" i="1"/>
  <c r="M8401" i="1"/>
  <c r="N8401" i="1"/>
  <c r="O8401" i="1"/>
  <c r="P8401" i="1"/>
  <c r="Q8401" i="1"/>
  <c r="R8401" i="1"/>
  <c r="S8401" i="1"/>
  <c r="T8401" i="1"/>
  <c r="U8401" i="1"/>
  <c r="V8401" i="1"/>
  <c r="W8401" i="1"/>
  <c r="X8401" i="1"/>
  <c r="Y8401" i="1"/>
  <c r="Z8401" i="1"/>
  <c r="A8402" i="1"/>
  <c r="B8402" i="1"/>
  <c r="C8402" i="1"/>
  <c r="D8402" i="1"/>
  <c r="E8402" i="1"/>
  <c r="F8402" i="1"/>
  <c r="G8402" i="1"/>
  <c r="I8402" i="1"/>
  <c r="J8402" i="1"/>
  <c r="K8402" i="1"/>
  <c r="L8402" i="1"/>
  <c r="M8402" i="1"/>
  <c r="N8402" i="1"/>
  <c r="O8402" i="1"/>
  <c r="P8402" i="1"/>
  <c r="Q8402" i="1"/>
  <c r="R8402" i="1"/>
  <c r="S8402" i="1"/>
  <c r="T8402" i="1"/>
  <c r="U8402" i="1"/>
  <c r="V8402" i="1"/>
  <c r="W8402" i="1"/>
  <c r="X8402" i="1"/>
  <c r="Y8402" i="1"/>
  <c r="Z8402" i="1"/>
  <c r="A8403" i="1"/>
  <c r="B8403" i="1"/>
  <c r="C8403" i="1"/>
  <c r="D8403" i="1"/>
  <c r="E8403" i="1"/>
  <c r="F8403" i="1"/>
  <c r="G8403" i="1"/>
  <c r="I8403" i="1"/>
  <c r="J8403" i="1"/>
  <c r="K8403" i="1"/>
  <c r="L8403" i="1"/>
  <c r="M8403" i="1"/>
  <c r="N8403" i="1"/>
  <c r="O8403" i="1"/>
  <c r="P8403" i="1"/>
  <c r="Q8403" i="1"/>
  <c r="R8403" i="1"/>
  <c r="S8403" i="1"/>
  <c r="T8403" i="1"/>
  <c r="U8403" i="1"/>
  <c r="V8403" i="1"/>
  <c r="W8403" i="1"/>
  <c r="X8403" i="1"/>
  <c r="Y8403" i="1"/>
  <c r="Z8403" i="1"/>
  <c r="A8404" i="1"/>
  <c r="B8404" i="1"/>
  <c r="C8404" i="1"/>
  <c r="D8404" i="1"/>
  <c r="E8404" i="1"/>
  <c r="F8404" i="1"/>
  <c r="G8404" i="1"/>
  <c r="I8404" i="1"/>
  <c r="J8404" i="1"/>
  <c r="K8404" i="1"/>
  <c r="L8404" i="1"/>
  <c r="M8404" i="1"/>
  <c r="N8404" i="1"/>
  <c r="O8404" i="1"/>
  <c r="P8404" i="1"/>
  <c r="Q8404" i="1"/>
  <c r="R8404" i="1"/>
  <c r="S8404" i="1"/>
  <c r="T8404" i="1"/>
  <c r="U8404" i="1"/>
  <c r="V8404" i="1"/>
  <c r="W8404" i="1"/>
  <c r="X8404" i="1"/>
  <c r="Y8404" i="1"/>
  <c r="Z8404" i="1"/>
  <c r="A8405" i="1"/>
  <c r="B8405" i="1"/>
  <c r="C8405" i="1"/>
  <c r="D8405" i="1"/>
  <c r="E8405" i="1"/>
  <c r="F8405" i="1"/>
  <c r="G8405" i="1"/>
  <c r="I8405" i="1"/>
  <c r="J8405" i="1"/>
  <c r="K8405" i="1"/>
  <c r="L8405" i="1"/>
  <c r="M8405" i="1"/>
  <c r="N8405" i="1"/>
  <c r="O8405" i="1"/>
  <c r="P8405" i="1"/>
  <c r="Q8405" i="1"/>
  <c r="R8405" i="1"/>
  <c r="S8405" i="1"/>
  <c r="T8405" i="1"/>
  <c r="U8405" i="1"/>
  <c r="V8405" i="1"/>
  <c r="W8405" i="1"/>
  <c r="X8405" i="1"/>
  <c r="Y8405" i="1"/>
  <c r="Z8405" i="1"/>
  <c r="A8406" i="1"/>
  <c r="B8406" i="1"/>
  <c r="C8406" i="1"/>
  <c r="D8406" i="1"/>
  <c r="E8406" i="1"/>
  <c r="F8406" i="1"/>
  <c r="G8406" i="1"/>
  <c r="I8406" i="1"/>
  <c r="J8406" i="1"/>
  <c r="K8406" i="1"/>
  <c r="L8406" i="1"/>
  <c r="M8406" i="1"/>
  <c r="N8406" i="1"/>
  <c r="O8406" i="1"/>
  <c r="P8406" i="1"/>
  <c r="Q8406" i="1"/>
  <c r="R8406" i="1"/>
  <c r="S8406" i="1"/>
  <c r="T8406" i="1"/>
  <c r="U8406" i="1"/>
  <c r="V8406" i="1"/>
  <c r="W8406" i="1"/>
  <c r="X8406" i="1"/>
  <c r="Y8406" i="1"/>
  <c r="Z8406" i="1"/>
  <c r="A8407" i="1"/>
  <c r="B8407" i="1"/>
  <c r="C8407" i="1"/>
  <c r="D8407" i="1"/>
  <c r="E8407" i="1"/>
  <c r="F8407" i="1"/>
  <c r="G8407" i="1"/>
  <c r="I8407" i="1"/>
  <c r="J8407" i="1"/>
  <c r="K8407" i="1"/>
  <c r="L8407" i="1"/>
  <c r="M8407" i="1"/>
  <c r="N8407" i="1"/>
  <c r="O8407" i="1"/>
  <c r="P8407" i="1"/>
  <c r="Q8407" i="1"/>
  <c r="R8407" i="1"/>
  <c r="S8407" i="1"/>
  <c r="T8407" i="1"/>
  <c r="U8407" i="1"/>
  <c r="V8407" i="1"/>
  <c r="W8407" i="1"/>
  <c r="X8407" i="1"/>
  <c r="Y8407" i="1"/>
  <c r="Z8407" i="1"/>
  <c r="A8408" i="1"/>
  <c r="B8408" i="1"/>
  <c r="C8408" i="1"/>
  <c r="D8408" i="1"/>
  <c r="E8408" i="1"/>
  <c r="F8408" i="1"/>
  <c r="G8408" i="1"/>
  <c r="I8408" i="1"/>
  <c r="J8408" i="1"/>
  <c r="K8408" i="1"/>
  <c r="L8408" i="1"/>
  <c r="M8408" i="1"/>
  <c r="N8408" i="1"/>
  <c r="O8408" i="1"/>
  <c r="P8408" i="1"/>
  <c r="Q8408" i="1"/>
  <c r="R8408" i="1"/>
  <c r="S8408" i="1"/>
  <c r="T8408" i="1"/>
  <c r="U8408" i="1"/>
  <c r="V8408" i="1"/>
  <c r="W8408" i="1"/>
  <c r="X8408" i="1"/>
  <c r="Y8408" i="1"/>
  <c r="Z8408" i="1"/>
  <c r="A8409" i="1"/>
  <c r="B8409" i="1"/>
  <c r="C8409" i="1"/>
  <c r="D8409" i="1"/>
  <c r="E8409" i="1"/>
  <c r="F8409" i="1"/>
  <c r="G8409" i="1"/>
  <c r="I8409" i="1"/>
  <c r="J8409" i="1"/>
  <c r="K8409" i="1"/>
  <c r="L8409" i="1"/>
  <c r="M8409" i="1"/>
  <c r="N8409" i="1"/>
  <c r="O8409" i="1"/>
  <c r="P8409" i="1"/>
  <c r="Q8409" i="1"/>
  <c r="R8409" i="1"/>
  <c r="S8409" i="1"/>
  <c r="T8409" i="1"/>
  <c r="U8409" i="1"/>
  <c r="V8409" i="1"/>
  <c r="W8409" i="1"/>
  <c r="X8409" i="1"/>
  <c r="Y8409" i="1"/>
  <c r="Z8409" i="1"/>
  <c r="A8410" i="1"/>
  <c r="B8410" i="1"/>
  <c r="C8410" i="1"/>
  <c r="D8410" i="1"/>
  <c r="E8410" i="1"/>
  <c r="F8410" i="1"/>
  <c r="G8410" i="1"/>
  <c r="I8410" i="1"/>
  <c r="J8410" i="1"/>
  <c r="K8410" i="1"/>
  <c r="L8410" i="1"/>
  <c r="M8410" i="1"/>
  <c r="N8410" i="1"/>
  <c r="O8410" i="1"/>
  <c r="P8410" i="1"/>
  <c r="Q8410" i="1"/>
  <c r="R8410" i="1"/>
  <c r="S8410" i="1"/>
  <c r="T8410" i="1"/>
  <c r="U8410" i="1"/>
  <c r="V8410" i="1"/>
  <c r="W8410" i="1"/>
  <c r="X8410" i="1"/>
  <c r="Y8410" i="1"/>
  <c r="Z8410" i="1"/>
  <c r="A8411" i="1"/>
  <c r="B8411" i="1"/>
  <c r="C8411" i="1"/>
  <c r="D8411" i="1"/>
  <c r="E8411" i="1"/>
  <c r="F8411" i="1"/>
  <c r="G8411" i="1"/>
  <c r="I8411" i="1"/>
  <c r="J8411" i="1"/>
  <c r="K8411" i="1"/>
  <c r="L8411" i="1"/>
  <c r="M8411" i="1"/>
  <c r="N8411" i="1"/>
  <c r="O8411" i="1"/>
  <c r="P8411" i="1"/>
  <c r="Q8411" i="1"/>
  <c r="R8411" i="1"/>
  <c r="S8411" i="1"/>
  <c r="T8411" i="1"/>
  <c r="U8411" i="1"/>
  <c r="V8411" i="1"/>
  <c r="W8411" i="1"/>
  <c r="X8411" i="1"/>
  <c r="Y8411" i="1"/>
  <c r="Z8411" i="1"/>
  <c r="A8412" i="1"/>
  <c r="B8412" i="1"/>
  <c r="C8412" i="1"/>
  <c r="D8412" i="1"/>
  <c r="E8412" i="1"/>
  <c r="F8412" i="1"/>
  <c r="G8412" i="1"/>
  <c r="I8412" i="1"/>
  <c r="J8412" i="1"/>
  <c r="K8412" i="1"/>
  <c r="L8412" i="1"/>
  <c r="M8412" i="1"/>
  <c r="N8412" i="1"/>
  <c r="O8412" i="1"/>
  <c r="P8412" i="1"/>
  <c r="Q8412" i="1"/>
  <c r="R8412" i="1"/>
  <c r="S8412" i="1"/>
  <c r="T8412" i="1"/>
  <c r="U8412" i="1"/>
  <c r="V8412" i="1"/>
  <c r="W8412" i="1"/>
  <c r="X8412" i="1"/>
  <c r="Y8412" i="1"/>
  <c r="Z8412" i="1"/>
  <c r="A8413" i="1"/>
  <c r="B8413" i="1"/>
  <c r="C8413" i="1"/>
  <c r="D8413" i="1"/>
  <c r="E8413" i="1"/>
  <c r="F8413" i="1"/>
  <c r="G8413" i="1"/>
  <c r="I8413" i="1"/>
  <c r="J8413" i="1"/>
  <c r="K8413" i="1"/>
  <c r="L8413" i="1"/>
  <c r="M8413" i="1"/>
  <c r="N8413" i="1"/>
  <c r="O8413" i="1"/>
  <c r="P8413" i="1"/>
  <c r="Q8413" i="1"/>
  <c r="R8413" i="1"/>
  <c r="S8413" i="1"/>
  <c r="T8413" i="1"/>
  <c r="U8413" i="1"/>
  <c r="V8413" i="1"/>
  <c r="W8413" i="1"/>
  <c r="X8413" i="1"/>
  <c r="Y8413" i="1"/>
  <c r="Z8413" i="1"/>
  <c r="A8414" i="1"/>
  <c r="B8414" i="1"/>
  <c r="C8414" i="1"/>
  <c r="D8414" i="1"/>
  <c r="E8414" i="1"/>
  <c r="F8414" i="1"/>
  <c r="G8414" i="1"/>
  <c r="I8414" i="1"/>
  <c r="J8414" i="1"/>
  <c r="K8414" i="1"/>
  <c r="L8414" i="1"/>
  <c r="M8414" i="1"/>
  <c r="N8414" i="1"/>
  <c r="O8414" i="1"/>
  <c r="P8414" i="1"/>
  <c r="Q8414" i="1"/>
  <c r="R8414" i="1"/>
  <c r="S8414" i="1"/>
  <c r="T8414" i="1"/>
  <c r="U8414" i="1"/>
  <c r="V8414" i="1"/>
  <c r="W8414" i="1"/>
  <c r="X8414" i="1"/>
  <c r="Y8414" i="1"/>
  <c r="Z8414" i="1"/>
  <c r="A8415" i="1"/>
  <c r="B8415" i="1"/>
  <c r="C8415" i="1"/>
  <c r="D8415" i="1"/>
  <c r="E8415" i="1"/>
  <c r="F8415" i="1"/>
  <c r="G8415" i="1"/>
  <c r="I8415" i="1"/>
  <c r="J8415" i="1"/>
  <c r="K8415" i="1"/>
  <c r="L8415" i="1"/>
  <c r="M8415" i="1"/>
  <c r="N8415" i="1"/>
  <c r="O8415" i="1"/>
  <c r="P8415" i="1"/>
  <c r="Q8415" i="1"/>
  <c r="R8415" i="1"/>
  <c r="S8415" i="1"/>
  <c r="T8415" i="1"/>
  <c r="U8415" i="1"/>
  <c r="V8415" i="1"/>
  <c r="W8415" i="1"/>
  <c r="X8415" i="1"/>
  <c r="Y8415" i="1"/>
  <c r="Z8415" i="1"/>
  <c r="A8416" i="1"/>
  <c r="B8416" i="1"/>
  <c r="C8416" i="1"/>
  <c r="D8416" i="1"/>
  <c r="E8416" i="1"/>
  <c r="F8416" i="1"/>
  <c r="G8416" i="1"/>
  <c r="I8416" i="1"/>
  <c r="J8416" i="1"/>
  <c r="K8416" i="1"/>
  <c r="L8416" i="1"/>
  <c r="M8416" i="1"/>
  <c r="N8416" i="1"/>
  <c r="O8416" i="1"/>
  <c r="P8416" i="1"/>
  <c r="Q8416" i="1"/>
  <c r="R8416" i="1"/>
  <c r="S8416" i="1"/>
  <c r="T8416" i="1"/>
  <c r="U8416" i="1"/>
  <c r="V8416" i="1"/>
  <c r="W8416" i="1"/>
  <c r="X8416" i="1"/>
  <c r="Y8416" i="1"/>
  <c r="Z8416" i="1"/>
  <c r="A8417" i="1"/>
  <c r="B8417" i="1"/>
  <c r="C8417" i="1"/>
  <c r="D8417" i="1"/>
  <c r="E8417" i="1"/>
  <c r="F8417" i="1"/>
  <c r="G8417" i="1"/>
  <c r="I8417" i="1"/>
  <c r="J8417" i="1"/>
  <c r="K8417" i="1"/>
  <c r="L8417" i="1"/>
  <c r="M8417" i="1"/>
  <c r="N8417" i="1"/>
  <c r="O8417" i="1"/>
  <c r="P8417" i="1"/>
  <c r="Q8417" i="1"/>
  <c r="R8417" i="1"/>
  <c r="S8417" i="1"/>
  <c r="T8417" i="1"/>
  <c r="U8417" i="1"/>
  <c r="V8417" i="1"/>
  <c r="W8417" i="1"/>
  <c r="X8417" i="1"/>
  <c r="Y8417" i="1"/>
  <c r="Z8417" i="1"/>
  <c r="A8418" i="1"/>
  <c r="B8418" i="1"/>
  <c r="C8418" i="1"/>
  <c r="D8418" i="1"/>
  <c r="E8418" i="1"/>
  <c r="F8418" i="1"/>
  <c r="G8418" i="1"/>
  <c r="I8418" i="1"/>
  <c r="J8418" i="1"/>
  <c r="K8418" i="1"/>
  <c r="L8418" i="1"/>
  <c r="M8418" i="1"/>
  <c r="N8418" i="1"/>
  <c r="O8418" i="1"/>
  <c r="P8418" i="1"/>
  <c r="Q8418" i="1"/>
  <c r="R8418" i="1"/>
  <c r="S8418" i="1"/>
  <c r="T8418" i="1"/>
  <c r="U8418" i="1"/>
  <c r="V8418" i="1"/>
  <c r="W8418" i="1"/>
  <c r="X8418" i="1"/>
  <c r="Y8418" i="1"/>
  <c r="Z8418" i="1"/>
  <c r="A8419" i="1"/>
  <c r="B8419" i="1"/>
  <c r="C8419" i="1"/>
  <c r="D8419" i="1"/>
  <c r="E8419" i="1"/>
  <c r="F8419" i="1"/>
  <c r="G8419" i="1"/>
  <c r="I8419" i="1"/>
  <c r="J8419" i="1"/>
  <c r="K8419" i="1"/>
  <c r="L8419" i="1"/>
  <c r="M8419" i="1"/>
  <c r="N8419" i="1"/>
  <c r="O8419" i="1"/>
  <c r="P8419" i="1"/>
  <c r="Q8419" i="1"/>
  <c r="R8419" i="1"/>
  <c r="S8419" i="1"/>
  <c r="T8419" i="1"/>
  <c r="U8419" i="1"/>
  <c r="V8419" i="1"/>
  <c r="W8419" i="1"/>
  <c r="X8419" i="1"/>
  <c r="Y8419" i="1"/>
  <c r="Z8419" i="1"/>
  <c r="A8420" i="1"/>
  <c r="B8420" i="1"/>
  <c r="C8420" i="1"/>
  <c r="D8420" i="1"/>
  <c r="E8420" i="1"/>
  <c r="F8420" i="1"/>
  <c r="G8420" i="1"/>
  <c r="I8420" i="1"/>
  <c r="J8420" i="1"/>
  <c r="K8420" i="1"/>
  <c r="L8420" i="1"/>
  <c r="M8420" i="1"/>
  <c r="N8420" i="1"/>
  <c r="O8420" i="1"/>
  <c r="P8420" i="1"/>
  <c r="Q8420" i="1"/>
  <c r="R8420" i="1"/>
  <c r="S8420" i="1"/>
  <c r="T8420" i="1"/>
  <c r="U8420" i="1"/>
  <c r="V8420" i="1"/>
  <c r="W8420" i="1"/>
  <c r="X8420" i="1"/>
  <c r="Y8420" i="1"/>
  <c r="Z8420" i="1"/>
  <c r="A8421" i="1"/>
  <c r="B8421" i="1"/>
  <c r="C8421" i="1"/>
  <c r="D8421" i="1"/>
  <c r="E8421" i="1"/>
  <c r="F8421" i="1"/>
  <c r="G8421" i="1"/>
  <c r="I8421" i="1"/>
  <c r="J8421" i="1"/>
  <c r="K8421" i="1"/>
  <c r="L8421" i="1"/>
  <c r="M8421" i="1"/>
  <c r="N8421" i="1"/>
  <c r="O8421" i="1"/>
  <c r="P8421" i="1"/>
  <c r="Q8421" i="1"/>
  <c r="R8421" i="1"/>
  <c r="S8421" i="1"/>
  <c r="T8421" i="1"/>
  <c r="U8421" i="1"/>
  <c r="V8421" i="1"/>
  <c r="W8421" i="1"/>
  <c r="X8421" i="1"/>
  <c r="Y8421" i="1"/>
  <c r="Z8421" i="1"/>
  <c r="A8422" i="1"/>
  <c r="B8422" i="1"/>
  <c r="C8422" i="1"/>
  <c r="D8422" i="1"/>
  <c r="E8422" i="1"/>
  <c r="F8422" i="1"/>
  <c r="G8422" i="1"/>
  <c r="I8422" i="1"/>
  <c r="J8422" i="1"/>
  <c r="K8422" i="1"/>
  <c r="L8422" i="1"/>
  <c r="M8422" i="1"/>
  <c r="N8422" i="1"/>
  <c r="O8422" i="1"/>
  <c r="P8422" i="1"/>
  <c r="Q8422" i="1"/>
  <c r="R8422" i="1"/>
  <c r="S8422" i="1"/>
  <c r="T8422" i="1"/>
  <c r="U8422" i="1"/>
  <c r="V8422" i="1"/>
  <c r="W8422" i="1"/>
  <c r="X8422" i="1"/>
  <c r="Y8422" i="1"/>
  <c r="Z8422" i="1"/>
  <c r="A8423" i="1"/>
  <c r="B8423" i="1"/>
  <c r="C8423" i="1"/>
  <c r="D8423" i="1"/>
  <c r="E8423" i="1"/>
  <c r="F8423" i="1"/>
  <c r="G8423" i="1"/>
  <c r="I8423" i="1"/>
  <c r="J8423" i="1"/>
  <c r="K8423" i="1"/>
  <c r="L8423" i="1"/>
  <c r="M8423" i="1"/>
  <c r="N8423" i="1"/>
  <c r="O8423" i="1"/>
  <c r="P8423" i="1"/>
  <c r="Q8423" i="1"/>
  <c r="R8423" i="1"/>
  <c r="S8423" i="1"/>
  <c r="T8423" i="1"/>
  <c r="U8423" i="1"/>
  <c r="V8423" i="1"/>
  <c r="W8423" i="1"/>
  <c r="X8423" i="1"/>
  <c r="Y8423" i="1"/>
  <c r="Z8423" i="1"/>
  <c r="A8424" i="1"/>
  <c r="B8424" i="1"/>
  <c r="C8424" i="1"/>
  <c r="D8424" i="1"/>
  <c r="E8424" i="1"/>
  <c r="F8424" i="1"/>
  <c r="G8424" i="1"/>
  <c r="I8424" i="1"/>
  <c r="J8424" i="1"/>
  <c r="K8424" i="1"/>
  <c r="L8424" i="1"/>
  <c r="M8424" i="1"/>
  <c r="N8424" i="1"/>
  <c r="O8424" i="1"/>
  <c r="P8424" i="1"/>
  <c r="Q8424" i="1"/>
  <c r="R8424" i="1"/>
  <c r="S8424" i="1"/>
  <c r="T8424" i="1"/>
  <c r="U8424" i="1"/>
  <c r="V8424" i="1"/>
  <c r="W8424" i="1"/>
  <c r="X8424" i="1"/>
  <c r="Y8424" i="1"/>
  <c r="Z8424" i="1"/>
  <c r="A8425" i="1"/>
  <c r="B8425" i="1"/>
  <c r="C8425" i="1"/>
  <c r="D8425" i="1"/>
  <c r="E8425" i="1"/>
  <c r="F8425" i="1"/>
  <c r="G8425" i="1"/>
  <c r="I8425" i="1"/>
  <c r="J8425" i="1"/>
  <c r="K8425" i="1"/>
  <c r="L8425" i="1"/>
  <c r="M8425" i="1"/>
  <c r="N8425" i="1"/>
  <c r="O8425" i="1"/>
  <c r="P8425" i="1"/>
  <c r="Q8425" i="1"/>
  <c r="R8425" i="1"/>
  <c r="S8425" i="1"/>
  <c r="T8425" i="1"/>
  <c r="U8425" i="1"/>
  <c r="V8425" i="1"/>
  <c r="W8425" i="1"/>
  <c r="X8425" i="1"/>
  <c r="Y8425" i="1"/>
  <c r="Z8425" i="1"/>
  <c r="A8426" i="1"/>
  <c r="B8426" i="1"/>
  <c r="C8426" i="1"/>
  <c r="D8426" i="1"/>
  <c r="E8426" i="1"/>
  <c r="F8426" i="1"/>
  <c r="G8426" i="1"/>
  <c r="I8426" i="1"/>
  <c r="J8426" i="1"/>
  <c r="K8426" i="1"/>
  <c r="L8426" i="1"/>
  <c r="M8426" i="1"/>
  <c r="N8426" i="1"/>
  <c r="O8426" i="1"/>
  <c r="P8426" i="1"/>
  <c r="Q8426" i="1"/>
  <c r="R8426" i="1"/>
  <c r="S8426" i="1"/>
  <c r="T8426" i="1"/>
  <c r="U8426" i="1"/>
  <c r="V8426" i="1"/>
  <c r="W8426" i="1"/>
  <c r="X8426" i="1"/>
  <c r="Y8426" i="1"/>
  <c r="Z8426" i="1"/>
  <c r="A8427" i="1"/>
  <c r="B8427" i="1"/>
  <c r="C8427" i="1"/>
  <c r="D8427" i="1"/>
  <c r="E8427" i="1"/>
  <c r="F8427" i="1"/>
  <c r="G8427" i="1"/>
  <c r="I8427" i="1"/>
  <c r="J8427" i="1"/>
  <c r="K8427" i="1"/>
  <c r="L8427" i="1"/>
  <c r="M8427" i="1"/>
  <c r="N8427" i="1"/>
  <c r="O8427" i="1"/>
  <c r="P8427" i="1"/>
  <c r="Q8427" i="1"/>
  <c r="R8427" i="1"/>
  <c r="S8427" i="1"/>
  <c r="T8427" i="1"/>
  <c r="U8427" i="1"/>
  <c r="V8427" i="1"/>
  <c r="W8427" i="1"/>
  <c r="X8427" i="1"/>
  <c r="Y8427" i="1"/>
  <c r="Z8427" i="1"/>
  <c r="A8428" i="1"/>
  <c r="B8428" i="1"/>
  <c r="C8428" i="1"/>
  <c r="D8428" i="1"/>
  <c r="E8428" i="1"/>
  <c r="F8428" i="1"/>
  <c r="G8428" i="1"/>
  <c r="I8428" i="1"/>
  <c r="J8428" i="1"/>
  <c r="K8428" i="1"/>
  <c r="L8428" i="1"/>
  <c r="M8428" i="1"/>
  <c r="N8428" i="1"/>
  <c r="O8428" i="1"/>
  <c r="P8428" i="1"/>
  <c r="Q8428" i="1"/>
  <c r="R8428" i="1"/>
  <c r="S8428" i="1"/>
  <c r="T8428" i="1"/>
  <c r="U8428" i="1"/>
  <c r="V8428" i="1"/>
  <c r="W8428" i="1"/>
  <c r="X8428" i="1"/>
  <c r="Y8428" i="1"/>
  <c r="Z8428" i="1"/>
  <c r="A8429" i="1"/>
  <c r="B8429" i="1"/>
  <c r="C8429" i="1"/>
  <c r="D8429" i="1"/>
  <c r="E8429" i="1"/>
  <c r="F8429" i="1"/>
  <c r="G8429" i="1"/>
  <c r="I8429" i="1"/>
  <c r="J8429" i="1"/>
  <c r="K8429" i="1"/>
  <c r="L8429" i="1"/>
  <c r="M8429" i="1"/>
  <c r="N8429" i="1"/>
  <c r="O8429" i="1"/>
  <c r="P8429" i="1"/>
  <c r="Q8429" i="1"/>
  <c r="R8429" i="1"/>
  <c r="S8429" i="1"/>
  <c r="T8429" i="1"/>
  <c r="U8429" i="1"/>
  <c r="V8429" i="1"/>
  <c r="W8429" i="1"/>
  <c r="X8429" i="1"/>
  <c r="Y8429" i="1"/>
  <c r="Z8429" i="1"/>
  <c r="A8430" i="1"/>
  <c r="B8430" i="1"/>
  <c r="C8430" i="1"/>
  <c r="D8430" i="1"/>
  <c r="E8430" i="1"/>
  <c r="F8430" i="1"/>
  <c r="G8430" i="1"/>
  <c r="I8430" i="1"/>
  <c r="J8430" i="1"/>
  <c r="K8430" i="1"/>
  <c r="L8430" i="1"/>
  <c r="M8430" i="1"/>
  <c r="N8430" i="1"/>
  <c r="O8430" i="1"/>
  <c r="P8430" i="1"/>
  <c r="Q8430" i="1"/>
  <c r="R8430" i="1"/>
  <c r="S8430" i="1"/>
  <c r="T8430" i="1"/>
  <c r="U8430" i="1"/>
  <c r="V8430" i="1"/>
  <c r="W8430" i="1"/>
  <c r="X8430" i="1"/>
  <c r="Y8430" i="1"/>
  <c r="Z8430" i="1"/>
  <c r="A8431" i="1"/>
  <c r="B8431" i="1"/>
  <c r="C8431" i="1"/>
  <c r="D8431" i="1"/>
  <c r="E8431" i="1"/>
  <c r="F8431" i="1"/>
  <c r="G8431" i="1"/>
  <c r="I8431" i="1"/>
  <c r="J8431" i="1"/>
  <c r="K8431" i="1"/>
  <c r="L8431" i="1"/>
  <c r="M8431" i="1"/>
  <c r="N8431" i="1"/>
  <c r="O8431" i="1"/>
  <c r="P8431" i="1"/>
  <c r="Q8431" i="1"/>
  <c r="R8431" i="1"/>
  <c r="S8431" i="1"/>
  <c r="T8431" i="1"/>
  <c r="U8431" i="1"/>
  <c r="V8431" i="1"/>
  <c r="W8431" i="1"/>
  <c r="X8431" i="1"/>
  <c r="Y8431" i="1"/>
  <c r="Z8431" i="1"/>
  <c r="A8432" i="1"/>
  <c r="B8432" i="1"/>
  <c r="C8432" i="1"/>
  <c r="D8432" i="1"/>
  <c r="E8432" i="1"/>
  <c r="F8432" i="1"/>
  <c r="G8432" i="1"/>
  <c r="I8432" i="1"/>
  <c r="J8432" i="1"/>
  <c r="K8432" i="1"/>
  <c r="L8432" i="1"/>
  <c r="M8432" i="1"/>
  <c r="N8432" i="1"/>
  <c r="O8432" i="1"/>
  <c r="P8432" i="1"/>
  <c r="Q8432" i="1"/>
  <c r="R8432" i="1"/>
  <c r="S8432" i="1"/>
  <c r="T8432" i="1"/>
  <c r="U8432" i="1"/>
  <c r="V8432" i="1"/>
  <c r="W8432" i="1"/>
  <c r="X8432" i="1"/>
  <c r="Y8432" i="1"/>
  <c r="Z8432" i="1"/>
  <c r="A8433" i="1"/>
  <c r="B8433" i="1"/>
  <c r="C8433" i="1"/>
  <c r="D8433" i="1"/>
  <c r="E8433" i="1"/>
  <c r="F8433" i="1"/>
  <c r="G8433" i="1"/>
  <c r="I8433" i="1"/>
  <c r="J8433" i="1"/>
  <c r="K8433" i="1"/>
  <c r="L8433" i="1"/>
  <c r="M8433" i="1"/>
  <c r="N8433" i="1"/>
  <c r="O8433" i="1"/>
  <c r="P8433" i="1"/>
  <c r="Q8433" i="1"/>
  <c r="R8433" i="1"/>
  <c r="S8433" i="1"/>
  <c r="T8433" i="1"/>
  <c r="U8433" i="1"/>
  <c r="V8433" i="1"/>
  <c r="W8433" i="1"/>
  <c r="X8433" i="1"/>
  <c r="Y8433" i="1"/>
  <c r="Z8433" i="1"/>
  <c r="A8434" i="1"/>
  <c r="B8434" i="1"/>
  <c r="C8434" i="1"/>
  <c r="D8434" i="1"/>
  <c r="E8434" i="1"/>
  <c r="F8434" i="1"/>
  <c r="G8434" i="1"/>
  <c r="I8434" i="1"/>
  <c r="J8434" i="1"/>
  <c r="K8434" i="1"/>
  <c r="L8434" i="1"/>
  <c r="M8434" i="1"/>
  <c r="N8434" i="1"/>
  <c r="O8434" i="1"/>
  <c r="P8434" i="1"/>
  <c r="Q8434" i="1"/>
  <c r="R8434" i="1"/>
  <c r="S8434" i="1"/>
  <c r="T8434" i="1"/>
  <c r="U8434" i="1"/>
  <c r="V8434" i="1"/>
  <c r="W8434" i="1"/>
  <c r="X8434" i="1"/>
  <c r="Y8434" i="1"/>
  <c r="Z8434" i="1"/>
  <c r="A8435" i="1"/>
  <c r="B8435" i="1"/>
  <c r="C8435" i="1"/>
  <c r="D8435" i="1"/>
  <c r="E8435" i="1"/>
  <c r="F8435" i="1"/>
  <c r="G8435" i="1"/>
  <c r="I8435" i="1"/>
  <c r="J8435" i="1"/>
  <c r="K8435" i="1"/>
  <c r="L8435" i="1"/>
  <c r="M8435" i="1"/>
  <c r="N8435" i="1"/>
  <c r="O8435" i="1"/>
  <c r="P8435" i="1"/>
  <c r="Q8435" i="1"/>
  <c r="R8435" i="1"/>
  <c r="S8435" i="1"/>
  <c r="T8435" i="1"/>
  <c r="U8435" i="1"/>
  <c r="V8435" i="1"/>
  <c r="W8435" i="1"/>
  <c r="X8435" i="1"/>
  <c r="Y8435" i="1"/>
  <c r="Z8435" i="1"/>
  <c r="A8436" i="1"/>
  <c r="B8436" i="1"/>
  <c r="C8436" i="1"/>
  <c r="D8436" i="1"/>
  <c r="E8436" i="1"/>
  <c r="F8436" i="1"/>
  <c r="G8436" i="1"/>
  <c r="I8436" i="1"/>
  <c r="J8436" i="1"/>
  <c r="K8436" i="1"/>
  <c r="L8436" i="1"/>
  <c r="M8436" i="1"/>
  <c r="N8436" i="1"/>
  <c r="O8436" i="1"/>
  <c r="P8436" i="1"/>
  <c r="Q8436" i="1"/>
  <c r="R8436" i="1"/>
  <c r="S8436" i="1"/>
  <c r="T8436" i="1"/>
  <c r="U8436" i="1"/>
  <c r="V8436" i="1"/>
  <c r="W8436" i="1"/>
  <c r="X8436" i="1"/>
  <c r="Y8436" i="1"/>
  <c r="Z8436" i="1"/>
  <c r="A8437" i="1"/>
  <c r="B8437" i="1"/>
  <c r="C8437" i="1"/>
  <c r="D8437" i="1"/>
  <c r="E8437" i="1"/>
  <c r="F8437" i="1"/>
  <c r="G8437" i="1"/>
  <c r="I8437" i="1"/>
  <c r="J8437" i="1"/>
  <c r="K8437" i="1"/>
  <c r="L8437" i="1"/>
  <c r="M8437" i="1"/>
  <c r="N8437" i="1"/>
  <c r="O8437" i="1"/>
  <c r="P8437" i="1"/>
  <c r="Q8437" i="1"/>
  <c r="R8437" i="1"/>
  <c r="S8437" i="1"/>
  <c r="T8437" i="1"/>
  <c r="U8437" i="1"/>
  <c r="V8437" i="1"/>
  <c r="W8437" i="1"/>
  <c r="X8437" i="1"/>
  <c r="Y8437" i="1"/>
  <c r="Z8437" i="1"/>
  <c r="A8438" i="1"/>
  <c r="B8438" i="1"/>
  <c r="C8438" i="1"/>
  <c r="D8438" i="1"/>
  <c r="E8438" i="1"/>
  <c r="F8438" i="1"/>
  <c r="G8438" i="1"/>
  <c r="I8438" i="1"/>
  <c r="J8438" i="1"/>
  <c r="K8438" i="1"/>
  <c r="L8438" i="1"/>
  <c r="M8438" i="1"/>
  <c r="N8438" i="1"/>
  <c r="O8438" i="1"/>
  <c r="P8438" i="1"/>
  <c r="Q8438" i="1"/>
  <c r="R8438" i="1"/>
  <c r="S8438" i="1"/>
  <c r="T8438" i="1"/>
  <c r="U8438" i="1"/>
  <c r="V8438" i="1"/>
  <c r="W8438" i="1"/>
  <c r="X8438" i="1"/>
  <c r="Y8438" i="1"/>
  <c r="Z8438" i="1"/>
  <c r="A8439" i="1"/>
  <c r="B8439" i="1"/>
  <c r="C8439" i="1"/>
  <c r="D8439" i="1"/>
  <c r="E8439" i="1"/>
  <c r="F8439" i="1"/>
  <c r="G8439" i="1"/>
  <c r="I8439" i="1"/>
  <c r="J8439" i="1"/>
  <c r="K8439" i="1"/>
  <c r="L8439" i="1"/>
  <c r="M8439" i="1"/>
  <c r="N8439" i="1"/>
  <c r="O8439" i="1"/>
  <c r="P8439" i="1"/>
  <c r="Q8439" i="1"/>
  <c r="R8439" i="1"/>
  <c r="S8439" i="1"/>
  <c r="T8439" i="1"/>
  <c r="U8439" i="1"/>
  <c r="V8439" i="1"/>
  <c r="W8439" i="1"/>
  <c r="X8439" i="1"/>
  <c r="Y8439" i="1"/>
  <c r="Z8439" i="1"/>
  <c r="A8440" i="1"/>
  <c r="B8440" i="1"/>
  <c r="C8440" i="1"/>
  <c r="D8440" i="1"/>
  <c r="E8440" i="1"/>
  <c r="F8440" i="1"/>
  <c r="G8440" i="1"/>
  <c r="I8440" i="1"/>
  <c r="J8440" i="1"/>
  <c r="K8440" i="1"/>
  <c r="L8440" i="1"/>
  <c r="M8440" i="1"/>
  <c r="N8440" i="1"/>
  <c r="O8440" i="1"/>
  <c r="P8440" i="1"/>
  <c r="Q8440" i="1"/>
  <c r="R8440" i="1"/>
  <c r="S8440" i="1"/>
  <c r="T8440" i="1"/>
  <c r="U8440" i="1"/>
  <c r="V8440" i="1"/>
  <c r="W8440" i="1"/>
  <c r="X8440" i="1"/>
  <c r="Y8440" i="1"/>
  <c r="Z8440" i="1"/>
  <c r="A8441" i="1"/>
  <c r="B8441" i="1"/>
  <c r="C8441" i="1"/>
  <c r="D8441" i="1"/>
  <c r="E8441" i="1"/>
  <c r="F8441" i="1"/>
  <c r="G8441" i="1"/>
  <c r="I8441" i="1"/>
  <c r="J8441" i="1"/>
  <c r="K8441" i="1"/>
  <c r="L8441" i="1"/>
  <c r="M8441" i="1"/>
  <c r="N8441" i="1"/>
  <c r="O8441" i="1"/>
  <c r="P8441" i="1"/>
  <c r="Q8441" i="1"/>
  <c r="R8441" i="1"/>
  <c r="S8441" i="1"/>
  <c r="T8441" i="1"/>
  <c r="U8441" i="1"/>
  <c r="V8441" i="1"/>
  <c r="W8441" i="1"/>
  <c r="X8441" i="1"/>
  <c r="Y8441" i="1"/>
  <c r="Z8441" i="1"/>
  <c r="A8442" i="1"/>
  <c r="B8442" i="1"/>
  <c r="C8442" i="1"/>
  <c r="D8442" i="1"/>
  <c r="E8442" i="1"/>
  <c r="F8442" i="1"/>
  <c r="G8442" i="1"/>
  <c r="I8442" i="1"/>
  <c r="J8442" i="1"/>
  <c r="K8442" i="1"/>
  <c r="L8442" i="1"/>
  <c r="M8442" i="1"/>
  <c r="N8442" i="1"/>
  <c r="O8442" i="1"/>
  <c r="P8442" i="1"/>
  <c r="Q8442" i="1"/>
  <c r="R8442" i="1"/>
  <c r="S8442" i="1"/>
  <c r="T8442" i="1"/>
  <c r="U8442" i="1"/>
  <c r="V8442" i="1"/>
  <c r="W8442" i="1"/>
  <c r="X8442" i="1"/>
  <c r="Y8442" i="1"/>
  <c r="Z8442" i="1"/>
  <c r="A8443" i="1"/>
  <c r="B8443" i="1"/>
  <c r="C8443" i="1"/>
  <c r="D8443" i="1"/>
  <c r="E8443" i="1"/>
  <c r="F8443" i="1"/>
  <c r="G8443" i="1"/>
  <c r="I8443" i="1"/>
  <c r="J8443" i="1"/>
  <c r="K8443" i="1"/>
  <c r="L8443" i="1"/>
  <c r="M8443" i="1"/>
  <c r="N8443" i="1"/>
  <c r="O8443" i="1"/>
  <c r="P8443" i="1"/>
  <c r="Q8443" i="1"/>
  <c r="R8443" i="1"/>
  <c r="S8443" i="1"/>
  <c r="T8443" i="1"/>
  <c r="U8443" i="1"/>
  <c r="V8443" i="1"/>
  <c r="W8443" i="1"/>
  <c r="X8443" i="1"/>
  <c r="Y8443" i="1"/>
  <c r="Z8443" i="1"/>
  <c r="A8444" i="1"/>
  <c r="B8444" i="1"/>
  <c r="C8444" i="1"/>
  <c r="D8444" i="1"/>
  <c r="E8444" i="1"/>
  <c r="F8444" i="1"/>
  <c r="G8444" i="1"/>
  <c r="I8444" i="1"/>
  <c r="J8444" i="1"/>
  <c r="K8444" i="1"/>
  <c r="L8444" i="1"/>
  <c r="M8444" i="1"/>
  <c r="N8444" i="1"/>
  <c r="O8444" i="1"/>
  <c r="P8444" i="1"/>
  <c r="Q8444" i="1"/>
  <c r="R8444" i="1"/>
  <c r="S8444" i="1"/>
  <c r="T8444" i="1"/>
  <c r="U8444" i="1"/>
  <c r="V8444" i="1"/>
  <c r="W8444" i="1"/>
  <c r="X8444" i="1"/>
  <c r="Y8444" i="1"/>
  <c r="Z8444" i="1"/>
  <c r="A8445" i="1"/>
  <c r="B8445" i="1"/>
  <c r="C8445" i="1"/>
  <c r="D8445" i="1"/>
  <c r="E8445" i="1"/>
  <c r="F8445" i="1"/>
  <c r="G8445" i="1"/>
  <c r="I8445" i="1"/>
  <c r="J8445" i="1"/>
  <c r="K8445" i="1"/>
  <c r="L8445" i="1"/>
  <c r="M8445" i="1"/>
  <c r="N8445" i="1"/>
  <c r="O8445" i="1"/>
  <c r="P8445" i="1"/>
  <c r="Q8445" i="1"/>
  <c r="R8445" i="1"/>
  <c r="S8445" i="1"/>
  <c r="T8445" i="1"/>
  <c r="U8445" i="1"/>
  <c r="V8445" i="1"/>
  <c r="W8445" i="1"/>
  <c r="X8445" i="1"/>
  <c r="Y8445" i="1"/>
  <c r="Z8445" i="1"/>
  <c r="A8446" i="1"/>
  <c r="B8446" i="1"/>
  <c r="C8446" i="1"/>
  <c r="D8446" i="1"/>
  <c r="E8446" i="1"/>
  <c r="F8446" i="1"/>
  <c r="G8446" i="1"/>
  <c r="I8446" i="1"/>
  <c r="J8446" i="1"/>
  <c r="K8446" i="1"/>
  <c r="L8446" i="1"/>
  <c r="M8446" i="1"/>
  <c r="N8446" i="1"/>
  <c r="O8446" i="1"/>
  <c r="P8446" i="1"/>
  <c r="Q8446" i="1"/>
  <c r="R8446" i="1"/>
  <c r="S8446" i="1"/>
  <c r="T8446" i="1"/>
  <c r="U8446" i="1"/>
  <c r="V8446" i="1"/>
  <c r="W8446" i="1"/>
  <c r="X8446" i="1"/>
  <c r="Y8446" i="1"/>
  <c r="Z8446" i="1"/>
  <c r="A8447" i="1"/>
  <c r="B8447" i="1"/>
  <c r="C8447" i="1"/>
  <c r="D8447" i="1"/>
  <c r="E8447" i="1"/>
  <c r="F8447" i="1"/>
  <c r="G8447" i="1"/>
  <c r="I8447" i="1"/>
  <c r="J8447" i="1"/>
  <c r="K8447" i="1"/>
  <c r="L8447" i="1"/>
  <c r="M8447" i="1"/>
  <c r="N8447" i="1"/>
  <c r="O8447" i="1"/>
  <c r="P8447" i="1"/>
  <c r="Q8447" i="1"/>
  <c r="R8447" i="1"/>
  <c r="S8447" i="1"/>
  <c r="T8447" i="1"/>
  <c r="U8447" i="1"/>
  <c r="V8447" i="1"/>
  <c r="W8447" i="1"/>
  <c r="X8447" i="1"/>
  <c r="Y8447" i="1"/>
  <c r="Z8447" i="1"/>
  <c r="A8448" i="1"/>
  <c r="B8448" i="1"/>
  <c r="C8448" i="1"/>
  <c r="D8448" i="1"/>
  <c r="E8448" i="1"/>
  <c r="F8448" i="1"/>
  <c r="G8448" i="1"/>
  <c r="I8448" i="1"/>
  <c r="J8448" i="1"/>
  <c r="K8448" i="1"/>
  <c r="L8448" i="1"/>
  <c r="M8448" i="1"/>
  <c r="N8448" i="1"/>
  <c r="O8448" i="1"/>
  <c r="P8448" i="1"/>
  <c r="Q8448" i="1"/>
  <c r="R8448" i="1"/>
  <c r="S8448" i="1"/>
  <c r="T8448" i="1"/>
  <c r="U8448" i="1"/>
  <c r="V8448" i="1"/>
  <c r="W8448" i="1"/>
  <c r="X8448" i="1"/>
  <c r="Y8448" i="1"/>
  <c r="Z8448" i="1"/>
  <c r="A8449" i="1"/>
  <c r="B8449" i="1"/>
  <c r="C8449" i="1"/>
  <c r="D8449" i="1"/>
  <c r="E8449" i="1"/>
  <c r="F8449" i="1"/>
  <c r="G8449" i="1"/>
  <c r="I8449" i="1"/>
  <c r="J8449" i="1"/>
  <c r="K8449" i="1"/>
  <c r="L8449" i="1"/>
  <c r="M8449" i="1"/>
  <c r="N8449" i="1"/>
  <c r="O8449" i="1"/>
  <c r="P8449" i="1"/>
  <c r="Q8449" i="1"/>
  <c r="R8449" i="1"/>
  <c r="S8449" i="1"/>
  <c r="T8449" i="1"/>
  <c r="U8449" i="1"/>
  <c r="V8449" i="1"/>
  <c r="W8449" i="1"/>
  <c r="X8449" i="1"/>
  <c r="Y8449" i="1"/>
  <c r="Z8449" i="1"/>
  <c r="A8450" i="1"/>
  <c r="B8450" i="1"/>
  <c r="C8450" i="1"/>
  <c r="D8450" i="1"/>
  <c r="E8450" i="1"/>
  <c r="F8450" i="1"/>
  <c r="G8450" i="1"/>
  <c r="I8450" i="1"/>
  <c r="J8450" i="1"/>
  <c r="K8450" i="1"/>
  <c r="L8450" i="1"/>
  <c r="M8450" i="1"/>
  <c r="N8450" i="1"/>
  <c r="O8450" i="1"/>
  <c r="P8450" i="1"/>
  <c r="Q8450" i="1"/>
  <c r="R8450" i="1"/>
  <c r="S8450" i="1"/>
  <c r="T8450" i="1"/>
  <c r="U8450" i="1"/>
  <c r="V8450" i="1"/>
  <c r="W8450" i="1"/>
  <c r="X8450" i="1"/>
  <c r="Y8450" i="1"/>
  <c r="Z8450" i="1"/>
  <c r="A8451" i="1"/>
  <c r="B8451" i="1"/>
  <c r="C8451" i="1"/>
  <c r="D8451" i="1"/>
  <c r="E8451" i="1"/>
  <c r="F8451" i="1"/>
  <c r="G8451" i="1"/>
  <c r="I8451" i="1"/>
  <c r="J8451" i="1"/>
  <c r="K8451" i="1"/>
  <c r="L8451" i="1"/>
  <c r="M8451" i="1"/>
  <c r="N8451" i="1"/>
  <c r="O8451" i="1"/>
  <c r="P8451" i="1"/>
  <c r="Q8451" i="1"/>
  <c r="R8451" i="1"/>
  <c r="S8451" i="1"/>
  <c r="T8451" i="1"/>
  <c r="U8451" i="1"/>
  <c r="V8451" i="1"/>
  <c r="W8451" i="1"/>
  <c r="X8451" i="1"/>
  <c r="Y8451" i="1"/>
  <c r="Z8451" i="1"/>
  <c r="A8452" i="1"/>
  <c r="B8452" i="1"/>
  <c r="C8452" i="1"/>
  <c r="D8452" i="1"/>
  <c r="E8452" i="1"/>
  <c r="F8452" i="1"/>
  <c r="G8452" i="1"/>
  <c r="I8452" i="1"/>
  <c r="J8452" i="1"/>
  <c r="K8452" i="1"/>
  <c r="L8452" i="1"/>
  <c r="M8452" i="1"/>
  <c r="N8452" i="1"/>
  <c r="O8452" i="1"/>
  <c r="P8452" i="1"/>
  <c r="Q8452" i="1"/>
  <c r="R8452" i="1"/>
  <c r="S8452" i="1"/>
  <c r="T8452" i="1"/>
  <c r="U8452" i="1"/>
  <c r="V8452" i="1"/>
  <c r="W8452" i="1"/>
  <c r="X8452" i="1"/>
  <c r="Y8452" i="1"/>
  <c r="Z8452" i="1"/>
  <c r="A8453" i="1"/>
  <c r="B8453" i="1"/>
  <c r="C8453" i="1"/>
  <c r="D8453" i="1"/>
  <c r="E8453" i="1"/>
  <c r="F8453" i="1"/>
  <c r="G8453" i="1"/>
  <c r="I8453" i="1"/>
  <c r="J8453" i="1"/>
  <c r="K8453" i="1"/>
  <c r="L8453" i="1"/>
  <c r="M8453" i="1"/>
  <c r="N8453" i="1"/>
  <c r="O8453" i="1"/>
  <c r="P8453" i="1"/>
  <c r="Q8453" i="1"/>
  <c r="R8453" i="1"/>
  <c r="S8453" i="1"/>
  <c r="T8453" i="1"/>
  <c r="U8453" i="1"/>
  <c r="V8453" i="1"/>
  <c r="W8453" i="1"/>
  <c r="X8453" i="1"/>
  <c r="Y8453" i="1"/>
  <c r="Z8453" i="1"/>
  <c r="A8454" i="1"/>
  <c r="B8454" i="1"/>
  <c r="C8454" i="1"/>
  <c r="D8454" i="1"/>
  <c r="E8454" i="1"/>
  <c r="F8454" i="1"/>
  <c r="G8454" i="1"/>
  <c r="I8454" i="1"/>
  <c r="J8454" i="1"/>
  <c r="K8454" i="1"/>
  <c r="L8454" i="1"/>
  <c r="M8454" i="1"/>
  <c r="N8454" i="1"/>
  <c r="O8454" i="1"/>
  <c r="P8454" i="1"/>
  <c r="Q8454" i="1"/>
  <c r="R8454" i="1"/>
  <c r="S8454" i="1"/>
  <c r="T8454" i="1"/>
  <c r="U8454" i="1"/>
  <c r="V8454" i="1"/>
  <c r="W8454" i="1"/>
  <c r="X8454" i="1"/>
  <c r="Y8454" i="1"/>
  <c r="Z8454" i="1"/>
  <c r="A8455" i="1"/>
  <c r="B8455" i="1"/>
  <c r="C8455" i="1"/>
  <c r="D8455" i="1"/>
  <c r="E8455" i="1"/>
  <c r="F8455" i="1"/>
  <c r="G8455" i="1"/>
  <c r="I8455" i="1"/>
  <c r="J8455" i="1"/>
  <c r="K8455" i="1"/>
  <c r="L8455" i="1"/>
  <c r="M8455" i="1"/>
  <c r="N8455" i="1"/>
  <c r="O8455" i="1"/>
  <c r="P8455" i="1"/>
  <c r="Q8455" i="1"/>
  <c r="R8455" i="1"/>
  <c r="S8455" i="1"/>
  <c r="T8455" i="1"/>
  <c r="U8455" i="1"/>
  <c r="V8455" i="1"/>
  <c r="W8455" i="1"/>
  <c r="X8455" i="1"/>
  <c r="Y8455" i="1"/>
  <c r="Z8455" i="1"/>
  <c r="A8456" i="1"/>
  <c r="B8456" i="1"/>
  <c r="C8456" i="1"/>
  <c r="D8456" i="1"/>
  <c r="E8456" i="1"/>
  <c r="F8456" i="1"/>
  <c r="G8456" i="1"/>
  <c r="I8456" i="1"/>
  <c r="J8456" i="1"/>
  <c r="K8456" i="1"/>
  <c r="L8456" i="1"/>
  <c r="M8456" i="1"/>
  <c r="N8456" i="1"/>
  <c r="O8456" i="1"/>
  <c r="P8456" i="1"/>
  <c r="Q8456" i="1"/>
  <c r="R8456" i="1"/>
  <c r="S8456" i="1"/>
  <c r="T8456" i="1"/>
  <c r="U8456" i="1"/>
  <c r="V8456" i="1"/>
  <c r="W8456" i="1"/>
  <c r="X8456" i="1"/>
  <c r="Y8456" i="1"/>
  <c r="Z8456" i="1"/>
  <c r="A8457" i="1"/>
  <c r="B8457" i="1"/>
  <c r="C8457" i="1"/>
  <c r="D8457" i="1"/>
  <c r="E8457" i="1"/>
  <c r="F8457" i="1"/>
  <c r="G8457" i="1"/>
  <c r="I8457" i="1"/>
  <c r="J8457" i="1"/>
  <c r="K8457" i="1"/>
  <c r="L8457" i="1"/>
  <c r="M8457" i="1"/>
  <c r="N8457" i="1"/>
  <c r="O8457" i="1"/>
  <c r="P8457" i="1"/>
  <c r="Q8457" i="1"/>
  <c r="R8457" i="1"/>
  <c r="S8457" i="1"/>
  <c r="T8457" i="1"/>
  <c r="U8457" i="1"/>
  <c r="V8457" i="1"/>
  <c r="W8457" i="1"/>
  <c r="X8457" i="1"/>
  <c r="Y8457" i="1"/>
  <c r="Z8457" i="1"/>
  <c r="A8458" i="1"/>
  <c r="B8458" i="1"/>
  <c r="C8458" i="1"/>
  <c r="D8458" i="1"/>
  <c r="E8458" i="1"/>
  <c r="F8458" i="1"/>
  <c r="G8458" i="1"/>
  <c r="I8458" i="1"/>
  <c r="J8458" i="1"/>
  <c r="K8458" i="1"/>
  <c r="L8458" i="1"/>
  <c r="M8458" i="1"/>
  <c r="N8458" i="1"/>
  <c r="O8458" i="1"/>
  <c r="P8458" i="1"/>
  <c r="Q8458" i="1"/>
  <c r="R8458" i="1"/>
  <c r="S8458" i="1"/>
  <c r="T8458" i="1"/>
  <c r="U8458" i="1"/>
  <c r="V8458" i="1"/>
  <c r="W8458" i="1"/>
  <c r="X8458" i="1"/>
  <c r="Y8458" i="1"/>
  <c r="Z8458" i="1"/>
  <c r="A8459" i="1"/>
  <c r="B8459" i="1"/>
  <c r="C8459" i="1"/>
  <c r="D8459" i="1"/>
  <c r="E8459" i="1"/>
  <c r="F8459" i="1"/>
  <c r="G8459" i="1"/>
  <c r="I8459" i="1"/>
  <c r="J8459" i="1"/>
  <c r="K8459" i="1"/>
  <c r="L8459" i="1"/>
  <c r="M8459" i="1"/>
  <c r="N8459" i="1"/>
  <c r="O8459" i="1"/>
  <c r="P8459" i="1"/>
  <c r="Q8459" i="1"/>
  <c r="R8459" i="1"/>
  <c r="S8459" i="1"/>
  <c r="T8459" i="1"/>
  <c r="U8459" i="1"/>
  <c r="V8459" i="1"/>
  <c r="W8459" i="1"/>
  <c r="X8459" i="1"/>
  <c r="Y8459" i="1"/>
  <c r="Z8459" i="1"/>
  <c r="A8460" i="1"/>
  <c r="B8460" i="1"/>
  <c r="C8460" i="1"/>
  <c r="D8460" i="1"/>
  <c r="E8460" i="1"/>
  <c r="F8460" i="1"/>
  <c r="G8460" i="1"/>
  <c r="I8460" i="1"/>
  <c r="J8460" i="1"/>
  <c r="K8460" i="1"/>
  <c r="L8460" i="1"/>
  <c r="M8460" i="1"/>
  <c r="N8460" i="1"/>
  <c r="O8460" i="1"/>
  <c r="P8460" i="1"/>
  <c r="Q8460" i="1"/>
  <c r="R8460" i="1"/>
  <c r="S8460" i="1"/>
  <c r="T8460" i="1"/>
  <c r="U8460" i="1"/>
  <c r="V8460" i="1"/>
  <c r="W8460" i="1"/>
  <c r="X8460" i="1"/>
  <c r="Y8460" i="1"/>
  <c r="Z8460" i="1"/>
  <c r="A8461" i="1"/>
  <c r="B8461" i="1"/>
  <c r="C8461" i="1"/>
  <c r="D8461" i="1"/>
  <c r="E8461" i="1"/>
  <c r="F8461" i="1"/>
  <c r="G8461" i="1"/>
  <c r="I8461" i="1"/>
  <c r="J8461" i="1"/>
  <c r="K8461" i="1"/>
  <c r="L8461" i="1"/>
  <c r="M8461" i="1"/>
  <c r="N8461" i="1"/>
  <c r="O8461" i="1"/>
  <c r="P8461" i="1"/>
  <c r="Q8461" i="1"/>
  <c r="R8461" i="1"/>
  <c r="S8461" i="1"/>
  <c r="T8461" i="1"/>
  <c r="U8461" i="1"/>
  <c r="V8461" i="1"/>
  <c r="W8461" i="1"/>
  <c r="X8461" i="1"/>
  <c r="Y8461" i="1"/>
  <c r="Z8461" i="1"/>
  <c r="A8462" i="1"/>
  <c r="B8462" i="1"/>
  <c r="C8462" i="1"/>
  <c r="D8462" i="1"/>
  <c r="E8462" i="1"/>
  <c r="F8462" i="1"/>
  <c r="G8462" i="1"/>
  <c r="I8462" i="1"/>
  <c r="J8462" i="1"/>
  <c r="K8462" i="1"/>
  <c r="L8462" i="1"/>
  <c r="M8462" i="1"/>
  <c r="N8462" i="1"/>
  <c r="O8462" i="1"/>
  <c r="P8462" i="1"/>
  <c r="Q8462" i="1"/>
  <c r="R8462" i="1"/>
  <c r="S8462" i="1"/>
  <c r="T8462" i="1"/>
  <c r="U8462" i="1"/>
  <c r="V8462" i="1"/>
  <c r="W8462" i="1"/>
  <c r="X8462" i="1"/>
  <c r="Y8462" i="1"/>
  <c r="Z8462" i="1"/>
  <c r="A8463" i="1"/>
  <c r="B8463" i="1"/>
  <c r="C8463" i="1"/>
  <c r="D8463" i="1"/>
  <c r="E8463" i="1"/>
  <c r="F8463" i="1"/>
  <c r="G8463" i="1"/>
  <c r="I8463" i="1"/>
  <c r="J8463" i="1"/>
  <c r="K8463" i="1"/>
  <c r="L8463" i="1"/>
  <c r="M8463" i="1"/>
  <c r="N8463" i="1"/>
  <c r="O8463" i="1"/>
  <c r="P8463" i="1"/>
  <c r="Q8463" i="1"/>
  <c r="R8463" i="1"/>
  <c r="S8463" i="1"/>
  <c r="T8463" i="1"/>
  <c r="U8463" i="1"/>
  <c r="V8463" i="1"/>
  <c r="W8463" i="1"/>
  <c r="X8463" i="1"/>
  <c r="Y8463" i="1"/>
  <c r="Z8463" i="1"/>
  <c r="A8464" i="1"/>
  <c r="B8464" i="1"/>
  <c r="C8464" i="1"/>
  <c r="D8464" i="1"/>
  <c r="E8464" i="1"/>
  <c r="F8464" i="1"/>
  <c r="G8464" i="1"/>
  <c r="I8464" i="1"/>
  <c r="J8464" i="1"/>
  <c r="K8464" i="1"/>
  <c r="L8464" i="1"/>
  <c r="M8464" i="1"/>
  <c r="N8464" i="1"/>
  <c r="O8464" i="1"/>
  <c r="P8464" i="1"/>
  <c r="Q8464" i="1"/>
  <c r="R8464" i="1"/>
  <c r="S8464" i="1"/>
  <c r="T8464" i="1"/>
  <c r="U8464" i="1"/>
  <c r="V8464" i="1"/>
  <c r="W8464" i="1"/>
  <c r="X8464" i="1"/>
  <c r="Y8464" i="1"/>
  <c r="Z8464" i="1"/>
  <c r="A8465" i="1"/>
  <c r="B8465" i="1"/>
  <c r="C8465" i="1"/>
  <c r="D8465" i="1"/>
  <c r="E8465" i="1"/>
  <c r="F8465" i="1"/>
  <c r="G8465" i="1"/>
  <c r="I8465" i="1"/>
  <c r="J8465" i="1"/>
  <c r="K8465" i="1"/>
  <c r="L8465" i="1"/>
  <c r="M8465" i="1"/>
  <c r="N8465" i="1"/>
  <c r="O8465" i="1"/>
  <c r="P8465" i="1"/>
  <c r="Q8465" i="1"/>
  <c r="R8465" i="1"/>
  <c r="S8465" i="1"/>
  <c r="T8465" i="1"/>
  <c r="U8465" i="1"/>
  <c r="V8465" i="1"/>
  <c r="W8465" i="1"/>
  <c r="X8465" i="1"/>
  <c r="Y8465" i="1"/>
  <c r="Z8465" i="1"/>
  <c r="A8466" i="1"/>
  <c r="B8466" i="1"/>
  <c r="C8466" i="1"/>
  <c r="D8466" i="1"/>
  <c r="E8466" i="1"/>
  <c r="F8466" i="1"/>
  <c r="G8466" i="1"/>
  <c r="I8466" i="1"/>
  <c r="J8466" i="1"/>
  <c r="K8466" i="1"/>
  <c r="L8466" i="1"/>
  <c r="M8466" i="1"/>
  <c r="N8466" i="1"/>
  <c r="O8466" i="1"/>
  <c r="P8466" i="1"/>
  <c r="Q8466" i="1"/>
  <c r="R8466" i="1"/>
  <c r="S8466" i="1"/>
  <c r="T8466" i="1"/>
  <c r="U8466" i="1"/>
  <c r="V8466" i="1"/>
  <c r="W8466" i="1"/>
  <c r="X8466" i="1"/>
  <c r="Y8466" i="1"/>
  <c r="Z8466" i="1"/>
  <c r="A8467" i="1"/>
  <c r="B8467" i="1"/>
  <c r="C8467" i="1"/>
  <c r="D8467" i="1"/>
  <c r="E8467" i="1"/>
  <c r="F8467" i="1"/>
  <c r="G8467" i="1"/>
  <c r="I8467" i="1"/>
  <c r="J8467" i="1"/>
  <c r="K8467" i="1"/>
  <c r="L8467" i="1"/>
  <c r="M8467" i="1"/>
  <c r="N8467" i="1"/>
  <c r="O8467" i="1"/>
  <c r="P8467" i="1"/>
  <c r="Q8467" i="1"/>
  <c r="R8467" i="1"/>
  <c r="S8467" i="1"/>
  <c r="T8467" i="1"/>
  <c r="U8467" i="1"/>
  <c r="V8467" i="1"/>
  <c r="W8467" i="1"/>
  <c r="X8467" i="1"/>
  <c r="Y8467" i="1"/>
  <c r="Z8467" i="1"/>
  <c r="A8468" i="1"/>
  <c r="B8468" i="1"/>
  <c r="C8468" i="1"/>
  <c r="D8468" i="1"/>
  <c r="E8468" i="1"/>
  <c r="F8468" i="1"/>
  <c r="G8468" i="1"/>
  <c r="I8468" i="1"/>
  <c r="J8468" i="1"/>
  <c r="K8468" i="1"/>
  <c r="L8468" i="1"/>
  <c r="M8468" i="1"/>
  <c r="N8468" i="1"/>
  <c r="O8468" i="1"/>
  <c r="P8468" i="1"/>
  <c r="Q8468" i="1"/>
  <c r="R8468" i="1"/>
  <c r="S8468" i="1"/>
  <c r="T8468" i="1"/>
  <c r="U8468" i="1"/>
  <c r="V8468" i="1"/>
  <c r="W8468" i="1"/>
  <c r="X8468" i="1"/>
  <c r="Y8468" i="1"/>
  <c r="Z8468" i="1"/>
  <c r="A8469" i="1"/>
  <c r="B8469" i="1"/>
  <c r="C8469" i="1"/>
  <c r="D8469" i="1"/>
  <c r="E8469" i="1"/>
  <c r="F8469" i="1"/>
  <c r="G8469" i="1"/>
  <c r="I8469" i="1"/>
  <c r="J8469" i="1"/>
  <c r="K8469" i="1"/>
  <c r="L8469" i="1"/>
  <c r="M8469" i="1"/>
  <c r="N8469" i="1"/>
  <c r="O8469" i="1"/>
  <c r="P8469" i="1"/>
  <c r="Q8469" i="1"/>
  <c r="R8469" i="1"/>
  <c r="S8469" i="1"/>
  <c r="T8469" i="1"/>
  <c r="U8469" i="1"/>
  <c r="V8469" i="1"/>
  <c r="W8469" i="1"/>
  <c r="X8469" i="1"/>
  <c r="Y8469" i="1"/>
  <c r="Z8469" i="1"/>
  <c r="A8470" i="1"/>
  <c r="B8470" i="1"/>
  <c r="C8470" i="1"/>
  <c r="D8470" i="1"/>
  <c r="E8470" i="1"/>
  <c r="F8470" i="1"/>
  <c r="G8470" i="1"/>
  <c r="I8470" i="1"/>
  <c r="J8470" i="1"/>
  <c r="K8470" i="1"/>
  <c r="L8470" i="1"/>
  <c r="M8470" i="1"/>
  <c r="N8470" i="1"/>
  <c r="O8470" i="1"/>
  <c r="P8470" i="1"/>
  <c r="Q8470" i="1"/>
  <c r="R8470" i="1"/>
  <c r="S8470" i="1"/>
  <c r="T8470" i="1"/>
  <c r="U8470" i="1"/>
  <c r="V8470" i="1"/>
  <c r="W8470" i="1"/>
  <c r="X8470" i="1"/>
  <c r="Y8470" i="1"/>
  <c r="Z8470" i="1"/>
  <c r="A8471" i="1"/>
  <c r="B8471" i="1"/>
  <c r="C8471" i="1"/>
  <c r="D8471" i="1"/>
  <c r="E8471" i="1"/>
  <c r="F8471" i="1"/>
  <c r="G8471" i="1"/>
  <c r="I8471" i="1"/>
  <c r="J8471" i="1"/>
  <c r="K8471" i="1"/>
  <c r="L8471" i="1"/>
  <c r="M8471" i="1"/>
  <c r="N8471" i="1"/>
  <c r="O8471" i="1"/>
  <c r="P8471" i="1"/>
  <c r="Q8471" i="1"/>
  <c r="R8471" i="1"/>
  <c r="S8471" i="1"/>
  <c r="T8471" i="1"/>
  <c r="U8471" i="1"/>
  <c r="V8471" i="1"/>
  <c r="W8471" i="1"/>
  <c r="X8471" i="1"/>
  <c r="Y8471" i="1"/>
  <c r="Z8471" i="1"/>
  <c r="A8472" i="1"/>
  <c r="B8472" i="1"/>
  <c r="C8472" i="1"/>
  <c r="D8472" i="1"/>
  <c r="E8472" i="1"/>
  <c r="F8472" i="1"/>
  <c r="G8472" i="1"/>
  <c r="I8472" i="1"/>
  <c r="J8472" i="1"/>
  <c r="K8472" i="1"/>
  <c r="L8472" i="1"/>
  <c r="M8472" i="1"/>
  <c r="N8472" i="1"/>
  <c r="O8472" i="1"/>
  <c r="P8472" i="1"/>
  <c r="Q8472" i="1"/>
  <c r="R8472" i="1"/>
  <c r="S8472" i="1"/>
  <c r="T8472" i="1"/>
  <c r="U8472" i="1"/>
  <c r="V8472" i="1"/>
  <c r="W8472" i="1"/>
  <c r="X8472" i="1"/>
  <c r="Y8472" i="1"/>
  <c r="Z8472" i="1"/>
  <c r="A8473" i="1"/>
  <c r="B8473" i="1"/>
  <c r="C8473" i="1"/>
  <c r="D8473" i="1"/>
  <c r="E8473" i="1"/>
  <c r="F8473" i="1"/>
  <c r="G8473" i="1"/>
  <c r="I8473" i="1"/>
  <c r="J8473" i="1"/>
  <c r="K8473" i="1"/>
  <c r="L8473" i="1"/>
  <c r="M8473" i="1"/>
  <c r="N8473" i="1"/>
  <c r="O8473" i="1"/>
  <c r="P8473" i="1"/>
  <c r="Q8473" i="1"/>
  <c r="R8473" i="1"/>
  <c r="S8473" i="1"/>
  <c r="T8473" i="1"/>
  <c r="U8473" i="1"/>
  <c r="V8473" i="1"/>
  <c r="W8473" i="1"/>
  <c r="X8473" i="1"/>
  <c r="Y8473" i="1"/>
  <c r="Z8473" i="1"/>
  <c r="A8474" i="1"/>
  <c r="B8474" i="1"/>
  <c r="C8474" i="1"/>
  <c r="D8474" i="1"/>
  <c r="E8474" i="1"/>
  <c r="F8474" i="1"/>
  <c r="G8474" i="1"/>
  <c r="I8474" i="1"/>
  <c r="J8474" i="1"/>
  <c r="K8474" i="1"/>
  <c r="L8474" i="1"/>
  <c r="M8474" i="1"/>
  <c r="N8474" i="1"/>
  <c r="O8474" i="1"/>
  <c r="P8474" i="1"/>
  <c r="Q8474" i="1"/>
  <c r="R8474" i="1"/>
  <c r="S8474" i="1"/>
  <c r="T8474" i="1"/>
  <c r="U8474" i="1"/>
  <c r="V8474" i="1"/>
  <c r="W8474" i="1"/>
  <c r="X8474" i="1"/>
  <c r="Y8474" i="1"/>
  <c r="Z8474" i="1"/>
  <c r="A8475" i="1"/>
  <c r="B8475" i="1"/>
  <c r="C8475" i="1"/>
  <c r="D8475" i="1"/>
  <c r="E8475" i="1"/>
  <c r="F8475" i="1"/>
  <c r="G8475" i="1"/>
  <c r="I8475" i="1"/>
  <c r="J8475" i="1"/>
  <c r="K8475" i="1"/>
  <c r="L8475" i="1"/>
  <c r="M8475" i="1"/>
  <c r="N8475" i="1"/>
  <c r="O8475" i="1"/>
  <c r="P8475" i="1"/>
  <c r="Q8475" i="1"/>
  <c r="R8475" i="1"/>
  <c r="S8475" i="1"/>
  <c r="T8475" i="1"/>
  <c r="U8475" i="1"/>
  <c r="V8475" i="1"/>
  <c r="W8475" i="1"/>
  <c r="X8475" i="1"/>
  <c r="Y8475" i="1"/>
  <c r="Z8475" i="1"/>
  <c r="A8476" i="1"/>
  <c r="B8476" i="1"/>
  <c r="C8476" i="1"/>
  <c r="D8476" i="1"/>
  <c r="E8476" i="1"/>
  <c r="F8476" i="1"/>
  <c r="G8476" i="1"/>
  <c r="I8476" i="1"/>
  <c r="J8476" i="1"/>
  <c r="K8476" i="1"/>
  <c r="L8476" i="1"/>
  <c r="M8476" i="1"/>
  <c r="N8476" i="1"/>
  <c r="O8476" i="1"/>
  <c r="P8476" i="1"/>
  <c r="Q8476" i="1"/>
  <c r="R8476" i="1"/>
  <c r="S8476" i="1"/>
  <c r="T8476" i="1"/>
  <c r="U8476" i="1"/>
  <c r="V8476" i="1"/>
  <c r="W8476" i="1"/>
  <c r="X8476" i="1"/>
  <c r="Y8476" i="1"/>
  <c r="Z8476" i="1"/>
  <c r="A8477" i="1"/>
  <c r="B8477" i="1"/>
  <c r="C8477" i="1"/>
  <c r="D8477" i="1"/>
  <c r="E8477" i="1"/>
  <c r="F8477" i="1"/>
  <c r="G8477" i="1"/>
  <c r="I8477" i="1"/>
  <c r="J8477" i="1"/>
  <c r="K8477" i="1"/>
  <c r="L8477" i="1"/>
  <c r="M8477" i="1"/>
  <c r="N8477" i="1"/>
  <c r="O8477" i="1"/>
  <c r="P8477" i="1"/>
  <c r="Q8477" i="1"/>
  <c r="R8477" i="1"/>
  <c r="S8477" i="1"/>
  <c r="T8477" i="1"/>
  <c r="U8477" i="1"/>
  <c r="V8477" i="1"/>
  <c r="W8477" i="1"/>
  <c r="X8477" i="1"/>
  <c r="Y8477" i="1"/>
  <c r="Z8477" i="1"/>
  <c r="A8478" i="1"/>
  <c r="B8478" i="1"/>
  <c r="C8478" i="1"/>
  <c r="D8478" i="1"/>
  <c r="E8478" i="1"/>
  <c r="F8478" i="1"/>
  <c r="G8478" i="1"/>
  <c r="I8478" i="1"/>
  <c r="J8478" i="1"/>
  <c r="K8478" i="1"/>
  <c r="L8478" i="1"/>
  <c r="M8478" i="1"/>
  <c r="N8478" i="1"/>
  <c r="O8478" i="1"/>
  <c r="P8478" i="1"/>
  <c r="Q8478" i="1"/>
  <c r="R8478" i="1"/>
  <c r="S8478" i="1"/>
  <c r="T8478" i="1"/>
  <c r="U8478" i="1"/>
  <c r="V8478" i="1"/>
  <c r="W8478" i="1"/>
  <c r="X8478" i="1"/>
  <c r="Y8478" i="1"/>
  <c r="Z8478" i="1"/>
  <c r="A8479" i="1"/>
  <c r="B8479" i="1"/>
  <c r="C8479" i="1"/>
  <c r="D8479" i="1"/>
  <c r="E8479" i="1"/>
  <c r="F8479" i="1"/>
  <c r="G8479" i="1"/>
  <c r="I8479" i="1"/>
  <c r="J8479" i="1"/>
  <c r="K8479" i="1"/>
  <c r="L8479" i="1"/>
  <c r="M8479" i="1"/>
  <c r="N8479" i="1"/>
  <c r="O8479" i="1"/>
  <c r="P8479" i="1"/>
  <c r="Q8479" i="1"/>
  <c r="R8479" i="1"/>
  <c r="S8479" i="1"/>
  <c r="T8479" i="1"/>
  <c r="U8479" i="1"/>
  <c r="V8479" i="1"/>
  <c r="W8479" i="1"/>
  <c r="X8479" i="1"/>
  <c r="Y8479" i="1"/>
  <c r="Z8479" i="1"/>
  <c r="A8480" i="1"/>
  <c r="B8480" i="1"/>
  <c r="C8480" i="1"/>
  <c r="D8480" i="1"/>
  <c r="E8480" i="1"/>
  <c r="F8480" i="1"/>
  <c r="G8480" i="1"/>
  <c r="I8480" i="1"/>
  <c r="J8480" i="1"/>
  <c r="K8480" i="1"/>
  <c r="L8480" i="1"/>
  <c r="M8480" i="1"/>
  <c r="N8480" i="1"/>
  <c r="O8480" i="1"/>
  <c r="P8480" i="1"/>
  <c r="Q8480" i="1"/>
  <c r="R8480" i="1"/>
  <c r="S8480" i="1"/>
  <c r="T8480" i="1"/>
  <c r="U8480" i="1"/>
  <c r="V8480" i="1"/>
  <c r="W8480" i="1"/>
  <c r="X8480" i="1"/>
  <c r="Y8480" i="1"/>
  <c r="Z8480" i="1"/>
  <c r="A8481" i="1"/>
  <c r="B8481" i="1"/>
  <c r="C8481" i="1"/>
  <c r="D8481" i="1"/>
  <c r="E8481" i="1"/>
  <c r="F8481" i="1"/>
  <c r="G8481" i="1"/>
  <c r="I8481" i="1"/>
  <c r="J8481" i="1"/>
  <c r="K8481" i="1"/>
  <c r="L8481" i="1"/>
  <c r="M8481" i="1"/>
  <c r="N8481" i="1"/>
  <c r="O8481" i="1"/>
  <c r="P8481" i="1"/>
  <c r="Q8481" i="1"/>
  <c r="R8481" i="1"/>
  <c r="S8481" i="1"/>
  <c r="T8481" i="1"/>
  <c r="U8481" i="1"/>
  <c r="V8481" i="1"/>
  <c r="W8481" i="1"/>
  <c r="X8481" i="1"/>
  <c r="Y8481" i="1"/>
  <c r="Z8481" i="1"/>
  <c r="A8482" i="1"/>
  <c r="B8482" i="1"/>
  <c r="C8482" i="1"/>
  <c r="D8482" i="1"/>
  <c r="E8482" i="1"/>
  <c r="F8482" i="1"/>
  <c r="G8482" i="1"/>
  <c r="I8482" i="1"/>
  <c r="J8482" i="1"/>
  <c r="K8482" i="1"/>
  <c r="L8482" i="1"/>
  <c r="M8482" i="1"/>
  <c r="N8482" i="1"/>
  <c r="O8482" i="1"/>
  <c r="P8482" i="1"/>
  <c r="Q8482" i="1"/>
  <c r="R8482" i="1"/>
  <c r="S8482" i="1"/>
  <c r="T8482" i="1"/>
  <c r="U8482" i="1"/>
  <c r="V8482" i="1"/>
  <c r="W8482" i="1"/>
  <c r="X8482" i="1"/>
  <c r="Y8482" i="1"/>
  <c r="Z8482" i="1"/>
  <c r="A8483" i="1"/>
  <c r="B8483" i="1"/>
  <c r="C8483" i="1"/>
  <c r="D8483" i="1"/>
  <c r="E8483" i="1"/>
  <c r="F8483" i="1"/>
  <c r="G8483" i="1"/>
  <c r="I8483" i="1"/>
  <c r="J8483" i="1"/>
  <c r="K8483" i="1"/>
  <c r="L8483" i="1"/>
  <c r="M8483" i="1"/>
  <c r="N8483" i="1"/>
  <c r="O8483" i="1"/>
  <c r="P8483" i="1"/>
  <c r="Q8483" i="1"/>
  <c r="R8483" i="1"/>
  <c r="S8483" i="1"/>
  <c r="T8483" i="1"/>
  <c r="U8483" i="1"/>
  <c r="V8483" i="1"/>
  <c r="W8483" i="1"/>
  <c r="X8483" i="1"/>
  <c r="Y8483" i="1"/>
  <c r="Z8483" i="1"/>
  <c r="A8484" i="1"/>
  <c r="B8484" i="1"/>
  <c r="C8484" i="1"/>
  <c r="D8484" i="1"/>
  <c r="E8484" i="1"/>
  <c r="F8484" i="1"/>
  <c r="G8484" i="1"/>
  <c r="I8484" i="1"/>
  <c r="J8484" i="1"/>
  <c r="K8484" i="1"/>
  <c r="L8484" i="1"/>
  <c r="M8484" i="1"/>
  <c r="N8484" i="1"/>
  <c r="O8484" i="1"/>
  <c r="P8484" i="1"/>
  <c r="Q8484" i="1"/>
  <c r="R8484" i="1"/>
  <c r="S8484" i="1"/>
  <c r="T8484" i="1"/>
  <c r="U8484" i="1"/>
  <c r="V8484" i="1"/>
  <c r="W8484" i="1"/>
  <c r="X8484" i="1"/>
  <c r="Y8484" i="1"/>
  <c r="Z8484" i="1"/>
  <c r="A8485" i="1"/>
  <c r="B8485" i="1"/>
  <c r="C8485" i="1"/>
  <c r="D8485" i="1"/>
  <c r="E8485" i="1"/>
  <c r="F8485" i="1"/>
  <c r="G8485" i="1"/>
  <c r="I8485" i="1"/>
  <c r="J8485" i="1"/>
  <c r="K8485" i="1"/>
  <c r="L8485" i="1"/>
  <c r="M8485" i="1"/>
  <c r="N8485" i="1"/>
  <c r="O8485" i="1"/>
  <c r="P8485" i="1"/>
  <c r="Q8485" i="1"/>
  <c r="R8485" i="1"/>
  <c r="S8485" i="1"/>
  <c r="T8485" i="1"/>
  <c r="U8485" i="1"/>
  <c r="V8485" i="1"/>
  <c r="W8485" i="1"/>
  <c r="X8485" i="1"/>
  <c r="Y8485" i="1"/>
  <c r="Z8485" i="1"/>
  <c r="A8486" i="1"/>
  <c r="B8486" i="1"/>
  <c r="C8486" i="1"/>
  <c r="D8486" i="1"/>
  <c r="E8486" i="1"/>
  <c r="F8486" i="1"/>
  <c r="G8486" i="1"/>
  <c r="I8486" i="1"/>
  <c r="J8486" i="1"/>
  <c r="K8486" i="1"/>
  <c r="L8486" i="1"/>
  <c r="M8486" i="1"/>
  <c r="N8486" i="1"/>
  <c r="O8486" i="1"/>
  <c r="P8486" i="1"/>
  <c r="Q8486" i="1"/>
  <c r="R8486" i="1"/>
  <c r="S8486" i="1"/>
  <c r="T8486" i="1"/>
  <c r="U8486" i="1"/>
  <c r="V8486" i="1"/>
  <c r="W8486" i="1"/>
  <c r="X8486" i="1"/>
  <c r="Y8486" i="1"/>
  <c r="Z8486" i="1"/>
  <c r="A8487" i="1"/>
  <c r="B8487" i="1"/>
  <c r="C8487" i="1"/>
  <c r="D8487" i="1"/>
  <c r="E8487" i="1"/>
  <c r="F8487" i="1"/>
  <c r="G8487" i="1"/>
  <c r="I8487" i="1"/>
  <c r="J8487" i="1"/>
  <c r="K8487" i="1"/>
  <c r="L8487" i="1"/>
  <c r="M8487" i="1"/>
  <c r="N8487" i="1"/>
  <c r="O8487" i="1"/>
  <c r="P8487" i="1"/>
  <c r="Q8487" i="1"/>
  <c r="R8487" i="1"/>
  <c r="S8487" i="1"/>
  <c r="T8487" i="1"/>
  <c r="U8487" i="1"/>
  <c r="V8487" i="1"/>
  <c r="W8487" i="1"/>
  <c r="X8487" i="1"/>
  <c r="Y8487" i="1"/>
  <c r="Z8487" i="1"/>
  <c r="A8488" i="1"/>
  <c r="B8488" i="1"/>
  <c r="C8488" i="1"/>
  <c r="D8488" i="1"/>
  <c r="E8488" i="1"/>
  <c r="F8488" i="1"/>
  <c r="G8488" i="1"/>
  <c r="I8488" i="1"/>
  <c r="J8488" i="1"/>
  <c r="K8488" i="1"/>
  <c r="L8488" i="1"/>
  <c r="M8488" i="1"/>
  <c r="N8488" i="1"/>
  <c r="O8488" i="1"/>
  <c r="P8488" i="1"/>
  <c r="Q8488" i="1"/>
  <c r="R8488" i="1"/>
  <c r="S8488" i="1"/>
  <c r="T8488" i="1"/>
  <c r="U8488" i="1"/>
  <c r="V8488" i="1"/>
  <c r="W8488" i="1"/>
  <c r="X8488" i="1"/>
  <c r="Y8488" i="1"/>
  <c r="Z8488" i="1"/>
  <c r="A8489" i="1"/>
  <c r="B8489" i="1"/>
  <c r="C8489" i="1"/>
  <c r="D8489" i="1"/>
  <c r="E8489" i="1"/>
  <c r="F8489" i="1"/>
  <c r="G8489" i="1"/>
  <c r="I8489" i="1"/>
  <c r="J8489" i="1"/>
  <c r="K8489" i="1"/>
  <c r="L8489" i="1"/>
  <c r="M8489" i="1"/>
  <c r="N8489" i="1"/>
  <c r="O8489" i="1"/>
  <c r="P8489" i="1"/>
  <c r="Q8489" i="1"/>
  <c r="R8489" i="1"/>
  <c r="S8489" i="1"/>
  <c r="T8489" i="1"/>
  <c r="U8489" i="1"/>
  <c r="V8489" i="1"/>
  <c r="W8489" i="1"/>
  <c r="X8489" i="1"/>
  <c r="Y8489" i="1"/>
  <c r="Z8489" i="1"/>
  <c r="A8490" i="1"/>
  <c r="B8490" i="1"/>
  <c r="C8490" i="1"/>
  <c r="D8490" i="1"/>
  <c r="E8490" i="1"/>
  <c r="F8490" i="1"/>
  <c r="G8490" i="1"/>
  <c r="I8490" i="1"/>
  <c r="J8490" i="1"/>
  <c r="K8490" i="1"/>
  <c r="L8490" i="1"/>
  <c r="M8490" i="1"/>
  <c r="N8490" i="1"/>
  <c r="O8490" i="1"/>
  <c r="P8490" i="1"/>
  <c r="Q8490" i="1"/>
  <c r="R8490" i="1"/>
  <c r="S8490" i="1"/>
  <c r="T8490" i="1"/>
  <c r="U8490" i="1"/>
  <c r="V8490" i="1"/>
  <c r="W8490" i="1"/>
  <c r="X8490" i="1"/>
  <c r="Y8490" i="1"/>
  <c r="Z8490" i="1"/>
  <c r="A8491" i="1"/>
  <c r="B8491" i="1"/>
  <c r="C8491" i="1"/>
  <c r="D8491" i="1"/>
  <c r="E8491" i="1"/>
  <c r="F8491" i="1"/>
  <c r="G8491" i="1"/>
  <c r="I8491" i="1"/>
  <c r="J8491" i="1"/>
  <c r="K8491" i="1"/>
  <c r="L8491" i="1"/>
  <c r="M8491" i="1"/>
  <c r="N8491" i="1"/>
  <c r="O8491" i="1"/>
  <c r="P8491" i="1"/>
  <c r="Q8491" i="1"/>
  <c r="R8491" i="1"/>
  <c r="S8491" i="1"/>
  <c r="T8491" i="1"/>
  <c r="U8491" i="1"/>
  <c r="V8491" i="1"/>
  <c r="W8491" i="1"/>
  <c r="X8491" i="1"/>
  <c r="Y8491" i="1"/>
  <c r="Z8491" i="1"/>
  <c r="A8492" i="1"/>
  <c r="B8492" i="1"/>
  <c r="C8492" i="1"/>
  <c r="D8492" i="1"/>
  <c r="E8492" i="1"/>
  <c r="F8492" i="1"/>
  <c r="G8492" i="1"/>
  <c r="I8492" i="1"/>
  <c r="J8492" i="1"/>
  <c r="K8492" i="1"/>
  <c r="L8492" i="1"/>
  <c r="M8492" i="1"/>
  <c r="N8492" i="1"/>
  <c r="O8492" i="1"/>
  <c r="P8492" i="1"/>
  <c r="Q8492" i="1"/>
  <c r="R8492" i="1"/>
  <c r="S8492" i="1"/>
  <c r="T8492" i="1"/>
  <c r="U8492" i="1"/>
  <c r="V8492" i="1"/>
  <c r="W8492" i="1"/>
  <c r="X8492" i="1"/>
  <c r="Y8492" i="1"/>
  <c r="Z8492" i="1"/>
  <c r="A8493" i="1"/>
  <c r="B8493" i="1"/>
  <c r="C8493" i="1"/>
  <c r="D8493" i="1"/>
  <c r="E8493" i="1"/>
  <c r="F8493" i="1"/>
  <c r="G8493" i="1"/>
  <c r="I8493" i="1"/>
  <c r="J8493" i="1"/>
  <c r="K8493" i="1"/>
  <c r="L8493" i="1"/>
  <c r="M8493" i="1"/>
  <c r="N8493" i="1"/>
  <c r="O8493" i="1"/>
  <c r="P8493" i="1"/>
  <c r="Q8493" i="1"/>
  <c r="R8493" i="1"/>
  <c r="S8493" i="1"/>
  <c r="T8493" i="1"/>
  <c r="U8493" i="1"/>
  <c r="V8493" i="1"/>
  <c r="W8493" i="1"/>
  <c r="X8493" i="1"/>
  <c r="Y8493" i="1"/>
  <c r="Z8493" i="1"/>
  <c r="A8494" i="1"/>
  <c r="B8494" i="1"/>
  <c r="C8494" i="1"/>
  <c r="D8494" i="1"/>
  <c r="E8494" i="1"/>
  <c r="F8494" i="1"/>
  <c r="G8494" i="1"/>
  <c r="I8494" i="1"/>
  <c r="J8494" i="1"/>
  <c r="K8494" i="1"/>
  <c r="L8494" i="1"/>
  <c r="M8494" i="1"/>
  <c r="N8494" i="1"/>
  <c r="O8494" i="1"/>
  <c r="P8494" i="1"/>
  <c r="Q8494" i="1"/>
  <c r="R8494" i="1"/>
  <c r="S8494" i="1"/>
  <c r="T8494" i="1"/>
  <c r="U8494" i="1"/>
  <c r="V8494" i="1"/>
  <c r="W8494" i="1"/>
  <c r="X8494" i="1"/>
  <c r="Y8494" i="1"/>
  <c r="Z8494" i="1"/>
  <c r="A8495" i="1"/>
  <c r="B8495" i="1"/>
  <c r="C8495" i="1"/>
  <c r="D8495" i="1"/>
  <c r="E8495" i="1"/>
  <c r="F8495" i="1"/>
  <c r="G8495" i="1"/>
  <c r="I8495" i="1"/>
  <c r="J8495" i="1"/>
  <c r="K8495" i="1"/>
  <c r="L8495" i="1"/>
  <c r="M8495" i="1"/>
  <c r="N8495" i="1"/>
  <c r="O8495" i="1"/>
  <c r="P8495" i="1"/>
  <c r="Q8495" i="1"/>
  <c r="R8495" i="1"/>
  <c r="S8495" i="1"/>
  <c r="T8495" i="1"/>
  <c r="U8495" i="1"/>
  <c r="V8495" i="1"/>
  <c r="W8495" i="1"/>
  <c r="X8495" i="1"/>
  <c r="Y8495" i="1"/>
  <c r="Z8495" i="1"/>
  <c r="A8496" i="1"/>
  <c r="B8496" i="1"/>
  <c r="C8496" i="1"/>
  <c r="D8496" i="1"/>
  <c r="E8496" i="1"/>
  <c r="F8496" i="1"/>
  <c r="G8496" i="1"/>
  <c r="I8496" i="1"/>
  <c r="J8496" i="1"/>
  <c r="K8496" i="1"/>
  <c r="L8496" i="1"/>
  <c r="M8496" i="1"/>
  <c r="N8496" i="1"/>
  <c r="O8496" i="1"/>
  <c r="P8496" i="1"/>
  <c r="Q8496" i="1"/>
  <c r="R8496" i="1"/>
  <c r="S8496" i="1"/>
  <c r="T8496" i="1"/>
  <c r="U8496" i="1"/>
  <c r="V8496" i="1"/>
  <c r="W8496" i="1"/>
  <c r="X8496" i="1"/>
  <c r="Y8496" i="1"/>
  <c r="Z8496" i="1"/>
  <c r="A8497" i="1"/>
  <c r="B8497" i="1"/>
  <c r="C8497" i="1"/>
  <c r="D8497" i="1"/>
  <c r="E8497" i="1"/>
  <c r="F8497" i="1"/>
  <c r="G8497" i="1"/>
  <c r="I8497" i="1"/>
  <c r="J8497" i="1"/>
  <c r="K8497" i="1"/>
  <c r="L8497" i="1"/>
  <c r="M8497" i="1"/>
  <c r="N8497" i="1"/>
  <c r="O8497" i="1"/>
  <c r="P8497" i="1"/>
  <c r="Q8497" i="1"/>
  <c r="R8497" i="1"/>
  <c r="S8497" i="1"/>
  <c r="T8497" i="1"/>
  <c r="U8497" i="1"/>
  <c r="V8497" i="1"/>
  <c r="W8497" i="1"/>
  <c r="X8497" i="1"/>
  <c r="Y8497" i="1"/>
  <c r="Z8497" i="1"/>
  <c r="A8498" i="1"/>
  <c r="B8498" i="1"/>
  <c r="C8498" i="1"/>
  <c r="D8498" i="1"/>
  <c r="E8498" i="1"/>
  <c r="F8498" i="1"/>
  <c r="G8498" i="1"/>
  <c r="I8498" i="1"/>
  <c r="J8498" i="1"/>
  <c r="K8498" i="1"/>
  <c r="L8498" i="1"/>
  <c r="M8498" i="1"/>
  <c r="N8498" i="1"/>
  <c r="O8498" i="1"/>
  <c r="P8498" i="1"/>
  <c r="Q8498" i="1"/>
  <c r="R8498" i="1"/>
  <c r="S8498" i="1"/>
  <c r="T8498" i="1"/>
  <c r="U8498" i="1"/>
  <c r="V8498" i="1"/>
  <c r="W8498" i="1"/>
  <c r="X8498" i="1"/>
  <c r="Y8498" i="1"/>
  <c r="Z8498" i="1"/>
  <c r="A8499" i="1"/>
  <c r="B8499" i="1"/>
  <c r="C8499" i="1"/>
  <c r="D8499" i="1"/>
  <c r="E8499" i="1"/>
  <c r="F8499" i="1"/>
  <c r="G8499" i="1"/>
  <c r="I8499" i="1"/>
  <c r="J8499" i="1"/>
  <c r="K8499" i="1"/>
  <c r="L8499" i="1"/>
  <c r="M8499" i="1"/>
  <c r="N8499" i="1"/>
  <c r="O8499" i="1"/>
  <c r="P8499" i="1"/>
  <c r="Q8499" i="1"/>
  <c r="R8499" i="1"/>
  <c r="S8499" i="1"/>
  <c r="T8499" i="1"/>
  <c r="U8499" i="1"/>
  <c r="V8499" i="1"/>
  <c r="W8499" i="1"/>
  <c r="X8499" i="1"/>
  <c r="Y8499" i="1"/>
  <c r="Z8499" i="1"/>
  <c r="A8500" i="1"/>
  <c r="B8500" i="1"/>
  <c r="C8500" i="1"/>
  <c r="D8500" i="1"/>
  <c r="E8500" i="1"/>
  <c r="F8500" i="1"/>
  <c r="G8500" i="1"/>
  <c r="I8500" i="1"/>
  <c r="J8500" i="1"/>
  <c r="K8500" i="1"/>
  <c r="L8500" i="1"/>
  <c r="M8500" i="1"/>
  <c r="N8500" i="1"/>
  <c r="O8500" i="1"/>
  <c r="P8500" i="1"/>
  <c r="Q8500" i="1"/>
  <c r="R8500" i="1"/>
  <c r="S8500" i="1"/>
  <c r="T8500" i="1"/>
  <c r="U8500" i="1"/>
  <c r="V8500" i="1"/>
  <c r="W8500" i="1"/>
  <c r="X8500" i="1"/>
  <c r="Y8500" i="1"/>
  <c r="Z8500" i="1"/>
  <c r="A8501" i="1"/>
  <c r="B8501" i="1"/>
  <c r="C8501" i="1"/>
  <c r="D8501" i="1"/>
  <c r="E8501" i="1"/>
  <c r="F8501" i="1"/>
  <c r="G8501" i="1"/>
  <c r="I8501" i="1"/>
  <c r="J8501" i="1"/>
  <c r="K8501" i="1"/>
  <c r="L8501" i="1"/>
  <c r="M8501" i="1"/>
  <c r="N8501" i="1"/>
  <c r="O8501" i="1"/>
  <c r="P8501" i="1"/>
  <c r="Q8501" i="1"/>
  <c r="R8501" i="1"/>
  <c r="S8501" i="1"/>
  <c r="T8501" i="1"/>
  <c r="U8501" i="1"/>
  <c r="V8501" i="1"/>
  <c r="W8501" i="1"/>
  <c r="X8501" i="1"/>
  <c r="Y8501" i="1"/>
  <c r="Z8501" i="1"/>
  <c r="A8502" i="1"/>
  <c r="B8502" i="1"/>
  <c r="C8502" i="1"/>
  <c r="D8502" i="1"/>
  <c r="E8502" i="1"/>
  <c r="F8502" i="1"/>
  <c r="G8502" i="1"/>
  <c r="I8502" i="1"/>
  <c r="J8502" i="1"/>
  <c r="K8502" i="1"/>
  <c r="L8502" i="1"/>
  <c r="M8502" i="1"/>
  <c r="N8502" i="1"/>
  <c r="O8502" i="1"/>
  <c r="P8502" i="1"/>
  <c r="Q8502" i="1"/>
  <c r="R8502" i="1"/>
  <c r="S8502" i="1"/>
  <c r="T8502" i="1"/>
  <c r="U8502" i="1"/>
  <c r="V8502" i="1"/>
  <c r="W8502" i="1"/>
  <c r="X8502" i="1"/>
  <c r="Y8502" i="1"/>
  <c r="Z8502" i="1"/>
  <c r="A8503" i="1"/>
  <c r="B8503" i="1"/>
  <c r="C8503" i="1"/>
  <c r="D8503" i="1"/>
  <c r="E8503" i="1"/>
  <c r="F8503" i="1"/>
  <c r="G8503" i="1"/>
  <c r="I8503" i="1"/>
  <c r="J8503" i="1"/>
  <c r="K8503" i="1"/>
  <c r="L8503" i="1"/>
  <c r="M8503" i="1"/>
  <c r="N8503" i="1"/>
  <c r="O8503" i="1"/>
  <c r="P8503" i="1"/>
  <c r="Q8503" i="1"/>
  <c r="R8503" i="1"/>
  <c r="S8503" i="1"/>
  <c r="T8503" i="1"/>
  <c r="U8503" i="1"/>
  <c r="V8503" i="1"/>
  <c r="W8503" i="1"/>
  <c r="X8503" i="1"/>
  <c r="Y8503" i="1"/>
  <c r="Z8503" i="1"/>
  <c r="A8504" i="1"/>
  <c r="B8504" i="1"/>
  <c r="C8504" i="1"/>
  <c r="D8504" i="1"/>
  <c r="E8504" i="1"/>
  <c r="F8504" i="1"/>
  <c r="G8504" i="1"/>
  <c r="I8504" i="1"/>
  <c r="J8504" i="1"/>
  <c r="K8504" i="1"/>
  <c r="L8504" i="1"/>
  <c r="M8504" i="1"/>
  <c r="N8504" i="1"/>
  <c r="O8504" i="1"/>
  <c r="P8504" i="1"/>
  <c r="Q8504" i="1"/>
  <c r="R8504" i="1"/>
  <c r="S8504" i="1"/>
  <c r="T8504" i="1"/>
  <c r="U8504" i="1"/>
  <c r="V8504" i="1"/>
  <c r="W8504" i="1"/>
  <c r="X8504" i="1"/>
  <c r="Y8504" i="1"/>
  <c r="Z8504" i="1"/>
  <c r="A8505" i="1"/>
  <c r="B8505" i="1"/>
  <c r="C8505" i="1"/>
  <c r="D8505" i="1"/>
  <c r="E8505" i="1"/>
  <c r="F8505" i="1"/>
  <c r="G8505" i="1"/>
  <c r="I8505" i="1"/>
  <c r="J8505" i="1"/>
  <c r="K8505" i="1"/>
  <c r="L8505" i="1"/>
  <c r="M8505" i="1"/>
  <c r="N8505" i="1"/>
  <c r="O8505" i="1"/>
  <c r="P8505" i="1"/>
  <c r="Q8505" i="1"/>
  <c r="R8505" i="1"/>
  <c r="S8505" i="1"/>
  <c r="T8505" i="1"/>
  <c r="U8505" i="1"/>
  <c r="V8505" i="1"/>
  <c r="W8505" i="1"/>
  <c r="X8505" i="1"/>
  <c r="Y8505" i="1"/>
  <c r="Z8505" i="1"/>
  <c r="A8506" i="1"/>
  <c r="B8506" i="1"/>
  <c r="C8506" i="1"/>
  <c r="D8506" i="1"/>
  <c r="E8506" i="1"/>
  <c r="F8506" i="1"/>
  <c r="G8506" i="1"/>
  <c r="I8506" i="1"/>
  <c r="J8506" i="1"/>
  <c r="K8506" i="1"/>
  <c r="L8506" i="1"/>
  <c r="M8506" i="1"/>
  <c r="N8506" i="1"/>
  <c r="O8506" i="1"/>
  <c r="P8506" i="1"/>
  <c r="Q8506" i="1"/>
  <c r="R8506" i="1"/>
  <c r="S8506" i="1"/>
  <c r="T8506" i="1"/>
  <c r="U8506" i="1"/>
  <c r="V8506" i="1"/>
  <c r="W8506" i="1"/>
  <c r="X8506" i="1"/>
  <c r="Y8506" i="1"/>
  <c r="Z8506" i="1"/>
  <c r="A8507" i="1"/>
  <c r="B8507" i="1"/>
  <c r="C8507" i="1"/>
  <c r="D8507" i="1"/>
  <c r="E8507" i="1"/>
  <c r="F8507" i="1"/>
  <c r="G8507" i="1"/>
  <c r="I8507" i="1"/>
  <c r="J8507" i="1"/>
  <c r="K8507" i="1"/>
  <c r="L8507" i="1"/>
  <c r="M8507" i="1"/>
  <c r="N8507" i="1"/>
  <c r="O8507" i="1"/>
  <c r="P8507" i="1"/>
  <c r="Q8507" i="1"/>
  <c r="R8507" i="1"/>
  <c r="S8507" i="1"/>
  <c r="T8507" i="1"/>
  <c r="U8507" i="1"/>
  <c r="V8507" i="1"/>
  <c r="W8507" i="1"/>
  <c r="X8507" i="1"/>
  <c r="Y8507" i="1"/>
  <c r="Z8507" i="1"/>
  <c r="A8508" i="1"/>
  <c r="B8508" i="1"/>
  <c r="C8508" i="1"/>
  <c r="D8508" i="1"/>
  <c r="E8508" i="1"/>
  <c r="F8508" i="1"/>
  <c r="G8508" i="1"/>
  <c r="I8508" i="1"/>
  <c r="J8508" i="1"/>
  <c r="K8508" i="1"/>
  <c r="L8508" i="1"/>
  <c r="M8508" i="1"/>
  <c r="N8508" i="1"/>
  <c r="O8508" i="1"/>
  <c r="P8508" i="1"/>
  <c r="Q8508" i="1"/>
  <c r="R8508" i="1"/>
  <c r="S8508" i="1"/>
  <c r="T8508" i="1"/>
  <c r="U8508" i="1"/>
  <c r="V8508" i="1"/>
  <c r="W8508" i="1"/>
  <c r="X8508" i="1"/>
  <c r="Y8508" i="1"/>
  <c r="Z8508" i="1"/>
  <c r="A8509" i="1"/>
  <c r="B8509" i="1"/>
  <c r="C8509" i="1"/>
  <c r="D8509" i="1"/>
  <c r="E8509" i="1"/>
  <c r="F8509" i="1"/>
  <c r="G8509" i="1"/>
  <c r="I8509" i="1"/>
  <c r="J8509" i="1"/>
  <c r="K8509" i="1"/>
  <c r="L8509" i="1"/>
  <c r="M8509" i="1"/>
  <c r="N8509" i="1"/>
  <c r="O8509" i="1"/>
  <c r="P8509" i="1"/>
  <c r="Q8509" i="1"/>
  <c r="R8509" i="1"/>
  <c r="S8509" i="1"/>
  <c r="T8509" i="1"/>
  <c r="U8509" i="1"/>
  <c r="V8509" i="1"/>
  <c r="W8509" i="1"/>
  <c r="X8509" i="1"/>
  <c r="Y8509" i="1"/>
  <c r="Z8509" i="1"/>
  <c r="A8510" i="1"/>
  <c r="B8510" i="1"/>
  <c r="C8510" i="1"/>
  <c r="D8510" i="1"/>
  <c r="E8510" i="1"/>
  <c r="F8510" i="1"/>
  <c r="G8510" i="1"/>
  <c r="I8510" i="1"/>
  <c r="J8510" i="1"/>
  <c r="K8510" i="1"/>
  <c r="L8510" i="1"/>
  <c r="M8510" i="1"/>
  <c r="N8510" i="1"/>
  <c r="O8510" i="1"/>
  <c r="P8510" i="1"/>
  <c r="Q8510" i="1"/>
  <c r="R8510" i="1"/>
  <c r="S8510" i="1"/>
  <c r="T8510" i="1"/>
  <c r="U8510" i="1"/>
  <c r="V8510" i="1"/>
  <c r="W8510" i="1"/>
  <c r="X8510" i="1"/>
  <c r="Y8510" i="1"/>
  <c r="Z8510" i="1"/>
  <c r="A8511" i="1"/>
  <c r="B8511" i="1"/>
  <c r="C8511" i="1"/>
  <c r="D8511" i="1"/>
  <c r="E8511" i="1"/>
  <c r="F8511" i="1"/>
  <c r="G8511" i="1"/>
  <c r="I8511" i="1"/>
  <c r="J8511" i="1"/>
  <c r="K8511" i="1"/>
  <c r="L8511" i="1"/>
  <c r="M8511" i="1"/>
  <c r="N8511" i="1"/>
  <c r="O8511" i="1"/>
  <c r="P8511" i="1"/>
  <c r="Q8511" i="1"/>
  <c r="R8511" i="1"/>
  <c r="S8511" i="1"/>
  <c r="T8511" i="1"/>
  <c r="U8511" i="1"/>
  <c r="V8511" i="1"/>
  <c r="W8511" i="1"/>
  <c r="X8511" i="1"/>
  <c r="Y8511" i="1"/>
  <c r="Z8511" i="1"/>
  <c r="A8512" i="1"/>
  <c r="B8512" i="1"/>
  <c r="C8512" i="1"/>
  <c r="D8512" i="1"/>
  <c r="E8512" i="1"/>
  <c r="F8512" i="1"/>
  <c r="G8512" i="1"/>
  <c r="I8512" i="1"/>
  <c r="J8512" i="1"/>
  <c r="K8512" i="1"/>
  <c r="L8512" i="1"/>
  <c r="M8512" i="1"/>
  <c r="N8512" i="1"/>
  <c r="O8512" i="1"/>
  <c r="P8512" i="1"/>
  <c r="Q8512" i="1"/>
  <c r="R8512" i="1"/>
  <c r="S8512" i="1"/>
  <c r="T8512" i="1"/>
  <c r="U8512" i="1"/>
  <c r="V8512" i="1"/>
  <c r="W8512" i="1"/>
  <c r="X8512" i="1"/>
  <c r="Y8512" i="1"/>
  <c r="Z8512" i="1"/>
  <c r="A8513" i="1"/>
  <c r="B8513" i="1"/>
  <c r="C8513" i="1"/>
  <c r="D8513" i="1"/>
  <c r="E8513" i="1"/>
  <c r="F8513" i="1"/>
  <c r="G8513" i="1"/>
  <c r="I8513" i="1"/>
  <c r="J8513" i="1"/>
  <c r="K8513" i="1"/>
  <c r="L8513" i="1"/>
  <c r="M8513" i="1"/>
  <c r="N8513" i="1"/>
  <c r="O8513" i="1"/>
  <c r="P8513" i="1"/>
  <c r="Q8513" i="1"/>
  <c r="R8513" i="1"/>
  <c r="S8513" i="1"/>
  <c r="T8513" i="1"/>
  <c r="U8513" i="1"/>
  <c r="V8513" i="1"/>
  <c r="W8513" i="1"/>
  <c r="X8513" i="1"/>
  <c r="Y8513" i="1"/>
  <c r="Z8513" i="1"/>
  <c r="A8514" i="1"/>
  <c r="B8514" i="1"/>
  <c r="C8514" i="1"/>
  <c r="D8514" i="1"/>
  <c r="E8514" i="1"/>
  <c r="F8514" i="1"/>
  <c r="G8514" i="1"/>
  <c r="I8514" i="1"/>
  <c r="J8514" i="1"/>
  <c r="K8514" i="1"/>
  <c r="L8514" i="1"/>
  <c r="M8514" i="1"/>
  <c r="N8514" i="1"/>
  <c r="O8514" i="1"/>
  <c r="P8514" i="1"/>
  <c r="Q8514" i="1"/>
  <c r="R8514" i="1"/>
  <c r="S8514" i="1"/>
  <c r="T8514" i="1"/>
  <c r="U8514" i="1"/>
  <c r="V8514" i="1"/>
  <c r="W8514" i="1"/>
  <c r="X8514" i="1"/>
  <c r="Y8514" i="1"/>
  <c r="Z8514" i="1"/>
  <c r="A8515" i="1"/>
  <c r="B8515" i="1"/>
  <c r="C8515" i="1"/>
  <c r="D8515" i="1"/>
  <c r="E8515" i="1"/>
  <c r="F8515" i="1"/>
  <c r="G8515" i="1"/>
  <c r="I8515" i="1"/>
  <c r="J8515" i="1"/>
  <c r="K8515" i="1"/>
  <c r="L8515" i="1"/>
  <c r="M8515" i="1"/>
  <c r="N8515" i="1"/>
  <c r="O8515" i="1"/>
  <c r="P8515" i="1"/>
  <c r="Q8515" i="1"/>
  <c r="R8515" i="1"/>
  <c r="S8515" i="1"/>
  <c r="T8515" i="1"/>
  <c r="U8515" i="1"/>
  <c r="V8515" i="1"/>
  <c r="W8515" i="1"/>
  <c r="X8515" i="1"/>
  <c r="Y8515" i="1"/>
  <c r="Z8515" i="1"/>
  <c r="A8516" i="1"/>
  <c r="B8516" i="1"/>
  <c r="C8516" i="1"/>
  <c r="D8516" i="1"/>
  <c r="E8516" i="1"/>
  <c r="F8516" i="1"/>
  <c r="G8516" i="1"/>
  <c r="I8516" i="1"/>
  <c r="J8516" i="1"/>
  <c r="K8516" i="1"/>
  <c r="L8516" i="1"/>
  <c r="M8516" i="1"/>
  <c r="N8516" i="1"/>
  <c r="O8516" i="1"/>
  <c r="P8516" i="1"/>
  <c r="Q8516" i="1"/>
  <c r="R8516" i="1"/>
  <c r="S8516" i="1"/>
  <c r="T8516" i="1"/>
  <c r="U8516" i="1"/>
  <c r="V8516" i="1"/>
  <c r="W8516" i="1"/>
  <c r="X8516" i="1"/>
  <c r="Y8516" i="1"/>
  <c r="Z8516" i="1"/>
  <c r="A8517" i="1"/>
  <c r="B8517" i="1"/>
  <c r="C8517" i="1"/>
  <c r="D8517" i="1"/>
  <c r="E8517" i="1"/>
  <c r="F8517" i="1"/>
  <c r="G8517" i="1"/>
  <c r="I8517" i="1"/>
  <c r="J8517" i="1"/>
  <c r="K8517" i="1"/>
  <c r="L8517" i="1"/>
  <c r="M8517" i="1"/>
  <c r="N8517" i="1"/>
  <c r="O8517" i="1"/>
  <c r="P8517" i="1"/>
  <c r="Q8517" i="1"/>
  <c r="R8517" i="1"/>
  <c r="S8517" i="1"/>
  <c r="T8517" i="1"/>
  <c r="U8517" i="1"/>
  <c r="V8517" i="1"/>
  <c r="W8517" i="1"/>
  <c r="X8517" i="1"/>
  <c r="Y8517" i="1"/>
  <c r="Z8517" i="1"/>
  <c r="A8518" i="1"/>
  <c r="B8518" i="1"/>
  <c r="C8518" i="1"/>
  <c r="D8518" i="1"/>
  <c r="E8518" i="1"/>
  <c r="F8518" i="1"/>
  <c r="G8518" i="1"/>
  <c r="I8518" i="1"/>
  <c r="J8518" i="1"/>
  <c r="K8518" i="1"/>
  <c r="L8518" i="1"/>
  <c r="M8518" i="1"/>
  <c r="N8518" i="1"/>
  <c r="O8518" i="1"/>
  <c r="P8518" i="1"/>
  <c r="Q8518" i="1"/>
  <c r="R8518" i="1"/>
  <c r="S8518" i="1"/>
  <c r="T8518" i="1"/>
  <c r="U8518" i="1"/>
  <c r="V8518" i="1"/>
  <c r="W8518" i="1"/>
  <c r="X8518" i="1"/>
  <c r="Y8518" i="1"/>
  <c r="Z8518" i="1"/>
  <c r="A8519" i="1"/>
  <c r="B8519" i="1"/>
  <c r="C8519" i="1"/>
  <c r="D8519" i="1"/>
  <c r="E8519" i="1"/>
  <c r="F8519" i="1"/>
  <c r="G8519" i="1"/>
  <c r="I8519" i="1"/>
  <c r="J8519" i="1"/>
  <c r="K8519" i="1"/>
  <c r="L8519" i="1"/>
  <c r="M8519" i="1"/>
  <c r="N8519" i="1"/>
  <c r="O8519" i="1"/>
  <c r="P8519" i="1"/>
  <c r="Q8519" i="1"/>
  <c r="R8519" i="1"/>
  <c r="S8519" i="1"/>
  <c r="T8519" i="1"/>
  <c r="U8519" i="1"/>
  <c r="V8519" i="1"/>
  <c r="W8519" i="1"/>
  <c r="X8519" i="1"/>
  <c r="Y8519" i="1"/>
  <c r="Z8519" i="1"/>
  <c r="A8520" i="1"/>
  <c r="B8520" i="1"/>
  <c r="C8520" i="1"/>
  <c r="D8520" i="1"/>
  <c r="E8520" i="1"/>
  <c r="F8520" i="1"/>
  <c r="G8520" i="1"/>
  <c r="I8520" i="1"/>
  <c r="J8520" i="1"/>
  <c r="K8520" i="1"/>
  <c r="L8520" i="1"/>
  <c r="M8520" i="1"/>
  <c r="N8520" i="1"/>
  <c r="O8520" i="1"/>
  <c r="P8520" i="1"/>
  <c r="Q8520" i="1"/>
  <c r="R8520" i="1"/>
  <c r="S8520" i="1"/>
  <c r="T8520" i="1"/>
  <c r="U8520" i="1"/>
  <c r="V8520" i="1"/>
  <c r="W8520" i="1"/>
  <c r="X8520" i="1"/>
  <c r="Y8520" i="1"/>
  <c r="Z8520" i="1"/>
  <c r="A8521" i="1"/>
  <c r="B8521" i="1"/>
  <c r="C8521" i="1"/>
  <c r="D8521" i="1"/>
  <c r="E8521" i="1"/>
  <c r="F8521" i="1"/>
  <c r="G8521" i="1"/>
  <c r="I8521" i="1"/>
  <c r="J8521" i="1"/>
  <c r="K8521" i="1"/>
  <c r="L8521" i="1"/>
  <c r="M8521" i="1"/>
  <c r="N8521" i="1"/>
  <c r="O8521" i="1"/>
  <c r="P8521" i="1"/>
  <c r="Q8521" i="1"/>
  <c r="R8521" i="1"/>
  <c r="S8521" i="1"/>
  <c r="T8521" i="1"/>
  <c r="U8521" i="1"/>
  <c r="V8521" i="1"/>
  <c r="W8521" i="1"/>
  <c r="X8521" i="1"/>
  <c r="Y8521" i="1"/>
  <c r="Z8521" i="1"/>
  <c r="A8522" i="1"/>
  <c r="B8522" i="1"/>
  <c r="C8522" i="1"/>
  <c r="D8522" i="1"/>
  <c r="E8522" i="1"/>
  <c r="F8522" i="1"/>
  <c r="G8522" i="1"/>
  <c r="I8522" i="1"/>
  <c r="J8522" i="1"/>
  <c r="K8522" i="1"/>
  <c r="L8522" i="1"/>
  <c r="M8522" i="1"/>
  <c r="N8522" i="1"/>
  <c r="O8522" i="1"/>
  <c r="P8522" i="1"/>
  <c r="Q8522" i="1"/>
  <c r="R8522" i="1"/>
  <c r="S8522" i="1"/>
  <c r="T8522" i="1"/>
  <c r="U8522" i="1"/>
  <c r="V8522" i="1"/>
  <c r="W8522" i="1"/>
  <c r="X8522" i="1"/>
  <c r="Y8522" i="1"/>
  <c r="Z8522" i="1"/>
  <c r="A8523" i="1"/>
  <c r="B8523" i="1"/>
  <c r="C8523" i="1"/>
  <c r="D8523" i="1"/>
  <c r="E8523" i="1"/>
  <c r="F8523" i="1"/>
  <c r="G8523" i="1"/>
  <c r="I8523" i="1"/>
  <c r="J8523" i="1"/>
  <c r="K8523" i="1"/>
  <c r="L8523" i="1"/>
  <c r="M8523" i="1"/>
  <c r="N8523" i="1"/>
  <c r="O8523" i="1"/>
  <c r="P8523" i="1"/>
  <c r="Q8523" i="1"/>
  <c r="R8523" i="1"/>
  <c r="S8523" i="1"/>
  <c r="T8523" i="1"/>
  <c r="U8523" i="1"/>
  <c r="V8523" i="1"/>
  <c r="W8523" i="1"/>
  <c r="X8523" i="1"/>
  <c r="Y8523" i="1"/>
  <c r="Z8523" i="1"/>
  <c r="A8524" i="1"/>
  <c r="B8524" i="1"/>
  <c r="C8524" i="1"/>
  <c r="D8524" i="1"/>
  <c r="E8524" i="1"/>
  <c r="F8524" i="1"/>
  <c r="G8524" i="1"/>
  <c r="I8524" i="1"/>
  <c r="J8524" i="1"/>
  <c r="K8524" i="1"/>
  <c r="L8524" i="1"/>
  <c r="M8524" i="1"/>
  <c r="N8524" i="1"/>
  <c r="O8524" i="1"/>
  <c r="P8524" i="1"/>
  <c r="Q8524" i="1"/>
  <c r="R8524" i="1"/>
  <c r="S8524" i="1"/>
  <c r="T8524" i="1"/>
  <c r="U8524" i="1"/>
  <c r="V8524" i="1"/>
  <c r="W8524" i="1"/>
  <c r="X8524" i="1"/>
  <c r="Y8524" i="1"/>
  <c r="Z8524" i="1"/>
  <c r="A8525" i="1"/>
  <c r="B8525" i="1"/>
  <c r="C8525" i="1"/>
  <c r="D8525" i="1"/>
  <c r="E8525" i="1"/>
  <c r="F8525" i="1"/>
  <c r="G8525" i="1"/>
  <c r="I8525" i="1"/>
  <c r="J8525" i="1"/>
  <c r="K8525" i="1"/>
  <c r="L8525" i="1"/>
  <c r="M8525" i="1"/>
  <c r="N8525" i="1"/>
  <c r="O8525" i="1"/>
  <c r="P8525" i="1"/>
  <c r="Q8525" i="1"/>
  <c r="R8525" i="1"/>
  <c r="S8525" i="1"/>
  <c r="T8525" i="1"/>
  <c r="U8525" i="1"/>
  <c r="V8525" i="1"/>
  <c r="W8525" i="1"/>
  <c r="X8525" i="1"/>
  <c r="Y8525" i="1"/>
  <c r="Z8525" i="1"/>
  <c r="A8526" i="1"/>
  <c r="B8526" i="1"/>
  <c r="C8526" i="1"/>
  <c r="D8526" i="1"/>
  <c r="E8526" i="1"/>
  <c r="F8526" i="1"/>
  <c r="G8526" i="1"/>
  <c r="I8526" i="1"/>
  <c r="J8526" i="1"/>
  <c r="K8526" i="1"/>
  <c r="L8526" i="1"/>
  <c r="M8526" i="1"/>
  <c r="N8526" i="1"/>
  <c r="O8526" i="1"/>
  <c r="P8526" i="1"/>
  <c r="Q8526" i="1"/>
  <c r="R8526" i="1"/>
  <c r="S8526" i="1"/>
  <c r="T8526" i="1"/>
  <c r="U8526" i="1"/>
  <c r="V8526" i="1"/>
  <c r="W8526" i="1"/>
  <c r="X8526" i="1"/>
  <c r="Y8526" i="1"/>
  <c r="Z8526" i="1"/>
  <c r="A8527" i="1"/>
  <c r="B8527" i="1"/>
  <c r="C8527" i="1"/>
  <c r="D8527" i="1"/>
  <c r="E8527" i="1"/>
  <c r="F8527" i="1"/>
  <c r="G8527" i="1"/>
  <c r="I8527" i="1"/>
  <c r="J8527" i="1"/>
  <c r="K8527" i="1"/>
  <c r="L8527" i="1"/>
  <c r="M8527" i="1"/>
  <c r="N8527" i="1"/>
  <c r="O8527" i="1"/>
  <c r="P8527" i="1"/>
  <c r="Q8527" i="1"/>
  <c r="R8527" i="1"/>
  <c r="S8527" i="1"/>
  <c r="T8527" i="1"/>
  <c r="U8527" i="1"/>
  <c r="V8527" i="1"/>
  <c r="W8527" i="1"/>
  <c r="X8527" i="1"/>
  <c r="Y8527" i="1"/>
  <c r="Z8527" i="1"/>
  <c r="A8528" i="1"/>
  <c r="B8528" i="1"/>
  <c r="C8528" i="1"/>
  <c r="D8528" i="1"/>
  <c r="E8528" i="1"/>
  <c r="F8528" i="1"/>
  <c r="G8528" i="1"/>
  <c r="I8528" i="1"/>
  <c r="J8528" i="1"/>
  <c r="K8528" i="1"/>
  <c r="L8528" i="1"/>
  <c r="M8528" i="1"/>
  <c r="N8528" i="1"/>
  <c r="O8528" i="1"/>
  <c r="P8528" i="1"/>
  <c r="Q8528" i="1"/>
  <c r="R8528" i="1"/>
  <c r="S8528" i="1"/>
  <c r="T8528" i="1"/>
  <c r="U8528" i="1"/>
  <c r="V8528" i="1"/>
  <c r="W8528" i="1"/>
  <c r="X8528" i="1"/>
  <c r="Y8528" i="1"/>
  <c r="Z8528" i="1"/>
  <c r="A8529" i="1"/>
  <c r="B8529" i="1"/>
  <c r="C8529" i="1"/>
  <c r="D8529" i="1"/>
  <c r="E8529" i="1"/>
  <c r="F8529" i="1"/>
  <c r="G8529" i="1"/>
  <c r="I8529" i="1"/>
  <c r="J8529" i="1"/>
  <c r="K8529" i="1"/>
  <c r="L8529" i="1"/>
  <c r="M8529" i="1"/>
  <c r="N8529" i="1"/>
  <c r="O8529" i="1"/>
  <c r="P8529" i="1"/>
  <c r="Q8529" i="1"/>
  <c r="R8529" i="1"/>
  <c r="S8529" i="1"/>
  <c r="T8529" i="1"/>
  <c r="U8529" i="1"/>
  <c r="V8529" i="1"/>
  <c r="W8529" i="1"/>
  <c r="X8529" i="1"/>
  <c r="Y8529" i="1"/>
  <c r="Z8529" i="1"/>
  <c r="A8530" i="1"/>
  <c r="B8530" i="1"/>
  <c r="C8530" i="1"/>
  <c r="D8530" i="1"/>
  <c r="E8530" i="1"/>
  <c r="F8530" i="1"/>
  <c r="G8530" i="1"/>
  <c r="I8530" i="1"/>
  <c r="J8530" i="1"/>
  <c r="K8530" i="1"/>
  <c r="L8530" i="1"/>
  <c r="M8530" i="1"/>
  <c r="N8530" i="1"/>
  <c r="O8530" i="1"/>
  <c r="P8530" i="1"/>
  <c r="Q8530" i="1"/>
  <c r="R8530" i="1"/>
  <c r="S8530" i="1"/>
  <c r="T8530" i="1"/>
  <c r="U8530" i="1"/>
  <c r="V8530" i="1"/>
  <c r="W8530" i="1"/>
  <c r="X8530" i="1"/>
  <c r="Y8530" i="1"/>
  <c r="Z8530" i="1"/>
  <c r="A8531" i="1"/>
  <c r="B8531" i="1"/>
  <c r="C8531" i="1"/>
  <c r="D8531" i="1"/>
  <c r="E8531" i="1"/>
  <c r="F8531" i="1"/>
  <c r="G8531" i="1"/>
  <c r="I8531" i="1"/>
  <c r="J8531" i="1"/>
  <c r="K8531" i="1"/>
  <c r="L8531" i="1"/>
  <c r="M8531" i="1"/>
  <c r="N8531" i="1"/>
  <c r="O8531" i="1"/>
  <c r="P8531" i="1"/>
  <c r="Q8531" i="1"/>
  <c r="R8531" i="1"/>
  <c r="S8531" i="1"/>
  <c r="T8531" i="1"/>
  <c r="U8531" i="1"/>
  <c r="V8531" i="1"/>
  <c r="W8531" i="1"/>
  <c r="X8531" i="1"/>
  <c r="Y8531" i="1"/>
  <c r="Z8531" i="1"/>
  <c r="A8532" i="1"/>
  <c r="B8532" i="1"/>
  <c r="C8532" i="1"/>
  <c r="D8532" i="1"/>
  <c r="E8532" i="1"/>
  <c r="F8532" i="1"/>
  <c r="G8532" i="1"/>
  <c r="I8532" i="1"/>
  <c r="J8532" i="1"/>
  <c r="K8532" i="1"/>
  <c r="L8532" i="1"/>
  <c r="M8532" i="1"/>
  <c r="N8532" i="1"/>
  <c r="O8532" i="1"/>
  <c r="P8532" i="1"/>
  <c r="Q8532" i="1"/>
  <c r="R8532" i="1"/>
  <c r="S8532" i="1"/>
  <c r="T8532" i="1"/>
  <c r="U8532" i="1"/>
  <c r="V8532" i="1"/>
  <c r="W8532" i="1"/>
  <c r="X8532" i="1"/>
  <c r="Y8532" i="1"/>
  <c r="Z8532" i="1"/>
  <c r="A8533" i="1"/>
  <c r="B8533" i="1"/>
  <c r="C8533" i="1"/>
  <c r="D8533" i="1"/>
  <c r="E8533" i="1"/>
  <c r="F8533" i="1"/>
  <c r="G8533" i="1"/>
  <c r="I8533" i="1"/>
  <c r="J8533" i="1"/>
  <c r="K8533" i="1"/>
  <c r="L8533" i="1"/>
  <c r="M8533" i="1"/>
  <c r="N8533" i="1"/>
  <c r="O8533" i="1"/>
  <c r="P8533" i="1"/>
  <c r="Q8533" i="1"/>
  <c r="R8533" i="1"/>
  <c r="S8533" i="1"/>
  <c r="T8533" i="1"/>
  <c r="U8533" i="1"/>
  <c r="V8533" i="1"/>
  <c r="W8533" i="1"/>
  <c r="X8533" i="1"/>
  <c r="Y8533" i="1"/>
  <c r="Z8533" i="1"/>
  <c r="A8534" i="1"/>
  <c r="B8534" i="1"/>
  <c r="C8534" i="1"/>
  <c r="D8534" i="1"/>
  <c r="E8534" i="1"/>
  <c r="F8534" i="1"/>
  <c r="G8534" i="1"/>
  <c r="I8534" i="1"/>
  <c r="J8534" i="1"/>
  <c r="K8534" i="1"/>
  <c r="L8534" i="1"/>
  <c r="M8534" i="1"/>
  <c r="N8534" i="1"/>
  <c r="O8534" i="1"/>
  <c r="P8534" i="1"/>
  <c r="Q8534" i="1"/>
  <c r="R8534" i="1"/>
  <c r="S8534" i="1"/>
  <c r="T8534" i="1"/>
  <c r="U8534" i="1"/>
  <c r="V8534" i="1"/>
  <c r="W8534" i="1"/>
  <c r="X8534" i="1"/>
  <c r="Y8534" i="1"/>
  <c r="Z8534" i="1"/>
  <c r="A8535" i="1"/>
  <c r="B8535" i="1"/>
  <c r="C8535" i="1"/>
  <c r="D8535" i="1"/>
  <c r="E8535" i="1"/>
  <c r="F8535" i="1"/>
  <c r="G8535" i="1"/>
  <c r="I8535" i="1"/>
  <c r="J8535" i="1"/>
  <c r="K8535" i="1"/>
  <c r="L8535" i="1"/>
  <c r="M8535" i="1"/>
  <c r="N8535" i="1"/>
  <c r="O8535" i="1"/>
  <c r="P8535" i="1"/>
  <c r="Q8535" i="1"/>
  <c r="R8535" i="1"/>
  <c r="S8535" i="1"/>
  <c r="T8535" i="1"/>
  <c r="U8535" i="1"/>
  <c r="V8535" i="1"/>
  <c r="W8535" i="1"/>
  <c r="X8535" i="1"/>
  <c r="Y8535" i="1"/>
  <c r="Z8535" i="1"/>
  <c r="A8536" i="1"/>
  <c r="B8536" i="1"/>
  <c r="C8536" i="1"/>
  <c r="D8536" i="1"/>
  <c r="E8536" i="1"/>
  <c r="F8536" i="1"/>
  <c r="G8536" i="1"/>
  <c r="I8536" i="1"/>
  <c r="J8536" i="1"/>
  <c r="K8536" i="1"/>
  <c r="L8536" i="1"/>
  <c r="M8536" i="1"/>
  <c r="N8536" i="1"/>
  <c r="O8536" i="1"/>
  <c r="P8536" i="1"/>
  <c r="Q8536" i="1"/>
  <c r="R8536" i="1"/>
  <c r="S8536" i="1"/>
  <c r="T8536" i="1"/>
  <c r="U8536" i="1"/>
  <c r="V8536" i="1"/>
  <c r="W8536" i="1"/>
  <c r="X8536" i="1"/>
  <c r="Y8536" i="1"/>
  <c r="Z8536" i="1"/>
  <c r="A8537" i="1"/>
  <c r="B8537" i="1"/>
  <c r="C8537" i="1"/>
  <c r="D8537" i="1"/>
  <c r="E8537" i="1"/>
  <c r="F8537" i="1"/>
  <c r="G8537" i="1"/>
  <c r="I8537" i="1"/>
  <c r="J8537" i="1"/>
  <c r="K8537" i="1"/>
  <c r="L8537" i="1"/>
  <c r="M8537" i="1"/>
  <c r="N8537" i="1"/>
  <c r="O8537" i="1"/>
  <c r="P8537" i="1"/>
  <c r="Q8537" i="1"/>
  <c r="R8537" i="1"/>
  <c r="S8537" i="1"/>
  <c r="T8537" i="1"/>
  <c r="U8537" i="1"/>
  <c r="V8537" i="1"/>
  <c r="W8537" i="1"/>
  <c r="X8537" i="1"/>
  <c r="Y8537" i="1"/>
  <c r="Z8537" i="1"/>
  <c r="A8538" i="1"/>
  <c r="B8538" i="1"/>
  <c r="C8538" i="1"/>
  <c r="D8538" i="1"/>
  <c r="E8538" i="1"/>
  <c r="F8538" i="1"/>
  <c r="G8538" i="1"/>
  <c r="I8538" i="1"/>
  <c r="J8538" i="1"/>
  <c r="K8538" i="1"/>
  <c r="L8538" i="1"/>
  <c r="M8538" i="1"/>
  <c r="N8538" i="1"/>
  <c r="O8538" i="1"/>
  <c r="P8538" i="1"/>
  <c r="Q8538" i="1"/>
  <c r="R8538" i="1"/>
  <c r="S8538" i="1"/>
  <c r="T8538" i="1"/>
  <c r="U8538" i="1"/>
  <c r="V8538" i="1"/>
  <c r="W8538" i="1"/>
  <c r="X8538" i="1"/>
  <c r="Y8538" i="1"/>
  <c r="Z8538" i="1"/>
  <c r="A8539" i="1"/>
  <c r="B8539" i="1"/>
  <c r="C8539" i="1"/>
  <c r="D8539" i="1"/>
  <c r="E8539" i="1"/>
  <c r="F8539" i="1"/>
  <c r="G8539" i="1"/>
  <c r="I8539" i="1"/>
  <c r="J8539" i="1"/>
  <c r="K8539" i="1"/>
  <c r="L8539" i="1"/>
  <c r="M8539" i="1"/>
  <c r="N8539" i="1"/>
  <c r="O8539" i="1"/>
  <c r="P8539" i="1"/>
  <c r="Q8539" i="1"/>
  <c r="R8539" i="1"/>
  <c r="S8539" i="1"/>
  <c r="T8539" i="1"/>
  <c r="U8539" i="1"/>
  <c r="V8539" i="1"/>
  <c r="W8539" i="1"/>
  <c r="X8539" i="1"/>
  <c r="Y8539" i="1"/>
  <c r="Z8539" i="1"/>
  <c r="A8540" i="1"/>
  <c r="B8540" i="1"/>
  <c r="C8540" i="1"/>
  <c r="D8540" i="1"/>
  <c r="E8540" i="1"/>
  <c r="F8540" i="1"/>
  <c r="G8540" i="1"/>
  <c r="I8540" i="1"/>
  <c r="J8540" i="1"/>
  <c r="K8540" i="1"/>
  <c r="L8540" i="1"/>
  <c r="M8540" i="1"/>
  <c r="N8540" i="1"/>
  <c r="O8540" i="1"/>
  <c r="P8540" i="1"/>
  <c r="Q8540" i="1"/>
  <c r="R8540" i="1"/>
  <c r="S8540" i="1"/>
  <c r="T8540" i="1"/>
  <c r="U8540" i="1"/>
  <c r="V8540" i="1"/>
  <c r="W8540" i="1"/>
  <c r="X8540" i="1"/>
  <c r="Y8540" i="1"/>
  <c r="Z8540" i="1"/>
  <c r="A8541" i="1"/>
  <c r="B8541" i="1"/>
  <c r="C8541" i="1"/>
  <c r="D8541" i="1"/>
  <c r="E8541" i="1"/>
  <c r="F8541" i="1"/>
  <c r="G8541" i="1"/>
  <c r="I8541" i="1"/>
  <c r="J8541" i="1"/>
  <c r="K8541" i="1"/>
  <c r="L8541" i="1"/>
  <c r="M8541" i="1"/>
  <c r="N8541" i="1"/>
  <c r="O8541" i="1"/>
  <c r="P8541" i="1"/>
  <c r="Q8541" i="1"/>
  <c r="R8541" i="1"/>
  <c r="S8541" i="1"/>
  <c r="T8541" i="1"/>
  <c r="U8541" i="1"/>
  <c r="V8541" i="1"/>
  <c r="W8541" i="1"/>
  <c r="X8541" i="1"/>
  <c r="Y8541" i="1"/>
  <c r="Z8541" i="1"/>
  <c r="A8542" i="1"/>
  <c r="B8542" i="1"/>
  <c r="C8542" i="1"/>
  <c r="D8542" i="1"/>
  <c r="E8542" i="1"/>
  <c r="F8542" i="1"/>
  <c r="G8542" i="1"/>
  <c r="I8542" i="1"/>
  <c r="J8542" i="1"/>
  <c r="K8542" i="1"/>
  <c r="L8542" i="1"/>
  <c r="M8542" i="1"/>
  <c r="N8542" i="1"/>
  <c r="O8542" i="1"/>
  <c r="P8542" i="1"/>
  <c r="Q8542" i="1"/>
  <c r="R8542" i="1"/>
  <c r="S8542" i="1"/>
  <c r="T8542" i="1"/>
  <c r="U8542" i="1"/>
  <c r="V8542" i="1"/>
  <c r="W8542" i="1"/>
  <c r="X8542" i="1"/>
  <c r="Y8542" i="1"/>
  <c r="Z8542" i="1"/>
  <c r="A8543" i="1"/>
  <c r="B8543" i="1"/>
  <c r="C8543" i="1"/>
  <c r="D8543" i="1"/>
  <c r="E8543" i="1"/>
  <c r="F8543" i="1"/>
  <c r="G8543" i="1"/>
  <c r="I8543" i="1"/>
  <c r="J8543" i="1"/>
  <c r="K8543" i="1"/>
  <c r="L8543" i="1"/>
  <c r="M8543" i="1"/>
  <c r="N8543" i="1"/>
  <c r="O8543" i="1"/>
  <c r="P8543" i="1"/>
  <c r="Q8543" i="1"/>
  <c r="R8543" i="1"/>
  <c r="S8543" i="1"/>
  <c r="T8543" i="1"/>
  <c r="U8543" i="1"/>
  <c r="V8543" i="1"/>
  <c r="W8543" i="1"/>
  <c r="X8543" i="1"/>
  <c r="Y8543" i="1"/>
  <c r="Z8543" i="1"/>
  <c r="A8544" i="1"/>
  <c r="B8544" i="1"/>
  <c r="C8544" i="1"/>
  <c r="D8544" i="1"/>
  <c r="E8544" i="1"/>
  <c r="F8544" i="1"/>
  <c r="G8544" i="1"/>
  <c r="I8544" i="1"/>
  <c r="J8544" i="1"/>
  <c r="K8544" i="1"/>
  <c r="L8544" i="1"/>
  <c r="M8544" i="1"/>
  <c r="N8544" i="1"/>
  <c r="O8544" i="1"/>
  <c r="P8544" i="1"/>
  <c r="Q8544" i="1"/>
  <c r="R8544" i="1"/>
  <c r="S8544" i="1"/>
  <c r="T8544" i="1"/>
  <c r="U8544" i="1"/>
  <c r="V8544" i="1"/>
  <c r="W8544" i="1"/>
  <c r="X8544" i="1"/>
  <c r="Y8544" i="1"/>
  <c r="Z8544" i="1"/>
  <c r="A8545" i="1"/>
  <c r="B8545" i="1"/>
  <c r="C8545" i="1"/>
  <c r="D8545" i="1"/>
  <c r="E8545" i="1"/>
  <c r="F8545" i="1"/>
  <c r="G8545" i="1"/>
  <c r="I8545" i="1"/>
  <c r="J8545" i="1"/>
  <c r="K8545" i="1"/>
  <c r="L8545" i="1"/>
  <c r="M8545" i="1"/>
  <c r="N8545" i="1"/>
  <c r="O8545" i="1"/>
  <c r="P8545" i="1"/>
  <c r="Q8545" i="1"/>
  <c r="R8545" i="1"/>
  <c r="S8545" i="1"/>
  <c r="T8545" i="1"/>
  <c r="U8545" i="1"/>
  <c r="V8545" i="1"/>
  <c r="W8545" i="1"/>
  <c r="X8545" i="1"/>
  <c r="Y8545" i="1"/>
  <c r="Z8545" i="1"/>
  <c r="A8546" i="1"/>
  <c r="B8546" i="1"/>
  <c r="C8546" i="1"/>
  <c r="D8546" i="1"/>
  <c r="E8546" i="1"/>
  <c r="F8546" i="1"/>
  <c r="G8546" i="1"/>
  <c r="I8546" i="1"/>
  <c r="J8546" i="1"/>
  <c r="K8546" i="1"/>
  <c r="L8546" i="1"/>
  <c r="M8546" i="1"/>
  <c r="N8546" i="1"/>
  <c r="O8546" i="1"/>
  <c r="P8546" i="1"/>
  <c r="Q8546" i="1"/>
  <c r="R8546" i="1"/>
  <c r="S8546" i="1"/>
  <c r="T8546" i="1"/>
  <c r="U8546" i="1"/>
  <c r="V8546" i="1"/>
  <c r="W8546" i="1"/>
  <c r="X8546" i="1"/>
  <c r="Y8546" i="1"/>
  <c r="Z8546" i="1"/>
  <c r="A8547" i="1"/>
  <c r="B8547" i="1"/>
  <c r="C8547" i="1"/>
  <c r="D8547" i="1"/>
  <c r="E8547" i="1"/>
  <c r="F8547" i="1"/>
  <c r="G8547" i="1"/>
  <c r="I8547" i="1"/>
  <c r="J8547" i="1"/>
  <c r="K8547" i="1"/>
  <c r="L8547" i="1"/>
  <c r="M8547" i="1"/>
  <c r="N8547" i="1"/>
  <c r="O8547" i="1"/>
  <c r="P8547" i="1"/>
  <c r="Q8547" i="1"/>
  <c r="R8547" i="1"/>
  <c r="S8547" i="1"/>
  <c r="T8547" i="1"/>
  <c r="U8547" i="1"/>
  <c r="V8547" i="1"/>
  <c r="W8547" i="1"/>
  <c r="X8547" i="1"/>
  <c r="Y8547" i="1"/>
  <c r="Z8547" i="1"/>
  <c r="A8548" i="1"/>
  <c r="B8548" i="1"/>
  <c r="C8548" i="1"/>
  <c r="D8548" i="1"/>
  <c r="E8548" i="1"/>
  <c r="F8548" i="1"/>
  <c r="G8548" i="1"/>
  <c r="I8548" i="1"/>
  <c r="J8548" i="1"/>
  <c r="K8548" i="1"/>
  <c r="L8548" i="1"/>
  <c r="M8548" i="1"/>
  <c r="N8548" i="1"/>
  <c r="O8548" i="1"/>
  <c r="P8548" i="1"/>
  <c r="Q8548" i="1"/>
  <c r="R8548" i="1"/>
  <c r="S8548" i="1"/>
  <c r="T8548" i="1"/>
  <c r="U8548" i="1"/>
  <c r="V8548" i="1"/>
  <c r="W8548" i="1"/>
  <c r="X8548" i="1"/>
  <c r="Y8548" i="1"/>
  <c r="Z8548" i="1"/>
  <c r="A8549" i="1"/>
  <c r="B8549" i="1"/>
  <c r="C8549" i="1"/>
  <c r="D8549" i="1"/>
  <c r="E8549" i="1"/>
  <c r="F8549" i="1"/>
  <c r="G8549" i="1"/>
  <c r="I8549" i="1"/>
  <c r="J8549" i="1"/>
  <c r="K8549" i="1"/>
  <c r="L8549" i="1"/>
  <c r="M8549" i="1"/>
  <c r="N8549" i="1"/>
  <c r="O8549" i="1"/>
  <c r="P8549" i="1"/>
  <c r="Q8549" i="1"/>
  <c r="R8549" i="1"/>
  <c r="S8549" i="1"/>
  <c r="T8549" i="1"/>
  <c r="U8549" i="1"/>
  <c r="V8549" i="1"/>
  <c r="W8549" i="1"/>
  <c r="X8549" i="1"/>
  <c r="Y8549" i="1"/>
  <c r="Z8549" i="1"/>
  <c r="A8550" i="1"/>
  <c r="B8550" i="1"/>
  <c r="C8550" i="1"/>
  <c r="D8550" i="1"/>
  <c r="E8550" i="1"/>
  <c r="F8550" i="1"/>
  <c r="G8550" i="1"/>
  <c r="I8550" i="1"/>
  <c r="J8550" i="1"/>
  <c r="K8550" i="1"/>
  <c r="L8550" i="1"/>
  <c r="M8550" i="1"/>
  <c r="N8550" i="1"/>
  <c r="O8550" i="1"/>
  <c r="P8550" i="1"/>
  <c r="Q8550" i="1"/>
  <c r="R8550" i="1"/>
  <c r="S8550" i="1"/>
  <c r="T8550" i="1"/>
  <c r="U8550" i="1"/>
  <c r="V8550" i="1"/>
  <c r="W8550" i="1"/>
  <c r="X8550" i="1"/>
  <c r="Y8550" i="1"/>
  <c r="Z8550" i="1"/>
  <c r="A8551" i="1"/>
  <c r="B8551" i="1"/>
  <c r="C8551" i="1"/>
  <c r="D8551" i="1"/>
  <c r="E8551" i="1"/>
  <c r="F8551" i="1"/>
  <c r="G8551" i="1"/>
  <c r="I8551" i="1"/>
  <c r="J8551" i="1"/>
  <c r="K8551" i="1"/>
  <c r="L8551" i="1"/>
  <c r="M8551" i="1"/>
  <c r="N8551" i="1"/>
  <c r="O8551" i="1"/>
  <c r="P8551" i="1"/>
  <c r="Q8551" i="1"/>
  <c r="R8551" i="1"/>
  <c r="S8551" i="1"/>
  <c r="T8551" i="1"/>
  <c r="U8551" i="1"/>
  <c r="V8551" i="1"/>
  <c r="W8551" i="1"/>
  <c r="X8551" i="1"/>
  <c r="Y8551" i="1"/>
  <c r="Z8551" i="1"/>
  <c r="A8552" i="1"/>
  <c r="B8552" i="1"/>
  <c r="C8552" i="1"/>
  <c r="D8552" i="1"/>
  <c r="E8552" i="1"/>
  <c r="F8552" i="1"/>
  <c r="G8552" i="1"/>
  <c r="I8552" i="1"/>
  <c r="J8552" i="1"/>
  <c r="K8552" i="1"/>
  <c r="L8552" i="1"/>
  <c r="M8552" i="1"/>
  <c r="N8552" i="1"/>
  <c r="O8552" i="1"/>
  <c r="P8552" i="1"/>
  <c r="Q8552" i="1"/>
  <c r="R8552" i="1"/>
  <c r="S8552" i="1"/>
  <c r="T8552" i="1"/>
  <c r="U8552" i="1"/>
  <c r="V8552" i="1"/>
  <c r="W8552" i="1"/>
  <c r="X8552" i="1"/>
  <c r="Y8552" i="1"/>
  <c r="Z8552" i="1"/>
  <c r="A8553" i="1"/>
  <c r="B8553" i="1"/>
  <c r="C8553" i="1"/>
  <c r="D8553" i="1"/>
  <c r="E8553" i="1"/>
  <c r="F8553" i="1"/>
  <c r="G8553" i="1"/>
  <c r="I8553" i="1"/>
  <c r="J8553" i="1"/>
  <c r="K8553" i="1"/>
  <c r="L8553" i="1"/>
  <c r="M8553" i="1"/>
  <c r="N8553" i="1"/>
  <c r="O8553" i="1"/>
  <c r="P8553" i="1"/>
  <c r="Q8553" i="1"/>
  <c r="R8553" i="1"/>
  <c r="S8553" i="1"/>
  <c r="T8553" i="1"/>
  <c r="U8553" i="1"/>
  <c r="V8553" i="1"/>
  <c r="W8553" i="1"/>
  <c r="X8553" i="1"/>
  <c r="Y8553" i="1"/>
  <c r="Z8553" i="1"/>
  <c r="A8554" i="1"/>
  <c r="B8554" i="1"/>
  <c r="C8554" i="1"/>
  <c r="D8554" i="1"/>
  <c r="E8554" i="1"/>
  <c r="F8554" i="1"/>
  <c r="G8554" i="1"/>
  <c r="I8554" i="1"/>
  <c r="J8554" i="1"/>
  <c r="K8554" i="1"/>
  <c r="L8554" i="1"/>
  <c r="M8554" i="1"/>
  <c r="N8554" i="1"/>
  <c r="O8554" i="1"/>
  <c r="P8554" i="1"/>
  <c r="Q8554" i="1"/>
  <c r="R8554" i="1"/>
  <c r="S8554" i="1"/>
  <c r="T8554" i="1"/>
  <c r="U8554" i="1"/>
  <c r="V8554" i="1"/>
  <c r="W8554" i="1"/>
  <c r="X8554" i="1"/>
  <c r="Y8554" i="1"/>
  <c r="Z8554" i="1"/>
  <c r="A8555" i="1"/>
  <c r="B8555" i="1"/>
  <c r="C8555" i="1"/>
  <c r="D8555" i="1"/>
  <c r="E8555" i="1"/>
  <c r="F8555" i="1"/>
  <c r="G8555" i="1"/>
  <c r="I8555" i="1"/>
  <c r="J8555" i="1"/>
  <c r="K8555" i="1"/>
  <c r="L8555" i="1"/>
  <c r="M8555" i="1"/>
  <c r="N8555" i="1"/>
  <c r="O8555" i="1"/>
  <c r="P8555" i="1"/>
  <c r="Q8555" i="1"/>
  <c r="R8555" i="1"/>
  <c r="S8555" i="1"/>
  <c r="T8555" i="1"/>
  <c r="U8555" i="1"/>
  <c r="V8555" i="1"/>
  <c r="W8555" i="1"/>
  <c r="X8555" i="1"/>
  <c r="Y8555" i="1"/>
  <c r="Z8555" i="1"/>
  <c r="A8556" i="1"/>
  <c r="B8556" i="1"/>
  <c r="C8556" i="1"/>
  <c r="D8556" i="1"/>
  <c r="E8556" i="1"/>
  <c r="F8556" i="1"/>
  <c r="G8556" i="1"/>
  <c r="I8556" i="1"/>
  <c r="J8556" i="1"/>
  <c r="K8556" i="1"/>
  <c r="L8556" i="1"/>
  <c r="M8556" i="1"/>
  <c r="N8556" i="1"/>
  <c r="O8556" i="1"/>
  <c r="P8556" i="1"/>
  <c r="Q8556" i="1"/>
  <c r="R8556" i="1"/>
  <c r="S8556" i="1"/>
  <c r="T8556" i="1"/>
  <c r="U8556" i="1"/>
  <c r="V8556" i="1"/>
  <c r="W8556" i="1"/>
  <c r="X8556" i="1"/>
  <c r="Y8556" i="1"/>
  <c r="Z8556" i="1"/>
  <c r="A8557" i="1"/>
  <c r="B8557" i="1"/>
  <c r="C8557" i="1"/>
  <c r="D8557" i="1"/>
  <c r="E8557" i="1"/>
  <c r="F8557" i="1"/>
  <c r="G8557" i="1"/>
  <c r="I8557" i="1"/>
  <c r="J8557" i="1"/>
  <c r="K8557" i="1"/>
  <c r="L8557" i="1"/>
  <c r="M8557" i="1"/>
  <c r="N8557" i="1"/>
  <c r="O8557" i="1"/>
  <c r="P8557" i="1"/>
  <c r="Q8557" i="1"/>
  <c r="R8557" i="1"/>
  <c r="S8557" i="1"/>
  <c r="T8557" i="1"/>
  <c r="U8557" i="1"/>
  <c r="V8557" i="1"/>
  <c r="W8557" i="1"/>
  <c r="X8557" i="1"/>
  <c r="Y8557" i="1"/>
  <c r="Z8557" i="1"/>
  <c r="A8558" i="1"/>
  <c r="B8558" i="1"/>
  <c r="C8558" i="1"/>
  <c r="D8558" i="1"/>
  <c r="E8558" i="1"/>
  <c r="F8558" i="1"/>
  <c r="G8558" i="1"/>
  <c r="I8558" i="1"/>
  <c r="J8558" i="1"/>
  <c r="K8558" i="1"/>
  <c r="L8558" i="1"/>
  <c r="M8558" i="1"/>
  <c r="N8558" i="1"/>
  <c r="O8558" i="1"/>
  <c r="P8558" i="1"/>
  <c r="Q8558" i="1"/>
  <c r="R8558" i="1"/>
  <c r="S8558" i="1"/>
  <c r="T8558" i="1"/>
  <c r="U8558" i="1"/>
  <c r="V8558" i="1"/>
  <c r="W8558" i="1"/>
  <c r="X8558" i="1"/>
  <c r="Y8558" i="1"/>
  <c r="Z8558" i="1"/>
  <c r="A8559" i="1"/>
  <c r="B8559" i="1"/>
  <c r="C8559" i="1"/>
  <c r="D8559" i="1"/>
  <c r="E8559" i="1"/>
  <c r="F8559" i="1"/>
  <c r="G8559" i="1"/>
  <c r="I8559" i="1"/>
  <c r="J8559" i="1"/>
  <c r="K8559" i="1"/>
  <c r="L8559" i="1"/>
  <c r="M8559" i="1"/>
  <c r="N8559" i="1"/>
  <c r="O8559" i="1"/>
  <c r="P8559" i="1"/>
  <c r="Q8559" i="1"/>
  <c r="R8559" i="1"/>
  <c r="S8559" i="1"/>
  <c r="T8559" i="1"/>
  <c r="U8559" i="1"/>
  <c r="V8559" i="1"/>
  <c r="W8559" i="1"/>
  <c r="X8559" i="1"/>
  <c r="Y8559" i="1"/>
  <c r="Z8559" i="1"/>
  <c r="A8560" i="1"/>
  <c r="B8560" i="1"/>
  <c r="C8560" i="1"/>
  <c r="D8560" i="1"/>
  <c r="E8560" i="1"/>
  <c r="F8560" i="1"/>
  <c r="G8560" i="1"/>
  <c r="I8560" i="1"/>
  <c r="J8560" i="1"/>
  <c r="K8560" i="1"/>
  <c r="L8560" i="1"/>
  <c r="M8560" i="1"/>
  <c r="N8560" i="1"/>
  <c r="O8560" i="1"/>
  <c r="P8560" i="1"/>
  <c r="Q8560" i="1"/>
  <c r="R8560" i="1"/>
  <c r="S8560" i="1"/>
  <c r="T8560" i="1"/>
  <c r="U8560" i="1"/>
  <c r="V8560" i="1"/>
  <c r="W8560" i="1"/>
  <c r="X8560" i="1"/>
  <c r="Y8560" i="1"/>
  <c r="Z8560" i="1"/>
  <c r="A8561" i="1"/>
  <c r="B8561" i="1"/>
  <c r="C8561" i="1"/>
  <c r="D8561" i="1"/>
  <c r="E8561" i="1"/>
  <c r="F8561" i="1"/>
  <c r="G8561" i="1"/>
  <c r="I8561" i="1"/>
  <c r="J8561" i="1"/>
  <c r="K8561" i="1"/>
  <c r="L8561" i="1"/>
  <c r="M8561" i="1"/>
  <c r="N8561" i="1"/>
  <c r="O8561" i="1"/>
  <c r="P8561" i="1"/>
  <c r="Q8561" i="1"/>
  <c r="R8561" i="1"/>
  <c r="S8561" i="1"/>
  <c r="T8561" i="1"/>
  <c r="U8561" i="1"/>
  <c r="V8561" i="1"/>
  <c r="W8561" i="1"/>
  <c r="X8561" i="1"/>
  <c r="Y8561" i="1"/>
  <c r="Z8561" i="1"/>
  <c r="A8562" i="1"/>
  <c r="B8562" i="1"/>
  <c r="C8562" i="1"/>
  <c r="D8562" i="1"/>
  <c r="E8562" i="1"/>
  <c r="F8562" i="1"/>
  <c r="G8562" i="1"/>
  <c r="I8562" i="1"/>
  <c r="J8562" i="1"/>
  <c r="K8562" i="1"/>
  <c r="L8562" i="1"/>
  <c r="M8562" i="1"/>
  <c r="N8562" i="1"/>
  <c r="O8562" i="1"/>
  <c r="P8562" i="1"/>
  <c r="Q8562" i="1"/>
  <c r="R8562" i="1"/>
  <c r="S8562" i="1"/>
  <c r="T8562" i="1"/>
  <c r="U8562" i="1"/>
  <c r="V8562" i="1"/>
  <c r="W8562" i="1"/>
  <c r="X8562" i="1"/>
  <c r="Y8562" i="1"/>
  <c r="Z8562" i="1"/>
  <c r="A8563" i="1"/>
  <c r="B8563" i="1"/>
  <c r="C8563" i="1"/>
  <c r="D8563" i="1"/>
  <c r="E8563" i="1"/>
  <c r="F8563" i="1"/>
  <c r="G8563" i="1"/>
  <c r="I8563" i="1"/>
  <c r="J8563" i="1"/>
  <c r="K8563" i="1"/>
  <c r="L8563" i="1"/>
  <c r="M8563" i="1"/>
  <c r="N8563" i="1"/>
  <c r="O8563" i="1"/>
  <c r="P8563" i="1"/>
  <c r="Q8563" i="1"/>
  <c r="R8563" i="1"/>
  <c r="S8563" i="1"/>
  <c r="T8563" i="1"/>
  <c r="U8563" i="1"/>
  <c r="V8563" i="1"/>
  <c r="W8563" i="1"/>
  <c r="X8563" i="1"/>
  <c r="Y8563" i="1"/>
  <c r="Z8563" i="1"/>
  <c r="A8564" i="1"/>
  <c r="B8564" i="1"/>
  <c r="C8564" i="1"/>
  <c r="D8564" i="1"/>
  <c r="E8564" i="1"/>
  <c r="F8564" i="1"/>
  <c r="G8564" i="1"/>
  <c r="I8564" i="1"/>
  <c r="J8564" i="1"/>
  <c r="K8564" i="1"/>
  <c r="L8564" i="1"/>
  <c r="M8564" i="1"/>
  <c r="N8564" i="1"/>
  <c r="O8564" i="1"/>
  <c r="P8564" i="1"/>
  <c r="Q8564" i="1"/>
  <c r="R8564" i="1"/>
  <c r="S8564" i="1"/>
  <c r="T8564" i="1"/>
  <c r="U8564" i="1"/>
  <c r="V8564" i="1"/>
  <c r="W8564" i="1"/>
  <c r="X8564" i="1"/>
  <c r="Y8564" i="1"/>
  <c r="Z8564" i="1"/>
  <c r="A8565" i="1"/>
  <c r="B8565" i="1"/>
  <c r="C8565" i="1"/>
  <c r="D8565" i="1"/>
  <c r="E8565" i="1"/>
  <c r="F8565" i="1"/>
  <c r="G8565" i="1"/>
  <c r="I8565" i="1"/>
  <c r="J8565" i="1"/>
  <c r="K8565" i="1"/>
  <c r="L8565" i="1"/>
  <c r="M8565" i="1"/>
  <c r="N8565" i="1"/>
  <c r="O8565" i="1"/>
  <c r="P8565" i="1"/>
  <c r="Q8565" i="1"/>
  <c r="R8565" i="1"/>
  <c r="S8565" i="1"/>
  <c r="T8565" i="1"/>
  <c r="U8565" i="1"/>
  <c r="V8565" i="1"/>
  <c r="W8565" i="1"/>
  <c r="X8565" i="1"/>
  <c r="Y8565" i="1"/>
  <c r="Z8565" i="1"/>
  <c r="A8566" i="1"/>
  <c r="B8566" i="1"/>
  <c r="C8566" i="1"/>
  <c r="D8566" i="1"/>
  <c r="E8566" i="1"/>
  <c r="F8566" i="1"/>
  <c r="G8566" i="1"/>
  <c r="I8566" i="1"/>
  <c r="J8566" i="1"/>
  <c r="K8566" i="1"/>
  <c r="L8566" i="1"/>
  <c r="M8566" i="1"/>
  <c r="N8566" i="1"/>
  <c r="O8566" i="1"/>
  <c r="P8566" i="1"/>
  <c r="Q8566" i="1"/>
  <c r="R8566" i="1"/>
  <c r="S8566" i="1"/>
  <c r="T8566" i="1"/>
  <c r="U8566" i="1"/>
  <c r="V8566" i="1"/>
  <c r="W8566" i="1"/>
  <c r="X8566" i="1"/>
  <c r="Y8566" i="1"/>
  <c r="Z8566" i="1"/>
  <c r="A8567" i="1"/>
  <c r="B8567" i="1"/>
  <c r="C8567" i="1"/>
  <c r="D8567" i="1"/>
  <c r="E8567" i="1"/>
  <c r="F8567" i="1"/>
  <c r="G8567" i="1"/>
  <c r="I8567" i="1"/>
  <c r="J8567" i="1"/>
  <c r="K8567" i="1"/>
  <c r="L8567" i="1"/>
  <c r="M8567" i="1"/>
  <c r="N8567" i="1"/>
  <c r="O8567" i="1"/>
  <c r="P8567" i="1"/>
  <c r="Q8567" i="1"/>
  <c r="R8567" i="1"/>
  <c r="S8567" i="1"/>
  <c r="T8567" i="1"/>
  <c r="U8567" i="1"/>
  <c r="V8567" i="1"/>
  <c r="W8567" i="1"/>
  <c r="X8567" i="1"/>
  <c r="Y8567" i="1"/>
  <c r="Z8567" i="1"/>
  <c r="A8568" i="1"/>
  <c r="B8568" i="1"/>
  <c r="C8568" i="1"/>
  <c r="D8568" i="1"/>
  <c r="E8568" i="1"/>
  <c r="F8568" i="1"/>
  <c r="G8568" i="1"/>
  <c r="I8568" i="1"/>
  <c r="J8568" i="1"/>
  <c r="K8568" i="1"/>
  <c r="L8568" i="1"/>
  <c r="M8568" i="1"/>
  <c r="N8568" i="1"/>
  <c r="O8568" i="1"/>
  <c r="P8568" i="1"/>
  <c r="Q8568" i="1"/>
  <c r="R8568" i="1"/>
  <c r="S8568" i="1"/>
  <c r="T8568" i="1"/>
  <c r="U8568" i="1"/>
  <c r="V8568" i="1"/>
  <c r="W8568" i="1"/>
  <c r="X8568" i="1"/>
  <c r="Y8568" i="1"/>
  <c r="Z8568" i="1"/>
  <c r="A8569" i="1"/>
  <c r="B8569" i="1"/>
  <c r="C8569" i="1"/>
  <c r="D8569" i="1"/>
  <c r="E8569" i="1"/>
  <c r="F8569" i="1"/>
  <c r="G8569" i="1"/>
  <c r="I8569" i="1"/>
  <c r="J8569" i="1"/>
  <c r="K8569" i="1"/>
  <c r="L8569" i="1"/>
  <c r="M8569" i="1"/>
  <c r="N8569" i="1"/>
  <c r="O8569" i="1"/>
  <c r="P8569" i="1"/>
  <c r="Q8569" i="1"/>
  <c r="R8569" i="1"/>
  <c r="S8569" i="1"/>
  <c r="T8569" i="1"/>
  <c r="U8569" i="1"/>
  <c r="V8569" i="1"/>
  <c r="W8569" i="1"/>
  <c r="X8569" i="1"/>
  <c r="Y8569" i="1"/>
  <c r="Z8569" i="1"/>
  <c r="A8570" i="1"/>
  <c r="B8570" i="1"/>
  <c r="C8570" i="1"/>
  <c r="D8570" i="1"/>
  <c r="E8570" i="1"/>
  <c r="F8570" i="1"/>
  <c r="G8570" i="1"/>
  <c r="I8570" i="1"/>
  <c r="J8570" i="1"/>
  <c r="K8570" i="1"/>
  <c r="L8570" i="1"/>
  <c r="M8570" i="1"/>
  <c r="N8570" i="1"/>
  <c r="O8570" i="1"/>
  <c r="P8570" i="1"/>
  <c r="Q8570" i="1"/>
  <c r="R8570" i="1"/>
  <c r="S8570" i="1"/>
  <c r="T8570" i="1"/>
  <c r="U8570" i="1"/>
  <c r="V8570" i="1"/>
  <c r="W8570" i="1"/>
  <c r="X8570" i="1"/>
  <c r="Y8570" i="1"/>
  <c r="Z8570" i="1"/>
  <c r="A8571" i="1"/>
  <c r="B8571" i="1"/>
  <c r="C8571" i="1"/>
  <c r="D8571" i="1"/>
  <c r="E8571" i="1"/>
  <c r="F8571" i="1"/>
  <c r="G8571" i="1"/>
  <c r="I8571" i="1"/>
  <c r="J8571" i="1"/>
  <c r="K8571" i="1"/>
  <c r="L8571" i="1"/>
  <c r="M8571" i="1"/>
  <c r="N8571" i="1"/>
  <c r="O8571" i="1"/>
  <c r="P8571" i="1"/>
  <c r="Q8571" i="1"/>
  <c r="R8571" i="1"/>
  <c r="S8571" i="1"/>
  <c r="T8571" i="1"/>
  <c r="U8571" i="1"/>
  <c r="V8571" i="1"/>
  <c r="W8571" i="1"/>
  <c r="X8571" i="1"/>
  <c r="Y8571" i="1"/>
  <c r="Z8571" i="1"/>
  <c r="A8572" i="1"/>
  <c r="B8572" i="1"/>
  <c r="C8572" i="1"/>
  <c r="D8572" i="1"/>
  <c r="E8572" i="1"/>
  <c r="F8572" i="1"/>
  <c r="G8572" i="1"/>
  <c r="I8572" i="1"/>
  <c r="J8572" i="1"/>
  <c r="K8572" i="1"/>
  <c r="L8572" i="1"/>
  <c r="M8572" i="1"/>
  <c r="N8572" i="1"/>
  <c r="O8572" i="1"/>
  <c r="P8572" i="1"/>
  <c r="Q8572" i="1"/>
  <c r="R8572" i="1"/>
  <c r="S8572" i="1"/>
  <c r="T8572" i="1"/>
  <c r="U8572" i="1"/>
  <c r="V8572" i="1"/>
  <c r="W8572" i="1"/>
  <c r="X8572" i="1"/>
  <c r="Y8572" i="1"/>
  <c r="Z8572" i="1"/>
  <c r="A8573" i="1"/>
  <c r="B8573" i="1"/>
  <c r="C8573" i="1"/>
  <c r="D8573" i="1"/>
  <c r="E8573" i="1"/>
  <c r="F8573" i="1"/>
  <c r="G8573" i="1"/>
  <c r="I8573" i="1"/>
  <c r="J8573" i="1"/>
  <c r="K8573" i="1"/>
  <c r="L8573" i="1"/>
  <c r="M8573" i="1"/>
  <c r="N8573" i="1"/>
  <c r="O8573" i="1"/>
  <c r="P8573" i="1"/>
  <c r="Q8573" i="1"/>
  <c r="R8573" i="1"/>
  <c r="S8573" i="1"/>
  <c r="T8573" i="1"/>
  <c r="U8573" i="1"/>
  <c r="V8573" i="1"/>
  <c r="W8573" i="1"/>
  <c r="X8573" i="1"/>
  <c r="Y8573" i="1"/>
  <c r="Z8573" i="1"/>
  <c r="A8574" i="1"/>
  <c r="B8574" i="1"/>
  <c r="C8574" i="1"/>
  <c r="D8574" i="1"/>
  <c r="E8574" i="1"/>
  <c r="F8574" i="1"/>
  <c r="G8574" i="1"/>
  <c r="I8574" i="1"/>
  <c r="J8574" i="1"/>
  <c r="K8574" i="1"/>
  <c r="L8574" i="1"/>
  <c r="M8574" i="1"/>
  <c r="N8574" i="1"/>
  <c r="O8574" i="1"/>
  <c r="P8574" i="1"/>
  <c r="Q8574" i="1"/>
  <c r="R8574" i="1"/>
  <c r="S8574" i="1"/>
  <c r="T8574" i="1"/>
  <c r="U8574" i="1"/>
  <c r="V8574" i="1"/>
  <c r="W8574" i="1"/>
  <c r="X8574" i="1"/>
  <c r="Y8574" i="1"/>
  <c r="Z8574" i="1"/>
  <c r="A8575" i="1"/>
  <c r="B8575" i="1"/>
  <c r="C8575" i="1"/>
  <c r="D8575" i="1"/>
  <c r="E8575" i="1"/>
  <c r="F8575" i="1"/>
  <c r="G8575" i="1"/>
  <c r="I8575" i="1"/>
  <c r="J8575" i="1"/>
  <c r="K8575" i="1"/>
  <c r="L8575" i="1"/>
  <c r="M8575" i="1"/>
  <c r="N8575" i="1"/>
  <c r="O8575" i="1"/>
  <c r="P8575" i="1"/>
  <c r="Q8575" i="1"/>
  <c r="R8575" i="1"/>
  <c r="S8575" i="1"/>
  <c r="T8575" i="1"/>
  <c r="U8575" i="1"/>
  <c r="V8575" i="1"/>
  <c r="W8575" i="1"/>
  <c r="X8575" i="1"/>
  <c r="Y8575" i="1"/>
  <c r="Z8575" i="1"/>
  <c r="A8576" i="1"/>
  <c r="B8576" i="1"/>
  <c r="C8576" i="1"/>
  <c r="D8576" i="1"/>
  <c r="E8576" i="1"/>
  <c r="F8576" i="1"/>
  <c r="G8576" i="1"/>
  <c r="I8576" i="1"/>
  <c r="J8576" i="1"/>
  <c r="K8576" i="1"/>
  <c r="L8576" i="1"/>
  <c r="M8576" i="1"/>
  <c r="N8576" i="1"/>
  <c r="O8576" i="1"/>
  <c r="P8576" i="1"/>
  <c r="Q8576" i="1"/>
  <c r="R8576" i="1"/>
  <c r="S8576" i="1"/>
  <c r="T8576" i="1"/>
  <c r="U8576" i="1"/>
  <c r="V8576" i="1"/>
  <c r="W8576" i="1"/>
  <c r="X8576" i="1"/>
  <c r="Y8576" i="1"/>
  <c r="Z8576" i="1"/>
  <c r="A8577" i="1"/>
  <c r="B8577" i="1"/>
  <c r="C8577" i="1"/>
  <c r="D8577" i="1"/>
  <c r="E8577" i="1"/>
  <c r="F8577" i="1"/>
  <c r="G8577" i="1"/>
  <c r="I8577" i="1"/>
  <c r="J8577" i="1"/>
  <c r="K8577" i="1"/>
  <c r="L8577" i="1"/>
  <c r="M8577" i="1"/>
  <c r="N8577" i="1"/>
  <c r="O8577" i="1"/>
  <c r="P8577" i="1"/>
  <c r="Q8577" i="1"/>
  <c r="R8577" i="1"/>
  <c r="S8577" i="1"/>
  <c r="T8577" i="1"/>
  <c r="U8577" i="1"/>
  <c r="V8577" i="1"/>
  <c r="W8577" i="1"/>
  <c r="X8577" i="1"/>
  <c r="Y8577" i="1"/>
  <c r="Z8577" i="1"/>
  <c r="A8578" i="1"/>
  <c r="B8578" i="1"/>
  <c r="C8578" i="1"/>
  <c r="D8578" i="1"/>
  <c r="E8578" i="1"/>
  <c r="F8578" i="1"/>
  <c r="G8578" i="1"/>
  <c r="I8578" i="1"/>
  <c r="J8578" i="1"/>
  <c r="K8578" i="1"/>
  <c r="L8578" i="1"/>
  <c r="M8578" i="1"/>
  <c r="N8578" i="1"/>
  <c r="O8578" i="1"/>
  <c r="P8578" i="1"/>
  <c r="Q8578" i="1"/>
  <c r="R8578" i="1"/>
  <c r="S8578" i="1"/>
  <c r="T8578" i="1"/>
  <c r="U8578" i="1"/>
  <c r="V8578" i="1"/>
  <c r="W8578" i="1"/>
  <c r="X8578" i="1"/>
  <c r="Y8578" i="1"/>
  <c r="Z8578" i="1"/>
  <c r="A8579" i="1"/>
  <c r="B8579" i="1"/>
  <c r="C8579" i="1"/>
  <c r="D8579" i="1"/>
  <c r="E8579" i="1"/>
  <c r="F8579" i="1"/>
  <c r="G8579" i="1"/>
  <c r="I8579" i="1"/>
  <c r="J8579" i="1"/>
  <c r="K8579" i="1"/>
  <c r="L8579" i="1"/>
  <c r="M8579" i="1"/>
  <c r="N8579" i="1"/>
  <c r="O8579" i="1"/>
  <c r="P8579" i="1"/>
  <c r="Q8579" i="1"/>
  <c r="R8579" i="1"/>
  <c r="S8579" i="1"/>
  <c r="T8579" i="1"/>
  <c r="U8579" i="1"/>
  <c r="V8579" i="1"/>
  <c r="W8579" i="1"/>
  <c r="X8579" i="1"/>
  <c r="Y8579" i="1"/>
  <c r="Z8579" i="1"/>
  <c r="A8580" i="1"/>
  <c r="B8580" i="1"/>
  <c r="C8580" i="1"/>
  <c r="D8580" i="1"/>
  <c r="E8580" i="1"/>
  <c r="F8580" i="1"/>
  <c r="G8580" i="1"/>
  <c r="I8580" i="1"/>
  <c r="J8580" i="1"/>
  <c r="K8580" i="1"/>
  <c r="L8580" i="1"/>
  <c r="M8580" i="1"/>
  <c r="N8580" i="1"/>
  <c r="O8580" i="1"/>
  <c r="P8580" i="1"/>
  <c r="Q8580" i="1"/>
  <c r="R8580" i="1"/>
  <c r="S8580" i="1"/>
  <c r="T8580" i="1"/>
  <c r="U8580" i="1"/>
  <c r="V8580" i="1"/>
  <c r="W8580" i="1"/>
  <c r="X8580" i="1"/>
  <c r="Y8580" i="1"/>
  <c r="Z8580" i="1"/>
  <c r="A8581" i="1"/>
  <c r="B8581" i="1"/>
  <c r="C8581" i="1"/>
  <c r="D8581" i="1"/>
  <c r="E8581" i="1"/>
  <c r="F8581" i="1"/>
  <c r="G8581" i="1"/>
  <c r="I8581" i="1"/>
  <c r="J8581" i="1"/>
  <c r="K8581" i="1"/>
  <c r="L8581" i="1"/>
  <c r="M8581" i="1"/>
  <c r="N8581" i="1"/>
  <c r="O8581" i="1"/>
  <c r="P8581" i="1"/>
  <c r="Q8581" i="1"/>
  <c r="R8581" i="1"/>
  <c r="S8581" i="1"/>
  <c r="T8581" i="1"/>
  <c r="U8581" i="1"/>
  <c r="V8581" i="1"/>
  <c r="W8581" i="1"/>
  <c r="X8581" i="1"/>
  <c r="Y8581" i="1"/>
  <c r="Z8581" i="1"/>
  <c r="A8582" i="1"/>
  <c r="B8582" i="1"/>
  <c r="C8582" i="1"/>
  <c r="D8582" i="1"/>
  <c r="E8582" i="1"/>
  <c r="F8582" i="1"/>
  <c r="G8582" i="1"/>
  <c r="I8582" i="1"/>
  <c r="J8582" i="1"/>
  <c r="K8582" i="1"/>
  <c r="L8582" i="1"/>
  <c r="M8582" i="1"/>
  <c r="N8582" i="1"/>
  <c r="O8582" i="1"/>
  <c r="P8582" i="1"/>
  <c r="Q8582" i="1"/>
  <c r="R8582" i="1"/>
  <c r="S8582" i="1"/>
  <c r="T8582" i="1"/>
  <c r="U8582" i="1"/>
  <c r="V8582" i="1"/>
  <c r="W8582" i="1"/>
  <c r="X8582" i="1"/>
  <c r="Y8582" i="1"/>
  <c r="Z8582" i="1"/>
  <c r="A8583" i="1"/>
  <c r="B8583" i="1"/>
  <c r="C8583" i="1"/>
  <c r="D8583" i="1"/>
  <c r="E8583" i="1"/>
  <c r="F8583" i="1"/>
  <c r="G8583" i="1"/>
  <c r="I8583" i="1"/>
  <c r="J8583" i="1"/>
  <c r="K8583" i="1"/>
  <c r="L8583" i="1"/>
  <c r="M8583" i="1"/>
  <c r="N8583" i="1"/>
  <c r="O8583" i="1"/>
  <c r="P8583" i="1"/>
  <c r="Q8583" i="1"/>
  <c r="R8583" i="1"/>
  <c r="S8583" i="1"/>
  <c r="T8583" i="1"/>
  <c r="U8583" i="1"/>
  <c r="V8583" i="1"/>
  <c r="W8583" i="1"/>
  <c r="X8583" i="1"/>
  <c r="Y8583" i="1"/>
  <c r="Z8583" i="1"/>
  <c r="A8584" i="1"/>
  <c r="B8584" i="1"/>
  <c r="C8584" i="1"/>
  <c r="D8584" i="1"/>
  <c r="E8584" i="1"/>
  <c r="F8584" i="1"/>
  <c r="G8584" i="1"/>
  <c r="I8584" i="1"/>
  <c r="J8584" i="1"/>
  <c r="K8584" i="1"/>
  <c r="L8584" i="1"/>
  <c r="M8584" i="1"/>
  <c r="N8584" i="1"/>
  <c r="O8584" i="1"/>
  <c r="P8584" i="1"/>
  <c r="Q8584" i="1"/>
  <c r="R8584" i="1"/>
  <c r="S8584" i="1"/>
  <c r="T8584" i="1"/>
  <c r="U8584" i="1"/>
  <c r="V8584" i="1"/>
  <c r="W8584" i="1"/>
  <c r="X8584" i="1"/>
  <c r="Y8584" i="1"/>
  <c r="Z8584" i="1"/>
  <c r="A8585" i="1"/>
  <c r="B8585" i="1"/>
  <c r="C8585" i="1"/>
  <c r="D8585" i="1"/>
  <c r="E8585" i="1"/>
  <c r="F8585" i="1"/>
  <c r="G8585" i="1"/>
  <c r="I8585" i="1"/>
  <c r="J8585" i="1"/>
  <c r="K8585" i="1"/>
  <c r="L8585" i="1"/>
  <c r="M8585" i="1"/>
  <c r="N8585" i="1"/>
  <c r="O8585" i="1"/>
  <c r="P8585" i="1"/>
  <c r="Q8585" i="1"/>
  <c r="R8585" i="1"/>
  <c r="S8585" i="1"/>
  <c r="T8585" i="1"/>
  <c r="U8585" i="1"/>
  <c r="V8585" i="1"/>
  <c r="W8585" i="1"/>
  <c r="X8585" i="1"/>
  <c r="Y8585" i="1"/>
  <c r="Z8585" i="1"/>
  <c r="A8586" i="1"/>
  <c r="B8586" i="1"/>
  <c r="C8586" i="1"/>
  <c r="D8586" i="1"/>
  <c r="E8586" i="1"/>
  <c r="F8586" i="1"/>
  <c r="G8586" i="1"/>
  <c r="I8586" i="1"/>
  <c r="J8586" i="1"/>
  <c r="K8586" i="1"/>
  <c r="L8586" i="1"/>
  <c r="M8586" i="1"/>
  <c r="N8586" i="1"/>
  <c r="O8586" i="1"/>
  <c r="P8586" i="1"/>
  <c r="Q8586" i="1"/>
  <c r="R8586" i="1"/>
  <c r="S8586" i="1"/>
  <c r="T8586" i="1"/>
  <c r="U8586" i="1"/>
  <c r="V8586" i="1"/>
  <c r="W8586" i="1"/>
  <c r="X8586" i="1"/>
  <c r="Y8586" i="1"/>
  <c r="Z8586" i="1"/>
  <c r="A8587" i="1"/>
  <c r="B8587" i="1"/>
  <c r="C8587" i="1"/>
  <c r="D8587" i="1"/>
  <c r="E8587" i="1"/>
  <c r="F8587" i="1"/>
  <c r="G8587" i="1"/>
  <c r="I8587" i="1"/>
  <c r="J8587" i="1"/>
  <c r="K8587" i="1"/>
  <c r="L8587" i="1"/>
  <c r="M8587" i="1"/>
  <c r="N8587" i="1"/>
  <c r="O8587" i="1"/>
  <c r="P8587" i="1"/>
  <c r="Q8587" i="1"/>
  <c r="R8587" i="1"/>
  <c r="S8587" i="1"/>
  <c r="T8587" i="1"/>
  <c r="U8587" i="1"/>
  <c r="V8587" i="1"/>
  <c r="W8587" i="1"/>
  <c r="X8587" i="1"/>
  <c r="Y8587" i="1"/>
  <c r="Z8587" i="1"/>
  <c r="A8588" i="1"/>
  <c r="B8588" i="1"/>
  <c r="C8588" i="1"/>
  <c r="D8588" i="1"/>
  <c r="E8588" i="1"/>
  <c r="F8588" i="1"/>
  <c r="G8588" i="1"/>
  <c r="I8588" i="1"/>
  <c r="J8588" i="1"/>
  <c r="K8588" i="1"/>
  <c r="L8588" i="1"/>
  <c r="M8588" i="1"/>
  <c r="N8588" i="1"/>
  <c r="O8588" i="1"/>
  <c r="P8588" i="1"/>
  <c r="Q8588" i="1"/>
  <c r="R8588" i="1"/>
  <c r="S8588" i="1"/>
  <c r="T8588" i="1"/>
  <c r="U8588" i="1"/>
  <c r="V8588" i="1"/>
  <c r="W8588" i="1"/>
  <c r="X8588" i="1"/>
  <c r="Y8588" i="1"/>
  <c r="Z8588" i="1"/>
  <c r="A8589" i="1"/>
  <c r="B8589" i="1"/>
  <c r="C8589" i="1"/>
  <c r="D8589" i="1"/>
  <c r="E8589" i="1"/>
  <c r="F8589" i="1"/>
  <c r="G8589" i="1"/>
  <c r="I8589" i="1"/>
  <c r="J8589" i="1"/>
  <c r="K8589" i="1"/>
  <c r="L8589" i="1"/>
  <c r="M8589" i="1"/>
  <c r="N8589" i="1"/>
  <c r="O8589" i="1"/>
  <c r="P8589" i="1"/>
  <c r="Q8589" i="1"/>
  <c r="R8589" i="1"/>
  <c r="S8589" i="1"/>
  <c r="T8589" i="1"/>
  <c r="U8589" i="1"/>
  <c r="V8589" i="1"/>
  <c r="W8589" i="1"/>
  <c r="X8589" i="1"/>
  <c r="Y8589" i="1"/>
  <c r="Z8589" i="1"/>
  <c r="A8590" i="1"/>
  <c r="B8590" i="1"/>
  <c r="C8590" i="1"/>
  <c r="D8590" i="1"/>
  <c r="E8590" i="1"/>
  <c r="F8590" i="1"/>
  <c r="G8590" i="1"/>
  <c r="I8590" i="1"/>
  <c r="J8590" i="1"/>
  <c r="K8590" i="1"/>
  <c r="L8590" i="1"/>
  <c r="M8590" i="1"/>
  <c r="N8590" i="1"/>
  <c r="O8590" i="1"/>
  <c r="P8590" i="1"/>
  <c r="Q8590" i="1"/>
  <c r="R8590" i="1"/>
  <c r="S8590" i="1"/>
  <c r="T8590" i="1"/>
  <c r="U8590" i="1"/>
  <c r="V8590" i="1"/>
  <c r="W8590" i="1"/>
  <c r="X8590" i="1"/>
  <c r="Y8590" i="1"/>
  <c r="Z8590" i="1"/>
  <c r="A8591" i="1"/>
  <c r="B8591" i="1"/>
  <c r="C8591" i="1"/>
  <c r="D8591" i="1"/>
  <c r="E8591" i="1"/>
  <c r="F8591" i="1"/>
  <c r="G8591" i="1"/>
  <c r="I8591" i="1"/>
  <c r="J8591" i="1"/>
  <c r="K8591" i="1"/>
  <c r="L8591" i="1"/>
  <c r="M8591" i="1"/>
  <c r="N8591" i="1"/>
  <c r="O8591" i="1"/>
  <c r="P8591" i="1"/>
  <c r="Q8591" i="1"/>
  <c r="R8591" i="1"/>
  <c r="S8591" i="1"/>
  <c r="T8591" i="1"/>
  <c r="U8591" i="1"/>
  <c r="V8591" i="1"/>
  <c r="W8591" i="1"/>
  <c r="X8591" i="1"/>
  <c r="Y8591" i="1"/>
  <c r="Z8591" i="1"/>
  <c r="A8592" i="1"/>
  <c r="B8592" i="1"/>
  <c r="C8592" i="1"/>
  <c r="D8592" i="1"/>
  <c r="E8592" i="1"/>
  <c r="F8592" i="1"/>
  <c r="G8592" i="1"/>
  <c r="I8592" i="1"/>
  <c r="J8592" i="1"/>
  <c r="K8592" i="1"/>
  <c r="L8592" i="1"/>
  <c r="M8592" i="1"/>
  <c r="N8592" i="1"/>
  <c r="O8592" i="1"/>
  <c r="P8592" i="1"/>
  <c r="Q8592" i="1"/>
  <c r="R8592" i="1"/>
  <c r="S8592" i="1"/>
  <c r="T8592" i="1"/>
  <c r="U8592" i="1"/>
  <c r="V8592" i="1"/>
  <c r="W8592" i="1"/>
  <c r="X8592" i="1"/>
  <c r="Y8592" i="1"/>
  <c r="Z8592" i="1"/>
  <c r="A8593" i="1"/>
  <c r="B8593" i="1"/>
  <c r="C8593" i="1"/>
  <c r="D8593" i="1"/>
  <c r="E8593" i="1"/>
  <c r="F8593" i="1"/>
  <c r="G8593" i="1"/>
  <c r="I8593" i="1"/>
  <c r="J8593" i="1"/>
  <c r="K8593" i="1"/>
  <c r="L8593" i="1"/>
  <c r="M8593" i="1"/>
  <c r="N8593" i="1"/>
  <c r="O8593" i="1"/>
  <c r="P8593" i="1"/>
  <c r="Q8593" i="1"/>
  <c r="R8593" i="1"/>
  <c r="S8593" i="1"/>
  <c r="T8593" i="1"/>
  <c r="U8593" i="1"/>
  <c r="V8593" i="1"/>
  <c r="W8593" i="1"/>
  <c r="X8593" i="1"/>
  <c r="Y8593" i="1"/>
  <c r="Z8593" i="1"/>
  <c r="A8594" i="1"/>
  <c r="B8594" i="1"/>
  <c r="C8594" i="1"/>
  <c r="D8594" i="1"/>
  <c r="E8594" i="1"/>
  <c r="F8594" i="1"/>
  <c r="G8594" i="1"/>
  <c r="I8594" i="1"/>
  <c r="J8594" i="1"/>
  <c r="K8594" i="1"/>
  <c r="L8594" i="1"/>
  <c r="M8594" i="1"/>
  <c r="N8594" i="1"/>
  <c r="O8594" i="1"/>
  <c r="P8594" i="1"/>
  <c r="Q8594" i="1"/>
  <c r="R8594" i="1"/>
  <c r="S8594" i="1"/>
  <c r="T8594" i="1"/>
  <c r="U8594" i="1"/>
  <c r="V8594" i="1"/>
  <c r="W8594" i="1"/>
  <c r="X8594" i="1"/>
  <c r="Y8594" i="1"/>
  <c r="Z8594" i="1"/>
  <c r="A8595" i="1"/>
  <c r="B8595" i="1"/>
  <c r="C8595" i="1"/>
  <c r="D8595" i="1"/>
  <c r="E8595" i="1"/>
  <c r="F8595" i="1"/>
  <c r="G8595" i="1"/>
  <c r="I8595" i="1"/>
  <c r="J8595" i="1"/>
  <c r="K8595" i="1"/>
  <c r="L8595" i="1"/>
  <c r="M8595" i="1"/>
  <c r="N8595" i="1"/>
  <c r="O8595" i="1"/>
  <c r="P8595" i="1"/>
  <c r="Q8595" i="1"/>
  <c r="R8595" i="1"/>
  <c r="S8595" i="1"/>
  <c r="T8595" i="1"/>
  <c r="U8595" i="1"/>
  <c r="V8595" i="1"/>
  <c r="W8595" i="1"/>
  <c r="X8595" i="1"/>
  <c r="Y8595" i="1"/>
  <c r="Z8595" i="1"/>
  <c r="A8596" i="1"/>
  <c r="B8596" i="1"/>
  <c r="C8596" i="1"/>
  <c r="D8596" i="1"/>
  <c r="E8596" i="1"/>
  <c r="F8596" i="1"/>
  <c r="G8596" i="1"/>
  <c r="I8596" i="1"/>
  <c r="J8596" i="1"/>
  <c r="K8596" i="1"/>
  <c r="L8596" i="1"/>
  <c r="M8596" i="1"/>
  <c r="N8596" i="1"/>
  <c r="O8596" i="1"/>
  <c r="P8596" i="1"/>
  <c r="Q8596" i="1"/>
  <c r="R8596" i="1"/>
  <c r="S8596" i="1"/>
  <c r="T8596" i="1"/>
  <c r="U8596" i="1"/>
  <c r="V8596" i="1"/>
  <c r="W8596" i="1"/>
  <c r="X8596" i="1"/>
  <c r="Y8596" i="1"/>
  <c r="Z8596" i="1"/>
  <c r="A8597" i="1"/>
  <c r="B8597" i="1"/>
  <c r="C8597" i="1"/>
  <c r="D8597" i="1"/>
  <c r="E8597" i="1"/>
  <c r="F8597" i="1"/>
  <c r="G8597" i="1"/>
  <c r="I8597" i="1"/>
  <c r="J8597" i="1"/>
  <c r="K8597" i="1"/>
  <c r="L8597" i="1"/>
  <c r="M8597" i="1"/>
  <c r="N8597" i="1"/>
  <c r="O8597" i="1"/>
  <c r="P8597" i="1"/>
  <c r="Q8597" i="1"/>
  <c r="R8597" i="1"/>
  <c r="S8597" i="1"/>
  <c r="T8597" i="1"/>
  <c r="U8597" i="1"/>
  <c r="V8597" i="1"/>
  <c r="W8597" i="1"/>
  <c r="X8597" i="1"/>
  <c r="Y8597" i="1"/>
  <c r="Z8597" i="1"/>
  <c r="A8598" i="1"/>
  <c r="B8598" i="1"/>
  <c r="C8598" i="1"/>
  <c r="D8598" i="1"/>
  <c r="E8598" i="1"/>
  <c r="F8598" i="1"/>
  <c r="G8598" i="1"/>
  <c r="I8598" i="1"/>
  <c r="J8598" i="1"/>
  <c r="K8598" i="1"/>
  <c r="L8598" i="1"/>
  <c r="M8598" i="1"/>
  <c r="N8598" i="1"/>
  <c r="O8598" i="1"/>
  <c r="P8598" i="1"/>
  <c r="Q8598" i="1"/>
  <c r="R8598" i="1"/>
  <c r="S8598" i="1"/>
  <c r="T8598" i="1"/>
  <c r="U8598" i="1"/>
  <c r="V8598" i="1"/>
  <c r="W8598" i="1"/>
  <c r="X8598" i="1"/>
  <c r="Y8598" i="1"/>
  <c r="Z8598" i="1"/>
  <c r="A8599" i="1"/>
  <c r="B8599" i="1"/>
  <c r="C8599" i="1"/>
  <c r="D8599" i="1"/>
  <c r="E8599" i="1"/>
  <c r="F8599" i="1"/>
  <c r="G8599" i="1"/>
  <c r="I8599" i="1"/>
  <c r="J8599" i="1"/>
  <c r="K8599" i="1"/>
  <c r="L8599" i="1"/>
  <c r="M8599" i="1"/>
  <c r="N8599" i="1"/>
  <c r="O8599" i="1"/>
  <c r="P8599" i="1"/>
  <c r="Q8599" i="1"/>
  <c r="R8599" i="1"/>
  <c r="S8599" i="1"/>
  <c r="T8599" i="1"/>
  <c r="U8599" i="1"/>
  <c r="V8599" i="1"/>
  <c r="W8599" i="1"/>
  <c r="X8599" i="1"/>
  <c r="Y8599" i="1"/>
  <c r="Z8599" i="1"/>
  <c r="A8600" i="1"/>
  <c r="B8600" i="1"/>
  <c r="C8600" i="1"/>
  <c r="D8600" i="1"/>
  <c r="E8600" i="1"/>
  <c r="F8600" i="1"/>
  <c r="G8600" i="1"/>
  <c r="I8600" i="1"/>
  <c r="J8600" i="1"/>
  <c r="K8600" i="1"/>
  <c r="L8600" i="1"/>
  <c r="M8600" i="1"/>
  <c r="N8600" i="1"/>
  <c r="O8600" i="1"/>
  <c r="P8600" i="1"/>
  <c r="Q8600" i="1"/>
  <c r="R8600" i="1"/>
  <c r="S8600" i="1"/>
  <c r="T8600" i="1"/>
  <c r="U8600" i="1"/>
  <c r="V8600" i="1"/>
  <c r="W8600" i="1"/>
  <c r="X8600" i="1"/>
  <c r="Y8600" i="1"/>
  <c r="Z8600" i="1"/>
  <c r="A8601" i="1"/>
  <c r="B8601" i="1"/>
  <c r="C8601" i="1"/>
  <c r="D8601" i="1"/>
  <c r="E8601" i="1"/>
  <c r="F8601" i="1"/>
  <c r="G8601" i="1"/>
  <c r="I8601" i="1"/>
  <c r="J8601" i="1"/>
  <c r="K8601" i="1"/>
  <c r="L8601" i="1"/>
  <c r="M8601" i="1"/>
  <c r="N8601" i="1"/>
  <c r="O8601" i="1"/>
  <c r="P8601" i="1"/>
  <c r="Q8601" i="1"/>
  <c r="R8601" i="1"/>
  <c r="S8601" i="1"/>
  <c r="T8601" i="1"/>
  <c r="U8601" i="1"/>
  <c r="V8601" i="1"/>
  <c r="W8601" i="1"/>
  <c r="X8601" i="1"/>
  <c r="Y8601" i="1"/>
  <c r="Z8601" i="1"/>
  <c r="A8602" i="1"/>
  <c r="B8602" i="1"/>
  <c r="C8602" i="1"/>
  <c r="D8602" i="1"/>
  <c r="E8602" i="1"/>
  <c r="F8602" i="1"/>
  <c r="G8602" i="1"/>
  <c r="I8602" i="1"/>
  <c r="J8602" i="1"/>
  <c r="K8602" i="1"/>
  <c r="L8602" i="1"/>
  <c r="M8602" i="1"/>
  <c r="N8602" i="1"/>
  <c r="O8602" i="1"/>
  <c r="P8602" i="1"/>
  <c r="Q8602" i="1"/>
  <c r="R8602" i="1"/>
  <c r="S8602" i="1"/>
  <c r="T8602" i="1"/>
  <c r="U8602" i="1"/>
  <c r="V8602" i="1"/>
  <c r="W8602" i="1"/>
  <c r="X8602" i="1"/>
  <c r="Y8602" i="1"/>
  <c r="Z8602" i="1"/>
  <c r="A8603" i="1"/>
  <c r="B8603" i="1"/>
  <c r="C8603" i="1"/>
  <c r="D8603" i="1"/>
  <c r="E8603" i="1"/>
  <c r="F8603" i="1"/>
  <c r="G8603" i="1"/>
  <c r="I8603" i="1"/>
  <c r="J8603" i="1"/>
  <c r="K8603" i="1"/>
  <c r="L8603" i="1"/>
  <c r="M8603" i="1"/>
  <c r="N8603" i="1"/>
  <c r="O8603" i="1"/>
  <c r="P8603" i="1"/>
  <c r="Q8603" i="1"/>
  <c r="R8603" i="1"/>
  <c r="S8603" i="1"/>
  <c r="T8603" i="1"/>
  <c r="U8603" i="1"/>
  <c r="V8603" i="1"/>
  <c r="W8603" i="1"/>
  <c r="X8603" i="1"/>
  <c r="Y8603" i="1"/>
  <c r="Z8603" i="1"/>
  <c r="A8604" i="1"/>
  <c r="B8604" i="1"/>
  <c r="C8604" i="1"/>
  <c r="D8604" i="1"/>
  <c r="E8604" i="1"/>
  <c r="F8604" i="1"/>
  <c r="G8604" i="1"/>
  <c r="I8604" i="1"/>
  <c r="J8604" i="1"/>
  <c r="K8604" i="1"/>
  <c r="L8604" i="1"/>
  <c r="M8604" i="1"/>
  <c r="N8604" i="1"/>
  <c r="O8604" i="1"/>
  <c r="P8604" i="1"/>
  <c r="Q8604" i="1"/>
  <c r="R8604" i="1"/>
  <c r="S8604" i="1"/>
  <c r="T8604" i="1"/>
  <c r="U8604" i="1"/>
  <c r="V8604" i="1"/>
  <c r="W8604" i="1"/>
  <c r="X8604" i="1"/>
  <c r="Y8604" i="1"/>
  <c r="Z8604" i="1"/>
  <c r="A8605" i="1"/>
  <c r="B8605" i="1"/>
  <c r="C8605" i="1"/>
  <c r="D8605" i="1"/>
  <c r="E8605" i="1"/>
  <c r="F8605" i="1"/>
  <c r="G8605" i="1"/>
  <c r="I8605" i="1"/>
  <c r="J8605" i="1"/>
  <c r="K8605" i="1"/>
  <c r="L8605" i="1"/>
  <c r="M8605" i="1"/>
  <c r="N8605" i="1"/>
  <c r="O8605" i="1"/>
  <c r="P8605" i="1"/>
  <c r="Q8605" i="1"/>
  <c r="R8605" i="1"/>
  <c r="S8605" i="1"/>
  <c r="T8605" i="1"/>
  <c r="U8605" i="1"/>
  <c r="V8605" i="1"/>
  <c r="W8605" i="1"/>
  <c r="X8605" i="1"/>
  <c r="Y8605" i="1"/>
  <c r="Z8605" i="1"/>
  <c r="A8606" i="1"/>
  <c r="B8606" i="1"/>
  <c r="C8606" i="1"/>
  <c r="D8606" i="1"/>
  <c r="E8606" i="1"/>
  <c r="F8606" i="1"/>
  <c r="G8606" i="1"/>
  <c r="I8606" i="1"/>
  <c r="J8606" i="1"/>
  <c r="K8606" i="1"/>
  <c r="L8606" i="1"/>
  <c r="M8606" i="1"/>
  <c r="N8606" i="1"/>
  <c r="O8606" i="1"/>
  <c r="P8606" i="1"/>
  <c r="Q8606" i="1"/>
  <c r="R8606" i="1"/>
  <c r="S8606" i="1"/>
  <c r="T8606" i="1"/>
  <c r="U8606" i="1"/>
  <c r="V8606" i="1"/>
  <c r="W8606" i="1"/>
  <c r="X8606" i="1"/>
  <c r="Y8606" i="1"/>
  <c r="Z8606" i="1"/>
  <c r="A8607" i="1"/>
  <c r="B8607" i="1"/>
  <c r="C8607" i="1"/>
  <c r="D8607" i="1"/>
  <c r="E8607" i="1"/>
  <c r="F8607" i="1"/>
  <c r="G8607" i="1"/>
  <c r="I8607" i="1"/>
  <c r="J8607" i="1"/>
  <c r="K8607" i="1"/>
  <c r="L8607" i="1"/>
  <c r="M8607" i="1"/>
  <c r="N8607" i="1"/>
  <c r="O8607" i="1"/>
  <c r="P8607" i="1"/>
  <c r="Q8607" i="1"/>
  <c r="R8607" i="1"/>
  <c r="S8607" i="1"/>
  <c r="T8607" i="1"/>
  <c r="U8607" i="1"/>
  <c r="V8607" i="1"/>
  <c r="W8607" i="1"/>
  <c r="X8607" i="1"/>
  <c r="Y8607" i="1"/>
  <c r="Z8607" i="1"/>
  <c r="A8608" i="1"/>
  <c r="B8608" i="1"/>
  <c r="C8608" i="1"/>
  <c r="D8608" i="1"/>
  <c r="E8608" i="1"/>
  <c r="F8608" i="1"/>
  <c r="G8608" i="1"/>
  <c r="I8608" i="1"/>
  <c r="J8608" i="1"/>
  <c r="K8608" i="1"/>
  <c r="L8608" i="1"/>
  <c r="M8608" i="1"/>
  <c r="N8608" i="1"/>
  <c r="O8608" i="1"/>
  <c r="P8608" i="1"/>
  <c r="Q8608" i="1"/>
  <c r="R8608" i="1"/>
  <c r="S8608" i="1"/>
  <c r="T8608" i="1"/>
  <c r="U8608" i="1"/>
  <c r="V8608" i="1"/>
  <c r="W8608" i="1"/>
  <c r="X8608" i="1"/>
  <c r="Y8608" i="1"/>
  <c r="Z8608" i="1"/>
  <c r="A8609" i="1"/>
  <c r="B8609" i="1"/>
  <c r="C8609" i="1"/>
  <c r="D8609" i="1"/>
  <c r="E8609" i="1"/>
  <c r="F8609" i="1"/>
  <c r="G8609" i="1"/>
  <c r="I8609" i="1"/>
  <c r="J8609" i="1"/>
  <c r="K8609" i="1"/>
  <c r="L8609" i="1"/>
  <c r="M8609" i="1"/>
  <c r="N8609" i="1"/>
  <c r="O8609" i="1"/>
  <c r="P8609" i="1"/>
  <c r="Q8609" i="1"/>
  <c r="R8609" i="1"/>
  <c r="S8609" i="1"/>
  <c r="T8609" i="1"/>
  <c r="U8609" i="1"/>
  <c r="V8609" i="1"/>
  <c r="W8609" i="1"/>
  <c r="X8609" i="1"/>
  <c r="Y8609" i="1"/>
  <c r="Z8609" i="1"/>
  <c r="A8610" i="1"/>
  <c r="B8610" i="1"/>
  <c r="C8610" i="1"/>
  <c r="D8610" i="1"/>
  <c r="E8610" i="1"/>
  <c r="F8610" i="1"/>
  <c r="G8610" i="1"/>
  <c r="I8610" i="1"/>
  <c r="J8610" i="1"/>
  <c r="K8610" i="1"/>
  <c r="L8610" i="1"/>
  <c r="M8610" i="1"/>
  <c r="N8610" i="1"/>
  <c r="O8610" i="1"/>
  <c r="P8610" i="1"/>
  <c r="Q8610" i="1"/>
  <c r="R8610" i="1"/>
  <c r="S8610" i="1"/>
  <c r="T8610" i="1"/>
  <c r="U8610" i="1"/>
  <c r="V8610" i="1"/>
  <c r="W8610" i="1"/>
  <c r="X8610" i="1"/>
  <c r="Y8610" i="1"/>
  <c r="Z8610" i="1"/>
  <c r="A8611" i="1"/>
  <c r="B8611" i="1"/>
  <c r="C8611" i="1"/>
  <c r="D8611" i="1"/>
  <c r="E8611" i="1"/>
  <c r="F8611" i="1"/>
  <c r="G8611" i="1"/>
  <c r="I8611" i="1"/>
  <c r="J8611" i="1"/>
  <c r="K8611" i="1"/>
  <c r="L8611" i="1"/>
  <c r="M8611" i="1"/>
  <c r="N8611" i="1"/>
  <c r="O8611" i="1"/>
  <c r="P8611" i="1"/>
  <c r="Q8611" i="1"/>
  <c r="R8611" i="1"/>
  <c r="S8611" i="1"/>
  <c r="T8611" i="1"/>
  <c r="U8611" i="1"/>
  <c r="V8611" i="1"/>
  <c r="W8611" i="1"/>
  <c r="X8611" i="1"/>
  <c r="Y8611" i="1"/>
  <c r="Z8611" i="1"/>
  <c r="A8612" i="1"/>
  <c r="B8612" i="1"/>
  <c r="C8612" i="1"/>
  <c r="D8612" i="1"/>
  <c r="E8612" i="1"/>
  <c r="F8612" i="1"/>
  <c r="G8612" i="1"/>
  <c r="I8612" i="1"/>
  <c r="J8612" i="1"/>
  <c r="K8612" i="1"/>
  <c r="L8612" i="1"/>
  <c r="M8612" i="1"/>
  <c r="N8612" i="1"/>
  <c r="O8612" i="1"/>
  <c r="P8612" i="1"/>
  <c r="Q8612" i="1"/>
  <c r="R8612" i="1"/>
  <c r="S8612" i="1"/>
  <c r="T8612" i="1"/>
  <c r="U8612" i="1"/>
  <c r="V8612" i="1"/>
  <c r="W8612" i="1"/>
  <c r="X8612" i="1"/>
  <c r="Y8612" i="1"/>
  <c r="Z8612" i="1"/>
  <c r="A8613" i="1"/>
  <c r="B8613" i="1"/>
  <c r="C8613" i="1"/>
  <c r="D8613" i="1"/>
  <c r="E8613" i="1"/>
  <c r="F8613" i="1"/>
  <c r="G8613" i="1"/>
  <c r="I8613" i="1"/>
  <c r="J8613" i="1"/>
  <c r="K8613" i="1"/>
  <c r="L8613" i="1"/>
  <c r="M8613" i="1"/>
  <c r="N8613" i="1"/>
  <c r="O8613" i="1"/>
  <c r="P8613" i="1"/>
  <c r="Q8613" i="1"/>
  <c r="R8613" i="1"/>
  <c r="S8613" i="1"/>
  <c r="T8613" i="1"/>
  <c r="U8613" i="1"/>
  <c r="V8613" i="1"/>
  <c r="W8613" i="1"/>
  <c r="X8613" i="1"/>
  <c r="Y8613" i="1"/>
  <c r="Z8613" i="1"/>
  <c r="A8614" i="1"/>
  <c r="B8614" i="1"/>
  <c r="C8614" i="1"/>
  <c r="D8614" i="1"/>
  <c r="E8614" i="1"/>
  <c r="F8614" i="1"/>
  <c r="G8614" i="1"/>
  <c r="I8614" i="1"/>
  <c r="J8614" i="1"/>
  <c r="K8614" i="1"/>
  <c r="L8614" i="1"/>
  <c r="M8614" i="1"/>
  <c r="N8614" i="1"/>
  <c r="O8614" i="1"/>
  <c r="P8614" i="1"/>
  <c r="Q8614" i="1"/>
  <c r="R8614" i="1"/>
  <c r="S8614" i="1"/>
  <c r="T8614" i="1"/>
  <c r="U8614" i="1"/>
  <c r="V8614" i="1"/>
  <c r="W8614" i="1"/>
  <c r="X8614" i="1"/>
  <c r="Y8614" i="1"/>
  <c r="Z8614" i="1"/>
  <c r="A8615" i="1"/>
  <c r="B8615" i="1"/>
  <c r="C8615" i="1"/>
  <c r="D8615" i="1"/>
  <c r="E8615" i="1"/>
  <c r="F8615" i="1"/>
  <c r="G8615" i="1"/>
  <c r="I8615" i="1"/>
  <c r="J8615" i="1"/>
  <c r="K8615" i="1"/>
  <c r="L8615" i="1"/>
  <c r="M8615" i="1"/>
  <c r="N8615" i="1"/>
  <c r="O8615" i="1"/>
  <c r="P8615" i="1"/>
  <c r="Q8615" i="1"/>
  <c r="R8615" i="1"/>
  <c r="S8615" i="1"/>
  <c r="T8615" i="1"/>
  <c r="U8615" i="1"/>
  <c r="V8615" i="1"/>
  <c r="W8615" i="1"/>
  <c r="X8615" i="1"/>
  <c r="Y8615" i="1"/>
  <c r="Z8615" i="1"/>
  <c r="A8616" i="1"/>
  <c r="B8616" i="1"/>
  <c r="C8616" i="1"/>
  <c r="D8616" i="1"/>
  <c r="E8616" i="1"/>
  <c r="F8616" i="1"/>
  <c r="G8616" i="1"/>
  <c r="I8616" i="1"/>
  <c r="J8616" i="1"/>
  <c r="K8616" i="1"/>
  <c r="L8616" i="1"/>
  <c r="M8616" i="1"/>
  <c r="N8616" i="1"/>
  <c r="O8616" i="1"/>
  <c r="P8616" i="1"/>
  <c r="Q8616" i="1"/>
  <c r="R8616" i="1"/>
  <c r="S8616" i="1"/>
  <c r="T8616" i="1"/>
  <c r="U8616" i="1"/>
  <c r="V8616" i="1"/>
  <c r="W8616" i="1"/>
  <c r="X8616" i="1"/>
  <c r="Y8616" i="1"/>
  <c r="Z8616" i="1"/>
  <c r="A8617" i="1"/>
  <c r="B8617" i="1"/>
  <c r="C8617" i="1"/>
  <c r="D8617" i="1"/>
  <c r="E8617" i="1"/>
  <c r="F8617" i="1"/>
  <c r="G8617" i="1"/>
  <c r="I8617" i="1"/>
  <c r="J8617" i="1"/>
  <c r="K8617" i="1"/>
  <c r="L8617" i="1"/>
  <c r="M8617" i="1"/>
  <c r="N8617" i="1"/>
  <c r="O8617" i="1"/>
  <c r="P8617" i="1"/>
  <c r="Q8617" i="1"/>
  <c r="R8617" i="1"/>
  <c r="S8617" i="1"/>
  <c r="T8617" i="1"/>
  <c r="U8617" i="1"/>
  <c r="V8617" i="1"/>
  <c r="W8617" i="1"/>
  <c r="X8617" i="1"/>
  <c r="Y8617" i="1"/>
  <c r="Z8617" i="1"/>
  <c r="A8618" i="1"/>
  <c r="B8618" i="1"/>
  <c r="C8618" i="1"/>
  <c r="D8618" i="1"/>
  <c r="E8618" i="1"/>
  <c r="F8618" i="1"/>
  <c r="G8618" i="1"/>
  <c r="I8618" i="1"/>
  <c r="J8618" i="1"/>
  <c r="K8618" i="1"/>
  <c r="L8618" i="1"/>
  <c r="M8618" i="1"/>
  <c r="N8618" i="1"/>
  <c r="O8618" i="1"/>
  <c r="P8618" i="1"/>
  <c r="Q8618" i="1"/>
  <c r="R8618" i="1"/>
  <c r="S8618" i="1"/>
  <c r="T8618" i="1"/>
  <c r="U8618" i="1"/>
  <c r="V8618" i="1"/>
  <c r="W8618" i="1"/>
  <c r="X8618" i="1"/>
  <c r="Y8618" i="1"/>
  <c r="Z8618" i="1"/>
  <c r="A8619" i="1"/>
  <c r="B8619" i="1"/>
  <c r="C8619" i="1"/>
  <c r="D8619" i="1"/>
  <c r="E8619" i="1"/>
  <c r="F8619" i="1"/>
  <c r="G8619" i="1"/>
  <c r="I8619" i="1"/>
  <c r="J8619" i="1"/>
  <c r="K8619" i="1"/>
  <c r="L8619" i="1"/>
  <c r="M8619" i="1"/>
  <c r="N8619" i="1"/>
  <c r="O8619" i="1"/>
  <c r="P8619" i="1"/>
  <c r="Q8619" i="1"/>
  <c r="R8619" i="1"/>
  <c r="S8619" i="1"/>
  <c r="T8619" i="1"/>
  <c r="U8619" i="1"/>
  <c r="V8619" i="1"/>
  <c r="W8619" i="1"/>
  <c r="X8619" i="1"/>
  <c r="Y8619" i="1"/>
  <c r="Z8619" i="1"/>
  <c r="A8620" i="1"/>
  <c r="B8620" i="1"/>
  <c r="C8620" i="1"/>
  <c r="D8620" i="1"/>
  <c r="E8620" i="1"/>
  <c r="F8620" i="1"/>
  <c r="G8620" i="1"/>
  <c r="I8620" i="1"/>
  <c r="J8620" i="1"/>
  <c r="K8620" i="1"/>
  <c r="L8620" i="1"/>
  <c r="M8620" i="1"/>
  <c r="N8620" i="1"/>
  <c r="O8620" i="1"/>
  <c r="P8620" i="1"/>
  <c r="Q8620" i="1"/>
  <c r="R8620" i="1"/>
  <c r="S8620" i="1"/>
  <c r="T8620" i="1"/>
  <c r="U8620" i="1"/>
  <c r="V8620" i="1"/>
  <c r="W8620" i="1"/>
  <c r="X8620" i="1"/>
  <c r="Y8620" i="1"/>
  <c r="Z8620" i="1"/>
  <c r="A8621" i="1"/>
  <c r="B8621" i="1"/>
  <c r="C8621" i="1"/>
  <c r="D8621" i="1"/>
  <c r="E8621" i="1"/>
  <c r="F8621" i="1"/>
  <c r="G8621" i="1"/>
  <c r="I8621" i="1"/>
  <c r="J8621" i="1"/>
  <c r="K8621" i="1"/>
  <c r="L8621" i="1"/>
  <c r="M8621" i="1"/>
  <c r="N8621" i="1"/>
  <c r="O8621" i="1"/>
  <c r="P8621" i="1"/>
  <c r="Q8621" i="1"/>
  <c r="R8621" i="1"/>
  <c r="S8621" i="1"/>
  <c r="T8621" i="1"/>
  <c r="U8621" i="1"/>
  <c r="V8621" i="1"/>
  <c r="W8621" i="1"/>
  <c r="X8621" i="1"/>
  <c r="Y8621" i="1"/>
  <c r="Z8621" i="1"/>
  <c r="A8622" i="1"/>
  <c r="B8622" i="1"/>
  <c r="C8622" i="1"/>
  <c r="D8622" i="1"/>
  <c r="E8622" i="1"/>
  <c r="F8622" i="1"/>
  <c r="G8622" i="1"/>
  <c r="I8622" i="1"/>
  <c r="J8622" i="1"/>
  <c r="K8622" i="1"/>
  <c r="L8622" i="1"/>
  <c r="M8622" i="1"/>
  <c r="N8622" i="1"/>
  <c r="O8622" i="1"/>
  <c r="P8622" i="1"/>
  <c r="Q8622" i="1"/>
  <c r="R8622" i="1"/>
  <c r="S8622" i="1"/>
  <c r="T8622" i="1"/>
  <c r="U8622" i="1"/>
  <c r="V8622" i="1"/>
  <c r="W8622" i="1"/>
  <c r="X8622" i="1"/>
  <c r="Y8622" i="1"/>
  <c r="Z8622" i="1"/>
  <c r="A8623" i="1"/>
  <c r="B8623" i="1"/>
  <c r="C8623" i="1"/>
  <c r="D8623" i="1"/>
  <c r="E8623" i="1"/>
  <c r="F8623" i="1"/>
  <c r="G8623" i="1"/>
  <c r="I8623" i="1"/>
  <c r="J8623" i="1"/>
  <c r="K8623" i="1"/>
  <c r="L8623" i="1"/>
  <c r="M8623" i="1"/>
  <c r="N8623" i="1"/>
  <c r="O8623" i="1"/>
  <c r="P8623" i="1"/>
  <c r="Q8623" i="1"/>
  <c r="R8623" i="1"/>
  <c r="S8623" i="1"/>
  <c r="T8623" i="1"/>
  <c r="U8623" i="1"/>
  <c r="V8623" i="1"/>
  <c r="W8623" i="1"/>
  <c r="X8623" i="1"/>
  <c r="Y8623" i="1"/>
  <c r="Z8623" i="1"/>
  <c r="A8624" i="1"/>
  <c r="B8624" i="1"/>
  <c r="C8624" i="1"/>
  <c r="D8624" i="1"/>
  <c r="E8624" i="1"/>
  <c r="F8624" i="1"/>
  <c r="G8624" i="1"/>
  <c r="I8624" i="1"/>
  <c r="J8624" i="1"/>
  <c r="K8624" i="1"/>
  <c r="L8624" i="1"/>
  <c r="M8624" i="1"/>
  <c r="N8624" i="1"/>
  <c r="O8624" i="1"/>
  <c r="P8624" i="1"/>
  <c r="Q8624" i="1"/>
  <c r="R8624" i="1"/>
  <c r="S8624" i="1"/>
  <c r="T8624" i="1"/>
  <c r="U8624" i="1"/>
  <c r="V8624" i="1"/>
  <c r="W8624" i="1"/>
  <c r="X8624" i="1"/>
  <c r="Y8624" i="1"/>
  <c r="Z8624" i="1"/>
  <c r="A8625" i="1"/>
  <c r="B8625" i="1"/>
  <c r="C8625" i="1"/>
  <c r="D8625" i="1"/>
  <c r="E8625" i="1"/>
  <c r="F8625" i="1"/>
  <c r="G8625" i="1"/>
  <c r="I8625" i="1"/>
  <c r="J8625" i="1"/>
  <c r="K8625" i="1"/>
  <c r="L8625" i="1"/>
  <c r="M8625" i="1"/>
  <c r="N8625" i="1"/>
  <c r="O8625" i="1"/>
  <c r="P8625" i="1"/>
  <c r="Q8625" i="1"/>
  <c r="R8625" i="1"/>
  <c r="S8625" i="1"/>
  <c r="T8625" i="1"/>
  <c r="U8625" i="1"/>
  <c r="V8625" i="1"/>
  <c r="W8625" i="1"/>
  <c r="X8625" i="1"/>
  <c r="Y8625" i="1"/>
  <c r="Z8625" i="1"/>
  <c r="A8626" i="1"/>
  <c r="B8626" i="1"/>
  <c r="C8626" i="1"/>
  <c r="D8626" i="1"/>
  <c r="E8626" i="1"/>
  <c r="F8626" i="1"/>
  <c r="G8626" i="1"/>
  <c r="I8626" i="1"/>
  <c r="J8626" i="1"/>
  <c r="K8626" i="1"/>
  <c r="L8626" i="1"/>
  <c r="M8626" i="1"/>
  <c r="N8626" i="1"/>
  <c r="O8626" i="1"/>
  <c r="P8626" i="1"/>
  <c r="Q8626" i="1"/>
  <c r="R8626" i="1"/>
  <c r="S8626" i="1"/>
  <c r="T8626" i="1"/>
  <c r="U8626" i="1"/>
  <c r="V8626" i="1"/>
  <c r="W8626" i="1"/>
  <c r="X8626" i="1"/>
  <c r="Y8626" i="1"/>
  <c r="Z8626" i="1"/>
  <c r="A8627" i="1"/>
  <c r="B8627" i="1"/>
  <c r="C8627" i="1"/>
  <c r="D8627" i="1"/>
  <c r="E8627" i="1"/>
  <c r="F8627" i="1"/>
  <c r="G8627" i="1"/>
  <c r="I8627" i="1"/>
  <c r="J8627" i="1"/>
  <c r="K8627" i="1"/>
  <c r="L8627" i="1"/>
  <c r="M8627" i="1"/>
  <c r="N8627" i="1"/>
  <c r="O8627" i="1"/>
  <c r="P8627" i="1"/>
  <c r="Q8627" i="1"/>
  <c r="R8627" i="1"/>
  <c r="S8627" i="1"/>
  <c r="T8627" i="1"/>
  <c r="U8627" i="1"/>
  <c r="V8627" i="1"/>
  <c r="W8627" i="1"/>
  <c r="X8627" i="1"/>
  <c r="Y8627" i="1"/>
  <c r="Z8627" i="1"/>
  <c r="A8628" i="1"/>
  <c r="B8628" i="1"/>
  <c r="C8628" i="1"/>
  <c r="D8628" i="1"/>
  <c r="E8628" i="1"/>
  <c r="F8628" i="1"/>
  <c r="G8628" i="1"/>
  <c r="I8628" i="1"/>
  <c r="J8628" i="1"/>
  <c r="K8628" i="1"/>
  <c r="L8628" i="1"/>
  <c r="M8628" i="1"/>
  <c r="N8628" i="1"/>
  <c r="O8628" i="1"/>
  <c r="P8628" i="1"/>
  <c r="Q8628" i="1"/>
  <c r="R8628" i="1"/>
  <c r="S8628" i="1"/>
  <c r="T8628" i="1"/>
  <c r="U8628" i="1"/>
  <c r="V8628" i="1"/>
  <c r="W8628" i="1"/>
  <c r="X8628" i="1"/>
  <c r="Y8628" i="1"/>
  <c r="Z8628" i="1"/>
  <c r="A8629" i="1"/>
  <c r="B8629" i="1"/>
  <c r="C8629" i="1"/>
  <c r="D8629" i="1"/>
  <c r="E8629" i="1"/>
  <c r="F8629" i="1"/>
  <c r="G8629" i="1"/>
  <c r="I8629" i="1"/>
  <c r="J8629" i="1"/>
  <c r="K8629" i="1"/>
  <c r="L8629" i="1"/>
  <c r="M8629" i="1"/>
  <c r="N8629" i="1"/>
  <c r="O8629" i="1"/>
  <c r="P8629" i="1"/>
  <c r="Q8629" i="1"/>
  <c r="R8629" i="1"/>
  <c r="S8629" i="1"/>
  <c r="T8629" i="1"/>
  <c r="U8629" i="1"/>
  <c r="V8629" i="1"/>
  <c r="W8629" i="1"/>
  <c r="X8629" i="1"/>
  <c r="Y8629" i="1"/>
  <c r="Z8629" i="1"/>
  <c r="A8630" i="1"/>
  <c r="B8630" i="1"/>
  <c r="C8630" i="1"/>
  <c r="D8630" i="1"/>
  <c r="E8630" i="1"/>
  <c r="F8630" i="1"/>
  <c r="G8630" i="1"/>
  <c r="I8630" i="1"/>
  <c r="J8630" i="1"/>
  <c r="K8630" i="1"/>
  <c r="L8630" i="1"/>
  <c r="M8630" i="1"/>
  <c r="N8630" i="1"/>
  <c r="O8630" i="1"/>
  <c r="P8630" i="1"/>
  <c r="Q8630" i="1"/>
  <c r="R8630" i="1"/>
  <c r="S8630" i="1"/>
  <c r="T8630" i="1"/>
  <c r="U8630" i="1"/>
  <c r="V8630" i="1"/>
  <c r="W8630" i="1"/>
  <c r="X8630" i="1"/>
  <c r="Y8630" i="1"/>
  <c r="Z8630" i="1"/>
  <c r="A8631" i="1"/>
  <c r="B8631" i="1"/>
  <c r="C8631" i="1"/>
  <c r="D8631" i="1"/>
  <c r="E8631" i="1"/>
  <c r="F8631" i="1"/>
  <c r="G8631" i="1"/>
  <c r="I8631" i="1"/>
  <c r="J8631" i="1"/>
  <c r="K8631" i="1"/>
  <c r="L8631" i="1"/>
  <c r="M8631" i="1"/>
  <c r="N8631" i="1"/>
  <c r="O8631" i="1"/>
  <c r="P8631" i="1"/>
  <c r="Q8631" i="1"/>
  <c r="R8631" i="1"/>
  <c r="S8631" i="1"/>
  <c r="T8631" i="1"/>
  <c r="U8631" i="1"/>
  <c r="V8631" i="1"/>
  <c r="W8631" i="1"/>
  <c r="X8631" i="1"/>
  <c r="Y8631" i="1"/>
  <c r="Z8631" i="1"/>
  <c r="A8632" i="1"/>
  <c r="B8632" i="1"/>
  <c r="C8632" i="1"/>
  <c r="D8632" i="1"/>
  <c r="E8632" i="1"/>
  <c r="F8632" i="1"/>
  <c r="G8632" i="1"/>
  <c r="I8632" i="1"/>
  <c r="J8632" i="1"/>
  <c r="K8632" i="1"/>
  <c r="L8632" i="1"/>
  <c r="M8632" i="1"/>
  <c r="N8632" i="1"/>
  <c r="O8632" i="1"/>
  <c r="P8632" i="1"/>
  <c r="Q8632" i="1"/>
  <c r="R8632" i="1"/>
  <c r="S8632" i="1"/>
  <c r="T8632" i="1"/>
  <c r="U8632" i="1"/>
  <c r="V8632" i="1"/>
  <c r="W8632" i="1"/>
  <c r="X8632" i="1"/>
  <c r="Y8632" i="1"/>
  <c r="Z8632" i="1"/>
  <c r="A8633" i="1"/>
  <c r="B8633" i="1"/>
  <c r="C8633" i="1"/>
  <c r="D8633" i="1"/>
  <c r="E8633" i="1"/>
  <c r="F8633" i="1"/>
  <c r="G8633" i="1"/>
  <c r="I8633" i="1"/>
  <c r="J8633" i="1"/>
  <c r="K8633" i="1"/>
  <c r="L8633" i="1"/>
  <c r="M8633" i="1"/>
  <c r="N8633" i="1"/>
  <c r="O8633" i="1"/>
  <c r="P8633" i="1"/>
  <c r="Q8633" i="1"/>
  <c r="R8633" i="1"/>
  <c r="S8633" i="1"/>
  <c r="T8633" i="1"/>
  <c r="U8633" i="1"/>
  <c r="V8633" i="1"/>
  <c r="W8633" i="1"/>
  <c r="X8633" i="1"/>
  <c r="Y8633" i="1"/>
  <c r="Z8633" i="1"/>
  <c r="A8634" i="1"/>
  <c r="B8634" i="1"/>
  <c r="C8634" i="1"/>
  <c r="D8634" i="1"/>
  <c r="E8634" i="1"/>
  <c r="F8634" i="1"/>
  <c r="G8634" i="1"/>
  <c r="I8634" i="1"/>
  <c r="J8634" i="1"/>
  <c r="K8634" i="1"/>
  <c r="L8634" i="1"/>
  <c r="M8634" i="1"/>
  <c r="N8634" i="1"/>
  <c r="O8634" i="1"/>
  <c r="P8634" i="1"/>
  <c r="Q8634" i="1"/>
  <c r="R8634" i="1"/>
  <c r="S8634" i="1"/>
  <c r="T8634" i="1"/>
  <c r="U8634" i="1"/>
  <c r="V8634" i="1"/>
  <c r="W8634" i="1"/>
  <c r="X8634" i="1"/>
  <c r="Y8634" i="1"/>
  <c r="Z8634" i="1"/>
  <c r="A8635" i="1"/>
  <c r="B8635" i="1"/>
  <c r="C8635" i="1"/>
  <c r="D8635" i="1"/>
  <c r="E8635" i="1"/>
  <c r="F8635" i="1"/>
  <c r="G8635" i="1"/>
  <c r="I8635" i="1"/>
  <c r="J8635" i="1"/>
  <c r="K8635" i="1"/>
  <c r="L8635" i="1"/>
  <c r="M8635" i="1"/>
  <c r="N8635" i="1"/>
  <c r="O8635" i="1"/>
  <c r="P8635" i="1"/>
  <c r="Q8635" i="1"/>
  <c r="R8635" i="1"/>
  <c r="S8635" i="1"/>
  <c r="T8635" i="1"/>
  <c r="U8635" i="1"/>
  <c r="V8635" i="1"/>
  <c r="W8635" i="1"/>
  <c r="X8635" i="1"/>
  <c r="Y8635" i="1"/>
  <c r="Z8635" i="1"/>
  <c r="A8636" i="1"/>
  <c r="B8636" i="1"/>
  <c r="C8636" i="1"/>
  <c r="D8636" i="1"/>
  <c r="E8636" i="1"/>
  <c r="F8636" i="1"/>
  <c r="G8636" i="1"/>
  <c r="I8636" i="1"/>
  <c r="J8636" i="1"/>
  <c r="K8636" i="1"/>
  <c r="L8636" i="1"/>
  <c r="M8636" i="1"/>
  <c r="N8636" i="1"/>
  <c r="O8636" i="1"/>
  <c r="P8636" i="1"/>
  <c r="Q8636" i="1"/>
  <c r="R8636" i="1"/>
  <c r="S8636" i="1"/>
  <c r="T8636" i="1"/>
  <c r="U8636" i="1"/>
  <c r="V8636" i="1"/>
  <c r="W8636" i="1"/>
  <c r="X8636" i="1"/>
  <c r="Y8636" i="1"/>
  <c r="Z8636" i="1"/>
  <c r="A8637" i="1"/>
  <c r="B8637" i="1"/>
  <c r="C8637" i="1"/>
  <c r="D8637" i="1"/>
  <c r="E8637" i="1"/>
  <c r="F8637" i="1"/>
  <c r="G8637" i="1"/>
  <c r="I8637" i="1"/>
  <c r="J8637" i="1"/>
  <c r="K8637" i="1"/>
  <c r="L8637" i="1"/>
  <c r="M8637" i="1"/>
  <c r="N8637" i="1"/>
  <c r="O8637" i="1"/>
  <c r="P8637" i="1"/>
  <c r="Q8637" i="1"/>
  <c r="R8637" i="1"/>
  <c r="S8637" i="1"/>
  <c r="T8637" i="1"/>
  <c r="U8637" i="1"/>
  <c r="V8637" i="1"/>
  <c r="W8637" i="1"/>
  <c r="X8637" i="1"/>
  <c r="Y8637" i="1"/>
  <c r="Z8637" i="1"/>
  <c r="A8638" i="1"/>
  <c r="B8638" i="1"/>
  <c r="C8638" i="1"/>
  <c r="D8638" i="1"/>
  <c r="E8638" i="1"/>
  <c r="F8638" i="1"/>
  <c r="G8638" i="1"/>
  <c r="I8638" i="1"/>
  <c r="J8638" i="1"/>
  <c r="K8638" i="1"/>
  <c r="L8638" i="1"/>
  <c r="M8638" i="1"/>
  <c r="N8638" i="1"/>
  <c r="O8638" i="1"/>
  <c r="P8638" i="1"/>
  <c r="Q8638" i="1"/>
  <c r="R8638" i="1"/>
  <c r="S8638" i="1"/>
  <c r="T8638" i="1"/>
  <c r="U8638" i="1"/>
  <c r="V8638" i="1"/>
  <c r="W8638" i="1"/>
  <c r="X8638" i="1"/>
  <c r="Y8638" i="1"/>
  <c r="Z8638" i="1"/>
  <c r="A8639" i="1"/>
  <c r="B8639" i="1"/>
  <c r="C8639" i="1"/>
  <c r="D8639" i="1"/>
  <c r="E8639" i="1"/>
  <c r="F8639" i="1"/>
  <c r="G8639" i="1"/>
  <c r="I8639" i="1"/>
  <c r="J8639" i="1"/>
  <c r="K8639" i="1"/>
  <c r="L8639" i="1"/>
  <c r="M8639" i="1"/>
  <c r="N8639" i="1"/>
  <c r="O8639" i="1"/>
  <c r="P8639" i="1"/>
  <c r="Q8639" i="1"/>
  <c r="R8639" i="1"/>
  <c r="S8639" i="1"/>
  <c r="T8639" i="1"/>
  <c r="U8639" i="1"/>
  <c r="V8639" i="1"/>
  <c r="W8639" i="1"/>
  <c r="X8639" i="1"/>
  <c r="Y8639" i="1"/>
  <c r="Z8639" i="1"/>
  <c r="A8640" i="1"/>
  <c r="B8640" i="1"/>
  <c r="C8640" i="1"/>
  <c r="D8640" i="1"/>
  <c r="E8640" i="1"/>
  <c r="F8640" i="1"/>
  <c r="G8640" i="1"/>
  <c r="I8640" i="1"/>
  <c r="J8640" i="1"/>
  <c r="K8640" i="1"/>
  <c r="L8640" i="1"/>
  <c r="M8640" i="1"/>
  <c r="N8640" i="1"/>
  <c r="O8640" i="1"/>
  <c r="P8640" i="1"/>
  <c r="Q8640" i="1"/>
  <c r="R8640" i="1"/>
  <c r="S8640" i="1"/>
  <c r="T8640" i="1"/>
  <c r="U8640" i="1"/>
  <c r="V8640" i="1"/>
  <c r="W8640" i="1"/>
  <c r="X8640" i="1"/>
  <c r="Y8640" i="1"/>
  <c r="Z8640" i="1"/>
  <c r="A8641" i="1"/>
  <c r="B8641" i="1"/>
  <c r="C8641" i="1"/>
  <c r="D8641" i="1"/>
  <c r="E8641" i="1"/>
  <c r="F8641" i="1"/>
  <c r="G8641" i="1"/>
  <c r="I8641" i="1"/>
  <c r="J8641" i="1"/>
  <c r="K8641" i="1"/>
  <c r="L8641" i="1"/>
  <c r="M8641" i="1"/>
  <c r="N8641" i="1"/>
  <c r="O8641" i="1"/>
  <c r="P8641" i="1"/>
  <c r="Q8641" i="1"/>
  <c r="R8641" i="1"/>
  <c r="S8641" i="1"/>
  <c r="T8641" i="1"/>
  <c r="U8641" i="1"/>
  <c r="V8641" i="1"/>
  <c r="W8641" i="1"/>
  <c r="X8641" i="1"/>
  <c r="Y8641" i="1"/>
  <c r="Z8641" i="1"/>
  <c r="A8642" i="1"/>
  <c r="B8642" i="1"/>
  <c r="C8642" i="1"/>
  <c r="D8642" i="1"/>
  <c r="E8642" i="1"/>
  <c r="F8642" i="1"/>
  <c r="G8642" i="1"/>
  <c r="I8642" i="1"/>
  <c r="J8642" i="1"/>
  <c r="K8642" i="1"/>
  <c r="L8642" i="1"/>
  <c r="M8642" i="1"/>
  <c r="N8642" i="1"/>
  <c r="O8642" i="1"/>
  <c r="P8642" i="1"/>
  <c r="Q8642" i="1"/>
  <c r="R8642" i="1"/>
  <c r="S8642" i="1"/>
  <c r="T8642" i="1"/>
  <c r="U8642" i="1"/>
  <c r="V8642" i="1"/>
  <c r="W8642" i="1"/>
  <c r="X8642" i="1"/>
  <c r="Y8642" i="1"/>
  <c r="Z8642" i="1"/>
  <c r="A8643" i="1"/>
  <c r="B8643" i="1"/>
  <c r="C8643" i="1"/>
  <c r="D8643" i="1"/>
  <c r="E8643" i="1"/>
  <c r="F8643" i="1"/>
  <c r="G8643" i="1"/>
  <c r="I8643" i="1"/>
  <c r="J8643" i="1"/>
  <c r="K8643" i="1"/>
  <c r="L8643" i="1"/>
  <c r="M8643" i="1"/>
  <c r="N8643" i="1"/>
  <c r="O8643" i="1"/>
  <c r="P8643" i="1"/>
  <c r="Q8643" i="1"/>
  <c r="R8643" i="1"/>
  <c r="S8643" i="1"/>
  <c r="T8643" i="1"/>
  <c r="U8643" i="1"/>
  <c r="V8643" i="1"/>
  <c r="W8643" i="1"/>
  <c r="X8643" i="1"/>
  <c r="Y8643" i="1"/>
  <c r="Z8643" i="1"/>
  <c r="A8644" i="1"/>
  <c r="B8644" i="1"/>
  <c r="C8644" i="1"/>
  <c r="D8644" i="1"/>
  <c r="E8644" i="1"/>
  <c r="F8644" i="1"/>
  <c r="G8644" i="1"/>
  <c r="I8644" i="1"/>
  <c r="J8644" i="1"/>
  <c r="K8644" i="1"/>
  <c r="L8644" i="1"/>
  <c r="M8644" i="1"/>
  <c r="N8644" i="1"/>
  <c r="O8644" i="1"/>
  <c r="P8644" i="1"/>
  <c r="Q8644" i="1"/>
  <c r="R8644" i="1"/>
  <c r="S8644" i="1"/>
  <c r="T8644" i="1"/>
  <c r="U8644" i="1"/>
  <c r="V8644" i="1"/>
  <c r="W8644" i="1"/>
  <c r="X8644" i="1"/>
  <c r="Y8644" i="1"/>
  <c r="Z8644" i="1"/>
  <c r="A8645" i="1"/>
  <c r="B8645" i="1"/>
  <c r="C8645" i="1"/>
  <c r="D8645" i="1"/>
  <c r="E8645" i="1"/>
  <c r="F8645" i="1"/>
  <c r="G8645" i="1"/>
  <c r="I8645" i="1"/>
  <c r="J8645" i="1"/>
  <c r="K8645" i="1"/>
  <c r="L8645" i="1"/>
  <c r="M8645" i="1"/>
  <c r="N8645" i="1"/>
  <c r="O8645" i="1"/>
  <c r="P8645" i="1"/>
  <c r="Q8645" i="1"/>
  <c r="R8645" i="1"/>
  <c r="S8645" i="1"/>
  <c r="T8645" i="1"/>
  <c r="U8645" i="1"/>
  <c r="V8645" i="1"/>
  <c r="W8645" i="1"/>
  <c r="X8645" i="1"/>
  <c r="Y8645" i="1"/>
  <c r="Z8645" i="1"/>
  <c r="A8646" i="1"/>
  <c r="B8646" i="1"/>
  <c r="C8646" i="1"/>
  <c r="D8646" i="1"/>
  <c r="E8646" i="1"/>
  <c r="F8646" i="1"/>
  <c r="G8646" i="1"/>
  <c r="I8646" i="1"/>
  <c r="J8646" i="1"/>
  <c r="K8646" i="1"/>
  <c r="L8646" i="1"/>
  <c r="M8646" i="1"/>
  <c r="N8646" i="1"/>
  <c r="O8646" i="1"/>
  <c r="P8646" i="1"/>
  <c r="Q8646" i="1"/>
  <c r="R8646" i="1"/>
  <c r="S8646" i="1"/>
  <c r="T8646" i="1"/>
  <c r="U8646" i="1"/>
  <c r="V8646" i="1"/>
  <c r="W8646" i="1"/>
  <c r="X8646" i="1"/>
  <c r="Y8646" i="1"/>
  <c r="Z8646" i="1"/>
  <c r="A8647" i="1"/>
  <c r="B8647" i="1"/>
  <c r="C8647" i="1"/>
  <c r="D8647" i="1"/>
  <c r="E8647" i="1"/>
  <c r="F8647" i="1"/>
  <c r="G8647" i="1"/>
  <c r="I8647" i="1"/>
  <c r="J8647" i="1"/>
  <c r="K8647" i="1"/>
  <c r="L8647" i="1"/>
  <c r="M8647" i="1"/>
  <c r="N8647" i="1"/>
  <c r="O8647" i="1"/>
  <c r="P8647" i="1"/>
  <c r="Q8647" i="1"/>
  <c r="R8647" i="1"/>
  <c r="S8647" i="1"/>
  <c r="T8647" i="1"/>
  <c r="U8647" i="1"/>
  <c r="V8647" i="1"/>
  <c r="W8647" i="1"/>
  <c r="X8647" i="1"/>
  <c r="Y8647" i="1"/>
  <c r="Z8647" i="1"/>
  <c r="A8648" i="1"/>
  <c r="B8648" i="1"/>
  <c r="C8648" i="1"/>
  <c r="D8648" i="1"/>
  <c r="E8648" i="1"/>
  <c r="F8648" i="1"/>
  <c r="G8648" i="1"/>
  <c r="I8648" i="1"/>
  <c r="J8648" i="1"/>
  <c r="K8648" i="1"/>
  <c r="L8648" i="1"/>
  <c r="M8648" i="1"/>
  <c r="N8648" i="1"/>
  <c r="O8648" i="1"/>
  <c r="P8648" i="1"/>
  <c r="Q8648" i="1"/>
  <c r="R8648" i="1"/>
  <c r="S8648" i="1"/>
  <c r="T8648" i="1"/>
  <c r="U8648" i="1"/>
  <c r="V8648" i="1"/>
  <c r="W8648" i="1"/>
  <c r="X8648" i="1"/>
  <c r="Y8648" i="1"/>
  <c r="Z8648" i="1"/>
  <c r="A8649" i="1"/>
  <c r="B8649" i="1"/>
  <c r="C8649" i="1"/>
  <c r="D8649" i="1"/>
  <c r="E8649" i="1"/>
  <c r="F8649" i="1"/>
  <c r="G8649" i="1"/>
  <c r="I8649" i="1"/>
  <c r="J8649" i="1"/>
  <c r="K8649" i="1"/>
  <c r="L8649" i="1"/>
  <c r="M8649" i="1"/>
  <c r="N8649" i="1"/>
  <c r="O8649" i="1"/>
  <c r="P8649" i="1"/>
  <c r="Q8649" i="1"/>
  <c r="R8649" i="1"/>
  <c r="S8649" i="1"/>
  <c r="T8649" i="1"/>
  <c r="U8649" i="1"/>
  <c r="V8649" i="1"/>
  <c r="W8649" i="1"/>
  <c r="X8649" i="1"/>
  <c r="Y8649" i="1"/>
  <c r="Z8649" i="1"/>
  <c r="A8650" i="1"/>
  <c r="B8650" i="1"/>
  <c r="C8650" i="1"/>
  <c r="D8650" i="1"/>
  <c r="E8650" i="1"/>
  <c r="F8650" i="1"/>
  <c r="G8650" i="1"/>
  <c r="I8650" i="1"/>
  <c r="J8650" i="1"/>
  <c r="K8650" i="1"/>
  <c r="L8650" i="1"/>
  <c r="M8650" i="1"/>
  <c r="N8650" i="1"/>
  <c r="O8650" i="1"/>
  <c r="P8650" i="1"/>
  <c r="Q8650" i="1"/>
  <c r="R8650" i="1"/>
  <c r="S8650" i="1"/>
  <c r="T8650" i="1"/>
  <c r="U8650" i="1"/>
  <c r="V8650" i="1"/>
  <c r="W8650" i="1"/>
  <c r="X8650" i="1"/>
  <c r="Y8650" i="1"/>
  <c r="Z8650" i="1"/>
  <c r="A8651" i="1"/>
  <c r="B8651" i="1"/>
  <c r="C8651" i="1"/>
  <c r="D8651" i="1"/>
  <c r="E8651" i="1"/>
  <c r="F8651" i="1"/>
  <c r="G8651" i="1"/>
  <c r="I8651" i="1"/>
  <c r="J8651" i="1"/>
  <c r="K8651" i="1"/>
  <c r="L8651" i="1"/>
  <c r="M8651" i="1"/>
  <c r="N8651" i="1"/>
  <c r="O8651" i="1"/>
  <c r="P8651" i="1"/>
  <c r="Q8651" i="1"/>
  <c r="R8651" i="1"/>
  <c r="S8651" i="1"/>
  <c r="T8651" i="1"/>
  <c r="U8651" i="1"/>
  <c r="V8651" i="1"/>
  <c r="W8651" i="1"/>
  <c r="X8651" i="1"/>
  <c r="Y8651" i="1"/>
  <c r="Z8651" i="1"/>
  <c r="A8652" i="1"/>
  <c r="B8652" i="1"/>
  <c r="C8652" i="1"/>
  <c r="D8652" i="1"/>
  <c r="E8652" i="1"/>
  <c r="F8652" i="1"/>
  <c r="G8652" i="1"/>
  <c r="I8652" i="1"/>
  <c r="J8652" i="1"/>
  <c r="K8652" i="1"/>
  <c r="L8652" i="1"/>
  <c r="M8652" i="1"/>
  <c r="N8652" i="1"/>
  <c r="O8652" i="1"/>
  <c r="P8652" i="1"/>
  <c r="Q8652" i="1"/>
  <c r="R8652" i="1"/>
  <c r="S8652" i="1"/>
  <c r="T8652" i="1"/>
  <c r="U8652" i="1"/>
  <c r="V8652" i="1"/>
  <c r="W8652" i="1"/>
  <c r="X8652" i="1"/>
  <c r="Y8652" i="1"/>
  <c r="Z8652" i="1"/>
  <c r="A8653" i="1"/>
  <c r="B8653" i="1"/>
  <c r="C8653" i="1"/>
  <c r="D8653" i="1"/>
  <c r="E8653" i="1"/>
  <c r="F8653" i="1"/>
  <c r="G8653" i="1"/>
  <c r="I8653" i="1"/>
  <c r="J8653" i="1"/>
  <c r="K8653" i="1"/>
  <c r="L8653" i="1"/>
  <c r="M8653" i="1"/>
  <c r="N8653" i="1"/>
  <c r="O8653" i="1"/>
  <c r="P8653" i="1"/>
  <c r="Q8653" i="1"/>
  <c r="R8653" i="1"/>
  <c r="S8653" i="1"/>
  <c r="T8653" i="1"/>
  <c r="U8653" i="1"/>
  <c r="V8653" i="1"/>
  <c r="W8653" i="1"/>
  <c r="X8653" i="1"/>
  <c r="Y8653" i="1"/>
  <c r="Z8653" i="1"/>
  <c r="A8654" i="1"/>
  <c r="B8654" i="1"/>
  <c r="C8654" i="1"/>
  <c r="D8654" i="1"/>
  <c r="E8654" i="1"/>
  <c r="F8654" i="1"/>
  <c r="G8654" i="1"/>
  <c r="I8654" i="1"/>
  <c r="J8654" i="1"/>
  <c r="K8654" i="1"/>
  <c r="L8654" i="1"/>
  <c r="M8654" i="1"/>
  <c r="N8654" i="1"/>
  <c r="O8654" i="1"/>
  <c r="P8654" i="1"/>
  <c r="Q8654" i="1"/>
  <c r="R8654" i="1"/>
  <c r="S8654" i="1"/>
  <c r="T8654" i="1"/>
  <c r="U8654" i="1"/>
  <c r="V8654" i="1"/>
  <c r="W8654" i="1"/>
  <c r="X8654" i="1"/>
  <c r="Y8654" i="1"/>
  <c r="Z8654" i="1"/>
  <c r="A8655" i="1"/>
  <c r="B8655" i="1"/>
  <c r="C8655" i="1"/>
  <c r="D8655" i="1"/>
  <c r="E8655" i="1"/>
  <c r="F8655" i="1"/>
  <c r="G8655" i="1"/>
  <c r="I8655" i="1"/>
  <c r="J8655" i="1"/>
  <c r="K8655" i="1"/>
  <c r="L8655" i="1"/>
  <c r="M8655" i="1"/>
  <c r="N8655" i="1"/>
  <c r="O8655" i="1"/>
  <c r="P8655" i="1"/>
  <c r="Q8655" i="1"/>
  <c r="R8655" i="1"/>
  <c r="S8655" i="1"/>
  <c r="T8655" i="1"/>
  <c r="U8655" i="1"/>
  <c r="V8655" i="1"/>
  <c r="W8655" i="1"/>
  <c r="X8655" i="1"/>
  <c r="Y8655" i="1"/>
  <c r="Z8655" i="1"/>
  <c r="A8656" i="1"/>
  <c r="B8656" i="1"/>
  <c r="C8656" i="1"/>
  <c r="D8656" i="1"/>
  <c r="E8656" i="1"/>
  <c r="F8656" i="1"/>
  <c r="G8656" i="1"/>
  <c r="I8656" i="1"/>
  <c r="J8656" i="1"/>
  <c r="K8656" i="1"/>
  <c r="L8656" i="1"/>
  <c r="M8656" i="1"/>
  <c r="N8656" i="1"/>
  <c r="O8656" i="1"/>
  <c r="P8656" i="1"/>
  <c r="Q8656" i="1"/>
  <c r="R8656" i="1"/>
  <c r="S8656" i="1"/>
  <c r="T8656" i="1"/>
  <c r="U8656" i="1"/>
  <c r="V8656" i="1"/>
  <c r="W8656" i="1"/>
  <c r="X8656" i="1"/>
  <c r="Y8656" i="1"/>
  <c r="Z8656" i="1"/>
  <c r="A8657" i="1"/>
  <c r="B8657" i="1"/>
  <c r="C8657" i="1"/>
  <c r="D8657" i="1"/>
  <c r="E8657" i="1"/>
  <c r="F8657" i="1"/>
  <c r="G8657" i="1"/>
  <c r="I8657" i="1"/>
  <c r="J8657" i="1"/>
  <c r="K8657" i="1"/>
  <c r="L8657" i="1"/>
  <c r="M8657" i="1"/>
  <c r="N8657" i="1"/>
  <c r="O8657" i="1"/>
  <c r="P8657" i="1"/>
  <c r="Q8657" i="1"/>
  <c r="R8657" i="1"/>
  <c r="S8657" i="1"/>
  <c r="T8657" i="1"/>
  <c r="U8657" i="1"/>
  <c r="V8657" i="1"/>
  <c r="W8657" i="1"/>
  <c r="X8657" i="1"/>
  <c r="Y8657" i="1"/>
  <c r="Z8657" i="1"/>
  <c r="A8658" i="1"/>
  <c r="B8658" i="1"/>
  <c r="C8658" i="1"/>
  <c r="D8658" i="1"/>
  <c r="E8658" i="1"/>
  <c r="F8658" i="1"/>
  <c r="G8658" i="1"/>
  <c r="I8658" i="1"/>
  <c r="J8658" i="1"/>
  <c r="K8658" i="1"/>
  <c r="L8658" i="1"/>
  <c r="M8658" i="1"/>
  <c r="N8658" i="1"/>
  <c r="O8658" i="1"/>
  <c r="P8658" i="1"/>
  <c r="Q8658" i="1"/>
  <c r="R8658" i="1"/>
  <c r="S8658" i="1"/>
  <c r="T8658" i="1"/>
  <c r="U8658" i="1"/>
  <c r="V8658" i="1"/>
  <c r="W8658" i="1"/>
  <c r="X8658" i="1"/>
  <c r="Y8658" i="1"/>
  <c r="Z8658" i="1"/>
  <c r="A8659" i="1"/>
  <c r="B8659" i="1"/>
  <c r="C8659" i="1"/>
  <c r="D8659" i="1"/>
  <c r="E8659" i="1"/>
  <c r="F8659" i="1"/>
  <c r="G8659" i="1"/>
  <c r="I8659" i="1"/>
  <c r="J8659" i="1"/>
  <c r="K8659" i="1"/>
  <c r="L8659" i="1"/>
  <c r="M8659" i="1"/>
  <c r="N8659" i="1"/>
  <c r="O8659" i="1"/>
  <c r="P8659" i="1"/>
  <c r="Q8659" i="1"/>
  <c r="R8659" i="1"/>
  <c r="S8659" i="1"/>
  <c r="T8659" i="1"/>
  <c r="U8659" i="1"/>
  <c r="V8659" i="1"/>
  <c r="W8659" i="1"/>
  <c r="X8659" i="1"/>
  <c r="Y8659" i="1"/>
  <c r="Z8659" i="1"/>
  <c r="A8660" i="1"/>
  <c r="B8660" i="1"/>
  <c r="C8660" i="1"/>
  <c r="D8660" i="1"/>
  <c r="E8660" i="1"/>
  <c r="F8660" i="1"/>
  <c r="G8660" i="1"/>
  <c r="I8660" i="1"/>
  <c r="J8660" i="1"/>
  <c r="K8660" i="1"/>
  <c r="L8660" i="1"/>
  <c r="M8660" i="1"/>
  <c r="N8660" i="1"/>
  <c r="O8660" i="1"/>
  <c r="P8660" i="1"/>
  <c r="Q8660" i="1"/>
  <c r="R8660" i="1"/>
  <c r="S8660" i="1"/>
  <c r="T8660" i="1"/>
  <c r="U8660" i="1"/>
  <c r="V8660" i="1"/>
  <c r="W8660" i="1"/>
  <c r="X8660" i="1"/>
  <c r="Y8660" i="1"/>
  <c r="Z8660" i="1"/>
  <c r="A8661" i="1"/>
  <c r="B8661" i="1"/>
  <c r="C8661" i="1"/>
  <c r="D8661" i="1"/>
  <c r="E8661" i="1"/>
  <c r="F8661" i="1"/>
  <c r="G8661" i="1"/>
  <c r="I8661" i="1"/>
  <c r="J8661" i="1"/>
  <c r="K8661" i="1"/>
  <c r="L8661" i="1"/>
  <c r="M8661" i="1"/>
  <c r="N8661" i="1"/>
  <c r="O8661" i="1"/>
  <c r="P8661" i="1"/>
  <c r="Q8661" i="1"/>
  <c r="R8661" i="1"/>
  <c r="S8661" i="1"/>
  <c r="T8661" i="1"/>
  <c r="U8661" i="1"/>
  <c r="V8661" i="1"/>
  <c r="W8661" i="1"/>
  <c r="X8661" i="1"/>
  <c r="Y8661" i="1"/>
  <c r="Z8661" i="1"/>
  <c r="A8662" i="1"/>
  <c r="B8662" i="1"/>
  <c r="C8662" i="1"/>
  <c r="D8662" i="1"/>
  <c r="E8662" i="1"/>
  <c r="F8662" i="1"/>
  <c r="G8662" i="1"/>
  <c r="I8662" i="1"/>
  <c r="J8662" i="1"/>
  <c r="K8662" i="1"/>
  <c r="L8662" i="1"/>
  <c r="M8662" i="1"/>
  <c r="N8662" i="1"/>
  <c r="O8662" i="1"/>
  <c r="P8662" i="1"/>
  <c r="Q8662" i="1"/>
  <c r="R8662" i="1"/>
  <c r="S8662" i="1"/>
  <c r="T8662" i="1"/>
  <c r="U8662" i="1"/>
  <c r="V8662" i="1"/>
  <c r="W8662" i="1"/>
  <c r="X8662" i="1"/>
  <c r="Y8662" i="1"/>
  <c r="Z8662" i="1"/>
  <c r="A8663" i="1"/>
  <c r="B8663" i="1"/>
  <c r="C8663" i="1"/>
  <c r="D8663" i="1"/>
  <c r="E8663" i="1"/>
  <c r="F8663" i="1"/>
  <c r="G8663" i="1"/>
  <c r="I8663" i="1"/>
  <c r="J8663" i="1"/>
  <c r="K8663" i="1"/>
  <c r="L8663" i="1"/>
  <c r="M8663" i="1"/>
  <c r="N8663" i="1"/>
  <c r="O8663" i="1"/>
  <c r="P8663" i="1"/>
  <c r="Q8663" i="1"/>
  <c r="R8663" i="1"/>
  <c r="S8663" i="1"/>
  <c r="T8663" i="1"/>
  <c r="U8663" i="1"/>
  <c r="V8663" i="1"/>
  <c r="W8663" i="1"/>
  <c r="X8663" i="1"/>
  <c r="Y8663" i="1"/>
  <c r="Z8663" i="1"/>
  <c r="A8664" i="1"/>
  <c r="B8664" i="1"/>
  <c r="C8664" i="1"/>
  <c r="D8664" i="1"/>
  <c r="E8664" i="1"/>
  <c r="F8664" i="1"/>
  <c r="G8664" i="1"/>
  <c r="I8664" i="1"/>
  <c r="J8664" i="1"/>
  <c r="K8664" i="1"/>
  <c r="L8664" i="1"/>
  <c r="M8664" i="1"/>
  <c r="N8664" i="1"/>
  <c r="O8664" i="1"/>
  <c r="P8664" i="1"/>
  <c r="Q8664" i="1"/>
  <c r="R8664" i="1"/>
  <c r="S8664" i="1"/>
  <c r="T8664" i="1"/>
  <c r="U8664" i="1"/>
  <c r="V8664" i="1"/>
  <c r="W8664" i="1"/>
  <c r="X8664" i="1"/>
  <c r="Y8664" i="1"/>
  <c r="Z8664" i="1"/>
  <c r="A8665" i="1"/>
  <c r="B8665" i="1"/>
  <c r="C8665" i="1"/>
  <c r="D8665" i="1"/>
  <c r="E8665" i="1"/>
  <c r="F8665" i="1"/>
  <c r="G8665" i="1"/>
  <c r="I8665" i="1"/>
  <c r="J8665" i="1"/>
  <c r="K8665" i="1"/>
  <c r="L8665" i="1"/>
  <c r="M8665" i="1"/>
  <c r="N8665" i="1"/>
  <c r="O8665" i="1"/>
  <c r="P8665" i="1"/>
  <c r="Q8665" i="1"/>
  <c r="R8665" i="1"/>
  <c r="S8665" i="1"/>
  <c r="T8665" i="1"/>
  <c r="U8665" i="1"/>
  <c r="V8665" i="1"/>
  <c r="W8665" i="1"/>
  <c r="X8665" i="1"/>
  <c r="Y8665" i="1"/>
  <c r="Z8665" i="1"/>
  <c r="A8666" i="1"/>
  <c r="B8666" i="1"/>
  <c r="C8666" i="1"/>
  <c r="D8666" i="1"/>
  <c r="E8666" i="1"/>
  <c r="F8666" i="1"/>
  <c r="G8666" i="1"/>
  <c r="I8666" i="1"/>
  <c r="J8666" i="1"/>
  <c r="K8666" i="1"/>
  <c r="L8666" i="1"/>
  <c r="M8666" i="1"/>
  <c r="N8666" i="1"/>
  <c r="O8666" i="1"/>
  <c r="P8666" i="1"/>
  <c r="Q8666" i="1"/>
  <c r="R8666" i="1"/>
  <c r="S8666" i="1"/>
  <c r="T8666" i="1"/>
  <c r="U8666" i="1"/>
  <c r="V8666" i="1"/>
  <c r="W8666" i="1"/>
  <c r="X8666" i="1"/>
  <c r="Y8666" i="1"/>
  <c r="Z8666" i="1"/>
  <c r="A8667" i="1"/>
  <c r="B8667" i="1"/>
  <c r="C8667" i="1"/>
  <c r="D8667" i="1"/>
  <c r="E8667" i="1"/>
  <c r="F8667" i="1"/>
  <c r="G8667" i="1"/>
  <c r="I8667" i="1"/>
  <c r="J8667" i="1"/>
  <c r="K8667" i="1"/>
  <c r="L8667" i="1"/>
  <c r="M8667" i="1"/>
  <c r="N8667" i="1"/>
  <c r="O8667" i="1"/>
  <c r="P8667" i="1"/>
  <c r="Q8667" i="1"/>
  <c r="R8667" i="1"/>
  <c r="S8667" i="1"/>
  <c r="T8667" i="1"/>
  <c r="U8667" i="1"/>
  <c r="V8667" i="1"/>
  <c r="W8667" i="1"/>
  <c r="X8667" i="1"/>
  <c r="Y8667" i="1"/>
  <c r="Z8667" i="1"/>
  <c r="A8668" i="1"/>
  <c r="B8668" i="1"/>
  <c r="C8668" i="1"/>
  <c r="D8668" i="1"/>
  <c r="E8668" i="1"/>
  <c r="F8668" i="1"/>
  <c r="G8668" i="1"/>
  <c r="I8668" i="1"/>
  <c r="J8668" i="1"/>
  <c r="K8668" i="1"/>
  <c r="L8668" i="1"/>
  <c r="M8668" i="1"/>
  <c r="N8668" i="1"/>
  <c r="O8668" i="1"/>
  <c r="P8668" i="1"/>
  <c r="Q8668" i="1"/>
  <c r="R8668" i="1"/>
  <c r="S8668" i="1"/>
  <c r="T8668" i="1"/>
  <c r="U8668" i="1"/>
  <c r="V8668" i="1"/>
  <c r="W8668" i="1"/>
  <c r="X8668" i="1"/>
  <c r="Y8668" i="1"/>
  <c r="Z8668" i="1"/>
  <c r="A8669" i="1"/>
  <c r="B8669" i="1"/>
  <c r="C8669" i="1"/>
  <c r="D8669" i="1"/>
  <c r="E8669" i="1"/>
  <c r="F8669" i="1"/>
  <c r="G8669" i="1"/>
  <c r="I8669" i="1"/>
  <c r="J8669" i="1"/>
  <c r="K8669" i="1"/>
  <c r="L8669" i="1"/>
  <c r="M8669" i="1"/>
  <c r="N8669" i="1"/>
  <c r="O8669" i="1"/>
  <c r="P8669" i="1"/>
  <c r="Q8669" i="1"/>
  <c r="R8669" i="1"/>
  <c r="S8669" i="1"/>
  <c r="T8669" i="1"/>
  <c r="U8669" i="1"/>
  <c r="V8669" i="1"/>
  <c r="W8669" i="1"/>
  <c r="X8669" i="1"/>
  <c r="Y8669" i="1"/>
  <c r="Z8669" i="1"/>
  <c r="A8670" i="1"/>
  <c r="B8670" i="1"/>
  <c r="C8670" i="1"/>
  <c r="D8670" i="1"/>
  <c r="E8670" i="1"/>
  <c r="F8670" i="1"/>
  <c r="G8670" i="1"/>
  <c r="I8670" i="1"/>
  <c r="J8670" i="1"/>
  <c r="K8670" i="1"/>
  <c r="L8670" i="1"/>
  <c r="M8670" i="1"/>
  <c r="N8670" i="1"/>
  <c r="O8670" i="1"/>
  <c r="P8670" i="1"/>
  <c r="Q8670" i="1"/>
  <c r="R8670" i="1"/>
  <c r="S8670" i="1"/>
  <c r="T8670" i="1"/>
  <c r="U8670" i="1"/>
  <c r="V8670" i="1"/>
  <c r="W8670" i="1"/>
  <c r="X8670" i="1"/>
  <c r="Y8670" i="1"/>
  <c r="Z8670" i="1"/>
  <c r="A8671" i="1"/>
  <c r="B8671" i="1"/>
  <c r="C8671" i="1"/>
  <c r="D8671" i="1"/>
  <c r="E8671" i="1"/>
  <c r="F8671" i="1"/>
  <c r="G8671" i="1"/>
  <c r="I8671" i="1"/>
  <c r="J8671" i="1"/>
  <c r="K8671" i="1"/>
  <c r="L8671" i="1"/>
  <c r="M8671" i="1"/>
  <c r="N8671" i="1"/>
  <c r="O8671" i="1"/>
  <c r="P8671" i="1"/>
  <c r="Q8671" i="1"/>
  <c r="R8671" i="1"/>
  <c r="S8671" i="1"/>
  <c r="T8671" i="1"/>
  <c r="U8671" i="1"/>
  <c r="V8671" i="1"/>
  <c r="W8671" i="1"/>
  <c r="X8671" i="1"/>
  <c r="Y8671" i="1"/>
  <c r="Z8671" i="1"/>
  <c r="A8672" i="1"/>
  <c r="B8672" i="1"/>
  <c r="C8672" i="1"/>
  <c r="D8672" i="1"/>
  <c r="E8672" i="1"/>
  <c r="F8672" i="1"/>
  <c r="G8672" i="1"/>
  <c r="I8672" i="1"/>
  <c r="J8672" i="1"/>
  <c r="K8672" i="1"/>
  <c r="L8672" i="1"/>
  <c r="M8672" i="1"/>
  <c r="N8672" i="1"/>
  <c r="O8672" i="1"/>
  <c r="P8672" i="1"/>
  <c r="Q8672" i="1"/>
  <c r="R8672" i="1"/>
  <c r="S8672" i="1"/>
  <c r="T8672" i="1"/>
  <c r="U8672" i="1"/>
  <c r="V8672" i="1"/>
  <c r="W8672" i="1"/>
  <c r="X8672" i="1"/>
  <c r="Y8672" i="1"/>
  <c r="Z8672" i="1"/>
  <c r="A8673" i="1"/>
  <c r="B8673" i="1"/>
  <c r="C8673" i="1"/>
  <c r="D8673" i="1"/>
  <c r="E8673" i="1"/>
  <c r="F8673" i="1"/>
  <c r="G8673" i="1"/>
  <c r="I8673" i="1"/>
  <c r="J8673" i="1"/>
  <c r="K8673" i="1"/>
  <c r="L8673" i="1"/>
  <c r="M8673" i="1"/>
  <c r="N8673" i="1"/>
  <c r="O8673" i="1"/>
  <c r="P8673" i="1"/>
  <c r="Q8673" i="1"/>
  <c r="R8673" i="1"/>
  <c r="S8673" i="1"/>
  <c r="T8673" i="1"/>
  <c r="U8673" i="1"/>
  <c r="V8673" i="1"/>
  <c r="W8673" i="1"/>
  <c r="X8673" i="1"/>
  <c r="Y8673" i="1"/>
  <c r="Z8673" i="1"/>
  <c r="A8674" i="1"/>
  <c r="B8674" i="1"/>
  <c r="C8674" i="1"/>
  <c r="D8674" i="1"/>
  <c r="E8674" i="1"/>
  <c r="F8674" i="1"/>
  <c r="G8674" i="1"/>
  <c r="I8674" i="1"/>
  <c r="J8674" i="1"/>
  <c r="K8674" i="1"/>
  <c r="L8674" i="1"/>
  <c r="M8674" i="1"/>
  <c r="N8674" i="1"/>
  <c r="O8674" i="1"/>
  <c r="P8674" i="1"/>
  <c r="Q8674" i="1"/>
  <c r="R8674" i="1"/>
  <c r="S8674" i="1"/>
  <c r="T8674" i="1"/>
  <c r="U8674" i="1"/>
  <c r="V8674" i="1"/>
  <c r="W8674" i="1"/>
  <c r="X8674" i="1"/>
  <c r="Y8674" i="1"/>
  <c r="Z8674" i="1"/>
  <c r="A8675" i="1"/>
  <c r="B8675" i="1"/>
  <c r="C8675" i="1"/>
  <c r="D8675" i="1"/>
  <c r="E8675" i="1"/>
  <c r="F8675" i="1"/>
  <c r="G8675" i="1"/>
  <c r="I8675" i="1"/>
  <c r="J8675" i="1"/>
  <c r="K8675" i="1"/>
  <c r="L8675" i="1"/>
  <c r="M8675" i="1"/>
  <c r="N8675" i="1"/>
  <c r="O8675" i="1"/>
  <c r="P8675" i="1"/>
  <c r="Q8675" i="1"/>
  <c r="R8675" i="1"/>
  <c r="S8675" i="1"/>
  <c r="T8675" i="1"/>
  <c r="U8675" i="1"/>
  <c r="V8675" i="1"/>
  <c r="W8675" i="1"/>
  <c r="X8675" i="1"/>
  <c r="Y8675" i="1"/>
  <c r="Z8675" i="1"/>
  <c r="A8676" i="1"/>
  <c r="B8676" i="1"/>
  <c r="C8676" i="1"/>
  <c r="D8676" i="1"/>
  <c r="E8676" i="1"/>
  <c r="F8676" i="1"/>
  <c r="G8676" i="1"/>
  <c r="I8676" i="1"/>
  <c r="J8676" i="1"/>
  <c r="K8676" i="1"/>
  <c r="L8676" i="1"/>
  <c r="M8676" i="1"/>
  <c r="N8676" i="1"/>
  <c r="O8676" i="1"/>
  <c r="P8676" i="1"/>
  <c r="Q8676" i="1"/>
  <c r="R8676" i="1"/>
  <c r="S8676" i="1"/>
  <c r="T8676" i="1"/>
  <c r="U8676" i="1"/>
  <c r="V8676" i="1"/>
  <c r="W8676" i="1"/>
  <c r="X8676" i="1"/>
  <c r="Y8676" i="1"/>
  <c r="Z8676" i="1"/>
  <c r="A8677" i="1"/>
  <c r="B8677" i="1"/>
  <c r="C8677" i="1"/>
  <c r="D8677" i="1"/>
  <c r="E8677" i="1"/>
  <c r="F8677" i="1"/>
  <c r="G8677" i="1"/>
  <c r="I8677" i="1"/>
  <c r="J8677" i="1"/>
  <c r="K8677" i="1"/>
  <c r="L8677" i="1"/>
  <c r="M8677" i="1"/>
  <c r="N8677" i="1"/>
  <c r="O8677" i="1"/>
  <c r="P8677" i="1"/>
  <c r="Q8677" i="1"/>
  <c r="R8677" i="1"/>
  <c r="S8677" i="1"/>
  <c r="T8677" i="1"/>
  <c r="U8677" i="1"/>
  <c r="V8677" i="1"/>
  <c r="W8677" i="1"/>
  <c r="X8677" i="1"/>
  <c r="Y8677" i="1"/>
  <c r="Z8677" i="1"/>
  <c r="A8678" i="1"/>
  <c r="B8678" i="1"/>
  <c r="C8678" i="1"/>
  <c r="D8678" i="1"/>
  <c r="E8678" i="1"/>
  <c r="F8678" i="1"/>
  <c r="G8678" i="1"/>
  <c r="I8678" i="1"/>
  <c r="J8678" i="1"/>
  <c r="K8678" i="1"/>
  <c r="L8678" i="1"/>
  <c r="M8678" i="1"/>
  <c r="N8678" i="1"/>
  <c r="O8678" i="1"/>
  <c r="P8678" i="1"/>
  <c r="Q8678" i="1"/>
  <c r="R8678" i="1"/>
  <c r="S8678" i="1"/>
  <c r="T8678" i="1"/>
  <c r="U8678" i="1"/>
  <c r="V8678" i="1"/>
  <c r="W8678" i="1"/>
  <c r="X8678" i="1"/>
  <c r="Y8678" i="1"/>
  <c r="Z8678" i="1"/>
  <c r="A8679" i="1"/>
  <c r="B8679" i="1"/>
  <c r="C8679" i="1"/>
  <c r="D8679" i="1"/>
  <c r="E8679" i="1"/>
  <c r="F8679" i="1"/>
  <c r="G8679" i="1"/>
  <c r="I8679" i="1"/>
  <c r="J8679" i="1"/>
  <c r="K8679" i="1"/>
  <c r="L8679" i="1"/>
  <c r="M8679" i="1"/>
  <c r="N8679" i="1"/>
  <c r="O8679" i="1"/>
  <c r="P8679" i="1"/>
  <c r="Q8679" i="1"/>
  <c r="R8679" i="1"/>
  <c r="S8679" i="1"/>
  <c r="T8679" i="1"/>
  <c r="U8679" i="1"/>
  <c r="V8679" i="1"/>
  <c r="W8679" i="1"/>
  <c r="X8679" i="1"/>
  <c r="Y8679" i="1"/>
  <c r="Z8679" i="1"/>
  <c r="A8680" i="1"/>
  <c r="B8680" i="1"/>
  <c r="C8680" i="1"/>
  <c r="D8680" i="1"/>
  <c r="E8680" i="1"/>
  <c r="F8680" i="1"/>
  <c r="G8680" i="1"/>
  <c r="I8680" i="1"/>
  <c r="J8680" i="1"/>
  <c r="K8680" i="1"/>
  <c r="L8680" i="1"/>
  <c r="M8680" i="1"/>
  <c r="N8680" i="1"/>
  <c r="O8680" i="1"/>
  <c r="P8680" i="1"/>
  <c r="Q8680" i="1"/>
  <c r="R8680" i="1"/>
  <c r="S8680" i="1"/>
  <c r="T8680" i="1"/>
  <c r="U8680" i="1"/>
  <c r="V8680" i="1"/>
  <c r="W8680" i="1"/>
  <c r="X8680" i="1"/>
  <c r="Y8680" i="1"/>
  <c r="Z8680" i="1"/>
  <c r="A8681" i="1"/>
  <c r="B8681" i="1"/>
  <c r="C8681" i="1"/>
  <c r="D8681" i="1"/>
  <c r="E8681" i="1"/>
  <c r="F8681" i="1"/>
  <c r="G8681" i="1"/>
  <c r="I8681" i="1"/>
  <c r="J8681" i="1"/>
  <c r="K8681" i="1"/>
  <c r="L8681" i="1"/>
  <c r="M8681" i="1"/>
  <c r="N8681" i="1"/>
  <c r="O8681" i="1"/>
  <c r="P8681" i="1"/>
  <c r="Q8681" i="1"/>
  <c r="R8681" i="1"/>
  <c r="S8681" i="1"/>
  <c r="T8681" i="1"/>
  <c r="U8681" i="1"/>
  <c r="V8681" i="1"/>
  <c r="W8681" i="1"/>
  <c r="X8681" i="1"/>
  <c r="Y8681" i="1"/>
  <c r="Z8681" i="1"/>
  <c r="A8682" i="1"/>
  <c r="B8682" i="1"/>
  <c r="C8682" i="1"/>
  <c r="D8682" i="1"/>
  <c r="E8682" i="1"/>
  <c r="F8682" i="1"/>
  <c r="G8682" i="1"/>
  <c r="I8682" i="1"/>
  <c r="J8682" i="1"/>
  <c r="K8682" i="1"/>
  <c r="L8682" i="1"/>
  <c r="M8682" i="1"/>
  <c r="N8682" i="1"/>
  <c r="O8682" i="1"/>
  <c r="P8682" i="1"/>
  <c r="Q8682" i="1"/>
  <c r="R8682" i="1"/>
  <c r="S8682" i="1"/>
  <c r="T8682" i="1"/>
  <c r="U8682" i="1"/>
  <c r="V8682" i="1"/>
  <c r="W8682" i="1"/>
  <c r="X8682" i="1"/>
  <c r="Y8682" i="1"/>
  <c r="Z8682" i="1"/>
  <c r="A8683" i="1"/>
  <c r="B8683" i="1"/>
  <c r="C8683" i="1"/>
  <c r="D8683" i="1"/>
  <c r="E8683" i="1"/>
  <c r="F8683" i="1"/>
  <c r="G8683" i="1"/>
  <c r="I8683" i="1"/>
  <c r="J8683" i="1"/>
  <c r="K8683" i="1"/>
  <c r="L8683" i="1"/>
  <c r="M8683" i="1"/>
  <c r="N8683" i="1"/>
  <c r="O8683" i="1"/>
  <c r="P8683" i="1"/>
  <c r="Q8683" i="1"/>
  <c r="R8683" i="1"/>
  <c r="S8683" i="1"/>
  <c r="T8683" i="1"/>
  <c r="U8683" i="1"/>
  <c r="V8683" i="1"/>
  <c r="W8683" i="1"/>
  <c r="X8683" i="1"/>
  <c r="Y8683" i="1"/>
  <c r="Z8683" i="1"/>
  <c r="A8684" i="1"/>
  <c r="B8684" i="1"/>
  <c r="C8684" i="1"/>
  <c r="D8684" i="1"/>
  <c r="E8684" i="1"/>
  <c r="F8684" i="1"/>
  <c r="G8684" i="1"/>
  <c r="I8684" i="1"/>
  <c r="J8684" i="1"/>
  <c r="K8684" i="1"/>
  <c r="L8684" i="1"/>
  <c r="M8684" i="1"/>
  <c r="N8684" i="1"/>
  <c r="O8684" i="1"/>
  <c r="P8684" i="1"/>
  <c r="Q8684" i="1"/>
  <c r="R8684" i="1"/>
  <c r="S8684" i="1"/>
  <c r="T8684" i="1"/>
  <c r="U8684" i="1"/>
  <c r="V8684" i="1"/>
  <c r="W8684" i="1"/>
  <c r="X8684" i="1"/>
  <c r="Y8684" i="1"/>
  <c r="Z8684" i="1"/>
  <c r="A8685" i="1"/>
  <c r="B8685" i="1"/>
  <c r="C8685" i="1"/>
  <c r="D8685" i="1"/>
  <c r="E8685" i="1"/>
  <c r="F8685" i="1"/>
  <c r="G8685" i="1"/>
  <c r="I8685" i="1"/>
  <c r="J8685" i="1"/>
  <c r="K8685" i="1"/>
  <c r="L8685" i="1"/>
  <c r="M8685" i="1"/>
  <c r="N8685" i="1"/>
  <c r="O8685" i="1"/>
  <c r="P8685" i="1"/>
  <c r="Q8685" i="1"/>
  <c r="R8685" i="1"/>
  <c r="S8685" i="1"/>
  <c r="T8685" i="1"/>
  <c r="U8685" i="1"/>
  <c r="V8685" i="1"/>
  <c r="W8685" i="1"/>
  <c r="X8685" i="1"/>
  <c r="Y8685" i="1"/>
  <c r="Z8685" i="1"/>
  <c r="A8686" i="1"/>
  <c r="B8686" i="1"/>
  <c r="C8686" i="1"/>
  <c r="D8686" i="1"/>
  <c r="E8686" i="1"/>
  <c r="F8686" i="1"/>
  <c r="G8686" i="1"/>
  <c r="I8686" i="1"/>
  <c r="J8686" i="1"/>
  <c r="K8686" i="1"/>
  <c r="L8686" i="1"/>
  <c r="M8686" i="1"/>
  <c r="N8686" i="1"/>
  <c r="O8686" i="1"/>
  <c r="P8686" i="1"/>
  <c r="Q8686" i="1"/>
  <c r="R8686" i="1"/>
  <c r="S8686" i="1"/>
  <c r="T8686" i="1"/>
  <c r="U8686" i="1"/>
  <c r="V8686" i="1"/>
  <c r="W8686" i="1"/>
  <c r="X8686" i="1"/>
  <c r="Y8686" i="1"/>
  <c r="Z8686" i="1"/>
  <c r="A8687" i="1"/>
  <c r="B8687" i="1"/>
  <c r="C8687" i="1"/>
  <c r="D8687" i="1"/>
  <c r="E8687" i="1"/>
  <c r="F8687" i="1"/>
  <c r="G8687" i="1"/>
  <c r="I8687" i="1"/>
  <c r="J8687" i="1"/>
  <c r="K8687" i="1"/>
  <c r="L8687" i="1"/>
  <c r="M8687" i="1"/>
  <c r="N8687" i="1"/>
  <c r="O8687" i="1"/>
  <c r="P8687" i="1"/>
  <c r="Q8687" i="1"/>
  <c r="R8687" i="1"/>
  <c r="S8687" i="1"/>
  <c r="T8687" i="1"/>
  <c r="U8687" i="1"/>
  <c r="V8687" i="1"/>
  <c r="W8687" i="1"/>
  <c r="X8687" i="1"/>
  <c r="Y8687" i="1"/>
  <c r="Z8687" i="1"/>
  <c r="A8688" i="1"/>
  <c r="B8688" i="1"/>
  <c r="C8688" i="1"/>
  <c r="D8688" i="1"/>
  <c r="E8688" i="1"/>
  <c r="F8688" i="1"/>
  <c r="G8688" i="1"/>
  <c r="I8688" i="1"/>
  <c r="J8688" i="1"/>
  <c r="K8688" i="1"/>
  <c r="L8688" i="1"/>
  <c r="M8688" i="1"/>
  <c r="N8688" i="1"/>
  <c r="O8688" i="1"/>
  <c r="P8688" i="1"/>
  <c r="Q8688" i="1"/>
  <c r="R8688" i="1"/>
  <c r="S8688" i="1"/>
  <c r="T8688" i="1"/>
  <c r="U8688" i="1"/>
  <c r="V8688" i="1"/>
  <c r="W8688" i="1"/>
  <c r="X8688" i="1"/>
  <c r="Y8688" i="1"/>
  <c r="Z8688" i="1"/>
  <c r="A8689" i="1"/>
  <c r="B8689" i="1"/>
  <c r="C8689" i="1"/>
  <c r="D8689" i="1"/>
  <c r="E8689" i="1"/>
  <c r="F8689" i="1"/>
  <c r="G8689" i="1"/>
  <c r="I8689" i="1"/>
  <c r="J8689" i="1"/>
  <c r="K8689" i="1"/>
  <c r="L8689" i="1"/>
  <c r="M8689" i="1"/>
  <c r="N8689" i="1"/>
  <c r="O8689" i="1"/>
  <c r="P8689" i="1"/>
  <c r="Q8689" i="1"/>
  <c r="R8689" i="1"/>
  <c r="S8689" i="1"/>
  <c r="T8689" i="1"/>
  <c r="U8689" i="1"/>
  <c r="V8689" i="1"/>
  <c r="W8689" i="1"/>
  <c r="X8689" i="1"/>
  <c r="Y8689" i="1"/>
  <c r="Z8689" i="1"/>
  <c r="A8690" i="1"/>
  <c r="B8690" i="1"/>
  <c r="C8690" i="1"/>
  <c r="D8690" i="1"/>
  <c r="E8690" i="1"/>
  <c r="F8690" i="1"/>
  <c r="G8690" i="1"/>
  <c r="I8690" i="1"/>
  <c r="J8690" i="1"/>
  <c r="K8690" i="1"/>
  <c r="L8690" i="1"/>
  <c r="M8690" i="1"/>
  <c r="N8690" i="1"/>
  <c r="O8690" i="1"/>
  <c r="P8690" i="1"/>
  <c r="Q8690" i="1"/>
  <c r="R8690" i="1"/>
  <c r="S8690" i="1"/>
  <c r="T8690" i="1"/>
  <c r="U8690" i="1"/>
  <c r="V8690" i="1"/>
  <c r="W8690" i="1"/>
  <c r="X8690" i="1"/>
  <c r="Y8690" i="1"/>
  <c r="Z8690" i="1"/>
  <c r="A8691" i="1"/>
  <c r="B8691" i="1"/>
  <c r="C8691" i="1"/>
  <c r="D8691" i="1"/>
  <c r="E8691" i="1"/>
  <c r="F8691" i="1"/>
  <c r="G8691" i="1"/>
  <c r="I8691" i="1"/>
  <c r="J8691" i="1"/>
  <c r="K8691" i="1"/>
  <c r="L8691" i="1"/>
  <c r="M8691" i="1"/>
  <c r="N8691" i="1"/>
  <c r="O8691" i="1"/>
  <c r="P8691" i="1"/>
  <c r="Q8691" i="1"/>
  <c r="R8691" i="1"/>
  <c r="S8691" i="1"/>
  <c r="T8691" i="1"/>
  <c r="U8691" i="1"/>
  <c r="V8691" i="1"/>
  <c r="W8691" i="1"/>
  <c r="X8691" i="1"/>
  <c r="Y8691" i="1"/>
  <c r="Z8691" i="1"/>
  <c r="A8692" i="1"/>
  <c r="B8692" i="1"/>
  <c r="C8692" i="1"/>
  <c r="D8692" i="1"/>
  <c r="E8692" i="1"/>
  <c r="F8692" i="1"/>
  <c r="G8692" i="1"/>
  <c r="I8692" i="1"/>
  <c r="J8692" i="1"/>
  <c r="K8692" i="1"/>
  <c r="L8692" i="1"/>
  <c r="M8692" i="1"/>
  <c r="N8692" i="1"/>
  <c r="O8692" i="1"/>
  <c r="P8692" i="1"/>
  <c r="Q8692" i="1"/>
  <c r="R8692" i="1"/>
  <c r="S8692" i="1"/>
  <c r="T8692" i="1"/>
  <c r="U8692" i="1"/>
  <c r="V8692" i="1"/>
  <c r="W8692" i="1"/>
  <c r="X8692" i="1"/>
  <c r="Y8692" i="1"/>
  <c r="Z8692" i="1"/>
  <c r="A8693" i="1"/>
  <c r="B8693" i="1"/>
  <c r="C8693" i="1"/>
  <c r="D8693" i="1"/>
  <c r="E8693" i="1"/>
  <c r="F8693" i="1"/>
  <c r="G8693" i="1"/>
  <c r="I8693" i="1"/>
  <c r="J8693" i="1"/>
  <c r="K8693" i="1"/>
  <c r="L8693" i="1"/>
  <c r="M8693" i="1"/>
  <c r="N8693" i="1"/>
  <c r="O8693" i="1"/>
  <c r="P8693" i="1"/>
  <c r="Q8693" i="1"/>
  <c r="R8693" i="1"/>
  <c r="S8693" i="1"/>
  <c r="T8693" i="1"/>
  <c r="U8693" i="1"/>
  <c r="V8693" i="1"/>
  <c r="W8693" i="1"/>
  <c r="X8693" i="1"/>
  <c r="Y8693" i="1"/>
  <c r="Z8693" i="1"/>
  <c r="A8694" i="1"/>
  <c r="B8694" i="1"/>
  <c r="C8694" i="1"/>
  <c r="D8694" i="1"/>
  <c r="E8694" i="1"/>
  <c r="F8694" i="1"/>
  <c r="G8694" i="1"/>
  <c r="I8694" i="1"/>
  <c r="J8694" i="1"/>
  <c r="K8694" i="1"/>
  <c r="L8694" i="1"/>
  <c r="M8694" i="1"/>
  <c r="N8694" i="1"/>
  <c r="O8694" i="1"/>
  <c r="P8694" i="1"/>
  <c r="Q8694" i="1"/>
  <c r="R8694" i="1"/>
  <c r="S8694" i="1"/>
  <c r="T8694" i="1"/>
  <c r="U8694" i="1"/>
  <c r="V8694" i="1"/>
  <c r="W8694" i="1"/>
  <c r="X8694" i="1"/>
  <c r="Y8694" i="1"/>
  <c r="Z8694" i="1"/>
  <c r="A8695" i="1"/>
  <c r="B8695" i="1"/>
  <c r="C8695" i="1"/>
  <c r="D8695" i="1"/>
  <c r="E8695" i="1"/>
  <c r="F8695" i="1"/>
  <c r="G8695" i="1"/>
  <c r="I8695" i="1"/>
  <c r="J8695" i="1"/>
  <c r="K8695" i="1"/>
  <c r="L8695" i="1"/>
  <c r="M8695" i="1"/>
  <c r="N8695" i="1"/>
  <c r="O8695" i="1"/>
  <c r="P8695" i="1"/>
  <c r="Q8695" i="1"/>
  <c r="R8695" i="1"/>
  <c r="S8695" i="1"/>
  <c r="T8695" i="1"/>
  <c r="U8695" i="1"/>
  <c r="V8695" i="1"/>
  <c r="W8695" i="1"/>
  <c r="X8695" i="1"/>
  <c r="Y8695" i="1"/>
  <c r="Z8695" i="1"/>
  <c r="A8696" i="1"/>
  <c r="B8696" i="1"/>
  <c r="C8696" i="1"/>
  <c r="D8696" i="1"/>
  <c r="E8696" i="1"/>
  <c r="F8696" i="1"/>
  <c r="G8696" i="1"/>
  <c r="I8696" i="1"/>
  <c r="J8696" i="1"/>
  <c r="K8696" i="1"/>
  <c r="L8696" i="1"/>
  <c r="M8696" i="1"/>
  <c r="N8696" i="1"/>
  <c r="O8696" i="1"/>
  <c r="P8696" i="1"/>
  <c r="Q8696" i="1"/>
  <c r="R8696" i="1"/>
  <c r="S8696" i="1"/>
  <c r="T8696" i="1"/>
  <c r="U8696" i="1"/>
  <c r="V8696" i="1"/>
  <c r="W8696" i="1"/>
  <c r="X8696" i="1"/>
  <c r="Y8696" i="1"/>
  <c r="Z8696" i="1"/>
  <c r="A8697" i="1"/>
  <c r="B8697" i="1"/>
  <c r="C8697" i="1"/>
  <c r="D8697" i="1"/>
  <c r="E8697" i="1"/>
  <c r="F8697" i="1"/>
  <c r="G8697" i="1"/>
  <c r="I8697" i="1"/>
  <c r="J8697" i="1"/>
  <c r="K8697" i="1"/>
  <c r="L8697" i="1"/>
  <c r="M8697" i="1"/>
  <c r="N8697" i="1"/>
  <c r="O8697" i="1"/>
  <c r="P8697" i="1"/>
  <c r="Q8697" i="1"/>
  <c r="R8697" i="1"/>
  <c r="S8697" i="1"/>
  <c r="T8697" i="1"/>
  <c r="U8697" i="1"/>
  <c r="V8697" i="1"/>
  <c r="W8697" i="1"/>
  <c r="X8697" i="1"/>
  <c r="Y8697" i="1"/>
  <c r="Z8697" i="1"/>
  <c r="A8698" i="1"/>
  <c r="B8698" i="1"/>
  <c r="C8698" i="1"/>
  <c r="D8698" i="1"/>
  <c r="E8698" i="1"/>
  <c r="F8698" i="1"/>
  <c r="G8698" i="1"/>
  <c r="I8698" i="1"/>
  <c r="J8698" i="1"/>
  <c r="K8698" i="1"/>
  <c r="L8698" i="1"/>
  <c r="M8698" i="1"/>
  <c r="N8698" i="1"/>
  <c r="O8698" i="1"/>
  <c r="P8698" i="1"/>
  <c r="Q8698" i="1"/>
  <c r="R8698" i="1"/>
  <c r="S8698" i="1"/>
  <c r="T8698" i="1"/>
  <c r="U8698" i="1"/>
  <c r="V8698" i="1"/>
  <c r="W8698" i="1"/>
  <c r="X8698" i="1"/>
  <c r="Y8698" i="1"/>
  <c r="Z8698" i="1"/>
  <c r="A8699" i="1"/>
  <c r="B8699" i="1"/>
  <c r="C8699" i="1"/>
  <c r="D8699" i="1"/>
  <c r="E8699" i="1"/>
  <c r="F8699" i="1"/>
  <c r="G8699" i="1"/>
  <c r="I8699" i="1"/>
  <c r="J8699" i="1"/>
  <c r="K8699" i="1"/>
  <c r="L8699" i="1"/>
  <c r="M8699" i="1"/>
  <c r="N8699" i="1"/>
  <c r="O8699" i="1"/>
  <c r="P8699" i="1"/>
  <c r="Q8699" i="1"/>
  <c r="R8699" i="1"/>
  <c r="S8699" i="1"/>
  <c r="T8699" i="1"/>
  <c r="U8699" i="1"/>
  <c r="V8699" i="1"/>
  <c r="W8699" i="1"/>
  <c r="X8699" i="1"/>
  <c r="Y8699" i="1"/>
  <c r="Z8699" i="1"/>
  <c r="A8700" i="1"/>
  <c r="B8700" i="1"/>
  <c r="C8700" i="1"/>
  <c r="D8700" i="1"/>
  <c r="E8700" i="1"/>
  <c r="F8700" i="1"/>
  <c r="G8700" i="1"/>
  <c r="I8700" i="1"/>
  <c r="J8700" i="1"/>
  <c r="K8700" i="1"/>
  <c r="L8700" i="1"/>
  <c r="M8700" i="1"/>
  <c r="N8700" i="1"/>
  <c r="O8700" i="1"/>
  <c r="P8700" i="1"/>
  <c r="Q8700" i="1"/>
  <c r="R8700" i="1"/>
  <c r="S8700" i="1"/>
  <c r="T8700" i="1"/>
  <c r="U8700" i="1"/>
  <c r="V8700" i="1"/>
  <c r="W8700" i="1"/>
  <c r="X8700" i="1"/>
  <c r="Y8700" i="1"/>
  <c r="Z8700" i="1"/>
  <c r="A8701" i="1"/>
  <c r="B8701" i="1"/>
  <c r="C8701" i="1"/>
  <c r="D8701" i="1"/>
  <c r="E8701" i="1"/>
  <c r="F8701" i="1"/>
  <c r="G8701" i="1"/>
  <c r="I8701" i="1"/>
  <c r="J8701" i="1"/>
  <c r="K8701" i="1"/>
  <c r="L8701" i="1"/>
  <c r="M8701" i="1"/>
  <c r="N8701" i="1"/>
  <c r="O8701" i="1"/>
  <c r="P8701" i="1"/>
  <c r="Q8701" i="1"/>
  <c r="R8701" i="1"/>
  <c r="S8701" i="1"/>
  <c r="T8701" i="1"/>
  <c r="U8701" i="1"/>
  <c r="V8701" i="1"/>
  <c r="W8701" i="1"/>
  <c r="X8701" i="1"/>
  <c r="Y8701" i="1"/>
  <c r="Z8701" i="1"/>
  <c r="A8702" i="1"/>
  <c r="B8702" i="1"/>
  <c r="C8702" i="1"/>
  <c r="D8702" i="1"/>
  <c r="E8702" i="1"/>
  <c r="F8702" i="1"/>
  <c r="G8702" i="1"/>
  <c r="I8702" i="1"/>
  <c r="J8702" i="1"/>
  <c r="K8702" i="1"/>
  <c r="L8702" i="1"/>
  <c r="M8702" i="1"/>
  <c r="N8702" i="1"/>
  <c r="O8702" i="1"/>
  <c r="P8702" i="1"/>
  <c r="Q8702" i="1"/>
  <c r="R8702" i="1"/>
  <c r="S8702" i="1"/>
  <c r="T8702" i="1"/>
  <c r="U8702" i="1"/>
  <c r="V8702" i="1"/>
  <c r="W8702" i="1"/>
  <c r="X8702" i="1"/>
  <c r="Y8702" i="1"/>
  <c r="Z8702" i="1"/>
  <c r="A8703" i="1"/>
  <c r="B8703" i="1"/>
  <c r="C8703" i="1"/>
  <c r="D8703" i="1"/>
  <c r="E8703" i="1"/>
  <c r="F8703" i="1"/>
  <c r="G8703" i="1"/>
  <c r="I8703" i="1"/>
  <c r="J8703" i="1"/>
  <c r="K8703" i="1"/>
  <c r="L8703" i="1"/>
  <c r="M8703" i="1"/>
  <c r="N8703" i="1"/>
  <c r="O8703" i="1"/>
  <c r="P8703" i="1"/>
  <c r="Q8703" i="1"/>
  <c r="R8703" i="1"/>
  <c r="S8703" i="1"/>
  <c r="T8703" i="1"/>
  <c r="U8703" i="1"/>
  <c r="V8703" i="1"/>
  <c r="W8703" i="1"/>
  <c r="X8703" i="1"/>
  <c r="Y8703" i="1"/>
  <c r="Z8703" i="1"/>
  <c r="A8704" i="1"/>
  <c r="B8704" i="1"/>
  <c r="C8704" i="1"/>
  <c r="D8704" i="1"/>
  <c r="E8704" i="1"/>
  <c r="F8704" i="1"/>
  <c r="G8704" i="1"/>
  <c r="I8704" i="1"/>
  <c r="J8704" i="1"/>
  <c r="K8704" i="1"/>
  <c r="L8704" i="1"/>
  <c r="M8704" i="1"/>
  <c r="N8704" i="1"/>
  <c r="O8704" i="1"/>
  <c r="P8704" i="1"/>
  <c r="Q8704" i="1"/>
  <c r="R8704" i="1"/>
  <c r="S8704" i="1"/>
  <c r="T8704" i="1"/>
  <c r="U8704" i="1"/>
  <c r="V8704" i="1"/>
  <c r="W8704" i="1"/>
  <c r="X8704" i="1"/>
  <c r="Y8704" i="1"/>
  <c r="Z8704" i="1"/>
  <c r="A8705" i="1"/>
  <c r="B8705" i="1"/>
  <c r="C8705" i="1"/>
  <c r="D8705" i="1"/>
  <c r="E8705" i="1"/>
  <c r="F8705" i="1"/>
  <c r="G8705" i="1"/>
  <c r="I8705" i="1"/>
  <c r="J8705" i="1"/>
  <c r="K8705" i="1"/>
  <c r="L8705" i="1"/>
  <c r="M8705" i="1"/>
  <c r="N8705" i="1"/>
  <c r="O8705" i="1"/>
  <c r="P8705" i="1"/>
  <c r="Q8705" i="1"/>
  <c r="R8705" i="1"/>
  <c r="S8705" i="1"/>
  <c r="T8705" i="1"/>
  <c r="U8705" i="1"/>
  <c r="V8705" i="1"/>
  <c r="W8705" i="1"/>
  <c r="X8705" i="1"/>
  <c r="Y8705" i="1"/>
  <c r="Z8705" i="1"/>
  <c r="A8706" i="1"/>
  <c r="B8706" i="1"/>
  <c r="C8706" i="1"/>
  <c r="D8706" i="1"/>
  <c r="E8706" i="1"/>
  <c r="F8706" i="1"/>
  <c r="G8706" i="1"/>
  <c r="I8706" i="1"/>
  <c r="J8706" i="1"/>
  <c r="K8706" i="1"/>
  <c r="L8706" i="1"/>
  <c r="M8706" i="1"/>
  <c r="N8706" i="1"/>
  <c r="O8706" i="1"/>
  <c r="P8706" i="1"/>
  <c r="Q8706" i="1"/>
  <c r="R8706" i="1"/>
  <c r="S8706" i="1"/>
  <c r="T8706" i="1"/>
  <c r="U8706" i="1"/>
  <c r="V8706" i="1"/>
  <c r="W8706" i="1"/>
  <c r="X8706" i="1"/>
  <c r="Y8706" i="1"/>
  <c r="Z8706" i="1"/>
  <c r="A8707" i="1"/>
  <c r="B8707" i="1"/>
  <c r="C8707" i="1"/>
  <c r="D8707" i="1"/>
  <c r="E8707" i="1"/>
  <c r="F8707" i="1"/>
  <c r="G8707" i="1"/>
  <c r="I8707" i="1"/>
  <c r="J8707" i="1"/>
  <c r="K8707" i="1"/>
  <c r="L8707" i="1"/>
  <c r="M8707" i="1"/>
  <c r="N8707" i="1"/>
  <c r="O8707" i="1"/>
  <c r="P8707" i="1"/>
  <c r="Q8707" i="1"/>
  <c r="R8707" i="1"/>
  <c r="S8707" i="1"/>
  <c r="T8707" i="1"/>
  <c r="U8707" i="1"/>
  <c r="V8707" i="1"/>
  <c r="W8707" i="1"/>
  <c r="X8707" i="1"/>
  <c r="Y8707" i="1"/>
  <c r="Z8707" i="1"/>
  <c r="A8708" i="1"/>
  <c r="B8708" i="1"/>
  <c r="C8708" i="1"/>
  <c r="D8708" i="1"/>
  <c r="E8708" i="1"/>
  <c r="F8708" i="1"/>
  <c r="G8708" i="1"/>
  <c r="I8708" i="1"/>
  <c r="J8708" i="1"/>
  <c r="K8708" i="1"/>
  <c r="L8708" i="1"/>
  <c r="M8708" i="1"/>
  <c r="N8708" i="1"/>
  <c r="O8708" i="1"/>
  <c r="P8708" i="1"/>
  <c r="Q8708" i="1"/>
  <c r="R8708" i="1"/>
  <c r="S8708" i="1"/>
  <c r="T8708" i="1"/>
  <c r="U8708" i="1"/>
  <c r="V8708" i="1"/>
  <c r="W8708" i="1"/>
  <c r="X8708" i="1"/>
  <c r="Y8708" i="1"/>
  <c r="Z8708" i="1"/>
  <c r="A8709" i="1"/>
  <c r="B8709" i="1"/>
  <c r="C8709" i="1"/>
  <c r="D8709" i="1"/>
  <c r="E8709" i="1"/>
  <c r="F8709" i="1"/>
  <c r="G8709" i="1"/>
  <c r="I8709" i="1"/>
  <c r="J8709" i="1"/>
  <c r="K8709" i="1"/>
  <c r="L8709" i="1"/>
  <c r="M8709" i="1"/>
  <c r="N8709" i="1"/>
  <c r="O8709" i="1"/>
  <c r="P8709" i="1"/>
  <c r="Q8709" i="1"/>
  <c r="R8709" i="1"/>
  <c r="S8709" i="1"/>
  <c r="T8709" i="1"/>
  <c r="U8709" i="1"/>
  <c r="V8709" i="1"/>
  <c r="W8709" i="1"/>
  <c r="X8709" i="1"/>
  <c r="Y8709" i="1"/>
  <c r="Z8709" i="1"/>
  <c r="A8710" i="1"/>
  <c r="B8710" i="1"/>
  <c r="C8710" i="1"/>
  <c r="D8710" i="1"/>
  <c r="E8710" i="1"/>
  <c r="F8710" i="1"/>
  <c r="G8710" i="1"/>
  <c r="I8710" i="1"/>
  <c r="J8710" i="1"/>
  <c r="K8710" i="1"/>
  <c r="L8710" i="1"/>
  <c r="M8710" i="1"/>
  <c r="N8710" i="1"/>
  <c r="O8710" i="1"/>
  <c r="P8710" i="1"/>
  <c r="Q8710" i="1"/>
  <c r="R8710" i="1"/>
  <c r="S8710" i="1"/>
  <c r="T8710" i="1"/>
  <c r="U8710" i="1"/>
  <c r="V8710" i="1"/>
  <c r="W8710" i="1"/>
  <c r="X8710" i="1"/>
  <c r="Y8710" i="1"/>
  <c r="Z8710" i="1"/>
  <c r="A8711" i="1"/>
  <c r="B8711" i="1"/>
  <c r="C8711" i="1"/>
  <c r="D8711" i="1"/>
  <c r="E8711" i="1"/>
  <c r="F8711" i="1"/>
  <c r="G8711" i="1"/>
  <c r="I8711" i="1"/>
  <c r="J8711" i="1"/>
  <c r="K8711" i="1"/>
  <c r="L8711" i="1"/>
  <c r="M8711" i="1"/>
  <c r="N8711" i="1"/>
  <c r="O8711" i="1"/>
  <c r="P8711" i="1"/>
  <c r="Q8711" i="1"/>
  <c r="R8711" i="1"/>
  <c r="S8711" i="1"/>
  <c r="T8711" i="1"/>
  <c r="U8711" i="1"/>
  <c r="V8711" i="1"/>
  <c r="W8711" i="1"/>
  <c r="X8711" i="1"/>
  <c r="Y8711" i="1"/>
  <c r="Z8711" i="1"/>
  <c r="A8712" i="1"/>
  <c r="B8712" i="1"/>
  <c r="C8712" i="1"/>
  <c r="D8712" i="1"/>
  <c r="E8712" i="1"/>
  <c r="F8712" i="1"/>
  <c r="G8712" i="1"/>
  <c r="I8712" i="1"/>
  <c r="J8712" i="1"/>
  <c r="K8712" i="1"/>
  <c r="L8712" i="1"/>
  <c r="M8712" i="1"/>
  <c r="N8712" i="1"/>
  <c r="O8712" i="1"/>
  <c r="P8712" i="1"/>
  <c r="Q8712" i="1"/>
  <c r="R8712" i="1"/>
  <c r="S8712" i="1"/>
  <c r="T8712" i="1"/>
  <c r="U8712" i="1"/>
  <c r="V8712" i="1"/>
  <c r="W8712" i="1"/>
  <c r="X8712" i="1"/>
  <c r="Y8712" i="1"/>
  <c r="Z8712" i="1"/>
  <c r="A8713" i="1"/>
  <c r="B8713" i="1"/>
  <c r="C8713" i="1"/>
  <c r="D8713" i="1"/>
  <c r="E8713" i="1"/>
  <c r="F8713" i="1"/>
  <c r="G8713" i="1"/>
  <c r="I8713" i="1"/>
  <c r="J8713" i="1"/>
  <c r="K8713" i="1"/>
  <c r="L8713" i="1"/>
  <c r="M8713" i="1"/>
  <c r="N8713" i="1"/>
  <c r="O8713" i="1"/>
  <c r="P8713" i="1"/>
  <c r="Q8713" i="1"/>
  <c r="R8713" i="1"/>
  <c r="S8713" i="1"/>
  <c r="T8713" i="1"/>
  <c r="U8713" i="1"/>
  <c r="V8713" i="1"/>
  <c r="W8713" i="1"/>
  <c r="X8713" i="1"/>
  <c r="Y8713" i="1"/>
  <c r="Z8713" i="1"/>
  <c r="A8714" i="1"/>
  <c r="B8714" i="1"/>
  <c r="C8714" i="1"/>
  <c r="D8714" i="1"/>
  <c r="E8714" i="1"/>
  <c r="F8714" i="1"/>
  <c r="G8714" i="1"/>
  <c r="I8714" i="1"/>
  <c r="J8714" i="1"/>
  <c r="K8714" i="1"/>
  <c r="L8714" i="1"/>
  <c r="M8714" i="1"/>
  <c r="N8714" i="1"/>
  <c r="O8714" i="1"/>
  <c r="P8714" i="1"/>
  <c r="Q8714" i="1"/>
  <c r="R8714" i="1"/>
  <c r="S8714" i="1"/>
  <c r="T8714" i="1"/>
  <c r="U8714" i="1"/>
  <c r="V8714" i="1"/>
  <c r="W8714" i="1"/>
  <c r="X8714" i="1"/>
  <c r="Y8714" i="1"/>
  <c r="Z8714" i="1"/>
  <c r="A8715" i="1"/>
  <c r="B8715" i="1"/>
  <c r="C8715" i="1"/>
  <c r="D8715" i="1"/>
  <c r="E8715" i="1"/>
  <c r="F8715" i="1"/>
  <c r="G8715" i="1"/>
  <c r="I8715" i="1"/>
  <c r="J8715" i="1"/>
  <c r="K8715" i="1"/>
  <c r="L8715" i="1"/>
  <c r="M8715" i="1"/>
  <c r="N8715" i="1"/>
  <c r="O8715" i="1"/>
  <c r="P8715" i="1"/>
  <c r="Q8715" i="1"/>
  <c r="R8715" i="1"/>
  <c r="S8715" i="1"/>
  <c r="T8715" i="1"/>
  <c r="U8715" i="1"/>
  <c r="V8715" i="1"/>
  <c r="W8715" i="1"/>
  <c r="X8715" i="1"/>
  <c r="Y8715" i="1"/>
  <c r="Z8715" i="1"/>
  <c r="A8716" i="1"/>
  <c r="B8716" i="1"/>
  <c r="C8716" i="1"/>
  <c r="D8716" i="1"/>
  <c r="E8716" i="1"/>
  <c r="F8716" i="1"/>
  <c r="G8716" i="1"/>
  <c r="I8716" i="1"/>
  <c r="J8716" i="1"/>
  <c r="K8716" i="1"/>
  <c r="L8716" i="1"/>
  <c r="M8716" i="1"/>
  <c r="N8716" i="1"/>
  <c r="O8716" i="1"/>
  <c r="P8716" i="1"/>
  <c r="Q8716" i="1"/>
  <c r="R8716" i="1"/>
  <c r="S8716" i="1"/>
  <c r="T8716" i="1"/>
  <c r="U8716" i="1"/>
  <c r="V8716" i="1"/>
  <c r="W8716" i="1"/>
  <c r="X8716" i="1"/>
  <c r="Y8716" i="1"/>
  <c r="Z8716" i="1"/>
  <c r="A8717" i="1"/>
  <c r="B8717" i="1"/>
  <c r="C8717" i="1"/>
  <c r="D8717" i="1"/>
  <c r="E8717" i="1"/>
  <c r="F8717" i="1"/>
  <c r="G8717" i="1"/>
  <c r="I8717" i="1"/>
  <c r="J8717" i="1"/>
  <c r="K8717" i="1"/>
  <c r="L8717" i="1"/>
  <c r="M8717" i="1"/>
  <c r="N8717" i="1"/>
  <c r="O8717" i="1"/>
  <c r="P8717" i="1"/>
  <c r="Q8717" i="1"/>
  <c r="R8717" i="1"/>
  <c r="S8717" i="1"/>
  <c r="T8717" i="1"/>
  <c r="U8717" i="1"/>
  <c r="V8717" i="1"/>
  <c r="W8717" i="1"/>
  <c r="X8717" i="1"/>
  <c r="Y8717" i="1"/>
  <c r="Z8717" i="1"/>
  <c r="A8718" i="1"/>
  <c r="B8718" i="1"/>
  <c r="C8718" i="1"/>
  <c r="D8718" i="1"/>
  <c r="E8718" i="1"/>
  <c r="F8718" i="1"/>
  <c r="G8718" i="1"/>
  <c r="I8718" i="1"/>
  <c r="J8718" i="1"/>
  <c r="K8718" i="1"/>
  <c r="L8718" i="1"/>
  <c r="M8718" i="1"/>
  <c r="N8718" i="1"/>
  <c r="O8718" i="1"/>
  <c r="P8718" i="1"/>
  <c r="Q8718" i="1"/>
  <c r="R8718" i="1"/>
  <c r="S8718" i="1"/>
  <c r="T8718" i="1"/>
  <c r="U8718" i="1"/>
  <c r="V8718" i="1"/>
  <c r="W8718" i="1"/>
  <c r="X8718" i="1"/>
  <c r="Y8718" i="1"/>
  <c r="Z8718" i="1"/>
  <c r="A8719" i="1"/>
  <c r="B8719" i="1"/>
  <c r="C8719" i="1"/>
  <c r="D8719" i="1"/>
  <c r="E8719" i="1"/>
  <c r="F8719" i="1"/>
  <c r="G8719" i="1"/>
  <c r="I8719" i="1"/>
  <c r="J8719" i="1"/>
  <c r="K8719" i="1"/>
  <c r="L8719" i="1"/>
  <c r="M8719" i="1"/>
  <c r="N8719" i="1"/>
  <c r="O8719" i="1"/>
  <c r="P8719" i="1"/>
  <c r="Q8719" i="1"/>
  <c r="R8719" i="1"/>
  <c r="S8719" i="1"/>
  <c r="T8719" i="1"/>
  <c r="U8719" i="1"/>
  <c r="V8719" i="1"/>
  <c r="W8719" i="1"/>
  <c r="X8719" i="1"/>
  <c r="Y8719" i="1"/>
  <c r="Z8719" i="1"/>
  <c r="A8720" i="1"/>
  <c r="B8720" i="1"/>
  <c r="C8720" i="1"/>
  <c r="D8720" i="1"/>
  <c r="E8720" i="1"/>
  <c r="F8720" i="1"/>
  <c r="G8720" i="1"/>
  <c r="I8720" i="1"/>
  <c r="J8720" i="1"/>
  <c r="K8720" i="1"/>
  <c r="L8720" i="1"/>
  <c r="M8720" i="1"/>
  <c r="N8720" i="1"/>
  <c r="O8720" i="1"/>
  <c r="P8720" i="1"/>
  <c r="Q8720" i="1"/>
  <c r="R8720" i="1"/>
  <c r="S8720" i="1"/>
  <c r="T8720" i="1"/>
  <c r="U8720" i="1"/>
  <c r="V8720" i="1"/>
  <c r="W8720" i="1"/>
  <c r="X8720" i="1"/>
  <c r="Y8720" i="1"/>
  <c r="Z8720" i="1"/>
  <c r="A8721" i="1"/>
  <c r="B8721" i="1"/>
  <c r="C8721" i="1"/>
  <c r="D8721" i="1"/>
  <c r="E8721" i="1"/>
  <c r="F8721" i="1"/>
  <c r="G8721" i="1"/>
  <c r="I8721" i="1"/>
  <c r="J8721" i="1"/>
  <c r="K8721" i="1"/>
  <c r="L8721" i="1"/>
  <c r="M8721" i="1"/>
  <c r="N8721" i="1"/>
  <c r="O8721" i="1"/>
  <c r="P8721" i="1"/>
  <c r="Q8721" i="1"/>
  <c r="R8721" i="1"/>
  <c r="S8721" i="1"/>
  <c r="T8721" i="1"/>
  <c r="U8721" i="1"/>
  <c r="V8721" i="1"/>
  <c r="W8721" i="1"/>
  <c r="X8721" i="1"/>
  <c r="Y8721" i="1"/>
  <c r="Z8721" i="1"/>
  <c r="A8722" i="1"/>
  <c r="B8722" i="1"/>
  <c r="C8722" i="1"/>
  <c r="D8722" i="1"/>
  <c r="E8722" i="1"/>
  <c r="F8722" i="1"/>
  <c r="G8722" i="1"/>
  <c r="I8722" i="1"/>
  <c r="J8722" i="1"/>
  <c r="K8722" i="1"/>
  <c r="L8722" i="1"/>
  <c r="M8722" i="1"/>
  <c r="N8722" i="1"/>
  <c r="O8722" i="1"/>
  <c r="P8722" i="1"/>
  <c r="Q8722" i="1"/>
  <c r="R8722" i="1"/>
  <c r="S8722" i="1"/>
  <c r="T8722" i="1"/>
  <c r="U8722" i="1"/>
  <c r="V8722" i="1"/>
  <c r="W8722" i="1"/>
  <c r="X8722" i="1"/>
  <c r="Y8722" i="1"/>
  <c r="Z8722" i="1"/>
  <c r="A8723" i="1"/>
  <c r="B8723" i="1"/>
  <c r="C8723" i="1"/>
  <c r="D8723" i="1"/>
  <c r="E8723" i="1"/>
  <c r="F8723" i="1"/>
  <c r="G8723" i="1"/>
  <c r="I8723" i="1"/>
  <c r="J8723" i="1"/>
  <c r="K8723" i="1"/>
  <c r="L8723" i="1"/>
  <c r="M8723" i="1"/>
  <c r="N8723" i="1"/>
  <c r="O8723" i="1"/>
  <c r="P8723" i="1"/>
  <c r="Q8723" i="1"/>
  <c r="R8723" i="1"/>
  <c r="S8723" i="1"/>
  <c r="T8723" i="1"/>
  <c r="U8723" i="1"/>
  <c r="V8723" i="1"/>
  <c r="W8723" i="1"/>
  <c r="X8723" i="1"/>
  <c r="Y8723" i="1"/>
  <c r="Z8723" i="1"/>
  <c r="A8724" i="1"/>
  <c r="B8724" i="1"/>
  <c r="C8724" i="1"/>
  <c r="D8724" i="1"/>
  <c r="E8724" i="1"/>
  <c r="F8724" i="1"/>
  <c r="G8724" i="1"/>
  <c r="I8724" i="1"/>
  <c r="J8724" i="1"/>
  <c r="K8724" i="1"/>
  <c r="L8724" i="1"/>
  <c r="M8724" i="1"/>
  <c r="N8724" i="1"/>
  <c r="O8724" i="1"/>
  <c r="P8724" i="1"/>
  <c r="Q8724" i="1"/>
  <c r="R8724" i="1"/>
  <c r="S8724" i="1"/>
  <c r="T8724" i="1"/>
  <c r="U8724" i="1"/>
  <c r="V8724" i="1"/>
  <c r="W8724" i="1"/>
  <c r="X8724" i="1"/>
  <c r="Y8724" i="1"/>
  <c r="Z8724" i="1"/>
  <c r="A8725" i="1"/>
  <c r="B8725" i="1"/>
  <c r="C8725" i="1"/>
  <c r="D8725" i="1"/>
  <c r="E8725" i="1"/>
  <c r="F8725" i="1"/>
  <c r="G8725" i="1"/>
  <c r="I8725" i="1"/>
  <c r="J8725" i="1"/>
  <c r="K8725" i="1"/>
  <c r="L8725" i="1"/>
  <c r="M8725" i="1"/>
  <c r="N8725" i="1"/>
  <c r="O8725" i="1"/>
  <c r="P8725" i="1"/>
  <c r="Q8725" i="1"/>
  <c r="R8725" i="1"/>
  <c r="S8725" i="1"/>
  <c r="T8725" i="1"/>
  <c r="U8725" i="1"/>
  <c r="V8725" i="1"/>
  <c r="W8725" i="1"/>
  <c r="X8725" i="1"/>
  <c r="Y8725" i="1"/>
  <c r="Z8725" i="1"/>
  <c r="A8726" i="1"/>
  <c r="B8726" i="1"/>
  <c r="C8726" i="1"/>
  <c r="D8726" i="1"/>
  <c r="E8726" i="1"/>
  <c r="F8726" i="1"/>
  <c r="G8726" i="1"/>
  <c r="I8726" i="1"/>
  <c r="J8726" i="1"/>
  <c r="K8726" i="1"/>
  <c r="L8726" i="1"/>
  <c r="M8726" i="1"/>
  <c r="N8726" i="1"/>
  <c r="O8726" i="1"/>
  <c r="P8726" i="1"/>
  <c r="Q8726" i="1"/>
  <c r="R8726" i="1"/>
  <c r="S8726" i="1"/>
  <c r="T8726" i="1"/>
  <c r="U8726" i="1"/>
  <c r="V8726" i="1"/>
  <c r="W8726" i="1"/>
  <c r="X8726" i="1"/>
  <c r="Y8726" i="1"/>
  <c r="Z8726" i="1"/>
  <c r="A8727" i="1"/>
  <c r="B8727" i="1"/>
  <c r="C8727" i="1"/>
  <c r="D8727" i="1"/>
  <c r="E8727" i="1"/>
  <c r="F8727" i="1"/>
  <c r="G8727" i="1"/>
  <c r="I8727" i="1"/>
  <c r="J8727" i="1"/>
  <c r="K8727" i="1"/>
  <c r="L8727" i="1"/>
  <c r="M8727" i="1"/>
  <c r="N8727" i="1"/>
  <c r="O8727" i="1"/>
  <c r="P8727" i="1"/>
  <c r="Q8727" i="1"/>
  <c r="R8727" i="1"/>
  <c r="S8727" i="1"/>
  <c r="T8727" i="1"/>
  <c r="U8727" i="1"/>
  <c r="V8727" i="1"/>
  <c r="W8727" i="1"/>
  <c r="X8727" i="1"/>
  <c r="Y8727" i="1"/>
  <c r="Z8727" i="1"/>
  <c r="A8728" i="1"/>
  <c r="B8728" i="1"/>
  <c r="C8728" i="1"/>
  <c r="D8728" i="1"/>
  <c r="E8728" i="1"/>
  <c r="F8728" i="1"/>
  <c r="G8728" i="1"/>
  <c r="I8728" i="1"/>
  <c r="J8728" i="1"/>
  <c r="K8728" i="1"/>
  <c r="L8728" i="1"/>
  <c r="M8728" i="1"/>
  <c r="N8728" i="1"/>
  <c r="O8728" i="1"/>
  <c r="P8728" i="1"/>
  <c r="Q8728" i="1"/>
  <c r="R8728" i="1"/>
  <c r="S8728" i="1"/>
  <c r="T8728" i="1"/>
  <c r="U8728" i="1"/>
  <c r="V8728" i="1"/>
  <c r="W8728" i="1"/>
  <c r="X8728" i="1"/>
  <c r="Y8728" i="1"/>
  <c r="Z8728" i="1"/>
  <c r="A8729" i="1"/>
  <c r="B8729" i="1"/>
  <c r="C8729" i="1"/>
  <c r="D8729" i="1"/>
  <c r="E8729" i="1"/>
  <c r="F8729" i="1"/>
  <c r="G8729" i="1"/>
  <c r="I8729" i="1"/>
  <c r="J8729" i="1"/>
  <c r="K8729" i="1"/>
  <c r="L8729" i="1"/>
  <c r="M8729" i="1"/>
  <c r="N8729" i="1"/>
  <c r="O8729" i="1"/>
  <c r="P8729" i="1"/>
  <c r="Q8729" i="1"/>
  <c r="R8729" i="1"/>
  <c r="S8729" i="1"/>
  <c r="T8729" i="1"/>
  <c r="U8729" i="1"/>
  <c r="V8729" i="1"/>
  <c r="W8729" i="1"/>
  <c r="X8729" i="1"/>
  <c r="Y8729" i="1"/>
  <c r="Z8729" i="1"/>
  <c r="A8730" i="1"/>
  <c r="B8730" i="1"/>
  <c r="C8730" i="1"/>
  <c r="D8730" i="1"/>
  <c r="E8730" i="1"/>
  <c r="F8730" i="1"/>
  <c r="G8730" i="1"/>
  <c r="I8730" i="1"/>
  <c r="J8730" i="1"/>
  <c r="K8730" i="1"/>
  <c r="L8730" i="1"/>
  <c r="M8730" i="1"/>
  <c r="N8730" i="1"/>
  <c r="O8730" i="1"/>
  <c r="P8730" i="1"/>
  <c r="Q8730" i="1"/>
  <c r="R8730" i="1"/>
  <c r="S8730" i="1"/>
  <c r="T8730" i="1"/>
  <c r="U8730" i="1"/>
  <c r="V8730" i="1"/>
  <c r="W8730" i="1"/>
  <c r="X8730" i="1"/>
  <c r="Y8730" i="1"/>
  <c r="Z8730" i="1"/>
  <c r="A8731" i="1"/>
  <c r="B8731" i="1"/>
  <c r="C8731" i="1"/>
  <c r="D8731" i="1"/>
  <c r="E8731" i="1"/>
  <c r="F8731" i="1"/>
  <c r="G8731" i="1"/>
  <c r="I8731" i="1"/>
  <c r="J8731" i="1"/>
  <c r="K8731" i="1"/>
  <c r="L8731" i="1"/>
  <c r="M8731" i="1"/>
  <c r="N8731" i="1"/>
  <c r="O8731" i="1"/>
  <c r="P8731" i="1"/>
  <c r="Q8731" i="1"/>
  <c r="R8731" i="1"/>
  <c r="S8731" i="1"/>
  <c r="T8731" i="1"/>
  <c r="U8731" i="1"/>
  <c r="V8731" i="1"/>
  <c r="W8731" i="1"/>
  <c r="X8731" i="1"/>
  <c r="Y8731" i="1"/>
  <c r="Z8731" i="1"/>
  <c r="A8732" i="1"/>
  <c r="B8732" i="1"/>
  <c r="C8732" i="1"/>
  <c r="D8732" i="1"/>
  <c r="E8732" i="1"/>
  <c r="F8732" i="1"/>
  <c r="G8732" i="1"/>
  <c r="I8732" i="1"/>
  <c r="J8732" i="1"/>
  <c r="K8732" i="1"/>
  <c r="L8732" i="1"/>
  <c r="M8732" i="1"/>
  <c r="N8732" i="1"/>
  <c r="O8732" i="1"/>
  <c r="P8732" i="1"/>
  <c r="Q8732" i="1"/>
  <c r="R8732" i="1"/>
  <c r="S8732" i="1"/>
  <c r="T8732" i="1"/>
  <c r="U8732" i="1"/>
  <c r="V8732" i="1"/>
  <c r="W8732" i="1"/>
  <c r="X8732" i="1"/>
  <c r="Y8732" i="1"/>
  <c r="Z8732" i="1"/>
  <c r="A8733" i="1"/>
  <c r="B8733" i="1"/>
  <c r="C8733" i="1"/>
  <c r="D8733" i="1"/>
  <c r="E8733" i="1"/>
  <c r="F8733" i="1"/>
  <c r="G8733" i="1"/>
  <c r="I8733" i="1"/>
  <c r="J8733" i="1"/>
  <c r="K8733" i="1"/>
  <c r="L8733" i="1"/>
  <c r="M8733" i="1"/>
  <c r="N8733" i="1"/>
  <c r="O8733" i="1"/>
  <c r="P8733" i="1"/>
  <c r="Q8733" i="1"/>
  <c r="R8733" i="1"/>
  <c r="S8733" i="1"/>
  <c r="T8733" i="1"/>
  <c r="U8733" i="1"/>
  <c r="V8733" i="1"/>
  <c r="W8733" i="1"/>
  <c r="X8733" i="1"/>
  <c r="Y8733" i="1"/>
  <c r="Z8733" i="1"/>
  <c r="A8734" i="1"/>
  <c r="B8734" i="1"/>
  <c r="C8734" i="1"/>
  <c r="D8734" i="1"/>
  <c r="E8734" i="1"/>
  <c r="F8734" i="1"/>
  <c r="G8734" i="1"/>
  <c r="I8734" i="1"/>
  <c r="J8734" i="1"/>
  <c r="K8734" i="1"/>
  <c r="L8734" i="1"/>
  <c r="M8734" i="1"/>
  <c r="N8734" i="1"/>
  <c r="O8734" i="1"/>
  <c r="P8734" i="1"/>
  <c r="Q8734" i="1"/>
  <c r="R8734" i="1"/>
  <c r="S8734" i="1"/>
  <c r="T8734" i="1"/>
  <c r="U8734" i="1"/>
  <c r="V8734" i="1"/>
  <c r="W8734" i="1"/>
  <c r="X8734" i="1"/>
  <c r="Y8734" i="1"/>
  <c r="Z8734" i="1"/>
  <c r="A8735" i="1"/>
  <c r="B8735" i="1"/>
  <c r="C8735" i="1"/>
  <c r="D8735" i="1"/>
  <c r="E8735" i="1"/>
  <c r="F8735" i="1"/>
  <c r="G8735" i="1"/>
  <c r="I8735" i="1"/>
  <c r="J8735" i="1"/>
  <c r="K8735" i="1"/>
  <c r="L8735" i="1"/>
  <c r="M8735" i="1"/>
  <c r="N8735" i="1"/>
  <c r="O8735" i="1"/>
  <c r="P8735" i="1"/>
  <c r="Q8735" i="1"/>
  <c r="R8735" i="1"/>
  <c r="S8735" i="1"/>
  <c r="T8735" i="1"/>
  <c r="U8735" i="1"/>
  <c r="V8735" i="1"/>
  <c r="W8735" i="1"/>
  <c r="X8735" i="1"/>
  <c r="Y8735" i="1"/>
  <c r="Z8735" i="1"/>
  <c r="A8736" i="1"/>
  <c r="B8736" i="1"/>
  <c r="C8736" i="1"/>
  <c r="D8736" i="1"/>
  <c r="E8736" i="1"/>
  <c r="F8736" i="1"/>
  <c r="G8736" i="1"/>
  <c r="I8736" i="1"/>
  <c r="J8736" i="1"/>
  <c r="K8736" i="1"/>
  <c r="L8736" i="1"/>
  <c r="M8736" i="1"/>
  <c r="N8736" i="1"/>
  <c r="O8736" i="1"/>
  <c r="P8736" i="1"/>
  <c r="Q8736" i="1"/>
  <c r="R8736" i="1"/>
  <c r="S8736" i="1"/>
  <c r="T8736" i="1"/>
  <c r="U8736" i="1"/>
  <c r="V8736" i="1"/>
  <c r="W8736" i="1"/>
  <c r="X8736" i="1"/>
  <c r="Y8736" i="1"/>
  <c r="Z8736" i="1"/>
  <c r="A8737" i="1"/>
  <c r="B8737" i="1"/>
  <c r="C8737" i="1"/>
  <c r="D8737" i="1"/>
  <c r="E8737" i="1"/>
  <c r="F8737" i="1"/>
  <c r="G8737" i="1"/>
  <c r="I8737" i="1"/>
  <c r="J8737" i="1"/>
  <c r="K8737" i="1"/>
  <c r="L8737" i="1"/>
  <c r="M8737" i="1"/>
  <c r="N8737" i="1"/>
  <c r="O8737" i="1"/>
  <c r="P8737" i="1"/>
  <c r="Q8737" i="1"/>
  <c r="R8737" i="1"/>
  <c r="S8737" i="1"/>
  <c r="T8737" i="1"/>
  <c r="U8737" i="1"/>
  <c r="V8737" i="1"/>
  <c r="W8737" i="1"/>
  <c r="X8737" i="1"/>
  <c r="Y8737" i="1"/>
  <c r="Z8737" i="1"/>
  <c r="A8738" i="1"/>
  <c r="B8738" i="1"/>
  <c r="C8738" i="1"/>
  <c r="D8738" i="1"/>
  <c r="E8738" i="1"/>
  <c r="F8738" i="1"/>
  <c r="G8738" i="1"/>
  <c r="I8738" i="1"/>
  <c r="J8738" i="1"/>
  <c r="K8738" i="1"/>
  <c r="L8738" i="1"/>
  <c r="M8738" i="1"/>
  <c r="N8738" i="1"/>
  <c r="O8738" i="1"/>
  <c r="P8738" i="1"/>
  <c r="Q8738" i="1"/>
  <c r="R8738" i="1"/>
  <c r="S8738" i="1"/>
  <c r="T8738" i="1"/>
  <c r="U8738" i="1"/>
  <c r="V8738" i="1"/>
  <c r="W8738" i="1"/>
  <c r="X8738" i="1"/>
  <c r="Y8738" i="1"/>
  <c r="Z8738" i="1"/>
  <c r="A8739" i="1"/>
  <c r="B8739" i="1"/>
  <c r="C8739" i="1"/>
  <c r="D8739" i="1"/>
  <c r="E8739" i="1"/>
  <c r="F8739" i="1"/>
  <c r="G8739" i="1"/>
  <c r="I8739" i="1"/>
  <c r="J8739" i="1"/>
  <c r="K8739" i="1"/>
  <c r="L8739" i="1"/>
  <c r="M8739" i="1"/>
  <c r="N8739" i="1"/>
  <c r="O8739" i="1"/>
  <c r="P8739" i="1"/>
  <c r="Q8739" i="1"/>
  <c r="R8739" i="1"/>
  <c r="S8739" i="1"/>
  <c r="T8739" i="1"/>
  <c r="U8739" i="1"/>
  <c r="V8739" i="1"/>
  <c r="W8739" i="1"/>
  <c r="X8739" i="1"/>
  <c r="Y8739" i="1"/>
  <c r="Z8739" i="1"/>
  <c r="A8740" i="1"/>
  <c r="B8740" i="1"/>
  <c r="C8740" i="1"/>
  <c r="D8740" i="1"/>
  <c r="E8740" i="1"/>
  <c r="F8740" i="1"/>
  <c r="G8740" i="1"/>
  <c r="I8740" i="1"/>
  <c r="J8740" i="1"/>
  <c r="K8740" i="1"/>
  <c r="L8740" i="1"/>
  <c r="M8740" i="1"/>
  <c r="N8740" i="1"/>
  <c r="O8740" i="1"/>
  <c r="P8740" i="1"/>
  <c r="Q8740" i="1"/>
  <c r="R8740" i="1"/>
  <c r="S8740" i="1"/>
  <c r="T8740" i="1"/>
  <c r="U8740" i="1"/>
  <c r="V8740" i="1"/>
  <c r="W8740" i="1"/>
  <c r="X8740" i="1"/>
  <c r="Y8740" i="1"/>
  <c r="Z8740" i="1"/>
  <c r="A8741" i="1"/>
  <c r="B8741" i="1"/>
  <c r="C8741" i="1"/>
  <c r="D8741" i="1"/>
  <c r="E8741" i="1"/>
  <c r="F8741" i="1"/>
  <c r="G8741" i="1"/>
  <c r="I8741" i="1"/>
  <c r="J8741" i="1"/>
  <c r="K8741" i="1"/>
  <c r="L8741" i="1"/>
  <c r="M8741" i="1"/>
  <c r="N8741" i="1"/>
  <c r="O8741" i="1"/>
  <c r="P8741" i="1"/>
  <c r="Q8741" i="1"/>
  <c r="R8741" i="1"/>
  <c r="S8741" i="1"/>
  <c r="T8741" i="1"/>
  <c r="U8741" i="1"/>
  <c r="V8741" i="1"/>
  <c r="W8741" i="1"/>
  <c r="X8741" i="1"/>
  <c r="Y8741" i="1"/>
  <c r="Z8741" i="1"/>
  <c r="A8742" i="1"/>
  <c r="B8742" i="1"/>
  <c r="C8742" i="1"/>
  <c r="D8742" i="1"/>
  <c r="E8742" i="1"/>
  <c r="F8742" i="1"/>
  <c r="G8742" i="1"/>
  <c r="I8742" i="1"/>
  <c r="J8742" i="1"/>
  <c r="K8742" i="1"/>
  <c r="L8742" i="1"/>
  <c r="M8742" i="1"/>
  <c r="N8742" i="1"/>
  <c r="O8742" i="1"/>
  <c r="P8742" i="1"/>
  <c r="Q8742" i="1"/>
  <c r="R8742" i="1"/>
  <c r="S8742" i="1"/>
  <c r="T8742" i="1"/>
  <c r="U8742" i="1"/>
  <c r="V8742" i="1"/>
  <c r="W8742" i="1"/>
  <c r="X8742" i="1"/>
  <c r="Y8742" i="1"/>
  <c r="Z8742" i="1"/>
  <c r="A8743" i="1"/>
  <c r="B8743" i="1"/>
  <c r="C8743" i="1"/>
  <c r="D8743" i="1"/>
  <c r="E8743" i="1"/>
  <c r="F8743" i="1"/>
  <c r="G8743" i="1"/>
  <c r="I8743" i="1"/>
  <c r="J8743" i="1"/>
  <c r="K8743" i="1"/>
  <c r="L8743" i="1"/>
  <c r="M8743" i="1"/>
  <c r="N8743" i="1"/>
  <c r="O8743" i="1"/>
  <c r="P8743" i="1"/>
  <c r="Q8743" i="1"/>
  <c r="R8743" i="1"/>
  <c r="S8743" i="1"/>
  <c r="T8743" i="1"/>
  <c r="U8743" i="1"/>
  <c r="V8743" i="1"/>
  <c r="W8743" i="1"/>
  <c r="X8743" i="1"/>
  <c r="Y8743" i="1"/>
  <c r="Z8743" i="1"/>
  <c r="A8744" i="1"/>
  <c r="B8744" i="1"/>
  <c r="C8744" i="1"/>
  <c r="D8744" i="1"/>
  <c r="E8744" i="1"/>
  <c r="F8744" i="1"/>
  <c r="G8744" i="1"/>
  <c r="I8744" i="1"/>
  <c r="J8744" i="1"/>
  <c r="K8744" i="1"/>
  <c r="L8744" i="1"/>
  <c r="M8744" i="1"/>
  <c r="N8744" i="1"/>
  <c r="O8744" i="1"/>
  <c r="P8744" i="1"/>
  <c r="Q8744" i="1"/>
  <c r="R8744" i="1"/>
  <c r="S8744" i="1"/>
  <c r="T8744" i="1"/>
  <c r="U8744" i="1"/>
  <c r="V8744" i="1"/>
  <c r="W8744" i="1"/>
  <c r="X8744" i="1"/>
  <c r="Y8744" i="1"/>
  <c r="Z8744" i="1"/>
  <c r="A8745" i="1"/>
  <c r="B8745" i="1"/>
  <c r="C8745" i="1"/>
  <c r="D8745" i="1"/>
  <c r="E8745" i="1"/>
  <c r="F8745" i="1"/>
  <c r="G8745" i="1"/>
  <c r="I8745" i="1"/>
  <c r="J8745" i="1"/>
  <c r="K8745" i="1"/>
  <c r="L8745" i="1"/>
  <c r="M8745" i="1"/>
  <c r="N8745" i="1"/>
  <c r="O8745" i="1"/>
  <c r="P8745" i="1"/>
  <c r="Q8745" i="1"/>
  <c r="R8745" i="1"/>
  <c r="S8745" i="1"/>
  <c r="T8745" i="1"/>
  <c r="U8745" i="1"/>
  <c r="V8745" i="1"/>
  <c r="W8745" i="1"/>
  <c r="X8745" i="1"/>
  <c r="Y8745" i="1"/>
  <c r="Z8745" i="1"/>
  <c r="A8746" i="1"/>
  <c r="B8746" i="1"/>
  <c r="C8746" i="1"/>
  <c r="D8746" i="1"/>
  <c r="E8746" i="1"/>
  <c r="F8746" i="1"/>
  <c r="G8746" i="1"/>
  <c r="I8746" i="1"/>
  <c r="J8746" i="1"/>
  <c r="K8746" i="1"/>
  <c r="L8746" i="1"/>
  <c r="M8746" i="1"/>
  <c r="N8746" i="1"/>
  <c r="O8746" i="1"/>
  <c r="P8746" i="1"/>
  <c r="Q8746" i="1"/>
  <c r="R8746" i="1"/>
  <c r="S8746" i="1"/>
  <c r="T8746" i="1"/>
  <c r="U8746" i="1"/>
  <c r="V8746" i="1"/>
  <c r="W8746" i="1"/>
  <c r="X8746" i="1"/>
  <c r="Y8746" i="1"/>
  <c r="Z8746" i="1"/>
  <c r="A8747" i="1"/>
  <c r="B8747" i="1"/>
  <c r="C8747" i="1"/>
  <c r="D8747" i="1"/>
  <c r="E8747" i="1"/>
  <c r="F8747" i="1"/>
  <c r="G8747" i="1"/>
  <c r="I8747" i="1"/>
  <c r="J8747" i="1"/>
  <c r="K8747" i="1"/>
  <c r="L8747" i="1"/>
  <c r="M8747" i="1"/>
  <c r="N8747" i="1"/>
  <c r="O8747" i="1"/>
  <c r="P8747" i="1"/>
  <c r="Q8747" i="1"/>
  <c r="R8747" i="1"/>
  <c r="S8747" i="1"/>
  <c r="T8747" i="1"/>
  <c r="U8747" i="1"/>
  <c r="V8747" i="1"/>
  <c r="W8747" i="1"/>
  <c r="X8747" i="1"/>
  <c r="Y8747" i="1"/>
  <c r="Z8747" i="1"/>
  <c r="A8748" i="1"/>
  <c r="B8748" i="1"/>
  <c r="C8748" i="1"/>
  <c r="D8748" i="1"/>
  <c r="E8748" i="1"/>
  <c r="F8748" i="1"/>
  <c r="G8748" i="1"/>
  <c r="I8748" i="1"/>
  <c r="J8748" i="1"/>
  <c r="K8748" i="1"/>
  <c r="L8748" i="1"/>
  <c r="M8748" i="1"/>
  <c r="N8748" i="1"/>
  <c r="O8748" i="1"/>
  <c r="P8748" i="1"/>
  <c r="Q8748" i="1"/>
  <c r="R8748" i="1"/>
  <c r="S8748" i="1"/>
  <c r="T8748" i="1"/>
  <c r="U8748" i="1"/>
  <c r="V8748" i="1"/>
  <c r="W8748" i="1"/>
  <c r="X8748" i="1"/>
  <c r="Y8748" i="1"/>
  <c r="Z8748" i="1"/>
  <c r="A8749" i="1"/>
  <c r="B8749" i="1"/>
  <c r="C8749" i="1"/>
  <c r="D8749" i="1"/>
  <c r="E8749" i="1"/>
  <c r="F8749" i="1"/>
  <c r="G8749" i="1"/>
  <c r="I8749" i="1"/>
  <c r="J8749" i="1"/>
  <c r="K8749" i="1"/>
  <c r="L8749" i="1"/>
  <c r="M8749" i="1"/>
  <c r="N8749" i="1"/>
  <c r="O8749" i="1"/>
  <c r="P8749" i="1"/>
  <c r="Q8749" i="1"/>
  <c r="R8749" i="1"/>
  <c r="S8749" i="1"/>
  <c r="T8749" i="1"/>
  <c r="U8749" i="1"/>
  <c r="V8749" i="1"/>
  <c r="W8749" i="1"/>
  <c r="X8749" i="1"/>
  <c r="Y8749" i="1"/>
  <c r="Z8749" i="1"/>
  <c r="A8750" i="1"/>
  <c r="B8750" i="1"/>
  <c r="C8750" i="1"/>
  <c r="D8750" i="1"/>
  <c r="E8750" i="1"/>
  <c r="F8750" i="1"/>
  <c r="G8750" i="1"/>
  <c r="I8750" i="1"/>
  <c r="J8750" i="1"/>
  <c r="K8750" i="1"/>
  <c r="L8750" i="1"/>
  <c r="M8750" i="1"/>
  <c r="N8750" i="1"/>
  <c r="O8750" i="1"/>
  <c r="P8750" i="1"/>
  <c r="Q8750" i="1"/>
  <c r="R8750" i="1"/>
  <c r="S8750" i="1"/>
  <c r="T8750" i="1"/>
  <c r="U8750" i="1"/>
  <c r="V8750" i="1"/>
  <c r="W8750" i="1"/>
  <c r="X8750" i="1"/>
  <c r="Y8750" i="1"/>
  <c r="Z8750" i="1"/>
  <c r="A8751" i="1"/>
  <c r="B8751" i="1"/>
  <c r="C8751" i="1"/>
  <c r="D8751" i="1"/>
  <c r="E8751" i="1"/>
  <c r="F8751" i="1"/>
  <c r="G8751" i="1"/>
  <c r="I8751" i="1"/>
  <c r="J8751" i="1"/>
  <c r="K8751" i="1"/>
  <c r="L8751" i="1"/>
  <c r="M8751" i="1"/>
  <c r="N8751" i="1"/>
  <c r="O8751" i="1"/>
  <c r="P8751" i="1"/>
  <c r="Q8751" i="1"/>
  <c r="R8751" i="1"/>
  <c r="S8751" i="1"/>
  <c r="T8751" i="1"/>
  <c r="U8751" i="1"/>
  <c r="V8751" i="1"/>
  <c r="W8751" i="1"/>
  <c r="X8751" i="1"/>
  <c r="Y8751" i="1"/>
  <c r="Z8751" i="1"/>
  <c r="A8752" i="1"/>
  <c r="B8752" i="1"/>
  <c r="C8752" i="1"/>
  <c r="D8752" i="1"/>
  <c r="E8752" i="1"/>
  <c r="F8752" i="1"/>
  <c r="G8752" i="1"/>
  <c r="I8752" i="1"/>
  <c r="J8752" i="1"/>
  <c r="K8752" i="1"/>
  <c r="L8752" i="1"/>
  <c r="M8752" i="1"/>
  <c r="N8752" i="1"/>
  <c r="O8752" i="1"/>
  <c r="P8752" i="1"/>
  <c r="Q8752" i="1"/>
  <c r="R8752" i="1"/>
  <c r="S8752" i="1"/>
  <c r="T8752" i="1"/>
  <c r="U8752" i="1"/>
  <c r="V8752" i="1"/>
  <c r="W8752" i="1"/>
  <c r="X8752" i="1"/>
  <c r="Y8752" i="1"/>
  <c r="Z8752" i="1"/>
  <c r="A8753" i="1"/>
  <c r="B8753" i="1"/>
  <c r="C8753" i="1"/>
  <c r="D8753" i="1"/>
  <c r="E8753" i="1"/>
  <c r="F8753" i="1"/>
  <c r="G8753" i="1"/>
  <c r="I8753" i="1"/>
  <c r="J8753" i="1"/>
  <c r="K8753" i="1"/>
  <c r="L8753" i="1"/>
  <c r="M8753" i="1"/>
  <c r="N8753" i="1"/>
  <c r="O8753" i="1"/>
  <c r="P8753" i="1"/>
  <c r="Q8753" i="1"/>
  <c r="R8753" i="1"/>
  <c r="S8753" i="1"/>
  <c r="T8753" i="1"/>
  <c r="U8753" i="1"/>
  <c r="V8753" i="1"/>
  <c r="W8753" i="1"/>
  <c r="X8753" i="1"/>
  <c r="Y8753" i="1"/>
  <c r="Z8753" i="1"/>
  <c r="A8754" i="1"/>
  <c r="B8754" i="1"/>
  <c r="C8754" i="1"/>
  <c r="D8754" i="1"/>
  <c r="E8754" i="1"/>
  <c r="F8754" i="1"/>
  <c r="G8754" i="1"/>
  <c r="I8754" i="1"/>
  <c r="J8754" i="1"/>
  <c r="K8754" i="1"/>
  <c r="L8754" i="1"/>
  <c r="M8754" i="1"/>
  <c r="N8754" i="1"/>
  <c r="O8754" i="1"/>
  <c r="P8754" i="1"/>
  <c r="Q8754" i="1"/>
  <c r="R8754" i="1"/>
  <c r="S8754" i="1"/>
  <c r="T8754" i="1"/>
  <c r="U8754" i="1"/>
  <c r="V8754" i="1"/>
  <c r="W8754" i="1"/>
  <c r="X8754" i="1"/>
  <c r="Y8754" i="1"/>
  <c r="Z8754" i="1"/>
  <c r="A8755" i="1"/>
  <c r="B8755" i="1"/>
  <c r="C8755" i="1"/>
  <c r="D8755" i="1"/>
  <c r="E8755" i="1"/>
  <c r="F8755" i="1"/>
  <c r="G8755" i="1"/>
  <c r="I8755" i="1"/>
  <c r="J8755" i="1"/>
  <c r="K8755" i="1"/>
  <c r="L8755" i="1"/>
  <c r="M8755" i="1"/>
  <c r="N8755" i="1"/>
  <c r="O8755" i="1"/>
  <c r="P8755" i="1"/>
  <c r="Q8755" i="1"/>
  <c r="R8755" i="1"/>
  <c r="S8755" i="1"/>
  <c r="T8755" i="1"/>
  <c r="U8755" i="1"/>
  <c r="V8755" i="1"/>
  <c r="W8755" i="1"/>
  <c r="X8755" i="1"/>
  <c r="Y8755" i="1"/>
  <c r="Z8755" i="1"/>
  <c r="A8756" i="1"/>
  <c r="B8756" i="1"/>
  <c r="C8756" i="1"/>
  <c r="D8756" i="1"/>
  <c r="E8756" i="1"/>
  <c r="F8756" i="1"/>
  <c r="G8756" i="1"/>
  <c r="I8756" i="1"/>
  <c r="J8756" i="1"/>
  <c r="K8756" i="1"/>
  <c r="L8756" i="1"/>
  <c r="M8756" i="1"/>
  <c r="N8756" i="1"/>
  <c r="O8756" i="1"/>
  <c r="P8756" i="1"/>
  <c r="Q8756" i="1"/>
  <c r="R8756" i="1"/>
  <c r="S8756" i="1"/>
  <c r="T8756" i="1"/>
  <c r="U8756" i="1"/>
  <c r="V8756" i="1"/>
  <c r="W8756" i="1"/>
  <c r="X8756" i="1"/>
  <c r="Y8756" i="1"/>
  <c r="Z8756" i="1"/>
  <c r="A8757" i="1"/>
  <c r="B8757" i="1"/>
  <c r="C8757" i="1"/>
  <c r="D8757" i="1"/>
  <c r="E8757" i="1"/>
  <c r="F8757" i="1"/>
  <c r="G8757" i="1"/>
  <c r="I8757" i="1"/>
  <c r="J8757" i="1"/>
  <c r="K8757" i="1"/>
  <c r="L8757" i="1"/>
  <c r="M8757" i="1"/>
  <c r="N8757" i="1"/>
  <c r="O8757" i="1"/>
  <c r="P8757" i="1"/>
  <c r="Q8757" i="1"/>
  <c r="R8757" i="1"/>
  <c r="S8757" i="1"/>
  <c r="T8757" i="1"/>
  <c r="U8757" i="1"/>
  <c r="V8757" i="1"/>
  <c r="W8757" i="1"/>
  <c r="X8757" i="1"/>
  <c r="Y8757" i="1"/>
  <c r="Z8757" i="1"/>
  <c r="A8758" i="1"/>
  <c r="B8758" i="1"/>
  <c r="C8758" i="1"/>
  <c r="D8758" i="1"/>
  <c r="E8758" i="1"/>
  <c r="F8758" i="1"/>
  <c r="G8758" i="1"/>
  <c r="I8758" i="1"/>
  <c r="J8758" i="1"/>
  <c r="K8758" i="1"/>
  <c r="L8758" i="1"/>
  <c r="M8758" i="1"/>
  <c r="N8758" i="1"/>
  <c r="O8758" i="1"/>
  <c r="P8758" i="1"/>
  <c r="Q8758" i="1"/>
  <c r="R8758" i="1"/>
  <c r="S8758" i="1"/>
  <c r="T8758" i="1"/>
  <c r="U8758" i="1"/>
  <c r="V8758" i="1"/>
  <c r="W8758" i="1"/>
  <c r="X8758" i="1"/>
  <c r="Y8758" i="1"/>
  <c r="Z8758" i="1"/>
  <c r="A8759" i="1"/>
  <c r="B8759" i="1"/>
  <c r="C8759" i="1"/>
  <c r="D8759" i="1"/>
  <c r="E8759" i="1"/>
  <c r="F8759" i="1"/>
  <c r="G8759" i="1"/>
  <c r="I8759" i="1"/>
  <c r="J8759" i="1"/>
  <c r="K8759" i="1"/>
  <c r="L8759" i="1"/>
  <c r="M8759" i="1"/>
  <c r="N8759" i="1"/>
  <c r="O8759" i="1"/>
  <c r="P8759" i="1"/>
  <c r="Q8759" i="1"/>
  <c r="R8759" i="1"/>
  <c r="S8759" i="1"/>
  <c r="T8759" i="1"/>
  <c r="U8759" i="1"/>
  <c r="V8759" i="1"/>
  <c r="W8759" i="1"/>
  <c r="X8759" i="1"/>
  <c r="Y8759" i="1"/>
  <c r="Z8759" i="1"/>
  <c r="A8760" i="1"/>
  <c r="B8760" i="1"/>
  <c r="C8760" i="1"/>
  <c r="D8760" i="1"/>
  <c r="E8760" i="1"/>
  <c r="F8760" i="1"/>
  <c r="G8760" i="1"/>
  <c r="I8760" i="1"/>
  <c r="J8760" i="1"/>
  <c r="K8760" i="1"/>
  <c r="L8760" i="1"/>
  <c r="M8760" i="1"/>
  <c r="N8760" i="1"/>
  <c r="O8760" i="1"/>
  <c r="P8760" i="1"/>
  <c r="Q8760" i="1"/>
  <c r="R8760" i="1"/>
  <c r="S8760" i="1"/>
  <c r="T8760" i="1"/>
  <c r="U8760" i="1"/>
  <c r="V8760" i="1"/>
  <c r="W8760" i="1"/>
  <c r="X8760" i="1"/>
  <c r="Y8760" i="1"/>
  <c r="Z8760" i="1"/>
  <c r="A8761" i="1"/>
  <c r="B8761" i="1"/>
  <c r="C8761" i="1"/>
  <c r="D8761" i="1"/>
  <c r="E8761" i="1"/>
  <c r="F8761" i="1"/>
  <c r="G8761" i="1"/>
  <c r="I8761" i="1"/>
  <c r="J8761" i="1"/>
  <c r="K8761" i="1"/>
  <c r="L8761" i="1"/>
  <c r="M8761" i="1"/>
  <c r="N8761" i="1"/>
  <c r="O8761" i="1"/>
  <c r="P8761" i="1"/>
  <c r="Q8761" i="1"/>
  <c r="R8761" i="1"/>
  <c r="S8761" i="1"/>
  <c r="T8761" i="1"/>
  <c r="U8761" i="1"/>
  <c r="V8761" i="1"/>
  <c r="W8761" i="1"/>
  <c r="X8761" i="1"/>
  <c r="Y8761" i="1"/>
  <c r="Z8761" i="1"/>
  <c r="A8762" i="1"/>
  <c r="B8762" i="1"/>
  <c r="C8762" i="1"/>
  <c r="D8762" i="1"/>
  <c r="E8762" i="1"/>
  <c r="F8762" i="1"/>
  <c r="G8762" i="1"/>
  <c r="I8762" i="1"/>
  <c r="J8762" i="1"/>
  <c r="K8762" i="1"/>
  <c r="L8762" i="1"/>
  <c r="M8762" i="1"/>
  <c r="N8762" i="1"/>
  <c r="O8762" i="1"/>
  <c r="P8762" i="1"/>
  <c r="Q8762" i="1"/>
  <c r="R8762" i="1"/>
  <c r="S8762" i="1"/>
  <c r="T8762" i="1"/>
  <c r="U8762" i="1"/>
  <c r="V8762" i="1"/>
  <c r="W8762" i="1"/>
  <c r="X8762" i="1"/>
  <c r="Y8762" i="1"/>
  <c r="Z8762" i="1"/>
  <c r="A8763" i="1"/>
  <c r="B8763" i="1"/>
  <c r="C8763" i="1"/>
  <c r="D8763" i="1"/>
  <c r="E8763" i="1"/>
  <c r="F8763" i="1"/>
  <c r="G8763" i="1"/>
  <c r="I8763" i="1"/>
  <c r="J8763" i="1"/>
  <c r="K8763" i="1"/>
  <c r="L8763" i="1"/>
  <c r="M8763" i="1"/>
  <c r="N8763" i="1"/>
  <c r="O8763" i="1"/>
  <c r="P8763" i="1"/>
  <c r="Q8763" i="1"/>
  <c r="R8763" i="1"/>
  <c r="S8763" i="1"/>
  <c r="T8763" i="1"/>
  <c r="U8763" i="1"/>
  <c r="V8763" i="1"/>
  <c r="W8763" i="1"/>
  <c r="X8763" i="1"/>
  <c r="Y8763" i="1"/>
  <c r="Z8763" i="1"/>
  <c r="A8764" i="1"/>
  <c r="B8764" i="1"/>
  <c r="C8764" i="1"/>
  <c r="D8764" i="1"/>
  <c r="E8764" i="1"/>
  <c r="F8764" i="1"/>
  <c r="G8764" i="1"/>
  <c r="I8764" i="1"/>
  <c r="J8764" i="1"/>
  <c r="K8764" i="1"/>
  <c r="L8764" i="1"/>
  <c r="M8764" i="1"/>
  <c r="N8764" i="1"/>
  <c r="O8764" i="1"/>
  <c r="P8764" i="1"/>
  <c r="Q8764" i="1"/>
  <c r="R8764" i="1"/>
  <c r="S8764" i="1"/>
  <c r="T8764" i="1"/>
  <c r="U8764" i="1"/>
  <c r="V8764" i="1"/>
  <c r="W8764" i="1"/>
  <c r="X8764" i="1"/>
  <c r="Y8764" i="1"/>
  <c r="Z8764" i="1"/>
  <c r="A8765" i="1"/>
  <c r="B8765" i="1"/>
  <c r="C8765" i="1"/>
  <c r="D8765" i="1"/>
  <c r="E8765" i="1"/>
  <c r="F8765" i="1"/>
  <c r="G8765" i="1"/>
  <c r="I8765" i="1"/>
  <c r="J8765" i="1"/>
  <c r="K8765" i="1"/>
  <c r="L8765" i="1"/>
  <c r="M8765" i="1"/>
  <c r="N8765" i="1"/>
  <c r="O8765" i="1"/>
  <c r="P8765" i="1"/>
  <c r="Q8765" i="1"/>
  <c r="R8765" i="1"/>
  <c r="S8765" i="1"/>
  <c r="T8765" i="1"/>
  <c r="U8765" i="1"/>
  <c r="V8765" i="1"/>
  <c r="W8765" i="1"/>
  <c r="X8765" i="1"/>
  <c r="Y8765" i="1"/>
  <c r="Z8765" i="1"/>
  <c r="A8766" i="1"/>
  <c r="B8766" i="1"/>
  <c r="C8766" i="1"/>
  <c r="D8766" i="1"/>
  <c r="E8766" i="1"/>
  <c r="F8766" i="1"/>
  <c r="G8766" i="1"/>
  <c r="I8766" i="1"/>
  <c r="J8766" i="1"/>
  <c r="K8766" i="1"/>
  <c r="L8766" i="1"/>
  <c r="M8766" i="1"/>
  <c r="N8766" i="1"/>
  <c r="O8766" i="1"/>
  <c r="P8766" i="1"/>
  <c r="Q8766" i="1"/>
  <c r="R8766" i="1"/>
  <c r="S8766" i="1"/>
  <c r="T8766" i="1"/>
  <c r="U8766" i="1"/>
  <c r="V8766" i="1"/>
  <c r="W8766" i="1"/>
  <c r="X8766" i="1"/>
  <c r="Y8766" i="1"/>
  <c r="Z8766" i="1"/>
  <c r="A8767" i="1"/>
  <c r="B8767" i="1"/>
  <c r="C8767" i="1"/>
  <c r="D8767" i="1"/>
  <c r="E8767" i="1"/>
  <c r="F8767" i="1"/>
  <c r="G8767" i="1"/>
  <c r="I8767" i="1"/>
  <c r="J8767" i="1"/>
  <c r="K8767" i="1"/>
  <c r="L8767" i="1"/>
  <c r="M8767" i="1"/>
  <c r="N8767" i="1"/>
  <c r="O8767" i="1"/>
  <c r="P8767" i="1"/>
  <c r="Q8767" i="1"/>
  <c r="R8767" i="1"/>
  <c r="S8767" i="1"/>
  <c r="T8767" i="1"/>
  <c r="U8767" i="1"/>
  <c r="V8767" i="1"/>
  <c r="W8767" i="1"/>
  <c r="X8767" i="1"/>
  <c r="Y8767" i="1"/>
  <c r="Z8767" i="1"/>
  <c r="A8768" i="1"/>
  <c r="B8768" i="1"/>
  <c r="C8768" i="1"/>
  <c r="D8768" i="1"/>
  <c r="E8768" i="1"/>
  <c r="F8768" i="1"/>
  <c r="G8768" i="1"/>
  <c r="I8768" i="1"/>
  <c r="J8768" i="1"/>
  <c r="K8768" i="1"/>
  <c r="L8768" i="1"/>
  <c r="M8768" i="1"/>
  <c r="N8768" i="1"/>
  <c r="O8768" i="1"/>
  <c r="P8768" i="1"/>
  <c r="Q8768" i="1"/>
  <c r="R8768" i="1"/>
  <c r="S8768" i="1"/>
  <c r="T8768" i="1"/>
  <c r="U8768" i="1"/>
  <c r="V8768" i="1"/>
  <c r="W8768" i="1"/>
  <c r="X8768" i="1"/>
  <c r="Y8768" i="1"/>
  <c r="Z8768" i="1"/>
  <c r="A8769" i="1"/>
  <c r="B8769" i="1"/>
  <c r="C8769" i="1"/>
  <c r="D8769" i="1"/>
  <c r="E8769" i="1"/>
  <c r="F8769" i="1"/>
  <c r="G8769" i="1"/>
  <c r="I8769" i="1"/>
  <c r="J8769" i="1"/>
  <c r="K8769" i="1"/>
  <c r="L8769" i="1"/>
  <c r="M8769" i="1"/>
  <c r="N8769" i="1"/>
  <c r="O8769" i="1"/>
  <c r="P8769" i="1"/>
  <c r="Q8769" i="1"/>
  <c r="R8769" i="1"/>
  <c r="S8769" i="1"/>
  <c r="T8769" i="1"/>
  <c r="U8769" i="1"/>
  <c r="V8769" i="1"/>
  <c r="W8769" i="1"/>
  <c r="X8769" i="1"/>
  <c r="Y8769" i="1"/>
  <c r="Z8769" i="1"/>
  <c r="A8770" i="1"/>
  <c r="B8770" i="1"/>
  <c r="C8770" i="1"/>
  <c r="D8770" i="1"/>
  <c r="E8770" i="1"/>
  <c r="F8770" i="1"/>
  <c r="G8770" i="1"/>
  <c r="I8770" i="1"/>
  <c r="J8770" i="1"/>
  <c r="K8770" i="1"/>
  <c r="L8770" i="1"/>
  <c r="M8770" i="1"/>
  <c r="N8770" i="1"/>
  <c r="O8770" i="1"/>
  <c r="P8770" i="1"/>
  <c r="Q8770" i="1"/>
  <c r="R8770" i="1"/>
  <c r="S8770" i="1"/>
  <c r="T8770" i="1"/>
  <c r="U8770" i="1"/>
  <c r="V8770" i="1"/>
  <c r="W8770" i="1"/>
  <c r="X8770" i="1"/>
  <c r="Y8770" i="1"/>
  <c r="Z8770" i="1"/>
  <c r="A8771" i="1"/>
  <c r="B8771" i="1"/>
  <c r="C8771" i="1"/>
  <c r="D8771" i="1"/>
  <c r="E8771" i="1"/>
  <c r="F8771" i="1"/>
  <c r="G8771" i="1"/>
  <c r="I8771" i="1"/>
  <c r="J8771" i="1"/>
  <c r="K8771" i="1"/>
  <c r="L8771" i="1"/>
  <c r="M8771" i="1"/>
  <c r="N8771" i="1"/>
  <c r="O8771" i="1"/>
  <c r="P8771" i="1"/>
  <c r="Q8771" i="1"/>
  <c r="R8771" i="1"/>
  <c r="S8771" i="1"/>
  <c r="T8771" i="1"/>
  <c r="U8771" i="1"/>
  <c r="V8771" i="1"/>
  <c r="W8771" i="1"/>
  <c r="X8771" i="1"/>
  <c r="Y8771" i="1"/>
  <c r="Z8771" i="1"/>
  <c r="A8772" i="1"/>
  <c r="B8772" i="1"/>
  <c r="C8772" i="1"/>
  <c r="D8772" i="1"/>
  <c r="E8772" i="1"/>
  <c r="F8772" i="1"/>
  <c r="G8772" i="1"/>
  <c r="I8772" i="1"/>
  <c r="J8772" i="1"/>
  <c r="K8772" i="1"/>
  <c r="L8772" i="1"/>
  <c r="M8772" i="1"/>
  <c r="N8772" i="1"/>
  <c r="O8772" i="1"/>
  <c r="P8772" i="1"/>
  <c r="Q8772" i="1"/>
  <c r="R8772" i="1"/>
  <c r="S8772" i="1"/>
  <c r="T8772" i="1"/>
  <c r="U8772" i="1"/>
  <c r="V8772" i="1"/>
  <c r="W8772" i="1"/>
  <c r="X8772" i="1"/>
  <c r="Y8772" i="1"/>
  <c r="Z8772" i="1"/>
  <c r="A8773" i="1"/>
  <c r="B8773" i="1"/>
  <c r="C8773" i="1"/>
  <c r="D8773" i="1"/>
  <c r="E8773" i="1"/>
  <c r="F8773" i="1"/>
  <c r="G8773" i="1"/>
  <c r="I8773" i="1"/>
  <c r="J8773" i="1"/>
  <c r="K8773" i="1"/>
  <c r="L8773" i="1"/>
  <c r="M8773" i="1"/>
  <c r="N8773" i="1"/>
  <c r="O8773" i="1"/>
  <c r="P8773" i="1"/>
  <c r="Q8773" i="1"/>
  <c r="R8773" i="1"/>
  <c r="S8773" i="1"/>
  <c r="T8773" i="1"/>
  <c r="U8773" i="1"/>
  <c r="V8773" i="1"/>
  <c r="W8773" i="1"/>
  <c r="X8773" i="1"/>
  <c r="Y8773" i="1"/>
  <c r="Z8773" i="1"/>
  <c r="A8774" i="1"/>
  <c r="B8774" i="1"/>
  <c r="C8774" i="1"/>
  <c r="D8774" i="1"/>
  <c r="E8774" i="1"/>
  <c r="F8774" i="1"/>
  <c r="G8774" i="1"/>
  <c r="I8774" i="1"/>
  <c r="J8774" i="1"/>
  <c r="K8774" i="1"/>
  <c r="L8774" i="1"/>
  <c r="M8774" i="1"/>
  <c r="N8774" i="1"/>
  <c r="O8774" i="1"/>
  <c r="P8774" i="1"/>
  <c r="Q8774" i="1"/>
  <c r="R8774" i="1"/>
  <c r="S8774" i="1"/>
  <c r="T8774" i="1"/>
  <c r="U8774" i="1"/>
  <c r="V8774" i="1"/>
  <c r="W8774" i="1"/>
  <c r="X8774" i="1"/>
  <c r="Y8774" i="1"/>
  <c r="Z8774" i="1"/>
  <c r="A8775" i="1"/>
  <c r="B8775" i="1"/>
  <c r="C8775" i="1"/>
  <c r="D8775" i="1"/>
  <c r="E8775" i="1"/>
  <c r="F8775" i="1"/>
  <c r="G8775" i="1"/>
  <c r="I8775" i="1"/>
  <c r="J8775" i="1"/>
  <c r="K8775" i="1"/>
  <c r="L8775" i="1"/>
  <c r="M8775" i="1"/>
  <c r="N8775" i="1"/>
  <c r="O8775" i="1"/>
  <c r="P8775" i="1"/>
  <c r="Q8775" i="1"/>
  <c r="R8775" i="1"/>
  <c r="S8775" i="1"/>
  <c r="T8775" i="1"/>
  <c r="U8775" i="1"/>
  <c r="V8775" i="1"/>
  <c r="W8775" i="1"/>
  <c r="X8775" i="1"/>
  <c r="Y8775" i="1"/>
  <c r="Z8775" i="1"/>
  <c r="A8776" i="1"/>
  <c r="B8776" i="1"/>
  <c r="C8776" i="1"/>
  <c r="D8776" i="1"/>
  <c r="E8776" i="1"/>
  <c r="F8776" i="1"/>
  <c r="G8776" i="1"/>
  <c r="I8776" i="1"/>
  <c r="J8776" i="1"/>
  <c r="K8776" i="1"/>
  <c r="L8776" i="1"/>
  <c r="M8776" i="1"/>
  <c r="N8776" i="1"/>
  <c r="O8776" i="1"/>
  <c r="P8776" i="1"/>
  <c r="Q8776" i="1"/>
  <c r="R8776" i="1"/>
  <c r="S8776" i="1"/>
  <c r="T8776" i="1"/>
  <c r="U8776" i="1"/>
  <c r="V8776" i="1"/>
  <c r="W8776" i="1"/>
  <c r="X8776" i="1"/>
  <c r="Y8776" i="1"/>
  <c r="Z8776" i="1"/>
  <c r="A8777" i="1"/>
  <c r="B8777" i="1"/>
  <c r="C8777" i="1"/>
  <c r="D8777" i="1"/>
  <c r="E8777" i="1"/>
  <c r="F8777" i="1"/>
  <c r="G8777" i="1"/>
  <c r="I8777" i="1"/>
  <c r="J8777" i="1"/>
  <c r="K8777" i="1"/>
  <c r="L8777" i="1"/>
  <c r="M8777" i="1"/>
  <c r="N8777" i="1"/>
  <c r="O8777" i="1"/>
  <c r="P8777" i="1"/>
  <c r="Q8777" i="1"/>
  <c r="R8777" i="1"/>
  <c r="S8777" i="1"/>
  <c r="T8777" i="1"/>
  <c r="U8777" i="1"/>
  <c r="V8777" i="1"/>
  <c r="W8777" i="1"/>
  <c r="X8777" i="1"/>
  <c r="Y8777" i="1"/>
  <c r="Z8777" i="1"/>
  <c r="A8778" i="1"/>
  <c r="B8778" i="1"/>
  <c r="C8778" i="1"/>
  <c r="D8778" i="1"/>
  <c r="E8778" i="1"/>
  <c r="F8778" i="1"/>
  <c r="G8778" i="1"/>
  <c r="I8778" i="1"/>
  <c r="J8778" i="1"/>
  <c r="K8778" i="1"/>
  <c r="L8778" i="1"/>
  <c r="M8778" i="1"/>
  <c r="N8778" i="1"/>
  <c r="O8778" i="1"/>
  <c r="P8778" i="1"/>
  <c r="Q8778" i="1"/>
  <c r="R8778" i="1"/>
  <c r="S8778" i="1"/>
  <c r="T8778" i="1"/>
  <c r="U8778" i="1"/>
  <c r="V8778" i="1"/>
  <c r="W8778" i="1"/>
  <c r="X8778" i="1"/>
  <c r="Y8778" i="1"/>
  <c r="Z8778" i="1"/>
  <c r="A8779" i="1"/>
  <c r="B8779" i="1"/>
  <c r="C8779" i="1"/>
  <c r="D8779" i="1"/>
  <c r="E8779" i="1"/>
  <c r="F8779" i="1"/>
  <c r="G8779" i="1"/>
  <c r="I8779" i="1"/>
  <c r="J8779" i="1"/>
  <c r="K8779" i="1"/>
  <c r="L8779" i="1"/>
  <c r="M8779" i="1"/>
  <c r="N8779" i="1"/>
  <c r="O8779" i="1"/>
  <c r="P8779" i="1"/>
  <c r="Q8779" i="1"/>
  <c r="R8779" i="1"/>
  <c r="S8779" i="1"/>
  <c r="T8779" i="1"/>
  <c r="U8779" i="1"/>
  <c r="V8779" i="1"/>
  <c r="W8779" i="1"/>
  <c r="X8779" i="1"/>
  <c r="Y8779" i="1"/>
  <c r="Z8779" i="1"/>
  <c r="A8780" i="1"/>
  <c r="B8780" i="1"/>
  <c r="C8780" i="1"/>
  <c r="D8780" i="1"/>
  <c r="E8780" i="1"/>
  <c r="F8780" i="1"/>
  <c r="G8780" i="1"/>
  <c r="I8780" i="1"/>
  <c r="J8780" i="1"/>
  <c r="K8780" i="1"/>
  <c r="L8780" i="1"/>
  <c r="M8780" i="1"/>
  <c r="N8780" i="1"/>
  <c r="O8780" i="1"/>
  <c r="P8780" i="1"/>
  <c r="Q8780" i="1"/>
  <c r="R8780" i="1"/>
  <c r="S8780" i="1"/>
  <c r="T8780" i="1"/>
  <c r="U8780" i="1"/>
  <c r="V8780" i="1"/>
  <c r="W8780" i="1"/>
  <c r="X8780" i="1"/>
  <c r="Y8780" i="1"/>
  <c r="Z8780" i="1"/>
  <c r="A8781" i="1"/>
  <c r="B8781" i="1"/>
  <c r="C8781" i="1"/>
  <c r="D8781" i="1"/>
  <c r="E8781" i="1"/>
  <c r="F8781" i="1"/>
  <c r="G8781" i="1"/>
  <c r="I8781" i="1"/>
  <c r="J8781" i="1"/>
  <c r="K8781" i="1"/>
  <c r="L8781" i="1"/>
  <c r="M8781" i="1"/>
  <c r="N8781" i="1"/>
  <c r="O8781" i="1"/>
  <c r="P8781" i="1"/>
  <c r="Q8781" i="1"/>
  <c r="R8781" i="1"/>
  <c r="S8781" i="1"/>
  <c r="T8781" i="1"/>
  <c r="U8781" i="1"/>
  <c r="V8781" i="1"/>
  <c r="W8781" i="1"/>
  <c r="X8781" i="1"/>
  <c r="Y8781" i="1"/>
  <c r="Z8781" i="1"/>
  <c r="A8782" i="1"/>
  <c r="B8782" i="1"/>
  <c r="C8782" i="1"/>
  <c r="D8782" i="1"/>
  <c r="E8782" i="1"/>
  <c r="F8782" i="1"/>
  <c r="G8782" i="1"/>
  <c r="I8782" i="1"/>
  <c r="J8782" i="1"/>
  <c r="K8782" i="1"/>
  <c r="L8782" i="1"/>
  <c r="M8782" i="1"/>
  <c r="N8782" i="1"/>
  <c r="O8782" i="1"/>
  <c r="P8782" i="1"/>
  <c r="Q8782" i="1"/>
  <c r="R8782" i="1"/>
  <c r="S8782" i="1"/>
  <c r="T8782" i="1"/>
  <c r="U8782" i="1"/>
  <c r="V8782" i="1"/>
  <c r="W8782" i="1"/>
  <c r="X8782" i="1"/>
  <c r="Y8782" i="1"/>
  <c r="Z8782" i="1"/>
  <c r="A8783" i="1"/>
  <c r="B8783" i="1"/>
  <c r="C8783" i="1"/>
  <c r="D8783" i="1"/>
  <c r="E8783" i="1"/>
  <c r="F8783" i="1"/>
  <c r="G8783" i="1"/>
  <c r="I8783" i="1"/>
  <c r="J8783" i="1"/>
  <c r="K8783" i="1"/>
  <c r="L8783" i="1"/>
  <c r="M8783" i="1"/>
  <c r="N8783" i="1"/>
  <c r="O8783" i="1"/>
  <c r="P8783" i="1"/>
  <c r="Q8783" i="1"/>
  <c r="R8783" i="1"/>
  <c r="S8783" i="1"/>
  <c r="T8783" i="1"/>
  <c r="U8783" i="1"/>
  <c r="V8783" i="1"/>
  <c r="W8783" i="1"/>
  <c r="X8783" i="1"/>
  <c r="Y8783" i="1"/>
  <c r="Z8783" i="1"/>
  <c r="A8784" i="1"/>
  <c r="B8784" i="1"/>
  <c r="C8784" i="1"/>
  <c r="D8784" i="1"/>
  <c r="E8784" i="1"/>
  <c r="F8784" i="1"/>
  <c r="G8784" i="1"/>
  <c r="I8784" i="1"/>
  <c r="J8784" i="1"/>
  <c r="K8784" i="1"/>
  <c r="L8784" i="1"/>
  <c r="M8784" i="1"/>
  <c r="N8784" i="1"/>
  <c r="O8784" i="1"/>
  <c r="P8784" i="1"/>
  <c r="Q8784" i="1"/>
  <c r="R8784" i="1"/>
  <c r="S8784" i="1"/>
  <c r="T8784" i="1"/>
  <c r="U8784" i="1"/>
  <c r="V8784" i="1"/>
  <c r="W8784" i="1"/>
  <c r="X8784" i="1"/>
  <c r="Y8784" i="1"/>
  <c r="Z8784" i="1"/>
  <c r="A8785" i="1"/>
  <c r="B8785" i="1"/>
  <c r="C8785" i="1"/>
  <c r="D8785" i="1"/>
  <c r="E8785" i="1"/>
  <c r="F8785" i="1"/>
  <c r="G8785" i="1"/>
  <c r="I8785" i="1"/>
  <c r="J8785" i="1"/>
  <c r="K8785" i="1"/>
  <c r="L8785" i="1"/>
  <c r="M8785" i="1"/>
  <c r="N8785" i="1"/>
  <c r="O8785" i="1"/>
  <c r="P8785" i="1"/>
  <c r="Q8785" i="1"/>
  <c r="R8785" i="1"/>
  <c r="S8785" i="1"/>
  <c r="T8785" i="1"/>
  <c r="U8785" i="1"/>
  <c r="V8785" i="1"/>
  <c r="W8785" i="1"/>
  <c r="X8785" i="1"/>
  <c r="Y8785" i="1"/>
  <c r="Z8785" i="1"/>
  <c r="A8786" i="1"/>
  <c r="B8786" i="1"/>
  <c r="C8786" i="1"/>
  <c r="D8786" i="1"/>
  <c r="E8786" i="1"/>
  <c r="F8786" i="1"/>
  <c r="G8786" i="1"/>
  <c r="I8786" i="1"/>
  <c r="J8786" i="1"/>
  <c r="K8786" i="1"/>
  <c r="L8786" i="1"/>
  <c r="M8786" i="1"/>
  <c r="N8786" i="1"/>
  <c r="O8786" i="1"/>
  <c r="P8786" i="1"/>
  <c r="Q8786" i="1"/>
  <c r="R8786" i="1"/>
  <c r="S8786" i="1"/>
  <c r="T8786" i="1"/>
  <c r="U8786" i="1"/>
  <c r="V8786" i="1"/>
  <c r="W8786" i="1"/>
  <c r="X8786" i="1"/>
  <c r="Y8786" i="1"/>
  <c r="Z8786" i="1"/>
  <c r="A8787" i="1"/>
  <c r="B8787" i="1"/>
  <c r="C8787" i="1"/>
  <c r="D8787" i="1"/>
  <c r="E8787" i="1"/>
  <c r="F8787" i="1"/>
  <c r="G8787" i="1"/>
  <c r="I8787" i="1"/>
  <c r="J8787" i="1"/>
  <c r="K8787" i="1"/>
  <c r="L8787" i="1"/>
  <c r="M8787" i="1"/>
  <c r="N8787" i="1"/>
  <c r="O8787" i="1"/>
  <c r="P8787" i="1"/>
  <c r="Q8787" i="1"/>
  <c r="R8787" i="1"/>
  <c r="S8787" i="1"/>
  <c r="T8787" i="1"/>
  <c r="U8787" i="1"/>
  <c r="V8787" i="1"/>
  <c r="W8787" i="1"/>
  <c r="X8787" i="1"/>
  <c r="Y8787" i="1"/>
  <c r="Z8787" i="1"/>
  <c r="A8788" i="1"/>
  <c r="B8788" i="1"/>
  <c r="C8788" i="1"/>
  <c r="D8788" i="1"/>
  <c r="E8788" i="1"/>
  <c r="F8788" i="1"/>
  <c r="G8788" i="1"/>
  <c r="I8788" i="1"/>
  <c r="J8788" i="1"/>
  <c r="K8788" i="1"/>
  <c r="L8788" i="1"/>
  <c r="M8788" i="1"/>
  <c r="N8788" i="1"/>
  <c r="O8788" i="1"/>
  <c r="P8788" i="1"/>
  <c r="Q8788" i="1"/>
  <c r="R8788" i="1"/>
  <c r="S8788" i="1"/>
  <c r="T8788" i="1"/>
  <c r="U8788" i="1"/>
  <c r="V8788" i="1"/>
  <c r="W8788" i="1"/>
  <c r="X8788" i="1"/>
  <c r="Y8788" i="1"/>
  <c r="Z8788" i="1"/>
  <c r="A8789" i="1"/>
  <c r="B8789" i="1"/>
  <c r="C8789" i="1"/>
  <c r="D8789" i="1"/>
  <c r="E8789" i="1"/>
  <c r="F8789" i="1"/>
  <c r="G8789" i="1"/>
  <c r="I8789" i="1"/>
  <c r="J8789" i="1"/>
  <c r="K8789" i="1"/>
  <c r="L8789" i="1"/>
  <c r="M8789" i="1"/>
  <c r="N8789" i="1"/>
  <c r="O8789" i="1"/>
  <c r="P8789" i="1"/>
  <c r="Q8789" i="1"/>
  <c r="R8789" i="1"/>
  <c r="S8789" i="1"/>
  <c r="T8789" i="1"/>
  <c r="U8789" i="1"/>
  <c r="V8789" i="1"/>
  <c r="W8789" i="1"/>
  <c r="X8789" i="1"/>
  <c r="Y8789" i="1"/>
  <c r="Z8789" i="1"/>
  <c r="A8790" i="1"/>
  <c r="B8790" i="1"/>
  <c r="C8790" i="1"/>
  <c r="D8790" i="1"/>
  <c r="E8790" i="1"/>
  <c r="F8790" i="1"/>
  <c r="G8790" i="1"/>
  <c r="I8790" i="1"/>
  <c r="J8790" i="1"/>
  <c r="K8790" i="1"/>
  <c r="L8790" i="1"/>
  <c r="M8790" i="1"/>
  <c r="N8790" i="1"/>
  <c r="O8790" i="1"/>
  <c r="P8790" i="1"/>
  <c r="Q8790" i="1"/>
  <c r="R8790" i="1"/>
  <c r="S8790" i="1"/>
  <c r="T8790" i="1"/>
  <c r="U8790" i="1"/>
  <c r="V8790" i="1"/>
  <c r="W8790" i="1"/>
  <c r="X8790" i="1"/>
  <c r="Y8790" i="1"/>
  <c r="Z8790" i="1"/>
  <c r="A8791" i="1"/>
  <c r="B8791" i="1"/>
  <c r="C8791" i="1"/>
  <c r="D8791" i="1"/>
  <c r="E8791" i="1"/>
  <c r="F8791" i="1"/>
  <c r="G8791" i="1"/>
  <c r="I8791" i="1"/>
  <c r="J8791" i="1"/>
  <c r="K8791" i="1"/>
  <c r="L8791" i="1"/>
  <c r="M8791" i="1"/>
  <c r="N8791" i="1"/>
  <c r="O8791" i="1"/>
  <c r="P8791" i="1"/>
  <c r="Q8791" i="1"/>
  <c r="R8791" i="1"/>
  <c r="S8791" i="1"/>
  <c r="T8791" i="1"/>
  <c r="U8791" i="1"/>
  <c r="V8791" i="1"/>
  <c r="W8791" i="1"/>
  <c r="X8791" i="1"/>
  <c r="Y8791" i="1"/>
  <c r="Z8791" i="1"/>
  <c r="A8792" i="1"/>
  <c r="B8792" i="1"/>
  <c r="C8792" i="1"/>
  <c r="D8792" i="1"/>
  <c r="E8792" i="1"/>
  <c r="F8792" i="1"/>
  <c r="G8792" i="1"/>
  <c r="I8792" i="1"/>
  <c r="J8792" i="1"/>
  <c r="K8792" i="1"/>
  <c r="L8792" i="1"/>
  <c r="M8792" i="1"/>
  <c r="N8792" i="1"/>
  <c r="O8792" i="1"/>
  <c r="P8792" i="1"/>
  <c r="Q8792" i="1"/>
  <c r="R8792" i="1"/>
  <c r="S8792" i="1"/>
  <c r="T8792" i="1"/>
  <c r="U8792" i="1"/>
  <c r="V8792" i="1"/>
  <c r="W8792" i="1"/>
  <c r="X8792" i="1"/>
  <c r="Y8792" i="1"/>
  <c r="Z8792" i="1"/>
  <c r="A8793" i="1"/>
  <c r="B8793" i="1"/>
  <c r="C8793" i="1"/>
  <c r="D8793" i="1"/>
  <c r="E8793" i="1"/>
  <c r="F8793" i="1"/>
  <c r="G8793" i="1"/>
  <c r="I8793" i="1"/>
  <c r="J8793" i="1"/>
  <c r="K8793" i="1"/>
  <c r="L8793" i="1"/>
  <c r="M8793" i="1"/>
  <c r="N8793" i="1"/>
  <c r="O8793" i="1"/>
  <c r="P8793" i="1"/>
  <c r="Q8793" i="1"/>
  <c r="R8793" i="1"/>
  <c r="S8793" i="1"/>
  <c r="T8793" i="1"/>
  <c r="U8793" i="1"/>
  <c r="V8793" i="1"/>
  <c r="W8793" i="1"/>
  <c r="X8793" i="1"/>
  <c r="Y8793" i="1"/>
  <c r="Z8793" i="1"/>
  <c r="A8794" i="1"/>
  <c r="B8794" i="1"/>
  <c r="C8794" i="1"/>
  <c r="D8794" i="1"/>
  <c r="E8794" i="1"/>
  <c r="F8794" i="1"/>
  <c r="G8794" i="1"/>
  <c r="I8794" i="1"/>
  <c r="J8794" i="1"/>
  <c r="K8794" i="1"/>
  <c r="L8794" i="1"/>
  <c r="M8794" i="1"/>
  <c r="N8794" i="1"/>
  <c r="O8794" i="1"/>
  <c r="P8794" i="1"/>
  <c r="Q8794" i="1"/>
  <c r="R8794" i="1"/>
  <c r="S8794" i="1"/>
  <c r="T8794" i="1"/>
  <c r="U8794" i="1"/>
  <c r="V8794" i="1"/>
  <c r="W8794" i="1"/>
  <c r="X8794" i="1"/>
  <c r="Y8794" i="1"/>
  <c r="Z8794" i="1"/>
  <c r="A8795" i="1"/>
  <c r="B8795" i="1"/>
  <c r="C8795" i="1"/>
  <c r="D8795" i="1"/>
  <c r="E8795" i="1"/>
  <c r="F8795" i="1"/>
  <c r="G8795" i="1"/>
  <c r="I8795" i="1"/>
  <c r="J8795" i="1"/>
  <c r="K8795" i="1"/>
  <c r="L8795" i="1"/>
  <c r="M8795" i="1"/>
  <c r="N8795" i="1"/>
  <c r="O8795" i="1"/>
  <c r="P8795" i="1"/>
  <c r="Q8795" i="1"/>
  <c r="R8795" i="1"/>
  <c r="S8795" i="1"/>
  <c r="T8795" i="1"/>
  <c r="U8795" i="1"/>
  <c r="V8795" i="1"/>
  <c r="W8795" i="1"/>
  <c r="X8795" i="1"/>
  <c r="Y8795" i="1"/>
  <c r="Z8795" i="1"/>
  <c r="A8796" i="1"/>
  <c r="B8796" i="1"/>
  <c r="C8796" i="1"/>
  <c r="D8796" i="1"/>
  <c r="E8796" i="1"/>
  <c r="F8796" i="1"/>
  <c r="G8796" i="1"/>
  <c r="I8796" i="1"/>
  <c r="J8796" i="1"/>
  <c r="K8796" i="1"/>
  <c r="L8796" i="1"/>
  <c r="M8796" i="1"/>
  <c r="N8796" i="1"/>
  <c r="O8796" i="1"/>
  <c r="P8796" i="1"/>
  <c r="Q8796" i="1"/>
  <c r="R8796" i="1"/>
  <c r="S8796" i="1"/>
  <c r="T8796" i="1"/>
  <c r="U8796" i="1"/>
  <c r="V8796" i="1"/>
  <c r="W8796" i="1"/>
  <c r="X8796" i="1"/>
  <c r="Y8796" i="1"/>
  <c r="Z8796" i="1"/>
  <c r="A8797" i="1"/>
  <c r="B8797" i="1"/>
  <c r="C8797" i="1"/>
  <c r="D8797" i="1"/>
  <c r="E8797" i="1"/>
  <c r="F8797" i="1"/>
  <c r="G8797" i="1"/>
  <c r="I8797" i="1"/>
  <c r="J8797" i="1"/>
  <c r="K8797" i="1"/>
  <c r="L8797" i="1"/>
  <c r="M8797" i="1"/>
  <c r="N8797" i="1"/>
  <c r="O8797" i="1"/>
  <c r="P8797" i="1"/>
  <c r="Q8797" i="1"/>
  <c r="R8797" i="1"/>
  <c r="S8797" i="1"/>
  <c r="T8797" i="1"/>
  <c r="U8797" i="1"/>
  <c r="V8797" i="1"/>
  <c r="W8797" i="1"/>
  <c r="X8797" i="1"/>
  <c r="Y8797" i="1"/>
  <c r="Z8797" i="1"/>
  <c r="A8798" i="1"/>
  <c r="B8798" i="1"/>
  <c r="C8798" i="1"/>
  <c r="D8798" i="1"/>
  <c r="E8798" i="1"/>
  <c r="F8798" i="1"/>
  <c r="G8798" i="1"/>
  <c r="I8798" i="1"/>
  <c r="J8798" i="1"/>
  <c r="K8798" i="1"/>
  <c r="L8798" i="1"/>
  <c r="M8798" i="1"/>
  <c r="N8798" i="1"/>
  <c r="O8798" i="1"/>
  <c r="P8798" i="1"/>
  <c r="Q8798" i="1"/>
  <c r="R8798" i="1"/>
  <c r="S8798" i="1"/>
  <c r="T8798" i="1"/>
  <c r="U8798" i="1"/>
  <c r="V8798" i="1"/>
  <c r="W8798" i="1"/>
  <c r="X8798" i="1"/>
  <c r="Y8798" i="1"/>
  <c r="Z8798" i="1"/>
  <c r="A8799" i="1"/>
  <c r="B8799" i="1"/>
  <c r="C8799" i="1"/>
  <c r="D8799" i="1"/>
  <c r="E8799" i="1"/>
  <c r="F8799" i="1"/>
  <c r="G8799" i="1"/>
  <c r="I8799" i="1"/>
  <c r="J8799" i="1"/>
  <c r="K8799" i="1"/>
  <c r="L8799" i="1"/>
  <c r="M8799" i="1"/>
  <c r="N8799" i="1"/>
  <c r="O8799" i="1"/>
  <c r="P8799" i="1"/>
  <c r="Q8799" i="1"/>
  <c r="R8799" i="1"/>
  <c r="S8799" i="1"/>
  <c r="T8799" i="1"/>
  <c r="U8799" i="1"/>
  <c r="V8799" i="1"/>
  <c r="W8799" i="1"/>
  <c r="X8799" i="1"/>
  <c r="Y8799" i="1"/>
  <c r="Z8799" i="1"/>
  <c r="A8800" i="1"/>
  <c r="B8800" i="1"/>
  <c r="C8800" i="1"/>
  <c r="D8800" i="1"/>
  <c r="E8800" i="1"/>
  <c r="F8800" i="1"/>
  <c r="G8800" i="1"/>
  <c r="I8800" i="1"/>
  <c r="J8800" i="1"/>
  <c r="K8800" i="1"/>
  <c r="L8800" i="1"/>
  <c r="M8800" i="1"/>
  <c r="N8800" i="1"/>
  <c r="O8800" i="1"/>
  <c r="P8800" i="1"/>
  <c r="Q8800" i="1"/>
  <c r="R8800" i="1"/>
  <c r="S8800" i="1"/>
  <c r="T8800" i="1"/>
  <c r="U8800" i="1"/>
  <c r="V8800" i="1"/>
  <c r="W8800" i="1"/>
  <c r="X8800" i="1"/>
  <c r="Y8800" i="1"/>
  <c r="Z8800" i="1"/>
  <c r="A8801" i="1"/>
  <c r="B8801" i="1"/>
  <c r="C8801" i="1"/>
  <c r="D8801" i="1"/>
  <c r="E8801" i="1"/>
  <c r="F8801" i="1"/>
  <c r="G8801" i="1"/>
  <c r="I8801" i="1"/>
  <c r="J8801" i="1"/>
  <c r="K8801" i="1"/>
  <c r="L8801" i="1"/>
  <c r="M8801" i="1"/>
  <c r="N8801" i="1"/>
  <c r="O8801" i="1"/>
  <c r="P8801" i="1"/>
  <c r="Q8801" i="1"/>
  <c r="R8801" i="1"/>
  <c r="S8801" i="1"/>
  <c r="T8801" i="1"/>
  <c r="U8801" i="1"/>
  <c r="V8801" i="1"/>
  <c r="W8801" i="1"/>
  <c r="X8801" i="1"/>
  <c r="Y8801" i="1"/>
  <c r="Z8801" i="1"/>
  <c r="A8802" i="1"/>
  <c r="B8802" i="1"/>
  <c r="C8802" i="1"/>
  <c r="D8802" i="1"/>
  <c r="E8802" i="1"/>
  <c r="F8802" i="1"/>
  <c r="G8802" i="1"/>
  <c r="I8802" i="1"/>
  <c r="J8802" i="1"/>
  <c r="K8802" i="1"/>
  <c r="L8802" i="1"/>
  <c r="M8802" i="1"/>
  <c r="N8802" i="1"/>
  <c r="O8802" i="1"/>
  <c r="P8802" i="1"/>
  <c r="Q8802" i="1"/>
  <c r="R8802" i="1"/>
  <c r="S8802" i="1"/>
  <c r="T8802" i="1"/>
  <c r="U8802" i="1"/>
  <c r="V8802" i="1"/>
  <c r="W8802" i="1"/>
  <c r="X8802" i="1"/>
  <c r="Y8802" i="1"/>
  <c r="Z8802" i="1"/>
  <c r="A8803" i="1"/>
  <c r="B8803" i="1"/>
  <c r="C8803" i="1"/>
  <c r="D8803" i="1"/>
  <c r="E8803" i="1"/>
  <c r="F8803" i="1"/>
  <c r="G8803" i="1"/>
  <c r="I8803" i="1"/>
  <c r="J8803" i="1"/>
  <c r="K8803" i="1"/>
  <c r="L8803" i="1"/>
  <c r="M8803" i="1"/>
  <c r="N8803" i="1"/>
  <c r="O8803" i="1"/>
  <c r="P8803" i="1"/>
  <c r="Q8803" i="1"/>
  <c r="R8803" i="1"/>
  <c r="S8803" i="1"/>
  <c r="T8803" i="1"/>
  <c r="U8803" i="1"/>
  <c r="V8803" i="1"/>
  <c r="W8803" i="1"/>
  <c r="X8803" i="1"/>
  <c r="Y8803" i="1"/>
  <c r="Z8803" i="1"/>
  <c r="A8804" i="1"/>
  <c r="B8804" i="1"/>
  <c r="C8804" i="1"/>
  <c r="D8804" i="1"/>
  <c r="E8804" i="1"/>
  <c r="F8804" i="1"/>
  <c r="G8804" i="1"/>
  <c r="I8804" i="1"/>
  <c r="J8804" i="1"/>
  <c r="K8804" i="1"/>
  <c r="L8804" i="1"/>
  <c r="M8804" i="1"/>
  <c r="N8804" i="1"/>
  <c r="O8804" i="1"/>
  <c r="P8804" i="1"/>
  <c r="Q8804" i="1"/>
  <c r="R8804" i="1"/>
  <c r="S8804" i="1"/>
  <c r="T8804" i="1"/>
  <c r="U8804" i="1"/>
  <c r="V8804" i="1"/>
  <c r="W8804" i="1"/>
  <c r="X8804" i="1"/>
  <c r="Y8804" i="1"/>
  <c r="Z8804" i="1"/>
  <c r="A8805" i="1"/>
  <c r="B8805" i="1"/>
  <c r="C8805" i="1"/>
  <c r="D8805" i="1"/>
  <c r="E8805" i="1"/>
  <c r="F8805" i="1"/>
  <c r="G8805" i="1"/>
  <c r="I8805" i="1"/>
  <c r="J8805" i="1"/>
  <c r="K8805" i="1"/>
  <c r="L8805" i="1"/>
  <c r="M8805" i="1"/>
  <c r="N8805" i="1"/>
  <c r="O8805" i="1"/>
  <c r="P8805" i="1"/>
  <c r="Q8805" i="1"/>
  <c r="R8805" i="1"/>
  <c r="S8805" i="1"/>
  <c r="T8805" i="1"/>
  <c r="U8805" i="1"/>
  <c r="V8805" i="1"/>
  <c r="W8805" i="1"/>
  <c r="X8805" i="1"/>
  <c r="Y8805" i="1"/>
  <c r="Z8805" i="1"/>
  <c r="A8806" i="1"/>
  <c r="B8806" i="1"/>
  <c r="C8806" i="1"/>
  <c r="D8806" i="1"/>
  <c r="E8806" i="1"/>
  <c r="F8806" i="1"/>
  <c r="G8806" i="1"/>
  <c r="I8806" i="1"/>
  <c r="J8806" i="1"/>
  <c r="K8806" i="1"/>
  <c r="L8806" i="1"/>
  <c r="M8806" i="1"/>
  <c r="N8806" i="1"/>
  <c r="O8806" i="1"/>
  <c r="P8806" i="1"/>
  <c r="Q8806" i="1"/>
  <c r="R8806" i="1"/>
  <c r="S8806" i="1"/>
  <c r="T8806" i="1"/>
  <c r="U8806" i="1"/>
  <c r="V8806" i="1"/>
  <c r="W8806" i="1"/>
  <c r="X8806" i="1"/>
  <c r="Y8806" i="1"/>
  <c r="Z8806" i="1"/>
  <c r="A8807" i="1"/>
  <c r="B8807" i="1"/>
  <c r="C8807" i="1"/>
  <c r="D8807" i="1"/>
  <c r="E8807" i="1"/>
  <c r="F8807" i="1"/>
  <c r="G8807" i="1"/>
  <c r="I8807" i="1"/>
  <c r="J8807" i="1"/>
  <c r="K8807" i="1"/>
  <c r="L8807" i="1"/>
  <c r="M8807" i="1"/>
  <c r="N8807" i="1"/>
  <c r="O8807" i="1"/>
  <c r="P8807" i="1"/>
  <c r="Q8807" i="1"/>
  <c r="R8807" i="1"/>
  <c r="S8807" i="1"/>
  <c r="T8807" i="1"/>
  <c r="U8807" i="1"/>
  <c r="V8807" i="1"/>
  <c r="W8807" i="1"/>
  <c r="X8807" i="1"/>
  <c r="Y8807" i="1"/>
  <c r="Z8807" i="1"/>
  <c r="A8808" i="1"/>
  <c r="B8808" i="1"/>
  <c r="C8808" i="1"/>
  <c r="D8808" i="1"/>
  <c r="E8808" i="1"/>
  <c r="F8808" i="1"/>
  <c r="G8808" i="1"/>
  <c r="I8808" i="1"/>
  <c r="J8808" i="1"/>
  <c r="K8808" i="1"/>
  <c r="L8808" i="1"/>
  <c r="M8808" i="1"/>
  <c r="N8808" i="1"/>
  <c r="O8808" i="1"/>
  <c r="P8808" i="1"/>
  <c r="Q8808" i="1"/>
  <c r="R8808" i="1"/>
  <c r="S8808" i="1"/>
  <c r="T8808" i="1"/>
  <c r="U8808" i="1"/>
  <c r="V8808" i="1"/>
  <c r="W8808" i="1"/>
  <c r="X8808" i="1"/>
  <c r="Y8808" i="1"/>
  <c r="Z8808" i="1"/>
  <c r="A8809" i="1"/>
  <c r="B8809" i="1"/>
  <c r="C8809" i="1"/>
  <c r="D8809" i="1"/>
  <c r="E8809" i="1"/>
  <c r="F8809" i="1"/>
  <c r="G8809" i="1"/>
  <c r="I8809" i="1"/>
  <c r="J8809" i="1"/>
  <c r="K8809" i="1"/>
  <c r="L8809" i="1"/>
  <c r="M8809" i="1"/>
  <c r="N8809" i="1"/>
  <c r="O8809" i="1"/>
  <c r="P8809" i="1"/>
  <c r="Q8809" i="1"/>
  <c r="R8809" i="1"/>
  <c r="S8809" i="1"/>
  <c r="T8809" i="1"/>
  <c r="U8809" i="1"/>
  <c r="V8809" i="1"/>
  <c r="W8809" i="1"/>
  <c r="X8809" i="1"/>
  <c r="Y8809" i="1"/>
  <c r="Z8809" i="1"/>
  <c r="A8810" i="1"/>
  <c r="B8810" i="1"/>
  <c r="C8810" i="1"/>
  <c r="D8810" i="1"/>
  <c r="E8810" i="1"/>
  <c r="F8810" i="1"/>
  <c r="G8810" i="1"/>
  <c r="I8810" i="1"/>
  <c r="J8810" i="1"/>
  <c r="K8810" i="1"/>
  <c r="L8810" i="1"/>
  <c r="M8810" i="1"/>
  <c r="N8810" i="1"/>
  <c r="O8810" i="1"/>
  <c r="P8810" i="1"/>
  <c r="Q8810" i="1"/>
  <c r="R8810" i="1"/>
  <c r="S8810" i="1"/>
  <c r="T8810" i="1"/>
  <c r="U8810" i="1"/>
  <c r="V8810" i="1"/>
  <c r="W8810" i="1"/>
  <c r="X8810" i="1"/>
  <c r="Y8810" i="1"/>
  <c r="Z8810" i="1"/>
  <c r="A8811" i="1"/>
  <c r="B8811" i="1"/>
  <c r="C8811" i="1"/>
  <c r="D8811" i="1"/>
  <c r="E8811" i="1"/>
  <c r="F8811" i="1"/>
  <c r="G8811" i="1"/>
  <c r="I8811" i="1"/>
  <c r="J8811" i="1"/>
  <c r="K8811" i="1"/>
  <c r="L8811" i="1"/>
  <c r="M8811" i="1"/>
  <c r="N8811" i="1"/>
  <c r="O8811" i="1"/>
  <c r="P8811" i="1"/>
  <c r="Q8811" i="1"/>
  <c r="R8811" i="1"/>
  <c r="S8811" i="1"/>
  <c r="T8811" i="1"/>
  <c r="U8811" i="1"/>
  <c r="V8811" i="1"/>
  <c r="W8811" i="1"/>
  <c r="X8811" i="1"/>
  <c r="Y8811" i="1"/>
  <c r="Z8811" i="1"/>
  <c r="A8812" i="1"/>
  <c r="B8812" i="1"/>
  <c r="C8812" i="1"/>
  <c r="D8812" i="1"/>
  <c r="E8812" i="1"/>
  <c r="F8812" i="1"/>
  <c r="G8812" i="1"/>
  <c r="I8812" i="1"/>
  <c r="J8812" i="1"/>
  <c r="K8812" i="1"/>
  <c r="L8812" i="1"/>
  <c r="M8812" i="1"/>
  <c r="N8812" i="1"/>
  <c r="O8812" i="1"/>
  <c r="P8812" i="1"/>
  <c r="Q8812" i="1"/>
  <c r="R8812" i="1"/>
  <c r="S8812" i="1"/>
  <c r="T8812" i="1"/>
  <c r="U8812" i="1"/>
  <c r="V8812" i="1"/>
  <c r="W8812" i="1"/>
  <c r="X8812" i="1"/>
  <c r="Y8812" i="1"/>
  <c r="Z8812" i="1"/>
  <c r="A8813" i="1"/>
  <c r="B8813" i="1"/>
  <c r="C8813" i="1"/>
  <c r="D8813" i="1"/>
  <c r="E8813" i="1"/>
  <c r="F8813" i="1"/>
  <c r="G8813" i="1"/>
  <c r="I8813" i="1"/>
  <c r="J8813" i="1"/>
  <c r="K8813" i="1"/>
  <c r="L8813" i="1"/>
  <c r="M8813" i="1"/>
  <c r="N8813" i="1"/>
  <c r="O8813" i="1"/>
  <c r="P8813" i="1"/>
  <c r="Q8813" i="1"/>
  <c r="R8813" i="1"/>
  <c r="S8813" i="1"/>
  <c r="T8813" i="1"/>
  <c r="U8813" i="1"/>
  <c r="V8813" i="1"/>
  <c r="W8813" i="1"/>
  <c r="X8813" i="1"/>
  <c r="Y8813" i="1"/>
  <c r="Z8813" i="1"/>
  <c r="A8814" i="1"/>
  <c r="B8814" i="1"/>
  <c r="C8814" i="1"/>
  <c r="D8814" i="1"/>
  <c r="E8814" i="1"/>
  <c r="F8814" i="1"/>
  <c r="G8814" i="1"/>
  <c r="I8814" i="1"/>
  <c r="J8814" i="1"/>
  <c r="K8814" i="1"/>
  <c r="L8814" i="1"/>
  <c r="M8814" i="1"/>
  <c r="N8814" i="1"/>
  <c r="O8814" i="1"/>
  <c r="P8814" i="1"/>
  <c r="Q8814" i="1"/>
  <c r="R8814" i="1"/>
  <c r="S8814" i="1"/>
  <c r="T8814" i="1"/>
  <c r="U8814" i="1"/>
  <c r="V8814" i="1"/>
  <c r="W8814" i="1"/>
  <c r="X8814" i="1"/>
  <c r="Y8814" i="1"/>
  <c r="Z8814" i="1"/>
  <c r="A8815" i="1"/>
  <c r="B8815" i="1"/>
  <c r="C8815" i="1"/>
  <c r="D8815" i="1"/>
  <c r="E8815" i="1"/>
  <c r="F8815" i="1"/>
  <c r="G8815" i="1"/>
  <c r="I8815" i="1"/>
  <c r="J8815" i="1"/>
  <c r="K8815" i="1"/>
  <c r="L8815" i="1"/>
  <c r="M8815" i="1"/>
  <c r="N8815" i="1"/>
  <c r="O8815" i="1"/>
  <c r="P8815" i="1"/>
  <c r="Q8815" i="1"/>
  <c r="R8815" i="1"/>
  <c r="S8815" i="1"/>
  <c r="T8815" i="1"/>
  <c r="U8815" i="1"/>
  <c r="V8815" i="1"/>
  <c r="W8815" i="1"/>
  <c r="X8815" i="1"/>
  <c r="Y8815" i="1"/>
  <c r="Z8815" i="1"/>
  <c r="A8816" i="1"/>
  <c r="B8816" i="1"/>
  <c r="C8816" i="1"/>
  <c r="D8816" i="1"/>
  <c r="E8816" i="1"/>
  <c r="F8816" i="1"/>
  <c r="G8816" i="1"/>
  <c r="I8816" i="1"/>
  <c r="J8816" i="1"/>
  <c r="K8816" i="1"/>
  <c r="L8816" i="1"/>
  <c r="M8816" i="1"/>
  <c r="N8816" i="1"/>
  <c r="O8816" i="1"/>
  <c r="P8816" i="1"/>
  <c r="Q8816" i="1"/>
  <c r="R8816" i="1"/>
  <c r="S8816" i="1"/>
  <c r="T8816" i="1"/>
  <c r="U8816" i="1"/>
  <c r="V8816" i="1"/>
  <c r="W8816" i="1"/>
  <c r="X8816" i="1"/>
  <c r="Y8816" i="1"/>
  <c r="Z8816" i="1"/>
  <c r="A8817" i="1"/>
  <c r="B8817" i="1"/>
  <c r="C8817" i="1"/>
  <c r="D8817" i="1"/>
  <c r="E8817" i="1"/>
  <c r="F8817" i="1"/>
  <c r="G8817" i="1"/>
  <c r="I8817" i="1"/>
  <c r="J8817" i="1"/>
  <c r="K8817" i="1"/>
  <c r="L8817" i="1"/>
  <c r="M8817" i="1"/>
  <c r="N8817" i="1"/>
  <c r="O8817" i="1"/>
  <c r="P8817" i="1"/>
  <c r="Q8817" i="1"/>
  <c r="R8817" i="1"/>
  <c r="S8817" i="1"/>
  <c r="T8817" i="1"/>
  <c r="U8817" i="1"/>
  <c r="V8817" i="1"/>
  <c r="W8817" i="1"/>
  <c r="X8817" i="1"/>
  <c r="Y8817" i="1"/>
  <c r="Z8817" i="1"/>
  <c r="A8818" i="1"/>
  <c r="B8818" i="1"/>
  <c r="C8818" i="1"/>
  <c r="D8818" i="1"/>
  <c r="E8818" i="1"/>
  <c r="F8818" i="1"/>
  <c r="G8818" i="1"/>
  <c r="I8818" i="1"/>
  <c r="J8818" i="1"/>
  <c r="K8818" i="1"/>
  <c r="L8818" i="1"/>
  <c r="M8818" i="1"/>
  <c r="N8818" i="1"/>
  <c r="O8818" i="1"/>
  <c r="P8818" i="1"/>
  <c r="Q8818" i="1"/>
  <c r="R8818" i="1"/>
  <c r="S8818" i="1"/>
  <c r="T8818" i="1"/>
  <c r="U8818" i="1"/>
  <c r="V8818" i="1"/>
  <c r="W8818" i="1"/>
  <c r="X8818" i="1"/>
  <c r="Y8818" i="1"/>
  <c r="Z8818" i="1"/>
  <c r="A8819" i="1"/>
  <c r="B8819" i="1"/>
  <c r="C8819" i="1"/>
  <c r="D8819" i="1"/>
  <c r="E8819" i="1"/>
  <c r="F8819" i="1"/>
  <c r="G8819" i="1"/>
  <c r="I8819" i="1"/>
  <c r="J8819" i="1"/>
  <c r="K8819" i="1"/>
  <c r="L8819" i="1"/>
  <c r="M8819" i="1"/>
  <c r="N8819" i="1"/>
  <c r="O8819" i="1"/>
  <c r="P8819" i="1"/>
  <c r="Q8819" i="1"/>
  <c r="R8819" i="1"/>
  <c r="S8819" i="1"/>
  <c r="T8819" i="1"/>
  <c r="U8819" i="1"/>
  <c r="V8819" i="1"/>
  <c r="W8819" i="1"/>
  <c r="X8819" i="1"/>
  <c r="Y8819" i="1"/>
  <c r="Z8819" i="1"/>
  <c r="A8820" i="1"/>
  <c r="B8820" i="1"/>
  <c r="C8820" i="1"/>
  <c r="D8820" i="1"/>
  <c r="E8820" i="1"/>
  <c r="F8820" i="1"/>
  <c r="G8820" i="1"/>
  <c r="I8820" i="1"/>
  <c r="J8820" i="1"/>
  <c r="K8820" i="1"/>
  <c r="L8820" i="1"/>
  <c r="M8820" i="1"/>
  <c r="N8820" i="1"/>
  <c r="O8820" i="1"/>
  <c r="P8820" i="1"/>
  <c r="Q8820" i="1"/>
  <c r="R8820" i="1"/>
  <c r="S8820" i="1"/>
  <c r="T8820" i="1"/>
  <c r="U8820" i="1"/>
  <c r="V8820" i="1"/>
  <c r="W8820" i="1"/>
  <c r="X8820" i="1"/>
  <c r="Y8820" i="1"/>
  <c r="Z8820" i="1"/>
  <c r="A8821" i="1"/>
  <c r="B8821" i="1"/>
  <c r="C8821" i="1"/>
  <c r="D8821" i="1"/>
  <c r="E8821" i="1"/>
  <c r="F8821" i="1"/>
  <c r="G8821" i="1"/>
  <c r="I8821" i="1"/>
  <c r="J8821" i="1"/>
  <c r="K8821" i="1"/>
  <c r="L8821" i="1"/>
  <c r="M8821" i="1"/>
  <c r="N8821" i="1"/>
  <c r="O8821" i="1"/>
  <c r="P8821" i="1"/>
  <c r="Q8821" i="1"/>
  <c r="R8821" i="1"/>
  <c r="S8821" i="1"/>
  <c r="T8821" i="1"/>
  <c r="U8821" i="1"/>
  <c r="V8821" i="1"/>
  <c r="W8821" i="1"/>
  <c r="X8821" i="1"/>
  <c r="Y8821" i="1"/>
  <c r="Z8821" i="1"/>
  <c r="A8822" i="1"/>
  <c r="B8822" i="1"/>
  <c r="C8822" i="1"/>
  <c r="D8822" i="1"/>
  <c r="E8822" i="1"/>
  <c r="F8822" i="1"/>
  <c r="G8822" i="1"/>
  <c r="I8822" i="1"/>
  <c r="J8822" i="1"/>
  <c r="K8822" i="1"/>
  <c r="L8822" i="1"/>
  <c r="M8822" i="1"/>
  <c r="N8822" i="1"/>
  <c r="O8822" i="1"/>
  <c r="P8822" i="1"/>
  <c r="Q8822" i="1"/>
  <c r="R8822" i="1"/>
  <c r="S8822" i="1"/>
  <c r="T8822" i="1"/>
  <c r="U8822" i="1"/>
  <c r="V8822" i="1"/>
  <c r="W8822" i="1"/>
  <c r="X8822" i="1"/>
  <c r="Y8822" i="1"/>
  <c r="Z8822" i="1"/>
  <c r="A8823" i="1"/>
  <c r="B8823" i="1"/>
  <c r="C8823" i="1"/>
  <c r="D8823" i="1"/>
  <c r="E8823" i="1"/>
  <c r="F8823" i="1"/>
  <c r="G8823" i="1"/>
  <c r="I8823" i="1"/>
  <c r="J8823" i="1"/>
  <c r="K8823" i="1"/>
  <c r="L8823" i="1"/>
  <c r="M8823" i="1"/>
  <c r="N8823" i="1"/>
  <c r="O8823" i="1"/>
  <c r="P8823" i="1"/>
  <c r="Q8823" i="1"/>
  <c r="R8823" i="1"/>
  <c r="S8823" i="1"/>
  <c r="T8823" i="1"/>
  <c r="U8823" i="1"/>
  <c r="V8823" i="1"/>
  <c r="W8823" i="1"/>
  <c r="X8823" i="1"/>
  <c r="Y8823" i="1"/>
  <c r="Z8823" i="1"/>
</calcChain>
</file>

<file path=xl/sharedStrings.xml><?xml version="1.0" encoding="utf-8"?>
<sst xmlns="http://schemas.openxmlformats.org/spreadsheetml/2006/main" count="30" uniqueCount="30">
  <si>
    <t>Kuwait Finance House</t>
  </si>
  <si>
    <t>Report Name: Bulk Payment Report</t>
  </si>
  <si>
    <t>Generated Date: 04/08/2020 18:35:04</t>
  </si>
  <si>
    <t>Transaction Date</t>
  </si>
  <si>
    <t>Reference No.</t>
  </si>
  <si>
    <t>Batch ID</t>
  </si>
  <si>
    <t>Rim No.</t>
  </si>
  <si>
    <t>Company Name</t>
  </si>
  <si>
    <t>Payment Type</t>
  </si>
  <si>
    <t>Recipients Reference</t>
  </si>
  <si>
    <t>Payment Amount</t>
  </si>
  <si>
    <t>Beneficiary Name</t>
  </si>
  <si>
    <t>Beneficiary Bank Name</t>
  </si>
  <si>
    <t>Beneficiary Account No.</t>
  </si>
  <si>
    <t>Batch Date</t>
  </si>
  <si>
    <t>Payment Date</t>
  </si>
  <si>
    <t>From Account</t>
  </si>
  <si>
    <t>From Currency</t>
  </si>
  <si>
    <t>Status</t>
  </si>
  <si>
    <t>Error Message</t>
  </si>
  <si>
    <t>IB Transaction Status</t>
  </si>
  <si>
    <t>Approval Status</t>
  </si>
  <si>
    <t>Remote IP</t>
  </si>
  <si>
    <t>Initiated By</t>
  </si>
  <si>
    <t>Verified By</t>
  </si>
  <si>
    <t>Verified Date</t>
  </si>
  <si>
    <t>Approved By</t>
  </si>
  <si>
    <t>Approved Date</t>
  </si>
  <si>
    <t>Other Payment Details</t>
  </si>
  <si>
    <t>Total Record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</si>
</sst>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3" formatCode="_(* #,##0.00_);_(* \(#,##0.00\);_(* &quot;-&quot;??_);_(@_)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5">
    <xf numFmtId="0" fontId="0" fillId="0" borderId="0" xfId="0"/>
    <xf numFmtId="0" fontId="0" fillId="33" borderId="0" xfId="0" applyFill="1"/>
    <xf numFmtId="43" fontId="0" fillId="0" borderId="0" xfId="1" applyFont="1"/>
    <xf numFmtId="43" fontId="0" fillId="33" borderId="0" xfId="1" applyFont="1" applyFill="1"/>
    <xf numFmtId="0" fontId="14" fillId="33" borderId="0" xfId="0" applyFont="1" applyFill="1"/>
  </cellXfs>
  <cellStyles count="43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8825"/>
  <sheetViews>
    <sheetView tabSelected="1" topLeftCell="L4999" workbookViewId="0">
      <selection activeCell="B8825" sqref="B8825"/>
    </sheetView>
  </sheetViews>
  <sheetFormatPr defaultRowHeight="15" x14ac:dyDescent="0.25"/>
  <cols>
    <col min="1" max="1" width="34.140625" bestFit="1" customWidth="1"/>
    <col min="2" max="2" width="13.85546875" bestFit="1" customWidth="1"/>
    <col min="3" max="3" width="11" bestFit="1" customWidth="1"/>
    <col min="4" max="4" width="8" bestFit="1" customWidth="1"/>
    <col min="5" max="5" width="29.7109375" bestFit="1" customWidth="1"/>
    <col min="6" max="6" width="13.7109375" bestFit="1" customWidth="1"/>
    <col min="7" max="7" width="20.140625" bestFit="1" customWidth="1"/>
    <col min="8" max="8" width="16.5703125" style="2" bestFit="1" customWidth="1"/>
    <col min="9" max="9" width="48.140625" bestFit="1" customWidth="1"/>
    <col min="10" max="10" width="57.42578125" bestFit="1" customWidth="1"/>
    <col min="11" max="11" width="22.5703125" bestFit="1" customWidth="1"/>
    <col min="12" max="12" width="10.42578125" bestFit="1" customWidth="1"/>
    <col min="13" max="13" width="13.5703125" bestFit="1" customWidth="1"/>
    <col min="14" max="14" width="13.28515625" bestFit="1" customWidth="1"/>
    <col min="15" max="15" width="14" bestFit="1" customWidth="1"/>
    <col min="16" max="16" width="6.42578125" bestFit="1" customWidth="1"/>
    <col min="17" max="17" width="13.5703125" bestFit="1" customWidth="1"/>
    <col min="18" max="18" width="19.42578125" bestFit="1" customWidth="1"/>
    <col min="19" max="19" width="15" bestFit="1" customWidth="1"/>
    <col min="20" max="20" width="11.7109375" bestFit="1" customWidth="1"/>
    <col min="21" max="21" width="23.85546875" bestFit="1" customWidth="1"/>
    <col min="22" max="22" width="24.42578125" bestFit="1" customWidth="1"/>
    <col min="23" max="23" width="12.85546875" bestFit="1" customWidth="1"/>
    <col min="24" max="24" width="23.5703125" bestFit="1" customWidth="1"/>
    <col min="25" max="25" width="14.42578125" bestFit="1" customWidth="1"/>
    <col min="26" max="26" width="21.42578125" bestFit="1" customWidth="1"/>
  </cols>
  <sheetData>
    <row r="1" spans="1:26" x14ac:dyDescent="0.25">
      <c r="A1" t="s">
        <v>0</v>
      </c>
    </row>
    <row r="2" spans="1:26" x14ac:dyDescent="0.25">
      <c r="A2" t="s">
        <v>1</v>
      </c>
    </row>
    <row r="3" spans="1:26" x14ac:dyDescent="0.25">
      <c r="A3" t="s">
        <v>2</v>
      </c>
    </row>
    <row r="6" spans="1:26" x14ac:dyDescent="0.25">
      <c r="A6" t="s">
        <v>3</v>
      </c>
      <c r="B6" t="s">
        <v>4</v>
      </c>
      <c r="C6" t="s">
        <v>5</v>
      </c>
      <c r="D6" t="s">
        <v>6</v>
      </c>
      <c r="E6" t="s">
        <v>7</v>
      </c>
      <c r="F6" t="s">
        <v>8</v>
      </c>
      <c r="G6" t="s">
        <v>9</v>
      </c>
      <c r="H6" s="2" t="s">
        <v>10</v>
      </c>
      <c r="I6" t="s">
        <v>11</v>
      </c>
      <c r="J6" t="s">
        <v>12</v>
      </c>
      <c r="K6" t="s">
        <v>13</v>
      </c>
      <c r="L6" t="s">
        <v>14</v>
      </c>
      <c r="M6" t="s">
        <v>15</v>
      </c>
      <c r="N6" t="s">
        <v>16</v>
      </c>
      <c r="O6" t="s">
        <v>17</v>
      </c>
      <c r="P6" t="s">
        <v>18</v>
      </c>
      <c r="Q6" t="s">
        <v>19</v>
      </c>
      <c r="R6" t="s">
        <v>20</v>
      </c>
      <c r="S6" t="s">
        <v>21</v>
      </c>
      <c r="T6" t="s">
        <v>22</v>
      </c>
      <c r="U6" t="s">
        <v>23</v>
      </c>
      <c r="V6" t="s">
        <v>24</v>
      </c>
      <c r="W6" t="s">
        <v>25</v>
      </c>
      <c r="X6" t="s">
        <v>26</v>
      </c>
      <c r="Y6" t="s">
        <v>27</v>
      </c>
      <c r="Z6" t="s">
        <v>28</v>
      </c>
    </row>
    <row r="7" spans="1:26" x14ac:dyDescent="0.25">
      <c r="A7" t="str">
        <f t="shared" ref="A7:A38" si="0">"04-08-2020 02:12:40"</f>
        <v>04-08-2020 02:12:40</v>
      </c>
      <c r="B7" t="str">
        <f>"0000810991"</f>
        <v>0000810991</v>
      </c>
      <c r="C7" t="str">
        <f t="shared" ref="C7:C38" si="1">"0000810791"</f>
        <v>0000810791</v>
      </c>
      <c r="D7" t="str">
        <f t="shared" ref="D7:D70" si="2">"73185"</f>
        <v>73185</v>
      </c>
      <c r="E7" t="str">
        <f t="shared" ref="E7:E70" si="3">"KFH-OPERATIONS DEPARTMENT"</f>
        <v>KFH-OPERATIONS DEPARTMENT</v>
      </c>
      <c r="F7" t="str">
        <f t="shared" ref="F7:F70" si="4">"IBG"</f>
        <v>IBG</v>
      </c>
      <c r="G7" t="str">
        <f t="shared" ref="G7:G38" si="5">"Refund COSHARE 10"</f>
        <v>Refund COSHARE 10</v>
      </c>
      <c r="H7" s="2">
        <v>119</v>
      </c>
      <c r="I7" t="str">
        <f>"RAJA NASUHA BIN RAJA HASSAN"</f>
        <v>RAJA NASUHA BIN RAJA HASSAN</v>
      </c>
      <c r="J7" t="str">
        <f t="shared" ref="J7:J38" si="6">"BANK ISLAM BHD"</f>
        <v>BANK ISLAM BHD</v>
      </c>
      <c r="K7" t="str">
        <f>"03072020949164"</f>
        <v>03072020949164</v>
      </c>
      <c r="L7" t="str">
        <f t="shared" ref="L7:M26" si="7">"04-08-2020"</f>
        <v>04-08-2020</v>
      </c>
      <c r="M7" t="str">
        <f t="shared" si="7"/>
        <v>04-08-2020</v>
      </c>
      <c r="N7" t="str">
        <f t="shared" ref="N7:N70" si="8">"001105018356"</f>
        <v>001105018356</v>
      </c>
      <c r="O7" t="str">
        <f t="shared" ref="O7:O70" si="9">"MYR"</f>
        <v>MYR</v>
      </c>
      <c r="P7" t="str">
        <f t="shared" ref="P7:Q26" si="10">"NIL"</f>
        <v>NIL</v>
      </c>
      <c r="Q7" t="str">
        <f t="shared" si="10"/>
        <v>NIL</v>
      </c>
      <c r="R7" t="str">
        <f t="shared" ref="R7:R70" si="11">"Accepted"</f>
        <v>Accepted</v>
      </c>
      <c r="S7" t="str">
        <f t="shared" ref="S7:S70" si="12">"Approved"</f>
        <v>Approved</v>
      </c>
      <c r="T7" t="str">
        <f t="shared" ref="T7:T70" si="13">"10.20.8.188"</f>
        <v>10.20.8.188</v>
      </c>
      <c r="U7" t="str">
        <f t="shared" ref="U7:U70" si="14">"AZRAD UMAR BIN SHAARI"</f>
        <v>AZRAD UMAR BIN SHAARI</v>
      </c>
      <c r="V7" t="str">
        <f t="shared" ref="V7:V70" si="15">"FARHANA BINTI MUSTAPA"</f>
        <v>FARHANA BINTI MUSTAPA</v>
      </c>
      <c r="W7" t="str">
        <f t="shared" ref="W7:W70" si="16">"04-08-2020"</f>
        <v>04-08-2020</v>
      </c>
      <c r="X7" t="str">
        <f t="shared" ref="X7:X70" si="17">"RAZIMAH ANSAR AHMAD"</f>
        <v>RAZIMAH ANSAR AHMAD</v>
      </c>
      <c r="Y7" t="str">
        <f t="shared" ref="Y7:Y70" si="18">"04-08-2020"</f>
        <v>04-08-2020</v>
      </c>
      <c r="Z7" t="str">
        <f>"COS10200804 600"</f>
        <v>COS10200804 600</v>
      </c>
    </row>
    <row r="8" spans="1:26" x14ac:dyDescent="0.25">
      <c r="A8" t="str">
        <f t="shared" si="0"/>
        <v>04-08-2020 02:12:40</v>
      </c>
      <c r="B8" t="str">
        <f>"0000810990"</f>
        <v>0000810990</v>
      </c>
      <c r="C8" t="str">
        <f t="shared" si="1"/>
        <v>0000810791</v>
      </c>
      <c r="D8" t="str">
        <f t="shared" si="2"/>
        <v>73185</v>
      </c>
      <c r="E8" t="str">
        <f t="shared" si="3"/>
        <v>KFH-OPERATIONS DEPARTMENT</v>
      </c>
      <c r="F8" t="str">
        <f t="shared" si="4"/>
        <v>IBG</v>
      </c>
      <c r="G8" t="str">
        <f t="shared" si="5"/>
        <v>Refund COSHARE 10</v>
      </c>
      <c r="H8" s="2">
        <v>926</v>
      </c>
      <c r="I8" t="str">
        <f>"RAJA MOHD FAKHRUL BIN RAJA ADNAN"</f>
        <v>RAJA MOHD FAKHRUL BIN RAJA ADNAN</v>
      </c>
      <c r="J8" t="str">
        <f t="shared" si="6"/>
        <v>BANK ISLAM BHD</v>
      </c>
      <c r="K8" t="str">
        <f>"14171024852493"</f>
        <v>14171024852493</v>
      </c>
      <c r="L8" t="str">
        <f t="shared" si="7"/>
        <v>04-08-2020</v>
      </c>
      <c r="M8" t="str">
        <f t="shared" si="7"/>
        <v>04-08-2020</v>
      </c>
      <c r="N8" t="str">
        <f t="shared" si="8"/>
        <v>001105018356</v>
      </c>
      <c r="O8" t="str">
        <f t="shared" si="9"/>
        <v>MYR</v>
      </c>
      <c r="P8" t="str">
        <f t="shared" si="10"/>
        <v>NIL</v>
      </c>
      <c r="Q8" t="str">
        <f t="shared" si="10"/>
        <v>NIL</v>
      </c>
      <c r="R8" t="str">
        <f t="shared" si="11"/>
        <v>Accepted</v>
      </c>
      <c r="S8" t="str">
        <f t="shared" si="12"/>
        <v>Approved</v>
      </c>
      <c r="T8" t="str">
        <f t="shared" si="13"/>
        <v>10.20.8.188</v>
      </c>
      <c r="U8" t="str">
        <f t="shared" si="14"/>
        <v>AZRAD UMAR BIN SHAARI</v>
      </c>
      <c r="V8" t="str">
        <f t="shared" si="15"/>
        <v>FARHANA BINTI MUSTAPA</v>
      </c>
      <c r="W8" t="str">
        <f t="shared" si="16"/>
        <v>04-08-2020</v>
      </c>
      <c r="X8" t="str">
        <f t="shared" si="17"/>
        <v>RAZIMAH ANSAR AHMAD</v>
      </c>
      <c r="Y8" t="str">
        <f t="shared" si="18"/>
        <v>04-08-2020</v>
      </c>
      <c r="Z8" t="str">
        <f>"COS10200804 599"</f>
        <v>COS10200804 599</v>
      </c>
    </row>
    <row r="9" spans="1:26" x14ac:dyDescent="0.25">
      <c r="A9" t="str">
        <f t="shared" si="0"/>
        <v>04-08-2020 02:12:40</v>
      </c>
      <c r="B9" t="str">
        <f>"0000810989"</f>
        <v>0000810989</v>
      </c>
      <c r="C9" t="str">
        <f t="shared" si="1"/>
        <v>0000810791</v>
      </c>
      <c r="D9" t="str">
        <f t="shared" si="2"/>
        <v>73185</v>
      </c>
      <c r="E9" t="str">
        <f t="shared" si="3"/>
        <v>KFH-OPERATIONS DEPARTMENT</v>
      </c>
      <c r="F9" t="str">
        <f t="shared" si="4"/>
        <v>IBG</v>
      </c>
      <c r="G9" t="str">
        <f t="shared" si="5"/>
        <v>Refund COSHARE 10</v>
      </c>
      <c r="H9" s="2">
        <v>655.29999999999995</v>
      </c>
      <c r="I9" t="str">
        <f>"RAHIMAH BT ABDULLAH  GEMMA DAYPAALAN"</f>
        <v>RAHIMAH BT ABDULLAH  GEMMA DAYPAALAN</v>
      </c>
      <c r="J9" t="str">
        <f t="shared" si="6"/>
        <v>BANK ISLAM BHD</v>
      </c>
      <c r="K9" t="str">
        <f>"10016020283207"</f>
        <v>10016020283207</v>
      </c>
      <c r="L9" t="str">
        <f t="shared" si="7"/>
        <v>04-08-2020</v>
      </c>
      <c r="M9" t="str">
        <f t="shared" si="7"/>
        <v>04-08-2020</v>
      </c>
      <c r="N9" t="str">
        <f t="shared" si="8"/>
        <v>001105018356</v>
      </c>
      <c r="O9" t="str">
        <f t="shared" si="9"/>
        <v>MYR</v>
      </c>
      <c r="P9" t="str">
        <f t="shared" si="10"/>
        <v>NIL</v>
      </c>
      <c r="Q9" t="str">
        <f t="shared" si="10"/>
        <v>NIL</v>
      </c>
      <c r="R9" t="str">
        <f t="shared" si="11"/>
        <v>Accepted</v>
      </c>
      <c r="S9" t="str">
        <f t="shared" si="12"/>
        <v>Approved</v>
      </c>
      <c r="T9" t="str">
        <f t="shared" si="13"/>
        <v>10.20.8.188</v>
      </c>
      <c r="U9" t="str">
        <f t="shared" si="14"/>
        <v>AZRAD UMAR BIN SHAARI</v>
      </c>
      <c r="V9" t="str">
        <f t="shared" si="15"/>
        <v>FARHANA BINTI MUSTAPA</v>
      </c>
      <c r="W9" t="str">
        <f t="shared" si="16"/>
        <v>04-08-2020</v>
      </c>
      <c r="X9" t="str">
        <f t="shared" si="17"/>
        <v>RAZIMAH ANSAR AHMAD</v>
      </c>
      <c r="Y9" t="str">
        <f t="shared" si="18"/>
        <v>04-08-2020</v>
      </c>
      <c r="Z9" t="str">
        <f>"COS10200804 598"</f>
        <v>COS10200804 598</v>
      </c>
    </row>
    <row r="10" spans="1:26" x14ac:dyDescent="0.25">
      <c r="A10" t="str">
        <f t="shared" si="0"/>
        <v>04-08-2020 02:12:40</v>
      </c>
      <c r="B10" t="str">
        <f>"0000810988"</f>
        <v>0000810988</v>
      </c>
      <c r="C10" t="str">
        <f t="shared" si="1"/>
        <v>0000810791</v>
      </c>
      <c r="D10" t="str">
        <f t="shared" si="2"/>
        <v>73185</v>
      </c>
      <c r="E10" t="str">
        <f t="shared" si="3"/>
        <v>KFH-OPERATIONS DEPARTMENT</v>
      </c>
      <c r="F10" t="str">
        <f t="shared" si="4"/>
        <v>IBG</v>
      </c>
      <c r="G10" t="str">
        <f t="shared" si="5"/>
        <v>Refund COSHARE 10</v>
      </c>
      <c r="H10" s="2">
        <v>1049</v>
      </c>
      <c r="I10" t="str">
        <f>"RAFIDAH BINTI OMAR"</f>
        <v>RAFIDAH BINTI OMAR</v>
      </c>
      <c r="J10" t="str">
        <f t="shared" si="6"/>
        <v>BANK ISLAM BHD</v>
      </c>
      <c r="K10" t="str">
        <f>"07016020270281"</f>
        <v>07016020270281</v>
      </c>
      <c r="L10" t="str">
        <f t="shared" si="7"/>
        <v>04-08-2020</v>
      </c>
      <c r="M10" t="str">
        <f t="shared" si="7"/>
        <v>04-08-2020</v>
      </c>
      <c r="N10" t="str">
        <f t="shared" si="8"/>
        <v>001105018356</v>
      </c>
      <c r="O10" t="str">
        <f t="shared" si="9"/>
        <v>MYR</v>
      </c>
      <c r="P10" t="str">
        <f t="shared" si="10"/>
        <v>NIL</v>
      </c>
      <c r="Q10" t="str">
        <f t="shared" si="10"/>
        <v>NIL</v>
      </c>
      <c r="R10" t="str">
        <f t="shared" si="11"/>
        <v>Accepted</v>
      </c>
      <c r="S10" t="str">
        <f t="shared" si="12"/>
        <v>Approved</v>
      </c>
      <c r="T10" t="str">
        <f t="shared" si="13"/>
        <v>10.20.8.188</v>
      </c>
      <c r="U10" t="str">
        <f t="shared" si="14"/>
        <v>AZRAD UMAR BIN SHAARI</v>
      </c>
      <c r="V10" t="str">
        <f t="shared" si="15"/>
        <v>FARHANA BINTI MUSTAPA</v>
      </c>
      <c r="W10" t="str">
        <f t="shared" si="16"/>
        <v>04-08-2020</v>
      </c>
      <c r="X10" t="str">
        <f t="shared" si="17"/>
        <v>RAZIMAH ANSAR AHMAD</v>
      </c>
      <c r="Y10" t="str">
        <f t="shared" si="18"/>
        <v>04-08-2020</v>
      </c>
      <c r="Z10" t="str">
        <f>"COS10200804 597"</f>
        <v>COS10200804 597</v>
      </c>
    </row>
    <row r="11" spans="1:26" x14ac:dyDescent="0.25">
      <c r="A11" t="str">
        <f t="shared" si="0"/>
        <v>04-08-2020 02:12:40</v>
      </c>
      <c r="B11" t="str">
        <f>"0000810987"</f>
        <v>0000810987</v>
      </c>
      <c r="C11" t="str">
        <f t="shared" si="1"/>
        <v>0000810791</v>
      </c>
      <c r="D11" t="str">
        <f t="shared" si="2"/>
        <v>73185</v>
      </c>
      <c r="E11" t="str">
        <f t="shared" si="3"/>
        <v>KFH-OPERATIONS DEPARTMENT</v>
      </c>
      <c r="F11" t="str">
        <f t="shared" si="4"/>
        <v>IBG</v>
      </c>
      <c r="G11" t="str">
        <f t="shared" si="5"/>
        <v>Refund COSHARE 10</v>
      </c>
      <c r="H11" s="2">
        <v>1024</v>
      </c>
      <c r="I11" t="str">
        <f>"RADZUAN BIN OSMAN"</f>
        <v>RADZUAN BIN OSMAN</v>
      </c>
      <c r="J11" t="str">
        <f t="shared" si="6"/>
        <v>BANK ISLAM BHD</v>
      </c>
      <c r="K11" t="str">
        <f>"08031020225472"</f>
        <v>08031020225472</v>
      </c>
      <c r="L11" t="str">
        <f t="shared" si="7"/>
        <v>04-08-2020</v>
      </c>
      <c r="M11" t="str">
        <f t="shared" si="7"/>
        <v>04-08-2020</v>
      </c>
      <c r="N11" t="str">
        <f t="shared" si="8"/>
        <v>001105018356</v>
      </c>
      <c r="O11" t="str">
        <f t="shared" si="9"/>
        <v>MYR</v>
      </c>
      <c r="P11" t="str">
        <f t="shared" si="10"/>
        <v>NIL</v>
      </c>
      <c r="Q11" t="str">
        <f t="shared" si="10"/>
        <v>NIL</v>
      </c>
      <c r="R11" t="str">
        <f t="shared" si="11"/>
        <v>Accepted</v>
      </c>
      <c r="S11" t="str">
        <f t="shared" si="12"/>
        <v>Approved</v>
      </c>
      <c r="T11" t="str">
        <f t="shared" si="13"/>
        <v>10.20.8.188</v>
      </c>
      <c r="U11" t="str">
        <f t="shared" si="14"/>
        <v>AZRAD UMAR BIN SHAARI</v>
      </c>
      <c r="V11" t="str">
        <f t="shared" si="15"/>
        <v>FARHANA BINTI MUSTAPA</v>
      </c>
      <c r="W11" t="str">
        <f t="shared" si="16"/>
        <v>04-08-2020</v>
      </c>
      <c r="X11" t="str">
        <f t="shared" si="17"/>
        <v>RAZIMAH ANSAR AHMAD</v>
      </c>
      <c r="Y11" t="str">
        <f t="shared" si="18"/>
        <v>04-08-2020</v>
      </c>
      <c r="Z11" t="str">
        <f>"COS10200804 596"</f>
        <v>COS10200804 596</v>
      </c>
    </row>
    <row r="12" spans="1:26" x14ac:dyDescent="0.25">
      <c r="A12" t="str">
        <f t="shared" si="0"/>
        <v>04-08-2020 02:12:40</v>
      </c>
      <c r="B12" t="str">
        <f>"0000810986"</f>
        <v>0000810986</v>
      </c>
      <c r="C12" t="str">
        <f t="shared" si="1"/>
        <v>0000810791</v>
      </c>
      <c r="D12" t="str">
        <f t="shared" si="2"/>
        <v>73185</v>
      </c>
      <c r="E12" t="str">
        <f t="shared" si="3"/>
        <v>KFH-OPERATIONS DEPARTMENT</v>
      </c>
      <c r="F12" t="str">
        <f t="shared" si="4"/>
        <v>IBG</v>
      </c>
      <c r="G12" t="str">
        <f t="shared" si="5"/>
        <v>Refund COSHARE 10</v>
      </c>
      <c r="H12" s="2">
        <v>982.25</v>
      </c>
      <c r="I12" t="str">
        <f>"RABIHA BINTI MOHAMED"</f>
        <v>RABIHA BINTI MOHAMED</v>
      </c>
      <c r="J12" t="str">
        <f t="shared" si="6"/>
        <v>BANK ISLAM BHD</v>
      </c>
      <c r="K12" t="str">
        <f>"14162020010152"</f>
        <v>14162020010152</v>
      </c>
      <c r="L12" t="str">
        <f t="shared" si="7"/>
        <v>04-08-2020</v>
      </c>
      <c r="M12" t="str">
        <f t="shared" si="7"/>
        <v>04-08-2020</v>
      </c>
      <c r="N12" t="str">
        <f t="shared" si="8"/>
        <v>001105018356</v>
      </c>
      <c r="O12" t="str">
        <f t="shared" si="9"/>
        <v>MYR</v>
      </c>
      <c r="P12" t="str">
        <f t="shared" si="10"/>
        <v>NIL</v>
      </c>
      <c r="Q12" t="str">
        <f t="shared" si="10"/>
        <v>NIL</v>
      </c>
      <c r="R12" t="str">
        <f t="shared" si="11"/>
        <v>Accepted</v>
      </c>
      <c r="S12" t="str">
        <f t="shared" si="12"/>
        <v>Approved</v>
      </c>
      <c r="T12" t="str">
        <f t="shared" si="13"/>
        <v>10.20.8.188</v>
      </c>
      <c r="U12" t="str">
        <f t="shared" si="14"/>
        <v>AZRAD UMAR BIN SHAARI</v>
      </c>
      <c r="V12" t="str">
        <f t="shared" si="15"/>
        <v>FARHANA BINTI MUSTAPA</v>
      </c>
      <c r="W12" t="str">
        <f t="shared" si="16"/>
        <v>04-08-2020</v>
      </c>
      <c r="X12" t="str">
        <f t="shared" si="17"/>
        <v>RAZIMAH ANSAR AHMAD</v>
      </c>
      <c r="Y12" t="str">
        <f t="shared" si="18"/>
        <v>04-08-2020</v>
      </c>
      <c r="Z12" t="str">
        <f>"COS10200804 595"</f>
        <v>COS10200804 595</v>
      </c>
    </row>
    <row r="13" spans="1:26" x14ac:dyDescent="0.25">
      <c r="A13" t="str">
        <f t="shared" si="0"/>
        <v>04-08-2020 02:12:40</v>
      </c>
      <c r="B13" t="str">
        <f>"0000810985"</f>
        <v>0000810985</v>
      </c>
      <c r="C13" t="str">
        <f t="shared" si="1"/>
        <v>0000810791</v>
      </c>
      <c r="D13" t="str">
        <f t="shared" si="2"/>
        <v>73185</v>
      </c>
      <c r="E13" t="str">
        <f t="shared" si="3"/>
        <v>KFH-OPERATIONS DEPARTMENT</v>
      </c>
      <c r="F13" t="str">
        <f t="shared" si="4"/>
        <v>IBG</v>
      </c>
      <c r="G13" t="str">
        <f t="shared" si="5"/>
        <v>Refund COSHARE 10</v>
      </c>
      <c r="H13" s="2">
        <v>982.25</v>
      </c>
      <c r="I13" t="str">
        <f>"RABIHA BINTI MOHAMED"</f>
        <v>RABIHA BINTI MOHAMED</v>
      </c>
      <c r="J13" t="str">
        <f t="shared" si="6"/>
        <v>BANK ISLAM BHD</v>
      </c>
      <c r="K13" t="str">
        <f>"14162020010152"</f>
        <v>14162020010152</v>
      </c>
      <c r="L13" t="str">
        <f t="shared" si="7"/>
        <v>04-08-2020</v>
      </c>
      <c r="M13" t="str">
        <f t="shared" si="7"/>
        <v>04-08-2020</v>
      </c>
      <c r="N13" t="str">
        <f t="shared" si="8"/>
        <v>001105018356</v>
      </c>
      <c r="O13" t="str">
        <f t="shared" si="9"/>
        <v>MYR</v>
      </c>
      <c r="P13" t="str">
        <f t="shared" si="10"/>
        <v>NIL</v>
      </c>
      <c r="Q13" t="str">
        <f t="shared" si="10"/>
        <v>NIL</v>
      </c>
      <c r="R13" t="str">
        <f t="shared" si="11"/>
        <v>Accepted</v>
      </c>
      <c r="S13" t="str">
        <f t="shared" si="12"/>
        <v>Approved</v>
      </c>
      <c r="T13" t="str">
        <f t="shared" si="13"/>
        <v>10.20.8.188</v>
      </c>
      <c r="U13" t="str">
        <f t="shared" si="14"/>
        <v>AZRAD UMAR BIN SHAARI</v>
      </c>
      <c r="V13" t="str">
        <f t="shared" si="15"/>
        <v>FARHANA BINTI MUSTAPA</v>
      </c>
      <c r="W13" t="str">
        <f t="shared" si="16"/>
        <v>04-08-2020</v>
      </c>
      <c r="X13" t="str">
        <f t="shared" si="17"/>
        <v>RAZIMAH ANSAR AHMAD</v>
      </c>
      <c r="Y13" t="str">
        <f t="shared" si="18"/>
        <v>04-08-2020</v>
      </c>
      <c r="Z13" t="str">
        <f>"COS10200804 594"</f>
        <v>COS10200804 594</v>
      </c>
    </row>
    <row r="14" spans="1:26" x14ac:dyDescent="0.25">
      <c r="A14" t="str">
        <f t="shared" si="0"/>
        <v>04-08-2020 02:12:40</v>
      </c>
      <c r="B14" t="str">
        <f>"0000810984"</f>
        <v>0000810984</v>
      </c>
      <c r="C14" t="str">
        <f t="shared" si="1"/>
        <v>0000810791</v>
      </c>
      <c r="D14" t="str">
        <f t="shared" si="2"/>
        <v>73185</v>
      </c>
      <c r="E14" t="str">
        <f t="shared" si="3"/>
        <v>KFH-OPERATIONS DEPARTMENT</v>
      </c>
      <c r="F14" t="str">
        <f t="shared" si="4"/>
        <v>IBG</v>
      </c>
      <c r="G14" t="str">
        <f t="shared" si="5"/>
        <v>Refund COSHARE 10</v>
      </c>
      <c r="H14" s="2">
        <v>335.8</v>
      </c>
      <c r="I14" t="str">
        <f>"PATRICK YABIN"</f>
        <v>PATRICK YABIN</v>
      </c>
      <c r="J14" t="str">
        <f t="shared" si="6"/>
        <v>BANK ISLAM BHD</v>
      </c>
      <c r="K14" t="str">
        <f>"10025020567324"</f>
        <v>10025020567324</v>
      </c>
      <c r="L14" t="str">
        <f t="shared" si="7"/>
        <v>04-08-2020</v>
      </c>
      <c r="M14" t="str">
        <f t="shared" si="7"/>
        <v>04-08-2020</v>
      </c>
      <c r="N14" t="str">
        <f t="shared" si="8"/>
        <v>001105018356</v>
      </c>
      <c r="O14" t="str">
        <f t="shared" si="9"/>
        <v>MYR</v>
      </c>
      <c r="P14" t="str">
        <f t="shared" si="10"/>
        <v>NIL</v>
      </c>
      <c r="Q14" t="str">
        <f t="shared" si="10"/>
        <v>NIL</v>
      </c>
      <c r="R14" t="str">
        <f t="shared" si="11"/>
        <v>Accepted</v>
      </c>
      <c r="S14" t="str">
        <f t="shared" si="12"/>
        <v>Approved</v>
      </c>
      <c r="T14" t="str">
        <f t="shared" si="13"/>
        <v>10.20.8.188</v>
      </c>
      <c r="U14" t="str">
        <f t="shared" si="14"/>
        <v>AZRAD UMAR BIN SHAARI</v>
      </c>
      <c r="V14" t="str">
        <f t="shared" si="15"/>
        <v>FARHANA BINTI MUSTAPA</v>
      </c>
      <c r="W14" t="str">
        <f t="shared" si="16"/>
        <v>04-08-2020</v>
      </c>
      <c r="X14" t="str">
        <f t="shared" si="17"/>
        <v>RAZIMAH ANSAR AHMAD</v>
      </c>
      <c r="Y14" t="str">
        <f t="shared" si="18"/>
        <v>04-08-2020</v>
      </c>
      <c r="Z14" t="str">
        <f>"COS10200804 593"</f>
        <v>COS10200804 593</v>
      </c>
    </row>
    <row r="15" spans="1:26" x14ac:dyDescent="0.25">
      <c r="A15" t="str">
        <f t="shared" si="0"/>
        <v>04-08-2020 02:12:40</v>
      </c>
      <c r="B15" t="str">
        <f>"0000810983"</f>
        <v>0000810983</v>
      </c>
      <c r="C15" t="str">
        <f t="shared" si="1"/>
        <v>0000810791</v>
      </c>
      <c r="D15" t="str">
        <f t="shared" si="2"/>
        <v>73185</v>
      </c>
      <c r="E15" t="str">
        <f t="shared" si="3"/>
        <v>KFH-OPERATIONS DEPARTMENT</v>
      </c>
      <c r="F15" t="str">
        <f t="shared" si="4"/>
        <v>IBG</v>
      </c>
      <c r="G15" t="str">
        <f t="shared" si="5"/>
        <v>Refund COSHARE 10</v>
      </c>
      <c r="H15" s="2">
        <v>483</v>
      </c>
      <c r="I15" t="str">
        <f>"OSMAN BIN IBRAHIM"</f>
        <v>OSMAN BIN IBRAHIM</v>
      </c>
      <c r="J15" t="str">
        <f t="shared" si="6"/>
        <v>BANK ISLAM BHD</v>
      </c>
      <c r="K15" t="str">
        <f>"11068022104956"</f>
        <v>11068022104956</v>
      </c>
      <c r="L15" t="str">
        <f t="shared" si="7"/>
        <v>04-08-2020</v>
      </c>
      <c r="M15" t="str">
        <f t="shared" si="7"/>
        <v>04-08-2020</v>
      </c>
      <c r="N15" t="str">
        <f t="shared" si="8"/>
        <v>001105018356</v>
      </c>
      <c r="O15" t="str">
        <f t="shared" si="9"/>
        <v>MYR</v>
      </c>
      <c r="P15" t="str">
        <f t="shared" si="10"/>
        <v>NIL</v>
      </c>
      <c r="Q15" t="str">
        <f t="shared" si="10"/>
        <v>NIL</v>
      </c>
      <c r="R15" t="str">
        <f t="shared" si="11"/>
        <v>Accepted</v>
      </c>
      <c r="S15" t="str">
        <f t="shared" si="12"/>
        <v>Approved</v>
      </c>
      <c r="T15" t="str">
        <f t="shared" si="13"/>
        <v>10.20.8.188</v>
      </c>
      <c r="U15" t="str">
        <f t="shared" si="14"/>
        <v>AZRAD UMAR BIN SHAARI</v>
      </c>
      <c r="V15" t="str">
        <f t="shared" si="15"/>
        <v>FARHANA BINTI MUSTAPA</v>
      </c>
      <c r="W15" t="str">
        <f t="shared" si="16"/>
        <v>04-08-2020</v>
      </c>
      <c r="X15" t="str">
        <f t="shared" si="17"/>
        <v>RAZIMAH ANSAR AHMAD</v>
      </c>
      <c r="Y15" t="str">
        <f t="shared" si="18"/>
        <v>04-08-2020</v>
      </c>
      <c r="Z15" t="str">
        <f>"COS10200804 592"</f>
        <v>COS10200804 592</v>
      </c>
    </row>
    <row r="16" spans="1:26" x14ac:dyDescent="0.25">
      <c r="A16" t="str">
        <f t="shared" si="0"/>
        <v>04-08-2020 02:12:40</v>
      </c>
      <c r="B16" t="str">
        <f>"0000810982"</f>
        <v>0000810982</v>
      </c>
      <c r="C16" t="str">
        <f t="shared" si="1"/>
        <v>0000810791</v>
      </c>
      <c r="D16" t="str">
        <f t="shared" si="2"/>
        <v>73185</v>
      </c>
      <c r="E16" t="str">
        <f t="shared" si="3"/>
        <v>KFH-OPERATIONS DEPARTMENT</v>
      </c>
      <c r="F16" t="str">
        <f t="shared" si="4"/>
        <v>IBG</v>
      </c>
      <c r="G16" t="str">
        <f t="shared" si="5"/>
        <v>Refund COSHARE 10</v>
      </c>
      <c r="H16" s="2">
        <v>1890</v>
      </c>
      <c r="I16" t="str">
        <f>"OMAR BIN LATIF"</f>
        <v>OMAR BIN LATIF</v>
      </c>
      <c r="J16" t="str">
        <f t="shared" si="6"/>
        <v>BANK ISLAM BHD</v>
      </c>
      <c r="K16" t="str">
        <f>"08013020119580"</f>
        <v>08013020119580</v>
      </c>
      <c r="L16" t="str">
        <f t="shared" si="7"/>
        <v>04-08-2020</v>
      </c>
      <c r="M16" t="str">
        <f t="shared" si="7"/>
        <v>04-08-2020</v>
      </c>
      <c r="N16" t="str">
        <f t="shared" si="8"/>
        <v>001105018356</v>
      </c>
      <c r="O16" t="str">
        <f t="shared" si="9"/>
        <v>MYR</v>
      </c>
      <c r="P16" t="str">
        <f t="shared" si="10"/>
        <v>NIL</v>
      </c>
      <c r="Q16" t="str">
        <f t="shared" si="10"/>
        <v>NIL</v>
      </c>
      <c r="R16" t="str">
        <f t="shared" si="11"/>
        <v>Accepted</v>
      </c>
      <c r="S16" t="str">
        <f t="shared" si="12"/>
        <v>Approved</v>
      </c>
      <c r="T16" t="str">
        <f t="shared" si="13"/>
        <v>10.20.8.188</v>
      </c>
      <c r="U16" t="str">
        <f t="shared" si="14"/>
        <v>AZRAD UMAR BIN SHAARI</v>
      </c>
      <c r="V16" t="str">
        <f t="shared" si="15"/>
        <v>FARHANA BINTI MUSTAPA</v>
      </c>
      <c r="W16" t="str">
        <f t="shared" si="16"/>
        <v>04-08-2020</v>
      </c>
      <c r="X16" t="str">
        <f t="shared" si="17"/>
        <v>RAZIMAH ANSAR AHMAD</v>
      </c>
      <c r="Y16" t="str">
        <f t="shared" si="18"/>
        <v>04-08-2020</v>
      </c>
      <c r="Z16" t="str">
        <f>"COS10200804 591"</f>
        <v>COS10200804 591</v>
      </c>
    </row>
    <row r="17" spans="1:26" x14ac:dyDescent="0.25">
      <c r="A17" t="str">
        <f t="shared" si="0"/>
        <v>04-08-2020 02:12:40</v>
      </c>
      <c r="B17" t="str">
        <f>"0000810981"</f>
        <v>0000810981</v>
      </c>
      <c r="C17" t="str">
        <f t="shared" si="1"/>
        <v>0000810791</v>
      </c>
      <c r="D17" t="str">
        <f t="shared" si="2"/>
        <v>73185</v>
      </c>
      <c r="E17" t="str">
        <f t="shared" si="3"/>
        <v>KFH-OPERATIONS DEPARTMENT</v>
      </c>
      <c r="F17" t="str">
        <f t="shared" si="4"/>
        <v>IBG</v>
      </c>
      <c r="G17" t="str">
        <f t="shared" si="5"/>
        <v>Refund COSHARE 10</v>
      </c>
      <c r="H17" s="2">
        <v>419.25</v>
      </c>
      <c r="I17" t="str">
        <f>"NURUN NESA BINTI NABI SARWAR"</f>
        <v>NURUN NESA BINTI NABI SARWAR</v>
      </c>
      <c r="J17" t="str">
        <f t="shared" si="6"/>
        <v>BANK ISLAM BHD</v>
      </c>
      <c r="K17" t="str">
        <f>"14171020018046"</f>
        <v>14171020018046</v>
      </c>
      <c r="L17" t="str">
        <f t="shared" si="7"/>
        <v>04-08-2020</v>
      </c>
      <c r="M17" t="str">
        <f t="shared" si="7"/>
        <v>04-08-2020</v>
      </c>
      <c r="N17" t="str">
        <f t="shared" si="8"/>
        <v>001105018356</v>
      </c>
      <c r="O17" t="str">
        <f t="shared" si="9"/>
        <v>MYR</v>
      </c>
      <c r="P17" t="str">
        <f t="shared" si="10"/>
        <v>NIL</v>
      </c>
      <c r="Q17" t="str">
        <f t="shared" si="10"/>
        <v>NIL</v>
      </c>
      <c r="R17" t="str">
        <f t="shared" si="11"/>
        <v>Accepted</v>
      </c>
      <c r="S17" t="str">
        <f t="shared" si="12"/>
        <v>Approved</v>
      </c>
      <c r="T17" t="str">
        <f t="shared" si="13"/>
        <v>10.20.8.188</v>
      </c>
      <c r="U17" t="str">
        <f t="shared" si="14"/>
        <v>AZRAD UMAR BIN SHAARI</v>
      </c>
      <c r="V17" t="str">
        <f t="shared" si="15"/>
        <v>FARHANA BINTI MUSTAPA</v>
      </c>
      <c r="W17" t="str">
        <f t="shared" si="16"/>
        <v>04-08-2020</v>
      </c>
      <c r="X17" t="str">
        <f t="shared" si="17"/>
        <v>RAZIMAH ANSAR AHMAD</v>
      </c>
      <c r="Y17" t="str">
        <f t="shared" si="18"/>
        <v>04-08-2020</v>
      </c>
      <c r="Z17" t="str">
        <f>"COS10200804 590"</f>
        <v>COS10200804 590</v>
      </c>
    </row>
    <row r="18" spans="1:26" x14ac:dyDescent="0.25">
      <c r="A18" t="str">
        <f t="shared" si="0"/>
        <v>04-08-2020 02:12:40</v>
      </c>
      <c r="B18" t="str">
        <f>"0000810980"</f>
        <v>0000810980</v>
      </c>
      <c r="C18" t="str">
        <f t="shared" si="1"/>
        <v>0000810791</v>
      </c>
      <c r="D18" t="str">
        <f t="shared" si="2"/>
        <v>73185</v>
      </c>
      <c r="E18" t="str">
        <f t="shared" si="3"/>
        <v>KFH-OPERATIONS DEPARTMENT</v>
      </c>
      <c r="F18" t="str">
        <f t="shared" si="4"/>
        <v>IBG</v>
      </c>
      <c r="G18" t="str">
        <f t="shared" si="5"/>
        <v>Refund COSHARE 10</v>
      </c>
      <c r="H18" s="2">
        <v>335.8</v>
      </c>
      <c r="I18" t="str">
        <f>"NURUL NADIAH BINTI MAHAMMAD"</f>
        <v>NURUL NADIAH BINTI MAHAMMAD</v>
      </c>
      <c r="J18" t="str">
        <f t="shared" si="6"/>
        <v>BANK ISLAM BHD</v>
      </c>
      <c r="K18" t="str">
        <f>"05049020126091"</f>
        <v>05049020126091</v>
      </c>
      <c r="L18" t="str">
        <f t="shared" si="7"/>
        <v>04-08-2020</v>
      </c>
      <c r="M18" t="str">
        <f t="shared" si="7"/>
        <v>04-08-2020</v>
      </c>
      <c r="N18" t="str">
        <f t="shared" si="8"/>
        <v>001105018356</v>
      </c>
      <c r="O18" t="str">
        <f t="shared" si="9"/>
        <v>MYR</v>
      </c>
      <c r="P18" t="str">
        <f t="shared" si="10"/>
        <v>NIL</v>
      </c>
      <c r="Q18" t="str">
        <f t="shared" si="10"/>
        <v>NIL</v>
      </c>
      <c r="R18" t="str">
        <f t="shared" si="11"/>
        <v>Accepted</v>
      </c>
      <c r="S18" t="str">
        <f t="shared" si="12"/>
        <v>Approved</v>
      </c>
      <c r="T18" t="str">
        <f t="shared" si="13"/>
        <v>10.20.8.188</v>
      </c>
      <c r="U18" t="str">
        <f t="shared" si="14"/>
        <v>AZRAD UMAR BIN SHAARI</v>
      </c>
      <c r="V18" t="str">
        <f t="shared" si="15"/>
        <v>FARHANA BINTI MUSTAPA</v>
      </c>
      <c r="W18" t="str">
        <f t="shared" si="16"/>
        <v>04-08-2020</v>
      </c>
      <c r="X18" t="str">
        <f t="shared" si="17"/>
        <v>RAZIMAH ANSAR AHMAD</v>
      </c>
      <c r="Y18" t="str">
        <f t="shared" si="18"/>
        <v>04-08-2020</v>
      </c>
      <c r="Z18" t="str">
        <f>"COS10200804 589"</f>
        <v>COS10200804 589</v>
      </c>
    </row>
    <row r="19" spans="1:26" x14ac:dyDescent="0.25">
      <c r="A19" t="str">
        <f t="shared" si="0"/>
        <v>04-08-2020 02:12:40</v>
      </c>
      <c r="B19" t="str">
        <f>"0000810979"</f>
        <v>0000810979</v>
      </c>
      <c r="C19" t="str">
        <f t="shared" si="1"/>
        <v>0000810791</v>
      </c>
      <c r="D19" t="str">
        <f t="shared" si="2"/>
        <v>73185</v>
      </c>
      <c r="E19" t="str">
        <f t="shared" si="3"/>
        <v>KFH-OPERATIONS DEPARTMENT</v>
      </c>
      <c r="F19" t="str">
        <f t="shared" si="4"/>
        <v>IBG</v>
      </c>
      <c r="G19" t="str">
        <f t="shared" si="5"/>
        <v>Refund COSHARE 10</v>
      </c>
      <c r="H19" s="2">
        <v>1518</v>
      </c>
      <c r="I19" t="str">
        <f>"NURUL FAIZA BINTI MOHD NORDIN"</f>
        <v>NURUL FAIZA BINTI MOHD NORDIN</v>
      </c>
      <c r="J19" t="str">
        <f t="shared" si="6"/>
        <v>BANK ISLAM BHD</v>
      </c>
      <c r="K19" t="str">
        <f>"08068020156404"</f>
        <v>08068020156404</v>
      </c>
      <c r="L19" t="str">
        <f t="shared" si="7"/>
        <v>04-08-2020</v>
      </c>
      <c r="M19" t="str">
        <f t="shared" si="7"/>
        <v>04-08-2020</v>
      </c>
      <c r="N19" t="str">
        <f t="shared" si="8"/>
        <v>001105018356</v>
      </c>
      <c r="O19" t="str">
        <f t="shared" si="9"/>
        <v>MYR</v>
      </c>
      <c r="P19" t="str">
        <f t="shared" si="10"/>
        <v>NIL</v>
      </c>
      <c r="Q19" t="str">
        <f t="shared" si="10"/>
        <v>NIL</v>
      </c>
      <c r="R19" t="str">
        <f t="shared" si="11"/>
        <v>Accepted</v>
      </c>
      <c r="S19" t="str">
        <f t="shared" si="12"/>
        <v>Approved</v>
      </c>
      <c r="T19" t="str">
        <f t="shared" si="13"/>
        <v>10.20.8.188</v>
      </c>
      <c r="U19" t="str">
        <f t="shared" si="14"/>
        <v>AZRAD UMAR BIN SHAARI</v>
      </c>
      <c r="V19" t="str">
        <f t="shared" si="15"/>
        <v>FARHANA BINTI MUSTAPA</v>
      </c>
      <c r="W19" t="str">
        <f t="shared" si="16"/>
        <v>04-08-2020</v>
      </c>
      <c r="X19" t="str">
        <f t="shared" si="17"/>
        <v>RAZIMAH ANSAR AHMAD</v>
      </c>
      <c r="Y19" t="str">
        <f t="shared" si="18"/>
        <v>04-08-2020</v>
      </c>
      <c r="Z19" t="str">
        <f>"COS10200804 588"</f>
        <v>COS10200804 588</v>
      </c>
    </row>
    <row r="20" spans="1:26" x14ac:dyDescent="0.25">
      <c r="A20" t="str">
        <f t="shared" si="0"/>
        <v>04-08-2020 02:12:40</v>
      </c>
      <c r="B20" t="str">
        <f>"0000810978"</f>
        <v>0000810978</v>
      </c>
      <c r="C20" t="str">
        <f t="shared" si="1"/>
        <v>0000810791</v>
      </c>
      <c r="D20" t="str">
        <f t="shared" si="2"/>
        <v>73185</v>
      </c>
      <c r="E20" t="str">
        <f t="shared" si="3"/>
        <v>KFH-OPERATIONS DEPARTMENT</v>
      </c>
      <c r="F20" t="str">
        <f t="shared" si="4"/>
        <v>IBG</v>
      </c>
      <c r="G20" t="str">
        <f t="shared" si="5"/>
        <v>Refund COSHARE 10</v>
      </c>
      <c r="H20" s="2">
        <v>142.75</v>
      </c>
      <c r="I20" t="str">
        <f>"NURSHIBRATUN BINTI MOHD HARIS"</f>
        <v>NURSHIBRATUN BINTI MOHD HARIS</v>
      </c>
      <c r="J20" t="str">
        <f t="shared" si="6"/>
        <v>BANK ISLAM BHD</v>
      </c>
      <c r="K20" t="str">
        <f>"05012020177367"</f>
        <v>05012020177367</v>
      </c>
      <c r="L20" t="str">
        <f t="shared" si="7"/>
        <v>04-08-2020</v>
      </c>
      <c r="M20" t="str">
        <f t="shared" si="7"/>
        <v>04-08-2020</v>
      </c>
      <c r="N20" t="str">
        <f t="shared" si="8"/>
        <v>001105018356</v>
      </c>
      <c r="O20" t="str">
        <f t="shared" si="9"/>
        <v>MYR</v>
      </c>
      <c r="P20" t="str">
        <f t="shared" si="10"/>
        <v>NIL</v>
      </c>
      <c r="Q20" t="str">
        <f t="shared" si="10"/>
        <v>NIL</v>
      </c>
      <c r="R20" t="str">
        <f t="shared" si="11"/>
        <v>Accepted</v>
      </c>
      <c r="S20" t="str">
        <f t="shared" si="12"/>
        <v>Approved</v>
      </c>
      <c r="T20" t="str">
        <f t="shared" si="13"/>
        <v>10.20.8.188</v>
      </c>
      <c r="U20" t="str">
        <f t="shared" si="14"/>
        <v>AZRAD UMAR BIN SHAARI</v>
      </c>
      <c r="V20" t="str">
        <f t="shared" si="15"/>
        <v>FARHANA BINTI MUSTAPA</v>
      </c>
      <c r="W20" t="str">
        <f t="shared" si="16"/>
        <v>04-08-2020</v>
      </c>
      <c r="X20" t="str">
        <f t="shared" si="17"/>
        <v>RAZIMAH ANSAR AHMAD</v>
      </c>
      <c r="Y20" t="str">
        <f t="shared" si="18"/>
        <v>04-08-2020</v>
      </c>
      <c r="Z20" t="str">
        <f>"COS10200804 587"</f>
        <v>COS10200804 587</v>
      </c>
    </row>
    <row r="21" spans="1:26" x14ac:dyDescent="0.25">
      <c r="A21" t="str">
        <f t="shared" si="0"/>
        <v>04-08-2020 02:12:40</v>
      </c>
      <c r="B21" t="str">
        <f>"0000810977"</f>
        <v>0000810977</v>
      </c>
      <c r="C21" t="str">
        <f t="shared" si="1"/>
        <v>0000810791</v>
      </c>
      <c r="D21" t="str">
        <f t="shared" si="2"/>
        <v>73185</v>
      </c>
      <c r="E21" t="str">
        <f t="shared" si="3"/>
        <v>KFH-OPERATIONS DEPARTMENT</v>
      </c>
      <c r="F21" t="str">
        <f t="shared" si="4"/>
        <v>IBG</v>
      </c>
      <c r="G21" t="str">
        <f t="shared" si="5"/>
        <v>Refund COSHARE 10</v>
      </c>
      <c r="H21" s="2">
        <v>456</v>
      </c>
      <c r="I21" t="str">
        <f>"NURSALIMAH BINTI ABU BAKAR"</f>
        <v>NURSALIMAH BINTI ABU BAKAR</v>
      </c>
      <c r="J21" t="str">
        <f t="shared" si="6"/>
        <v>BANK ISLAM BHD</v>
      </c>
      <c r="K21" t="str">
        <f>"09010020338526"</f>
        <v>09010020338526</v>
      </c>
      <c r="L21" t="str">
        <f t="shared" si="7"/>
        <v>04-08-2020</v>
      </c>
      <c r="M21" t="str">
        <f t="shared" si="7"/>
        <v>04-08-2020</v>
      </c>
      <c r="N21" t="str">
        <f t="shared" si="8"/>
        <v>001105018356</v>
      </c>
      <c r="O21" t="str">
        <f t="shared" si="9"/>
        <v>MYR</v>
      </c>
      <c r="P21" t="str">
        <f t="shared" si="10"/>
        <v>NIL</v>
      </c>
      <c r="Q21" t="str">
        <f t="shared" si="10"/>
        <v>NIL</v>
      </c>
      <c r="R21" t="str">
        <f t="shared" si="11"/>
        <v>Accepted</v>
      </c>
      <c r="S21" t="str">
        <f t="shared" si="12"/>
        <v>Approved</v>
      </c>
      <c r="T21" t="str">
        <f t="shared" si="13"/>
        <v>10.20.8.188</v>
      </c>
      <c r="U21" t="str">
        <f t="shared" si="14"/>
        <v>AZRAD UMAR BIN SHAARI</v>
      </c>
      <c r="V21" t="str">
        <f t="shared" si="15"/>
        <v>FARHANA BINTI MUSTAPA</v>
      </c>
      <c r="W21" t="str">
        <f t="shared" si="16"/>
        <v>04-08-2020</v>
      </c>
      <c r="X21" t="str">
        <f t="shared" si="17"/>
        <v>RAZIMAH ANSAR AHMAD</v>
      </c>
      <c r="Y21" t="str">
        <f t="shared" si="18"/>
        <v>04-08-2020</v>
      </c>
      <c r="Z21" t="str">
        <f>"COS10200804 586"</f>
        <v>COS10200804 586</v>
      </c>
    </row>
    <row r="22" spans="1:26" x14ac:dyDescent="0.25">
      <c r="A22" t="str">
        <f t="shared" si="0"/>
        <v>04-08-2020 02:12:40</v>
      </c>
      <c r="B22" t="str">
        <f>"0000810976"</f>
        <v>0000810976</v>
      </c>
      <c r="C22" t="str">
        <f t="shared" si="1"/>
        <v>0000810791</v>
      </c>
      <c r="D22" t="str">
        <f t="shared" si="2"/>
        <v>73185</v>
      </c>
      <c r="E22" t="str">
        <f t="shared" si="3"/>
        <v>KFH-OPERATIONS DEPARTMENT</v>
      </c>
      <c r="F22" t="str">
        <f t="shared" si="4"/>
        <v>IBG</v>
      </c>
      <c r="G22" t="str">
        <f t="shared" si="5"/>
        <v>Refund COSHARE 10</v>
      </c>
      <c r="H22" s="2">
        <v>125.95</v>
      </c>
      <c r="I22" t="str">
        <f>"NURRU ADILA BINTI IBRAHIM"</f>
        <v>NURRU ADILA BINTI IBRAHIM</v>
      </c>
      <c r="J22" t="str">
        <f t="shared" si="6"/>
        <v>BANK ISLAM BHD</v>
      </c>
      <c r="K22" t="str">
        <f>"14210020074379"</f>
        <v>14210020074379</v>
      </c>
      <c r="L22" t="str">
        <f t="shared" si="7"/>
        <v>04-08-2020</v>
      </c>
      <c r="M22" t="str">
        <f t="shared" si="7"/>
        <v>04-08-2020</v>
      </c>
      <c r="N22" t="str">
        <f t="shared" si="8"/>
        <v>001105018356</v>
      </c>
      <c r="O22" t="str">
        <f t="shared" si="9"/>
        <v>MYR</v>
      </c>
      <c r="P22" t="str">
        <f t="shared" si="10"/>
        <v>NIL</v>
      </c>
      <c r="Q22" t="str">
        <f t="shared" si="10"/>
        <v>NIL</v>
      </c>
      <c r="R22" t="str">
        <f t="shared" si="11"/>
        <v>Accepted</v>
      </c>
      <c r="S22" t="str">
        <f t="shared" si="12"/>
        <v>Approved</v>
      </c>
      <c r="T22" t="str">
        <f t="shared" si="13"/>
        <v>10.20.8.188</v>
      </c>
      <c r="U22" t="str">
        <f t="shared" si="14"/>
        <v>AZRAD UMAR BIN SHAARI</v>
      </c>
      <c r="V22" t="str">
        <f t="shared" si="15"/>
        <v>FARHANA BINTI MUSTAPA</v>
      </c>
      <c r="W22" t="str">
        <f t="shared" si="16"/>
        <v>04-08-2020</v>
      </c>
      <c r="X22" t="str">
        <f t="shared" si="17"/>
        <v>RAZIMAH ANSAR AHMAD</v>
      </c>
      <c r="Y22" t="str">
        <f t="shared" si="18"/>
        <v>04-08-2020</v>
      </c>
      <c r="Z22" t="str">
        <f>"COS10200804 585"</f>
        <v>COS10200804 585</v>
      </c>
    </row>
    <row r="23" spans="1:26" x14ac:dyDescent="0.25">
      <c r="A23" t="str">
        <f t="shared" si="0"/>
        <v>04-08-2020 02:12:40</v>
      </c>
      <c r="B23" t="str">
        <f>"0000810975"</f>
        <v>0000810975</v>
      </c>
      <c r="C23" t="str">
        <f t="shared" si="1"/>
        <v>0000810791</v>
      </c>
      <c r="D23" t="str">
        <f t="shared" si="2"/>
        <v>73185</v>
      </c>
      <c r="E23" t="str">
        <f t="shared" si="3"/>
        <v>KFH-OPERATIONS DEPARTMENT</v>
      </c>
      <c r="F23" t="str">
        <f t="shared" si="4"/>
        <v>IBG</v>
      </c>
      <c r="G23" t="str">
        <f t="shared" si="5"/>
        <v>Refund COSHARE 10</v>
      </c>
      <c r="H23" s="2">
        <v>83.95</v>
      </c>
      <c r="I23" t="str">
        <f>"NURRU ADILA BINTI IBRAHIM"</f>
        <v>NURRU ADILA BINTI IBRAHIM</v>
      </c>
      <c r="J23" t="str">
        <f t="shared" si="6"/>
        <v>BANK ISLAM BHD</v>
      </c>
      <c r="K23" t="str">
        <f>"14210020074379"</f>
        <v>14210020074379</v>
      </c>
      <c r="L23" t="str">
        <f t="shared" si="7"/>
        <v>04-08-2020</v>
      </c>
      <c r="M23" t="str">
        <f t="shared" si="7"/>
        <v>04-08-2020</v>
      </c>
      <c r="N23" t="str">
        <f t="shared" si="8"/>
        <v>001105018356</v>
      </c>
      <c r="O23" t="str">
        <f t="shared" si="9"/>
        <v>MYR</v>
      </c>
      <c r="P23" t="str">
        <f t="shared" si="10"/>
        <v>NIL</v>
      </c>
      <c r="Q23" t="str">
        <f t="shared" si="10"/>
        <v>NIL</v>
      </c>
      <c r="R23" t="str">
        <f t="shared" si="11"/>
        <v>Accepted</v>
      </c>
      <c r="S23" t="str">
        <f t="shared" si="12"/>
        <v>Approved</v>
      </c>
      <c r="T23" t="str">
        <f t="shared" si="13"/>
        <v>10.20.8.188</v>
      </c>
      <c r="U23" t="str">
        <f t="shared" si="14"/>
        <v>AZRAD UMAR BIN SHAARI</v>
      </c>
      <c r="V23" t="str">
        <f t="shared" si="15"/>
        <v>FARHANA BINTI MUSTAPA</v>
      </c>
      <c r="W23" t="str">
        <f t="shared" si="16"/>
        <v>04-08-2020</v>
      </c>
      <c r="X23" t="str">
        <f t="shared" si="17"/>
        <v>RAZIMAH ANSAR AHMAD</v>
      </c>
      <c r="Y23" t="str">
        <f t="shared" si="18"/>
        <v>04-08-2020</v>
      </c>
      <c r="Z23" t="str">
        <f>"COS10200804 584"</f>
        <v>COS10200804 584</v>
      </c>
    </row>
    <row r="24" spans="1:26" x14ac:dyDescent="0.25">
      <c r="A24" t="str">
        <f t="shared" si="0"/>
        <v>04-08-2020 02:12:40</v>
      </c>
      <c r="B24" t="str">
        <f>"0000810974"</f>
        <v>0000810974</v>
      </c>
      <c r="C24" t="str">
        <f t="shared" si="1"/>
        <v>0000810791</v>
      </c>
      <c r="D24" t="str">
        <f t="shared" si="2"/>
        <v>73185</v>
      </c>
      <c r="E24" t="str">
        <f t="shared" si="3"/>
        <v>KFH-OPERATIONS DEPARTMENT</v>
      </c>
      <c r="F24" t="str">
        <f t="shared" si="4"/>
        <v>IBG</v>
      </c>
      <c r="G24" t="str">
        <f t="shared" si="5"/>
        <v>Refund COSHARE 10</v>
      </c>
      <c r="H24" s="2">
        <v>1536.3</v>
      </c>
      <c r="I24" t="str">
        <f>"NURMAWATI BINTI AHMAD"</f>
        <v>NURMAWATI BINTI AHMAD</v>
      </c>
      <c r="J24" t="str">
        <f t="shared" si="6"/>
        <v>BANK ISLAM BHD</v>
      </c>
      <c r="K24" t="str">
        <f>"12195020202433"</f>
        <v>12195020202433</v>
      </c>
      <c r="L24" t="str">
        <f t="shared" si="7"/>
        <v>04-08-2020</v>
      </c>
      <c r="M24" t="str">
        <f t="shared" si="7"/>
        <v>04-08-2020</v>
      </c>
      <c r="N24" t="str">
        <f t="shared" si="8"/>
        <v>001105018356</v>
      </c>
      <c r="O24" t="str">
        <f t="shared" si="9"/>
        <v>MYR</v>
      </c>
      <c r="P24" t="str">
        <f t="shared" si="10"/>
        <v>NIL</v>
      </c>
      <c r="Q24" t="str">
        <f t="shared" si="10"/>
        <v>NIL</v>
      </c>
      <c r="R24" t="str">
        <f t="shared" si="11"/>
        <v>Accepted</v>
      </c>
      <c r="S24" t="str">
        <f t="shared" si="12"/>
        <v>Approved</v>
      </c>
      <c r="T24" t="str">
        <f t="shared" si="13"/>
        <v>10.20.8.188</v>
      </c>
      <c r="U24" t="str">
        <f t="shared" si="14"/>
        <v>AZRAD UMAR BIN SHAARI</v>
      </c>
      <c r="V24" t="str">
        <f t="shared" si="15"/>
        <v>FARHANA BINTI MUSTAPA</v>
      </c>
      <c r="W24" t="str">
        <f t="shared" si="16"/>
        <v>04-08-2020</v>
      </c>
      <c r="X24" t="str">
        <f t="shared" si="17"/>
        <v>RAZIMAH ANSAR AHMAD</v>
      </c>
      <c r="Y24" t="str">
        <f t="shared" si="18"/>
        <v>04-08-2020</v>
      </c>
      <c r="Z24" t="str">
        <f>"COS10200804 583"</f>
        <v>COS10200804 583</v>
      </c>
    </row>
    <row r="25" spans="1:26" x14ac:dyDescent="0.25">
      <c r="A25" t="str">
        <f t="shared" si="0"/>
        <v>04-08-2020 02:12:40</v>
      </c>
      <c r="B25" t="str">
        <f>"0000810973"</f>
        <v>0000810973</v>
      </c>
      <c r="C25" t="str">
        <f t="shared" si="1"/>
        <v>0000810791</v>
      </c>
      <c r="D25" t="str">
        <f t="shared" si="2"/>
        <v>73185</v>
      </c>
      <c r="E25" t="str">
        <f t="shared" si="3"/>
        <v>KFH-OPERATIONS DEPARTMENT</v>
      </c>
      <c r="F25" t="str">
        <f t="shared" si="4"/>
        <v>IBG</v>
      </c>
      <c r="G25" t="str">
        <f t="shared" si="5"/>
        <v>Refund COSHARE 10</v>
      </c>
      <c r="H25" s="2">
        <v>1166.9000000000001</v>
      </c>
      <c r="I25" t="str">
        <f>"NURHAYATUL AZWA BINTI MISLI"</f>
        <v>NURHAYATUL AZWA BINTI MISLI</v>
      </c>
      <c r="J25" t="str">
        <f t="shared" si="6"/>
        <v>BANK ISLAM BHD</v>
      </c>
      <c r="K25" t="str">
        <f>"11013025672344"</f>
        <v>11013025672344</v>
      </c>
      <c r="L25" t="str">
        <f t="shared" si="7"/>
        <v>04-08-2020</v>
      </c>
      <c r="M25" t="str">
        <f t="shared" si="7"/>
        <v>04-08-2020</v>
      </c>
      <c r="N25" t="str">
        <f t="shared" si="8"/>
        <v>001105018356</v>
      </c>
      <c r="O25" t="str">
        <f t="shared" si="9"/>
        <v>MYR</v>
      </c>
      <c r="P25" t="str">
        <f t="shared" si="10"/>
        <v>NIL</v>
      </c>
      <c r="Q25" t="str">
        <f t="shared" si="10"/>
        <v>NIL</v>
      </c>
      <c r="R25" t="str">
        <f t="shared" si="11"/>
        <v>Accepted</v>
      </c>
      <c r="S25" t="str">
        <f t="shared" si="12"/>
        <v>Approved</v>
      </c>
      <c r="T25" t="str">
        <f t="shared" si="13"/>
        <v>10.20.8.188</v>
      </c>
      <c r="U25" t="str">
        <f t="shared" si="14"/>
        <v>AZRAD UMAR BIN SHAARI</v>
      </c>
      <c r="V25" t="str">
        <f t="shared" si="15"/>
        <v>FARHANA BINTI MUSTAPA</v>
      </c>
      <c r="W25" t="str">
        <f t="shared" si="16"/>
        <v>04-08-2020</v>
      </c>
      <c r="X25" t="str">
        <f t="shared" si="17"/>
        <v>RAZIMAH ANSAR AHMAD</v>
      </c>
      <c r="Y25" t="str">
        <f t="shared" si="18"/>
        <v>04-08-2020</v>
      </c>
      <c r="Z25" t="str">
        <f>"COS10200804 582"</f>
        <v>COS10200804 582</v>
      </c>
    </row>
    <row r="26" spans="1:26" x14ac:dyDescent="0.25">
      <c r="A26" t="str">
        <f t="shared" si="0"/>
        <v>04-08-2020 02:12:40</v>
      </c>
      <c r="B26" t="str">
        <f>"0000810972"</f>
        <v>0000810972</v>
      </c>
      <c r="C26" t="str">
        <f t="shared" si="1"/>
        <v>0000810791</v>
      </c>
      <c r="D26" t="str">
        <f t="shared" si="2"/>
        <v>73185</v>
      </c>
      <c r="E26" t="str">
        <f t="shared" si="3"/>
        <v>KFH-OPERATIONS DEPARTMENT</v>
      </c>
      <c r="F26" t="str">
        <f t="shared" si="4"/>
        <v>IBG</v>
      </c>
      <c r="G26" t="str">
        <f t="shared" si="5"/>
        <v>Refund COSHARE 10</v>
      </c>
      <c r="H26" s="2">
        <v>1614</v>
      </c>
      <c r="I26" t="str">
        <f>"NURHANIE BINTI MAHJOM"</f>
        <v>NURHANIE BINTI MAHJOM</v>
      </c>
      <c r="J26" t="str">
        <f t="shared" si="6"/>
        <v>BANK ISLAM BHD</v>
      </c>
      <c r="K26" t="str">
        <f>"08068010023973"</f>
        <v>08068010023973</v>
      </c>
      <c r="L26" t="str">
        <f t="shared" si="7"/>
        <v>04-08-2020</v>
      </c>
      <c r="M26" t="str">
        <f t="shared" si="7"/>
        <v>04-08-2020</v>
      </c>
      <c r="N26" t="str">
        <f t="shared" si="8"/>
        <v>001105018356</v>
      </c>
      <c r="O26" t="str">
        <f t="shared" si="9"/>
        <v>MYR</v>
      </c>
      <c r="P26" t="str">
        <f t="shared" si="10"/>
        <v>NIL</v>
      </c>
      <c r="Q26" t="str">
        <f t="shared" si="10"/>
        <v>NIL</v>
      </c>
      <c r="R26" t="str">
        <f t="shared" si="11"/>
        <v>Accepted</v>
      </c>
      <c r="S26" t="str">
        <f t="shared" si="12"/>
        <v>Approved</v>
      </c>
      <c r="T26" t="str">
        <f t="shared" si="13"/>
        <v>10.20.8.188</v>
      </c>
      <c r="U26" t="str">
        <f t="shared" si="14"/>
        <v>AZRAD UMAR BIN SHAARI</v>
      </c>
      <c r="V26" t="str">
        <f t="shared" si="15"/>
        <v>FARHANA BINTI MUSTAPA</v>
      </c>
      <c r="W26" t="str">
        <f t="shared" si="16"/>
        <v>04-08-2020</v>
      </c>
      <c r="X26" t="str">
        <f t="shared" si="17"/>
        <v>RAZIMAH ANSAR AHMAD</v>
      </c>
      <c r="Y26" t="str">
        <f t="shared" si="18"/>
        <v>04-08-2020</v>
      </c>
      <c r="Z26" t="str">
        <f>"COS10200804 581"</f>
        <v>COS10200804 581</v>
      </c>
    </row>
    <row r="27" spans="1:26" x14ac:dyDescent="0.25">
      <c r="A27" t="str">
        <f t="shared" si="0"/>
        <v>04-08-2020 02:12:40</v>
      </c>
      <c r="B27" t="str">
        <f>"0000810971"</f>
        <v>0000810971</v>
      </c>
      <c r="C27" t="str">
        <f t="shared" si="1"/>
        <v>0000810791</v>
      </c>
      <c r="D27" t="str">
        <f t="shared" si="2"/>
        <v>73185</v>
      </c>
      <c r="E27" t="str">
        <f t="shared" si="3"/>
        <v>KFH-OPERATIONS DEPARTMENT</v>
      </c>
      <c r="F27" t="str">
        <f t="shared" si="4"/>
        <v>IBG</v>
      </c>
      <c r="G27" t="str">
        <f t="shared" si="5"/>
        <v>Refund COSHARE 10</v>
      </c>
      <c r="H27" s="2">
        <v>478.55</v>
      </c>
      <c r="I27" t="str">
        <f>"NUR TAHNANI BINTI AHMAD"</f>
        <v>NUR TAHNANI BINTI AHMAD</v>
      </c>
      <c r="J27" t="str">
        <f t="shared" si="6"/>
        <v>BANK ISLAM BHD</v>
      </c>
      <c r="K27" t="str">
        <f>"08059020149219"</f>
        <v>08059020149219</v>
      </c>
      <c r="L27" t="str">
        <f t="shared" ref="L27:M46" si="19">"04-08-2020"</f>
        <v>04-08-2020</v>
      </c>
      <c r="M27" t="str">
        <f t="shared" si="19"/>
        <v>04-08-2020</v>
      </c>
      <c r="N27" t="str">
        <f t="shared" si="8"/>
        <v>001105018356</v>
      </c>
      <c r="O27" t="str">
        <f t="shared" si="9"/>
        <v>MYR</v>
      </c>
      <c r="P27" t="str">
        <f t="shared" ref="P27:Q46" si="20">"NIL"</f>
        <v>NIL</v>
      </c>
      <c r="Q27" t="str">
        <f t="shared" si="20"/>
        <v>NIL</v>
      </c>
      <c r="R27" t="str">
        <f t="shared" si="11"/>
        <v>Accepted</v>
      </c>
      <c r="S27" t="str">
        <f t="shared" si="12"/>
        <v>Approved</v>
      </c>
      <c r="T27" t="str">
        <f t="shared" si="13"/>
        <v>10.20.8.188</v>
      </c>
      <c r="U27" t="str">
        <f t="shared" si="14"/>
        <v>AZRAD UMAR BIN SHAARI</v>
      </c>
      <c r="V27" t="str">
        <f t="shared" si="15"/>
        <v>FARHANA BINTI MUSTAPA</v>
      </c>
      <c r="W27" t="str">
        <f t="shared" si="16"/>
        <v>04-08-2020</v>
      </c>
      <c r="X27" t="str">
        <f t="shared" si="17"/>
        <v>RAZIMAH ANSAR AHMAD</v>
      </c>
      <c r="Y27" t="str">
        <f t="shared" si="18"/>
        <v>04-08-2020</v>
      </c>
      <c r="Z27" t="str">
        <f>"COS10200804 580"</f>
        <v>COS10200804 580</v>
      </c>
    </row>
    <row r="28" spans="1:26" x14ac:dyDescent="0.25">
      <c r="A28" t="str">
        <f t="shared" si="0"/>
        <v>04-08-2020 02:12:40</v>
      </c>
      <c r="B28" t="str">
        <f>"0000810970"</f>
        <v>0000810970</v>
      </c>
      <c r="C28" t="str">
        <f t="shared" si="1"/>
        <v>0000810791</v>
      </c>
      <c r="D28" t="str">
        <f t="shared" si="2"/>
        <v>73185</v>
      </c>
      <c r="E28" t="str">
        <f t="shared" si="3"/>
        <v>KFH-OPERATIONS DEPARTMENT</v>
      </c>
      <c r="F28" t="str">
        <f t="shared" si="4"/>
        <v>IBG</v>
      </c>
      <c r="G28" t="str">
        <f t="shared" si="5"/>
        <v>Refund COSHARE 10</v>
      </c>
      <c r="H28" s="2">
        <v>444.65</v>
      </c>
      <c r="I28" t="str">
        <f>"NUR SURIAWATY BINTI ABDUL NASIR"</f>
        <v>NUR SURIAWATY BINTI ABDUL NASIR</v>
      </c>
      <c r="J28" t="str">
        <f t="shared" si="6"/>
        <v>BANK ISLAM BHD</v>
      </c>
      <c r="K28" t="str">
        <f>"16018021410693"</f>
        <v>16018021410693</v>
      </c>
      <c r="L28" t="str">
        <f t="shared" si="19"/>
        <v>04-08-2020</v>
      </c>
      <c r="M28" t="str">
        <f t="shared" si="19"/>
        <v>04-08-2020</v>
      </c>
      <c r="N28" t="str">
        <f t="shared" si="8"/>
        <v>001105018356</v>
      </c>
      <c r="O28" t="str">
        <f t="shared" si="9"/>
        <v>MYR</v>
      </c>
      <c r="P28" t="str">
        <f t="shared" si="20"/>
        <v>NIL</v>
      </c>
      <c r="Q28" t="str">
        <f t="shared" si="20"/>
        <v>NIL</v>
      </c>
      <c r="R28" t="str">
        <f t="shared" si="11"/>
        <v>Accepted</v>
      </c>
      <c r="S28" t="str">
        <f t="shared" si="12"/>
        <v>Approved</v>
      </c>
      <c r="T28" t="str">
        <f t="shared" si="13"/>
        <v>10.20.8.188</v>
      </c>
      <c r="U28" t="str">
        <f t="shared" si="14"/>
        <v>AZRAD UMAR BIN SHAARI</v>
      </c>
      <c r="V28" t="str">
        <f t="shared" si="15"/>
        <v>FARHANA BINTI MUSTAPA</v>
      </c>
      <c r="W28" t="str">
        <f t="shared" si="16"/>
        <v>04-08-2020</v>
      </c>
      <c r="X28" t="str">
        <f t="shared" si="17"/>
        <v>RAZIMAH ANSAR AHMAD</v>
      </c>
      <c r="Y28" t="str">
        <f t="shared" si="18"/>
        <v>04-08-2020</v>
      </c>
      <c r="Z28" t="str">
        <f>"COS10200804 579"</f>
        <v>COS10200804 579</v>
      </c>
    </row>
    <row r="29" spans="1:26" x14ac:dyDescent="0.25">
      <c r="A29" t="str">
        <f t="shared" si="0"/>
        <v>04-08-2020 02:12:40</v>
      </c>
      <c r="B29" t="str">
        <f>"0000810969"</f>
        <v>0000810969</v>
      </c>
      <c r="C29" t="str">
        <f t="shared" si="1"/>
        <v>0000810791</v>
      </c>
      <c r="D29" t="str">
        <f t="shared" si="2"/>
        <v>73185</v>
      </c>
      <c r="E29" t="str">
        <f t="shared" si="3"/>
        <v>KFH-OPERATIONS DEPARTMENT</v>
      </c>
      <c r="F29" t="str">
        <f t="shared" si="4"/>
        <v>IBG</v>
      </c>
      <c r="G29" t="str">
        <f t="shared" si="5"/>
        <v>Refund COSHARE 10</v>
      </c>
      <c r="H29" s="2">
        <v>335.8</v>
      </c>
      <c r="I29" t="str">
        <f>"NUR HIDAYAH BINTI MOHD NOOR"</f>
        <v>NUR HIDAYAH BINTI MOHD NOOR</v>
      </c>
      <c r="J29" t="str">
        <f t="shared" si="6"/>
        <v>BANK ISLAM BHD</v>
      </c>
      <c r="K29" t="str">
        <f>"08068020282041"</f>
        <v>08068020282041</v>
      </c>
      <c r="L29" t="str">
        <f t="shared" si="19"/>
        <v>04-08-2020</v>
      </c>
      <c r="M29" t="str">
        <f t="shared" si="19"/>
        <v>04-08-2020</v>
      </c>
      <c r="N29" t="str">
        <f t="shared" si="8"/>
        <v>001105018356</v>
      </c>
      <c r="O29" t="str">
        <f t="shared" si="9"/>
        <v>MYR</v>
      </c>
      <c r="P29" t="str">
        <f t="shared" si="20"/>
        <v>NIL</v>
      </c>
      <c r="Q29" t="str">
        <f t="shared" si="20"/>
        <v>NIL</v>
      </c>
      <c r="R29" t="str">
        <f t="shared" si="11"/>
        <v>Accepted</v>
      </c>
      <c r="S29" t="str">
        <f t="shared" si="12"/>
        <v>Approved</v>
      </c>
      <c r="T29" t="str">
        <f t="shared" si="13"/>
        <v>10.20.8.188</v>
      </c>
      <c r="U29" t="str">
        <f t="shared" si="14"/>
        <v>AZRAD UMAR BIN SHAARI</v>
      </c>
      <c r="V29" t="str">
        <f t="shared" si="15"/>
        <v>FARHANA BINTI MUSTAPA</v>
      </c>
      <c r="W29" t="str">
        <f t="shared" si="16"/>
        <v>04-08-2020</v>
      </c>
      <c r="X29" t="str">
        <f t="shared" si="17"/>
        <v>RAZIMAH ANSAR AHMAD</v>
      </c>
      <c r="Y29" t="str">
        <f t="shared" si="18"/>
        <v>04-08-2020</v>
      </c>
      <c r="Z29" t="str">
        <f>"COS10200804 578"</f>
        <v>COS10200804 578</v>
      </c>
    </row>
    <row r="30" spans="1:26" x14ac:dyDescent="0.25">
      <c r="A30" t="str">
        <f t="shared" si="0"/>
        <v>04-08-2020 02:12:40</v>
      </c>
      <c r="B30" t="str">
        <f>"0000810968"</f>
        <v>0000810968</v>
      </c>
      <c r="C30" t="str">
        <f t="shared" si="1"/>
        <v>0000810791</v>
      </c>
      <c r="D30" t="str">
        <f t="shared" si="2"/>
        <v>73185</v>
      </c>
      <c r="E30" t="str">
        <f t="shared" si="3"/>
        <v>KFH-OPERATIONS DEPARTMENT</v>
      </c>
      <c r="F30" t="str">
        <f t="shared" si="4"/>
        <v>IBG</v>
      </c>
      <c r="G30" t="str">
        <f t="shared" si="5"/>
        <v>Refund COSHARE 10</v>
      </c>
      <c r="H30" s="2">
        <v>75</v>
      </c>
      <c r="I30" t="str">
        <f>"NUR AZMI BIN MD AKHIR"</f>
        <v>NUR AZMI BIN MD AKHIR</v>
      </c>
      <c r="J30" t="str">
        <f t="shared" si="6"/>
        <v>BANK ISLAM BHD</v>
      </c>
      <c r="K30" t="str">
        <f>"02011020518131"</f>
        <v>02011020518131</v>
      </c>
      <c r="L30" t="str">
        <f t="shared" si="19"/>
        <v>04-08-2020</v>
      </c>
      <c r="M30" t="str">
        <f t="shared" si="19"/>
        <v>04-08-2020</v>
      </c>
      <c r="N30" t="str">
        <f t="shared" si="8"/>
        <v>001105018356</v>
      </c>
      <c r="O30" t="str">
        <f t="shared" si="9"/>
        <v>MYR</v>
      </c>
      <c r="P30" t="str">
        <f t="shared" si="20"/>
        <v>NIL</v>
      </c>
      <c r="Q30" t="str">
        <f t="shared" si="20"/>
        <v>NIL</v>
      </c>
      <c r="R30" t="str">
        <f t="shared" si="11"/>
        <v>Accepted</v>
      </c>
      <c r="S30" t="str">
        <f t="shared" si="12"/>
        <v>Approved</v>
      </c>
      <c r="T30" t="str">
        <f t="shared" si="13"/>
        <v>10.20.8.188</v>
      </c>
      <c r="U30" t="str">
        <f t="shared" si="14"/>
        <v>AZRAD UMAR BIN SHAARI</v>
      </c>
      <c r="V30" t="str">
        <f t="shared" si="15"/>
        <v>FARHANA BINTI MUSTAPA</v>
      </c>
      <c r="W30" t="str">
        <f t="shared" si="16"/>
        <v>04-08-2020</v>
      </c>
      <c r="X30" t="str">
        <f t="shared" si="17"/>
        <v>RAZIMAH ANSAR AHMAD</v>
      </c>
      <c r="Y30" t="str">
        <f t="shared" si="18"/>
        <v>04-08-2020</v>
      </c>
      <c r="Z30" t="str">
        <f>"COS10200804 577"</f>
        <v>COS10200804 577</v>
      </c>
    </row>
    <row r="31" spans="1:26" x14ac:dyDescent="0.25">
      <c r="A31" t="str">
        <f t="shared" si="0"/>
        <v>04-08-2020 02:12:40</v>
      </c>
      <c r="B31" t="str">
        <f>"0000810967"</f>
        <v>0000810967</v>
      </c>
      <c r="C31" t="str">
        <f t="shared" si="1"/>
        <v>0000810791</v>
      </c>
      <c r="D31" t="str">
        <f t="shared" si="2"/>
        <v>73185</v>
      </c>
      <c r="E31" t="str">
        <f t="shared" si="3"/>
        <v>KFH-OPERATIONS DEPARTMENT</v>
      </c>
      <c r="F31" t="str">
        <f t="shared" si="4"/>
        <v>IBG</v>
      </c>
      <c r="G31" t="str">
        <f t="shared" si="5"/>
        <v>Refund COSHARE 10</v>
      </c>
      <c r="H31" s="2">
        <v>42</v>
      </c>
      <c r="I31" t="str">
        <f>"NUR AKMAR BINTI MUHAMMAD ZAIDI"</f>
        <v>NUR AKMAR BINTI MUHAMMAD ZAIDI</v>
      </c>
      <c r="J31" t="str">
        <f t="shared" si="6"/>
        <v>BANK ISLAM BHD</v>
      </c>
      <c r="K31" t="str">
        <f>"02048020429530"</f>
        <v>02048020429530</v>
      </c>
      <c r="L31" t="str">
        <f t="shared" si="19"/>
        <v>04-08-2020</v>
      </c>
      <c r="M31" t="str">
        <f t="shared" si="19"/>
        <v>04-08-2020</v>
      </c>
      <c r="N31" t="str">
        <f t="shared" si="8"/>
        <v>001105018356</v>
      </c>
      <c r="O31" t="str">
        <f t="shared" si="9"/>
        <v>MYR</v>
      </c>
      <c r="P31" t="str">
        <f t="shared" si="20"/>
        <v>NIL</v>
      </c>
      <c r="Q31" t="str">
        <f t="shared" si="20"/>
        <v>NIL</v>
      </c>
      <c r="R31" t="str">
        <f t="shared" si="11"/>
        <v>Accepted</v>
      </c>
      <c r="S31" t="str">
        <f t="shared" si="12"/>
        <v>Approved</v>
      </c>
      <c r="T31" t="str">
        <f t="shared" si="13"/>
        <v>10.20.8.188</v>
      </c>
      <c r="U31" t="str">
        <f t="shared" si="14"/>
        <v>AZRAD UMAR BIN SHAARI</v>
      </c>
      <c r="V31" t="str">
        <f t="shared" si="15"/>
        <v>FARHANA BINTI MUSTAPA</v>
      </c>
      <c r="W31" t="str">
        <f t="shared" si="16"/>
        <v>04-08-2020</v>
      </c>
      <c r="X31" t="str">
        <f t="shared" si="17"/>
        <v>RAZIMAH ANSAR AHMAD</v>
      </c>
      <c r="Y31" t="str">
        <f t="shared" si="18"/>
        <v>04-08-2020</v>
      </c>
      <c r="Z31" t="str">
        <f>"COS10200804 576"</f>
        <v>COS10200804 576</v>
      </c>
    </row>
    <row r="32" spans="1:26" x14ac:dyDescent="0.25">
      <c r="A32" t="str">
        <f t="shared" si="0"/>
        <v>04-08-2020 02:12:40</v>
      </c>
      <c r="B32" t="str">
        <f>"0000810966"</f>
        <v>0000810966</v>
      </c>
      <c r="C32" t="str">
        <f t="shared" si="1"/>
        <v>0000810791</v>
      </c>
      <c r="D32" t="str">
        <f t="shared" si="2"/>
        <v>73185</v>
      </c>
      <c r="E32" t="str">
        <f t="shared" si="3"/>
        <v>KFH-OPERATIONS DEPARTMENT</v>
      </c>
      <c r="F32" t="str">
        <f t="shared" si="4"/>
        <v>IBG</v>
      </c>
      <c r="G32" t="str">
        <f t="shared" si="5"/>
        <v>Refund COSHARE 10</v>
      </c>
      <c r="H32" s="2">
        <v>1259.25</v>
      </c>
      <c r="I32" t="str">
        <f>"NUR AINI BINTI ISMAIL"</f>
        <v>NUR AINI BINTI ISMAIL</v>
      </c>
      <c r="J32" t="str">
        <f t="shared" si="6"/>
        <v>BANK ISLAM BHD</v>
      </c>
      <c r="K32" t="str">
        <f>"12010024639746"</f>
        <v>12010024639746</v>
      </c>
      <c r="L32" t="str">
        <f t="shared" si="19"/>
        <v>04-08-2020</v>
      </c>
      <c r="M32" t="str">
        <f t="shared" si="19"/>
        <v>04-08-2020</v>
      </c>
      <c r="N32" t="str">
        <f t="shared" si="8"/>
        <v>001105018356</v>
      </c>
      <c r="O32" t="str">
        <f t="shared" si="9"/>
        <v>MYR</v>
      </c>
      <c r="P32" t="str">
        <f t="shared" si="20"/>
        <v>NIL</v>
      </c>
      <c r="Q32" t="str">
        <f t="shared" si="20"/>
        <v>NIL</v>
      </c>
      <c r="R32" t="str">
        <f t="shared" si="11"/>
        <v>Accepted</v>
      </c>
      <c r="S32" t="str">
        <f t="shared" si="12"/>
        <v>Approved</v>
      </c>
      <c r="T32" t="str">
        <f t="shared" si="13"/>
        <v>10.20.8.188</v>
      </c>
      <c r="U32" t="str">
        <f t="shared" si="14"/>
        <v>AZRAD UMAR BIN SHAARI</v>
      </c>
      <c r="V32" t="str">
        <f t="shared" si="15"/>
        <v>FARHANA BINTI MUSTAPA</v>
      </c>
      <c r="W32" t="str">
        <f t="shared" si="16"/>
        <v>04-08-2020</v>
      </c>
      <c r="X32" t="str">
        <f t="shared" si="17"/>
        <v>RAZIMAH ANSAR AHMAD</v>
      </c>
      <c r="Y32" t="str">
        <f t="shared" si="18"/>
        <v>04-08-2020</v>
      </c>
      <c r="Z32" t="str">
        <f>"COS10200804 575"</f>
        <v>COS10200804 575</v>
      </c>
    </row>
    <row r="33" spans="1:26" x14ac:dyDescent="0.25">
      <c r="A33" t="str">
        <f t="shared" si="0"/>
        <v>04-08-2020 02:12:40</v>
      </c>
      <c r="B33" t="str">
        <f>"0000810965"</f>
        <v>0000810965</v>
      </c>
      <c r="C33" t="str">
        <f t="shared" si="1"/>
        <v>0000810791</v>
      </c>
      <c r="D33" t="str">
        <f t="shared" si="2"/>
        <v>73185</v>
      </c>
      <c r="E33" t="str">
        <f t="shared" si="3"/>
        <v>KFH-OPERATIONS DEPARTMENT</v>
      </c>
      <c r="F33" t="str">
        <f t="shared" si="4"/>
        <v>IBG</v>
      </c>
      <c r="G33" t="str">
        <f t="shared" si="5"/>
        <v>Refund COSHARE 10</v>
      </c>
      <c r="H33" s="2">
        <v>1318.85</v>
      </c>
      <c r="I33" t="str">
        <f>"NUHA BINTI MOHAMAD"</f>
        <v>NUHA BINTI MOHAMAD</v>
      </c>
      <c r="J33" t="str">
        <f t="shared" si="6"/>
        <v>BANK ISLAM BHD</v>
      </c>
      <c r="K33" t="str">
        <f>"01041020149416"</f>
        <v>01041020149416</v>
      </c>
      <c r="L33" t="str">
        <f t="shared" si="19"/>
        <v>04-08-2020</v>
      </c>
      <c r="M33" t="str">
        <f t="shared" si="19"/>
        <v>04-08-2020</v>
      </c>
      <c r="N33" t="str">
        <f t="shared" si="8"/>
        <v>001105018356</v>
      </c>
      <c r="O33" t="str">
        <f t="shared" si="9"/>
        <v>MYR</v>
      </c>
      <c r="P33" t="str">
        <f t="shared" si="20"/>
        <v>NIL</v>
      </c>
      <c r="Q33" t="str">
        <f t="shared" si="20"/>
        <v>NIL</v>
      </c>
      <c r="R33" t="str">
        <f t="shared" si="11"/>
        <v>Accepted</v>
      </c>
      <c r="S33" t="str">
        <f t="shared" si="12"/>
        <v>Approved</v>
      </c>
      <c r="T33" t="str">
        <f t="shared" si="13"/>
        <v>10.20.8.188</v>
      </c>
      <c r="U33" t="str">
        <f t="shared" si="14"/>
        <v>AZRAD UMAR BIN SHAARI</v>
      </c>
      <c r="V33" t="str">
        <f t="shared" si="15"/>
        <v>FARHANA BINTI MUSTAPA</v>
      </c>
      <c r="W33" t="str">
        <f t="shared" si="16"/>
        <v>04-08-2020</v>
      </c>
      <c r="X33" t="str">
        <f t="shared" si="17"/>
        <v>RAZIMAH ANSAR AHMAD</v>
      </c>
      <c r="Y33" t="str">
        <f t="shared" si="18"/>
        <v>04-08-2020</v>
      </c>
      <c r="Z33" t="str">
        <f>"COS10200804 574"</f>
        <v>COS10200804 574</v>
      </c>
    </row>
    <row r="34" spans="1:26" x14ac:dyDescent="0.25">
      <c r="A34" t="str">
        <f t="shared" si="0"/>
        <v>04-08-2020 02:12:40</v>
      </c>
      <c r="B34" t="str">
        <f>"0000810964"</f>
        <v>0000810964</v>
      </c>
      <c r="C34" t="str">
        <f t="shared" si="1"/>
        <v>0000810791</v>
      </c>
      <c r="D34" t="str">
        <f t="shared" si="2"/>
        <v>73185</v>
      </c>
      <c r="E34" t="str">
        <f t="shared" si="3"/>
        <v>KFH-OPERATIONS DEPARTMENT</v>
      </c>
      <c r="F34" t="str">
        <f t="shared" si="4"/>
        <v>IBG</v>
      </c>
      <c r="G34" t="str">
        <f t="shared" si="5"/>
        <v>Refund COSHARE 10</v>
      </c>
      <c r="H34" s="2">
        <v>1259.25</v>
      </c>
      <c r="I34" t="str">
        <f>"NUBLI BIN MOHAMED  ZAWI"</f>
        <v>NUBLI BIN MOHAMED  ZAWI</v>
      </c>
      <c r="J34" t="str">
        <f t="shared" si="6"/>
        <v>BANK ISLAM BHD</v>
      </c>
      <c r="K34" t="str">
        <f>"01069020267457"</f>
        <v>01069020267457</v>
      </c>
      <c r="L34" t="str">
        <f t="shared" si="19"/>
        <v>04-08-2020</v>
      </c>
      <c r="M34" t="str">
        <f t="shared" si="19"/>
        <v>04-08-2020</v>
      </c>
      <c r="N34" t="str">
        <f t="shared" si="8"/>
        <v>001105018356</v>
      </c>
      <c r="O34" t="str">
        <f t="shared" si="9"/>
        <v>MYR</v>
      </c>
      <c r="P34" t="str">
        <f t="shared" si="20"/>
        <v>NIL</v>
      </c>
      <c r="Q34" t="str">
        <f t="shared" si="20"/>
        <v>NIL</v>
      </c>
      <c r="R34" t="str">
        <f t="shared" si="11"/>
        <v>Accepted</v>
      </c>
      <c r="S34" t="str">
        <f t="shared" si="12"/>
        <v>Approved</v>
      </c>
      <c r="T34" t="str">
        <f t="shared" si="13"/>
        <v>10.20.8.188</v>
      </c>
      <c r="U34" t="str">
        <f t="shared" si="14"/>
        <v>AZRAD UMAR BIN SHAARI</v>
      </c>
      <c r="V34" t="str">
        <f t="shared" si="15"/>
        <v>FARHANA BINTI MUSTAPA</v>
      </c>
      <c r="W34" t="str">
        <f t="shared" si="16"/>
        <v>04-08-2020</v>
      </c>
      <c r="X34" t="str">
        <f t="shared" si="17"/>
        <v>RAZIMAH ANSAR AHMAD</v>
      </c>
      <c r="Y34" t="str">
        <f t="shared" si="18"/>
        <v>04-08-2020</v>
      </c>
      <c r="Z34" t="str">
        <f>"COS10200804 573"</f>
        <v>COS10200804 573</v>
      </c>
    </row>
    <row r="35" spans="1:26" x14ac:dyDescent="0.25">
      <c r="A35" t="str">
        <f t="shared" si="0"/>
        <v>04-08-2020 02:12:40</v>
      </c>
      <c r="B35" t="str">
        <f>"0000810963"</f>
        <v>0000810963</v>
      </c>
      <c r="C35" t="str">
        <f t="shared" si="1"/>
        <v>0000810791</v>
      </c>
      <c r="D35" t="str">
        <f t="shared" si="2"/>
        <v>73185</v>
      </c>
      <c r="E35" t="str">
        <f t="shared" si="3"/>
        <v>KFH-OPERATIONS DEPARTMENT</v>
      </c>
      <c r="F35" t="str">
        <f t="shared" si="4"/>
        <v>IBG</v>
      </c>
      <c r="G35" t="str">
        <f t="shared" si="5"/>
        <v>Refund COSHARE 10</v>
      </c>
      <c r="H35" s="2">
        <v>184.7</v>
      </c>
      <c r="I35" t="str">
        <f>"NORZURIDA HANI BINTI ZAINAL"</f>
        <v>NORZURIDA HANI BINTI ZAINAL</v>
      </c>
      <c r="J35" t="str">
        <f t="shared" si="6"/>
        <v>BANK ISLAM BHD</v>
      </c>
      <c r="K35" t="str">
        <f>"08031020256473"</f>
        <v>08031020256473</v>
      </c>
      <c r="L35" t="str">
        <f t="shared" si="19"/>
        <v>04-08-2020</v>
      </c>
      <c r="M35" t="str">
        <f t="shared" si="19"/>
        <v>04-08-2020</v>
      </c>
      <c r="N35" t="str">
        <f t="shared" si="8"/>
        <v>001105018356</v>
      </c>
      <c r="O35" t="str">
        <f t="shared" si="9"/>
        <v>MYR</v>
      </c>
      <c r="P35" t="str">
        <f t="shared" si="20"/>
        <v>NIL</v>
      </c>
      <c r="Q35" t="str">
        <f t="shared" si="20"/>
        <v>NIL</v>
      </c>
      <c r="R35" t="str">
        <f t="shared" si="11"/>
        <v>Accepted</v>
      </c>
      <c r="S35" t="str">
        <f t="shared" si="12"/>
        <v>Approved</v>
      </c>
      <c r="T35" t="str">
        <f t="shared" si="13"/>
        <v>10.20.8.188</v>
      </c>
      <c r="U35" t="str">
        <f t="shared" si="14"/>
        <v>AZRAD UMAR BIN SHAARI</v>
      </c>
      <c r="V35" t="str">
        <f t="shared" si="15"/>
        <v>FARHANA BINTI MUSTAPA</v>
      </c>
      <c r="W35" t="str">
        <f t="shared" si="16"/>
        <v>04-08-2020</v>
      </c>
      <c r="X35" t="str">
        <f t="shared" si="17"/>
        <v>RAZIMAH ANSAR AHMAD</v>
      </c>
      <c r="Y35" t="str">
        <f t="shared" si="18"/>
        <v>04-08-2020</v>
      </c>
      <c r="Z35" t="str">
        <f>"COS10200804 572"</f>
        <v>COS10200804 572</v>
      </c>
    </row>
    <row r="36" spans="1:26" x14ac:dyDescent="0.25">
      <c r="A36" t="str">
        <f t="shared" si="0"/>
        <v>04-08-2020 02:12:40</v>
      </c>
      <c r="B36" t="str">
        <f>"0000810962"</f>
        <v>0000810962</v>
      </c>
      <c r="C36" t="str">
        <f t="shared" si="1"/>
        <v>0000810791</v>
      </c>
      <c r="D36" t="str">
        <f t="shared" si="2"/>
        <v>73185</v>
      </c>
      <c r="E36" t="str">
        <f t="shared" si="3"/>
        <v>KFH-OPERATIONS DEPARTMENT</v>
      </c>
      <c r="F36" t="str">
        <f t="shared" si="4"/>
        <v>IBG</v>
      </c>
      <c r="G36" t="str">
        <f t="shared" si="5"/>
        <v>Refund COSHARE 10</v>
      </c>
      <c r="H36" s="2">
        <v>831</v>
      </c>
      <c r="I36" t="str">
        <f>"NORZILAWATI BINTI ABU BAKAR"</f>
        <v>NORZILAWATI BINTI ABU BAKAR</v>
      </c>
      <c r="J36" t="str">
        <f t="shared" si="6"/>
        <v>BANK ISLAM BHD</v>
      </c>
      <c r="K36" t="str">
        <f>"12122020099010"</f>
        <v>12122020099010</v>
      </c>
      <c r="L36" t="str">
        <f t="shared" si="19"/>
        <v>04-08-2020</v>
      </c>
      <c r="M36" t="str">
        <f t="shared" si="19"/>
        <v>04-08-2020</v>
      </c>
      <c r="N36" t="str">
        <f t="shared" si="8"/>
        <v>001105018356</v>
      </c>
      <c r="O36" t="str">
        <f t="shared" si="9"/>
        <v>MYR</v>
      </c>
      <c r="P36" t="str">
        <f t="shared" si="20"/>
        <v>NIL</v>
      </c>
      <c r="Q36" t="str">
        <f t="shared" si="20"/>
        <v>NIL</v>
      </c>
      <c r="R36" t="str">
        <f t="shared" si="11"/>
        <v>Accepted</v>
      </c>
      <c r="S36" t="str">
        <f t="shared" si="12"/>
        <v>Approved</v>
      </c>
      <c r="T36" t="str">
        <f t="shared" si="13"/>
        <v>10.20.8.188</v>
      </c>
      <c r="U36" t="str">
        <f t="shared" si="14"/>
        <v>AZRAD UMAR BIN SHAARI</v>
      </c>
      <c r="V36" t="str">
        <f t="shared" si="15"/>
        <v>FARHANA BINTI MUSTAPA</v>
      </c>
      <c r="W36" t="str">
        <f t="shared" si="16"/>
        <v>04-08-2020</v>
      </c>
      <c r="X36" t="str">
        <f t="shared" si="17"/>
        <v>RAZIMAH ANSAR AHMAD</v>
      </c>
      <c r="Y36" t="str">
        <f t="shared" si="18"/>
        <v>04-08-2020</v>
      </c>
      <c r="Z36" t="str">
        <f>"COS10200804 571"</f>
        <v>COS10200804 571</v>
      </c>
    </row>
    <row r="37" spans="1:26" x14ac:dyDescent="0.25">
      <c r="A37" t="str">
        <f t="shared" si="0"/>
        <v>04-08-2020 02:12:40</v>
      </c>
      <c r="B37" t="str">
        <f>"0000810961"</f>
        <v>0000810961</v>
      </c>
      <c r="C37" t="str">
        <f t="shared" si="1"/>
        <v>0000810791</v>
      </c>
      <c r="D37" t="str">
        <f t="shared" si="2"/>
        <v>73185</v>
      </c>
      <c r="E37" t="str">
        <f t="shared" si="3"/>
        <v>KFH-OPERATIONS DEPARTMENT</v>
      </c>
      <c r="F37" t="str">
        <f t="shared" si="4"/>
        <v>IBG</v>
      </c>
      <c r="G37" t="str">
        <f t="shared" si="5"/>
        <v>Refund COSHARE 10</v>
      </c>
      <c r="H37" s="2">
        <v>1124.95</v>
      </c>
      <c r="I37" t="str">
        <f>"NORZAIKA BINTI ZAKARIA"</f>
        <v>NORZAIKA BINTI ZAKARIA</v>
      </c>
      <c r="J37" t="str">
        <f t="shared" si="6"/>
        <v>BANK ISLAM BHD</v>
      </c>
      <c r="K37" t="str">
        <f>"12122020098473"</f>
        <v>12122020098473</v>
      </c>
      <c r="L37" t="str">
        <f t="shared" si="19"/>
        <v>04-08-2020</v>
      </c>
      <c r="M37" t="str">
        <f t="shared" si="19"/>
        <v>04-08-2020</v>
      </c>
      <c r="N37" t="str">
        <f t="shared" si="8"/>
        <v>001105018356</v>
      </c>
      <c r="O37" t="str">
        <f t="shared" si="9"/>
        <v>MYR</v>
      </c>
      <c r="P37" t="str">
        <f t="shared" si="20"/>
        <v>NIL</v>
      </c>
      <c r="Q37" t="str">
        <f t="shared" si="20"/>
        <v>NIL</v>
      </c>
      <c r="R37" t="str">
        <f t="shared" si="11"/>
        <v>Accepted</v>
      </c>
      <c r="S37" t="str">
        <f t="shared" si="12"/>
        <v>Approved</v>
      </c>
      <c r="T37" t="str">
        <f t="shared" si="13"/>
        <v>10.20.8.188</v>
      </c>
      <c r="U37" t="str">
        <f t="shared" si="14"/>
        <v>AZRAD UMAR BIN SHAARI</v>
      </c>
      <c r="V37" t="str">
        <f t="shared" si="15"/>
        <v>FARHANA BINTI MUSTAPA</v>
      </c>
      <c r="W37" t="str">
        <f t="shared" si="16"/>
        <v>04-08-2020</v>
      </c>
      <c r="X37" t="str">
        <f t="shared" si="17"/>
        <v>RAZIMAH ANSAR AHMAD</v>
      </c>
      <c r="Y37" t="str">
        <f t="shared" si="18"/>
        <v>04-08-2020</v>
      </c>
      <c r="Z37" t="str">
        <f>"COS10200804 570"</f>
        <v>COS10200804 570</v>
      </c>
    </row>
    <row r="38" spans="1:26" x14ac:dyDescent="0.25">
      <c r="A38" t="str">
        <f t="shared" si="0"/>
        <v>04-08-2020 02:12:40</v>
      </c>
      <c r="B38" t="str">
        <f>"0000810960"</f>
        <v>0000810960</v>
      </c>
      <c r="C38" t="str">
        <f t="shared" si="1"/>
        <v>0000810791</v>
      </c>
      <c r="D38" t="str">
        <f t="shared" si="2"/>
        <v>73185</v>
      </c>
      <c r="E38" t="str">
        <f t="shared" si="3"/>
        <v>KFH-OPERATIONS DEPARTMENT</v>
      </c>
      <c r="F38" t="str">
        <f t="shared" si="4"/>
        <v>IBG</v>
      </c>
      <c r="G38" t="str">
        <f t="shared" si="5"/>
        <v>Refund COSHARE 10</v>
      </c>
      <c r="H38" s="2">
        <v>228</v>
      </c>
      <c r="I38" t="str">
        <f>"NORWAHIDAH BINTI RAMLELE"</f>
        <v>NORWAHIDAH BINTI RAMLELE</v>
      </c>
      <c r="J38" t="str">
        <f t="shared" si="6"/>
        <v>BANK ISLAM BHD</v>
      </c>
      <c r="K38" t="str">
        <f>"01041020466322"</f>
        <v>01041020466322</v>
      </c>
      <c r="L38" t="str">
        <f t="shared" si="19"/>
        <v>04-08-2020</v>
      </c>
      <c r="M38" t="str">
        <f t="shared" si="19"/>
        <v>04-08-2020</v>
      </c>
      <c r="N38" t="str">
        <f t="shared" si="8"/>
        <v>001105018356</v>
      </c>
      <c r="O38" t="str">
        <f t="shared" si="9"/>
        <v>MYR</v>
      </c>
      <c r="P38" t="str">
        <f t="shared" si="20"/>
        <v>NIL</v>
      </c>
      <c r="Q38" t="str">
        <f t="shared" si="20"/>
        <v>NIL</v>
      </c>
      <c r="R38" t="str">
        <f t="shared" si="11"/>
        <v>Accepted</v>
      </c>
      <c r="S38" t="str">
        <f t="shared" si="12"/>
        <v>Approved</v>
      </c>
      <c r="T38" t="str">
        <f t="shared" si="13"/>
        <v>10.20.8.188</v>
      </c>
      <c r="U38" t="str">
        <f t="shared" si="14"/>
        <v>AZRAD UMAR BIN SHAARI</v>
      </c>
      <c r="V38" t="str">
        <f t="shared" si="15"/>
        <v>FARHANA BINTI MUSTAPA</v>
      </c>
      <c r="W38" t="str">
        <f t="shared" si="16"/>
        <v>04-08-2020</v>
      </c>
      <c r="X38" t="str">
        <f t="shared" si="17"/>
        <v>RAZIMAH ANSAR AHMAD</v>
      </c>
      <c r="Y38" t="str">
        <f t="shared" si="18"/>
        <v>04-08-2020</v>
      </c>
      <c r="Z38" t="str">
        <f>"COS10200804 569"</f>
        <v>COS10200804 569</v>
      </c>
    </row>
    <row r="39" spans="1:26" x14ac:dyDescent="0.25">
      <c r="A39" t="str">
        <f t="shared" ref="A39:A70" si="21">"04-08-2020 02:12:40"</f>
        <v>04-08-2020 02:12:40</v>
      </c>
      <c r="B39" t="str">
        <f>"0000810959"</f>
        <v>0000810959</v>
      </c>
      <c r="C39" t="str">
        <f t="shared" ref="C39:C70" si="22">"0000810791"</f>
        <v>0000810791</v>
      </c>
      <c r="D39" t="str">
        <f t="shared" si="2"/>
        <v>73185</v>
      </c>
      <c r="E39" t="str">
        <f t="shared" si="3"/>
        <v>KFH-OPERATIONS DEPARTMENT</v>
      </c>
      <c r="F39" t="str">
        <f t="shared" si="4"/>
        <v>IBG</v>
      </c>
      <c r="G39" t="str">
        <f t="shared" ref="G39:G70" si="23">"Refund COSHARE 10"</f>
        <v>Refund COSHARE 10</v>
      </c>
      <c r="H39" s="2">
        <v>587.65</v>
      </c>
      <c r="I39" t="str">
        <f>"NORSIDA BINTI AB RAHMAN"</f>
        <v>NORSIDA BINTI AB RAHMAN</v>
      </c>
      <c r="J39" t="str">
        <f t="shared" ref="J39:J70" si="24">"BANK ISLAM BHD"</f>
        <v>BANK ISLAM BHD</v>
      </c>
      <c r="K39" t="str">
        <f>"03027020591423"</f>
        <v>03027020591423</v>
      </c>
      <c r="L39" t="str">
        <f t="shared" si="19"/>
        <v>04-08-2020</v>
      </c>
      <c r="M39" t="str">
        <f t="shared" si="19"/>
        <v>04-08-2020</v>
      </c>
      <c r="N39" t="str">
        <f t="shared" si="8"/>
        <v>001105018356</v>
      </c>
      <c r="O39" t="str">
        <f t="shared" si="9"/>
        <v>MYR</v>
      </c>
      <c r="P39" t="str">
        <f t="shared" si="20"/>
        <v>NIL</v>
      </c>
      <c r="Q39" t="str">
        <f t="shared" si="20"/>
        <v>NIL</v>
      </c>
      <c r="R39" t="str">
        <f t="shared" si="11"/>
        <v>Accepted</v>
      </c>
      <c r="S39" t="str">
        <f t="shared" si="12"/>
        <v>Approved</v>
      </c>
      <c r="T39" t="str">
        <f t="shared" si="13"/>
        <v>10.20.8.188</v>
      </c>
      <c r="U39" t="str">
        <f t="shared" si="14"/>
        <v>AZRAD UMAR BIN SHAARI</v>
      </c>
      <c r="V39" t="str">
        <f t="shared" si="15"/>
        <v>FARHANA BINTI MUSTAPA</v>
      </c>
      <c r="W39" t="str">
        <f t="shared" si="16"/>
        <v>04-08-2020</v>
      </c>
      <c r="X39" t="str">
        <f t="shared" si="17"/>
        <v>RAZIMAH ANSAR AHMAD</v>
      </c>
      <c r="Y39" t="str">
        <f t="shared" si="18"/>
        <v>04-08-2020</v>
      </c>
      <c r="Z39" t="str">
        <f>"COS10200804 568"</f>
        <v>COS10200804 568</v>
      </c>
    </row>
    <row r="40" spans="1:26" x14ac:dyDescent="0.25">
      <c r="A40" t="str">
        <f t="shared" si="21"/>
        <v>04-08-2020 02:12:40</v>
      </c>
      <c r="B40" t="str">
        <f>"0000810958"</f>
        <v>0000810958</v>
      </c>
      <c r="C40" t="str">
        <f t="shared" si="22"/>
        <v>0000810791</v>
      </c>
      <c r="D40" t="str">
        <f t="shared" si="2"/>
        <v>73185</v>
      </c>
      <c r="E40" t="str">
        <f t="shared" si="3"/>
        <v>KFH-OPERATIONS DEPARTMENT</v>
      </c>
      <c r="F40" t="str">
        <f t="shared" si="4"/>
        <v>IBG</v>
      </c>
      <c r="G40" t="str">
        <f t="shared" si="23"/>
        <v>Refund COSHARE 10</v>
      </c>
      <c r="H40" s="2">
        <v>688.4</v>
      </c>
      <c r="I40" t="str">
        <f>"NORSHUHAIDY BIN SHABUDIN"</f>
        <v>NORSHUHAIDY BIN SHABUDIN</v>
      </c>
      <c r="J40" t="str">
        <f t="shared" si="24"/>
        <v>BANK ISLAM BHD</v>
      </c>
      <c r="K40" t="str">
        <f>"02011020746983"</f>
        <v>02011020746983</v>
      </c>
      <c r="L40" t="str">
        <f t="shared" si="19"/>
        <v>04-08-2020</v>
      </c>
      <c r="M40" t="str">
        <f t="shared" si="19"/>
        <v>04-08-2020</v>
      </c>
      <c r="N40" t="str">
        <f t="shared" si="8"/>
        <v>001105018356</v>
      </c>
      <c r="O40" t="str">
        <f t="shared" si="9"/>
        <v>MYR</v>
      </c>
      <c r="P40" t="str">
        <f t="shared" si="20"/>
        <v>NIL</v>
      </c>
      <c r="Q40" t="str">
        <f t="shared" si="20"/>
        <v>NIL</v>
      </c>
      <c r="R40" t="str">
        <f t="shared" si="11"/>
        <v>Accepted</v>
      </c>
      <c r="S40" t="str">
        <f t="shared" si="12"/>
        <v>Approved</v>
      </c>
      <c r="T40" t="str">
        <f t="shared" si="13"/>
        <v>10.20.8.188</v>
      </c>
      <c r="U40" t="str">
        <f t="shared" si="14"/>
        <v>AZRAD UMAR BIN SHAARI</v>
      </c>
      <c r="V40" t="str">
        <f t="shared" si="15"/>
        <v>FARHANA BINTI MUSTAPA</v>
      </c>
      <c r="W40" t="str">
        <f t="shared" si="16"/>
        <v>04-08-2020</v>
      </c>
      <c r="X40" t="str">
        <f t="shared" si="17"/>
        <v>RAZIMAH ANSAR AHMAD</v>
      </c>
      <c r="Y40" t="str">
        <f t="shared" si="18"/>
        <v>04-08-2020</v>
      </c>
      <c r="Z40" t="str">
        <f>"COS10200804 567"</f>
        <v>COS10200804 567</v>
      </c>
    </row>
    <row r="41" spans="1:26" x14ac:dyDescent="0.25">
      <c r="A41" t="str">
        <f t="shared" si="21"/>
        <v>04-08-2020 02:12:40</v>
      </c>
      <c r="B41" t="str">
        <f>"0000810957"</f>
        <v>0000810957</v>
      </c>
      <c r="C41" t="str">
        <f t="shared" si="22"/>
        <v>0000810791</v>
      </c>
      <c r="D41" t="str">
        <f t="shared" si="2"/>
        <v>73185</v>
      </c>
      <c r="E41" t="str">
        <f t="shared" si="3"/>
        <v>KFH-OPERATIONS DEPARTMENT</v>
      </c>
      <c r="F41" t="str">
        <f t="shared" si="4"/>
        <v>IBG</v>
      </c>
      <c r="G41" t="str">
        <f t="shared" si="23"/>
        <v>Refund COSHARE 10</v>
      </c>
      <c r="H41" s="2">
        <v>251.85</v>
      </c>
      <c r="I41" t="str">
        <f>"NORSHAMIZI BIN ISMAIL"</f>
        <v>NORSHAMIZI BIN ISMAIL</v>
      </c>
      <c r="J41" t="str">
        <f t="shared" si="24"/>
        <v>BANK ISLAM BHD</v>
      </c>
      <c r="K41" t="str">
        <f>"12300020094974"</f>
        <v>12300020094974</v>
      </c>
      <c r="L41" t="str">
        <f t="shared" si="19"/>
        <v>04-08-2020</v>
      </c>
      <c r="M41" t="str">
        <f t="shared" si="19"/>
        <v>04-08-2020</v>
      </c>
      <c r="N41" t="str">
        <f t="shared" si="8"/>
        <v>001105018356</v>
      </c>
      <c r="O41" t="str">
        <f t="shared" si="9"/>
        <v>MYR</v>
      </c>
      <c r="P41" t="str">
        <f t="shared" si="20"/>
        <v>NIL</v>
      </c>
      <c r="Q41" t="str">
        <f t="shared" si="20"/>
        <v>NIL</v>
      </c>
      <c r="R41" t="str">
        <f t="shared" si="11"/>
        <v>Accepted</v>
      </c>
      <c r="S41" t="str">
        <f t="shared" si="12"/>
        <v>Approved</v>
      </c>
      <c r="T41" t="str">
        <f t="shared" si="13"/>
        <v>10.20.8.188</v>
      </c>
      <c r="U41" t="str">
        <f t="shared" si="14"/>
        <v>AZRAD UMAR BIN SHAARI</v>
      </c>
      <c r="V41" t="str">
        <f t="shared" si="15"/>
        <v>FARHANA BINTI MUSTAPA</v>
      </c>
      <c r="W41" t="str">
        <f t="shared" si="16"/>
        <v>04-08-2020</v>
      </c>
      <c r="X41" t="str">
        <f t="shared" si="17"/>
        <v>RAZIMAH ANSAR AHMAD</v>
      </c>
      <c r="Y41" t="str">
        <f t="shared" si="18"/>
        <v>04-08-2020</v>
      </c>
      <c r="Z41" t="str">
        <f>"COS10200804 566"</f>
        <v>COS10200804 566</v>
      </c>
    </row>
    <row r="42" spans="1:26" x14ac:dyDescent="0.25">
      <c r="A42" t="str">
        <f t="shared" si="21"/>
        <v>04-08-2020 02:12:40</v>
      </c>
      <c r="B42" t="str">
        <f>"0000810956"</f>
        <v>0000810956</v>
      </c>
      <c r="C42" t="str">
        <f t="shared" si="22"/>
        <v>0000810791</v>
      </c>
      <c r="D42" t="str">
        <f t="shared" si="2"/>
        <v>73185</v>
      </c>
      <c r="E42" t="str">
        <f t="shared" si="3"/>
        <v>KFH-OPERATIONS DEPARTMENT</v>
      </c>
      <c r="F42" t="str">
        <f t="shared" si="4"/>
        <v>IBG</v>
      </c>
      <c r="G42" t="str">
        <f t="shared" si="23"/>
        <v>Refund COSHARE 10</v>
      </c>
      <c r="H42" s="2">
        <v>721</v>
      </c>
      <c r="I42" t="str">
        <f>"NORSHAHIDA BINTI SULAIMAN"</f>
        <v>NORSHAHIDA BINTI SULAIMAN</v>
      </c>
      <c r="J42" t="str">
        <f t="shared" si="24"/>
        <v>BANK ISLAM BHD</v>
      </c>
      <c r="K42" t="str">
        <f>"11013020295411"</f>
        <v>11013020295411</v>
      </c>
      <c r="L42" t="str">
        <f t="shared" si="19"/>
        <v>04-08-2020</v>
      </c>
      <c r="M42" t="str">
        <f t="shared" si="19"/>
        <v>04-08-2020</v>
      </c>
      <c r="N42" t="str">
        <f t="shared" si="8"/>
        <v>001105018356</v>
      </c>
      <c r="O42" t="str">
        <f t="shared" si="9"/>
        <v>MYR</v>
      </c>
      <c r="P42" t="str">
        <f t="shared" si="20"/>
        <v>NIL</v>
      </c>
      <c r="Q42" t="str">
        <f t="shared" si="20"/>
        <v>NIL</v>
      </c>
      <c r="R42" t="str">
        <f t="shared" si="11"/>
        <v>Accepted</v>
      </c>
      <c r="S42" t="str">
        <f t="shared" si="12"/>
        <v>Approved</v>
      </c>
      <c r="T42" t="str">
        <f t="shared" si="13"/>
        <v>10.20.8.188</v>
      </c>
      <c r="U42" t="str">
        <f t="shared" si="14"/>
        <v>AZRAD UMAR BIN SHAARI</v>
      </c>
      <c r="V42" t="str">
        <f t="shared" si="15"/>
        <v>FARHANA BINTI MUSTAPA</v>
      </c>
      <c r="W42" t="str">
        <f t="shared" si="16"/>
        <v>04-08-2020</v>
      </c>
      <c r="X42" t="str">
        <f t="shared" si="17"/>
        <v>RAZIMAH ANSAR AHMAD</v>
      </c>
      <c r="Y42" t="str">
        <f t="shared" si="18"/>
        <v>04-08-2020</v>
      </c>
      <c r="Z42" t="str">
        <f>"COS10200804 565"</f>
        <v>COS10200804 565</v>
      </c>
    </row>
    <row r="43" spans="1:26" x14ac:dyDescent="0.25">
      <c r="A43" t="str">
        <f t="shared" si="21"/>
        <v>04-08-2020 02:12:40</v>
      </c>
      <c r="B43" t="str">
        <f>"0000810955"</f>
        <v>0000810955</v>
      </c>
      <c r="C43" t="str">
        <f t="shared" si="22"/>
        <v>0000810791</v>
      </c>
      <c r="D43" t="str">
        <f t="shared" si="2"/>
        <v>73185</v>
      </c>
      <c r="E43" t="str">
        <f t="shared" si="3"/>
        <v>KFH-OPERATIONS DEPARTMENT</v>
      </c>
      <c r="F43" t="str">
        <f t="shared" si="4"/>
        <v>IBG</v>
      </c>
      <c r="G43" t="str">
        <f t="shared" si="23"/>
        <v>Refund COSHARE 10</v>
      </c>
      <c r="H43" s="2">
        <v>377.8</v>
      </c>
      <c r="I43" t="str">
        <f>"NORSALINAH BINTI MD SAH"</f>
        <v>NORSALINAH BINTI MD SAH</v>
      </c>
      <c r="J43" t="str">
        <f t="shared" si="24"/>
        <v>BANK ISLAM BHD</v>
      </c>
      <c r="K43" t="str">
        <f>"12122024883376"</f>
        <v>12122024883376</v>
      </c>
      <c r="L43" t="str">
        <f t="shared" si="19"/>
        <v>04-08-2020</v>
      </c>
      <c r="M43" t="str">
        <f t="shared" si="19"/>
        <v>04-08-2020</v>
      </c>
      <c r="N43" t="str">
        <f t="shared" si="8"/>
        <v>001105018356</v>
      </c>
      <c r="O43" t="str">
        <f t="shared" si="9"/>
        <v>MYR</v>
      </c>
      <c r="P43" t="str">
        <f t="shared" si="20"/>
        <v>NIL</v>
      </c>
      <c r="Q43" t="str">
        <f t="shared" si="20"/>
        <v>NIL</v>
      </c>
      <c r="R43" t="str">
        <f t="shared" si="11"/>
        <v>Accepted</v>
      </c>
      <c r="S43" t="str">
        <f t="shared" si="12"/>
        <v>Approved</v>
      </c>
      <c r="T43" t="str">
        <f t="shared" si="13"/>
        <v>10.20.8.188</v>
      </c>
      <c r="U43" t="str">
        <f t="shared" si="14"/>
        <v>AZRAD UMAR BIN SHAARI</v>
      </c>
      <c r="V43" t="str">
        <f t="shared" si="15"/>
        <v>FARHANA BINTI MUSTAPA</v>
      </c>
      <c r="W43" t="str">
        <f t="shared" si="16"/>
        <v>04-08-2020</v>
      </c>
      <c r="X43" t="str">
        <f t="shared" si="17"/>
        <v>RAZIMAH ANSAR AHMAD</v>
      </c>
      <c r="Y43" t="str">
        <f t="shared" si="18"/>
        <v>04-08-2020</v>
      </c>
      <c r="Z43" t="str">
        <f>"COS10200804 564"</f>
        <v>COS10200804 564</v>
      </c>
    </row>
    <row r="44" spans="1:26" x14ac:dyDescent="0.25">
      <c r="A44" t="str">
        <f t="shared" si="21"/>
        <v>04-08-2020 02:12:40</v>
      </c>
      <c r="B44" t="str">
        <f>"0000810954"</f>
        <v>0000810954</v>
      </c>
      <c r="C44" t="str">
        <f t="shared" si="22"/>
        <v>0000810791</v>
      </c>
      <c r="D44" t="str">
        <f t="shared" si="2"/>
        <v>73185</v>
      </c>
      <c r="E44" t="str">
        <f t="shared" si="3"/>
        <v>KFH-OPERATIONS DEPARTMENT</v>
      </c>
      <c r="F44" t="str">
        <f t="shared" si="4"/>
        <v>IBG</v>
      </c>
      <c r="G44" t="str">
        <f t="shared" si="23"/>
        <v>Refund COSHARE 10</v>
      </c>
      <c r="H44" s="2">
        <v>172.4</v>
      </c>
      <c r="I44" t="str">
        <f>"NORRMAN YADI BIN OSMAN"</f>
        <v>NORRMAN YADI BIN OSMAN</v>
      </c>
      <c r="J44" t="str">
        <f t="shared" si="24"/>
        <v>BANK ISLAM BHD</v>
      </c>
      <c r="K44" t="str">
        <f>"06055020136834"</f>
        <v>06055020136834</v>
      </c>
      <c r="L44" t="str">
        <f t="shared" si="19"/>
        <v>04-08-2020</v>
      </c>
      <c r="M44" t="str">
        <f t="shared" si="19"/>
        <v>04-08-2020</v>
      </c>
      <c r="N44" t="str">
        <f t="shared" si="8"/>
        <v>001105018356</v>
      </c>
      <c r="O44" t="str">
        <f t="shared" si="9"/>
        <v>MYR</v>
      </c>
      <c r="P44" t="str">
        <f t="shared" si="20"/>
        <v>NIL</v>
      </c>
      <c r="Q44" t="str">
        <f t="shared" si="20"/>
        <v>NIL</v>
      </c>
      <c r="R44" t="str">
        <f t="shared" si="11"/>
        <v>Accepted</v>
      </c>
      <c r="S44" t="str">
        <f t="shared" si="12"/>
        <v>Approved</v>
      </c>
      <c r="T44" t="str">
        <f t="shared" si="13"/>
        <v>10.20.8.188</v>
      </c>
      <c r="U44" t="str">
        <f t="shared" si="14"/>
        <v>AZRAD UMAR BIN SHAARI</v>
      </c>
      <c r="V44" t="str">
        <f t="shared" si="15"/>
        <v>FARHANA BINTI MUSTAPA</v>
      </c>
      <c r="W44" t="str">
        <f t="shared" si="16"/>
        <v>04-08-2020</v>
      </c>
      <c r="X44" t="str">
        <f t="shared" si="17"/>
        <v>RAZIMAH ANSAR AHMAD</v>
      </c>
      <c r="Y44" t="str">
        <f t="shared" si="18"/>
        <v>04-08-2020</v>
      </c>
      <c r="Z44" t="str">
        <f>"COS10200804 563"</f>
        <v>COS10200804 563</v>
      </c>
    </row>
    <row r="45" spans="1:26" x14ac:dyDescent="0.25">
      <c r="A45" t="str">
        <f t="shared" si="21"/>
        <v>04-08-2020 02:12:40</v>
      </c>
      <c r="B45" t="str">
        <f>"0000810953"</f>
        <v>0000810953</v>
      </c>
      <c r="C45" t="str">
        <f t="shared" si="22"/>
        <v>0000810791</v>
      </c>
      <c r="D45" t="str">
        <f t="shared" si="2"/>
        <v>73185</v>
      </c>
      <c r="E45" t="str">
        <f t="shared" si="3"/>
        <v>KFH-OPERATIONS DEPARTMENT</v>
      </c>
      <c r="F45" t="str">
        <f t="shared" si="4"/>
        <v>IBG</v>
      </c>
      <c r="G45" t="str">
        <f t="shared" si="23"/>
        <v>Refund COSHARE 10</v>
      </c>
      <c r="H45" s="2">
        <v>151.15</v>
      </c>
      <c r="I45" t="str">
        <f>"NORMANZILA BINTI MOHAMED YUNUS"</f>
        <v>NORMANZILA BINTI MOHAMED YUNUS</v>
      </c>
      <c r="J45" t="str">
        <f t="shared" si="24"/>
        <v>BANK ISLAM BHD</v>
      </c>
      <c r="K45" t="str">
        <f>"06028024744898"</f>
        <v>06028024744898</v>
      </c>
      <c r="L45" t="str">
        <f t="shared" si="19"/>
        <v>04-08-2020</v>
      </c>
      <c r="M45" t="str">
        <f t="shared" si="19"/>
        <v>04-08-2020</v>
      </c>
      <c r="N45" t="str">
        <f t="shared" si="8"/>
        <v>001105018356</v>
      </c>
      <c r="O45" t="str">
        <f t="shared" si="9"/>
        <v>MYR</v>
      </c>
      <c r="P45" t="str">
        <f t="shared" si="20"/>
        <v>NIL</v>
      </c>
      <c r="Q45" t="str">
        <f t="shared" si="20"/>
        <v>NIL</v>
      </c>
      <c r="R45" t="str">
        <f t="shared" si="11"/>
        <v>Accepted</v>
      </c>
      <c r="S45" t="str">
        <f t="shared" si="12"/>
        <v>Approved</v>
      </c>
      <c r="T45" t="str">
        <f t="shared" si="13"/>
        <v>10.20.8.188</v>
      </c>
      <c r="U45" t="str">
        <f t="shared" si="14"/>
        <v>AZRAD UMAR BIN SHAARI</v>
      </c>
      <c r="V45" t="str">
        <f t="shared" si="15"/>
        <v>FARHANA BINTI MUSTAPA</v>
      </c>
      <c r="W45" t="str">
        <f t="shared" si="16"/>
        <v>04-08-2020</v>
      </c>
      <c r="X45" t="str">
        <f t="shared" si="17"/>
        <v>RAZIMAH ANSAR AHMAD</v>
      </c>
      <c r="Y45" t="str">
        <f t="shared" si="18"/>
        <v>04-08-2020</v>
      </c>
      <c r="Z45" t="str">
        <f>"COS10200804 562"</f>
        <v>COS10200804 562</v>
      </c>
    </row>
    <row r="46" spans="1:26" x14ac:dyDescent="0.25">
      <c r="A46" t="str">
        <f t="shared" si="21"/>
        <v>04-08-2020 02:12:40</v>
      </c>
      <c r="B46" t="str">
        <f>"0000810952"</f>
        <v>0000810952</v>
      </c>
      <c r="C46" t="str">
        <f t="shared" si="22"/>
        <v>0000810791</v>
      </c>
      <c r="D46" t="str">
        <f t="shared" si="2"/>
        <v>73185</v>
      </c>
      <c r="E46" t="str">
        <f t="shared" si="3"/>
        <v>KFH-OPERATIONS DEPARTMENT</v>
      </c>
      <c r="F46" t="str">
        <f t="shared" si="4"/>
        <v>IBG</v>
      </c>
      <c r="G46" t="str">
        <f t="shared" si="23"/>
        <v>Refund COSHARE 10</v>
      </c>
      <c r="H46" s="2">
        <v>134.35</v>
      </c>
      <c r="I46" t="str">
        <f>"NORMANISAH BINTI UMAR"</f>
        <v>NORMANISAH BINTI UMAR</v>
      </c>
      <c r="J46" t="str">
        <f t="shared" si="24"/>
        <v>BANK ISLAM BHD</v>
      </c>
      <c r="K46" t="str">
        <f>"12122024868424"</f>
        <v>12122024868424</v>
      </c>
      <c r="L46" t="str">
        <f t="shared" si="19"/>
        <v>04-08-2020</v>
      </c>
      <c r="M46" t="str">
        <f t="shared" si="19"/>
        <v>04-08-2020</v>
      </c>
      <c r="N46" t="str">
        <f t="shared" si="8"/>
        <v>001105018356</v>
      </c>
      <c r="O46" t="str">
        <f t="shared" si="9"/>
        <v>MYR</v>
      </c>
      <c r="P46" t="str">
        <f t="shared" si="20"/>
        <v>NIL</v>
      </c>
      <c r="Q46" t="str">
        <f t="shared" si="20"/>
        <v>NIL</v>
      </c>
      <c r="R46" t="str">
        <f t="shared" si="11"/>
        <v>Accepted</v>
      </c>
      <c r="S46" t="str">
        <f t="shared" si="12"/>
        <v>Approved</v>
      </c>
      <c r="T46" t="str">
        <f t="shared" si="13"/>
        <v>10.20.8.188</v>
      </c>
      <c r="U46" t="str">
        <f t="shared" si="14"/>
        <v>AZRAD UMAR BIN SHAARI</v>
      </c>
      <c r="V46" t="str">
        <f t="shared" si="15"/>
        <v>FARHANA BINTI MUSTAPA</v>
      </c>
      <c r="W46" t="str">
        <f t="shared" si="16"/>
        <v>04-08-2020</v>
      </c>
      <c r="X46" t="str">
        <f t="shared" si="17"/>
        <v>RAZIMAH ANSAR AHMAD</v>
      </c>
      <c r="Y46" t="str">
        <f t="shared" si="18"/>
        <v>04-08-2020</v>
      </c>
      <c r="Z46" t="str">
        <f>"COS10200804 561"</f>
        <v>COS10200804 561</v>
      </c>
    </row>
    <row r="47" spans="1:26" x14ac:dyDescent="0.25">
      <c r="A47" t="str">
        <f t="shared" si="21"/>
        <v>04-08-2020 02:12:40</v>
      </c>
      <c r="B47" t="str">
        <f>"0000810951"</f>
        <v>0000810951</v>
      </c>
      <c r="C47" t="str">
        <f t="shared" si="22"/>
        <v>0000810791</v>
      </c>
      <c r="D47" t="str">
        <f t="shared" si="2"/>
        <v>73185</v>
      </c>
      <c r="E47" t="str">
        <f t="shared" si="3"/>
        <v>KFH-OPERATIONS DEPARTMENT</v>
      </c>
      <c r="F47" t="str">
        <f t="shared" si="4"/>
        <v>IBG</v>
      </c>
      <c r="G47" t="str">
        <f t="shared" si="23"/>
        <v>Refund COSHARE 10</v>
      </c>
      <c r="H47" s="2">
        <v>1099.75</v>
      </c>
      <c r="I47" t="str">
        <f>"NORMANISAH BINTI UMAR"</f>
        <v>NORMANISAH BINTI UMAR</v>
      </c>
      <c r="J47" t="str">
        <f t="shared" si="24"/>
        <v>BANK ISLAM BHD</v>
      </c>
      <c r="K47" t="str">
        <f>"12122024868424"</f>
        <v>12122024868424</v>
      </c>
      <c r="L47" t="str">
        <f t="shared" ref="L47:M66" si="25">"04-08-2020"</f>
        <v>04-08-2020</v>
      </c>
      <c r="M47" t="str">
        <f t="shared" si="25"/>
        <v>04-08-2020</v>
      </c>
      <c r="N47" t="str">
        <f t="shared" si="8"/>
        <v>001105018356</v>
      </c>
      <c r="O47" t="str">
        <f t="shared" si="9"/>
        <v>MYR</v>
      </c>
      <c r="P47" t="str">
        <f t="shared" ref="P47:Q66" si="26">"NIL"</f>
        <v>NIL</v>
      </c>
      <c r="Q47" t="str">
        <f t="shared" si="26"/>
        <v>NIL</v>
      </c>
      <c r="R47" t="str">
        <f t="shared" si="11"/>
        <v>Accepted</v>
      </c>
      <c r="S47" t="str">
        <f t="shared" si="12"/>
        <v>Approved</v>
      </c>
      <c r="T47" t="str">
        <f t="shared" si="13"/>
        <v>10.20.8.188</v>
      </c>
      <c r="U47" t="str">
        <f t="shared" si="14"/>
        <v>AZRAD UMAR BIN SHAARI</v>
      </c>
      <c r="V47" t="str">
        <f t="shared" si="15"/>
        <v>FARHANA BINTI MUSTAPA</v>
      </c>
      <c r="W47" t="str">
        <f t="shared" si="16"/>
        <v>04-08-2020</v>
      </c>
      <c r="X47" t="str">
        <f t="shared" si="17"/>
        <v>RAZIMAH ANSAR AHMAD</v>
      </c>
      <c r="Y47" t="str">
        <f t="shared" si="18"/>
        <v>04-08-2020</v>
      </c>
      <c r="Z47" t="str">
        <f>"COS10200804 560"</f>
        <v>COS10200804 560</v>
      </c>
    </row>
    <row r="48" spans="1:26" x14ac:dyDescent="0.25">
      <c r="A48" t="str">
        <f t="shared" si="21"/>
        <v>04-08-2020 02:12:40</v>
      </c>
      <c r="B48" t="str">
        <f>"0000810950"</f>
        <v>0000810950</v>
      </c>
      <c r="C48" t="str">
        <f t="shared" si="22"/>
        <v>0000810791</v>
      </c>
      <c r="D48" t="str">
        <f t="shared" si="2"/>
        <v>73185</v>
      </c>
      <c r="E48" t="str">
        <f t="shared" si="3"/>
        <v>KFH-OPERATIONS DEPARTMENT</v>
      </c>
      <c r="F48" t="str">
        <f t="shared" si="4"/>
        <v>IBG</v>
      </c>
      <c r="G48" t="str">
        <f t="shared" si="23"/>
        <v>Refund COSHARE 10</v>
      </c>
      <c r="H48" s="2">
        <v>1049.4000000000001</v>
      </c>
      <c r="I48" t="str">
        <f>"NORMAH BINTI RAHIMI"</f>
        <v>NORMAH BINTI RAHIMI</v>
      </c>
      <c r="J48" t="str">
        <f t="shared" si="24"/>
        <v>BANK ISLAM BHD</v>
      </c>
      <c r="K48" t="str">
        <f>"15011020273585"</f>
        <v>15011020273585</v>
      </c>
      <c r="L48" t="str">
        <f t="shared" si="25"/>
        <v>04-08-2020</v>
      </c>
      <c r="M48" t="str">
        <f t="shared" si="25"/>
        <v>04-08-2020</v>
      </c>
      <c r="N48" t="str">
        <f t="shared" si="8"/>
        <v>001105018356</v>
      </c>
      <c r="O48" t="str">
        <f t="shared" si="9"/>
        <v>MYR</v>
      </c>
      <c r="P48" t="str">
        <f t="shared" si="26"/>
        <v>NIL</v>
      </c>
      <c r="Q48" t="str">
        <f t="shared" si="26"/>
        <v>NIL</v>
      </c>
      <c r="R48" t="str">
        <f t="shared" si="11"/>
        <v>Accepted</v>
      </c>
      <c r="S48" t="str">
        <f t="shared" si="12"/>
        <v>Approved</v>
      </c>
      <c r="T48" t="str">
        <f t="shared" si="13"/>
        <v>10.20.8.188</v>
      </c>
      <c r="U48" t="str">
        <f t="shared" si="14"/>
        <v>AZRAD UMAR BIN SHAARI</v>
      </c>
      <c r="V48" t="str">
        <f t="shared" si="15"/>
        <v>FARHANA BINTI MUSTAPA</v>
      </c>
      <c r="W48" t="str">
        <f t="shared" si="16"/>
        <v>04-08-2020</v>
      </c>
      <c r="X48" t="str">
        <f t="shared" si="17"/>
        <v>RAZIMAH ANSAR AHMAD</v>
      </c>
      <c r="Y48" t="str">
        <f t="shared" si="18"/>
        <v>04-08-2020</v>
      </c>
      <c r="Z48" t="str">
        <f>"COS10200804 559"</f>
        <v>COS10200804 559</v>
      </c>
    </row>
    <row r="49" spans="1:26" x14ac:dyDescent="0.25">
      <c r="A49" t="str">
        <f t="shared" si="21"/>
        <v>04-08-2020 02:12:40</v>
      </c>
      <c r="B49" t="str">
        <f>"0000810949"</f>
        <v>0000810949</v>
      </c>
      <c r="C49" t="str">
        <f t="shared" si="22"/>
        <v>0000810791</v>
      </c>
      <c r="D49" t="str">
        <f t="shared" si="2"/>
        <v>73185</v>
      </c>
      <c r="E49" t="str">
        <f t="shared" si="3"/>
        <v>KFH-OPERATIONS DEPARTMENT</v>
      </c>
      <c r="F49" t="str">
        <f t="shared" si="4"/>
        <v>IBG</v>
      </c>
      <c r="G49" t="str">
        <f t="shared" si="23"/>
        <v>Refund COSHARE 10</v>
      </c>
      <c r="H49" s="2">
        <v>1125.95</v>
      </c>
      <c r="I49" t="str">
        <f>"NORMA BINTI HASSAN"</f>
        <v>NORMA BINTI HASSAN</v>
      </c>
      <c r="J49" t="str">
        <f t="shared" si="24"/>
        <v>BANK ISLAM BHD</v>
      </c>
      <c r="K49" t="str">
        <f>"03045010025025"</f>
        <v>03045010025025</v>
      </c>
      <c r="L49" t="str">
        <f t="shared" si="25"/>
        <v>04-08-2020</v>
      </c>
      <c r="M49" t="str">
        <f t="shared" si="25"/>
        <v>04-08-2020</v>
      </c>
      <c r="N49" t="str">
        <f t="shared" si="8"/>
        <v>001105018356</v>
      </c>
      <c r="O49" t="str">
        <f t="shared" si="9"/>
        <v>MYR</v>
      </c>
      <c r="P49" t="str">
        <f t="shared" si="26"/>
        <v>NIL</v>
      </c>
      <c r="Q49" t="str">
        <f t="shared" si="26"/>
        <v>NIL</v>
      </c>
      <c r="R49" t="str">
        <f t="shared" si="11"/>
        <v>Accepted</v>
      </c>
      <c r="S49" t="str">
        <f t="shared" si="12"/>
        <v>Approved</v>
      </c>
      <c r="T49" t="str">
        <f t="shared" si="13"/>
        <v>10.20.8.188</v>
      </c>
      <c r="U49" t="str">
        <f t="shared" si="14"/>
        <v>AZRAD UMAR BIN SHAARI</v>
      </c>
      <c r="V49" t="str">
        <f t="shared" si="15"/>
        <v>FARHANA BINTI MUSTAPA</v>
      </c>
      <c r="W49" t="str">
        <f t="shared" si="16"/>
        <v>04-08-2020</v>
      </c>
      <c r="X49" t="str">
        <f t="shared" si="17"/>
        <v>RAZIMAH ANSAR AHMAD</v>
      </c>
      <c r="Y49" t="str">
        <f t="shared" si="18"/>
        <v>04-08-2020</v>
      </c>
      <c r="Z49" t="str">
        <f>"COS10200804 558"</f>
        <v>COS10200804 558</v>
      </c>
    </row>
    <row r="50" spans="1:26" x14ac:dyDescent="0.25">
      <c r="A50" t="str">
        <f t="shared" si="21"/>
        <v>04-08-2020 02:12:40</v>
      </c>
      <c r="B50" t="str">
        <f>"0000810948"</f>
        <v>0000810948</v>
      </c>
      <c r="C50" t="str">
        <f t="shared" si="22"/>
        <v>0000810791</v>
      </c>
      <c r="D50" t="str">
        <f t="shared" si="2"/>
        <v>73185</v>
      </c>
      <c r="E50" t="str">
        <f t="shared" si="3"/>
        <v>KFH-OPERATIONS DEPARTMENT</v>
      </c>
      <c r="F50" t="str">
        <f t="shared" si="4"/>
        <v>IBG</v>
      </c>
      <c r="G50" t="str">
        <f t="shared" si="23"/>
        <v>Refund COSHARE 10</v>
      </c>
      <c r="H50" s="2">
        <v>83.95</v>
      </c>
      <c r="I50" t="str">
        <f>"NORLIZA BINTI SAIDIN"</f>
        <v>NORLIZA BINTI SAIDIN</v>
      </c>
      <c r="J50" t="str">
        <f t="shared" si="24"/>
        <v>BANK ISLAM BHD</v>
      </c>
      <c r="K50" t="str">
        <f>"07043020239953"</f>
        <v>07043020239953</v>
      </c>
      <c r="L50" t="str">
        <f t="shared" si="25"/>
        <v>04-08-2020</v>
      </c>
      <c r="M50" t="str">
        <f t="shared" si="25"/>
        <v>04-08-2020</v>
      </c>
      <c r="N50" t="str">
        <f t="shared" si="8"/>
        <v>001105018356</v>
      </c>
      <c r="O50" t="str">
        <f t="shared" si="9"/>
        <v>MYR</v>
      </c>
      <c r="P50" t="str">
        <f t="shared" si="26"/>
        <v>NIL</v>
      </c>
      <c r="Q50" t="str">
        <f t="shared" si="26"/>
        <v>NIL</v>
      </c>
      <c r="R50" t="str">
        <f t="shared" si="11"/>
        <v>Accepted</v>
      </c>
      <c r="S50" t="str">
        <f t="shared" si="12"/>
        <v>Approved</v>
      </c>
      <c r="T50" t="str">
        <f t="shared" si="13"/>
        <v>10.20.8.188</v>
      </c>
      <c r="U50" t="str">
        <f t="shared" si="14"/>
        <v>AZRAD UMAR BIN SHAARI</v>
      </c>
      <c r="V50" t="str">
        <f t="shared" si="15"/>
        <v>FARHANA BINTI MUSTAPA</v>
      </c>
      <c r="W50" t="str">
        <f t="shared" si="16"/>
        <v>04-08-2020</v>
      </c>
      <c r="X50" t="str">
        <f t="shared" si="17"/>
        <v>RAZIMAH ANSAR AHMAD</v>
      </c>
      <c r="Y50" t="str">
        <f t="shared" si="18"/>
        <v>04-08-2020</v>
      </c>
      <c r="Z50" t="str">
        <f>"COS10200804 557"</f>
        <v>COS10200804 557</v>
      </c>
    </row>
    <row r="51" spans="1:26" x14ac:dyDescent="0.25">
      <c r="A51" t="str">
        <f t="shared" si="21"/>
        <v>04-08-2020 02:12:40</v>
      </c>
      <c r="B51" t="str">
        <f>"0000810947"</f>
        <v>0000810947</v>
      </c>
      <c r="C51" t="str">
        <f t="shared" si="22"/>
        <v>0000810791</v>
      </c>
      <c r="D51" t="str">
        <f t="shared" si="2"/>
        <v>73185</v>
      </c>
      <c r="E51" t="str">
        <f t="shared" si="3"/>
        <v>KFH-OPERATIONS DEPARTMENT</v>
      </c>
      <c r="F51" t="str">
        <f t="shared" si="4"/>
        <v>IBG</v>
      </c>
      <c r="G51" t="str">
        <f t="shared" si="23"/>
        <v>Refund COSHARE 10</v>
      </c>
      <c r="H51" s="2">
        <v>1091.3499999999999</v>
      </c>
      <c r="I51" t="str">
        <f>"NORLIA  BINTI ALI"</f>
        <v>NORLIA  BINTI ALI</v>
      </c>
      <c r="J51" t="str">
        <f t="shared" si="24"/>
        <v>BANK ISLAM BHD</v>
      </c>
      <c r="K51" t="str">
        <f>"10043023106516"</f>
        <v>10043023106516</v>
      </c>
      <c r="L51" t="str">
        <f t="shared" si="25"/>
        <v>04-08-2020</v>
      </c>
      <c r="M51" t="str">
        <f t="shared" si="25"/>
        <v>04-08-2020</v>
      </c>
      <c r="N51" t="str">
        <f t="shared" si="8"/>
        <v>001105018356</v>
      </c>
      <c r="O51" t="str">
        <f t="shared" si="9"/>
        <v>MYR</v>
      </c>
      <c r="P51" t="str">
        <f t="shared" si="26"/>
        <v>NIL</v>
      </c>
      <c r="Q51" t="str">
        <f t="shared" si="26"/>
        <v>NIL</v>
      </c>
      <c r="R51" t="str">
        <f t="shared" si="11"/>
        <v>Accepted</v>
      </c>
      <c r="S51" t="str">
        <f t="shared" si="12"/>
        <v>Approved</v>
      </c>
      <c r="T51" t="str">
        <f t="shared" si="13"/>
        <v>10.20.8.188</v>
      </c>
      <c r="U51" t="str">
        <f t="shared" si="14"/>
        <v>AZRAD UMAR BIN SHAARI</v>
      </c>
      <c r="V51" t="str">
        <f t="shared" si="15"/>
        <v>FARHANA BINTI MUSTAPA</v>
      </c>
      <c r="W51" t="str">
        <f t="shared" si="16"/>
        <v>04-08-2020</v>
      </c>
      <c r="X51" t="str">
        <f t="shared" si="17"/>
        <v>RAZIMAH ANSAR AHMAD</v>
      </c>
      <c r="Y51" t="str">
        <f t="shared" si="18"/>
        <v>04-08-2020</v>
      </c>
      <c r="Z51" t="str">
        <f>"COS10200804 556"</f>
        <v>COS10200804 556</v>
      </c>
    </row>
    <row r="52" spans="1:26" x14ac:dyDescent="0.25">
      <c r="A52" t="str">
        <f t="shared" si="21"/>
        <v>04-08-2020 02:12:40</v>
      </c>
      <c r="B52" t="str">
        <f>"0000810946"</f>
        <v>0000810946</v>
      </c>
      <c r="C52" t="str">
        <f t="shared" si="22"/>
        <v>0000810791</v>
      </c>
      <c r="D52" t="str">
        <f t="shared" si="2"/>
        <v>73185</v>
      </c>
      <c r="E52" t="str">
        <f t="shared" si="3"/>
        <v>KFH-OPERATIONS DEPARTMENT</v>
      </c>
      <c r="F52" t="str">
        <f t="shared" si="4"/>
        <v>IBG</v>
      </c>
      <c r="G52" t="str">
        <f t="shared" si="23"/>
        <v>Refund COSHARE 10</v>
      </c>
      <c r="H52" s="2">
        <v>1276.05</v>
      </c>
      <c r="I52" t="str">
        <f>"NORLELA BINTI HASBULLAH"</f>
        <v>NORLELA BINTI HASBULLAH</v>
      </c>
      <c r="J52" t="str">
        <f t="shared" si="24"/>
        <v>BANK ISLAM BHD</v>
      </c>
      <c r="K52" t="str">
        <f>"06055020052103"</f>
        <v>06055020052103</v>
      </c>
      <c r="L52" t="str">
        <f t="shared" si="25"/>
        <v>04-08-2020</v>
      </c>
      <c r="M52" t="str">
        <f t="shared" si="25"/>
        <v>04-08-2020</v>
      </c>
      <c r="N52" t="str">
        <f t="shared" si="8"/>
        <v>001105018356</v>
      </c>
      <c r="O52" t="str">
        <f t="shared" si="9"/>
        <v>MYR</v>
      </c>
      <c r="P52" t="str">
        <f t="shared" si="26"/>
        <v>NIL</v>
      </c>
      <c r="Q52" t="str">
        <f t="shared" si="26"/>
        <v>NIL</v>
      </c>
      <c r="R52" t="str">
        <f t="shared" si="11"/>
        <v>Accepted</v>
      </c>
      <c r="S52" t="str">
        <f t="shared" si="12"/>
        <v>Approved</v>
      </c>
      <c r="T52" t="str">
        <f t="shared" si="13"/>
        <v>10.20.8.188</v>
      </c>
      <c r="U52" t="str">
        <f t="shared" si="14"/>
        <v>AZRAD UMAR BIN SHAARI</v>
      </c>
      <c r="V52" t="str">
        <f t="shared" si="15"/>
        <v>FARHANA BINTI MUSTAPA</v>
      </c>
      <c r="W52" t="str">
        <f t="shared" si="16"/>
        <v>04-08-2020</v>
      </c>
      <c r="X52" t="str">
        <f t="shared" si="17"/>
        <v>RAZIMAH ANSAR AHMAD</v>
      </c>
      <c r="Y52" t="str">
        <f t="shared" si="18"/>
        <v>04-08-2020</v>
      </c>
      <c r="Z52" t="str">
        <f>"COS10200804 555"</f>
        <v>COS10200804 555</v>
      </c>
    </row>
    <row r="53" spans="1:26" x14ac:dyDescent="0.25">
      <c r="A53" t="str">
        <f t="shared" si="21"/>
        <v>04-08-2020 02:12:40</v>
      </c>
      <c r="B53" t="str">
        <f>"0000810945"</f>
        <v>0000810945</v>
      </c>
      <c r="C53" t="str">
        <f t="shared" si="22"/>
        <v>0000810791</v>
      </c>
      <c r="D53" t="str">
        <f t="shared" si="2"/>
        <v>73185</v>
      </c>
      <c r="E53" t="str">
        <f t="shared" si="3"/>
        <v>KFH-OPERATIONS DEPARTMENT</v>
      </c>
      <c r="F53" t="str">
        <f t="shared" si="4"/>
        <v>IBG</v>
      </c>
      <c r="G53" t="str">
        <f t="shared" si="23"/>
        <v>Refund COSHARE 10</v>
      </c>
      <c r="H53" s="2">
        <v>772.35</v>
      </c>
      <c r="I53" t="str">
        <f>"NORIZAYUZI BINTI MOHD RAZLAN"</f>
        <v>NORIZAYUZI BINTI MOHD RAZLAN</v>
      </c>
      <c r="J53" t="str">
        <f t="shared" si="24"/>
        <v>BANK ISLAM BHD</v>
      </c>
      <c r="K53" t="str">
        <f>"06073020021523"</f>
        <v>06073020021523</v>
      </c>
      <c r="L53" t="str">
        <f t="shared" si="25"/>
        <v>04-08-2020</v>
      </c>
      <c r="M53" t="str">
        <f t="shared" si="25"/>
        <v>04-08-2020</v>
      </c>
      <c r="N53" t="str">
        <f t="shared" si="8"/>
        <v>001105018356</v>
      </c>
      <c r="O53" t="str">
        <f t="shared" si="9"/>
        <v>MYR</v>
      </c>
      <c r="P53" t="str">
        <f t="shared" si="26"/>
        <v>NIL</v>
      </c>
      <c r="Q53" t="str">
        <f t="shared" si="26"/>
        <v>NIL</v>
      </c>
      <c r="R53" t="str">
        <f t="shared" si="11"/>
        <v>Accepted</v>
      </c>
      <c r="S53" t="str">
        <f t="shared" si="12"/>
        <v>Approved</v>
      </c>
      <c r="T53" t="str">
        <f t="shared" si="13"/>
        <v>10.20.8.188</v>
      </c>
      <c r="U53" t="str">
        <f t="shared" si="14"/>
        <v>AZRAD UMAR BIN SHAARI</v>
      </c>
      <c r="V53" t="str">
        <f t="shared" si="15"/>
        <v>FARHANA BINTI MUSTAPA</v>
      </c>
      <c r="W53" t="str">
        <f t="shared" si="16"/>
        <v>04-08-2020</v>
      </c>
      <c r="X53" t="str">
        <f t="shared" si="17"/>
        <v>RAZIMAH ANSAR AHMAD</v>
      </c>
      <c r="Y53" t="str">
        <f t="shared" si="18"/>
        <v>04-08-2020</v>
      </c>
      <c r="Z53" t="str">
        <f>"COS10200804 554"</f>
        <v>COS10200804 554</v>
      </c>
    </row>
    <row r="54" spans="1:26" x14ac:dyDescent="0.25">
      <c r="A54" t="str">
        <f t="shared" si="21"/>
        <v>04-08-2020 02:12:40</v>
      </c>
      <c r="B54" t="str">
        <f>"0000810944"</f>
        <v>0000810944</v>
      </c>
      <c r="C54" t="str">
        <f t="shared" si="22"/>
        <v>0000810791</v>
      </c>
      <c r="D54" t="str">
        <f t="shared" si="2"/>
        <v>73185</v>
      </c>
      <c r="E54" t="str">
        <f t="shared" si="3"/>
        <v>KFH-OPERATIONS DEPARTMENT</v>
      </c>
      <c r="F54" t="str">
        <f t="shared" si="4"/>
        <v>IBG</v>
      </c>
      <c r="G54" t="str">
        <f t="shared" si="23"/>
        <v>Refund COSHARE 10</v>
      </c>
      <c r="H54" s="2">
        <v>120.7</v>
      </c>
      <c r="I54" t="str">
        <f>"NORHAYATI BINTI ATJE"</f>
        <v>NORHAYATI BINTI ATJE</v>
      </c>
      <c r="J54" t="str">
        <f t="shared" si="24"/>
        <v>BANK ISLAM BHD</v>
      </c>
      <c r="K54" t="str">
        <f>"10034020108215"</f>
        <v>10034020108215</v>
      </c>
      <c r="L54" t="str">
        <f t="shared" si="25"/>
        <v>04-08-2020</v>
      </c>
      <c r="M54" t="str">
        <f t="shared" si="25"/>
        <v>04-08-2020</v>
      </c>
      <c r="N54" t="str">
        <f t="shared" si="8"/>
        <v>001105018356</v>
      </c>
      <c r="O54" t="str">
        <f t="shared" si="9"/>
        <v>MYR</v>
      </c>
      <c r="P54" t="str">
        <f t="shared" si="26"/>
        <v>NIL</v>
      </c>
      <c r="Q54" t="str">
        <f t="shared" si="26"/>
        <v>NIL</v>
      </c>
      <c r="R54" t="str">
        <f t="shared" si="11"/>
        <v>Accepted</v>
      </c>
      <c r="S54" t="str">
        <f t="shared" si="12"/>
        <v>Approved</v>
      </c>
      <c r="T54" t="str">
        <f t="shared" si="13"/>
        <v>10.20.8.188</v>
      </c>
      <c r="U54" t="str">
        <f t="shared" si="14"/>
        <v>AZRAD UMAR BIN SHAARI</v>
      </c>
      <c r="V54" t="str">
        <f t="shared" si="15"/>
        <v>FARHANA BINTI MUSTAPA</v>
      </c>
      <c r="W54" t="str">
        <f t="shared" si="16"/>
        <v>04-08-2020</v>
      </c>
      <c r="X54" t="str">
        <f t="shared" si="17"/>
        <v>RAZIMAH ANSAR AHMAD</v>
      </c>
      <c r="Y54" t="str">
        <f t="shared" si="18"/>
        <v>04-08-2020</v>
      </c>
      <c r="Z54" t="str">
        <f>"COS10200804 553"</f>
        <v>COS10200804 553</v>
      </c>
    </row>
    <row r="55" spans="1:26" x14ac:dyDescent="0.25">
      <c r="A55" t="str">
        <f t="shared" si="21"/>
        <v>04-08-2020 02:12:40</v>
      </c>
      <c r="B55" t="str">
        <f>"0000810943"</f>
        <v>0000810943</v>
      </c>
      <c r="C55" t="str">
        <f t="shared" si="22"/>
        <v>0000810791</v>
      </c>
      <c r="D55" t="str">
        <f t="shared" si="2"/>
        <v>73185</v>
      </c>
      <c r="E55" t="str">
        <f t="shared" si="3"/>
        <v>KFH-OPERATIONS DEPARTMENT</v>
      </c>
      <c r="F55" t="str">
        <f t="shared" si="4"/>
        <v>IBG</v>
      </c>
      <c r="G55" t="str">
        <f t="shared" si="23"/>
        <v>Refund COSHARE 10</v>
      </c>
      <c r="H55" s="2">
        <v>1338.25</v>
      </c>
      <c r="I55" t="str">
        <f>"NORHAYATI BINTI ABDULLAH"</f>
        <v>NORHAYATI BINTI ABDULLAH</v>
      </c>
      <c r="J55" t="str">
        <f t="shared" si="24"/>
        <v>BANK ISLAM BHD</v>
      </c>
      <c r="K55" t="str">
        <f>"03045020091119"</f>
        <v>03045020091119</v>
      </c>
      <c r="L55" t="str">
        <f t="shared" si="25"/>
        <v>04-08-2020</v>
      </c>
      <c r="M55" t="str">
        <f t="shared" si="25"/>
        <v>04-08-2020</v>
      </c>
      <c r="N55" t="str">
        <f t="shared" si="8"/>
        <v>001105018356</v>
      </c>
      <c r="O55" t="str">
        <f t="shared" si="9"/>
        <v>MYR</v>
      </c>
      <c r="P55" t="str">
        <f t="shared" si="26"/>
        <v>NIL</v>
      </c>
      <c r="Q55" t="str">
        <f t="shared" si="26"/>
        <v>NIL</v>
      </c>
      <c r="R55" t="str">
        <f t="shared" si="11"/>
        <v>Accepted</v>
      </c>
      <c r="S55" t="str">
        <f t="shared" si="12"/>
        <v>Approved</v>
      </c>
      <c r="T55" t="str">
        <f t="shared" si="13"/>
        <v>10.20.8.188</v>
      </c>
      <c r="U55" t="str">
        <f t="shared" si="14"/>
        <v>AZRAD UMAR BIN SHAARI</v>
      </c>
      <c r="V55" t="str">
        <f t="shared" si="15"/>
        <v>FARHANA BINTI MUSTAPA</v>
      </c>
      <c r="W55" t="str">
        <f t="shared" si="16"/>
        <v>04-08-2020</v>
      </c>
      <c r="X55" t="str">
        <f t="shared" si="17"/>
        <v>RAZIMAH ANSAR AHMAD</v>
      </c>
      <c r="Y55" t="str">
        <f t="shared" si="18"/>
        <v>04-08-2020</v>
      </c>
      <c r="Z55" t="str">
        <f>"COS10200804 552"</f>
        <v>COS10200804 552</v>
      </c>
    </row>
    <row r="56" spans="1:26" x14ac:dyDescent="0.25">
      <c r="A56" t="str">
        <f t="shared" si="21"/>
        <v>04-08-2020 02:12:40</v>
      </c>
      <c r="B56" t="str">
        <f>"0000810942"</f>
        <v>0000810942</v>
      </c>
      <c r="C56" t="str">
        <f t="shared" si="22"/>
        <v>0000810791</v>
      </c>
      <c r="D56" t="str">
        <f t="shared" si="2"/>
        <v>73185</v>
      </c>
      <c r="E56" t="str">
        <f t="shared" si="3"/>
        <v>KFH-OPERATIONS DEPARTMENT</v>
      </c>
      <c r="F56" t="str">
        <f t="shared" si="4"/>
        <v>IBG</v>
      </c>
      <c r="G56" t="str">
        <f t="shared" si="23"/>
        <v>Refund COSHARE 10</v>
      </c>
      <c r="H56" s="2">
        <v>420</v>
      </c>
      <c r="I56" t="str">
        <f>"NORHASNITA BINTI HASSAN"</f>
        <v>NORHASNITA BINTI HASSAN</v>
      </c>
      <c r="J56" t="str">
        <f t="shared" si="24"/>
        <v>BANK ISLAM BHD</v>
      </c>
      <c r="K56" t="str">
        <f>"02057022347027"</f>
        <v>02057022347027</v>
      </c>
      <c r="L56" t="str">
        <f t="shared" si="25"/>
        <v>04-08-2020</v>
      </c>
      <c r="M56" t="str">
        <f t="shared" si="25"/>
        <v>04-08-2020</v>
      </c>
      <c r="N56" t="str">
        <f t="shared" si="8"/>
        <v>001105018356</v>
      </c>
      <c r="O56" t="str">
        <f t="shared" si="9"/>
        <v>MYR</v>
      </c>
      <c r="P56" t="str">
        <f t="shared" si="26"/>
        <v>NIL</v>
      </c>
      <c r="Q56" t="str">
        <f t="shared" si="26"/>
        <v>NIL</v>
      </c>
      <c r="R56" t="str">
        <f t="shared" si="11"/>
        <v>Accepted</v>
      </c>
      <c r="S56" t="str">
        <f t="shared" si="12"/>
        <v>Approved</v>
      </c>
      <c r="T56" t="str">
        <f t="shared" si="13"/>
        <v>10.20.8.188</v>
      </c>
      <c r="U56" t="str">
        <f t="shared" si="14"/>
        <v>AZRAD UMAR BIN SHAARI</v>
      </c>
      <c r="V56" t="str">
        <f t="shared" si="15"/>
        <v>FARHANA BINTI MUSTAPA</v>
      </c>
      <c r="W56" t="str">
        <f t="shared" si="16"/>
        <v>04-08-2020</v>
      </c>
      <c r="X56" t="str">
        <f t="shared" si="17"/>
        <v>RAZIMAH ANSAR AHMAD</v>
      </c>
      <c r="Y56" t="str">
        <f t="shared" si="18"/>
        <v>04-08-2020</v>
      </c>
      <c r="Z56" t="str">
        <f>"COS10200804 551"</f>
        <v>COS10200804 551</v>
      </c>
    </row>
    <row r="57" spans="1:26" x14ac:dyDescent="0.25">
      <c r="A57" t="str">
        <f t="shared" si="21"/>
        <v>04-08-2020 02:12:40</v>
      </c>
      <c r="B57" t="str">
        <f>"0000810941"</f>
        <v>0000810941</v>
      </c>
      <c r="C57" t="str">
        <f t="shared" si="22"/>
        <v>0000810791</v>
      </c>
      <c r="D57" t="str">
        <f t="shared" si="2"/>
        <v>73185</v>
      </c>
      <c r="E57" t="str">
        <f t="shared" si="3"/>
        <v>KFH-OPERATIONS DEPARTMENT</v>
      </c>
      <c r="F57" t="str">
        <f t="shared" si="4"/>
        <v>IBG</v>
      </c>
      <c r="G57" t="str">
        <f t="shared" si="23"/>
        <v>Refund COSHARE 10</v>
      </c>
      <c r="H57" s="2">
        <v>84</v>
      </c>
      <c r="I57" t="str">
        <f>"NORHASLINDA BINTI MD NOH"</f>
        <v>NORHASLINDA BINTI MD NOH</v>
      </c>
      <c r="J57" t="str">
        <f t="shared" si="24"/>
        <v>BANK ISLAM BHD</v>
      </c>
      <c r="K57" t="str">
        <f>"14032020220254"</f>
        <v>14032020220254</v>
      </c>
      <c r="L57" t="str">
        <f t="shared" si="25"/>
        <v>04-08-2020</v>
      </c>
      <c r="M57" t="str">
        <f t="shared" si="25"/>
        <v>04-08-2020</v>
      </c>
      <c r="N57" t="str">
        <f t="shared" si="8"/>
        <v>001105018356</v>
      </c>
      <c r="O57" t="str">
        <f t="shared" si="9"/>
        <v>MYR</v>
      </c>
      <c r="P57" t="str">
        <f t="shared" si="26"/>
        <v>NIL</v>
      </c>
      <c r="Q57" t="str">
        <f t="shared" si="26"/>
        <v>NIL</v>
      </c>
      <c r="R57" t="str">
        <f t="shared" si="11"/>
        <v>Accepted</v>
      </c>
      <c r="S57" t="str">
        <f t="shared" si="12"/>
        <v>Approved</v>
      </c>
      <c r="T57" t="str">
        <f t="shared" si="13"/>
        <v>10.20.8.188</v>
      </c>
      <c r="U57" t="str">
        <f t="shared" si="14"/>
        <v>AZRAD UMAR BIN SHAARI</v>
      </c>
      <c r="V57" t="str">
        <f t="shared" si="15"/>
        <v>FARHANA BINTI MUSTAPA</v>
      </c>
      <c r="W57" t="str">
        <f t="shared" si="16"/>
        <v>04-08-2020</v>
      </c>
      <c r="X57" t="str">
        <f t="shared" si="17"/>
        <v>RAZIMAH ANSAR AHMAD</v>
      </c>
      <c r="Y57" t="str">
        <f t="shared" si="18"/>
        <v>04-08-2020</v>
      </c>
      <c r="Z57" t="str">
        <f>"COS10200804 550"</f>
        <v>COS10200804 550</v>
      </c>
    </row>
    <row r="58" spans="1:26" x14ac:dyDescent="0.25">
      <c r="A58" t="str">
        <f t="shared" si="21"/>
        <v>04-08-2020 02:12:40</v>
      </c>
      <c r="B58" t="str">
        <f>"0000810940"</f>
        <v>0000810940</v>
      </c>
      <c r="C58" t="str">
        <f t="shared" si="22"/>
        <v>0000810791</v>
      </c>
      <c r="D58" t="str">
        <f t="shared" si="2"/>
        <v>73185</v>
      </c>
      <c r="E58" t="str">
        <f t="shared" si="3"/>
        <v>KFH-OPERATIONS DEPARTMENT</v>
      </c>
      <c r="F58" t="str">
        <f t="shared" si="4"/>
        <v>IBG</v>
      </c>
      <c r="G58" t="str">
        <f t="shared" si="23"/>
        <v>Refund COSHARE 10</v>
      </c>
      <c r="H58" s="2">
        <v>380</v>
      </c>
      <c r="I58" t="str">
        <f>"NORHANIZA BINTI MOHD NOR"</f>
        <v>NORHANIZA BINTI MOHD NOR</v>
      </c>
      <c r="J58" t="str">
        <f t="shared" si="24"/>
        <v>BANK ISLAM BHD</v>
      </c>
      <c r="K58" t="str">
        <f>"02020020228222"</f>
        <v>02020020228222</v>
      </c>
      <c r="L58" t="str">
        <f t="shared" si="25"/>
        <v>04-08-2020</v>
      </c>
      <c r="M58" t="str">
        <f t="shared" si="25"/>
        <v>04-08-2020</v>
      </c>
      <c r="N58" t="str">
        <f t="shared" si="8"/>
        <v>001105018356</v>
      </c>
      <c r="O58" t="str">
        <f t="shared" si="9"/>
        <v>MYR</v>
      </c>
      <c r="P58" t="str">
        <f t="shared" si="26"/>
        <v>NIL</v>
      </c>
      <c r="Q58" t="str">
        <f t="shared" si="26"/>
        <v>NIL</v>
      </c>
      <c r="R58" t="str">
        <f t="shared" si="11"/>
        <v>Accepted</v>
      </c>
      <c r="S58" t="str">
        <f t="shared" si="12"/>
        <v>Approved</v>
      </c>
      <c r="T58" t="str">
        <f t="shared" si="13"/>
        <v>10.20.8.188</v>
      </c>
      <c r="U58" t="str">
        <f t="shared" si="14"/>
        <v>AZRAD UMAR BIN SHAARI</v>
      </c>
      <c r="V58" t="str">
        <f t="shared" si="15"/>
        <v>FARHANA BINTI MUSTAPA</v>
      </c>
      <c r="W58" t="str">
        <f t="shared" si="16"/>
        <v>04-08-2020</v>
      </c>
      <c r="X58" t="str">
        <f t="shared" si="17"/>
        <v>RAZIMAH ANSAR AHMAD</v>
      </c>
      <c r="Y58" t="str">
        <f t="shared" si="18"/>
        <v>04-08-2020</v>
      </c>
      <c r="Z58" t="str">
        <f>"COS10200804 549"</f>
        <v>COS10200804 549</v>
      </c>
    </row>
    <row r="59" spans="1:26" x14ac:dyDescent="0.25">
      <c r="A59" t="str">
        <f t="shared" si="21"/>
        <v>04-08-2020 02:12:40</v>
      </c>
      <c r="B59" t="str">
        <f>"0000810939"</f>
        <v>0000810939</v>
      </c>
      <c r="C59" t="str">
        <f t="shared" si="22"/>
        <v>0000810791</v>
      </c>
      <c r="D59" t="str">
        <f t="shared" si="2"/>
        <v>73185</v>
      </c>
      <c r="E59" t="str">
        <f t="shared" si="3"/>
        <v>KFH-OPERATIONS DEPARTMENT</v>
      </c>
      <c r="F59" t="str">
        <f t="shared" si="4"/>
        <v>IBG</v>
      </c>
      <c r="G59" t="str">
        <f t="shared" si="23"/>
        <v>Refund COSHARE 10</v>
      </c>
      <c r="H59" s="2">
        <v>1146</v>
      </c>
      <c r="I59" t="str">
        <f>"NORHAFIZAH BINTI MADHI"</f>
        <v>NORHAFIZAH BINTI MADHI</v>
      </c>
      <c r="J59" t="str">
        <f t="shared" si="24"/>
        <v>BANK ISLAM BHD</v>
      </c>
      <c r="K59" t="str">
        <f>"11022020133036"</f>
        <v>11022020133036</v>
      </c>
      <c r="L59" t="str">
        <f t="shared" si="25"/>
        <v>04-08-2020</v>
      </c>
      <c r="M59" t="str">
        <f t="shared" si="25"/>
        <v>04-08-2020</v>
      </c>
      <c r="N59" t="str">
        <f t="shared" si="8"/>
        <v>001105018356</v>
      </c>
      <c r="O59" t="str">
        <f t="shared" si="9"/>
        <v>MYR</v>
      </c>
      <c r="P59" t="str">
        <f t="shared" si="26"/>
        <v>NIL</v>
      </c>
      <c r="Q59" t="str">
        <f t="shared" si="26"/>
        <v>NIL</v>
      </c>
      <c r="R59" t="str">
        <f t="shared" si="11"/>
        <v>Accepted</v>
      </c>
      <c r="S59" t="str">
        <f t="shared" si="12"/>
        <v>Approved</v>
      </c>
      <c r="T59" t="str">
        <f t="shared" si="13"/>
        <v>10.20.8.188</v>
      </c>
      <c r="U59" t="str">
        <f t="shared" si="14"/>
        <v>AZRAD UMAR BIN SHAARI</v>
      </c>
      <c r="V59" t="str">
        <f t="shared" si="15"/>
        <v>FARHANA BINTI MUSTAPA</v>
      </c>
      <c r="W59" t="str">
        <f t="shared" si="16"/>
        <v>04-08-2020</v>
      </c>
      <c r="X59" t="str">
        <f t="shared" si="17"/>
        <v>RAZIMAH ANSAR AHMAD</v>
      </c>
      <c r="Y59" t="str">
        <f t="shared" si="18"/>
        <v>04-08-2020</v>
      </c>
      <c r="Z59" t="str">
        <f>"COS10200804 548"</f>
        <v>COS10200804 548</v>
      </c>
    </row>
    <row r="60" spans="1:26" x14ac:dyDescent="0.25">
      <c r="A60" t="str">
        <f t="shared" si="21"/>
        <v>04-08-2020 02:12:40</v>
      </c>
      <c r="B60" t="str">
        <f>"0000810938"</f>
        <v>0000810938</v>
      </c>
      <c r="C60" t="str">
        <f t="shared" si="22"/>
        <v>0000810791</v>
      </c>
      <c r="D60" t="str">
        <f t="shared" si="2"/>
        <v>73185</v>
      </c>
      <c r="E60" t="str">
        <f t="shared" si="3"/>
        <v>KFH-OPERATIONS DEPARTMENT</v>
      </c>
      <c r="F60" t="str">
        <f t="shared" si="4"/>
        <v>IBG</v>
      </c>
      <c r="G60" t="str">
        <f t="shared" si="23"/>
        <v>Refund COSHARE 10</v>
      </c>
      <c r="H60" s="2">
        <v>114</v>
      </c>
      <c r="I60" t="str">
        <f>"NORELA BINTI ABDUL RAHIM"</f>
        <v>NORELA BINTI ABDUL RAHIM</v>
      </c>
      <c r="J60" t="str">
        <f t="shared" si="24"/>
        <v>BANK ISLAM BHD</v>
      </c>
      <c r="K60" t="str">
        <f>"16018020040054"</f>
        <v>16018020040054</v>
      </c>
      <c r="L60" t="str">
        <f t="shared" si="25"/>
        <v>04-08-2020</v>
      </c>
      <c r="M60" t="str">
        <f t="shared" si="25"/>
        <v>04-08-2020</v>
      </c>
      <c r="N60" t="str">
        <f t="shared" si="8"/>
        <v>001105018356</v>
      </c>
      <c r="O60" t="str">
        <f t="shared" si="9"/>
        <v>MYR</v>
      </c>
      <c r="P60" t="str">
        <f t="shared" si="26"/>
        <v>NIL</v>
      </c>
      <c r="Q60" t="str">
        <f t="shared" si="26"/>
        <v>NIL</v>
      </c>
      <c r="R60" t="str">
        <f t="shared" si="11"/>
        <v>Accepted</v>
      </c>
      <c r="S60" t="str">
        <f t="shared" si="12"/>
        <v>Approved</v>
      </c>
      <c r="T60" t="str">
        <f t="shared" si="13"/>
        <v>10.20.8.188</v>
      </c>
      <c r="U60" t="str">
        <f t="shared" si="14"/>
        <v>AZRAD UMAR BIN SHAARI</v>
      </c>
      <c r="V60" t="str">
        <f t="shared" si="15"/>
        <v>FARHANA BINTI MUSTAPA</v>
      </c>
      <c r="W60" t="str">
        <f t="shared" si="16"/>
        <v>04-08-2020</v>
      </c>
      <c r="X60" t="str">
        <f t="shared" si="17"/>
        <v>RAZIMAH ANSAR AHMAD</v>
      </c>
      <c r="Y60" t="str">
        <f t="shared" si="18"/>
        <v>04-08-2020</v>
      </c>
      <c r="Z60" t="str">
        <f>"COS10200804 547"</f>
        <v>COS10200804 547</v>
      </c>
    </row>
    <row r="61" spans="1:26" x14ac:dyDescent="0.25">
      <c r="A61" t="str">
        <f t="shared" si="21"/>
        <v>04-08-2020 02:12:40</v>
      </c>
      <c r="B61" t="str">
        <f>"0000810937"</f>
        <v>0000810937</v>
      </c>
      <c r="C61" t="str">
        <f t="shared" si="22"/>
        <v>0000810791</v>
      </c>
      <c r="D61" t="str">
        <f t="shared" si="2"/>
        <v>73185</v>
      </c>
      <c r="E61" t="str">
        <f t="shared" si="3"/>
        <v>KFH-OPERATIONS DEPARTMENT</v>
      </c>
      <c r="F61" t="str">
        <f t="shared" si="4"/>
        <v>IBG</v>
      </c>
      <c r="G61" t="str">
        <f t="shared" si="23"/>
        <v>Refund COSHARE 10</v>
      </c>
      <c r="H61" s="2">
        <v>228</v>
      </c>
      <c r="I61" t="str">
        <f>"NORBANI BINTI DRAHMAN"</f>
        <v>NORBANI BINTI DRAHMAN</v>
      </c>
      <c r="J61" t="str">
        <f t="shared" si="24"/>
        <v>BANK ISLAM BHD</v>
      </c>
      <c r="K61" t="str">
        <f>"03072020789181"</f>
        <v>03072020789181</v>
      </c>
      <c r="L61" t="str">
        <f t="shared" si="25"/>
        <v>04-08-2020</v>
      </c>
      <c r="M61" t="str">
        <f t="shared" si="25"/>
        <v>04-08-2020</v>
      </c>
      <c r="N61" t="str">
        <f t="shared" si="8"/>
        <v>001105018356</v>
      </c>
      <c r="O61" t="str">
        <f t="shared" si="9"/>
        <v>MYR</v>
      </c>
      <c r="P61" t="str">
        <f t="shared" si="26"/>
        <v>NIL</v>
      </c>
      <c r="Q61" t="str">
        <f t="shared" si="26"/>
        <v>NIL</v>
      </c>
      <c r="R61" t="str">
        <f t="shared" si="11"/>
        <v>Accepted</v>
      </c>
      <c r="S61" t="str">
        <f t="shared" si="12"/>
        <v>Approved</v>
      </c>
      <c r="T61" t="str">
        <f t="shared" si="13"/>
        <v>10.20.8.188</v>
      </c>
      <c r="U61" t="str">
        <f t="shared" si="14"/>
        <v>AZRAD UMAR BIN SHAARI</v>
      </c>
      <c r="V61" t="str">
        <f t="shared" si="15"/>
        <v>FARHANA BINTI MUSTAPA</v>
      </c>
      <c r="W61" t="str">
        <f t="shared" si="16"/>
        <v>04-08-2020</v>
      </c>
      <c r="X61" t="str">
        <f t="shared" si="17"/>
        <v>RAZIMAH ANSAR AHMAD</v>
      </c>
      <c r="Y61" t="str">
        <f t="shared" si="18"/>
        <v>04-08-2020</v>
      </c>
      <c r="Z61" t="str">
        <f>"COS10200804 546"</f>
        <v>COS10200804 546</v>
      </c>
    </row>
    <row r="62" spans="1:26" x14ac:dyDescent="0.25">
      <c r="A62" t="str">
        <f t="shared" si="21"/>
        <v>04-08-2020 02:12:40</v>
      </c>
      <c r="B62" t="str">
        <f>"0000810936"</f>
        <v>0000810936</v>
      </c>
      <c r="C62" t="str">
        <f t="shared" si="22"/>
        <v>0000810791</v>
      </c>
      <c r="D62" t="str">
        <f t="shared" si="2"/>
        <v>73185</v>
      </c>
      <c r="E62" t="str">
        <f t="shared" si="3"/>
        <v>KFH-OPERATIONS DEPARTMENT</v>
      </c>
      <c r="F62" t="str">
        <f t="shared" si="4"/>
        <v>IBG</v>
      </c>
      <c r="G62" t="str">
        <f t="shared" si="23"/>
        <v>Refund COSHARE 10</v>
      </c>
      <c r="H62" s="2">
        <v>443.5</v>
      </c>
      <c r="I62" t="str">
        <f>"NORAZZAH BINTI ABDULLAH"</f>
        <v>NORAZZAH BINTI ABDULLAH</v>
      </c>
      <c r="J62" t="str">
        <f t="shared" si="24"/>
        <v>BANK ISLAM BHD</v>
      </c>
      <c r="K62" t="str">
        <f>"02084020091763"</f>
        <v>02084020091763</v>
      </c>
      <c r="L62" t="str">
        <f t="shared" si="25"/>
        <v>04-08-2020</v>
      </c>
      <c r="M62" t="str">
        <f t="shared" si="25"/>
        <v>04-08-2020</v>
      </c>
      <c r="N62" t="str">
        <f t="shared" si="8"/>
        <v>001105018356</v>
      </c>
      <c r="O62" t="str">
        <f t="shared" si="9"/>
        <v>MYR</v>
      </c>
      <c r="P62" t="str">
        <f t="shared" si="26"/>
        <v>NIL</v>
      </c>
      <c r="Q62" t="str">
        <f t="shared" si="26"/>
        <v>NIL</v>
      </c>
      <c r="R62" t="str">
        <f t="shared" si="11"/>
        <v>Accepted</v>
      </c>
      <c r="S62" t="str">
        <f t="shared" si="12"/>
        <v>Approved</v>
      </c>
      <c r="T62" t="str">
        <f t="shared" si="13"/>
        <v>10.20.8.188</v>
      </c>
      <c r="U62" t="str">
        <f t="shared" si="14"/>
        <v>AZRAD UMAR BIN SHAARI</v>
      </c>
      <c r="V62" t="str">
        <f t="shared" si="15"/>
        <v>FARHANA BINTI MUSTAPA</v>
      </c>
      <c r="W62" t="str">
        <f t="shared" si="16"/>
        <v>04-08-2020</v>
      </c>
      <c r="X62" t="str">
        <f t="shared" si="17"/>
        <v>RAZIMAH ANSAR AHMAD</v>
      </c>
      <c r="Y62" t="str">
        <f t="shared" si="18"/>
        <v>04-08-2020</v>
      </c>
      <c r="Z62" t="str">
        <f>"COS10200804 545"</f>
        <v>COS10200804 545</v>
      </c>
    </row>
    <row r="63" spans="1:26" x14ac:dyDescent="0.25">
      <c r="A63" t="str">
        <f t="shared" si="21"/>
        <v>04-08-2020 02:12:40</v>
      </c>
      <c r="B63" t="str">
        <f>"0000810935"</f>
        <v>0000810935</v>
      </c>
      <c r="C63" t="str">
        <f t="shared" si="22"/>
        <v>0000810791</v>
      </c>
      <c r="D63" t="str">
        <f t="shared" si="2"/>
        <v>73185</v>
      </c>
      <c r="E63" t="str">
        <f t="shared" si="3"/>
        <v>KFH-OPERATIONS DEPARTMENT</v>
      </c>
      <c r="F63" t="str">
        <f t="shared" si="4"/>
        <v>IBG</v>
      </c>
      <c r="G63" t="str">
        <f t="shared" si="23"/>
        <v>Refund COSHARE 10</v>
      </c>
      <c r="H63" s="2">
        <v>1445.3</v>
      </c>
      <c r="I63" t="str">
        <f>"NORAZMAH BINTI OSMAN"</f>
        <v>NORAZMAH BINTI OSMAN</v>
      </c>
      <c r="J63" t="str">
        <f t="shared" si="24"/>
        <v>BANK ISLAM BHD</v>
      </c>
      <c r="K63" t="str">
        <f>"14171020477593"</f>
        <v>14171020477593</v>
      </c>
      <c r="L63" t="str">
        <f t="shared" si="25"/>
        <v>04-08-2020</v>
      </c>
      <c r="M63" t="str">
        <f t="shared" si="25"/>
        <v>04-08-2020</v>
      </c>
      <c r="N63" t="str">
        <f t="shared" si="8"/>
        <v>001105018356</v>
      </c>
      <c r="O63" t="str">
        <f t="shared" si="9"/>
        <v>MYR</v>
      </c>
      <c r="P63" t="str">
        <f t="shared" si="26"/>
        <v>NIL</v>
      </c>
      <c r="Q63" t="str">
        <f t="shared" si="26"/>
        <v>NIL</v>
      </c>
      <c r="R63" t="str">
        <f t="shared" si="11"/>
        <v>Accepted</v>
      </c>
      <c r="S63" t="str">
        <f t="shared" si="12"/>
        <v>Approved</v>
      </c>
      <c r="T63" t="str">
        <f t="shared" si="13"/>
        <v>10.20.8.188</v>
      </c>
      <c r="U63" t="str">
        <f t="shared" si="14"/>
        <v>AZRAD UMAR BIN SHAARI</v>
      </c>
      <c r="V63" t="str">
        <f t="shared" si="15"/>
        <v>FARHANA BINTI MUSTAPA</v>
      </c>
      <c r="W63" t="str">
        <f t="shared" si="16"/>
        <v>04-08-2020</v>
      </c>
      <c r="X63" t="str">
        <f t="shared" si="17"/>
        <v>RAZIMAH ANSAR AHMAD</v>
      </c>
      <c r="Y63" t="str">
        <f t="shared" si="18"/>
        <v>04-08-2020</v>
      </c>
      <c r="Z63" t="str">
        <f>"COS10200804 544"</f>
        <v>COS10200804 544</v>
      </c>
    </row>
    <row r="64" spans="1:26" x14ac:dyDescent="0.25">
      <c r="A64" t="str">
        <f t="shared" si="21"/>
        <v>04-08-2020 02:12:40</v>
      </c>
      <c r="B64" t="str">
        <f>"0000810934"</f>
        <v>0000810934</v>
      </c>
      <c r="C64" t="str">
        <f t="shared" si="22"/>
        <v>0000810791</v>
      </c>
      <c r="D64" t="str">
        <f t="shared" si="2"/>
        <v>73185</v>
      </c>
      <c r="E64" t="str">
        <f t="shared" si="3"/>
        <v>KFH-OPERATIONS DEPARTMENT</v>
      </c>
      <c r="F64" t="str">
        <f t="shared" si="4"/>
        <v>IBG</v>
      </c>
      <c r="G64" t="str">
        <f t="shared" si="23"/>
        <v>Refund COSHARE 10</v>
      </c>
      <c r="H64" s="2">
        <v>839.5</v>
      </c>
      <c r="I64" t="str">
        <f>"NORAZLINA BT AHMAD"</f>
        <v>NORAZLINA BT AHMAD</v>
      </c>
      <c r="J64" t="str">
        <f t="shared" si="24"/>
        <v>BANK ISLAM BHD</v>
      </c>
      <c r="K64" t="str">
        <f>"06073025370995"</f>
        <v>06073025370995</v>
      </c>
      <c r="L64" t="str">
        <f t="shared" si="25"/>
        <v>04-08-2020</v>
      </c>
      <c r="M64" t="str">
        <f t="shared" si="25"/>
        <v>04-08-2020</v>
      </c>
      <c r="N64" t="str">
        <f t="shared" si="8"/>
        <v>001105018356</v>
      </c>
      <c r="O64" t="str">
        <f t="shared" si="9"/>
        <v>MYR</v>
      </c>
      <c r="P64" t="str">
        <f t="shared" si="26"/>
        <v>NIL</v>
      </c>
      <c r="Q64" t="str">
        <f t="shared" si="26"/>
        <v>NIL</v>
      </c>
      <c r="R64" t="str">
        <f t="shared" si="11"/>
        <v>Accepted</v>
      </c>
      <c r="S64" t="str">
        <f t="shared" si="12"/>
        <v>Approved</v>
      </c>
      <c r="T64" t="str">
        <f t="shared" si="13"/>
        <v>10.20.8.188</v>
      </c>
      <c r="U64" t="str">
        <f t="shared" si="14"/>
        <v>AZRAD UMAR BIN SHAARI</v>
      </c>
      <c r="V64" t="str">
        <f t="shared" si="15"/>
        <v>FARHANA BINTI MUSTAPA</v>
      </c>
      <c r="W64" t="str">
        <f t="shared" si="16"/>
        <v>04-08-2020</v>
      </c>
      <c r="X64" t="str">
        <f t="shared" si="17"/>
        <v>RAZIMAH ANSAR AHMAD</v>
      </c>
      <c r="Y64" t="str">
        <f t="shared" si="18"/>
        <v>04-08-2020</v>
      </c>
      <c r="Z64" t="str">
        <f>"COS10200804 543"</f>
        <v>COS10200804 543</v>
      </c>
    </row>
    <row r="65" spans="1:26" x14ac:dyDescent="0.25">
      <c r="A65" t="str">
        <f t="shared" si="21"/>
        <v>04-08-2020 02:12:40</v>
      </c>
      <c r="B65" t="str">
        <f>"0000810933"</f>
        <v>0000810933</v>
      </c>
      <c r="C65" t="str">
        <f t="shared" si="22"/>
        <v>0000810791</v>
      </c>
      <c r="D65" t="str">
        <f t="shared" si="2"/>
        <v>73185</v>
      </c>
      <c r="E65" t="str">
        <f t="shared" si="3"/>
        <v>KFH-OPERATIONS DEPARTMENT</v>
      </c>
      <c r="F65" t="str">
        <f t="shared" si="4"/>
        <v>IBG</v>
      </c>
      <c r="G65" t="str">
        <f t="shared" si="23"/>
        <v>Refund COSHARE 10</v>
      </c>
      <c r="H65" s="2">
        <v>839.5</v>
      </c>
      <c r="I65" t="str">
        <f>"NORAZLINA BT AHMAD"</f>
        <v>NORAZLINA BT AHMAD</v>
      </c>
      <c r="J65" t="str">
        <f t="shared" si="24"/>
        <v>BANK ISLAM BHD</v>
      </c>
      <c r="K65" t="str">
        <f>"06073025370995"</f>
        <v>06073025370995</v>
      </c>
      <c r="L65" t="str">
        <f t="shared" si="25"/>
        <v>04-08-2020</v>
      </c>
      <c r="M65" t="str">
        <f t="shared" si="25"/>
        <v>04-08-2020</v>
      </c>
      <c r="N65" t="str">
        <f t="shared" si="8"/>
        <v>001105018356</v>
      </c>
      <c r="O65" t="str">
        <f t="shared" si="9"/>
        <v>MYR</v>
      </c>
      <c r="P65" t="str">
        <f t="shared" si="26"/>
        <v>NIL</v>
      </c>
      <c r="Q65" t="str">
        <f t="shared" si="26"/>
        <v>NIL</v>
      </c>
      <c r="R65" t="str">
        <f t="shared" si="11"/>
        <v>Accepted</v>
      </c>
      <c r="S65" t="str">
        <f t="shared" si="12"/>
        <v>Approved</v>
      </c>
      <c r="T65" t="str">
        <f t="shared" si="13"/>
        <v>10.20.8.188</v>
      </c>
      <c r="U65" t="str">
        <f t="shared" si="14"/>
        <v>AZRAD UMAR BIN SHAARI</v>
      </c>
      <c r="V65" t="str">
        <f t="shared" si="15"/>
        <v>FARHANA BINTI MUSTAPA</v>
      </c>
      <c r="W65" t="str">
        <f t="shared" si="16"/>
        <v>04-08-2020</v>
      </c>
      <c r="X65" t="str">
        <f t="shared" si="17"/>
        <v>RAZIMAH ANSAR AHMAD</v>
      </c>
      <c r="Y65" t="str">
        <f t="shared" si="18"/>
        <v>04-08-2020</v>
      </c>
      <c r="Z65" t="str">
        <f>"COS10200804 542"</f>
        <v>COS10200804 542</v>
      </c>
    </row>
    <row r="66" spans="1:26" x14ac:dyDescent="0.25">
      <c r="A66" t="str">
        <f t="shared" si="21"/>
        <v>04-08-2020 02:12:40</v>
      </c>
      <c r="B66" t="str">
        <f>"0000810932"</f>
        <v>0000810932</v>
      </c>
      <c r="C66" t="str">
        <f t="shared" si="22"/>
        <v>0000810791</v>
      </c>
      <c r="D66" t="str">
        <f t="shared" si="2"/>
        <v>73185</v>
      </c>
      <c r="E66" t="str">
        <f t="shared" si="3"/>
        <v>KFH-OPERATIONS DEPARTMENT</v>
      </c>
      <c r="F66" t="str">
        <f t="shared" si="4"/>
        <v>IBG</v>
      </c>
      <c r="G66" t="str">
        <f t="shared" si="23"/>
        <v>Refund COSHARE 10</v>
      </c>
      <c r="H66" s="2">
        <v>596.04999999999995</v>
      </c>
      <c r="I66" t="str">
        <f>"NORAZLINA BINTI MOHD NOOR"</f>
        <v>NORAZLINA BINTI MOHD NOOR</v>
      </c>
      <c r="J66" t="str">
        <f t="shared" si="24"/>
        <v>BANK ISLAM BHD</v>
      </c>
      <c r="K66" t="str">
        <f>"14171020373009"</f>
        <v>14171020373009</v>
      </c>
      <c r="L66" t="str">
        <f t="shared" si="25"/>
        <v>04-08-2020</v>
      </c>
      <c r="M66" t="str">
        <f t="shared" si="25"/>
        <v>04-08-2020</v>
      </c>
      <c r="N66" t="str">
        <f t="shared" si="8"/>
        <v>001105018356</v>
      </c>
      <c r="O66" t="str">
        <f t="shared" si="9"/>
        <v>MYR</v>
      </c>
      <c r="P66" t="str">
        <f t="shared" si="26"/>
        <v>NIL</v>
      </c>
      <c r="Q66" t="str">
        <f t="shared" si="26"/>
        <v>NIL</v>
      </c>
      <c r="R66" t="str">
        <f t="shared" si="11"/>
        <v>Accepted</v>
      </c>
      <c r="S66" t="str">
        <f t="shared" si="12"/>
        <v>Approved</v>
      </c>
      <c r="T66" t="str">
        <f t="shared" si="13"/>
        <v>10.20.8.188</v>
      </c>
      <c r="U66" t="str">
        <f t="shared" si="14"/>
        <v>AZRAD UMAR BIN SHAARI</v>
      </c>
      <c r="V66" t="str">
        <f t="shared" si="15"/>
        <v>FARHANA BINTI MUSTAPA</v>
      </c>
      <c r="W66" t="str">
        <f t="shared" si="16"/>
        <v>04-08-2020</v>
      </c>
      <c r="X66" t="str">
        <f t="shared" si="17"/>
        <v>RAZIMAH ANSAR AHMAD</v>
      </c>
      <c r="Y66" t="str">
        <f t="shared" si="18"/>
        <v>04-08-2020</v>
      </c>
      <c r="Z66" t="str">
        <f>"COS10200804 541"</f>
        <v>COS10200804 541</v>
      </c>
    </row>
    <row r="67" spans="1:26" x14ac:dyDescent="0.25">
      <c r="A67" t="str">
        <f t="shared" si="21"/>
        <v>04-08-2020 02:12:40</v>
      </c>
      <c r="B67" t="str">
        <f>"0000810931"</f>
        <v>0000810931</v>
      </c>
      <c r="C67" t="str">
        <f t="shared" si="22"/>
        <v>0000810791</v>
      </c>
      <c r="D67" t="str">
        <f t="shared" si="2"/>
        <v>73185</v>
      </c>
      <c r="E67" t="str">
        <f t="shared" si="3"/>
        <v>KFH-OPERATIONS DEPARTMENT</v>
      </c>
      <c r="F67" t="str">
        <f t="shared" si="4"/>
        <v>IBG</v>
      </c>
      <c r="G67" t="str">
        <f t="shared" si="23"/>
        <v>Refund COSHARE 10</v>
      </c>
      <c r="H67" s="2">
        <v>1276.05</v>
      </c>
      <c r="I67" t="str">
        <f>"NORAZILAH BINTI A JABAR"</f>
        <v>NORAZILAH BINTI A JABAR</v>
      </c>
      <c r="J67" t="str">
        <f t="shared" si="24"/>
        <v>BANK ISLAM BHD</v>
      </c>
      <c r="K67" t="str">
        <f>"01096020220623"</f>
        <v>01096020220623</v>
      </c>
      <c r="L67" t="str">
        <f t="shared" ref="L67:M86" si="27">"04-08-2020"</f>
        <v>04-08-2020</v>
      </c>
      <c r="M67" t="str">
        <f t="shared" si="27"/>
        <v>04-08-2020</v>
      </c>
      <c r="N67" t="str">
        <f t="shared" si="8"/>
        <v>001105018356</v>
      </c>
      <c r="O67" t="str">
        <f t="shared" si="9"/>
        <v>MYR</v>
      </c>
      <c r="P67" t="str">
        <f t="shared" ref="P67:Q86" si="28">"NIL"</f>
        <v>NIL</v>
      </c>
      <c r="Q67" t="str">
        <f t="shared" si="28"/>
        <v>NIL</v>
      </c>
      <c r="R67" t="str">
        <f t="shared" si="11"/>
        <v>Accepted</v>
      </c>
      <c r="S67" t="str">
        <f t="shared" si="12"/>
        <v>Approved</v>
      </c>
      <c r="T67" t="str">
        <f t="shared" si="13"/>
        <v>10.20.8.188</v>
      </c>
      <c r="U67" t="str">
        <f t="shared" si="14"/>
        <v>AZRAD UMAR BIN SHAARI</v>
      </c>
      <c r="V67" t="str">
        <f t="shared" si="15"/>
        <v>FARHANA BINTI MUSTAPA</v>
      </c>
      <c r="W67" t="str">
        <f t="shared" si="16"/>
        <v>04-08-2020</v>
      </c>
      <c r="X67" t="str">
        <f t="shared" si="17"/>
        <v>RAZIMAH ANSAR AHMAD</v>
      </c>
      <c r="Y67" t="str">
        <f t="shared" si="18"/>
        <v>04-08-2020</v>
      </c>
      <c r="Z67" t="str">
        <f>"COS10200804 540"</f>
        <v>COS10200804 540</v>
      </c>
    </row>
    <row r="68" spans="1:26" x14ac:dyDescent="0.25">
      <c r="A68" t="str">
        <f t="shared" si="21"/>
        <v>04-08-2020 02:12:40</v>
      </c>
      <c r="B68" t="str">
        <f>"0000810930"</f>
        <v>0000810930</v>
      </c>
      <c r="C68" t="str">
        <f t="shared" si="22"/>
        <v>0000810791</v>
      </c>
      <c r="D68" t="str">
        <f t="shared" si="2"/>
        <v>73185</v>
      </c>
      <c r="E68" t="str">
        <f t="shared" si="3"/>
        <v>KFH-OPERATIONS DEPARTMENT</v>
      </c>
      <c r="F68" t="str">
        <f t="shared" si="4"/>
        <v>IBG</v>
      </c>
      <c r="G68" t="str">
        <f t="shared" si="23"/>
        <v>Refund COSHARE 10</v>
      </c>
      <c r="H68" s="2">
        <v>102.35</v>
      </c>
      <c r="I68" t="str">
        <f>"NORAZHAR BIN ABU SAMAH"</f>
        <v>NORAZHAR BIN ABU SAMAH</v>
      </c>
      <c r="J68" t="str">
        <f t="shared" si="24"/>
        <v>BANK ISLAM BHD</v>
      </c>
      <c r="K68" t="str">
        <f>"12122020105210"</f>
        <v>12122020105210</v>
      </c>
      <c r="L68" t="str">
        <f t="shared" si="27"/>
        <v>04-08-2020</v>
      </c>
      <c r="M68" t="str">
        <f t="shared" si="27"/>
        <v>04-08-2020</v>
      </c>
      <c r="N68" t="str">
        <f t="shared" si="8"/>
        <v>001105018356</v>
      </c>
      <c r="O68" t="str">
        <f t="shared" si="9"/>
        <v>MYR</v>
      </c>
      <c r="P68" t="str">
        <f t="shared" si="28"/>
        <v>NIL</v>
      </c>
      <c r="Q68" t="str">
        <f t="shared" si="28"/>
        <v>NIL</v>
      </c>
      <c r="R68" t="str">
        <f t="shared" si="11"/>
        <v>Accepted</v>
      </c>
      <c r="S68" t="str">
        <f t="shared" si="12"/>
        <v>Approved</v>
      </c>
      <c r="T68" t="str">
        <f t="shared" si="13"/>
        <v>10.20.8.188</v>
      </c>
      <c r="U68" t="str">
        <f t="shared" si="14"/>
        <v>AZRAD UMAR BIN SHAARI</v>
      </c>
      <c r="V68" t="str">
        <f t="shared" si="15"/>
        <v>FARHANA BINTI MUSTAPA</v>
      </c>
      <c r="W68" t="str">
        <f t="shared" si="16"/>
        <v>04-08-2020</v>
      </c>
      <c r="X68" t="str">
        <f t="shared" si="17"/>
        <v>RAZIMAH ANSAR AHMAD</v>
      </c>
      <c r="Y68" t="str">
        <f t="shared" si="18"/>
        <v>04-08-2020</v>
      </c>
      <c r="Z68" t="str">
        <f>"COS10200804 539"</f>
        <v>COS10200804 539</v>
      </c>
    </row>
    <row r="69" spans="1:26" x14ac:dyDescent="0.25">
      <c r="A69" t="str">
        <f t="shared" si="21"/>
        <v>04-08-2020 02:12:40</v>
      </c>
      <c r="B69" t="str">
        <f>"0000810929"</f>
        <v>0000810929</v>
      </c>
      <c r="C69" t="str">
        <f t="shared" si="22"/>
        <v>0000810791</v>
      </c>
      <c r="D69" t="str">
        <f t="shared" si="2"/>
        <v>73185</v>
      </c>
      <c r="E69" t="str">
        <f t="shared" si="3"/>
        <v>KFH-OPERATIONS DEPARTMENT</v>
      </c>
      <c r="F69" t="str">
        <f t="shared" si="4"/>
        <v>IBG</v>
      </c>
      <c r="G69" t="str">
        <f t="shared" si="23"/>
        <v>Refund COSHARE 10</v>
      </c>
      <c r="H69" s="2">
        <v>839.5</v>
      </c>
      <c r="I69" t="str">
        <f>"NORAZAH BINTI ARASAD"</f>
        <v>NORAZAH BINTI ARASAD</v>
      </c>
      <c r="J69" t="str">
        <f t="shared" si="24"/>
        <v>BANK ISLAM BHD</v>
      </c>
      <c r="K69" t="str">
        <f>"06037020053020"</f>
        <v>06037020053020</v>
      </c>
      <c r="L69" t="str">
        <f t="shared" si="27"/>
        <v>04-08-2020</v>
      </c>
      <c r="M69" t="str">
        <f t="shared" si="27"/>
        <v>04-08-2020</v>
      </c>
      <c r="N69" t="str">
        <f t="shared" si="8"/>
        <v>001105018356</v>
      </c>
      <c r="O69" t="str">
        <f t="shared" si="9"/>
        <v>MYR</v>
      </c>
      <c r="P69" t="str">
        <f t="shared" si="28"/>
        <v>NIL</v>
      </c>
      <c r="Q69" t="str">
        <f t="shared" si="28"/>
        <v>NIL</v>
      </c>
      <c r="R69" t="str">
        <f t="shared" si="11"/>
        <v>Accepted</v>
      </c>
      <c r="S69" t="str">
        <f t="shared" si="12"/>
        <v>Approved</v>
      </c>
      <c r="T69" t="str">
        <f t="shared" si="13"/>
        <v>10.20.8.188</v>
      </c>
      <c r="U69" t="str">
        <f t="shared" si="14"/>
        <v>AZRAD UMAR BIN SHAARI</v>
      </c>
      <c r="V69" t="str">
        <f t="shared" si="15"/>
        <v>FARHANA BINTI MUSTAPA</v>
      </c>
      <c r="W69" t="str">
        <f t="shared" si="16"/>
        <v>04-08-2020</v>
      </c>
      <c r="X69" t="str">
        <f t="shared" si="17"/>
        <v>RAZIMAH ANSAR AHMAD</v>
      </c>
      <c r="Y69" t="str">
        <f t="shared" si="18"/>
        <v>04-08-2020</v>
      </c>
      <c r="Z69" t="str">
        <f>"COS10200804 538"</f>
        <v>COS10200804 538</v>
      </c>
    </row>
    <row r="70" spans="1:26" x14ac:dyDescent="0.25">
      <c r="A70" t="str">
        <f t="shared" si="21"/>
        <v>04-08-2020 02:12:40</v>
      </c>
      <c r="B70" t="str">
        <f>"0000810928"</f>
        <v>0000810928</v>
      </c>
      <c r="C70" t="str">
        <f t="shared" si="22"/>
        <v>0000810791</v>
      </c>
      <c r="D70" t="str">
        <f t="shared" si="2"/>
        <v>73185</v>
      </c>
      <c r="E70" t="str">
        <f t="shared" si="3"/>
        <v>KFH-OPERATIONS DEPARTMENT</v>
      </c>
      <c r="F70" t="str">
        <f t="shared" si="4"/>
        <v>IBG</v>
      </c>
      <c r="G70" t="str">
        <f t="shared" si="23"/>
        <v>Refund COSHARE 10</v>
      </c>
      <c r="H70" s="2">
        <v>1007.4</v>
      </c>
      <c r="I70" t="str">
        <f>"NORASLINDA BINTI YUSOFF"</f>
        <v>NORASLINDA BINTI YUSOFF</v>
      </c>
      <c r="J70" t="str">
        <f t="shared" si="24"/>
        <v>BANK ISLAM BHD</v>
      </c>
      <c r="K70" t="str">
        <f>"10016020590909"</f>
        <v>10016020590909</v>
      </c>
      <c r="L70" t="str">
        <f t="shared" si="27"/>
        <v>04-08-2020</v>
      </c>
      <c r="M70" t="str">
        <f t="shared" si="27"/>
        <v>04-08-2020</v>
      </c>
      <c r="N70" t="str">
        <f t="shared" si="8"/>
        <v>001105018356</v>
      </c>
      <c r="O70" t="str">
        <f t="shared" si="9"/>
        <v>MYR</v>
      </c>
      <c r="P70" t="str">
        <f t="shared" si="28"/>
        <v>NIL</v>
      </c>
      <c r="Q70" t="str">
        <f t="shared" si="28"/>
        <v>NIL</v>
      </c>
      <c r="R70" t="str">
        <f t="shared" si="11"/>
        <v>Accepted</v>
      </c>
      <c r="S70" t="str">
        <f t="shared" si="12"/>
        <v>Approved</v>
      </c>
      <c r="T70" t="str">
        <f t="shared" si="13"/>
        <v>10.20.8.188</v>
      </c>
      <c r="U70" t="str">
        <f t="shared" si="14"/>
        <v>AZRAD UMAR BIN SHAARI</v>
      </c>
      <c r="V70" t="str">
        <f t="shared" si="15"/>
        <v>FARHANA BINTI MUSTAPA</v>
      </c>
      <c r="W70" t="str">
        <f t="shared" si="16"/>
        <v>04-08-2020</v>
      </c>
      <c r="X70" t="str">
        <f t="shared" si="17"/>
        <v>RAZIMAH ANSAR AHMAD</v>
      </c>
      <c r="Y70" t="str">
        <f t="shared" si="18"/>
        <v>04-08-2020</v>
      </c>
      <c r="Z70" t="str">
        <f>"COS10200804 537"</f>
        <v>COS10200804 537</v>
      </c>
    </row>
    <row r="71" spans="1:26" x14ac:dyDescent="0.25">
      <c r="A71" t="str">
        <f t="shared" ref="A71:A102" si="29">"04-08-2020 02:12:40"</f>
        <v>04-08-2020 02:12:40</v>
      </c>
      <c r="B71" t="str">
        <f>"0000810927"</f>
        <v>0000810927</v>
      </c>
      <c r="C71" t="str">
        <f t="shared" ref="C71:C102" si="30">"0000810791"</f>
        <v>0000810791</v>
      </c>
      <c r="D71" t="str">
        <f t="shared" ref="D71:D134" si="31">"73185"</f>
        <v>73185</v>
      </c>
      <c r="E71" t="str">
        <f t="shared" ref="E71:E134" si="32">"KFH-OPERATIONS DEPARTMENT"</f>
        <v>KFH-OPERATIONS DEPARTMENT</v>
      </c>
      <c r="F71" t="str">
        <f t="shared" ref="F71:F134" si="33">"IBG"</f>
        <v>IBG</v>
      </c>
      <c r="G71" t="str">
        <f t="shared" ref="G71:G102" si="34">"Refund COSHARE 10"</f>
        <v>Refund COSHARE 10</v>
      </c>
      <c r="H71" s="2">
        <v>724.1</v>
      </c>
      <c r="I71" t="str">
        <f>"NORALIZA BINTI BAEN"</f>
        <v>NORALIZA BINTI BAEN</v>
      </c>
      <c r="J71" t="str">
        <f t="shared" ref="J71:J102" si="35">"BANK ISLAM BHD"</f>
        <v>BANK ISLAM BHD</v>
      </c>
      <c r="K71" t="str">
        <f>"12092022827946"</f>
        <v>12092022827946</v>
      </c>
      <c r="L71" t="str">
        <f t="shared" si="27"/>
        <v>04-08-2020</v>
      </c>
      <c r="M71" t="str">
        <f t="shared" si="27"/>
        <v>04-08-2020</v>
      </c>
      <c r="N71" t="str">
        <f t="shared" ref="N71:N134" si="36">"001105018356"</f>
        <v>001105018356</v>
      </c>
      <c r="O71" t="str">
        <f t="shared" ref="O71:O134" si="37">"MYR"</f>
        <v>MYR</v>
      </c>
      <c r="P71" t="str">
        <f t="shared" si="28"/>
        <v>NIL</v>
      </c>
      <c r="Q71" t="str">
        <f t="shared" si="28"/>
        <v>NIL</v>
      </c>
      <c r="R71" t="str">
        <f t="shared" ref="R71:R134" si="38">"Accepted"</f>
        <v>Accepted</v>
      </c>
      <c r="S71" t="str">
        <f t="shared" ref="S71:S134" si="39">"Approved"</f>
        <v>Approved</v>
      </c>
      <c r="T71" t="str">
        <f t="shared" ref="T71:T134" si="40">"10.20.8.188"</f>
        <v>10.20.8.188</v>
      </c>
      <c r="U71" t="str">
        <f t="shared" ref="U71:U134" si="41">"AZRAD UMAR BIN SHAARI"</f>
        <v>AZRAD UMAR BIN SHAARI</v>
      </c>
      <c r="V71" t="str">
        <f t="shared" ref="V71:V134" si="42">"FARHANA BINTI MUSTAPA"</f>
        <v>FARHANA BINTI MUSTAPA</v>
      </c>
      <c r="W71" t="str">
        <f t="shared" ref="W71:W134" si="43">"04-08-2020"</f>
        <v>04-08-2020</v>
      </c>
      <c r="X71" t="str">
        <f t="shared" ref="X71:X134" si="44">"RAZIMAH ANSAR AHMAD"</f>
        <v>RAZIMAH ANSAR AHMAD</v>
      </c>
      <c r="Y71" t="str">
        <f t="shared" ref="Y71:Y134" si="45">"04-08-2020"</f>
        <v>04-08-2020</v>
      </c>
      <c r="Z71" t="str">
        <f>"COS10200804 536"</f>
        <v>COS10200804 536</v>
      </c>
    </row>
    <row r="72" spans="1:26" x14ac:dyDescent="0.25">
      <c r="A72" t="str">
        <f t="shared" si="29"/>
        <v>04-08-2020 02:12:40</v>
      </c>
      <c r="B72" t="str">
        <f>"0000810926"</f>
        <v>0000810926</v>
      </c>
      <c r="C72" t="str">
        <f t="shared" si="30"/>
        <v>0000810791</v>
      </c>
      <c r="D72" t="str">
        <f t="shared" si="31"/>
        <v>73185</v>
      </c>
      <c r="E72" t="str">
        <f t="shared" si="32"/>
        <v>KFH-OPERATIONS DEPARTMENT</v>
      </c>
      <c r="F72" t="str">
        <f t="shared" si="33"/>
        <v>IBG</v>
      </c>
      <c r="G72" t="str">
        <f t="shared" si="34"/>
        <v>Refund COSHARE 10</v>
      </c>
      <c r="H72" s="2">
        <v>266</v>
      </c>
      <c r="I72" t="str">
        <f>"NORAINI BINTI MISRAN"</f>
        <v>NORAINI BINTI MISRAN</v>
      </c>
      <c r="J72" t="str">
        <f t="shared" si="35"/>
        <v>BANK ISLAM BHD</v>
      </c>
      <c r="K72" t="str">
        <f>"06055020105120"</f>
        <v>06055020105120</v>
      </c>
      <c r="L72" t="str">
        <f t="shared" si="27"/>
        <v>04-08-2020</v>
      </c>
      <c r="M72" t="str">
        <f t="shared" si="27"/>
        <v>04-08-2020</v>
      </c>
      <c r="N72" t="str">
        <f t="shared" si="36"/>
        <v>001105018356</v>
      </c>
      <c r="O72" t="str">
        <f t="shared" si="37"/>
        <v>MYR</v>
      </c>
      <c r="P72" t="str">
        <f t="shared" si="28"/>
        <v>NIL</v>
      </c>
      <c r="Q72" t="str">
        <f t="shared" si="28"/>
        <v>NIL</v>
      </c>
      <c r="R72" t="str">
        <f t="shared" si="38"/>
        <v>Accepted</v>
      </c>
      <c r="S72" t="str">
        <f t="shared" si="39"/>
        <v>Approved</v>
      </c>
      <c r="T72" t="str">
        <f t="shared" si="40"/>
        <v>10.20.8.188</v>
      </c>
      <c r="U72" t="str">
        <f t="shared" si="41"/>
        <v>AZRAD UMAR BIN SHAARI</v>
      </c>
      <c r="V72" t="str">
        <f t="shared" si="42"/>
        <v>FARHANA BINTI MUSTAPA</v>
      </c>
      <c r="W72" t="str">
        <f t="shared" si="43"/>
        <v>04-08-2020</v>
      </c>
      <c r="X72" t="str">
        <f t="shared" si="44"/>
        <v>RAZIMAH ANSAR AHMAD</v>
      </c>
      <c r="Y72" t="str">
        <f t="shared" si="45"/>
        <v>04-08-2020</v>
      </c>
      <c r="Z72" t="str">
        <f>"COS10200804 535"</f>
        <v>COS10200804 535</v>
      </c>
    </row>
    <row r="73" spans="1:26" x14ac:dyDescent="0.25">
      <c r="A73" t="str">
        <f t="shared" si="29"/>
        <v>04-08-2020 02:12:40</v>
      </c>
      <c r="B73" t="str">
        <f>"0000810925"</f>
        <v>0000810925</v>
      </c>
      <c r="C73" t="str">
        <f t="shared" si="30"/>
        <v>0000810791</v>
      </c>
      <c r="D73" t="str">
        <f t="shared" si="31"/>
        <v>73185</v>
      </c>
      <c r="E73" t="str">
        <f t="shared" si="32"/>
        <v>KFH-OPERATIONS DEPARTMENT</v>
      </c>
      <c r="F73" t="str">
        <f t="shared" si="33"/>
        <v>IBG</v>
      </c>
      <c r="G73" t="str">
        <f t="shared" si="34"/>
        <v>Refund COSHARE 10</v>
      </c>
      <c r="H73" s="2">
        <v>930.95</v>
      </c>
      <c r="I73" t="str">
        <f>"NORAIDA BINTI NANUDIN  NORDIN"</f>
        <v>NORAIDA BINTI NANUDIN  NORDIN</v>
      </c>
      <c r="J73" t="str">
        <f t="shared" si="35"/>
        <v>BANK ISLAM BHD</v>
      </c>
      <c r="K73" t="str">
        <f>"12122020098988"</f>
        <v>12122020098988</v>
      </c>
      <c r="L73" t="str">
        <f t="shared" si="27"/>
        <v>04-08-2020</v>
      </c>
      <c r="M73" t="str">
        <f t="shared" si="27"/>
        <v>04-08-2020</v>
      </c>
      <c r="N73" t="str">
        <f t="shared" si="36"/>
        <v>001105018356</v>
      </c>
      <c r="O73" t="str">
        <f t="shared" si="37"/>
        <v>MYR</v>
      </c>
      <c r="P73" t="str">
        <f t="shared" si="28"/>
        <v>NIL</v>
      </c>
      <c r="Q73" t="str">
        <f t="shared" si="28"/>
        <v>NIL</v>
      </c>
      <c r="R73" t="str">
        <f t="shared" si="38"/>
        <v>Accepted</v>
      </c>
      <c r="S73" t="str">
        <f t="shared" si="39"/>
        <v>Approved</v>
      </c>
      <c r="T73" t="str">
        <f t="shared" si="40"/>
        <v>10.20.8.188</v>
      </c>
      <c r="U73" t="str">
        <f t="shared" si="41"/>
        <v>AZRAD UMAR BIN SHAARI</v>
      </c>
      <c r="V73" t="str">
        <f t="shared" si="42"/>
        <v>FARHANA BINTI MUSTAPA</v>
      </c>
      <c r="W73" t="str">
        <f t="shared" si="43"/>
        <v>04-08-2020</v>
      </c>
      <c r="X73" t="str">
        <f t="shared" si="44"/>
        <v>RAZIMAH ANSAR AHMAD</v>
      </c>
      <c r="Y73" t="str">
        <f t="shared" si="45"/>
        <v>04-08-2020</v>
      </c>
      <c r="Z73" t="str">
        <f>"COS10200804 534"</f>
        <v>COS10200804 534</v>
      </c>
    </row>
    <row r="74" spans="1:26" x14ac:dyDescent="0.25">
      <c r="A74" t="str">
        <f t="shared" si="29"/>
        <v>04-08-2020 02:12:40</v>
      </c>
      <c r="B74" t="str">
        <f>"0000810924"</f>
        <v>0000810924</v>
      </c>
      <c r="C74" t="str">
        <f t="shared" si="30"/>
        <v>0000810791</v>
      </c>
      <c r="D74" t="str">
        <f t="shared" si="31"/>
        <v>73185</v>
      </c>
      <c r="E74" t="str">
        <f t="shared" si="32"/>
        <v>KFH-OPERATIONS DEPARTMENT</v>
      </c>
      <c r="F74" t="str">
        <f t="shared" si="33"/>
        <v>IBG</v>
      </c>
      <c r="G74" t="str">
        <f t="shared" si="34"/>
        <v>Refund COSHARE 10</v>
      </c>
      <c r="H74" s="2">
        <v>587.65</v>
      </c>
      <c r="I74" t="str">
        <f>"NOR ZURIANA BINTI ZAID"</f>
        <v>NOR ZURIANA BINTI ZAID</v>
      </c>
      <c r="J74" t="str">
        <f t="shared" si="35"/>
        <v>BANK ISLAM BHD</v>
      </c>
      <c r="K74" t="str">
        <f>"01014020478829"</f>
        <v>01014020478829</v>
      </c>
      <c r="L74" t="str">
        <f t="shared" si="27"/>
        <v>04-08-2020</v>
      </c>
      <c r="M74" t="str">
        <f t="shared" si="27"/>
        <v>04-08-2020</v>
      </c>
      <c r="N74" t="str">
        <f t="shared" si="36"/>
        <v>001105018356</v>
      </c>
      <c r="O74" t="str">
        <f t="shared" si="37"/>
        <v>MYR</v>
      </c>
      <c r="P74" t="str">
        <f t="shared" si="28"/>
        <v>NIL</v>
      </c>
      <c r="Q74" t="str">
        <f t="shared" si="28"/>
        <v>NIL</v>
      </c>
      <c r="R74" t="str">
        <f t="shared" si="38"/>
        <v>Accepted</v>
      </c>
      <c r="S74" t="str">
        <f t="shared" si="39"/>
        <v>Approved</v>
      </c>
      <c r="T74" t="str">
        <f t="shared" si="40"/>
        <v>10.20.8.188</v>
      </c>
      <c r="U74" t="str">
        <f t="shared" si="41"/>
        <v>AZRAD UMAR BIN SHAARI</v>
      </c>
      <c r="V74" t="str">
        <f t="shared" si="42"/>
        <v>FARHANA BINTI MUSTAPA</v>
      </c>
      <c r="W74" t="str">
        <f t="shared" si="43"/>
        <v>04-08-2020</v>
      </c>
      <c r="X74" t="str">
        <f t="shared" si="44"/>
        <v>RAZIMAH ANSAR AHMAD</v>
      </c>
      <c r="Y74" t="str">
        <f t="shared" si="45"/>
        <v>04-08-2020</v>
      </c>
      <c r="Z74" t="str">
        <f>"COS10200804 533"</f>
        <v>COS10200804 533</v>
      </c>
    </row>
    <row r="75" spans="1:26" x14ac:dyDescent="0.25">
      <c r="A75" t="str">
        <f t="shared" si="29"/>
        <v>04-08-2020 02:12:40</v>
      </c>
      <c r="B75" t="str">
        <f>"0000810923"</f>
        <v>0000810923</v>
      </c>
      <c r="C75" t="str">
        <f t="shared" si="30"/>
        <v>0000810791</v>
      </c>
      <c r="D75" t="str">
        <f t="shared" si="31"/>
        <v>73185</v>
      </c>
      <c r="E75" t="str">
        <f t="shared" si="32"/>
        <v>KFH-OPERATIONS DEPARTMENT</v>
      </c>
      <c r="F75" t="str">
        <f t="shared" si="33"/>
        <v>IBG</v>
      </c>
      <c r="G75" t="str">
        <f t="shared" si="34"/>
        <v>Refund COSHARE 10</v>
      </c>
      <c r="H75" s="2">
        <v>319</v>
      </c>
      <c r="I75" t="str">
        <f>"NOR ZAKIAH BINTI HARUN"</f>
        <v>NOR ZAKIAH BINTI HARUN</v>
      </c>
      <c r="J75" t="str">
        <f t="shared" si="35"/>
        <v>BANK ISLAM BHD</v>
      </c>
      <c r="K75" t="str">
        <f>"02057020126744"</f>
        <v>02057020126744</v>
      </c>
      <c r="L75" t="str">
        <f t="shared" si="27"/>
        <v>04-08-2020</v>
      </c>
      <c r="M75" t="str">
        <f t="shared" si="27"/>
        <v>04-08-2020</v>
      </c>
      <c r="N75" t="str">
        <f t="shared" si="36"/>
        <v>001105018356</v>
      </c>
      <c r="O75" t="str">
        <f t="shared" si="37"/>
        <v>MYR</v>
      </c>
      <c r="P75" t="str">
        <f t="shared" si="28"/>
        <v>NIL</v>
      </c>
      <c r="Q75" t="str">
        <f t="shared" si="28"/>
        <v>NIL</v>
      </c>
      <c r="R75" t="str">
        <f t="shared" si="38"/>
        <v>Accepted</v>
      </c>
      <c r="S75" t="str">
        <f t="shared" si="39"/>
        <v>Approved</v>
      </c>
      <c r="T75" t="str">
        <f t="shared" si="40"/>
        <v>10.20.8.188</v>
      </c>
      <c r="U75" t="str">
        <f t="shared" si="41"/>
        <v>AZRAD UMAR BIN SHAARI</v>
      </c>
      <c r="V75" t="str">
        <f t="shared" si="42"/>
        <v>FARHANA BINTI MUSTAPA</v>
      </c>
      <c r="W75" t="str">
        <f t="shared" si="43"/>
        <v>04-08-2020</v>
      </c>
      <c r="X75" t="str">
        <f t="shared" si="44"/>
        <v>RAZIMAH ANSAR AHMAD</v>
      </c>
      <c r="Y75" t="str">
        <f t="shared" si="45"/>
        <v>04-08-2020</v>
      </c>
      <c r="Z75" t="str">
        <f>"COS10200804 532"</f>
        <v>COS10200804 532</v>
      </c>
    </row>
    <row r="76" spans="1:26" x14ac:dyDescent="0.25">
      <c r="A76" t="str">
        <f t="shared" si="29"/>
        <v>04-08-2020 02:12:40</v>
      </c>
      <c r="B76" t="str">
        <f>"0000810922"</f>
        <v>0000810922</v>
      </c>
      <c r="C76" t="str">
        <f t="shared" si="30"/>
        <v>0000810791</v>
      </c>
      <c r="D76" t="str">
        <f t="shared" si="31"/>
        <v>73185</v>
      </c>
      <c r="E76" t="str">
        <f t="shared" si="32"/>
        <v>KFH-OPERATIONS DEPARTMENT</v>
      </c>
      <c r="F76" t="str">
        <f t="shared" si="33"/>
        <v>IBG</v>
      </c>
      <c r="G76" t="str">
        <f t="shared" si="34"/>
        <v>Refund COSHARE 10</v>
      </c>
      <c r="H76" s="2">
        <v>205.1</v>
      </c>
      <c r="I76" t="str">
        <f>"NOR SUZANA BINTI ABD RAHIM"</f>
        <v>NOR SUZANA BINTI ABD RAHIM</v>
      </c>
      <c r="J76" t="str">
        <f t="shared" si="35"/>
        <v>BANK ISLAM BHD</v>
      </c>
      <c r="K76" t="str">
        <f>"08068020298689"</f>
        <v>08068020298689</v>
      </c>
      <c r="L76" t="str">
        <f t="shared" si="27"/>
        <v>04-08-2020</v>
      </c>
      <c r="M76" t="str">
        <f t="shared" si="27"/>
        <v>04-08-2020</v>
      </c>
      <c r="N76" t="str">
        <f t="shared" si="36"/>
        <v>001105018356</v>
      </c>
      <c r="O76" t="str">
        <f t="shared" si="37"/>
        <v>MYR</v>
      </c>
      <c r="P76" t="str">
        <f t="shared" si="28"/>
        <v>NIL</v>
      </c>
      <c r="Q76" t="str">
        <f t="shared" si="28"/>
        <v>NIL</v>
      </c>
      <c r="R76" t="str">
        <f t="shared" si="38"/>
        <v>Accepted</v>
      </c>
      <c r="S76" t="str">
        <f t="shared" si="39"/>
        <v>Approved</v>
      </c>
      <c r="T76" t="str">
        <f t="shared" si="40"/>
        <v>10.20.8.188</v>
      </c>
      <c r="U76" t="str">
        <f t="shared" si="41"/>
        <v>AZRAD UMAR BIN SHAARI</v>
      </c>
      <c r="V76" t="str">
        <f t="shared" si="42"/>
        <v>FARHANA BINTI MUSTAPA</v>
      </c>
      <c r="W76" t="str">
        <f t="shared" si="43"/>
        <v>04-08-2020</v>
      </c>
      <c r="X76" t="str">
        <f t="shared" si="44"/>
        <v>RAZIMAH ANSAR AHMAD</v>
      </c>
      <c r="Y76" t="str">
        <f t="shared" si="45"/>
        <v>04-08-2020</v>
      </c>
      <c r="Z76" t="str">
        <f>"COS10200804 531"</f>
        <v>COS10200804 531</v>
      </c>
    </row>
    <row r="77" spans="1:26" x14ac:dyDescent="0.25">
      <c r="A77" t="str">
        <f t="shared" si="29"/>
        <v>04-08-2020 02:12:40</v>
      </c>
      <c r="B77" t="str">
        <f>"0000810921"</f>
        <v>0000810921</v>
      </c>
      <c r="C77" t="str">
        <f t="shared" si="30"/>
        <v>0000810791</v>
      </c>
      <c r="D77" t="str">
        <f t="shared" si="31"/>
        <v>73185</v>
      </c>
      <c r="E77" t="str">
        <f t="shared" si="32"/>
        <v>KFH-OPERATIONS DEPARTMENT</v>
      </c>
      <c r="F77" t="str">
        <f t="shared" si="33"/>
        <v>IBG</v>
      </c>
      <c r="G77" t="str">
        <f t="shared" si="34"/>
        <v>Refund COSHARE 10</v>
      </c>
      <c r="H77" s="2">
        <v>100.75</v>
      </c>
      <c r="I77" t="str">
        <f>"NOR SHUHADA BINTI HASHIM"</f>
        <v>NOR SHUHADA BINTI HASHIM</v>
      </c>
      <c r="J77" t="str">
        <f t="shared" si="35"/>
        <v>BANK ISLAM BHD</v>
      </c>
      <c r="K77" t="str">
        <f>"12029020648590"</f>
        <v>12029020648590</v>
      </c>
      <c r="L77" t="str">
        <f t="shared" si="27"/>
        <v>04-08-2020</v>
      </c>
      <c r="M77" t="str">
        <f t="shared" si="27"/>
        <v>04-08-2020</v>
      </c>
      <c r="N77" t="str">
        <f t="shared" si="36"/>
        <v>001105018356</v>
      </c>
      <c r="O77" t="str">
        <f t="shared" si="37"/>
        <v>MYR</v>
      </c>
      <c r="P77" t="str">
        <f t="shared" si="28"/>
        <v>NIL</v>
      </c>
      <c r="Q77" t="str">
        <f t="shared" si="28"/>
        <v>NIL</v>
      </c>
      <c r="R77" t="str">
        <f t="shared" si="38"/>
        <v>Accepted</v>
      </c>
      <c r="S77" t="str">
        <f t="shared" si="39"/>
        <v>Approved</v>
      </c>
      <c r="T77" t="str">
        <f t="shared" si="40"/>
        <v>10.20.8.188</v>
      </c>
      <c r="U77" t="str">
        <f t="shared" si="41"/>
        <v>AZRAD UMAR BIN SHAARI</v>
      </c>
      <c r="V77" t="str">
        <f t="shared" si="42"/>
        <v>FARHANA BINTI MUSTAPA</v>
      </c>
      <c r="W77" t="str">
        <f t="shared" si="43"/>
        <v>04-08-2020</v>
      </c>
      <c r="X77" t="str">
        <f t="shared" si="44"/>
        <v>RAZIMAH ANSAR AHMAD</v>
      </c>
      <c r="Y77" t="str">
        <f t="shared" si="45"/>
        <v>04-08-2020</v>
      </c>
      <c r="Z77" t="str">
        <f>"COS10200804 530"</f>
        <v>COS10200804 530</v>
      </c>
    </row>
    <row r="78" spans="1:26" x14ac:dyDescent="0.25">
      <c r="A78" t="str">
        <f t="shared" si="29"/>
        <v>04-08-2020 02:12:40</v>
      </c>
      <c r="B78" t="str">
        <f>"0000810920"</f>
        <v>0000810920</v>
      </c>
      <c r="C78" t="str">
        <f t="shared" si="30"/>
        <v>0000810791</v>
      </c>
      <c r="D78" t="str">
        <f t="shared" si="31"/>
        <v>73185</v>
      </c>
      <c r="E78" t="str">
        <f t="shared" si="32"/>
        <v>KFH-OPERATIONS DEPARTMENT</v>
      </c>
      <c r="F78" t="str">
        <f t="shared" si="33"/>
        <v>IBG</v>
      </c>
      <c r="G78" t="str">
        <f t="shared" si="34"/>
        <v>Refund COSHARE 10</v>
      </c>
      <c r="H78" s="2">
        <v>1091.3499999999999</v>
      </c>
      <c r="I78" t="str">
        <f>"NOR MARDHIAH BINTI TAHA"</f>
        <v>NOR MARDHIAH BINTI TAHA</v>
      </c>
      <c r="J78" t="str">
        <f t="shared" si="35"/>
        <v>BANK ISLAM BHD</v>
      </c>
      <c r="K78" t="str">
        <f>"13053020208680"</f>
        <v>13053020208680</v>
      </c>
      <c r="L78" t="str">
        <f t="shared" si="27"/>
        <v>04-08-2020</v>
      </c>
      <c r="M78" t="str">
        <f t="shared" si="27"/>
        <v>04-08-2020</v>
      </c>
      <c r="N78" t="str">
        <f t="shared" si="36"/>
        <v>001105018356</v>
      </c>
      <c r="O78" t="str">
        <f t="shared" si="37"/>
        <v>MYR</v>
      </c>
      <c r="P78" t="str">
        <f t="shared" si="28"/>
        <v>NIL</v>
      </c>
      <c r="Q78" t="str">
        <f t="shared" si="28"/>
        <v>NIL</v>
      </c>
      <c r="R78" t="str">
        <f t="shared" si="38"/>
        <v>Accepted</v>
      </c>
      <c r="S78" t="str">
        <f t="shared" si="39"/>
        <v>Approved</v>
      </c>
      <c r="T78" t="str">
        <f t="shared" si="40"/>
        <v>10.20.8.188</v>
      </c>
      <c r="U78" t="str">
        <f t="shared" si="41"/>
        <v>AZRAD UMAR BIN SHAARI</v>
      </c>
      <c r="V78" t="str">
        <f t="shared" si="42"/>
        <v>FARHANA BINTI MUSTAPA</v>
      </c>
      <c r="W78" t="str">
        <f t="shared" si="43"/>
        <v>04-08-2020</v>
      </c>
      <c r="X78" t="str">
        <f t="shared" si="44"/>
        <v>RAZIMAH ANSAR AHMAD</v>
      </c>
      <c r="Y78" t="str">
        <f t="shared" si="45"/>
        <v>04-08-2020</v>
      </c>
      <c r="Z78" t="str">
        <f>"COS10200804 529"</f>
        <v>COS10200804 529</v>
      </c>
    </row>
    <row r="79" spans="1:26" x14ac:dyDescent="0.25">
      <c r="A79" t="str">
        <f t="shared" si="29"/>
        <v>04-08-2020 02:12:40</v>
      </c>
      <c r="B79" t="str">
        <f>"0000810919"</f>
        <v>0000810919</v>
      </c>
      <c r="C79" t="str">
        <f t="shared" si="30"/>
        <v>0000810791</v>
      </c>
      <c r="D79" t="str">
        <f t="shared" si="31"/>
        <v>73185</v>
      </c>
      <c r="E79" t="str">
        <f t="shared" si="32"/>
        <v>KFH-OPERATIONS DEPARTMENT</v>
      </c>
      <c r="F79" t="str">
        <f t="shared" si="33"/>
        <v>IBG</v>
      </c>
      <c r="G79" t="str">
        <f t="shared" si="34"/>
        <v>Refund COSHARE 10</v>
      </c>
      <c r="H79" s="2">
        <v>676</v>
      </c>
      <c r="I79" t="str">
        <f>"NOR HASWATY BINTI CHE HASHIM"</f>
        <v>NOR HASWATY BINTI CHE HASHIM</v>
      </c>
      <c r="J79" t="str">
        <f t="shared" si="35"/>
        <v>BANK ISLAM BHD</v>
      </c>
      <c r="K79" t="str">
        <f>"03018021195186"</f>
        <v>03018021195186</v>
      </c>
      <c r="L79" t="str">
        <f t="shared" si="27"/>
        <v>04-08-2020</v>
      </c>
      <c r="M79" t="str">
        <f t="shared" si="27"/>
        <v>04-08-2020</v>
      </c>
      <c r="N79" t="str">
        <f t="shared" si="36"/>
        <v>001105018356</v>
      </c>
      <c r="O79" t="str">
        <f t="shared" si="37"/>
        <v>MYR</v>
      </c>
      <c r="P79" t="str">
        <f t="shared" si="28"/>
        <v>NIL</v>
      </c>
      <c r="Q79" t="str">
        <f t="shared" si="28"/>
        <v>NIL</v>
      </c>
      <c r="R79" t="str">
        <f t="shared" si="38"/>
        <v>Accepted</v>
      </c>
      <c r="S79" t="str">
        <f t="shared" si="39"/>
        <v>Approved</v>
      </c>
      <c r="T79" t="str">
        <f t="shared" si="40"/>
        <v>10.20.8.188</v>
      </c>
      <c r="U79" t="str">
        <f t="shared" si="41"/>
        <v>AZRAD UMAR BIN SHAARI</v>
      </c>
      <c r="V79" t="str">
        <f t="shared" si="42"/>
        <v>FARHANA BINTI MUSTAPA</v>
      </c>
      <c r="W79" t="str">
        <f t="shared" si="43"/>
        <v>04-08-2020</v>
      </c>
      <c r="X79" t="str">
        <f t="shared" si="44"/>
        <v>RAZIMAH ANSAR AHMAD</v>
      </c>
      <c r="Y79" t="str">
        <f t="shared" si="45"/>
        <v>04-08-2020</v>
      </c>
      <c r="Z79" t="str">
        <f>"COS10200804 528"</f>
        <v>COS10200804 528</v>
      </c>
    </row>
    <row r="80" spans="1:26" x14ac:dyDescent="0.25">
      <c r="A80" t="str">
        <f t="shared" si="29"/>
        <v>04-08-2020 02:12:40</v>
      </c>
      <c r="B80" t="str">
        <f>"0000810918"</f>
        <v>0000810918</v>
      </c>
      <c r="C80" t="str">
        <f t="shared" si="30"/>
        <v>0000810791</v>
      </c>
      <c r="D80" t="str">
        <f t="shared" si="31"/>
        <v>73185</v>
      </c>
      <c r="E80" t="str">
        <f t="shared" si="32"/>
        <v>KFH-OPERATIONS DEPARTMENT</v>
      </c>
      <c r="F80" t="str">
        <f t="shared" si="33"/>
        <v>IBG</v>
      </c>
      <c r="G80" t="str">
        <f t="shared" si="34"/>
        <v>Refund COSHARE 10</v>
      </c>
      <c r="H80" s="2">
        <v>744</v>
      </c>
      <c r="I80" t="str">
        <f>"NOR HASLINDA BINTI ABD JAMIL"</f>
        <v>NOR HASLINDA BINTI ABD JAMIL</v>
      </c>
      <c r="J80" t="str">
        <f t="shared" si="35"/>
        <v>BANK ISLAM BHD</v>
      </c>
      <c r="K80" t="str">
        <f>"12122020097837"</f>
        <v>12122020097837</v>
      </c>
      <c r="L80" t="str">
        <f t="shared" si="27"/>
        <v>04-08-2020</v>
      </c>
      <c r="M80" t="str">
        <f t="shared" si="27"/>
        <v>04-08-2020</v>
      </c>
      <c r="N80" t="str">
        <f t="shared" si="36"/>
        <v>001105018356</v>
      </c>
      <c r="O80" t="str">
        <f t="shared" si="37"/>
        <v>MYR</v>
      </c>
      <c r="P80" t="str">
        <f t="shared" si="28"/>
        <v>NIL</v>
      </c>
      <c r="Q80" t="str">
        <f t="shared" si="28"/>
        <v>NIL</v>
      </c>
      <c r="R80" t="str">
        <f t="shared" si="38"/>
        <v>Accepted</v>
      </c>
      <c r="S80" t="str">
        <f t="shared" si="39"/>
        <v>Approved</v>
      </c>
      <c r="T80" t="str">
        <f t="shared" si="40"/>
        <v>10.20.8.188</v>
      </c>
      <c r="U80" t="str">
        <f t="shared" si="41"/>
        <v>AZRAD UMAR BIN SHAARI</v>
      </c>
      <c r="V80" t="str">
        <f t="shared" si="42"/>
        <v>FARHANA BINTI MUSTAPA</v>
      </c>
      <c r="W80" t="str">
        <f t="shared" si="43"/>
        <v>04-08-2020</v>
      </c>
      <c r="X80" t="str">
        <f t="shared" si="44"/>
        <v>RAZIMAH ANSAR AHMAD</v>
      </c>
      <c r="Y80" t="str">
        <f t="shared" si="45"/>
        <v>04-08-2020</v>
      </c>
      <c r="Z80" t="str">
        <f>"COS10200804 527"</f>
        <v>COS10200804 527</v>
      </c>
    </row>
    <row r="81" spans="1:26" x14ac:dyDescent="0.25">
      <c r="A81" t="str">
        <f t="shared" si="29"/>
        <v>04-08-2020 02:12:40</v>
      </c>
      <c r="B81" t="str">
        <f>"0000810917"</f>
        <v>0000810917</v>
      </c>
      <c r="C81" t="str">
        <f t="shared" si="30"/>
        <v>0000810791</v>
      </c>
      <c r="D81" t="str">
        <f t="shared" si="31"/>
        <v>73185</v>
      </c>
      <c r="E81" t="str">
        <f t="shared" si="32"/>
        <v>KFH-OPERATIONS DEPARTMENT</v>
      </c>
      <c r="F81" t="str">
        <f t="shared" si="33"/>
        <v>IBG</v>
      </c>
      <c r="G81" t="str">
        <f t="shared" si="34"/>
        <v>Refund COSHARE 10</v>
      </c>
      <c r="H81" s="2">
        <v>209.9</v>
      </c>
      <c r="I81" t="str">
        <f>"NOR HANANI BINTI MOHD NOOR"</f>
        <v>NOR HANANI BINTI MOHD NOOR</v>
      </c>
      <c r="J81" t="str">
        <f t="shared" si="35"/>
        <v>BANK ISLAM BHD</v>
      </c>
      <c r="K81" t="str">
        <f>"03045020013053"</f>
        <v>03045020013053</v>
      </c>
      <c r="L81" t="str">
        <f t="shared" si="27"/>
        <v>04-08-2020</v>
      </c>
      <c r="M81" t="str">
        <f t="shared" si="27"/>
        <v>04-08-2020</v>
      </c>
      <c r="N81" t="str">
        <f t="shared" si="36"/>
        <v>001105018356</v>
      </c>
      <c r="O81" t="str">
        <f t="shared" si="37"/>
        <v>MYR</v>
      </c>
      <c r="P81" t="str">
        <f t="shared" si="28"/>
        <v>NIL</v>
      </c>
      <c r="Q81" t="str">
        <f t="shared" si="28"/>
        <v>NIL</v>
      </c>
      <c r="R81" t="str">
        <f t="shared" si="38"/>
        <v>Accepted</v>
      </c>
      <c r="S81" t="str">
        <f t="shared" si="39"/>
        <v>Approved</v>
      </c>
      <c r="T81" t="str">
        <f t="shared" si="40"/>
        <v>10.20.8.188</v>
      </c>
      <c r="U81" t="str">
        <f t="shared" si="41"/>
        <v>AZRAD UMAR BIN SHAARI</v>
      </c>
      <c r="V81" t="str">
        <f t="shared" si="42"/>
        <v>FARHANA BINTI MUSTAPA</v>
      </c>
      <c r="W81" t="str">
        <f t="shared" si="43"/>
        <v>04-08-2020</v>
      </c>
      <c r="X81" t="str">
        <f t="shared" si="44"/>
        <v>RAZIMAH ANSAR AHMAD</v>
      </c>
      <c r="Y81" t="str">
        <f t="shared" si="45"/>
        <v>04-08-2020</v>
      </c>
      <c r="Z81" t="str">
        <f>"COS10200804 526"</f>
        <v>COS10200804 526</v>
      </c>
    </row>
    <row r="82" spans="1:26" x14ac:dyDescent="0.25">
      <c r="A82" t="str">
        <f t="shared" si="29"/>
        <v>04-08-2020 02:12:40</v>
      </c>
      <c r="B82" t="str">
        <f>"0000810916"</f>
        <v>0000810916</v>
      </c>
      <c r="C82" t="str">
        <f t="shared" si="30"/>
        <v>0000810791</v>
      </c>
      <c r="D82" t="str">
        <f t="shared" si="31"/>
        <v>73185</v>
      </c>
      <c r="E82" t="str">
        <f t="shared" si="32"/>
        <v>KFH-OPERATIONS DEPARTMENT</v>
      </c>
      <c r="F82" t="str">
        <f t="shared" si="33"/>
        <v>IBG</v>
      </c>
      <c r="G82" t="str">
        <f t="shared" si="34"/>
        <v>Refund COSHARE 10</v>
      </c>
      <c r="H82" s="2">
        <v>370</v>
      </c>
      <c r="I82" t="str">
        <f>"NOR FAZILAH BINTI ABDUL RAHIM"</f>
        <v>NOR FAZILAH BINTI ABDUL RAHIM</v>
      </c>
      <c r="J82" t="str">
        <f t="shared" si="35"/>
        <v>BANK ISLAM BHD</v>
      </c>
      <c r="K82" t="str">
        <f>"06055020137901"</f>
        <v>06055020137901</v>
      </c>
      <c r="L82" t="str">
        <f t="shared" si="27"/>
        <v>04-08-2020</v>
      </c>
      <c r="M82" t="str">
        <f t="shared" si="27"/>
        <v>04-08-2020</v>
      </c>
      <c r="N82" t="str">
        <f t="shared" si="36"/>
        <v>001105018356</v>
      </c>
      <c r="O82" t="str">
        <f t="shared" si="37"/>
        <v>MYR</v>
      </c>
      <c r="P82" t="str">
        <f t="shared" si="28"/>
        <v>NIL</v>
      </c>
      <c r="Q82" t="str">
        <f t="shared" si="28"/>
        <v>NIL</v>
      </c>
      <c r="R82" t="str">
        <f t="shared" si="38"/>
        <v>Accepted</v>
      </c>
      <c r="S82" t="str">
        <f t="shared" si="39"/>
        <v>Approved</v>
      </c>
      <c r="T82" t="str">
        <f t="shared" si="40"/>
        <v>10.20.8.188</v>
      </c>
      <c r="U82" t="str">
        <f t="shared" si="41"/>
        <v>AZRAD UMAR BIN SHAARI</v>
      </c>
      <c r="V82" t="str">
        <f t="shared" si="42"/>
        <v>FARHANA BINTI MUSTAPA</v>
      </c>
      <c r="W82" t="str">
        <f t="shared" si="43"/>
        <v>04-08-2020</v>
      </c>
      <c r="X82" t="str">
        <f t="shared" si="44"/>
        <v>RAZIMAH ANSAR AHMAD</v>
      </c>
      <c r="Y82" t="str">
        <f t="shared" si="45"/>
        <v>04-08-2020</v>
      </c>
      <c r="Z82" t="str">
        <f>"COS10200804 525"</f>
        <v>COS10200804 525</v>
      </c>
    </row>
    <row r="83" spans="1:26" x14ac:dyDescent="0.25">
      <c r="A83" t="str">
        <f t="shared" si="29"/>
        <v>04-08-2020 02:12:40</v>
      </c>
      <c r="B83" t="str">
        <f>"0000810915"</f>
        <v>0000810915</v>
      </c>
      <c r="C83" t="str">
        <f t="shared" si="30"/>
        <v>0000810791</v>
      </c>
      <c r="D83" t="str">
        <f t="shared" si="31"/>
        <v>73185</v>
      </c>
      <c r="E83" t="str">
        <f t="shared" si="32"/>
        <v>KFH-OPERATIONS DEPARTMENT</v>
      </c>
      <c r="F83" t="str">
        <f t="shared" si="33"/>
        <v>IBG</v>
      </c>
      <c r="G83" t="str">
        <f t="shared" si="34"/>
        <v>Refund COSHARE 10</v>
      </c>
      <c r="H83" s="2">
        <v>486</v>
      </c>
      <c r="I83" t="str">
        <f>"NOR FADHILA BINTI CHE AHMED"</f>
        <v>NOR FADHILA BINTI CHE AHMED</v>
      </c>
      <c r="J83" t="str">
        <f t="shared" si="35"/>
        <v>BANK ISLAM BHD</v>
      </c>
      <c r="K83" t="str">
        <f>"06055020284506"</f>
        <v>06055020284506</v>
      </c>
      <c r="L83" t="str">
        <f t="shared" si="27"/>
        <v>04-08-2020</v>
      </c>
      <c r="M83" t="str">
        <f t="shared" si="27"/>
        <v>04-08-2020</v>
      </c>
      <c r="N83" t="str">
        <f t="shared" si="36"/>
        <v>001105018356</v>
      </c>
      <c r="O83" t="str">
        <f t="shared" si="37"/>
        <v>MYR</v>
      </c>
      <c r="P83" t="str">
        <f t="shared" si="28"/>
        <v>NIL</v>
      </c>
      <c r="Q83" t="str">
        <f t="shared" si="28"/>
        <v>NIL</v>
      </c>
      <c r="R83" t="str">
        <f t="shared" si="38"/>
        <v>Accepted</v>
      </c>
      <c r="S83" t="str">
        <f t="shared" si="39"/>
        <v>Approved</v>
      </c>
      <c r="T83" t="str">
        <f t="shared" si="40"/>
        <v>10.20.8.188</v>
      </c>
      <c r="U83" t="str">
        <f t="shared" si="41"/>
        <v>AZRAD UMAR BIN SHAARI</v>
      </c>
      <c r="V83" t="str">
        <f t="shared" si="42"/>
        <v>FARHANA BINTI MUSTAPA</v>
      </c>
      <c r="W83" t="str">
        <f t="shared" si="43"/>
        <v>04-08-2020</v>
      </c>
      <c r="X83" t="str">
        <f t="shared" si="44"/>
        <v>RAZIMAH ANSAR AHMAD</v>
      </c>
      <c r="Y83" t="str">
        <f t="shared" si="45"/>
        <v>04-08-2020</v>
      </c>
      <c r="Z83" t="str">
        <f>"COS10200804 524"</f>
        <v>COS10200804 524</v>
      </c>
    </row>
    <row r="84" spans="1:26" x14ac:dyDescent="0.25">
      <c r="A84" t="str">
        <f t="shared" si="29"/>
        <v>04-08-2020 02:12:40</v>
      </c>
      <c r="B84" t="str">
        <f>"0000810914"</f>
        <v>0000810914</v>
      </c>
      <c r="C84" t="str">
        <f t="shared" si="30"/>
        <v>0000810791</v>
      </c>
      <c r="D84" t="str">
        <f t="shared" si="31"/>
        <v>73185</v>
      </c>
      <c r="E84" t="str">
        <f t="shared" si="32"/>
        <v>KFH-OPERATIONS DEPARTMENT</v>
      </c>
      <c r="F84" t="str">
        <f t="shared" si="33"/>
        <v>IBG</v>
      </c>
      <c r="G84" t="str">
        <f t="shared" si="34"/>
        <v>Refund COSHARE 10</v>
      </c>
      <c r="H84" s="2">
        <v>839.5</v>
      </c>
      <c r="I84" t="str">
        <f>"NOR ESMAYA BINTI AHMAD"</f>
        <v>NOR ESMAYA BINTI AHMAD</v>
      </c>
      <c r="J84" t="str">
        <f t="shared" si="35"/>
        <v>BANK ISLAM BHD</v>
      </c>
      <c r="K84" t="str">
        <f>"16018020192777"</f>
        <v>16018020192777</v>
      </c>
      <c r="L84" t="str">
        <f t="shared" si="27"/>
        <v>04-08-2020</v>
      </c>
      <c r="M84" t="str">
        <f t="shared" si="27"/>
        <v>04-08-2020</v>
      </c>
      <c r="N84" t="str">
        <f t="shared" si="36"/>
        <v>001105018356</v>
      </c>
      <c r="O84" t="str">
        <f t="shared" si="37"/>
        <v>MYR</v>
      </c>
      <c r="P84" t="str">
        <f t="shared" si="28"/>
        <v>NIL</v>
      </c>
      <c r="Q84" t="str">
        <f t="shared" si="28"/>
        <v>NIL</v>
      </c>
      <c r="R84" t="str">
        <f t="shared" si="38"/>
        <v>Accepted</v>
      </c>
      <c r="S84" t="str">
        <f t="shared" si="39"/>
        <v>Approved</v>
      </c>
      <c r="T84" t="str">
        <f t="shared" si="40"/>
        <v>10.20.8.188</v>
      </c>
      <c r="U84" t="str">
        <f t="shared" si="41"/>
        <v>AZRAD UMAR BIN SHAARI</v>
      </c>
      <c r="V84" t="str">
        <f t="shared" si="42"/>
        <v>FARHANA BINTI MUSTAPA</v>
      </c>
      <c r="W84" t="str">
        <f t="shared" si="43"/>
        <v>04-08-2020</v>
      </c>
      <c r="X84" t="str">
        <f t="shared" si="44"/>
        <v>RAZIMAH ANSAR AHMAD</v>
      </c>
      <c r="Y84" t="str">
        <f t="shared" si="45"/>
        <v>04-08-2020</v>
      </c>
      <c r="Z84" t="str">
        <f>"COS10200804 523"</f>
        <v>COS10200804 523</v>
      </c>
    </row>
    <row r="85" spans="1:26" x14ac:dyDescent="0.25">
      <c r="A85" t="str">
        <f t="shared" si="29"/>
        <v>04-08-2020 02:12:40</v>
      </c>
      <c r="B85" t="str">
        <f>"0000810913"</f>
        <v>0000810913</v>
      </c>
      <c r="C85" t="str">
        <f t="shared" si="30"/>
        <v>0000810791</v>
      </c>
      <c r="D85" t="str">
        <f t="shared" si="31"/>
        <v>73185</v>
      </c>
      <c r="E85" t="str">
        <f t="shared" si="32"/>
        <v>KFH-OPERATIONS DEPARTMENT</v>
      </c>
      <c r="F85" t="str">
        <f t="shared" si="33"/>
        <v>IBG</v>
      </c>
      <c r="G85" t="str">
        <f t="shared" si="34"/>
        <v>Refund COSHARE 10</v>
      </c>
      <c r="H85" s="2">
        <v>151.15</v>
      </c>
      <c r="I85" t="str">
        <f>"NOR DIANA BINTI AMIRUDDIN"</f>
        <v>NOR DIANA BINTI AMIRUDDIN</v>
      </c>
      <c r="J85" t="str">
        <f t="shared" si="35"/>
        <v>BANK ISLAM BHD</v>
      </c>
      <c r="K85" t="str">
        <f>"03018021251156"</f>
        <v>03018021251156</v>
      </c>
      <c r="L85" t="str">
        <f t="shared" si="27"/>
        <v>04-08-2020</v>
      </c>
      <c r="M85" t="str">
        <f t="shared" si="27"/>
        <v>04-08-2020</v>
      </c>
      <c r="N85" t="str">
        <f t="shared" si="36"/>
        <v>001105018356</v>
      </c>
      <c r="O85" t="str">
        <f t="shared" si="37"/>
        <v>MYR</v>
      </c>
      <c r="P85" t="str">
        <f t="shared" si="28"/>
        <v>NIL</v>
      </c>
      <c r="Q85" t="str">
        <f t="shared" si="28"/>
        <v>NIL</v>
      </c>
      <c r="R85" t="str">
        <f t="shared" si="38"/>
        <v>Accepted</v>
      </c>
      <c r="S85" t="str">
        <f t="shared" si="39"/>
        <v>Approved</v>
      </c>
      <c r="T85" t="str">
        <f t="shared" si="40"/>
        <v>10.20.8.188</v>
      </c>
      <c r="U85" t="str">
        <f t="shared" si="41"/>
        <v>AZRAD UMAR BIN SHAARI</v>
      </c>
      <c r="V85" t="str">
        <f t="shared" si="42"/>
        <v>FARHANA BINTI MUSTAPA</v>
      </c>
      <c r="W85" t="str">
        <f t="shared" si="43"/>
        <v>04-08-2020</v>
      </c>
      <c r="X85" t="str">
        <f t="shared" si="44"/>
        <v>RAZIMAH ANSAR AHMAD</v>
      </c>
      <c r="Y85" t="str">
        <f t="shared" si="45"/>
        <v>04-08-2020</v>
      </c>
      <c r="Z85" t="str">
        <f>"COS10200804 522"</f>
        <v>COS10200804 522</v>
      </c>
    </row>
    <row r="86" spans="1:26" x14ac:dyDescent="0.25">
      <c r="A86" t="str">
        <f t="shared" si="29"/>
        <v>04-08-2020 02:12:40</v>
      </c>
      <c r="B86" t="str">
        <f>"0000810912"</f>
        <v>0000810912</v>
      </c>
      <c r="C86" t="str">
        <f t="shared" si="30"/>
        <v>0000810791</v>
      </c>
      <c r="D86" t="str">
        <f t="shared" si="31"/>
        <v>73185</v>
      </c>
      <c r="E86" t="str">
        <f t="shared" si="32"/>
        <v>KFH-OPERATIONS DEPARTMENT</v>
      </c>
      <c r="F86" t="str">
        <f t="shared" si="33"/>
        <v>IBG</v>
      </c>
      <c r="G86" t="str">
        <f t="shared" si="34"/>
        <v>Refund COSHARE 10</v>
      </c>
      <c r="H86" s="2">
        <v>965.45</v>
      </c>
      <c r="I86" t="str">
        <f>"NOR AZILAH BINTI ABDULL AZIZ"</f>
        <v>NOR AZILAH BINTI ABDULL AZIZ</v>
      </c>
      <c r="J86" t="str">
        <f t="shared" si="35"/>
        <v>BANK ISLAM BHD</v>
      </c>
      <c r="K86" t="str">
        <f>"12056022585342"</f>
        <v>12056022585342</v>
      </c>
      <c r="L86" t="str">
        <f t="shared" si="27"/>
        <v>04-08-2020</v>
      </c>
      <c r="M86" t="str">
        <f t="shared" si="27"/>
        <v>04-08-2020</v>
      </c>
      <c r="N86" t="str">
        <f t="shared" si="36"/>
        <v>001105018356</v>
      </c>
      <c r="O86" t="str">
        <f t="shared" si="37"/>
        <v>MYR</v>
      </c>
      <c r="P86" t="str">
        <f t="shared" si="28"/>
        <v>NIL</v>
      </c>
      <c r="Q86" t="str">
        <f t="shared" si="28"/>
        <v>NIL</v>
      </c>
      <c r="R86" t="str">
        <f t="shared" si="38"/>
        <v>Accepted</v>
      </c>
      <c r="S86" t="str">
        <f t="shared" si="39"/>
        <v>Approved</v>
      </c>
      <c r="T86" t="str">
        <f t="shared" si="40"/>
        <v>10.20.8.188</v>
      </c>
      <c r="U86" t="str">
        <f t="shared" si="41"/>
        <v>AZRAD UMAR BIN SHAARI</v>
      </c>
      <c r="V86" t="str">
        <f t="shared" si="42"/>
        <v>FARHANA BINTI MUSTAPA</v>
      </c>
      <c r="W86" t="str">
        <f t="shared" si="43"/>
        <v>04-08-2020</v>
      </c>
      <c r="X86" t="str">
        <f t="shared" si="44"/>
        <v>RAZIMAH ANSAR AHMAD</v>
      </c>
      <c r="Y86" t="str">
        <f t="shared" si="45"/>
        <v>04-08-2020</v>
      </c>
      <c r="Z86" t="str">
        <f>"COS10200804 521"</f>
        <v>COS10200804 521</v>
      </c>
    </row>
    <row r="87" spans="1:26" x14ac:dyDescent="0.25">
      <c r="A87" t="str">
        <f t="shared" si="29"/>
        <v>04-08-2020 02:12:40</v>
      </c>
      <c r="B87" t="str">
        <f>"0000810911"</f>
        <v>0000810911</v>
      </c>
      <c r="C87" t="str">
        <f t="shared" si="30"/>
        <v>0000810791</v>
      </c>
      <c r="D87" t="str">
        <f t="shared" si="31"/>
        <v>73185</v>
      </c>
      <c r="E87" t="str">
        <f t="shared" si="32"/>
        <v>KFH-OPERATIONS DEPARTMENT</v>
      </c>
      <c r="F87" t="str">
        <f t="shared" si="33"/>
        <v>IBG</v>
      </c>
      <c r="G87" t="str">
        <f t="shared" si="34"/>
        <v>Refund COSHARE 10</v>
      </c>
      <c r="H87" s="2">
        <v>1155.0999999999999</v>
      </c>
      <c r="I87" t="str">
        <f>"NOR AZIAN BINTI ABDULLAH"</f>
        <v>NOR AZIAN BINTI ABDULLAH</v>
      </c>
      <c r="J87" t="str">
        <f t="shared" si="35"/>
        <v>BANK ISLAM BHD</v>
      </c>
      <c r="K87" t="str">
        <f>"03063020060367"</f>
        <v>03063020060367</v>
      </c>
      <c r="L87" t="str">
        <f t="shared" ref="L87:M106" si="46">"04-08-2020"</f>
        <v>04-08-2020</v>
      </c>
      <c r="M87" t="str">
        <f t="shared" si="46"/>
        <v>04-08-2020</v>
      </c>
      <c r="N87" t="str">
        <f t="shared" si="36"/>
        <v>001105018356</v>
      </c>
      <c r="O87" t="str">
        <f t="shared" si="37"/>
        <v>MYR</v>
      </c>
      <c r="P87" t="str">
        <f t="shared" ref="P87:Q106" si="47">"NIL"</f>
        <v>NIL</v>
      </c>
      <c r="Q87" t="str">
        <f t="shared" si="47"/>
        <v>NIL</v>
      </c>
      <c r="R87" t="str">
        <f t="shared" si="38"/>
        <v>Accepted</v>
      </c>
      <c r="S87" t="str">
        <f t="shared" si="39"/>
        <v>Approved</v>
      </c>
      <c r="T87" t="str">
        <f t="shared" si="40"/>
        <v>10.20.8.188</v>
      </c>
      <c r="U87" t="str">
        <f t="shared" si="41"/>
        <v>AZRAD UMAR BIN SHAARI</v>
      </c>
      <c r="V87" t="str">
        <f t="shared" si="42"/>
        <v>FARHANA BINTI MUSTAPA</v>
      </c>
      <c r="W87" t="str">
        <f t="shared" si="43"/>
        <v>04-08-2020</v>
      </c>
      <c r="X87" t="str">
        <f t="shared" si="44"/>
        <v>RAZIMAH ANSAR AHMAD</v>
      </c>
      <c r="Y87" t="str">
        <f t="shared" si="45"/>
        <v>04-08-2020</v>
      </c>
      <c r="Z87" t="str">
        <f>"COS10200804 520"</f>
        <v>COS10200804 520</v>
      </c>
    </row>
    <row r="88" spans="1:26" x14ac:dyDescent="0.25">
      <c r="A88" t="str">
        <f t="shared" si="29"/>
        <v>04-08-2020 02:12:40</v>
      </c>
      <c r="B88" t="str">
        <f>"0000810910"</f>
        <v>0000810910</v>
      </c>
      <c r="C88" t="str">
        <f t="shared" si="30"/>
        <v>0000810791</v>
      </c>
      <c r="D88" t="str">
        <f t="shared" si="31"/>
        <v>73185</v>
      </c>
      <c r="E88" t="str">
        <f t="shared" si="32"/>
        <v>KFH-OPERATIONS DEPARTMENT</v>
      </c>
      <c r="F88" t="str">
        <f t="shared" si="33"/>
        <v>IBG</v>
      </c>
      <c r="G88" t="str">
        <f t="shared" si="34"/>
        <v>Refund COSHARE 10</v>
      </c>
      <c r="H88" s="2">
        <v>403</v>
      </c>
      <c r="I88" t="str">
        <f>"NOR AZELIN BINTI AZEMAN"</f>
        <v>NOR AZELIN BINTI AZEMAN</v>
      </c>
      <c r="J88" t="str">
        <f t="shared" si="35"/>
        <v>BANK ISLAM BHD</v>
      </c>
      <c r="K88" t="str">
        <f>"08040020037516"</f>
        <v>08040020037516</v>
      </c>
      <c r="L88" t="str">
        <f t="shared" si="46"/>
        <v>04-08-2020</v>
      </c>
      <c r="M88" t="str">
        <f t="shared" si="46"/>
        <v>04-08-2020</v>
      </c>
      <c r="N88" t="str">
        <f t="shared" si="36"/>
        <v>001105018356</v>
      </c>
      <c r="O88" t="str">
        <f t="shared" si="37"/>
        <v>MYR</v>
      </c>
      <c r="P88" t="str">
        <f t="shared" si="47"/>
        <v>NIL</v>
      </c>
      <c r="Q88" t="str">
        <f t="shared" si="47"/>
        <v>NIL</v>
      </c>
      <c r="R88" t="str">
        <f t="shared" si="38"/>
        <v>Accepted</v>
      </c>
      <c r="S88" t="str">
        <f t="shared" si="39"/>
        <v>Approved</v>
      </c>
      <c r="T88" t="str">
        <f t="shared" si="40"/>
        <v>10.20.8.188</v>
      </c>
      <c r="U88" t="str">
        <f t="shared" si="41"/>
        <v>AZRAD UMAR BIN SHAARI</v>
      </c>
      <c r="V88" t="str">
        <f t="shared" si="42"/>
        <v>FARHANA BINTI MUSTAPA</v>
      </c>
      <c r="W88" t="str">
        <f t="shared" si="43"/>
        <v>04-08-2020</v>
      </c>
      <c r="X88" t="str">
        <f t="shared" si="44"/>
        <v>RAZIMAH ANSAR AHMAD</v>
      </c>
      <c r="Y88" t="str">
        <f t="shared" si="45"/>
        <v>04-08-2020</v>
      </c>
      <c r="Z88" t="str">
        <f>"COS10200804 519"</f>
        <v>COS10200804 519</v>
      </c>
    </row>
    <row r="89" spans="1:26" x14ac:dyDescent="0.25">
      <c r="A89" t="str">
        <f t="shared" si="29"/>
        <v>04-08-2020 02:12:40</v>
      </c>
      <c r="B89" t="str">
        <f>"0000810909"</f>
        <v>0000810909</v>
      </c>
      <c r="C89" t="str">
        <f t="shared" si="30"/>
        <v>0000810791</v>
      </c>
      <c r="D89" t="str">
        <f t="shared" si="31"/>
        <v>73185</v>
      </c>
      <c r="E89" t="str">
        <f t="shared" si="32"/>
        <v>KFH-OPERATIONS DEPARTMENT</v>
      </c>
      <c r="F89" t="str">
        <f t="shared" si="33"/>
        <v>IBG</v>
      </c>
      <c r="G89" t="str">
        <f t="shared" si="34"/>
        <v>Refund COSHARE 10</v>
      </c>
      <c r="H89" s="2">
        <v>1402.5</v>
      </c>
      <c r="I89" t="str">
        <f>"NOR ARIZA BINTI HARUN"</f>
        <v>NOR ARIZA BINTI HARUN</v>
      </c>
      <c r="J89" t="str">
        <f t="shared" si="35"/>
        <v>BANK ISLAM BHD</v>
      </c>
      <c r="K89" t="str">
        <f>"03054020106383"</f>
        <v>03054020106383</v>
      </c>
      <c r="L89" t="str">
        <f t="shared" si="46"/>
        <v>04-08-2020</v>
      </c>
      <c r="M89" t="str">
        <f t="shared" si="46"/>
        <v>04-08-2020</v>
      </c>
      <c r="N89" t="str">
        <f t="shared" si="36"/>
        <v>001105018356</v>
      </c>
      <c r="O89" t="str">
        <f t="shared" si="37"/>
        <v>MYR</v>
      </c>
      <c r="P89" t="str">
        <f t="shared" si="47"/>
        <v>NIL</v>
      </c>
      <c r="Q89" t="str">
        <f t="shared" si="47"/>
        <v>NIL</v>
      </c>
      <c r="R89" t="str">
        <f t="shared" si="38"/>
        <v>Accepted</v>
      </c>
      <c r="S89" t="str">
        <f t="shared" si="39"/>
        <v>Approved</v>
      </c>
      <c r="T89" t="str">
        <f t="shared" si="40"/>
        <v>10.20.8.188</v>
      </c>
      <c r="U89" t="str">
        <f t="shared" si="41"/>
        <v>AZRAD UMAR BIN SHAARI</v>
      </c>
      <c r="V89" t="str">
        <f t="shared" si="42"/>
        <v>FARHANA BINTI MUSTAPA</v>
      </c>
      <c r="W89" t="str">
        <f t="shared" si="43"/>
        <v>04-08-2020</v>
      </c>
      <c r="X89" t="str">
        <f t="shared" si="44"/>
        <v>RAZIMAH ANSAR AHMAD</v>
      </c>
      <c r="Y89" t="str">
        <f t="shared" si="45"/>
        <v>04-08-2020</v>
      </c>
      <c r="Z89" t="str">
        <f>"COS10200804 518"</f>
        <v>COS10200804 518</v>
      </c>
    </row>
    <row r="90" spans="1:26" x14ac:dyDescent="0.25">
      <c r="A90" t="str">
        <f t="shared" si="29"/>
        <v>04-08-2020 02:12:40</v>
      </c>
      <c r="B90" t="str">
        <f>"0000810908"</f>
        <v>0000810908</v>
      </c>
      <c r="C90" t="str">
        <f t="shared" si="30"/>
        <v>0000810791</v>
      </c>
      <c r="D90" t="str">
        <f t="shared" si="31"/>
        <v>73185</v>
      </c>
      <c r="E90" t="str">
        <f t="shared" si="32"/>
        <v>KFH-OPERATIONS DEPARTMENT</v>
      </c>
      <c r="F90" t="str">
        <f t="shared" si="33"/>
        <v>IBG</v>
      </c>
      <c r="G90" t="str">
        <f t="shared" si="34"/>
        <v>Refund COSHARE 10</v>
      </c>
      <c r="H90" s="2">
        <v>683</v>
      </c>
      <c r="I90" t="str">
        <f>"NOR AFIFA BINTI MD RAYIS"</f>
        <v>NOR AFIFA BINTI MD RAYIS</v>
      </c>
      <c r="J90" t="str">
        <f t="shared" si="35"/>
        <v>BANK ISLAM BHD</v>
      </c>
      <c r="K90" t="str">
        <f>"12056022764307"</f>
        <v>12056022764307</v>
      </c>
      <c r="L90" t="str">
        <f t="shared" si="46"/>
        <v>04-08-2020</v>
      </c>
      <c r="M90" t="str">
        <f t="shared" si="46"/>
        <v>04-08-2020</v>
      </c>
      <c r="N90" t="str">
        <f t="shared" si="36"/>
        <v>001105018356</v>
      </c>
      <c r="O90" t="str">
        <f t="shared" si="37"/>
        <v>MYR</v>
      </c>
      <c r="P90" t="str">
        <f t="shared" si="47"/>
        <v>NIL</v>
      </c>
      <c r="Q90" t="str">
        <f t="shared" si="47"/>
        <v>NIL</v>
      </c>
      <c r="R90" t="str">
        <f t="shared" si="38"/>
        <v>Accepted</v>
      </c>
      <c r="S90" t="str">
        <f t="shared" si="39"/>
        <v>Approved</v>
      </c>
      <c r="T90" t="str">
        <f t="shared" si="40"/>
        <v>10.20.8.188</v>
      </c>
      <c r="U90" t="str">
        <f t="shared" si="41"/>
        <v>AZRAD UMAR BIN SHAARI</v>
      </c>
      <c r="V90" t="str">
        <f t="shared" si="42"/>
        <v>FARHANA BINTI MUSTAPA</v>
      </c>
      <c r="W90" t="str">
        <f t="shared" si="43"/>
        <v>04-08-2020</v>
      </c>
      <c r="X90" t="str">
        <f t="shared" si="44"/>
        <v>RAZIMAH ANSAR AHMAD</v>
      </c>
      <c r="Y90" t="str">
        <f t="shared" si="45"/>
        <v>04-08-2020</v>
      </c>
      <c r="Z90" t="str">
        <f>"COS10200804 517"</f>
        <v>COS10200804 517</v>
      </c>
    </row>
    <row r="91" spans="1:26" x14ac:dyDescent="0.25">
      <c r="A91" t="str">
        <f t="shared" si="29"/>
        <v>04-08-2020 02:12:40</v>
      </c>
      <c r="B91" t="str">
        <f>"0000810907"</f>
        <v>0000810907</v>
      </c>
      <c r="C91" t="str">
        <f t="shared" si="30"/>
        <v>0000810791</v>
      </c>
      <c r="D91" t="str">
        <f t="shared" si="31"/>
        <v>73185</v>
      </c>
      <c r="E91" t="str">
        <f t="shared" si="32"/>
        <v>KFH-OPERATIONS DEPARTMENT</v>
      </c>
      <c r="F91" t="str">
        <f t="shared" si="33"/>
        <v>IBG</v>
      </c>
      <c r="G91" t="str">
        <f t="shared" si="34"/>
        <v>Refund COSHARE 10</v>
      </c>
      <c r="H91" s="2">
        <v>152</v>
      </c>
      <c r="I91" t="str">
        <f>"NOORUL AZYYATI BINTI AHMAD SALMI"</f>
        <v>NOORUL AZYYATI BINTI AHMAD SALMI</v>
      </c>
      <c r="J91" t="str">
        <f t="shared" si="35"/>
        <v>BANK ISLAM BHD</v>
      </c>
      <c r="K91" t="str">
        <f>"14162020066679"</f>
        <v>14162020066679</v>
      </c>
      <c r="L91" t="str">
        <f t="shared" si="46"/>
        <v>04-08-2020</v>
      </c>
      <c r="M91" t="str">
        <f t="shared" si="46"/>
        <v>04-08-2020</v>
      </c>
      <c r="N91" t="str">
        <f t="shared" si="36"/>
        <v>001105018356</v>
      </c>
      <c r="O91" t="str">
        <f t="shared" si="37"/>
        <v>MYR</v>
      </c>
      <c r="P91" t="str">
        <f t="shared" si="47"/>
        <v>NIL</v>
      </c>
      <c r="Q91" t="str">
        <f t="shared" si="47"/>
        <v>NIL</v>
      </c>
      <c r="R91" t="str">
        <f t="shared" si="38"/>
        <v>Accepted</v>
      </c>
      <c r="S91" t="str">
        <f t="shared" si="39"/>
        <v>Approved</v>
      </c>
      <c r="T91" t="str">
        <f t="shared" si="40"/>
        <v>10.20.8.188</v>
      </c>
      <c r="U91" t="str">
        <f t="shared" si="41"/>
        <v>AZRAD UMAR BIN SHAARI</v>
      </c>
      <c r="V91" t="str">
        <f t="shared" si="42"/>
        <v>FARHANA BINTI MUSTAPA</v>
      </c>
      <c r="W91" t="str">
        <f t="shared" si="43"/>
        <v>04-08-2020</v>
      </c>
      <c r="X91" t="str">
        <f t="shared" si="44"/>
        <v>RAZIMAH ANSAR AHMAD</v>
      </c>
      <c r="Y91" t="str">
        <f t="shared" si="45"/>
        <v>04-08-2020</v>
      </c>
      <c r="Z91" t="str">
        <f>"COS10200804 516"</f>
        <v>COS10200804 516</v>
      </c>
    </row>
    <row r="92" spans="1:26" x14ac:dyDescent="0.25">
      <c r="A92" t="str">
        <f t="shared" si="29"/>
        <v>04-08-2020 02:12:40</v>
      </c>
      <c r="B92" t="str">
        <f>"0000810906"</f>
        <v>0000810906</v>
      </c>
      <c r="C92" t="str">
        <f t="shared" si="30"/>
        <v>0000810791</v>
      </c>
      <c r="D92" t="str">
        <f t="shared" si="31"/>
        <v>73185</v>
      </c>
      <c r="E92" t="str">
        <f t="shared" si="32"/>
        <v>KFH-OPERATIONS DEPARTMENT</v>
      </c>
      <c r="F92" t="str">
        <f t="shared" si="33"/>
        <v>IBG</v>
      </c>
      <c r="G92" t="str">
        <f t="shared" si="34"/>
        <v>Refund COSHARE 10</v>
      </c>
      <c r="H92" s="2">
        <v>258.60000000000002</v>
      </c>
      <c r="I92" t="str">
        <f>"NOORUL AQMAR BINTI MOHD IZHAR"</f>
        <v>NOORUL AQMAR BINTI MOHD IZHAR</v>
      </c>
      <c r="J92" t="str">
        <f t="shared" si="35"/>
        <v>BANK ISLAM BHD</v>
      </c>
      <c r="K92" t="str">
        <f>"06019020174667"</f>
        <v>06019020174667</v>
      </c>
      <c r="L92" t="str">
        <f t="shared" si="46"/>
        <v>04-08-2020</v>
      </c>
      <c r="M92" t="str">
        <f t="shared" si="46"/>
        <v>04-08-2020</v>
      </c>
      <c r="N92" t="str">
        <f t="shared" si="36"/>
        <v>001105018356</v>
      </c>
      <c r="O92" t="str">
        <f t="shared" si="37"/>
        <v>MYR</v>
      </c>
      <c r="P92" t="str">
        <f t="shared" si="47"/>
        <v>NIL</v>
      </c>
      <c r="Q92" t="str">
        <f t="shared" si="47"/>
        <v>NIL</v>
      </c>
      <c r="R92" t="str">
        <f t="shared" si="38"/>
        <v>Accepted</v>
      </c>
      <c r="S92" t="str">
        <f t="shared" si="39"/>
        <v>Approved</v>
      </c>
      <c r="T92" t="str">
        <f t="shared" si="40"/>
        <v>10.20.8.188</v>
      </c>
      <c r="U92" t="str">
        <f t="shared" si="41"/>
        <v>AZRAD UMAR BIN SHAARI</v>
      </c>
      <c r="V92" t="str">
        <f t="shared" si="42"/>
        <v>FARHANA BINTI MUSTAPA</v>
      </c>
      <c r="W92" t="str">
        <f t="shared" si="43"/>
        <v>04-08-2020</v>
      </c>
      <c r="X92" t="str">
        <f t="shared" si="44"/>
        <v>RAZIMAH ANSAR AHMAD</v>
      </c>
      <c r="Y92" t="str">
        <f t="shared" si="45"/>
        <v>04-08-2020</v>
      </c>
      <c r="Z92" t="str">
        <f>"COS10200804 515"</f>
        <v>COS10200804 515</v>
      </c>
    </row>
    <row r="93" spans="1:26" x14ac:dyDescent="0.25">
      <c r="A93" t="str">
        <f t="shared" si="29"/>
        <v>04-08-2020 02:12:40</v>
      </c>
      <c r="B93" t="str">
        <f>"0000810905"</f>
        <v>0000810905</v>
      </c>
      <c r="C93" t="str">
        <f t="shared" si="30"/>
        <v>0000810791</v>
      </c>
      <c r="D93" t="str">
        <f t="shared" si="31"/>
        <v>73185</v>
      </c>
      <c r="E93" t="str">
        <f t="shared" si="32"/>
        <v>KFH-OPERATIONS DEPARTMENT</v>
      </c>
      <c r="F93" t="str">
        <f t="shared" si="33"/>
        <v>IBG</v>
      </c>
      <c r="G93" t="str">
        <f t="shared" si="34"/>
        <v>Refund COSHARE 10</v>
      </c>
      <c r="H93" s="2">
        <v>258.60000000000002</v>
      </c>
      <c r="I93" t="str">
        <f>"NOORUL AQMAR BINTI MOHD IZHAR"</f>
        <v>NOORUL AQMAR BINTI MOHD IZHAR</v>
      </c>
      <c r="J93" t="str">
        <f t="shared" si="35"/>
        <v>BANK ISLAM BHD</v>
      </c>
      <c r="K93" t="str">
        <f>"06019020174667"</f>
        <v>06019020174667</v>
      </c>
      <c r="L93" t="str">
        <f t="shared" si="46"/>
        <v>04-08-2020</v>
      </c>
      <c r="M93" t="str">
        <f t="shared" si="46"/>
        <v>04-08-2020</v>
      </c>
      <c r="N93" t="str">
        <f t="shared" si="36"/>
        <v>001105018356</v>
      </c>
      <c r="O93" t="str">
        <f t="shared" si="37"/>
        <v>MYR</v>
      </c>
      <c r="P93" t="str">
        <f t="shared" si="47"/>
        <v>NIL</v>
      </c>
      <c r="Q93" t="str">
        <f t="shared" si="47"/>
        <v>NIL</v>
      </c>
      <c r="R93" t="str">
        <f t="shared" si="38"/>
        <v>Accepted</v>
      </c>
      <c r="S93" t="str">
        <f t="shared" si="39"/>
        <v>Approved</v>
      </c>
      <c r="T93" t="str">
        <f t="shared" si="40"/>
        <v>10.20.8.188</v>
      </c>
      <c r="U93" t="str">
        <f t="shared" si="41"/>
        <v>AZRAD UMAR BIN SHAARI</v>
      </c>
      <c r="V93" t="str">
        <f t="shared" si="42"/>
        <v>FARHANA BINTI MUSTAPA</v>
      </c>
      <c r="W93" t="str">
        <f t="shared" si="43"/>
        <v>04-08-2020</v>
      </c>
      <c r="X93" t="str">
        <f t="shared" si="44"/>
        <v>RAZIMAH ANSAR AHMAD</v>
      </c>
      <c r="Y93" t="str">
        <f t="shared" si="45"/>
        <v>04-08-2020</v>
      </c>
      <c r="Z93" t="str">
        <f>"COS10200804 514"</f>
        <v>COS10200804 514</v>
      </c>
    </row>
    <row r="94" spans="1:26" x14ac:dyDescent="0.25">
      <c r="A94" t="str">
        <f t="shared" si="29"/>
        <v>04-08-2020 02:12:40</v>
      </c>
      <c r="B94" t="str">
        <f>"0000810904"</f>
        <v>0000810904</v>
      </c>
      <c r="C94" t="str">
        <f t="shared" si="30"/>
        <v>0000810791</v>
      </c>
      <c r="D94" t="str">
        <f t="shared" si="31"/>
        <v>73185</v>
      </c>
      <c r="E94" t="str">
        <f t="shared" si="32"/>
        <v>KFH-OPERATIONS DEPARTMENT</v>
      </c>
      <c r="F94" t="str">
        <f t="shared" si="33"/>
        <v>IBG</v>
      </c>
      <c r="G94" t="str">
        <f t="shared" si="34"/>
        <v>Refund COSHARE 10</v>
      </c>
      <c r="H94" s="2">
        <v>973.85</v>
      </c>
      <c r="I94" t="str">
        <f>"NOORNIZAYATI BINTI MOHD TAIRUDIN"</f>
        <v>NOORNIZAYATI BINTI MOHD TAIRUDIN</v>
      </c>
      <c r="J94" t="str">
        <f t="shared" si="35"/>
        <v>BANK ISLAM BHD</v>
      </c>
      <c r="K94" t="str">
        <f>"10025020496170"</f>
        <v>10025020496170</v>
      </c>
      <c r="L94" t="str">
        <f t="shared" si="46"/>
        <v>04-08-2020</v>
      </c>
      <c r="M94" t="str">
        <f t="shared" si="46"/>
        <v>04-08-2020</v>
      </c>
      <c r="N94" t="str">
        <f t="shared" si="36"/>
        <v>001105018356</v>
      </c>
      <c r="O94" t="str">
        <f t="shared" si="37"/>
        <v>MYR</v>
      </c>
      <c r="P94" t="str">
        <f t="shared" si="47"/>
        <v>NIL</v>
      </c>
      <c r="Q94" t="str">
        <f t="shared" si="47"/>
        <v>NIL</v>
      </c>
      <c r="R94" t="str">
        <f t="shared" si="38"/>
        <v>Accepted</v>
      </c>
      <c r="S94" t="str">
        <f t="shared" si="39"/>
        <v>Approved</v>
      </c>
      <c r="T94" t="str">
        <f t="shared" si="40"/>
        <v>10.20.8.188</v>
      </c>
      <c r="U94" t="str">
        <f t="shared" si="41"/>
        <v>AZRAD UMAR BIN SHAARI</v>
      </c>
      <c r="V94" t="str">
        <f t="shared" si="42"/>
        <v>FARHANA BINTI MUSTAPA</v>
      </c>
      <c r="W94" t="str">
        <f t="shared" si="43"/>
        <v>04-08-2020</v>
      </c>
      <c r="X94" t="str">
        <f t="shared" si="44"/>
        <v>RAZIMAH ANSAR AHMAD</v>
      </c>
      <c r="Y94" t="str">
        <f t="shared" si="45"/>
        <v>04-08-2020</v>
      </c>
      <c r="Z94" t="str">
        <f>"COS10200804 513"</f>
        <v>COS10200804 513</v>
      </c>
    </row>
    <row r="95" spans="1:26" x14ac:dyDescent="0.25">
      <c r="A95" t="str">
        <f t="shared" si="29"/>
        <v>04-08-2020 02:12:40</v>
      </c>
      <c r="B95" t="str">
        <f>"0000810903"</f>
        <v>0000810903</v>
      </c>
      <c r="C95" t="str">
        <f t="shared" si="30"/>
        <v>0000810791</v>
      </c>
      <c r="D95" t="str">
        <f t="shared" si="31"/>
        <v>73185</v>
      </c>
      <c r="E95" t="str">
        <f t="shared" si="32"/>
        <v>KFH-OPERATIONS DEPARTMENT</v>
      </c>
      <c r="F95" t="str">
        <f t="shared" si="33"/>
        <v>IBG</v>
      </c>
      <c r="G95" t="str">
        <f t="shared" si="34"/>
        <v>Refund COSHARE 10</v>
      </c>
      <c r="H95" s="2">
        <v>289</v>
      </c>
      <c r="I95" t="str">
        <f>"NOORMAWATI BINTI KAMARUDDIN"</f>
        <v>NOORMAWATI BINTI KAMARUDDIN</v>
      </c>
      <c r="J95" t="str">
        <f t="shared" si="35"/>
        <v>BANK ISLAM BHD</v>
      </c>
      <c r="K95" t="str">
        <f>"12056020161511"</f>
        <v>12056020161511</v>
      </c>
      <c r="L95" t="str">
        <f t="shared" si="46"/>
        <v>04-08-2020</v>
      </c>
      <c r="M95" t="str">
        <f t="shared" si="46"/>
        <v>04-08-2020</v>
      </c>
      <c r="N95" t="str">
        <f t="shared" si="36"/>
        <v>001105018356</v>
      </c>
      <c r="O95" t="str">
        <f t="shared" si="37"/>
        <v>MYR</v>
      </c>
      <c r="P95" t="str">
        <f t="shared" si="47"/>
        <v>NIL</v>
      </c>
      <c r="Q95" t="str">
        <f t="shared" si="47"/>
        <v>NIL</v>
      </c>
      <c r="R95" t="str">
        <f t="shared" si="38"/>
        <v>Accepted</v>
      </c>
      <c r="S95" t="str">
        <f t="shared" si="39"/>
        <v>Approved</v>
      </c>
      <c r="T95" t="str">
        <f t="shared" si="40"/>
        <v>10.20.8.188</v>
      </c>
      <c r="U95" t="str">
        <f t="shared" si="41"/>
        <v>AZRAD UMAR BIN SHAARI</v>
      </c>
      <c r="V95" t="str">
        <f t="shared" si="42"/>
        <v>FARHANA BINTI MUSTAPA</v>
      </c>
      <c r="W95" t="str">
        <f t="shared" si="43"/>
        <v>04-08-2020</v>
      </c>
      <c r="X95" t="str">
        <f t="shared" si="44"/>
        <v>RAZIMAH ANSAR AHMAD</v>
      </c>
      <c r="Y95" t="str">
        <f t="shared" si="45"/>
        <v>04-08-2020</v>
      </c>
      <c r="Z95" t="str">
        <f>"COS10200804 512"</f>
        <v>COS10200804 512</v>
      </c>
    </row>
    <row r="96" spans="1:26" x14ac:dyDescent="0.25">
      <c r="A96" t="str">
        <f t="shared" si="29"/>
        <v>04-08-2020 02:12:40</v>
      </c>
      <c r="B96" t="str">
        <f>"0000810902"</f>
        <v>0000810902</v>
      </c>
      <c r="C96" t="str">
        <f t="shared" si="30"/>
        <v>0000810791</v>
      </c>
      <c r="D96" t="str">
        <f t="shared" si="31"/>
        <v>73185</v>
      </c>
      <c r="E96" t="str">
        <f t="shared" si="32"/>
        <v>KFH-OPERATIONS DEPARTMENT</v>
      </c>
      <c r="F96" t="str">
        <f t="shared" si="33"/>
        <v>IBG</v>
      </c>
      <c r="G96" t="str">
        <f t="shared" si="34"/>
        <v>Refund COSHARE 10</v>
      </c>
      <c r="H96" s="2">
        <v>982</v>
      </c>
      <c r="I96" t="str">
        <f>"NOORLIZA BINTI MOHD NOOR"</f>
        <v>NOORLIZA BINTI MOHD NOOR</v>
      </c>
      <c r="J96" t="str">
        <f t="shared" si="35"/>
        <v>BANK ISLAM BHD</v>
      </c>
      <c r="K96" t="str">
        <f>"03018020290116"</f>
        <v>03018020290116</v>
      </c>
      <c r="L96" t="str">
        <f t="shared" si="46"/>
        <v>04-08-2020</v>
      </c>
      <c r="M96" t="str">
        <f t="shared" si="46"/>
        <v>04-08-2020</v>
      </c>
      <c r="N96" t="str">
        <f t="shared" si="36"/>
        <v>001105018356</v>
      </c>
      <c r="O96" t="str">
        <f t="shared" si="37"/>
        <v>MYR</v>
      </c>
      <c r="P96" t="str">
        <f t="shared" si="47"/>
        <v>NIL</v>
      </c>
      <c r="Q96" t="str">
        <f t="shared" si="47"/>
        <v>NIL</v>
      </c>
      <c r="R96" t="str">
        <f t="shared" si="38"/>
        <v>Accepted</v>
      </c>
      <c r="S96" t="str">
        <f t="shared" si="39"/>
        <v>Approved</v>
      </c>
      <c r="T96" t="str">
        <f t="shared" si="40"/>
        <v>10.20.8.188</v>
      </c>
      <c r="U96" t="str">
        <f t="shared" si="41"/>
        <v>AZRAD UMAR BIN SHAARI</v>
      </c>
      <c r="V96" t="str">
        <f t="shared" si="42"/>
        <v>FARHANA BINTI MUSTAPA</v>
      </c>
      <c r="W96" t="str">
        <f t="shared" si="43"/>
        <v>04-08-2020</v>
      </c>
      <c r="X96" t="str">
        <f t="shared" si="44"/>
        <v>RAZIMAH ANSAR AHMAD</v>
      </c>
      <c r="Y96" t="str">
        <f t="shared" si="45"/>
        <v>04-08-2020</v>
      </c>
      <c r="Z96" t="str">
        <f>"COS10200804 511"</f>
        <v>COS10200804 511</v>
      </c>
    </row>
    <row r="97" spans="1:26" x14ac:dyDescent="0.25">
      <c r="A97" t="str">
        <f t="shared" si="29"/>
        <v>04-08-2020 02:12:40</v>
      </c>
      <c r="B97" t="str">
        <f>"0000810901"</f>
        <v>0000810901</v>
      </c>
      <c r="C97" t="str">
        <f t="shared" si="30"/>
        <v>0000810791</v>
      </c>
      <c r="D97" t="str">
        <f t="shared" si="31"/>
        <v>73185</v>
      </c>
      <c r="E97" t="str">
        <f t="shared" si="32"/>
        <v>KFH-OPERATIONS DEPARTMENT</v>
      </c>
      <c r="F97" t="str">
        <f t="shared" si="33"/>
        <v>IBG</v>
      </c>
      <c r="G97" t="str">
        <f t="shared" si="34"/>
        <v>Refund COSHARE 10</v>
      </c>
      <c r="H97" s="2">
        <v>42</v>
      </c>
      <c r="I97" t="str">
        <f>"NOORLELA BINTI RAMLI"</f>
        <v>NOORLELA BINTI RAMLI</v>
      </c>
      <c r="J97" t="str">
        <f t="shared" si="35"/>
        <v>BANK ISLAM BHD</v>
      </c>
      <c r="K97" t="str">
        <f>"05012020467417"</f>
        <v>05012020467417</v>
      </c>
      <c r="L97" t="str">
        <f t="shared" si="46"/>
        <v>04-08-2020</v>
      </c>
      <c r="M97" t="str">
        <f t="shared" si="46"/>
        <v>04-08-2020</v>
      </c>
      <c r="N97" t="str">
        <f t="shared" si="36"/>
        <v>001105018356</v>
      </c>
      <c r="O97" t="str">
        <f t="shared" si="37"/>
        <v>MYR</v>
      </c>
      <c r="P97" t="str">
        <f t="shared" si="47"/>
        <v>NIL</v>
      </c>
      <c r="Q97" t="str">
        <f t="shared" si="47"/>
        <v>NIL</v>
      </c>
      <c r="R97" t="str">
        <f t="shared" si="38"/>
        <v>Accepted</v>
      </c>
      <c r="S97" t="str">
        <f t="shared" si="39"/>
        <v>Approved</v>
      </c>
      <c r="T97" t="str">
        <f t="shared" si="40"/>
        <v>10.20.8.188</v>
      </c>
      <c r="U97" t="str">
        <f t="shared" si="41"/>
        <v>AZRAD UMAR BIN SHAARI</v>
      </c>
      <c r="V97" t="str">
        <f t="shared" si="42"/>
        <v>FARHANA BINTI MUSTAPA</v>
      </c>
      <c r="W97" t="str">
        <f t="shared" si="43"/>
        <v>04-08-2020</v>
      </c>
      <c r="X97" t="str">
        <f t="shared" si="44"/>
        <v>RAZIMAH ANSAR AHMAD</v>
      </c>
      <c r="Y97" t="str">
        <f t="shared" si="45"/>
        <v>04-08-2020</v>
      </c>
      <c r="Z97" t="str">
        <f>"COS10200804 510"</f>
        <v>COS10200804 510</v>
      </c>
    </row>
    <row r="98" spans="1:26" x14ac:dyDescent="0.25">
      <c r="A98" t="str">
        <f t="shared" si="29"/>
        <v>04-08-2020 02:12:40</v>
      </c>
      <c r="B98" t="str">
        <f>"0000810900"</f>
        <v>0000810900</v>
      </c>
      <c r="C98" t="str">
        <f t="shared" si="30"/>
        <v>0000810791</v>
      </c>
      <c r="D98" t="str">
        <f t="shared" si="31"/>
        <v>73185</v>
      </c>
      <c r="E98" t="str">
        <f t="shared" si="32"/>
        <v>KFH-OPERATIONS DEPARTMENT</v>
      </c>
      <c r="F98" t="str">
        <f t="shared" si="33"/>
        <v>IBG</v>
      </c>
      <c r="G98" t="str">
        <f t="shared" si="34"/>
        <v>Refund COSHARE 10</v>
      </c>
      <c r="H98" s="2">
        <v>419.75</v>
      </c>
      <c r="I98" t="str">
        <f>"NOORLAILA BINTI AMIR"</f>
        <v>NOORLAILA BINTI AMIR</v>
      </c>
      <c r="J98" t="str">
        <f t="shared" si="35"/>
        <v>BANK ISLAM BHD</v>
      </c>
      <c r="K98" t="str">
        <f>"10025020420342"</f>
        <v>10025020420342</v>
      </c>
      <c r="L98" t="str">
        <f t="shared" si="46"/>
        <v>04-08-2020</v>
      </c>
      <c r="M98" t="str">
        <f t="shared" si="46"/>
        <v>04-08-2020</v>
      </c>
      <c r="N98" t="str">
        <f t="shared" si="36"/>
        <v>001105018356</v>
      </c>
      <c r="O98" t="str">
        <f t="shared" si="37"/>
        <v>MYR</v>
      </c>
      <c r="P98" t="str">
        <f t="shared" si="47"/>
        <v>NIL</v>
      </c>
      <c r="Q98" t="str">
        <f t="shared" si="47"/>
        <v>NIL</v>
      </c>
      <c r="R98" t="str">
        <f t="shared" si="38"/>
        <v>Accepted</v>
      </c>
      <c r="S98" t="str">
        <f t="shared" si="39"/>
        <v>Approved</v>
      </c>
      <c r="T98" t="str">
        <f t="shared" si="40"/>
        <v>10.20.8.188</v>
      </c>
      <c r="U98" t="str">
        <f t="shared" si="41"/>
        <v>AZRAD UMAR BIN SHAARI</v>
      </c>
      <c r="V98" t="str">
        <f t="shared" si="42"/>
        <v>FARHANA BINTI MUSTAPA</v>
      </c>
      <c r="W98" t="str">
        <f t="shared" si="43"/>
        <v>04-08-2020</v>
      </c>
      <c r="X98" t="str">
        <f t="shared" si="44"/>
        <v>RAZIMAH ANSAR AHMAD</v>
      </c>
      <c r="Y98" t="str">
        <f t="shared" si="45"/>
        <v>04-08-2020</v>
      </c>
      <c r="Z98" t="str">
        <f>"COS10200804 509"</f>
        <v>COS10200804 509</v>
      </c>
    </row>
    <row r="99" spans="1:26" x14ac:dyDescent="0.25">
      <c r="A99" t="str">
        <f t="shared" si="29"/>
        <v>04-08-2020 02:12:40</v>
      </c>
      <c r="B99" t="str">
        <f>"0000810899"</f>
        <v>0000810899</v>
      </c>
      <c r="C99" t="str">
        <f t="shared" si="30"/>
        <v>0000810791</v>
      </c>
      <c r="D99" t="str">
        <f t="shared" si="31"/>
        <v>73185</v>
      </c>
      <c r="E99" t="str">
        <f t="shared" si="32"/>
        <v>KFH-OPERATIONS DEPARTMENT</v>
      </c>
      <c r="F99" t="str">
        <f t="shared" si="33"/>
        <v>IBG</v>
      </c>
      <c r="G99" t="str">
        <f t="shared" si="34"/>
        <v>Refund COSHARE 10</v>
      </c>
      <c r="H99" s="2">
        <v>1734</v>
      </c>
      <c r="I99" t="str">
        <f>"NOORFAZLINA BINTI GHAPAR SHAH"</f>
        <v>NOORFAZLINA BINTI GHAPAR SHAH</v>
      </c>
      <c r="J99" t="str">
        <f t="shared" si="35"/>
        <v>BANK ISLAM BHD</v>
      </c>
      <c r="K99" t="str">
        <f>"01014025287572"</f>
        <v>01014025287572</v>
      </c>
      <c r="L99" t="str">
        <f t="shared" si="46"/>
        <v>04-08-2020</v>
      </c>
      <c r="M99" t="str">
        <f t="shared" si="46"/>
        <v>04-08-2020</v>
      </c>
      <c r="N99" t="str">
        <f t="shared" si="36"/>
        <v>001105018356</v>
      </c>
      <c r="O99" t="str">
        <f t="shared" si="37"/>
        <v>MYR</v>
      </c>
      <c r="P99" t="str">
        <f t="shared" si="47"/>
        <v>NIL</v>
      </c>
      <c r="Q99" t="str">
        <f t="shared" si="47"/>
        <v>NIL</v>
      </c>
      <c r="R99" t="str">
        <f t="shared" si="38"/>
        <v>Accepted</v>
      </c>
      <c r="S99" t="str">
        <f t="shared" si="39"/>
        <v>Approved</v>
      </c>
      <c r="T99" t="str">
        <f t="shared" si="40"/>
        <v>10.20.8.188</v>
      </c>
      <c r="U99" t="str">
        <f t="shared" si="41"/>
        <v>AZRAD UMAR BIN SHAARI</v>
      </c>
      <c r="V99" t="str">
        <f t="shared" si="42"/>
        <v>FARHANA BINTI MUSTAPA</v>
      </c>
      <c r="W99" t="str">
        <f t="shared" si="43"/>
        <v>04-08-2020</v>
      </c>
      <c r="X99" t="str">
        <f t="shared" si="44"/>
        <v>RAZIMAH ANSAR AHMAD</v>
      </c>
      <c r="Y99" t="str">
        <f t="shared" si="45"/>
        <v>04-08-2020</v>
      </c>
      <c r="Z99" t="str">
        <f>"COS10200804 508"</f>
        <v>COS10200804 508</v>
      </c>
    </row>
    <row r="100" spans="1:26" x14ac:dyDescent="0.25">
      <c r="A100" t="str">
        <f t="shared" si="29"/>
        <v>04-08-2020 02:12:40</v>
      </c>
      <c r="B100" t="str">
        <f>"0000810898"</f>
        <v>0000810898</v>
      </c>
      <c r="C100" t="str">
        <f t="shared" si="30"/>
        <v>0000810791</v>
      </c>
      <c r="D100" t="str">
        <f t="shared" si="31"/>
        <v>73185</v>
      </c>
      <c r="E100" t="str">
        <f t="shared" si="32"/>
        <v>KFH-OPERATIONS DEPARTMENT</v>
      </c>
      <c r="F100" t="str">
        <f t="shared" si="33"/>
        <v>IBG</v>
      </c>
      <c r="G100" t="str">
        <f t="shared" si="34"/>
        <v>Refund COSHARE 10</v>
      </c>
      <c r="H100" s="2">
        <v>1259.25</v>
      </c>
      <c r="I100" t="str">
        <f>"NOOREZAN BINTI IDRIS  JUSOH"</f>
        <v>NOOREZAN BINTI IDRIS  JUSOH</v>
      </c>
      <c r="J100" t="str">
        <f t="shared" si="35"/>
        <v>BANK ISLAM BHD</v>
      </c>
      <c r="K100" t="str">
        <f>"03027020115828"</f>
        <v>03027020115828</v>
      </c>
      <c r="L100" t="str">
        <f t="shared" si="46"/>
        <v>04-08-2020</v>
      </c>
      <c r="M100" t="str">
        <f t="shared" si="46"/>
        <v>04-08-2020</v>
      </c>
      <c r="N100" t="str">
        <f t="shared" si="36"/>
        <v>001105018356</v>
      </c>
      <c r="O100" t="str">
        <f t="shared" si="37"/>
        <v>MYR</v>
      </c>
      <c r="P100" t="str">
        <f t="shared" si="47"/>
        <v>NIL</v>
      </c>
      <c r="Q100" t="str">
        <f t="shared" si="47"/>
        <v>NIL</v>
      </c>
      <c r="R100" t="str">
        <f t="shared" si="38"/>
        <v>Accepted</v>
      </c>
      <c r="S100" t="str">
        <f t="shared" si="39"/>
        <v>Approved</v>
      </c>
      <c r="T100" t="str">
        <f t="shared" si="40"/>
        <v>10.20.8.188</v>
      </c>
      <c r="U100" t="str">
        <f t="shared" si="41"/>
        <v>AZRAD UMAR BIN SHAARI</v>
      </c>
      <c r="V100" t="str">
        <f t="shared" si="42"/>
        <v>FARHANA BINTI MUSTAPA</v>
      </c>
      <c r="W100" t="str">
        <f t="shared" si="43"/>
        <v>04-08-2020</v>
      </c>
      <c r="X100" t="str">
        <f t="shared" si="44"/>
        <v>RAZIMAH ANSAR AHMAD</v>
      </c>
      <c r="Y100" t="str">
        <f t="shared" si="45"/>
        <v>04-08-2020</v>
      </c>
      <c r="Z100" t="str">
        <f>"COS10200804 507"</f>
        <v>COS10200804 507</v>
      </c>
    </row>
    <row r="101" spans="1:26" x14ac:dyDescent="0.25">
      <c r="A101" t="str">
        <f t="shared" si="29"/>
        <v>04-08-2020 02:12:40</v>
      </c>
      <c r="B101" t="str">
        <f>"0000810897"</f>
        <v>0000810897</v>
      </c>
      <c r="C101" t="str">
        <f t="shared" si="30"/>
        <v>0000810791</v>
      </c>
      <c r="D101" t="str">
        <f t="shared" si="31"/>
        <v>73185</v>
      </c>
      <c r="E101" t="str">
        <f t="shared" si="32"/>
        <v>KFH-OPERATIONS DEPARTMENT</v>
      </c>
      <c r="F101" t="str">
        <f t="shared" si="33"/>
        <v>IBG</v>
      </c>
      <c r="G101" t="str">
        <f t="shared" si="34"/>
        <v>Refund COSHARE 10</v>
      </c>
      <c r="H101" s="2">
        <v>1066.2</v>
      </c>
      <c r="I101" t="str">
        <f>"NOOREEN FARZANA BINTI MUSTAPHA"</f>
        <v>NOOREEN FARZANA BINTI MUSTAPHA</v>
      </c>
      <c r="J101" t="str">
        <f t="shared" si="35"/>
        <v>BANK ISLAM BHD</v>
      </c>
      <c r="K101" t="str">
        <f>"14014021019082"</f>
        <v>14014021019082</v>
      </c>
      <c r="L101" t="str">
        <f t="shared" si="46"/>
        <v>04-08-2020</v>
      </c>
      <c r="M101" t="str">
        <f t="shared" si="46"/>
        <v>04-08-2020</v>
      </c>
      <c r="N101" t="str">
        <f t="shared" si="36"/>
        <v>001105018356</v>
      </c>
      <c r="O101" t="str">
        <f t="shared" si="37"/>
        <v>MYR</v>
      </c>
      <c r="P101" t="str">
        <f t="shared" si="47"/>
        <v>NIL</v>
      </c>
      <c r="Q101" t="str">
        <f t="shared" si="47"/>
        <v>NIL</v>
      </c>
      <c r="R101" t="str">
        <f t="shared" si="38"/>
        <v>Accepted</v>
      </c>
      <c r="S101" t="str">
        <f t="shared" si="39"/>
        <v>Approved</v>
      </c>
      <c r="T101" t="str">
        <f t="shared" si="40"/>
        <v>10.20.8.188</v>
      </c>
      <c r="U101" t="str">
        <f t="shared" si="41"/>
        <v>AZRAD UMAR BIN SHAARI</v>
      </c>
      <c r="V101" t="str">
        <f t="shared" si="42"/>
        <v>FARHANA BINTI MUSTAPA</v>
      </c>
      <c r="W101" t="str">
        <f t="shared" si="43"/>
        <v>04-08-2020</v>
      </c>
      <c r="X101" t="str">
        <f t="shared" si="44"/>
        <v>RAZIMAH ANSAR AHMAD</v>
      </c>
      <c r="Y101" t="str">
        <f t="shared" si="45"/>
        <v>04-08-2020</v>
      </c>
      <c r="Z101" t="str">
        <f>"COS10200804 506"</f>
        <v>COS10200804 506</v>
      </c>
    </row>
    <row r="102" spans="1:26" x14ac:dyDescent="0.25">
      <c r="A102" t="str">
        <f t="shared" si="29"/>
        <v>04-08-2020 02:12:40</v>
      </c>
      <c r="B102" t="str">
        <f>"0000810896"</f>
        <v>0000810896</v>
      </c>
      <c r="C102" t="str">
        <f t="shared" si="30"/>
        <v>0000810791</v>
      </c>
      <c r="D102" t="str">
        <f t="shared" si="31"/>
        <v>73185</v>
      </c>
      <c r="E102" t="str">
        <f t="shared" si="32"/>
        <v>KFH-OPERATIONS DEPARTMENT</v>
      </c>
      <c r="F102" t="str">
        <f t="shared" si="33"/>
        <v>IBG</v>
      </c>
      <c r="G102" t="str">
        <f t="shared" si="34"/>
        <v>Refund COSHARE 10</v>
      </c>
      <c r="H102" s="2">
        <v>645</v>
      </c>
      <c r="I102" t="str">
        <f>"NOORAZURA BINTI AB WAHAB"</f>
        <v>NOORAZURA BINTI AB WAHAB</v>
      </c>
      <c r="J102" t="str">
        <f t="shared" si="35"/>
        <v>BANK ISLAM BHD</v>
      </c>
      <c r="K102" t="str">
        <f>"01078020077588"</f>
        <v>01078020077588</v>
      </c>
      <c r="L102" t="str">
        <f t="shared" si="46"/>
        <v>04-08-2020</v>
      </c>
      <c r="M102" t="str">
        <f t="shared" si="46"/>
        <v>04-08-2020</v>
      </c>
      <c r="N102" t="str">
        <f t="shared" si="36"/>
        <v>001105018356</v>
      </c>
      <c r="O102" t="str">
        <f t="shared" si="37"/>
        <v>MYR</v>
      </c>
      <c r="P102" t="str">
        <f t="shared" si="47"/>
        <v>NIL</v>
      </c>
      <c r="Q102" t="str">
        <f t="shared" si="47"/>
        <v>NIL</v>
      </c>
      <c r="R102" t="str">
        <f t="shared" si="38"/>
        <v>Accepted</v>
      </c>
      <c r="S102" t="str">
        <f t="shared" si="39"/>
        <v>Approved</v>
      </c>
      <c r="T102" t="str">
        <f t="shared" si="40"/>
        <v>10.20.8.188</v>
      </c>
      <c r="U102" t="str">
        <f t="shared" si="41"/>
        <v>AZRAD UMAR BIN SHAARI</v>
      </c>
      <c r="V102" t="str">
        <f t="shared" si="42"/>
        <v>FARHANA BINTI MUSTAPA</v>
      </c>
      <c r="W102" t="str">
        <f t="shared" si="43"/>
        <v>04-08-2020</v>
      </c>
      <c r="X102" t="str">
        <f t="shared" si="44"/>
        <v>RAZIMAH ANSAR AHMAD</v>
      </c>
      <c r="Y102" t="str">
        <f t="shared" si="45"/>
        <v>04-08-2020</v>
      </c>
      <c r="Z102" t="str">
        <f>"COS10200804 505"</f>
        <v>COS10200804 505</v>
      </c>
    </row>
    <row r="103" spans="1:26" x14ac:dyDescent="0.25">
      <c r="A103" t="str">
        <f t="shared" ref="A103:A134" si="48">"04-08-2020 02:12:40"</f>
        <v>04-08-2020 02:12:40</v>
      </c>
      <c r="B103" t="str">
        <f>"0000810895"</f>
        <v>0000810895</v>
      </c>
      <c r="C103" t="str">
        <f t="shared" ref="C103:C134" si="49">"0000810791"</f>
        <v>0000810791</v>
      </c>
      <c r="D103" t="str">
        <f t="shared" si="31"/>
        <v>73185</v>
      </c>
      <c r="E103" t="str">
        <f t="shared" si="32"/>
        <v>KFH-OPERATIONS DEPARTMENT</v>
      </c>
      <c r="F103" t="str">
        <f t="shared" si="33"/>
        <v>IBG</v>
      </c>
      <c r="G103" t="str">
        <f t="shared" ref="G103:G134" si="50">"Refund COSHARE 10"</f>
        <v>Refund COSHARE 10</v>
      </c>
      <c r="H103" s="2">
        <v>304</v>
      </c>
      <c r="I103" t="str">
        <f>"NOORAZILAWATI BINTI ARIFIN"</f>
        <v>NOORAZILAWATI BINTI ARIFIN</v>
      </c>
      <c r="J103" t="str">
        <f t="shared" ref="J103:J134" si="51">"BANK ISLAM BHD"</f>
        <v>BANK ISLAM BHD</v>
      </c>
      <c r="K103" t="str">
        <f>"11013020312721"</f>
        <v>11013020312721</v>
      </c>
      <c r="L103" t="str">
        <f t="shared" si="46"/>
        <v>04-08-2020</v>
      </c>
      <c r="M103" t="str">
        <f t="shared" si="46"/>
        <v>04-08-2020</v>
      </c>
      <c r="N103" t="str">
        <f t="shared" si="36"/>
        <v>001105018356</v>
      </c>
      <c r="O103" t="str">
        <f t="shared" si="37"/>
        <v>MYR</v>
      </c>
      <c r="P103" t="str">
        <f t="shared" si="47"/>
        <v>NIL</v>
      </c>
      <c r="Q103" t="str">
        <f t="shared" si="47"/>
        <v>NIL</v>
      </c>
      <c r="R103" t="str">
        <f t="shared" si="38"/>
        <v>Accepted</v>
      </c>
      <c r="S103" t="str">
        <f t="shared" si="39"/>
        <v>Approved</v>
      </c>
      <c r="T103" t="str">
        <f t="shared" si="40"/>
        <v>10.20.8.188</v>
      </c>
      <c r="U103" t="str">
        <f t="shared" si="41"/>
        <v>AZRAD UMAR BIN SHAARI</v>
      </c>
      <c r="V103" t="str">
        <f t="shared" si="42"/>
        <v>FARHANA BINTI MUSTAPA</v>
      </c>
      <c r="W103" t="str">
        <f t="shared" si="43"/>
        <v>04-08-2020</v>
      </c>
      <c r="X103" t="str">
        <f t="shared" si="44"/>
        <v>RAZIMAH ANSAR AHMAD</v>
      </c>
      <c r="Y103" t="str">
        <f t="shared" si="45"/>
        <v>04-08-2020</v>
      </c>
      <c r="Z103" t="str">
        <f>"COS10200804 504"</f>
        <v>COS10200804 504</v>
      </c>
    </row>
    <row r="104" spans="1:26" x14ac:dyDescent="0.25">
      <c r="A104" t="str">
        <f t="shared" si="48"/>
        <v>04-08-2020 02:12:40</v>
      </c>
      <c r="B104" t="str">
        <f>"0000810894"</f>
        <v>0000810894</v>
      </c>
      <c r="C104" t="str">
        <f t="shared" si="49"/>
        <v>0000810791</v>
      </c>
      <c r="D104" t="str">
        <f t="shared" si="31"/>
        <v>73185</v>
      </c>
      <c r="E104" t="str">
        <f t="shared" si="32"/>
        <v>KFH-OPERATIONS DEPARTMENT</v>
      </c>
      <c r="F104" t="str">
        <f t="shared" si="33"/>
        <v>IBG</v>
      </c>
      <c r="G104" t="str">
        <f t="shared" si="50"/>
        <v>Refund COSHARE 10</v>
      </c>
      <c r="H104" s="2">
        <v>706</v>
      </c>
      <c r="I104" t="str">
        <f>"NOOR HASLIZA BINTI USUP"</f>
        <v>NOOR HASLIZA BINTI USUP</v>
      </c>
      <c r="J104" t="str">
        <f t="shared" si="51"/>
        <v>BANK ISLAM BHD</v>
      </c>
      <c r="K104" t="str">
        <f>"12092020251517"</f>
        <v>12092020251517</v>
      </c>
      <c r="L104" t="str">
        <f t="shared" si="46"/>
        <v>04-08-2020</v>
      </c>
      <c r="M104" t="str">
        <f t="shared" si="46"/>
        <v>04-08-2020</v>
      </c>
      <c r="N104" t="str">
        <f t="shared" si="36"/>
        <v>001105018356</v>
      </c>
      <c r="O104" t="str">
        <f t="shared" si="37"/>
        <v>MYR</v>
      </c>
      <c r="P104" t="str">
        <f t="shared" si="47"/>
        <v>NIL</v>
      </c>
      <c r="Q104" t="str">
        <f t="shared" si="47"/>
        <v>NIL</v>
      </c>
      <c r="R104" t="str">
        <f t="shared" si="38"/>
        <v>Accepted</v>
      </c>
      <c r="S104" t="str">
        <f t="shared" si="39"/>
        <v>Approved</v>
      </c>
      <c r="T104" t="str">
        <f t="shared" si="40"/>
        <v>10.20.8.188</v>
      </c>
      <c r="U104" t="str">
        <f t="shared" si="41"/>
        <v>AZRAD UMAR BIN SHAARI</v>
      </c>
      <c r="V104" t="str">
        <f t="shared" si="42"/>
        <v>FARHANA BINTI MUSTAPA</v>
      </c>
      <c r="W104" t="str">
        <f t="shared" si="43"/>
        <v>04-08-2020</v>
      </c>
      <c r="X104" t="str">
        <f t="shared" si="44"/>
        <v>RAZIMAH ANSAR AHMAD</v>
      </c>
      <c r="Y104" t="str">
        <f t="shared" si="45"/>
        <v>04-08-2020</v>
      </c>
      <c r="Z104" t="str">
        <f>"COS10200804 503"</f>
        <v>COS10200804 503</v>
      </c>
    </row>
    <row r="105" spans="1:26" x14ac:dyDescent="0.25">
      <c r="A105" t="str">
        <f t="shared" si="48"/>
        <v>04-08-2020 02:12:40</v>
      </c>
      <c r="B105" t="str">
        <f>"0000810893"</f>
        <v>0000810893</v>
      </c>
      <c r="C105" t="str">
        <f t="shared" si="49"/>
        <v>0000810791</v>
      </c>
      <c r="D105" t="str">
        <f t="shared" si="31"/>
        <v>73185</v>
      </c>
      <c r="E105" t="str">
        <f t="shared" si="32"/>
        <v>KFH-OPERATIONS DEPARTMENT</v>
      </c>
      <c r="F105" t="str">
        <f t="shared" si="33"/>
        <v>IBG</v>
      </c>
      <c r="G105" t="str">
        <f t="shared" si="50"/>
        <v>Refund COSHARE 10</v>
      </c>
      <c r="H105" s="2">
        <v>1301.25</v>
      </c>
      <c r="I105" t="str">
        <f>"NOOR FAZILA BINTI ABDUL MANAF"</f>
        <v>NOOR FAZILA BINTI ABDUL MANAF</v>
      </c>
      <c r="J105" t="str">
        <f t="shared" si="51"/>
        <v>BANK ISLAM BHD</v>
      </c>
      <c r="K105" t="str">
        <f>"13035020092110"</f>
        <v>13035020092110</v>
      </c>
      <c r="L105" t="str">
        <f t="shared" si="46"/>
        <v>04-08-2020</v>
      </c>
      <c r="M105" t="str">
        <f t="shared" si="46"/>
        <v>04-08-2020</v>
      </c>
      <c r="N105" t="str">
        <f t="shared" si="36"/>
        <v>001105018356</v>
      </c>
      <c r="O105" t="str">
        <f t="shared" si="37"/>
        <v>MYR</v>
      </c>
      <c r="P105" t="str">
        <f t="shared" si="47"/>
        <v>NIL</v>
      </c>
      <c r="Q105" t="str">
        <f t="shared" si="47"/>
        <v>NIL</v>
      </c>
      <c r="R105" t="str">
        <f t="shared" si="38"/>
        <v>Accepted</v>
      </c>
      <c r="S105" t="str">
        <f t="shared" si="39"/>
        <v>Approved</v>
      </c>
      <c r="T105" t="str">
        <f t="shared" si="40"/>
        <v>10.20.8.188</v>
      </c>
      <c r="U105" t="str">
        <f t="shared" si="41"/>
        <v>AZRAD UMAR BIN SHAARI</v>
      </c>
      <c r="V105" t="str">
        <f t="shared" si="42"/>
        <v>FARHANA BINTI MUSTAPA</v>
      </c>
      <c r="W105" t="str">
        <f t="shared" si="43"/>
        <v>04-08-2020</v>
      </c>
      <c r="X105" t="str">
        <f t="shared" si="44"/>
        <v>RAZIMAH ANSAR AHMAD</v>
      </c>
      <c r="Y105" t="str">
        <f t="shared" si="45"/>
        <v>04-08-2020</v>
      </c>
      <c r="Z105" t="str">
        <f>"COS10200804 502"</f>
        <v>COS10200804 502</v>
      </c>
    </row>
    <row r="106" spans="1:26" x14ac:dyDescent="0.25">
      <c r="A106" t="str">
        <f t="shared" si="48"/>
        <v>04-08-2020 02:12:40</v>
      </c>
      <c r="B106" t="str">
        <f>"0000810892"</f>
        <v>0000810892</v>
      </c>
      <c r="C106" t="str">
        <f t="shared" si="49"/>
        <v>0000810791</v>
      </c>
      <c r="D106" t="str">
        <f t="shared" si="31"/>
        <v>73185</v>
      </c>
      <c r="E106" t="str">
        <f t="shared" si="32"/>
        <v>KFH-OPERATIONS DEPARTMENT</v>
      </c>
      <c r="F106" t="str">
        <f t="shared" si="33"/>
        <v>IBG</v>
      </c>
      <c r="G106" t="str">
        <f t="shared" si="50"/>
        <v>Refund COSHARE 10</v>
      </c>
      <c r="H106" s="2">
        <v>620.9</v>
      </c>
      <c r="I106" t="str">
        <f>"NOOR AZURA BINTI JAFFERI"</f>
        <v>NOOR AZURA BINTI JAFFERI</v>
      </c>
      <c r="J106" t="str">
        <f t="shared" si="51"/>
        <v>BANK ISLAM BHD</v>
      </c>
      <c r="K106" t="str">
        <f>"01050020030779"</f>
        <v>01050020030779</v>
      </c>
      <c r="L106" t="str">
        <f t="shared" si="46"/>
        <v>04-08-2020</v>
      </c>
      <c r="M106" t="str">
        <f t="shared" si="46"/>
        <v>04-08-2020</v>
      </c>
      <c r="N106" t="str">
        <f t="shared" si="36"/>
        <v>001105018356</v>
      </c>
      <c r="O106" t="str">
        <f t="shared" si="37"/>
        <v>MYR</v>
      </c>
      <c r="P106" t="str">
        <f t="shared" si="47"/>
        <v>NIL</v>
      </c>
      <c r="Q106" t="str">
        <f t="shared" si="47"/>
        <v>NIL</v>
      </c>
      <c r="R106" t="str">
        <f t="shared" si="38"/>
        <v>Accepted</v>
      </c>
      <c r="S106" t="str">
        <f t="shared" si="39"/>
        <v>Approved</v>
      </c>
      <c r="T106" t="str">
        <f t="shared" si="40"/>
        <v>10.20.8.188</v>
      </c>
      <c r="U106" t="str">
        <f t="shared" si="41"/>
        <v>AZRAD UMAR BIN SHAARI</v>
      </c>
      <c r="V106" t="str">
        <f t="shared" si="42"/>
        <v>FARHANA BINTI MUSTAPA</v>
      </c>
      <c r="W106" t="str">
        <f t="shared" si="43"/>
        <v>04-08-2020</v>
      </c>
      <c r="X106" t="str">
        <f t="shared" si="44"/>
        <v>RAZIMAH ANSAR AHMAD</v>
      </c>
      <c r="Y106" t="str">
        <f t="shared" si="45"/>
        <v>04-08-2020</v>
      </c>
      <c r="Z106" t="str">
        <f>"COS10200804 501"</f>
        <v>COS10200804 501</v>
      </c>
    </row>
    <row r="107" spans="1:26" x14ac:dyDescent="0.25">
      <c r="A107" t="str">
        <f t="shared" si="48"/>
        <v>04-08-2020 02:12:40</v>
      </c>
      <c r="B107" t="str">
        <f>"0000810891"</f>
        <v>0000810891</v>
      </c>
      <c r="C107" t="str">
        <f t="shared" si="49"/>
        <v>0000810791</v>
      </c>
      <c r="D107" t="str">
        <f t="shared" si="31"/>
        <v>73185</v>
      </c>
      <c r="E107" t="str">
        <f t="shared" si="32"/>
        <v>KFH-OPERATIONS DEPARTMENT</v>
      </c>
      <c r="F107" t="str">
        <f t="shared" si="33"/>
        <v>IBG</v>
      </c>
      <c r="G107" t="str">
        <f t="shared" si="50"/>
        <v>Refund COSHARE 10</v>
      </c>
      <c r="H107" s="2">
        <v>117.55</v>
      </c>
      <c r="I107" t="str">
        <f>"NOOR AZMAH BINTI AHMAD ZAKI"</f>
        <v>NOOR AZMAH BINTI AHMAD ZAKI</v>
      </c>
      <c r="J107" t="str">
        <f t="shared" si="51"/>
        <v>BANK ISLAM BHD</v>
      </c>
      <c r="K107" t="str">
        <f>"16018020203164"</f>
        <v>16018020203164</v>
      </c>
      <c r="L107" t="str">
        <f t="shared" ref="L107:M126" si="52">"04-08-2020"</f>
        <v>04-08-2020</v>
      </c>
      <c r="M107" t="str">
        <f t="shared" si="52"/>
        <v>04-08-2020</v>
      </c>
      <c r="N107" t="str">
        <f t="shared" si="36"/>
        <v>001105018356</v>
      </c>
      <c r="O107" t="str">
        <f t="shared" si="37"/>
        <v>MYR</v>
      </c>
      <c r="P107" t="str">
        <f t="shared" ref="P107:Q126" si="53">"NIL"</f>
        <v>NIL</v>
      </c>
      <c r="Q107" t="str">
        <f t="shared" si="53"/>
        <v>NIL</v>
      </c>
      <c r="R107" t="str">
        <f t="shared" si="38"/>
        <v>Accepted</v>
      </c>
      <c r="S107" t="str">
        <f t="shared" si="39"/>
        <v>Approved</v>
      </c>
      <c r="T107" t="str">
        <f t="shared" si="40"/>
        <v>10.20.8.188</v>
      </c>
      <c r="U107" t="str">
        <f t="shared" si="41"/>
        <v>AZRAD UMAR BIN SHAARI</v>
      </c>
      <c r="V107" t="str">
        <f t="shared" si="42"/>
        <v>FARHANA BINTI MUSTAPA</v>
      </c>
      <c r="W107" t="str">
        <f t="shared" si="43"/>
        <v>04-08-2020</v>
      </c>
      <c r="X107" t="str">
        <f t="shared" si="44"/>
        <v>RAZIMAH ANSAR AHMAD</v>
      </c>
      <c r="Y107" t="str">
        <f t="shared" si="45"/>
        <v>04-08-2020</v>
      </c>
      <c r="Z107" t="str">
        <f>"COS10200804 500"</f>
        <v>COS10200804 500</v>
      </c>
    </row>
    <row r="108" spans="1:26" x14ac:dyDescent="0.25">
      <c r="A108" t="str">
        <f t="shared" si="48"/>
        <v>04-08-2020 02:12:40</v>
      </c>
      <c r="B108" t="str">
        <f>"0000810890"</f>
        <v>0000810890</v>
      </c>
      <c r="C108" t="str">
        <f t="shared" si="49"/>
        <v>0000810791</v>
      </c>
      <c r="D108" t="str">
        <f t="shared" si="31"/>
        <v>73185</v>
      </c>
      <c r="E108" t="str">
        <f t="shared" si="32"/>
        <v>KFH-OPERATIONS DEPARTMENT</v>
      </c>
      <c r="F108" t="str">
        <f t="shared" si="33"/>
        <v>IBG</v>
      </c>
      <c r="G108" t="str">
        <f t="shared" si="50"/>
        <v>Refund COSHARE 10</v>
      </c>
      <c r="H108" s="2">
        <v>50.4</v>
      </c>
      <c r="I108" t="str">
        <f>"NOOR AZLINA BINTI IBRAHIM"</f>
        <v>NOOR AZLINA BINTI IBRAHIM</v>
      </c>
      <c r="J108" t="str">
        <f t="shared" si="51"/>
        <v>BANK ISLAM BHD</v>
      </c>
      <c r="K108" t="str">
        <f>"01032020090972"</f>
        <v>01032020090972</v>
      </c>
      <c r="L108" t="str">
        <f t="shared" si="52"/>
        <v>04-08-2020</v>
      </c>
      <c r="M108" t="str">
        <f t="shared" si="52"/>
        <v>04-08-2020</v>
      </c>
      <c r="N108" t="str">
        <f t="shared" si="36"/>
        <v>001105018356</v>
      </c>
      <c r="O108" t="str">
        <f t="shared" si="37"/>
        <v>MYR</v>
      </c>
      <c r="P108" t="str">
        <f t="shared" si="53"/>
        <v>NIL</v>
      </c>
      <c r="Q108" t="str">
        <f t="shared" si="53"/>
        <v>NIL</v>
      </c>
      <c r="R108" t="str">
        <f t="shared" si="38"/>
        <v>Accepted</v>
      </c>
      <c r="S108" t="str">
        <f t="shared" si="39"/>
        <v>Approved</v>
      </c>
      <c r="T108" t="str">
        <f t="shared" si="40"/>
        <v>10.20.8.188</v>
      </c>
      <c r="U108" t="str">
        <f t="shared" si="41"/>
        <v>AZRAD UMAR BIN SHAARI</v>
      </c>
      <c r="V108" t="str">
        <f t="shared" si="42"/>
        <v>FARHANA BINTI MUSTAPA</v>
      </c>
      <c r="W108" t="str">
        <f t="shared" si="43"/>
        <v>04-08-2020</v>
      </c>
      <c r="X108" t="str">
        <f t="shared" si="44"/>
        <v>RAZIMAH ANSAR AHMAD</v>
      </c>
      <c r="Y108" t="str">
        <f t="shared" si="45"/>
        <v>04-08-2020</v>
      </c>
      <c r="Z108" t="str">
        <f>"COS10200804 499"</f>
        <v>COS10200804 499</v>
      </c>
    </row>
    <row r="109" spans="1:26" x14ac:dyDescent="0.25">
      <c r="A109" t="str">
        <f t="shared" si="48"/>
        <v>04-08-2020 02:12:40</v>
      </c>
      <c r="B109" t="str">
        <f>"0000810889"</f>
        <v>0000810889</v>
      </c>
      <c r="C109" t="str">
        <f t="shared" si="49"/>
        <v>0000810791</v>
      </c>
      <c r="D109" t="str">
        <f t="shared" si="31"/>
        <v>73185</v>
      </c>
      <c r="E109" t="str">
        <f t="shared" si="32"/>
        <v>KFH-OPERATIONS DEPARTMENT</v>
      </c>
      <c r="F109" t="str">
        <f t="shared" si="33"/>
        <v>IBG</v>
      </c>
      <c r="G109" t="str">
        <f t="shared" si="50"/>
        <v>Refund COSHARE 10</v>
      </c>
      <c r="H109" s="2">
        <v>1518</v>
      </c>
      <c r="I109" t="str">
        <f>"NOOR AZIDAH BINTI AB AZIZ"</f>
        <v>NOOR AZIDAH BINTI AB AZIZ</v>
      </c>
      <c r="J109" t="str">
        <f t="shared" si="51"/>
        <v>BANK ISLAM BHD</v>
      </c>
      <c r="K109" t="str">
        <f>"02057020060898"</f>
        <v>02057020060898</v>
      </c>
      <c r="L109" t="str">
        <f t="shared" si="52"/>
        <v>04-08-2020</v>
      </c>
      <c r="M109" t="str">
        <f t="shared" si="52"/>
        <v>04-08-2020</v>
      </c>
      <c r="N109" t="str">
        <f t="shared" si="36"/>
        <v>001105018356</v>
      </c>
      <c r="O109" t="str">
        <f t="shared" si="37"/>
        <v>MYR</v>
      </c>
      <c r="P109" t="str">
        <f t="shared" si="53"/>
        <v>NIL</v>
      </c>
      <c r="Q109" t="str">
        <f t="shared" si="53"/>
        <v>NIL</v>
      </c>
      <c r="R109" t="str">
        <f t="shared" si="38"/>
        <v>Accepted</v>
      </c>
      <c r="S109" t="str">
        <f t="shared" si="39"/>
        <v>Approved</v>
      </c>
      <c r="T109" t="str">
        <f t="shared" si="40"/>
        <v>10.20.8.188</v>
      </c>
      <c r="U109" t="str">
        <f t="shared" si="41"/>
        <v>AZRAD UMAR BIN SHAARI</v>
      </c>
      <c r="V109" t="str">
        <f t="shared" si="42"/>
        <v>FARHANA BINTI MUSTAPA</v>
      </c>
      <c r="W109" t="str">
        <f t="shared" si="43"/>
        <v>04-08-2020</v>
      </c>
      <c r="X109" t="str">
        <f t="shared" si="44"/>
        <v>RAZIMAH ANSAR AHMAD</v>
      </c>
      <c r="Y109" t="str">
        <f t="shared" si="45"/>
        <v>04-08-2020</v>
      </c>
      <c r="Z109" t="str">
        <f>"COS10200804 498"</f>
        <v>COS10200804 498</v>
      </c>
    </row>
    <row r="110" spans="1:26" x14ac:dyDescent="0.25">
      <c r="A110" t="str">
        <f t="shared" si="48"/>
        <v>04-08-2020 02:12:40</v>
      </c>
      <c r="B110" t="str">
        <f>"0000810888"</f>
        <v>0000810888</v>
      </c>
      <c r="C110" t="str">
        <f t="shared" si="49"/>
        <v>0000810791</v>
      </c>
      <c r="D110" t="str">
        <f t="shared" si="31"/>
        <v>73185</v>
      </c>
      <c r="E110" t="str">
        <f t="shared" si="32"/>
        <v>KFH-OPERATIONS DEPARTMENT</v>
      </c>
      <c r="F110" t="str">
        <f t="shared" si="33"/>
        <v>IBG</v>
      </c>
      <c r="G110" t="str">
        <f t="shared" si="50"/>
        <v>Refund COSHARE 10</v>
      </c>
      <c r="H110" s="2">
        <v>83.95</v>
      </c>
      <c r="I110" t="str">
        <f>"NOOR AYUAZILA BINTI SULAIMAN"</f>
        <v>NOOR AYUAZILA BINTI SULAIMAN</v>
      </c>
      <c r="J110" t="str">
        <f t="shared" si="51"/>
        <v>BANK ISLAM BHD</v>
      </c>
      <c r="K110" t="str">
        <f>"06019020408820"</f>
        <v>06019020408820</v>
      </c>
      <c r="L110" t="str">
        <f t="shared" si="52"/>
        <v>04-08-2020</v>
      </c>
      <c r="M110" t="str">
        <f t="shared" si="52"/>
        <v>04-08-2020</v>
      </c>
      <c r="N110" t="str">
        <f t="shared" si="36"/>
        <v>001105018356</v>
      </c>
      <c r="O110" t="str">
        <f t="shared" si="37"/>
        <v>MYR</v>
      </c>
      <c r="P110" t="str">
        <f t="shared" si="53"/>
        <v>NIL</v>
      </c>
      <c r="Q110" t="str">
        <f t="shared" si="53"/>
        <v>NIL</v>
      </c>
      <c r="R110" t="str">
        <f t="shared" si="38"/>
        <v>Accepted</v>
      </c>
      <c r="S110" t="str">
        <f t="shared" si="39"/>
        <v>Approved</v>
      </c>
      <c r="T110" t="str">
        <f t="shared" si="40"/>
        <v>10.20.8.188</v>
      </c>
      <c r="U110" t="str">
        <f t="shared" si="41"/>
        <v>AZRAD UMAR BIN SHAARI</v>
      </c>
      <c r="V110" t="str">
        <f t="shared" si="42"/>
        <v>FARHANA BINTI MUSTAPA</v>
      </c>
      <c r="W110" t="str">
        <f t="shared" si="43"/>
        <v>04-08-2020</v>
      </c>
      <c r="X110" t="str">
        <f t="shared" si="44"/>
        <v>RAZIMAH ANSAR AHMAD</v>
      </c>
      <c r="Y110" t="str">
        <f t="shared" si="45"/>
        <v>04-08-2020</v>
      </c>
      <c r="Z110" t="str">
        <f>"COS10200804 497"</f>
        <v>COS10200804 497</v>
      </c>
    </row>
    <row r="111" spans="1:26" x14ac:dyDescent="0.25">
      <c r="A111" t="str">
        <f t="shared" si="48"/>
        <v>04-08-2020 02:12:40</v>
      </c>
      <c r="B111" t="str">
        <f>"0000810887"</f>
        <v>0000810887</v>
      </c>
      <c r="C111" t="str">
        <f t="shared" si="49"/>
        <v>0000810791</v>
      </c>
      <c r="D111" t="str">
        <f t="shared" si="31"/>
        <v>73185</v>
      </c>
      <c r="E111" t="str">
        <f t="shared" si="32"/>
        <v>KFH-OPERATIONS DEPARTMENT</v>
      </c>
      <c r="F111" t="str">
        <f t="shared" si="33"/>
        <v>IBG</v>
      </c>
      <c r="G111" t="str">
        <f t="shared" si="50"/>
        <v>Refund COSHARE 10</v>
      </c>
      <c r="H111" s="2">
        <v>372</v>
      </c>
      <c r="I111" t="str">
        <f>"NOOR ASYIKIN BINTI ABDUL RAHIM"</f>
        <v>NOOR ASYIKIN BINTI ABDUL RAHIM</v>
      </c>
      <c r="J111" t="str">
        <f t="shared" si="51"/>
        <v>BANK ISLAM BHD</v>
      </c>
      <c r="K111" t="str">
        <f>"01087020212843"</f>
        <v>01087020212843</v>
      </c>
      <c r="L111" t="str">
        <f t="shared" si="52"/>
        <v>04-08-2020</v>
      </c>
      <c r="M111" t="str">
        <f t="shared" si="52"/>
        <v>04-08-2020</v>
      </c>
      <c r="N111" t="str">
        <f t="shared" si="36"/>
        <v>001105018356</v>
      </c>
      <c r="O111" t="str">
        <f t="shared" si="37"/>
        <v>MYR</v>
      </c>
      <c r="P111" t="str">
        <f t="shared" si="53"/>
        <v>NIL</v>
      </c>
      <c r="Q111" t="str">
        <f t="shared" si="53"/>
        <v>NIL</v>
      </c>
      <c r="R111" t="str">
        <f t="shared" si="38"/>
        <v>Accepted</v>
      </c>
      <c r="S111" t="str">
        <f t="shared" si="39"/>
        <v>Approved</v>
      </c>
      <c r="T111" t="str">
        <f t="shared" si="40"/>
        <v>10.20.8.188</v>
      </c>
      <c r="U111" t="str">
        <f t="shared" si="41"/>
        <v>AZRAD UMAR BIN SHAARI</v>
      </c>
      <c r="V111" t="str">
        <f t="shared" si="42"/>
        <v>FARHANA BINTI MUSTAPA</v>
      </c>
      <c r="W111" t="str">
        <f t="shared" si="43"/>
        <v>04-08-2020</v>
      </c>
      <c r="X111" t="str">
        <f t="shared" si="44"/>
        <v>RAZIMAH ANSAR AHMAD</v>
      </c>
      <c r="Y111" t="str">
        <f t="shared" si="45"/>
        <v>04-08-2020</v>
      </c>
      <c r="Z111" t="str">
        <f>"COS10200804 496"</f>
        <v>COS10200804 496</v>
      </c>
    </row>
    <row r="112" spans="1:26" x14ac:dyDescent="0.25">
      <c r="A112" t="str">
        <f t="shared" si="48"/>
        <v>04-08-2020 02:12:40</v>
      </c>
      <c r="B112" t="str">
        <f>"0000810886"</f>
        <v>0000810886</v>
      </c>
      <c r="C112" t="str">
        <f t="shared" si="49"/>
        <v>0000810791</v>
      </c>
      <c r="D112" t="str">
        <f t="shared" si="31"/>
        <v>73185</v>
      </c>
      <c r="E112" t="str">
        <f t="shared" si="32"/>
        <v>KFH-OPERATIONS DEPARTMENT</v>
      </c>
      <c r="F112" t="str">
        <f t="shared" si="33"/>
        <v>IBG</v>
      </c>
      <c r="G112" t="str">
        <f t="shared" si="50"/>
        <v>Refund COSHARE 10</v>
      </c>
      <c r="H112" s="2">
        <v>452.4</v>
      </c>
      <c r="I112" t="str">
        <f>"NIK SAIFUDDIN BIN SALLEH"</f>
        <v>NIK SAIFUDDIN BIN SALLEH</v>
      </c>
      <c r="J112" t="str">
        <f t="shared" si="51"/>
        <v>BANK ISLAM BHD</v>
      </c>
      <c r="K112" t="str">
        <f>"03054020262334"</f>
        <v>03054020262334</v>
      </c>
      <c r="L112" t="str">
        <f t="shared" si="52"/>
        <v>04-08-2020</v>
      </c>
      <c r="M112" t="str">
        <f t="shared" si="52"/>
        <v>04-08-2020</v>
      </c>
      <c r="N112" t="str">
        <f t="shared" si="36"/>
        <v>001105018356</v>
      </c>
      <c r="O112" t="str">
        <f t="shared" si="37"/>
        <v>MYR</v>
      </c>
      <c r="P112" t="str">
        <f t="shared" si="53"/>
        <v>NIL</v>
      </c>
      <c r="Q112" t="str">
        <f t="shared" si="53"/>
        <v>NIL</v>
      </c>
      <c r="R112" t="str">
        <f t="shared" si="38"/>
        <v>Accepted</v>
      </c>
      <c r="S112" t="str">
        <f t="shared" si="39"/>
        <v>Approved</v>
      </c>
      <c r="T112" t="str">
        <f t="shared" si="40"/>
        <v>10.20.8.188</v>
      </c>
      <c r="U112" t="str">
        <f t="shared" si="41"/>
        <v>AZRAD UMAR BIN SHAARI</v>
      </c>
      <c r="V112" t="str">
        <f t="shared" si="42"/>
        <v>FARHANA BINTI MUSTAPA</v>
      </c>
      <c r="W112" t="str">
        <f t="shared" si="43"/>
        <v>04-08-2020</v>
      </c>
      <c r="X112" t="str">
        <f t="shared" si="44"/>
        <v>RAZIMAH ANSAR AHMAD</v>
      </c>
      <c r="Y112" t="str">
        <f t="shared" si="45"/>
        <v>04-08-2020</v>
      </c>
      <c r="Z112" t="str">
        <f>"COS10200804 495"</f>
        <v>COS10200804 495</v>
      </c>
    </row>
    <row r="113" spans="1:26" x14ac:dyDescent="0.25">
      <c r="A113" t="str">
        <f t="shared" si="48"/>
        <v>04-08-2020 02:12:40</v>
      </c>
      <c r="B113" t="str">
        <f>"0000810885"</f>
        <v>0000810885</v>
      </c>
      <c r="C113" t="str">
        <f t="shared" si="49"/>
        <v>0000810791</v>
      </c>
      <c r="D113" t="str">
        <f t="shared" si="31"/>
        <v>73185</v>
      </c>
      <c r="E113" t="str">
        <f t="shared" si="32"/>
        <v>KFH-OPERATIONS DEPARTMENT</v>
      </c>
      <c r="F113" t="str">
        <f t="shared" si="33"/>
        <v>IBG</v>
      </c>
      <c r="G113" t="str">
        <f t="shared" si="50"/>
        <v>Refund COSHARE 10</v>
      </c>
      <c r="H113" s="2">
        <v>638.04999999999995</v>
      </c>
      <c r="I113" t="str">
        <f>"NIK MOHD ZULMI BIN RAMLI"</f>
        <v>NIK MOHD ZULMI BIN RAMLI</v>
      </c>
      <c r="J113" t="str">
        <f t="shared" si="51"/>
        <v>BANK ISLAM BHD</v>
      </c>
      <c r="K113" t="str">
        <f>"03036020690689"</f>
        <v>03036020690689</v>
      </c>
      <c r="L113" t="str">
        <f t="shared" si="52"/>
        <v>04-08-2020</v>
      </c>
      <c r="M113" t="str">
        <f t="shared" si="52"/>
        <v>04-08-2020</v>
      </c>
      <c r="N113" t="str">
        <f t="shared" si="36"/>
        <v>001105018356</v>
      </c>
      <c r="O113" t="str">
        <f t="shared" si="37"/>
        <v>MYR</v>
      </c>
      <c r="P113" t="str">
        <f t="shared" si="53"/>
        <v>NIL</v>
      </c>
      <c r="Q113" t="str">
        <f t="shared" si="53"/>
        <v>NIL</v>
      </c>
      <c r="R113" t="str">
        <f t="shared" si="38"/>
        <v>Accepted</v>
      </c>
      <c r="S113" t="str">
        <f t="shared" si="39"/>
        <v>Approved</v>
      </c>
      <c r="T113" t="str">
        <f t="shared" si="40"/>
        <v>10.20.8.188</v>
      </c>
      <c r="U113" t="str">
        <f t="shared" si="41"/>
        <v>AZRAD UMAR BIN SHAARI</v>
      </c>
      <c r="V113" t="str">
        <f t="shared" si="42"/>
        <v>FARHANA BINTI MUSTAPA</v>
      </c>
      <c r="W113" t="str">
        <f t="shared" si="43"/>
        <v>04-08-2020</v>
      </c>
      <c r="X113" t="str">
        <f t="shared" si="44"/>
        <v>RAZIMAH ANSAR AHMAD</v>
      </c>
      <c r="Y113" t="str">
        <f t="shared" si="45"/>
        <v>04-08-2020</v>
      </c>
      <c r="Z113" t="str">
        <f>"COS10200804 494"</f>
        <v>COS10200804 494</v>
      </c>
    </row>
    <row r="114" spans="1:26" x14ac:dyDescent="0.25">
      <c r="A114" t="str">
        <f t="shared" si="48"/>
        <v>04-08-2020 02:12:40</v>
      </c>
      <c r="B114" t="str">
        <f>"0000810884"</f>
        <v>0000810884</v>
      </c>
      <c r="C114" t="str">
        <f t="shared" si="49"/>
        <v>0000810791</v>
      </c>
      <c r="D114" t="str">
        <f t="shared" si="31"/>
        <v>73185</v>
      </c>
      <c r="E114" t="str">
        <f t="shared" si="32"/>
        <v>KFH-OPERATIONS DEPARTMENT</v>
      </c>
      <c r="F114" t="str">
        <f t="shared" si="33"/>
        <v>IBG</v>
      </c>
      <c r="G114" t="str">
        <f t="shared" si="50"/>
        <v>Refund COSHARE 10</v>
      </c>
      <c r="H114" s="2">
        <v>334</v>
      </c>
      <c r="I114" t="str">
        <f>"NIK MAHERAN BINTI NIK MAHMUD"</f>
        <v>NIK MAHERAN BINTI NIK MAHMUD</v>
      </c>
      <c r="J114" t="str">
        <f t="shared" si="51"/>
        <v>BANK ISLAM BHD</v>
      </c>
      <c r="K114" t="str">
        <f>"03045020123369"</f>
        <v>03045020123369</v>
      </c>
      <c r="L114" t="str">
        <f t="shared" si="52"/>
        <v>04-08-2020</v>
      </c>
      <c r="M114" t="str">
        <f t="shared" si="52"/>
        <v>04-08-2020</v>
      </c>
      <c r="N114" t="str">
        <f t="shared" si="36"/>
        <v>001105018356</v>
      </c>
      <c r="O114" t="str">
        <f t="shared" si="37"/>
        <v>MYR</v>
      </c>
      <c r="P114" t="str">
        <f t="shared" si="53"/>
        <v>NIL</v>
      </c>
      <c r="Q114" t="str">
        <f t="shared" si="53"/>
        <v>NIL</v>
      </c>
      <c r="R114" t="str">
        <f t="shared" si="38"/>
        <v>Accepted</v>
      </c>
      <c r="S114" t="str">
        <f t="shared" si="39"/>
        <v>Approved</v>
      </c>
      <c r="T114" t="str">
        <f t="shared" si="40"/>
        <v>10.20.8.188</v>
      </c>
      <c r="U114" t="str">
        <f t="shared" si="41"/>
        <v>AZRAD UMAR BIN SHAARI</v>
      </c>
      <c r="V114" t="str">
        <f t="shared" si="42"/>
        <v>FARHANA BINTI MUSTAPA</v>
      </c>
      <c r="W114" t="str">
        <f t="shared" si="43"/>
        <v>04-08-2020</v>
      </c>
      <c r="X114" t="str">
        <f t="shared" si="44"/>
        <v>RAZIMAH ANSAR AHMAD</v>
      </c>
      <c r="Y114" t="str">
        <f t="shared" si="45"/>
        <v>04-08-2020</v>
      </c>
      <c r="Z114" t="str">
        <f>"COS10200804 493"</f>
        <v>COS10200804 493</v>
      </c>
    </row>
    <row r="115" spans="1:26" x14ac:dyDescent="0.25">
      <c r="A115" t="str">
        <f t="shared" si="48"/>
        <v>04-08-2020 02:12:40</v>
      </c>
      <c r="B115" t="str">
        <f>"0000810883"</f>
        <v>0000810883</v>
      </c>
      <c r="C115" t="str">
        <f t="shared" si="49"/>
        <v>0000810791</v>
      </c>
      <c r="D115" t="str">
        <f t="shared" si="31"/>
        <v>73185</v>
      </c>
      <c r="E115" t="str">
        <f t="shared" si="32"/>
        <v>KFH-OPERATIONS DEPARTMENT</v>
      </c>
      <c r="F115" t="str">
        <f t="shared" si="33"/>
        <v>IBG</v>
      </c>
      <c r="G115" t="str">
        <f t="shared" si="50"/>
        <v>Refund COSHARE 10</v>
      </c>
      <c r="H115" s="2">
        <v>1553.1</v>
      </c>
      <c r="I115" t="str">
        <f>"NAZIHA BINTI NASRUDDIN"</f>
        <v>NAZIHA BINTI NASRUDDIN</v>
      </c>
      <c r="J115" t="str">
        <f t="shared" si="51"/>
        <v>BANK ISLAM BHD</v>
      </c>
      <c r="K115" t="str">
        <f>"12010024695270"</f>
        <v>12010024695270</v>
      </c>
      <c r="L115" t="str">
        <f t="shared" si="52"/>
        <v>04-08-2020</v>
      </c>
      <c r="M115" t="str">
        <f t="shared" si="52"/>
        <v>04-08-2020</v>
      </c>
      <c r="N115" t="str">
        <f t="shared" si="36"/>
        <v>001105018356</v>
      </c>
      <c r="O115" t="str">
        <f t="shared" si="37"/>
        <v>MYR</v>
      </c>
      <c r="P115" t="str">
        <f t="shared" si="53"/>
        <v>NIL</v>
      </c>
      <c r="Q115" t="str">
        <f t="shared" si="53"/>
        <v>NIL</v>
      </c>
      <c r="R115" t="str">
        <f t="shared" si="38"/>
        <v>Accepted</v>
      </c>
      <c r="S115" t="str">
        <f t="shared" si="39"/>
        <v>Approved</v>
      </c>
      <c r="T115" t="str">
        <f t="shared" si="40"/>
        <v>10.20.8.188</v>
      </c>
      <c r="U115" t="str">
        <f t="shared" si="41"/>
        <v>AZRAD UMAR BIN SHAARI</v>
      </c>
      <c r="V115" t="str">
        <f t="shared" si="42"/>
        <v>FARHANA BINTI MUSTAPA</v>
      </c>
      <c r="W115" t="str">
        <f t="shared" si="43"/>
        <v>04-08-2020</v>
      </c>
      <c r="X115" t="str">
        <f t="shared" si="44"/>
        <v>RAZIMAH ANSAR AHMAD</v>
      </c>
      <c r="Y115" t="str">
        <f t="shared" si="45"/>
        <v>04-08-2020</v>
      </c>
      <c r="Z115" t="str">
        <f>"COS10200804 492"</f>
        <v>COS10200804 492</v>
      </c>
    </row>
    <row r="116" spans="1:26" x14ac:dyDescent="0.25">
      <c r="A116" t="str">
        <f t="shared" si="48"/>
        <v>04-08-2020 02:12:40</v>
      </c>
      <c r="B116" t="str">
        <f>"0000810882"</f>
        <v>0000810882</v>
      </c>
      <c r="C116" t="str">
        <f t="shared" si="49"/>
        <v>0000810791</v>
      </c>
      <c r="D116" t="str">
        <f t="shared" si="31"/>
        <v>73185</v>
      </c>
      <c r="E116" t="str">
        <f t="shared" si="32"/>
        <v>KFH-OPERATIONS DEPARTMENT</v>
      </c>
      <c r="F116" t="str">
        <f t="shared" si="33"/>
        <v>IBG</v>
      </c>
      <c r="G116" t="str">
        <f t="shared" si="50"/>
        <v>Refund COSHARE 10</v>
      </c>
      <c r="H116" s="2">
        <v>948.2</v>
      </c>
      <c r="I116" t="str">
        <f>"NAZAR BIN BUJANG"</f>
        <v>NAZAR BIN BUJANG</v>
      </c>
      <c r="J116" t="str">
        <f t="shared" si="51"/>
        <v>BANK ISLAM BHD</v>
      </c>
      <c r="K116" t="str">
        <f>"11059021191507"</f>
        <v>11059021191507</v>
      </c>
      <c r="L116" t="str">
        <f t="shared" si="52"/>
        <v>04-08-2020</v>
      </c>
      <c r="M116" t="str">
        <f t="shared" si="52"/>
        <v>04-08-2020</v>
      </c>
      <c r="N116" t="str">
        <f t="shared" si="36"/>
        <v>001105018356</v>
      </c>
      <c r="O116" t="str">
        <f t="shared" si="37"/>
        <v>MYR</v>
      </c>
      <c r="P116" t="str">
        <f t="shared" si="53"/>
        <v>NIL</v>
      </c>
      <c r="Q116" t="str">
        <f t="shared" si="53"/>
        <v>NIL</v>
      </c>
      <c r="R116" t="str">
        <f t="shared" si="38"/>
        <v>Accepted</v>
      </c>
      <c r="S116" t="str">
        <f t="shared" si="39"/>
        <v>Approved</v>
      </c>
      <c r="T116" t="str">
        <f t="shared" si="40"/>
        <v>10.20.8.188</v>
      </c>
      <c r="U116" t="str">
        <f t="shared" si="41"/>
        <v>AZRAD UMAR BIN SHAARI</v>
      </c>
      <c r="V116" t="str">
        <f t="shared" si="42"/>
        <v>FARHANA BINTI MUSTAPA</v>
      </c>
      <c r="W116" t="str">
        <f t="shared" si="43"/>
        <v>04-08-2020</v>
      </c>
      <c r="X116" t="str">
        <f t="shared" si="44"/>
        <v>RAZIMAH ANSAR AHMAD</v>
      </c>
      <c r="Y116" t="str">
        <f t="shared" si="45"/>
        <v>04-08-2020</v>
      </c>
      <c r="Z116" t="str">
        <f>"COS10200804 491"</f>
        <v>COS10200804 491</v>
      </c>
    </row>
    <row r="117" spans="1:26" x14ac:dyDescent="0.25">
      <c r="A117" t="str">
        <f t="shared" si="48"/>
        <v>04-08-2020 02:12:40</v>
      </c>
      <c r="B117" t="str">
        <f>"0000810881"</f>
        <v>0000810881</v>
      </c>
      <c r="C117" t="str">
        <f t="shared" si="49"/>
        <v>0000810791</v>
      </c>
      <c r="D117" t="str">
        <f t="shared" si="31"/>
        <v>73185</v>
      </c>
      <c r="E117" t="str">
        <f t="shared" si="32"/>
        <v>KFH-OPERATIONS DEPARTMENT</v>
      </c>
      <c r="F117" t="str">
        <f t="shared" si="33"/>
        <v>IBG</v>
      </c>
      <c r="G117" t="str">
        <f t="shared" si="50"/>
        <v>Refund COSHARE 10</v>
      </c>
      <c r="H117" s="2">
        <v>2046.55</v>
      </c>
      <c r="I117" t="str">
        <f>"NAWAWI BIN DIMAN"</f>
        <v>NAWAWI BIN DIMAN</v>
      </c>
      <c r="J117" t="str">
        <f t="shared" si="51"/>
        <v>BANK ISLAM BHD</v>
      </c>
      <c r="K117" t="str">
        <f>"10016020106132"</f>
        <v>10016020106132</v>
      </c>
      <c r="L117" t="str">
        <f t="shared" si="52"/>
        <v>04-08-2020</v>
      </c>
      <c r="M117" t="str">
        <f t="shared" si="52"/>
        <v>04-08-2020</v>
      </c>
      <c r="N117" t="str">
        <f t="shared" si="36"/>
        <v>001105018356</v>
      </c>
      <c r="O117" t="str">
        <f t="shared" si="37"/>
        <v>MYR</v>
      </c>
      <c r="P117" t="str">
        <f t="shared" si="53"/>
        <v>NIL</v>
      </c>
      <c r="Q117" t="str">
        <f t="shared" si="53"/>
        <v>NIL</v>
      </c>
      <c r="R117" t="str">
        <f t="shared" si="38"/>
        <v>Accepted</v>
      </c>
      <c r="S117" t="str">
        <f t="shared" si="39"/>
        <v>Approved</v>
      </c>
      <c r="T117" t="str">
        <f t="shared" si="40"/>
        <v>10.20.8.188</v>
      </c>
      <c r="U117" t="str">
        <f t="shared" si="41"/>
        <v>AZRAD UMAR BIN SHAARI</v>
      </c>
      <c r="V117" t="str">
        <f t="shared" si="42"/>
        <v>FARHANA BINTI MUSTAPA</v>
      </c>
      <c r="W117" t="str">
        <f t="shared" si="43"/>
        <v>04-08-2020</v>
      </c>
      <c r="X117" t="str">
        <f t="shared" si="44"/>
        <v>RAZIMAH ANSAR AHMAD</v>
      </c>
      <c r="Y117" t="str">
        <f t="shared" si="45"/>
        <v>04-08-2020</v>
      </c>
      <c r="Z117" t="str">
        <f>"COS10200804 490"</f>
        <v>COS10200804 490</v>
      </c>
    </row>
    <row r="118" spans="1:26" x14ac:dyDescent="0.25">
      <c r="A118" t="str">
        <f t="shared" si="48"/>
        <v>04-08-2020 02:12:40</v>
      </c>
      <c r="B118" t="str">
        <f>"0000810880"</f>
        <v>0000810880</v>
      </c>
      <c r="C118" t="str">
        <f t="shared" si="49"/>
        <v>0000810791</v>
      </c>
      <c r="D118" t="str">
        <f t="shared" si="31"/>
        <v>73185</v>
      </c>
      <c r="E118" t="str">
        <f t="shared" si="32"/>
        <v>KFH-OPERATIONS DEPARTMENT</v>
      </c>
      <c r="F118" t="str">
        <f t="shared" si="33"/>
        <v>IBG</v>
      </c>
      <c r="G118" t="str">
        <f t="shared" si="50"/>
        <v>Refund COSHARE 10</v>
      </c>
      <c r="H118" s="2">
        <v>918</v>
      </c>
      <c r="I118" t="str">
        <f>"MUZAFFAR SYAH BIN ALIAS"</f>
        <v>MUZAFFAR SYAH BIN ALIAS</v>
      </c>
      <c r="J118" t="str">
        <f t="shared" si="51"/>
        <v>BANK ISLAM BHD</v>
      </c>
      <c r="K118" t="str">
        <f>"10016020888911"</f>
        <v>10016020888911</v>
      </c>
      <c r="L118" t="str">
        <f t="shared" si="52"/>
        <v>04-08-2020</v>
      </c>
      <c r="M118" t="str">
        <f t="shared" si="52"/>
        <v>04-08-2020</v>
      </c>
      <c r="N118" t="str">
        <f t="shared" si="36"/>
        <v>001105018356</v>
      </c>
      <c r="O118" t="str">
        <f t="shared" si="37"/>
        <v>MYR</v>
      </c>
      <c r="P118" t="str">
        <f t="shared" si="53"/>
        <v>NIL</v>
      </c>
      <c r="Q118" t="str">
        <f t="shared" si="53"/>
        <v>NIL</v>
      </c>
      <c r="R118" t="str">
        <f t="shared" si="38"/>
        <v>Accepted</v>
      </c>
      <c r="S118" t="str">
        <f t="shared" si="39"/>
        <v>Approved</v>
      </c>
      <c r="T118" t="str">
        <f t="shared" si="40"/>
        <v>10.20.8.188</v>
      </c>
      <c r="U118" t="str">
        <f t="shared" si="41"/>
        <v>AZRAD UMAR BIN SHAARI</v>
      </c>
      <c r="V118" t="str">
        <f t="shared" si="42"/>
        <v>FARHANA BINTI MUSTAPA</v>
      </c>
      <c r="W118" t="str">
        <f t="shared" si="43"/>
        <v>04-08-2020</v>
      </c>
      <c r="X118" t="str">
        <f t="shared" si="44"/>
        <v>RAZIMAH ANSAR AHMAD</v>
      </c>
      <c r="Y118" t="str">
        <f t="shared" si="45"/>
        <v>04-08-2020</v>
      </c>
      <c r="Z118" t="str">
        <f>"COS10200804 489"</f>
        <v>COS10200804 489</v>
      </c>
    </row>
    <row r="119" spans="1:26" x14ac:dyDescent="0.25">
      <c r="A119" t="str">
        <f t="shared" si="48"/>
        <v>04-08-2020 02:12:40</v>
      </c>
      <c r="B119" t="str">
        <f>"0000810879"</f>
        <v>0000810879</v>
      </c>
      <c r="C119" t="str">
        <f t="shared" si="49"/>
        <v>0000810791</v>
      </c>
      <c r="D119" t="str">
        <f t="shared" si="31"/>
        <v>73185</v>
      </c>
      <c r="E119" t="str">
        <f t="shared" si="32"/>
        <v>KFH-OPERATIONS DEPARTMENT</v>
      </c>
      <c r="F119" t="str">
        <f t="shared" si="33"/>
        <v>IBG</v>
      </c>
      <c r="G119" t="str">
        <f t="shared" si="50"/>
        <v>Refund COSHARE 10</v>
      </c>
      <c r="H119" s="2">
        <v>107</v>
      </c>
      <c r="I119" t="str">
        <f>"MUSTAPHA BIN MOHAMAD"</f>
        <v>MUSTAPHA BIN MOHAMAD</v>
      </c>
      <c r="J119" t="str">
        <f t="shared" si="51"/>
        <v>BANK ISLAM BHD</v>
      </c>
      <c r="K119" t="str">
        <f>"03090020063498"</f>
        <v>03090020063498</v>
      </c>
      <c r="L119" t="str">
        <f t="shared" si="52"/>
        <v>04-08-2020</v>
      </c>
      <c r="M119" t="str">
        <f t="shared" si="52"/>
        <v>04-08-2020</v>
      </c>
      <c r="N119" t="str">
        <f t="shared" si="36"/>
        <v>001105018356</v>
      </c>
      <c r="O119" t="str">
        <f t="shared" si="37"/>
        <v>MYR</v>
      </c>
      <c r="P119" t="str">
        <f t="shared" si="53"/>
        <v>NIL</v>
      </c>
      <c r="Q119" t="str">
        <f t="shared" si="53"/>
        <v>NIL</v>
      </c>
      <c r="R119" t="str">
        <f t="shared" si="38"/>
        <v>Accepted</v>
      </c>
      <c r="S119" t="str">
        <f t="shared" si="39"/>
        <v>Approved</v>
      </c>
      <c r="T119" t="str">
        <f t="shared" si="40"/>
        <v>10.20.8.188</v>
      </c>
      <c r="U119" t="str">
        <f t="shared" si="41"/>
        <v>AZRAD UMAR BIN SHAARI</v>
      </c>
      <c r="V119" t="str">
        <f t="shared" si="42"/>
        <v>FARHANA BINTI MUSTAPA</v>
      </c>
      <c r="W119" t="str">
        <f t="shared" si="43"/>
        <v>04-08-2020</v>
      </c>
      <c r="X119" t="str">
        <f t="shared" si="44"/>
        <v>RAZIMAH ANSAR AHMAD</v>
      </c>
      <c r="Y119" t="str">
        <f t="shared" si="45"/>
        <v>04-08-2020</v>
      </c>
      <c r="Z119" t="str">
        <f>"COS10200804 488"</f>
        <v>COS10200804 488</v>
      </c>
    </row>
    <row r="120" spans="1:26" x14ac:dyDescent="0.25">
      <c r="A120" t="str">
        <f t="shared" si="48"/>
        <v>04-08-2020 02:12:40</v>
      </c>
      <c r="B120" t="str">
        <f>"0000810878"</f>
        <v>0000810878</v>
      </c>
      <c r="C120" t="str">
        <f t="shared" si="49"/>
        <v>0000810791</v>
      </c>
      <c r="D120" t="str">
        <f t="shared" si="31"/>
        <v>73185</v>
      </c>
      <c r="E120" t="str">
        <f t="shared" si="32"/>
        <v>KFH-OPERATIONS DEPARTMENT</v>
      </c>
      <c r="F120" t="str">
        <f t="shared" si="33"/>
        <v>IBG</v>
      </c>
      <c r="G120" t="str">
        <f t="shared" si="50"/>
        <v>Refund COSHARE 10</v>
      </c>
      <c r="H120" s="2">
        <v>167.9</v>
      </c>
      <c r="I120" t="str">
        <f>"MURSHIZI BIN MAHADZIR"</f>
        <v>MURSHIZI BIN MAHADZIR</v>
      </c>
      <c r="J120" t="str">
        <f t="shared" si="51"/>
        <v>BANK ISLAM BHD</v>
      </c>
      <c r="K120" t="str">
        <f>"02011020814554"</f>
        <v>02011020814554</v>
      </c>
      <c r="L120" t="str">
        <f t="shared" si="52"/>
        <v>04-08-2020</v>
      </c>
      <c r="M120" t="str">
        <f t="shared" si="52"/>
        <v>04-08-2020</v>
      </c>
      <c r="N120" t="str">
        <f t="shared" si="36"/>
        <v>001105018356</v>
      </c>
      <c r="O120" t="str">
        <f t="shared" si="37"/>
        <v>MYR</v>
      </c>
      <c r="P120" t="str">
        <f t="shared" si="53"/>
        <v>NIL</v>
      </c>
      <c r="Q120" t="str">
        <f t="shared" si="53"/>
        <v>NIL</v>
      </c>
      <c r="R120" t="str">
        <f t="shared" si="38"/>
        <v>Accepted</v>
      </c>
      <c r="S120" t="str">
        <f t="shared" si="39"/>
        <v>Approved</v>
      </c>
      <c r="T120" t="str">
        <f t="shared" si="40"/>
        <v>10.20.8.188</v>
      </c>
      <c r="U120" t="str">
        <f t="shared" si="41"/>
        <v>AZRAD UMAR BIN SHAARI</v>
      </c>
      <c r="V120" t="str">
        <f t="shared" si="42"/>
        <v>FARHANA BINTI MUSTAPA</v>
      </c>
      <c r="W120" t="str">
        <f t="shared" si="43"/>
        <v>04-08-2020</v>
      </c>
      <c r="X120" t="str">
        <f t="shared" si="44"/>
        <v>RAZIMAH ANSAR AHMAD</v>
      </c>
      <c r="Y120" t="str">
        <f t="shared" si="45"/>
        <v>04-08-2020</v>
      </c>
      <c r="Z120" t="str">
        <f>"COS10200804 487"</f>
        <v>COS10200804 487</v>
      </c>
    </row>
    <row r="121" spans="1:26" x14ac:dyDescent="0.25">
      <c r="A121" t="str">
        <f t="shared" si="48"/>
        <v>04-08-2020 02:12:40</v>
      </c>
      <c r="B121" t="str">
        <f>"0000810877"</f>
        <v>0000810877</v>
      </c>
      <c r="C121" t="str">
        <f t="shared" si="49"/>
        <v>0000810791</v>
      </c>
      <c r="D121" t="str">
        <f t="shared" si="31"/>
        <v>73185</v>
      </c>
      <c r="E121" t="str">
        <f t="shared" si="32"/>
        <v>KFH-OPERATIONS DEPARTMENT</v>
      </c>
      <c r="F121" t="str">
        <f t="shared" si="33"/>
        <v>IBG</v>
      </c>
      <c r="G121" t="str">
        <f t="shared" si="50"/>
        <v>Refund COSHARE 10</v>
      </c>
      <c r="H121" s="2">
        <v>1259.25</v>
      </c>
      <c r="I121" t="str">
        <f>"MURI BIN HAMALI"</f>
        <v>MURI BIN HAMALI</v>
      </c>
      <c r="J121" t="str">
        <f t="shared" si="51"/>
        <v>BANK ISLAM BHD</v>
      </c>
      <c r="K121" t="str">
        <f>"08086020028173"</f>
        <v>08086020028173</v>
      </c>
      <c r="L121" t="str">
        <f t="shared" si="52"/>
        <v>04-08-2020</v>
      </c>
      <c r="M121" t="str">
        <f t="shared" si="52"/>
        <v>04-08-2020</v>
      </c>
      <c r="N121" t="str">
        <f t="shared" si="36"/>
        <v>001105018356</v>
      </c>
      <c r="O121" t="str">
        <f t="shared" si="37"/>
        <v>MYR</v>
      </c>
      <c r="P121" t="str">
        <f t="shared" si="53"/>
        <v>NIL</v>
      </c>
      <c r="Q121" t="str">
        <f t="shared" si="53"/>
        <v>NIL</v>
      </c>
      <c r="R121" t="str">
        <f t="shared" si="38"/>
        <v>Accepted</v>
      </c>
      <c r="S121" t="str">
        <f t="shared" si="39"/>
        <v>Approved</v>
      </c>
      <c r="T121" t="str">
        <f t="shared" si="40"/>
        <v>10.20.8.188</v>
      </c>
      <c r="U121" t="str">
        <f t="shared" si="41"/>
        <v>AZRAD UMAR BIN SHAARI</v>
      </c>
      <c r="V121" t="str">
        <f t="shared" si="42"/>
        <v>FARHANA BINTI MUSTAPA</v>
      </c>
      <c r="W121" t="str">
        <f t="shared" si="43"/>
        <v>04-08-2020</v>
      </c>
      <c r="X121" t="str">
        <f t="shared" si="44"/>
        <v>RAZIMAH ANSAR AHMAD</v>
      </c>
      <c r="Y121" t="str">
        <f t="shared" si="45"/>
        <v>04-08-2020</v>
      </c>
      <c r="Z121" t="str">
        <f>"COS10200804 486"</f>
        <v>COS10200804 486</v>
      </c>
    </row>
    <row r="122" spans="1:26" x14ac:dyDescent="0.25">
      <c r="A122" t="str">
        <f t="shared" si="48"/>
        <v>04-08-2020 02:12:40</v>
      </c>
      <c r="B122" t="str">
        <f>"0000810876"</f>
        <v>0000810876</v>
      </c>
      <c r="C122" t="str">
        <f t="shared" si="49"/>
        <v>0000810791</v>
      </c>
      <c r="D122" t="str">
        <f t="shared" si="31"/>
        <v>73185</v>
      </c>
      <c r="E122" t="str">
        <f t="shared" si="32"/>
        <v>KFH-OPERATIONS DEPARTMENT</v>
      </c>
      <c r="F122" t="str">
        <f t="shared" si="33"/>
        <v>IBG</v>
      </c>
      <c r="G122" t="str">
        <f t="shared" si="50"/>
        <v>Refund COSHARE 10</v>
      </c>
      <c r="H122" s="2">
        <v>835</v>
      </c>
      <c r="I122" t="str">
        <f>"MUHD HAZRI BIN MAT TER"</f>
        <v>MUHD HAZRI BIN MAT TER</v>
      </c>
      <c r="J122" t="str">
        <f t="shared" si="51"/>
        <v>BANK ISLAM BHD</v>
      </c>
      <c r="K122" t="str">
        <f>"12122020101038"</f>
        <v>12122020101038</v>
      </c>
      <c r="L122" t="str">
        <f t="shared" si="52"/>
        <v>04-08-2020</v>
      </c>
      <c r="M122" t="str">
        <f t="shared" si="52"/>
        <v>04-08-2020</v>
      </c>
      <c r="N122" t="str">
        <f t="shared" si="36"/>
        <v>001105018356</v>
      </c>
      <c r="O122" t="str">
        <f t="shared" si="37"/>
        <v>MYR</v>
      </c>
      <c r="P122" t="str">
        <f t="shared" si="53"/>
        <v>NIL</v>
      </c>
      <c r="Q122" t="str">
        <f t="shared" si="53"/>
        <v>NIL</v>
      </c>
      <c r="R122" t="str">
        <f t="shared" si="38"/>
        <v>Accepted</v>
      </c>
      <c r="S122" t="str">
        <f t="shared" si="39"/>
        <v>Approved</v>
      </c>
      <c r="T122" t="str">
        <f t="shared" si="40"/>
        <v>10.20.8.188</v>
      </c>
      <c r="U122" t="str">
        <f t="shared" si="41"/>
        <v>AZRAD UMAR BIN SHAARI</v>
      </c>
      <c r="V122" t="str">
        <f t="shared" si="42"/>
        <v>FARHANA BINTI MUSTAPA</v>
      </c>
      <c r="W122" t="str">
        <f t="shared" si="43"/>
        <v>04-08-2020</v>
      </c>
      <c r="X122" t="str">
        <f t="shared" si="44"/>
        <v>RAZIMAH ANSAR AHMAD</v>
      </c>
      <c r="Y122" t="str">
        <f t="shared" si="45"/>
        <v>04-08-2020</v>
      </c>
      <c r="Z122" t="str">
        <f>"COS10200804 485"</f>
        <v>COS10200804 485</v>
      </c>
    </row>
    <row r="123" spans="1:26" x14ac:dyDescent="0.25">
      <c r="A123" t="str">
        <f t="shared" si="48"/>
        <v>04-08-2020 02:12:40</v>
      </c>
      <c r="B123" t="str">
        <f>"0000810875"</f>
        <v>0000810875</v>
      </c>
      <c r="C123" t="str">
        <f t="shared" si="49"/>
        <v>0000810791</v>
      </c>
      <c r="D123" t="str">
        <f t="shared" si="31"/>
        <v>73185</v>
      </c>
      <c r="E123" t="str">
        <f t="shared" si="32"/>
        <v>KFH-OPERATIONS DEPARTMENT</v>
      </c>
      <c r="F123" t="str">
        <f t="shared" si="33"/>
        <v>IBG</v>
      </c>
      <c r="G123" t="str">
        <f t="shared" si="50"/>
        <v>Refund COSHARE 10</v>
      </c>
      <c r="H123" s="2">
        <v>209.9</v>
      </c>
      <c r="I123" t="str">
        <f>"MUHAMMAD YUSRAN BIN ISMAIL"</f>
        <v>MUHAMMAD YUSRAN BIN ISMAIL</v>
      </c>
      <c r="J123" t="str">
        <f t="shared" si="51"/>
        <v>BANK ISLAM BHD</v>
      </c>
      <c r="K123" t="str">
        <f>"14171020129960"</f>
        <v>14171020129960</v>
      </c>
      <c r="L123" t="str">
        <f t="shared" si="52"/>
        <v>04-08-2020</v>
      </c>
      <c r="M123" t="str">
        <f t="shared" si="52"/>
        <v>04-08-2020</v>
      </c>
      <c r="N123" t="str">
        <f t="shared" si="36"/>
        <v>001105018356</v>
      </c>
      <c r="O123" t="str">
        <f t="shared" si="37"/>
        <v>MYR</v>
      </c>
      <c r="P123" t="str">
        <f t="shared" si="53"/>
        <v>NIL</v>
      </c>
      <c r="Q123" t="str">
        <f t="shared" si="53"/>
        <v>NIL</v>
      </c>
      <c r="R123" t="str">
        <f t="shared" si="38"/>
        <v>Accepted</v>
      </c>
      <c r="S123" t="str">
        <f t="shared" si="39"/>
        <v>Approved</v>
      </c>
      <c r="T123" t="str">
        <f t="shared" si="40"/>
        <v>10.20.8.188</v>
      </c>
      <c r="U123" t="str">
        <f t="shared" si="41"/>
        <v>AZRAD UMAR BIN SHAARI</v>
      </c>
      <c r="V123" t="str">
        <f t="shared" si="42"/>
        <v>FARHANA BINTI MUSTAPA</v>
      </c>
      <c r="W123" t="str">
        <f t="shared" si="43"/>
        <v>04-08-2020</v>
      </c>
      <c r="X123" t="str">
        <f t="shared" si="44"/>
        <v>RAZIMAH ANSAR AHMAD</v>
      </c>
      <c r="Y123" t="str">
        <f t="shared" si="45"/>
        <v>04-08-2020</v>
      </c>
      <c r="Z123" t="str">
        <f>"COS10200804 484"</f>
        <v>COS10200804 484</v>
      </c>
    </row>
    <row r="124" spans="1:26" x14ac:dyDescent="0.25">
      <c r="A124" t="str">
        <f t="shared" si="48"/>
        <v>04-08-2020 02:12:40</v>
      </c>
      <c r="B124" t="str">
        <f>"0000810874"</f>
        <v>0000810874</v>
      </c>
      <c r="C124" t="str">
        <f t="shared" si="49"/>
        <v>0000810791</v>
      </c>
      <c r="D124" t="str">
        <f t="shared" si="31"/>
        <v>73185</v>
      </c>
      <c r="E124" t="str">
        <f t="shared" si="32"/>
        <v>KFH-OPERATIONS DEPARTMENT</v>
      </c>
      <c r="F124" t="str">
        <f t="shared" si="33"/>
        <v>IBG</v>
      </c>
      <c r="G124" t="str">
        <f t="shared" si="50"/>
        <v>Refund COSHARE 10</v>
      </c>
      <c r="H124" s="2">
        <v>755.55</v>
      </c>
      <c r="I124" t="str">
        <f>"MUHAMMAD SHAHARIN BIN ZAKARIA"</f>
        <v>MUHAMMAD SHAHARIN BIN ZAKARIA</v>
      </c>
      <c r="J124" t="str">
        <f t="shared" si="51"/>
        <v>BANK ISLAM BHD</v>
      </c>
      <c r="K124" t="str">
        <f>"08013023666377"</f>
        <v>08013023666377</v>
      </c>
      <c r="L124" t="str">
        <f t="shared" si="52"/>
        <v>04-08-2020</v>
      </c>
      <c r="M124" t="str">
        <f t="shared" si="52"/>
        <v>04-08-2020</v>
      </c>
      <c r="N124" t="str">
        <f t="shared" si="36"/>
        <v>001105018356</v>
      </c>
      <c r="O124" t="str">
        <f t="shared" si="37"/>
        <v>MYR</v>
      </c>
      <c r="P124" t="str">
        <f t="shared" si="53"/>
        <v>NIL</v>
      </c>
      <c r="Q124" t="str">
        <f t="shared" si="53"/>
        <v>NIL</v>
      </c>
      <c r="R124" t="str">
        <f t="shared" si="38"/>
        <v>Accepted</v>
      </c>
      <c r="S124" t="str">
        <f t="shared" si="39"/>
        <v>Approved</v>
      </c>
      <c r="T124" t="str">
        <f t="shared" si="40"/>
        <v>10.20.8.188</v>
      </c>
      <c r="U124" t="str">
        <f t="shared" si="41"/>
        <v>AZRAD UMAR BIN SHAARI</v>
      </c>
      <c r="V124" t="str">
        <f t="shared" si="42"/>
        <v>FARHANA BINTI MUSTAPA</v>
      </c>
      <c r="W124" t="str">
        <f t="shared" si="43"/>
        <v>04-08-2020</v>
      </c>
      <c r="X124" t="str">
        <f t="shared" si="44"/>
        <v>RAZIMAH ANSAR AHMAD</v>
      </c>
      <c r="Y124" t="str">
        <f t="shared" si="45"/>
        <v>04-08-2020</v>
      </c>
      <c r="Z124" t="str">
        <f>"COS10200804 483"</f>
        <v>COS10200804 483</v>
      </c>
    </row>
    <row r="125" spans="1:26" x14ac:dyDescent="0.25">
      <c r="A125" t="str">
        <f t="shared" si="48"/>
        <v>04-08-2020 02:12:40</v>
      </c>
      <c r="B125" t="str">
        <f>"0000810873"</f>
        <v>0000810873</v>
      </c>
      <c r="C125" t="str">
        <f t="shared" si="49"/>
        <v>0000810791</v>
      </c>
      <c r="D125" t="str">
        <f t="shared" si="31"/>
        <v>73185</v>
      </c>
      <c r="E125" t="str">
        <f t="shared" si="32"/>
        <v>KFH-OPERATIONS DEPARTMENT</v>
      </c>
      <c r="F125" t="str">
        <f t="shared" si="33"/>
        <v>IBG</v>
      </c>
      <c r="G125" t="str">
        <f t="shared" si="50"/>
        <v>Refund COSHARE 10</v>
      </c>
      <c r="H125" s="2">
        <v>587.65</v>
      </c>
      <c r="I125" t="str">
        <f>"MUHAMMAD RAZIF BIN RUBAAI"</f>
        <v>MUHAMMAD RAZIF BIN RUBAAI</v>
      </c>
      <c r="J125" t="str">
        <f t="shared" si="51"/>
        <v>BANK ISLAM BHD</v>
      </c>
      <c r="K125" t="str">
        <f>"06037020046910"</f>
        <v>06037020046910</v>
      </c>
      <c r="L125" t="str">
        <f t="shared" si="52"/>
        <v>04-08-2020</v>
      </c>
      <c r="M125" t="str">
        <f t="shared" si="52"/>
        <v>04-08-2020</v>
      </c>
      <c r="N125" t="str">
        <f t="shared" si="36"/>
        <v>001105018356</v>
      </c>
      <c r="O125" t="str">
        <f t="shared" si="37"/>
        <v>MYR</v>
      </c>
      <c r="P125" t="str">
        <f t="shared" si="53"/>
        <v>NIL</v>
      </c>
      <c r="Q125" t="str">
        <f t="shared" si="53"/>
        <v>NIL</v>
      </c>
      <c r="R125" t="str">
        <f t="shared" si="38"/>
        <v>Accepted</v>
      </c>
      <c r="S125" t="str">
        <f t="shared" si="39"/>
        <v>Approved</v>
      </c>
      <c r="T125" t="str">
        <f t="shared" si="40"/>
        <v>10.20.8.188</v>
      </c>
      <c r="U125" t="str">
        <f t="shared" si="41"/>
        <v>AZRAD UMAR BIN SHAARI</v>
      </c>
      <c r="V125" t="str">
        <f t="shared" si="42"/>
        <v>FARHANA BINTI MUSTAPA</v>
      </c>
      <c r="W125" t="str">
        <f t="shared" si="43"/>
        <v>04-08-2020</v>
      </c>
      <c r="X125" t="str">
        <f t="shared" si="44"/>
        <v>RAZIMAH ANSAR AHMAD</v>
      </c>
      <c r="Y125" t="str">
        <f t="shared" si="45"/>
        <v>04-08-2020</v>
      </c>
      <c r="Z125" t="str">
        <f>"COS10200804 482"</f>
        <v>COS10200804 482</v>
      </c>
    </row>
    <row r="126" spans="1:26" x14ac:dyDescent="0.25">
      <c r="A126" t="str">
        <f t="shared" si="48"/>
        <v>04-08-2020 02:12:40</v>
      </c>
      <c r="B126" t="str">
        <f>"0000810872"</f>
        <v>0000810872</v>
      </c>
      <c r="C126" t="str">
        <f t="shared" si="49"/>
        <v>0000810791</v>
      </c>
      <c r="D126" t="str">
        <f t="shared" si="31"/>
        <v>73185</v>
      </c>
      <c r="E126" t="str">
        <f t="shared" si="32"/>
        <v>KFH-OPERATIONS DEPARTMENT</v>
      </c>
      <c r="F126" t="str">
        <f t="shared" si="33"/>
        <v>IBG</v>
      </c>
      <c r="G126" t="str">
        <f t="shared" si="50"/>
        <v>Refund COSHARE 10</v>
      </c>
      <c r="H126" s="2">
        <v>1553.1</v>
      </c>
      <c r="I126" t="str">
        <f>"MUHAMMAD QIRAM BIN EJIN"</f>
        <v>MUHAMMAD QIRAM BIN EJIN</v>
      </c>
      <c r="J126" t="str">
        <f t="shared" si="51"/>
        <v>BANK ISLAM BHD</v>
      </c>
      <c r="K126" t="str">
        <f>"10034020405010"</f>
        <v>10034020405010</v>
      </c>
      <c r="L126" t="str">
        <f t="shared" si="52"/>
        <v>04-08-2020</v>
      </c>
      <c r="M126" t="str">
        <f t="shared" si="52"/>
        <v>04-08-2020</v>
      </c>
      <c r="N126" t="str">
        <f t="shared" si="36"/>
        <v>001105018356</v>
      </c>
      <c r="O126" t="str">
        <f t="shared" si="37"/>
        <v>MYR</v>
      </c>
      <c r="P126" t="str">
        <f t="shared" si="53"/>
        <v>NIL</v>
      </c>
      <c r="Q126" t="str">
        <f t="shared" si="53"/>
        <v>NIL</v>
      </c>
      <c r="R126" t="str">
        <f t="shared" si="38"/>
        <v>Accepted</v>
      </c>
      <c r="S126" t="str">
        <f t="shared" si="39"/>
        <v>Approved</v>
      </c>
      <c r="T126" t="str">
        <f t="shared" si="40"/>
        <v>10.20.8.188</v>
      </c>
      <c r="U126" t="str">
        <f t="shared" si="41"/>
        <v>AZRAD UMAR BIN SHAARI</v>
      </c>
      <c r="V126" t="str">
        <f t="shared" si="42"/>
        <v>FARHANA BINTI MUSTAPA</v>
      </c>
      <c r="W126" t="str">
        <f t="shared" si="43"/>
        <v>04-08-2020</v>
      </c>
      <c r="X126" t="str">
        <f t="shared" si="44"/>
        <v>RAZIMAH ANSAR AHMAD</v>
      </c>
      <c r="Y126" t="str">
        <f t="shared" si="45"/>
        <v>04-08-2020</v>
      </c>
      <c r="Z126" t="str">
        <f>"COS10200804 481"</f>
        <v>COS10200804 481</v>
      </c>
    </row>
    <row r="127" spans="1:26" x14ac:dyDescent="0.25">
      <c r="A127" t="str">
        <f t="shared" si="48"/>
        <v>04-08-2020 02:12:40</v>
      </c>
      <c r="B127" t="str">
        <f>"0000810871"</f>
        <v>0000810871</v>
      </c>
      <c r="C127" t="str">
        <f t="shared" si="49"/>
        <v>0000810791</v>
      </c>
      <c r="D127" t="str">
        <f t="shared" si="31"/>
        <v>73185</v>
      </c>
      <c r="E127" t="str">
        <f t="shared" si="32"/>
        <v>KFH-OPERATIONS DEPARTMENT</v>
      </c>
      <c r="F127" t="str">
        <f t="shared" si="33"/>
        <v>IBG</v>
      </c>
      <c r="G127" t="str">
        <f t="shared" si="50"/>
        <v>Refund COSHARE 10</v>
      </c>
      <c r="H127" s="2">
        <v>76.25</v>
      </c>
      <c r="I127" t="str">
        <f>"MUHAMMAD NASRUN BIN IBRAHIM"</f>
        <v>MUHAMMAD NASRUN BIN IBRAHIM</v>
      </c>
      <c r="J127" t="str">
        <f t="shared" si="51"/>
        <v>BANK ISLAM BHD</v>
      </c>
      <c r="K127" t="str">
        <f>"06055020063512"</f>
        <v>06055020063512</v>
      </c>
      <c r="L127" t="str">
        <f t="shared" ref="L127:M146" si="54">"04-08-2020"</f>
        <v>04-08-2020</v>
      </c>
      <c r="M127" t="str">
        <f t="shared" si="54"/>
        <v>04-08-2020</v>
      </c>
      <c r="N127" t="str">
        <f t="shared" si="36"/>
        <v>001105018356</v>
      </c>
      <c r="O127" t="str">
        <f t="shared" si="37"/>
        <v>MYR</v>
      </c>
      <c r="P127" t="str">
        <f t="shared" ref="P127:Q146" si="55">"NIL"</f>
        <v>NIL</v>
      </c>
      <c r="Q127" t="str">
        <f t="shared" si="55"/>
        <v>NIL</v>
      </c>
      <c r="R127" t="str">
        <f t="shared" si="38"/>
        <v>Accepted</v>
      </c>
      <c r="S127" t="str">
        <f t="shared" si="39"/>
        <v>Approved</v>
      </c>
      <c r="T127" t="str">
        <f t="shared" si="40"/>
        <v>10.20.8.188</v>
      </c>
      <c r="U127" t="str">
        <f t="shared" si="41"/>
        <v>AZRAD UMAR BIN SHAARI</v>
      </c>
      <c r="V127" t="str">
        <f t="shared" si="42"/>
        <v>FARHANA BINTI MUSTAPA</v>
      </c>
      <c r="W127" t="str">
        <f t="shared" si="43"/>
        <v>04-08-2020</v>
      </c>
      <c r="X127" t="str">
        <f t="shared" si="44"/>
        <v>RAZIMAH ANSAR AHMAD</v>
      </c>
      <c r="Y127" t="str">
        <f t="shared" si="45"/>
        <v>04-08-2020</v>
      </c>
      <c r="Z127" t="str">
        <f>"COS10200804 480"</f>
        <v>COS10200804 480</v>
      </c>
    </row>
    <row r="128" spans="1:26" x14ac:dyDescent="0.25">
      <c r="A128" t="str">
        <f t="shared" si="48"/>
        <v>04-08-2020 02:12:40</v>
      </c>
      <c r="B128" t="str">
        <f>"0000810870"</f>
        <v>0000810870</v>
      </c>
      <c r="C128" t="str">
        <f t="shared" si="49"/>
        <v>0000810791</v>
      </c>
      <c r="D128" t="str">
        <f t="shared" si="31"/>
        <v>73185</v>
      </c>
      <c r="E128" t="str">
        <f t="shared" si="32"/>
        <v>KFH-OPERATIONS DEPARTMENT</v>
      </c>
      <c r="F128" t="str">
        <f t="shared" si="33"/>
        <v>IBG</v>
      </c>
      <c r="G128" t="str">
        <f t="shared" si="50"/>
        <v>Refund COSHARE 10</v>
      </c>
      <c r="H128" s="2">
        <v>688.4</v>
      </c>
      <c r="I128" t="str">
        <f>"MUHAMMAD KHALID BIN SARIF"</f>
        <v>MUHAMMAD KHALID BIN SARIF</v>
      </c>
      <c r="J128" t="str">
        <f t="shared" si="51"/>
        <v>BANK ISLAM BHD</v>
      </c>
      <c r="K128" t="str">
        <f>"12168023913984"</f>
        <v>12168023913984</v>
      </c>
      <c r="L128" t="str">
        <f t="shared" si="54"/>
        <v>04-08-2020</v>
      </c>
      <c r="M128" t="str">
        <f t="shared" si="54"/>
        <v>04-08-2020</v>
      </c>
      <c r="N128" t="str">
        <f t="shared" si="36"/>
        <v>001105018356</v>
      </c>
      <c r="O128" t="str">
        <f t="shared" si="37"/>
        <v>MYR</v>
      </c>
      <c r="P128" t="str">
        <f t="shared" si="55"/>
        <v>NIL</v>
      </c>
      <c r="Q128" t="str">
        <f t="shared" si="55"/>
        <v>NIL</v>
      </c>
      <c r="R128" t="str">
        <f t="shared" si="38"/>
        <v>Accepted</v>
      </c>
      <c r="S128" t="str">
        <f t="shared" si="39"/>
        <v>Approved</v>
      </c>
      <c r="T128" t="str">
        <f t="shared" si="40"/>
        <v>10.20.8.188</v>
      </c>
      <c r="U128" t="str">
        <f t="shared" si="41"/>
        <v>AZRAD UMAR BIN SHAARI</v>
      </c>
      <c r="V128" t="str">
        <f t="shared" si="42"/>
        <v>FARHANA BINTI MUSTAPA</v>
      </c>
      <c r="W128" t="str">
        <f t="shared" si="43"/>
        <v>04-08-2020</v>
      </c>
      <c r="X128" t="str">
        <f t="shared" si="44"/>
        <v>RAZIMAH ANSAR AHMAD</v>
      </c>
      <c r="Y128" t="str">
        <f t="shared" si="45"/>
        <v>04-08-2020</v>
      </c>
      <c r="Z128" t="str">
        <f>"COS10200804 479"</f>
        <v>COS10200804 479</v>
      </c>
    </row>
    <row r="129" spans="1:26" x14ac:dyDescent="0.25">
      <c r="A129" t="str">
        <f t="shared" si="48"/>
        <v>04-08-2020 02:12:40</v>
      </c>
      <c r="B129" t="str">
        <f>"0000810869"</f>
        <v>0000810869</v>
      </c>
      <c r="C129" t="str">
        <f t="shared" si="49"/>
        <v>0000810791</v>
      </c>
      <c r="D129" t="str">
        <f t="shared" si="31"/>
        <v>73185</v>
      </c>
      <c r="E129" t="str">
        <f t="shared" si="32"/>
        <v>KFH-OPERATIONS DEPARTMENT</v>
      </c>
      <c r="F129" t="str">
        <f t="shared" si="33"/>
        <v>IBG</v>
      </c>
      <c r="G129" t="str">
        <f t="shared" si="50"/>
        <v>Refund COSHARE 10</v>
      </c>
      <c r="H129" s="2">
        <v>134.35</v>
      </c>
      <c r="I129" t="str">
        <f>"MUHAMMAD HAFIRDAUSE BIN MUSTAFA"</f>
        <v>MUHAMMAD HAFIRDAUSE BIN MUSTAFA</v>
      </c>
      <c r="J129" t="str">
        <f t="shared" si="51"/>
        <v>BANK ISLAM BHD</v>
      </c>
      <c r="K129" t="str">
        <f>"08068020439146"</f>
        <v>08068020439146</v>
      </c>
      <c r="L129" t="str">
        <f t="shared" si="54"/>
        <v>04-08-2020</v>
      </c>
      <c r="M129" t="str">
        <f t="shared" si="54"/>
        <v>04-08-2020</v>
      </c>
      <c r="N129" t="str">
        <f t="shared" si="36"/>
        <v>001105018356</v>
      </c>
      <c r="O129" t="str">
        <f t="shared" si="37"/>
        <v>MYR</v>
      </c>
      <c r="P129" t="str">
        <f t="shared" si="55"/>
        <v>NIL</v>
      </c>
      <c r="Q129" t="str">
        <f t="shared" si="55"/>
        <v>NIL</v>
      </c>
      <c r="R129" t="str">
        <f t="shared" si="38"/>
        <v>Accepted</v>
      </c>
      <c r="S129" t="str">
        <f t="shared" si="39"/>
        <v>Approved</v>
      </c>
      <c r="T129" t="str">
        <f t="shared" si="40"/>
        <v>10.20.8.188</v>
      </c>
      <c r="U129" t="str">
        <f t="shared" si="41"/>
        <v>AZRAD UMAR BIN SHAARI</v>
      </c>
      <c r="V129" t="str">
        <f t="shared" si="42"/>
        <v>FARHANA BINTI MUSTAPA</v>
      </c>
      <c r="W129" t="str">
        <f t="shared" si="43"/>
        <v>04-08-2020</v>
      </c>
      <c r="X129" t="str">
        <f t="shared" si="44"/>
        <v>RAZIMAH ANSAR AHMAD</v>
      </c>
      <c r="Y129" t="str">
        <f t="shared" si="45"/>
        <v>04-08-2020</v>
      </c>
      <c r="Z129" t="str">
        <f>"COS10200804 478"</f>
        <v>COS10200804 478</v>
      </c>
    </row>
    <row r="130" spans="1:26" x14ac:dyDescent="0.25">
      <c r="A130" t="str">
        <f t="shared" si="48"/>
        <v>04-08-2020 02:12:40</v>
      </c>
      <c r="B130" t="str">
        <f>"0000810868"</f>
        <v>0000810868</v>
      </c>
      <c r="C130" t="str">
        <f t="shared" si="49"/>
        <v>0000810791</v>
      </c>
      <c r="D130" t="str">
        <f t="shared" si="31"/>
        <v>73185</v>
      </c>
      <c r="E130" t="str">
        <f t="shared" si="32"/>
        <v>KFH-OPERATIONS DEPARTMENT</v>
      </c>
      <c r="F130" t="str">
        <f t="shared" si="33"/>
        <v>IBG</v>
      </c>
      <c r="G130" t="str">
        <f t="shared" si="50"/>
        <v>Refund COSHARE 10</v>
      </c>
      <c r="H130" s="2">
        <v>688.4</v>
      </c>
      <c r="I130" t="str">
        <f>"MUHAMMAD FIRDAUS BIN ISMAIL"</f>
        <v>MUHAMMAD FIRDAUS BIN ISMAIL</v>
      </c>
      <c r="J130" t="str">
        <f t="shared" si="51"/>
        <v>BANK ISLAM BHD</v>
      </c>
      <c r="K130" t="str">
        <f>"10016020330404"</f>
        <v>10016020330404</v>
      </c>
      <c r="L130" t="str">
        <f t="shared" si="54"/>
        <v>04-08-2020</v>
      </c>
      <c r="M130" t="str">
        <f t="shared" si="54"/>
        <v>04-08-2020</v>
      </c>
      <c r="N130" t="str">
        <f t="shared" si="36"/>
        <v>001105018356</v>
      </c>
      <c r="O130" t="str">
        <f t="shared" si="37"/>
        <v>MYR</v>
      </c>
      <c r="P130" t="str">
        <f t="shared" si="55"/>
        <v>NIL</v>
      </c>
      <c r="Q130" t="str">
        <f t="shared" si="55"/>
        <v>NIL</v>
      </c>
      <c r="R130" t="str">
        <f t="shared" si="38"/>
        <v>Accepted</v>
      </c>
      <c r="S130" t="str">
        <f t="shared" si="39"/>
        <v>Approved</v>
      </c>
      <c r="T130" t="str">
        <f t="shared" si="40"/>
        <v>10.20.8.188</v>
      </c>
      <c r="U130" t="str">
        <f t="shared" si="41"/>
        <v>AZRAD UMAR BIN SHAARI</v>
      </c>
      <c r="V130" t="str">
        <f t="shared" si="42"/>
        <v>FARHANA BINTI MUSTAPA</v>
      </c>
      <c r="W130" t="str">
        <f t="shared" si="43"/>
        <v>04-08-2020</v>
      </c>
      <c r="X130" t="str">
        <f t="shared" si="44"/>
        <v>RAZIMAH ANSAR AHMAD</v>
      </c>
      <c r="Y130" t="str">
        <f t="shared" si="45"/>
        <v>04-08-2020</v>
      </c>
      <c r="Z130" t="str">
        <f>"COS10200804 477"</f>
        <v>COS10200804 477</v>
      </c>
    </row>
    <row r="131" spans="1:26" x14ac:dyDescent="0.25">
      <c r="A131" t="str">
        <f t="shared" si="48"/>
        <v>04-08-2020 02:12:40</v>
      </c>
      <c r="B131" t="str">
        <f>"0000810867"</f>
        <v>0000810867</v>
      </c>
      <c r="C131" t="str">
        <f t="shared" si="49"/>
        <v>0000810791</v>
      </c>
      <c r="D131" t="str">
        <f t="shared" si="31"/>
        <v>73185</v>
      </c>
      <c r="E131" t="str">
        <f t="shared" si="32"/>
        <v>KFH-OPERATIONS DEPARTMENT</v>
      </c>
      <c r="F131" t="str">
        <f t="shared" si="33"/>
        <v>IBG</v>
      </c>
      <c r="G131" t="str">
        <f t="shared" si="50"/>
        <v>Refund COSHARE 10</v>
      </c>
      <c r="H131" s="2">
        <v>58.8</v>
      </c>
      <c r="I131" t="str">
        <f>"MUHAMMAD FAKHRURRAZI BIN ZAHARI"</f>
        <v>MUHAMMAD FAKHRURRAZI BIN ZAHARI</v>
      </c>
      <c r="J131" t="str">
        <f t="shared" si="51"/>
        <v>BANK ISLAM BHD</v>
      </c>
      <c r="K131" t="str">
        <f>"13035020080694"</f>
        <v>13035020080694</v>
      </c>
      <c r="L131" t="str">
        <f t="shared" si="54"/>
        <v>04-08-2020</v>
      </c>
      <c r="M131" t="str">
        <f t="shared" si="54"/>
        <v>04-08-2020</v>
      </c>
      <c r="N131" t="str">
        <f t="shared" si="36"/>
        <v>001105018356</v>
      </c>
      <c r="O131" t="str">
        <f t="shared" si="37"/>
        <v>MYR</v>
      </c>
      <c r="P131" t="str">
        <f t="shared" si="55"/>
        <v>NIL</v>
      </c>
      <c r="Q131" t="str">
        <f t="shared" si="55"/>
        <v>NIL</v>
      </c>
      <c r="R131" t="str">
        <f t="shared" si="38"/>
        <v>Accepted</v>
      </c>
      <c r="S131" t="str">
        <f t="shared" si="39"/>
        <v>Approved</v>
      </c>
      <c r="T131" t="str">
        <f t="shared" si="40"/>
        <v>10.20.8.188</v>
      </c>
      <c r="U131" t="str">
        <f t="shared" si="41"/>
        <v>AZRAD UMAR BIN SHAARI</v>
      </c>
      <c r="V131" t="str">
        <f t="shared" si="42"/>
        <v>FARHANA BINTI MUSTAPA</v>
      </c>
      <c r="W131" t="str">
        <f t="shared" si="43"/>
        <v>04-08-2020</v>
      </c>
      <c r="X131" t="str">
        <f t="shared" si="44"/>
        <v>RAZIMAH ANSAR AHMAD</v>
      </c>
      <c r="Y131" t="str">
        <f t="shared" si="45"/>
        <v>04-08-2020</v>
      </c>
      <c r="Z131" t="str">
        <f>"COS10200804 476"</f>
        <v>COS10200804 476</v>
      </c>
    </row>
    <row r="132" spans="1:26" x14ac:dyDescent="0.25">
      <c r="A132" t="str">
        <f t="shared" si="48"/>
        <v>04-08-2020 02:12:40</v>
      </c>
      <c r="B132" t="str">
        <f>"0000810866"</f>
        <v>0000810866</v>
      </c>
      <c r="C132" t="str">
        <f t="shared" si="49"/>
        <v>0000810791</v>
      </c>
      <c r="D132" t="str">
        <f t="shared" si="31"/>
        <v>73185</v>
      </c>
      <c r="E132" t="str">
        <f t="shared" si="32"/>
        <v>KFH-OPERATIONS DEPARTMENT</v>
      </c>
      <c r="F132" t="str">
        <f t="shared" si="33"/>
        <v>IBG</v>
      </c>
      <c r="G132" t="str">
        <f t="shared" si="50"/>
        <v>Refund COSHARE 10</v>
      </c>
      <c r="H132" s="2">
        <v>495.3</v>
      </c>
      <c r="I132" t="str">
        <f>"MUHAMMAD AZLAN BIN ZAMARI"</f>
        <v>MUHAMMAD AZLAN BIN ZAMARI</v>
      </c>
      <c r="J132" t="str">
        <f t="shared" si="51"/>
        <v>BANK ISLAM BHD</v>
      </c>
      <c r="K132" t="str">
        <f>"08059023794781"</f>
        <v>08059023794781</v>
      </c>
      <c r="L132" t="str">
        <f t="shared" si="54"/>
        <v>04-08-2020</v>
      </c>
      <c r="M132" t="str">
        <f t="shared" si="54"/>
        <v>04-08-2020</v>
      </c>
      <c r="N132" t="str">
        <f t="shared" si="36"/>
        <v>001105018356</v>
      </c>
      <c r="O132" t="str">
        <f t="shared" si="37"/>
        <v>MYR</v>
      </c>
      <c r="P132" t="str">
        <f t="shared" si="55"/>
        <v>NIL</v>
      </c>
      <c r="Q132" t="str">
        <f t="shared" si="55"/>
        <v>NIL</v>
      </c>
      <c r="R132" t="str">
        <f t="shared" si="38"/>
        <v>Accepted</v>
      </c>
      <c r="S132" t="str">
        <f t="shared" si="39"/>
        <v>Approved</v>
      </c>
      <c r="T132" t="str">
        <f t="shared" si="40"/>
        <v>10.20.8.188</v>
      </c>
      <c r="U132" t="str">
        <f t="shared" si="41"/>
        <v>AZRAD UMAR BIN SHAARI</v>
      </c>
      <c r="V132" t="str">
        <f t="shared" si="42"/>
        <v>FARHANA BINTI MUSTAPA</v>
      </c>
      <c r="W132" t="str">
        <f t="shared" si="43"/>
        <v>04-08-2020</v>
      </c>
      <c r="X132" t="str">
        <f t="shared" si="44"/>
        <v>RAZIMAH ANSAR AHMAD</v>
      </c>
      <c r="Y132" t="str">
        <f t="shared" si="45"/>
        <v>04-08-2020</v>
      </c>
      <c r="Z132" t="str">
        <f>"COS10200804 475"</f>
        <v>COS10200804 475</v>
      </c>
    </row>
    <row r="133" spans="1:26" x14ac:dyDescent="0.25">
      <c r="A133" t="str">
        <f t="shared" si="48"/>
        <v>04-08-2020 02:12:40</v>
      </c>
      <c r="B133" t="str">
        <f>"0000810865"</f>
        <v>0000810865</v>
      </c>
      <c r="C133" t="str">
        <f t="shared" si="49"/>
        <v>0000810791</v>
      </c>
      <c r="D133" t="str">
        <f t="shared" si="31"/>
        <v>73185</v>
      </c>
      <c r="E133" t="str">
        <f t="shared" si="32"/>
        <v>KFH-OPERATIONS DEPARTMENT</v>
      </c>
      <c r="F133" t="str">
        <f t="shared" si="33"/>
        <v>IBG</v>
      </c>
      <c r="G133" t="str">
        <f t="shared" si="50"/>
        <v>Refund COSHARE 10</v>
      </c>
      <c r="H133" s="2">
        <v>1120.5999999999999</v>
      </c>
      <c r="I133" t="str">
        <f>"MUHAMMAD ANAS BIN ALMUHSIN"</f>
        <v>MUHAMMAD ANAS BIN ALMUHSIN</v>
      </c>
      <c r="J133" t="str">
        <f t="shared" si="51"/>
        <v>BANK ISLAM BHD</v>
      </c>
      <c r="K133" t="str">
        <f>"08068020179188"</f>
        <v>08068020179188</v>
      </c>
      <c r="L133" t="str">
        <f t="shared" si="54"/>
        <v>04-08-2020</v>
      </c>
      <c r="M133" t="str">
        <f t="shared" si="54"/>
        <v>04-08-2020</v>
      </c>
      <c r="N133" t="str">
        <f t="shared" si="36"/>
        <v>001105018356</v>
      </c>
      <c r="O133" t="str">
        <f t="shared" si="37"/>
        <v>MYR</v>
      </c>
      <c r="P133" t="str">
        <f t="shared" si="55"/>
        <v>NIL</v>
      </c>
      <c r="Q133" t="str">
        <f t="shared" si="55"/>
        <v>NIL</v>
      </c>
      <c r="R133" t="str">
        <f t="shared" si="38"/>
        <v>Accepted</v>
      </c>
      <c r="S133" t="str">
        <f t="shared" si="39"/>
        <v>Approved</v>
      </c>
      <c r="T133" t="str">
        <f t="shared" si="40"/>
        <v>10.20.8.188</v>
      </c>
      <c r="U133" t="str">
        <f t="shared" si="41"/>
        <v>AZRAD UMAR BIN SHAARI</v>
      </c>
      <c r="V133" t="str">
        <f t="shared" si="42"/>
        <v>FARHANA BINTI MUSTAPA</v>
      </c>
      <c r="W133" t="str">
        <f t="shared" si="43"/>
        <v>04-08-2020</v>
      </c>
      <c r="X133" t="str">
        <f t="shared" si="44"/>
        <v>RAZIMAH ANSAR AHMAD</v>
      </c>
      <c r="Y133" t="str">
        <f t="shared" si="45"/>
        <v>04-08-2020</v>
      </c>
      <c r="Z133" t="str">
        <f>"COS10200804 474"</f>
        <v>COS10200804 474</v>
      </c>
    </row>
    <row r="134" spans="1:26" x14ac:dyDescent="0.25">
      <c r="A134" t="str">
        <f t="shared" si="48"/>
        <v>04-08-2020 02:12:40</v>
      </c>
      <c r="B134" t="str">
        <f>"0000810864"</f>
        <v>0000810864</v>
      </c>
      <c r="C134" t="str">
        <f t="shared" si="49"/>
        <v>0000810791</v>
      </c>
      <c r="D134" t="str">
        <f t="shared" si="31"/>
        <v>73185</v>
      </c>
      <c r="E134" t="str">
        <f t="shared" si="32"/>
        <v>KFH-OPERATIONS DEPARTMENT</v>
      </c>
      <c r="F134" t="str">
        <f t="shared" si="33"/>
        <v>IBG</v>
      </c>
      <c r="G134" t="str">
        <f t="shared" si="50"/>
        <v>Refund COSHARE 10</v>
      </c>
      <c r="H134" s="2">
        <v>228</v>
      </c>
      <c r="I134" t="str">
        <f>"MUHAMAD ZURANIAZIZI BIN MOHD ALI"</f>
        <v>MUHAMAD ZURANIAZIZI BIN MOHD ALI</v>
      </c>
      <c r="J134" t="str">
        <f t="shared" si="51"/>
        <v>BANK ISLAM BHD</v>
      </c>
      <c r="K134" t="str">
        <f>"13035020277317"</f>
        <v>13035020277317</v>
      </c>
      <c r="L134" t="str">
        <f t="shared" si="54"/>
        <v>04-08-2020</v>
      </c>
      <c r="M134" t="str">
        <f t="shared" si="54"/>
        <v>04-08-2020</v>
      </c>
      <c r="N134" t="str">
        <f t="shared" si="36"/>
        <v>001105018356</v>
      </c>
      <c r="O134" t="str">
        <f t="shared" si="37"/>
        <v>MYR</v>
      </c>
      <c r="P134" t="str">
        <f t="shared" si="55"/>
        <v>NIL</v>
      </c>
      <c r="Q134" t="str">
        <f t="shared" si="55"/>
        <v>NIL</v>
      </c>
      <c r="R134" t="str">
        <f t="shared" si="38"/>
        <v>Accepted</v>
      </c>
      <c r="S134" t="str">
        <f t="shared" si="39"/>
        <v>Approved</v>
      </c>
      <c r="T134" t="str">
        <f t="shared" si="40"/>
        <v>10.20.8.188</v>
      </c>
      <c r="U134" t="str">
        <f t="shared" si="41"/>
        <v>AZRAD UMAR BIN SHAARI</v>
      </c>
      <c r="V134" t="str">
        <f t="shared" si="42"/>
        <v>FARHANA BINTI MUSTAPA</v>
      </c>
      <c r="W134" t="str">
        <f t="shared" si="43"/>
        <v>04-08-2020</v>
      </c>
      <c r="X134" t="str">
        <f t="shared" si="44"/>
        <v>RAZIMAH ANSAR AHMAD</v>
      </c>
      <c r="Y134" t="str">
        <f t="shared" si="45"/>
        <v>04-08-2020</v>
      </c>
      <c r="Z134" t="str">
        <f>"COS10200804 473"</f>
        <v>COS10200804 473</v>
      </c>
    </row>
    <row r="135" spans="1:26" x14ac:dyDescent="0.25">
      <c r="A135" t="str">
        <f t="shared" ref="A135:A166" si="56">"04-08-2020 02:12:40"</f>
        <v>04-08-2020 02:12:40</v>
      </c>
      <c r="B135" t="str">
        <f>"0000810863"</f>
        <v>0000810863</v>
      </c>
      <c r="C135" t="str">
        <f t="shared" ref="C135:C166" si="57">"0000810791"</f>
        <v>0000810791</v>
      </c>
      <c r="D135" t="str">
        <f t="shared" ref="D135:D198" si="58">"73185"</f>
        <v>73185</v>
      </c>
      <c r="E135" t="str">
        <f t="shared" ref="E135:E198" si="59">"KFH-OPERATIONS DEPARTMENT"</f>
        <v>KFH-OPERATIONS DEPARTMENT</v>
      </c>
      <c r="F135" t="str">
        <f t="shared" ref="F135:F198" si="60">"IBG"</f>
        <v>IBG</v>
      </c>
      <c r="G135" t="str">
        <f t="shared" ref="G135:G166" si="61">"Refund COSHARE 10"</f>
        <v>Refund COSHARE 10</v>
      </c>
      <c r="H135" s="2">
        <v>419.75</v>
      </c>
      <c r="I135" t="str">
        <f>"MUHAMAD ZAINUL BIN MOHAMED"</f>
        <v>MUHAMAD ZAINUL BIN MOHAMED</v>
      </c>
      <c r="J135" t="str">
        <f t="shared" ref="J135:J166" si="62">"BANK ISLAM BHD"</f>
        <v>BANK ISLAM BHD</v>
      </c>
      <c r="K135" t="str">
        <f>"13017020709899"</f>
        <v>13017020709899</v>
      </c>
      <c r="L135" t="str">
        <f t="shared" si="54"/>
        <v>04-08-2020</v>
      </c>
      <c r="M135" t="str">
        <f t="shared" si="54"/>
        <v>04-08-2020</v>
      </c>
      <c r="N135" t="str">
        <f t="shared" ref="N135:N198" si="63">"001105018356"</f>
        <v>001105018356</v>
      </c>
      <c r="O135" t="str">
        <f t="shared" ref="O135:O198" si="64">"MYR"</f>
        <v>MYR</v>
      </c>
      <c r="P135" t="str">
        <f t="shared" si="55"/>
        <v>NIL</v>
      </c>
      <c r="Q135" t="str">
        <f t="shared" si="55"/>
        <v>NIL</v>
      </c>
      <c r="R135" t="str">
        <f t="shared" ref="R135:R198" si="65">"Accepted"</f>
        <v>Accepted</v>
      </c>
      <c r="S135" t="str">
        <f t="shared" ref="S135:S198" si="66">"Approved"</f>
        <v>Approved</v>
      </c>
      <c r="T135" t="str">
        <f t="shared" ref="T135:T198" si="67">"10.20.8.188"</f>
        <v>10.20.8.188</v>
      </c>
      <c r="U135" t="str">
        <f t="shared" ref="U135:U198" si="68">"AZRAD UMAR BIN SHAARI"</f>
        <v>AZRAD UMAR BIN SHAARI</v>
      </c>
      <c r="V135" t="str">
        <f t="shared" ref="V135:V198" si="69">"FARHANA BINTI MUSTAPA"</f>
        <v>FARHANA BINTI MUSTAPA</v>
      </c>
      <c r="W135" t="str">
        <f t="shared" ref="W135:W198" si="70">"04-08-2020"</f>
        <v>04-08-2020</v>
      </c>
      <c r="X135" t="str">
        <f t="shared" ref="X135:X198" si="71">"RAZIMAH ANSAR AHMAD"</f>
        <v>RAZIMAH ANSAR AHMAD</v>
      </c>
      <c r="Y135" t="str">
        <f t="shared" ref="Y135:Y198" si="72">"04-08-2020"</f>
        <v>04-08-2020</v>
      </c>
      <c r="Z135" t="str">
        <f>"COS10200804 472"</f>
        <v>COS10200804 472</v>
      </c>
    </row>
    <row r="136" spans="1:26" x14ac:dyDescent="0.25">
      <c r="A136" t="str">
        <f t="shared" si="56"/>
        <v>04-08-2020 02:12:40</v>
      </c>
      <c r="B136" t="str">
        <f>"0000810862"</f>
        <v>0000810862</v>
      </c>
      <c r="C136" t="str">
        <f t="shared" si="57"/>
        <v>0000810791</v>
      </c>
      <c r="D136" t="str">
        <f t="shared" si="58"/>
        <v>73185</v>
      </c>
      <c r="E136" t="str">
        <f t="shared" si="59"/>
        <v>KFH-OPERATIONS DEPARTMENT</v>
      </c>
      <c r="F136" t="str">
        <f t="shared" si="60"/>
        <v>IBG</v>
      </c>
      <c r="G136" t="str">
        <f t="shared" si="61"/>
        <v>Refund COSHARE 10</v>
      </c>
      <c r="H136" s="2">
        <v>50.4</v>
      </c>
      <c r="I136" t="str">
        <f>"MUHAMAD NAZIR BIN AB HAMID"</f>
        <v>MUHAMAD NAZIR BIN AB HAMID</v>
      </c>
      <c r="J136" t="str">
        <f t="shared" si="62"/>
        <v>BANK ISLAM BHD</v>
      </c>
      <c r="K136" t="str">
        <f>"12065020055671"</f>
        <v>12065020055671</v>
      </c>
      <c r="L136" t="str">
        <f t="shared" si="54"/>
        <v>04-08-2020</v>
      </c>
      <c r="M136" t="str">
        <f t="shared" si="54"/>
        <v>04-08-2020</v>
      </c>
      <c r="N136" t="str">
        <f t="shared" si="63"/>
        <v>001105018356</v>
      </c>
      <c r="O136" t="str">
        <f t="shared" si="64"/>
        <v>MYR</v>
      </c>
      <c r="P136" t="str">
        <f t="shared" si="55"/>
        <v>NIL</v>
      </c>
      <c r="Q136" t="str">
        <f t="shared" si="55"/>
        <v>NIL</v>
      </c>
      <c r="R136" t="str">
        <f t="shared" si="65"/>
        <v>Accepted</v>
      </c>
      <c r="S136" t="str">
        <f t="shared" si="66"/>
        <v>Approved</v>
      </c>
      <c r="T136" t="str">
        <f t="shared" si="67"/>
        <v>10.20.8.188</v>
      </c>
      <c r="U136" t="str">
        <f t="shared" si="68"/>
        <v>AZRAD UMAR BIN SHAARI</v>
      </c>
      <c r="V136" t="str">
        <f t="shared" si="69"/>
        <v>FARHANA BINTI MUSTAPA</v>
      </c>
      <c r="W136" t="str">
        <f t="shared" si="70"/>
        <v>04-08-2020</v>
      </c>
      <c r="X136" t="str">
        <f t="shared" si="71"/>
        <v>RAZIMAH ANSAR AHMAD</v>
      </c>
      <c r="Y136" t="str">
        <f t="shared" si="72"/>
        <v>04-08-2020</v>
      </c>
      <c r="Z136" t="str">
        <f>"COS10200804 471"</f>
        <v>COS10200804 471</v>
      </c>
    </row>
    <row r="137" spans="1:26" x14ac:dyDescent="0.25">
      <c r="A137" t="str">
        <f t="shared" si="56"/>
        <v>04-08-2020 02:12:40</v>
      </c>
      <c r="B137" t="str">
        <f>"0000810861"</f>
        <v>0000810861</v>
      </c>
      <c r="C137" t="str">
        <f t="shared" si="57"/>
        <v>0000810791</v>
      </c>
      <c r="D137" t="str">
        <f t="shared" si="58"/>
        <v>73185</v>
      </c>
      <c r="E137" t="str">
        <f t="shared" si="59"/>
        <v>KFH-OPERATIONS DEPARTMENT</v>
      </c>
      <c r="F137" t="str">
        <f t="shared" si="60"/>
        <v>IBG</v>
      </c>
      <c r="G137" t="str">
        <f t="shared" si="61"/>
        <v>Refund COSHARE 10</v>
      </c>
      <c r="H137" s="2">
        <v>1217.3</v>
      </c>
      <c r="I137" t="str">
        <f>"MOHD ZULKHAIRI BIN RAZALI"</f>
        <v>MOHD ZULKHAIRI BIN RAZALI</v>
      </c>
      <c r="J137" t="str">
        <f t="shared" si="62"/>
        <v>BANK ISLAM BHD</v>
      </c>
      <c r="K137" t="str">
        <f>"03036020432780"</f>
        <v>03036020432780</v>
      </c>
      <c r="L137" t="str">
        <f t="shared" si="54"/>
        <v>04-08-2020</v>
      </c>
      <c r="M137" t="str">
        <f t="shared" si="54"/>
        <v>04-08-2020</v>
      </c>
      <c r="N137" t="str">
        <f t="shared" si="63"/>
        <v>001105018356</v>
      </c>
      <c r="O137" t="str">
        <f t="shared" si="64"/>
        <v>MYR</v>
      </c>
      <c r="P137" t="str">
        <f t="shared" si="55"/>
        <v>NIL</v>
      </c>
      <c r="Q137" t="str">
        <f t="shared" si="55"/>
        <v>NIL</v>
      </c>
      <c r="R137" t="str">
        <f t="shared" si="65"/>
        <v>Accepted</v>
      </c>
      <c r="S137" t="str">
        <f t="shared" si="66"/>
        <v>Approved</v>
      </c>
      <c r="T137" t="str">
        <f t="shared" si="67"/>
        <v>10.20.8.188</v>
      </c>
      <c r="U137" t="str">
        <f t="shared" si="68"/>
        <v>AZRAD UMAR BIN SHAARI</v>
      </c>
      <c r="V137" t="str">
        <f t="shared" si="69"/>
        <v>FARHANA BINTI MUSTAPA</v>
      </c>
      <c r="W137" t="str">
        <f t="shared" si="70"/>
        <v>04-08-2020</v>
      </c>
      <c r="X137" t="str">
        <f t="shared" si="71"/>
        <v>RAZIMAH ANSAR AHMAD</v>
      </c>
      <c r="Y137" t="str">
        <f t="shared" si="72"/>
        <v>04-08-2020</v>
      </c>
      <c r="Z137" t="str">
        <f>"COS10200804 470"</f>
        <v>COS10200804 470</v>
      </c>
    </row>
    <row r="138" spans="1:26" x14ac:dyDescent="0.25">
      <c r="A138" t="str">
        <f t="shared" si="56"/>
        <v>04-08-2020 02:12:40</v>
      </c>
      <c r="B138" t="str">
        <f>"0000810860"</f>
        <v>0000810860</v>
      </c>
      <c r="C138" t="str">
        <f t="shared" si="57"/>
        <v>0000810791</v>
      </c>
      <c r="D138" t="str">
        <f t="shared" si="58"/>
        <v>73185</v>
      </c>
      <c r="E138" t="str">
        <f t="shared" si="59"/>
        <v>KFH-OPERATIONS DEPARTMENT</v>
      </c>
      <c r="F138" t="str">
        <f t="shared" si="60"/>
        <v>IBG</v>
      </c>
      <c r="G138" t="str">
        <f t="shared" si="61"/>
        <v>Refund COSHARE 10</v>
      </c>
      <c r="H138" s="2">
        <v>278</v>
      </c>
      <c r="I138" t="str">
        <f>"MOHD ZULKHAIRI BIN RAZALI"</f>
        <v>MOHD ZULKHAIRI BIN RAZALI</v>
      </c>
      <c r="J138" t="str">
        <f t="shared" si="62"/>
        <v>BANK ISLAM BHD</v>
      </c>
      <c r="K138" t="str">
        <f>"03036020432780"</f>
        <v>03036020432780</v>
      </c>
      <c r="L138" t="str">
        <f t="shared" si="54"/>
        <v>04-08-2020</v>
      </c>
      <c r="M138" t="str">
        <f t="shared" si="54"/>
        <v>04-08-2020</v>
      </c>
      <c r="N138" t="str">
        <f t="shared" si="63"/>
        <v>001105018356</v>
      </c>
      <c r="O138" t="str">
        <f t="shared" si="64"/>
        <v>MYR</v>
      </c>
      <c r="P138" t="str">
        <f t="shared" si="55"/>
        <v>NIL</v>
      </c>
      <c r="Q138" t="str">
        <f t="shared" si="55"/>
        <v>NIL</v>
      </c>
      <c r="R138" t="str">
        <f t="shared" si="65"/>
        <v>Accepted</v>
      </c>
      <c r="S138" t="str">
        <f t="shared" si="66"/>
        <v>Approved</v>
      </c>
      <c r="T138" t="str">
        <f t="shared" si="67"/>
        <v>10.20.8.188</v>
      </c>
      <c r="U138" t="str">
        <f t="shared" si="68"/>
        <v>AZRAD UMAR BIN SHAARI</v>
      </c>
      <c r="V138" t="str">
        <f t="shared" si="69"/>
        <v>FARHANA BINTI MUSTAPA</v>
      </c>
      <c r="W138" t="str">
        <f t="shared" si="70"/>
        <v>04-08-2020</v>
      </c>
      <c r="X138" t="str">
        <f t="shared" si="71"/>
        <v>RAZIMAH ANSAR AHMAD</v>
      </c>
      <c r="Y138" t="str">
        <f t="shared" si="72"/>
        <v>04-08-2020</v>
      </c>
      <c r="Z138" t="str">
        <f>"COS10200804 469"</f>
        <v>COS10200804 469</v>
      </c>
    </row>
    <row r="139" spans="1:26" x14ac:dyDescent="0.25">
      <c r="A139" t="str">
        <f t="shared" si="56"/>
        <v>04-08-2020 02:12:40</v>
      </c>
      <c r="B139" t="str">
        <f>"0000810859"</f>
        <v>0000810859</v>
      </c>
      <c r="C139" t="str">
        <f t="shared" si="57"/>
        <v>0000810791</v>
      </c>
      <c r="D139" t="str">
        <f t="shared" si="58"/>
        <v>73185</v>
      </c>
      <c r="E139" t="str">
        <f t="shared" si="59"/>
        <v>KFH-OPERATIONS DEPARTMENT</v>
      </c>
      <c r="F139" t="str">
        <f t="shared" si="60"/>
        <v>IBG</v>
      </c>
      <c r="G139" t="str">
        <f t="shared" si="61"/>
        <v>Refund COSHARE 10</v>
      </c>
      <c r="H139" s="2">
        <v>125.95</v>
      </c>
      <c r="I139" t="str">
        <f>"MOHD ZUHAILI BIN SAARI"</f>
        <v>MOHD ZUHAILI BIN SAARI</v>
      </c>
      <c r="J139" t="str">
        <f t="shared" si="62"/>
        <v>BANK ISLAM BHD</v>
      </c>
      <c r="K139" t="str">
        <f>"03036020293238"</f>
        <v>03036020293238</v>
      </c>
      <c r="L139" t="str">
        <f t="shared" si="54"/>
        <v>04-08-2020</v>
      </c>
      <c r="M139" t="str">
        <f t="shared" si="54"/>
        <v>04-08-2020</v>
      </c>
      <c r="N139" t="str">
        <f t="shared" si="63"/>
        <v>001105018356</v>
      </c>
      <c r="O139" t="str">
        <f t="shared" si="64"/>
        <v>MYR</v>
      </c>
      <c r="P139" t="str">
        <f t="shared" si="55"/>
        <v>NIL</v>
      </c>
      <c r="Q139" t="str">
        <f t="shared" si="55"/>
        <v>NIL</v>
      </c>
      <c r="R139" t="str">
        <f t="shared" si="65"/>
        <v>Accepted</v>
      </c>
      <c r="S139" t="str">
        <f t="shared" si="66"/>
        <v>Approved</v>
      </c>
      <c r="T139" t="str">
        <f t="shared" si="67"/>
        <v>10.20.8.188</v>
      </c>
      <c r="U139" t="str">
        <f t="shared" si="68"/>
        <v>AZRAD UMAR BIN SHAARI</v>
      </c>
      <c r="V139" t="str">
        <f t="shared" si="69"/>
        <v>FARHANA BINTI MUSTAPA</v>
      </c>
      <c r="W139" t="str">
        <f t="shared" si="70"/>
        <v>04-08-2020</v>
      </c>
      <c r="X139" t="str">
        <f t="shared" si="71"/>
        <v>RAZIMAH ANSAR AHMAD</v>
      </c>
      <c r="Y139" t="str">
        <f t="shared" si="72"/>
        <v>04-08-2020</v>
      </c>
      <c r="Z139" t="str">
        <f>"COS10200804 468"</f>
        <v>COS10200804 468</v>
      </c>
    </row>
    <row r="140" spans="1:26" x14ac:dyDescent="0.25">
      <c r="A140" t="str">
        <f t="shared" si="56"/>
        <v>04-08-2020 02:12:40</v>
      </c>
      <c r="B140" t="str">
        <f>"0000810858"</f>
        <v>0000810858</v>
      </c>
      <c r="C140" t="str">
        <f t="shared" si="57"/>
        <v>0000810791</v>
      </c>
      <c r="D140" t="str">
        <f t="shared" si="58"/>
        <v>73185</v>
      </c>
      <c r="E140" t="str">
        <f t="shared" si="59"/>
        <v>KFH-OPERATIONS DEPARTMENT</v>
      </c>
      <c r="F140" t="str">
        <f t="shared" si="60"/>
        <v>IBG</v>
      </c>
      <c r="G140" t="str">
        <f t="shared" si="61"/>
        <v>Refund COSHARE 10</v>
      </c>
      <c r="H140" s="2">
        <v>167.9</v>
      </c>
      <c r="I140" t="str">
        <f>"MOHD ZAMREE BIN ZAKARIA"</f>
        <v>MOHD ZAMREE BIN ZAKARIA</v>
      </c>
      <c r="J140" t="str">
        <f t="shared" si="62"/>
        <v>BANK ISLAM BHD</v>
      </c>
      <c r="K140" t="str">
        <f>"06046020022090"</f>
        <v>06046020022090</v>
      </c>
      <c r="L140" t="str">
        <f t="shared" si="54"/>
        <v>04-08-2020</v>
      </c>
      <c r="M140" t="str">
        <f t="shared" si="54"/>
        <v>04-08-2020</v>
      </c>
      <c r="N140" t="str">
        <f t="shared" si="63"/>
        <v>001105018356</v>
      </c>
      <c r="O140" t="str">
        <f t="shared" si="64"/>
        <v>MYR</v>
      </c>
      <c r="P140" t="str">
        <f t="shared" si="55"/>
        <v>NIL</v>
      </c>
      <c r="Q140" t="str">
        <f t="shared" si="55"/>
        <v>NIL</v>
      </c>
      <c r="R140" t="str">
        <f t="shared" si="65"/>
        <v>Accepted</v>
      </c>
      <c r="S140" t="str">
        <f t="shared" si="66"/>
        <v>Approved</v>
      </c>
      <c r="T140" t="str">
        <f t="shared" si="67"/>
        <v>10.20.8.188</v>
      </c>
      <c r="U140" t="str">
        <f t="shared" si="68"/>
        <v>AZRAD UMAR BIN SHAARI</v>
      </c>
      <c r="V140" t="str">
        <f t="shared" si="69"/>
        <v>FARHANA BINTI MUSTAPA</v>
      </c>
      <c r="W140" t="str">
        <f t="shared" si="70"/>
        <v>04-08-2020</v>
      </c>
      <c r="X140" t="str">
        <f t="shared" si="71"/>
        <v>RAZIMAH ANSAR AHMAD</v>
      </c>
      <c r="Y140" t="str">
        <f t="shared" si="72"/>
        <v>04-08-2020</v>
      </c>
      <c r="Z140" t="str">
        <f>"COS10200804 467"</f>
        <v>COS10200804 467</v>
      </c>
    </row>
    <row r="141" spans="1:26" x14ac:dyDescent="0.25">
      <c r="A141" t="str">
        <f t="shared" si="56"/>
        <v>04-08-2020 02:12:40</v>
      </c>
      <c r="B141" t="str">
        <f>"0000810857"</f>
        <v>0000810857</v>
      </c>
      <c r="C141" t="str">
        <f t="shared" si="57"/>
        <v>0000810791</v>
      </c>
      <c r="D141" t="str">
        <f t="shared" si="58"/>
        <v>73185</v>
      </c>
      <c r="E141" t="str">
        <f t="shared" si="59"/>
        <v>KFH-OPERATIONS DEPARTMENT</v>
      </c>
      <c r="F141" t="str">
        <f t="shared" si="60"/>
        <v>IBG</v>
      </c>
      <c r="G141" t="str">
        <f t="shared" si="61"/>
        <v>Refund COSHARE 10</v>
      </c>
      <c r="H141" s="2">
        <v>789.15</v>
      </c>
      <c r="I141" t="str">
        <f>"MOHD ZAINIZAN BIN YAHMAN"</f>
        <v>MOHD ZAINIZAN BIN YAHMAN</v>
      </c>
      <c r="J141" t="str">
        <f t="shared" si="62"/>
        <v>BANK ISLAM BHD</v>
      </c>
      <c r="K141" t="str">
        <f>"01050026024626"</f>
        <v>01050026024626</v>
      </c>
      <c r="L141" t="str">
        <f t="shared" si="54"/>
        <v>04-08-2020</v>
      </c>
      <c r="M141" t="str">
        <f t="shared" si="54"/>
        <v>04-08-2020</v>
      </c>
      <c r="N141" t="str">
        <f t="shared" si="63"/>
        <v>001105018356</v>
      </c>
      <c r="O141" t="str">
        <f t="shared" si="64"/>
        <v>MYR</v>
      </c>
      <c r="P141" t="str">
        <f t="shared" si="55"/>
        <v>NIL</v>
      </c>
      <c r="Q141" t="str">
        <f t="shared" si="55"/>
        <v>NIL</v>
      </c>
      <c r="R141" t="str">
        <f t="shared" si="65"/>
        <v>Accepted</v>
      </c>
      <c r="S141" t="str">
        <f t="shared" si="66"/>
        <v>Approved</v>
      </c>
      <c r="T141" t="str">
        <f t="shared" si="67"/>
        <v>10.20.8.188</v>
      </c>
      <c r="U141" t="str">
        <f t="shared" si="68"/>
        <v>AZRAD UMAR BIN SHAARI</v>
      </c>
      <c r="V141" t="str">
        <f t="shared" si="69"/>
        <v>FARHANA BINTI MUSTAPA</v>
      </c>
      <c r="W141" t="str">
        <f t="shared" si="70"/>
        <v>04-08-2020</v>
      </c>
      <c r="X141" t="str">
        <f t="shared" si="71"/>
        <v>RAZIMAH ANSAR AHMAD</v>
      </c>
      <c r="Y141" t="str">
        <f t="shared" si="72"/>
        <v>04-08-2020</v>
      </c>
      <c r="Z141" t="str">
        <f>"COS10200804 466"</f>
        <v>COS10200804 466</v>
      </c>
    </row>
    <row r="142" spans="1:26" x14ac:dyDescent="0.25">
      <c r="A142" t="str">
        <f t="shared" si="56"/>
        <v>04-08-2020 02:12:40</v>
      </c>
      <c r="B142" t="str">
        <f>"0000810856"</f>
        <v>0000810856</v>
      </c>
      <c r="C142" t="str">
        <f t="shared" si="57"/>
        <v>0000810791</v>
      </c>
      <c r="D142" t="str">
        <f t="shared" si="58"/>
        <v>73185</v>
      </c>
      <c r="E142" t="str">
        <f t="shared" si="59"/>
        <v>KFH-OPERATIONS DEPARTMENT</v>
      </c>
      <c r="F142" t="str">
        <f t="shared" si="60"/>
        <v>IBG</v>
      </c>
      <c r="G142" t="str">
        <f t="shared" si="61"/>
        <v>Refund COSHARE 10</v>
      </c>
      <c r="H142" s="2">
        <v>42</v>
      </c>
      <c r="I142" t="str">
        <f>"MOHD ZAIFULNIZAM BIN IBRAHIM"</f>
        <v>MOHD ZAIFULNIZAM BIN IBRAHIM</v>
      </c>
      <c r="J142" t="str">
        <f t="shared" si="62"/>
        <v>BANK ISLAM BHD</v>
      </c>
      <c r="K142" t="str">
        <f>"02093020665436"</f>
        <v>02093020665436</v>
      </c>
      <c r="L142" t="str">
        <f t="shared" si="54"/>
        <v>04-08-2020</v>
      </c>
      <c r="M142" t="str">
        <f t="shared" si="54"/>
        <v>04-08-2020</v>
      </c>
      <c r="N142" t="str">
        <f t="shared" si="63"/>
        <v>001105018356</v>
      </c>
      <c r="O142" t="str">
        <f t="shared" si="64"/>
        <v>MYR</v>
      </c>
      <c r="P142" t="str">
        <f t="shared" si="55"/>
        <v>NIL</v>
      </c>
      <c r="Q142" t="str">
        <f t="shared" si="55"/>
        <v>NIL</v>
      </c>
      <c r="R142" t="str">
        <f t="shared" si="65"/>
        <v>Accepted</v>
      </c>
      <c r="S142" t="str">
        <f t="shared" si="66"/>
        <v>Approved</v>
      </c>
      <c r="T142" t="str">
        <f t="shared" si="67"/>
        <v>10.20.8.188</v>
      </c>
      <c r="U142" t="str">
        <f t="shared" si="68"/>
        <v>AZRAD UMAR BIN SHAARI</v>
      </c>
      <c r="V142" t="str">
        <f t="shared" si="69"/>
        <v>FARHANA BINTI MUSTAPA</v>
      </c>
      <c r="W142" t="str">
        <f t="shared" si="70"/>
        <v>04-08-2020</v>
      </c>
      <c r="X142" t="str">
        <f t="shared" si="71"/>
        <v>RAZIMAH ANSAR AHMAD</v>
      </c>
      <c r="Y142" t="str">
        <f t="shared" si="72"/>
        <v>04-08-2020</v>
      </c>
      <c r="Z142" t="str">
        <f>"COS10200804 465"</f>
        <v>COS10200804 465</v>
      </c>
    </row>
    <row r="143" spans="1:26" x14ac:dyDescent="0.25">
      <c r="A143" t="str">
        <f t="shared" si="56"/>
        <v>04-08-2020 02:12:40</v>
      </c>
      <c r="B143" t="str">
        <f>"0000810855"</f>
        <v>0000810855</v>
      </c>
      <c r="C143" t="str">
        <f t="shared" si="57"/>
        <v>0000810791</v>
      </c>
      <c r="D143" t="str">
        <f t="shared" si="58"/>
        <v>73185</v>
      </c>
      <c r="E143" t="str">
        <f t="shared" si="59"/>
        <v>KFH-OPERATIONS DEPARTMENT</v>
      </c>
      <c r="F143" t="str">
        <f t="shared" si="60"/>
        <v>IBG</v>
      </c>
      <c r="G143" t="str">
        <f t="shared" si="61"/>
        <v>Refund COSHARE 10</v>
      </c>
      <c r="H143" s="2">
        <v>1049</v>
      </c>
      <c r="I143" t="str">
        <f>"MOHD YUSOF BIN MARKOM"</f>
        <v>MOHD YUSOF BIN MARKOM</v>
      </c>
      <c r="J143" t="str">
        <f t="shared" si="62"/>
        <v>BANK ISLAM BHD</v>
      </c>
      <c r="K143" t="str">
        <f>"16018020050151"</f>
        <v>16018020050151</v>
      </c>
      <c r="L143" t="str">
        <f t="shared" si="54"/>
        <v>04-08-2020</v>
      </c>
      <c r="M143" t="str">
        <f t="shared" si="54"/>
        <v>04-08-2020</v>
      </c>
      <c r="N143" t="str">
        <f t="shared" si="63"/>
        <v>001105018356</v>
      </c>
      <c r="O143" t="str">
        <f t="shared" si="64"/>
        <v>MYR</v>
      </c>
      <c r="P143" t="str">
        <f t="shared" si="55"/>
        <v>NIL</v>
      </c>
      <c r="Q143" t="str">
        <f t="shared" si="55"/>
        <v>NIL</v>
      </c>
      <c r="R143" t="str">
        <f t="shared" si="65"/>
        <v>Accepted</v>
      </c>
      <c r="S143" t="str">
        <f t="shared" si="66"/>
        <v>Approved</v>
      </c>
      <c r="T143" t="str">
        <f t="shared" si="67"/>
        <v>10.20.8.188</v>
      </c>
      <c r="U143" t="str">
        <f t="shared" si="68"/>
        <v>AZRAD UMAR BIN SHAARI</v>
      </c>
      <c r="V143" t="str">
        <f t="shared" si="69"/>
        <v>FARHANA BINTI MUSTAPA</v>
      </c>
      <c r="W143" t="str">
        <f t="shared" si="70"/>
        <v>04-08-2020</v>
      </c>
      <c r="X143" t="str">
        <f t="shared" si="71"/>
        <v>RAZIMAH ANSAR AHMAD</v>
      </c>
      <c r="Y143" t="str">
        <f t="shared" si="72"/>
        <v>04-08-2020</v>
      </c>
      <c r="Z143" t="str">
        <f>"COS10200804 464"</f>
        <v>COS10200804 464</v>
      </c>
    </row>
    <row r="144" spans="1:26" x14ac:dyDescent="0.25">
      <c r="A144" t="str">
        <f t="shared" si="56"/>
        <v>04-08-2020 02:12:40</v>
      </c>
      <c r="B144" t="str">
        <f>"0000810854"</f>
        <v>0000810854</v>
      </c>
      <c r="C144" t="str">
        <f t="shared" si="57"/>
        <v>0000810791</v>
      </c>
      <c r="D144" t="str">
        <f t="shared" si="58"/>
        <v>73185</v>
      </c>
      <c r="E144" t="str">
        <f t="shared" si="59"/>
        <v>KFH-OPERATIONS DEPARTMENT</v>
      </c>
      <c r="F144" t="str">
        <f t="shared" si="60"/>
        <v>IBG</v>
      </c>
      <c r="G144" t="str">
        <f t="shared" si="61"/>
        <v>Refund COSHARE 10</v>
      </c>
      <c r="H144" s="2">
        <v>129.30000000000001</v>
      </c>
      <c r="I144" t="str">
        <f>"MOHD UZUMI BIN MUSTAPHA"</f>
        <v>MOHD UZUMI BIN MUSTAPHA</v>
      </c>
      <c r="J144" t="str">
        <f t="shared" si="62"/>
        <v>BANK ISLAM BHD</v>
      </c>
      <c r="K144" t="str">
        <f>"03081020066521"</f>
        <v>03081020066521</v>
      </c>
      <c r="L144" t="str">
        <f t="shared" si="54"/>
        <v>04-08-2020</v>
      </c>
      <c r="M144" t="str">
        <f t="shared" si="54"/>
        <v>04-08-2020</v>
      </c>
      <c r="N144" t="str">
        <f t="shared" si="63"/>
        <v>001105018356</v>
      </c>
      <c r="O144" t="str">
        <f t="shared" si="64"/>
        <v>MYR</v>
      </c>
      <c r="P144" t="str">
        <f t="shared" si="55"/>
        <v>NIL</v>
      </c>
      <c r="Q144" t="str">
        <f t="shared" si="55"/>
        <v>NIL</v>
      </c>
      <c r="R144" t="str">
        <f t="shared" si="65"/>
        <v>Accepted</v>
      </c>
      <c r="S144" t="str">
        <f t="shared" si="66"/>
        <v>Approved</v>
      </c>
      <c r="T144" t="str">
        <f t="shared" si="67"/>
        <v>10.20.8.188</v>
      </c>
      <c r="U144" t="str">
        <f t="shared" si="68"/>
        <v>AZRAD UMAR BIN SHAARI</v>
      </c>
      <c r="V144" t="str">
        <f t="shared" si="69"/>
        <v>FARHANA BINTI MUSTAPA</v>
      </c>
      <c r="W144" t="str">
        <f t="shared" si="70"/>
        <v>04-08-2020</v>
      </c>
      <c r="X144" t="str">
        <f t="shared" si="71"/>
        <v>RAZIMAH ANSAR AHMAD</v>
      </c>
      <c r="Y144" t="str">
        <f t="shared" si="72"/>
        <v>04-08-2020</v>
      </c>
      <c r="Z144" t="str">
        <f>"COS10200804 463"</f>
        <v>COS10200804 463</v>
      </c>
    </row>
    <row r="145" spans="1:26" x14ac:dyDescent="0.25">
      <c r="A145" t="str">
        <f t="shared" si="56"/>
        <v>04-08-2020 02:12:40</v>
      </c>
      <c r="B145" t="str">
        <f>"0000810853"</f>
        <v>0000810853</v>
      </c>
      <c r="C145" t="str">
        <f t="shared" si="57"/>
        <v>0000810791</v>
      </c>
      <c r="D145" t="str">
        <f t="shared" si="58"/>
        <v>73185</v>
      </c>
      <c r="E145" t="str">
        <f t="shared" si="59"/>
        <v>KFH-OPERATIONS DEPARTMENT</v>
      </c>
      <c r="F145" t="str">
        <f t="shared" si="60"/>
        <v>IBG</v>
      </c>
      <c r="G145" t="str">
        <f t="shared" si="61"/>
        <v>Refund COSHARE 10</v>
      </c>
      <c r="H145" s="2">
        <v>949</v>
      </c>
      <c r="I145" t="str">
        <f>"MOHD TARMIZI BIN HAJI ABDULLAH"</f>
        <v>MOHD TARMIZI BIN HAJI ABDULLAH</v>
      </c>
      <c r="J145" t="str">
        <f t="shared" si="62"/>
        <v>BANK ISLAM BHD</v>
      </c>
      <c r="K145" t="str">
        <f>"02020020605767"</f>
        <v>02020020605767</v>
      </c>
      <c r="L145" t="str">
        <f t="shared" si="54"/>
        <v>04-08-2020</v>
      </c>
      <c r="M145" t="str">
        <f t="shared" si="54"/>
        <v>04-08-2020</v>
      </c>
      <c r="N145" t="str">
        <f t="shared" si="63"/>
        <v>001105018356</v>
      </c>
      <c r="O145" t="str">
        <f t="shared" si="64"/>
        <v>MYR</v>
      </c>
      <c r="P145" t="str">
        <f t="shared" si="55"/>
        <v>NIL</v>
      </c>
      <c r="Q145" t="str">
        <f t="shared" si="55"/>
        <v>NIL</v>
      </c>
      <c r="R145" t="str">
        <f t="shared" si="65"/>
        <v>Accepted</v>
      </c>
      <c r="S145" t="str">
        <f t="shared" si="66"/>
        <v>Approved</v>
      </c>
      <c r="T145" t="str">
        <f t="shared" si="67"/>
        <v>10.20.8.188</v>
      </c>
      <c r="U145" t="str">
        <f t="shared" si="68"/>
        <v>AZRAD UMAR BIN SHAARI</v>
      </c>
      <c r="V145" t="str">
        <f t="shared" si="69"/>
        <v>FARHANA BINTI MUSTAPA</v>
      </c>
      <c r="W145" t="str">
        <f t="shared" si="70"/>
        <v>04-08-2020</v>
      </c>
      <c r="X145" t="str">
        <f t="shared" si="71"/>
        <v>RAZIMAH ANSAR AHMAD</v>
      </c>
      <c r="Y145" t="str">
        <f t="shared" si="72"/>
        <v>04-08-2020</v>
      </c>
      <c r="Z145" t="str">
        <f>"COS10200804 462"</f>
        <v>COS10200804 462</v>
      </c>
    </row>
    <row r="146" spans="1:26" x14ac:dyDescent="0.25">
      <c r="A146" t="str">
        <f t="shared" si="56"/>
        <v>04-08-2020 02:12:40</v>
      </c>
      <c r="B146" t="str">
        <f>"0000810852"</f>
        <v>0000810852</v>
      </c>
      <c r="C146" t="str">
        <f t="shared" si="57"/>
        <v>0000810791</v>
      </c>
      <c r="D146" t="str">
        <f t="shared" si="58"/>
        <v>73185</v>
      </c>
      <c r="E146" t="str">
        <f t="shared" si="59"/>
        <v>KFH-OPERATIONS DEPARTMENT</v>
      </c>
      <c r="F146" t="str">
        <f t="shared" si="60"/>
        <v>IBG</v>
      </c>
      <c r="G146" t="str">
        <f t="shared" si="61"/>
        <v>Refund COSHARE 10</v>
      </c>
      <c r="H146" s="2">
        <v>1175.3</v>
      </c>
      <c r="I146" t="str">
        <f>"MOHD SYAHABUDIN BIN SHUIB"</f>
        <v>MOHD SYAHABUDIN BIN SHUIB</v>
      </c>
      <c r="J146" t="str">
        <f t="shared" si="62"/>
        <v>BANK ISLAM BHD</v>
      </c>
      <c r="K146" t="str">
        <f>"14171020241708"</f>
        <v>14171020241708</v>
      </c>
      <c r="L146" t="str">
        <f t="shared" si="54"/>
        <v>04-08-2020</v>
      </c>
      <c r="M146" t="str">
        <f t="shared" si="54"/>
        <v>04-08-2020</v>
      </c>
      <c r="N146" t="str">
        <f t="shared" si="63"/>
        <v>001105018356</v>
      </c>
      <c r="O146" t="str">
        <f t="shared" si="64"/>
        <v>MYR</v>
      </c>
      <c r="P146" t="str">
        <f t="shared" si="55"/>
        <v>NIL</v>
      </c>
      <c r="Q146" t="str">
        <f t="shared" si="55"/>
        <v>NIL</v>
      </c>
      <c r="R146" t="str">
        <f t="shared" si="65"/>
        <v>Accepted</v>
      </c>
      <c r="S146" t="str">
        <f t="shared" si="66"/>
        <v>Approved</v>
      </c>
      <c r="T146" t="str">
        <f t="shared" si="67"/>
        <v>10.20.8.188</v>
      </c>
      <c r="U146" t="str">
        <f t="shared" si="68"/>
        <v>AZRAD UMAR BIN SHAARI</v>
      </c>
      <c r="V146" t="str">
        <f t="shared" si="69"/>
        <v>FARHANA BINTI MUSTAPA</v>
      </c>
      <c r="W146" t="str">
        <f t="shared" si="70"/>
        <v>04-08-2020</v>
      </c>
      <c r="X146" t="str">
        <f t="shared" si="71"/>
        <v>RAZIMAH ANSAR AHMAD</v>
      </c>
      <c r="Y146" t="str">
        <f t="shared" si="72"/>
        <v>04-08-2020</v>
      </c>
      <c r="Z146" t="str">
        <f>"COS10200804 461"</f>
        <v>COS10200804 461</v>
      </c>
    </row>
    <row r="147" spans="1:26" x14ac:dyDescent="0.25">
      <c r="A147" t="str">
        <f t="shared" si="56"/>
        <v>04-08-2020 02:12:40</v>
      </c>
      <c r="B147" t="str">
        <f>"0000810851"</f>
        <v>0000810851</v>
      </c>
      <c r="C147" t="str">
        <f t="shared" si="57"/>
        <v>0000810791</v>
      </c>
      <c r="D147" t="str">
        <f t="shared" si="58"/>
        <v>73185</v>
      </c>
      <c r="E147" t="str">
        <f t="shared" si="59"/>
        <v>KFH-OPERATIONS DEPARTMENT</v>
      </c>
      <c r="F147" t="str">
        <f t="shared" si="60"/>
        <v>IBG</v>
      </c>
      <c r="G147" t="str">
        <f t="shared" si="61"/>
        <v>Refund COSHARE 10</v>
      </c>
      <c r="H147" s="2">
        <v>354.8</v>
      </c>
      <c r="I147" t="str">
        <f>"MOHD SYAFIQ DENSEN BIN ABDULLAH"</f>
        <v>MOHD SYAFIQ DENSEN BIN ABDULLAH</v>
      </c>
      <c r="J147" t="str">
        <f t="shared" si="62"/>
        <v>BANK ISLAM BHD</v>
      </c>
      <c r="K147" t="str">
        <f>"03036020714204"</f>
        <v>03036020714204</v>
      </c>
      <c r="L147" t="str">
        <f t="shared" ref="L147:M166" si="73">"04-08-2020"</f>
        <v>04-08-2020</v>
      </c>
      <c r="M147" t="str">
        <f t="shared" si="73"/>
        <v>04-08-2020</v>
      </c>
      <c r="N147" t="str">
        <f t="shared" si="63"/>
        <v>001105018356</v>
      </c>
      <c r="O147" t="str">
        <f t="shared" si="64"/>
        <v>MYR</v>
      </c>
      <c r="P147" t="str">
        <f t="shared" ref="P147:Q166" si="74">"NIL"</f>
        <v>NIL</v>
      </c>
      <c r="Q147" t="str">
        <f t="shared" si="74"/>
        <v>NIL</v>
      </c>
      <c r="R147" t="str">
        <f t="shared" si="65"/>
        <v>Accepted</v>
      </c>
      <c r="S147" t="str">
        <f t="shared" si="66"/>
        <v>Approved</v>
      </c>
      <c r="T147" t="str">
        <f t="shared" si="67"/>
        <v>10.20.8.188</v>
      </c>
      <c r="U147" t="str">
        <f t="shared" si="68"/>
        <v>AZRAD UMAR BIN SHAARI</v>
      </c>
      <c r="V147" t="str">
        <f t="shared" si="69"/>
        <v>FARHANA BINTI MUSTAPA</v>
      </c>
      <c r="W147" t="str">
        <f t="shared" si="70"/>
        <v>04-08-2020</v>
      </c>
      <c r="X147" t="str">
        <f t="shared" si="71"/>
        <v>RAZIMAH ANSAR AHMAD</v>
      </c>
      <c r="Y147" t="str">
        <f t="shared" si="72"/>
        <v>04-08-2020</v>
      </c>
      <c r="Z147" t="str">
        <f>"COS10200804 460"</f>
        <v>COS10200804 460</v>
      </c>
    </row>
    <row r="148" spans="1:26" x14ac:dyDescent="0.25">
      <c r="A148" t="str">
        <f t="shared" si="56"/>
        <v>04-08-2020 02:12:40</v>
      </c>
      <c r="B148" t="str">
        <f>"0000810850"</f>
        <v>0000810850</v>
      </c>
      <c r="C148" t="str">
        <f t="shared" si="57"/>
        <v>0000810791</v>
      </c>
      <c r="D148" t="str">
        <f t="shared" si="58"/>
        <v>73185</v>
      </c>
      <c r="E148" t="str">
        <f t="shared" si="59"/>
        <v>KFH-OPERATIONS DEPARTMENT</v>
      </c>
      <c r="F148" t="str">
        <f t="shared" si="60"/>
        <v>IBG</v>
      </c>
      <c r="G148" t="str">
        <f t="shared" si="61"/>
        <v>Refund COSHARE 10</v>
      </c>
      <c r="H148" s="2">
        <v>167</v>
      </c>
      <c r="I148" t="str">
        <f>"MOHD SUHAIMIE BIN SULAIMAN"</f>
        <v>MOHD SUHAIMIE BIN SULAIMAN</v>
      </c>
      <c r="J148" t="str">
        <f t="shared" si="62"/>
        <v>BANK ISLAM BHD</v>
      </c>
      <c r="K148" t="str">
        <f>"13017020900834"</f>
        <v>13017020900834</v>
      </c>
      <c r="L148" t="str">
        <f t="shared" si="73"/>
        <v>04-08-2020</v>
      </c>
      <c r="M148" t="str">
        <f t="shared" si="73"/>
        <v>04-08-2020</v>
      </c>
      <c r="N148" t="str">
        <f t="shared" si="63"/>
        <v>001105018356</v>
      </c>
      <c r="O148" t="str">
        <f t="shared" si="64"/>
        <v>MYR</v>
      </c>
      <c r="P148" t="str">
        <f t="shared" si="74"/>
        <v>NIL</v>
      </c>
      <c r="Q148" t="str">
        <f t="shared" si="74"/>
        <v>NIL</v>
      </c>
      <c r="R148" t="str">
        <f t="shared" si="65"/>
        <v>Accepted</v>
      </c>
      <c r="S148" t="str">
        <f t="shared" si="66"/>
        <v>Approved</v>
      </c>
      <c r="T148" t="str">
        <f t="shared" si="67"/>
        <v>10.20.8.188</v>
      </c>
      <c r="U148" t="str">
        <f t="shared" si="68"/>
        <v>AZRAD UMAR BIN SHAARI</v>
      </c>
      <c r="V148" t="str">
        <f t="shared" si="69"/>
        <v>FARHANA BINTI MUSTAPA</v>
      </c>
      <c r="W148" t="str">
        <f t="shared" si="70"/>
        <v>04-08-2020</v>
      </c>
      <c r="X148" t="str">
        <f t="shared" si="71"/>
        <v>RAZIMAH ANSAR AHMAD</v>
      </c>
      <c r="Y148" t="str">
        <f t="shared" si="72"/>
        <v>04-08-2020</v>
      </c>
      <c r="Z148" t="str">
        <f>"COS10200804 459"</f>
        <v>COS10200804 459</v>
      </c>
    </row>
    <row r="149" spans="1:26" x14ac:dyDescent="0.25">
      <c r="A149" t="str">
        <f t="shared" si="56"/>
        <v>04-08-2020 02:12:40</v>
      </c>
      <c r="B149" t="str">
        <f>"0000810849"</f>
        <v>0000810849</v>
      </c>
      <c r="C149" t="str">
        <f t="shared" si="57"/>
        <v>0000810791</v>
      </c>
      <c r="D149" t="str">
        <f t="shared" si="58"/>
        <v>73185</v>
      </c>
      <c r="E149" t="str">
        <f t="shared" si="59"/>
        <v>KFH-OPERATIONS DEPARTMENT</v>
      </c>
      <c r="F149" t="str">
        <f t="shared" si="60"/>
        <v>IBG</v>
      </c>
      <c r="G149" t="str">
        <f t="shared" si="61"/>
        <v>Refund COSHARE 10</v>
      </c>
      <c r="H149" s="2">
        <v>1336</v>
      </c>
      <c r="I149" t="str">
        <f>"MOHD SUHAIMI BIN SEMAN"</f>
        <v>MOHD SUHAIMI BIN SEMAN</v>
      </c>
      <c r="J149" t="str">
        <f t="shared" si="62"/>
        <v>BANK ISLAM BHD</v>
      </c>
      <c r="K149" t="str">
        <f>"01041020245091"</f>
        <v>01041020245091</v>
      </c>
      <c r="L149" t="str">
        <f t="shared" si="73"/>
        <v>04-08-2020</v>
      </c>
      <c r="M149" t="str">
        <f t="shared" si="73"/>
        <v>04-08-2020</v>
      </c>
      <c r="N149" t="str">
        <f t="shared" si="63"/>
        <v>001105018356</v>
      </c>
      <c r="O149" t="str">
        <f t="shared" si="64"/>
        <v>MYR</v>
      </c>
      <c r="P149" t="str">
        <f t="shared" si="74"/>
        <v>NIL</v>
      </c>
      <c r="Q149" t="str">
        <f t="shared" si="74"/>
        <v>NIL</v>
      </c>
      <c r="R149" t="str">
        <f t="shared" si="65"/>
        <v>Accepted</v>
      </c>
      <c r="S149" t="str">
        <f t="shared" si="66"/>
        <v>Approved</v>
      </c>
      <c r="T149" t="str">
        <f t="shared" si="67"/>
        <v>10.20.8.188</v>
      </c>
      <c r="U149" t="str">
        <f t="shared" si="68"/>
        <v>AZRAD UMAR BIN SHAARI</v>
      </c>
      <c r="V149" t="str">
        <f t="shared" si="69"/>
        <v>FARHANA BINTI MUSTAPA</v>
      </c>
      <c r="W149" t="str">
        <f t="shared" si="70"/>
        <v>04-08-2020</v>
      </c>
      <c r="X149" t="str">
        <f t="shared" si="71"/>
        <v>RAZIMAH ANSAR AHMAD</v>
      </c>
      <c r="Y149" t="str">
        <f t="shared" si="72"/>
        <v>04-08-2020</v>
      </c>
      <c r="Z149" t="str">
        <f>"COS10200804 458"</f>
        <v>COS10200804 458</v>
      </c>
    </row>
    <row r="150" spans="1:26" x14ac:dyDescent="0.25">
      <c r="A150" t="str">
        <f t="shared" si="56"/>
        <v>04-08-2020 02:12:40</v>
      </c>
      <c r="B150" t="str">
        <f>"0000810848"</f>
        <v>0000810848</v>
      </c>
      <c r="C150" t="str">
        <f t="shared" si="57"/>
        <v>0000810791</v>
      </c>
      <c r="D150" t="str">
        <f t="shared" si="58"/>
        <v>73185</v>
      </c>
      <c r="E150" t="str">
        <f t="shared" si="59"/>
        <v>KFH-OPERATIONS DEPARTMENT</v>
      </c>
      <c r="F150" t="str">
        <f t="shared" si="60"/>
        <v>IBG</v>
      </c>
      <c r="G150" t="str">
        <f t="shared" si="61"/>
        <v>Refund COSHARE 10</v>
      </c>
      <c r="H150" s="2">
        <v>705.2</v>
      </c>
      <c r="I150" t="str">
        <f>"MOHD SOBRI BIN MORAD"</f>
        <v>MOHD SOBRI BIN MORAD</v>
      </c>
      <c r="J150" t="str">
        <f t="shared" si="62"/>
        <v>BANK ISLAM BHD</v>
      </c>
      <c r="K150" t="str">
        <f>"08031020392428"</f>
        <v>08031020392428</v>
      </c>
      <c r="L150" t="str">
        <f t="shared" si="73"/>
        <v>04-08-2020</v>
      </c>
      <c r="M150" t="str">
        <f t="shared" si="73"/>
        <v>04-08-2020</v>
      </c>
      <c r="N150" t="str">
        <f t="shared" si="63"/>
        <v>001105018356</v>
      </c>
      <c r="O150" t="str">
        <f t="shared" si="64"/>
        <v>MYR</v>
      </c>
      <c r="P150" t="str">
        <f t="shared" si="74"/>
        <v>NIL</v>
      </c>
      <c r="Q150" t="str">
        <f t="shared" si="74"/>
        <v>NIL</v>
      </c>
      <c r="R150" t="str">
        <f t="shared" si="65"/>
        <v>Accepted</v>
      </c>
      <c r="S150" t="str">
        <f t="shared" si="66"/>
        <v>Approved</v>
      </c>
      <c r="T150" t="str">
        <f t="shared" si="67"/>
        <v>10.20.8.188</v>
      </c>
      <c r="U150" t="str">
        <f t="shared" si="68"/>
        <v>AZRAD UMAR BIN SHAARI</v>
      </c>
      <c r="V150" t="str">
        <f t="shared" si="69"/>
        <v>FARHANA BINTI MUSTAPA</v>
      </c>
      <c r="W150" t="str">
        <f t="shared" si="70"/>
        <v>04-08-2020</v>
      </c>
      <c r="X150" t="str">
        <f t="shared" si="71"/>
        <v>RAZIMAH ANSAR AHMAD</v>
      </c>
      <c r="Y150" t="str">
        <f t="shared" si="72"/>
        <v>04-08-2020</v>
      </c>
      <c r="Z150" t="str">
        <f>"COS10200804 457"</f>
        <v>COS10200804 457</v>
      </c>
    </row>
    <row r="151" spans="1:26" x14ac:dyDescent="0.25">
      <c r="A151" t="str">
        <f t="shared" si="56"/>
        <v>04-08-2020 02:12:40</v>
      </c>
      <c r="B151" t="str">
        <f>"0000810847"</f>
        <v>0000810847</v>
      </c>
      <c r="C151" t="str">
        <f t="shared" si="57"/>
        <v>0000810791</v>
      </c>
      <c r="D151" t="str">
        <f t="shared" si="58"/>
        <v>73185</v>
      </c>
      <c r="E151" t="str">
        <f t="shared" si="59"/>
        <v>KFH-OPERATIONS DEPARTMENT</v>
      </c>
      <c r="F151" t="str">
        <f t="shared" si="60"/>
        <v>IBG</v>
      </c>
      <c r="G151" t="str">
        <f t="shared" si="61"/>
        <v>Refund COSHARE 10</v>
      </c>
      <c r="H151" s="2">
        <v>1002.35</v>
      </c>
      <c r="I151" t="str">
        <f>"MOHD SHU AH BIN HALIM"</f>
        <v>MOHD SHU AH BIN HALIM</v>
      </c>
      <c r="J151" t="str">
        <f t="shared" si="62"/>
        <v>BANK ISLAM BHD</v>
      </c>
      <c r="K151" t="str">
        <f>"02011020371659"</f>
        <v>02011020371659</v>
      </c>
      <c r="L151" t="str">
        <f t="shared" si="73"/>
        <v>04-08-2020</v>
      </c>
      <c r="M151" t="str">
        <f t="shared" si="73"/>
        <v>04-08-2020</v>
      </c>
      <c r="N151" t="str">
        <f t="shared" si="63"/>
        <v>001105018356</v>
      </c>
      <c r="O151" t="str">
        <f t="shared" si="64"/>
        <v>MYR</v>
      </c>
      <c r="P151" t="str">
        <f t="shared" si="74"/>
        <v>NIL</v>
      </c>
      <c r="Q151" t="str">
        <f t="shared" si="74"/>
        <v>NIL</v>
      </c>
      <c r="R151" t="str">
        <f t="shared" si="65"/>
        <v>Accepted</v>
      </c>
      <c r="S151" t="str">
        <f t="shared" si="66"/>
        <v>Approved</v>
      </c>
      <c r="T151" t="str">
        <f t="shared" si="67"/>
        <v>10.20.8.188</v>
      </c>
      <c r="U151" t="str">
        <f t="shared" si="68"/>
        <v>AZRAD UMAR BIN SHAARI</v>
      </c>
      <c r="V151" t="str">
        <f t="shared" si="69"/>
        <v>FARHANA BINTI MUSTAPA</v>
      </c>
      <c r="W151" t="str">
        <f t="shared" si="70"/>
        <v>04-08-2020</v>
      </c>
      <c r="X151" t="str">
        <f t="shared" si="71"/>
        <v>RAZIMAH ANSAR AHMAD</v>
      </c>
      <c r="Y151" t="str">
        <f t="shared" si="72"/>
        <v>04-08-2020</v>
      </c>
      <c r="Z151" t="str">
        <f>"COS10200804 456"</f>
        <v>COS10200804 456</v>
      </c>
    </row>
    <row r="152" spans="1:26" x14ac:dyDescent="0.25">
      <c r="A152" t="str">
        <f t="shared" si="56"/>
        <v>04-08-2020 02:12:40</v>
      </c>
      <c r="B152" t="str">
        <f>"0000810846"</f>
        <v>0000810846</v>
      </c>
      <c r="C152" t="str">
        <f t="shared" si="57"/>
        <v>0000810791</v>
      </c>
      <c r="D152" t="str">
        <f t="shared" si="58"/>
        <v>73185</v>
      </c>
      <c r="E152" t="str">
        <f t="shared" si="59"/>
        <v>KFH-OPERATIONS DEPARTMENT</v>
      </c>
      <c r="F152" t="str">
        <f t="shared" si="60"/>
        <v>IBG</v>
      </c>
      <c r="G152" t="str">
        <f t="shared" si="61"/>
        <v>Refund COSHARE 10</v>
      </c>
      <c r="H152" s="2">
        <v>1002.35</v>
      </c>
      <c r="I152" t="str">
        <f>"MOHD SHU AH BIN HALIM"</f>
        <v>MOHD SHU AH BIN HALIM</v>
      </c>
      <c r="J152" t="str">
        <f t="shared" si="62"/>
        <v>BANK ISLAM BHD</v>
      </c>
      <c r="K152" t="str">
        <f>"02011020371659"</f>
        <v>02011020371659</v>
      </c>
      <c r="L152" t="str">
        <f t="shared" si="73"/>
        <v>04-08-2020</v>
      </c>
      <c r="M152" t="str">
        <f t="shared" si="73"/>
        <v>04-08-2020</v>
      </c>
      <c r="N152" t="str">
        <f t="shared" si="63"/>
        <v>001105018356</v>
      </c>
      <c r="O152" t="str">
        <f t="shared" si="64"/>
        <v>MYR</v>
      </c>
      <c r="P152" t="str">
        <f t="shared" si="74"/>
        <v>NIL</v>
      </c>
      <c r="Q152" t="str">
        <f t="shared" si="74"/>
        <v>NIL</v>
      </c>
      <c r="R152" t="str">
        <f t="shared" si="65"/>
        <v>Accepted</v>
      </c>
      <c r="S152" t="str">
        <f t="shared" si="66"/>
        <v>Approved</v>
      </c>
      <c r="T152" t="str">
        <f t="shared" si="67"/>
        <v>10.20.8.188</v>
      </c>
      <c r="U152" t="str">
        <f t="shared" si="68"/>
        <v>AZRAD UMAR BIN SHAARI</v>
      </c>
      <c r="V152" t="str">
        <f t="shared" si="69"/>
        <v>FARHANA BINTI MUSTAPA</v>
      </c>
      <c r="W152" t="str">
        <f t="shared" si="70"/>
        <v>04-08-2020</v>
      </c>
      <c r="X152" t="str">
        <f t="shared" si="71"/>
        <v>RAZIMAH ANSAR AHMAD</v>
      </c>
      <c r="Y152" t="str">
        <f t="shared" si="72"/>
        <v>04-08-2020</v>
      </c>
      <c r="Z152" t="str">
        <f>"COS10200804 455"</f>
        <v>COS10200804 455</v>
      </c>
    </row>
    <row r="153" spans="1:26" x14ac:dyDescent="0.25">
      <c r="A153" t="str">
        <f t="shared" si="56"/>
        <v>04-08-2020 02:12:40</v>
      </c>
      <c r="B153" t="str">
        <f>"0000810845"</f>
        <v>0000810845</v>
      </c>
      <c r="C153" t="str">
        <f t="shared" si="57"/>
        <v>0000810791</v>
      </c>
      <c r="D153" t="str">
        <f t="shared" si="58"/>
        <v>73185</v>
      </c>
      <c r="E153" t="str">
        <f t="shared" si="59"/>
        <v>KFH-OPERATIONS DEPARTMENT</v>
      </c>
      <c r="F153" t="str">
        <f t="shared" si="60"/>
        <v>IBG</v>
      </c>
      <c r="G153" t="str">
        <f t="shared" si="61"/>
        <v>Refund COSHARE 10</v>
      </c>
      <c r="H153" s="2">
        <v>1689</v>
      </c>
      <c r="I153" t="str">
        <f>"MOHD SHAMSUL BIN HASIM"</f>
        <v>MOHD SHAMSUL BIN HASIM</v>
      </c>
      <c r="J153" t="str">
        <f t="shared" si="62"/>
        <v>BANK ISLAM BHD</v>
      </c>
      <c r="K153" t="str">
        <f>"06073020013427"</f>
        <v>06073020013427</v>
      </c>
      <c r="L153" t="str">
        <f t="shared" si="73"/>
        <v>04-08-2020</v>
      </c>
      <c r="M153" t="str">
        <f t="shared" si="73"/>
        <v>04-08-2020</v>
      </c>
      <c r="N153" t="str">
        <f t="shared" si="63"/>
        <v>001105018356</v>
      </c>
      <c r="O153" t="str">
        <f t="shared" si="64"/>
        <v>MYR</v>
      </c>
      <c r="P153" t="str">
        <f t="shared" si="74"/>
        <v>NIL</v>
      </c>
      <c r="Q153" t="str">
        <f t="shared" si="74"/>
        <v>NIL</v>
      </c>
      <c r="R153" t="str">
        <f t="shared" si="65"/>
        <v>Accepted</v>
      </c>
      <c r="S153" t="str">
        <f t="shared" si="66"/>
        <v>Approved</v>
      </c>
      <c r="T153" t="str">
        <f t="shared" si="67"/>
        <v>10.20.8.188</v>
      </c>
      <c r="U153" t="str">
        <f t="shared" si="68"/>
        <v>AZRAD UMAR BIN SHAARI</v>
      </c>
      <c r="V153" t="str">
        <f t="shared" si="69"/>
        <v>FARHANA BINTI MUSTAPA</v>
      </c>
      <c r="W153" t="str">
        <f t="shared" si="70"/>
        <v>04-08-2020</v>
      </c>
      <c r="X153" t="str">
        <f t="shared" si="71"/>
        <v>RAZIMAH ANSAR AHMAD</v>
      </c>
      <c r="Y153" t="str">
        <f t="shared" si="72"/>
        <v>04-08-2020</v>
      </c>
      <c r="Z153" t="str">
        <f>"COS10200804 454"</f>
        <v>COS10200804 454</v>
      </c>
    </row>
    <row r="154" spans="1:26" x14ac:dyDescent="0.25">
      <c r="A154" t="str">
        <f t="shared" si="56"/>
        <v>04-08-2020 02:12:40</v>
      </c>
      <c r="B154" t="str">
        <f>"0000810844"</f>
        <v>0000810844</v>
      </c>
      <c r="C154" t="str">
        <f t="shared" si="57"/>
        <v>0000810791</v>
      </c>
      <c r="D154" t="str">
        <f t="shared" si="58"/>
        <v>73185</v>
      </c>
      <c r="E154" t="str">
        <f t="shared" si="59"/>
        <v>KFH-OPERATIONS DEPARTMENT</v>
      </c>
      <c r="F154" t="str">
        <f t="shared" si="60"/>
        <v>IBG</v>
      </c>
      <c r="G154" t="str">
        <f t="shared" si="61"/>
        <v>Refund COSHARE 10</v>
      </c>
      <c r="H154" s="2">
        <v>167.9</v>
      </c>
      <c r="I154" t="str">
        <f>"MOHD SHAH BIN MAT NOR"</f>
        <v>MOHD SHAH BIN MAT NOR</v>
      </c>
      <c r="J154" t="str">
        <f t="shared" si="62"/>
        <v>BANK ISLAM BHD</v>
      </c>
      <c r="K154" t="str">
        <f>"12122024865796"</f>
        <v>12122024865796</v>
      </c>
      <c r="L154" t="str">
        <f t="shared" si="73"/>
        <v>04-08-2020</v>
      </c>
      <c r="M154" t="str">
        <f t="shared" si="73"/>
        <v>04-08-2020</v>
      </c>
      <c r="N154" t="str">
        <f t="shared" si="63"/>
        <v>001105018356</v>
      </c>
      <c r="O154" t="str">
        <f t="shared" si="64"/>
        <v>MYR</v>
      </c>
      <c r="P154" t="str">
        <f t="shared" si="74"/>
        <v>NIL</v>
      </c>
      <c r="Q154" t="str">
        <f t="shared" si="74"/>
        <v>NIL</v>
      </c>
      <c r="R154" t="str">
        <f t="shared" si="65"/>
        <v>Accepted</v>
      </c>
      <c r="S154" t="str">
        <f t="shared" si="66"/>
        <v>Approved</v>
      </c>
      <c r="T154" t="str">
        <f t="shared" si="67"/>
        <v>10.20.8.188</v>
      </c>
      <c r="U154" t="str">
        <f t="shared" si="68"/>
        <v>AZRAD UMAR BIN SHAARI</v>
      </c>
      <c r="V154" t="str">
        <f t="shared" si="69"/>
        <v>FARHANA BINTI MUSTAPA</v>
      </c>
      <c r="W154" t="str">
        <f t="shared" si="70"/>
        <v>04-08-2020</v>
      </c>
      <c r="X154" t="str">
        <f t="shared" si="71"/>
        <v>RAZIMAH ANSAR AHMAD</v>
      </c>
      <c r="Y154" t="str">
        <f t="shared" si="72"/>
        <v>04-08-2020</v>
      </c>
      <c r="Z154" t="str">
        <f>"COS10200804 453"</f>
        <v>COS10200804 453</v>
      </c>
    </row>
    <row r="155" spans="1:26" x14ac:dyDescent="0.25">
      <c r="A155" t="str">
        <f t="shared" si="56"/>
        <v>04-08-2020 02:12:40</v>
      </c>
      <c r="B155" t="str">
        <f>"0000810843"</f>
        <v>0000810843</v>
      </c>
      <c r="C155" t="str">
        <f t="shared" si="57"/>
        <v>0000810791</v>
      </c>
      <c r="D155" t="str">
        <f t="shared" si="58"/>
        <v>73185</v>
      </c>
      <c r="E155" t="str">
        <f t="shared" si="59"/>
        <v>KFH-OPERATIONS DEPARTMENT</v>
      </c>
      <c r="F155" t="str">
        <f t="shared" si="60"/>
        <v>IBG</v>
      </c>
      <c r="G155" t="str">
        <f t="shared" si="61"/>
        <v>Refund COSHARE 10</v>
      </c>
      <c r="H155" s="2">
        <v>683</v>
      </c>
      <c r="I155" t="str">
        <f>"MOHD SAFARRIZA BIN DAUD"</f>
        <v>MOHD SAFARRIZA BIN DAUD</v>
      </c>
      <c r="J155" t="str">
        <f t="shared" si="62"/>
        <v>BANK ISLAM BHD</v>
      </c>
      <c r="K155" t="str">
        <f>"03036020626397"</f>
        <v>03036020626397</v>
      </c>
      <c r="L155" t="str">
        <f t="shared" si="73"/>
        <v>04-08-2020</v>
      </c>
      <c r="M155" t="str">
        <f t="shared" si="73"/>
        <v>04-08-2020</v>
      </c>
      <c r="N155" t="str">
        <f t="shared" si="63"/>
        <v>001105018356</v>
      </c>
      <c r="O155" t="str">
        <f t="shared" si="64"/>
        <v>MYR</v>
      </c>
      <c r="P155" t="str">
        <f t="shared" si="74"/>
        <v>NIL</v>
      </c>
      <c r="Q155" t="str">
        <f t="shared" si="74"/>
        <v>NIL</v>
      </c>
      <c r="R155" t="str">
        <f t="shared" si="65"/>
        <v>Accepted</v>
      </c>
      <c r="S155" t="str">
        <f t="shared" si="66"/>
        <v>Approved</v>
      </c>
      <c r="T155" t="str">
        <f t="shared" si="67"/>
        <v>10.20.8.188</v>
      </c>
      <c r="U155" t="str">
        <f t="shared" si="68"/>
        <v>AZRAD UMAR BIN SHAARI</v>
      </c>
      <c r="V155" t="str">
        <f t="shared" si="69"/>
        <v>FARHANA BINTI MUSTAPA</v>
      </c>
      <c r="W155" t="str">
        <f t="shared" si="70"/>
        <v>04-08-2020</v>
      </c>
      <c r="X155" t="str">
        <f t="shared" si="71"/>
        <v>RAZIMAH ANSAR AHMAD</v>
      </c>
      <c r="Y155" t="str">
        <f t="shared" si="72"/>
        <v>04-08-2020</v>
      </c>
      <c r="Z155" t="str">
        <f>"COS10200804 452"</f>
        <v>COS10200804 452</v>
      </c>
    </row>
    <row r="156" spans="1:26" x14ac:dyDescent="0.25">
      <c r="A156" t="str">
        <f t="shared" si="56"/>
        <v>04-08-2020 02:12:40</v>
      </c>
      <c r="B156" t="str">
        <f>"0000810842"</f>
        <v>0000810842</v>
      </c>
      <c r="C156" t="str">
        <f t="shared" si="57"/>
        <v>0000810791</v>
      </c>
      <c r="D156" t="str">
        <f t="shared" si="58"/>
        <v>73185</v>
      </c>
      <c r="E156" t="str">
        <f t="shared" si="59"/>
        <v>KFH-OPERATIONS DEPARTMENT</v>
      </c>
      <c r="F156" t="str">
        <f t="shared" si="60"/>
        <v>IBG</v>
      </c>
      <c r="G156" t="str">
        <f t="shared" si="61"/>
        <v>Refund COSHARE 10</v>
      </c>
      <c r="H156" s="2">
        <v>789.15</v>
      </c>
      <c r="I156" t="str">
        <f>"MOHD RUHAIFI BIN PAKHRORAZI"</f>
        <v>MOHD RUHAIFI BIN PAKHRORAZI</v>
      </c>
      <c r="J156" t="str">
        <f t="shared" si="62"/>
        <v>BANK ISLAM BHD</v>
      </c>
      <c r="K156" t="str">
        <f>"03054020215609"</f>
        <v>03054020215609</v>
      </c>
      <c r="L156" t="str">
        <f t="shared" si="73"/>
        <v>04-08-2020</v>
      </c>
      <c r="M156" t="str">
        <f t="shared" si="73"/>
        <v>04-08-2020</v>
      </c>
      <c r="N156" t="str">
        <f t="shared" si="63"/>
        <v>001105018356</v>
      </c>
      <c r="O156" t="str">
        <f t="shared" si="64"/>
        <v>MYR</v>
      </c>
      <c r="P156" t="str">
        <f t="shared" si="74"/>
        <v>NIL</v>
      </c>
      <c r="Q156" t="str">
        <f t="shared" si="74"/>
        <v>NIL</v>
      </c>
      <c r="R156" t="str">
        <f t="shared" si="65"/>
        <v>Accepted</v>
      </c>
      <c r="S156" t="str">
        <f t="shared" si="66"/>
        <v>Approved</v>
      </c>
      <c r="T156" t="str">
        <f t="shared" si="67"/>
        <v>10.20.8.188</v>
      </c>
      <c r="U156" t="str">
        <f t="shared" si="68"/>
        <v>AZRAD UMAR BIN SHAARI</v>
      </c>
      <c r="V156" t="str">
        <f t="shared" si="69"/>
        <v>FARHANA BINTI MUSTAPA</v>
      </c>
      <c r="W156" t="str">
        <f t="shared" si="70"/>
        <v>04-08-2020</v>
      </c>
      <c r="X156" t="str">
        <f t="shared" si="71"/>
        <v>RAZIMAH ANSAR AHMAD</v>
      </c>
      <c r="Y156" t="str">
        <f t="shared" si="72"/>
        <v>04-08-2020</v>
      </c>
      <c r="Z156" t="str">
        <f>"COS10200804 451"</f>
        <v>COS10200804 451</v>
      </c>
    </row>
    <row r="157" spans="1:26" x14ac:dyDescent="0.25">
      <c r="A157" t="str">
        <f t="shared" si="56"/>
        <v>04-08-2020 02:12:40</v>
      </c>
      <c r="B157" t="str">
        <f>"0000810841"</f>
        <v>0000810841</v>
      </c>
      <c r="C157" t="str">
        <f t="shared" si="57"/>
        <v>0000810791</v>
      </c>
      <c r="D157" t="str">
        <f t="shared" si="58"/>
        <v>73185</v>
      </c>
      <c r="E157" t="str">
        <f t="shared" si="59"/>
        <v>KFH-OPERATIONS DEPARTMENT</v>
      </c>
      <c r="F157" t="str">
        <f t="shared" si="60"/>
        <v>IBG</v>
      </c>
      <c r="G157" t="str">
        <f t="shared" si="61"/>
        <v>Refund COSHARE 10</v>
      </c>
      <c r="H157" s="2">
        <v>847.9</v>
      </c>
      <c r="I157" t="str">
        <f>"MOHD RUFI BIN MAT ZAIN"</f>
        <v>MOHD RUFI BIN MAT ZAIN</v>
      </c>
      <c r="J157" t="str">
        <f t="shared" si="62"/>
        <v>BANK ISLAM BHD</v>
      </c>
      <c r="K157" t="str">
        <f>"03018020811403"</f>
        <v>03018020811403</v>
      </c>
      <c r="L157" t="str">
        <f t="shared" si="73"/>
        <v>04-08-2020</v>
      </c>
      <c r="M157" t="str">
        <f t="shared" si="73"/>
        <v>04-08-2020</v>
      </c>
      <c r="N157" t="str">
        <f t="shared" si="63"/>
        <v>001105018356</v>
      </c>
      <c r="O157" t="str">
        <f t="shared" si="64"/>
        <v>MYR</v>
      </c>
      <c r="P157" t="str">
        <f t="shared" si="74"/>
        <v>NIL</v>
      </c>
      <c r="Q157" t="str">
        <f t="shared" si="74"/>
        <v>NIL</v>
      </c>
      <c r="R157" t="str">
        <f t="shared" si="65"/>
        <v>Accepted</v>
      </c>
      <c r="S157" t="str">
        <f t="shared" si="66"/>
        <v>Approved</v>
      </c>
      <c r="T157" t="str">
        <f t="shared" si="67"/>
        <v>10.20.8.188</v>
      </c>
      <c r="U157" t="str">
        <f t="shared" si="68"/>
        <v>AZRAD UMAR BIN SHAARI</v>
      </c>
      <c r="V157" t="str">
        <f t="shared" si="69"/>
        <v>FARHANA BINTI MUSTAPA</v>
      </c>
      <c r="W157" t="str">
        <f t="shared" si="70"/>
        <v>04-08-2020</v>
      </c>
      <c r="X157" t="str">
        <f t="shared" si="71"/>
        <v>RAZIMAH ANSAR AHMAD</v>
      </c>
      <c r="Y157" t="str">
        <f t="shared" si="72"/>
        <v>04-08-2020</v>
      </c>
      <c r="Z157" t="str">
        <f>"COS10200804 450"</f>
        <v>COS10200804 450</v>
      </c>
    </row>
    <row r="158" spans="1:26" x14ac:dyDescent="0.25">
      <c r="A158" t="str">
        <f t="shared" si="56"/>
        <v>04-08-2020 02:12:40</v>
      </c>
      <c r="B158" t="str">
        <f>"0000810840"</f>
        <v>0000810840</v>
      </c>
      <c r="C158" t="str">
        <f t="shared" si="57"/>
        <v>0000810791</v>
      </c>
      <c r="D158" t="str">
        <f t="shared" si="58"/>
        <v>73185</v>
      </c>
      <c r="E158" t="str">
        <f t="shared" si="59"/>
        <v>KFH-OPERATIONS DEPARTMENT</v>
      </c>
      <c r="F158" t="str">
        <f t="shared" si="60"/>
        <v>IBG</v>
      </c>
      <c r="G158" t="str">
        <f t="shared" si="61"/>
        <v>Refund COSHARE 10</v>
      </c>
      <c r="H158" s="2">
        <v>129</v>
      </c>
      <c r="I158" t="str">
        <f>"MOHD ROHAIMI BIN HUSSIN"</f>
        <v>MOHD ROHAIMI BIN HUSSIN</v>
      </c>
      <c r="J158" t="str">
        <f t="shared" si="62"/>
        <v>BANK ISLAM BHD</v>
      </c>
      <c r="K158" t="str">
        <f>"14032020212173"</f>
        <v>14032020212173</v>
      </c>
      <c r="L158" t="str">
        <f t="shared" si="73"/>
        <v>04-08-2020</v>
      </c>
      <c r="M158" t="str">
        <f t="shared" si="73"/>
        <v>04-08-2020</v>
      </c>
      <c r="N158" t="str">
        <f t="shared" si="63"/>
        <v>001105018356</v>
      </c>
      <c r="O158" t="str">
        <f t="shared" si="64"/>
        <v>MYR</v>
      </c>
      <c r="P158" t="str">
        <f t="shared" si="74"/>
        <v>NIL</v>
      </c>
      <c r="Q158" t="str">
        <f t="shared" si="74"/>
        <v>NIL</v>
      </c>
      <c r="R158" t="str">
        <f t="shared" si="65"/>
        <v>Accepted</v>
      </c>
      <c r="S158" t="str">
        <f t="shared" si="66"/>
        <v>Approved</v>
      </c>
      <c r="T158" t="str">
        <f t="shared" si="67"/>
        <v>10.20.8.188</v>
      </c>
      <c r="U158" t="str">
        <f t="shared" si="68"/>
        <v>AZRAD UMAR BIN SHAARI</v>
      </c>
      <c r="V158" t="str">
        <f t="shared" si="69"/>
        <v>FARHANA BINTI MUSTAPA</v>
      </c>
      <c r="W158" t="str">
        <f t="shared" si="70"/>
        <v>04-08-2020</v>
      </c>
      <c r="X158" t="str">
        <f t="shared" si="71"/>
        <v>RAZIMAH ANSAR AHMAD</v>
      </c>
      <c r="Y158" t="str">
        <f t="shared" si="72"/>
        <v>04-08-2020</v>
      </c>
      <c r="Z158" t="str">
        <f>"COS10200804 449"</f>
        <v>COS10200804 449</v>
      </c>
    </row>
    <row r="159" spans="1:26" x14ac:dyDescent="0.25">
      <c r="A159" t="str">
        <f t="shared" si="56"/>
        <v>04-08-2020 02:12:40</v>
      </c>
      <c r="B159" t="str">
        <f>"0000810839"</f>
        <v>0000810839</v>
      </c>
      <c r="C159" t="str">
        <f t="shared" si="57"/>
        <v>0000810791</v>
      </c>
      <c r="D159" t="str">
        <f t="shared" si="58"/>
        <v>73185</v>
      </c>
      <c r="E159" t="str">
        <f t="shared" si="59"/>
        <v>KFH-OPERATIONS DEPARTMENT</v>
      </c>
      <c r="F159" t="str">
        <f t="shared" si="60"/>
        <v>IBG</v>
      </c>
      <c r="G159" t="str">
        <f t="shared" si="61"/>
        <v>Refund COSHARE 10</v>
      </c>
      <c r="H159" s="2">
        <v>71</v>
      </c>
      <c r="I159" t="str">
        <f>"MOHD RIDZWAN BIN ABDUL RAHIM"</f>
        <v>MOHD RIDZWAN BIN ABDUL RAHIM</v>
      </c>
      <c r="J159" t="str">
        <f t="shared" si="62"/>
        <v>BANK ISLAM BHD</v>
      </c>
      <c r="K159" t="str">
        <f>"05012020233270"</f>
        <v>05012020233270</v>
      </c>
      <c r="L159" t="str">
        <f t="shared" si="73"/>
        <v>04-08-2020</v>
      </c>
      <c r="M159" t="str">
        <f t="shared" si="73"/>
        <v>04-08-2020</v>
      </c>
      <c r="N159" t="str">
        <f t="shared" si="63"/>
        <v>001105018356</v>
      </c>
      <c r="O159" t="str">
        <f t="shared" si="64"/>
        <v>MYR</v>
      </c>
      <c r="P159" t="str">
        <f t="shared" si="74"/>
        <v>NIL</v>
      </c>
      <c r="Q159" t="str">
        <f t="shared" si="74"/>
        <v>NIL</v>
      </c>
      <c r="R159" t="str">
        <f t="shared" si="65"/>
        <v>Accepted</v>
      </c>
      <c r="S159" t="str">
        <f t="shared" si="66"/>
        <v>Approved</v>
      </c>
      <c r="T159" t="str">
        <f t="shared" si="67"/>
        <v>10.20.8.188</v>
      </c>
      <c r="U159" t="str">
        <f t="shared" si="68"/>
        <v>AZRAD UMAR BIN SHAARI</v>
      </c>
      <c r="V159" t="str">
        <f t="shared" si="69"/>
        <v>FARHANA BINTI MUSTAPA</v>
      </c>
      <c r="W159" t="str">
        <f t="shared" si="70"/>
        <v>04-08-2020</v>
      </c>
      <c r="X159" t="str">
        <f t="shared" si="71"/>
        <v>RAZIMAH ANSAR AHMAD</v>
      </c>
      <c r="Y159" t="str">
        <f t="shared" si="72"/>
        <v>04-08-2020</v>
      </c>
      <c r="Z159" t="str">
        <f>"COS10200804 448"</f>
        <v>COS10200804 448</v>
      </c>
    </row>
    <row r="160" spans="1:26" x14ac:dyDescent="0.25">
      <c r="A160" t="str">
        <f t="shared" si="56"/>
        <v>04-08-2020 02:12:40</v>
      </c>
      <c r="B160" t="str">
        <f>"0000810838"</f>
        <v>0000810838</v>
      </c>
      <c r="C160" t="str">
        <f t="shared" si="57"/>
        <v>0000810791</v>
      </c>
      <c r="D160" t="str">
        <f t="shared" si="58"/>
        <v>73185</v>
      </c>
      <c r="E160" t="str">
        <f t="shared" si="59"/>
        <v>KFH-OPERATIONS DEPARTMENT</v>
      </c>
      <c r="F160" t="str">
        <f t="shared" si="60"/>
        <v>IBG</v>
      </c>
      <c r="G160" t="str">
        <f t="shared" si="61"/>
        <v>Refund COSHARE 10</v>
      </c>
      <c r="H160" s="2">
        <v>293.85000000000002</v>
      </c>
      <c r="I160" t="str">
        <f>"MOHD RIDZA BIN ABDUL RAHIM"</f>
        <v>MOHD RIDZA BIN ABDUL RAHIM</v>
      </c>
      <c r="J160" t="str">
        <f t="shared" si="62"/>
        <v>BANK ISLAM BHD</v>
      </c>
      <c r="K160" t="str">
        <f>"07016020449656"</f>
        <v>07016020449656</v>
      </c>
      <c r="L160" t="str">
        <f t="shared" si="73"/>
        <v>04-08-2020</v>
      </c>
      <c r="M160" t="str">
        <f t="shared" si="73"/>
        <v>04-08-2020</v>
      </c>
      <c r="N160" t="str">
        <f t="shared" si="63"/>
        <v>001105018356</v>
      </c>
      <c r="O160" t="str">
        <f t="shared" si="64"/>
        <v>MYR</v>
      </c>
      <c r="P160" t="str">
        <f t="shared" si="74"/>
        <v>NIL</v>
      </c>
      <c r="Q160" t="str">
        <f t="shared" si="74"/>
        <v>NIL</v>
      </c>
      <c r="R160" t="str">
        <f t="shared" si="65"/>
        <v>Accepted</v>
      </c>
      <c r="S160" t="str">
        <f t="shared" si="66"/>
        <v>Approved</v>
      </c>
      <c r="T160" t="str">
        <f t="shared" si="67"/>
        <v>10.20.8.188</v>
      </c>
      <c r="U160" t="str">
        <f t="shared" si="68"/>
        <v>AZRAD UMAR BIN SHAARI</v>
      </c>
      <c r="V160" t="str">
        <f t="shared" si="69"/>
        <v>FARHANA BINTI MUSTAPA</v>
      </c>
      <c r="W160" t="str">
        <f t="shared" si="70"/>
        <v>04-08-2020</v>
      </c>
      <c r="X160" t="str">
        <f t="shared" si="71"/>
        <v>RAZIMAH ANSAR AHMAD</v>
      </c>
      <c r="Y160" t="str">
        <f t="shared" si="72"/>
        <v>04-08-2020</v>
      </c>
      <c r="Z160" t="str">
        <f>"COS10200804 447"</f>
        <v>COS10200804 447</v>
      </c>
    </row>
    <row r="161" spans="1:26" x14ac:dyDescent="0.25">
      <c r="A161" t="str">
        <f t="shared" si="56"/>
        <v>04-08-2020 02:12:40</v>
      </c>
      <c r="B161" t="str">
        <f>"0000810837"</f>
        <v>0000810837</v>
      </c>
      <c r="C161" t="str">
        <f t="shared" si="57"/>
        <v>0000810791</v>
      </c>
      <c r="D161" t="str">
        <f t="shared" si="58"/>
        <v>73185</v>
      </c>
      <c r="E161" t="str">
        <f t="shared" si="59"/>
        <v>KFH-OPERATIONS DEPARTMENT</v>
      </c>
      <c r="F161" t="str">
        <f t="shared" si="60"/>
        <v>IBG</v>
      </c>
      <c r="G161" t="str">
        <f t="shared" si="61"/>
        <v>Refund COSHARE 10</v>
      </c>
      <c r="H161" s="2">
        <v>755.55</v>
      </c>
      <c r="I161" t="str">
        <f>"MOHD REOWANDY BIN AMRIN"</f>
        <v>MOHD REOWANDY BIN AMRIN</v>
      </c>
      <c r="J161" t="str">
        <f t="shared" si="62"/>
        <v>BANK ISLAM BHD</v>
      </c>
      <c r="K161" t="str">
        <f>"12038025827986"</f>
        <v>12038025827986</v>
      </c>
      <c r="L161" t="str">
        <f t="shared" si="73"/>
        <v>04-08-2020</v>
      </c>
      <c r="M161" t="str">
        <f t="shared" si="73"/>
        <v>04-08-2020</v>
      </c>
      <c r="N161" t="str">
        <f t="shared" si="63"/>
        <v>001105018356</v>
      </c>
      <c r="O161" t="str">
        <f t="shared" si="64"/>
        <v>MYR</v>
      </c>
      <c r="P161" t="str">
        <f t="shared" si="74"/>
        <v>NIL</v>
      </c>
      <c r="Q161" t="str">
        <f t="shared" si="74"/>
        <v>NIL</v>
      </c>
      <c r="R161" t="str">
        <f t="shared" si="65"/>
        <v>Accepted</v>
      </c>
      <c r="S161" t="str">
        <f t="shared" si="66"/>
        <v>Approved</v>
      </c>
      <c r="T161" t="str">
        <f t="shared" si="67"/>
        <v>10.20.8.188</v>
      </c>
      <c r="U161" t="str">
        <f t="shared" si="68"/>
        <v>AZRAD UMAR BIN SHAARI</v>
      </c>
      <c r="V161" t="str">
        <f t="shared" si="69"/>
        <v>FARHANA BINTI MUSTAPA</v>
      </c>
      <c r="W161" t="str">
        <f t="shared" si="70"/>
        <v>04-08-2020</v>
      </c>
      <c r="X161" t="str">
        <f t="shared" si="71"/>
        <v>RAZIMAH ANSAR AHMAD</v>
      </c>
      <c r="Y161" t="str">
        <f t="shared" si="72"/>
        <v>04-08-2020</v>
      </c>
      <c r="Z161" t="str">
        <f>"COS10200804 446"</f>
        <v>COS10200804 446</v>
      </c>
    </row>
    <row r="162" spans="1:26" x14ac:dyDescent="0.25">
      <c r="A162" t="str">
        <f t="shared" si="56"/>
        <v>04-08-2020 02:12:40</v>
      </c>
      <c r="B162" t="str">
        <f>"0000810836"</f>
        <v>0000810836</v>
      </c>
      <c r="C162" t="str">
        <f t="shared" si="57"/>
        <v>0000810791</v>
      </c>
      <c r="D162" t="str">
        <f t="shared" si="58"/>
        <v>73185</v>
      </c>
      <c r="E162" t="str">
        <f t="shared" si="59"/>
        <v>KFH-OPERATIONS DEPARTMENT</v>
      </c>
      <c r="F162" t="str">
        <f t="shared" si="60"/>
        <v>IBG</v>
      </c>
      <c r="G162" t="str">
        <f t="shared" si="61"/>
        <v>Refund COSHARE 10</v>
      </c>
      <c r="H162" s="2">
        <v>236.65</v>
      </c>
      <c r="I162" t="str">
        <f>"MOHD RAZALI BIN ISMAIL"</f>
        <v>MOHD RAZALI BIN ISMAIL</v>
      </c>
      <c r="J162" t="str">
        <f t="shared" si="62"/>
        <v>BANK ISLAM BHD</v>
      </c>
      <c r="K162" t="str">
        <f>"12122020101075"</f>
        <v>12122020101075</v>
      </c>
      <c r="L162" t="str">
        <f t="shared" si="73"/>
        <v>04-08-2020</v>
      </c>
      <c r="M162" t="str">
        <f t="shared" si="73"/>
        <v>04-08-2020</v>
      </c>
      <c r="N162" t="str">
        <f t="shared" si="63"/>
        <v>001105018356</v>
      </c>
      <c r="O162" t="str">
        <f t="shared" si="64"/>
        <v>MYR</v>
      </c>
      <c r="P162" t="str">
        <f t="shared" si="74"/>
        <v>NIL</v>
      </c>
      <c r="Q162" t="str">
        <f t="shared" si="74"/>
        <v>NIL</v>
      </c>
      <c r="R162" t="str">
        <f t="shared" si="65"/>
        <v>Accepted</v>
      </c>
      <c r="S162" t="str">
        <f t="shared" si="66"/>
        <v>Approved</v>
      </c>
      <c r="T162" t="str">
        <f t="shared" si="67"/>
        <v>10.20.8.188</v>
      </c>
      <c r="U162" t="str">
        <f t="shared" si="68"/>
        <v>AZRAD UMAR BIN SHAARI</v>
      </c>
      <c r="V162" t="str">
        <f t="shared" si="69"/>
        <v>FARHANA BINTI MUSTAPA</v>
      </c>
      <c r="W162" t="str">
        <f t="shared" si="70"/>
        <v>04-08-2020</v>
      </c>
      <c r="X162" t="str">
        <f t="shared" si="71"/>
        <v>RAZIMAH ANSAR AHMAD</v>
      </c>
      <c r="Y162" t="str">
        <f t="shared" si="72"/>
        <v>04-08-2020</v>
      </c>
      <c r="Z162" t="str">
        <f>"COS10200804 445"</f>
        <v>COS10200804 445</v>
      </c>
    </row>
    <row r="163" spans="1:26" x14ac:dyDescent="0.25">
      <c r="A163" t="str">
        <f t="shared" si="56"/>
        <v>04-08-2020 02:12:40</v>
      </c>
      <c r="B163" t="str">
        <f>"0000810835"</f>
        <v>0000810835</v>
      </c>
      <c r="C163" t="str">
        <f t="shared" si="57"/>
        <v>0000810791</v>
      </c>
      <c r="D163" t="str">
        <f t="shared" si="58"/>
        <v>73185</v>
      </c>
      <c r="E163" t="str">
        <f t="shared" si="59"/>
        <v>KFH-OPERATIONS DEPARTMENT</v>
      </c>
      <c r="F163" t="str">
        <f t="shared" si="60"/>
        <v>IBG</v>
      </c>
      <c r="G163" t="str">
        <f t="shared" si="61"/>
        <v>Refund COSHARE 10</v>
      </c>
      <c r="H163" s="2">
        <v>1679</v>
      </c>
      <c r="I163" t="str">
        <f>"MOHD NAUDI HAQQI BIN AHMAD"</f>
        <v>MOHD NAUDI HAQQI BIN AHMAD</v>
      </c>
      <c r="J163" t="str">
        <f t="shared" si="62"/>
        <v>BANK ISLAM BHD</v>
      </c>
      <c r="K163" t="str">
        <f>"12074020045909"</f>
        <v>12074020045909</v>
      </c>
      <c r="L163" t="str">
        <f t="shared" si="73"/>
        <v>04-08-2020</v>
      </c>
      <c r="M163" t="str">
        <f t="shared" si="73"/>
        <v>04-08-2020</v>
      </c>
      <c r="N163" t="str">
        <f t="shared" si="63"/>
        <v>001105018356</v>
      </c>
      <c r="O163" t="str">
        <f t="shared" si="64"/>
        <v>MYR</v>
      </c>
      <c r="P163" t="str">
        <f t="shared" si="74"/>
        <v>NIL</v>
      </c>
      <c r="Q163" t="str">
        <f t="shared" si="74"/>
        <v>NIL</v>
      </c>
      <c r="R163" t="str">
        <f t="shared" si="65"/>
        <v>Accepted</v>
      </c>
      <c r="S163" t="str">
        <f t="shared" si="66"/>
        <v>Approved</v>
      </c>
      <c r="T163" t="str">
        <f t="shared" si="67"/>
        <v>10.20.8.188</v>
      </c>
      <c r="U163" t="str">
        <f t="shared" si="68"/>
        <v>AZRAD UMAR BIN SHAARI</v>
      </c>
      <c r="V163" t="str">
        <f t="shared" si="69"/>
        <v>FARHANA BINTI MUSTAPA</v>
      </c>
      <c r="W163" t="str">
        <f t="shared" si="70"/>
        <v>04-08-2020</v>
      </c>
      <c r="X163" t="str">
        <f t="shared" si="71"/>
        <v>RAZIMAH ANSAR AHMAD</v>
      </c>
      <c r="Y163" t="str">
        <f t="shared" si="72"/>
        <v>04-08-2020</v>
      </c>
      <c r="Z163" t="str">
        <f>"COS10200804 444"</f>
        <v>COS10200804 444</v>
      </c>
    </row>
    <row r="164" spans="1:26" x14ac:dyDescent="0.25">
      <c r="A164" t="str">
        <f t="shared" si="56"/>
        <v>04-08-2020 02:12:40</v>
      </c>
      <c r="B164" t="str">
        <f>"0000810834"</f>
        <v>0000810834</v>
      </c>
      <c r="C164" t="str">
        <f t="shared" si="57"/>
        <v>0000810791</v>
      </c>
      <c r="D164" t="str">
        <f t="shared" si="58"/>
        <v>73185</v>
      </c>
      <c r="E164" t="str">
        <f t="shared" si="59"/>
        <v>KFH-OPERATIONS DEPARTMENT</v>
      </c>
      <c r="F164" t="str">
        <f t="shared" si="60"/>
        <v>IBG</v>
      </c>
      <c r="G164" t="str">
        <f t="shared" si="61"/>
        <v>Refund COSHARE 10</v>
      </c>
      <c r="H164" s="2">
        <v>293.85000000000002</v>
      </c>
      <c r="I164" t="str">
        <f>"MOHD NASRUL HAKIM BIN MOHAMAD ZAHIR"</f>
        <v>MOHD NASRUL HAKIM BIN MOHAMAD ZAHIR</v>
      </c>
      <c r="J164" t="str">
        <f t="shared" si="62"/>
        <v>BANK ISLAM BHD</v>
      </c>
      <c r="K164" t="str">
        <f>"16018020050360"</f>
        <v>16018020050360</v>
      </c>
      <c r="L164" t="str">
        <f t="shared" si="73"/>
        <v>04-08-2020</v>
      </c>
      <c r="M164" t="str">
        <f t="shared" si="73"/>
        <v>04-08-2020</v>
      </c>
      <c r="N164" t="str">
        <f t="shared" si="63"/>
        <v>001105018356</v>
      </c>
      <c r="O164" t="str">
        <f t="shared" si="64"/>
        <v>MYR</v>
      </c>
      <c r="P164" t="str">
        <f t="shared" si="74"/>
        <v>NIL</v>
      </c>
      <c r="Q164" t="str">
        <f t="shared" si="74"/>
        <v>NIL</v>
      </c>
      <c r="R164" t="str">
        <f t="shared" si="65"/>
        <v>Accepted</v>
      </c>
      <c r="S164" t="str">
        <f t="shared" si="66"/>
        <v>Approved</v>
      </c>
      <c r="T164" t="str">
        <f t="shared" si="67"/>
        <v>10.20.8.188</v>
      </c>
      <c r="U164" t="str">
        <f t="shared" si="68"/>
        <v>AZRAD UMAR BIN SHAARI</v>
      </c>
      <c r="V164" t="str">
        <f t="shared" si="69"/>
        <v>FARHANA BINTI MUSTAPA</v>
      </c>
      <c r="W164" t="str">
        <f t="shared" si="70"/>
        <v>04-08-2020</v>
      </c>
      <c r="X164" t="str">
        <f t="shared" si="71"/>
        <v>RAZIMAH ANSAR AHMAD</v>
      </c>
      <c r="Y164" t="str">
        <f t="shared" si="72"/>
        <v>04-08-2020</v>
      </c>
      <c r="Z164" t="str">
        <f>"COS10200804 443"</f>
        <v>COS10200804 443</v>
      </c>
    </row>
    <row r="165" spans="1:26" x14ac:dyDescent="0.25">
      <c r="A165" t="str">
        <f t="shared" si="56"/>
        <v>04-08-2020 02:12:40</v>
      </c>
      <c r="B165" t="str">
        <f>"0000810833"</f>
        <v>0000810833</v>
      </c>
      <c r="C165" t="str">
        <f t="shared" si="57"/>
        <v>0000810791</v>
      </c>
      <c r="D165" t="str">
        <f t="shared" si="58"/>
        <v>73185</v>
      </c>
      <c r="E165" t="str">
        <f t="shared" si="59"/>
        <v>KFH-OPERATIONS DEPARTMENT</v>
      </c>
      <c r="F165" t="str">
        <f t="shared" si="60"/>
        <v>IBG</v>
      </c>
      <c r="G165" t="str">
        <f t="shared" si="61"/>
        <v>Refund COSHARE 10</v>
      </c>
      <c r="H165" s="2">
        <v>201.5</v>
      </c>
      <c r="I165" t="str">
        <f>"MOHD NASIR BIN MD NOR"</f>
        <v>MOHD NASIR BIN MD NOR</v>
      </c>
      <c r="J165" t="str">
        <f t="shared" si="62"/>
        <v>BANK ISLAM BHD</v>
      </c>
      <c r="K165" t="str">
        <f>"04015020269195"</f>
        <v>04015020269195</v>
      </c>
      <c r="L165" t="str">
        <f t="shared" si="73"/>
        <v>04-08-2020</v>
      </c>
      <c r="M165" t="str">
        <f t="shared" si="73"/>
        <v>04-08-2020</v>
      </c>
      <c r="N165" t="str">
        <f t="shared" si="63"/>
        <v>001105018356</v>
      </c>
      <c r="O165" t="str">
        <f t="shared" si="64"/>
        <v>MYR</v>
      </c>
      <c r="P165" t="str">
        <f t="shared" si="74"/>
        <v>NIL</v>
      </c>
      <c r="Q165" t="str">
        <f t="shared" si="74"/>
        <v>NIL</v>
      </c>
      <c r="R165" t="str">
        <f t="shared" si="65"/>
        <v>Accepted</v>
      </c>
      <c r="S165" t="str">
        <f t="shared" si="66"/>
        <v>Approved</v>
      </c>
      <c r="T165" t="str">
        <f t="shared" si="67"/>
        <v>10.20.8.188</v>
      </c>
      <c r="U165" t="str">
        <f t="shared" si="68"/>
        <v>AZRAD UMAR BIN SHAARI</v>
      </c>
      <c r="V165" t="str">
        <f t="shared" si="69"/>
        <v>FARHANA BINTI MUSTAPA</v>
      </c>
      <c r="W165" t="str">
        <f t="shared" si="70"/>
        <v>04-08-2020</v>
      </c>
      <c r="X165" t="str">
        <f t="shared" si="71"/>
        <v>RAZIMAH ANSAR AHMAD</v>
      </c>
      <c r="Y165" t="str">
        <f t="shared" si="72"/>
        <v>04-08-2020</v>
      </c>
      <c r="Z165" t="str">
        <f>"COS10200804 442"</f>
        <v>COS10200804 442</v>
      </c>
    </row>
    <row r="166" spans="1:26" x14ac:dyDescent="0.25">
      <c r="A166" t="str">
        <f t="shared" si="56"/>
        <v>04-08-2020 02:12:40</v>
      </c>
      <c r="B166" t="str">
        <f>"0000810832"</f>
        <v>0000810832</v>
      </c>
      <c r="C166" t="str">
        <f t="shared" si="57"/>
        <v>0000810791</v>
      </c>
      <c r="D166" t="str">
        <f t="shared" si="58"/>
        <v>73185</v>
      </c>
      <c r="E166" t="str">
        <f t="shared" si="59"/>
        <v>KFH-OPERATIONS DEPARTMENT</v>
      </c>
      <c r="F166" t="str">
        <f t="shared" si="60"/>
        <v>IBG</v>
      </c>
      <c r="G166" t="str">
        <f t="shared" si="61"/>
        <v>Refund COSHARE 10</v>
      </c>
      <c r="H166" s="2">
        <v>671.6</v>
      </c>
      <c r="I166" t="str">
        <f>"MOHD NAIM BIN ZAMZURI"</f>
        <v>MOHD NAIM BIN ZAMZURI</v>
      </c>
      <c r="J166" t="str">
        <f t="shared" si="62"/>
        <v>BANK ISLAM BHD</v>
      </c>
      <c r="K166" t="str">
        <f>"14171020011112"</f>
        <v>14171020011112</v>
      </c>
      <c r="L166" t="str">
        <f t="shared" si="73"/>
        <v>04-08-2020</v>
      </c>
      <c r="M166" t="str">
        <f t="shared" si="73"/>
        <v>04-08-2020</v>
      </c>
      <c r="N166" t="str">
        <f t="shared" si="63"/>
        <v>001105018356</v>
      </c>
      <c r="O166" t="str">
        <f t="shared" si="64"/>
        <v>MYR</v>
      </c>
      <c r="P166" t="str">
        <f t="shared" si="74"/>
        <v>NIL</v>
      </c>
      <c r="Q166" t="str">
        <f t="shared" si="74"/>
        <v>NIL</v>
      </c>
      <c r="R166" t="str">
        <f t="shared" si="65"/>
        <v>Accepted</v>
      </c>
      <c r="S166" t="str">
        <f t="shared" si="66"/>
        <v>Approved</v>
      </c>
      <c r="T166" t="str">
        <f t="shared" si="67"/>
        <v>10.20.8.188</v>
      </c>
      <c r="U166" t="str">
        <f t="shared" si="68"/>
        <v>AZRAD UMAR BIN SHAARI</v>
      </c>
      <c r="V166" t="str">
        <f t="shared" si="69"/>
        <v>FARHANA BINTI MUSTAPA</v>
      </c>
      <c r="W166" t="str">
        <f t="shared" si="70"/>
        <v>04-08-2020</v>
      </c>
      <c r="X166" t="str">
        <f t="shared" si="71"/>
        <v>RAZIMAH ANSAR AHMAD</v>
      </c>
      <c r="Y166" t="str">
        <f t="shared" si="72"/>
        <v>04-08-2020</v>
      </c>
      <c r="Z166" t="str">
        <f>"COS10200804 441"</f>
        <v>COS10200804 441</v>
      </c>
    </row>
    <row r="167" spans="1:26" x14ac:dyDescent="0.25">
      <c r="A167" t="str">
        <f t="shared" ref="A167:A198" si="75">"04-08-2020 02:12:40"</f>
        <v>04-08-2020 02:12:40</v>
      </c>
      <c r="B167" t="str">
        <f>"0000810831"</f>
        <v>0000810831</v>
      </c>
      <c r="C167" t="str">
        <f t="shared" ref="C167:C198" si="76">"0000810791"</f>
        <v>0000810791</v>
      </c>
      <c r="D167" t="str">
        <f t="shared" si="58"/>
        <v>73185</v>
      </c>
      <c r="E167" t="str">
        <f t="shared" si="59"/>
        <v>KFH-OPERATIONS DEPARTMENT</v>
      </c>
      <c r="F167" t="str">
        <f t="shared" si="60"/>
        <v>IBG</v>
      </c>
      <c r="G167" t="str">
        <f t="shared" ref="G167:G198" si="77">"Refund COSHARE 10"</f>
        <v>Refund COSHARE 10</v>
      </c>
      <c r="H167" s="2">
        <v>216.15</v>
      </c>
      <c r="I167" t="str">
        <f>"MOHD MUZAMEL BIN MOHD THANI"</f>
        <v>MOHD MUZAMEL BIN MOHD THANI</v>
      </c>
      <c r="J167" t="str">
        <f t="shared" ref="J167:J198" si="78">"BANK ISLAM BHD"</f>
        <v>BANK ISLAM BHD</v>
      </c>
      <c r="K167" t="str">
        <f>"12122020101284"</f>
        <v>12122020101284</v>
      </c>
      <c r="L167" t="str">
        <f t="shared" ref="L167:M186" si="79">"04-08-2020"</f>
        <v>04-08-2020</v>
      </c>
      <c r="M167" t="str">
        <f t="shared" si="79"/>
        <v>04-08-2020</v>
      </c>
      <c r="N167" t="str">
        <f t="shared" si="63"/>
        <v>001105018356</v>
      </c>
      <c r="O167" t="str">
        <f t="shared" si="64"/>
        <v>MYR</v>
      </c>
      <c r="P167" t="str">
        <f t="shared" ref="P167:Q186" si="80">"NIL"</f>
        <v>NIL</v>
      </c>
      <c r="Q167" t="str">
        <f t="shared" si="80"/>
        <v>NIL</v>
      </c>
      <c r="R167" t="str">
        <f t="shared" si="65"/>
        <v>Accepted</v>
      </c>
      <c r="S167" t="str">
        <f t="shared" si="66"/>
        <v>Approved</v>
      </c>
      <c r="T167" t="str">
        <f t="shared" si="67"/>
        <v>10.20.8.188</v>
      </c>
      <c r="U167" t="str">
        <f t="shared" si="68"/>
        <v>AZRAD UMAR BIN SHAARI</v>
      </c>
      <c r="V167" t="str">
        <f t="shared" si="69"/>
        <v>FARHANA BINTI MUSTAPA</v>
      </c>
      <c r="W167" t="str">
        <f t="shared" si="70"/>
        <v>04-08-2020</v>
      </c>
      <c r="X167" t="str">
        <f t="shared" si="71"/>
        <v>RAZIMAH ANSAR AHMAD</v>
      </c>
      <c r="Y167" t="str">
        <f t="shared" si="72"/>
        <v>04-08-2020</v>
      </c>
      <c r="Z167" t="str">
        <f>"COS10200804 440"</f>
        <v>COS10200804 440</v>
      </c>
    </row>
    <row r="168" spans="1:26" x14ac:dyDescent="0.25">
      <c r="A168" t="str">
        <f t="shared" si="75"/>
        <v>04-08-2020 02:12:40</v>
      </c>
      <c r="B168" t="str">
        <f>"0000810830"</f>
        <v>0000810830</v>
      </c>
      <c r="C168" t="str">
        <f t="shared" si="76"/>
        <v>0000810791</v>
      </c>
      <c r="D168" t="str">
        <f t="shared" si="58"/>
        <v>73185</v>
      </c>
      <c r="E168" t="str">
        <f t="shared" si="59"/>
        <v>KFH-OPERATIONS DEPARTMENT</v>
      </c>
      <c r="F168" t="str">
        <f t="shared" si="60"/>
        <v>IBG</v>
      </c>
      <c r="G168" t="str">
        <f t="shared" si="77"/>
        <v>Refund COSHARE 10</v>
      </c>
      <c r="H168" s="2">
        <v>344</v>
      </c>
      <c r="I168" t="str">
        <f>"MOHD KHAIRUL ANUAR BIN MAMAT"</f>
        <v>MOHD KHAIRUL ANUAR BIN MAMAT</v>
      </c>
      <c r="J168" t="str">
        <f t="shared" si="78"/>
        <v>BANK ISLAM BHD</v>
      </c>
      <c r="K168" t="str">
        <f>"14041020418444"</f>
        <v>14041020418444</v>
      </c>
      <c r="L168" t="str">
        <f t="shared" si="79"/>
        <v>04-08-2020</v>
      </c>
      <c r="M168" t="str">
        <f t="shared" si="79"/>
        <v>04-08-2020</v>
      </c>
      <c r="N168" t="str">
        <f t="shared" si="63"/>
        <v>001105018356</v>
      </c>
      <c r="O168" t="str">
        <f t="shared" si="64"/>
        <v>MYR</v>
      </c>
      <c r="P168" t="str">
        <f t="shared" si="80"/>
        <v>NIL</v>
      </c>
      <c r="Q168" t="str">
        <f t="shared" si="80"/>
        <v>NIL</v>
      </c>
      <c r="R168" t="str">
        <f t="shared" si="65"/>
        <v>Accepted</v>
      </c>
      <c r="S168" t="str">
        <f t="shared" si="66"/>
        <v>Approved</v>
      </c>
      <c r="T168" t="str">
        <f t="shared" si="67"/>
        <v>10.20.8.188</v>
      </c>
      <c r="U168" t="str">
        <f t="shared" si="68"/>
        <v>AZRAD UMAR BIN SHAARI</v>
      </c>
      <c r="V168" t="str">
        <f t="shared" si="69"/>
        <v>FARHANA BINTI MUSTAPA</v>
      </c>
      <c r="W168" t="str">
        <f t="shared" si="70"/>
        <v>04-08-2020</v>
      </c>
      <c r="X168" t="str">
        <f t="shared" si="71"/>
        <v>RAZIMAH ANSAR AHMAD</v>
      </c>
      <c r="Y168" t="str">
        <f t="shared" si="72"/>
        <v>04-08-2020</v>
      </c>
      <c r="Z168" t="str">
        <f>"COS10200804 439"</f>
        <v>COS10200804 439</v>
      </c>
    </row>
    <row r="169" spans="1:26" x14ac:dyDescent="0.25">
      <c r="A169" t="str">
        <f t="shared" si="75"/>
        <v>04-08-2020 02:12:40</v>
      </c>
      <c r="B169" t="str">
        <f>"0000810829"</f>
        <v>0000810829</v>
      </c>
      <c r="C169" t="str">
        <f t="shared" si="76"/>
        <v>0000810791</v>
      </c>
      <c r="D169" t="str">
        <f t="shared" si="58"/>
        <v>73185</v>
      </c>
      <c r="E169" t="str">
        <f t="shared" si="59"/>
        <v>KFH-OPERATIONS DEPARTMENT</v>
      </c>
      <c r="F169" t="str">
        <f t="shared" si="60"/>
        <v>IBG</v>
      </c>
      <c r="G169" t="str">
        <f t="shared" si="77"/>
        <v>Refund COSHARE 10</v>
      </c>
      <c r="H169" s="2">
        <v>444.65</v>
      </c>
      <c r="I169" t="str">
        <f>"MOHD JEFRY BIN ABDUL MANAP"</f>
        <v>MOHD JEFRY BIN ABDUL MANAP</v>
      </c>
      <c r="J169" t="str">
        <f t="shared" si="78"/>
        <v>BANK ISLAM BHD</v>
      </c>
      <c r="K169" t="str">
        <f>"12168020050130"</f>
        <v>12168020050130</v>
      </c>
      <c r="L169" t="str">
        <f t="shared" si="79"/>
        <v>04-08-2020</v>
      </c>
      <c r="M169" t="str">
        <f t="shared" si="79"/>
        <v>04-08-2020</v>
      </c>
      <c r="N169" t="str">
        <f t="shared" si="63"/>
        <v>001105018356</v>
      </c>
      <c r="O169" t="str">
        <f t="shared" si="64"/>
        <v>MYR</v>
      </c>
      <c r="P169" t="str">
        <f t="shared" si="80"/>
        <v>NIL</v>
      </c>
      <c r="Q169" t="str">
        <f t="shared" si="80"/>
        <v>NIL</v>
      </c>
      <c r="R169" t="str">
        <f t="shared" si="65"/>
        <v>Accepted</v>
      </c>
      <c r="S169" t="str">
        <f t="shared" si="66"/>
        <v>Approved</v>
      </c>
      <c r="T169" t="str">
        <f t="shared" si="67"/>
        <v>10.20.8.188</v>
      </c>
      <c r="U169" t="str">
        <f t="shared" si="68"/>
        <v>AZRAD UMAR BIN SHAARI</v>
      </c>
      <c r="V169" t="str">
        <f t="shared" si="69"/>
        <v>FARHANA BINTI MUSTAPA</v>
      </c>
      <c r="W169" t="str">
        <f t="shared" si="70"/>
        <v>04-08-2020</v>
      </c>
      <c r="X169" t="str">
        <f t="shared" si="71"/>
        <v>RAZIMAH ANSAR AHMAD</v>
      </c>
      <c r="Y169" t="str">
        <f t="shared" si="72"/>
        <v>04-08-2020</v>
      </c>
      <c r="Z169" t="str">
        <f>"COS10200804 438"</f>
        <v>COS10200804 438</v>
      </c>
    </row>
    <row r="170" spans="1:26" x14ac:dyDescent="0.25">
      <c r="A170" t="str">
        <f t="shared" si="75"/>
        <v>04-08-2020 02:12:40</v>
      </c>
      <c r="B170" t="str">
        <f>"0000810828"</f>
        <v>0000810828</v>
      </c>
      <c r="C170" t="str">
        <f t="shared" si="76"/>
        <v>0000810791</v>
      </c>
      <c r="D170" t="str">
        <f t="shared" si="58"/>
        <v>73185</v>
      </c>
      <c r="E170" t="str">
        <f t="shared" si="59"/>
        <v>KFH-OPERATIONS DEPARTMENT</v>
      </c>
      <c r="F170" t="str">
        <f t="shared" si="60"/>
        <v>IBG</v>
      </c>
      <c r="G170" t="str">
        <f t="shared" si="77"/>
        <v>Refund COSHARE 10</v>
      </c>
      <c r="H170" s="2">
        <v>780.75</v>
      </c>
      <c r="I170" t="str">
        <f>"MOHD JEFFRY BIN MD DAUD"</f>
        <v>MOHD JEFFRY BIN MD DAUD</v>
      </c>
      <c r="J170" t="str">
        <f t="shared" si="78"/>
        <v>BANK ISLAM BHD</v>
      </c>
      <c r="K170" t="str">
        <f>"08068020439262"</f>
        <v>08068020439262</v>
      </c>
      <c r="L170" t="str">
        <f t="shared" si="79"/>
        <v>04-08-2020</v>
      </c>
      <c r="M170" t="str">
        <f t="shared" si="79"/>
        <v>04-08-2020</v>
      </c>
      <c r="N170" t="str">
        <f t="shared" si="63"/>
        <v>001105018356</v>
      </c>
      <c r="O170" t="str">
        <f t="shared" si="64"/>
        <v>MYR</v>
      </c>
      <c r="P170" t="str">
        <f t="shared" si="80"/>
        <v>NIL</v>
      </c>
      <c r="Q170" t="str">
        <f t="shared" si="80"/>
        <v>NIL</v>
      </c>
      <c r="R170" t="str">
        <f t="shared" si="65"/>
        <v>Accepted</v>
      </c>
      <c r="S170" t="str">
        <f t="shared" si="66"/>
        <v>Approved</v>
      </c>
      <c r="T170" t="str">
        <f t="shared" si="67"/>
        <v>10.20.8.188</v>
      </c>
      <c r="U170" t="str">
        <f t="shared" si="68"/>
        <v>AZRAD UMAR BIN SHAARI</v>
      </c>
      <c r="V170" t="str">
        <f t="shared" si="69"/>
        <v>FARHANA BINTI MUSTAPA</v>
      </c>
      <c r="W170" t="str">
        <f t="shared" si="70"/>
        <v>04-08-2020</v>
      </c>
      <c r="X170" t="str">
        <f t="shared" si="71"/>
        <v>RAZIMAH ANSAR AHMAD</v>
      </c>
      <c r="Y170" t="str">
        <f t="shared" si="72"/>
        <v>04-08-2020</v>
      </c>
      <c r="Z170" t="str">
        <f>"COS10200804 437"</f>
        <v>COS10200804 437</v>
      </c>
    </row>
    <row r="171" spans="1:26" x14ac:dyDescent="0.25">
      <c r="A171" t="str">
        <f t="shared" si="75"/>
        <v>04-08-2020 02:12:40</v>
      </c>
      <c r="B171" t="str">
        <f>"0000810827"</f>
        <v>0000810827</v>
      </c>
      <c r="C171" t="str">
        <f t="shared" si="76"/>
        <v>0000810791</v>
      </c>
      <c r="D171" t="str">
        <f t="shared" si="58"/>
        <v>73185</v>
      </c>
      <c r="E171" t="str">
        <f t="shared" si="59"/>
        <v>KFH-OPERATIONS DEPARTMENT</v>
      </c>
      <c r="F171" t="str">
        <f t="shared" si="60"/>
        <v>IBG</v>
      </c>
      <c r="G171" t="str">
        <f t="shared" si="77"/>
        <v>Refund COSHARE 10</v>
      </c>
      <c r="H171" s="2">
        <v>931.45</v>
      </c>
      <c r="I171" t="str">
        <f>"MOHD ISMADI BIN ARIS"</f>
        <v>MOHD ISMADI BIN ARIS</v>
      </c>
      <c r="J171" t="str">
        <f t="shared" si="78"/>
        <v>BANK ISLAM BHD</v>
      </c>
      <c r="K171" t="str">
        <f>"14041020094893"</f>
        <v>14041020094893</v>
      </c>
      <c r="L171" t="str">
        <f t="shared" si="79"/>
        <v>04-08-2020</v>
      </c>
      <c r="M171" t="str">
        <f t="shared" si="79"/>
        <v>04-08-2020</v>
      </c>
      <c r="N171" t="str">
        <f t="shared" si="63"/>
        <v>001105018356</v>
      </c>
      <c r="O171" t="str">
        <f t="shared" si="64"/>
        <v>MYR</v>
      </c>
      <c r="P171" t="str">
        <f t="shared" si="80"/>
        <v>NIL</v>
      </c>
      <c r="Q171" t="str">
        <f t="shared" si="80"/>
        <v>NIL</v>
      </c>
      <c r="R171" t="str">
        <f t="shared" si="65"/>
        <v>Accepted</v>
      </c>
      <c r="S171" t="str">
        <f t="shared" si="66"/>
        <v>Approved</v>
      </c>
      <c r="T171" t="str">
        <f t="shared" si="67"/>
        <v>10.20.8.188</v>
      </c>
      <c r="U171" t="str">
        <f t="shared" si="68"/>
        <v>AZRAD UMAR BIN SHAARI</v>
      </c>
      <c r="V171" t="str">
        <f t="shared" si="69"/>
        <v>FARHANA BINTI MUSTAPA</v>
      </c>
      <c r="W171" t="str">
        <f t="shared" si="70"/>
        <v>04-08-2020</v>
      </c>
      <c r="X171" t="str">
        <f t="shared" si="71"/>
        <v>RAZIMAH ANSAR AHMAD</v>
      </c>
      <c r="Y171" t="str">
        <f t="shared" si="72"/>
        <v>04-08-2020</v>
      </c>
      <c r="Z171" t="str">
        <f>"COS10200804 436"</f>
        <v>COS10200804 436</v>
      </c>
    </row>
    <row r="172" spans="1:26" x14ac:dyDescent="0.25">
      <c r="A172" t="str">
        <f t="shared" si="75"/>
        <v>04-08-2020 02:12:40</v>
      </c>
      <c r="B172" t="str">
        <f>"0000810826"</f>
        <v>0000810826</v>
      </c>
      <c r="C172" t="str">
        <f t="shared" si="76"/>
        <v>0000810791</v>
      </c>
      <c r="D172" t="str">
        <f t="shared" si="58"/>
        <v>73185</v>
      </c>
      <c r="E172" t="str">
        <f t="shared" si="59"/>
        <v>KFH-OPERATIONS DEPARTMENT</v>
      </c>
      <c r="F172" t="str">
        <f t="shared" si="60"/>
        <v>IBG</v>
      </c>
      <c r="G172" t="str">
        <f t="shared" si="77"/>
        <v>Refund COSHARE 10</v>
      </c>
      <c r="H172" s="2">
        <v>1259.25</v>
      </c>
      <c r="I172" t="str">
        <f>"MOHD IQBAL BIN MOHD NASIR"</f>
        <v>MOHD IQBAL BIN MOHD NASIR</v>
      </c>
      <c r="J172" t="str">
        <f t="shared" si="78"/>
        <v>BANK ISLAM BHD</v>
      </c>
      <c r="K172" t="str">
        <f>"16018021565097"</f>
        <v>16018021565097</v>
      </c>
      <c r="L172" t="str">
        <f t="shared" si="79"/>
        <v>04-08-2020</v>
      </c>
      <c r="M172" t="str">
        <f t="shared" si="79"/>
        <v>04-08-2020</v>
      </c>
      <c r="N172" t="str">
        <f t="shared" si="63"/>
        <v>001105018356</v>
      </c>
      <c r="O172" t="str">
        <f t="shared" si="64"/>
        <v>MYR</v>
      </c>
      <c r="P172" t="str">
        <f t="shared" si="80"/>
        <v>NIL</v>
      </c>
      <c r="Q172" t="str">
        <f t="shared" si="80"/>
        <v>NIL</v>
      </c>
      <c r="R172" t="str">
        <f t="shared" si="65"/>
        <v>Accepted</v>
      </c>
      <c r="S172" t="str">
        <f t="shared" si="66"/>
        <v>Approved</v>
      </c>
      <c r="T172" t="str">
        <f t="shared" si="67"/>
        <v>10.20.8.188</v>
      </c>
      <c r="U172" t="str">
        <f t="shared" si="68"/>
        <v>AZRAD UMAR BIN SHAARI</v>
      </c>
      <c r="V172" t="str">
        <f t="shared" si="69"/>
        <v>FARHANA BINTI MUSTAPA</v>
      </c>
      <c r="W172" t="str">
        <f t="shared" si="70"/>
        <v>04-08-2020</v>
      </c>
      <c r="X172" t="str">
        <f t="shared" si="71"/>
        <v>RAZIMAH ANSAR AHMAD</v>
      </c>
      <c r="Y172" t="str">
        <f t="shared" si="72"/>
        <v>04-08-2020</v>
      </c>
      <c r="Z172" t="str">
        <f>"COS10200804 435"</f>
        <v>COS10200804 435</v>
      </c>
    </row>
    <row r="173" spans="1:26" x14ac:dyDescent="0.25">
      <c r="A173" t="str">
        <f t="shared" si="75"/>
        <v>04-08-2020 02:12:40</v>
      </c>
      <c r="B173" t="str">
        <f>"0000810825"</f>
        <v>0000810825</v>
      </c>
      <c r="C173" t="str">
        <f t="shared" si="76"/>
        <v>0000810791</v>
      </c>
      <c r="D173" t="str">
        <f t="shared" si="58"/>
        <v>73185</v>
      </c>
      <c r="E173" t="str">
        <f t="shared" si="59"/>
        <v>KFH-OPERATIONS DEPARTMENT</v>
      </c>
      <c r="F173" t="str">
        <f t="shared" si="60"/>
        <v>IBG</v>
      </c>
      <c r="G173" t="str">
        <f t="shared" si="77"/>
        <v>Refund COSHARE 10</v>
      </c>
      <c r="H173" s="2">
        <v>83.95</v>
      </c>
      <c r="I173" t="str">
        <f>"MOHD IMRAN BIN NORDIN"</f>
        <v>MOHD IMRAN BIN NORDIN</v>
      </c>
      <c r="J173" t="str">
        <f t="shared" si="78"/>
        <v>BANK ISLAM BHD</v>
      </c>
      <c r="K173" t="str">
        <f>"06028020316676"</f>
        <v>06028020316676</v>
      </c>
      <c r="L173" t="str">
        <f t="shared" si="79"/>
        <v>04-08-2020</v>
      </c>
      <c r="M173" t="str">
        <f t="shared" si="79"/>
        <v>04-08-2020</v>
      </c>
      <c r="N173" t="str">
        <f t="shared" si="63"/>
        <v>001105018356</v>
      </c>
      <c r="O173" t="str">
        <f t="shared" si="64"/>
        <v>MYR</v>
      </c>
      <c r="P173" t="str">
        <f t="shared" si="80"/>
        <v>NIL</v>
      </c>
      <c r="Q173" t="str">
        <f t="shared" si="80"/>
        <v>NIL</v>
      </c>
      <c r="R173" t="str">
        <f t="shared" si="65"/>
        <v>Accepted</v>
      </c>
      <c r="S173" t="str">
        <f t="shared" si="66"/>
        <v>Approved</v>
      </c>
      <c r="T173" t="str">
        <f t="shared" si="67"/>
        <v>10.20.8.188</v>
      </c>
      <c r="U173" t="str">
        <f t="shared" si="68"/>
        <v>AZRAD UMAR BIN SHAARI</v>
      </c>
      <c r="V173" t="str">
        <f t="shared" si="69"/>
        <v>FARHANA BINTI MUSTAPA</v>
      </c>
      <c r="W173" t="str">
        <f t="shared" si="70"/>
        <v>04-08-2020</v>
      </c>
      <c r="X173" t="str">
        <f t="shared" si="71"/>
        <v>RAZIMAH ANSAR AHMAD</v>
      </c>
      <c r="Y173" t="str">
        <f t="shared" si="72"/>
        <v>04-08-2020</v>
      </c>
      <c r="Z173" t="str">
        <f>"COS10200804 434"</f>
        <v>COS10200804 434</v>
      </c>
    </row>
    <row r="174" spans="1:26" x14ac:dyDescent="0.25">
      <c r="A174" t="str">
        <f t="shared" si="75"/>
        <v>04-08-2020 02:12:40</v>
      </c>
      <c r="B174" t="str">
        <f>"0000810824"</f>
        <v>0000810824</v>
      </c>
      <c r="C174" t="str">
        <f t="shared" si="76"/>
        <v>0000810791</v>
      </c>
      <c r="D174" t="str">
        <f t="shared" si="58"/>
        <v>73185</v>
      </c>
      <c r="E174" t="str">
        <f t="shared" si="59"/>
        <v>KFH-OPERATIONS DEPARTMENT</v>
      </c>
      <c r="F174" t="str">
        <f t="shared" si="60"/>
        <v>IBG</v>
      </c>
      <c r="G174" t="str">
        <f t="shared" si="77"/>
        <v>Refund COSHARE 10</v>
      </c>
      <c r="H174" s="2">
        <v>109.15</v>
      </c>
      <c r="I174" t="str">
        <f>"MOHD HUSYAINI BIN HASHIM"</f>
        <v>MOHD HUSYAINI BIN HASHIM</v>
      </c>
      <c r="J174" t="str">
        <f t="shared" si="78"/>
        <v>BANK ISLAM BHD</v>
      </c>
      <c r="K174" t="str">
        <f>"08068020063794"</f>
        <v>08068020063794</v>
      </c>
      <c r="L174" t="str">
        <f t="shared" si="79"/>
        <v>04-08-2020</v>
      </c>
      <c r="M174" t="str">
        <f t="shared" si="79"/>
        <v>04-08-2020</v>
      </c>
      <c r="N174" t="str">
        <f t="shared" si="63"/>
        <v>001105018356</v>
      </c>
      <c r="O174" t="str">
        <f t="shared" si="64"/>
        <v>MYR</v>
      </c>
      <c r="P174" t="str">
        <f t="shared" si="80"/>
        <v>NIL</v>
      </c>
      <c r="Q174" t="str">
        <f t="shared" si="80"/>
        <v>NIL</v>
      </c>
      <c r="R174" t="str">
        <f t="shared" si="65"/>
        <v>Accepted</v>
      </c>
      <c r="S174" t="str">
        <f t="shared" si="66"/>
        <v>Approved</v>
      </c>
      <c r="T174" t="str">
        <f t="shared" si="67"/>
        <v>10.20.8.188</v>
      </c>
      <c r="U174" t="str">
        <f t="shared" si="68"/>
        <v>AZRAD UMAR BIN SHAARI</v>
      </c>
      <c r="V174" t="str">
        <f t="shared" si="69"/>
        <v>FARHANA BINTI MUSTAPA</v>
      </c>
      <c r="W174" t="str">
        <f t="shared" si="70"/>
        <v>04-08-2020</v>
      </c>
      <c r="X174" t="str">
        <f t="shared" si="71"/>
        <v>RAZIMAH ANSAR AHMAD</v>
      </c>
      <c r="Y174" t="str">
        <f t="shared" si="72"/>
        <v>04-08-2020</v>
      </c>
      <c r="Z174" t="str">
        <f>"COS10200804 433"</f>
        <v>COS10200804 433</v>
      </c>
    </row>
    <row r="175" spans="1:26" x14ac:dyDescent="0.25">
      <c r="A175" t="str">
        <f t="shared" si="75"/>
        <v>04-08-2020 02:12:40</v>
      </c>
      <c r="B175" t="str">
        <f>"0000810823"</f>
        <v>0000810823</v>
      </c>
      <c r="C175" t="str">
        <f t="shared" si="76"/>
        <v>0000810791</v>
      </c>
      <c r="D175" t="str">
        <f t="shared" si="58"/>
        <v>73185</v>
      </c>
      <c r="E175" t="str">
        <f t="shared" si="59"/>
        <v>KFH-OPERATIONS DEPARTMENT</v>
      </c>
      <c r="F175" t="str">
        <f t="shared" si="60"/>
        <v>IBG</v>
      </c>
      <c r="G175" t="str">
        <f t="shared" si="77"/>
        <v>Refund COSHARE 10</v>
      </c>
      <c r="H175" s="2">
        <v>1944.15</v>
      </c>
      <c r="I175" t="str">
        <f>"MOHD HUSAINI BIN ZAINUDDIN"</f>
        <v>MOHD HUSAINI BIN ZAINUDDIN</v>
      </c>
      <c r="J175" t="str">
        <f t="shared" si="78"/>
        <v>BANK ISLAM BHD</v>
      </c>
      <c r="K175" t="str">
        <f>"14153010002736"</f>
        <v>14153010002736</v>
      </c>
      <c r="L175" t="str">
        <f t="shared" si="79"/>
        <v>04-08-2020</v>
      </c>
      <c r="M175" t="str">
        <f t="shared" si="79"/>
        <v>04-08-2020</v>
      </c>
      <c r="N175" t="str">
        <f t="shared" si="63"/>
        <v>001105018356</v>
      </c>
      <c r="O175" t="str">
        <f t="shared" si="64"/>
        <v>MYR</v>
      </c>
      <c r="P175" t="str">
        <f t="shared" si="80"/>
        <v>NIL</v>
      </c>
      <c r="Q175" t="str">
        <f t="shared" si="80"/>
        <v>NIL</v>
      </c>
      <c r="R175" t="str">
        <f t="shared" si="65"/>
        <v>Accepted</v>
      </c>
      <c r="S175" t="str">
        <f t="shared" si="66"/>
        <v>Approved</v>
      </c>
      <c r="T175" t="str">
        <f t="shared" si="67"/>
        <v>10.20.8.188</v>
      </c>
      <c r="U175" t="str">
        <f t="shared" si="68"/>
        <v>AZRAD UMAR BIN SHAARI</v>
      </c>
      <c r="V175" t="str">
        <f t="shared" si="69"/>
        <v>FARHANA BINTI MUSTAPA</v>
      </c>
      <c r="W175" t="str">
        <f t="shared" si="70"/>
        <v>04-08-2020</v>
      </c>
      <c r="X175" t="str">
        <f t="shared" si="71"/>
        <v>RAZIMAH ANSAR AHMAD</v>
      </c>
      <c r="Y175" t="str">
        <f t="shared" si="72"/>
        <v>04-08-2020</v>
      </c>
      <c r="Z175" t="str">
        <f>"COS10200804 432"</f>
        <v>COS10200804 432</v>
      </c>
    </row>
    <row r="176" spans="1:26" x14ac:dyDescent="0.25">
      <c r="A176" t="str">
        <f t="shared" si="75"/>
        <v>04-08-2020 02:12:40</v>
      </c>
      <c r="B176" t="str">
        <f>"0000810822"</f>
        <v>0000810822</v>
      </c>
      <c r="C176" t="str">
        <f t="shared" si="76"/>
        <v>0000810791</v>
      </c>
      <c r="D176" t="str">
        <f t="shared" si="58"/>
        <v>73185</v>
      </c>
      <c r="E176" t="str">
        <f t="shared" si="59"/>
        <v>KFH-OPERATIONS DEPARTMENT</v>
      </c>
      <c r="F176" t="str">
        <f t="shared" si="60"/>
        <v>IBG</v>
      </c>
      <c r="G176" t="str">
        <f t="shared" si="77"/>
        <v>Refund COSHARE 10</v>
      </c>
      <c r="H176" s="2">
        <v>839.5</v>
      </c>
      <c r="I176" t="str">
        <f>"MOHD HASYIM BIN MD WAZIR"</f>
        <v>MOHD HASYIM BIN MD WAZIR</v>
      </c>
      <c r="J176" t="str">
        <f t="shared" si="78"/>
        <v>BANK ISLAM BHD</v>
      </c>
      <c r="K176" t="str">
        <f>"08013023321576"</f>
        <v>08013023321576</v>
      </c>
      <c r="L176" t="str">
        <f t="shared" si="79"/>
        <v>04-08-2020</v>
      </c>
      <c r="M176" t="str">
        <f t="shared" si="79"/>
        <v>04-08-2020</v>
      </c>
      <c r="N176" t="str">
        <f t="shared" si="63"/>
        <v>001105018356</v>
      </c>
      <c r="O176" t="str">
        <f t="shared" si="64"/>
        <v>MYR</v>
      </c>
      <c r="P176" t="str">
        <f t="shared" si="80"/>
        <v>NIL</v>
      </c>
      <c r="Q176" t="str">
        <f t="shared" si="80"/>
        <v>NIL</v>
      </c>
      <c r="R176" t="str">
        <f t="shared" si="65"/>
        <v>Accepted</v>
      </c>
      <c r="S176" t="str">
        <f t="shared" si="66"/>
        <v>Approved</v>
      </c>
      <c r="T176" t="str">
        <f t="shared" si="67"/>
        <v>10.20.8.188</v>
      </c>
      <c r="U176" t="str">
        <f t="shared" si="68"/>
        <v>AZRAD UMAR BIN SHAARI</v>
      </c>
      <c r="V176" t="str">
        <f t="shared" si="69"/>
        <v>FARHANA BINTI MUSTAPA</v>
      </c>
      <c r="W176" t="str">
        <f t="shared" si="70"/>
        <v>04-08-2020</v>
      </c>
      <c r="X176" t="str">
        <f t="shared" si="71"/>
        <v>RAZIMAH ANSAR AHMAD</v>
      </c>
      <c r="Y176" t="str">
        <f t="shared" si="72"/>
        <v>04-08-2020</v>
      </c>
      <c r="Z176" t="str">
        <f>"COS10200804 431"</f>
        <v>COS10200804 431</v>
      </c>
    </row>
    <row r="177" spans="1:26" x14ac:dyDescent="0.25">
      <c r="A177" t="str">
        <f t="shared" si="75"/>
        <v>04-08-2020 02:12:40</v>
      </c>
      <c r="B177" t="str">
        <f>"0000810821"</f>
        <v>0000810821</v>
      </c>
      <c r="C177" t="str">
        <f t="shared" si="76"/>
        <v>0000810791</v>
      </c>
      <c r="D177" t="str">
        <f t="shared" si="58"/>
        <v>73185</v>
      </c>
      <c r="E177" t="str">
        <f t="shared" si="59"/>
        <v>KFH-OPERATIONS DEPARTMENT</v>
      </c>
      <c r="F177" t="str">
        <f t="shared" si="60"/>
        <v>IBG</v>
      </c>
      <c r="G177" t="str">
        <f t="shared" si="77"/>
        <v>Refund COSHARE 10</v>
      </c>
      <c r="H177" s="2">
        <v>251</v>
      </c>
      <c r="I177" t="str">
        <f>"MOHD HASYIM BIN MD WAZIR"</f>
        <v>MOHD HASYIM BIN MD WAZIR</v>
      </c>
      <c r="J177" t="str">
        <f t="shared" si="78"/>
        <v>BANK ISLAM BHD</v>
      </c>
      <c r="K177" t="str">
        <f>"08013023321576"</f>
        <v>08013023321576</v>
      </c>
      <c r="L177" t="str">
        <f t="shared" si="79"/>
        <v>04-08-2020</v>
      </c>
      <c r="M177" t="str">
        <f t="shared" si="79"/>
        <v>04-08-2020</v>
      </c>
      <c r="N177" t="str">
        <f t="shared" si="63"/>
        <v>001105018356</v>
      </c>
      <c r="O177" t="str">
        <f t="shared" si="64"/>
        <v>MYR</v>
      </c>
      <c r="P177" t="str">
        <f t="shared" si="80"/>
        <v>NIL</v>
      </c>
      <c r="Q177" t="str">
        <f t="shared" si="80"/>
        <v>NIL</v>
      </c>
      <c r="R177" t="str">
        <f t="shared" si="65"/>
        <v>Accepted</v>
      </c>
      <c r="S177" t="str">
        <f t="shared" si="66"/>
        <v>Approved</v>
      </c>
      <c r="T177" t="str">
        <f t="shared" si="67"/>
        <v>10.20.8.188</v>
      </c>
      <c r="U177" t="str">
        <f t="shared" si="68"/>
        <v>AZRAD UMAR BIN SHAARI</v>
      </c>
      <c r="V177" t="str">
        <f t="shared" si="69"/>
        <v>FARHANA BINTI MUSTAPA</v>
      </c>
      <c r="W177" t="str">
        <f t="shared" si="70"/>
        <v>04-08-2020</v>
      </c>
      <c r="X177" t="str">
        <f t="shared" si="71"/>
        <v>RAZIMAH ANSAR AHMAD</v>
      </c>
      <c r="Y177" t="str">
        <f t="shared" si="72"/>
        <v>04-08-2020</v>
      </c>
      <c r="Z177" t="str">
        <f>"COS10200804 430"</f>
        <v>COS10200804 430</v>
      </c>
    </row>
    <row r="178" spans="1:26" x14ac:dyDescent="0.25">
      <c r="A178" t="str">
        <f t="shared" si="75"/>
        <v>04-08-2020 02:12:40</v>
      </c>
      <c r="B178" t="str">
        <f>"0000810820"</f>
        <v>0000810820</v>
      </c>
      <c r="C178" t="str">
        <f t="shared" si="76"/>
        <v>0000810791</v>
      </c>
      <c r="D178" t="str">
        <f t="shared" si="58"/>
        <v>73185</v>
      </c>
      <c r="E178" t="str">
        <f t="shared" si="59"/>
        <v>KFH-OPERATIONS DEPARTMENT</v>
      </c>
      <c r="F178" t="str">
        <f t="shared" si="60"/>
        <v>IBG</v>
      </c>
      <c r="G178" t="str">
        <f t="shared" si="77"/>
        <v>Refund COSHARE 10</v>
      </c>
      <c r="H178" s="2">
        <v>1138</v>
      </c>
      <c r="I178" t="str">
        <f>"MOHD HARITH BIN CHE RAHIM"</f>
        <v>MOHD HARITH BIN CHE RAHIM</v>
      </c>
      <c r="J178" t="str">
        <f t="shared" si="78"/>
        <v>BANK ISLAM BHD</v>
      </c>
      <c r="K178" t="str">
        <f>"03090020574363"</f>
        <v>03090020574363</v>
      </c>
      <c r="L178" t="str">
        <f t="shared" si="79"/>
        <v>04-08-2020</v>
      </c>
      <c r="M178" t="str">
        <f t="shared" si="79"/>
        <v>04-08-2020</v>
      </c>
      <c r="N178" t="str">
        <f t="shared" si="63"/>
        <v>001105018356</v>
      </c>
      <c r="O178" t="str">
        <f t="shared" si="64"/>
        <v>MYR</v>
      </c>
      <c r="P178" t="str">
        <f t="shared" si="80"/>
        <v>NIL</v>
      </c>
      <c r="Q178" t="str">
        <f t="shared" si="80"/>
        <v>NIL</v>
      </c>
      <c r="R178" t="str">
        <f t="shared" si="65"/>
        <v>Accepted</v>
      </c>
      <c r="S178" t="str">
        <f t="shared" si="66"/>
        <v>Approved</v>
      </c>
      <c r="T178" t="str">
        <f t="shared" si="67"/>
        <v>10.20.8.188</v>
      </c>
      <c r="U178" t="str">
        <f t="shared" si="68"/>
        <v>AZRAD UMAR BIN SHAARI</v>
      </c>
      <c r="V178" t="str">
        <f t="shared" si="69"/>
        <v>FARHANA BINTI MUSTAPA</v>
      </c>
      <c r="W178" t="str">
        <f t="shared" si="70"/>
        <v>04-08-2020</v>
      </c>
      <c r="X178" t="str">
        <f t="shared" si="71"/>
        <v>RAZIMAH ANSAR AHMAD</v>
      </c>
      <c r="Y178" t="str">
        <f t="shared" si="72"/>
        <v>04-08-2020</v>
      </c>
      <c r="Z178" t="str">
        <f>"COS10200804 429"</f>
        <v>COS10200804 429</v>
      </c>
    </row>
    <row r="179" spans="1:26" x14ac:dyDescent="0.25">
      <c r="A179" t="str">
        <f t="shared" si="75"/>
        <v>04-08-2020 02:12:40</v>
      </c>
      <c r="B179" t="str">
        <f>"0000810819"</f>
        <v>0000810819</v>
      </c>
      <c r="C179" t="str">
        <f t="shared" si="76"/>
        <v>0000810791</v>
      </c>
      <c r="D179" t="str">
        <f t="shared" si="58"/>
        <v>73185</v>
      </c>
      <c r="E179" t="str">
        <f t="shared" si="59"/>
        <v>KFH-OPERATIONS DEPARTMENT</v>
      </c>
      <c r="F179" t="str">
        <f t="shared" si="60"/>
        <v>IBG</v>
      </c>
      <c r="G179" t="str">
        <f t="shared" si="77"/>
        <v>Refund COSHARE 10</v>
      </c>
      <c r="H179" s="2">
        <v>228</v>
      </c>
      <c r="I179" t="str">
        <f>"MOHD HAIZUL ARNY BIN CHE WILL"</f>
        <v>MOHD HAIZUL ARNY BIN CHE WILL</v>
      </c>
      <c r="J179" t="str">
        <f t="shared" si="78"/>
        <v>BANK ISLAM BHD</v>
      </c>
      <c r="K179" t="str">
        <f>"03036020382583"</f>
        <v>03036020382583</v>
      </c>
      <c r="L179" t="str">
        <f t="shared" si="79"/>
        <v>04-08-2020</v>
      </c>
      <c r="M179" t="str">
        <f t="shared" si="79"/>
        <v>04-08-2020</v>
      </c>
      <c r="N179" t="str">
        <f t="shared" si="63"/>
        <v>001105018356</v>
      </c>
      <c r="O179" t="str">
        <f t="shared" si="64"/>
        <v>MYR</v>
      </c>
      <c r="P179" t="str">
        <f t="shared" si="80"/>
        <v>NIL</v>
      </c>
      <c r="Q179" t="str">
        <f t="shared" si="80"/>
        <v>NIL</v>
      </c>
      <c r="R179" t="str">
        <f t="shared" si="65"/>
        <v>Accepted</v>
      </c>
      <c r="S179" t="str">
        <f t="shared" si="66"/>
        <v>Approved</v>
      </c>
      <c r="T179" t="str">
        <f t="shared" si="67"/>
        <v>10.20.8.188</v>
      </c>
      <c r="U179" t="str">
        <f t="shared" si="68"/>
        <v>AZRAD UMAR BIN SHAARI</v>
      </c>
      <c r="V179" t="str">
        <f t="shared" si="69"/>
        <v>FARHANA BINTI MUSTAPA</v>
      </c>
      <c r="W179" t="str">
        <f t="shared" si="70"/>
        <v>04-08-2020</v>
      </c>
      <c r="X179" t="str">
        <f t="shared" si="71"/>
        <v>RAZIMAH ANSAR AHMAD</v>
      </c>
      <c r="Y179" t="str">
        <f t="shared" si="72"/>
        <v>04-08-2020</v>
      </c>
      <c r="Z179" t="str">
        <f>"COS10200804 428"</f>
        <v>COS10200804 428</v>
      </c>
    </row>
    <row r="180" spans="1:26" x14ac:dyDescent="0.25">
      <c r="A180" t="str">
        <f t="shared" si="75"/>
        <v>04-08-2020 02:12:40</v>
      </c>
      <c r="B180" t="str">
        <f>"0000810818"</f>
        <v>0000810818</v>
      </c>
      <c r="C180" t="str">
        <f t="shared" si="76"/>
        <v>0000810791</v>
      </c>
      <c r="D180" t="str">
        <f t="shared" si="58"/>
        <v>73185</v>
      </c>
      <c r="E180" t="str">
        <f t="shared" si="59"/>
        <v>KFH-OPERATIONS DEPARTMENT</v>
      </c>
      <c r="F180" t="str">
        <f t="shared" si="60"/>
        <v>IBG</v>
      </c>
      <c r="G180" t="str">
        <f t="shared" si="77"/>
        <v>Refund COSHARE 10</v>
      </c>
      <c r="H180" s="2">
        <v>160</v>
      </c>
      <c r="I180" t="str">
        <f>"MOHD HAFIZUDDIN BIN MOHD MUSANIP"</f>
        <v>MOHD HAFIZUDDIN BIN MOHD MUSANIP</v>
      </c>
      <c r="J180" t="str">
        <f t="shared" si="78"/>
        <v>BANK ISLAM BHD</v>
      </c>
      <c r="K180" t="str">
        <f>"12056022765011"</f>
        <v>12056022765011</v>
      </c>
      <c r="L180" t="str">
        <f t="shared" si="79"/>
        <v>04-08-2020</v>
      </c>
      <c r="M180" t="str">
        <f t="shared" si="79"/>
        <v>04-08-2020</v>
      </c>
      <c r="N180" t="str">
        <f t="shared" si="63"/>
        <v>001105018356</v>
      </c>
      <c r="O180" t="str">
        <f t="shared" si="64"/>
        <v>MYR</v>
      </c>
      <c r="P180" t="str">
        <f t="shared" si="80"/>
        <v>NIL</v>
      </c>
      <c r="Q180" t="str">
        <f t="shared" si="80"/>
        <v>NIL</v>
      </c>
      <c r="R180" t="str">
        <f t="shared" si="65"/>
        <v>Accepted</v>
      </c>
      <c r="S180" t="str">
        <f t="shared" si="66"/>
        <v>Approved</v>
      </c>
      <c r="T180" t="str">
        <f t="shared" si="67"/>
        <v>10.20.8.188</v>
      </c>
      <c r="U180" t="str">
        <f t="shared" si="68"/>
        <v>AZRAD UMAR BIN SHAARI</v>
      </c>
      <c r="V180" t="str">
        <f t="shared" si="69"/>
        <v>FARHANA BINTI MUSTAPA</v>
      </c>
      <c r="W180" t="str">
        <f t="shared" si="70"/>
        <v>04-08-2020</v>
      </c>
      <c r="X180" t="str">
        <f t="shared" si="71"/>
        <v>RAZIMAH ANSAR AHMAD</v>
      </c>
      <c r="Y180" t="str">
        <f t="shared" si="72"/>
        <v>04-08-2020</v>
      </c>
      <c r="Z180" t="str">
        <f>"COS10200804 427"</f>
        <v>COS10200804 427</v>
      </c>
    </row>
    <row r="181" spans="1:26" x14ac:dyDescent="0.25">
      <c r="A181" t="str">
        <f t="shared" si="75"/>
        <v>04-08-2020 02:12:40</v>
      </c>
      <c r="B181" t="str">
        <f>"0000810817"</f>
        <v>0000810817</v>
      </c>
      <c r="C181" t="str">
        <f t="shared" si="76"/>
        <v>0000810791</v>
      </c>
      <c r="D181" t="str">
        <f t="shared" si="58"/>
        <v>73185</v>
      </c>
      <c r="E181" t="str">
        <f t="shared" si="59"/>
        <v>KFH-OPERATIONS DEPARTMENT</v>
      </c>
      <c r="F181" t="str">
        <f t="shared" si="60"/>
        <v>IBG</v>
      </c>
      <c r="G181" t="str">
        <f t="shared" si="77"/>
        <v>Refund COSHARE 10</v>
      </c>
      <c r="H181" s="2">
        <v>125.95</v>
      </c>
      <c r="I181" t="str">
        <f>"MOHD FIZIEY BIN MAHMOOD"</f>
        <v>MOHD FIZIEY BIN MAHMOOD</v>
      </c>
      <c r="J181" t="str">
        <f t="shared" si="78"/>
        <v>BANK ISLAM BHD</v>
      </c>
      <c r="K181" t="str">
        <f>"03036020319955"</f>
        <v>03036020319955</v>
      </c>
      <c r="L181" t="str">
        <f t="shared" si="79"/>
        <v>04-08-2020</v>
      </c>
      <c r="M181" t="str">
        <f t="shared" si="79"/>
        <v>04-08-2020</v>
      </c>
      <c r="N181" t="str">
        <f t="shared" si="63"/>
        <v>001105018356</v>
      </c>
      <c r="O181" t="str">
        <f t="shared" si="64"/>
        <v>MYR</v>
      </c>
      <c r="P181" t="str">
        <f t="shared" si="80"/>
        <v>NIL</v>
      </c>
      <c r="Q181" t="str">
        <f t="shared" si="80"/>
        <v>NIL</v>
      </c>
      <c r="R181" t="str">
        <f t="shared" si="65"/>
        <v>Accepted</v>
      </c>
      <c r="S181" t="str">
        <f t="shared" si="66"/>
        <v>Approved</v>
      </c>
      <c r="T181" t="str">
        <f t="shared" si="67"/>
        <v>10.20.8.188</v>
      </c>
      <c r="U181" t="str">
        <f t="shared" si="68"/>
        <v>AZRAD UMAR BIN SHAARI</v>
      </c>
      <c r="V181" t="str">
        <f t="shared" si="69"/>
        <v>FARHANA BINTI MUSTAPA</v>
      </c>
      <c r="W181" t="str">
        <f t="shared" si="70"/>
        <v>04-08-2020</v>
      </c>
      <c r="X181" t="str">
        <f t="shared" si="71"/>
        <v>RAZIMAH ANSAR AHMAD</v>
      </c>
      <c r="Y181" t="str">
        <f t="shared" si="72"/>
        <v>04-08-2020</v>
      </c>
      <c r="Z181" t="str">
        <f>"COS10200804 426"</f>
        <v>COS10200804 426</v>
      </c>
    </row>
    <row r="182" spans="1:26" x14ac:dyDescent="0.25">
      <c r="A182" t="str">
        <f t="shared" si="75"/>
        <v>04-08-2020 02:12:40</v>
      </c>
      <c r="B182" t="str">
        <f>"0000810816"</f>
        <v>0000810816</v>
      </c>
      <c r="C182" t="str">
        <f t="shared" si="76"/>
        <v>0000810791</v>
      </c>
      <c r="D182" t="str">
        <f t="shared" si="58"/>
        <v>73185</v>
      </c>
      <c r="E182" t="str">
        <f t="shared" si="59"/>
        <v>KFH-OPERATIONS DEPARTMENT</v>
      </c>
      <c r="F182" t="str">
        <f t="shared" si="60"/>
        <v>IBG</v>
      </c>
      <c r="G182" t="str">
        <f t="shared" si="77"/>
        <v>Refund COSHARE 10</v>
      </c>
      <c r="H182" s="2">
        <v>1343.2</v>
      </c>
      <c r="I182" t="str">
        <f>"MOHD FIKRI BIN ABDULLAH"</f>
        <v>MOHD FIKRI BIN ABDULLAH</v>
      </c>
      <c r="J182" t="str">
        <f t="shared" si="78"/>
        <v>BANK ISLAM BHD</v>
      </c>
      <c r="K182" t="str">
        <f>"12083020220234"</f>
        <v>12083020220234</v>
      </c>
      <c r="L182" t="str">
        <f t="shared" si="79"/>
        <v>04-08-2020</v>
      </c>
      <c r="M182" t="str">
        <f t="shared" si="79"/>
        <v>04-08-2020</v>
      </c>
      <c r="N182" t="str">
        <f t="shared" si="63"/>
        <v>001105018356</v>
      </c>
      <c r="O182" t="str">
        <f t="shared" si="64"/>
        <v>MYR</v>
      </c>
      <c r="P182" t="str">
        <f t="shared" si="80"/>
        <v>NIL</v>
      </c>
      <c r="Q182" t="str">
        <f t="shared" si="80"/>
        <v>NIL</v>
      </c>
      <c r="R182" t="str">
        <f t="shared" si="65"/>
        <v>Accepted</v>
      </c>
      <c r="S182" t="str">
        <f t="shared" si="66"/>
        <v>Approved</v>
      </c>
      <c r="T182" t="str">
        <f t="shared" si="67"/>
        <v>10.20.8.188</v>
      </c>
      <c r="U182" t="str">
        <f t="shared" si="68"/>
        <v>AZRAD UMAR BIN SHAARI</v>
      </c>
      <c r="V182" t="str">
        <f t="shared" si="69"/>
        <v>FARHANA BINTI MUSTAPA</v>
      </c>
      <c r="W182" t="str">
        <f t="shared" si="70"/>
        <v>04-08-2020</v>
      </c>
      <c r="X182" t="str">
        <f t="shared" si="71"/>
        <v>RAZIMAH ANSAR AHMAD</v>
      </c>
      <c r="Y182" t="str">
        <f t="shared" si="72"/>
        <v>04-08-2020</v>
      </c>
      <c r="Z182" t="str">
        <f>"COS10200804 425"</f>
        <v>COS10200804 425</v>
      </c>
    </row>
    <row r="183" spans="1:26" x14ac:dyDescent="0.25">
      <c r="A183" t="str">
        <f t="shared" si="75"/>
        <v>04-08-2020 02:12:40</v>
      </c>
      <c r="B183" t="str">
        <f>"0000810815"</f>
        <v>0000810815</v>
      </c>
      <c r="C183" t="str">
        <f t="shared" si="76"/>
        <v>0000810791</v>
      </c>
      <c r="D183" t="str">
        <f t="shared" si="58"/>
        <v>73185</v>
      </c>
      <c r="E183" t="str">
        <f t="shared" si="59"/>
        <v>KFH-OPERATIONS DEPARTMENT</v>
      </c>
      <c r="F183" t="str">
        <f t="shared" si="60"/>
        <v>IBG</v>
      </c>
      <c r="G183" t="str">
        <f t="shared" si="77"/>
        <v>Refund COSHARE 10</v>
      </c>
      <c r="H183" s="2">
        <v>251.85</v>
      </c>
      <c r="I183" t="str">
        <f>"MOHD FAZRIN BIN RAHMAN"</f>
        <v>MOHD FAZRIN BIN RAHMAN</v>
      </c>
      <c r="J183" t="str">
        <f t="shared" si="78"/>
        <v>BANK ISLAM BHD</v>
      </c>
      <c r="K183" t="str">
        <f>"12122020101684"</f>
        <v>12122020101684</v>
      </c>
      <c r="L183" t="str">
        <f t="shared" si="79"/>
        <v>04-08-2020</v>
      </c>
      <c r="M183" t="str">
        <f t="shared" si="79"/>
        <v>04-08-2020</v>
      </c>
      <c r="N183" t="str">
        <f t="shared" si="63"/>
        <v>001105018356</v>
      </c>
      <c r="O183" t="str">
        <f t="shared" si="64"/>
        <v>MYR</v>
      </c>
      <c r="P183" t="str">
        <f t="shared" si="80"/>
        <v>NIL</v>
      </c>
      <c r="Q183" t="str">
        <f t="shared" si="80"/>
        <v>NIL</v>
      </c>
      <c r="R183" t="str">
        <f t="shared" si="65"/>
        <v>Accepted</v>
      </c>
      <c r="S183" t="str">
        <f t="shared" si="66"/>
        <v>Approved</v>
      </c>
      <c r="T183" t="str">
        <f t="shared" si="67"/>
        <v>10.20.8.188</v>
      </c>
      <c r="U183" t="str">
        <f t="shared" si="68"/>
        <v>AZRAD UMAR BIN SHAARI</v>
      </c>
      <c r="V183" t="str">
        <f t="shared" si="69"/>
        <v>FARHANA BINTI MUSTAPA</v>
      </c>
      <c r="W183" t="str">
        <f t="shared" si="70"/>
        <v>04-08-2020</v>
      </c>
      <c r="X183" t="str">
        <f t="shared" si="71"/>
        <v>RAZIMAH ANSAR AHMAD</v>
      </c>
      <c r="Y183" t="str">
        <f t="shared" si="72"/>
        <v>04-08-2020</v>
      </c>
      <c r="Z183" t="str">
        <f>"COS10200804 424"</f>
        <v>COS10200804 424</v>
      </c>
    </row>
    <row r="184" spans="1:26" x14ac:dyDescent="0.25">
      <c r="A184" t="str">
        <f t="shared" si="75"/>
        <v>04-08-2020 02:12:40</v>
      </c>
      <c r="B184" t="str">
        <f>"0000810814"</f>
        <v>0000810814</v>
      </c>
      <c r="C184" t="str">
        <f t="shared" si="76"/>
        <v>0000810791</v>
      </c>
      <c r="D184" t="str">
        <f t="shared" si="58"/>
        <v>73185</v>
      </c>
      <c r="E184" t="str">
        <f t="shared" si="59"/>
        <v>KFH-OPERATIONS DEPARTMENT</v>
      </c>
      <c r="F184" t="str">
        <f t="shared" si="60"/>
        <v>IBG</v>
      </c>
      <c r="G184" t="str">
        <f t="shared" si="77"/>
        <v>Refund COSHARE 10</v>
      </c>
      <c r="H184" s="2">
        <v>42</v>
      </c>
      <c r="I184" t="str">
        <f>"MOHD FAIZAL BIN AHMAD"</f>
        <v>MOHD FAIZAL BIN AHMAD</v>
      </c>
      <c r="J184" t="str">
        <f t="shared" si="78"/>
        <v>BANK ISLAM BHD</v>
      </c>
      <c r="K184" t="str">
        <f>"12261020122192"</f>
        <v>12261020122192</v>
      </c>
      <c r="L184" t="str">
        <f t="shared" si="79"/>
        <v>04-08-2020</v>
      </c>
      <c r="M184" t="str">
        <f t="shared" si="79"/>
        <v>04-08-2020</v>
      </c>
      <c r="N184" t="str">
        <f t="shared" si="63"/>
        <v>001105018356</v>
      </c>
      <c r="O184" t="str">
        <f t="shared" si="64"/>
        <v>MYR</v>
      </c>
      <c r="P184" t="str">
        <f t="shared" si="80"/>
        <v>NIL</v>
      </c>
      <c r="Q184" t="str">
        <f t="shared" si="80"/>
        <v>NIL</v>
      </c>
      <c r="R184" t="str">
        <f t="shared" si="65"/>
        <v>Accepted</v>
      </c>
      <c r="S184" t="str">
        <f t="shared" si="66"/>
        <v>Approved</v>
      </c>
      <c r="T184" t="str">
        <f t="shared" si="67"/>
        <v>10.20.8.188</v>
      </c>
      <c r="U184" t="str">
        <f t="shared" si="68"/>
        <v>AZRAD UMAR BIN SHAARI</v>
      </c>
      <c r="V184" t="str">
        <f t="shared" si="69"/>
        <v>FARHANA BINTI MUSTAPA</v>
      </c>
      <c r="W184" t="str">
        <f t="shared" si="70"/>
        <v>04-08-2020</v>
      </c>
      <c r="X184" t="str">
        <f t="shared" si="71"/>
        <v>RAZIMAH ANSAR AHMAD</v>
      </c>
      <c r="Y184" t="str">
        <f t="shared" si="72"/>
        <v>04-08-2020</v>
      </c>
      <c r="Z184" t="str">
        <f>"COS10200804 423"</f>
        <v>COS10200804 423</v>
      </c>
    </row>
    <row r="185" spans="1:26" x14ac:dyDescent="0.25">
      <c r="A185" t="str">
        <f t="shared" si="75"/>
        <v>04-08-2020 02:12:40</v>
      </c>
      <c r="B185" t="str">
        <f>"0000810813"</f>
        <v>0000810813</v>
      </c>
      <c r="C185" t="str">
        <f t="shared" si="76"/>
        <v>0000810791</v>
      </c>
      <c r="D185" t="str">
        <f t="shared" si="58"/>
        <v>73185</v>
      </c>
      <c r="E185" t="str">
        <f t="shared" si="59"/>
        <v>KFH-OPERATIONS DEPARTMENT</v>
      </c>
      <c r="F185" t="str">
        <f t="shared" si="60"/>
        <v>IBG</v>
      </c>
      <c r="G185" t="str">
        <f t="shared" si="77"/>
        <v>Refund COSHARE 10</v>
      </c>
      <c r="H185" s="2">
        <v>42</v>
      </c>
      <c r="I185" t="str">
        <f>"MOHD FAIZAL BIN AHMAD"</f>
        <v>MOHD FAIZAL BIN AHMAD</v>
      </c>
      <c r="J185" t="str">
        <f t="shared" si="78"/>
        <v>BANK ISLAM BHD</v>
      </c>
      <c r="K185" t="str">
        <f>"12261020122192"</f>
        <v>12261020122192</v>
      </c>
      <c r="L185" t="str">
        <f t="shared" si="79"/>
        <v>04-08-2020</v>
      </c>
      <c r="M185" t="str">
        <f t="shared" si="79"/>
        <v>04-08-2020</v>
      </c>
      <c r="N185" t="str">
        <f t="shared" si="63"/>
        <v>001105018356</v>
      </c>
      <c r="O185" t="str">
        <f t="shared" si="64"/>
        <v>MYR</v>
      </c>
      <c r="P185" t="str">
        <f t="shared" si="80"/>
        <v>NIL</v>
      </c>
      <c r="Q185" t="str">
        <f t="shared" si="80"/>
        <v>NIL</v>
      </c>
      <c r="R185" t="str">
        <f t="shared" si="65"/>
        <v>Accepted</v>
      </c>
      <c r="S185" t="str">
        <f t="shared" si="66"/>
        <v>Approved</v>
      </c>
      <c r="T185" t="str">
        <f t="shared" si="67"/>
        <v>10.20.8.188</v>
      </c>
      <c r="U185" t="str">
        <f t="shared" si="68"/>
        <v>AZRAD UMAR BIN SHAARI</v>
      </c>
      <c r="V185" t="str">
        <f t="shared" si="69"/>
        <v>FARHANA BINTI MUSTAPA</v>
      </c>
      <c r="W185" t="str">
        <f t="shared" si="70"/>
        <v>04-08-2020</v>
      </c>
      <c r="X185" t="str">
        <f t="shared" si="71"/>
        <v>RAZIMAH ANSAR AHMAD</v>
      </c>
      <c r="Y185" t="str">
        <f t="shared" si="72"/>
        <v>04-08-2020</v>
      </c>
      <c r="Z185" t="str">
        <f>"COS10200804 422"</f>
        <v>COS10200804 422</v>
      </c>
    </row>
    <row r="186" spans="1:26" x14ac:dyDescent="0.25">
      <c r="A186" t="str">
        <f t="shared" si="75"/>
        <v>04-08-2020 02:12:40</v>
      </c>
      <c r="B186" t="str">
        <f>"0000810812"</f>
        <v>0000810812</v>
      </c>
      <c r="C186" t="str">
        <f t="shared" si="76"/>
        <v>0000810791</v>
      </c>
      <c r="D186" t="str">
        <f t="shared" si="58"/>
        <v>73185</v>
      </c>
      <c r="E186" t="str">
        <f t="shared" si="59"/>
        <v>KFH-OPERATIONS DEPARTMENT</v>
      </c>
      <c r="F186" t="str">
        <f t="shared" si="60"/>
        <v>IBG</v>
      </c>
      <c r="G186" t="str">
        <f t="shared" si="77"/>
        <v>Refund COSHARE 10</v>
      </c>
      <c r="H186" s="2">
        <v>251.85</v>
      </c>
      <c r="I186" t="str">
        <f>"MOHD FAIRUZ BIN MOHD NOH"</f>
        <v>MOHD FAIRUZ BIN MOHD NOH</v>
      </c>
      <c r="J186" t="str">
        <f t="shared" si="78"/>
        <v>BANK ISLAM BHD</v>
      </c>
      <c r="K186" t="str">
        <f>"01050020005094"</f>
        <v>01050020005094</v>
      </c>
      <c r="L186" t="str">
        <f t="shared" si="79"/>
        <v>04-08-2020</v>
      </c>
      <c r="M186" t="str">
        <f t="shared" si="79"/>
        <v>04-08-2020</v>
      </c>
      <c r="N186" t="str">
        <f t="shared" si="63"/>
        <v>001105018356</v>
      </c>
      <c r="O186" t="str">
        <f t="shared" si="64"/>
        <v>MYR</v>
      </c>
      <c r="P186" t="str">
        <f t="shared" si="80"/>
        <v>NIL</v>
      </c>
      <c r="Q186" t="str">
        <f t="shared" si="80"/>
        <v>NIL</v>
      </c>
      <c r="R186" t="str">
        <f t="shared" si="65"/>
        <v>Accepted</v>
      </c>
      <c r="S186" t="str">
        <f t="shared" si="66"/>
        <v>Approved</v>
      </c>
      <c r="T186" t="str">
        <f t="shared" si="67"/>
        <v>10.20.8.188</v>
      </c>
      <c r="U186" t="str">
        <f t="shared" si="68"/>
        <v>AZRAD UMAR BIN SHAARI</v>
      </c>
      <c r="V186" t="str">
        <f t="shared" si="69"/>
        <v>FARHANA BINTI MUSTAPA</v>
      </c>
      <c r="W186" t="str">
        <f t="shared" si="70"/>
        <v>04-08-2020</v>
      </c>
      <c r="X186" t="str">
        <f t="shared" si="71"/>
        <v>RAZIMAH ANSAR AHMAD</v>
      </c>
      <c r="Y186" t="str">
        <f t="shared" si="72"/>
        <v>04-08-2020</v>
      </c>
      <c r="Z186" t="str">
        <f>"COS10200804 421"</f>
        <v>COS10200804 421</v>
      </c>
    </row>
    <row r="187" spans="1:26" x14ac:dyDescent="0.25">
      <c r="A187" t="str">
        <f t="shared" si="75"/>
        <v>04-08-2020 02:12:40</v>
      </c>
      <c r="B187" t="str">
        <f>"0000810811"</f>
        <v>0000810811</v>
      </c>
      <c r="C187" t="str">
        <f t="shared" si="76"/>
        <v>0000810791</v>
      </c>
      <c r="D187" t="str">
        <f t="shared" si="58"/>
        <v>73185</v>
      </c>
      <c r="E187" t="str">
        <f t="shared" si="59"/>
        <v>KFH-OPERATIONS DEPARTMENT</v>
      </c>
      <c r="F187" t="str">
        <f t="shared" si="60"/>
        <v>IBG</v>
      </c>
      <c r="G187" t="str">
        <f t="shared" si="77"/>
        <v>Refund COSHARE 10</v>
      </c>
      <c r="H187" s="2">
        <v>688.4</v>
      </c>
      <c r="I187" t="str">
        <f>"MOHD FAHMI BIN AHMAD NAZAR"</f>
        <v>MOHD FAHMI BIN AHMAD NAZAR</v>
      </c>
      <c r="J187" t="str">
        <f t="shared" si="78"/>
        <v>BANK ISLAM BHD</v>
      </c>
      <c r="K187" t="str">
        <f>"07052020011083"</f>
        <v>07052020011083</v>
      </c>
      <c r="L187" t="str">
        <f t="shared" ref="L187:M206" si="81">"04-08-2020"</f>
        <v>04-08-2020</v>
      </c>
      <c r="M187" t="str">
        <f t="shared" si="81"/>
        <v>04-08-2020</v>
      </c>
      <c r="N187" t="str">
        <f t="shared" si="63"/>
        <v>001105018356</v>
      </c>
      <c r="O187" t="str">
        <f t="shared" si="64"/>
        <v>MYR</v>
      </c>
      <c r="P187" t="str">
        <f t="shared" ref="P187:Q206" si="82">"NIL"</f>
        <v>NIL</v>
      </c>
      <c r="Q187" t="str">
        <f t="shared" si="82"/>
        <v>NIL</v>
      </c>
      <c r="R187" t="str">
        <f t="shared" si="65"/>
        <v>Accepted</v>
      </c>
      <c r="S187" t="str">
        <f t="shared" si="66"/>
        <v>Approved</v>
      </c>
      <c r="T187" t="str">
        <f t="shared" si="67"/>
        <v>10.20.8.188</v>
      </c>
      <c r="U187" t="str">
        <f t="shared" si="68"/>
        <v>AZRAD UMAR BIN SHAARI</v>
      </c>
      <c r="V187" t="str">
        <f t="shared" si="69"/>
        <v>FARHANA BINTI MUSTAPA</v>
      </c>
      <c r="W187" t="str">
        <f t="shared" si="70"/>
        <v>04-08-2020</v>
      </c>
      <c r="X187" t="str">
        <f t="shared" si="71"/>
        <v>RAZIMAH ANSAR AHMAD</v>
      </c>
      <c r="Y187" t="str">
        <f t="shared" si="72"/>
        <v>04-08-2020</v>
      </c>
      <c r="Z187" t="str">
        <f>"COS10200804 420"</f>
        <v>COS10200804 420</v>
      </c>
    </row>
    <row r="188" spans="1:26" x14ac:dyDescent="0.25">
      <c r="A188" t="str">
        <f t="shared" si="75"/>
        <v>04-08-2020 02:12:40</v>
      </c>
      <c r="B188" t="str">
        <f>"0000810810"</f>
        <v>0000810810</v>
      </c>
      <c r="C188" t="str">
        <f t="shared" si="76"/>
        <v>0000810791</v>
      </c>
      <c r="D188" t="str">
        <f t="shared" si="58"/>
        <v>73185</v>
      </c>
      <c r="E188" t="str">
        <f t="shared" si="59"/>
        <v>KFH-OPERATIONS DEPARTMENT</v>
      </c>
      <c r="F188" t="str">
        <f t="shared" si="60"/>
        <v>IBG</v>
      </c>
      <c r="G188" t="str">
        <f t="shared" si="77"/>
        <v>Refund COSHARE 10</v>
      </c>
      <c r="H188" s="2">
        <v>335.8</v>
      </c>
      <c r="I188" t="str">
        <f>"MOHD FADLI BIN MOHD SHARIFF"</f>
        <v>MOHD FADLI BIN MOHD SHARIFF</v>
      </c>
      <c r="J188" t="str">
        <f t="shared" si="78"/>
        <v>BANK ISLAM BHD</v>
      </c>
      <c r="K188" t="str">
        <f>"16018020179019"</f>
        <v>16018020179019</v>
      </c>
      <c r="L188" t="str">
        <f t="shared" si="81"/>
        <v>04-08-2020</v>
      </c>
      <c r="M188" t="str">
        <f t="shared" si="81"/>
        <v>04-08-2020</v>
      </c>
      <c r="N188" t="str">
        <f t="shared" si="63"/>
        <v>001105018356</v>
      </c>
      <c r="O188" t="str">
        <f t="shared" si="64"/>
        <v>MYR</v>
      </c>
      <c r="P188" t="str">
        <f t="shared" si="82"/>
        <v>NIL</v>
      </c>
      <c r="Q188" t="str">
        <f t="shared" si="82"/>
        <v>NIL</v>
      </c>
      <c r="R188" t="str">
        <f t="shared" si="65"/>
        <v>Accepted</v>
      </c>
      <c r="S188" t="str">
        <f t="shared" si="66"/>
        <v>Approved</v>
      </c>
      <c r="T188" t="str">
        <f t="shared" si="67"/>
        <v>10.20.8.188</v>
      </c>
      <c r="U188" t="str">
        <f t="shared" si="68"/>
        <v>AZRAD UMAR BIN SHAARI</v>
      </c>
      <c r="V188" t="str">
        <f t="shared" si="69"/>
        <v>FARHANA BINTI MUSTAPA</v>
      </c>
      <c r="W188" t="str">
        <f t="shared" si="70"/>
        <v>04-08-2020</v>
      </c>
      <c r="X188" t="str">
        <f t="shared" si="71"/>
        <v>RAZIMAH ANSAR AHMAD</v>
      </c>
      <c r="Y188" t="str">
        <f t="shared" si="72"/>
        <v>04-08-2020</v>
      </c>
      <c r="Z188" t="str">
        <f>"COS10200804 419"</f>
        <v>COS10200804 419</v>
      </c>
    </row>
    <row r="189" spans="1:26" x14ac:dyDescent="0.25">
      <c r="A189" t="str">
        <f t="shared" si="75"/>
        <v>04-08-2020 02:12:40</v>
      </c>
      <c r="B189" t="str">
        <f>"0000810809"</f>
        <v>0000810809</v>
      </c>
      <c r="C189" t="str">
        <f t="shared" si="76"/>
        <v>0000810791</v>
      </c>
      <c r="D189" t="str">
        <f t="shared" si="58"/>
        <v>73185</v>
      </c>
      <c r="E189" t="str">
        <f t="shared" si="59"/>
        <v>KFH-OPERATIONS DEPARTMENT</v>
      </c>
      <c r="F189" t="str">
        <f t="shared" si="60"/>
        <v>IBG</v>
      </c>
      <c r="G189" t="str">
        <f t="shared" si="77"/>
        <v>Refund COSHARE 10</v>
      </c>
      <c r="H189" s="2">
        <v>1427.1</v>
      </c>
      <c r="I189" t="str">
        <f>"MOHD FADAMIN BIN MAT SAAD"</f>
        <v>MOHD FADAMIN BIN MAT SAAD</v>
      </c>
      <c r="J189" t="str">
        <f t="shared" si="78"/>
        <v>BANK ISLAM BHD</v>
      </c>
      <c r="K189" t="str">
        <f>"03036020175968"</f>
        <v>03036020175968</v>
      </c>
      <c r="L189" t="str">
        <f t="shared" si="81"/>
        <v>04-08-2020</v>
      </c>
      <c r="M189" t="str">
        <f t="shared" si="81"/>
        <v>04-08-2020</v>
      </c>
      <c r="N189" t="str">
        <f t="shared" si="63"/>
        <v>001105018356</v>
      </c>
      <c r="O189" t="str">
        <f t="shared" si="64"/>
        <v>MYR</v>
      </c>
      <c r="P189" t="str">
        <f t="shared" si="82"/>
        <v>NIL</v>
      </c>
      <c r="Q189" t="str">
        <f t="shared" si="82"/>
        <v>NIL</v>
      </c>
      <c r="R189" t="str">
        <f t="shared" si="65"/>
        <v>Accepted</v>
      </c>
      <c r="S189" t="str">
        <f t="shared" si="66"/>
        <v>Approved</v>
      </c>
      <c r="T189" t="str">
        <f t="shared" si="67"/>
        <v>10.20.8.188</v>
      </c>
      <c r="U189" t="str">
        <f t="shared" si="68"/>
        <v>AZRAD UMAR BIN SHAARI</v>
      </c>
      <c r="V189" t="str">
        <f t="shared" si="69"/>
        <v>FARHANA BINTI MUSTAPA</v>
      </c>
      <c r="W189" t="str">
        <f t="shared" si="70"/>
        <v>04-08-2020</v>
      </c>
      <c r="X189" t="str">
        <f t="shared" si="71"/>
        <v>RAZIMAH ANSAR AHMAD</v>
      </c>
      <c r="Y189" t="str">
        <f t="shared" si="72"/>
        <v>04-08-2020</v>
      </c>
      <c r="Z189" t="str">
        <f>"COS10200804 418"</f>
        <v>COS10200804 418</v>
      </c>
    </row>
    <row r="190" spans="1:26" x14ac:dyDescent="0.25">
      <c r="A190" t="str">
        <f t="shared" si="75"/>
        <v>04-08-2020 02:12:40</v>
      </c>
      <c r="B190" t="str">
        <f>"0000810808"</f>
        <v>0000810808</v>
      </c>
      <c r="C190" t="str">
        <f t="shared" si="76"/>
        <v>0000810791</v>
      </c>
      <c r="D190" t="str">
        <f t="shared" si="58"/>
        <v>73185</v>
      </c>
      <c r="E190" t="str">
        <f t="shared" si="59"/>
        <v>KFH-OPERATIONS DEPARTMENT</v>
      </c>
      <c r="F190" t="str">
        <f t="shared" si="60"/>
        <v>IBG</v>
      </c>
      <c r="G190" t="str">
        <f t="shared" si="77"/>
        <v>Refund COSHARE 10</v>
      </c>
      <c r="H190" s="2">
        <v>856.3</v>
      </c>
      <c r="I190" t="str">
        <f>"MOHD EUNZAID BIN ALIAS"</f>
        <v>MOHD EUNZAID BIN ALIAS</v>
      </c>
      <c r="J190" t="str">
        <f t="shared" si="78"/>
        <v>BANK ISLAM BHD</v>
      </c>
      <c r="K190" t="str">
        <f>"08086020115025"</f>
        <v>08086020115025</v>
      </c>
      <c r="L190" t="str">
        <f t="shared" si="81"/>
        <v>04-08-2020</v>
      </c>
      <c r="M190" t="str">
        <f t="shared" si="81"/>
        <v>04-08-2020</v>
      </c>
      <c r="N190" t="str">
        <f t="shared" si="63"/>
        <v>001105018356</v>
      </c>
      <c r="O190" t="str">
        <f t="shared" si="64"/>
        <v>MYR</v>
      </c>
      <c r="P190" t="str">
        <f t="shared" si="82"/>
        <v>NIL</v>
      </c>
      <c r="Q190" t="str">
        <f t="shared" si="82"/>
        <v>NIL</v>
      </c>
      <c r="R190" t="str">
        <f t="shared" si="65"/>
        <v>Accepted</v>
      </c>
      <c r="S190" t="str">
        <f t="shared" si="66"/>
        <v>Approved</v>
      </c>
      <c r="T190" t="str">
        <f t="shared" si="67"/>
        <v>10.20.8.188</v>
      </c>
      <c r="U190" t="str">
        <f t="shared" si="68"/>
        <v>AZRAD UMAR BIN SHAARI</v>
      </c>
      <c r="V190" t="str">
        <f t="shared" si="69"/>
        <v>FARHANA BINTI MUSTAPA</v>
      </c>
      <c r="W190" t="str">
        <f t="shared" si="70"/>
        <v>04-08-2020</v>
      </c>
      <c r="X190" t="str">
        <f t="shared" si="71"/>
        <v>RAZIMAH ANSAR AHMAD</v>
      </c>
      <c r="Y190" t="str">
        <f t="shared" si="72"/>
        <v>04-08-2020</v>
      </c>
      <c r="Z190" t="str">
        <f>"COS10200804 417"</f>
        <v>COS10200804 417</v>
      </c>
    </row>
    <row r="191" spans="1:26" x14ac:dyDescent="0.25">
      <c r="A191" t="str">
        <f t="shared" si="75"/>
        <v>04-08-2020 02:12:40</v>
      </c>
      <c r="B191" t="str">
        <f>"0000810807"</f>
        <v>0000810807</v>
      </c>
      <c r="C191" t="str">
        <f t="shared" si="76"/>
        <v>0000810791</v>
      </c>
      <c r="D191" t="str">
        <f t="shared" si="58"/>
        <v>73185</v>
      </c>
      <c r="E191" t="str">
        <f t="shared" si="59"/>
        <v>KFH-OPERATIONS DEPARTMENT</v>
      </c>
      <c r="F191" t="str">
        <f t="shared" si="60"/>
        <v>IBG</v>
      </c>
      <c r="G191" t="str">
        <f t="shared" si="77"/>
        <v>Refund COSHARE 10</v>
      </c>
      <c r="H191" s="2">
        <v>50.4</v>
      </c>
      <c r="I191" t="str">
        <f>"MOHD BADRUL RIZAMAN BIN JUSOH"</f>
        <v>MOHD BADRUL RIZAMAN BIN JUSOH</v>
      </c>
      <c r="J191" t="str">
        <f t="shared" si="78"/>
        <v>BANK ISLAM BHD</v>
      </c>
      <c r="K191" t="str">
        <f>"06019021175388"</f>
        <v>06019021175388</v>
      </c>
      <c r="L191" t="str">
        <f t="shared" si="81"/>
        <v>04-08-2020</v>
      </c>
      <c r="M191" t="str">
        <f t="shared" si="81"/>
        <v>04-08-2020</v>
      </c>
      <c r="N191" t="str">
        <f t="shared" si="63"/>
        <v>001105018356</v>
      </c>
      <c r="O191" t="str">
        <f t="shared" si="64"/>
        <v>MYR</v>
      </c>
      <c r="P191" t="str">
        <f t="shared" si="82"/>
        <v>NIL</v>
      </c>
      <c r="Q191" t="str">
        <f t="shared" si="82"/>
        <v>NIL</v>
      </c>
      <c r="R191" t="str">
        <f t="shared" si="65"/>
        <v>Accepted</v>
      </c>
      <c r="S191" t="str">
        <f t="shared" si="66"/>
        <v>Approved</v>
      </c>
      <c r="T191" t="str">
        <f t="shared" si="67"/>
        <v>10.20.8.188</v>
      </c>
      <c r="U191" t="str">
        <f t="shared" si="68"/>
        <v>AZRAD UMAR BIN SHAARI</v>
      </c>
      <c r="V191" t="str">
        <f t="shared" si="69"/>
        <v>FARHANA BINTI MUSTAPA</v>
      </c>
      <c r="W191" t="str">
        <f t="shared" si="70"/>
        <v>04-08-2020</v>
      </c>
      <c r="X191" t="str">
        <f t="shared" si="71"/>
        <v>RAZIMAH ANSAR AHMAD</v>
      </c>
      <c r="Y191" t="str">
        <f t="shared" si="72"/>
        <v>04-08-2020</v>
      </c>
      <c r="Z191" t="str">
        <f>"COS10200804 416"</f>
        <v>COS10200804 416</v>
      </c>
    </row>
    <row r="192" spans="1:26" x14ac:dyDescent="0.25">
      <c r="A192" t="str">
        <f t="shared" si="75"/>
        <v>04-08-2020 02:12:40</v>
      </c>
      <c r="B192" t="str">
        <f>"0000810806"</f>
        <v>0000810806</v>
      </c>
      <c r="C192" t="str">
        <f t="shared" si="76"/>
        <v>0000810791</v>
      </c>
      <c r="D192" t="str">
        <f t="shared" si="58"/>
        <v>73185</v>
      </c>
      <c r="E192" t="str">
        <f t="shared" si="59"/>
        <v>KFH-OPERATIONS DEPARTMENT</v>
      </c>
      <c r="F192" t="str">
        <f t="shared" si="60"/>
        <v>IBG</v>
      </c>
      <c r="G192" t="str">
        <f t="shared" si="77"/>
        <v>Refund COSHARE 10</v>
      </c>
      <c r="H192" s="2">
        <v>58.8</v>
      </c>
      <c r="I192" t="str">
        <f>"MOHD AZRI BIN AZIZ"</f>
        <v>MOHD AZRI BIN AZIZ</v>
      </c>
      <c r="J192" t="str">
        <f t="shared" si="78"/>
        <v>BANK ISLAM BHD</v>
      </c>
      <c r="K192" t="str">
        <f>"03045020166432"</f>
        <v>03045020166432</v>
      </c>
      <c r="L192" t="str">
        <f t="shared" si="81"/>
        <v>04-08-2020</v>
      </c>
      <c r="M192" t="str">
        <f t="shared" si="81"/>
        <v>04-08-2020</v>
      </c>
      <c r="N192" t="str">
        <f t="shared" si="63"/>
        <v>001105018356</v>
      </c>
      <c r="O192" t="str">
        <f t="shared" si="64"/>
        <v>MYR</v>
      </c>
      <c r="P192" t="str">
        <f t="shared" si="82"/>
        <v>NIL</v>
      </c>
      <c r="Q192" t="str">
        <f t="shared" si="82"/>
        <v>NIL</v>
      </c>
      <c r="R192" t="str">
        <f t="shared" si="65"/>
        <v>Accepted</v>
      </c>
      <c r="S192" t="str">
        <f t="shared" si="66"/>
        <v>Approved</v>
      </c>
      <c r="T192" t="str">
        <f t="shared" si="67"/>
        <v>10.20.8.188</v>
      </c>
      <c r="U192" t="str">
        <f t="shared" si="68"/>
        <v>AZRAD UMAR BIN SHAARI</v>
      </c>
      <c r="V192" t="str">
        <f t="shared" si="69"/>
        <v>FARHANA BINTI MUSTAPA</v>
      </c>
      <c r="W192" t="str">
        <f t="shared" si="70"/>
        <v>04-08-2020</v>
      </c>
      <c r="X192" t="str">
        <f t="shared" si="71"/>
        <v>RAZIMAH ANSAR AHMAD</v>
      </c>
      <c r="Y192" t="str">
        <f t="shared" si="72"/>
        <v>04-08-2020</v>
      </c>
      <c r="Z192" t="str">
        <f>"COS10200804 415"</f>
        <v>COS10200804 415</v>
      </c>
    </row>
    <row r="193" spans="1:26" x14ac:dyDescent="0.25">
      <c r="A193" t="str">
        <f t="shared" si="75"/>
        <v>04-08-2020 02:12:40</v>
      </c>
      <c r="B193" t="str">
        <f>"0000810805"</f>
        <v>0000810805</v>
      </c>
      <c r="C193" t="str">
        <f t="shared" si="76"/>
        <v>0000810791</v>
      </c>
      <c r="D193" t="str">
        <f t="shared" si="58"/>
        <v>73185</v>
      </c>
      <c r="E193" t="str">
        <f t="shared" si="59"/>
        <v>KFH-OPERATIONS DEPARTMENT</v>
      </c>
      <c r="F193" t="str">
        <f t="shared" si="60"/>
        <v>IBG</v>
      </c>
      <c r="G193" t="str">
        <f t="shared" si="77"/>
        <v>Refund COSHARE 10</v>
      </c>
      <c r="H193" s="2">
        <v>1679</v>
      </c>
      <c r="I193" t="str">
        <f>"MOHD AZNAN BIN RAMLEE"</f>
        <v>MOHD AZNAN BIN RAMLEE</v>
      </c>
      <c r="J193" t="str">
        <f t="shared" si="78"/>
        <v>BANK ISLAM BHD</v>
      </c>
      <c r="K193" t="str">
        <f>"08068020137224"</f>
        <v>08068020137224</v>
      </c>
      <c r="L193" t="str">
        <f t="shared" si="81"/>
        <v>04-08-2020</v>
      </c>
      <c r="M193" t="str">
        <f t="shared" si="81"/>
        <v>04-08-2020</v>
      </c>
      <c r="N193" t="str">
        <f t="shared" si="63"/>
        <v>001105018356</v>
      </c>
      <c r="O193" t="str">
        <f t="shared" si="64"/>
        <v>MYR</v>
      </c>
      <c r="P193" t="str">
        <f t="shared" si="82"/>
        <v>NIL</v>
      </c>
      <c r="Q193" t="str">
        <f t="shared" si="82"/>
        <v>NIL</v>
      </c>
      <c r="R193" t="str">
        <f t="shared" si="65"/>
        <v>Accepted</v>
      </c>
      <c r="S193" t="str">
        <f t="shared" si="66"/>
        <v>Approved</v>
      </c>
      <c r="T193" t="str">
        <f t="shared" si="67"/>
        <v>10.20.8.188</v>
      </c>
      <c r="U193" t="str">
        <f t="shared" si="68"/>
        <v>AZRAD UMAR BIN SHAARI</v>
      </c>
      <c r="V193" t="str">
        <f t="shared" si="69"/>
        <v>FARHANA BINTI MUSTAPA</v>
      </c>
      <c r="W193" t="str">
        <f t="shared" si="70"/>
        <v>04-08-2020</v>
      </c>
      <c r="X193" t="str">
        <f t="shared" si="71"/>
        <v>RAZIMAH ANSAR AHMAD</v>
      </c>
      <c r="Y193" t="str">
        <f t="shared" si="72"/>
        <v>04-08-2020</v>
      </c>
      <c r="Z193" t="str">
        <f>"COS10200804 414"</f>
        <v>COS10200804 414</v>
      </c>
    </row>
    <row r="194" spans="1:26" x14ac:dyDescent="0.25">
      <c r="A194" t="str">
        <f t="shared" si="75"/>
        <v>04-08-2020 02:12:40</v>
      </c>
      <c r="B194" t="str">
        <f>"0000810804"</f>
        <v>0000810804</v>
      </c>
      <c r="C194" t="str">
        <f t="shared" si="76"/>
        <v>0000810791</v>
      </c>
      <c r="D194" t="str">
        <f t="shared" si="58"/>
        <v>73185</v>
      </c>
      <c r="E194" t="str">
        <f t="shared" si="59"/>
        <v>KFH-OPERATIONS DEPARTMENT</v>
      </c>
      <c r="F194" t="str">
        <f t="shared" si="60"/>
        <v>IBG</v>
      </c>
      <c r="G194" t="str">
        <f t="shared" si="77"/>
        <v>Refund COSHARE 10</v>
      </c>
      <c r="H194" s="2">
        <v>1460.75</v>
      </c>
      <c r="I194" t="str">
        <f>"MOHD AZLI BIN SUTAMAN"</f>
        <v>MOHD AZLI BIN SUTAMAN</v>
      </c>
      <c r="J194" t="str">
        <f t="shared" si="78"/>
        <v>BANK ISLAM BHD</v>
      </c>
      <c r="K194" t="str">
        <f>"12122020100817"</f>
        <v>12122020100817</v>
      </c>
      <c r="L194" t="str">
        <f t="shared" si="81"/>
        <v>04-08-2020</v>
      </c>
      <c r="M194" t="str">
        <f t="shared" si="81"/>
        <v>04-08-2020</v>
      </c>
      <c r="N194" t="str">
        <f t="shared" si="63"/>
        <v>001105018356</v>
      </c>
      <c r="O194" t="str">
        <f t="shared" si="64"/>
        <v>MYR</v>
      </c>
      <c r="P194" t="str">
        <f t="shared" si="82"/>
        <v>NIL</v>
      </c>
      <c r="Q194" t="str">
        <f t="shared" si="82"/>
        <v>NIL</v>
      </c>
      <c r="R194" t="str">
        <f t="shared" si="65"/>
        <v>Accepted</v>
      </c>
      <c r="S194" t="str">
        <f t="shared" si="66"/>
        <v>Approved</v>
      </c>
      <c r="T194" t="str">
        <f t="shared" si="67"/>
        <v>10.20.8.188</v>
      </c>
      <c r="U194" t="str">
        <f t="shared" si="68"/>
        <v>AZRAD UMAR BIN SHAARI</v>
      </c>
      <c r="V194" t="str">
        <f t="shared" si="69"/>
        <v>FARHANA BINTI MUSTAPA</v>
      </c>
      <c r="W194" t="str">
        <f t="shared" si="70"/>
        <v>04-08-2020</v>
      </c>
      <c r="X194" t="str">
        <f t="shared" si="71"/>
        <v>RAZIMAH ANSAR AHMAD</v>
      </c>
      <c r="Y194" t="str">
        <f t="shared" si="72"/>
        <v>04-08-2020</v>
      </c>
      <c r="Z194" t="str">
        <f>"COS10200804 413"</f>
        <v>COS10200804 413</v>
      </c>
    </row>
    <row r="195" spans="1:26" x14ac:dyDescent="0.25">
      <c r="A195" t="str">
        <f t="shared" si="75"/>
        <v>04-08-2020 02:12:40</v>
      </c>
      <c r="B195" t="str">
        <f>"0000810803"</f>
        <v>0000810803</v>
      </c>
      <c r="C195" t="str">
        <f t="shared" si="76"/>
        <v>0000810791</v>
      </c>
      <c r="D195" t="str">
        <f t="shared" si="58"/>
        <v>73185</v>
      </c>
      <c r="E195" t="str">
        <f t="shared" si="59"/>
        <v>KFH-OPERATIONS DEPARTMENT</v>
      </c>
      <c r="F195" t="str">
        <f t="shared" si="60"/>
        <v>IBG</v>
      </c>
      <c r="G195" t="str">
        <f t="shared" si="77"/>
        <v>Refund COSHARE 10</v>
      </c>
      <c r="H195" s="2">
        <v>1175.3</v>
      </c>
      <c r="I195" t="str">
        <f>"MOHD AZLAN BIN OTHMAN"</f>
        <v>MOHD AZLAN BIN OTHMAN</v>
      </c>
      <c r="J195" t="str">
        <f t="shared" si="78"/>
        <v>BANK ISLAM BHD</v>
      </c>
      <c r="K195" t="str">
        <f>"13044020710842"</f>
        <v>13044020710842</v>
      </c>
      <c r="L195" t="str">
        <f t="shared" si="81"/>
        <v>04-08-2020</v>
      </c>
      <c r="M195" t="str">
        <f t="shared" si="81"/>
        <v>04-08-2020</v>
      </c>
      <c r="N195" t="str">
        <f t="shared" si="63"/>
        <v>001105018356</v>
      </c>
      <c r="O195" t="str">
        <f t="shared" si="64"/>
        <v>MYR</v>
      </c>
      <c r="P195" t="str">
        <f t="shared" si="82"/>
        <v>NIL</v>
      </c>
      <c r="Q195" t="str">
        <f t="shared" si="82"/>
        <v>NIL</v>
      </c>
      <c r="R195" t="str">
        <f t="shared" si="65"/>
        <v>Accepted</v>
      </c>
      <c r="S195" t="str">
        <f t="shared" si="66"/>
        <v>Approved</v>
      </c>
      <c r="T195" t="str">
        <f t="shared" si="67"/>
        <v>10.20.8.188</v>
      </c>
      <c r="U195" t="str">
        <f t="shared" si="68"/>
        <v>AZRAD UMAR BIN SHAARI</v>
      </c>
      <c r="V195" t="str">
        <f t="shared" si="69"/>
        <v>FARHANA BINTI MUSTAPA</v>
      </c>
      <c r="W195" t="str">
        <f t="shared" si="70"/>
        <v>04-08-2020</v>
      </c>
      <c r="X195" t="str">
        <f t="shared" si="71"/>
        <v>RAZIMAH ANSAR AHMAD</v>
      </c>
      <c r="Y195" t="str">
        <f t="shared" si="72"/>
        <v>04-08-2020</v>
      </c>
      <c r="Z195" t="str">
        <f>"COS10200804 412"</f>
        <v>COS10200804 412</v>
      </c>
    </row>
    <row r="196" spans="1:26" x14ac:dyDescent="0.25">
      <c r="A196" t="str">
        <f t="shared" si="75"/>
        <v>04-08-2020 02:12:40</v>
      </c>
      <c r="B196" t="str">
        <f>"0000810802"</f>
        <v>0000810802</v>
      </c>
      <c r="C196" t="str">
        <f t="shared" si="76"/>
        <v>0000810791</v>
      </c>
      <c r="D196" t="str">
        <f t="shared" si="58"/>
        <v>73185</v>
      </c>
      <c r="E196" t="str">
        <f t="shared" si="59"/>
        <v>KFH-OPERATIONS DEPARTMENT</v>
      </c>
      <c r="F196" t="str">
        <f t="shared" si="60"/>
        <v>IBG</v>
      </c>
      <c r="G196" t="str">
        <f t="shared" si="77"/>
        <v>Refund COSHARE 10</v>
      </c>
      <c r="H196" s="2">
        <v>688.4</v>
      </c>
      <c r="I196" t="str">
        <f>"MOHD AZLAN BIN IBRAHIM"</f>
        <v>MOHD AZLAN BIN IBRAHIM</v>
      </c>
      <c r="J196" t="str">
        <f t="shared" si="78"/>
        <v>BANK ISLAM BHD</v>
      </c>
      <c r="K196" t="str">
        <f>"06028024657685"</f>
        <v>06028024657685</v>
      </c>
      <c r="L196" t="str">
        <f t="shared" si="81"/>
        <v>04-08-2020</v>
      </c>
      <c r="M196" t="str">
        <f t="shared" si="81"/>
        <v>04-08-2020</v>
      </c>
      <c r="N196" t="str">
        <f t="shared" si="63"/>
        <v>001105018356</v>
      </c>
      <c r="O196" t="str">
        <f t="shared" si="64"/>
        <v>MYR</v>
      </c>
      <c r="P196" t="str">
        <f t="shared" si="82"/>
        <v>NIL</v>
      </c>
      <c r="Q196" t="str">
        <f t="shared" si="82"/>
        <v>NIL</v>
      </c>
      <c r="R196" t="str">
        <f t="shared" si="65"/>
        <v>Accepted</v>
      </c>
      <c r="S196" t="str">
        <f t="shared" si="66"/>
        <v>Approved</v>
      </c>
      <c r="T196" t="str">
        <f t="shared" si="67"/>
        <v>10.20.8.188</v>
      </c>
      <c r="U196" t="str">
        <f t="shared" si="68"/>
        <v>AZRAD UMAR BIN SHAARI</v>
      </c>
      <c r="V196" t="str">
        <f t="shared" si="69"/>
        <v>FARHANA BINTI MUSTAPA</v>
      </c>
      <c r="W196" t="str">
        <f t="shared" si="70"/>
        <v>04-08-2020</v>
      </c>
      <c r="X196" t="str">
        <f t="shared" si="71"/>
        <v>RAZIMAH ANSAR AHMAD</v>
      </c>
      <c r="Y196" t="str">
        <f t="shared" si="72"/>
        <v>04-08-2020</v>
      </c>
      <c r="Z196" t="str">
        <f>"COS10200804 411"</f>
        <v>COS10200804 411</v>
      </c>
    </row>
    <row r="197" spans="1:26" x14ac:dyDescent="0.25">
      <c r="A197" t="str">
        <f t="shared" si="75"/>
        <v>04-08-2020 02:12:40</v>
      </c>
      <c r="B197" t="str">
        <f>"0000810801"</f>
        <v>0000810801</v>
      </c>
      <c r="C197" t="str">
        <f t="shared" si="76"/>
        <v>0000810791</v>
      </c>
      <c r="D197" t="str">
        <f t="shared" si="58"/>
        <v>73185</v>
      </c>
      <c r="E197" t="str">
        <f t="shared" si="59"/>
        <v>KFH-OPERATIONS DEPARTMENT</v>
      </c>
      <c r="F197" t="str">
        <f t="shared" si="60"/>
        <v>IBG</v>
      </c>
      <c r="G197" t="str">
        <f t="shared" si="77"/>
        <v>Refund COSHARE 10</v>
      </c>
      <c r="H197" s="2">
        <v>688.4</v>
      </c>
      <c r="I197" t="str">
        <f>"MOHD AZLAN BIN IBRAHIM"</f>
        <v>MOHD AZLAN BIN IBRAHIM</v>
      </c>
      <c r="J197" t="str">
        <f t="shared" si="78"/>
        <v>BANK ISLAM BHD</v>
      </c>
      <c r="K197" t="str">
        <f>"06028024657685"</f>
        <v>06028024657685</v>
      </c>
      <c r="L197" t="str">
        <f t="shared" si="81"/>
        <v>04-08-2020</v>
      </c>
      <c r="M197" t="str">
        <f t="shared" si="81"/>
        <v>04-08-2020</v>
      </c>
      <c r="N197" t="str">
        <f t="shared" si="63"/>
        <v>001105018356</v>
      </c>
      <c r="O197" t="str">
        <f t="shared" si="64"/>
        <v>MYR</v>
      </c>
      <c r="P197" t="str">
        <f t="shared" si="82"/>
        <v>NIL</v>
      </c>
      <c r="Q197" t="str">
        <f t="shared" si="82"/>
        <v>NIL</v>
      </c>
      <c r="R197" t="str">
        <f t="shared" si="65"/>
        <v>Accepted</v>
      </c>
      <c r="S197" t="str">
        <f t="shared" si="66"/>
        <v>Approved</v>
      </c>
      <c r="T197" t="str">
        <f t="shared" si="67"/>
        <v>10.20.8.188</v>
      </c>
      <c r="U197" t="str">
        <f t="shared" si="68"/>
        <v>AZRAD UMAR BIN SHAARI</v>
      </c>
      <c r="V197" t="str">
        <f t="shared" si="69"/>
        <v>FARHANA BINTI MUSTAPA</v>
      </c>
      <c r="W197" t="str">
        <f t="shared" si="70"/>
        <v>04-08-2020</v>
      </c>
      <c r="X197" t="str">
        <f t="shared" si="71"/>
        <v>RAZIMAH ANSAR AHMAD</v>
      </c>
      <c r="Y197" t="str">
        <f t="shared" si="72"/>
        <v>04-08-2020</v>
      </c>
      <c r="Z197" t="str">
        <f>"COS10200804 410"</f>
        <v>COS10200804 410</v>
      </c>
    </row>
    <row r="198" spans="1:26" x14ac:dyDescent="0.25">
      <c r="A198" t="str">
        <f t="shared" si="75"/>
        <v>04-08-2020 02:12:40</v>
      </c>
      <c r="B198" t="str">
        <f>"0000810800"</f>
        <v>0000810800</v>
      </c>
      <c r="C198" t="str">
        <f t="shared" si="76"/>
        <v>0000810791</v>
      </c>
      <c r="D198" t="str">
        <f t="shared" si="58"/>
        <v>73185</v>
      </c>
      <c r="E198" t="str">
        <f t="shared" si="59"/>
        <v>KFH-OPERATIONS DEPARTMENT</v>
      </c>
      <c r="F198" t="str">
        <f t="shared" si="60"/>
        <v>IBG</v>
      </c>
      <c r="G198" t="str">
        <f t="shared" si="77"/>
        <v>Refund COSHARE 10</v>
      </c>
      <c r="H198" s="2">
        <v>377.8</v>
      </c>
      <c r="I198" t="str">
        <f>"MOHD AZELI BIN ABDUL AZIZ  EH CHUI"</f>
        <v>MOHD AZELI BIN ABDUL AZIZ  EH CHUI</v>
      </c>
      <c r="J198" t="str">
        <f t="shared" si="78"/>
        <v>BANK ISLAM BHD</v>
      </c>
      <c r="K198" t="str">
        <f>"03054020178315"</f>
        <v>03054020178315</v>
      </c>
      <c r="L198" t="str">
        <f t="shared" si="81"/>
        <v>04-08-2020</v>
      </c>
      <c r="M198" t="str">
        <f t="shared" si="81"/>
        <v>04-08-2020</v>
      </c>
      <c r="N198" t="str">
        <f t="shared" si="63"/>
        <v>001105018356</v>
      </c>
      <c r="O198" t="str">
        <f t="shared" si="64"/>
        <v>MYR</v>
      </c>
      <c r="P198" t="str">
        <f t="shared" si="82"/>
        <v>NIL</v>
      </c>
      <c r="Q198" t="str">
        <f t="shared" si="82"/>
        <v>NIL</v>
      </c>
      <c r="R198" t="str">
        <f t="shared" si="65"/>
        <v>Accepted</v>
      </c>
      <c r="S198" t="str">
        <f t="shared" si="66"/>
        <v>Approved</v>
      </c>
      <c r="T198" t="str">
        <f t="shared" si="67"/>
        <v>10.20.8.188</v>
      </c>
      <c r="U198" t="str">
        <f t="shared" si="68"/>
        <v>AZRAD UMAR BIN SHAARI</v>
      </c>
      <c r="V198" t="str">
        <f t="shared" si="69"/>
        <v>FARHANA BINTI MUSTAPA</v>
      </c>
      <c r="W198" t="str">
        <f t="shared" si="70"/>
        <v>04-08-2020</v>
      </c>
      <c r="X198" t="str">
        <f t="shared" si="71"/>
        <v>RAZIMAH ANSAR AHMAD</v>
      </c>
      <c r="Y198" t="str">
        <f t="shared" si="72"/>
        <v>04-08-2020</v>
      </c>
      <c r="Z198" t="str">
        <f>"COS10200804 409"</f>
        <v>COS10200804 409</v>
      </c>
    </row>
    <row r="199" spans="1:26" x14ac:dyDescent="0.25">
      <c r="A199" t="str">
        <f t="shared" ref="A199:A206" si="83">"04-08-2020 02:12:40"</f>
        <v>04-08-2020 02:12:40</v>
      </c>
      <c r="B199" t="str">
        <f>"0000810799"</f>
        <v>0000810799</v>
      </c>
      <c r="C199" t="str">
        <f t="shared" ref="C199:C206" si="84">"0000810791"</f>
        <v>0000810791</v>
      </c>
      <c r="D199" t="str">
        <f t="shared" ref="D199:D262" si="85">"73185"</f>
        <v>73185</v>
      </c>
      <c r="E199" t="str">
        <f t="shared" ref="E199:E262" si="86">"KFH-OPERATIONS DEPARTMENT"</f>
        <v>KFH-OPERATIONS DEPARTMENT</v>
      </c>
      <c r="F199" t="str">
        <f t="shared" ref="F199:F262" si="87">"IBG"</f>
        <v>IBG</v>
      </c>
      <c r="G199" t="str">
        <f t="shared" ref="G199:G206" si="88">"Refund COSHARE 10"</f>
        <v>Refund COSHARE 10</v>
      </c>
      <c r="H199" s="2">
        <v>209.9</v>
      </c>
      <c r="I199" t="str">
        <f>"MOHD ASRULNIZAM BIN MD YUSUF"</f>
        <v>MOHD ASRULNIZAM BIN MD YUSUF</v>
      </c>
      <c r="J199" t="str">
        <f t="shared" ref="J199:J206" si="89">"BANK ISLAM BHD"</f>
        <v>BANK ISLAM BHD</v>
      </c>
      <c r="K199" t="str">
        <f>"02011020523302"</f>
        <v>02011020523302</v>
      </c>
      <c r="L199" t="str">
        <f t="shared" si="81"/>
        <v>04-08-2020</v>
      </c>
      <c r="M199" t="str">
        <f t="shared" si="81"/>
        <v>04-08-2020</v>
      </c>
      <c r="N199" t="str">
        <f t="shared" ref="N199:N262" si="90">"001105018356"</f>
        <v>001105018356</v>
      </c>
      <c r="O199" t="str">
        <f t="shared" ref="O199:O262" si="91">"MYR"</f>
        <v>MYR</v>
      </c>
      <c r="P199" t="str">
        <f t="shared" si="82"/>
        <v>NIL</v>
      </c>
      <c r="Q199" t="str">
        <f t="shared" si="82"/>
        <v>NIL</v>
      </c>
      <c r="R199" t="str">
        <f t="shared" ref="R199:R262" si="92">"Accepted"</f>
        <v>Accepted</v>
      </c>
      <c r="S199" t="str">
        <f t="shared" ref="S199:S262" si="93">"Approved"</f>
        <v>Approved</v>
      </c>
      <c r="T199" t="str">
        <f t="shared" ref="T199:T262" si="94">"10.20.8.188"</f>
        <v>10.20.8.188</v>
      </c>
      <c r="U199" t="str">
        <f t="shared" ref="U199:U262" si="95">"AZRAD UMAR BIN SHAARI"</f>
        <v>AZRAD UMAR BIN SHAARI</v>
      </c>
      <c r="V199" t="str">
        <f t="shared" ref="V199:V262" si="96">"FARHANA BINTI MUSTAPA"</f>
        <v>FARHANA BINTI MUSTAPA</v>
      </c>
      <c r="W199" t="str">
        <f t="shared" ref="W199:W262" si="97">"04-08-2020"</f>
        <v>04-08-2020</v>
      </c>
      <c r="X199" t="str">
        <f t="shared" ref="X199:X262" si="98">"RAZIMAH ANSAR AHMAD"</f>
        <v>RAZIMAH ANSAR AHMAD</v>
      </c>
      <c r="Y199" t="str">
        <f t="shared" ref="Y199:Y262" si="99">"04-08-2020"</f>
        <v>04-08-2020</v>
      </c>
      <c r="Z199" t="str">
        <f>"COS10200804 408"</f>
        <v>COS10200804 408</v>
      </c>
    </row>
    <row r="200" spans="1:26" x14ac:dyDescent="0.25">
      <c r="A200" t="str">
        <f t="shared" si="83"/>
        <v>04-08-2020 02:12:40</v>
      </c>
      <c r="B200" t="str">
        <f>"0000810798"</f>
        <v>0000810798</v>
      </c>
      <c r="C200" t="str">
        <f t="shared" si="84"/>
        <v>0000810791</v>
      </c>
      <c r="D200" t="str">
        <f t="shared" si="85"/>
        <v>73185</v>
      </c>
      <c r="E200" t="str">
        <f t="shared" si="86"/>
        <v>KFH-OPERATIONS DEPARTMENT</v>
      </c>
      <c r="F200" t="str">
        <f t="shared" si="87"/>
        <v>IBG</v>
      </c>
      <c r="G200" t="str">
        <f t="shared" si="88"/>
        <v>Refund COSHARE 10</v>
      </c>
      <c r="H200" s="2">
        <v>755.55</v>
      </c>
      <c r="I200" t="str">
        <f>"MOHD ASROLSAIFULLLIZAN BIN SALLEH"</f>
        <v>MOHD ASROLSAIFULLLIZAN BIN SALLEH</v>
      </c>
      <c r="J200" t="str">
        <f t="shared" si="89"/>
        <v>BANK ISLAM BHD</v>
      </c>
      <c r="K200" t="str">
        <f>"14180020050863"</f>
        <v>14180020050863</v>
      </c>
      <c r="L200" t="str">
        <f t="shared" si="81"/>
        <v>04-08-2020</v>
      </c>
      <c r="M200" t="str">
        <f t="shared" si="81"/>
        <v>04-08-2020</v>
      </c>
      <c r="N200" t="str">
        <f t="shared" si="90"/>
        <v>001105018356</v>
      </c>
      <c r="O200" t="str">
        <f t="shared" si="91"/>
        <v>MYR</v>
      </c>
      <c r="P200" t="str">
        <f t="shared" si="82"/>
        <v>NIL</v>
      </c>
      <c r="Q200" t="str">
        <f t="shared" si="82"/>
        <v>NIL</v>
      </c>
      <c r="R200" t="str">
        <f t="shared" si="92"/>
        <v>Accepted</v>
      </c>
      <c r="S200" t="str">
        <f t="shared" si="93"/>
        <v>Approved</v>
      </c>
      <c r="T200" t="str">
        <f t="shared" si="94"/>
        <v>10.20.8.188</v>
      </c>
      <c r="U200" t="str">
        <f t="shared" si="95"/>
        <v>AZRAD UMAR BIN SHAARI</v>
      </c>
      <c r="V200" t="str">
        <f t="shared" si="96"/>
        <v>FARHANA BINTI MUSTAPA</v>
      </c>
      <c r="W200" t="str">
        <f t="shared" si="97"/>
        <v>04-08-2020</v>
      </c>
      <c r="X200" t="str">
        <f t="shared" si="98"/>
        <v>RAZIMAH ANSAR AHMAD</v>
      </c>
      <c r="Y200" t="str">
        <f t="shared" si="99"/>
        <v>04-08-2020</v>
      </c>
      <c r="Z200" t="str">
        <f>"COS10200804 407"</f>
        <v>COS10200804 407</v>
      </c>
    </row>
    <row r="201" spans="1:26" x14ac:dyDescent="0.25">
      <c r="A201" t="str">
        <f t="shared" si="83"/>
        <v>04-08-2020 02:12:40</v>
      </c>
      <c r="B201" t="str">
        <f>"0000810797"</f>
        <v>0000810797</v>
      </c>
      <c r="C201" t="str">
        <f t="shared" si="84"/>
        <v>0000810791</v>
      </c>
      <c r="D201" t="str">
        <f t="shared" si="85"/>
        <v>73185</v>
      </c>
      <c r="E201" t="str">
        <f t="shared" si="86"/>
        <v>KFH-OPERATIONS DEPARTMENT</v>
      </c>
      <c r="F201" t="str">
        <f t="shared" si="87"/>
        <v>IBG</v>
      </c>
      <c r="G201" t="str">
        <f t="shared" si="88"/>
        <v>Refund COSHARE 10</v>
      </c>
      <c r="H201" s="2">
        <v>189.3</v>
      </c>
      <c r="I201" t="str">
        <f>"MOHD ASMIR BIN ARBAAI"</f>
        <v>MOHD ASMIR BIN ARBAAI</v>
      </c>
      <c r="J201" t="str">
        <f t="shared" si="89"/>
        <v>BANK ISLAM BHD</v>
      </c>
      <c r="K201" t="str">
        <f>"12122020100790"</f>
        <v>12122020100790</v>
      </c>
      <c r="L201" t="str">
        <f t="shared" si="81"/>
        <v>04-08-2020</v>
      </c>
      <c r="M201" t="str">
        <f t="shared" si="81"/>
        <v>04-08-2020</v>
      </c>
      <c r="N201" t="str">
        <f t="shared" si="90"/>
        <v>001105018356</v>
      </c>
      <c r="O201" t="str">
        <f t="shared" si="91"/>
        <v>MYR</v>
      </c>
      <c r="P201" t="str">
        <f t="shared" si="82"/>
        <v>NIL</v>
      </c>
      <c r="Q201" t="str">
        <f t="shared" si="82"/>
        <v>NIL</v>
      </c>
      <c r="R201" t="str">
        <f t="shared" si="92"/>
        <v>Accepted</v>
      </c>
      <c r="S201" t="str">
        <f t="shared" si="93"/>
        <v>Approved</v>
      </c>
      <c r="T201" t="str">
        <f t="shared" si="94"/>
        <v>10.20.8.188</v>
      </c>
      <c r="U201" t="str">
        <f t="shared" si="95"/>
        <v>AZRAD UMAR BIN SHAARI</v>
      </c>
      <c r="V201" t="str">
        <f t="shared" si="96"/>
        <v>FARHANA BINTI MUSTAPA</v>
      </c>
      <c r="W201" t="str">
        <f t="shared" si="97"/>
        <v>04-08-2020</v>
      </c>
      <c r="X201" t="str">
        <f t="shared" si="98"/>
        <v>RAZIMAH ANSAR AHMAD</v>
      </c>
      <c r="Y201" t="str">
        <f t="shared" si="99"/>
        <v>04-08-2020</v>
      </c>
      <c r="Z201" t="str">
        <f>"COS10200804 406"</f>
        <v>COS10200804 406</v>
      </c>
    </row>
    <row r="202" spans="1:26" x14ac:dyDescent="0.25">
      <c r="A202" t="str">
        <f t="shared" si="83"/>
        <v>04-08-2020 02:12:40</v>
      </c>
      <c r="B202" t="str">
        <f>"0000810796"</f>
        <v>0000810796</v>
      </c>
      <c r="C202" t="str">
        <f t="shared" si="84"/>
        <v>0000810791</v>
      </c>
      <c r="D202" t="str">
        <f t="shared" si="85"/>
        <v>73185</v>
      </c>
      <c r="E202" t="str">
        <f t="shared" si="86"/>
        <v>KFH-OPERATIONS DEPARTMENT</v>
      </c>
      <c r="F202" t="str">
        <f t="shared" si="87"/>
        <v>IBG</v>
      </c>
      <c r="G202" t="str">
        <f t="shared" si="88"/>
        <v>Refund COSHARE 10</v>
      </c>
      <c r="H202" s="2">
        <v>243</v>
      </c>
      <c r="I202" t="str">
        <f>"MOHD ASHRAF BIN M ZAINAL ABIDIN"</f>
        <v>MOHD ASHRAF BIN M ZAINAL ABIDIN</v>
      </c>
      <c r="J202" t="str">
        <f t="shared" si="89"/>
        <v>BANK ISLAM BHD</v>
      </c>
      <c r="K202" t="str">
        <f>"08068020181521"</f>
        <v>08068020181521</v>
      </c>
      <c r="L202" t="str">
        <f t="shared" si="81"/>
        <v>04-08-2020</v>
      </c>
      <c r="M202" t="str">
        <f t="shared" si="81"/>
        <v>04-08-2020</v>
      </c>
      <c r="N202" t="str">
        <f t="shared" si="90"/>
        <v>001105018356</v>
      </c>
      <c r="O202" t="str">
        <f t="shared" si="91"/>
        <v>MYR</v>
      </c>
      <c r="P202" t="str">
        <f t="shared" si="82"/>
        <v>NIL</v>
      </c>
      <c r="Q202" t="str">
        <f t="shared" si="82"/>
        <v>NIL</v>
      </c>
      <c r="R202" t="str">
        <f t="shared" si="92"/>
        <v>Accepted</v>
      </c>
      <c r="S202" t="str">
        <f t="shared" si="93"/>
        <v>Approved</v>
      </c>
      <c r="T202" t="str">
        <f t="shared" si="94"/>
        <v>10.20.8.188</v>
      </c>
      <c r="U202" t="str">
        <f t="shared" si="95"/>
        <v>AZRAD UMAR BIN SHAARI</v>
      </c>
      <c r="V202" t="str">
        <f t="shared" si="96"/>
        <v>FARHANA BINTI MUSTAPA</v>
      </c>
      <c r="W202" t="str">
        <f t="shared" si="97"/>
        <v>04-08-2020</v>
      </c>
      <c r="X202" t="str">
        <f t="shared" si="98"/>
        <v>RAZIMAH ANSAR AHMAD</v>
      </c>
      <c r="Y202" t="str">
        <f t="shared" si="99"/>
        <v>04-08-2020</v>
      </c>
      <c r="Z202" t="str">
        <f>"COS10200804 405"</f>
        <v>COS10200804 405</v>
      </c>
    </row>
    <row r="203" spans="1:26" x14ac:dyDescent="0.25">
      <c r="A203" t="str">
        <f t="shared" si="83"/>
        <v>04-08-2020 02:12:40</v>
      </c>
      <c r="B203" t="str">
        <f>"0000810795"</f>
        <v>0000810795</v>
      </c>
      <c r="C203" t="str">
        <f t="shared" si="84"/>
        <v>0000810791</v>
      </c>
      <c r="D203" t="str">
        <f t="shared" si="85"/>
        <v>73185</v>
      </c>
      <c r="E203" t="str">
        <f t="shared" si="86"/>
        <v>KFH-OPERATIONS DEPARTMENT</v>
      </c>
      <c r="F203" t="str">
        <f t="shared" si="87"/>
        <v>IBG</v>
      </c>
      <c r="G203" t="str">
        <f t="shared" si="88"/>
        <v>Refund COSHARE 10</v>
      </c>
      <c r="H203" s="2">
        <v>512.35</v>
      </c>
      <c r="I203" t="str">
        <f>"MOHD AMIN BIN MAMAT"</f>
        <v>MOHD AMIN BIN MAMAT</v>
      </c>
      <c r="J203" t="str">
        <f t="shared" si="89"/>
        <v>BANK ISLAM BHD</v>
      </c>
      <c r="K203" t="str">
        <f>"03054020204849"</f>
        <v>03054020204849</v>
      </c>
      <c r="L203" t="str">
        <f t="shared" si="81"/>
        <v>04-08-2020</v>
      </c>
      <c r="M203" t="str">
        <f t="shared" si="81"/>
        <v>04-08-2020</v>
      </c>
      <c r="N203" t="str">
        <f t="shared" si="90"/>
        <v>001105018356</v>
      </c>
      <c r="O203" t="str">
        <f t="shared" si="91"/>
        <v>MYR</v>
      </c>
      <c r="P203" t="str">
        <f t="shared" si="82"/>
        <v>NIL</v>
      </c>
      <c r="Q203" t="str">
        <f t="shared" si="82"/>
        <v>NIL</v>
      </c>
      <c r="R203" t="str">
        <f t="shared" si="92"/>
        <v>Accepted</v>
      </c>
      <c r="S203" t="str">
        <f t="shared" si="93"/>
        <v>Approved</v>
      </c>
      <c r="T203" t="str">
        <f t="shared" si="94"/>
        <v>10.20.8.188</v>
      </c>
      <c r="U203" t="str">
        <f t="shared" si="95"/>
        <v>AZRAD UMAR BIN SHAARI</v>
      </c>
      <c r="V203" t="str">
        <f t="shared" si="96"/>
        <v>FARHANA BINTI MUSTAPA</v>
      </c>
      <c r="W203" t="str">
        <f t="shared" si="97"/>
        <v>04-08-2020</v>
      </c>
      <c r="X203" t="str">
        <f t="shared" si="98"/>
        <v>RAZIMAH ANSAR AHMAD</v>
      </c>
      <c r="Y203" t="str">
        <f t="shared" si="99"/>
        <v>04-08-2020</v>
      </c>
      <c r="Z203" t="str">
        <f>"COS10200804 404"</f>
        <v>COS10200804 404</v>
      </c>
    </row>
    <row r="204" spans="1:26" x14ac:dyDescent="0.25">
      <c r="A204" t="str">
        <f t="shared" si="83"/>
        <v>04-08-2020 02:12:40</v>
      </c>
      <c r="B204" t="str">
        <f>"0000810794"</f>
        <v>0000810794</v>
      </c>
      <c r="C204" t="str">
        <f t="shared" si="84"/>
        <v>0000810791</v>
      </c>
      <c r="D204" t="str">
        <f t="shared" si="85"/>
        <v>73185</v>
      </c>
      <c r="E204" t="str">
        <f t="shared" si="86"/>
        <v>KFH-OPERATIONS DEPARTMENT</v>
      </c>
      <c r="F204" t="str">
        <f t="shared" si="87"/>
        <v>IBG</v>
      </c>
      <c r="G204" t="str">
        <f t="shared" si="88"/>
        <v>Refund COSHARE 10</v>
      </c>
      <c r="H204" s="2">
        <v>366</v>
      </c>
      <c r="I204" t="str">
        <f>"MOHD ALIF OMAR BIN MD ABU BAKAR"</f>
        <v>MOHD ALIF OMAR BIN MD ABU BAKAR</v>
      </c>
      <c r="J204" t="str">
        <f t="shared" si="89"/>
        <v>BANK ISLAM BHD</v>
      </c>
      <c r="K204" t="str">
        <f>"03018020894612"</f>
        <v>03018020894612</v>
      </c>
      <c r="L204" t="str">
        <f t="shared" si="81"/>
        <v>04-08-2020</v>
      </c>
      <c r="M204" t="str">
        <f t="shared" si="81"/>
        <v>04-08-2020</v>
      </c>
      <c r="N204" t="str">
        <f t="shared" si="90"/>
        <v>001105018356</v>
      </c>
      <c r="O204" t="str">
        <f t="shared" si="91"/>
        <v>MYR</v>
      </c>
      <c r="P204" t="str">
        <f t="shared" si="82"/>
        <v>NIL</v>
      </c>
      <c r="Q204" t="str">
        <f t="shared" si="82"/>
        <v>NIL</v>
      </c>
      <c r="R204" t="str">
        <f t="shared" si="92"/>
        <v>Accepted</v>
      </c>
      <c r="S204" t="str">
        <f t="shared" si="93"/>
        <v>Approved</v>
      </c>
      <c r="T204" t="str">
        <f t="shared" si="94"/>
        <v>10.20.8.188</v>
      </c>
      <c r="U204" t="str">
        <f t="shared" si="95"/>
        <v>AZRAD UMAR BIN SHAARI</v>
      </c>
      <c r="V204" t="str">
        <f t="shared" si="96"/>
        <v>FARHANA BINTI MUSTAPA</v>
      </c>
      <c r="W204" t="str">
        <f t="shared" si="97"/>
        <v>04-08-2020</v>
      </c>
      <c r="X204" t="str">
        <f t="shared" si="98"/>
        <v>RAZIMAH ANSAR AHMAD</v>
      </c>
      <c r="Y204" t="str">
        <f t="shared" si="99"/>
        <v>04-08-2020</v>
      </c>
      <c r="Z204" t="str">
        <f>"COS10200804 403"</f>
        <v>COS10200804 403</v>
      </c>
    </row>
    <row r="205" spans="1:26" x14ac:dyDescent="0.25">
      <c r="A205" t="str">
        <f t="shared" si="83"/>
        <v>04-08-2020 02:12:40</v>
      </c>
      <c r="B205" t="str">
        <f>"0000810793"</f>
        <v>0000810793</v>
      </c>
      <c r="C205" t="str">
        <f t="shared" si="84"/>
        <v>0000810791</v>
      </c>
      <c r="D205" t="str">
        <f t="shared" si="85"/>
        <v>73185</v>
      </c>
      <c r="E205" t="str">
        <f t="shared" si="86"/>
        <v>KFH-OPERATIONS DEPARTMENT</v>
      </c>
      <c r="F205" t="str">
        <f t="shared" si="87"/>
        <v>IBG</v>
      </c>
      <c r="G205" t="str">
        <f t="shared" si="88"/>
        <v>Refund COSHARE 10</v>
      </c>
      <c r="H205" s="2">
        <v>83.95</v>
      </c>
      <c r="I205" t="str">
        <f>"MOHD AFISZA BIN CHE AZHAR"</f>
        <v>MOHD AFISZA BIN CHE AZHAR</v>
      </c>
      <c r="J205" t="str">
        <f t="shared" si="89"/>
        <v>BANK ISLAM BHD</v>
      </c>
      <c r="K205" t="str">
        <f>"08068020393277"</f>
        <v>08068020393277</v>
      </c>
      <c r="L205" t="str">
        <f t="shared" si="81"/>
        <v>04-08-2020</v>
      </c>
      <c r="M205" t="str">
        <f t="shared" si="81"/>
        <v>04-08-2020</v>
      </c>
      <c r="N205" t="str">
        <f t="shared" si="90"/>
        <v>001105018356</v>
      </c>
      <c r="O205" t="str">
        <f t="shared" si="91"/>
        <v>MYR</v>
      </c>
      <c r="P205" t="str">
        <f t="shared" si="82"/>
        <v>NIL</v>
      </c>
      <c r="Q205" t="str">
        <f t="shared" si="82"/>
        <v>NIL</v>
      </c>
      <c r="R205" t="str">
        <f t="shared" si="92"/>
        <v>Accepted</v>
      </c>
      <c r="S205" t="str">
        <f t="shared" si="93"/>
        <v>Approved</v>
      </c>
      <c r="T205" t="str">
        <f t="shared" si="94"/>
        <v>10.20.8.188</v>
      </c>
      <c r="U205" t="str">
        <f t="shared" si="95"/>
        <v>AZRAD UMAR BIN SHAARI</v>
      </c>
      <c r="V205" t="str">
        <f t="shared" si="96"/>
        <v>FARHANA BINTI MUSTAPA</v>
      </c>
      <c r="W205" t="str">
        <f t="shared" si="97"/>
        <v>04-08-2020</v>
      </c>
      <c r="X205" t="str">
        <f t="shared" si="98"/>
        <v>RAZIMAH ANSAR AHMAD</v>
      </c>
      <c r="Y205" t="str">
        <f t="shared" si="99"/>
        <v>04-08-2020</v>
      </c>
      <c r="Z205" t="str">
        <f>"COS10200804 402"</f>
        <v>COS10200804 402</v>
      </c>
    </row>
    <row r="206" spans="1:26" x14ac:dyDescent="0.25">
      <c r="A206" t="str">
        <f t="shared" si="83"/>
        <v>04-08-2020 02:12:40</v>
      </c>
      <c r="B206" t="str">
        <f>"0000810792"</f>
        <v>0000810792</v>
      </c>
      <c r="C206" t="str">
        <f t="shared" si="84"/>
        <v>0000810791</v>
      </c>
      <c r="D206" t="str">
        <f t="shared" si="85"/>
        <v>73185</v>
      </c>
      <c r="E206" t="str">
        <f t="shared" si="86"/>
        <v>KFH-OPERATIONS DEPARTMENT</v>
      </c>
      <c r="F206" t="str">
        <f t="shared" si="87"/>
        <v>IBG</v>
      </c>
      <c r="G206" t="str">
        <f t="shared" si="88"/>
        <v>Refund COSHARE 10</v>
      </c>
      <c r="H206" s="2">
        <v>797.55</v>
      </c>
      <c r="I206" t="str">
        <f>"MOHD ADIB BIN RAHMAN"</f>
        <v>MOHD ADIB BIN RAHMAN</v>
      </c>
      <c r="J206" t="str">
        <f t="shared" si="89"/>
        <v>BANK ISLAM BHD</v>
      </c>
      <c r="K206" t="str">
        <f>"12122020053650"</f>
        <v>12122020053650</v>
      </c>
      <c r="L206" t="str">
        <f t="shared" si="81"/>
        <v>04-08-2020</v>
      </c>
      <c r="M206" t="str">
        <f t="shared" si="81"/>
        <v>04-08-2020</v>
      </c>
      <c r="N206" t="str">
        <f t="shared" si="90"/>
        <v>001105018356</v>
      </c>
      <c r="O206" t="str">
        <f t="shared" si="91"/>
        <v>MYR</v>
      </c>
      <c r="P206" t="str">
        <f t="shared" si="82"/>
        <v>NIL</v>
      </c>
      <c r="Q206" t="str">
        <f t="shared" si="82"/>
        <v>NIL</v>
      </c>
      <c r="R206" t="str">
        <f t="shared" si="92"/>
        <v>Accepted</v>
      </c>
      <c r="S206" t="str">
        <f t="shared" si="93"/>
        <v>Approved</v>
      </c>
      <c r="T206" t="str">
        <f t="shared" si="94"/>
        <v>10.20.8.188</v>
      </c>
      <c r="U206" t="str">
        <f t="shared" si="95"/>
        <v>AZRAD UMAR BIN SHAARI</v>
      </c>
      <c r="V206" t="str">
        <f t="shared" si="96"/>
        <v>FARHANA BINTI MUSTAPA</v>
      </c>
      <c r="W206" t="str">
        <f t="shared" si="97"/>
        <v>04-08-2020</v>
      </c>
      <c r="X206" t="str">
        <f t="shared" si="98"/>
        <v>RAZIMAH ANSAR AHMAD</v>
      </c>
      <c r="Y206" t="str">
        <f t="shared" si="99"/>
        <v>04-08-2020</v>
      </c>
      <c r="Z206" t="str">
        <f>"COS10200804 401"</f>
        <v>COS10200804 401</v>
      </c>
    </row>
    <row r="207" spans="1:26" x14ac:dyDescent="0.25">
      <c r="A207" t="str">
        <f t="shared" ref="A207:A213" si="100">"04-08-2020 01:24:26"</f>
        <v>04-08-2020 01:24:26</v>
      </c>
      <c r="B207" t="str">
        <f>"0000810761"</f>
        <v>0000810761</v>
      </c>
      <c r="C207" t="str">
        <f t="shared" ref="C207:C213" si="101">"0000810754"</f>
        <v>0000810754</v>
      </c>
      <c r="D207" t="str">
        <f t="shared" si="85"/>
        <v>73185</v>
      </c>
      <c r="E207" t="str">
        <f t="shared" si="86"/>
        <v>KFH-OPERATIONS DEPARTMENT</v>
      </c>
      <c r="F207" t="str">
        <f t="shared" si="87"/>
        <v>IBG</v>
      </c>
      <c r="G207" t="str">
        <f>"REFUND COSHARE ZZ"</f>
        <v>REFUND COSHARE ZZ</v>
      </c>
      <c r="H207" s="2">
        <v>710.28</v>
      </c>
      <c r="I207" t="str">
        <f>"MOHD SUKRI BIN SULAIMAN"</f>
        <v>MOHD SUKRI BIN SULAIMAN</v>
      </c>
      <c r="J207" t="str">
        <f>"MAYBANK / MAYBANK ISLAMIC"</f>
        <v>MAYBANK / MAYBANK ISLAMIC</v>
      </c>
      <c r="K207" t="str">
        <f>"108168246238"</f>
        <v>108168246238</v>
      </c>
      <c r="L207" t="str">
        <f t="shared" ref="L207:M226" si="102">"04-08-2020"</f>
        <v>04-08-2020</v>
      </c>
      <c r="M207" t="str">
        <f t="shared" si="102"/>
        <v>04-08-2020</v>
      </c>
      <c r="N207" t="str">
        <f t="shared" si="90"/>
        <v>001105018356</v>
      </c>
      <c r="O207" t="str">
        <f t="shared" si="91"/>
        <v>MYR</v>
      </c>
      <c r="P207" t="str">
        <f t="shared" ref="P207:Q226" si="103">"NIL"</f>
        <v>NIL</v>
      </c>
      <c r="Q207" t="str">
        <f t="shared" si="103"/>
        <v>NIL</v>
      </c>
      <c r="R207" t="str">
        <f t="shared" si="92"/>
        <v>Accepted</v>
      </c>
      <c r="S207" t="str">
        <f t="shared" si="93"/>
        <v>Approved</v>
      </c>
      <c r="T207" t="str">
        <f t="shared" si="94"/>
        <v>10.20.8.188</v>
      </c>
      <c r="U207" t="str">
        <f t="shared" si="95"/>
        <v>AZRAD UMAR BIN SHAARI</v>
      </c>
      <c r="V207" t="str">
        <f t="shared" si="96"/>
        <v>FARHANA BINTI MUSTAPA</v>
      </c>
      <c r="W207" t="str">
        <f t="shared" si="97"/>
        <v>04-08-2020</v>
      </c>
      <c r="X207" t="str">
        <f t="shared" si="98"/>
        <v>RAZIMAH ANSAR AHMAD</v>
      </c>
      <c r="Y207" t="str">
        <f t="shared" si="99"/>
        <v>04-08-2020</v>
      </c>
      <c r="Z207" t="str">
        <f>"RVZZ20200804 7"</f>
        <v>RVZZ20200804 7</v>
      </c>
    </row>
    <row r="208" spans="1:26" x14ac:dyDescent="0.25">
      <c r="A208" t="str">
        <f t="shared" si="100"/>
        <v>04-08-2020 01:24:26</v>
      </c>
      <c r="B208" t="str">
        <f>"0000810760"</f>
        <v>0000810760</v>
      </c>
      <c r="C208" t="str">
        <f t="shared" si="101"/>
        <v>0000810754</v>
      </c>
      <c r="D208" t="str">
        <f t="shared" si="85"/>
        <v>73185</v>
      </c>
      <c r="E208" t="str">
        <f t="shared" si="86"/>
        <v>KFH-OPERATIONS DEPARTMENT</v>
      </c>
      <c r="F208" t="str">
        <f t="shared" si="87"/>
        <v>IBG</v>
      </c>
      <c r="G208" t="str">
        <f>"REFUND COSHARE ZZ"</f>
        <v>REFUND COSHARE ZZ</v>
      </c>
      <c r="H208" s="2">
        <v>839.5</v>
      </c>
      <c r="I208" t="str">
        <f>"FARIDAH BINTI KAMARUDIN"</f>
        <v>FARIDAH BINTI KAMARUDIN</v>
      </c>
      <c r="J208" t="str">
        <f>"MAYBANK / MAYBANK ISLAMIC"</f>
        <v>MAYBANK / MAYBANK ISLAMIC</v>
      </c>
      <c r="K208" t="str">
        <f>"162107112279"</f>
        <v>162107112279</v>
      </c>
      <c r="L208" t="str">
        <f t="shared" si="102"/>
        <v>04-08-2020</v>
      </c>
      <c r="M208" t="str">
        <f t="shared" si="102"/>
        <v>04-08-2020</v>
      </c>
      <c r="N208" t="str">
        <f t="shared" si="90"/>
        <v>001105018356</v>
      </c>
      <c r="O208" t="str">
        <f t="shared" si="91"/>
        <v>MYR</v>
      </c>
      <c r="P208" t="str">
        <f t="shared" si="103"/>
        <v>NIL</v>
      </c>
      <c r="Q208" t="str">
        <f t="shared" si="103"/>
        <v>NIL</v>
      </c>
      <c r="R208" t="str">
        <f t="shared" si="92"/>
        <v>Accepted</v>
      </c>
      <c r="S208" t="str">
        <f t="shared" si="93"/>
        <v>Approved</v>
      </c>
      <c r="T208" t="str">
        <f t="shared" si="94"/>
        <v>10.20.8.188</v>
      </c>
      <c r="U208" t="str">
        <f t="shared" si="95"/>
        <v>AZRAD UMAR BIN SHAARI</v>
      </c>
      <c r="V208" t="str">
        <f t="shared" si="96"/>
        <v>FARHANA BINTI MUSTAPA</v>
      </c>
      <c r="W208" t="str">
        <f t="shared" si="97"/>
        <v>04-08-2020</v>
      </c>
      <c r="X208" t="str">
        <f t="shared" si="98"/>
        <v>RAZIMAH ANSAR AHMAD</v>
      </c>
      <c r="Y208" t="str">
        <f t="shared" si="99"/>
        <v>04-08-2020</v>
      </c>
      <c r="Z208" t="str">
        <f>"RVZZ20200804 6"</f>
        <v>RVZZ20200804 6</v>
      </c>
    </row>
    <row r="209" spans="1:26" x14ac:dyDescent="0.25">
      <c r="A209" t="str">
        <f t="shared" si="100"/>
        <v>04-08-2020 01:24:26</v>
      </c>
      <c r="B209" t="str">
        <f>"0000810759"</f>
        <v>0000810759</v>
      </c>
      <c r="C209" t="str">
        <f t="shared" si="101"/>
        <v>0000810754</v>
      </c>
      <c r="D209" t="str">
        <f t="shared" si="85"/>
        <v>73185</v>
      </c>
      <c r="E209" t="str">
        <f t="shared" si="86"/>
        <v>KFH-OPERATIONS DEPARTMENT</v>
      </c>
      <c r="F209" t="str">
        <f t="shared" si="87"/>
        <v>IBG</v>
      </c>
      <c r="G209" t="str">
        <f>"REFUND COSHARE ZZ"</f>
        <v>REFUND COSHARE ZZ</v>
      </c>
      <c r="H209" s="2">
        <v>812.05</v>
      </c>
      <c r="I209" t="str">
        <f>"SHAHDATUL ASIQQIN BINTI YAHAYA"</f>
        <v>SHAHDATUL ASIQQIN BINTI YAHAYA</v>
      </c>
      <c r="J209" t="str">
        <f>"BANK ISLAM BHD"</f>
        <v>BANK ISLAM BHD</v>
      </c>
      <c r="K209" t="str">
        <f>"12038020477006"</f>
        <v>12038020477006</v>
      </c>
      <c r="L209" t="str">
        <f t="shared" si="102"/>
        <v>04-08-2020</v>
      </c>
      <c r="M209" t="str">
        <f t="shared" si="102"/>
        <v>04-08-2020</v>
      </c>
      <c r="N209" t="str">
        <f t="shared" si="90"/>
        <v>001105018356</v>
      </c>
      <c r="O209" t="str">
        <f t="shared" si="91"/>
        <v>MYR</v>
      </c>
      <c r="P209" t="str">
        <f t="shared" si="103"/>
        <v>NIL</v>
      </c>
      <c r="Q209" t="str">
        <f t="shared" si="103"/>
        <v>NIL</v>
      </c>
      <c r="R209" t="str">
        <f t="shared" si="92"/>
        <v>Accepted</v>
      </c>
      <c r="S209" t="str">
        <f t="shared" si="93"/>
        <v>Approved</v>
      </c>
      <c r="T209" t="str">
        <f t="shared" si="94"/>
        <v>10.20.8.188</v>
      </c>
      <c r="U209" t="str">
        <f t="shared" si="95"/>
        <v>AZRAD UMAR BIN SHAARI</v>
      </c>
      <c r="V209" t="str">
        <f t="shared" si="96"/>
        <v>FARHANA BINTI MUSTAPA</v>
      </c>
      <c r="W209" t="str">
        <f t="shared" si="97"/>
        <v>04-08-2020</v>
      </c>
      <c r="X209" t="str">
        <f t="shared" si="98"/>
        <v>RAZIMAH ANSAR AHMAD</v>
      </c>
      <c r="Y209" t="str">
        <f t="shared" si="99"/>
        <v>04-08-2020</v>
      </c>
      <c r="Z209" t="str">
        <f>"RVZZ20200804 5"</f>
        <v>RVZZ20200804 5</v>
      </c>
    </row>
    <row r="210" spans="1:26" x14ac:dyDescent="0.25">
      <c r="A210" t="str">
        <f t="shared" si="100"/>
        <v>04-08-2020 01:24:26</v>
      </c>
      <c r="B210" t="str">
        <f>"0000810758"</f>
        <v>0000810758</v>
      </c>
      <c r="C210" t="str">
        <f t="shared" si="101"/>
        <v>0000810754</v>
      </c>
      <c r="D210" t="str">
        <f t="shared" si="85"/>
        <v>73185</v>
      </c>
      <c r="E210" t="str">
        <f t="shared" si="86"/>
        <v>KFH-OPERATIONS DEPARTMENT</v>
      </c>
      <c r="F210" t="str">
        <f t="shared" si="87"/>
        <v>IBG</v>
      </c>
      <c r="G210" t="str">
        <f>"REFUND IDSB ZZ"</f>
        <v>REFUND IDSB ZZ</v>
      </c>
      <c r="H210" s="2">
        <v>41.7</v>
      </c>
      <c r="I210" t="str">
        <f>"GOH CHEAN SEAN"</f>
        <v>GOH CHEAN SEAN</v>
      </c>
      <c r="J210" t="str">
        <f>"PUBLIC BANK / PUBLIC ISLAMIC BANK"</f>
        <v>PUBLIC BANK / PUBLIC ISLAMIC BANK</v>
      </c>
      <c r="K210" t="str">
        <f>"6429549025"</f>
        <v>6429549025</v>
      </c>
      <c r="L210" t="str">
        <f t="shared" si="102"/>
        <v>04-08-2020</v>
      </c>
      <c r="M210" t="str">
        <f t="shared" si="102"/>
        <v>04-08-2020</v>
      </c>
      <c r="N210" t="str">
        <f t="shared" si="90"/>
        <v>001105018356</v>
      </c>
      <c r="O210" t="str">
        <f t="shared" si="91"/>
        <v>MYR</v>
      </c>
      <c r="P210" t="str">
        <f t="shared" si="103"/>
        <v>NIL</v>
      </c>
      <c r="Q210" t="str">
        <f t="shared" si="103"/>
        <v>NIL</v>
      </c>
      <c r="R210" t="str">
        <f t="shared" si="92"/>
        <v>Accepted</v>
      </c>
      <c r="S210" t="str">
        <f t="shared" si="93"/>
        <v>Approved</v>
      </c>
      <c r="T210" t="str">
        <f t="shared" si="94"/>
        <v>10.20.8.188</v>
      </c>
      <c r="U210" t="str">
        <f t="shared" si="95"/>
        <v>AZRAD UMAR BIN SHAARI</v>
      </c>
      <c r="V210" t="str">
        <f t="shared" si="96"/>
        <v>FARHANA BINTI MUSTAPA</v>
      </c>
      <c r="W210" t="str">
        <f t="shared" si="97"/>
        <v>04-08-2020</v>
      </c>
      <c r="X210" t="str">
        <f t="shared" si="98"/>
        <v>RAZIMAH ANSAR AHMAD</v>
      </c>
      <c r="Y210" t="str">
        <f t="shared" si="99"/>
        <v>04-08-2020</v>
      </c>
      <c r="Z210" t="str">
        <f>"RVZZ20200804 4"</f>
        <v>RVZZ20200804 4</v>
      </c>
    </row>
    <row r="211" spans="1:26" x14ac:dyDescent="0.25">
      <c r="A211" t="str">
        <f t="shared" si="100"/>
        <v>04-08-2020 01:24:26</v>
      </c>
      <c r="B211" t="str">
        <f>"0000810757"</f>
        <v>0000810757</v>
      </c>
      <c r="C211" t="str">
        <f t="shared" si="101"/>
        <v>0000810754</v>
      </c>
      <c r="D211" t="str">
        <f t="shared" si="85"/>
        <v>73185</v>
      </c>
      <c r="E211" t="str">
        <f t="shared" si="86"/>
        <v>KFH-OPERATIONS DEPARTMENT</v>
      </c>
      <c r="F211" t="str">
        <f t="shared" si="87"/>
        <v>IBG</v>
      </c>
      <c r="G211" t="str">
        <f>"REFUND IDSB ZZ"</f>
        <v>REFUND IDSB ZZ</v>
      </c>
      <c r="H211" s="2">
        <v>1494.3</v>
      </c>
      <c r="I211" t="str">
        <f>"THANARUBINI AP VADIVELOO"</f>
        <v>THANARUBINI AP VADIVELOO</v>
      </c>
      <c r="J211" t="str">
        <f>"MAYBANK / MAYBANK ISLAMIC"</f>
        <v>MAYBANK / MAYBANK ISLAMIC</v>
      </c>
      <c r="K211" t="str">
        <f>"114161039258"</f>
        <v>114161039258</v>
      </c>
      <c r="L211" t="str">
        <f t="shared" si="102"/>
        <v>04-08-2020</v>
      </c>
      <c r="M211" t="str">
        <f t="shared" si="102"/>
        <v>04-08-2020</v>
      </c>
      <c r="N211" t="str">
        <f t="shared" si="90"/>
        <v>001105018356</v>
      </c>
      <c r="O211" t="str">
        <f t="shared" si="91"/>
        <v>MYR</v>
      </c>
      <c r="P211" t="str">
        <f t="shared" si="103"/>
        <v>NIL</v>
      </c>
      <c r="Q211" t="str">
        <f t="shared" si="103"/>
        <v>NIL</v>
      </c>
      <c r="R211" t="str">
        <f t="shared" si="92"/>
        <v>Accepted</v>
      </c>
      <c r="S211" t="str">
        <f t="shared" si="93"/>
        <v>Approved</v>
      </c>
      <c r="T211" t="str">
        <f t="shared" si="94"/>
        <v>10.20.8.188</v>
      </c>
      <c r="U211" t="str">
        <f t="shared" si="95"/>
        <v>AZRAD UMAR BIN SHAARI</v>
      </c>
      <c r="V211" t="str">
        <f t="shared" si="96"/>
        <v>FARHANA BINTI MUSTAPA</v>
      </c>
      <c r="W211" t="str">
        <f t="shared" si="97"/>
        <v>04-08-2020</v>
      </c>
      <c r="X211" t="str">
        <f t="shared" si="98"/>
        <v>RAZIMAH ANSAR AHMAD</v>
      </c>
      <c r="Y211" t="str">
        <f t="shared" si="99"/>
        <v>04-08-2020</v>
      </c>
      <c r="Z211" t="str">
        <f>"RVZZ20200804 3"</f>
        <v>RVZZ20200804 3</v>
      </c>
    </row>
    <row r="212" spans="1:26" x14ac:dyDescent="0.25">
      <c r="A212" t="str">
        <f t="shared" si="100"/>
        <v>04-08-2020 01:24:26</v>
      </c>
      <c r="B212" t="str">
        <f>"0000810756"</f>
        <v>0000810756</v>
      </c>
      <c r="C212" t="str">
        <f t="shared" si="101"/>
        <v>0000810754</v>
      </c>
      <c r="D212" t="str">
        <f t="shared" si="85"/>
        <v>73185</v>
      </c>
      <c r="E212" t="str">
        <f t="shared" si="86"/>
        <v>KFH-OPERATIONS DEPARTMENT</v>
      </c>
      <c r="F212" t="str">
        <f t="shared" si="87"/>
        <v>IBG</v>
      </c>
      <c r="G212" t="str">
        <f>"REFUND IDSB ZZ"</f>
        <v>REFUND IDSB ZZ</v>
      </c>
      <c r="H212" s="2">
        <v>1256.82</v>
      </c>
      <c r="I212" t="str">
        <f>"ROVICA LAWRENCE ODONG"</f>
        <v>ROVICA LAWRENCE ODONG</v>
      </c>
      <c r="J212" t="str">
        <f>"CIMB BANK / CIMB ISLAMIC BANK"</f>
        <v>CIMB BANK / CIMB ISLAMIC BANK</v>
      </c>
      <c r="K212" t="str">
        <f>"7038881088"</f>
        <v>7038881088</v>
      </c>
      <c r="L212" t="str">
        <f t="shared" si="102"/>
        <v>04-08-2020</v>
      </c>
      <c r="M212" t="str">
        <f t="shared" si="102"/>
        <v>04-08-2020</v>
      </c>
      <c r="N212" t="str">
        <f t="shared" si="90"/>
        <v>001105018356</v>
      </c>
      <c r="O212" t="str">
        <f t="shared" si="91"/>
        <v>MYR</v>
      </c>
      <c r="P212" t="str">
        <f t="shared" si="103"/>
        <v>NIL</v>
      </c>
      <c r="Q212" t="str">
        <f t="shared" si="103"/>
        <v>NIL</v>
      </c>
      <c r="R212" t="str">
        <f t="shared" si="92"/>
        <v>Accepted</v>
      </c>
      <c r="S212" t="str">
        <f t="shared" si="93"/>
        <v>Approved</v>
      </c>
      <c r="T212" t="str">
        <f t="shared" si="94"/>
        <v>10.20.8.188</v>
      </c>
      <c r="U212" t="str">
        <f t="shared" si="95"/>
        <v>AZRAD UMAR BIN SHAARI</v>
      </c>
      <c r="V212" t="str">
        <f t="shared" si="96"/>
        <v>FARHANA BINTI MUSTAPA</v>
      </c>
      <c r="W212" t="str">
        <f t="shared" si="97"/>
        <v>04-08-2020</v>
      </c>
      <c r="X212" t="str">
        <f t="shared" si="98"/>
        <v>RAZIMAH ANSAR AHMAD</v>
      </c>
      <c r="Y212" t="str">
        <f t="shared" si="99"/>
        <v>04-08-2020</v>
      </c>
      <c r="Z212" t="str">
        <f>"RVZZ20200804 2"</f>
        <v>RVZZ20200804 2</v>
      </c>
    </row>
    <row r="213" spans="1:26" x14ac:dyDescent="0.25">
      <c r="A213" t="str">
        <f t="shared" si="100"/>
        <v>04-08-2020 01:24:26</v>
      </c>
      <c r="B213" t="str">
        <f>"0000810755"</f>
        <v>0000810755</v>
      </c>
      <c r="C213" t="str">
        <f t="shared" si="101"/>
        <v>0000810754</v>
      </c>
      <c r="D213" t="str">
        <f t="shared" si="85"/>
        <v>73185</v>
      </c>
      <c r="E213" t="str">
        <f t="shared" si="86"/>
        <v>KFH-OPERATIONS DEPARTMENT</v>
      </c>
      <c r="F213" t="str">
        <f t="shared" si="87"/>
        <v>IBG</v>
      </c>
      <c r="G213" t="str">
        <f>"REFUND IDSB ZZ"</f>
        <v>REFUND IDSB ZZ</v>
      </c>
      <c r="H213" s="2">
        <v>722.61</v>
      </c>
      <c r="I213" t="str">
        <f>"NIK MOHD FAKHARUDDIN BIN NIK HUSSIN"</f>
        <v>NIK MOHD FAKHARUDDIN BIN NIK HUSSIN</v>
      </c>
      <c r="J213" t="str">
        <f>"BANK SIMPANAN NASIONAL"</f>
        <v>BANK SIMPANAN NASIONAL</v>
      </c>
      <c r="K213" t="str">
        <f>"0410829000022524"</f>
        <v>0410829000022524</v>
      </c>
      <c r="L213" t="str">
        <f t="shared" si="102"/>
        <v>04-08-2020</v>
      </c>
      <c r="M213" t="str">
        <f t="shared" si="102"/>
        <v>04-08-2020</v>
      </c>
      <c r="N213" t="str">
        <f t="shared" si="90"/>
        <v>001105018356</v>
      </c>
      <c r="O213" t="str">
        <f t="shared" si="91"/>
        <v>MYR</v>
      </c>
      <c r="P213" t="str">
        <f t="shared" si="103"/>
        <v>NIL</v>
      </c>
      <c r="Q213" t="str">
        <f t="shared" si="103"/>
        <v>NIL</v>
      </c>
      <c r="R213" t="str">
        <f t="shared" si="92"/>
        <v>Accepted</v>
      </c>
      <c r="S213" t="str">
        <f t="shared" si="93"/>
        <v>Approved</v>
      </c>
      <c r="T213" t="str">
        <f t="shared" si="94"/>
        <v>10.20.8.188</v>
      </c>
      <c r="U213" t="str">
        <f t="shared" si="95"/>
        <v>AZRAD UMAR BIN SHAARI</v>
      </c>
      <c r="V213" t="str">
        <f t="shared" si="96"/>
        <v>FARHANA BINTI MUSTAPA</v>
      </c>
      <c r="W213" t="str">
        <f t="shared" si="97"/>
        <v>04-08-2020</v>
      </c>
      <c r="X213" t="str">
        <f t="shared" si="98"/>
        <v>RAZIMAH ANSAR AHMAD</v>
      </c>
      <c r="Y213" t="str">
        <f t="shared" si="99"/>
        <v>04-08-2020</v>
      </c>
      <c r="Z213" t="str">
        <f>"RVZZ20200804 1"</f>
        <v>RVZZ20200804 1</v>
      </c>
    </row>
    <row r="214" spans="1:26" x14ac:dyDescent="0.25">
      <c r="A214" t="str">
        <f>"04-08-2020 01:24:01"</f>
        <v>04-08-2020 01:24:01</v>
      </c>
      <c r="B214" t="str">
        <f>"0000810753"</f>
        <v>0000810753</v>
      </c>
      <c r="C214" t="str">
        <f>"0000810751"</f>
        <v>0000810751</v>
      </c>
      <c r="D214" t="str">
        <f t="shared" si="85"/>
        <v>73185</v>
      </c>
      <c r="E214" t="str">
        <f t="shared" si="86"/>
        <v>KFH-OPERATIONS DEPARTMENT</v>
      </c>
      <c r="F214" t="str">
        <f t="shared" si="87"/>
        <v>IBG</v>
      </c>
      <c r="G214" t="str">
        <f>"Refund IDSB 12"</f>
        <v>Refund IDSB 12</v>
      </c>
      <c r="H214" s="2">
        <v>189.35</v>
      </c>
      <c r="I214" t="str">
        <f>"NORIZAN BINTI MUHAMMAD NOR"</f>
        <v>NORIZAN BINTI MUHAMMAD NOR</v>
      </c>
      <c r="J214" t="str">
        <f>"BANK KERJASAMA RAKYAT"</f>
        <v>BANK KERJASAMA RAKYAT</v>
      </c>
      <c r="K214" t="str">
        <f>"220141277369"</f>
        <v>220141277369</v>
      </c>
      <c r="L214" t="str">
        <f t="shared" si="102"/>
        <v>04-08-2020</v>
      </c>
      <c r="M214" t="str">
        <f t="shared" si="102"/>
        <v>04-08-2020</v>
      </c>
      <c r="N214" t="str">
        <f t="shared" si="90"/>
        <v>001105018356</v>
      </c>
      <c r="O214" t="str">
        <f t="shared" si="91"/>
        <v>MYR</v>
      </c>
      <c r="P214" t="str">
        <f t="shared" si="103"/>
        <v>NIL</v>
      </c>
      <c r="Q214" t="str">
        <f t="shared" si="103"/>
        <v>NIL</v>
      </c>
      <c r="R214" t="str">
        <f t="shared" si="92"/>
        <v>Accepted</v>
      </c>
      <c r="S214" t="str">
        <f t="shared" si="93"/>
        <v>Approved</v>
      </c>
      <c r="T214" t="str">
        <f t="shared" si="94"/>
        <v>10.20.8.188</v>
      </c>
      <c r="U214" t="str">
        <f t="shared" si="95"/>
        <v>AZRAD UMAR BIN SHAARI</v>
      </c>
      <c r="V214" t="str">
        <f t="shared" si="96"/>
        <v>FARHANA BINTI MUSTAPA</v>
      </c>
      <c r="W214" t="str">
        <f t="shared" si="97"/>
        <v>04-08-2020</v>
      </c>
      <c r="X214" t="str">
        <f t="shared" si="98"/>
        <v>RAZIMAH ANSAR AHMAD</v>
      </c>
      <c r="Y214" t="str">
        <f t="shared" si="99"/>
        <v>04-08-2020</v>
      </c>
      <c r="Z214" t="str">
        <f>"RVIDSB200804 2"</f>
        <v>RVIDSB200804 2</v>
      </c>
    </row>
    <row r="215" spans="1:26" x14ac:dyDescent="0.25">
      <c r="A215" t="str">
        <f>"04-08-2020 01:24:01"</f>
        <v>04-08-2020 01:24:01</v>
      </c>
      <c r="B215" t="str">
        <f>"0000810752"</f>
        <v>0000810752</v>
      </c>
      <c r="C215" t="str">
        <f>"0000810751"</f>
        <v>0000810751</v>
      </c>
      <c r="D215" t="str">
        <f t="shared" si="85"/>
        <v>73185</v>
      </c>
      <c r="E215" t="str">
        <f t="shared" si="86"/>
        <v>KFH-OPERATIONS DEPARTMENT</v>
      </c>
      <c r="F215" t="str">
        <f t="shared" si="87"/>
        <v>IBG</v>
      </c>
      <c r="G215" t="str">
        <f>"Refund IDSB 2"</f>
        <v>Refund IDSB 2</v>
      </c>
      <c r="H215" s="2">
        <v>189.35</v>
      </c>
      <c r="I215" t="str">
        <f>"NORIZAN BINTI MUHAMMAD NOR"</f>
        <v>NORIZAN BINTI MUHAMMAD NOR</v>
      </c>
      <c r="J215" t="str">
        <f>"BANK KERJASAMA RAKYAT"</f>
        <v>BANK KERJASAMA RAKYAT</v>
      </c>
      <c r="K215" t="str">
        <f>"220141277369"</f>
        <v>220141277369</v>
      </c>
      <c r="L215" t="str">
        <f t="shared" si="102"/>
        <v>04-08-2020</v>
      </c>
      <c r="M215" t="str">
        <f t="shared" si="102"/>
        <v>04-08-2020</v>
      </c>
      <c r="N215" t="str">
        <f t="shared" si="90"/>
        <v>001105018356</v>
      </c>
      <c r="O215" t="str">
        <f t="shared" si="91"/>
        <v>MYR</v>
      </c>
      <c r="P215" t="str">
        <f t="shared" si="103"/>
        <v>NIL</v>
      </c>
      <c r="Q215" t="str">
        <f t="shared" si="103"/>
        <v>NIL</v>
      </c>
      <c r="R215" t="str">
        <f t="shared" si="92"/>
        <v>Accepted</v>
      </c>
      <c r="S215" t="str">
        <f t="shared" si="93"/>
        <v>Approved</v>
      </c>
      <c r="T215" t="str">
        <f t="shared" si="94"/>
        <v>10.20.8.188</v>
      </c>
      <c r="U215" t="str">
        <f t="shared" si="95"/>
        <v>AZRAD UMAR BIN SHAARI</v>
      </c>
      <c r="V215" t="str">
        <f t="shared" si="96"/>
        <v>FARHANA BINTI MUSTAPA</v>
      </c>
      <c r="W215" t="str">
        <f t="shared" si="97"/>
        <v>04-08-2020</v>
      </c>
      <c r="X215" t="str">
        <f t="shared" si="98"/>
        <v>RAZIMAH ANSAR AHMAD</v>
      </c>
      <c r="Y215" t="str">
        <f t="shared" si="99"/>
        <v>04-08-2020</v>
      </c>
      <c r="Z215" t="str">
        <f>"RVIDSB200804 1"</f>
        <v>RVIDSB200804 1</v>
      </c>
    </row>
    <row r="216" spans="1:26" x14ac:dyDescent="0.25">
      <c r="A216" t="str">
        <f t="shared" ref="A216:A251" si="104">"04-08-2020 01:21:36"</f>
        <v>04-08-2020 01:21:36</v>
      </c>
      <c r="B216" t="str">
        <f>"0000810749"</f>
        <v>0000810749</v>
      </c>
      <c r="C216" t="str">
        <f t="shared" ref="C216:C251" si="105">"0000810713"</f>
        <v>0000810713</v>
      </c>
      <c r="D216" t="str">
        <f t="shared" si="85"/>
        <v>73185</v>
      </c>
      <c r="E216" t="str">
        <f t="shared" si="86"/>
        <v>KFH-OPERATIONS DEPARTMENT</v>
      </c>
      <c r="F216" t="str">
        <f t="shared" si="87"/>
        <v>IBG</v>
      </c>
      <c r="G216" t="str">
        <f t="shared" ref="G216:G279" si="106">"Refund IDSB 19"</f>
        <v>Refund IDSB 19</v>
      </c>
      <c r="H216" s="2">
        <v>738.8</v>
      </c>
      <c r="I216" t="str">
        <f>"NORSALINAH BINTI MD SAH"</f>
        <v>NORSALINAH BINTI MD SAH</v>
      </c>
      <c r="J216" t="str">
        <f>"RHB BANK / RHB ISLAMIC BANK"</f>
        <v>RHB BANK / RHB ISLAMIC BANK</v>
      </c>
      <c r="K216" t="str">
        <f>"16410600028797"</f>
        <v>16410600028797</v>
      </c>
      <c r="L216" t="str">
        <f t="shared" si="102"/>
        <v>04-08-2020</v>
      </c>
      <c r="M216" t="str">
        <f t="shared" si="102"/>
        <v>04-08-2020</v>
      </c>
      <c r="N216" t="str">
        <f t="shared" si="90"/>
        <v>001105018356</v>
      </c>
      <c r="O216" t="str">
        <f t="shared" si="91"/>
        <v>MYR</v>
      </c>
      <c r="P216" t="str">
        <f t="shared" si="103"/>
        <v>NIL</v>
      </c>
      <c r="Q216" t="str">
        <f t="shared" si="103"/>
        <v>NIL</v>
      </c>
      <c r="R216" t="str">
        <f t="shared" si="92"/>
        <v>Accepted</v>
      </c>
      <c r="S216" t="str">
        <f t="shared" si="93"/>
        <v>Approved</v>
      </c>
      <c r="T216" t="str">
        <f t="shared" si="94"/>
        <v>10.20.8.188</v>
      </c>
      <c r="U216" t="str">
        <f t="shared" si="95"/>
        <v>AZRAD UMAR BIN SHAARI</v>
      </c>
      <c r="V216" t="str">
        <f t="shared" si="96"/>
        <v>FARHANA BINTI MUSTAPA</v>
      </c>
      <c r="W216" t="str">
        <f t="shared" si="97"/>
        <v>04-08-2020</v>
      </c>
      <c r="X216" t="str">
        <f t="shared" si="98"/>
        <v>RAZIMAH ANSAR AHMAD</v>
      </c>
      <c r="Y216" t="str">
        <f t="shared" si="99"/>
        <v>04-08-2020</v>
      </c>
      <c r="Z216" t="str">
        <f>"IDSB19200804 436"</f>
        <v>IDSB19200804 436</v>
      </c>
    </row>
    <row r="217" spans="1:26" x14ac:dyDescent="0.25">
      <c r="A217" t="str">
        <f t="shared" si="104"/>
        <v>04-08-2020 01:21:36</v>
      </c>
      <c r="B217" t="str">
        <f>"0000810748"</f>
        <v>0000810748</v>
      </c>
      <c r="C217" t="str">
        <f t="shared" si="105"/>
        <v>0000810713</v>
      </c>
      <c r="D217" t="str">
        <f t="shared" si="85"/>
        <v>73185</v>
      </c>
      <c r="E217" t="str">
        <f t="shared" si="86"/>
        <v>KFH-OPERATIONS DEPARTMENT</v>
      </c>
      <c r="F217" t="str">
        <f t="shared" si="87"/>
        <v>IBG</v>
      </c>
      <c r="G217" t="str">
        <f t="shared" si="106"/>
        <v>Refund IDSB 19</v>
      </c>
      <c r="H217" s="2">
        <v>265.25</v>
      </c>
      <c r="I217" t="str">
        <f>"NORMAH BINTI MAD NOH"</f>
        <v>NORMAH BINTI MAD NOH</v>
      </c>
      <c r="J217" t="str">
        <f>"RHB BANK / RHB ISLAMIC BANK"</f>
        <v>RHB BANK / RHB ISLAMIC BANK</v>
      </c>
      <c r="K217" t="str">
        <f>"10504200067212"</f>
        <v>10504200067212</v>
      </c>
      <c r="L217" t="str">
        <f t="shared" si="102"/>
        <v>04-08-2020</v>
      </c>
      <c r="M217" t="str">
        <f t="shared" si="102"/>
        <v>04-08-2020</v>
      </c>
      <c r="N217" t="str">
        <f t="shared" si="90"/>
        <v>001105018356</v>
      </c>
      <c r="O217" t="str">
        <f t="shared" si="91"/>
        <v>MYR</v>
      </c>
      <c r="P217" t="str">
        <f t="shared" si="103"/>
        <v>NIL</v>
      </c>
      <c r="Q217" t="str">
        <f t="shared" si="103"/>
        <v>NIL</v>
      </c>
      <c r="R217" t="str">
        <f t="shared" si="92"/>
        <v>Accepted</v>
      </c>
      <c r="S217" t="str">
        <f t="shared" si="93"/>
        <v>Approved</v>
      </c>
      <c r="T217" t="str">
        <f t="shared" si="94"/>
        <v>10.20.8.188</v>
      </c>
      <c r="U217" t="str">
        <f t="shared" si="95"/>
        <v>AZRAD UMAR BIN SHAARI</v>
      </c>
      <c r="V217" t="str">
        <f t="shared" si="96"/>
        <v>FARHANA BINTI MUSTAPA</v>
      </c>
      <c r="W217" t="str">
        <f t="shared" si="97"/>
        <v>04-08-2020</v>
      </c>
      <c r="X217" t="str">
        <f t="shared" si="98"/>
        <v>RAZIMAH ANSAR AHMAD</v>
      </c>
      <c r="Y217" t="str">
        <f t="shared" si="99"/>
        <v>04-08-2020</v>
      </c>
      <c r="Z217" t="str">
        <f>"IDSB19200804 435"</f>
        <v>IDSB19200804 435</v>
      </c>
    </row>
    <row r="218" spans="1:26" x14ac:dyDescent="0.25">
      <c r="A218" t="str">
        <f t="shared" si="104"/>
        <v>04-08-2020 01:21:36</v>
      </c>
      <c r="B218" t="str">
        <f>"0000810747"</f>
        <v>0000810747</v>
      </c>
      <c r="C218" t="str">
        <f t="shared" si="105"/>
        <v>0000810713</v>
      </c>
      <c r="D218" t="str">
        <f t="shared" si="85"/>
        <v>73185</v>
      </c>
      <c r="E218" t="str">
        <f t="shared" si="86"/>
        <v>KFH-OPERATIONS DEPARTMENT</v>
      </c>
      <c r="F218" t="str">
        <f t="shared" si="87"/>
        <v>IBG</v>
      </c>
      <c r="G218" t="str">
        <f t="shared" si="106"/>
        <v>Refund IDSB 19</v>
      </c>
      <c r="H218" s="2">
        <v>114</v>
      </c>
      <c r="I218" t="str">
        <f>"NOAIMARINA BINTI AHMAD IBRAHIM"</f>
        <v>NOAIMARINA BINTI AHMAD IBRAHIM</v>
      </c>
      <c r="J218" t="str">
        <f>"RHB BANK / RHB ISLAMIC BANK"</f>
        <v>RHB BANK / RHB ISLAMIC BANK</v>
      </c>
      <c r="K218" t="str">
        <f>"16221400013640"</f>
        <v>16221400013640</v>
      </c>
      <c r="L218" t="str">
        <f t="shared" si="102"/>
        <v>04-08-2020</v>
      </c>
      <c r="M218" t="str">
        <f t="shared" si="102"/>
        <v>04-08-2020</v>
      </c>
      <c r="N218" t="str">
        <f t="shared" si="90"/>
        <v>001105018356</v>
      </c>
      <c r="O218" t="str">
        <f t="shared" si="91"/>
        <v>MYR</v>
      </c>
      <c r="P218" t="str">
        <f t="shared" si="103"/>
        <v>NIL</v>
      </c>
      <c r="Q218" t="str">
        <f t="shared" si="103"/>
        <v>NIL</v>
      </c>
      <c r="R218" t="str">
        <f t="shared" si="92"/>
        <v>Accepted</v>
      </c>
      <c r="S218" t="str">
        <f t="shared" si="93"/>
        <v>Approved</v>
      </c>
      <c r="T218" t="str">
        <f t="shared" si="94"/>
        <v>10.20.8.188</v>
      </c>
      <c r="U218" t="str">
        <f t="shared" si="95"/>
        <v>AZRAD UMAR BIN SHAARI</v>
      </c>
      <c r="V218" t="str">
        <f t="shared" si="96"/>
        <v>FARHANA BINTI MUSTAPA</v>
      </c>
      <c r="W218" t="str">
        <f t="shared" si="97"/>
        <v>04-08-2020</v>
      </c>
      <c r="X218" t="str">
        <f t="shared" si="98"/>
        <v>RAZIMAH ANSAR AHMAD</v>
      </c>
      <c r="Y218" t="str">
        <f t="shared" si="99"/>
        <v>04-08-2020</v>
      </c>
      <c r="Z218" t="str">
        <f>"IDSB19200804 434"</f>
        <v>IDSB19200804 434</v>
      </c>
    </row>
    <row r="219" spans="1:26" x14ac:dyDescent="0.25">
      <c r="A219" t="str">
        <f t="shared" si="104"/>
        <v>04-08-2020 01:21:36</v>
      </c>
      <c r="B219" t="str">
        <f>"0000810746"</f>
        <v>0000810746</v>
      </c>
      <c r="C219" t="str">
        <f t="shared" si="105"/>
        <v>0000810713</v>
      </c>
      <c r="D219" t="str">
        <f t="shared" si="85"/>
        <v>73185</v>
      </c>
      <c r="E219" t="str">
        <f t="shared" si="86"/>
        <v>KFH-OPERATIONS DEPARTMENT</v>
      </c>
      <c r="F219" t="str">
        <f t="shared" si="87"/>
        <v>IBG</v>
      </c>
      <c r="G219" t="str">
        <f t="shared" si="106"/>
        <v>Refund IDSB 19</v>
      </c>
      <c r="H219" s="2">
        <v>342</v>
      </c>
      <c r="I219" t="str">
        <f>"BALKHIS BINTI BASHURI"</f>
        <v>BALKHIS BINTI BASHURI</v>
      </c>
      <c r="J219" t="str">
        <f>"PUBLIC BANK / PUBLIC ISLAMIC BANK"</f>
        <v>PUBLIC BANK / PUBLIC ISLAMIC BANK</v>
      </c>
      <c r="K219" t="str">
        <f>"4787107020"</f>
        <v>4787107020</v>
      </c>
      <c r="L219" t="str">
        <f t="shared" si="102"/>
        <v>04-08-2020</v>
      </c>
      <c r="M219" t="str">
        <f t="shared" si="102"/>
        <v>04-08-2020</v>
      </c>
      <c r="N219" t="str">
        <f t="shared" si="90"/>
        <v>001105018356</v>
      </c>
      <c r="O219" t="str">
        <f t="shared" si="91"/>
        <v>MYR</v>
      </c>
      <c r="P219" t="str">
        <f t="shared" si="103"/>
        <v>NIL</v>
      </c>
      <c r="Q219" t="str">
        <f t="shared" si="103"/>
        <v>NIL</v>
      </c>
      <c r="R219" t="str">
        <f t="shared" si="92"/>
        <v>Accepted</v>
      </c>
      <c r="S219" t="str">
        <f t="shared" si="93"/>
        <v>Approved</v>
      </c>
      <c r="T219" t="str">
        <f t="shared" si="94"/>
        <v>10.20.8.188</v>
      </c>
      <c r="U219" t="str">
        <f t="shared" si="95"/>
        <v>AZRAD UMAR BIN SHAARI</v>
      </c>
      <c r="V219" t="str">
        <f t="shared" si="96"/>
        <v>FARHANA BINTI MUSTAPA</v>
      </c>
      <c r="W219" t="str">
        <f t="shared" si="97"/>
        <v>04-08-2020</v>
      </c>
      <c r="X219" t="str">
        <f t="shared" si="98"/>
        <v>RAZIMAH ANSAR AHMAD</v>
      </c>
      <c r="Y219" t="str">
        <f t="shared" si="99"/>
        <v>04-08-2020</v>
      </c>
      <c r="Z219" t="str">
        <f>"IDSB19200804 433"</f>
        <v>IDSB19200804 433</v>
      </c>
    </row>
    <row r="220" spans="1:26" x14ac:dyDescent="0.25">
      <c r="A220" t="str">
        <f t="shared" si="104"/>
        <v>04-08-2020 01:21:36</v>
      </c>
      <c r="B220" t="str">
        <f>"0000810745"</f>
        <v>0000810745</v>
      </c>
      <c r="C220" t="str">
        <f t="shared" si="105"/>
        <v>0000810713</v>
      </c>
      <c r="D220" t="str">
        <f t="shared" si="85"/>
        <v>73185</v>
      </c>
      <c r="E220" t="str">
        <f t="shared" si="86"/>
        <v>KFH-OPERATIONS DEPARTMENT</v>
      </c>
      <c r="F220" t="str">
        <f t="shared" si="87"/>
        <v>IBG</v>
      </c>
      <c r="G220" t="str">
        <f t="shared" si="106"/>
        <v>Refund IDSB 19</v>
      </c>
      <c r="H220" s="2">
        <v>184.7</v>
      </c>
      <c r="I220" t="str">
        <f>"ZURIANA BINTI ZAKARIA"</f>
        <v>ZURIANA BINTI ZAKARIA</v>
      </c>
      <c r="J220" t="str">
        <f>"PUBLIC BANK / PUBLIC ISLAMIC BANK"</f>
        <v>PUBLIC BANK / PUBLIC ISLAMIC BANK</v>
      </c>
      <c r="K220" t="str">
        <f>"4464723829"</f>
        <v>4464723829</v>
      </c>
      <c r="L220" t="str">
        <f t="shared" si="102"/>
        <v>04-08-2020</v>
      </c>
      <c r="M220" t="str">
        <f t="shared" si="102"/>
        <v>04-08-2020</v>
      </c>
      <c r="N220" t="str">
        <f t="shared" si="90"/>
        <v>001105018356</v>
      </c>
      <c r="O220" t="str">
        <f t="shared" si="91"/>
        <v>MYR</v>
      </c>
      <c r="P220" t="str">
        <f t="shared" si="103"/>
        <v>NIL</v>
      </c>
      <c r="Q220" t="str">
        <f t="shared" si="103"/>
        <v>NIL</v>
      </c>
      <c r="R220" t="str">
        <f t="shared" si="92"/>
        <v>Accepted</v>
      </c>
      <c r="S220" t="str">
        <f t="shared" si="93"/>
        <v>Approved</v>
      </c>
      <c r="T220" t="str">
        <f t="shared" si="94"/>
        <v>10.20.8.188</v>
      </c>
      <c r="U220" t="str">
        <f t="shared" si="95"/>
        <v>AZRAD UMAR BIN SHAARI</v>
      </c>
      <c r="V220" t="str">
        <f t="shared" si="96"/>
        <v>FARHANA BINTI MUSTAPA</v>
      </c>
      <c r="W220" t="str">
        <f t="shared" si="97"/>
        <v>04-08-2020</v>
      </c>
      <c r="X220" t="str">
        <f t="shared" si="98"/>
        <v>RAZIMAH ANSAR AHMAD</v>
      </c>
      <c r="Y220" t="str">
        <f t="shared" si="99"/>
        <v>04-08-2020</v>
      </c>
      <c r="Z220" t="str">
        <f>"IDSB19200804 432"</f>
        <v>IDSB19200804 432</v>
      </c>
    </row>
    <row r="221" spans="1:26" x14ac:dyDescent="0.25">
      <c r="A221" t="str">
        <f t="shared" si="104"/>
        <v>04-08-2020 01:21:36</v>
      </c>
      <c r="B221" t="str">
        <f>"0000810744"</f>
        <v>0000810744</v>
      </c>
      <c r="C221" t="str">
        <f t="shared" si="105"/>
        <v>0000810713</v>
      </c>
      <c r="D221" t="str">
        <f t="shared" si="85"/>
        <v>73185</v>
      </c>
      <c r="E221" t="str">
        <f t="shared" si="86"/>
        <v>KFH-OPERATIONS DEPARTMENT</v>
      </c>
      <c r="F221" t="str">
        <f t="shared" si="87"/>
        <v>IBG</v>
      </c>
      <c r="G221" t="str">
        <f t="shared" si="106"/>
        <v>Refund IDSB 19</v>
      </c>
      <c r="H221" s="2">
        <v>167.83</v>
      </c>
      <c r="I221" t="str">
        <f>"THEVINI AP RAGANDRAN"</f>
        <v>THEVINI AP RAGANDRAN</v>
      </c>
      <c r="J221" t="str">
        <f>"PUBLIC BANK / PUBLIC ISLAMIC BANK"</f>
        <v>PUBLIC BANK / PUBLIC ISLAMIC BANK</v>
      </c>
      <c r="K221" t="str">
        <f>"4512209715"</f>
        <v>4512209715</v>
      </c>
      <c r="L221" t="str">
        <f t="shared" si="102"/>
        <v>04-08-2020</v>
      </c>
      <c r="M221" t="str">
        <f t="shared" si="102"/>
        <v>04-08-2020</v>
      </c>
      <c r="N221" t="str">
        <f t="shared" si="90"/>
        <v>001105018356</v>
      </c>
      <c r="O221" t="str">
        <f t="shared" si="91"/>
        <v>MYR</v>
      </c>
      <c r="P221" t="str">
        <f t="shared" si="103"/>
        <v>NIL</v>
      </c>
      <c r="Q221" t="str">
        <f t="shared" si="103"/>
        <v>NIL</v>
      </c>
      <c r="R221" t="str">
        <f t="shared" si="92"/>
        <v>Accepted</v>
      </c>
      <c r="S221" t="str">
        <f t="shared" si="93"/>
        <v>Approved</v>
      </c>
      <c r="T221" t="str">
        <f t="shared" si="94"/>
        <v>10.20.8.188</v>
      </c>
      <c r="U221" t="str">
        <f t="shared" si="95"/>
        <v>AZRAD UMAR BIN SHAARI</v>
      </c>
      <c r="V221" t="str">
        <f t="shared" si="96"/>
        <v>FARHANA BINTI MUSTAPA</v>
      </c>
      <c r="W221" t="str">
        <f t="shared" si="97"/>
        <v>04-08-2020</v>
      </c>
      <c r="X221" t="str">
        <f t="shared" si="98"/>
        <v>RAZIMAH ANSAR AHMAD</v>
      </c>
      <c r="Y221" t="str">
        <f t="shared" si="99"/>
        <v>04-08-2020</v>
      </c>
      <c r="Z221" t="str">
        <f>"IDSB19200804 431"</f>
        <v>IDSB19200804 431</v>
      </c>
    </row>
    <row r="222" spans="1:26" x14ac:dyDescent="0.25">
      <c r="A222" t="str">
        <f t="shared" si="104"/>
        <v>04-08-2020 01:21:36</v>
      </c>
      <c r="B222" t="str">
        <f>"0000810743"</f>
        <v>0000810743</v>
      </c>
      <c r="C222" t="str">
        <f t="shared" si="105"/>
        <v>0000810713</v>
      </c>
      <c r="D222" t="str">
        <f t="shared" si="85"/>
        <v>73185</v>
      </c>
      <c r="E222" t="str">
        <f t="shared" si="86"/>
        <v>KFH-OPERATIONS DEPARTMENT</v>
      </c>
      <c r="F222" t="str">
        <f t="shared" si="87"/>
        <v>IBG</v>
      </c>
      <c r="G222" t="str">
        <f t="shared" si="106"/>
        <v>Refund IDSB 19</v>
      </c>
      <c r="H222" s="2">
        <v>76</v>
      </c>
      <c r="I222" t="str">
        <f>"MASLINDA BINTI ADAM"</f>
        <v>MASLINDA BINTI ADAM</v>
      </c>
      <c r="J222" t="str">
        <f>"PUBLIC BANK / PUBLIC ISLAMIC BANK"</f>
        <v>PUBLIC BANK / PUBLIC ISLAMIC BANK</v>
      </c>
      <c r="K222" t="str">
        <f>"4710765118"</f>
        <v>4710765118</v>
      </c>
      <c r="L222" t="str">
        <f t="shared" si="102"/>
        <v>04-08-2020</v>
      </c>
      <c r="M222" t="str">
        <f t="shared" si="102"/>
        <v>04-08-2020</v>
      </c>
      <c r="N222" t="str">
        <f t="shared" si="90"/>
        <v>001105018356</v>
      </c>
      <c r="O222" t="str">
        <f t="shared" si="91"/>
        <v>MYR</v>
      </c>
      <c r="P222" t="str">
        <f t="shared" si="103"/>
        <v>NIL</v>
      </c>
      <c r="Q222" t="str">
        <f t="shared" si="103"/>
        <v>NIL</v>
      </c>
      <c r="R222" t="str">
        <f t="shared" si="92"/>
        <v>Accepted</v>
      </c>
      <c r="S222" t="str">
        <f t="shared" si="93"/>
        <v>Approved</v>
      </c>
      <c r="T222" t="str">
        <f t="shared" si="94"/>
        <v>10.20.8.188</v>
      </c>
      <c r="U222" t="str">
        <f t="shared" si="95"/>
        <v>AZRAD UMAR BIN SHAARI</v>
      </c>
      <c r="V222" t="str">
        <f t="shared" si="96"/>
        <v>FARHANA BINTI MUSTAPA</v>
      </c>
      <c r="W222" t="str">
        <f t="shared" si="97"/>
        <v>04-08-2020</v>
      </c>
      <c r="X222" t="str">
        <f t="shared" si="98"/>
        <v>RAZIMAH ANSAR AHMAD</v>
      </c>
      <c r="Y222" t="str">
        <f t="shared" si="99"/>
        <v>04-08-2020</v>
      </c>
      <c r="Z222" t="str">
        <f>"IDSB19200804 430"</f>
        <v>IDSB19200804 430</v>
      </c>
    </row>
    <row r="223" spans="1:26" x14ac:dyDescent="0.25">
      <c r="A223" t="str">
        <f t="shared" si="104"/>
        <v>04-08-2020 01:21:36</v>
      </c>
      <c r="B223" t="str">
        <f>"0000810742"</f>
        <v>0000810742</v>
      </c>
      <c r="C223" t="str">
        <f t="shared" si="105"/>
        <v>0000810713</v>
      </c>
      <c r="D223" t="str">
        <f t="shared" si="85"/>
        <v>73185</v>
      </c>
      <c r="E223" t="str">
        <f t="shared" si="86"/>
        <v>KFH-OPERATIONS DEPARTMENT</v>
      </c>
      <c r="F223" t="str">
        <f t="shared" si="87"/>
        <v>IBG</v>
      </c>
      <c r="G223" t="str">
        <f t="shared" si="106"/>
        <v>Refund IDSB 19</v>
      </c>
      <c r="H223" s="2">
        <v>137.94999999999999</v>
      </c>
      <c r="I223" t="str">
        <f>"AZMAN BIN MOHD YUSOH"</f>
        <v>AZMAN BIN MOHD YUSOH</v>
      </c>
      <c r="J223" t="str">
        <f>"PUBLIC BANK / PUBLIC ISLAMIC BANK"</f>
        <v>PUBLIC BANK / PUBLIC ISLAMIC BANK</v>
      </c>
      <c r="K223" t="str">
        <f>"4716894027"</f>
        <v>4716894027</v>
      </c>
      <c r="L223" t="str">
        <f t="shared" si="102"/>
        <v>04-08-2020</v>
      </c>
      <c r="M223" t="str">
        <f t="shared" si="102"/>
        <v>04-08-2020</v>
      </c>
      <c r="N223" t="str">
        <f t="shared" si="90"/>
        <v>001105018356</v>
      </c>
      <c r="O223" t="str">
        <f t="shared" si="91"/>
        <v>MYR</v>
      </c>
      <c r="P223" t="str">
        <f t="shared" si="103"/>
        <v>NIL</v>
      </c>
      <c r="Q223" t="str">
        <f t="shared" si="103"/>
        <v>NIL</v>
      </c>
      <c r="R223" t="str">
        <f t="shared" si="92"/>
        <v>Accepted</v>
      </c>
      <c r="S223" t="str">
        <f t="shared" si="93"/>
        <v>Approved</v>
      </c>
      <c r="T223" t="str">
        <f t="shared" si="94"/>
        <v>10.20.8.188</v>
      </c>
      <c r="U223" t="str">
        <f t="shared" si="95"/>
        <v>AZRAD UMAR BIN SHAARI</v>
      </c>
      <c r="V223" t="str">
        <f t="shared" si="96"/>
        <v>FARHANA BINTI MUSTAPA</v>
      </c>
      <c r="W223" t="str">
        <f t="shared" si="97"/>
        <v>04-08-2020</v>
      </c>
      <c r="X223" t="str">
        <f t="shared" si="98"/>
        <v>RAZIMAH ANSAR AHMAD</v>
      </c>
      <c r="Y223" t="str">
        <f t="shared" si="99"/>
        <v>04-08-2020</v>
      </c>
      <c r="Z223" t="str">
        <f>"IDSB19200804 429"</f>
        <v>IDSB19200804 429</v>
      </c>
    </row>
    <row r="224" spans="1:26" x14ac:dyDescent="0.25">
      <c r="A224" t="str">
        <f t="shared" si="104"/>
        <v>04-08-2020 01:21:36</v>
      </c>
      <c r="B224" t="str">
        <f>"0000810741"</f>
        <v>0000810741</v>
      </c>
      <c r="C224" t="str">
        <f t="shared" si="105"/>
        <v>0000810713</v>
      </c>
      <c r="D224" t="str">
        <f t="shared" si="85"/>
        <v>73185</v>
      </c>
      <c r="E224" t="str">
        <f t="shared" si="86"/>
        <v>KFH-OPERATIONS DEPARTMENT</v>
      </c>
      <c r="F224" t="str">
        <f t="shared" si="87"/>
        <v>IBG</v>
      </c>
      <c r="G224" t="str">
        <f t="shared" si="106"/>
        <v>Refund IDSB 19</v>
      </c>
      <c r="H224" s="2">
        <v>1342.66</v>
      </c>
      <c r="I224" t="str">
        <f>"ZURAIDAH BINTI ABU KASIM"</f>
        <v>ZURAIDAH BINTI ABU KASIM</v>
      </c>
      <c r="J224" t="str">
        <f t="shared" ref="J224:J287" si="107">"MAYBANK / MAYBANK ISLAMIC"</f>
        <v>MAYBANK / MAYBANK ISLAMIC</v>
      </c>
      <c r="K224" t="str">
        <f>"155050005747"</f>
        <v>155050005747</v>
      </c>
      <c r="L224" t="str">
        <f t="shared" si="102"/>
        <v>04-08-2020</v>
      </c>
      <c r="M224" t="str">
        <f t="shared" si="102"/>
        <v>04-08-2020</v>
      </c>
      <c r="N224" t="str">
        <f t="shared" si="90"/>
        <v>001105018356</v>
      </c>
      <c r="O224" t="str">
        <f t="shared" si="91"/>
        <v>MYR</v>
      </c>
      <c r="P224" t="str">
        <f t="shared" si="103"/>
        <v>NIL</v>
      </c>
      <c r="Q224" t="str">
        <f t="shared" si="103"/>
        <v>NIL</v>
      </c>
      <c r="R224" t="str">
        <f t="shared" si="92"/>
        <v>Accepted</v>
      </c>
      <c r="S224" t="str">
        <f t="shared" si="93"/>
        <v>Approved</v>
      </c>
      <c r="T224" t="str">
        <f t="shared" si="94"/>
        <v>10.20.8.188</v>
      </c>
      <c r="U224" t="str">
        <f t="shared" si="95"/>
        <v>AZRAD UMAR BIN SHAARI</v>
      </c>
      <c r="V224" t="str">
        <f t="shared" si="96"/>
        <v>FARHANA BINTI MUSTAPA</v>
      </c>
      <c r="W224" t="str">
        <f t="shared" si="97"/>
        <v>04-08-2020</v>
      </c>
      <c r="X224" t="str">
        <f t="shared" si="98"/>
        <v>RAZIMAH ANSAR AHMAD</v>
      </c>
      <c r="Y224" t="str">
        <f t="shared" si="99"/>
        <v>04-08-2020</v>
      </c>
      <c r="Z224" t="str">
        <f>"IDSB19200804 428"</f>
        <v>IDSB19200804 428</v>
      </c>
    </row>
    <row r="225" spans="1:26" x14ac:dyDescent="0.25">
      <c r="A225" t="str">
        <f t="shared" si="104"/>
        <v>04-08-2020 01:21:36</v>
      </c>
      <c r="B225" t="str">
        <f>"0000810740"</f>
        <v>0000810740</v>
      </c>
      <c r="C225" t="str">
        <f t="shared" si="105"/>
        <v>0000810713</v>
      </c>
      <c r="D225" t="str">
        <f t="shared" si="85"/>
        <v>73185</v>
      </c>
      <c r="E225" t="str">
        <f t="shared" si="86"/>
        <v>KFH-OPERATIONS DEPARTMENT</v>
      </c>
      <c r="F225" t="str">
        <f t="shared" si="87"/>
        <v>IBG</v>
      </c>
      <c r="G225" t="str">
        <f t="shared" si="106"/>
        <v>Refund IDSB 19</v>
      </c>
      <c r="H225" s="2">
        <v>1102</v>
      </c>
      <c r="I225" t="str">
        <f>"ZULRUSHDI BIN ISMAIL"</f>
        <v>ZULRUSHDI BIN ISMAIL</v>
      </c>
      <c r="J225" t="str">
        <f t="shared" si="107"/>
        <v>MAYBANK / MAYBANK ISLAMIC</v>
      </c>
      <c r="K225" t="str">
        <f>"108083307944"</f>
        <v>108083307944</v>
      </c>
      <c r="L225" t="str">
        <f t="shared" si="102"/>
        <v>04-08-2020</v>
      </c>
      <c r="M225" t="str">
        <f t="shared" si="102"/>
        <v>04-08-2020</v>
      </c>
      <c r="N225" t="str">
        <f t="shared" si="90"/>
        <v>001105018356</v>
      </c>
      <c r="O225" t="str">
        <f t="shared" si="91"/>
        <v>MYR</v>
      </c>
      <c r="P225" t="str">
        <f t="shared" si="103"/>
        <v>NIL</v>
      </c>
      <c r="Q225" t="str">
        <f t="shared" si="103"/>
        <v>NIL</v>
      </c>
      <c r="R225" t="str">
        <f t="shared" si="92"/>
        <v>Accepted</v>
      </c>
      <c r="S225" t="str">
        <f t="shared" si="93"/>
        <v>Approved</v>
      </c>
      <c r="T225" t="str">
        <f t="shared" si="94"/>
        <v>10.20.8.188</v>
      </c>
      <c r="U225" t="str">
        <f t="shared" si="95"/>
        <v>AZRAD UMAR BIN SHAARI</v>
      </c>
      <c r="V225" t="str">
        <f t="shared" si="96"/>
        <v>FARHANA BINTI MUSTAPA</v>
      </c>
      <c r="W225" t="str">
        <f t="shared" si="97"/>
        <v>04-08-2020</v>
      </c>
      <c r="X225" t="str">
        <f t="shared" si="98"/>
        <v>RAZIMAH ANSAR AHMAD</v>
      </c>
      <c r="Y225" t="str">
        <f t="shared" si="99"/>
        <v>04-08-2020</v>
      </c>
      <c r="Z225" t="str">
        <f>"IDSB19200804 427"</f>
        <v>IDSB19200804 427</v>
      </c>
    </row>
    <row r="226" spans="1:26" x14ac:dyDescent="0.25">
      <c r="A226" t="str">
        <f t="shared" si="104"/>
        <v>04-08-2020 01:21:36</v>
      </c>
      <c r="B226" t="str">
        <f>"0000810739"</f>
        <v>0000810739</v>
      </c>
      <c r="C226" t="str">
        <f t="shared" si="105"/>
        <v>0000810713</v>
      </c>
      <c r="D226" t="str">
        <f t="shared" si="85"/>
        <v>73185</v>
      </c>
      <c r="E226" t="str">
        <f t="shared" si="86"/>
        <v>KFH-OPERATIONS DEPARTMENT</v>
      </c>
      <c r="F226" t="str">
        <f t="shared" si="87"/>
        <v>IBG</v>
      </c>
      <c r="G226" t="str">
        <f t="shared" si="106"/>
        <v>Refund IDSB 19</v>
      </c>
      <c r="H226" s="2">
        <v>1620</v>
      </c>
      <c r="I226" t="str">
        <f>"ZALINAH BINTI SALEHON"</f>
        <v>ZALINAH BINTI SALEHON</v>
      </c>
      <c r="J226" t="str">
        <f t="shared" si="107"/>
        <v>MAYBANK / MAYBANK ISLAMIC</v>
      </c>
      <c r="K226" t="str">
        <f>"151584075921"</f>
        <v>151584075921</v>
      </c>
      <c r="L226" t="str">
        <f t="shared" si="102"/>
        <v>04-08-2020</v>
      </c>
      <c r="M226" t="str">
        <f t="shared" si="102"/>
        <v>04-08-2020</v>
      </c>
      <c r="N226" t="str">
        <f t="shared" si="90"/>
        <v>001105018356</v>
      </c>
      <c r="O226" t="str">
        <f t="shared" si="91"/>
        <v>MYR</v>
      </c>
      <c r="P226" t="str">
        <f t="shared" si="103"/>
        <v>NIL</v>
      </c>
      <c r="Q226" t="str">
        <f t="shared" si="103"/>
        <v>NIL</v>
      </c>
      <c r="R226" t="str">
        <f t="shared" si="92"/>
        <v>Accepted</v>
      </c>
      <c r="S226" t="str">
        <f t="shared" si="93"/>
        <v>Approved</v>
      </c>
      <c r="T226" t="str">
        <f t="shared" si="94"/>
        <v>10.20.8.188</v>
      </c>
      <c r="U226" t="str">
        <f t="shared" si="95"/>
        <v>AZRAD UMAR BIN SHAARI</v>
      </c>
      <c r="V226" t="str">
        <f t="shared" si="96"/>
        <v>FARHANA BINTI MUSTAPA</v>
      </c>
      <c r="W226" t="str">
        <f t="shared" si="97"/>
        <v>04-08-2020</v>
      </c>
      <c r="X226" t="str">
        <f t="shared" si="98"/>
        <v>RAZIMAH ANSAR AHMAD</v>
      </c>
      <c r="Y226" t="str">
        <f t="shared" si="99"/>
        <v>04-08-2020</v>
      </c>
      <c r="Z226" t="str">
        <f>"IDSB19200804 426"</f>
        <v>IDSB19200804 426</v>
      </c>
    </row>
    <row r="227" spans="1:26" x14ac:dyDescent="0.25">
      <c r="A227" t="str">
        <f t="shared" si="104"/>
        <v>04-08-2020 01:21:36</v>
      </c>
      <c r="B227" t="str">
        <f>"0000810738"</f>
        <v>0000810738</v>
      </c>
      <c r="C227" t="str">
        <f t="shared" si="105"/>
        <v>0000810713</v>
      </c>
      <c r="D227" t="str">
        <f t="shared" si="85"/>
        <v>73185</v>
      </c>
      <c r="E227" t="str">
        <f t="shared" si="86"/>
        <v>KFH-OPERATIONS DEPARTMENT</v>
      </c>
      <c r="F227" t="str">
        <f t="shared" si="87"/>
        <v>IBG</v>
      </c>
      <c r="G227" t="str">
        <f t="shared" si="106"/>
        <v>Refund IDSB 19</v>
      </c>
      <c r="H227" s="2">
        <v>596.04999999999995</v>
      </c>
      <c r="I227" t="str">
        <f>"ZAITON BINTI ABDULLAH"</f>
        <v>ZAITON BINTI ABDULLAH</v>
      </c>
      <c r="J227" t="str">
        <f t="shared" si="107"/>
        <v>MAYBANK / MAYBANK ISLAMIC</v>
      </c>
      <c r="K227" t="str">
        <f>"163037050762"</f>
        <v>163037050762</v>
      </c>
      <c r="L227" t="str">
        <f t="shared" ref="L227:M246" si="108">"04-08-2020"</f>
        <v>04-08-2020</v>
      </c>
      <c r="M227" t="str">
        <f t="shared" si="108"/>
        <v>04-08-2020</v>
      </c>
      <c r="N227" t="str">
        <f t="shared" si="90"/>
        <v>001105018356</v>
      </c>
      <c r="O227" t="str">
        <f t="shared" si="91"/>
        <v>MYR</v>
      </c>
      <c r="P227" t="str">
        <f t="shared" ref="P227:Q246" si="109">"NIL"</f>
        <v>NIL</v>
      </c>
      <c r="Q227" t="str">
        <f t="shared" si="109"/>
        <v>NIL</v>
      </c>
      <c r="R227" t="str">
        <f t="shared" si="92"/>
        <v>Accepted</v>
      </c>
      <c r="S227" t="str">
        <f t="shared" si="93"/>
        <v>Approved</v>
      </c>
      <c r="T227" t="str">
        <f t="shared" si="94"/>
        <v>10.20.8.188</v>
      </c>
      <c r="U227" t="str">
        <f t="shared" si="95"/>
        <v>AZRAD UMAR BIN SHAARI</v>
      </c>
      <c r="V227" t="str">
        <f t="shared" si="96"/>
        <v>FARHANA BINTI MUSTAPA</v>
      </c>
      <c r="W227" t="str">
        <f t="shared" si="97"/>
        <v>04-08-2020</v>
      </c>
      <c r="X227" t="str">
        <f t="shared" si="98"/>
        <v>RAZIMAH ANSAR AHMAD</v>
      </c>
      <c r="Y227" t="str">
        <f t="shared" si="99"/>
        <v>04-08-2020</v>
      </c>
      <c r="Z227" t="str">
        <f>"IDSB19200804 425"</f>
        <v>IDSB19200804 425</v>
      </c>
    </row>
    <row r="228" spans="1:26" x14ac:dyDescent="0.25">
      <c r="A228" t="str">
        <f t="shared" si="104"/>
        <v>04-08-2020 01:21:36</v>
      </c>
      <c r="B228" t="str">
        <f>"0000810737"</f>
        <v>0000810737</v>
      </c>
      <c r="C228" t="str">
        <f t="shared" si="105"/>
        <v>0000810713</v>
      </c>
      <c r="D228" t="str">
        <f t="shared" si="85"/>
        <v>73185</v>
      </c>
      <c r="E228" t="str">
        <f t="shared" si="86"/>
        <v>KFH-OPERATIONS DEPARTMENT</v>
      </c>
      <c r="F228" t="str">
        <f t="shared" si="87"/>
        <v>IBG</v>
      </c>
      <c r="G228" t="str">
        <f t="shared" si="106"/>
        <v>Refund IDSB 19</v>
      </c>
      <c r="H228" s="2">
        <v>157.13</v>
      </c>
      <c r="I228" t="str">
        <f>"ZAIRUL AIZAM BIN ABD RAHMAN"</f>
        <v>ZAIRUL AIZAM BIN ABD RAHMAN</v>
      </c>
      <c r="J228" t="str">
        <f t="shared" si="107"/>
        <v>MAYBANK / MAYBANK ISLAMIC</v>
      </c>
      <c r="K228" t="str">
        <f>"101011408544"</f>
        <v>101011408544</v>
      </c>
      <c r="L228" t="str">
        <f t="shared" si="108"/>
        <v>04-08-2020</v>
      </c>
      <c r="M228" t="str">
        <f t="shared" si="108"/>
        <v>04-08-2020</v>
      </c>
      <c r="N228" t="str">
        <f t="shared" si="90"/>
        <v>001105018356</v>
      </c>
      <c r="O228" t="str">
        <f t="shared" si="91"/>
        <v>MYR</v>
      </c>
      <c r="P228" t="str">
        <f t="shared" si="109"/>
        <v>NIL</v>
      </c>
      <c r="Q228" t="str">
        <f t="shared" si="109"/>
        <v>NIL</v>
      </c>
      <c r="R228" t="str">
        <f t="shared" si="92"/>
        <v>Accepted</v>
      </c>
      <c r="S228" t="str">
        <f t="shared" si="93"/>
        <v>Approved</v>
      </c>
      <c r="T228" t="str">
        <f t="shared" si="94"/>
        <v>10.20.8.188</v>
      </c>
      <c r="U228" t="str">
        <f t="shared" si="95"/>
        <v>AZRAD UMAR BIN SHAARI</v>
      </c>
      <c r="V228" t="str">
        <f t="shared" si="96"/>
        <v>FARHANA BINTI MUSTAPA</v>
      </c>
      <c r="W228" t="str">
        <f t="shared" si="97"/>
        <v>04-08-2020</v>
      </c>
      <c r="X228" t="str">
        <f t="shared" si="98"/>
        <v>RAZIMAH ANSAR AHMAD</v>
      </c>
      <c r="Y228" t="str">
        <f t="shared" si="99"/>
        <v>04-08-2020</v>
      </c>
      <c r="Z228" t="str">
        <f>"IDSB19200804 424"</f>
        <v>IDSB19200804 424</v>
      </c>
    </row>
    <row r="229" spans="1:26" x14ac:dyDescent="0.25">
      <c r="A229" t="str">
        <f t="shared" si="104"/>
        <v>04-08-2020 01:21:36</v>
      </c>
      <c r="B229" t="str">
        <f>"0000810736"</f>
        <v>0000810736</v>
      </c>
      <c r="C229" t="str">
        <f t="shared" si="105"/>
        <v>0000810713</v>
      </c>
      <c r="D229" t="str">
        <f t="shared" si="85"/>
        <v>73185</v>
      </c>
      <c r="E229" t="str">
        <f t="shared" si="86"/>
        <v>KFH-OPERATIONS DEPARTMENT</v>
      </c>
      <c r="F229" t="str">
        <f t="shared" si="87"/>
        <v>IBG</v>
      </c>
      <c r="G229" t="str">
        <f t="shared" si="106"/>
        <v>Refund IDSB 19</v>
      </c>
      <c r="H229" s="2">
        <v>294.58</v>
      </c>
      <c r="I229" t="str">
        <f>"WIRDAHANI BINTI MOHD NOR"</f>
        <v>WIRDAHANI BINTI MOHD NOR</v>
      </c>
      <c r="J229" t="str">
        <f t="shared" si="107"/>
        <v>MAYBANK / MAYBANK ISLAMIC</v>
      </c>
      <c r="K229" t="str">
        <f>"163019448102"</f>
        <v>163019448102</v>
      </c>
      <c r="L229" t="str">
        <f t="shared" si="108"/>
        <v>04-08-2020</v>
      </c>
      <c r="M229" t="str">
        <f t="shared" si="108"/>
        <v>04-08-2020</v>
      </c>
      <c r="N229" t="str">
        <f t="shared" si="90"/>
        <v>001105018356</v>
      </c>
      <c r="O229" t="str">
        <f t="shared" si="91"/>
        <v>MYR</v>
      </c>
      <c r="P229" t="str">
        <f t="shared" si="109"/>
        <v>NIL</v>
      </c>
      <c r="Q229" t="str">
        <f t="shared" si="109"/>
        <v>NIL</v>
      </c>
      <c r="R229" t="str">
        <f t="shared" si="92"/>
        <v>Accepted</v>
      </c>
      <c r="S229" t="str">
        <f t="shared" si="93"/>
        <v>Approved</v>
      </c>
      <c r="T229" t="str">
        <f t="shared" si="94"/>
        <v>10.20.8.188</v>
      </c>
      <c r="U229" t="str">
        <f t="shared" si="95"/>
        <v>AZRAD UMAR BIN SHAARI</v>
      </c>
      <c r="V229" t="str">
        <f t="shared" si="96"/>
        <v>FARHANA BINTI MUSTAPA</v>
      </c>
      <c r="W229" t="str">
        <f t="shared" si="97"/>
        <v>04-08-2020</v>
      </c>
      <c r="X229" t="str">
        <f t="shared" si="98"/>
        <v>RAZIMAH ANSAR AHMAD</v>
      </c>
      <c r="Y229" t="str">
        <f t="shared" si="99"/>
        <v>04-08-2020</v>
      </c>
      <c r="Z229" t="str">
        <f>"IDSB19200804 423"</f>
        <v>IDSB19200804 423</v>
      </c>
    </row>
    <row r="230" spans="1:26" x14ac:dyDescent="0.25">
      <c r="A230" t="str">
        <f t="shared" si="104"/>
        <v>04-08-2020 01:21:36</v>
      </c>
      <c r="B230" t="str">
        <f>"0000810735"</f>
        <v>0000810735</v>
      </c>
      <c r="C230" t="str">
        <f t="shared" si="105"/>
        <v>0000810713</v>
      </c>
      <c r="D230" t="str">
        <f t="shared" si="85"/>
        <v>73185</v>
      </c>
      <c r="E230" t="str">
        <f t="shared" si="86"/>
        <v>KFH-OPERATIONS DEPARTMENT</v>
      </c>
      <c r="F230" t="str">
        <f t="shared" si="87"/>
        <v>IBG</v>
      </c>
      <c r="G230" t="str">
        <f t="shared" si="106"/>
        <v>Refund IDSB 19</v>
      </c>
      <c r="H230" s="2">
        <v>83.92</v>
      </c>
      <c r="I230" t="str">
        <f>"WAN MOHAMMAD AZAM BIN WAN CHIK"</f>
        <v>WAN MOHAMMAD AZAM BIN WAN CHIK</v>
      </c>
      <c r="J230" t="str">
        <f t="shared" si="107"/>
        <v>MAYBANK / MAYBANK ISLAMIC</v>
      </c>
      <c r="K230" t="str">
        <f>"153010969615"</f>
        <v>153010969615</v>
      </c>
      <c r="L230" t="str">
        <f t="shared" si="108"/>
        <v>04-08-2020</v>
      </c>
      <c r="M230" t="str">
        <f t="shared" si="108"/>
        <v>04-08-2020</v>
      </c>
      <c r="N230" t="str">
        <f t="shared" si="90"/>
        <v>001105018356</v>
      </c>
      <c r="O230" t="str">
        <f t="shared" si="91"/>
        <v>MYR</v>
      </c>
      <c r="P230" t="str">
        <f t="shared" si="109"/>
        <v>NIL</v>
      </c>
      <c r="Q230" t="str">
        <f t="shared" si="109"/>
        <v>NIL</v>
      </c>
      <c r="R230" t="str">
        <f t="shared" si="92"/>
        <v>Accepted</v>
      </c>
      <c r="S230" t="str">
        <f t="shared" si="93"/>
        <v>Approved</v>
      </c>
      <c r="T230" t="str">
        <f t="shared" si="94"/>
        <v>10.20.8.188</v>
      </c>
      <c r="U230" t="str">
        <f t="shared" si="95"/>
        <v>AZRAD UMAR BIN SHAARI</v>
      </c>
      <c r="V230" t="str">
        <f t="shared" si="96"/>
        <v>FARHANA BINTI MUSTAPA</v>
      </c>
      <c r="W230" t="str">
        <f t="shared" si="97"/>
        <v>04-08-2020</v>
      </c>
      <c r="X230" t="str">
        <f t="shared" si="98"/>
        <v>RAZIMAH ANSAR AHMAD</v>
      </c>
      <c r="Y230" t="str">
        <f t="shared" si="99"/>
        <v>04-08-2020</v>
      </c>
      <c r="Z230" t="str">
        <f>"IDSB19200804 422"</f>
        <v>IDSB19200804 422</v>
      </c>
    </row>
    <row r="231" spans="1:26" x14ac:dyDescent="0.25">
      <c r="A231" t="str">
        <f t="shared" si="104"/>
        <v>04-08-2020 01:21:36</v>
      </c>
      <c r="B231" t="str">
        <f>"0000810734"</f>
        <v>0000810734</v>
      </c>
      <c r="C231" t="str">
        <f t="shared" si="105"/>
        <v>0000810713</v>
      </c>
      <c r="D231" t="str">
        <f t="shared" si="85"/>
        <v>73185</v>
      </c>
      <c r="E231" t="str">
        <f t="shared" si="86"/>
        <v>KFH-OPERATIONS DEPARTMENT</v>
      </c>
      <c r="F231" t="str">
        <f t="shared" si="87"/>
        <v>IBG</v>
      </c>
      <c r="G231" t="str">
        <f t="shared" si="106"/>
        <v>Refund IDSB 19</v>
      </c>
      <c r="H231" s="2">
        <v>1974.11</v>
      </c>
      <c r="I231" t="str">
        <f>"WAN ASMAHAN BT WAN HUSSAIN"</f>
        <v>WAN ASMAHAN BT WAN HUSSAIN</v>
      </c>
      <c r="J231" t="str">
        <f t="shared" si="107"/>
        <v>MAYBANK / MAYBANK ISLAMIC</v>
      </c>
      <c r="K231" t="str">
        <f>"163046220735"</f>
        <v>163046220735</v>
      </c>
      <c r="L231" t="str">
        <f t="shared" si="108"/>
        <v>04-08-2020</v>
      </c>
      <c r="M231" t="str">
        <f t="shared" si="108"/>
        <v>04-08-2020</v>
      </c>
      <c r="N231" t="str">
        <f t="shared" si="90"/>
        <v>001105018356</v>
      </c>
      <c r="O231" t="str">
        <f t="shared" si="91"/>
        <v>MYR</v>
      </c>
      <c r="P231" t="str">
        <f t="shared" si="109"/>
        <v>NIL</v>
      </c>
      <c r="Q231" t="str">
        <f t="shared" si="109"/>
        <v>NIL</v>
      </c>
      <c r="R231" t="str">
        <f t="shared" si="92"/>
        <v>Accepted</v>
      </c>
      <c r="S231" t="str">
        <f t="shared" si="93"/>
        <v>Approved</v>
      </c>
      <c r="T231" t="str">
        <f t="shared" si="94"/>
        <v>10.20.8.188</v>
      </c>
      <c r="U231" t="str">
        <f t="shared" si="95"/>
        <v>AZRAD UMAR BIN SHAARI</v>
      </c>
      <c r="V231" t="str">
        <f t="shared" si="96"/>
        <v>FARHANA BINTI MUSTAPA</v>
      </c>
      <c r="W231" t="str">
        <f t="shared" si="97"/>
        <v>04-08-2020</v>
      </c>
      <c r="X231" t="str">
        <f t="shared" si="98"/>
        <v>RAZIMAH ANSAR AHMAD</v>
      </c>
      <c r="Y231" t="str">
        <f t="shared" si="99"/>
        <v>04-08-2020</v>
      </c>
      <c r="Z231" t="str">
        <f>"IDSB19200804 421"</f>
        <v>IDSB19200804 421</v>
      </c>
    </row>
    <row r="232" spans="1:26" x14ac:dyDescent="0.25">
      <c r="A232" t="str">
        <f t="shared" si="104"/>
        <v>04-08-2020 01:21:36</v>
      </c>
      <c r="B232" t="str">
        <f>"0000810733"</f>
        <v>0000810733</v>
      </c>
      <c r="C232" t="str">
        <f t="shared" si="105"/>
        <v>0000810713</v>
      </c>
      <c r="D232" t="str">
        <f t="shared" si="85"/>
        <v>73185</v>
      </c>
      <c r="E232" t="str">
        <f t="shared" si="86"/>
        <v>KFH-OPERATIONS DEPARTMENT</v>
      </c>
      <c r="F232" t="str">
        <f t="shared" si="87"/>
        <v>IBG</v>
      </c>
      <c r="G232" t="str">
        <f t="shared" si="106"/>
        <v>Refund IDSB 19</v>
      </c>
      <c r="H232" s="2">
        <v>542</v>
      </c>
      <c r="I232" t="str">
        <f>"WAN ASHBI  W MAHERAN BIN LEMAN"</f>
        <v>WAN ASHBI  W MAHERAN BIN LEMAN</v>
      </c>
      <c r="J232" t="str">
        <f t="shared" si="107"/>
        <v>MAYBANK / MAYBANK ISLAMIC</v>
      </c>
      <c r="K232" t="str">
        <f>"166010031124"</f>
        <v>166010031124</v>
      </c>
      <c r="L232" t="str">
        <f t="shared" si="108"/>
        <v>04-08-2020</v>
      </c>
      <c r="M232" t="str">
        <f t="shared" si="108"/>
        <v>04-08-2020</v>
      </c>
      <c r="N232" t="str">
        <f t="shared" si="90"/>
        <v>001105018356</v>
      </c>
      <c r="O232" t="str">
        <f t="shared" si="91"/>
        <v>MYR</v>
      </c>
      <c r="P232" t="str">
        <f t="shared" si="109"/>
        <v>NIL</v>
      </c>
      <c r="Q232" t="str">
        <f t="shared" si="109"/>
        <v>NIL</v>
      </c>
      <c r="R232" t="str">
        <f t="shared" si="92"/>
        <v>Accepted</v>
      </c>
      <c r="S232" t="str">
        <f t="shared" si="93"/>
        <v>Approved</v>
      </c>
      <c r="T232" t="str">
        <f t="shared" si="94"/>
        <v>10.20.8.188</v>
      </c>
      <c r="U232" t="str">
        <f t="shared" si="95"/>
        <v>AZRAD UMAR BIN SHAARI</v>
      </c>
      <c r="V232" t="str">
        <f t="shared" si="96"/>
        <v>FARHANA BINTI MUSTAPA</v>
      </c>
      <c r="W232" t="str">
        <f t="shared" si="97"/>
        <v>04-08-2020</v>
      </c>
      <c r="X232" t="str">
        <f t="shared" si="98"/>
        <v>RAZIMAH ANSAR AHMAD</v>
      </c>
      <c r="Y232" t="str">
        <f t="shared" si="99"/>
        <v>04-08-2020</v>
      </c>
      <c r="Z232" t="str">
        <f>"IDSB19200804 420"</f>
        <v>IDSB19200804 420</v>
      </c>
    </row>
    <row r="233" spans="1:26" x14ac:dyDescent="0.25">
      <c r="A233" t="str">
        <f t="shared" si="104"/>
        <v>04-08-2020 01:21:36</v>
      </c>
      <c r="B233" t="str">
        <f>"0000810732"</f>
        <v>0000810732</v>
      </c>
      <c r="C233" t="str">
        <f t="shared" si="105"/>
        <v>0000810713</v>
      </c>
      <c r="D233" t="str">
        <f t="shared" si="85"/>
        <v>73185</v>
      </c>
      <c r="E233" t="str">
        <f t="shared" si="86"/>
        <v>KFH-OPERATIONS DEPARTMENT</v>
      </c>
      <c r="F233" t="str">
        <f t="shared" si="87"/>
        <v>IBG</v>
      </c>
      <c r="G233" t="str">
        <f t="shared" si="106"/>
        <v>Refund IDSB 19</v>
      </c>
      <c r="H233" s="2">
        <v>67.17</v>
      </c>
      <c r="I233" t="str">
        <f>"SYARMIEZAH BINTI SA"</f>
        <v>SYARMIEZAH BINTI SA</v>
      </c>
      <c r="J233" t="str">
        <f t="shared" si="107"/>
        <v>MAYBANK / MAYBANK ISLAMIC</v>
      </c>
      <c r="K233" t="str">
        <f>"154044014790"</f>
        <v>154044014790</v>
      </c>
      <c r="L233" t="str">
        <f t="shared" si="108"/>
        <v>04-08-2020</v>
      </c>
      <c r="M233" t="str">
        <f t="shared" si="108"/>
        <v>04-08-2020</v>
      </c>
      <c r="N233" t="str">
        <f t="shared" si="90"/>
        <v>001105018356</v>
      </c>
      <c r="O233" t="str">
        <f t="shared" si="91"/>
        <v>MYR</v>
      </c>
      <c r="P233" t="str">
        <f t="shared" si="109"/>
        <v>NIL</v>
      </c>
      <c r="Q233" t="str">
        <f t="shared" si="109"/>
        <v>NIL</v>
      </c>
      <c r="R233" t="str">
        <f t="shared" si="92"/>
        <v>Accepted</v>
      </c>
      <c r="S233" t="str">
        <f t="shared" si="93"/>
        <v>Approved</v>
      </c>
      <c r="T233" t="str">
        <f t="shared" si="94"/>
        <v>10.20.8.188</v>
      </c>
      <c r="U233" t="str">
        <f t="shared" si="95"/>
        <v>AZRAD UMAR BIN SHAARI</v>
      </c>
      <c r="V233" t="str">
        <f t="shared" si="96"/>
        <v>FARHANA BINTI MUSTAPA</v>
      </c>
      <c r="W233" t="str">
        <f t="shared" si="97"/>
        <v>04-08-2020</v>
      </c>
      <c r="X233" t="str">
        <f t="shared" si="98"/>
        <v>RAZIMAH ANSAR AHMAD</v>
      </c>
      <c r="Y233" t="str">
        <f t="shared" si="99"/>
        <v>04-08-2020</v>
      </c>
      <c r="Z233" t="str">
        <f>"IDSB19200804 419"</f>
        <v>IDSB19200804 419</v>
      </c>
    </row>
    <row r="234" spans="1:26" x14ac:dyDescent="0.25">
      <c r="A234" t="str">
        <f t="shared" si="104"/>
        <v>04-08-2020 01:21:36</v>
      </c>
      <c r="B234" t="str">
        <f>"0000810731"</f>
        <v>0000810731</v>
      </c>
      <c r="C234" t="str">
        <f t="shared" si="105"/>
        <v>0000810713</v>
      </c>
      <c r="D234" t="str">
        <f t="shared" si="85"/>
        <v>73185</v>
      </c>
      <c r="E234" t="str">
        <f t="shared" si="86"/>
        <v>KFH-OPERATIONS DEPARTMENT</v>
      </c>
      <c r="F234" t="str">
        <f t="shared" si="87"/>
        <v>IBG</v>
      </c>
      <c r="G234" t="str">
        <f t="shared" si="106"/>
        <v>Refund IDSB 19</v>
      </c>
      <c r="H234" s="2">
        <v>102.35</v>
      </c>
      <c r="I234" t="str">
        <f>"SYAMSUDIN BIN BAH NGAH"</f>
        <v>SYAMSUDIN BIN BAH NGAH</v>
      </c>
      <c r="J234" t="str">
        <f t="shared" si="107"/>
        <v>MAYBANK / MAYBANK ISLAMIC</v>
      </c>
      <c r="K234" t="str">
        <f>"106043162280"</f>
        <v>106043162280</v>
      </c>
      <c r="L234" t="str">
        <f t="shared" si="108"/>
        <v>04-08-2020</v>
      </c>
      <c r="M234" t="str">
        <f t="shared" si="108"/>
        <v>04-08-2020</v>
      </c>
      <c r="N234" t="str">
        <f t="shared" si="90"/>
        <v>001105018356</v>
      </c>
      <c r="O234" t="str">
        <f t="shared" si="91"/>
        <v>MYR</v>
      </c>
      <c r="P234" t="str">
        <f t="shared" si="109"/>
        <v>NIL</v>
      </c>
      <c r="Q234" t="str">
        <f t="shared" si="109"/>
        <v>NIL</v>
      </c>
      <c r="R234" t="str">
        <f t="shared" si="92"/>
        <v>Accepted</v>
      </c>
      <c r="S234" t="str">
        <f t="shared" si="93"/>
        <v>Approved</v>
      </c>
      <c r="T234" t="str">
        <f t="shared" si="94"/>
        <v>10.20.8.188</v>
      </c>
      <c r="U234" t="str">
        <f t="shared" si="95"/>
        <v>AZRAD UMAR BIN SHAARI</v>
      </c>
      <c r="V234" t="str">
        <f t="shared" si="96"/>
        <v>FARHANA BINTI MUSTAPA</v>
      </c>
      <c r="W234" t="str">
        <f t="shared" si="97"/>
        <v>04-08-2020</v>
      </c>
      <c r="X234" t="str">
        <f t="shared" si="98"/>
        <v>RAZIMAH ANSAR AHMAD</v>
      </c>
      <c r="Y234" t="str">
        <f t="shared" si="99"/>
        <v>04-08-2020</v>
      </c>
      <c r="Z234" t="str">
        <f>"IDSB19200804 418"</f>
        <v>IDSB19200804 418</v>
      </c>
    </row>
    <row r="235" spans="1:26" x14ac:dyDescent="0.25">
      <c r="A235" t="str">
        <f t="shared" si="104"/>
        <v>04-08-2020 01:21:36</v>
      </c>
      <c r="B235" t="str">
        <f>"0000810730"</f>
        <v>0000810730</v>
      </c>
      <c r="C235" t="str">
        <f t="shared" si="105"/>
        <v>0000810713</v>
      </c>
      <c r="D235" t="str">
        <f t="shared" si="85"/>
        <v>73185</v>
      </c>
      <c r="E235" t="str">
        <f t="shared" si="86"/>
        <v>KFH-OPERATIONS DEPARTMENT</v>
      </c>
      <c r="F235" t="str">
        <f t="shared" si="87"/>
        <v>IBG</v>
      </c>
      <c r="G235" t="str">
        <f t="shared" si="106"/>
        <v>Refund IDSB 19</v>
      </c>
      <c r="H235" s="2">
        <v>1679</v>
      </c>
      <c r="I235" t="str">
        <f>"SYAHRUL FITHRI BIN MUSA"</f>
        <v>SYAHRUL FITHRI BIN MUSA</v>
      </c>
      <c r="J235" t="str">
        <f t="shared" si="107"/>
        <v>MAYBANK / MAYBANK ISLAMIC</v>
      </c>
      <c r="K235" t="str">
        <f>"162339002902"</f>
        <v>162339002902</v>
      </c>
      <c r="L235" t="str">
        <f t="shared" si="108"/>
        <v>04-08-2020</v>
      </c>
      <c r="M235" t="str">
        <f t="shared" si="108"/>
        <v>04-08-2020</v>
      </c>
      <c r="N235" t="str">
        <f t="shared" si="90"/>
        <v>001105018356</v>
      </c>
      <c r="O235" t="str">
        <f t="shared" si="91"/>
        <v>MYR</v>
      </c>
      <c r="P235" t="str">
        <f t="shared" si="109"/>
        <v>NIL</v>
      </c>
      <c r="Q235" t="str">
        <f t="shared" si="109"/>
        <v>NIL</v>
      </c>
      <c r="R235" t="str">
        <f t="shared" si="92"/>
        <v>Accepted</v>
      </c>
      <c r="S235" t="str">
        <f t="shared" si="93"/>
        <v>Approved</v>
      </c>
      <c r="T235" t="str">
        <f t="shared" si="94"/>
        <v>10.20.8.188</v>
      </c>
      <c r="U235" t="str">
        <f t="shared" si="95"/>
        <v>AZRAD UMAR BIN SHAARI</v>
      </c>
      <c r="V235" t="str">
        <f t="shared" si="96"/>
        <v>FARHANA BINTI MUSTAPA</v>
      </c>
      <c r="W235" t="str">
        <f t="shared" si="97"/>
        <v>04-08-2020</v>
      </c>
      <c r="X235" t="str">
        <f t="shared" si="98"/>
        <v>RAZIMAH ANSAR AHMAD</v>
      </c>
      <c r="Y235" t="str">
        <f t="shared" si="99"/>
        <v>04-08-2020</v>
      </c>
      <c r="Z235" t="str">
        <f>"IDSB19200804 417"</f>
        <v>IDSB19200804 417</v>
      </c>
    </row>
    <row r="236" spans="1:26" x14ac:dyDescent="0.25">
      <c r="A236" t="str">
        <f t="shared" si="104"/>
        <v>04-08-2020 01:21:36</v>
      </c>
      <c r="B236" t="str">
        <f>"0000810729"</f>
        <v>0000810729</v>
      </c>
      <c r="C236" t="str">
        <f t="shared" si="105"/>
        <v>0000810713</v>
      </c>
      <c r="D236" t="str">
        <f t="shared" si="85"/>
        <v>73185</v>
      </c>
      <c r="E236" t="str">
        <f t="shared" si="86"/>
        <v>KFH-OPERATIONS DEPARTMENT</v>
      </c>
      <c r="F236" t="str">
        <f t="shared" si="87"/>
        <v>IBG</v>
      </c>
      <c r="G236" t="str">
        <f t="shared" si="106"/>
        <v>Refund IDSB 19</v>
      </c>
      <c r="H236" s="2">
        <v>193.1</v>
      </c>
      <c r="I236" t="str">
        <f>"SYAHRIZAT BIN AZIZAN"</f>
        <v>SYAHRIZAT BIN AZIZAN</v>
      </c>
      <c r="J236" t="str">
        <f t="shared" si="107"/>
        <v>MAYBANK / MAYBANK ISLAMIC</v>
      </c>
      <c r="K236" t="str">
        <f>"102054839783"</f>
        <v>102054839783</v>
      </c>
      <c r="L236" t="str">
        <f t="shared" si="108"/>
        <v>04-08-2020</v>
      </c>
      <c r="M236" t="str">
        <f t="shared" si="108"/>
        <v>04-08-2020</v>
      </c>
      <c r="N236" t="str">
        <f t="shared" si="90"/>
        <v>001105018356</v>
      </c>
      <c r="O236" t="str">
        <f t="shared" si="91"/>
        <v>MYR</v>
      </c>
      <c r="P236" t="str">
        <f t="shared" si="109"/>
        <v>NIL</v>
      </c>
      <c r="Q236" t="str">
        <f t="shared" si="109"/>
        <v>NIL</v>
      </c>
      <c r="R236" t="str">
        <f t="shared" si="92"/>
        <v>Accepted</v>
      </c>
      <c r="S236" t="str">
        <f t="shared" si="93"/>
        <v>Approved</v>
      </c>
      <c r="T236" t="str">
        <f t="shared" si="94"/>
        <v>10.20.8.188</v>
      </c>
      <c r="U236" t="str">
        <f t="shared" si="95"/>
        <v>AZRAD UMAR BIN SHAARI</v>
      </c>
      <c r="V236" t="str">
        <f t="shared" si="96"/>
        <v>FARHANA BINTI MUSTAPA</v>
      </c>
      <c r="W236" t="str">
        <f t="shared" si="97"/>
        <v>04-08-2020</v>
      </c>
      <c r="X236" t="str">
        <f t="shared" si="98"/>
        <v>RAZIMAH ANSAR AHMAD</v>
      </c>
      <c r="Y236" t="str">
        <f t="shared" si="99"/>
        <v>04-08-2020</v>
      </c>
      <c r="Z236" t="str">
        <f>"IDSB19200804 416"</f>
        <v>IDSB19200804 416</v>
      </c>
    </row>
    <row r="237" spans="1:26" x14ac:dyDescent="0.25">
      <c r="A237" t="str">
        <f t="shared" si="104"/>
        <v>04-08-2020 01:21:36</v>
      </c>
      <c r="B237" t="str">
        <f>"0000810728"</f>
        <v>0000810728</v>
      </c>
      <c r="C237" t="str">
        <f t="shared" si="105"/>
        <v>0000810713</v>
      </c>
      <c r="D237" t="str">
        <f t="shared" si="85"/>
        <v>73185</v>
      </c>
      <c r="E237" t="str">
        <f t="shared" si="86"/>
        <v>KFH-OPERATIONS DEPARTMENT</v>
      </c>
      <c r="F237" t="str">
        <f t="shared" si="87"/>
        <v>IBG</v>
      </c>
      <c r="G237" t="str">
        <f t="shared" si="106"/>
        <v>Refund IDSB 19</v>
      </c>
      <c r="H237" s="2">
        <v>730.11</v>
      </c>
      <c r="I237" t="str">
        <f>"SUZILA BINTI MUHAMAD FUZI"</f>
        <v>SUZILA BINTI MUHAMAD FUZI</v>
      </c>
      <c r="J237" t="str">
        <f t="shared" si="107"/>
        <v>MAYBANK / MAYBANK ISLAMIC</v>
      </c>
      <c r="K237" t="str">
        <f>"164182403228"</f>
        <v>164182403228</v>
      </c>
      <c r="L237" t="str">
        <f t="shared" si="108"/>
        <v>04-08-2020</v>
      </c>
      <c r="M237" t="str">
        <f t="shared" si="108"/>
        <v>04-08-2020</v>
      </c>
      <c r="N237" t="str">
        <f t="shared" si="90"/>
        <v>001105018356</v>
      </c>
      <c r="O237" t="str">
        <f t="shared" si="91"/>
        <v>MYR</v>
      </c>
      <c r="P237" t="str">
        <f t="shared" si="109"/>
        <v>NIL</v>
      </c>
      <c r="Q237" t="str">
        <f t="shared" si="109"/>
        <v>NIL</v>
      </c>
      <c r="R237" t="str">
        <f t="shared" si="92"/>
        <v>Accepted</v>
      </c>
      <c r="S237" t="str">
        <f t="shared" si="93"/>
        <v>Approved</v>
      </c>
      <c r="T237" t="str">
        <f t="shared" si="94"/>
        <v>10.20.8.188</v>
      </c>
      <c r="U237" t="str">
        <f t="shared" si="95"/>
        <v>AZRAD UMAR BIN SHAARI</v>
      </c>
      <c r="V237" t="str">
        <f t="shared" si="96"/>
        <v>FARHANA BINTI MUSTAPA</v>
      </c>
      <c r="W237" t="str">
        <f t="shared" si="97"/>
        <v>04-08-2020</v>
      </c>
      <c r="X237" t="str">
        <f t="shared" si="98"/>
        <v>RAZIMAH ANSAR AHMAD</v>
      </c>
      <c r="Y237" t="str">
        <f t="shared" si="99"/>
        <v>04-08-2020</v>
      </c>
      <c r="Z237" t="str">
        <f>"IDSB19200804 415"</f>
        <v>IDSB19200804 415</v>
      </c>
    </row>
    <row r="238" spans="1:26" x14ac:dyDescent="0.25">
      <c r="A238" t="str">
        <f t="shared" si="104"/>
        <v>04-08-2020 01:21:36</v>
      </c>
      <c r="B238" t="str">
        <f>"0000810727"</f>
        <v>0000810727</v>
      </c>
      <c r="C238" t="str">
        <f t="shared" si="105"/>
        <v>0000810713</v>
      </c>
      <c r="D238" t="str">
        <f t="shared" si="85"/>
        <v>73185</v>
      </c>
      <c r="E238" t="str">
        <f t="shared" si="86"/>
        <v>KFH-OPERATIONS DEPARTMENT</v>
      </c>
      <c r="F238" t="str">
        <f t="shared" si="87"/>
        <v>IBG</v>
      </c>
      <c r="G238" t="str">
        <f t="shared" si="106"/>
        <v>Refund IDSB 19</v>
      </c>
      <c r="H238" s="2">
        <v>461.07</v>
      </c>
      <c r="I238" t="str">
        <f>"SUZANAH BINTI MD RESAD"</f>
        <v>SUZANAH BINTI MD RESAD</v>
      </c>
      <c r="J238" t="str">
        <f t="shared" si="107"/>
        <v>MAYBANK / MAYBANK ISLAMIC</v>
      </c>
      <c r="K238" t="str">
        <f>"162843000350"</f>
        <v>162843000350</v>
      </c>
      <c r="L238" t="str">
        <f t="shared" si="108"/>
        <v>04-08-2020</v>
      </c>
      <c r="M238" t="str">
        <f t="shared" si="108"/>
        <v>04-08-2020</v>
      </c>
      <c r="N238" t="str">
        <f t="shared" si="90"/>
        <v>001105018356</v>
      </c>
      <c r="O238" t="str">
        <f t="shared" si="91"/>
        <v>MYR</v>
      </c>
      <c r="P238" t="str">
        <f t="shared" si="109"/>
        <v>NIL</v>
      </c>
      <c r="Q238" t="str">
        <f t="shared" si="109"/>
        <v>NIL</v>
      </c>
      <c r="R238" t="str">
        <f t="shared" si="92"/>
        <v>Accepted</v>
      </c>
      <c r="S238" t="str">
        <f t="shared" si="93"/>
        <v>Approved</v>
      </c>
      <c r="T238" t="str">
        <f t="shared" si="94"/>
        <v>10.20.8.188</v>
      </c>
      <c r="U238" t="str">
        <f t="shared" si="95"/>
        <v>AZRAD UMAR BIN SHAARI</v>
      </c>
      <c r="V238" t="str">
        <f t="shared" si="96"/>
        <v>FARHANA BINTI MUSTAPA</v>
      </c>
      <c r="W238" t="str">
        <f t="shared" si="97"/>
        <v>04-08-2020</v>
      </c>
      <c r="X238" t="str">
        <f t="shared" si="98"/>
        <v>RAZIMAH ANSAR AHMAD</v>
      </c>
      <c r="Y238" t="str">
        <f t="shared" si="99"/>
        <v>04-08-2020</v>
      </c>
      <c r="Z238" t="str">
        <f>"IDSB19200804 414"</f>
        <v>IDSB19200804 414</v>
      </c>
    </row>
    <row r="239" spans="1:26" x14ac:dyDescent="0.25">
      <c r="A239" t="str">
        <f t="shared" si="104"/>
        <v>04-08-2020 01:21:36</v>
      </c>
      <c r="B239" t="str">
        <f>"0000810726"</f>
        <v>0000810726</v>
      </c>
      <c r="C239" t="str">
        <f t="shared" si="105"/>
        <v>0000810713</v>
      </c>
      <c r="D239" t="str">
        <f t="shared" si="85"/>
        <v>73185</v>
      </c>
      <c r="E239" t="str">
        <f t="shared" si="86"/>
        <v>KFH-OPERATIONS DEPARTMENT</v>
      </c>
      <c r="F239" t="str">
        <f t="shared" si="87"/>
        <v>IBG</v>
      </c>
      <c r="G239" t="str">
        <f t="shared" si="106"/>
        <v>Refund IDSB 19</v>
      </c>
      <c r="H239" s="2">
        <v>1108.1500000000001</v>
      </c>
      <c r="I239" t="str">
        <f>"SUZANA BINTI MOHAMAD HABIT"</f>
        <v>SUZANA BINTI MOHAMAD HABIT</v>
      </c>
      <c r="J239" t="str">
        <f t="shared" si="107"/>
        <v>MAYBANK / MAYBANK ISLAMIC</v>
      </c>
      <c r="K239" t="str">
        <f>"158118032204"</f>
        <v>158118032204</v>
      </c>
      <c r="L239" t="str">
        <f t="shared" si="108"/>
        <v>04-08-2020</v>
      </c>
      <c r="M239" t="str">
        <f t="shared" si="108"/>
        <v>04-08-2020</v>
      </c>
      <c r="N239" t="str">
        <f t="shared" si="90"/>
        <v>001105018356</v>
      </c>
      <c r="O239" t="str">
        <f t="shared" si="91"/>
        <v>MYR</v>
      </c>
      <c r="P239" t="str">
        <f t="shared" si="109"/>
        <v>NIL</v>
      </c>
      <c r="Q239" t="str">
        <f t="shared" si="109"/>
        <v>NIL</v>
      </c>
      <c r="R239" t="str">
        <f t="shared" si="92"/>
        <v>Accepted</v>
      </c>
      <c r="S239" t="str">
        <f t="shared" si="93"/>
        <v>Approved</v>
      </c>
      <c r="T239" t="str">
        <f t="shared" si="94"/>
        <v>10.20.8.188</v>
      </c>
      <c r="U239" t="str">
        <f t="shared" si="95"/>
        <v>AZRAD UMAR BIN SHAARI</v>
      </c>
      <c r="V239" t="str">
        <f t="shared" si="96"/>
        <v>FARHANA BINTI MUSTAPA</v>
      </c>
      <c r="W239" t="str">
        <f t="shared" si="97"/>
        <v>04-08-2020</v>
      </c>
      <c r="X239" t="str">
        <f t="shared" si="98"/>
        <v>RAZIMAH ANSAR AHMAD</v>
      </c>
      <c r="Y239" t="str">
        <f t="shared" si="99"/>
        <v>04-08-2020</v>
      </c>
      <c r="Z239" t="str">
        <f>"IDSB19200804 413"</f>
        <v>IDSB19200804 413</v>
      </c>
    </row>
    <row r="240" spans="1:26" x14ac:dyDescent="0.25">
      <c r="A240" t="str">
        <f t="shared" si="104"/>
        <v>04-08-2020 01:21:36</v>
      </c>
      <c r="B240" t="str">
        <f>"0000810725"</f>
        <v>0000810725</v>
      </c>
      <c r="C240" t="str">
        <f t="shared" si="105"/>
        <v>0000810713</v>
      </c>
      <c r="D240" t="str">
        <f t="shared" si="85"/>
        <v>73185</v>
      </c>
      <c r="E240" t="str">
        <f t="shared" si="86"/>
        <v>KFH-OPERATIONS DEPARTMENT</v>
      </c>
      <c r="F240" t="str">
        <f t="shared" si="87"/>
        <v>IBG</v>
      </c>
      <c r="G240" t="str">
        <f t="shared" si="106"/>
        <v>Refund IDSB 19</v>
      </c>
      <c r="H240" s="2">
        <v>1518</v>
      </c>
      <c r="I240" t="str">
        <f>"SURIA BINTI SHARIMI"</f>
        <v>SURIA BINTI SHARIMI</v>
      </c>
      <c r="J240" t="str">
        <f t="shared" si="107"/>
        <v>MAYBANK / MAYBANK ISLAMIC</v>
      </c>
      <c r="K240" t="str">
        <f>"157081344003"</f>
        <v>157081344003</v>
      </c>
      <c r="L240" t="str">
        <f t="shared" si="108"/>
        <v>04-08-2020</v>
      </c>
      <c r="M240" t="str">
        <f t="shared" si="108"/>
        <v>04-08-2020</v>
      </c>
      <c r="N240" t="str">
        <f t="shared" si="90"/>
        <v>001105018356</v>
      </c>
      <c r="O240" t="str">
        <f t="shared" si="91"/>
        <v>MYR</v>
      </c>
      <c r="P240" t="str">
        <f t="shared" si="109"/>
        <v>NIL</v>
      </c>
      <c r="Q240" t="str">
        <f t="shared" si="109"/>
        <v>NIL</v>
      </c>
      <c r="R240" t="str">
        <f t="shared" si="92"/>
        <v>Accepted</v>
      </c>
      <c r="S240" t="str">
        <f t="shared" si="93"/>
        <v>Approved</v>
      </c>
      <c r="T240" t="str">
        <f t="shared" si="94"/>
        <v>10.20.8.188</v>
      </c>
      <c r="U240" t="str">
        <f t="shared" si="95"/>
        <v>AZRAD UMAR BIN SHAARI</v>
      </c>
      <c r="V240" t="str">
        <f t="shared" si="96"/>
        <v>FARHANA BINTI MUSTAPA</v>
      </c>
      <c r="W240" t="str">
        <f t="shared" si="97"/>
        <v>04-08-2020</v>
      </c>
      <c r="X240" t="str">
        <f t="shared" si="98"/>
        <v>RAZIMAH ANSAR AHMAD</v>
      </c>
      <c r="Y240" t="str">
        <f t="shared" si="99"/>
        <v>04-08-2020</v>
      </c>
      <c r="Z240" t="str">
        <f>"IDSB19200804 412"</f>
        <v>IDSB19200804 412</v>
      </c>
    </row>
    <row r="241" spans="1:26" x14ac:dyDescent="0.25">
      <c r="A241" t="str">
        <f t="shared" si="104"/>
        <v>04-08-2020 01:21:36</v>
      </c>
      <c r="B241" t="str">
        <f>"0000810724"</f>
        <v>0000810724</v>
      </c>
      <c r="C241" t="str">
        <f t="shared" si="105"/>
        <v>0000810713</v>
      </c>
      <c r="D241" t="str">
        <f t="shared" si="85"/>
        <v>73185</v>
      </c>
      <c r="E241" t="str">
        <f t="shared" si="86"/>
        <v>KFH-OPERATIONS DEPARTMENT</v>
      </c>
      <c r="F241" t="str">
        <f t="shared" si="87"/>
        <v>IBG</v>
      </c>
      <c r="G241" t="str">
        <f t="shared" si="106"/>
        <v>Refund IDSB 19</v>
      </c>
      <c r="H241" s="2">
        <v>563</v>
      </c>
      <c r="I241" t="str">
        <f>"SURAYA NURUL AINI BINTI ZAMRI"</f>
        <v>SURAYA NURUL AINI BINTI ZAMRI</v>
      </c>
      <c r="J241" t="str">
        <f t="shared" si="107"/>
        <v>MAYBANK / MAYBANK ISLAMIC</v>
      </c>
      <c r="K241" t="str">
        <f>"158097757693"</f>
        <v>158097757693</v>
      </c>
      <c r="L241" t="str">
        <f t="shared" si="108"/>
        <v>04-08-2020</v>
      </c>
      <c r="M241" t="str">
        <f t="shared" si="108"/>
        <v>04-08-2020</v>
      </c>
      <c r="N241" t="str">
        <f t="shared" si="90"/>
        <v>001105018356</v>
      </c>
      <c r="O241" t="str">
        <f t="shared" si="91"/>
        <v>MYR</v>
      </c>
      <c r="P241" t="str">
        <f t="shared" si="109"/>
        <v>NIL</v>
      </c>
      <c r="Q241" t="str">
        <f t="shared" si="109"/>
        <v>NIL</v>
      </c>
      <c r="R241" t="str">
        <f t="shared" si="92"/>
        <v>Accepted</v>
      </c>
      <c r="S241" t="str">
        <f t="shared" si="93"/>
        <v>Approved</v>
      </c>
      <c r="T241" t="str">
        <f t="shared" si="94"/>
        <v>10.20.8.188</v>
      </c>
      <c r="U241" t="str">
        <f t="shared" si="95"/>
        <v>AZRAD UMAR BIN SHAARI</v>
      </c>
      <c r="V241" t="str">
        <f t="shared" si="96"/>
        <v>FARHANA BINTI MUSTAPA</v>
      </c>
      <c r="W241" t="str">
        <f t="shared" si="97"/>
        <v>04-08-2020</v>
      </c>
      <c r="X241" t="str">
        <f t="shared" si="98"/>
        <v>RAZIMAH ANSAR AHMAD</v>
      </c>
      <c r="Y241" t="str">
        <f t="shared" si="99"/>
        <v>04-08-2020</v>
      </c>
      <c r="Z241" t="str">
        <f>"IDSB19200804 411"</f>
        <v>IDSB19200804 411</v>
      </c>
    </row>
    <row r="242" spans="1:26" x14ac:dyDescent="0.25">
      <c r="A242" t="str">
        <f t="shared" si="104"/>
        <v>04-08-2020 01:21:36</v>
      </c>
      <c r="B242" t="str">
        <f>"0000810723"</f>
        <v>0000810723</v>
      </c>
      <c r="C242" t="str">
        <f t="shared" si="105"/>
        <v>0000810713</v>
      </c>
      <c r="D242" t="str">
        <f t="shared" si="85"/>
        <v>73185</v>
      </c>
      <c r="E242" t="str">
        <f t="shared" si="86"/>
        <v>KFH-OPERATIONS DEPARTMENT</v>
      </c>
      <c r="F242" t="str">
        <f t="shared" si="87"/>
        <v>IBG</v>
      </c>
      <c r="G242" t="str">
        <f t="shared" si="106"/>
        <v>Refund IDSB 19</v>
      </c>
      <c r="H242" s="2">
        <v>478.36</v>
      </c>
      <c r="I242" t="str">
        <f>"SUHAIMI BIN MAT SULONGMUSTOFA"</f>
        <v>SUHAIMI BIN MAT SULONGMUSTOFA</v>
      </c>
      <c r="J242" t="str">
        <f t="shared" si="107"/>
        <v>MAYBANK / MAYBANK ISLAMIC</v>
      </c>
      <c r="K242" t="str">
        <f>"106164138456"</f>
        <v>106164138456</v>
      </c>
      <c r="L242" t="str">
        <f t="shared" si="108"/>
        <v>04-08-2020</v>
      </c>
      <c r="M242" t="str">
        <f t="shared" si="108"/>
        <v>04-08-2020</v>
      </c>
      <c r="N242" t="str">
        <f t="shared" si="90"/>
        <v>001105018356</v>
      </c>
      <c r="O242" t="str">
        <f t="shared" si="91"/>
        <v>MYR</v>
      </c>
      <c r="P242" t="str">
        <f t="shared" si="109"/>
        <v>NIL</v>
      </c>
      <c r="Q242" t="str">
        <f t="shared" si="109"/>
        <v>NIL</v>
      </c>
      <c r="R242" t="str">
        <f t="shared" si="92"/>
        <v>Accepted</v>
      </c>
      <c r="S242" t="str">
        <f t="shared" si="93"/>
        <v>Approved</v>
      </c>
      <c r="T242" t="str">
        <f t="shared" si="94"/>
        <v>10.20.8.188</v>
      </c>
      <c r="U242" t="str">
        <f t="shared" si="95"/>
        <v>AZRAD UMAR BIN SHAARI</v>
      </c>
      <c r="V242" t="str">
        <f t="shared" si="96"/>
        <v>FARHANA BINTI MUSTAPA</v>
      </c>
      <c r="W242" t="str">
        <f t="shared" si="97"/>
        <v>04-08-2020</v>
      </c>
      <c r="X242" t="str">
        <f t="shared" si="98"/>
        <v>RAZIMAH ANSAR AHMAD</v>
      </c>
      <c r="Y242" t="str">
        <f t="shared" si="99"/>
        <v>04-08-2020</v>
      </c>
      <c r="Z242" t="str">
        <f>"IDSB19200804 410"</f>
        <v>IDSB19200804 410</v>
      </c>
    </row>
    <row r="243" spans="1:26" x14ac:dyDescent="0.25">
      <c r="A243" t="str">
        <f t="shared" si="104"/>
        <v>04-08-2020 01:21:36</v>
      </c>
      <c r="B243" t="str">
        <f>"0000810722"</f>
        <v>0000810722</v>
      </c>
      <c r="C243" t="str">
        <f t="shared" si="105"/>
        <v>0000810713</v>
      </c>
      <c r="D243" t="str">
        <f t="shared" si="85"/>
        <v>73185</v>
      </c>
      <c r="E243" t="str">
        <f t="shared" si="86"/>
        <v>KFH-OPERATIONS DEPARTMENT</v>
      </c>
      <c r="F243" t="str">
        <f t="shared" si="87"/>
        <v>IBG</v>
      </c>
      <c r="G243" t="str">
        <f t="shared" si="106"/>
        <v>Refund IDSB 19</v>
      </c>
      <c r="H243" s="2">
        <v>376</v>
      </c>
      <c r="I243" t="str">
        <f>"SUHAILI BIN OTHMAN"</f>
        <v>SUHAILI BIN OTHMAN</v>
      </c>
      <c r="J243" t="str">
        <f t="shared" si="107"/>
        <v>MAYBANK / MAYBANK ISLAMIC</v>
      </c>
      <c r="K243" t="str">
        <f>"162151703405"</f>
        <v>162151703405</v>
      </c>
      <c r="L243" t="str">
        <f t="shared" si="108"/>
        <v>04-08-2020</v>
      </c>
      <c r="M243" t="str">
        <f t="shared" si="108"/>
        <v>04-08-2020</v>
      </c>
      <c r="N243" t="str">
        <f t="shared" si="90"/>
        <v>001105018356</v>
      </c>
      <c r="O243" t="str">
        <f t="shared" si="91"/>
        <v>MYR</v>
      </c>
      <c r="P243" t="str">
        <f t="shared" si="109"/>
        <v>NIL</v>
      </c>
      <c r="Q243" t="str">
        <f t="shared" si="109"/>
        <v>NIL</v>
      </c>
      <c r="R243" t="str">
        <f t="shared" si="92"/>
        <v>Accepted</v>
      </c>
      <c r="S243" t="str">
        <f t="shared" si="93"/>
        <v>Approved</v>
      </c>
      <c r="T243" t="str">
        <f t="shared" si="94"/>
        <v>10.20.8.188</v>
      </c>
      <c r="U243" t="str">
        <f t="shared" si="95"/>
        <v>AZRAD UMAR BIN SHAARI</v>
      </c>
      <c r="V243" t="str">
        <f t="shared" si="96"/>
        <v>FARHANA BINTI MUSTAPA</v>
      </c>
      <c r="W243" t="str">
        <f t="shared" si="97"/>
        <v>04-08-2020</v>
      </c>
      <c r="X243" t="str">
        <f t="shared" si="98"/>
        <v>RAZIMAH ANSAR AHMAD</v>
      </c>
      <c r="Y243" t="str">
        <f t="shared" si="99"/>
        <v>04-08-2020</v>
      </c>
      <c r="Z243" t="str">
        <f>"IDSB19200804 409"</f>
        <v>IDSB19200804 409</v>
      </c>
    </row>
    <row r="244" spans="1:26" x14ac:dyDescent="0.25">
      <c r="A244" t="str">
        <f t="shared" si="104"/>
        <v>04-08-2020 01:21:36</v>
      </c>
      <c r="B244" t="str">
        <f>"0000810721"</f>
        <v>0000810721</v>
      </c>
      <c r="C244" t="str">
        <f t="shared" si="105"/>
        <v>0000810713</v>
      </c>
      <c r="D244" t="str">
        <f t="shared" si="85"/>
        <v>73185</v>
      </c>
      <c r="E244" t="str">
        <f t="shared" si="86"/>
        <v>KFH-OPERATIONS DEPARTMENT</v>
      </c>
      <c r="F244" t="str">
        <f t="shared" si="87"/>
        <v>IBG</v>
      </c>
      <c r="G244" t="str">
        <f t="shared" si="106"/>
        <v>Refund IDSB 19</v>
      </c>
      <c r="H244" s="2">
        <v>114</v>
      </c>
      <c r="I244" t="str">
        <f>"SUHAILA BINTI MAHAMMAD SAAD"</f>
        <v>SUHAILA BINTI MAHAMMAD SAAD</v>
      </c>
      <c r="J244" t="str">
        <f t="shared" si="107"/>
        <v>MAYBANK / MAYBANK ISLAMIC</v>
      </c>
      <c r="K244" t="str">
        <f>"151409099837"</f>
        <v>151409099837</v>
      </c>
      <c r="L244" t="str">
        <f t="shared" si="108"/>
        <v>04-08-2020</v>
      </c>
      <c r="M244" t="str">
        <f t="shared" si="108"/>
        <v>04-08-2020</v>
      </c>
      <c r="N244" t="str">
        <f t="shared" si="90"/>
        <v>001105018356</v>
      </c>
      <c r="O244" t="str">
        <f t="shared" si="91"/>
        <v>MYR</v>
      </c>
      <c r="P244" t="str">
        <f t="shared" si="109"/>
        <v>NIL</v>
      </c>
      <c r="Q244" t="str">
        <f t="shared" si="109"/>
        <v>NIL</v>
      </c>
      <c r="R244" t="str">
        <f t="shared" si="92"/>
        <v>Accepted</v>
      </c>
      <c r="S244" t="str">
        <f t="shared" si="93"/>
        <v>Approved</v>
      </c>
      <c r="T244" t="str">
        <f t="shared" si="94"/>
        <v>10.20.8.188</v>
      </c>
      <c r="U244" t="str">
        <f t="shared" si="95"/>
        <v>AZRAD UMAR BIN SHAARI</v>
      </c>
      <c r="V244" t="str">
        <f t="shared" si="96"/>
        <v>FARHANA BINTI MUSTAPA</v>
      </c>
      <c r="W244" t="str">
        <f t="shared" si="97"/>
        <v>04-08-2020</v>
      </c>
      <c r="X244" t="str">
        <f t="shared" si="98"/>
        <v>RAZIMAH ANSAR AHMAD</v>
      </c>
      <c r="Y244" t="str">
        <f t="shared" si="99"/>
        <v>04-08-2020</v>
      </c>
      <c r="Z244" t="str">
        <f>"IDSB19200804 408"</f>
        <v>IDSB19200804 408</v>
      </c>
    </row>
    <row r="245" spans="1:26" x14ac:dyDescent="0.25">
      <c r="A245" t="str">
        <f t="shared" si="104"/>
        <v>04-08-2020 01:21:36</v>
      </c>
      <c r="B245" t="str">
        <f>"0000810720"</f>
        <v>0000810720</v>
      </c>
      <c r="C245" t="str">
        <f t="shared" si="105"/>
        <v>0000810713</v>
      </c>
      <c r="D245" t="str">
        <f t="shared" si="85"/>
        <v>73185</v>
      </c>
      <c r="E245" t="str">
        <f t="shared" si="86"/>
        <v>KFH-OPERATIONS DEPARTMENT</v>
      </c>
      <c r="F245" t="str">
        <f t="shared" si="87"/>
        <v>IBG</v>
      </c>
      <c r="G245" t="str">
        <f t="shared" si="106"/>
        <v>Refund IDSB 19</v>
      </c>
      <c r="H245" s="2">
        <v>46</v>
      </c>
      <c r="I245" t="str">
        <f>"SITI SURIAYANI BINTI MOHD SAPARI"</f>
        <v>SITI SURIAYANI BINTI MOHD SAPARI</v>
      </c>
      <c r="J245" t="str">
        <f t="shared" si="107"/>
        <v>MAYBANK / MAYBANK ISLAMIC</v>
      </c>
      <c r="K245" t="str">
        <f>"151173513719"</f>
        <v>151173513719</v>
      </c>
      <c r="L245" t="str">
        <f t="shared" si="108"/>
        <v>04-08-2020</v>
      </c>
      <c r="M245" t="str">
        <f t="shared" si="108"/>
        <v>04-08-2020</v>
      </c>
      <c r="N245" t="str">
        <f t="shared" si="90"/>
        <v>001105018356</v>
      </c>
      <c r="O245" t="str">
        <f t="shared" si="91"/>
        <v>MYR</v>
      </c>
      <c r="P245" t="str">
        <f t="shared" si="109"/>
        <v>NIL</v>
      </c>
      <c r="Q245" t="str">
        <f t="shared" si="109"/>
        <v>NIL</v>
      </c>
      <c r="R245" t="str">
        <f t="shared" si="92"/>
        <v>Accepted</v>
      </c>
      <c r="S245" t="str">
        <f t="shared" si="93"/>
        <v>Approved</v>
      </c>
      <c r="T245" t="str">
        <f t="shared" si="94"/>
        <v>10.20.8.188</v>
      </c>
      <c r="U245" t="str">
        <f t="shared" si="95"/>
        <v>AZRAD UMAR BIN SHAARI</v>
      </c>
      <c r="V245" t="str">
        <f t="shared" si="96"/>
        <v>FARHANA BINTI MUSTAPA</v>
      </c>
      <c r="W245" t="str">
        <f t="shared" si="97"/>
        <v>04-08-2020</v>
      </c>
      <c r="X245" t="str">
        <f t="shared" si="98"/>
        <v>RAZIMAH ANSAR AHMAD</v>
      </c>
      <c r="Y245" t="str">
        <f t="shared" si="99"/>
        <v>04-08-2020</v>
      </c>
      <c r="Z245" t="str">
        <f>"IDSB19200804 407"</f>
        <v>IDSB19200804 407</v>
      </c>
    </row>
    <row r="246" spans="1:26" x14ac:dyDescent="0.25">
      <c r="A246" t="str">
        <f t="shared" si="104"/>
        <v>04-08-2020 01:21:36</v>
      </c>
      <c r="B246" t="str">
        <f>"0000810719"</f>
        <v>0000810719</v>
      </c>
      <c r="C246" t="str">
        <f t="shared" si="105"/>
        <v>0000810713</v>
      </c>
      <c r="D246" t="str">
        <f t="shared" si="85"/>
        <v>73185</v>
      </c>
      <c r="E246" t="str">
        <f t="shared" si="86"/>
        <v>KFH-OPERATIONS DEPARTMENT</v>
      </c>
      <c r="F246" t="str">
        <f t="shared" si="87"/>
        <v>IBG</v>
      </c>
      <c r="G246" t="str">
        <f t="shared" si="106"/>
        <v>Refund IDSB 19</v>
      </c>
      <c r="H246" s="2">
        <v>380</v>
      </c>
      <c r="I246" t="str">
        <f>"SITI NORHAMIYAH BINTI ABDULLAH"</f>
        <v>SITI NORHAMIYAH BINTI ABDULLAH</v>
      </c>
      <c r="J246" t="str">
        <f t="shared" si="107"/>
        <v>MAYBANK / MAYBANK ISLAMIC</v>
      </c>
      <c r="K246" t="str">
        <f>"159012774845"</f>
        <v>159012774845</v>
      </c>
      <c r="L246" t="str">
        <f t="shared" si="108"/>
        <v>04-08-2020</v>
      </c>
      <c r="M246" t="str">
        <f t="shared" si="108"/>
        <v>04-08-2020</v>
      </c>
      <c r="N246" t="str">
        <f t="shared" si="90"/>
        <v>001105018356</v>
      </c>
      <c r="O246" t="str">
        <f t="shared" si="91"/>
        <v>MYR</v>
      </c>
      <c r="P246" t="str">
        <f t="shared" si="109"/>
        <v>NIL</v>
      </c>
      <c r="Q246" t="str">
        <f t="shared" si="109"/>
        <v>NIL</v>
      </c>
      <c r="R246" t="str">
        <f t="shared" si="92"/>
        <v>Accepted</v>
      </c>
      <c r="S246" t="str">
        <f t="shared" si="93"/>
        <v>Approved</v>
      </c>
      <c r="T246" t="str">
        <f t="shared" si="94"/>
        <v>10.20.8.188</v>
      </c>
      <c r="U246" t="str">
        <f t="shared" si="95"/>
        <v>AZRAD UMAR BIN SHAARI</v>
      </c>
      <c r="V246" t="str">
        <f t="shared" si="96"/>
        <v>FARHANA BINTI MUSTAPA</v>
      </c>
      <c r="W246" t="str">
        <f t="shared" si="97"/>
        <v>04-08-2020</v>
      </c>
      <c r="X246" t="str">
        <f t="shared" si="98"/>
        <v>RAZIMAH ANSAR AHMAD</v>
      </c>
      <c r="Y246" t="str">
        <f t="shared" si="99"/>
        <v>04-08-2020</v>
      </c>
      <c r="Z246" t="str">
        <f>"IDSB19200804 406"</f>
        <v>IDSB19200804 406</v>
      </c>
    </row>
    <row r="247" spans="1:26" x14ac:dyDescent="0.25">
      <c r="A247" t="str">
        <f t="shared" si="104"/>
        <v>04-08-2020 01:21:36</v>
      </c>
      <c r="B247" t="str">
        <f>"0000810718"</f>
        <v>0000810718</v>
      </c>
      <c r="C247" t="str">
        <f t="shared" si="105"/>
        <v>0000810713</v>
      </c>
      <c r="D247" t="str">
        <f t="shared" si="85"/>
        <v>73185</v>
      </c>
      <c r="E247" t="str">
        <f t="shared" si="86"/>
        <v>KFH-OPERATIONS DEPARTMENT</v>
      </c>
      <c r="F247" t="str">
        <f t="shared" si="87"/>
        <v>IBG</v>
      </c>
      <c r="G247" t="str">
        <f t="shared" si="106"/>
        <v>Refund IDSB 19</v>
      </c>
      <c r="H247" s="2">
        <v>682</v>
      </c>
      <c r="I247" t="str">
        <f>"SITI NOR BINTI HAMDAN"</f>
        <v>SITI NOR BINTI HAMDAN</v>
      </c>
      <c r="J247" t="str">
        <f t="shared" si="107"/>
        <v>MAYBANK / MAYBANK ISLAMIC</v>
      </c>
      <c r="K247" t="str">
        <f>"162218477315"</f>
        <v>162218477315</v>
      </c>
      <c r="L247" t="str">
        <f t="shared" ref="L247:M266" si="110">"04-08-2020"</f>
        <v>04-08-2020</v>
      </c>
      <c r="M247" t="str">
        <f t="shared" si="110"/>
        <v>04-08-2020</v>
      </c>
      <c r="N247" t="str">
        <f t="shared" si="90"/>
        <v>001105018356</v>
      </c>
      <c r="O247" t="str">
        <f t="shared" si="91"/>
        <v>MYR</v>
      </c>
      <c r="P247" t="str">
        <f t="shared" ref="P247:Q266" si="111">"NIL"</f>
        <v>NIL</v>
      </c>
      <c r="Q247" t="str">
        <f t="shared" si="111"/>
        <v>NIL</v>
      </c>
      <c r="R247" t="str">
        <f t="shared" si="92"/>
        <v>Accepted</v>
      </c>
      <c r="S247" t="str">
        <f t="shared" si="93"/>
        <v>Approved</v>
      </c>
      <c r="T247" t="str">
        <f t="shared" si="94"/>
        <v>10.20.8.188</v>
      </c>
      <c r="U247" t="str">
        <f t="shared" si="95"/>
        <v>AZRAD UMAR BIN SHAARI</v>
      </c>
      <c r="V247" t="str">
        <f t="shared" si="96"/>
        <v>FARHANA BINTI MUSTAPA</v>
      </c>
      <c r="W247" t="str">
        <f t="shared" si="97"/>
        <v>04-08-2020</v>
      </c>
      <c r="X247" t="str">
        <f t="shared" si="98"/>
        <v>RAZIMAH ANSAR AHMAD</v>
      </c>
      <c r="Y247" t="str">
        <f t="shared" si="99"/>
        <v>04-08-2020</v>
      </c>
      <c r="Z247" t="str">
        <f>"IDSB19200804 405"</f>
        <v>IDSB19200804 405</v>
      </c>
    </row>
    <row r="248" spans="1:26" x14ac:dyDescent="0.25">
      <c r="A248" t="str">
        <f t="shared" si="104"/>
        <v>04-08-2020 01:21:36</v>
      </c>
      <c r="B248" t="str">
        <f>"0000810717"</f>
        <v>0000810717</v>
      </c>
      <c r="C248" t="str">
        <f t="shared" si="105"/>
        <v>0000810713</v>
      </c>
      <c r="D248" t="str">
        <f t="shared" si="85"/>
        <v>73185</v>
      </c>
      <c r="E248" t="str">
        <f t="shared" si="86"/>
        <v>KFH-OPERATIONS DEPARTMENT</v>
      </c>
      <c r="F248" t="str">
        <f t="shared" si="87"/>
        <v>IBG</v>
      </c>
      <c r="G248" t="str">
        <f t="shared" si="106"/>
        <v>Refund IDSB 19</v>
      </c>
      <c r="H248" s="2">
        <v>741.06</v>
      </c>
      <c r="I248" t="str">
        <f>"SITI NAZARRIZA BINTI MOKHTAR"</f>
        <v>SITI NAZARRIZA BINTI MOKHTAR</v>
      </c>
      <c r="J248" t="str">
        <f t="shared" si="107"/>
        <v>MAYBANK / MAYBANK ISLAMIC</v>
      </c>
      <c r="K248" t="str">
        <f>"151137830140"</f>
        <v>151137830140</v>
      </c>
      <c r="L248" t="str">
        <f t="shared" si="110"/>
        <v>04-08-2020</v>
      </c>
      <c r="M248" t="str">
        <f t="shared" si="110"/>
        <v>04-08-2020</v>
      </c>
      <c r="N248" t="str">
        <f t="shared" si="90"/>
        <v>001105018356</v>
      </c>
      <c r="O248" t="str">
        <f t="shared" si="91"/>
        <v>MYR</v>
      </c>
      <c r="P248" t="str">
        <f t="shared" si="111"/>
        <v>NIL</v>
      </c>
      <c r="Q248" t="str">
        <f t="shared" si="111"/>
        <v>NIL</v>
      </c>
      <c r="R248" t="str">
        <f t="shared" si="92"/>
        <v>Accepted</v>
      </c>
      <c r="S248" t="str">
        <f t="shared" si="93"/>
        <v>Approved</v>
      </c>
      <c r="T248" t="str">
        <f t="shared" si="94"/>
        <v>10.20.8.188</v>
      </c>
      <c r="U248" t="str">
        <f t="shared" si="95"/>
        <v>AZRAD UMAR BIN SHAARI</v>
      </c>
      <c r="V248" t="str">
        <f t="shared" si="96"/>
        <v>FARHANA BINTI MUSTAPA</v>
      </c>
      <c r="W248" t="str">
        <f t="shared" si="97"/>
        <v>04-08-2020</v>
      </c>
      <c r="X248" t="str">
        <f t="shared" si="98"/>
        <v>RAZIMAH ANSAR AHMAD</v>
      </c>
      <c r="Y248" t="str">
        <f t="shared" si="99"/>
        <v>04-08-2020</v>
      </c>
      <c r="Z248" t="str">
        <f>"IDSB19200804 404"</f>
        <v>IDSB19200804 404</v>
      </c>
    </row>
    <row r="249" spans="1:26" x14ac:dyDescent="0.25">
      <c r="A249" t="str">
        <f t="shared" si="104"/>
        <v>04-08-2020 01:21:36</v>
      </c>
      <c r="B249" t="str">
        <f>"0000810716"</f>
        <v>0000810716</v>
      </c>
      <c r="C249" t="str">
        <f t="shared" si="105"/>
        <v>0000810713</v>
      </c>
      <c r="D249" t="str">
        <f t="shared" si="85"/>
        <v>73185</v>
      </c>
      <c r="E249" t="str">
        <f t="shared" si="86"/>
        <v>KFH-OPERATIONS DEPARTMENT</v>
      </c>
      <c r="F249" t="str">
        <f t="shared" si="87"/>
        <v>IBG</v>
      </c>
      <c r="G249" t="str">
        <f t="shared" si="106"/>
        <v>Refund IDSB 19</v>
      </c>
      <c r="H249" s="2">
        <v>167</v>
      </c>
      <c r="I249" t="str">
        <f>"SITI KASIFAH BINTI GHANI"</f>
        <v>SITI KASIFAH BINTI GHANI</v>
      </c>
      <c r="J249" t="str">
        <f t="shared" si="107"/>
        <v>MAYBANK / MAYBANK ISLAMIC</v>
      </c>
      <c r="K249" t="str">
        <f>"153010959398"</f>
        <v>153010959398</v>
      </c>
      <c r="L249" t="str">
        <f t="shared" si="110"/>
        <v>04-08-2020</v>
      </c>
      <c r="M249" t="str">
        <f t="shared" si="110"/>
        <v>04-08-2020</v>
      </c>
      <c r="N249" t="str">
        <f t="shared" si="90"/>
        <v>001105018356</v>
      </c>
      <c r="O249" t="str">
        <f t="shared" si="91"/>
        <v>MYR</v>
      </c>
      <c r="P249" t="str">
        <f t="shared" si="111"/>
        <v>NIL</v>
      </c>
      <c r="Q249" t="str">
        <f t="shared" si="111"/>
        <v>NIL</v>
      </c>
      <c r="R249" t="str">
        <f t="shared" si="92"/>
        <v>Accepted</v>
      </c>
      <c r="S249" t="str">
        <f t="shared" si="93"/>
        <v>Approved</v>
      </c>
      <c r="T249" t="str">
        <f t="shared" si="94"/>
        <v>10.20.8.188</v>
      </c>
      <c r="U249" t="str">
        <f t="shared" si="95"/>
        <v>AZRAD UMAR BIN SHAARI</v>
      </c>
      <c r="V249" t="str">
        <f t="shared" si="96"/>
        <v>FARHANA BINTI MUSTAPA</v>
      </c>
      <c r="W249" t="str">
        <f t="shared" si="97"/>
        <v>04-08-2020</v>
      </c>
      <c r="X249" t="str">
        <f t="shared" si="98"/>
        <v>RAZIMAH ANSAR AHMAD</v>
      </c>
      <c r="Y249" t="str">
        <f t="shared" si="99"/>
        <v>04-08-2020</v>
      </c>
      <c r="Z249" t="str">
        <f>"IDSB19200804 403"</f>
        <v>IDSB19200804 403</v>
      </c>
    </row>
    <row r="250" spans="1:26" x14ac:dyDescent="0.25">
      <c r="A250" t="str">
        <f t="shared" si="104"/>
        <v>04-08-2020 01:21:36</v>
      </c>
      <c r="B250" t="str">
        <f>"0000810715"</f>
        <v>0000810715</v>
      </c>
      <c r="C250" t="str">
        <f t="shared" si="105"/>
        <v>0000810713</v>
      </c>
      <c r="D250" t="str">
        <f t="shared" si="85"/>
        <v>73185</v>
      </c>
      <c r="E250" t="str">
        <f t="shared" si="86"/>
        <v>KFH-OPERATIONS DEPARTMENT</v>
      </c>
      <c r="F250" t="str">
        <f t="shared" si="87"/>
        <v>IBG</v>
      </c>
      <c r="G250" t="str">
        <f t="shared" si="106"/>
        <v>Refund IDSB 19</v>
      </c>
      <c r="H250" s="2">
        <v>1737.8</v>
      </c>
      <c r="I250" t="str">
        <f>"SITI FATAHIYAH BINTI MAHAMOOD"</f>
        <v>SITI FATAHIYAH BINTI MAHAMOOD</v>
      </c>
      <c r="J250" t="str">
        <f t="shared" si="107"/>
        <v>MAYBANK / MAYBANK ISLAMIC</v>
      </c>
      <c r="K250" t="str">
        <f>"164490254102"</f>
        <v>164490254102</v>
      </c>
      <c r="L250" t="str">
        <f t="shared" si="110"/>
        <v>04-08-2020</v>
      </c>
      <c r="M250" t="str">
        <f t="shared" si="110"/>
        <v>04-08-2020</v>
      </c>
      <c r="N250" t="str">
        <f t="shared" si="90"/>
        <v>001105018356</v>
      </c>
      <c r="O250" t="str">
        <f t="shared" si="91"/>
        <v>MYR</v>
      </c>
      <c r="P250" t="str">
        <f t="shared" si="111"/>
        <v>NIL</v>
      </c>
      <c r="Q250" t="str">
        <f t="shared" si="111"/>
        <v>NIL</v>
      </c>
      <c r="R250" t="str">
        <f t="shared" si="92"/>
        <v>Accepted</v>
      </c>
      <c r="S250" t="str">
        <f t="shared" si="93"/>
        <v>Approved</v>
      </c>
      <c r="T250" t="str">
        <f t="shared" si="94"/>
        <v>10.20.8.188</v>
      </c>
      <c r="U250" t="str">
        <f t="shared" si="95"/>
        <v>AZRAD UMAR BIN SHAARI</v>
      </c>
      <c r="V250" t="str">
        <f t="shared" si="96"/>
        <v>FARHANA BINTI MUSTAPA</v>
      </c>
      <c r="W250" t="str">
        <f t="shared" si="97"/>
        <v>04-08-2020</v>
      </c>
      <c r="X250" t="str">
        <f t="shared" si="98"/>
        <v>RAZIMAH ANSAR AHMAD</v>
      </c>
      <c r="Y250" t="str">
        <f t="shared" si="99"/>
        <v>04-08-2020</v>
      </c>
      <c r="Z250" t="str">
        <f>"IDSB19200804 402"</f>
        <v>IDSB19200804 402</v>
      </c>
    </row>
    <row r="251" spans="1:26" x14ac:dyDescent="0.25">
      <c r="A251" t="str">
        <f t="shared" si="104"/>
        <v>04-08-2020 01:21:36</v>
      </c>
      <c r="B251" t="str">
        <f>"0000810714"</f>
        <v>0000810714</v>
      </c>
      <c r="C251" t="str">
        <f t="shared" si="105"/>
        <v>0000810713</v>
      </c>
      <c r="D251" t="str">
        <f t="shared" si="85"/>
        <v>73185</v>
      </c>
      <c r="E251" t="str">
        <f t="shared" si="86"/>
        <v>KFH-OPERATIONS DEPARTMENT</v>
      </c>
      <c r="F251" t="str">
        <f t="shared" si="87"/>
        <v>IBG</v>
      </c>
      <c r="G251" t="str">
        <f t="shared" si="106"/>
        <v>Refund IDSB 19</v>
      </c>
      <c r="H251" s="2">
        <v>395</v>
      </c>
      <c r="I251" t="str">
        <f>"SITI FARAHA BINTI KAMARUZAMAN"</f>
        <v>SITI FARAHA BINTI KAMARUZAMAN</v>
      </c>
      <c r="J251" t="str">
        <f t="shared" si="107"/>
        <v>MAYBANK / MAYBANK ISLAMIC</v>
      </c>
      <c r="K251" t="str">
        <f>"155096178795"</f>
        <v>155096178795</v>
      </c>
      <c r="L251" t="str">
        <f t="shared" si="110"/>
        <v>04-08-2020</v>
      </c>
      <c r="M251" t="str">
        <f t="shared" si="110"/>
        <v>04-08-2020</v>
      </c>
      <c r="N251" t="str">
        <f t="shared" si="90"/>
        <v>001105018356</v>
      </c>
      <c r="O251" t="str">
        <f t="shared" si="91"/>
        <v>MYR</v>
      </c>
      <c r="P251" t="str">
        <f t="shared" si="111"/>
        <v>NIL</v>
      </c>
      <c r="Q251" t="str">
        <f t="shared" si="111"/>
        <v>NIL</v>
      </c>
      <c r="R251" t="str">
        <f t="shared" si="92"/>
        <v>Accepted</v>
      </c>
      <c r="S251" t="str">
        <f t="shared" si="93"/>
        <v>Approved</v>
      </c>
      <c r="T251" t="str">
        <f t="shared" si="94"/>
        <v>10.20.8.188</v>
      </c>
      <c r="U251" t="str">
        <f t="shared" si="95"/>
        <v>AZRAD UMAR BIN SHAARI</v>
      </c>
      <c r="V251" t="str">
        <f t="shared" si="96"/>
        <v>FARHANA BINTI MUSTAPA</v>
      </c>
      <c r="W251" t="str">
        <f t="shared" si="97"/>
        <v>04-08-2020</v>
      </c>
      <c r="X251" t="str">
        <f t="shared" si="98"/>
        <v>RAZIMAH ANSAR AHMAD</v>
      </c>
      <c r="Y251" t="str">
        <f t="shared" si="99"/>
        <v>04-08-2020</v>
      </c>
      <c r="Z251" t="str">
        <f>"IDSB19200804 401"</f>
        <v>IDSB19200804 401</v>
      </c>
    </row>
    <row r="252" spans="1:26" x14ac:dyDescent="0.25">
      <c r="A252" t="str">
        <f t="shared" ref="A252:A283" si="112">"04-08-2020 01:21:07"</f>
        <v>04-08-2020 01:21:07</v>
      </c>
      <c r="B252" t="str">
        <f>"0000810712"</f>
        <v>0000810712</v>
      </c>
      <c r="C252" t="str">
        <f t="shared" ref="C252:C283" si="113">"0000810512"</f>
        <v>0000810512</v>
      </c>
      <c r="D252" t="str">
        <f t="shared" si="85"/>
        <v>73185</v>
      </c>
      <c r="E252" t="str">
        <f t="shared" si="86"/>
        <v>KFH-OPERATIONS DEPARTMENT</v>
      </c>
      <c r="F252" t="str">
        <f t="shared" si="87"/>
        <v>IBG</v>
      </c>
      <c r="G252" t="str">
        <f t="shared" si="106"/>
        <v>Refund IDSB 19</v>
      </c>
      <c r="H252" s="2">
        <v>274</v>
      </c>
      <c r="I252" t="str">
        <f>"SHAWAL RULRIZAL BIN MUHAMAD"</f>
        <v>SHAWAL RULRIZAL BIN MUHAMAD</v>
      </c>
      <c r="J252" t="str">
        <f t="shared" si="107"/>
        <v>MAYBANK / MAYBANK ISLAMIC</v>
      </c>
      <c r="K252" t="str">
        <f>"155015236235"</f>
        <v>155015236235</v>
      </c>
      <c r="L252" t="str">
        <f t="shared" si="110"/>
        <v>04-08-2020</v>
      </c>
      <c r="M252" t="str">
        <f t="shared" si="110"/>
        <v>04-08-2020</v>
      </c>
      <c r="N252" t="str">
        <f t="shared" si="90"/>
        <v>001105018356</v>
      </c>
      <c r="O252" t="str">
        <f t="shared" si="91"/>
        <v>MYR</v>
      </c>
      <c r="P252" t="str">
        <f t="shared" si="111"/>
        <v>NIL</v>
      </c>
      <c r="Q252" t="str">
        <f t="shared" si="111"/>
        <v>NIL</v>
      </c>
      <c r="R252" t="str">
        <f t="shared" si="92"/>
        <v>Accepted</v>
      </c>
      <c r="S252" t="str">
        <f t="shared" si="93"/>
        <v>Approved</v>
      </c>
      <c r="T252" t="str">
        <f t="shared" si="94"/>
        <v>10.20.8.188</v>
      </c>
      <c r="U252" t="str">
        <f t="shared" si="95"/>
        <v>AZRAD UMAR BIN SHAARI</v>
      </c>
      <c r="V252" t="str">
        <f t="shared" si="96"/>
        <v>FARHANA BINTI MUSTAPA</v>
      </c>
      <c r="W252" t="str">
        <f t="shared" si="97"/>
        <v>04-08-2020</v>
      </c>
      <c r="X252" t="str">
        <f t="shared" si="98"/>
        <v>RAZIMAH ANSAR AHMAD</v>
      </c>
      <c r="Y252" t="str">
        <f t="shared" si="99"/>
        <v>04-08-2020</v>
      </c>
      <c r="Z252" t="str">
        <f>"IDSB19200804 400"</f>
        <v>IDSB19200804 400</v>
      </c>
    </row>
    <row r="253" spans="1:26" x14ac:dyDescent="0.25">
      <c r="A253" t="str">
        <f t="shared" si="112"/>
        <v>04-08-2020 01:21:07</v>
      </c>
      <c r="B253" t="str">
        <f>"0000810711"</f>
        <v>0000810711</v>
      </c>
      <c r="C253" t="str">
        <f t="shared" si="113"/>
        <v>0000810512</v>
      </c>
      <c r="D253" t="str">
        <f t="shared" si="85"/>
        <v>73185</v>
      </c>
      <c r="E253" t="str">
        <f t="shared" si="86"/>
        <v>KFH-OPERATIONS DEPARTMENT</v>
      </c>
      <c r="F253" t="str">
        <f t="shared" si="87"/>
        <v>IBG</v>
      </c>
      <c r="G253" t="str">
        <f t="shared" si="106"/>
        <v>Refund IDSB 19</v>
      </c>
      <c r="H253" s="2">
        <v>58.93</v>
      </c>
      <c r="I253" t="str">
        <f>"SHAROUL EZMAN BIN ABDUL RAHIM"</f>
        <v>SHAROUL EZMAN BIN ABDUL RAHIM</v>
      </c>
      <c r="J253" t="str">
        <f t="shared" si="107"/>
        <v>MAYBANK / MAYBANK ISLAMIC</v>
      </c>
      <c r="K253" t="str">
        <f>"164025012567"</f>
        <v>164025012567</v>
      </c>
      <c r="L253" t="str">
        <f t="shared" si="110"/>
        <v>04-08-2020</v>
      </c>
      <c r="M253" t="str">
        <f t="shared" si="110"/>
        <v>04-08-2020</v>
      </c>
      <c r="N253" t="str">
        <f t="shared" si="90"/>
        <v>001105018356</v>
      </c>
      <c r="O253" t="str">
        <f t="shared" si="91"/>
        <v>MYR</v>
      </c>
      <c r="P253" t="str">
        <f t="shared" si="111"/>
        <v>NIL</v>
      </c>
      <c r="Q253" t="str">
        <f t="shared" si="111"/>
        <v>NIL</v>
      </c>
      <c r="R253" t="str">
        <f t="shared" si="92"/>
        <v>Accepted</v>
      </c>
      <c r="S253" t="str">
        <f t="shared" si="93"/>
        <v>Approved</v>
      </c>
      <c r="T253" t="str">
        <f t="shared" si="94"/>
        <v>10.20.8.188</v>
      </c>
      <c r="U253" t="str">
        <f t="shared" si="95"/>
        <v>AZRAD UMAR BIN SHAARI</v>
      </c>
      <c r="V253" t="str">
        <f t="shared" si="96"/>
        <v>FARHANA BINTI MUSTAPA</v>
      </c>
      <c r="W253" t="str">
        <f t="shared" si="97"/>
        <v>04-08-2020</v>
      </c>
      <c r="X253" t="str">
        <f t="shared" si="98"/>
        <v>RAZIMAH ANSAR AHMAD</v>
      </c>
      <c r="Y253" t="str">
        <f t="shared" si="99"/>
        <v>04-08-2020</v>
      </c>
      <c r="Z253" t="str">
        <f>"IDSB19200804 399"</f>
        <v>IDSB19200804 399</v>
      </c>
    </row>
    <row r="254" spans="1:26" x14ac:dyDescent="0.25">
      <c r="A254" t="str">
        <f t="shared" si="112"/>
        <v>04-08-2020 01:21:07</v>
      </c>
      <c r="B254" t="str">
        <f>"0000810710"</f>
        <v>0000810710</v>
      </c>
      <c r="C254" t="str">
        <f t="shared" si="113"/>
        <v>0000810512</v>
      </c>
      <c r="D254" t="str">
        <f t="shared" si="85"/>
        <v>73185</v>
      </c>
      <c r="E254" t="str">
        <f t="shared" si="86"/>
        <v>KFH-OPERATIONS DEPARTMENT</v>
      </c>
      <c r="F254" t="str">
        <f t="shared" si="87"/>
        <v>IBG</v>
      </c>
      <c r="G254" t="str">
        <f t="shared" si="106"/>
        <v>Refund IDSB 19</v>
      </c>
      <c r="H254" s="2">
        <v>155.19999999999999</v>
      </c>
      <c r="I254" t="str">
        <f>"SHAROUL EZMAN BIN ABDUL RAHIM"</f>
        <v>SHAROUL EZMAN BIN ABDUL RAHIM</v>
      </c>
      <c r="J254" t="str">
        <f t="shared" si="107"/>
        <v>MAYBANK / MAYBANK ISLAMIC</v>
      </c>
      <c r="K254" t="str">
        <f>"164025012567"</f>
        <v>164025012567</v>
      </c>
      <c r="L254" t="str">
        <f t="shared" si="110"/>
        <v>04-08-2020</v>
      </c>
      <c r="M254" t="str">
        <f t="shared" si="110"/>
        <v>04-08-2020</v>
      </c>
      <c r="N254" t="str">
        <f t="shared" si="90"/>
        <v>001105018356</v>
      </c>
      <c r="O254" t="str">
        <f t="shared" si="91"/>
        <v>MYR</v>
      </c>
      <c r="P254" t="str">
        <f t="shared" si="111"/>
        <v>NIL</v>
      </c>
      <c r="Q254" t="str">
        <f t="shared" si="111"/>
        <v>NIL</v>
      </c>
      <c r="R254" t="str">
        <f t="shared" si="92"/>
        <v>Accepted</v>
      </c>
      <c r="S254" t="str">
        <f t="shared" si="93"/>
        <v>Approved</v>
      </c>
      <c r="T254" t="str">
        <f t="shared" si="94"/>
        <v>10.20.8.188</v>
      </c>
      <c r="U254" t="str">
        <f t="shared" si="95"/>
        <v>AZRAD UMAR BIN SHAARI</v>
      </c>
      <c r="V254" t="str">
        <f t="shared" si="96"/>
        <v>FARHANA BINTI MUSTAPA</v>
      </c>
      <c r="W254" t="str">
        <f t="shared" si="97"/>
        <v>04-08-2020</v>
      </c>
      <c r="X254" t="str">
        <f t="shared" si="98"/>
        <v>RAZIMAH ANSAR AHMAD</v>
      </c>
      <c r="Y254" t="str">
        <f t="shared" si="99"/>
        <v>04-08-2020</v>
      </c>
      <c r="Z254" t="str">
        <f>"IDSB19200804 398"</f>
        <v>IDSB19200804 398</v>
      </c>
    </row>
    <row r="255" spans="1:26" x14ac:dyDescent="0.25">
      <c r="A255" t="str">
        <f t="shared" si="112"/>
        <v>04-08-2020 01:21:07</v>
      </c>
      <c r="B255" t="str">
        <f>"0000810709"</f>
        <v>0000810709</v>
      </c>
      <c r="C255" t="str">
        <f t="shared" si="113"/>
        <v>0000810512</v>
      </c>
      <c r="D255" t="str">
        <f t="shared" si="85"/>
        <v>73185</v>
      </c>
      <c r="E255" t="str">
        <f t="shared" si="86"/>
        <v>KFH-OPERATIONS DEPARTMENT</v>
      </c>
      <c r="F255" t="str">
        <f t="shared" si="87"/>
        <v>IBG</v>
      </c>
      <c r="G255" t="str">
        <f t="shared" si="106"/>
        <v>Refund IDSB 19</v>
      </c>
      <c r="H255" s="2">
        <v>134.30000000000001</v>
      </c>
      <c r="I255" t="str">
        <f>"SAUPI BINTI ISMAIL"</f>
        <v>SAUPI BINTI ISMAIL</v>
      </c>
      <c r="J255" t="str">
        <f t="shared" si="107"/>
        <v>MAYBANK / MAYBANK ISLAMIC</v>
      </c>
      <c r="K255" t="str">
        <f>"163019372163"</f>
        <v>163019372163</v>
      </c>
      <c r="L255" t="str">
        <f t="shared" si="110"/>
        <v>04-08-2020</v>
      </c>
      <c r="M255" t="str">
        <f t="shared" si="110"/>
        <v>04-08-2020</v>
      </c>
      <c r="N255" t="str">
        <f t="shared" si="90"/>
        <v>001105018356</v>
      </c>
      <c r="O255" t="str">
        <f t="shared" si="91"/>
        <v>MYR</v>
      </c>
      <c r="P255" t="str">
        <f t="shared" si="111"/>
        <v>NIL</v>
      </c>
      <c r="Q255" t="str">
        <f t="shared" si="111"/>
        <v>NIL</v>
      </c>
      <c r="R255" t="str">
        <f t="shared" si="92"/>
        <v>Accepted</v>
      </c>
      <c r="S255" t="str">
        <f t="shared" si="93"/>
        <v>Approved</v>
      </c>
      <c r="T255" t="str">
        <f t="shared" si="94"/>
        <v>10.20.8.188</v>
      </c>
      <c r="U255" t="str">
        <f t="shared" si="95"/>
        <v>AZRAD UMAR BIN SHAARI</v>
      </c>
      <c r="V255" t="str">
        <f t="shared" si="96"/>
        <v>FARHANA BINTI MUSTAPA</v>
      </c>
      <c r="W255" t="str">
        <f t="shared" si="97"/>
        <v>04-08-2020</v>
      </c>
      <c r="X255" t="str">
        <f t="shared" si="98"/>
        <v>RAZIMAH ANSAR AHMAD</v>
      </c>
      <c r="Y255" t="str">
        <f t="shared" si="99"/>
        <v>04-08-2020</v>
      </c>
      <c r="Z255" t="str">
        <f>"IDSB19200804 397"</f>
        <v>IDSB19200804 397</v>
      </c>
    </row>
    <row r="256" spans="1:26" x14ac:dyDescent="0.25">
      <c r="A256" t="str">
        <f t="shared" si="112"/>
        <v>04-08-2020 01:21:07</v>
      </c>
      <c r="B256" t="str">
        <f>"0000810708"</f>
        <v>0000810708</v>
      </c>
      <c r="C256" t="str">
        <f t="shared" si="113"/>
        <v>0000810512</v>
      </c>
      <c r="D256" t="str">
        <f t="shared" si="85"/>
        <v>73185</v>
      </c>
      <c r="E256" t="str">
        <f t="shared" si="86"/>
        <v>KFH-OPERATIONS DEPARTMENT</v>
      </c>
      <c r="F256" t="str">
        <f t="shared" si="87"/>
        <v>IBG</v>
      </c>
      <c r="G256" t="str">
        <f t="shared" si="106"/>
        <v>Refund IDSB 19</v>
      </c>
      <c r="H256" s="2">
        <v>84</v>
      </c>
      <c r="I256" t="str">
        <f>"SARASWATHY AP RAMU"</f>
        <v>SARASWATHY AP RAMU</v>
      </c>
      <c r="J256" t="str">
        <f t="shared" si="107"/>
        <v>MAYBANK / MAYBANK ISLAMIC</v>
      </c>
      <c r="K256" t="str">
        <f>"105091164447"</f>
        <v>105091164447</v>
      </c>
      <c r="L256" t="str">
        <f t="shared" si="110"/>
        <v>04-08-2020</v>
      </c>
      <c r="M256" t="str">
        <f t="shared" si="110"/>
        <v>04-08-2020</v>
      </c>
      <c r="N256" t="str">
        <f t="shared" si="90"/>
        <v>001105018356</v>
      </c>
      <c r="O256" t="str">
        <f t="shared" si="91"/>
        <v>MYR</v>
      </c>
      <c r="P256" t="str">
        <f t="shared" si="111"/>
        <v>NIL</v>
      </c>
      <c r="Q256" t="str">
        <f t="shared" si="111"/>
        <v>NIL</v>
      </c>
      <c r="R256" t="str">
        <f t="shared" si="92"/>
        <v>Accepted</v>
      </c>
      <c r="S256" t="str">
        <f t="shared" si="93"/>
        <v>Approved</v>
      </c>
      <c r="T256" t="str">
        <f t="shared" si="94"/>
        <v>10.20.8.188</v>
      </c>
      <c r="U256" t="str">
        <f t="shared" si="95"/>
        <v>AZRAD UMAR BIN SHAARI</v>
      </c>
      <c r="V256" t="str">
        <f t="shared" si="96"/>
        <v>FARHANA BINTI MUSTAPA</v>
      </c>
      <c r="W256" t="str">
        <f t="shared" si="97"/>
        <v>04-08-2020</v>
      </c>
      <c r="X256" t="str">
        <f t="shared" si="98"/>
        <v>RAZIMAH ANSAR AHMAD</v>
      </c>
      <c r="Y256" t="str">
        <f t="shared" si="99"/>
        <v>04-08-2020</v>
      </c>
      <c r="Z256" t="str">
        <f>"IDSB19200804 396"</f>
        <v>IDSB19200804 396</v>
      </c>
    </row>
    <row r="257" spans="1:26" x14ac:dyDescent="0.25">
      <c r="A257" t="str">
        <f t="shared" si="112"/>
        <v>04-08-2020 01:21:07</v>
      </c>
      <c r="B257" t="str">
        <f>"0000810707"</f>
        <v>0000810707</v>
      </c>
      <c r="C257" t="str">
        <f t="shared" si="113"/>
        <v>0000810512</v>
      </c>
      <c r="D257" t="str">
        <f t="shared" si="85"/>
        <v>73185</v>
      </c>
      <c r="E257" t="str">
        <f t="shared" si="86"/>
        <v>KFH-OPERATIONS DEPARTMENT</v>
      </c>
      <c r="F257" t="str">
        <f t="shared" si="87"/>
        <v>IBG</v>
      </c>
      <c r="G257" t="str">
        <f t="shared" si="106"/>
        <v>Refund IDSB 19</v>
      </c>
      <c r="H257" s="2">
        <v>293.85000000000002</v>
      </c>
      <c r="I257" t="str">
        <f>"SAHRINAWATI BINTI SULAIMAN"</f>
        <v>SAHRINAWATI BINTI SULAIMAN</v>
      </c>
      <c r="J257" t="str">
        <f t="shared" si="107"/>
        <v>MAYBANK / MAYBANK ISLAMIC</v>
      </c>
      <c r="K257" t="str">
        <f>"166010051470"</f>
        <v>166010051470</v>
      </c>
      <c r="L257" t="str">
        <f t="shared" si="110"/>
        <v>04-08-2020</v>
      </c>
      <c r="M257" t="str">
        <f t="shared" si="110"/>
        <v>04-08-2020</v>
      </c>
      <c r="N257" t="str">
        <f t="shared" si="90"/>
        <v>001105018356</v>
      </c>
      <c r="O257" t="str">
        <f t="shared" si="91"/>
        <v>MYR</v>
      </c>
      <c r="P257" t="str">
        <f t="shared" si="111"/>
        <v>NIL</v>
      </c>
      <c r="Q257" t="str">
        <f t="shared" si="111"/>
        <v>NIL</v>
      </c>
      <c r="R257" t="str">
        <f t="shared" si="92"/>
        <v>Accepted</v>
      </c>
      <c r="S257" t="str">
        <f t="shared" si="93"/>
        <v>Approved</v>
      </c>
      <c r="T257" t="str">
        <f t="shared" si="94"/>
        <v>10.20.8.188</v>
      </c>
      <c r="U257" t="str">
        <f t="shared" si="95"/>
        <v>AZRAD UMAR BIN SHAARI</v>
      </c>
      <c r="V257" t="str">
        <f t="shared" si="96"/>
        <v>FARHANA BINTI MUSTAPA</v>
      </c>
      <c r="W257" t="str">
        <f t="shared" si="97"/>
        <v>04-08-2020</v>
      </c>
      <c r="X257" t="str">
        <f t="shared" si="98"/>
        <v>RAZIMAH ANSAR AHMAD</v>
      </c>
      <c r="Y257" t="str">
        <f t="shared" si="99"/>
        <v>04-08-2020</v>
      </c>
      <c r="Z257" t="str">
        <f>"IDSB19200804 395"</f>
        <v>IDSB19200804 395</v>
      </c>
    </row>
    <row r="258" spans="1:26" x14ac:dyDescent="0.25">
      <c r="A258" t="str">
        <f t="shared" si="112"/>
        <v>04-08-2020 01:21:07</v>
      </c>
      <c r="B258" t="str">
        <f>"0000810706"</f>
        <v>0000810706</v>
      </c>
      <c r="C258" t="str">
        <f t="shared" si="113"/>
        <v>0000810512</v>
      </c>
      <c r="D258" t="str">
        <f t="shared" si="85"/>
        <v>73185</v>
      </c>
      <c r="E258" t="str">
        <f t="shared" si="86"/>
        <v>KFH-OPERATIONS DEPARTMENT</v>
      </c>
      <c r="F258" t="str">
        <f t="shared" si="87"/>
        <v>IBG</v>
      </c>
      <c r="G258" t="str">
        <f t="shared" si="106"/>
        <v>Refund IDSB 19</v>
      </c>
      <c r="H258" s="2">
        <v>1063</v>
      </c>
      <c r="I258" t="str">
        <f>"SAHIDAN BIN PARAN"</f>
        <v>SAHIDAN BIN PARAN</v>
      </c>
      <c r="J258" t="str">
        <f t="shared" si="107"/>
        <v>MAYBANK / MAYBANK ISLAMIC</v>
      </c>
      <c r="K258" t="str">
        <f>"151584011803"</f>
        <v>151584011803</v>
      </c>
      <c r="L258" t="str">
        <f t="shared" si="110"/>
        <v>04-08-2020</v>
      </c>
      <c r="M258" t="str">
        <f t="shared" si="110"/>
        <v>04-08-2020</v>
      </c>
      <c r="N258" t="str">
        <f t="shared" si="90"/>
        <v>001105018356</v>
      </c>
      <c r="O258" t="str">
        <f t="shared" si="91"/>
        <v>MYR</v>
      </c>
      <c r="P258" t="str">
        <f t="shared" si="111"/>
        <v>NIL</v>
      </c>
      <c r="Q258" t="str">
        <f t="shared" si="111"/>
        <v>NIL</v>
      </c>
      <c r="R258" t="str">
        <f t="shared" si="92"/>
        <v>Accepted</v>
      </c>
      <c r="S258" t="str">
        <f t="shared" si="93"/>
        <v>Approved</v>
      </c>
      <c r="T258" t="str">
        <f t="shared" si="94"/>
        <v>10.20.8.188</v>
      </c>
      <c r="U258" t="str">
        <f t="shared" si="95"/>
        <v>AZRAD UMAR BIN SHAARI</v>
      </c>
      <c r="V258" t="str">
        <f t="shared" si="96"/>
        <v>FARHANA BINTI MUSTAPA</v>
      </c>
      <c r="W258" t="str">
        <f t="shared" si="97"/>
        <v>04-08-2020</v>
      </c>
      <c r="X258" t="str">
        <f t="shared" si="98"/>
        <v>RAZIMAH ANSAR AHMAD</v>
      </c>
      <c r="Y258" t="str">
        <f t="shared" si="99"/>
        <v>04-08-2020</v>
      </c>
      <c r="Z258" t="str">
        <f>"IDSB19200804 394"</f>
        <v>IDSB19200804 394</v>
      </c>
    </row>
    <row r="259" spans="1:26" x14ac:dyDescent="0.25">
      <c r="A259" t="str">
        <f t="shared" si="112"/>
        <v>04-08-2020 01:21:07</v>
      </c>
      <c r="B259" t="str">
        <f>"0000810705"</f>
        <v>0000810705</v>
      </c>
      <c r="C259" t="str">
        <f t="shared" si="113"/>
        <v>0000810512</v>
      </c>
      <c r="D259" t="str">
        <f t="shared" si="85"/>
        <v>73185</v>
      </c>
      <c r="E259" t="str">
        <f t="shared" si="86"/>
        <v>KFH-OPERATIONS DEPARTMENT</v>
      </c>
      <c r="F259" t="str">
        <f t="shared" si="87"/>
        <v>IBG</v>
      </c>
      <c r="G259" t="str">
        <f t="shared" si="106"/>
        <v>Refund IDSB 19</v>
      </c>
      <c r="H259" s="2">
        <v>88.45</v>
      </c>
      <c r="I259" t="str">
        <f>"SAHARULNIZAM BIN MOHD WARAS"</f>
        <v>SAHARULNIZAM BIN MOHD WARAS</v>
      </c>
      <c r="J259" t="str">
        <f t="shared" si="107"/>
        <v>MAYBANK / MAYBANK ISLAMIC</v>
      </c>
      <c r="K259" t="str">
        <f>"114262237702"</f>
        <v>114262237702</v>
      </c>
      <c r="L259" t="str">
        <f t="shared" si="110"/>
        <v>04-08-2020</v>
      </c>
      <c r="M259" t="str">
        <f t="shared" si="110"/>
        <v>04-08-2020</v>
      </c>
      <c r="N259" t="str">
        <f t="shared" si="90"/>
        <v>001105018356</v>
      </c>
      <c r="O259" t="str">
        <f t="shared" si="91"/>
        <v>MYR</v>
      </c>
      <c r="P259" t="str">
        <f t="shared" si="111"/>
        <v>NIL</v>
      </c>
      <c r="Q259" t="str">
        <f t="shared" si="111"/>
        <v>NIL</v>
      </c>
      <c r="R259" t="str">
        <f t="shared" si="92"/>
        <v>Accepted</v>
      </c>
      <c r="S259" t="str">
        <f t="shared" si="93"/>
        <v>Approved</v>
      </c>
      <c r="T259" t="str">
        <f t="shared" si="94"/>
        <v>10.20.8.188</v>
      </c>
      <c r="U259" t="str">
        <f t="shared" si="95"/>
        <v>AZRAD UMAR BIN SHAARI</v>
      </c>
      <c r="V259" t="str">
        <f t="shared" si="96"/>
        <v>FARHANA BINTI MUSTAPA</v>
      </c>
      <c r="W259" t="str">
        <f t="shared" si="97"/>
        <v>04-08-2020</v>
      </c>
      <c r="X259" t="str">
        <f t="shared" si="98"/>
        <v>RAZIMAH ANSAR AHMAD</v>
      </c>
      <c r="Y259" t="str">
        <f t="shared" si="99"/>
        <v>04-08-2020</v>
      </c>
      <c r="Z259" t="str">
        <f>"IDSB19200804 393"</f>
        <v>IDSB19200804 393</v>
      </c>
    </row>
    <row r="260" spans="1:26" x14ac:dyDescent="0.25">
      <c r="A260" t="str">
        <f t="shared" si="112"/>
        <v>04-08-2020 01:21:07</v>
      </c>
      <c r="B260" t="str">
        <f>"0000810704"</f>
        <v>0000810704</v>
      </c>
      <c r="C260" t="str">
        <f t="shared" si="113"/>
        <v>0000810512</v>
      </c>
      <c r="D260" t="str">
        <f t="shared" si="85"/>
        <v>73185</v>
      </c>
      <c r="E260" t="str">
        <f t="shared" si="86"/>
        <v>KFH-OPERATIONS DEPARTMENT</v>
      </c>
      <c r="F260" t="str">
        <f t="shared" si="87"/>
        <v>IBG</v>
      </c>
      <c r="G260" t="str">
        <f t="shared" si="106"/>
        <v>Refund IDSB 19</v>
      </c>
      <c r="H260" s="2">
        <v>422.23</v>
      </c>
      <c r="I260" t="str">
        <f>"SAFURA BINTI SALLEH"</f>
        <v>SAFURA BINTI SALLEH</v>
      </c>
      <c r="J260" t="str">
        <f t="shared" si="107"/>
        <v>MAYBANK / MAYBANK ISLAMIC</v>
      </c>
      <c r="K260" t="str">
        <f>"114105247659"</f>
        <v>114105247659</v>
      </c>
      <c r="L260" t="str">
        <f t="shared" si="110"/>
        <v>04-08-2020</v>
      </c>
      <c r="M260" t="str">
        <f t="shared" si="110"/>
        <v>04-08-2020</v>
      </c>
      <c r="N260" t="str">
        <f t="shared" si="90"/>
        <v>001105018356</v>
      </c>
      <c r="O260" t="str">
        <f t="shared" si="91"/>
        <v>MYR</v>
      </c>
      <c r="P260" t="str">
        <f t="shared" si="111"/>
        <v>NIL</v>
      </c>
      <c r="Q260" t="str">
        <f t="shared" si="111"/>
        <v>NIL</v>
      </c>
      <c r="R260" t="str">
        <f t="shared" si="92"/>
        <v>Accepted</v>
      </c>
      <c r="S260" t="str">
        <f t="shared" si="93"/>
        <v>Approved</v>
      </c>
      <c r="T260" t="str">
        <f t="shared" si="94"/>
        <v>10.20.8.188</v>
      </c>
      <c r="U260" t="str">
        <f t="shared" si="95"/>
        <v>AZRAD UMAR BIN SHAARI</v>
      </c>
      <c r="V260" t="str">
        <f t="shared" si="96"/>
        <v>FARHANA BINTI MUSTAPA</v>
      </c>
      <c r="W260" t="str">
        <f t="shared" si="97"/>
        <v>04-08-2020</v>
      </c>
      <c r="X260" t="str">
        <f t="shared" si="98"/>
        <v>RAZIMAH ANSAR AHMAD</v>
      </c>
      <c r="Y260" t="str">
        <f t="shared" si="99"/>
        <v>04-08-2020</v>
      </c>
      <c r="Z260" t="str">
        <f>"IDSB19200804 392"</f>
        <v>IDSB19200804 392</v>
      </c>
    </row>
    <row r="261" spans="1:26" x14ac:dyDescent="0.25">
      <c r="A261" t="str">
        <f t="shared" si="112"/>
        <v>04-08-2020 01:21:07</v>
      </c>
      <c r="B261" t="str">
        <f>"0000810703"</f>
        <v>0000810703</v>
      </c>
      <c r="C261" t="str">
        <f t="shared" si="113"/>
        <v>0000810512</v>
      </c>
      <c r="D261" t="str">
        <f t="shared" si="85"/>
        <v>73185</v>
      </c>
      <c r="E261" t="str">
        <f t="shared" si="86"/>
        <v>KFH-OPERATIONS DEPARTMENT</v>
      </c>
      <c r="F261" t="str">
        <f t="shared" si="87"/>
        <v>IBG</v>
      </c>
      <c r="G261" t="str">
        <f t="shared" si="106"/>
        <v>Refund IDSB 19</v>
      </c>
      <c r="H261" s="2">
        <v>41.98</v>
      </c>
      <c r="I261" t="str">
        <f>"SAFINAH BINTI AHMAD"</f>
        <v>SAFINAH BINTI AHMAD</v>
      </c>
      <c r="J261" t="str">
        <f t="shared" si="107"/>
        <v>MAYBANK / MAYBANK ISLAMIC</v>
      </c>
      <c r="K261" t="str">
        <f>"162263147030"</f>
        <v>162263147030</v>
      </c>
      <c r="L261" t="str">
        <f t="shared" si="110"/>
        <v>04-08-2020</v>
      </c>
      <c r="M261" t="str">
        <f t="shared" si="110"/>
        <v>04-08-2020</v>
      </c>
      <c r="N261" t="str">
        <f t="shared" si="90"/>
        <v>001105018356</v>
      </c>
      <c r="O261" t="str">
        <f t="shared" si="91"/>
        <v>MYR</v>
      </c>
      <c r="P261" t="str">
        <f t="shared" si="111"/>
        <v>NIL</v>
      </c>
      <c r="Q261" t="str">
        <f t="shared" si="111"/>
        <v>NIL</v>
      </c>
      <c r="R261" t="str">
        <f t="shared" si="92"/>
        <v>Accepted</v>
      </c>
      <c r="S261" t="str">
        <f t="shared" si="93"/>
        <v>Approved</v>
      </c>
      <c r="T261" t="str">
        <f t="shared" si="94"/>
        <v>10.20.8.188</v>
      </c>
      <c r="U261" t="str">
        <f t="shared" si="95"/>
        <v>AZRAD UMAR BIN SHAARI</v>
      </c>
      <c r="V261" t="str">
        <f t="shared" si="96"/>
        <v>FARHANA BINTI MUSTAPA</v>
      </c>
      <c r="W261" t="str">
        <f t="shared" si="97"/>
        <v>04-08-2020</v>
      </c>
      <c r="X261" t="str">
        <f t="shared" si="98"/>
        <v>RAZIMAH ANSAR AHMAD</v>
      </c>
      <c r="Y261" t="str">
        <f t="shared" si="99"/>
        <v>04-08-2020</v>
      </c>
      <c r="Z261" t="str">
        <f>"IDSB19200804 391"</f>
        <v>IDSB19200804 391</v>
      </c>
    </row>
    <row r="262" spans="1:26" x14ac:dyDescent="0.25">
      <c r="A262" t="str">
        <f t="shared" si="112"/>
        <v>04-08-2020 01:21:07</v>
      </c>
      <c r="B262" t="str">
        <f>"0000810702"</f>
        <v>0000810702</v>
      </c>
      <c r="C262" t="str">
        <f t="shared" si="113"/>
        <v>0000810512</v>
      </c>
      <c r="D262" t="str">
        <f t="shared" si="85"/>
        <v>73185</v>
      </c>
      <c r="E262" t="str">
        <f t="shared" si="86"/>
        <v>KFH-OPERATIONS DEPARTMENT</v>
      </c>
      <c r="F262" t="str">
        <f t="shared" si="87"/>
        <v>IBG</v>
      </c>
      <c r="G262" t="str">
        <f t="shared" si="106"/>
        <v>Refund IDSB 19</v>
      </c>
      <c r="H262" s="2">
        <v>181</v>
      </c>
      <c r="I262" t="str">
        <f>"ROSNIZAH BINTI SAHRANI"</f>
        <v>ROSNIZAH BINTI SAHRANI</v>
      </c>
      <c r="J262" t="str">
        <f t="shared" si="107"/>
        <v>MAYBANK / MAYBANK ISLAMIC</v>
      </c>
      <c r="K262" t="str">
        <f>"114262130329"</f>
        <v>114262130329</v>
      </c>
      <c r="L262" t="str">
        <f t="shared" si="110"/>
        <v>04-08-2020</v>
      </c>
      <c r="M262" t="str">
        <f t="shared" si="110"/>
        <v>04-08-2020</v>
      </c>
      <c r="N262" t="str">
        <f t="shared" si="90"/>
        <v>001105018356</v>
      </c>
      <c r="O262" t="str">
        <f t="shared" si="91"/>
        <v>MYR</v>
      </c>
      <c r="P262" t="str">
        <f t="shared" si="111"/>
        <v>NIL</v>
      </c>
      <c r="Q262" t="str">
        <f t="shared" si="111"/>
        <v>NIL</v>
      </c>
      <c r="R262" t="str">
        <f t="shared" si="92"/>
        <v>Accepted</v>
      </c>
      <c r="S262" t="str">
        <f t="shared" si="93"/>
        <v>Approved</v>
      </c>
      <c r="T262" t="str">
        <f t="shared" si="94"/>
        <v>10.20.8.188</v>
      </c>
      <c r="U262" t="str">
        <f t="shared" si="95"/>
        <v>AZRAD UMAR BIN SHAARI</v>
      </c>
      <c r="V262" t="str">
        <f t="shared" si="96"/>
        <v>FARHANA BINTI MUSTAPA</v>
      </c>
      <c r="W262" t="str">
        <f t="shared" si="97"/>
        <v>04-08-2020</v>
      </c>
      <c r="X262" t="str">
        <f t="shared" si="98"/>
        <v>RAZIMAH ANSAR AHMAD</v>
      </c>
      <c r="Y262" t="str">
        <f t="shared" si="99"/>
        <v>04-08-2020</v>
      </c>
      <c r="Z262" t="str">
        <f>"IDSB19200804 390"</f>
        <v>IDSB19200804 390</v>
      </c>
    </row>
    <row r="263" spans="1:26" x14ac:dyDescent="0.25">
      <c r="A263" t="str">
        <f t="shared" si="112"/>
        <v>04-08-2020 01:21:07</v>
      </c>
      <c r="B263" t="str">
        <f>"0000810701"</f>
        <v>0000810701</v>
      </c>
      <c r="C263" t="str">
        <f t="shared" si="113"/>
        <v>0000810512</v>
      </c>
      <c r="D263" t="str">
        <f t="shared" ref="D263:D326" si="114">"73185"</f>
        <v>73185</v>
      </c>
      <c r="E263" t="str">
        <f t="shared" ref="E263:E326" si="115">"KFH-OPERATIONS DEPARTMENT"</f>
        <v>KFH-OPERATIONS DEPARTMENT</v>
      </c>
      <c r="F263" t="str">
        <f t="shared" ref="F263:F326" si="116">"IBG"</f>
        <v>IBG</v>
      </c>
      <c r="G263" t="str">
        <f t="shared" si="106"/>
        <v>Refund IDSB 19</v>
      </c>
      <c r="H263" s="2">
        <v>1517.1</v>
      </c>
      <c r="I263" t="str">
        <f>"ROSNIZA BINTI AHMAD"</f>
        <v>ROSNIZA BINTI AHMAD</v>
      </c>
      <c r="J263" t="str">
        <f t="shared" si="107"/>
        <v>MAYBANK / MAYBANK ISLAMIC</v>
      </c>
      <c r="K263" t="str">
        <f>"158211612256"</f>
        <v>158211612256</v>
      </c>
      <c r="L263" t="str">
        <f t="shared" si="110"/>
        <v>04-08-2020</v>
      </c>
      <c r="M263" t="str">
        <f t="shared" si="110"/>
        <v>04-08-2020</v>
      </c>
      <c r="N263" t="str">
        <f t="shared" ref="N263:N326" si="117">"001105018356"</f>
        <v>001105018356</v>
      </c>
      <c r="O263" t="str">
        <f t="shared" ref="O263:O326" si="118">"MYR"</f>
        <v>MYR</v>
      </c>
      <c r="P263" t="str">
        <f t="shared" si="111"/>
        <v>NIL</v>
      </c>
      <c r="Q263" t="str">
        <f t="shared" si="111"/>
        <v>NIL</v>
      </c>
      <c r="R263" t="str">
        <f t="shared" ref="R263:R326" si="119">"Accepted"</f>
        <v>Accepted</v>
      </c>
      <c r="S263" t="str">
        <f t="shared" ref="S263:S326" si="120">"Approved"</f>
        <v>Approved</v>
      </c>
      <c r="T263" t="str">
        <f t="shared" ref="T263:T326" si="121">"10.20.8.188"</f>
        <v>10.20.8.188</v>
      </c>
      <c r="U263" t="str">
        <f t="shared" ref="U263:U326" si="122">"AZRAD UMAR BIN SHAARI"</f>
        <v>AZRAD UMAR BIN SHAARI</v>
      </c>
      <c r="V263" t="str">
        <f t="shared" ref="V263:V326" si="123">"FARHANA BINTI MUSTAPA"</f>
        <v>FARHANA BINTI MUSTAPA</v>
      </c>
      <c r="W263" t="str">
        <f t="shared" ref="W263:W326" si="124">"04-08-2020"</f>
        <v>04-08-2020</v>
      </c>
      <c r="X263" t="str">
        <f t="shared" ref="X263:X326" si="125">"RAZIMAH ANSAR AHMAD"</f>
        <v>RAZIMAH ANSAR AHMAD</v>
      </c>
      <c r="Y263" t="str">
        <f t="shared" ref="Y263:Y326" si="126">"04-08-2020"</f>
        <v>04-08-2020</v>
      </c>
      <c r="Z263" t="str">
        <f>"IDSB19200804 389"</f>
        <v>IDSB19200804 389</v>
      </c>
    </row>
    <row r="264" spans="1:26" x14ac:dyDescent="0.25">
      <c r="A264" t="str">
        <f t="shared" si="112"/>
        <v>04-08-2020 01:21:07</v>
      </c>
      <c r="B264" t="str">
        <f>"0000810700"</f>
        <v>0000810700</v>
      </c>
      <c r="C264" t="str">
        <f t="shared" si="113"/>
        <v>0000810512</v>
      </c>
      <c r="D264" t="str">
        <f t="shared" si="114"/>
        <v>73185</v>
      </c>
      <c r="E264" t="str">
        <f t="shared" si="115"/>
        <v>KFH-OPERATIONS DEPARTMENT</v>
      </c>
      <c r="F264" t="str">
        <f t="shared" si="116"/>
        <v>IBG</v>
      </c>
      <c r="G264" t="str">
        <f t="shared" si="106"/>
        <v>Refund IDSB 19</v>
      </c>
      <c r="H264" s="2">
        <v>755.25</v>
      </c>
      <c r="I264" t="str">
        <f>"ROSNITA BINTI AB MAJID"</f>
        <v>ROSNITA BINTI AB MAJID</v>
      </c>
      <c r="J264" t="str">
        <f t="shared" si="107"/>
        <v>MAYBANK / MAYBANK ISLAMIC</v>
      </c>
      <c r="K264" t="str">
        <f>"154035335723"</f>
        <v>154035335723</v>
      </c>
      <c r="L264" t="str">
        <f t="shared" si="110"/>
        <v>04-08-2020</v>
      </c>
      <c r="M264" t="str">
        <f t="shared" si="110"/>
        <v>04-08-2020</v>
      </c>
      <c r="N264" t="str">
        <f t="shared" si="117"/>
        <v>001105018356</v>
      </c>
      <c r="O264" t="str">
        <f t="shared" si="118"/>
        <v>MYR</v>
      </c>
      <c r="P264" t="str">
        <f t="shared" si="111"/>
        <v>NIL</v>
      </c>
      <c r="Q264" t="str">
        <f t="shared" si="111"/>
        <v>NIL</v>
      </c>
      <c r="R264" t="str">
        <f t="shared" si="119"/>
        <v>Accepted</v>
      </c>
      <c r="S264" t="str">
        <f t="shared" si="120"/>
        <v>Approved</v>
      </c>
      <c r="T264" t="str">
        <f t="shared" si="121"/>
        <v>10.20.8.188</v>
      </c>
      <c r="U264" t="str">
        <f t="shared" si="122"/>
        <v>AZRAD UMAR BIN SHAARI</v>
      </c>
      <c r="V264" t="str">
        <f t="shared" si="123"/>
        <v>FARHANA BINTI MUSTAPA</v>
      </c>
      <c r="W264" t="str">
        <f t="shared" si="124"/>
        <v>04-08-2020</v>
      </c>
      <c r="X264" t="str">
        <f t="shared" si="125"/>
        <v>RAZIMAH ANSAR AHMAD</v>
      </c>
      <c r="Y264" t="str">
        <f t="shared" si="126"/>
        <v>04-08-2020</v>
      </c>
      <c r="Z264" t="str">
        <f>"IDSB19200804 388"</f>
        <v>IDSB19200804 388</v>
      </c>
    </row>
    <row r="265" spans="1:26" x14ac:dyDescent="0.25">
      <c r="A265" t="str">
        <f t="shared" si="112"/>
        <v>04-08-2020 01:21:07</v>
      </c>
      <c r="B265" t="str">
        <f>"0000810699"</f>
        <v>0000810699</v>
      </c>
      <c r="C265" t="str">
        <f t="shared" si="113"/>
        <v>0000810512</v>
      </c>
      <c r="D265" t="str">
        <f t="shared" si="114"/>
        <v>73185</v>
      </c>
      <c r="E265" t="str">
        <f t="shared" si="115"/>
        <v>KFH-OPERATIONS DEPARTMENT</v>
      </c>
      <c r="F265" t="str">
        <f t="shared" si="116"/>
        <v>IBG</v>
      </c>
      <c r="G265" t="str">
        <f t="shared" si="106"/>
        <v>Refund IDSB 19</v>
      </c>
      <c r="H265" s="2">
        <v>865</v>
      </c>
      <c r="I265" t="str">
        <f>"ROSAZALINA BINTI SAMINGAN"</f>
        <v>ROSAZALINA BINTI SAMINGAN</v>
      </c>
      <c r="J265" t="str">
        <f t="shared" si="107"/>
        <v>MAYBANK / MAYBANK ISLAMIC</v>
      </c>
      <c r="K265" t="str">
        <f>"101151055654"</f>
        <v>101151055654</v>
      </c>
      <c r="L265" t="str">
        <f t="shared" si="110"/>
        <v>04-08-2020</v>
      </c>
      <c r="M265" t="str">
        <f t="shared" si="110"/>
        <v>04-08-2020</v>
      </c>
      <c r="N265" t="str">
        <f t="shared" si="117"/>
        <v>001105018356</v>
      </c>
      <c r="O265" t="str">
        <f t="shared" si="118"/>
        <v>MYR</v>
      </c>
      <c r="P265" t="str">
        <f t="shared" si="111"/>
        <v>NIL</v>
      </c>
      <c r="Q265" t="str">
        <f t="shared" si="111"/>
        <v>NIL</v>
      </c>
      <c r="R265" t="str">
        <f t="shared" si="119"/>
        <v>Accepted</v>
      </c>
      <c r="S265" t="str">
        <f t="shared" si="120"/>
        <v>Approved</v>
      </c>
      <c r="T265" t="str">
        <f t="shared" si="121"/>
        <v>10.20.8.188</v>
      </c>
      <c r="U265" t="str">
        <f t="shared" si="122"/>
        <v>AZRAD UMAR BIN SHAARI</v>
      </c>
      <c r="V265" t="str">
        <f t="shared" si="123"/>
        <v>FARHANA BINTI MUSTAPA</v>
      </c>
      <c r="W265" t="str">
        <f t="shared" si="124"/>
        <v>04-08-2020</v>
      </c>
      <c r="X265" t="str">
        <f t="shared" si="125"/>
        <v>RAZIMAH ANSAR AHMAD</v>
      </c>
      <c r="Y265" t="str">
        <f t="shared" si="126"/>
        <v>04-08-2020</v>
      </c>
      <c r="Z265" t="str">
        <f>"IDSB19200804 387"</f>
        <v>IDSB19200804 387</v>
      </c>
    </row>
    <row r="266" spans="1:26" x14ac:dyDescent="0.25">
      <c r="A266" t="str">
        <f t="shared" si="112"/>
        <v>04-08-2020 01:21:07</v>
      </c>
      <c r="B266" t="str">
        <f>"0000810698"</f>
        <v>0000810698</v>
      </c>
      <c r="C266" t="str">
        <f t="shared" si="113"/>
        <v>0000810512</v>
      </c>
      <c r="D266" t="str">
        <f t="shared" si="114"/>
        <v>73185</v>
      </c>
      <c r="E266" t="str">
        <f t="shared" si="115"/>
        <v>KFH-OPERATIONS DEPARTMENT</v>
      </c>
      <c r="F266" t="str">
        <f t="shared" si="116"/>
        <v>IBG</v>
      </c>
      <c r="G266" t="str">
        <f t="shared" si="106"/>
        <v>Refund IDSB 19</v>
      </c>
      <c r="H266" s="2">
        <v>196.5</v>
      </c>
      <c r="I266" t="str">
        <f>"RIDHUAN BIN OSMAN"</f>
        <v>RIDHUAN BIN OSMAN</v>
      </c>
      <c r="J266" t="str">
        <f t="shared" si="107"/>
        <v>MAYBANK / MAYBANK ISLAMIC</v>
      </c>
      <c r="K266" t="str">
        <f>"162348437899"</f>
        <v>162348437899</v>
      </c>
      <c r="L266" t="str">
        <f t="shared" si="110"/>
        <v>04-08-2020</v>
      </c>
      <c r="M266" t="str">
        <f t="shared" si="110"/>
        <v>04-08-2020</v>
      </c>
      <c r="N266" t="str">
        <f t="shared" si="117"/>
        <v>001105018356</v>
      </c>
      <c r="O266" t="str">
        <f t="shared" si="118"/>
        <v>MYR</v>
      </c>
      <c r="P266" t="str">
        <f t="shared" si="111"/>
        <v>NIL</v>
      </c>
      <c r="Q266" t="str">
        <f t="shared" si="111"/>
        <v>NIL</v>
      </c>
      <c r="R266" t="str">
        <f t="shared" si="119"/>
        <v>Accepted</v>
      </c>
      <c r="S266" t="str">
        <f t="shared" si="120"/>
        <v>Approved</v>
      </c>
      <c r="T266" t="str">
        <f t="shared" si="121"/>
        <v>10.20.8.188</v>
      </c>
      <c r="U266" t="str">
        <f t="shared" si="122"/>
        <v>AZRAD UMAR BIN SHAARI</v>
      </c>
      <c r="V266" t="str">
        <f t="shared" si="123"/>
        <v>FARHANA BINTI MUSTAPA</v>
      </c>
      <c r="W266" t="str">
        <f t="shared" si="124"/>
        <v>04-08-2020</v>
      </c>
      <c r="X266" t="str">
        <f t="shared" si="125"/>
        <v>RAZIMAH ANSAR AHMAD</v>
      </c>
      <c r="Y266" t="str">
        <f t="shared" si="126"/>
        <v>04-08-2020</v>
      </c>
      <c r="Z266" t="str">
        <f>"IDSB19200804 386"</f>
        <v>IDSB19200804 386</v>
      </c>
    </row>
    <row r="267" spans="1:26" x14ac:dyDescent="0.25">
      <c r="A267" t="str">
        <f t="shared" si="112"/>
        <v>04-08-2020 01:21:07</v>
      </c>
      <c r="B267" t="str">
        <f>"0000810697"</f>
        <v>0000810697</v>
      </c>
      <c r="C267" t="str">
        <f t="shared" si="113"/>
        <v>0000810512</v>
      </c>
      <c r="D267" t="str">
        <f t="shared" si="114"/>
        <v>73185</v>
      </c>
      <c r="E267" t="str">
        <f t="shared" si="115"/>
        <v>KFH-OPERATIONS DEPARTMENT</v>
      </c>
      <c r="F267" t="str">
        <f t="shared" si="116"/>
        <v>IBG</v>
      </c>
      <c r="G267" t="str">
        <f t="shared" si="106"/>
        <v>Refund IDSB 19</v>
      </c>
      <c r="H267" s="2">
        <v>46</v>
      </c>
      <c r="I267" t="str">
        <f>"RAJASEGARAN AL ARUNASALAM"</f>
        <v>RAJASEGARAN AL ARUNASALAM</v>
      </c>
      <c r="J267" t="str">
        <f t="shared" si="107"/>
        <v>MAYBANK / MAYBANK ISLAMIC</v>
      </c>
      <c r="K267" t="str">
        <f>"102055207987"</f>
        <v>102055207987</v>
      </c>
      <c r="L267" t="str">
        <f t="shared" ref="L267:M286" si="127">"04-08-2020"</f>
        <v>04-08-2020</v>
      </c>
      <c r="M267" t="str">
        <f t="shared" si="127"/>
        <v>04-08-2020</v>
      </c>
      <c r="N267" t="str">
        <f t="shared" si="117"/>
        <v>001105018356</v>
      </c>
      <c r="O267" t="str">
        <f t="shared" si="118"/>
        <v>MYR</v>
      </c>
      <c r="P267" t="str">
        <f t="shared" ref="P267:Q286" si="128">"NIL"</f>
        <v>NIL</v>
      </c>
      <c r="Q267" t="str">
        <f t="shared" si="128"/>
        <v>NIL</v>
      </c>
      <c r="R267" t="str">
        <f t="shared" si="119"/>
        <v>Accepted</v>
      </c>
      <c r="S267" t="str">
        <f t="shared" si="120"/>
        <v>Approved</v>
      </c>
      <c r="T267" t="str">
        <f t="shared" si="121"/>
        <v>10.20.8.188</v>
      </c>
      <c r="U267" t="str">
        <f t="shared" si="122"/>
        <v>AZRAD UMAR BIN SHAARI</v>
      </c>
      <c r="V267" t="str">
        <f t="shared" si="123"/>
        <v>FARHANA BINTI MUSTAPA</v>
      </c>
      <c r="W267" t="str">
        <f t="shared" si="124"/>
        <v>04-08-2020</v>
      </c>
      <c r="X267" t="str">
        <f t="shared" si="125"/>
        <v>RAZIMAH ANSAR AHMAD</v>
      </c>
      <c r="Y267" t="str">
        <f t="shared" si="126"/>
        <v>04-08-2020</v>
      </c>
      <c r="Z267" t="str">
        <f>"IDSB19200804 385"</f>
        <v>IDSB19200804 385</v>
      </c>
    </row>
    <row r="268" spans="1:26" x14ac:dyDescent="0.25">
      <c r="A268" t="str">
        <f t="shared" si="112"/>
        <v>04-08-2020 01:21:07</v>
      </c>
      <c r="B268" t="str">
        <f>"0000810696"</f>
        <v>0000810696</v>
      </c>
      <c r="C268" t="str">
        <f t="shared" si="113"/>
        <v>0000810512</v>
      </c>
      <c r="D268" t="str">
        <f t="shared" si="114"/>
        <v>73185</v>
      </c>
      <c r="E268" t="str">
        <f t="shared" si="115"/>
        <v>KFH-OPERATIONS DEPARTMENT</v>
      </c>
      <c r="F268" t="str">
        <f t="shared" si="116"/>
        <v>IBG</v>
      </c>
      <c r="G268" t="str">
        <f t="shared" si="106"/>
        <v>Refund IDSB 19</v>
      </c>
      <c r="H268" s="2">
        <v>789.15</v>
      </c>
      <c r="I268" t="str">
        <f>"RAJA NASRUL BIN RAJA HISHAM"</f>
        <v>RAJA NASRUL BIN RAJA HISHAM</v>
      </c>
      <c r="J268" t="str">
        <f t="shared" si="107"/>
        <v>MAYBANK / MAYBANK ISLAMIC</v>
      </c>
      <c r="K268" t="str">
        <f>"162218016208"</f>
        <v>162218016208</v>
      </c>
      <c r="L268" t="str">
        <f t="shared" si="127"/>
        <v>04-08-2020</v>
      </c>
      <c r="M268" t="str">
        <f t="shared" si="127"/>
        <v>04-08-2020</v>
      </c>
      <c r="N268" t="str">
        <f t="shared" si="117"/>
        <v>001105018356</v>
      </c>
      <c r="O268" t="str">
        <f t="shared" si="118"/>
        <v>MYR</v>
      </c>
      <c r="P268" t="str">
        <f t="shared" si="128"/>
        <v>NIL</v>
      </c>
      <c r="Q268" t="str">
        <f t="shared" si="128"/>
        <v>NIL</v>
      </c>
      <c r="R268" t="str">
        <f t="shared" si="119"/>
        <v>Accepted</v>
      </c>
      <c r="S268" t="str">
        <f t="shared" si="120"/>
        <v>Approved</v>
      </c>
      <c r="T268" t="str">
        <f t="shared" si="121"/>
        <v>10.20.8.188</v>
      </c>
      <c r="U268" t="str">
        <f t="shared" si="122"/>
        <v>AZRAD UMAR BIN SHAARI</v>
      </c>
      <c r="V268" t="str">
        <f t="shared" si="123"/>
        <v>FARHANA BINTI MUSTAPA</v>
      </c>
      <c r="W268" t="str">
        <f t="shared" si="124"/>
        <v>04-08-2020</v>
      </c>
      <c r="X268" t="str">
        <f t="shared" si="125"/>
        <v>RAZIMAH ANSAR AHMAD</v>
      </c>
      <c r="Y268" t="str">
        <f t="shared" si="126"/>
        <v>04-08-2020</v>
      </c>
      <c r="Z268" t="str">
        <f>"IDSB19200804 384"</f>
        <v>IDSB19200804 384</v>
      </c>
    </row>
    <row r="269" spans="1:26" x14ac:dyDescent="0.25">
      <c r="A269" t="str">
        <f t="shared" si="112"/>
        <v>04-08-2020 01:21:07</v>
      </c>
      <c r="B269" t="str">
        <f>"0000810695"</f>
        <v>0000810695</v>
      </c>
      <c r="C269" t="str">
        <f t="shared" si="113"/>
        <v>0000810512</v>
      </c>
      <c r="D269" t="str">
        <f t="shared" si="114"/>
        <v>73185</v>
      </c>
      <c r="E269" t="str">
        <f t="shared" si="115"/>
        <v>KFH-OPERATIONS DEPARTMENT</v>
      </c>
      <c r="F269" t="str">
        <f t="shared" si="116"/>
        <v>IBG</v>
      </c>
      <c r="G269" t="str">
        <f t="shared" si="106"/>
        <v>Refund IDSB 19</v>
      </c>
      <c r="H269" s="2">
        <v>92</v>
      </c>
      <c r="I269" t="str">
        <f>"RAIHANA BINTI JAMALUDDIN"</f>
        <v>RAIHANA BINTI JAMALUDDIN</v>
      </c>
      <c r="J269" t="str">
        <f t="shared" si="107"/>
        <v>MAYBANK / MAYBANK ISLAMIC</v>
      </c>
      <c r="K269" t="str">
        <f>"155087213302"</f>
        <v>155087213302</v>
      </c>
      <c r="L269" t="str">
        <f t="shared" si="127"/>
        <v>04-08-2020</v>
      </c>
      <c r="M269" t="str">
        <f t="shared" si="127"/>
        <v>04-08-2020</v>
      </c>
      <c r="N269" t="str">
        <f t="shared" si="117"/>
        <v>001105018356</v>
      </c>
      <c r="O269" t="str">
        <f t="shared" si="118"/>
        <v>MYR</v>
      </c>
      <c r="P269" t="str">
        <f t="shared" si="128"/>
        <v>NIL</v>
      </c>
      <c r="Q269" t="str">
        <f t="shared" si="128"/>
        <v>NIL</v>
      </c>
      <c r="R269" t="str">
        <f t="shared" si="119"/>
        <v>Accepted</v>
      </c>
      <c r="S269" t="str">
        <f t="shared" si="120"/>
        <v>Approved</v>
      </c>
      <c r="T269" t="str">
        <f t="shared" si="121"/>
        <v>10.20.8.188</v>
      </c>
      <c r="U269" t="str">
        <f t="shared" si="122"/>
        <v>AZRAD UMAR BIN SHAARI</v>
      </c>
      <c r="V269" t="str">
        <f t="shared" si="123"/>
        <v>FARHANA BINTI MUSTAPA</v>
      </c>
      <c r="W269" t="str">
        <f t="shared" si="124"/>
        <v>04-08-2020</v>
      </c>
      <c r="X269" t="str">
        <f t="shared" si="125"/>
        <v>RAZIMAH ANSAR AHMAD</v>
      </c>
      <c r="Y269" t="str">
        <f t="shared" si="126"/>
        <v>04-08-2020</v>
      </c>
      <c r="Z269" t="str">
        <f>"IDSB19200804 383"</f>
        <v>IDSB19200804 383</v>
      </c>
    </row>
    <row r="270" spans="1:26" x14ac:dyDescent="0.25">
      <c r="A270" t="str">
        <f t="shared" si="112"/>
        <v>04-08-2020 01:21:07</v>
      </c>
      <c r="B270" t="str">
        <f>"0000810694"</f>
        <v>0000810694</v>
      </c>
      <c r="C270" t="str">
        <f t="shared" si="113"/>
        <v>0000810512</v>
      </c>
      <c r="D270" t="str">
        <f t="shared" si="114"/>
        <v>73185</v>
      </c>
      <c r="E270" t="str">
        <f t="shared" si="115"/>
        <v>KFH-OPERATIONS DEPARTMENT</v>
      </c>
      <c r="F270" t="str">
        <f t="shared" si="116"/>
        <v>IBG</v>
      </c>
      <c r="G270" t="str">
        <f t="shared" si="106"/>
        <v>Refund IDSB 19</v>
      </c>
      <c r="H270" s="2">
        <v>419.59</v>
      </c>
      <c r="I270" t="str">
        <f>"RAHMAT AKBAR BIN HAMBALI"</f>
        <v>RAHMAT AKBAR BIN HAMBALI</v>
      </c>
      <c r="J270" t="str">
        <f t="shared" si="107"/>
        <v>MAYBANK / MAYBANK ISLAMIC</v>
      </c>
      <c r="K270" t="str">
        <f>"156075798253"</f>
        <v>156075798253</v>
      </c>
      <c r="L270" t="str">
        <f t="shared" si="127"/>
        <v>04-08-2020</v>
      </c>
      <c r="M270" t="str">
        <f t="shared" si="127"/>
        <v>04-08-2020</v>
      </c>
      <c r="N270" t="str">
        <f t="shared" si="117"/>
        <v>001105018356</v>
      </c>
      <c r="O270" t="str">
        <f t="shared" si="118"/>
        <v>MYR</v>
      </c>
      <c r="P270" t="str">
        <f t="shared" si="128"/>
        <v>NIL</v>
      </c>
      <c r="Q270" t="str">
        <f t="shared" si="128"/>
        <v>NIL</v>
      </c>
      <c r="R270" t="str">
        <f t="shared" si="119"/>
        <v>Accepted</v>
      </c>
      <c r="S270" t="str">
        <f t="shared" si="120"/>
        <v>Approved</v>
      </c>
      <c r="T270" t="str">
        <f t="shared" si="121"/>
        <v>10.20.8.188</v>
      </c>
      <c r="U270" t="str">
        <f t="shared" si="122"/>
        <v>AZRAD UMAR BIN SHAARI</v>
      </c>
      <c r="V270" t="str">
        <f t="shared" si="123"/>
        <v>FARHANA BINTI MUSTAPA</v>
      </c>
      <c r="W270" t="str">
        <f t="shared" si="124"/>
        <v>04-08-2020</v>
      </c>
      <c r="X270" t="str">
        <f t="shared" si="125"/>
        <v>RAZIMAH ANSAR AHMAD</v>
      </c>
      <c r="Y270" t="str">
        <f t="shared" si="126"/>
        <v>04-08-2020</v>
      </c>
      <c r="Z270" t="str">
        <f>"IDSB19200804 382"</f>
        <v>IDSB19200804 382</v>
      </c>
    </row>
    <row r="271" spans="1:26" x14ac:dyDescent="0.25">
      <c r="A271" t="str">
        <f t="shared" si="112"/>
        <v>04-08-2020 01:21:07</v>
      </c>
      <c r="B271" t="str">
        <f>"0000810693"</f>
        <v>0000810693</v>
      </c>
      <c r="C271" t="str">
        <f t="shared" si="113"/>
        <v>0000810512</v>
      </c>
      <c r="D271" t="str">
        <f t="shared" si="114"/>
        <v>73185</v>
      </c>
      <c r="E271" t="str">
        <f t="shared" si="115"/>
        <v>KFH-OPERATIONS DEPARTMENT</v>
      </c>
      <c r="F271" t="str">
        <f t="shared" si="116"/>
        <v>IBG</v>
      </c>
      <c r="G271" t="str">
        <f t="shared" si="106"/>
        <v>Refund IDSB 19</v>
      </c>
      <c r="H271" s="2">
        <v>503.49</v>
      </c>
      <c r="I271" t="str">
        <f>"RAHADILAH BINTI OSMAN"</f>
        <v>RAHADILAH BINTI OSMAN</v>
      </c>
      <c r="J271" t="str">
        <f t="shared" si="107"/>
        <v>MAYBANK / MAYBANK ISLAMIC</v>
      </c>
      <c r="K271" t="str">
        <f>"162188292138"</f>
        <v>162188292138</v>
      </c>
      <c r="L271" t="str">
        <f t="shared" si="127"/>
        <v>04-08-2020</v>
      </c>
      <c r="M271" t="str">
        <f t="shared" si="127"/>
        <v>04-08-2020</v>
      </c>
      <c r="N271" t="str">
        <f t="shared" si="117"/>
        <v>001105018356</v>
      </c>
      <c r="O271" t="str">
        <f t="shared" si="118"/>
        <v>MYR</v>
      </c>
      <c r="P271" t="str">
        <f t="shared" si="128"/>
        <v>NIL</v>
      </c>
      <c r="Q271" t="str">
        <f t="shared" si="128"/>
        <v>NIL</v>
      </c>
      <c r="R271" t="str">
        <f t="shared" si="119"/>
        <v>Accepted</v>
      </c>
      <c r="S271" t="str">
        <f t="shared" si="120"/>
        <v>Approved</v>
      </c>
      <c r="T271" t="str">
        <f t="shared" si="121"/>
        <v>10.20.8.188</v>
      </c>
      <c r="U271" t="str">
        <f t="shared" si="122"/>
        <v>AZRAD UMAR BIN SHAARI</v>
      </c>
      <c r="V271" t="str">
        <f t="shared" si="123"/>
        <v>FARHANA BINTI MUSTAPA</v>
      </c>
      <c r="W271" t="str">
        <f t="shared" si="124"/>
        <v>04-08-2020</v>
      </c>
      <c r="X271" t="str">
        <f t="shared" si="125"/>
        <v>RAZIMAH ANSAR AHMAD</v>
      </c>
      <c r="Y271" t="str">
        <f t="shared" si="126"/>
        <v>04-08-2020</v>
      </c>
      <c r="Z271" t="str">
        <f>"IDSB19200804 381"</f>
        <v>IDSB19200804 381</v>
      </c>
    </row>
    <row r="272" spans="1:26" x14ac:dyDescent="0.25">
      <c r="A272" t="str">
        <f t="shared" si="112"/>
        <v>04-08-2020 01:21:07</v>
      </c>
      <c r="B272" t="str">
        <f>"0000810692"</f>
        <v>0000810692</v>
      </c>
      <c r="C272" t="str">
        <f t="shared" si="113"/>
        <v>0000810512</v>
      </c>
      <c r="D272" t="str">
        <f t="shared" si="114"/>
        <v>73185</v>
      </c>
      <c r="E272" t="str">
        <f t="shared" si="115"/>
        <v>KFH-OPERATIONS DEPARTMENT</v>
      </c>
      <c r="F272" t="str">
        <f t="shared" si="116"/>
        <v>IBG</v>
      </c>
      <c r="G272" t="str">
        <f t="shared" si="106"/>
        <v>Refund IDSB 19</v>
      </c>
      <c r="H272" s="2">
        <v>418</v>
      </c>
      <c r="I272" t="str">
        <f>"PRETIBAA AP SUBHRAMANIYUN"</f>
        <v>PRETIBAA AP SUBHRAMANIYUN</v>
      </c>
      <c r="J272" t="str">
        <f t="shared" si="107"/>
        <v>MAYBANK / MAYBANK ISLAMIC</v>
      </c>
      <c r="K272" t="str">
        <f>"112745006568"</f>
        <v>112745006568</v>
      </c>
      <c r="L272" t="str">
        <f t="shared" si="127"/>
        <v>04-08-2020</v>
      </c>
      <c r="M272" t="str">
        <f t="shared" si="127"/>
        <v>04-08-2020</v>
      </c>
      <c r="N272" t="str">
        <f t="shared" si="117"/>
        <v>001105018356</v>
      </c>
      <c r="O272" t="str">
        <f t="shared" si="118"/>
        <v>MYR</v>
      </c>
      <c r="P272" t="str">
        <f t="shared" si="128"/>
        <v>NIL</v>
      </c>
      <c r="Q272" t="str">
        <f t="shared" si="128"/>
        <v>NIL</v>
      </c>
      <c r="R272" t="str">
        <f t="shared" si="119"/>
        <v>Accepted</v>
      </c>
      <c r="S272" t="str">
        <f t="shared" si="120"/>
        <v>Approved</v>
      </c>
      <c r="T272" t="str">
        <f t="shared" si="121"/>
        <v>10.20.8.188</v>
      </c>
      <c r="U272" t="str">
        <f t="shared" si="122"/>
        <v>AZRAD UMAR BIN SHAARI</v>
      </c>
      <c r="V272" t="str">
        <f t="shared" si="123"/>
        <v>FARHANA BINTI MUSTAPA</v>
      </c>
      <c r="W272" t="str">
        <f t="shared" si="124"/>
        <v>04-08-2020</v>
      </c>
      <c r="X272" t="str">
        <f t="shared" si="125"/>
        <v>RAZIMAH ANSAR AHMAD</v>
      </c>
      <c r="Y272" t="str">
        <f t="shared" si="126"/>
        <v>04-08-2020</v>
      </c>
      <c r="Z272" t="str">
        <f>"IDSB19200804 380"</f>
        <v>IDSB19200804 380</v>
      </c>
    </row>
    <row r="273" spans="1:26" x14ac:dyDescent="0.25">
      <c r="A273" t="str">
        <f t="shared" si="112"/>
        <v>04-08-2020 01:21:07</v>
      </c>
      <c r="B273" t="str">
        <f>"0000810691"</f>
        <v>0000810691</v>
      </c>
      <c r="C273" t="str">
        <f t="shared" si="113"/>
        <v>0000810512</v>
      </c>
      <c r="D273" t="str">
        <f t="shared" si="114"/>
        <v>73185</v>
      </c>
      <c r="E273" t="str">
        <f t="shared" si="115"/>
        <v>KFH-OPERATIONS DEPARTMENT</v>
      </c>
      <c r="F273" t="str">
        <f t="shared" si="116"/>
        <v>IBG</v>
      </c>
      <c r="G273" t="str">
        <f t="shared" si="106"/>
        <v>Refund IDSB 19</v>
      </c>
      <c r="H273" s="2">
        <v>304</v>
      </c>
      <c r="I273" t="str">
        <f>"NURUL NADIAH BINTI ROSLAN"</f>
        <v>NURUL NADIAH BINTI ROSLAN</v>
      </c>
      <c r="J273" t="str">
        <f t="shared" si="107"/>
        <v>MAYBANK / MAYBANK ISLAMIC</v>
      </c>
      <c r="K273" t="str">
        <f>"164100271442"</f>
        <v>164100271442</v>
      </c>
      <c r="L273" t="str">
        <f t="shared" si="127"/>
        <v>04-08-2020</v>
      </c>
      <c r="M273" t="str">
        <f t="shared" si="127"/>
        <v>04-08-2020</v>
      </c>
      <c r="N273" t="str">
        <f t="shared" si="117"/>
        <v>001105018356</v>
      </c>
      <c r="O273" t="str">
        <f t="shared" si="118"/>
        <v>MYR</v>
      </c>
      <c r="P273" t="str">
        <f t="shared" si="128"/>
        <v>NIL</v>
      </c>
      <c r="Q273" t="str">
        <f t="shared" si="128"/>
        <v>NIL</v>
      </c>
      <c r="R273" t="str">
        <f t="shared" si="119"/>
        <v>Accepted</v>
      </c>
      <c r="S273" t="str">
        <f t="shared" si="120"/>
        <v>Approved</v>
      </c>
      <c r="T273" t="str">
        <f t="shared" si="121"/>
        <v>10.20.8.188</v>
      </c>
      <c r="U273" t="str">
        <f t="shared" si="122"/>
        <v>AZRAD UMAR BIN SHAARI</v>
      </c>
      <c r="V273" t="str">
        <f t="shared" si="123"/>
        <v>FARHANA BINTI MUSTAPA</v>
      </c>
      <c r="W273" t="str">
        <f t="shared" si="124"/>
        <v>04-08-2020</v>
      </c>
      <c r="X273" t="str">
        <f t="shared" si="125"/>
        <v>RAZIMAH ANSAR AHMAD</v>
      </c>
      <c r="Y273" t="str">
        <f t="shared" si="126"/>
        <v>04-08-2020</v>
      </c>
      <c r="Z273" t="str">
        <f>"IDSB19200804 379"</f>
        <v>IDSB19200804 379</v>
      </c>
    </row>
    <row r="274" spans="1:26" x14ac:dyDescent="0.25">
      <c r="A274" t="str">
        <f t="shared" si="112"/>
        <v>04-08-2020 01:21:07</v>
      </c>
      <c r="B274" t="str">
        <f>"0000810690"</f>
        <v>0000810690</v>
      </c>
      <c r="C274" t="str">
        <f t="shared" si="113"/>
        <v>0000810512</v>
      </c>
      <c r="D274" t="str">
        <f t="shared" si="114"/>
        <v>73185</v>
      </c>
      <c r="E274" t="str">
        <f t="shared" si="115"/>
        <v>KFH-OPERATIONS DEPARTMENT</v>
      </c>
      <c r="F274" t="str">
        <f t="shared" si="116"/>
        <v>IBG</v>
      </c>
      <c r="G274" t="str">
        <f t="shared" si="106"/>
        <v>Refund IDSB 19</v>
      </c>
      <c r="H274" s="2">
        <v>88.45</v>
      </c>
      <c r="I274" t="str">
        <f>"NURUL IZZAH BINTI OTHMAN"</f>
        <v>NURUL IZZAH BINTI OTHMAN</v>
      </c>
      <c r="J274" t="str">
        <f t="shared" si="107"/>
        <v>MAYBANK / MAYBANK ISLAMIC</v>
      </c>
      <c r="K274" t="str">
        <f>"152095717531"</f>
        <v>152095717531</v>
      </c>
      <c r="L274" t="str">
        <f t="shared" si="127"/>
        <v>04-08-2020</v>
      </c>
      <c r="M274" t="str">
        <f t="shared" si="127"/>
        <v>04-08-2020</v>
      </c>
      <c r="N274" t="str">
        <f t="shared" si="117"/>
        <v>001105018356</v>
      </c>
      <c r="O274" t="str">
        <f t="shared" si="118"/>
        <v>MYR</v>
      </c>
      <c r="P274" t="str">
        <f t="shared" si="128"/>
        <v>NIL</v>
      </c>
      <c r="Q274" t="str">
        <f t="shared" si="128"/>
        <v>NIL</v>
      </c>
      <c r="R274" t="str">
        <f t="shared" si="119"/>
        <v>Accepted</v>
      </c>
      <c r="S274" t="str">
        <f t="shared" si="120"/>
        <v>Approved</v>
      </c>
      <c r="T274" t="str">
        <f t="shared" si="121"/>
        <v>10.20.8.188</v>
      </c>
      <c r="U274" t="str">
        <f t="shared" si="122"/>
        <v>AZRAD UMAR BIN SHAARI</v>
      </c>
      <c r="V274" t="str">
        <f t="shared" si="123"/>
        <v>FARHANA BINTI MUSTAPA</v>
      </c>
      <c r="W274" t="str">
        <f t="shared" si="124"/>
        <v>04-08-2020</v>
      </c>
      <c r="X274" t="str">
        <f t="shared" si="125"/>
        <v>RAZIMAH ANSAR AHMAD</v>
      </c>
      <c r="Y274" t="str">
        <f t="shared" si="126"/>
        <v>04-08-2020</v>
      </c>
      <c r="Z274" t="str">
        <f>"IDSB19200804 378"</f>
        <v>IDSB19200804 378</v>
      </c>
    </row>
    <row r="275" spans="1:26" x14ac:dyDescent="0.25">
      <c r="A275" t="str">
        <f t="shared" si="112"/>
        <v>04-08-2020 01:21:07</v>
      </c>
      <c r="B275" t="str">
        <f>"0000810689"</f>
        <v>0000810689</v>
      </c>
      <c r="C275" t="str">
        <f t="shared" si="113"/>
        <v>0000810512</v>
      </c>
      <c r="D275" t="str">
        <f t="shared" si="114"/>
        <v>73185</v>
      </c>
      <c r="E275" t="str">
        <f t="shared" si="115"/>
        <v>KFH-OPERATIONS DEPARTMENT</v>
      </c>
      <c r="F275" t="str">
        <f t="shared" si="116"/>
        <v>IBG</v>
      </c>
      <c r="G275" t="str">
        <f t="shared" si="106"/>
        <v>Refund IDSB 19</v>
      </c>
      <c r="H275" s="2">
        <v>209.9</v>
      </c>
      <c r="I275" t="str">
        <f>"NURUL AIN BINTI HAMZAH"</f>
        <v>NURUL AIN BINTI HAMZAH</v>
      </c>
      <c r="J275" t="str">
        <f t="shared" si="107"/>
        <v>MAYBANK / MAYBANK ISLAMIC</v>
      </c>
      <c r="K275" t="str">
        <f>"162384726863"</f>
        <v>162384726863</v>
      </c>
      <c r="L275" t="str">
        <f t="shared" si="127"/>
        <v>04-08-2020</v>
      </c>
      <c r="M275" t="str">
        <f t="shared" si="127"/>
        <v>04-08-2020</v>
      </c>
      <c r="N275" t="str">
        <f t="shared" si="117"/>
        <v>001105018356</v>
      </c>
      <c r="O275" t="str">
        <f t="shared" si="118"/>
        <v>MYR</v>
      </c>
      <c r="P275" t="str">
        <f t="shared" si="128"/>
        <v>NIL</v>
      </c>
      <c r="Q275" t="str">
        <f t="shared" si="128"/>
        <v>NIL</v>
      </c>
      <c r="R275" t="str">
        <f t="shared" si="119"/>
        <v>Accepted</v>
      </c>
      <c r="S275" t="str">
        <f t="shared" si="120"/>
        <v>Approved</v>
      </c>
      <c r="T275" t="str">
        <f t="shared" si="121"/>
        <v>10.20.8.188</v>
      </c>
      <c r="U275" t="str">
        <f t="shared" si="122"/>
        <v>AZRAD UMAR BIN SHAARI</v>
      </c>
      <c r="V275" t="str">
        <f t="shared" si="123"/>
        <v>FARHANA BINTI MUSTAPA</v>
      </c>
      <c r="W275" t="str">
        <f t="shared" si="124"/>
        <v>04-08-2020</v>
      </c>
      <c r="X275" t="str">
        <f t="shared" si="125"/>
        <v>RAZIMAH ANSAR AHMAD</v>
      </c>
      <c r="Y275" t="str">
        <f t="shared" si="126"/>
        <v>04-08-2020</v>
      </c>
      <c r="Z275" t="str">
        <f>"IDSB19200804 377"</f>
        <v>IDSB19200804 377</v>
      </c>
    </row>
    <row r="276" spans="1:26" x14ac:dyDescent="0.25">
      <c r="A276" t="str">
        <f t="shared" si="112"/>
        <v>04-08-2020 01:21:07</v>
      </c>
      <c r="B276" t="str">
        <f>"0000810688"</f>
        <v>0000810688</v>
      </c>
      <c r="C276" t="str">
        <f t="shared" si="113"/>
        <v>0000810512</v>
      </c>
      <c r="D276" t="str">
        <f t="shared" si="114"/>
        <v>73185</v>
      </c>
      <c r="E276" t="str">
        <f t="shared" si="115"/>
        <v>KFH-OPERATIONS DEPARTMENT</v>
      </c>
      <c r="F276" t="str">
        <f t="shared" si="116"/>
        <v>IBG</v>
      </c>
      <c r="G276" t="str">
        <f t="shared" si="106"/>
        <v>Refund IDSB 19</v>
      </c>
      <c r="H276" s="2">
        <v>167.9</v>
      </c>
      <c r="I276" t="str">
        <f>"NURUL AIN BINTI HAMZAH"</f>
        <v>NURUL AIN BINTI HAMZAH</v>
      </c>
      <c r="J276" t="str">
        <f t="shared" si="107"/>
        <v>MAYBANK / MAYBANK ISLAMIC</v>
      </c>
      <c r="K276" t="str">
        <f>"162384726863"</f>
        <v>162384726863</v>
      </c>
      <c r="L276" t="str">
        <f t="shared" si="127"/>
        <v>04-08-2020</v>
      </c>
      <c r="M276" t="str">
        <f t="shared" si="127"/>
        <v>04-08-2020</v>
      </c>
      <c r="N276" t="str">
        <f t="shared" si="117"/>
        <v>001105018356</v>
      </c>
      <c r="O276" t="str">
        <f t="shared" si="118"/>
        <v>MYR</v>
      </c>
      <c r="P276" t="str">
        <f t="shared" si="128"/>
        <v>NIL</v>
      </c>
      <c r="Q276" t="str">
        <f t="shared" si="128"/>
        <v>NIL</v>
      </c>
      <c r="R276" t="str">
        <f t="shared" si="119"/>
        <v>Accepted</v>
      </c>
      <c r="S276" t="str">
        <f t="shared" si="120"/>
        <v>Approved</v>
      </c>
      <c r="T276" t="str">
        <f t="shared" si="121"/>
        <v>10.20.8.188</v>
      </c>
      <c r="U276" t="str">
        <f t="shared" si="122"/>
        <v>AZRAD UMAR BIN SHAARI</v>
      </c>
      <c r="V276" t="str">
        <f t="shared" si="123"/>
        <v>FARHANA BINTI MUSTAPA</v>
      </c>
      <c r="W276" t="str">
        <f t="shared" si="124"/>
        <v>04-08-2020</v>
      </c>
      <c r="X276" t="str">
        <f t="shared" si="125"/>
        <v>RAZIMAH ANSAR AHMAD</v>
      </c>
      <c r="Y276" t="str">
        <f t="shared" si="126"/>
        <v>04-08-2020</v>
      </c>
      <c r="Z276" t="str">
        <f>"IDSB19200804 376"</f>
        <v>IDSB19200804 376</v>
      </c>
    </row>
    <row r="277" spans="1:26" x14ac:dyDescent="0.25">
      <c r="A277" t="str">
        <f t="shared" si="112"/>
        <v>04-08-2020 01:21:07</v>
      </c>
      <c r="B277" t="str">
        <f>"0000810687"</f>
        <v>0000810687</v>
      </c>
      <c r="C277" t="str">
        <f t="shared" si="113"/>
        <v>0000810512</v>
      </c>
      <c r="D277" t="str">
        <f t="shared" si="114"/>
        <v>73185</v>
      </c>
      <c r="E277" t="str">
        <f t="shared" si="115"/>
        <v>KFH-OPERATIONS DEPARTMENT</v>
      </c>
      <c r="F277" t="str">
        <f t="shared" si="116"/>
        <v>IBG</v>
      </c>
      <c r="G277" t="str">
        <f t="shared" si="106"/>
        <v>Refund IDSB 19</v>
      </c>
      <c r="H277" s="2">
        <v>167.9</v>
      </c>
      <c r="I277" t="str">
        <f>"NURSALIZA BINTI SAARI"</f>
        <v>NURSALIZA BINTI SAARI</v>
      </c>
      <c r="J277" t="str">
        <f t="shared" si="107"/>
        <v>MAYBANK / MAYBANK ISLAMIC</v>
      </c>
      <c r="K277" t="str">
        <f>"154110073225"</f>
        <v>154110073225</v>
      </c>
      <c r="L277" t="str">
        <f t="shared" si="127"/>
        <v>04-08-2020</v>
      </c>
      <c r="M277" t="str">
        <f t="shared" si="127"/>
        <v>04-08-2020</v>
      </c>
      <c r="N277" t="str">
        <f t="shared" si="117"/>
        <v>001105018356</v>
      </c>
      <c r="O277" t="str">
        <f t="shared" si="118"/>
        <v>MYR</v>
      </c>
      <c r="P277" t="str">
        <f t="shared" si="128"/>
        <v>NIL</v>
      </c>
      <c r="Q277" t="str">
        <f t="shared" si="128"/>
        <v>NIL</v>
      </c>
      <c r="R277" t="str">
        <f t="shared" si="119"/>
        <v>Accepted</v>
      </c>
      <c r="S277" t="str">
        <f t="shared" si="120"/>
        <v>Approved</v>
      </c>
      <c r="T277" t="str">
        <f t="shared" si="121"/>
        <v>10.20.8.188</v>
      </c>
      <c r="U277" t="str">
        <f t="shared" si="122"/>
        <v>AZRAD UMAR BIN SHAARI</v>
      </c>
      <c r="V277" t="str">
        <f t="shared" si="123"/>
        <v>FARHANA BINTI MUSTAPA</v>
      </c>
      <c r="W277" t="str">
        <f t="shared" si="124"/>
        <v>04-08-2020</v>
      </c>
      <c r="X277" t="str">
        <f t="shared" si="125"/>
        <v>RAZIMAH ANSAR AHMAD</v>
      </c>
      <c r="Y277" t="str">
        <f t="shared" si="126"/>
        <v>04-08-2020</v>
      </c>
      <c r="Z277" t="str">
        <f>"IDSB19200804 375"</f>
        <v>IDSB19200804 375</v>
      </c>
    </row>
    <row r="278" spans="1:26" x14ac:dyDescent="0.25">
      <c r="A278" t="str">
        <f t="shared" si="112"/>
        <v>04-08-2020 01:21:07</v>
      </c>
      <c r="B278" t="str">
        <f>"0000810686"</f>
        <v>0000810686</v>
      </c>
      <c r="C278" t="str">
        <f t="shared" si="113"/>
        <v>0000810512</v>
      </c>
      <c r="D278" t="str">
        <f t="shared" si="114"/>
        <v>73185</v>
      </c>
      <c r="E278" t="str">
        <f t="shared" si="115"/>
        <v>KFH-OPERATIONS DEPARTMENT</v>
      </c>
      <c r="F278" t="str">
        <f t="shared" si="116"/>
        <v>IBG</v>
      </c>
      <c r="G278" t="str">
        <f t="shared" si="106"/>
        <v>Refund IDSB 19</v>
      </c>
      <c r="H278" s="2">
        <v>1309.1199999999999</v>
      </c>
      <c r="I278" t="str">
        <f>"NURIZAH BINTI MD NGADIRAN"</f>
        <v>NURIZAH BINTI MD NGADIRAN</v>
      </c>
      <c r="J278" t="str">
        <f t="shared" si="107"/>
        <v>MAYBANK / MAYBANK ISLAMIC</v>
      </c>
      <c r="K278" t="str">
        <f>"156132563014"</f>
        <v>156132563014</v>
      </c>
      <c r="L278" t="str">
        <f t="shared" si="127"/>
        <v>04-08-2020</v>
      </c>
      <c r="M278" t="str">
        <f t="shared" si="127"/>
        <v>04-08-2020</v>
      </c>
      <c r="N278" t="str">
        <f t="shared" si="117"/>
        <v>001105018356</v>
      </c>
      <c r="O278" t="str">
        <f t="shared" si="118"/>
        <v>MYR</v>
      </c>
      <c r="P278" t="str">
        <f t="shared" si="128"/>
        <v>NIL</v>
      </c>
      <c r="Q278" t="str">
        <f t="shared" si="128"/>
        <v>NIL</v>
      </c>
      <c r="R278" t="str">
        <f t="shared" si="119"/>
        <v>Accepted</v>
      </c>
      <c r="S278" t="str">
        <f t="shared" si="120"/>
        <v>Approved</v>
      </c>
      <c r="T278" t="str">
        <f t="shared" si="121"/>
        <v>10.20.8.188</v>
      </c>
      <c r="U278" t="str">
        <f t="shared" si="122"/>
        <v>AZRAD UMAR BIN SHAARI</v>
      </c>
      <c r="V278" t="str">
        <f t="shared" si="123"/>
        <v>FARHANA BINTI MUSTAPA</v>
      </c>
      <c r="W278" t="str">
        <f t="shared" si="124"/>
        <v>04-08-2020</v>
      </c>
      <c r="X278" t="str">
        <f t="shared" si="125"/>
        <v>RAZIMAH ANSAR AHMAD</v>
      </c>
      <c r="Y278" t="str">
        <f t="shared" si="126"/>
        <v>04-08-2020</v>
      </c>
      <c r="Z278" t="str">
        <f>"IDSB19200804 374"</f>
        <v>IDSB19200804 374</v>
      </c>
    </row>
    <row r="279" spans="1:26" x14ac:dyDescent="0.25">
      <c r="A279" t="str">
        <f t="shared" si="112"/>
        <v>04-08-2020 01:21:07</v>
      </c>
      <c r="B279" t="str">
        <f>"0000810685"</f>
        <v>0000810685</v>
      </c>
      <c r="C279" t="str">
        <f t="shared" si="113"/>
        <v>0000810512</v>
      </c>
      <c r="D279" t="str">
        <f t="shared" si="114"/>
        <v>73185</v>
      </c>
      <c r="E279" t="str">
        <f t="shared" si="115"/>
        <v>KFH-OPERATIONS DEPARTMENT</v>
      </c>
      <c r="F279" t="str">
        <f t="shared" si="116"/>
        <v>IBG</v>
      </c>
      <c r="G279" t="str">
        <f t="shared" si="106"/>
        <v>Refund IDSB 19</v>
      </c>
      <c r="H279" s="2">
        <v>889.55</v>
      </c>
      <c r="I279" t="str">
        <f>"NUR FATIMAH SUHAYATI BINTI ABDUL JAMIL"</f>
        <v>NUR FATIMAH SUHAYATI BINTI ABDUL JAMIL</v>
      </c>
      <c r="J279" t="str">
        <f t="shared" si="107"/>
        <v>MAYBANK / MAYBANK ISLAMIC</v>
      </c>
      <c r="K279" t="str">
        <f>"162647045357"</f>
        <v>162647045357</v>
      </c>
      <c r="L279" t="str">
        <f t="shared" si="127"/>
        <v>04-08-2020</v>
      </c>
      <c r="M279" t="str">
        <f t="shared" si="127"/>
        <v>04-08-2020</v>
      </c>
      <c r="N279" t="str">
        <f t="shared" si="117"/>
        <v>001105018356</v>
      </c>
      <c r="O279" t="str">
        <f t="shared" si="118"/>
        <v>MYR</v>
      </c>
      <c r="P279" t="str">
        <f t="shared" si="128"/>
        <v>NIL</v>
      </c>
      <c r="Q279" t="str">
        <f t="shared" si="128"/>
        <v>NIL</v>
      </c>
      <c r="R279" t="str">
        <f t="shared" si="119"/>
        <v>Accepted</v>
      </c>
      <c r="S279" t="str">
        <f t="shared" si="120"/>
        <v>Approved</v>
      </c>
      <c r="T279" t="str">
        <f t="shared" si="121"/>
        <v>10.20.8.188</v>
      </c>
      <c r="U279" t="str">
        <f t="shared" si="122"/>
        <v>AZRAD UMAR BIN SHAARI</v>
      </c>
      <c r="V279" t="str">
        <f t="shared" si="123"/>
        <v>FARHANA BINTI MUSTAPA</v>
      </c>
      <c r="W279" t="str">
        <f t="shared" si="124"/>
        <v>04-08-2020</v>
      </c>
      <c r="X279" t="str">
        <f t="shared" si="125"/>
        <v>RAZIMAH ANSAR AHMAD</v>
      </c>
      <c r="Y279" t="str">
        <f t="shared" si="126"/>
        <v>04-08-2020</v>
      </c>
      <c r="Z279" t="str">
        <f>"IDSB19200804 373"</f>
        <v>IDSB19200804 373</v>
      </c>
    </row>
    <row r="280" spans="1:26" x14ac:dyDescent="0.25">
      <c r="A280" t="str">
        <f t="shared" si="112"/>
        <v>04-08-2020 01:21:07</v>
      </c>
      <c r="B280" t="str">
        <f>"0000810684"</f>
        <v>0000810684</v>
      </c>
      <c r="C280" t="str">
        <f t="shared" si="113"/>
        <v>0000810512</v>
      </c>
      <c r="D280" t="str">
        <f t="shared" si="114"/>
        <v>73185</v>
      </c>
      <c r="E280" t="str">
        <f t="shared" si="115"/>
        <v>KFH-OPERATIONS DEPARTMENT</v>
      </c>
      <c r="F280" t="str">
        <f t="shared" si="116"/>
        <v>IBG</v>
      </c>
      <c r="G280" t="str">
        <f t="shared" ref="G280:G343" si="129">"Refund IDSB 19"</f>
        <v>Refund IDSB 19</v>
      </c>
      <c r="H280" s="2">
        <v>1679</v>
      </c>
      <c r="I280" t="str">
        <f>"NUR AIZUREEN BINTI ANWAR"</f>
        <v>NUR AIZUREEN BINTI ANWAR</v>
      </c>
      <c r="J280" t="str">
        <f t="shared" si="107"/>
        <v>MAYBANK / MAYBANK ISLAMIC</v>
      </c>
      <c r="K280" t="str">
        <f>"164089749023"</f>
        <v>164089749023</v>
      </c>
      <c r="L280" t="str">
        <f t="shared" si="127"/>
        <v>04-08-2020</v>
      </c>
      <c r="M280" t="str">
        <f t="shared" si="127"/>
        <v>04-08-2020</v>
      </c>
      <c r="N280" t="str">
        <f t="shared" si="117"/>
        <v>001105018356</v>
      </c>
      <c r="O280" t="str">
        <f t="shared" si="118"/>
        <v>MYR</v>
      </c>
      <c r="P280" t="str">
        <f t="shared" si="128"/>
        <v>NIL</v>
      </c>
      <c r="Q280" t="str">
        <f t="shared" si="128"/>
        <v>NIL</v>
      </c>
      <c r="R280" t="str">
        <f t="shared" si="119"/>
        <v>Accepted</v>
      </c>
      <c r="S280" t="str">
        <f t="shared" si="120"/>
        <v>Approved</v>
      </c>
      <c r="T280" t="str">
        <f t="shared" si="121"/>
        <v>10.20.8.188</v>
      </c>
      <c r="U280" t="str">
        <f t="shared" si="122"/>
        <v>AZRAD UMAR BIN SHAARI</v>
      </c>
      <c r="V280" t="str">
        <f t="shared" si="123"/>
        <v>FARHANA BINTI MUSTAPA</v>
      </c>
      <c r="W280" t="str">
        <f t="shared" si="124"/>
        <v>04-08-2020</v>
      </c>
      <c r="X280" t="str">
        <f t="shared" si="125"/>
        <v>RAZIMAH ANSAR AHMAD</v>
      </c>
      <c r="Y280" t="str">
        <f t="shared" si="126"/>
        <v>04-08-2020</v>
      </c>
      <c r="Z280" t="str">
        <f>"IDSB19200804 372"</f>
        <v>IDSB19200804 372</v>
      </c>
    </row>
    <row r="281" spans="1:26" x14ac:dyDescent="0.25">
      <c r="A281" t="str">
        <f t="shared" si="112"/>
        <v>04-08-2020 01:21:07</v>
      </c>
      <c r="B281" t="str">
        <f>"0000810683"</f>
        <v>0000810683</v>
      </c>
      <c r="C281" t="str">
        <f t="shared" si="113"/>
        <v>0000810512</v>
      </c>
      <c r="D281" t="str">
        <f t="shared" si="114"/>
        <v>73185</v>
      </c>
      <c r="E281" t="str">
        <f t="shared" si="115"/>
        <v>KFH-OPERATIONS DEPARTMENT</v>
      </c>
      <c r="F281" t="str">
        <f t="shared" si="116"/>
        <v>IBG</v>
      </c>
      <c r="G281" t="str">
        <f t="shared" si="129"/>
        <v>Refund IDSB 19</v>
      </c>
      <c r="H281" s="2">
        <v>126</v>
      </c>
      <c r="I281" t="str">
        <f>"NORZILAWATI BT ABD RAHMAN"</f>
        <v>NORZILAWATI BT ABD RAHMAN</v>
      </c>
      <c r="J281" t="str">
        <f t="shared" si="107"/>
        <v>MAYBANK / MAYBANK ISLAMIC</v>
      </c>
      <c r="K281" t="str">
        <f>"104068023245"</f>
        <v>104068023245</v>
      </c>
      <c r="L281" t="str">
        <f t="shared" si="127"/>
        <v>04-08-2020</v>
      </c>
      <c r="M281" t="str">
        <f t="shared" si="127"/>
        <v>04-08-2020</v>
      </c>
      <c r="N281" t="str">
        <f t="shared" si="117"/>
        <v>001105018356</v>
      </c>
      <c r="O281" t="str">
        <f t="shared" si="118"/>
        <v>MYR</v>
      </c>
      <c r="P281" t="str">
        <f t="shared" si="128"/>
        <v>NIL</v>
      </c>
      <c r="Q281" t="str">
        <f t="shared" si="128"/>
        <v>NIL</v>
      </c>
      <c r="R281" t="str">
        <f t="shared" si="119"/>
        <v>Accepted</v>
      </c>
      <c r="S281" t="str">
        <f t="shared" si="120"/>
        <v>Approved</v>
      </c>
      <c r="T281" t="str">
        <f t="shared" si="121"/>
        <v>10.20.8.188</v>
      </c>
      <c r="U281" t="str">
        <f t="shared" si="122"/>
        <v>AZRAD UMAR BIN SHAARI</v>
      </c>
      <c r="V281" t="str">
        <f t="shared" si="123"/>
        <v>FARHANA BINTI MUSTAPA</v>
      </c>
      <c r="W281" t="str">
        <f t="shared" si="124"/>
        <v>04-08-2020</v>
      </c>
      <c r="X281" t="str">
        <f t="shared" si="125"/>
        <v>RAZIMAH ANSAR AHMAD</v>
      </c>
      <c r="Y281" t="str">
        <f t="shared" si="126"/>
        <v>04-08-2020</v>
      </c>
      <c r="Z281" t="str">
        <f>"IDSB19200804 371"</f>
        <v>IDSB19200804 371</v>
      </c>
    </row>
    <row r="282" spans="1:26" x14ac:dyDescent="0.25">
      <c r="A282" t="str">
        <f t="shared" si="112"/>
        <v>04-08-2020 01:21:07</v>
      </c>
      <c r="B282" t="str">
        <f>"0000810682"</f>
        <v>0000810682</v>
      </c>
      <c r="C282" t="str">
        <f t="shared" si="113"/>
        <v>0000810512</v>
      </c>
      <c r="D282" t="str">
        <f t="shared" si="114"/>
        <v>73185</v>
      </c>
      <c r="E282" t="str">
        <f t="shared" si="115"/>
        <v>KFH-OPERATIONS DEPARTMENT</v>
      </c>
      <c r="F282" t="str">
        <f t="shared" si="116"/>
        <v>IBG</v>
      </c>
      <c r="G282" t="str">
        <f t="shared" si="129"/>
        <v>Refund IDSB 19</v>
      </c>
      <c r="H282" s="2">
        <v>873.91</v>
      </c>
      <c r="I282" t="str">
        <f>"NORZIHA BINTI YAHAYA"</f>
        <v>NORZIHA BINTI YAHAYA</v>
      </c>
      <c r="J282" t="str">
        <f t="shared" si="107"/>
        <v>MAYBANK / MAYBANK ISLAMIC</v>
      </c>
      <c r="K282" t="str">
        <f>"158051759242"</f>
        <v>158051759242</v>
      </c>
      <c r="L282" t="str">
        <f t="shared" si="127"/>
        <v>04-08-2020</v>
      </c>
      <c r="M282" t="str">
        <f t="shared" si="127"/>
        <v>04-08-2020</v>
      </c>
      <c r="N282" t="str">
        <f t="shared" si="117"/>
        <v>001105018356</v>
      </c>
      <c r="O282" t="str">
        <f t="shared" si="118"/>
        <v>MYR</v>
      </c>
      <c r="P282" t="str">
        <f t="shared" si="128"/>
        <v>NIL</v>
      </c>
      <c r="Q282" t="str">
        <f t="shared" si="128"/>
        <v>NIL</v>
      </c>
      <c r="R282" t="str">
        <f t="shared" si="119"/>
        <v>Accepted</v>
      </c>
      <c r="S282" t="str">
        <f t="shared" si="120"/>
        <v>Approved</v>
      </c>
      <c r="T282" t="str">
        <f t="shared" si="121"/>
        <v>10.20.8.188</v>
      </c>
      <c r="U282" t="str">
        <f t="shared" si="122"/>
        <v>AZRAD UMAR BIN SHAARI</v>
      </c>
      <c r="V282" t="str">
        <f t="shared" si="123"/>
        <v>FARHANA BINTI MUSTAPA</v>
      </c>
      <c r="W282" t="str">
        <f t="shared" si="124"/>
        <v>04-08-2020</v>
      </c>
      <c r="X282" t="str">
        <f t="shared" si="125"/>
        <v>RAZIMAH ANSAR AHMAD</v>
      </c>
      <c r="Y282" t="str">
        <f t="shared" si="126"/>
        <v>04-08-2020</v>
      </c>
      <c r="Z282" t="str">
        <f>"IDSB19200804 370"</f>
        <v>IDSB19200804 370</v>
      </c>
    </row>
    <row r="283" spans="1:26" x14ac:dyDescent="0.25">
      <c r="A283" t="str">
        <f t="shared" si="112"/>
        <v>04-08-2020 01:21:07</v>
      </c>
      <c r="B283" t="str">
        <f>"0000810681"</f>
        <v>0000810681</v>
      </c>
      <c r="C283" t="str">
        <f t="shared" si="113"/>
        <v>0000810512</v>
      </c>
      <c r="D283" t="str">
        <f t="shared" si="114"/>
        <v>73185</v>
      </c>
      <c r="E283" t="str">
        <f t="shared" si="115"/>
        <v>KFH-OPERATIONS DEPARTMENT</v>
      </c>
      <c r="F283" t="str">
        <f t="shared" si="116"/>
        <v>IBG</v>
      </c>
      <c r="G283" t="str">
        <f t="shared" si="129"/>
        <v>Refund IDSB 19</v>
      </c>
      <c r="H283" s="2">
        <v>1709.25</v>
      </c>
      <c r="I283" t="str">
        <f>"NORSANIAH BINTI MDNOH"</f>
        <v>NORSANIAH BINTI MDNOH</v>
      </c>
      <c r="J283" t="str">
        <f t="shared" si="107"/>
        <v>MAYBANK / MAYBANK ISLAMIC</v>
      </c>
      <c r="K283" t="str">
        <f>"114188003874"</f>
        <v>114188003874</v>
      </c>
      <c r="L283" t="str">
        <f t="shared" si="127"/>
        <v>04-08-2020</v>
      </c>
      <c r="M283" t="str">
        <f t="shared" si="127"/>
        <v>04-08-2020</v>
      </c>
      <c r="N283" t="str">
        <f t="shared" si="117"/>
        <v>001105018356</v>
      </c>
      <c r="O283" t="str">
        <f t="shared" si="118"/>
        <v>MYR</v>
      </c>
      <c r="P283" t="str">
        <f t="shared" si="128"/>
        <v>NIL</v>
      </c>
      <c r="Q283" t="str">
        <f t="shared" si="128"/>
        <v>NIL</v>
      </c>
      <c r="R283" t="str">
        <f t="shared" si="119"/>
        <v>Accepted</v>
      </c>
      <c r="S283" t="str">
        <f t="shared" si="120"/>
        <v>Approved</v>
      </c>
      <c r="T283" t="str">
        <f t="shared" si="121"/>
        <v>10.20.8.188</v>
      </c>
      <c r="U283" t="str">
        <f t="shared" si="122"/>
        <v>AZRAD UMAR BIN SHAARI</v>
      </c>
      <c r="V283" t="str">
        <f t="shared" si="123"/>
        <v>FARHANA BINTI MUSTAPA</v>
      </c>
      <c r="W283" t="str">
        <f t="shared" si="124"/>
        <v>04-08-2020</v>
      </c>
      <c r="X283" t="str">
        <f t="shared" si="125"/>
        <v>RAZIMAH ANSAR AHMAD</v>
      </c>
      <c r="Y283" t="str">
        <f t="shared" si="126"/>
        <v>04-08-2020</v>
      </c>
      <c r="Z283" t="str">
        <f>"IDSB19200804 369"</f>
        <v>IDSB19200804 369</v>
      </c>
    </row>
    <row r="284" spans="1:26" x14ac:dyDescent="0.25">
      <c r="A284" t="str">
        <f t="shared" ref="A284:A315" si="130">"04-08-2020 01:21:07"</f>
        <v>04-08-2020 01:21:07</v>
      </c>
      <c r="B284" t="str">
        <f>"0000810680"</f>
        <v>0000810680</v>
      </c>
      <c r="C284" t="str">
        <f t="shared" ref="C284:C315" si="131">"0000810512"</f>
        <v>0000810512</v>
      </c>
      <c r="D284" t="str">
        <f t="shared" si="114"/>
        <v>73185</v>
      </c>
      <c r="E284" t="str">
        <f t="shared" si="115"/>
        <v>KFH-OPERATIONS DEPARTMENT</v>
      </c>
      <c r="F284" t="str">
        <f t="shared" si="116"/>
        <v>IBG</v>
      </c>
      <c r="G284" t="str">
        <f t="shared" si="129"/>
        <v>Refund IDSB 19</v>
      </c>
      <c r="H284" s="2">
        <v>122</v>
      </c>
      <c r="I284" t="str">
        <f>"NORPIZAH BINTI ZAKARIA"</f>
        <v>NORPIZAH BINTI ZAKARIA</v>
      </c>
      <c r="J284" t="str">
        <f t="shared" si="107"/>
        <v>MAYBANK / MAYBANK ISLAMIC</v>
      </c>
      <c r="K284" t="str">
        <f>"104115041763"</f>
        <v>104115041763</v>
      </c>
      <c r="L284" t="str">
        <f t="shared" si="127"/>
        <v>04-08-2020</v>
      </c>
      <c r="M284" t="str">
        <f t="shared" si="127"/>
        <v>04-08-2020</v>
      </c>
      <c r="N284" t="str">
        <f t="shared" si="117"/>
        <v>001105018356</v>
      </c>
      <c r="O284" t="str">
        <f t="shared" si="118"/>
        <v>MYR</v>
      </c>
      <c r="P284" t="str">
        <f t="shared" si="128"/>
        <v>NIL</v>
      </c>
      <c r="Q284" t="str">
        <f t="shared" si="128"/>
        <v>NIL</v>
      </c>
      <c r="R284" t="str">
        <f t="shared" si="119"/>
        <v>Accepted</v>
      </c>
      <c r="S284" t="str">
        <f t="shared" si="120"/>
        <v>Approved</v>
      </c>
      <c r="T284" t="str">
        <f t="shared" si="121"/>
        <v>10.20.8.188</v>
      </c>
      <c r="U284" t="str">
        <f t="shared" si="122"/>
        <v>AZRAD UMAR BIN SHAARI</v>
      </c>
      <c r="V284" t="str">
        <f t="shared" si="123"/>
        <v>FARHANA BINTI MUSTAPA</v>
      </c>
      <c r="W284" t="str">
        <f t="shared" si="124"/>
        <v>04-08-2020</v>
      </c>
      <c r="X284" t="str">
        <f t="shared" si="125"/>
        <v>RAZIMAH ANSAR AHMAD</v>
      </c>
      <c r="Y284" t="str">
        <f t="shared" si="126"/>
        <v>04-08-2020</v>
      </c>
      <c r="Z284" t="str">
        <f>"IDSB19200804 368"</f>
        <v>IDSB19200804 368</v>
      </c>
    </row>
    <row r="285" spans="1:26" x14ac:dyDescent="0.25">
      <c r="A285" t="str">
        <f t="shared" si="130"/>
        <v>04-08-2020 01:21:07</v>
      </c>
      <c r="B285" t="str">
        <f>"0000810679"</f>
        <v>0000810679</v>
      </c>
      <c r="C285" t="str">
        <f t="shared" si="131"/>
        <v>0000810512</v>
      </c>
      <c r="D285" t="str">
        <f t="shared" si="114"/>
        <v>73185</v>
      </c>
      <c r="E285" t="str">
        <f t="shared" si="115"/>
        <v>KFH-OPERATIONS DEPARTMENT</v>
      </c>
      <c r="F285" t="str">
        <f t="shared" si="116"/>
        <v>IBG</v>
      </c>
      <c r="G285" t="str">
        <f t="shared" si="129"/>
        <v>Refund IDSB 19</v>
      </c>
      <c r="H285" s="2">
        <v>304</v>
      </c>
      <c r="I285" t="str">
        <f>"NORLIZA BINTI KAMIS"</f>
        <v>NORLIZA BINTI KAMIS</v>
      </c>
      <c r="J285" t="str">
        <f t="shared" si="107"/>
        <v>MAYBANK / MAYBANK ISLAMIC</v>
      </c>
      <c r="K285" t="str">
        <f>"162030641714"</f>
        <v>162030641714</v>
      </c>
      <c r="L285" t="str">
        <f t="shared" si="127"/>
        <v>04-08-2020</v>
      </c>
      <c r="M285" t="str">
        <f t="shared" si="127"/>
        <v>04-08-2020</v>
      </c>
      <c r="N285" t="str">
        <f t="shared" si="117"/>
        <v>001105018356</v>
      </c>
      <c r="O285" t="str">
        <f t="shared" si="118"/>
        <v>MYR</v>
      </c>
      <c r="P285" t="str">
        <f t="shared" si="128"/>
        <v>NIL</v>
      </c>
      <c r="Q285" t="str">
        <f t="shared" si="128"/>
        <v>NIL</v>
      </c>
      <c r="R285" t="str">
        <f t="shared" si="119"/>
        <v>Accepted</v>
      </c>
      <c r="S285" t="str">
        <f t="shared" si="120"/>
        <v>Approved</v>
      </c>
      <c r="T285" t="str">
        <f t="shared" si="121"/>
        <v>10.20.8.188</v>
      </c>
      <c r="U285" t="str">
        <f t="shared" si="122"/>
        <v>AZRAD UMAR BIN SHAARI</v>
      </c>
      <c r="V285" t="str">
        <f t="shared" si="123"/>
        <v>FARHANA BINTI MUSTAPA</v>
      </c>
      <c r="W285" t="str">
        <f t="shared" si="124"/>
        <v>04-08-2020</v>
      </c>
      <c r="X285" t="str">
        <f t="shared" si="125"/>
        <v>RAZIMAH ANSAR AHMAD</v>
      </c>
      <c r="Y285" t="str">
        <f t="shared" si="126"/>
        <v>04-08-2020</v>
      </c>
      <c r="Z285" t="str">
        <f>"IDSB19200804 367"</f>
        <v>IDSB19200804 367</v>
      </c>
    </row>
    <row r="286" spans="1:26" x14ac:dyDescent="0.25">
      <c r="A286" t="str">
        <f t="shared" si="130"/>
        <v>04-08-2020 01:21:07</v>
      </c>
      <c r="B286" t="str">
        <f>"0000810678"</f>
        <v>0000810678</v>
      </c>
      <c r="C286" t="str">
        <f t="shared" si="131"/>
        <v>0000810512</v>
      </c>
      <c r="D286" t="str">
        <f t="shared" si="114"/>
        <v>73185</v>
      </c>
      <c r="E286" t="str">
        <f t="shared" si="115"/>
        <v>KFH-OPERATIONS DEPARTMENT</v>
      </c>
      <c r="F286" t="str">
        <f t="shared" si="116"/>
        <v>IBG</v>
      </c>
      <c r="G286" t="str">
        <f t="shared" si="129"/>
        <v>Refund IDSB 19</v>
      </c>
      <c r="H286" s="2">
        <v>107</v>
      </c>
      <c r="I286" t="str">
        <f>"NORLILY BINTI ZAINI"</f>
        <v>NORLILY BINTI ZAINI</v>
      </c>
      <c r="J286" t="str">
        <f t="shared" si="107"/>
        <v>MAYBANK / MAYBANK ISLAMIC</v>
      </c>
      <c r="K286" t="str">
        <f>"151017168678"</f>
        <v>151017168678</v>
      </c>
      <c r="L286" t="str">
        <f t="shared" si="127"/>
        <v>04-08-2020</v>
      </c>
      <c r="M286" t="str">
        <f t="shared" si="127"/>
        <v>04-08-2020</v>
      </c>
      <c r="N286" t="str">
        <f t="shared" si="117"/>
        <v>001105018356</v>
      </c>
      <c r="O286" t="str">
        <f t="shared" si="118"/>
        <v>MYR</v>
      </c>
      <c r="P286" t="str">
        <f t="shared" si="128"/>
        <v>NIL</v>
      </c>
      <c r="Q286" t="str">
        <f t="shared" si="128"/>
        <v>NIL</v>
      </c>
      <c r="R286" t="str">
        <f t="shared" si="119"/>
        <v>Accepted</v>
      </c>
      <c r="S286" t="str">
        <f t="shared" si="120"/>
        <v>Approved</v>
      </c>
      <c r="T286" t="str">
        <f t="shared" si="121"/>
        <v>10.20.8.188</v>
      </c>
      <c r="U286" t="str">
        <f t="shared" si="122"/>
        <v>AZRAD UMAR BIN SHAARI</v>
      </c>
      <c r="V286" t="str">
        <f t="shared" si="123"/>
        <v>FARHANA BINTI MUSTAPA</v>
      </c>
      <c r="W286" t="str">
        <f t="shared" si="124"/>
        <v>04-08-2020</v>
      </c>
      <c r="X286" t="str">
        <f t="shared" si="125"/>
        <v>RAZIMAH ANSAR AHMAD</v>
      </c>
      <c r="Y286" t="str">
        <f t="shared" si="126"/>
        <v>04-08-2020</v>
      </c>
      <c r="Z286" t="str">
        <f>"IDSB19200804 366"</f>
        <v>IDSB19200804 366</v>
      </c>
    </row>
    <row r="287" spans="1:26" x14ac:dyDescent="0.25">
      <c r="A287" t="str">
        <f t="shared" si="130"/>
        <v>04-08-2020 01:21:07</v>
      </c>
      <c r="B287" t="str">
        <f>"0000810677"</f>
        <v>0000810677</v>
      </c>
      <c r="C287" t="str">
        <f t="shared" si="131"/>
        <v>0000810512</v>
      </c>
      <c r="D287" t="str">
        <f t="shared" si="114"/>
        <v>73185</v>
      </c>
      <c r="E287" t="str">
        <f t="shared" si="115"/>
        <v>KFH-OPERATIONS DEPARTMENT</v>
      </c>
      <c r="F287" t="str">
        <f t="shared" si="116"/>
        <v>IBG</v>
      </c>
      <c r="G287" t="str">
        <f t="shared" si="129"/>
        <v>Refund IDSB 19</v>
      </c>
      <c r="H287" s="2">
        <v>268.64999999999998</v>
      </c>
      <c r="I287" t="str">
        <f>"NORLIDA BINTI HASSAN"</f>
        <v>NORLIDA BINTI HASSAN</v>
      </c>
      <c r="J287" t="str">
        <f t="shared" si="107"/>
        <v>MAYBANK / MAYBANK ISLAMIC</v>
      </c>
      <c r="K287" t="str">
        <f>"151427043274"</f>
        <v>151427043274</v>
      </c>
      <c r="L287" t="str">
        <f t="shared" ref="L287:M306" si="132">"04-08-2020"</f>
        <v>04-08-2020</v>
      </c>
      <c r="M287" t="str">
        <f t="shared" si="132"/>
        <v>04-08-2020</v>
      </c>
      <c r="N287" t="str">
        <f t="shared" si="117"/>
        <v>001105018356</v>
      </c>
      <c r="O287" t="str">
        <f t="shared" si="118"/>
        <v>MYR</v>
      </c>
      <c r="P287" t="str">
        <f t="shared" ref="P287:Q306" si="133">"NIL"</f>
        <v>NIL</v>
      </c>
      <c r="Q287" t="str">
        <f t="shared" si="133"/>
        <v>NIL</v>
      </c>
      <c r="R287" t="str">
        <f t="shared" si="119"/>
        <v>Accepted</v>
      </c>
      <c r="S287" t="str">
        <f t="shared" si="120"/>
        <v>Approved</v>
      </c>
      <c r="T287" t="str">
        <f t="shared" si="121"/>
        <v>10.20.8.188</v>
      </c>
      <c r="U287" t="str">
        <f t="shared" si="122"/>
        <v>AZRAD UMAR BIN SHAARI</v>
      </c>
      <c r="V287" t="str">
        <f t="shared" si="123"/>
        <v>FARHANA BINTI MUSTAPA</v>
      </c>
      <c r="W287" t="str">
        <f t="shared" si="124"/>
        <v>04-08-2020</v>
      </c>
      <c r="X287" t="str">
        <f t="shared" si="125"/>
        <v>RAZIMAH ANSAR AHMAD</v>
      </c>
      <c r="Y287" t="str">
        <f t="shared" si="126"/>
        <v>04-08-2020</v>
      </c>
      <c r="Z287" t="str">
        <f>"IDSB19200804 365"</f>
        <v>IDSB19200804 365</v>
      </c>
    </row>
    <row r="288" spans="1:26" x14ac:dyDescent="0.25">
      <c r="A288" t="str">
        <f t="shared" si="130"/>
        <v>04-08-2020 01:21:07</v>
      </c>
      <c r="B288" t="str">
        <f>"0000810676"</f>
        <v>0000810676</v>
      </c>
      <c r="C288" t="str">
        <f t="shared" si="131"/>
        <v>0000810512</v>
      </c>
      <c r="D288" t="str">
        <f t="shared" si="114"/>
        <v>73185</v>
      </c>
      <c r="E288" t="str">
        <f t="shared" si="115"/>
        <v>KFH-OPERATIONS DEPARTMENT</v>
      </c>
      <c r="F288" t="str">
        <f t="shared" si="116"/>
        <v>IBG</v>
      </c>
      <c r="G288" t="str">
        <f t="shared" si="129"/>
        <v>Refund IDSB 19</v>
      </c>
      <c r="H288" s="2">
        <v>319</v>
      </c>
      <c r="I288" t="str">
        <f>"NORLIDA BINTI HASSAN"</f>
        <v>NORLIDA BINTI HASSAN</v>
      </c>
      <c r="J288" t="str">
        <f t="shared" ref="J288:J351" si="134">"MAYBANK / MAYBANK ISLAMIC"</f>
        <v>MAYBANK / MAYBANK ISLAMIC</v>
      </c>
      <c r="K288" t="str">
        <f>"151427043274"</f>
        <v>151427043274</v>
      </c>
      <c r="L288" t="str">
        <f t="shared" si="132"/>
        <v>04-08-2020</v>
      </c>
      <c r="M288" t="str">
        <f t="shared" si="132"/>
        <v>04-08-2020</v>
      </c>
      <c r="N288" t="str">
        <f t="shared" si="117"/>
        <v>001105018356</v>
      </c>
      <c r="O288" t="str">
        <f t="shared" si="118"/>
        <v>MYR</v>
      </c>
      <c r="P288" t="str">
        <f t="shared" si="133"/>
        <v>NIL</v>
      </c>
      <c r="Q288" t="str">
        <f t="shared" si="133"/>
        <v>NIL</v>
      </c>
      <c r="R288" t="str">
        <f t="shared" si="119"/>
        <v>Accepted</v>
      </c>
      <c r="S288" t="str">
        <f t="shared" si="120"/>
        <v>Approved</v>
      </c>
      <c r="T288" t="str">
        <f t="shared" si="121"/>
        <v>10.20.8.188</v>
      </c>
      <c r="U288" t="str">
        <f t="shared" si="122"/>
        <v>AZRAD UMAR BIN SHAARI</v>
      </c>
      <c r="V288" t="str">
        <f t="shared" si="123"/>
        <v>FARHANA BINTI MUSTAPA</v>
      </c>
      <c r="W288" t="str">
        <f t="shared" si="124"/>
        <v>04-08-2020</v>
      </c>
      <c r="X288" t="str">
        <f t="shared" si="125"/>
        <v>RAZIMAH ANSAR AHMAD</v>
      </c>
      <c r="Y288" t="str">
        <f t="shared" si="126"/>
        <v>04-08-2020</v>
      </c>
      <c r="Z288" t="str">
        <f>"IDSB19200804 364"</f>
        <v>IDSB19200804 364</v>
      </c>
    </row>
    <row r="289" spans="1:26" x14ac:dyDescent="0.25">
      <c r="A289" t="str">
        <f t="shared" si="130"/>
        <v>04-08-2020 01:21:07</v>
      </c>
      <c r="B289" t="str">
        <f>"0000810675"</f>
        <v>0000810675</v>
      </c>
      <c r="C289" t="str">
        <f t="shared" si="131"/>
        <v>0000810512</v>
      </c>
      <c r="D289" t="str">
        <f t="shared" si="114"/>
        <v>73185</v>
      </c>
      <c r="E289" t="str">
        <f t="shared" si="115"/>
        <v>KFH-OPERATIONS DEPARTMENT</v>
      </c>
      <c r="F289" t="str">
        <f t="shared" si="116"/>
        <v>IBG</v>
      </c>
      <c r="G289" t="str">
        <f t="shared" si="129"/>
        <v>Refund IDSB 19</v>
      </c>
      <c r="H289" s="2">
        <v>772.04</v>
      </c>
      <c r="I289" t="str">
        <f>"NORKAMALIZA BINTI KAMARUZAMAN"</f>
        <v>NORKAMALIZA BINTI KAMARUZAMAN</v>
      </c>
      <c r="J289" t="str">
        <f t="shared" si="134"/>
        <v>MAYBANK / MAYBANK ISLAMIC</v>
      </c>
      <c r="K289" t="str">
        <f>"114348149403"</f>
        <v>114348149403</v>
      </c>
      <c r="L289" t="str">
        <f t="shared" si="132"/>
        <v>04-08-2020</v>
      </c>
      <c r="M289" t="str">
        <f t="shared" si="132"/>
        <v>04-08-2020</v>
      </c>
      <c r="N289" t="str">
        <f t="shared" si="117"/>
        <v>001105018356</v>
      </c>
      <c r="O289" t="str">
        <f t="shared" si="118"/>
        <v>MYR</v>
      </c>
      <c r="P289" t="str">
        <f t="shared" si="133"/>
        <v>NIL</v>
      </c>
      <c r="Q289" t="str">
        <f t="shared" si="133"/>
        <v>NIL</v>
      </c>
      <c r="R289" t="str">
        <f t="shared" si="119"/>
        <v>Accepted</v>
      </c>
      <c r="S289" t="str">
        <f t="shared" si="120"/>
        <v>Approved</v>
      </c>
      <c r="T289" t="str">
        <f t="shared" si="121"/>
        <v>10.20.8.188</v>
      </c>
      <c r="U289" t="str">
        <f t="shared" si="122"/>
        <v>AZRAD UMAR BIN SHAARI</v>
      </c>
      <c r="V289" t="str">
        <f t="shared" si="123"/>
        <v>FARHANA BINTI MUSTAPA</v>
      </c>
      <c r="W289" t="str">
        <f t="shared" si="124"/>
        <v>04-08-2020</v>
      </c>
      <c r="X289" t="str">
        <f t="shared" si="125"/>
        <v>RAZIMAH ANSAR AHMAD</v>
      </c>
      <c r="Y289" t="str">
        <f t="shared" si="126"/>
        <v>04-08-2020</v>
      </c>
      <c r="Z289" t="str">
        <f>"IDSB19200804 363"</f>
        <v>IDSB19200804 363</v>
      </c>
    </row>
    <row r="290" spans="1:26" x14ac:dyDescent="0.25">
      <c r="A290" t="str">
        <f t="shared" si="130"/>
        <v>04-08-2020 01:21:07</v>
      </c>
      <c r="B290" t="str">
        <f>"0000810674"</f>
        <v>0000810674</v>
      </c>
      <c r="C290" t="str">
        <f t="shared" si="131"/>
        <v>0000810512</v>
      </c>
      <c r="D290" t="str">
        <f t="shared" si="114"/>
        <v>73185</v>
      </c>
      <c r="E290" t="str">
        <f t="shared" si="115"/>
        <v>KFH-OPERATIONS DEPARTMENT</v>
      </c>
      <c r="F290" t="str">
        <f t="shared" si="116"/>
        <v>IBG</v>
      </c>
      <c r="G290" t="str">
        <f t="shared" si="129"/>
        <v>Refund IDSB 19</v>
      </c>
      <c r="H290" s="2">
        <v>1359.46</v>
      </c>
      <c r="I290" t="str">
        <f>"NORIZAN BINTI ISMAIL"</f>
        <v>NORIZAN BINTI ISMAIL</v>
      </c>
      <c r="J290" t="str">
        <f t="shared" si="134"/>
        <v>MAYBANK / MAYBANK ISLAMIC</v>
      </c>
      <c r="K290" t="str">
        <f>"162200138729"</f>
        <v>162200138729</v>
      </c>
      <c r="L290" t="str">
        <f t="shared" si="132"/>
        <v>04-08-2020</v>
      </c>
      <c r="M290" t="str">
        <f t="shared" si="132"/>
        <v>04-08-2020</v>
      </c>
      <c r="N290" t="str">
        <f t="shared" si="117"/>
        <v>001105018356</v>
      </c>
      <c r="O290" t="str">
        <f t="shared" si="118"/>
        <v>MYR</v>
      </c>
      <c r="P290" t="str">
        <f t="shared" si="133"/>
        <v>NIL</v>
      </c>
      <c r="Q290" t="str">
        <f t="shared" si="133"/>
        <v>NIL</v>
      </c>
      <c r="R290" t="str">
        <f t="shared" si="119"/>
        <v>Accepted</v>
      </c>
      <c r="S290" t="str">
        <f t="shared" si="120"/>
        <v>Approved</v>
      </c>
      <c r="T290" t="str">
        <f t="shared" si="121"/>
        <v>10.20.8.188</v>
      </c>
      <c r="U290" t="str">
        <f t="shared" si="122"/>
        <v>AZRAD UMAR BIN SHAARI</v>
      </c>
      <c r="V290" t="str">
        <f t="shared" si="123"/>
        <v>FARHANA BINTI MUSTAPA</v>
      </c>
      <c r="W290" t="str">
        <f t="shared" si="124"/>
        <v>04-08-2020</v>
      </c>
      <c r="X290" t="str">
        <f t="shared" si="125"/>
        <v>RAZIMAH ANSAR AHMAD</v>
      </c>
      <c r="Y290" t="str">
        <f t="shared" si="126"/>
        <v>04-08-2020</v>
      </c>
      <c r="Z290" t="str">
        <f>"IDSB19200804 362"</f>
        <v>IDSB19200804 362</v>
      </c>
    </row>
    <row r="291" spans="1:26" x14ac:dyDescent="0.25">
      <c r="A291" t="str">
        <f t="shared" si="130"/>
        <v>04-08-2020 01:21:07</v>
      </c>
      <c r="B291" t="str">
        <f>"0000810673"</f>
        <v>0000810673</v>
      </c>
      <c r="C291" t="str">
        <f t="shared" si="131"/>
        <v>0000810512</v>
      </c>
      <c r="D291" t="str">
        <f t="shared" si="114"/>
        <v>73185</v>
      </c>
      <c r="E291" t="str">
        <f t="shared" si="115"/>
        <v>KFH-OPERATIONS DEPARTMENT</v>
      </c>
      <c r="F291" t="str">
        <f t="shared" si="116"/>
        <v>IBG</v>
      </c>
      <c r="G291" t="str">
        <f t="shared" si="129"/>
        <v>Refund IDSB 19</v>
      </c>
      <c r="H291" s="2">
        <v>2066.25</v>
      </c>
      <c r="I291" t="str">
        <f>"NORIZAN BINTI AWANG"</f>
        <v>NORIZAN BINTI AWANG</v>
      </c>
      <c r="J291" t="str">
        <f t="shared" si="134"/>
        <v>MAYBANK / MAYBANK ISLAMIC</v>
      </c>
      <c r="K291" t="str">
        <f>"155032491430"</f>
        <v>155032491430</v>
      </c>
      <c r="L291" t="str">
        <f t="shared" si="132"/>
        <v>04-08-2020</v>
      </c>
      <c r="M291" t="str">
        <f t="shared" si="132"/>
        <v>04-08-2020</v>
      </c>
      <c r="N291" t="str">
        <f t="shared" si="117"/>
        <v>001105018356</v>
      </c>
      <c r="O291" t="str">
        <f t="shared" si="118"/>
        <v>MYR</v>
      </c>
      <c r="P291" t="str">
        <f t="shared" si="133"/>
        <v>NIL</v>
      </c>
      <c r="Q291" t="str">
        <f t="shared" si="133"/>
        <v>NIL</v>
      </c>
      <c r="R291" t="str">
        <f t="shared" si="119"/>
        <v>Accepted</v>
      </c>
      <c r="S291" t="str">
        <f t="shared" si="120"/>
        <v>Approved</v>
      </c>
      <c r="T291" t="str">
        <f t="shared" si="121"/>
        <v>10.20.8.188</v>
      </c>
      <c r="U291" t="str">
        <f t="shared" si="122"/>
        <v>AZRAD UMAR BIN SHAARI</v>
      </c>
      <c r="V291" t="str">
        <f t="shared" si="123"/>
        <v>FARHANA BINTI MUSTAPA</v>
      </c>
      <c r="W291" t="str">
        <f t="shared" si="124"/>
        <v>04-08-2020</v>
      </c>
      <c r="X291" t="str">
        <f t="shared" si="125"/>
        <v>RAZIMAH ANSAR AHMAD</v>
      </c>
      <c r="Y291" t="str">
        <f t="shared" si="126"/>
        <v>04-08-2020</v>
      </c>
      <c r="Z291" t="str">
        <f>"IDSB19200804 361"</f>
        <v>IDSB19200804 361</v>
      </c>
    </row>
    <row r="292" spans="1:26" x14ac:dyDescent="0.25">
      <c r="A292" t="str">
        <f t="shared" si="130"/>
        <v>04-08-2020 01:21:07</v>
      </c>
      <c r="B292" t="str">
        <f>"0000810672"</f>
        <v>0000810672</v>
      </c>
      <c r="C292" t="str">
        <f t="shared" si="131"/>
        <v>0000810512</v>
      </c>
      <c r="D292" t="str">
        <f t="shared" si="114"/>
        <v>73185</v>
      </c>
      <c r="E292" t="str">
        <f t="shared" si="115"/>
        <v>KFH-OPERATIONS DEPARTMENT</v>
      </c>
      <c r="F292" t="str">
        <f t="shared" si="116"/>
        <v>IBG</v>
      </c>
      <c r="G292" t="str">
        <f t="shared" si="129"/>
        <v>Refund IDSB 19</v>
      </c>
      <c r="H292" s="2">
        <v>595.80999999999995</v>
      </c>
      <c r="I292" t="str">
        <f>"NORHASLINDA BINTI MOHD ISA"</f>
        <v>NORHASLINDA BINTI MOHD ISA</v>
      </c>
      <c r="J292" t="str">
        <f t="shared" si="134"/>
        <v>MAYBANK / MAYBANK ISLAMIC</v>
      </c>
      <c r="K292" t="str">
        <f>"164089801590"</f>
        <v>164089801590</v>
      </c>
      <c r="L292" t="str">
        <f t="shared" si="132"/>
        <v>04-08-2020</v>
      </c>
      <c r="M292" t="str">
        <f t="shared" si="132"/>
        <v>04-08-2020</v>
      </c>
      <c r="N292" t="str">
        <f t="shared" si="117"/>
        <v>001105018356</v>
      </c>
      <c r="O292" t="str">
        <f t="shared" si="118"/>
        <v>MYR</v>
      </c>
      <c r="P292" t="str">
        <f t="shared" si="133"/>
        <v>NIL</v>
      </c>
      <c r="Q292" t="str">
        <f t="shared" si="133"/>
        <v>NIL</v>
      </c>
      <c r="R292" t="str">
        <f t="shared" si="119"/>
        <v>Accepted</v>
      </c>
      <c r="S292" t="str">
        <f t="shared" si="120"/>
        <v>Approved</v>
      </c>
      <c r="T292" t="str">
        <f t="shared" si="121"/>
        <v>10.20.8.188</v>
      </c>
      <c r="U292" t="str">
        <f t="shared" si="122"/>
        <v>AZRAD UMAR BIN SHAARI</v>
      </c>
      <c r="V292" t="str">
        <f t="shared" si="123"/>
        <v>FARHANA BINTI MUSTAPA</v>
      </c>
      <c r="W292" t="str">
        <f t="shared" si="124"/>
        <v>04-08-2020</v>
      </c>
      <c r="X292" t="str">
        <f t="shared" si="125"/>
        <v>RAZIMAH ANSAR AHMAD</v>
      </c>
      <c r="Y292" t="str">
        <f t="shared" si="126"/>
        <v>04-08-2020</v>
      </c>
      <c r="Z292" t="str">
        <f>"IDSB19200804 360"</f>
        <v>IDSB19200804 360</v>
      </c>
    </row>
    <row r="293" spans="1:26" x14ac:dyDescent="0.25">
      <c r="A293" t="str">
        <f t="shared" si="130"/>
        <v>04-08-2020 01:21:07</v>
      </c>
      <c r="B293" t="str">
        <f>"0000810671"</f>
        <v>0000810671</v>
      </c>
      <c r="C293" t="str">
        <f t="shared" si="131"/>
        <v>0000810512</v>
      </c>
      <c r="D293" t="str">
        <f t="shared" si="114"/>
        <v>73185</v>
      </c>
      <c r="E293" t="str">
        <f t="shared" si="115"/>
        <v>KFH-OPERATIONS DEPARTMENT</v>
      </c>
      <c r="F293" t="str">
        <f t="shared" si="116"/>
        <v>IBG</v>
      </c>
      <c r="G293" t="str">
        <f t="shared" si="129"/>
        <v>Refund IDSB 19</v>
      </c>
      <c r="H293" s="2">
        <v>1015.9</v>
      </c>
      <c r="I293" t="str">
        <f>"NORHANA BINTI ABDULLAH"</f>
        <v>NORHANA BINTI ABDULLAH</v>
      </c>
      <c r="J293" t="str">
        <f t="shared" si="134"/>
        <v>MAYBANK / MAYBANK ISLAMIC</v>
      </c>
      <c r="K293" t="str">
        <f>"105019599916"</f>
        <v>105019599916</v>
      </c>
      <c r="L293" t="str">
        <f t="shared" si="132"/>
        <v>04-08-2020</v>
      </c>
      <c r="M293" t="str">
        <f t="shared" si="132"/>
        <v>04-08-2020</v>
      </c>
      <c r="N293" t="str">
        <f t="shared" si="117"/>
        <v>001105018356</v>
      </c>
      <c r="O293" t="str">
        <f t="shared" si="118"/>
        <v>MYR</v>
      </c>
      <c r="P293" t="str">
        <f t="shared" si="133"/>
        <v>NIL</v>
      </c>
      <c r="Q293" t="str">
        <f t="shared" si="133"/>
        <v>NIL</v>
      </c>
      <c r="R293" t="str">
        <f t="shared" si="119"/>
        <v>Accepted</v>
      </c>
      <c r="S293" t="str">
        <f t="shared" si="120"/>
        <v>Approved</v>
      </c>
      <c r="T293" t="str">
        <f t="shared" si="121"/>
        <v>10.20.8.188</v>
      </c>
      <c r="U293" t="str">
        <f t="shared" si="122"/>
        <v>AZRAD UMAR BIN SHAARI</v>
      </c>
      <c r="V293" t="str">
        <f t="shared" si="123"/>
        <v>FARHANA BINTI MUSTAPA</v>
      </c>
      <c r="W293" t="str">
        <f t="shared" si="124"/>
        <v>04-08-2020</v>
      </c>
      <c r="X293" t="str">
        <f t="shared" si="125"/>
        <v>RAZIMAH ANSAR AHMAD</v>
      </c>
      <c r="Y293" t="str">
        <f t="shared" si="126"/>
        <v>04-08-2020</v>
      </c>
      <c r="Z293" t="str">
        <f>"IDSB19200804 359"</f>
        <v>IDSB19200804 359</v>
      </c>
    </row>
    <row r="294" spans="1:26" x14ac:dyDescent="0.25">
      <c r="A294" t="str">
        <f t="shared" si="130"/>
        <v>04-08-2020 01:21:07</v>
      </c>
      <c r="B294" t="str">
        <f>"0000810670"</f>
        <v>0000810670</v>
      </c>
      <c r="C294" t="str">
        <f t="shared" si="131"/>
        <v>0000810512</v>
      </c>
      <c r="D294" t="str">
        <f t="shared" si="114"/>
        <v>73185</v>
      </c>
      <c r="E294" t="str">
        <f t="shared" si="115"/>
        <v>KFH-OPERATIONS DEPARTMENT</v>
      </c>
      <c r="F294" t="str">
        <f t="shared" si="116"/>
        <v>IBG</v>
      </c>
      <c r="G294" t="str">
        <f t="shared" si="129"/>
        <v>Refund IDSB 19</v>
      </c>
      <c r="H294" s="2">
        <v>251.85</v>
      </c>
      <c r="I294" t="str">
        <f>"NORHALIZA BINTI MOHAMAD"</f>
        <v>NORHALIZA BINTI MOHAMAD</v>
      </c>
      <c r="J294" t="str">
        <f t="shared" si="134"/>
        <v>MAYBANK / MAYBANK ISLAMIC</v>
      </c>
      <c r="K294" t="str">
        <f>"152068811523"</f>
        <v>152068811523</v>
      </c>
      <c r="L294" t="str">
        <f t="shared" si="132"/>
        <v>04-08-2020</v>
      </c>
      <c r="M294" t="str">
        <f t="shared" si="132"/>
        <v>04-08-2020</v>
      </c>
      <c r="N294" t="str">
        <f t="shared" si="117"/>
        <v>001105018356</v>
      </c>
      <c r="O294" t="str">
        <f t="shared" si="118"/>
        <v>MYR</v>
      </c>
      <c r="P294" t="str">
        <f t="shared" si="133"/>
        <v>NIL</v>
      </c>
      <c r="Q294" t="str">
        <f t="shared" si="133"/>
        <v>NIL</v>
      </c>
      <c r="R294" t="str">
        <f t="shared" si="119"/>
        <v>Accepted</v>
      </c>
      <c r="S294" t="str">
        <f t="shared" si="120"/>
        <v>Approved</v>
      </c>
      <c r="T294" t="str">
        <f t="shared" si="121"/>
        <v>10.20.8.188</v>
      </c>
      <c r="U294" t="str">
        <f t="shared" si="122"/>
        <v>AZRAD UMAR BIN SHAARI</v>
      </c>
      <c r="V294" t="str">
        <f t="shared" si="123"/>
        <v>FARHANA BINTI MUSTAPA</v>
      </c>
      <c r="W294" t="str">
        <f t="shared" si="124"/>
        <v>04-08-2020</v>
      </c>
      <c r="X294" t="str">
        <f t="shared" si="125"/>
        <v>RAZIMAH ANSAR AHMAD</v>
      </c>
      <c r="Y294" t="str">
        <f t="shared" si="126"/>
        <v>04-08-2020</v>
      </c>
      <c r="Z294" t="str">
        <f>"IDSB19200804 358"</f>
        <v>IDSB19200804 358</v>
      </c>
    </row>
    <row r="295" spans="1:26" x14ac:dyDescent="0.25">
      <c r="A295" t="str">
        <f t="shared" si="130"/>
        <v>04-08-2020 01:21:07</v>
      </c>
      <c r="B295" t="str">
        <f>"0000810669"</f>
        <v>0000810669</v>
      </c>
      <c r="C295" t="str">
        <f t="shared" si="131"/>
        <v>0000810512</v>
      </c>
      <c r="D295" t="str">
        <f t="shared" si="114"/>
        <v>73185</v>
      </c>
      <c r="E295" t="str">
        <f t="shared" si="115"/>
        <v>KFH-OPERATIONS DEPARTMENT</v>
      </c>
      <c r="F295" t="str">
        <f t="shared" si="116"/>
        <v>IBG</v>
      </c>
      <c r="G295" t="str">
        <f t="shared" si="129"/>
        <v>Refund IDSB 19</v>
      </c>
      <c r="H295" s="2">
        <v>392.95</v>
      </c>
      <c r="I295" t="str">
        <f>"NORFAIZAH BINTI AHMAD ROPAI"</f>
        <v>NORFAIZAH BINTI AHMAD ROPAI</v>
      </c>
      <c r="J295" t="str">
        <f t="shared" si="134"/>
        <v>MAYBANK / MAYBANK ISLAMIC</v>
      </c>
      <c r="K295" t="str">
        <f>"162076623079"</f>
        <v>162076623079</v>
      </c>
      <c r="L295" t="str">
        <f t="shared" si="132"/>
        <v>04-08-2020</v>
      </c>
      <c r="M295" t="str">
        <f t="shared" si="132"/>
        <v>04-08-2020</v>
      </c>
      <c r="N295" t="str">
        <f t="shared" si="117"/>
        <v>001105018356</v>
      </c>
      <c r="O295" t="str">
        <f t="shared" si="118"/>
        <v>MYR</v>
      </c>
      <c r="P295" t="str">
        <f t="shared" si="133"/>
        <v>NIL</v>
      </c>
      <c r="Q295" t="str">
        <f t="shared" si="133"/>
        <v>NIL</v>
      </c>
      <c r="R295" t="str">
        <f t="shared" si="119"/>
        <v>Accepted</v>
      </c>
      <c r="S295" t="str">
        <f t="shared" si="120"/>
        <v>Approved</v>
      </c>
      <c r="T295" t="str">
        <f t="shared" si="121"/>
        <v>10.20.8.188</v>
      </c>
      <c r="U295" t="str">
        <f t="shared" si="122"/>
        <v>AZRAD UMAR BIN SHAARI</v>
      </c>
      <c r="V295" t="str">
        <f t="shared" si="123"/>
        <v>FARHANA BINTI MUSTAPA</v>
      </c>
      <c r="W295" t="str">
        <f t="shared" si="124"/>
        <v>04-08-2020</v>
      </c>
      <c r="X295" t="str">
        <f t="shared" si="125"/>
        <v>RAZIMAH ANSAR AHMAD</v>
      </c>
      <c r="Y295" t="str">
        <f t="shared" si="126"/>
        <v>04-08-2020</v>
      </c>
      <c r="Z295" t="str">
        <f>"IDSB19200804 357"</f>
        <v>IDSB19200804 357</v>
      </c>
    </row>
    <row r="296" spans="1:26" x14ac:dyDescent="0.25">
      <c r="A296" t="str">
        <f t="shared" si="130"/>
        <v>04-08-2020 01:21:07</v>
      </c>
      <c r="B296" t="str">
        <f>"0000810668"</f>
        <v>0000810668</v>
      </c>
      <c r="C296" t="str">
        <f t="shared" si="131"/>
        <v>0000810512</v>
      </c>
      <c r="D296" t="str">
        <f t="shared" si="114"/>
        <v>73185</v>
      </c>
      <c r="E296" t="str">
        <f t="shared" si="115"/>
        <v>KFH-OPERATIONS DEPARTMENT</v>
      </c>
      <c r="F296" t="str">
        <f t="shared" si="116"/>
        <v>IBG</v>
      </c>
      <c r="G296" t="str">
        <f t="shared" si="129"/>
        <v>Refund IDSB 19</v>
      </c>
      <c r="H296" s="2">
        <v>56.78</v>
      </c>
      <c r="I296" t="str">
        <f>"NORDIANA BINTI MOHD NORDIN"</f>
        <v>NORDIANA BINTI MOHD NORDIN</v>
      </c>
      <c r="J296" t="str">
        <f t="shared" si="134"/>
        <v>MAYBANK / MAYBANK ISLAMIC</v>
      </c>
      <c r="K296" t="str">
        <f>"162311006940"</f>
        <v>162311006940</v>
      </c>
      <c r="L296" t="str">
        <f t="shared" si="132"/>
        <v>04-08-2020</v>
      </c>
      <c r="M296" t="str">
        <f t="shared" si="132"/>
        <v>04-08-2020</v>
      </c>
      <c r="N296" t="str">
        <f t="shared" si="117"/>
        <v>001105018356</v>
      </c>
      <c r="O296" t="str">
        <f t="shared" si="118"/>
        <v>MYR</v>
      </c>
      <c r="P296" t="str">
        <f t="shared" si="133"/>
        <v>NIL</v>
      </c>
      <c r="Q296" t="str">
        <f t="shared" si="133"/>
        <v>NIL</v>
      </c>
      <c r="R296" t="str">
        <f t="shared" si="119"/>
        <v>Accepted</v>
      </c>
      <c r="S296" t="str">
        <f t="shared" si="120"/>
        <v>Approved</v>
      </c>
      <c r="T296" t="str">
        <f t="shared" si="121"/>
        <v>10.20.8.188</v>
      </c>
      <c r="U296" t="str">
        <f t="shared" si="122"/>
        <v>AZRAD UMAR BIN SHAARI</v>
      </c>
      <c r="V296" t="str">
        <f t="shared" si="123"/>
        <v>FARHANA BINTI MUSTAPA</v>
      </c>
      <c r="W296" t="str">
        <f t="shared" si="124"/>
        <v>04-08-2020</v>
      </c>
      <c r="X296" t="str">
        <f t="shared" si="125"/>
        <v>RAZIMAH ANSAR AHMAD</v>
      </c>
      <c r="Y296" t="str">
        <f t="shared" si="126"/>
        <v>04-08-2020</v>
      </c>
      <c r="Z296" t="str">
        <f>"IDSB19200804 356"</f>
        <v>IDSB19200804 356</v>
      </c>
    </row>
    <row r="297" spans="1:26" x14ac:dyDescent="0.25">
      <c r="A297" t="str">
        <f t="shared" si="130"/>
        <v>04-08-2020 01:21:07</v>
      </c>
      <c r="B297" t="str">
        <f>"0000810667"</f>
        <v>0000810667</v>
      </c>
      <c r="C297" t="str">
        <f t="shared" si="131"/>
        <v>0000810512</v>
      </c>
      <c r="D297" t="str">
        <f t="shared" si="114"/>
        <v>73185</v>
      </c>
      <c r="E297" t="str">
        <f t="shared" si="115"/>
        <v>KFH-OPERATIONS DEPARTMENT</v>
      </c>
      <c r="F297" t="str">
        <f t="shared" si="116"/>
        <v>IBG</v>
      </c>
      <c r="G297" t="str">
        <f t="shared" si="129"/>
        <v>Refund IDSB 19</v>
      </c>
      <c r="H297" s="2">
        <v>479</v>
      </c>
      <c r="I297" t="str">
        <f>"NORAZNA BINTI ZANIR"</f>
        <v>NORAZNA BINTI ZANIR</v>
      </c>
      <c r="J297" t="str">
        <f t="shared" si="134"/>
        <v>MAYBANK / MAYBANK ISLAMIC</v>
      </c>
      <c r="K297" t="str">
        <f>"162263223179"</f>
        <v>162263223179</v>
      </c>
      <c r="L297" t="str">
        <f t="shared" si="132"/>
        <v>04-08-2020</v>
      </c>
      <c r="M297" t="str">
        <f t="shared" si="132"/>
        <v>04-08-2020</v>
      </c>
      <c r="N297" t="str">
        <f t="shared" si="117"/>
        <v>001105018356</v>
      </c>
      <c r="O297" t="str">
        <f t="shared" si="118"/>
        <v>MYR</v>
      </c>
      <c r="P297" t="str">
        <f t="shared" si="133"/>
        <v>NIL</v>
      </c>
      <c r="Q297" t="str">
        <f t="shared" si="133"/>
        <v>NIL</v>
      </c>
      <c r="R297" t="str">
        <f t="shared" si="119"/>
        <v>Accepted</v>
      </c>
      <c r="S297" t="str">
        <f t="shared" si="120"/>
        <v>Approved</v>
      </c>
      <c r="T297" t="str">
        <f t="shared" si="121"/>
        <v>10.20.8.188</v>
      </c>
      <c r="U297" t="str">
        <f t="shared" si="122"/>
        <v>AZRAD UMAR BIN SHAARI</v>
      </c>
      <c r="V297" t="str">
        <f t="shared" si="123"/>
        <v>FARHANA BINTI MUSTAPA</v>
      </c>
      <c r="W297" t="str">
        <f t="shared" si="124"/>
        <v>04-08-2020</v>
      </c>
      <c r="X297" t="str">
        <f t="shared" si="125"/>
        <v>RAZIMAH ANSAR AHMAD</v>
      </c>
      <c r="Y297" t="str">
        <f t="shared" si="126"/>
        <v>04-08-2020</v>
      </c>
      <c r="Z297" t="str">
        <f>"IDSB19200804 355"</f>
        <v>IDSB19200804 355</v>
      </c>
    </row>
    <row r="298" spans="1:26" x14ac:dyDescent="0.25">
      <c r="A298" t="str">
        <f t="shared" si="130"/>
        <v>04-08-2020 01:21:07</v>
      </c>
      <c r="B298" t="str">
        <f>"0000810666"</f>
        <v>0000810666</v>
      </c>
      <c r="C298" t="str">
        <f t="shared" si="131"/>
        <v>0000810512</v>
      </c>
      <c r="D298" t="str">
        <f t="shared" si="114"/>
        <v>73185</v>
      </c>
      <c r="E298" t="str">
        <f t="shared" si="115"/>
        <v>KFH-OPERATIONS DEPARTMENT</v>
      </c>
      <c r="F298" t="str">
        <f t="shared" si="116"/>
        <v>IBG</v>
      </c>
      <c r="G298" t="str">
        <f t="shared" si="129"/>
        <v>Refund IDSB 19</v>
      </c>
      <c r="H298" s="2">
        <v>736.46</v>
      </c>
      <c r="I298" t="str">
        <f>"NORAZMI BIN HASAN"</f>
        <v>NORAZMI BIN HASAN</v>
      </c>
      <c r="J298" t="str">
        <f t="shared" si="134"/>
        <v>MAYBANK / MAYBANK ISLAMIC</v>
      </c>
      <c r="K298" t="str">
        <f>"151203999533"</f>
        <v>151203999533</v>
      </c>
      <c r="L298" t="str">
        <f t="shared" si="132"/>
        <v>04-08-2020</v>
      </c>
      <c r="M298" t="str">
        <f t="shared" si="132"/>
        <v>04-08-2020</v>
      </c>
      <c r="N298" t="str">
        <f t="shared" si="117"/>
        <v>001105018356</v>
      </c>
      <c r="O298" t="str">
        <f t="shared" si="118"/>
        <v>MYR</v>
      </c>
      <c r="P298" t="str">
        <f t="shared" si="133"/>
        <v>NIL</v>
      </c>
      <c r="Q298" t="str">
        <f t="shared" si="133"/>
        <v>NIL</v>
      </c>
      <c r="R298" t="str">
        <f t="shared" si="119"/>
        <v>Accepted</v>
      </c>
      <c r="S298" t="str">
        <f t="shared" si="120"/>
        <v>Approved</v>
      </c>
      <c r="T298" t="str">
        <f t="shared" si="121"/>
        <v>10.20.8.188</v>
      </c>
      <c r="U298" t="str">
        <f t="shared" si="122"/>
        <v>AZRAD UMAR BIN SHAARI</v>
      </c>
      <c r="V298" t="str">
        <f t="shared" si="123"/>
        <v>FARHANA BINTI MUSTAPA</v>
      </c>
      <c r="W298" t="str">
        <f t="shared" si="124"/>
        <v>04-08-2020</v>
      </c>
      <c r="X298" t="str">
        <f t="shared" si="125"/>
        <v>RAZIMAH ANSAR AHMAD</v>
      </c>
      <c r="Y298" t="str">
        <f t="shared" si="126"/>
        <v>04-08-2020</v>
      </c>
      <c r="Z298" t="str">
        <f>"IDSB19200804 354"</f>
        <v>IDSB19200804 354</v>
      </c>
    </row>
    <row r="299" spans="1:26" x14ac:dyDescent="0.25">
      <c r="A299" t="str">
        <f t="shared" si="130"/>
        <v>04-08-2020 01:21:07</v>
      </c>
      <c r="B299" t="str">
        <f>"0000810665"</f>
        <v>0000810665</v>
      </c>
      <c r="C299" t="str">
        <f t="shared" si="131"/>
        <v>0000810512</v>
      </c>
      <c r="D299" t="str">
        <f t="shared" si="114"/>
        <v>73185</v>
      </c>
      <c r="E299" t="str">
        <f t="shared" si="115"/>
        <v>KFH-OPERATIONS DEPARTMENT</v>
      </c>
      <c r="F299" t="str">
        <f t="shared" si="116"/>
        <v>IBG</v>
      </c>
      <c r="G299" t="str">
        <f t="shared" si="129"/>
        <v>Refund IDSB 19</v>
      </c>
      <c r="H299" s="2">
        <v>698</v>
      </c>
      <c r="I299" t="str">
        <f>"NORAZLINA BINTI RAMLI"</f>
        <v>NORAZLINA BINTI RAMLI</v>
      </c>
      <c r="J299" t="str">
        <f t="shared" si="134"/>
        <v>MAYBANK / MAYBANK ISLAMIC</v>
      </c>
      <c r="K299" t="str">
        <f>"157018708281"</f>
        <v>157018708281</v>
      </c>
      <c r="L299" t="str">
        <f t="shared" si="132"/>
        <v>04-08-2020</v>
      </c>
      <c r="M299" t="str">
        <f t="shared" si="132"/>
        <v>04-08-2020</v>
      </c>
      <c r="N299" t="str">
        <f t="shared" si="117"/>
        <v>001105018356</v>
      </c>
      <c r="O299" t="str">
        <f t="shared" si="118"/>
        <v>MYR</v>
      </c>
      <c r="P299" t="str">
        <f t="shared" si="133"/>
        <v>NIL</v>
      </c>
      <c r="Q299" t="str">
        <f t="shared" si="133"/>
        <v>NIL</v>
      </c>
      <c r="R299" t="str">
        <f t="shared" si="119"/>
        <v>Accepted</v>
      </c>
      <c r="S299" t="str">
        <f t="shared" si="120"/>
        <v>Approved</v>
      </c>
      <c r="T299" t="str">
        <f t="shared" si="121"/>
        <v>10.20.8.188</v>
      </c>
      <c r="U299" t="str">
        <f t="shared" si="122"/>
        <v>AZRAD UMAR BIN SHAARI</v>
      </c>
      <c r="V299" t="str">
        <f t="shared" si="123"/>
        <v>FARHANA BINTI MUSTAPA</v>
      </c>
      <c r="W299" t="str">
        <f t="shared" si="124"/>
        <v>04-08-2020</v>
      </c>
      <c r="X299" t="str">
        <f t="shared" si="125"/>
        <v>RAZIMAH ANSAR AHMAD</v>
      </c>
      <c r="Y299" t="str">
        <f t="shared" si="126"/>
        <v>04-08-2020</v>
      </c>
      <c r="Z299" t="str">
        <f>"IDSB19200804 353"</f>
        <v>IDSB19200804 353</v>
      </c>
    </row>
    <row r="300" spans="1:26" x14ac:dyDescent="0.25">
      <c r="A300" t="str">
        <f t="shared" si="130"/>
        <v>04-08-2020 01:21:07</v>
      </c>
      <c r="B300" t="str">
        <f>"0000810664"</f>
        <v>0000810664</v>
      </c>
      <c r="C300" t="str">
        <f t="shared" si="131"/>
        <v>0000810512</v>
      </c>
      <c r="D300" t="str">
        <f t="shared" si="114"/>
        <v>73185</v>
      </c>
      <c r="E300" t="str">
        <f t="shared" si="115"/>
        <v>KFH-OPERATIONS DEPARTMENT</v>
      </c>
      <c r="F300" t="str">
        <f t="shared" si="116"/>
        <v>IBG</v>
      </c>
      <c r="G300" t="str">
        <f t="shared" si="129"/>
        <v>Refund IDSB 19</v>
      </c>
      <c r="H300" s="2">
        <v>358.15</v>
      </c>
      <c r="I300" t="str">
        <f>"NORASLINA BINTI TWAHER  JUWAHIR"</f>
        <v>NORASLINA BINTI TWAHER  JUWAHIR</v>
      </c>
      <c r="J300" t="str">
        <f t="shared" si="134"/>
        <v>MAYBANK / MAYBANK ISLAMIC</v>
      </c>
      <c r="K300" t="str">
        <f>"162133208609"</f>
        <v>162133208609</v>
      </c>
      <c r="L300" t="str">
        <f t="shared" si="132"/>
        <v>04-08-2020</v>
      </c>
      <c r="M300" t="str">
        <f t="shared" si="132"/>
        <v>04-08-2020</v>
      </c>
      <c r="N300" t="str">
        <f t="shared" si="117"/>
        <v>001105018356</v>
      </c>
      <c r="O300" t="str">
        <f t="shared" si="118"/>
        <v>MYR</v>
      </c>
      <c r="P300" t="str">
        <f t="shared" si="133"/>
        <v>NIL</v>
      </c>
      <c r="Q300" t="str">
        <f t="shared" si="133"/>
        <v>NIL</v>
      </c>
      <c r="R300" t="str">
        <f t="shared" si="119"/>
        <v>Accepted</v>
      </c>
      <c r="S300" t="str">
        <f t="shared" si="120"/>
        <v>Approved</v>
      </c>
      <c r="T300" t="str">
        <f t="shared" si="121"/>
        <v>10.20.8.188</v>
      </c>
      <c r="U300" t="str">
        <f t="shared" si="122"/>
        <v>AZRAD UMAR BIN SHAARI</v>
      </c>
      <c r="V300" t="str">
        <f t="shared" si="123"/>
        <v>FARHANA BINTI MUSTAPA</v>
      </c>
      <c r="W300" t="str">
        <f t="shared" si="124"/>
        <v>04-08-2020</v>
      </c>
      <c r="X300" t="str">
        <f t="shared" si="125"/>
        <v>RAZIMAH ANSAR AHMAD</v>
      </c>
      <c r="Y300" t="str">
        <f t="shared" si="126"/>
        <v>04-08-2020</v>
      </c>
      <c r="Z300" t="str">
        <f>"IDSB19200804 352"</f>
        <v>IDSB19200804 352</v>
      </c>
    </row>
    <row r="301" spans="1:26" x14ac:dyDescent="0.25">
      <c r="A301" t="str">
        <f t="shared" si="130"/>
        <v>04-08-2020 01:21:07</v>
      </c>
      <c r="B301" t="str">
        <f>"0000810663"</f>
        <v>0000810663</v>
      </c>
      <c r="C301" t="str">
        <f t="shared" si="131"/>
        <v>0000810512</v>
      </c>
      <c r="D301" t="str">
        <f t="shared" si="114"/>
        <v>73185</v>
      </c>
      <c r="E301" t="str">
        <f t="shared" si="115"/>
        <v>KFH-OPERATIONS DEPARTMENT</v>
      </c>
      <c r="F301" t="str">
        <f t="shared" si="116"/>
        <v>IBG</v>
      </c>
      <c r="G301" t="str">
        <f t="shared" si="129"/>
        <v>Refund IDSB 19</v>
      </c>
      <c r="H301" s="2">
        <v>949</v>
      </c>
      <c r="I301" t="str">
        <f>"NOR BALKISH BINTI ZAKARIA"</f>
        <v>NOR BALKISH BINTI ZAKARIA</v>
      </c>
      <c r="J301" t="str">
        <f t="shared" si="134"/>
        <v>MAYBANK / MAYBANK ISLAMIC</v>
      </c>
      <c r="K301" t="str">
        <f>"114084947619"</f>
        <v>114084947619</v>
      </c>
      <c r="L301" t="str">
        <f t="shared" si="132"/>
        <v>04-08-2020</v>
      </c>
      <c r="M301" t="str">
        <f t="shared" si="132"/>
        <v>04-08-2020</v>
      </c>
      <c r="N301" t="str">
        <f t="shared" si="117"/>
        <v>001105018356</v>
      </c>
      <c r="O301" t="str">
        <f t="shared" si="118"/>
        <v>MYR</v>
      </c>
      <c r="P301" t="str">
        <f t="shared" si="133"/>
        <v>NIL</v>
      </c>
      <c r="Q301" t="str">
        <f t="shared" si="133"/>
        <v>NIL</v>
      </c>
      <c r="R301" t="str">
        <f t="shared" si="119"/>
        <v>Accepted</v>
      </c>
      <c r="S301" t="str">
        <f t="shared" si="120"/>
        <v>Approved</v>
      </c>
      <c r="T301" t="str">
        <f t="shared" si="121"/>
        <v>10.20.8.188</v>
      </c>
      <c r="U301" t="str">
        <f t="shared" si="122"/>
        <v>AZRAD UMAR BIN SHAARI</v>
      </c>
      <c r="V301" t="str">
        <f t="shared" si="123"/>
        <v>FARHANA BINTI MUSTAPA</v>
      </c>
      <c r="W301" t="str">
        <f t="shared" si="124"/>
        <v>04-08-2020</v>
      </c>
      <c r="X301" t="str">
        <f t="shared" si="125"/>
        <v>RAZIMAH ANSAR AHMAD</v>
      </c>
      <c r="Y301" t="str">
        <f t="shared" si="126"/>
        <v>04-08-2020</v>
      </c>
      <c r="Z301" t="str">
        <f>"IDSB19200804 351"</f>
        <v>IDSB19200804 351</v>
      </c>
    </row>
    <row r="302" spans="1:26" x14ac:dyDescent="0.25">
      <c r="A302" t="str">
        <f t="shared" si="130"/>
        <v>04-08-2020 01:21:07</v>
      </c>
      <c r="B302" t="str">
        <f>"0000810662"</f>
        <v>0000810662</v>
      </c>
      <c r="C302" t="str">
        <f t="shared" si="131"/>
        <v>0000810512</v>
      </c>
      <c r="D302" t="str">
        <f t="shared" si="114"/>
        <v>73185</v>
      </c>
      <c r="E302" t="str">
        <f t="shared" si="115"/>
        <v>KFH-OPERATIONS DEPARTMENT</v>
      </c>
      <c r="F302" t="str">
        <f t="shared" si="116"/>
        <v>IBG</v>
      </c>
      <c r="G302" t="str">
        <f t="shared" si="129"/>
        <v>Refund IDSB 19</v>
      </c>
      <c r="H302" s="2">
        <v>968</v>
      </c>
      <c r="I302" t="str">
        <f>"NOR AZMI BIN BAKHARY"</f>
        <v>NOR AZMI BIN BAKHARY</v>
      </c>
      <c r="J302" t="str">
        <f t="shared" si="134"/>
        <v>MAYBANK / MAYBANK ISLAMIC</v>
      </c>
      <c r="K302" t="str">
        <f>"105028246285"</f>
        <v>105028246285</v>
      </c>
      <c r="L302" t="str">
        <f t="shared" si="132"/>
        <v>04-08-2020</v>
      </c>
      <c r="M302" t="str">
        <f t="shared" si="132"/>
        <v>04-08-2020</v>
      </c>
      <c r="N302" t="str">
        <f t="shared" si="117"/>
        <v>001105018356</v>
      </c>
      <c r="O302" t="str">
        <f t="shared" si="118"/>
        <v>MYR</v>
      </c>
      <c r="P302" t="str">
        <f t="shared" si="133"/>
        <v>NIL</v>
      </c>
      <c r="Q302" t="str">
        <f t="shared" si="133"/>
        <v>NIL</v>
      </c>
      <c r="R302" t="str">
        <f t="shared" si="119"/>
        <v>Accepted</v>
      </c>
      <c r="S302" t="str">
        <f t="shared" si="120"/>
        <v>Approved</v>
      </c>
      <c r="T302" t="str">
        <f t="shared" si="121"/>
        <v>10.20.8.188</v>
      </c>
      <c r="U302" t="str">
        <f t="shared" si="122"/>
        <v>AZRAD UMAR BIN SHAARI</v>
      </c>
      <c r="V302" t="str">
        <f t="shared" si="123"/>
        <v>FARHANA BINTI MUSTAPA</v>
      </c>
      <c r="W302" t="str">
        <f t="shared" si="124"/>
        <v>04-08-2020</v>
      </c>
      <c r="X302" t="str">
        <f t="shared" si="125"/>
        <v>RAZIMAH ANSAR AHMAD</v>
      </c>
      <c r="Y302" t="str">
        <f t="shared" si="126"/>
        <v>04-08-2020</v>
      </c>
      <c r="Z302" t="str">
        <f>"IDSB19200804 350"</f>
        <v>IDSB19200804 350</v>
      </c>
    </row>
    <row r="303" spans="1:26" x14ac:dyDescent="0.25">
      <c r="A303" t="str">
        <f t="shared" si="130"/>
        <v>04-08-2020 01:21:07</v>
      </c>
      <c r="B303" t="str">
        <f>"0000810661"</f>
        <v>0000810661</v>
      </c>
      <c r="C303" t="str">
        <f t="shared" si="131"/>
        <v>0000810512</v>
      </c>
      <c r="D303" t="str">
        <f t="shared" si="114"/>
        <v>73185</v>
      </c>
      <c r="E303" t="str">
        <f t="shared" si="115"/>
        <v>KFH-OPERATIONS DEPARTMENT</v>
      </c>
      <c r="F303" t="str">
        <f t="shared" si="116"/>
        <v>IBG</v>
      </c>
      <c r="G303" t="str">
        <f t="shared" si="129"/>
        <v>Refund IDSB 19</v>
      </c>
      <c r="H303" s="2">
        <v>411.35</v>
      </c>
      <c r="I303" t="str">
        <f>"NOR AZMI BIN BAKHARY"</f>
        <v>NOR AZMI BIN BAKHARY</v>
      </c>
      <c r="J303" t="str">
        <f t="shared" si="134"/>
        <v>MAYBANK / MAYBANK ISLAMIC</v>
      </c>
      <c r="K303" t="str">
        <f>"105028246285"</f>
        <v>105028246285</v>
      </c>
      <c r="L303" t="str">
        <f t="shared" si="132"/>
        <v>04-08-2020</v>
      </c>
      <c r="M303" t="str">
        <f t="shared" si="132"/>
        <v>04-08-2020</v>
      </c>
      <c r="N303" t="str">
        <f t="shared" si="117"/>
        <v>001105018356</v>
      </c>
      <c r="O303" t="str">
        <f t="shared" si="118"/>
        <v>MYR</v>
      </c>
      <c r="P303" t="str">
        <f t="shared" si="133"/>
        <v>NIL</v>
      </c>
      <c r="Q303" t="str">
        <f t="shared" si="133"/>
        <v>NIL</v>
      </c>
      <c r="R303" t="str">
        <f t="shared" si="119"/>
        <v>Accepted</v>
      </c>
      <c r="S303" t="str">
        <f t="shared" si="120"/>
        <v>Approved</v>
      </c>
      <c r="T303" t="str">
        <f t="shared" si="121"/>
        <v>10.20.8.188</v>
      </c>
      <c r="U303" t="str">
        <f t="shared" si="122"/>
        <v>AZRAD UMAR BIN SHAARI</v>
      </c>
      <c r="V303" t="str">
        <f t="shared" si="123"/>
        <v>FARHANA BINTI MUSTAPA</v>
      </c>
      <c r="W303" t="str">
        <f t="shared" si="124"/>
        <v>04-08-2020</v>
      </c>
      <c r="X303" t="str">
        <f t="shared" si="125"/>
        <v>RAZIMAH ANSAR AHMAD</v>
      </c>
      <c r="Y303" t="str">
        <f t="shared" si="126"/>
        <v>04-08-2020</v>
      </c>
      <c r="Z303" t="str">
        <f>"IDSB19200804 349"</f>
        <v>IDSB19200804 349</v>
      </c>
    </row>
    <row r="304" spans="1:26" x14ac:dyDescent="0.25">
      <c r="A304" t="str">
        <f t="shared" si="130"/>
        <v>04-08-2020 01:21:07</v>
      </c>
      <c r="B304" t="str">
        <f>"0000810660"</f>
        <v>0000810660</v>
      </c>
      <c r="C304" t="str">
        <f t="shared" si="131"/>
        <v>0000810512</v>
      </c>
      <c r="D304" t="str">
        <f t="shared" si="114"/>
        <v>73185</v>
      </c>
      <c r="E304" t="str">
        <f t="shared" si="115"/>
        <v>KFH-OPERATIONS DEPARTMENT</v>
      </c>
      <c r="F304" t="str">
        <f t="shared" si="116"/>
        <v>IBG</v>
      </c>
      <c r="G304" t="str">
        <f t="shared" si="129"/>
        <v>Refund IDSB 19</v>
      </c>
      <c r="H304" s="2">
        <v>209.9</v>
      </c>
      <c r="I304" t="str">
        <f>"NOR AZME BIN SHAMSUDDIN"</f>
        <v>NOR AZME BIN SHAMSUDDIN</v>
      </c>
      <c r="J304" t="str">
        <f t="shared" si="134"/>
        <v>MAYBANK / MAYBANK ISLAMIC</v>
      </c>
      <c r="K304" t="str">
        <f>"162106748259"</f>
        <v>162106748259</v>
      </c>
      <c r="L304" t="str">
        <f t="shared" si="132"/>
        <v>04-08-2020</v>
      </c>
      <c r="M304" t="str">
        <f t="shared" si="132"/>
        <v>04-08-2020</v>
      </c>
      <c r="N304" t="str">
        <f t="shared" si="117"/>
        <v>001105018356</v>
      </c>
      <c r="O304" t="str">
        <f t="shared" si="118"/>
        <v>MYR</v>
      </c>
      <c r="P304" t="str">
        <f t="shared" si="133"/>
        <v>NIL</v>
      </c>
      <c r="Q304" t="str">
        <f t="shared" si="133"/>
        <v>NIL</v>
      </c>
      <c r="R304" t="str">
        <f t="shared" si="119"/>
        <v>Accepted</v>
      </c>
      <c r="S304" t="str">
        <f t="shared" si="120"/>
        <v>Approved</v>
      </c>
      <c r="T304" t="str">
        <f t="shared" si="121"/>
        <v>10.20.8.188</v>
      </c>
      <c r="U304" t="str">
        <f t="shared" si="122"/>
        <v>AZRAD UMAR BIN SHAARI</v>
      </c>
      <c r="V304" t="str">
        <f t="shared" si="123"/>
        <v>FARHANA BINTI MUSTAPA</v>
      </c>
      <c r="W304" t="str">
        <f t="shared" si="124"/>
        <v>04-08-2020</v>
      </c>
      <c r="X304" t="str">
        <f t="shared" si="125"/>
        <v>RAZIMAH ANSAR AHMAD</v>
      </c>
      <c r="Y304" t="str">
        <f t="shared" si="126"/>
        <v>04-08-2020</v>
      </c>
      <c r="Z304" t="str">
        <f>"IDSB19200804 348"</f>
        <v>IDSB19200804 348</v>
      </c>
    </row>
    <row r="305" spans="1:26" x14ac:dyDescent="0.25">
      <c r="A305" t="str">
        <f t="shared" si="130"/>
        <v>04-08-2020 01:21:07</v>
      </c>
      <c r="B305" t="str">
        <f>"0000810659"</f>
        <v>0000810659</v>
      </c>
      <c r="C305" t="str">
        <f t="shared" si="131"/>
        <v>0000810512</v>
      </c>
      <c r="D305" t="str">
        <f t="shared" si="114"/>
        <v>73185</v>
      </c>
      <c r="E305" t="str">
        <f t="shared" si="115"/>
        <v>KFH-OPERATIONS DEPARTMENT</v>
      </c>
      <c r="F305" t="str">
        <f t="shared" si="116"/>
        <v>IBG</v>
      </c>
      <c r="G305" t="str">
        <f t="shared" si="129"/>
        <v>Refund IDSB 19</v>
      </c>
      <c r="H305" s="2">
        <v>179</v>
      </c>
      <c r="I305" t="str">
        <f>"NOR AZMAN BIN ISHAK"</f>
        <v>NOR AZMAN BIN ISHAK</v>
      </c>
      <c r="J305" t="str">
        <f t="shared" si="134"/>
        <v>MAYBANK / MAYBANK ISLAMIC</v>
      </c>
      <c r="K305" t="str">
        <f>"102045223355"</f>
        <v>102045223355</v>
      </c>
      <c r="L305" t="str">
        <f t="shared" si="132"/>
        <v>04-08-2020</v>
      </c>
      <c r="M305" t="str">
        <f t="shared" si="132"/>
        <v>04-08-2020</v>
      </c>
      <c r="N305" t="str">
        <f t="shared" si="117"/>
        <v>001105018356</v>
      </c>
      <c r="O305" t="str">
        <f t="shared" si="118"/>
        <v>MYR</v>
      </c>
      <c r="P305" t="str">
        <f t="shared" si="133"/>
        <v>NIL</v>
      </c>
      <c r="Q305" t="str">
        <f t="shared" si="133"/>
        <v>NIL</v>
      </c>
      <c r="R305" t="str">
        <f t="shared" si="119"/>
        <v>Accepted</v>
      </c>
      <c r="S305" t="str">
        <f t="shared" si="120"/>
        <v>Approved</v>
      </c>
      <c r="T305" t="str">
        <f t="shared" si="121"/>
        <v>10.20.8.188</v>
      </c>
      <c r="U305" t="str">
        <f t="shared" si="122"/>
        <v>AZRAD UMAR BIN SHAARI</v>
      </c>
      <c r="V305" t="str">
        <f t="shared" si="123"/>
        <v>FARHANA BINTI MUSTAPA</v>
      </c>
      <c r="W305" t="str">
        <f t="shared" si="124"/>
        <v>04-08-2020</v>
      </c>
      <c r="X305" t="str">
        <f t="shared" si="125"/>
        <v>RAZIMAH ANSAR AHMAD</v>
      </c>
      <c r="Y305" t="str">
        <f t="shared" si="126"/>
        <v>04-08-2020</v>
      </c>
      <c r="Z305" t="str">
        <f>"IDSB19200804 347"</f>
        <v>IDSB19200804 347</v>
      </c>
    </row>
    <row r="306" spans="1:26" x14ac:dyDescent="0.25">
      <c r="A306" t="str">
        <f t="shared" si="130"/>
        <v>04-08-2020 01:21:07</v>
      </c>
      <c r="B306" t="str">
        <f>"0000810658"</f>
        <v>0000810658</v>
      </c>
      <c r="C306" t="str">
        <f t="shared" si="131"/>
        <v>0000810512</v>
      </c>
      <c r="D306" t="str">
        <f t="shared" si="114"/>
        <v>73185</v>
      </c>
      <c r="E306" t="str">
        <f t="shared" si="115"/>
        <v>KFH-OPERATIONS DEPARTMENT</v>
      </c>
      <c r="F306" t="str">
        <f t="shared" si="116"/>
        <v>IBG</v>
      </c>
      <c r="G306" t="str">
        <f t="shared" si="129"/>
        <v>Refund IDSB 19</v>
      </c>
      <c r="H306" s="2">
        <v>1561.5</v>
      </c>
      <c r="I306" t="str">
        <f>"NOR AZLINA BINTI AZMI"</f>
        <v>NOR AZLINA BINTI AZMI</v>
      </c>
      <c r="J306" t="str">
        <f t="shared" si="134"/>
        <v>MAYBANK / MAYBANK ISLAMIC</v>
      </c>
      <c r="K306" t="str">
        <f>"108029597189"</f>
        <v>108029597189</v>
      </c>
      <c r="L306" t="str">
        <f t="shared" si="132"/>
        <v>04-08-2020</v>
      </c>
      <c r="M306" t="str">
        <f t="shared" si="132"/>
        <v>04-08-2020</v>
      </c>
      <c r="N306" t="str">
        <f t="shared" si="117"/>
        <v>001105018356</v>
      </c>
      <c r="O306" t="str">
        <f t="shared" si="118"/>
        <v>MYR</v>
      </c>
      <c r="P306" t="str">
        <f t="shared" si="133"/>
        <v>NIL</v>
      </c>
      <c r="Q306" t="str">
        <f t="shared" si="133"/>
        <v>NIL</v>
      </c>
      <c r="R306" t="str">
        <f t="shared" si="119"/>
        <v>Accepted</v>
      </c>
      <c r="S306" t="str">
        <f t="shared" si="120"/>
        <v>Approved</v>
      </c>
      <c r="T306" t="str">
        <f t="shared" si="121"/>
        <v>10.20.8.188</v>
      </c>
      <c r="U306" t="str">
        <f t="shared" si="122"/>
        <v>AZRAD UMAR BIN SHAARI</v>
      </c>
      <c r="V306" t="str">
        <f t="shared" si="123"/>
        <v>FARHANA BINTI MUSTAPA</v>
      </c>
      <c r="W306" t="str">
        <f t="shared" si="124"/>
        <v>04-08-2020</v>
      </c>
      <c r="X306" t="str">
        <f t="shared" si="125"/>
        <v>RAZIMAH ANSAR AHMAD</v>
      </c>
      <c r="Y306" t="str">
        <f t="shared" si="126"/>
        <v>04-08-2020</v>
      </c>
      <c r="Z306" t="str">
        <f>"IDSB19200804 346"</f>
        <v>IDSB19200804 346</v>
      </c>
    </row>
    <row r="307" spans="1:26" x14ac:dyDescent="0.25">
      <c r="A307" t="str">
        <f t="shared" si="130"/>
        <v>04-08-2020 01:21:07</v>
      </c>
      <c r="B307" t="str">
        <f>"0000810657"</f>
        <v>0000810657</v>
      </c>
      <c r="C307" t="str">
        <f t="shared" si="131"/>
        <v>0000810512</v>
      </c>
      <c r="D307" t="str">
        <f t="shared" si="114"/>
        <v>73185</v>
      </c>
      <c r="E307" t="str">
        <f t="shared" si="115"/>
        <v>KFH-OPERATIONS DEPARTMENT</v>
      </c>
      <c r="F307" t="str">
        <f t="shared" si="116"/>
        <v>IBG</v>
      </c>
      <c r="G307" t="str">
        <f t="shared" si="129"/>
        <v>Refund IDSB 19</v>
      </c>
      <c r="H307" s="2">
        <v>310.64999999999998</v>
      </c>
      <c r="I307" t="str">
        <f>"NOR AZLIN BINTI MOHD NOOR"</f>
        <v>NOR AZLIN BINTI MOHD NOOR</v>
      </c>
      <c r="J307" t="str">
        <f t="shared" si="134"/>
        <v>MAYBANK / MAYBANK ISLAMIC</v>
      </c>
      <c r="K307" t="str">
        <f>"164342268474"</f>
        <v>164342268474</v>
      </c>
      <c r="L307" t="str">
        <f t="shared" ref="L307:M326" si="135">"04-08-2020"</f>
        <v>04-08-2020</v>
      </c>
      <c r="M307" t="str">
        <f t="shared" si="135"/>
        <v>04-08-2020</v>
      </c>
      <c r="N307" t="str">
        <f t="shared" si="117"/>
        <v>001105018356</v>
      </c>
      <c r="O307" t="str">
        <f t="shared" si="118"/>
        <v>MYR</v>
      </c>
      <c r="P307" t="str">
        <f t="shared" ref="P307:Q326" si="136">"NIL"</f>
        <v>NIL</v>
      </c>
      <c r="Q307" t="str">
        <f t="shared" si="136"/>
        <v>NIL</v>
      </c>
      <c r="R307" t="str">
        <f t="shared" si="119"/>
        <v>Accepted</v>
      </c>
      <c r="S307" t="str">
        <f t="shared" si="120"/>
        <v>Approved</v>
      </c>
      <c r="T307" t="str">
        <f t="shared" si="121"/>
        <v>10.20.8.188</v>
      </c>
      <c r="U307" t="str">
        <f t="shared" si="122"/>
        <v>AZRAD UMAR BIN SHAARI</v>
      </c>
      <c r="V307" t="str">
        <f t="shared" si="123"/>
        <v>FARHANA BINTI MUSTAPA</v>
      </c>
      <c r="W307" t="str">
        <f t="shared" si="124"/>
        <v>04-08-2020</v>
      </c>
      <c r="X307" t="str">
        <f t="shared" si="125"/>
        <v>RAZIMAH ANSAR AHMAD</v>
      </c>
      <c r="Y307" t="str">
        <f t="shared" si="126"/>
        <v>04-08-2020</v>
      </c>
      <c r="Z307" t="str">
        <f>"IDSB19200804 345"</f>
        <v>IDSB19200804 345</v>
      </c>
    </row>
    <row r="308" spans="1:26" x14ac:dyDescent="0.25">
      <c r="A308" t="str">
        <f t="shared" si="130"/>
        <v>04-08-2020 01:21:07</v>
      </c>
      <c r="B308" t="str">
        <f>"0000810656"</f>
        <v>0000810656</v>
      </c>
      <c r="C308" t="str">
        <f t="shared" si="131"/>
        <v>0000810512</v>
      </c>
      <c r="D308" t="str">
        <f t="shared" si="114"/>
        <v>73185</v>
      </c>
      <c r="E308" t="str">
        <f t="shared" si="115"/>
        <v>KFH-OPERATIONS DEPARTMENT</v>
      </c>
      <c r="F308" t="str">
        <f t="shared" si="116"/>
        <v>IBG</v>
      </c>
      <c r="G308" t="str">
        <f t="shared" si="129"/>
        <v>Refund IDSB 19</v>
      </c>
      <c r="H308" s="2">
        <v>671.31</v>
      </c>
      <c r="I308" t="str">
        <f>"NOR AMIRUL ASRAF BIN RAZALI"</f>
        <v>NOR AMIRUL ASRAF BIN RAZALI</v>
      </c>
      <c r="J308" t="str">
        <f t="shared" si="134"/>
        <v>MAYBANK / MAYBANK ISLAMIC</v>
      </c>
      <c r="K308" t="str">
        <f>"106053048923"</f>
        <v>106053048923</v>
      </c>
      <c r="L308" t="str">
        <f t="shared" si="135"/>
        <v>04-08-2020</v>
      </c>
      <c r="M308" t="str">
        <f t="shared" si="135"/>
        <v>04-08-2020</v>
      </c>
      <c r="N308" t="str">
        <f t="shared" si="117"/>
        <v>001105018356</v>
      </c>
      <c r="O308" t="str">
        <f t="shared" si="118"/>
        <v>MYR</v>
      </c>
      <c r="P308" t="str">
        <f t="shared" si="136"/>
        <v>NIL</v>
      </c>
      <c r="Q308" t="str">
        <f t="shared" si="136"/>
        <v>NIL</v>
      </c>
      <c r="R308" t="str">
        <f t="shared" si="119"/>
        <v>Accepted</v>
      </c>
      <c r="S308" t="str">
        <f t="shared" si="120"/>
        <v>Approved</v>
      </c>
      <c r="T308" t="str">
        <f t="shared" si="121"/>
        <v>10.20.8.188</v>
      </c>
      <c r="U308" t="str">
        <f t="shared" si="122"/>
        <v>AZRAD UMAR BIN SHAARI</v>
      </c>
      <c r="V308" t="str">
        <f t="shared" si="123"/>
        <v>FARHANA BINTI MUSTAPA</v>
      </c>
      <c r="W308" t="str">
        <f t="shared" si="124"/>
        <v>04-08-2020</v>
      </c>
      <c r="X308" t="str">
        <f t="shared" si="125"/>
        <v>RAZIMAH ANSAR AHMAD</v>
      </c>
      <c r="Y308" t="str">
        <f t="shared" si="126"/>
        <v>04-08-2020</v>
      </c>
      <c r="Z308" t="str">
        <f>"IDSB19200804 344"</f>
        <v>IDSB19200804 344</v>
      </c>
    </row>
    <row r="309" spans="1:26" x14ac:dyDescent="0.25">
      <c r="A309" t="str">
        <f t="shared" si="130"/>
        <v>04-08-2020 01:21:07</v>
      </c>
      <c r="B309" t="str">
        <f>"0000810655"</f>
        <v>0000810655</v>
      </c>
      <c r="C309" t="str">
        <f t="shared" si="131"/>
        <v>0000810512</v>
      </c>
      <c r="D309" t="str">
        <f t="shared" si="114"/>
        <v>73185</v>
      </c>
      <c r="E309" t="str">
        <f t="shared" si="115"/>
        <v>KFH-OPERATIONS DEPARTMENT</v>
      </c>
      <c r="F309" t="str">
        <f t="shared" si="116"/>
        <v>IBG</v>
      </c>
      <c r="G309" t="str">
        <f t="shared" si="129"/>
        <v>Refund IDSB 19</v>
      </c>
      <c r="H309" s="2">
        <v>752</v>
      </c>
      <c r="I309" t="str">
        <f>"NOR AFIDAH BINTI OTHMAN"</f>
        <v>NOR AFIDAH BINTI OTHMAN</v>
      </c>
      <c r="J309" t="str">
        <f t="shared" si="134"/>
        <v>MAYBANK / MAYBANK ISLAMIC</v>
      </c>
      <c r="K309" t="str">
        <f>"166010077468"</f>
        <v>166010077468</v>
      </c>
      <c r="L309" t="str">
        <f t="shared" si="135"/>
        <v>04-08-2020</v>
      </c>
      <c r="M309" t="str">
        <f t="shared" si="135"/>
        <v>04-08-2020</v>
      </c>
      <c r="N309" t="str">
        <f t="shared" si="117"/>
        <v>001105018356</v>
      </c>
      <c r="O309" t="str">
        <f t="shared" si="118"/>
        <v>MYR</v>
      </c>
      <c r="P309" t="str">
        <f t="shared" si="136"/>
        <v>NIL</v>
      </c>
      <c r="Q309" t="str">
        <f t="shared" si="136"/>
        <v>NIL</v>
      </c>
      <c r="R309" t="str">
        <f t="shared" si="119"/>
        <v>Accepted</v>
      </c>
      <c r="S309" t="str">
        <f t="shared" si="120"/>
        <v>Approved</v>
      </c>
      <c r="T309" t="str">
        <f t="shared" si="121"/>
        <v>10.20.8.188</v>
      </c>
      <c r="U309" t="str">
        <f t="shared" si="122"/>
        <v>AZRAD UMAR BIN SHAARI</v>
      </c>
      <c r="V309" t="str">
        <f t="shared" si="123"/>
        <v>FARHANA BINTI MUSTAPA</v>
      </c>
      <c r="W309" t="str">
        <f t="shared" si="124"/>
        <v>04-08-2020</v>
      </c>
      <c r="X309" t="str">
        <f t="shared" si="125"/>
        <v>RAZIMAH ANSAR AHMAD</v>
      </c>
      <c r="Y309" t="str">
        <f t="shared" si="126"/>
        <v>04-08-2020</v>
      </c>
      <c r="Z309" t="str">
        <f>"IDSB19200804 343"</f>
        <v>IDSB19200804 343</v>
      </c>
    </row>
    <row r="310" spans="1:26" x14ac:dyDescent="0.25">
      <c r="A310" t="str">
        <f t="shared" si="130"/>
        <v>04-08-2020 01:21:07</v>
      </c>
      <c r="B310" t="str">
        <f>"0000810654"</f>
        <v>0000810654</v>
      </c>
      <c r="C310" t="str">
        <f t="shared" si="131"/>
        <v>0000810512</v>
      </c>
      <c r="D310" t="str">
        <f t="shared" si="114"/>
        <v>73185</v>
      </c>
      <c r="E310" t="str">
        <f t="shared" si="115"/>
        <v>KFH-OPERATIONS DEPARTMENT</v>
      </c>
      <c r="F310" t="str">
        <f t="shared" si="116"/>
        <v>IBG</v>
      </c>
      <c r="G310" t="str">
        <f t="shared" si="129"/>
        <v>Refund IDSB 19</v>
      </c>
      <c r="H310" s="2">
        <v>1063</v>
      </c>
      <c r="I310" t="str">
        <f>"NOORSHAM IQBAL BIN NORDIN"</f>
        <v>NOORSHAM IQBAL BIN NORDIN</v>
      </c>
      <c r="J310" t="str">
        <f t="shared" si="134"/>
        <v>MAYBANK / MAYBANK ISLAMIC</v>
      </c>
      <c r="K310" t="str">
        <f>"154017378707"</f>
        <v>154017378707</v>
      </c>
      <c r="L310" t="str">
        <f t="shared" si="135"/>
        <v>04-08-2020</v>
      </c>
      <c r="M310" t="str">
        <f t="shared" si="135"/>
        <v>04-08-2020</v>
      </c>
      <c r="N310" t="str">
        <f t="shared" si="117"/>
        <v>001105018356</v>
      </c>
      <c r="O310" t="str">
        <f t="shared" si="118"/>
        <v>MYR</v>
      </c>
      <c r="P310" t="str">
        <f t="shared" si="136"/>
        <v>NIL</v>
      </c>
      <c r="Q310" t="str">
        <f t="shared" si="136"/>
        <v>NIL</v>
      </c>
      <c r="R310" t="str">
        <f t="shared" si="119"/>
        <v>Accepted</v>
      </c>
      <c r="S310" t="str">
        <f t="shared" si="120"/>
        <v>Approved</v>
      </c>
      <c r="T310" t="str">
        <f t="shared" si="121"/>
        <v>10.20.8.188</v>
      </c>
      <c r="U310" t="str">
        <f t="shared" si="122"/>
        <v>AZRAD UMAR BIN SHAARI</v>
      </c>
      <c r="V310" t="str">
        <f t="shared" si="123"/>
        <v>FARHANA BINTI MUSTAPA</v>
      </c>
      <c r="W310" t="str">
        <f t="shared" si="124"/>
        <v>04-08-2020</v>
      </c>
      <c r="X310" t="str">
        <f t="shared" si="125"/>
        <v>RAZIMAH ANSAR AHMAD</v>
      </c>
      <c r="Y310" t="str">
        <f t="shared" si="126"/>
        <v>04-08-2020</v>
      </c>
      <c r="Z310" t="str">
        <f>"IDSB19200804 342"</f>
        <v>IDSB19200804 342</v>
      </c>
    </row>
    <row r="311" spans="1:26" x14ac:dyDescent="0.25">
      <c r="A311" t="str">
        <f t="shared" si="130"/>
        <v>04-08-2020 01:21:07</v>
      </c>
      <c r="B311" t="str">
        <f>"0000810653"</f>
        <v>0000810653</v>
      </c>
      <c r="C311" t="str">
        <f t="shared" si="131"/>
        <v>0000810512</v>
      </c>
      <c r="D311" t="str">
        <f t="shared" si="114"/>
        <v>73185</v>
      </c>
      <c r="E311" t="str">
        <f t="shared" si="115"/>
        <v>KFH-OPERATIONS DEPARTMENT</v>
      </c>
      <c r="F311" t="str">
        <f t="shared" si="116"/>
        <v>IBG</v>
      </c>
      <c r="G311" t="str">
        <f t="shared" si="129"/>
        <v>Refund IDSB 19</v>
      </c>
      <c r="H311" s="2">
        <v>255.3</v>
      </c>
      <c r="I311" t="str">
        <f>"NOORHASMA BINTI ZAIN"</f>
        <v>NOORHASMA BINTI ZAIN</v>
      </c>
      <c r="J311" t="str">
        <f t="shared" si="134"/>
        <v>MAYBANK / MAYBANK ISLAMIC</v>
      </c>
      <c r="K311" t="str">
        <f>"152059107841"</f>
        <v>152059107841</v>
      </c>
      <c r="L311" t="str">
        <f t="shared" si="135"/>
        <v>04-08-2020</v>
      </c>
      <c r="M311" t="str">
        <f t="shared" si="135"/>
        <v>04-08-2020</v>
      </c>
      <c r="N311" t="str">
        <f t="shared" si="117"/>
        <v>001105018356</v>
      </c>
      <c r="O311" t="str">
        <f t="shared" si="118"/>
        <v>MYR</v>
      </c>
      <c r="P311" t="str">
        <f t="shared" si="136"/>
        <v>NIL</v>
      </c>
      <c r="Q311" t="str">
        <f t="shared" si="136"/>
        <v>NIL</v>
      </c>
      <c r="R311" t="str">
        <f t="shared" si="119"/>
        <v>Accepted</v>
      </c>
      <c r="S311" t="str">
        <f t="shared" si="120"/>
        <v>Approved</v>
      </c>
      <c r="T311" t="str">
        <f t="shared" si="121"/>
        <v>10.20.8.188</v>
      </c>
      <c r="U311" t="str">
        <f t="shared" si="122"/>
        <v>AZRAD UMAR BIN SHAARI</v>
      </c>
      <c r="V311" t="str">
        <f t="shared" si="123"/>
        <v>FARHANA BINTI MUSTAPA</v>
      </c>
      <c r="W311" t="str">
        <f t="shared" si="124"/>
        <v>04-08-2020</v>
      </c>
      <c r="X311" t="str">
        <f t="shared" si="125"/>
        <v>RAZIMAH ANSAR AHMAD</v>
      </c>
      <c r="Y311" t="str">
        <f t="shared" si="126"/>
        <v>04-08-2020</v>
      </c>
      <c r="Z311" t="str">
        <f>"IDSB19200804 341"</f>
        <v>IDSB19200804 341</v>
      </c>
    </row>
    <row r="312" spans="1:26" x14ac:dyDescent="0.25">
      <c r="A312" t="str">
        <f t="shared" si="130"/>
        <v>04-08-2020 01:21:07</v>
      </c>
      <c r="B312" t="str">
        <f>"0000810652"</f>
        <v>0000810652</v>
      </c>
      <c r="C312" t="str">
        <f t="shared" si="131"/>
        <v>0000810512</v>
      </c>
      <c r="D312" t="str">
        <f t="shared" si="114"/>
        <v>73185</v>
      </c>
      <c r="E312" t="str">
        <f t="shared" si="115"/>
        <v>KFH-OPERATIONS DEPARTMENT</v>
      </c>
      <c r="F312" t="str">
        <f t="shared" si="116"/>
        <v>IBG</v>
      </c>
      <c r="G312" t="str">
        <f t="shared" si="129"/>
        <v>Refund IDSB 19</v>
      </c>
      <c r="H312" s="2">
        <v>662.33</v>
      </c>
      <c r="I312" t="str">
        <f>"NOORAISAH BINTI YARMAMAT"</f>
        <v>NOORAISAH BINTI YARMAMAT</v>
      </c>
      <c r="J312" t="str">
        <f t="shared" si="134"/>
        <v>MAYBANK / MAYBANK ISLAMIC</v>
      </c>
      <c r="K312" t="str">
        <f>"164098455067"</f>
        <v>164098455067</v>
      </c>
      <c r="L312" t="str">
        <f t="shared" si="135"/>
        <v>04-08-2020</v>
      </c>
      <c r="M312" t="str">
        <f t="shared" si="135"/>
        <v>04-08-2020</v>
      </c>
      <c r="N312" t="str">
        <f t="shared" si="117"/>
        <v>001105018356</v>
      </c>
      <c r="O312" t="str">
        <f t="shared" si="118"/>
        <v>MYR</v>
      </c>
      <c r="P312" t="str">
        <f t="shared" si="136"/>
        <v>NIL</v>
      </c>
      <c r="Q312" t="str">
        <f t="shared" si="136"/>
        <v>NIL</v>
      </c>
      <c r="R312" t="str">
        <f t="shared" si="119"/>
        <v>Accepted</v>
      </c>
      <c r="S312" t="str">
        <f t="shared" si="120"/>
        <v>Approved</v>
      </c>
      <c r="T312" t="str">
        <f t="shared" si="121"/>
        <v>10.20.8.188</v>
      </c>
      <c r="U312" t="str">
        <f t="shared" si="122"/>
        <v>AZRAD UMAR BIN SHAARI</v>
      </c>
      <c r="V312" t="str">
        <f t="shared" si="123"/>
        <v>FARHANA BINTI MUSTAPA</v>
      </c>
      <c r="W312" t="str">
        <f t="shared" si="124"/>
        <v>04-08-2020</v>
      </c>
      <c r="X312" t="str">
        <f t="shared" si="125"/>
        <v>RAZIMAH ANSAR AHMAD</v>
      </c>
      <c r="Y312" t="str">
        <f t="shared" si="126"/>
        <v>04-08-2020</v>
      </c>
      <c r="Z312" t="str">
        <f>"IDSB19200804 340"</f>
        <v>IDSB19200804 340</v>
      </c>
    </row>
    <row r="313" spans="1:26" x14ac:dyDescent="0.25">
      <c r="A313" t="str">
        <f t="shared" si="130"/>
        <v>04-08-2020 01:21:07</v>
      </c>
      <c r="B313" t="str">
        <f>"0000810651"</f>
        <v>0000810651</v>
      </c>
      <c r="C313" t="str">
        <f t="shared" si="131"/>
        <v>0000810512</v>
      </c>
      <c r="D313" t="str">
        <f t="shared" si="114"/>
        <v>73185</v>
      </c>
      <c r="E313" t="str">
        <f t="shared" si="115"/>
        <v>KFH-OPERATIONS DEPARTMENT</v>
      </c>
      <c r="F313" t="str">
        <f t="shared" si="116"/>
        <v>IBG</v>
      </c>
      <c r="G313" t="str">
        <f t="shared" si="129"/>
        <v>Refund IDSB 19</v>
      </c>
      <c r="H313" s="2">
        <v>839.5</v>
      </c>
      <c r="I313" t="str">
        <f>"NOOR IRWAN BIN MARMIN"</f>
        <v>NOOR IRWAN BIN MARMIN</v>
      </c>
      <c r="J313" t="str">
        <f t="shared" si="134"/>
        <v>MAYBANK / MAYBANK ISLAMIC</v>
      </c>
      <c r="K313" t="str">
        <f>"162209923336"</f>
        <v>162209923336</v>
      </c>
      <c r="L313" t="str">
        <f t="shared" si="135"/>
        <v>04-08-2020</v>
      </c>
      <c r="M313" t="str">
        <f t="shared" si="135"/>
        <v>04-08-2020</v>
      </c>
      <c r="N313" t="str">
        <f t="shared" si="117"/>
        <v>001105018356</v>
      </c>
      <c r="O313" t="str">
        <f t="shared" si="118"/>
        <v>MYR</v>
      </c>
      <c r="P313" t="str">
        <f t="shared" si="136"/>
        <v>NIL</v>
      </c>
      <c r="Q313" t="str">
        <f t="shared" si="136"/>
        <v>NIL</v>
      </c>
      <c r="R313" t="str">
        <f t="shared" si="119"/>
        <v>Accepted</v>
      </c>
      <c r="S313" t="str">
        <f t="shared" si="120"/>
        <v>Approved</v>
      </c>
      <c r="T313" t="str">
        <f t="shared" si="121"/>
        <v>10.20.8.188</v>
      </c>
      <c r="U313" t="str">
        <f t="shared" si="122"/>
        <v>AZRAD UMAR BIN SHAARI</v>
      </c>
      <c r="V313" t="str">
        <f t="shared" si="123"/>
        <v>FARHANA BINTI MUSTAPA</v>
      </c>
      <c r="W313" t="str">
        <f t="shared" si="124"/>
        <v>04-08-2020</v>
      </c>
      <c r="X313" t="str">
        <f t="shared" si="125"/>
        <v>RAZIMAH ANSAR AHMAD</v>
      </c>
      <c r="Y313" t="str">
        <f t="shared" si="126"/>
        <v>04-08-2020</v>
      </c>
      <c r="Z313" t="str">
        <f>"IDSB19200804 339"</f>
        <v>IDSB19200804 339</v>
      </c>
    </row>
    <row r="314" spans="1:26" x14ac:dyDescent="0.25">
      <c r="A314" t="str">
        <f t="shared" si="130"/>
        <v>04-08-2020 01:21:07</v>
      </c>
      <c r="B314" t="str">
        <f>"0000810650"</f>
        <v>0000810650</v>
      </c>
      <c r="C314" t="str">
        <f t="shared" si="131"/>
        <v>0000810512</v>
      </c>
      <c r="D314" t="str">
        <f t="shared" si="114"/>
        <v>73185</v>
      </c>
      <c r="E314" t="str">
        <f t="shared" si="115"/>
        <v>KFH-OPERATIONS DEPARTMENT</v>
      </c>
      <c r="F314" t="str">
        <f t="shared" si="116"/>
        <v>IBG</v>
      </c>
      <c r="G314" t="str">
        <f t="shared" si="129"/>
        <v>Refund IDSB 19</v>
      </c>
      <c r="H314" s="2">
        <v>671.6</v>
      </c>
      <c r="I314" t="str">
        <f>"NADIAWATI BINTI ABDUL MOIS"</f>
        <v>NADIAWATI BINTI ABDUL MOIS</v>
      </c>
      <c r="J314" t="str">
        <f t="shared" si="134"/>
        <v>MAYBANK / MAYBANK ISLAMIC</v>
      </c>
      <c r="K314" t="str">
        <f>"155014923206"</f>
        <v>155014923206</v>
      </c>
      <c r="L314" t="str">
        <f t="shared" si="135"/>
        <v>04-08-2020</v>
      </c>
      <c r="M314" t="str">
        <f t="shared" si="135"/>
        <v>04-08-2020</v>
      </c>
      <c r="N314" t="str">
        <f t="shared" si="117"/>
        <v>001105018356</v>
      </c>
      <c r="O314" t="str">
        <f t="shared" si="118"/>
        <v>MYR</v>
      </c>
      <c r="P314" t="str">
        <f t="shared" si="136"/>
        <v>NIL</v>
      </c>
      <c r="Q314" t="str">
        <f t="shared" si="136"/>
        <v>NIL</v>
      </c>
      <c r="R314" t="str">
        <f t="shared" si="119"/>
        <v>Accepted</v>
      </c>
      <c r="S314" t="str">
        <f t="shared" si="120"/>
        <v>Approved</v>
      </c>
      <c r="T314" t="str">
        <f t="shared" si="121"/>
        <v>10.20.8.188</v>
      </c>
      <c r="U314" t="str">
        <f t="shared" si="122"/>
        <v>AZRAD UMAR BIN SHAARI</v>
      </c>
      <c r="V314" t="str">
        <f t="shared" si="123"/>
        <v>FARHANA BINTI MUSTAPA</v>
      </c>
      <c r="W314" t="str">
        <f t="shared" si="124"/>
        <v>04-08-2020</v>
      </c>
      <c r="X314" t="str">
        <f t="shared" si="125"/>
        <v>RAZIMAH ANSAR AHMAD</v>
      </c>
      <c r="Y314" t="str">
        <f t="shared" si="126"/>
        <v>04-08-2020</v>
      </c>
      <c r="Z314" t="str">
        <f>"IDSB19200804 338"</f>
        <v>IDSB19200804 338</v>
      </c>
    </row>
    <row r="315" spans="1:26" x14ac:dyDescent="0.25">
      <c r="A315" t="str">
        <f t="shared" si="130"/>
        <v>04-08-2020 01:21:07</v>
      </c>
      <c r="B315" t="str">
        <f>"0000810649"</f>
        <v>0000810649</v>
      </c>
      <c r="C315" t="str">
        <f t="shared" si="131"/>
        <v>0000810512</v>
      </c>
      <c r="D315" t="str">
        <f t="shared" si="114"/>
        <v>73185</v>
      </c>
      <c r="E315" t="str">
        <f t="shared" si="115"/>
        <v>KFH-OPERATIONS DEPARTMENT</v>
      </c>
      <c r="F315" t="str">
        <f t="shared" si="116"/>
        <v>IBG</v>
      </c>
      <c r="G315" t="str">
        <f t="shared" si="129"/>
        <v>Refund IDSB 19</v>
      </c>
      <c r="H315" s="2">
        <v>1214</v>
      </c>
      <c r="I315" t="str">
        <f>"MUZAFFAR BIN ISMAIL"</f>
        <v>MUZAFFAR BIN ISMAIL</v>
      </c>
      <c r="J315" t="str">
        <f t="shared" si="134"/>
        <v>MAYBANK / MAYBANK ISLAMIC</v>
      </c>
      <c r="K315" t="str">
        <f>"162209988471"</f>
        <v>162209988471</v>
      </c>
      <c r="L315" t="str">
        <f t="shared" si="135"/>
        <v>04-08-2020</v>
      </c>
      <c r="M315" t="str">
        <f t="shared" si="135"/>
        <v>04-08-2020</v>
      </c>
      <c r="N315" t="str">
        <f t="shared" si="117"/>
        <v>001105018356</v>
      </c>
      <c r="O315" t="str">
        <f t="shared" si="118"/>
        <v>MYR</v>
      </c>
      <c r="P315" t="str">
        <f t="shared" si="136"/>
        <v>NIL</v>
      </c>
      <c r="Q315" t="str">
        <f t="shared" si="136"/>
        <v>NIL</v>
      </c>
      <c r="R315" t="str">
        <f t="shared" si="119"/>
        <v>Accepted</v>
      </c>
      <c r="S315" t="str">
        <f t="shared" si="120"/>
        <v>Approved</v>
      </c>
      <c r="T315" t="str">
        <f t="shared" si="121"/>
        <v>10.20.8.188</v>
      </c>
      <c r="U315" t="str">
        <f t="shared" si="122"/>
        <v>AZRAD UMAR BIN SHAARI</v>
      </c>
      <c r="V315" t="str">
        <f t="shared" si="123"/>
        <v>FARHANA BINTI MUSTAPA</v>
      </c>
      <c r="W315" t="str">
        <f t="shared" si="124"/>
        <v>04-08-2020</v>
      </c>
      <c r="X315" t="str">
        <f t="shared" si="125"/>
        <v>RAZIMAH ANSAR AHMAD</v>
      </c>
      <c r="Y315" t="str">
        <f t="shared" si="126"/>
        <v>04-08-2020</v>
      </c>
      <c r="Z315" t="str">
        <f>"IDSB19200804 337"</f>
        <v>IDSB19200804 337</v>
      </c>
    </row>
    <row r="316" spans="1:26" x14ac:dyDescent="0.25">
      <c r="A316" t="str">
        <f t="shared" ref="A316:A347" si="137">"04-08-2020 01:21:07"</f>
        <v>04-08-2020 01:21:07</v>
      </c>
      <c r="B316" t="str">
        <f>"0000810648"</f>
        <v>0000810648</v>
      </c>
      <c r="C316" t="str">
        <f t="shared" ref="C316:C347" si="138">"0000810512"</f>
        <v>0000810512</v>
      </c>
      <c r="D316" t="str">
        <f t="shared" si="114"/>
        <v>73185</v>
      </c>
      <c r="E316" t="str">
        <f t="shared" si="115"/>
        <v>KFH-OPERATIONS DEPARTMENT</v>
      </c>
      <c r="F316" t="str">
        <f t="shared" si="116"/>
        <v>IBG</v>
      </c>
      <c r="G316" t="str">
        <f t="shared" si="129"/>
        <v>Refund IDSB 19</v>
      </c>
      <c r="H316" s="2">
        <v>873</v>
      </c>
      <c r="I316" t="str">
        <f>"MUSYIRI BIN MAHAMAD"</f>
        <v>MUSYIRI BIN MAHAMAD</v>
      </c>
      <c r="J316" t="str">
        <f t="shared" si="134"/>
        <v>MAYBANK / MAYBANK ISLAMIC</v>
      </c>
      <c r="K316" t="str">
        <f>"157036547752"</f>
        <v>157036547752</v>
      </c>
      <c r="L316" t="str">
        <f t="shared" si="135"/>
        <v>04-08-2020</v>
      </c>
      <c r="M316" t="str">
        <f t="shared" si="135"/>
        <v>04-08-2020</v>
      </c>
      <c r="N316" t="str">
        <f t="shared" si="117"/>
        <v>001105018356</v>
      </c>
      <c r="O316" t="str">
        <f t="shared" si="118"/>
        <v>MYR</v>
      </c>
      <c r="P316" t="str">
        <f t="shared" si="136"/>
        <v>NIL</v>
      </c>
      <c r="Q316" t="str">
        <f t="shared" si="136"/>
        <v>NIL</v>
      </c>
      <c r="R316" t="str">
        <f t="shared" si="119"/>
        <v>Accepted</v>
      </c>
      <c r="S316" t="str">
        <f t="shared" si="120"/>
        <v>Approved</v>
      </c>
      <c r="T316" t="str">
        <f t="shared" si="121"/>
        <v>10.20.8.188</v>
      </c>
      <c r="U316" t="str">
        <f t="shared" si="122"/>
        <v>AZRAD UMAR BIN SHAARI</v>
      </c>
      <c r="V316" t="str">
        <f t="shared" si="123"/>
        <v>FARHANA BINTI MUSTAPA</v>
      </c>
      <c r="W316" t="str">
        <f t="shared" si="124"/>
        <v>04-08-2020</v>
      </c>
      <c r="X316" t="str">
        <f t="shared" si="125"/>
        <v>RAZIMAH ANSAR AHMAD</v>
      </c>
      <c r="Y316" t="str">
        <f t="shared" si="126"/>
        <v>04-08-2020</v>
      </c>
      <c r="Z316" t="str">
        <f>"IDSB19200804 336"</f>
        <v>IDSB19200804 336</v>
      </c>
    </row>
    <row r="317" spans="1:26" x14ac:dyDescent="0.25">
      <c r="A317" t="str">
        <f t="shared" si="137"/>
        <v>04-08-2020 01:21:07</v>
      </c>
      <c r="B317" t="str">
        <f>"0000810647"</f>
        <v>0000810647</v>
      </c>
      <c r="C317" t="str">
        <f t="shared" si="138"/>
        <v>0000810512</v>
      </c>
      <c r="D317" t="str">
        <f t="shared" si="114"/>
        <v>73185</v>
      </c>
      <c r="E317" t="str">
        <f t="shared" si="115"/>
        <v>KFH-OPERATIONS DEPARTMENT</v>
      </c>
      <c r="F317" t="str">
        <f t="shared" si="116"/>
        <v>IBG</v>
      </c>
      <c r="G317" t="str">
        <f t="shared" si="129"/>
        <v>Refund IDSB 19</v>
      </c>
      <c r="H317" s="2">
        <v>880</v>
      </c>
      <c r="I317" t="str">
        <f>"MURSHIDAH BINTI MOHD SHAAR"</f>
        <v>MURSHIDAH BINTI MOHD SHAAR</v>
      </c>
      <c r="J317" t="str">
        <f t="shared" si="134"/>
        <v>MAYBANK / MAYBANK ISLAMIC</v>
      </c>
      <c r="K317" t="str">
        <f>"155023307368"</f>
        <v>155023307368</v>
      </c>
      <c r="L317" t="str">
        <f t="shared" si="135"/>
        <v>04-08-2020</v>
      </c>
      <c r="M317" t="str">
        <f t="shared" si="135"/>
        <v>04-08-2020</v>
      </c>
      <c r="N317" t="str">
        <f t="shared" si="117"/>
        <v>001105018356</v>
      </c>
      <c r="O317" t="str">
        <f t="shared" si="118"/>
        <v>MYR</v>
      </c>
      <c r="P317" t="str">
        <f t="shared" si="136"/>
        <v>NIL</v>
      </c>
      <c r="Q317" t="str">
        <f t="shared" si="136"/>
        <v>NIL</v>
      </c>
      <c r="R317" t="str">
        <f t="shared" si="119"/>
        <v>Accepted</v>
      </c>
      <c r="S317" t="str">
        <f t="shared" si="120"/>
        <v>Approved</v>
      </c>
      <c r="T317" t="str">
        <f t="shared" si="121"/>
        <v>10.20.8.188</v>
      </c>
      <c r="U317" t="str">
        <f t="shared" si="122"/>
        <v>AZRAD UMAR BIN SHAARI</v>
      </c>
      <c r="V317" t="str">
        <f t="shared" si="123"/>
        <v>FARHANA BINTI MUSTAPA</v>
      </c>
      <c r="W317" t="str">
        <f t="shared" si="124"/>
        <v>04-08-2020</v>
      </c>
      <c r="X317" t="str">
        <f t="shared" si="125"/>
        <v>RAZIMAH ANSAR AHMAD</v>
      </c>
      <c r="Y317" t="str">
        <f t="shared" si="126"/>
        <v>04-08-2020</v>
      </c>
      <c r="Z317" t="str">
        <f>"IDSB19200804 335"</f>
        <v>IDSB19200804 335</v>
      </c>
    </row>
    <row r="318" spans="1:26" x14ac:dyDescent="0.25">
      <c r="A318" t="str">
        <f t="shared" si="137"/>
        <v>04-08-2020 01:21:07</v>
      </c>
      <c r="B318" t="str">
        <f>"0000810646"</f>
        <v>0000810646</v>
      </c>
      <c r="C318" t="str">
        <f t="shared" si="138"/>
        <v>0000810512</v>
      </c>
      <c r="D318" t="str">
        <f t="shared" si="114"/>
        <v>73185</v>
      </c>
      <c r="E318" t="str">
        <f t="shared" si="115"/>
        <v>KFH-OPERATIONS DEPARTMENT</v>
      </c>
      <c r="F318" t="str">
        <f t="shared" si="116"/>
        <v>IBG</v>
      </c>
      <c r="G318" t="str">
        <f t="shared" si="129"/>
        <v>Refund IDSB 19</v>
      </c>
      <c r="H318" s="2">
        <v>1032</v>
      </c>
      <c r="I318" t="str">
        <f>"MUHAMMAD REDZUAN BIN BADRON"</f>
        <v>MUHAMMAD REDZUAN BIN BADRON</v>
      </c>
      <c r="J318" t="str">
        <f t="shared" si="134"/>
        <v>MAYBANK / MAYBANK ISLAMIC</v>
      </c>
      <c r="K318" t="str">
        <f>"164025032796"</f>
        <v>164025032796</v>
      </c>
      <c r="L318" t="str">
        <f t="shared" si="135"/>
        <v>04-08-2020</v>
      </c>
      <c r="M318" t="str">
        <f t="shared" si="135"/>
        <v>04-08-2020</v>
      </c>
      <c r="N318" t="str">
        <f t="shared" si="117"/>
        <v>001105018356</v>
      </c>
      <c r="O318" t="str">
        <f t="shared" si="118"/>
        <v>MYR</v>
      </c>
      <c r="P318" t="str">
        <f t="shared" si="136"/>
        <v>NIL</v>
      </c>
      <c r="Q318" t="str">
        <f t="shared" si="136"/>
        <v>NIL</v>
      </c>
      <c r="R318" t="str">
        <f t="shared" si="119"/>
        <v>Accepted</v>
      </c>
      <c r="S318" t="str">
        <f t="shared" si="120"/>
        <v>Approved</v>
      </c>
      <c r="T318" t="str">
        <f t="shared" si="121"/>
        <v>10.20.8.188</v>
      </c>
      <c r="U318" t="str">
        <f t="shared" si="122"/>
        <v>AZRAD UMAR BIN SHAARI</v>
      </c>
      <c r="V318" t="str">
        <f t="shared" si="123"/>
        <v>FARHANA BINTI MUSTAPA</v>
      </c>
      <c r="W318" t="str">
        <f t="shared" si="124"/>
        <v>04-08-2020</v>
      </c>
      <c r="X318" t="str">
        <f t="shared" si="125"/>
        <v>RAZIMAH ANSAR AHMAD</v>
      </c>
      <c r="Y318" t="str">
        <f t="shared" si="126"/>
        <v>04-08-2020</v>
      </c>
      <c r="Z318" t="str">
        <f>"IDSB19200804 334"</f>
        <v>IDSB19200804 334</v>
      </c>
    </row>
    <row r="319" spans="1:26" x14ac:dyDescent="0.25">
      <c r="A319" t="str">
        <f t="shared" si="137"/>
        <v>04-08-2020 01:21:07</v>
      </c>
      <c r="B319" t="str">
        <f>"0000810645"</f>
        <v>0000810645</v>
      </c>
      <c r="C319" t="str">
        <f t="shared" si="138"/>
        <v>0000810512</v>
      </c>
      <c r="D319" t="str">
        <f t="shared" si="114"/>
        <v>73185</v>
      </c>
      <c r="E319" t="str">
        <f t="shared" si="115"/>
        <v>KFH-OPERATIONS DEPARTMENT</v>
      </c>
      <c r="F319" t="str">
        <f t="shared" si="116"/>
        <v>IBG</v>
      </c>
      <c r="G319" t="str">
        <f t="shared" si="129"/>
        <v>Refund IDSB 19</v>
      </c>
      <c r="H319" s="2">
        <v>85.2</v>
      </c>
      <c r="I319" t="str">
        <f>"MUHAMMAD NAZRI BIN IBRAHIM"</f>
        <v>MUHAMMAD NAZRI BIN IBRAHIM</v>
      </c>
      <c r="J319" t="str">
        <f t="shared" si="134"/>
        <v>MAYBANK / MAYBANK ISLAMIC</v>
      </c>
      <c r="K319" t="str">
        <f>"163046207753"</f>
        <v>163046207753</v>
      </c>
      <c r="L319" t="str">
        <f t="shared" si="135"/>
        <v>04-08-2020</v>
      </c>
      <c r="M319" t="str">
        <f t="shared" si="135"/>
        <v>04-08-2020</v>
      </c>
      <c r="N319" t="str">
        <f t="shared" si="117"/>
        <v>001105018356</v>
      </c>
      <c r="O319" t="str">
        <f t="shared" si="118"/>
        <v>MYR</v>
      </c>
      <c r="P319" t="str">
        <f t="shared" si="136"/>
        <v>NIL</v>
      </c>
      <c r="Q319" t="str">
        <f t="shared" si="136"/>
        <v>NIL</v>
      </c>
      <c r="R319" t="str">
        <f t="shared" si="119"/>
        <v>Accepted</v>
      </c>
      <c r="S319" t="str">
        <f t="shared" si="120"/>
        <v>Approved</v>
      </c>
      <c r="T319" t="str">
        <f t="shared" si="121"/>
        <v>10.20.8.188</v>
      </c>
      <c r="U319" t="str">
        <f t="shared" si="122"/>
        <v>AZRAD UMAR BIN SHAARI</v>
      </c>
      <c r="V319" t="str">
        <f t="shared" si="123"/>
        <v>FARHANA BINTI MUSTAPA</v>
      </c>
      <c r="W319" t="str">
        <f t="shared" si="124"/>
        <v>04-08-2020</v>
      </c>
      <c r="X319" t="str">
        <f t="shared" si="125"/>
        <v>RAZIMAH ANSAR AHMAD</v>
      </c>
      <c r="Y319" t="str">
        <f t="shared" si="126"/>
        <v>04-08-2020</v>
      </c>
      <c r="Z319" t="str">
        <f>"IDSB19200804 333"</f>
        <v>IDSB19200804 333</v>
      </c>
    </row>
    <row r="320" spans="1:26" x14ac:dyDescent="0.25">
      <c r="A320" t="str">
        <f t="shared" si="137"/>
        <v>04-08-2020 01:21:07</v>
      </c>
      <c r="B320" t="str">
        <f>"0000810644"</f>
        <v>0000810644</v>
      </c>
      <c r="C320" t="str">
        <f t="shared" si="138"/>
        <v>0000810512</v>
      </c>
      <c r="D320" t="str">
        <f t="shared" si="114"/>
        <v>73185</v>
      </c>
      <c r="E320" t="str">
        <f t="shared" si="115"/>
        <v>KFH-OPERATIONS DEPARTMENT</v>
      </c>
      <c r="F320" t="str">
        <f t="shared" si="116"/>
        <v>IBG</v>
      </c>
      <c r="G320" t="str">
        <f t="shared" si="129"/>
        <v>Refund IDSB 19</v>
      </c>
      <c r="H320" s="2">
        <v>671.6</v>
      </c>
      <c r="I320" t="str">
        <f>"MUHAMMAD MUZAMMIL BIN NORUDDIN"</f>
        <v>MUHAMMAD MUZAMMIL BIN NORUDDIN</v>
      </c>
      <c r="J320" t="str">
        <f t="shared" si="134"/>
        <v>MAYBANK / MAYBANK ISLAMIC</v>
      </c>
      <c r="K320" t="str">
        <f>"154053335798"</f>
        <v>154053335798</v>
      </c>
      <c r="L320" t="str">
        <f t="shared" si="135"/>
        <v>04-08-2020</v>
      </c>
      <c r="M320" t="str">
        <f t="shared" si="135"/>
        <v>04-08-2020</v>
      </c>
      <c r="N320" t="str">
        <f t="shared" si="117"/>
        <v>001105018356</v>
      </c>
      <c r="O320" t="str">
        <f t="shared" si="118"/>
        <v>MYR</v>
      </c>
      <c r="P320" t="str">
        <f t="shared" si="136"/>
        <v>NIL</v>
      </c>
      <c r="Q320" t="str">
        <f t="shared" si="136"/>
        <v>NIL</v>
      </c>
      <c r="R320" t="str">
        <f t="shared" si="119"/>
        <v>Accepted</v>
      </c>
      <c r="S320" t="str">
        <f t="shared" si="120"/>
        <v>Approved</v>
      </c>
      <c r="T320" t="str">
        <f t="shared" si="121"/>
        <v>10.20.8.188</v>
      </c>
      <c r="U320" t="str">
        <f t="shared" si="122"/>
        <v>AZRAD UMAR BIN SHAARI</v>
      </c>
      <c r="V320" t="str">
        <f t="shared" si="123"/>
        <v>FARHANA BINTI MUSTAPA</v>
      </c>
      <c r="W320" t="str">
        <f t="shared" si="124"/>
        <v>04-08-2020</v>
      </c>
      <c r="X320" t="str">
        <f t="shared" si="125"/>
        <v>RAZIMAH ANSAR AHMAD</v>
      </c>
      <c r="Y320" t="str">
        <f t="shared" si="126"/>
        <v>04-08-2020</v>
      </c>
      <c r="Z320" t="str">
        <f>"IDSB19200804 332"</f>
        <v>IDSB19200804 332</v>
      </c>
    </row>
    <row r="321" spans="1:26" x14ac:dyDescent="0.25">
      <c r="A321" t="str">
        <f t="shared" si="137"/>
        <v>04-08-2020 01:21:07</v>
      </c>
      <c r="B321" t="str">
        <f>"0000810643"</f>
        <v>0000810643</v>
      </c>
      <c r="C321" t="str">
        <f t="shared" si="138"/>
        <v>0000810512</v>
      </c>
      <c r="D321" t="str">
        <f t="shared" si="114"/>
        <v>73185</v>
      </c>
      <c r="E321" t="str">
        <f t="shared" si="115"/>
        <v>KFH-OPERATIONS DEPARTMENT</v>
      </c>
      <c r="F321" t="str">
        <f t="shared" si="116"/>
        <v>IBG</v>
      </c>
      <c r="G321" t="str">
        <f t="shared" si="129"/>
        <v>Refund IDSB 19</v>
      </c>
      <c r="H321" s="2">
        <v>604.45000000000005</v>
      </c>
      <c r="I321" t="str">
        <f>"MUHAMMAD ISMAWI BIN JEINI"</f>
        <v>MUHAMMAD ISMAWI BIN JEINI</v>
      </c>
      <c r="J321" t="str">
        <f t="shared" si="134"/>
        <v>MAYBANK / MAYBANK ISLAMIC</v>
      </c>
      <c r="K321" t="str">
        <f>"158220483498"</f>
        <v>158220483498</v>
      </c>
      <c r="L321" t="str">
        <f t="shared" si="135"/>
        <v>04-08-2020</v>
      </c>
      <c r="M321" t="str">
        <f t="shared" si="135"/>
        <v>04-08-2020</v>
      </c>
      <c r="N321" t="str">
        <f t="shared" si="117"/>
        <v>001105018356</v>
      </c>
      <c r="O321" t="str">
        <f t="shared" si="118"/>
        <v>MYR</v>
      </c>
      <c r="P321" t="str">
        <f t="shared" si="136"/>
        <v>NIL</v>
      </c>
      <c r="Q321" t="str">
        <f t="shared" si="136"/>
        <v>NIL</v>
      </c>
      <c r="R321" t="str">
        <f t="shared" si="119"/>
        <v>Accepted</v>
      </c>
      <c r="S321" t="str">
        <f t="shared" si="120"/>
        <v>Approved</v>
      </c>
      <c r="T321" t="str">
        <f t="shared" si="121"/>
        <v>10.20.8.188</v>
      </c>
      <c r="U321" t="str">
        <f t="shared" si="122"/>
        <v>AZRAD UMAR BIN SHAARI</v>
      </c>
      <c r="V321" t="str">
        <f t="shared" si="123"/>
        <v>FARHANA BINTI MUSTAPA</v>
      </c>
      <c r="W321" t="str">
        <f t="shared" si="124"/>
        <v>04-08-2020</v>
      </c>
      <c r="X321" t="str">
        <f t="shared" si="125"/>
        <v>RAZIMAH ANSAR AHMAD</v>
      </c>
      <c r="Y321" t="str">
        <f t="shared" si="126"/>
        <v>04-08-2020</v>
      </c>
      <c r="Z321" t="str">
        <f>"IDSB19200804 331"</f>
        <v>IDSB19200804 331</v>
      </c>
    </row>
    <row r="322" spans="1:26" x14ac:dyDescent="0.25">
      <c r="A322" t="str">
        <f t="shared" si="137"/>
        <v>04-08-2020 01:21:07</v>
      </c>
      <c r="B322" t="str">
        <f>"0000810642"</f>
        <v>0000810642</v>
      </c>
      <c r="C322" t="str">
        <f t="shared" si="138"/>
        <v>0000810512</v>
      </c>
      <c r="D322" t="str">
        <f t="shared" si="114"/>
        <v>73185</v>
      </c>
      <c r="E322" t="str">
        <f t="shared" si="115"/>
        <v>KFH-OPERATIONS DEPARTMENT</v>
      </c>
      <c r="F322" t="str">
        <f t="shared" si="116"/>
        <v>IBG</v>
      </c>
      <c r="G322" t="str">
        <f t="shared" si="129"/>
        <v>Refund IDSB 19</v>
      </c>
      <c r="H322" s="2">
        <v>145</v>
      </c>
      <c r="I322" t="str">
        <f>"MUHAMMAD HAZWAN BIN BADRI"</f>
        <v>MUHAMMAD HAZWAN BIN BADRI</v>
      </c>
      <c r="J322" t="str">
        <f t="shared" si="134"/>
        <v>MAYBANK / MAYBANK ISLAMIC</v>
      </c>
      <c r="K322" t="str">
        <f>"151061482516"</f>
        <v>151061482516</v>
      </c>
      <c r="L322" t="str">
        <f t="shared" si="135"/>
        <v>04-08-2020</v>
      </c>
      <c r="M322" t="str">
        <f t="shared" si="135"/>
        <v>04-08-2020</v>
      </c>
      <c r="N322" t="str">
        <f t="shared" si="117"/>
        <v>001105018356</v>
      </c>
      <c r="O322" t="str">
        <f t="shared" si="118"/>
        <v>MYR</v>
      </c>
      <c r="P322" t="str">
        <f t="shared" si="136"/>
        <v>NIL</v>
      </c>
      <c r="Q322" t="str">
        <f t="shared" si="136"/>
        <v>NIL</v>
      </c>
      <c r="R322" t="str">
        <f t="shared" si="119"/>
        <v>Accepted</v>
      </c>
      <c r="S322" t="str">
        <f t="shared" si="120"/>
        <v>Approved</v>
      </c>
      <c r="T322" t="str">
        <f t="shared" si="121"/>
        <v>10.20.8.188</v>
      </c>
      <c r="U322" t="str">
        <f t="shared" si="122"/>
        <v>AZRAD UMAR BIN SHAARI</v>
      </c>
      <c r="V322" t="str">
        <f t="shared" si="123"/>
        <v>FARHANA BINTI MUSTAPA</v>
      </c>
      <c r="W322" t="str">
        <f t="shared" si="124"/>
        <v>04-08-2020</v>
      </c>
      <c r="X322" t="str">
        <f t="shared" si="125"/>
        <v>RAZIMAH ANSAR AHMAD</v>
      </c>
      <c r="Y322" t="str">
        <f t="shared" si="126"/>
        <v>04-08-2020</v>
      </c>
      <c r="Z322" t="str">
        <f>"IDSB19200804 330"</f>
        <v>IDSB19200804 330</v>
      </c>
    </row>
    <row r="323" spans="1:26" x14ac:dyDescent="0.25">
      <c r="A323" t="str">
        <f t="shared" si="137"/>
        <v>04-08-2020 01:21:07</v>
      </c>
      <c r="B323" t="str">
        <f>"0000810641"</f>
        <v>0000810641</v>
      </c>
      <c r="C323" t="str">
        <f t="shared" si="138"/>
        <v>0000810512</v>
      </c>
      <c r="D323" t="str">
        <f t="shared" si="114"/>
        <v>73185</v>
      </c>
      <c r="E323" t="str">
        <f t="shared" si="115"/>
        <v>KFH-OPERATIONS DEPARTMENT</v>
      </c>
      <c r="F323" t="str">
        <f t="shared" si="116"/>
        <v>IBG</v>
      </c>
      <c r="G323" t="str">
        <f t="shared" si="129"/>
        <v>Refund IDSB 19</v>
      </c>
      <c r="H323" s="2">
        <v>419.59</v>
      </c>
      <c r="I323" t="str">
        <f>"MUHAMMAD FIRDAUS BIN KHAIRI"</f>
        <v>MUHAMMAD FIRDAUS BIN KHAIRI</v>
      </c>
      <c r="J323" t="str">
        <f t="shared" si="134"/>
        <v>MAYBANK / MAYBANK ISLAMIC</v>
      </c>
      <c r="K323" t="str">
        <f>"158293627780"</f>
        <v>158293627780</v>
      </c>
      <c r="L323" t="str">
        <f t="shared" si="135"/>
        <v>04-08-2020</v>
      </c>
      <c r="M323" t="str">
        <f t="shared" si="135"/>
        <v>04-08-2020</v>
      </c>
      <c r="N323" t="str">
        <f t="shared" si="117"/>
        <v>001105018356</v>
      </c>
      <c r="O323" t="str">
        <f t="shared" si="118"/>
        <v>MYR</v>
      </c>
      <c r="P323" t="str">
        <f t="shared" si="136"/>
        <v>NIL</v>
      </c>
      <c r="Q323" t="str">
        <f t="shared" si="136"/>
        <v>NIL</v>
      </c>
      <c r="R323" t="str">
        <f t="shared" si="119"/>
        <v>Accepted</v>
      </c>
      <c r="S323" t="str">
        <f t="shared" si="120"/>
        <v>Approved</v>
      </c>
      <c r="T323" t="str">
        <f t="shared" si="121"/>
        <v>10.20.8.188</v>
      </c>
      <c r="U323" t="str">
        <f t="shared" si="122"/>
        <v>AZRAD UMAR BIN SHAARI</v>
      </c>
      <c r="V323" t="str">
        <f t="shared" si="123"/>
        <v>FARHANA BINTI MUSTAPA</v>
      </c>
      <c r="W323" t="str">
        <f t="shared" si="124"/>
        <v>04-08-2020</v>
      </c>
      <c r="X323" t="str">
        <f t="shared" si="125"/>
        <v>RAZIMAH ANSAR AHMAD</v>
      </c>
      <c r="Y323" t="str">
        <f t="shared" si="126"/>
        <v>04-08-2020</v>
      </c>
      <c r="Z323" t="str">
        <f>"IDSB19200804 329"</f>
        <v>IDSB19200804 329</v>
      </c>
    </row>
    <row r="324" spans="1:26" x14ac:dyDescent="0.25">
      <c r="A324" t="str">
        <f t="shared" si="137"/>
        <v>04-08-2020 01:21:07</v>
      </c>
      <c r="B324" t="str">
        <f>"0000810640"</f>
        <v>0000810640</v>
      </c>
      <c r="C324" t="str">
        <f t="shared" si="138"/>
        <v>0000810512</v>
      </c>
      <c r="D324" t="str">
        <f t="shared" si="114"/>
        <v>73185</v>
      </c>
      <c r="E324" t="str">
        <f t="shared" si="115"/>
        <v>KFH-OPERATIONS DEPARTMENT</v>
      </c>
      <c r="F324" t="str">
        <f t="shared" si="116"/>
        <v>IBG</v>
      </c>
      <c r="G324" t="str">
        <f t="shared" si="129"/>
        <v>Refund IDSB 19</v>
      </c>
      <c r="H324" s="2">
        <v>704.27</v>
      </c>
      <c r="I324" t="str">
        <f>"MUHAMAD NAZRI BIN BASRAWI"</f>
        <v>MUHAMAD NAZRI BIN BASRAWI</v>
      </c>
      <c r="J324" t="str">
        <f t="shared" si="134"/>
        <v>MAYBANK / MAYBANK ISLAMIC</v>
      </c>
      <c r="K324" t="str">
        <f>"162263036485"</f>
        <v>162263036485</v>
      </c>
      <c r="L324" t="str">
        <f t="shared" si="135"/>
        <v>04-08-2020</v>
      </c>
      <c r="M324" t="str">
        <f t="shared" si="135"/>
        <v>04-08-2020</v>
      </c>
      <c r="N324" t="str">
        <f t="shared" si="117"/>
        <v>001105018356</v>
      </c>
      <c r="O324" t="str">
        <f t="shared" si="118"/>
        <v>MYR</v>
      </c>
      <c r="P324" t="str">
        <f t="shared" si="136"/>
        <v>NIL</v>
      </c>
      <c r="Q324" t="str">
        <f t="shared" si="136"/>
        <v>NIL</v>
      </c>
      <c r="R324" t="str">
        <f t="shared" si="119"/>
        <v>Accepted</v>
      </c>
      <c r="S324" t="str">
        <f t="shared" si="120"/>
        <v>Approved</v>
      </c>
      <c r="T324" t="str">
        <f t="shared" si="121"/>
        <v>10.20.8.188</v>
      </c>
      <c r="U324" t="str">
        <f t="shared" si="122"/>
        <v>AZRAD UMAR BIN SHAARI</v>
      </c>
      <c r="V324" t="str">
        <f t="shared" si="123"/>
        <v>FARHANA BINTI MUSTAPA</v>
      </c>
      <c r="W324" t="str">
        <f t="shared" si="124"/>
        <v>04-08-2020</v>
      </c>
      <c r="X324" t="str">
        <f t="shared" si="125"/>
        <v>RAZIMAH ANSAR AHMAD</v>
      </c>
      <c r="Y324" t="str">
        <f t="shared" si="126"/>
        <v>04-08-2020</v>
      </c>
      <c r="Z324" t="str">
        <f>"IDSB19200804 328"</f>
        <v>IDSB19200804 328</v>
      </c>
    </row>
    <row r="325" spans="1:26" x14ac:dyDescent="0.25">
      <c r="A325" t="str">
        <f t="shared" si="137"/>
        <v>04-08-2020 01:21:07</v>
      </c>
      <c r="B325" t="str">
        <f>"0000810639"</f>
        <v>0000810639</v>
      </c>
      <c r="C325" t="str">
        <f t="shared" si="138"/>
        <v>0000810512</v>
      </c>
      <c r="D325" t="str">
        <f t="shared" si="114"/>
        <v>73185</v>
      </c>
      <c r="E325" t="str">
        <f t="shared" si="115"/>
        <v>KFH-OPERATIONS DEPARTMENT</v>
      </c>
      <c r="F325" t="str">
        <f t="shared" si="116"/>
        <v>IBG</v>
      </c>
      <c r="G325" t="str">
        <f t="shared" si="129"/>
        <v>Refund IDSB 19</v>
      </c>
      <c r="H325" s="2">
        <v>532</v>
      </c>
      <c r="I325" t="str">
        <f>"MUHAMAD HAFIZ BIN ABD JAMIL"</f>
        <v>MUHAMAD HAFIZ BIN ABD JAMIL</v>
      </c>
      <c r="J325" t="str">
        <f t="shared" si="134"/>
        <v>MAYBANK / MAYBANK ISLAMIC</v>
      </c>
      <c r="K325" t="str">
        <f>"114160796802"</f>
        <v>114160796802</v>
      </c>
      <c r="L325" t="str">
        <f t="shared" si="135"/>
        <v>04-08-2020</v>
      </c>
      <c r="M325" t="str">
        <f t="shared" si="135"/>
        <v>04-08-2020</v>
      </c>
      <c r="N325" t="str">
        <f t="shared" si="117"/>
        <v>001105018356</v>
      </c>
      <c r="O325" t="str">
        <f t="shared" si="118"/>
        <v>MYR</v>
      </c>
      <c r="P325" t="str">
        <f t="shared" si="136"/>
        <v>NIL</v>
      </c>
      <c r="Q325" t="str">
        <f t="shared" si="136"/>
        <v>NIL</v>
      </c>
      <c r="R325" t="str">
        <f t="shared" si="119"/>
        <v>Accepted</v>
      </c>
      <c r="S325" t="str">
        <f t="shared" si="120"/>
        <v>Approved</v>
      </c>
      <c r="T325" t="str">
        <f t="shared" si="121"/>
        <v>10.20.8.188</v>
      </c>
      <c r="U325" t="str">
        <f t="shared" si="122"/>
        <v>AZRAD UMAR BIN SHAARI</v>
      </c>
      <c r="V325" t="str">
        <f t="shared" si="123"/>
        <v>FARHANA BINTI MUSTAPA</v>
      </c>
      <c r="W325" t="str">
        <f t="shared" si="124"/>
        <v>04-08-2020</v>
      </c>
      <c r="X325" t="str">
        <f t="shared" si="125"/>
        <v>RAZIMAH ANSAR AHMAD</v>
      </c>
      <c r="Y325" t="str">
        <f t="shared" si="126"/>
        <v>04-08-2020</v>
      </c>
      <c r="Z325" t="str">
        <f>"IDSB19200804 327"</f>
        <v>IDSB19200804 327</v>
      </c>
    </row>
    <row r="326" spans="1:26" x14ac:dyDescent="0.25">
      <c r="A326" t="str">
        <f t="shared" si="137"/>
        <v>04-08-2020 01:21:07</v>
      </c>
      <c r="B326" t="str">
        <f>"0000810638"</f>
        <v>0000810638</v>
      </c>
      <c r="C326" t="str">
        <f t="shared" si="138"/>
        <v>0000810512</v>
      </c>
      <c r="D326" t="str">
        <f t="shared" si="114"/>
        <v>73185</v>
      </c>
      <c r="E326" t="str">
        <f t="shared" si="115"/>
        <v>KFH-OPERATIONS DEPARTMENT</v>
      </c>
      <c r="F326" t="str">
        <f t="shared" si="116"/>
        <v>IBG</v>
      </c>
      <c r="G326" t="str">
        <f t="shared" si="129"/>
        <v>Refund IDSB 19</v>
      </c>
      <c r="H326" s="2">
        <v>46</v>
      </c>
      <c r="I326" t="str">
        <f>"MOHD ZULKHALIF BIN HARMAIN"</f>
        <v>MOHD ZULKHALIF BIN HARMAIN</v>
      </c>
      <c r="J326" t="str">
        <f t="shared" si="134"/>
        <v>MAYBANK / MAYBANK ISLAMIC</v>
      </c>
      <c r="K326" t="str">
        <f>"162302557157"</f>
        <v>162302557157</v>
      </c>
      <c r="L326" t="str">
        <f t="shared" si="135"/>
        <v>04-08-2020</v>
      </c>
      <c r="M326" t="str">
        <f t="shared" si="135"/>
        <v>04-08-2020</v>
      </c>
      <c r="N326" t="str">
        <f t="shared" si="117"/>
        <v>001105018356</v>
      </c>
      <c r="O326" t="str">
        <f t="shared" si="118"/>
        <v>MYR</v>
      </c>
      <c r="P326" t="str">
        <f t="shared" si="136"/>
        <v>NIL</v>
      </c>
      <c r="Q326" t="str">
        <f t="shared" si="136"/>
        <v>NIL</v>
      </c>
      <c r="R326" t="str">
        <f t="shared" si="119"/>
        <v>Accepted</v>
      </c>
      <c r="S326" t="str">
        <f t="shared" si="120"/>
        <v>Approved</v>
      </c>
      <c r="T326" t="str">
        <f t="shared" si="121"/>
        <v>10.20.8.188</v>
      </c>
      <c r="U326" t="str">
        <f t="shared" si="122"/>
        <v>AZRAD UMAR BIN SHAARI</v>
      </c>
      <c r="V326" t="str">
        <f t="shared" si="123"/>
        <v>FARHANA BINTI MUSTAPA</v>
      </c>
      <c r="W326" t="str">
        <f t="shared" si="124"/>
        <v>04-08-2020</v>
      </c>
      <c r="X326" t="str">
        <f t="shared" si="125"/>
        <v>RAZIMAH ANSAR AHMAD</v>
      </c>
      <c r="Y326" t="str">
        <f t="shared" si="126"/>
        <v>04-08-2020</v>
      </c>
      <c r="Z326" t="str">
        <f>"IDSB19200804 326"</f>
        <v>IDSB19200804 326</v>
      </c>
    </row>
    <row r="327" spans="1:26" x14ac:dyDescent="0.25">
      <c r="A327" t="str">
        <f t="shared" si="137"/>
        <v>04-08-2020 01:21:07</v>
      </c>
      <c r="B327" t="str">
        <f>"0000810637"</f>
        <v>0000810637</v>
      </c>
      <c r="C327" t="str">
        <f t="shared" si="138"/>
        <v>0000810512</v>
      </c>
      <c r="D327" t="str">
        <f t="shared" ref="D327:D390" si="139">"73185"</f>
        <v>73185</v>
      </c>
      <c r="E327" t="str">
        <f t="shared" ref="E327:E390" si="140">"KFH-OPERATIONS DEPARTMENT"</f>
        <v>KFH-OPERATIONS DEPARTMENT</v>
      </c>
      <c r="F327" t="str">
        <f t="shared" ref="F327:F390" si="141">"IBG"</f>
        <v>IBG</v>
      </c>
      <c r="G327" t="str">
        <f t="shared" si="129"/>
        <v>Refund IDSB 19</v>
      </c>
      <c r="H327" s="2">
        <v>142.75</v>
      </c>
      <c r="I327" t="str">
        <f>"MOHD ZULFADLI BIN ABDUL RAHIM"</f>
        <v>MOHD ZULFADLI BIN ABDUL RAHIM</v>
      </c>
      <c r="J327" t="str">
        <f t="shared" si="134"/>
        <v>MAYBANK / MAYBANK ISLAMIC</v>
      </c>
      <c r="K327" t="str">
        <f>"162478070398"</f>
        <v>162478070398</v>
      </c>
      <c r="L327" t="str">
        <f t="shared" ref="L327:M346" si="142">"04-08-2020"</f>
        <v>04-08-2020</v>
      </c>
      <c r="M327" t="str">
        <f t="shared" si="142"/>
        <v>04-08-2020</v>
      </c>
      <c r="N327" t="str">
        <f t="shared" ref="N327:N390" si="143">"001105018356"</f>
        <v>001105018356</v>
      </c>
      <c r="O327" t="str">
        <f t="shared" ref="O327:O390" si="144">"MYR"</f>
        <v>MYR</v>
      </c>
      <c r="P327" t="str">
        <f t="shared" ref="P327:Q346" si="145">"NIL"</f>
        <v>NIL</v>
      </c>
      <c r="Q327" t="str">
        <f t="shared" si="145"/>
        <v>NIL</v>
      </c>
      <c r="R327" t="str">
        <f t="shared" ref="R327:R390" si="146">"Accepted"</f>
        <v>Accepted</v>
      </c>
      <c r="S327" t="str">
        <f t="shared" ref="S327:S390" si="147">"Approved"</f>
        <v>Approved</v>
      </c>
      <c r="T327" t="str">
        <f t="shared" ref="T327:T390" si="148">"10.20.8.188"</f>
        <v>10.20.8.188</v>
      </c>
      <c r="U327" t="str">
        <f t="shared" ref="U327:U390" si="149">"AZRAD UMAR BIN SHAARI"</f>
        <v>AZRAD UMAR BIN SHAARI</v>
      </c>
      <c r="V327" t="str">
        <f t="shared" ref="V327:V390" si="150">"FARHANA BINTI MUSTAPA"</f>
        <v>FARHANA BINTI MUSTAPA</v>
      </c>
      <c r="W327" t="str">
        <f t="shared" ref="W327:W390" si="151">"04-08-2020"</f>
        <v>04-08-2020</v>
      </c>
      <c r="X327" t="str">
        <f t="shared" ref="X327:X390" si="152">"RAZIMAH ANSAR AHMAD"</f>
        <v>RAZIMAH ANSAR AHMAD</v>
      </c>
      <c r="Y327" t="str">
        <f t="shared" ref="Y327:Y390" si="153">"04-08-2020"</f>
        <v>04-08-2020</v>
      </c>
      <c r="Z327" t="str">
        <f>"IDSB19200804 325"</f>
        <v>IDSB19200804 325</v>
      </c>
    </row>
    <row r="328" spans="1:26" x14ac:dyDescent="0.25">
      <c r="A328" t="str">
        <f t="shared" si="137"/>
        <v>04-08-2020 01:21:07</v>
      </c>
      <c r="B328" t="str">
        <f>"0000810636"</f>
        <v>0000810636</v>
      </c>
      <c r="C328" t="str">
        <f t="shared" si="138"/>
        <v>0000810512</v>
      </c>
      <c r="D328" t="str">
        <f t="shared" si="139"/>
        <v>73185</v>
      </c>
      <c r="E328" t="str">
        <f t="shared" si="140"/>
        <v>KFH-OPERATIONS DEPARTMENT</v>
      </c>
      <c r="F328" t="str">
        <f t="shared" si="141"/>
        <v>IBG</v>
      </c>
      <c r="G328" t="str">
        <f t="shared" si="129"/>
        <v>Refund IDSB 19</v>
      </c>
      <c r="H328" s="2">
        <v>1124.95</v>
      </c>
      <c r="I328" t="str">
        <f>"MOHD YASRUL BIN SULIMAN"</f>
        <v>MOHD YASRUL BIN SULIMAN</v>
      </c>
      <c r="J328" t="str">
        <f t="shared" si="134"/>
        <v>MAYBANK / MAYBANK ISLAMIC</v>
      </c>
      <c r="K328" t="str">
        <f>"151249970918"</f>
        <v>151249970918</v>
      </c>
      <c r="L328" t="str">
        <f t="shared" si="142"/>
        <v>04-08-2020</v>
      </c>
      <c r="M328" t="str">
        <f t="shared" si="142"/>
        <v>04-08-2020</v>
      </c>
      <c r="N328" t="str">
        <f t="shared" si="143"/>
        <v>001105018356</v>
      </c>
      <c r="O328" t="str">
        <f t="shared" si="144"/>
        <v>MYR</v>
      </c>
      <c r="P328" t="str">
        <f t="shared" si="145"/>
        <v>NIL</v>
      </c>
      <c r="Q328" t="str">
        <f t="shared" si="145"/>
        <v>NIL</v>
      </c>
      <c r="R328" t="str">
        <f t="shared" si="146"/>
        <v>Accepted</v>
      </c>
      <c r="S328" t="str">
        <f t="shared" si="147"/>
        <v>Approved</v>
      </c>
      <c r="T328" t="str">
        <f t="shared" si="148"/>
        <v>10.20.8.188</v>
      </c>
      <c r="U328" t="str">
        <f t="shared" si="149"/>
        <v>AZRAD UMAR BIN SHAARI</v>
      </c>
      <c r="V328" t="str">
        <f t="shared" si="150"/>
        <v>FARHANA BINTI MUSTAPA</v>
      </c>
      <c r="W328" t="str">
        <f t="shared" si="151"/>
        <v>04-08-2020</v>
      </c>
      <c r="X328" t="str">
        <f t="shared" si="152"/>
        <v>RAZIMAH ANSAR AHMAD</v>
      </c>
      <c r="Y328" t="str">
        <f t="shared" si="153"/>
        <v>04-08-2020</v>
      </c>
      <c r="Z328" t="str">
        <f>"IDSB19200804 324"</f>
        <v>IDSB19200804 324</v>
      </c>
    </row>
    <row r="329" spans="1:26" x14ac:dyDescent="0.25">
      <c r="A329" t="str">
        <f t="shared" si="137"/>
        <v>04-08-2020 01:21:07</v>
      </c>
      <c r="B329" t="str">
        <f>"0000810635"</f>
        <v>0000810635</v>
      </c>
      <c r="C329" t="str">
        <f t="shared" si="138"/>
        <v>0000810512</v>
      </c>
      <c r="D329" t="str">
        <f t="shared" si="139"/>
        <v>73185</v>
      </c>
      <c r="E329" t="str">
        <f t="shared" si="140"/>
        <v>KFH-OPERATIONS DEPARTMENT</v>
      </c>
      <c r="F329" t="str">
        <f t="shared" si="141"/>
        <v>IBG</v>
      </c>
      <c r="G329" t="str">
        <f t="shared" si="129"/>
        <v>Refund IDSB 19</v>
      </c>
      <c r="H329" s="2">
        <v>683</v>
      </c>
      <c r="I329" t="str">
        <f>"MOHD SHAHRUL FAHMI BIN IBRAHIM"</f>
        <v>MOHD SHAHRUL FAHMI BIN IBRAHIM</v>
      </c>
      <c r="J329" t="str">
        <f t="shared" si="134"/>
        <v>MAYBANK / MAYBANK ISLAMIC</v>
      </c>
      <c r="K329" t="str">
        <f>"164285551813"</f>
        <v>164285551813</v>
      </c>
      <c r="L329" t="str">
        <f t="shared" si="142"/>
        <v>04-08-2020</v>
      </c>
      <c r="M329" t="str">
        <f t="shared" si="142"/>
        <v>04-08-2020</v>
      </c>
      <c r="N329" t="str">
        <f t="shared" si="143"/>
        <v>001105018356</v>
      </c>
      <c r="O329" t="str">
        <f t="shared" si="144"/>
        <v>MYR</v>
      </c>
      <c r="P329" t="str">
        <f t="shared" si="145"/>
        <v>NIL</v>
      </c>
      <c r="Q329" t="str">
        <f t="shared" si="145"/>
        <v>NIL</v>
      </c>
      <c r="R329" t="str">
        <f t="shared" si="146"/>
        <v>Accepted</v>
      </c>
      <c r="S329" t="str">
        <f t="shared" si="147"/>
        <v>Approved</v>
      </c>
      <c r="T329" t="str">
        <f t="shared" si="148"/>
        <v>10.20.8.188</v>
      </c>
      <c r="U329" t="str">
        <f t="shared" si="149"/>
        <v>AZRAD UMAR BIN SHAARI</v>
      </c>
      <c r="V329" t="str">
        <f t="shared" si="150"/>
        <v>FARHANA BINTI MUSTAPA</v>
      </c>
      <c r="W329" t="str">
        <f t="shared" si="151"/>
        <v>04-08-2020</v>
      </c>
      <c r="X329" t="str">
        <f t="shared" si="152"/>
        <v>RAZIMAH ANSAR AHMAD</v>
      </c>
      <c r="Y329" t="str">
        <f t="shared" si="153"/>
        <v>04-08-2020</v>
      </c>
      <c r="Z329" t="str">
        <f>"IDSB19200804 323"</f>
        <v>IDSB19200804 323</v>
      </c>
    </row>
    <row r="330" spans="1:26" x14ac:dyDescent="0.25">
      <c r="A330" t="str">
        <f t="shared" si="137"/>
        <v>04-08-2020 01:21:07</v>
      </c>
      <c r="B330" t="str">
        <f>"0000810634"</f>
        <v>0000810634</v>
      </c>
      <c r="C330" t="str">
        <f t="shared" si="138"/>
        <v>0000810512</v>
      </c>
      <c r="D330" t="str">
        <f t="shared" si="139"/>
        <v>73185</v>
      </c>
      <c r="E330" t="str">
        <f t="shared" si="140"/>
        <v>KFH-OPERATIONS DEPARTMENT</v>
      </c>
      <c r="F330" t="str">
        <f t="shared" si="141"/>
        <v>IBG</v>
      </c>
      <c r="G330" t="str">
        <f t="shared" si="129"/>
        <v>Refund IDSB 19</v>
      </c>
      <c r="H330" s="2">
        <v>738.51</v>
      </c>
      <c r="I330" t="str">
        <f>"MOHD SHAHRIZAL BIN MD YASIN"</f>
        <v>MOHD SHAHRIZAL BIN MD YASIN</v>
      </c>
      <c r="J330" t="str">
        <f t="shared" si="134"/>
        <v>MAYBANK / MAYBANK ISLAMIC</v>
      </c>
      <c r="K330" t="str">
        <f>"112745021876"</f>
        <v>112745021876</v>
      </c>
      <c r="L330" t="str">
        <f t="shared" si="142"/>
        <v>04-08-2020</v>
      </c>
      <c r="M330" t="str">
        <f t="shared" si="142"/>
        <v>04-08-2020</v>
      </c>
      <c r="N330" t="str">
        <f t="shared" si="143"/>
        <v>001105018356</v>
      </c>
      <c r="O330" t="str">
        <f t="shared" si="144"/>
        <v>MYR</v>
      </c>
      <c r="P330" t="str">
        <f t="shared" si="145"/>
        <v>NIL</v>
      </c>
      <c r="Q330" t="str">
        <f t="shared" si="145"/>
        <v>NIL</v>
      </c>
      <c r="R330" t="str">
        <f t="shared" si="146"/>
        <v>Accepted</v>
      </c>
      <c r="S330" t="str">
        <f t="shared" si="147"/>
        <v>Approved</v>
      </c>
      <c r="T330" t="str">
        <f t="shared" si="148"/>
        <v>10.20.8.188</v>
      </c>
      <c r="U330" t="str">
        <f t="shared" si="149"/>
        <v>AZRAD UMAR BIN SHAARI</v>
      </c>
      <c r="V330" t="str">
        <f t="shared" si="150"/>
        <v>FARHANA BINTI MUSTAPA</v>
      </c>
      <c r="W330" t="str">
        <f t="shared" si="151"/>
        <v>04-08-2020</v>
      </c>
      <c r="X330" t="str">
        <f t="shared" si="152"/>
        <v>RAZIMAH ANSAR AHMAD</v>
      </c>
      <c r="Y330" t="str">
        <f t="shared" si="153"/>
        <v>04-08-2020</v>
      </c>
      <c r="Z330" t="str">
        <f>"IDSB19200804 322"</f>
        <v>IDSB19200804 322</v>
      </c>
    </row>
    <row r="331" spans="1:26" x14ac:dyDescent="0.25">
      <c r="A331" t="str">
        <f t="shared" si="137"/>
        <v>04-08-2020 01:21:07</v>
      </c>
      <c r="B331" t="str">
        <f>"0000810633"</f>
        <v>0000810633</v>
      </c>
      <c r="C331" t="str">
        <f t="shared" si="138"/>
        <v>0000810512</v>
      </c>
      <c r="D331" t="str">
        <f t="shared" si="139"/>
        <v>73185</v>
      </c>
      <c r="E331" t="str">
        <f t="shared" si="140"/>
        <v>KFH-OPERATIONS DEPARTMENT</v>
      </c>
      <c r="F331" t="str">
        <f t="shared" si="141"/>
        <v>IBG</v>
      </c>
      <c r="G331" t="str">
        <f t="shared" si="129"/>
        <v>Refund IDSB 19</v>
      </c>
      <c r="H331" s="2">
        <v>1007</v>
      </c>
      <c r="I331" t="str">
        <f>"MOHD SHAHRIZAL BIN MD KATAN"</f>
        <v>MOHD SHAHRIZAL BIN MD KATAN</v>
      </c>
      <c r="J331" t="str">
        <f t="shared" si="134"/>
        <v>MAYBANK / MAYBANK ISLAMIC</v>
      </c>
      <c r="K331" t="str">
        <f>"164306333401"</f>
        <v>164306333401</v>
      </c>
      <c r="L331" t="str">
        <f t="shared" si="142"/>
        <v>04-08-2020</v>
      </c>
      <c r="M331" t="str">
        <f t="shared" si="142"/>
        <v>04-08-2020</v>
      </c>
      <c r="N331" t="str">
        <f t="shared" si="143"/>
        <v>001105018356</v>
      </c>
      <c r="O331" t="str">
        <f t="shared" si="144"/>
        <v>MYR</v>
      </c>
      <c r="P331" t="str">
        <f t="shared" si="145"/>
        <v>NIL</v>
      </c>
      <c r="Q331" t="str">
        <f t="shared" si="145"/>
        <v>NIL</v>
      </c>
      <c r="R331" t="str">
        <f t="shared" si="146"/>
        <v>Accepted</v>
      </c>
      <c r="S331" t="str">
        <f t="shared" si="147"/>
        <v>Approved</v>
      </c>
      <c r="T331" t="str">
        <f t="shared" si="148"/>
        <v>10.20.8.188</v>
      </c>
      <c r="U331" t="str">
        <f t="shared" si="149"/>
        <v>AZRAD UMAR BIN SHAARI</v>
      </c>
      <c r="V331" t="str">
        <f t="shared" si="150"/>
        <v>FARHANA BINTI MUSTAPA</v>
      </c>
      <c r="W331" t="str">
        <f t="shared" si="151"/>
        <v>04-08-2020</v>
      </c>
      <c r="X331" t="str">
        <f t="shared" si="152"/>
        <v>RAZIMAH ANSAR AHMAD</v>
      </c>
      <c r="Y331" t="str">
        <f t="shared" si="153"/>
        <v>04-08-2020</v>
      </c>
      <c r="Z331" t="str">
        <f>"IDSB19200804 321"</f>
        <v>IDSB19200804 321</v>
      </c>
    </row>
    <row r="332" spans="1:26" x14ac:dyDescent="0.25">
      <c r="A332" t="str">
        <f t="shared" si="137"/>
        <v>04-08-2020 01:21:07</v>
      </c>
      <c r="B332" t="str">
        <f>"0000810632"</f>
        <v>0000810632</v>
      </c>
      <c r="C332" t="str">
        <f t="shared" si="138"/>
        <v>0000810512</v>
      </c>
      <c r="D332" t="str">
        <f t="shared" si="139"/>
        <v>73185</v>
      </c>
      <c r="E332" t="str">
        <f t="shared" si="140"/>
        <v>KFH-OPERATIONS DEPARTMENT</v>
      </c>
      <c r="F332" t="str">
        <f t="shared" si="141"/>
        <v>IBG</v>
      </c>
      <c r="G332" t="str">
        <f t="shared" si="129"/>
        <v>Refund IDSB 19</v>
      </c>
      <c r="H332" s="2">
        <v>797.23</v>
      </c>
      <c r="I332" t="str">
        <f>"MOHD SHAHRIL BIN SHARIFUDDIN"</f>
        <v>MOHD SHAHRIL BIN SHARIFUDDIN</v>
      </c>
      <c r="J332" t="str">
        <f t="shared" si="134"/>
        <v>MAYBANK / MAYBANK ISLAMIC</v>
      </c>
      <c r="K332" t="str">
        <f>"162106939811"</f>
        <v>162106939811</v>
      </c>
      <c r="L332" t="str">
        <f t="shared" si="142"/>
        <v>04-08-2020</v>
      </c>
      <c r="M332" t="str">
        <f t="shared" si="142"/>
        <v>04-08-2020</v>
      </c>
      <c r="N332" t="str">
        <f t="shared" si="143"/>
        <v>001105018356</v>
      </c>
      <c r="O332" t="str">
        <f t="shared" si="144"/>
        <v>MYR</v>
      </c>
      <c r="P332" t="str">
        <f t="shared" si="145"/>
        <v>NIL</v>
      </c>
      <c r="Q332" t="str">
        <f t="shared" si="145"/>
        <v>NIL</v>
      </c>
      <c r="R332" t="str">
        <f t="shared" si="146"/>
        <v>Accepted</v>
      </c>
      <c r="S332" t="str">
        <f t="shared" si="147"/>
        <v>Approved</v>
      </c>
      <c r="T332" t="str">
        <f t="shared" si="148"/>
        <v>10.20.8.188</v>
      </c>
      <c r="U332" t="str">
        <f t="shared" si="149"/>
        <v>AZRAD UMAR BIN SHAARI</v>
      </c>
      <c r="V332" t="str">
        <f t="shared" si="150"/>
        <v>FARHANA BINTI MUSTAPA</v>
      </c>
      <c r="W332" t="str">
        <f t="shared" si="151"/>
        <v>04-08-2020</v>
      </c>
      <c r="X332" t="str">
        <f t="shared" si="152"/>
        <v>RAZIMAH ANSAR AHMAD</v>
      </c>
      <c r="Y332" t="str">
        <f t="shared" si="153"/>
        <v>04-08-2020</v>
      </c>
      <c r="Z332" t="str">
        <f>"IDSB19200804 320"</f>
        <v>IDSB19200804 320</v>
      </c>
    </row>
    <row r="333" spans="1:26" x14ac:dyDescent="0.25">
      <c r="A333" t="str">
        <f t="shared" si="137"/>
        <v>04-08-2020 01:21:07</v>
      </c>
      <c r="B333" t="str">
        <f>"0000810631"</f>
        <v>0000810631</v>
      </c>
      <c r="C333" t="str">
        <f t="shared" si="138"/>
        <v>0000810512</v>
      </c>
      <c r="D333" t="str">
        <f t="shared" si="139"/>
        <v>73185</v>
      </c>
      <c r="E333" t="str">
        <f t="shared" si="140"/>
        <v>KFH-OPERATIONS DEPARTMENT</v>
      </c>
      <c r="F333" t="str">
        <f t="shared" si="141"/>
        <v>IBG</v>
      </c>
      <c r="G333" t="str">
        <f t="shared" si="129"/>
        <v>Refund IDSB 19</v>
      </c>
      <c r="H333" s="2">
        <v>550.1</v>
      </c>
      <c r="I333" t="str">
        <f>"MOHD SANI BIN MANSOR"</f>
        <v>MOHD SANI BIN MANSOR</v>
      </c>
      <c r="J333" t="str">
        <f t="shared" si="134"/>
        <v>MAYBANK / MAYBANK ISLAMIC</v>
      </c>
      <c r="K333" t="str">
        <f>"154017314053"</f>
        <v>154017314053</v>
      </c>
      <c r="L333" t="str">
        <f t="shared" si="142"/>
        <v>04-08-2020</v>
      </c>
      <c r="M333" t="str">
        <f t="shared" si="142"/>
        <v>04-08-2020</v>
      </c>
      <c r="N333" t="str">
        <f t="shared" si="143"/>
        <v>001105018356</v>
      </c>
      <c r="O333" t="str">
        <f t="shared" si="144"/>
        <v>MYR</v>
      </c>
      <c r="P333" t="str">
        <f t="shared" si="145"/>
        <v>NIL</v>
      </c>
      <c r="Q333" t="str">
        <f t="shared" si="145"/>
        <v>NIL</v>
      </c>
      <c r="R333" t="str">
        <f t="shared" si="146"/>
        <v>Accepted</v>
      </c>
      <c r="S333" t="str">
        <f t="shared" si="147"/>
        <v>Approved</v>
      </c>
      <c r="T333" t="str">
        <f t="shared" si="148"/>
        <v>10.20.8.188</v>
      </c>
      <c r="U333" t="str">
        <f t="shared" si="149"/>
        <v>AZRAD UMAR BIN SHAARI</v>
      </c>
      <c r="V333" t="str">
        <f t="shared" si="150"/>
        <v>FARHANA BINTI MUSTAPA</v>
      </c>
      <c r="W333" t="str">
        <f t="shared" si="151"/>
        <v>04-08-2020</v>
      </c>
      <c r="X333" t="str">
        <f t="shared" si="152"/>
        <v>RAZIMAH ANSAR AHMAD</v>
      </c>
      <c r="Y333" t="str">
        <f t="shared" si="153"/>
        <v>04-08-2020</v>
      </c>
      <c r="Z333" t="str">
        <f>"IDSB19200804 319"</f>
        <v>IDSB19200804 319</v>
      </c>
    </row>
    <row r="334" spans="1:26" x14ac:dyDescent="0.25">
      <c r="A334" t="str">
        <f t="shared" si="137"/>
        <v>04-08-2020 01:21:07</v>
      </c>
      <c r="B334" t="str">
        <f>"0000810630"</f>
        <v>0000810630</v>
      </c>
      <c r="C334" t="str">
        <f t="shared" si="138"/>
        <v>0000810512</v>
      </c>
      <c r="D334" t="str">
        <f t="shared" si="139"/>
        <v>73185</v>
      </c>
      <c r="E334" t="str">
        <f t="shared" si="140"/>
        <v>KFH-OPERATIONS DEPARTMENT</v>
      </c>
      <c r="F334" t="str">
        <f t="shared" si="141"/>
        <v>IBG</v>
      </c>
      <c r="G334" t="str">
        <f t="shared" si="129"/>
        <v>Refund IDSB 19</v>
      </c>
      <c r="H334" s="2">
        <v>1040</v>
      </c>
      <c r="I334" t="str">
        <f>"MOHD SAIFUL RIZA BIN SAED"</f>
        <v>MOHD SAIFUL RIZA BIN SAED</v>
      </c>
      <c r="J334" t="str">
        <f t="shared" si="134"/>
        <v>MAYBANK / MAYBANK ISLAMIC</v>
      </c>
      <c r="K334" t="str">
        <f>"112268428854"</f>
        <v>112268428854</v>
      </c>
      <c r="L334" t="str">
        <f t="shared" si="142"/>
        <v>04-08-2020</v>
      </c>
      <c r="M334" t="str">
        <f t="shared" si="142"/>
        <v>04-08-2020</v>
      </c>
      <c r="N334" t="str">
        <f t="shared" si="143"/>
        <v>001105018356</v>
      </c>
      <c r="O334" t="str">
        <f t="shared" si="144"/>
        <v>MYR</v>
      </c>
      <c r="P334" t="str">
        <f t="shared" si="145"/>
        <v>NIL</v>
      </c>
      <c r="Q334" t="str">
        <f t="shared" si="145"/>
        <v>NIL</v>
      </c>
      <c r="R334" t="str">
        <f t="shared" si="146"/>
        <v>Accepted</v>
      </c>
      <c r="S334" t="str">
        <f t="shared" si="147"/>
        <v>Approved</v>
      </c>
      <c r="T334" t="str">
        <f t="shared" si="148"/>
        <v>10.20.8.188</v>
      </c>
      <c r="U334" t="str">
        <f t="shared" si="149"/>
        <v>AZRAD UMAR BIN SHAARI</v>
      </c>
      <c r="V334" t="str">
        <f t="shared" si="150"/>
        <v>FARHANA BINTI MUSTAPA</v>
      </c>
      <c r="W334" t="str">
        <f t="shared" si="151"/>
        <v>04-08-2020</v>
      </c>
      <c r="X334" t="str">
        <f t="shared" si="152"/>
        <v>RAZIMAH ANSAR AHMAD</v>
      </c>
      <c r="Y334" t="str">
        <f t="shared" si="153"/>
        <v>04-08-2020</v>
      </c>
      <c r="Z334" t="str">
        <f>"IDSB19200804 318"</f>
        <v>IDSB19200804 318</v>
      </c>
    </row>
    <row r="335" spans="1:26" x14ac:dyDescent="0.25">
      <c r="A335" t="str">
        <f t="shared" si="137"/>
        <v>04-08-2020 01:21:07</v>
      </c>
      <c r="B335" t="str">
        <f>"0000810629"</f>
        <v>0000810629</v>
      </c>
      <c r="C335" t="str">
        <f t="shared" si="138"/>
        <v>0000810512</v>
      </c>
      <c r="D335" t="str">
        <f t="shared" si="139"/>
        <v>73185</v>
      </c>
      <c r="E335" t="str">
        <f t="shared" si="140"/>
        <v>KFH-OPERATIONS DEPARTMENT</v>
      </c>
      <c r="F335" t="str">
        <f t="shared" si="141"/>
        <v>IBG</v>
      </c>
      <c r="G335" t="str">
        <f t="shared" si="129"/>
        <v>Refund IDSB 19</v>
      </c>
      <c r="H335" s="2">
        <v>747.15</v>
      </c>
      <c r="I335" t="str">
        <f>"MOHD SAFUAN BIN AMAT ASMAON"</f>
        <v>MOHD SAFUAN BIN AMAT ASMAON</v>
      </c>
      <c r="J335" t="str">
        <f t="shared" si="134"/>
        <v>MAYBANK / MAYBANK ISLAMIC</v>
      </c>
      <c r="K335" t="str">
        <f>"151418091556"</f>
        <v>151418091556</v>
      </c>
      <c r="L335" t="str">
        <f t="shared" si="142"/>
        <v>04-08-2020</v>
      </c>
      <c r="M335" t="str">
        <f t="shared" si="142"/>
        <v>04-08-2020</v>
      </c>
      <c r="N335" t="str">
        <f t="shared" si="143"/>
        <v>001105018356</v>
      </c>
      <c r="O335" t="str">
        <f t="shared" si="144"/>
        <v>MYR</v>
      </c>
      <c r="P335" t="str">
        <f t="shared" si="145"/>
        <v>NIL</v>
      </c>
      <c r="Q335" t="str">
        <f t="shared" si="145"/>
        <v>NIL</v>
      </c>
      <c r="R335" t="str">
        <f t="shared" si="146"/>
        <v>Accepted</v>
      </c>
      <c r="S335" t="str">
        <f t="shared" si="147"/>
        <v>Approved</v>
      </c>
      <c r="T335" t="str">
        <f t="shared" si="148"/>
        <v>10.20.8.188</v>
      </c>
      <c r="U335" t="str">
        <f t="shared" si="149"/>
        <v>AZRAD UMAR BIN SHAARI</v>
      </c>
      <c r="V335" t="str">
        <f t="shared" si="150"/>
        <v>FARHANA BINTI MUSTAPA</v>
      </c>
      <c r="W335" t="str">
        <f t="shared" si="151"/>
        <v>04-08-2020</v>
      </c>
      <c r="X335" t="str">
        <f t="shared" si="152"/>
        <v>RAZIMAH ANSAR AHMAD</v>
      </c>
      <c r="Y335" t="str">
        <f t="shared" si="153"/>
        <v>04-08-2020</v>
      </c>
      <c r="Z335" t="str">
        <f>"IDSB19200804 317"</f>
        <v>IDSB19200804 317</v>
      </c>
    </row>
    <row r="336" spans="1:26" x14ac:dyDescent="0.25">
      <c r="A336" t="str">
        <f t="shared" si="137"/>
        <v>04-08-2020 01:21:07</v>
      </c>
      <c r="B336" t="str">
        <f>"0000810628"</f>
        <v>0000810628</v>
      </c>
      <c r="C336" t="str">
        <f t="shared" si="138"/>
        <v>0000810512</v>
      </c>
      <c r="D336" t="str">
        <f t="shared" si="139"/>
        <v>73185</v>
      </c>
      <c r="E336" t="str">
        <f t="shared" si="140"/>
        <v>KFH-OPERATIONS DEPARTMENT</v>
      </c>
      <c r="F336" t="str">
        <f t="shared" si="141"/>
        <v>IBG</v>
      </c>
      <c r="G336" t="str">
        <f t="shared" si="129"/>
        <v>Refund IDSB 19</v>
      </c>
      <c r="H336" s="2">
        <v>789.15</v>
      </c>
      <c r="I336" t="str">
        <f>"MOHD RIZAL BIN ZAKARIA"</f>
        <v>MOHD RIZAL BIN ZAKARIA</v>
      </c>
      <c r="J336" t="str">
        <f t="shared" si="134"/>
        <v>MAYBANK / MAYBANK ISLAMIC</v>
      </c>
      <c r="K336" t="str">
        <f>"157091257475"</f>
        <v>157091257475</v>
      </c>
      <c r="L336" t="str">
        <f t="shared" si="142"/>
        <v>04-08-2020</v>
      </c>
      <c r="M336" t="str">
        <f t="shared" si="142"/>
        <v>04-08-2020</v>
      </c>
      <c r="N336" t="str">
        <f t="shared" si="143"/>
        <v>001105018356</v>
      </c>
      <c r="O336" t="str">
        <f t="shared" si="144"/>
        <v>MYR</v>
      </c>
      <c r="P336" t="str">
        <f t="shared" si="145"/>
        <v>NIL</v>
      </c>
      <c r="Q336" t="str">
        <f t="shared" si="145"/>
        <v>NIL</v>
      </c>
      <c r="R336" t="str">
        <f t="shared" si="146"/>
        <v>Accepted</v>
      </c>
      <c r="S336" t="str">
        <f t="shared" si="147"/>
        <v>Approved</v>
      </c>
      <c r="T336" t="str">
        <f t="shared" si="148"/>
        <v>10.20.8.188</v>
      </c>
      <c r="U336" t="str">
        <f t="shared" si="149"/>
        <v>AZRAD UMAR BIN SHAARI</v>
      </c>
      <c r="V336" t="str">
        <f t="shared" si="150"/>
        <v>FARHANA BINTI MUSTAPA</v>
      </c>
      <c r="W336" t="str">
        <f t="shared" si="151"/>
        <v>04-08-2020</v>
      </c>
      <c r="X336" t="str">
        <f t="shared" si="152"/>
        <v>RAZIMAH ANSAR AHMAD</v>
      </c>
      <c r="Y336" t="str">
        <f t="shared" si="153"/>
        <v>04-08-2020</v>
      </c>
      <c r="Z336" t="str">
        <f>"IDSB19200804 316"</f>
        <v>IDSB19200804 316</v>
      </c>
    </row>
    <row r="337" spans="1:26" x14ac:dyDescent="0.25">
      <c r="A337" t="str">
        <f t="shared" si="137"/>
        <v>04-08-2020 01:21:07</v>
      </c>
      <c r="B337" t="str">
        <f>"0000810627"</f>
        <v>0000810627</v>
      </c>
      <c r="C337" t="str">
        <f t="shared" si="138"/>
        <v>0000810512</v>
      </c>
      <c r="D337" t="str">
        <f t="shared" si="139"/>
        <v>73185</v>
      </c>
      <c r="E337" t="str">
        <f t="shared" si="140"/>
        <v>KFH-OPERATIONS DEPARTMENT</v>
      </c>
      <c r="F337" t="str">
        <f t="shared" si="141"/>
        <v>IBG</v>
      </c>
      <c r="G337" t="str">
        <f t="shared" si="129"/>
        <v>Refund IDSB 19</v>
      </c>
      <c r="H337" s="2">
        <v>354.66</v>
      </c>
      <c r="I337" t="str">
        <f>"MOHD RIDWAN BIN SEMAN  KAMARULZAMAN"</f>
        <v>MOHD RIDWAN BIN SEMAN  KAMARULZAMAN</v>
      </c>
      <c r="J337" t="str">
        <f t="shared" si="134"/>
        <v>MAYBANK / MAYBANK ISLAMIC</v>
      </c>
      <c r="K337" t="str">
        <f>"162106657016"</f>
        <v>162106657016</v>
      </c>
      <c r="L337" t="str">
        <f t="shared" si="142"/>
        <v>04-08-2020</v>
      </c>
      <c r="M337" t="str">
        <f t="shared" si="142"/>
        <v>04-08-2020</v>
      </c>
      <c r="N337" t="str">
        <f t="shared" si="143"/>
        <v>001105018356</v>
      </c>
      <c r="O337" t="str">
        <f t="shared" si="144"/>
        <v>MYR</v>
      </c>
      <c r="P337" t="str">
        <f t="shared" si="145"/>
        <v>NIL</v>
      </c>
      <c r="Q337" t="str">
        <f t="shared" si="145"/>
        <v>NIL</v>
      </c>
      <c r="R337" t="str">
        <f t="shared" si="146"/>
        <v>Accepted</v>
      </c>
      <c r="S337" t="str">
        <f t="shared" si="147"/>
        <v>Approved</v>
      </c>
      <c r="T337" t="str">
        <f t="shared" si="148"/>
        <v>10.20.8.188</v>
      </c>
      <c r="U337" t="str">
        <f t="shared" si="149"/>
        <v>AZRAD UMAR BIN SHAARI</v>
      </c>
      <c r="V337" t="str">
        <f t="shared" si="150"/>
        <v>FARHANA BINTI MUSTAPA</v>
      </c>
      <c r="W337" t="str">
        <f t="shared" si="151"/>
        <v>04-08-2020</v>
      </c>
      <c r="X337" t="str">
        <f t="shared" si="152"/>
        <v>RAZIMAH ANSAR AHMAD</v>
      </c>
      <c r="Y337" t="str">
        <f t="shared" si="153"/>
        <v>04-08-2020</v>
      </c>
      <c r="Z337" t="str">
        <f>"IDSB19200804 315"</f>
        <v>IDSB19200804 315</v>
      </c>
    </row>
    <row r="338" spans="1:26" x14ac:dyDescent="0.25">
      <c r="A338" t="str">
        <f t="shared" si="137"/>
        <v>04-08-2020 01:21:07</v>
      </c>
      <c r="B338" t="str">
        <f>"0000810626"</f>
        <v>0000810626</v>
      </c>
      <c r="C338" t="str">
        <f t="shared" si="138"/>
        <v>0000810512</v>
      </c>
      <c r="D338" t="str">
        <f t="shared" si="139"/>
        <v>73185</v>
      </c>
      <c r="E338" t="str">
        <f t="shared" si="140"/>
        <v>KFH-OPERATIONS DEPARTMENT</v>
      </c>
      <c r="F338" t="str">
        <f t="shared" si="141"/>
        <v>IBG</v>
      </c>
      <c r="G338" t="str">
        <f t="shared" si="129"/>
        <v>Refund IDSB 19</v>
      </c>
      <c r="H338" s="2">
        <v>119</v>
      </c>
      <c r="I338" t="str">
        <f>"MOHD REDZUAN BIN ZULKIFLY"</f>
        <v>MOHD REDZUAN BIN ZULKIFLY</v>
      </c>
      <c r="J338" t="str">
        <f t="shared" si="134"/>
        <v>MAYBANK / MAYBANK ISLAMIC</v>
      </c>
      <c r="K338" t="str">
        <f>"162058720028"</f>
        <v>162058720028</v>
      </c>
      <c r="L338" t="str">
        <f t="shared" si="142"/>
        <v>04-08-2020</v>
      </c>
      <c r="M338" t="str">
        <f t="shared" si="142"/>
        <v>04-08-2020</v>
      </c>
      <c r="N338" t="str">
        <f t="shared" si="143"/>
        <v>001105018356</v>
      </c>
      <c r="O338" t="str">
        <f t="shared" si="144"/>
        <v>MYR</v>
      </c>
      <c r="P338" t="str">
        <f t="shared" si="145"/>
        <v>NIL</v>
      </c>
      <c r="Q338" t="str">
        <f t="shared" si="145"/>
        <v>NIL</v>
      </c>
      <c r="R338" t="str">
        <f t="shared" si="146"/>
        <v>Accepted</v>
      </c>
      <c r="S338" t="str">
        <f t="shared" si="147"/>
        <v>Approved</v>
      </c>
      <c r="T338" t="str">
        <f t="shared" si="148"/>
        <v>10.20.8.188</v>
      </c>
      <c r="U338" t="str">
        <f t="shared" si="149"/>
        <v>AZRAD UMAR BIN SHAARI</v>
      </c>
      <c r="V338" t="str">
        <f t="shared" si="150"/>
        <v>FARHANA BINTI MUSTAPA</v>
      </c>
      <c r="W338" t="str">
        <f t="shared" si="151"/>
        <v>04-08-2020</v>
      </c>
      <c r="X338" t="str">
        <f t="shared" si="152"/>
        <v>RAZIMAH ANSAR AHMAD</v>
      </c>
      <c r="Y338" t="str">
        <f t="shared" si="153"/>
        <v>04-08-2020</v>
      </c>
      <c r="Z338" t="str">
        <f>"IDSB19200804 314"</f>
        <v>IDSB19200804 314</v>
      </c>
    </row>
    <row r="339" spans="1:26" x14ac:dyDescent="0.25">
      <c r="A339" t="str">
        <f t="shared" si="137"/>
        <v>04-08-2020 01:21:07</v>
      </c>
      <c r="B339" t="str">
        <f>"0000810625"</f>
        <v>0000810625</v>
      </c>
      <c r="C339" t="str">
        <f t="shared" si="138"/>
        <v>0000810512</v>
      </c>
      <c r="D339" t="str">
        <f t="shared" si="139"/>
        <v>73185</v>
      </c>
      <c r="E339" t="str">
        <f t="shared" si="140"/>
        <v>KFH-OPERATIONS DEPARTMENT</v>
      </c>
      <c r="F339" t="str">
        <f t="shared" si="141"/>
        <v>IBG</v>
      </c>
      <c r="G339" t="str">
        <f t="shared" si="129"/>
        <v>Refund IDSB 19</v>
      </c>
      <c r="H339" s="2">
        <v>839.5</v>
      </c>
      <c r="I339" t="str">
        <f>"MOHD REDZUAN BIN SHAHBUDDIN"</f>
        <v>MOHD REDZUAN BIN SHAHBUDDIN</v>
      </c>
      <c r="J339" t="str">
        <f t="shared" si="134"/>
        <v>MAYBANK / MAYBANK ISLAMIC</v>
      </c>
      <c r="K339" t="str">
        <f>"162188011207"</f>
        <v>162188011207</v>
      </c>
      <c r="L339" t="str">
        <f t="shared" si="142"/>
        <v>04-08-2020</v>
      </c>
      <c r="M339" t="str">
        <f t="shared" si="142"/>
        <v>04-08-2020</v>
      </c>
      <c r="N339" t="str">
        <f t="shared" si="143"/>
        <v>001105018356</v>
      </c>
      <c r="O339" t="str">
        <f t="shared" si="144"/>
        <v>MYR</v>
      </c>
      <c r="P339" t="str">
        <f t="shared" si="145"/>
        <v>NIL</v>
      </c>
      <c r="Q339" t="str">
        <f t="shared" si="145"/>
        <v>NIL</v>
      </c>
      <c r="R339" t="str">
        <f t="shared" si="146"/>
        <v>Accepted</v>
      </c>
      <c r="S339" t="str">
        <f t="shared" si="147"/>
        <v>Approved</v>
      </c>
      <c r="T339" t="str">
        <f t="shared" si="148"/>
        <v>10.20.8.188</v>
      </c>
      <c r="U339" t="str">
        <f t="shared" si="149"/>
        <v>AZRAD UMAR BIN SHAARI</v>
      </c>
      <c r="V339" t="str">
        <f t="shared" si="150"/>
        <v>FARHANA BINTI MUSTAPA</v>
      </c>
      <c r="W339" t="str">
        <f t="shared" si="151"/>
        <v>04-08-2020</v>
      </c>
      <c r="X339" t="str">
        <f t="shared" si="152"/>
        <v>RAZIMAH ANSAR AHMAD</v>
      </c>
      <c r="Y339" t="str">
        <f t="shared" si="153"/>
        <v>04-08-2020</v>
      </c>
      <c r="Z339" t="str">
        <f>"IDSB19200804 313"</f>
        <v>IDSB19200804 313</v>
      </c>
    </row>
    <row r="340" spans="1:26" x14ac:dyDescent="0.25">
      <c r="A340" t="str">
        <f t="shared" si="137"/>
        <v>04-08-2020 01:21:07</v>
      </c>
      <c r="B340" t="str">
        <f>"0000810624"</f>
        <v>0000810624</v>
      </c>
      <c r="C340" t="str">
        <f t="shared" si="138"/>
        <v>0000810512</v>
      </c>
      <c r="D340" t="str">
        <f t="shared" si="139"/>
        <v>73185</v>
      </c>
      <c r="E340" t="str">
        <f t="shared" si="140"/>
        <v>KFH-OPERATIONS DEPARTMENT</v>
      </c>
      <c r="F340" t="str">
        <f t="shared" si="141"/>
        <v>IBG</v>
      </c>
      <c r="G340" t="str">
        <f t="shared" si="129"/>
        <v>Refund IDSB 19</v>
      </c>
      <c r="H340" s="2">
        <v>898.3</v>
      </c>
      <c r="I340" t="str">
        <f>"MOHD RASOL BIN ISMAIL"</f>
        <v>MOHD RASOL BIN ISMAIL</v>
      </c>
      <c r="J340" t="str">
        <f t="shared" si="134"/>
        <v>MAYBANK / MAYBANK ISLAMIC</v>
      </c>
      <c r="K340" t="str">
        <f>"105082240302"</f>
        <v>105082240302</v>
      </c>
      <c r="L340" t="str">
        <f t="shared" si="142"/>
        <v>04-08-2020</v>
      </c>
      <c r="M340" t="str">
        <f t="shared" si="142"/>
        <v>04-08-2020</v>
      </c>
      <c r="N340" t="str">
        <f t="shared" si="143"/>
        <v>001105018356</v>
      </c>
      <c r="O340" t="str">
        <f t="shared" si="144"/>
        <v>MYR</v>
      </c>
      <c r="P340" t="str">
        <f t="shared" si="145"/>
        <v>NIL</v>
      </c>
      <c r="Q340" t="str">
        <f t="shared" si="145"/>
        <v>NIL</v>
      </c>
      <c r="R340" t="str">
        <f t="shared" si="146"/>
        <v>Accepted</v>
      </c>
      <c r="S340" t="str">
        <f t="shared" si="147"/>
        <v>Approved</v>
      </c>
      <c r="T340" t="str">
        <f t="shared" si="148"/>
        <v>10.20.8.188</v>
      </c>
      <c r="U340" t="str">
        <f t="shared" si="149"/>
        <v>AZRAD UMAR BIN SHAARI</v>
      </c>
      <c r="V340" t="str">
        <f t="shared" si="150"/>
        <v>FARHANA BINTI MUSTAPA</v>
      </c>
      <c r="W340" t="str">
        <f t="shared" si="151"/>
        <v>04-08-2020</v>
      </c>
      <c r="X340" t="str">
        <f t="shared" si="152"/>
        <v>RAZIMAH ANSAR AHMAD</v>
      </c>
      <c r="Y340" t="str">
        <f t="shared" si="153"/>
        <v>04-08-2020</v>
      </c>
      <c r="Z340" t="str">
        <f>"IDSB19200804 312"</f>
        <v>IDSB19200804 312</v>
      </c>
    </row>
    <row r="341" spans="1:26" x14ac:dyDescent="0.25">
      <c r="A341" t="str">
        <f t="shared" si="137"/>
        <v>04-08-2020 01:21:07</v>
      </c>
      <c r="B341" t="str">
        <f>"0000810623"</f>
        <v>0000810623</v>
      </c>
      <c r="C341" t="str">
        <f t="shared" si="138"/>
        <v>0000810512</v>
      </c>
      <c r="D341" t="str">
        <f t="shared" si="139"/>
        <v>73185</v>
      </c>
      <c r="E341" t="str">
        <f t="shared" si="140"/>
        <v>KFH-OPERATIONS DEPARTMENT</v>
      </c>
      <c r="F341" t="str">
        <f t="shared" si="141"/>
        <v>IBG</v>
      </c>
      <c r="G341" t="str">
        <f t="shared" si="129"/>
        <v>Refund IDSB 19</v>
      </c>
      <c r="H341" s="2">
        <v>427.98</v>
      </c>
      <c r="I341" t="str">
        <f>"MOHD RAFI BIN JOHARI"</f>
        <v>MOHD RAFI BIN JOHARI</v>
      </c>
      <c r="J341" t="str">
        <f t="shared" si="134"/>
        <v>MAYBANK / MAYBANK ISLAMIC</v>
      </c>
      <c r="K341" t="str">
        <f>"105047140333"</f>
        <v>105047140333</v>
      </c>
      <c r="L341" t="str">
        <f t="shared" si="142"/>
        <v>04-08-2020</v>
      </c>
      <c r="M341" t="str">
        <f t="shared" si="142"/>
        <v>04-08-2020</v>
      </c>
      <c r="N341" t="str">
        <f t="shared" si="143"/>
        <v>001105018356</v>
      </c>
      <c r="O341" t="str">
        <f t="shared" si="144"/>
        <v>MYR</v>
      </c>
      <c r="P341" t="str">
        <f t="shared" si="145"/>
        <v>NIL</v>
      </c>
      <c r="Q341" t="str">
        <f t="shared" si="145"/>
        <v>NIL</v>
      </c>
      <c r="R341" t="str">
        <f t="shared" si="146"/>
        <v>Accepted</v>
      </c>
      <c r="S341" t="str">
        <f t="shared" si="147"/>
        <v>Approved</v>
      </c>
      <c r="T341" t="str">
        <f t="shared" si="148"/>
        <v>10.20.8.188</v>
      </c>
      <c r="U341" t="str">
        <f t="shared" si="149"/>
        <v>AZRAD UMAR BIN SHAARI</v>
      </c>
      <c r="V341" t="str">
        <f t="shared" si="150"/>
        <v>FARHANA BINTI MUSTAPA</v>
      </c>
      <c r="W341" t="str">
        <f t="shared" si="151"/>
        <v>04-08-2020</v>
      </c>
      <c r="X341" t="str">
        <f t="shared" si="152"/>
        <v>RAZIMAH ANSAR AHMAD</v>
      </c>
      <c r="Y341" t="str">
        <f t="shared" si="153"/>
        <v>04-08-2020</v>
      </c>
      <c r="Z341" t="str">
        <f>"IDSB19200804 311"</f>
        <v>IDSB19200804 311</v>
      </c>
    </row>
    <row r="342" spans="1:26" x14ac:dyDescent="0.25">
      <c r="A342" t="str">
        <f t="shared" si="137"/>
        <v>04-08-2020 01:21:07</v>
      </c>
      <c r="B342" t="str">
        <f>"0000810622"</f>
        <v>0000810622</v>
      </c>
      <c r="C342" t="str">
        <f t="shared" si="138"/>
        <v>0000810512</v>
      </c>
      <c r="D342" t="str">
        <f t="shared" si="139"/>
        <v>73185</v>
      </c>
      <c r="E342" t="str">
        <f t="shared" si="140"/>
        <v>KFH-OPERATIONS DEPARTMENT</v>
      </c>
      <c r="F342" t="str">
        <f t="shared" si="141"/>
        <v>IBG</v>
      </c>
      <c r="G342" t="str">
        <f t="shared" si="129"/>
        <v>Refund IDSB 19</v>
      </c>
      <c r="H342" s="2">
        <v>1434.97</v>
      </c>
      <c r="I342" t="str">
        <f>"MOHD NIZAM BIN TAJUL ARUS"</f>
        <v>MOHD NIZAM BIN TAJUL ARUS</v>
      </c>
      <c r="J342" t="str">
        <f t="shared" si="134"/>
        <v>MAYBANK / MAYBANK ISLAMIC</v>
      </c>
      <c r="K342" t="str">
        <f>"112268431990"</f>
        <v>112268431990</v>
      </c>
      <c r="L342" t="str">
        <f t="shared" si="142"/>
        <v>04-08-2020</v>
      </c>
      <c r="M342" t="str">
        <f t="shared" si="142"/>
        <v>04-08-2020</v>
      </c>
      <c r="N342" t="str">
        <f t="shared" si="143"/>
        <v>001105018356</v>
      </c>
      <c r="O342" t="str">
        <f t="shared" si="144"/>
        <v>MYR</v>
      </c>
      <c r="P342" t="str">
        <f t="shared" si="145"/>
        <v>NIL</v>
      </c>
      <c r="Q342" t="str">
        <f t="shared" si="145"/>
        <v>NIL</v>
      </c>
      <c r="R342" t="str">
        <f t="shared" si="146"/>
        <v>Accepted</v>
      </c>
      <c r="S342" t="str">
        <f t="shared" si="147"/>
        <v>Approved</v>
      </c>
      <c r="T342" t="str">
        <f t="shared" si="148"/>
        <v>10.20.8.188</v>
      </c>
      <c r="U342" t="str">
        <f t="shared" si="149"/>
        <v>AZRAD UMAR BIN SHAARI</v>
      </c>
      <c r="V342" t="str">
        <f t="shared" si="150"/>
        <v>FARHANA BINTI MUSTAPA</v>
      </c>
      <c r="W342" t="str">
        <f t="shared" si="151"/>
        <v>04-08-2020</v>
      </c>
      <c r="X342" t="str">
        <f t="shared" si="152"/>
        <v>RAZIMAH ANSAR AHMAD</v>
      </c>
      <c r="Y342" t="str">
        <f t="shared" si="153"/>
        <v>04-08-2020</v>
      </c>
      <c r="Z342" t="str">
        <f>"IDSB19200804 310"</f>
        <v>IDSB19200804 310</v>
      </c>
    </row>
    <row r="343" spans="1:26" x14ac:dyDescent="0.25">
      <c r="A343" t="str">
        <f t="shared" si="137"/>
        <v>04-08-2020 01:21:07</v>
      </c>
      <c r="B343" t="str">
        <f>"0000810621"</f>
        <v>0000810621</v>
      </c>
      <c r="C343" t="str">
        <f t="shared" si="138"/>
        <v>0000810512</v>
      </c>
      <c r="D343" t="str">
        <f t="shared" si="139"/>
        <v>73185</v>
      </c>
      <c r="E343" t="str">
        <f t="shared" si="140"/>
        <v>KFH-OPERATIONS DEPARTMENT</v>
      </c>
      <c r="F343" t="str">
        <f t="shared" si="141"/>
        <v>IBG</v>
      </c>
      <c r="G343" t="str">
        <f t="shared" si="129"/>
        <v>Refund IDSB 19</v>
      </c>
      <c r="H343" s="2">
        <v>82.32</v>
      </c>
      <c r="I343" t="str">
        <f>"MOHD NAJID BIN IBRAHIM"</f>
        <v>MOHD NAJID BIN IBRAHIM</v>
      </c>
      <c r="J343" t="str">
        <f t="shared" si="134"/>
        <v>MAYBANK / MAYBANK ISLAMIC</v>
      </c>
      <c r="K343" t="str">
        <f>"151463087808"</f>
        <v>151463087808</v>
      </c>
      <c r="L343" t="str">
        <f t="shared" si="142"/>
        <v>04-08-2020</v>
      </c>
      <c r="M343" t="str">
        <f t="shared" si="142"/>
        <v>04-08-2020</v>
      </c>
      <c r="N343" t="str">
        <f t="shared" si="143"/>
        <v>001105018356</v>
      </c>
      <c r="O343" t="str">
        <f t="shared" si="144"/>
        <v>MYR</v>
      </c>
      <c r="P343" t="str">
        <f t="shared" si="145"/>
        <v>NIL</v>
      </c>
      <c r="Q343" t="str">
        <f t="shared" si="145"/>
        <v>NIL</v>
      </c>
      <c r="R343" t="str">
        <f t="shared" si="146"/>
        <v>Accepted</v>
      </c>
      <c r="S343" t="str">
        <f t="shared" si="147"/>
        <v>Approved</v>
      </c>
      <c r="T343" t="str">
        <f t="shared" si="148"/>
        <v>10.20.8.188</v>
      </c>
      <c r="U343" t="str">
        <f t="shared" si="149"/>
        <v>AZRAD UMAR BIN SHAARI</v>
      </c>
      <c r="V343" t="str">
        <f t="shared" si="150"/>
        <v>FARHANA BINTI MUSTAPA</v>
      </c>
      <c r="W343" t="str">
        <f t="shared" si="151"/>
        <v>04-08-2020</v>
      </c>
      <c r="X343" t="str">
        <f t="shared" si="152"/>
        <v>RAZIMAH ANSAR AHMAD</v>
      </c>
      <c r="Y343" t="str">
        <f t="shared" si="153"/>
        <v>04-08-2020</v>
      </c>
      <c r="Z343" t="str">
        <f>"IDSB19200804 309"</f>
        <v>IDSB19200804 309</v>
      </c>
    </row>
    <row r="344" spans="1:26" x14ac:dyDescent="0.25">
      <c r="A344" t="str">
        <f t="shared" si="137"/>
        <v>04-08-2020 01:21:07</v>
      </c>
      <c r="B344" t="str">
        <f>"0000810620"</f>
        <v>0000810620</v>
      </c>
      <c r="C344" t="str">
        <f t="shared" si="138"/>
        <v>0000810512</v>
      </c>
      <c r="D344" t="str">
        <f t="shared" si="139"/>
        <v>73185</v>
      </c>
      <c r="E344" t="str">
        <f t="shared" si="140"/>
        <v>KFH-OPERATIONS DEPARTMENT</v>
      </c>
      <c r="F344" t="str">
        <f t="shared" si="141"/>
        <v>IBG</v>
      </c>
      <c r="G344" t="str">
        <f t="shared" ref="G344:G407" si="154">"Refund IDSB 19"</f>
        <v>Refund IDSB 19</v>
      </c>
      <c r="H344" s="2">
        <v>83.95</v>
      </c>
      <c r="I344" t="str">
        <f>"MOHD IKHSAN BIN IDRIS"</f>
        <v>MOHD IKHSAN BIN IDRIS</v>
      </c>
      <c r="J344" t="str">
        <f t="shared" si="134"/>
        <v>MAYBANK / MAYBANK ISLAMIC</v>
      </c>
      <c r="K344" t="str">
        <f>"162263312150"</f>
        <v>162263312150</v>
      </c>
      <c r="L344" t="str">
        <f t="shared" si="142"/>
        <v>04-08-2020</v>
      </c>
      <c r="M344" t="str">
        <f t="shared" si="142"/>
        <v>04-08-2020</v>
      </c>
      <c r="N344" t="str">
        <f t="shared" si="143"/>
        <v>001105018356</v>
      </c>
      <c r="O344" t="str">
        <f t="shared" si="144"/>
        <v>MYR</v>
      </c>
      <c r="P344" t="str">
        <f t="shared" si="145"/>
        <v>NIL</v>
      </c>
      <c r="Q344" t="str">
        <f t="shared" si="145"/>
        <v>NIL</v>
      </c>
      <c r="R344" t="str">
        <f t="shared" si="146"/>
        <v>Accepted</v>
      </c>
      <c r="S344" t="str">
        <f t="shared" si="147"/>
        <v>Approved</v>
      </c>
      <c r="T344" t="str">
        <f t="shared" si="148"/>
        <v>10.20.8.188</v>
      </c>
      <c r="U344" t="str">
        <f t="shared" si="149"/>
        <v>AZRAD UMAR BIN SHAARI</v>
      </c>
      <c r="V344" t="str">
        <f t="shared" si="150"/>
        <v>FARHANA BINTI MUSTAPA</v>
      </c>
      <c r="W344" t="str">
        <f t="shared" si="151"/>
        <v>04-08-2020</v>
      </c>
      <c r="X344" t="str">
        <f t="shared" si="152"/>
        <v>RAZIMAH ANSAR AHMAD</v>
      </c>
      <c r="Y344" t="str">
        <f t="shared" si="153"/>
        <v>04-08-2020</v>
      </c>
      <c r="Z344" t="str">
        <f>"IDSB19200804 308"</f>
        <v>IDSB19200804 308</v>
      </c>
    </row>
    <row r="345" spans="1:26" x14ac:dyDescent="0.25">
      <c r="A345" t="str">
        <f t="shared" si="137"/>
        <v>04-08-2020 01:21:07</v>
      </c>
      <c r="B345" t="str">
        <f>"0000810619"</f>
        <v>0000810619</v>
      </c>
      <c r="C345" t="str">
        <f t="shared" si="138"/>
        <v>0000810512</v>
      </c>
      <c r="D345" t="str">
        <f t="shared" si="139"/>
        <v>73185</v>
      </c>
      <c r="E345" t="str">
        <f t="shared" si="140"/>
        <v>KFH-OPERATIONS DEPARTMENT</v>
      </c>
      <c r="F345" t="str">
        <f t="shared" si="141"/>
        <v>IBG</v>
      </c>
      <c r="G345" t="str">
        <f t="shared" si="154"/>
        <v>Refund IDSB 19</v>
      </c>
      <c r="H345" s="2">
        <v>688.13</v>
      </c>
      <c r="I345" t="str">
        <f>"MOHD HUSSIN BIN JOHOR"</f>
        <v>MOHD HUSSIN BIN JOHOR</v>
      </c>
      <c r="J345" t="str">
        <f t="shared" si="134"/>
        <v>MAYBANK / MAYBANK ISLAMIC</v>
      </c>
      <c r="K345" t="str">
        <f>"164388837075"</f>
        <v>164388837075</v>
      </c>
      <c r="L345" t="str">
        <f t="shared" si="142"/>
        <v>04-08-2020</v>
      </c>
      <c r="M345" t="str">
        <f t="shared" si="142"/>
        <v>04-08-2020</v>
      </c>
      <c r="N345" t="str">
        <f t="shared" si="143"/>
        <v>001105018356</v>
      </c>
      <c r="O345" t="str">
        <f t="shared" si="144"/>
        <v>MYR</v>
      </c>
      <c r="P345" t="str">
        <f t="shared" si="145"/>
        <v>NIL</v>
      </c>
      <c r="Q345" t="str">
        <f t="shared" si="145"/>
        <v>NIL</v>
      </c>
      <c r="R345" t="str">
        <f t="shared" si="146"/>
        <v>Accepted</v>
      </c>
      <c r="S345" t="str">
        <f t="shared" si="147"/>
        <v>Approved</v>
      </c>
      <c r="T345" t="str">
        <f t="shared" si="148"/>
        <v>10.20.8.188</v>
      </c>
      <c r="U345" t="str">
        <f t="shared" si="149"/>
        <v>AZRAD UMAR BIN SHAARI</v>
      </c>
      <c r="V345" t="str">
        <f t="shared" si="150"/>
        <v>FARHANA BINTI MUSTAPA</v>
      </c>
      <c r="W345" t="str">
        <f t="shared" si="151"/>
        <v>04-08-2020</v>
      </c>
      <c r="X345" t="str">
        <f t="shared" si="152"/>
        <v>RAZIMAH ANSAR AHMAD</v>
      </c>
      <c r="Y345" t="str">
        <f t="shared" si="153"/>
        <v>04-08-2020</v>
      </c>
      <c r="Z345" t="str">
        <f>"IDSB19200804 307"</f>
        <v>IDSB19200804 307</v>
      </c>
    </row>
    <row r="346" spans="1:26" x14ac:dyDescent="0.25">
      <c r="A346" t="str">
        <f t="shared" si="137"/>
        <v>04-08-2020 01:21:07</v>
      </c>
      <c r="B346" t="str">
        <f>"0000810618"</f>
        <v>0000810618</v>
      </c>
      <c r="C346" t="str">
        <f t="shared" si="138"/>
        <v>0000810512</v>
      </c>
      <c r="D346" t="str">
        <f t="shared" si="139"/>
        <v>73185</v>
      </c>
      <c r="E346" t="str">
        <f t="shared" si="140"/>
        <v>KFH-OPERATIONS DEPARTMENT</v>
      </c>
      <c r="F346" t="str">
        <f t="shared" si="141"/>
        <v>IBG</v>
      </c>
      <c r="G346" t="str">
        <f t="shared" si="154"/>
        <v>Refund IDSB 19</v>
      </c>
      <c r="H346" s="2">
        <v>698</v>
      </c>
      <c r="I346" t="str">
        <f>"MOHD HISYAM BIN MAZLAN"</f>
        <v>MOHD HISYAM BIN MAZLAN</v>
      </c>
      <c r="J346" t="str">
        <f t="shared" si="134"/>
        <v>MAYBANK / MAYBANK ISLAMIC</v>
      </c>
      <c r="K346" t="str">
        <f>"151043907544"</f>
        <v>151043907544</v>
      </c>
      <c r="L346" t="str">
        <f t="shared" si="142"/>
        <v>04-08-2020</v>
      </c>
      <c r="M346" t="str">
        <f t="shared" si="142"/>
        <v>04-08-2020</v>
      </c>
      <c r="N346" t="str">
        <f t="shared" si="143"/>
        <v>001105018356</v>
      </c>
      <c r="O346" t="str">
        <f t="shared" si="144"/>
        <v>MYR</v>
      </c>
      <c r="P346" t="str">
        <f t="shared" si="145"/>
        <v>NIL</v>
      </c>
      <c r="Q346" t="str">
        <f t="shared" si="145"/>
        <v>NIL</v>
      </c>
      <c r="R346" t="str">
        <f t="shared" si="146"/>
        <v>Accepted</v>
      </c>
      <c r="S346" t="str">
        <f t="shared" si="147"/>
        <v>Approved</v>
      </c>
      <c r="T346" t="str">
        <f t="shared" si="148"/>
        <v>10.20.8.188</v>
      </c>
      <c r="U346" t="str">
        <f t="shared" si="149"/>
        <v>AZRAD UMAR BIN SHAARI</v>
      </c>
      <c r="V346" t="str">
        <f t="shared" si="150"/>
        <v>FARHANA BINTI MUSTAPA</v>
      </c>
      <c r="W346" t="str">
        <f t="shared" si="151"/>
        <v>04-08-2020</v>
      </c>
      <c r="X346" t="str">
        <f t="shared" si="152"/>
        <v>RAZIMAH ANSAR AHMAD</v>
      </c>
      <c r="Y346" t="str">
        <f t="shared" si="153"/>
        <v>04-08-2020</v>
      </c>
      <c r="Z346" t="str">
        <f>"IDSB19200804 306"</f>
        <v>IDSB19200804 306</v>
      </c>
    </row>
    <row r="347" spans="1:26" x14ac:dyDescent="0.25">
      <c r="A347" t="str">
        <f t="shared" si="137"/>
        <v>04-08-2020 01:21:07</v>
      </c>
      <c r="B347" t="str">
        <f>"0000810617"</f>
        <v>0000810617</v>
      </c>
      <c r="C347" t="str">
        <f t="shared" si="138"/>
        <v>0000810512</v>
      </c>
      <c r="D347" t="str">
        <f t="shared" si="139"/>
        <v>73185</v>
      </c>
      <c r="E347" t="str">
        <f t="shared" si="140"/>
        <v>KFH-OPERATIONS DEPARTMENT</v>
      </c>
      <c r="F347" t="str">
        <f t="shared" si="141"/>
        <v>IBG</v>
      </c>
      <c r="G347" t="str">
        <f t="shared" si="154"/>
        <v>Refund IDSB 19</v>
      </c>
      <c r="H347" s="2">
        <v>886.69</v>
      </c>
      <c r="I347" t="str">
        <f>"MOHD HAFIZI BIN HAMZAH"</f>
        <v>MOHD HAFIZI BIN HAMZAH</v>
      </c>
      <c r="J347" t="str">
        <f t="shared" si="134"/>
        <v>MAYBANK / MAYBANK ISLAMIC</v>
      </c>
      <c r="K347" t="str">
        <f>"162263516384"</f>
        <v>162263516384</v>
      </c>
      <c r="L347" t="str">
        <f t="shared" ref="L347:M366" si="155">"04-08-2020"</f>
        <v>04-08-2020</v>
      </c>
      <c r="M347" t="str">
        <f t="shared" si="155"/>
        <v>04-08-2020</v>
      </c>
      <c r="N347" t="str">
        <f t="shared" si="143"/>
        <v>001105018356</v>
      </c>
      <c r="O347" t="str">
        <f t="shared" si="144"/>
        <v>MYR</v>
      </c>
      <c r="P347" t="str">
        <f t="shared" ref="P347:Q366" si="156">"NIL"</f>
        <v>NIL</v>
      </c>
      <c r="Q347" t="str">
        <f t="shared" si="156"/>
        <v>NIL</v>
      </c>
      <c r="R347" t="str">
        <f t="shared" si="146"/>
        <v>Accepted</v>
      </c>
      <c r="S347" t="str">
        <f t="shared" si="147"/>
        <v>Approved</v>
      </c>
      <c r="T347" t="str">
        <f t="shared" si="148"/>
        <v>10.20.8.188</v>
      </c>
      <c r="U347" t="str">
        <f t="shared" si="149"/>
        <v>AZRAD UMAR BIN SHAARI</v>
      </c>
      <c r="V347" t="str">
        <f t="shared" si="150"/>
        <v>FARHANA BINTI MUSTAPA</v>
      </c>
      <c r="W347" t="str">
        <f t="shared" si="151"/>
        <v>04-08-2020</v>
      </c>
      <c r="X347" t="str">
        <f t="shared" si="152"/>
        <v>RAZIMAH ANSAR AHMAD</v>
      </c>
      <c r="Y347" t="str">
        <f t="shared" si="153"/>
        <v>04-08-2020</v>
      </c>
      <c r="Z347" t="str">
        <f>"IDSB19200804 305"</f>
        <v>IDSB19200804 305</v>
      </c>
    </row>
    <row r="348" spans="1:26" x14ac:dyDescent="0.25">
      <c r="A348" t="str">
        <f t="shared" ref="A348:A379" si="157">"04-08-2020 01:21:07"</f>
        <v>04-08-2020 01:21:07</v>
      </c>
      <c r="B348" t="str">
        <f>"0000810616"</f>
        <v>0000810616</v>
      </c>
      <c r="C348" t="str">
        <f t="shared" ref="C348:C379" si="158">"0000810512"</f>
        <v>0000810512</v>
      </c>
      <c r="D348" t="str">
        <f t="shared" si="139"/>
        <v>73185</v>
      </c>
      <c r="E348" t="str">
        <f t="shared" si="140"/>
        <v>KFH-OPERATIONS DEPARTMENT</v>
      </c>
      <c r="F348" t="str">
        <f t="shared" si="141"/>
        <v>IBG</v>
      </c>
      <c r="G348" t="str">
        <f t="shared" si="154"/>
        <v>Refund IDSB 19</v>
      </c>
      <c r="H348" s="2">
        <v>1443.37</v>
      </c>
      <c r="I348" t="str">
        <f>"MOHD HAFIZ B AHMAD"</f>
        <v>MOHD HAFIZ B AHMAD</v>
      </c>
      <c r="J348" t="str">
        <f t="shared" si="134"/>
        <v>MAYBANK / MAYBANK ISLAMIC</v>
      </c>
      <c r="K348" t="str">
        <f>"154026323216"</f>
        <v>154026323216</v>
      </c>
      <c r="L348" t="str">
        <f t="shared" si="155"/>
        <v>04-08-2020</v>
      </c>
      <c r="M348" t="str">
        <f t="shared" si="155"/>
        <v>04-08-2020</v>
      </c>
      <c r="N348" t="str">
        <f t="shared" si="143"/>
        <v>001105018356</v>
      </c>
      <c r="O348" t="str">
        <f t="shared" si="144"/>
        <v>MYR</v>
      </c>
      <c r="P348" t="str">
        <f t="shared" si="156"/>
        <v>NIL</v>
      </c>
      <c r="Q348" t="str">
        <f t="shared" si="156"/>
        <v>NIL</v>
      </c>
      <c r="R348" t="str">
        <f t="shared" si="146"/>
        <v>Accepted</v>
      </c>
      <c r="S348" t="str">
        <f t="shared" si="147"/>
        <v>Approved</v>
      </c>
      <c r="T348" t="str">
        <f t="shared" si="148"/>
        <v>10.20.8.188</v>
      </c>
      <c r="U348" t="str">
        <f t="shared" si="149"/>
        <v>AZRAD UMAR BIN SHAARI</v>
      </c>
      <c r="V348" t="str">
        <f t="shared" si="150"/>
        <v>FARHANA BINTI MUSTAPA</v>
      </c>
      <c r="W348" t="str">
        <f t="shared" si="151"/>
        <v>04-08-2020</v>
      </c>
      <c r="X348" t="str">
        <f t="shared" si="152"/>
        <v>RAZIMAH ANSAR AHMAD</v>
      </c>
      <c r="Y348" t="str">
        <f t="shared" si="153"/>
        <v>04-08-2020</v>
      </c>
      <c r="Z348" t="str">
        <f>"IDSB19200804 304"</f>
        <v>IDSB19200804 304</v>
      </c>
    </row>
    <row r="349" spans="1:26" x14ac:dyDescent="0.25">
      <c r="A349" t="str">
        <f t="shared" si="157"/>
        <v>04-08-2020 01:21:07</v>
      </c>
      <c r="B349" t="str">
        <f>"0000810615"</f>
        <v>0000810615</v>
      </c>
      <c r="C349" t="str">
        <f t="shared" si="158"/>
        <v>0000810512</v>
      </c>
      <c r="D349" t="str">
        <f t="shared" si="139"/>
        <v>73185</v>
      </c>
      <c r="E349" t="str">
        <f t="shared" si="140"/>
        <v>KFH-OPERATIONS DEPARTMENT</v>
      </c>
      <c r="F349" t="str">
        <f t="shared" si="141"/>
        <v>IBG</v>
      </c>
      <c r="G349" t="str">
        <f t="shared" si="154"/>
        <v>Refund IDSB 19</v>
      </c>
      <c r="H349" s="2">
        <v>190.55</v>
      </c>
      <c r="I349" t="str">
        <f>"MOHD FIRDAUS BIN MD SAID"</f>
        <v>MOHD FIRDAUS BIN MD SAID</v>
      </c>
      <c r="J349" t="str">
        <f t="shared" si="134"/>
        <v>MAYBANK / MAYBANK ISLAMIC</v>
      </c>
      <c r="K349" t="str">
        <f>"169963013776"</f>
        <v>169963013776</v>
      </c>
      <c r="L349" t="str">
        <f t="shared" si="155"/>
        <v>04-08-2020</v>
      </c>
      <c r="M349" t="str">
        <f t="shared" si="155"/>
        <v>04-08-2020</v>
      </c>
      <c r="N349" t="str">
        <f t="shared" si="143"/>
        <v>001105018356</v>
      </c>
      <c r="O349" t="str">
        <f t="shared" si="144"/>
        <v>MYR</v>
      </c>
      <c r="P349" t="str">
        <f t="shared" si="156"/>
        <v>NIL</v>
      </c>
      <c r="Q349" t="str">
        <f t="shared" si="156"/>
        <v>NIL</v>
      </c>
      <c r="R349" t="str">
        <f t="shared" si="146"/>
        <v>Accepted</v>
      </c>
      <c r="S349" t="str">
        <f t="shared" si="147"/>
        <v>Approved</v>
      </c>
      <c r="T349" t="str">
        <f t="shared" si="148"/>
        <v>10.20.8.188</v>
      </c>
      <c r="U349" t="str">
        <f t="shared" si="149"/>
        <v>AZRAD UMAR BIN SHAARI</v>
      </c>
      <c r="V349" t="str">
        <f t="shared" si="150"/>
        <v>FARHANA BINTI MUSTAPA</v>
      </c>
      <c r="W349" t="str">
        <f t="shared" si="151"/>
        <v>04-08-2020</v>
      </c>
      <c r="X349" t="str">
        <f t="shared" si="152"/>
        <v>RAZIMAH ANSAR AHMAD</v>
      </c>
      <c r="Y349" t="str">
        <f t="shared" si="153"/>
        <v>04-08-2020</v>
      </c>
      <c r="Z349" t="str">
        <f>"IDSB19200804 303"</f>
        <v>IDSB19200804 303</v>
      </c>
    </row>
    <row r="350" spans="1:26" x14ac:dyDescent="0.25">
      <c r="A350" t="str">
        <f t="shared" si="157"/>
        <v>04-08-2020 01:21:07</v>
      </c>
      <c r="B350" t="str">
        <f>"0000810614"</f>
        <v>0000810614</v>
      </c>
      <c r="C350" t="str">
        <f t="shared" si="158"/>
        <v>0000810512</v>
      </c>
      <c r="D350" t="str">
        <f t="shared" si="139"/>
        <v>73185</v>
      </c>
      <c r="E350" t="str">
        <f t="shared" si="140"/>
        <v>KFH-OPERATIONS DEPARTMENT</v>
      </c>
      <c r="F350" t="str">
        <f t="shared" si="141"/>
        <v>IBG</v>
      </c>
      <c r="G350" t="str">
        <f t="shared" si="154"/>
        <v>Refund IDSB 19</v>
      </c>
      <c r="H350" s="2">
        <v>491.15</v>
      </c>
      <c r="I350" t="str">
        <f>"MOHD FIRDAUS BIN JAMIL"</f>
        <v>MOHD FIRDAUS BIN JAMIL</v>
      </c>
      <c r="J350" t="str">
        <f t="shared" si="134"/>
        <v>MAYBANK / MAYBANK ISLAMIC</v>
      </c>
      <c r="K350" t="str">
        <f>"162263111814"</f>
        <v>162263111814</v>
      </c>
      <c r="L350" t="str">
        <f t="shared" si="155"/>
        <v>04-08-2020</v>
      </c>
      <c r="M350" t="str">
        <f t="shared" si="155"/>
        <v>04-08-2020</v>
      </c>
      <c r="N350" t="str">
        <f t="shared" si="143"/>
        <v>001105018356</v>
      </c>
      <c r="O350" t="str">
        <f t="shared" si="144"/>
        <v>MYR</v>
      </c>
      <c r="P350" t="str">
        <f t="shared" si="156"/>
        <v>NIL</v>
      </c>
      <c r="Q350" t="str">
        <f t="shared" si="156"/>
        <v>NIL</v>
      </c>
      <c r="R350" t="str">
        <f t="shared" si="146"/>
        <v>Accepted</v>
      </c>
      <c r="S350" t="str">
        <f t="shared" si="147"/>
        <v>Approved</v>
      </c>
      <c r="T350" t="str">
        <f t="shared" si="148"/>
        <v>10.20.8.188</v>
      </c>
      <c r="U350" t="str">
        <f t="shared" si="149"/>
        <v>AZRAD UMAR BIN SHAARI</v>
      </c>
      <c r="V350" t="str">
        <f t="shared" si="150"/>
        <v>FARHANA BINTI MUSTAPA</v>
      </c>
      <c r="W350" t="str">
        <f t="shared" si="151"/>
        <v>04-08-2020</v>
      </c>
      <c r="X350" t="str">
        <f t="shared" si="152"/>
        <v>RAZIMAH ANSAR AHMAD</v>
      </c>
      <c r="Y350" t="str">
        <f t="shared" si="153"/>
        <v>04-08-2020</v>
      </c>
      <c r="Z350" t="str">
        <f>"IDSB19200804 302"</f>
        <v>IDSB19200804 302</v>
      </c>
    </row>
    <row r="351" spans="1:26" x14ac:dyDescent="0.25">
      <c r="A351" t="str">
        <f t="shared" si="157"/>
        <v>04-08-2020 01:21:07</v>
      </c>
      <c r="B351" t="str">
        <f>"0000810613"</f>
        <v>0000810613</v>
      </c>
      <c r="C351" t="str">
        <f t="shared" si="158"/>
        <v>0000810512</v>
      </c>
      <c r="D351" t="str">
        <f t="shared" si="139"/>
        <v>73185</v>
      </c>
      <c r="E351" t="str">
        <f t="shared" si="140"/>
        <v>KFH-OPERATIONS DEPARTMENT</v>
      </c>
      <c r="F351" t="str">
        <f t="shared" si="141"/>
        <v>IBG</v>
      </c>
      <c r="G351" t="str">
        <f t="shared" si="154"/>
        <v>Refund IDSB 19</v>
      </c>
      <c r="H351" s="2">
        <v>642</v>
      </c>
      <c r="I351" t="str">
        <f>"MOHD FAUZI BIN ZAFFERI"</f>
        <v>MOHD FAUZI BIN ZAFFERI</v>
      </c>
      <c r="J351" t="str">
        <f t="shared" si="134"/>
        <v>MAYBANK / MAYBANK ISLAMIC</v>
      </c>
      <c r="K351" t="str">
        <f>"162647025783"</f>
        <v>162647025783</v>
      </c>
      <c r="L351" t="str">
        <f t="shared" si="155"/>
        <v>04-08-2020</v>
      </c>
      <c r="M351" t="str">
        <f t="shared" si="155"/>
        <v>04-08-2020</v>
      </c>
      <c r="N351" t="str">
        <f t="shared" si="143"/>
        <v>001105018356</v>
      </c>
      <c r="O351" t="str">
        <f t="shared" si="144"/>
        <v>MYR</v>
      </c>
      <c r="P351" t="str">
        <f t="shared" si="156"/>
        <v>NIL</v>
      </c>
      <c r="Q351" t="str">
        <f t="shared" si="156"/>
        <v>NIL</v>
      </c>
      <c r="R351" t="str">
        <f t="shared" si="146"/>
        <v>Accepted</v>
      </c>
      <c r="S351" t="str">
        <f t="shared" si="147"/>
        <v>Approved</v>
      </c>
      <c r="T351" t="str">
        <f t="shared" si="148"/>
        <v>10.20.8.188</v>
      </c>
      <c r="U351" t="str">
        <f t="shared" si="149"/>
        <v>AZRAD UMAR BIN SHAARI</v>
      </c>
      <c r="V351" t="str">
        <f t="shared" si="150"/>
        <v>FARHANA BINTI MUSTAPA</v>
      </c>
      <c r="W351" t="str">
        <f t="shared" si="151"/>
        <v>04-08-2020</v>
      </c>
      <c r="X351" t="str">
        <f t="shared" si="152"/>
        <v>RAZIMAH ANSAR AHMAD</v>
      </c>
      <c r="Y351" t="str">
        <f t="shared" si="153"/>
        <v>04-08-2020</v>
      </c>
      <c r="Z351" t="str">
        <f>"IDSB19200804 301"</f>
        <v>IDSB19200804 301</v>
      </c>
    </row>
    <row r="352" spans="1:26" x14ac:dyDescent="0.25">
      <c r="A352" t="str">
        <f t="shared" si="157"/>
        <v>04-08-2020 01:21:07</v>
      </c>
      <c r="B352" t="str">
        <f>"0000810612"</f>
        <v>0000810612</v>
      </c>
      <c r="C352" t="str">
        <f t="shared" si="158"/>
        <v>0000810512</v>
      </c>
      <c r="D352" t="str">
        <f t="shared" si="139"/>
        <v>73185</v>
      </c>
      <c r="E352" t="str">
        <f t="shared" si="140"/>
        <v>KFH-OPERATIONS DEPARTMENT</v>
      </c>
      <c r="F352" t="str">
        <f t="shared" si="141"/>
        <v>IBG</v>
      </c>
      <c r="G352" t="str">
        <f t="shared" si="154"/>
        <v>Refund IDSB 19</v>
      </c>
      <c r="H352" s="2">
        <v>75.75</v>
      </c>
      <c r="I352" t="str">
        <f>"MOHD FAIZUL BIN SAMSUDIN"</f>
        <v>MOHD FAIZUL BIN SAMSUDIN</v>
      </c>
      <c r="J352" t="str">
        <f t="shared" ref="J352:J415" si="159">"MAYBANK / MAYBANK ISLAMIC"</f>
        <v>MAYBANK / MAYBANK ISLAMIC</v>
      </c>
      <c r="K352" t="str">
        <f>"151101027372"</f>
        <v>151101027372</v>
      </c>
      <c r="L352" t="str">
        <f t="shared" si="155"/>
        <v>04-08-2020</v>
      </c>
      <c r="M352" t="str">
        <f t="shared" si="155"/>
        <v>04-08-2020</v>
      </c>
      <c r="N352" t="str">
        <f t="shared" si="143"/>
        <v>001105018356</v>
      </c>
      <c r="O352" t="str">
        <f t="shared" si="144"/>
        <v>MYR</v>
      </c>
      <c r="P352" t="str">
        <f t="shared" si="156"/>
        <v>NIL</v>
      </c>
      <c r="Q352" t="str">
        <f t="shared" si="156"/>
        <v>NIL</v>
      </c>
      <c r="R352" t="str">
        <f t="shared" si="146"/>
        <v>Accepted</v>
      </c>
      <c r="S352" t="str">
        <f t="shared" si="147"/>
        <v>Approved</v>
      </c>
      <c r="T352" t="str">
        <f t="shared" si="148"/>
        <v>10.20.8.188</v>
      </c>
      <c r="U352" t="str">
        <f t="shared" si="149"/>
        <v>AZRAD UMAR BIN SHAARI</v>
      </c>
      <c r="V352" t="str">
        <f t="shared" si="150"/>
        <v>FARHANA BINTI MUSTAPA</v>
      </c>
      <c r="W352" t="str">
        <f t="shared" si="151"/>
        <v>04-08-2020</v>
      </c>
      <c r="X352" t="str">
        <f t="shared" si="152"/>
        <v>RAZIMAH ANSAR AHMAD</v>
      </c>
      <c r="Y352" t="str">
        <f t="shared" si="153"/>
        <v>04-08-2020</v>
      </c>
      <c r="Z352" t="str">
        <f>"IDSB19200804 300"</f>
        <v>IDSB19200804 300</v>
      </c>
    </row>
    <row r="353" spans="1:26" x14ac:dyDescent="0.25">
      <c r="A353" t="str">
        <f t="shared" si="157"/>
        <v>04-08-2020 01:21:07</v>
      </c>
      <c r="B353" t="str">
        <f>"0000810611"</f>
        <v>0000810611</v>
      </c>
      <c r="C353" t="str">
        <f t="shared" si="158"/>
        <v>0000810512</v>
      </c>
      <c r="D353" t="str">
        <f t="shared" si="139"/>
        <v>73185</v>
      </c>
      <c r="E353" t="str">
        <f t="shared" si="140"/>
        <v>KFH-OPERATIONS DEPARTMENT</v>
      </c>
      <c r="F353" t="str">
        <f t="shared" si="141"/>
        <v>IBG</v>
      </c>
      <c r="G353" t="str">
        <f t="shared" si="154"/>
        <v>Refund IDSB 19</v>
      </c>
      <c r="H353" s="2">
        <v>283.89</v>
      </c>
      <c r="I353" t="str">
        <f>"MOHD FAIZAL BIN MUSTAFA"</f>
        <v>MOHD FAIZAL BIN MUSTAFA</v>
      </c>
      <c r="J353" t="str">
        <f t="shared" si="159"/>
        <v>MAYBANK / MAYBANK ISLAMIC</v>
      </c>
      <c r="K353" t="str">
        <f>"112138178871"</f>
        <v>112138178871</v>
      </c>
      <c r="L353" t="str">
        <f t="shared" si="155"/>
        <v>04-08-2020</v>
      </c>
      <c r="M353" t="str">
        <f t="shared" si="155"/>
        <v>04-08-2020</v>
      </c>
      <c r="N353" t="str">
        <f t="shared" si="143"/>
        <v>001105018356</v>
      </c>
      <c r="O353" t="str">
        <f t="shared" si="144"/>
        <v>MYR</v>
      </c>
      <c r="P353" t="str">
        <f t="shared" si="156"/>
        <v>NIL</v>
      </c>
      <c r="Q353" t="str">
        <f t="shared" si="156"/>
        <v>NIL</v>
      </c>
      <c r="R353" t="str">
        <f t="shared" si="146"/>
        <v>Accepted</v>
      </c>
      <c r="S353" t="str">
        <f t="shared" si="147"/>
        <v>Approved</v>
      </c>
      <c r="T353" t="str">
        <f t="shared" si="148"/>
        <v>10.20.8.188</v>
      </c>
      <c r="U353" t="str">
        <f t="shared" si="149"/>
        <v>AZRAD UMAR BIN SHAARI</v>
      </c>
      <c r="V353" t="str">
        <f t="shared" si="150"/>
        <v>FARHANA BINTI MUSTAPA</v>
      </c>
      <c r="W353" t="str">
        <f t="shared" si="151"/>
        <v>04-08-2020</v>
      </c>
      <c r="X353" t="str">
        <f t="shared" si="152"/>
        <v>RAZIMAH ANSAR AHMAD</v>
      </c>
      <c r="Y353" t="str">
        <f t="shared" si="153"/>
        <v>04-08-2020</v>
      </c>
      <c r="Z353" t="str">
        <f>"IDSB19200804 299"</f>
        <v>IDSB19200804 299</v>
      </c>
    </row>
    <row r="354" spans="1:26" x14ac:dyDescent="0.25">
      <c r="A354" t="str">
        <f t="shared" si="157"/>
        <v>04-08-2020 01:21:07</v>
      </c>
      <c r="B354" t="str">
        <f>"0000810610"</f>
        <v>0000810610</v>
      </c>
      <c r="C354" t="str">
        <f t="shared" si="158"/>
        <v>0000810512</v>
      </c>
      <c r="D354" t="str">
        <f t="shared" si="139"/>
        <v>73185</v>
      </c>
      <c r="E354" t="str">
        <f t="shared" si="140"/>
        <v>KFH-OPERATIONS DEPARTMENT</v>
      </c>
      <c r="F354" t="str">
        <f t="shared" si="141"/>
        <v>IBG</v>
      </c>
      <c r="G354" t="str">
        <f t="shared" si="154"/>
        <v>Refund IDSB 19</v>
      </c>
      <c r="H354" s="2">
        <v>1420</v>
      </c>
      <c r="I354" t="str">
        <f>"MOHD FAIZ BIN ROHANI"</f>
        <v>MOHD FAIZ BIN ROHANI</v>
      </c>
      <c r="J354" t="str">
        <f t="shared" si="159"/>
        <v>MAYBANK / MAYBANK ISLAMIC</v>
      </c>
      <c r="K354" t="str">
        <f>"151061032830"</f>
        <v>151061032830</v>
      </c>
      <c r="L354" t="str">
        <f t="shared" si="155"/>
        <v>04-08-2020</v>
      </c>
      <c r="M354" t="str">
        <f t="shared" si="155"/>
        <v>04-08-2020</v>
      </c>
      <c r="N354" t="str">
        <f t="shared" si="143"/>
        <v>001105018356</v>
      </c>
      <c r="O354" t="str">
        <f t="shared" si="144"/>
        <v>MYR</v>
      </c>
      <c r="P354" t="str">
        <f t="shared" si="156"/>
        <v>NIL</v>
      </c>
      <c r="Q354" t="str">
        <f t="shared" si="156"/>
        <v>NIL</v>
      </c>
      <c r="R354" t="str">
        <f t="shared" si="146"/>
        <v>Accepted</v>
      </c>
      <c r="S354" t="str">
        <f t="shared" si="147"/>
        <v>Approved</v>
      </c>
      <c r="T354" t="str">
        <f t="shared" si="148"/>
        <v>10.20.8.188</v>
      </c>
      <c r="U354" t="str">
        <f t="shared" si="149"/>
        <v>AZRAD UMAR BIN SHAARI</v>
      </c>
      <c r="V354" t="str">
        <f t="shared" si="150"/>
        <v>FARHANA BINTI MUSTAPA</v>
      </c>
      <c r="W354" t="str">
        <f t="shared" si="151"/>
        <v>04-08-2020</v>
      </c>
      <c r="X354" t="str">
        <f t="shared" si="152"/>
        <v>RAZIMAH ANSAR AHMAD</v>
      </c>
      <c r="Y354" t="str">
        <f t="shared" si="153"/>
        <v>04-08-2020</v>
      </c>
      <c r="Z354" t="str">
        <f>"IDSB19200804 298"</f>
        <v>IDSB19200804 298</v>
      </c>
    </row>
    <row r="355" spans="1:26" x14ac:dyDescent="0.25">
      <c r="A355" t="str">
        <f t="shared" si="157"/>
        <v>04-08-2020 01:21:07</v>
      </c>
      <c r="B355" t="str">
        <f>"0000810609"</f>
        <v>0000810609</v>
      </c>
      <c r="C355" t="str">
        <f t="shared" si="158"/>
        <v>0000810512</v>
      </c>
      <c r="D355" t="str">
        <f t="shared" si="139"/>
        <v>73185</v>
      </c>
      <c r="E355" t="str">
        <f t="shared" si="140"/>
        <v>KFH-OPERATIONS DEPARTMENT</v>
      </c>
      <c r="F355" t="str">
        <f t="shared" si="141"/>
        <v>IBG</v>
      </c>
      <c r="G355" t="str">
        <f t="shared" si="154"/>
        <v>Refund IDSB 19</v>
      </c>
      <c r="H355" s="2">
        <v>99</v>
      </c>
      <c r="I355" t="str">
        <f>"MOHD FAIROZI BIN AB RAHIM"</f>
        <v>MOHD FAIROZI BIN AB RAHIM</v>
      </c>
      <c r="J355" t="str">
        <f t="shared" si="159"/>
        <v>MAYBANK / MAYBANK ISLAMIC</v>
      </c>
      <c r="K355" t="str">
        <f>"154026457923"</f>
        <v>154026457923</v>
      </c>
      <c r="L355" t="str">
        <f t="shared" si="155"/>
        <v>04-08-2020</v>
      </c>
      <c r="M355" t="str">
        <f t="shared" si="155"/>
        <v>04-08-2020</v>
      </c>
      <c r="N355" t="str">
        <f t="shared" si="143"/>
        <v>001105018356</v>
      </c>
      <c r="O355" t="str">
        <f t="shared" si="144"/>
        <v>MYR</v>
      </c>
      <c r="P355" t="str">
        <f t="shared" si="156"/>
        <v>NIL</v>
      </c>
      <c r="Q355" t="str">
        <f t="shared" si="156"/>
        <v>NIL</v>
      </c>
      <c r="R355" t="str">
        <f t="shared" si="146"/>
        <v>Accepted</v>
      </c>
      <c r="S355" t="str">
        <f t="shared" si="147"/>
        <v>Approved</v>
      </c>
      <c r="T355" t="str">
        <f t="shared" si="148"/>
        <v>10.20.8.188</v>
      </c>
      <c r="U355" t="str">
        <f t="shared" si="149"/>
        <v>AZRAD UMAR BIN SHAARI</v>
      </c>
      <c r="V355" t="str">
        <f t="shared" si="150"/>
        <v>FARHANA BINTI MUSTAPA</v>
      </c>
      <c r="W355" t="str">
        <f t="shared" si="151"/>
        <v>04-08-2020</v>
      </c>
      <c r="X355" t="str">
        <f t="shared" si="152"/>
        <v>RAZIMAH ANSAR AHMAD</v>
      </c>
      <c r="Y355" t="str">
        <f t="shared" si="153"/>
        <v>04-08-2020</v>
      </c>
      <c r="Z355" t="str">
        <f>"IDSB19200804 297"</f>
        <v>IDSB19200804 297</v>
      </c>
    </row>
    <row r="356" spans="1:26" x14ac:dyDescent="0.25">
      <c r="A356" t="str">
        <f t="shared" si="157"/>
        <v>04-08-2020 01:21:07</v>
      </c>
      <c r="B356" t="str">
        <f>"0000810608"</f>
        <v>0000810608</v>
      </c>
      <c r="C356" t="str">
        <f t="shared" si="158"/>
        <v>0000810512</v>
      </c>
      <c r="D356" t="str">
        <f t="shared" si="139"/>
        <v>73185</v>
      </c>
      <c r="E356" t="str">
        <f t="shared" si="140"/>
        <v>KFH-OPERATIONS DEPARTMENT</v>
      </c>
      <c r="F356" t="str">
        <f t="shared" si="141"/>
        <v>IBG</v>
      </c>
      <c r="G356" t="str">
        <f t="shared" si="154"/>
        <v>Refund IDSB 19</v>
      </c>
      <c r="H356" s="2">
        <v>226.61</v>
      </c>
      <c r="I356" t="str">
        <f>"MOHD ERWAN BIN IBRAHIM"</f>
        <v>MOHD ERWAN BIN IBRAHIM</v>
      </c>
      <c r="J356" t="str">
        <f t="shared" si="159"/>
        <v>MAYBANK / MAYBANK ISLAMIC</v>
      </c>
      <c r="K356" t="str">
        <f>"112080594926"</f>
        <v>112080594926</v>
      </c>
      <c r="L356" t="str">
        <f t="shared" si="155"/>
        <v>04-08-2020</v>
      </c>
      <c r="M356" t="str">
        <f t="shared" si="155"/>
        <v>04-08-2020</v>
      </c>
      <c r="N356" t="str">
        <f t="shared" si="143"/>
        <v>001105018356</v>
      </c>
      <c r="O356" t="str">
        <f t="shared" si="144"/>
        <v>MYR</v>
      </c>
      <c r="P356" t="str">
        <f t="shared" si="156"/>
        <v>NIL</v>
      </c>
      <c r="Q356" t="str">
        <f t="shared" si="156"/>
        <v>NIL</v>
      </c>
      <c r="R356" t="str">
        <f t="shared" si="146"/>
        <v>Accepted</v>
      </c>
      <c r="S356" t="str">
        <f t="shared" si="147"/>
        <v>Approved</v>
      </c>
      <c r="T356" t="str">
        <f t="shared" si="148"/>
        <v>10.20.8.188</v>
      </c>
      <c r="U356" t="str">
        <f t="shared" si="149"/>
        <v>AZRAD UMAR BIN SHAARI</v>
      </c>
      <c r="V356" t="str">
        <f t="shared" si="150"/>
        <v>FARHANA BINTI MUSTAPA</v>
      </c>
      <c r="W356" t="str">
        <f t="shared" si="151"/>
        <v>04-08-2020</v>
      </c>
      <c r="X356" t="str">
        <f t="shared" si="152"/>
        <v>RAZIMAH ANSAR AHMAD</v>
      </c>
      <c r="Y356" t="str">
        <f t="shared" si="153"/>
        <v>04-08-2020</v>
      </c>
      <c r="Z356" t="str">
        <f>"IDSB19200804 296"</f>
        <v>IDSB19200804 296</v>
      </c>
    </row>
    <row r="357" spans="1:26" x14ac:dyDescent="0.25">
      <c r="A357" t="str">
        <f t="shared" si="157"/>
        <v>04-08-2020 01:21:07</v>
      </c>
      <c r="B357" t="str">
        <f>"0000810607"</f>
        <v>0000810607</v>
      </c>
      <c r="C357" t="str">
        <f t="shared" si="158"/>
        <v>0000810512</v>
      </c>
      <c r="D357" t="str">
        <f t="shared" si="139"/>
        <v>73185</v>
      </c>
      <c r="E357" t="str">
        <f t="shared" si="140"/>
        <v>KFH-OPERATIONS DEPARTMENT</v>
      </c>
      <c r="F357" t="str">
        <f t="shared" si="141"/>
        <v>IBG</v>
      </c>
      <c r="G357" t="str">
        <f t="shared" si="154"/>
        <v>Refund IDSB 19</v>
      </c>
      <c r="H357" s="2">
        <v>137</v>
      </c>
      <c r="I357" t="str">
        <f>"MOHD AZHARI BIN MAT ZIN"</f>
        <v>MOHD AZHARI BIN MAT ZIN</v>
      </c>
      <c r="J357" t="str">
        <f t="shared" si="159"/>
        <v>MAYBANK / MAYBANK ISLAMIC</v>
      </c>
      <c r="K357" t="str">
        <f>"164388712163"</f>
        <v>164388712163</v>
      </c>
      <c r="L357" t="str">
        <f t="shared" si="155"/>
        <v>04-08-2020</v>
      </c>
      <c r="M357" t="str">
        <f t="shared" si="155"/>
        <v>04-08-2020</v>
      </c>
      <c r="N357" t="str">
        <f t="shared" si="143"/>
        <v>001105018356</v>
      </c>
      <c r="O357" t="str">
        <f t="shared" si="144"/>
        <v>MYR</v>
      </c>
      <c r="P357" t="str">
        <f t="shared" si="156"/>
        <v>NIL</v>
      </c>
      <c r="Q357" t="str">
        <f t="shared" si="156"/>
        <v>NIL</v>
      </c>
      <c r="R357" t="str">
        <f t="shared" si="146"/>
        <v>Accepted</v>
      </c>
      <c r="S357" t="str">
        <f t="shared" si="147"/>
        <v>Approved</v>
      </c>
      <c r="T357" t="str">
        <f t="shared" si="148"/>
        <v>10.20.8.188</v>
      </c>
      <c r="U357" t="str">
        <f t="shared" si="149"/>
        <v>AZRAD UMAR BIN SHAARI</v>
      </c>
      <c r="V357" t="str">
        <f t="shared" si="150"/>
        <v>FARHANA BINTI MUSTAPA</v>
      </c>
      <c r="W357" t="str">
        <f t="shared" si="151"/>
        <v>04-08-2020</v>
      </c>
      <c r="X357" t="str">
        <f t="shared" si="152"/>
        <v>RAZIMAH ANSAR AHMAD</v>
      </c>
      <c r="Y357" t="str">
        <f t="shared" si="153"/>
        <v>04-08-2020</v>
      </c>
      <c r="Z357" t="str">
        <f>"IDSB19200804 295"</f>
        <v>IDSB19200804 295</v>
      </c>
    </row>
    <row r="358" spans="1:26" x14ac:dyDescent="0.25">
      <c r="A358" t="str">
        <f t="shared" si="157"/>
        <v>04-08-2020 01:21:07</v>
      </c>
      <c r="B358" t="str">
        <f>"0000810606"</f>
        <v>0000810606</v>
      </c>
      <c r="C358" t="str">
        <f t="shared" si="158"/>
        <v>0000810512</v>
      </c>
      <c r="D358" t="str">
        <f t="shared" si="139"/>
        <v>73185</v>
      </c>
      <c r="E358" t="str">
        <f t="shared" si="140"/>
        <v>KFH-OPERATIONS DEPARTMENT</v>
      </c>
      <c r="F358" t="str">
        <f t="shared" si="141"/>
        <v>IBG</v>
      </c>
      <c r="G358" t="str">
        <f t="shared" si="154"/>
        <v>Refund IDSB 19</v>
      </c>
      <c r="H358" s="2">
        <v>142.69999999999999</v>
      </c>
      <c r="I358" t="str">
        <f>"MOHD AZHARI BIN MAT ZIN"</f>
        <v>MOHD AZHARI BIN MAT ZIN</v>
      </c>
      <c r="J358" t="str">
        <f t="shared" si="159"/>
        <v>MAYBANK / MAYBANK ISLAMIC</v>
      </c>
      <c r="K358" t="str">
        <f>"164388712163"</f>
        <v>164388712163</v>
      </c>
      <c r="L358" t="str">
        <f t="shared" si="155"/>
        <v>04-08-2020</v>
      </c>
      <c r="M358" t="str">
        <f t="shared" si="155"/>
        <v>04-08-2020</v>
      </c>
      <c r="N358" t="str">
        <f t="shared" si="143"/>
        <v>001105018356</v>
      </c>
      <c r="O358" t="str">
        <f t="shared" si="144"/>
        <v>MYR</v>
      </c>
      <c r="P358" t="str">
        <f t="shared" si="156"/>
        <v>NIL</v>
      </c>
      <c r="Q358" t="str">
        <f t="shared" si="156"/>
        <v>NIL</v>
      </c>
      <c r="R358" t="str">
        <f t="shared" si="146"/>
        <v>Accepted</v>
      </c>
      <c r="S358" t="str">
        <f t="shared" si="147"/>
        <v>Approved</v>
      </c>
      <c r="T358" t="str">
        <f t="shared" si="148"/>
        <v>10.20.8.188</v>
      </c>
      <c r="U358" t="str">
        <f t="shared" si="149"/>
        <v>AZRAD UMAR BIN SHAARI</v>
      </c>
      <c r="V358" t="str">
        <f t="shared" si="150"/>
        <v>FARHANA BINTI MUSTAPA</v>
      </c>
      <c r="W358" t="str">
        <f t="shared" si="151"/>
        <v>04-08-2020</v>
      </c>
      <c r="X358" t="str">
        <f t="shared" si="152"/>
        <v>RAZIMAH ANSAR AHMAD</v>
      </c>
      <c r="Y358" t="str">
        <f t="shared" si="153"/>
        <v>04-08-2020</v>
      </c>
      <c r="Z358" t="str">
        <f>"IDSB19200804 294"</f>
        <v>IDSB19200804 294</v>
      </c>
    </row>
    <row r="359" spans="1:26" x14ac:dyDescent="0.25">
      <c r="A359" t="str">
        <f t="shared" si="157"/>
        <v>04-08-2020 01:21:07</v>
      </c>
      <c r="B359" t="str">
        <f>"0000810605"</f>
        <v>0000810605</v>
      </c>
      <c r="C359" t="str">
        <f t="shared" si="158"/>
        <v>0000810512</v>
      </c>
      <c r="D359" t="str">
        <f t="shared" si="139"/>
        <v>73185</v>
      </c>
      <c r="E359" t="str">
        <f t="shared" si="140"/>
        <v>KFH-OPERATIONS DEPARTMENT</v>
      </c>
      <c r="F359" t="str">
        <f t="shared" si="141"/>
        <v>IBG</v>
      </c>
      <c r="G359" t="str">
        <f t="shared" si="154"/>
        <v>Refund IDSB 19</v>
      </c>
      <c r="H359" s="2">
        <v>418</v>
      </c>
      <c r="I359" t="str">
        <f>"MOHD AMIRUDDIN BIN MOHD NASIR"</f>
        <v>MOHD AMIRUDDIN BIN MOHD NASIR</v>
      </c>
      <c r="J359" t="str">
        <f t="shared" si="159"/>
        <v>MAYBANK / MAYBANK ISLAMIC</v>
      </c>
      <c r="K359" t="str">
        <f>"158387064659"</f>
        <v>158387064659</v>
      </c>
      <c r="L359" t="str">
        <f t="shared" si="155"/>
        <v>04-08-2020</v>
      </c>
      <c r="M359" t="str">
        <f t="shared" si="155"/>
        <v>04-08-2020</v>
      </c>
      <c r="N359" t="str">
        <f t="shared" si="143"/>
        <v>001105018356</v>
      </c>
      <c r="O359" t="str">
        <f t="shared" si="144"/>
        <v>MYR</v>
      </c>
      <c r="P359" t="str">
        <f t="shared" si="156"/>
        <v>NIL</v>
      </c>
      <c r="Q359" t="str">
        <f t="shared" si="156"/>
        <v>NIL</v>
      </c>
      <c r="R359" t="str">
        <f t="shared" si="146"/>
        <v>Accepted</v>
      </c>
      <c r="S359" t="str">
        <f t="shared" si="147"/>
        <v>Approved</v>
      </c>
      <c r="T359" t="str">
        <f t="shared" si="148"/>
        <v>10.20.8.188</v>
      </c>
      <c r="U359" t="str">
        <f t="shared" si="149"/>
        <v>AZRAD UMAR BIN SHAARI</v>
      </c>
      <c r="V359" t="str">
        <f t="shared" si="150"/>
        <v>FARHANA BINTI MUSTAPA</v>
      </c>
      <c r="W359" t="str">
        <f t="shared" si="151"/>
        <v>04-08-2020</v>
      </c>
      <c r="X359" t="str">
        <f t="shared" si="152"/>
        <v>RAZIMAH ANSAR AHMAD</v>
      </c>
      <c r="Y359" t="str">
        <f t="shared" si="153"/>
        <v>04-08-2020</v>
      </c>
      <c r="Z359" t="str">
        <f>"IDSB19200804 293"</f>
        <v>IDSB19200804 293</v>
      </c>
    </row>
    <row r="360" spans="1:26" x14ac:dyDescent="0.25">
      <c r="A360" t="str">
        <f t="shared" si="157"/>
        <v>04-08-2020 01:21:07</v>
      </c>
      <c r="B360" t="str">
        <f>"0000810604"</f>
        <v>0000810604</v>
      </c>
      <c r="C360" t="str">
        <f t="shared" si="158"/>
        <v>0000810512</v>
      </c>
      <c r="D360" t="str">
        <f t="shared" si="139"/>
        <v>73185</v>
      </c>
      <c r="E360" t="str">
        <f t="shared" si="140"/>
        <v>KFH-OPERATIONS DEPARTMENT</v>
      </c>
      <c r="F360" t="str">
        <f t="shared" si="141"/>
        <v>IBG</v>
      </c>
      <c r="G360" t="str">
        <f t="shared" si="154"/>
        <v>Refund IDSB 19</v>
      </c>
      <c r="H360" s="2">
        <v>210</v>
      </c>
      <c r="I360" t="str">
        <f>"MOHD AMIN BIN HANAPIAH"</f>
        <v>MOHD AMIN BIN HANAPIAH</v>
      </c>
      <c r="J360" t="str">
        <f t="shared" si="159"/>
        <v>MAYBANK / MAYBANK ISLAMIC</v>
      </c>
      <c r="K360" t="str">
        <f>"162106704701"</f>
        <v>162106704701</v>
      </c>
      <c r="L360" t="str">
        <f t="shared" si="155"/>
        <v>04-08-2020</v>
      </c>
      <c r="M360" t="str">
        <f t="shared" si="155"/>
        <v>04-08-2020</v>
      </c>
      <c r="N360" t="str">
        <f t="shared" si="143"/>
        <v>001105018356</v>
      </c>
      <c r="O360" t="str">
        <f t="shared" si="144"/>
        <v>MYR</v>
      </c>
      <c r="P360" t="str">
        <f t="shared" si="156"/>
        <v>NIL</v>
      </c>
      <c r="Q360" t="str">
        <f t="shared" si="156"/>
        <v>NIL</v>
      </c>
      <c r="R360" t="str">
        <f t="shared" si="146"/>
        <v>Accepted</v>
      </c>
      <c r="S360" t="str">
        <f t="shared" si="147"/>
        <v>Approved</v>
      </c>
      <c r="T360" t="str">
        <f t="shared" si="148"/>
        <v>10.20.8.188</v>
      </c>
      <c r="U360" t="str">
        <f t="shared" si="149"/>
        <v>AZRAD UMAR BIN SHAARI</v>
      </c>
      <c r="V360" t="str">
        <f t="shared" si="150"/>
        <v>FARHANA BINTI MUSTAPA</v>
      </c>
      <c r="W360" t="str">
        <f t="shared" si="151"/>
        <v>04-08-2020</v>
      </c>
      <c r="X360" t="str">
        <f t="shared" si="152"/>
        <v>RAZIMAH ANSAR AHMAD</v>
      </c>
      <c r="Y360" t="str">
        <f t="shared" si="153"/>
        <v>04-08-2020</v>
      </c>
      <c r="Z360" t="str">
        <f>"IDSB19200804 292"</f>
        <v>IDSB19200804 292</v>
      </c>
    </row>
    <row r="361" spans="1:26" x14ac:dyDescent="0.25">
      <c r="A361" t="str">
        <f t="shared" si="157"/>
        <v>04-08-2020 01:21:07</v>
      </c>
      <c r="B361" t="str">
        <f>"0000810603"</f>
        <v>0000810603</v>
      </c>
      <c r="C361" t="str">
        <f t="shared" si="158"/>
        <v>0000810512</v>
      </c>
      <c r="D361" t="str">
        <f t="shared" si="139"/>
        <v>73185</v>
      </c>
      <c r="E361" t="str">
        <f t="shared" si="140"/>
        <v>KFH-OPERATIONS DEPARTMENT</v>
      </c>
      <c r="F361" t="str">
        <f t="shared" si="141"/>
        <v>IBG</v>
      </c>
      <c r="G361" t="str">
        <f t="shared" si="154"/>
        <v>Refund IDSB 19</v>
      </c>
      <c r="H361" s="2">
        <v>509</v>
      </c>
      <c r="I361" t="str">
        <f>"MOHD AIZAT HUSNI BIN ABD AZIZ"</f>
        <v>MOHD AIZAT HUSNI BIN ABD AZIZ</v>
      </c>
      <c r="J361" t="str">
        <f t="shared" si="159"/>
        <v>MAYBANK / MAYBANK ISLAMIC</v>
      </c>
      <c r="K361" t="str">
        <f>"164025924837"</f>
        <v>164025924837</v>
      </c>
      <c r="L361" t="str">
        <f t="shared" si="155"/>
        <v>04-08-2020</v>
      </c>
      <c r="M361" t="str">
        <f t="shared" si="155"/>
        <v>04-08-2020</v>
      </c>
      <c r="N361" t="str">
        <f t="shared" si="143"/>
        <v>001105018356</v>
      </c>
      <c r="O361" t="str">
        <f t="shared" si="144"/>
        <v>MYR</v>
      </c>
      <c r="P361" t="str">
        <f t="shared" si="156"/>
        <v>NIL</v>
      </c>
      <c r="Q361" t="str">
        <f t="shared" si="156"/>
        <v>NIL</v>
      </c>
      <c r="R361" t="str">
        <f t="shared" si="146"/>
        <v>Accepted</v>
      </c>
      <c r="S361" t="str">
        <f t="shared" si="147"/>
        <v>Approved</v>
      </c>
      <c r="T361" t="str">
        <f t="shared" si="148"/>
        <v>10.20.8.188</v>
      </c>
      <c r="U361" t="str">
        <f t="shared" si="149"/>
        <v>AZRAD UMAR BIN SHAARI</v>
      </c>
      <c r="V361" t="str">
        <f t="shared" si="150"/>
        <v>FARHANA BINTI MUSTAPA</v>
      </c>
      <c r="W361" t="str">
        <f t="shared" si="151"/>
        <v>04-08-2020</v>
      </c>
      <c r="X361" t="str">
        <f t="shared" si="152"/>
        <v>RAZIMAH ANSAR AHMAD</v>
      </c>
      <c r="Y361" t="str">
        <f t="shared" si="153"/>
        <v>04-08-2020</v>
      </c>
      <c r="Z361" t="str">
        <f>"IDSB19200804 291"</f>
        <v>IDSB19200804 291</v>
      </c>
    </row>
    <row r="362" spans="1:26" x14ac:dyDescent="0.25">
      <c r="A362" t="str">
        <f t="shared" si="157"/>
        <v>04-08-2020 01:21:07</v>
      </c>
      <c r="B362" t="str">
        <f>"0000810602"</f>
        <v>0000810602</v>
      </c>
      <c r="C362" t="str">
        <f t="shared" si="158"/>
        <v>0000810512</v>
      </c>
      <c r="D362" t="str">
        <f t="shared" si="139"/>
        <v>73185</v>
      </c>
      <c r="E362" t="str">
        <f t="shared" si="140"/>
        <v>KFH-OPERATIONS DEPARTMENT</v>
      </c>
      <c r="F362" t="str">
        <f t="shared" si="141"/>
        <v>IBG</v>
      </c>
      <c r="G362" t="str">
        <f t="shared" si="154"/>
        <v>Refund IDSB 19</v>
      </c>
      <c r="H362" s="2">
        <v>503.7</v>
      </c>
      <c r="I362" t="str">
        <f>"MOHAMMED HAIRE BIN KAHFI"</f>
        <v>MOHAMMED HAIRE BIN KAHFI</v>
      </c>
      <c r="J362" t="str">
        <f t="shared" si="159"/>
        <v>MAYBANK / MAYBANK ISLAMIC</v>
      </c>
      <c r="K362" t="str">
        <f>"162366601491"</f>
        <v>162366601491</v>
      </c>
      <c r="L362" t="str">
        <f t="shared" si="155"/>
        <v>04-08-2020</v>
      </c>
      <c r="M362" t="str">
        <f t="shared" si="155"/>
        <v>04-08-2020</v>
      </c>
      <c r="N362" t="str">
        <f t="shared" si="143"/>
        <v>001105018356</v>
      </c>
      <c r="O362" t="str">
        <f t="shared" si="144"/>
        <v>MYR</v>
      </c>
      <c r="P362" t="str">
        <f t="shared" si="156"/>
        <v>NIL</v>
      </c>
      <c r="Q362" t="str">
        <f t="shared" si="156"/>
        <v>NIL</v>
      </c>
      <c r="R362" t="str">
        <f t="shared" si="146"/>
        <v>Accepted</v>
      </c>
      <c r="S362" t="str">
        <f t="shared" si="147"/>
        <v>Approved</v>
      </c>
      <c r="T362" t="str">
        <f t="shared" si="148"/>
        <v>10.20.8.188</v>
      </c>
      <c r="U362" t="str">
        <f t="shared" si="149"/>
        <v>AZRAD UMAR BIN SHAARI</v>
      </c>
      <c r="V362" t="str">
        <f t="shared" si="150"/>
        <v>FARHANA BINTI MUSTAPA</v>
      </c>
      <c r="W362" t="str">
        <f t="shared" si="151"/>
        <v>04-08-2020</v>
      </c>
      <c r="X362" t="str">
        <f t="shared" si="152"/>
        <v>RAZIMAH ANSAR AHMAD</v>
      </c>
      <c r="Y362" t="str">
        <f t="shared" si="153"/>
        <v>04-08-2020</v>
      </c>
      <c r="Z362" t="str">
        <f>"IDSB19200804 290"</f>
        <v>IDSB19200804 290</v>
      </c>
    </row>
    <row r="363" spans="1:26" x14ac:dyDescent="0.25">
      <c r="A363" t="str">
        <f t="shared" si="157"/>
        <v>04-08-2020 01:21:07</v>
      </c>
      <c r="B363" t="str">
        <f>"0000810601"</f>
        <v>0000810601</v>
      </c>
      <c r="C363" t="str">
        <f t="shared" si="158"/>
        <v>0000810512</v>
      </c>
      <c r="D363" t="str">
        <f t="shared" si="139"/>
        <v>73185</v>
      </c>
      <c r="E363" t="str">
        <f t="shared" si="140"/>
        <v>KFH-OPERATIONS DEPARTMENT</v>
      </c>
      <c r="F363" t="str">
        <f t="shared" si="141"/>
        <v>IBG</v>
      </c>
      <c r="G363" t="str">
        <f t="shared" si="154"/>
        <v>Refund IDSB 19</v>
      </c>
      <c r="H363" s="2">
        <v>881.5</v>
      </c>
      <c r="I363" t="str">
        <f>"MOHAMMAD NOR BIN ABDUL RAHMAN"</f>
        <v>MOHAMMAD NOR BIN ABDUL RAHMAN</v>
      </c>
      <c r="J363" t="str">
        <f t="shared" si="159"/>
        <v>MAYBANK / MAYBANK ISLAMIC</v>
      </c>
      <c r="K363" t="str">
        <f>"101066007247"</f>
        <v>101066007247</v>
      </c>
      <c r="L363" t="str">
        <f t="shared" si="155"/>
        <v>04-08-2020</v>
      </c>
      <c r="M363" t="str">
        <f t="shared" si="155"/>
        <v>04-08-2020</v>
      </c>
      <c r="N363" t="str">
        <f t="shared" si="143"/>
        <v>001105018356</v>
      </c>
      <c r="O363" t="str">
        <f t="shared" si="144"/>
        <v>MYR</v>
      </c>
      <c r="P363" t="str">
        <f t="shared" si="156"/>
        <v>NIL</v>
      </c>
      <c r="Q363" t="str">
        <f t="shared" si="156"/>
        <v>NIL</v>
      </c>
      <c r="R363" t="str">
        <f t="shared" si="146"/>
        <v>Accepted</v>
      </c>
      <c r="S363" t="str">
        <f t="shared" si="147"/>
        <v>Approved</v>
      </c>
      <c r="T363" t="str">
        <f t="shared" si="148"/>
        <v>10.20.8.188</v>
      </c>
      <c r="U363" t="str">
        <f t="shared" si="149"/>
        <v>AZRAD UMAR BIN SHAARI</v>
      </c>
      <c r="V363" t="str">
        <f t="shared" si="150"/>
        <v>FARHANA BINTI MUSTAPA</v>
      </c>
      <c r="W363" t="str">
        <f t="shared" si="151"/>
        <v>04-08-2020</v>
      </c>
      <c r="X363" t="str">
        <f t="shared" si="152"/>
        <v>RAZIMAH ANSAR AHMAD</v>
      </c>
      <c r="Y363" t="str">
        <f t="shared" si="153"/>
        <v>04-08-2020</v>
      </c>
      <c r="Z363" t="str">
        <f>"IDSB19200804 289"</f>
        <v>IDSB19200804 289</v>
      </c>
    </row>
    <row r="364" spans="1:26" x14ac:dyDescent="0.25">
      <c r="A364" t="str">
        <f t="shared" si="157"/>
        <v>04-08-2020 01:21:07</v>
      </c>
      <c r="B364" t="str">
        <f>"0000810600"</f>
        <v>0000810600</v>
      </c>
      <c r="C364" t="str">
        <f t="shared" si="158"/>
        <v>0000810512</v>
      </c>
      <c r="D364" t="str">
        <f t="shared" si="139"/>
        <v>73185</v>
      </c>
      <c r="E364" t="str">
        <f t="shared" si="140"/>
        <v>KFH-OPERATIONS DEPARTMENT</v>
      </c>
      <c r="F364" t="str">
        <f t="shared" si="141"/>
        <v>IBG</v>
      </c>
      <c r="G364" t="str">
        <f t="shared" si="154"/>
        <v>Refund IDSB 19</v>
      </c>
      <c r="H364" s="2">
        <v>774.14</v>
      </c>
      <c r="I364" t="str">
        <f>"MOHAMMAD NOH BIN LEBAI MUSA"</f>
        <v>MOHAMMAD NOH BIN LEBAI MUSA</v>
      </c>
      <c r="J364" t="str">
        <f t="shared" si="159"/>
        <v>MAYBANK / MAYBANK ISLAMIC</v>
      </c>
      <c r="K364" t="str">
        <f>"104021516126"</f>
        <v>104021516126</v>
      </c>
      <c r="L364" t="str">
        <f t="shared" si="155"/>
        <v>04-08-2020</v>
      </c>
      <c r="M364" t="str">
        <f t="shared" si="155"/>
        <v>04-08-2020</v>
      </c>
      <c r="N364" t="str">
        <f t="shared" si="143"/>
        <v>001105018356</v>
      </c>
      <c r="O364" t="str">
        <f t="shared" si="144"/>
        <v>MYR</v>
      </c>
      <c r="P364" t="str">
        <f t="shared" si="156"/>
        <v>NIL</v>
      </c>
      <c r="Q364" t="str">
        <f t="shared" si="156"/>
        <v>NIL</v>
      </c>
      <c r="R364" t="str">
        <f t="shared" si="146"/>
        <v>Accepted</v>
      </c>
      <c r="S364" t="str">
        <f t="shared" si="147"/>
        <v>Approved</v>
      </c>
      <c r="T364" t="str">
        <f t="shared" si="148"/>
        <v>10.20.8.188</v>
      </c>
      <c r="U364" t="str">
        <f t="shared" si="149"/>
        <v>AZRAD UMAR BIN SHAARI</v>
      </c>
      <c r="V364" t="str">
        <f t="shared" si="150"/>
        <v>FARHANA BINTI MUSTAPA</v>
      </c>
      <c r="W364" t="str">
        <f t="shared" si="151"/>
        <v>04-08-2020</v>
      </c>
      <c r="X364" t="str">
        <f t="shared" si="152"/>
        <v>RAZIMAH ANSAR AHMAD</v>
      </c>
      <c r="Y364" t="str">
        <f t="shared" si="153"/>
        <v>04-08-2020</v>
      </c>
      <c r="Z364" t="str">
        <f>"IDSB19200804 288"</f>
        <v>IDSB19200804 288</v>
      </c>
    </row>
    <row r="365" spans="1:26" x14ac:dyDescent="0.25">
      <c r="A365" t="str">
        <f t="shared" si="157"/>
        <v>04-08-2020 01:21:07</v>
      </c>
      <c r="B365" t="str">
        <f>"0000810599"</f>
        <v>0000810599</v>
      </c>
      <c r="C365" t="str">
        <f t="shared" si="158"/>
        <v>0000810512</v>
      </c>
      <c r="D365" t="str">
        <f t="shared" si="139"/>
        <v>73185</v>
      </c>
      <c r="E365" t="str">
        <f t="shared" si="140"/>
        <v>KFH-OPERATIONS DEPARTMENT</v>
      </c>
      <c r="F365" t="str">
        <f t="shared" si="141"/>
        <v>IBG</v>
      </c>
      <c r="G365" t="str">
        <f t="shared" si="154"/>
        <v>Refund IDSB 19</v>
      </c>
      <c r="H365" s="2">
        <v>537.09</v>
      </c>
      <c r="I365" t="str">
        <f>"MOHAMMAD KHAIRUL FAIZI BIN ZULKIFLI"</f>
        <v>MOHAMMAD KHAIRUL FAIZI BIN ZULKIFLI</v>
      </c>
      <c r="J365" t="str">
        <f t="shared" si="159"/>
        <v>MAYBANK / MAYBANK ISLAMIC</v>
      </c>
      <c r="K365" t="str">
        <f>"101030036863"</f>
        <v>101030036863</v>
      </c>
      <c r="L365" t="str">
        <f t="shared" si="155"/>
        <v>04-08-2020</v>
      </c>
      <c r="M365" t="str">
        <f t="shared" si="155"/>
        <v>04-08-2020</v>
      </c>
      <c r="N365" t="str">
        <f t="shared" si="143"/>
        <v>001105018356</v>
      </c>
      <c r="O365" t="str">
        <f t="shared" si="144"/>
        <v>MYR</v>
      </c>
      <c r="P365" t="str">
        <f t="shared" si="156"/>
        <v>NIL</v>
      </c>
      <c r="Q365" t="str">
        <f t="shared" si="156"/>
        <v>NIL</v>
      </c>
      <c r="R365" t="str">
        <f t="shared" si="146"/>
        <v>Accepted</v>
      </c>
      <c r="S365" t="str">
        <f t="shared" si="147"/>
        <v>Approved</v>
      </c>
      <c r="T365" t="str">
        <f t="shared" si="148"/>
        <v>10.20.8.188</v>
      </c>
      <c r="U365" t="str">
        <f t="shared" si="149"/>
        <v>AZRAD UMAR BIN SHAARI</v>
      </c>
      <c r="V365" t="str">
        <f t="shared" si="150"/>
        <v>FARHANA BINTI MUSTAPA</v>
      </c>
      <c r="W365" t="str">
        <f t="shared" si="151"/>
        <v>04-08-2020</v>
      </c>
      <c r="X365" t="str">
        <f t="shared" si="152"/>
        <v>RAZIMAH ANSAR AHMAD</v>
      </c>
      <c r="Y365" t="str">
        <f t="shared" si="153"/>
        <v>04-08-2020</v>
      </c>
      <c r="Z365" t="str">
        <f>"IDSB19200804 287"</f>
        <v>IDSB19200804 287</v>
      </c>
    </row>
    <row r="366" spans="1:26" x14ac:dyDescent="0.25">
      <c r="A366" t="str">
        <f t="shared" si="157"/>
        <v>04-08-2020 01:21:07</v>
      </c>
      <c r="B366" t="str">
        <f>"0000810598"</f>
        <v>0000810598</v>
      </c>
      <c r="C366" t="str">
        <f t="shared" si="158"/>
        <v>0000810512</v>
      </c>
      <c r="D366" t="str">
        <f t="shared" si="139"/>
        <v>73185</v>
      </c>
      <c r="E366" t="str">
        <f t="shared" si="140"/>
        <v>KFH-OPERATIONS DEPARTMENT</v>
      </c>
      <c r="F366" t="str">
        <f t="shared" si="141"/>
        <v>IBG</v>
      </c>
      <c r="G366" t="str">
        <f t="shared" si="154"/>
        <v>Refund IDSB 19</v>
      </c>
      <c r="H366" s="2">
        <v>73</v>
      </c>
      <c r="I366" t="str">
        <f>"MOHAMED ESA BIN ALWI"</f>
        <v>MOHAMED ESA BIN ALWI</v>
      </c>
      <c r="J366" t="str">
        <f t="shared" si="159"/>
        <v>MAYBANK / MAYBANK ISLAMIC</v>
      </c>
      <c r="K366" t="str">
        <f>"157380014281"</f>
        <v>157380014281</v>
      </c>
      <c r="L366" t="str">
        <f t="shared" si="155"/>
        <v>04-08-2020</v>
      </c>
      <c r="M366" t="str">
        <f t="shared" si="155"/>
        <v>04-08-2020</v>
      </c>
      <c r="N366" t="str">
        <f t="shared" si="143"/>
        <v>001105018356</v>
      </c>
      <c r="O366" t="str">
        <f t="shared" si="144"/>
        <v>MYR</v>
      </c>
      <c r="P366" t="str">
        <f t="shared" si="156"/>
        <v>NIL</v>
      </c>
      <c r="Q366" t="str">
        <f t="shared" si="156"/>
        <v>NIL</v>
      </c>
      <c r="R366" t="str">
        <f t="shared" si="146"/>
        <v>Accepted</v>
      </c>
      <c r="S366" t="str">
        <f t="shared" si="147"/>
        <v>Approved</v>
      </c>
      <c r="T366" t="str">
        <f t="shared" si="148"/>
        <v>10.20.8.188</v>
      </c>
      <c r="U366" t="str">
        <f t="shared" si="149"/>
        <v>AZRAD UMAR BIN SHAARI</v>
      </c>
      <c r="V366" t="str">
        <f t="shared" si="150"/>
        <v>FARHANA BINTI MUSTAPA</v>
      </c>
      <c r="W366" t="str">
        <f t="shared" si="151"/>
        <v>04-08-2020</v>
      </c>
      <c r="X366" t="str">
        <f t="shared" si="152"/>
        <v>RAZIMAH ANSAR AHMAD</v>
      </c>
      <c r="Y366" t="str">
        <f t="shared" si="153"/>
        <v>04-08-2020</v>
      </c>
      <c r="Z366" t="str">
        <f>"IDSB19200804 286"</f>
        <v>IDSB19200804 286</v>
      </c>
    </row>
    <row r="367" spans="1:26" x14ac:dyDescent="0.25">
      <c r="A367" t="str">
        <f t="shared" si="157"/>
        <v>04-08-2020 01:21:07</v>
      </c>
      <c r="B367" t="str">
        <f>"0000810597"</f>
        <v>0000810597</v>
      </c>
      <c r="C367" t="str">
        <f t="shared" si="158"/>
        <v>0000810512</v>
      </c>
      <c r="D367" t="str">
        <f t="shared" si="139"/>
        <v>73185</v>
      </c>
      <c r="E367" t="str">
        <f t="shared" si="140"/>
        <v>KFH-OPERATIONS DEPARTMENT</v>
      </c>
      <c r="F367" t="str">
        <f t="shared" si="141"/>
        <v>IBG</v>
      </c>
      <c r="G367" t="str">
        <f t="shared" si="154"/>
        <v>Refund IDSB 19</v>
      </c>
      <c r="H367" s="2">
        <v>392.95</v>
      </c>
      <c r="I367" t="str">
        <f>"MOHAMAD SYAH HAFIZ BIN MASROL"</f>
        <v>MOHAMAD SYAH HAFIZ BIN MASROL</v>
      </c>
      <c r="J367" t="str">
        <f t="shared" si="159"/>
        <v>MAYBANK / MAYBANK ISLAMIC</v>
      </c>
      <c r="K367" t="str">
        <f>"151098412667"</f>
        <v>151098412667</v>
      </c>
      <c r="L367" t="str">
        <f t="shared" ref="L367:M386" si="160">"04-08-2020"</f>
        <v>04-08-2020</v>
      </c>
      <c r="M367" t="str">
        <f t="shared" si="160"/>
        <v>04-08-2020</v>
      </c>
      <c r="N367" t="str">
        <f t="shared" si="143"/>
        <v>001105018356</v>
      </c>
      <c r="O367" t="str">
        <f t="shared" si="144"/>
        <v>MYR</v>
      </c>
      <c r="P367" t="str">
        <f t="shared" ref="P367:Q386" si="161">"NIL"</f>
        <v>NIL</v>
      </c>
      <c r="Q367" t="str">
        <f t="shared" si="161"/>
        <v>NIL</v>
      </c>
      <c r="R367" t="str">
        <f t="shared" si="146"/>
        <v>Accepted</v>
      </c>
      <c r="S367" t="str">
        <f t="shared" si="147"/>
        <v>Approved</v>
      </c>
      <c r="T367" t="str">
        <f t="shared" si="148"/>
        <v>10.20.8.188</v>
      </c>
      <c r="U367" t="str">
        <f t="shared" si="149"/>
        <v>AZRAD UMAR BIN SHAARI</v>
      </c>
      <c r="V367" t="str">
        <f t="shared" si="150"/>
        <v>FARHANA BINTI MUSTAPA</v>
      </c>
      <c r="W367" t="str">
        <f t="shared" si="151"/>
        <v>04-08-2020</v>
      </c>
      <c r="X367" t="str">
        <f t="shared" si="152"/>
        <v>RAZIMAH ANSAR AHMAD</v>
      </c>
      <c r="Y367" t="str">
        <f t="shared" si="153"/>
        <v>04-08-2020</v>
      </c>
      <c r="Z367" t="str">
        <f>"IDSB19200804 285"</f>
        <v>IDSB19200804 285</v>
      </c>
    </row>
    <row r="368" spans="1:26" x14ac:dyDescent="0.25">
      <c r="A368" t="str">
        <f t="shared" si="157"/>
        <v>04-08-2020 01:21:07</v>
      </c>
      <c r="B368" t="str">
        <f>"0000810596"</f>
        <v>0000810596</v>
      </c>
      <c r="C368" t="str">
        <f t="shared" si="158"/>
        <v>0000810512</v>
      </c>
      <c r="D368" t="str">
        <f t="shared" si="139"/>
        <v>73185</v>
      </c>
      <c r="E368" t="str">
        <f t="shared" si="140"/>
        <v>KFH-OPERATIONS DEPARTMENT</v>
      </c>
      <c r="F368" t="str">
        <f t="shared" si="141"/>
        <v>IBG</v>
      </c>
      <c r="G368" t="str">
        <f t="shared" si="154"/>
        <v>Refund IDSB 19</v>
      </c>
      <c r="H368" s="2">
        <v>69</v>
      </c>
      <c r="I368" t="str">
        <f>"MOHAMAD SAM BIN SHAARI"</f>
        <v>MOHAMAD SAM BIN SHAARI</v>
      </c>
      <c r="J368" t="str">
        <f t="shared" si="159"/>
        <v>MAYBANK / MAYBANK ISLAMIC</v>
      </c>
      <c r="K368" t="str">
        <f>"102111051854"</f>
        <v>102111051854</v>
      </c>
      <c r="L368" t="str">
        <f t="shared" si="160"/>
        <v>04-08-2020</v>
      </c>
      <c r="M368" t="str">
        <f t="shared" si="160"/>
        <v>04-08-2020</v>
      </c>
      <c r="N368" t="str">
        <f t="shared" si="143"/>
        <v>001105018356</v>
      </c>
      <c r="O368" t="str">
        <f t="shared" si="144"/>
        <v>MYR</v>
      </c>
      <c r="P368" t="str">
        <f t="shared" si="161"/>
        <v>NIL</v>
      </c>
      <c r="Q368" t="str">
        <f t="shared" si="161"/>
        <v>NIL</v>
      </c>
      <c r="R368" t="str">
        <f t="shared" si="146"/>
        <v>Accepted</v>
      </c>
      <c r="S368" t="str">
        <f t="shared" si="147"/>
        <v>Approved</v>
      </c>
      <c r="T368" t="str">
        <f t="shared" si="148"/>
        <v>10.20.8.188</v>
      </c>
      <c r="U368" t="str">
        <f t="shared" si="149"/>
        <v>AZRAD UMAR BIN SHAARI</v>
      </c>
      <c r="V368" t="str">
        <f t="shared" si="150"/>
        <v>FARHANA BINTI MUSTAPA</v>
      </c>
      <c r="W368" t="str">
        <f t="shared" si="151"/>
        <v>04-08-2020</v>
      </c>
      <c r="X368" t="str">
        <f t="shared" si="152"/>
        <v>RAZIMAH ANSAR AHMAD</v>
      </c>
      <c r="Y368" t="str">
        <f t="shared" si="153"/>
        <v>04-08-2020</v>
      </c>
      <c r="Z368" t="str">
        <f>"IDSB19200804 284"</f>
        <v>IDSB19200804 284</v>
      </c>
    </row>
    <row r="369" spans="1:26" x14ac:dyDescent="0.25">
      <c r="A369" t="str">
        <f t="shared" si="157"/>
        <v>04-08-2020 01:21:07</v>
      </c>
      <c r="B369" t="str">
        <f>"0000810595"</f>
        <v>0000810595</v>
      </c>
      <c r="C369" t="str">
        <f t="shared" si="158"/>
        <v>0000810512</v>
      </c>
      <c r="D369" t="str">
        <f t="shared" si="139"/>
        <v>73185</v>
      </c>
      <c r="E369" t="str">
        <f t="shared" si="140"/>
        <v>KFH-OPERATIONS DEPARTMENT</v>
      </c>
      <c r="F369" t="str">
        <f t="shared" si="141"/>
        <v>IBG</v>
      </c>
      <c r="G369" t="str">
        <f t="shared" si="154"/>
        <v>Refund IDSB 19</v>
      </c>
      <c r="H369" s="2">
        <v>528.69000000000005</v>
      </c>
      <c r="I369" t="str">
        <f>"MOHAMAD RIZAL BIN ZAINUDDIN"</f>
        <v>MOHAMAD RIZAL BIN ZAINUDDIN</v>
      </c>
      <c r="J369" t="str">
        <f t="shared" si="159"/>
        <v>MAYBANK / MAYBANK ISLAMIC</v>
      </c>
      <c r="K369" t="str">
        <f>"155126994031"</f>
        <v>155126994031</v>
      </c>
      <c r="L369" t="str">
        <f t="shared" si="160"/>
        <v>04-08-2020</v>
      </c>
      <c r="M369" t="str">
        <f t="shared" si="160"/>
        <v>04-08-2020</v>
      </c>
      <c r="N369" t="str">
        <f t="shared" si="143"/>
        <v>001105018356</v>
      </c>
      <c r="O369" t="str">
        <f t="shared" si="144"/>
        <v>MYR</v>
      </c>
      <c r="P369" t="str">
        <f t="shared" si="161"/>
        <v>NIL</v>
      </c>
      <c r="Q369" t="str">
        <f t="shared" si="161"/>
        <v>NIL</v>
      </c>
      <c r="R369" t="str">
        <f t="shared" si="146"/>
        <v>Accepted</v>
      </c>
      <c r="S369" t="str">
        <f t="shared" si="147"/>
        <v>Approved</v>
      </c>
      <c r="T369" t="str">
        <f t="shared" si="148"/>
        <v>10.20.8.188</v>
      </c>
      <c r="U369" t="str">
        <f t="shared" si="149"/>
        <v>AZRAD UMAR BIN SHAARI</v>
      </c>
      <c r="V369" t="str">
        <f t="shared" si="150"/>
        <v>FARHANA BINTI MUSTAPA</v>
      </c>
      <c r="W369" t="str">
        <f t="shared" si="151"/>
        <v>04-08-2020</v>
      </c>
      <c r="X369" t="str">
        <f t="shared" si="152"/>
        <v>RAZIMAH ANSAR AHMAD</v>
      </c>
      <c r="Y369" t="str">
        <f t="shared" si="153"/>
        <v>04-08-2020</v>
      </c>
      <c r="Z369" t="str">
        <f>"IDSB19200804 283"</f>
        <v>IDSB19200804 283</v>
      </c>
    </row>
    <row r="370" spans="1:26" x14ac:dyDescent="0.25">
      <c r="A370" t="str">
        <f t="shared" si="157"/>
        <v>04-08-2020 01:21:07</v>
      </c>
      <c r="B370" t="str">
        <f>"0000810594"</f>
        <v>0000810594</v>
      </c>
      <c r="C370" t="str">
        <f t="shared" si="158"/>
        <v>0000810512</v>
      </c>
      <c r="D370" t="str">
        <f t="shared" si="139"/>
        <v>73185</v>
      </c>
      <c r="E370" t="str">
        <f t="shared" si="140"/>
        <v>KFH-OPERATIONS DEPARTMENT</v>
      </c>
      <c r="F370" t="str">
        <f t="shared" si="141"/>
        <v>IBG</v>
      </c>
      <c r="G370" t="str">
        <f t="shared" si="154"/>
        <v>Refund IDSB 19</v>
      </c>
      <c r="H370" s="2">
        <v>190</v>
      </c>
      <c r="I370" t="str">
        <f>"MOHAMAD KHAIRRUL NIZAM BABDUL LATIF"</f>
        <v>MOHAMAD KHAIRRUL NIZAM BABDUL LATIF</v>
      </c>
      <c r="J370" t="str">
        <f t="shared" si="159"/>
        <v>MAYBANK / MAYBANK ISLAMIC</v>
      </c>
      <c r="K370" t="str">
        <f>"107107352343"</f>
        <v>107107352343</v>
      </c>
      <c r="L370" t="str">
        <f t="shared" si="160"/>
        <v>04-08-2020</v>
      </c>
      <c r="M370" t="str">
        <f t="shared" si="160"/>
        <v>04-08-2020</v>
      </c>
      <c r="N370" t="str">
        <f t="shared" si="143"/>
        <v>001105018356</v>
      </c>
      <c r="O370" t="str">
        <f t="shared" si="144"/>
        <v>MYR</v>
      </c>
      <c r="P370" t="str">
        <f t="shared" si="161"/>
        <v>NIL</v>
      </c>
      <c r="Q370" t="str">
        <f t="shared" si="161"/>
        <v>NIL</v>
      </c>
      <c r="R370" t="str">
        <f t="shared" si="146"/>
        <v>Accepted</v>
      </c>
      <c r="S370" t="str">
        <f t="shared" si="147"/>
        <v>Approved</v>
      </c>
      <c r="T370" t="str">
        <f t="shared" si="148"/>
        <v>10.20.8.188</v>
      </c>
      <c r="U370" t="str">
        <f t="shared" si="149"/>
        <v>AZRAD UMAR BIN SHAARI</v>
      </c>
      <c r="V370" t="str">
        <f t="shared" si="150"/>
        <v>FARHANA BINTI MUSTAPA</v>
      </c>
      <c r="W370" t="str">
        <f t="shared" si="151"/>
        <v>04-08-2020</v>
      </c>
      <c r="X370" t="str">
        <f t="shared" si="152"/>
        <v>RAZIMAH ANSAR AHMAD</v>
      </c>
      <c r="Y370" t="str">
        <f t="shared" si="153"/>
        <v>04-08-2020</v>
      </c>
      <c r="Z370" t="str">
        <f>"IDSB19200804 282"</f>
        <v>IDSB19200804 282</v>
      </c>
    </row>
    <row r="371" spans="1:26" x14ac:dyDescent="0.25">
      <c r="A371" t="str">
        <f t="shared" si="157"/>
        <v>04-08-2020 01:21:07</v>
      </c>
      <c r="B371" t="str">
        <f>"0000810593"</f>
        <v>0000810593</v>
      </c>
      <c r="C371" t="str">
        <f t="shared" si="158"/>
        <v>0000810512</v>
      </c>
      <c r="D371" t="str">
        <f t="shared" si="139"/>
        <v>73185</v>
      </c>
      <c r="E371" t="str">
        <f t="shared" si="140"/>
        <v>KFH-OPERATIONS DEPARTMENT</v>
      </c>
      <c r="F371" t="str">
        <f t="shared" si="141"/>
        <v>IBG</v>
      </c>
      <c r="G371" t="str">
        <f t="shared" si="154"/>
        <v>Refund IDSB 19</v>
      </c>
      <c r="H371" s="2">
        <v>683</v>
      </c>
      <c r="I371" t="str">
        <f>"MOHAMAD ELIAS BIN SHAMSUDIN"</f>
        <v>MOHAMAD ELIAS BIN SHAMSUDIN</v>
      </c>
      <c r="J371" t="str">
        <f t="shared" si="159"/>
        <v>MAYBANK / MAYBANK ISLAMIC</v>
      </c>
      <c r="K371" t="str">
        <f>"156123697069"</f>
        <v>156123697069</v>
      </c>
      <c r="L371" t="str">
        <f t="shared" si="160"/>
        <v>04-08-2020</v>
      </c>
      <c r="M371" t="str">
        <f t="shared" si="160"/>
        <v>04-08-2020</v>
      </c>
      <c r="N371" t="str">
        <f t="shared" si="143"/>
        <v>001105018356</v>
      </c>
      <c r="O371" t="str">
        <f t="shared" si="144"/>
        <v>MYR</v>
      </c>
      <c r="P371" t="str">
        <f t="shared" si="161"/>
        <v>NIL</v>
      </c>
      <c r="Q371" t="str">
        <f t="shared" si="161"/>
        <v>NIL</v>
      </c>
      <c r="R371" t="str">
        <f t="shared" si="146"/>
        <v>Accepted</v>
      </c>
      <c r="S371" t="str">
        <f t="shared" si="147"/>
        <v>Approved</v>
      </c>
      <c r="T371" t="str">
        <f t="shared" si="148"/>
        <v>10.20.8.188</v>
      </c>
      <c r="U371" t="str">
        <f t="shared" si="149"/>
        <v>AZRAD UMAR BIN SHAARI</v>
      </c>
      <c r="V371" t="str">
        <f t="shared" si="150"/>
        <v>FARHANA BINTI MUSTAPA</v>
      </c>
      <c r="W371" t="str">
        <f t="shared" si="151"/>
        <v>04-08-2020</v>
      </c>
      <c r="X371" t="str">
        <f t="shared" si="152"/>
        <v>RAZIMAH ANSAR AHMAD</v>
      </c>
      <c r="Y371" t="str">
        <f t="shared" si="153"/>
        <v>04-08-2020</v>
      </c>
      <c r="Z371" t="str">
        <f>"IDSB19200804 281"</f>
        <v>IDSB19200804 281</v>
      </c>
    </row>
    <row r="372" spans="1:26" x14ac:dyDescent="0.25">
      <c r="A372" t="str">
        <f t="shared" si="157"/>
        <v>04-08-2020 01:21:07</v>
      </c>
      <c r="B372" t="str">
        <f>"0000810592"</f>
        <v>0000810592</v>
      </c>
      <c r="C372" t="str">
        <f t="shared" si="158"/>
        <v>0000810512</v>
      </c>
      <c r="D372" t="str">
        <f t="shared" si="139"/>
        <v>73185</v>
      </c>
      <c r="E372" t="str">
        <f t="shared" si="140"/>
        <v>KFH-OPERATIONS DEPARTMENT</v>
      </c>
      <c r="F372" t="str">
        <f t="shared" si="141"/>
        <v>IBG</v>
      </c>
      <c r="G372" t="str">
        <f t="shared" si="154"/>
        <v>Refund IDSB 19</v>
      </c>
      <c r="H372" s="2">
        <v>67.2</v>
      </c>
      <c r="I372" t="str">
        <f>"MOHAMAD ELIAS BIN SHAMSUDIN"</f>
        <v>MOHAMAD ELIAS BIN SHAMSUDIN</v>
      </c>
      <c r="J372" t="str">
        <f t="shared" si="159"/>
        <v>MAYBANK / MAYBANK ISLAMIC</v>
      </c>
      <c r="K372" t="str">
        <f>"156123697069"</f>
        <v>156123697069</v>
      </c>
      <c r="L372" t="str">
        <f t="shared" si="160"/>
        <v>04-08-2020</v>
      </c>
      <c r="M372" t="str">
        <f t="shared" si="160"/>
        <v>04-08-2020</v>
      </c>
      <c r="N372" t="str">
        <f t="shared" si="143"/>
        <v>001105018356</v>
      </c>
      <c r="O372" t="str">
        <f t="shared" si="144"/>
        <v>MYR</v>
      </c>
      <c r="P372" t="str">
        <f t="shared" si="161"/>
        <v>NIL</v>
      </c>
      <c r="Q372" t="str">
        <f t="shared" si="161"/>
        <v>NIL</v>
      </c>
      <c r="R372" t="str">
        <f t="shared" si="146"/>
        <v>Accepted</v>
      </c>
      <c r="S372" t="str">
        <f t="shared" si="147"/>
        <v>Approved</v>
      </c>
      <c r="T372" t="str">
        <f t="shared" si="148"/>
        <v>10.20.8.188</v>
      </c>
      <c r="U372" t="str">
        <f t="shared" si="149"/>
        <v>AZRAD UMAR BIN SHAARI</v>
      </c>
      <c r="V372" t="str">
        <f t="shared" si="150"/>
        <v>FARHANA BINTI MUSTAPA</v>
      </c>
      <c r="W372" t="str">
        <f t="shared" si="151"/>
        <v>04-08-2020</v>
      </c>
      <c r="X372" t="str">
        <f t="shared" si="152"/>
        <v>RAZIMAH ANSAR AHMAD</v>
      </c>
      <c r="Y372" t="str">
        <f t="shared" si="153"/>
        <v>04-08-2020</v>
      </c>
      <c r="Z372" t="str">
        <f>"IDSB19200804 280"</f>
        <v>IDSB19200804 280</v>
      </c>
    </row>
    <row r="373" spans="1:26" x14ac:dyDescent="0.25">
      <c r="A373" t="str">
        <f t="shared" si="157"/>
        <v>04-08-2020 01:21:07</v>
      </c>
      <c r="B373" t="str">
        <f>"0000810591"</f>
        <v>0000810591</v>
      </c>
      <c r="C373" t="str">
        <f t="shared" si="158"/>
        <v>0000810512</v>
      </c>
      <c r="D373" t="str">
        <f t="shared" si="139"/>
        <v>73185</v>
      </c>
      <c r="E373" t="str">
        <f t="shared" si="140"/>
        <v>KFH-OPERATIONS DEPARTMENT</v>
      </c>
      <c r="F373" t="str">
        <f t="shared" si="141"/>
        <v>IBG</v>
      </c>
      <c r="G373" t="str">
        <f t="shared" si="154"/>
        <v>Refund IDSB 19</v>
      </c>
      <c r="H373" s="2">
        <v>1518</v>
      </c>
      <c r="I373" t="str">
        <f>"MIMI NURHUDA BINTI MAJID"</f>
        <v>MIMI NURHUDA BINTI MAJID</v>
      </c>
      <c r="J373" t="str">
        <f t="shared" si="159"/>
        <v>MAYBANK / MAYBANK ISLAMIC</v>
      </c>
      <c r="K373" t="str">
        <f>"112745021468"</f>
        <v>112745021468</v>
      </c>
      <c r="L373" t="str">
        <f t="shared" si="160"/>
        <v>04-08-2020</v>
      </c>
      <c r="M373" t="str">
        <f t="shared" si="160"/>
        <v>04-08-2020</v>
      </c>
      <c r="N373" t="str">
        <f t="shared" si="143"/>
        <v>001105018356</v>
      </c>
      <c r="O373" t="str">
        <f t="shared" si="144"/>
        <v>MYR</v>
      </c>
      <c r="P373" t="str">
        <f t="shared" si="161"/>
        <v>NIL</v>
      </c>
      <c r="Q373" t="str">
        <f t="shared" si="161"/>
        <v>NIL</v>
      </c>
      <c r="R373" t="str">
        <f t="shared" si="146"/>
        <v>Accepted</v>
      </c>
      <c r="S373" t="str">
        <f t="shared" si="147"/>
        <v>Approved</v>
      </c>
      <c r="T373" t="str">
        <f t="shared" si="148"/>
        <v>10.20.8.188</v>
      </c>
      <c r="U373" t="str">
        <f t="shared" si="149"/>
        <v>AZRAD UMAR BIN SHAARI</v>
      </c>
      <c r="V373" t="str">
        <f t="shared" si="150"/>
        <v>FARHANA BINTI MUSTAPA</v>
      </c>
      <c r="W373" t="str">
        <f t="shared" si="151"/>
        <v>04-08-2020</v>
      </c>
      <c r="X373" t="str">
        <f t="shared" si="152"/>
        <v>RAZIMAH ANSAR AHMAD</v>
      </c>
      <c r="Y373" t="str">
        <f t="shared" si="153"/>
        <v>04-08-2020</v>
      </c>
      <c r="Z373" t="str">
        <f>"IDSB19200804 279"</f>
        <v>IDSB19200804 279</v>
      </c>
    </row>
    <row r="374" spans="1:26" x14ac:dyDescent="0.25">
      <c r="A374" t="str">
        <f t="shared" si="157"/>
        <v>04-08-2020 01:21:07</v>
      </c>
      <c r="B374" t="str">
        <f>"0000810590"</f>
        <v>0000810590</v>
      </c>
      <c r="C374" t="str">
        <f t="shared" si="158"/>
        <v>0000810512</v>
      </c>
      <c r="D374" t="str">
        <f t="shared" si="139"/>
        <v>73185</v>
      </c>
      <c r="E374" t="str">
        <f t="shared" si="140"/>
        <v>KFH-OPERATIONS DEPARTMENT</v>
      </c>
      <c r="F374" t="str">
        <f t="shared" si="141"/>
        <v>IBG</v>
      </c>
      <c r="G374" t="str">
        <f t="shared" si="154"/>
        <v>Refund IDSB 19</v>
      </c>
      <c r="H374" s="2">
        <v>125.9</v>
      </c>
      <c r="I374" t="str">
        <f>"MAZ ZUEIN BINTI ABDUL AZIS"</f>
        <v>MAZ ZUEIN BINTI ABDUL AZIS</v>
      </c>
      <c r="J374" t="str">
        <f t="shared" si="159"/>
        <v>MAYBANK / MAYBANK ISLAMIC</v>
      </c>
      <c r="K374" t="str">
        <f>"164137542776"</f>
        <v>164137542776</v>
      </c>
      <c r="L374" t="str">
        <f t="shared" si="160"/>
        <v>04-08-2020</v>
      </c>
      <c r="M374" t="str">
        <f t="shared" si="160"/>
        <v>04-08-2020</v>
      </c>
      <c r="N374" t="str">
        <f t="shared" si="143"/>
        <v>001105018356</v>
      </c>
      <c r="O374" t="str">
        <f t="shared" si="144"/>
        <v>MYR</v>
      </c>
      <c r="P374" t="str">
        <f t="shared" si="161"/>
        <v>NIL</v>
      </c>
      <c r="Q374" t="str">
        <f t="shared" si="161"/>
        <v>NIL</v>
      </c>
      <c r="R374" t="str">
        <f t="shared" si="146"/>
        <v>Accepted</v>
      </c>
      <c r="S374" t="str">
        <f t="shared" si="147"/>
        <v>Approved</v>
      </c>
      <c r="T374" t="str">
        <f t="shared" si="148"/>
        <v>10.20.8.188</v>
      </c>
      <c r="U374" t="str">
        <f t="shared" si="149"/>
        <v>AZRAD UMAR BIN SHAARI</v>
      </c>
      <c r="V374" t="str">
        <f t="shared" si="150"/>
        <v>FARHANA BINTI MUSTAPA</v>
      </c>
      <c r="W374" t="str">
        <f t="shared" si="151"/>
        <v>04-08-2020</v>
      </c>
      <c r="X374" t="str">
        <f t="shared" si="152"/>
        <v>RAZIMAH ANSAR AHMAD</v>
      </c>
      <c r="Y374" t="str">
        <f t="shared" si="153"/>
        <v>04-08-2020</v>
      </c>
      <c r="Z374" t="str">
        <f>"IDSB19200804 278"</f>
        <v>IDSB19200804 278</v>
      </c>
    </row>
    <row r="375" spans="1:26" x14ac:dyDescent="0.25">
      <c r="A375" t="str">
        <f t="shared" si="157"/>
        <v>04-08-2020 01:21:07</v>
      </c>
      <c r="B375" t="str">
        <f>"0000810589"</f>
        <v>0000810589</v>
      </c>
      <c r="C375" t="str">
        <f t="shared" si="158"/>
        <v>0000810512</v>
      </c>
      <c r="D375" t="str">
        <f t="shared" si="139"/>
        <v>73185</v>
      </c>
      <c r="E375" t="str">
        <f t="shared" si="140"/>
        <v>KFH-OPERATIONS DEPARTMENT</v>
      </c>
      <c r="F375" t="str">
        <f t="shared" si="141"/>
        <v>IBG</v>
      </c>
      <c r="G375" t="str">
        <f t="shared" si="154"/>
        <v>Refund IDSB 19</v>
      </c>
      <c r="H375" s="2">
        <v>1836.95</v>
      </c>
      <c r="I375" t="str">
        <f>"MASSITA BINTI NORDIN"</f>
        <v>MASSITA BINTI NORDIN</v>
      </c>
      <c r="J375" t="str">
        <f t="shared" si="159"/>
        <v>MAYBANK / MAYBANK ISLAMIC</v>
      </c>
      <c r="K375" t="str">
        <f>"512905522674"</f>
        <v>512905522674</v>
      </c>
      <c r="L375" t="str">
        <f t="shared" si="160"/>
        <v>04-08-2020</v>
      </c>
      <c r="M375" t="str">
        <f t="shared" si="160"/>
        <v>04-08-2020</v>
      </c>
      <c r="N375" t="str">
        <f t="shared" si="143"/>
        <v>001105018356</v>
      </c>
      <c r="O375" t="str">
        <f t="shared" si="144"/>
        <v>MYR</v>
      </c>
      <c r="P375" t="str">
        <f t="shared" si="161"/>
        <v>NIL</v>
      </c>
      <c r="Q375" t="str">
        <f t="shared" si="161"/>
        <v>NIL</v>
      </c>
      <c r="R375" t="str">
        <f t="shared" si="146"/>
        <v>Accepted</v>
      </c>
      <c r="S375" t="str">
        <f t="shared" si="147"/>
        <v>Approved</v>
      </c>
      <c r="T375" t="str">
        <f t="shared" si="148"/>
        <v>10.20.8.188</v>
      </c>
      <c r="U375" t="str">
        <f t="shared" si="149"/>
        <v>AZRAD UMAR BIN SHAARI</v>
      </c>
      <c r="V375" t="str">
        <f t="shared" si="150"/>
        <v>FARHANA BINTI MUSTAPA</v>
      </c>
      <c r="W375" t="str">
        <f t="shared" si="151"/>
        <v>04-08-2020</v>
      </c>
      <c r="X375" t="str">
        <f t="shared" si="152"/>
        <v>RAZIMAH ANSAR AHMAD</v>
      </c>
      <c r="Y375" t="str">
        <f t="shared" si="153"/>
        <v>04-08-2020</v>
      </c>
      <c r="Z375" t="str">
        <f>"IDSB19200804 277"</f>
        <v>IDSB19200804 277</v>
      </c>
    </row>
    <row r="376" spans="1:26" x14ac:dyDescent="0.25">
      <c r="A376" t="str">
        <f t="shared" si="157"/>
        <v>04-08-2020 01:21:07</v>
      </c>
      <c r="B376" t="str">
        <f>"0000810588"</f>
        <v>0000810588</v>
      </c>
      <c r="C376" t="str">
        <f t="shared" si="158"/>
        <v>0000810512</v>
      </c>
      <c r="D376" t="str">
        <f t="shared" si="139"/>
        <v>73185</v>
      </c>
      <c r="E376" t="str">
        <f t="shared" si="140"/>
        <v>KFH-OPERATIONS DEPARTMENT</v>
      </c>
      <c r="F376" t="str">
        <f t="shared" si="141"/>
        <v>IBG</v>
      </c>
      <c r="G376" t="str">
        <f t="shared" si="154"/>
        <v>Refund IDSB 19</v>
      </c>
      <c r="H376" s="2">
        <v>1679</v>
      </c>
      <c r="I376" t="str">
        <f>"MASRIA BINTI MUSTAFA"</f>
        <v>MASRIA BINTI MUSTAFA</v>
      </c>
      <c r="J376" t="str">
        <f t="shared" si="159"/>
        <v>MAYBANK / MAYBANK ISLAMIC</v>
      </c>
      <c r="K376" t="str">
        <f>"105056079697"</f>
        <v>105056079697</v>
      </c>
      <c r="L376" t="str">
        <f t="shared" si="160"/>
        <v>04-08-2020</v>
      </c>
      <c r="M376" t="str">
        <f t="shared" si="160"/>
        <v>04-08-2020</v>
      </c>
      <c r="N376" t="str">
        <f t="shared" si="143"/>
        <v>001105018356</v>
      </c>
      <c r="O376" t="str">
        <f t="shared" si="144"/>
        <v>MYR</v>
      </c>
      <c r="P376" t="str">
        <f t="shared" si="161"/>
        <v>NIL</v>
      </c>
      <c r="Q376" t="str">
        <f t="shared" si="161"/>
        <v>NIL</v>
      </c>
      <c r="R376" t="str">
        <f t="shared" si="146"/>
        <v>Accepted</v>
      </c>
      <c r="S376" t="str">
        <f t="shared" si="147"/>
        <v>Approved</v>
      </c>
      <c r="T376" t="str">
        <f t="shared" si="148"/>
        <v>10.20.8.188</v>
      </c>
      <c r="U376" t="str">
        <f t="shared" si="149"/>
        <v>AZRAD UMAR BIN SHAARI</v>
      </c>
      <c r="V376" t="str">
        <f t="shared" si="150"/>
        <v>FARHANA BINTI MUSTAPA</v>
      </c>
      <c r="W376" t="str">
        <f t="shared" si="151"/>
        <v>04-08-2020</v>
      </c>
      <c r="X376" t="str">
        <f t="shared" si="152"/>
        <v>RAZIMAH ANSAR AHMAD</v>
      </c>
      <c r="Y376" t="str">
        <f t="shared" si="153"/>
        <v>04-08-2020</v>
      </c>
      <c r="Z376" t="str">
        <f>"IDSB19200804 276"</f>
        <v>IDSB19200804 276</v>
      </c>
    </row>
    <row r="377" spans="1:26" x14ac:dyDescent="0.25">
      <c r="A377" t="str">
        <f t="shared" si="157"/>
        <v>04-08-2020 01:21:07</v>
      </c>
      <c r="B377" t="str">
        <f>"0000810587"</f>
        <v>0000810587</v>
      </c>
      <c r="C377" t="str">
        <f t="shared" si="158"/>
        <v>0000810512</v>
      </c>
      <c r="D377" t="str">
        <f t="shared" si="139"/>
        <v>73185</v>
      </c>
      <c r="E377" t="str">
        <f t="shared" si="140"/>
        <v>KFH-OPERATIONS DEPARTMENT</v>
      </c>
      <c r="F377" t="str">
        <f t="shared" si="141"/>
        <v>IBG</v>
      </c>
      <c r="G377" t="str">
        <f t="shared" si="154"/>
        <v>Refund IDSB 19</v>
      </c>
      <c r="H377" s="2">
        <v>420</v>
      </c>
      <c r="I377" t="str">
        <f>"MASHITAH BINTI A RAHMAN"</f>
        <v>MASHITAH BINTI A RAHMAN</v>
      </c>
      <c r="J377" t="str">
        <f t="shared" si="159"/>
        <v>MAYBANK / MAYBANK ISLAMIC</v>
      </c>
      <c r="K377" t="str">
        <f>"101066975795"</f>
        <v>101066975795</v>
      </c>
      <c r="L377" t="str">
        <f t="shared" si="160"/>
        <v>04-08-2020</v>
      </c>
      <c r="M377" t="str">
        <f t="shared" si="160"/>
        <v>04-08-2020</v>
      </c>
      <c r="N377" t="str">
        <f t="shared" si="143"/>
        <v>001105018356</v>
      </c>
      <c r="O377" t="str">
        <f t="shared" si="144"/>
        <v>MYR</v>
      </c>
      <c r="P377" t="str">
        <f t="shared" si="161"/>
        <v>NIL</v>
      </c>
      <c r="Q377" t="str">
        <f t="shared" si="161"/>
        <v>NIL</v>
      </c>
      <c r="R377" t="str">
        <f t="shared" si="146"/>
        <v>Accepted</v>
      </c>
      <c r="S377" t="str">
        <f t="shared" si="147"/>
        <v>Approved</v>
      </c>
      <c r="T377" t="str">
        <f t="shared" si="148"/>
        <v>10.20.8.188</v>
      </c>
      <c r="U377" t="str">
        <f t="shared" si="149"/>
        <v>AZRAD UMAR BIN SHAARI</v>
      </c>
      <c r="V377" t="str">
        <f t="shared" si="150"/>
        <v>FARHANA BINTI MUSTAPA</v>
      </c>
      <c r="W377" t="str">
        <f t="shared" si="151"/>
        <v>04-08-2020</v>
      </c>
      <c r="X377" t="str">
        <f t="shared" si="152"/>
        <v>RAZIMAH ANSAR AHMAD</v>
      </c>
      <c r="Y377" t="str">
        <f t="shared" si="153"/>
        <v>04-08-2020</v>
      </c>
      <c r="Z377" t="str">
        <f>"IDSB19200804 275"</f>
        <v>IDSB19200804 275</v>
      </c>
    </row>
    <row r="378" spans="1:26" x14ac:dyDescent="0.25">
      <c r="A378" t="str">
        <f t="shared" si="157"/>
        <v>04-08-2020 01:21:07</v>
      </c>
      <c r="B378" t="str">
        <f>"0000810586"</f>
        <v>0000810586</v>
      </c>
      <c r="C378" t="str">
        <f t="shared" si="158"/>
        <v>0000810512</v>
      </c>
      <c r="D378" t="str">
        <f t="shared" si="139"/>
        <v>73185</v>
      </c>
      <c r="E378" t="str">
        <f t="shared" si="140"/>
        <v>KFH-OPERATIONS DEPARTMENT</v>
      </c>
      <c r="F378" t="str">
        <f t="shared" si="141"/>
        <v>IBG</v>
      </c>
      <c r="G378" t="str">
        <f t="shared" si="154"/>
        <v>Refund IDSB 19</v>
      </c>
      <c r="H378" s="2">
        <v>251.85</v>
      </c>
      <c r="I378" t="str">
        <f>"MAIZATUL AKMA BINTI MHD HADZIR"</f>
        <v>MAIZATUL AKMA BINTI MHD HADZIR</v>
      </c>
      <c r="J378" t="str">
        <f t="shared" si="159"/>
        <v>MAYBANK / MAYBANK ISLAMIC</v>
      </c>
      <c r="K378" t="str">
        <f>"152095695751"</f>
        <v>152095695751</v>
      </c>
      <c r="L378" t="str">
        <f t="shared" si="160"/>
        <v>04-08-2020</v>
      </c>
      <c r="M378" t="str">
        <f t="shared" si="160"/>
        <v>04-08-2020</v>
      </c>
      <c r="N378" t="str">
        <f t="shared" si="143"/>
        <v>001105018356</v>
      </c>
      <c r="O378" t="str">
        <f t="shared" si="144"/>
        <v>MYR</v>
      </c>
      <c r="P378" t="str">
        <f t="shared" si="161"/>
        <v>NIL</v>
      </c>
      <c r="Q378" t="str">
        <f t="shared" si="161"/>
        <v>NIL</v>
      </c>
      <c r="R378" t="str">
        <f t="shared" si="146"/>
        <v>Accepted</v>
      </c>
      <c r="S378" t="str">
        <f t="shared" si="147"/>
        <v>Approved</v>
      </c>
      <c r="T378" t="str">
        <f t="shared" si="148"/>
        <v>10.20.8.188</v>
      </c>
      <c r="U378" t="str">
        <f t="shared" si="149"/>
        <v>AZRAD UMAR BIN SHAARI</v>
      </c>
      <c r="V378" t="str">
        <f t="shared" si="150"/>
        <v>FARHANA BINTI MUSTAPA</v>
      </c>
      <c r="W378" t="str">
        <f t="shared" si="151"/>
        <v>04-08-2020</v>
      </c>
      <c r="X378" t="str">
        <f t="shared" si="152"/>
        <v>RAZIMAH ANSAR AHMAD</v>
      </c>
      <c r="Y378" t="str">
        <f t="shared" si="153"/>
        <v>04-08-2020</v>
      </c>
      <c r="Z378" t="str">
        <f>"IDSB19200804 274"</f>
        <v>IDSB19200804 274</v>
      </c>
    </row>
    <row r="379" spans="1:26" x14ac:dyDescent="0.25">
      <c r="A379" t="str">
        <f t="shared" si="157"/>
        <v>04-08-2020 01:21:07</v>
      </c>
      <c r="B379" t="str">
        <f>"0000810585"</f>
        <v>0000810585</v>
      </c>
      <c r="C379" t="str">
        <f t="shared" si="158"/>
        <v>0000810512</v>
      </c>
      <c r="D379" t="str">
        <f t="shared" si="139"/>
        <v>73185</v>
      </c>
      <c r="E379" t="str">
        <f t="shared" si="140"/>
        <v>KFH-OPERATIONS DEPARTMENT</v>
      </c>
      <c r="F379" t="str">
        <f t="shared" si="141"/>
        <v>IBG</v>
      </c>
      <c r="G379" t="str">
        <f t="shared" si="154"/>
        <v>Refund IDSB 19</v>
      </c>
      <c r="H379" s="2">
        <v>1138</v>
      </c>
      <c r="I379" t="str">
        <f>"LENI MARLINA BINTI MUSOLLI"</f>
        <v>LENI MARLINA BINTI MUSOLLI</v>
      </c>
      <c r="J379" t="str">
        <f t="shared" si="159"/>
        <v>MAYBANK / MAYBANK ISLAMIC</v>
      </c>
      <c r="K379" t="str">
        <f>"162197022785"</f>
        <v>162197022785</v>
      </c>
      <c r="L379" t="str">
        <f t="shared" si="160"/>
        <v>04-08-2020</v>
      </c>
      <c r="M379" t="str">
        <f t="shared" si="160"/>
        <v>04-08-2020</v>
      </c>
      <c r="N379" t="str">
        <f t="shared" si="143"/>
        <v>001105018356</v>
      </c>
      <c r="O379" t="str">
        <f t="shared" si="144"/>
        <v>MYR</v>
      </c>
      <c r="P379" t="str">
        <f t="shared" si="161"/>
        <v>NIL</v>
      </c>
      <c r="Q379" t="str">
        <f t="shared" si="161"/>
        <v>NIL</v>
      </c>
      <c r="R379" t="str">
        <f t="shared" si="146"/>
        <v>Accepted</v>
      </c>
      <c r="S379" t="str">
        <f t="shared" si="147"/>
        <v>Approved</v>
      </c>
      <c r="T379" t="str">
        <f t="shared" si="148"/>
        <v>10.20.8.188</v>
      </c>
      <c r="U379" t="str">
        <f t="shared" si="149"/>
        <v>AZRAD UMAR BIN SHAARI</v>
      </c>
      <c r="V379" t="str">
        <f t="shared" si="150"/>
        <v>FARHANA BINTI MUSTAPA</v>
      </c>
      <c r="W379" t="str">
        <f t="shared" si="151"/>
        <v>04-08-2020</v>
      </c>
      <c r="X379" t="str">
        <f t="shared" si="152"/>
        <v>RAZIMAH ANSAR AHMAD</v>
      </c>
      <c r="Y379" t="str">
        <f t="shared" si="153"/>
        <v>04-08-2020</v>
      </c>
      <c r="Z379" t="str">
        <f>"IDSB19200804 273"</f>
        <v>IDSB19200804 273</v>
      </c>
    </row>
    <row r="380" spans="1:26" x14ac:dyDescent="0.25">
      <c r="A380" t="str">
        <f t="shared" ref="A380:A411" si="162">"04-08-2020 01:21:07"</f>
        <v>04-08-2020 01:21:07</v>
      </c>
      <c r="B380" t="str">
        <f>"0000810584"</f>
        <v>0000810584</v>
      </c>
      <c r="C380" t="str">
        <f t="shared" ref="C380:C411" si="163">"0000810512"</f>
        <v>0000810512</v>
      </c>
      <c r="D380" t="str">
        <f t="shared" si="139"/>
        <v>73185</v>
      </c>
      <c r="E380" t="str">
        <f t="shared" si="140"/>
        <v>KFH-OPERATIONS DEPARTMENT</v>
      </c>
      <c r="F380" t="str">
        <f t="shared" si="141"/>
        <v>IBG</v>
      </c>
      <c r="G380" t="str">
        <f t="shared" si="154"/>
        <v>Refund IDSB 19</v>
      </c>
      <c r="H380" s="2">
        <v>361</v>
      </c>
      <c r="I380" t="str">
        <f>"LAILAH SAWATI BINTI MISNAN"</f>
        <v>LAILAH SAWATI BINTI MISNAN</v>
      </c>
      <c r="J380" t="str">
        <f t="shared" si="159"/>
        <v>MAYBANK / MAYBANK ISLAMIC</v>
      </c>
      <c r="K380" t="str">
        <f>"155032010250"</f>
        <v>155032010250</v>
      </c>
      <c r="L380" t="str">
        <f t="shared" si="160"/>
        <v>04-08-2020</v>
      </c>
      <c r="M380" t="str">
        <f t="shared" si="160"/>
        <v>04-08-2020</v>
      </c>
      <c r="N380" t="str">
        <f t="shared" si="143"/>
        <v>001105018356</v>
      </c>
      <c r="O380" t="str">
        <f t="shared" si="144"/>
        <v>MYR</v>
      </c>
      <c r="P380" t="str">
        <f t="shared" si="161"/>
        <v>NIL</v>
      </c>
      <c r="Q380" t="str">
        <f t="shared" si="161"/>
        <v>NIL</v>
      </c>
      <c r="R380" t="str">
        <f t="shared" si="146"/>
        <v>Accepted</v>
      </c>
      <c r="S380" t="str">
        <f t="shared" si="147"/>
        <v>Approved</v>
      </c>
      <c r="T380" t="str">
        <f t="shared" si="148"/>
        <v>10.20.8.188</v>
      </c>
      <c r="U380" t="str">
        <f t="shared" si="149"/>
        <v>AZRAD UMAR BIN SHAARI</v>
      </c>
      <c r="V380" t="str">
        <f t="shared" si="150"/>
        <v>FARHANA BINTI MUSTAPA</v>
      </c>
      <c r="W380" t="str">
        <f t="shared" si="151"/>
        <v>04-08-2020</v>
      </c>
      <c r="X380" t="str">
        <f t="shared" si="152"/>
        <v>RAZIMAH ANSAR AHMAD</v>
      </c>
      <c r="Y380" t="str">
        <f t="shared" si="153"/>
        <v>04-08-2020</v>
      </c>
      <c r="Z380" t="str">
        <f>"IDSB19200804 272"</f>
        <v>IDSB19200804 272</v>
      </c>
    </row>
    <row r="381" spans="1:26" x14ac:dyDescent="0.25">
      <c r="A381" t="str">
        <f t="shared" si="162"/>
        <v>04-08-2020 01:21:07</v>
      </c>
      <c r="B381" t="str">
        <f>"0000810583"</f>
        <v>0000810583</v>
      </c>
      <c r="C381" t="str">
        <f t="shared" si="163"/>
        <v>0000810512</v>
      </c>
      <c r="D381" t="str">
        <f t="shared" si="139"/>
        <v>73185</v>
      </c>
      <c r="E381" t="str">
        <f t="shared" si="140"/>
        <v>KFH-OPERATIONS DEPARTMENT</v>
      </c>
      <c r="F381" t="str">
        <f t="shared" si="141"/>
        <v>IBG</v>
      </c>
      <c r="G381" t="str">
        <f t="shared" si="154"/>
        <v>Refund IDSB 19</v>
      </c>
      <c r="H381" s="2">
        <v>50.38</v>
      </c>
      <c r="I381" t="str">
        <f>"KHAIRUL NIZAM BIN OTHMAN"</f>
        <v>KHAIRUL NIZAM BIN OTHMAN</v>
      </c>
      <c r="J381" t="str">
        <f t="shared" si="159"/>
        <v>MAYBANK / MAYBANK ISLAMIC</v>
      </c>
      <c r="K381" t="str">
        <f>"101413213766"</f>
        <v>101413213766</v>
      </c>
      <c r="L381" t="str">
        <f t="shared" si="160"/>
        <v>04-08-2020</v>
      </c>
      <c r="M381" t="str">
        <f t="shared" si="160"/>
        <v>04-08-2020</v>
      </c>
      <c r="N381" t="str">
        <f t="shared" si="143"/>
        <v>001105018356</v>
      </c>
      <c r="O381" t="str">
        <f t="shared" si="144"/>
        <v>MYR</v>
      </c>
      <c r="P381" t="str">
        <f t="shared" si="161"/>
        <v>NIL</v>
      </c>
      <c r="Q381" t="str">
        <f t="shared" si="161"/>
        <v>NIL</v>
      </c>
      <c r="R381" t="str">
        <f t="shared" si="146"/>
        <v>Accepted</v>
      </c>
      <c r="S381" t="str">
        <f t="shared" si="147"/>
        <v>Approved</v>
      </c>
      <c r="T381" t="str">
        <f t="shared" si="148"/>
        <v>10.20.8.188</v>
      </c>
      <c r="U381" t="str">
        <f t="shared" si="149"/>
        <v>AZRAD UMAR BIN SHAARI</v>
      </c>
      <c r="V381" t="str">
        <f t="shared" si="150"/>
        <v>FARHANA BINTI MUSTAPA</v>
      </c>
      <c r="W381" t="str">
        <f t="shared" si="151"/>
        <v>04-08-2020</v>
      </c>
      <c r="X381" t="str">
        <f t="shared" si="152"/>
        <v>RAZIMAH ANSAR AHMAD</v>
      </c>
      <c r="Y381" t="str">
        <f t="shared" si="153"/>
        <v>04-08-2020</v>
      </c>
      <c r="Z381" t="str">
        <f>"IDSB19200804 271"</f>
        <v>IDSB19200804 271</v>
      </c>
    </row>
    <row r="382" spans="1:26" x14ac:dyDescent="0.25">
      <c r="A382" t="str">
        <f t="shared" si="162"/>
        <v>04-08-2020 01:21:07</v>
      </c>
      <c r="B382" t="str">
        <f>"0000810582"</f>
        <v>0000810582</v>
      </c>
      <c r="C382" t="str">
        <f t="shared" si="163"/>
        <v>0000810512</v>
      </c>
      <c r="D382" t="str">
        <f t="shared" si="139"/>
        <v>73185</v>
      </c>
      <c r="E382" t="str">
        <f t="shared" si="140"/>
        <v>KFH-OPERATIONS DEPARTMENT</v>
      </c>
      <c r="F382" t="str">
        <f t="shared" si="141"/>
        <v>IBG</v>
      </c>
      <c r="G382" t="str">
        <f t="shared" si="154"/>
        <v>Refund IDSB 19</v>
      </c>
      <c r="H382" s="2">
        <v>797.55</v>
      </c>
      <c r="I382" t="str">
        <f>"KHAIRUL NIZAM BIN MOHD NAZRI"</f>
        <v>KHAIRUL NIZAM BIN MOHD NAZRI</v>
      </c>
      <c r="J382" t="str">
        <f t="shared" si="159"/>
        <v>MAYBANK / MAYBANK ISLAMIC</v>
      </c>
      <c r="K382" t="str">
        <f>"151584143569"</f>
        <v>151584143569</v>
      </c>
      <c r="L382" t="str">
        <f t="shared" si="160"/>
        <v>04-08-2020</v>
      </c>
      <c r="M382" t="str">
        <f t="shared" si="160"/>
        <v>04-08-2020</v>
      </c>
      <c r="N382" t="str">
        <f t="shared" si="143"/>
        <v>001105018356</v>
      </c>
      <c r="O382" t="str">
        <f t="shared" si="144"/>
        <v>MYR</v>
      </c>
      <c r="P382" t="str">
        <f t="shared" si="161"/>
        <v>NIL</v>
      </c>
      <c r="Q382" t="str">
        <f t="shared" si="161"/>
        <v>NIL</v>
      </c>
      <c r="R382" t="str">
        <f t="shared" si="146"/>
        <v>Accepted</v>
      </c>
      <c r="S382" t="str">
        <f t="shared" si="147"/>
        <v>Approved</v>
      </c>
      <c r="T382" t="str">
        <f t="shared" si="148"/>
        <v>10.20.8.188</v>
      </c>
      <c r="U382" t="str">
        <f t="shared" si="149"/>
        <v>AZRAD UMAR BIN SHAARI</v>
      </c>
      <c r="V382" t="str">
        <f t="shared" si="150"/>
        <v>FARHANA BINTI MUSTAPA</v>
      </c>
      <c r="W382" t="str">
        <f t="shared" si="151"/>
        <v>04-08-2020</v>
      </c>
      <c r="X382" t="str">
        <f t="shared" si="152"/>
        <v>RAZIMAH ANSAR AHMAD</v>
      </c>
      <c r="Y382" t="str">
        <f t="shared" si="153"/>
        <v>04-08-2020</v>
      </c>
      <c r="Z382" t="str">
        <f>"IDSB19200804 270"</f>
        <v>IDSB19200804 270</v>
      </c>
    </row>
    <row r="383" spans="1:26" x14ac:dyDescent="0.25">
      <c r="A383" t="str">
        <f t="shared" si="162"/>
        <v>04-08-2020 01:21:07</v>
      </c>
      <c r="B383" t="str">
        <f>"0000810581"</f>
        <v>0000810581</v>
      </c>
      <c r="C383" t="str">
        <f t="shared" si="163"/>
        <v>0000810512</v>
      </c>
      <c r="D383" t="str">
        <f t="shared" si="139"/>
        <v>73185</v>
      </c>
      <c r="E383" t="str">
        <f t="shared" si="140"/>
        <v>KFH-OPERATIONS DEPARTMENT</v>
      </c>
      <c r="F383" t="str">
        <f t="shared" si="141"/>
        <v>IBG</v>
      </c>
      <c r="G383" t="str">
        <f t="shared" si="154"/>
        <v>Refund IDSB 19</v>
      </c>
      <c r="H383" s="2">
        <v>217.7</v>
      </c>
      <c r="I383" t="str">
        <f>"KHAIRUL JAWAHIR BIN AHMAD JAHARI"</f>
        <v>KHAIRUL JAWAHIR BIN AHMAD JAHARI</v>
      </c>
      <c r="J383" t="str">
        <f t="shared" si="159"/>
        <v>MAYBANK / MAYBANK ISLAMIC</v>
      </c>
      <c r="K383" t="str">
        <f>"162218370245"</f>
        <v>162218370245</v>
      </c>
      <c r="L383" t="str">
        <f t="shared" si="160"/>
        <v>04-08-2020</v>
      </c>
      <c r="M383" t="str">
        <f t="shared" si="160"/>
        <v>04-08-2020</v>
      </c>
      <c r="N383" t="str">
        <f t="shared" si="143"/>
        <v>001105018356</v>
      </c>
      <c r="O383" t="str">
        <f t="shared" si="144"/>
        <v>MYR</v>
      </c>
      <c r="P383" t="str">
        <f t="shared" si="161"/>
        <v>NIL</v>
      </c>
      <c r="Q383" t="str">
        <f t="shared" si="161"/>
        <v>NIL</v>
      </c>
      <c r="R383" t="str">
        <f t="shared" si="146"/>
        <v>Accepted</v>
      </c>
      <c r="S383" t="str">
        <f t="shared" si="147"/>
        <v>Approved</v>
      </c>
      <c r="T383" t="str">
        <f t="shared" si="148"/>
        <v>10.20.8.188</v>
      </c>
      <c r="U383" t="str">
        <f t="shared" si="149"/>
        <v>AZRAD UMAR BIN SHAARI</v>
      </c>
      <c r="V383" t="str">
        <f t="shared" si="150"/>
        <v>FARHANA BINTI MUSTAPA</v>
      </c>
      <c r="W383" t="str">
        <f t="shared" si="151"/>
        <v>04-08-2020</v>
      </c>
      <c r="X383" t="str">
        <f t="shared" si="152"/>
        <v>RAZIMAH ANSAR AHMAD</v>
      </c>
      <c r="Y383" t="str">
        <f t="shared" si="153"/>
        <v>04-08-2020</v>
      </c>
      <c r="Z383" t="str">
        <f>"IDSB19200804 269"</f>
        <v>IDSB19200804 269</v>
      </c>
    </row>
    <row r="384" spans="1:26" x14ac:dyDescent="0.25">
      <c r="A384" t="str">
        <f t="shared" si="162"/>
        <v>04-08-2020 01:21:07</v>
      </c>
      <c r="B384" t="str">
        <f>"0000810580"</f>
        <v>0000810580</v>
      </c>
      <c r="C384" t="str">
        <f t="shared" si="163"/>
        <v>0000810512</v>
      </c>
      <c r="D384" t="str">
        <f t="shared" si="139"/>
        <v>73185</v>
      </c>
      <c r="E384" t="str">
        <f t="shared" si="140"/>
        <v>KFH-OPERATIONS DEPARTMENT</v>
      </c>
      <c r="F384" t="str">
        <f t="shared" si="141"/>
        <v>IBG</v>
      </c>
      <c r="G384" t="str">
        <f t="shared" si="154"/>
        <v>Refund IDSB 19</v>
      </c>
      <c r="H384" s="2">
        <v>167.83</v>
      </c>
      <c r="I384" t="str">
        <f>"KHAIRUDIN BIN JOHARI"</f>
        <v>KHAIRUDIN BIN JOHARI</v>
      </c>
      <c r="J384" t="str">
        <f t="shared" si="159"/>
        <v>MAYBANK / MAYBANK ISLAMIC</v>
      </c>
      <c r="K384" t="str">
        <f>"158396020485"</f>
        <v>158396020485</v>
      </c>
      <c r="L384" t="str">
        <f t="shared" si="160"/>
        <v>04-08-2020</v>
      </c>
      <c r="M384" t="str">
        <f t="shared" si="160"/>
        <v>04-08-2020</v>
      </c>
      <c r="N384" t="str">
        <f t="shared" si="143"/>
        <v>001105018356</v>
      </c>
      <c r="O384" t="str">
        <f t="shared" si="144"/>
        <v>MYR</v>
      </c>
      <c r="P384" t="str">
        <f t="shared" si="161"/>
        <v>NIL</v>
      </c>
      <c r="Q384" t="str">
        <f t="shared" si="161"/>
        <v>NIL</v>
      </c>
      <c r="R384" t="str">
        <f t="shared" si="146"/>
        <v>Accepted</v>
      </c>
      <c r="S384" t="str">
        <f t="shared" si="147"/>
        <v>Approved</v>
      </c>
      <c r="T384" t="str">
        <f t="shared" si="148"/>
        <v>10.20.8.188</v>
      </c>
      <c r="U384" t="str">
        <f t="shared" si="149"/>
        <v>AZRAD UMAR BIN SHAARI</v>
      </c>
      <c r="V384" t="str">
        <f t="shared" si="150"/>
        <v>FARHANA BINTI MUSTAPA</v>
      </c>
      <c r="W384" t="str">
        <f t="shared" si="151"/>
        <v>04-08-2020</v>
      </c>
      <c r="X384" t="str">
        <f t="shared" si="152"/>
        <v>RAZIMAH ANSAR AHMAD</v>
      </c>
      <c r="Y384" t="str">
        <f t="shared" si="153"/>
        <v>04-08-2020</v>
      </c>
      <c r="Z384" t="str">
        <f>"IDSB19200804 268"</f>
        <v>IDSB19200804 268</v>
      </c>
    </row>
    <row r="385" spans="1:26" x14ac:dyDescent="0.25">
      <c r="A385" t="str">
        <f t="shared" si="162"/>
        <v>04-08-2020 01:21:07</v>
      </c>
      <c r="B385" t="str">
        <f>"0000810579"</f>
        <v>0000810579</v>
      </c>
      <c r="C385" t="str">
        <f t="shared" si="163"/>
        <v>0000810512</v>
      </c>
      <c r="D385" t="str">
        <f t="shared" si="139"/>
        <v>73185</v>
      </c>
      <c r="E385" t="str">
        <f t="shared" si="140"/>
        <v>KFH-OPERATIONS DEPARTMENT</v>
      </c>
      <c r="F385" t="str">
        <f t="shared" si="141"/>
        <v>IBG</v>
      </c>
      <c r="G385" t="str">
        <f t="shared" si="154"/>
        <v>Refund IDSB 19</v>
      </c>
      <c r="H385" s="2">
        <v>705.2</v>
      </c>
      <c r="I385" t="str">
        <f>"KHAIRRUL NIZAM BIN SHAHARUDDIN"</f>
        <v>KHAIRRUL NIZAM BIN SHAHARUDDIN</v>
      </c>
      <c r="J385" t="str">
        <f t="shared" si="159"/>
        <v>MAYBANK / MAYBANK ISLAMIC</v>
      </c>
      <c r="K385" t="str">
        <f>"162106357390"</f>
        <v>162106357390</v>
      </c>
      <c r="L385" t="str">
        <f t="shared" si="160"/>
        <v>04-08-2020</v>
      </c>
      <c r="M385" t="str">
        <f t="shared" si="160"/>
        <v>04-08-2020</v>
      </c>
      <c r="N385" t="str">
        <f t="shared" si="143"/>
        <v>001105018356</v>
      </c>
      <c r="O385" t="str">
        <f t="shared" si="144"/>
        <v>MYR</v>
      </c>
      <c r="P385" t="str">
        <f t="shared" si="161"/>
        <v>NIL</v>
      </c>
      <c r="Q385" t="str">
        <f t="shared" si="161"/>
        <v>NIL</v>
      </c>
      <c r="R385" t="str">
        <f t="shared" si="146"/>
        <v>Accepted</v>
      </c>
      <c r="S385" t="str">
        <f t="shared" si="147"/>
        <v>Approved</v>
      </c>
      <c r="T385" t="str">
        <f t="shared" si="148"/>
        <v>10.20.8.188</v>
      </c>
      <c r="U385" t="str">
        <f t="shared" si="149"/>
        <v>AZRAD UMAR BIN SHAARI</v>
      </c>
      <c r="V385" t="str">
        <f t="shared" si="150"/>
        <v>FARHANA BINTI MUSTAPA</v>
      </c>
      <c r="W385" t="str">
        <f t="shared" si="151"/>
        <v>04-08-2020</v>
      </c>
      <c r="X385" t="str">
        <f t="shared" si="152"/>
        <v>RAZIMAH ANSAR AHMAD</v>
      </c>
      <c r="Y385" t="str">
        <f t="shared" si="153"/>
        <v>04-08-2020</v>
      </c>
      <c r="Z385" t="str">
        <f>"IDSB19200804 267"</f>
        <v>IDSB19200804 267</v>
      </c>
    </row>
    <row r="386" spans="1:26" x14ac:dyDescent="0.25">
      <c r="A386" t="str">
        <f t="shared" si="162"/>
        <v>04-08-2020 01:21:07</v>
      </c>
      <c r="B386" t="str">
        <f>"0000810578"</f>
        <v>0000810578</v>
      </c>
      <c r="C386" t="str">
        <f t="shared" si="163"/>
        <v>0000810512</v>
      </c>
      <c r="D386" t="str">
        <f t="shared" si="139"/>
        <v>73185</v>
      </c>
      <c r="E386" t="str">
        <f t="shared" si="140"/>
        <v>KFH-OPERATIONS DEPARTMENT</v>
      </c>
      <c r="F386" t="str">
        <f t="shared" si="141"/>
        <v>IBG</v>
      </c>
      <c r="G386" t="str">
        <f t="shared" si="154"/>
        <v>Refund IDSB 19</v>
      </c>
      <c r="H386" s="2">
        <v>55</v>
      </c>
      <c r="I386" t="str">
        <f>"KHAIRIAH BINTI SHABUDIN"</f>
        <v>KHAIRIAH BINTI SHABUDIN</v>
      </c>
      <c r="J386" t="str">
        <f t="shared" si="159"/>
        <v>MAYBANK / MAYBANK ISLAMIC</v>
      </c>
      <c r="K386" t="str">
        <f>"114160100676"</f>
        <v>114160100676</v>
      </c>
      <c r="L386" t="str">
        <f t="shared" si="160"/>
        <v>04-08-2020</v>
      </c>
      <c r="M386" t="str">
        <f t="shared" si="160"/>
        <v>04-08-2020</v>
      </c>
      <c r="N386" t="str">
        <f t="shared" si="143"/>
        <v>001105018356</v>
      </c>
      <c r="O386" t="str">
        <f t="shared" si="144"/>
        <v>MYR</v>
      </c>
      <c r="P386" t="str">
        <f t="shared" si="161"/>
        <v>NIL</v>
      </c>
      <c r="Q386" t="str">
        <f t="shared" si="161"/>
        <v>NIL</v>
      </c>
      <c r="R386" t="str">
        <f t="shared" si="146"/>
        <v>Accepted</v>
      </c>
      <c r="S386" t="str">
        <f t="shared" si="147"/>
        <v>Approved</v>
      </c>
      <c r="T386" t="str">
        <f t="shared" si="148"/>
        <v>10.20.8.188</v>
      </c>
      <c r="U386" t="str">
        <f t="shared" si="149"/>
        <v>AZRAD UMAR BIN SHAARI</v>
      </c>
      <c r="V386" t="str">
        <f t="shared" si="150"/>
        <v>FARHANA BINTI MUSTAPA</v>
      </c>
      <c r="W386" t="str">
        <f t="shared" si="151"/>
        <v>04-08-2020</v>
      </c>
      <c r="X386" t="str">
        <f t="shared" si="152"/>
        <v>RAZIMAH ANSAR AHMAD</v>
      </c>
      <c r="Y386" t="str">
        <f t="shared" si="153"/>
        <v>04-08-2020</v>
      </c>
      <c r="Z386" t="str">
        <f>"IDSB19200804 266"</f>
        <v>IDSB19200804 266</v>
      </c>
    </row>
    <row r="387" spans="1:26" x14ac:dyDescent="0.25">
      <c r="A387" t="str">
        <f t="shared" si="162"/>
        <v>04-08-2020 01:21:07</v>
      </c>
      <c r="B387" t="str">
        <f>"0000810577"</f>
        <v>0000810577</v>
      </c>
      <c r="C387" t="str">
        <f t="shared" si="163"/>
        <v>0000810512</v>
      </c>
      <c r="D387" t="str">
        <f t="shared" si="139"/>
        <v>73185</v>
      </c>
      <c r="E387" t="str">
        <f t="shared" si="140"/>
        <v>KFH-OPERATIONS DEPARTMENT</v>
      </c>
      <c r="F387" t="str">
        <f t="shared" si="141"/>
        <v>IBG</v>
      </c>
      <c r="G387" t="str">
        <f t="shared" si="154"/>
        <v>Refund IDSB 19</v>
      </c>
      <c r="H387" s="2">
        <v>114</v>
      </c>
      <c r="I387" t="str">
        <f>"KAMARUDIN BIN ABU BAKAR"</f>
        <v>KAMARUDIN BIN ABU BAKAR</v>
      </c>
      <c r="J387" t="str">
        <f t="shared" si="159"/>
        <v>MAYBANK / MAYBANK ISLAMIC</v>
      </c>
      <c r="K387" t="str">
        <f>"101076027762"</f>
        <v>101076027762</v>
      </c>
      <c r="L387" t="str">
        <f t="shared" ref="L387:M406" si="164">"04-08-2020"</f>
        <v>04-08-2020</v>
      </c>
      <c r="M387" t="str">
        <f t="shared" si="164"/>
        <v>04-08-2020</v>
      </c>
      <c r="N387" t="str">
        <f t="shared" si="143"/>
        <v>001105018356</v>
      </c>
      <c r="O387" t="str">
        <f t="shared" si="144"/>
        <v>MYR</v>
      </c>
      <c r="P387" t="str">
        <f t="shared" ref="P387:Q406" si="165">"NIL"</f>
        <v>NIL</v>
      </c>
      <c r="Q387" t="str">
        <f t="shared" si="165"/>
        <v>NIL</v>
      </c>
      <c r="R387" t="str">
        <f t="shared" si="146"/>
        <v>Accepted</v>
      </c>
      <c r="S387" t="str">
        <f t="shared" si="147"/>
        <v>Approved</v>
      </c>
      <c r="T387" t="str">
        <f t="shared" si="148"/>
        <v>10.20.8.188</v>
      </c>
      <c r="U387" t="str">
        <f t="shared" si="149"/>
        <v>AZRAD UMAR BIN SHAARI</v>
      </c>
      <c r="V387" t="str">
        <f t="shared" si="150"/>
        <v>FARHANA BINTI MUSTAPA</v>
      </c>
      <c r="W387" t="str">
        <f t="shared" si="151"/>
        <v>04-08-2020</v>
      </c>
      <c r="X387" t="str">
        <f t="shared" si="152"/>
        <v>RAZIMAH ANSAR AHMAD</v>
      </c>
      <c r="Y387" t="str">
        <f t="shared" si="153"/>
        <v>04-08-2020</v>
      </c>
      <c r="Z387" t="str">
        <f>"IDSB19200804 265"</f>
        <v>IDSB19200804 265</v>
      </c>
    </row>
    <row r="388" spans="1:26" x14ac:dyDescent="0.25">
      <c r="A388" t="str">
        <f t="shared" si="162"/>
        <v>04-08-2020 01:21:07</v>
      </c>
      <c r="B388" t="str">
        <f>"0000810576"</f>
        <v>0000810576</v>
      </c>
      <c r="C388" t="str">
        <f t="shared" si="163"/>
        <v>0000810512</v>
      </c>
      <c r="D388" t="str">
        <f t="shared" si="139"/>
        <v>73185</v>
      </c>
      <c r="E388" t="str">
        <f t="shared" si="140"/>
        <v>KFH-OPERATIONS DEPARTMENT</v>
      </c>
      <c r="F388" t="str">
        <f t="shared" si="141"/>
        <v>IBG</v>
      </c>
      <c r="G388" t="str">
        <f t="shared" si="154"/>
        <v>Refund IDSB 19</v>
      </c>
      <c r="H388" s="2">
        <v>1067.0999999999999</v>
      </c>
      <c r="I388" t="str">
        <f>"KAMARIZAL BIN KAMARUDDIN"</f>
        <v>KAMARIZAL BIN KAMARUDDIN</v>
      </c>
      <c r="J388" t="str">
        <f t="shared" si="159"/>
        <v>MAYBANK / MAYBANK ISLAMIC</v>
      </c>
      <c r="K388" t="str">
        <f>"112103114590"</f>
        <v>112103114590</v>
      </c>
      <c r="L388" t="str">
        <f t="shared" si="164"/>
        <v>04-08-2020</v>
      </c>
      <c r="M388" t="str">
        <f t="shared" si="164"/>
        <v>04-08-2020</v>
      </c>
      <c r="N388" t="str">
        <f t="shared" si="143"/>
        <v>001105018356</v>
      </c>
      <c r="O388" t="str">
        <f t="shared" si="144"/>
        <v>MYR</v>
      </c>
      <c r="P388" t="str">
        <f t="shared" si="165"/>
        <v>NIL</v>
      </c>
      <c r="Q388" t="str">
        <f t="shared" si="165"/>
        <v>NIL</v>
      </c>
      <c r="R388" t="str">
        <f t="shared" si="146"/>
        <v>Accepted</v>
      </c>
      <c r="S388" t="str">
        <f t="shared" si="147"/>
        <v>Approved</v>
      </c>
      <c r="T388" t="str">
        <f t="shared" si="148"/>
        <v>10.20.8.188</v>
      </c>
      <c r="U388" t="str">
        <f t="shared" si="149"/>
        <v>AZRAD UMAR BIN SHAARI</v>
      </c>
      <c r="V388" t="str">
        <f t="shared" si="150"/>
        <v>FARHANA BINTI MUSTAPA</v>
      </c>
      <c r="W388" t="str">
        <f t="shared" si="151"/>
        <v>04-08-2020</v>
      </c>
      <c r="X388" t="str">
        <f t="shared" si="152"/>
        <v>RAZIMAH ANSAR AHMAD</v>
      </c>
      <c r="Y388" t="str">
        <f t="shared" si="153"/>
        <v>04-08-2020</v>
      </c>
      <c r="Z388" t="str">
        <f>"IDSB19200804 264"</f>
        <v>IDSB19200804 264</v>
      </c>
    </row>
    <row r="389" spans="1:26" x14ac:dyDescent="0.25">
      <c r="A389" t="str">
        <f t="shared" si="162"/>
        <v>04-08-2020 01:21:07</v>
      </c>
      <c r="B389" t="str">
        <f>"0000810575"</f>
        <v>0000810575</v>
      </c>
      <c r="C389" t="str">
        <f t="shared" si="163"/>
        <v>0000810512</v>
      </c>
      <c r="D389" t="str">
        <f t="shared" si="139"/>
        <v>73185</v>
      </c>
      <c r="E389" t="str">
        <f t="shared" si="140"/>
        <v>KFH-OPERATIONS DEPARTMENT</v>
      </c>
      <c r="F389" t="str">
        <f t="shared" si="141"/>
        <v>IBG</v>
      </c>
      <c r="G389" t="str">
        <f t="shared" si="154"/>
        <v>Refund IDSB 19</v>
      </c>
      <c r="H389" s="2">
        <v>122</v>
      </c>
      <c r="I389" t="str">
        <f>"JUMAATOL ZAM ZAM BINTI SHAID AHMAD"</f>
        <v>JUMAATOL ZAM ZAM BINTI SHAID AHMAD</v>
      </c>
      <c r="J389" t="str">
        <f t="shared" si="159"/>
        <v>MAYBANK / MAYBANK ISLAMIC</v>
      </c>
      <c r="K389" t="str">
        <f>"151098316768"</f>
        <v>151098316768</v>
      </c>
      <c r="L389" t="str">
        <f t="shared" si="164"/>
        <v>04-08-2020</v>
      </c>
      <c r="M389" t="str">
        <f t="shared" si="164"/>
        <v>04-08-2020</v>
      </c>
      <c r="N389" t="str">
        <f t="shared" si="143"/>
        <v>001105018356</v>
      </c>
      <c r="O389" t="str">
        <f t="shared" si="144"/>
        <v>MYR</v>
      </c>
      <c r="P389" t="str">
        <f t="shared" si="165"/>
        <v>NIL</v>
      </c>
      <c r="Q389" t="str">
        <f t="shared" si="165"/>
        <v>NIL</v>
      </c>
      <c r="R389" t="str">
        <f t="shared" si="146"/>
        <v>Accepted</v>
      </c>
      <c r="S389" t="str">
        <f t="shared" si="147"/>
        <v>Approved</v>
      </c>
      <c r="T389" t="str">
        <f t="shared" si="148"/>
        <v>10.20.8.188</v>
      </c>
      <c r="U389" t="str">
        <f t="shared" si="149"/>
        <v>AZRAD UMAR BIN SHAARI</v>
      </c>
      <c r="V389" t="str">
        <f t="shared" si="150"/>
        <v>FARHANA BINTI MUSTAPA</v>
      </c>
      <c r="W389" t="str">
        <f t="shared" si="151"/>
        <v>04-08-2020</v>
      </c>
      <c r="X389" t="str">
        <f t="shared" si="152"/>
        <v>RAZIMAH ANSAR AHMAD</v>
      </c>
      <c r="Y389" t="str">
        <f t="shared" si="153"/>
        <v>04-08-2020</v>
      </c>
      <c r="Z389" t="str">
        <f>"IDSB19200804 263"</f>
        <v>IDSB19200804 263</v>
      </c>
    </row>
    <row r="390" spans="1:26" x14ac:dyDescent="0.25">
      <c r="A390" t="str">
        <f t="shared" si="162"/>
        <v>04-08-2020 01:21:07</v>
      </c>
      <c r="B390" t="str">
        <f>"0000810574"</f>
        <v>0000810574</v>
      </c>
      <c r="C390" t="str">
        <f t="shared" si="163"/>
        <v>0000810512</v>
      </c>
      <c r="D390" t="str">
        <f t="shared" si="139"/>
        <v>73185</v>
      </c>
      <c r="E390" t="str">
        <f t="shared" si="140"/>
        <v>KFH-OPERATIONS DEPARTMENT</v>
      </c>
      <c r="F390" t="str">
        <f t="shared" si="141"/>
        <v>IBG</v>
      </c>
      <c r="G390" t="str">
        <f t="shared" si="154"/>
        <v>Refund IDSB 19</v>
      </c>
      <c r="H390" s="2">
        <v>167</v>
      </c>
      <c r="I390" t="str">
        <f>"JULIANA BINTI MOHAMED LAZIM"</f>
        <v>JULIANA BINTI MOHAMED LAZIM</v>
      </c>
      <c r="J390" t="str">
        <f t="shared" si="159"/>
        <v>MAYBANK / MAYBANK ISLAMIC</v>
      </c>
      <c r="K390" t="str">
        <f>"158293649673"</f>
        <v>158293649673</v>
      </c>
      <c r="L390" t="str">
        <f t="shared" si="164"/>
        <v>04-08-2020</v>
      </c>
      <c r="M390" t="str">
        <f t="shared" si="164"/>
        <v>04-08-2020</v>
      </c>
      <c r="N390" t="str">
        <f t="shared" si="143"/>
        <v>001105018356</v>
      </c>
      <c r="O390" t="str">
        <f t="shared" si="144"/>
        <v>MYR</v>
      </c>
      <c r="P390" t="str">
        <f t="shared" si="165"/>
        <v>NIL</v>
      </c>
      <c r="Q390" t="str">
        <f t="shared" si="165"/>
        <v>NIL</v>
      </c>
      <c r="R390" t="str">
        <f t="shared" si="146"/>
        <v>Accepted</v>
      </c>
      <c r="S390" t="str">
        <f t="shared" si="147"/>
        <v>Approved</v>
      </c>
      <c r="T390" t="str">
        <f t="shared" si="148"/>
        <v>10.20.8.188</v>
      </c>
      <c r="U390" t="str">
        <f t="shared" si="149"/>
        <v>AZRAD UMAR BIN SHAARI</v>
      </c>
      <c r="V390" t="str">
        <f t="shared" si="150"/>
        <v>FARHANA BINTI MUSTAPA</v>
      </c>
      <c r="W390" t="str">
        <f t="shared" si="151"/>
        <v>04-08-2020</v>
      </c>
      <c r="X390" t="str">
        <f t="shared" si="152"/>
        <v>RAZIMAH ANSAR AHMAD</v>
      </c>
      <c r="Y390" t="str">
        <f t="shared" si="153"/>
        <v>04-08-2020</v>
      </c>
      <c r="Z390" t="str">
        <f>"IDSB19200804 262"</f>
        <v>IDSB19200804 262</v>
      </c>
    </row>
    <row r="391" spans="1:26" x14ac:dyDescent="0.25">
      <c r="A391" t="str">
        <f t="shared" si="162"/>
        <v>04-08-2020 01:21:07</v>
      </c>
      <c r="B391" t="str">
        <f>"0000810573"</f>
        <v>0000810573</v>
      </c>
      <c r="C391" t="str">
        <f t="shared" si="163"/>
        <v>0000810512</v>
      </c>
      <c r="D391" t="str">
        <f t="shared" ref="D391:D454" si="166">"73185"</f>
        <v>73185</v>
      </c>
      <c r="E391" t="str">
        <f t="shared" ref="E391:E454" si="167">"KFH-OPERATIONS DEPARTMENT"</f>
        <v>KFH-OPERATIONS DEPARTMENT</v>
      </c>
      <c r="F391" t="str">
        <f t="shared" ref="F391:F454" si="168">"IBG"</f>
        <v>IBG</v>
      </c>
      <c r="G391" t="str">
        <f t="shared" si="154"/>
        <v>Refund IDSB 19</v>
      </c>
      <c r="H391" s="2">
        <v>419.59</v>
      </c>
      <c r="I391" t="str">
        <f>"JULIANA BINTI ABD GANI"</f>
        <v>JULIANA BINTI ABD GANI</v>
      </c>
      <c r="J391" t="str">
        <f t="shared" si="159"/>
        <v>MAYBANK / MAYBANK ISLAMIC</v>
      </c>
      <c r="K391" t="str">
        <f>"155050287079"</f>
        <v>155050287079</v>
      </c>
      <c r="L391" t="str">
        <f t="shared" si="164"/>
        <v>04-08-2020</v>
      </c>
      <c r="M391" t="str">
        <f t="shared" si="164"/>
        <v>04-08-2020</v>
      </c>
      <c r="N391" t="str">
        <f t="shared" ref="N391:N454" si="169">"001105018356"</f>
        <v>001105018356</v>
      </c>
      <c r="O391" t="str">
        <f t="shared" ref="O391:O454" si="170">"MYR"</f>
        <v>MYR</v>
      </c>
      <c r="P391" t="str">
        <f t="shared" si="165"/>
        <v>NIL</v>
      </c>
      <c r="Q391" t="str">
        <f t="shared" si="165"/>
        <v>NIL</v>
      </c>
      <c r="R391" t="str">
        <f t="shared" ref="R391:R454" si="171">"Accepted"</f>
        <v>Accepted</v>
      </c>
      <c r="S391" t="str">
        <f t="shared" ref="S391:S454" si="172">"Approved"</f>
        <v>Approved</v>
      </c>
      <c r="T391" t="str">
        <f t="shared" ref="T391:T454" si="173">"10.20.8.188"</f>
        <v>10.20.8.188</v>
      </c>
      <c r="U391" t="str">
        <f t="shared" ref="U391:U454" si="174">"AZRAD UMAR BIN SHAARI"</f>
        <v>AZRAD UMAR BIN SHAARI</v>
      </c>
      <c r="V391" t="str">
        <f t="shared" ref="V391:V454" si="175">"FARHANA BINTI MUSTAPA"</f>
        <v>FARHANA BINTI MUSTAPA</v>
      </c>
      <c r="W391" t="str">
        <f t="shared" ref="W391:W454" si="176">"04-08-2020"</f>
        <v>04-08-2020</v>
      </c>
      <c r="X391" t="str">
        <f t="shared" ref="X391:X454" si="177">"RAZIMAH ANSAR AHMAD"</f>
        <v>RAZIMAH ANSAR AHMAD</v>
      </c>
      <c r="Y391" t="str">
        <f t="shared" ref="Y391:Y454" si="178">"04-08-2020"</f>
        <v>04-08-2020</v>
      </c>
      <c r="Z391" t="str">
        <f>"IDSB19200804 261"</f>
        <v>IDSB19200804 261</v>
      </c>
    </row>
    <row r="392" spans="1:26" x14ac:dyDescent="0.25">
      <c r="A392" t="str">
        <f t="shared" si="162"/>
        <v>04-08-2020 01:21:07</v>
      </c>
      <c r="B392" t="str">
        <f>"0000810572"</f>
        <v>0000810572</v>
      </c>
      <c r="C392" t="str">
        <f t="shared" si="163"/>
        <v>0000810512</v>
      </c>
      <c r="D392" t="str">
        <f t="shared" si="166"/>
        <v>73185</v>
      </c>
      <c r="E392" t="str">
        <f t="shared" si="167"/>
        <v>KFH-OPERATIONS DEPARTMENT</v>
      </c>
      <c r="F392" t="str">
        <f t="shared" si="168"/>
        <v>IBG</v>
      </c>
      <c r="G392" t="str">
        <f t="shared" si="154"/>
        <v>Refund IDSB 19</v>
      </c>
      <c r="H392" s="2">
        <v>67.17</v>
      </c>
      <c r="I392" t="str">
        <f>"JAMILA SUHANA BINTI NAT JEMI"</f>
        <v>JAMILA SUHANA BINTI NAT JEMI</v>
      </c>
      <c r="J392" t="str">
        <f t="shared" si="159"/>
        <v>MAYBANK / MAYBANK ISLAMIC</v>
      </c>
      <c r="K392" t="str">
        <f>"158136724496"</f>
        <v>158136724496</v>
      </c>
      <c r="L392" t="str">
        <f t="shared" si="164"/>
        <v>04-08-2020</v>
      </c>
      <c r="M392" t="str">
        <f t="shared" si="164"/>
        <v>04-08-2020</v>
      </c>
      <c r="N392" t="str">
        <f t="shared" si="169"/>
        <v>001105018356</v>
      </c>
      <c r="O392" t="str">
        <f t="shared" si="170"/>
        <v>MYR</v>
      </c>
      <c r="P392" t="str">
        <f t="shared" si="165"/>
        <v>NIL</v>
      </c>
      <c r="Q392" t="str">
        <f t="shared" si="165"/>
        <v>NIL</v>
      </c>
      <c r="R392" t="str">
        <f t="shared" si="171"/>
        <v>Accepted</v>
      </c>
      <c r="S392" t="str">
        <f t="shared" si="172"/>
        <v>Approved</v>
      </c>
      <c r="T392" t="str">
        <f t="shared" si="173"/>
        <v>10.20.8.188</v>
      </c>
      <c r="U392" t="str">
        <f t="shared" si="174"/>
        <v>AZRAD UMAR BIN SHAARI</v>
      </c>
      <c r="V392" t="str">
        <f t="shared" si="175"/>
        <v>FARHANA BINTI MUSTAPA</v>
      </c>
      <c r="W392" t="str">
        <f t="shared" si="176"/>
        <v>04-08-2020</v>
      </c>
      <c r="X392" t="str">
        <f t="shared" si="177"/>
        <v>RAZIMAH ANSAR AHMAD</v>
      </c>
      <c r="Y392" t="str">
        <f t="shared" si="178"/>
        <v>04-08-2020</v>
      </c>
      <c r="Z392" t="str">
        <f>"IDSB19200804 260"</f>
        <v>IDSB19200804 260</v>
      </c>
    </row>
    <row r="393" spans="1:26" x14ac:dyDescent="0.25">
      <c r="A393" t="str">
        <f t="shared" si="162"/>
        <v>04-08-2020 01:21:07</v>
      </c>
      <c r="B393" t="str">
        <f>"0000810571"</f>
        <v>0000810571</v>
      </c>
      <c r="C393" t="str">
        <f t="shared" si="163"/>
        <v>0000810512</v>
      </c>
      <c r="D393" t="str">
        <f t="shared" si="166"/>
        <v>73185</v>
      </c>
      <c r="E393" t="str">
        <f t="shared" si="167"/>
        <v>KFH-OPERATIONS DEPARTMENT</v>
      </c>
      <c r="F393" t="str">
        <f t="shared" si="168"/>
        <v>IBG</v>
      </c>
      <c r="G393" t="str">
        <f t="shared" si="154"/>
        <v>Refund IDSB 19</v>
      </c>
      <c r="H393" s="2">
        <v>1138</v>
      </c>
      <c r="I393" t="str">
        <f>"JACKSON KINSABUL"</f>
        <v>JACKSON KINSABUL</v>
      </c>
      <c r="J393" t="str">
        <f t="shared" si="159"/>
        <v>MAYBANK / MAYBANK ISLAMIC</v>
      </c>
      <c r="K393" t="str">
        <f>"160037080462"</f>
        <v>160037080462</v>
      </c>
      <c r="L393" t="str">
        <f t="shared" si="164"/>
        <v>04-08-2020</v>
      </c>
      <c r="M393" t="str">
        <f t="shared" si="164"/>
        <v>04-08-2020</v>
      </c>
      <c r="N393" t="str">
        <f t="shared" si="169"/>
        <v>001105018356</v>
      </c>
      <c r="O393" t="str">
        <f t="shared" si="170"/>
        <v>MYR</v>
      </c>
      <c r="P393" t="str">
        <f t="shared" si="165"/>
        <v>NIL</v>
      </c>
      <c r="Q393" t="str">
        <f t="shared" si="165"/>
        <v>NIL</v>
      </c>
      <c r="R393" t="str">
        <f t="shared" si="171"/>
        <v>Accepted</v>
      </c>
      <c r="S393" t="str">
        <f t="shared" si="172"/>
        <v>Approved</v>
      </c>
      <c r="T393" t="str">
        <f t="shared" si="173"/>
        <v>10.20.8.188</v>
      </c>
      <c r="U393" t="str">
        <f t="shared" si="174"/>
        <v>AZRAD UMAR BIN SHAARI</v>
      </c>
      <c r="V393" t="str">
        <f t="shared" si="175"/>
        <v>FARHANA BINTI MUSTAPA</v>
      </c>
      <c r="W393" t="str">
        <f t="shared" si="176"/>
        <v>04-08-2020</v>
      </c>
      <c r="X393" t="str">
        <f t="shared" si="177"/>
        <v>RAZIMAH ANSAR AHMAD</v>
      </c>
      <c r="Y393" t="str">
        <f t="shared" si="178"/>
        <v>04-08-2020</v>
      </c>
      <c r="Z393" t="str">
        <f>"IDSB19200804 259"</f>
        <v>IDSB19200804 259</v>
      </c>
    </row>
    <row r="394" spans="1:26" x14ac:dyDescent="0.25">
      <c r="A394" t="str">
        <f t="shared" si="162"/>
        <v>04-08-2020 01:21:07</v>
      </c>
      <c r="B394" t="str">
        <f>"0000810570"</f>
        <v>0000810570</v>
      </c>
      <c r="C394" t="str">
        <f t="shared" si="163"/>
        <v>0000810512</v>
      </c>
      <c r="D394" t="str">
        <f t="shared" si="166"/>
        <v>73185</v>
      </c>
      <c r="E394" t="str">
        <f t="shared" si="167"/>
        <v>KFH-OPERATIONS DEPARTMENT</v>
      </c>
      <c r="F394" t="str">
        <f t="shared" si="168"/>
        <v>IBG</v>
      </c>
      <c r="G394" t="str">
        <f t="shared" si="154"/>
        <v>Refund IDSB 19</v>
      </c>
      <c r="H394" s="2">
        <v>167.83</v>
      </c>
      <c r="I394" t="str">
        <f>"IZA RIZAYU BINTI ZUBIR"</f>
        <v>IZA RIZAYU BINTI ZUBIR</v>
      </c>
      <c r="J394" t="str">
        <f t="shared" si="159"/>
        <v>MAYBANK / MAYBANK ISLAMIC</v>
      </c>
      <c r="K394" t="str">
        <f>"164397926173"</f>
        <v>164397926173</v>
      </c>
      <c r="L394" t="str">
        <f t="shared" si="164"/>
        <v>04-08-2020</v>
      </c>
      <c r="M394" t="str">
        <f t="shared" si="164"/>
        <v>04-08-2020</v>
      </c>
      <c r="N394" t="str">
        <f t="shared" si="169"/>
        <v>001105018356</v>
      </c>
      <c r="O394" t="str">
        <f t="shared" si="170"/>
        <v>MYR</v>
      </c>
      <c r="P394" t="str">
        <f t="shared" si="165"/>
        <v>NIL</v>
      </c>
      <c r="Q394" t="str">
        <f t="shared" si="165"/>
        <v>NIL</v>
      </c>
      <c r="R394" t="str">
        <f t="shared" si="171"/>
        <v>Accepted</v>
      </c>
      <c r="S394" t="str">
        <f t="shared" si="172"/>
        <v>Approved</v>
      </c>
      <c r="T394" t="str">
        <f t="shared" si="173"/>
        <v>10.20.8.188</v>
      </c>
      <c r="U394" t="str">
        <f t="shared" si="174"/>
        <v>AZRAD UMAR BIN SHAARI</v>
      </c>
      <c r="V394" t="str">
        <f t="shared" si="175"/>
        <v>FARHANA BINTI MUSTAPA</v>
      </c>
      <c r="W394" t="str">
        <f t="shared" si="176"/>
        <v>04-08-2020</v>
      </c>
      <c r="X394" t="str">
        <f t="shared" si="177"/>
        <v>RAZIMAH ANSAR AHMAD</v>
      </c>
      <c r="Y394" t="str">
        <f t="shared" si="178"/>
        <v>04-08-2020</v>
      </c>
      <c r="Z394" t="str">
        <f>"IDSB19200804 258"</f>
        <v>IDSB19200804 258</v>
      </c>
    </row>
    <row r="395" spans="1:26" x14ac:dyDescent="0.25">
      <c r="A395" t="str">
        <f t="shared" si="162"/>
        <v>04-08-2020 01:21:07</v>
      </c>
      <c r="B395" t="str">
        <f>"0000810569"</f>
        <v>0000810569</v>
      </c>
      <c r="C395" t="str">
        <f t="shared" si="163"/>
        <v>0000810512</v>
      </c>
      <c r="D395" t="str">
        <f t="shared" si="166"/>
        <v>73185</v>
      </c>
      <c r="E395" t="str">
        <f t="shared" si="167"/>
        <v>KFH-OPERATIONS DEPARTMENT</v>
      </c>
      <c r="F395" t="str">
        <f t="shared" si="168"/>
        <v>IBG</v>
      </c>
      <c r="G395" t="str">
        <f t="shared" si="154"/>
        <v>Refund IDSB 19</v>
      </c>
      <c r="H395" s="2">
        <v>1292.3399999999999</v>
      </c>
      <c r="I395" t="str">
        <f>"IRNI YUSNIZA BINTI HARON"</f>
        <v>IRNI YUSNIZA BINTI HARON</v>
      </c>
      <c r="J395" t="str">
        <f t="shared" si="159"/>
        <v>MAYBANK / MAYBANK ISLAMIC</v>
      </c>
      <c r="K395" t="str">
        <f>"164557016805"</f>
        <v>164557016805</v>
      </c>
      <c r="L395" t="str">
        <f t="shared" si="164"/>
        <v>04-08-2020</v>
      </c>
      <c r="M395" t="str">
        <f t="shared" si="164"/>
        <v>04-08-2020</v>
      </c>
      <c r="N395" t="str">
        <f t="shared" si="169"/>
        <v>001105018356</v>
      </c>
      <c r="O395" t="str">
        <f t="shared" si="170"/>
        <v>MYR</v>
      </c>
      <c r="P395" t="str">
        <f t="shared" si="165"/>
        <v>NIL</v>
      </c>
      <c r="Q395" t="str">
        <f t="shared" si="165"/>
        <v>NIL</v>
      </c>
      <c r="R395" t="str">
        <f t="shared" si="171"/>
        <v>Accepted</v>
      </c>
      <c r="S395" t="str">
        <f t="shared" si="172"/>
        <v>Approved</v>
      </c>
      <c r="T395" t="str">
        <f t="shared" si="173"/>
        <v>10.20.8.188</v>
      </c>
      <c r="U395" t="str">
        <f t="shared" si="174"/>
        <v>AZRAD UMAR BIN SHAARI</v>
      </c>
      <c r="V395" t="str">
        <f t="shared" si="175"/>
        <v>FARHANA BINTI MUSTAPA</v>
      </c>
      <c r="W395" t="str">
        <f t="shared" si="176"/>
        <v>04-08-2020</v>
      </c>
      <c r="X395" t="str">
        <f t="shared" si="177"/>
        <v>RAZIMAH ANSAR AHMAD</v>
      </c>
      <c r="Y395" t="str">
        <f t="shared" si="178"/>
        <v>04-08-2020</v>
      </c>
      <c r="Z395" t="str">
        <f>"IDSB19200804 257"</f>
        <v>IDSB19200804 257</v>
      </c>
    </row>
    <row r="396" spans="1:26" x14ac:dyDescent="0.25">
      <c r="A396" t="str">
        <f t="shared" si="162"/>
        <v>04-08-2020 01:21:07</v>
      </c>
      <c r="B396" t="str">
        <f>"0000810568"</f>
        <v>0000810568</v>
      </c>
      <c r="C396" t="str">
        <f t="shared" si="163"/>
        <v>0000810512</v>
      </c>
      <c r="D396" t="str">
        <f t="shared" si="166"/>
        <v>73185</v>
      </c>
      <c r="E396" t="str">
        <f t="shared" si="167"/>
        <v>KFH-OPERATIONS DEPARTMENT</v>
      </c>
      <c r="F396" t="str">
        <f t="shared" si="168"/>
        <v>IBG</v>
      </c>
      <c r="G396" t="str">
        <f t="shared" si="154"/>
        <v>Refund IDSB 19</v>
      </c>
      <c r="H396" s="2">
        <v>462</v>
      </c>
      <c r="I396" t="str">
        <f>"IRNI MARLINA BINTI CHE OMAR"</f>
        <v>IRNI MARLINA BINTI CHE OMAR</v>
      </c>
      <c r="J396" t="str">
        <f t="shared" si="159"/>
        <v>MAYBANK / MAYBANK ISLAMIC</v>
      </c>
      <c r="K396" t="str">
        <f>"162375763082"</f>
        <v>162375763082</v>
      </c>
      <c r="L396" t="str">
        <f t="shared" si="164"/>
        <v>04-08-2020</v>
      </c>
      <c r="M396" t="str">
        <f t="shared" si="164"/>
        <v>04-08-2020</v>
      </c>
      <c r="N396" t="str">
        <f t="shared" si="169"/>
        <v>001105018356</v>
      </c>
      <c r="O396" t="str">
        <f t="shared" si="170"/>
        <v>MYR</v>
      </c>
      <c r="P396" t="str">
        <f t="shared" si="165"/>
        <v>NIL</v>
      </c>
      <c r="Q396" t="str">
        <f t="shared" si="165"/>
        <v>NIL</v>
      </c>
      <c r="R396" t="str">
        <f t="shared" si="171"/>
        <v>Accepted</v>
      </c>
      <c r="S396" t="str">
        <f t="shared" si="172"/>
        <v>Approved</v>
      </c>
      <c r="T396" t="str">
        <f t="shared" si="173"/>
        <v>10.20.8.188</v>
      </c>
      <c r="U396" t="str">
        <f t="shared" si="174"/>
        <v>AZRAD UMAR BIN SHAARI</v>
      </c>
      <c r="V396" t="str">
        <f t="shared" si="175"/>
        <v>FARHANA BINTI MUSTAPA</v>
      </c>
      <c r="W396" t="str">
        <f t="shared" si="176"/>
        <v>04-08-2020</v>
      </c>
      <c r="X396" t="str">
        <f t="shared" si="177"/>
        <v>RAZIMAH ANSAR AHMAD</v>
      </c>
      <c r="Y396" t="str">
        <f t="shared" si="178"/>
        <v>04-08-2020</v>
      </c>
      <c r="Z396" t="str">
        <f>"IDSB19200804 256"</f>
        <v>IDSB19200804 256</v>
      </c>
    </row>
    <row r="397" spans="1:26" x14ac:dyDescent="0.25">
      <c r="A397" t="str">
        <f t="shared" si="162"/>
        <v>04-08-2020 01:21:07</v>
      </c>
      <c r="B397" t="str">
        <f>"0000810567"</f>
        <v>0000810567</v>
      </c>
      <c r="C397" t="str">
        <f t="shared" si="163"/>
        <v>0000810512</v>
      </c>
      <c r="D397" t="str">
        <f t="shared" si="166"/>
        <v>73185</v>
      </c>
      <c r="E397" t="str">
        <f t="shared" si="167"/>
        <v>KFH-OPERATIONS DEPARTMENT</v>
      </c>
      <c r="F397" t="str">
        <f t="shared" si="168"/>
        <v>IBG</v>
      </c>
      <c r="G397" t="str">
        <f t="shared" si="154"/>
        <v>Refund IDSB 19</v>
      </c>
      <c r="H397" s="2">
        <v>1679</v>
      </c>
      <c r="I397" t="str">
        <f>"ILYANI AKMAR BINTI ABU BAKAR"</f>
        <v>ILYANI AKMAR BINTI ABU BAKAR</v>
      </c>
      <c r="J397" t="str">
        <f t="shared" si="159"/>
        <v>MAYBANK / MAYBANK ISLAMIC</v>
      </c>
      <c r="K397" t="str">
        <f>"157102471317"</f>
        <v>157102471317</v>
      </c>
      <c r="L397" t="str">
        <f t="shared" si="164"/>
        <v>04-08-2020</v>
      </c>
      <c r="M397" t="str">
        <f t="shared" si="164"/>
        <v>04-08-2020</v>
      </c>
      <c r="N397" t="str">
        <f t="shared" si="169"/>
        <v>001105018356</v>
      </c>
      <c r="O397" t="str">
        <f t="shared" si="170"/>
        <v>MYR</v>
      </c>
      <c r="P397" t="str">
        <f t="shared" si="165"/>
        <v>NIL</v>
      </c>
      <c r="Q397" t="str">
        <f t="shared" si="165"/>
        <v>NIL</v>
      </c>
      <c r="R397" t="str">
        <f t="shared" si="171"/>
        <v>Accepted</v>
      </c>
      <c r="S397" t="str">
        <f t="shared" si="172"/>
        <v>Approved</v>
      </c>
      <c r="T397" t="str">
        <f t="shared" si="173"/>
        <v>10.20.8.188</v>
      </c>
      <c r="U397" t="str">
        <f t="shared" si="174"/>
        <v>AZRAD UMAR BIN SHAARI</v>
      </c>
      <c r="V397" t="str">
        <f t="shared" si="175"/>
        <v>FARHANA BINTI MUSTAPA</v>
      </c>
      <c r="W397" t="str">
        <f t="shared" si="176"/>
        <v>04-08-2020</v>
      </c>
      <c r="X397" t="str">
        <f t="shared" si="177"/>
        <v>RAZIMAH ANSAR AHMAD</v>
      </c>
      <c r="Y397" t="str">
        <f t="shared" si="178"/>
        <v>04-08-2020</v>
      </c>
      <c r="Z397" t="str">
        <f>"IDSB19200804 255"</f>
        <v>IDSB19200804 255</v>
      </c>
    </row>
    <row r="398" spans="1:26" x14ac:dyDescent="0.25">
      <c r="A398" t="str">
        <f t="shared" si="162"/>
        <v>04-08-2020 01:21:07</v>
      </c>
      <c r="B398" t="str">
        <f>"0000810566"</f>
        <v>0000810566</v>
      </c>
      <c r="C398" t="str">
        <f t="shared" si="163"/>
        <v>0000810512</v>
      </c>
      <c r="D398" t="str">
        <f t="shared" si="166"/>
        <v>73185</v>
      </c>
      <c r="E398" t="str">
        <f t="shared" si="167"/>
        <v>KFH-OPERATIONS DEPARTMENT</v>
      </c>
      <c r="F398" t="str">
        <f t="shared" si="168"/>
        <v>IBG</v>
      </c>
      <c r="G398" t="str">
        <f t="shared" si="154"/>
        <v>Refund IDSB 19</v>
      </c>
      <c r="H398" s="2">
        <v>419.75</v>
      </c>
      <c r="I398" t="str">
        <f>"HIZBULLAH BIN ISHAMUDDIN"</f>
        <v>HIZBULLAH BIN ISHAMUDDIN</v>
      </c>
      <c r="J398" t="str">
        <f t="shared" si="159"/>
        <v>MAYBANK / MAYBANK ISLAMIC</v>
      </c>
      <c r="K398" t="str">
        <f>"152050180526"</f>
        <v>152050180526</v>
      </c>
      <c r="L398" t="str">
        <f t="shared" si="164"/>
        <v>04-08-2020</v>
      </c>
      <c r="M398" t="str">
        <f t="shared" si="164"/>
        <v>04-08-2020</v>
      </c>
      <c r="N398" t="str">
        <f t="shared" si="169"/>
        <v>001105018356</v>
      </c>
      <c r="O398" t="str">
        <f t="shared" si="170"/>
        <v>MYR</v>
      </c>
      <c r="P398" t="str">
        <f t="shared" si="165"/>
        <v>NIL</v>
      </c>
      <c r="Q398" t="str">
        <f t="shared" si="165"/>
        <v>NIL</v>
      </c>
      <c r="R398" t="str">
        <f t="shared" si="171"/>
        <v>Accepted</v>
      </c>
      <c r="S398" t="str">
        <f t="shared" si="172"/>
        <v>Approved</v>
      </c>
      <c r="T398" t="str">
        <f t="shared" si="173"/>
        <v>10.20.8.188</v>
      </c>
      <c r="U398" t="str">
        <f t="shared" si="174"/>
        <v>AZRAD UMAR BIN SHAARI</v>
      </c>
      <c r="V398" t="str">
        <f t="shared" si="175"/>
        <v>FARHANA BINTI MUSTAPA</v>
      </c>
      <c r="W398" t="str">
        <f t="shared" si="176"/>
        <v>04-08-2020</v>
      </c>
      <c r="X398" t="str">
        <f t="shared" si="177"/>
        <v>RAZIMAH ANSAR AHMAD</v>
      </c>
      <c r="Y398" t="str">
        <f t="shared" si="178"/>
        <v>04-08-2020</v>
      </c>
      <c r="Z398" t="str">
        <f>"IDSB19200804 254"</f>
        <v>IDSB19200804 254</v>
      </c>
    </row>
    <row r="399" spans="1:26" x14ac:dyDescent="0.25">
      <c r="A399" t="str">
        <f t="shared" si="162"/>
        <v>04-08-2020 01:21:07</v>
      </c>
      <c r="B399" t="str">
        <f>"0000810565"</f>
        <v>0000810565</v>
      </c>
      <c r="C399" t="str">
        <f t="shared" si="163"/>
        <v>0000810512</v>
      </c>
      <c r="D399" t="str">
        <f t="shared" si="166"/>
        <v>73185</v>
      </c>
      <c r="E399" t="str">
        <f t="shared" si="167"/>
        <v>KFH-OPERATIONS DEPARTMENT</v>
      </c>
      <c r="F399" t="str">
        <f t="shared" si="168"/>
        <v>IBG</v>
      </c>
      <c r="G399" t="str">
        <f t="shared" si="154"/>
        <v>Refund IDSB 19</v>
      </c>
      <c r="H399" s="2">
        <v>629.4</v>
      </c>
      <c r="I399" t="str">
        <f>"HAZLEEN BINTI ABDUL RAHMAN"</f>
        <v>HAZLEEN BINTI ABDUL RAHMAN</v>
      </c>
      <c r="J399" t="str">
        <f t="shared" si="159"/>
        <v>MAYBANK / MAYBANK ISLAMIC</v>
      </c>
      <c r="K399" t="str">
        <f>"105149015051"</f>
        <v>105149015051</v>
      </c>
      <c r="L399" t="str">
        <f t="shared" si="164"/>
        <v>04-08-2020</v>
      </c>
      <c r="M399" t="str">
        <f t="shared" si="164"/>
        <v>04-08-2020</v>
      </c>
      <c r="N399" t="str">
        <f t="shared" si="169"/>
        <v>001105018356</v>
      </c>
      <c r="O399" t="str">
        <f t="shared" si="170"/>
        <v>MYR</v>
      </c>
      <c r="P399" t="str">
        <f t="shared" si="165"/>
        <v>NIL</v>
      </c>
      <c r="Q399" t="str">
        <f t="shared" si="165"/>
        <v>NIL</v>
      </c>
      <c r="R399" t="str">
        <f t="shared" si="171"/>
        <v>Accepted</v>
      </c>
      <c r="S399" t="str">
        <f t="shared" si="172"/>
        <v>Approved</v>
      </c>
      <c r="T399" t="str">
        <f t="shared" si="173"/>
        <v>10.20.8.188</v>
      </c>
      <c r="U399" t="str">
        <f t="shared" si="174"/>
        <v>AZRAD UMAR BIN SHAARI</v>
      </c>
      <c r="V399" t="str">
        <f t="shared" si="175"/>
        <v>FARHANA BINTI MUSTAPA</v>
      </c>
      <c r="W399" t="str">
        <f t="shared" si="176"/>
        <v>04-08-2020</v>
      </c>
      <c r="X399" t="str">
        <f t="shared" si="177"/>
        <v>RAZIMAH ANSAR AHMAD</v>
      </c>
      <c r="Y399" t="str">
        <f t="shared" si="178"/>
        <v>04-08-2020</v>
      </c>
      <c r="Z399" t="str">
        <f>"IDSB19200804 253"</f>
        <v>IDSB19200804 253</v>
      </c>
    </row>
    <row r="400" spans="1:26" x14ac:dyDescent="0.25">
      <c r="A400" t="str">
        <f t="shared" si="162"/>
        <v>04-08-2020 01:21:07</v>
      </c>
      <c r="B400" t="str">
        <f>"0000810564"</f>
        <v>0000810564</v>
      </c>
      <c r="C400" t="str">
        <f t="shared" si="163"/>
        <v>0000810512</v>
      </c>
      <c r="D400" t="str">
        <f t="shared" si="166"/>
        <v>73185</v>
      </c>
      <c r="E400" t="str">
        <f t="shared" si="167"/>
        <v>KFH-OPERATIONS DEPARTMENT</v>
      </c>
      <c r="F400" t="str">
        <f t="shared" si="168"/>
        <v>IBG</v>
      </c>
      <c r="G400" t="str">
        <f t="shared" si="154"/>
        <v>Refund IDSB 19</v>
      </c>
      <c r="H400" s="2">
        <v>67.17</v>
      </c>
      <c r="I400" t="str">
        <f>"HASLINA BINTI SANUSI"</f>
        <v>HASLINA BINTI SANUSI</v>
      </c>
      <c r="J400" t="str">
        <f t="shared" si="159"/>
        <v>MAYBANK / MAYBANK ISLAMIC</v>
      </c>
      <c r="K400" t="str">
        <f>"162263251589"</f>
        <v>162263251589</v>
      </c>
      <c r="L400" t="str">
        <f t="shared" si="164"/>
        <v>04-08-2020</v>
      </c>
      <c r="M400" t="str">
        <f t="shared" si="164"/>
        <v>04-08-2020</v>
      </c>
      <c r="N400" t="str">
        <f t="shared" si="169"/>
        <v>001105018356</v>
      </c>
      <c r="O400" t="str">
        <f t="shared" si="170"/>
        <v>MYR</v>
      </c>
      <c r="P400" t="str">
        <f t="shared" si="165"/>
        <v>NIL</v>
      </c>
      <c r="Q400" t="str">
        <f t="shared" si="165"/>
        <v>NIL</v>
      </c>
      <c r="R400" t="str">
        <f t="shared" si="171"/>
        <v>Accepted</v>
      </c>
      <c r="S400" t="str">
        <f t="shared" si="172"/>
        <v>Approved</v>
      </c>
      <c r="T400" t="str">
        <f t="shared" si="173"/>
        <v>10.20.8.188</v>
      </c>
      <c r="U400" t="str">
        <f t="shared" si="174"/>
        <v>AZRAD UMAR BIN SHAARI</v>
      </c>
      <c r="V400" t="str">
        <f t="shared" si="175"/>
        <v>FARHANA BINTI MUSTAPA</v>
      </c>
      <c r="W400" t="str">
        <f t="shared" si="176"/>
        <v>04-08-2020</v>
      </c>
      <c r="X400" t="str">
        <f t="shared" si="177"/>
        <v>RAZIMAH ANSAR AHMAD</v>
      </c>
      <c r="Y400" t="str">
        <f t="shared" si="178"/>
        <v>04-08-2020</v>
      </c>
      <c r="Z400" t="str">
        <f>"IDSB19200804 252"</f>
        <v>IDSB19200804 252</v>
      </c>
    </row>
    <row r="401" spans="1:26" x14ac:dyDescent="0.25">
      <c r="A401" t="str">
        <f t="shared" si="162"/>
        <v>04-08-2020 01:21:07</v>
      </c>
      <c r="B401" t="str">
        <f>"0000810563"</f>
        <v>0000810563</v>
      </c>
      <c r="C401" t="str">
        <f t="shared" si="163"/>
        <v>0000810512</v>
      </c>
      <c r="D401" t="str">
        <f t="shared" si="166"/>
        <v>73185</v>
      </c>
      <c r="E401" t="str">
        <f t="shared" si="167"/>
        <v>KFH-OPERATIONS DEPARTMENT</v>
      </c>
      <c r="F401" t="str">
        <f t="shared" si="168"/>
        <v>IBG</v>
      </c>
      <c r="G401" t="str">
        <f t="shared" si="154"/>
        <v>Refund IDSB 19</v>
      </c>
      <c r="H401" s="2">
        <v>603.4</v>
      </c>
      <c r="I401" t="str">
        <f>"HASBULLAH BIN AHMAD"</f>
        <v>HASBULLAH BIN AHMAD</v>
      </c>
      <c r="J401" t="str">
        <f t="shared" si="159"/>
        <v>MAYBANK / MAYBANK ISLAMIC</v>
      </c>
      <c r="K401" t="str">
        <f>"104067045876"</f>
        <v>104067045876</v>
      </c>
      <c r="L401" t="str">
        <f t="shared" si="164"/>
        <v>04-08-2020</v>
      </c>
      <c r="M401" t="str">
        <f t="shared" si="164"/>
        <v>04-08-2020</v>
      </c>
      <c r="N401" t="str">
        <f t="shared" si="169"/>
        <v>001105018356</v>
      </c>
      <c r="O401" t="str">
        <f t="shared" si="170"/>
        <v>MYR</v>
      </c>
      <c r="P401" t="str">
        <f t="shared" si="165"/>
        <v>NIL</v>
      </c>
      <c r="Q401" t="str">
        <f t="shared" si="165"/>
        <v>NIL</v>
      </c>
      <c r="R401" t="str">
        <f t="shared" si="171"/>
        <v>Accepted</v>
      </c>
      <c r="S401" t="str">
        <f t="shared" si="172"/>
        <v>Approved</v>
      </c>
      <c r="T401" t="str">
        <f t="shared" si="173"/>
        <v>10.20.8.188</v>
      </c>
      <c r="U401" t="str">
        <f t="shared" si="174"/>
        <v>AZRAD UMAR BIN SHAARI</v>
      </c>
      <c r="V401" t="str">
        <f t="shared" si="175"/>
        <v>FARHANA BINTI MUSTAPA</v>
      </c>
      <c r="W401" t="str">
        <f t="shared" si="176"/>
        <v>04-08-2020</v>
      </c>
      <c r="X401" t="str">
        <f t="shared" si="177"/>
        <v>RAZIMAH ANSAR AHMAD</v>
      </c>
      <c r="Y401" t="str">
        <f t="shared" si="178"/>
        <v>04-08-2020</v>
      </c>
      <c r="Z401" t="str">
        <f>"IDSB19200804 251"</f>
        <v>IDSB19200804 251</v>
      </c>
    </row>
    <row r="402" spans="1:26" x14ac:dyDescent="0.25">
      <c r="A402" t="str">
        <f t="shared" si="162"/>
        <v>04-08-2020 01:21:07</v>
      </c>
      <c r="B402" t="str">
        <f>"0000810562"</f>
        <v>0000810562</v>
      </c>
      <c r="C402" t="str">
        <f t="shared" si="163"/>
        <v>0000810512</v>
      </c>
      <c r="D402" t="str">
        <f t="shared" si="166"/>
        <v>73185</v>
      </c>
      <c r="E402" t="str">
        <f t="shared" si="167"/>
        <v>KFH-OPERATIONS DEPARTMENT</v>
      </c>
      <c r="F402" t="str">
        <f t="shared" si="168"/>
        <v>IBG</v>
      </c>
      <c r="G402" t="str">
        <f t="shared" si="154"/>
        <v>Refund IDSB 19</v>
      </c>
      <c r="H402" s="2">
        <v>721.71</v>
      </c>
      <c r="I402" t="str">
        <f>"HARIS FADILLAH BIN ABDUL AZIZ"</f>
        <v>HARIS FADILLAH BIN ABDUL AZIZ</v>
      </c>
      <c r="J402" t="str">
        <f t="shared" si="159"/>
        <v>MAYBANK / MAYBANK ISLAMIC</v>
      </c>
      <c r="K402" t="str">
        <f>"112380005314"</f>
        <v>112380005314</v>
      </c>
      <c r="L402" t="str">
        <f t="shared" si="164"/>
        <v>04-08-2020</v>
      </c>
      <c r="M402" t="str">
        <f t="shared" si="164"/>
        <v>04-08-2020</v>
      </c>
      <c r="N402" t="str">
        <f t="shared" si="169"/>
        <v>001105018356</v>
      </c>
      <c r="O402" t="str">
        <f t="shared" si="170"/>
        <v>MYR</v>
      </c>
      <c r="P402" t="str">
        <f t="shared" si="165"/>
        <v>NIL</v>
      </c>
      <c r="Q402" t="str">
        <f t="shared" si="165"/>
        <v>NIL</v>
      </c>
      <c r="R402" t="str">
        <f t="shared" si="171"/>
        <v>Accepted</v>
      </c>
      <c r="S402" t="str">
        <f t="shared" si="172"/>
        <v>Approved</v>
      </c>
      <c r="T402" t="str">
        <f t="shared" si="173"/>
        <v>10.20.8.188</v>
      </c>
      <c r="U402" t="str">
        <f t="shared" si="174"/>
        <v>AZRAD UMAR BIN SHAARI</v>
      </c>
      <c r="V402" t="str">
        <f t="shared" si="175"/>
        <v>FARHANA BINTI MUSTAPA</v>
      </c>
      <c r="W402" t="str">
        <f t="shared" si="176"/>
        <v>04-08-2020</v>
      </c>
      <c r="X402" t="str">
        <f t="shared" si="177"/>
        <v>RAZIMAH ANSAR AHMAD</v>
      </c>
      <c r="Y402" t="str">
        <f t="shared" si="178"/>
        <v>04-08-2020</v>
      </c>
      <c r="Z402" t="str">
        <f>"IDSB19200804 250"</f>
        <v>IDSB19200804 250</v>
      </c>
    </row>
    <row r="403" spans="1:26" x14ac:dyDescent="0.25">
      <c r="A403" t="str">
        <f t="shared" si="162"/>
        <v>04-08-2020 01:21:07</v>
      </c>
      <c r="B403" t="str">
        <f>"0000810561"</f>
        <v>0000810561</v>
      </c>
      <c r="C403" t="str">
        <f t="shared" si="163"/>
        <v>0000810512</v>
      </c>
      <c r="D403" t="str">
        <f t="shared" si="166"/>
        <v>73185</v>
      </c>
      <c r="E403" t="str">
        <f t="shared" si="167"/>
        <v>KFH-OPERATIONS DEPARTMENT</v>
      </c>
      <c r="F403" t="str">
        <f t="shared" si="168"/>
        <v>IBG</v>
      </c>
      <c r="G403" t="str">
        <f t="shared" si="154"/>
        <v>Refund IDSB 19</v>
      </c>
      <c r="H403" s="2">
        <v>911</v>
      </c>
      <c r="I403" t="str">
        <f>"HANANI BINTI ABD WAHAB"</f>
        <v>HANANI BINTI ABD WAHAB</v>
      </c>
      <c r="J403" t="str">
        <f t="shared" si="159"/>
        <v>MAYBANK / MAYBANK ISLAMIC</v>
      </c>
      <c r="K403" t="str">
        <f>"152022905935"</f>
        <v>152022905935</v>
      </c>
      <c r="L403" t="str">
        <f t="shared" si="164"/>
        <v>04-08-2020</v>
      </c>
      <c r="M403" t="str">
        <f t="shared" si="164"/>
        <v>04-08-2020</v>
      </c>
      <c r="N403" t="str">
        <f t="shared" si="169"/>
        <v>001105018356</v>
      </c>
      <c r="O403" t="str">
        <f t="shared" si="170"/>
        <v>MYR</v>
      </c>
      <c r="P403" t="str">
        <f t="shared" si="165"/>
        <v>NIL</v>
      </c>
      <c r="Q403" t="str">
        <f t="shared" si="165"/>
        <v>NIL</v>
      </c>
      <c r="R403" t="str">
        <f t="shared" si="171"/>
        <v>Accepted</v>
      </c>
      <c r="S403" t="str">
        <f t="shared" si="172"/>
        <v>Approved</v>
      </c>
      <c r="T403" t="str">
        <f t="shared" si="173"/>
        <v>10.20.8.188</v>
      </c>
      <c r="U403" t="str">
        <f t="shared" si="174"/>
        <v>AZRAD UMAR BIN SHAARI</v>
      </c>
      <c r="V403" t="str">
        <f t="shared" si="175"/>
        <v>FARHANA BINTI MUSTAPA</v>
      </c>
      <c r="W403" t="str">
        <f t="shared" si="176"/>
        <v>04-08-2020</v>
      </c>
      <c r="X403" t="str">
        <f t="shared" si="177"/>
        <v>RAZIMAH ANSAR AHMAD</v>
      </c>
      <c r="Y403" t="str">
        <f t="shared" si="178"/>
        <v>04-08-2020</v>
      </c>
      <c r="Z403" t="str">
        <f>"IDSB19200804 249"</f>
        <v>IDSB19200804 249</v>
      </c>
    </row>
    <row r="404" spans="1:26" x14ac:dyDescent="0.25">
      <c r="A404" t="str">
        <f t="shared" si="162"/>
        <v>04-08-2020 01:21:07</v>
      </c>
      <c r="B404" t="str">
        <f>"0000810560"</f>
        <v>0000810560</v>
      </c>
      <c r="C404" t="str">
        <f t="shared" si="163"/>
        <v>0000810512</v>
      </c>
      <c r="D404" t="str">
        <f t="shared" si="166"/>
        <v>73185</v>
      </c>
      <c r="E404" t="str">
        <f t="shared" si="167"/>
        <v>KFH-OPERATIONS DEPARTMENT</v>
      </c>
      <c r="F404" t="str">
        <f t="shared" si="168"/>
        <v>IBG</v>
      </c>
      <c r="G404" t="str">
        <f t="shared" si="154"/>
        <v>Refund IDSB 19</v>
      </c>
      <c r="H404" s="2">
        <v>1807</v>
      </c>
      <c r="I404" t="str">
        <f>"HAMZAINI BIN ABDUL HAMID"</f>
        <v>HAMZAINI BIN ABDUL HAMID</v>
      </c>
      <c r="J404" t="str">
        <f t="shared" si="159"/>
        <v>MAYBANK / MAYBANK ISLAMIC</v>
      </c>
      <c r="K404" t="str">
        <f>"162384669881"</f>
        <v>162384669881</v>
      </c>
      <c r="L404" t="str">
        <f t="shared" si="164"/>
        <v>04-08-2020</v>
      </c>
      <c r="M404" t="str">
        <f t="shared" si="164"/>
        <v>04-08-2020</v>
      </c>
      <c r="N404" t="str">
        <f t="shared" si="169"/>
        <v>001105018356</v>
      </c>
      <c r="O404" t="str">
        <f t="shared" si="170"/>
        <v>MYR</v>
      </c>
      <c r="P404" t="str">
        <f t="shared" si="165"/>
        <v>NIL</v>
      </c>
      <c r="Q404" t="str">
        <f t="shared" si="165"/>
        <v>NIL</v>
      </c>
      <c r="R404" t="str">
        <f t="shared" si="171"/>
        <v>Accepted</v>
      </c>
      <c r="S404" t="str">
        <f t="shared" si="172"/>
        <v>Approved</v>
      </c>
      <c r="T404" t="str">
        <f t="shared" si="173"/>
        <v>10.20.8.188</v>
      </c>
      <c r="U404" t="str">
        <f t="shared" si="174"/>
        <v>AZRAD UMAR BIN SHAARI</v>
      </c>
      <c r="V404" t="str">
        <f t="shared" si="175"/>
        <v>FARHANA BINTI MUSTAPA</v>
      </c>
      <c r="W404" t="str">
        <f t="shared" si="176"/>
        <v>04-08-2020</v>
      </c>
      <c r="X404" t="str">
        <f t="shared" si="177"/>
        <v>RAZIMAH ANSAR AHMAD</v>
      </c>
      <c r="Y404" t="str">
        <f t="shared" si="178"/>
        <v>04-08-2020</v>
      </c>
      <c r="Z404" t="str">
        <f>"IDSB19200804 248"</f>
        <v>IDSB19200804 248</v>
      </c>
    </row>
    <row r="405" spans="1:26" x14ac:dyDescent="0.25">
      <c r="A405" t="str">
        <f t="shared" si="162"/>
        <v>04-08-2020 01:21:07</v>
      </c>
      <c r="B405" t="str">
        <f>"0000810559"</f>
        <v>0000810559</v>
      </c>
      <c r="C405" t="str">
        <f t="shared" si="163"/>
        <v>0000810512</v>
      </c>
      <c r="D405" t="str">
        <f t="shared" si="166"/>
        <v>73185</v>
      </c>
      <c r="E405" t="str">
        <f t="shared" si="167"/>
        <v>KFH-OPERATIONS DEPARTMENT</v>
      </c>
      <c r="F405" t="str">
        <f t="shared" si="168"/>
        <v>IBG</v>
      </c>
      <c r="G405" t="str">
        <f t="shared" si="154"/>
        <v>Refund IDSB 19</v>
      </c>
      <c r="H405" s="2">
        <v>554.1</v>
      </c>
      <c r="I405" t="str">
        <f>"HAFIZULFAHMI BIN MOHD"</f>
        <v>HAFIZULFAHMI BIN MOHD</v>
      </c>
      <c r="J405" t="str">
        <f t="shared" si="159"/>
        <v>MAYBANK / MAYBANK ISLAMIC</v>
      </c>
      <c r="K405" t="str">
        <f>"162218545474"</f>
        <v>162218545474</v>
      </c>
      <c r="L405" t="str">
        <f t="shared" si="164"/>
        <v>04-08-2020</v>
      </c>
      <c r="M405" t="str">
        <f t="shared" si="164"/>
        <v>04-08-2020</v>
      </c>
      <c r="N405" t="str">
        <f t="shared" si="169"/>
        <v>001105018356</v>
      </c>
      <c r="O405" t="str">
        <f t="shared" si="170"/>
        <v>MYR</v>
      </c>
      <c r="P405" t="str">
        <f t="shared" si="165"/>
        <v>NIL</v>
      </c>
      <c r="Q405" t="str">
        <f t="shared" si="165"/>
        <v>NIL</v>
      </c>
      <c r="R405" t="str">
        <f t="shared" si="171"/>
        <v>Accepted</v>
      </c>
      <c r="S405" t="str">
        <f t="shared" si="172"/>
        <v>Approved</v>
      </c>
      <c r="T405" t="str">
        <f t="shared" si="173"/>
        <v>10.20.8.188</v>
      </c>
      <c r="U405" t="str">
        <f t="shared" si="174"/>
        <v>AZRAD UMAR BIN SHAARI</v>
      </c>
      <c r="V405" t="str">
        <f t="shared" si="175"/>
        <v>FARHANA BINTI MUSTAPA</v>
      </c>
      <c r="W405" t="str">
        <f t="shared" si="176"/>
        <v>04-08-2020</v>
      </c>
      <c r="X405" t="str">
        <f t="shared" si="177"/>
        <v>RAZIMAH ANSAR AHMAD</v>
      </c>
      <c r="Y405" t="str">
        <f t="shared" si="178"/>
        <v>04-08-2020</v>
      </c>
      <c r="Z405" t="str">
        <f>"IDSB19200804 247"</f>
        <v>IDSB19200804 247</v>
      </c>
    </row>
    <row r="406" spans="1:26" x14ac:dyDescent="0.25">
      <c r="A406" t="str">
        <f t="shared" si="162"/>
        <v>04-08-2020 01:21:07</v>
      </c>
      <c r="B406" t="str">
        <f>"0000810558"</f>
        <v>0000810558</v>
      </c>
      <c r="C406" t="str">
        <f t="shared" si="163"/>
        <v>0000810512</v>
      </c>
      <c r="D406" t="str">
        <f t="shared" si="166"/>
        <v>73185</v>
      </c>
      <c r="E406" t="str">
        <f t="shared" si="167"/>
        <v>KFH-OPERATIONS DEPARTMENT</v>
      </c>
      <c r="F406" t="str">
        <f t="shared" si="168"/>
        <v>IBG</v>
      </c>
      <c r="G406" t="str">
        <f t="shared" si="154"/>
        <v>Refund IDSB 19</v>
      </c>
      <c r="H406" s="2">
        <v>190.47</v>
      </c>
      <c r="I406" t="str">
        <f>"FOZIAH BINTI WAHAB"</f>
        <v>FOZIAH BINTI WAHAB</v>
      </c>
      <c r="J406" t="str">
        <f t="shared" si="159"/>
        <v>MAYBANK / MAYBANK ISLAMIC</v>
      </c>
      <c r="K406" t="str">
        <f>"112080336653"</f>
        <v>112080336653</v>
      </c>
      <c r="L406" t="str">
        <f t="shared" si="164"/>
        <v>04-08-2020</v>
      </c>
      <c r="M406" t="str">
        <f t="shared" si="164"/>
        <v>04-08-2020</v>
      </c>
      <c r="N406" t="str">
        <f t="shared" si="169"/>
        <v>001105018356</v>
      </c>
      <c r="O406" t="str">
        <f t="shared" si="170"/>
        <v>MYR</v>
      </c>
      <c r="P406" t="str">
        <f t="shared" si="165"/>
        <v>NIL</v>
      </c>
      <c r="Q406" t="str">
        <f t="shared" si="165"/>
        <v>NIL</v>
      </c>
      <c r="R406" t="str">
        <f t="shared" si="171"/>
        <v>Accepted</v>
      </c>
      <c r="S406" t="str">
        <f t="shared" si="172"/>
        <v>Approved</v>
      </c>
      <c r="T406" t="str">
        <f t="shared" si="173"/>
        <v>10.20.8.188</v>
      </c>
      <c r="U406" t="str">
        <f t="shared" si="174"/>
        <v>AZRAD UMAR BIN SHAARI</v>
      </c>
      <c r="V406" t="str">
        <f t="shared" si="175"/>
        <v>FARHANA BINTI MUSTAPA</v>
      </c>
      <c r="W406" t="str">
        <f t="shared" si="176"/>
        <v>04-08-2020</v>
      </c>
      <c r="X406" t="str">
        <f t="shared" si="177"/>
        <v>RAZIMAH ANSAR AHMAD</v>
      </c>
      <c r="Y406" t="str">
        <f t="shared" si="178"/>
        <v>04-08-2020</v>
      </c>
      <c r="Z406" t="str">
        <f>"IDSB19200804 246"</f>
        <v>IDSB19200804 246</v>
      </c>
    </row>
    <row r="407" spans="1:26" x14ac:dyDescent="0.25">
      <c r="A407" t="str">
        <f t="shared" si="162"/>
        <v>04-08-2020 01:21:07</v>
      </c>
      <c r="B407" t="str">
        <f>"0000810557"</f>
        <v>0000810557</v>
      </c>
      <c r="C407" t="str">
        <f t="shared" si="163"/>
        <v>0000810512</v>
      </c>
      <c r="D407" t="str">
        <f t="shared" si="166"/>
        <v>73185</v>
      </c>
      <c r="E407" t="str">
        <f t="shared" si="167"/>
        <v>KFH-OPERATIONS DEPARTMENT</v>
      </c>
      <c r="F407" t="str">
        <f t="shared" si="168"/>
        <v>IBG</v>
      </c>
      <c r="G407" t="str">
        <f t="shared" si="154"/>
        <v>Refund IDSB 19</v>
      </c>
      <c r="H407" s="2">
        <v>1518</v>
      </c>
      <c r="I407" t="str">
        <f>"FAZLINDA IHZAN BINTI KHALIL"</f>
        <v>FAZLINDA IHZAN BINTI KHALIL</v>
      </c>
      <c r="J407" t="str">
        <f t="shared" si="159"/>
        <v>MAYBANK / MAYBANK ISLAMIC</v>
      </c>
      <c r="K407" t="str">
        <f>"102072362793"</f>
        <v>102072362793</v>
      </c>
      <c r="L407" t="str">
        <f t="shared" ref="L407:M426" si="179">"04-08-2020"</f>
        <v>04-08-2020</v>
      </c>
      <c r="M407" t="str">
        <f t="shared" si="179"/>
        <v>04-08-2020</v>
      </c>
      <c r="N407" t="str">
        <f t="shared" si="169"/>
        <v>001105018356</v>
      </c>
      <c r="O407" t="str">
        <f t="shared" si="170"/>
        <v>MYR</v>
      </c>
      <c r="P407" t="str">
        <f t="shared" ref="P407:Q426" si="180">"NIL"</f>
        <v>NIL</v>
      </c>
      <c r="Q407" t="str">
        <f t="shared" si="180"/>
        <v>NIL</v>
      </c>
      <c r="R407" t="str">
        <f t="shared" si="171"/>
        <v>Accepted</v>
      </c>
      <c r="S407" t="str">
        <f t="shared" si="172"/>
        <v>Approved</v>
      </c>
      <c r="T407" t="str">
        <f t="shared" si="173"/>
        <v>10.20.8.188</v>
      </c>
      <c r="U407" t="str">
        <f t="shared" si="174"/>
        <v>AZRAD UMAR BIN SHAARI</v>
      </c>
      <c r="V407" t="str">
        <f t="shared" si="175"/>
        <v>FARHANA BINTI MUSTAPA</v>
      </c>
      <c r="W407" t="str">
        <f t="shared" si="176"/>
        <v>04-08-2020</v>
      </c>
      <c r="X407" t="str">
        <f t="shared" si="177"/>
        <v>RAZIMAH ANSAR AHMAD</v>
      </c>
      <c r="Y407" t="str">
        <f t="shared" si="178"/>
        <v>04-08-2020</v>
      </c>
      <c r="Z407" t="str">
        <f>"IDSB19200804 245"</f>
        <v>IDSB19200804 245</v>
      </c>
    </row>
    <row r="408" spans="1:26" x14ac:dyDescent="0.25">
      <c r="A408" t="str">
        <f t="shared" si="162"/>
        <v>04-08-2020 01:21:07</v>
      </c>
      <c r="B408" t="str">
        <f>"0000810556"</f>
        <v>0000810556</v>
      </c>
      <c r="C408" t="str">
        <f t="shared" si="163"/>
        <v>0000810512</v>
      </c>
      <c r="D408" t="str">
        <f t="shared" si="166"/>
        <v>73185</v>
      </c>
      <c r="E408" t="str">
        <f t="shared" si="167"/>
        <v>KFH-OPERATIONS DEPARTMENT</v>
      </c>
      <c r="F408" t="str">
        <f t="shared" si="168"/>
        <v>IBG</v>
      </c>
      <c r="G408" t="str">
        <f t="shared" ref="G408:G471" si="181">"Refund IDSB 19"</f>
        <v>Refund IDSB 19</v>
      </c>
      <c r="H408" s="2">
        <v>873</v>
      </c>
      <c r="I408" t="str">
        <f>"FARAH NAJWA BINTI MATMARJANI"</f>
        <v>FARAH NAJWA BINTI MATMARJANI</v>
      </c>
      <c r="J408" t="str">
        <f t="shared" si="159"/>
        <v>MAYBANK / MAYBANK ISLAMIC</v>
      </c>
      <c r="K408" t="str">
        <f>"162218387265"</f>
        <v>162218387265</v>
      </c>
      <c r="L408" t="str">
        <f t="shared" si="179"/>
        <v>04-08-2020</v>
      </c>
      <c r="M408" t="str">
        <f t="shared" si="179"/>
        <v>04-08-2020</v>
      </c>
      <c r="N408" t="str">
        <f t="shared" si="169"/>
        <v>001105018356</v>
      </c>
      <c r="O408" t="str">
        <f t="shared" si="170"/>
        <v>MYR</v>
      </c>
      <c r="P408" t="str">
        <f t="shared" si="180"/>
        <v>NIL</v>
      </c>
      <c r="Q408" t="str">
        <f t="shared" si="180"/>
        <v>NIL</v>
      </c>
      <c r="R408" t="str">
        <f t="shared" si="171"/>
        <v>Accepted</v>
      </c>
      <c r="S408" t="str">
        <f t="shared" si="172"/>
        <v>Approved</v>
      </c>
      <c r="T408" t="str">
        <f t="shared" si="173"/>
        <v>10.20.8.188</v>
      </c>
      <c r="U408" t="str">
        <f t="shared" si="174"/>
        <v>AZRAD UMAR BIN SHAARI</v>
      </c>
      <c r="V408" t="str">
        <f t="shared" si="175"/>
        <v>FARHANA BINTI MUSTAPA</v>
      </c>
      <c r="W408" t="str">
        <f t="shared" si="176"/>
        <v>04-08-2020</v>
      </c>
      <c r="X408" t="str">
        <f t="shared" si="177"/>
        <v>RAZIMAH ANSAR AHMAD</v>
      </c>
      <c r="Y408" t="str">
        <f t="shared" si="178"/>
        <v>04-08-2020</v>
      </c>
      <c r="Z408" t="str">
        <f>"IDSB19200804 244"</f>
        <v>IDSB19200804 244</v>
      </c>
    </row>
    <row r="409" spans="1:26" x14ac:dyDescent="0.25">
      <c r="A409" t="str">
        <f t="shared" si="162"/>
        <v>04-08-2020 01:21:07</v>
      </c>
      <c r="B409" t="str">
        <f>"0000810555"</f>
        <v>0000810555</v>
      </c>
      <c r="C409" t="str">
        <f t="shared" si="163"/>
        <v>0000810512</v>
      </c>
      <c r="D409" t="str">
        <f t="shared" si="166"/>
        <v>73185</v>
      </c>
      <c r="E409" t="str">
        <f t="shared" si="167"/>
        <v>KFH-OPERATIONS DEPARTMENT</v>
      </c>
      <c r="F409" t="str">
        <f t="shared" si="168"/>
        <v>IBG</v>
      </c>
      <c r="G409" t="str">
        <f t="shared" si="181"/>
        <v>Refund IDSB 19</v>
      </c>
      <c r="H409" s="2">
        <v>335.67</v>
      </c>
      <c r="I409" t="str">
        <f>"FADILAH BINTI MOHAMAD  MOHD SHARIF"</f>
        <v>FADILAH BINTI MOHAMAD  MOHD SHARIF</v>
      </c>
      <c r="J409" t="str">
        <f t="shared" si="159"/>
        <v>MAYBANK / MAYBANK ISLAMIC</v>
      </c>
      <c r="K409" t="str">
        <f>"162188369333"</f>
        <v>162188369333</v>
      </c>
      <c r="L409" t="str">
        <f t="shared" si="179"/>
        <v>04-08-2020</v>
      </c>
      <c r="M409" t="str">
        <f t="shared" si="179"/>
        <v>04-08-2020</v>
      </c>
      <c r="N409" t="str">
        <f t="shared" si="169"/>
        <v>001105018356</v>
      </c>
      <c r="O409" t="str">
        <f t="shared" si="170"/>
        <v>MYR</v>
      </c>
      <c r="P409" t="str">
        <f t="shared" si="180"/>
        <v>NIL</v>
      </c>
      <c r="Q409" t="str">
        <f t="shared" si="180"/>
        <v>NIL</v>
      </c>
      <c r="R409" t="str">
        <f t="shared" si="171"/>
        <v>Accepted</v>
      </c>
      <c r="S409" t="str">
        <f t="shared" si="172"/>
        <v>Approved</v>
      </c>
      <c r="T409" t="str">
        <f t="shared" si="173"/>
        <v>10.20.8.188</v>
      </c>
      <c r="U409" t="str">
        <f t="shared" si="174"/>
        <v>AZRAD UMAR BIN SHAARI</v>
      </c>
      <c r="V409" t="str">
        <f t="shared" si="175"/>
        <v>FARHANA BINTI MUSTAPA</v>
      </c>
      <c r="W409" t="str">
        <f t="shared" si="176"/>
        <v>04-08-2020</v>
      </c>
      <c r="X409" t="str">
        <f t="shared" si="177"/>
        <v>RAZIMAH ANSAR AHMAD</v>
      </c>
      <c r="Y409" t="str">
        <f t="shared" si="178"/>
        <v>04-08-2020</v>
      </c>
      <c r="Z409" t="str">
        <f>"IDSB19200804 243"</f>
        <v>IDSB19200804 243</v>
      </c>
    </row>
    <row r="410" spans="1:26" x14ac:dyDescent="0.25">
      <c r="A410" t="str">
        <f t="shared" si="162"/>
        <v>04-08-2020 01:21:07</v>
      </c>
      <c r="B410" t="str">
        <f>"0000810554"</f>
        <v>0000810554</v>
      </c>
      <c r="C410" t="str">
        <f t="shared" si="163"/>
        <v>0000810512</v>
      </c>
      <c r="D410" t="str">
        <f t="shared" si="166"/>
        <v>73185</v>
      </c>
      <c r="E410" t="str">
        <f t="shared" si="167"/>
        <v>KFH-OPERATIONS DEPARTMENT</v>
      </c>
      <c r="F410" t="str">
        <f t="shared" si="168"/>
        <v>IBG</v>
      </c>
      <c r="G410" t="str">
        <f t="shared" si="181"/>
        <v>Refund IDSB 19</v>
      </c>
      <c r="H410" s="2">
        <v>225.11</v>
      </c>
      <c r="I410" t="str">
        <f>"DZULKARNAIN BIN MAZLAN"</f>
        <v>DZULKARNAIN BIN MAZLAN</v>
      </c>
      <c r="J410" t="str">
        <f t="shared" si="159"/>
        <v>MAYBANK / MAYBANK ISLAMIC</v>
      </c>
      <c r="K410" t="str">
        <f>"162357286189"</f>
        <v>162357286189</v>
      </c>
      <c r="L410" t="str">
        <f t="shared" si="179"/>
        <v>04-08-2020</v>
      </c>
      <c r="M410" t="str">
        <f t="shared" si="179"/>
        <v>04-08-2020</v>
      </c>
      <c r="N410" t="str">
        <f t="shared" si="169"/>
        <v>001105018356</v>
      </c>
      <c r="O410" t="str">
        <f t="shared" si="170"/>
        <v>MYR</v>
      </c>
      <c r="P410" t="str">
        <f t="shared" si="180"/>
        <v>NIL</v>
      </c>
      <c r="Q410" t="str">
        <f t="shared" si="180"/>
        <v>NIL</v>
      </c>
      <c r="R410" t="str">
        <f t="shared" si="171"/>
        <v>Accepted</v>
      </c>
      <c r="S410" t="str">
        <f t="shared" si="172"/>
        <v>Approved</v>
      </c>
      <c r="T410" t="str">
        <f t="shared" si="173"/>
        <v>10.20.8.188</v>
      </c>
      <c r="U410" t="str">
        <f t="shared" si="174"/>
        <v>AZRAD UMAR BIN SHAARI</v>
      </c>
      <c r="V410" t="str">
        <f t="shared" si="175"/>
        <v>FARHANA BINTI MUSTAPA</v>
      </c>
      <c r="W410" t="str">
        <f t="shared" si="176"/>
        <v>04-08-2020</v>
      </c>
      <c r="X410" t="str">
        <f t="shared" si="177"/>
        <v>RAZIMAH ANSAR AHMAD</v>
      </c>
      <c r="Y410" t="str">
        <f t="shared" si="178"/>
        <v>04-08-2020</v>
      </c>
      <c r="Z410" t="str">
        <f>"IDSB19200804 242"</f>
        <v>IDSB19200804 242</v>
      </c>
    </row>
    <row r="411" spans="1:26" x14ac:dyDescent="0.25">
      <c r="A411" t="str">
        <f t="shared" si="162"/>
        <v>04-08-2020 01:21:07</v>
      </c>
      <c r="B411" t="str">
        <f>"0000810553"</f>
        <v>0000810553</v>
      </c>
      <c r="C411" t="str">
        <f t="shared" si="163"/>
        <v>0000810512</v>
      </c>
      <c r="D411" t="str">
        <f t="shared" si="166"/>
        <v>73185</v>
      </c>
      <c r="E411" t="str">
        <f t="shared" si="167"/>
        <v>KFH-OPERATIONS DEPARTMENT</v>
      </c>
      <c r="F411" t="str">
        <f t="shared" si="168"/>
        <v>IBG</v>
      </c>
      <c r="G411" t="str">
        <f t="shared" si="181"/>
        <v>Refund IDSB 19</v>
      </c>
      <c r="H411" s="2">
        <v>1047</v>
      </c>
      <c r="I411" t="str">
        <f>"DHIA NURAISYAH NG BINTI ABDULLAH"</f>
        <v>DHIA NURAISYAH NG BINTI ABDULLAH</v>
      </c>
      <c r="J411" t="str">
        <f t="shared" si="159"/>
        <v>MAYBANK / MAYBANK ISLAMIC</v>
      </c>
      <c r="K411" t="str">
        <f>"105010090355"</f>
        <v>105010090355</v>
      </c>
      <c r="L411" t="str">
        <f t="shared" si="179"/>
        <v>04-08-2020</v>
      </c>
      <c r="M411" t="str">
        <f t="shared" si="179"/>
        <v>04-08-2020</v>
      </c>
      <c r="N411" t="str">
        <f t="shared" si="169"/>
        <v>001105018356</v>
      </c>
      <c r="O411" t="str">
        <f t="shared" si="170"/>
        <v>MYR</v>
      </c>
      <c r="P411" t="str">
        <f t="shared" si="180"/>
        <v>NIL</v>
      </c>
      <c r="Q411" t="str">
        <f t="shared" si="180"/>
        <v>NIL</v>
      </c>
      <c r="R411" t="str">
        <f t="shared" si="171"/>
        <v>Accepted</v>
      </c>
      <c r="S411" t="str">
        <f t="shared" si="172"/>
        <v>Approved</v>
      </c>
      <c r="T411" t="str">
        <f t="shared" si="173"/>
        <v>10.20.8.188</v>
      </c>
      <c r="U411" t="str">
        <f t="shared" si="174"/>
        <v>AZRAD UMAR BIN SHAARI</v>
      </c>
      <c r="V411" t="str">
        <f t="shared" si="175"/>
        <v>FARHANA BINTI MUSTAPA</v>
      </c>
      <c r="W411" t="str">
        <f t="shared" si="176"/>
        <v>04-08-2020</v>
      </c>
      <c r="X411" t="str">
        <f t="shared" si="177"/>
        <v>RAZIMAH ANSAR AHMAD</v>
      </c>
      <c r="Y411" t="str">
        <f t="shared" si="178"/>
        <v>04-08-2020</v>
      </c>
      <c r="Z411" t="str">
        <f>"IDSB19200804 241"</f>
        <v>IDSB19200804 241</v>
      </c>
    </row>
    <row r="412" spans="1:26" x14ac:dyDescent="0.25">
      <c r="A412" t="str">
        <f t="shared" ref="A412:A443" si="182">"04-08-2020 01:21:07"</f>
        <v>04-08-2020 01:21:07</v>
      </c>
      <c r="B412" t="str">
        <f>"0000810552"</f>
        <v>0000810552</v>
      </c>
      <c r="C412" t="str">
        <f t="shared" ref="C412:C443" si="183">"0000810512"</f>
        <v>0000810512</v>
      </c>
      <c r="D412" t="str">
        <f t="shared" si="166"/>
        <v>73185</v>
      </c>
      <c r="E412" t="str">
        <f t="shared" si="167"/>
        <v>KFH-OPERATIONS DEPARTMENT</v>
      </c>
      <c r="F412" t="str">
        <f t="shared" si="168"/>
        <v>IBG</v>
      </c>
      <c r="G412" t="str">
        <f t="shared" si="181"/>
        <v>Refund IDSB 19</v>
      </c>
      <c r="H412" s="2">
        <v>607</v>
      </c>
      <c r="I412" t="str">
        <f>"CHE MOHD FAIZ AFHAM BIN CHE MAT"</f>
        <v>CHE MOHD FAIZ AFHAM BIN CHE MAT</v>
      </c>
      <c r="J412" t="str">
        <f t="shared" si="159"/>
        <v>MAYBANK / MAYBANK ISLAMIC</v>
      </c>
      <c r="K412" t="str">
        <f>"163037122087"</f>
        <v>163037122087</v>
      </c>
      <c r="L412" t="str">
        <f t="shared" si="179"/>
        <v>04-08-2020</v>
      </c>
      <c r="M412" t="str">
        <f t="shared" si="179"/>
        <v>04-08-2020</v>
      </c>
      <c r="N412" t="str">
        <f t="shared" si="169"/>
        <v>001105018356</v>
      </c>
      <c r="O412" t="str">
        <f t="shared" si="170"/>
        <v>MYR</v>
      </c>
      <c r="P412" t="str">
        <f t="shared" si="180"/>
        <v>NIL</v>
      </c>
      <c r="Q412" t="str">
        <f t="shared" si="180"/>
        <v>NIL</v>
      </c>
      <c r="R412" t="str">
        <f t="shared" si="171"/>
        <v>Accepted</v>
      </c>
      <c r="S412" t="str">
        <f t="shared" si="172"/>
        <v>Approved</v>
      </c>
      <c r="T412" t="str">
        <f t="shared" si="173"/>
        <v>10.20.8.188</v>
      </c>
      <c r="U412" t="str">
        <f t="shared" si="174"/>
        <v>AZRAD UMAR BIN SHAARI</v>
      </c>
      <c r="V412" t="str">
        <f t="shared" si="175"/>
        <v>FARHANA BINTI MUSTAPA</v>
      </c>
      <c r="W412" t="str">
        <f t="shared" si="176"/>
        <v>04-08-2020</v>
      </c>
      <c r="X412" t="str">
        <f t="shared" si="177"/>
        <v>RAZIMAH ANSAR AHMAD</v>
      </c>
      <c r="Y412" t="str">
        <f t="shared" si="178"/>
        <v>04-08-2020</v>
      </c>
      <c r="Z412" t="str">
        <f>"IDSB19200804 240"</f>
        <v>IDSB19200804 240</v>
      </c>
    </row>
    <row r="413" spans="1:26" x14ac:dyDescent="0.25">
      <c r="A413" t="str">
        <f t="shared" si="182"/>
        <v>04-08-2020 01:21:07</v>
      </c>
      <c r="B413" t="str">
        <f>"0000810551"</f>
        <v>0000810551</v>
      </c>
      <c r="C413" t="str">
        <f t="shared" si="183"/>
        <v>0000810512</v>
      </c>
      <c r="D413" t="str">
        <f t="shared" si="166"/>
        <v>73185</v>
      </c>
      <c r="E413" t="str">
        <f t="shared" si="167"/>
        <v>KFH-OPERATIONS DEPARTMENT</v>
      </c>
      <c r="F413" t="str">
        <f t="shared" si="168"/>
        <v>IBG</v>
      </c>
      <c r="G413" t="str">
        <f t="shared" si="181"/>
        <v>Refund IDSB 19</v>
      </c>
      <c r="H413" s="2">
        <v>1234.0999999999999</v>
      </c>
      <c r="I413" t="str">
        <f>"AZRINAWATI BINTI MOHD NORZALI"</f>
        <v>AZRINAWATI BINTI MOHD NORZALI</v>
      </c>
      <c r="J413" t="str">
        <f t="shared" si="159"/>
        <v>MAYBANK / MAYBANK ISLAMIC</v>
      </c>
      <c r="K413" t="str">
        <f>"164016973527"</f>
        <v>164016973527</v>
      </c>
      <c r="L413" t="str">
        <f t="shared" si="179"/>
        <v>04-08-2020</v>
      </c>
      <c r="M413" t="str">
        <f t="shared" si="179"/>
        <v>04-08-2020</v>
      </c>
      <c r="N413" t="str">
        <f t="shared" si="169"/>
        <v>001105018356</v>
      </c>
      <c r="O413" t="str">
        <f t="shared" si="170"/>
        <v>MYR</v>
      </c>
      <c r="P413" t="str">
        <f t="shared" si="180"/>
        <v>NIL</v>
      </c>
      <c r="Q413" t="str">
        <f t="shared" si="180"/>
        <v>NIL</v>
      </c>
      <c r="R413" t="str">
        <f t="shared" si="171"/>
        <v>Accepted</v>
      </c>
      <c r="S413" t="str">
        <f t="shared" si="172"/>
        <v>Approved</v>
      </c>
      <c r="T413" t="str">
        <f t="shared" si="173"/>
        <v>10.20.8.188</v>
      </c>
      <c r="U413" t="str">
        <f t="shared" si="174"/>
        <v>AZRAD UMAR BIN SHAARI</v>
      </c>
      <c r="V413" t="str">
        <f t="shared" si="175"/>
        <v>FARHANA BINTI MUSTAPA</v>
      </c>
      <c r="W413" t="str">
        <f t="shared" si="176"/>
        <v>04-08-2020</v>
      </c>
      <c r="X413" t="str">
        <f t="shared" si="177"/>
        <v>RAZIMAH ANSAR AHMAD</v>
      </c>
      <c r="Y413" t="str">
        <f t="shared" si="178"/>
        <v>04-08-2020</v>
      </c>
      <c r="Z413" t="str">
        <f>"IDSB19200804 239"</f>
        <v>IDSB19200804 239</v>
      </c>
    </row>
    <row r="414" spans="1:26" x14ac:dyDescent="0.25">
      <c r="A414" t="str">
        <f t="shared" si="182"/>
        <v>04-08-2020 01:21:07</v>
      </c>
      <c r="B414" t="str">
        <f>"0000810550"</f>
        <v>0000810550</v>
      </c>
      <c r="C414" t="str">
        <f t="shared" si="183"/>
        <v>0000810512</v>
      </c>
      <c r="D414" t="str">
        <f t="shared" si="166"/>
        <v>73185</v>
      </c>
      <c r="E414" t="str">
        <f t="shared" si="167"/>
        <v>KFH-OPERATIONS DEPARTMENT</v>
      </c>
      <c r="F414" t="str">
        <f t="shared" si="168"/>
        <v>IBG</v>
      </c>
      <c r="G414" t="str">
        <f t="shared" si="181"/>
        <v>Refund IDSB 19</v>
      </c>
      <c r="H414" s="2">
        <v>383.1</v>
      </c>
      <c r="I414" t="str">
        <f>"AZNIDA BINTI AZMEE"</f>
        <v>AZNIDA BINTI AZMEE</v>
      </c>
      <c r="J414" t="str">
        <f t="shared" si="159"/>
        <v>MAYBANK / MAYBANK ISLAMIC</v>
      </c>
      <c r="K414" t="str">
        <f>"162227263438"</f>
        <v>162227263438</v>
      </c>
      <c r="L414" t="str">
        <f t="shared" si="179"/>
        <v>04-08-2020</v>
      </c>
      <c r="M414" t="str">
        <f t="shared" si="179"/>
        <v>04-08-2020</v>
      </c>
      <c r="N414" t="str">
        <f t="shared" si="169"/>
        <v>001105018356</v>
      </c>
      <c r="O414" t="str">
        <f t="shared" si="170"/>
        <v>MYR</v>
      </c>
      <c r="P414" t="str">
        <f t="shared" si="180"/>
        <v>NIL</v>
      </c>
      <c r="Q414" t="str">
        <f t="shared" si="180"/>
        <v>NIL</v>
      </c>
      <c r="R414" t="str">
        <f t="shared" si="171"/>
        <v>Accepted</v>
      </c>
      <c r="S414" t="str">
        <f t="shared" si="172"/>
        <v>Approved</v>
      </c>
      <c r="T414" t="str">
        <f t="shared" si="173"/>
        <v>10.20.8.188</v>
      </c>
      <c r="U414" t="str">
        <f t="shared" si="174"/>
        <v>AZRAD UMAR BIN SHAARI</v>
      </c>
      <c r="V414" t="str">
        <f t="shared" si="175"/>
        <v>FARHANA BINTI MUSTAPA</v>
      </c>
      <c r="W414" t="str">
        <f t="shared" si="176"/>
        <v>04-08-2020</v>
      </c>
      <c r="X414" t="str">
        <f t="shared" si="177"/>
        <v>RAZIMAH ANSAR AHMAD</v>
      </c>
      <c r="Y414" t="str">
        <f t="shared" si="178"/>
        <v>04-08-2020</v>
      </c>
      <c r="Z414" t="str">
        <f>"IDSB19200804 238"</f>
        <v>IDSB19200804 238</v>
      </c>
    </row>
    <row r="415" spans="1:26" x14ac:dyDescent="0.25">
      <c r="A415" t="str">
        <f t="shared" si="182"/>
        <v>04-08-2020 01:21:07</v>
      </c>
      <c r="B415" t="str">
        <f>"0000810549"</f>
        <v>0000810549</v>
      </c>
      <c r="C415" t="str">
        <f t="shared" si="183"/>
        <v>0000810512</v>
      </c>
      <c r="D415" t="str">
        <f t="shared" si="166"/>
        <v>73185</v>
      </c>
      <c r="E415" t="str">
        <f t="shared" si="167"/>
        <v>KFH-OPERATIONS DEPARTMENT</v>
      </c>
      <c r="F415" t="str">
        <f t="shared" si="168"/>
        <v>IBG</v>
      </c>
      <c r="G415" t="str">
        <f t="shared" si="181"/>
        <v>Refund IDSB 19</v>
      </c>
      <c r="H415" s="2">
        <v>1441.7</v>
      </c>
      <c r="I415" t="str">
        <f>"AZMI BIN AHMAD"</f>
        <v>AZMI BIN AHMAD</v>
      </c>
      <c r="J415" t="str">
        <f t="shared" si="159"/>
        <v>MAYBANK / MAYBANK ISLAMIC</v>
      </c>
      <c r="K415" t="str">
        <f>"112071241221"</f>
        <v>112071241221</v>
      </c>
      <c r="L415" t="str">
        <f t="shared" si="179"/>
        <v>04-08-2020</v>
      </c>
      <c r="M415" t="str">
        <f t="shared" si="179"/>
        <v>04-08-2020</v>
      </c>
      <c r="N415" t="str">
        <f t="shared" si="169"/>
        <v>001105018356</v>
      </c>
      <c r="O415" t="str">
        <f t="shared" si="170"/>
        <v>MYR</v>
      </c>
      <c r="P415" t="str">
        <f t="shared" si="180"/>
        <v>NIL</v>
      </c>
      <c r="Q415" t="str">
        <f t="shared" si="180"/>
        <v>NIL</v>
      </c>
      <c r="R415" t="str">
        <f t="shared" si="171"/>
        <v>Accepted</v>
      </c>
      <c r="S415" t="str">
        <f t="shared" si="172"/>
        <v>Approved</v>
      </c>
      <c r="T415" t="str">
        <f t="shared" si="173"/>
        <v>10.20.8.188</v>
      </c>
      <c r="U415" t="str">
        <f t="shared" si="174"/>
        <v>AZRAD UMAR BIN SHAARI</v>
      </c>
      <c r="V415" t="str">
        <f t="shared" si="175"/>
        <v>FARHANA BINTI MUSTAPA</v>
      </c>
      <c r="W415" t="str">
        <f t="shared" si="176"/>
        <v>04-08-2020</v>
      </c>
      <c r="X415" t="str">
        <f t="shared" si="177"/>
        <v>RAZIMAH ANSAR AHMAD</v>
      </c>
      <c r="Y415" t="str">
        <f t="shared" si="178"/>
        <v>04-08-2020</v>
      </c>
      <c r="Z415" t="str">
        <f>"IDSB19200804 237"</f>
        <v>IDSB19200804 237</v>
      </c>
    </row>
    <row r="416" spans="1:26" x14ac:dyDescent="0.25">
      <c r="A416" t="str">
        <f t="shared" si="182"/>
        <v>04-08-2020 01:21:07</v>
      </c>
      <c r="B416" t="str">
        <f>"0000810548"</f>
        <v>0000810548</v>
      </c>
      <c r="C416" t="str">
        <f t="shared" si="183"/>
        <v>0000810512</v>
      </c>
      <c r="D416" t="str">
        <f t="shared" si="166"/>
        <v>73185</v>
      </c>
      <c r="E416" t="str">
        <f t="shared" si="167"/>
        <v>KFH-OPERATIONS DEPARTMENT</v>
      </c>
      <c r="F416" t="str">
        <f t="shared" si="168"/>
        <v>IBG</v>
      </c>
      <c r="G416" t="str">
        <f t="shared" si="181"/>
        <v>Refund IDSB 19</v>
      </c>
      <c r="H416" s="2">
        <v>167.83</v>
      </c>
      <c r="I416" t="str">
        <f>"AZIZUL BIN KHALID"</f>
        <v>AZIZUL BIN KHALID</v>
      </c>
      <c r="J416" t="str">
        <f t="shared" ref="J416:J436" si="184">"MAYBANK / MAYBANK ISLAMIC"</f>
        <v>MAYBANK / MAYBANK ISLAMIC</v>
      </c>
      <c r="K416" t="str">
        <f>"164137466139"</f>
        <v>164137466139</v>
      </c>
      <c r="L416" t="str">
        <f t="shared" si="179"/>
        <v>04-08-2020</v>
      </c>
      <c r="M416" t="str">
        <f t="shared" si="179"/>
        <v>04-08-2020</v>
      </c>
      <c r="N416" t="str">
        <f t="shared" si="169"/>
        <v>001105018356</v>
      </c>
      <c r="O416" t="str">
        <f t="shared" si="170"/>
        <v>MYR</v>
      </c>
      <c r="P416" t="str">
        <f t="shared" si="180"/>
        <v>NIL</v>
      </c>
      <c r="Q416" t="str">
        <f t="shared" si="180"/>
        <v>NIL</v>
      </c>
      <c r="R416" t="str">
        <f t="shared" si="171"/>
        <v>Accepted</v>
      </c>
      <c r="S416" t="str">
        <f t="shared" si="172"/>
        <v>Approved</v>
      </c>
      <c r="T416" t="str">
        <f t="shared" si="173"/>
        <v>10.20.8.188</v>
      </c>
      <c r="U416" t="str">
        <f t="shared" si="174"/>
        <v>AZRAD UMAR BIN SHAARI</v>
      </c>
      <c r="V416" t="str">
        <f t="shared" si="175"/>
        <v>FARHANA BINTI MUSTAPA</v>
      </c>
      <c r="W416" t="str">
        <f t="shared" si="176"/>
        <v>04-08-2020</v>
      </c>
      <c r="X416" t="str">
        <f t="shared" si="177"/>
        <v>RAZIMAH ANSAR AHMAD</v>
      </c>
      <c r="Y416" t="str">
        <f t="shared" si="178"/>
        <v>04-08-2020</v>
      </c>
      <c r="Z416" t="str">
        <f>"IDSB19200804 236"</f>
        <v>IDSB19200804 236</v>
      </c>
    </row>
    <row r="417" spans="1:26" x14ac:dyDescent="0.25">
      <c r="A417" t="str">
        <f t="shared" si="182"/>
        <v>04-08-2020 01:21:07</v>
      </c>
      <c r="B417" t="str">
        <f>"0000810547"</f>
        <v>0000810547</v>
      </c>
      <c r="C417" t="str">
        <f t="shared" si="183"/>
        <v>0000810512</v>
      </c>
      <c r="D417" t="str">
        <f t="shared" si="166"/>
        <v>73185</v>
      </c>
      <c r="E417" t="str">
        <f t="shared" si="167"/>
        <v>KFH-OPERATIONS DEPARTMENT</v>
      </c>
      <c r="F417" t="str">
        <f t="shared" si="168"/>
        <v>IBG</v>
      </c>
      <c r="G417" t="str">
        <f t="shared" si="181"/>
        <v>Refund IDSB 19</v>
      </c>
      <c r="H417" s="2">
        <v>990.25</v>
      </c>
      <c r="I417" t="str">
        <f>"AZIAH BINTI NASIR"</f>
        <v>AZIAH BINTI NASIR</v>
      </c>
      <c r="J417" t="str">
        <f t="shared" si="184"/>
        <v>MAYBANK / MAYBANK ISLAMIC</v>
      </c>
      <c r="K417" t="str">
        <f>"162106471059"</f>
        <v>162106471059</v>
      </c>
      <c r="L417" t="str">
        <f t="shared" si="179"/>
        <v>04-08-2020</v>
      </c>
      <c r="M417" t="str">
        <f t="shared" si="179"/>
        <v>04-08-2020</v>
      </c>
      <c r="N417" t="str">
        <f t="shared" si="169"/>
        <v>001105018356</v>
      </c>
      <c r="O417" t="str">
        <f t="shared" si="170"/>
        <v>MYR</v>
      </c>
      <c r="P417" t="str">
        <f t="shared" si="180"/>
        <v>NIL</v>
      </c>
      <c r="Q417" t="str">
        <f t="shared" si="180"/>
        <v>NIL</v>
      </c>
      <c r="R417" t="str">
        <f t="shared" si="171"/>
        <v>Accepted</v>
      </c>
      <c r="S417" t="str">
        <f t="shared" si="172"/>
        <v>Approved</v>
      </c>
      <c r="T417" t="str">
        <f t="shared" si="173"/>
        <v>10.20.8.188</v>
      </c>
      <c r="U417" t="str">
        <f t="shared" si="174"/>
        <v>AZRAD UMAR BIN SHAARI</v>
      </c>
      <c r="V417" t="str">
        <f t="shared" si="175"/>
        <v>FARHANA BINTI MUSTAPA</v>
      </c>
      <c r="W417" t="str">
        <f t="shared" si="176"/>
        <v>04-08-2020</v>
      </c>
      <c r="X417" t="str">
        <f t="shared" si="177"/>
        <v>RAZIMAH ANSAR AHMAD</v>
      </c>
      <c r="Y417" t="str">
        <f t="shared" si="178"/>
        <v>04-08-2020</v>
      </c>
      <c r="Z417" t="str">
        <f>"IDSB19200804 235"</f>
        <v>IDSB19200804 235</v>
      </c>
    </row>
    <row r="418" spans="1:26" x14ac:dyDescent="0.25">
      <c r="A418" t="str">
        <f t="shared" si="182"/>
        <v>04-08-2020 01:21:07</v>
      </c>
      <c r="B418" t="str">
        <f>"0000810546"</f>
        <v>0000810546</v>
      </c>
      <c r="C418" t="str">
        <f t="shared" si="183"/>
        <v>0000810512</v>
      </c>
      <c r="D418" t="str">
        <f t="shared" si="166"/>
        <v>73185</v>
      </c>
      <c r="E418" t="str">
        <f t="shared" si="167"/>
        <v>KFH-OPERATIONS DEPARTMENT</v>
      </c>
      <c r="F418" t="str">
        <f t="shared" si="168"/>
        <v>IBG</v>
      </c>
      <c r="G418" t="str">
        <f t="shared" si="181"/>
        <v>Refund IDSB 19</v>
      </c>
      <c r="H418" s="2">
        <v>713.31</v>
      </c>
      <c r="I418" t="str">
        <f>"AYUB BIN MOHAMAD"</f>
        <v>AYUB BIN MOHAMAD</v>
      </c>
      <c r="J418" t="str">
        <f t="shared" si="184"/>
        <v>MAYBANK / MAYBANK ISLAMIC</v>
      </c>
      <c r="K418" t="str">
        <f>"154017317242"</f>
        <v>154017317242</v>
      </c>
      <c r="L418" t="str">
        <f t="shared" si="179"/>
        <v>04-08-2020</v>
      </c>
      <c r="M418" t="str">
        <f t="shared" si="179"/>
        <v>04-08-2020</v>
      </c>
      <c r="N418" t="str">
        <f t="shared" si="169"/>
        <v>001105018356</v>
      </c>
      <c r="O418" t="str">
        <f t="shared" si="170"/>
        <v>MYR</v>
      </c>
      <c r="P418" t="str">
        <f t="shared" si="180"/>
        <v>NIL</v>
      </c>
      <c r="Q418" t="str">
        <f t="shared" si="180"/>
        <v>NIL</v>
      </c>
      <c r="R418" t="str">
        <f t="shared" si="171"/>
        <v>Accepted</v>
      </c>
      <c r="S418" t="str">
        <f t="shared" si="172"/>
        <v>Approved</v>
      </c>
      <c r="T418" t="str">
        <f t="shared" si="173"/>
        <v>10.20.8.188</v>
      </c>
      <c r="U418" t="str">
        <f t="shared" si="174"/>
        <v>AZRAD UMAR BIN SHAARI</v>
      </c>
      <c r="V418" t="str">
        <f t="shared" si="175"/>
        <v>FARHANA BINTI MUSTAPA</v>
      </c>
      <c r="W418" t="str">
        <f t="shared" si="176"/>
        <v>04-08-2020</v>
      </c>
      <c r="X418" t="str">
        <f t="shared" si="177"/>
        <v>RAZIMAH ANSAR AHMAD</v>
      </c>
      <c r="Y418" t="str">
        <f t="shared" si="178"/>
        <v>04-08-2020</v>
      </c>
      <c r="Z418" t="str">
        <f>"IDSB19200804 234"</f>
        <v>IDSB19200804 234</v>
      </c>
    </row>
    <row r="419" spans="1:26" x14ac:dyDescent="0.25">
      <c r="A419" t="str">
        <f t="shared" si="182"/>
        <v>04-08-2020 01:21:07</v>
      </c>
      <c r="B419" t="str">
        <f>"0000810545"</f>
        <v>0000810545</v>
      </c>
      <c r="C419" t="str">
        <f t="shared" si="183"/>
        <v>0000810512</v>
      </c>
      <c r="D419" t="str">
        <f t="shared" si="166"/>
        <v>73185</v>
      </c>
      <c r="E419" t="str">
        <f t="shared" si="167"/>
        <v>KFH-OPERATIONS DEPARTMENT</v>
      </c>
      <c r="F419" t="str">
        <f t="shared" si="168"/>
        <v>IBG</v>
      </c>
      <c r="G419" t="str">
        <f t="shared" si="181"/>
        <v>Refund IDSB 19</v>
      </c>
      <c r="H419" s="2">
        <v>243</v>
      </c>
      <c r="I419" t="str">
        <f>"ASMAWI BIN MISPAN"</f>
        <v>ASMAWI BIN MISPAN</v>
      </c>
      <c r="J419" t="str">
        <f t="shared" si="184"/>
        <v>MAYBANK / MAYBANK ISLAMIC</v>
      </c>
      <c r="K419" t="str">
        <f>"151258597694"</f>
        <v>151258597694</v>
      </c>
      <c r="L419" t="str">
        <f t="shared" si="179"/>
        <v>04-08-2020</v>
      </c>
      <c r="M419" t="str">
        <f t="shared" si="179"/>
        <v>04-08-2020</v>
      </c>
      <c r="N419" t="str">
        <f t="shared" si="169"/>
        <v>001105018356</v>
      </c>
      <c r="O419" t="str">
        <f t="shared" si="170"/>
        <v>MYR</v>
      </c>
      <c r="P419" t="str">
        <f t="shared" si="180"/>
        <v>NIL</v>
      </c>
      <c r="Q419" t="str">
        <f t="shared" si="180"/>
        <v>NIL</v>
      </c>
      <c r="R419" t="str">
        <f t="shared" si="171"/>
        <v>Accepted</v>
      </c>
      <c r="S419" t="str">
        <f t="shared" si="172"/>
        <v>Approved</v>
      </c>
      <c r="T419" t="str">
        <f t="shared" si="173"/>
        <v>10.20.8.188</v>
      </c>
      <c r="U419" t="str">
        <f t="shared" si="174"/>
        <v>AZRAD UMAR BIN SHAARI</v>
      </c>
      <c r="V419" t="str">
        <f t="shared" si="175"/>
        <v>FARHANA BINTI MUSTAPA</v>
      </c>
      <c r="W419" t="str">
        <f t="shared" si="176"/>
        <v>04-08-2020</v>
      </c>
      <c r="X419" t="str">
        <f t="shared" si="177"/>
        <v>RAZIMAH ANSAR AHMAD</v>
      </c>
      <c r="Y419" t="str">
        <f t="shared" si="178"/>
        <v>04-08-2020</v>
      </c>
      <c r="Z419" t="str">
        <f>"IDSB19200804 233"</f>
        <v>IDSB19200804 233</v>
      </c>
    </row>
    <row r="420" spans="1:26" x14ac:dyDescent="0.25">
      <c r="A420" t="str">
        <f t="shared" si="182"/>
        <v>04-08-2020 01:21:07</v>
      </c>
      <c r="B420" t="str">
        <f>"0000810544"</f>
        <v>0000810544</v>
      </c>
      <c r="C420" t="str">
        <f t="shared" si="183"/>
        <v>0000810512</v>
      </c>
      <c r="D420" t="str">
        <f t="shared" si="166"/>
        <v>73185</v>
      </c>
      <c r="E420" t="str">
        <f t="shared" si="167"/>
        <v>KFH-OPERATIONS DEPARTMENT</v>
      </c>
      <c r="F420" t="str">
        <f t="shared" si="168"/>
        <v>IBG</v>
      </c>
      <c r="G420" t="str">
        <f t="shared" si="181"/>
        <v>Refund IDSB 19</v>
      </c>
      <c r="H420" s="2">
        <v>112.05</v>
      </c>
      <c r="I420" t="str">
        <f>"AMIRUL HAFIZ BIN BAKRI"</f>
        <v>AMIRUL HAFIZ BIN BAKRI</v>
      </c>
      <c r="J420" t="str">
        <f t="shared" si="184"/>
        <v>MAYBANK / MAYBANK ISLAMIC</v>
      </c>
      <c r="K420" t="str">
        <f>"162115088514"</f>
        <v>162115088514</v>
      </c>
      <c r="L420" t="str">
        <f t="shared" si="179"/>
        <v>04-08-2020</v>
      </c>
      <c r="M420" t="str">
        <f t="shared" si="179"/>
        <v>04-08-2020</v>
      </c>
      <c r="N420" t="str">
        <f t="shared" si="169"/>
        <v>001105018356</v>
      </c>
      <c r="O420" t="str">
        <f t="shared" si="170"/>
        <v>MYR</v>
      </c>
      <c r="P420" t="str">
        <f t="shared" si="180"/>
        <v>NIL</v>
      </c>
      <c r="Q420" t="str">
        <f t="shared" si="180"/>
        <v>NIL</v>
      </c>
      <c r="R420" t="str">
        <f t="shared" si="171"/>
        <v>Accepted</v>
      </c>
      <c r="S420" t="str">
        <f t="shared" si="172"/>
        <v>Approved</v>
      </c>
      <c r="T420" t="str">
        <f t="shared" si="173"/>
        <v>10.20.8.188</v>
      </c>
      <c r="U420" t="str">
        <f t="shared" si="174"/>
        <v>AZRAD UMAR BIN SHAARI</v>
      </c>
      <c r="V420" t="str">
        <f t="shared" si="175"/>
        <v>FARHANA BINTI MUSTAPA</v>
      </c>
      <c r="W420" t="str">
        <f t="shared" si="176"/>
        <v>04-08-2020</v>
      </c>
      <c r="X420" t="str">
        <f t="shared" si="177"/>
        <v>RAZIMAH ANSAR AHMAD</v>
      </c>
      <c r="Y420" t="str">
        <f t="shared" si="178"/>
        <v>04-08-2020</v>
      </c>
      <c r="Z420" t="str">
        <f>"IDSB19200804 232"</f>
        <v>IDSB19200804 232</v>
      </c>
    </row>
    <row r="421" spans="1:26" x14ac:dyDescent="0.25">
      <c r="A421" t="str">
        <f t="shared" si="182"/>
        <v>04-08-2020 01:21:07</v>
      </c>
      <c r="B421" t="str">
        <f>"0000810543"</f>
        <v>0000810543</v>
      </c>
      <c r="C421" t="str">
        <f t="shared" si="183"/>
        <v>0000810512</v>
      </c>
      <c r="D421" t="str">
        <f t="shared" si="166"/>
        <v>73185</v>
      </c>
      <c r="E421" t="str">
        <f t="shared" si="167"/>
        <v>KFH-OPERATIONS DEPARTMENT</v>
      </c>
      <c r="F421" t="str">
        <f t="shared" si="168"/>
        <v>IBG</v>
      </c>
      <c r="G421" t="str">
        <f t="shared" si="181"/>
        <v>Refund IDSB 19</v>
      </c>
      <c r="H421" s="2">
        <v>251.75</v>
      </c>
      <c r="I421" t="str">
        <f>"ALIAS BIN OTHMAN"</f>
        <v>ALIAS BIN OTHMAN</v>
      </c>
      <c r="J421" t="str">
        <f t="shared" si="184"/>
        <v>MAYBANK / MAYBANK ISLAMIC</v>
      </c>
      <c r="K421" t="str">
        <f>"162272505995"</f>
        <v>162272505995</v>
      </c>
      <c r="L421" t="str">
        <f t="shared" si="179"/>
        <v>04-08-2020</v>
      </c>
      <c r="M421" t="str">
        <f t="shared" si="179"/>
        <v>04-08-2020</v>
      </c>
      <c r="N421" t="str">
        <f t="shared" si="169"/>
        <v>001105018356</v>
      </c>
      <c r="O421" t="str">
        <f t="shared" si="170"/>
        <v>MYR</v>
      </c>
      <c r="P421" t="str">
        <f t="shared" si="180"/>
        <v>NIL</v>
      </c>
      <c r="Q421" t="str">
        <f t="shared" si="180"/>
        <v>NIL</v>
      </c>
      <c r="R421" t="str">
        <f t="shared" si="171"/>
        <v>Accepted</v>
      </c>
      <c r="S421" t="str">
        <f t="shared" si="172"/>
        <v>Approved</v>
      </c>
      <c r="T421" t="str">
        <f t="shared" si="173"/>
        <v>10.20.8.188</v>
      </c>
      <c r="U421" t="str">
        <f t="shared" si="174"/>
        <v>AZRAD UMAR BIN SHAARI</v>
      </c>
      <c r="V421" t="str">
        <f t="shared" si="175"/>
        <v>FARHANA BINTI MUSTAPA</v>
      </c>
      <c r="W421" t="str">
        <f t="shared" si="176"/>
        <v>04-08-2020</v>
      </c>
      <c r="X421" t="str">
        <f t="shared" si="177"/>
        <v>RAZIMAH ANSAR AHMAD</v>
      </c>
      <c r="Y421" t="str">
        <f t="shared" si="178"/>
        <v>04-08-2020</v>
      </c>
      <c r="Z421" t="str">
        <f>"IDSB19200804 231"</f>
        <v>IDSB19200804 231</v>
      </c>
    </row>
    <row r="422" spans="1:26" x14ac:dyDescent="0.25">
      <c r="A422" t="str">
        <f t="shared" si="182"/>
        <v>04-08-2020 01:21:07</v>
      </c>
      <c r="B422" t="str">
        <f>"0000810542"</f>
        <v>0000810542</v>
      </c>
      <c r="C422" t="str">
        <f t="shared" si="183"/>
        <v>0000810512</v>
      </c>
      <c r="D422" t="str">
        <f t="shared" si="166"/>
        <v>73185</v>
      </c>
      <c r="E422" t="str">
        <f t="shared" si="167"/>
        <v>KFH-OPERATIONS DEPARTMENT</v>
      </c>
      <c r="F422" t="str">
        <f t="shared" si="168"/>
        <v>IBG</v>
      </c>
      <c r="G422" t="str">
        <f t="shared" si="181"/>
        <v>Refund IDSB 19</v>
      </c>
      <c r="H422" s="2">
        <v>607</v>
      </c>
      <c r="I422" t="str">
        <f>"ALHANA BINTI ANUAR"</f>
        <v>ALHANA BINTI ANUAR</v>
      </c>
      <c r="J422" t="str">
        <f t="shared" si="184"/>
        <v>MAYBANK / MAYBANK ISLAMIC</v>
      </c>
      <c r="K422" t="str">
        <f>"151584001533"</f>
        <v>151584001533</v>
      </c>
      <c r="L422" t="str">
        <f t="shared" si="179"/>
        <v>04-08-2020</v>
      </c>
      <c r="M422" t="str">
        <f t="shared" si="179"/>
        <v>04-08-2020</v>
      </c>
      <c r="N422" t="str">
        <f t="shared" si="169"/>
        <v>001105018356</v>
      </c>
      <c r="O422" t="str">
        <f t="shared" si="170"/>
        <v>MYR</v>
      </c>
      <c r="P422" t="str">
        <f t="shared" si="180"/>
        <v>NIL</v>
      </c>
      <c r="Q422" t="str">
        <f t="shared" si="180"/>
        <v>NIL</v>
      </c>
      <c r="R422" t="str">
        <f t="shared" si="171"/>
        <v>Accepted</v>
      </c>
      <c r="S422" t="str">
        <f t="shared" si="172"/>
        <v>Approved</v>
      </c>
      <c r="T422" t="str">
        <f t="shared" si="173"/>
        <v>10.20.8.188</v>
      </c>
      <c r="U422" t="str">
        <f t="shared" si="174"/>
        <v>AZRAD UMAR BIN SHAARI</v>
      </c>
      <c r="V422" t="str">
        <f t="shared" si="175"/>
        <v>FARHANA BINTI MUSTAPA</v>
      </c>
      <c r="W422" t="str">
        <f t="shared" si="176"/>
        <v>04-08-2020</v>
      </c>
      <c r="X422" t="str">
        <f t="shared" si="177"/>
        <v>RAZIMAH ANSAR AHMAD</v>
      </c>
      <c r="Y422" t="str">
        <f t="shared" si="178"/>
        <v>04-08-2020</v>
      </c>
      <c r="Z422" t="str">
        <f>"IDSB19200804 230"</f>
        <v>IDSB19200804 230</v>
      </c>
    </row>
    <row r="423" spans="1:26" x14ac:dyDescent="0.25">
      <c r="A423" t="str">
        <f t="shared" si="182"/>
        <v>04-08-2020 01:21:07</v>
      </c>
      <c r="B423" t="str">
        <f>"0000810541"</f>
        <v>0000810541</v>
      </c>
      <c r="C423" t="str">
        <f t="shared" si="183"/>
        <v>0000810512</v>
      </c>
      <c r="D423" t="str">
        <f t="shared" si="166"/>
        <v>73185</v>
      </c>
      <c r="E423" t="str">
        <f t="shared" si="167"/>
        <v>KFH-OPERATIONS DEPARTMENT</v>
      </c>
      <c r="F423" t="str">
        <f t="shared" si="168"/>
        <v>IBG</v>
      </c>
      <c r="G423" t="str">
        <f t="shared" si="181"/>
        <v>Refund IDSB 19</v>
      </c>
      <c r="H423" s="2">
        <v>595.75</v>
      </c>
      <c r="I423" t="str">
        <f>"AHMAD KAMAL BIN MOHD GHAZALI"</f>
        <v>AHMAD KAMAL BIN MOHD GHAZALI</v>
      </c>
      <c r="J423" t="str">
        <f t="shared" si="184"/>
        <v>MAYBANK / MAYBANK ISLAMIC</v>
      </c>
      <c r="K423" t="str">
        <f>"112101185823"</f>
        <v>112101185823</v>
      </c>
      <c r="L423" t="str">
        <f t="shared" si="179"/>
        <v>04-08-2020</v>
      </c>
      <c r="M423" t="str">
        <f t="shared" si="179"/>
        <v>04-08-2020</v>
      </c>
      <c r="N423" t="str">
        <f t="shared" si="169"/>
        <v>001105018356</v>
      </c>
      <c r="O423" t="str">
        <f t="shared" si="170"/>
        <v>MYR</v>
      </c>
      <c r="P423" t="str">
        <f t="shared" si="180"/>
        <v>NIL</v>
      </c>
      <c r="Q423" t="str">
        <f t="shared" si="180"/>
        <v>NIL</v>
      </c>
      <c r="R423" t="str">
        <f t="shared" si="171"/>
        <v>Accepted</v>
      </c>
      <c r="S423" t="str">
        <f t="shared" si="172"/>
        <v>Approved</v>
      </c>
      <c r="T423" t="str">
        <f t="shared" si="173"/>
        <v>10.20.8.188</v>
      </c>
      <c r="U423" t="str">
        <f t="shared" si="174"/>
        <v>AZRAD UMAR BIN SHAARI</v>
      </c>
      <c r="V423" t="str">
        <f t="shared" si="175"/>
        <v>FARHANA BINTI MUSTAPA</v>
      </c>
      <c r="W423" t="str">
        <f t="shared" si="176"/>
        <v>04-08-2020</v>
      </c>
      <c r="X423" t="str">
        <f t="shared" si="177"/>
        <v>RAZIMAH ANSAR AHMAD</v>
      </c>
      <c r="Y423" t="str">
        <f t="shared" si="178"/>
        <v>04-08-2020</v>
      </c>
      <c r="Z423" t="str">
        <f>"IDSB19200804 229"</f>
        <v>IDSB19200804 229</v>
      </c>
    </row>
    <row r="424" spans="1:26" x14ac:dyDescent="0.25">
      <c r="A424" t="str">
        <f t="shared" si="182"/>
        <v>04-08-2020 01:21:07</v>
      </c>
      <c r="B424" t="str">
        <f>"0000810540"</f>
        <v>0000810540</v>
      </c>
      <c r="C424" t="str">
        <f t="shared" si="183"/>
        <v>0000810512</v>
      </c>
      <c r="D424" t="str">
        <f t="shared" si="166"/>
        <v>73185</v>
      </c>
      <c r="E424" t="str">
        <f t="shared" si="167"/>
        <v>KFH-OPERATIONS DEPARTMENT</v>
      </c>
      <c r="F424" t="str">
        <f t="shared" si="168"/>
        <v>IBG</v>
      </c>
      <c r="G424" t="str">
        <f t="shared" si="181"/>
        <v>Refund IDSB 19</v>
      </c>
      <c r="H424" s="2">
        <v>621.01</v>
      </c>
      <c r="I424" t="str">
        <f>"AHMAD IHSAN BIN MOHD YASSIN"</f>
        <v>AHMAD IHSAN BIN MOHD YASSIN</v>
      </c>
      <c r="J424" t="str">
        <f t="shared" si="184"/>
        <v>MAYBANK / MAYBANK ISLAMIC</v>
      </c>
      <c r="K424" t="str">
        <f>"112269133200"</f>
        <v>112269133200</v>
      </c>
      <c r="L424" t="str">
        <f t="shared" si="179"/>
        <v>04-08-2020</v>
      </c>
      <c r="M424" t="str">
        <f t="shared" si="179"/>
        <v>04-08-2020</v>
      </c>
      <c r="N424" t="str">
        <f t="shared" si="169"/>
        <v>001105018356</v>
      </c>
      <c r="O424" t="str">
        <f t="shared" si="170"/>
        <v>MYR</v>
      </c>
      <c r="P424" t="str">
        <f t="shared" si="180"/>
        <v>NIL</v>
      </c>
      <c r="Q424" t="str">
        <f t="shared" si="180"/>
        <v>NIL</v>
      </c>
      <c r="R424" t="str">
        <f t="shared" si="171"/>
        <v>Accepted</v>
      </c>
      <c r="S424" t="str">
        <f t="shared" si="172"/>
        <v>Approved</v>
      </c>
      <c r="T424" t="str">
        <f t="shared" si="173"/>
        <v>10.20.8.188</v>
      </c>
      <c r="U424" t="str">
        <f t="shared" si="174"/>
        <v>AZRAD UMAR BIN SHAARI</v>
      </c>
      <c r="V424" t="str">
        <f t="shared" si="175"/>
        <v>FARHANA BINTI MUSTAPA</v>
      </c>
      <c r="W424" t="str">
        <f t="shared" si="176"/>
        <v>04-08-2020</v>
      </c>
      <c r="X424" t="str">
        <f t="shared" si="177"/>
        <v>RAZIMAH ANSAR AHMAD</v>
      </c>
      <c r="Y424" t="str">
        <f t="shared" si="178"/>
        <v>04-08-2020</v>
      </c>
      <c r="Z424" t="str">
        <f>"IDSB19200804 228"</f>
        <v>IDSB19200804 228</v>
      </c>
    </row>
    <row r="425" spans="1:26" x14ac:dyDescent="0.25">
      <c r="A425" t="str">
        <f t="shared" si="182"/>
        <v>04-08-2020 01:21:07</v>
      </c>
      <c r="B425" t="str">
        <f>"0000810539"</f>
        <v>0000810539</v>
      </c>
      <c r="C425" t="str">
        <f t="shared" si="183"/>
        <v>0000810512</v>
      </c>
      <c r="D425" t="str">
        <f t="shared" si="166"/>
        <v>73185</v>
      </c>
      <c r="E425" t="str">
        <f t="shared" si="167"/>
        <v>KFH-OPERATIONS DEPARTMENT</v>
      </c>
      <c r="F425" t="str">
        <f t="shared" si="168"/>
        <v>IBG</v>
      </c>
      <c r="G425" t="str">
        <f t="shared" si="181"/>
        <v>Refund IDSB 19</v>
      </c>
      <c r="H425" s="2">
        <v>539</v>
      </c>
      <c r="I425" t="str">
        <f>"AHMAD FARIDEY BIN JAAFAR"</f>
        <v>AHMAD FARIDEY BIN JAAFAR</v>
      </c>
      <c r="J425" t="str">
        <f t="shared" si="184"/>
        <v>MAYBANK / MAYBANK ISLAMIC</v>
      </c>
      <c r="K425" t="str">
        <f>"158202167812"</f>
        <v>158202167812</v>
      </c>
      <c r="L425" t="str">
        <f t="shared" si="179"/>
        <v>04-08-2020</v>
      </c>
      <c r="M425" t="str">
        <f t="shared" si="179"/>
        <v>04-08-2020</v>
      </c>
      <c r="N425" t="str">
        <f t="shared" si="169"/>
        <v>001105018356</v>
      </c>
      <c r="O425" t="str">
        <f t="shared" si="170"/>
        <v>MYR</v>
      </c>
      <c r="P425" t="str">
        <f t="shared" si="180"/>
        <v>NIL</v>
      </c>
      <c r="Q425" t="str">
        <f t="shared" si="180"/>
        <v>NIL</v>
      </c>
      <c r="R425" t="str">
        <f t="shared" si="171"/>
        <v>Accepted</v>
      </c>
      <c r="S425" t="str">
        <f t="shared" si="172"/>
        <v>Approved</v>
      </c>
      <c r="T425" t="str">
        <f t="shared" si="173"/>
        <v>10.20.8.188</v>
      </c>
      <c r="U425" t="str">
        <f t="shared" si="174"/>
        <v>AZRAD UMAR BIN SHAARI</v>
      </c>
      <c r="V425" t="str">
        <f t="shared" si="175"/>
        <v>FARHANA BINTI MUSTAPA</v>
      </c>
      <c r="W425" t="str">
        <f t="shared" si="176"/>
        <v>04-08-2020</v>
      </c>
      <c r="X425" t="str">
        <f t="shared" si="177"/>
        <v>RAZIMAH ANSAR AHMAD</v>
      </c>
      <c r="Y425" t="str">
        <f t="shared" si="178"/>
        <v>04-08-2020</v>
      </c>
      <c r="Z425" t="str">
        <f>"IDSB19200804 227"</f>
        <v>IDSB19200804 227</v>
      </c>
    </row>
    <row r="426" spans="1:26" x14ac:dyDescent="0.25">
      <c r="A426" t="str">
        <f t="shared" si="182"/>
        <v>04-08-2020 01:21:07</v>
      </c>
      <c r="B426" t="str">
        <f>"0000810538"</f>
        <v>0000810538</v>
      </c>
      <c r="C426" t="str">
        <f t="shared" si="183"/>
        <v>0000810512</v>
      </c>
      <c r="D426" t="str">
        <f t="shared" si="166"/>
        <v>73185</v>
      </c>
      <c r="E426" t="str">
        <f t="shared" si="167"/>
        <v>KFH-OPERATIONS DEPARTMENT</v>
      </c>
      <c r="F426" t="str">
        <f t="shared" si="168"/>
        <v>IBG</v>
      </c>
      <c r="G426" t="str">
        <f t="shared" si="181"/>
        <v>Refund IDSB 19</v>
      </c>
      <c r="H426" s="2">
        <v>569</v>
      </c>
      <c r="I426" t="str">
        <f>"AHMAD FAIRUS BIN MOHD TAIB"</f>
        <v>AHMAD FAIRUS BIN MOHD TAIB</v>
      </c>
      <c r="J426" t="str">
        <f t="shared" si="184"/>
        <v>MAYBANK / MAYBANK ISLAMIC</v>
      </c>
      <c r="K426" t="str">
        <f>"114302094714"</f>
        <v>114302094714</v>
      </c>
      <c r="L426" t="str">
        <f t="shared" si="179"/>
        <v>04-08-2020</v>
      </c>
      <c r="M426" t="str">
        <f t="shared" si="179"/>
        <v>04-08-2020</v>
      </c>
      <c r="N426" t="str">
        <f t="shared" si="169"/>
        <v>001105018356</v>
      </c>
      <c r="O426" t="str">
        <f t="shared" si="170"/>
        <v>MYR</v>
      </c>
      <c r="P426" t="str">
        <f t="shared" si="180"/>
        <v>NIL</v>
      </c>
      <c r="Q426" t="str">
        <f t="shared" si="180"/>
        <v>NIL</v>
      </c>
      <c r="R426" t="str">
        <f t="shared" si="171"/>
        <v>Accepted</v>
      </c>
      <c r="S426" t="str">
        <f t="shared" si="172"/>
        <v>Approved</v>
      </c>
      <c r="T426" t="str">
        <f t="shared" si="173"/>
        <v>10.20.8.188</v>
      </c>
      <c r="U426" t="str">
        <f t="shared" si="174"/>
        <v>AZRAD UMAR BIN SHAARI</v>
      </c>
      <c r="V426" t="str">
        <f t="shared" si="175"/>
        <v>FARHANA BINTI MUSTAPA</v>
      </c>
      <c r="W426" t="str">
        <f t="shared" si="176"/>
        <v>04-08-2020</v>
      </c>
      <c r="X426" t="str">
        <f t="shared" si="177"/>
        <v>RAZIMAH ANSAR AHMAD</v>
      </c>
      <c r="Y426" t="str">
        <f t="shared" si="178"/>
        <v>04-08-2020</v>
      </c>
      <c r="Z426" t="str">
        <f>"IDSB19200804 226"</f>
        <v>IDSB19200804 226</v>
      </c>
    </row>
    <row r="427" spans="1:26" x14ac:dyDescent="0.25">
      <c r="A427" t="str">
        <f t="shared" si="182"/>
        <v>04-08-2020 01:21:07</v>
      </c>
      <c r="B427" t="str">
        <f>"0000810537"</f>
        <v>0000810537</v>
      </c>
      <c r="C427" t="str">
        <f t="shared" si="183"/>
        <v>0000810512</v>
      </c>
      <c r="D427" t="str">
        <f t="shared" si="166"/>
        <v>73185</v>
      </c>
      <c r="E427" t="str">
        <f t="shared" si="167"/>
        <v>KFH-OPERATIONS DEPARTMENT</v>
      </c>
      <c r="F427" t="str">
        <f t="shared" si="168"/>
        <v>IBG</v>
      </c>
      <c r="G427" t="str">
        <f t="shared" si="181"/>
        <v>Refund IDSB 19</v>
      </c>
      <c r="H427" s="2">
        <v>746.85</v>
      </c>
      <c r="I427" t="str">
        <f>"AFRIZAH BINTI ABU NOR"</f>
        <v>AFRIZAH BINTI ABU NOR</v>
      </c>
      <c r="J427" t="str">
        <f t="shared" si="184"/>
        <v>MAYBANK / MAYBANK ISLAMIC</v>
      </c>
      <c r="K427" t="str">
        <f>"164137421706"</f>
        <v>164137421706</v>
      </c>
      <c r="L427" t="str">
        <f t="shared" ref="L427:M446" si="185">"04-08-2020"</f>
        <v>04-08-2020</v>
      </c>
      <c r="M427" t="str">
        <f t="shared" si="185"/>
        <v>04-08-2020</v>
      </c>
      <c r="N427" t="str">
        <f t="shared" si="169"/>
        <v>001105018356</v>
      </c>
      <c r="O427" t="str">
        <f t="shared" si="170"/>
        <v>MYR</v>
      </c>
      <c r="P427" t="str">
        <f t="shared" ref="P427:Q446" si="186">"NIL"</f>
        <v>NIL</v>
      </c>
      <c r="Q427" t="str">
        <f t="shared" si="186"/>
        <v>NIL</v>
      </c>
      <c r="R427" t="str">
        <f t="shared" si="171"/>
        <v>Accepted</v>
      </c>
      <c r="S427" t="str">
        <f t="shared" si="172"/>
        <v>Approved</v>
      </c>
      <c r="T427" t="str">
        <f t="shared" si="173"/>
        <v>10.20.8.188</v>
      </c>
      <c r="U427" t="str">
        <f t="shared" si="174"/>
        <v>AZRAD UMAR BIN SHAARI</v>
      </c>
      <c r="V427" t="str">
        <f t="shared" si="175"/>
        <v>FARHANA BINTI MUSTAPA</v>
      </c>
      <c r="W427" t="str">
        <f t="shared" si="176"/>
        <v>04-08-2020</v>
      </c>
      <c r="X427" t="str">
        <f t="shared" si="177"/>
        <v>RAZIMAH ANSAR AHMAD</v>
      </c>
      <c r="Y427" t="str">
        <f t="shared" si="178"/>
        <v>04-08-2020</v>
      </c>
      <c r="Z427" t="str">
        <f>"IDSB19200804 225"</f>
        <v>IDSB19200804 225</v>
      </c>
    </row>
    <row r="428" spans="1:26" x14ac:dyDescent="0.25">
      <c r="A428" t="str">
        <f t="shared" si="182"/>
        <v>04-08-2020 01:21:07</v>
      </c>
      <c r="B428" t="str">
        <f>"0000810536"</f>
        <v>0000810536</v>
      </c>
      <c r="C428" t="str">
        <f t="shared" si="183"/>
        <v>0000810512</v>
      </c>
      <c r="D428" t="str">
        <f t="shared" si="166"/>
        <v>73185</v>
      </c>
      <c r="E428" t="str">
        <f t="shared" si="167"/>
        <v>KFH-OPERATIONS DEPARTMENT</v>
      </c>
      <c r="F428" t="str">
        <f t="shared" si="168"/>
        <v>IBG</v>
      </c>
      <c r="G428" t="str">
        <f t="shared" si="181"/>
        <v>Refund IDSB 19</v>
      </c>
      <c r="H428" s="2">
        <v>805</v>
      </c>
      <c r="I428" t="str">
        <f>"ADIBAH BINTI ABDULLAH"</f>
        <v>ADIBAH BINTI ABDULLAH</v>
      </c>
      <c r="J428" t="str">
        <f t="shared" si="184"/>
        <v>MAYBANK / MAYBANK ISLAMIC</v>
      </c>
      <c r="K428" t="str">
        <f>"157054648056"</f>
        <v>157054648056</v>
      </c>
      <c r="L428" t="str">
        <f t="shared" si="185"/>
        <v>04-08-2020</v>
      </c>
      <c r="M428" t="str">
        <f t="shared" si="185"/>
        <v>04-08-2020</v>
      </c>
      <c r="N428" t="str">
        <f t="shared" si="169"/>
        <v>001105018356</v>
      </c>
      <c r="O428" t="str">
        <f t="shared" si="170"/>
        <v>MYR</v>
      </c>
      <c r="P428" t="str">
        <f t="shared" si="186"/>
        <v>NIL</v>
      </c>
      <c r="Q428" t="str">
        <f t="shared" si="186"/>
        <v>NIL</v>
      </c>
      <c r="R428" t="str">
        <f t="shared" si="171"/>
        <v>Accepted</v>
      </c>
      <c r="S428" t="str">
        <f t="shared" si="172"/>
        <v>Approved</v>
      </c>
      <c r="T428" t="str">
        <f t="shared" si="173"/>
        <v>10.20.8.188</v>
      </c>
      <c r="U428" t="str">
        <f t="shared" si="174"/>
        <v>AZRAD UMAR BIN SHAARI</v>
      </c>
      <c r="V428" t="str">
        <f t="shared" si="175"/>
        <v>FARHANA BINTI MUSTAPA</v>
      </c>
      <c r="W428" t="str">
        <f t="shared" si="176"/>
        <v>04-08-2020</v>
      </c>
      <c r="X428" t="str">
        <f t="shared" si="177"/>
        <v>RAZIMAH ANSAR AHMAD</v>
      </c>
      <c r="Y428" t="str">
        <f t="shared" si="178"/>
        <v>04-08-2020</v>
      </c>
      <c r="Z428" t="str">
        <f>"IDSB19200804 224"</f>
        <v>IDSB19200804 224</v>
      </c>
    </row>
    <row r="429" spans="1:26" x14ac:dyDescent="0.25">
      <c r="A429" t="str">
        <f t="shared" si="182"/>
        <v>04-08-2020 01:21:07</v>
      </c>
      <c r="B429" t="str">
        <f>"0000810535"</f>
        <v>0000810535</v>
      </c>
      <c r="C429" t="str">
        <f t="shared" si="183"/>
        <v>0000810512</v>
      </c>
      <c r="D429" t="str">
        <f t="shared" si="166"/>
        <v>73185</v>
      </c>
      <c r="E429" t="str">
        <f t="shared" si="167"/>
        <v>KFH-OPERATIONS DEPARTMENT</v>
      </c>
      <c r="F429" t="str">
        <f t="shared" si="168"/>
        <v>IBG</v>
      </c>
      <c r="G429" t="str">
        <f t="shared" si="181"/>
        <v>Refund IDSB 19</v>
      </c>
      <c r="H429" s="2">
        <v>843</v>
      </c>
      <c r="I429" t="str">
        <f>"ABU  YAZID BIN MAT TOHID"</f>
        <v>ABU  YAZID BIN MAT TOHID</v>
      </c>
      <c r="J429" t="str">
        <f t="shared" si="184"/>
        <v>MAYBANK / MAYBANK ISLAMIC</v>
      </c>
      <c r="K429" t="str">
        <f>"162740129411"</f>
        <v>162740129411</v>
      </c>
      <c r="L429" t="str">
        <f t="shared" si="185"/>
        <v>04-08-2020</v>
      </c>
      <c r="M429" t="str">
        <f t="shared" si="185"/>
        <v>04-08-2020</v>
      </c>
      <c r="N429" t="str">
        <f t="shared" si="169"/>
        <v>001105018356</v>
      </c>
      <c r="O429" t="str">
        <f t="shared" si="170"/>
        <v>MYR</v>
      </c>
      <c r="P429" t="str">
        <f t="shared" si="186"/>
        <v>NIL</v>
      </c>
      <c r="Q429" t="str">
        <f t="shared" si="186"/>
        <v>NIL</v>
      </c>
      <c r="R429" t="str">
        <f t="shared" si="171"/>
        <v>Accepted</v>
      </c>
      <c r="S429" t="str">
        <f t="shared" si="172"/>
        <v>Approved</v>
      </c>
      <c r="T429" t="str">
        <f t="shared" si="173"/>
        <v>10.20.8.188</v>
      </c>
      <c r="U429" t="str">
        <f t="shared" si="174"/>
        <v>AZRAD UMAR BIN SHAARI</v>
      </c>
      <c r="V429" t="str">
        <f t="shared" si="175"/>
        <v>FARHANA BINTI MUSTAPA</v>
      </c>
      <c r="W429" t="str">
        <f t="shared" si="176"/>
        <v>04-08-2020</v>
      </c>
      <c r="X429" t="str">
        <f t="shared" si="177"/>
        <v>RAZIMAH ANSAR AHMAD</v>
      </c>
      <c r="Y429" t="str">
        <f t="shared" si="178"/>
        <v>04-08-2020</v>
      </c>
      <c r="Z429" t="str">
        <f>"IDSB19200804 223"</f>
        <v>IDSB19200804 223</v>
      </c>
    </row>
    <row r="430" spans="1:26" x14ac:dyDescent="0.25">
      <c r="A430" t="str">
        <f t="shared" si="182"/>
        <v>04-08-2020 01:21:07</v>
      </c>
      <c r="B430" t="str">
        <f>"0000810534"</f>
        <v>0000810534</v>
      </c>
      <c r="C430" t="str">
        <f t="shared" si="183"/>
        <v>0000810512</v>
      </c>
      <c r="D430" t="str">
        <f t="shared" si="166"/>
        <v>73185</v>
      </c>
      <c r="E430" t="str">
        <f t="shared" si="167"/>
        <v>KFH-OPERATIONS DEPARTMENT</v>
      </c>
      <c r="F430" t="str">
        <f t="shared" si="168"/>
        <v>IBG</v>
      </c>
      <c r="G430" t="str">
        <f t="shared" si="181"/>
        <v>Refund IDSB 19</v>
      </c>
      <c r="H430" s="2">
        <v>1469.15</v>
      </c>
      <c r="I430" t="str">
        <f>"ABDUL RAZAK BIN KAMARUDIN"</f>
        <v>ABDUL RAZAK BIN KAMARUDIN</v>
      </c>
      <c r="J430" t="str">
        <f t="shared" si="184"/>
        <v>MAYBANK / MAYBANK ISLAMIC</v>
      </c>
      <c r="K430" t="str">
        <f>"114151000212"</f>
        <v>114151000212</v>
      </c>
      <c r="L430" t="str">
        <f t="shared" si="185"/>
        <v>04-08-2020</v>
      </c>
      <c r="M430" t="str">
        <f t="shared" si="185"/>
        <v>04-08-2020</v>
      </c>
      <c r="N430" t="str">
        <f t="shared" si="169"/>
        <v>001105018356</v>
      </c>
      <c r="O430" t="str">
        <f t="shared" si="170"/>
        <v>MYR</v>
      </c>
      <c r="P430" t="str">
        <f t="shared" si="186"/>
        <v>NIL</v>
      </c>
      <c r="Q430" t="str">
        <f t="shared" si="186"/>
        <v>NIL</v>
      </c>
      <c r="R430" t="str">
        <f t="shared" si="171"/>
        <v>Accepted</v>
      </c>
      <c r="S430" t="str">
        <f t="shared" si="172"/>
        <v>Approved</v>
      </c>
      <c r="T430" t="str">
        <f t="shared" si="173"/>
        <v>10.20.8.188</v>
      </c>
      <c r="U430" t="str">
        <f t="shared" si="174"/>
        <v>AZRAD UMAR BIN SHAARI</v>
      </c>
      <c r="V430" t="str">
        <f t="shared" si="175"/>
        <v>FARHANA BINTI MUSTAPA</v>
      </c>
      <c r="W430" t="str">
        <f t="shared" si="176"/>
        <v>04-08-2020</v>
      </c>
      <c r="X430" t="str">
        <f t="shared" si="177"/>
        <v>RAZIMAH ANSAR AHMAD</v>
      </c>
      <c r="Y430" t="str">
        <f t="shared" si="178"/>
        <v>04-08-2020</v>
      </c>
      <c r="Z430" t="str">
        <f>"IDSB19200804 222"</f>
        <v>IDSB19200804 222</v>
      </c>
    </row>
    <row r="431" spans="1:26" x14ac:dyDescent="0.25">
      <c r="A431" t="str">
        <f t="shared" si="182"/>
        <v>04-08-2020 01:21:07</v>
      </c>
      <c r="B431" t="str">
        <f>"0000810533"</f>
        <v>0000810533</v>
      </c>
      <c r="C431" t="str">
        <f t="shared" si="183"/>
        <v>0000810512</v>
      </c>
      <c r="D431" t="str">
        <f t="shared" si="166"/>
        <v>73185</v>
      </c>
      <c r="E431" t="str">
        <f t="shared" si="167"/>
        <v>KFH-OPERATIONS DEPARTMENT</v>
      </c>
      <c r="F431" t="str">
        <f t="shared" si="168"/>
        <v>IBG</v>
      </c>
      <c r="G431" t="str">
        <f t="shared" si="181"/>
        <v>Refund IDSB 19</v>
      </c>
      <c r="H431" s="2">
        <v>178</v>
      </c>
      <c r="I431" t="str">
        <f>"ABDUL RAZAK BIN BACHOK"</f>
        <v>ABDUL RAZAK BIN BACHOK</v>
      </c>
      <c r="J431" t="str">
        <f t="shared" si="184"/>
        <v>MAYBANK / MAYBANK ISLAMIC</v>
      </c>
      <c r="K431" t="str">
        <f>"151584075767"</f>
        <v>151584075767</v>
      </c>
      <c r="L431" t="str">
        <f t="shared" si="185"/>
        <v>04-08-2020</v>
      </c>
      <c r="M431" t="str">
        <f t="shared" si="185"/>
        <v>04-08-2020</v>
      </c>
      <c r="N431" t="str">
        <f t="shared" si="169"/>
        <v>001105018356</v>
      </c>
      <c r="O431" t="str">
        <f t="shared" si="170"/>
        <v>MYR</v>
      </c>
      <c r="P431" t="str">
        <f t="shared" si="186"/>
        <v>NIL</v>
      </c>
      <c r="Q431" t="str">
        <f t="shared" si="186"/>
        <v>NIL</v>
      </c>
      <c r="R431" t="str">
        <f t="shared" si="171"/>
        <v>Accepted</v>
      </c>
      <c r="S431" t="str">
        <f t="shared" si="172"/>
        <v>Approved</v>
      </c>
      <c r="T431" t="str">
        <f t="shared" si="173"/>
        <v>10.20.8.188</v>
      </c>
      <c r="U431" t="str">
        <f t="shared" si="174"/>
        <v>AZRAD UMAR BIN SHAARI</v>
      </c>
      <c r="V431" t="str">
        <f t="shared" si="175"/>
        <v>FARHANA BINTI MUSTAPA</v>
      </c>
      <c r="W431" t="str">
        <f t="shared" si="176"/>
        <v>04-08-2020</v>
      </c>
      <c r="X431" t="str">
        <f t="shared" si="177"/>
        <v>RAZIMAH ANSAR AHMAD</v>
      </c>
      <c r="Y431" t="str">
        <f t="shared" si="178"/>
        <v>04-08-2020</v>
      </c>
      <c r="Z431" t="str">
        <f>"IDSB19200804 221"</f>
        <v>IDSB19200804 221</v>
      </c>
    </row>
    <row r="432" spans="1:26" x14ac:dyDescent="0.25">
      <c r="A432" t="str">
        <f t="shared" si="182"/>
        <v>04-08-2020 01:21:07</v>
      </c>
      <c r="B432" t="str">
        <f>"0000810532"</f>
        <v>0000810532</v>
      </c>
      <c r="C432" t="str">
        <f t="shared" si="183"/>
        <v>0000810512</v>
      </c>
      <c r="D432" t="str">
        <f t="shared" si="166"/>
        <v>73185</v>
      </c>
      <c r="E432" t="str">
        <f t="shared" si="167"/>
        <v>KFH-OPERATIONS DEPARTMENT</v>
      </c>
      <c r="F432" t="str">
        <f t="shared" si="168"/>
        <v>IBG</v>
      </c>
      <c r="G432" t="str">
        <f t="shared" si="181"/>
        <v>Refund IDSB 19</v>
      </c>
      <c r="H432" s="2">
        <v>293.74</v>
      </c>
      <c r="I432" t="str">
        <f>"ABDUL RASHID BIN JEMAIN"</f>
        <v>ABDUL RASHID BIN JEMAIN</v>
      </c>
      <c r="J432" t="str">
        <f t="shared" si="184"/>
        <v>MAYBANK / MAYBANK ISLAMIC</v>
      </c>
      <c r="K432" t="str">
        <f>"164052318828"</f>
        <v>164052318828</v>
      </c>
      <c r="L432" t="str">
        <f t="shared" si="185"/>
        <v>04-08-2020</v>
      </c>
      <c r="M432" t="str">
        <f t="shared" si="185"/>
        <v>04-08-2020</v>
      </c>
      <c r="N432" t="str">
        <f t="shared" si="169"/>
        <v>001105018356</v>
      </c>
      <c r="O432" t="str">
        <f t="shared" si="170"/>
        <v>MYR</v>
      </c>
      <c r="P432" t="str">
        <f t="shared" si="186"/>
        <v>NIL</v>
      </c>
      <c r="Q432" t="str">
        <f t="shared" si="186"/>
        <v>NIL</v>
      </c>
      <c r="R432" t="str">
        <f t="shared" si="171"/>
        <v>Accepted</v>
      </c>
      <c r="S432" t="str">
        <f t="shared" si="172"/>
        <v>Approved</v>
      </c>
      <c r="T432" t="str">
        <f t="shared" si="173"/>
        <v>10.20.8.188</v>
      </c>
      <c r="U432" t="str">
        <f t="shared" si="174"/>
        <v>AZRAD UMAR BIN SHAARI</v>
      </c>
      <c r="V432" t="str">
        <f t="shared" si="175"/>
        <v>FARHANA BINTI MUSTAPA</v>
      </c>
      <c r="W432" t="str">
        <f t="shared" si="176"/>
        <v>04-08-2020</v>
      </c>
      <c r="X432" t="str">
        <f t="shared" si="177"/>
        <v>RAZIMAH ANSAR AHMAD</v>
      </c>
      <c r="Y432" t="str">
        <f t="shared" si="178"/>
        <v>04-08-2020</v>
      </c>
      <c r="Z432" t="str">
        <f>"IDSB19200804 220"</f>
        <v>IDSB19200804 220</v>
      </c>
    </row>
    <row r="433" spans="1:26" x14ac:dyDescent="0.25">
      <c r="A433" t="str">
        <f t="shared" si="182"/>
        <v>04-08-2020 01:21:07</v>
      </c>
      <c r="B433" t="str">
        <f>"0000810531"</f>
        <v>0000810531</v>
      </c>
      <c r="C433" t="str">
        <f t="shared" si="183"/>
        <v>0000810512</v>
      </c>
      <c r="D433" t="str">
        <f t="shared" si="166"/>
        <v>73185</v>
      </c>
      <c r="E433" t="str">
        <f t="shared" si="167"/>
        <v>KFH-OPERATIONS DEPARTMENT</v>
      </c>
      <c r="F433" t="str">
        <f t="shared" si="168"/>
        <v>IBG</v>
      </c>
      <c r="G433" t="str">
        <f t="shared" si="181"/>
        <v>Refund IDSB 19</v>
      </c>
      <c r="H433" s="2">
        <v>343.72</v>
      </c>
      <c r="I433" t="str">
        <f>"ABDUL RAHMAN BIN ABDUL RAHIM"</f>
        <v>ABDUL RAHMAN BIN ABDUL RAHIM</v>
      </c>
      <c r="J433" t="str">
        <f t="shared" si="184"/>
        <v>MAYBANK / MAYBANK ISLAMIC</v>
      </c>
      <c r="K433" t="str">
        <f>"114254035461"</f>
        <v>114254035461</v>
      </c>
      <c r="L433" t="str">
        <f t="shared" si="185"/>
        <v>04-08-2020</v>
      </c>
      <c r="M433" t="str">
        <f t="shared" si="185"/>
        <v>04-08-2020</v>
      </c>
      <c r="N433" t="str">
        <f t="shared" si="169"/>
        <v>001105018356</v>
      </c>
      <c r="O433" t="str">
        <f t="shared" si="170"/>
        <v>MYR</v>
      </c>
      <c r="P433" t="str">
        <f t="shared" si="186"/>
        <v>NIL</v>
      </c>
      <c r="Q433" t="str">
        <f t="shared" si="186"/>
        <v>NIL</v>
      </c>
      <c r="R433" t="str">
        <f t="shared" si="171"/>
        <v>Accepted</v>
      </c>
      <c r="S433" t="str">
        <f t="shared" si="172"/>
        <v>Approved</v>
      </c>
      <c r="T433" t="str">
        <f t="shared" si="173"/>
        <v>10.20.8.188</v>
      </c>
      <c r="U433" t="str">
        <f t="shared" si="174"/>
        <v>AZRAD UMAR BIN SHAARI</v>
      </c>
      <c r="V433" t="str">
        <f t="shared" si="175"/>
        <v>FARHANA BINTI MUSTAPA</v>
      </c>
      <c r="W433" t="str">
        <f t="shared" si="176"/>
        <v>04-08-2020</v>
      </c>
      <c r="X433" t="str">
        <f t="shared" si="177"/>
        <v>RAZIMAH ANSAR AHMAD</v>
      </c>
      <c r="Y433" t="str">
        <f t="shared" si="178"/>
        <v>04-08-2020</v>
      </c>
      <c r="Z433" t="str">
        <f>"IDSB19200804 219"</f>
        <v>IDSB19200804 219</v>
      </c>
    </row>
    <row r="434" spans="1:26" x14ac:dyDescent="0.25">
      <c r="A434" t="str">
        <f t="shared" si="182"/>
        <v>04-08-2020 01:21:07</v>
      </c>
      <c r="B434" t="str">
        <f>"0000810530"</f>
        <v>0000810530</v>
      </c>
      <c r="C434" t="str">
        <f t="shared" si="183"/>
        <v>0000810512</v>
      </c>
      <c r="D434" t="str">
        <f t="shared" si="166"/>
        <v>73185</v>
      </c>
      <c r="E434" t="str">
        <f t="shared" si="167"/>
        <v>KFH-OPERATIONS DEPARTMENT</v>
      </c>
      <c r="F434" t="str">
        <f t="shared" si="168"/>
        <v>IBG</v>
      </c>
      <c r="G434" t="str">
        <f t="shared" si="181"/>
        <v>Refund IDSB 19</v>
      </c>
      <c r="H434" s="2">
        <v>337.8</v>
      </c>
      <c r="I434" t="str">
        <f>"ABDOL RAHIM BIN MOHAMAD"</f>
        <v>ABDOL RAHIM BIN MOHAMAD</v>
      </c>
      <c r="J434" t="str">
        <f t="shared" si="184"/>
        <v>MAYBANK / MAYBANK ISLAMIC</v>
      </c>
      <c r="K434" t="str">
        <f>"155096148117"</f>
        <v>155096148117</v>
      </c>
      <c r="L434" t="str">
        <f t="shared" si="185"/>
        <v>04-08-2020</v>
      </c>
      <c r="M434" t="str">
        <f t="shared" si="185"/>
        <v>04-08-2020</v>
      </c>
      <c r="N434" t="str">
        <f t="shared" si="169"/>
        <v>001105018356</v>
      </c>
      <c r="O434" t="str">
        <f t="shared" si="170"/>
        <v>MYR</v>
      </c>
      <c r="P434" t="str">
        <f t="shared" si="186"/>
        <v>NIL</v>
      </c>
      <c r="Q434" t="str">
        <f t="shared" si="186"/>
        <v>NIL</v>
      </c>
      <c r="R434" t="str">
        <f t="shared" si="171"/>
        <v>Accepted</v>
      </c>
      <c r="S434" t="str">
        <f t="shared" si="172"/>
        <v>Approved</v>
      </c>
      <c r="T434" t="str">
        <f t="shared" si="173"/>
        <v>10.20.8.188</v>
      </c>
      <c r="U434" t="str">
        <f t="shared" si="174"/>
        <v>AZRAD UMAR BIN SHAARI</v>
      </c>
      <c r="V434" t="str">
        <f t="shared" si="175"/>
        <v>FARHANA BINTI MUSTAPA</v>
      </c>
      <c r="W434" t="str">
        <f t="shared" si="176"/>
        <v>04-08-2020</v>
      </c>
      <c r="X434" t="str">
        <f t="shared" si="177"/>
        <v>RAZIMAH ANSAR AHMAD</v>
      </c>
      <c r="Y434" t="str">
        <f t="shared" si="178"/>
        <v>04-08-2020</v>
      </c>
      <c r="Z434" t="str">
        <f>"IDSB19200804 218"</f>
        <v>IDSB19200804 218</v>
      </c>
    </row>
    <row r="435" spans="1:26" x14ac:dyDescent="0.25">
      <c r="A435" t="str">
        <f t="shared" si="182"/>
        <v>04-08-2020 01:21:07</v>
      </c>
      <c r="B435" t="str">
        <f>"0000810529"</f>
        <v>0000810529</v>
      </c>
      <c r="C435" t="str">
        <f t="shared" si="183"/>
        <v>0000810512</v>
      </c>
      <c r="D435" t="str">
        <f t="shared" si="166"/>
        <v>73185</v>
      </c>
      <c r="E435" t="str">
        <f t="shared" si="167"/>
        <v>KFH-OPERATIONS DEPARTMENT</v>
      </c>
      <c r="F435" t="str">
        <f t="shared" si="168"/>
        <v>IBG</v>
      </c>
      <c r="G435" t="str">
        <f t="shared" si="181"/>
        <v>Refund IDSB 19</v>
      </c>
      <c r="H435" s="2">
        <v>1138</v>
      </c>
      <c r="I435" t="str">
        <f>"ABD AZIZ BIN DOLLAH"</f>
        <v>ABD AZIZ BIN DOLLAH</v>
      </c>
      <c r="J435" t="str">
        <f t="shared" si="184"/>
        <v>MAYBANK / MAYBANK ISLAMIC</v>
      </c>
      <c r="K435" t="str">
        <f>"151016202585"</f>
        <v>151016202585</v>
      </c>
      <c r="L435" t="str">
        <f t="shared" si="185"/>
        <v>04-08-2020</v>
      </c>
      <c r="M435" t="str">
        <f t="shared" si="185"/>
        <v>04-08-2020</v>
      </c>
      <c r="N435" t="str">
        <f t="shared" si="169"/>
        <v>001105018356</v>
      </c>
      <c r="O435" t="str">
        <f t="shared" si="170"/>
        <v>MYR</v>
      </c>
      <c r="P435" t="str">
        <f t="shared" si="186"/>
        <v>NIL</v>
      </c>
      <c r="Q435" t="str">
        <f t="shared" si="186"/>
        <v>NIL</v>
      </c>
      <c r="R435" t="str">
        <f t="shared" si="171"/>
        <v>Accepted</v>
      </c>
      <c r="S435" t="str">
        <f t="shared" si="172"/>
        <v>Approved</v>
      </c>
      <c r="T435" t="str">
        <f t="shared" si="173"/>
        <v>10.20.8.188</v>
      </c>
      <c r="U435" t="str">
        <f t="shared" si="174"/>
        <v>AZRAD UMAR BIN SHAARI</v>
      </c>
      <c r="V435" t="str">
        <f t="shared" si="175"/>
        <v>FARHANA BINTI MUSTAPA</v>
      </c>
      <c r="W435" t="str">
        <f t="shared" si="176"/>
        <v>04-08-2020</v>
      </c>
      <c r="X435" t="str">
        <f t="shared" si="177"/>
        <v>RAZIMAH ANSAR AHMAD</v>
      </c>
      <c r="Y435" t="str">
        <f t="shared" si="178"/>
        <v>04-08-2020</v>
      </c>
      <c r="Z435" t="str">
        <f>"IDSB19200804 217"</f>
        <v>IDSB19200804 217</v>
      </c>
    </row>
    <row r="436" spans="1:26" x14ac:dyDescent="0.25">
      <c r="A436" t="str">
        <f t="shared" si="182"/>
        <v>04-08-2020 01:21:07</v>
      </c>
      <c r="B436" t="str">
        <f>"0000810528"</f>
        <v>0000810528</v>
      </c>
      <c r="C436" t="str">
        <f t="shared" si="183"/>
        <v>0000810512</v>
      </c>
      <c r="D436" t="str">
        <f t="shared" si="166"/>
        <v>73185</v>
      </c>
      <c r="E436" t="str">
        <f t="shared" si="167"/>
        <v>KFH-OPERATIONS DEPARTMENT</v>
      </c>
      <c r="F436" t="str">
        <f t="shared" si="168"/>
        <v>IBG</v>
      </c>
      <c r="G436" t="str">
        <f t="shared" si="181"/>
        <v>Refund IDSB 19</v>
      </c>
      <c r="H436" s="2">
        <v>721.71</v>
      </c>
      <c r="I436" t="str">
        <f>"FATIMAH  UMI KALSUM BINTI MD YUSOF"</f>
        <v>FATIMAH  UMI KALSUM BINTI MD YUSOF</v>
      </c>
      <c r="J436" t="str">
        <f t="shared" si="184"/>
        <v>MAYBANK / MAYBANK ISLAMIC</v>
      </c>
      <c r="K436" t="str">
        <f>"162432966360"</f>
        <v>162432966360</v>
      </c>
      <c r="L436" t="str">
        <f t="shared" si="185"/>
        <v>04-08-2020</v>
      </c>
      <c r="M436" t="str">
        <f t="shared" si="185"/>
        <v>04-08-2020</v>
      </c>
      <c r="N436" t="str">
        <f t="shared" si="169"/>
        <v>001105018356</v>
      </c>
      <c r="O436" t="str">
        <f t="shared" si="170"/>
        <v>MYR</v>
      </c>
      <c r="P436" t="str">
        <f t="shared" si="186"/>
        <v>NIL</v>
      </c>
      <c r="Q436" t="str">
        <f t="shared" si="186"/>
        <v>NIL</v>
      </c>
      <c r="R436" t="str">
        <f t="shared" si="171"/>
        <v>Accepted</v>
      </c>
      <c r="S436" t="str">
        <f t="shared" si="172"/>
        <v>Approved</v>
      </c>
      <c r="T436" t="str">
        <f t="shared" si="173"/>
        <v>10.20.8.188</v>
      </c>
      <c r="U436" t="str">
        <f t="shared" si="174"/>
        <v>AZRAD UMAR BIN SHAARI</v>
      </c>
      <c r="V436" t="str">
        <f t="shared" si="175"/>
        <v>FARHANA BINTI MUSTAPA</v>
      </c>
      <c r="W436" t="str">
        <f t="shared" si="176"/>
        <v>04-08-2020</v>
      </c>
      <c r="X436" t="str">
        <f t="shared" si="177"/>
        <v>RAZIMAH ANSAR AHMAD</v>
      </c>
      <c r="Y436" t="str">
        <f t="shared" si="178"/>
        <v>04-08-2020</v>
      </c>
      <c r="Z436" t="str">
        <f>"IDSB19200804 216"</f>
        <v>IDSB19200804 216</v>
      </c>
    </row>
    <row r="437" spans="1:26" x14ac:dyDescent="0.25">
      <c r="A437" t="str">
        <f t="shared" si="182"/>
        <v>04-08-2020 01:21:07</v>
      </c>
      <c r="B437" t="str">
        <f>"0000810527"</f>
        <v>0000810527</v>
      </c>
      <c r="C437" t="str">
        <f t="shared" si="183"/>
        <v>0000810512</v>
      </c>
      <c r="D437" t="str">
        <f t="shared" si="166"/>
        <v>73185</v>
      </c>
      <c r="E437" t="str">
        <f t="shared" si="167"/>
        <v>KFH-OPERATIONS DEPARTMENT</v>
      </c>
      <c r="F437" t="str">
        <f t="shared" si="168"/>
        <v>IBG</v>
      </c>
      <c r="G437" t="str">
        <f t="shared" si="181"/>
        <v>Refund IDSB 19</v>
      </c>
      <c r="H437" s="2">
        <v>129.25</v>
      </c>
      <c r="I437" t="str">
        <f>"ZULISKANDAR BIN RAMLI"</f>
        <v>ZULISKANDAR BIN RAMLI</v>
      </c>
      <c r="J437" t="str">
        <f t="shared" ref="J437:J468" si="187">"CIMB BANK / CIMB ISLAMIC BANK"</f>
        <v>CIMB BANK / CIMB ISLAMIC BANK</v>
      </c>
      <c r="K437" t="str">
        <f>"12150041959524"</f>
        <v>12150041959524</v>
      </c>
      <c r="L437" t="str">
        <f t="shared" si="185"/>
        <v>04-08-2020</v>
      </c>
      <c r="M437" t="str">
        <f t="shared" si="185"/>
        <v>04-08-2020</v>
      </c>
      <c r="N437" t="str">
        <f t="shared" si="169"/>
        <v>001105018356</v>
      </c>
      <c r="O437" t="str">
        <f t="shared" si="170"/>
        <v>MYR</v>
      </c>
      <c r="P437" t="str">
        <f t="shared" si="186"/>
        <v>NIL</v>
      </c>
      <c r="Q437" t="str">
        <f t="shared" si="186"/>
        <v>NIL</v>
      </c>
      <c r="R437" t="str">
        <f t="shared" si="171"/>
        <v>Accepted</v>
      </c>
      <c r="S437" t="str">
        <f t="shared" si="172"/>
        <v>Approved</v>
      </c>
      <c r="T437" t="str">
        <f t="shared" si="173"/>
        <v>10.20.8.188</v>
      </c>
      <c r="U437" t="str">
        <f t="shared" si="174"/>
        <v>AZRAD UMAR BIN SHAARI</v>
      </c>
      <c r="V437" t="str">
        <f t="shared" si="175"/>
        <v>FARHANA BINTI MUSTAPA</v>
      </c>
      <c r="W437" t="str">
        <f t="shared" si="176"/>
        <v>04-08-2020</v>
      </c>
      <c r="X437" t="str">
        <f t="shared" si="177"/>
        <v>RAZIMAH ANSAR AHMAD</v>
      </c>
      <c r="Y437" t="str">
        <f t="shared" si="178"/>
        <v>04-08-2020</v>
      </c>
      <c r="Z437" t="str">
        <f>"IDSB19200804 215"</f>
        <v>IDSB19200804 215</v>
      </c>
    </row>
    <row r="438" spans="1:26" x14ac:dyDescent="0.25">
      <c r="A438" t="str">
        <f t="shared" si="182"/>
        <v>04-08-2020 01:21:07</v>
      </c>
      <c r="B438" t="str">
        <f>"0000810526"</f>
        <v>0000810526</v>
      </c>
      <c r="C438" t="str">
        <f t="shared" si="183"/>
        <v>0000810512</v>
      </c>
      <c r="D438" t="str">
        <f t="shared" si="166"/>
        <v>73185</v>
      </c>
      <c r="E438" t="str">
        <f t="shared" si="167"/>
        <v>KFH-OPERATIONS DEPARTMENT</v>
      </c>
      <c r="F438" t="str">
        <f t="shared" si="168"/>
        <v>IBG</v>
      </c>
      <c r="G438" t="str">
        <f t="shared" si="181"/>
        <v>Refund IDSB 19</v>
      </c>
      <c r="H438" s="2">
        <v>607</v>
      </c>
      <c r="I438" t="str">
        <f>"ZULISKANDAR BIN RAMLI"</f>
        <v>ZULISKANDAR BIN RAMLI</v>
      </c>
      <c r="J438" t="str">
        <f t="shared" si="187"/>
        <v>CIMB BANK / CIMB ISLAMIC BANK</v>
      </c>
      <c r="K438" t="str">
        <f>"12150041959524"</f>
        <v>12150041959524</v>
      </c>
      <c r="L438" t="str">
        <f t="shared" si="185"/>
        <v>04-08-2020</v>
      </c>
      <c r="M438" t="str">
        <f t="shared" si="185"/>
        <v>04-08-2020</v>
      </c>
      <c r="N438" t="str">
        <f t="shared" si="169"/>
        <v>001105018356</v>
      </c>
      <c r="O438" t="str">
        <f t="shared" si="170"/>
        <v>MYR</v>
      </c>
      <c r="P438" t="str">
        <f t="shared" si="186"/>
        <v>NIL</v>
      </c>
      <c r="Q438" t="str">
        <f t="shared" si="186"/>
        <v>NIL</v>
      </c>
      <c r="R438" t="str">
        <f t="shared" si="171"/>
        <v>Accepted</v>
      </c>
      <c r="S438" t="str">
        <f t="shared" si="172"/>
        <v>Approved</v>
      </c>
      <c r="T438" t="str">
        <f t="shared" si="173"/>
        <v>10.20.8.188</v>
      </c>
      <c r="U438" t="str">
        <f t="shared" si="174"/>
        <v>AZRAD UMAR BIN SHAARI</v>
      </c>
      <c r="V438" t="str">
        <f t="shared" si="175"/>
        <v>FARHANA BINTI MUSTAPA</v>
      </c>
      <c r="W438" t="str">
        <f t="shared" si="176"/>
        <v>04-08-2020</v>
      </c>
      <c r="X438" t="str">
        <f t="shared" si="177"/>
        <v>RAZIMAH ANSAR AHMAD</v>
      </c>
      <c r="Y438" t="str">
        <f t="shared" si="178"/>
        <v>04-08-2020</v>
      </c>
      <c r="Z438" t="str">
        <f>"IDSB19200804 214"</f>
        <v>IDSB19200804 214</v>
      </c>
    </row>
    <row r="439" spans="1:26" x14ac:dyDescent="0.25">
      <c r="A439" t="str">
        <f t="shared" si="182"/>
        <v>04-08-2020 01:21:07</v>
      </c>
      <c r="B439" t="str">
        <f>"0000810525"</f>
        <v>0000810525</v>
      </c>
      <c r="C439" t="str">
        <f t="shared" si="183"/>
        <v>0000810512</v>
      </c>
      <c r="D439" t="str">
        <f t="shared" si="166"/>
        <v>73185</v>
      </c>
      <c r="E439" t="str">
        <f t="shared" si="167"/>
        <v>KFH-OPERATIONS DEPARTMENT</v>
      </c>
      <c r="F439" t="str">
        <f t="shared" si="168"/>
        <v>IBG</v>
      </c>
      <c r="G439" t="str">
        <f t="shared" si="181"/>
        <v>Refund IDSB 19</v>
      </c>
      <c r="H439" s="2">
        <v>268.64999999999998</v>
      </c>
      <c r="I439" t="str">
        <f>"ZUKARNAIN BIN ABD AZIZ"</f>
        <v>ZUKARNAIN BIN ABD AZIZ</v>
      </c>
      <c r="J439" t="str">
        <f t="shared" si="187"/>
        <v>CIMB BANK / CIMB ISLAMIC BANK</v>
      </c>
      <c r="K439" t="str">
        <f>"7001860996"</f>
        <v>7001860996</v>
      </c>
      <c r="L439" t="str">
        <f t="shared" si="185"/>
        <v>04-08-2020</v>
      </c>
      <c r="M439" t="str">
        <f t="shared" si="185"/>
        <v>04-08-2020</v>
      </c>
      <c r="N439" t="str">
        <f t="shared" si="169"/>
        <v>001105018356</v>
      </c>
      <c r="O439" t="str">
        <f t="shared" si="170"/>
        <v>MYR</v>
      </c>
      <c r="P439" t="str">
        <f t="shared" si="186"/>
        <v>NIL</v>
      </c>
      <c r="Q439" t="str">
        <f t="shared" si="186"/>
        <v>NIL</v>
      </c>
      <c r="R439" t="str">
        <f t="shared" si="171"/>
        <v>Accepted</v>
      </c>
      <c r="S439" t="str">
        <f t="shared" si="172"/>
        <v>Approved</v>
      </c>
      <c r="T439" t="str">
        <f t="shared" si="173"/>
        <v>10.20.8.188</v>
      </c>
      <c r="U439" t="str">
        <f t="shared" si="174"/>
        <v>AZRAD UMAR BIN SHAARI</v>
      </c>
      <c r="V439" t="str">
        <f t="shared" si="175"/>
        <v>FARHANA BINTI MUSTAPA</v>
      </c>
      <c r="W439" t="str">
        <f t="shared" si="176"/>
        <v>04-08-2020</v>
      </c>
      <c r="X439" t="str">
        <f t="shared" si="177"/>
        <v>RAZIMAH ANSAR AHMAD</v>
      </c>
      <c r="Y439" t="str">
        <f t="shared" si="178"/>
        <v>04-08-2020</v>
      </c>
      <c r="Z439" t="str">
        <f>"IDSB19200804 213"</f>
        <v>IDSB19200804 213</v>
      </c>
    </row>
    <row r="440" spans="1:26" x14ac:dyDescent="0.25">
      <c r="A440" t="str">
        <f t="shared" si="182"/>
        <v>04-08-2020 01:21:07</v>
      </c>
      <c r="B440" t="str">
        <f>"0000810524"</f>
        <v>0000810524</v>
      </c>
      <c r="C440" t="str">
        <f t="shared" si="183"/>
        <v>0000810512</v>
      </c>
      <c r="D440" t="str">
        <f t="shared" si="166"/>
        <v>73185</v>
      </c>
      <c r="E440" t="str">
        <f t="shared" si="167"/>
        <v>KFH-OPERATIONS DEPARTMENT</v>
      </c>
      <c r="F440" t="str">
        <f t="shared" si="168"/>
        <v>IBG</v>
      </c>
      <c r="G440" t="str">
        <f t="shared" si="181"/>
        <v>Refund IDSB 19</v>
      </c>
      <c r="H440" s="2">
        <v>236</v>
      </c>
      <c r="I440" t="str">
        <f>"ZUKARNAIN BIN ABD AZIZ"</f>
        <v>ZUKARNAIN BIN ABD AZIZ</v>
      </c>
      <c r="J440" t="str">
        <f t="shared" si="187"/>
        <v>CIMB BANK / CIMB ISLAMIC BANK</v>
      </c>
      <c r="K440" t="str">
        <f>"7001860996"</f>
        <v>7001860996</v>
      </c>
      <c r="L440" t="str">
        <f t="shared" si="185"/>
        <v>04-08-2020</v>
      </c>
      <c r="M440" t="str">
        <f t="shared" si="185"/>
        <v>04-08-2020</v>
      </c>
      <c r="N440" t="str">
        <f t="shared" si="169"/>
        <v>001105018356</v>
      </c>
      <c r="O440" t="str">
        <f t="shared" si="170"/>
        <v>MYR</v>
      </c>
      <c r="P440" t="str">
        <f t="shared" si="186"/>
        <v>NIL</v>
      </c>
      <c r="Q440" t="str">
        <f t="shared" si="186"/>
        <v>NIL</v>
      </c>
      <c r="R440" t="str">
        <f t="shared" si="171"/>
        <v>Accepted</v>
      </c>
      <c r="S440" t="str">
        <f t="shared" si="172"/>
        <v>Approved</v>
      </c>
      <c r="T440" t="str">
        <f t="shared" si="173"/>
        <v>10.20.8.188</v>
      </c>
      <c r="U440" t="str">
        <f t="shared" si="174"/>
        <v>AZRAD UMAR BIN SHAARI</v>
      </c>
      <c r="V440" t="str">
        <f t="shared" si="175"/>
        <v>FARHANA BINTI MUSTAPA</v>
      </c>
      <c r="W440" t="str">
        <f t="shared" si="176"/>
        <v>04-08-2020</v>
      </c>
      <c r="X440" t="str">
        <f t="shared" si="177"/>
        <v>RAZIMAH ANSAR AHMAD</v>
      </c>
      <c r="Y440" t="str">
        <f t="shared" si="178"/>
        <v>04-08-2020</v>
      </c>
      <c r="Z440" t="str">
        <f>"IDSB19200804 212"</f>
        <v>IDSB19200804 212</v>
      </c>
    </row>
    <row r="441" spans="1:26" x14ac:dyDescent="0.25">
      <c r="A441" t="str">
        <f t="shared" si="182"/>
        <v>04-08-2020 01:21:07</v>
      </c>
      <c r="B441" t="str">
        <f>"0000810523"</f>
        <v>0000810523</v>
      </c>
      <c r="C441" t="str">
        <f t="shared" si="183"/>
        <v>0000810512</v>
      </c>
      <c r="D441" t="str">
        <f t="shared" si="166"/>
        <v>73185</v>
      </c>
      <c r="E441" t="str">
        <f t="shared" si="167"/>
        <v>KFH-OPERATIONS DEPARTMENT</v>
      </c>
      <c r="F441" t="str">
        <f t="shared" si="168"/>
        <v>IBG</v>
      </c>
      <c r="G441" t="str">
        <f t="shared" si="181"/>
        <v>Refund IDSB 19</v>
      </c>
      <c r="H441" s="2">
        <v>1103</v>
      </c>
      <c r="I441" t="str">
        <f>"ZUHAINI BINTI ALI"</f>
        <v>ZUHAINI BINTI ALI</v>
      </c>
      <c r="J441" t="str">
        <f t="shared" si="187"/>
        <v>CIMB BANK / CIMB ISLAMIC BANK</v>
      </c>
      <c r="K441" t="str">
        <f>"13020092205520"</f>
        <v>13020092205520</v>
      </c>
      <c r="L441" t="str">
        <f t="shared" si="185"/>
        <v>04-08-2020</v>
      </c>
      <c r="M441" t="str">
        <f t="shared" si="185"/>
        <v>04-08-2020</v>
      </c>
      <c r="N441" t="str">
        <f t="shared" si="169"/>
        <v>001105018356</v>
      </c>
      <c r="O441" t="str">
        <f t="shared" si="170"/>
        <v>MYR</v>
      </c>
      <c r="P441" t="str">
        <f t="shared" si="186"/>
        <v>NIL</v>
      </c>
      <c r="Q441" t="str">
        <f t="shared" si="186"/>
        <v>NIL</v>
      </c>
      <c r="R441" t="str">
        <f t="shared" si="171"/>
        <v>Accepted</v>
      </c>
      <c r="S441" t="str">
        <f t="shared" si="172"/>
        <v>Approved</v>
      </c>
      <c r="T441" t="str">
        <f t="shared" si="173"/>
        <v>10.20.8.188</v>
      </c>
      <c r="U441" t="str">
        <f t="shared" si="174"/>
        <v>AZRAD UMAR BIN SHAARI</v>
      </c>
      <c r="V441" t="str">
        <f t="shared" si="175"/>
        <v>FARHANA BINTI MUSTAPA</v>
      </c>
      <c r="W441" t="str">
        <f t="shared" si="176"/>
        <v>04-08-2020</v>
      </c>
      <c r="X441" t="str">
        <f t="shared" si="177"/>
        <v>RAZIMAH ANSAR AHMAD</v>
      </c>
      <c r="Y441" t="str">
        <f t="shared" si="178"/>
        <v>04-08-2020</v>
      </c>
      <c r="Z441" t="str">
        <f>"IDSB19200804 211"</f>
        <v>IDSB19200804 211</v>
      </c>
    </row>
    <row r="442" spans="1:26" x14ac:dyDescent="0.25">
      <c r="A442" t="str">
        <f t="shared" si="182"/>
        <v>04-08-2020 01:21:07</v>
      </c>
      <c r="B442" t="str">
        <f>"0000810522"</f>
        <v>0000810522</v>
      </c>
      <c r="C442" t="str">
        <f t="shared" si="183"/>
        <v>0000810512</v>
      </c>
      <c r="D442" t="str">
        <f t="shared" si="166"/>
        <v>73185</v>
      </c>
      <c r="E442" t="str">
        <f t="shared" si="167"/>
        <v>KFH-OPERATIONS DEPARTMENT</v>
      </c>
      <c r="F442" t="str">
        <f t="shared" si="168"/>
        <v>IBG</v>
      </c>
      <c r="G442" t="str">
        <f t="shared" si="181"/>
        <v>Refund IDSB 19</v>
      </c>
      <c r="H442" s="2">
        <v>676</v>
      </c>
      <c r="I442" t="str">
        <f>"ZATILFARIHIAH BINTI RASDI"</f>
        <v>ZATILFARIHIAH BINTI RASDI</v>
      </c>
      <c r="J442" t="str">
        <f t="shared" si="187"/>
        <v>CIMB BANK / CIMB ISLAMIC BANK</v>
      </c>
      <c r="K442" t="str">
        <f>"08140008831525"</f>
        <v>08140008831525</v>
      </c>
      <c r="L442" t="str">
        <f t="shared" si="185"/>
        <v>04-08-2020</v>
      </c>
      <c r="M442" t="str">
        <f t="shared" si="185"/>
        <v>04-08-2020</v>
      </c>
      <c r="N442" t="str">
        <f t="shared" si="169"/>
        <v>001105018356</v>
      </c>
      <c r="O442" t="str">
        <f t="shared" si="170"/>
        <v>MYR</v>
      </c>
      <c r="P442" t="str">
        <f t="shared" si="186"/>
        <v>NIL</v>
      </c>
      <c r="Q442" t="str">
        <f t="shared" si="186"/>
        <v>NIL</v>
      </c>
      <c r="R442" t="str">
        <f t="shared" si="171"/>
        <v>Accepted</v>
      </c>
      <c r="S442" t="str">
        <f t="shared" si="172"/>
        <v>Approved</v>
      </c>
      <c r="T442" t="str">
        <f t="shared" si="173"/>
        <v>10.20.8.188</v>
      </c>
      <c r="U442" t="str">
        <f t="shared" si="174"/>
        <v>AZRAD UMAR BIN SHAARI</v>
      </c>
      <c r="V442" t="str">
        <f t="shared" si="175"/>
        <v>FARHANA BINTI MUSTAPA</v>
      </c>
      <c r="W442" t="str">
        <f t="shared" si="176"/>
        <v>04-08-2020</v>
      </c>
      <c r="X442" t="str">
        <f t="shared" si="177"/>
        <v>RAZIMAH ANSAR AHMAD</v>
      </c>
      <c r="Y442" t="str">
        <f t="shared" si="178"/>
        <v>04-08-2020</v>
      </c>
      <c r="Z442" t="str">
        <f>"IDSB19200804 210"</f>
        <v>IDSB19200804 210</v>
      </c>
    </row>
    <row r="443" spans="1:26" x14ac:dyDescent="0.25">
      <c r="A443" t="str">
        <f t="shared" si="182"/>
        <v>04-08-2020 01:21:07</v>
      </c>
      <c r="B443" t="str">
        <f>"0000810521"</f>
        <v>0000810521</v>
      </c>
      <c r="C443" t="str">
        <f t="shared" si="183"/>
        <v>0000810512</v>
      </c>
      <c r="D443" t="str">
        <f t="shared" si="166"/>
        <v>73185</v>
      </c>
      <c r="E443" t="str">
        <f t="shared" si="167"/>
        <v>KFH-OPERATIONS DEPARTMENT</v>
      </c>
      <c r="F443" t="str">
        <f t="shared" si="168"/>
        <v>IBG</v>
      </c>
      <c r="G443" t="str">
        <f t="shared" si="181"/>
        <v>Refund IDSB 19</v>
      </c>
      <c r="H443" s="2">
        <v>112.05</v>
      </c>
      <c r="I443" t="str">
        <f>"ZAMRUDIN BIN ABDULLAH"</f>
        <v>ZAMRUDIN BIN ABDULLAH</v>
      </c>
      <c r="J443" t="str">
        <f t="shared" si="187"/>
        <v>CIMB BANK / CIMB ISLAMIC BANK</v>
      </c>
      <c r="K443" t="str">
        <f>"12051402179520"</f>
        <v>12051402179520</v>
      </c>
      <c r="L443" t="str">
        <f t="shared" si="185"/>
        <v>04-08-2020</v>
      </c>
      <c r="M443" t="str">
        <f t="shared" si="185"/>
        <v>04-08-2020</v>
      </c>
      <c r="N443" t="str">
        <f t="shared" si="169"/>
        <v>001105018356</v>
      </c>
      <c r="O443" t="str">
        <f t="shared" si="170"/>
        <v>MYR</v>
      </c>
      <c r="P443" t="str">
        <f t="shared" si="186"/>
        <v>NIL</v>
      </c>
      <c r="Q443" t="str">
        <f t="shared" si="186"/>
        <v>NIL</v>
      </c>
      <c r="R443" t="str">
        <f t="shared" si="171"/>
        <v>Accepted</v>
      </c>
      <c r="S443" t="str">
        <f t="shared" si="172"/>
        <v>Approved</v>
      </c>
      <c r="T443" t="str">
        <f t="shared" si="173"/>
        <v>10.20.8.188</v>
      </c>
      <c r="U443" t="str">
        <f t="shared" si="174"/>
        <v>AZRAD UMAR BIN SHAARI</v>
      </c>
      <c r="V443" t="str">
        <f t="shared" si="175"/>
        <v>FARHANA BINTI MUSTAPA</v>
      </c>
      <c r="W443" t="str">
        <f t="shared" si="176"/>
        <v>04-08-2020</v>
      </c>
      <c r="X443" t="str">
        <f t="shared" si="177"/>
        <v>RAZIMAH ANSAR AHMAD</v>
      </c>
      <c r="Y443" t="str">
        <f t="shared" si="178"/>
        <v>04-08-2020</v>
      </c>
      <c r="Z443" t="str">
        <f>"IDSB19200804 209"</f>
        <v>IDSB19200804 209</v>
      </c>
    </row>
    <row r="444" spans="1:26" x14ac:dyDescent="0.25">
      <c r="A444" t="str">
        <f t="shared" ref="A444:A451" si="188">"04-08-2020 01:21:07"</f>
        <v>04-08-2020 01:21:07</v>
      </c>
      <c r="B444" t="str">
        <f>"0000810520"</f>
        <v>0000810520</v>
      </c>
      <c r="C444" t="str">
        <f t="shared" ref="C444:C451" si="189">"0000810512"</f>
        <v>0000810512</v>
      </c>
      <c r="D444" t="str">
        <f t="shared" si="166"/>
        <v>73185</v>
      </c>
      <c r="E444" t="str">
        <f t="shared" si="167"/>
        <v>KFH-OPERATIONS DEPARTMENT</v>
      </c>
      <c r="F444" t="str">
        <f t="shared" si="168"/>
        <v>IBG</v>
      </c>
      <c r="G444" t="str">
        <f t="shared" si="181"/>
        <v>Refund IDSB 19</v>
      </c>
      <c r="H444" s="2">
        <v>100.61</v>
      </c>
      <c r="I444" t="str">
        <f>"ZAMILI BIN ISMAIL"</f>
        <v>ZAMILI BIN ISMAIL</v>
      </c>
      <c r="J444" t="str">
        <f t="shared" si="187"/>
        <v>CIMB BANK / CIMB ISLAMIC BANK</v>
      </c>
      <c r="K444" t="str">
        <f>"02021122547528"</f>
        <v>02021122547528</v>
      </c>
      <c r="L444" t="str">
        <f t="shared" si="185"/>
        <v>04-08-2020</v>
      </c>
      <c r="M444" t="str">
        <f t="shared" si="185"/>
        <v>04-08-2020</v>
      </c>
      <c r="N444" t="str">
        <f t="shared" si="169"/>
        <v>001105018356</v>
      </c>
      <c r="O444" t="str">
        <f t="shared" si="170"/>
        <v>MYR</v>
      </c>
      <c r="P444" t="str">
        <f t="shared" si="186"/>
        <v>NIL</v>
      </c>
      <c r="Q444" t="str">
        <f t="shared" si="186"/>
        <v>NIL</v>
      </c>
      <c r="R444" t="str">
        <f t="shared" si="171"/>
        <v>Accepted</v>
      </c>
      <c r="S444" t="str">
        <f t="shared" si="172"/>
        <v>Approved</v>
      </c>
      <c r="T444" t="str">
        <f t="shared" si="173"/>
        <v>10.20.8.188</v>
      </c>
      <c r="U444" t="str">
        <f t="shared" si="174"/>
        <v>AZRAD UMAR BIN SHAARI</v>
      </c>
      <c r="V444" t="str">
        <f t="shared" si="175"/>
        <v>FARHANA BINTI MUSTAPA</v>
      </c>
      <c r="W444" t="str">
        <f t="shared" si="176"/>
        <v>04-08-2020</v>
      </c>
      <c r="X444" t="str">
        <f t="shared" si="177"/>
        <v>RAZIMAH ANSAR AHMAD</v>
      </c>
      <c r="Y444" t="str">
        <f t="shared" si="178"/>
        <v>04-08-2020</v>
      </c>
      <c r="Z444" t="str">
        <f>"IDSB19200804 208"</f>
        <v>IDSB19200804 208</v>
      </c>
    </row>
    <row r="445" spans="1:26" x14ac:dyDescent="0.25">
      <c r="A445" t="str">
        <f t="shared" si="188"/>
        <v>04-08-2020 01:21:07</v>
      </c>
      <c r="B445" t="str">
        <f>"0000810519"</f>
        <v>0000810519</v>
      </c>
      <c r="C445" t="str">
        <f t="shared" si="189"/>
        <v>0000810512</v>
      </c>
      <c r="D445" t="str">
        <f t="shared" si="166"/>
        <v>73185</v>
      </c>
      <c r="E445" t="str">
        <f t="shared" si="167"/>
        <v>KFH-OPERATIONS DEPARTMENT</v>
      </c>
      <c r="F445" t="str">
        <f t="shared" si="168"/>
        <v>IBG</v>
      </c>
      <c r="G445" t="str">
        <f t="shared" si="181"/>
        <v>Refund IDSB 19</v>
      </c>
      <c r="H445" s="2">
        <v>1174.83</v>
      </c>
      <c r="I445" t="str">
        <f>"ZALINA BINTI AYOB"</f>
        <v>ZALINA BINTI AYOB</v>
      </c>
      <c r="J445" t="str">
        <f t="shared" si="187"/>
        <v>CIMB BANK / CIMB ISLAMIC BANK</v>
      </c>
      <c r="K445" t="str">
        <f>"7009392960"</f>
        <v>7009392960</v>
      </c>
      <c r="L445" t="str">
        <f t="shared" si="185"/>
        <v>04-08-2020</v>
      </c>
      <c r="M445" t="str">
        <f t="shared" si="185"/>
        <v>04-08-2020</v>
      </c>
      <c r="N445" t="str">
        <f t="shared" si="169"/>
        <v>001105018356</v>
      </c>
      <c r="O445" t="str">
        <f t="shared" si="170"/>
        <v>MYR</v>
      </c>
      <c r="P445" t="str">
        <f t="shared" si="186"/>
        <v>NIL</v>
      </c>
      <c r="Q445" t="str">
        <f t="shared" si="186"/>
        <v>NIL</v>
      </c>
      <c r="R445" t="str">
        <f t="shared" si="171"/>
        <v>Accepted</v>
      </c>
      <c r="S445" t="str">
        <f t="shared" si="172"/>
        <v>Approved</v>
      </c>
      <c r="T445" t="str">
        <f t="shared" si="173"/>
        <v>10.20.8.188</v>
      </c>
      <c r="U445" t="str">
        <f t="shared" si="174"/>
        <v>AZRAD UMAR BIN SHAARI</v>
      </c>
      <c r="V445" t="str">
        <f t="shared" si="175"/>
        <v>FARHANA BINTI MUSTAPA</v>
      </c>
      <c r="W445" t="str">
        <f t="shared" si="176"/>
        <v>04-08-2020</v>
      </c>
      <c r="X445" t="str">
        <f t="shared" si="177"/>
        <v>RAZIMAH ANSAR AHMAD</v>
      </c>
      <c r="Y445" t="str">
        <f t="shared" si="178"/>
        <v>04-08-2020</v>
      </c>
      <c r="Z445" t="str">
        <f>"IDSB19200804 207"</f>
        <v>IDSB19200804 207</v>
      </c>
    </row>
    <row r="446" spans="1:26" x14ac:dyDescent="0.25">
      <c r="A446" t="str">
        <f t="shared" si="188"/>
        <v>04-08-2020 01:21:07</v>
      </c>
      <c r="B446" t="str">
        <f>"0000810518"</f>
        <v>0000810518</v>
      </c>
      <c r="C446" t="str">
        <f t="shared" si="189"/>
        <v>0000810512</v>
      </c>
      <c r="D446" t="str">
        <f t="shared" si="166"/>
        <v>73185</v>
      </c>
      <c r="E446" t="str">
        <f t="shared" si="167"/>
        <v>KFH-OPERATIONS DEPARTMENT</v>
      </c>
      <c r="F446" t="str">
        <f t="shared" si="168"/>
        <v>IBG</v>
      </c>
      <c r="G446" t="str">
        <f t="shared" si="181"/>
        <v>Refund IDSB 19</v>
      </c>
      <c r="H446" s="2">
        <v>125.9</v>
      </c>
      <c r="I446" t="str">
        <f>"ZAINUDDIN BIN MAT ISA"</f>
        <v>ZAINUDDIN BIN MAT ISA</v>
      </c>
      <c r="J446" t="str">
        <f t="shared" si="187"/>
        <v>CIMB BANK / CIMB ISLAMIC BANK</v>
      </c>
      <c r="K446" t="str">
        <f>"01080007814524"</f>
        <v>01080007814524</v>
      </c>
      <c r="L446" t="str">
        <f t="shared" si="185"/>
        <v>04-08-2020</v>
      </c>
      <c r="M446" t="str">
        <f t="shared" si="185"/>
        <v>04-08-2020</v>
      </c>
      <c r="N446" t="str">
        <f t="shared" si="169"/>
        <v>001105018356</v>
      </c>
      <c r="O446" t="str">
        <f t="shared" si="170"/>
        <v>MYR</v>
      </c>
      <c r="P446" t="str">
        <f t="shared" si="186"/>
        <v>NIL</v>
      </c>
      <c r="Q446" t="str">
        <f t="shared" si="186"/>
        <v>NIL</v>
      </c>
      <c r="R446" t="str">
        <f t="shared" si="171"/>
        <v>Accepted</v>
      </c>
      <c r="S446" t="str">
        <f t="shared" si="172"/>
        <v>Approved</v>
      </c>
      <c r="T446" t="str">
        <f t="shared" si="173"/>
        <v>10.20.8.188</v>
      </c>
      <c r="U446" t="str">
        <f t="shared" si="174"/>
        <v>AZRAD UMAR BIN SHAARI</v>
      </c>
      <c r="V446" t="str">
        <f t="shared" si="175"/>
        <v>FARHANA BINTI MUSTAPA</v>
      </c>
      <c r="W446" t="str">
        <f t="shared" si="176"/>
        <v>04-08-2020</v>
      </c>
      <c r="X446" t="str">
        <f t="shared" si="177"/>
        <v>RAZIMAH ANSAR AHMAD</v>
      </c>
      <c r="Y446" t="str">
        <f t="shared" si="178"/>
        <v>04-08-2020</v>
      </c>
      <c r="Z446" t="str">
        <f>"IDSB19200804 206"</f>
        <v>IDSB19200804 206</v>
      </c>
    </row>
    <row r="447" spans="1:26" x14ac:dyDescent="0.25">
      <c r="A447" t="str">
        <f t="shared" si="188"/>
        <v>04-08-2020 01:21:07</v>
      </c>
      <c r="B447" t="str">
        <f>"0000810517"</f>
        <v>0000810517</v>
      </c>
      <c r="C447" t="str">
        <f t="shared" si="189"/>
        <v>0000810512</v>
      </c>
      <c r="D447" t="str">
        <f t="shared" si="166"/>
        <v>73185</v>
      </c>
      <c r="E447" t="str">
        <f t="shared" si="167"/>
        <v>KFH-OPERATIONS DEPARTMENT</v>
      </c>
      <c r="F447" t="str">
        <f t="shared" si="168"/>
        <v>IBG</v>
      </c>
      <c r="G447" t="str">
        <f t="shared" si="181"/>
        <v>Refund IDSB 19</v>
      </c>
      <c r="H447" s="2">
        <v>69</v>
      </c>
      <c r="I447" t="str">
        <f>"ZAIFUL AZUAN BIN ZAIDIN"</f>
        <v>ZAIFUL AZUAN BIN ZAIDIN</v>
      </c>
      <c r="J447" t="str">
        <f t="shared" si="187"/>
        <v>CIMB BANK / CIMB ISLAMIC BANK</v>
      </c>
      <c r="K447" t="str">
        <f>"05060130539529"</f>
        <v>05060130539529</v>
      </c>
      <c r="L447" t="str">
        <f t="shared" ref="L447:M466" si="190">"04-08-2020"</f>
        <v>04-08-2020</v>
      </c>
      <c r="M447" t="str">
        <f t="shared" si="190"/>
        <v>04-08-2020</v>
      </c>
      <c r="N447" t="str">
        <f t="shared" si="169"/>
        <v>001105018356</v>
      </c>
      <c r="O447" t="str">
        <f t="shared" si="170"/>
        <v>MYR</v>
      </c>
      <c r="P447" t="str">
        <f t="shared" ref="P447:Q466" si="191">"NIL"</f>
        <v>NIL</v>
      </c>
      <c r="Q447" t="str">
        <f t="shared" si="191"/>
        <v>NIL</v>
      </c>
      <c r="R447" t="str">
        <f t="shared" si="171"/>
        <v>Accepted</v>
      </c>
      <c r="S447" t="str">
        <f t="shared" si="172"/>
        <v>Approved</v>
      </c>
      <c r="T447" t="str">
        <f t="shared" si="173"/>
        <v>10.20.8.188</v>
      </c>
      <c r="U447" t="str">
        <f t="shared" si="174"/>
        <v>AZRAD UMAR BIN SHAARI</v>
      </c>
      <c r="V447" t="str">
        <f t="shared" si="175"/>
        <v>FARHANA BINTI MUSTAPA</v>
      </c>
      <c r="W447" t="str">
        <f t="shared" si="176"/>
        <v>04-08-2020</v>
      </c>
      <c r="X447" t="str">
        <f t="shared" si="177"/>
        <v>RAZIMAH ANSAR AHMAD</v>
      </c>
      <c r="Y447" t="str">
        <f t="shared" si="178"/>
        <v>04-08-2020</v>
      </c>
      <c r="Z447" t="str">
        <f>"IDSB19200804 205"</f>
        <v>IDSB19200804 205</v>
      </c>
    </row>
    <row r="448" spans="1:26" x14ac:dyDescent="0.25">
      <c r="A448" t="str">
        <f t="shared" si="188"/>
        <v>04-08-2020 01:21:07</v>
      </c>
      <c r="B448" t="str">
        <f>"0000810516"</f>
        <v>0000810516</v>
      </c>
      <c r="C448" t="str">
        <f t="shared" si="189"/>
        <v>0000810512</v>
      </c>
      <c r="D448" t="str">
        <f t="shared" si="166"/>
        <v>73185</v>
      </c>
      <c r="E448" t="str">
        <f t="shared" si="167"/>
        <v>KFH-OPERATIONS DEPARTMENT</v>
      </c>
      <c r="F448" t="str">
        <f t="shared" si="168"/>
        <v>IBG</v>
      </c>
      <c r="G448" t="str">
        <f t="shared" si="181"/>
        <v>Refund IDSB 19</v>
      </c>
      <c r="H448" s="2">
        <v>304</v>
      </c>
      <c r="I448" t="str">
        <f>"ZAHARUDIN BIN GHORIP"</f>
        <v>ZAHARUDIN BIN GHORIP</v>
      </c>
      <c r="J448" t="str">
        <f t="shared" si="187"/>
        <v>CIMB BANK / CIMB ISLAMIC BANK</v>
      </c>
      <c r="K448" t="str">
        <f>"01210017280522"</f>
        <v>01210017280522</v>
      </c>
      <c r="L448" t="str">
        <f t="shared" si="190"/>
        <v>04-08-2020</v>
      </c>
      <c r="M448" t="str">
        <f t="shared" si="190"/>
        <v>04-08-2020</v>
      </c>
      <c r="N448" t="str">
        <f t="shared" si="169"/>
        <v>001105018356</v>
      </c>
      <c r="O448" t="str">
        <f t="shared" si="170"/>
        <v>MYR</v>
      </c>
      <c r="P448" t="str">
        <f t="shared" si="191"/>
        <v>NIL</v>
      </c>
      <c r="Q448" t="str">
        <f t="shared" si="191"/>
        <v>NIL</v>
      </c>
      <c r="R448" t="str">
        <f t="shared" si="171"/>
        <v>Accepted</v>
      </c>
      <c r="S448" t="str">
        <f t="shared" si="172"/>
        <v>Approved</v>
      </c>
      <c r="T448" t="str">
        <f t="shared" si="173"/>
        <v>10.20.8.188</v>
      </c>
      <c r="U448" t="str">
        <f t="shared" si="174"/>
        <v>AZRAD UMAR BIN SHAARI</v>
      </c>
      <c r="V448" t="str">
        <f t="shared" si="175"/>
        <v>FARHANA BINTI MUSTAPA</v>
      </c>
      <c r="W448" t="str">
        <f t="shared" si="176"/>
        <v>04-08-2020</v>
      </c>
      <c r="X448" t="str">
        <f t="shared" si="177"/>
        <v>RAZIMAH ANSAR AHMAD</v>
      </c>
      <c r="Y448" t="str">
        <f t="shared" si="178"/>
        <v>04-08-2020</v>
      </c>
      <c r="Z448" t="str">
        <f>"IDSB19200804 204"</f>
        <v>IDSB19200804 204</v>
      </c>
    </row>
    <row r="449" spans="1:26" x14ac:dyDescent="0.25">
      <c r="A449" t="str">
        <f t="shared" si="188"/>
        <v>04-08-2020 01:21:07</v>
      </c>
      <c r="B449" t="str">
        <f>"0000810515"</f>
        <v>0000810515</v>
      </c>
      <c r="C449" t="str">
        <f t="shared" si="189"/>
        <v>0000810512</v>
      </c>
      <c r="D449" t="str">
        <f t="shared" si="166"/>
        <v>73185</v>
      </c>
      <c r="E449" t="str">
        <f t="shared" si="167"/>
        <v>KFH-OPERATIONS DEPARTMENT</v>
      </c>
      <c r="F449" t="str">
        <f t="shared" si="168"/>
        <v>IBG</v>
      </c>
      <c r="G449" t="str">
        <f t="shared" si="181"/>
        <v>Refund IDSB 19</v>
      </c>
      <c r="H449" s="2">
        <v>861</v>
      </c>
      <c r="I449" t="str">
        <f>"WAN NAILAH BINTI ABDULLAH"</f>
        <v>WAN NAILAH BINTI ABDULLAH</v>
      </c>
      <c r="J449" t="str">
        <f t="shared" si="187"/>
        <v>CIMB BANK / CIMB ISLAMIC BANK</v>
      </c>
      <c r="K449" t="str">
        <f>"02060099719521"</f>
        <v>02060099719521</v>
      </c>
      <c r="L449" t="str">
        <f t="shared" si="190"/>
        <v>04-08-2020</v>
      </c>
      <c r="M449" t="str">
        <f t="shared" si="190"/>
        <v>04-08-2020</v>
      </c>
      <c r="N449" t="str">
        <f t="shared" si="169"/>
        <v>001105018356</v>
      </c>
      <c r="O449" t="str">
        <f t="shared" si="170"/>
        <v>MYR</v>
      </c>
      <c r="P449" t="str">
        <f t="shared" si="191"/>
        <v>NIL</v>
      </c>
      <c r="Q449" t="str">
        <f t="shared" si="191"/>
        <v>NIL</v>
      </c>
      <c r="R449" t="str">
        <f t="shared" si="171"/>
        <v>Accepted</v>
      </c>
      <c r="S449" t="str">
        <f t="shared" si="172"/>
        <v>Approved</v>
      </c>
      <c r="T449" t="str">
        <f t="shared" si="173"/>
        <v>10.20.8.188</v>
      </c>
      <c r="U449" t="str">
        <f t="shared" si="174"/>
        <v>AZRAD UMAR BIN SHAARI</v>
      </c>
      <c r="V449" t="str">
        <f t="shared" si="175"/>
        <v>FARHANA BINTI MUSTAPA</v>
      </c>
      <c r="W449" t="str">
        <f t="shared" si="176"/>
        <v>04-08-2020</v>
      </c>
      <c r="X449" t="str">
        <f t="shared" si="177"/>
        <v>RAZIMAH ANSAR AHMAD</v>
      </c>
      <c r="Y449" t="str">
        <f t="shared" si="178"/>
        <v>04-08-2020</v>
      </c>
      <c r="Z449" t="str">
        <f>"IDSB19200804 203"</f>
        <v>IDSB19200804 203</v>
      </c>
    </row>
    <row r="450" spans="1:26" x14ac:dyDescent="0.25">
      <c r="A450" t="str">
        <f t="shared" si="188"/>
        <v>04-08-2020 01:21:07</v>
      </c>
      <c r="B450" t="str">
        <f>"0000810514"</f>
        <v>0000810514</v>
      </c>
      <c r="C450" t="str">
        <f t="shared" si="189"/>
        <v>0000810512</v>
      </c>
      <c r="D450" t="str">
        <f t="shared" si="166"/>
        <v>73185</v>
      </c>
      <c r="E450" t="str">
        <f t="shared" si="167"/>
        <v>KFH-OPERATIONS DEPARTMENT</v>
      </c>
      <c r="F450" t="str">
        <f t="shared" si="168"/>
        <v>IBG</v>
      </c>
      <c r="G450" t="str">
        <f t="shared" si="181"/>
        <v>Refund IDSB 19</v>
      </c>
      <c r="H450" s="2">
        <v>987</v>
      </c>
      <c r="I450" t="str">
        <f>"WAN AZRI KAMEL BIN WAN AWANG"</f>
        <v>WAN AZRI KAMEL BIN WAN AWANG</v>
      </c>
      <c r="J450" t="str">
        <f t="shared" si="187"/>
        <v>CIMB BANK / CIMB ISLAMIC BANK</v>
      </c>
      <c r="K450" t="str">
        <f>"13020109390524"</f>
        <v>13020109390524</v>
      </c>
      <c r="L450" t="str">
        <f t="shared" si="190"/>
        <v>04-08-2020</v>
      </c>
      <c r="M450" t="str">
        <f t="shared" si="190"/>
        <v>04-08-2020</v>
      </c>
      <c r="N450" t="str">
        <f t="shared" si="169"/>
        <v>001105018356</v>
      </c>
      <c r="O450" t="str">
        <f t="shared" si="170"/>
        <v>MYR</v>
      </c>
      <c r="P450" t="str">
        <f t="shared" si="191"/>
        <v>NIL</v>
      </c>
      <c r="Q450" t="str">
        <f t="shared" si="191"/>
        <v>NIL</v>
      </c>
      <c r="R450" t="str">
        <f t="shared" si="171"/>
        <v>Accepted</v>
      </c>
      <c r="S450" t="str">
        <f t="shared" si="172"/>
        <v>Approved</v>
      </c>
      <c r="T450" t="str">
        <f t="shared" si="173"/>
        <v>10.20.8.188</v>
      </c>
      <c r="U450" t="str">
        <f t="shared" si="174"/>
        <v>AZRAD UMAR BIN SHAARI</v>
      </c>
      <c r="V450" t="str">
        <f t="shared" si="175"/>
        <v>FARHANA BINTI MUSTAPA</v>
      </c>
      <c r="W450" t="str">
        <f t="shared" si="176"/>
        <v>04-08-2020</v>
      </c>
      <c r="X450" t="str">
        <f t="shared" si="177"/>
        <v>RAZIMAH ANSAR AHMAD</v>
      </c>
      <c r="Y450" t="str">
        <f t="shared" si="178"/>
        <v>04-08-2020</v>
      </c>
      <c r="Z450" t="str">
        <f>"IDSB19200804 202"</f>
        <v>IDSB19200804 202</v>
      </c>
    </row>
    <row r="451" spans="1:26" x14ac:dyDescent="0.25">
      <c r="A451" t="str">
        <f t="shared" si="188"/>
        <v>04-08-2020 01:21:07</v>
      </c>
      <c r="B451" t="str">
        <f>"0000810513"</f>
        <v>0000810513</v>
      </c>
      <c r="C451" t="str">
        <f t="shared" si="189"/>
        <v>0000810512</v>
      </c>
      <c r="D451" t="str">
        <f t="shared" si="166"/>
        <v>73185</v>
      </c>
      <c r="E451" t="str">
        <f t="shared" si="167"/>
        <v>KFH-OPERATIONS DEPARTMENT</v>
      </c>
      <c r="F451" t="str">
        <f t="shared" si="168"/>
        <v>IBG</v>
      </c>
      <c r="G451" t="str">
        <f t="shared" si="181"/>
        <v>Refund IDSB 19</v>
      </c>
      <c r="H451" s="2">
        <v>236.55</v>
      </c>
      <c r="I451" t="str">
        <f>"SUHANA BINTI SAAD"</f>
        <v>SUHANA BINTI SAAD</v>
      </c>
      <c r="J451" t="str">
        <f t="shared" si="187"/>
        <v>CIMB BANK / CIMB ISLAMIC BANK</v>
      </c>
      <c r="K451" t="str">
        <f>"12180071065529"</f>
        <v>12180071065529</v>
      </c>
      <c r="L451" t="str">
        <f t="shared" si="190"/>
        <v>04-08-2020</v>
      </c>
      <c r="M451" t="str">
        <f t="shared" si="190"/>
        <v>04-08-2020</v>
      </c>
      <c r="N451" t="str">
        <f t="shared" si="169"/>
        <v>001105018356</v>
      </c>
      <c r="O451" t="str">
        <f t="shared" si="170"/>
        <v>MYR</v>
      </c>
      <c r="P451" t="str">
        <f t="shared" si="191"/>
        <v>NIL</v>
      </c>
      <c r="Q451" t="str">
        <f t="shared" si="191"/>
        <v>NIL</v>
      </c>
      <c r="R451" t="str">
        <f t="shared" si="171"/>
        <v>Accepted</v>
      </c>
      <c r="S451" t="str">
        <f t="shared" si="172"/>
        <v>Approved</v>
      </c>
      <c r="T451" t="str">
        <f t="shared" si="173"/>
        <v>10.20.8.188</v>
      </c>
      <c r="U451" t="str">
        <f t="shared" si="174"/>
        <v>AZRAD UMAR BIN SHAARI</v>
      </c>
      <c r="V451" t="str">
        <f t="shared" si="175"/>
        <v>FARHANA BINTI MUSTAPA</v>
      </c>
      <c r="W451" t="str">
        <f t="shared" si="176"/>
        <v>04-08-2020</v>
      </c>
      <c r="X451" t="str">
        <f t="shared" si="177"/>
        <v>RAZIMAH ANSAR AHMAD</v>
      </c>
      <c r="Y451" t="str">
        <f t="shared" si="178"/>
        <v>04-08-2020</v>
      </c>
      <c r="Z451" t="str">
        <f>"IDSB19200804 201"</f>
        <v>IDSB19200804 201</v>
      </c>
    </row>
    <row r="452" spans="1:26" x14ac:dyDescent="0.25">
      <c r="A452" t="str">
        <f t="shared" ref="A452:A483" si="192">"04-08-2020 01:20:32"</f>
        <v>04-08-2020 01:20:32</v>
      </c>
      <c r="B452" t="str">
        <f>"0000810511"</f>
        <v>0000810511</v>
      </c>
      <c r="C452" t="str">
        <f t="shared" ref="C452:C483" si="193">"0000810311"</f>
        <v>0000810311</v>
      </c>
      <c r="D452" t="str">
        <f t="shared" si="166"/>
        <v>73185</v>
      </c>
      <c r="E452" t="str">
        <f t="shared" si="167"/>
        <v>KFH-OPERATIONS DEPARTMENT</v>
      </c>
      <c r="F452" t="str">
        <f t="shared" si="168"/>
        <v>IBG</v>
      </c>
      <c r="G452" t="str">
        <f t="shared" si="181"/>
        <v>Refund IDSB 19</v>
      </c>
      <c r="H452" s="2">
        <v>176.78</v>
      </c>
      <c r="I452" t="str">
        <f>"SUHAIMI BIN ABDUL HAMID"</f>
        <v>SUHAIMI BIN ABDUL HAMID</v>
      </c>
      <c r="J452" t="str">
        <f t="shared" si="187"/>
        <v>CIMB BANK / CIMB ISLAMIC BANK</v>
      </c>
      <c r="K452" t="str">
        <f>"02021106579503"</f>
        <v>02021106579503</v>
      </c>
      <c r="L452" t="str">
        <f t="shared" si="190"/>
        <v>04-08-2020</v>
      </c>
      <c r="M452" t="str">
        <f t="shared" si="190"/>
        <v>04-08-2020</v>
      </c>
      <c r="N452" t="str">
        <f t="shared" si="169"/>
        <v>001105018356</v>
      </c>
      <c r="O452" t="str">
        <f t="shared" si="170"/>
        <v>MYR</v>
      </c>
      <c r="P452" t="str">
        <f t="shared" si="191"/>
        <v>NIL</v>
      </c>
      <c r="Q452" t="str">
        <f t="shared" si="191"/>
        <v>NIL</v>
      </c>
      <c r="R452" t="str">
        <f t="shared" si="171"/>
        <v>Accepted</v>
      </c>
      <c r="S452" t="str">
        <f t="shared" si="172"/>
        <v>Approved</v>
      </c>
      <c r="T452" t="str">
        <f t="shared" si="173"/>
        <v>10.20.8.188</v>
      </c>
      <c r="U452" t="str">
        <f t="shared" si="174"/>
        <v>AZRAD UMAR BIN SHAARI</v>
      </c>
      <c r="V452" t="str">
        <f t="shared" si="175"/>
        <v>FARHANA BINTI MUSTAPA</v>
      </c>
      <c r="W452" t="str">
        <f t="shared" si="176"/>
        <v>04-08-2020</v>
      </c>
      <c r="X452" t="str">
        <f t="shared" si="177"/>
        <v>RAZIMAH ANSAR AHMAD</v>
      </c>
      <c r="Y452" t="str">
        <f t="shared" si="178"/>
        <v>04-08-2020</v>
      </c>
      <c r="Z452" t="str">
        <f>"IDSB19200804 200"</f>
        <v>IDSB19200804 200</v>
      </c>
    </row>
    <row r="453" spans="1:26" x14ac:dyDescent="0.25">
      <c r="A453" t="str">
        <f t="shared" si="192"/>
        <v>04-08-2020 01:20:32</v>
      </c>
      <c r="B453" t="str">
        <f>"0000810510"</f>
        <v>0000810510</v>
      </c>
      <c r="C453" t="str">
        <f t="shared" si="193"/>
        <v>0000810311</v>
      </c>
      <c r="D453" t="str">
        <f t="shared" si="166"/>
        <v>73185</v>
      </c>
      <c r="E453" t="str">
        <f t="shared" si="167"/>
        <v>KFH-OPERATIONS DEPARTMENT</v>
      </c>
      <c r="F453" t="str">
        <f t="shared" si="168"/>
        <v>IBG</v>
      </c>
      <c r="G453" t="str">
        <f t="shared" si="181"/>
        <v>Refund IDSB 19</v>
      </c>
      <c r="H453" s="2">
        <v>1563</v>
      </c>
      <c r="I453" t="str">
        <f>"SRIYANTY BINTI SAMSURI"</f>
        <v>SRIYANTY BINTI SAMSURI</v>
      </c>
      <c r="J453" t="str">
        <f t="shared" si="187"/>
        <v>CIMB BANK / CIMB ISLAMIC BANK</v>
      </c>
      <c r="K453" t="str">
        <f>"12170070151522"</f>
        <v>12170070151522</v>
      </c>
      <c r="L453" t="str">
        <f t="shared" si="190"/>
        <v>04-08-2020</v>
      </c>
      <c r="M453" t="str">
        <f t="shared" si="190"/>
        <v>04-08-2020</v>
      </c>
      <c r="N453" t="str">
        <f t="shared" si="169"/>
        <v>001105018356</v>
      </c>
      <c r="O453" t="str">
        <f t="shared" si="170"/>
        <v>MYR</v>
      </c>
      <c r="P453" t="str">
        <f t="shared" si="191"/>
        <v>NIL</v>
      </c>
      <c r="Q453" t="str">
        <f t="shared" si="191"/>
        <v>NIL</v>
      </c>
      <c r="R453" t="str">
        <f t="shared" si="171"/>
        <v>Accepted</v>
      </c>
      <c r="S453" t="str">
        <f t="shared" si="172"/>
        <v>Approved</v>
      </c>
      <c r="T453" t="str">
        <f t="shared" si="173"/>
        <v>10.20.8.188</v>
      </c>
      <c r="U453" t="str">
        <f t="shared" si="174"/>
        <v>AZRAD UMAR BIN SHAARI</v>
      </c>
      <c r="V453" t="str">
        <f t="shared" si="175"/>
        <v>FARHANA BINTI MUSTAPA</v>
      </c>
      <c r="W453" t="str">
        <f t="shared" si="176"/>
        <v>04-08-2020</v>
      </c>
      <c r="X453" t="str">
        <f t="shared" si="177"/>
        <v>RAZIMAH ANSAR AHMAD</v>
      </c>
      <c r="Y453" t="str">
        <f t="shared" si="178"/>
        <v>04-08-2020</v>
      </c>
      <c r="Z453" t="str">
        <f>"IDSB19200804 199"</f>
        <v>IDSB19200804 199</v>
      </c>
    </row>
    <row r="454" spans="1:26" x14ac:dyDescent="0.25">
      <c r="A454" t="str">
        <f t="shared" si="192"/>
        <v>04-08-2020 01:20:32</v>
      </c>
      <c r="B454" t="str">
        <f>"0000810509"</f>
        <v>0000810509</v>
      </c>
      <c r="C454" t="str">
        <f t="shared" si="193"/>
        <v>0000810311</v>
      </c>
      <c r="D454" t="str">
        <f t="shared" si="166"/>
        <v>73185</v>
      </c>
      <c r="E454" t="str">
        <f t="shared" si="167"/>
        <v>KFH-OPERATIONS DEPARTMENT</v>
      </c>
      <c r="F454" t="str">
        <f t="shared" si="168"/>
        <v>IBG</v>
      </c>
      <c r="G454" t="str">
        <f t="shared" si="181"/>
        <v>Refund IDSB 19</v>
      </c>
      <c r="H454" s="2">
        <v>419.59</v>
      </c>
      <c r="I454" t="str">
        <f>"SITI ZURAIDA BINTI MAARUF"</f>
        <v>SITI ZURAIDA BINTI MAARUF</v>
      </c>
      <c r="J454" t="str">
        <f t="shared" si="187"/>
        <v>CIMB BANK / CIMB ISLAMIC BANK</v>
      </c>
      <c r="K454" t="str">
        <f>"14091370117526"</f>
        <v>14091370117526</v>
      </c>
      <c r="L454" t="str">
        <f t="shared" si="190"/>
        <v>04-08-2020</v>
      </c>
      <c r="M454" t="str">
        <f t="shared" si="190"/>
        <v>04-08-2020</v>
      </c>
      <c r="N454" t="str">
        <f t="shared" si="169"/>
        <v>001105018356</v>
      </c>
      <c r="O454" t="str">
        <f t="shared" si="170"/>
        <v>MYR</v>
      </c>
      <c r="P454" t="str">
        <f t="shared" si="191"/>
        <v>NIL</v>
      </c>
      <c r="Q454" t="str">
        <f t="shared" si="191"/>
        <v>NIL</v>
      </c>
      <c r="R454" t="str">
        <f t="shared" si="171"/>
        <v>Accepted</v>
      </c>
      <c r="S454" t="str">
        <f t="shared" si="172"/>
        <v>Approved</v>
      </c>
      <c r="T454" t="str">
        <f t="shared" si="173"/>
        <v>10.20.8.188</v>
      </c>
      <c r="U454" t="str">
        <f t="shared" si="174"/>
        <v>AZRAD UMAR BIN SHAARI</v>
      </c>
      <c r="V454" t="str">
        <f t="shared" si="175"/>
        <v>FARHANA BINTI MUSTAPA</v>
      </c>
      <c r="W454" t="str">
        <f t="shared" si="176"/>
        <v>04-08-2020</v>
      </c>
      <c r="X454" t="str">
        <f t="shared" si="177"/>
        <v>RAZIMAH ANSAR AHMAD</v>
      </c>
      <c r="Y454" t="str">
        <f t="shared" si="178"/>
        <v>04-08-2020</v>
      </c>
      <c r="Z454" t="str">
        <f>"IDSB19200804 198"</f>
        <v>IDSB19200804 198</v>
      </c>
    </row>
    <row r="455" spans="1:26" x14ac:dyDescent="0.25">
      <c r="A455" t="str">
        <f t="shared" si="192"/>
        <v>04-08-2020 01:20:32</v>
      </c>
      <c r="B455" t="str">
        <f>"0000810508"</f>
        <v>0000810508</v>
      </c>
      <c r="C455" t="str">
        <f t="shared" si="193"/>
        <v>0000810311</v>
      </c>
      <c r="D455" t="str">
        <f t="shared" ref="D455:D518" si="194">"73185"</f>
        <v>73185</v>
      </c>
      <c r="E455" t="str">
        <f t="shared" ref="E455:E518" si="195">"KFH-OPERATIONS DEPARTMENT"</f>
        <v>KFH-OPERATIONS DEPARTMENT</v>
      </c>
      <c r="F455" t="str">
        <f t="shared" ref="F455:F518" si="196">"IBG"</f>
        <v>IBG</v>
      </c>
      <c r="G455" t="str">
        <f t="shared" si="181"/>
        <v>Refund IDSB 19</v>
      </c>
      <c r="H455" s="2">
        <v>58.8</v>
      </c>
      <c r="I455" t="str">
        <f>"SITI SARAH BINTI IBRAHIM"</f>
        <v>SITI SARAH BINTI IBRAHIM</v>
      </c>
      <c r="J455" t="str">
        <f t="shared" si="187"/>
        <v>CIMB BANK / CIMB ISLAMIC BANK</v>
      </c>
      <c r="K455" t="str">
        <f>"14220064910524"</f>
        <v>14220064910524</v>
      </c>
      <c r="L455" t="str">
        <f t="shared" si="190"/>
        <v>04-08-2020</v>
      </c>
      <c r="M455" t="str">
        <f t="shared" si="190"/>
        <v>04-08-2020</v>
      </c>
      <c r="N455" t="str">
        <f t="shared" ref="N455:N518" si="197">"001105018356"</f>
        <v>001105018356</v>
      </c>
      <c r="O455" t="str">
        <f t="shared" ref="O455:O518" si="198">"MYR"</f>
        <v>MYR</v>
      </c>
      <c r="P455" t="str">
        <f t="shared" si="191"/>
        <v>NIL</v>
      </c>
      <c r="Q455" t="str">
        <f t="shared" si="191"/>
        <v>NIL</v>
      </c>
      <c r="R455" t="str">
        <f t="shared" ref="R455:R518" si="199">"Accepted"</f>
        <v>Accepted</v>
      </c>
      <c r="S455" t="str">
        <f t="shared" ref="S455:S518" si="200">"Approved"</f>
        <v>Approved</v>
      </c>
      <c r="T455" t="str">
        <f t="shared" ref="T455:T518" si="201">"10.20.8.188"</f>
        <v>10.20.8.188</v>
      </c>
      <c r="U455" t="str">
        <f t="shared" ref="U455:U518" si="202">"AZRAD UMAR BIN SHAARI"</f>
        <v>AZRAD UMAR BIN SHAARI</v>
      </c>
      <c r="V455" t="str">
        <f t="shared" ref="V455:V518" si="203">"FARHANA BINTI MUSTAPA"</f>
        <v>FARHANA BINTI MUSTAPA</v>
      </c>
      <c r="W455" t="str">
        <f t="shared" ref="W455:W518" si="204">"04-08-2020"</f>
        <v>04-08-2020</v>
      </c>
      <c r="X455" t="str">
        <f t="shared" ref="X455:X518" si="205">"RAZIMAH ANSAR AHMAD"</f>
        <v>RAZIMAH ANSAR AHMAD</v>
      </c>
      <c r="Y455" t="str">
        <f t="shared" ref="Y455:Y518" si="206">"04-08-2020"</f>
        <v>04-08-2020</v>
      </c>
      <c r="Z455" t="str">
        <f>"IDSB19200804 197"</f>
        <v>IDSB19200804 197</v>
      </c>
    </row>
    <row r="456" spans="1:26" x14ac:dyDescent="0.25">
      <c r="A456" t="str">
        <f t="shared" si="192"/>
        <v>04-08-2020 01:20:32</v>
      </c>
      <c r="B456" t="str">
        <f>"0000810507"</f>
        <v>0000810507</v>
      </c>
      <c r="C456" t="str">
        <f t="shared" si="193"/>
        <v>0000810311</v>
      </c>
      <c r="D456" t="str">
        <f t="shared" si="194"/>
        <v>73185</v>
      </c>
      <c r="E456" t="str">
        <f t="shared" si="195"/>
        <v>KFH-OPERATIONS DEPARTMENT</v>
      </c>
      <c r="F456" t="str">
        <f t="shared" si="196"/>
        <v>IBG</v>
      </c>
      <c r="G456" t="str">
        <f t="shared" si="181"/>
        <v>Refund IDSB 19</v>
      </c>
      <c r="H456" s="2">
        <v>145</v>
      </c>
      <c r="I456" t="str">
        <f>"SITI NOR ASYIKIN BINTI MOHD ZAMID"</f>
        <v>SITI NOR ASYIKIN BINTI MOHD ZAMID</v>
      </c>
      <c r="J456" t="str">
        <f t="shared" si="187"/>
        <v>CIMB BANK / CIMB ISLAMIC BANK</v>
      </c>
      <c r="K456" t="str">
        <f>"16010005014209"</f>
        <v>16010005014209</v>
      </c>
      <c r="L456" t="str">
        <f t="shared" si="190"/>
        <v>04-08-2020</v>
      </c>
      <c r="M456" t="str">
        <f t="shared" si="190"/>
        <v>04-08-2020</v>
      </c>
      <c r="N456" t="str">
        <f t="shared" si="197"/>
        <v>001105018356</v>
      </c>
      <c r="O456" t="str">
        <f t="shared" si="198"/>
        <v>MYR</v>
      </c>
      <c r="P456" t="str">
        <f t="shared" si="191"/>
        <v>NIL</v>
      </c>
      <c r="Q456" t="str">
        <f t="shared" si="191"/>
        <v>NIL</v>
      </c>
      <c r="R456" t="str">
        <f t="shared" si="199"/>
        <v>Accepted</v>
      </c>
      <c r="S456" t="str">
        <f t="shared" si="200"/>
        <v>Approved</v>
      </c>
      <c r="T456" t="str">
        <f t="shared" si="201"/>
        <v>10.20.8.188</v>
      </c>
      <c r="U456" t="str">
        <f t="shared" si="202"/>
        <v>AZRAD UMAR BIN SHAARI</v>
      </c>
      <c r="V456" t="str">
        <f t="shared" si="203"/>
        <v>FARHANA BINTI MUSTAPA</v>
      </c>
      <c r="W456" t="str">
        <f t="shared" si="204"/>
        <v>04-08-2020</v>
      </c>
      <c r="X456" t="str">
        <f t="shared" si="205"/>
        <v>RAZIMAH ANSAR AHMAD</v>
      </c>
      <c r="Y456" t="str">
        <f t="shared" si="206"/>
        <v>04-08-2020</v>
      </c>
      <c r="Z456" t="str">
        <f>"IDSB19200804 196"</f>
        <v>IDSB19200804 196</v>
      </c>
    </row>
    <row r="457" spans="1:26" x14ac:dyDescent="0.25">
      <c r="A457" t="str">
        <f t="shared" si="192"/>
        <v>04-08-2020 01:20:32</v>
      </c>
      <c r="B457" t="str">
        <f>"0000810506"</f>
        <v>0000810506</v>
      </c>
      <c r="C457" t="str">
        <f t="shared" si="193"/>
        <v>0000810311</v>
      </c>
      <c r="D457" t="str">
        <f t="shared" si="194"/>
        <v>73185</v>
      </c>
      <c r="E457" t="str">
        <f t="shared" si="195"/>
        <v>KFH-OPERATIONS DEPARTMENT</v>
      </c>
      <c r="F457" t="str">
        <f t="shared" si="196"/>
        <v>IBG</v>
      </c>
      <c r="G457" t="str">
        <f t="shared" si="181"/>
        <v>Refund IDSB 19</v>
      </c>
      <c r="H457" s="2">
        <v>1532.4</v>
      </c>
      <c r="I457" t="str">
        <f>"SITI AISHAH BINTI SOKHIBUL FADIL"</f>
        <v>SITI AISHAH BINTI SOKHIBUL FADIL</v>
      </c>
      <c r="J457" t="str">
        <f t="shared" si="187"/>
        <v>CIMB BANK / CIMB ISLAMIC BANK</v>
      </c>
      <c r="K457" t="str">
        <f>"12290062733529"</f>
        <v>12290062733529</v>
      </c>
      <c r="L457" t="str">
        <f t="shared" si="190"/>
        <v>04-08-2020</v>
      </c>
      <c r="M457" t="str">
        <f t="shared" si="190"/>
        <v>04-08-2020</v>
      </c>
      <c r="N457" t="str">
        <f t="shared" si="197"/>
        <v>001105018356</v>
      </c>
      <c r="O457" t="str">
        <f t="shared" si="198"/>
        <v>MYR</v>
      </c>
      <c r="P457" t="str">
        <f t="shared" si="191"/>
        <v>NIL</v>
      </c>
      <c r="Q457" t="str">
        <f t="shared" si="191"/>
        <v>NIL</v>
      </c>
      <c r="R457" t="str">
        <f t="shared" si="199"/>
        <v>Accepted</v>
      </c>
      <c r="S457" t="str">
        <f t="shared" si="200"/>
        <v>Approved</v>
      </c>
      <c r="T457" t="str">
        <f t="shared" si="201"/>
        <v>10.20.8.188</v>
      </c>
      <c r="U457" t="str">
        <f t="shared" si="202"/>
        <v>AZRAD UMAR BIN SHAARI</v>
      </c>
      <c r="V457" t="str">
        <f t="shared" si="203"/>
        <v>FARHANA BINTI MUSTAPA</v>
      </c>
      <c r="W457" t="str">
        <f t="shared" si="204"/>
        <v>04-08-2020</v>
      </c>
      <c r="X457" t="str">
        <f t="shared" si="205"/>
        <v>RAZIMAH ANSAR AHMAD</v>
      </c>
      <c r="Y457" t="str">
        <f t="shared" si="206"/>
        <v>04-08-2020</v>
      </c>
      <c r="Z457" t="str">
        <f>"IDSB19200804 195"</f>
        <v>IDSB19200804 195</v>
      </c>
    </row>
    <row r="458" spans="1:26" x14ac:dyDescent="0.25">
      <c r="A458" t="str">
        <f t="shared" si="192"/>
        <v>04-08-2020 01:20:32</v>
      </c>
      <c r="B458" t="str">
        <f>"0000810505"</f>
        <v>0000810505</v>
      </c>
      <c r="C458" t="str">
        <f t="shared" si="193"/>
        <v>0000810311</v>
      </c>
      <c r="D458" t="str">
        <f t="shared" si="194"/>
        <v>73185</v>
      </c>
      <c r="E458" t="str">
        <f t="shared" si="195"/>
        <v>KFH-OPERATIONS DEPARTMENT</v>
      </c>
      <c r="F458" t="str">
        <f t="shared" si="196"/>
        <v>IBG</v>
      </c>
      <c r="G458" t="str">
        <f t="shared" si="181"/>
        <v>Refund IDSB 19</v>
      </c>
      <c r="H458" s="2">
        <v>228</v>
      </c>
      <c r="I458" t="str">
        <f>"SHAMSINAR BINTI ABU BAKAR"</f>
        <v>SHAMSINAR BINTI ABU BAKAR</v>
      </c>
      <c r="J458" t="str">
        <f t="shared" si="187"/>
        <v>CIMB BANK / CIMB ISLAMIC BANK</v>
      </c>
      <c r="K458" t="str">
        <f>"12051381368524"</f>
        <v>12051381368524</v>
      </c>
      <c r="L458" t="str">
        <f t="shared" si="190"/>
        <v>04-08-2020</v>
      </c>
      <c r="M458" t="str">
        <f t="shared" si="190"/>
        <v>04-08-2020</v>
      </c>
      <c r="N458" t="str">
        <f t="shared" si="197"/>
        <v>001105018356</v>
      </c>
      <c r="O458" t="str">
        <f t="shared" si="198"/>
        <v>MYR</v>
      </c>
      <c r="P458" t="str">
        <f t="shared" si="191"/>
        <v>NIL</v>
      </c>
      <c r="Q458" t="str">
        <f t="shared" si="191"/>
        <v>NIL</v>
      </c>
      <c r="R458" t="str">
        <f t="shared" si="199"/>
        <v>Accepted</v>
      </c>
      <c r="S458" t="str">
        <f t="shared" si="200"/>
        <v>Approved</v>
      </c>
      <c r="T458" t="str">
        <f t="shared" si="201"/>
        <v>10.20.8.188</v>
      </c>
      <c r="U458" t="str">
        <f t="shared" si="202"/>
        <v>AZRAD UMAR BIN SHAARI</v>
      </c>
      <c r="V458" t="str">
        <f t="shared" si="203"/>
        <v>FARHANA BINTI MUSTAPA</v>
      </c>
      <c r="W458" t="str">
        <f t="shared" si="204"/>
        <v>04-08-2020</v>
      </c>
      <c r="X458" t="str">
        <f t="shared" si="205"/>
        <v>RAZIMAH ANSAR AHMAD</v>
      </c>
      <c r="Y458" t="str">
        <f t="shared" si="206"/>
        <v>04-08-2020</v>
      </c>
      <c r="Z458" t="str">
        <f>"IDSB19200804 194"</f>
        <v>IDSB19200804 194</v>
      </c>
    </row>
    <row r="459" spans="1:26" x14ac:dyDescent="0.25">
      <c r="A459" t="str">
        <f t="shared" si="192"/>
        <v>04-08-2020 01:20:32</v>
      </c>
      <c r="B459" t="str">
        <f>"0000810504"</f>
        <v>0000810504</v>
      </c>
      <c r="C459" t="str">
        <f t="shared" si="193"/>
        <v>0000810311</v>
      </c>
      <c r="D459" t="str">
        <f t="shared" si="194"/>
        <v>73185</v>
      </c>
      <c r="E459" t="str">
        <f t="shared" si="195"/>
        <v>KFH-OPERATIONS DEPARTMENT</v>
      </c>
      <c r="F459" t="str">
        <f t="shared" si="196"/>
        <v>IBG</v>
      </c>
      <c r="G459" t="str">
        <f t="shared" si="181"/>
        <v>Refund IDSB 19</v>
      </c>
      <c r="H459" s="2">
        <v>671.33</v>
      </c>
      <c r="I459" t="str">
        <f>"SHAHRIZAL BIN DERIS"</f>
        <v>SHAHRIZAL BIN DERIS</v>
      </c>
      <c r="J459" t="str">
        <f t="shared" si="187"/>
        <v>CIMB BANK / CIMB ISLAMIC BANK</v>
      </c>
      <c r="K459" t="str">
        <f>"12180095245524"</f>
        <v>12180095245524</v>
      </c>
      <c r="L459" t="str">
        <f t="shared" si="190"/>
        <v>04-08-2020</v>
      </c>
      <c r="M459" t="str">
        <f t="shared" si="190"/>
        <v>04-08-2020</v>
      </c>
      <c r="N459" t="str">
        <f t="shared" si="197"/>
        <v>001105018356</v>
      </c>
      <c r="O459" t="str">
        <f t="shared" si="198"/>
        <v>MYR</v>
      </c>
      <c r="P459" t="str">
        <f t="shared" si="191"/>
        <v>NIL</v>
      </c>
      <c r="Q459" t="str">
        <f t="shared" si="191"/>
        <v>NIL</v>
      </c>
      <c r="R459" t="str">
        <f t="shared" si="199"/>
        <v>Accepted</v>
      </c>
      <c r="S459" t="str">
        <f t="shared" si="200"/>
        <v>Approved</v>
      </c>
      <c r="T459" t="str">
        <f t="shared" si="201"/>
        <v>10.20.8.188</v>
      </c>
      <c r="U459" t="str">
        <f t="shared" si="202"/>
        <v>AZRAD UMAR BIN SHAARI</v>
      </c>
      <c r="V459" t="str">
        <f t="shared" si="203"/>
        <v>FARHANA BINTI MUSTAPA</v>
      </c>
      <c r="W459" t="str">
        <f t="shared" si="204"/>
        <v>04-08-2020</v>
      </c>
      <c r="X459" t="str">
        <f t="shared" si="205"/>
        <v>RAZIMAH ANSAR AHMAD</v>
      </c>
      <c r="Y459" t="str">
        <f t="shared" si="206"/>
        <v>04-08-2020</v>
      </c>
      <c r="Z459" t="str">
        <f>"IDSB19200804 193"</f>
        <v>IDSB19200804 193</v>
      </c>
    </row>
    <row r="460" spans="1:26" x14ac:dyDescent="0.25">
      <c r="A460" t="str">
        <f t="shared" si="192"/>
        <v>04-08-2020 01:20:32</v>
      </c>
      <c r="B460" t="str">
        <f>"0000810503"</f>
        <v>0000810503</v>
      </c>
      <c r="C460" t="str">
        <f t="shared" si="193"/>
        <v>0000810311</v>
      </c>
      <c r="D460" t="str">
        <f t="shared" si="194"/>
        <v>73185</v>
      </c>
      <c r="E460" t="str">
        <f t="shared" si="195"/>
        <v>KFH-OPERATIONS DEPARTMENT</v>
      </c>
      <c r="F460" t="str">
        <f t="shared" si="196"/>
        <v>IBG</v>
      </c>
      <c r="G460" t="str">
        <f t="shared" si="181"/>
        <v>Refund IDSB 19</v>
      </c>
      <c r="H460" s="2">
        <v>587.65</v>
      </c>
      <c r="I460" t="str">
        <f>"SHAHRIL YAZID BIN MUSA"</f>
        <v>SHAHRIL YAZID BIN MUSA</v>
      </c>
      <c r="J460" t="str">
        <f t="shared" si="187"/>
        <v>CIMB BANK / CIMB ISLAMIC BANK</v>
      </c>
      <c r="K460" t="str">
        <f>"8001965594"</f>
        <v>8001965594</v>
      </c>
      <c r="L460" t="str">
        <f t="shared" si="190"/>
        <v>04-08-2020</v>
      </c>
      <c r="M460" t="str">
        <f t="shared" si="190"/>
        <v>04-08-2020</v>
      </c>
      <c r="N460" t="str">
        <f t="shared" si="197"/>
        <v>001105018356</v>
      </c>
      <c r="O460" t="str">
        <f t="shared" si="198"/>
        <v>MYR</v>
      </c>
      <c r="P460" t="str">
        <f t="shared" si="191"/>
        <v>NIL</v>
      </c>
      <c r="Q460" t="str">
        <f t="shared" si="191"/>
        <v>NIL</v>
      </c>
      <c r="R460" t="str">
        <f t="shared" si="199"/>
        <v>Accepted</v>
      </c>
      <c r="S460" t="str">
        <f t="shared" si="200"/>
        <v>Approved</v>
      </c>
      <c r="T460" t="str">
        <f t="shared" si="201"/>
        <v>10.20.8.188</v>
      </c>
      <c r="U460" t="str">
        <f t="shared" si="202"/>
        <v>AZRAD UMAR BIN SHAARI</v>
      </c>
      <c r="V460" t="str">
        <f t="shared" si="203"/>
        <v>FARHANA BINTI MUSTAPA</v>
      </c>
      <c r="W460" t="str">
        <f t="shared" si="204"/>
        <v>04-08-2020</v>
      </c>
      <c r="X460" t="str">
        <f t="shared" si="205"/>
        <v>RAZIMAH ANSAR AHMAD</v>
      </c>
      <c r="Y460" t="str">
        <f t="shared" si="206"/>
        <v>04-08-2020</v>
      </c>
      <c r="Z460" t="str">
        <f>"IDSB19200804 192"</f>
        <v>IDSB19200804 192</v>
      </c>
    </row>
    <row r="461" spans="1:26" x14ac:dyDescent="0.25">
      <c r="A461" t="str">
        <f t="shared" si="192"/>
        <v>04-08-2020 01:20:32</v>
      </c>
      <c r="B461" t="str">
        <f>"0000810502"</f>
        <v>0000810502</v>
      </c>
      <c r="C461" t="str">
        <f t="shared" si="193"/>
        <v>0000810311</v>
      </c>
      <c r="D461" t="str">
        <f t="shared" si="194"/>
        <v>73185</v>
      </c>
      <c r="E461" t="str">
        <f t="shared" si="195"/>
        <v>KFH-OPERATIONS DEPARTMENT</v>
      </c>
      <c r="F461" t="str">
        <f t="shared" si="196"/>
        <v>IBG</v>
      </c>
      <c r="G461" t="str">
        <f t="shared" si="181"/>
        <v>Refund IDSB 19</v>
      </c>
      <c r="H461" s="2">
        <v>213</v>
      </c>
      <c r="I461" t="str">
        <f>"SAMSUDIN BIN AHMAD ARBI"</f>
        <v>SAMSUDIN BIN AHMAD ARBI</v>
      </c>
      <c r="J461" t="str">
        <f t="shared" si="187"/>
        <v>CIMB BANK / CIMB ISLAMIC BANK</v>
      </c>
      <c r="K461" t="str">
        <f>"12510071476528"</f>
        <v>12510071476528</v>
      </c>
      <c r="L461" t="str">
        <f t="shared" si="190"/>
        <v>04-08-2020</v>
      </c>
      <c r="M461" t="str">
        <f t="shared" si="190"/>
        <v>04-08-2020</v>
      </c>
      <c r="N461" t="str">
        <f t="shared" si="197"/>
        <v>001105018356</v>
      </c>
      <c r="O461" t="str">
        <f t="shared" si="198"/>
        <v>MYR</v>
      </c>
      <c r="P461" t="str">
        <f t="shared" si="191"/>
        <v>NIL</v>
      </c>
      <c r="Q461" t="str">
        <f t="shared" si="191"/>
        <v>NIL</v>
      </c>
      <c r="R461" t="str">
        <f t="shared" si="199"/>
        <v>Accepted</v>
      </c>
      <c r="S461" t="str">
        <f t="shared" si="200"/>
        <v>Approved</v>
      </c>
      <c r="T461" t="str">
        <f t="shared" si="201"/>
        <v>10.20.8.188</v>
      </c>
      <c r="U461" t="str">
        <f t="shared" si="202"/>
        <v>AZRAD UMAR BIN SHAARI</v>
      </c>
      <c r="V461" t="str">
        <f t="shared" si="203"/>
        <v>FARHANA BINTI MUSTAPA</v>
      </c>
      <c r="W461" t="str">
        <f t="shared" si="204"/>
        <v>04-08-2020</v>
      </c>
      <c r="X461" t="str">
        <f t="shared" si="205"/>
        <v>RAZIMAH ANSAR AHMAD</v>
      </c>
      <c r="Y461" t="str">
        <f t="shared" si="206"/>
        <v>04-08-2020</v>
      </c>
      <c r="Z461" t="str">
        <f>"IDSB19200804 191"</f>
        <v>IDSB19200804 191</v>
      </c>
    </row>
    <row r="462" spans="1:26" x14ac:dyDescent="0.25">
      <c r="A462" t="str">
        <f t="shared" si="192"/>
        <v>04-08-2020 01:20:32</v>
      </c>
      <c r="B462" t="str">
        <f>"0000810501"</f>
        <v>0000810501</v>
      </c>
      <c r="C462" t="str">
        <f t="shared" si="193"/>
        <v>0000810311</v>
      </c>
      <c r="D462" t="str">
        <f t="shared" si="194"/>
        <v>73185</v>
      </c>
      <c r="E462" t="str">
        <f t="shared" si="195"/>
        <v>KFH-OPERATIONS DEPARTMENT</v>
      </c>
      <c r="F462" t="str">
        <f t="shared" si="196"/>
        <v>IBG</v>
      </c>
      <c r="G462" t="str">
        <f t="shared" si="181"/>
        <v>Refund IDSB 19</v>
      </c>
      <c r="H462" s="2">
        <v>114</v>
      </c>
      <c r="I462" t="str">
        <f>"SALWA BINTI SARIF"</f>
        <v>SALWA BINTI SARIF</v>
      </c>
      <c r="J462" t="str">
        <f t="shared" si="187"/>
        <v>CIMB BANK / CIMB ISLAMIC BANK</v>
      </c>
      <c r="K462" t="str">
        <f>"05020693347524"</f>
        <v>05020693347524</v>
      </c>
      <c r="L462" t="str">
        <f t="shared" si="190"/>
        <v>04-08-2020</v>
      </c>
      <c r="M462" t="str">
        <f t="shared" si="190"/>
        <v>04-08-2020</v>
      </c>
      <c r="N462" t="str">
        <f t="shared" si="197"/>
        <v>001105018356</v>
      </c>
      <c r="O462" t="str">
        <f t="shared" si="198"/>
        <v>MYR</v>
      </c>
      <c r="P462" t="str">
        <f t="shared" si="191"/>
        <v>NIL</v>
      </c>
      <c r="Q462" t="str">
        <f t="shared" si="191"/>
        <v>NIL</v>
      </c>
      <c r="R462" t="str">
        <f t="shared" si="199"/>
        <v>Accepted</v>
      </c>
      <c r="S462" t="str">
        <f t="shared" si="200"/>
        <v>Approved</v>
      </c>
      <c r="T462" t="str">
        <f t="shared" si="201"/>
        <v>10.20.8.188</v>
      </c>
      <c r="U462" t="str">
        <f t="shared" si="202"/>
        <v>AZRAD UMAR BIN SHAARI</v>
      </c>
      <c r="V462" t="str">
        <f t="shared" si="203"/>
        <v>FARHANA BINTI MUSTAPA</v>
      </c>
      <c r="W462" t="str">
        <f t="shared" si="204"/>
        <v>04-08-2020</v>
      </c>
      <c r="X462" t="str">
        <f t="shared" si="205"/>
        <v>RAZIMAH ANSAR AHMAD</v>
      </c>
      <c r="Y462" t="str">
        <f t="shared" si="206"/>
        <v>04-08-2020</v>
      </c>
      <c r="Z462" t="str">
        <f>"IDSB19200804 190"</f>
        <v>IDSB19200804 190</v>
      </c>
    </row>
    <row r="463" spans="1:26" x14ac:dyDescent="0.25">
      <c r="A463" t="str">
        <f t="shared" si="192"/>
        <v>04-08-2020 01:20:32</v>
      </c>
      <c r="B463" t="str">
        <f>"0000810500"</f>
        <v>0000810500</v>
      </c>
      <c r="C463" t="str">
        <f t="shared" si="193"/>
        <v>0000810311</v>
      </c>
      <c r="D463" t="str">
        <f t="shared" si="194"/>
        <v>73185</v>
      </c>
      <c r="E463" t="str">
        <f t="shared" si="195"/>
        <v>KFH-OPERATIONS DEPARTMENT</v>
      </c>
      <c r="F463" t="str">
        <f t="shared" si="196"/>
        <v>IBG</v>
      </c>
      <c r="G463" t="str">
        <f t="shared" si="181"/>
        <v>Refund IDSB 19</v>
      </c>
      <c r="H463" s="2">
        <v>865</v>
      </c>
      <c r="I463" t="str">
        <f>"SAHANA BINTI HASHIM"</f>
        <v>SAHANA BINTI HASHIM</v>
      </c>
      <c r="J463" t="str">
        <f t="shared" si="187"/>
        <v>CIMB BANK / CIMB ISLAMIC BANK</v>
      </c>
      <c r="K463" t="str">
        <f>"12380004897209"</f>
        <v>12380004897209</v>
      </c>
      <c r="L463" t="str">
        <f t="shared" si="190"/>
        <v>04-08-2020</v>
      </c>
      <c r="M463" t="str">
        <f t="shared" si="190"/>
        <v>04-08-2020</v>
      </c>
      <c r="N463" t="str">
        <f t="shared" si="197"/>
        <v>001105018356</v>
      </c>
      <c r="O463" t="str">
        <f t="shared" si="198"/>
        <v>MYR</v>
      </c>
      <c r="P463" t="str">
        <f t="shared" si="191"/>
        <v>NIL</v>
      </c>
      <c r="Q463" t="str">
        <f t="shared" si="191"/>
        <v>NIL</v>
      </c>
      <c r="R463" t="str">
        <f t="shared" si="199"/>
        <v>Accepted</v>
      </c>
      <c r="S463" t="str">
        <f t="shared" si="200"/>
        <v>Approved</v>
      </c>
      <c r="T463" t="str">
        <f t="shared" si="201"/>
        <v>10.20.8.188</v>
      </c>
      <c r="U463" t="str">
        <f t="shared" si="202"/>
        <v>AZRAD UMAR BIN SHAARI</v>
      </c>
      <c r="V463" t="str">
        <f t="shared" si="203"/>
        <v>FARHANA BINTI MUSTAPA</v>
      </c>
      <c r="W463" t="str">
        <f t="shared" si="204"/>
        <v>04-08-2020</v>
      </c>
      <c r="X463" t="str">
        <f t="shared" si="205"/>
        <v>RAZIMAH ANSAR AHMAD</v>
      </c>
      <c r="Y463" t="str">
        <f t="shared" si="206"/>
        <v>04-08-2020</v>
      </c>
      <c r="Z463" t="str">
        <f>"IDSB19200804 189"</f>
        <v>IDSB19200804 189</v>
      </c>
    </row>
    <row r="464" spans="1:26" x14ac:dyDescent="0.25">
      <c r="A464" t="str">
        <f t="shared" si="192"/>
        <v>04-08-2020 01:20:32</v>
      </c>
      <c r="B464" t="str">
        <f>"0000810499"</f>
        <v>0000810499</v>
      </c>
      <c r="C464" t="str">
        <f t="shared" si="193"/>
        <v>0000810311</v>
      </c>
      <c r="D464" t="str">
        <f t="shared" si="194"/>
        <v>73185</v>
      </c>
      <c r="E464" t="str">
        <f t="shared" si="195"/>
        <v>KFH-OPERATIONS DEPARTMENT</v>
      </c>
      <c r="F464" t="str">
        <f t="shared" si="196"/>
        <v>IBG</v>
      </c>
      <c r="G464" t="str">
        <f t="shared" si="181"/>
        <v>Refund IDSB 19</v>
      </c>
      <c r="H464" s="2">
        <v>1674</v>
      </c>
      <c r="I464" t="str">
        <f>"RUSLAN BIN MD YUSOP"</f>
        <v>RUSLAN BIN MD YUSOP</v>
      </c>
      <c r="J464" t="str">
        <f t="shared" si="187"/>
        <v>CIMB BANK / CIMB ISLAMIC BANK</v>
      </c>
      <c r="K464" t="str">
        <f>"12180016327522"</f>
        <v>12180016327522</v>
      </c>
      <c r="L464" t="str">
        <f t="shared" si="190"/>
        <v>04-08-2020</v>
      </c>
      <c r="M464" t="str">
        <f t="shared" si="190"/>
        <v>04-08-2020</v>
      </c>
      <c r="N464" t="str">
        <f t="shared" si="197"/>
        <v>001105018356</v>
      </c>
      <c r="O464" t="str">
        <f t="shared" si="198"/>
        <v>MYR</v>
      </c>
      <c r="P464" t="str">
        <f t="shared" si="191"/>
        <v>NIL</v>
      </c>
      <c r="Q464" t="str">
        <f t="shared" si="191"/>
        <v>NIL</v>
      </c>
      <c r="R464" t="str">
        <f t="shared" si="199"/>
        <v>Accepted</v>
      </c>
      <c r="S464" t="str">
        <f t="shared" si="200"/>
        <v>Approved</v>
      </c>
      <c r="T464" t="str">
        <f t="shared" si="201"/>
        <v>10.20.8.188</v>
      </c>
      <c r="U464" t="str">
        <f t="shared" si="202"/>
        <v>AZRAD UMAR BIN SHAARI</v>
      </c>
      <c r="V464" t="str">
        <f t="shared" si="203"/>
        <v>FARHANA BINTI MUSTAPA</v>
      </c>
      <c r="W464" t="str">
        <f t="shared" si="204"/>
        <v>04-08-2020</v>
      </c>
      <c r="X464" t="str">
        <f t="shared" si="205"/>
        <v>RAZIMAH ANSAR AHMAD</v>
      </c>
      <c r="Y464" t="str">
        <f t="shared" si="206"/>
        <v>04-08-2020</v>
      </c>
      <c r="Z464" t="str">
        <f>"IDSB19200804 188"</f>
        <v>IDSB19200804 188</v>
      </c>
    </row>
    <row r="465" spans="1:26" x14ac:dyDescent="0.25">
      <c r="A465" t="str">
        <f t="shared" si="192"/>
        <v>04-08-2020 01:20:32</v>
      </c>
      <c r="B465" t="str">
        <f>"0000810498"</f>
        <v>0000810498</v>
      </c>
      <c r="C465" t="str">
        <f t="shared" si="193"/>
        <v>0000810311</v>
      </c>
      <c r="D465" t="str">
        <f t="shared" si="194"/>
        <v>73185</v>
      </c>
      <c r="E465" t="str">
        <f t="shared" si="195"/>
        <v>KFH-OPERATIONS DEPARTMENT</v>
      </c>
      <c r="F465" t="str">
        <f t="shared" si="196"/>
        <v>IBG</v>
      </c>
      <c r="G465" t="str">
        <f t="shared" si="181"/>
        <v>Refund IDSB 19</v>
      </c>
      <c r="H465" s="2">
        <v>1015.4</v>
      </c>
      <c r="I465" t="str">
        <f>"ROZILA BINTI JAFFAR"</f>
        <v>ROZILA BINTI JAFFAR</v>
      </c>
      <c r="J465" t="str">
        <f t="shared" si="187"/>
        <v>CIMB BANK / CIMB ISLAMIC BANK</v>
      </c>
      <c r="K465" t="str">
        <f>"14230018394521"</f>
        <v>14230018394521</v>
      </c>
      <c r="L465" t="str">
        <f t="shared" si="190"/>
        <v>04-08-2020</v>
      </c>
      <c r="M465" t="str">
        <f t="shared" si="190"/>
        <v>04-08-2020</v>
      </c>
      <c r="N465" t="str">
        <f t="shared" si="197"/>
        <v>001105018356</v>
      </c>
      <c r="O465" t="str">
        <f t="shared" si="198"/>
        <v>MYR</v>
      </c>
      <c r="P465" t="str">
        <f t="shared" si="191"/>
        <v>NIL</v>
      </c>
      <c r="Q465" t="str">
        <f t="shared" si="191"/>
        <v>NIL</v>
      </c>
      <c r="R465" t="str">
        <f t="shared" si="199"/>
        <v>Accepted</v>
      </c>
      <c r="S465" t="str">
        <f t="shared" si="200"/>
        <v>Approved</v>
      </c>
      <c r="T465" t="str">
        <f t="shared" si="201"/>
        <v>10.20.8.188</v>
      </c>
      <c r="U465" t="str">
        <f t="shared" si="202"/>
        <v>AZRAD UMAR BIN SHAARI</v>
      </c>
      <c r="V465" t="str">
        <f t="shared" si="203"/>
        <v>FARHANA BINTI MUSTAPA</v>
      </c>
      <c r="W465" t="str">
        <f t="shared" si="204"/>
        <v>04-08-2020</v>
      </c>
      <c r="X465" t="str">
        <f t="shared" si="205"/>
        <v>RAZIMAH ANSAR AHMAD</v>
      </c>
      <c r="Y465" t="str">
        <f t="shared" si="206"/>
        <v>04-08-2020</v>
      </c>
      <c r="Z465" t="str">
        <f>"IDSB19200804 187"</f>
        <v>IDSB19200804 187</v>
      </c>
    </row>
    <row r="466" spans="1:26" x14ac:dyDescent="0.25">
      <c r="A466" t="str">
        <f t="shared" si="192"/>
        <v>04-08-2020 01:20:32</v>
      </c>
      <c r="B466" t="str">
        <f>"0000810497"</f>
        <v>0000810497</v>
      </c>
      <c r="C466" t="str">
        <f t="shared" si="193"/>
        <v>0000810311</v>
      </c>
      <c r="D466" t="str">
        <f t="shared" si="194"/>
        <v>73185</v>
      </c>
      <c r="E466" t="str">
        <f t="shared" si="195"/>
        <v>KFH-OPERATIONS DEPARTMENT</v>
      </c>
      <c r="F466" t="str">
        <f t="shared" si="196"/>
        <v>IBG</v>
      </c>
      <c r="G466" t="str">
        <f t="shared" si="181"/>
        <v>Refund IDSB 19</v>
      </c>
      <c r="H466" s="2">
        <v>532</v>
      </c>
      <c r="I466" t="str">
        <f>"ROSMIZAM BIN ABDUL KADIR"</f>
        <v>ROSMIZAM BIN ABDUL KADIR</v>
      </c>
      <c r="J466" t="str">
        <f t="shared" si="187"/>
        <v>CIMB BANK / CIMB ISLAMIC BANK</v>
      </c>
      <c r="K466" t="str">
        <f>"02010001750200"</f>
        <v>02010001750200</v>
      </c>
      <c r="L466" t="str">
        <f t="shared" si="190"/>
        <v>04-08-2020</v>
      </c>
      <c r="M466" t="str">
        <f t="shared" si="190"/>
        <v>04-08-2020</v>
      </c>
      <c r="N466" t="str">
        <f t="shared" si="197"/>
        <v>001105018356</v>
      </c>
      <c r="O466" t="str">
        <f t="shared" si="198"/>
        <v>MYR</v>
      </c>
      <c r="P466" t="str">
        <f t="shared" si="191"/>
        <v>NIL</v>
      </c>
      <c r="Q466" t="str">
        <f t="shared" si="191"/>
        <v>NIL</v>
      </c>
      <c r="R466" t="str">
        <f t="shared" si="199"/>
        <v>Accepted</v>
      </c>
      <c r="S466" t="str">
        <f t="shared" si="200"/>
        <v>Approved</v>
      </c>
      <c r="T466" t="str">
        <f t="shared" si="201"/>
        <v>10.20.8.188</v>
      </c>
      <c r="U466" t="str">
        <f t="shared" si="202"/>
        <v>AZRAD UMAR BIN SHAARI</v>
      </c>
      <c r="V466" t="str">
        <f t="shared" si="203"/>
        <v>FARHANA BINTI MUSTAPA</v>
      </c>
      <c r="W466" t="str">
        <f t="shared" si="204"/>
        <v>04-08-2020</v>
      </c>
      <c r="X466" t="str">
        <f t="shared" si="205"/>
        <v>RAZIMAH ANSAR AHMAD</v>
      </c>
      <c r="Y466" t="str">
        <f t="shared" si="206"/>
        <v>04-08-2020</v>
      </c>
      <c r="Z466" t="str">
        <f>"IDSB19200804 186"</f>
        <v>IDSB19200804 186</v>
      </c>
    </row>
    <row r="467" spans="1:26" x14ac:dyDescent="0.25">
      <c r="A467" t="str">
        <f t="shared" si="192"/>
        <v>04-08-2020 01:20:32</v>
      </c>
      <c r="B467" t="str">
        <f>"0000810496"</f>
        <v>0000810496</v>
      </c>
      <c r="C467" t="str">
        <f t="shared" si="193"/>
        <v>0000810311</v>
      </c>
      <c r="D467" t="str">
        <f t="shared" si="194"/>
        <v>73185</v>
      </c>
      <c r="E467" t="str">
        <f t="shared" si="195"/>
        <v>KFH-OPERATIONS DEPARTMENT</v>
      </c>
      <c r="F467" t="str">
        <f t="shared" si="196"/>
        <v>IBG</v>
      </c>
      <c r="G467" t="str">
        <f t="shared" si="181"/>
        <v>Refund IDSB 19</v>
      </c>
      <c r="H467" s="2">
        <v>321.07</v>
      </c>
      <c r="I467" t="str">
        <f>"ROSMINA BINTI AHMAD"</f>
        <v>ROSMINA BINTI AHMAD</v>
      </c>
      <c r="J467" t="str">
        <f t="shared" si="187"/>
        <v>CIMB BANK / CIMB ISLAMIC BANK</v>
      </c>
      <c r="K467" t="str">
        <f>"01070069484525"</f>
        <v>01070069484525</v>
      </c>
      <c r="L467" t="str">
        <f t="shared" ref="L467:M486" si="207">"04-08-2020"</f>
        <v>04-08-2020</v>
      </c>
      <c r="M467" t="str">
        <f t="shared" si="207"/>
        <v>04-08-2020</v>
      </c>
      <c r="N467" t="str">
        <f t="shared" si="197"/>
        <v>001105018356</v>
      </c>
      <c r="O467" t="str">
        <f t="shared" si="198"/>
        <v>MYR</v>
      </c>
      <c r="P467" t="str">
        <f t="shared" ref="P467:Q486" si="208">"NIL"</f>
        <v>NIL</v>
      </c>
      <c r="Q467" t="str">
        <f t="shared" si="208"/>
        <v>NIL</v>
      </c>
      <c r="R467" t="str">
        <f t="shared" si="199"/>
        <v>Accepted</v>
      </c>
      <c r="S467" t="str">
        <f t="shared" si="200"/>
        <v>Approved</v>
      </c>
      <c r="T467" t="str">
        <f t="shared" si="201"/>
        <v>10.20.8.188</v>
      </c>
      <c r="U467" t="str">
        <f t="shared" si="202"/>
        <v>AZRAD UMAR BIN SHAARI</v>
      </c>
      <c r="V467" t="str">
        <f t="shared" si="203"/>
        <v>FARHANA BINTI MUSTAPA</v>
      </c>
      <c r="W467" t="str">
        <f t="shared" si="204"/>
        <v>04-08-2020</v>
      </c>
      <c r="X467" t="str">
        <f t="shared" si="205"/>
        <v>RAZIMAH ANSAR AHMAD</v>
      </c>
      <c r="Y467" t="str">
        <f t="shared" si="206"/>
        <v>04-08-2020</v>
      </c>
      <c r="Z467" t="str">
        <f>"IDSB19200804 185"</f>
        <v>IDSB19200804 185</v>
      </c>
    </row>
    <row r="468" spans="1:26" x14ac:dyDescent="0.25">
      <c r="A468" t="str">
        <f t="shared" si="192"/>
        <v>04-08-2020 01:20:32</v>
      </c>
      <c r="B468" t="str">
        <f>"0000810495"</f>
        <v>0000810495</v>
      </c>
      <c r="C468" t="str">
        <f t="shared" si="193"/>
        <v>0000810311</v>
      </c>
      <c r="D468" t="str">
        <f t="shared" si="194"/>
        <v>73185</v>
      </c>
      <c r="E468" t="str">
        <f t="shared" si="195"/>
        <v>KFH-OPERATIONS DEPARTMENT</v>
      </c>
      <c r="F468" t="str">
        <f t="shared" si="196"/>
        <v>IBG</v>
      </c>
      <c r="G468" t="str">
        <f t="shared" si="181"/>
        <v>Refund IDSB 19</v>
      </c>
      <c r="H468" s="2">
        <v>569</v>
      </c>
      <c r="I468" t="str">
        <f>"RAIHAN BINTI MOHD YUSOF"</f>
        <v>RAIHAN BINTI MOHD YUSOF</v>
      </c>
      <c r="J468" t="str">
        <f t="shared" si="187"/>
        <v>CIMB BANK / CIMB ISLAMIC BANK</v>
      </c>
      <c r="K468" t="str">
        <f>"01150068357524"</f>
        <v>01150068357524</v>
      </c>
      <c r="L468" t="str">
        <f t="shared" si="207"/>
        <v>04-08-2020</v>
      </c>
      <c r="M468" t="str">
        <f t="shared" si="207"/>
        <v>04-08-2020</v>
      </c>
      <c r="N468" t="str">
        <f t="shared" si="197"/>
        <v>001105018356</v>
      </c>
      <c r="O468" t="str">
        <f t="shared" si="198"/>
        <v>MYR</v>
      </c>
      <c r="P468" t="str">
        <f t="shared" si="208"/>
        <v>NIL</v>
      </c>
      <c r="Q468" t="str">
        <f t="shared" si="208"/>
        <v>NIL</v>
      </c>
      <c r="R468" t="str">
        <f t="shared" si="199"/>
        <v>Accepted</v>
      </c>
      <c r="S468" t="str">
        <f t="shared" si="200"/>
        <v>Approved</v>
      </c>
      <c r="T468" t="str">
        <f t="shared" si="201"/>
        <v>10.20.8.188</v>
      </c>
      <c r="U468" t="str">
        <f t="shared" si="202"/>
        <v>AZRAD UMAR BIN SHAARI</v>
      </c>
      <c r="V468" t="str">
        <f t="shared" si="203"/>
        <v>FARHANA BINTI MUSTAPA</v>
      </c>
      <c r="W468" t="str">
        <f t="shared" si="204"/>
        <v>04-08-2020</v>
      </c>
      <c r="X468" t="str">
        <f t="shared" si="205"/>
        <v>RAZIMAH ANSAR AHMAD</v>
      </c>
      <c r="Y468" t="str">
        <f t="shared" si="206"/>
        <v>04-08-2020</v>
      </c>
      <c r="Z468" t="str">
        <f>"IDSB19200804 184"</f>
        <v>IDSB19200804 184</v>
      </c>
    </row>
    <row r="469" spans="1:26" x14ac:dyDescent="0.25">
      <c r="A469" t="str">
        <f t="shared" si="192"/>
        <v>04-08-2020 01:20:32</v>
      </c>
      <c r="B469" t="str">
        <f>"0000810494"</f>
        <v>0000810494</v>
      </c>
      <c r="C469" t="str">
        <f t="shared" si="193"/>
        <v>0000810311</v>
      </c>
      <c r="D469" t="str">
        <f t="shared" si="194"/>
        <v>73185</v>
      </c>
      <c r="E469" t="str">
        <f t="shared" si="195"/>
        <v>KFH-OPERATIONS DEPARTMENT</v>
      </c>
      <c r="F469" t="str">
        <f t="shared" si="196"/>
        <v>IBG</v>
      </c>
      <c r="G469" t="str">
        <f t="shared" si="181"/>
        <v>Refund IDSB 19</v>
      </c>
      <c r="H469" s="2">
        <v>630</v>
      </c>
      <c r="I469" t="str">
        <f>"RABIEI BIN MAMAT"</f>
        <v>RABIEI BIN MAMAT</v>
      </c>
      <c r="J469" t="str">
        <f t="shared" ref="J469:J500" si="209">"CIMB BANK / CIMB ISLAMIC BANK"</f>
        <v>CIMB BANK / CIMB ISLAMIC BANK</v>
      </c>
      <c r="K469" t="str">
        <f>"13020054560521"</f>
        <v>13020054560521</v>
      </c>
      <c r="L469" t="str">
        <f t="shared" si="207"/>
        <v>04-08-2020</v>
      </c>
      <c r="M469" t="str">
        <f t="shared" si="207"/>
        <v>04-08-2020</v>
      </c>
      <c r="N469" t="str">
        <f t="shared" si="197"/>
        <v>001105018356</v>
      </c>
      <c r="O469" t="str">
        <f t="shared" si="198"/>
        <v>MYR</v>
      </c>
      <c r="P469" t="str">
        <f t="shared" si="208"/>
        <v>NIL</v>
      </c>
      <c r="Q469" t="str">
        <f t="shared" si="208"/>
        <v>NIL</v>
      </c>
      <c r="R469" t="str">
        <f t="shared" si="199"/>
        <v>Accepted</v>
      </c>
      <c r="S469" t="str">
        <f t="shared" si="200"/>
        <v>Approved</v>
      </c>
      <c r="T469" t="str">
        <f t="shared" si="201"/>
        <v>10.20.8.188</v>
      </c>
      <c r="U469" t="str">
        <f t="shared" si="202"/>
        <v>AZRAD UMAR BIN SHAARI</v>
      </c>
      <c r="V469" t="str">
        <f t="shared" si="203"/>
        <v>FARHANA BINTI MUSTAPA</v>
      </c>
      <c r="W469" t="str">
        <f t="shared" si="204"/>
        <v>04-08-2020</v>
      </c>
      <c r="X469" t="str">
        <f t="shared" si="205"/>
        <v>RAZIMAH ANSAR AHMAD</v>
      </c>
      <c r="Y469" t="str">
        <f t="shared" si="206"/>
        <v>04-08-2020</v>
      </c>
      <c r="Z469" t="str">
        <f>"IDSB19200804 183"</f>
        <v>IDSB19200804 183</v>
      </c>
    </row>
    <row r="470" spans="1:26" x14ac:dyDescent="0.25">
      <c r="A470" t="str">
        <f t="shared" si="192"/>
        <v>04-08-2020 01:20:32</v>
      </c>
      <c r="B470" t="str">
        <f>"0000810493"</f>
        <v>0000810493</v>
      </c>
      <c r="C470" t="str">
        <f t="shared" si="193"/>
        <v>0000810311</v>
      </c>
      <c r="D470" t="str">
        <f t="shared" si="194"/>
        <v>73185</v>
      </c>
      <c r="E470" t="str">
        <f t="shared" si="195"/>
        <v>KFH-OPERATIONS DEPARTMENT</v>
      </c>
      <c r="F470" t="str">
        <f t="shared" si="196"/>
        <v>IBG</v>
      </c>
      <c r="G470" t="str">
        <f t="shared" si="181"/>
        <v>Refund IDSB 19</v>
      </c>
      <c r="H470" s="2">
        <v>335.67</v>
      </c>
      <c r="I470" t="str">
        <f>"NURUL IZMA BINTI MAT YASIN"</f>
        <v>NURUL IZMA BINTI MAT YASIN</v>
      </c>
      <c r="J470" t="str">
        <f t="shared" si="209"/>
        <v>CIMB BANK / CIMB ISLAMIC BANK</v>
      </c>
      <c r="K470" t="str">
        <f>"7006026512"</f>
        <v>7006026512</v>
      </c>
      <c r="L470" t="str">
        <f t="shared" si="207"/>
        <v>04-08-2020</v>
      </c>
      <c r="M470" t="str">
        <f t="shared" si="207"/>
        <v>04-08-2020</v>
      </c>
      <c r="N470" t="str">
        <f t="shared" si="197"/>
        <v>001105018356</v>
      </c>
      <c r="O470" t="str">
        <f t="shared" si="198"/>
        <v>MYR</v>
      </c>
      <c r="P470" t="str">
        <f t="shared" si="208"/>
        <v>NIL</v>
      </c>
      <c r="Q470" t="str">
        <f t="shared" si="208"/>
        <v>NIL</v>
      </c>
      <c r="R470" t="str">
        <f t="shared" si="199"/>
        <v>Accepted</v>
      </c>
      <c r="S470" t="str">
        <f t="shared" si="200"/>
        <v>Approved</v>
      </c>
      <c r="T470" t="str">
        <f t="shared" si="201"/>
        <v>10.20.8.188</v>
      </c>
      <c r="U470" t="str">
        <f t="shared" si="202"/>
        <v>AZRAD UMAR BIN SHAARI</v>
      </c>
      <c r="V470" t="str">
        <f t="shared" si="203"/>
        <v>FARHANA BINTI MUSTAPA</v>
      </c>
      <c r="W470" t="str">
        <f t="shared" si="204"/>
        <v>04-08-2020</v>
      </c>
      <c r="X470" t="str">
        <f t="shared" si="205"/>
        <v>RAZIMAH ANSAR AHMAD</v>
      </c>
      <c r="Y470" t="str">
        <f t="shared" si="206"/>
        <v>04-08-2020</v>
      </c>
      <c r="Z470" t="str">
        <f>"IDSB19200804 182"</f>
        <v>IDSB19200804 182</v>
      </c>
    </row>
    <row r="471" spans="1:26" x14ac:dyDescent="0.25">
      <c r="A471" t="str">
        <f t="shared" si="192"/>
        <v>04-08-2020 01:20:32</v>
      </c>
      <c r="B471" t="str">
        <f>"0000810492"</f>
        <v>0000810492</v>
      </c>
      <c r="C471" t="str">
        <f t="shared" si="193"/>
        <v>0000810311</v>
      </c>
      <c r="D471" t="str">
        <f t="shared" si="194"/>
        <v>73185</v>
      </c>
      <c r="E471" t="str">
        <f t="shared" si="195"/>
        <v>KFH-OPERATIONS DEPARTMENT</v>
      </c>
      <c r="F471" t="str">
        <f t="shared" si="196"/>
        <v>IBG</v>
      </c>
      <c r="G471" t="str">
        <f t="shared" si="181"/>
        <v>Refund IDSB 19</v>
      </c>
      <c r="H471" s="2">
        <v>1007.4</v>
      </c>
      <c r="I471" t="str">
        <f>"NURUL ASYIKIN BINTI NORIDIN"</f>
        <v>NURUL ASYIKIN BINTI NORIDIN</v>
      </c>
      <c r="J471" t="str">
        <f t="shared" si="209"/>
        <v>CIMB BANK / CIMB ISLAMIC BANK</v>
      </c>
      <c r="K471" t="str">
        <f>"12290079510524"</f>
        <v>12290079510524</v>
      </c>
      <c r="L471" t="str">
        <f t="shared" si="207"/>
        <v>04-08-2020</v>
      </c>
      <c r="M471" t="str">
        <f t="shared" si="207"/>
        <v>04-08-2020</v>
      </c>
      <c r="N471" t="str">
        <f t="shared" si="197"/>
        <v>001105018356</v>
      </c>
      <c r="O471" t="str">
        <f t="shared" si="198"/>
        <v>MYR</v>
      </c>
      <c r="P471" t="str">
        <f t="shared" si="208"/>
        <v>NIL</v>
      </c>
      <c r="Q471" t="str">
        <f t="shared" si="208"/>
        <v>NIL</v>
      </c>
      <c r="R471" t="str">
        <f t="shared" si="199"/>
        <v>Accepted</v>
      </c>
      <c r="S471" t="str">
        <f t="shared" si="200"/>
        <v>Approved</v>
      </c>
      <c r="T471" t="str">
        <f t="shared" si="201"/>
        <v>10.20.8.188</v>
      </c>
      <c r="U471" t="str">
        <f t="shared" si="202"/>
        <v>AZRAD UMAR BIN SHAARI</v>
      </c>
      <c r="V471" t="str">
        <f t="shared" si="203"/>
        <v>FARHANA BINTI MUSTAPA</v>
      </c>
      <c r="W471" t="str">
        <f t="shared" si="204"/>
        <v>04-08-2020</v>
      </c>
      <c r="X471" t="str">
        <f t="shared" si="205"/>
        <v>RAZIMAH ANSAR AHMAD</v>
      </c>
      <c r="Y471" t="str">
        <f t="shared" si="206"/>
        <v>04-08-2020</v>
      </c>
      <c r="Z471" t="str">
        <f>"IDSB19200804 181"</f>
        <v>IDSB19200804 181</v>
      </c>
    </row>
    <row r="472" spans="1:26" x14ac:dyDescent="0.25">
      <c r="A472" t="str">
        <f t="shared" si="192"/>
        <v>04-08-2020 01:20:32</v>
      </c>
      <c r="B472" t="str">
        <f>"0000810491"</f>
        <v>0000810491</v>
      </c>
      <c r="C472" t="str">
        <f t="shared" si="193"/>
        <v>0000810311</v>
      </c>
      <c r="D472" t="str">
        <f t="shared" si="194"/>
        <v>73185</v>
      </c>
      <c r="E472" t="str">
        <f t="shared" si="195"/>
        <v>KFH-OPERATIONS DEPARTMENT</v>
      </c>
      <c r="F472" t="str">
        <f t="shared" si="196"/>
        <v>IBG</v>
      </c>
      <c r="G472" t="str">
        <f t="shared" ref="G472:G535" si="210">"Refund IDSB 19"</f>
        <v>Refund IDSB 19</v>
      </c>
      <c r="H472" s="2">
        <v>789.15</v>
      </c>
      <c r="I472" t="str">
        <f>"NURHASLINDA BINTI BAHARUDDIN"</f>
        <v>NURHASLINDA BINTI BAHARUDDIN</v>
      </c>
      <c r="J472" t="str">
        <f t="shared" si="209"/>
        <v>CIMB BANK / CIMB ISLAMIC BANK</v>
      </c>
      <c r="K472" t="str">
        <f>"12530072118528"</f>
        <v>12530072118528</v>
      </c>
      <c r="L472" t="str">
        <f t="shared" si="207"/>
        <v>04-08-2020</v>
      </c>
      <c r="M472" t="str">
        <f t="shared" si="207"/>
        <v>04-08-2020</v>
      </c>
      <c r="N472" t="str">
        <f t="shared" si="197"/>
        <v>001105018356</v>
      </c>
      <c r="O472" t="str">
        <f t="shared" si="198"/>
        <v>MYR</v>
      </c>
      <c r="P472" t="str">
        <f t="shared" si="208"/>
        <v>NIL</v>
      </c>
      <c r="Q472" t="str">
        <f t="shared" si="208"/>
        <v>NIL</v>
      </c>
      <c r="R472" t="str">
        <f t="shared" si="199"/>
        <v>Accepted</v>
      </c>
      <c r="S472" t="str">
        <f t="shared" si="200"/>
        <v>Approved</v>
      </c>
      <c r="T472" t="str">
        <f t="shared" si="201"/>
        <v>10.20.8.188</v>
      </c>
      <c r="U472" t="str">
        <f t="shared" si="202"/>
        <v>AZRAD UMAR BIN SHAARI</v>
      </c>
      <c r="V472" t="str">
        <f t="shared" si="203"/>
        <v>FARHANA BINTI MUSTAPA</v>
      </c>
      <c r="W472" t="str">
        <f t="shared" si="204"/>
        <v>04-08-2020</v>
      </c>
      <c r="X472" t="str">
        <f t="shared" si="205"/>
        <v>RAZIMAH ANSAR AHMAD</v>
      </c>
      <c r="Y472" t="str">
        <f t="shared" si="206"/>
        <v>04-08-2020</v>
      </c>
      <c r="Z472" t="str">
        <f>"IDSB19200804 180"</f>
        <v>IDSB19200804 180</v>
      </c>
    </row>
    <row r="473" spans="1:26" x14ac:dyDescent="0.25">
      <c r="A473" t="str">
        <f t="shared" si="192"/>
        <v>04-08-2020 01:20:32</v>
      </c>
      <c r="B473" t="str">
        <f>"0000810490"</f>
        <v>0000810490</v>
      </c>
      <c r="C473" t="str">
        <f t="shared" si="193"/>
        <v>0000810311</v>
      </c>
      <c r="D473" t="str">
        <f t="shared" si="194"/>
        <v>73185</v>
      </c>
      <c r="E473" t="str">
        <f t="shared" si="195"/>
        <v>KFH-OPERATIONS DEPARTMENT</v>
      </c>
      <c r="F473" t="str">
        <f t="shared" si="196"/>
        <v>IBG</v>
      </c>
      <c r="G473" t="str">
        <f t="shared" si="210"/>
        <v>Refund IDSB 19</v>
      </c>
      <c r="H473" s="2">
        <v>763.95</v>
      </c>
      <c r="I473" t="str">
        <f>"NUR SYAFINAZ BINTI OTHMAN"</f>
        <v>NUR SYAFINAZ BINTI OTHMAN</v>
      </c>
      <c r="J473" t="str">
        <f t="shared" si="209"/>
        <v>CIMB BANK / CIMB ISLAMIC BANK</v>
      </c>
      <c r="K473" t="str">
        <f>"02130075408527"</f>
        <v>02130075408527</v>
      </c>
      <c r="L473" t="str">
        <f t="shared" si="207"/>
        <v>04-08-2020</v>
      </c>
      <c r="M473" t="str">
        <f t="shared" si="207"/>
        <v>04-08-2020</v>
      </c>
      <c r="N473" t="str">
        <f t="shared" si="197"/>
        <v>001105018356</v>
      </c>
      <c r="O473" t="str">
        <f t="shared" si="198"/>
        <v>MYR</v>
      </c>
      <c r="P473" t="str">
        <f t="shared" si="208"/>
        <v>NIL</v>
      </c>
      <c r="Q473" t="str">
        <f t="shared" si="208"/>
        <v>NIL</v>
      </c>
      <c r="R473" t="str">
        <f t="shared" si="199"/>
        <v>Accepted</v>
      </c>
      <c r="S473" t="str">
        <f t="shared" si="200"/>
        <v>Approved</v>
      </c>
      <c r="T473" t="str">
        <f t="shared" si="201"/>
        <v>10.20.8.188</v>
      </c>
      <c r="U473" t="str">
        <f t="shared" si="202"/>
        <v>AZRAD UMAR BIN SHAARI</v>
      </c>
      <c r="V473" t="str">
        <f t="shared" si="203"/>
        <v>FARHANA BINTI MUSTAPA</v>
      </c>
      <c r="W473" t="str">
        <f t="shared" si="204"/>
        <v>04-08-2020</v>
      </c>
      <c r="X473" t="str">
        <f t="shared" si="205"/>
        <v>RAZIMAH ANSAR AHMAD</v>
      </c>
      <c r="Y473" t="str">
        <f t="shared" si="206"/>
        <v>04-08-2020</v>
      </c>
      <c r="Z473" t="str">
        <f>"IDSB19200804 179"</f>
        <v>IDSB19200804 179</v>
      </c>
    </row>
    <row r="474" spans="1:26" x14ac:dyDescent="0.25">
      <c r="A474" t="str">
        <f t="shared" si="192"/>
        <v>04-08-2020 01:20:32</v>
      </c>
      <c r="B474" t="str">
        <f>"0000810489"</f>
        <v>0000810489</v>
      </c>
      <c r="C474" t="str">
        <f t="shared" si="193"/>
        <v>0000810311</v>
      </c>
      <c r="D474" t="str">
        <f t="shared" si="194"/>
        <v>73185</v>
      </c>
      <c r="E474" t="str">
        <f t="shared" si="195"/>
        <v>KFH-OPERATIONS DEPARTMENT</v>
      </c>
      <c r="F474" t="str">
        <f t="shared" si="196"/>
        <v>IBG</v>
      </c>
      <c r="G474" t="str">
        <f t="shared" si="210"/>
        <v>Refund IDSB 19</v>
      </c>
      <c r="H474" s="2">
        <v>167.83</v>
      </c>
      <c r="I474" t="str">
        <f>"NUR ELLIANA BINTI ZAINAL ABIDIN"</f>
        <v>NUR ELLIANA BINTI ZAINAL ABIDIN</v>
      </c>
      <c r="J474" t="str">
        <f t="shared" si="209"/>
        <v>CIMB BANK / CIMB ISLAMIC BANK</v>
      </c>
      <c r="K474" t="str">
        <f>"12051396776520"</f>
        <v>12051396776520</v>
      </c>
      <c r="L474" t="str">
        <f t="shared" si="207"/>
        <v>04-08-2020</v>
      </c>
      <c r="M474" t="str">
        <f t="shared" si="207"/>
        <v>04-08-2020</v>
      </c>
      <c r="N474" t="str">
        <f t="shared" si="197"/>
        <v>001105018356</v>
      </c>
      <c r="O474" t="str">
        <f t="shared" si="198"/>
        <v>MYR</v>
      </c>
      <c r="P474" t="str">
        <f t="shared" si="208"/>
        <v>NIL</v>
      </c>
      <c r="Q474" t="str">
        <f t="shared" si="208"/>
        <v>NIL</v>
      </c>
      <c r="R474" t="str">
        <f t="shared" si="199"/>
        <v>Accepted</v>
      </c>
      <c r="S474" t="str">
        <f t="shared" si="200"/>
        <v>Approved</v>
      </c>
      <c r="T474" t="str">
        <f t="shared" si="201"/>
        <v>10.20.8.188</v>
      </c>
      <c r="U474" t="str">
        <f t="shared" si="202"/>
        <v>AZRAD UMAR BIN SHAARI</v>
      </c>
      <c r="V474" t="str">
        <f t="shared" si="203"/>
        <v>FARHANA BINTI MUSTAPA</v>
      </c>
      <c r="W474" t="str">
        <f t="shared" si="204"/>
        <v>04-08-2020</v>
      </c>
      <c r="X474" t="str">
        <f t="shared" si="205"/>
        <v>RAZIMAH ANSAR AHMAD</v>
      </c>
      <c r="Y474" t="str">
        <f t="shared" si="206"/>
        <v>04-08-2020</v>
      </c>
      <c r="Z474" t="str">
        <f>"IDSB19200804 178"</f>
        <v>IDSB19200804 178</v>
      </c>
    </row>
    <row r="475" spans="1:26" x14ac:dyDescent="0.25">
      <c r="A475" t="str">
        <f t="shared" si="192"/>
        <v>04-08-2020 01:20:32</v>
      </c>
      <c r="B475" t="str">
        <f>"0000810488"</f>
        <v>0000810488</v>
      </c>
      <c r="C475" t="str">
        <f t="shared" si="193"/>
        <v>0000810311</v>
      </c>
      <c r="D475" t="str">
        <f t="shared" si="194"/>
        <v>73185</v>
      </c>
      <c r="E475" t="str">
        <f t="shared" si="195"/>
        <v>KFH-OPERATIONS DEPARTMENT</v>
      </c>
      <c r="F475" t="str">
        <f t="shared" si="196"/>
        <v>IBG</v>
      </c>
      <c r="G475" t="str">
        <f t="shared" si="210"/>
        <v>Refund IDSB 19</v>
      </c>
      <c r="H475" s="2">
        <v>831.1</v>
      </c>
      <c r="I475" t="str">
        <f>"NORSHIMA BINTI HUMAIDI"</f>
        <v>NORSHIMA BINTI HUMAIDI</v>
      </c>
      <c r="J475" t="str">
        <f t="shared" si="209"/>
        <v>CIMB BANK / CIMB ISLAMIC BANK</v>
      </c>
      <c r="K475" t="str">
        <f>"08021266232523"</f>
        <v>08021266232523</v>
      </c>
      <c r="L475" t="str">
        <f t="shared" si="207"/>
        <v>04-08-2020</v>
      </c>
      <c r="M475" t="str">
        <f t="shared" si="207"/>
        <v>04-08-2020</v>
      </c>
      <c r="N475" t="str">
        <f t="shared" si="197"/>
        <v>001105018356</v>
      </c>
      <c r="O475" t="str">
        <f t="shared" si="198"/>
        <v>MYR</v>
      </c>
      <c r="P475" t="str">
        <f t="shared" si="208"/>
        <v>NIL</v>
      </c>
      <c r="Q475" t="str">
        <f t="shared" si="208"/>
        <v>NIL</v>
      </c>
      <c r="R475" t="str">
        <f t="shared" si="199"/>
        <v>Accepted</v>
      </c>
      <c r="S475" t="str">
        <f t="shared" si="200"/>
        <v>Approved</v>
      </c>
      <c r="T475" t="str">
        <f t="shared" si="201"/>
        <v>10.20.8.188</v>
      </c>
      <c r="U475" t="str">
        <f t="shared" si="202"/>
        <v>AZRAD UMAR BIN SHAARI</v>
      </c>
      <c r="V475" t="str">
        <f t="shared" si="203"/>
        <v>FARHANA BINTI MUSTAPA</v>
      </c>
      <c r="W475" t="str">
        <f t="shared" si="204"/>
        <v>04-08-2020</v>
      </c>
      <c r="X475" t="str">
        <f t="shared" si="205"/>
        <v>RAZIMAH ANSAR AHMAD</v>
      </c>
      <c r="Y475" t="str">
        <f t="shared" si="206"/>
        <v>04-08-2020</v>
      </c>
      <c r="Z475" t="str">
        <f>"IDSB19200804 177"</f>
        <v>IDSB19200804 177</v>
      </c>
    </row>
    <row r="476" spans="1:26" x14ac:dyDescent="0.25">
      <c r="A476" t="str">
        <f t="shared" si="192"/>
        <v>04-08-2020 01:20:32</v>
      </c>
      <c r="B476" t="str">
        <f>"0000810487"</f>
        <v>0000810487</v>
      </c>
      <c r="C476" t="str">
        <f t="shared" si="193"/>
        <v>0000810311</v>
      </c>
      <c r="D476" t="str">
        <f t="shared" si="194"/>
        <v>73185</v>
      </c>
      <c r="E476" t="str">
        <f t="shared" si="195"/>
        <v>KFH-OPERATIONS DEPARTMENT</v>
      </c>
      <c r="F476" t="str">
        <f t="shared" si="196"/>
        <v>IBG</v>
      </c>
      <c r="G476" t="str">
        <f t="shared" si="210"/>
        <v>Refund IDSB 19</v>
      </c>
      <c r="H476" s="2">
        <v>418</v>
      </c>
      <c r="I476" t="str">
        <f>"NORSAFIZA BINTI SAIBANI"</f>
        <v>NORSAFIZA BINTI SAIBANI</v>
      </c>
      <c r="J476" t="str">
        <f t="shared" si="209"/>
        <v>CIMB BANK / CIMB ISLAMIC BANK</v>
      </c>
      <c r="K476" t="str">
        <f>"12140068497527"</f>
        <v>12140068497527</v>
      </c>
      <c r="L476" t="str">
        <f t="shared" si="207"/>
        <v>04-08-2020</v>
      </c>
      <c r="M476" t="str">
        <f t="shared" si="207"/>
        <v>04-08-2020</v>
      </c>
      <c r="N476" t="str">
        <f t="shared" si="197"/>
        <v>001105018356</v>
      </c>
      <c r="O476" t="str">
        <f t="shared" si="198"/>
        <v>MYR</v>
      </c>
      <c r="P476" t="str">
        <f t="shared" si="208"/>
        <v>NIL</v>
      </c>
      <c r="Q476" t="str">
        <f t="shared" si="208"/>
        <v>NIL</v>
      </c>
      <c r="R476" t="str">
        <f t="shared" si="199"/>
        <v>Accepted</v>
      </c>
      <c r="S476" t="str">
        <f t="shared" si="200"/>
        <v>Approved</v>
      </c>
      <c r="T476" t="str">
        <f t="shared" si="201"/>
        <v>10.20.8.188</v>
      </c>
      <c r="U476" t="str">
        <f t="shared" si="202"/>
        <v>AZRAD UMAR BIN SHAARI</v>
      </c>
      <c r="V476" t="str">
        <f t="shared" si="203"/>
        <v>FARHANA BINTI MUSTAPA</v>
      </c>
      <c r="W476" t="str">
        <f t="shared" si="204"/>
        <v>04-08-2020</v>
      </c>
      <c r="X476" t="str">
        <f t="shared" si="205"/>
        <v>RAZIMAH ANSAR AHMAD</v>
      </c>
      <c r="Y476" t="str">
        <f t="shared" si="206"/>
        <v>04-08-2020</v>
      </c>
      <c r="Z476" t="str">
        <f>"IDSB19200804 176"</f>
        <v>IDSB19200804 176</v>
      </c>
    </row>
    <row r="477" spans="1:26" x14ac:dyDescent="0.25">
      <c r="A477" t="str">
        <f t="shared" si="192"/>
        <v>04-08-2020 01:20:32</v>
      </c>
      <c r="B477" t="str">
        <f>"0000810486"</f>
        <v>0000810486</v>
      </c>
      <c r="C477" t="str">
        <f t="shared" si="193"/>
        <v>0000810311</v>
      </c>
      <c r="D477" t="str">
        <f t="shared" si="194"/>
        <v>73185</v>
      </c>
      <c r="E477" t="str">
        <f t="shared" si="195"/>
        <v>KFH-OPERATIONS DEPARTMENT</v>
      </c>
      <c r="F477" t="str">
        <f t="shared" si="196"/>
        <v>IBG</v>
      </c>
      <c r="G477" t="str">
        <f t="shared" si="210"/>
        <v>Refund IDSB 19</v>
      </c>
      <c r="H477" s="2">
        <v>299</v>
      </c>
      <c r="I477" t="str">
        <f>"NORSAFIZA BINTI SAIBANI"</f>
        <v>NORSAFIZA BINTI SAIBANI</v>
      </c>
      <c r="J477" t="str">
        <f t="shared" si="209"/>
        <v>CIMB BANK / CIMB ISLAMIC BANK</v>
      </c>
      <c r="K477" t="str">
        <f>"12140068497527"</f>
        <v>12140068497527</v>
      </c>
      <c r="L477" t="str">
        <f t="shared" si="207"/>
        <v>04-08-2020</v>
      </c>
      <c r="M477" t="str">
        <f t="shared" si="207"/>
        <v>04-08-2020</v>
      </c>
      <c r="N477" t="str">
        <f t="shared" si="197"/>
        <v>001105018356</v>
      </c>
      <c r="O477" t="str">
        <f t="shared" si="198"/>
        <v>MYR</v>
      </c>
      <c r="P477" t="str">
        <f t="shared" si="208"/>
        <v>NIL</v>
      </c>
      <c r="Q477" t="str">
        <f t="shared" si="208"/>
        <v>NIL</v>
      </c>
      <c r="R477" t="str">
        <f t="shared" si="199"/>
        <v>Accepted</v>
      </c>
      <c r="S477" t="str">
        <f t="shared" si="200"/>
        <v>Approved</v>
      </c>
      <c r="T477" t="str">
        <f t="shared" si="201"/>
        <v>10.20.8.188</v>
      </c>
      <c r="U477" t="str">
        <f t="shared" si="202"/>
        <v>AZRAD UMAR BIN SHAARI</v>
      </c>
      <c r="V477" t="str">
        <f t="shared" si="203"/>
        <v>FARHANA BINTI MUSTAPA</v>
      </c>
      <c r="W477" t="str">
        <f t="shared" si="204"/>
        <v>04-08-2020</v>
      </c>
      <c r="X477" t="str">
        <f t="shared" si="205"/>
        <v>RAZIMAH ANSAR AHMAD</v>
      </c>
      <c r="Y477" t="str">
        <f t="shared" si="206"/>
        <v>04-08-2020</v>
      </c>
      <c r="Z477" t="str">
        <f>"IDSB19200804 175"</f>
        <v>IDSB19200804 175</v>
      </c>
    </row>
    <row r="478" spans="1:26" x14ac:dyDescent="0.25">
      <c r="A478" t="str">
        <f t="shared" si="192"/>
        <v>04-08-2020 01:20:32</v>
      </c>
      <c r="B478" t="str">
        <f>"0000810485"</f>
        <v>0000810485</v>
      </c>
      <c r="C478" t="str">
        <f t="shared" si="193"/>
        <v>0000810311</v>
      </c>
      <c r="D478" t="str">
        <f t="shared" si="194"/>
        <v>73185</v>
      </c>
      <c r="E478" t="str">
        <f t="shared" si="195"/>
        <v>KFH-OPERATIONS DEPARTMENT</v>
      </c>
      <c r="F478" t="str">
        <f t="shared" si="196"/>
        <v>IBG</v>
      </c>
      <c r="G478" t="str">
        <f t="shared" si="210"/>
        <v>Refund IDSB 19</v>
      </c>
      <c r="H478" s="2">
        <v>46</v>
      </c>
      <c r="I478" t="str">
        <f>"NORMASITA BINTI SYED"</f>
        <v>NORMASITA BINTI SYED</v>
      </c>
      <c r="J478" t="str">
        <f t="shared" si="209"/>
        <v>CIMB BANK / CIMB ISLAMIC BANK</v>
      </c>
      <c r="K478" t="str">
        <f>"04040000797208"</f>
        <v>04040000797208</v>
      </c>
      <c r="L478" t="str">
        <f t="shared" si="207"/>
        <v>04-08-2020</v>
      </c>
      <c r="M478" t="str">
        <f t="shared" si="207"/>
        <v>04-08-2020</v>
      </c>
      <c r="N478" t="str">
        <f t="shared" si="197"/>
        <v>001105018356</v>
      </c>
      <c r="O478" t="str">
        <f t="shared" si="198"/>
        <v>MYR</v>
      </c>
      <c r="P478" t="str">
        <f t="shared" si="208"/>
        <v>NIL</v>
      </c>
      <c r="Q478" t="str">
        <f t="shared" si="208"/>
        <v>NIL</v>
      </c>
      <c r="R478" t="str">
        <f t="shared" si="199"/>
        <v>Accepted</v>
      </c>
      <c r="S478" t="str">
        <f t="shared" si="200"/>
        <v>Approved</v>
      </c>
      <c r="T478" t="str">
        <f t="shared" si="201"/>
        <v>10.20.8.188</v>
      </c>
      <c r="U478" t="str">
        <f t="shared" si="202"/>
        <v>AZRAD UMAR BIN SHAARI</v>
      </c>
      <c r="V478" t="str">
        <f t="shared" si="203"/>
        <v>FARHANA BINTI MUSTAPA</v>
      </c>
      <c r="W478" t="str">
        <f t="shared" si="204"/>
        <v>04-08-2020</v>
      </c>
      <c r="X478" t="str">
        <f t="shared" si="205"/>
        <v>RAZIMAH ANSAR AHMAD</v>
      </c>
      <c r="Y478" t="str">
        <f t="shared" si="206"/>
        <v>04-08-2020</v>
      </c>
      <c r="Z478" t="str">
        <f>"IDSB19200804 174"</f>
        <v>IDSB19200804 174</v>
      </c>
    </row>
    <row r="479" spans="1:26" x14ac:dyDescent="0.25">
      <c r="A479" t="str">
        <f t="shared" si="192"/>
        <v>04-08-2020 01:20:32</v>
      </c>
      <c r="B479" t="str">
        <f>"0000810484"</f>
        <v>0000810484</v>
      </c>
      <c r="C479" t="str">
        <f t="shared" si="193"/>
        <v>0000810311</v>
      </c>
      <c r="D479" t="str">
        <f t="shared" si="194"/>
        <v>73185</v>
      </c>
      <c r="E479" t="str">
        <f t="shared" si="195"/>
        <v>KFH-OPERATIONS DEPARTMENT</v>
      </c>
      <c r="F479" t="str">
        <f t="shared" si="196"/>
        <v>IBG</v>
      </c>
      <c r="G479" t="str">
        <f t="shared" si="210"/>
        <v>Refund IDSB 19</v>
      </c>
      <c r="H479" s="2">
        <v>392.95</v>
      </c>
      <c r="I479" t="str">
        <f>"NORAZLINA BINTI MUNAJAT"</f>
        <v>NORAZLINA BINTI MUNAJAT</v>
      </c>
      <c r="J479" t="str">
        <f t="shared" si="209"/>
        <v>CIMB BANK / CIMB ISLAMIC BANK</v>
      </c>
      <c r="K479" t="str">
        <f>"7619508421"</f>
        <v>7619508421</v>
      </c>
      <c r="L479" t="str">
        <f t="shared" si="207"/>
        <v>04-08-2020</v>
      </c>
      <c r="M479" t="str">
        <f t="shared" si="207"/>
        <v>04-08-2020</v>
      </c>
      <c r="N479" t="str">
        <f t="shared" si="197"/>
        <v>001105018356</v>
      </c>
      <c r="O479" t="str">
        <f t="shared" si="198"/>
        <v>MYR</v>
      </c>
      <c r="P479" t="str">
        <f t="shared" si="208"/>
        <v>NIL</v>
      </c>
      <c r="Q479" t="str">
        <f t="shared" si="208"/>
        <v>NIL</v>
      </c>
      <c r="R479" t="str">
        <f t="shared" si="199"/>
        <v>Accepted</v>
      </c>
      <c r="S479" t="str">
        <f t="shared" si="200"/>
        <v>Approved</v>
      </c>
      <c r="T479" t="str">
        <f t="shared" si="201"/>
        <v>10.20.8.188</v>
      </c>
      <c r="U479" t="str">
        <f t="shared" si="202"/>
        <v>AZRAD UMAR BIN SHAARI</v>
      </c>
      <c r="V479" t="str">
        <f t="shared" si="203"/>
        <v>FARHANA BINTI MUSTAPA</v>
      </c>
      <c r="W479" t="str">
        <f t="shared" si="204"/>
        <v>04-08-2020</v>
      </c>
      <c r="X479" t="str">
        <f t="shared" si="205"/>
        <v>RAZIMAH ANSAR AHMAD</v>
      </c>
      <c r="Y479" t="str">
        <f t="shared" si="206"/>
        <v>04-08-2020</v>
      </c>
      <c r="Z479" t="str">
        <f>"IDSB19200804 173"</f>
        <v>IDSB19200804 173</v>
      </c>
    </row>
    <row r="480" spans="1:26" x14ac:dyDescent="0.25">
      <c r="A480" t="str">
        <f t="shared" si="192"/>
        <v>04-08-2020 01:20:32</v>
      </c>
      <c r="B480" t="str">
        <f>"0000810483"</f>
        <v>0000810483</v>
      </c>
      <c r="C480" t="str">
        <f t="shared" si="193"/>
        <v>0000810311</v>
      </c>
      <c r="D480" t="str">
        <f t="shared" si="194"/>
        <v>73185</v>
      </c>
      <c r="E480" t="str">
        <f t="shared" si="195"/>
        <v>KFH-OPERATIONS DEPARTMENT</v>
      </c>
      <c r="F480" t="str">
        <f t="shared" si="196"/>
        <v>IBG</v>
      </c>
      <c r="G480" t="str">
        <f t="shared" si="210"/>
        <v>Refund IDSB 19</v>
      </c>
      <c r="H480" s="2">
        <v>1493</v>
      </c>
      <c r="I480" t="str">
        <f>"NORAZALIANI BT MOHD JOHAR"</f>
        <v>NORAZALIANI BT MOHD JOHAR</v>
      </c>
      <c r="J480" t="str">
        <f t="shared" si="209"/>
        <v>CIMB BANK / CIMB ISLAMIC BANK</v>
      </c>
      <c r="K480" t="str">
        <f>"06100055737524"</f>
        <v>06100055737524</v>
      </c>
      <c r="L480" t="str">
        <f t="shared" si="207"/>
        <v>04-08-2020</v>
      </c>
      <c r="M480" t="str">
        <f t="shared" si="207"/>
        <v>04-08-2020</v>
      </c>
      <c r="N480" t="str">
        <f t="shared" si="197"/>
        <v>001105018356</v>
      </c>
      <c r="O480" t="str">
        <f t="shared" si="198"/>
        <v>MYR</v>
      </c>
      <c r="P480" t="str">
        <f t="shared" si="208"/>
        <v>NIL</v>
      </c>
      <c r="Q480" t="str">
        <f t="shared" si="208"/>
        <v>NIL</v>
      </c>
      <c r="R480" t="str">
        <f t="shared" si="199"/>
        <v>Accepted</v>
      </c>
      <c r="S480" t="str">
        <f t="shared" si="200"/>
        <v>Approved</v>
      </c>
      <c r="T480" t="str">
        <f t="shared" si="201"/>
        <v>10.20.8.188</v>
      </c>
      <c r="U480" t="str">
        <f t="shared" si="202"/>
        <v>AZRAD UMAR BIN SHAARI</v>
      </c>
      <c r="V480" t="str">
        <f t="shared" si="203"/>
        <v>FARHANA BINTI MUSTAPA</v>
      </c>
      <c r="W480" t="str">
        <f t="shared" si="204"/>
        <v>04-08-2020</v>
      </c>
      <c r="X480" t="str">
        <f t="shared" si="205"/>
        <v>RAZIMAH ANSAR AHMAD</v>
      </c>
      <c r="Y480" t="str">
        <f t="shared" si="206"/>
        <v>04-08-2020</v>
      </c>
      <c r="Z480" t="str">
        <f>"IDSB19200804 172"</f>
        <v>IDSB19200804 172</v>
      </c>
    </row>
    <row r="481" spans="1:26" x14ac:dyDescent="0.25">
      <c r="A481" t="str">
        <f t="shared" si="192"/>
        <v>04-08-2020 01:20:32</v>
      </c>
      <c r="B481" t="str">
        <f>"0000810482"</f>
        <v>0000810482</v>
      </c>
      <c r="C481" t="str">
        <f t="shared" si="193"/>
        <v>0000810311</v>
      </c>
      <c r="D481" t="str">
        <f t="shared" si="194"/>
        <v>73185</v>
      </c>
      <c r="E481" t="str">
        <f t="shared" si="195"/>
        <v>KFH-OPERATIONS DEPARTMENT</v>
      </c>
      <c r="F481" t="str">
        <f t="shared" si="196"/>
        <v>IBG</v>
      </c>
      <c r="G481" t="str">
        <f t="shared" si="210"/>
        <v>Refund IDSB 19</v>
      </c>
      <c r="H481" s="2">
        <v>623</v>
      </c>
      <c r="I481" t="str">
        <f>"NOR AZURA BINTI PADIL"</f>
        <v>NOR AZURA BINTI PADIL</v>
      </c>
      <c r="J481" t="str">
        <f t="shared" si="209"/>
        <v>CIMB BANK / CIMB ISLAMIC BANK</v>
      </c>
      <c r="K481" t="str">
        <f>"14560000073203"</f>
        <v>14560000073203</v>
      </c>
      <c r="L481" t="str">
        <f t="shared" si="207"/>
        <v>04-08-2020</v>
      </c>
      <c r="M481" t="str">
        <f t="shared" si="207"/>
        <v>04-08-2020</v>
      </c>
      <c r="N481" t="str">
        <f t="shared" si="197"/>
        <v>001105018356</v>
      </c>
      <c r="O481" t="str">
        <f t="shared" si="198"/>
        <v>MYR</v>
      </c>
      <c r="P481" t="str">
        <f t="shared" si="208"/>
        <v>NIL</v>
      </c>
      <c r="Q481" t="str">
        <f t="shared" si="208"/>
        <v>NIL</v>
      </c>
      <c r="R481" t="str">
        <f t="shared" si="199"/>
        <v>Accepted</v>
      </c>
      <c r="S481" t="str">
        <f t="shared" si="200"/>
        <v>Approved</v>
      </c>
      <c r="T481" t="str">
        <f t="shared" si="201"/>
        <v>10.20.8.188</v>
      </c>
      <c r="U481" t="str">
        <f t="shared" si="202"/>
        <v>AZRAD UMAR BIN SHAARI</v>
      </c>
      <c r="V481" t="str">
        <f t="shared" si="203"/>
        <v>FARHANA BINTI MUSTAPA</v>
      </c>
      <c r="W481" t="str">
        <f t="shared" si="204"/>
        <v>04-08-2020</v>
      </c>
      <c r="X481" t="str">
        <f t="shared" si="205"/>
        <v>RAZIMAH ANSAR AHMAD</v>
      </c>
      <c r="Y481" t="str">
        <f t="shared" si="206"/>
        <v>04-08-2020</v>
      </c>
      <c r="Z481" t="str">
        <f>"IDSB19200804 171"</f>
        <v>IDSB19200804 171</v>
      </c>
    </row>
    <row r="482" spans="1:26" x14ac:dyDescent="0.25">
      <c r="A482" t="str">
        <f t="shared" si="192"/>
        <v>04-08-2020 01:20:32</v>
      </c>
      <c r="B482" t="str">
        <f>"0000810481"</f>
        <v>0000810481</v>
      </c>
      <c r="C482" t="str">
        <f t="shared" si="193"/>
        <v>0000810311</v>
      </c>
      <c r="D482" t="str">
        <f t="shared" si="194"/>
        <v>73185</v>
      </c>
      <c r="E482" t="str">
        <f t="shared" si="195"/>
        <v>KFH-OPERATIONS DEPARTMENT</v>
      </c>
      <c r="F482" t="str">
        <f t="shared" si="196"/>
        <v>IBG</v>
      </c>
      <c r="G482" t="str">
        <f t="shared" si="210"/>
        <v>Refund IDSB 19</v>
      </c>
      <c r="H482" s="2">
        <v>776.15</v>
      </c>
      <c r="I482" t="str">
        <f>"NOR AZURA BINTI OSMAN"</f>
        <v>NOR AZURA BINTI OSMAN</v>
      </c>
      <c r="J482" t="str">
        <f t="shared" si="209"/>
        <v>CIMB BANK / CIMB ISLAMIC BANK</v>
      </c>
      <c r="K482" t="str">
        <f>"14320005077059"</f>
        <v>14320005077059</v>
      </c>
      <c r="L482" t="str">
        <f t="shared" si="207"/>
        <v>04-08-2020</v>
      </c>
      <c r="M482" t="str">
        <f t="shared" si="207"/>
        <v>04-08-2020</v>
      </c>
      <c r="N482" t="str">
        <f t="shared" si="197"/>
        <v>001105018356</v>
      </c>
      <c r="O482" t="str">
        <f t="shared" si="198"/>
        <v>MYR</v>
      </c>
      <c r="P482" t="str">
        <f t="shared" si="208"/>
        <v>NIL</v>
      </c>
      <c r="Q482" t="str">
        <f t="shared" si="208"/>
        <v>NIL</v>
      </c>
      <c r="R482" t="str">
        <f t="shared" si="199"/>
        <v>Accepted</v>
      </c>
      <c r="S482" t="str">
        <f t="shared" si="200"/>
        <v>Approved</v>
      </c>
      <c r="T482" t="str">
        <f t="shared" si="201"/>
        <v>10.20.8.188</v>
      </c>
      <c r="U482" t="str">
        <f t="shared" si="202"/>
        <v>AZRAD UMAR BIN SHAARI</v>
      </c>
      <c r="V482" t="str">
        <f t="shared" si="203"/>
        <v>FARHANA BINTI MUSTAPA</v>
      </c>
      <c r="W482" t="str">
        <f t="shared" si="204"/>
        <v>04-08-2020</v>
      </c>
      <c r="X482" t="str">
        <f t="shared" si="205"/>
        <v>RAZIMAH ANSAR AHMAD</v>
      </c>
      <c r="Y482" t="str">
        <f t="shared" si="206"/>
        <v>04-08-2020</v>
      </c>
      <c r="Z482" t="str">
        <f>"IDSB19200804 170"</f>
        <v>IDSB19200804 170</v>
      </c>
    </row>
    <row r="483" spans="1:26" x14ac:dyDescent="0.25">
      <c r="A483" t="str">
        <f t="shared" si="192"/>
        <v>04-08-2020 01:20:32</v>
      </c>
      <c r="B483" t="str">
        <f>"0000810480"</f>
        <v>0000810480</v>
      </c>
      <c r="C483" t="str">
        <f t="shared" si="193"/>
        <v>0000810311</v>
      </c>
      <c r="D483" t="str">
        <f t="shared" si="194"/>
        <v>73185</v>
      </c>
      <c r="E483" t="str">
        <f t="shared" si="195"/>
        <v>KFH-OPERATIONS DEPARTMENT</v>
      </c>
      <c r="F483" t="str">
        <f t="shared" si="196"/>
        <v>IBG</v>
      </c>
      <c r="G483" t="str">
        <f t="shared" si="210"/>
        <v>Refund IDSB 19</v>
      </c>
      <c r="H483" s="2">
        <v>1380.85</v>
      </c>
      <c r="I483" t="str">
        <f>"NOR AISAH BINTI AWANG ZAKARIA"</f>
        <v>NOR AISAH BINTI AWANG ZAKARIA</v>
      </c>
      <c r="J483" t="str">
        <f t="shared" si="209"/>
        <v>CIMB BANK / CIMB ISLAMIC BANK</v>
      </c>
      <c r="K483" t="str">
        <f>"14180055949528"</f>
        <v>14180055949528</v>
      </c>
      <c r="L483" t="str">
        <f t="shared" si="207"/>
        <v>04-08-2020</v>
      </c>
      <c r="M483" t="str">
        <f t="shared" si="207"/>
        <v>04-08-2020</v>
      </c>
      <c r="N483" t="str">
        <f t="shared" si="197"/>
        <v>001105018356</v>
      </c>
      <c r="O483" t="str">
        <f t="shared" si="198"/>
        <v>MYR</v>
      </c>
      <c r="P483" t="str">
        <f t="shared" si="208"/>
        <v>NIL</v>
      </c>
      <c r="Q483" t="str">
        <f t="shared" si="208"/>
        <v>NIL</v>
      </c>
      <c r="R483" t="str">
        <f t="shared" si="199"/>
        <v>Accepted</v>
      </c>
      <c r="S483" t="str">
        <f t="shared" si="200"/>
        <v>Approved</v>
      </c>
      <c r="T483" t="str">
        <f t="shared" si="201"/>
        <v>10.20.8.188</v>
      </c>
      <c r="U483" t="str">
        <f t="shared" si="202"/>
        <v>AZRAD UMAR BIN SHAARI</v>
      </c>
      <c r="V483" t="str">
        <f t="shared" si="203"/>
        <v>FARHANA BINTI MUSTAPA</v>
      </c>
      <c r="W483" t="str">
        <f t="shared" si="204"/>
        <v>04-08-2020</v>
      </c>
      <c r="X483" t="str">
        <f t="shared" si="205"/>
        <v>RAZIMAH ANSAR AHMAD</v>
      </c>
      <c r="Y483" t="str">
        <f t="shared" si="206"/>
        <v>04-08-2020</v>
      </c>
      <c r="Z483" t="str">
        <f>"IDSB19200804 169"</f>
        <v>IDSB19200804 169</v>
      </c>
    </row>
    <row r="484" spans="1:26" x14ac:dyDescent="0.25">
      <c r="A484" t="str">
        <f t="shared" ref="A484:A515" si="211">"04-08-2020 01:20:32"</f>
        <v>04-08-2020 01:20:32</v>
      </c>
      <c r="B484" t="str">
        <f>"0000810479"</f>
        <v>0000810479</v>
      </c>
      <c r="C484" t="str">
        <f t="shared" ref="C484:C515" si="212">"0000810311"</f>
        <v>0000810311</v>
      </c>
      <c r="D484" t="str">
        <f t="shared" si="194"/>
        <v>73185</v>
      </c>
      <c r="E484" t="str">
        <f t="shared" si="195"/>
        <v>KFH-OPERATIONS DEPARTMENT</v>
      </c>
      <c r="F484" t="str">
        <f t="shared" si="196"/>
        <v>IBG</v>
      </c>
      <c r="G484" t="str">
        <f t="shared" si="210"/>
        <v>Refund IDSB 19</v>
      </c>
      <c r="H484" s="2">
        <v>227</v>
      </c>
      <c r="I484" t="str">
        <f>"NOR AIDA BINTI KARIYA"</f>
        <v>NOR AIDA BINTI KARIYA</v>
      </c>
      <c r="J484" t="str">
        <f t="shared" si="209"/>
        <v>CIMB BANK / CIMB ISLAMIC BANK</v>
      </c>
      <c r="K484" t="str">
        <f>"02050098217520"</f>
        <v>02050098217520</v>
      </c>
      <c r="L484" t="str">
        <f t="shared" si="207"/>
        <v>04-08-2020</v>
      </c>
      <c r="M484" t="str">
        <f t="shared" si="207"/>
        <v>04-08-2020</v>
      </c>
      <c r="N484" t="str">
        <f t="shared" si="197"/>
        <v>001105018356</v>
      </c>
      <c r="O484" t="str">
        <f t="shared" si="198"/>
        <v>MYR</v>
      </c>
      <c r="P484" t="str">
        <f t="shared" si="208"/>
        <v>NIL</v>
      </c>
      <c r="Q484" t="str">
        <f t="shared" si="208"/>
        <v>NIL</v>
      </c>
      <c r="R484" t="str">
        <f t="shared" si="199"/>
        <v>Accepted</v>
      </c>
      <c r="S484" t="str">
        <f t="shared" si="200"/>
        <v>Approved</v>
      </c>
      <c r="T484" t="str">
        <f t="shared" si="201"/>
        <v>10.20.8.188</v>
      </c>
      <c r="U484" t="str">
        <f t="shared" si="202"/>
        <v>AZRAD UMAR BIN SHAARI</v>
      </c>
      <c r="V484" t="str">
        <f t="shared" si="203"/>
        <v>FARHANA BINTI MUSTAPA</v>
      </c>
      <c r="W484" t="str">
        <f t="shared" si="204"/>
        <v>04-08-2020</v>
      </c>
      <c r="X484" t="str">
        <f t="shared" si="205"/>
        <v>RAZIMAH ANSAR AHMAD</v>
      </c>
      <c r="Y484" t="str">
        <f t="shared" si="206"/>
        <v>04-08-2020</v>
      </c>
      <c r="Z484" t="str">
        <f>"IDSB19200804 168"</f>
        <v>IDSB19200804 168</v>
      </c>
    </row>
    <row r="485" spans="1:26" x14ac:dyDescent="0.25">
      <c r="A485" t="str">
        <f t="shared" si="211"/>
        <v>04-08-2020 01:20:32</v>
      </c>
      <c r="B485" t="str">
        <f>"0000810478"</f>
        <v>0000810478</v>
      </c>
      <c r="C485" t="str">
        <f t="shared" si="212"/>
        <v>0000810311</v>
      </c>
      <c r="D485" t="str">
        <f t="shared" si="194"/>
        <v>73185</v>
      </c>
      <c r="E485" t="str">
        <f t="shared" si="195"/>
        <v>KFH-OPERATIONS DEPARTMENT</v>
      </c>
      <c r="F485" t="str">
        <f t="shared" si="196"/>
        <v>IBG</v>
      </c>
      <c r="G485" t="str">
        <f t="shared" si="210"/>
        <v>Refund IDSB 19</v>
      </c>
      <c r="H485" s="2">
        <v>911</v>
      </c>
      <c r="I485" t="str">
        <f>"NOORHIDAYUWATI BINTI BASHIRAHMAD"</f>
        <v>NOORHIDAYUWATI BINTI BASHIRAHMAD</v>
      </c>
      <c r="J485" t="str">
        <f t="shared" si="209"/>
        <v>CIMB BANK / CIMB ISLAMIC BANK</v>
      </c>
      <c r="K485" t="str">
        <f>"01040103608521"</f>
        <v>01040103608521</v>
      </c>
      <c r="L485" t="str">
        <f t="shared" si="207"/>
        <v>04-08-2020</v>
      </c>
      <c r="M485" t="str">
        <f t="shared" si="207"/>
        <v>04-08-2020</v>
      </c>
      <c r="N485" t="str">
        <f t="shared" si="197"/>
        <v>001105018356</v>
      </c>
      <c r="O485" t="str">
        <f t="shared" si="198"/>
        <v>MYR</v>
      </c>
      <c r="P485" t="str">
        <f t="shared" si="208"/>
        <v>NIL</v>
      </c>
      <c r="Q485" t="str">
        <f t="shared" si="208"/>
        <v>NIL</v>
      </c>
      <c r="R485" t="str">
        <f t="shared" si="199"/>
        <v>Accepted</v>
      </c>
      <c r="S485" t="str">
        <f t="shared" si="200"/>
        <v>Approved</v>
      </c>
      <c r="T485" t="str">
        <f t="shared" si="201"/>
        <v>10.20.8.188</v>
      </c>
      <c r="U485" t="str">
        <f t="shared" si="202"/>
        <v>AZRAD UMAR BIN SHAARI</v>
      </c>
      <c r="V485" t="str">
        <f t="shared" si="203"/>
        <v>FARHANA BINTI MUSTAPA</v>
      </c>
      <c r="W485" t="str">
        <f t="shared" si="204"/>
        <v>04-08-2020</v>
      </c>
      <c r="X485" t="str">
        <f t="shared" si="205"/>
        <v>RAZIMAH ANSAR AHMAD</v>
      </c>
      <c r="Y485" t="str">
        <f t="shared" si="206"/>
        <v>04-08-2020</v>
      </c>
      <c r="Z485" t="str">
        <f>"IDSB19200804 167"</f>
        <v>IDSB19200804 167</v>
      </c>
    </row>
    <row r="486" spans="1:26" x14ac:dyDescent="0.25">
      <c r="A486" t="str">
        <f t="shared" si="211"/>
        <v>04-08-2020 01:20:32</v>
      </c>
      <c r="B486" t="str">
        <f>"0000810477"</f>
        <v>0000810477</v>
      </c>
      <c r="C486" t="str">
        <f t="shared" si="212"/>
        <v>0000810311</v>
      </c>
      <c r="D486" t="str">
        <f t="shared" si="194"/>
        <v>73185</v>
      </c>
      <c r="E486" t="str">
        <f t="shared" si="195"/>
        <v>KFH-OPERATIONS DEPARTMENT</v>
      </c>
      <c r="F486" t="str">
        <f t="shared" si="196"/>
        <v>IBG</v>
      </c>
      <c r="G486" t="str">
        <f t="shared" si="210"/>
        <v>Refund IDSB 19</v>
      </c>
      <c r="H486" s="2">
        <v>357</v>
      </c>
      <c r="I486" t="str">
        <f>"NOOR ZUHANARITA BINTI HAMZAH"</f>
        <v>NOOR ZUHANARITA BINTI HAMZAH</v>
      </c>
      <c r="J486" t="str">
        <f t="shared" si="209"/>
        <v>CIMB BANK / CIMB ISLAMIC BANK</v>
      </c>
      <c r="K486" t="str">
        <f>"12050003712207"</f>
        <v>12050003712207</v>
      </c>
      <c r="L486" t="str">
        <f t="shared" si="207"/>
        <v>04-08-2020</v>
      </c>
      <c r="M486" t="str">
        <f t="shared" si="207"/>
        <v>04-08-2020</v>
      </c>
      <c r="N486" t="str">
        <f t="shared" si="197"/>
        <v>001105018356</v>
      </c>
      <c r="O486" t="str">
        <f t="shared" si="198"/>
        <v>MYR</v>
      </c>
      <c r="P486" t="str">
        <f t="shared" si="208"/>
        <v>NIL</v>
      </c>
      <c r="Q486" t="str">
        <f t="shared" si="208"/>
        <v>NIL</v>
      </c>
      <c r="R486" t="str">
        <f t="shared" si="199"/>
        <v>Accepted</v>
      </c>
      <c r="S486" t="str">
        <f t="shared" si="200"/>
        <v>Approved</v>
      </c>
      <c r="T486" t="str">
        <f t="shared" si="201"/>
        <v>10.20.8.188</v>
      </c>
      <c r="U486" t="str">
        <f t="shared" si="202"/>
        <v>AZRAD UMAR BIN SHAARI</v>
      </c>
      <c r="V486" t="str">
        <f t="shared" si="203"/>
        <v>FARHANA BINTI MUSTAPA</v>
      </c>
      <c r="W486" t="str">
        <f t="shared" si="204"/>
        <v>04-08-2020</v>
      </c>
      <c r="X486" t="str">
        <f t="shared" si="205"/>
        <v>RAZIMAH ANSAR AHMAD</v>
      </c>
      <c r="Y486" t="str">
        <f t="shared" si="206"/>
        <v>04-08-2020</v>
      </c>
      <c r="Z486" t="str">
        <f>"IDSB19200804 166"</f>
        <v>IDSB19200804 166</v>
      </c>
    </row>
    <row r="487" spans="1:26" x14ac:dyDescent="0.25">
      <c r="A487" t="str">
        <f t="shared" si="211"/>
        <v>04-08-2020 01:20:32</v>
      </c>
      <c r="B487" t="str">
        <f>"0000810476"</f>
        <v>0000810476</v>
      </c>
      <c r="C487" t="str">
        <f t="shared" si="212"/>
        <v>0000810311</v>
      </c>
      <c r="D487" t="str">
        <f t="shared" si="194"/>
        <v>73185</v>
      </c>
      <c r="E487" t="str">
        <f t="shared" si="195"/>
        <v>KFH-OPERATIONS DEPARTMENT</v>
      </c>
      <c r="F487" t="str">
        <f t="shared" si="196"/>
        <v>IBG</v>
      </c>
      <c r="G487" t="str">
        <f t="shared" si="210"/>
        <v>Refund IDSB 19</v>
      </c>
      <c r="H487" s="2">
        <v>395</v>
      </c>
      <c r="I487" t="str">
        <f>"NOOR HAZILA BINTI MOHD SARPAN"</f>
        <v>NOOR HAZILA BINTI MOHD SARPAN</v>
      </c>
      <c r="J487" t="str">
        <f t="shared" si="209"/>
        <v>CIMB BANK / CIMB ISLAMIC BANK</v>
      </c>
      <c r="K487" t="str">
        <f>"05050000591207"</f>
        <v>05050000591207</v>
      </c>
      <c r="L487" t="str">
        <f t="shared" ref="L487:M506" si="213">"04-08-2020"</f>
        <v>04-08-2020</v>
      </c>
      <c r="M487" t="str">
        <f t="shared" si="213"/>
        <v>04-08-2020</v>
      </c>
      <c r="N487" t="str">
        <f t="shared" si="197"/>
        <v>001105018356</v>
      </c>
      <c r="O487" t="str">
        <f t="shared" si="198"/>
        <v>MYR</v>
      </c>
      <c r="P487" t="str">
        <f t="shared" ref="P487:Q506" si="214">"NIL"</f>
        <v>NIL</v>
      </c>
      <c r="Q487" t="str">
        <f t="shared" si="214"/>
        <v>NIL</v>
      </c>
      <c r="R487" t="str">
        <f t="shared" si="199"/>
        <v>Accepted</v>
      </c>
      <c r="S487" t="str">
        <f t="shared" si="200"/>
        <v>Approved</v>
      </c>
      <c r="T487" t="str">
        <f t="shared" si="201"/>
        <v>10.20.8.188</v>
      </c>
      <c r="U487" t="str">
        <f t="shared" si="202"/>
        <v>AZRAD UMAR BIN SHAARI</v>
      </c>
      <c r="V487" t="str">
        <f t="shared" si="203"/>
        <v>FARHANA BINTI MUSTAPA</v>
      </c>
      <c r="W487" t="str">
        <f t="shared" si="204"/>
        <v>04-08-2020</v>
      </c>
      <c r="X487" t="str">
        <f t="shared" si="205"/>
        <v>RAZIMAH ANSAR AHMAD</v>
      </c>
      <c r="Y487" t="str">
        <f t="shared" si="206"/>
        <v>04-08-2020</v>
      </c>
      <c r="Z487" t="str">
        <f>"IDSB19200804 165"</f>
        <v>IDSB19200804 165</v>
      </c>
    </row>
    <row r="488" spans="1:26" x14ac:dyDescent="0.25">
      <c r="A488" t="str">
        <f t="shared" si="211"/>
        <v>04-08-2020 01:20:32</v>
      </c>
      <c r="B488" t="str">
        <f>"0000810475"</f>
        <v>0000810475</v>
      </c>
      <c r="C488" t="str">
        <f t="shared" si="212"/>
        <v>0000810311</v>
      </c>
      <c r="D488" t="str">
        <f t="shared" si="194"/>
        <v>73185</v>
      </c>
      <c r="E488" t="str">
        <f t="shared" si="195"/>
        <v>KFH-OPERATIONS DEPARTMENT</v>
      </c>
      <c r="F488" t="str">
        <f t="shared" si="196"/>
        <v>IBG</v>
      </c>
      <c r="G488" t="str">
        <f t="shared" si="210"/>
        <v>Refund IDSB 19</v>
      </c>
      <c r="H488" s="2">
        <v>100.71</v>
      </c>
      <c r="I488" t="str">
        <f>"NOOR AZIZUL HAKIM BIN NOOR HAZAM"</f>
        <v>NOOR AZIZUL HAKIM BIN NOOR HAZAM</v>
      </c>
      <c r="J488" t="str">
        <f t="shared" si="209"/>
        <v>CIMB BANK / CIMB ISLAMIC BANK</v>
      </c>
      <c r="K488" t="str">
        <f>"7008146886"</f>
        <v>7008146886</v>
      </c>
      <c r="L488" t="str">
        <f t="shared" si="213"/>
        <v>04-08-2020</v>
      </c>
      <c r="M488" t="str">
        <f t="shared" si="213"/>
        <v>04-08-2020</v>
      </c>
      <c r="N488" t="str">
        <f t="shared" si="197"/>
        <v>001105018356</v>
      </c>
      <c r="O488" t="str">
        <f t="shared" si="198"/>
        <v>MYR</v>
      </c>
      <c r="P488" t="str">
        <f t="shared" si="214"/>
        <v>NIL</v>
      </c>
      <c r="Q488" t="str">
        <f t="shared" si="214"/>
        <v>NIL</v>
      </c>
      <c r="R488" t="str">
        <f t="shared" si="199"/>
        <v>Accepted</v>
      </c>
      <c r="S488" t="str">
        <f t="shared" si="200"/>
        <v>Approved</v>
      </c>
      <c r="T488" t="str">
        <f t="shared" si="201"/>
        <v>10.20.8.188</v>
      </c>
      <c r="U488" t="str">
        <f t="shared" si="202"/>
        <v>AZRAD UMAR BIN SHAARI</v>
      </c>
      <c r="V488" t="str">
        <f t="shared" si="203"/>
        <v>FARHANA BINTI MUSTAPA</v>
      </c>
      <c r="W488" t="str">
        <f t="shared" si="204"/>
        <v>04-08-2020</v>
      </c>
      <c r="X488" t="str">
        <f t="shared" si="205"/>
        <v>RAZIMAH ANSAR AHMAD</v>
      </c>
      <c r="Y488" t="str">
        <f t="shared" si="206"/>
        <v>04-08-2020</v>
      </c>
      <c r="Z488" t="str">
        <f>"IDSB19200804 164"</f>
        <v>IDSB19200804 164</v>
      </c>
    </row>
    <row r="489" spans="1:26" x14ac:dyDescent="0.25">
      <c r="A489" t="str">
        <f t="shared" si="211"/>
        <v>04-08-2020 01:20:32</v>
      </c>
      <c r="B489" t="str">
        <f>"0000810474"</f>
        <v>0000810474</v>
      </c>
      <c r="C489" t="str">
        <f t="shared" si="212"/>
        <v>0000810311</v>
      </c>
      <c r="D489" t="str">
        <f t="shared" si="194"/>
        <v>73185</v>
      </c>
      <c r="E489" t="str">
        <f t="shared" si="195"/>
        <v>KFH-OPERATIONS DEPARTMENT</v>
      </c>
      <c r="F489" t="str">
        <f t="shared" si="196"/>
        <v>IBG</v>
      </c>
      <c r="G489" t="str">
        <f t="shared" si="210"/>
        <v>Refund IDSB 19</v>
      </c>
      <c r="H489" s="2">
        <v>1418.69</v>
      </c>
      <c r="I489" t="str">
        <f>"NIK AZLAN BIN NIK MAN"</f>
        <v>NIK AZLAN BIN NIK MAN</v>
      </c>
      <c r="J489" t="str">
        <f t="shared" si="209"/>
        <v>CIMB BANK / CIMB ISLAMIC BANK</v>
      </c>
      <c r="K489" t="str">
        <f>"12180097760528"</f>
        <v>12180097760528</v>
      </c>
      <c r="L489" t="str">
        <f t="shared" si="213"/>
        <v>04-08-2020</v>
      </c>
      <c r="M489" t="str">
        <f t="shared" si="213"/>
        <v>04-08-2020</v>
      </c>
      <c r="N489" t="str">
        <f t="shared" si="197"/>
        <v>001105018356</v>
      </c>
      <c r="O489" t="str">
        <f t="shared" si="198"/>
        <v>MYR</v>
      </c>
      <c r="P489" t="str">
        <f t="shared" si="214"/>
        <v>NIL</v>
      </c>
      <c r="Q489" t="str">
        <f t="shared" si="214"/>
        <v>NIL</v>
      </c>
      <c r="R489" t="str">
        <f t="shared" si="199"/>
        <v>Accepted</v>
      </c>
      <c r="S489" t="str">
        <f t="shared" si="200"/>
        <v>Approved</v>
      </c>
      <c r="T489" t="str">
        <f t="shared" si="201"/>
        <v>10.20.8.188</v>
      </c>
      <c r="U489" t="str">
        <f t="shared" si="202"/>
        <v>AZRAD UMAR BIN SHAARI</v>
      </c>
      <c r="V489" t="str">
        <f t="shared" si="203"/>
        <v>FARHANA BINTI MUSTAPA</v>
      </c>
      <c r="W489" t="str">
        <f t="shared" si="204"/>
        <v>04-08-2020</v>
      </c>
      <c r="X489" t="str">
        <f t="shared" si="205"/>
        <v>RAZIMAH ANSAR AHMAD</v>
      </c>
      <c r="Y489" t="str">
        <f t="shared" si="206"/>
        <v>04-08-2020</v>
      </c>
      <c r="Z489" t="str">
        <f>"IDSB19200804 163"</f>
        <v>IDSB19200804 163</v>
      </c>
    </row>
    <row r="490" spans="1:26" x14ac:dyDescent="0.25">
      <c r="A490" t="str">
        <f t="shared" si="211"/>
        <v>04-08-2020 01:20:32</v>
      </c>
      <c r="B490" t="str">
        <f>"0000810473"</f>
        <v>0000810473</v>
      </c>
      <c r="C490" t="str">
        <f t="shared" si="212"/>
        <v>0000810311</v>
      </c>
      <c r="D490" t="str">
        <f t="shared" si="194"/>
        <v>73185</v>
      </c>
      <c r="E490" t="str">
        <f t="shared" si="195"/>
        <v>KFH-OPERATIONS DEPARTMENT</v>
      </c>
      <c r="F490" t="str">
        <f t="shared" si="196"/>
        <v>IBG</v>
      </c>
      <c r="G490" t="str">
        <f t="shared" si="210"/>
        <v>Refund IDSB 19</v>
      </c>
      <c r="H490" s="2">
        <v>342</v>
      </c>
      <c r="I490" t="str">
        <f>"MUHAMMAD ZAIDI BIN ABDULLAH"</f>
        <v>MUHAMMAD ZAIDI BIN ABDULLAH</v>
      </c>
      <c r="J490" t="str">
        <f t="shared" si="209"/>
        <v>CIMB BANK / CIMB ISLAMIC BANK</v>
      </c>
      <c r="K490" t="str">
        <f>"06120066853529"</f>
        <v>06120066853529</v>
      </c>
      <c r="L490" t="str">
        <f t="shared" si="213"/>
        <v>04-08-2020</v>
      </c>
      <c r="M490" t="str">
        <f t="shared" si="213"/>
        <v>04-08-2020</v>
      </c>
      <c r="N490" t="str">
        <f t="shared" si="197"/>
        <v>001105018356</v>
      </c>
      <c r="O490" t="str">
        <f t="shared" si="198"/>
        <v>MYR</v>
      </c>
      <c r="P490" t="str">
        <f t="shared" si="214"/>
        <v>NIL</v>
      </c>
      <c r="Q490" t="str">
        <f t="shared" si="214"/>
        <v>NIL</v>
      </c>
      <c r="R490" t="str">
        <f t="shared" si="199"/>
        <v>Accepted</v>
      </c>
      <c r="S490" t="str">
        <f t="shared" si="200"/>
        <v>Approved</v>
      </c>
      <c r="T490" t="str">
        <f t="shared" si="201"/>
        <v>10.20.8.188</v>
      </c>
      <c r="U490" t="str">
        <f t="shared" si="202"/>
        <v>AZRAD UMAR BIN SHAARI</v>
      </c>
      <c r="V490" t="str">
        <f t="shared" si="203"/>
        <v>FARHANA BINTI MUSTAPA</v>
      </c>
      <c r="W490" t="str">
        <f t="shared" si="204"/>
        <v>04-08-2020</v>
      </c>
      <c r="X490" t="str">
        <f t="shared" si="205"/>
        <v>RAZIMAH ANSAR AHMAD</v>
      </c>
      <c r="Y490" t="str">
        <f t="shared" si="206"/>
        <v>04-08-2020</v>
      </c>
      <c r="Z490" t="str">
        <f>"IDSB19200804 162"</f>
        <v>IDSB19200804 162</v>
      </c>
    </row>
    <row r="491" spans="1:26" x14ac:dyDescent="0.25">
      <c r="A491" t="str">
        <f t="shared" si="211"/>
        <v>04-08-2020 01:20:32</v>
      </c>
      <c r="B491" t="str">
        <f>"0000810472"</f>
        <v>0000810472</v>
      </c>
      <c r="C491" t="str">
        <f t="shared" si="212"/>
        <v>0000810311</v>
      </c>
      <c r="D491" t="str">
        <f t="shared" si="194"/>
        <v>73185</v>
      </c>
      <c r="E491" t="str">
        <f t="shared" si="195"/>
        <v>KFH-OPERATIONS DEPARTMENT</v>
      </c>
      <c r="F491" t="str">
        <f t="shared" si="196"/>
        <v>IBG</v>
      </c>
      <c r="G491" t="str">
        <f t="shared" si="210"/>
        <v>Refund IDSB 19</v>
      </c>
      <c r="H491" s="2">
        <v>50.4</v>
      </c>
      <c r="I491" t="str">
        <f>"MUHAMMAD HUSNI BIN AB RAZAK"</f>
        <v>MUHAMMAD HUSNI BIN AB RAZAK</v>
      </c>
      <c r="J491" t="str">
        <f t="shared" si="209"/>
        <v>CIMB BANK / CIMB ISLAMIC BANK</v>
      </c>
      <c r="K491" t="str">
        <f>"05080084916528"</f>
        <v>05080084916528</v>
      </c>
      <c r="L491" t="str">
        <f t="shared" si="213"/>
        <v>04-08-2020</v>
      </c>
      <c r="M491" t="str">
        <f t="shared" si="213"/>
        <v>04-08-2020</v>
      </c>
      <c r="N491" t="str">
        <f t="shared" si="197"/>
        <v>001105018356</v>
      </c>
      <c r="O491" t="str">
        <f t="shared" si="198"/>
        <v>MYR</v>
      </c>
      <c r="P491" t="str">
        <f t="shared" si="214"/>
        <v>NIL</v>
      </c>
      <c r="Q491" t="str">
        <f t="shared" si="214"/>
        <v>NIL</v>
      </c>
      <c r="R491" t="str">
        <f t="shared" si="199"/>
        <v>Accepted</v>
      </c>
      <c r="S491" t="str">
        <f t="shared" si="200"/>
        <v>Approved</v>
      </c>
      <c r="T491" t="str">
        <f t="shared" si="201"/>
        <v>10.20.8.188</v>
      </c>
      <c r="U491" t="str">
        <f t="shared" si="202"/>
        <v>AZRAD UMAR BIN SHAARI</v>
      </c>
      <c r="V491" t="str">
        <f t="shared" si="203"/>
        <v>FARHANA BINTI MUSTAPA</v>
      </c>
      <c r="W491" t="str">
        <f t="shared" si="204"/>
        <v>04-08-2020</v>
      </c>
      <c r="X491" t="str">
        <f t="shared" si="205"/>
        <v>RAZIMAH ANSAR AHMAD</v>
      </c>
      <c r="Y491" t="str">
        <f t="shared" si="206"/>
        <v>04-08-2020</v>
      </c>
      <c r="Z491" t="str">
        <f>"IDSB19200804 161"</f>
        <v>IDSB19200804 161</v>
      </c>
    </row>
    <row r="492" spans="1:26" x14ac:dyDescent="0.25">
      <c r="A492" t="str">
        <f t="shared" si="211"/>
        <v>04-08-2020 01:20:32</v>
      </c>
      <c r="B492" t="str">
        <f>"0000810471"</f>
        <v>0000810471</v>
      </c>
      <c r="C492" t="str">
        <f t="shared" si="212"/>
        <v>0000810311</v>
      </c>
      <c r="D492" t="str">
        <f t="shared" si="194"/>
        <v>73185</v>
      </c>
      <c r="E492" t="str">
        <f t="shared" si="195"/>
        <v>KFH-OPERATIONS DEPARTMENT</v>
      </c>
      <c r="F492" t="str">
        <f t="shared" si="196"/>
        <v>IBG</v>
      </c>
      <c r="G492" t="str">
        <f t="shared" si="210"/>
        <v>Refund IDSB 19</v>
      </c>
      <c r="H492" s="2">
        <v>503.49</v>
      </c>
      <c r="I492" t="str">
        <f>"MUHAMMAD FAIZAL BIN ROSSLAN"</f>
        <v>MUHAMMAD FAIZAL BIN ROSSLAN</v>
      </c>
      <c r="J492" t="str">
        <f t="shared" si="209"/>
        <v>CIMB BANK / CIMB ISLAMIC BANK</v>
      </c>
      <c r="K492" t="str">
        <f>"14081243923526"</f>
        <v>14081243923526</v>
      </c>
      <c r="L492" t="str">
        <f t="shared" si="213"/>
        <v>04-08-2020</v>
      </c>
      <c r="M492" t="str">
        <f t="shared" si="213"/>
        <v>04-08-2020</v>
      </c>
      <c r="N492" t="str">
        <f t="shared" si="197"/>
        <v>001105018356</v>
      </c>
      <c r="O492" t="str">
        <f t="shared" si="198"/>
        <v>MYR</v>
      </c>
      <c r="P492" t="str">
        <f t="shared" si="214"/>
        <v>NIL</v>
      </c>
      <c r="Q492" t="str">
        <f t="shared" si="214"/>
        <v>NIL</v>
      </c>
      <c r="R492" t="str">
        <f t="shared" si="199"/>
        <v>Accepted</v>
      </c>
      <c r="S492" t="str">
        <f t="shared" si="200"/>
        <v>Approved</v>
      </c>
      <c r="T492" t="str">
        <f t="shared" si="201"/>
        <v>10.20.8.188</v>
      </c>
      <c r="U492" t="str">
        <f t="shared" si="202"/>
        <v>AZRAD UMAR BIN SHAARI</v>
      </c>
      <c r="V492" t="str">
        <f t="shared" si="203"/>
        <v>FARHANA BINTI MUSTAPA</v>
      </c>
      <c r="W492" t="str">
        <f t="shared" si="204"/>
        <v>04-08-2020</v>
      </c>
      <c r="X492" t="str">
        <f t="shared" si="205"/>
        <v>RAZIMAH ANSAR AHMAD</v>
      </c>
      <c r="Y492" t="str">
        <f t="shared" si="206"/>
        <v>04-08-2020</v>
      </c>
      <c r="Z492" t="str">
        <f>"IDSB19200804 160"</f>
        <v>IDSB19200804 160</v>
      </c>
    </row>
    <row r="493" spans="1:26" x14ac:dyDescent="0.25">
      <c r="A493" t="str">
        <f t="shared" si="211"/>
        <v>04-08-2020 01:20:32</v>
      </c>
      <c r="B493" t="str">
        <f>"0000810470"</f>
        <v>0000810470</v>
      </c>
      <c r="C493" t="str">
        <f t="shared" si="212"/>
        <v>0000810311</v>
      </c>
      <c r="D493" t="str">
        <f t="shared" si="194"/>
        <v>73185</v>
      </c>
      <c r="E493" t="str">
        <f t="shared" si="195"/>
        <v>KFH-OPERATIONS DEPARTMENT</v>
      </c>
      <c r="F493" t="str">
        <f t="shared" si="196"/>
        <v>IBG</v>
      </c>
      <c r="G493" t="str">
        <f t="shared" si="210"/>
        <v>Refund IDSB 19</v>
      </c>
      <c r="H493" s="2">
        <v>398.99</v>
      </c>
      <c r="I493" t="str">
        <f>"MUHAMMAD ASHRAF BIN ZAHARI"</f>
        <v>MUHAMMAD ASHRAF BIN ZAHARI</v>
      </c>
      <c r="J493" t="str">
        <f t="shared" si="209"/>
        <v>CIMB BANK / CIMB ISLAMIC BANK</v>
      </c>
      <c r="K493" t="str">
        <f>"12180112411521"</f>
        <v>12180112411521</v>
      </c>
      <c r="L493" t="str">
        <f t="shared" si="213"/>
        <v>04-08-2020</v>
      </c>
      <c r="M493" t="str">
        <f t="shared" si="213"/>
        <v>04-08-2020</v>
      </c>
      <c r="N493" t="str">
        <f t="shared" si="197"/>
        <v>001105018356</v>
      </c>
      <c r="O493" t="str">
        <f t="shared" si="198"/>
        <v>MYR</v>
      </c>
      <c r="P493" t="str">
        <f t="shared" si="214"/>
        <v>NIL</v>
      </c>
      <c r="Q493" t="str">
        <f t="shared" si="214"/>
        <v>NIL</v>
      </c>
      <c r="R493" t="str">
        <f t="shared" si="199"/>
        <v>Accepted</v>
      </c>
      <c r="S493" t="str">
        <f t="shared" si="200"/>
        <v>Approved</v>
      </c>
      <c r="T493" t="str">
        <f t="shared" si="201"/>
        <v>10.20.8.188</v>
      </c>
      <c r="U493" t="str">
        <f t="shared" si="202"/>
        <v>AZRAD UMAR BIN SHAARI</v>
      </c>
      <c r="V493" t="str">
        <f t="shared" si="203"/>
        <v>FARHANA BINTI MUSTAPA</v>
      </c>
      <c r="W493" t="str">
        <f t="shared" si="204"/>
        <v>04-08-2020</v>
      </c>
      <c r="X493" t="str">
        <f t="shared" si="205"/>
        <v>RAZIMAH ANSAR AHMAD</v>
      </c>
      <c r="Y493" t="str">
        <f t="shared" si="206"/>
        <v>04-08-2020</v>
      </c>
      <c r="Z493" t="str">
        <f>"IDSB19200804 159"</f>
        <v>IDSB19200804 159</v>
      </c>
    </row>
    <row r="494" spans="1:26" x14ac:dyDescent="0.25">
      <c r="A494" t="str">
        <f t="shared" si="211"/>
        <v>04-08-2020 01:20:32</v>
      </c>
      <c r="B494" t="str">
        <f>"0000810469"</f>
        <v>0000810469</v>
      </c>
      <c r="C494" t="str">
        <f t="shared" si="212"/>
        <v>0000810311</v>
      </c>
      <c r="D494" t="str">
        <f t="shared" si="194"/>
        <v>73185</v>
      </c>
      <c r="E494" t="str">
        <f t="shared" si="195"/>
        <v>KFH-OPERATIONS DEPARTMENT</v>
      </c>
      <c r="F494" t="str">
        <f t="shared" si="196"/>
        <v>IBG</v>
      </c>
      <c r="G494" t="str">
        <f t="shared" si="210"/>
        <v>Refund IDSB 19</v>
      </c>
      <c r="H494" s="2">
        <v>1679</v>
      </c>
      <c r="I494" t="str">
        <f>"MUHAMAD JIPARUDDIN BIN SJAMSUDIN"</f>
        <v>MUHAMAD JIPARUDDIN BIN SJAMSUDIN</v>
      </c>
      <c r="J494" t="str">
        <f t="shared" si="209"/>
        <v>CIMB BANK / CIMB ISLAMIC BANK</v>
      </c>
      <c r="K494" t="str">
        <f>"14420072583523"</f>
        <v>14420072583523</v>
      </c>
      <c r="L494" t="str">
        <f t="shared" si="213"/>
        <v>04-08-2020</v>
      </c>
      <c r="M494" t="str">
        <f t="shared" si="213"/>
        <v>04-08-2020</v>
      </c>
      <c r="N494" t="str">
        <f t="shared" si="197"/>
        <v>001105018356</v>
      </c>
      <c r="O494" t="str">
        <f t="shared" si="198"/>
        <v>MYR</v>
      </c>
      <c r="P494" t="str">
        <f t="shared" si="214"/>
        <v>NIL</v>
      </c>
      <c r="Q494" t="str">
        <f t="shared" si="214"/>
        <v>NIL</v>
      </c>
      <c r="R494" t="str">
        <f t="shared" si="199"/>
        <v>Accepted</v>
      </c>
      <c r="S494" t="str">
        <f t="shared" si="200"/>
        <v>Approved</v>
      </c>
      <c r="T494" t="str">
        <f t="shared" si="201"/>
        <v>10.20.8.188</v>
      </c>
      <c r="U494" t="str">
        <f t="shared" si="202"/>
        <v>AZRAD UMAR BIN SHAARI</v>
      </c>
      <c r="V494" t="str">
        <f t="shared" si="203"/>
        <v>FARHANA BINTI MUSTAPA</v>
      </c>
      <c r="W494" t="str">
        <f t="shared" si="204"/>
        <v>04-08-2020</v>
      </c>
      <c r="X494" t="str">
        <f t="shared" si="205"/>
        <v>RAZIMAH ANSAR AHMAD</v>
      </c>
      <c r="Y494" t="str">
        <f t="shared" si="206"/>
        <v>04-08-2020</v>
      </c>
      <c r="Z494" t="str">
        <f>"IDSB19200804 158"</f>
        <v>IDSB19200804 158</v>
      </c>
    </row>
    <row r="495" spans="1:26" x14ac:dyDescent="0.25">
      <c r="A495" t="str">
        <f t="shared" si="211"/>
        <v>04-08-2020 01:20:32</v>
      </c>
      <c r="B495" t="str">
        <f>"0000810468"</f>
        <v>0000810468</v>
      </c>
      <c r="C495" t="str">
        <f t="shared" si="212"/>
        <v>0000810311</v>
      </c>
      <c r="D495" t="str">
        <f t="shared" si="194"/>
        <v>73185</v>
      </c>
      <c r="E495" t="str">
        <f t="shared" si="195"/>
        <v>KFH-OPERATIONS DEPARTMENT</v>
      </c>
      <c r="F495" t="str">
        <f t="shared" si="196"/>
        <v>IBG</v>
      </c>
      <c r="G495" t="str">
        <f t="shared" si="210"/>
        <v>Refund IDSB 19</v>
      </c>
      <c r="H495" s="2">
        <v>359</v>
      </c>
      <c r="I495" t="str">
        <f>"MUHAMAD ALIAS BIN JUMADI"</f>
        <v>MUHAMAD ALIAS BIN JUMADI</v>
      </c>
      <c r="J495" t="str">
        <f t="shared" si="209"/>
        <v>CIMB BANK / CIMB ISLAMIC BANK</v>
      </c>
      <c r="K495" t="str">
        <f>"01260003939520"</f>
        <v>01260003939520</v>
      </c>
      <c r="L495" t="str">
        <f t="shared" si="213"/>
        <v>04-08-2020</v>
      </c>
      <c r="M495" t="str">
        <f t="shared" si="213"/>
        <v>04-08-2020</v>
      </c>
      <c r="N495" t="str">
        <f t="shared" si="197"/>
        <v>001105018356</v>
      </c>
      <c r="O495" t="str">
        <f t="shared" si="198"/>
        <v>MYR</v>
      </c>
      <c r="P495" t="str">
        <f t="shared" si="214"/>
        <v>NIL</v>
      </c>
      <c r="Q495" t="str">
        <f t="shared" si="214"/>
        <v>NIL</v>
      </c>
      <c r="R495" t="str">
        <f t="shared" si="199"/>
        <v>Accepted</v>
      </c>
      <c r="S495" t="str">
        <f t="shared" si="200"/>
        <v>Approved</v>
      </c>
      <c r="T495" t="str">
        <f t="shared" si="201"/>
        <v>10.20.8.188</v>
      </c>
      <c r="U495" t="str">
        <f t="shared" si="202"/>
        <v>AZRAD UMAR BIN SHAARI</v>
      </c>
      <c r="V495" t="str">
        <f t="shared" si="203"/>
        <v>FARHANA BINTI MUSTAPA</v>
      </c>
      <c r="W495" t="str">
        <f t="shared" si="204"/>
        <v>04-08-2020</v>
      </c>
      <c r="X495" t="str">
        <f t="shared" si="205"/>
        <v>RAZIMAH ANSAR AHMAD</v>
      </c>
      <c r="Y495" t="str">
        <f t="shared" si="206"/>
        <v>04-08-2020</v>
      </c>
      <c r="Z495" t="str">
        <f>"IDSB19200804 157"</f>
        <v>IDSB19200804 157</v>
      </c>
    </row>
    <row r="496" spans="1:26" x14ac:dyDescent="0.25">
      <c r="A496" t="str">
        <f t="shared" si="211"/>
        <v>04-08-2020 01:20:32</v>
      </c>
      <c r="B496" t="str">
        <f>"0000810467"</f>
        <v>0000810467</v>
      </c>
      <c r="C496" t="str">
        <f t="shared" si="212"/>
        <v>0000810311</v>
      </c>
      <c r="D496" t="str">
        <f t="shared" si="194"/>
        <v>73185</v>
      </c>
      <c r="E496" t="str">
        <f t="shared" si="195"/>
        <v>KFH-OPERATIONS DEPARTMENT</v>
      </c>
      <c r="F496" t="str">
        <f t="shared" si="196"/>
        <v>IBG</v>
      </c>
      <c r="G496" t="str">
        <f t="shared" si="210"/>
        <v>Refund IDSB 19</v>
      </c>
      <c r="H496" s="2">
        <v>444.77</v>
      </c>
      <c r="I496" t="str">
        <f>"MUHAMAD AFFENDI BIN MANSHOR"</f>
        <v>MUHAMAD AFFENDI BIN MANSHOR</v>
      </c>
      <c r="J496" t="str">
        <f t="shared" si="209"/>
        <v>CIMB BANK / CIMB ISLAMIC BANK</v>
      </c>
      <c r="K496" t="str">
        <f>"7012860984"</f>
        <v>7012860984</v>
      </c>
      <c r="L496" t="str">
        <f t="shared" si="213"/>
        <v>04-08-2020</v>
      </c>
      <c r="M496" t="str">
        <f t="shared" si="213"/>
        <v>04-08-2020</v>
      </c>
      <c r="N496" t="str">
        <f t="shared" si="197"/>
        <v>001105018356</v>
      </c>
      <c r="O496" t="str">
        <f t="shared" si="198"/>
        <v>MYR</v>
      </c>
      <c r="P496" t="str">
        <f t="shared" si="214"/>
        <v>NIL</v>
      </c>
      <c r="Q496" t="str">
        <f t="shared" si="214"/>
        <v>NIL</v>
      </c>
      <c r="R496" t="str">
        <f t="shared" si="199"/>
        <v>Accepted</v>
      </c>
      <c r="S496" t="str">
        <f t="shared" si="200"/>
        <v>Approved</v>
      </c>
      <c r="T496" t="str">
        <f t="shared" si="201"/>
        <v>10.20.8.188</v>
      </c>
      <c r="U496" t="str">
        <f t="shared" si="202"/>
        <v>AZRAD UMAR BIN SHAARI</v>
      </c>
      <c r="V496" t="str">
        <f t="shared" si="203"/>
        <v>FARHANA BINTI MUSTAPA</v>
      </c>
      <c r="W496" t="str">
        <f t="shared" si="204"/>
        <v>04-08-2020</v>
      </c>
      <c r="X496" t="str">
        <f t="shared" si="205"/>
        <v>RAZIMAH ANSAR AHMAD</v>
      </c>
      <c r="Y496" t="str">
        <f t="shared" si="206"/>
        <v>04-08-2020</v>
      </c>
      <c r="Z496" t="str">
        <f>"IDSB19200804 156"</f>
        <v>IDSB19200804 156</v>
      </c>
    </row>
    <row r="497" spans="1:26" x14ac:dyDescent="0.25">
      <c r="A497" t="str">
        <f t="shared" si="211"/>
        <v>04-08-2020 01:20:32</v>
      </c>
      <c r="B497" t="str">
        <f>"0000810466"</f>
        <v>0000810466</v>
      </c>
      <c r="C497" t="str">
        <f t="shared" si="212"/>
        <v>0000810311</v>
      </c>
      <c r="D497" t="str">
        <f t="shared" si="194"/>
        <v>73185</v>
      </c>
      <c r="E497" t="str">
        <f t="shared" si="195"/>
        <v>KFH-OPERATIONS DEPARTMENT</v>
      </c>
      <c r="F497" t="str">
        <f t="shared" si="196"/>
        <v>IBG</v>
      </c>
      <c r="G497" t="str">
        <f t="shared" si="210"/>
        <v>Refund IDSB 19</v>
      </c>
      <c r="H497" s="2">
        <v>142.94</v>
      </c>
      <c r="I497" t="str">
        <f>"MOKHTAR BIN BAHARI"</f>
        <v>MOKHTAR BIN BAHARI</v>
      </c>
      <c r="J497" t="str">
        <f t="shared" si="209"/>
        <v>CIMB BANK / CIMB ISLAMIC BANK</v>
      </c>
      <c r="K497" t="str">
        <f>"02021106615500"</f>
        <v>02021106615500</v>
      </c>
      <c r="L497" t="str">
        <f t="shared" si="213"/>
        <v>04-08-2020</v>
      </c>
      <c r="M497" t="str">
        <f t="shared" si="213"/>
        <v>04-08-2020</v>
      </c>
      <c r="N497" t="str">
        <f t="shared" si="197"/>
        <v>001105018356</v>
      </c>
      <c r="O497" t="str">
        <f t="shared" si="198"/>
        <v>MYR</v>
      </c>
      <c r="P497" t="str">
        <f t="shared" si="214"/>
        <v>NIL</v>
      </c>
      <c r="Q497" t="str">
        <f t="shared" si="214"/>
        <v>NIL</v>
      </c>
      <c r="R497" t="str">
        <f t="shared" si="199"/>
        <v>Accepted</v>
      </c>
      <c r="S497" t="str">
        <f t="shared" si="200"/>
        <v>Approved</v>
      </c>
      <c r="T497" t="str">
        <f t="shared" si="201"/>
        <v>10.20.8.188</v>
      </c>
      <c r="U497" t="str">
        <f t="shared" si="202"/>
        <v>AZRAD UMAR BIN SHAARI</v>
      </c>
      <c r="V497" t="str">
        <f t="shared" si="203"/>
        <v>FARHANA BINTI MUSTAPA</v>
      </c>
      <c r="W497" t="str">
        <f t="shared" si="204"/>
        <v>04-08-2020</v>
      </c>
      <c r="X497" t="str">
        <f t="shared" si="205"/>
        <v>RAZIMAH ANSAR AHMAD</v>
      </c>
      <c r="Y497" t="str">
        <f t="shared" si="206"/>
        <v>04-08-2020</v>
      </c>
      <c r="Z497" t="str">
        <f>"IDSB19200804 155"</f>
        <v>IDSB19200804 155</v>
      </c>
    </row>
    <row r="498" spans="1:26" x14ac:dyDescent="0.25">
      <c r="A498" t="str">
        <f t="shared" si="211"/>
        <v>04-08-2020 01:20:32</v>
      </c>
      <c r="B498" t="str">
        <f>"0000810465"</f>
        <v>0000810465</v>
      </c>
      <c r="C498" t="str">
        <f t="shared" si="212"/>
        <v>0000810311</v>
      </c>
      <c r="D498" t="str">
        <f t="shared" si="194"/>
        <v>73185</v>
      </c>
      <c r="E498" t="str">
        <f t="shared" si="195"/>
        <v>KFH-OPERATIONS DEPARTMENT</v>
      </c>
      <c r="F498" t="str">
        <f t="shared" si="196"/>
        <v>IBG</v>
      </c>
      <c r="G498" t="str">
        <f t="shared" si="210"/>
        <v>Refund IDSB 19</v>
      </c>
      <c r="H498" s="2">
        <v>147.35</v>
      </c>
      <c r="I498" t="str">
        <f>"MOHDHAIRULAZMI BIN JAHIT"</f>
        <v>MOHDHAIRULAZMI BIN JAHIT</v>
      </c>
      <c r="J498" t="str">
        <f t="shared" si="209"/>
        <v>CIMB BANK / CIMB ISLAMIC BANK</v>
      </c>
      <c r="K498" t="str">
        <f>"12180095925528"</f>
        <v>12180095925528</v>
      </c>
      <c r="L498" t="str">
        <f t="shared" si="213"/>
        <v>04-08-2020</v>
      </c>
      <c r="M498" t="str">
        <f t="shared" si="213"/>
        <v>04-08-2020</v>
      </c>
      <c r="N498" t="str">
        <f t="shared" si="197"/>
        <v>001105018356</v>
      </c>
      <c r="O498" t="str">
        <f t="shared" si="198"/>
        <v>MYR</v>
      </c>
      <c r="P498" t="str">
        <f t="shared" si="214"/>
        <v>NIL</v>
      </c>
      <c r="Q498" t="str">
        <f t="shared" si="214"/>
        <v>NIL</v>
      </c>
      <c r="R498" t="str">
        <f t="shared" si="199"/>
        <v>Accepted</v>
      </c>
      <c r="S498" t="str">
        <f t="shared" si="200"/>
        <v>Approved</v>
      </c>
      <c r="T498" t="str">
        <f t="shared" si="201"/>
        <v>10.20.8.188</v>
      </c>
      <c r="U498" t="str">
        <f t="shared" si="202"/>
        <v>AZRAD UMAR BIN SHAARI</v>
      </c>
      <c r="V498" t="str">
        <f t="shared" si="203"/>
        <v>FARHANA BINTI MUSTAPA</v>
      </c>
      <c r="W498" t="str">
        <f t="shared" si="204"/>
        <v>04-08-2020</v>
      </c>
      <c r="X498" t="str">
        <f t="shared" si="205"/>
        <v>RAZIMAH ANSAR AHMAD</v>
      </c>
      <c r="Y498" t="str">
        <f t="shared" si="206"/>
        <v>04-08-2020</v>
      </c>
      <c r="Z498" t="str">
        <f>"IDSB19200804 154"</f>
        <v>IDSB19200804 154</v>
      </c>
    </row>
    <row r="499" spans="1:26" x14ac:dyDescent="0.25">
      <c r="A499" t="str">
        <f t="shared" si="211"/>
        <v>04-08-2020 01:20:32</v>
      </c>
      <c r="B499" t="str">
        <f>"0000810464"</f>
        <v>0000810464</v>
      </c>
      <c r="C499" t="str">
        <f t="shared" si="212"/>
        <v>0000810311</v>
      </c>
      <c r="D499" t="str">
        <f t="shared" si="194"/>
        <v>73185</v>
      </c>
      <c r="E499" t="str">
        <f t="shared" si="195"/>
        <v>KFH-OPERATIONS DEPARTMENT</v>
      </c>
      <c r="F499" t="str">
        <f t="shared" si="196"/>
        <v>IBG</v>
      </c>
      <c r="G499" t="str">
        <f t="shared" si="210"/>
        <v>Refund IDSB 19</v>
      </c>
      <c r="H499" s="2">
        <v>154.84</v>
      </c>
      <c r="I499" t="str">
        <f>"MOHD SUKRI BIN ABDUL RASHID"</f>
        <v>MOHD SUKRI BIN ABDUL RASHID</v>
      </c>
      <c r="J499" t="str">
        <f t="shared" si="209"/>
        <v>CIMB BANK / CIMB ISLAMIC BANK</v>
      </c>
      <c r="K499" t="str">
        <f>"02021106888509"</f>
        <v>02021106888509</v>
      </c>
      <c r="L499" t="str">
        <f t="shared" si="213"/>
        <v>04-08-2020</v>
      </c>
      <c r="M499" t="str">
        <f t="shared" si="213"/>
        <v>04-08-2020</v>
      </c>
      <c r="N499" t="str">
        <f t="shared" si="197"/>
        <v>001105018356</v>
      </c>
      <c r="O499" t="str">
        <f t="shared" si="198"/>
        <v>MYR</v>
      </c>
      <c r="P499" t="str">
        <f t="shared" si="214"/>
        <v>NIL</v>
      </c>
      <c r="Q499" t="str">
        <f t="shared" si="214"/>
        <v>NIL</v>
      </c>
      <c r="R499" t="str">
        <f t="shared" si="199"/>
        <v>Accepted</v>
      </c>
      <c r="S499" t="str">
        <f t="shared" si="200"/>
        <v>Approved</v>
      </c>
      <c r="T499" t="str">
        <f t="shared" si="201"/>
        <v>10.20.8.188</v>
      </c>
      <c r="U499" t="str">
        <f t="shared" si="202"/>
        <v>AZRAD UMAR BIN SHAARI</v>
      </c>
      <c r="V499" t="str">
        <f t="shared" si="203"/>
        <v>FARHANA BINTI MUSTAPA</v>
      </c>
      <c r="W499" t="str">
        <f t="shared" si="204"/>
        <v>04-08-2020</v>
      </c>
      <c r="X499" t="str">
        <f t="shared" si="205"/>
        <v>RAZIMAH ANSAR AHMAD</v>
      </c>
      <c r="Y499" t="str">
        <f t="shared" si="206"/>
        <v>04-08-2020</v>
      </c>
      <c r="Z499" t="str">
        <f>"IDSB19200804 153"</f>
        <v>IDSB19200804 153</v>
      </c>
    </row>
    <row r="500" spans="1:26" x14ac:dyDescent="0.25">
      <c r="A500" t="str">
        <f t="shared" si="211"/>
        <v>04-08-2020 01:20:32</v>
      </c>
      <c r="B500" t="str">
        <f>"0000810463"</f>
        <v>0000810463</v>
      </c>
      <c r="C500" t="str">
        <f t="shared" si="212"/>
        <v>0000810311</v>
      </c>
      <c r="D500" t="str">
        <f t="shared" si="194"/>
        <v>73185</v>
      </c>
      <c r="E500" t="str">
        <f t="shared" si="195"/>
        <v>KFH-OPERATIONS DEPARTMENT</v>
      </c>
      <c r="F500" t="str">
        <f t="shared" si="196"/>
        <v>IBG</v>
      </c>
      <c r="G500" t="str">
        <f t="shared" si="210"/>
        <v>Refund IDSB 19</v>
      </c>
      <c r="H500" s="2">
        <v>157.13</v>
      </c>
      <c r="I500" t="str">
        <f>"MOHD RIZAL BIN AHMAD"</f>
        <v>MOHD RIZAL BIN AHMAD</v>
      </c>
      <c r="J500" t="str">
        <f t="shared" si="209"/>
        <v>CIMB BANK / CIMB ISLAMIC BANK</v>
      </c>
      <c r="K500" t="str">
        <f>"02060069665526"</f>
        <v>02060069665526</v>
      </c>
      <c r="L500" t="str">
        <f t="shared" si="213"/>
        <v>04-08-2020</v>
      </c>
      <c r="M500" t="str">
        <f t="shared" si="213"/>
        <v>04-08-2020</v>
      </c>
      <c r="N500" t="str">
        <f t="shared" si="197"/>
        <v>001105018356</v>
      </c>
      <c r="O500" t="str">
        <f t="shared" si="198"/>
        <v>MYR</v>
      </c>
      <c r="P500" t="str">
        <f t="shared" si="214"/>
        <v>NIL</v>
      </c>
      <c r="Q500" t="str">
        <f t="shared" si="214"/>
        <v>NIL</v>
      </c>
      <c r="R500" t="str">
        <f t="shared" si="199"/>
        <v>Accepted</v>
      </c>
      <c r="S500" t="str">
        <f t="shared" si="200"/>
        <v>Approved</v>
      </c>
      <c r="T500" t="str">
        <f t="shared" si="201"/>
        <v>10.20.8.188</v>
      </c>
      <c r="U500" t="str">
        <f t="shared" si="202"/>
        <v>AZRAD UMAR BIN SHAARI</v>
      </c>
      <c r="V500" t="str">
        <f t="shared" si="203"/>
        <v>FARHANA BINTI MUSTAPA</v>
      </c>
      <c r="W500" t="str">
        <f t="shared" si="204"/>
        <v>04-08-2020</v>
      </c>
      <c r="X500" t="str">
        <f t="shared" si="205"/>
        <v>RAZIMAH ANSAR AHMAD</v>
      </c>
      <c r="Y500" t="str">
        <f t="shared" si="206"/>
        <v>04-08-2020</v>
      </c>
      <c r="Z500" t="str">
        <f>"IDSB19200804 152"</f>
        <v>IDSB19200804 152</v>
      </c>
    </row>
    <row r="501" spans="1:26" x14ac:dyDescent="0.25">
      <c r="A501" t="str">
        <f t="shared" si="211"/>
        <v>04-08-2020 01:20:32</v>
      </c>
      <c r="B501" t="str">
        <f>"0000810462"</f>
        <v>0000810462</v>
      </c>
      <c r="C501" t="str">
        <f t="shared" si="212"/>
        <v>0000810311</v>
      </c>
      <c r="D501" t="str">
        <f t="shared" si="194"/>
        <v>73185</v>
      </c>
      <c r="E501" t="str">
        <f t="shared" si="195"/>
        <v>KFH-OPERATIONS DEPARTMENT</v>
      </c>
      <c r="F501" t="str">
        <f t="shared" si="196"/>
        <v>IBG</v>
      </c>
      <c r="G501" t="str">
        <f t="shared" si="210"/>
        <v>Refund IDSB 19</v>
      </c>
      <c r="H501" s="2">
        <v>92.35</v>
      </c>
      <c r="I501" t="str">
        <f>"MOHD NASRULLAH BIN MOHAMAD"</f>
        <v>MOHD NASRULLAH BIN MOHAMAD</v>
      </c>
      <c r="J501" t="str">
        <f t="shared" ref="J501:J532" si="215">"CIMB BANK / CIMB ISLAMIC BANK"</f>
        <v>CIMB BANK / CIMB ISLAMIC BANK</v>
      </c>
      <c r="K501" t="str">
        <f>"02100031724520"</f>
        <v>02100031724520</v>
      </c>
      <c r="L501" t="str">
        <f t="shared" si="213"/>
        <v>04-08-2020</v>
      </c>
      <c r="M501" t="str">
        <f t="shared" si="213"/>
        <v>04-08-2020</v>
      </c>
      <c r="N501" t="str">
        <f t="shared" si="197"/>
        <v>001105018356</v>
      </c>
      <c r="O501" t="str">
        <f t="shared" si="198"/>
        <v>MYR</v>
      </c>
      <c r="P501" t="str">
        <f t="shared" si="214"/>
        <v>NIL</v>
      </c>
      <c r="Q501" t="str">
        <f t="shared" si="214"/>
        <v>NIL</v>
      </c>
      <c r="R501" t="str">
        <f t="shared" si="199"/>
        <v>Accepted</v>
      </c>
      <c r="S501" t="str">
        <f t="shared" si="200"/>
        <v>Approved</v>
      </c>
      <c r="T501" t="str">
        <f t="shared" si="201"/>
        <v>10.20.8.188</v>
      </c>
      <c r="U501" t="str">
        <f t="shared" si="202"/>
        <v>AZRAD UMAR BIN SHAARI</v>
      </c>
      <c r="V501" t="str">
        <f t="shared" si="203"/>
        <v>FARHANA BINTI MUSTAPA</v>
      </c>
      <c r="W501" t="str">
        <f t="shared" si="204"/>
        <v>04-08-2020</v>
      </c>
      <c r="X501" t="str">
        <f t="shared" si="205"/>
        <v>RAZIMAH ANSAR AHMAD</v>
      </c>
      <c r="Y501" t="str">
        <f t="shared" si="206"/>
        <v>04-08-2020</v>
      </c>
      <c r="Z501" t="str">
        <f>"IDSB19200804 151"</f>
        <v>IDSB19200804 151</v>
      </c>
    </row>
    <row r="502" spans="1:26" x14ac:dyDescent="0.25">
      <c r="A502" t="str">
        <f t="shared" si="211"/>
        <v>04-08-2020 01:20:32</v>
      </c>
      <c r="B502" t="str">
        <f>"0000810461"</f>
        <v>0000810461</v>
      </c>
      <c r="C502" t="str">
        <f t="shared" si="212"/>
        <v>0000810311</v>
      </c>
      <c r="D502" t="str">
        <f t="shared" si="194"/>
        <v>73185</v>
      </c>
      <c r="E502" t="str">
        <f t="shared" si="195"/>
        <v>KFH-OPERATIONS DEPARTMENT</v>
      </c>
      <c r="F502" t="str">
        <f t="shared" si="196"/>
        <v>IBG</v>
      </c>
      <c r="G502" t="str">
        <f t="shared" si="210"/>
        <v>Refund IDSB 19</v>
      </c>
      <c r="H502" s="2">
        <v>92.32</v>
      </c>
      <c r="I502" t="str">
        <f>"MOHD KHAIRULNIZAM BIN JUSOH"</f>
        <v>MOHD KHAIRULNIZAM BIN JUSOH</v>
      </c>
      <c r="J502" t="str">
        <f t="shared" si="215"/>
        <v>CIMB BANK / CIMB ISLAMIC BANK</v>
      </c>
      <c r="K502" t="str">
        <f>"7036635293"</f>
        <v>7036635293</v>
      </c>
      <c r="L502" t="str">
        <f t="shared" si="213"/>
        <v>04-08-2020</v>
      </c>
      <c r="M502" t="str">
        <f t="shared" si="213"/>
        <v>04-08-2020</v>
      </c>
      <c r="N502" t="str">
        <f t="shared" si="197"/>
        <v>001105018356</v>
      </c>
      <c r="O502" t="str">
        <f t="shared" si="198"/>
        <v>MYR</v>
      </c>
      <c r="P502" t="str">
        <f t="shared" si="214"/>
        <v>NIL</v>
      </c>
      <c r="Q502" t="str">
        <f t="shared" si="214"/>
        <v>NIL</v>
      </c>
      <c r="R502" t="str">
        <f t="shared" si="199"/>
        <v>Accepted</v>
      </c>
      <c r="S502" t="str">
        <f t="shared" si="200"/>
        <v>Approved</v>
      </c>
      <c r="T502" t="str">
        <f t="shared" si="201"/>
        <v>10.20.8.188</v>
      </c>
      <c r="U502" t="str">
        <f t="shared" si="202"/>
        <v>AZRAD UMAR BIN SHAARI</v>
      </c>
      <c r="V502" t="str">
        <f t="shared" si="203"/>
        <v>FARHANA BINTI MUSTAPA</v>
      </c>
      <c r="W502" t="str">
        <f t="shared" si="204"/>
        <v>04-08-2020</v>
      </c>
      <c r="X502" t="str">
        <f t="shared" si="205"/>
        <v>RAZIMAH ANSAR AHMAD</v>
      </c>
      <c r="Y502" t="str">
        <f t="shared" si="206"/>
        <v>04-08-2020</v>
      </c>
      <c r="Z502" t="str">
        <f>"IDSB19200804 150"</f>
        <v>IDSB19200804 150</v>
      </c>
    </row>
    <row r="503" spans="1:26" x14ac:dyDescent="0.25">
      <c r="A503" t="str">
        <f t="shared" si="211"/>
        <v>04-08-2020 01:20:32</v>
      </c>
      <c r="B503" t="str">
        <f>"0000810460"</f>
        <v>0000810460</v>
      </c>
      <c r="C503" t="str">
        <f t="shared" si="212"/>
        <v>0000810311</v>
      </c>
      <c r="D503" t="str">
        <f t="shared" si="194"/>
        <v>73185</v>
      </c>
      <c r="E503" t="str">
        <f t="shared" si="195"/>
        <v>KFH-OPERATIONS DEPARTMENT</v>
      </c>
      <c r="F503" t="str">
        <f t="shared" si="196"/>
        <v>IBG</v>
      </c>
      <c r="G503" t="str">
        <f t="shared" si="210"/>
        <v>Refund IDSB 19</v>
      </c>
      <c r="H503" s="2">
        <v>125.95</v>
      </c>
      <c r="I503" t="str">
        <f>"MOHD IQBAL BIN ABDULLAH"</f>
        <v>MOHD IQBAL BIN ABDULLAH</v>
      </c>
      <c r="J503" t="str">
        <f t="shared" si="215"/>
        <v>CIMB BANK / CIMB ISLAMIC BANK</v>
      </c>
      <c r="K503" t="str">
        <f>"7043044697"</f>
        <v>7043044697</v>
      </c>
      <c r="L503" t="str">
        <f t="shared" si="213"/>
        <v>04-08-2020</v>
      </c>
      <c r="M503" t="str">
        <f t="shared" si="213"/>
        <v>04-08-2020</v>
      </c>
      <c r="N503" t="str">
        <f t="shared" si="197"/>
        <v>001105018356</v>
      </c>
      <c r="O503" t="str">
        <f t="shared" si="198"/>
        <v>MYR</v>
      </c>
      <c r="P503" t="str">
        <f t="shared" si="214"/>
        <v>NIL</v>
      </c>
      <c r="Q503" t="str">
        <f t="shared" si="214"/>
        <v>NIL</v>
      </c>
      <c r="R503" t="str">
        <f t="shared" si="199"/>
        <v>Accepted</v>
      </c>
      <c r="S503" t="str">
        <f t="shared" si="200"/>
        <v>Approved</v>
      </c>
      <c r="T503" t="str">
        <f t="shared" si="201"/>
        <v>10.20.8.188</v>
      </c>
      <c r="U503" t="str">
        <f t="shared" si="202"/>
        <v>AZRAD UMAR BIN SHAARI</v>
      </c>
      <c r="V503" t="str">
        <f t="shared" si="203"/>
        <v>FARHANA BINTI MUSTAPA</v>
      </c>
      <c r="W503" t="str">
        <f t="shared" si="204"/>
        <v>04-08-2020</v>
      </c>
      <c r="X503" t="str">
        <f t="shared" si="205"/>
        <v>RAZIMAH ANSAR AHMAD</v>
      </c>
      <c r="Y503" t="str">
        <f t="shared" si="206"/>
        <v>04-08-2020</v>
      </c>
      <c r="Z503" t="str">
        <f>"IDSB19200804 149"</f>
        <v>IDSB19200804 149</v>
      </c>
    </row>
    <row r="504" spans="1:26" x14ac:dyDescent="0.25">
      <c r="A504" t="str">
        <f t="shared" si="211"/>
        <v>04-08-2020 01:20:32</v>
      </c>
      <c r="B504" t="str">
        <f>"0000810459"</f>
        <v>0000810459</v>
      </c>
      <c r="C504" t="str">
        <f t="shared" si="212"/>
        <v>0000810311</v>
      </c>
      <c r="D504" t="str">
        <f t="shared" si="194"/>
        <v>73185</v>
      </c>
      <c r="E504" t="str">
        <f t="shared" si="195"/>
        <v>KFH-OPERATIONS DEPARTMENT</v>
      </c>
      <c r="F504" t="str">
        <f t="shared" si="196"/>
        <v>IBG</v>
      </c>
      <c r="G504" t="str">
        <f t="shared" si="210"/>
        <v>Refund IDSB 19</v>
      </c>
      <c r="H504" s="2">
        <v>2036.3</v>
      </c>
      <c r="I504" t="str">
        <f>"MOHD HAFIZ BIN ASKIAK"</f>
        <v>MOHD HAFIZ BIN ASKIAK</v>
      </c>
      <c r="J504" t="str">
        <f t="shared" si="215"/>
        <v>CIMB BANK / CIMB ISLAMIC BANK</v>
      </c>
      <c r="K504" t="str">
        <f>"7008184022"</f>
        <v>7008184022</v>
      </c>
      <c r="L504" t="str">
        <f t="shared" si="213"/>
        <v>04-08-2020</v>
      </c>
      <c r="M504" t="str">
        <f t="shared" si="213"/>
        <v>04-08-2020</v>
      </c>
      <c r="N504" t="str">
        <f t="shared" si="197"/>
        <v>001105018356</v>
      </c>
      <c r="O504" t="str">
        <f t="shared" si="198"/>
        <v>MYR</v>
      </c>
      <c r="P504" t="str">
        <f t="shared" si="214"/>
        <v>NIL</v>
      </c>
      <c r="Q504" t="str">
        <f t="shared" si="214"/>
        <v>NIL</v>
      </c>
      <c r="R504" t="str">
        <f t="shared" si="199"/>
        <v>Accepted</v>
      </c>
      <c r="S504" t="str">
        <f t="shared" si="200"/>
        <v>Approved</v>
      </c>
      <c r="T504" t="str">
        <f t="shared" si="201"/>
        <v>10.20.8.188</v>
      </c>
      <c r="U504" t="str">
        <f t="shared" si="202"/>
        <v>AZRAD UMAR BIN SHAARI</v>
      </c>
      <c r="V504" t="str">
        <f t="shared" si="203"/>
        <v>FARHANA BINTI MUSTAPA</v>
      </c>
      <c r="W504" t="str">
        <f t="shared" si="204"/>
        <v>04-08-2020</v>
      </c>
      <c r="X504" t="str">
        <f t="shared" si="205"/>
        <v>RAZIMAH ANSAR AHMAD</v>
      </c>
      <c r="Y504" t="str">
        <f t="shared" si="206"/>
        <v>04-08-2020</v>
      </c>
      <c r="Z504" t="str">
        <f>"IDSB19200804 148"</f>
        <v>IDSB19200804 148</v>
      </c>
    </row>
    <row r="505" spans="1:26" x14ac:dyDescent="0.25">
      <c r="A505" t="str">
        <f t="shared" si="211"/>
        <v>04-08-2020 01:20:32</v>
      </c>
      <c r="B505" t="str">
        <f>"0000810458"</f>
        <v>0000810458</v>
      </c>
      <c r="C505" t="str">
        <f t="shared" si="212"/>
        <v>0000810311</v>
      </c>
      <c r="D505" t="str">
        <f t="shared" si="194"/>
        <v>73185</v>
      </c>
      <c r="E505" t="str">
        <f t="shared" si="195"/>
        <v>KFH-OPERATIONS DEPARTMENT</v>
      </c>
      <c r="F505" t="str">
        <f t="shared" si="196"/>
        <v>IBG</v>
      </c>
      <c r="G505" t="str">
        <f t="shared" si="210"/>
        <v>Refund IDSB 19</v>
      </c>
      <c r="H505" s="2">
        <v>61</v>
      </c>
      <c r="I505" t="str">
        <f>"MOHD FAIZAN BIN HARUN"</f>
        <v>MOHD FAIZAN BIN HARUN</v>
      </c>
      <c r="J505" t="str">
        <f t="shared" si="215"/>
        <v>CIMB BANK / CIMB ISLAMIC BANK</v>
      </c>
      <c r="K505" t="str">
        <f>"12310065181526"</f>
        <v>12310065181526</v>
      </c>
      <c r="L505" t="str">
        <f t="shared" si="213"/>
        <v>04-08-2020</v>
      </c>
      <c r="M505" t="str">
        <f t="shared" si="213"/>
        <v>04-08-2020</v>
      </c>
      <c r="N505" t="str">
        <f t="shared" si="197"/>
        <v>001105018356</v>
      </c>
      <c r="O505" t="str">
        <f t="shared" si="198"/>
        <v>MYR</v>
      </c>
      <c r="P505" t="str">
        <f t="shared" si="214"/>
        <v>NIL</v>
      </c>
      <c r="Q505" t="str">
        <f t="shared" si="214"/>
        <v>NIL</v>
      </c>
      <c r="R505" t="str">
        <f t="shared" si="199"/>
        <v>Accepted</v>
      </c>
      <c r="S505" t="str">
        <f t="shared" si="200"/>
        <v>Approved</v>
      </c>
      <c r="T505" t="str">
        <f t="shared" si="201"/>
        <v>10.20.8.188</v>
      </c>
      <c r="U505" t="str">
        <f t="shared" si="202"/>
        <v>AZRAD UMAR BIN SHAARI</v>
      </c>
      <c r="V505" t="str">
        <f t="shared" si="203"/>
        <v>FARHANA BINTI MUSTAPA</v>
      </c>
      <c r="W505" t="str">
        <f t="shared" si="204"/>
        <v>04-08-2020</v>
      </c>
      <c r="X505" t="str">
        <f t="shared" si="205"/>
        <v>RAZIMAH ANSAR AHMAD</v>
      </c>
      <c r="Y505" t="str">
        <f t="shared" si="206"/>
        <v>04-08-2020</v>
      </c>
      <c r="Z505" t="str">
        <f>"IDSB19200804 147"</f>
        <v>IDSB19200804 147</v>
      </c>
    </row>
    <row r="506" spans="1:26" x14ac:dyDescent="0.25">
      <c r="A506" t="str">
        <f t="shared" si="211"/>
        <v>04-08-2020 01:20:32</v>
      </c>
      <c r="B506" t="str">
        <f>"0000810457"</f>
        <v>0000810457</v>
      </c>
      <c r="C506" t="str">
        <f t="shared" si="212"/>
        <v>0000810311</v>
      </c>
      <c r="D506" t="str">
        <f t="shared" si="194"/>
        <v>73185</v>
      </c>
      <c r="E506" t="str">
        <f t="shared" si="195"/>
        <v>KFH-OPERATIONS DEPARTMENT</v>
      </c>
      <c r="F506" t="str">
        <f t="shared" si="196"/>
        <v>IBG</v>
      </c>
      <c r="G506" t="str">
        <f t="shared" si="210"/>
        <v>Refund IDSB 19</v>
      </c>
      <c r="H506" s="2">
        <v>198</v>
      </c>
      <c r="I506" t="str">
        <f>"MOHD AZUAN BIN MOHD ARIFIN"</f>
        <v>MOHD AZUAN BIN MOHD ARIFIN</v>
      </c>
      <c r="J506" t="str">
        <f t="shared" si="215"/>
        <v>CIMB BANK / CIMB ISLAMIC BANK</v>
      </c>
      <c r="K506" t="str">
        <f>"12030401682527"</f>
        <v>12030401682527</v>
      </c>
      <c r="L506" t="str">
        <f t="shared" si="213"/>
        <v>04-08-2020</v>
      </c>
      <c r="M506" t="str">
        <f t="shared" si="213"/>
        <v>04-08-2020</v>
      </c>
      <c r="N506" t="str">
        <f t="shared" si="197"/>
        <v>001105018356</v>
      </c>
      <c r="O506" t="str">
        <f t="shared" si="198"/>
        <v>MYR</v>
      </c>
      <c r="P506" t="str">
        <f t="shared" si="214"/>
        <v>NIL</v>
      </c>
      <c r="Q506" t="str">
        <f t="shared" si="214"/>
        <v>NIL</v>
      </c>
      <c r="R506" t="str">
        <f t="shared" si="199"/>
        <v>Accepted</v>
      </c>
      <c r="S506" t="str">
        <f t="shared" si="200"/>
        <v>Approved</v>
      </c>
      <c r="T506" t="str">
        <f t="shared" si="201"/>
        <v>10.20.8.188</v>
      </c>
      <c r="U506" t="str">
        <f t="shared" si="202"/>
        <v>AZRAD UMAR BIN SHAARI</v>
      </c>
      <c r="V506" t="str">
        <f t="shared" si="203"/>
        <v>FARHANA BINTI MUSTAPA</v>
      </c>
      <c r="W506" t="str">
        <f t="shared" si="204"/>
        <v>04-08-2020</v>
      </c>
      <c r="X506" t="str">
        <f t="shared" si="205"/>
        <v>RAZIMAH ANSAR AHMAD</v>
      </c>
      <c r="Y506" t="str">
        <f t="shared" si="206"/>
        <v>04-08-2020</v>
      </c>
      <c r="Z506" t="str">
        <f>"IDSB19200804 146"</f>
        <v>IDSB19200804 146</v>
      </c>
    </row>
    <row r="507" spans="1:26" x14ac:dyDescent="0.25">
      <c r="A507" t="str">
        <f t="shared" si="211"/>
        <v>04-08-2020 01:20:32</v>
      </c>
      <c r="B507" t="str">
        <f>"0000810456"</f>
        <v>0000810456</v>
      </c>
      <c r="C507" t="str">
        <f t="shared" si="212"/>
        <v>0000810311</v>
      </c>
      <c r="D507" t="str">
        <f t="shared" si="194"/>
        <v>73185</v>
      </c>
      <c r="E507" t="str">
        <f t="shared" si="195"/>
        <v>KFH-OPERATIONS DEPARTMENT</v>
      </c>
      <c r="F507" t="str">
        <f t="shared" si="196"/>
        <v>IBG</v>
      </c>
      <c r="G507" t="str">
        <f t="shared" si="210"/>
        <v>Refund IDSB 19</v>
      </c>
      <c r="H507" s="2">
        <v>671.6</v>
      </c>
      <c r="I507" t="str">
        <f>"MOHAMMAD MUHAJIRIN BIN MALIK  ABD MALIK"</f>
        <v>MOHAMMAD MUHAJIRIN BIN MALIK  ABD MALIK</v>
      </c>
      <c r="J507" t="str">
        <f t="shared" si="215"/>
        <v>CIMB BANK / CIMB ISLAMIC BANK</v>
      </c>
      <c r="K507" t="str">
        <f>"01070025327528"</f>
        <v>01070025327528</v>
      </c>
      <c r="L507" t="str">
        <f t="shared" ref="L507:M526" si="216">"04-08-2020"</f>
        <v>04-08-2020</v>
      </c>
      <c r="M507" t="str">
        <f t="shared" si="216"/>
        <v>04-08-2020</v>
      </c>
      <c r="N507" t="str">
        <f t="shared" si="197"/>
        <v>001105018356</v>
      </c>
      <c r="O507" t="str">
        <f t="shared" si="198"/>
        <v>MYR</v>
      </c>
      <c r="P507" t="str">
        <f t="shared" ref="P507:Q526" si="217">"NIL"</f>
        <v>NIL</v>
      </c>
      <c r="Q507" t="str">
        <f t="shared" si="217"/>
        <v>NIL</v>
      </c>
      <c r="R507" t="str">
        <f t="shared" si="199"/>
        <v>Accepted</v>
      </c>
      <c r="S507" t="str">
        <f t="shared" si="200"/>
        <v>Approved</v>
      </c>
      <c r="T507" t="str">
        <f t="shared" si="201"/>
        <v>10.20.8.188</v>
      </c>
      <c r="U507" t="str">
        <f t="shared" si="202"/>
        <v>AZRAD UMAR BIN SHAARI</v>
      </c>
      <c r="V507" t="str">
        <f t="shared" si="203"/>
        <v>FARHANA BINTI MUSTAPA</v>
      </c>
      <c r="W507" t="str">
        <f t="shared" si="204"/>
        <v>04-08-2020</v>
      </c>
      <c r="X507" t="str">
        <f t="shared" si="205"/>
        <v>RAZIMAH ANSAR AHMAD</v>
      </c>
      <c r="Y507" t="str">
        <f t="shared" si="206"/>
        <v>04-08-2020</v>
      </c>
      <c r="Z507" t="str">
        <f>"IDSB19200804 145"</f>
        <v>IDSB19200804 145</v>
      </c>
    </row>
    <row r="508" spans="1:26" x14ac:dyDescent="0.25">
      <c r="A508" t="str">
        <f t="shared" si="211"/>
        <v>04-08-2020 01:20:32</v>
      </c>
      <c r="B508" t="str">
        <f>"0000810455"</f>
        <v>0000810455</v>
      </c>
      <c r="C508" t="str">
        <f t="shared" si="212"/>
        <v>0000810311</v>
      </c>
      <c r="D508" t="str">
        <f t="shared" si="194"/>
        <v>73185</v>
      </c>
      <c r="E508" t="str">
        <f t="shared" si="195"/>
        <v>KFH-OPERATIONS DEPARTMENT</v>
      </c>
      <c r="F508" t="str">
        <f t="shared" si="196"/>
        <v>IBG</v>
      </c>
      <c r="G508" t="str">
        <f t="shared" si="210"/>
        <v>Refund IDSB 19</v>
      </c>
      <c r="H508" s="2">
        <v>127.7</v>
      </c>
      <c r="I508" t="str">
        <f>"MOHAMMAD FOUZI BIN ABDULLAH TAIB"</f>
        <v>MOHAMMAD FOUZI BIN ABDULLAH TAIB</v>
      </c>
      <c r="J508" t="str">
        <f t="shared" si="215"/>
        <v>CIMB BANK / CIMB ISLAMIC BANK</v>
      </c>
      <c r="K508" t="str">
        <f>"12170065054525"</f>
        <v>12170065054525</v>
      </c>
      <c r="L508" t="str">
        <f t="shared" si="216"/>
        <v>04-08-2020</v>
      </c>
      <c r="M508" t="str">
        <f t="shared" si="216"/>
        <v>04-08-2020</v>
      </c>
      <c r="N508" t="str">
        <f t="shared" si="197"/>
        <v>001105018356</v>
      </c>
      <c r="O508" t="str">
        <f t="shared" si="198"/>
        <v>MYR</v>
      </c>
      <c r="P508" t="str">
        <f t="shared" si="217"/>
        <v>NIL</v>
      </c>
      <c r="Q508" t="str">
        <f t="shared" si="217"/>
        <v>NIL</v>
      </c>
      <c r="R508" t="str">
        <f t="shared" si="199"/>
        <v>Accepted</v>
      </c>
      <c r="S508" t="str">
        <f t="shared" si="200"/>
        <v>Approved</v>
      </c>
      <c r="T508" t="str">
        <f t="shared" si="201"/>
        <v>10.20.8.188</v>
      </c>
      <c r="U508" t="str">
        <f t="shared" si="202"/>
        <v>AZRAD UMAR BIN SHAARI</v>
      </c>
      <c r="V508" t="str">
        <f t="shared" si="203"/>
        <v>FARHANA BINTI MUSTAPA</v>
      </c>
      <c r="W508" t="str">
        <f t="shared" si="204"/>
        <v>04-08-2020</v>
      </c>
      <c r="X508" t="str">
        <f t="shared" si="205"/>
        <v>RAZIMAH ANSAR AHMAD</v>
      </c>
      <c r="Y508" t="str">
        <f t="shared" si="206"/>
        <v>04-08-2020</v>
      </c>
      <c r="Z508" t="str">
        <f>"IDSB19200804 144"</f>
        <v>IDSB19200804 144</v>
      </c>
    </row>
    <row r="509" spans="1:26" x14ac:dyDescent="0.25">
      <c r="A509" t="str">
        <f t="shared" si="211"/>
        <v>04-08-2020 01:20:32</v>
      </c>
      <c r="B509" t="str">
        <f>"0000810454"</f>
        <v>0000810454</v>
      </c>
      <c r="C509" t="str">
        <f t="shared" si="212"/>
        <v>0000810311</v>
      </c>
      <c r="D509" t="str">
        <f t="shared" si="194"/>
        <v>73185</v>
      </c>
      <c r="E509" t="str">
        <f t="shared" si="195"/>
        <v>KFH-OPERATIONS DEPARTMENT</v>
      </c>
      <c r="F509" t="str">
        <f t="shared" si="196"/>
        <v>IBG</v>
      </c>
      <c r="G509" t="str">
        <f t="shared" si="210"/>
        <v>Refund IDSB 19</v>
      </c>
      <c r="H509" s="2">
        <v>380.95</v>
      </c>
      <c r="I509" t="str">
        <f>"MOHAMMAD FIRDAUS RABIHAN BIN MD RUS"</f>
        <v>MOHAMMAD FIRDAUS RABIHAN BIN MD RUS</v>
      </c>
      <c r="J509" t="str">
        <f t="shared" si="215"/>
        <v>CIMB BANK / CIMB ISLAMIC BANK</v>
      </c>
      <c r="K509" t="str">
        <f>"7012891061"</f>
        <v>7012891061</v>
      </c>
      <c r="L509" t="str">
        <f t="shared" si="216"/>
        <v>04-08-2020</v>
      </c>
      <c r="M509" t="str">
        <f t="shared" si="216"/>
        <v>04-08-2020</v>
      </c>
      <c r="N509" t="str">
        <f t="shared" si="197"/>
        <v>001105018356</v>
      </c>
      <c r="O509" t="str">
        <f t="shared" si="198"/>
        <v>MYR</v>
      </c>
      <c r="P509" t="str">
        <f t="shared" si="217"/>
        <v>NIL</v>
      </c>
      <c r="Q509" t="str">
        <f t="shared" si="217"/>
        <v>NIL</v>
      </c>
      <c r="R509" t="str">
        <f t="shared" si="199"/>
        <v>Accepted</v>
      </c>
      <c r="S509" t="str">
        <f t="shared" si="200"/>
        <v>Approved</v>
      </c>
      <c r="T509" t="str">
        <f t="shared" si="201"/>
        <v>10.20.8.188</v>
      </c>
      <c r="U509" t="str">
        <f t="shared" si="202"/>
        <v>AZRAD UMAR BIN SHAARI</v>
      </c>
      <c r="V509" t="str">
        <f t="shared" si="203"/>
        <v>FARHANA BINTI MUSTAPA</v>
      </c>
      <c r="W509" t="str">
        <f t="shared" si="204"/>
        <v>04-08-2020</v>
      </c>
      <c r="X509" t="str">
        <f t="shared" si="205"/>
        <v>RAZIMAH ANSAR AHMAD</v>
      </c>
      <c r="Y509" t="str">
        <f t="shared" si="206"/>
        <v>04-08-2020</v>
      </c>
      <c r="Z509" t="str">
        <f>"IDSB19200804 143"</f>
        <v>IDSB19200804 143</v>
      </c>
    </row>
    <row r="510" spans="1:26" x14ac:dyDescent="0.25">
      <c r="A510" t="str">
        <f t="shared" si="211"/>
        <v>04-08-2020 01:20:32</v>
      </c>
      <c r="B510" t="str">
        <f>"0000810453"</f>
        <v>0000810453</v>
      </c>
      <c r="C510" t="str">
        <f t="shared" si="212"/>
        <v>0000810311</v>
      </c>
      <c r="D510" t="str">
        <f t="shared" si="194"/>
        <v>73185</v>
      </c>
      <c r="E510" t="str">
        <f t="shared" si="195"/>
        <v>KFH-OPERATIONS DEPARTMENT</v>
      </c>
      <c r="F510" t="str">
        <f t="shared" si="196"/>
        <v>IBG</v>
      </c>
      <c r="G510" t="str">
        <f t="shared" si="210"/>
        <v>Refund IDSB 19</v>
      </c>
      <c r="H510" s="2">
        <v>1270.3499999999999</v>
      </c>
      <c r="I510" t="str">
        <f>"MOHAMMAD ARIF BIN KAMARUDIN"</f>
        <v>MOHAMMAD ARIF BIN KAMARUDIN</v>
      </c>
      <c r="J510" t="str">
        <f t="shared" si="215"/>
        <v>CIMB BANK / CIMB ISLAMIC BANK</v>
      </c>
      <c r="K510" t="str">
        <f>"14160044173529"</f>
        <v>14160044173529</v>
      </c>
      <c r="L510" t="str">
        <f t="shared" si="216"/>
        <v>04-08-2020</v>
      </c>
      <c r="M510" t="str">
        <f t="shared" si="216"/>
        <v>04-08-2020</v>
      </c>
      <c r="N510" t="str">
        <f t="shared" si="197"/>
        <v>001105018356</v>
      </c>
      <c r="O510" t="str">
        <f t="shared" si="198"/>
        <v>MYR</v>
      </c>
      <c r="P510" t="str">
        <f t="shared" si="217"/>
        <v>NIL</v>
      </c>
      <c r="Q510" t="str">
        <f t="shared" si="217"/>
        <v>NIL</v>
      </c>
      <c r="R510" t="str">
        <f t="shared" si="199"/>
        <v>Accepted</v>
      </c>
      <c r="S510" t="str">
        <f t="shared" si="200"/>
        <v>Approved</v>
      </c>
      <c r="T510" t="str">
        <f t="shared" si="201"/>
        <v>10.20.8.188</v>
      </c>
      <c r="U510" t="str">
        <f t="shared" si="202"/>
        <v>AZRAD UMAR BIN SHAARI</v>
      </c>
      <c r="V510" t="str">
        <f t="shared" si="203"/>
        <v>FARHANA BINTI MUSTAPA</v>
      </c>
      <c r="W510" t="str">
        <f t="shared" si="204"/>
        <v>04-08-2020</v>
      </c>
      <c r="X510" t="str">
        <f t="shared" si="205"/>
        <v>RAZIMAH ANSAR AHMAD</v>
      </c>
      <c r="Y510" t="str">
        <f t="shared" si="206"/>
        <v>04-08-2020</v>
      </c>
      <c r="Z510" t="str">
        <f>"IDSB19200804 142"</f>
        <v>IDSB19200804 142</v>
      </c>
    </row>
    <row r="511" spans="1:26" x14ac:dyDescent="0.25">
      <c r="A511" t="str">
        <f t="shared" si="211"/>
        <v>04-08-2020 01:20:32</v>
      </c>
      <c r="B511" t="str">
        <f>"0000810452"</f>
        <v>0000810452</v>
      </c>
      <c r="C511" t="str">
        <f t="shared" si="212"/>
        <v>0000810311</v>
      </c>
      <c r="D511" t="str">
        <f t="shared" si="194"/>
        <v>73185</v>
      </c>
      <c r="E511" t="str">
        <f t="shared" si="195"/>
        <v>KFH-OPERATIONS DEPARTMENT</v>
      </c>
      <c r="F511" t="str">
        <f t="shared" si="196"/>
        <v>IBG</v>
      </c>
      <c r="G511" t="str">
        <f t="shared" si="210"/>
        <v>Refund IDSB 19</v>
      </c>
      <c r="H511" s="2">
        <v>1214</v>
      </c>
      <c r="I511" t="str">
        <f>"MOHAMAT NAJIB BIN MAT NOOR"</f>
        <v>MOHAMAT NAJIB BIN MAT NOOR</v>
      </c>
      <c r="J511" t="str">
        <f t="shared" si="215"/>
        <v>CIMB BANK / CIMB ISLAMIC BANK</v>
      </c>
      <c r="K511" t="str">
        <f>"7048423812"</f>
        <v>7048423812</v>
      </c>
      <c r="L511" t="str">
        <f t="shared" si="216"/>
        <v>04-08-2020</v>
      </c>
      <c r="M511" t="str">
        <f t="shared" si="216"/>
        <v>04-08-2020</v>
      </c>
      <c r="N511" t="str">
        <f t="shared" si="197"/>
        <v>001105018356</v>
      </c>
      <c r="O511" t="str">
        <f t="shared" si="198"/>
        <v>MYR</v>
      </c>
      <c r="P511" t="str">
        <f t="shared" si="217"/>
        <v>NIL</v>
      </c>
      <c r="Q511" t="str">
        <f t="shared" si="217"/>
        <v>NIL</v>
      </c>
      <c r="R511" t="str">
        <f t="shared" si="199"/>
        <v>Accepted</v>
      </c>
      <c r="S511" t="str">
        <f t="shared" si="200"/>
        <v>Approved</v>
      </c>
      <c r="T511" t="str">
        <f t="shared" si="201"/>
        <v>10.20.8.188</v>
      </c>
      <c r="U511" t="str">
        <f t="shared" si="202"/>
        <v>AZRAD UMAR BIN SHAARI</v>
      </c>
      <c r="V511" t="str">
        <f t="shared" si="203"/>
        <v>FARHANA BINTI MUSTAPA</v>
      </c>
      <c r="W511" t="str">
        <f t="shared" si="204"/>
        <v>04-08-2020</v>
      </c>
      <c r="X511" t="str">
        <f t="shared" si="205"/>
        <v>RAZIMAH ANSAR AHMAD</v>
      </c>
      <c r="Y511" t="str">
        <f t="shared" si="206"/>
        <v>04-08-2020</v>
      </c>
      <c r="Z511" t="str">
        <f>"IDSB19200804 141"</f>
        <v>IDSB19200804 141</v>
      </c>
    </row>
    <row r="512" spans="1:26" x14ac:dyDescent="0.25">
      <c r="A512" t="str">
        <f t="shared" si="211"/>
        <v>04-08-2020 01:20:32</v>
      </c>
      <c r="B512" t="str">
        <f>"0000810451"</f>
        <v>0000810451</v>
      </c>
      <c r="C512" t="str">
        <f t="shared" si="212"/>
        <v>0000810311</v>
      </c>
      <c r="D512" t="str">
        <f t="shared" si="194"/>
        <v>73185</v>
      </c>
      <c r="E512" t="str">
        <f t="shared" si="195"/>
        <v>KFH-OPERATIONS DEPARTMENT</v>
      </c>
      <c r="F512" t="str">
        <f t="shared" si="196"/>
        <v>IBG</v>
      </c>
      <c r="G512" t="str">
        <f t="shared" si="210"/>
        <v>Refund IDSB 19</v>
      </c>
      <c r="H512" s="2">
        <v>706</v>
      </c>
      <c r="I512" t="str">
        <f>"MOHAMAD SHAIFUL BIN MOHD HAMIL"</f>
        <v>MOHAMAD SHAIFUL BIN MOHD HAMIL</v>
      </c>
      <c r="J512" t="str">
        <f t="shared" si="215"/>
        <v>CIMB BANK / CIMB ISLAMIC BANK</v>
      </c>
      <c r="K512" t="str">
        <f>"01270013166524"</f>
        <v>01270013166524</v>
      </c>
      <c r="L512" t="str">
        <f t="shared" si="216"/>
        <v>04-08-2020</v>
      </c>
      <c r="M512" t="str">
        <f t="shared" si="216"/>
        <v>04-08-2020</v>
      </c>
      <c r="N512" t="str">
        <f t="shared" si="197"/>
        <v>001105018356</v>
      </c>
      <c r="O512" t="str">
        <f t="shared" si="198"/>
        <v>MYR</v>
      </c>
      <c r="P512" t="str">
        <f t="shared" si="217"/>
        <v>NIL</v>
      </c>
      <c r="Q512" t="str">
        <f t="shared" si="217"/>
        <v>NIL</v>
      </c>
      <c r="R512" t="str">
        <f t="shared" si="199"/>
        <v>Accepted</v>
      </c>
      <c r="S512" t="str">
        <f t="shared" si="200"/>
        <v>Approved</v>
      </c>
      <c r="T512" t="str">
        <f t="shared" si="201"/>
        <v>10.20.8.188</v>
      </c>
      <c r="U512" t="str">
        <f t="shared" si="202"/>
        <v>AZRAD UMAR BIN SHAARI</v>
      </c>
      <c r="V512" t="str">
        <f t="shared" si="203"/>
        <v>FARHANA BINTI MUSTAPA</v>
      </c>
      <c r="W512" t="str">
        <f t="shared" si="204"/>
        <v>04-08-2020</v>
      </c>
      <c r="X512" t="str">
        <f t="shared" si="205"/>
        <v>RAZIMAH ANSAR AHMAD</v>
      </c>
      <c r="Y512" t="str">
        <f t="shared" si="206"/>
        <v>04-08-2020</v>
      </c>
      <c r="Z512" t="str">
        <f>"IDSB19200804 140"</f>
        <v>IDSB19200804 140</v>
      </c>
    </row>
    <row r="513" spans="1:26" x14ac:dyDescent="0.25">
      <c r="A513" t="str">
        <f t="shared" si="211"/>
        <v>04-08-2020 01:20:32</v>
      </c>
      <c r="B513" t="str">
        <f>"0000810450"</f>
        <v>0000810450</v>
      </c>
      <c r="C513" t="str">
        <f t="shared" si="212"/>
        <v>0000810311</v>
      </c>
      <c r="D513" t="str">
        <f t="shared" si="194"/>
        <v>73185</v>
      </c>
      <c r="E513" t="str">
        <f t="shared" si="195"/>
        <v>KFH-OPERATIONS DEPARTMENT</v>
      </c>
      <c r="F513" t="str">
        <f t="shared" si="196"/>
        <v>IBG</v>
      </c>
      <c r="G513" t="str">
        <f t="shared" si="210"/>
        <v>Refund IDSB 19</v>
      </c>
      <c r="H513" s="2">
        <v>904</v>
      </c>
      <c r="I513" t="str">
        <f>"MOHAMAD MAJIDI BIN AMIR"</f>
        <v>MOHAMAD MAJIDI BIN AMIR</v>
      </c>
      <c r="J513" t="str">
        <f t="shared" si="215"/>
        <v>CIMB BANK / CIMB ISLAMIC BANK</v>
      </c>
      <c r="K513" t="str">
        <f>"14440004255526"</f>
        <v>14440004255526</v>
      </c>
      <c r="L513" t="str">
        <f t="shared" si="216"/>
        <v>04-08-2020</v>
      </c>
      <c r="M513" t="str">
        <f t="shared" si="216"/>
        <v>04-08-2020</v>
      </c>
      <c r="N513" t="str">
        <f t="shared" si="197"/>
        <v>001105018356</v>
      </c>
      <c r="O513" t="str">
        <f t="shared" si="198"/>
        <v>MYR</v>
      </c>
      <c r="P513" t="str">
        <f t="shared" si="217"/>
        <v>NIL</v>
      </c>
      <c r="Q513" t="str">
        <f t="shared" si="217"/>
        <v>NIL</v>
      </c>
      <c r="R513" t="str">
        <f t="shared" si="199"/>
        <v>Accepted</v>
      </c>
      <c r="S513" t="str">
        <f t="shared" si="200"/>
        <v>Approved</v>
      </c>
      <c r="T513" t="str">
        <f t="shared" si="201"/>
        <v>10.20.8.188</v>
      </c>
      <c r="U513" t="str">
        <f t="shared" si="202"/>
        <v>AZRAD UMAR BIN SHAARI</v>
      </c>
      <c r="V513" t="str">
        <f t="shared" si="203"/>
        <v>FARHANA BINTI MUSTAPA</v>
      </c>
      <c r="W513" t="str">
        <f t="shared" si="204"/>
        <v>04-08-2020</v>
      </c>
      <c r="X513" t="str">
        <f t="shared" si="205"/>
        <v>RAZIMAH ANSAR AHMAD</v>
      </c>
      <c r="Y513" t="str">
        <f t="shared" si="206"/>
        <v>04-08-2020</v>
      </c>
      <c r="Z513" t="str">
        <f>"IDSB19200804 139"</f>
        <v>IDSB19200804 139</v>
      </c>
    </row>
    <row r="514" spans="1:26" x14ac:dyDescent="0.25">
      <c r="A514" t="str">
        <f t="shared" si="211"/>
        <v>04-08-2020 01:20:32</v>
      </c>
      <c r="B514" t="str">
        <f>"0000810449"</f>
        <v>0000810449</v>
      </c>
      <c r="C514" t="str">
        <f t="shared" si="212"/>
        <v>0000810311</v>
      </c>
      <c r="D514" t="str">
        <f t="shared" si="194"/>
        <v>73185</v>
      </c>
      <c r="E514" t="str">
        <f t="shared" si="195"/>
        <v>KFH-OPERATIONS DEPARTMENT</v>
      </c>
      <c r="F514" t="str">
        <f t="shared" si="196"/>
        <v>IBG</v>
      </c>
      <c r="G514" t="str">
        <f t="shared" si="210"/>
        <v>Refund IDSB 19</v>
      </c>
      <c r="H514" s="2">
        <v>419.75</v>
      </c>
      <c r="I514" t="str">
        <f>"MOHAMAD HAFIZ BIN MUSTAFHA"</f>
        <v>MOHAMAD HAFIZ BIN MUSTAFHA</v>
      </c>
      <c r="J514" t="str">
        <f t="shared" si="215"/>
        <v>CIMB BANK / CIMB ISLAMIC BANK</v>
      </c>
      <c r="K514" t="str">
        <f>"7620517760"</f>
        <v>7620517760</v>
      </c>
      <c r="L514" t="str">
        <f t="shared" si="216"/>
        <v>04-08-2020</v>
      </c>
      <c r="M514" t="str">
        <f t="shared" si="216"/>
        <v>04-08-2020</v>
      </c>
      <c r="N514" t="str">
        <f t="shared" si="197"/>
        <v>001105018356</v>
      </c>
      <c r="O514" t="str">
        <f t="shared" si="198"/>
        <v>MYR</v>
      </c>
      <c r="P514" t="str">
        <f t="shared" si="217"/>
        <v>NIL</v>
      </c>
      <c r="Q514" t="str">
        <f t="shared" si="217"/>
        <v>NIL</v>
      </c>
      <c r="R514" t="str">
        <f t="shared" si="199"/>
        <v>Accepted</v>
      </c>
      <c r="S514" t="str">
        <f t="shared" si="200"/>
        <v>Approved</v>
      </c>
      <c r="T514" t="str">
        <f t="shared" si="201"/>
        <v>10.20.8.188</v>
      </c>
      <c r="U514" t="str">
        <f t="shared" si="202"/>
        <v>AZRAD UMAR BIN SHAARI</v>
      </c>
      <c r="V514" t="str">
        <f t="shared" si="203"/>
        <v>FARHANA BINTI MUSTAPA</v>
      </c>
      <c r="W514" t="str">
        <f t="shared" si="204"/>
        <v>04-08-2020</v>
      </c>
      <c r="X514" t="str">
        <f t="shared" si="205"/>
        <v>RAZIMAH ANSAR AHMAD</v>
      </c>
      <c r="Y514" t="str">
        <f t="shared" si="206"/>
        <v>04-08-2020</v>
      </c>
      <c r="Z514" t="str">
        <f>"IDSB19200804 138"</f>
        <v>IDSB19200804 138</v>
      </c>
    </row>
    <row r="515" spans="1:26" x14ac:dyDescent="0.25">
      <c r="A515" t="str">
        <f t="shared" si="211"/>
        <v>04-08-2020 01:20:32</v>
      </c>
      <c r="B515" t="str">
        <f>"0000810448"</f>
        <v>0000810448</v>
      </c>
      <c r="C515" t="str">
        <f t="shared" si="212"/>
        <v>0000810311</v>
      </c>
      <c r="D515" t="str">
        <f t="shared" si="194"/>
        <v>73185</v>
      </c>
      <c r="E515" t="str">
        <f t="shared" si="195"/>
        <v>KFH-OPERATIONS DEPARTMENT</v>
      </c>
      <c r="F515" t="str">
        <f t="shared" si="196"/>
        <v>IBG</v>
      </c>
      <c r="G515" t="str">
        <f t="shared" si="210"/>
        <v>Refund IDSB 19</v>
      </c>
      <c r="H515" s="2">
        <v>58.95</v>
      </c>
      <c r="I515" t="str">
        <f>"MD SUHAIMI BIN MD CHULAN"</f>
        <v>MD SUHAIMI BIN MD CHULAN</v>
      </c>
      <c r="J515" t="str">
        <f t="shared" si="215"/>
        <v>CIMB BANK / CIMB ISLAMIC BANK</v>
      </c>
      <c r="K515" t="str">
        <f>"04110000640203"</f>
        <v>04110000640203</v>
      </c>
      <c r="L515" t="str">
        <f t="shared" si="216"/>
        <v>04-08-2020</v>
      </c>
      <c r="M515" t="str">
        <f t="shared" si="216"/>
        <v>04-08-2020</v>
      </c>
      <c r="N515" t="str">
        <f t="shared" si="197"/>
        <v>001105018356</v>
      </c>
      <c r="O515" t="str">
        <f t="shared" si="198"/>
        <v>MYR</v>
      </c>
      <c r="P515" t="str">
        <f t="shared" si="217"/>
        <v>NIL</v>
      </c>
      <c r="Q515" t="str">
        <f t="shared" si="217"/>
        <v>NIL</v>
      </c>
      <c r="R515" t="str">
        <f t="shared" si="199"/>
        <v>Accepted</v>
      </c>
      <c r="S515" t="str">
        <f t="shared" si="200"/>
        <v>Approved</v>
      </c>
      <c r="T515" t="str">
        <f t="shared" si="201"/>
        <v>10.20.8.188</v>
      </c>
      <c r="U515" t="str">
        <f t="shared" si="202"/>
        <v>AZRAD UMAR BIN SHAARI</v>
      </c>
      <c r="V515" t="str">
        <f t="shared" si="203"/>
        <v>FARHANA BINTI MUSTAPA</v>
      </c>
      <c r="W515" t="str">
        <f t="shared" si="204"/>
        <v>04-08-2020</v>
      </c>
      <c r="X515" t="str">
        <f t="shared" si="205"/>
        <v>RAZIMAH ANSAR AHMAD</v>
      </c>
      <c r="Y515" t="str">
        <f t="shared" si="206"/>
        <v>04-08-2020</v>
      </c>
      <c r="Z515" t="str">
        <f>"IDSB19200804 137"</f>
        <v>IDSB19200804 137</v>
      </c>
    </row>
    <row r="516" spans="1:26" x14ac:dyDescent="0.25">
      <c r="A516" t="str">
        <f t="shared" ref="A516:A547" si="218">"04-08-2020 01:20:32"</f>
        <v>04-08-2020 01:20:32</v>
      </c>
      <c r="B516" t="str">
        <f>"0000810447"</f>
        <v>0000810447</v>
      </c>
      <c r="C516" t="str">
        <f t="shared" ref="C516:C547" si="219">"0000810311"</f>
        <v>0000810311</v>
      </c>
      <c r="D516" t="str">
        <f t="shared" si="194"/>
        <v>73185</v>
      </c>
      <c r="E516" t="str">
        <f t="shared" si="195"/>
        <v>KFH-OPERATIONS DEPARTMENT</v>
      </c>
      <c r="F516" t="str">
        <f t="shared" si="196"/>
        <v>IBG</v>
      </c>
      <c r="G516" t="str">
        <f t="shared" si="210"/>
        <v>Refund IDSB 19</v>
      </c>
      <c r="H516" s="2">
        <v>904</v>
      </c>
      <c r="I516" t="str">
        <f>"MAZLYZAM BIN ABDUL LATIF"</f>
        <v>MAZLYZAM BIN ABDUL LATIF</v>
      </c>
      <c r="J516" t="str">
        <f t="shared" si="215"/>
        <v>CIMB BANK / CIMB ISLAMIC BANK</v>
      </c>
      <c r="K516" t="str">
        <f>"14220062230525"</f>
        <v>14220062230525</v>
      </c>
      <c r="L516" t="str">
        <f t="shared" si="216"/>
        <v>04-08-2020</v>
      </c>
      <c r="M516" t="str">
        <f t="shared" si="216"/>
        <v>04-08-2020</v>
      </c>
      <c r="N516" t="str">
        <f t="shared" si="197"/>
        <v>001105018356</v>
      </c>
      <c r="O516" t="str">
        <f t="shared" si="198"/>
        <v>MYR</v>
      </c>
      <c r="P516" t="str">
        <f t="shared" si="217"/>
        <v>NIL</v>
      </c>
      <c r="Q516" t="str">
        <f t="shared" si="217"/>
        <v>NIL</v>
      </c>
      <c r="R516" t="str">
        <f t="shared" si="199"/>
        <v>Accepted</v>
      </c>
      <c r="S516" t="str">
        <f t="shared" si="200"/>
        <v>Approved</v>
      </c>
      <c r="T516" t="str">
        <f t="shared" si="201"/>
        <v>10.20.8.188</v>
      </c>
      <c r="U516" t="str">
        <f t="shared" si="202"/>
        <v>AZRAD UMAR BIN SHAARI</v>
      </c>
      <c r="V516" t="str">
        <f t="shared" si="203"/>
        <v>FARHANA BINTI MUSTAPA</v>
      </c>
      <c r="W516" t="str">
        <f t="shared" si="204"/>
        <v>04-08-2020</v>
      </c>
      <c r="X516" t="str">
        <f t="shared" si="205"/>
        <v>RAZIMAH ANSAR AHMAD</v>
      </c>
      <c r="Y516" t="str">
        <f t="shared" si="206"/>
        <v>04-08-2020</v>
      </c>
      <c r="Z516" t="str">
        <f>"IDSB19200804 136"</f>
        <v>IDSB19200804 136</v>
      </c>
    </row>
    <row r="517" spans="1:26" x14ac:dyDescent="0.25">
      <c r="A517" t="str">
        <f t="shared" si="218"/>
        <v>04-08-2020 01:20:32</v>
      </c>
      <c r="B517" t="str">
        <f>"0000810446"</f>
        <v>0000810446</v>
      </c>
      <c r="C517" t="str">
        <f t="shared" si="219"/>
        <v>0000810311</v>
      </c>
      <c r="D517" t="str">
        <f t="shared" si="194"/>
        <v>73185</v>
      </c>
      <c r="E517" t="str">
        <f t="shared" si="195"/>
        <v>KFH-OPERATIONS DEPARTMENT</v>
      </c>
      <c r="F517" t="str">
        <f t="shared" si="196"/>
        <v>IBG</v>
      </c>
      <c r="G517" t="str">
        <f t="shared" si="210"/>
        <v>Refund IDSB 19</v>
      </c>
      <c r="H517" s="2">
        <v>83.95</v>
      </c>
      <c r="I517" t="str">
        <f>"MAZLINA BINTI JASMANY"</f>
        <v>MAZLINA BINTI JASMANY</v>
      </c>
      <c r="J517" t="str">
        <f t="shared" si="215"/>
        <v>CIMB BANK / CIMB ISLAMIC BANK</v>
      </c>
      <c r="K517" t="str">
        <f>"14180070704520"</f>
        <v>14180070704520</v>
      </c>
      <c r="L517" t="str">
        <f t="shared" si="216"/>
        <v>04-08-2020</v>
      </c>
      <c r="M517" t="str">
        <f t="shared" si="216"/>
        <v>04-08-2020</v>
      </c>
      <c r="N517" t="str">
        <f t="shared" si="197"/>
        <v>001105018356</v>
      </c>
      <c r="O517" t="str">
        <f t="shared" si="198"/>
        <v>MYR</v>
      </c>
      <c r="P517" t="str">
        <f t="shared" si="217"/>
        <v>NIL</v>
      </c>
      <c r="Q517" t="str">
        <f t="shared" si="217"/>
        <v>NIL</v>
      </c>
      <c r="R517" t="str">
        <f t="shared" si="199"/>
        <v>Accepted</v>
      </c>
      <c r="S517" t="str">
        <f t="shared" si="200"/>
        <v>Approved</v>
      </c>
      <c r="T517" t="str">
        <f t="shared" si="201"/>
        <v>10.20.8.188</v>
      </c>
      <c r="U517" t="str">
        <f t="shared" si="202"/>
        <v>AZRAD UMAR BIN SHAARI</v>
      </c>
      <c r="V517" t="str">
        <f t="shared" si="203"/>
        <v>FARHANA BINTI MUSTAPA</v>
      </c>
      <c r="W517" t="str">
        <f t="shared" si="204"/>
        <v>04-08-2020</v>
      </c>
      <c r="X517" t="str">
        <f t="shared" si="205"/>
        <v>RAZIMAH ANSAR AHMAD</v>
      </c>
      <c r="Y517" t="str">
        <f t="shared" si="206"/>
        <v>04-08-2020</v>
      </c>
      <c r="Z517" t="str">
        <f>"IDSB19200804 135"</f>
        <v>IDSB19200804 135</v>
      </c>
    </row>
    <row r="518" spans="1:26" x14ac:dyDescent="0.25">
      <c r="A518" t="str">
        <f t="shared" si="218"/>
        <v>04-08-2020 01:20:32</v>
      </c>
      <c r="B518" t="str">
        <f>"0000810445"</f>
        <v>0000810445</v>
      </c>
      <c r="C518" t="str">
        <f t="shared" si="219"/>
        <v>0000810311</v>
      </c>
      <c r="D518" t="str">
        <f t="shared" si="194"/>
        <v>73185</v>
      </c>
      <c r="E518" t="str">
        <f t="shared" si="195"/>
        <v>KFH-OPERATIONS DEPARTMENT</v>
      </c>
      <c r="F518" t="str">
        <f t="shared" si="196"/>
        <v>IBG</v>
      </c>
      <c r="G518" t="str">
        <f t="shared" si="210"/>
        <v>Refund IDSB 19</v>
      </c>
      <c r="H518" s="2">
        <v>1091.3499999999999</v>
      </c>
      <c r="I518" t="str">
        <f>"MAZLIANA BINTI MARSIO"</f>
        <v>MAZLIANA BINTI MARSIO</v>
      </c>
      <c r="J518" t="str">
        <f t="shared" si="215"/>
        <v>CIMB BANK / CIMB ISLAMIC BANK</v>
      </c>
      <c r="K518" t="str">
        <f>"14380070030526"</f>
        <v>14380070030526</v>
      </c>
      <c r="L518" t="str">
        <f t="shared" si="216"/>
        <v>04-08-2020</v>
      </c>
      <c r="M518" t="str">
        <f t="shared" si="216"/>
        <v>04-08-2020</v>
      </c>
      <c r="N518" t="str">
        <f t="shared" si="197"/>
        <v>001105018356</v>
      </c>
      <c r="O518" t="str">
        <f t="shared" si="198"/>
        <v>MYR</v>
      </c>
      <c r="P518" t="str">
        <f t="shared" si="217"/>
        <v>NIL</v>
      </c>
      <c r="Q518" t="str">
        <f t="shared" si="217"/>
        <v>NIL</v>
      </c>
      <c r="R518" t="str">
        <f t="shared" si="199"/>
        <v>Accepted</v>
      </c>
      <c r="S518" t="str">
        <f t="shared" si="200"/>
        <v>Approved</v>
      </c>
      <c r="T518" t="str">
        <f t="shared" si="201"/>
        <v>10.20.8.188</v>
      </c>
      <c r="U518" t="str">
        <f t="shared" si="202"/>
        <v>AZRAD UMAR BIN SHAARI</v>
      </c>
      <c r="V518" t="str">
        <f t="shared" si="203"/>
        <v>FARHANA BINTI MUSTAPA</v>
      </c>
      <c r="W518" t="str">
        <f t="shared" si="204"/>
        <v>04-08-2020</v>
      </c>
      <c r="X518" t="str">
        <f t="shared" si="205"/>
        <v>RAZIMAH ANSAR AHMAD</v>
      </c>
      <c r="Y518" t="str">
        <f t="shared" si="206"/>
        <v>04-08-2020</v>
      </c>
      <c r="Z518" t="str">
        <f>"IDSB19200804 134"</f>
        <v>IDSB19200804 134</v>
      </c>
    </row>
    <row r="519" spans="1:26" x14ac:dyDescent="0.25">
      <c r="A519" t="str">
        <f t="shared" si="218"/>
        <v>04-08-2020 01:20:32</v>
      </c>
      <c r="B519" t="str">
        <f>"0000810444"</f>
        <v>0000810444</v>
      </c>
      <c r="C519" t="str">
        <f t="shared" si="219"/>
        <v>0000810311</v>
      </c>
      <c r="D519" t="str">
        <f t="shared" ref="D519:D582" si="220">"73185"</f>
        <v>73185</v>
      </c>
      <c r="E519" t="str">
        <f t="shared" ref="E519:E582" si="221">"KFH-OPERATIONS DEPARTMENT"</f>
        <v>KFH-OPERATIONS DEPARTMENT</v>
      </c>
      <c r="F519" t="str">
        <f t="shared" ref="F519:F582" si="222">"IBG"</f>
        <v>IBG</v>
      </c>
      <c r="G519" t="str">
        <f t="shared" si="210"/>
        <v>Refund IDSB 19</v>
      </c>
      <c r="H519" s="2">
        <v>67.17</v>
      </c>
      <c r="I519" t="str">
        <f>"MAZLAN BIN CHE ZAKARIA"</f>
        <v>MAZLAN BIN CHE ZAKARIA</v>
      </c>
      <c r="J519" t="str">
        <f t="shared" si="215"/>
        <v>CIMB BANK / CIMB ISLAMIC BANK</v>
      </c>
      <c r="K519" t="str">
        <f>"02021122539528"</f>
        <v>02021122539528</v>
      </c>
      <c r="L519" t="str">
        <f t="shared" si="216"/>
        <v>04-08-2020</v>
      </c>
      <c r="M519" t="str">
        <f t="shared" si="216"/>
        <v>04-08-2020</v>
      </c>
      <c r="N519" t="str">
        <f t="shared" ref="N519:N582" si="223">"001105018356"</f>
        <v>001105018356</v>
      </c>
      <c r="O519" t="str">
        <f t="shared" ref="O519:O582" si="224">"MYR"</f>
        <v>MYR</v>
      </c>
      <c r="P519" t="str">
        <f t="shared" si="217"/>
        <v>NIL</v>
      </c>
      <c r="Q519" t="str">
        <f t="shared" si="217"/>
        <v>NIL</v>
      </c>
      <c r="R519" t="str">
        <f t="shared" ref="R519:R582" si="225">"Accepted"</f>
        <v>Accepted</v>
      </c>
      <c r="S519" t="str">
        <f t="shared" ref="S519:S582" si="226">"Approved"</f>
        <v>Approved</v>
      </c>
      <c r="T519" t="str">
        <f t="shared" ref="T519:T582" si="227">"10.20.8.188"</f>
        <v>10.20.8.188</v>
      </c>
      <c r="U519" t="str">
        <f t="shared" ref="U519:U582" si="228">"AZRAD UMAR BIN SHAARI"</f>
        <v>AZRAD UMAR BIN SHAARI</v>
      </c>
      <c r="V519" t="str">
        <f t="shared" ref="V519:V582" si="229">"FARHANA BINTI MUSTAPA"</f>
        <v>FARHANA BINTI MUSTAPA</v>
      </c>
      <c r="W519" t="str">
        <f t="shared" ref="W519:W582" si="230">"04-08-2020"</f>
        <v>04-08-2020</v>
      </c>
      <c r="X519" t="str">
        <f t="shared" ref="X519:X582" si="231">"RAZIMAH ANSAR AHMAD"</f>
        <v>RAZIMAH ANSAR AHMAD</v>
      </c>
      <c r="Y519" t="str">
        <f t="shared" ref="Y519:Y582" si="232">"04-08-2020"</f>
        <v>04-08-2020</v>
      </c>
      <c r="Z519" t="str">
        <f>"IDSB19200804 133"</f>
        <v>IDSB19200804 133</v>
      </c>
    </row>
    <row r="520" spans="1:26" x14ac:dyDescent="0.25">
      <c r="A520" t="str">
        <f t="shared" si="218"/>
        <v>04-08-2020 01:20:32</v>
      </c>
      <c r="B520" t="str">
        <f>"0000810443"</f>
        <v>0000810443</v>
      </c>
      <c r="C520" t="str">
        <f t="shared" si="219"/>
        <v>0000810311</v>
      </c>
      <c r="D520" t="str">
        <f t="shared" si="220"/>
        <v>73185</v>
      </c>
      <c r="E520" t="str">
        <f t="shared" si="221"/>
        <v>KFH-OPERATIONS DEPARTMENT</v>
      </c>
      <c r="F520" t="str">
        <f t="shared" si="222"/>
        <v>IBG</v>
      </c>
      <c r="G520" t="str">
        <f t="shared" si="210"/>
        <v>Refund IDSB 19</v>
      </c>
      <c r="H520" s="2">
        <v>246</v>
      </c>
      <c r="I520" t="str">
        <f>"MARZUKI BIN DESA"</f>
        <v>MARZUKI BIN DESA</v>
      </c>
      <c r="J520" t="str">
        <f t="shared" si="215"/>
        <v>CIMB BANK / CIMB ISLAMIC BANK</v>
      </c>
      <c r="K520" t="str">
        <f>"02021122560528"</f>
        <v>02021122560528</v>
      </c>
      <c r="L520" t="str">
        <f t="shared" si="216"/>
        <v>04-08-2020</v>
      </c>
      <c r="M520" t="str">
        <f t="shared" si="216"/>
        <v>04-08-2020</v>
      </c>
      <c r="N520" t="str">
        <f t="shared" si="223"/>
        <v>001105018356</v>
      </c>
      <c r="O520" t="str">
        <f t="shared" si="224"/>
        <v>MYR</v>
      </c>
      <c r="P520" t="str">
        <f t="shared" si="217"/>
        <v>NIL</v>
      </c>
      <c r="Q520" t="str">
        <f t="shared" si="217"/>
        <v>NIL</v>
      </c>
      <c r="R520" t="str">
        <f t="shared" si="225"/>
        <v>Accepted</v>
      </c>
      <c r="S520" t="str">
        <f t="shared" si="226"/>
        <v>Approved</v>
      </c>
      <c r="T520" t="str">
        <f t="shared" si="227"/>
        <v>10.20.8.188</v>
      </c>
      <c r="U520" t="str">
        <f t="shared" si="228"/>
        <v>AZRAD UMAR BIN SHAARI</v>
      </c>
      <c r="V520" t="str">
        <f t="shared" si="229"/>
        <v>FARHANA BINTI MUSTAPA</v>
      </c>
      <c r="W520" t="str">
        <f t="shared" si="230"/>
        <v>04-08-2020</v>
      </c>
      <c r="X520" t="str">
        <f t="shared" si="231"/>
        <v>RAZIMAH ANSAR AHMAD</v>
      </c>
      <c r="Y520" t="str">
        <f t="shared" si="232"/>
        <v>04-08-2020</v>
      </c>
      <c r="Z520" t="str">
        <f>"IDSB19200804 132"</f>
        <v>IDSB19200804 132</v>
      </c>
    </row>
    <row r="521" spans="1:26" x14ac:dyDescent="0.25">
      <c r="A521" t="str">
        <f t="shared" si="218"/>
        <v>04-08-2020 01:20:32</v>
      </c>
      <c r="B521" t="str">
        <f>"0000810442"</f>
        <v>0000810442</v>
      </c>
      <c r="C521" t="str">
        <f t="shared" si="219"/>
        <v>0000810311</v>
      </c>
      <c r="D521" t="str">
        <f t="shared" si="220"/>
        <v>73185</v>
      </c>
      <c r="E521" t="str">
        <f t="shared" si="221"/>
        <v>KFH-OPERATIONS DEPARTMENT</v>
      </c>
      <c r="F521" t="str">
        <f t="shared" si="222"/>
        <v>IBG</v>
      </c>
      <c r="G521" t="str">
        <f t="shared" si="210"/>
        <v>Refund IDSB 19</v>
      </c>
      <c r="H521" s="2">
        <v>638.04999999999995</v>
      </c>
      <c r="I521" t="str">
        <f>"MAISARAH BINTI MOHMAD SHARIFF"</f>
        <v>MAISARAH BINTI MOHMAD SHARIFF</v>
      </c>
      <c r="J521" t="str">
        <f t="shared" si="215"/>
        <v>CIMB BANK / CIMB ISLAMIC BANK</v>
      </c>
      <c r="K521" t="str">
        <f>"7041800285"</f>
        <v>7041800285</v>
      </c>
      <c r="L521" t="str">
        <f t="shared" si="216"/>
        <v>04-08-2020</v>
      </c>
      <c r="M521" t="str">
        <f t="shared" si="216"/>
        <v>04-08-2020</v>
      </c>
      <c r="N521" t="str">
        <f t="shared" si="223"/>
        <v>001105018356</v>
      </c>
      <c r="O521" t="str">
        <f t="shared" si="224"/>
        <v>MYR</v>
      </c>
      <c r="P521" t="str">
        <f t="shared" si="217"/>
        <v>NIL</v>
      </c>
      <c r="Q521" t="str">
        <f t="shared" si="217"/>
        <v>NIL</v>
      </c>
      <c r="R521" t="str">
        <f t="shared" si="225"/>
        <v>Accepted</v>
      </c>
      <c r="S521" t="str">
        <f t="shared" si="226"/>
        <v>Approved</v>
      </c>
      <c r="T521" t="str">
        <f t="shared" si="227"/>
        <v>10.20.8.188</v>
      </c>
      <c r="U521" t="str">
        <f t="shared" si="228"/>
        <v>AZRAD UMAR BIN SHAARI</v>
      </c>
      <c r="V521" t="str">
        <f t="shared" si="229"/>
        <v>FARHANA BINTI MUSTAPA</v>
      </c>
      <c r="W521" t="str">
        <f t="shared" si="230"/>
        <v>04-08-2020</v>
      </c>
      <c r="X521" t="str">
        <f t="shared" si="231"/>
        <v>RAZIMAH ANSAR AHMAD</v>
      </c>
      <c r="Y521" t="str">
        <f t="shared" si="232"/>
        <v>04-08-2020</v>
      </c>
      <c r="Z521" t="str">
        <f>"IDSB19200804 131"</f>
        <v>IDSB19200804 131</v>
      </c>
    </row>
    <row r="522" spans="1:26" x14ac:dyDescent="0.25">
      <c r="A522" t="str">
        <f t="shared" si="218"/>
        <v>04-08-2020 01:20:32</v>
      </c>
      <c r="B522" t="str">
        <f>"0000810441"</f>
        <v>0000810441</v>
      </c>
      <c r="C522" t="str">
        <f t="shared" si="219"/>
        <v>0000810311</v>
      </c>
      <c r="D522" t="str">
        <f t="shared" si="220"/>
        <v>73185</v>
      </c>
      <c r="E522" t="str">
        <f t="shared" si="221"/>
        <v>KFH-OPERATIONS DEPARTMENT</v>
      </c>
      <c r="F522" t="str">
        <f t="shared" si="222"/>
        <v>IBG</v>
      </c>
      <c r="G522" t="str">
        <f t="shared" si="210"/>
        <v>Refund IDSB 19</v>
      </c>
      <c r="H522" s="2">
        <v>752</v>
      </c>
      <c r="I522" t="str">
        <f>"LUQMAN HAKIM BIN ABDUL JAMIN"</f>
        <v>LUQMAN HAKIM BIN ABDUL JAMIN</v>
      </c>
      <c r="J522" t="str">
        <f t="shared" si="215"/>
        <v>CIMB BANK / CIMB ISLAMIC BANK</v>
      </c>
      <c r="K522" t="str">
        <f>"08080016440522"</f>
        <v>08080016440522</v>
      </c>
      <c r="L522" t="str">
        <f t="shared" si="216"/>
        <v>04-08-2020</v>
      </c>
      <c r="M522" t="str">
        <f t="shared" si="216"/>
        <v>04-08-2020</v>
      </c>
      <c r="N522" t="str">
        <f t="shared" si="223"/>
        <v>001105018356</v>
      </c>
      <c r="O522" t="str">
        <f t="shared" si="224"/>
        <v>MYR</v>
      </c>
      <c r="P522" t="str">
        <f t="shared" si="217"/>
        <v>NIL</v>
      </c>
      <c r="Q522" t="str">
        <f t="shared" si="217"/>
        <v>NIL</v>
      </c>
      <c r="R522" t="str">
        <f t="shared" si="225"/>
        <v>Accepted</v>
      </c>
      <c r="S522" t="str">
        <f t="shared" si="226"/>
        <v>Approved</v>
      </c>
      <c r="T522" t="str">
        <f t="shared" si="227"/>
        <v>10.20.8.188</v>
      </c>
      <c r="U522" t="str">
        <f t="shared" si="228"/>
        <v>AZRAD UMAR BIN SHAARI</v>
      </c>
      <c r="V522" t="str">
        <f t="shared" si="229"/>
        <v>FARHANA BINTI MUSTAPA</v>
      </c>
      <c r="W522" t="str">
        <f t="shared" si="230"/>
        <v>04-08-2020</v>
      </c>
      <c r="X522" t="str">
        <f t="shared" si="231"/>
        <v>RAZIMAH ANSAR AHMAD</v>
      </c>
      <c r="Y522" t="str">
        <f t="shared" si="232"/>
        <v>04-08-2020</v>
      </c>
      <c r="Z522" t="str">
        <f>"IDSB19200804 130"</f>
        <v>IDSB19200804 130</v>
      </c>
    </row>
    <row r="523" spans="1:26" x14ac:dyDescent="0.25">
      <c r="A523" t="str">
        <f t="shared" si="218"/>
        <v>04-08-2020 01:20:32</v>
      </c>
      <c r="B523" t="str">
        <f>"0000810440"</f>
        <v>0000810440</v>
      </c>
      <c r="C523" t="str">
        <f t="shared" si="219"/>
        <v>0000810311</v>
      </c>
      <c r="D523" t="str">
        <f t="shared" si="220"/>
        <v>73185</v>
      </c>
      <c r="E523" t="str">
        <f t="shared" si="221"/>
        <v>KFH-OPERATIONS DEPARTMENT</v>
      </c>
      <c r="F523" t="str">
        <f t="shared" si="222"/>
        <v>IBG</v>
      </c>
      <c r="G523" t="str">
        <f t="shared" si="210"/>
        <v>Refund IDSB 19</v>
      </c>
      <c r="H523" s="2">
        <v>101.61</v>
      </c>
      <c r="I523" t="str">
        <f>"KHATIJAH BINTI SABTU"</f>
        <v>KHATIJAH BINTI SABTU</v>
      </c>
      <c r="J523" t="str">
        <f t="shared" si="215"/>
        <v>CIMB BANK / CIMB ISLAMIC BANK</v>
      </c>
      <c r="K523" t="str">
        <f>"12180051219527"</f>
        <v>12180051219527</v>
      </c>
      <c r="L523" t="str">
        <f t="shared" si="216"/>
        <v>04-08-2020</v>
      </c>
      <c r="M523" t="str">
        <f t="shared" si="216"/>
        <v>04-08-2020</v>
      </c>
      <c r="N523" t="str">
        <f t="shared" si="223"/>
        <v>001105018356</v>
      </c>
      <c r="O523" t="str">
        <f t="shared" si="224"/>
        <v>MYR</v>
      </c>
      <c r="P523" t="str">
        <f t="shared" si="217"/>
        <v>NIL</v>
      </c>
      <c r="Q523" t="str">
        <f t="shared" si="217"/>
        <v>NIL</v>
      </c>
      <c r="R523" t="str">
        <f t="shared" si="225"/>
        <v>Accepted</v>
      </c>
      <c r="S523" t="str">
        <f t="shared" si="226"/>
        <v>Approved</v>
      </c>
      <c r="T523" t="str">
        <f t="shared" si="227"/>
        <v>10.20.8.188</v>
      </c>
      <c r="U523" t="str">
        <f t="shared" si="228"/>
        <v>AZRAD UMAR BIN SHAARI</v>
      </c>
      <c r="V523" t="str">
        <f t="shared" si="229"/>
        <v>FARHANA BINTI MUSTAPA</v>
      </c>
      <c r="W523" t="str">
        <f t="shared" si="230"/>
        <v>04-08-2020</v>
      </c>
      <c r="X523" t="str">
        <f t="shared" si="231"/>
        <v>RAZIMAH ANSAR AHMAD</v>
      </c>
      <c r="Y523" t="str">
        <f t="shared" si="232"/>
        <v>04-08-2020</v>
      </c>
      <c r="Z523" t="str">
        <f>"IDSB19200804 129"</f>
        <v>IDSB19200804 129</v>
      </c>
    </row>
    <row r="524" spans="1:26" x14ac:dyDescent="0.25">
      <c r="A524" t="str">
        <f t="shared" si="218"/>
        <v>04-08-2020 01:20:32</v>
      </c>
      <c r="B524" t="str">
        <f>"0000810439"</f>
        <v>0000810439</v>
      </c>
      <c r="C524" t="str">
        <f t="shared" si="219"/>
        <v>0000810311</v>
      </c>
      <c r="D524" t="str">
        <f t="shared" si="220"/>
        <v>73185</v>
      </c>
      <c r="E524" t="str">
        <f t="shared" si="221"/>
        <v>KFH-OPERATIONS DEPARTMENT</v>
      </c>
      <c r="F524" t="str">
        <f t="shared" si="222"/>
        <v>IBG</v>
      </c>
      <c r="G524" t="str">
        <f t="shared" si="210"/>
        <v>Refund IDSB 19</v>
      </c>
      <c r="H524" s="2">
        <v>100.71</v>
      </c>
      <c r="I524" t="str">
        <f>"KHAIRUL ANUAR BIN ZAKARIA"</f>
        <v>KHAIRUL ANUAR BIN ZAKARIA</v>
      </c>
      <c r="J524" t="str">
        <f t="shared" si="215"/>
        <v>CIMB BANK / CIMB ISLAMIC BANK</v>
      </c>
      <c r="K524" t="str">
        <f>"02021130432528"</f>
        <v>02021130432528</v>
      </c>
      <c r="L524" t="str">
        <f t="shared" si="216"/>
        <v>04-08-2020</v>
      </c>
      <c r="M524" t="str">
        <f t="shared" si="216"/>
        <v>04-08-2020</v>
      </c>
      <c r="N524" t="str">
        <f t="shared" si="223"/>
        <v>001105018356</v>
      </c>
      <c r="O524" t="str">
        <f t="shared" si="224"/>
        <v>MYR</v>
      </c>
      <c r="P524" t="str">
        <f t="shared" si="217"/>
        <v>NIL</v>
      </c>
      <c r="Q524" t="str">
        <f t="shared" si="217"/>
        <v>NIL</v>
      </c>
      <c r="R524" t="str">
        <f t="shared" si="225"/>
        <v>Accepted</v>
      </c>
      <c r="S524" t="str">
        <f t="shared" si="226"/>
        <v>Approved</v>
      </c>
      <c r="T524" t="str">
        <f t="shared" si="227"/>
        <v>10.20.8.188</v>
      </c>
      <c r="U524" t="str">
        <f t="shared" si="228"/>
        <v>AZRAD UMAR BIN SHAARI</v>
      </c>
      <c r="V524" t="str">
        <f t="shared" si="229"/>
        <v>FARHANA BINTI MUSTAPA</v>
      </c>
      <c r="W524" t="str">
        <f t="shared" si="230"/>
        <v>04-08-2020</v>
      </c>
      <c r="X524" t="str">
        <f t="shared" si="231"/>
        <v>RAZIMAH ANSAR AHMAD</v>
      </c>
      <c r="Y524" t="str">
        <f t="shared" si="232"/>
        <v>04-08-2020</v>
      </c>
      <c r="Z524" t="str">
        <f>"IDSB19200804 128"</f>
        <v>IDSB19200804 128</v>
      </c>
    </row>
    <row r="525" spans="1:26" x14ac:dyDescent="0.25">
      <c r="A525" t="str">
        <f t="shared" si="218"/>
        <v>04-08-2020 01:20:32</v>
      </c>
      <c r="B525" t="str">
        <f>"0000810438"</f>
        <v>0000810438</v>
      </c>
      <c r="C525" t="str">
        <f t="shared" si="219"/>
        <v>0000810311</v>
      </c>
      <c r="D525" t="str">
        <f t="shared" si="220"/>
        <v>73185</v>
      </c>
      <c r="E525" t="str">
        <f t="shared" si="221"/>
        <v>KFH-OPERATIONS DEPARTMENT</v>
      </c>
      <c r="F525" t="str">
        <f t="shared" si="222"/>
        <v>IBG</v>
      </c>
      <c r="G525" t="str">
        <f t="shared" si="210"/>
        <v>Refund IDSB 19</v>
      </c>
      <c r="H525" s="2">
        <v>439.47</v>
      </c>
      <c r="I525" t="str">
        <f>"KAMSIAH BINTI ABDUL HAMID"</f>
        <v>KAMSIAH BINTI ABDUL HAMID</v>
      </c>
      <c r="J525" t="str">
        <f t="shared" si="215"/>
        <v>CIMB BANK / CIMB ISLAMIC BANK</v>
      </c>
      <c r="K525" t="str">
        <f>"01150079871529"</f>
        <v>01150079871529</v>
      </c>
      <c r="L525" t="str">
        <f t="shared" si="216"/>
        <v>04-08-2020</v>
      </c>
      <c r="M525" t="str">
        <f t="shared" si="216"/>
        <v>04-08-2020</v>
      </c>
      <c r="N525" t="str">
        <f t="shared" si="223"/>
        <v>001105018356</v>
      </c>
      <c r="O525" t="str">
        <f t="shared" si="224"/>
        <v>MYR</v>
      </c>
      <c r="P525" t="str">
        <f t="shared" si="217"/>
        <v>NIL</v>
      </c>
      <c r="Q525" t="str">
        <f t="shared" si="217"/>
        <v>NIL</v>
      </c>
      <c r="R525" t="str">
        <f t="shared" si="225"/>
        <v>Accepted</v>
      </c>
      <c r="S525" t="str">
        <f t="shared" si="226"/>
        <v>Approved</v>
      </c>
      <c r="T525" t="str">
        <f t="shared" si="227"/>
        <v>10.20.8.188</v>
      </c>
      <c r="U525" t="str">
        <f t="shared" si="228"/>
        <v>AZRAD UMAR BIN SHAARI</v>
      </c>
      <c r="V525" t="str">
        <f t="shared" si="229"/>
        <v>FARHANA BINTI MUSTAPA</v>
      </c>
      <c r="W525" t="str">
        <f t="shared" si="230"/>
        <v>04-08-2020</v>
      </c>
      <c r="X525" t="str">
        <f t="shared" si="231"/>
        <v>RAZIMAH ANSAR AHMAD</v>
      </c>
      <c r="Y525" t="str">
        <f t="shared" si="232"/>
        <v>04-08-2020</v>
      </c>
      <c r="Z525" t="str">
        <f>"IDSB19200804 127"</f>
        <v>IDSB19200804 127</v>
      </c>
    </row>
    <row r="526" spans="1:26" x14ac:dyDescent="0.25">
      <c r="A526" t="str">
        <f t="shared" si="218"/>
        <v>04-08-2020 01:20:32</v>
      </c>
      <c r="B526" t="str">
        <f>"0000810437"</f>
        <v>0000810437</v>
      </c>
      <c r="C526" t="str">
        <f t="shared" si="219"/>
        <v>0000810311</v>
      </c>
      <c r="D526" t="str">
        <f t="shared" si="220"/>
        <v>73185</v>
      </c>
      <c r="E526" t="str">
        <f t="shared" si="221"/>
        <v>KFH-OPERATIONS DEPARTMENT</v>
      </c>
      <c r="F526" t="str">
        <f t="shared" si="222"/>
        <v>IBG</v>
      </c>
      <c r="G526" t="str">
        <f t="shared" si="210"/>
        <v>Refund IDSB 19</v>
      </c>
      <c r="H526" s="2">
        <v>683</v>
      </c>
      <c r="I526" t="str">
        <f>"KAMARULZAMAN BIN ALI"</f>
        <v>KAMARULZAMAN BIN ALI</v>
      </c>
      <c r="J526" t="str">
        <f t="shared" si="215"/>
        <v>CIMB BANK / CIMB ISLAMIC BANK</v>
      </c>
      <c r="K526" t="str">
        <f>"03110007557529"</f>
        <v>03110007557529</v>
      </c>
      <c r="L526" t="str">
        <f t="shared" si="216"/>
        <v>04-08-2020</v>
      </c>
      <c r="M526" t="str">
        <f t="shared" si="216"/>
        <v>04-08-2020</v>
      </c>
      <c r="N526" t="str">
        <f t="shared" si="223"/>
        <v>001105018356</v>
      </c>
      <c r="O526" t="str">
        <f t="shared" si="224"/>
        <v>MYR</v>
      </c>
      <c r="P526" t="str">
        <f t="shared" si="217"/>
        <v>NIL</v>
      </c>
      <c r="Q526" t="str">
        <f t="shared" si="217"/>
        <v>NIL</v>
      </c>
      <c r="R526" t="str">
        <f t="shared" si="225"/>
        <v>Accepted</v>
      </c>
      <c r="S526" t="str">
        <f t="shared" si="226"/>
        <v>Approved</v>
      </c>
      <c r="T526" t="str">
        <f t="shared" si="227"/>
        <v>10.20.8.188</v>
      </c>
      <c r="U526" t="str">
        <f t="shared" si="228"/>
        <v>AZRAD UMAR BIN SHAARI</v>
      </c>
      <c r="V526" t="str">
        <f t="shared" si="229"/>
        <v>FARHANA BINTI MUSTAPA</v>
      </c>
      <c r="W526" t="str">
        <f t="shared" si="230"/>
        <v>04-08-2020</v>
      </c>
      <c r="X526" t="str">
        <f t="shared" si="231"/>
        <v>RAZIMAH ANSAR AHMAD</v>
      </c>
      <c r="Y526" t="str">
        <f t="shared" si="232"/>
        <v>04-08-2020</v>
      </c>
      <c r="Z526" t="str">
        <f>"IDSB19200804 126"</f>
        <v>IDSB19200804 126</v>
      </c>
    </row>
    <row r="527" spans="1:26" x14ac:dyDescent="0.25">
      <c r="A527" t="str">
        <f t="shared" si="218"/>
        <v>04-08-2020 01:20:32</v>
      </c>
      <c r="B527" t="str">
        <f>"0000810436"</f>
        <v>0000810436</v>
      </c>
      <c r="C527" t="str">
        <f t="shared" si="219"/>
        <v>0000810311</v>
      </c>
      <c r="D527" t="str">
        <f t="shared" si="220"/>
        <v>73185</v>
      </c>
      <c r="E527" t="str">
        <f t="shared" si="221"/>
        <v>KFH-OPERATIONS DEPARTMENT</v>
      </c>
      <c r="F527" t="str">
        <f t="shared" si="222"/>
        <v>IBG</v>
      </c>
      <c r="G527" t="str">
        <f t="shared" si="210"/>
        <v>Refund IDSB 19</v>
      </c>
      <c r="H527" s="2">
        <v>1015.4</v>
      </c>
      <c r="I527" t="str">
        <f>"JUZARIAH BINTI MOHD DAUD"</f>
        <v>JUZARIAH BINTI MOHD DAUD</v>
      </c>
      <c r="J527" t="str">
        <f t="shared" si="215"/>
        <v>CIMB BANK / CIMB ISLAMIC BANK</v>
      </c>
      <c r="K527" t="str">
        <f>"14180071676525"</f>
        <v>14180071676525</v>
      </c>
      <c r="L527" t="str">
        <f t="shared" ref="L527:M546" si="233">"04-08-2020"</f>
        <v>04-08-2020</v>
      </c>
      <c r="M527" t="str">
        <f t="shared" si="233"/>
        <v>04-08-2020</v>
      </c>
      <c r="N527" t="str">
        <f t="shared" si="223"/>
        <v>001105018356</v>
      </c>
      <c r="O527" t="str">
        <f t="shared" si="224"/>
        <v>MYR</v>
      </c>
      <c r="P527" t="str">
        <f t="shared" ref="P527:Q546" si="234">"NIL"</f>
        <v>NIL</v>
      </c>
      <c r="Q527" t="str">
        <f t="shared" si="234"/>
        <v>NIL</v>
      </c>
      <c r="R527" t="str">
        <f t="shared" si="225"/>
        <v>Accepted</v>
      </c>
      <c r="S527" t="str">
        <f t="shared" si="226"/>
        <v>Approved</v>
      </c>
      <c r="T527" t="str">
        <f t="shared" si="227"/>
        <v>10.20.8.188</v>
      </c>
      <c r="U527" t="str">
        <f t="shared" si="228"/>
        <v>AZRAD UMAR BIN SHAARI</v>
      </c>
      <c r="V527" t="str">
        <f t="shared" si="229"/>
        <v>FARHANA BINTI MUSTAPA</v>
      </c>
      <c r="W527" t="str">
        <f t="shared" si="230"/>
        <v>04-08-2020</v>
      </c>
      <c r="X527" t="str">
        <f t="shared" si="231"/>
        <v>RAZIMAH ANSAR AHMAD</v>
      </c>
      <c r="Y527" t="str">
        <f t="shared" si="232"/>
        <v>04-08-2020</v>
      </c>
      <c r="Z527" t="str">
        <f>"IDSB19200804 125"</f>
        <v>IDSB19200804 125</v>
      </c>
    </row>
    <row r="528" spans="1:26" x14ac:dyDescent="0.25">
      <c r="A528" t="str">
        <f t="shared" si="218"/>
        <v>04-08-2020 01:20:32</v>
      </c>
      <c r="B528" t="str">
        <f>"0000810435"</f>
        <v>0000810435</v>
      </c>
      <c r="C528" t="str">
        <f t="shared" si="219"/>
        <v>0000810311</v>
      </c>
      <c r="D528" t="str">
        <f t="shared" si="220"/>
        <v>73185</v>
      </c>
      <c r="E528" t="str">
        <f t="shared" si="221"/>
        <v>KFH-OPERATIONS DEPARTMENT</v>
      </c>
      <c r="F528" t="str">
        <f t="shared" si="222"/>
        <v>IBG</v>
      </c>
      <c r="G528" t="str">
        <f t="shared" si="210"/>
        <v>Refund IDSB 19</v>
      </c>
      <c r="H528" s="2">
        <v>419.75</v>
      </c>
      <c r="I528" t="str">
        <f>"ISKANDAR BIN ZAINUDIN"</f>
        <v>ISKANDAR BIN ZAINUDIN</v>
      </c>
      <c r="J528" t="str">
        <f t="shared" si="215"/>
        <v>CIMB BANK / CIMB ISLAMIC BANK</v>
      </c>
      <c r="K528" t="str">
        <f>"14081274824520"</f>
        <v>14081274824520</v>
      </c>
      <c r="L528" t="str">
        <f t="shared" si="233"/>
        <v>04-08-2020</v>
      </c>
      <c r="M528" t="str">
        <f t="shared" si="233"/>
        <v>04-08-2020</v>
      </c>
      <c r="N528" t="str">
        <f t="shared" si="223"/>
        <v>001105018356</v>
      </c>
      <c r="O528" t="str">
        <f t="shared" si="224"/>
        <v>MYR</v>
      </c>
      <c r="P528" t="str">
        <f t="shared" si="234"/>
        <v>NIL</v>
      </c>
      <c r="Q528" t="str">
        <f t="shared" si="234"/>
        <v>NIL</v>
      </c>
      <c r="R528" t="str">
        <f t="shared" si="225"/>
        <v>Accepted</v>
      </c>
      <c r="S528" t="str">
        <f t="shared" si="226"/>
        <v>Approved</v>
      </c>
      <c r="T528" t="str">
        <f t="shared" si="227"/>
        <v>10.20.8.188</v>
      </c>
      <c r="U528" t="str">
        <f t="shared" si="228"/>
        <v>AZRAD UMAR BIN SHAARI</v>
      </c>
      <c r="V528" t="str">
        <f t="shared" si="229"/>
        <v>FARHANA BINTI MUSTAPA</v>
      </c>
      <c r="W528" t="str">
        <f t="shared" si="230"/>
        <v>04-08-2020</v>
      </c>
      <c r="X528" t="str">
        <f t="shared" si="231"/>
        <v>RAZIMAH ANSAR AHMAD</v>
      </c>
      <c r="Y528" t="str">
        <f t="shared" si="232"/>
        <v>04-08-2020</v>
      </c>
      <c r="Z528" t="str">
        <f>"IDSB19200804 124"</f>
        <v>IDSB19200804 124</v>
      </c>
    </row>
    <row r="529" spans="1:26" x14ac:dyDescent="0.25">
      <c r="A529" t="str">
        <f t="shared" si="218"/>
        <v>04-08-2020 01:20:32</v>
      </c>
      <c r="B529" t="str">
        <f>"0000810434"</f>
        <v>0000810434</v>
      </c>
      <c r="C529" t="str">
        <f t="shared" si="219"/>
        <v>0000810311</v>
      </c>
      <c r="D529" t="str">
        <f t="shared" si="220"/>
        <v>73185</v>
      </c>
      <c r="E529" t="str">
        <f t="shared" si="221"/>
        <v>KFH-OPERATIONS DEPARTMENT</v>
      </c>
      <c r="F529" t="str">
        <f t="shared" si="222"/>
        <v>IBG</v>
      </c>
      <c r="G529" t="str">
        <f t="shared" si="210"/>
        <v>Refund IDSB 19</v>
      </c>
      <c r="H529" s="2">
        <v>587.41</v>
      </c>
      <c r="I529" t="str">
        <f>"IMA MARIA BINTI ABDUL GHALIM"</f>
        <v>IMA MARIA BINTI ABDUL GHALIM</v>
      </c>
      <c r="J529" t="str">
        <f t="shared" si="215"/>
        <v>CIMB BANK / CIMB ISLAMIC BANK</v>
      </c>
      <c r="K529" t="str">
        <f>"14180072130524"</f>
        <v>14180072130524</v>
      </c>
      <c r="L529" t="str">
        <f t="shared" si="233"/>
        <v>04-08-2020</v>
      </c>
      <c r="M529" t="str">
        <f t="shared" si="233"/>
        <v>04-08-2020</v>
      </c>
      <c r="N529" t="str">
        <f t="shared" si="223"/>
        <v>001105018356</v>
      </c>
      <c r="O529" t="str">
        <f t="shared" si="224"/>
        <v>MYR</v>
      </c>
      <c r="P529" t="str">
        <f t="shared" si="234"/>
        <v>NIL</v>
      </c>
      <c r="Q529" t="str">
        <f t="shared" si="234"/>
        <v>NIL</v>
      </c>
      <c r="R529" t="str">
        <f t="shared" si="225"/>
        <v>Accepted</v>
      </c>
      <c r="S529" t="str">
        <f t="shared" si="226"/>
        <v>Approved</v>
      </c>
      <c r="T529" t="str">
        <f t="shared" si="227"/>
        <v>10.20.8.188</v>
      </c>
      <c r="U529" t="str">
        <f t="shared" si="228"/>
        <v>AZRAD UMAR BIN SHAARI</v>
      </c>
      <c r="V529" t="str">
        <f t="shared" si="229"/>
        <v>FARHANA BINTI MUSTAPA</v>
      </c>
      <c r="W529" t="str">
        <f t="shared" si="230"/>
        <v>04-08-2020</v>
      </c>
      <c r="X529" t="str">
        <f t="shared" si="231"/>
        <v>RAZIMAH ANSAR AHMAD</v>
      </c>
      <c r="Y529" t="str">
        <f t="shared" si="232"/>
        <v>04-08-2020</v>
      </c>
      <c r="Z529" t="str">
        <f>"IDSB19200804 123"</f>
        <v>IDSB19200804 123</v>
      </c>
    </row>
    <row r="530" spans="1:26" x14ac:dyDescent="0.25">
      <c r="A530" t="str">
        <f t="shared" si="218"/>
        <v>04-08-2020 01:20:32</v>
      </c>
      <c r="B530" t="str">
        <f>"0000810433"</f>
        <v>0000810433</v>
      </c>
      <c r="C530" t="str">
        <f t="shared" si="219"/>
        <v>0000810311</v>
      </c>
      <c r="D530" t="str">
        <f t="shared" si="220"/>
        <v>73185</v>
      </c>
      <c r="E530" t="str">
        <f t="shared" si="221"/>
        <v>KFH-OPERATIONS DEPARTMENT</v>
      </c>
      <c r="F530" t="str">
        <f t="shared" si="222"/>
        <v>IBG</v>
      </c>
      <c r="G530" t="str">
        <f t="shared" si="210"/>
        <v>Refund IDSB 19</v>
      </c>
      <c r="H530" s="2">
        <v>724.1</v>
      </c>
      <c r="I530" t="str">
        <f>"HAMIZAL BIN MUSTAPHA"</f>
        <v>HAMIZAL BIN MUSTAPHA</v>
      </c>
      <c r="J530" t="str">
        <f t="shared" si="215"/>
        <v>CIMB BANK / CIMB ISLAMIC BANK</v>
      </c>
      <c r="K530" t="str">
        <f>"14320005384059"</f>
        <v>14320005384059</v>
      </c>
      <c r="L530" t="str">
        <f t="shared" si="233"/>
        <v>04-08-2020</v>
      </c>
      <c r="M530" t="str">
        <f t="shared" si="233"/>
        <v>04-08-2020</v>
      </c>
      <c r="N530" t="str">
        <f t="shared" si="223"/>
        <v>001105018356</v>
      </c>
      <c r="O530" t="str">
        <f t="shared" si="224"/>
        <v>MYR</v>
      </c>
      <c r="P530" t="str">
        <f t="shared" si="234"/>
        <v>NIL</v>
      </c>
      <c r="Q530" t="str">
        <f t="shared" si="234"/>
        <v>NIL</v>
      </c>
      <c r="R530" t="str">
        <f t="shared" si="225"/>
        <v>Accepted</v>
      </c>
      <c r="S530" t="str">
        <f t="shared" si="226"/>
        <v>Approved</v>
      </c>
      <c r="T530" t="str">
        <f t="shared" si="227"/>
        <v>10.20.8.188</v>
      </c>
      <c r="U530" t="str">
        <f t="shared" si="228"/>
        <v>AZRAD UMAR BIN SHAARI</v>
      </c>
      <c r="V530" t="str">
        <f t="shared" si="229"/>
        <v>FARHANA BINTI MUSTAPA</v>
      </c>
      <c r="W530" t="str">
        <f t="shared" si="230"/>
        <v>04-08-2020</v>
      </c>
      <c r="X530" t="str">
        <f t="shared" si="231"/>
        <v>RAZIMAH ANSAR AHMAD</v>
      </c>
      <c r="Y530" t="str">
        <f t="shared" si="232"/>
        <v>04-08-2020</v>
      </c>
      <c r="Z530" t="str">
        <f>"IDSB19200804 122"</f>
        <v>IDSB19200804 122</v>
      </c>
    </row>
    <row r="531" spans="1:26" x14ac:dyDescent="0.25">
      <c r="A531" t="str">
        <f t="shared" si="218"/>
        <v>04-08-2020 01:20:32</v>
      </c>
      <c r="B531" t="str">
        <f>"0000810432"</f>
        <v>0000810432</v>
      </c>
      <c r="C531" t="str">
        <f t="shared" si="219"/>
        <v>0000810311</v>
      </c>
      <c r="D531" t="str">
        <f t="shared" si="220"/>
        <v>73185</v>
      </c>
      <c r="E531" t="str">
        <f t="shared" si="221"/>
        <v>KFH-OPERATIONS DEPARTMENT</v>
      </c>
      <c r="F531" t="str">
        <f t="shared" si="222"/>
        <v>IBG</v>
      </c>
      <c r="G531" t="str">
        <f t="shared" si="210"/>
        <v>Refund IDSB 19</v>
      </c>
      <c r="H531" s="2">
        <v>714</v>
      </c>
      <c r="I531" t="str">
        <f>"HAFFIZA BINTI ABD RAFFAR"</f>
        <v>HAFFIZA BINTI ABD RAFFAR</v>
      </c>
      <c r="J531" t="str">
        <f t="shared" si="215"/>
        <v>CIMB BANK / CIMB ISLAMIC BANK</v>
      </c>
      <c r="K531" t="str">
        <f>"14180077014522"</f>
        <v>14180077014522</v>
      </c>
      <c r="L531" t="str">
        <f t="shared" si="233"/>
        <v>04-08-2020</v>
      </c>
      <c r="M531" t="str">
        <f t="shared" si="233"/>
        <v>04-08-2020</v>
      </c>
      <c r="N531" t="str">
        <f t="shared" si="223"/>
        <v>001105018356</v>
      </c>
      <c r="O531" t="str">
        <f t="shared" si="224"/>
        <v>MYR</v>
      </c>
      <c r="P531" t="str">
        <f t="shared" si="234"/>
        <v>NIL</v>
      </c>
      <c r="Q531" t="str">
        <f t="shared" si="234"/>
        <v>NIL</v>
      </c>
      <c r="R531" t="str">
        <f t="shared" si="225"/>
        <v>Accepted</v>
      </c>
      <c r="S531" t="str">
        <f t="shared" si="226"/>
        <v>Approved</v>
      </c>
      <c r="T531" t="str">
        <f t="shared" si="227"/>
        <v>10.20.8.188</v>
      </c>
      <c r="U531" t="str">
        <f t="shared" si="228"/>
        <v>AZRAD UMAR BIN SHAARI</v>
      </c>
      <c r="V531" t="str">
        <f t="shared" si="229"/>
        <v>FARHANA BINTI MUSTAPA</v>
      </c>
      <c r="W531" t="str">
        <f t="shared" si="230"/>
        <v>04-08-2020</v>
      </c>
      <c r="X531" t="str">
        <f t="shared" si="231"/>
        <v>RAZIMAH ANSAR AHMAD</v>
      </c>
      <c r="Y531" t="str">
        <f t="shared" si="232"/>
        <v>04-08-2020</v>
      </c>
      <c r="Z531" t="str">
        <f>"IDSB19200804 121"</f>
        <v>IDSB19200804 121</v>
      </c>
    </row>
    <row r="532" spans="1:26" x14ac:dyDescent="0.25">
      <c r="A532" t="str">
        <f t="shared" si="218"/>
        <v>04-08-2020 01:20:32</v>
      </c>
      <c r="B532" t="str">
        <f>"0000810431"</f>
        <v>0000810431</v>
      </c>
      <c r="C532" t="str">
        <f t="shared" si="219"/>
        <v>0000810311</v>
      </c>
      <c r="D532" t="str">
        <f t="shared" si="220"/>
        <v>73185</v>
      </c>
      <c r="E532" t="str">
        <f t="shared" si="221"/>
        <v>KFH-OPERATIONS DEPARTMENT</v>
      </c>
      <c r="F532" t="str">
        <f t="shared" si="222"/>
        <v>IBG</v>
      </c>
      <c r="G532" t="str">
        <f t="shared" si="210"/>
        <v>Refund IDSB 19</v>
      </c>
      <c r="H532" s="2">
        <v>125.95</v>
      </c>
      <c r="I532" t="str">
        <f>"FAUZIAH BINTI MOHAMAD"</f>
        <v>FAUZIAH BINTI MOHAMAD</v>
      </c>
      <c r="J532" t="str">
        <f t="shared" si="215"/>
        <v>CIMB BANK / CIMB ISLAMIC BANK</v>
      </c>
      <c r="K532" t="str">
        <f>"14160045434524"</f>
        <v>14160045434524</v>
      </c>
      <c r="L532" t="str">
        <f t="shared" si="233"/>
        <v>04-08-2020</v>
      </c>
      <c r="M532" t="str">
        <f t="shared" si="233"/>
        <v>04-08-2020</v>
      </c>
      <c r="N532" t="str">
        <f t="shared" si="223"/>
        <v>001105018356</v>
      </c>
      <c r="O532" t="str">
        <f t="shared" si="224"/>
        <v>MYR</v>
      </c>
      <c r="P532" t="str">
        <f t="shared" si="234"/>
        <v>NIL</v>
      </c>
      <c r="Q532" t="str">
        <f t="shared" si="234"/>
        <v>NIL</v>
      </c>
      <c r="R532" t="str">
        <f t="shared" si="225"/>
        <v>Accepted</v>
      </c>
      <c r="S532" t="str">
        <f t="shared" si="226"/>
        <v>Approved</v>
      </c>
      <c r="T532" t="str">
        <f t="shared" si="227"/>
        <v>10.20.8.188</v>
      </c>
      <c r="U532" t="str">
        <f t="shared" si="228"/>
        <v>AZRAD UMAR BIN SHAARI</v>
      </c>
      <c r="V532" t="str">
        <f t="shared" si="229"/>
        <v>FARHANA BINTI MUSTAPA</v>
      </c>
      <c r="W532" t="str">
        <f t="shared" si="230"/>
        <v>04-08-2020</v>
      </c>
      <c r="X532" t="str">
        <f t="shared" si="231"/>
        <v>RAZIMAH ANSAR AHMAD</v>
      </c>
      <c r="Y532" t="str">
        <f t="shared" si="232"/>
        <v>04-08-2020</v>
      </c>
      <c r="Z532" t="str">
        <f>"IDSB19200804 120"</f>
        <v>IDSB19200804 120</v>
      </c>
    </row>
    <row r="533" spans="1:26" x14ac:dyDescent="0.25">
      <c r="A533" t="str">
        <f t="shared" si="218"/>
        <v>04-08-2020 01:20:32</v>
      </c>
      <c r="B533" t="str">
        <f>"0000810430"</f>
        <v>0000810430</v>
      </c>
      <c r="C533" t="str">
        <f t="shared" si="219"/>
        <v>0000810311</v>
      </c>
      <c r="D533" t="str">
        <f t="shared" si="220"/>
        <v>73185</v>
      </c>
      <c r="E533" t="str">
        <f t="shared" si="221"/>
        <v>KFH-OPERATIONS DEPARTMENT</v>
      </c>
      <c r="F533" t="str">
        <f t="shared" si="222"/>
        <v>IBG</v>
      </c>
      <c r="G533" t="str">
        <f t="shared" si="210"/>
        <v>Refund IDSB 19</v>
      </c>
      <c r="H533" s="2">
        <v>76</v>
      </c>
      <c r="I533" t="str">
        <f>"FATIMAH ZAHARAH BINTI ISHAK"</f>
        <v>FATIMAH ZAHARAH BINTI ISHAK</v>
      </c>
      <c r="J533" t="str">
        <f t="shared" ref="J533:J546" si="235">"CIMB BANK / CIMB ISLAMIC BANK"</f>
        <v>CIMB BANK / CIMB ISLAMIC BANK</v>
      </c>
      <c r="K533" t="str">
        <f>"04080073657528"</f>
        <v>04080073657528</v>
      </c>
      <c r="L533" t="str">
        <f t="shared" si="233"/>
        <v>04-08-2020</v>
      </c>
      <c r="M533" t="str">
        <f t="shared" si="233"/>
        <v>04-08-2020</v>
      </c>
      <c r="N533" t="str">
        <f t="shared" si="223"/>
        <v>001105018356</v>
      </c>
      <c r="O533" t="str">
        <f t="shared" si="224"/>
        <v>MYR</v>
      </c>
      <c r="P533" t="str">
        <f t="shared" si="234"/>
        <v>NIL</v>
      </c>
      <c r="Q533" t="str">
        <f t="shared" si="234"/>
        <v>NIL</v>
      </c>
      <c r="R533" t="str">
        <f t="shared" si="225"/>
        <v>Accepted</v>
      </c>
      <c r="S533" t="str">
        <f t="shared" si="226"/>
        <v>Approved</v>
      </c>
      <c r="T533" t="str">
        <f t="shared" si="227"/>
        <v>10.20.8.188</v>
      </c>
      <c r="U533" t="str">
        <f t="shared" si="228"/>
        <v>AZRAD UMAR BIN SHAARI</v>
      </c>
      <c r="V533" t="str">
        <f t="shared" si="229"/>
        <v>FARHANA BINTI MUSTAPA</v>
      </c>
      <c r="W533" t="str">
        <f t="shared" si="230"/>
        <v>04-08-2020</v>
      </c>
      <c r="X533" t="str">
        <f t="shared" si="231"/>
        <v>RAZIMAH ANSAR AHMAD</v>
      </c>
      <c r="Y533" t="str">
        <f t="shared" si="232"/>
        <v>04-08-2020</v>
      </c>
      <c r="Z533" t="str">
        <f>"IDSB19200804 119"</f>
        <v>IDSB19200804 119</v>
      </c>
    </row>
    <row r="534" spans="1:26" x14ac:dyDescent="0.25">
      <c r="A534" t="str">
        <f t="shared" si="218"/>
        <v>04-08-2020 01:20:32</v>
      </c>
      <c r="B534" t="str">
        <f>"0000810429"</f>
        <v>0000810429</v>
      </c>
      <c r="C534" t="str">
        <f t="shared" si="219"/>
        <v>0000810311</v>
      </c>
      <c r="D534" t="str">
        <f t="shared" si="220"/>
        <v>73185</v>
      </c>
      <c r="E534" t="str">
        <f t="shared" si="221"/>
        <v>KFH-OPERATIONS DEPARTMENT</v>
      </c>
      <c r="F534" t="str">
        <f t="shared" si="222"/>
        <v>IBG</v>
      </c>
      <c r="G534" t="str">
        <f t="shared" si="210"/>
        <v>Refund IDSB 19</v>
      </c>
      <c r="H534" s="2">
        <v>680</v>
      </c>
      <c r="I534" t="str">
        <f>"FAIRUL FAJELEY BIN MOHD ZUBIR"</f>
        <v>FAIRUL FAJELEY BIN MOHD ZUBIR</v>
      </c>
      <c r="J534" t="str">
        <f t="shared" si="235"/>
        <v>CIMB BANK / CIMB ISLAMIC BANK</v>
      </c>
      <c r="K534" t="str">
        <f>"7603708392"</f>
        <v>7603708392</v>
      </c>
      <c r="L534" t="str">
        <f t="shared" si="233"/>
        <v>04-08-2020</v>
      </c>
      <c r="M534" t="str">
        <f t="shared" si="233"/>
        <v>04-08-2020</v>
      </c>
      <c r="N534" t="str">
        <f t="shared" si="223"/>
        <v>001105018356</v>
      </c>
      <c r="O534" t="str">
        <f t="shared" si="224"/>
        <v>MYR</v>
      </c>
      <c r="P534" t="str">
        <f t="shared" si="234"/>
        <v>NIL</v>
      </c>
      <c r="Q534" t="str">
        <f t="shared" si="234"/>
        <v>NIL</v>
      </c>
      <c r="R534" t="str">
        <f t="shared" si="225"/>
        <v>Accepted</v>
      </c>
      <c r="S534" t="str">
        <f t="shared" si="226"/>
        <v>Approved</v>
      </c>
      <c r="T534" t="str">
        <f t="shared" si="227"/>
        <v>10.20.8.188</v>
      </c>
      <c r="U534" t="str">
        <f t="shared" si="228"/>
        <v>AZRAD UMAR BIN SHAARI</v>
      </c>
      <c r="V534" t="str">
        <f t="shared" si="229"/>
        <v>FARHANA BINTI MUSTAPA</v>
      </c>
      <c r="W534" t="str">
        <f t="shared" si="230"/>
        <v>04-08-2020</v>
      </c>
      <c r="X534" t="str">
        <f t="shared" si="231"/>
        <v>RAZIMAH ANSAR AHMAD</v>
      </c>
      <c r="Y534" t="str">
        <f t="shared" si="232"/>
        <v>04-08-2020</v>
      </c>
      <c r="Z534" t="str">
        <f>"IDSB19200804 118"</f>
        <v>IDSB19200804 118</v>
      </c>
    </row>
    <row r="535" spans="1:26" x14ac:dyDescent="0.25">
      <c r="A535" t="str">
        <f t="shared" si="218"/>
        <v>04-08-2020 01:20:32</v>
      </c>
      <c r="B535" t="str">
        <f>"0000810428"</f>
        <v>0000810428</v>
      </c>
      <c r="C535" t="str">
        <f t="shared" si="219"/>
        <v>0000810311</v>
      </c>
      <c r="D535" t="str">
        <f t="shared" si="220"/>
        <v>73185</v>
      </c>
      <c r="E535" t="str">
        <f t="shared" si="221"/>
        <v>KFH-OPERATIONS DEPARTMENT</v>
      </c>
      <c r="F535" t="str">
        <f t="shared" si="222"/>
        <v>IBG</v>
      </c>
      <c r="G535" t="str">
        <f t="shared" si="210"/>
        <v>Refund IDSB 19</v>
      </c>
      <c r="H535" s="2">
        <v>1374</v>
      </c>
      <c r="I535" t="str">
        <f>"EKARIZAN BINTI SHAFFIE"</f>
        <v>EKARIZAN BINTI SHAFFIE</v>
      </c>
      <c r="J535" t="str">
        <f t="shared" si="235"/>
        <v>CIMB BANK / CIMB ISLAMIC BANK</v>
      </c>
      <c r="K535" t="str">
        <f>"8001963683"</f>
        <v>8001963683</v>
      </c>
      <c r="L535" t="str">
        <f t="shared" si="233"/>
        <v>04-08-2020</v>
      </c>
      <c r="M535" t="str">
        <f t="shared" si="233"/>
        <v>04-08-2020</v>
      </c>
      <c r="N535" t="str">
        <f t="shared" si="223"/>
        <v>001105018356</v>
      </c>
      <c r="O535" t="str">
        <f t="shared" si="224"/>
        <v>MYR</v>
      </c>
      <c r="P535" t="str">
        <f t="shared" si="234"/>
        <v>NIL</v>
      </c>
      <c r="Q535" t="str">
        <f t="shared" si="234"/>
        <v>NIL</v>
      </c>
      <c r="R535" t="str">
        <f t="shared" si="225"/>
        <v>Accepted</v>
      </c>
      <c r="S535" t="str">
        <f t="shared" si="226"/>
        <v>Approved</v>
      </c>
      <c r="T535" t="str">
        <f t="shared" si="227"/>
        <v>10.20.8.188</v>
      </c>
      <c r="U535" t="str">
        <f t="shared" si="228"/>
        <v>AZRAD UMAR BIN SHAARI</v>
      </c>
      <c r="V535" t="str">
        <f t="shared" si="229"/>
        <v>FARHANA BINTI MUSTAPA</v>
      </c>
      <c r="W535" t="str">
        <f t="shared" si="230"/>
        <v>04-08-2020</v>
      </c>
      <c r="X535" t="str">
        <f t="shared" si="231"/>
        <v>RAZIMAH ANSAR AHMAD</v>
      </c>
      <c r="Y535" t="str">
        <f t="shared" si="232"/>
        <v>04-08-2020</v>
      </c>
      <c r="Z535" t="str">
        <f>"IDSB19200804 117"</f>
        <v>IDSB19200804 117</v>
      </c>
    </row>
    <row r="536" spans="1:26" x14ac:dyDescent="0.25">
      <c r="A536" t="str">
        <f t="shared" si="218"/>
        <v>04-08-2020 01:20:32</v>
      </c>
      <c r="B536" t="str">
        <f>"0000810427"</f>
        <v>0000810427</v>
      </c>
      <c r="C536" t="str">
        <f t="shared" si="219"/>
        <v>0000810311</v>
      </c>
      <c r="D536" t="str">
        <f t="shared" si="220"/>
        <v>73185</v>
      </c>
      <c r="E536" t="str">
        <f t="shared" si="221"/>
        <v>KFH-OPERATIONS DEPARTMENT</v>
      </c>
      <c r="F536" t="str">
        <f t="shared" si="222"/>
        <v>IBG</v>
      </c>
      <c r="G536" t="str">
        <f t="shared" ref="G536:G599" si="236">"Refund IDSB 19"</f>
        <v>Refund IDSB 19</v>
      </c>
      <c r="H536" s="2">
        <v>78.569999999999993</v>
      </c>
      <c r="I536" t="str">
        <f>"CHE ZULKIFLI BIN YAACOB"</f>
        <v>CHE ZULKIFLI BIN YAACOB</v>
      </c>
      <c r="J536" t="str">
        <f t="shared" si="235"/>
        <v>CIMB BANK / CIMB ISLAMIC BANK</v>
      </c>
      <c r="K536" t="str">
        <f>"02021116505524"</f>
        <v>02021116505524</v>
      </c>
      <c r="L536" t="str">
        <f t="shared" si="233"/>
        <v>04-08-2020</v>
      </c>
      <c r="M536" t="str">
        <f t="shared" si="233"/>
        <v>04-08-2020</v>
      </c>
      <c r="N536" t="str">
        <f t="shared" si="223"/>
        <v>001105018356</v>
      </c>
      <c r="O536" t="str">
        <f t="shared" si="224"/>
        <v>MYR</v>
      </c>
      <c r="P536" t="str">
        <f t="shared" si="234"/>
        <v>NIL</v>
      </c>
      <c r="Q536" t="str">
        <f t="shared" si="234"/>
        <v>NIL</v>
      </c>
      <c r="R536" t="str">
        <f t="shared" si="225"/>
        <v>Accepted</v>
      </c>
      <c r="S536" t="str">
        <f t="shared" si="226"/>
        <v>Approved</v>
      </c>
      <c r="T536" t="str">
        <f t="shared" si="227"/>
        <v>10.20.8.188</v>
      </c>
      <c r="U536" t="str">
        <f t="shared" si="228"/>
        <v>AZRAD UMAR BIN SHAARI</v>
      </c>
      <c r="V536" t="str">
        <f t="shared" si="229"/>
        <v>FARHANA BINTI MUSTAPA</v>
      </c>
      <c r="W536" t="str">
        <f t="shared" si="230"/>
        <v>04-08-2020</v>
      </c>
      <c r="X536" t="str">
        <f t="shared" si="231"/>
        <v>RAZIMAH ANSAR AHMAD</v>
      </c>
      <c r="Y536" t="str">
        <f t="shared" si="232"/>
        <v>04-08-2020</v>
      </c>
      <c r="Z536" t="str">
        <f>"IDSB19200804 116"</f>
        <v>IDSB19200804 116</v>
      </c>
    </row>
    <row r="537" spans="1:26" x14ac:dyDescent="0.25">
      <c r="A537" t="str">
        <f t="shared" si="218"/>
        <v>04-08-2020 01:20:32</v>
      </c>
      <c r="B537" t="str">
        <f>"0000810426"</f>
        <v>0000810426</v>
      </c>
      <c r="C537" t="str">
        <f t="shared" si="219"/>
        <v>0000810311</v>
      </c>
      <c r="D537" t="str">
        <f t="shared" si="220"/>
        <v>73185</v>
      </c>
      <c r="E537" t="str">
        <f t="shared" si="221"/>
        <v>KFH-OPERATIONS DEPARTMENT</v>
      </c>
      <c r="F537" t="str">
        <f t="shared" si="222"/>
        <v>IBG</v>
      </c>
      <c r="G537" t="str">
        <f t="shared" si="236"/>
        <v>Refund IDSB 19</v>
      </c>
      <c r="H537" s="2">
        <v>122</v>
      </c>
      <c r="I537" t="str">
        <f>"CHE SUHAIZAN BIN CHE ALAM JANMOHD ALI"</f>
        <v>CHE SUHAIZAN BIN CHE ALAM JANMOHD ALI</v>
      </c>
      <c r="J537" t="str">
        <f t="shared" si="235"/>
        <v>CIMB BANK / CIMB ISLAMIC BANK</v>
      </c>
      <c r="K537" t="str">
        <f>"09020128751528"</f>
        <v>09020128751528</v>
      </c>
      <c r="L537" t="str">
        <f t="shared" si="233"/>
        <v>04-08-2020</v>
      </c>
      <c r="M537" t="str">
        <f t="shared" si="233"/>
        <v>04-08-2020</v>
      </c>
      <c r="N537" t="str">
        <f t="shared" si="223"/>
        <v>001105018356</v>
      </c>
      <c r="O537" t="str">
        <f t="shared" si="224"/>
        <v>MYR</v>
      </c>
      <c r="P537" t="str">
        <f t="shared" si="234"/>
        <v>NIL</v>
      </c>
      <c r="Q537" t="str">
        <f t="shared" si="234"/>
        <v>NIL</v>
      </c>
      <c r="R537" t="str">
        <f t="shared" si="225"/>
        <v>Accepted</v>
      </c>
      <c r="S537" t="str">
        <f t="shared" si="226"/>
        <v>Approved</v>
      </c>
      <c r="T537" t="str">
        <f t="shared" si="227"/>
        <v>10.20.8.188</v>
      </c>
      <c r="U537" t="str">
        <f t="shared" si="228"/>
        <v>AZRAD UMAR BIN SHAARI</v>
      </c>
      <c r="V537" t="str">
        <f t="shared" si="229"/>
        <v>FARHANA BINTI MUSTAPA</v>
      </c>
      <c r="W537" t="str">
        <f t="shared" si="230"/>
        <v>04-08-2020</v>
      </c>
      <c r="X537" t="str">
        <f t="shared" si="231"/>
        <v>RAZIMAH ANSAR AHMAD</v>
      </c>
      <c r="Y537" t="str">
        <f t="shared" si="232"/>
        <v>04-08-2020</v>
      </c>
      <c r="Z537" t="str">
        <f>"IDSB19200804 115"</f>
        <v>IDSB19200804 115</v>
      </c>
    </row>
    <row r="538" spans="1:26" x14ac:dyDescent="0.25">
      <c r="A538" t="str">
        <f t="shared" si="218"/>
        <v>04-08-2020 01:20:32</v>
      </c>
      <c r="B538" t="str">
        <f>"0000810425"</f>
        <v>0000810425</v>
      </c>
      <c r="C538" t="str">
        <f t="shared" si="219"/>
        <v>0000810311</v>
      </c>
      <c r="D538" t="str">
        <f t="shared" si="220"/>
        <v>73185</v>
      </c>
      <c r="E538" t="str">
        <f t="shared" si="221"/>
        <v>KFH-OPERATIONS DEPARTMENT</v>
      </c>
      <c r="F538" t="str">
        <f t="shared" si="222"/>
        <v>IBG</v>
      </c>
      <c r="G538" t="str">
        <f t="shared" si="236"/>
        <v>Refund IDSB 19</v>
      </c>
      <c r="H538" s="2">
        <v>190.55</v>
      </c>
      <c r="I538" t="str">
        <f>"BUDIWATI BINTI MOHAMED  MOHAMAD"</f>
        <v>BUDIWATI BINTI MOHAMED  MOHAMAD</v>
      </c>
      <c r="J538" t="str">
        <f t="shared" si="235"/>
        <v>CIMB BANK / CIMB ISLAMIC BANK</v>
      </c>
      <c r="K538" t="str">
        <f>"14180064124528"</f>
        <v>14180064124528</v>
      </c>
      <c r="L538" t="str">
        <f t="shared" si="233"/>
        <v>04-08-2020</v>
      </c>
      <c r="M538" t="str">
        <f t="shared" si="233"/>
        <v>04-08-2020</v>
      </c>
      <c r="N538" t="str">
        <f t="shared" si="223"/>
        <v>001105018356</v>
      </c>
      <c r="O538" t="str">
        <f t="shared" si="224"/>
        <v>MYR</v>
      </c>
      <c r="P538" t="str">
        <f t="shared" si="234"/>
        <v>NIL</v>
      </c>
      <c r="Q538" t="str">
        <f t="shared" si="234"/>
        <v>NIL</v>
      </c>
      <c r="R538" t="str">
        <f t="shared" si="225"/>
        <v>Accepted</v>
      </c>
      <c r="S538" t="str">
        <f t="shared" si="226"/>
        <v>Approved</v>
      </c>
      <c r="T538" t="str">
        <f t="shared" si="227"/>
        <v>10.20.8.188</v>
      </c>
      <c r="U538" t="str">
        <f t="shared" si="228"/>
        <v>AZRAD UMAR BIN SHAARI</v>
      </c>
      <c r="V538" t="str">
        <f t="shared" si="229"/>
        <v>FARHANA BINTI MUSTAPA</v>
      </c>
      <c r="W538" t="str">
        <f t="shared" si="230"/>
        <v>04-08-2020</v>
      </c>
      <c r="X538" t="str">
        <f t="shared" si="231"/>
        <v>RAZIMAH ANSAR AHMAD</v>
      </c>
      <c r="Y538" t="str">
        <f t="shared" si="232"/>
        <v>04-08-2020</v>
      </c>
      <c r="Z538" t="str">
        <f>"IDSB19200804 114"</f>
        <v>IDSB19200804 114</v>
      </c>
    </row>
    <row r="539" spans="1:26" x14ac:dyDescent="0.25">
      <c r="A539" t="str">
        <f t="shared" si="218"/>
        <v>04-08-2020 01:20:32</v>
      </c>
      <c r="B539" t="str">
        <f>"0000810424"</f>
        <v>0000810424</v>
      </c>
      <c r="C539" t="str">
        <f t="shared" si="219"/>
        <v>0000810311</v>
      </c>
      <c r="D539" t="str">
        <f t="shared" si="220"/>
        <v>73185</v>
      </c>
      <c r="E539" t="str">
        <f t="shared" si="221"/>
        <v>KFH-OPERATIONS DEPARTMENT</v>
      </c>
      <c r="F539" t="str">
        <f t="shared" si="222"/>
        <v>IBG</v>
      </c>
      <c r="G539" t="str">
        <f t="shared" si="236"/>
        <v>Refund IDSB 19</v>
      </c>
      <c r="H539" s="2">
        <v>357</v>
      </c>
      <c r="I539" t="str">
        <f>"BAHARUDIN BIN SUKARI"</f>
        <v>BAHARUDIN BIN SUKARI</v>
      </c>
      <c r="J539" t="str">
        <f t="shared" si="235"/>
        <v>CIMB BANK / CIMB ISLAMIC BANK</v>
      </c>
      <c r="K539" t="str">
        <f>"14400059993528"</f>
        <v>14400059993528</v>
      </c>
      <c r="L539" t="str">
        <f t="shared" si="233"/>
        <v>04-08-2020</v>
      </c>
      <c r="M539" t="str">
        <f t="shared" si="233"/>
        <v>04-08-2020</v>
      </c>
      <c r="N539" t="str">
        <f t="shared" si="223"/>
        <v>001105018356</v>
      </c>
      <c r="O539" t="str">
        <f t="shared" si="224"/>
        <v>MYR</v>
      </c>
      <c r="P539" t="str">
        <f t="shared" si="234"/>
        <v>NIL</v>
      </c>
      <c r="Q539" t="str">
        <f t="shared" si="234"/>
        <v>NIL</v>
      </c>
      <c r="R539" t="str">
        <f t="shared" si="225"/>
        <v>Accepted</v>
      </c>
      <c r="S539" t="str">
        <f t="shared" si="226"/>
        <v>Approved</v>
      </c>
      <c r="T539" t="str">
        <f t="shared" si="227"/>
        <v>10.20.8.188</v>
      </c>
      <c r="U539" t="str">
        <f t="shared" si="228"/>
        <v>AZRAD UMAR BIN SHAARI</v>
      </c>
      <c r="V539" t="str">
        <f t="shared" si="229"/>
        <v>FARHANA BINTI MUSTAPA</v>
      </c>
      <c r="W539" t="str">
        <f t="shared" si="230"/>
        <v>04-08-2020</v>
      </c>
      <c r="X539" t="str">
        <f t="shared" si="231"/>
        <v>RAZIMAH ANSAR AHMAD</v>
      </c>
      <c r="Y539" t="str">
        <f t="shared" si="232"/>
        <v>04-08-2020</v>
      </c>
      <c r="Z539" t="str">
        <f>"IDSB19200804 113"</f>
        <v>IDSB19200804 113</v>
      </c>
    </row>
    <row r="540" spans="1:26" x14ac:dyDescent="0.25">
      <c r="A540" t="str">
        <f t="shared" si="218"/>
        <v>04-08-2020 01:20:32</v>
      </c>
      <c r="B540" t="str">
        <f>"0000810423"</f>
        <v>0000810423</v>
      </c>
      <c r="C540" t="str">
        <f t="shared" si="219"/>
        <v>0000810311</v>
      </c>
      <c r="D540" t="str">
        <f t="shared" si="220"/>
        <v>73185</v>
      </c>
      <c r="E540" t="str">
        <f t="shared" si="221"/>
        <v>KFH-OPERATIONS DEPARTMENT</v>
      </c>
      <c r="F540" t="str">
        <f t="shared" si="222"/>
        <v>IBG</v>
      </c>
      <c r="G540" t="str">
        <f t="shared" si="236"/>
        <v>Refund IDSB 19</v>
      </c>
      <c r="H540" s="2">
        <v>184.62</v>
      </c>
      <c r="I540" t="str">
        <f>"ASHARI BIN JAMION"</f>
        <v>ASHARI BIN JAMION</v>
      </c>
      <c r="J540" t="str">
        <f t="shared" si="235"/>
        <v>CIMB BANK / CIMB ISLAMIC BANK</v>
      </c>
      <c r="K540" t="str">
        <f>"01070070510524"</f>
        <v>01070070510524</v>
      </c>
      <c r="L540" t="str">
        <f t="shared" si="233"/>
        <v>04-08-2020</v>
      </c>
      <c r="M540" t="str">
        <f t="shared" si="233"/>
        <v>04-08-2020</v>
      </c>
      <c r="N540" t="str">
        <f t="shared" si="223"/>
        <v>001105018356</v>
      </c>
      <c r="O540" t="str">
        <f t="shared" si="224"/>
        <v>MYR</v>
      </c>
      <c r="P540" t="str">
        <f t="shared" si="234"/>
        <v>NIL</v>
      </c>
      <c r="Q540" t="str">
        <f t="shared" si="234"/>
        <v>NIL</v>
      </c>
      <c r="R540" t="str">
        <f t="shared" si="225"/>
        <v>Accepted</v>
      </c>
      <c r="S540" t="str">
        <f t="shared" si="226"/>
        <v>Approved</v>
      </c>
      <c r="T540" t="str">
        <f t="shared" si="227"/>
        <v>10.20.8.188</v>
      </c>
      <c r="U540" t="str">
        <f t="shared" si="228"/>
        <v>AZRAD UMAR BIN SHAARI</v>
      </c>
      <c r="V540" t="str">
        <f t="shared" si="229"/>
        <v>FARHANA BINTI MUSTAPA</v>
      </c>
      <c r="W540" t="str">
        <f t="shared" si="230"/>
        <v>04-08-2020</v>
      </c>
      <c r="X540" t="str">
        <f t="shared" si="231"/>
        <v>RAZIMAH ANSAR AHMAD</v>
      </c>
      <c r="Y540" t="str">
        <f t="shared" si="232"/>
        <v>04-08-2020</v>
      </c>
      <c r="Z540" t="str">
        <f>"IDSB19200804 112"</f>
        <v>IDSB19200804 112</v>
      </c>
    </row>
    <row r="541" spans="1:26" x14ac:dyDescent="0.25">
      <c r="A541" t="str">
        <f t="shared" si="218"/>
        <v>04-08-2020 01:20:32</v>
      </c>
      <c r="B541" t="str">
        <f>"0000810422"</f>
        <v>0000810422</v>
      </c>
      <c r="C541" t="str">
        <f t="shared" si="219"/>
        <v>0000810311</v>
      </c>
      <c r="D541" t="str">
        <f t="shared" si="220"/>
        <v>73185</v>
      </c>
      <c r="E541" t="str">
        <f t="shared" si="221"/>
        <v>KFH-OPERATIONS DEPARTMENT</v>
      </c>
      <c r="F541" t="str">
        <f t="shared" si="222"/>
        <v>IBG</v>
      </c>
      <c r="G541" t="str">
        <f t="shared" si="236"/>
        <v>Refund IDSB 19</v>
      </c>
      <c r="H541" s="2">
        <v>167.83</v>
      </c>
      <c r="I541" t="str">
        <f>"ANN ERYNNA LEMA THOMAS SUDIN"</f>
        <v>ANN ERYNNA LEMA THOMAS SUDIN</v>
      </c>
      <c r="J541" t="str">
        <f t="shared" si="235"/>
        <v>CIMB BANK / CIMB ISLAMIC BANK</v>
      </c>
      <c r="K541" t="str">
        <f>"12480082291526"</f>
        <v>12480082291526</v>
      </c>
      <c r="L541" t="str">
        <f t="shared" si="233"/>
        <v>04-08-2020</v>
      </c>
      <c r="M541" t="str">
        <f t="shared" si="233"/>
        <v>04-08-2020</v>
      </c>
      <c r="N541" t="str">
        <f t="shared" si="223"/>
        <v>001105018356</v>
      </c>
      <c r="O541" t="str">
        <f t="shared" si="224"/>
        <v>MYR</v>
      </c>
      <c r="P541" t="str">
        <f t="shared" si="234"/>
        <v>NIL</v>
      </c>
      <c r="Q541" t="str">
        <f t="shared" si="234"/>
        <v>NIL</v>
      </c>
      <c r="R541" t="str">
        <f t="shared" si="225"/>
        <v>Accepted</v>
      </c>
      <c r="S541" t="str">
        <f t="shared" si="226"/>
        <v>Approved</v>
      </c>
      <c r="T541" t="str">
        <f t="shared" si="227"/>
        <v>10.20.8.188</v>
      </c>
      <c r="U541" t="str">
        <f t="shared" si="228"/>
        <v>AZRAD UMAR BIN SHAARI</v>
      </c>
      <c r="V541" t="str">
        <f t="shared" si="229"/>
        <v>FARHANA BINTI MUSTAPA</v>
      </c>
      <c r="W541" t="str">
        <f t="shared" si="230"/>
        <v>04-08-2020</v>
      </c>
      <c r="X541" t="str">
        <f t="shared" si="231"/>
        <v>RAZIMAH ANSAR AHMAD</v>
      </c>
      <c r="Y541" t="str">
        <f t="shared" si="232"/>
        <v>04-08-2020</v>
      </c>
      <c r="Z541" t="str">
        <f>"IDSB19200804 111"</f>
        <v>IDSB19200804 111</v>
      </c>
    </row>
    <row r="542" spans="1:26" x14ac:dyDescent="0.25">
      <c r="A542" t="str">
        <f t="shared" si="218"/>
        <v>04-08-2020 01:20:32</v>
      </c>
      <c r="B542" t="str">
        <f>"0000810421"</f>
        <v>0000810421</v>
      </c>
      <c r="C542" t="str">
        <f t="shared" si="219"/>
        <v>0000810311</v>
      </c>
      <c r="D542" t="str">
        <f t="shared" si="220"/>
        <v>73185</v>
      </c>
      <c r="E542" t="str">
        <f t="shared" si="221"/>
        <v>KFH-OPERATIONS DEPARTMENT</v>
      </c>
      <c r="F542" t="str">
        <f t="shared" si="222"/>
        <v>IBG</v>
      </c>
      <c r="G542" t="str">
        <f t="shared" si="236"/>
        <v>Refund IDSB 19</v>
      </c>
      <c r="H542" s="2">
        <v>1301</v>
      </c>
      <c r="I542" t="str">
        <f>"ALWI BIN MOHD YUNUS"</f>
        <v>ALWI BIN MOHD YUNUS</v>
      </c>
      <c r="J542" t="str">
        <f t="shared" si="235"/>
        <v>CIMB BANK / CIMB ISLAMIC BANK</v>
      </c>
      <c r="K542" t="str">
        <f>"12250000096108"</f>
        <v>12250000096108</v>
      </c>
      <c r="L542" t="str">
        <f t="shared" si="233"/>
        <v>04-08-2020</v>
      </c>
      <c r="M542" t="str">
        <f t="shared" si="233"/>
        <v>04-08-2020</v>
      </c>
      <c r="N542" t="str">
        <f t="shared" si="223"/>
        <v>001105018356</v>
      </c>
      <c r="O542" t="str">
        <f t="shared" si="224"/>
        <v>MYR</v>
      </c>
      <c r="P542" t="str">
        <f t="shared" si="234"/>
        <v>NIL</v>
      </c>
      <c r="Q542" t="str">
        <f t="shared" si="234"/>
        <v>NIL</v>
      </c>
      <c r="R542" t="str">
        <f t="shared" si="225"/>
        <v>Accepted</v>
      </c>
      <c r="S542" t="str">
        <f t="shared" si="226"/>
        <v>Approved</v>
      </c>
      <c r="T542" t="str">
        <f t="shared" si="227"/>
        <v>10.20.8.188</v>
      </c>
      <c r="U542" t="str">
        <f t="shared" si="228"/>
        <v>AZRAD UMAR BIN SHAARI</v>
      </c>
      <c r="V542" t="str">
        <f t="shared" si="229"/>
        <v>FARHANA BINTI MUSTAPA</v>
      </c>
      <c r="W542" t="str">
        <f t="shared" si="230"/>
        <v>04-08-2020</v>
      </c>
      <c r="X542" t="str">
        <f t="shared" si="231"/>
        <v>RAZIMAH ANSAR AHMAD</v>
      </c>
      <c r="Y542" t="str">
        <f t="shared" si="232"/>
        <v>04-08-2020</v>
      </c>
      <c r="Z542" t="str">
        <f>"IDSB19200804 110"</f>
        <v>IDSB19200804 110</v>
      </c>
    </row>
    <row r="543" spans="1:26" x14ac:dyDescent="0.25">
      <c r="A543" t="str">
        <f t="shared" si="218"/>
        <v>04-08-2020 01:20:32</v>
      </c>
      <c r="B543" t="str">
        <f>"0000810420"</f>
        <v>0000810420</v>
      </c>
      <c r="C543" t="str">
        <f t="shared" si="219"/>
        <v>0000810311</v>
      </c>
      <c r="D543" t="str">
        <f t="shared" si="220"/>
        <v>73185</v>
      </c>
      <c r="E543" t="str">
        <f t="shared" si="221"/>
        <v>KFH-OPERATIONS DEPARTMENT</v>
      </c>
      <c r="F543" t="str">
        <f t="shared" si="222"/>
        <v>IBG</v>
      </c>
      <c r="G543" t="str">
        <f t="shared" si="236"/>
        <v>Refund IDSB 19</v>
      </c>
      <c r="H543" s="2">
        <v>98.22</v>
      </c>
      <c r="I543" t="str">
        <f>"ALIAS BIN MOHAMAD HASSAN"</f>
        <v>ALIAS BIN MOHAMAD HASSAN</v>
      </c>
      <c r="J543" t="str">
        <f t="shared" si="235"/>
        <v>CIMB BANK / CIMB ISLAMIC BANK</v>
      </c>
      <c r="K543" t="str">
        <f>"02021121699528"</f>
        <v>02021121699528</v>
      </c>
      <c r="L543" t="str">
        <f t="shared" si="233"/>
        <v>04-08-2020</v>
      </c>
      <c r="M543" t="str">
        <f t="shared" si="233"/>
        <v>04-08-2020</v>
      </c>
      <c r="N543" t="str">
        <f t="shared" si="223"/>
        <v>001105018356</v>
      </c>
      <c r="O543" t="str">
        <f t="shared" si="224"/>
        <v>MYR</v>
      </c>
      <c r="P543" t="str">
        <f t="shared" si="234"/>
        <v>NIL</v>
      </c>
      <c r="Q543" t="str">
        <f t="shared" si="234"/>
        <v>NIL</v>
      </c>
      <c r="R543" t="str">
        <f t="shared" si="225"/>
        <v>Accepted</v>
      </c>
      <c r="S543" t="str">
        <f t="shared" si="226"/>
        <v>Approved</v>
      </c>
      <c r="T543" t="str">
        <f t="shared" si="227"/>
        <v>10.20.8.188</v>
      </c>
      <c r="U543" t="str">
        <f t="shared" si="228"/>
        <v>AZRAD UMAR BIN SHAARI</v>
      </c>
      <c r="V543" t="str">
        <f t="shared" si="229"/>
        <v>FARHANA BINTI MUSTAPA</v>
      </c>
      <c r="W543" t="str">
        <f t="shared" si="230"/>
        <v>04-08-2020</v>
      </c>
      <c r="X543" t="str">
        <f t="shared" si="231"/>
        <v>RAZIMAH ANSAR AHMAD</v>
      </c>
      <c r="Y543" t="str">
        <f t="shared" si="232"/>
        <v>04-08-2020</v>
      </c>
      <c r="Z543" t="str">
        <f>"IDSB19200804 109"</f>
        <v>IDSB19200804 109</v>
      </c>
    </row>
    <row r="544" spans="1:26" x14ac:dyDescent="0.25">
      <c r="A544" t="str">
        <f t="shared" si="218"/>
        <v>04-08-2020 01:20:32</v>
      </c>
      <c r="B544" t="str">
        <f>"0000810419"</f>
        <v>0000810419</v>
      </c>
      <c r="C544" t="str">
        <f t="shared" si="219"/>
        <v>0000810311</v>
      </c>
      <c r="D544" t="str">
        <f t="shared" si="220"/>
        <v>73185</v>
      </c>
      <c r="E544" t="str">
        <f t="shared" si="221"/>
        <v>KFH-OPERATIONS DEPARTMENT</v>
      </c>
      <c r="F544" t="str">
        <f t="shared" si="222"/>
        <v>IBG</v>
      </c>
      <c r="G544" t="str">
        <f t="shared" si="236"/>
        <v>Refund IDSB 19</v>
      </c>
      <c r="H544" s="2">
        <v>175</v>
      </c>
      <c r="I544" t="str">
        <f>"AHMAD KHAIRUL AMIR BIN NAWAWI"</f>
        <v>AHMAD KHAIRUL AMIR BIN NAWAWI</v>
      </c>
      <c r="J544" t="str">
        <f t="shared" si="235"/>
        <v>CIMB BANK / CIMB ISLAMIC BANK</v>
      </c>
      <c r="K544" t="str">
        <f>"04060000404101"</f>
        <v>04060000404101</v>
      </c>
      <c r="L544" t="str">
        <f t="shared" si="233"/>
        <v>04-08-2020</v>
      </c>
      <c r="M544" t="str">
        <f t="shared" si="233"/>
        <v>04-08-2020</v>
      </c>
      <c r="N544" t="str">
        <f t="shared" si="223"/>
        <v>001105018356</v>
      </c>
      <c r="O544" t="str">
        <f t="shared" si="224"/>
        <v>MYR</v>
      </c>
      <c r="P544" t="str">
        <f t="shared" si="234"/>
        <v>NIL</v>
      </c>
      <c r="Q544" t="str">
        <f t="shared" si="234"/>
        <v>NIL</v>
      </c>
      <c r="R544" t="str">
        <f t="shared" si="225"/>
        <v>Accepted</v>
      </c>
      <c r="S544" t="str">
        <f t="shared" si="226"/>
        <v>Approved</v>
      </c>
      <c r="T544" t="str">
        <f t="shared" si="227"/>
        <v>10.20.8.188</v>
      </c>
      <c r="U544" t="str">
        <f t="shared" si="228"/>
        <v>AZRAD UMAR BIN SHAARI</v>
      </c>
      <c r="V544" t="str">
        <f t="shared" si="229"/>
        <v>FARHANA BINTI MUSTAPA</v>
      </c>
      <c r="W544" t="str">
        <f t="shared" si="230"/>
        <v>04-08-2020</v>
      </c>
      <c r="X544" t="str">
        <f t="shared" si="231"/>
        <v>RAZIMAH ANSAR AHMAD</v>
      </c>
      <c r="Y544" t="str">
        <f t="shared" si="232"/>
        <v>04-08-2020</v>
      </c>
      <c r="Z544" t="str">
        <f>"IDSB19200804 108"</f>
        <v>IDSB19200804 108</v>
      </c>
    </row>
    <row r="545" spans="1:26" x14ac:dyDescent="0.25">
      <c r="A545" t="str">
        <f t="shared" si="218"/>
        <v>04-08-2020 01:20:32</v>
      </c>
      <c r="B545" t="str">
        <f>"0000810418"</f>
        <v>0000810418</v>
      </c>
      <c r="C545" t="str">
        <f t="shared" si="219"/>
        <v>0000810311</v>
      </c>
      <c r="D545" t="str">
        <f t="shared" si="220"/>
        <v>73185</v>
      </c>
      <c r="E545" t="str">
        <f t="shared" si="221"/>
        <v>KFH-OPERATIONS DEPARTMENT</v>
      </c>
      <c r="F545" t="str">
        <f t="shared" si="222"/>
        <v>IBG</v>
      </c>
      <c r="G545" t="str">
        <f t="shared" si="236"/>
        <v>Refund IDSB 19</v>
      </c>
      <c r="H545" s="2">
        <v>201.42</v>
      </c>
      <c r="I545" t="str">
        <f>"AHMAD HISYAM BIN SHAMSUDIN"</f>
        <v>AHMAD HISYAM BIN SHAMSUDIN</v>
      </c>
      <c r="J545" t="str">
        <f t="shared" si="235"/>
        <v>CIMB BANK / CIMB ISLAMIC BANK</v>
      </c>
      <c r="K545" t="str">
        <f>"12180098408528"</f>
        <v>12180098408528</v>
      </c>
      <c r="L545" t="str">
        <f t="shared" si="233"/>
        <v>04-08-2020</v>
      </c>
      <c r="M545" t="str">
        <f t="shared" si="233"/>
        <v>04-08-2020</v>
      </c>
      <c r="N545" t="str">
        <f t="shared" si="223"/>
        <v>001105018356</v>
      </c>
      <c r="O545" t="str">
        <f t="shared" si="224"/>
        <v>MYR</v>
      </c>
      <c r="P545" t="str">
        <f t="shared" si="234"/>
        <v>NIL</v>
      </c>
      <c r="Q545" t="str">
        <f t="shared" si="234"/>
        <v>NIL</v>
      </c>
      <c r="R545" t="str">
        <f t="shared" si="225"/>
        <v>Accepted</v>
      </c>
      <c r="S545" t="str">
        <f t="shared" si="226"/>
        <v>Approved</v>
      </c>
      <c r="T545" t="str">
        <f t="shared" si="227"/>
        <v>10.20.8.188</v>
      </c>
      <c r="U545" t="str">
        <f t="shared" si="228"/>
        <v>AZRAD UMAR BIN SHAARI</v>
      </c>
      <c r="V545" t="str">
        <f t="shared" si="229"/>
        <v>FARHANA BINTI MUSTAPA</v>
      </c>
      <c r="W545" t="str">
        <f t="shared" si="230"/>
        <v>04-08-2020</v>
      </c>
      <c r="X545" t="str">
        <f t="shared" si="231"/>
        <v>RAZIMAH ANSAR AHMAD</v>
      </c>
      <c r="Y545" t="str">
        <f t="shared" si="232"/>
        <v>04-08-2020</v>
      </c>
      <c r="Z545" t="str">
        <f>"IDSB19200804 107"</f>
        <v>IDSB19200804 107</v>
      </c>
    </row>
    <row r="546" spans="1:26" x14ac:dyDescent="0.25">
      <c r="A546" t="str">
        <f t="shared" si="218"/>
        <v>04-08-2020 01:20:32</v>
      </c>
      <c r="B546" t="str">
        <f>"0000810417"</f>
        <v>0000810417</v>
      </c>
      <c r="C546" t="str">
        <f t="shared" si="219"/>
        <v>0000810311</v>
      </c>
      <c r="D546" t="str">
        <f t="shared" si="220"/>
        <v>73185</v>
      </c>
      <c r="E546" t="str">
        <f t="shared" si="221"/>
        <v>KFH-OPERATIONS DEPARTMENT</v>
      </c>
      <c r="F546" t="str">
        <f t="shared" si="222"/>
        <v>IBG</v>
      </c>
      <c r="G546" t="str">
        <f t="shared" si="236"/>
        <v>Refund IDSB 19</v>
      </c>
      <c r="H546" s="2">
        <v>1032.18</v>
      </c>
      <c r="I546" t="str">
        <f>"ABDUL RAZAK BIN NASIR"</f>
        <v>ABDUL RAZAK BIN NASIR</v>
      </c>
      <c r="J546" t="str">
        <f t="shared" si="235"/>
        <v>CIMB BANK / CIMB ISLAMIC BANK</v>
      </c>
      <c r="K546" t="str">
        <f>"7625423152"</f>
        <v>7625423152</v>
      </c>
      <c r="L546" t="str">
        <f t="shared" si="233"/>
        <v>04-08-2020</v>
      </c>
      <c r="M546" t="str">
        <f t="shared" si="233"/>
        <v>04-08-2020</v>
      </c>
      <c r="N546" t="str">
        <f t="shared" si="223"/>
        <v>001105018356</v>
      </c>
      <c r="O546" t="str">
        <f t="shared" si="224"/>
        <v>MYR</v>
      </c>
      <c r="P546" t="str">
        <f t="shared" si="234"/>
        <v>NIL</v>
      </c>
      <c r="Q546" t="str">
        <f t="shared" si="234"/>
        <v>NIL</v>
      </c>
      <c r="R546" t="str">
        <f t="shared" si="225"/>
        <v>Accepted</v>
      </c>
      <c r="S546" t="str">
        <f t="shared" si="226"/>
        <v>Approved</v>
      </c>
      <c r="T546" t="str">
        <f t="shared" si="227"/>
        <v>10.20.8.188</v>
      </c>
      <c r="U546" t="str">
        <f t="shared" si="228"/>
        <v>AZRAD UMAR BIN SHAARI</v>
      </c>
      <c r="V546" t="str">
        <f t="shared" si="229"/>
        <v>FARHANA BINTI MUSTAPA</v>
      </c>
      <c r="W546" t="str">
        <f t="shared" si="230"/>
        <v>04-08-2020</v>
      </c>
      <c r="X546" t="str">
        <f t="shared" si="231"/>
        <v>RAZIMAH ANSAR AHMAD</v>
      </c>
      <c r="Y546" t="str">
        <f t="shared" si="232"/>
        <v>04-08-2020</v>
      </c>
      <c r="Z546" t="str">
        <f>"IDSB19200804 106"</f>
        <v>IDSB19200804 106</v>
      </c>
    </row>
    <row r="547" spans="1:26" x14ac:dyDescent="0.25">
      <c r="A547" t="str">
        <f t="shared" si="218"/>
        <v>04-08-2020 01:20:32</v>
      </c>
      <c r="B547" t="str">
        <f>"0000810416"</f>
        <v>0000810416</v>
      </c>
      <c r="C547" t="str">
        <f t="shared" si="219"/>
        <v>0000810311</v>
      </c>
      <c r="D547" t="str">
        <f t="shared" si="220"/>
        <v>73185</v>
      </c>
      <c r="E547" t="str">
        <f t="shared" si="221"/>
        <v>KFH-OPERATIONS DEPARTMENT</v>
      </c>
      <c r="F547" t="str">
        <f t="shared" si="222"/>
        <v>IBG</v>
      </c>
      <c r="G547" t="str">
        <f t="shared" si="236"/>
        <v>Refund IDSB 19</v>
      </c>
      <c r="H547" s="2">
        <v>164.7</v>
      </c>
      <c r="I547" t="str">
        <f>"ZAHARI BIN A RASHID"</f>
        <v>ZAHARI BIN A RASHID</v>
      </c>
      <c r="J547" t="str">
        <f t="shared" ref="J547:J556" si="237">"BANK SIMPANAN NASIONAL"</f>
        <v>BANK SIMPANAN NASIONAL</v>
      </c>
      <c r="K547" t="str">
        <f>"1111129871322773"</f>
        <v>1111129871322773</v>
      </c>
      <c r="L547" t="str">
        <f t="shared" ref="L547:M566" si="238">"04-08-2020"</f>
        <v>04-08-2020</v>
      </c>
      <c r="M547" t="str">
        <f t="shared" si="238"/>
        <v>04-08-2020</v>
      </c>
      <c r="N547" t="str">
        <f t="shared" si="223"/>
        <v>001105018356</v>
      </c>
      <c r="O547" t="str">
        <f t="shared" si="224"/>
        <v>MYR</v>
      </c>
      <c r="P547" t="str">
        <f t="shared" ref="P547:Q566" si="239">"NIL"</f>
        <v>NIL</v>
      </c>
      <c r="Q547" t="str">
        <f t="shared" si="239"/>
        <v>NIL</v>
      </c>
      <c r="R547" t="str">
        <f t="shared" si="225"/>
        <v>Accepted</v>
      </c>
      <c r="S547" t="str">
        <f t="shared" si="226"/>
        <v>Approved</v>
      </c>
      <c r="T547" t="str">
        <f t="shared" si="227"/>
        <v>10.20.8.188</v>
      </c>
      <c r="U547" t="str">
        <f t="shared" si="228"/>
        <v>AZRAD UMAR BIN SHAARI</v>
      </c>
      <c r="V547" t="str">
        <f t="shared" si="229"/>
        <v>FARHANA BINTI MUSTAPA</v>
      </c>
      <c r="W547" t="str">
        <f t="shared" si="230"/>
        <v>04-08-2020</v>
      </c>
      <c r="X547" t="str">
        <f t="shared" si="231"/>
        <v>RAZIMAH ANSAR AHMAD</v>
      </c>
      <c r="Y547" t="str">
        <f t="shared" si="232"/>
        <v>04-08-2020</v>
      </c>
      <c r="Z547" t="str">
        <f>"IDSB19200804 105"</f>
        <v>IDSB19200804 105</v>
      </c>
    </row>
    <row r="548" spans="1:26" x14ac:dyDescent="0.25">
      <c r="A548" t="str">
        <f t="shared" ref="A548:A579" si="240">"04-08-2020 01:20:32"</f>
        <v>04-08-2020 01:20:32</v>
      </c>
      <c r="B548" t="str">
        <f>"0000810415"</f>
        <v>0000810415</v>
      </c>
      <c r="C548" t="str">
        <f t="shared" ref="C548:C579" si="241">"0000810311"</f>
        <v>0000810311</v>
      </c>
      <c r="D548" t="str">
        <f t="shared" si="220"/>
        <v>73185</v>
      </c>
      <c r="E548" t="str">
        <f t="shared" si="221"/>
        <v>KFH-OPERATIONS DEPARTMENT</v>
      </c>
      <c r="F548" t="str">
        <f t="shared" si="222"/>
        <v>IBG</v>
      </c>
      <c r="G548" t="str">
        <f t="shared" si="236"/>
        <v>Refund IDSB 19</v>
      </c>
      <c r="H548" s="2">
        <v>73.17</v>
      </c>
      <c r="I548" t="str">
        <f>"SULAIMAN BIN HASSAN"</f>
        <v>SULAIMAN BIN HASSAN</v>
      </c>
      <c r="J548" t="str">
        <f t="shared" si="237"/>
        <v>BANK SIMPANAN NASIONAL</v>
      </c>
      <c r="K548" t="str">
        <f>"0212541000009916"</f>
        <v>0212541000009916</v>
      </c>
      <c r="L548" t="str">
        <f t="shared" si="238"/>
        <v>04-08-2020</v>
      </c>
      <c r="M548" t="str">
        <f t="shared" si="238"/>
        <v>04-08-2020</v>
      </c>
      <c r="N548" t="str">
        <f t="shared" si="223"/>
        <v>001105018356</v>
      </c>
      <c r="O548" t="str">
        <f t="shared" si="224"/>
        <v>MYR</v>
      </c>
      <c r="P548" t="str">
        <f t="shared" si="239"/>
        <v>NIL</v>
      </c>
      <c r="Q548" t="str">
        <f t="shared" si="239"/>
        <v>NIL</v>
      </c>
      <c r="R548" t="str">
        <f t="shared" si="225"/>
        <v>Accepted</v>
      </c>
      <c r="S548" t="str">
        <f t="shared" si="226"/>
        <v>Approved</v>
      </c>
      <c r="T548" t="str">
        <f t="shared" si="227"/>
        <v>10.20.8.188</v>
      </c>
      <c r="U548" t="str">
        <f t="shared" si="228"/>
        <v>AZRAD UMAR BIN SHAARI</v>
      </c>
      <c r="V548" t="str">
        <f t="shared" si="229"/>
        <v>FARHANA BINTI MUSTAPA</v>
      </c>
      <c r="W548" t="str">
        <f t="shared" si="230"/>
        <v>04-08-2020</v>
      </c>
      <c r="X548" t="str">
        <f t="shared" si="231"/>
        <v>RAZIMAH ANSAR AHMAD</v>
      </c>
      <c r="Y548" t="str">
        <f t="shared" si="232"/>
        <v>04-08-2020</v>
      </c>
      <c r="Z548" t="str">
        <f>"IDSB19200804 104"</f>
        <v>IDSB19200804 104</v>
      </c>
    </row>
    <row r="549" spans="1:26" x14ac:dyDescent="0.25">
      <c r="A549" t="str">
        <f t="shared" si="240"/>
        <v>04-08-2020 01:20:32</v>
      </c>
      <c r="B549" t="str">
        <f>"0000810414"</f>
        <v>0000810414</v>
      </c>
      <c r="C549" t="str">
        <f t="shared" si="241"/>
        <v>0000810311</v>
      </c>
      <c r="D549" t="str">
        <f t="shared" si="220"/>
        <v>73185</v>
      </c>
      <c r="E549" t="str">
        <f t="shared" si="221"/>
        <v>KFH-OPERATIONS DEPARTMENT</v>
      </c>
      <c r="F549" t="str">
        <f t="shared" si="222"/>
        <v>IBG</v>
      </c>
      <c r="G549" t="str">
        <f t="shared" si="236"/>
        <v>Refund IDSB 19</v>
      </c>
      <c r="H549" s="2">
        <v>167.9</v>
      </c>
      <c r="I549" t="str">
        <f>"NOOR AZURA BINTI MUHAMAD YUSUF"</f>
        <v>NOOR AZURA BINTI MUHAMAD YUSUF</v>
      </c>
      <c r="J549" t="str">
        <f t="shared" si="237"/>
        <v>BANK SIMPANAN NASIONAL</v>
      </c>
      <c r="K549" t="str">
        <f>"0219029000060173"</f>
        <v>0219029000060173</v>
      </c>
      <c r="L549" t="str">
        <f t="shared" si="238"/>
        <v>04-08-2020</v>
      </c>
      <c r="M549" t="str">
        <f t="shared" si="238"/>
        <v>04-08-2020</v>
      </c>
      <c r="N549" t="str">
        <f t="shared" si="223"/>
        <v>001105018356</v>
      </c>
      <c r="O549" t="str">
        <f t="shared" si="224"/>
        <v>MYR</v>
      </c>
      <c r="P549" t="str">
        <f t="shared" si="239"/>
        <v>NIL</v>
      </c>
      <c r="Q549" t="str">
        <f t="shared" si="239"/>
        <v>NIL</v>
      </c>
      <c r="R549" t="str">
        <f t="shared" si="225"/>
        <v>Accepted</v>
      </c>
      <c r="S549" t="str">
        <f t="shared" si="226"/>
        <v>Approved</v>
      </c>
      <c r="T549" t="str">
        <f t="shared" si="227"/>
        <v>10.20.8.188</v>
      </c>
      <c r="U549" t="str">
        <f t="shared" si="228"/>
        <v>AZRAD UMAR BIN SHAARI</v>
      </c>
      <c r="V549" t="str">
        <f t="shared" si="229"/>
        <v>FARHANA BINTI MUSTAPA</v>
      </c>
      <c r="W549" t="str">
        <f t="shared" si="230"/>
        <v>04-08-2020</v>
      </c>
      <c r="X549" t="str">
        <f t="shared" si="231"/>
        <v>RAZIMAH ANSAR AHMAD</v>
      </c>
      <c r="Y549" t="str">
        <f t="shared" si="232"/>
        <v>04-08-2020</v>
      </c>
      <c r="Z549" t="str">
        <f>"IDSB19200804 103"</f>
        <v>IDSB19200804 103</v>
      </c>
    </row>
    <row r="550" spans="1:26" x14ac:dyDescent="0.25">
      <c r="A550" t="str">
        <f t="shared" si="240"/>
        <v>04-08-2020 01:20:32</v>
      </c>
      <c r="B550" t="str">
        <f>"0000810413"</f>
        <v>0000810413</v>
      </c>
      <c r="C550" t="str">
        <f t="shared" si="241"/>
        <v>0000810311</v>
      </c>
      <c r="D550" t="str">
        <f t="shared" si="220"/>
        <v>73185</v>
      </c>
      <c r="E550" t="str">
        <f t="shared" si="221"/>
        <v>KFH-OPERATIONS DEPARTMENT</v>
      </c>
      <c r="F550" t="str">
        <f t="shared" si="222"/>
        <v>IBG</v>
      </c>
      <c r="G550" t="str">
        <f t="shared" si="236"/>
        <v>Refund IDSB 19</v>
      </c>
      <c r="H550" s="2">
        <v>595.80999999999995</v>
      </c>
      <c r="I550" t="str">
        <f>"MOHD ZAIRI BIN NGABIDIN"</f>
        <v>MOHD ZAIRI BIN NGABIDIN</v>
      </c>
      <c r="J550" t="str">
        <f t="shared" si="237"/>
        <v>BANK SIMPANAN NASIONAL</v>
      </c>
      <c r="K550" t="str">
        <f>"1014829000052452"</f>
        <v>1014829000052452</v>
      </c>
      <c r="L550" t="str">
        <f t="shared" si="238"/>
        <v>04-08-2020</v>
      </c>
      <c r="M550" t="str">
        <f t="shared" si="238"/>
        <v>04-08-2020</v>
      </c>
      <c r="N550" t="str">
        <f t="shared" si="223"/>
        <v>001105018356</v>
      </c>
      <c r="O550" t="str">
        <f t="shared" si="224"/>
        <v>MYR</v>
      </c>
      <c r="P550" t="str">
        <f t="shared" si="239"/>
        <v>NIL</v>
      </c>
      <c r="Q550" t="str">
        <f t="shared" si="239"/>
        <v>NIL</v>
      </c>
      <c r="R550" t="str">
        <f t="shared" si="225"/>
        <v>Accepted</v>
      </c>
      <c r="S550" t="str">
        <f t="shared" si="226"/>
        <v>Approved</v>
      </c>
      <c r="T550" t="str">
        <f t="shared" si="227"/>
        <v>10.20.8.188</v>
      </c>
      <c r="U550" t="str">
        <f t="shared" si="228"/>
        <v>AZRAD UMAR BIN SHAARI</v>
      </c>
      <c r="V550" t="str">
        <f t="shared" si="229"/>
        <v>FARHANA BINTI MUSTAPA</v>
      </c>
      <c r="W550" t="str">
        <f t="shared" si="230"/>
        <v>04-08-2020</v>
      </c>
      <c r="X550" t="str">
        <f t="shared" si="231"/>
        <v>RAZIMAH ANSAR AHMAD</v>
      </c>
      <c r="Y550" t="str">
        <f t="shared" si="232"/>
        <v>04-08-2020</v>
      </c>
      <c r="Z550" t="str">
        <f>"IDSB19200804 102"</f>
        <v>IDSB19200804 102</v>
      </c>
    </row>
    <row r="551" spans="1:26" x14ac:dyDescent="0.25">
      <c r="A551" t="str">
        <f t="shared" si="240"/>
        <v>04-08-2020 01:20:32</v>
      </c>
      <c r="B551" t="str">
        <f>"0000810412"</f>
        <v>0000810412</v>
      </c>
      <c r="C551" t="str">
        <f t="shared" si="241"/>
        <v>0000810311</v>
      </c>
      <c r="D551" t="str">
        <f t="shared" si="220"/>
        <v>73185</v>
      </c>
      <c r="E551" t="str">
        <f t="shared" si="221"/>
        <v>KFH-OPERATIONS DEPARTMENT</v>
      </c>
      <c r="F551" t="str">
        <f t="shared" si="222"/>
        <v>IBG</v>
      </c>
      <c r="G551" t="str">
        <f t="shared" si="236"/>
        <v>Refund IDSB 19</v>
      </c>
      <c r="H551" s="2">
        <v>50.4</v>
      </c>
      <c r="I551" t="str">
        <f>"MOHD NAJIB BIN MOHAMAD SANUSI"</f>
        <v>MOHD NAJIB BIN MOHAMAD SANUSI</v>
      </c>
      <c r="J551" t="str">
        <f t="shared" si="237"/>
        <v>BANK SIMPANAN NASIONAL</v>
      </c>
      <c r="K551" t="str">
        <f>"1016641000053066"</f>
        <v>1016641000053066</v>
      </c>
      <c r="L551" t="str">
        <f t="shared" si="238"/>
        <v>04-08-2020</v>
      </c>
      <c r="M551" t="str">
        <f t="shared" si="238"/>
        <v>04-08-2020</v>
      </c>
      <c r="N551" t="str">
        <f t="shared" si="223"/>
        <v>001105018356</v>
      </c>
      <c r="O551" t="str">
        <f t="shared" si="224"/>
        <v>MYR</v>
      </c>
      <c r="P551" t="str">
        <f t="shared" si="239"/>
        <v>NIL</v>
      </c>
      <c r="Q551" t="str">
        <f t="shared" si="239"/>
        <v>NIL</v>
      </c>
      <c r="R551" t="str">
        <f t="shared" si="225"/>
        <v>Accepted</v>
      </c>
      <c r="S551" t="str">
        <f t="shared" si="226"/>
        <v>Approved</v>
      </c>
      <c r="T551" t="str">
        <f t="shared" si="227"/>
        <v>10.20.8.188</v>
      </c>
      <c r="U551" t="str">
        <f t="shared" si="228"/>
        <v>AZRAD UMAR BIN SHAARI</v>
      </c>
      <c r="V551" t="str">
        <f t="shared" si="229"/>
        <v>FARHANA BINTI MUSTAPA</v>
      </c>
      <c r="W551" t="str">
        <f t="shared" si="230"/>
        <v>04-08-2020</v>
      </c>
      <c r="X551" t="str">
        <f t="shared" si="231"/>
        <v>RAZIMAH ANSAR AHMAD</v>
      </c>
      <c r="Y551" t="str">
        <f t="shared" si="232"/>
        <v>04-08-2020</v>
      </c>
      <c r="Z551" t="str">
        <f>"IDSB19200804 101"</f>
        <v>IDSB19200804 101</v>
      </c>
    </row>
    <row r="552" spans="1:26" x14ac:dyDescent="0.25">
      <c r="A552" t="str">
        <f t="shared" si="240"/>
        <v>04-08-2020 01:20:32</v>
      </c>
      <c r="B552" t="str">
        <f>"0000810411"</f>
        <v>0000810411</v>
      </c>
      <c r="C552" t="str">
        <f t="shared" si="241"/>
        <v>0000810311</v>
      </c>
      <c r="D552" t="str">
        <f t="shared" si="220"/>
        <v>73185</v>
      </c>
      <c r="E552" t="str">
        <f t="shared" si="221"/>
        <v>KFH-OPERATIONS DEPARTMENT</v>
      </c>
      <c r="F552" t="str">
        <f t="shared" si="222"/>
        <v>IBG</v>
      </c>
      <c r="G552" t="str">
        <f t="shared" si="236"/>
        <v>Refund IDSB 19</v>
      </c>
      <c r="H552" s="2">
        <v>633</v>
      </c>
      <c r="I552" t="str">
        <f>"MOHD JUNAIDIE BIN JUSOH"</f>
        <v>MOHD JUNAIDIE BIN JUSOH</v>
      </c>
      <c r="J552" t="str">
        <f t="shared" si="237"/>
        <v>BANK SIMPANAN NASIONAL</v>
      </c>
      <c r="K552" t="str">
        <f>"1110029000288765"</f>
        <v>1110029000288765</v>
      </c>
      <c r="L552" t="str">
        <f t="shared" si="238"/>
        <v>04-08-2020</v>
      </c>
      <c r="M552" t="str">
        <f t="shared" si="238"/>
        <v>04-08-2020</v>
      </c>
      <c r="N552" t="str">
        <f t="shared" si="223"/>
        <v>001105018356</v>
      </c>
      <c r="O552" t="str">
        <f t="shared" si="224"/>
        <v>MYR</v>
      </c>
      <c r="P552" t="str">
        <f t="shared" si="239"/>
        <v>NIL</v>
      </c>
      <c r="Q552" t="str">
        <f t="shared" si="239"/>
        <v>NIL</v>
      </c>
      <c r="R552" t="str">
        <f t="shared" si="225"/>
        <v>Accepted</v>
      </c>
      <c r="S552" t="str">
        <f t="shared" si="226"/>
        <v>Approved</v>
      </c>
      <c r="T552" t="str">
        <f t="shared" si="227"/>
        <v>10.20.8.188</v>
      </c>
      <c r="U552" t="str">
        <f t="shared" si="228"/>
        <v>AZRAD UMAR BIN SHAARI</v>
      </c>
      <c r="V552" t="str">
        <f t="shared" si="229"/>
        <v>FARHANA BINTI MUSTAPA</v>
      </c>
      <c r="W552" t="str">
        <f t="shared" si="230"/>
        <v>04-08-2020</v>
      </c>
      <c r="X552" t="str">
        <f t="shared" si="231"/>
        <v>RAZIMAH ANSAR AHMAD</v>
      </c>
      <c r="Y552" t="str">
        <f t="shared" si="232"/>
        <v>04-08-2020</v>
      </c>
      <c r="Z552" t="str">
        <f>"IDSB19200804 100"</f>
        <v>IDSB19200804 100</v>
      </c>
    </row>
    <row r="553" spans="1:26" x14ac:dyDescent="0.25">
      <c r="A553" t="str">
        <f t="shared" si="240"/>
        <v>04-08-2020 01:20:32</v>
      </c>
      <c r="B553" t="str">
        <f>"0000810410"</f>
        <v>0000810410</v>
      </c>
      <c r="C553" t="str">
        <f t="shared" si="241"/>
        <v>0000810311</v>
      </c>
      <c r="D553" t="str">
        <f t="shared" si="220"/>
        <v>73185</v>
      </c>
      <c r="E553" t="str">
        <f t="shared" si="221"/>
        <v>KFH-OPERATIONS DEPARTMENT</v>
      </c>
      <c r="F553" t="str">
        <f t="shared" si="222"/>
        <v>IBG</v>
      </c>
      <c r="G553" t="str">
        <f t="shared" si="236"/>
        <v>Refund IDSB 19</v>
      </c>
      <c r="H553" s="2">
        <v>124.15</v>
      </c>
      <c r="I553" t="str">
        <f>"KHAIRUL ANUAR BIN YAKUB"</f>
        <v>KHAIRUL ANUAR BIN YAKUB</v>
      </c>
      <c r="J553" t="str">
        <f t="shared" si="237"/>
        <v>BANK SIMPANAN NASIONAL</v>
      </c>
      <c r="K553" t="str">
        <f>"0920041000000642"</f>
        <v>0920041000000642</v>
      </c>
      <c r="L553" t="str">
        <f t="shared" si="238"/>
        <v>04-08-2020</v>
      </c>
      <c r="M553" t="str">
        <f t="shared" si="238"/>
        <v>04-08-2020</v>
      </c>
      <c r="N553" t="str">
        <f t="shared" si="223"/>
        <v>001105018356</v>
      </c>
      <c r="O553" t="str">
        <f t="shared" si="224"/>
        <v>MYR</v>
      </c>
      <c r="P553" t="str">
        <f t="shared" si="239"/>
        <v>NIL</v>
      </c>
      <c r="Q553" t="str">
        <f t="shared" si="239"/>
        <v>NIL</v>
      </c>
      <c r="R553" t="str">
        <f t="shared" si="225"/>
        <v>Accepted</v>
      </c>
      <c r="S553" t="str">
        <f t="shared" si="226"/>
        <v>Approved</v>
      </c>
      <c r="T553" t="str">
        <f t="shared" si="227"/>
        <v>10.20.8.188</v>
      </c>
      <c r="U553" t="str">
        <f t="shared" si="228"/>
        <v>AZRAD UMAR BIN SHAARI</v>
      </c>
      <c r="V553" t="str">
        <f t="shared" si="229"/>
        <v>FARHANA BINTI MUSTAPA</v>
      </c>
      <c r="W553" t="str">
        <f t="shared" si="230"/>
        <v>04-08-2020</v>
      </c>
      <c r="X553" t="str">
        <f t="shared" si="231"/>
        <v>RAZIMAH ANSAR AHMAD</v>
      </c>
      <c r="Y553" t="str">
        <f t="shared" si="232"/>
        <v>04-08-2020</v>
      </c>
      <c r="Z553" t="str">
        <f>"IDSB19200804 99"</f>
        <v>IDSB19200804 99</v>
      </c>
    </row>
    <row r="554" spans="1:26" x14ac:dyDescent="0.25">
      <c r="A554" t="str">
        <f t="shared" si="240"/>
        <v>04-08-2020 01:20:32</v>
      </c>
      <c r="B554" t="str">
        <f>"0000810409"</f>
        <v>0000810409</v>
      </c>
      <c r="C554" t="str">
        <f t="shared" si="241"/>
        <v>0000810311</v>
      </c>
      <c r="D554" t="str">
        <f t="shared" si="220"/>
        <v>73185</v>
      </c>
      <c r="E554" t="str">
        <f t="shared" si="221"/>
        <v>KFH-OPERATIONS DEPARTMENT</v>
      </c>
      <c r="F554" t="str">
        <f t="shared" si="222"/>
        <v>IBG</v>
      </c>
      <c r="G554" t="str">
        <f t="shared" si="236"/>
        <v>Refund IDSB 19</v>
      </c>
      <c r="H554" s="2">
        <v>478.36</v>
      </c>
      <c r="I554" t="str">
        <f>"HERMAN BIN HASHIM"</f>
        <v>HERMAN BIN HASHIM</v>
      </c>
      <c r="J554" t="str">
        <f t="shared" si="237"/>
        <v>BANK SIMPANAN NASIONAL</v>
      </c>
      <c r="K554" t="str">
        <f>"0510029000700109"</f>
        <v>0510029000700109</v>
      </c>
      <c r="L554" t="str">
        <f t="shared" si="238"/>
        <v>04-08-2020</v>
      </c>
      <c r="M554" t="str">
        <f t="shared" si="238"/>
        <v>04-08-2020</v>
      </c>
      <c r="N554" t="str">
        <f t="shared" si="223"/>
        <v>001105018356</v>
      </c>
      <c r="O554" t="str">
        <f t="shared" si="224"/>
        <v>MYR</v>
      </c>
      <c r="P554" t="str">
        <f t="shared" si="239"/>
        <v>NIL</v>
      </c>
      <c r="Q554" t="str">
        <f t="shared" si="239"/>
        <v>NIL</v>
      </c>
      <c r="R554" t="str">
        <f t="shared" si="225"/>
        <v>Accepted</v>
      </c>
      <c r="S554" t="str">
        <f t="shared" si="226"/>
        <v>Approved</v>
      </c>
      <c r="T554" t="str">
        <f t="shared" si="227"/>
        <v>10.20.8.188</v>
      </c>
      <c r="U554" t="str">
        <f t="shared" si="228"/>
        <v>AZRAD UMAR BIN SHAARI</v>
      </c>
      <c r="V554" t="str">
        <f t="shared" si="229"/>
        <v>FARHANA BINTI MUSTAPA</v>
      </c>
      <c r="W554" t="str">
        <f t="shared" si="230"/>
        <v>04-08-2020</v>
      </c>
      <c r="X554" t="str">
        <f t="shared" si="231"/>
        <v>RAZIMAH ANSAR AHMAD</v>
      </c>
      <c r="Y554" t="str">
        <f t="shared" si="232"/>
        <v>04-08-2020</v>
      </c>
      <c r="Z554" t="str">
        <f>"IDSB19200804 98"</f>
        <v>IDSB19200804 98</v>
      </c>
    </row>
    <row r="555" spans="1:26" x14ac:dyDescent="0.25">
      <c r="A555" t="str">
        <f t="shared" si="240"/>
        <v>04-08-2020 01:20:32</v>
      </c>
      <c r="B555" t="str">
        <f>"0000810408"</f>
        <v>0000810408</v>
      </c>
      <c r="C555" t="str">
        <f t="shared" si="241"/>
        <v>0000810311</v>
      </c>
      <c r="D555" t="str">
        <f t="shared" si="220"/>
        <v>73185</v>
      </c>
      <c r="E555" t="str">
        <f t="shared" si="221"/>
        <v>KFH-OPERATIONS DEPARTMENT</v>
      </c>
      <c r="F555" t="str">
        <f t="shared" si="222"/>
        <v>IBG</v>
      </c>
      <c r="G555" t="str">
        <f t="shared" si="236"/>
        <v>Refund IDSB 19</v>
      </c>
      <c r="H555" s="2">
        <v>603.16</v>
      </c>
      <c r="I555" t="str">
        <f>"AZHAR BIN JUSOH"</f>
        <v>AZHAR BIN JUSOH</v>
      </c>
      <c r="J555" t="str">
        <f t="shared" si="237"/>
        <v>BANK SIMPANAN NASIONAL</v>
      </c>
      <c r="K555" t="str">
        <f>"1111729000052229"</f>
        <v>1111729000052229</v>
      </c>
      <c r="L555" t="str">
        <f t="shared" si="238"/>
        <v>04-08-2020</v>
      </c>
      <c r="M555" t="str">
        <f t="shared" si="238"/>
        <v>04-08-2020</v>
      </c>
      <c r="N555" t="str">
        <f t="shared" si="223"/>
        <v>001105018356</v>
      </c>
      <c r="O555" t="str">
        <f t="shared" si="224"/>
        <v>MYR</v>
      </c>
      <c r="P555" t="str">
        <f t="shared" si="239"/>
        <v>NIL</v>
      </c>
      <c r="Q555" t="str">
        <f t="shared" si="239"/>
        <v>NIL</v>
      </c>
      <c r="R555" t="str">
        <f t="shared" si="225"/>
        <v>Accepted</v>
      </c>
      <c r="S555" t="str">
        <f t="shared" si="226"/>
        <v>Approved</v>
      </c>
      <c r="T555" t="str">
        <f t="shared" si="227"/>
        <v>10.20.8.188</v>
      </c>
      <c r="U555" t="str">
        <f t="shared" si="228"/>
        <v>AZRAD UMAR BIN SHAARI</v>
      </c>
      <c r="V555" t="str">
        <f t="shared" si="229"/>
        <v>FARHANA BINTI MUSTAPA</v>
      </c>
      <c r="W555" t="str">
        <f t="shared" si="230"/>
        <v>04-08-2020</v>
      </c>
      <c r="X555" t="str">
        <f t="shared" si="231"/>
        <v>RAZIMAH ANSAR AHMAD</v>
      </c>
      <c r="Y555" t="str">
        <f t="shared" si="232"/>
        <v>04-08-2020</v>
      </c>
      <c r="Z555" t="str">
        <f>"IDSB19200804 97"</f>
        <v>IDSB19200804 97</v>
      </c>
    </row>
    <row r="556" spans="1:26" x14ac:dyDescent="0.25">
      <c r="A556" t="str">
        <f t="shared" si="240"/>
        <v>04-08-2020 01:20:32</v>
      </c>
      <c r="B556" t="str">
        <f>"0000810407"</f>
        <v>0000810407</v>
      </c>
      <c r="C556" t="str">
        <f t="shared" si="241"/>
        <v>0000810311</v>
      </c>
      <c r="D556" t="str">
        <f t="shared" si="220"/>
        <v>73185</v>
      </c>
      <c r="E556" t="str">
        <f t="shared" si="221"/>
        <v>KFH-OPERATIONS DEPARTMENT</v>
      </c>
      <c r="F556" t="str">
        <f t="shared" si="222"/>
        <v>IBG</v>
      </c>
      <c r="G556" t="str">
        <f t="shared" si="236"/>
        <v>Refund IDSB 19</v>
      </c>
      <c r="H556" s="2">
        <v>1257.1400000000001</v>
      </c>
      <c r="I556" t="str">
        <f>"ABU ZAIREEN BIN ABU HASSAN"</f>
        <v>ABU ZAIREEN BIN ABU HASSAN</v>
      </c>
      <c r="J556" t="str">
        <f t="shared" si="237"/>
        <v>BANK SIMPANAN NASIONAL</v>
      </c>
      <c r="K556" t="str">
        <f>"1210029853190414"</f>
        <v>1210029853190414</v>
      </c>
      <c r="L556" t="str">
        <f t="shared" si="238"/>
        <v>04-08-2020</v>
      </c>
      <c r="M556" t="str">
        <f t="shared" si="238"/>
        <v>04-08-2020</v>
      </c>
      <c r="N556" t="str">
        <f t="shared" si="223"/>
        <v>001105018356</v>
      </c>
      <c r="O556" t="str">
        <f t="shared" si="224"/>
        <v>MYR</v>
      </c>
      <c r="P556" t="str">
        <f t="shared" si="239"/>
        <v>NIL</v>
      </c>
      <c r="Q556" t="str">
        <f t="shared" si="239"/>
        <v>NIL</v>
      </c>
      <c r="R556" t="str">
        <f t="shared" si="225"/>
        <v>Accepted</v>
      </c>
      <c r="S556" t="str">
        <f t="shared" si="226"/>
        <v>Approved</v>
      </c>
      <c r="T556" t="str">
        <f t="shared" si="227"/>
        <v>10.20.8.188</v>
      </c>
      <c r="U556" t="str">
        <f t="shared" si="228"/>
        <v>AZRAD UMAR BIN SHAARI</v>
      </c>
      <c r="V556" t="str">
        <f t="shared" si="229"/>
        <v>FARHANA BINTI MUSTAPA</v>
      </c>
      <c r="W556" t="str">
        <f t="shared" si="230"/>
        <v>04-08-2020</v>
      </c>
      <c r="X556" t="str">
        <f t="shared" si="231"/>
        <v>RAZIMAH ANSAR AHMAD</v>
      </c>
      <c r="Y556" t="str">
        <f t="shared" si="232"/>
        <v>04-08-2020</v>
      </c>
      <c r="Z556" t="str">
        <f>"IDSB19200804 96"</f>
        <v>IDSB19200804 96</v>
      </c>
    </row>
    <row r="557" spans="1:26" x14ac:dyDescent="0.25">
      <c r="A557" t="str">
        <f t="shared" si="240"/>
        <v>04-08-2020 01:20:32</v>
      </c>
      <c r="B557" t="str">
        <f>"0000810406"</f>
        <v>0000810406</v>
      </c>
      <c r="C557" t="str">
        <f t="shared" si="241"/>
        <v>0000810311</v>
      </c>
      <c r="D557" t="str">
        <f t="shared" si="220"/>
        <v>73185</v>
      </c>
      <c r="E557" t="str">
        <f t="shared" si="221"/>
        <v>KFH-OPERATIONS DEPARTMENT</v>
      </c>
      <c r="F557" t="str">
        <f t="shared" si="222"/>
        <v>IBG</v>
      </c>
      <c r="G557" t="str">
        <f t="shared" si="236"/>
        <v>Refund IDSB 19</v>
      </c>
      <c r="H557" s="2">
        <v>1259.25</v>
      </c>
      <c r="I557" t="str">
        <f>"ZURINA BINTI MUHAMMAD SHAMSUDIN"</f>
        <v>ZURINA BINTI MUHAMMAD SHAMSUDIN</v>
      </c>
      <c r="J557" t="str">
        <f t="shared" ref="J557:J573" si="242">"BANK MUAMALAT MALAYSIA BERHAD"</f>
        <v>BANK MUAMALAT MALAYSIA BERHAD</v>
      </c>
      <c r="K557" t="str">
        <f>"01060040764727"</f>
        <v>01060040764727</v>
      </c>
      <c r="L557" t="str">
        <f t="shared" si="238"/>
        <v>04-08-2020</v>
      </c>
      <c r="M557" t="str">
        <f t="shared" si="238"/>
        <v>04-08-2020</v>
      </c>
      <c r="N557" t="str">
        <f t="shared" si="223"/>
        <v>001105018356</v>
      </c>
      <c r="O557" t="str">
        <f t="shared" si="224"/>
        <v>MYR</v>
      </c>
      <c r="P557" t="str">
        <f t="shared" si="239"/>
        <v>NIL</v>
      </c>
      <c r="Q557" t="str">
        <f t="shared" si="239"/>
        <v>NIL</v>
      </c>
      <c r="R557" t="str">
        <f t="shared" si="225"/>
        <v>Accepted</v>
      </c>
      <c r="S557" t="str">
        <f t="shared" si="226"/>
        <v>Approved</v>
      </c>
      <c r="T557" t="str">
        <f t="shared" si="227"/>
        <v>10.20.8.188</v>
      </c>
      <c r="U557" t="str">
        <f t="shared" si="228"/>
        <v>AZRAD UMAR BIN SHAARI</v>
      </c>
      <c r="V557" t="str">
        <f t="shared" si="229"/>
        <v>FARHANA BINTI MUSTAPA</v>
      </c>
      <c r="W557" t="str">
        <f t="shared" si="230"/>
        <v>04-08-2020</v>
      </c>
      <c r="X557" t="str">
        <f t="shared" si="231"/>
        <v>RAZIMAH ANSAR AHMAD</v>
      </c>
      <c r="Y557" t="str">
        <f t="shared" si="232"/>
        <v>04-08-2020</v>
      </c>
      <c r="Z557" t="str">
        <f>"IDSB19200804 95"</f>
        <v>IDSB19200804 95</v>
      </c>
    </row>
    <row r="558" spans="1:26" x14ac:dyDescent="0.25">
      <c r="A558" t="str">
        <f t="shared" si="240"/>
        <v>04-08-2020 01:20:32</v>
      </c>
      <c r="B558" t="str">
        <f>"0000810405"</f>
        <v>0000810405</v>
      </c>
      <c r="C558" t="str">
        <f t="shared" si="241"/>
        <v>0000810311</v>
      </c>
      <c r="D558" t="str">
        <f t="shared" si="220"/>
        <v>73185</v>
      </c>
      <c r="E558" t="str">
        <f t="shared" si="221"/>
        <v>KFH-OPERATIONS DEPARTMENT</v>
      </c>
      <c r="F558" t="str">
        <f t="shared" si="222"/>
        <v>IBG</v>
      </c>
      <c r="G558" t="str">
        <f t="shared" si="236"/>
        <v>Refund IDSB 19</v>
      </c>
      <c r="H558" s="2">
        <v>1614</v>
      </c>
      <c r="I558" t="str">
        <f>"ZAMRI BIN MAT EMRIN"</f>
        <v>ZAMRI BIN MAT EMRIN</v>
      </c>
      <c r="J558" t="str">
        <f t="shared" si="242"/>
        <v>BANK MUAMALAT MALAYSIA BERHAD</v>
      </c>
      <c r="K558" t="str">
        <f>"01060034167723"</f>
        <v>01060034167723</v>
      </c>
      <c r="L558" t="str">
        <f t="shared" si="238"/>
        <v>04-08-2020</v>
      </c>
      <c r="M558" t="str">
        <f t="shared" si="238"/>
        <v>04-08-2020</v>
      </c>
      <c r="N558" t="str">
        <f t="shared" si="223"/>
        <v>001105018356</v>
      </c>
      <c r="O558" t="str">
        <f t="shared" si="224"/>
        <v>MYR</v>
      </c>
      <c r="P558" t="str">
        <f t="shared" si="239"/>
        <v>NIL</v>
      </c>
      <c r="Q558" t="str">
        <f t="shared" si="239"/>
        <v>NIL</v>
      </c>
      <c r="R558" t="str">
        <f t="shared" si="225"/>
        <v>Accepted</v>
      </c>
      <c r="S558" t="str">
        <f t="shared" si="226"/>
        <v>Approved</v>
      </c>
      <c r="T558" t="str">
        <f t="shared" si="227"/>
        <v>10.20.8.188</v>
      </c>
      <c r="U558" t="str">
        <f t="shared" si="228"/>
        <v>AZRAD UMAR BIN SHAARI</v>
      </c>
      <c r="V558" t="str">
        <f t="shared" si="229"/>
        <v>FARHANA BINTI MUSTAPA</v>
      </c>
      <c r="W558" t="str">
        <f t="shared" si="230"/>
        <v>04-08-2020</v>
      </c>
      <c r="X558" t="str">
        <f t="shared" si="231"/>
        <v>RAZIMAH ANSAR AHMAD</v>
      </c>
      <c r="Y558" t="str">
        <f t="shared" si="232"/>
        <v>04-08-2020</v>
      </c>
      <c r="Z558" t="str">
        <f>"IDSB19200804 94"</f>
        <v>IDSB19200804 94</v>
      </c>
    </row>
    <row r="559" spans="1:26" x14ac:dyDescent="0.25">
      <c r="A559" t="str">
        <f t="shared" si="240"/>
        <v>04-08-2020 01:20:32</v>
      </c>
      <c r="B559" t="str">
        <f>"0000810404"</f>
        <v>0000810404</v>
      </c>
      <c r="C559" t="str">
        <f t="shared" si="241"/>
        <v>0000810311</v>
      </c>
      <c r="D559" t="str">
        <f t="shared" si="220"/>
        <v>73185</v>
      </c>
      <c r="E559" t="str">
        <f t="shared" si="221"/>
        <v>KFH-OPERATIONS DEPARTMENT</v>
      </c>
      <c r="F559" t="str">
        <f t="shared" si="222"/>
        <v>IBG</v>
      </c>
      <c r="G559" t="str">
        <f t="shared" si="236"/>
        <v>Refund IDSB 19</v>
      </c>
      <c r="H559" s="2">
        <v>380</v>
      </c>
      <c r="I559" t="str">
        <f>"WASNITA BINTI HAMSAN"</f>
        <v>WASNITA BINTI HAMSAN</v>
      </c>
      <c r="J559" t="str">
        <f t="shared" si="242"/>
        <v>BANK MUAMALAT MALAYSIA BERHAD</v>
      </c>
      <c r="K559" t="str">
        <f>"01060032559723"</f>
        <v>01060032559723</v>
      </c>
      <c r="L559" t="str">
        <f t="shared" si="238"/>
        <v>04-08-2020</v>
      </c>
      <c r="M559" t="str">
        <f t="shared" si="238"/>
        <v>04-08-2020</v>
      </c>
      <c r="N559" t="str">
        <f t="shared" si="223"/>
        <v>001105018356</v>
      </c>
      <c r="O559" t="str">
        <f t="shared" si="224"/>
        <v>MYR</v>
      </c>
      <c r="P559" t="str">
        <f t="shared" si="239"/>
        <v>NIL</v>
      </c>
      <c r="Q559" t="str">
        <f t="shared" si="239"/>
        <v>NIL</v>
      </c>
      <c r="R559" t="str">
        <f t="shared" si="225"/>
        <v>Accepted</v>
      </c>
      <c r="S559" t="str">
        <f t="shared" si="226"/>
        <v>Approved</v>
      </c>
      <c r="T559" t="str">
        <f t="shared" si="227"/>
        <v>10.20.8.188</v>
      </c>
      <c r="U559" t="str">
        <f t="shared" si="228"/>
        <v>AZRAD UMAR BIN SHAARI</v>
      </c>
      <c r="V559" t="str">
        <f t="shared" si="229"/>
        <v>FARHANA BINTI MUSTAPA</v>
      </c>
      <c r="W559" t="str">
        <f t="shared" si="230"/>
        <v>04-08-2020</v>
      </c>
      <c r="X559" t="str">
        <f t="shared" si="231"/>
        <v>RAZIMAH ANSAR AHMAD</v>
      </c>
      <c r="Y559" t="str">
        <f t="shared" si="232"/>
        <v>04-08-2020</v>
      </c>
      <c r="Z559" t="str">
        <f>"IDSB19200804 93"</f>
        <v>IDSB19200804 93</v>
      </c>
    </row>
    <row r="560" spans="1:26" x14ac:dyDescent="0.25">
      <c r="A560" t="str">
        <f t="shared" si="240"/>
        <v>04-08-2020 01:20:32</v>
      </c>
      <c r="B560" t="str">
        <f>"0000810403"</f>
        <v>0000810403</v>
      </c>
      <c r="C560" t="str">
        <f t="shared" si="241"/>
        <v>0000810311</v>
      </c>
      <c r="D560" t="str">
        <f t="shared" si="220"/>
        <v>73185</v>
      </c>
      <c r="E560" t="str">
        <f t="shared" si="221"/>
        <v>KFH-OPERATIONS DEPARTMENT</v>
      </c>
      <c r="F560" t="str">
        <f t="shared" si="222"/>
        <v>IBG</v>
      </c>
      <c r="G560" t="str">
        <f t="shared" si="236"/>
        <v>Refund IDSB 19</v>
      </c>
      <c r="H560" s="2">
        <v>456</v>
      </c>
      <c r="I560" t="str">
        <f>"SHUKUR BIN SALEH"</f>
        <v>SHUKUR BIN SALEH</v>
      </c>
      <c r="J560" t="str">
        <f t="shared" si="242"/>
        <v>BANK MUAMALAT MALAYSIA BERHAD</v>
      </c>
      <c r="K560" t="str">
        <f>"01060045067728"</f>
        <v>01060045067728</v>
      </c>
      <c r="L560" t="str">
        <f t="shared" si="238"/>
        <v>04-08-2020</v>
      </c>
      <c r="M560" t="str">
        <f t="shared" si="238"/>
        <v>04-08-2020</v>
      </c>
      <c r="N560" t="str">
        <f t="shared" si="223"/>
        <v>001105018356</v>
      </c>
      <c r="O560" t="str">
        <f t="shared" si="224"/>
        <v>MYR</v>
      </c>
      <c r="P560" t="str">
        <f t="shared" si="239"/>
        <v>NIL</v>
      </c>
      <c r="Q560" t="str">
        <f t="shared" si="239"/>
        <v>NIL</v>
      </c>
      <c r="R560" t="str">
        <f t="shared" si="225"/>
        <v>Accepted</v>
      </c>
      <c r="S560" t="str">
        <f t="shared" si="226"/>
        <v>Approved</v>
      </c>
      <c r="T560" t="str">
        <f t="shared" si="227"/>
        <v>10.20.8.188</v>
      </c>
      <c r="U560" t="str">
        <f t="shared" si="228"/>
        <v>AZRAD UMAR BIN SHAARI</v>
      </c>
      <c r="V560" t="str">
        <f t="shared" si="229"/>
        <v>FARHANA BINTI MUSTAPA</v>
      </c>
      <c r="W560" t="str">
        <f t="shared" si="230"/>
        <v>04-08-2020</v>
      </c>
      <c r="X560" t="str">
        <f t="shared" si="231"/>
        <v>RAZIMAH ANSAR AHMAD</v>
      </c>
      <c r="Y560" t="str">
        <f t="shared" si="232"/>
        <v>04-08-2020</v>
      </c>
      <c r="Z560" t="str">
        <f>"IDSB19200804 92"</f>
        <v>IDSB19200804 92</v>
      </c>
    </row>
    <row r="561" spans="1:26" x14ac:dyDescent="0.25">
      <c r="A561" t="str">
        <f t="shared" si="240"/>
        <v>04-08-2020 01:20:32</v>
      </c>
      <c r="B561" t="str">
        <f>"0000810402"</f>
        <v>0000810402</v>
      </c>
      <c r="C561" t="str">
        <f t="shared" si="241"/>
        <v>0000810311</v>
      </c>
      <c r="D561" t="str">
        <f t="shared" si="220"/>
        <v>73185</v>
      </c>
      <c r="E561" t="str">
        <f t="shared" si="221"/>
        <v>KFH-OPERATIONS DEPARTMENT</v>
      </c>
      <c r="F561" t="str">
        <f t="shared" si="222"/>
        <v>IBG</v>
      </c>
      <c r="G561" t="str">
        <f t="shared" si="236"/>
        <v>Refund IDSB 19</v>
      </c>
      <c r="H561" s="2">
        <v>60</v>
      </c>
      <c r="I561" t="str">
        <f>"RAMLEE BIN HUSSIN"</f>
        <v>RAMLEE BIN HUSSIN</v>
      </c>
      <c r="J561" t="str">
        <f t="shared" si="242"/>
        <v>BANK MUAMALAT MALAYSIA BERHAD</v>
      </c>
      <c r="K561" t="str">
        <f>"01060038320721"</f>
        <v>01060038320721</v>
      </c>
      <c r="L561" t="str">
        <f t="shared" si="238"/>
        <v>04-08-2020</v>
      </c>
      <c r="M561" t="str">
        <f t="shared" si="238"/>
        <v>04-08-2020</v>
      </c>
      <c r="N561" t="str">
        <f t="shared" si="223"/>
        <v>001105018356</v>
      </c>
      <c r="O561" t="str">
        <f t="shared" si="224"/>
        <v>MYR</v>
      </c>
      <c r="P561" t="str">
        <f t="shared" si="239"/>
        <v>NIL</v>
      </c>
      <c r="Q561" t="str">
        <f t="shared" si="239"/>
        <v>NIL</v>
      </c>
      <c r="R561" t="str">
        <f t="shared" si="225"/>
        <v>Accepted</v>
      </c>
      <c r="S561" t="str">
        <f t="shared" si="226"/>
        <v>Approved</v>
      </c>
      <c r="T561" t="str">
        <f t="shared" si="227"/>
        <v>10.20.8.188</v>
      </c>
      <c r="U561" t="str">
        <f t="shared" si="228"/>
        <v>AZRAD UMAR BIN SHAARI</v>
      </c>
      <c r="V561" t="str">
        <f t="shared" si="229"/>
        <v>FARHANA BINTI MUSTAPA</v>
      </c>
      <c r="W561" t="str">
        <f t="shared" si="230"/>
        <v>04-08-2020</v>
      </c>
      <c r="X561" t="str">
        <f t="shared" si="231"/>
        <v>RAZIMAH ANSAR AHMAD</v>
      </c>
      <c r="Y561" t="str">
        <f t="shared" si="232"/>
        <v>04-08-2020</v>
      </c>
      <c r="Z561" t="str">
        <f>"IDSB19200804 91"</f>
        <v>IDSB19200804 91</v>
      </c>
    </row>
    <row r="562" spans="1:26" x14ac:dyDescent="0.25">
      <c r="A562" t="str">
        <f t="shared" si="240"/>
        <v>04-08-2020 01:20:32</v>
      </c>
      <c r="B562" t="str">
        <f>"0000810401"</f>
        <v>0000810401</v>
      </c>
      <c r="C562" t="str">
        <f t="shared" si="241"/>
        <v>0000810311</v>
      </c>
      <c r="D562" t="str">
        <f t="shared" si="220"/>
        <v>73185</v>
      </c>
      <c r="E562" t="str">
        <f t="shared" si="221"/>
        <v>KFH-OPERATIONS DEPARTMENT</v>
      </c>
      <c r="F562" t="str">
        <f t="shared" si="222"/>
        <v>IBG</v>
      </c>
      <c r="G562" t="str">
        <f t="shared" si="236"/>
        <v>Refund IDSB 19</v>
      </c>
      <c r="H562" s="2">
        <v>1138</v>
      </c>
      <c r="I562" t="str">
        <f>"NUR ZAKIAH BINTI AMIR HAMZAH"</f>
        <v>NUR ZAKIAH BINTI AMIR HAMZAH</v>
      </c>
      <c r="J562" t="str">
        <f t="shared" si="242"/>
        <v>BANK MUAMALAT MALAYSIA BERHAD</v>
      </c>
      <c r="K562" t="str">
        <f>"01060043001725"</f>
        <v>01060043001725</v>
      </c>
      <c r="L562" t="str">
        <f t="shared" si="238"/>
        <v>04-08-2020</v>
      </c>
      <c r="M562" t="str">
        <f t="shared" si="238"/>
        <v>04-08-2020</v>
      </c>
      <c r="N562" t="str">
        <f t="shared" si="223"/>
        <v>001105018356</v>
      </c>
      <c r="O562" t="str">
        <f t="shared" si="224"/>
        <v>MYR</v>
      </c>
      <c r="P562" t="str">
        <f t="shared" si="239"/>
        <v>NIL</v>
      </c>
      <c r="Q562" t="str">
        <f t="shared" si="239"/>
        <v>NIL</v>
      </c>
      <c r="R562" t="str">
        <f t="shared" si="225"/>
        <v>Accepted</v>
      </c>
      <c r="S562" t="str">
        <f t="shared" si="226"/>
        <v>Approved</v>
      </c>
      <c r="T562" t="str">
        <f t="shared" si="227"/>
        <v>10.20.8.188</v>
      </c>
      <c r="U562" t="str">
        <f t="shared" si="228"/>
        <v>AZRAD UMAR BIN SHAARI</v>
      </c>
      <c r="V562" t="str">
        <f t="shared" si="229"/>
        <v>FARHANA BINTI MUSTAPA</v>
      </c>
      <c r="W562" t="str">
        <f t="shared" si="230"/>
        <v>04-08-2020</v>
      </c>
      <c r="X562" t="str">
        <f t="shared" si="231"/>
        <v>RAZIMAH ANSAR AHMAD</v>
      </c>
      <c r="Y562" t="str">
        <f t="shared" si="232"/>
        <v>04-08-2020</v>
      </c>
      <c r="Z562" t="str">
        <f>"IDSB19200804 90"</f>
        <v>IDSB19200804 90</v>
      </c>
    </row>
    <row r="563" spans="1:26" x14ac:dyDescent="0.25">
      <c r="A563" t="str">
        <f t="shared" si="240"/>
        <v>04-08-2020 01:20:32</v>
      </c>
      <c r="B563" t="str">
        <f>"0000810400"</f>
        <v>0000810400</v>
      </c>
      <c r="C563" t="str">
        <f t="shared" si="241"/>
        <v>0000810311</v>
      </c>
      <c r="D563" t="str">
        <f t="shared" si="220"/>
        <v>73185</v>
      </c>
      <c r="E563" t="str">
        <f t="shared" si="221"/>
        <v>KFH-OPERATIONS DEPARTMENT</v>
      </c>
      <c r="F563" t="str">
        <f t="shared" si="222"/>
        <v>IBG</v>
      </c>
      <c r="G563" t="str">
        <f t="shared" si="236"/>
        <v>Refund IDSB 19</v>
      </c>
      <c r="H563" s="2">
        <v>1372</v>
      </c>
      <c r="I563" t="str">
        <f>"NOR IRMAWANIS BINTI ZAINAL ABIDIN"</f>
        <v>NOR IRMAWANIS BINTI ZAINAL ABIDIN</v>
      </c>
      <c r="J563" t="str">
        <f t="shared" si="242"/>
        <v>BANK MUAMALAT MALAYSIA BERHAD</v>
      </c>
      <c r="K563" t="str">
        <f>"01060028782728"</f>
        <v>01060028782728</v>
      </c>
      <c r="L563" t="str">
        <f t="shared" si="238"/>
        <v>04-08-2020</v>
      </c>
      <c r="M563" t="str">
        <f t="shared" si="238"/>
        <v>04-08-2020</v>
      </c>
      <c r="N563" t="str">
        <f t="shared" si="223"/>
        <v>001105018356</v>
      </c>
      <c r="O563" t="str">
        <f t="shared" si="224"/>
        <v>MYR</v>
      </c>
      <c r="P563" t="str">
        <f t="shared" si="239"/>
        <v>NIL</v>
      </c>
      <c r="Q563" t="str">
        <f t="shared" si="239"/>
        <v>NIL</v>
      </c>
      <c r="R563" t="str">
        <f t="shared" si="225"/>
        <v>Accepted</v>
      </c>
      <c r="S563" t="str">
        <f t="shared" si="226"/>
        <v>Approved</v>
      </c>
      <c r="T563" t="str">
        <f t="shared" si="227"/>
        <v>10.20.8.188</v>
      </c>
      <c r="U563" t="str">
        <f t="shared" si="228"/>
        <v>AZRAD UMAR BIN SHAARI</v>
      </c>
      <c r="V563" t="str">
        <f t="shared" si="229"/>
        <v>FARHANA BINTI MUSTAPA</v>
      </c>
      <c r="W563" t="str">
        <f t="shared" si="230"/>
        <v>04-08-2020</v>
      </c>
      <c r="X563" t="str">
        <f t="shared" si="231"/>
        <v>RAZIMAH ANSAR AHMAD</v>
      </c>
      <c r="Y563" t="str">
        <f t="shared" si="232"/>
        <v>04-08-2020</v>
      </c>
      <c r="Z563" t="str">
        <f>"IDSB19200804 89"</f>
        <v>IDSB19200804 89</v>
      </c>
    </row>
    <row r="564" spans="1:26" x14ac:dyDescent="0.25">
      <c r="A564" t="str">
        <f t="shared" si="240"/>
        <v>04-08-2020 01:20:32</v>
      </c>
      <c r="B564" t="str">
        <f>"0000810399"</f>
        <v>0000810399</v>
      </c>
      <c r="C564" t="str">
        <f t="shared" si="241"/>
        <v>0000810311</v>
      </c>
      <c r="D564" t="str">
        <f t="shared" si="220"/>
        <v>73185</v>
      </c>
      <c r="E564" t="str">
        <f t="shared" si="221"/>
        <v>KFH-OPERATIONS DEPARTMENT</v>
      </c>
      <c r="F564" t="str">
        <f t="shared" si="222"/>
        <v>IBG</v>
      </c>
      <c r="G564" t="str">
        <f t="shared" si="236"/>
        <v>Refund IDSB 19</v>
      </c>
      <c r="H564" s="2">
        <v>587.65</v>
      </c>
      <c r="I564" t="str">
        <f>"MUHAMMAD IQBAL BIN SARMAN"</f>
        <v>MUHAMMAD IQBAL BIN SARMAN</v>
      </c>
      <c r="J564" t="str">
        <f t="shared" si="242"/>
        <v>BANK MUAMALAT MALAYSIA BERHAD</v>
      </c>
      <c r="K564" t="str">
        <f>"01060045603728"</f>
        <v>01060045603728</v>
      </c>
      <c r="L564" t="str">
        <f t="shared" si="238"/>
        <v>04-08-2020</v>
      </c>
      <c r="M564" t="str">
        <f t="shared" si="238"/>
        <v>04-08-2020</v>
      </c>
      <c r="N564" t="str">
        <f t="shared" si="223"/>
        <v>001105018356</v>
      </c>
      <c r="O564" t="str">
        <f t="shared" si="224"/>
        <v>MYR</v>
      </c>
      <c r="P564" t="str">
        <f t="shared" si="239"/>
        <v>NIL</v>
      </c>
      <c r="Q564" t="str">
        <f t="shared" si="239"/>
        <v>NIL</v>
      </c>
      <c r="R564" t="str">
        <f t="shared" si="225"/>
        <v>Accepted</v>
      </c>
      <c r="S564" t="str">
        <f t="shared" si="226"/>
        <v>Approved</v>
      </c>
      <c r="T564" t="str">
        <f t="shared" si="227"/>
        <v>10.20.8.188</v>
      </c>
      <c r="U564" t="str">
        <f t="shared" si="228"/>
        <v>AZRAD UMAR BIN SHAARI</v>
      </c>
      <c r="V564" t="str">
        <f t="shared" si="229"/>
        <v>FARHANA BINTI MUSTAPA</v>
      </c>
      <c r="W564" t="str">
        <f t="shared" si="230"/>
        <v>04-08-2020</v>
      </c>
      <c r="X564" t="str">
        <f t="shared" si="231"/>
        <v>RAZIMAH ANSAR AHMAD</v>
      </c>
      <c r="Y564" t="str">
        <f t="shared" si="232"/>
        <v>04-08-2020</v>
      </c>
      <c r="Z564" t="str">
        <f>"IDSB19200804 88"</f>
        <v>IDSB19200804 88</v>
      </c>
    </row>
    <row r="565" spans="1:26" x14ac:dyDescent="0.25">
      <c r="A565" t="str">
        <f t="shared" si="240"/>
        <v>04-08-2020 01:20:32</v>
      </c>
      <c r="B565" t="str">
        <f>"0000810398"</f>
        <v>0000810398</v>
      </c>
      <c r="C565" t="str">
        <f t="shared" si="241"/>
        <v>0000810311</v>
      </c>
      <c r="D565" t="str">
        <f t="shared" si="220"/>
        <v>73185</v>
      </c>
      <c r="E565" t="str">
        <f t="shared" si="221"/>
        <v>KFH-OPERATIONS DEPARTMENT</v>
      </c>
      <c r="F565" t="str">
        <f t="shared" si="222"/>
        <v>IBG</v>
      </c>
      <c r="G565" t="str">
        <f t="shared" si="236"/>
        <v>Refund IDSB 19</v>
      </c>
      <c r="H565" s="2">
        <v>145</v>
      </c>
      <c r="I565" t="str">
        <f>"MOHD NOR YAKIN BIN ISAHAK"</f>
        <v>MOHD NOR YAKIN BIN ISAHAK</v>
      </c>
      <c r="J565" t="str">
        <f t="shared" si="242"/>
        <v>BANK MUAMALAT MALAYSIA BERHAD</v>
      </c>
      <c r="K565" t="str">
        <f>"01040016411720"</f>
        <v>01040016411720</v>
      </c>
      <c r="L565" t="str">
        <f t="shared" si="238"/>
        <v>04-08-2020</v>
      </c>
      <c r="M565" t="str">
        <f t="shared" si="238"/>
        <v>04-08-2020</v>
      </c>
      <c r="N565" t="str">
        <f t="shared" si="223"/>
        <v>001105018356</v>
      </c>
      <c r="O565" t="str">
        <f t="shared" si="224"/>
        <v>MYR</v>
      </c>
      <c r="P565" t="str">
        <f t="shared" si="239"/>
        <v>NIL</v>
      </c>
      <c r="Q565" t="str">
        <f t="shared" si="239"/>
        <v>NIL</v>
      </c>
      <c r="R565" t="str">
        <f t="shared" si="225"/>
        <v>Accepted</v>
      </c>
      <c r="S565" t="str">
        <f t="shared" si="226"/>
        <v>Approved</v>
      </c>
      <c r="T565" t="str">
        <f t="shared" si="227"/>
        <v>10.20.8.188</v>
      </c>
      <c r="U565" t="str">
        <f t="shared" si="228"/>
        <v>AZRAD UMAR BIN SHAARI</v>
      </c>
      <c r="V565" t="str">
        <f t="shared" si="229"/>
        <v>FARHANA BINTI MUSTAPA</v>
      </c>
      <c r="W565" t="str">
        <f t="shared" si="230"/>
        <v>04-08-2020</v>
      </c>
      <c r="X565" t="str">
        <f t="shared" si="231"/>
        <v>RAZIMAH ANSAR AHMAD</v>
      </c>
      <c r="Y565" t="str">
        <f t="shared" si="232"/>
        <v>04-08-2020</v>
      </c>
      <c r="Z565" t="str">
        <f>"IDSB19200804 87"</f>
        <v>IDSB19200804 87</v>
      </c>
    </row>
    <row r="566" spans="1:26" x14ac:dyDescent="0.25">
      <c r="A566" t="str">
        <f t="shared" si="240"/>
        <v>04-08-2020 01:20:32</v>
      </c>
      <c r="B566" t="str">
        <f>"0000810397"</f>
        <v>0000810397</v>
      </c>
      <c r="C566" t="str">
        <f t="shared" si="241"/>
        <v>0000810311</v>
      </c>
      <c r="D566" t="str">
        <f t="shared" si="220"/>
        <v>73185</v>
      </c>
      <c r="E566" t="str">
        <f t="shared" si="221"/>
        <v>KFH-OPERATIONS DEPARTMENT</v>
      </c>
      <c r="F566" t="str">
        <f t="shared" si="222"/>
        <v>IBG</v>
      </c>
      <c r="G566" t="str">
        <f t="shared" si="236"/>
        <v>Refund IDSB 19</v>
      </c>
      <c r="H566" s="2">
        <v>721</v>
      </c>
      <c r="I566" t="str">
        <f>"MOHD IQBAL BIN ZAINAL ABIDIN"</f>
        <v>MOHD IQBAL BIN ZAINAL ABIDIN</v>
      </c>
      <c r="J566" t="str">
        <f t="shared" si="242"/>
        <v>BANK MUAMALAT MALAYSIA BERHAD</v>
      </c>
      <c r="K566" t="str">
        <f>"01060048935728"</f>
        <v>01060048935728</v>
      </c>
      <c r="L566" t="str">
        <f t="shared" si="238"/>
        <v>04-08-2020</v>
      </c>
      <c r="M566" t="str">
        <f t="shared" si="238"/>
        <v>04-08-2020</v>
      </c>
      <c r="N566" t="str">
        <f t="shared" si="223"/>
        <v>001105018356</v>
      </c>
      <c r="O566" t="str">
        <f t="shared" si="224"/>
        <v>MYR</v>
      </c>
      <c r="P566" t="str">
        <f t="shared" si="239"/>
        <v>NIL</v>
      </c>
      <c r="Q566" t="str">
        <f t="shared" si="239"/>
        <v>NIL</v>
      </c>
      <c r="R566" t="str">
        <f t="shared" si="225"/>
        <v>Accepted</v>
      </c>
      <c r="S566" t="str">
        <f t="shared" si="226"/>
        <v>Approved</v>
      </c>
      <c r="T566" t="str">
        <f t="shared" si="227"/>
        <v>10.20.8.188</v>
      </c>
      <c r="U566" t="str">
        <f t="shared" si="228"/>
        <v>AZRAD UMAR BIN SHAARI</v>
      </c>
      <c r="V566" t="str">
        <f t="shared" si="229"/>
        <v>FARHANA BINTI MUSTAPA</v>
      </c>
      <c r="W566" t="str">
        <f t="shared" si="230"/>
        <v>04-08-2020</v>
      </c>
      <c r="X566" t="str">
        <f t="shared" si="231"/>
        <v>RAZIMAH ANSAR AHMAD</v>
      </c>
      <c r="Y566" t="str">
        <f t="shared" si="232"/>
        <v>04-08-2020</v>
      </c>
      <c r="Z566" t="str">
        <f>"IDSB19200804 86"</f>
        <v>IDSB19200804 86</v>
      </c>
    </row>
    <row r="567" spans="1:26" x14ac:dyDescent="0.25">
      <c r="A567" t="str">
        <f t="shared" si="240"/>
        <v>04-08-2020 01:20:32</v>
      </c>
      <c r="B567" t="str">
        <f>"0000810396"</f>
        <v>0000810396</v>
      </c>
      <c r="C567" t="str">
        <f t="shared" si="241"/>
        <v>0000810311</v>
      </c>
      <c r="D567" t="str">
        <f t="shared" si="220"/>
        <v>73185</v>
      </c>
      <c r="E567" t="str">
        <f t="shared" si="221"/>
        <v>KFH-OPERATIONS DEPARTMENT</v>
      </c>
      <c r="F567" t="str">
        <f t="shared" si="222"/>
        <v>IBG</v>
      </c>
      <c r="G567" t="str">
        <f t="shared" si="236"/>
        <v>Refund IDSB 19</v>
      </c>
      <c r="H567" s="2">
        <v>270.14999999999998</v>
      </c>
      <c r="I567" t="str">
        <f>"MOHD IKBAL BIN HASHIM"</f>
        <v>MOHD IKBAL BIN HASHIM</v>
      </c>
      <c r="J567" t="str">
        <f t="shared" si="242"/>
        <v>BANK MUAMALAT MALAYSIA BERHAD</v>
      </c>
      <c r="K567" t="str">
        <f>"12050000062720"</f>
        <v>12050000062720</v>
      </c>
      <c r="L567" t="str">
        <f t="shared" ref="L567:M586" si="243">"04-08-2020"</f>
        <v>04-08-2020</v>
      </c>
      <c r="M567" t="str">
        <f t="shared" si="243"/>
        <v>04-08-2020</v>
      </c>
      <c r="N567" t="str">
        <f t="shared" si="223"/>
        <v>001105018356</v>
      </c>
      <c r="O567" t="str">
        <f t="shared" si="224"/>
        <v>MYR</v>
      </c>
      <c r="P567" t="str">
        <f t="shared" ref="P567:Q586" si="244">"NIL"</f>
        <v>NIL</v>
      </c>
      <c r="Q567" t="str">
        <f t="shared" si="244"/>
        <v>NIL</v>
      </c>
      <c r="R567" t="str">
        <f t="shared" si="225"/>
        <v>Accepted</v>
      </c>
      <c r="S567" t="str">
        <f t="shared" si="226"/>
        <v>Approved</v>
      </c>
      <c r="T567" t="str">
        <f t="shared" si="227"/>
        <v>10.20.8.188</v>
      </c>
      <c r="U567" t="str">
        <f t="shared" si="228"/>
        <v>AZRAD UMAR BIN SHAARI</v>
      </c>
      <c r="V567" t="str">
        <f t="shared" si="229"/>
        <v>FARHANA BINTI MUSTAPA</v>
      </c>
      <c r="W567" t="str">
        <f t="shared" si="230"/>
        <v>04-08-2020</v>
      </c>
      <c r="X567" t="str">
        <f t="shared" si="231"/>
        <v>RAZIMAH ANSAR AHMAD</v>
      </c>
      <c r="Y567" t="str">
        <f t="shared" si="232"/>
        <v>04-08-2020</v>
      </c>
      <c r="Z567" t="str">
        <f>"IDSB19200804 85"</f>
        <v>IDSB19200804 85</v>
      </c>
    </row>
    <row r="568" spans="1:26" x14ac:dyDescent="0.25">
      <c r="A568" t="str">
        <f t="shared" si="240"/>
        <v>04-08-2020 01:20:32</v>
      </c>
      <c r="B568" t="str">
        <f>"0000810395"</f>
        <v>0000810395</v>
      </c>
      <c r="C568" t="str">
        <f t="shared" si="241"/>
        <v>0000810311</v>
      </c>
      <c r="D568" t="str">
        <f t="shared" si="220"/>
        <v>73185</v>
      </c>
      <c r="E568" t="str">
        <f t="shared" si="221"/>
        <v>KFH-OPERATIONS DEPARTMENT</v>
      </c>
      <c r="F568" t="str">
        <f t="shared" si="222"/>
        <v>IBG</v>
      </c>
      <c r="G568" t="str">
        <f t="shared" si="236"/>
        <v>Refund IDSB 19</v>
      </c>
      <c r="H568" s="2">
        <v>183</v>
      </c>
      <c r="I568" t="str">
        <f>"MOHD AZIZI BIN SHAMSUDIN"</f>
        <v>MOHD AZIZI BIN SHAMSUDIN</v>
      </c>
      <c r="J568" t="str">
        <f t="shared" si="242"/>
        <v>BANK MUAMALAT MALAYSIA BERHAD</v>
      </c>
      <c r="K568" t="str">
        <f>"01070006974728"</f>
        <v>01070006974728</v>
      </c>
      <c r="L568" t="str">
        <f t="shared" si="243"/>
        <v>04-08-2020</v>
      </c>
      <c r="M568" t="str">
        <f t="shared" si="243"/>
        <v>04-08-2020</v>
      </c>
      <c r="N568" t="str">
        <f t="shared" si="223"/>
        <v>001105018356</v>
      </c>
      <c r="O568" t="str">
        <f t="shared" si="224"/>
        <v>MYR</v>
      </c>
      <c r="P568" t="str">
        <f t="shared" si="244"/>
        <v>NIL</v>
      </c>
      <c r="Q568" t="str">
        <f t="shared" si="244"/>
        <v>NIL</v>
      </c>
      <c r="R568" t="str">
        <f t="shared" si="225"/>
        <v>Accepted</v>
      </c>
      <c r="S568" t="str">
        <f t="shared" si="226"/>
        <v>Approved</v>
      </c>
      <c r="T568" t="str">
        <f t="shared" si="227"/>
        <v>10.20.8.188</v>
      </c>
      <c r="U568" t="str">
        <f t="shared" si="228"/>
        <v>AZRAD UMAR BIN SHAARI</v>
      </c>
      <c r="V568" t="str">
        <f t="shared" si="229"/>
        <v>FARHANA BINTI MUSTAPA</v>
      </c>
      <c r="W568" t="str">
        <f t="shared" si="230"/>
        <v>04-08-2020</v>
      </c>
      <c r="X568" t="str">
        <f t="shared" si="231"/>
        <v>RAZIMAH ANSAR AHMAD</v>
      </c>
      <c r="Y568" t="str">
        <f t="shared" si="232"/>
        <v>04-08-2020</v>
      </c>
      <c r="Z568" t="str">
        <f>"IDSB19200804 84"</f>
        <v>IDSB19200804 84</v>
      </c>
    </row>
    <row r="569" spans="1:26" x14ac:dyDescent="0.25">
      <c r="A569" t="str">
        <f t="shared" si="240"/>
        <v>04-08-2020 01:20:32</v>
      </c>
      <c r="B569" t="str">
        <f>"0000810394"</f>
        <v>0000810394</v>
      </c>
      <c r="C569" t="str">
        <f t="shared" si="241"/>
        <v>0000810311</v>
      </c>
      <c r="D569" t="str">
        <f t="shared" si="220"/>
        <v>73185</v>
      </c>
      <c r="E569" t="str">
        <f t="shared" si="221"/>
        <v>KFH-OPERATIONS DEPARTMENT</v>
      </c>
      <c r="F569" t="str">
        <f t="shared" si="222"/>
        <v>IBG</v>
      </c>
      <c r="G569" t="str">
        <f t="shared" si="236"/>
        <v>Refund IDSB 19</v>
      </c>
      <c r="H569" s="2">
        <v>607</v>
      </c>
      <c r="I569" t="str">
        <f>"MANISAH BINTI SURIATI  SURIAT"</f>
        <v>MANISAH BINTI SURIATI  SURIAT</v>
      </c>
      <c r="J569" t="str">
        <f t="shared" si="242"/>
        <v>BANK MUAMALAT MALAYSIA BERHAD</v>
      </c>
      <c r="K569" t="str">
        <f>"01060046937721"</f>
        <v>01060046937721</v>
      </c>
      <c r="L569" t="str">
        <f t="shared" si="243"/>
        <v>04-08-2020</v>
      </c>
      <c r="M569" t="str">
        <f t="shared" si="243"/>
        <v>04-08-2020</v>
      </c>
      <c r="N569" t="str">
        <f t="shared" si="223"/>
        <v>001105018356</v>
      </c>
      <c r="O569" t="str">
        <f t="shared" si="224"/>
        <v>MYR</v>
      </c>
      <c r="P569" t="str">
        <f t="shared" si="244"/>
        <v>NIL</v>
      </c>
      <c r="Q569" t="str">
        <f t="shared" si="244"/>
        <v>NIL</v>
      </c>
      <c r="R569" t="str">
        <f t="shared" si="225"/>
        <v>Accepted</v>
      </c>
      <c r="S569" t="str">
        <f t="shared" si="226"/>
        <v>Approved</v>
      </c>
      <c r="T569" t="str">
        <f t="shared" si="227"/>
        <v>10.20.8.188</v>
      </c>
      <c r="U569" t="str">
        <f t="shared" si="228"/>
        <v>AZRAD UMAR BIN SHAARI</v>
      </c>
      <c r="V569" t="str">
        <f t="shared" si="229"/>
        <v>FARHANA BINTI MUSTAPA</v>
      </c>
      <c r="W569" t="str">
        <f t="shared" si="230"/>
        <v>04-08-2020</v>
      </c>
      <c r="X569" t="str">
        <f t="shared" si="231"/>
        <v>RAZIMAH ANSAR AHMAD</v>
      </c>
      <c r="Y569" t="str">
        <f t="shared" si="232"/>
        <v>04-08-2020</v>
      </c>
      <c r="Z569" t="str">
        <f>"IDSB19200804 83"</f>
        <v>IDSB19200804 83</v>
      </c>
    </row>
    <row r="570" spans="1:26" x14ac:dyDescent="0.25">
      <c r="A570" t="str">
        <f t="shared" si="240"/>
        <v>04-08-2020 01:20:32</v>
      </c>
      <c r="B570" t="str">
        <f>"0000810393"</f>
        <v>0000810393</v>
      </c>
      <c r="C570" t="str">
        <f t="shared" si="241"/>
        <v>0000810311</v>
      </c>
      <c r="D570" t="str">
        <f t="shared" si="220"/>
        <v>73185</v>
      </c>
      <c r="E570" t="str">
        <f t="shared" si="221"/>
        <v>KFH-OPERATIONS DEPARTMENT</v>
      </c>
      <c r="F570" t="str">
        <f t="shared" si="222"/>
        <v>IBG</v>
      </c>
      <c r="G570" t="str">
        <f t="shared" si="236"/>
        <v>Refund IDSB 19</v>
      </c>
      <c r="H570" s="2">
        <v>452</v>
      </c>
      <c r="I570" t="str">
        <f>"ISHAK BIN AYUB"</f>
        <v>ISHAK BIN AYUB</v>
      </c>
      <c r="J570" t="str">
        <f t="shared" si="242"/>
        <v>BANK MUAMALAT MALAYSIA BERHAD</v>
      </c>
      <c r="K570" t="str">
        <f>"01060038088723"</f>
        <v>01060038088723</v>
      </c>
      <c r="L570" t="str">
        <f t="shared" si="243"/>
        <v>04-08-2020</v>
      </c>
      <c r="M570" t="str">
        <f t="shared" si="243"/>
        <v>04-08-2020</v>
      </c>
      <c r="N570" t="str">
        <f t="shared" si="223"/>
        <v>001105018356</v>
      </c>
      <c r="O570" t="str">
        <f t="shared" si="224"/>
        <v>MYR</v>
      </c>
      <c r="P570" t="str">
        <f t="shared" si="244"/>
        <v>NIL</v>
      </c>
      <c r="Q570" t="str">
        <f t="shared" si="244"/>
        <v>NIL</v>
      </c>
      <c r="R570" t="str">
        <f t="shared" si="225"/>
        <v>Accepted</v>
      </c>
      <c r="S570" t="str">
        <f t="shared" si="226"/>
        <v>Approved</v>
      </c>
      <c r="T570" t="str">
        <f t="shared" si="227"/>
        <v>10.20.8.188</v>
      </c>
      <c r="U570" t="str">
        <f t="shared" si="228"/>
        <v>AZRAD UMAR BIN SHAARI</v>
      </c>
      <c r="V570" t="str">
        <f t="shared" si="229"/>
        <v>FARHANA BINTI MUSTAPA</v>
      </c>
      <c r="W570" t="str">
        <f t="shared" si="230"/>
        <v>04-08-2020</v>
      </c>
      <c r="X570" t="str">
        <f t="shared" si="231"/>
        <v>RAZIMAH ANSAR AHMAD</v>
      </c>
      <c r="Y570" t="str">
        <f t="shared" si="232"/>
        <v>04-08-2020</v>
      </c>
      <c r="Z570" t="str">
        <f>"IDSB19200804 82"</f>
        <v>IDSB19200804 82</v>
      </c>
    </row>
    <row r="571" spans="1:26" x14ac:dyDescent="0.25">
      <c r="A571" t="str">
        <f t="shared" si="240"/>
        <v>04-08-2020 01:20:32</v>
      </c>
      <c r="B571" t="str">
        <f>"0000810392"</f>
        <v>0000810392</v>
      </c>
      <c r="C571" t="str">
        <f t="shared" si="241"/>
        <v>0000810311</v>
      </c>
      <c r="D571" t="str">
        <f t="shared" si="220"/>
        <v>73185</v>
      </c>
      <c r="E571" t="str">
        <f t="shared" si="221"/>
        <v>KFH-OPERATIONS DEPARTMENT</v>
      </c>
      <c r="F571" t="str">
        <f t="shared" si="222"/>
        <v>IBG</v>
      </c>
      <c r="G571" t="str">
        <f t="shared" si="236"/>
        <v>Refund IDSB 19</v>
      </c>
      <c r="H571" s="2">
        <v>228</v>
      </c>
      <c r="I571" t="str">
        <f>"INDRA SHAHRIL BIN OMAR"</f>
        <v>INDRA SHAHRIL BIN OMAR</v>
      </c>
      <c r="J571" t="str">
        <f t="shared" si="242"/>
        <v>BANK MUAMALAT MALAYSIA BERHAD</v>
      </c>
      <c r="K571" t="str">
        <f>"01060031952726"</f>
        <v>01060031952726</v>
      </c>
      <c r="L571" t="str">
        <f t="shared" si="243"/>
        <v>04-08-2020</v>
      </c>
      <c r="M571" t="str">
        <f t="shared" si="243"/>
        <v>04-08-2020</v>
      </c>
      <c r="N571" t="str">
        <f t="shared" si="223"/>
        <v>001105018356</v>
      </c>
      <c r="O571" t="str">
        <f t="shared" si="224"/>
        <v>MYR</v>
      </c>
      <c r="P571" t="str">
        <f t="shared" si="244"/>
        <v>NIL</v>
      </c>
      <c r="Q571" t="str">
        <f t="shared" si="244"/>
        <v>NIL</v>
      </c>
      <c r="R571" t="str">
        <f t="shared" si="225"/>
        <v>Accepted</v>
      </c>
      <c r="S571" t="str">
        <f t="shared" si="226"/>
        <v>Approved</v>
      </c>
      <c r="T571" t="str">
        <f t="shared" si="227"/>
        <v>10.20.8.188</v>
      </c>
      <c r="U571" t="str">
        <f t="shared" si="228"/>
        <v>AZRAD UMAR BIN SHAARI</v>
      </c>
      <c r="V571" t="str">
        <f t="shared" si="229"/>
        <v>FARHANA BINTI MUSTAPA</v>
      </c>
      <c r="W571" t="str">
        <f t="shared" si="230"/>
        <v>04-08-2020</v>
      </c>
      <c r="X571" t="str">
        <f t="shared" si="231"/>
        <v>RAZIMAH ANSAR AHMAD</v>
      </c>
      <c r="Y571" t="str">
        <f t="shared" si="232"/>
        <v>04-08-2020</v>
      </c>
      <c r="Z571" t="str">
        <f>"IDSB19200804 81"</f>
        <v>IDSB19200804 81</v>
      </c>
    </row>
    <row r="572" spans="1:26" x14ac:dyDescent="0.25">
      <c r="A572" t="str">
        <f t="shared" si="240"/>
        <v>04-08-2020 01:20:32</v>
      </c>
      <c r="B572" t="str">
        <f>"0000810391"</f>
        <v>0000810391</v>
      </c>
      <c r="C572" t="str">
        <f t="shared" si="241"/>
        <v>0000810311</v>
      </c>
      <c r="D572" t="str">
        <f t="shared" si="220"/>
        <v>73185</v>
      </c>
      <c r="E572" t="str">
        <f t="shared" si="221"/>
        <v>KFH-OPERATIONS DEPARTMENT</v>
      </c>
      <c r="F572" t="str">
        <f t="shared" si="222"/>
        <v>IBG</v>
      </c>
      <c r="G572" t="str">
        <f t="shared" si="236"/>
        <v>Refund IDSB 19</v>
      </c>
      <c r="H572" s="2">
        <v>1002</v>
      </c>
      <c r="I572" t="str">
        <f>"HANI SURAYA BINTI SULAIMAN"</f>
        <v>HANI SURAYA BINTI SULAIMAN</v>
      </c>
      <c r="J572" t="str">
        <f t="shared" si="242"/>
        <v>BANK MUAMALAT MALAYSIA BERHAD</v>
      </c>
      <c r="K572" t="str">
        <f>"01060039745721"</f>
        <v>01060039745721</v>
      </c>
      <c r="L572" t="str">
        <f t="shared" si="243"/>
        <v>04-08-2020</v>
      </c>
      <c r="M572" t="str">
        <f t="shared" si="243"/>
        <v>04-08-2020</v>
      </c>
      <c r="N572" t="str">
        <f t="shared" si="223"/>
        <v>001105018356</v>
      </c>
      <c r="O572" t="str">
        <f t="shared" si="224"/>
        <v>MYR</v>
      </c>
      <c r="P572" t="str">
        <f t="shared" si="244"/>
        <v>NIL</v>
      </c>
      <c r="Q572" t="str">
        <f t="shared" si="244"/>
        <v>NIL</v>
      </c>
      <c r="R572" t="str">
        <f t="shared" si="225"/>
        <v>Accepted</v>
      </c>
      <c r="S572" t="str">
        <f t="shared" si="226"/>
        <v>Approved</v>
      </c>
      <c r="T572" t="str">
        <f t="shared" si="227"/>
        <v>10.20.8.188</v>
      </c>
      <c r="U572" t="str">
        <f t="shared" si="228"/>
        <v>AZRAD UMAR BIN SHAARI</v>
      </c>
      <c r="V572" t="str">
        <f t="shared" si="229"/>
        <v>FARHANA BINTI MUSTAPA</v>
      </c>
      <c r="W572" t="str">
        <f t="shared" si="230"/>
        <v>04-08-2020</v>
      </c>
      <c r="X572" t="str">
        <f t="shared" si="231"/>
        <v>RAZIMAH ANSAR AHMAD</v>
      </c>
      <c r="Y572" t="str">
        <f t="shared" si="232"/>
        <v>04-08-2020</v>
      </c>
      <c r="Z572" t="str">
        <f>"IDSB19200804 80"</f>
        <v>IDSB19200804 80</v>
      </c>
    </row>
    <row r="573" spans="1:26" x14ac:dyDescent="0.25">
      <c r="A573" t="str">
        <f t="shared" si="240"/>
        <v>04-08-2020 01:20:32</v>
      </c>
      <c r="B573" t="str">
        <f>"0000810390"</f>
        <v>0000810390</v>
      </c>
      <c r="C573" t="str">
        <f t="shared" si="241"/>
        <v>0000810311</v>
      </c>
      <c r="D573" t="str">
        <f t="shared" si="220"/>
        <v>73185</v>
      </c>
      <c r="E573" t="str">
        <f t="shared" si="221"/>
        <v>KFH-OPERATIONS DEPARTMENT</v>
      </c>
      <c r="F573" t="str">
        <f t="shared" si="222"/>
        <v>IBG</v>
      </c>
      <c r="G573" t="str">
        <f t="shared" si="236"/>
        <v>Refund IDSB 19</v>
      </c>
      <c r="H573" s="2">
        <v>736</v>
      </c>
      <c r="I573" t="str">
        <f>"AMIZAN BIN MASRI"</f>
        <v>AMIZAN BIN MASRI</v>
      </c>
      <c r="J573" t="str">
        <f t="shared" si="242"/>
        <v>BANK MUAMALAT MALAYSIA BERHAD</v>
      </c>
      <c r="K573" t="str">
        <f>"01060031985720"</f>
        <v>01060031985720</v>
      </c>
      <c r="L573" t="str">
        <f t="shared" si="243"/>
        <v>04-08-2020</v>
      </c>
      <c r="M573" t="str">
        <f t="shared" si="243"/>
        <v>04-08-2020</v>
      </c>
      <c r="N573" t="str">
        <f t="shared" si="223"/>
        <v>001105018356</v>
      </c>
      <c r="O573" t="str">
        <f t="shared" si="224"/>
        <v>MYR</v>
      </c>
      <c r="P573" t="str">
        <f t="shared" si="244"/>
        <v>NIL</v>
      </c>
      <c r="Q573" t="str">
        <f t="shared" si="244"/>
        <v>NIL</v>
      </c>
      <c r="R573" t="str">
        <f t="shared" si="225"/>
        <v>Accepted</v>
      </c>
      <c r="S573" t="str">
        <f t="shared" si="226"/>
        <v>Approved</v>
      </c>
      <c r="T573" t="str">
        <f t="shared" si="227"/>
        <v>10.20.8.188</v>
      </c>
      <c r="U573" t="str">
        <f t="shared" si="228"/>
        <v>AZRAD UMAR BIN SHAARI</v>
      </c>
      <c r="V573" t="str">
        <f t="shared" si="229"/>
        <v>FARHANA BINTI MUSTAPA</v>
      </c>
      <c r="W573" t="str">
        <f t="shared" si="230"/>
        <v>04-08-2020</v>
      </c>
      <c r="X573" t="str">
        <f t="shared" si="231"/>
        <v>RAZIMAH ANSAR AHMAD</v>
      </c>
      <c r="Y573" t="str">
        <f t="shared" si="232"/>
        <v>04-08-2020</v>
      </c>
      <c r="Z573" t="str">
        <f>"IDSB19200804 79"</f>
        <v>IDSB19200804 79</v>
      </c>
    </row>
    <row r="574" spans="1:26" x14ac:dyDescent="0.25">
      <c r="A574" t="str">
        <f t="shared" si="240"/>
        <v>04-08-2020 01:20:32</v>
      </c>
      <c r="B574" t="str">
        <f>"0000810389"</f>
        <v>0000810389</v>
      </c>
      <c r="C574" t="str">
        <f t="shared" si="241"/>
        <v>0000810311</v>
      </c>
      <c r="D574" t="str">
        <f t="shared" si="220"/>
        <v>73185</v>
      </c>
      <c r="E574" t="str">
        <f t="shared" si="221"/>
        <v>KFH-OPERATIONS DEPARTMENT</v>
      </c>
      <c r="F574" t="str">
        <f t="shared" si="222"/>
        <v>IBG</v>
      </c>
      <c r="G574" t="str">
        <f t="shared" si="236"/>
        <v>Refund IDSB 19</v>
      </c>
      <c r="H574" s="2">
        <v>61.38</v>
      </c>
      <c r="I574" t="str">
        <f>"ZULKIFFLI BIN DERAHIM"</f>
        <v>ZULKIFFLI BIN DERAHIM</v>
      </c>
      <c r="J574" t="str">
        <f t="shared" ref="J574:J595" si="245">"BANK KERJASAMA RAKYAT"</f>
        <v>BANK KERJASAMA RAKYAT</v>
      </c>
      <c r="K574" t="str">
        <f>"220331246543"</f>
        <v>220331246543</v>
      </c>
      <c r="L574" t="str">
        <f t="shared" si="243"/>
        <v>04-08-2020</v>
      </c>
      <c r="M574" t="str">
        <f t="shared" si="243"/>
        <v>04-08-2020</v>
      </c>
      <c r="N574" t="str">
        <f t="shared" si="223"/>
        <v>001105018356</v>
      </c>
      <c r="O574" t="str">
        <f t="shared" si="224"/>
        <v>MYR</v>
      </c>
      <c r="P574" t="str">
        <f t="shared" si="244"/>
        <v>NIL</v>
      </c>
      <c r="Q574" t="str">
        <f t="shared" si="244"/>
        <v>NIL</v>
      </c>
      <c r="R574" t="str">
        <f t="shared" si="225"/>
        <v>Accepted</v>
      </c>
      <c r="S574" t="str">
        <f t="shared" si="226"/>
        <v>Approved</v>
      </c>
      <c r="T574" t="str">
        <f t="shared" si="227"/>
        <v>10.20.8.188</v>
      </c>
      <c r="U574" t="str">
        <f t="shared" si="228"/>
        <v>AZRAD UMAR BIN SHAARI</v>
      </c>
      <c r="V574" t="str">
        <f t="shared" si="229"/>
        <v>FARHANA BINTI MUSTAPA</v>
      </c>
      <c r="W574" t="str">
        <f t="shared" si="230"/>
        <v>04-08-2020</v>
      </c>
      <c r="X574" t="str">
        <f t="shared" si="231"/>
        <v>RAZIMAH ANSAR AHMAD</v>
      </c>
      <c r="Y574" t="str">
        <f t="shared" si="232"/>
        <v>04-08-2020</v>
      </c>
      <c r="Z574" t="str">
        <f>"IDSB19200804 78"</f>
        <v>IDSB19200804 78</v>
      </c>
    </row>
    <row r="575" spans="1:26" x14ac:dyDescent="0.25">
      <c r="A575" t="str">
        <f t="shared" si="240"/>
        <v>04-08-2020 01:20:32</v>
      </c>
      <c r="B575" t="str">
        <f>"0000810388"</f>
        <v>0000810388</v>
      </c>
      <c r="C575" t="str">
        <f t="shared" si="241"/>
        <v>0000810311</v>
      </c>
      <c r="D575" t="str">
        <f t="shared" si="220"/>
        <v>73185</v>
      </c>
      <c r="E575" t="str">
        <f t="shared" si="221"/>
        <v>KFH-OPERATIONS DEPARTMENT</v>
      </c>
      <c r="F575" t="str">
        <f t="shared" si="222"/>
        <v>IBG</v>
      </c>
      <c r="G575" t="str">
        <f t="shared" si="236"/>
        <v>Refund IDSB 19</v>
      </c>
      <c r="H575" s="2">
        <v>949</v>
      </c>
      <c r="I575" t="str">
        <f>"ZAIDI BIN MUHAMAD"</f>
        <v>ZAIDI BIN MUHAMAD</v>
      </c>
      <c r="J575" t="str">
        <f t="shared" si="245"/>
        <v>BANK KERJASAMA RAKYAT</v>
      </c>
      <c r="K575" t="str">
        <f>"220111384862"</f>
        <v>220111384862</v>
      </c>
      <c r="L575" t="str">
        <f t="shared" si="243"/>
        <v>04-08-2020</v>
      </c>
      <c r="M575" t="str">
        <f t="shared" si="243"/>
        <v>04-08-2020</v>
      </c>
      <c r="N575" t="str">
        <f t="shared" si="223"/>
        <v>001105018356</v>
      </c>
      <c r="O575" t="str">
        <f t="shared" si="224"/>
        <v>MYR</v>
      </c>
      <c r="P575" t="str">
        <f t="shared" si="244"/>
        <v>NIL</v>
      </c>
      <c r="Q575" t="str">
        <f t="shared" si="244"/>
        <v>NIL</v>
      </c>
      <c r="R575" t="str">
        <f t="shared" si="225"/>
        <v>Accepted</v>
      </c>
      <c r="S575" t="str">
        <f t="shared" si="226"/>
        <v>Approved</v>
      </c>
      <c r="T575" t="str">
        <f t="shared" si="227"/>
        <v>10.20.8.188</v>
      </c>
      <c r="U575" t="str">
        <f t="shared" si="228"/>
        <v>AZRAD UMAR BIN SHAARI</v>
      </c>
      <c r="V575" t="str">
        <f t="shared" si="229"/>
        <v>FARHANA BINTI MUSTAPA</v>
      </c>
      <c r="W575" t="str">
        <f t="shared" si="230"/>
        <v>04-08-2020</v>
      </c>
      <c r="X575" t="str">
        <f t="shared" si="231"/>
        <v>RAZIMAH ANSAR AHMAD</v>
      </c>
      <c r="Y575" t="str">
        <f t="shared" si="232"/>
        <v>04-08-2020</v>
      </c>
      <c r="Z575" t="str">
        <f>"IDSB19200804 77"</f>
        <v>IDSB19200804 77</v>
      </c>
    </row>
    <row r="576" spans="1:26" x14ac:dyDescent="0.25">
      <c r="A576" t="str">
        <f t="shared" si="240"/>
        <v>04-08-2020 01:20:32</v>
      </c>
      <c r="B576" t="str">
        <f>"0000810387"</f>
        <v>0000810387</v>
      </c>
      <c r="C576" t="str">
        <f t="shared" si="241"/>
        <v>0000810311</v>
      </c>
      <c r="D576" t="str">
        <f t="shared" si="220"/>
        <v>73185</v>
      </c>
      <c r="E576" t="str">
        <f t="shared" si="221"/>
        <v>KFH-OPERATIONS DEPARTMENT</v>
      </c>
      <c r="F576" t="str">
        <f t="shared" si="222"/>
        <v>IBG</v>
      </c>
      <c r="G576" t="str">
        <f t="shared" si="236"/>
        <v>Refund IDSB 19</v>
      </c>
      <c r="H576" s="2">
        <v>342</v>
      </c>
      <c r="I576" t="str">
        <f>"SHARIFAH NORASHIKIN BINTI SYED MAHMOD"</f>
        <v>SHARIFAH NORASHIKIN BINTI SYED MAHMOD</v>
      </c>
      <c r="J576" t="str">
        <f t="shared" si="245"/>
        <v>BANK KERJASAMA RAKYAT</v>
      </c>
      <c r="K576" t="str">
        <f>"221031097282"</f>
        <v>221031097282</v>
      </c>
      <c r="L576" t="str">
        <f t="shared" si="243"/>
        <v>04-08-2020</v>
      </c>
      <c r="M576" t="str">
        <f t="shared" si="243"/>
        <v>04-08-2020</v>
      </c>
      <c r="N576" t="str">
        <f t="shared" si="223"/>
        <v>001105018356</v>
      </c>
      <c r="O576" t="str">
        <f t="shared" si="224"/>
        <v>MYR</v>
      </c>
      <c r="P576" t="str">
        <f t="shared" si="244"/>
        <v>NIL</v>
      </c>
      <c r="Q576" t="str">
        <f t="shared" si="244"/>
        <v>NIL</v>
      </c>
      <c r="R576" t="str">
        <f t="shared" si="225"/>
        <v>Accepted</v>
      </c>
      <c r="S576" t="str">
        <f t="shared" si="226"/>
        <v>Approved</v>
      </c>
      <c r="T576" t="str">
        <f t="shared" si="227"/>
        <v>10.20.8.188</v>
      </c>
      <c r="U576" t="str">
        <f t="shared" si="228"/>
        <v>AZRAD UMAR BIN SHAARI</v>
      </c>
      <c r="V576" t="str">
        <f t="shared" si="229"/>
        <v>FARHANA BINTI MUSTAPA</v>
      </c>
      <c r="W576" t="str">
        <f t="shared" si="230"/>
        <v>04-08-2020</v>
      </c>
      <c r="X576" t="str">
        <f t="shared" si="231"/>
        <v>RAZIMAH ANSAR AHMAD</v>
      </c>
      <c r="Y576" t="str">
        <f t="shared" si="232"/>
        <v>04-08-2020</v>
      </c>
      <c r="Z576" t="str">
        <f>"IDSB19200804 76"</f>
        <v>IDSB19200804 76</v>
      </c>
    </row>
    <row r="577" spans="1:26" x14ac:dyDescent="0.25">
      <c r="A577" t="str">
        <f t="shared" si="240"/>
        <v>04-08-2020 01:20:32</v>
      </c>
      <c r="B577" t="str">
        <f>"0000810386"</f>
        <v>0000810386</v>
      </c>
      <c r="C577" t="str">
        <f t="shared" si="241"/>
        <v>0000810311</v>
      </c>
      <c r="D577" t="str">
        <f t="shared" si="220"/>
        <v>73185</v>
      </c>
      <c r="E577" t="str">
        <f t="shared" si="221"/>
        <v>KFH-OPERATIONS DEPARTMENT</v>
      </c>
      <c r="F577" t="str">
        <f t="shared" si="222"/>
        <v>IBG</v>
      </c>
      <c r="G577" t="str">
        <f t="shared" si="236"/>
        <v>Refund IDSB 19</v>
      </c>
      <c r="H577" s="2">
        <v>1025</v>
      </c>
      <c r="I577" t="str">
        <f>"S RUZITA BINTI JAAFAR"</f>
        <v>S RUZITA BINTI JAAFAR</v>
      </c>
      <c r="J577" t="str">
        <f t="shared" si="245"/>
        <v>BANK KERJASAMA RAKYAT</v>
      </c>
      <c r="K577" t="str">
        <f>"220631039392"</f>
        <v>220631039392</v>
      </c>
      <c r="L577" t="str">
        <f t="shared" si="243"/>
        <v>04-08-2020</v>
      </c>
      <c r="M577" t="str">
        <f t="shared" si="243"/>
        <v>04-08-2020</v>
      </c>
      <c r="N577" t="str">
        <f t="shared" si="223"/>
        <v>001105018356</v>
      </c>
      <c r="O577" t="str">
        <f t="shared" si="224"/>
        <v>MYR</v>
      </c>
      <c r="P577" t="str">
        <f t="shared" si="244"/>
        <v>NIL</v>
      </c>
      <c r="Q577" t="str">
        <f t="shared" si="244"/>
        <v>NIL</v>
      </c>
      <c r="R577" t="str">
        <f t="shared" si="225"/>
        <v>Accepted</v>
      </c>
      <c r="S577" t="str">
        <f t="shared" si="226"/>
        <v>Approved</v>
      </c>
      <c r="T577" t="str">
        <f t="shared" si="227"/>
        <v>10.20.8.188</v>
      </c>
      <c r="U577" t="str">
        <f t="shared" si="228"/>
        <v>AZRAD UMAR BIN SHAARI</v>
      </c>
      <c r="V577" t="str">
        <f t="shared" si="229"/>
        <v>FARHANA BINTI MUSTAPA</v>
      </c>
      <c r="W577" t="str">
        <f t="shared" si="230"/>
        <v>04-08-2020</v>
      </c>
      <c r="X577" t="str">
        <f t="shared" si="231"/>
        <v>RAZIMAH ANSAR AHMAD</v>
      </c>
      <c r="Y577" t="str">
        <f t="shared" si="232"/>
        <v>04-08-2020</v>
      </c>
      <c r="Z577" t="str">
        <f>"IDSB19200804 75"</f>
        <v>IDSB19200804 75</v>
      </c>
    </row>
    <row r="578" spans="1:26" x14ac:dyDescent="0.25">
      <c r="A578" t="str">
        <f t="shared" si="240"/>
        <v>04-08-2020 01:20:32</v>
      </c>
      <c r="B578" t="str">
        <f>"0000810385"</f>
        <v>0000810385</v>
      </c>
      <c r="C578" t="str">
        <f t="shared" si="241"/>
        <v>0000810311</v>
      </c>
      <c r="D578" t="str">
        <f t="shared" si="220"/>
        <v>73185</v>
      </c>
      <c r="E578" t="str">
        <f t="shared" si="221"/>
        <v>KFH-OPERATIONS DEPARTMENT</v>
      </c>
      <c r="F578" t="str">
        <f t="shared" si="222"/>
        <v>IBG</v>
      </c>
      <c r="G578" t="str">
        <f t="shared" si="236"/>
        <v>Refund IDSB 19</v>
      </c>
      <c r="H578" s="2">
        <v>342</v>
      </c>
      <c r="I578" t="str">
        <f>"S RUZITA BINTI JAAFAR"</f>
        <v>S RUZITA BINTI JAAFAR</v>
      </c>
      <c r="J578" t="str">
        <f t="shared" si="245"/>
        <v>BANK KERJASAMA RAKYAT</v>
      </c>
      <c r="K578" t="str">
        <f>"220631039392"</f>
        <v>220631039392</v>
      </c>
      <c r="L578" t="str">
        <f t="shared" si="243"/>
        <v>04-08-2020</v>
      </c>
      <c r="M578" t="str">
        <f t="shared" si="243"/>
        <v>04-08-2020</v>
      </c>
      <c r="N578" t="str">
        <f t="shared" si="223"/>
        <v>001105018356</v>
      </c>
      <c r="O578" t="str">
        <f t="shared" si="224"/>
        <v>MYR</v>
      </c>
      <c r="P578" t="str">
        <f t="shared" si="244"/>
        <v>NIL</v>
      </c>
      <c r="Q578" t="str">
        <f t="shared" si="244"/>
        <v>NIL</v>
      </c>
      <c r="R578" t="str">
        <f t="shared" si="225"/>
        <v>Accepted</v>
      </c>
      <c r="S578" t="str">
        <f t="shared" si="226"/>
        <v>Approved</v>
      </c>
      <c r="T578" t="str">
        <f t="shared" si="227"/>
        <v>10.20.8.188</v>
      </c>
      <c r="U578" t="str">
        <f t="shared" si="228"/>
        <v>AZRAD UMAR BIN SHAARI</v>
      </c>
      <c r="V578" t="str">
        <f t="shared" si="229"/>
        <v>FARHANA BINTI MUSTAPA</v>
      </c>
      <c r="W578" t="str">
        <f t="shared" si="230"/>
        <v>04-08-2020</v>
      </c>
      <c r="X578" t="str">
        <f t="shared" si="231"/>
        <v>RAZIMAH ANSAR AHMAD</v>
      </c>
      <c r="Y578" t="str">
        <f t="shared" si="232"/>
        <v>04-08-2020</v>
      </c>
      <c r="Z578" t="str">
        <f>"IDSB19200804 74"</f>
        <v>IDSB19200804 74</v>
      </c>
    </row>
    <row r="579" spans="1:26" x14ac:dyDescent="0.25">
      <c r="A579" t="str">
        <f t="shared" si="240"/>
        <v>04-08-2020 01:20:32</v>
      </c>
      <c r="B579" t="str">
        <f>"0000810384"</f>
        <v>0000810384</v>
      </c>
      <c r="C579" t="str">
        <f t="shared" si="241"/>
        <v>0000810311</v>
      </c>
      <c r="D579" t="str">
        <f t="shared" si="220"/>
        <v>73185</v>
      </c>
      <c r="E579" t="str">
        <f t="shared" si="221"/>
        <v>KFH-OPERATIONS DEPARTMENT</v>
      </c>
      <c r="F579" t="str">
        <f t="shared" si="222"/>
        <v>IBG</v>
      </c>
      <c r="G579" t="str">
        <f t="shared" si="236"/>
        <v>Refund IDSB 19</v>
      </c>
      <c r="H579" s="2">
        <v>67.52</v>
      </c>
      <c r="I579" t="str">
        <f>"ROSLENA BINTI HASSAN"</f>
        <v>ROSLENA BINTI HASSAN</v>
      </c>
      <c r="J579" t="str">
        <f t="shared" si="245"/>
        <v>BANK KERJASAMA RAKYAT</v>
      </c>
      <c r="K579" t="str">
        <f>"220331285815"</f>
        <v>220331285815</v>
      </c>
      <c r="L579" t="str">
        <f t="shared" si="243"/>
        <v>04-08-2020</v>
      </c>
      <c r="M579" t="str">
        <f t="shared" si="243"/>
        <v>04-08-2020</v>
      </c>
      <c r="N579" t="str">
        <f t="shared" si="223"/>
        <v>001105018356</v>
      </c>
      <c r="O579" t="str">
        <f t="shared" si="224"/>
        <v>MYR</v>
      </c>
      <c r="P579" t="str">
        <f t="shared" si="244"/>
        <v>NIL</v>
      </c>
      <c r="Q579" t="str">
        <f t="shared" si="244"/>
        <v>NIL</v>
      </c>
      <c r="R579" t="str">
        <f t="shared" si="225"/>
        <v>Accepted</v>
      </c>
      <c r="S579" t="str">
        <f t="shared" si="226"/>
        <v>Approved</v>
      </c>
      <c r="T579" t="str">
        <f t="shared" si="227"/>
        <v>10.20.8.188</v>
      </c>
      <c r="U579" t="str">
        <f t="shared" si="228"/>
        <v>AZRAD UMAR BIN SHAARI</v>
      </c>
      <c r="V579" t="str">
        <f t="shared" si="229"/>
        <v>FARHANA BINTI MUSTAPA</v>
      </c>
      <c r="W579" t="str">
        <f t="shared" si="230"/>
        <v>04-08-2020</v>
      </c>
      <c r="X579" t="str">
        <f t="shared" si="231"/>
        <v>RAZIMAH ANSAR AHMAD</v>
      </c>
      <c r="Y579" t="str">
        <f t="shared" si="232"/>
        <v>04-08-2020</v>
      </c>
      <c r="Z579" t="str">
        <f>"IDSB19200804 73"</f>
        <v>IDSB19200804 73</v>
      </c>
    </row>
    <row r="580" spans="1:26" x14ac:dyDescent="0.25">
      <c r="A580" t="str">
        <f t="shared" ref="A580:A611" si="246">"04-08-2020 01:20:32"</f>
        <v>04-08-2020 01:20:32</v>
      </c>
      <c r="B580" t="str">
        <f>"0000810383"</f>
        <v>0000810383</v>
      </c>
      <c r="C580" t="str">
        <f t="shared" ref="C580:C611" si="247">"0000810311"</f>
        <v>0000810311</v>
      </c>
      <c r="D580" t="str">
        <f t="shared" si="220"/>
        <v>73185</v>
      </c>
      <c r="E580" t="str">
        <f t="shared" si="221"/>
        <v>KFH-OPERATIONS DEPARTMENT</v>
      </c>
      <c r="F580" t="str">
        <f t="shared" si="222"/>
        <v>IBG</v>
      </c>
      <c r="G580" t="str">
        <f t="shared" si="236"/>
        <v>Refund IDSB 19</v>
      </c>
      <c r="H580" s="2">
        <v>676</v>
      </c>
      <c r="I580" t="str">
        <f>"ROSALIZA BINTI OTHAMAN  OTHMAN"</f>
        <v>ROSALIZA BINTI OTHAMAN  OTHMAN</v>
      </c>
      <c r="J580" t="str">
        <f t="shared" si="245"/>
        <v>BANK KERJASAMA RAKYAT</v>
      </c>
      <c r="K580" t="str">
        <f>"220091217601"</f>
        <v>220091217601</v>
      </c>
      <c r="L580" t="str">
        <f t="shared" si="243"/>
        <v>04-08-2020</v>
      </c>
      <c r="M580" t="str">
        <f t="shared" si="243"/>
        <v>04-08-2020</v>
      </c>
      <c r="N580" t="str">
        <f t="shared" si="223"/>
        <v>001105018356</v>
      </c>
      <c r="O580" t="str">
        <f t="shared" si="224"/>
        <v>MYR</v>
      </c>
      <c r="P580" t="str">
        <f t="shared" si="244"/>
        <v>NIL</v>
      </c>
      <c r="Q580" t="str">
        <f t="shared" si="244"/>
        <v>NIL</v>
      </c>
      <c r="R580" t="str">
        <f t="shared" si="225"/>
        <v>Accepted</v>
      </c>
      <c r="S580" t="str">
        <f t="shared" si="226"/>
        <v>Approved</v>
      </c>
      <c r="T580" t="str">
        <f t="shared" si="227"/>
        <v>10.20.8.188</v>
      </c>
      <c r="U580" t="str">
        <f t="shared" si="228"/>
        <v>AZRAD UMAR BIN SHAARI</v>
      </c>
      <c r="V580" t="str">
        <f t="shared" si="229"/>
        <v>FARHANA BINTI MUSTAPA</v>
      </c>
      <c r="W580" t="str">
        <f t="shared" si="230"/>
        <v>04-08-2020</v>
      </c>
      <c r="X580" t="str">
        <f t="shared" si="231"/>
        <v>RAZIMAH ANSAR AHMAD</v>
      </c>
      <c r="Y580" t="str">
        <f t="shared" si="232"/>
        <v>04-08-2020</v>
      </c>
      <c r="Z580" t="str">
        <f>"IDSB19200804 72"</f>
        <v>IDSB19200804 72</v>
      </c>
    </row>
    <row r="581" spans="1:26" x14ac:dyDescent="0.25">
      <c r="A581" t="str">
        <f t="shared" si="246"/>
        <v>04-08-2020 01:20:32</v>
      </c>
      <c r="B581" t="str">
        <f>"0000810382"</f>
        <v>0000810382</v>
      </c>
      <c r="C581" t="str">
        <f t="shared" si="247"/>
        <v>0000810311</v>
      </c>
      <c r="D581" t="str">
        <f t="shared" si="220"/>
        <v>73185</v>
      </c>
      <c r="E581" t="str">
        <f t="shared" si="221"/>
        <v>KFH-OPERATIONS DEPARTMENT</v>
      </c>
      <c r="F581" t="str">
        <f t="shared" si="222"/>
        <v>IBG</v>
      </c>
      <c r="G581" t="str">
        <f t="shared" si="236"/>
        <v>Refund IDSB 19</v>
      </c>
      <c r="H581" s="2">
        <v>1008.55</v>
      </c>
      <c r="I581" t="str">
        <f>"NORDIBRADINI BINTI SELAMAT"</f>
        <v>NORDIBRADINI BINTI SELAMAT</v>
      </c>
      <c r="J581" t="str">
        <f t="shared" si="245"/>
        <v>BANK KERJASAMA RAKYAT</v>
      </c>
      <c r="K581" t="str">
        <f>"221231033097"</f>
        <v>221231033097</v>
      </c>
      <c r="L581" t="str">
        <f t="shared" si="243"/>
        <v>04-08-2020</v>
      </c>
      <c r="M581" t="str">
        <f t="shared" si="243"/>
        <v>04-08-2020</v>
      </c>
      <c r="N581" t="str">
        <f t="shared" si="223"/>
        <v>001105018356</v>
      </c>
      <c r="O581" t="str">
        <f t="shared" si="224"/>
        <v>MYR</v>
      </c>
      <c r="P581" t="str">
        <f t="shared" si="244"/>
        <v>NIL</v>
      </c>
      <c r="Q581" t="str">
        <f t="shared" si="244"/>
        <v>NIL</v>
      </c>
      <c r="R581" t="str">
        <f t="shared" si="225"/>
        <v>Accepted</v>
      </c>
      <c r="S581" t="str">
        <f t="shared" si="226"/>
        <v>Approved</v>
      </c>
      <c r="T581" t="str">
        <f t="shared" si="227"/>
        <v>10.20.8.188</v>
      </c>
      <c r="U581" t="str">
        <f t="shared" si="228"/>
        <v>AZRAD UMAR BIN SHAARI</v>
      </c>
      <c r="V581" t="str">
        <f t="shared" si="229"/>
        <v>FARHANA BINTI MUSTAPA</v>
      </c>
      <c r="W581" t="str">
        <f t="shared" si="230"/>
        <v>04-08-2020</v>
      </c>
      <c r="X581" t="str">
        <f t="shared" si="231"/>
        <v>RAZIMAH ANSAR AHMAD</v>
      </c>
      <c r="Y581" t="str">
        <f t="shared" si="232"/>
        <v>04-08-2020</v>
      </c>
      <c r="Z581" t="str">
        <f>"IDSB19200804 71"</f>
        <v>IDSB19200804 71</v>
      </c>
    </row>
    <row r="582" spans="1:26" x14ac:dyDescent="0.25">
      <c r="A582" t="str">
        <f t="shared" si="246"/>
        <v>04-08-2020 01:20:32</v>
      </c>
      <c r="B582" t="str">
        <f>"0000810381"</f>
        <v>0000810381</v>
      </c>
      <c r="C582" t="str">
        <f t="shared" si="247"/>
        <v>0000810311</v>
      </c>
      <c r="D582" t="str">
        <f t="shared" si="220"/>
        <v>73185</v>
      </c>
      <c r="E582" t="str">
        <f t="shared" si="221"/>
        <v>KFH-OPERATIONS DEPARTMENT</v>
      </c>
      <c r="F582" t="str">
        <f t="shared" si="222"/>
        <v>IBG</v>
      </c>
      <c r="G582" t="str">
        <f t="shared" si="236"/>
        <v>Refund IDSB 19</v>
      </c>
      <c r="H582" s="2">
        <v>805.63</v>
      </c>
      <c r="I582" t="str">
        <f>"NOOR ZILAWATI BINTI SABTU"</f>
        <v>NOOR ZILAWATI BINTI SABTU</v>
      </c>
      <c r="J582" t="str">
        <f t="shared" si="245"/>
        <v>BANK KERJASAMA RAKYAT</v>
      </c>
      <c r="K582" t="str">
        <f>"220081303181"</f>
        <v>220081303181</v>
      </c>
      <c r="L582" t="str">
        <f t="shared" si="243"/>
        <v>04-08-2020</v>
      </c>
      <c r="M582" t="str">
        <f t="shared" si="243"/>
        <v>04-08-2020</v>
      </c>
      <c r="N582" t="str">
        <f t="shared" si="223"/>
        <v>001105018356</v>
      </c>
      <c r="O582" t="str">
        <f t="shared" si="224"/>
        <v>MYR</v>
      </c>
      <c r="P582" t="str">
        <f t="shared" si="244"/>
        <v>NIL</v>
      </c>
      <c r="Q582" t="str">
        <f t="shared" si="244"/>
        <v>NIL</v>
      </c>
      <c r="R582" t="str">
        <f t="shared" si="225"/>
        <v>Accepted</v>
      </c>
      <c r="S582" t="str">
        <f t="shared" si="226"/>
        <v>Approved</v>
      </c>
      <c r="T582" t="str">
        <f t="shared" si="227"/>
        <v>10.20.8.188</v>
      </c>
      <c r="U582" t="str">
        <f t="shared" si="228"/>
        <v>AZRAD UMAR BIN SHAARI</v>
      </c>
      <c r="V582" t="str">
        <f t="shared" si="229"/>
        <v>FARHANA BINTI MUSTAPA</v>
      </c>
      <c r="W582" t="str">
        <f t="shared" si="230"/>
        <v>04-08-2020</v>
      </c>
      <c r="X582" t="str">
        <f t="shared" si="231"/>
        <v>RAZIMAH ANSAR AHMAD</v>
      </c>
      <c r="Y582" t="str">
        <f t="shared" si="232"/>
        <v>04-08-2020</v>
      </c>
      <c r="Z582" t="str">
        <f>"IDSB19200804 70"</f>
        <v>IDSB19200804 70</v>
      </c>
    </row>
    <row r="583" spans="1:26" x14ac:dyDescent="0.25">
      <c r="A583" t="str">
        <f t="shared" si="246"/>
        <v>04-08-2020 01:20:32</v>
      </c>
      <c r="B583" t="str">
        <f>"0000810380"</f>
        <v>0000810380</v>
      </c>
      <c r="C583" t="str">
        <f t="shared" si="247"/>
        <v>0000810311</v>
      </c>
      <c r="D583" t="str">
        <f t="shared" ref="D583:D646" si="248">"73185"</f>
        <v>73185</v>
      </c>
      <c r="E583" t="str">
        <f t="shared" ref="E583:E646" si="249">"KFH-OPERATIONS DEPARTMENT"</f>
        <v>KFH-OPERATIONS DEPARTMENT</v>
      </c>
      <c r="F583" t="str">
        <f t="shared" ref="F583:F646" si="250">"IBG"</f>
        <v>IBG</v>
      </c>
      <c r="G583" t="str">
        <f t="shared" si="236"/>
        <v>Refund IDSB 19</v>
      </c>
      <c r="H583" s="2">
        <v>259</v>
      </c>
      <c r="I583" t="str">
        <f>"MUSRIFAH BINTI SARJONI"</f>
        <v>MUSRIFAH BINTI SARJONI</v>
      </c>
      <c r="J583" t="str">
        <f t="shared" si="245"/>
        <v>BANK KERJASAMA RAKYAT</v>
      </c>
      <c r="K583" t="str">
        <f>"220141516604"</f>
        <v>220141516604</v>
      </c>
      <c r="L583" t="str">
        <f t="shared" si="243"/>
        <v>04-08-2020</v>
      </c>
      <c r="M583" t="str">
        <f t="shared" si="243"/>
        <v>04-08-2020</v>
      </c>
      <c r="N583" t="str">
        <f t="shared" ref="N583:N646" si="251">"001105018356"</f>
        <v>001105018356</v>
      </c>
      <c r="O583" t="str">
        <f t="shared" ref="O583:O646" si="252">"MYR"</f>
        <v>MYR</v>
      </c>
      <c r="P583" t="str">
        <f t="shared" si="244"/>
        <v>NIL</v>
      </c>
      <c r="Q583" t="str">
        <f t="shared" si="244"/>
        <v>NIL</v>
      </c>
      <c r="R583" t="str">
        <f t="shared" ref="R583:R646" si="253">"Accepted"</f>
        <v>Accepted</v>
      </c>
      <c r="S583" t="str">
        <f t="shared" ref="S583:S646" si="254">"Approved"</f>
        <v>Approved</v>
      </c>
      <c r="T583" t="str">
        <f t="shared" ref="T583:T646" si="255">"10.20.8.188"</f>
        <v>10.20.8.188</v>
      </c>
      <c r="U583" t="str">
        <f t="shared" ref="U583:U646" si="256">"AZRAD UMAR BIN SHAARI"</f>
        <v>AZRAD UMAR BIN SHAARI</v>
      </c>
      <c r="V583" t="str">
        <f t="shared" ref="V583:V646" si="257">"FARHANA BINTI MUSTAPA"</f>
        <v>FARHANA BINTI MUSTAPA</v>
      </c>
      <c r="W583" t="str">
        <f t="shared" ref="W583:W646" si="258">"04-08-2020"</f>
        <v>04-08-2020</v>
      </c>
      <c r="X583" t="str">
        <f t="shared" ref="X583:X646" si="259">"RAZIMAH ANSAR AHMAD"</f>
        <v>RAZIMAH ANSAR AHMAD</v>
      </c>
      <c r="Y583" t="str">
        <f t="shared" ref="Y583:Y646" si="260">"04-08-2020"</f>
        <v>04-08-2020</v>
      </c>
      <c r="Z583" t="str">
        <f>"IDSB19200804 69"</f>
        <v>IDSB19200804 69</v>
      </c>
    </row>
    <row r="584" spans="1:26" x14ac:dyDescent="0.25">
      <c r="A584" t="str">
        <f t="shared" si="246"/>
        <v>04-08-2020 01:20:32</v>
      </c>
      <c r="B584" t="str">
        <f>"0000810379"</f>
        <v>0000810379</v>
      </c>
      <c r="C584" t="str">
        <f t="shared" si="247"/>
        <v>0000810311</v>
      </c>
      <c r="D584" t="str">
        <f t="shared" si="248"/>
        <v>73185</v>
      </c>
      <c r="E584" t="str">
        <f t="shared" si="249"/>
        <v>KFH-OPERATIONS DEPARTMENT</v>
      </c>
      <c r="F584" t="str">
        <f t="shared" si="250"/>
        <v>IBG</v>
      </c>
      <c r="G584" t="str">
        <f t="shared" si="236"/>
        <v>Refund IDSB 19</v>
      </c>
      <c r="H584" s="2">
        <v>451.9</v>
      </c>
      <c r="I584" t="str">
        <f>"MUHAMAD ZAHIR BIN YAACOB"</f>
        <v>MUHAMAD ZAHIR BIN YAACOB</v>
      </c>
      <c r="J584" t="str">
        <f t="shared" si="245"/>
        <v>BANK KERJASAMA RAKYAT</v>
      </c>
      <c r="K584" t="str">
        <f>"220521071524"</f>
        <v>220521071524</v>
      </c>
      <c r="L584" t="str">
        <f t="shared" si="243"/>
        <v>04-08-2020</v>
      </c>
      <c r="M584" t="str">
        <f t="shared" si="243"/>
        <v>04-08-2020</v>
      </c>
      <c r="N584" t="str">
        <f t="shared" si="251"/>
        <v>001105018356</v>
      </c>
      <c r="O584" t="str">
        <f t="shared" si="252"/>
        <v>MYR</v>
      </c>
      <c r="P584" t="str">
        <f t="shared" si="244"/>
        <v>NIL</v>
      </c>
      <c r="Q584" t="str">
        <f t="shared" si="244"/>
        <v>NIL</v>
      </c>
      <c r="R584" t="str">
        <f t="shared" si="253"/>
        <v>Accepted</v>
      </c>
      <c r="S584" t="str">
        <f t="shared" si="254"/>
        <v>Approved</v>
      </c>
      <c r="T584" t="str">
        <f t="shared" si="255"/>
        <v>10.20.8.188</v>
      </c>
      <c r="U584" t="str">
        <f t="shared" si="256"/>
        <v>AZRAD UMAR BIN SHAARI</v>
      </c>
      <c r="V584" t="str">
        <f t="shared" si="257"/>
        <v>FARHANA BINTI MUSTAPA</v>
      </c>
      <c r="W584" t="str">
        <f t="shared" si="258"/>
        <v>04-08-2020</v>
      </c>
      <c r="X584" t="str">
        <f t="shared" si="259"/>
        <v>RAZIMAH ANSAR AHMAD</v>
      </c>
      <c r="Y584" t="str">
        <f t="shared" si="260"/>
        <v>04-08-2020</v>
      </c>
      <c r="Z584" t="str">
        <f>"IDSB19200804 68"</f>
        <v>IDSB19200804 68</v>
      </c>
    </row>
    <row r="585" spans="1:26" x14ac:dyDescent="0.25">
      <c r="A585" t="str">
        <f t="shared" si="246"/>
        <v>04-08-2020 01:20:32</v>
      </c>
      <c r="B585" t="str">
        <f>"0000810378"</f>
        <v>0000810378</v>
      </c>
      <c r="C585" t="str">
        <f t="shared" si="247"/>
        <v>0000810311</v>
      </c>
      <c r="D585" t="str">
        <f t="shared" si="248"/>
        <v>73185</v>
      </c>
      <c r="E585" t="str">
        <f t="shared" si="249"/>
        <v>KFH-OPERATIONS DEPARTMENT</v>
      </c>
      <c r="F585" t="str">
        <f t="shared" si="250"/>
        <v>IBG</v>
      </c>
      <c r="G585" t="str">
        <f t="shared" si="236"/>
        <v>Refund IDSB 19</v>
      </c>
      <c r="H585" s="2">
        <v>75.52</v>
      </c>
      <c r="I585" t="str">
        <f>"MUHAMAD FAZLEE BIN ROSELY"</f>
        <v>MUHAMAD FAZLEE BIN ROSELY</v>
      </c>
      <c r="J585" t="str">
        <f t="shared" si="245"/>
        <v>BANK KERJASAMA RAKYAT</v>
      </c>
      <c r="K585" t="str">
        <f>"220286030211"</f>
        <v>220286030211</v>
      </c>
      <c r="L585" t="str">
        <f t="shared" si="243"/>
        <v>04-08-2020</v>
      </c>
      <c r="M585" t="str">
        <f t="shared" si="243"/>
        <v>04-08-2020</v>
      </c>
      <c r="N585" t="str">
        <f t="shared" si="251"/>
        <v>001105018356</v>
      </c>
      <c r="O585" t="str">
        <f t="shared" si="252"/>
        <v>MYR</v>
      </c>
      <c r="P585" t="str">
        <f t="shared" si="244"/>
        <v>NIL</v>
      </c>
      <c r="Q585" t="str">
        <f t="shared" si="244"/>
        <v>NIL</v>
      </c>
      <c r="R585" t="str">
        <f t="shared" si="253"/>
        <v>Accepted</v>
      </c>
      <c r="S585" t="str">
        <f t="shared" si="254"/>
        <v>Approved</v>
      </c>
      <c r="T585" t="str">
        <f t="shared" si="255"/>
        <v>10.20.8.188</v>
      </c>
      <c r="U585" t="str">
        <f t="shared" si="256"/>
        <v>AZRAD UMAR BIN SHAARI</v>
      </c>
      <c r="V585" t="str">
        <f t="shared" si="257"/>
        <v>FARHANA BINTI MUSTAPA</v>
      </c>
      <c r="W585" t="str">
        <f t="shared" si="258"/>
        <v>04-08-2020</v>
      </c>
      <c r="X585" t="str">
        <f t="shared" si="259"/>
        <v>RAZIMAH ANSAR AHMAD</v>
      </c>
      <c r="Y585" t="str">
        <f t="shared" si="260"/>
        <v>04-08-2020</v>
      </c>
      <c r="Z585" t="str">
        <f>"IDSB19200804 67"</f>
        <v>IDSB19200804 67</v>
      </c>
    </row>
    <row r="586" spans="1:26" x14ac:dyDescent="0.25">
      <c r="A586" t="str">
        <f t="shared" si="246"/>
        <v>04-08-2020 01:20:32</v>
      </c>
      <c r="B586" t="str">
        <f>"0000810377"</f>
        <v>0000810377</v>
      </c>
      <c r="C586" t="str">
        <f t="shared" si="247"/>
        <v>0000810311</v>
      </c>
      <c r="D586" t="str">
        <f t="shared" si="248"/>
        <v>73185</v>
      </c>
      <c r="E586" t="str">
        <f t="shared" si="249"/>
        <v>KFH-OPERATIONS DEPARTMENT</v>
      </c>
      <c r="F586" t="str">
        <f t="shared" si="250"/>
        <v>IBG</v>
      </c>
      <c r="G586" t="str">
        <f t="shared" si="236"/>
        <v>Refund IDSB 19</v>
      </c>
      <c r="H586" s="2">
        <v>335.8</v>
      </c>
      <c r="I586" t="str">
        <f>"MOHD IZAD AMIR BIN MD SALLEH"</f>
        <v>MOHD IZAD AMIR BIN MD SALLEH</v>
      </c>
      <c r="J586" t="str">
        <f t="shared" si="245"/>
        <v>BANK KERJASAMA RAKYAT</v>
      </c>
      <c r="K586" t="str">
        <f>"220481149692"</f>
        <v>220481149692</v>
      </c>
      <c r="L586" t="str">
        <f t="shared" si="243"/>
        <v>04-08-2020</v>
      </c>
      <c r="M586" t="str">
        <f t="shared" si="243"/>
        <v>04-08-2020</v>
      </c>
      <c r="N586" t="str">
        <f t="shared" si="251"/>
        <v>001105018356</v>
      </c>
      <c r="O586" t="str">
        <f t="shared" si="252"/>
        <v>MYR</v>
      </c>
      <c r="P586" t="str">
        <f t="shared" si="244"/>
        <v>NIL</v>
      </c>
      <c r="Q586" t="str">
        <f t="shared" si="244"/>
        <v>NIL</v>
      </c>
      <c r="R586" t="str">
        <f t="shared" si="253"/>
        <v>Accepted</v>
      </c>
      <c r="S586" t="str">
        <f t="shared" si="254"/>
        <v>Approved</v>
      </c>
      <c r="T586" t="str">
        <f t="shared" si="255"/>
        <v>10.20.8.188</v>
      </c>
      <c r="U586" t="str">
        <f t="shared" si="256"/>
        <v>AZRAD UMAR BIN SHAARI</v>
      </c>
      <c r="V586" t="str">
        <f t="shared" si="257"/>
        <v>FARHANA BINTI MUSTAPA</v>
      </c>
      <c r="W586" t="str">
        <f t="shared" si="258"/>
        <v>04-08-2020</v>
      </c>
      <c r="X586" t="str">
        <f t="shared" si="259"/>
        <v>RAZIMAH ANSAR AHMAD</v>
      </c>
      <c r="Y586" t="str">
        <f t="shared" si="260"/>
        <v>04-08-2020</v>
      </c>
      <c r="Z586" t="str">
        <f>"IDSB19200804 66"</f>
        <v>IDSB19200804 66</v>
      </c>
    </row>
    <row r="587" spans="1:26" x14ac:dyDescent="0.25">
      <c r="A587" t="str">
        <f t="shared" si="246"/>
        <v>04-08-2020 01:20:32</v>
      </c>
      <c r="B587" t="str">
        <f>"0000810376"</f>
        <v>0000810376</v>
      </c>
      <c r="C587" t="str">
        <f t="shared" si="247"/>
        <v>0000810311</v>
      </c>
      <c r="D587" t="str">
        <f t="shared" si="248"/>
        <v>73185</v>
      </c>
      <c r="E587" t="str">
        <f t="shared" si="249"/>
        <v>KFH-OPERATIONS DEPARTMENT</v>
      </c>
      <c r="F587" t="str">
        <f t="shared" si="250"/>
        <v>IBG</v>
      </c>
      <c r="G587" t="str">
        <f t="shared" si="236"/>
        <v>Refund IDSB 19</v>
      </c>
      <c r="H587" s="2">
        <v>744</v>
      </c>
      <c r="I587" t="str">
        <f>"MOHD HALROLNIZAM BIN RAIS"</f>
        <v>MOHD HALROLNIZAM BIN RAIS</v>
      </c>
      <c r="J587" t="str">
        <f t="shared" si="245"/>
        <v>BANK KERJASAMA RAKYAT</v>
      </c>
      <c r="K587" t="str">
        <f>"220871168161"</f>
        <v>220871168161</v>
      </c>
      <c r="L587" t="str">
        <f t="shared" ref="L587:M606" si="261">"04-08-2020"</f>
        <v>04-08-2020</v>
      </c>
      <c r="M587" t="str">
        <f t="shared" si="261"/>
        <v>04-08-2020</v>
      </c>
      <c r="N587" t="str">
        <f t="shared" si="251"/>
        <v>001105018356</v>
      </c>
      <c r="O587" t="str">
        <f t="shared" si="252"/>
        <v>MYR</v>
      </c>
      <c r="P587" t="str">
        <f t="shared" ref="P587:Q606" si="262">"NIL"</f>
        <v>NIL</v>
      </c>
      <c r="Q587" t="str">
        <f t="shared" si="262"/>
        <v>NIL</v>
      </c>
      <c r="R587" t="str">
        <f t="shared" si="253"/>
        <v>Accepted</v>
      </c>
      <c r="S587" t="str">
        <f t="shared" si="254"/>
        <v>Approved</v>
      </c>
      <c r="T587" t="str">
        <f t="shared" si="255"/>
        <v>10.20.8.188</v>
      </c>
      <c r="U587" t="str">
        <f t="shared" si="256"/>
        <v>AZRAD UMAR BIN SHAARI</v>
      </c>
      <c r="V587" t="str">
        <f t="shared" si="257"/>
        <v>FARHANA BINTI MUSTAPA</v>
      </c>
      <c r="W587" t="str">
        <f t="shared" si="258"/>
        <v>04-08-2020</v>
      </c>
      <c r="X587" t="str">
        <f t="shared" si="259"/>
        <v>RAZIMAH ANSAR AHMAD</v>
      </c>
      <c r="Y587" t="str">
        <f t="shared" si="260"/>
        <v>04-08-2020</v>
      </c>
      <c r="Z587" t="str">
        <f>"IDSB19200804 65"</f>
        <v>IDSB19200804 65</v>
      </c>
    </row>
    <row r="588" spans="1:26" x14ac:dyDescent="0.25">
      <c r="A588" t="str">
        <f t="shared" si="246"/>
        <v>04-08-2020 01:20:32</v>
      </c>
      <c r="B588" t="str">
        <f>"0000810375"</f>
        <v>0000810375</v>
      </c>
      <c r="C588" t="str">
        <f t="shared" si="247"/>
        <v>0000810311</v>
      </c>
      <c r="D588" t="str">
        <f t="shared" si="248"/>
        <v>73185</v>
      </c>
      <c r="E588" t="str">
        <f t="shared" si="249"/>
        <v>KFH-OPERATIONS DEPARTMENT</v>
      </c>
      <c r="F588" t="str">
        <f t="shared" si="250"/>
        <v>IBG</v>
      </c>
      <c r="G588" t="str">
        <f t="shared" si="236"/>
        <v>Refund IDSB 19</v>
      </c>
      <c r="H588" s="2">
        <v>107.06</v>
      </c>
      <c r="I588" t="str">
        <f>"MOHD FOUZI BIN MANSOR"</f>
        <v>MOHD FOUZI BIN MANSOR</v>
      </c>
      <c r="J588" t="str">
        <f t="shared" si="245"/>
        <v>BANK KERJASAMA RAKYAT</v>
      </c>
      <c r="K588" t="str">
        <f>"220651117977"</f>
        <v>220651117977</v>
      </c>
      <c r="L588" t="str">
        <f t="shared" si="261"/>
        <v>04-08-2020</v>
      </c>
      <c r="M588" t="str">
        <f t="shared" si="261"/>
        <v>04-08-2020</v>
      </c>
      <c r="N588" t="str">
        <f t="shared" si="251"/>
        <v>001105018356</v>
      </c>
      <c r="O588" t="str">
        <f t="shared" si="252"/>
        <v>MYR</v>
      </c>
      <c r="P588" t="str">
        <f t="shared" si="262"/>
        <v>NIL</v>
      </c>
      <c r="Q588" t="str">
        <f t="shared" si="262"/>
        <v>NIL</v>
      </c>
      <c r="R588" t="str">
        <f t="shared" si="253"/>
        <v>Accepted</v>
      </c>
      <c r="S588" t="str">
        <f t="shared" si="254"/>
        <v>Approved</v>
      </c>
      <c r="T588" t="str">
        <f t="shared" si="255"/>
        <v>10.20.8.188</v>
      </c>
      <c r="U588" t="str">
        <f t="shared" si="256"/>
        <v>AZRAD UMAR BIN SHAARI</v>
      </c>
      <c r="V588" t="str">
        <f t="shared" si="257"/>
        <v>FARHANA BINTI MUSTAPA</v>
      </c>
      <c r="W588" t="str">
        <f t="shared" si="258"/>
        <v>04-08-2020</v>
      </c>
      <c r="X588" t="str">
        <f t="shared" si="259"/>
        <v>RAZIMAH ANSAR AHMAD</v>
      </c>
      <c r="Y588" t="str">
        <f t="shared" si="260"/>
        <v>04-08-2020</v>
      </c>
      <c r="Z588" t="str">
        <f>"IDSB19200804 64"</f>
        <v>IDSB19200804 64</v>
      </c>
    </row>
    <row r="589" spans="1:26" x14ac:dyDescent="0.25">
      <c r="A589" t="str">
        <f t="shared" si="246"/>
        <v>04-08-2020 01:20:32</v>
      </c>
      <c r="B589" t="str">
        <f>"0000810374"</f>
        <v>0000810374</v>
      </c>
      <c r="C589" t="str">
        <f t="shared" si="247"/>
        <v>0000810311</v>
      </c>
      <c r="D589" t="str">
        <f t="shared" si="248"/>
        <v>73185</v>
      </c>
      <c r="E589" t="str">
        <f t="shared" si="249"/>
        <v>KFH-OPERATIONS DEPARTMENT</v>
      </c>
      <c r="F589" t="str">
        <f t="shared" si="250"/>
        <v>IBG</v>
      </c>
      <c r="G589" t="str">
        <f t="shared" si="236"/>
        <v>Refund IDSB 19</v>
      </c>
      <c r="H589" s="2">
        <v>569</v>
      </c>
      <c r="I589" t="str">
        <f>"MOHD FIRDAOS BIN MOHD ALI NAPIAH"</f>
        <v>MOHD FIRDAOS BIN MOHD ALI NAPIAH</v>
      </c>
      <c r="J589" t="str">
        <f t="shared" si="245"/>
        <v>BANK KERJASAMA RAKYAT</v>
      </c>
      <c r="K589" t="str">
        <f>"220631235296"</f>
        <v>220631235296</v>
      </c>
      <c r="L589" t="str">
        <f t="shared" si="261"/>
        <v>04-08-2020</v>
      </c>
      <c r="M589" t="str">
        <f t="shared" si="261"/>
        <v>04-08-2020</v>
      </c>
      <c r="N589" t="str">
        <f t="shared" si="251"/>
        <v>001105018356</v>
      </c>
      <c r="O589" t="str">
        <f t="shared" si="252"/>
        <v>MYR</v>
      </c>
      <c r="P589" t="str">
        <f t="shared" si="262"/>
        <v>NIL</v>
      </c>
      <c r="Q589" t="str">
        <f t="shared" si="262"/>
        <v>NIL</v>
      </c>
      <c r="R589" t="str">
        <f t="shared" si="253"/>
        <v>Accepted</v>
      </c>
      <c r="S589" t="str">
        <f t="shared" si="254"/>
        <v>Approved</v>
      </c>
      <c r="T589" t="str">
        <f t="shared" si="255"/>
        <v>10.20.8.188</v>
      </c>
      <c r="U589" t="str">
        <f t="shared" si="256"/>
        <v>AZRAD UMAR BIN SHAARI</v>
      </c>
      <c r="V589" t="str">
        <f t="shared" si="257"/>
        <v>FARHANA BINTI MUSTAPA</v>
      </c>
      <c r="W589" t="str">
        <f t="shared" si="258"/>
        <v>04-08-2020</v>
      </c>
      <c r="X589" t="str">
        <f t="shared" si="259"/>
        <v>RAZIMAH ANSAR AHMAD</v>
      </c>
      <c r="Y589" t="str">
        <f t="shared" si="260"/>
        <v>04-08-2020</v>
      </c>
      <c r="Z589" t="str">
        <f>"IDSB19200804 63"</f>
        <v>IDSB19200804 63</v>
      </c>
    </row>
    <row r="590" spans="1:26" x14ac:dyDescent="0.25">
      <c r="A590" t="str">
        <f t="shared" si="246"/>
        <v>04-08-2020 01:20:32</v>
      </c>
      <c r="B590" t="str">
        <f>"0000810373"</f>
        <v>0000810373</v>
      </c>
      <c r="C590" t="str">
        <f t="shared" si="247"/>
        <v>0000810311</v>
      </c>
      <c r="D590" t="str">
        <f t="shared" si="248"/>
        <v>73185</v>
      </c>
      <c r="E590" t="str">
        <f t="shared" si="249"/>
        <v>KFH-OPERATIONS DEPARTMENT</v>
      </c>
      <c r="F590" t="str">
        <f t="shared" si="250"/>
        <v>IBG</v>
      </c>
      <c r="G590" t="str">
        <f t="shared" si="236"/>
        <v>Refund IDSB 19</v>
      </c>
      <c r="H590" s="2">
        <v>146.55000000000001</v>
      </c>
      <c r="I590" t="str">
        <f>"MOHAMMAD JALAR BIN MALIK"</f>
        <v>MOHAMMAD JALAR BIN MALIK</v>
      </c>
      <c r="J590" t="str">
        <f t="shared" si="245"/>
        <v>BANK KERJASAMA RAKYAT</v>
      </c>
      <c r="K590" t="str">
        <f>"220941028004"</f>
        <v>220941028004</v>
      </c>
      <c r="L590" t="str">
        <f t="shared" si="261"/>
        <v>04-08-2020</v>
      </c>
      <c r="M590" t="str">
        <f t="shared" si="261"/>
        <v>04-08-2020</v>
      </c>
      <c r="N590" t="str">
        <f t="shared" si="251"/>
        <v>001105018356</v>
      </c>
      <c r="O590" t="str">
        <f t="shared" si="252"/>
        <v>MYR</v>
      </c>
      <c r="P590" t="str">
        <f t="shared" si="262"/>
        <v>NIL</v>
      </c>
      <c r="Q590" t="str">
        <f t="shared" si="262"/>
        <v>NIL</v>
      </c>
      <c r="R590" t="str">
        <f t="shared" si="253"/>
        <v>Accepted</v>
      </c>
      <c r="S590" t="str">
        <f t="shared" si="254"/>
        <v>Approved</v>
      </c>
      <c r="T590" t="str">
        <f t="shared" si="255"/>
        <v>10.20.8.188</v>
      </c>
      <c r="U590" t="str">
        <f t="shared" si="256"/>
        <v>AZRAD UMAR BIN SHAARI</v>
      </c>
      <c r="V590" t="str">
        <f t="shared" si="257"/>
        <v>FARHANA BINTI MUSTAPA</v>
      </c>
      <c r="W590" t="str">
        <f t="shared" si="258"/>
        <v>04-08-2020</v>
      </c>
      <c r="X590" t="str">
        <f t="shared" si="259"/>
        <v>RAZIMAH ANSAR AHMAD</v>
      </c>
      <c r="Y590" t="str">
        <f t="shared" si="260"/>
        <v>04-08-2020</v>
      </c>
      <c r="Z590" t="str">
        <f>"IDSB19200804 62"</f>
        <v>IDSB19200804 62</v>
      </c>
    </row>
    <row r="591" spans="1:26" x14ac:dyDescent="0.25">
      <c r="A591" t="str">
        <f t="shared" si="246"/>
        <v>04-08-2020 01:20:32</v>
      </c>
      <c r="B591" t="str">
        <f>"0000810372"</f>
        <v>0000810372</v>
      </c>
      <c r="C591" t="str">
        <f t="shared" si="247"/>
        <v>0000810311</v>
      </c>
      <c r="D591" t="str">
        <f t="shared" si="248"/>
        <v>73185</v>
      </c>
      <c r="E591" t="str">
        <f t="shared" si="249"/>
        <v>KFH-OPERATIONS DEPARTMENT</v>
      </c>
      <c r="F591" t="str">
        <f t="shared" si="250"/>
        <v>IBG</v>
      </c>
      <c r="G591" t="str">
        <f t="shared" si="236"/>
        <v>Refund IDSB 19</v>
      </c>
      <c r="H591" s="2">
        <v>137.25</v>
      </c>
      <c r="I591" t="str">
        <f>"MOHAMMAD JALAR BIN MALIK"</f>
        <v>MOHAMMAD JALAR BIN MALIK</v>
      </c>
      <c r="J591" t="str">
        <f t="shared" si="245"/>
        <v>BANK KERJASAMA RAKYAT</v>
      </c>
      <c r="K591" t="str">
        <f>"220941028004"</f>
        <v>220941028004</v>
      </c>
      <c r="L591" t="str">
        <f t="shared" si="261"/>
        <v>04-08-2020</v>
      </c>
      <c r="M591" t="str">
        <f t="shared" si="261"/>
        <v>04-08-2020</v>
      </c>
      <c r="N591" t="str">
        <f t="shared" si="251"/>
        <v>001105018356</v>
      </c>
      <c r="O591" t="str">
        <f t="shared" si="252"/>
        <v>MYR</v>
      </c>
      <c r="P591" t="str">
        <f t="shared" si="262"/>
        <v>NIL</v>
      </c>
      <c r="Q591" t="str">
        <f t="shared" si="262"/>
        <v>NIL</v>
      </c>
      <c r="R591" t="str">
        <f t="shared" si="253"/>
        <v>Accepted</v>
      </c>
      <c r="S591" t="str">
        <f t="shared" si="254"/>
        <v>Approved</v>
      </c>
      <c r="T591" t="str">
        <f t="shared" si="255"/>
        <v>10.20.8.188</v>
      </c>
      <c r="U591" t="str">
        <f t="shared" si="256"/>
        <v>AZRAD UMAR BIN SHAARI</v>
      </c>
      <c r="V591" t="str">
        <f t="shared" si="257"/>
        <v>FARHANA BINTI MUSTAPA</v>
      </c>
      <c r="W591" t="str">
        <f t="shared" si="258"/>
        <v>04-08-2020</v>
      </c>
      <c r="X591" t="str">
        <f t="shared" si="259"/>
        <v>RAZIMAH ANSAR AHMAD</v>
      </c>
      <c r="Y591" t="str">
        <f t="shared" si="260"/>
        <v>04-08-2020</v>
      </c>
      <c r="Z591" t="str">
        <f>"IDSB19200804 61"</f>
        <v>IDSB19200804 61</v>
      </c>
    </row>
    <row r="592" spans="1:26" x14ac:dyDescent="0.25">
      <c r="A592" t="str">
        <f t="shared" si="246"/>
        <v>04-08-2020 01:20:32</v>
      </c>
      <c r="B592" t="str">
        <f>"0000810371"</f>
        <v>0000810371</v>
      </c>
      <c r="C592" t="str">
        <f t="shared" si="247"/>
        <v>0000810311</v>
      </c>
      <c r="D592" t="str">
        <f t="shared" si="248"/>
        <v>73185</v>
      </c>
      <c r="E592" t="str">
        <f t="shared" si="249"/>
        <v>KFH-OPERATIONS DEPARTMENT</v>
      </c>
      <c r="F592" t="str">
        <f t="shared" si="250"/>
        <v>IBG</v>
      </c>
      <c r="G592" t="str">
        <f t="shared" si="236"/>
        <v>Refund IDSB 19</v>
      </c>
      <c r="H592" s="2">
        <v>152</v>
      </c>
      <c r="I592" t="str">
        <f>"HAZUWAN BIN NOKMAN"</f>
        <v>HAZUWAN BIN NOKMAN</v>
      </c>
      <c r="J592" t="str">
        <f t="shared" si="245"/>
        <v>BANK KERJASAMA RAKYAT</v>
      </c>
      <c r="K592" t="str">
        <f>"220213135606"</f>
        <v>220213135606</v>
      </c>
      <c r="L592" t="str">
        <f t="shared" si="261"/>
        <v>04-08-2020</v>
      </c>
      <c r="M592" t="str">
        <f t="shared" si="261"/>
        <v>04-08-2020</v>
      </c>
      <c r="N592" t="str">
        <f t="shared" si="251"/>
        <v>001105018356</v>
      </c>
      <c r="O592" t="str">
        <f t="shared" si="252"/>
        <v>MYR</v>
      </c>
      <c r="P592" t="str">
        <f t="shared" si="262"/>
        <v>NIL</v>
      </c>
      <c r="Q592" t="str">
        <f t="shared" si="262"/>
        <v>NIL</v>
      </c>
      <c r="R592" t="str">
        <f t="shared" si="253"/>
        <v>Accepted</v>
      </c>
      <c r="S592" t="str">
        <f t="shared" si="254"/>
        <v>Approved</v>
      </c>
      <c r="T592" t="str">
        <f t="shared" si="255"/>
        <v>10.20.8.188</v>
      </c>
      <c r="U592" t="str">
        <f t="shared" si="256"/>
        <v>AZRAD UMAR BIN SHAARI</v>
      </c>
      <c r="V592" t="str">
        <f t="shared" si="257"/>
        <v>FARHANA BINTI MUSTAPA</v>
      </c>
      <c r="W592" t="str">
        <f t="shared" si="258"/>
        <v>04-08-2020</v>
      </c>
      <c r="X592" t="str">
        <f t="shared" si="259"/>
        <v>RAZIMAH ANSAR AHMAD</v>
      </c>
      <c r="Y592" t="str">
        <f t="shared" si="260"/>
        <v>04-08-2020</v>
      </c>
      <c r="Z592" t="str">
        <f>"IDSB19200804 60"</f>
        <v>IDSB19200804 60</v>
      </c>
    </row>
    <row r="593" spans="1:26" x14ac:dyDescent="0.25">
      <c r="A593" t="str">
        <f t="shared" si="246"/>
        <v>04-08-2020 01:20:32</v>
      </c>
      <c r="B593" t="str">
        <f>"0000810370"</f>
        <v>0000810370</v>
      </c>
      <c r="C593" t="str">
        <f t="shared" si="247"/>
        <v>0000810311</v>
      </c>
      <c r="D593" t="str">
        <f t="shared" si="248"/>
        <v>73185</v>
      </c>
      <c r="E593" t="str">
        <f t="shared" si="249"/>
        <v>KFH-OPERATIONS DEPARTMENT</v>
      </c>
      <c r="F593" t="str">
        <f t="shared" si="250"/>
        <v>IBG</v>
      </c>
      <c r="G593" t="str">
        <f t="shared" si="236"/>
        <v>Refund IDSB 19</v>
      </c>
      <c r="H593" s="2">
        <v>755.55</v>
      </c>
      <c r="I593" t="str">
        <f>"HASRULAZHA BIN BAHARIN"</f>
        <v>HASRULAZHA BIN BAHARIN</v>
      </c>
      <c r="J593" t="str">
        <f t="shared" si="245"/>
        <v>BANK KERJASAMA RAKYAT</v>
      </c>
      <c r="K593" t="str">
        <f>"220191354298"</f>
        <v>220191354298</v>
      </c>
      <c r="L593" t="str">
        <f t="shared" si="261"/>
        <v>04-08-2020</v>
      </c>
      <c r="M593" t="str">
        <f t="shared" si="261"/>
        <v>04-08-2020</v>
      </c>
      <c r="N593" t="str">
        <f t="shared" si="251"/>
        <v>001105018356</v>
      </c>
      <c r="O593" t="str">
        <f t="shared" si="252"/>
        <v>MYR</v>
      </c>
      <c r="P593" t="str">
        <f t="shared" si="262"/>
        <v>NIL</v>
      </c>
      <c r="Q593" t="str">
        <f t="shared" si="262"/>
        <v>NIL</v>
      </c>
      <c r="R593" t="str">
        <f t="shared" si="253"/>
        <v>Accepted</v>
      </c>
      <c r="S593" t="str">
        <f t="shared" si="254"/>
        <v>Approved</v>
      </c>
      <c r="T593" t="str">
        <f t="shared" si="255"/>
        <v>10.20.8.188</v>
      </c>
      <c r="U593" t="str">
        <f t="shared" si="256"/>
        <v>AZRAD UMAR BIN SHAARI</v>
      </c>
      <c r="V593" t="str">
        <f t="shared" si="257"/>
        <v>FARHANA BINTI MUSTAPA</v>
      </c>
      <c r="W593" t="str">
        <f t="shared" si="258"/>
        <v>04-08-2020</v>
      </c>
      <c r="X593" t="str">
        <f t="shared" si="259"/>
        <v>RAZIMAH ANSAR AHMAD</v>
      </c>
      <c r="Y593" t="str">
        <f t="shared" si="260"/>
        <v>04-08-2020</v>
      </c>
      <c r="Z593" t="str">
        <f>"IDSB19200804 59"</f>
        <v>IDSB19200804 59</v>
      </c>
    </row>
    <row r="594" spans="1:26" x14ac:dyDescent="0.25">
      <c r="A594" t="str">
        <f t="shared" si="246"/>
        <v>04-08-2020 01:20:32</v>
      </c>
      <c r="B594" t="str">
        <f>"0000810369"</f>
        <v>0000810369</v>
      </c>
      <c r="C594" t="str">
        <f t="shared" si="247"/>
        <v>0000810311</v>
      </c>
      <c r="D594" t="str">
        <f t="shared" si="248"/>
        <v>73185</v>
      </c>
      <c r="E594" t="str">
        <f t="shared" si="249"/>
        <v>KFH-OPERATIONS DEPARTMENT</v>
      </c>
      <c r="F594" t="str">
        <f t="shared" si="250"/>
        <v>IBG</v>
      </c>
      <c r="G594" t="str">
        <f t="shared" si="236"/>
        <v>Refund IDSB 19</v>
      </c>
      <c r="H594" s="2">
        <v>83.95</v>
      </c>
      <c r="I594" t="str">
        <f>"FARAH NINI ADAM BINTI MOHAMED NOOR"</f>
        <v>FARAH NINI ADAM BINTI MOHAMED NOOR</v>
      </c>
      <c r="J594" t="str">
        <f t="shared" si="245"/>
        <v>BANK KERJASAMA RAKYAT</v>
      </c>
      <c r="K594" t="str">
        <f>"220241419605"</f>
        <v>220241419605</v>
      </c>
      <c r="L594" t="str">
        <f t="shared" si="261"/>
        <v>04-08-2020</v>
      </c>
      <c r="M594" t="str">
        <f t="shared" si="261"/>
        <v>04-08-2020</v>
      </c>
      <c r="N594" t="str">
        <f t="shared" si="251"/>
        <v>001105018356</v>
      </c>
      <c r="O594" t="str">
        <f t="shared" si="252"/>
        <v>MYR</v>
      </c>
      <c r="P594" t="str">
        <f t="shared" si="262"/>
        <v>NIL</v>
      </c>
      <c r="Q594" t="str">
        <f t="shared" si="262"/>
        <v>NIL</v>
      </c>
      <c r="R594" t="str">
        <f t="shared" si="253"/>
        <v>Accepted</v>
      </c>
      <c r="S594" t="str">
        <f t="shared" si="254"/>
        <v>Approved</v>
      </c>
      <c r="T594" t="str">
        <f t="shared" si="255"/>
        <v>10.20.8.188</v>
      </c>
      <c r="U594" t="str">
        <f t="shared" si="256"/>
        <v>AZRAD UMAR BIN SHAARI</v>
      </c>
      <c r="V594" t="str">
        <f t="shared" si="257"/>
        <v>FARHANA BINTI MUSTAPA</v>
      </c>
      <c r="W594" t="str">
        <f t="shared" si="258"/>
        <v>04-08-2020</v>
      </c>
      <c r="X594" t="str">
        <f t="shared" si="259"/>
        <v>RAZIMAH ANSAR AHMAD</v>
      </c>
      <c r="Y594" t="str">
        <f t="shared" si="260"/>
        <v>04-08-2020</v>
      </c>
      <c r="Z594" t="str">
        <f>"IDSB19200804 58"</f>
        <v>IDSB19200804 58</v>
      </c>
    </row>
    <row r="595" spans="1:26" x14ac:dyDescent="0.25">
      <c r="A595" t="str">
        <f t="shared" si="246"/>
        <v>04-08-2020 01:20:32</v>
      </c>
      <c r="B595" t="str">
        <f>"0000810368"</f>
        <v>0000810368</v>
      </c>
      <c r="C595" t="str">
        <f t="shared" si="247"/>
        <v>0000810311</v>
      </c>
      <c r="D595" t="str">
        <f t="shared" si="248"/>
        <v>73185</v>
      </c>
      <c r="E595" t="str">
        <f t="shared" si="249"/>
        <v>KFH-OPERATIONS DEPARTMENT</v>
      </c>
      <c r="F595" t="str">
        <f t="shared" si="250"/>
        <v>IBG</v>
      </c>
      <c r="G595" t="str">
        <f t="shared" si="236"/>
        <v>Refund IDSB 19</v>
      </c>
      <c r="H595" s="2">
        <v>190</v>
      </c>
      <c r="I595" t="str">
        <f>"CHE ROSLI BIN JUSOH"</f>
        <v>CHE ROSLI BIN JUSOH</v>
      </c>
      <c r="J595" t="str">
        <f t="shared" si="245"/>
        <v>BANK KERJASAMA RAKYAT</v>
      </c>
      <c r="K595" t="str">
        <f>"220881105733"</f>
        <v>220881105733</v>
      </c>
      <c r="L595" t="str">
        <f t="shared" si="261"/>
        <v>04-08-2020</v>
      </c>
      <c r="M595" t="str">
        <f t="shared" si="261"/>
        <v>04-08-2020</v>
      </c>
      <c r="N595" t="str">
        <f t="shared" si="251"/>
        <v>001105018356</v>
      </c>
      <c r="O595" t="str">
        <f t="shared" si="252"/>
        <v>MYR</v>
      </c>
      <c r="P595" t="str">
        <f t="shared" si="262"/>
        <v>NIL</v>
      </c>
      <c r="Q595" t="str">
        <f t="shared" si="262"/>
        <v>NIL</v>
      </c>
      <c r="R595" t="str">
        <f t="shared" si="253"/>
        <v>Accepted</v>
      </c>
      <c r="S595" t="str">
        <f t="shared" si="254"/>
        <v>Approved</v>
      </c>
      <c r="T595" t="str">
        <f t="shared" si="255"/>
        <v>10.20.8.188</v>
      </c>
      <c r="U595" t="str">
        <f t="shared" si="256"/>
        <v>AZRAD UMAR BIN SHAARI</v>
      </c>
      <c r="V595" t="str">
        <f t="shared" si="257"/>
        <v>FARHANA BINTI MUSTAPA</v>
      </c>
      <c r="W595" t="str">
        <f t="shared" si="258"/>
        <v>04-08-2020</v>
      </c>
      <c r="X595" t="str">
        <f t="shared" si="259"/>
        <v>RAZIMAH ANSAR AHMAD</v>
      </c>
      <c r="Y595" t="str">
        <f t="shared" si="260"/>
        <v>04-08-2020</v>
      </c>
      <c r="Z595" t="str">
        <f>"IDSB19200804 57"</f>
        <v>IDSB19200804 57</v>
      </c>
    </row>
    <row r="596" spans="1:26" x14ac:dyDescent="0.25">
      <c r="A596" t="str">
        <f t="shared" si="246"/>
        <v>04-08-2020 01:20:32</v>
      </c>
      <c r="B596" t="str">
        <f>"0000810367"</f>
        <v>0000810367</v>
      </c>
      <c r="C596" t="str">
        <f t="shared" si="247"/>
        <v>0000810311</v>
      </c>
      <c r="D596" t="str">
        <f t="shared" si="248"/>
        <v>73185</v>
      </c>
      <c r="E596" t="str">
        <f t="shared" si="249"/>
        <v>KFH-OPERATIONS DEPARTMENT</v>
      </c>
      <c r="F596" t="str">
        <f t="shared" si="250"/>
        <v>IBG</v>
      </c>
      <c r="G596" t="str">
        <f t="shared" si="236"/>
        <v>Refund IDSB 19</v>
      </c>
      <c r="H596" s="2">
        <v>343.85</v>
      </c>
      <c r="I596" t="str">
        <f>"ZAKRI ARIF BIN RAMLI"</f>
        <v>ZAKRI ARIF BIN RAMLI</v>
      </c>
      <c r="J596" t="str">
        <f t="shared" ref="J596:J627" si="263">"BANK ISLAM BHD"</f>
        <v>BANK ISLAM BHD</v>
      </c>
      <c r="K596" t="str">
        <f>"12092020143563"</f>
        <v>12092020143563</v>
      </c>
      <c r="L596" t="str">
        <f t="shared" si="261"/>
        <v>04-08-2020</v>
      </c>
      <c r="M596" t="str">
        <f t="shared" si="261"/>
        <v>04-08-2020</v>
      </c>
      <c r="N596" t="str">
        <f t="shared" si="251"/>
        <v>001105018356</v>
      </c>
      <c r="O596" t="str">
        <f t="shared" si="252"/>
        <v>MYR</v>
      </c>
      <c r="P596" t="str">
        <f t="shared" si="262"/>
        <v>NIL</v>
      </c>
      <c r="Q596" t="str">
        <f t="shared" si="262"/>
        <v>NIL</v>
      </c>
      <c r="R596" t="str">
        <f t="shared" si="253"/>
        <v>Accepted</v>
      </c>
      <c r="S596" t="str">
        <f t="shared" si="254"/>
        <v>Approved</v>
      </c>
      <c r="T596" t="str">
        <f t="shared" si="255"/>
        <v>10.20.8.188</v>
      </c>
      <c r="U596" t="str">
        <f t="shared" si="256"/>
        <v>AZRAD UMAR BIN SHAARI</v>
      </c>
      <c r="V596" t="str">
        <f t="shared" si="257"/>
        <v>FARHANA BINTI MUSTAPA</v>
      </c>
      <c r="W596" t="str">
        <f t="shared" si="258"/>
        <v>04-08-2020</v>
      </c>
      <c r="X596" t="str">
        <f t="shared" si="259"/>
        <v>RAZIMAH ANSAR AHMAD</v>
      </c>
      <c r="Y596" t="str">
        <f t="shared" si="260"/>
        <v>04-08-2020</v>
      </c>
      <c r="Z596" t="str">
        <f>"IDSB19200804 56"</f>
        <v>IDSB19200804 56</v>
      </c>
    </row>
    <row r="597" spans="1:26" x14ac:dyDescent="0.25">
      <c r="A597" t="str">
        <f t="shared" si="246"/>
        <v>04-08-2020 01:20:32</v>
      </c>
      <c r="B597" t="str">
        <f>"0000810366"</f>
        <v>0000810366</v>
      </c>
      <c r="C597" t="str">
        <f t="shared" si="247"/>
        <v>0000810311</v>
      </c>
      <c r="D597" t="str">
        <f t="shared" si="248"/>
        <v>73185</v>
      </c>
      <c r="E597" t="str">
        <f t="shared" si="249"/>
        <v>KFH-OPERATIONS DEPARTMENT</v>
      </c>
      <c r="F597" t="str">
        <f t="shared" si="250"/>
        <v>IBG</v>
      </c>
      <c r="G597" t="str">
        <f t="shared" si="236"/>
        <v>Refund IDSB 19</v>
      </c>
      <c r="H597" s="2">
        <v>180</v>
      </c>
      <c r="I597" t="str">
        <f>"YUZAINI BIN MOHD YUSOF"</f>
        <v>YUZAINI BIN MOHD YUSOF</v>
      </c>
      <c r="J597" t="str">
        <f t="shared" si="263"/>
        <v>BANK ISLAM BHD</v>
      </c>
      <c r="K597" t="str">
        <f>"12047020307616"</f>
        <v>12047020307616</v>
      </c>
      <c r="L597" t="str">
        <f t="shared" si="261"/>
        <v>04-08-2020</v>
      </c>
      <c r="M597" t="str">
        <f t="shared" si="261"/>
        <v>04-08-2020</v>
      </c>
      <c r="N597" t="str">
        <f t="shared" si="251"/>
        <v>001105018356</v>
      </c>
      <c r="O597" t="str">
        <f t="shared" si="252"/>
        <v>MYR</v>
      </c>
      <c r="P597" t="str">
        <f t="shared" si="262"/>
        <v>NIL</v>
      </c>
      <c r="Q597" t="str">
        <f t="shared" si="262"/>
        <v>NIL</v>
      </c>
      <c r="R597" t="str">
        <f t="shared" si="253"/>
        <v>Accepted</v>
      </c>
      <c r="S597" t="str">
        <f t="shared" si="254"/>
        <v>Approved</v>
      </c>
      <c r="T597" t="str">
        <f t="shared" si="255"/>
        <v>10.20.8.188</v>
      </c>
      <c r="U597" t="str">
        <f t="shared" si="256"/>
        <v>AZRAD UMAR BIN SHAARI</v>
      </c>
      <c r="V597" t="str">
        <f t="shared" si="257"/>
        <v>FARHANA BINTI MUSTAPA</v>
      </c>
      <c r="W597" t="str">
        <f t="shared" si="258"/>
        <v>04-08-2020</v>
      </c>
      <c r="X597" t="str">
        <f t="shared" si="259"/>
        <v>RAZIMAH ANSAR AHMAD</v>
      </c>
      <c r="Y597" t="str">
        <f t="shared" si="260"/>
        <v>04-08-2020</v>
      </c>
      <c r="Z597" t="str">
        <f>"IDSB19200804 55"</f>
        <v>IDSB19200804 55</v>
      </c>
    </row>
    <row r="598" spans="1:26" x14ac:dyDescent="0.25">
      <c r="A598" t="str">
        <f t="shared" si="246"/>
        <v>04-08-2020 01:20:32</v>
      </c>
      <c r="B598" t="str">
        <f>"0000810365"</f>
        <v>0000810365</v>
      </c>
      <c r="C598" t="str">
        <f t="shared" si="247"/>
        <v>0000810311</v>
      </c>
      <c r="D598" t="str">
        <f t="shared" si="248"/>
        <v>73185</v>
      </c>
      <c r="E598" t="str">
        <f t="shared" si="249"/>
        <v>KFH-OPERATIONS DEPARTMENT</v>
      </c>
      <c r="F598" t="str">
        <f t="shared" si="250"/>
        <v>IBG</v>
      </c>
      <c r="G598" t="str">
        <f t="shared" si="236"/>
        <v>Refund IDSB 19</v>
      </c>
      <c r="H598" s="2">
        <v>831.1</v>
      </c>
      <c r="I598" t="str">
        <f>"TUAN ZAINUN BINTI TUAN MAT"</f>
        <v>TUAN ZAINUN BINTI TUAN MAT</v>
      </c>
      <c r="J598" t="str">
        <f t="shared" si="263"/>
        <v>BANK ISLAM BHD</v>
      </c>
      <c r="K598" t="str">
        <f>"03036020038029"</f>
        <v>03036020038029</v>
      </c>
      <c r="L598" t="str">
        <f t="shared" si="261"/>
        <v>04-08-2020</v>
      </c>
      <c r="M598" t="str">
        <f t="shared" si="261"/>
        <v>04-08-2020</v>
      </c>
      <c r="N598" t="str">
        <f t="shared" si="251"/>
        <v>001105018356</v>
      </c>
      <c r="O598" t="str">
        <f t="shared" si="252"/>
        <v>MYR</v>
      </c>
      <c r="P598" t="str">
        <f t="shared" si="262"/>
        <v>NIL</v>
      </c>
      <c r="Q598" t="str">
        <f t="shared" si="262"/>
        <v>NIL</v>
      </c>
      <c r="R598" t="str">
        <f t="shared" si="253"/>
        <v>Accepted</v>
      </c>
      <c r="S598" t="str">
        <f t="shared" si="254"/>
        <v>Approved</v>
      </c>
      <c r="T598" t="str">
        <f t="shared" si="255"/>
        <v>10.20.8.188</v>
      </c>
      <c r="U598" t="str">
        <f t="shared" si="256"/>
        <v>AZRAD UMAR BIN SHAARI</v>
      </c>
      <c r="V598" t="str">
        <f t="shared" si="257"/>
        <v>FARHANA BINTI MUSTAPA</v>
      </c>
      <c r="W598" t="str">
        <f t="shared" si="258"/>
        <v>04-08-2020</v>
      </c>
      <c r="X598" t="str">
        <f t="shared" si="259"/>
        <v>RAZIMAH ANSAR AHMAD</v>
      </c>
      <c r="Y598" t="str">
        <f t="shared" si="260"/>
        <v>04-08-2020</v>
      </c>
      <c r="Z598" t="str">
        <f>"IDSB19200804 54"</f>
        <v>IDSB19200804 54</v>
      </c>
    </row>
    <row r="599" spans="1:26" x14ac:dyDescent="0.25">
      <c r="A599" t="str">
        <f t="shared" si="246"/>
        <v>04-08-2020 01:20:32</v>
      </c>
      <c r="B599" t="str">
        <f>"0000810364"</f>
        <v>0000810364</v>
      </c>
      <c r="C599" t="str">
        <f t="shared" si="247"/>
        <v>0000810311</v>
      </c>
      <c r="D599" t="str">
        <f t="shared" si="248"/>
        <v>73185</v>
      </c>
      <c r="E599" t="str">
        <f t="shared" si="249"/>
        <v>KFH-OPERATIONS DEPARTMENT</v>
      </c>
      <c r="F599" t="str">
        <f t="shared" si="250"/>
        <v>IBG</v>
      </c>
      <c r="G599" t="str">
        <f t="shared" si="236"/>
        <v>Refund IDSB 19</v>
      </c>
      <c r="H599" s="2">
        <v>1156</v>
      </c>
      <c r="I599" t="str">
        <f>"SULAIMAN BIN NYAT"</f>
        <v>SULAIMAN BIN NYAT</v>
      </c>
      <c r="J599" t="str">
        <f t="shared" si="263"/>
        <v>BANK ISLAM BHD</v>
      </c>
      <c r="K599" t="str">
        <f>"01069020079346"</f>
        <v>01069020079346</v>
      </c>
      <c r="L599" t="str">
        <f t="shared" si="261"/>
        <v>04-08-2020</v>
      </c>
      <c r="M599" t="str">
        <f t="shared" si="261"/>
        <v>04-08-2020</v>
      </c>
      <c r="N599" t="str">
        <f t="shared" si="251"/>
        <v>001105018356</v>
      </c>
      <c r="O599" t="str">
        <f t="shared" si="252"/>
        <v>MYR</v>
      </c>
      <c r="P599" t="str">
        <f t="shared" si="262"/>
        <v>NIL</v>
      </c>
      <c r="Q599" t="str">
        <f t="shared" si="262"/>
        <v>NIL</v>
      </c>
      <c r="R599" t="str">
        <f t="shared" si="253"/>
        <v>Accepted</v>
      </c>
      <c r="S599" t="str">
        <f t="shared" si="254"/>
        <v>Approved</v>
      </c>
      <c r="T599" t="str">
        <f t="shared" si="255"/>
        <v>10.20.8.188</v>
      </c>
      <c r="U599" t="str">
        <f t="shared" si="256"/>
        <v>AZRAD UMAR BIN SHAARI</v>
      </c>
      <c r="V599" t="str">
        <f t="shared" si="257"/>
        <v>FARHANA BINTI MUSTAPA</v>
      </c>
      <c r="W599" t="str">
        <f t="shared" si="258"/>
        <v>04-08-2020</v>
      </c>
      <c r="X599" t="str">
        <f t="shared" si="259"/>
        <v>RAZIMAH ANSAR AHMAD</v>
      </c>
      <c r="Y599" t="str">
        <f t="shared" si="260"/>
        <v>04-08-2020</v>
      </c>
      <c r="Z599" t="str">
        <f>"IDSB19200804 53"</f>
        <v>IDSB19200804 53</v>
      </c>
    </row>
    <row r="600" spans="1:26" x14ac:dyDescent="0.25">
      <c r="A600" t="str">
        <f t="shared" si="246"/>
        <v>04-08-2020 01:20:32</v>
      </c>
      <c r="B600" t="str">
        <f>"0000810363"</f>
        <v>0000810363</v>
      </c>
      <c r="C600" t="str">
        <f t="shared" si="247"/>
        <v>0000810311</v>
      </c>
      <c r="D600" t="str">
        <f t="shared" si="248"/>
        <v>73185</v>
      </c>
      <c r="E600" t="str">
        <f t="shared" si="249"/>
        <v>KFH-OPERATIONS DEPARTMENT</v>
      </c>
      <c r="F600" t="str">
        <f t="shared" si="250"/>
        <v>IBG</v>
      </c>
      <c r="G600" t="str">
        <f t="shared" ref="G600:G651" si="264">"Refund IDSB 19"</f>
        <v>Refund IDSB 19</v>
      </c>
      <c r="H600" s="2">
        <v>911</v>
      </c>
      <c r="I600" t="str">
        <f>"SUHAILI BINTI ALMAAMUN"</f>
        <v>SUHAILI BINTI ALMAAMUN</v>
      </c>
      <c r="J600" t="str">
        <f t="shared" si="263"/>
        <v>BANK ISLAM BHD</v>
      </c>
      <c r="K600" t="str">
        <f>"12029020226919"</f>
        <v>12029020226919</v>
      </c>
      <c r="L600" t="str">
        <f t="shared" si="261"/>
        <v>04-08-2020</v>
      </c>
      <c r="M600" t="str">
        <f t="shared" si="261"/>
        <v>04-08-2020</v>
      </c>
      <c r="N600" t="str">
        <f t="shared" si="251"/>
        <v>001105018356</v>
      </c>
      <c r="O600" t="str">
        <f t="shared" si="252"/>
        <v>MYR</v>
      </c>
      <c r="P600" t="str">
        <f t="shared" si="262"/>
        <v>NIL</v>
      </c>
      <c r="Q600" t="str">
        <f t="shared" si="262"/>
        <v>NIL</v>
      </c>
      <c r="R600" t="str">
        <f t="shared" si="253"/>
        <v>Accepted</v>
      </c>
      <c r="S600" t="str">
        <f t="shared" si="254"/>
        <v>Approved</v>
      </c>
      <c r="T600" t="str">
        <f t="shared" si="255"/>
        <v>10.20.8.188</v>
      </c>
      <c r="U600" t="str">
        <f t="shared" si="256"/>
        <v>AZRAD UMAR BIN SHAARI</v>
      </c>
      <c r="V600" t="str">
        <f t="shared" si="257"/>
        <v>FARHANA BINTI MUSTAPA</v>
      </c>
      <c r="W600" t="str">
        <f t="shared" si="258"/>
        <v>04-08-2020</v>
      </c>
      <c r="X600" t="str">
        <f t="shared" si="259"/>
        <v>RAZIMAH ANSAR AHMAD</v>
      </c>
      <c r="Y600" t="str">
        <f t="shared" si="260"/>
        <v>04-08-2020</v>
      </c>
      <c r="Z600" t="str">
        <f>"IDSB19200804 52"</f>
        <v>IDSB19200804 52</v>
      </c>
    </row>
    <row r="601" spans="1:26" x14ac:dyDescent="0.25">
      <c r="A601" t="str">
        <f t="shared" si="246"/>
        <v>04-08-2020 01:20:32</v>
      </c>
      <c r="B601" t="str">
        <f>"0000810362"</f>
        <v>0000810362</v>
      </c>
      <c r="C601" t="str">
        <f t="shared" si="247"/>
        <v>0000810311</v>
      </c>
      <c r="D601" t="str">
        <f t="shared" si="248"/>
        <v>73185</v>
      </c>
      <c r="E601" t="str">
        <f t="shared" si="249"/>
        <v>KFH-OPERATIONS DEPARTMENT</v>
      </c>
      <c r="F601" t="str">
        <f t="shared" si="250"/>
        <v>IBG</v>
      </c>
      <c r="G601" t="str">
        <f t="shared" si="264"/>
        <v>Refund IDSB 19</v>
      </c>
      <c r="H601" s="2">
        <v>718</v>
      </c>
      <c r="I601" t="str">
        <f>"SUHAILI BINTI ALMAAMUN"</f>
        <v>SUHAILI BINTI ALMAAMUN</v>
      </c>
      <c r="J601" t="str">
        <f t="shared" si="263"/>
        <v>BANK ISLAM BHD</v>
      </c>
      <c r="K601" t="str">
        <f>"12029020226919"</f>
        <v>12029020226919</v>
      </c>
      <c r="L601" t="str">
        <f t="shared" si="261"/>
        <v>04-08-2020</v>
      </c>
      <c r="M601" t="str">
        <f t="shared" si="261"/>
        <v>04-08-2020</v>
      </c>
      <c r="N601" t="str">
        <f t="shared" si="251"/>
        <v>001105018356</v>
      </c>
      <c r="O601" t="str">
        <f t="shared" si="252"/>
        <v>MYR</v>
      </c>
      <c r="P601" t="str">
        <f t="shared" si="262"/>
        <v>NIL</v>
      </c>
      <c r="Q601" t="str">
        <f t="shared" si="262"/>
        <v>NIL</v>
      </c>
      <c r="R601" t="str">
        <f t="shared" si="253"/>
        <v>Accepted</v>
      </c>
      <c r="S601" t="str">
        <f t="shared" si="254"/>
        <v>Approved</v>
      </c>
      <c r="T601" t="str">
        <f t="shared" si="255"/>
        <v>10.20.8.188</v>
      </c>
      <c r="U601" t="str">
        <f t="shared" si="256"/>
        <v>AZRAD UMAR BIN SHAARI</v>
      </c>
      <c r="V601" t="str">
        <f t="shared" si="257"/>
        <v>FARHANA BINTI MUSTAPA</v>
      </c>
      <c r="W601" t="str">
        <f t="shared" si="258"/>
        <v>04-08-2020</v>
      </c>
      <c r="X601" t="str">
        <f t="shared" si="259"/>
        <v>RAZIMAH ANSAR AHMAD</v>
      </c>
      <c r="Y601" t="str">
        <f t="shared" si="260"/>
        <v>04-08-2020</v>
      </c>
      <c r="Z601" t="str">
        <f>"IDSB19200804 51"</f>
        <v>IDSB19200804 51</v>
      </c>
    </row>
    <row r="602" spans="1:26" x14ac:dyDescent="0.25">
      <c r="A602" t="str">
        <f t="shared" si="246"/>
        <v>04-08-2020 01:20:32</v>
      </c>
      <c r="B602" t="str">
        <f>"0000810361"</f>
        <v>0000810361</v>
      </c>
      <c r="C602" t="str">
        <f t="shared" si="247"/>
        <v>0000810311</v>
      </c>
      <c r="D602" t="str">
        <f t="shared" si="248"/>
        <v>73185</v>
      </c>
      <c r="E602" t="str">
        <f t="shared" si="249"/>
        <v>KFH-OPERATIONS DEPARTMENT</v>
      </c>
      <c r="F602" t="str">
        <f t="shared" si="250"/>
        <v>IBG</v>
      </c>
      <c r="G602" t="str">
        <f t="shared" si="264"/>
        <v>Refund IDSB 19</v>
      </c>
      <c r="H602" s="2">
        <v>119.1</v>
      </c>
      <c r="I602" t="str">
        <f>"SHAM SUL KAMAL BIN WAN FAKEH"</f>
        <v>SHAM SUL KAMAL BIN WAN FAKEH</v>
      </c>
      <c r="J602" t="str">
        <f t="shared" si="263"/>
        <v>BANK ISLAM BHD</v>
      </c>
      <c r="K602" t="str">
        <f>"12038025198063"</f>
        <v>12038025198063</v>
      </c>
      <c r="L602" t="str">
        <f t="shared" si="261"/>
        <v>04-08-2020</v>
      </c>
      <c r="M602" t="str">
        <f t="shared" si="261"/>
        <v>04-08-2020</v>
      </c>
      <c r="N602" t="str">
        <f t="shared" si="251"/>
        <v>001105018356</v>
      </c>
      <c r="O602" t="str">
        <f t="shared" si="252"/>
        <v>MYR</v>
      </c>
      <c r="P602" t="str">
        <f t="shared" si="262"/>
        <v>NIL</v>
      </c>
      <c r="Q602" t="str">
        <f t="shared" si="262"/>
        <v>NIL</v>
      </c>
      <c r="R602" t="str">
        <f t="shared" si="253"/>
        <v>Accepted</v>
      </c>
      <c r="S602" t="str">
        <f t="shared" si="254"/>
        <v>Approved</v>
      </c>
      <c r="T602" t="str">
        <f t="shared" si="255"/>
        <v>10.20.8.188</v>
      </c>
      <c r="U602" t="str">
        <f t="shared" si="256"/>
        <v>AZRAD UMAR BIN SHAARI</v>
      </c>
      <c r="V602" t="str">
        <f t="shared" si="257"/>
        <v>FARHANA BINTI MUSTAPA</v>
      </c>
      <c r="W602" t="str">
        <f t="shared" si="258"/>
        <v>04-08-2020</v>
      </c>
      <c r="X602" t="str">
        <f t="shared" si="259"/>
        <v>RAZIMAH ANSAR AHMAD</v>
      </c>
      <c r="Y602" t="str">
        <f t="shared" si="260"/>
        <v>04-08-2020</v>
      </c>
      <c r="Z602" t="str">
        <f>"IDSB19200804 50"</f>
        <v>IDSB19200804 50</v>
      </c>
    </row>
    <row r="603" spans="1:26" x14ac:dyDescent="0.25">
      <c r="A603" t="str">
        <f t="shared" si="246"/>
        <v>04-08-2020 01:20:32</v>
      </c>
      <c r="B603" t="str">
        <f>"0000810360"</f>
        <v>0000810360</v>
      </c>
      <c r="C603" t="str">
        <f t="shared" si="247"/>
        <v>0000810311</v>
      </c>
      <c r="D603" t="str">
        <f t="shared" si="248"/>
        <v>73185</v>
      </c>
      <c r="E603" t="str">
        <f t="shared" si="249"/>
        <v>KFH-OPERATIONS DEPARTMENT</v>
      </c>
      <c r="F603" t="str">
        <f t="shared" si="250"/>
        <v>IBG</v>
      </c>
      <c r="G603" t="str">
        <f t="shared" si="264"/>
        <v>Refund IDSB 19</v>
      </c>
      <c r="H603" s="2">
        <v>246</v>
      </c>
      <c r="I603" t="str">
        <f>"SHAM SUL KAMAL BIN WAN FAKEH"</f>
        <v>SHAM SUL KAMAL BIN WAN FAKEH</v>
      </c>
      <c r="J603" t="str">
        <f t="shared" si="263"/>
        <v>BANK ISLAM BHD</v>
      </c>
      <c r="K603" t="str">
        <f>"12038025198063"</f>
        <v>12038025198063</v>
      </c>
      <c r="L603" t="str">
        <f t="shared" si="261"/>
        <v>04-08-2020</v>
      </c>
      <c r="M603" t="str">
        <f t="shared" si="261"/>
        <v>04-08-2020</v>
      </c>
      <c r="N603" t="str">
        <f t="shared" si="251"/>
        <v>001105018356</v>
      </c>
      <c r="O603" t="str">
        <f t="shared" si="252"/>
        <v>MYR</v>
      </c>
      <c r="P603" t="str">
        <f t="shared" si="262"/>
        <v>NIL</v>
      </c>
      <c r="Q603" t="str">
        <f t="shared" si="262"/>
        <v>NIL</v>
      </c>
      <c r="R603" t="str">
        <f t="shared" si="253"/>
        <v>Accepted</v>
      </c>
      <c r="S603" t="str">
        <f t="shared" si="254"/>
        <v>Approved</v>
      </c>
      <c r="T603" t="str">
        <f t="shared" si="255"/>
        <v>10.20.8.188</v>
      </c>
      <c r="U603" t="str">
        <f t="shared" si="256"/>
        <v>AZRAD UMAR BIN SHAARI</v>
      </c>
      <c r="V603" t="str">
        <f t="shared" si="257"/>
        <v>FARHANA BINTI MUSTAPA</v>
      </c>
      <c r="W603" t="str">
        <f t="shared" si="258"/>
        <v>04-08-2020</v>
      </c>
      <c r="X603" t="str">
        <f t="shared" si="259"/>
        <v>RAZIMAH ANSAR AHMAD</v>
      </c>
      <c r="Y603" t="str">
        <f t="shared" si="260"/>
        <v>04-08-2020</v>
      </c>
      <c r="Z603" t="str">
        <f>"IDSB19200804 49"</f>
        <v>IDSB19200804 49</v>
      </c>
    </row>
    <row r="604" spans="1:26" x14ac:dyDescent="0.25">
      <c r="A604" t="str">
        <f t="shared" si="246"/>
        <v>04-08-2020 01:20:32</v>
      </c>
      <c r="B604" t="str">
        <f>"0000810359"</f>
        <v>0000810359</v>
      </c>
      <c r="C604" t="str">
        <f t="shared" si="247"/>
        <v>0000810311</v>
      </c>
      <c r="D604" t="str">
        <f t="shared" si="248"/>
        <v>73185</v>
      </c>
      <c r="E604" t="str">
        <f t="shared" si="249"/>
        <v>KFH-OPERATIONS DEPARTMENT</v>
      </c>
      <c r="F604" t="str">
        <f t="shared" si="250"/>
        <v>IBG</v>
      </c>
      <c r="G604" t="str">
        <f t="shared" si="264"/>
        <v>Refund IDSB 19</v>
      </c>
      <c r="H604" s="2">
        <v>1391.25</v>
      </c>
      <c r="I604" t="str">
        <f>"SHAHARUDIN BIN ISMAIL"</f>
        <v>SHAHARUDIN BIN ISMAIL</v>
      </c>
      <c r="J604" t="str">
        <f t="shared" si="263"/>
        <v>BANK ISLAM BHD</v>
      </c>
      <c r="K604" t="str">
        <f>"05058020040743"</f>
        <v>05058020040743</v>
      </c>
      <c r="L604" t="str">
        <f t="shared" si="261"/>
        <v>04-08-2020</v>
      </c>
      <c r="M604" t="str">
        <f t="shared" si="261"/>
        <v>04-08-2020</v>
      </c>
      <c r="N604" t="str">
        <f t="shared" si="251"/>
        <v>001105018356</v>
      </c>
      <c r="O604" t="str">
        <f t="shared" si="252"/>
        <v>MYR</v>
      </c>
      <c r="P604" t="str">
        <f t="shared" si="262"/>
        <v>NIL</v>
      </c>
      <c r="Q604" t="str">
        <f t="shared" si="262"/>
        <v>NIL</v>
      </c>
      <c r="R604" t="str">
        <f t="shared" si="253"/>
        <v>Accepted</v>
      </c>
      <c r="S604" t="str">
        <f t="shared" si="254"/>
        <v>Approved</v>
      </c>
      <c r="T604" t="str">
        <f t="shared" si="255"/>
        <v>10.20.8.188</v>
      </c>
      <c r="U604" t="str">
        <f t="shared" si="256"/>
        <v>AZRAD UMAR BIN SHAARI</v>
      </c>
      <c r="V604" t="str">
        <f t="shared" si="257"/>
        <v>FARHANA BINTI MUSTAPA</v>
      </c>
      <c r="W604" t="str">
        <f t="shared" si="258"/>
        <v>04-08-2020</v>
      </c>
      <c r="X604" t="str">
        <f t="shared" si="259"/>
        <v>RAZIMAH ANSAR AHMAD</v>
      </c>
      <c r="Y604" t="str">
        <f t="shared" si="260"/>
        <v>04-08-2020</v>
      </c>
      <c r="Z604" t="str">
        <f>"IDSB19200804 48"</f>
        <v>IDSB19200804 48</v>
      </c>
    </row>
    <row r="605" spans="1:26" x14ac:dyDescent="0.25">
      <c r="A605" t="str">
        <f t="shared" si="246"/>
        <v>04-08-2020 01:20:32</v>
      </c>
      <c r="B605" t="str">
        <f>"0000810358"</f>
        <v>0000810358</v>
      </c>
      <c r="C605" t="str">
        <f t="shared" si="247"/>
        <v>0000810311</v>
      </c>
      <c r="D605" t="str">
        <f t="shared" si="248"/>
        <v>73185</v>
      </c>
      <c r="E605" t="str">
        <f t="shared" si="249"/>
        <v>KFH-OPERATIONS DEPARTMENT</v>
      </c>
      <c r="F605" t="str">
        <f t="shared" si="250"/>
        <v>IBG</v>
      </c>
      <c r="G605" t="str">
        <f t="shared" si="264"/>
        <v>Refund IDSB 19</v>
      </c>
      <c r="H605" s="2">
        <v>520.29</v>
      </c>
      <c r="I605" t="str">
        <f>"SHAH RIZAN BIN SAFARI"</f>
        <v>SHAH RIZAN BIN SAFARI</v>
      </c>
      <c r="J605" t="str">
        <f t="shared" si="263"/>
        <v>BANK ISLAM BHD</v>
      </c>
      <c r="K605" t="str">
        <f>"12083020081248"</f>
        <v>12083020081248</v>
      </c>
      <c r="L605" t="str">
        <f t="shared" si="261"/>
        <v>04-08-2020</v>
      </c>
      <c r="M605" t="str">
        <f t="shared" si="261"/>
        <v>04-08-2020</v>
      </c>
      <c r="N605" t="str">
        <f t="shared" si="251"/>
        <v>001105018356</v>
      </c>
      <c r="O605" t="str">
        <f t="shared" si="252"/>
        <v>MYR</v>
      </c>
      <c r="P605" t="str">
        <f t="shared" si="262"/>
        <v>NIL</v>
      </c>
      <c r="Q605" t="str">
        <f t="shared" si="262"/>
        <v>NIL</v>
      </c>
      <c r="R605" t="str">
        <f t="shared" si="253"/>
        <v>Accepted</v>
      </c>
      <c r="S605" t="str">
        <f t="shared" si="254"/>
        <v>Approved</v>
      </c>
      <c r="T605" t="str">
        <f t="shared" si="255"/>
        <v>10.20.8.188</v>
      </c>
      <c r="U605" t="str">
        <f t="shared" si="256"/>
        <v>AZRAD UMAR BIN SHAARI</v>
      </c>
      <c r="V605" t="str">
        <f t="shared" si="257"/>
        <v>FARHANA BINTI MUSTAPA</v>
      </c>
      <c r="W605" t="str">
        <f t="shared" si="258"/>
        <v>04-08-2020</v>
      </c>
      <c r="X605" t="str">
        <f t="shared" si="259"/>
        <v>RAZIMAH ANSAR AHMAD</v>
      </c>
      <c r="Y605" t="str">
        <f t="shared" si="260"/>
        <v>04-08-2020</v>
      </c>
      <c r="Z605" t="str">
        <f>"IDSB19200804 47"</f>
        <v>IDSB19200804 47</v>
      </c>
    </row>
    <row r="606" spans="1:26" x14ac:dyDescent="0.25">
      <c r="A606" t="str">
        <f t="shared" si="246"/>
        <v>04-08-2020 01:20:32</v>
      </c>
      <c r="B606" t="str">
        <f>"0000810357"</f>
        <v>0000810357</v>
      </c>
      <c r="C606" t="str">
        <f t="shared" si="247"/>
        <v>0000810311</v>
      </c>
      <c r="D606" t="str">
        <f t="shared" si="248"/>
        <v>73185</v>
      </c>
      <c r="E606" t="str">
        <f t="shared" si="249"/>
        <v>KFH-OPERATIONS DEPARTMENT</v>
      </c>
      <c r="F606" t="str">
        <f t="shared" si="250"/>
        <v>IBG</v>
      </c>
      <c r="G606" t="str">
        <f t="shared" si="264"/>
        <v>Refund IDSB 19</v>
      </c>
      <c r="H606" s="2">
        <v>1679</v>
      </c>
      <c r="I606" t="str">
        <f>"ROZELEENDA BINTI ABDUL RAHMAN"</f>
        <v>ROZELEENDA BINTI ABDUL RAHMAN</v>
      </c>
      <c r="J606" t="str">
        <f t="shared" si="263"/>
        <v>BANK ISLAM BHD</v>
      </c>
      <c r="K606" t="str">
        <f>"06046020175671"</f>
        <v>06046020175671</v>
      </c>
      <c r="L606" t="str">
        <f t="shared" si="261"/>
        <v>04-08-2020</v>
      </c>
      <c r="M606" t="str">
        <f t="shared" si="261"/>
        <v>04-08-2020</v>
      </c>
      <c r="N606" t="str">
        <f t="shared" si="251"/>
        <v>001105018356</v>
      </c>
      <c r="O606" t="str">
        <f t="shared" si="252"/>
        <v>MYR</v>
      </c>
      <c r="P606" t="str">
        <f t="shared" si="262"/>
        <v>NIL</v>
      </c>
      <c r="Q606" t="str">
        <f t="shared" si="262"/>
        <v>NIL</v>
      </c>
      <c r="R606" t="str">
        <f t="shared" si="253"/>
        <v>Accepted</v>
      </c>
      <c r="S606" t="str">
        <f t="shared" si="254"/>
        <v>Approved</v>
      </c>
      <c r="T606" t="str">
        <f t="shared" si="255"/>
        <v>10.20.8.188</v>
      </c>
      <c r="U606" t="str">
        <f t="shared" si="256"/>
        <v>AZRAD UMAR BIN SHAARI</v>
      </c>
      <c r="V606" t="str">
        <f t="shared" si="257"/>
        <v>FARHANA BINTI MUSTAPA</v>
      </c>
      <c r="W606" t="str">
        <f t="shared" si="258"/>
        <v>04-08-2020</v>
      </c>
      <c r="X606" t="str">
        <f t="shared" si="259"/>
        <v>RAZIMAH ANSAR AHMAD</v>
      </c>
      <c r="Y606" t="str">
        <f t="shared" si="260"/>
        <v>04-08-2020</v>
      </c>
      <c r="Z606" t="str">
        <f>"IDSB19200804 46"</f>
        <v>IDSB19200804 46</v>
      </c>
    </row>
    <row r="607" spans="1:26" x14ac:dyDescent="0.25">
      <c r="A607" t="str">
        <f t="shared" si="246"/>
        <v>04-08-2020 01:20:32</v>
      </c>
      <c r="B607" t="str">
        <f>"0000810356"</f>
        <v>0000810356</v>
      </c>
      <c r="C607" t="str">
        <f t="shared" si="247"/>
        <v>0000810311</v>
      </c>
      <c r="D607" t="str">
        <f t="shared" si="248"/>
        <v>73185</v>
      </c>
      <c r="E607" t="str">
        <f t="shared" si="249"/>
        <v>KFH-OPERATIONS DEPARTMENT</v>
      </c>
      <c r="F607" t="str">
        <f t="shared" si="250"/>
        <v>IBG</v>
      </c>
      <c r="G607" t="str">
        <f t="shared" si="264"/>
        <v>Refund IDSB 19</v>
      </c>
      <c r="H607" s="2">
        <v>434</v>
      </c>
      <c r="I607" t="str">
        <f>"ROHAYU BINTI YUSOP"</f>
        <v>ROHAYU BINTI YUSOP</v>
      </c>
      <c r="J607" t="str">
        <f t="shared" si="263"/>
        <v>BANK ISLAM BHD</v>
      </c>
      <c r="K607" t="str">
        <f>"13044020076753"</f>
        <v>13044020076753</v>
      </c>
      <c r="L607" t="str">
        <f t="shared" ref="L607:M626" si="265">"04-08-2020"</f>
        <v>04-08-2020</v>
      </c>
      <c r="M607" t="str">
        <f t="shared" si="265"/>
        <v>04-08-2020</v>
      </c>
      <c r="N607" t="str">
        <f t="shared" si="251"/>
        <v>001105018356</v>
      </c>
      <c r="O607" t="str">
        <f t="shared" si="252"/>
        <v>MYR</v>
      </c>
      <c r="P607" t="str">
        <f t="shared" ref="P607:Q626" si="266">"NIL"</f>
        <v>NIL</v>
      </c>
      <c r="Q607" t="str">
        <f t="shared" si="266"/>
        <v>NIL</v>
      </c>
      <c r="R607" t="str">
        <f t="shared" si="253"/>
        <v>Accepted</v>
      </c>
      <c r="S607" t="str">
        <f t="shared" si="254"/>
        <v>Approved</v>
      </c>
      <c r="T607" t="str">
        <f t="shared" si="255"/>
        <v>10.20.8.188</v>
      </c>
      <c r="U607" t="str">
        <f t="shared" si="256"/>
        <v>AZRAD UMAR BIN SHAARI</v>
      </c>
      <c r="V607" t="str">
        <f t="shared" si="257"/>
        <v>FARHANA BINTI MUSTAPA</v>
      </c>
      <c r="W607" t="str">
        <f t="shared" si="258"/>
        <v>04-08-2020</v>
      </c>
      <c r="X607" t="str">
        <f t="shared" si="259"/>
        <v>RAZIMAH ANSAR AHMAD</v>
      </c>
      <c r="Y607" t="str">
        <f t="shared" si="260"/>
        <v>04-08-2020</v>
      </c>
      <c r="Z607" t="str">
        <f>"IDSB19200804 45"</f>
        <v>IDSB19200804 45</v>
      </c>
    </row>
    <row r="608" spans="1:26" x14ac:dyDescent="0.25">
      <c r="A608" t="str">
        <f t="shared" si="246"/>
        <v>04-08-2020 01:20:32</v>
      </c>
      <c r="B608" t="str">
        <f>"0000810355"</f>
        <v>0000810355</v>
      </c>
      <c r="C608" t="str">
        <f t="shared" si="247"/>
        <v>0000810311</v>
      </c>
      <c r="D608" t="str">
        <f t="shared" si="248"/>
        <v>73185</v>
      </c>
      <c r="E608" t="str">
        <f t="shared" si="249"/>
        <v>KFH-OPERATIONS DEPARTMENT</v>
      </c>
      <c r="F608" t="str">
        <f t="shared" si="250"/>
        <v>IBG</v>
      </c>
      <c r="G608" t="str">
        <f t="shared" si="264"/>
        <v>Refund IDSB 19</v>
      </c>
      <c r="H608" s="2">
        <v>615</v>
      </c>
      <c r="I608" t="str">
        <f>"ROFAZILAH BINTI AHMAD"</f>
        <v>ROFAZILAH BINTI AHMAD</v>
      </c>
      <c r="J608" t="str">
        <f t="shared" si="263"/>
        <v>BANK ISLAM BHD</v>
      </c>
      <c r="K608" t="str">
        <f>"01041020048155"</f>
        <v>01041020048155</v>
      </c>
      <c r="L608" t="str">
        <f t="shared" si="265"/>
        <v>04-08-2020</v>
      </c>
      <c r="M608" t="str">
        <f t="shared" si="265"/>
        <v>04-08-2020</v>
      </c>
      <c r="N608" t="str">
        <f t="shared" si="251"/>
        <v>001105018356</v>
      </c>
      <c r="O608" t="str">
        <f t="shared" si="252"/>
        <v>MYR</v>
      </c>
      <c r="P608" t="str">
        <f t="shared" si="266"/>
        <v>NIL</v>
      </c>
      <c r="Q608" t="str">
        <f t="shared" si="266"/>
        <v>NIL</v>
      </c>
      <c r="R608" t="str">
        <f t="shared" si="253"/>
        <v>Accepted</v>
      </c>
      <c r="S608" t="str">
        <f t="shared" si="254"/>
        <v>Approved</v>
      </c>
      <c r="T608" t="str">
        <f t="shared" si="255"/>
        <v>10.20.8.188</v>
      </c>
      <c r="U608" t="str">
        <f t="shared" si="256"/>
        <v>AZRAD UMAR BIN SHAARI</v>
      </c>
      <c r="V608" t="str">
        <f t="shared" si="257"/>
        <v>FARHANA BINTI MUSTAPA</v>
      </c>
      <c r="W608" t="str">
        <f t="shared" si="258"/>
        <v>04-08-2020</v>
      </c>
      <c r="X608" t="str">
        <f t="shared" si="259"/>
        <v>RAZIMAH ANSAR AHMAD</v>
      </c>
      <c r="Y608" t="str">
        <f t="shared" si="260"/>
        <v>04-08-2020</v>
      </c>
      <c r="Z608" t="str">
        <f>"IDSB19200804 44"</f>
        <v>IDSB19200804 44</v>
      </c>
    </row>
    <row r="609" spans="1:26" x14ac:dyDescent="0.25">
      <c r="A609" t="str">
        <f t="shared" si="246"/>
        <v>04-08-2020 01:20:32</v>
      </c>
      <c r="B609" t="str">
        <f>"0000810354"</f>
        <v>0000810354</v>
      </c>
      <c r="C609" t="str">
        <f t="shared" si="247"/>
        <v>0000810311</v>
      </c>
      <c r="D609" t="str">
        <f t="shared" si="248"/>
        <v>73185</v>
      </c>
      <c r="E609" t="str">
        <f t="shared" si="249"/>
        <v>KFH-OPERATIONS DEPARTMENT</v>
      </c>
      <c r="F609" t="str">
        <f t="shared" si="250"/>
        <v>IBG</v>
      </c>
      <c r="G609" t="str">
        <f t="shared" si="264"/>
        <v>Refund IDSB 19</v>
      </c>
      <c r="H609" s="2">
        <v>58.78</v>
      </c>
      <c r="I609" t="str">
        <f>"NORMALA BINTI ABDULLAH"</f>
        <v>NORMALA BINTI ABDULLAH</v>
      </c>
      <c r="J609" t="str">
        <f t="shared" si="263"/>
        <v>BANK ISLAM BHD</v>
      </c>
      <c r="K609" t="str">
        <f>"14032020148186"</f>
        <v>14032020148186</v>
      </c>
      <c r="L609" t="str">
        <f t="shared" si="265"/>
        <v>04-08-2020</v>
      </c>
      <c r="M609" t="str">
        <f t="shared" si="265"/>
        <v>04-08-2020</v>
      </c>
      <c r="N609" t="str">
        <f t="shared" si="251"/>
        <v>001105018356</v>
      </c>
      <c r="O609" t="str">
        <f t="shared" si="252"/>
        <v>MYR</v>
      </c>
      <c r="P609" t="str">
        <f t="shared" si="266"/>
        <v>NIL</v>
      </c>
      <c r="Q609" t="str">
        <f t="shared" si="266"/>
        <v>NIL</v>
      </c>
      <c r="R609" t="str">
        <f t="shared" si="253"/>
        <v>Accepted</v>
      </c>
      <c r="S609" t="str">
        <f t="shared" si="254"/>
        <v>Approved</v>
      </c>
      <c r="T609" t="str">
        <f t="shared" si="255"/>
        <v>10.20.8.188</v>
      </c>
      <c r="U609" t="str">
        <f t="shared" si="256"/>
        <v>AZRAD UMAR BIN SHAARI</v>
      </c>
      <c r="V609" t="str">
        <f t="shared" si="257"/>
        <v>FARHANA BINTI MUSTAPA</v>
      </c>
      <c r="W609" t="str">
        <f t="shared" si="258"/>
        <v>04-08-2020</v>
      </c>
      <c r="X609" t="str">
        <f t="shared" si="259"/>
        <v>RAZIMAH ANSAR AHMAD</v>
      </c>
      <c r="Y609" t="str">
        <f t="shared" si="260"/>
        <v>04-08-2020</v>
      </c>
      <c r="Z609" t="str">
        <f>"IDSB19200804 43"</f>
        <v>IDSB19200804 43</v>
      </c>
    </row>
    <row r="610" spans="1:26" x14ac:dyDescent="0.25">
      <c r="A610" t="str">
        <f t="shared" si="246"/>
        <v>04-08-2020 01:20:32</v>
      </c>
      <c r="B610" t="str">
        <f>"0000810353"</f>
        <v>0000810353</v>
      </c>
      <c r="C610" t="str">
        <f t="shared" si="247"/>
        <v>0000810311</v>
      </c>
      <c r="D610" t="str">
        <f t="shared" si="248"/>
        <v>73185</v>
      </c>
      <c r="E610" t="str">
        <f t="shared" si="249"/>
        <v>KFH-OPERATIONS DEPARTMENT</v>
      </c>
      <c r="F610" t="str">
        <f t="shared" si="250"/>
        <v>IBG</v>
      </c>
      <c r="G610" t="str">
        <f t="shared" si="264"/>
        <v>Refund IDSB 19</v>
      </c>
      <c r="H610" s="2">
        <v>813</v>
      </c>
      <c r="I610" t="str">
        <f>"NORHAYATI BINTI MADIKON"</f>
        <v>NORHAYATI BINTI MADIKON</v>
      </c>
      <c r="J610" t="str">
        <f t="shared" si="263"/>
        <v>BANK ISLAM BHD</v>
      </c>
      <c r="K610" t="str">
        <f>"12122020331250"</f>
        <v>12122020331250</v>
      </c>
      <c r="L610" t="str">
        <f t="shared" si="265"/>
        <v>04-08-2020</v>
      </c>
      <c r="M610" t="str">
        <f t="shared" si="265"/>
        <v>04-08-2020</v>
      </c>
      <c r="N610" t="str">
        <f t="shared" si="251"/>
        <v>001105018356</v>
      </c>
      <c r="O610" t="str">
        <f t="shared" si="252"/>
        <v>MYR</v>
      </c>
      <c r="P610" t="str">
        <f t="shared" si="266"/>
        <v>NIL</v>
      </c>
      <c r="Q610" t="str">
        <f t="shared" si="266"/>
        <v>NIL</v>
      </c>
      <c r="R610" t="str">
        <f t="shared" si="253"/>
        <v>Accepted</v>
      </c>
      <c r="S610" t="str">
        <f t="shared" si="254"/>
        <v>Approved</v>
      </c>
      <c r="T610" t="str">
        <f t="shared" si="255"/>
        <v>10.20.8.188</v>
      </c>
      <c r="U610" t="str">
        <f t="shared" si="256"/>
        <v>AZRAD UMAR BIN SHAARI</v>
      </c>
      <c r="V610" t="str">
        <f t="shared" si="257"/>
        <v>FARHANA BINTI MUSTAPA</v>
      </c>
      <c r="W610" t="str">
        <f t="shared" si="258"/>
        <v>04-08-2020</v>
      </c>
      <c r="X610" t="str">
        <f t="shared" si="259"/>
        <v>RAZIMAH ANSAR AHMAD</v>
      </c>
      <c r="Y610" t="str">
        <f t="shared" si="260"/>
        <v>04-08-2020</v>
      </c>
      <c r="Z610" t="str">
        <f>"IDSB19200804 42"</f>
        <v>IDSB19200804 42</v>
      </c>
    </row>
    <row r="611" spans="1:26" x14ac:dyDescent="0.25">
      <c r="A611" t="str">
        <f t="shared" si="246"/>
        <v>04-08-2020 01:20:32</v>
      </c>
      <c r="B611" t="str">
        <f>"0000810352"</f>
        <v>0000810352</v>
      </c>
      <c r="C611" t="str">
        <f t="shared" si="247"/>
        <v>0000810311</v>
      </c>
      <c r="D611" t="str">
        <f t="shared" si="248"/>
        <v>73185</v>
      </c>
      <c r="E611" t="str">
        <f t="shared" si="249"/>
        <v>KFH-OPERATIONS DEPARTMENT</v>
      </c>
      <c r="F611" t="str">
        <f t="shared" si="250"/>
        <v>IBG</v>
      </c>
      <c r="G611" t="str">
        <f t="shared" si="264"/>
        <v>Refund IDSB 19</v>
      </c>
      <c r="H611" s="2">
        <v>981.86</v>
      </c>
      <c r="I611" t="str">
        <f>"NORHAYATI BINTI ISHAK"</f>
        <v>NORHAYATI BINTI ISHAK</v>
      </c>
      <c r="J611" t="str">
        <f t="shared" si="263"/>
        <v>BANK ISLAM BHD</v>
      </c>
      <c r="K611" t="str">
        <f>"14041020834621"</f>
        <v>14041020834621</v>
      </c>
      <c r="L611" t="str">
        <f t="shared" si="265"/>
        <v>04-08-2020</v>
      </c>
      <c r="M611" t="str">
        <f t="shared" si="265"/>
        <v>04-08-2020</v>
      </c>
      <c r="N611" t="str">
        <f t="shared" si="251"/>
        <v>001105018356</v>
      </c>
      <c r="O611" t="str">
        <f t="shared" si="252"/>
        <v>MYR</v>
      </c>
      <c r="P611" t="str">
        <f t="shared" si="266"/>
        <v>NIL</v>
      </c>
      <c r="Q611" t="str">
        <f t="shared" si="266"/>
        <v>NIL</v>
      </c>
      <c r="R611" t="str">
        <f t="shared" si="253"/>
        <v>Accepted</v>
      </c>
      <c r="S611" t="str">
        <f t="shared" si="254"/>
        <v>Approved</v>
      </c>
      <c r="T611" t="str">
        <f t="shared" si="255"/>
        <v>10.20.8.188</v>
      </c>
      <c r="U611" t="str">
        <f t="shared" si="256"/>
        <v>AZRAD UMAR BIN SHAARI</v>
      </c>
      <c r="V611" t="str">
        <f t="shared" si="257"/>
        <v>FARHANA BINTI MUSTAPA</v>
      </c>
      <c r="W611" t="str">
        <f t="shared" si="258"/>
        <v>04-08-2020</v>
      </c>
      <c r="X611" t="str">
        <f t="shared" si="259"/>
        <v>RAZIMAH ANSAR AHMAD</v>
      </c>
      <c r="Y611" t="str">
        <f t="shared" si="260"/>
        <v>04-08-2020</v>
      </c>
      <c r="Z611" t="str">
        <f>"IDSB19200804 41"</f>
        <v>IDSB19200804 41</v>
      </c>
    </row>
    <row r="612" spans="1:26" x14ac:dyDescent="0.25">
      <c r="A612" t="str">
        <f t="shared" ref="A612:A643" si="267">"04-08-2020 01:20:32"</f>
        <v>04-08-2020 01:20:32</v>
      </c>
      <c r="B612" t="str">
        <f>"0000810351"</f>
        <v>0000810351</v>
      </c>
      <c r="C612" t="str">
        <f t="shared" ref="C612:C643" si="268">"0000810311"</f>
        <v>0000810311</v>
      </c>
      <c r="D612" t="str">
        <f t="shared" si="248"/>
        <v>73185</v>
      </c>
      <c r="E612" t="str">
        <f t="shared" si="249"/>
        <v>KFH-OPERATIONS DEPARTMENT</v>
      </c>
      <c r="F612" t="str">
        <f t="shared" si="250"/>
        <v>IBG</v>
      </c>
      <c r="G612" t="str">
        <f t="shared" si="264"/>
        <v>Refund IDSB 19</v>
      </c>
      <c r="H612" s="2">
        <v>167.83</v>
      </c>
      <c r="I612" t="str">
        <f>"NORHANA AZLIN BINTI AB HAMID"</f>
        <v>NORHANA AZLIN BINTI AB HAMID</v>
      </c>
      <c r="J612" t="str">
        <f t="shared" si="263"/>
        <v>BANK ISLAM BHD</v>
      </c>
      <c r="K612" t="str">
        <f>"12029020456104"</f>
        <v>12029020456104</v>
      </c>
      <c r="L612" t="str">
        <f t="shared" si="265"/>
        <v>04-08-2020</v>
      </c>
      <c r="M612" t="str">
        <f t="shared" si="265"/>
        <v>04-08-2020</v>
      </c>
      <c r="N612" t="str">
        <f t="shared" si="251"/>
        <v>001105018356</v>
      </c>
      <c r="O612" t="str">
        <f t="shared" si="252"/>
        <v>MYR</v>
      </c>
      <c r="P612" t="str">
        <f t="shared" si="266"/>
        <v>NIL</v>
      </c>
      <c r="Q612" t="str">
        <f t="shared" si="266"/>
        <v>NIL</v>
      </c>
      <c r="R612" t="str">
        <f t="shared" si="253"/>
        <v>Accepted</v>
      </c>
      <c r="S612" t="str">
        <f t="shared" si="254"/>
        <v>Approved</v>
      </c>
      <c r="T612" t="str">
        <f t="shared" si="255"/>
        <v>10.20.8.188</v>
      </c>
      <c r="U612" t="str">
        <f t="shared" si="256"/>
        <v>AZRAD UMAR BIN SHAARI</v>
      </c>
      <c r="V612" t="str">
        <f t="shared" si="257"/>
        <v>FARHANA BINTI MUSTAPA</v>
      </c>
      <c r="W612" t="str">
        <f t="shared" si="258"/>
        <v>04-08-2020</v>
      </c>
      <c r="X612" t="str">
        <f t="shared" si="259"/>
        <v>RAZIMAH ANSAR AHMAD</v>
      </c>
      <c r="Y612" t="str">
        <f t="shared" si="260"/>
        <v>04-08-2020</v>
      </c>
      <c r="Z612" t="str">
        <f>"IDSB19200804 40"</f>
        <v>IDSB19200804 40</v>
      </c>
    </row>
    <row r="613" spans="1:26" x14ac:dyDescent="0.25">
      <c r="A613" t="str">
        <f t="shared" si="267"/>
        <v>04-08-2020 01:20:32</v>
      </c>
      <c r="B613" t="str">
        <f>"0000810350"</f>
        <v>0000810350</v>
      </c>
      <c r="C613" t="str">
        <f t="shared" si="268"/>
        <v>0000810311</v>
      </c>
      <c r="D613" t="str">
        <f t="shared" si="248"/>
        <v>73185</v>
      </c>
      <c r="E613" t="str">
        <f t="shared" si="249"/>
        <v>KFH-OPERATIONS DEPARTMENT</v>
      </c>
      <c r="F613" t="str">
        <f t="shared" si="250"/>
        <v>IBG</v>
      </c>
      <c r="G613" t="str">
        <f t="shared" si="264"/>
        <v>Refund IDSB 19</v>
      </c>
      <c r="H613" s="2">
        <v>167.9</v>
      </c>
      <c r="I613" t="str">
        <f>"NORAFIZA BINTI SHAMSUDIN"</f>
        <v>NORAFIZA BINTI SHAMSUDIN</v>
      </c>
      <c r="J613" t="str">
        <f t="shared" si="263"/>
        <v>BANK ISLAM BHD</v>
      </c>
      <c r="K613" t="str">
        <f>"05012020462363"</f>
        <v>05012020462363</v>
      </c>
      <c r="L613" t="str">
        <f t="shared" si="265"/>
        <v>04-08-2020</v>
      </c>
      <c r="M613" t="str">
        <f t="shared" si="265"/>
        <v>04-08-2020</v>
      </c>
      <c r="N613" t="str">
        <f t="shared" si="251"/>
        <v>001105018356</v>
      </c>
      <c r="O613" t="str">
        <f t="shared" si="252"/>
        <v>MYR</v>
      </c>
      <c r="P613" t="str">
        <f t="shared" si="266"/>
        <v>NIL</v>
      </c>
      <c r="Q613" t="str">
        <f t="shared" si="266"/>
        <v>NIL</v>
      </c>
      <c r="R613" t="str">
        <f t="shared" si="253"/>
        <v>Accepted</v>
      </c>
      <c r="S613" t="str">
        <f t="shared" si="254"/>
        <v>Approved</v>
      </c>
      <c r="T613" t="str">
        <f t="shared" si="255"/>
        <v>10.20.8.188</v>
      </c>
      <c r="U613" t="str">
        <f t="shared" si="256"/>
        <v>AZRAD UMAR BIN SHAARI</v>
      </c>
      <c r="V613" t="str">
        <f t="shared" si="257"/>
        <v>FARHANA BINTI MUSTAPA</v>
      </c>
      <c r="W613" t="str">
        <f t="shared" si="258"/>
        <v>04-08-2020</v>
      </c>
      <c r="X613" t="str">
        <f t="shared" si="259"/>
        <v>RAZIMAH ANSAR AHMAD</v>
      </c>
      <c r="Y613" t="str">
        <f t="shared" si="260"/>
        <v>04-08-2020</v>
      </c>
      <c r="Z613" t="str">
        <f>"IDSB19200804 39"</f>
        <v>IDSB19200804 39</v>
      </c>
    </row>
    <row r="614" spans="1:26" x14ac:dyDescent="0.25">
      <c r="A614" t="str">
        <f t="shared" si="267"/>
        <v>04-08-2020 01:20:32</v>
      </c>
      <c r="B614" t="str">
        <f>"0000810349"</f>
        <v>0000810349</v>
      </c>
      <c r="C614" t="str">
        <f t="shared" si="268"/>
        <v>0000810311</v>
      </c>
      <c r="D614" t="str">
        <f t="shared" si="248"/>
        <v>73185</v>
      </c>
      <c r="E614" t="str">
        <f t="shared" si="249"/>
        <v>KFH-OPERATIONS DEPARTMENT</v>
      </c>
      <c r="F614" t="str">
        <f t="shared" si="250"/>
        <v>IBG</v>
      </c>
      <c r="G614" t="str">
        <f t="shared" si="264"/>
        <v>Refund IDSB 19</v>
      </c>
      <c r="H614" s="2">
        <v>190.55</v>
      </c>
      <c r="I614" t="str">
        <f>"NOR SHASHELA BINTI SALLEH"</f>
        <v>NOR SHASHELA BINTI SALLEH</v>
      </c>
      <c r="J614" t="str">
        <f t="shared" si="263"/>
        <v>BANK ISLAM BHD</v>
      </c>
      <c r="K614" t="str">
        <f>"02093020580687"</f>
        <v>02093020580687</v>
      </c>
      <c r="L614" t="str">
        <f t="shared" si="265"/>
        <v>04-08-2020</v>
      </c>
      <c r="M614" t="str">
        <f t="shared" si="265"/>
        <v>04-08-2020</v>
      </c>
      <c r="N614" t="str">
        <f t="shared" si="251"/>
        <v>001105018356</v>
      </c>
      <c r="O614" t="str">
        <f t="shared" si="252"/>
        <v>MYR</v>
      </c>
      <c r="P614" t="str">
        <f t="shared" si="266"/>
        <v>NIL</v>
      </c>
      <c r="Q614" t="str">
        <f t="shared" si="266"/>
        <v>NIL</v>
      </c>
      <c r="R614" t="str">
        <f t="shared" si="253"/>
        <v>Accepted</v>
      </c>
      <c r="S614" t="str">
        <f t="shared" si="254"/>
        <v>Approved</v>
      </c>
      <c r="T614" t="str">
        <f t="shared" si="255"/>
        <v>10.20.8.188</v>
      </c>
      <c r="U614" t="str">
        <f t="shared" si="256"/>
        <v>AZRAD UMAR BIN SHAARI</v>
      </c>
      <c r="V614" t="str">
        <f t="shared" si="257"/>
        <v>FARHANA BINTI MUSTAPA</v>
      </c>
      <c r="W614" t="str">
        <f t="shared" si="258"/>
        <v>04-08-2020</v>
      </c>
      <c r="X614" t="str">
        <f t="shared" si="259"/>
        <v>RAZIMAH ANSAR AHMAD</v>
      </c>
      <c r="Y614" t="str">
        <f t="shared" si="260"/>
        <v>04-08-2020</v>
      </c>
      <c r="Z614" t="str">
        <f>"IDSB19200804 38"</f>
        <v>IDSB19200804 38</v>
      </c>
    </row>
    <row r="615" spans="1:26" x14ac:dyDescent="0.25">
      <c r="A615" t="str">
        <f t="shared" si="267"/>
        <v>04-08-2020 01:20:32</v>
      </c>
      <c r="B615" t="str">
        <f>"0000810348"</f>
        <v>0000810348</v>
      </c>
      <c r="C615" t="str">
        <f t="shared" si="268"/>
        <v>0000810311</v>
      </c>
      <c r="D615" t="str">
        <f t="shared" si="248"/>
        <v>73185</v>
      </c>
      <c r="E615" t="str">
        <f t="shared" si="249"/>
        <v>KFH-OPERATIONS DEPARTMENT</v>
      </c>
      <c r="F615" t="str">
        <f t="shared" si="250"/>
        <v>IBG</v>
      </c>
      <c r="G615" t="str">
        <f t="shared" si="264"/>
        <v>Refund IDSB 19</v>
      </c>
      <c r="H615" s="2">
        <v>1007.4</v>
      </c>
      <c r="I615" t="str">
        <f>"NIK MUHAMMAD FAIZ BIN MOHAMED NOOR"</f>
        <v>NIK MUHAMMAD FAIZ BIN MOHAMED NOOR</v>
      </c>
      <c r="J615" t="str">
        <f t="shared" si="263"/>
        <v>BANK ISLAM BHD</v>
      </c>
      <c r="K615" t="str">
        <f>"03036020200004"</f>
        <v>03036020200004</v>
      </c>
      <c r="L615" t="str">
        <f t="shared" si="265"/>
        <v>04-08-2020</v>
      </c>
      <c r="M615" t="str">
        <f t="shared" si="265"/>
        <v>04-08-2020</v>
      </c>
      <c r="N615" t="str">
        <f t="shared" si="251"/>
        <v>001105018356</v>
      </c>
      <c r="O615" t="str">
        <f t="shared" si="252"/>
        <v>MYR</v>
      </c>
      <c r="P615" t="str">
        <f t="shared" si="266"/>
        <v>NIL</v>
      </c>
      <c r="Q615" t="str">
        <f t="shared" si="266"/>
        <v>NIL</v>
      </c>
      <c r="R615" t="str">
        <f t="shared" si="253"/>
        <v>Accepted</v>
      </c>
      <c r="S615" t="str">
        <f t="shared" si="254"/>
        <v>Approved</v>
      </c>
      <c r="T615" t="str">
        <f t="shared" si="255"/>
        <v>10.20.8.188</v>
      </c>
      <c r="U615" t="str">
        <f t="shared" si="256"/>
        <v>AZRAD UMAR BIN SHAARI</v>
      </c>
      <c r="V615" t="str">
        <f t="shared" si="257"/>
        <v>FARHANA BINTI MUSTAPA</v>
      </c>
      <c r="W615" t="str">
        <f t="shared" si="258"/>
        <v>04-08-2020</v>
      </c>
      <c r="X615" t="str">
        <f t="shared" si="259"/>
        <v>RAZIMAH ANSAR AHMAD</v>
      </c>
      <c r="Y615" t="str">
        <f t="shared" si="260"/>
        <v>04-08-2020</v>
      </c>
      <c r="Z615" t="str">
        <f>"IDSB19200804 37"</f>
        <v>IDSB19200804 37</v>
      </c>
    </row>
    <row r="616" spans="1:26" x14ac:dyDescent="0.25">
      <c r="A616" t="str">
        <f t="shared" si="267"/>
        <v>04-08-2020 01:20:32</v>
      </c>
      <c r="B616" t="str">
        <f>"0000810347"</f>
        <v>0000810347</v>
      </c>
      <c r="C616" t="str">
        <f t="shared" si="268"/>
        <v>0000810311</v>
      </c>
      <c r="D616" t="str">
        <f t="shared" si="248"/>
        <v>73185</v>
      </c>
      <c r="E616" t="str">
        <f t="shared" si="249"/>
        <v>KFH-OPERATIONS DEPARTMENT</v>
      </c>
      <c r="F616" t="str">
        <f t="shared" si="250"/>
        <v>IBG</v>
      </c>
      <c r="G616" t="str">
        <f t="shared" si="264"/>
        <v>Refund IDSB 19</v>
      </c>
      <c r="H616" s="2">
        <v>365</v>
      </c>
      <c r="I616" t="str">
        <f>"NAZRI BIN ABU BAKAR"</f>
        <v>NAZRI BIN ABU BAKAR</v>
      </c>
      <c r="J616" t="str">
        <f t="shared" si="263"/>
        <v>BANK ISLAM BHD</v>
      </c>
      <c r="K616" t="str">
        <f>"02011020598279"</f>
        <v>02011020598279</v>
      </c>
      <c r="L616" t="str">
        <f t="shared" si="265"/>
        <v>04-08-2020</v>
      </c>
      <c r="M616" t="str">
        <f t="shared" si="265"/>
        <v>04-08-2020</v>
      </c>
      <c r="N616" t="str">
        <f t="shared" si="251"/>
        <v>001105018356</v>
      </c>
      <c r="O616" t="str">
        <f t="shared" si="252"/>
        <v>MYR</v>
      </c>
      <c r="P616" t="str">
        <f t="shared" si="266"/>
        <v>NIL</v>
      </c>
      <c r="Q616" t="str">
        <f t="shared" si="266"/>
        <v>NIL</v>
      </c>
      <c r="R616" t="str">
        <f t="shared" si="253"/>
        <v>Accepted</v>
      </c>
      <c r="S616" t="str">
        <f t="shared" si="254"/>
        <v>Approved</v>
      </c>
      <c r="T616" t="str">
        <f t="shared" si="255"/>
        <v>10.20.8.188</v>
      </c>
      <c r="U616" t="str">
        <f t="shared" si="256"/>
        <v>AZRAD UMAR BIN SHAARI</v>
      </c>
      <c r="V616" t="str">
        <f t="shared" si="257"/>
        <v>FARHANA BINTI MUSTAPA</v>
      </c>
      <c r="W616" t="str">
        <f t="shared" si="258"/>
        <v>04-08-2020</v>
      </c>
      <c r="X616" t="str">
        <f t="shared" si="259"/>
        <v>RAZIMAH ANSAR AHMAD</v>
      </c>
      <c r="Y616" t="str">
        <f t="shared" si="260"/>
        <v>04-08-2020</v>
      </c>
      <c r="Z616" t="str">
        <f>"IDSB19200804 36"</f>
        <v>IDSB19200804 36</v>
      </c>
    </row>
    <row r="617" spans="1:26" x14ac:dyDescent="0.25">
      <c r="A617" t="str">
        <f t="shared" si="267"/>
        <v>04-08-2020 01:20:32</v>
      </c>
      <c r="B617" t="str">
        <f>"0000810346"</f>
        <v>0000810346</v>
      </c>
      <c r="C617" t="str">
        <f t="shared" si="268"/>
        <v>0000810311</v>
      </c>
      <c r="D617" t="str">
        <f t="shared" si="248"/>
        <v>73185</v>
      </c>
      <c r="E617" t="str">
        <f t="shared" si="249"/>
        <v>KFH-OPERATIONS DEPARTMENT</v>
      </c>
      <c r="F617" t="str">
        <f t="shared" si="250"/>
        <v>IBG</v>
      </c>
      <c r="G617" t="str">
        <f t="shared" si="264"/>
        <v>Refund IDSB 19</v>
      </c>
      <c r="H617" s="2">
        <v>839.16</v>
      </c>
      <c r="I617" t="str">
        <f>"MUHD AMIN BIN MOHAMED NOOR"</f>
        <v>MUHD AMIN BIN MOHAMED NOOR</v>
      </c>
      <c r="J617" t="str">
        <f t="shared" si="263"/>
        <v>BANK ISLAM BHD</v>
      </c>
      <c r="K617" t="str">
        <f>"12122020101805"</f>
        <v>12122020101805</v>
      </c>
      <c r="L617" t="str">
        <f t="shared" si="265"/>
        <v>04-08-2020</v>
      </c>
      <c r="M617" t="str">
        <f t="shared" si="265"/>
        <v>04-08-2020</v>
      </c>
      <c r="N617" t="str">
        <f t="shared" si="251"/>
        <v>001105018356</v>
      </c>
      <c r="O617" t="str">
        <f t="shared" si="252"/>
        <v>MYR</v>
      </c>
      <c r="P617" t="str">
        <f t="shared" si="266"/>
        <v>NIL</v>
      </c>
      <c r="Q617" t="str">
        <f t="shared" si="266"/>
        <v>NIL</v>
      </c>
      <c r="R617" t="str">
        <f t="shared" si="253"/>
        <v>Accepted</v>
      </c>
      <c r="S617" t="str">
        <f t="shared" si="254"/>
        <v>Approved</v>
      </c>
      <c r="T617" t="str">
        <f t="shared" si="255"/>
        <v>10.20.8.188</v>
      </c>
      <c r="U617" t="str">
        <f t="shared" si="256"/>
        <v>AZRAD UMAR BIN SHAARI</v>
      </c>
      <c r="V617" t="str">
        <f t="shared" si="257"/>
        <v>FARHANA BINTI MUSTAPA</v>
      </c>
      <c r="W617" t="str">
        <f t="shared" si="258"/>
        <v>04-08-2020</v>
      </c>
      <c r="X617" t="str">
        <f t="shared" si="259"/>
        <v>RAZIMAH ANSAR AHMAD</v>
      </c>
      <c r="Y617" t="str">
        <f t="shared" si="260"/>
        <v>04-08-2020</v>
      </c>
      <c r="Z617" t="str">
        <f>"IDSB19200804 35"</f>
        <v>IDSB19200804 35</v>
      </c>
    </row>
    <row r="618" spans="1:26" x14ac:dyDescent="0.25">
      <c r="A618" t="str">
        <f t="shared" si="267"/>
        <v>04-08-2020 01:20:32</v>
      </c>
      <c r="B618" t="str">
        <f>"0000810345"</f>
        <v>0000810345</v>
      </c>
      <c r="C618" t="str">
        <f t="shared" si="268"/>
        <v>0000810311</v>
      </c>
      <c r="D618" t="str">
        <f t="shared" si="248"/>
        <v>73185</v>
      </c>
      <c r="E618" t="str">
        <f t="shared" si="249"/>
        <v>KFH-OPERATIONS DEPARTMENT</v>
      </c>
      <c r="F618" t="str">
        <f t="shared" si="250"/>
        <v>IBG</v>
      </c>
      <c r="G618" t="str">
        <f t="shared" si="264"/>
        <v>Refund IDSB 19</v>
      </c>
      <c r="H618" s="2">
        <v>327.39999999999998</v>
      </c>
      <c r="I618" t="str">
        <f>"MOHD ZAFFUR AZAHAR BIN NAZRI"</f>
        <v>MOHD ZAFFUR AZAHAR BIN NAZRI</v>
      </c>
      <c r="J618" t="str">
        <f t="shared" si="263"/>
        <v>BANK ISLAM BHD</v>
      </c>
      <c r="K618" t="str">
        <f>"12038023125420"</f>
        <v>12038023125420</v>
      </c>
      <c r="L618" t="str">
        <f t="shared" si="265"/>
        <v>04-08-2020</v>
      </c>
      <c r="M618" t="str">
        <f t="shared" si="265"/>
        <v>04-08-2020</v>
      </c>
      <c r="N618" t="str">
        <f t="shared" si="251"/>
        <v>001105018356</v>
      </c>
      <c r="O618" t="str">
        <f t="shared" si="252"/>
        <v>MYR</v>
      </c>
      <c r="P618" t="str">
        <f t="shared" si="266"/>
        <v>NIL</v>
      </c>
      <c r="Q618" t="str">
        <f t="shared" si="266"/>
        <v>NIL</v>
      </c>
      <c r="R618" t="str">
        <f t="shared" si="253"/>
        <v>Accepted</v>
      </c>
      <c r="S618" t="str">
        <f t="shared" si="254"/>
        <v>Approved</v>
      </c>
      <c r="T618" t="str">
        <f t="shared" si="255"/>
        <v>10.20.8.188</v>
      </c>
      <c r="U618" t="str">
        <f t="shared" si="256"/>
        <v>AZRAD UMAR BIN SHAARI</v>
      </c>
      <c r="V618" t="str">
        <f t="shared" si="257"/>
        <v>FARHANA BINTI MUSTAPA</v>
      </c>
      <c r="W618" t="str">
        <f t="shared" si="258"/>
        <v>04-08-2020</v>
      </c>
      <c r="X618" t="str">
        <f t="shared" si="259"/>
        <v>RAZIMAH ANSAR AHMAD</v>
      </c>
      <c r="Y618" t="str">
        <f t="shared" si="260"/>
        <v>04-08-2020</v>
      </c>
      <c r="Z618" t="str">
        <f>"IDSB19200804 34"</f>
        <v>IDSB19200804 34</v>
      </c>
    </row>
    <row r="619" spans="1:26" x14ac:dyDescent="0.25">
      <c r="A619" t="str">
        <f t="shared" si="267"/>
        <v>04-08-2020 01:20:32</v>
      </c>
      <c r="B619" t="str">
        <f>"0000810344"</f>
        <v>0000810344</v>
      </c>
      <c r="C619" t="str">
        <f t="shared" si="268"/>
        <v>0000810311</v>
      </c>
      <c r="D619" t="str">
        <f t="shared" si="248"/>
        <v>73185</v>
      </c>
      <c r="E619" t="str">
        <f t="shared" si="249"/>
        <v>KFH-OPERATIONS DEPARTMENT</v>
      </c>
      <c r="F619" t="str">
        <f t="shared" si="250"/>
        <v>IBG</v>
      </c>
      <c r="G619" t="str">
        <f t="shared" si="264"/>
        <v>Refund IDSB 19</v>
      </c>
      <c r="H619" s="2">
        <v>763.65</v>
      </c>
      <c r="I619" t="str">
        <f>"MOHD YUSOF BIN ABU"</f>
        <v>MOHD YUSOF BIN ABU</v>
      </c>
      <c r="J619" t="str">
        <f t="shared" si="263"/>
        <v>BANK ISLAM BHD</v>
      </c>
      <c r="K619" t="str">
        <f>"12177020094781"</f>
        <v>12177020094781</v>
      </c>
      <c r="L619" t="str">
        <f t="shared" si="265"/>
        <v>04-08-2020</v>
      </c>
      <c r="M619" t="str">
        <f t="shared" si="265"/>
        <v>04-08-2020</v>
      </c>
      <c r="N619" t="str">
        <f t="shared" si="251"/>
        <v>001105018356</v>
      </c>
      <c r="O619" t="str">
        <f t="shared" si="252"/>
        <v>MYR</v>
      </c>
      <c r="P619" t="str">
        <f t="shared" si="266"/>
        <v>NIL</v>
      </c>
      <c r="Q619" t="str">
        <f t="shared" si="266"/>
        <v>NIL</v>
      </c>
      <c r="R619" t="str">
        <f t="shared" si="253"/>
        <v>Accepted</v>
      </c>
      <c r="S619" t="str">
        <f t="shared" si="254"/>
        <v>Approved</v>
      </c>
      <c r="T619" t="str">
        <f t="shared" si="255"/>
        <v>10.20.8.188</v>
      </c>
      <c r="U619" t="str">
        <f t="shared" si="256"/>
        <v>AZRAD UMAR BIN SHAARI</v>
      </c>
      <c r="V619" t="str">
        <f t="shared" si="257"/>
        <v>FARHANA BINTI MUSTAPA</v>
      </c>
      <c r="W619" t="str">
        <f t="shared" si="258"/>
        <v>04-08-2020</v>
      </c>
      <c r="X619" t="str">
        <f t="shared" si="259"/>
        <v>RAZIMAH ANSAR AHMAD</v>
      </c>
      <c r="Y619" t="str">
        <f t="shared" si="260"/>
        <v>04-08-2020</v>
      </c>
      <c r="Z619" t="str">
        <f>"IDSB19200804 33"</f>
        <v>IDSB19200804 33</v>
      </c>
    </row>
    <row r="620" spans="1:26" x14ac:dyDescent="0.25">
      <c r="A620" t="str">
        <f t="shared" si="267"/>
        <v>04-08-2020 01:20:32</v>
      </c>
      <c r="B620" t="str">
        <f>"0000810343"</f>
        <v>0000810343</v>
      </c>
      <c r="C620" t="str">
        <f t="shared" si="268"/>
        <v>0000810311</v>
      </c>
      <c r="D620" t="str">
        <f t="shared" si="248"/>
        <v>73185</v>
      </c>
      <c r="E620" t="str">
        <f t="shared" si="249"/>
        <v>KFH-OPERATIONS DEPARTMENT</v>
      </c>
      <c r="F620" t="str">
        <f t="shared" si="250"/>
        <v>IBG</v>
      </c>
      <c r="G620" t="str">
        <f t="shared" si="264"/>
        <v>Refund IDSB 19</v>
      </c>
      <c r="H620" s="2">
        <v>494</v>
      </c>
      <c r="I620" t="str">
        <f>"MOHD YAZRIE BIN YACOB"</f>
        <v>MOHD YAZRIE BIN YACOB</v>
      </c>
      <c r="J620" t="str">
        <f t="shared" si="263"/>
        <v>BANK ISLAM BHD</v>
      </c>
      <c r="K620" t="str">
        <f>"01032020179292"</f>
        <v>01032020179292</v>
      </c>
      <c r="L620" t="str">
        <f t="shared" si="265"/>
        <v>04-08-2020</v>
      </c>
      <c r="M620" t="str">
        <f t="shared" si="265"/>
        <v>04-08-2020</v>
      </c>
      <c r="N620" t="str">
        <f t="shared" si="251"/>
        <v>001105018356</v>
      </c>
      <c r="O620" t="str">
        <f t="shared" si="252"/>
        <v>MYR</v>
      </c>
      <c r="P620" t="str">
        <f t="shared" si="266"/>
        <v>NIL</v>
      </c>
      <c r="Q620" t="str">
        <f t="shared" si="266"/>
        <v>NIL</v>
      </c>
      <c r="R620" t="str">
        <f t="shared" si="253"/>
        <v>Accepted</v>
      </c>
      <c r="S620" t="str">
        <f t="shared" si="254"/>
        <v>Approved</v>
      </c>
      <c r="T620" t="str">
        <f t="shared" si="255"/>
        <v>10.20.8.188</v>
      </c>
      <c r="U620" t="str">
        <f t="shared" si="256"/>
        <v>AZRAD UMAR BIN SHAARI</v>
      </c>
      <c r="V620" t="str">
        <f t="shared" si="257"/>
        <v>FARHANA BINTI MUSTAPA</v>
      </c>
      <c r="W620" t="str">
        <f t="shared" si="258"/>
        <v>04-08-2020</v>
      </c>
      <c r="X620" t="str">
        <f t="shared" si="259"/>
        <v>RAZIMAH ANSAR AHMAD</v>
      </c>
      <c r="Y620" t="str">
        <f t="shared" si="260"/>
        <v>04-08-2020</v>
      </c>
      <c r="Z620" t="str">
        <f>"IDSB19200804 32"</f>
        <v>IDSB19200804 32</v>
      </c>
    </row>
    <row r="621" spans="1:26" x14ac:dyDescent="0.25">
      <c r="A621" t="str">
        <f t="shared" si="267"/>
        <v>04-08-2020 01:20:32</v>
      </c>
      <c r="B621" t="str">
        <f>"0000810342"</f>
        <v>0000810342</v>
      </c>
      <c r="C621" t="str">
        <f t="shared" si="268"/>
        <v>0000810311</v>
      </c>
      <c r="D621" t="str">
        <f t="shared" si="248"/>
        <v>73185</v>
      </c>
      <c r="E621" t="str">
        <f t="shared" si="249"/>
        <v>KFH-OPERATIONS DEPARTMENT</v>
      </c>
      <c r="F621" t="str">
        <f t="shared" si="250"/>
        <v>IBG</v>
      </c>
      <c r="G621" t="str">
        <f t="shared" si="264"/>
        <v>Refund IDSB 19</v>
      </c>
      <c r="H621" s="2">
        <v>973.85</v>
      </c>
      <c r="I621" t="str">
        <f>"MOHD SYARAFI BIN ABDUL RAJAB"</f>
        <v>MOHD SYARAFI BIN ABDUL RAJAB</v>
      </c>
      <c r="J621" t="str">
        <f t="shared" si="263"/>
        <v>BANK ISLAM BHD</v>
      </c>
      <c r="K621" t="str">
        <f>"07052020004208"</f>
        <v>07052020004208</v>
      </c>
      <c r="L621" t="str">
        <f t="shared" si="265"/>
        <v>04-08-2020</v>
      </c>
      <c r="M621" t="str">
        <f t="shared" si="265"/>
        <v>04-08-2020</v>
      </c>
      <c r="N621" t="str">
        <f t="shared" si="251"/>
        <v>001105018356</v>
      </c>
      <c r="O621" t="str">
        <f t="shared" si="252"/>
        <v>MYR</v>
      </c>
      <c r="P621" t="str">
        <f t="shared" si="266"/>
        <v>NIL</v>
      </c>
      <c r="Q621" t="str">
        <f t="shared" si="266"/>
        <v>NIL</v>
      </c>
      <c r="R621" t="str">
        <f t="shared" si="253"/>
        <v>Accepted</v>
      </c>
      <c r="S621" t="str">
        <f t="shared" si="254"/>
        <v>Approved</v>
      </c>
      <c r="T621" t="str">
        <f t="shared" si="255"/>
        <v>10.20.8.188</v>
      </c>
      <c r="U621" t="str">
        <f t="shared" si="256"/>
        <v>AZRAD UMAR BIN SHAARI</v>
      </c>
      <c r="V621" t="str">
        <f t="shared" si="257"/>
        <v>FARHANA BINTI MUSTAPA</v>
      </c>
      <c r="W621" t="str">
        <f t="shared" si="258"/>
        <v>04-08-2020</v>
      </c>
      <c r="X621" t="str">
        <f t="shared" si="259"/>
        <v>RAZIMAH ANSAR AHMAD</v>
      </c>
      <c r="Y621" t="str">
        <f t="shared" si="260"/>
        <v>04-08-2020</v>
      </c>
      <c r="Z621" t="str">
        <f>"IDSB19200804 31"</f>
        <v>IDSB19200804 31</v>
      </c>
    </row>
    <row r="622" spans="1:26" x14ac:dyDescent="0.25">
      <c r="A622" t="str">
        <f t="shared" si="267"/>
        <v>04-08-2020 01:20:32</v>
      </c>
      <c r="B622" t="str">
        <f>"0000810341"</f>
        <v>0000810341</v>
      </c>
      <c r="C622" t="str">
        <f t="shared" si="268"/>
        <v>0000810311</v>
      </c>
      <c r="D622" t="str">
        <f t="shared" si="248"/>
        <v>73185</v>
      </c>
      <c r="E622" t="str">
        <f t="shared" si="249"/>
        <v>KFH-OPERATIONS DEPARTMENT</v>
      </c>
      <c r="F622" t="str">
        <f t="shared" si="250"/>
        <v>IBG</v>
      </c>
      <c r="G622" t="str">
        <f t="shared" si="264"/>
        <v>Refund IDSB 19</v>
      </c>
      <c r="H622" s="2">
        <v>243</v>
      </c>
      <c r="I622" t="str">
        <f>"MOHD KHAIRUL BIN MOHAMAD SALLEH"</f>
        <v>MOHD KHAIRUL BIN MOHAMAD SALLEH</v>
      </c>
      <c r="J622" t="str">
        <f t="shared" si="263"/>
        <v>BANK ISLAM BHD</v>
      </c>
      <c r="K622" t="str">
        <f>"12038025201032"</f>
        <v>12038025201032</v>
      </c>
      <c r="L622" t="str">
        <f t="shared" si="265"/>
        <v>04-08-2020</v>
      </c>
      <c r="M622" t="str">
        <f t="shared" si="265"/>
        <v>04-08-2020</v>
      </c>
      <c r="N622" t="str">
        <f t="shared" si="251"/>
        <v>001105018356</v>
      </c>
      <c r="O622" t="str">
        <f t="shared" si="252"/>
        <v>MYR</v>
      </c>
      <c r="P622" t="str">
        <f t="shared" si="266"/>
        <v>NIL</v>
      </c>
      <c r="Q622" t="str">
        <f t="shared" si="266"/>
        <v>NIL</v>
      </c>
      <c r="R622" t="str">
        <f t="shared" si="253"/>
        <v>Accepted</v>
      </c>
      <c r="S622" t="str">
        <f t="shared" si="254"/>
        <v>Approved</v>
      </c>
      <c r="T622" t="str">
        <f t="shared" si="255"/>
        <v>10.20.8.188</v>
      </c>
      <c r="U622" t="str">
        <f t="shared" si="256"/>
        <v>AZRAD UMAR BIN SHAARI</v>
      </c>
      <c r="V622" t="str">
        <f t="shared" si="257"/>
        <v>FARHANA BINTI MUSTAPA</v>
      </c>
      <c r="W622" t="str">
        <f t="shared" si="258"/>
        <v>04-08-2020</v>
      </c>
      <c r="X622" t="str">
        <f t="shared" si="259"/>
        <v>RAZIMAH ANSAR AHMAD</v>
      </c>
      <c r="Y622" t="str">
        <f t="shared" si="260"/>
        <v>04-08-2020</v>
      </c>
      <c r="Z622" t="str">
        <f>"IDSB19200804 30"</f>
        <v>IDSB19200804 30</v>
      </c>
    </row>
    <row r="623" spans="1:26" x14ac:dyDescent="0.25">
      <c r="A623" t="str">
        <f t="shared" si="267"/>
        <v>04-08-2020 01:20:32</v>
      </c>
      <c r="B623" t="str">
        <f>"0000810340"</f>
        <v>0000810340</v>
      </c>
      <c r="C623" t="str">
        <f t="shared" si="268"/>
        <v>0000810311</v>
      </c>
      <c r="D623" t="str">
        <f t="shared" si="248"/>
        <v>73185</v>
      </c>
      <c r="E623" t="str">
        <f t="shared" si="249"/>
        <v>KFH-OPERATIONS DEPARTMENT</v>
      </c>
      <c r="F623" t="str">
        <f t="shared" si="250"/>
        <v>IBG</v>
      </c>
      <c r="G623" t="str">
        <f t="shared" si="264"/>
        <v>Refund IDSB 19</v>
      </c>
      <c r="H623" s="2">
        <v>671.33</v>
      </c>
      <c r="I623" t="str">
        <f>"MOHD KHAIRUL BIN ISMAIL"</f>
        <v>MOHD KHAIRUL BIN ISMAIL</v>
      </c>
      <c r="J623" t="str">
        <f t="shared" si="263"/>
        <v>BANK ISLAM BHD</v>
      </c>
      <c r="K623" t="str">
        <f>"04042021467763"</f>
        <v>04042021467763</v>
      </c>
      <c r="L623" t="str">
        <f t="shared" si="265"/>
        <v>04-08-2020</v>
      </c>
      <c r="M623" t="str">
        <f t="shared" si="265"/>
        <v>04-08-2020</v>
      </c>
      <c r="N623" t="str">
        <f t="shared" si="251"/>
        <v>001105018356</v>
      </c>
      <c r="O623" t="str">
        <f t="shared" si="252"/>
        <v>MYR</v>
      </c>
      <c r="P623" t="str">
        <f t="shared" si="266"/>
        <v>NIL</v>
      </c>
      <c r="Q623" t="str">
        <f t="shared" si="266"/>
        <v>NIL</v>
      </c>
      <c r="R623" t="str">
        <f t="shared" si="253"/>
        <v>Accepted</v>
      </c>
      <c r="S623" t="str">
        <f t="shared" si="254"/>
        <v>Approved</v>
      </c>
      <c r="T623" t="str">
        <f t="shared" si="255"/>
        <v>10.20.8.188</v>
      </c>
      <c r="U623" t="str">
        <f t="shared" si="256"/>
        <v>AZRAD UMAR BIN SHAARI</v>
      </c>
      <c r="V623" t="str">
        <f t="shared" si="257"/>
        <v>FARHANA BINTI MUSTAPA</v>
      </c>
      <c r="W623" t="str">
        <f t="shared" si="258"/>
        <v>04-08-2020</v>
      </c>
      <c r="X623" t="str">
        <f t="shared" si="259"/>
        <v>RAZIMAH ANSAR AHMAD</v>
      </c>
      <c r="Y623" t="str">
        <f t="shared" si="260"/>
        <v>04-08-2020</v>
      </c>
      <c r="Z623" t="str">
        <f>"IDSB19200804 29"</f>
        <v>IDSB19200804 29</v>
      </c>
    </row>
    <row r="624" spans="1:26" x14ac:dyDescent="0.25">
      <c r="A624" t="str">
        <f t="shared" si="267"/>
        <v>04-08-2020 01:20:32</v>
      </c>
      <c r="B624" t="str">
        <f>"0000810339"</f>
        <v>0000810339</v>
      </c>
      <c r="C624" t="str">
        <f t="shared" si="268"/>
        <v>0000810311</v>
      </c>
      <c r="D624" t="str">
        <f t="shared" si="248"/>
        <v>73185</v>
      </c>
      <c r="E624" t="str">
        <f t="shared" si="249"/>
        <v>KFH-OPERATIONS DEPARTMENT</v>
      </c>
      <c r="F624" t="str">
        <f t="shared" si="250"/>
        <v>IBG</v>
      </c>
      <c r="G624" t="str">
        <f t="shared" si="264"/>
        <v>Refund IDSB 19</v>
      </c>
      <c r="H624" s="2">
        <v>662.93</v>
      </c>
      <c r="I624" t="str">
        <f>"MOHD HAFIZAN BIN DRAMAN"</f>
        <v>MOHD HAFIZAN BIN DRAMAN</v>
      </c>
      <c r="J624" t="str">
        <f t="shared" si="263"/>
        <v>BANK ISLAM BHD</v>
      </c>
      <c r="K624" t="str">
        <f>"12122020101893"</f>
        <v>12122020101893</v>
      </c>
      <c r="L624" t="str">
        <f t="shared" si="265"/>
        <v>04-08-2020</v>
      </c>
      <c r="M624" t="str">
        <f t="shared" si="265"/>
        <v>04-08-2020</v>
      </c>
      <c r="N624" t="str">
        <f t="shared" si="251"/>
        <v>001105018356</v>
      </c>
      <c r="O624" t="str">
        <f t="shared" si="252"/>
        <v>MYR</v>
      </c>
      <c r="P624" t="str">
        <f t="shared" si="266"/>
        <v>NIL</v>
      </c>
      <c r="Q624" t="str">
        <f t="shared" si="266"/>
        <v>NIL</v>
      </c>
      <c r="R624" t="str">
        <f t="shared" si="253"/>
        <v>Accepted</v>
      </c>
      <c r="S624" t="str">
        <f t="shared" si="254"/>
        <v>Approved</v>
      </c>
      <c r="T624" t="str">
        <f t="shared" si="255"/>
        <v>10.20.8.188</v>
      </c>
      <c r="U624" t="str">
        <f t="shared" si="256"/>
        <v>AZRAD UMAR BIN SHAARI</v>
      </c>
      <c r="V624" t="str">
        <f t="shared" si="257"/>
        <v>FARHANA BINTI MUSTAPA</v>
      </c>
      <c r="W624" t="str">
        <f t="shared" si="258"/>
        <v>04-08-2020</v>
      </c>
      <c r="X624" t="str">
        <f t="shared" si="259"/>
        <v>RAZIMAH ANSAR AHMAD</v>
      </c>
      <c r="Y624" t="str">
        <f t="shared" si="260"/>
        <v>04-08-2020</v>
      </c>
      <c r="Z624" t="str">
        <f>"IDSB19200804 28"</f>
        <v>IDSB19200804 28</v>
      </c>
    </row>
    <row r="625" spans="1:26" x14ac:dyDescent="0.25">
      <c r="A625" t="str">
        <f t="shared" si="267"/>
        <v>04-08-2020 01:20:32</v>
      </c>
      <c r="B625" t="str">
        <f>"0000810338"</f>
        <v>0000810338</v>
      </c>
      <c r="C625" t="str">
        <f t="shared" si="268"/>
        <v>0000810311</v>
      </c>
      <c r="D625" t="str">
        <f t="shared" si="248"/>
        <v>73185</v>
      </c>
      <c r="E625" t="str">
        <f t="shared" si="249"/>
        <v>KFH-OPERATIONS DEPARTMENT</v>
      </c>
      <c r="F625" t="str">
        <f t="shared" si="250"/>
        <v>IBG</v>
      </c>
      <c r="G625" t="str">
        <f t="shared" si="264"/>
        <v>Refund IDSB 19</v>
      </c>
      <c r="H625" s="2">
        <v>759</v>
      </c>
      <c r="I625" t="str">
        <f>"MOHD FIRDAOUS BIN MOHD KAMAL"</f>
        <v>MOHD FIRDAOUS BIN MOHD KAMAL</v>
      </c>
      <c r="J625" t="str">
        <f t="shared" si="263"/>
        <v>BANK ISLAM BHD</v>
      </c>
      <c r="K625" t="str">
        <f>"06019020638675"</f>
        <v>06019020638675</v>
      </c>
      <c r="L625" t="str">
        <f t="shared" si="265"/>
        <v>04-08-2020</v>
      </c>
      <c r="M625" t="str">
        <f t="shared" si="265"/>
        <v>04-08-2020</v>
      </c>
      <c r="N625" t="str">
        <f t="shared" si="251"/>
        <v>001105018356</v>
      </c>
      <c r="O625" t="str">
        <f t="shared" si="252"/>
        <v>MYR</v>
      </c>
      <c r="P625" t="str">
        <f t="shared" si="266"/>
        <v>NIL</v>
      </c>
      <c r="Q625" t="str">
        <f t="shared" si="266"/>
        <v>NIL</v>
      </c>
      <c r="R625" t="str">
        <f t="shared" si="253"/>
        <v>Accepted</v>
      </c>
      <c r="S625" t="str">
        <f t="shared" si="254"/>
        <v>Approved</v>
      </c>
      <c r="T625" t="str">
        <f t="shared" si="255"/>
        <v>10.20.8.188</v>
      </c>
      <c r="U625" t="str">
        <f t="shared" si="256"/>
        <v>AZRAD UMAR BIN SHAARI</v>
      </c>
      <c r="V625" t="str">
        <f t="shared" si="257"/>
        <v>FARHANA BINTI MUSTAPA</v>
      </c>
      <c r="W625" t="str">
        <f t="shared" si="258"/>
        <v>04-08-2020</v>
      </c>
      <c r="X625" t="str">
        <f t="shared" si="259"/>
        <v>RAZIMAH ANSAR AHMAD</v>
      </c>
      <c r="Y625" t="str">
        <f t="shared" si="260"/>
        <v>04-08-2020</v>
      </c>
      <c r="Z625" t="str">
        <f>"IDSB19200804 27"</f>
        <v>IDSB19200804 27</v>
      </c>
    </row>
    <row r="626" spans="1:26" x14ac:dyDescent="0.25">
      <c r="A626" t="str">
        <f t="shared" si="267"/>
        <v>04-08-2020 01:20:32</v>
      </c>
      <c r="B626" t="str">
        <f>"0000810337"</f>
        <v>0000810337</v>
      </c>
      <c r="C626" t="str">
        <f t="shared" si="268"/>
        <v>0000810311</v>
      </c>
      <c r="D626" t="str">
        <f t="shared" si="248"/>
        <v>73185</v>
      </c>
      <c r="E626" t="str">
        <f t="shared" si="249"/>
        <v>KFH-OPERATIONS DEPARTMENT</v>
      </c>
      <c r="F626" t="str">
        <f t="shared" si="250"/>
        <v>IBG</v>
      </c>
      <c r="G626" t="str">
        <f t="shared" si="264"/>
        <v>Refund IDSB 19</v>
      </c>
      <c r="H626" s="2">
        <v>1047</v>
      </c>
      <c r="I626" t="str">
        <f>"MOHD FAIDZAL ROHAIRY BIN HASSAN"</f>
        <v>MOHD FAIDZAL ROHAIRY BIN HASSAN</v>
      </c>
      <c r="J626" t="str">
        <f t="shared" si="263"/>
        <v>BANK ISLAM BHD</v>
      </c>
      <c r="K626" t="str">
        <f>"12177020002919"</f>
        <v>12177020002919</v>
      </c>
      <c r="L626" t="str">
        <f t="shared" si="265"/>
        <v>04-08-2020</v>
      </c>
      <c r="M626" t="str">
        <f t="shared" si="265"/>
        <v>04-08-2020</v>
      </c>
      <c r="N626" t="str">
        <f t="shared" si="251"/>
        <v>001105018356</v>
      </c>
      <c r="O626" t="str">
        <f t="shared" si="252"/>
        <v>MYR</v>
      </c>
      <c r="P626" t="str">
        <f t="shared" si="266"/>
        <v>NIL</v>
      </c>
      <c r="Q626" t="str">
        <f t="shared" si="266"/>
        <v>NIL</v>
      </c>
      <c r="R626" t="str">
        <f t="shared" si="253"/>
        <v>Accepted</v>
      </c>
      <c r="S626" t="str">
        <f t="shared" si="254"/>
        <v>Approved</v>
      </c>
      <c r="T626" t="str">
        <f t="shared" si="255"/>
        <v>10.20.8.188</v>
      </c>
      <c r="U626" t="str">
        <f t="shared" si="256"/>
        <v>AZRAD UMAR BIN SHAARI</v>
      </c>
      <c r="V626" t="str">
        <f t="shared" si="257"/>
        <v>FARHANA BINTI MUSTAPA</v>
      </c>
      <c r="W626" t="str">
        <f t="shared" si="258"/>
        <v>04-08-2020</v>
      </c>
      <c r="X626" t="str">
        <f t="shared" si="259"/>
        <v>RAZIMAH ANSAR AHMAD</v>
      </c>
      <c r="Y626" t="str">
        <f t="shared" si="260"/>
        <v>04-08-2020</v>
      </c>
      <c r="Z626" t="str">
        <f>"IDSB19200804 26"</f>
        <v>IDSB19200804 26</v>
      </c>
    </row>
    <row r="627" spans="1:26" x14ac:dyDescent="0.25">
      <c r="A627" t="str">
        <f t="shared" si="267"/>
        <v>04-08-2020 01:20:32</v>
      </c>
      <c r="B627" t="str">
        <f>"0000810336"</f>
        <v>0000810336</v>
      </c>
      <c r="C627" t="str">
        <f t="shared" si="268"/>
        <v>0000810311</v>
      </c>
      <c r="D627" t="str">
        <f t="shared" si="248"/>
        <v>73185</v>
      </c>
      <c r="E627" t="str">
        <f t="shared" si="249"/>
        <v>KFH-OPERATIONS DEPARTMENT</v>
      </c>
      <c r="F627" t="str">
        <f t="shared" si="250"/>
        <v>IBG</v>
      </c>
      <c r="G627" t="str">
        <f t="shared" si="264"/>
        <v>Refund IDSB 19</v>
      </c>
      <c r="H627" s="2">
        <v>380</v>
      </c>
      <c r="I627" t="str">
        <f>"MOHAMAD NOR AMIN BIN SAMSUN BAHARUN"</f>
        <v>MOHAMAD NOR AMIN BIN SAMSUN BAHARUN</v>
      </c>
      <c r="J627" t="str">
        <f t="shared" si="263"/>
        <v>BANK ISLAM BHD</v>
      </c>
      <c r="K627" t="str">
        <f>"14162020015942"</f>
        <v>14162020015942</v>
      </c>
      <c r="L627" t="str">
        <f t="shared" ref="L627:M646" si="269">"04-08-2020"</f>
        <v>04-08-2020</v>
      </c>
      <c r="M627" t="str">
        <f t="shared" si="269"/>
        <v>04-08-2020</v>
      </c>
      <c r="N627" t="str">
        <f t="shared" si="251"/>
        <v>001105018356</v>
      </c>
      <c r="O627" t="str">
        <f t="shared" si="252"/>
        <v>MYR</v>
      </c>
      <c r="P627" t="str">
        <f t="shared" ref="P627:Q646" si="270">"NIL"</f>
        <v>NIL</v>
      </c>
      <c r="Q627" t="str">
        <f t="shared" si="270"/>
        <v>NIL</v>
      </c>
      <c r="R627" t="str">
        <f t="shared" si="253"/>
        <v>Accepted</v>
      </c>
      <c r="S627" t="str">
        <f t="shared" si="254"/>
        <v>Approved</v>
      </c>
      <c r="T627" t="str">
        <f t="shared" si="255"/>
        <v>10.20.8.188</v>
      </c>
      <c r="U627" t="str">
        <f t="shared" si="256"/>
        <v>AZRAD UMAR BIN SHAARI</v>
      </c>
      <c r="V627" t="str">
        <f t="shared" si="257"/>
        <v>FARHANA BINTI MUSTAPA</v>
      </c>
      <c r="W627" t="str">
        <f t="shared" si="258"/>
        <v>04-08-2020</v>
      </c>
      <c r="X627" t="str">
        <f t="shared" si="259"/>
        <v>RAZIMAH ANSAR AHMAD</v>
      </c>
      <c r="Y627" t="str">
        <f t="shared" si="260"/>
        <v>04-08-2020</v>
      </c>
      <c r="Z627" t="str">
        <f>"IDSB19200804 25"</f>
        <v>IDSB19200804 25</v>
      </c>
    </row>
    <row r="628" spans="1:26" x14ac:dyDescent="0.25">
      <c r="A628" t="str">
        <f t="shared" si="267"/>
        <v>04-08-2020 01:20:32</v>
      </c>
      <c r="B628" t="str">
        <f>"0000810335"</f>
        <v>0000810335</v>
      </c>
      <c r="C628" t="str">
        <f t="shared" si="268"/>
        <v>0000810311</v>
      </c>
      <c r="D628" t="str">
        <f t="shared" si="248"/>
        <v>73185</v>
      </c>
      <c r="E628" t="str">
        <f t="shared" si="249"/>
        <v>KFH-OPERATIONS DEPARTMENT</v>
      </c>
      <c r="F628" t="str">
        <f t="shared" si="250"/>
        <v>IBG</v>
      </c>
      <c r="G628" t="str">
        <f t="shared" si="264"/>
        <v>Refund IDSB 19</v>
      </c>
      <c r="H628" s="2">
        <v>47.35</v>
      </c>
      <c r="I628" t="str">
        <f>"MD SHUKRI BIN MUSA"</f>
        <v>MD SHUKRI BIN MUSA</v>
      </c>
      <c r="J628" t="str">
        <f t="shared" ref="J628:J648" si="271">"BANK ISLAM BHD"</f>
        <v>BANK ISLAM BHD</v>
      </c>
      <c r="K628" t="str">
        <f>"03045022055040"</f>
        <v>03045022055040</v>
      </c>
      <c r="L628" t="str">
        <f t="shared" si="269"/>
        <v>04-08-2020</v>
      </c>
      <c r="M628" t="str">
        <f t="shared" si="269"/>
        <v>04-08-2020</v>
      </c>
      <c r="N628" t="str">
        <f t="shared" si="251"/>
        <v>001105018356</v>
      </c>
      <c r="O628" t="str">
        <f t="shared" si="252"/>
        <v>MYR</v>
      </c>
      <c r="P628" t="str">
        <f t="shared" si="270"/>
        <v>NIL</v>
      </c>
      <c r="Q628" t="str">
        <f t="shared" si="270"/>
        <v>NIL</v>
      </c>
      <c r="R628" t="str">
        <f t="shared" si="253"/>
        <v>Accepted</v>
      </c>
      <c r="S628" t="str">
        <f t="shared" si="254"/>
        <v>Approved</v>
      </c>
      <c r="T628" t="str">
        <f t="shared" si="255"/>
        <v>10.20.8.188</v>
      </c>
      <c r="U628" t="str">
        <f t="shared" si="256"/>
        <v>AZRAD UMAR BIN SHAARI</v>
      </c>
      <c r="V628" t="str">
        <f t="shared" si="257"/>
        <v>FARHANA BINTI MUSTAPA</v>
      </c>
      <c r="W628" t="str">
        <f t="shared" si="258"/>
        <v>04-08-2020</v>
      </c>
      <c r="X628" t="str">
        <f t="shared" si="259"/>
        <v>RAZIMAH ANSAR AHMAD</v>
      </c>
      <c r="Y628" t="str">
        <f t="shared" si="260"/>
        <v>04-08-2020</v>
      </c>
      <c r="Z628" t="str">
        <f>"IDSB19200804 24"</f>
        <v>IDSB19200804 24</v>
      </c>
    </row>
    <row r="629" spans="1:26" x14ac:dyDescent="0.25">
      <c r="A629" t="str">
        <f t="shared" si="267"/>
        <v>04-08-2020 01:20:32</v>
      </c>
      <c r="B629" t="str">
        <f>"0000810334"</f>
        <v>0000810334</v>
      </c>
      <c r="C629" t="str">
        <f t="shared" si="268"/>
        <v>0000810311</v>
      </c>
      <c r="D629" t="str">
        <f t="shared" si="248"/>
        <v>73185</v>
      </c>
      <c r="E629" t="str">
        <f t="shared" si="249"/>
        <v>KFH-OPERATIONS DEPARTMENT</v>
      </c>
      <c r="F629" t="str">
        <f t="shared" si="250"/>
        <v>IBG</v>
      </c>
      <c r="G629" t="str">
        <f t="shared" si="264"/>
        <v>Refund IDSB 19</v>
      </c>
      <c r="H629" s="2">
        <v>173.85</v>
      </c>
      <c r="I629" t="str">
        <f>"MD SHUKRI BIN MUSA"</f>
        <v>MD SHUKRI BIN MUSA</v>
      </c>
      <c r="J629" t="str">
        <f t="shared" si="271"/>
        <v>BANK ISLAM BHD</v>
      </c>
      <c r="K629" t="str">
        <f>"03045022055040"</f>
        <v>03045022055040</v>
      </c>
      <c r="L629" t="str">
        <f t="shared" si="269"/>
        <v>04-08-2020</v>
      </c>
      <c r="M629" t="str">
        <f t="shared" si="269"/>
        <v>04-08-2020</v>
      </c>
      <c r="N629" t="str">
        <f t="shared" si="251"/>
        <v>001105018356</v>
      </c>
      <c r="O629" t="str">
        <f t="shared" si="252"/>
        <v>MYR</v>
      </c>
      <c r="P629" t="str">
        <f t="shared" si="270"/>
        <v>NIL</v>
      </c>
      <c r="Q629" t="str">
        <f t="shared" si="270"/>
        <v>NIL</v>
      </c>
      <c r="R629" t="str">
        <f t="shared" si="253"/>
        <v>Accepted</v>
      </c>
      <c r="S629" t="str">
        <f t="shared" si="254"/>
        <v>Approved</v>
      </c>
      <c r="T629" t="str">
        <f t="shared" si="255"/>
        <v>10.20.8.188</v>
      </c>
      <c r="U629" t="str">
        <f t="shared" si="256"/>
        <v>AZRAD UMAR BIN SHAARI</v>
      </c>
      <c r="V629" t="str">
        <f t="shared" si="257"/>
        <v>FARHANA BINTI MUSTAPA</v>
      </c>
      <c r="W629" t="str">
        <f t="shared" si="258"/>
        <v>04-08-2020</v>
      </c>
      <c r="X629" t="str">
        <f t="shared" si="259"/>
        <v>RAZIMAH ANSAR AHMAD</v>
      </c>
      <c r="Y629" t="str">
        <f t="shared" si="260"/>
        <v>04-08-2020</v>
      </c>
      <c r="Z629" t="str">
        <f>"IDSB19200804 23"</f>
        <v>IDSB19200804 23</v>
      </c>
    </row>
    <row r="630" spans="1:26" x14ac:dyDescent="0.25">
      <c r="A630" t="str">
        <f t="shared" si="267"/>
        <v>04-08-2020 01:20:32</v>
      </c>
      <c r="B630" t="str">
        <f>"0000810333"</f>
        <v>0000810333</v>
      </c>
      <c r="C630" t="str">
        <f t="shared" si="268"/>
        <v>0000810311</v>
      </c>
      <c r="D630" t="str">
        <f t="shared" si="248"/>
        <v>73185</v>
      </c>
      <c r="E630" t="str">
        <f t="shared" si="249"/>
        <v>KFH-OPERATIONS DEPARTMENT</v>
      </c>
      <c r="F630" t="str">
        <f t="shared" si="250"/>
        <v>IBG</v>
      </c>
      <c r="G630" t="str">
        <f t="shared" si="264"/>
        <v>Refund IDSB 19</v>
      </c>
      <c r="H630" s="2">
        <v>196.42</v>
      </c>
      <c r="I630" t="str">
        <f>"MASLINA BINTI KHAMIS"</f>
        <v>MASLINA BINTI KHAMIS</v>
      </c>
      <c r="J630" t="str">
        <f t="shared" si="271"/>
        <v>BANK ISLAM BHD</v>
      </c>
      <c r="K630" t="str">
        <f>"12122020101946"</f>
        <v>12122020101946</v>
      </c>
      <c r="L630" t="str">
        <f t="shared" si="269"/>
        <v>04-08-2020</v>
      </c>
      <c r="M630" t="str">
        <f t="shared" si="269"/>
        <v>04-08-2020</v>
      </c>
      <c r="N630" t="str">
        <f t="shared" si="251"/>
        <v>001105018356</v>
      </c>
      <c r="O630" t="str">
        <f t="shared" si="252"/>
        <v>MYR</v>
      </c>
      <c r="P630" t="str">
        <f t="shared" si="270"/>
        <v>NIL</v>
      </c>
      <c r="Q630" t="str">
        <f t="shared" si="270"/>
        <v>NIL</v>
      </c>
      <c r="R630" t="str">
        <f t="shared" si="253"/>
        <v>Accepted</v>
      </c>
      <c r="S630" t="str">
        <f t="shared" si="254"/>
        <v>Approved</v>
      </c>
      <c r="T630" t="str">
        <f t="shared" si="255"/>
        <v>10.20.8.188</v>
      </c>
      <c r="U630" t="str">
        <f t="shared" si="256"/>
        <v>AZRAD UMAR BIN SHAARI</v>
      </c>
      <c r="V630" t="str">
        <f t="shared" si="257"/>
        <v>FARHANA BINTI MUSTAPA</v>
      </c>
      <c r="W630" t="str">
        <f t="shared" si="258"/>
        <v>04-08-2020</v>
      </c>
      <c r="X630" t="str">
        <f t="shared" si="259"/>
        <v>RAZIMAH ANSAR AHMAD</v>
      </c>
      <c r="Y630" t="str">
        <f t="shared" si="260"/>
        <v>04-08-2020</v>
      </c>
      <c r="Z630" t="str">
        <f>"IDSB19200804 22"</f>
        <v>IDSB19200804 22</v>
      </c>
    </row>
    <row r="631" spans="1:26" x14ac:dyDescent="0.25">
      <c r="A631" t="str">
        <f t="shared" si="267"/>
        <v>04-08-2020 01:20:32</v>
      </c>
      <c r="B631" t="str">
        <f>"0000810332"</f>
        <v>0000810332</v>
      </c>
      <c r="C631" t="str">
        <f t="shared" si="268"/>
        <v>0000810311</v>
      </c>
      <c r="D631" t="str">
        <f t="shared" si="248"/>
        <v>73185</v>
      </c>
      <c r="E631" t="str">
        <f t="shared" si="249"/>
        <v>KFH-OPERATIONS DEPARTMENT</v>
      </c>
      <c r="F631" t="str">
        <f t="shared" si="250"/>
        <v>IBG</v>
      </c>
      <c r="G631" t="str">
        <f t="shared" si="264"/>
        <v>Refund IDSB 19</v>
      </c>
      <c r="H631" s="2">
        <v>58.78</v>
      </c>
      <c r="I631" t="str">
        <f>"MAHADI BIN RAMLI"</f>
        <v>MAHADI BIN RAMLI</v>
      </c>
      <c r="J631" t="str">
        <f t="shared" si="271"/>
        <v>BANK ISLAM BHD</v>
      </c>
      <c r="K631" t="str">
        <f>"06073020443829"</f>
        <v>06073020443829</v>
      </c>
      <c r="L631" t="str">
        <f t="shared" si="269"/>
        <v>04-08-2020</v>
      </c>
      <c r="M631" t="str">
        <f t="shared" si="269"/>
        <v>04-08-2020</v>
      </c>
      <c r="N631" t="str">
        <f t="shared" si="251"/>
        <v>001105018356</v>
      </c>
      <c r="O631" t="str">
        <f t="shared" si="252"/>
        <v>MYR</v>
      </c>
      <c r="P631" t="str">
        <f t="shared" si="270"/>
        <v>NIL</v>
      </c>
      <c r="Q631" t="str">
        <f t="shared" si="270"/>
        <v>NIL</v>
      </c>
      <c r="R631" t="str">
        <f t="shared" si="253"/>
        <v>Accepted</v>
      </c>
      <c r="S631" t="str">
        <f t="shared" si="254"/>
        <v>Approved</v>
      </c>
      <c r="T631" t="str">
        <f t="shared" si="255"/>
        <v>10.20.8.188</v>
      </c>
      <c r="U631" t="str">
        <f t="shared" si="256"/>
        <v>AZRAD UMAR BIN SHAARI</v>
      </c>
      <c r="V631" t="str">
        <f t="shared" si="257"/>
        <v>FARHANA BINTI MUSTAPA</v>
      </c>
      <c r="W631" t="str">
        <f t="shared" si="258"/>
        <v>04-08-2020</v>
      </c>
      <c r="X631" t="str">
        <f t="shared" si="259"/>
        <v>RAZIMAH ANSAR AHMAD</v>
      </c>
      <c r="Y631" t="str">
        <f t="shared" si="260"/>
        <v>04-08-2020</v>
      </c>
      <c r="Z631" t="str">
        <f>"IDSB19200804 21"</f>
        <v>IDSB19200804 21</v>
      </c>
    </row>
    <row r="632" spans="1:26" x14ac:dyDescent="0.25">
      <c r="A632" t="str">
        <f t="shared" si="267"/>
        <v>04-08-2020 01:20:32</v>
      </c>
      <c r="B632" t="str">
        <f>"0000810331"</f>
        <v>0000810331</v>
      </c>
      <c r="C632" t="str">
        <f t="shared" si="268"/>
        <v>0000810311</v>
      </c>
      <c r="D632" t="str">
        <f t="shared" si="248"/>
        <v>73185</v>
      </c>
      <c r="E632" t="str">
        <f t="shared" si="249"/>
        <v>KFH-OPERATIONS DEPARTMENT</v>
      </c>
      <c r="F632" t="str">
        <f t="shared" si="250"/>
        <v>IBG</v>
      </c>
      <c r="G632" t="str">
        <f t="shared" si="264"/>
        <v>Refund IDSB 19</v>
      </c>
      <c r="H632" s="2">
        <v>228</v>
      </c>
      <c r="I632" t="str">
        <f>"LILY AZNIRA BINTI OMAR"</f>
        <v>LILY AZNIRA BINTI OMAR</v>
      </c>
      <c r="J632" t="str">
        <f t="shared" si="271"/>
        <v>BANK ISLAM BHD</v>
      </c>
      <c r="K632" t="str">
        <f>"04015020105656"</f>
        <v>04015020105656</v>
      </c>
      <c r="L632" t="str">
        <f t="shared" si="269"/>
        <v>04-08-2020</v>
      </c>
      <c r="M632" t="str">
        <f t="shared" si="269"/>
        <v>04-08-2020</v>
      </c>
      <c r="N632" t="str">
        <f t="shared" si="251"/>
        <v>001105018356</v>
      </c>
      <c r="O632" t="str">
        <f t="shared" si="252"/>
        <v>MYR</v>
      </c>
      <c r="P632" t="str">
        <f t="shared" si="270"/>
        <v>NIL</v>
      </c>
      <c r="Q632" t="str">
        <f t="shared" si="270"/>
        <v>NIL</v>
      </c>
      <c r="R632" t="str">
        <f t="shared" si="253"/>
        <v>Accepted</v>
      </c>
      <c r="S632" t="str">
        <f t="shared" si="254"/>
        <v>Approved</v>
      </c>
      <c r="T632" t="str">
        <f t="shared" si="255"/>
        <v>10.20.8.188</v>
      </c>
      <c r="U632" t="str">
        <f t="shared" si="256"/>
        <v>AZRAD UMAR BIN SHAARI</v>
      </c>
      <c r="V632" t="str">
        <f t="shared" si="257"/>
        <v>FARHANA BINTI MUSTAPA</v>
      </c>
      <c r="W632" t="str">
        <f t="shared" si="258"/>
        <v>04-08-2020</v>
      </c>
      <c r="X632" t="str">
        <f t="shared" si="259"/>
        <v>RAZIMAH ANSAR AHMAD</v>
      </c>
      <c r="Y632" t="str">
        <f t="shared" si="260"/>
        <v>04-08-2020</v>
      </c>
      <c r="Z632" t="str">
        <f>"IDSB19200804 20"</f>
        <v>IDSB19200804 20</v>
      </c>
    </row>
    <row r="633" spans="1:26" x14ac:dyDescent="0.25">
      <c r="A633" t="str">
        <f t="shared" si="267"/>
        <v>04-08-2020 01:20:32</v>
      </c>
      <c r="B633" t="str">
        <f>"0000810330"</f>
        <v>0000810330</v>
      </c>
      <c r="C633" t="str">
        <f t="shared" si="268"/>
        <v>0000810311</v>
      </c>
      <c r="D633" t="str">
        <f t="shared" si="248"/>
        <v>73185</v>
      </c>
      <c r="E633" t="str">
        <f t="shared" si="249"/>
        <v>KFH-OPERATIONS DEPARTMENT</v>
      </c>
      <c r="F633" t="str">
        <f t="shared" si="250"/>
        <v>IBG</v>
      </c>
      <c r="G633" t="str">
        <f t="shared" si="264"/>
        <v>Refund IDSB 19</v>
      </c>
      <c r="H633" s="2">
        <v>433</v>
      </c>
      <c r="I633" t="str">
        <f>"KHIRULKIFLY BIN ZANAL"</f>
        <v>KHIRULKIFLY BIN ZANAL</v>
      </c>
      <c r="J633" t="str">
        <f t="shared" si="271"/>
        <v>BANK ISLAM BHD</v>
      </c>
      <c r="K633" t="str">
        <f>"04024020156093"</f>
        <v>04024020156093</v>
      </c>
      <c r="L633" t="str">
        <f t="shared" si="269"/>
        <v>04-08-2020</v>
      </c>
      <c r="M633" t="str">
        <f t="shared" si="269"/>
        <v>04-08-2020</v>
      </c>
      <c r="N633" t="str">
        <f t="shared" si="251"/>
        <v>001105018356</v>
      </c>
      <c r="O633" t="str">
        <f t="shared" si="252"/>
        <v>MYR</v>
      </c>
      <c r="P633" t="str">
        <f t="shared" si="270"/>
        <v>NIL</v>
      </c>
      <c r="Q633" t="str">
        <f t="shared" si="270"/>
        <v>NIL</v>
      </c>
      <c r="R633" t="str">
        <f t="shared" si="253"/>
        <v>Accepted</v>
      </c>
      <c r="S633" t="str">
        <f t="shared" si="254"/>
        <v>Approved</v>
      </c>
      <c r="T633" t="str">
        <f t="shared" si="255"/>
        <v>10.20.8.188</v>
      </c>
      <c r="U633" t="str">
        <f t="shared" si="256"/>
        <v>AZRAD UMAR BIN SHAARI</v>
      </c>
      <c r="V633" t="str">
        <f t="shared" si="257"/>
        <v>FARHANA BINTI MUSTAPA</v>
      </c>
      <c r="W633" t="str">
        <f t="shared" si="258"/>
        <v>04-08-2020</v>
      </c>
      <c r="X633" t="str">
        <f t="shared" si="259"/>
        <v>RAZIMAH ANSAR AHMAD</v>
      </c>
      <c r="Y633" t="str">
        <f t="shared" si="260"/>
        <v>04-08-2020</v>
      </c>
      <c r="Z633" t="str">
        <f>"IDSB19200804 19"</f>
        <v>IDSB19200804 19</v>
      </c>
    </row>
    <row r="634" spans="1:26" x14ac:dyDescent="0.25">
      <c r="A634" t="str">
        <f t="shared" si="267"/>
        <v>04-08-2020 01:20:32</v>
      </c>
      <c r="B634" t="str">
        <f>"0000810329"</f>
        <v>0000810329</v>
      </c>
      <c r="C634" t="str">
        <f t="shared" si="268"/>
        <v>0000810311</v>
      </c>
      <c r="D634" t="str">
        <f t="shared" si="248"/>
        <v>73185</v>
      </c>
      <c r="E634" t="str">
        <f t="shared" si="249"/>
        <v>KFH-OPERATIONS DEPARTMENT</v>
      </c>
      <c r="F634" t="str">
        <f t="shared" si="250"/>
        <v>IBG</v>
      </c>
      <c r="G634" t="str">
        <f t="shared" si="264"/>
        <v>Refund IDSB 19</v>
      </c>
      <c r="H634" s="2">
        <v>151.15</v>
      </c>
      <c r="I634" t="str">
        <f>"HASLYN BINTI HASSAN"</f>
        <v>HASLYN BINTI HASSAN</v>
      </c>
      <c r="J634" t="str">
        <f t="shared" si="271"/>
        <v>BANK ISLAM BHD</v>
      </c>
      <c r="K634" t="str">
        <f>"07043020322962"</f>
        <v>07043020322962</v>
      </c>
      <c r="L634" t="str">
        <f t="shared" si="269"/>
        <v>04-08-2020</v>
      </c>
      <c r="M634" t="str">
        <f t="shared" si="269"/>
        <v>04-08-2020</v>
      </c>
      <c r="N634" t="str">
        <f t="shared" si="251"/>
        <v>001105018356</v>
      </c>
      <c r="O634" t="str">
        <f t="shared" si="252"/>
        <v>MYR</v>
      </c>
      <c r="P634" t="str">
        <f t="shared" si="270"/>
        <v>NIL</v>
      </c>
      <c r="Q634" t="str">
        <f t="shared" si="270"/>
        <v>NIL</v>
      </c>
      <c r="R634" t="str">
        <f t="shared" si="253"/>
        <v>Accepted</v>
      </c>
      <c r="S634" t="str">
        <f t="shared" si="254"/>
        <v>Approved</v>
      </c>
      <c r="T634" t="str">
        <f t="shared" si="255"/>
        <v>10.20.8.188</v>
      </c>
      <c r="U634" t="str">
        <f t="shared" si="256"/>
        <v>AZRAD UMAR BIN SHAARI</v>
      </c>
      <c r="V634" t="str">
        <f t="shared" si="257"/>
        <v>FARHANA BINTI MUSTAPA</v>
      </c>
      <c r="W634" t="str">
        <f t="shared" si="258"/>
        <v>04-08-2020</v>
      </c>
      <c r="X634" t="str">
        <f t="shared" si="259"/>
        <v>RAZIMAH ANSAR AHMAD</v>
      </c>
      <c r="Y634" t="str">
        <f t="shared" si="260"/>
        <v>04-08-2020</v>
      </c>
      <c r="Z634" t="str">
        <f>"IDSB19200804 18"</f>
        <v>IDSB19200804 18</v>
      </c>
    </row>
    <row r="635" spans="1:26" x14ac:dyDescent="0.25">
      <c r="A635" t="str">
        <f t="shared" si="267"/>
        <v>04-08-2020 01:20:32</v>
      </c>
      <c r="B635" t="str">
        <f>"0000810328"</f>
        <v>0000810328</v>
      </c>
      <c r="C635" t="str">
        <f t="shared" si="268"/>
        <v>0000810311</v>
      </c>
      <c r="D635" t="str">
        <f t="shared" si="248"/>
        <v>73185</v>
      </c>
      <c r="E635" t="str">
        <f t="shared" si="249"/>
        <v>KFH-OPERATIONS DEPARTMENT</v>
      </c>
      <c r="F635" t="str">
        <f t="shared" si="250"/>
        <v>IBG</v>
      </c>
      <c r="G635" t="str">
        <f t="shared" si="264"/>
        <v>Refund IDSB 19</v>
      </c>
      <c r="H635" s="2">
        <v>532</v>
      </c>
      <c r="I635" t="str">
        <f>"HAIRUL HASZUAN BIN HASHIM"</f>
        <v>HAIRUL HASZUAN BIN HASHIM</v>
      </c>
      <c r="J635" t="str">
        <f t="shared" si="271"/>
        <v>BANK ISLAM BHD</v>
      </c>
      <c r="K635" t="str">
        <f>"12177029681231"</f>
        <v>12177029681231</v>
      </c>
      <c r="L635" t="str">
        <f t="shared" si="269"/>
        <v>04-08-2020</v>
      </c>
      <c r="M635" t="str">
        <f t="shared" si="269"/>
        <v>04-08-2020</v>
      </c>
      <c r="N635" t="str">
        <f t="shared" si="251"/>
        <v>001105018356</v>
      </c>
      <c r="O635" t="str">
        <f t="shared" si="252"/>
        <v>MYR</v>
      </c>
      <c r="P635" t="str">
        <f t="shared" si="270"/>
        <v>NIL</v>
      </c>
      <c r="Q635" t="str">
        <f t="shared" si="270"/>
        <v>NIL</v>
      </c>
      <c r="R635" t="str">
        <f t="shared" si="253"/>
        <v>Accepted</v>
      </c>
      <c r="S635" t="str">
        <f t="shared" si="254"/>
        <v>Approved</v>
      </c>
      <c r="T635" t="str">
        <f t="shared" si="255"/>
        <v>10.20.8.188</v>
      </c>
      <c r="U635" t="str">
        <f t="shared" si="256"/>
        <v>AZRAD UMAR BIN SHAARI</v>
      </c>
      <c r="V635" t="str">
        <f t="shared" si="257"/>
        <v>FARHANA BINTI MUSTAPA</v>
      </c>
      <c r="W635" t="str">
        <f t="shared" si="258"/>
        <v>04-08-2020</v>
      </c>
      <c r="X635" t="str">
        <f t="shared" si="259"/>
        <v>RAZIMAH ANSAR AHMAD</v>
      </c>
      <c r="Y635" t="str">
        <f t="shared" si="260"/>
        <v>04-08-2020</v>
      </c>
      <c r="Z635" t="str">
        <f>"IDSB19200804 17"</f>
        <v>IDSB19200804 17</v>
      </c>
    </row>
    <row r="636" spans="1:26" x14ac:dyDescent="0.25">
      <c r="A636" t="str">
        <f t="shared" si="267"/>
        <v>04-08-2020 01:20:32</v>
      </c>
      <c r="B636" t="str">
        <f>"0000810327"</f>
        <v>0000810327</v>
      </c>
      <c r="C636" t="str">
        <f t="shared" si="268"/>
        <v>0000810311</v>
      </c>
      <c r="D636" t="str">
        <f t="shared" si="248"/>
        <v>73185</v>
      </c>
      <c r="E636" t="str">
        <f t="shared" si="249"/>
        <v>KFH-OPERATIONS DEPARTMENT</v>
      </c>
      <c r="F636" t="str">
        <f t="shared" si="250"/>
        <v>IBG</v>
      </c>
      <c r="G636" t="str">
        <f t="shared" si="264"/>
        <v>Refund IDSB 19</v>
      </c>
      <c r="H636" s="2">
        <v>342</v>
      </c>
      <c r="I636" t="str">
        <f>"HAFSHIZAN BIN HASHIM"</f>
        <v>HAFSHIZAN BIN HASHIM</v>
      </c>
      <c r="J636" t="str">
        <f t="shared" si="271"/>
        <v>BANK ISLAM BHD</v>
      </c>
      <c r="K636" t="str">
        <f>"12038023079399"</f>
        <v>12038023079399</v>
      </c>
      <c r="L636" t="str">
        <f t="shared" si="269"/>
        <v>04-08-2020</v>
      </c>
      <c r="M636" t="str">
        <f t="shared" si="269"/>
        <v>04-08-2020</v>
      </c>
      <c r="N636" t="str">
        <f t="shared" si="251"/>
        <v>001105018356</v>
      </c>
      <c r="O636" t="str">
        <f t="shared" si="252"/>
        <v>MYR</v>
      </c>
      <c r="P636" t="str">
        <f t="shared" si="270"/>
        <v>NIL</v>
      </c>
      <c r="Q636" t="str">
        <f t="shared" si="270"/>
        <v>NIL</v>
      </c>
      <c r="R636" t="str">
        <f t="shared" si="253"/>
        <v>Accepted</v>
      </c>
      <c r="S636" t="str">
        <f t="shared" si="254"/>
        <v>Approved</v>
      </c>
      <c r="T636" t="str">
        <f t="shared" si="255"/>
        <v>10.20.8.188</v>
      </c>
      <c r="U636" t="str">
        <f t="shared" si="256"/>
        <v>AZRAD UMAR BIN SHAARI</v>
      </c>
      <c r="V636" t="str">
        <f t="shared" si="257"/>
        <v>FARHANA BINTI MUSTAPA</v>
      </c>
      <c r="W636" t="str">
        <f t="shared" si="258"/>
        <v>04-08-2020</v>
      </c>
      <c r="X636" t="str">
        <f t="shared" si="259"/>
        <v>RAZIMAH ANSAR AHMAD</v>
      </c>
      <c r="Y636" t="str">
        <f t="shared" si="260"/>
        <v>04-08-2020</v>
      </c>
      <c r="Z636" t="str">
        <f>"IDSB19200804 16"</f>
        <v>IDSB19200804 16</v>
      </c>
    </row>
    <row r="637" spans="1:26" x14ac:dyDescent="0.25">
      <c r="A637" t="str">
        <f t="shared" si="267"/>
        <v>04-08-2020 01:20:32</v>
      </c>
      <c r="B637" t="str">
        <f>"0000810326"</f>
        <v>0000810326</v>
      </c>
      <c r="C637" t="str">
        <f t="shared" si="268"/>
        <v>0000810311</v>
      </c>
      <c r="D637" t="str">
        <f t="shared" si="248"/>
        <v>73185</v>
      </c>
      <c r="E637" t="str">
        <f t="shared" si="249"/>
        <v>KFH-OPERATIONS DEPARTMENT</v>
      </c>
      <c r="F637" t="str">
        <f t="shared" si="250"/>
        <v>IBG</v>
      </c>
      <c r="G637" t="str">
        <f t="shared" si="264"/>
        <v>Refund IDSB 19</v>
      </c>
      <c r="H637" s="2">
        <v>898.3</v>
      </c>
      <c r="I637" t="str">
        <f>"FARAH MAZLIANA BINTI ZAKARIA"</f>
        <v>FARAH MAZLIANA BINTI ZAKARIA</v>
      </c>
      <c r="J637" t="str">
        <f t="shared" si="271"/>
        <v>BANK ISLAM BHD</v>
      </c>
      <c r="K637" t="str">
        <f>"05012020256358"</f>
        <v>05012020256358</v>
      </c>
      <c r="L637" t="str">
        <f t="shared" si="269"/>
        <v>04-08-2020</v>
      </c>
      <c r="M637" t="str">
        <f t="shared" si="269"/>
        <v>04-08-2020</v>
      </c>
      <c r="N637" t="str">
        <f t="shared" si="251"/>
        <v>001105018356</v>
      </c>
      <c r="O637" t="str">
        <f t="shared" si="252"/>
        <v>MYR</v>
      </c>
      <c r="P637" t="str">
        <f t="shared" si="270"/>
        <v>NIL</v>
      </c>
      <c r="Q637" t="str">
        <f t="shared" si="270"/>
        <v>NIL</v>
      </c>
      <c r="R637" t="str">
        <f t="shared" si="253"/>
        <v>Accepted</v>
      </c>
      <c r="S637" t="str">
        <f t="shared" si="254"/>
        <v>Approved</v>
      </c>
      <c r="T637" t="str">
        <f t="shared" si="255"/>
        <v>10.20.8.188</v>
      </c>
      <c r="U637" t="str">
        <f t="shared" si="256"/>
        <v>AZRAD UMAR BIN SHAARI</v>
      </c>
      <c r="V637" t="str">
        <f t="shared" si="257"/>
        <v>FARHANA BINTI MUSTAPA</v>
      </c>
      <c r="W637" t="str">
        <f t="shared" si="258"/>
        <v>04-08-2020</v>
      </c>
      <c r="X637" t="str">
        <f t="shared" si="259"/>
        <v>RAZIMAH ANSAR AHMAD</v>
      </c>
      <c r="Y637" t="str">
        <f t="shared" si="260"/>
        <v>04-08-2020</v>
      </c>
      <c r="Z637" t="str">
        <f>"IDSB19200804 15"</f>
        <v>IDSB19200804 15</v>
      </c>
    </row>
    <row r="638" spans="1:26" x14ac:dyDescent="0.25">
      <c r="A638" t="str">
        <f t="shared" si="267"/>
        <v>04-08-2020 01:20:32</v>
      </c>
      <c r="B638" t="str">
        <f>"0000810325"</f>
        <v>0000810325</v>
      </c>
      <c r="C638" t="str">
        <f t="shared" si="268"/>
        <v>0000810311</v>
      </c>
      <c r="D638" t="str">
        <f t="shared" si="248"/>
        <v>73185</v>
      </c>
      <c r="E638" t="str">
        <f t="shared" si="249"/>
        <v>KFH-OPERATIONS DEPARTMENT</v>
      </c>
      <c r="F638" t="str">
        <f t="shared" si="250"/>
        <v>IBG</v>
      </c>
      <c r="G638" t="str">
        <f t="shared" si="264"/>
        <v>Refund IDSB 19</v>
      </c>
      <c r="H638" s="2">
        <v>152</v>
      </c>
      <c r="I638" t="str">
        <f>"FADZLEEN BINTI RAMLEE"</f>
        <v>FADZLEEN BINTI RAMLEE</v>
      </c>
      <c r="J638" t="str">
        <f t="shared" si="271"/>
        <v>BANK ISLAM BHD</v>
      </c>
      <c r="K638" t="str">
        <f>"07034020121598"</f>
        <v>07034020121598</v>
      </c>
      <c r="L638" t="str">
        <f t="shared" si="269"/>
        <v>04-08-2020</v>
      </c>
      <c r="M638" t="str">
        <f t="shared" si="269"/>
        <v>04-08-2020</v>
      </c>
      <c r="N638" t="str">
        <f t="shared" si="251"/>
        <v>001105018356</v>
      </c>
      <c r="O638" t="str">
        <f t="shared" si="252"/>
        <v>MYR</v>
      </c>
      <c r="P638" t="str">
        <f t="shared" si="270"/>
        <v>NIL</v>
      </c>
      <c r="Q638" t="str">
        <f t="shared" si="270"/>
        <v>NIL</v>
      </c>
      <c r="R638" t="str">
        <f t="shared" si="253"/>
        <v>Accepted</v>
      </c>
      <c r="S638" t="str">
        <f t="shared" si="254"/>
        <v>Approved</v>
      </c>
      <c r="T638" t="str">
        <f t="shared" si="255"/>
        <v>10.20.8.188</v>
      </c>
      <c r="U638" t="str">
        <f t="shared" si="256"/>
        <v>AZRAD UMAR BIN SHAARI</v>
      </c>
      <c r="V638" t="str">
        <f t="shared" si="257"/>
        <v>FARHANA BINTI MUSTAPA</v>
      </c>
      <c r="W638" t="str">
        <f t="shared" si="258"/>
        <v>04-08-2020</v>
      </c>
      <c r="X638" t="str">
        <f t="shared" si="259"/>
        <v>RAZIMAH ANSAR AHMAD</v>
      </c>
      <c r="Y638" t="str">
        <f t="shared" si="260"/>
        <v>04-08-2020</v>
      </c>
      <c r="Z638" t="str">
        <f>"IDSB19200804 14"</f>
        <v>IDSB19200804 14</v>
      </c>
    </row>
    <row r="639" spans="1:26" x14ac:dyDescent="0.25">
      <c r="A639" t="str">
        <f t="shared" si="267"/>
        <v>04-08-2020 01:20:32</v>
      </c>
      <c r="B639" t="str">
        <f>"0000810324"</f>
        <v>0000810324</v>
      </c>
      <c r="C639" t="str">
        <f t="shared" si="268"/>
        <v>0000810311</v>
      </c>
      <c r="D639" t="str">
        <f t="shared" si="248"/>
        <v>73185</v>
      </c>
      <c r="E639" t="str">
        <f t="shared" si="249"/>
        <v>KFH-OPERATIONS DEPARTMENT</v>
      </c>
      <c r="F639" t="str">
        <f t="shared" si="250"/>
        <v>IBG</v>
      </c>
      <c r="G639" t="str">
        <f t="shared" si="264"/>
        <v>Refund IDSB 19</v>
      </c>
      <c r="H639" s="2">
        <v>1078</v>
      </c>
      <c r="I639" t="str">
        <f>"FADZLEEN BINTI RAMLEE"</f>
        <v>FADZLEEN BINTI RAMLEE</v>
      </c>
      <c r="J639" t="str">
        <f t="shared" si="271"/>
        <v>BANK ISLAM BHD</v>
      </c>
      <c r="K639" t="str">
        <f>"07034020121598"</f>
        <v>07034020121598</v>
      </c>
      <c r="L639" t="str">
        <f t="shared" si="269"/>
        <v>04-08-2020</v>
      </c>
      <c r="M639" t="str">
        <f t="shared" si="269"/>
        <v>04-08-2020</v>
      </c>
      <c r="N639" t="str">
        <f t="shared" si="251"/>
        <v>001105018356</v>
      </c>
      <c r="O639" t="str">
        <f t="shared" si="252"/>
        <v>MYR</v>
      </c>
      <c r="P639" t="str">
        <f t="shared" si="270"/>
        <v>NIL</v>
      </c>
      <c r="Q639" t="str">
        <f t="shared" si="270"/>
        <v>NIL</v>
      </c>
      <c r="R639" t="str">
        <f t="shared" si="253"/>
        <v>Accepted</v>
      </c>
      <c r="S639" t="str">
        <f t="shared" si="254"/>
        <v>Approved</v>
      </c>
      <c r="T639" t="str">
        <f t="shared" si="255"/>
        <v>10.20.8.188</v>
      </c>
      <c r="U639" t="str">
        <f t="shared" si="256"/>
        <v>AZRAD UMAR BIN SHAARI</v>
      </c>
      <c r="V639" t="str">
        <f t="shared" si="257"/>
        <v>FARHANA BINTI MUSTAPA</v>
      </c>
      <c r="W639" t="str">
        <f t="shared" si="258"/>
        <v>04-08-2020</v>
      </c>
      <c r="X639" t="str">
        <f t="shared" si="259"/>
        <v>RAZIMAH ANSAR AHMAD</v>
      </c>
      <c r="Y639" t="str">
        <f t="shared" si="260"/>
        <v>04-08-2020</v>
      </c>
      <c r="Z639" t="str">
        <f>"IDSB19200804 13"</f>
        <v>IDSB19200804 13</v>
      </c>
    </row>
    <row r="640" spans="1:26" x14ac:dyDescent="0.25">
      <c r="A640" t="str">
        <f t="shared" si="267"/>
        <v>04-08-2020 01:20:32</v>
      </c>
      <c r="B640" t="str">
        <f>"0000810323"</f>
        <v>0000810323</v>
      </c>
      <c r="C640" t="str">
        <f t="shared" si="268"/>
        <v>0000810311</v>
      </c>
      <c r="D640" t="str">
        <f t="shared" si="248"/>
        <v>73185</v>
      </c>
      <c r="E640" t="str">
        <f t="shared" si="249"/>
        <v>KFH-OPERATIONS DEPARTMENT</v>
      </c>
      <c r="F640" t="str">
        <f t="shared" si="250"/>
        <v>IBG</v>
      </c>
      <c r="G640" t="str">
        <f t="shared" si="264"/>
        <v>Refund IDSB 19</v>
      </c>
      <c r="H640" s="2">
        <v>395</v>
      </c>
      <c r="I640" t="str">
        <f>"AZLAN BIN ZUL AMAN SHAH"</f>
        <v>AZLAN BIN ZUL AMAN SHAH</v>
      </c>
      <c r="J640" t="str">
        <f t="shared" si="271"/>
        <v>BANK ISLAM BHD</v>
      </c>
      <c r="K640" t="str">
        <f>"12038023178511"</f>
        <v>12038023178511</v>
      </c>
      <c r="L640" t="str">
        <f t="shared" si="269"/>
        <v>04-08-2020</v>
      </c>
      <c r="M640" t="str">
        <f t="shared" si="269"/>
        <v>04-08-2020</v>
      </c>
      <c r="N640" t="str">
        <f t="shared" si="251"/>
        <v>001105018356</v>
      </c>
      <c r="O640" t="str">
        <f t="shared" si="252"/>
        <v>MYR</v>
      </c>
      <c r="P640" t="str">
        <f t="shared" si="270"/>
        <v>NIL</v>
      </c>
      <c r="Q640" t="str">
        <f t="shared" si="270"/>
        <v>NIL</v>
      </c>
      <c r="R640" t="str">
        <f t="shared" si="253"/>
        <v>Accepted</v>
      </c>
      <c r="S640" t="str">
        <f t="shared" si="254"/>
        <v>Approved</v>
      </c>
      <c r="T640" t="str">
        <f t="shared" si="255"/>
        <v>10.20.8.188</v>
      </c>
      <c r="U640" t="str">
        <f t="shared" si="256"/>
        <v>AZRAD UMAR BIN SHAARI</v>
      </c>
      <c r="V640" t="str">
        <f t="shared" si="257"/>
        <v>FARHANA BINTI MUSTAPA</v>
      </c>
      <c r="W640" t="str">
        <f t="shared" si="258"/>
        <v>04-08-2020</v>
      </c>
      <c r="X640" t="str">
        <f t="shared" si="259"/>
        <v>RAZIMAH ANSAR AHMAD</v>
      </c>
      <c r="Y640" t="str">
        <f t="shared" si="260"/>
        <v>04-08-2020</v>
      </c>
      <c r="Z640" t="str">
        <f>"IDSB19200804 12"</f>
        <v>IDSB19200804 12</v>
      </c>
    </row>
    <row r="641" spans="1:26" x14ac:dyDescent="0.25">
      <c r="A641" t="str">
        <f t="shared" si="267"/>
        <v>04-08-2020 01:20:32</v>
      </c>
      <c r="B641" t="str">
        <f>"0000810322"</f>
        <v>0000810322</v>
      </c>
      <c r="C641" t="str">
        <f t="shared" si="268"/>
        <v>0000810311</v>
      </c>
      <c r="D641" t="str">
        <f t="shared" si="248"/>
        <v>73185</v>
      </c>
      <c r="E641" t="str">
        <f t="shared" si="249"/>
        <v>KFH-OPERATIONS DEPARTMENT</v>
      </c>
      <c r="F641" t="str">
        <f t="shared" si="250"/>
        <v>IBG</v>
      </c>
      <c r="G641" t="str">
        <f t="shared" si="264"/>
        <v>Refund IDSB 19</v>
      </c>
      <c r="H641" s="2">
        <v>501</v>
      </c>
      <c r="I641" t="str">
        <f>"AZLAN BIN AMIR  AMER ALI"</f>
        <v>AZLAN BIN AMIR  AMER ALI</v>
      </c>
      <c r="J641" t="str">
        <f t="shared" si="271"/>
        <v>BANK ISLAM BHD</v>
      </c>
      <c r="K641" t="str">
        <f>"12122020220543"</f>
        <v>12122020220543</v>
      </c>
      <c r="L641" t="str">
        <f t="shared" si="269"/>
        <v>04-08-2020</v>
      </c>
      <c r="M641" t="str">
        <f t="shared" si="269"/>
        <v>04-08-2020</v>
      </c>
      <c r="N641" t="str">
        <f t="shared" si="251"/>
        <v>001105018356</v>
      </c>
      <c r="O641" t="str">
        <f t="shared" si="252"/>
        <v>MYR</v>
      </c>
      <c r="P641" t="str">
        <f t="shared" si="270"/>
        <v>NIL</v>
      </c>
      <c r="Q641" t="str">
        <f t="shared" si="270"/>
        <v>NIL</v>
      </c>
      <c r="R641" t="str">
        <f t="shared" si="253"/>
        <v>Accepted</v>
      </c>
      <c r="S641" t="str">
        <f t="shared" si="254"/>
        <v>Approved</v>
      </c>
      <c r="T641" t="str">
        <f t="shared" si="255"/>
        <v>10.20.8.188</v>
      </c>
      <c r="U641" t="str">
        <f t="shared" si="256"/>
        <v>AZRAD UMAR BIN SHAARI</v>
      </c>
      <c r="V641" t="str">
        <f t="shared" si="257"/>
        <v>FARHANA BINTI MUSTAPA</v>
      </c>
      <c r="W641" t="str">
        <f t="shared" si="258"/>
        <v>04-08-2020</v>
      </c>
      <c r="X641" t="str">
        <f t="shared" si="259"/>
        <v>RAZIMAH ANSAR AHMAD</v>
      </c>
      <c r="Y641" t="str">
        <f t="shared" si="260"/>
        <v>04-08-2020</v>
      </c>
      <c r="Z641" t="str">
        <f>"IDSB19200804 11"</f>
        <v>IDSB19200804 11</v>
      </c>
    </row>
    <row r="642" spans="1:26" x14ac:dyDescent="0.25">
      <c r="A642" t="str">
        <f t="shared" si="267"/>
        <v>04-08-2020 01:20:32</v>
      </c>
      <c r="B642" t="str">
        <f>"0000810321"</f>
        <v>0000810321</v>
      </c>
      <c r="C642" t="str">
        <f t="shared" si="268"/>
        <v>0000810311</v>
      </c>
      <c r="D642" t="str">
        <f t="shared" si="248"/>
        <v>73185</v>
      </c>
      <c r="E642" t="str">
        <f t="shared" si="249"/>
        <v>KFH-OPERATIONS DEPARTMENT</v>
      </c>
      <c r="F642" t="str">
        <f t="shared" si="250"/>
        <v>IBG</v>
      </c>
      <c r="G642" t="str">
        <f t="shared" si="264"/>
        <v>Refund IDSB 19</v>
      </c>
      <c r="H642" s="2">
        <v>301.58</v>
      </c>
      <c r="I642" t="str">
        <f>"AZIZUL BIN ABDUL AZIZ"</f>
        <v>AZIZUL BIN ABDUL AZIZ</v>
      </c>
      <c r="J642" t="str">
        <f t="shared" si="271"/>
        <v>BANK ISLAM BHD</v>
      </c>
      <c r="K642" t="str">
        <f>"12029020461597"</f>
        <v>12029020461597</v>
      </c>
      <c r="L642" t="str">
        <f t="shared" si="269"/>
        <v>04-08-2020</v>
      </c>
      <c r="M642" t="str">
        <f t="shared" si="269"/>
        <v>04-08-2020</v>
      </c>
      <c r="N642" t="str">
        <f t="shared" si="251"/>
        <v>001105018356</v>
      </c>
      <c r="O642" t="str">
        <f t="shared" si="252"/>
        <v>MYR</v>
      </c>
      <c r="P642" t="str">
        <f t="shared" si="270"/>
        <v>NIL</v>
      </c>
      <c r="Q642" t="str">
        <f t="shared" si="270"/>
        <v>NIL</v>
      </c>
      <c r="R642" t="str">
        <f t="shared" si="253"/>
        <v>Accepted</v>
      </c>
      <c r="S642" t="str">
        <f t="shared" si="254"/>
        <v>Approved</v>
      </c>
      <c r="T642" t="str">
        <f t="shared" si="255"/>
        <v>10.20.8.188</v>
      </c>
      <c r="U642" t="str">
        <f t="shared" si="256"/>
        <v>AZRAD UMAR BIN SHAARI</v>
      </c>
      <c r="V642" t="str">
        <f t="shared" si="257"/>
        <v>FARHANA BINTI MUSTAPA</v>
      </c>
      <c r="W642" t="str">
        <f t="shared" si="258"/>
        <v>04-08-2020</v>
      </c>
      <c r="X642" t="str">
        <f t="shared" si="259"/>
        <v>RAZIMAH ANSAR AHMAD</v>
      </c>
      <c r="Y642" t="str">
        <f t="shared" si="260"/>
        <v>04-08-2020</v>
      </c>
      <c r="Z642" t="str">
        <f>"IDSB19200804 10"</f>
        <v>IDSB19200804 10</v>
      </c>
    </row>
    <row r="643" spans="1:26" x14ac:dyDescent="0.25">
      <c r="A643" t="str">
        <f t="shared" si="267"/>
        <v>04-08-2020 01:20:32</v>
      </c>
      <c r="B643" t="str">
        <f>"0000810320"</f>
        <v>0000810320</v>
      </c>
      <c r="C643" t="str">
        <f t="shared" si="268"/>
        <v>0000810311</v>
      </c>
      <c r="D643" t="str">
        <f t="shared" si="248"/>
        <v>73185</v>
      </c>
      <c r="E643" t="str">
        <f t="shared" si="249"/>
        <v>KFH-OPERATIONS DEPARTMENT</v>
      </c>
      <c r="F643" t="str">
        <f t="shared" si="250"/>
        <v>IBG</v>
      </c>
      <c r="G643" t="str">
        <f t="shared" si="264"/>
        <v>Refund IDSB 19</v>
      </c>
      <c r="H643" s="2">
        <v>67.17</v>
      </c>
      <c r="I643" t="str">
        <f>"ANUAR BIN DIRAN"</f>
        <v>ANUAR BIN DIRAN</v>
      </c>
      <c r="J643" t="str">
        <f t="shared" si="271"/>
        <v>BANK ISLAM BHD</v>
      </c>
      <c r="K643" t="str">
        <f>"12010024558706"</f>
        <v>12010024558706</v>
      </c>
      <c r="L643" t="str">
        <f t="shared" si="269"/>
        <v>04-08-2020</v>
      </c>
      <c r="M643" t="str">
        <f t="shared" si="269"/>
        <v>04-08-2020</v>
      </c>
      <c r="N643" t="str">
        <f t="shared" si="251"/>
        <v>001105018356</v>
      </c>
      <c r="O643" t="str">
        <f t="shared" si="252"/>
        <v>MYR</v>
      </c>
      <c r="P643" t="str">
        <f t="shared" si="270"/>
        <v>NIL</v>
      </c>
      <c r="Q643" t="str">
        <f t="shared" si="270"/>
        <v>NIL</v>
      </c>
      <c r="R643" t="str">
        <f t="shared" si="253"/>
        <v>Accepted</v>
      </c>
      <c r="S643" t="str">
        <f t="shared" si="254"/>
        <v>Approved</v>
      </c>
      <c r="T643" t="str">
        <f t="shared" si="255"/>
        <v>10.20.8.188</v>
      </c>
      <c r="U643" t="str">
        <f t="shared" si="256"/>
        <v>AZRAD UMAR BIN SHAARI</v>
      </c>
      <c r="V643" t="str">
        <f t="shared" si="257"/>
        <v>FARHANA BINTI MUSTAPA</v>
      </c>
      <c r="W643" t="str">
        <f t="shared" si="258"/>
        <v>04-08-2020</v>
      </c>
      <c r="X643" t="str">
        <f t="shared" si="259"/>
        <v>RAZIMAH ANSAR AHMAD</v>
      </c>
      <c r="Y643" t="str">
        <f t="shared" si="260"/>
        <v>04-08-2020</v>
      </c>
      <c r="Z643" t="str">
        <f>"IDSB19200804 9"</f>
        <v>IDSB19200804 9</v>
      </c>
    </row>
    <row r="644" spans="1:26" x14ac:dyDescent="0.25">
      <c r="A644" t="str">
        <f t="shared" ref="A644:A651" si="272">"04-08-2020 01:20:32"</f>
        <v>04-08-2020 01:20:32</v>
      </c>
      <c r="B644" t="str">
        <f>"0000810319"</f>
        <v>0000810319</v>
      </c>
      <c r="C644" t="str">
        <f t="shared" ref="C644:C651" si="273">"0000810311"</f>
        <v>0000810311</v>
      </c>
      <c r="D644" t="str">
        <f t="shared" si="248"/>
        <v>73185</v>
      </c>
      <c r="E644" t="str">
        <f t="shared" si="249"/>
        <v>KFH-OPERATIONS DEPARTMENT</v>
      </c>
      <c r="F644" t="str">
        <f t="shared" si="250"/>
        <v>IBG</v>
      </c>
      <c r="G644" t="str">
        <f t="shared" si="264"/>
        <v>Refund IDSB 19</v>
      </c>
      <c r="H644" s="2">
        <v>84</v>
      </c>
      <c r="I644" t="str">
        <f>"ALIAS BIN MUNTOK"</f>
        <v>ALIAS BIN MUNTOK</v>
      </c>
      <c r="J644" t="str">
        <f t="shared" si="271"/>
        <v>BANK ISLAM BHD</v>
      </c>
      <c r="K644" t="str">
        <f>"12065020126073"</f>
        <v>12065020126073</v>
      </c>
      <c r="L644" t="str">
        <f t="shared" si="269"/>
        <v>04-08-2020</v>
      </c>
      <c r="M644" t="str">
        <f t="shared" si="269"/>
        <v>04-08-2020</v>
      </c>
      <c r="N644" t="str">
        <f t="shared" si="251"/>
        <v>001105018356</v>
      </c>
      <c r="O644" t="str">
        <f t="shared" si="252"/>
        <v>MYR</v>
      </c>
      <c r="P644" t="str">
        <f t="shared" si="270"/>
        <v>NIL</v>
      </c>
      <c r="Q644" t="str">
        <f t="shared" si="270"/>
        <v>NIL</v>
      </c>
      <c r="R644" t="str">
        <f t="shared" si="253"/>
        <v>Accepted</v>
      </c>
      <c r="S644" t="str">
        <f t="shared" si="254"/>
        <v>Approved</v>
      </c>
      <c r="T644" t="str">
        <f t="shared" si="255"/>
        <v>10.20.8.188</v>
      </c>
      <c r="U644" t="str">
        <f t="shared" si="256"/>
        <v>AZRAD UMAR BIN SHAARI</v>
      </c>
      <c r="V644" t="str">
        <f t="shared" si="257"/>
        <v>FARHANA BINTI MUSTAPA</v>
      </c>
      <c r="W644" t="str">
        <f t="shared" si="258"/>
        <v>04-08-2020</v>
      </c>
      <c r="X644" t="str">
        <f t="shared" si="259"/>
        <v>RAZIMAH ANSAR AHMAD</v>
      </c>
      <c r="Y644" t="str">
        <f t="shared" si="260"/>
        <v>04-08-2020</v>
      </c>
      <c r="Z644" t="str">
        <f>"IDSB19200804 8"</f>
        <v>IDSB19200804 8</v>
      </c>
    </row>
    <row r="645" spans="1:26" x14ac:dyDescent="0.25">
      <c r="A645" t="str">
        <f t="shared" si="272"/>
        <v>04-08-2020 01:20:32</v>
      </c>
      <c r="B645" t="str">
        <f>"0000810318"</f>
        <v>0000810318</v>
      </c>
      <c r="C645" t="str">
        <f t="shared" si="273"/>
        <v>0000810311</v>
      </c>
      <c r="D645" t="str">
        <f t="shared" si="248"/>
        <v>73185</v>
      </c>
      <c r="E645" t="str">
        <f t="shared" si="249"/>
        <v>KFH-OPERATIONS DEPARTMENT</v>
      </c>
      <c r="F645" t="str">
        <f t="shared" si="250"/>
        <v>IBG</v>
      </c>
      <c r="G645" t="str">
        <f t="shared" si="264"/>
        <v>Refund IDSB 19</v>
      </c>
      <c r="H645" s="2">
        <v>71.47</v>
      </c>
      <c r="I645" t="str">
        <f>"AKILAH BINTI ABDULLAH"</f>
        <v>AKILAH BINTI ABDULLAH</v>
      </c>
      <c r="J645" t="str">
        <f t="shared" si="271"/>
        <v>BANK ISLAM BHD</v>
      </c>
      <c r="K645" t="str">
        <f>"02039020395548"</f>
        <v>02039020395548</v>
      </c>
      <c r="L645" t="str">
        <f t="shared" si="269"/>
        <v>04-08-2020</v>
      </c>
      <c r="M645" t="str">
        <f t="shared" si="269"/>
        <v>04-08-2020</v>
      </c>
      <c r="N645" t="str">
        <f t="shared" si="251"/>
        <v>001105018356</v>
      </c>
      <c r="O645" t="str">
        <f t="shared" si="252"/>
        <v>MYR</v>
      </c>
      <c r="P645" t="str">
        <f t="shared" si="270"/>
        <v>NIL</v>
      </c>
      <c r="Q645" t="str">
        <f t="shared" si="270"/>
        <v>NIL</v>
      </c>
      <c r="R645" t="str">
        <f t="shared" si="253"/>
        <v>Accepted</v>
      </c>
      <c r="S645" t="str">
        <f t="shared" si="254"/>
        <v>Approved</v>
      </c>
      <c r="T645" t="str">
        <f t="shared" si="255"/>
        <v>10.20.8.188</v>
      </c>
      <c r="U645" t="str">
        <f t="shared" si="256"/>
        <v>AZRAD UMAR BIN SHAARI</v>
      </c>
      <c r="V645" t="str">
        <f t="shared" si="257"/>
        <v>FARHANA BINTI MUSTAPA</v>
      </c>
      <c r="W645" t="str">
        <f t="shared" si="258"/>
        <v>04-08-2020</v>
      </c>
      <c r="X645" t="str">
        <f t="shared" si="259"/>
        <v>RAZIMAH ANSAR AHMAD</v>
      </c>
      <c r="Y645" t="str">
        <f t="shared" si="260"/>
        <v>04-08-2020</v>
      </c>
      <c r="Z645" t="str">
        <f>"IDSB19200804 7"</f>
        <v>IDSB19200804 7</v>
      </c>
    </row>
    <row r="646" spans="1:26" x14ac:dyDescent="0.25">
      <c r="A646" t="str">
        <f t="shared" si="272"/>
        <v>04-08-2020 01:20:32</v>
      </c>
      <c r="B646" t="str">
        <f>"0000810317"</f>
        <v>0000810317</v>
      </c>
      <c r="C646" t="str">
        <f t="shared" si="273"/>
        <v>0000810311</v>
      </c>
      <c r="D646" t="str">
        <f t="shared" si="248"/>
        <v>73185</v>
      </c>
      <c r="E646" t="str">
        <f t="shared" si="249"/>
        <v>KFH-OPERATIONS DEPARTMENT</v>
      </c>
      <c r="F646" t="str">
        <f t="shared" si="250"/>
        <v>IBG</v>
      </c>
      <c r="G646" t="str">
        <f t="shared" si="264"/>
        <v>Refund IDSB 19</v>
      </c>
      <c r="H646" s="2">
        <v>83.92</v>
      </c>
      <c r="I646" t="str">
        <f>"AIDA FAHANI BINTI ABD RAHIM"</f>
        <v>AIDA FAHANI BINTI ABD RAHIM</v>
      </c>
      <c r="J646" t="str">
        <f t="shared" si="271"/>
        <v>BANK ISLAM BHD</v>
      </c>
      <c r="K646" t="str">
        <f>"02093020005299"</f>
        <v>02093020005299</v>
      </c>
      <c r="L646" t="str">
        <f t="shared" si="269"/>
        <v>04-08-2020</v>
      </c>
      <c r="M646" t="str">
        <f t="shared" si="269"/>
        <v>04-08-2020</v>
      </c>
      <c r="N646" t="str">
        <f t="shared" si="251"/>
        <v>001105018356</v>
      </c>
      <c r="O646" t="str">
        <f t="shared" si="252"/>
        <v>MYR</v>
      </c>
      <c r="P646" t="str">
        <f t="shared" si="270"/>
        <v>NIL</v>
      </c>
      <c r="Q646" t="str">
        <f t="shared" si="270"/>
        <v>NIL</v>
      </c>
      <c r="R646" t="str">
        <f t="shared" si="253"/>
        <v>Accepted</v>
      </c>
      <c r="S646" t="str">
        <f t="shared" si="254"/>
        <v>Approved</v>
      </c>
      <c r="T646" t="str">
        <f t="shared" si="255"/>
        <v>10.20.8.188</v>
      </c>
      <c r="U646" t="str">
        <f t="shared" si="256"/>
        <v>AZRAD UMAR BIN SHAARI</v>
      </c>
      <c r="V646" t="str">
        <f t="shared" si="257"/>
        <v>FARHANA BINTI MUSTAPA</v>
      </c>
      <c r="W646" t="str">
        <f t="shared" si="258"/>
        <v>04-08-2020</v>
      </c>
      <c r="X646" t="str">
        <f t="shared" si="259"/>
        <v>RAZIMAH ANSAR AHMAD</v>
      </c>
      <c r="Y646" t="str">
        <f t="shared" si="260"/>
        <v>04-08-2020</v>
      </c>
      <c r="Z646" t="str">
        <f>"IDSB19200804 6"</f>
        <v>IDSB19200804 6</v>
      </c>
    </row>
    <row r="647" spans="1:26" x14ac:dyDescent="0.25">
      <c r="A647" t="str">
        <f t="shared" si="272"/>
        <v>04-08-2020 01:20:32</v>
      </c>
      <c r="B647" t="str">
        <f>"0000810316"</f>
        <v>0000810316</v>
      </c>
      <c r="C647" t="str">
        <f t="shared" si="273"/>
        <v>0000810311</v>
      </c>
      <c r="D647" t="str">
        <f t="shared" ref="D647:D710" si="274">"73185"</f>
        <v>73185</v>
      </c>
      <c r="E647" t="str">
        <f t="shared" ref="E647:E710" si="275">"KFH-OPERATIONS DEPARTMENT"</f>
        <v>KFH-OPERATIONS DEPARTMENT</v>
      </c>
      <c r="F647" t="str">
        <f t="shared" ref="F647:F710" si="276">"IBG"</f>
        <v>IBG</v>
      </c>
      <c r="G647" t="str">
        <f t="shared" si="264"/>
        <v>Refund IDSB 19</v>
      </c>
      <c r="H647" s="2">
        <v>433</v>
      </c>
      <c r="I647" t="str">
        <f>"AHMAD RASUL BIN AHMAD TAJUDDIN"</f>
        <v>AHMAD RASUL BIN AHMAD TAJUDDIN</v>
      </c>
      <c r="J647" t="str">
        <f t="shared" si="271"/>
        <v>BANK ISLAM BHD</v>
      </c>
      <c r="K647" t="str">
        <f>"02093020582914"</f>
        <v>02093020582914</v>
      </c>
      <c r="L647" t="str">
        <f t="shared" ref="L647:M666" si="277">"04-08-2020"</f>
        <v>04-08-2020</v>
      </c>
      <c r="M647" t="str">
        <f t="shared" si="277"/>
        <v>04-08-2020</v>
      </c>
      <c r="N647" t="str">
        <f t="shared" ref="N647:N710" si="278">"001105018356"</f>
        <v>001105018356</v>
      </c>
      <c r="O647" t="str">
        <f t="shared" ref="O647:O710" si="279">"MYR"</f>
        <v>MYR</v>
      </c>
      <c r="P647" t="str">
        <f t="shared" ref="P647:Q666" si="280">"NIL"</f>
        <v>NIL</v>
      </c>
      <c r="Q647" t="str">
        <f t="shared" si="280"/>
        <v>NIL</v>
      </c>
      <c r="R647" t="str">
        <f t="shared" ref="R647:R710" si="281">"Accepted"</f>
        <v>Accepted</v>
      </c>
      <c r="S647" t="str">
        <f t="shared" ref="S647:S710" si="282">"Approved"</f>
        <v>Approved</v>
      </c>
      <c r="T647" t="str">
        <f t="shared" ref="T647:T710" si="283">"10.20.8.188"</f>
        <v>10.20.8.188</v>
      </c>
      <c r="U647" t="str">
        <f t="shared" ref="U647:U710" si="284">"AZRAD UMAR BIN SHAARI"</f>
        <v>AZRAD UMAR BIN SHAARI</v>
      </c>
      <c r="V647" t="str">
        <f t="shared" ref="V647:V710" si="285">"FARHANA BINTI MUSTAPA"</f>
        <v>FARHANA BINTI MUSTAPA</v>
      </c>
      <c r="W647" t="str">
        <f t="shared" ref="W647:W710" si="286">"04-08-2020"</f>
        <v>04-08-2020</v>
      </c>
      <c r="X647" t="str">
        <f t="shared" ref="X647:X710" si="287">"RAZIMAH ANSAR AHMAD"</f>
        <v>RAZIMAH ANSAR AHMAD</v>
      </c>
      <c r="Y647" t="str">
        <f t="shared" ref="Y647:Y710" si="288">"04-08-2020"</f>
        <v>04-08-2020</v>
      </c>
      <c r="Z647" t="str">
        <f>"IDSB19200804 5"</f>
        <v>IDSB19200804 5</v>
      </c>
    </row>
    <row r="648" spans="1:26" x14ac:dyDescent="0.25">
      <c r="A648" t="str">
        <f t="shared" si="272"/>
        <v>04-08-2020 01:20:32</v>
      </c>
      <c r="B648" t="str">
        <f>"0000810315"</f>
        <v>0000810315</v>
      </c>
      <c r="C648" t="str">
        <f t="shared" si="273"/>
        <v>0000810311</v>
      </c>
      <c r="D648" t="str">
        <f t="shared" si="274"/>
        <v>73185</v>
      </c>
      <c r="E648" t="str">
        <f t="shared" si="275"/>
        <v>KFH-OPERATIONS DEPARTMENT</v>
      </c>
      <c r="F648" t="str">
        <f t="shared" si="276"/>
        <v>IBG</v>
      </c>
      <c r="G648" t="str">
        <f t="shared" si="264"/>
        <v>Refund IDSB 19</v>
      </c>
      <c r="H648" s="2">
        <v>266</v>
      </c>
      <c r="I648" t="str">
        <f>"AHMAD NAZRI BIN MANSOR"</f>
        <v>AHMAD NAZRI BIN MANSOR</v>
      </c>
      <c r="J648" t="str">
        <f t="shared" si="271"/>
        <v>BANK ISLAM BHD</v>
      </c>
      <c r="K648" t="str">
        <f>"12186020032679"</f>
        <v>12186020032679</v>
      </c>
      <c r="L648" t="str">
        <f t="shared" si="277"/>
        <v>04-08-2020</v>
      </c>
      <c r="M648" t="str">
        <f t="shared" si="277"/>
        <v>04-08-2020</v>
      </c>
      <c r="N648" t="str">
        <f t="shared" si="278"/>
        <v>001105018356</v>
      </c>
      <c r="O648" t="str">
        <f t="shared" si="279"/>
        <v>MYR</v>
      </c>
      <c r="P648" t="str">
        <f t="shared" si="280"/>
        <v>NIL</v>
      </c>
      <c r="Q648" t="str">
        <f t="shared" si="280"/>
        <v>NIL</v>
      </c>
      <c r="R648" t="str">
        <f t="shared" si="281"/>
        <v>Accepted</v>
      </c>
      <c r="S648" t="str">
        <f t="shared" si="282"/>
        <v>Approved</v>
      </c>
      <c r="T648" t="str">
        <f t="shared" si="283"/>
        <v>10.20.8.188</v>
      </c>
      <c r="U648" t="str">
        <f t="shared" si="284"/>
        <v>AZRAD UMAR BIN SHAARI</v>
      </c>
      <c r="V648" t="str">
        <f t="shared" si="285"/>
        <v>FARHANA BINTI MUSTAPA</v>
      </c>
      <c r="W648" t="str">
        <f t="shared" si="286"/>
        <v>04-08-2020</v>
      </c>
      <c r="X648" t="str">
        <f t="shared" si="287"/>
        <v>RAZIMAH ANSAR AHMAD</v>
      </c>
      <c r="Y648" t="str">
        <f t="shared" si="288"/>
        <v>04-08-2020</v>
      </c>
      <c r="Z648" t="str">
        <f>"IDSB19200804 4"</f>
        <v>IDSB19200804 4</v>
      </c>
    </row>
    <row r="649" spans="1:26" x14ac:dyDescent="0.25">
      <c r="A649" t="str">
        <f t="shared" si="272"/>
        <v>04-08-2020 01:20:32</v>
      </c>
      <c r="B649" t="str">
        <f>"0000810314"</f>
        <v>0000810314</v>
      </c>
      <c r="C649" t="str">
        <f t="shared" si="273"/>
        <v>0000810311</v>
      </c>
      <c r="D649" t="str">
        <f t="shared" si="274"/>
        <v>73185</v>
      </c>
      <c r="E649" t="str">
        <f t="shared" si="275"/>
        <v>KFH-OPERATIONS DEPARTMENT</v>
      </c>
      <c r="F649" t="str">
        <f t="shared" si="276"/>
        <v>IBG</v>
      </c>
      <c r="G649" t="str">
        <f t="shared" si="264"/>
        <v>Refund IDSB 19</v>
      </c>
      <c r="H649" s="2">
        <v>463</v>
      </c>
      <c r="I649" t="str">
        <f>"NORAH BINTI MOHD DAHAN"</f>
        <v>NORAH BINTI MOHD DAHAN</v>
      </c>
      <c r="J649" t="str">
        <f>"AMBANK / AMISLAMIC BANK"</f>
        <v>AMBANK / AMISLAMIC BANK</v>
      </c>
      <c r="K649" t="str">
        <f>"2280020036535"</f>
        <v>2280020036535</v>
      </c>
      <c r="L649" t="str">
        <f t="shared" si="277"/>
        <v>04-08-2020</v>
      </c>
      <c r="M649" t="str">
        <f t="shared" si="277"/>
        <v>04-08-2020</v>
      </c>
      <c r="N649" t="str">
        <f t="shared" si="278"/>
        <v>001105018356</v>
      </c>
      <c r="O649" t="str">
        <f t="shared" si="279"/>
        <v>MYR</v>
      </c>
      <c r="P649" t="str">
        <f t="shared" si="280"/>
        <v>NIL</v>
      </c>
      <c r="Q649" t="str">
        <f t="shared" si="280"/>
        <v>NIL</v>
      </c>
      <c r="R649" t="str">
        <f t="shared" si="281"/>
        <v>Accepted</v>
      </c>
      <c r="S649" t="str">
        <f t="shared" si="282"/>
        <v>Approved</v>
      </c>
      <c r="T649" t="str">
        <f t="shared" si="283"/>
        <v>10.20.8.188</v>
      </c>
      <c r="U649" t="str">
        <f t="shared" si="284"/>
        <v>AZRAD UMAR BIN SHAARI</v>
      </c>
      <c r="V649" t="str">
        <f t="shared" si="285"/>
        <v>FARHANA BINTI MUSTAPA</v>
      </c>
      <c r="W649" t="str">
        <f t="shared" si="286"/>
        <v>04-08-2020</v>
      </c>
      <c r="X649" t="str">
        <f t="shared" si="287"/>
        <v>RAZIMAH ANSAR AHMAD</v>
      </c>
      <c r="Y649" t="str">
        <f t="shared" si="288"/>
        <v>04-08-2020</v>
      </c>
      <c r="Z649" t="str">
        <f>"IDSB19200804 3"</f>
        <v>IDSB19200804 3</v>
      </c>
    </row>
    <row r="650" spans="1:26" x14ac:dyDescent="0.25">
      <c r="A650" t="str">
        <f t="shared" si="272"/>
        <v>04-08-2020 01:20:32</v>
      </c>
      <c r="B650" t="str">
        <f>"0000810313"</f>
        <v>0000810313</v>
      </c>
      <c r="C650" t="str">
        <f t="shared" si="273"/>
        <v>0000810311</v>
      </c>
      <c r="D650" t="str">
        <f t="shared" si="274"/>
        <v>73185</v>
      </c>
      <c r="E650" t="str">
        <f t="shared" si="275"/>
        <v>KFH-OPERATIONS DEPARTMENT</v>
      </c>
      <c r="F650" t="str">
        <f t="shared" si="276"/>
        <v>IBG</v>
      </c>
      <c r="G650" t="str">
        <f t="shared" si="264"/>
        <v>Refund IDSB 19</v>
      </c>
      <c r="H650" s="2">
        <v>50.38</v>
      </c>
      <c r="I650" t="str">
        <f>"NORSALIZA BINTI MOHD SALLEH"</f>
        <v>NORSALIZA BINTI MOHD SALLEH</v>
      </c>
      <c r="J650" t="str">
        <f>"AFFIN BANK / AFFIN ISLAMIC BANK"</f>
        <v>AFFIN BANK / AFFIN ISLAMIC BANK</v>
      </c>
      <c r="K650" t="str">
        <f>"200600097802"</f>
        <v>200600097802</v>
      </c>
      <c r="L650" t="str">
        <f t="shared" si="277"/>
        <v>04-08-2020</v>
      </c>
      <c r="M650" t="str">
        <f t="shared" si="277"/>
        <v>04-08-2020</v>
      </c>
      <c r="N650" t="str">
        <f t="shared" si="278"/>
        <v>001105018356</v>
      </c>
      <c r="O650" t="str">
        <f t="shared" si="279"/>
        <v>MYR</v>
      </c>
      <c r="P650" t="str">
        <f t="shared" si="280"/>
        <v>NIL</v>
      </c>
      <c r="Q650" t="str">
        <f t="shared" si="280"/>
        <v>NIL</v>
      </c>
      <c r="R650" t="str">
        <f t="shared" si="281"/>
        <v>Accepted</v>
      </c>
      <c r="S650" t="str">
        <f t="shared" si="282"/>
        <v>Approved</v>
      </c>
      <c r="T650" t="str">
        <f t="shared" si="283"/>
        <v>10.20.8.188</v>
      </c>
      <c r="U650" t="str">
        <f t="shared" si="284"/>
        <v>AZRAD UMAR BIN SHAARI</v>
      </c>
      <c r="V650" t="str">
        <f t="shared" si="285"/>
        <v>FARHANA BINTI MUSTAPA</v>
      </c>
      <c r="W650" t="str">
        <f t="shared" si="286"/>
        <v>04-08-2020</v>
      </c>
      <c r="X650" t="str">
        <f t="shared" si="287"/>
        <v>RAZIMAH ANSAR AHMAD</v>
      </c>
      <c r="Y650" t="str">
        <f t="shared" si="288"/>
        <v>04-08-2020</v>
      </c>
      <c r="Z650" t="str">
        <f>"IDSB19200804 2"</f>
        <v>IDSB19200804 2</v>
      </c>
    </row>
    <row r="651" spans="1:26" x14ac:dyDescent="0.25">
      <c r="A651" t="str">
        <f t="shared" si="272"/>
        <v>04-08-2020 01:20:32</v>
      </c>
      <c r="B651" t="str">
        <f>"0000810312"</f>
        <v>0000810312</v>
      </c>
      <c r="C651" t="str">
        <f t="shared" si="273"/>
        <v>0000810311</v>
      </c>
      <c r="D651" t="str">
        <f t="shared" si="274"/>
        <v>73185</v>
      </c>
      <c r="E651" t="str">
        <f t="shared" si="275"/>
        <v>KFH-OPERATIONS DEPARTMENT</v>
      </c>
      <c r="F651" t="str">
        <f t="shared" si="276"/>
        <v>IBG</v>
      </c>
      <c r="G651" t="str">
        <f t="shared" si="264"/>
        <v>Refund IDSB 19</v>
      </c>
      <c r="H651" s="2">
        <v>1595.05</v>
      </c>
      <c r="I651" t="str">
        <f>"NIK AZLIZA BINTI NIK ARIFFIN"</f>
        <v>NIK AZLIZA BINTI NIK ARIFFIN</v>
      </c>
      <c r="J651" t="str">
        <f>"AFFIN BANK / AFFIN ISLAMIC BANK"</f>
        <v>AFFIN BANK / AFFIN ISLAMIC BANK</v>
      </c>
      <c r="K651" t="str">
        <f>"205140008398"</f>
        <v>205140008398</v>
      </c>
      <c r="L651" t="str">
        <f t="shared" si="277"/>
        <v>04-08-2020</v>
      </c>
      <c r="M651" t="str">
        <f t="shared" si="277"/>
        <v>04-08-2020</v>
      </c>
      <c r="N651" t="str">
        <f t="shared" si="278"/>
        <v>001105018356</v>
      </c>
      <c r="O651" t="str">
        <f t="shared" si="279"/>
        <v>MYR</v>
      </c>
      <c r="P651" t="str">
        <f t="shared" si="280"/>
        <v>NIL</v>
      </c>
      <c r="Q651" t="str">
        <f t="shared" si="280"/>
        <v>NIL</v>
      </c>
      <c r="R651" t="str">
        <f t="shared" si="281"/>
        <v>Accepted</v>
      </c>
      <c r="S651" t="str">
        <f t="shared" si="282"/>
        <v>Approved</v>
      </c>
      <c r="T651" t="str">
        <f t="shared" si="283"/>
        <v>10.20.8.188</v>
      </c>
      <c r="U651" t="str">
        <f t="shared" si="284"/>
        <v>AZRAD UMAR BIN SHAARI</v>
      </c>
      <c r="V651" t="str">
        <f t="shared" si="285"/>
        <v>FARHANA BINTI MUSTAPA</v>
      </c>
      <c r="W651" t="str">
        <f t="shared" si="286"/>
        <v>04-08-2020</v>
      </c>
      <c r="X651" t="str">
        <f t="shared" si="287"/>
        <v>RAZIMAH ANSAR AHMAD</v>
      </c>
      <c r="Y651" t="str">
        <f t="shared" si="288"/>
        <v>04-08-2020</v>
      </c>
      <c r="Z651" t="str">
        <f>"IDSB19200804 1"</f>
        <v>IDSB19200804 1</v>
      </c>
    </row>
    <row r="652" spans="1:26" x14ac:dyDescent="0.25">
      <c r="A652" t="str">
        <f t="shared" ref="A652:A683" si="289">"04-08-2020 01:11:34"</f>
        <v>04-08-2020 01:11:34</v>
      </c>
      <c r="B652" t="str">
        <f>"0000810308"</f>
        <v>0000810308</v>
      </c>
      <c r="C652" t="str">
        <f t="shared" ref="C652:C683" si="290">"0000810206"</f>
        <v>0000810206</v>
      </c>
      <c r="D652" t="str">
        <f t="shared" si="274"/>
        <v>73185</v>
      </c>
      <c r="E652" t="str">
        <f t="shared" si="275"/>
        <v>KFH-OPERATIONS DEPARTMENT</v>
      </c>
      <c r="F652" t="str">
        <f t="shared" si="276"/>
        <v>IBG</v>
      </c>
      <c r="G652" t="str">
        <f t="shared" ref="G652:G715" si="291">"Refund COSHARE 10"</f>
        <v>Refund COSHARE 10</v>
      </c>
      <c r="H652" s="2">
        <v>409.3</v>
      </c>
      <c r="I652" t="str">
        <f>"SOPHIA BINTI ALBERT"</f>
        <v>SOPHIA BINTI ALBERT</v>
      </c>
      <c r="J652" t="str">
        <f>"STANDARD CHARTERED BANK/ STANDARD CHARTERED SAADIQ"</f>
        <v>STANDARD CHARTERED BANK/ STANDARD CHARTERED SAADIQ</v>
      </c>
      <c r="K652" t="str">
        <f>"390299990059"</f>
        <v>390299990059</v>
      </c>
      <c r="L652" t="str">
        <f t="shared" si="277"/>
        <v>04-08-2020</v>
      </c>
      <c r="M652" t="str">
        <f t="shared" si="277"/>
        <v>04-08-2020</v>
      </c>
      <c r="N652" t="str">
        <f t="shared" si="278"/>
        <v>001105018356</v>
      </c>
      <c r="O652" t="str">
        <f t="shared" si="279"/>
        <v>MYR</v>
      </c>
      <c r="P652" t="str">
        <f t="shared" si="280"/>
        <v>NIL</v>
      </c>
      <c r="Q652" t="str">
        <f t="shared" si="280"/>
        <v>NIL</v>
      </c>
      <c r="R652" t="str">
        <f t="shared" si="281"/>
        <v>Accepted</v>
      </c>
      <c r="S652" t="str">
        <f t="shared" si="282"/>
        <v>Approved</v>
      </c>
      <c r="T652" t="str">
        <f t="shared" si="283"/>
        <v>10.20.8.188</v>
      </c>
      <c r="U652" t="str">
        <f t="shared" si="284"/>
        <v>AZRAD UMAR BIN SHAARI</v>
      </c>
      <c r="V652" t="str">
        <f t="shared" si="285"/>
        <v>FARHANA BINTI MUSTAPA</v>
      </c>
      <c r="W652" t="str">
        <f t="shared" si="286"/>
        <v>04-08-2020</v>
      </c>
      <c r="X652" t="str">
        <f t="shared" si="287"/>
        <v>RAZIMAH ANSAR AHMAD</v>
      </c>
      <c r="Y652" t="str">
        <f t="shared" si="288"/>
        <v>04-08-2020</v>
      </c>
      <c r="Z652" t="str">
        <f>"COS10200804 8502"</f>
        <v>COS10200804 8502</v>
      </c>
    </row>
    <row r="653" spans="1:26" x14ac:dyDescent="0.25">
      <c r="A653" t="str">
        <f t="shared" si="289"/>
        <v>04-08-2020 01:11:34</v>
      </c>
      <c r="B653" t="str">
        <f>"0000810307"</f>
        <v>0000810307</v>
      </c>
      <c r="C653" t="str">
        <f t="shared" si="290"/>
        <v>0000810206</v>
      </c>
      <c r="D653" t="str">
        <f t="shared" si="274"/>
        <v>73185</v>
      </c>
      <c r="E653" t="str">
        <f t="shared" si="275"/>
        <v>KFH-OPERATIONS DEPARTMENT</v>
      </c>
      <c r="F653" t="str">
        <f t="shared" si="276"/>
        <v>IBG</v>
      </c>
      <c r="G653" t="str">
        <f t="shared" si="291"/>
        <v>Refund COSHARE 10</v>
      </c>
      <c r="H653" s="2">
        <v>238.3</v>
      </c>
      <c r="I653" t="str">
        <f>"NORAINI BINTI MOHAMAD NOOR"</f>
        <v>NORAINI BINTI MOHAMAD NOOR</v>
      </c>
      <c r="J653" t="str">
        <f>"STANDARD CHARTERED BANK/ STANDARD CHARTERED SAADIQ"</f>
        <v>STANDARD CHARTERED BANK/ STANDARD CHARTERED SAADIQ</v>
      </c>
      <c r="K653" t="str">
        <f>"381216870263"</f>
        <v>381216870263</v>
      </c>
      <c r="L653" t="str">
        <f t="shared" si="277"/>
        <v>04-08-2020</v>
      </c>
      <c r="M653" t="str">
        <f t="shared" si="277"/>
        <v>04-08-2020</v>
      </c>
      <c r="N653" t="str">
        <f t="shared" si="278"/>
        <v>001105018356</v>
      </c>
      <c r="O653" t="str">
        <f t="shared" si="279"/>
        <v>MYR</v>
      </c>
      <c r="P653" t="str">
        <f t="shared" si="280"/>
        <v>NIL</v>
      </c>
      <c r="Q653" t="str">
        <f t="shared" si="280"/>
        <v>NIL</v>
      </c>
      <c r="R653" t="str">
        <f t="shared" si="281"/>
        <v>Accepted</v>
      </c>
      <c r="S653" t="str">
        <f t="shared" si="282"/>
        <v>Approved</v>
      </c>
      <c r="T653" t="str">
        <f t="shared" si="283"/>
        <v>10.20.8.188</v>
      </c>
      <c r="U653" t="str">
        <f t="shared" si="284"/>
        <v>AZRAD UMAR BIN SHAARI</v>
      </c>
      <c r="V653" t="str">
        <f t="shared" si="285"/>
        <v>FARHANA BINTI MUSTAPA</v>
      </c>
      <c r="W653" t="str">
        <f t="shared" si="286"/>
        <v>04-08-2020</v>
      </c>
      <c r="X653" t="str">
        <f t="shared" si="287"/>
        <v>RAZIMAH ANSAR AHMAD</v>
      </c>
      <c r="Y653" t="str">
        <f t="shared" si="288"/>
        <v>04-08-2020</v>
      </c>
      <c r="Z653" t="str">
        <f>"COS10200804 8501"</f>
        <v>COS10200804 8501</v>
      </c>
    </row>
    <row r="654" spans="1:26" x14ac:dyDescent="0.25">
      <c r="A654" t="str">
        <f t="shared" si="289"/>
        <v>04-08-2020 01:11:34</v>
      </c>
      <c r="B654" t="str">
        <f>"0000810306"</f>
        <v>0000810306</v>
      </c>
      <c r="C654" t="str">
        <f t="shared" si="290"/>
        <v>0000810206</v>
      </c>
      <c r="D654" t="str">
        <f t="shared" si="274"/>
        <v>73185</v>
      </c>
      <c r="E654" t="str">
        <f t="shared" si="275"/>
        <v>KFH-OPERATIONS DEPARTMENT</v>
      </c>
      <c r="F654" t="str">
        <f t="shared" si="276"/>
        <v>IBG</v>
      </c>
      <c r="G654" t="str">
        <f t="shared" si="291"/>
        <v>Refund COSHARE 10</v>
      </c>
      <c r="H654" s="2">
        <v>604.45000000000005</v>
      </c>
      <c r="I654" t="str">
        <f>"ZURAINA BINTI MOHSIN"</f>
        <v>ZURAINA BINTI MOHSIN</v>
      </c>
      <c r="J654" t="str">
        <f t="shared" ref="J654:J685" si="292">"RHB BANK / RHB ISLAMIC BANK"</f>
        <v>RHB BANK / RHB ISLAMIC BANK</v>
      </c>
      <c r="K654" t="str">
        <f>"16118700009561"</f>
        <v>16118700009561</v>
      </c>
      <c r="L654" t="str">
        <f t="shared" si="277"/>
        <v>04-08-2020</v>
      </c>
      <c r="M654" t="str">
        <f t="shared" si="277"/>
        <v>04-08-2020</v>
      </c>
      <c r="N654" t="str">
        <f t="shared" si="278"/>
        <v>001105018356</v>
      </c>
      <c r="O654" t="str">
        <f t="shared" si="279"/>
        <v>MYR</v>
      </c>
      <c r="P654" t="str">
        <f t="shared" si="280"/>
        <v>NIL</v>
      </c>
      <c r="Q654" t="str">
        <f t="shared" si="280"/>
        <v>NIL</v>
      </c>
      <c r="R654" t="str">
        <f t="shared" si="281"/>
        <v>Accepted</v>
      </c>
      <c r="S654" t="str">
        <f t="shared" si="282"/>
        <v>Approved</v>
      </c>
      <c r="T654" t="str">
        <f t="shared" si="283"/>
        <v>10.20.8.188</v>
      </c>
      <c r="U654" t="str">
        <f t="shared" si="284"/>
        <v>AZRAD UMAR BIN SHAARI</v>
      </c>
      <c r="V654" t="str">
        <f t="shared" si="285"/>
        <v>FARHANA BINTI MUSTAPA</v>
      </c>
      <c r="W654" t="str">
        <f t="shared" si="286"/>
        <v>04-08-2020</v>
      </c>
      <c r="X654" t="str">
        <f t="shared" si="287"/>
        <v>RAZIMAH ANSAR AHMAD</v>
      </c>
      <c r="Y654" t="str">
        <f t="shared" si="288"/>
        <v>04-08-2020</v>
      </c>
      <c r="Z654" t="str">
        <f>"COS10200804 8500"</f>
        <v>COS10200804 8500</v>
      </c>
    </row>
    <row r="655" spans="1:26" x14ac:dyDescent="0.25">
      <c r="A655" t="str">
        <f t="shared" si="289"/>
        <v>04-08-2020 01:11:34</v>
      </c>
      <c r="B655" t="str">
        <f>"0000810305"</f>
        <v>0000810305</v>
      </c>
      <c r="C655" t="str">
        <f t="shared" si="290"/>
        <v>0000810206</v>
      </c>
      <c r="D655" t="str">
        <f t="shared" si="274"/>
        <v>73185</v>
      </c>
      <c r="E655" t="str">
        <f t="shared" si="275"/>
        <v>KFH-OPERATIONS DEPARTMENT</v>
      </c>
      <c r="F655" t="str">
        <f t="shared" si="276"/>
        <v>IBG</v>
      </c>
      <c r="G655" t="str">
        <f t="shared" si="291"/>
        <v>Refund COSHARE 10</v>
      </c>
      <c r="H655" s="2">
        <v>117.55</v>
      </c>
      <c r="I655" t="str">
        <f>"ZULKEFLI BIN WAHID"</f>
        <v>ZULKEFLI BIN WAHID</v>
      </c>
      <c r="J655" t="str">
        <f t="shared" si="292"/>
        <v>RHB BANK / RHB ISLAMIC BANK</v>
      </c>
      <c r="K655" t="str">
        <f>"15602600012064"</f>
        <v>15602600012064</v>
      </c>
      <c r="L655" t="str">
        <f t="shared" si="277"/>
        <v>04-08-2020</v>
      </c>
      <c r="M655" t="str">
        <f t="shared" si="277"/>
        <v>04-08-2020</v>
      </c>
      <c r="N655" t="str">
        <f t="shared" si="278"/>
        <v>001105018356</v>
      </c>
      <c r="O655" t="str">
        <f t="shared" si="279"/>
        <v>MYR</v>
      </c>
      <c r="P655" t="str">
        <f t="shared" si="280"/>
        <v>NIL</v>
      </c>
      <c r="Q655" t="str">
        <f t="shared" si="280"/>
        <v>NIL</v>
      </c>
      <c r="R655" t="str">
        <f t="shared" si="281"/>
        <v>Accepted</v>
      </c>
      <c r="S655" t="str">
        <f t="shared" si="282"/>
        <v>Approved</v>
      </c>
      <c r="T655" t="str">
        <f t="shared" si="283"/>
        <v>10.20.8.188</v>
      </c>
      <c r="U655" t="str">
        <f t="shared" si="284"/>
        <v>AZRAD UMAR BIN SHAARI</v>
      </c>
      <c r="V655" t="str">
        <f t="shared" si="285"/>
        <v>FARHANA BINTI MUSTAPA</v>
      </c>
      <c r="W655" t="str">
        <f t="shared" si="286"/>
        <v>04-08-2020</v>
      </c>
      <c r="X655" t="str">
        <f t="shared" si="287"/>
        <v>RAZIMAH ANSAR AHMAD</v>
      </c>
      <c r="Y655" t="str">
        <f t="shared" si="288"/>
        <v>04-08-2020</v>
      </c>
      <c r="Z655" t="str">
        <f>"COS10200804 8499"</f>
        <v>COS10200804 8499</v>
      </c>
    </row>
    <row r="656" spans="1:26" x14ac:dyDescent="0.25">
      <c r="A656" t="str">
        <f t="shared" si="289"/>
        <v>04-08-2020 01:11:34</v>
      </c>
      <c r="B656" t="str">
        <f>"0000810304"</f>
        <v>0000810304</v>
      </c>
      <c r="C656" t="str">
        <f t="shared" si="290"/>
        <v>0000810206</v>
      </c>
      <c r="D656" t="str">
        <f t="shared" si="274"/>
        <v>73185</v>
      </c>
      <c r="E656" t="str">
        <f t="shared" si="275"/>
        <v>KFH-OPERATIONS DEPARTMENT</v>
      </c>
      <c r="F656" t="str">
        <f t="shared" si="276"/>
        <v>IBG</v>
      </c>
      <c r="G656" t="str">
        <f t="shared" si="291"/>
        <v>Refund COSHARE 10</v>
      </c>
      <c r="H656" s="2">
        <v>1208.9000000000001</v>
      </c>
      <c r="I656" t="str">
        <f>"ZULHAIRI BIN BUJANG"</f>
        <v>ZULHAIRI BIN BUJANG</v>
      </c>
      <c r="J656" t="str">
        <f t="shared" si="292"/>
        <v>RHB BANK / RHB ISLAMIC BANK</v>
      </c>
      <c r="K656" t="str">
        <f>"11121250331355"</f>
        <v>11121250331355</v>
      </c>
      <c r="L656" t="str">
        <f t="shared" si="277"/>
        <v>04-08-2020</v>
      </c>
      <c r="M656" t="str">
        <f t="shared" si="277"/>
        <v>04-08-2020</v>
      </c>
      <c r="N656" t="str">
        <f t="shared" si="278"/>
        <v>001105018356</v>
      </c>
      <c r="O656" t="str">
        <f t="shared" si="279"/>
        <v>MYR</v>
      </c>
      <c r="P656" t="str">
        <f t="shared" si="280"/>
        <v>NIL</v>
      </c>
      <c r="Q656" t="str">
        <f t="shared" si="280"/>
        <v>NIL</v>
      </c>
      <c r="R656" t="str">
        <f t="shared" si="281"/>
        <v>Accepted</v>
      </c>
      <c r="S656" t="str">
        <f t="shared" si="282"/>
        <v>Approved</v>
      </c>
      <c r="T656" t="str">
        <f t="shared" si="283"/>
        <v>10.20.8.188</v>
      </c>
      <c r="U656" t="str">
        <f t="shared" si="284"/>
        <v>AZRAD UMAR BIN SHAARI</v>
      </c>
      <c r="V656" t="str">
        <f t="shared" si="285"/>
        <v>FARHANA BINTI MUSTAPA</v>
      </c>
      <c r="W656" t="str">
        <f t="shared" si="286"/>
        <v>04-08-2020</v>
      </c>
      <c r="X656" t="str">
        <f t="shared" si="287"/>
        <v>RAZIMAH ANSAR AHMAD</v>
      </c>
      <c r="Y656" t="str">
        <f t="shared" si="288"/>
        <v>04-08-2020</v>
      </c>
      <c r="Z656" t="str">
        <f>"COS10200804 8498"</f>
        <v>COS10200804 8498</v>
      </c>
    </row>
    <row r="657" spans="1:26" x14ac:dyDescent="0.25">
      <c r="A657" t="str">
        <f t="shared" si="289"/>
        <v>04-08-2020 01:11:34</v>
      </c>
      <c r="B657" t="str">
        <f>"0000810303"</f>
        <v>0000810303</v>
      </c>
      <c r="C657" t="str">
        <f t="shared" si="290"/>
        <v>0000810206</v>
      </c>
      <c r="D657" t="str">
        <f t="shared" si="274"/>
        <v>73185</v>
      </c>
      <c r="E657" t="str">
        <f t="shared" si="275"/>
        <v>KFH-OPERATIONS DEPARTMENT</v>
      </c>
      <c r="F657" t="str">
        <f t="shared" si="276"/>
        <v>IBG</v>
      </c>
      <c r="G657" t="str">
        <f t="shared" si="291"/>
        <v>Refund COSHARE 10</v>
      </c>
      <c r="H657" s="2">
        <v>671.6</v>
      </c>
      <c r="I657" t="str">
        <f>"ZUHERLY BIN ZOLKAPALI"</f>
        <v>ZUHERLY BIN ZOLKAPALI</v>
      </c>
      <c r="J657" t="str">
        <f t="shared" si="292"/>
        <v>RHB BANK / RHB ISLAMIC BANK</v>
      </c>
      <c r="K657" t="str">
        <f>"10212260022977"</f>
        <v>10212260022977</v>
      </c>
      <c r="L657" t="str">
        <f t="shared" si="277"/>
        <v>04-08-2020</v>
      </c>
      <c r="M657" t="str">
        <f t="shared" si="277"/>
        <v>04-08-2020</v>
      </c>
      <c r="N657" t="str">
        <f t="shared" si="278"/>
        <v>001105018356</v>
      </c>
      <c r="O657" t="str">
        <f t="shared" si="279"/>
        <v>MYR</v>
      </c>
      <c r="P657" t="str">
        <f t="shared" si="280"/>
        <v>NIL</v>
      </c>
      <c r="Q657" t="str">
        <f t="shared" si="280"/>
        <v>NIL</v>
      </c>
      <c r="R657" t="str">
        <f t="shared" si="281"/>
        <v>Accepted</v>
      </c>
      <c r="S657" t="str">
        <f t="shared" si="282"/>
        <v>Approved</v>
      </c>
      <c r="T657" t="str">
        <f t="shared" si="283"/>
        <v>10.20.8.188</v>
      </c>
      <c r="U657" t="str">
        <f t="shared" si="284"/>
        <v>AZRAD UMAR BIN SHAARI</v>
      </c>
      <c r="V657" t="str">
        <f t="shared" si="285"/>
        <v>FARHANA BINTI MUSTAPA</v>
      </c>
      <c r="W657" t="str">
        <f t="shared" si="286"/>
        <v>04-08-2020</v>
      </c>
      <c r="X657" t="str">
        <f t="shared" si="287"/>
        <v>RAZIMAH ANSAR AHMAD</v>
      </c>
      <c r="Y657" t="str">
        <f t="shared" si="288"/>
        <v>04-08-2020</v>
      </c>
      <c r="Z657" t="str">
        <f>"COS10200804 8497"</f>
        <v>COS10200804 8497</v>
      </c>
    </row>
    <row r="658" spans="1:26" x14ac:dyDescent="0.25">
      <c r="A658" t="str">
        <f t="shared" si="289"/>
        <v>04-08-2020 01:11:34</v>
      </c>
      <c r="B658" t="str">
        <f>"0000810302"</f>
        <v>0000810302</v>
      </c>
      <c r="C658" t="str">
        <f t="shared" si="290"/>
        <v>0000810206</v>
      </c>
      <c r="D658" t="str">
        <f t="shared" si="274"/>
        <v>73185</v>
      </c>
      <c r="E658" t="str">
        <f t="shared" si="275"/>
        <v>KFH-OPERATIONS DEPARTMENT</v>
      </c>
      <c r="F658" t="str">
        <f t="shared" si="276"/>
        <v>IBG</v>
      </c>
      <c r="G658" t="str">
        <f t="shared" si="291"/>
        <v>Refund COSHARE 10</v>
      </c>
      <c r="H658" s="2">
        <v>2108.9</v>
      </c>
      <c r="I658" t="str">
        <f>"ZUHAIRI BIN ADNAN"</f>
        <v>ZUHAIRI BIN ADNAN</v>
      </c>
      <c r="J658" t="str">
        <f t="shared" si="292"/>
        <v>RHB BANK / RHB ISLAMIC BANK</v>
      </c>
      <c r="K658" t="str">
        <f>"10807010097750"</f>
        <v>10807010097750</v>
      </c>
      <c r="L658" t="str">
        <f t="shared" si="277"/>
        <v>04-08-2020</v>
      </c>
      <c r="M658" t="str">
        <f t="shared" si="277"/>
        <v>04-08-2020</v>
      </c>
      <c r="N658" t="str">
        <f t="shared" si="278"/>
        <v>001105018356</v>
      </c>
      <c r="O658" t="str">
        <f t="shared" si="279"/>
        <v>MYR</v>
      </c>
      <c r="P658" t="str">
        <f t="shared" si="280"/>
        <v>NIL</v>
      </c>
      <c r="Q658" t="str">
        <f t="shared" si="280"/>
        <v>NIL</v>
      </c>
      <c r="R658" t="str">
        <f t="shared" si="281"/>
        <v>Accepted</v>
      </c>
      <c r="S658" t="str">
        <f t="shared" si="282"/>
        <v>Approved</v>
      </c>
      <c r="T658" t="str">
        <f t="shared" si="283"/>
        <v>10.20.8.188</v>
      </c>
      <c r="U658" t="str">
        <f t="shared" si="284"/>
        <v>AZRAD UMAR BIN SHAARI</v>
      </c>
      <c r="V658" t="str">
        <f t="shared" si="285"/>
        <v>FARHANA BINTI MUSTAPA</v>
      </c>
      <c r="W658" t="str">
        <f t="shared" si="286"/>
        <v>04-08-2020</v>
      </c>
      <c r="X658" t="str">
        <f t="shared" si="287"/>
        <v>RAZIMAH ANSAR AHMAD</v>
      </c>
      <c r="Y658" t="str">
        <f t="shared" si="288"/>
        <v>04-08-2020</v>
      </c>
      <c r="Z658" t="str">
        <f>"COS10200804 8496"</f>
        <v>COS10200804 8496</v>
      </c>
    </row>
    <row r="659" spans="1:26" x14ac:dyDescent="0.25">
      <c r="A659" t="str">
        <f t="shared" si="289"/>
        <v>04-08-2020 01:11:34</v>
      </c>
      <c r="B659" t="str">
        <f>"0000810301"</f>
        <v>0000810301</v>
      </c>
      <c r="C659" t="str">
        <f t="shared" si="290"/>
        <v>0000810206</v>
      </c>
      <c r="D659" t="str">
        <f t="shared" si="274"/>
        <v>73185</v>
      </c>
      <c r="E659" t="str">
        <f t="shared" si="275"/>
        <v>KFH-OPERATIONS DEPARTMENT</v>
      </c>
      <c r="F659" t="str">
        <f t="shared" si="276"/>
        <v>IBG</v>
      </c>
      <c r="G659" t="str">
        <f t="shared" si="291"/>
        <v>Refund COSHARE 10</v>
      </c>
      <c r="H659" s="2">
        <v>167.9</v>
      </c>
      <c r="I659" t="str">
        <f>"ZAYNULLITA BINTI DRAHMAN BUJANG"</f>
        <v>ZAYNULLITA BINTI DRAHMAN BUJANG</v>
      </c>
      <c r="J659" t="str">
        <f t="shared" si="292"/>
        <v>RHB BANK / RHB ISLAMIC BANK</v>
      </c>
      <c r="K659" t="str">
        <f>"11114600051574"</f>
        <v>11114600051574</v>
      </c>
      <c r="L659" t="str">
        <f t="shared" si="277"/>
        <v>04-08-2020</v>
      </c>
      <c r="M659" t="str">
        <f t="shared" si="277"/>
        <v>04-08-2020</v>
      </c>
      <c r="N659" t="str">
        <f t="shared" si="278"/>
        <v>001105018356</v>
      </c>
      <c r="O659" t="str">
        <f t="shared" si="279"/>
        <v>MYR</v>
      </c>
      <c r="P659" t="str">
        <f t="shared" si="280"/>
        <v>NIL</v>
      </c>
      <c r="Q659" t="str">
        <f t="shared" si="280"/>
        <v>NIL</v>
      </c>
      <c r="R659" t="str">
        <f t="shared" si="281"/>
        <v>Accepted</v>
      </c>
      <c r="S659" t="str">
        <f t="shared" si="282"/>
        <v>Approved</v>
      </c>
      <c r="T659" t="str">
        <f t="shared" si="283"/>
        <v>10.20.8.188</v>
      </c>
      <c r="U659" t="str">
        <f t="shared" si="284"/>
        <v>AZRAD UMAR BIN SHAARI</v>
      </c>
      <c r="V659" t="str">
        <f t="shared" si="285"/>
        <v>FARHANA BINTI MUSTAPA</v>
      </c>
      <c r="W659" t="str">
        <f t="shared" si="286"/>
        <v>04-08-2020</v>
      </c>
      <c r="X659" t="str">
        <f t="shared" si="287"/>
        <v>RAZIMAH ANSAR AHMAD</v>
      </c>
      <c r="Y659" t="str">
        <f t="shared" si="288"/>
        <v>04-08-2020</v>
      </c>
      <c r="Z659" t="str">
        <f>"COS10200804 8495"</f>
        <v>COS10200804 8495</v>
      </c>
    </row>
    <row r="660" spans="1:26" x14ac:dyDescent="0.25">
      <c r="A660" t="str">
        <f t="shared" si="289"/>
        <v>04-08-2020 01:11:34</v>
      </c>
      <c r="B660" t="str">
        <f>"0000810300"</f>
        <v>0000810300</v>
      </c>
      <c r="C660" t="str">
        <f t="shared" si="290"/>
        <v>0000810206</v>
      </c>
      <c r="D660" t="str">
        <f t="shared" si="274"/>
        <v>73185</v>
      </c>
      <c r="E660" t="str">
        <f t="shared" si="275"/>
        <v>KFH-OPERATIONS DEPARTMENT</v>
      </c>
      <c r="F660" t="str">
        <f t="shared" si="276"/>
        <v>IBG</v>
      </c>
      <c r="G660" t="str">
        <f t="shared" si="291"/>
        <v>Refund COSHARE 10</v>
      </c>
      <c r="H660" s="2">
        <v>56.3</v>
      </c>
      <c r="I660" t="str">
        <f>"ZALINA BINTI IDRIS"</f>
        <v>ZALINA BINTI IDRIS</v>
      </c>
      <c r="J660" t="str">
        <f t="shared" si="292"/>
        <v>RHB BANK / RHB ISLAMIC BANK</v>
      </c>
      <c r="K660" t="str">
        <f>"11405300306402"</f>
        <v>11405300306402</v>
      </c>
      <c r="L660" t="str">
        <f t="shared" si="277"/>
        <v>04-08-2020</v>
      </c>
      <c r="M660" t="str">
        <f t="shared" si="277"/>
        <v>04-08-2020</v>
      </c>
      <c r="N660" t="str">
        <f t="shared" si="278"/>
        <v>001105018356</v>
      </c>
      <c r="O660" t="str">
        <f t="shared" si="279"/>
        <v>MYR</v>
      </c>
      <c r="P660" t="str">
        <f t="shared" si="280"/>
        <v>NIL</v>
      </c>
      <c r="Q660" t="str">
        <f t="shared" si="280"/>
        <v>NIL</v>
      </c>
      <c r="R660" t="str">
        <f t="shared" si="281"/>
        <v>Accepted</v>
      </c>
      <c r="S660" t="str">
        <f t="shared" si="282"/>
        <v>Approved</v>
      </c>
      <c r="T660" t="str">
        <f t="shared" si="283"/>
        <v>10.20.8.188</v>
      </c>
      <c r="U660" t="str">
        <f t="shared" si="284"/>
        <v>AZRAD UMAR BIN SHAARI</v>
      </c>
      <c r="V660" t="str">
        <f t="shared" si="285"/>
        <v>FARHANA BINTI MUSTAPA</v>
      </c>
      <c r="W660" t="str">
        <f t="shared" si="286"/>
        <v>04-08-2020</v>
      </c>
      <c r="X660" t="str">
        <f t="shared" si="287"/>
        <v>RAZIMAH ANSAR AHMAD</v>
      </c>
      <c r="Y660" t="str">
        <f t="shared" si="288"/>
        <v>04-08-2020</v>
      </c>
      <c r="Z660" t="str">
        <f>"COS10200804 8494"</f>
        <v>COS10200804 8494</v>
      </c>
    </row>
    <row r="661" spans="1:26" x14ac:dyDescent="0.25">
      <c r="A661" t="str">
        <f t="shared" si="289"/>
        <v>04-08-2020 01:11:34</v>
      </c>
      <c r="B661" t="str">
        <f>"0000810299"</f>
        <v>0000810299</v>
      </c>
      <c r="C661" t="str">
        <f t="shared" si="290"/>
        <v>0000810206</v>
      </c>
      <c r="D661" t="str">
        <f t="shared" si="274"/>
        <v>73185</v>
      </c>
      <c r="E661" t="str">
        <f t="shared" si="275"/>
        <v>KFH-OPERATIONS DEPARTMENT</v>
      </c>
      <c r="F661" t="str">
        <f t="shared" si="276"/>
        <v>IBG</v>
      </c>
      <c r="G661" t="str">
        <f t="shared" si="291"/>
        <v>Refund COSHARE 10</v>
      </c>
      <c r="H661" s="2">
        <v>686</v>
      </c>
      <c r="I661" t="str">
        <f>"ZAILINA DEWI BINTI JOE HIPNI"</f>
        <v>ZAILINA DEWI BINTI JOE HIPNI</v>
      </c>
      <c r="J661" t="str">
        <f t="shared" si="292"/>
        <v>RHB BANK / RHB ISLAMIC BANK</v>
      </c>
      <c r="K661" t="str">
        <f>"11116400078513"</f>
        <v>11116400078513</v>
      </c>
      <c r="L661" t="str">
        <f t="shared" si="277"/>
        <v>04-08-2020</v>
      </c>
      <c r="M661" t="str">
        <f t="shared" si="277"/>
        <v>04-08-2020</v>
      </c>
      <c r="N661" t="str">
        <f t="shared" si="278"/>
        <v>001105018356</v>
      </c>
      <c r="O661" t="str">
        <f t="shared" si="279"/>
        <v>MYR</v>
      </c>
      <c r="P661" t="str">
        <f t="shared" si="280"/>
        <v>NIL</v>
      </c>
      <c r="Q661" t="str">
        <f t="shared" si="280"/>
        <v>NIL</v>
      </c>
      <c r="R661" t="str">
        <f t="shared" si="281"/>
        <v>Accepted</v>
      </c>
      <c r="S661" t="str">
        <f t="shared" si="282"/>
        <v>Approved</v>
      </c>
      <c r="T661" t="str">
        <f t="shared" si="283"/>
        <v>10.20.8.188</v>
      </c>
      <c r="U661" t="str">
        <f t="shared" si="284"/>
        <v>AZRAD UMAR BIN SHAARI</v>
      </c>
      <c r="V661" t="str">
        <f t="shared" si="285"/>
        <v>FARHANA BINTI MUSTAPA</v>
      </c>
      <c r="W661" t="str">
        <f t="shared" si="286"/>
        <v>04-08-2020</v>
      </c>
      <c r="X661" t="str">
        <f t="shared" si="287"/>
        <v>RAZIMAH ANSAR AHMAD</v>
      </c>
      <c r="Y661" t="str">
        <f t="shared" si="288"/>
        <v>04-08-2020</v>
      </c>
      <c r="Z661" t="str">
        <f>"COS10200804 8493"</f>
        <v>COS10200804 8493</v>
      </c>
    </row>
    <row r="662" spans="1:26" x14ac:dyDescent="0.25">
      <c r="A662" t="str">
        <f t="shared" si="289"/>
        <v>04-08-2020 01:11:34</v>
      </c>
      <c r="B662" t="str">
        <f>"0000810298"</f>
        <v>0000810298</v>
      </c>
      <c r="C662" t="str">
        <f t="shared" si="290"/>
        <v>0000810206</v>
      </c>
      <c r="D662" t="str">
        <f t="shared" si="274"/>
        <v>73185</v>
      </c>
      <c r="E662" t="str">
        <f t="shared" si="275"/>
        <v>KFH-OPERATIONS DEPARTMENT</v>
      </c>
      <c r="F662" t="str">
        <f t="shared" si="276"/>
        <v>IBG</v>
      </c>
      <c r="G662" t="str">
        <f t="shared" si="291"/>
        <v>Refund COSHARE 10</v>
      </c>
      <c r="H662" s="2">
        <v>1067.05</v>
      </c>
      <c r="I662" t="str">
        <f>"ZAHIAH BINTI MOHD SALLEH"</f>
        <v>ZAHIAH BINTI MOHD SALLEH</v>
      </c>
      <c r="J662" t="str">
        <f t="shared" si="292"/>
        <v>RHB BANK / RHB ISLAMIC BANK</v>
      </c>
      <c r="K662" t="str">
        <f>"11114650157112"</f>
        <v>11114650157112</v>
      </c>
      <c r="L662" t="str">
        <f t="shared" si="277"/>
        <v>04-08-2020</v>
      </c>
      <c r="M662" t="str">
        <f t="shared" si="277"/>
        <v>04-08-2020</v>
      </c>
      <c r="N662" t="str">
        <f t="shared" si="278"/>
        <v>001105018356</v>
      </c>
      <c r="O662" t="str">
        <f t="shared" si="279"/>
        <v>MYR</v>
      </c>
      <c r="P662" t="str">
        <f t="shared" si="280"/>
        <v>NIL</v>
      </c>
      <c r="Q662" t="str">
        <f t="shared" si="280"/>
        <v>NIL</v>
      </c>
      <c r="R662" t="str">
        <f t="shared" si="281"/>
        <v>Accepted</v>
      </c>
      <c r="S662" t="str">
        <f t="shared" si="282"/>
        <v>Approved</v>
      </c>
      <c r="T662" t="str">
        <f t="shared" si="283"/>
        <v>10.20.8.188</v>
      </c>
      <c r="U662" t="str">
        <f t="shared" si="284"/>
        <v>AZRAD UMAR BIN SHAARI</v>
      </c>
      <c r="V662" t="str">
        <f t="shared" si="285"/>
        <v>FARHANA BINTI MUSTAPA</v>
      </c>
      <c r="W662" t="str">
        <f t="shared" si="286"/>
        <v>04-08-2020</v>
      </c>
      <c r="X662" t="str">
        <f t="shared" si="287"/>
        <v>RAZIMAH ANSAR AHMAD</v>
      </c>
      <c r="Y662" t="str">
        <f t="shared" si="288"/>
        <v>04-08-2020</v>
      </c>
      <c r="Z662" t="str">
        <f>"COS10200804 8492"</f>
        <v>COS10200804 8492</v>
      </c>
    </row>
    <row r="663" spans="1:26" x14ac:dyDescent="0.25">
      <c r="A663" t="str">
        <f t="shared" si="289"/>
        <v>04-08-2020 01:11:34</v>
      </c>
      <c r="B663" t="str">
        <f>"0000810297"</f>
        <v>0000810297</v>
      </c>
      <c r="C663" t="str">
        <f t="shared" si="290"/>
        <v>0000810206</v>
      </c>
      <c r="D663" t="str">
        <f t="shared" si="274"/>
        <v>73185</v>
      </c>
      <c r="E663" t="str">
        <f t="shared" si="275"/>
        <v>KFH-OPERATIONS DEPARTMENT</v>
      </c>
      <c r="F663" t="str">
        <f t="shared" si="276"/>
        <v>IBG</v>
      </c>
      <c r="G663" t="str">
        <f t="shared" si="291"/>
        <v>Refund COSHARE 10</v>
      </c>
      <c r="H663" s="2">
        <v>469</v>
      </c>
      <c r="I663" t="str">
        <f>"YUSOP BIN JANUT"</f>
        <v>YUSOP BIN JANUT</v>
      </c>
      <c r="J663" t="str">
        <f t="shared" si="292"/>
        <v>RHB BANK / RHB ISLAMIC BANK</v>
      </c>
      <c r="K663" t="str">
        <f>"11121200106927"</f>
        <v>11121200106927</v>
      </c>
      <c r="L663" t="str">
        <f t="shared" si="277"/>
        <v>04-08-2020</v>
      </c>
      <c r="M663" t="str">
        <f t="shared" si="277"/>
        <v>04-08-2020</v>
      </c>
      <c r="N663" t="str">
        <f t="shared" si="278"/>
        <v>001105018356</v>
      </c>
      <c r="O663" t="str">
        <f t="shared" si="279"/>
        <v>MYR</v>
      </c>
      <c r="P663" t="str">
        <f t="shared" si="280"/>
        <v>NIL</v>
      </c>
      <c r="Q663" t="str">
        <f t="shared" si="280"/>
        <v>NIL</v>
      </c>
      <c r="R663" t="str">
        <f t="shared" si="281"/>
        <v>Accepted</v>
      </c>
      <c r="S663" t="str">
        <f t="shared" si="282"/>
        <v>Approved</v>
      </c>
      <c r="T663" t="str">
        <f t="shared" si="283"/>
        <v>10.20.8.188</v>
      </c>
      <c r="U663" t="str">
        <f t="shared" si="284"/>
        <v>AZRAD UMAR BIN SHAARI</v>
      </c>
      <c r="V663" t="str">
        <f t="shared" si="285"/>
        <v>FARHANA BINTI MUSTAPA</v>
      </c>
      <c r="W663" t="str">
        <f t="shared" si="286"/>
        <v>04-08-2020</v>
      </c>
      <c r="X663" t="str">
        <f t="shared" si="287"/>
        <v>RAZIMAH ANSAR AHMAD</v>
      </c>
      <c r="Y663" t="str">
        <f t="shared" si="288"/>
        <v>04-08-2020</v>
      </c>
      <c r="Z663" t="str">
        <f>"COS10200804 8491"</f>
        <v>COS10200804 8491</v>
      </c>
    </row>
    <row r="664" spans="1:26" x14ac:dyDescent="0.25">
      <c r="A664" t="str">
        <f t="shared" si="289"/>
        <v>04-08-2020 01:11:34</v>
      </c>
      <c r="B664" t="str">
        <f>"0000810296"</f>
        <v>0000810296</v>
      </c>
      <c r="C664" t="str">
        <f t="shared" si="290"/>
        <v>0000810206</v>
      </c>
      <c r="D664" t="str">
        <f t="shared" si="274"/>
        <v>73185</v>
      </c>
      <c r="E664" t="str">
        <f t="shared" si="275"/>
        <v>KFH-OPERATIONS DEPARTMENT</v>
      </c>
      <c r="F664" t="str">
        <f t="shared" si="276"/>
        <v>IBG</v>
      </c>
      <c r="G664" t="str">
        <f t="shared" si="291"/>
        <v>Refund COSHARE 10</v>
      </c>
      <c r="H664" s="2">
        <v>1090.4000000000001</v>
      </c>
      <c r="I664" t="str">
        <f>"YAGASWARI AP MARUTHAMUTHU"</f>
        <v>YAGASWARI AP MARUTHAMUTHU</v>
      </c>
      <c r="J664" t="str">
        <f t="shared" si="292"/>
        <v>RHB BANK / RHB ISLAMIC BANK</v>
      </c>
      <c r="K664" t="str">
        <f>"10823000061941"</f>
        <v>10823000061941</v>
      </c>
      <c r="L664" t="str">
        <f t="shared" si="277"/>
        <v>04-08-2020</v>
      </c>
      <c r="M664" t="str">
        <f t="shared" si="277"/>
        <v>04-08-2020</v>
      </c>
      <c r="N664" t="str">
        <f t="shared" si="278"/>
        <v>001105018356</v>
      </c>
      <c r="O664" t="str">
        <f t="shared" si="279"/>
        <v>MYR</v>
      </c>
      <c r="P664" t="str">
        <f t="shared" si="280"/>
        <v>NIL</v>
      </c>
      <c r="Q664" t="str">
        <f t="shared" si="280"/>
        <v>NIL</v>
      </c>
      <c r="R664" t="str">
        <f t="shared" si="281"/>
        <v>Accepted</v>
      </c>
      <c r="S664" t="str">
        <f t="shared" si="282"/>
        <v>Approved</v>
      </c>
      <c r="T664" t="str">
        <f t="shared" si="283"/>
        <v>10.20.8.188</v>
      </c>
      <c r="U664" t="str">
        <f t="shared" si="284"/>
        <v>AZRAD UMAR BIN SHAARI</v>
      </c>
      <c r="V664" t="str">
        <f t="shared" si="285"/>
        <v>FARHANA BINTI MUSTAPA</v>
      </c>
      <c r="W664" t="str">
        <f t="shared" si="286"/>
        <v>04-08-2020</v>
      </c>
      <c r="X664" t="str">
        <f t="shared" si="287"/>
        <v>RAZIMAH ANSAR AHMAD</v>
      </c>
      <c r="Y664" t="str">
        <f t="shared" si="288"/>
        <v>04-08-2020</v>
      </c>
      <c r="Z664" t="str">
        <f>"COS10200804 8490"</f>
        <v>COS10200804 8490</v>
      </c>
    </row>
    <row r="665" spans="1:26" x14ac:dyDescent="0.25">
      <c r="A665" t="str">
        <f t="shared" si="289"/>
        <v>04-08-2020 01:11:34</v>
      </c>
      <c r="B665" t="str">
        <f>"0000810295"</f>
        <v>0000810295</v>
      </c>
      <c r="C665" t="str">
        <f t="shared" si="290"/>
        <v>0000810206</v>
      </c>
      <c r="D665" t="str">
        <f t="shared" si="274"/>
        <v>73185</v>
      </c>
      <c r="E665" t="str">
        <f t="shared" si="275"/>
        <v>KFH-OPERATIONS DEPARTMENT</v>
      </c>
      <c r="F665" t="str">
        <f t="shared" si="276"/>
        <v>IBG</v>
      </c>
      <c r="G665" t="str">
        <f t="shared" si="291"/>
        <v>Refund COSHARE 10</v>
      </c>
      <c r="H665" s="2">
        <v>1679</v>
      </c>
      <c r="I665" t="str">
        <f>"WAN MOHD RAHIM BIN YUSOF"</f>
        <v>WAN MOHD RAHIM BIN YUSOF</v>
      </c>
      <c r="J665" t="str">
        <f t="shared" si="292"/>
        <v>RHB BANK / RHB ISLAMIC BANK</v>
      </c>
      <c r="K665" t="str">
        <f>"21413800123671"</f>
        <v>21413800123671</v>
      </c>
      <c r="L665" t="str">
        <f t="shared" si="277"/>
        <v>04-08-2020</v>
      </c>
      <c r="M665" t="str">
        <f t="shared" si="277"/>
        <v>04-08-2020</v>
      </c>
      <c r="N665" t="str">
        <f t="shared" si="278"/>
        <v>001105018356</v>
      </c>
      <c r="O665" t="str">
        <f t="shared" si="279"/>
        <v>MYR</v>
      </c>
      <c r="P665" t="str">
        <f t="shared" si="280"/>
        <v>NIL</v>
      </c>
      <c r="Q665" t="str">
        <f t="shared" si="280"/>
        <v>NIL</v>
      </c>
      <c r="R665" t="str">
        <f t="shared" si="281"/>
        <v>Accepted</v>
      </c>
      <c r="S665" t="str">
        <f t="shared" si="282"/>
        <v>Approved</v>
      </c>
      <c r="T665" t="str">
        <f t="shared" si="283"/>
        <v>10.20.8.188</v>
      </c>
      <c r="U665" t="str">
        <f t="shared" si="284"/>
        <v>AZRAD UMAR BIN SHAARI</v>
      </c>
      <c r="V665" t="str">
        <f t="shared" si="285"/>
        <v>FARHANA BINTI MUSTAPA</v>
      </c>
      <c r="W665" t="str">
        <f t="shared" si="286"/>
        <v>04-08-2020</v>
      </c>
      <c r="X665" t="str">
        <f t="shared" si="287"/>
        <v>RAZIMAH ANSAR AHMAD</v>
      </c>
      <c r="Y665" t="str">
        <f t="shared" si="288"/>
        <v>04-08-2020</v>
      </c>
      <c r="Z665" t="str">
        <f>"COS10200804 8489"</f>
        <v>COS10200804 8489</v>
      </c>
    </row>
    <row r="666" spans="1:26" x14ac:dyDescent="0.25">
      <c r="A666" t="str">
        <f t="shared" si="289"/>
        <v>04-08-2020 01:11:34</v>
      </c>
      <c r="B666" t="str">
        <f>"0000810294"</f>
        <v>0000810294</v>
      </c>
      <c r="C666" t="str">
        <f t="shared" si="290"/>
        <v>0000810206</v>
      </c>
      <c r="D666" t="str">
        <f t="shared" si="274"/>
        <v>73185</v>
      </c>
      <c r="E666" t="str">
        <f t="shared" si="275"/>
        <v>KFH-OPERATIONS DEPARTMENT</v>
      </c>
      <c r="F666" t="str">
        <f t="shared" si="276"/>
        <v>IBG</v>
      </c>
      <c r="G666" t="str">
        <f t="shared" si="291"/>
        <v>Refund COSHARE 10</v>
      </c>
      <c r="H666" s="2">
        <v>75.599999999999994</v>
      </c>
      <c r="I666" t="str">
        <f>"WALTER BALEYANG ALFRED"</f>
        <v>WALTER BALEYANG ALFRED</v>
      </c>
      <c r="J666" t="str">
        <f t="shared" si="292"/>
        <v>RHB BANK / RHB ISLAMIC BANK</v>
      </c>
      <c r="K666" t="str">
        <f>"11101600205111"</f>
        <v>11101600205111</v>
      </c>
      <c r="L666" t="str">
        <f t="shared" si="277"/>
        <v>04-08-2020</v>
      </c>
      <c r="M666" t="str">
        <f t="shared" si="277"/>
        <v>04-08-2020</v>
      </c>
      <c r="N666" t="str">
        <f t="shared" si="278"/>
        <v>001105018356</v>
      </c>
      <c r="O666" t="str">
        <f t="shared" si="279"/>
        <v>MYR</v>
      </c>
      <c r="P666" t="str">
        <f t="shared" si="280"/>
        <v>NIL</v>
      </c>
      <c r="Q666" t="str">
        <f t="shared" si="280"/>
        <v>NIL</v>
      </c>
      <c r="R666" t="str">
        <f t="shared" si="281"/>
        <v>Accepted</v>
      </c>
      <c r="S666" t="str">
        <f t="shared" si="282"/>
        <v>Approved</v>
      </c>
      <c r="T666" t="str">
        <f t="shared" si="283"/>
        <v>10.20.8.188</v>
      </c>
      <c r="U666" t="str">
        <f t="shared" si="284"/>
        <v>AZRAD UMAR BIN SHAARI</v>
      </c>
      <c r="V666" t="str">
        <f t="shared" si="285"/>
        <v>FARHANA BINTI MUSTAPA</v>
      </c>
      <c r="W666" t="str">
        <f t="shared" si="286"/>
        <v>04-08-2020</v>
      </c>
      <c r="X666" t="str">
        <f t="shared" si="287"/>
        <v>RAZIMAH ANSAR AHMAD</v>
      </c>
      <c r="Y666" t="str">
        <f t="shared" si="288"/>
        <v>04-08-2020</v>
      </c>
      <c r="Z666" t="str">
        <f>"COS10200804 8488"</f>
        <v>COS10200804 8488</v>
      </c>
    </row>
    <row r="667" spans="1:26" x14ac:dyDescent="0.25">
      <c r="A667" t="str">
        <f t="shared" si="289"/>
        <v>04-08-2020 01:11:34</v>
      </c>
      <c r="B667" t="str">
        <f>"0000810293"</f>
        <v>0000810293</v>
      </c>
      <c r="C667" t="str">
        <f t="shared" si="290"/>
        <v>0000810206</v>
      </c>
      <c r="D667" t="str">
        <f t="shared" si="274"/>
        <v>73185</v>
      </c>
      <c r="E667" t="str">
        <f t="shared" si="275"/>
        <v>KFH-OPERATIONS DEPARTMENT</v>
      </c>
      <c r="F667" t="str">
        <f t="shared" si="276"/>
        <v>IBG</v>
      </c>
      <c r="G667" t="str">
        <f t="shared" si="291"/>
        <v>Refund COSHARE 10</v>
      </c>
      <c r="H667" s="2">
        <v>38</v>
      </c>
      <c r="I667" t="str">
        <f>"UTIJAH BINTI UMI"</f>
        <v>UTIJAH BINTI UMI</v>
      </c>
      <c r="J667" t="str">
        <f t="shared" si="292"/>
        <v>RHB BANK / RHB ISLAMIC BANK</v>
      </c>
      <c r="K667" t="str">
        <f>"11115550047828"</f>
        <v>11115550047828</v>
      </c>
      <c r="L667" t="str">
        <f t="shared" ref="L667:M686" si="293">"04-08-2020"</f>
        <v>04-08-2020</v>
      </c>
      <c r="M667" t="str">
        <f t="shared" si="293"/>
        <v>04-08-2020</v>
      </c>
      <c r="N667" t="str">
        <f t="shared" si="278"/>
        <v>001105018356</v>
      </c>
      <c r="O667" t="str">
        <f t="shared" si="279"/>
        <v>MYR</v>
      </c>
      <c r="P667" t="str">
        <f t="shared" ref="P667:Q686" si="294">"NIL"</f>
        <v>NIL</v>
      </c>
      <c r="Q667" t="str">
        <f t="shared" si="294"/>
        <v>NIL</v>
      </c>
      <c r="R667" t="str">
        <f t="shared" si="281"/>
        <v>Accepted</v>
      </c>
      <c r="S667" t="str">
        <f t="shared" si="282"/>
        <v>Approved</v>
      </c>
      <c r="T667" t="str">
        <f t="shared" si="283"/>
        <v>10.20.8.188</v>
      </c>
      <c r="U667" t="str">
        <f t="shared" si="284"/>
        <v>AZRAD UMAR BIN SHAARI</v>
      </c>
      <c r="V667" t="str">
        <f t="shared" si="285"/>
        <v>FARHANA BINTI MUSTAPA</v>
      </c>
      <c r="W667" t="str">
        <f t="shared" si="286"/>
        <v>04-08-2020</v>
      </c>
      <c r="X667" t="str">
        <f t="shared" si="287"/>
        <v>RAZIMAH ANSAR AHMAD</v>
      </c>
      <c r="Y667" t="str">
        <f t="shared" si="288"/>
        <v>04-08-2020</v>
      </c>
      <c r="Z667" t="str">
        <f>"COS10200804 8487"</f>
        <v>COS10200804 8487</v>
      </c>
    </row>
    <row r="668" spans="1:26" x14ac:dyDescent="0.25">
      <c r="A668" t="str">
        <f t="shared" si="289"/>
        <v>04-08-2020 01:11:34</v>
      </c>
      <c r="B668" t="str">
        <f>"0000810292"</f>
        <v>0000810292</v>
      </c>
      <c r="C668" t="str">
        <f t="shared" si="290"/>
        <v>0000810206</v>
      </c>
      <c r="D668" t="str">
        <f t="shared" si="274"/>
        <v>73185</v>
      </c>
      <c r="E668" t="str">
        <f t="shared" si="275"/>
        <v>KFH-OPERATIONS DEPARTMENT</v>
      </c>
      <c r="F668" t="str">
        <f t="shared" si="276"/>
        <v>IBG</v>
      </c>
      <c r="G668" t="str">
        <f t="shared" si="291"/>
        <v>Refund COSHARE 10</v>
      </c>
      <c r="H668" s="2">
        <v>76</v>
      </c>
      <c r="I668" t="str">
        <f>"TIONG YING SENG"</f>
        <v>TIONG YING SENG</v>
      </c>
      <c r="J668" t="str">
        <f t="shared" si="292"/>
        <v>RHB BANK / RHB ISLAMIC BANK</v>
      </c>
      <c r="K668" t="str">
        <f>"11114600149388"</f>
        <v>11114600149388</v>
      </c>
      <c r="L668" t="str">
        <f t="shared" si="293"/>
        <v>04-08-2020</v>
      </c>
      <c r="M668" t="str">
        <f t="shared" si="293"/>
        <v>04-08-2020</v>
      </c>
      <c r="N668" t="str">
        <f t="shared" si="278"/>
        <v>001105018356</v>
      </c>
      <c r="O668" t="str">
        <f t="shared" si="279"/>
        <v>MYR</v>
      </c>
      <c r="P668" t="str">
        <f t="shared" si="294"/>
        <v>NIL</v>
      </c>
      <c r="Q668" t="str">
        <f t="shared" si="294"/>
        <v>NIL</v>
      </c>
      <c r="R668" t="str">
        <f t="shared" si="281"/>
        <v>Accepted</v>
      </c>
      <c r="S668" t="str">
        <f t="shared" si="282"/>
        <v>Approved</v>
      </c>
      <c r="T668" t="str">
        <f t="shared" si="283"/>
        <v>10.20.8.188</v>
      </c>
      <c r="U668" t="str">
        <f t="shared" si="284"/>
        <v>AZRAD UMAR BIN SHAARI</v>
      </c>
      <c r="V668" t="str">
        <f t="shared" si="285"/>
        <v>FARHANA BINTI MUSTAPA</v>
      </c>
      <c r="W668" t="str">
        <f t="shared" si="286"/>
        <v>04-08-2020</v>
      </c>
      <c r="X668" t="str">
        <f t="shared" si="287"/>
        <v>RAZIMAH ANSAR AHMAD</v>
      </c>
      <c r="Y668" t="str">
        <f t="shared" si="288"/>
        <v>04-08-2020</v>
      </c>
      <c r="Z668" t="str">
        <f>"COS10200804 8486"</f>
        <v>COS10200804 8486</v>
      </c>
    </row>
    <row r="669" spans="1:26" x14ac:dyDescent="0.25">
      <c r="A669" t="str">
        <f t="shared" si="289"/>
        <v>04-08-2020 01:11:34</v>
      </c>
      <c r="B669" t="str">
        <f>"0000810291"</f>
        <v>0000810291</v>
      </c>
      <c r="C669" t="str">
        <f t="shared" si="290"/>
        <v>0000810206</v>
      </c>
      <c r="D669" t="str">
        <f t="shared" si="274"/>
        <v>73185</v>
      </c>
      <c r="E669" t="str">
        <f t="shared" si="275"/>
        <v>KFH-OPERATIONS DEPARTMENT</v>
      </c>
      <c r="F669" t="str">
        <f t="shared" si="276"/>
        <v>IBG</v>
      </c>
      <c r="G669" t="str">
        <f t="shared" si="291"/>
        <v>Refund COSHARE 10</v>
      </c>
      <c r="H669" s="2">
        <v>713.7</v>
      </c>
      <c r="I669" t="str">
        <f>"TANG SOO CHEH"</f>
        <v>TANG SOO CHEH</v>
      </c>
      <c r="J669" t="str">
        <f t="shared" si="292"/>
        <v>RHB BANK / RHB ISLAMIC BANK</v>
      </c>
      <c r="K669" t="str">
        <f>"10710300011569"</f>
        <v>10710300011569</v>
      </c>
      <c r="L669" t="str">
        <f t="shared" si="293"/>
        <v>04-08-2020</v>
      </c>
      <c r="M669" t="str">
        <f t="shared" si="293"/>
        <v>04-08-2020</v>
      </c>
      <c r="N669" t="str">
        <f t="shared" si="278"/>
        <v>001105018356</v>
      </c>
      <c r="O669" t="str">
        <f t="shared" si="279"/>
        <v>MYR</v>
      </c>
      <c r="P669" t="str">
        <f t="shared" si="294"/>
        <v>NIL</v>
      </c>
      <c r="Q669" t="str">
        <f t="shared" si="294"/>
        <v>NIL</v>
      </c>
      <c r="R669" t="str">
        <f t="shared" si="281"/>
        <v>Accepted</v>
      </c>
      <c r="S669" t="str">
        <f t="shared" si="282"/>
        <v>Approved</v>
      </c>
      <c r="T669" t="str">
        <f t="shared" si="283"/>
        <v>10.20.8.188</v>
      </c>
      <c r="U669" t="str">
        <f t="shared" si="284"/>
        <v>AZRAD UMAR BIN SHAARI</v>
      </c>
      <c r="V669" t="str">
        <f t="shared" si="285"/>
        <v>FARHANA BINTI MUSTAPA</v>
      </c>
      <c r="W669" t="str">
        <f t="shared" si="286"/>
        <v>04-08-2020</v>
      </c>
      <c r="X669" t="str">
        <f t="shared" si="287"/>
        <v>RAZIMAH ANSAR AHMAD</v>
      </c>
      <c r="Y669" t="str">
        <f t="shared" si="288"/>
        <v>04-08-2020</v>
      </c>
      <c r="Z669" t="str">
        <f>"COS10200804 8485"</f>
        <v>COS10200804 8485</v>
      </c>
    </row>
    <row r="670" spans="1:26" x14ac:dyDescent="0.25">
      <c r="A670" t="str">
        <f t="shared" si="289"/>
        <v>04-08-2020 01:11:34</v>
      </c>
      <c r="B670" t="str">
        <f>"0000810290"</f>
        <v>0000810290</v>
      </c>
      <c r="C670" t="str">
        <f t="shared" si="290"/>
        <v>0000810206</v>
      </c>
      <c r="D670" t="str">
        <f t="shared" si="274"/>
        <v>73185</v>
      </c>
      <c r="E670" t="str">
        <f t="shared" si="275"/>
        <v>KFH-OPERATIONS DEPARTMENT</v>
      </c>
      <c r="F670" t="str">
        <f t="shared" si="276"/>
        <v>IBG</v>
      </c>
      <c r="G670" t="str">
        <f t="shared" si="291"/>
        <v>Refund COSHARE 10</v>
      </c>
      <c r="H670" s="2">
        <v>642.35</v>
      </c>
      <c r="I670" t="str">
        <f>"SUZANA BINTI ABU BAKAR"</f>
        <v>SUZANA BINTI ABU BAKAR</v>
      </c>
      <c r="J670" t="str">
        <f t="shared" si="292"/>
        <v>RHB BANK / RHB ISLAMIC BANK</v>
      </c>
      <c r="K670" t="str">
        <f>"10803400318856"</f>
        <v>10803400318856</v>
      </c>
      <c r="L670" t="str">
        <f t="shared" si="293"/>
        <v>04-08-2020</v>
      </c>
      <c r="M670" t="str">
        <f t="shared" si="293"/>
        <v>04-08-2020</v>
      </c>
      <c r="N670" t="str">
        <f t="shared" si="278"/>
        <v>001105018356</v>
      </c>
      <c r="O670" t="str">
        <f t="shared" si="279"/>
        <v>MYR</v>
      </c>
      <c r="P670" t="str">
        <f t="shared" si="294"/>
        <v>NIL</v>
      </c>
      <c r="Q670" t="str">
        <f t="shared" si="294"/>
        <v>NIL</v>
      </c>
      <c r="R670" t="str">
        <f t="shared" si="281"/>
        <v>Accepted</v>
      </c>
      <c r="S670" t="str">
        <f t="shared" si="282"/>
        <v>Approved</v>
      </c>
      <c r="T670" t="str">
        <f t="shared" si="283"/>
        <v>10.20.8.188</v>
      </c>
      <c r="U670" t="str">
        <f t="shared" si="284"/>
        <v>AZRAD UMAR BIN SHAARI</v>
      </c>
      <c r="V670" t="str">
        <f t="shared" si="285"/>
        <v>FARHANA BINTI MUSTAPA</v>
      </c>
      <c r="W670" t="str">
        <f t="shared" si="286"/>
        <v>04-08-2020</v>
      </c>
      <c r="X670" t="str">
        <f t="shared" si="287"/>
        <v>RAZIMAH ANSAR AHMAD</v>
      </c>
      <c r="Y670" t="str">
        <f t="shared" si="288"/>
        <v>04-08-2020</v>
      </c>
      <c r="Z670" t="str">
        <f>"COS10200804 8484"</f>
        <v>COS10200804 8484</v>
      </c>
    </row>
    <row r="671" spans="1:26" x14ac:dyDescent="0.25">
      <c r="A671" t="str">
        <f t="shared" si="289"/>
        <v>04-08-2020 01:11:34</v>
      </c>
      <c r="B671" t="str">
        <f>"0000810289"</f>
        <v>0000810289</v>
      </c>
      <c r="C671" t="str">
        <f t="shared" si="290"/>
        <v>0000810206</v>
      </c>
      <c r="D671" t="str">
        <f t="shared" si="274"/>
        <v>73185</v>
      </c>
      <c r="E671" t="str">
        <f t="shared" si="275"/>
        <v>KFH-OPERATIONS DEPARTMENT</v>
      </c>
      <c r="F671" t="str">
        <f t="shared" si="276"/>
        <v>IBG</v>
      </c>
      <c r="G671" t="str">
        <f t="shared" si="291"/>
        <v>Refund COSHARE 10</v>
      </c>
      <c r="H671" s="2">
        <v>1078</v>
      </c>
      <c r="I671" t="str">
        <f>"SUNARDY BIN SOFYAN"</f>
        <v>SUNARDY BIN SOFYAN</v>
      </c>
      <c r="J671" t="str">
        <f t="shared" si="292"/>
        <v>RHB BANK / RHB ISLAMIC BANK</v>
      </c>
      <c r="K671" t="str">
        <f>"11004600089411"</f>
        <v>11004600089411</v>
      </c>
      <c r="L671" t="str">
        <f t="shared" si="293"/>
        <v>04-08-2020</v>
      </c>
      <c r="M671" t="str">
        <f t="shared" si="293"/>
        <v>04-08-2020</v>
      </c>
      <c r="N671" t="str">
        <f t="shared" si="278"/>
        <v>001105018356</v>
      </c>
      <c r="O671" t="str">
        <f t="shared" si="279"/>
        <v>MYR</v>
      </c>
      <c r="P671" t="str">
        <f t="shared" si="294"/>
        <v>NIL</v>
      </c>
      <c r="Q671" t="str">
        <f t="shared" si="294"/>
        <v>NIL</v>
      </c>
      <c r="R671" t="str">
        <f t="shared" si="281"/>
        <v>Accepted</v>
      </c>
      <c r="S671" t="str">
        <f t="shared" si="282"/>
        <v>Approved</v>
      </c>
      <c r="T671" t="str">
        <f t="shared" si="283"/>
        <v>10.20.8.188</v>
      </c>
      <c r="U671" t="str">
        <f t="shared" si="284"/>
        <v>AZRAD UMAR BIN SHAARI</v>
      </c>
      <c r="V671" t="str">
        <f t="shared" si="285"/>
        <v>FARHANA BINTI MUSTAPA</v>
      </c>
      <c r="W671" t="str">
        <f t="shared" si="286"/>
        <v>04-08-2020</v>
      </c>
      <c r="X671" t="str">
        <f t="shared" si="287"/>
        <v>RAZIMAH ANSAR AHMAD</v>
      </c>
      <c r="Y671" t="str">
        <f t="shared" si="288"/>
        <v>04-08-2020</v>
      </c>
      <c r="Z671" t="str">
        <f>"COS10200804 8483"</f>
        <v>COS10200804 8483</v>
      </c>
    </row>
    <row r="672" spans="1:26" x14ac:dyDescent="0.25">
      <c r="A672" t="str">
        <f t="shared" si="289"/>
        <v>04-08-2020 01:11:34</v>
      </c>
      <c r="B672" t="str">
        <f>"0000810288"</f>
        <v>0000810288</v>
      </c>
      <c r="C672" t="str">
        <f t="shared" si="290"/>
        <v>0000810206</v>
      </c>
      <c r="D672" t="str">
        <f t="shared" si="274"/>
        <v>73185</v>
      </c>
      <c r="E672" t="str">
        <f t="shared" si="275"/>
        <v>KFH-OPERATIONS DEPARTMENT</v>
      </c>
      <c r="F672" t="str">
        <f t="shared" si="276"/>
        <v>IBG</v>
      </c>
      <c r="G672" t="str">
        <f t="shared" si="291"/>
        <v>Refund COSHARE 10</v>
      </c>
      <c r="H672" s="2">
        <v>615</v>
      </c>
      <c r="I672" t="str">
        <f>"SUHAIMI BIN ISMAIL"</f>
        <v>SUHAIMI BIN ISMAIL</v>
      </c>
      <c r="J672" t="str">
        <f t="shared" si="292"/>
        <v>RHB BANK / RHB ISLAMIC BANK</v>
      </c>
      <c r="K672" t="str">
        <f>"11104300154079"</f>
        <v>11104300154079</v>
      </c>
      <c r="L672" t="str">
        <f t="shared" si="293"/>
        <v>04-08-2020</v>
      </c>
      <c r="M672" t="str">
        <f t="shared" si="293"/>
        <v>04-08-2020</v>
      </c>
      <c r="N672" t="str">
        <f t="shared" si="278"/>
        <v>001105018356</v>
      </c>
      <c r="O672" t="str">
        <f t="shared" si="279"/>
        <v>MYR</v>
      </c>
      <c r="P672" t="str">
        <f t="shared" si="294"/>
        <v>NIL</v>
      </c>
      <c r="Q672" t="str">
        <f t="shared" si="294"/>
        <v>NIL</v>
      </c>
      <c r="R672" t="str">
        <f t="shared" si="281"/>
        <v>Accepted</v>
      </c>
      <c r="S672" t="str">
        <f t="shared" si="282"/>
        <v>Approved</v>
      </c>
      <c r="T672" t="str">
        <f t="shared" si="283"/>
        <v>10.20.8.188</v>
      </c>
      <c r="U672" t="str">
        <f t="shared" si="284"/>
        <v>AZRAD UMAR BIN SHAARI</v>
      </c>
      <c r="V672" t="str">
        <f t="shared" si="285"/>
        <v>FARHANA BINTI MUSTAPA</v>
      </c>
      <c r="W672" t="str">
        <f t="shared" si="286"/>
        <v>04-08-2020</v>
      </c>
      <c r="X672" t="str">
        <f t="shared" si="287"/>
        <v>RAZIMAH ANSAR AHMAD</v>
      </c>
      <c r="Y672" t="str">
        <f t="shared" si="288"/>
        <v>04-08-2020</v>
      </c>
      <c r="Z672" t="str">
        <f>"COS10200804 8482"</f>
        <v>COS10200804 8482</v>
      </c>
    </row>
    <row r="673" spans="1:26" x14ac:dyDescent="0.25">
      <c r="A673" t="str">
        <f t="shared" si="289"/>
        <v>04-08-2020 01:11:34</v>
      </c>
      <c r="B673" t="str">
        <f>"0000810287"</f>
        <v>0000810287</v>
      </c>
      <c r="C673" t="str">
        <f t="shared" si="290"/>
        <v>0000810206</v>
      </c>
      <c r="D673" t="str">
        <f t="shared" si="274"/>
        <v>73185</v>
      </c>
      <c r="E673" t="str">
        <f t="shared" si="275"/>
        <v>KFH-OPERATIONS DEPARTMENT</v>
      </c>
      <c r="F673" t="str">
        <f t="shared" si="276"/>
        <v>IBG</v>
      </c>
      <c r="G673" t="str">
        <f t="shared" si="291"/>
        <v>Refund COSHARE 10</v>
      </c>
      <c r="H673" s="2">
        <v>1560.85</v>
      </c>
      <c r="I673" t="str">
        <f>"SOLIMOI BINTI KINSIONG"</f>
        <v>SOLIMOI BINTI KINSIONG</v>
      </c>
      <c r="J673" t="str">
        <f t="shared" si="292"/>
        <v>RHB BANK / RHB ISLAMIC BANK</v>
      </c>
      <c r="K673" t="str">
        <f>"11002800630730"</f>
        <v>11002800630730</v>
      </c>
      <c r="L673" t="str">
        <f t="shared" si="293"/>
        <v>04-08-2020</v>
      </c>
      <c r="M673" t="str">
        <f t="shared" si="293"/>
        <v>04-08-2020</v>
      </c>
      <c r="N673" t="str">
        <f t="shared" si="278"/>
        <v>001105018356</v>
      </c>
      <c r="O673" t="str">
        <f t="shared" si="279"/>
        <v>MYR</v>
      </c>
      <c r="P673" t="str">
        <f t="shared" si="294"/>
        <v>NIL</v>
      </c>
      <c r="Q673" t="str">
        <f t="shared" si="294"/>
        <v>NIL</v>
      </c>
      <c r="R673" t="str">
        <f t="shared" si="281"/>
        <v>Accepted</v>
      </c>
      <c r="S673" t="str">
        <f t="shared" si="282"/>
        <v>Approved</v>
      </c>
      <c r="T673" t="str">
        <f t="shared" si="283"/>
        <v>10.20.8.188</v>
      </c>
      <c r="U673" t="str">
        <f t="shared" si="284"/>
        <v>AZRAD UMAR BIN SHAARI</v>
      </c>
      <c r="V673" t="str">
        <f t="shared" si="285"/>
        <v>FARHANA BINTI MUSTAPA</v>
      </c>
      <c r="W673" t="str">
        <f t="shared" si="286"/>
        <v>04-08-2020</v>
      </c>
      <c r="X673" t="str">
        <f t="shared" si="287"/>
        <v>RAZIMAH ANSAR AHMAD</v>
      </c>
      <c r="Y673" t="str">
        <f t="shared" si="288"/>
        <v>04-08-2020</v>
      </c>
      <c r="Z673" t="str">
        <f>"COS10200804 8481"</f>
        <v>COS10200804 8481</v>
      </c>
    </row>
    <row r="674" spans="1:26" x14ac:dyDescent="0.25">
      <c r="A674" t="str">
        <f t="shared" si="289"/>
        <v>04-08-2020 01:11:34</v>
      </c>
      <c r="B674" t="str">
        <f>"0000810286"</f>
        <v>0000810286</v>
      </c>
      <c r="C674" t="str">
        <f t="shared" si="290"/>
        <v>0000810206</v>
      </c>
      <c r="D674" t="str">
        <f t="shared" si="274"/>
        <v>73185</v>
      </c>
      <c r="E674" t="str">
        <f t="shared" si="275"/>
        <v>KFH-OPERATIONS DEPARTMENT</v>
      </c>
      <c r="F674" t="str">
        <f t="shared" si="276"/>
        <v>IBG</v>
      </c>
      <c r="G674" t="str">
        <f t="shared" si="291"/>
        <v>Refund COSHARE 10</v>
      </c>
      <c r="H674" s="2">
        <v>515</v>
      </c>
      <c r="I674" t="str">
        <f>"SOLIMOI BINTI KINSIONG"</f>
        <v>SOLIMOI BINTI KINSIONG</v>
      </c>
      <c r="J674" t="str">
        <f t="shared" si="292"/>
        <v>RHB BANK / RHB ISLAMIC BANK</v>
      </c>
      <c r="K674" t="str">
        <f>"11002800630730"</f>
        <v>11002800630730</v>
      </c>
      <c r="L674" t="str">
        <f t="shared" si="293"/>
        <v>04-08-2020</v>
      </c>
      <c r="M674" t="str">
        <f t="shared" si="293"/>
        <v>04-08-2020</v>
      </c>
      <c r="N674" t="str">
        <f t="shared" si="278"/>
        <v>001105018356</v>
      </c>
      <c r="O674" t="str">
        <f t="shared" si="279"/>
        <v>MYR</v>
      </c>
      <c r="P674" t="str">
        <f t="shared" si="294"/>
        <v>NIL</v>
      </c>
      <c r="Q674" t="str">
        <f t="shared" si="294"/>
        <v>NIL</v>
      </c>
      <c r="R674" t="str">
        <f t="shared" si="281"/>
        <v>Accepted</v>
      </c>
      <c r="S674" t="str">
        <f t="shared" si="282"/>
        <v>Approved</v>
      </c>
      <c r="T674" t="str">
        <f t="shared" si="283"/>
        <v>10.20.8.188</v>
      </c>
      <c r="U674" t="str">
        <f t="shared" si="284"/>
        <v>AZRAD UMAR BIN SHAARI</v>
      </c>
      <c r="V674" t="str">
        <f t="shared" si="285"/>
        <v>FARHANA BINTI MUSTAPA</v>
      </c>
      <c r="W674" t="str">
        <f t="shared" si="286"/>
        <v>04-08-2020</v>
      </c>
      <c r="X674" t="str">
        <f t="shared" si="287"/>
        <v>RAZIMAH ANSAR AHMAD</v>
      </c>
      <c r="Y674" t="str">
        <f t="shared" si="288"/>
        <v>04-08-2020</v>
      </c>
      <c r="Z674" t="str">
        <f>"COS10200804 8480"</f>
        <v>COS10200804 8480</v>
      </c>
    </row>
    <row r="675" spans="1:26" x14ac:dyDescent="0.25">
      <c r="A675" t="str">
        <f t="shared" si="289"/>
        <v>04-08-2020 01:11:34</v>
      </c>
      <c r="B675" t="str">
        <f>"0000810285"</f>
        <v>0000810285</v>
      </c>
      <c r="C675" t="str">
        <f t="shared" si="290"/>
        <v>0000810206</v>
      </c>
      <c r="D675" t="str">
        <f t="shared" si="274"/>
        <v>73185</v>
      </c>
      <c r="E675" t="str">
        <f t="shared" si="275"/>
        <v>KFH-OPERATIONS DEPARTMENT</v>
      </c>
      <c r="F675" t="str">
        <f t="shared" si="276"/>
        <v>IBG</v>
      </c>
      <c r="G675" t="str">
        <f t="shared" si="291"/>
        <v>Refund COSHARE 10</v>
      </c>
      <c r="H675" s="2">
        <v>176.3</v>
      </c>
      <c r="I675" t="str">
        <f>"SITI AISYAH BINTI ABDULLAH"</f>
        <v>SITI AISYAH BINTI ABDULLAH</v>
      </c>
      <c r="J675" t="str">
        <f t="shared" si="292"/>
        <v>RHB BANK / RHB ISLAMIC BANK</v>
      </c>
      <c r="K675" t="str">
        <f>"11133300036223"</f>
        <v>11133300036223</v>
      </c>
      <c r="L675" t="str">
        <f t="shared" si="293"/>
        <v>04-08-2020</v>
      </c>
      <c r="M675" t="str">
        <f t="shared" si="293"/>
        <v>04-08-2020</v>
      </c>
      <c r="N675" t="str">
        <f t="shared" si="278"/>
        <v>001105018356</v>
      </c>
      <c r="O675" t="str">
        <f t="shared" si="279"/>
        <v>MYR</v>
      </c>
      <c r="P675" t="str">
        <f t="shared" si="294"/>
        <v>NIL</v>
      </c>
      <c r="Q675" t="str">
        <f t="shared" si="294"/>
        <v>NIL</v>
      </c>
      <c r="R675" t="str">
        <f t="shared" si="281"/>
        <v>Accepted</v>
      </c>
      <c r="S675" t="str">
        <f t="shared" si="282"/>
        <v>Approved</v>
      </c>
      <c r="T675" t="str">
        <f t="shared" si="283"/>
        <v>10.20.8.188</v>
      </c>
      <c r="U675" t="str">
        <f t="shared" si="284"/>
        <v>AZRAD UMAR BIN SHAARI</v>
      </c>
      <c r="V675" t="str">
        <f t="shared" si="285"/>
        <v>FARHANA BINTI MUSTAPA</v>
      </c>
      <c r="W675" t="str">
        <f t="shared" si="286"/>
        <v>04-08-2020</v>
      </c>
      <c r="X675" t="str">
        <f t="shared" si="287"/>
        <v>RAZIMAH ANSAR AHMAD</v>
      </c>
      <c r="Y675" t="str">
        <f t="shared" si="288"/>
        <v>04-08-2020</v>
      </c>
      <c r="Z675" t="str">
        <f>"COS10200804 8479"</f>
        <v>COS10200804 8479</v>
      </c>
    </row>
    <row r="676" spans="1:26" x14ac:dyDescent="0.25">
      <c r="A676" t="str">
        <f t="shared" si="289"/>
        <v>04-08-2020 01:11:34</v>
      </c>
      <c r="B676" t="str">
        <f>"0000810284"</f>
        <v>0000810284</v>
      </c>
      <c r="C676" t="str">
        <f t="shared" si="290"/>
        <v>0000810206</v>
      </c>
      <c r="D676" t="str">
        <f t="shared" si="274"/>
        <v>73185</v>
      </c>
      <c r="E676" t="str">
        <f t="shared" si="275"/>
        <v>KFH-OPERATIONS DEPARTMENT</v>
      </c>
      <c r="F676" t="str">
        <f t="shared" si="276"/>
        <v>IBG</v>
      </c>
      <c r="G676" t="str">
        <f t="shared" si="291"/>
        <v>Refund COSHARE 10</v>
      </c>
      <c r="H676" s="2">
        <v>1663</v>
      </c>
      <c r="I676" t="str">
        <f>"SHINTA  SYNTHIA BINTI ENIAT"</f>
        <v>SHINTA  SYNTHIA BINTI ENIAT</v>
      </c>
      <c r="J676" t="str">
        <f t="shared" si="292"/>
        <v>RHB BANK / RHB ISLAMIC BANK</v>
      </c>
      <c r="K676" t="str">
        <f>"16003200012526"</f>
        <v>16003200012526</v>
      </c>
      <c r="L676" t="str">
        <f t="shared" si="293"/>
        <v>04-08-2020</v>
      </c>
      <c r="M676" t="str">
        <f t="shared" si="293"/>
        <v>04-08-2020</v>
      </c>
      <c r="N676" t="str">
        <f t="shared" si="278"/>
        <v>001105018356</v>
      </c>
      <c r="O676" t="str">
        <f t="shared" si="279"/>
        <v>MYR</v>
      </c>
      <c r="P676" t="str">
        <f t="shared" si="294"/>
        <v>NIL</v>
      </c>
      <c r="Q676" t="str">
        <f t="shared" si="294"/>
        <v>NIL</v>
      </c>
      <c r="R676" t="str">
        <f t="shared" si="281"/>
        <v>Accepted</v>
      </c>
      <c r="S676" t="str">
        <f t="shared" si="282"/>
        <v>Approved</v>
      </c>
      <c r="T676" t="str">
        <f t="shared" si="283"/>
        <v>10.20.8.188</v>
      </c>
      <c r="U676" t="str">
        <f t="shared" si="284"/>
        <v>AZRAD UMAR BIN SHAARI</v>
      </c>
      <c r="V676" t="str">
        <f t="shared" si="285"/>
        <v>FARHANA BINTI MUSTAPA</v>
      </c>
      <c r="W676" t="str">
        <f t="shared" si="286"/>
        <v>04-08-2020</v>
      </c>
      <c r="X676" t="str">
        <f t="shared" si="287"/>
        <v>RAZIMAH ANSAR AHMAD</v>
      </c>
      <c r="Y676" t="str">
        <f t="shared" si="288"/>
        <v>04-08-2020</v>
      </c>
      <c r="Z676" t="str">
        <f>"COS10200804 8478"</f>
        <v>COS10200804 8478</v>
      </c>
    </row>
    <row r="677" spans="1:26" x14ac:dyDescent="0.25">
      <c r="A677" t="str">
        <f t="shared" si="289"/>
        <v>04-08-2020 01:11:34</v>
      </c>
      <c r="B677" t="str">
        <f>"0000810283"</f>
        <v>0000810283</v>
      </c>
      <c r="C677" t="str">
        <f t="shared" si="290"/>
        <v>0000810206</v>
      </c>
      <c r="D677" t="str">
        <f t="shared" si="274"/>
        <v>73185</v>
      </c>
      <c r="E677" t="str">
        <f t="shared" si="275"/>
        <v>KFH-OPERATIONS DEPARTMENT</v>
      </c>
      <c r="F677" t="str">
        <f t="shared" si="276"/>
        <v>IBG</v>
      </c>
      <c r="G677" t="str">
        <f t="shared" si="291"/>
        <v>Refund COSHARE 10</v>
      </c>
      <c r="H677" s="2">
        <v>67.2</v>
      </c>
      <c r="I677" t="str">
        <f>"SHARUNEZAM BIN ROSLAN"</f>
        <v>SHARUNEZAM BIN ROSLAN</v>
      </c>
      <c r="J677" t="str">
        <f t="shared" si="292"/>
        <v>RHB BANK / RHB ISLAMIC BANK</v>
      </c>
      <c r="K677" t="str">
        <f>"15102100135475"</f>
        <v>15102100135475</v>
      </c>
      <c r="L677" t="str">
        <f t="shared" si="293"/>
        <v>04-08-2020</v>
      </c>
      <c r="M677" t="str">
        <f t="shared" si="293"/>
        <v>04-08-2020</v>
      </c>
      <c r="N677" t="str">
        <f t="shared" si="278"/>
        <v>001105018356</v>
      </c>
      <c r="O677" t="str">
        <f t="shared" si="279"/>
        <v>MYR</v>
      </c>
      <c r="P677" t="str">
        <f t="shared" si="294"/>
        <v>NIL</v>
      </c>
      <c r="Q677" t="str">
        <f t="shared" si="294"/>
        <v>NIL</v>
      </c>
      <c r="R677" t="str">
        <f t="shared" si="281"/>
        <v>Accepted</v>
      </c>
      <c r="S677" t="str">
        <f t="shared" si="282"/>
        <v>Approved</v>
      </c>
      <c r="T677" t="str">
        <f t="shared" si="283"/>
        <v>10.20.8.188</v>
      </c>
      <c r="U677" t="str">
        <f t="shared" si="284"/>
        <v>AZRAD UMAR BIN SHAARI</v>
      </c>
      <c r="V677" t="str">
        <f t="shared" si="285"/>
        <v>FARHANA BINTI MUSTAPA</v>
      </c>
      <c r="W677" t="str">
        <f t="shared" si="286"/>
        <v>04-08-2020</v>
      </c>
      <c r="X677" t="str">
        <f t="shared" si="287"/>
        <v>RAZIMAH ANSAR AHMAD</v>
      </c>
      <c r="Y677" t="str">
        <f t="shared" si="288"/>
        <v>04-08-2020</v>
      </c>
      <c r="Z677" t="str">
        <f>"COS10200804 8477"</f>
        <v>COS10200804 8477</v>
      </c>
    </row>
    <row r="678" spans="1:26" x14ac:dyDescent="0.25">
      <c r="A678" t="str">
        <f t="shared" si="289"/>
        <v>04-08-2020 01:11:34</v>
      </c>
      <c r="B678" t="str">
        <f>"0000810282"</f>
        <v>0000810282</v>
      </c>
      <c r="C678" t="str">
        <f t="shared" si="290"/>
        <v>0000810206</v>
      </c>
      <c r="D678" t="str">
        <f t="shared" si="274"/>
        <v>73185</v>
      </c>
      <c r="E678" t="str">
        <f t="shared" si="275"/>
        <v>KFH-OPERATIONS DEPARTMENT</v>
      </c>
      <c r="F678" t="str">
        <f t="shared" si="276"/>
        <v>IBG</v>
      </c>
      <c r="G678" t="str">
        <f t="shared" si="291"/>
        <v>Refund COSHARE 10</v>
      </c>
      <c r="H678" s="2">
        <v>83.95</v>
      </c>
      <c r="I678" t="str">
        <f>"SERDI BIN HAS"</f>
        <v>SERDI BIN HAS</v>
      </c>
      <c r="J678" t="str">
        <f t="shared" si="292"/>
        <v>RHB BANK / RHB ISLAMIC BANK</v>
      </c>
      <c r="K678" t="str">
        <f>"11114650298662"</f>
        <v>11114650298662</v>
      </c>
      <c r="L678" t="str">
        <f t="shared" si="293"/>
        <v>04-08-2020</v>
      </c>
      <c r="M678" t="str">
        <f t="shared" si="293"/>
        <v>04-08-2020</v>
      </c>
      <c r="N678" t="str">
        <f t="shared" si="278"/>
        <v>001105018356</v>
      </c>
      <c r="O678" t="str">
        <f t="shared" si="279"/>
        <v>MYR</v>
      </c>
      <c r="P678" t="str">
        <f t="shared" si="294"/>
        <v>NIL</v>
      </c>
      <c r="Q678" t="str">
        <f t="shared" si="294"/>
        <v>NIL</v>
      </c>
      <c r="R678" t="str">
        <f t="shared" si="281"/>
        <v>Accepted</v>
      </c>
      <c r="S678" t="str">
        <f t="shared" si="282"/>
        <v>Approved</v>
      </c>
      <c r="T678" t="str">
        <f t="shared" si="283"/>
        <v>10.20.8.188</v>
      </c>
      <c r="U678" t="str">
        <f t="shared" si="284"/>
        <v>AZRAD UMAR BIN SHAARI</v>
      </c>
      <c r="V678" t="str">
        <f t="shared" si="285"/>
        <v>FARHANA BINTI MUSTAPA</v>
      </c>
      <c r="W678" t="str">
        <f t="shared" si="286"/>
        <v>04-08-2020</v>
      </c>
      <c r="X678" t="str">
        <f t="shared" si="287"/>
        <v>RAZIMAH ANSAR AHMAD</v>
      </c>
      <c r="Y678" t="str">
        <f t="shared" si="288"/>
        <v>04-08-2020</v>
      </c>
      <c r="Z678" t="str">
        <f>"COS10200804 8476"</f>
        <v>COS10200804 8476</v>
      </c>
    </row>
    <row r="679" spans="1:26" x14ac:dyDescent="0.25">
      <c r="A679" t="str">
        <f t="shared" si="289"/>
        <v>04-08-2020 01:11:34</v>
      </c>
      <c r="B679" t="str">
        <f>"0000810281"</f>
        <v>0000810281</v>
      </c>
      <c r="C679" t="str">
        <f t="shared" si="290"/>
        <v>0000810206</v>
      </c>
      <c r="D679" t="str">
        <f t="shared" si="274"/>
        <v>73185</v>
      </c>
      <c r="E679" t="str">
        <f t="shared" si="275"/>
        <v>KFH-OPERATIONS DEPARTMENT</v>
      </c>
      <c r="F679" t="str">
        <f t="shared" si="276"/>
        <v>IBG</v>
      </c>
      <c r="G679" t="str">
        <f t="shared" si="291"/>
        <v>Refund COSHARE 10</v>
      </c>
      <c r="H679" s="2">
        <v>175</v>
      </c>
      <c r="I679" t="str">
        <f>"SARUJI BIN RAMLI"</f>
        <v>SARUJI BIN RAMLI</v>
      </c>
      <c r="J679" t="str">
        <f t="shared" si="292"/>
        <v>RHB BANK / RHB ISLAMIC BANK</v>
      </c>
      <c r="K679" t="str">
        <f>"11114650116580"</f>
        <v>11114650116580</v>
      </c>
      <c r="L679" t="str">
        <f t="shared" si="293"/>
        <v>04-08-2020</v>
      </c>
      <c r="M679" t="str">
        <f t="shared" si="293"/>
        <v>04-08-2020</v>
      </c>
      <c r="N679" t="str">
        <f t="shared" si="278"/>
        <v>001105018356</v>
      </c>
      <c r="O679" t="str">
        <f t="shared" si="279"/>
        <v>MYR</v>
      </c>
      <c r="P679" t="str">
        <f t="shared" si="294"/>
        <v>NIL</v>
      </c>
      <c r="Q679" t="str">
        <f t="shared" si="294"/>
        <v>NIL</v>
      </c>
      <c r="R679" t="str">
        <f t="shared" si="281"/>
        <v>Accepted</v>
      </c>
      <c r="S679" t="str">
        <f t="shared" si="282"/>
        <v>Approved</v>
      </c>
      <c r="T679" t="str">
        <f t="shared" si="283"/>
        <v>10.20.8.188</v>
      </c>
      <c r="U679" t="str">
        <f t="shared" si="284"/>
        <v>AZRAD UMAR BIN SHAARI</v>
      </c>
      <c r="V679" t="str">
        <f t="shared" si="285"/>
        <v>FARHANA BINTI MUSTAPA</v>
      </c>
      <c r="W679" t="str">
        <f t="shared" si="286"/>
        <v>04-08-2020</v>
      </c>
      <c r="X679" t="str">
        <f t="shared" si="287"/>
        <v>RAZIMAH ANSAR AHMAD</v>
      </c>
      <c r="Y679" t="str">
        <f t="shared" si="288"/>
        <v>04-08-2020</v>
      </c>
      <c r="Z679" t="str">
        <f>"COS10200804 8475"</f>
        <v>COS10200804 8475</v>
      </c>
    </row>
    <row r="680" spans="1:26" x14ac:dyDescent="0.25">
      <c r="A680" t="str">
        <f t="shared" si="289"/>
        <v>04-08-2020 01:11:34</v>
      </c>
      <c r="B680" t="str">
        <f>"0000810280"</f>
        <v>0000810280</v>
      </c>
      <c r="C680" t="str">
        <f t="shared" si="290"/>
        <v>0000810206</v>
      </c>
      <c r="D680" t="str">
        <f t="shared" si="274"/>
        <v>73185</v>
      </c>
      <c r="E680" t="str">
        <f t="shared" si="275"/>
        <v>KFH-OPERATIONS DEPARTMENT</v>
      </c>
      <c r="F680" t="str">
        <f t="shared" si="276"/>
        <v>IBG</v>
      </c>
      <c r="G680" t="str">
        <f t="shared" si="291"/>
        <v>Refund COSHARE 10</v>
      </c>
      <c r="H680" s="2">
        <v>76</v>
      </c>
      <c r="I680" t="str">
        <f>"SALAHUDIN BIN PON"</f>
        <v>SALAHUDIN BIN PON</v>
      </c>
      <c r="J680" t="str">
        <f t="shared" si="292"/>
        <v>RHB BANK / RHB ISLAMIC BANK</v>
      </c>
      <c r="K680" t="str">
        <f>"16114100010922"</f>
        <v>16114100010922</v>
      </c>
      <c r="L680" t="str">
        <f t="shared" si="293"/>
        <v>04-08-2020</v>
      </c>
      <c r="M680" t="str">
        <f t="shared" si="293"/>
        <v>04-08-2020</v>
      </c>
      <c r="N680" t="str">
        <f t="shared" si="278"/>
        <v>001105018356</v>
      </c>
      <c r="O680" t="str">
        <f t="shared" si="279"/>
        <v>MYR</v>
      </c>
      <c r="P680" t="str">
        <f t="shared" si="294"/>
        <v>NIL</v>
      </c>
      <c r="Q680" t="str">
        <f t="shared" si="294"/>
        <v>NIL</v>
      </c>
      <c r="R680" t="str">
        <f t="shared" si="281"/>
        <v>Accepted</v>
      </c>
      <c r="S680" t="str">
        <f t="shared" si="282"/>
        <v>Approved</v>
      </c>
      <c r="T680" t="str">
        <f t="shared" si="283"/>
        <v>10.20.8.188</v>
      </c>
      <c r="U680" t="str">
        <f t="shared" si="284"/>
        <v>AZRAD UMAR BIN SHAARI</v>
      </c>
      <c r="V680" t="str">
        <f t="shared" si="285"/>
        <v>FARHANA BINTI MUSTAPA</v>
      </c>
      <c r="W680" t="str">
        <f t="shared" si="286"/>
        <v>04-08-2020</v>
      </c>
      <c r="X680" t="str">
        <f t="shared" si="287"/>
        <v>RAZIMAH ANSAR AHMAD</v>
      </c>
      <c r="Y680" t="str">
        <f t="shared" si="288"/>
        <v>04-08-2020</v>
      </c>
      <c r="Z680" t="str">
        <f>"COS10200804 8474"</f>
        <v>COS10200804 8474</v>
      </c>
    </row>
    <row r="681" spans="1:26" x14ac:dyDescent="0.25">
      <c r="A681" t="str">
        <f t="shared" si="289"/>
        <v>04-08-2020 01:11:34</v>
      </c>
      <c r="B681" t="str">
        <f>"0000810279"</f>
        <v>0000810279</v>
      </c>
      <c r="C681" t="str">
        <f t="shared" si="290"/>
        <v>0000810206</v>
      </c>
      <c r="D681" t="str">
        <f t="shared" si="274"/>
        <v>73185</v>
      </c>
      <c r="E681" t="str">
        <f t="shared" si="275"/>
        <v>KFH-OPERATIONS DEPARTMENT</v>
      </c>
      <c r="F681" t="str">
        <f t="shared" si="276"/>
        <v>IBG</v>
      </c>
      <c r="G681" t="str">
        <f t="shared" si="291"/>
        <v>Refund COSHARE 10</v>
      </c>
      <c r="H681" s="2">
        <v>476.6</v>
      </c>
      <c r="I681" t="str">
        <f>"SABARIAH BINTI MUHAMAD SAAD"</f>
        <v>SABARIAH BINTI MUHAMAD SAAD</v>
      </c>
      <c r="J681" t="str">
        <f t="shared" si="292"/>
        <v>RHB BANK / RHB ISLAMIC BANK</v>
      </c>
      <c r="K681" t="str">
        <f>"11501400014202"</f>
        <v>11501400014202</v>
      </c>
      <c r="L681" t="str">
        <f t="shared" si="293"/>
        <v>04-08-2020</v>
      </c>
      <c r="M681" t="str">
        <f t="shared" si="293"/>
        <v>04-08-2020</v>
      </c>
      <c r="N681" t="str">
        <f t="shared" si="278"/>
        <v>001105018356</v>
      </c>
      <c r="O681" t="str">
        <f t="shared" si="279"/>
        <v>MYR</v>
      </c>
      <c r="P681" t="str">
        <f t="shared" si="294"/>
        <v>NIL</v>
      </c>
      <c r="Q681" t="str">
        <f t="shared" si="294"/>
        <v>NIL</v>
      </c>
      <c r="R681" t="str">
        <f t="shared" si="281"/>
        <v>Accepted</v>
      </c>
      <c r="S681" t="str">
        <f t="shared" si="282"/>
        <v>Approved</v>
      </c>
      <c r="T681" t="str">
        <f t="shared" si="283"/>
        <v>10.20.8.188</v>
      </c>
      <c r="U681" t="str">
        <f t="shared" si="284"/>
        <v>AZRAD UMAR BIN SHAARI</v>
      </c>
      <c r="V681" t="str">
        <f t="shared" si="285"/>
        <v>FARHANA BINTI MUSTAPA</v>
      </c>
      <c r="W681" t="str">
        <f t="shared" si="286"/>
        <v>04-08-2020</v>
      </c>
      <c r="X681" t="str">
        <f t="shared" si="287"/>
        <v>RAZIMAH ANSAR AHMAD</v>
      </c>
      <c r="Y681" t="str">
        <f t="shared" si="288"/>
        <v>04-08-2020</v>
      </c>
      <c r="Z681" t="str">
        <f>"COS10200804 8473"</f>
        <v>COS10200804 8473</v>
      </c>
    </row>
    <row r="682" spans="1:26" x14ac:dyDescent="0.25">
      <c r="A682" t="str">
        <f t="shared" si="289"/>
        <v>04-08-2020 01:11:34</v>
      </c>
      <c r="B682" t="str">
        <f>"0000810278"</f>
        <v>0000810278</v>
      </c>
      <c r="C682" t="str">
        <f t="shared" si="290"/>
        <v>0000810206</v>
      </c>
      <c r="D682" t="str">
        <f t="shared" si="274"/>
        <v>73185</v>
      </c>
      <c r="E682" t="str">
        <f t="shared" si="275"/>
        <v>KFH-OPERATIONS DEPARTMENT</v>
      </c>
      <c r="F682" t="str">
        <f t="shared" si="276"/>
        <v>IBG</v>
      </c>
      <c r="G682" t="str">
        <f t="shared" si="291"/>
        <v>Refund COSHARE 10</v>
      </c>
      <c r="H682" s="2">
        <v>410.15</v>
      </c>
      <c r="I682" t="str">
        <f>"ROSPHALIZA BINTI ABDULLAH"</f>
        <v>ROSPHALIZA BINTI ABDULLAH</v>
      </c>
      <c r="J682" t="str">
        <f t="shared" si="292"/>
        <v>RHB BANK / RHB ISLAMIC BANK</v>
      </c>
      <c r="K682" t="str">
        <f>"15601700096202"</f>
        <v>15601700096202</v>
      </c>
      <c r="L682" t="str">
        <f t="shared" si="293"/>
        <v>04-08-2020</v>
      </c>
      <c r="M682" t="str">
        <f t="shared" si="293"/>
        <v>04-08-2020</v>
      </c>
      <c r="N682" t="str">
        <f t="shared" si="278"/>
        <v>001105018356</v>
      </c>
      <c r="O682" t="str">
        <f t="shared" si="279"/>
        <v>MYR</v>
      </c>
      <c r="P682" t="str">
        <f t="shared" si="294"/>
        <v>NIL</v>
      </c>
      <c r="Q682" t="str">
        <f t="shared" si="294"/>
        <v>NIL</v>
      </c>
      <c r="R682" t="str">
        <f t="shared" si="281"/>
        <v>Accepted</v>
      </c>
      <c r="S682" t="str">
        <f t="shared" si="282"/>
        <v>Approved</v>
      </c>
      <c r="T682" t="str">
        <f t="shared" si="283"/>
        <v>10.20.8.188</v>
      </c>
      <c r="U682" t="str">
        <f t="shared" si="284"/>
        <v>AZRAD UMAR BIN SHAARI</v>
      </c>
      <c r="V682" t="str">
        <f t="shared" si="285"/>
        <v>FARHANA BINTI MUSTAPA</v>
      </c>
      <c r="W682" t="str">
        <f t="shared" si="286"/>
        <v>04-08-2020</v>
      </c>
      <c r="X682" t="str">
        <f t="shared" si="287"/>
        <v>RAZIMAH ANSAR AHMAD</v>
      </c>
      <c r="Y682" t="str">
        <f t="shared" si="288"/>
        <v>04-08-2020</v>
      </c>
      <c r="Z682" t="str">
        <f>"COS10200804 8472"</f>
        <v>COS10200804 8472</v>
      </c>
    </row>
    <row r="683" spans="1:26" x14ac:dyDescent="0.25">
      <c r="A683" t="str">
        <f t="shared" si="289"/>
        <v>04-08-2020 01:11:34</v>
      </c>
      <c r="B683" t="str">
        <f>"0000810277"</f>
        <v>0000810277</v>
      </c>
      <c r="C683" t="str">
        <f t="shared" si="290"/>
        <v>0000810206</v>
      </c>
      <c r="D683" t="str">
        <f t="shared" si="274"/>
        <v>73185</v>
      </c>
      <c r="E683" t="str">
        <f t="shared" si="275"/>
        <v>KFH-OPERATIONS DEPARTMENT</v>
      </c>
      <c r="F683" t="str">
        <f t="shared" si="276"/>
        <v>IBG</v>
      </c>
      <c r="G683" t="str">
        <f t="shared" si="291"/>
        <v>Refund COSHARE 10</v>
      </c>
      <c r="H683" s="2">
        <v>201</v>
      </c>
      <c r="I683" t="str">
        <f>"ROKHAYATI BINTI SALLEH"</f>
        <v>ROKHAYATI BINTI SALLEH</v>
      </c>
      <c r="J683" t="str">
        <f t="shared" si="292"/>
        <v>RHB BANK / RHB ISLAMIC BANK</v>
      </c>
      <c r="K683" t="str">
        <f>"11205900906874"</f>
        <v>11205900906874</v>
      </c>
      <c r="L683" t="str">
        <f t="shared" si="293"/>
        <v>04-08-2020</v>
      </c>
      <c r="M683" t="str">
        <f t="shared" si="293"/>
        <v>04-08-2020</v>
      </c>
      <c r="N683" t="str">
        <f t="shared" si="278"/>
        <v>001105018356</v>
      </c>
      <c r="O683" t="str">
        <f t="shared" si="279"/>
        <v>MYR</v>
      </c>
      <c r="P683" t="str">
        <f t="shared" si="294"/>
        <v>NIL</v>
      </c>
      <c r="Q683" t="str">
        <f t="shared" si="294"/>
        <v>NIL</v>
      </c>
      <c r="R683" t="str">
        <f t="shared" si="281"/>
        <v>Accepted</v>
      </c>
      <c r="S683" t="str">
        <f t="shared" si="282"/>
        <v>Approved</v>
      </c>
      <c r="T683" t="str">
        <f t="shared" si="283"/>
        <v>10.20.8.188</v>
      </c>
      <c r="U683" t="str">
        <f t="shared" si="284"/>
        <v>AZRAD UMAR BIN SHAARI</v>
      </c>
      <c r="V683" t="str">
        <f t="shared" si="285"/>
        <v>FARHANA BINTI MUSTAPA</v>
      </c>
      <c r="W683" t="str">
        <f t="shared" si="286"/>
        <v>04-08-2020</v>
      </c>
      <c r="X683" t="str">
        <f t="shared" si="287"/>
        <v>RAZIMAH ANSAR AHMAD</v>
      </c>
      <c r="Y683" t="str">
        <f t="shared" si="288"/>
        <v>04-08-2020</v>
      </c>
      <c r="Z683" t="str">
        <f>"COS10200804 8471"</f>
        <v>COS10200804 8471</v>
      </c>
    </row>
    <row r="684" spans="1:26" x14ac:dyDescent="0.25">
      <c r="A684" t="str">
        <f t="shared" ref="A684:A715" si="295">"04-08-2020 01:11:34"</f>
        <v>04-08-2020 01:11:34</v>
      </c>
      <c r="B684" t="str">
        <f>"0000810276"</f>
        <v>0000810276</v>
      </c>
      <c r="C684" t="str">
        <f t="shared" ref="C684:C715" si="296">"0000810206"</f>
        <v>0000810206</v>
      </c>
      <c r="D684" t="str">
        <f t="shared" si="274"/>
        <v>73185</v>
      </c>
      <c r="E684" t="str">
        <f t="shared" si="275"/>
        <v>KFH-OPERATIONS DEPARTMENT</v>
      </c>
      <c r="F684" t="str">
        <f t="shared" si="276"/>
        <v>IBG</v>
      </c>
      <c r="G684" t="str">
        <f t="shared" si="291"/>
        <v>Refund COSHARE 10</v>
      </c>
      <c r="H684" s="2">
        <v>607</v>
      </c>
      <c r="I684" t="str">
        <f>"REHAN HAYANI BINTI  MUSA"</f>
        <v>REHAN HAYANI BINTI  MUSA</v>
      </c>
      <c r="J684" t="str">
        <f t="shared" si="292"/>
        <v>RHB BANK / RHB ISLAMIC BANK</v>
      </c>
      <c r="K684" t="str">
        <f>"15818700010860"</f>
        <v>15818700010860</v>
      </c>
      <c r="L684" t="str">
        <f t="shared" si="293"/>
        <v>04-08-2020</v>
      </c>
      <c r="M684" t="str">
        <f t="shared" si="293"/>
        <v>04-08-2020</v>
      </c>
      <c r="N684" t="str">
        <f t="shared" si="278"/>
        <v>001105018356</v>
      </c>
      <c r="O684" t="str">
        <f t="shared" si="279"/>
        <v>MYR</v>
      </c>
      <c r="P684" t="str">
        <f t="shared" si="294"/>
        <v>NIL</v>
      </c>
      <c r="Q684" t="str">
        <f t="shared" si="294"/>
        <v>NIL</v>
      </c>
      <c r="R684" t="str">
        <f t="shared" si="281"/>
        <v>Accepted</v>
      </c>
      <c r="S684" t="str">
        <f t="shared" si="282"/>
        <v>Approved</v>
      </c>
      <c r="T684" t="str">
        <f t="shared" si="283"/>
        <v>10.20.8.188</v>
      </c>
      <c r="U684" t="str">
        <f t="shared" si="284"/>
        <v>AZRAD UMAR BIN SHAARI</v>
      </c>
      <c r="V684" t="str">
        <f t="shared" si="285"/>
        <v>FARHANA BINTI MUSTAPA</v>
      </c>
      <c r="W684" t="str">
        <f t="shared" si="286"/>
        <v>04-08-2020</v>
      </c>
      <c r="X684" t="str">
        <f t="shared" si="287"/>
        <v>RAZIMAH ANSAR AHMAD</v>
      </c>
      <c r="Y684" t="str">
        <f t="shared" si="288"/>
        <v>04-08-2020</v>
      </c>
      <c r="Z684" t="str">
        <f>"COS10200804 8470"</f>
        <v>COS10200804 8470</v>
      </c>
    </row>
    <row r="685" spans="1:26" x14ac:dyDescent="0.25">
      <c r="A685" t="str">
        <f t="shared" si="295"/>
        <v>04-08-2020 01:11:34</v>
      </c>
      <c r="B685" t="str">
        <f>"0000810275"</f>
        <v>0000810275</v>
      </c>
      <c r="C685" t="str">
        <f t="shared" si="296"/>
        <v>0000810206</v>
      </c>
      <c r="D685" t="str">
        <f t="shared" si="274"/>
        <v>73185</v>
      </c>
      <c r="E685" t="str">
        <f t="shared" si="275"/>
        <v>KFH-OPERATIONS DEPARTMENT</v>
      </c>
      <c r="F685" t="str">
        <f t="shared" si="276"/>
        <v>IBG</v>
      </c>
      <c r="G685" t="str">
        <f t="shared" si="291"/>
        <v>Refund COSHARE 10</v>
      </c>
      <c r="H685" s="2">
        <v>134.35</v>
      </c>
      <c r="I685" t="str">
        <f>"REDZUAN BIN MD TAUFEK"</f>
        <v>REDZUAN BIN MD TAUFEK</v>
      </c>
      <c r="J685" t="str">
        <f t="shared" si="292"/>
        <v>RHB BANK / RHB ISLAMIC BANK</v>
      </c>
      <c r="K685" t="str">
        <f>"15801100151108"</f>
        <v>15801100151108</v>
      </c>
      <c r="L685" t="str">
        <f t="shared" si="293"/>
        <v>04-08-2020</v>
      </c>
      <c r="M685" t="str">
        <f t="shared" si="293"/>
        <v>04-08-2020</v>
      </c>
      <c r="N685" t="str">
        <f t="shared" si="278"/>
        <v>001105018356</v>
      </c>
      <c r="O685" t="str">
        <f t="shared" si="279"/>
        <v>MYR</v>
      </c>
      <c r="P685" t="str">
        <f t="shared" si="294"/>
        <v>NIL</v>
      </c>
      <c r="Q685" t="str">
        <f t="shared" si="294"/>
        <v>NIL</v>
      </c>
      <c r="R685" t="str">
        <f t="shared" si="281"/>
        <v>Accepted</v>
      </c>
      <c r="S685" t="str">
        <f t="shared" si="282"/>
        <v>Approved</v>
      </c>
      <c r="T685" t="str">
        <f t="shared" si="283"/>
        <v>10.20.8.188</v>
      </c>
      <c r="U685" t="str">
        <f t="shared" si="284"/>
        <v>AZRAD UMAR BIN SHAARI</v>
      </c>
      <c r="V685" t="str">
        <f t="shared" si="285"/>
        <v>FARHANA BINTI MUSTAPA</v>
      </c>
      <c r="W685" t="str">
        <f t="shared" si="286"/>
        <v>04-08-2020</v>
      </c>
      <c r="X685" t="str">
        <f t="shared" si="287"/>
        <v>RAZIMAH ANSAR AHMAD</v>
      </c>
      <c r="Y685" t="str">
        <f t="shared" si="288"/>
        <v>04-08-2020</v>
      </c>
      <c r="Z685" t="str">
        <f>"COS10200804 8469"</f>
        <v>COS10200804 8469</v>
      </c>
    </row>
    <row r="686" spans="1:26" x14ac:dyDescent="0.25">
      <c r="A686" t="str">
        <f t="shared" si="295"/>
        <v>04-08-2020 01:11:34</v>
      </c>
      <c r="B686" t="str">
        <f>"0000810274"</f>
        <v>0000810274</v>
      </c>
      <c r="C686" t="str">
        <f t="shared" si="296"/>
        <v>0000810206</v>
      </c>
      <c r="D686" t="str">
        <f t="shared" si="274"/>
        <v>73185</v>
      </c>
      <c r="E686" t="str">
        <f t="shared" si="275"/>
        <v>KFH-OPERATIONS DEPARTMENT</v>
      </c>
      <c r="F686" t="str">
        <f t="shared" si="276"/>
        <v>IBG</v>
      </c>
      <c r="G686" t="str">
        <f t="shared" si="291"/>
        <v>Refund COSHARE 10</v>
      </c>
      <c r="H686" s="2">
        <v>147.35</v>
      </c>
      <c r="I686" t="str">
        <f>"RASZINA ANAK KAWIE"</f>
        <v>RASZINA ANAK KAWIE</v>
      </c>
      <c r="J686" t="str">
        <f t="shared" ref="J686:J717" si="297">"RHB BANK / RHB ISLAMIC BANK"</f>
        <v>RHB BANK / RHB ISLAMIC BANK</v>
      </c>
      <c r="K686" t="str">
        <f>"11116400075930"</f>
        <v>11116400075930</v>
      </c>
      <c r="L686" t="str">
        <f t="shared" si="293"/>
        <v>04-08-2020</v>
      </c>
      <c r="M686" t="str">
        <f t="shared" si="293"/>
        <v>04-08-2020</v>
      </c>
      <c r="N686" t="str">
        <f t="shared" si="278"/>
        <v>001105018356</v>
      </c>
      <c r="O686" t="str">
        <f t="shared" si="279"/>
        <v>MYR</v>
      </c>
      <c r="P686" t="str">
        <f t="shared" si="294"/>
        <v>NIL</v>
      </c>
      <c r="Q686" t="str">
        <f t="shared" si="294"/>
        <v>NIL</v>
      </c>
      <c r="R686" t="str">
        <f t="shared" si="281"/>
        <v>Accepted</v>
      </c>
      <c r="S686" t="str">
        <f t="shared" si="282"/>
        <v>Approved</v>
      </c>
      <c r="T686" t="str">
        <f t="shared" si="283"/>
        <v>10.20.8.188</v>
      </c>
      <c r="U686" t="str">
        <f t="shared" si="284"/>
        <v>AZRAD UMAR BIN SHAARI</v>
      </c>
      <c r="V686" t="str">
        <f t="shared" si="285"/>
        <v>FARHANA BINTI MUSTAPA</v>
      </c>
      <c r="W686" t="str">
        <f t="shared" si="286"/>
        <v>04-08-2020</v>
      </c>
      <c r="X686" t="str">
        <f t="shared" si="287"/>
        <v>RAZIMAH ANSAR AHMAD</v>
      </c>
      <c r="Y686" t="str">
        <f t="shared" si="288"/>
        <v>04-08-2020</v>
      </c>
      <c r="Z686" t="str">
        <f>"COS10200804 8468"</f>
        <v>COS10200804 8468</v>
      </c>
    </row>
    <row r="687" spans="1:26" x14ac:dyDescent="0.25">
      <c r="A687" t="str">
        <f t="shared" si="295"/>
        <v>04-08-2020 01:11:34</v>
      </c>
      <c r="B687" t="str">
        <f>"0000810273"</f>
        <v>0000810273</v>
      </c>
      <c r="C687" t="str">
        <f t="shared" si="296"/>
        <v>0000810206</v>
      </c>
      <c r="D687" t="str">
        <f t="shared" si="274"/>
        <v>73185</v>
      </c>
      <c r="E687" t="str">
        <f t="shared" si="275"/>
        <v>KFH-OPERATIONS DEPARTMENT</v>
      </c>
      <c r="F687" t="str">
        <f t="shared" si="276"/>
        <v>IBG</v>
      </c>
      <c r="G687" t="str">
        <f t="shared" si="291"/>
        <v>Refund COSHARE 10</v>
      </c>
      <c r="H687" s="2">
        <v>1351</v>
      </c>
      <c r="I687" t="str">
        <f>"RAJEMAH BINTI SARIEE"</f>
        <v>RAJEMAH BINTI SARIEE</v>
      </c>
      <c r="J687" t="str">
        <f t="shared" si="297"/>
        <v>RHB BANK / RHB ISLAMIC BANK</v>
      </c>
      <c r="K687" t="str">
        <f>"11115500081380"</f>
        <v>11115500081380</v>
      </c>
      <c r="L687" t="str">
        <f t="shared" ref="L687:M706" si="298">"04-08-2020"</f>
        <v>04-08-2020</v>
      </c>
      <c r="M687" t="str">
        <f t="shared" si="298"/>
        <v>04-08-2020</v>
      </c>
      <c r="N687" t="str">
        <f t="shared" si="278"/>
        <v>001105018356</v>
      </c>
      <c r="O687" t="str">
        <f t="shared" si="279"/>
        <v>MYR</v>
      </c>
      <c r="P687" t="str">
        <f t="shared" ref="P687:Q706" si="299">"NIL"</f>
        <v>NIL</v>
      </c>
      <c r="Q687" t="str">
        <f t="shared" si="299"/>
        <v>NIL</v>
      </c>
      <c r="R687" t="str">
        <f t="shared" si="281"/>
        <v>Accepted</v>
      </c>
      <c r="S687" t="str">
        <f t="shared" si="282"/>
        <v>Approved</v>
      </c>
      <c r="T687" t="str">
        <f t="shared" si="283"/>
        <v>10.20.8.188</v>
      </c>
      <c r="U687" t="str">
        <f t="shared" si="284"/>
        <v>AZRAD UMAR BIN SHAARI</v>
      </c>
      <c r="V687" t="str">
        <f t="shared" si="285"/>
        <v>FARHANA BINTI MUSTAPA</v>
      </c>
      <c r="W687" t="str">
        <f t="shared" si="286"/>
        <v>04-08-2020</v>
      </c>
      <c r="X687" t="str">
        <f t="shared" si="287"/>
        <v>RAZIMAH ANSAR AHMAD</v>
      </c>
      <c r="Y687" t="str">
        <f t="shared" si="288"/>
        <v>04-08-2020</v>
      </c>
      <c r="Z687" t="str">
        <f>"COS10200804 8467"</f>
        <v>COS10200804 8467</v>
      </c>
    </row>
    <row r="688" spans="1:26" x14ac:dyDescent="0.25">
      <c r="A688" t="str">
        <f t="shared" si="295"/>
        <v>04-08-2020 01:11:34</v>
      </c>
      <c r="B688" t="str">
        <f>"0000810272"</f>
        <v>0000810272</v>
      </c>
      <c r="C688" t="str">
        <f t="shared" si="296"/>
        <v>0000810206</v>
      </c>
      <c r="D688" t="str">
        <f t="shared" si="274"/>
        <v>73185</v>
      </c>
      <c r="E688" t="str">
        <f t="shared" si="275"/>
        <v>KFH-OPERATIONS DEPARTMENT</v>
      </c>
      <c r="F688" t="str">
        <f t="shared" si="276"/>
        <v>IBG</v>
      </c>
      <c r="G688" t="str">
        <f t="shared" si="291"/>
        <v>Refund COSHARE 10</v>
      </c>
      <c r="H688" s="2">
        <v>251.85</v>
      </c>
      <c r="I688" t="str">
        <f>"RAJA MUHAMMAD AQIL BIN RAJA MOHAMED"</f>
        <v>RAJA MUHAMMAD AQIL BIN RAJA MOHAMED</v>
      </c>
      <c r="J688" t="str">
        <f t="shared" si="297"/>
        <v>RHB BANK / RHB ISLAMIC BANK</v>
      </c>
      <c r="K688" t="str">
        <f>"15122700119483"</f>
        <v>15122700119483</v>
      </c>
      <c r="L688" t="str">
        <f t="shared" si="298"/>
        <v>04-08-2020</v>
      </c>
      <c r="M688" t="str">
        <f t="shared" si="298"/>
        <v>04-08-2020</v>
      </c>
      <c r="N688" t="str">
        <f t="shared" si="278"/>
        <v>001105018356</v>
      </c>
      <c r="O688" t="str">
        <f t="shared" si="279"/>
        <v>MYR</v>
      </c>
      <c r="P688" t="str">
        <f t="shared" si="299"/>
        <v>NIL</v>
      </c>
      <c r="Q688" t="str">
        <f t="shared" si="299"/>
        <v>NIL</v>
      </c>
      <c r="R688" t="str">
        <f t="shared" si="281"/>
        <v>Accepted</v>
      </c>
      <c r="S688" t="str">
        <f t="shared" si="282"/>
        <v>Approved</v>
      </c>
      <c r="T688" t="str">
        <f t="shared" si="283"/>
        <v>10.20.8.188</v>
      </c>
      <c r="U688" t="str">
        <f t="shared" si="284"/>
        <v>AZRAD UMAR BIN SHAARI</v>
      </c>
      <c r="V688" t="str">
        <f t="shared" si="285"/>
        <v>FARHANA BINTI MUSTAPA</v>
      </c>
      <c r="W688" t="str">
        <f t="shared" si="286"/>
        <v>04-08-2020</v>
      </c>
      <c r="X688" t="str">
        <f t="shared" si="287"/>
        <v>RAZIMAH ANSAR AHMAD</v>
      </c>
      <c r="Y688" t="str">
        <f t="shared" si="288"/>
        <v>04-08-2020</v>
      </c>
      <c r="Z688" t="str">
        <f>"COS10200804 8466"</f>
        <v>COS10200804 8466</v>
      </c>
    </row>
    <row r="689" spans="1:26" x14ac:dyDescent="0.25">
      <c r="A689" t="str">
        <f t="shared" si="295"/>
        <v>04-08-2020 01:11:34</v>
      </c>
      <c r="B689" t="str">
        <f>"0000810271"</f>
        <v>0000810271</v>
      </c>
      <c r="C689" t="str">
        <f t="shared" si="296"/>
        <v>0000810206</v>
      </c>
      <c r="D689" t="str">
        <f t="shared" si="274"/>
        <v>73185</v>
      </c>
      <c r="E689" t="str">
        <f t="shared" si="275"/>
        <v>KFH-OPERATIONS DEPARTMENT</v>
      </c>
      <c r="F689" t="str">
        <f t="shared" si="276"/>
        <v>IBG</v>
      </c>
      <c r="G689" t="str">
        <f t="shared" si="291"/>
        <v>Refund COSHARE 10</v>
      </c>
      <c r="H689" s="2">
        <v>1012.75</v>
      </c>
      <c r="I689" t="str">
        <f>"NURULHUDA BINTI MD SAHAD"</f>
        <v>NURULHUDA BINTI MD SAHAD</v>
      </c>
      <c r="J689" t="str">
        <f t="shared" si="297"/>
        <v>RHB BANK / RHB ISLAMIC BANK</v>
      </c>
      <c r="K689" t="str">
        <f>"10301100292225"</f>
        <v>10301100292225</v>
      </c>
      <c r="L689" t="str">
        <f t="shared" si="298"/>
        <v>04-08-2020</v>
      </c>
      <c r="M689" t="str">
        <f t="shared" si="298"/>
        <v>04-08-2020</v>
      </c>
      <c r="N689" t="str">
        <f t="shared" si="278"/>
        <v>001105018356</v>
      </c>
      <c r="O689" t="str">
        <f t="shared" si="279"/>
        <v>MYR</v>
      </c>
      <c r="P689" t="str">
        <f t="shared" si="299"/>
        <v>NIL</v>
      </c>
      <c r="Q689" t="str">
        <f t="shared" si="299"/>
        <v>NIL</v>
      </c>
      <c r="R689" t="str">
        <f t="shared" si="281"/>
        <v>Accepted</v>
      </c>
      <c r="S689" t="str">
        <f t="shared" si="282"/>
        <v>Approved</v>
      </c>
      <c r="T689" t="str">
        <f t="shared" si="283"/>
        <v>10.20.8.188</v>
      </c>
      <c r="U689" t="str">
        <f t="shared" si="284"/>
        <v>AZRAD UMAR BIN SHAARI</v>
      </c>
      <c r="V689" t="str">
        <f t="shared" si="285"/>
        <v>FARHANA BINTI MUSTAPA</v>
      </c>
      <c r="W689" t="str">
        <f t="shared" si="286"/>
        <v>04-08-2020</v>
      </c>
      <c r="X689" t="str">
        <f t="shared" si="287"/>
        <v>RAZIMAH ANSAR AHMAD</v>
      </c>
      <c r="Y689" t="str">
        <f t="shared" si="288"/>
        <v>04-08-2020</v>
      </c>
      <c r="Z689" t="str">
        <f>"COS10200804 8465"</f>
        <v>COS10200804 8465</v>
      </c>
    </row>
    <row r="690" spans="1:26" x14ac:dyDescent="0.25">
      <c r="A690" t="str">
        <f t="shared" si="295"/>
        <v>04-08-2020 01:11:34</v>
      </c>
      <c r="B690" t="str">
        <f>"0000810270"</f>
        <v>0000810270</v>
      </c>
      <c r="C690" t="str">
        <f t="shared" si="296"/>
        <v>0000810206</v>
      </c>
      <c r="D690" t="str">
        <f t="shared" si="274"/>
        <v>73185</v>
      </c>
      <c r="E690" t="str">
        <f t="shared" si="275"/>
        <v>KFH-OPERATIONS DEPARTMENT</v>
      </c>
      <c r="F690" t="str">
        <f t="shared" si="276"/>
        <v>IBG</v>
      </c>
      <c r="G690" t="str">
        <f t="shared" si="291"/>
        <v>Refund COSHARE 10</v>
      </c>
      <c r="H690" s="2">
        <v>403</v>
      </c>
      <c r="I690" t="str">
        <f>"NURHAYATI BINTI YAHYA"</f>
        <v>NURHAYATI BINTI YAHYA</v>
      </c>
      <c r="J690" t="str">
        <f t="shared" si="297"/>
        <v>RHB BANK / RHB ISLAMIC BANK</v>
      </c>
      <c r="K690" t="str">
        <f>"11007960104816"</f>
        <v>11007960104816</v>
      </c>
      <c r="L690" t="str">
        <f t="shared" si="298"/>
        <v>04-08-2020</v>
      </c>
      <c r="M690" t="str">
        <f t="shared" si="298"/>
        <v>04-08-2020</v>
      </c>
      <c r="N690" t="str">
        <f t="shared" si="278"/>
        <v>001105018356</v>
      </c>
      <c r="O690" t="str">
        <f t="shared" si="279"/>
        <v>MYR</v>
      </c>
      <c r="P690" t="str">
        <f t="shared" si="299"/>
        <v>NIL</v>
      </c>
      <c r="Q690" t="str">
        <f t="shared" si="299"/>
        <v>NIL</v>
      </c>
      <c r="R690" t="str">
        <f t="shared" si="281"/>
        <v>Accepted</v>
      </c>
      <c r="S690" t="str">
        <f t="shared" si="282"/>
        <v>Approved</v>
      </c>
      <c r="T690" t="str">
        <f t="shared" si="283"/>
        <v>10.20.8.188</v>
      </c>
      <c r="U690" t="str">
        <f t="shared" si="284"/>
        <v>AZRAD UMAR BIN SHAARI</v>
      </c>
      <c r="V690" t="str">
        <f t="shared" si="285"/>
        <v>FARHANA BINTI MUSTAPA</v>
      </c>
      <c r="W690" t="str">
        <f t="shared" si="286"/>
        <v>04-08-2020</v>
      </c>
      <c r="X690" t="str">
        <f t="shared" si="287"/>
        <v>RAZIMAH ANSAR AHMAD</v>
      </c>
      <c r="Y690" t="str">
        <f t="shared" si="288"/>
        <v>04-08-2020</v>
      </c>
      <c r="Z690" t="str">
        <f>"COS10200804 8464"</f>
        <v>COS10200804 8464</v>
      </c>
    </row>
    <row r="691" spans="1:26" x14ac:dyDescent="0.25">
      <c r="A691" t="str">
        <f t="shared" si="295"/>
        <v>04-08-2020 01:11:34</v>
      </c>
      <c r="B691" t="str">
        <f>"0000810269"</f>
        <v>0000810269</v>
      </c>
      <c r="C691" t="str">
        <f t="shared" si="296"/>
        <v>0000810206</v>
      </c>
      <c r="D691" t="str">
        <f t="shared" si="274"/>
        <v>73185</v>
      </c>
      <c r="E691" t="str">
        <f t="shared" si="275"/>
        <v>KFH-OPERATIONS DEPARTMENT</v>
      </c>
      <c r="F691" t="str">
        <f t="shared" si="276"/>
        <v>IBG</v>
      </c>
      <c r="G691" t="str">
        <f t="shared" si="291"/>
        <v>Refund COSHARE 10</v>
      </c>
      <c r="H691" s="2">
        <v>494</v>
      </c>
      <c r="I691" t="str">
        <f>"NUR AZNALIA AZURA BINTI AZHAR"</f>
        <v>NUR AZNALIA AZURA BINTI AZHAR</v>
      </c>
      <c r="J691" t="str">
        <f t="shared" si="297"/>
        <v>RHB BANK / RHB ISLAMIC BANK</v>
      </c>
      <c r="K691" t="str">
        <f>"11121200102166"</f>
        <v>11121200102166</v>
      </c>
      <c r="L691" t="str">
        <f t="shared" si="298"/>
        <v>04-08-2020</v>
      </c>
      <c r="M691" t="str">
        <f t="shared" si="298"/>
        <v>04-08-2020</v>
      </c>
      <c r="N691" t="str">
        <f t="shared" si="278"/>
        <v>001105018356</v>
      </c>
      <c r="O691" t="str">
        <f t="shared" si="279"/>
        <v>MYR</v>
      </c>
      <c r="P691" t="str">
        <f t="shared" si="299"/>
        <v>NIL</v>
      </c>
      <c r="Q691" t="str">
        <f t="shared" si="299"/>
        <v>NIL</v>
      </c>
      <c r="R691" t="str">
        <f t="shared" si="281"/>
        <v>Accepted</v>
      </c>
      <c r="S691" t="str">
        <f t="shared" si="282"/>
        <v>Approved</v>
      </c>
      <c r="T691" t="str">
        <f t="shared" si="283"/>
        <v>10.20.8.188</v>
      </c>
      <c r="U691" t="str">
        <f t="shared" si="284"/>
        <v>AZRAD UMAR BIN SHAARI</v>
      </c>
      <c r="V691" t="str">
        <f t="shared" si="285"/>
        <v>FARHANA BINTI MUSTAPA</v>
      </c>
      <c r="W691" t="str">
        <f t="shared" si="286"/>
        <v>04-08-2020</v>
      </c>
      <c r="X691" t="str">
        <f t="shared" si="287"/>
        <v>RAZIMAH ANSAR AHMAD</v>
      </c>
      <c r="Y691" t="str">
        <f t="shared" si="288"/>
        <v>04-08-2020</v>
      </c>
      <c r="Z691" t="str">
        <f>"COS10200804 8463"</f>
        <v>COS10200804 8463</v>
      </c>
    </row>
    <row r="692" spans="1:26" x14ac:dyDescent="0.25">
      <c r="A692" t="str">
        <f t="shared" si="295"/>
        <v>04-08-2020 01:11:34</v>
      </c>
      <c r="B692" t="str">
        <f>"0000810268"</f>
        <v>0000810268</v>
      </c>
      <c r="C692" t="str">
        <f t="shared" si="296"/>
        <v>0000810206</v>
      </c>
      <c r="D692" t="str">
        <f t="shared" si="274"/>
        <v>73185</v>
      </c>
      <c r="E692" t="str">
        <f t="shared" si="275"/>
        <v>KFH-OPERATIONS DEPARTMENT</v>
      </c>
      <c r="F692" t="str">
        <f t="shared" si="276"/>
        <v>IBG</v>
      </c>
      <c r="G692" t="str">
        <f t="shared" si="291"/>
        <v>Refund COSHARE 10</v>
      </c>
      <c r="H692" s="2">
        <v>126</v>
      </c>
      <c r="I692" t="str">
        <f>"NOZAIMAN BIN NOOR ROSNI"</f>
        <v>NOZAIMAN BIN NOOR ROSNI</v>
      </c>
      <c r="J692" t="str">
        <f t="shared" si="297"/>
        <v>RHB BANK / RHB ISLAMIC BANK</v>
      </c>
      <c r="K692" t="str">
        <f>"16233500094808"</f>
        <v>16233500094808</v>
      </c>
      <c r="L692" t="str">
        <f t="shared" si="298"/>
        <v>04-08-2020</v>
      </c>
      <c r="M692" t="str">
        <f t="shared" si="298"/>
        <v>04-08-2020</v>
      </c>
      <c r="N692" t="str">
        <f t="shared" si="278"/>
        <v>001105018356</v>
      </c>
      <c r="O692" t="str">
        <f t="shared" si="279"/>
        <v>MYR</v>
      </c>
      <c r="P692" t="str">
        <f t="shared" si="299"/>
        <v>NIL</v>
      </c>
      <c r="Q692" t="str">
        <f t="shared" si="299"/>
        <v>NIL</v>
      </c>
      <c r="R692" t="str">
        <f t="shared" si="281"/>
        <v>Accepted</v>
      </c>
      <c r="S692" t="str">
        <f t="shared" si="282"/>
        <v>Approved</v>
      </c>
      <c r="T692" t="str">
        <f t="shared" si="283"/>
        <v>10.20.8.188</v>
      </c>
      <c r="U692" t="str">
        <f t="shared" si="284"/>
        <v>AZRAD UMAR BIN SHAARI</v>
      </c>
      <c r="V692" t="str">
        <f t="shared" si="285"/>
        <v>FARHANA BINTI MUSTAPA</v>
      </c>
      <c r="W692" t="str">
        <f t="shared" si="286"/>
        <v>04-08-2020</v>
      </c>
      <c r="X692" t="str">
        <f t="shared" si="287"/>
        <v>RAZIMAH ANSAR AHMAD</v>
      </c>
      <c r="Y692" t="str">
        <f t="shared" si="288"/>
        <v>04-08-2020</v>
      </c>
      <c r="Z692" t="str">
        <f>"COS10200804 8462"</f>
        <v>COS10200804 8462</v>
      </c>
    </row>
    <row r="693" spans="1:26" x14ac:dyDescent="0.25">
      <c r="A693" t="str">
        <f t="shared" si="295"/>
        <v>04-08-2020 01:11:34</v>
      </c>
      <c r="B693" t="str">
        <f>"0000810267"</f>
        <v>0000810267</v>
      </c>
      <c r="C693" t="str">
        <f t="shared" si="296"/>
        <v>0000810206</v>
      </c>
      <c r="D693" t="str">
        <f t="shared" si="274"/>
        <v>73185</v>
      </c>
      <c r="E693" t="str">
        <f t="shared" si="275"/>
        <v>KFH-OPERATIONS DEPARTMENT</v>
      </c>
      <c r="F693" t="str">
        <f t="shared" si="276"/>
        <v>IBG</v>
      </c>
      <c r="G693" t="str">
        <f t="shared" si="291"/>
        <v>Refund COSHARE 10</v>
      </c>
      <c r="H693" s="2">
        <v>209.9</v>
      </c>
      <c r="I693" t="str">
        <f>"NORY ANAK ENGKASAN"</f>
        <v>NORY ANAK ENGKASAN</v>
      </c>
      <c r="J693" t="str">
        <f t="shared" si="297"/>
        <v>RHB BANK / RHB ISLAMIC BANK</v>
      </c>
      <c r="K693" t="str">
        <f>"11112850060590"</f>
        <v>11112850060590</v>
      </c>
      <c r="L693" t="str">
        <f t="shared" si="298"/>
        <v>04-08-2020</v>
      </c>
      <c r="M693" t="str">
        <f t="shared" si="298"/>
        <v>04-08-2020</v>
      </c>
      <c r="N693" t="str">
        <f t="shared" si="278"/>
        <v>001105018356</v>
      </c>
      <c r="O693" t="str">
        <f t="shared" si="279"/>
        <v>MYR</v>
      </c>
      <c r="P693" t="str">
        <f t="shared" si="299"/>
        <v>NIL</v>
      </c>
      <c r="Q693" t="str">
        <f t="shared" si="299"/>
        <v>NIL</v>
      </c>
      <c r="R693" t="str">
        <f t="shared" si="281"/>
        <v>Accepted</v>
      </c>
      <c r="S693" t="str">
        <f t="shared" si="282"/>
        <v>Approved</v>
      </c>
      <c r="T693" t="str">
        <f t="shared" si="283"/>
        <v>10.20.8.188</v>
      </c>
      <c r="U693" t="str">
        <f t="shared" si="284"/>
        <v>AZRAD UMAR BIN SHAARI</v>
      </c>
      <c r="V693" t="str">
        <f t="shared" si="285"/>
        <v>FARHANA BINTI MUSTAPA</v>
      </c>
      <c r="W693" t="str">
        <f t="shared" si="286"/>
        <v>04-08-2020</v>
      </c>
      <c r="X693" t="str">
        <f t="shared" si="287"/>
        <v>RAZIMAH ANSAR AHMAD</v>
      </c>
      <c r="Y693" t="str">
        <f t="shared" si="288"/>
        <v>04-08-2020</v>
      </c>
      <c r="Z693" t="str">
        <f>"COS10200804 8461"</f>
        <v>COS10200804 8461</v>
      </c>
    </row>
    <row r="694" spans="1:26" x14ac:dyDescent="0.25">
      <c r="A694" t="str">
        <f t="shared" si="295"/>
        <v>04-08-2020 01:11:34</v>
      </c>
      <c r="B694" t="str">
        <f>"0000810266"</f>
        <v>0000810266</v>
      </c>
      <c r="C694" t="str">
        <f t="shared" si="296"/>
        <v>0000810206</v>
      </c>
      <c r="D694" t="str">
        <f t="shared" si="274"/>
        <v>73185</v>
      </c>
      <c r="E694" t="str">
        <f t="shared" si="275"/>
        <v>KFH-OPERATIONS DEPARTMENT</v>
      </c>
      <c r="F694" t="str">
        <f t="shared" si="276"/>
        <v>IBG</v>
      </c>
      <c r="G694" t="str">
        <f t="shared" si="291"/>
        <v>Refund COSHARE 10</v>
      </c>
      <c r="H694" s="2">
        <v>562.5</v>
      </c>
      <c r="I694" t="str">
        <f>"NORRATIMA BINTI KADA"</f>
        <v>NORRATIMA BINTI KADA</v>
      </c>
      <c r="J694" t="str">
        <f t="shared" si="297"/>
        <v>RHB BANK / RHB ISLAMIC BANK</v>
      </c>
      <c r="K694" t="str">
        <f>"11114650146560"</f>
        <v>11114650146560</v>
      </c>
      <c r="L694" t="str">
        <f t="shared" si="298"/>
        <v>04-08-2020</v>
      </c>
      <c r="M694" t="str">
        <f t="shared" si="298"/>
        <v>04-08-2020</v>
      </c>
      <c r="N694" t="str">
        <f t="shared" si="278"/>
        <v>001105018356</v>
      </c>
      <c r="O694" t="str">
        <f t="shared" si="279"/>
        <v>MYR</v>
      </c>
      <c r="P694" t="str">
        <f t="shared" si="299"/>
        <v>NIL</v>
      </c>
      <c r="Q694" t="str">
        <f t="shared" si="299"/>
        <v>NIL</v>
      </c>
      <c r="R694" t="str">
        <f t="shared" si="281"/>
        <v>Accepted</v>
      </c>
      <c r="S694" t="str">
        <f t="shared" si="282"/>
        <v>Approved</v>
      </c>
      <c r="T694" t="str">
        <f t="shared" si="283"/>
        <v>10.20.8.188</v>
      </c>
      <c r="U694" t="str">
        <f t="shared" si="284"/>
        <v>AZRAD UMAR BIN SHAARI</v>
      </c>
      <c r="V694" t="str">
        <f t="shared" si="285"/>
        <v>FARHANA BINTI MUSTAPA</v>
      </c>
      <c r="W694" t="str">
        <f t="shared" si="286"/>
        <v>04-08-2020</v>
      </c>
      <c r="X694" t="str">
        <f t="shared" si="287"/>
        <v>RAZIMAH ANSAR AHMAD</v>
      </c>
      <c r="Y694" t="str">
        <f t="shared" si="288"/>
        <v>04-08-2020</v>
      </c>
      <c r="Z694" t="str">
        <f>"COS10200804 8460"</f>
        <v>COS10200804 8460</v>
      </c>
    </row>
    <row r="695" spans="1:26" x14ac:dyDescent="0.25">
      <c r="A695" t="str">
        <f t="shared" si="295"/>
        <v>04-08-2020 01:11:34</v>
      </c>
      <c r="B695" t="str">
        <f>"0000810265"</f>
        <v>0000810265</v>
      </c>
      <c r="C695" t="str">
        <f t="shared" si="296"/>
        <v>0000810206</v>
      </c>
      <c r="D695" t="str">
        <f t="shared" si="274"/>
        <v>73185</v>
      </c>
      <c r="E695" t="str">
        <f t="shared" si="275"/>
        <v>KFH-OPERATIONS DEPARTMENT</v>
      </c>
      <c r="F695" t="str">
        <f t="shared" si="276"/>
        <v>IBG</v>
      </c>
      <c r="G695" t="str">
        <f t="shared" si="291"/>
        <v>Refund COSHARE 10</v>
      </c>
      <c r="H695" s="2">
        <v>195.15</v>
      </c>
      <c r="I695" t="str">
        <f>"NORFAZLINA BINTI MUSTAFA"</f>
        <v>NORFAZLINA BINTI MUSTAFA</v>
      </c>
      <c r="J695" t="str">
        <f t="shared" si="297"/>
        <v>RHB BANK / RHB ISLAMIC BANK</v>
      </c>
      <c r="K695" t="str">
        <f>"16412400028900"</f>
        <v>16412400028900</v>
      </c>
      <c r="L695" t="str">
        <f t="shared" si="298"/>
        <v>04-08-2020</v>
      </c>
      <c r="M695" t="str">
        <f t="shared" si="298"/>
        <v>04-08-2020</v>
      </c>
      <c r="N695" t="str">
        <f t="shared" si="278"/>
        <v>001105018356</v>
      </c>
      <c r="O695" t="str">
        <f t="shared" si="279"/>
        <v>MYR</v>
      </c>
      <c r="P695" t="str">
        <f t="shared" si="299"/>
        <v>NIL</v>
      </c>
      <c r="Q695" t="str">
        <f t="shared" si="299"/>
        <v>NIL</v>
      </c>
      <c r="R695" t="str">
        <f t="shared" si="281"/>
        <v>Accepted</v>
      </c>
      <c r="S695" t="str">
        <f t="shared" si="282"/>
        <v>Approved</v>
      </c>
      <c r="T695" t="str">
        <f t="shared" si="283"/>
        <v>10.20.8.188</v>
      </c>
      <c r="U695" t="str">
        <f t="shared" si="284"/>
        <v>AZRAD UMAR BIN SHAARI</v>
      </c>
      <c r="V695" t="str">
        <f t="shared" si="285"/>
        <v>FARHANA BINTI MUSTAPA</v>
      </c>
      <c r="W695" t="str">
        <f t="shared" si="286"/>
        <v>04-08-2020</v>
      </c>
      <c r="X695" t="str">
        <f t="shared" si="287"/>
        <v>RAZIMAH ANSAR AHMAD</v>
      </c>
      <c r="Y695" t="str">
        <f t="shared" si="288"/>
        <v>04-08-2020</v>
      </c>
      <c r="Z695" t="str">
        <f>"COS10200804 8459"</f>
        <v>COS10200804 8459</v>
      </c>
    </row>
    <row r="696" spans="1:26" x14ac:dyDescent="0.25">
      <c r="A696" t="str">
        <f t="shared" si="295"/>
        <v>04-08-2020 01:11:34</v>
      </c>
      <c r="B696" t="str">
        <f>"0000810264"</f>
        <v>0000810264</v>
      </c>
      <c r="C696" t="str">
        <f t="shared" si="296"/>
        <v>0000810206</v>
      </c>
      <c r="D696" t="str">
        <f t="shared" si="274"/>
        <v>73185</v>
      </c>
      <c r="E696" t="str">
        <f t="shared" si="275"/>
        <v>KFH-OPERATIONS DEPARTMENT</v>
      </c>
      <c r="F696" t="str">
        <f t="shared" si="276"/>
        <v>IBG</v>
      </c>
      <c r="G696" t="str">
        <f t="shared" si="291"/>
        <v>Refund COSHARE 10</v>
      </c>
      <c r="H696" s="2">
        <v>587.65</v>
      </c>
      <c r="I696" t="str">
        <f>"NORFARAH ZULIZA BINTI MOHD YUNUS"</f>
        <v>NORFARAH ZULIZA BINTI MOHD YUNUS</v>
      </c>
      <c r="J696" t="str">
        <f t="shared" si="297"/>
        <v>RHB BANK / RHB ISLAMIC BANK</v>
      </c>
      <c r="K696" t="str">
        <f>"10130360222937"</f>
        <v>10130360222937</v>
      </c>
      <c r="L696" t="str">
        <f t="shared" si="298"/>
        <v>04-08-2020</v>
      </c>
      <c r="M696" t="str">
        <f t="shared" si="298"/>
        <v>04-08-2020</v>
      </c>
      <c r="N696" t="str">
        <f t="shared" si="278"/>
        <v>001105018356</v>
      </c>
      <c r="O696" t="str">
        <f t="shared" si="279"/>
        <v>MYR</v>
      </c>
      <c r="P696" t="str">
        <f t="shared" si="299"/>
        <v>NIL</v>
      </c>
      <c r="Q696" t="str">
        <f t="shared" si="299"/>
        <v>NIL</v>
      </c>
      <c r="R696" t="str">
        <f t="shared" si="281"/>
        <v>Accepted</v>
      </c>
      <c r="S696" t="str">
        <f t="shared" si="282"/>
        <v>Approved</v>
      </c>
      <c r="T696" t="str">
        <f t="shared" si="283"/>
        <v>10.20.8.188</v>
      </c>
      <c r="U696" t="str">
        <f t="shared" si="284"/>
        <v>AZRAD UMAR BIN SHAARI</v>
      </c>
      <c r="V696" t="str">
        <f t="shared" si="285"/>
        <v>FARHANA BINTI MUSTAPA</v>
      </c>
      <c r="W696" t="str">
        <f t="shared" si="286"/>
        <v>04-08-2020</v>
      </c>
      <c r="X696" t="str">
        <f t="shared" si="287"/>
        <v>RAZIMAH ANSAR AHMAD</v>
      </c>
      <c r="Y696" t="str">
        <f t="shared" si="288"/>
        <v>04-08-2020</v>
      </c>
      <c r="Z696" t="str">
        <f>"COS10200804 8458"</f>
        <v>COS10200804 8458</v>
      </c>
    </row>
    <row r="697" spans="1:26" x14ac:dyDescent="0.25">
      <c r="A697" t="str">
        <f t="shared" si="295"/>
        <v>04-08-2020 01:11:34</v>
      </c>
      <c r="B697" t="str">
        <f>"0000810263"</f>
        <v>0000810263</v>
      </c>
      <c r="C697" t="str">
        <f t="shared" si="296"/>
        <v>0000810206</v>
      </c>
      <c r="D697" t="str">
        <f t="shared" si="274"/>
        <v>73185</v>
      </c>
      <c r="E697" t="str">
        <f t="shared" si="275"/>
        <v>KFH-OPERATIONS DEPARTMENT</v>
      </c>
      <c r="F697" t="str">
        <f t="shared" si="276"/>
        <v>IBG</v>
      </c>
      <c r="G697" t="str">
        <f t="shared" si="291"/>
        <v>Refund COSHARE 10</v>
      </c>
      <c r="H697" s="2">
        <v>443.5</v>
      </c>
      <c r="I697" t="str">
        <f>"NOREDAH BINTI MOHD YUNUS"</f>
        <v>NOREDAH BINTI MOHD YUNUS</v>
      </c>
      <c r="J697" t="str">
        <f t="shared" si="297"/>
        <v>RHB BANK / RHB ISLAMIC BANK</v>
      </c>
      <c r="K697" t="str">
        <f>"10401800232221"</f>
        <v>10401800232221</v>
      </c>
      <c r="L697" t="str">
        <f t="shared" si="298"/>
        <v>04-08-2020</v>
      </c>
      <c r="M697" t="str">
        <f t="shared" si="298"/>
        <v>04-08-2020</v>
      </c>
      <c r="N697" t="str">
        <f t="shared" si="278"/>
        <v>001105018356</v>
      </c>
      <c r="O697" t="str">
        <f t="shared" si="279"/>
        <v>MYR</v>
      </c>
      <c r="P697" t="str">
        <f t="shared" si="299"/>
        <v>NIL</v>
      </c>
      <c r="Q697" t="str">
        <f t="shared" si="299"/>
        <v>NIL</v>
      </c>
      <c r="R697" t="str">
        <f t="shared" si="281"/>
        <v>Accepted</v>
      </c>
      <c r="S697" t="str">
        <f t="shared" si="282"/>
        <v>Approved</v>
      </c>
      <c r="T697" t="str">
        <f t="shared" si="283"/>
        <v>10.20.8.188</v>
      </c>
      <c r="U697" t="str">
        <f t="shared" si="284"/>
        <v>AZRAD UMAR BIN SHAARI</v>
      </c>
      <c r="V697" t="str">
        <f t="shared" si="285"/>
        <v>FARHANA BINTI MUSTAPA</v>
      </c>
      <c r="W697" t="str">
        <f t="shared" si="286"/>
        <v>04-08-2020</v>
      </c>
      <c r="X697" t="str">
        <f t="shared" si="287"/>
        <v>RAZIMAH ANSAR AHMAD</v>
      </c>
      <c r="Y697" t="str">
        <f t="shared" si="288"/>
        <v>04-08-2020</v>
      </c>
      <c r="Z697" t="str">
        <f>"COS10200804 8457"</f>
        <v>COS10200804 8457</v>
      </c>
    </row>
    <row r="698" spans="1:26" x14ac:dyDescent="0.25">
      <c r="A698" t="str">
        <f t="shared" si="295"/>
        <v>04-08-2020 01:11:34</v>
      </c>
      <c r="B698" t="str">
        <f>"0000810262"</f>
        <v>0000810262</v>
      </c>
      <c r="C698" t="str">
        <f t="shared" si="296"/>
        <v>0000810206</v>
      </c>
      <c r="D698" t="str">
        <f t="shared" si="274"/>
        <v>73185</v>
      </c>
      <c r="E698" t="str">
        <f t="shared" si="275"/>
        <v>KFH-OPERATIONS DEPARTMENT</v>
      </c>
      <c r="F698" t="str">
        <f t="shared" si="276"/>
        <v>IBG</v>
      </c>
      <c r="G698" t="str">
        <f t="shared" si="291"/>
        <v>Refund COSHARE 10</v>
      </c>
      <c r="H698" s="2">
        <v>177</v>
      </c>
      <c r="I698" t="str">
        <f>"NORAISAH BINTI JABIL"</f>
        <v>NORAISAH BINTI JABIL</v>
      </c>
      <c r="J698" t="str">
        <f t="shared" si="297"/>
        <v>RHB BANK / RHB ISLAMIC BANK</v>
      </c>
      <c r="K698" t="str">
        <f>"11001900287141"</f>
        <v>11001900287141</v>
      </c>
      <c r="L698" t="str">
        <f t="shared" si="298"/>
        <v>04-08-2020</v>
      </c>
      <c r="M698" t="str">
        <f t="shared" si="298"/>
        <v>04-08-2020</v>
      </c>
      <c r="N698" t="str">
        <f t="shared" si="278"/>
        <v>001105018356</v>
      </c>
      <c r="O698" t="str">
        <f t="shared" si="279"/>
        <v>MYR</v>
      </c>
      <c r="P698" t="str">
        <f t="shared" si="299"/>
        <v>NIL</v>
      </c>
      <c r="Q698" t="str">
        <f t="shared" si="299"/>
        <v>NIL</v>
      </c>
      <c r="R698" t="str">
        <f t="shared" si="281"/>
        <v>Accepted</v>
      </c>
      <c r="S698" t="str">
        <f t="shared" si="282"/>
        <v>Approved</v>
      </c>
      <c r="T698" t="str">
        <f t="shared" si="283"/>
        <v>10.20.8.188</v>
      </c>
      <c r="U698" t="str">
        <f t="shared" si="284"/>
        <v>AZRAD UMAR BIN SHAARI</v>
      </c>
      <c r="V698" t="str">
        <f t="shared" si="285"/>
        <v>FARHANA BINTI MUSTAPA</v>
      </c>
      <c r="W698" t="str">
        <f t="shared" si="286"/>
        <v>04-08-2020</v>
      </c>
      <c r="X698" t="str">
        <f t="shared" si="287"/>
        <v>RAZIMAH ANSAR AHMAD</v>
      </c>
      <c r="Y698" t="str">
        <f t="shared" si="288"/>
        <v>04-08-2020</v>
      </c>
      <c r="Z698" t="str">
        <f>"COS10200804 8456"</f>
        <v>COS10200804 8456</v>
      </c>
    </row>
    <row r="699" spans="1:26" x14ac:dyDescent="0.25">
      <c r="A699" t="str">
        <f t="shared" si="295"/>
        <v>04-08-2020 01:11:34</v>
      </c>
      <c r="B699" t="str">
        <f>"0000810261"</f>
        <v>0000810261</v>
      </c>
      <c r="C699" t="str">
        <f t="shared" si="296"/>
        <v>0000810206</v>
      </c>
      <c r="D699" t="str">
        <f t="shared" si="274"/>
        <v>73185</v>
      </c>
      <c r="E699" t="str">
        <f t="shared" si="275"/>
        <v>KFH-OPERATIONS DEPARTMENT</v>
      </c>
      <c r="F699" t="str">
        <f t="shared" si="276"/>
        <v>IBG</v>
      </c>
      <c r="G699" t="str">
        <f t="shared" si="291"/>
        <v>Refund COSHARE 10</v>
      </c>
      <c r="H699" s="2">
        <v>1869.05</v>
      </c>
      <c r="I699" t="str">
        <f>"NORAINI BINTI SHAARY"</f>
        <v>NORAINI BINTI SHAARY</v>
      </c>
      <c r="J699" t="str">
        <f t="shared" si="297"/>
        <v>RHB BANK / RHB ISLAMIC BANK</v>
      </c>
      <c r="K699" t="str">
        <f>"10807010072707"</f>
        <v>10807010072707</v>
      </c>
      <c r="L699" t="str">
        <f t="shared" si="298"/>
        <v>04-08-2020</v>
      </c>
      <c r="M699" t="str">
        <f t="shared" si="298"/>
        <v>04-08-2020</v>
      </c>
      <c r="N699" t="str">
        <f t="shared" si="278"/>
        <v>001105018356</v>
      </c>
      <c r="O699" t="str">
        <f t="shared" si="279"/>
        <v>MYR</v>
      </c>
      <c r="P699" t="str">
        <f t="shared" si="299"/>
        <v>NIL</v>
      </c>
      <c r="Q699" t="str">
        <f t="shared" si="299"/>
        <v>NIL</v>
      </c>
      <c r="R699" t="str">
        <f t="shared" si="281"/>
        <v>Accepted</v>
      </c>
      <c r="S699" t="str">
        <f t="shared" si="282"/>
        <v>Approved</v>
      </c>
      <c r="T699" t="str">
        <f t="shared" si="283"/>
        <v>10.20.8.188</v>
      </c>
      <c r="U699" t="str">
        <f t="shared" si="284"/>
        <v>AZRAD UMAR BIN SHAARI</v>
      </c>
      <c r="V699" t="str">
        <f t="shared" si="285"/>
        <v>FARHANA BINTI MUSTAPA</v>
      </c>
      <c r="W699" t="str">
        <f t="shared" si="286"/>
        <v>04-08-2020</v>
      </c>
      <c r="X699" t="str">
        <f t="shared" si="287"/>
        <v>RAZIMAH ANSAR AHMAD</v>
      </c>
      <c r="Y699" t="str">
        <f t="shared" si="288"/>
        <v>04-08-2020</v>
      </c>
      <c r="Z699" t="str">
        <f>"COS10200804 8455"</f>
        <v>COS10200804 8455</v>
      </c>
    </row>
    <row r="700" spans="1:26" x14ac:dyDescent="0.25">
      <c r="A700" t="str">
        <f t="shared" si="295"/>
        <v>04-08-2020 01:11:34</v>
      </c>
      <c r="B700" t="str">
        <f>"0000810260"</f>
        <v>0000810260</v>
      </c>
      <c r="C700" t="str">
        <f t="shared" si="296"/>
        <v>0000810206</v>
      </c>
      <c r="D700" t="str">
        <f t="shared" si="274"/>
        <v>73185</v>
      </c>
      <c r="E700" t="str">
        <f t="shared" si="275"/>
        <v>KFH-OPERATIONS DEPARTMENT</v>
      </c>
      <c r="F700" t="str">
        <f t="shared" si="276"/>
        <v>IBG</v>
      </c>
      <c r="G700" t="str">
        <f t="shared" si="291"/>
        <v>Refund COSHARE 10</v>
      </c>
      <c r="H700" s="2">
        <v>294.7</v>
      </c>
      <c r="I700" t="str">
        <f>"NORAINI BINTI MOHDISA"</f>
        <v>NORAINI BINTI MOHDISA</v>
      </c>
      <c r="J700" t="str">
        <f t="shared" si="297"/>
        <v>RHB BANK / RHB ISLAMIC BANK</v>
      </c>
      <c r="K700" t="str">
        <f>"15820800003469"</f>
        <v>15820800003469</v>
      </c>
      <c r="L700" t="str">
        <f t="shared" si="298"/>
        <v>04-08-2020</v>
      </c>
      <c r="M700" t="str">
        <f t="shared" si="298"/>
        <v>04-08-2020</v>
      </c>
      <c r="N700" t="str">
        <f t="shared" si="278"/>
        <v>001105018356</v>
      </c>
      <c r="O700" t="str">
        <f t="shared" si="279"/>
        <v>MYR</v>
      </c>
      <c r="P700" t="str">
        <f t="shared" si="299"/>
        <v>NIL</v>
      </c>
      <c r="Q700" t="str">
        <f t="shared" si="299"/>
        <v>NIL</v>
      </c>
      <c r="R700" t="str">
        <f t="shared" si="281"/>
        <v>Accepted</v>
      </c>
      <c r="S700" t="str">
        <f t="shared" si="282"/>
        <v>Approved</v>
      </c>
      <c r="T700" t="str">
        <f t="shared" si="283"/>
        <v>10.20.8.188</v>
      </c>
      <c r="U700" t="str">
        <f t="shared" si="284"/>
        <v>AZRAD UMAR BIN SHAARI</v>
      </c>
      <c r="V700" t="str">
        <f t="shared" si="285"/>
        <v>FARHANA BINTI MUSTAPA</v>
      </c>
      <c r="W700" t="str">
        <f t="shared" si="286"/>
        <v>04-08-2020</v>
      </c>
      <c r="X700" t="str">
        <f t="shared" si="287"/>
        <v>RAZIMAH ANSAR AHMAD</v>
      </c>
      <c r="Y700" t="str">
        <f t="shared" si="288"/>
        <v>04-08-2020</v>
      </c>
      <c r="Z700" t="str">
        <f>"COS10200804 8454"</f>
        <v>COS10200804 8454</v>
      </c>
    </row>
    <row r="701" spans="1:26" x14ac:dyDescent="0.25">
      <c r="A701" t="str">
        <f t="shared" si="295"/>
        <v>04-08-2020 01:11:34</v>
      </c>
      <c r="B701" t="str">
        <f>"0000810259"</f>
        <v>0000810259</v>
      </c>
      <c r="C701" t="str">
        <f t="shared" si="296"/>
        <v>0000810206</v>
      </c>
      <c r="D701" t="str">
        <f t="shared" si="274"/>
        <v>73185</v>
      </c>
      <c r="E701" t="str">
        <f t="shared" si="275"/>
        <v>KFH-OPERATIONS DEPARTMENT</v>
      </c>
      <c r="F701" t="str">
        <f t="shared" si="276"/>
        <v>IBG</v>
      </c>
      <c r="G701" t="str">
        <f t="shared" si="291"/>
        <v>Refund COSHARE 10</v>
      </c>
      <c r="H701" s="2">
        <v>847.9</v>
      </c>
      <c r="I701" t="str">
        <f>"NOR ISMAWATIEE BINTI ANUAR"</f>
        <v>NOR ISMAWATIEE BINTI ANUAR</v>
      </c>
      <c r="J701" t="str">
        <f t="shared" si="297"/>
        <v>RHB BANK / RHB ISLAMIC BANK</v>
      </c>
      <c r="K701" t="str">
        <f>"11114600048808"</f>
        <v>11114600048808</v>
      </c>
      <c r="L701" t="str">
        <f t="shared" si="298"/>
        <v>04-08-2020</v>
      </c>
      <c r="M701" t="str">
        <f t="shared" si="298"/>
        <v>04-08-2020</v>
      </c>
      <c r="N701" t="str">
        <f t="shared" si="278"/>
        <v>001105018356</v>
      </c>
      <c r="O701" t="str">
        <f t="shared" si="279"/>
        <v>MYR</v>
      </c>
      <c r="P701" t="str">
        <f t="shared" si="299"/>
        <v>NIL</v>
      </c>
      <c r="Q701" t="str">
        <f t="shared" si="299"/>
        <v>NIL</v>
      </c>
      <c r="R701" t="str">
        <f t="shared" si="281"/>
        <v>Accepted</v>
      </c>
      <c r="S701" t="str">
        <f t="shared" si="282"/>
        <v>Approved</v>
      </c>
      <c r="T701" t="str">
        <f t="shared" si="283"/>
        <v>10.20.8.188</v>
      </c>
      <c r="U701" t="str">
        <f t="shared" si="284"/>
        <v>AZRAD UMAR BIN SHAARI</v>
      </c>
      <c r="V701" t="str">
        <f t="shared" si="285"/>
        <v>FARHANA BINTI MUSTAPA</v>
      </c>
      <c r="W701" t="str">
        <f t="shared" si="286"/>
        <v>04-08-2020</v>
      </c>
      <c r="X701" t="str">
        <f t="shared" si="287"/>
        <v>RAZIMAH ANSAR AHMAD</v>
      </c>
      <c r="Y701" t="str">
        <f t="shared" si="288"/>
        <v>04-08-2020</v>
      </c>
      <c r="Z701" t="str">
        <f>"COS10200804 8453"</f>
        <v>COS10200804 8453</v>
      </c>
    </row>
    <row r="702" spans="1:26" x14ac:dyDescent="0.25">
      <c r="A702" t="str">
        <f t="shared" si="295"/>
        <v>04-08-2020 01:11:34</v>
      </c>
      <c r="B702" t="str">
        <f>"0000810258"</f>
        <v>0000810258</v>
      </c>
      <c r="C702" t="str">
        <f t="shared" si="296"/>
        <v>0000810206</v>
      </c>
      <c r="D702" t="str">
        <f t="shared" si="274"/>
        <v>73185</v>
      </c>
      <c r="E702" t="str">
        <f t="shared" si="275"/>
        <v>KFH-OPERATIONS DEPARTMENT</v>
      </c>
      <c r="F702" t="str">
        <f t="shared" si="276"/>
        <v>IBG</v>
      </c>
      <c r="G702" t="str">
        <f t="shared" si="291"/>
        <v>Refund COSHARE 10</v>
      </c>
      <c r="H702" s="2">
        <v>380</v>
      </c>
      <c r="I702" t="str">
        <f>"NOORHARIZAM BINTI YA"</f>
        <v>NOORHARIZAM BINTI YA</v>
      </c>
      <c r="J702" t="str">
        <f t="shared" si="297"/>
        <v>RHB BANK / RHB ISLAMIC BANK</v>
      </c>
      <c r="K702" t="str">
        <f>"15301600058270"</f>
        <v>15301600058270</v>
      </c>
      <c r="L702" t="str">
        <f t="shared" si="298"/>
        <v>04-08-2020</v>
      </c>
      <c r="M702" t="str">
        <f t="shared" si="298"/>
        <v>04-08-2020</v>
      </c>
      <c r="N702" t="str">
        <f t="shared" si="278"/>
        <v>001105018356</v>
      </c>
      <c r="O702" t="str">
        <f t="shared" si="279"/>
        <v>MYR</v>
      </c>
      <c r="P702" t="str">
        <f t="shared" si="299"/>
        <v>NIL</v>
      </c>
      <c r="Q702" t="str">
        <f t="shared" si="299"/>
        <v>NIL</v>
      </c>
      <c r="R702" t="str">
        <f t="shared" si="281"/>
        <v>Accepted</v>
      </c>
      <c r="S702" t="str">
        <f t="shared" si="282"/>
        <v>Approved</v>
      </c>
      <c r="T702" t="str">
        <f t="shared" si="283"/>
        <v>10.20.8.188</v>
      </c>
      <c r="U702" t="str">
        <f t="shared" si="284"/>
        <v>AZRAD UMAR BIN SHAARI</v>
      </c>
      <c r="V702" t="str">
        <f t="shared" si="285"/>
        <v>FARHANA BINTI MUSTAPA</v>
      </c>
      <c r="W702" t="str">
        <f t="shared" si="286"/>
        <v>04-08-2020</v>
      </c>
      <c r="X702" t="str">
        <f t="shared" si="287"/>
        <v>RAZIMAH ANSAR AHMAD</v>
      </c>
      <c r="Y702" t="str">
        <f t="shared" si="288"/>
        <v>04-08-2020</v>
      </c>
      <c r="Z702" t="str">
        <f>"COS10200804 8452"</f>
        <v>COS10200804 8452</v>
      </c>
    </row>
    <row r="703" spans="1:26" x14ac:dyDescent="0.25">
      <c r="A703" t="str">
        <f t="shared" si="295"/>
        <v>04-08-2020 01:11:34</v>
      </c>
      <c r="B703" t="str">
        <f>"0000810257"</f>
        <v>0000810257</v>
      </c>
      <c r="C703" t="str">
        <f t="shared" si="296"/>
        <v>0000810206</v>
      </c>
      <c r="D703" t="str">
        <f t="shared" si="274"/>
        <v>73185</v>
      </c>
      <c r="E703" t="str">
        <f t="shared" si="275"/>
        <v>KFH-OPERATIONS DEPARTMENT</v>
      </c>
      <c r="F703" t="str">
        <f t="shared" si="276"/>
        <v>IBG</v>
      </c>
      <c r="G703" t="str">
        <f t="shared" si="291"/>
        <v>Refund COSHARE 10</v>
      </c>
      <c r="H703" s="2">
        <v>83.95</v>
      </c>
      <c r="I703" t="str">
        <f>"NOORHARIZAH BINTI RATIMIN"</f>
        <v>NOORHARIZAH BINTI RATIMIN</v>
      </c>
      <c r="J703" t="str">
        <f t="shared" si="297"/>
        <v>RHB BANK / RHB ISLAMIC BANK</v>
      </c>
      <c r="K703" t="str">
        <f>"15505600056450"</f>
        <v>15505600056450</v>
      </c>
      <c r="L703" t="str">
        <f t="shared" si="298"/>
        <v>04-08-2020</v>
      </c>
      <c r="M703" t="str">
        <f t="shared" si="298"/>
        <v>04-08-2020</v>
      </c>
      <c r="N703" t="str">
        <f t="shared" si="278"/>
        <v>001105018356</v>
      </c>
      <c r="O703" t="str">
        <f t="shared" si="279"/>
        <v>MYR</v>
      </c>
      <c r="P703" t="str">
        <f t="shared" si="299"/>
        <v>NIL</v>
      </c>
      <c r="Q703" t="str">
        <f t="shared" si="299"/>
        <v>NIL</v>
      </c>
      <c r="R703" t="str">
        <f t="shared" si="281"/>
        <v>Accepted</v>
      </c>
      <c r="S703" t="str">
        <f t="shared" si="282"/>
        <v>Approved</v>
      </c>
      <c r="T703" t="str">
        <f t="shared" si="283"/>
        <v>10.20.8.188</v>
      </c>
      <c r="U703" t="str">
        <f t="shared" si="284"/>
        <v>AZRAD UMAR BIN SHAARI</v>
      </c>
      <c r="V703" t="str">
        <f t="shared" si="285"/>
        <v>FARHANA BINTI MUSTAPA</v>
      </c>
      <c r="W703" t="str">
        <f t="shared" si="286"/>
        <v>04-08-2020</v>
      </c>
      <c r="X703" t="str">
        <f t="shared" si="287"/>
        <v>RAZIMAH ANSAR AHMAD</v>
      </c>
      <c r="Y703" t="str">
        <f t="shared" si="288"/>
        <v>04-08-2020</v>
      </c>
      <c r="Z703" t="str">
        <f>"COS10200804 8451"</f>
        <v>COS10200804 8451</v>
      </c>
    </row>
    <row r="704" spans="1:26" x14ac:dyDescent="0.25">
      <c r="A704" t="str">
        <f t="shared" si="295"/>
        <v>04-08-2020 01:11:34</v>
      </c>
      <c r="B704" t="str">
        <f>"0000810256"</f>
        <v>0000810256</v>
      </c>
      <c r="C704" t="str">
        <f t="shared" si="296"/>
        <v>0000810206</v>
      </c>
      <c r="D704" t="str">
        <f t="shared" si="274"/>
        <v>73185</v>
      </c>
      <c r="E704" t="str">
        <f t="shared" si="275"/>
        <v>KFH-OPERATIONS DEPARTMENT</v>
      </c>
      <c r="F704" t="str">
        <f t="shared" si="276"/>
        <v>IBG</v>
      </c>
      <c r="G704" t="str">
        <f t="shared" si="291"/>
        <v>Refund COSHARE 10</v>
      </c>
      <c r="H704" s="2">
        <v>678</v>
      </c>
      <c r="I704" t="str">
        <f>"NOORAZIZAH BINTI IBRAHIM"</f>
        <v>NOORAZIZAH BINTI IBRAHIM</v>
      </c>
      <c r="J704" t="str">
        <f t="shared" si="297"/>
        <v>RHB BANK / RHB ISLAMIC BANK</v>
      </c>
      <c r="K704" t="str">
        <f>"10707300007189"</f>
        <v>10707300007189</v>
      </c>
      <c r="L704" t="str">
        <f t="shared" si="298"/>
        <v>04-08-2020</v>
      </c>
      <c r="M704" t="str">
        <f t="shared" si="298"/>
        <v>04-08-2020</v>
      </c>
      <c r="N704" t="str">
        <f t="shared" si="278"/>
        <v>001105018356</v>
      </c>
      <c r="O704" t="str">
        <f t="shared" si="279"/>
        <v>MYR</v>
      </c>
      <c r="P704" t="str">
        <f t="shared" si="299"/>
        <v>NIL</v>
      </c>
      <c r="Q704" t="str">
        <f t="shared" si="299"/>
        <v>NIL</v>
      </c>
      <c r="R704" t="str">
        <f t="shared" si="281"/>
        <v>Accepted</v>
      </c>
      <c r="S704" t="str">
        <f t="shared" si="282"/>
        <v>Approved</v>
      </c>
      <c r="T704" t="str">
        <f t="shared" si="283"/>
        <v>10.20.8.188</v>
      </c>
      <c r="U704" t="str">
        <f t="shared" si="284"/>
        <v>AZRAD UMAR BIN SHAARI</v>
      </c>
      <c r="V704" t="str">
        <f t="shared" si="285"/>
        <v>FARHANA BINTI MUSTAPA</v>
      </c>
      <c r="W704" t="str">
        <f t="shared" si="286"/>
        <v>04-08-2020</v>
      </c>
      <c r="X704" t="str">
        <f t="shared" si="287"/>
        <v>RAZIMAH ANSAR AHMAD</v>
      </c>
      <c r="Y704" t="str">
        <f t="shared" si="288"/>
        <v>04-08-2020</v>
      </c>
      <c r="Z704" t="str">
        <f>"COS10200804 8450"</f>
        <v>COS10200804 8450</v>
      </c>
    </row>
    <row r="705" spans="1:26" x14ac:dyDescent="0.25">
      <c r="A705" t="str">
        <f t="shared" si="295"/>
        <v>04-08-2020 01:11:34</v>
      </c>
      <c r="B705" t="str">
        <f>"0000810255"</f>
        <v>0000810255</v>
      </c>
      <c r="C705" t="str">
        <f t="shared" si="296"/>
        <v>0000810206</v>
      </c>
      <c r="D705" t="str">
        <f t="shared" si="274"/>
        <v>73185</v>
      </c>
      <c r="E705" t="str">
        <f t="shared" si="275"/>
        <v>KFH-OPERATIONS DEPARTMENT</v>
      </c>
      <c r="F705" t="str">
        <f t="shared" si="276"/>
        <v>IBG</v>
      </c>
      <c r="G705" t="str">
        <f t="shared" si="291"/>
        <v>Refund COSHARE 10</v>
      </c>
      <c r="H705" s="2">
        <v>709.65</v>
      </c>
      <c r="I705" t="str">
        <f>"NOOR ASMA BINTI SHEBLEE"</f>
        <v>NOOR ASMA BINTI SHEBLEE</v>
      </c>
      <c r="J705" t="str">
        <f t="shared" si="297"/>
        <v>RHB BANK / RHB ISLAMIC BANK</v>
      </c>
      <c r="K705" t="str">
        <f>"11114600009705"</f>
        <v>11114600009705</v>
      </c>
      <c r="L705" t="str">
        <f t="shared" si="298"/>
        <v>04-08-2020</v>
      </c>
      <c r="M705" t="str">
        <f t="shared" si="298"/>
        <v>04-08-2020</v>
      </c>
      <c r="N705" t="str">
        <f t="shared" si="278"/>
        <v>001105018356</v>
      </c>
      <c r="O705" t="str">
        <f t="shared" si="279"/>
        <v>MYR</v>
      </c>
      <c r="P705" t="str">
        <f t="shared" si="299"/>
        <v>NIL</v>
      </c>
      <c r="Q705" t="str">
        <f t="shared" si="299"/>
        <v>NIL</v>
      </c>
      <c r="R705" t="str">
        <f t="shared" si="281"/>
        <v>Accepted</v>
      </c>
      <c r="S705" t="str">
        <f t="shared" si="282"/>
        <v>Approved</v>
      </c>
      <c r="T705" t="str">
        <f t="shared" si="283"/>
        <v>10.20.8.188</v>
      </c>
      <c r="U705" t="str">
        <f t="shared" si="284"/>
        <v>AZRAD UMAR BIN SHAARI</v>
      </c>
      <c r="V705" t="str">
        <f t="shared" si="285"/>
        <v>FARHANA BINTI MUSTAPA</v>
      </c>
      <c r="W705" t="str">
        <f t="shared" si="286"/>
        <v>04-08-2020</v>
      </c>
      <c r="X705" t="str">
        <f t="shared" si="287"/>
        <v>RAZIMAH ANSAR AHMAD</v>
      </c>
      <c r="Y705" t="str">
        <f t="shared" si="288"/>
        <v>04-08-2020</v>
      </c>
      <c r="Z705" t="str">
        <f>"COS10200804 8449"</f>
        <v>COS10200804 8449</v>
      </c>
    </row>
    <row r="706" spans="1:26" x14ac:dyDescent="0.25">
      <c r="A706" t="str">
        <f t="shared" si="295"/>
        <v>04-08-2020 01:11:34</v>
      </c>
      <c r="B706" t="str">
        <f>"0000810254"</f>
        <v>0000810254</v>
      </c>
      <c r="C706" t="str">
        <f t="shared" si="296"/>
        <v>0000810206</v>
      </c>
      <c r="D706" t="str">
        <f t="shared" si="274"/>
        <v>73185</v>
      </c>
      <c r="E706" t="str">
        <f t="shared" si="275"/>
        <v>KFH-OPERATIONS DEPARTMENT</v>
      </c>
      <c r="F706" t="str">
        <f t="shared" si="276"/>
        <v>IBG</v>
      </c>
      <c r="G706" t="str">
        <f t="shared" si="291"/>
        <v>Refund COSHARE 10</v>
      </c>
      <c r="H706" s="2">
        <v>98.25</v>
      </c>
      <c r="I706" t="str">
        <f>"NOOR ASHIMAH BINTI MATAHMAD"</f>
        <v>NOOR ASHIMAH BINTI MATAHMAD</v>
      </c>
      <c r="J706" t="str">
        <f t="shared" si="297"/>
        <v>RHB BANK / RHB ISLAMIC BANK</v>
      </c>
      <c r="K706" t="str">
        <f>"15201900049008"</f>
        <v>15201900049008</v>
      </c>
      <c r="L706" t="str">
        <f t="shared" si="298"/>
        <v>04-08-2020</v>
      </c>
      <c r="M706" t="str">
        <f t="shared" si="298"/>
        <v>04-08-2020</v>
      </c>
      <c r="N706" t="str">
        <f t="shared" si="278"/>
        <v>001105018356</v>
      </c>
      <c r="O706" t="str">
        <f t="shared" si="279"/>
        <v>MYR</v>
      </c>
      <c r="P706" t="str">
        <f t="shared" si="299"/>
        <v>NIL</v>
      </c>
      <c r="Q706" t="str">
        <f t="shared" si="299"/>
        <v>NIL</v>
      </c>
      <c r="R706" t="str">
        <f t="shared" si="281"/>
        <v>Accepted</v>
      </c>
      <c r="S706" t="str">
        <f t="shared" si="282"/>
        <v>Approved</v>
      </c>
      <c r="T706" t="str">
        <f t="shared" si="283"/>
        <v>10.20.8.188</v>
      </c>
      <c r="U706" t="str">
        <f t="shared" si="284"/>
        <v>AZRAD UMAR BIN SHAARI</v>
      </c>
      <c r="V706" t="str">
        <f t="shared" si="285"/>
        <v>FARHANA BINTI MUSTAPA</v>
      </c>
      <c r="W706" t="str">
        <f t="shared" si="286"/>
        <v>04-08-2020</v>
      </c>
      <c r="X706" t="str">
        <f t="shared" si="287"/>
        <v>RAZIMAH ANSAR AHMAD</v>
      </c>
      <c r="Y706" t="str">
        <f t="shared" si="288"/>
        <v>04-08-2020</v>
      </c>
      <c r="Z706" t="str">
        <f>"COS10200804 8448"</f>
        <v>COS10200804 8448</v>
      </c>
    </row>
    <row r="707" spans="1:26" x14ac:dyDescent="0.25">
      <c r="A707" t="str">
        <f t="shared" si="295"/>
        <v>04-08-2020 01:11:34</v>
      </c>
      <c r="B707" t="str">
        <f>"0000810253"</f>
        <v>0000810253</v>
      </c>
      <c r="C707" t="str">
        <f t="shared" si="296"/>
        <v>0000810206</v>
      </c>
      <c r="D707" t="str">
        <f t="shared" si="274"/>
        <v>73185</v>
      </c>
      <c r="E707" t="str">
        <f t="shared" si="275"/>
        <v>KFH-OPERATIONS DEPARTMENT</v>
      </c>
      <c r="F707" t="str">
        <f t="shared" si="276"/>
        <v>IBG</v>
      </c>
      <c r="G707" t="str">
        <f t="shared" si="291"/>
        <v>Refund COSHARE 10</v>
      </c>
      <c r="H707" s="2">
        <v>1518</v>
      </c>
      <c r="I707" t="str">
        <f>"NIK MUHAMMAD QAMARUZZAMAN BIN NIK AHMAD"</f>
        <v>NIK MUHAMMAD QAMARUZZAMAN BIN NIK AHMAD</v>
      </c>
      <c r="J707" t="str">
        <f t="shared" si="297"/>
        <v>RHB BANK / RHB ISLAMIC BANK</v>
      </c>
      <c r="K707" t="str">
        <f>"15506500006590"</f>
        <v>15506500006590</v>
      </c>
      <c r="L707" t="str">
        <f t="shared" ref="L707:M726" si="300">"04-08-2020"</f>
        <v>04-08-2020</v>
      </c>
      <c r="M707" t="str">
        <f t="shared" si="300"/>
        <v>04-08-2020</v>
      </c>
      <c r="N707" t="str">
        <f t="shared" si="278"/>
        <v>001105018356</v>
      </c>
      <c r="O707" t="str">
        <f t="shared" si="279"/>
        <v>MYR</v>
      </c>
      <c r="P707" t="str">
        <f t="shared" ref="P707:Q726" si="301">"NIL"</f>
        <v>NIL</v>
      </c>
      <c r="Q707" t="str">
        <f t="shared" si="301"/>
        <v>NIL</v>
      </c>
      <c r="R707" t="str">
        <f t="shared" si="281"/>
        <v>Accepted</v>
      </c>
      <c r="S707" t="str">
        <f t="shared" si="282"/>
        <v>Approved</v>
      </c>
      <c r="T707" t="str">
        <f t="shared" si="283"/>
        <v>10.20.8.188</v>
      </c>
      <c r="U707" t="str">
        <f t="shared" si="284"/>
        <v>AZRAD UMAR BIN SHAARI</v>
      </c>
      <c r="V707" t="str">
        <f t="shared" si="285"/>
        <v>FARHANA BINTI MUSTAPA</v>
      </c>
      <c r="W707" t="str">
        <f t="shared" si="286"/>
        <v>04-08-2020</v>
      </c>
      <c r="X707" t="str">
        <f t="shared" si="287"/>
        <v>RAZIMAH ANSAR AHMAD</v>
      </c>
      <c r="Y707" t="str">
        <f t="shared" si="288"/>
        <v>04-08-2020</v>
      </c>
      <c r="Z707" t="str">
        <f>"COS10200804 8447"</f>
        <v>COS10200804 8447</v>
      </c>
    </row>
    <row r="708" spans="1:26" x14ac:dyDescent="0.25">
      <c r="A708" t="str">
        <f t="shared" si="295"/>
        <v>04-08-2020 01:11:34</v>
      </c>
      <c r="B708" t="str">
        <f>"0000810252"</f>
        <v>0000810252</v>
      </c>
      <c r="C708" t="str">
        <f t="shared" si="296"/>
        <v>0000810206</v>
      </c>
      <c r="D708" t="str">
        <f t="shared" si="274"/>
        <v>73185</v>
      </c>
      <c r="E708" t="str">
        <f t="shared" si="275"/>
        <v>KFH-OPERATIONS DEPARTMENT</v>
      </c>
      <c r="F708" t="str">
        <f t="shared" si="276"/>
        <v>IBG</v>
      </c>
      <c r="G708" t="str">
        <f t="shared" si="291"/>
        <v>Refund COSHARE 10</v>
      </c>
      <c r="H708" s="2">
        <v>730.4</v>
      </c>
      <c r="I708" t="str">
        <f>"NGATINI BINTI SAYAM"</f>
        <v>NGATINI BINTI SAYAM</v>
      </c>
      <c r="J708" t="str">
        <f t="shared" si="297"/>
        <v>RHB BANK / RHB ISLAMIC BANK</v>
      </c>
      <c r="K708" t="str">
        <f>"16008700048008"</f>
        <v>16008700048008</v>
      </c>
      <c r="L708" t="str">
        <f t="shared" si="300"/>
        <v>04-08-2020</v>
      </c>
      <c r="M708" t="str">
        <f t="shared" si="300"/>
        <v>04-08-2020</v>
      </c>
      <c r="N708" t="str">
        <f t="shared" si="278"/>
        <v>001105018356</v>
      </c>
      <c r="O708" t="str">
        <f t="shared" si="279"/>
        <v>MYR</v>
      </c>
      <c r="P708" t="str">
        <f t="shared" si="301"/>
        <v>NIL</v>
      </c>
      <c r="Q708" t="str">
        <f t="shared" si="301"/>
        <v>NIL</v>
      </c>
      <c r="R708" t="str">
        <f t="shared" si="281"/>
        <v>Accepted</v>
      </c>
      <c r="S708" t="str">
        <f t="shared" si="282"/>
        <v>Approved</v>
      </c>
      <c r="T708" t="str">
        <f t="shared" si="283"/>
        <v>10.20.8.188</v>
      </c>
      <c r="U708" t="str">
        <f t="shared" si="284"/>
        <v>AZRAD UMAR BIN SHAARI</v>
      </c>
      <c r="V708" t="str">
        <f t="shared" si="285"/>
        <v>FARHANA BINTI MUSTAPA</v>
      </c>
      <c r="W708" t="str">
        <f t="shared" si="286"/>
        <v>04-08-2020</v>
      </c>
      <c r="X708" t="str">
        <f t="shared" si="287"/>
        <v>RAZIMAH ANSAR AHMAD</v>
      </c>
      <c r="Y708" t="str">
        <f t="shared" si="288"/>
        <v>04-08-2020</v>
      </c>
      <c r="Z708" t="str">
        <f>"COS10200804 8446"</f>
        <v>COS10200804 8446</v>
      </c>
    </row>
    <row r="709" spans="1:26" x14ac:dyDescent="0.25">
      <c r="A709" t="str">
        <f t="shared" si="295"/>
        <v>04-08-2020 01:11:34</v>
      </c>
      <c r="B709" t="str">
        <f>"0000810251"</f>
        <v>0000810251</v>
      </c>
      <c r="C709" t="str">
        <f t="shared" si="296"/>
        <v>0000810206</v>
      </c>
      <c r="D709" t="str">
        <f t="shared" si="274"/>
        <v>73185</v>
      </c>
      <c r="E709" t="str">
        <f t="shared" si="275"/>
        <v>KFH-OPERATIONS DEPARTMENT</v>
      </c>
      <c r="F709" t="str">
        <f t="shared" si="276"/>
        <v>IBG</v>
      </c>
      <c r="G709" t="str">
        <f t="shared" si="291"/>
        <v>Refund COSHARE 10</v>
      </c>
      <c r="H709" s="2">
        <v>58.95</v>
      </c>
      <c r="I709" t="str">
        <f>"NELSON BIN JOHN JENAL"</f>
        <v>NELSON BIN JOHN JENAL</v>
      </c>
      <c r="J709" t="str">
        <f t="shared" si="297"/>
        <v>RHB BANK / RHB ISLAMIC BANK</v>
      </c>
      <c r="K709" t="str">
        <f>"11113750056131"</f>
        <v>11113750056131</v>
      </c>
      <c r="L709" t="str">
        <f t="shared" si="300"/>
        <v>04-08-2020</v>
      </c>
      <c r="M709" t="str">
        <f t="shared" si="300"/>
        <v>04-08-2020</v>
      </c>
      <c r="N709" t="str">
        <f t="shared" si="278"/>
        <v>001105018356</v>
      </c>
      <c r="O709" t="str">
        <f t="shared" si="279"/>
        <v>MYR</v>
      </c>
      <c r="P709" t="str">
        <f t="shared" si="301"/>
        <v>NIL</v>
      </c>
      <c r="Q709" t="str">
        <f t="shared" si="301"/>
        <v>NIL</v>
      </c>
      <c r="R709" t="str">
        <f t="shared" si="281"/>
        <v>Accepted</v>
      </c>
      <c r="S709" t="str">
        <f t="shared" si="282"/>
        <v>Approved</v>
      </c>
      <c r="T709" t="str">
        <f t="shared" si="283"/>
        <v>10.20.8.188</v>
      </c>
      <c r="U709" t="str">
        <f t="shared" si="284"/>
        <v>AZRAD UMAR BIN SHAARI</v>
      </c>
      <c r="V709" t="str">
        <f t="shared" si="285"/>
        <v>FARHANA BINTI MUSTAPA</v>
      </c>
      <c r="W709" t="str">
        <f t="shared" si="286"/>
        <v>04-08-2020</v>
      </c>
      <c r="X709" t="str">
        <f t="shared" si="287"/>
        <v>RAZIMAH ANSAR AHMAD</v>
      </c>
      <c r="Y709" t="str">
        <f t="shared" si="288"/>
        <v>04-08-2020</v>
      </c>
      <c r="Z709" t="str">
        <f>"COS10200804 8445"</f>
        <v>COS10200804 8445</v>
      </c>
    </row>
    <row r="710" spans="1:26" x14ac:dyDescent="0.25">
      <c r="A710" t="str">
        <f t="shared" si="295"/>
        <v>04-08-2020 01:11:34</v>
      </c>
      <c r="B710" t="str">
        <f>"0000810250"</f>
        <v>0000810250</v>
      </c>
      <c r="C710" t="str">
        <f t="shared" si="296"/>
        <v>0000810206</v>
      </c>
      <c r="D710" t="str">
        <f t="shared" si="274"/>
        <v>73185</v>
      </c>
      <c r="E710" t="str">
        <f t="shared" si="275"/>
        <v>KFH-OPERATIONS DEPARTMENT</v>
      </c>
      <c r="F710" t="str">
        <f t="shared" si="276"/>
        <v>IBG</v>
      </c>
      <c r="G710" t="str">
        <f t="shared" si="291"/>
        <v>Refund COSHARE 10</v>
      </c>
      <c r="H710" s="2">
        <v>607</v>
      </c>
      <c r="I710" t="str">
        <f>"NAZRAH BINTI MOHD IDRIS"</f>
        <v>NAZRAH BINTI MOHD IDRIS</v>
      </c>
      <c r="J710" t="str">
        <f t="shared" si="297"/>
        <v>RHB BANK / RHB ISLAMIC BANK</v>
      </c>
      <c r="K710" t="str">
        <f>"10713000102679"</f>
        <v>10713000102679</v>
      </c>
      <c r="L710" t="str">
        <f t="shared" si="300"/>
        <v>04-08-2020</v>
      </c>
      <c r="M710" t="str">
        <f t="shared" si="300"/>
        <v>04-08-2020</v>
      </c>
      <c r="N710" t="str">
        <f t="shared" si="278"/>
        <v>001105018356</v>
      </c>
      <c r="O710" t="str">
        <f t="shared" si="279"/>
        <v>MYR</v>
      </c>
      <c r="P710" t="str">
        <f t="shared" si="301"/>
        <v>NIL</v>
      </c>
      <c r="Q710" t="str">
        <f t="shared" si="301"/>
        <v>NIL</v>
      </c>
      <c r="R710" t="str">
        <f t="shared" si="281"/>
        <v>Accepted</v>
      </c>
      <c r="S710" t="str">
        <f t="shared" si="282"/>
        <v>Approved</v>
      </c>
      <c r="T710" t="str">
        <f t="shared" si="283"/>
        <v>10.20.8.188</v>
      </c>
      <c r="U710" t="str">
        <f t="shared" si="284"/>
        <v>AZRAD UMAR BIN SHAARI</v>
      </c>
      <c r="V710" t="str">
        <f t="shared" si="285"/>
        <v>FARHANA BINTI MUSTAPA</v>
      </c>
      <c r="W710" t="str">
        <f t="shared" si="286"/>
        <v>04-08-2020</v>
      </c>
      <c r="X710" t="str">
        <f t="shared" si="287"/>
        <v>RAZIMAH ANSAR AHMAD</v>
      </c>
      <c r="Y710" t="str">
        <f t="shared" si="288"/>
        <v>04-08-2020</v>
      </c>
      <c r="Z710" t="str">
        <f>"COS10200804 8444"</f>
        <v>COS10200804 8444</v>
      </c>
    </row>
    <row r="711" spans="1:26" x14ac:dyDescent="0.25">
      <c r="A711" t="str">
        <f t="shared" si="295"/>
        <v>04-08-2020 01:11:34</v>
      </c>
      <c r="B711" t="str">
        <f>"0000810249"</f>
        <v>0000810249</v>
      </c>
      <c r="C711" t="str">
        <f t="shared" si="296"/>
        <v>0000810206</v>
      </c>
      <c r="D711" t="str">
        <f t="shared" ref="D711:D774" si="302">"73185"</f>
        <v>73185</v>
      </c>
      <c r="E711" t="str">
        <f t="shared" ref="E711:E774" si="303">"KFH-OPERATIONS DEPARTMENT"</f>
        <v>KFH-OPERATIONS DEPARTMENT</v>
      </c>
      <c r="F711" t="str">
        <f t="shared" ref="F711:F774" si="304">"IBG"</f>
        <v>IBG</v>
      </c>
      <c r="G711" t="str">
        <f t="shared" si="291"/>
        <v>Refund COSHARE 10</v>
      </c>
      <c r="H711" s="2">
        <v>1679</v>
      </c>
      <c r="I711" t="str">
        <f>"NAJMI WAHIDI BIN AB WAHAB"</f>
        <v>NAJMI WAHIDI BIN AB WAHAB</v>
      </c>
      <c r="J711" t="str">
        <f t="shared" si="297"/>
        <v>RHB BANK / RHB ISLAMIC BANK</v>
      </c>
      <c r="K711" t="str">
        <f>"21305600013034"</f>
        <v>21305600013034</v>
      </c>
      <c r="L711" t="str">
        <f t="shared" si="300"/>
        <v>04-08-2020</v>
      </c>
      <c r="M711" t="str">
        <f t="shared" si="300"/>
        <v>04-08-2020</v>
      </c>
      <c r="N711" t="str">
        <f t="shared" ref="N711:N774" si="305">"001105018356"</f>
        <v>001105018356</v>
      </c>
      <c r="O711" t="str">
        <f t="shared" ref="O711:O774" si="306">"MYR"</f>
        <v>MYR</v>
      </c>
      <c r="P711" t="str">
        <f t="shared" si="301"/>
        <v>NIL</v>
      </c>
      <c r="Q711" t="str">
        <f t="shared" si="301"/>
        <v>NIL</v>
      </c>
      <c r="R711" t="str">
        <f t="shared" ref="R711:R774" si="307">"Accepted"</f>
        <v>Accepted</v>
      </c>
      <c r="S711" t="str">
        <f t="shared" ref="S711:S774" si="308">"Approved"</f>
        <v>Approved</v>
      </c>
      <c r="T711" t="str">
        <f t="shared" ref="T711:T774" si="309">"10.20.8.188"</f>
        <v>10.20.8.188</v>
      </c>
      <c r="U711" t="str">
        <f t="shared" ref="U711:U774" si="310">"AZRAD UMAR BIN SHAARI"</f>
        <v>AZRAD UMAR BIN SHAARI</v>
      </c>
      <c r="V711" t="str">
        <f t="shared" ref="V711:V774" si="311">"FARHANA BINTI MUSTAPA"</f>
        <v>FARHANA BINTI MUSTAPA</v>
      </c>
      <c r="W711" t="str">
        <f t="shared" ref="W711:W774" si="312">"04-08-2020"</f>
        <v>04-08-2020</v>
      </c>
      <c r="X711" t="str">
        <f t="shared" ref="X711:X774" si="313">"RAZIMAH ANSAR AHMAD"</f>
        <v>RAZIMAH ANSAR AHMAD</v>
      </c>
      <c r="Y711" t="str">
        <f t="shared" ref="Y711:Y774" si="314">"04-08-2020"</f>
        <v>04-08-2020</v>
      </c>
      <c r="Z711" t="str">
        <f>"COS10200804 8443"</f>
        <v>COS10200804 8443</v>
      </c>
    </row>
    <row r="712" spans="1:26" x14ac:dyDescent="0.25">
      <c r="A712" t="str">
        <f t="shared" si="295"/>
        <v>04-08-2020 01:11:34</v>
      </c>
      <c r="B712" t="str">
        <f>"0000810248"</f>
        <v>0000810248</v>
      </c>
      <c r="C712" t="str">
        <f t="shared" si="296"/>
        <v>0000810206</v>
      </c>
      <c r="D712" t="str">
        <f t="shared" si="302"/>
        <v>73185</v>
      </c>
      <c r="E712" t="str">
        <f t="shared" si="303"/>
        <v>KFH-OPERATIONS DEPARTMENT</v>
      </c>
      <c r="F712" t="str">
        <f t="shared" si="304"/>
        <v>IBG</v>
      </c>
      <c r="G712" t="str">
        <f t="shared" si="291"/>
        <v>Refund COSHARE 10</v>
      </c>
      <c r="H712" s="2">
        <v>129</v>
      </c>
      <c r="I712" t="str">
        <f>"MUSZAKARIA PATRICK"</f>
        <v>MUSZAKARIA PATRICK</v>
      </c>
      <c r="J712" t="str">
        <f t="shared" si="297"/>
        <v>RHB BANK / RHB ISLAMIC BANK</v>
      </c>
      <c r="K712" t="str">
        <f>"11131500024109"</f>
        <v>11131500024109</v>
      </c>
      <c r="L712" t="str">
        <f t="shared" si="300"/>
        <v>04-08-2020</v>
      </c>
      <c r="M712" t="str">
        <f t="shared" si="300"/>
        <v>04-08-2020</v>
      </c>
      <c r="N712" t="str">
        <f t="shared" si="305"/>
        <v>001105018356</v>
      </c>
      <c r="O712" t="str">
        <f t="shared" si="306"/>
        <v>MYR</v>
      </c>
      <c r="P712" t="str">
        <f t="shared" si="301"/>
        <v>NIL</v>
      </c>
      <c r="Q712" t="str">
        <f t="shared" si="301"/>
        <v>NIL</v>
      </c>
      <c r="R712" t="str">
        <f t="shared" si="307"/>
        <v>Accepted</v>
      </c>
      <c r="S712" t="str">
        <f t="shared" si="308"/>
        <v>Approved</v>
      </c>
      <c r="T712" t="str">
        <f t="shared" si="309"/>
        <v>10.20.8.188</v>
      </c>
      <c r="U712" t="str">
        <f t="shared" si="310"/>
        <v>AZRAD UMAR BIN SHAARI</v>
      </c>
      <c r="V712" t="str">
        <f t="shared" si="311"/>
        <v>FARHANA BINTI MUSTAPA</v>
      </c>
      <c r="W712" t="str">
        <f t="shared" si="312"/>
        <v>04-08-2020</v>
      </c>
      <c r="X712" t="str">
        <f t="shared" si="313"/>
        <v>RAZIMAH ANSAR AHMAD</v>
      </c>
      <c r="Y712" t="str">
        <f t="shared" si="314"/>
        <v>04-08-2020</v>
      </c>
      <c r="Z712" t="str">
        <f>"COS10200804 8442"</f>
        <v>COS10200804 8442</v>
      </c>
    </row>
    <row r="713" spans="1:26" x14ac:dyDescent="0.25">
      <c r="A713" t="str">
        <f t="shared" si="295"/>
        <v>04-08-2020 01:11:34</v>
      </c>
      <c r="B713" t="str">
        <f>"0000810247"</f>
        <v>0000810247</v>
      </c>
      <c r="C713" t="str">
        <f t="shared" si="296"/>
        <v>0000810206</v>
      </c>
      <c r="D713" t="str">
        <f t="shared" si="302"/>
        <v>73185</v>
      </c>
      <c r="E713" t="str">
        <f t="shared" si="303"/>
        <v>KFH-OPERATIONS DEPARTMENT</v>
      </c>
      <c r="F713" t="str">
        <f t="shared" si="304"/>
        <v>IBG</v>
      </c>
      <c r="G713" t="str">
        <f t="shared" si="291"/>
        <v>Refund COSHARE 10</v>
      </c>
      <c r="H713" s="2">
        <v>42</v>
      </c>
      <c r="I713" t="str">
        <f>"MUSZAKARIA PATRICK"</f>
        <v>MUSZAKARIA PATRICK</v>
      </c>
      <c r="J713" t="str">
        <f t="shared" si="297"/>
        <v>RHB BANK / RHB ISLAMIC BANK</v>
      </c>
      <c r="K713" t="str">
        <f>"11131500024109"</f>
        <v>11131500024109</v>
      </c>
      <c r="L713" t="str">
        <f t="shared" si="300"/>
        <v>04-08-2020</v>
      </c>
      <c r="M713" t="str">
        <f t="shared" si="300"/>
        <v>04-08-2020</v>
      </c>
      <c r="N713" t="str">
        <f t="shared" si="305"/>
        <v>001105018356</v>
      </c>
      <c r="O713" t="str">
        <f t="shared" si="306"/>
        <v>MYR</v>
      </c>
      <c r="P713" t="str">
        <f t="shared" si="301"/>
        <v>NIL</v>
      </c>
      <c r="Q713" t="str">
        <f t="shared" si="301"/>
        <v>NIL</v>
      </c>
      <c r="R713" t="str">
        <f t="shared" si="307"/>
        <v>Accepted</v>
      </c>
      <c r="S713" t="str">
        <f t="shared" si="308"/>
        <v>Approved</v>
      </c>
      <c r="T713" t="str">
        <f t="shared" si="309"/>
        <v>10.20.8.188</v>
      </c>
      <c r="U713" t="str">
        <f t="shared" si="310"/>
        <v>AZRAD UMAR BIN SHAARI</v>
      </c>
      <c r="V713" t="str">
        <f t="shared" si="311"/>
        <v>FARHANA BINTI MUSTAPA</v>
      </c>
      <c r="W713" t="str">
        <f t="shared" si="312"/>
        <v>04-08-2020</v>
      </c>
      <c r="X713" t="str">
        <f t="shared" si="313"/>
        <v>RAZIMAH ANSAR AHMAD</v>
      </c>
      <c r="Y713" t="str">
        <f t="shared" si="314"/>
        <v>04-08-2020</v>
      </c>
      <c r="Z713" t="str">
        <f>"COS10200804 8441"</f>
        <v>COS10200804 8441</v>
      </c>
    </row>
    <row r="714" spans="1:26" x14ac:dyDescent="0.25">
      <c r="A714" t="str">
        <f t="shared" si="295"/>
        <v>04-08-2020 01:11:34</v>
      </c>
      <c r="B714" t="str">
        <f>"0000810246"</f>
        <v>0000810246</v>
      </c>
      <c r="C714" t="str">
        <f t="shared" si="296"/>
        <v>0000810206</v>
      </c>
      <c r="D714" t="str">
        <f t="shared" si="302"/>
        <v>73185</v>
      </c>
      <c r="E714" t="str">
        <f t="shared" si="303"/>
        <v>KFH-OPERATIONS DEPARTMENT</v>
      </c>
      <c r="F714" t="str">
        <f t="shared" si="304"/>
        <v>IBG</v>
      </c>
      <c r="G714" t="str">
        <f t="shared" si="291"/>
        <v>Refund COSHARE 10</v>
      </c>
      <c r="H714" s="2">
        <v>478.55</v>
      </c>
      <c r="I714" t="str">
        <f>"MUHAMMAD KHAIDIR BIN ZAINOL"</f>
        <v>MUHAMMAD KHAIDIR BIN ZAINOL</v>
      </c>
      <c r="J714" t="str">
        <f t="shared" si="297"/>
        <v>RHB BANK / RHB ISLAMIC BANK</v>
      </c>
      <c r="K714" t="str">
        <f>"16126200022802"</f>
        <v>16126200022802</v>
      </c>
      <c r="L714" t="str">
        <f t="shared" si="300"/>
        <v>04-08-2020</v>
      </c>
      <c r="M714" t="str">
        <f t="shared" si="300"/>
        <v>04-08-2020</v>
      </c>
      <c r="N714" t="str">
        <f t="shared" si="305"/>
        <v>001105018356</v>
      </c>
      <c r="O714" t="str">
        <f t="shared" si="306"/>
        <v>MYR</v>
      </c>
      <c r="P714" t="str">
        <f t="shared" si="301"/>
        <v>NIL</v>
      </c>
      <c r="Q714" t="str">
        <f t="shared" si="301"/>
        <v>NIL</v>
      </c>
      <c r="R714" t="str">
        <f t="shared" si="307"/>
        <v>Accepted</v>
      </c>
      <c r="S714" t="str">
        <f t="shared" si="308"/>
        <v>Approved</v>
      </c>
      <c r="T714" t="str">
        <f t="shared" si="309"/>
        <v>10.20.8.188</v>
      </c>
      <c r="U714" t="str">
        <f t="shared" si="310"/>
        <v>AZRAD UMAR BIN SHAARI</v>
      </c>
      <c r="V714" t="str">
        <f t="shared" si="311"/>
        <v>FARHANA BINTI MUSTAPA</v>
      </c>
      <c r="W714" t="str">
        <f t="shared" si="312"/>
        <v>04-08-2020</v>
      </c>
      <c r="X714" t="str">
        <f t="shared" si="313"/>
        <v>RAZIMAH ANSAR AHMAD</v>
      </c>
      <c r="Y714" t="str">
        <f t="shared" si="314"/>
        <v>04-08-2020</v>
      </c>
      <c r="Z714" t="str">
        <f>"COS10200804 8440"</f>
        <v>COS10200804 8440</v>
      </c>
    </row>
    <row r="715" spans="1:26" x14ac:dyDescent="0.25">
      <c r="A715" t="str">
        <f t="shared" si="295"/>
        <v>04-08-2020 01:11:34</v>
      </c>
      <c r="B715" t="str">
        <f>"0000810245"</f>
        <v>0000810245</v>
      </c>
      <c r="C715" t="str">
        <f t="shared" si="296"/>
        <v>0000810206</v>
      </c>
      <c r="D715" t="str">
        <f t="shared" si="302"/>
        <v>73185</v>
      </c>
      <c r="E715" t="str">
        <f t="shared" si="303"/>
        <v>KFH-OPERATIONS DEPARTMENT</v>
      </c>
      <c r="F715" t="str">
        <f t="shared" si="304"/>
        <v>IBG</v>
      </c>
      <c r="G715" t="str">
        <f t="shared" si="291"/>
        <v>Refund COSHARE 10</v>
      </c>
      <c r="H715" s="2">
        <v>1270.3499999999999</v>
      </c>
      <c r="I715" t="str">
        <f>"MOSTON BIN LAMBAGAT"</f>
        <v>MOSTON BIN LAMBAGAT</v>
      </c>
      <c r="J715" t="str">
        <f t="shared" si="297"/>
        <v>RHB BANK / RHB ISLAMIC BANK</v>
      </c>
      <c r="K715" t="str">
        <f>"11002800164992"</f>
        <v>11002800164992</v>
      </c>
      <c r="L715" t="str">
        <f t="shared" si="300"/>
        <v>04-08-2020</v>
      </c>
      <c r="M715" t="str">
        <f t="shared" si="300"/>
        <v>04-08-2020</v>
      </c>
      <c r="N715" t="str">
        <f t="shared" si="305"/>
        <v>001105018356</v>
      </c>
      <c r="O715" t="str">
        <f t="shared" si="306"/>
        <v>MYR</v>
      </c>
      <c r="P715" t="str">
        <f t="shared" si="301"/>
        <v>NIL</v>
      </c>
      <c r="Q715" t="str">
        <f t="shared" si="301"/>
        <v>NIL</v>
      </c>
      <c r="R715" t="str">
        <f t="shared" si="307"/>
        <v>Accepted</v>
      </c>
      <c r="S715" t="str">
        <f t="shared" si="308"/>
        <v>Approved</v>
      </c>
      <c r="T715" t="str">
        <f t="shared" si="309"/>
        <v>10.20.8.188</v>
      </c>
      <c r="U715" t="str">
        <f t="shared" si="310"/>
        <v>AZRAD UMAR BIN SHAARI</v>
      </c>
      <c r="V715" t="str">
        <f t="shared" si="311"/>
        <v>FARHANA BINTI MUSTAPA</v>
      </c>
      <c r="W715" t="str">
        <f t="shared" si="312"/>
        <v>04-08-2020</v>
      </c>
      <c r="X715" t="str">
        <f t="shared" si="313"/>
        <v>RAZIMAH ANSAR AHMAD</v>
      </c>
      <c r="Y715" t="str">
        <f t="shared" si="314"/>
        <v>04-08-2020</v>
      </c>
      <c r="Z715" t="str">
        <f>"COS10200804 8439"</f>
        <v>COS10200804 8439</v>
      </c>
    </row>
    <row r="716" spans="1:26" x14ac:dyDescent="0.25">
      <c r="A716" t="str">
        <f t="shared" ref="A716:A747" si="315">"04-08-2020 01:11:34"</f>
        <v>04-08-2020 01:11:34</v>
      </c>
      <c r="B716" t="str">
        <f>"0000810244"</f>
        <v>0000810244</v>
      </c>
      <c r="C716" t="str">
        <f t="shared" ref="C716:C747" si="316">"0000810206"</f>
        <v>0000810206</v>
      </c>
      <c r="D716" t="str">
        <f t="shared" si="302"/>
        <v>73185</v>
      </c>
      <c r="E716" t="str">
        <f t="shared" si="303"/>
        <v>KFH-OPERATIONS DEPARTMENT</v>
      </c>
      <c r="F716" t="str">
        <f t="shared" si="304"/>
        <v>IBG</v>
      </c>
      <c r="G716" t="str">
        <f t="shared" ref="G716:G779" si="317">"Refund COSHARE 10"</f>
        <v>Refund COSHARE 10</v>
      </c>
      <c r="H716" s="2">
        <v>460.5</v>
      </c>
      <c r="I716" t="str">
        <f>"MOSTON BIN LAMBAGAT"</f>
        <v>MOSTON BIN LAMBAGAT</v>
      </c>
      <c r="J716" t="str">
        <f t="shared" si="297"/>
        <v>RHB BANK / RHB ISLAMIC BANK</v>
      </c>
      <c r="K716" t="str">
        <f>"11002800164992"</f>
        <v>11002800164992</v>
      </c>
      <c r="L716" t="str">
        <f t="shared" si="300"/>
        <v>04-08-2020</v>
      </c>
      <c r="M716" t="str">
        <f t="shared" si="300"/>
        <v>04-08-2020</v>
      </c>
      <c r="N716" t="str">
        <f t="shared" si="305"/>
        <v>001105018356</v>
      </c>
      <c r="O716" t="str">
        <f t="shared" si="306"/>
        <v>MYR</v>
      </c>
      <c r="P716" t="str">
        <f t="shared" si="301"/>
        <v>NIL</v>
      </c>
      <c r="Q716" t="str">
        <f t="shared" si="301"/>
        <v>NIL</v>
      </c>
      <c r="R716" t="str">
        <f t="shared" si="307"/>
        <v>Accepted</v>
      </c>
      <c r="S716" t="str">
        <f t="shared" si="308"/>
        <v>Approved</v>
      </c>
      <c r="T716" t="str">
        <f t="shared" si="309"/>
        <v>10.20.8.188</v>
      </c>
      <c r="U716" t="str">
        <f t="shared" si="310"/>
        <v>AZRAD UMAR BIN SHAARI</v>
      </c>
      <c r="V716" t="str">
        <f t="shared" si="311"/>
        <v>FARHANA BINTI MUSTAPA</v>
      </c>
      <c r="W716" t="str">
        <f t="shared" si="312"/>
        <v>04-08-2020</v>
      </c>
      <c r="X716" t="str">
        <f t="shared" si="313"/>
        <v>RAZIMAH ANSAR AHMAD</v>
      </c>
      <c r="Y716" t="str">
        <f t="shared" si="314"/>
        <v>04-08-2020</v>
      </c>
      <c r="Z716" t="str">
        <f>"COS10200804 8438"</f>
        <v>COS10200804 8438</v>
      </c>
    </row>
    <row r="717" spans="1:26" x14ac:dyDescent="0.25">
      <c r="A717" t="str">
        <f t="shared" si="315"/>
        <v>04-08-2020 01:11:34</v>
      </c>
      <c r="B717" t="str">
        <f>"0000810243"</f>
        <v>0000810243</v>
      </c>
      <c r="C717" t="str">
        <f t="shared" si="316"/>
        <v>0000810206</v>
      </c>
      <c r="D717" t="str">
        <f t="shared" si="302"/>
        <v>73185</v>
      </c>
      <c r="E717" t="str">
        <f t="shared" si="303"/>
        <v>KFH-OPERATIONS DEPARTMENT</v>
      </c>
      <c r="F717" t="str">
        <f t="shared" si="304"/>
        <v>IBG</v>
      </c>
      <c r="G717" t="str">
        <f t="shared" si="317"/>
        <v>Refund COSHARE 10</v>
      </c>
      <c r="H717" s="2">
        <v>532</v>
      </c>
      <c r="I717" t="str">
        <f>"MOHD ZARIZI BIN MD NOOR"</f>
        <v>MOHD ZARIZI BIN MD NOOR</v>
      </c>
      <c r="J717" t="str">
        <f t="shared" si="297"/>
        <v>RHB BANK / RHB ISLAMIC BANK</v>
      </c>
      <c r="K717" t="str">
        <f>"10210800096324"</f>
        <v>10210800096324</v>
      </c>
      <c r="L717" t="str">
        <f t="shared" si="300"/>
        <v>04-08-2020</v>
      </c>
      <c r="M717" t="str">
        <f t="shared" si="300"/>
        <v>04-08-2020</v>
      </c>
      <c r="N717" t="str">
        <f t="shared" si="305"/>
        <v>001105018356</v>
      </c>
      <c r="O717" t="str">
        <f t="shared" si="306"/>
        <v>MYR</v>
      </c>
      <c r="P717" t="str">
        <f t="shared" si="301"/>
        <v>NIL</v>
      </c>
      <c r="Q717" t="str">
        <f t="shared" si="301"/>
        <v>NIL</v>
      </c>
      <c r="R717" t="str">
        <f t="shared" si="307"/>
        <v>Accepted</v>
      </c>
      <c r="S717" t="str">
        <f t="shared" si="308"/>
        <v>Approved</v>
      </c>
      <c r="T717" t="str">
        <f t="shared" si="309"/>
        <v>10.20.8.188</v>
      </c>
      <c r="U717" t="str">
        <f t="shared" si="310"/>
        <v>AZRAD UMAR BIN SHAARI</v>
      </c>
      <c r="V717" t="str">
        <f t="shared" si="311"/>
        <v>FARHANA BINTI MUSTAPA</v>
      </c>
      <c r="W717" t="str">
        <f t="shared" si="312"/>
        <v>04-08-2020</v>
      </c>
      <c r="X717" t="str">
        <f t="shared" si="313"/>
        <v>RAZIMAH ANSAR AHMAD</v>
      </c>
      <c r="Y717" t="str">
        <f t="shared" si="314"/>
        <v>04-08-2020</v>
      </c>
      <c r="Z717" t="str">
        <f>"COS10200804 8437"</f>
        <v>COS10200804 8437</v>
      </c>
    </row>
    <row r="718" spans="1:26" x14ac:dyDescent="0.25">
      <c r="A718" t="str">
        <f t="shared" si="315"/>
        <v>04-08-2020 01:11:34</v>
      </c>
      <c r="B718" t="str">
        <f>"0000810242"</f>
        <v>0000810242</v>
      </c>
      <c r="C718" t="str">
        <f t="shared" si="316"/>
        <v>0000810206</v>
      </c>
      <c r="D718" t="str">
        <f t="shared" si="302"/>
        <v>73185</v>
      </c>
      <c r="E718" t="str">
        <f t="shared" si="303"/>
        <v>KFH-OPERATIONS DEPARTMENT</v>
      </c>
      <c r="F718" t="str">
        <f t="shared" si="304"/>
        <v>IBG</v>
      </c>
      <c r="G718" t="str">
        <f t="shared" si="317"/>
        <v>Refund COSHARE 10</v>
      </c>
      <c r="H718" s="2">
        <v>167.9</v>
      </c>
      <c r="I718" t="str">
        <f>"MOHD SAFARIN BIN IBRAHIM"</f>
        <v>MOHD SAFARIN BIN IBRAHIM</v>
      </c>
      <c r="J718" t="str">
        <f t="shared" ref="J718:J749" si="318">"RHB BANK / RHB ISLAMIC BANK"</f>
        <v>RHB BANK / RHB ISLAMIC BANK</v>
      </c>
      <c r="K718" t="str">
        <f>"16229600033942"</f>
        <v>16229600033942</v>
      </c>
      <c r="L718" t="str">
        <f t="shared" si="300"/>
        <v>04-08-2020</v>
      </c>
      <c r="M718" t="str">
        <f t="shared" si="300"/>
        <v>04-08-2020</v>
      </c>
      <c r="N718" t="str">
        <f t="shared" si="305"/>
        <v>001105018356</v>
      </c>
      <c r="O718" t="str">
        <f t="shared" si="306"/>
        <v>MYR</v>
      </c>
      <c r="P718" t="str">
        <f t="shared" si="301"/>
        <v>NIL</v>
      </c>
      <c r="Q718" t="str">
        <f t="shared" si="301"/>
        <v>NIL</v>
      </c>
      <c r="R718" t="str">
        <f t="shared" si="307"/>
        <v>Accepted</v>
      </c>
      <c r="S718" t="str">
        <f t="shared" si="308"/>
        <v>Approved</v>
      </c>
      <c r="T718" t="str">
        <f t="shared" si="309"/>
        <v>10.20.8.188</v>
      </c>
      <c r="U718" t="str">
        <f t="shared" si="310"/>
        <v>AZRAD UMAR BIN SHAARI</v>
      </c>
      <c r="V718" t="str">
        <f t="shared" si="311"/>
        <v>FARHANA BINTI MUSTAPA</v>
      </c>
      <c r="W718" t="str">
        <f t="shared" si="312"/>
        <v>04-08-2020</v>
      </c>
      <c r="X718" t="str">
        <f t="shared" si="313"/>
        <v>RAZIMAH ANSAR AHMAD</v>
      </c>
      <c r="Y718" t="str">
        <f t="shared" si="314"/>
        <v>04-08-2020</v>
      </c>
      <c r="Z718" t="str">
        <f>"COS10200804 8436"</f>
        <v>COS10200804 8436</v>
      </c>
    </row>
    <row r="719" spans="1:26" x14ac:dyDescent="0.25">
      <c r="A719" t="str">
        <f t="shared" si="315"/>
        <v>04-08-2020 01:11:34</v>
      </c>
      <c r="B719" t="str">
        <f>"0000810241"</f>
        <v>0000810241</v>
      </c>
      <c r="C719" t="str">
        <f t="shared" si="316"/>
        <v>0000810206</v>
      </c>
      <c r="D719" t="str">
        <f t="shared" si="302"/>
        <v>73185</v>
      </c>
      <c r="E719" t="str">
        <f t="shared" si="303"/>
        <v>KFH-OPERATIONS DEPARTMENT</v>
      </c>
      <c r="F719" t="str">
        <f t="shared" si="304"/>
        <v>IBG</v>
      </c>
      <c r="G719" t="str">
        <f t="shared" si="317"/>
        <v>Refund COSHARE 10</v>
      </c>
      <c r="H719" s="2">
        <v>393.45</v>
      </c>
      <c r="I719" t="str">
        <f>"MOHD RUSDI BIN MANSOR"</f>
        <v>MOHD RUSDI BIN MANSOR</v>
      </c>
      <c r="J719" t="str">
        <f t="shared" si="318"/>
        <v>RHB BANK / RHB ISLAMIC BANK</v>
      </c>
      <c r="K719" t="str">
        <f>"16223200054757"</f>
        <v>16223200054757</v>
      </c>
      <c r="L719" t="str">
        <f t="shared" si="300"/>
        <v>04-08-2020</v>
      </c>
      <c r="M719" t="str">
        <f t="shared" si="300"/>
        <v>04-08-2020</v>
      </c>
      <c r="N719" t="str">
        <f t="shared" si="305"/>
        <v>001105018356</v>
      </c>
      <c r="O719" t="str">
        <f t="shared" si="306"/>
        <v>MYR</v>
      </c>
      <c r="P719" t="str">
        <f t="shared" si="301"/>
        <v>NIL</v>
      </c>
      <c r="Q719" t="str">
        <f t="shared" si="301"/>
        <v>NIL</v>
      </c>
      <c r="R719" t="str">
        <f t="shared" si="307"/>
        <v>Accepted</v>
      </c>
      <c r="S719" t="str">
        <f t="shared" si="308"/>
        <v>Approved</v>
      </c>
      <c r="T719" t="str">
        <f t="shared" si="309"/>
        <v>10.20.8.188</v>
      </c>
      <c r="U719" t="str">
        <f t="shared" si="310"/>
        <v>AZRAD UMAR BIN SHAARI</v>
      </c>
      <c r="V719" t="str">
        <f t="shared" si="311"/>
        <v>FARHANA BINTI MUSTAPA</v>
      </c>
      <c r="W719" t="str">
        <f t="shared" si="312"/>
        <v>04-08-2020</v>
      </c>
      <c r="X719" t="str">
        <f t="shared" si="313"/>
        <v>RAZIMAH ANSAR AHMAD</v>
      </c>
      <c r="Y719" t="str">
        <f t="shared" si="314"/>
        <v>04-08-2020</v>
      </c>
      <c r="Z719" t="str">
        <f>"COS10200804 8435"</f>
        <v>COS10200804 8435</v>
      </c>
    </row>
    <row r="720" spans="1:26" x14ac:dyDescent="0.25">
      <c r="A720" t="str">
        <f t="shared" si="315"/>
        <v>04-08-2020 01:11:34</v>
      </c>
      <c r="B720" t="str">
        <f>"0000810240"</f>
        <v>0000810240</v>
      </c>
      <c r="C720" t="str">
        <f t="shared" si="316"/>
        <v>0000810206</v>
      </c>
      <c r="D720" t="str">
        <f t="shared" si="302"/>
        <v>73185</v>
      </c>
      <c r="E720" t="str">
        <f t="shared" si="303"/>
        <v>KFH-OPERATIONS DEPARTMENT</v>
      </c>
      <c r="F720" t="str">
        <f t="shared" si="304"/>
        <v>IBG</v>
      </c>
      <c r="G720" t="str">
        <f t="shared" si="317"/>
        <v>Refund COSHARE 10</v>
      </c>
      <c r="H720" s="2">
        <v>1659.4</v>
      </c>
      <c r="I720" t="str">
        <f>"MOHD RIDZUAN BIN MAT YUSOP"</f>
        <v>MOHD RIDZUAN BIN MAT YUSOP</v>
      </c>
      <c r="J720" t="str">
        <f t="shared" si="318"/>
        <v>RHB BANK / RHB ISLAMIC BANK</v>
      </c>
      <c r="K720" t="str">
        <f>"10819100062763"</f>
        <v>10819100062763</v>
      </c>
      <c r="L720" t="str">
        <f t="shared" si="300"/>
        <v>04-08-2020</v>
      </c>
      <c r="M720" t="str">
        <f t="shared" si="300"/>
        <v>04-08-2020</v>
      </c>
      <c r="N720" t="str">
        <f t="shared" si="305"/>
        <v>001105018356</v>
      </c>
      <c r="O720" t="str">
        <f t="shared" si="306"/>
        <v>MYR</v>
      </c>
      <c r="P720" t="str">
        <f t="shared" si="301"/>
        <v>NIL</v>
      </c>
      <c r="Q720" t="str">
        <f t="shared" si="301"/>
        <v>NIL</v>
      </c>
      <c r="R720" t="str">
        <f t="shared" si="307"/>
        <v>Accepted</v>
      </c>
      <c r="S720" t="str">
        <f t="shared" si="308"/>
        <v>Approved</v>
      </c>
      <c r="T720" t="str">
        <f t="shared" si="309"/>
        <v>10.20.8.188</v>
      </c>
      <c r="U720" t="str">
        <f t="shared" si="310"/>
        <v>AZRAD UMAR BIN SHAARI</v>
      </c>
      <c r="V720" t="str">
        <f t="shared" si="311"/>
        <v>FARHANA BINTI MUSTAPA</v>
      </c>
      <c r="W720" t="str">
        <f t="shared" si="312"/>
        <v>04-08-2020</v>
      </c>
      <c r="X720" t="str">
        <f t="shared" si="313"/>
        <v>RAZIMAH ANSAR AHMAD</v>
      </c>
      <c r="Y720" t="str">
        <f t="shared" si="314"/>
        <v>04-08-2020</v>
      </c>
      <c r="Z720" t="str">
        <f>"COS10200804 8434"</f>
        <v>COS10200804 8434</v>
      </c>
    </row>
    <row r="721" spans="1:26" x14ac:dyDescent="0.25">
      <c r="A721" t="str">
        <f t="shared" si="315"/>
        <v>04-08-2020 01:11:34</v>
      </c>
      <c r="B721" t="str">
        <f>"0000810239"</f>
        <v>0000810239</v>
      </c>
      <c r="C721" t="str">
        <f t="shared" si="316"/>
        <v>0000810206</v>
      </c>
      <c r="D721" t="str">
        <f t="shared" si="302"/>
        <v>73185</v>
      </c>
      <c r="E721" t="str">
        <f t="shared" si="303"/>
        <v>KFH-OPERATIONS DEPARTMENT</v>
      </c>
      <c r="F721" t="str">
        <f t="shared" si="304"/>
        <v>IBG</v>
      </c>
      <c r="G721" t="str">
        <f t="shared" si="317"/>
        <v>Refund COSHARE 10</v>
      </c>
      <c r="H721" s="2">
        <v>835</v>
      </c>
      <c r="I721" t="str">
        <f>"MOHD RAZIMAN BIN RAZALI"</f>
        <v>MOHD RAZIMAN BIN RAZALI</v>
      </c>
      <c r="J721" t="str">
        <f t="shared" si="318"/>
        <v>RHB BANK / RHB ISLAMIC BANK</v>
      </c>
      <c r="K721" t="str">
        <f>"11417400086645"</f>
        <v>11417400086645</v>
      </c>
      <c r="L721" t="str">
        <f t="shared" si="300"/>
        <v>04-08-2020</v>
      </c>
      <c r="M721" t="str">
        <f t="shared" si="300"/>
        <v>04-08-2020</v>
      </c>
      <c r="N721" t="str">
        <f t="shared" si="305"/>
        <v>001105018356</v>
      </c>
      <c r="O721" t="str">
        <f t="shared" si="306"/>
        <v>MYR</v>
      </c>
      <c r="P721" t="str">
        <f t="shared" si="301"/>
        <v>NIL</v>
      </c>
      <c r="Q721" t="str">
        <f t="shared" si="301"/>
        <v>NIL</v>
      </c>
      <c r="R721" t="str">
        <f t="shared" si="307"/>
        <v>Accepted</v>
      </c>
      <c r="S721" t="str">
        <f t="shared" si="308"/>
        <v>Approved</v>
      </c>
      <c r="T721" t="str">
        <f t="shared" si="309"/>
        <v>10.20.8.188</v>
      </c>
      <c r="U721" t="str">
        <f t="shared" si="310"/>
        <v>AZRAD UMAR BIN SHAARI</v>
      </c>
      <c r="V721" t="str">
        <f t="shared" si="311"/>
        <v>FARHANA BINTI MUSTAPA</v>
      </c>
      <c r="W721" t="str">
        <f t="shared" si="312"/>
        <v>04-08-2020</v>
      </c>
      <c r="X721" t="str">
        <f t="shared" si="313"/>
        <v>RAZIMAH ANSAR AHMAD</v>
      </c>
      <c r="Y721" t="str">
        <f t="shared" si="314"/>
        <v>04-08-2020</v>
      </c>
      <c r="Z721" t="str">
        <f>"COS10200804 8433"</f>
        <v>COS10200804 8433</v>
      </c>
    </row>
    <row r="722" spans="1:26" x14ac:dyDescent="0.25">
      <c r="A722" t="str">
        <f t="shared" si="315"/>
        <v>04-08-2020 01:11:34</v>
      </c>
      <c r="B722" t="str">
        <f>"0000810238"</f>
        <v>0000810238</v>
      </c>
      <c r="C722" t="str">
        <f t="shared" si="316"/>
        <v>0000810206</v>
      </c>
      <c r="D722" t="str">
        <f t="shared" si="302"/>
        <v>73185</v>
      </c>
      <c r="E722" t="str">
        <f t="shared" si="303"/>
        <v>KFH-OPERATIONS DEPARTMENT</v>
      </c>
      <c r="F722" t="str">
        <f t="shared" si="304"/>
        <v>IBG</v>
      </c>
      <c r="G722" t="str">
        <f t="shared" si="317"/>
        <v>Refund COSHARE 10</v>
      </c>
      <c r="H722" s="2">
        <v>1429.95</v>
      </c>
      <c r="I722" t="str">
        <f>"MOHD KAVI BIN SHAMSUDIN"</f>
        <v>MOHD KAVI BIN SHAMSUDIN</v>
      </c>
      <c r="J722" t="str">
        <f t="shared" si="318"/>
        <v>RHB BANK / RHB ISLAMIC BANK</v>
      </c>
      <c r="K722" t="str">
        <f>"10504240252363"</f>
        <v>10504240252363</v>
      </c>
      <c r="L722" t="str">
        <f t="shared" si="300"/>
        <v>04-08-2020</v>
      </c>
      <c r="M722" t="str">
        <f t="shared" si="300"/>
        <v>04-08-2020</v>
      </c>
      <c r="N722" t="str">
        <f t="shared" si="305"/>
        <v>001105018356</v>
      </c>
      <c r="O722" t="str">
        <f t="shared" si="306"/>
        <v>MYR</v>
      </c>
      <c r="P722" t="str">
        <f t="shared" si="301"/>
        <v>NIL</v>
      </c>
      <c r="Q722" t="str">
        <f t="shared" si="301"/>
        <v>NIL</v>
      </c>
      <c r="R722" t="str">
        <f t="shared" si="307"/>
        <v>Accepted</v>
      </c>
      <c r="S722" t="str">
        <f t="shared" si="308"/>
        <v>Approved</v>
      </c>
      <c r="T722" t="str">
        <f t="shared" si="309"/>
        <v>10.20.8.188</v>
      </c>
      <c r="U722" t="str">
        <f t="shared" si="310"/>
        <v>AZRAD UMAR BIN SHAARI</v>
      </c>
      <c r="V722" t="str">
        <f t="shared" si="311"/>
        <v>FARHANA BINTI MUSTAPA</v>
      </c>
      <c r="W722" t="str">
        <f t="shared" si="312"/>
        <v>04-08-2020</v>
      </c>
      <c r="X722" t="str">
        <f t="shared" si="313"/>
        <v>RAZIMAH ANSAR AHMAD</v>
      </c>
      <c r="Y722" t="str">
        <f t="shared" si="314"/>
        <v>04-08-2020</v>
      </c>
      <c r="Z722" t="str">
        <f>"COS10200804 8432"</f>
        <v>COS10200804 8432</v>
      </c>
    </row>
    <row r="723" spans="1:26" x14ac:dyDescent="0.25">
      <c r="A723" t="str">
        <f t="shared" si="315"/>
        <v>04-08-2020 01:11:34</v>
      </c>
      <c r="B723" t="str">
        <f>"0000810237"</f>
        <v>0000810237</v>
      </c>
      <c r="C723" t="str">
        <f t="shared" si="316"/>
        <v>0000810206</v>
      </c>
      <c r="D723" t="str">
        <f t="shared" si="302"/>
        <v>73185</v>
      </c>
      <c r="E723" t="str">
        <f t="shared" si="303"/>
        <v>KFH-OPERATIONS DEPARTMENT</v>
      </c>
      <c r="F723" t="str">
        <f t="shared" si="304"/>
        <v>IBG</v>
      </c>
      <c r="G723" t="str">
        <f t="shared" si="317"/>
        <v>Refund COSHARE 10</v>
      </c>
      <c r="H723" s="2">
        <v>562.5</v>
      </c>
      <c r="I723" t="str">
        <f>"MOHD FARIS BIN ISMAIL"</f>
        <v>MOHD FARIS BIN ISMAIL</v>
      </c>
      <c r="J723" t="str">
        <f t="shared" si="318"/>
        <v>RHB BANK / RHB ISLAMIC BANK</v>
      </c>
      <c r="K723" t="str">
        <f>"10108000548109"</f>
        <v>10108000548109</v>
      </c>
      <c r="L723" t="str">
        <f t="shared" si="300"/>
        <v>04-08-2020</v>
      </c>
      <c r="M723" t="str">
        <f t="shared" si="300"/>
        <v>04-08-2020</v>
      </c>
      <c r="N723" t="str">
        <f t="shared" si="305"/>
        <v>001105018356</v>
      </c>
      <c r="O723" t="str">
        <f t="shared" si="306"/>
        <v>MYR</v>
      </c>
      <c r="P723" t="str">
        <f t="shared" si="301"/>
        <v>NIL</v>
      </c>
      <c r="Q723" t="str">
        <f t="shared" si="301"/>
        <v>NIL</v>
      </c>
      <c r="R723" t="str">
        <f t="shared" si="307"/>
        <v>Accepted</v>
      </c>
      <c r="S723" t="str">
        <f t="shared" si="308"/>
        <v>Approved</v>
      </c>
      <c r="T723" t="str">
        <f t="shared" si="309"/>
        <v>10.20.8.188</v>
      </c>
      <c r="U723" t="str">
        <f t="shared" si="310"/>
        <v>AZRAD UMAR BIN SHAARI</v>
      </c>
      <c r="V723" t="str">
        <f t="shared" si="311"/>
        <v>FARHANA BINTI MUSTAPA</v>
      </c>
      <c r="W723" t="str">
        <f t="shared" si="312"/>
        <v>04-08-2020</v>
      </c>
      <c r="X723" t="str">
        <f t="shared" si="313"/>
        <v>RAZIMAH ANSAR AHMAD</v>
      </c>
      <c r="Y723" t="str">
        <f t="shared" si="314"/>
        <v>04-08-2020</v>
      </c>
      <c r="Z723" t="str">
        <f>"COS10200804 8431"</f>
        <v>COS10200804 8431</v>
      </c>
    </row>
    <row r="724" spans="1:26" x14ac:dyDescent="0.25">
      <c r="A724" t="str">
        <f t="shared" si="315"/>
        <v>04-08-2020 01:11:34</v>
      </c>
      <c r="B724" t="str">
        <f>"0000810236"</f>
        <v>0000810236</v>
      </c>
      <c r="C724" t="str">
        <f t="shared" si="316"/>
        <v>0000810206</v>
      </c>
      <c r="D724" t="str">
        <f t="shared" si="302"/>
        <v>73185</v>
      </c>
      <c r="E724" t="str">
        <f t="shared" si="303"/>
        <v>KFH-OPERATIONS DEPARTMENT</v>
      </c>
      <c r="F724" t="str">
        <f t="shared" si="304"/>
        <v>IBG</v>
      </c>
      <c r="G724" t="str">
        <f t="shared" si="317"/>
        <v>Refund COSHARE 10</v>
      </c>
      <c r="H724" s="2">
        <v>247.7</v>
      </c>
      <c r="I724" t="str">
        <f>"MOHAMMAD TAMIZI BIN ABDUL HALIM"</f>
        <v>MOHAMMAD TAMIZI BIN ABDUL HALIM</v>
      </c>
      <c r="J724" t="str">
        <f t="shared" si="318"/>
        <v>RHB BANK / RHB ISLAMIC BANK</v>
      </c>
      <c r="K724" t="str">
        <f>"11114650169617"</f>
        <v>11114650169617</v>
      </c>
      <c r="L724" t="str">
        <f t="shared" si="300"/>
        <v>04-08-2020</v>
      </c>
      <c r="M724" t="str">
        <f t="shared" si="300"/>
        <v>04-08-2020</v>
      </c>
      <c r="N724" t="str">
        <f t="shared" si="305"/>
        <v>001105018356</v>
      </c>
      <c r="O724" t="str">
        <f t="shared" si="306"/>
        <v>MYR</v>
      </c>
      <c r="P724" t="str">
        <f t="shared" si="301"/>
        <v>NIL</v>
      </c>
      <c r="Q724" t="str">
        <f t="shared" si="301"/>
        <v>NIL</v>
      </c>
      <c r="R724" t="str">
        <f t="shared" si="307"/>
        <v>Accepted</v>
      </c>
      <c r="S724" t="str">
        <f t="shared" si="308"/>
        <v>Approved</v>
      </c>
      <c r="T724" t="str">
        <f t="shared" si="309"/>
        <v>10.20.8.188</v>
      </c>
      <c r="U724" t="str">
        <f t="shared" si="310"/>
        <v>AZRAD UMAR BIN SHAARI</v>
      </c>
      <c r="V724" t="str">
        <f t="shared" si="311"/>
        <v>FARHANA BINTI MUSTAPA</v>
      </c>
      <c r="W724" t="str">
        <f t="shared" si="312"/>
        <v>04-08-2020</v>
      </c>
      <c r="X724" t="str">
        <f t="shared" si="313"/>
        <v>RAZIMAH ANSAR AHMAD</v>
      </c>
      <c r="Y724" t="str">
        <f t="shared" si="314"/>
        <v>04-08-2020</v>
      </c>
      <c r="Z724" t="str">
        <f>"COS10200804 8430"</f>
        <v>COS10200804 8430</v>
      </c>
    </row>
    <row r="725" spans="1:26" x14ac:dyDescent="0.25">
      <c r="A725" t="str">
        <f t="shared" si="315"/>
        <v>04-08-2020 01:11:34</v>
      </c>
      <c r="B725" t="str">
        <f>"0000810235"</f>
        <v>0000810235</v>
      </c>
      <c r="C725" t="str">
        <f t="shared" si="316"/>
        <v>0000810206</v>
      </c>
      <c r="D725" t="str">
        <f t="shared" si="302"/>
        <v>73185</v>
      </c>
      <c r="E725" t="str">
        <f t="shared" si="303"/>
        <v>KFH-OPERATIONS DEPARTMENT</v>
      </c>
      <c r="F725" t="str">
        <f t="shared" si="304"/>
        <v>IBG</v>
      </c>
      <c r="G725" t="str">
        <f t="shared" si="317"/>
        <v>Refund COSHARE 10</v>
      </c>
      <c r="H725" s="2">
        <v>67.2</v>
      </c>
      <c r="I725" t="str">
        <f>"MOHAMMAD NAZIR BIN SAHARI"</f>
        <v>MOHAMMAD NAZIR BIN SAHARI</v>
      </c>
      <c r="J725" t="str">
        <f t="shared" si="318"/>
        <v>RHB BANK / RHB ISLAMIC BANK</v>
      </c>
      <c r="K725" t="str">
        <f>"11121250241798"</f>
        <v>11121250241798</v>
      </c>
      <c r="L725" t="str">
        <f t="shared" si="300"/>
        <v>04-08-2020</v>
      </c>
      <c r="M725" t="str">
        <f t="shared" si="300"/>
        <v>04-08-2020</v>
      </c>
      <c r="N725" t="str">
        <f t="shared" si="305"/>
        <v>001105018356</v>
      </c>
      <c r="O725" t="str">
        <f t="shared" si="306"/>
        <v>MYR</v>
      </c>
      <c r="P725" t="str">
        <f t="shared" si="301"/>
        <v>NIL</v>
      </c>
      <c r="Q725" t="str">
        <f t="shared" si="301"/>
        <v>NIL</v>
      </c>
      <c r="R725" t="str">
        <f t="shared" si="307"/>
        <v>Accepted</v>
      </c>
      <c r="S725" t="str">
        <f t="shared" si="308"/>
        <v>Approved</v>
      </c>
      <c r="T725" t="str">
        <f t="shared" si="309"/>
        <v>10.20.8.188</v>
      </c>
      <c r="U725" t="str">
        <f t="shared" si="310"/>
        <v>AZRAD UMAR BIN SHAARI</v>
      </c>
      <c r="V725" t="str">
        <f t="shared" si="311"/>
        <v>FARHANA BINTI MUSTAPA</v>
      </c>
      <c r="W725" t="str">
        <f t="shared" si="312"/>
        <v>04-08-2020</v>
      </c>
      <c r="X725" t="str">
        <f t="shared" si="313"/>
        <v>RAZIMAH ANSAR AHMAD</v>
      </c>
      <c r="Y725" t="str">
        <f t="shared" si="314"/>
        <v>04-08-2020</v>
      </c>
      <c r="Z725" t="str">
        <f>"COS10200804 8429"</f>
        <v>COS10200804 8429</v>
      </c>
    </row>
    <row r="726" spans="1:26" x14ac:dyDescent="0.25">
      <c r="A726" t="str">
        <f t="shared" si="315"/>
        <v>04-08-2020 01:11:34</v>
      </c>
      <c r="B726" t="str">
        <f>"0000810234"</f>
        <v>0000810234</v>
      </c>
      <c r="C726" t="str">
        <f t="shared" si="316"/>
        <v>0000810206</v>
      </c>
      <c r="D726" t="str">
        <f t="shared" si="302"/>
        <v>73185</v>
      </c>
      <c r="E726" t="str">
        <f t="shared" si="303"/>
        <v>KFH-OPERATIONS DEPARTMENT</v>
      </c>
      <c r="F726" t="str">
        <f t="shared" si="304"/>
        <v>IBG</v>
      </c>
      <c r="G726" t="str">
        <f t="shared" si="317"/>
        <v>Refund COSHARE 10</v>
      </c>
      <c r="H726" s="2">
        <v>915</v>
      </c>
      <c r="I726" t="str">
        <f>"MOHAMMAD NATSIR BIN AHMAD CHATIB"</f>
        <v>MOHAMMAD NATSIR BIN AHMAD CHATIB</v>
      </c>
      <c r="J726" t="str">
        <f t="shared" si="318"/>
        <v>RHB BANK / RHB ISLAMIC BANK</v>
      </c>
      <c r="K726" t="str">
        <f>"16501900001409"</f>
        <v>16501900001409</v>
      </c>
      <c r="L726" t="str">
        <f t="shared" si="300"/>
        <v>04-08-2020</v>
      </c>
      <c r="M726" t="str">
        <f t="shared" si="300"/>
        <v>04-08-2020</v>
      </c>
      <c r="N726" t="str">
        <f t="shared" si="305"/>
        <v>001105018356</v>
      </c>
      <c r="O726" t="str">
        <f t="shared" si="306"/>
        <v>MYR</v>
      </c>
      <c r="P726" t="str">
        <f t="shared" si="301"/>
        <v>NIL</v>
      </c>
      <c r="Q726" t="str">
        <f t="shared" si="301"/>
        <v>NIL</v>
      </c>
      <c r="R726" t="str">
        <f t="shared" si="307"/>
        <v>Accepted</v>
      </c>
      <c r="S726" t="str">
        <f t="shared" si="308"/>
        <v>Approved</v>
      </c>
      <c r="T726" t="str">
        <f t="shared" si="309"/>
        <v>10.20.8.188</v>
      </c>
      <c r="U726" t="str">
        <f t="shared" si="310"/>
        <v>AZRAD UMAR BIN SHAARI</v>
      </c>
      <c r="V726" t="str">
        <f t="shared" si="311"/>
        <v>FARHANA BINTI MUSTAPA</v>
      </c>
      <c r="W726" t="str">
        <f t="shared" si="312"/>
        <v>04-08-2020</v>
      </c>
      <c r="X726" t="str">
        <f t="shared" si="313"/>
        <v>RAZIMAH ANSAR AHMAD</v>
      </c>
      <c r="Y726" t="str">
        <f t="shared" si="314"/>
        <v>04-08-2020</v>
      </c>
      <c r="Z726" t="str">
        <f>"COS10200804 8428"</f>
        <v>COS10200804 8428</v>
      </c>
    </row>
    <row r="727" spans="1:26" x14ac:dyDescent="0.25">
      <c r="A727" t="str">
        <f t="shared" si="315"/>
        <v>04-08-2020 01:11:34</v>
      </c>
      <c r="B727" t="str">
        <f>"0000810233"</f>
        <v>0000810233</v>
      </c>
      <c r="C727" t="str">
        <f t="shared" si="316"/>
        <v>0000810206</v>
      </c>
      <c r="D727" t="str">
        <f t="shared" si="302"/>
        <v>73185</v>
      </c>
      <c r="E727" t="str">
        <f t="shared" si="303"/>
        <v>KFH-OPERATIONS DEPARTMENT</v>
      </c>
      <c r="F727" t="str">
        <f t="shared" si="304"/>
        <v>IBG</v>
      </c>
      <c r="G727" t="str">
        <f t="shared" si="317"/>
        <v>Refund COSHARE 10</v>
      </c>
      <c r="H727" s="2">
        <v>419.75</v>
      </c>
      <c r="I727" t="str">
        <f>"MOHAMMAD ALAKARI BIN ABDUL WAHID"</f>
        <v>MOHAMMAD ALAKARI BIN ABDUL WAHID</v>
      </c>
      <c r="J727" t="str">
        <f t="shared" si="318"/>
        <v>RHB BANK / RHB ISLAMIC BANK</v>
      </c>
      <c r="K727" t="str">
        <f>"16002300006333"</f>
        <v>16002300006333</v>
      </c>
      <c r="L727" t="str">
        <f t="shared" ref="L727:M746" si="319">"04-08-2020"</f>
        <v>04-08-2020</v>
      </c>
      <c r="M727" t="str">
        <f t="shared" si="319"/>
        <v>04-08-2020</v>
      </c>
      <c r="N727" t="str">
        <f t="shared" si="305"/>
        <v>001105018356</v>
      </c>
      <c r="O727" t="str">
        <f t="shared" si="306"/>
        <v>MYR</v>
      </c>
      <c r="P727" t="str">
        <f t="shared" ref="P727:Q746" si="320">"NIL"</f>
        <v>NIL</v>
      </c>
      <c r="Q727" t="str">
        <f t="shared" si="320"/>
        <v>NIL</v>
      </c>
      <c r="R727" t="str">
        <f t="shared" si="307"/>
        <v>Accepted</v>
      </c>
      <c r="S727" t="str">
        <f t="shared" si="308"/>
        <v>Approved</v>
      </c>
      <c r="T727" t="str">
        <f t="shared" si="309"/>
        <v>10.20.8.188</v>
      </c>
      <c r="U727" t="str">
        <f t="shared" si="310"/>
        <v>AZRAD UMAR BIN SHAARI</v>
      </c>
      <c r="V727" t="str">
        <f t="shared" si="311"/>
        <v>FARHANA BINTI MUSTAPA</v>
      </c>
      <c r="W727" t="str">
        <f t="shared" si="312"/>
        <v>04-08-2020</v>
      </c>
      <c r="X727" t="str">
        <f t="shared" si="313"/>
        <v>RAZIMAH ANSAR AHMAD</v>
      </c>
      <c r="Y727" t="str">
        <f t="shared" si="314"/>
        <v>04-08-2020</v>
      </c>
      <c r="Z727" t="str">
        <f>"COS10200804 8427"</f>
        <v>COS10200804 8427</v>
      </c>
    </row>
    <row r="728" spans="1:26" x14ac:dyDescent="0.25">
      <c r="A728" t="str">
        <f t="shared" si="315"/>
        <v>04-08-2020 01:11:34</v>
      </c>
      <c r="B728" t="str">
        <f>"0000810232"</f>
        <v>0000810232</v>
      </c>
      <c r="C728" t="str">
        <f t="shared" si="316"/>
        <v>0000810206</v>
      </c>
      <c r="D728" t="str">
        <f t="shared" si="302"/>
        <v>73185</v>
      </c>
      <c r="E728" t="str">
        <f t="shared" si="303"/>
        <v>KFH-OPERATIONS DEPARTMENT</v>
      </c>
      <c r="F728" t="str">
        <f t="shared" si="304"/>
        <v>IBG</v>
      </c>
      <c r="G728" t="str">
        <f t="shared" si="317"/>
        <v>Refund COSHARE 10</v>
      </c>
      <c r="H728" s="2">
        <v>112.6</v>
      </c>
      <c r="I728" t="str">
        <f>"MOHAMED RODHZI BIN MOHD NOH"</f>
        <v>MOHAMED RODHZI BIN MOHD NOH</v>
      </c>
      <c r="J728" t="str">
        <f t="shared" si="318"/>
        <v>RHB BANK / RHB ISLAMIC BANK</v>
      </c>
      <c r="K728" t="str">
        <f>"10209640257275"</f>
        <v>10209640257275</v>
      </c>
      <c r="L728" t="str">
        <f t="shared" si="319"/>
        <v>04-08-2020</v>
      </c>
      <c r="M728" t="str">
        <f t="shared" si="319"/>
        <v>04-08-2020</v>
      </c>
      <c r="N728" t="str">
        <f t="shared" si="305"/>
        <v>001105018356</v>
      </c>
      <c r="O728" t="str">
        <f t="shared" si="306"/>
        <v>MYR</v>
      </c>
      <c r="P728" t="str">
        <f t="shared" si="320"/>
        <v>NIL</v>
      </c>
      <c r="Q728" t="str">
        <f t="shared" si="320"/>
        <v>NIL</v>
      </c>
      <c r="R728" t="str">
        <f t="shared" si="307"/>
        <v>Accepted</v>
      </c>
      <c r="S728" t="str">
        <f t="shared" si="308"/>
        <v>Approved</v>
      </c>
      <c r="T728" t="str">
        <f t="shared" si="309"/>
        <v>10.20.8.188</v>
      </c>
      <c r="U728" t="str">
        <f t="shared" si="310"/>
        <v>AZRAD UMAR BIN SHAARI</v>
      </c>
      <c r="V728" t="str">
        <f t="shared" si="311"/>
        <v>FARHANA BINTI MUSTAPA</v>
      </c>
      <c r="W728" t="str">
        <f t="shared" si="312"/>
        <v>04-08-2020</v>
      </c>
      <c r="X728" t="str">
        <f t="shared" si="313"/>
        <v>RAZIMAH ANSAR AHMAD</v>
      </c>
      <c r="Y728" t="str">
        <f t="shared" si="314"/>
        <v>04-08-2020</v>
      </c>
      <c r="Z728" t="str">
        <f>"COS10200804 8426"</f>
        <v>COS10200804 8426</v>
      </c>
    </row>
    <row r="729" spans="1:26" x14ac:dyDescent="0.25">
      <c r="A729" t="str">
        <f t="shared" si="315"/>
        <v>04-08-2020 01:11:34</v>
      </c>
      <c r="B729" t="str">
        <f>"0000810231"</f>
        <v>0000810231</v>
      </c>
      <c r="C729" t="str">
        <f t="shared" si="316"/>
        <v>0000810206</v>
      </c>
      <c r="D729" t="str">
        <f t="shared" si="302"/>
        <v>73185</v>
      </c>
      <c r="E729" t="str">
        <f t="shared" si="303"/>
        <v>KFH-OPERATIONS DEPARTMENT</v>
      </c>
      <c r="F729" t="str">
        <f t="shared" si="304"/>
        <v>IBG</v>
      </c>
      <c r="G729" t="str">
        <f t="shared" si="317"/>
        <v>Refund COSHARE 10</v>
      </c>
      <c r="H729" s="2">
        <v>991.3</v>
      </c>
      <c r="I729" t="str">
        <f>"MOHAMAD RIZAL BIN ABDUL JALAL"</f>
        <v>MOHAMAD RIZAL BIN ABDUL JALAL</v>
      </c>
      <c r="J729" t="str">
        <f t="shared" si="318"/>
        <v>RHB BANK / RHB ISLAMIC BANK</v>
      </c>
      <c r="K729" t="str">
        <f>"11205900413843"</f>
        <v>11205900413843</v>
      </c>
      <c r="L729" t="str">
        <f t="shared" si="319"/>
        <v>04-08-2020</v>
      </c>
      <c r="M729" t="str">
        <f t="shared" si="319"/>
        <v>04-08-2020</v>
      </c>
      <c r="N729" t="str">
        <f t="shared" si="305"/>
        <v>001105018356</v>
      </c>
      <c r="O729" t="str">
        <f t="shared" si="306"/>
        <v>MYR</v>
      </c>
      <c r="P729" t="str">
        <f t="shared" si="320"/>
        <v>NIL</v>
      </c>
      <c r="Q729" t="str">
        <f t="shared" si="320"/>
        <v>NIL</v>
      </c>
      <c r="R729" t="str">
        <f t="shared" si="307"/>
        <v>Accepted</v>
      </c>
      <c r="S729" t="str">
        <f t="shared" si="308"/>
        <v>Approved</v>
      </c>
      <c r="T729" t="str">
        <f t="shared" si="309"/>
        <v>10.20.8.188</v>
      </c>
      <c r="U729" t="str">
        <f t="shared" si="310"/>
        <v>AZRAD UMAR BIN SHAARI</v>
      </c>
      <c r="V729" t="str">
        <f t="shared" si="311"/>
        <v>FARHANA BINTI MUSTAPA</v>
      </c>
      <c r="W729" t="str">
        <f t="shared" si="312"/>
        <v>04-08-2020</v>
      </c>
      <c r="X729" t="str">
        <f t="shared" si="313"/>
        <v>RAZIMAH ANSAR AHMAD</v>
      </c>
      <c r="Y729" t="str">
        <f t="shared" si="314"/>
        <v>04-08-2020</v>
      </c>
      <c r="Z729" t="str">
        <f>"COS10200804 8425"</f>
        <v>COS10200804 8425</v>
      </c>
    </row>
    <row r="730" spans="1:26" x14ac:dyDescent="0.25">
      <c r="A730" t="str">
        <f t="shared" si="315"/>
        <v>04-08-2020 01:11:34</v>
      </c>
      <c r="B730" t="str">
        <f>"0000810230"</f>
        <v>0000810230</v>
      </c>
      <c r="C730" t="str">
        <f t="shared" si="316"/>
        <v>0000810206</v>
      </c>
      <c r="D730" t="str">
        <f t="shared" si="302"/>
        <v>73185</v>
      </c>
      <c r="E730" t="str">
        <f t="shared" si="303"/>
        <v>KFH-OPERATIONS DEPARTMENT</v>
      </c>
      <c r="F730" t="str">
        <f t="shared" si="304"/>
        <v>IBG</v>
      </c>
      <c r="G730" t="str">
        <f t="shared" si="317"/>
        <v>Refund COSHARE 10</v>
      </c>
      <c r="H730" s="2">
        <v>1183.7</v>
      </c>
      <c r="I730" t="str">
        <f>"MICHEAL LAGANG"</f>
        <v>MICHEAL LAGANG</v>
      </c>
      <c r="J730" t="str">
        <f t="shared" si="318"/>
        <v>RHB BANK / RHB ISLAMIC BANK</v>
      </c>
      <c r="K730" t="str">
        <f>"16121700034965"</f>
        <v>16121700034965</v>
      </c>
      <c r="L730" t="str">
        <f t="shared" si="319"/>
        <v>04-08-2020</v>
      </c>
      <c r="M730" t="str">
        <f t="shared" si="319"/>
        <v>04-08-2020</v>
      </c>
      <c r="N730" t="str">
        <f t="shared" si="305"/>
        <v>001105018356</v>
      </c>
      <c r="O730" t="str">
        <f t="shared" si="306"/>
        <v>MYR</v>
      </c>
      <c r="P730" t="str">
        <f t="shared" si="320"/>
        <v>NIL</v>
      </c>
      <c r="Q730" t="str">
        <f t="shared" si="320"/>
        <v>NIL</v>
      </c>
      <c r="R730" t="str">
        <f t="shared" si="307"/>
        <v>Accepted</v>
      </c>
      <c r="S730" t="str">
        <f t="shared" si="308"/>
        <v>Approved</v>
      </c>
      <c r="T730" t="str">
        <f t="shared" si="309"/>
        <v>10.20.8.188</v>
      </c>
      <c r="U730" t="str">
        <f t="shared" si="310"/>
        <v>AZRAD UMAR BIN SHAARI</v>
      </c>
      <c r="V730" t="str">
        <f t="shared" si="311"/>
        <v>FARHANA BINTI MUSTAPA</v>
      </c>
      <c r="W730" t="str">
        <f t="shared" si="312"/>
        <v>04-08-2020</v>
      </c>
      <c r="X730" t="str">
        <f t="shared" si="313"/>
        <v>RAZIMAH ANSAR AHMAD</v>
      </c>
      <c r="Y730" t="str">
        <f t="shared" si="314"/>
        <v>04-08-2020</v>
      </c>
      <c r="Z730" t="str">
        <f>"COS10200804 8424"</f>
        <v>COS10200804 8424</v>
      </c>
    </row>
    <row r="731" spans="1:26" x14ac:dyDescent="0.25">
      <c r="A731" t="str">
        <f t="shared" si="315"/>
        <v>04-08-2020 01:11:34</v>
      </c>
      <c r="B731" t="str">
        <f>"0000810229"</f>
        <v>0000810229</v>
      </c>
      <c r="C731" t="str">
        <f t="shared" si="316"/>
        <v>0000810206</v>
      </c>
      <c r="D731" t="str">
        <f t="shared" si="302"/>
        <v>73185</v>
      </c>
      <c r="E731" t="str">
        <f t="shared" si="303"/>
        <v>KFH-OPERATIONS DEPARTMENT</v>
      </c>
      <c r="F731" t="str">
        <f t="shared" si="304"/>
        <v>IBG</v>
      </c>
      <c r="G731" t="str">
        <f t="shared" si="317"/>
        <v>Refund COSHARE 10</v>
      </c>
      <c r="H731" s="2">
        <v>83.95</v>
      </c>
      <c r="I731" t="str">
        <f>"MICHEAL LAGANG"</f>
        <v>MICHEAL LAGANG</v>
      </c>
      <c r="J731" t="str">
        <f t="shared" si="318"/>
        <v>RHB BANK / RHB ISLAMIC BANK</v>
      </c>
      <c r="K731" t="str">
        <f>"16121700034965"</f>
        <v>16121700034965</v>
      </c>
      <c r="L731" t="str">
        <f t="shared" si="319"/>
        <v>04-08-2020</v>
      </c>
      <c r="M731" t="str">
        <f t="shared" si="319"/>
        <v>04-08-2020</v>
      </c>
      <c r="N731" t="str">
        <f t="shared" si="305"/>
        <v>001105018356</v>
      </c>
      <c r="O731" t="str">
        <f t="shared" si="306"/>
        <v>MYR</v>
      </c>
      <c r="P731" t="str">
        <f t="shared" si="320"/>
        <v>NIL</v>
      </c>
      <c r="Q731" t="str">
        <f t="shared" si="320"/>
        <v>NIL</v>
      </c>
      <c r="R731" t="str">
        <f t="shared" si="307"/>
        <v>Accepted</v>
      </c>
      <c r="S731" t="str">
        <f t="shared" si="308"/>
        <v>Approved</v>
      </c>
      <c r="T731" t="str">
        <f t="shared" si="309"/>
        <v>10.20.8.188</v>
      </c>
      <c r="U731" t="str">
        <f t="shared" si="310"/>
        <v>AZRAD UMAR BIN SHAARI</v>
      </c>
      <c r="V731" t="str">
        <f t="shared" si="311"/>
        <v>FARHANA BINTI MUSTAPA</v>
      </c>
      <c r="W731" t="str">
        <f t="shared" si="312"/>
        <v>04-08-2020</v>
      </c>
      <c r="X731" t="str">
        <f t="shared" si="313"/>
        <v>RAZIMAH ANSAR AHMAD</v>
      </c>
      <c r="Y731" t="str">
        <f t="shared" si="314"/>
        <v>04-08-2020</v>
      </c>
      <c r="Z731" t="str">
        <f>"COS10200804 8423"</f>
        <v>COS10200804 8423</v>
      </c>
    </row>
    <row r="732" spans="1:26" x14ac:dyDescent="0.25">
      <c r="A732" t="str">
        <f t="shared" si="315"/>
        <v>04-08-2020 01:11:34</v>
      </c>
      <c r="B732" t="str">
        <f>"0000810228"</f>
        <v>0000810228</v>
      </c>
      <c r="C732" t="str">
        <f t="shared" si="316"/>
        <v>0000810206</v>
      </c>
      <c r="D732" t="str">
        <f t="shared" si="302"/>
        <v>73185</v>
      </c>
      <c r="E732" t="str">
        <f t="shared" si="303"/>
        <v>KFH-OPERATIONS DEPARTMENT</v>
      </c>
      <c r="F732" t="str">
        <f t="shared" si="304"/>
        <v>IBG</v>
      </c>
      <c r="G732" t="str">
        <f t="shared" si="317"/>
        <v>Refund COSHARE 10</v>
      </c>
      <c r="H732" s="2">
        <v>46</v>
      </c>
      <c r="I732" t="str">
        <f>"MICHEAL LAGANG"</f>
        <v>MICHEAL LAGANG</v>
      </c>
      <c r="J732" t="str">
        <f t="shared" si="318"/>
        <v>RHB BANK / RHB ISLAMIC BANK</v>
      </c>
      <c r="K732" t="str">
        <f>"16121700034965"</f>
        <v>16121700034965</v>
      </c>
      <c r="L732" t="str">
        <f t="shared" si="319"/>
        <v>04-08-2020</v>
      </c>
      <c r="M732" t="str">
        <f t="shared" si="319"/>
        <v>04-08-2020</v>
      </c>
      <c r="N732" t="str">
        <f t="shared" si="305"/>
        <v>001105018356</v>
      </c>
      <c r="O732" t="str">
        <f t="shared" si="306"/>
        <v>MYR</v>
      </c>
      <c r="P732" t="str">
        <f t="shared" si="320"/>
        <v>NIL</v>
      </c>
      <c r="Q732" t="str">
        <f t="shared" si="320"/>
        <v>NIL</v>
      </c>
      <c r="R732" t="str">
        <f t="shared" si="307"/>
        <v>Accepted</v>
      </c>
      <c r="S732" t="str">
        <f t="shared" si="308"/>
        <v>Approved</v>
      </c>
      <c r="T732" t="str">
        <f t="shared" si="309"/>
        <v>10.20.8.188</v>
      </c>
      <c r="U732" t="str">
        <f t="shared" si="310"/>
        <v>AZRAD UMAR BIN SHAARI</v>
      </c>
      <c r="V732" t="str">
        <f t="shared" si="311"/>
        <v>FARHANA BINTI MUSTAPA</v>
      </c>
      <c r="W732" t="str">
        <f t="shared" si="312"/>
        <v>04-08-2020</v>
      </c>
      <c r="X732" t="str">
        <f t="shared" si="313"/>
        <v>RAZIMAH ANSAR AHMAD</v>
      </c>
      <c r="Y732" t="str">
        <f t="shared" si="314"/>
        <v>04-08-2020</v>
      </c>
      <c r="Z732" t="str">
        <f>"COS10200804 8422"</f>
        <v>COS10200804 8422</v>
      </c>
    </row>
    <row r="733" spans="1:26" x14ac:dyDescent="0.25">
      <c r="A733" t="str">
        <f t="shared" si="315"/>
        <v>04-08-2020 01:11:34</v>
      </c>
      <c r="B733" t="str">
        <f>"0000810227"</f>
        <v>0000810227</v>
      </c>
      <c r="C733" t="str">
        <f t="shared" si="316"/>
        <v>0000810206</v>
      </c>
      <c r="D733" t="str">
        <f t="shared" si="302"/>
        <v>73185</v>
      </c>
      <c r="E733" t="str">
        <f t="shared" si="303"/>
        <v>KFH-OPERATIONS DEPARTMENT</v>
      </c>
      <c r="F733" t="str">
        <f t="shared" si="304"/>
        <v>IBG</v>
      </c>
      <c r="G733" t="str">
        <f t="shared" si="317"/>
        <v>Refund COSHARE 10</v>
      </c>
      <c r="H733" s="2">
        <v>554.1</v>
      </c>
      <c r="I733" t="str">
        <f>"MELISSA ANAK BERUNDANG"</f>
        <v>MELISSA ANAK BERUNDANG</v>
      </c>
      <c r="J733" t="str">
        <f t="shared" si="318"/>
        <v>RHB BANK / RHB ISLAMIC BANK</v>
      </c>
      <c r="K733" t="str">
        <f>"11123000020430"</f>
        <v>11123000020430</v>
      </c>
      <c r="L733" t="str">
        <f t="shared" si="319"/>
        <v>04-08-2020</v>
      </c>
      <c r="M733" t="str">
        <f t="shared" si="319"/>
        <v>04-08-2020</v>
      </c>
      <c r="N733" t="str">
        <f t="shared" si="305"/>
        <v>001105018356</v>
      </c>
      <c r="O733" t="str">
        <f t="shared" si="306"/>
        <v>MYR</v>
      </c>
      <c r="P733" t="str">
        <f t="shared" si="320"/>
        <v>NIL</v>
      </c>
      <c r="Q733" t="str">
        <f t="shared" si="320"/>
        <v>NIL</v>
      </c>
      <c r="R733" t="str">
        <f t="shared" si="307"/>
        <v>Accepted</v>
      </c>
      <c r="S733" t="str">
        <f t="shared" si="308"/>
        <v>Approved</v>
      </c>
      <c r="T733" t="str">
        <f t="shared" si="309"/>
        <v>10.20.8.188</v>
      </c>
      <c r="U733" t="str">
        <f t="shared" si="310"/>
        <v>AZRAD UMAR BIN SHAARI</v>
      </c>
      <c r="V733" t="str">
        <f t="shared" si="311"/>
        <v>FARHANA BINTI MUSTAPA</v>
      </c>
      <c r="W733" t="str">
        <f t="shared" si="312"/>
        <v>04-08-2020</v>
      </c>
      <c r="X733" t="str">
        <f t="shared" si="313"/>
        <v>RAZIMAH ANSAR AHMAD</v>
      </c>
      <c r="Y733" t="str">
        <f t="shared" si="314"/>
        <v>04-08-2020</v>
      </c>
      <c r="Z733" t="str">
        <f>"COS10200804 8421"</f>
        <v>COS10200804 8421</v>
      </c>
    </row>
    <row r="734" spans="1:26" x14ac:dyDescent="0.25">
      <c r="A734" t="str">
        <f t="shared" si="315"/>
        <v>04-08-2020 01:11:34</v>
      </c>
      <c r="B734" t="str">
        <f>"0000810226"</f>
        <v>0000810226</v>
      </c>
      <c r="C734" t="str">
        <f t="shared" si="316"/>
        <v>0000810206</v>
      </c>
      <c r="D734" t="str">
        <f t="shared" si="302"/>
        <v>73185</v>
      </c>
      <c r="E734" t="str">
        <f t="shared" si="303"/>
        <v>KFH-OPERATIONS DEPARTMENT</v>
      </c>
      <c r="F734" t="str">
        <f t="shared" si="304"/>
        <v>IBG</v>
      </c>
      <c r="G734" t="str">
        <f t="shared" si="317"/>
        <v>Refund COSHARE 10</v>
      </c>
      <c r="H734" s="2">
        <v>135.15</v>
      </c>
      <c r="I734" t="str">
        <f>"MD ZAIN BIN ABD RAHMAN"</f>
        <v>MD ZAIN BIN ABD RAHMAN</v>
      </c>
      <c r="J734" t="str">
        <f t="shared" si="318"/>
        <v>RHB BANK / RHB ISLAMIC BANK</v>
      </c>
      <c r="K734" t="str">
        <f>"10101701016084"</f>
        <v>10101701016084</v>
      </c>
      <c r="L734" t="str">
        <f t="shared" si="319"/>
        <v>04-08-2020</v>
      </c>
      <c r="M734" t="str">
        <f t="shared" si="319"/>
        <v>04-08-2020</v>
      </c>
      <c r="N734" t="str">
        <f t="shared" si="305"/>
        <v>001105018356</v>
      </c>
      <c r="O734" t="str">
        <f t="shared" si="306"/>
        <v>MYR</v>
      </c>
      <c r="P734" t="str">
        <f t="shared" si="320"/>
        <v>NIL</v>
      </c>
      <c r="Q734" t="str">
        <f t="shared" si="320"/>
        <v>NIL</v>
      </c>
      <c r="R734" t="str">
        <f t="shared" si="307"/>
        <v>Accepted</v>
      </c>
      <c r="S734" t="str">
        <f t="shared" si="308"/>
        <v>Approved</v>
      </c>
      <c r="T734" t="str">
        <f t="shared" si="309"/>
        <v>10.20.8.188</v>
      </c>
      <c r="U734" t="str">
        <f t="shared" si="310"/>
        <v>AZRAD UMAR BIN SHAARI</v>
      </c>
      <c r="V734" t="str">
        <f t="shared" si="311"/>
        <v>FARHANA BINTI MUSTAPA</v>
      </c>
      <c r="W734" t="str">
        <f t="shared" si="312"/>
        <v>04-08-2020</v>
      </c>
      <c r="X734" t="str">
        <f t="shared" si="313"/>
        <v>RAZIMAH ANSAR AHMAD</v>
      </c>
      <c r="Y734" t="str">
        <f t="shared" si="314"/>
        <v>04-08-2020</v>
      </c>
      <c r="Z734" t="str">
        <f>"COS10200804 8420"</f>
        <v>COS10200804 8420</v>
      </c>
    </row>
    <row r="735" spans="1:26" x14ac:dyDescent="0.25">
      <c r="A735" t="str">
        <f t="shared" si="315"/>
        <v>04-08-2020 01:11:34</v>
      </c>
      <c r="B735" t="str">
        <f>"0000810225"</f>
        <v>0000810225</v>
      </c>
      <c r="C735" t="str">
        <f t="shared" si="316"/>
        <v>0000810206</v>
      </c>
      <c r="D735" t="str">
        <f t="shared" si="302"/>
        <v>73185</v>
      </c>
      <c r="E735" t="str">
        <f t="shared" si="303"/>
        <v>KFH-OPERATIONS DEPARTMENT</v>
      </c>
      <c r="F735" t="str">
        <f t="shared" si="304"/>
        <v>IBG</v>
      </c>
      <c r="G735" t="str">
        <f t="shared" si="317"/>
        <v>Refund COSHARE 10</v>
      </c>
      <c r="H735" s="2">
        <v>929.35</v>
      </c>
      <c r="I735" t="str">
        <f>"MAZIDI BIN BOLHI"</f>
        <v>MAZIDI BIN BOLHI</v>
      </c>
      <c r="J735" t="str">
        <f t="shared" si="318"/>
        <v>RHB BANK / RHB ISLAMIC BANK</v>
      </c>
      <c r="K735" t="str">
        <f>"11114650133183"</f>
        <v>11114650133183</v>
      </c>
      <c r="L735" t="str">
        <f t="shared" si="319"/>
        <v>04-08-2020</v>
      </c>
      <c r="M735" t="str">
        <f t="shared" si="319"/>
        <v>04-08-2020</v>
      </c>
      <c r="N735" t="str">
        <f t="shared" si="305"/>
        <v>001105018356</v>
      </c>
      <c r="O735" t="str">
        <f t="shared" si="306"/>
        <v>MYR</v>
      </c>
      <c r="P735" t="str">
        <f t="shared" si="320"/>
        <v>NIL</v>
      </c>
      <c r="Q735" t="str">
        <f t="shared" si="320"/>
        <v>NIL</v>
      </c>
      <c r="R735" t="str">
        <f t="shared" si="307"/>
        <v>Accepted</v>
      </c>
      <c r="S735" t="str">
        <f t="shared" si="308"/>
        <v>Approved</v>
      </c>
      <c r="T735" t="str">
        <f t="shared" si="309"/>
        <v>10.20.8.188</v>
      </c>
      <c r="U735" t="str">
        <f t="shared" si="310"/>
        <v>AZRAD UMAR BIN SHAARI</v>
      </c>
      <c r="V735" t="str">
        <f t="shared" si="311"/>
        <v>FARHANA BINTI MUSTAPA</v>
      </c>
      <c r="W735" t="str">
        <f t="shared" si="312"/>
        <v>04-08-2020</v>
      </c>
      <c r="X735" t="str">
        <f t="shared" si="313"/>
        <v>RAZIMAH ANSAR AHMAD</v>
      </c>
      <c r="Y735" t="str">
        <f t="shared" si="314"/>
        <v>04-08-2020</v>
      </c>
      <c r="Z735" t="str">
        <f>"COS10200804 8419"</f>
        <v>COS10200804 8419</v>
      </c>
    </row>
    <row r="736" spans="1:26" x14ac:dyDescent="0.25">
      <c r="A736" t="str">
        <f t="shared" si="315"/>
        <v>04-08-2020 01:11:34</v>
      </c>
      <c r="B736" t="str">
        <f>"0000810224"</f>
        <v>0000810224</v>
      </c>
      <c r="C736" t="str">
        <f t="shared" si="316"/>
        <v>0000810206</v>
      </c>
      <c r="D736" t="str">
        <f t="shared" si="302"/>
        <v>73185</v>
      </c>
      <c r="E736" t="str">
        <f t="shared" si="303"/>
        <v>KFH-OPERATIONS DEPARTMENT</v>
      </c>
      <c r="F736" t="str">
        <f t="shared" si="304"/>
        <v>IBG</v>
      </c>
      <c r="G736" t="str">
        <f t="shared" si="317"/>
        <v>Refund COSHARE 10</v>
      </c>
      <c r="H736" s="2">
        <v>393</v>
      </c>
      <c r="I736" t="str">
        <f>"MASZUIN BINTI RAMLI"</f>
        <v>MASZUIN BINTI RAMLI</v>
      </c>
      <c r="J736" t="str">
        <f t="shared" si="318"/>
        <v>RHB BANK / RHB ISLAMIC BANK</v>
      </c>
      <c r="K736" t="str">
        <f>"10812800022260"</f>
        <v>10812800022260</v>
      </c>
      <c r="L736" t="str">
        <f t="shared" si="319"/>
        <v>04-08-2020</v>
      </c>
      <c r="M736" t="str">
        <f t="shared" si="319"/>
        <v>04-08-2020</v>
      </c>
      <c r="N736" t="str">
        <f t="shared" si="305"/>
        <v>001105018356</v>
      </c>
      <c r="O736" t="str">
        <f t="shared" si="306"/>
        <v>MYR</v>
      </c>
      <c r="P736" t="str">
        <f t="shared" si="320"/>
        <v>NIL</v>
      </c>
      <c r="Q736" t="str">
        <f t="shared" si="320"/>
        <v>NIL</v>
      </c>
      <c r="R736" t="str">
        <f t="shared" si="307"/>
        <v>Accepted</v>
      </c>
      <c r="S736" t="str">
        <f t="shared" si="308"/>
        <v>Approved</v>
      </c>
      <c r="T736" t="str">
        <f t="shared" si="309"/>
        <v>10.20.8.188</v>
      </c>
      <c r="U736" t="str">
        <f t="shared" si="310"/>
        <v>AZRAD UMAR BIN SHAARI</v>
      </c>
      <c r="V736" t="str">
        <f t="shared" si="311"/>
        <v>FARHANA BINTI MUSTAPA</v>
      </c>
      <c r="W736" t="str">
        <f t="shared" si="312"/>
        <v>04-08-2020</v>
      </c>
      <c r="X736" t="str">
        <f t="shared" si="313"/>
        <v>RAZIMAH ANSAR AHMAD</v>
      </c>
      <c r="Y736" t="str">
        <f t="shared" si="314"/>
        <v>04-08-2020</v>
      </c>
      <c r="Z736" t="str">
        <f>"COS10200804 8418"</f>
        <v>COS10200804 8418</v>
      </c>
    </row>
    <row r="737" spans="1:26" x14ac:dyDescent="0.25">
      <c r="A737" t="str">
        <f t="shared" si="315"/>
        <v>04-08-2020 01:11:34</v>
      </c>
      <c r="B737" t="str">
        <f>"0000810223"</f>
        <v>0000810223</v>
      </c>
      <c r="C737" t="str">
        <f t="shared" si="316"/>
        <v>0000810206</v>
      </c>
      <c r="D737" t="str">
        <f t="shared" si="302"/>
        <v>73185</v>
      </c>
      <c r="E737" t="str">
        <f t="shared" si="303"/>
        <v>KFH-OPERATIONS DEPARTMENT</v>
      </c>
      <c r="F737" t="str">
        <f t="shared" si="304"/>
        <v>IBG</v>
      </c>
      <c r="G737" t="str">
        <f t="shared" si="317"/>
        <v>Refund COSHARE 10</v>
      </c>
      <c r="H737" s="2">
        <v>83.95</v>
      </c>
      <c r="I737" t="str">
        <f>"MAHATHIR BIN SHUINI"</f>
        <v>MAHATHIR BIN SHUINI</v>
      </c>
      <c r="J737" t="str">
        <f t="shared" si="318"/>
        <v>RHB BANK / RHB ISLAMIC BANK</v>
      </c>
      <c r="K737" t="str">
        <f>"16126200004294"</f>
        <v>16126200004294</v>
      </c>
      <c r="L737" t="str">
        <f t="shared" si="319"/>
        <v>04-08-2020</v>
      </c>
      <c r="M737" t="str">
        <f t="shared" si="319"/>
        <v>04-08-2020</v>
      </c>
      <c r="N737" t="str">
        <f t="shared" si="305"/>
        <v>001105018356</v>
      </c>
      <c r="O737" t="str">
        <f t="shared" si="306"/>
        <v>MYR</v>
      </c>
      <c r="P737" t="str">
        <f t="shared" si="320"/>
        <v>NIL</v>
      </c>
      <c r="Q737" t="str">
        <f t="shared" si="320"/>
        <v>NIL</v>
      </c>
      <c r="R737" t="str">
        <f t="shared" si="307"/>
        <v>Accepted</v>
      </c>
      <c r="S737" t="str">
        <f t="shared" si="308"/>
        <v>Approved</v>
      </c>
      <c r="T737" t="str">
        <f t="shared" si="309"/>
        <v>10.20.8.188</v>
      </c>
      <c r="U737" t="str">
        <f t="shared" si="310"/>
        <v>AZRAD UMAR BIN SHAARI</v>
      </c>
      <c r="V737" t="str">
        <f t="shared" si="311"/>
        <v>FARHANA BINTI MUSTAPA</v>
      </c>
      <c r="W737" t="str">
        <f t="shared" si="312"/>
        <v>04-08-2020</v>
      </c>
      <c r="X737" t="str">
        <f t="shared" si="313"/>
        <v>RAZIMAH ANSAR AHMAD</v>
      </c>
      <c r="Y737" t="str">
        <f t="shared" si="314"/>
        <v>04-08-2020</v>
      </c>
      <c r="Z737" t="str">
        <f>"COS10200804 8417"</f>
        <v>COS10200804 8417</v>
      </c>
    </row>
    <row r="738" spans="1:26" x14ac:dyDescent="0.25">
      <c r="A738" t="str">
        <f t="shared" si="315"/>
        <v>04-08-2020 01:11:34</v>
      </c>
      <c r="B738" t="str">
        <f>"0000810222"</f>
        <v>0000810222</v>
      </c>
      <c r="C738" t="str">
        <f t="shared" si="316"/>
        <v>0000810206</v>
      </c>
      <c r="D738" t="str">
        <f t="shared" si="302"/>
        <v>73185</v>
      </c>
      <c r="E738" t="str">
        <f t="shared" si="303"/>
        <v>KFH-OPERATIONS DEPARTMENT</v>
      </c>
      <c r="F738" t="str">
        <f t="shared" si="304"/>
        <v>IBG</v>
      </c>
      <c r="G738" t="str">
        <f t="shared" si="317"/>
        <v>Refund COSHARE 10</v>
      </c>
      <c r="H738" s="2">
        <v>646.45000000000005</v>
      </c>
      <c r="I738" t="str">
        <f>"LIZA BINTI SHARI AT"</f>
        <v>LIZA BINTI SHARI AT</v>
      </c>
      <c r="J738" t="str">
        <f t="shared" si="318"/>
        <v>RHB BANK / RHB ISLAMIC BANK</v>
      </c>
      <c r="K738" t="str">
        <f>"16233500012321"</f>
        <v>16233500012321</v>
      </c>
      <c r="L738" t="str">
        <f t="shared" si="319"/>
        <v>04-08-2020</v>
      </c>
      <c r="M738" t="str">
        <f t="shared" si="319"/>
        <v>04-08-2020</v>
      </c>
      <c r="N738" t="str">
        <f t="shared" si="305"/>
        <v>001105018356</v>
      </c>
      <c r="O738" t="str">
        <f t="shared" si="306"/>
        <v>MYR</v>
      </c>
      <c r="P738" t="str">
        <f t="shared" si="320"/>
        <v>NIL</v>
      </c>
      <c r="Q738" t="str">
        <f t="shared" si="320"/>
        <v>NIL</v>
      </c>
      <c r="R738" t="str">
        <f t="shared" si="307"/>
        <v>Accepted</v>
      </c>
      <c r="S738" t="str">
        <f t="shared" si="308"/>
        <v>Approved</v>
      </c>
      <c r="T738" t="str">
        <f t="shared" si="309"/>
        <v>10.20.8.188</v>
      </c>
      <c r="U738" t="str">
        <f t="shared" si="310"/>
        <v>AZRAD UMAR BIN SHAARI</v>
      </c>
      <c r="V738" t="str">
        <f t="shared" si="311"/>
        <v>FARHANA BINTI MUSTAPA</v>
      </c>
      <c r="W738" t="str">
        <f t="shared" si="312"/>
        <v>04-08-2020</v>
      </c>
      <c r="X738" t="str">
        <f t="shared" si="313"/>
        <v>RAZIMAH ANSAR AHMAD</v>
      </c>
      <c r="Y738" t="str">
        <f t="shared" si="314"/>
        <v>04-08-2020</v>
      </c>
      <c r="Z738" t="str">
        <f>"COS10200804 8416"</f>
        <v>COS10200804 8416</v>
      </c>
    </row>
    <row r="739" spans="1:26" x14ac:dyDescent="0.25">
      <c r="A739" t="str">
        <f t="shared" si="315"/>
        <v>04-08-2020 01:11:34</v>
      </c>
      <c r="B739" t="str">
        <f>"0000810221"</f>
        <v>0000810221</v>
      </c>
      <c r="C739" t="str">
        <f t="shared" si="316"/>
        <v>0000810206</v>
      </c>
      <c r="D739" t="str">
        <f t="shared" si="302"/>
        <v>73185</v>
      </c>
      <c r="E739" t="str">
        <f t="shared" si="303"/>
        <v>KFH-OPERATIONS DEPARTMENT</v>
      </c>
      <c r="F739" t="str">
        <f t="shared" si="304"/>
        <v>IBG</v>
      </c>
      <c r="G739" t="str">
        <f t="shared" si="317"/>
        <v>Refund COSHARE 10</v>
      </c>
      <c r="H739" s="2">
        <v>1184</v>
      </c>
      <c r="I739" t="str">
        <f>"LAURENCE ANAK SAWA"</f>
        <v>LAURENCE ANAK SAWA</v>
      </c>
      <c r="J739" t="str">
        <f t="shared" si="318"/>
        <v>RHB BANK / RHB ISLAMIC BANK</v>
      </c>
      <c r="K739" t="str">
        <f>"11114650226033"</f>
        <v>11114650226033</v>
      </c>
      <c r="L739" t="str">
        <f t="shared" si="319"/>
        <v>04-08-2020</v>
      </c>
      <c r="M739" t="str">
        <f t="shared" si="319"/>
        <v>04-08-2020</v>
      </c>
      <c r="N739" t="str">
        <f t="shared" si="305"/>
        <v>001105018356</v>
      </c>
      <c r="O739" t="str">
        <f t="shared" si="306"/>
        <v>MYR</v>
      </c>
      <c r="P739" t="str">
        <f t="shared" si="320"/>
        <v>NIL</v>
      </c>
      <c r="Q739" t="str">
        <f t="shared" si="320"/>
        <v>NIL</v>
      </c>
      <c r="R739" t="str">
        <f t="shared" si="307"/>
        <v>Accepted</v>
      </c>
      <c r="S739" t="str">
        <f t="shared" si="308"/>
        <v>Approved</v>
      </c>
      <c r="T739" t="str">
        <f t="shared" si="309"/>
        <v>10.20.8.188</v>
      </c>
      <c r="U739" t="str">
        <f t="shared" si="310"/>
        <v>AZRAD UMAR BIN SHAARI</v>
      </c>
      <c r="V739" t="str">
        <f t="shared" si="311"/>
        <v>FARHANA BINTI MUSTAPA</v>
      </c>
      <c r="W739" t="str">
        <f t="shared" si="312"/>
        <v>04-08-2020</v>
      </c>
      <c r="X739" t="str">
        <f t="shared" si="313"/>
        <v>RAZIMAH ANSAR AHMAD</v>
      </c>
      <c r="Y739" t="str">
        <f t="shared" si="314"/>
        <v>04-08-2020</v>
      </c>
      <c r="Z739" t="str">
        <f>"COS10200804 8415"</f>
        <v>COS10200804 8415</v>
      </c>
    </row>
    <row r="740" spans="1:26" x14ac:dyDescent="0.25">
      <c r="A740" t="str">
        <f t="shared" si="315"/>
        <v>04-08-2020 01:11:34</v>
      </c>
      <c r="B740" t="str">
        <f>"0000810220"</f>
        <v>0000810220</v>
      </c>
      <c r="C740" t="str">
        <f t="shared" si="316"/>
        <v>0000810206</v>
      </c>
      <c r="D740" t="str">
        <f t="shared" si="302"/>
        <v>73185</v>
      </c>
      <c r="E740" t="str">
        <f t="shared" si="303"/>
        <v>KFH-OPERATIONS DEPARTMENT</v>
      </c>
      <c r="F740" t="str">
        <f t="shared" si="304"/>
        <v>IBG</v>
      </c>
      <c r="G740" t="str">
        <f t="shared" si="317"/>
        <v>Refund COSHARE 10</v>
      </c>
      <c r="H740" s="2">
        <v>101.65</v>
      </c>
      <c r="I740" t="str">
        <f>"KUSWADY BIN CHIL"</f>
        <v>KUSWADY BIN CHIL</v>
      </c>
      <c r="J740" t="str">
        <f t="shared" si="318"/>
        <v>RHB BANK / RHB ISLAMIC BANK</v>
      </c>
      <c r="K740" t="str">
        <f>"11126700027954"</f>
        <v>11126700027954</v>
      </c>
      <c r="L740" t="str">
        <f t="shared" si="319"/>
        <v>04-08-2020</v>
      </c>
      <c r="M740" t="str">
        <f t="shared" si="319"/>
        <v>04-08-2020</v>
      </c>
      <c r="N740" t="str">
        <f t="shared" si="305"/>
        <v>001105018356</v>
      </c>
      <c r="O740" t="str">
        <f t="shared" si="306"/>
        <v>MYR</v>
      </c>
      <c r="P740" t="str">
        <f t="shared" si="320"/>
        <v>NIL</v>
      </c>
      <c r="Q740" t="str">
        <f t="shared" si="320"/>
        <v>NIL</v>
      </c>
      <c r="R740" t="str">
        <f t="shared" si="307"/>
        <v>Accepted</v>
      </c>
      <c r="S740" t="str">
        <f t="shared" si="308"/>
        <v>Approved</v>
      </c>
      <c r="T740" t="str">
        <f t="shared" si="309"/>
        <v>10.20.8.188</v>
      </c>
      <c r="U740" t="str">
        <f t="shared" si="310"/>
        <v>AZRAD UMAR BIN SHAARI</v>
      </c>
      <c r="V740" t="str">
        <f t="shared" si="311"/>
        <v>FARHANA BINTI MUSTAPA</v>
      </c>
      <c r="W740" t="str">
        <f t="shared" si="312"/>
        <v>04-08-2020</v>
      </c>
      <c r="X740" t="str">
        <f t="shared" si="313"/>
        <v>RAZIMAH ANSAR AHMAD</v>
      </c>
      <c r="Y740" t="str">
        <f t="shared" si="314"/>
        <v>04-08-2020</v>
      </c>
      <c r="Z740" t="str">
        <f>"COS10200804 8414"</f>
        <v>COS10200804 8414</v>
      </c>
    </row>
    <row r="741" spans="1:26" x14ac:dyDescent="0.25">
      <c r="A741" t="str">
        <f t="shared" si="315"/>
        <v>04-08-2020 01:11:34</v>
      </c>
      <c r="B741" t="str">
        <f>"0000810219"</f>
        <v>0000810219</v>
      </c>
      <c r="C741" t="str">
        <f t="shared" si="316"/>
        <v>0000810206</v>
      </c>
      <c r="D741" t="str">
        <f t="shared" si="302"/>
        <v>73185</v>
      </c>
      <c r="E741" t="str">
        <f t="shared" si="303"/>
        <v>KFH-OPERATIONS DEPARTMENT</v>
      </c>
      <c r="F741" t="str">
        <f t="shared" si="304"/>
        <v>IBG</v>
      </c>
      <c r="G741" t="str">
        <f t="shared" si="317"/>
        <v>Refund COSHARE 10</v>
      </c>
      <c r="H741" s="2">
        <v>610</v>
      </c>
      <c r="I741" t="str">
        <f>"KHALIC BIN TAHIR"</f>
        <v>KHALIC BIN TAHIR</v>
      </c>
      <c r="J741" t="str">
        <f t="shared" si="318"/>
        <v>RHB BANK / RHB ISLAMIC BANK</v>
      </c>
      <c r="K741" t="str">
        <f>"16127100011203"</f>
        <v>16127100011203</v>
      </c>
      <c r="L741" t="str">
        <f t="shared" si="319"/>
        <v>04-08-2020</v>
      </c>
      <c r="M741" t="str">
        <f t="shared" si="319"/>
        <v>04-08-2020</v>
      </c>
      <c r="N741" t="str">
        <f t="shared" si="305"/>
        <v>001105018356</v>
      </c>
      <c r="O741" t="str">
        <f t="shared" si="306"/>
        <v>MYR</v>
      </c>
      <c r="P741" t="str">
        <f t="shared" si="320"/>
        <v>NIL</v>
      </c>
      <c r="Q741" t="str">
        <f t="shared" si="320"/>
        <v>NIL</v>
      </c>
      <c r="R741" t="str">
        <f t="shared" si="307"/>
        <v>Accepted</v>
      </c>
      <c r="S741" t="str">
        <f t="shared" si="308"/>
        <v>Approved</v>
      </c>
      <c r="T741" t="str">
        <f t="shared" si="309"/>
        <v>10.20.8.188</v>
      </c>
      <c r="U741" t="str">
        <f t="shared" si="310"/>
        <v>AZRAD UMAR BIN SHAARI</v>
      </c>
      <c r="V741" t="str">
        <f t="shared" si="311"/>
        <v>FARHANA BINTI MUSTAPA</v>
      </c>
      <c r="W741" t="str">
        <f t="shared" si="312"/>
        <v>04-08-2020</v>
      </c>
      <c r="X741" t="str">
        <f t="shared" si="313"/>
        <v>RAZIMAH ANSAR AHMAD</v>
      </c>
      <c r="Y741" t="str">
        <f t="shared" si="314"/>
        <v>04-08-2020</v>
      </c>
      <c r="Z741" t="str">
        <f>"COS10200804 8413"</f>
        <v>COS10200804 8413</v>
      </c>
    </row>
    <row r="742" spans="1:26" x14ac:dyDescent="0.25">
      <c r="A742" t="str">
        <f t="shared" si="315"/>
        <v>04-08-2020 01:11:34</v>
      </c>
      <c r="B742" t="str">
        <f>"0000810218"</f>
        <v>0000810218</v>
      </c>
      <c r="C742" t="str">
        <f t="shared" si="316"/>
        <v>0000810206</v>
      </c>
      <c r="D742" t="str">
        <f t="shared" si="302"/>
        <v>73185</v>
      </c>
      <c r="E742" t="str">
        <f t="shared" si="303"/>
        <v>KFH-OPERATIONS DEPARTMENT</v>
      </c>
      <c r="F742" t="str">
        <f t="shared" si="304"/>
        <v>IBG</v>
      </c>
      <c r="G742" t="str">
        <f t="shared" si="317"/>
        <v>Refund COSHARE 10</v>
      </c>
      <c r="H742" s="2">
        <v>184.2</v>
      </c>
      <c r="I742" t="str">
        <f>"KHAIRON ANUAR BIN ABD MAJID"</f>
        <v>KHAIRON ANUAR BIN ABD MAJID</v>
      </c>
      <c r="J742" t="str">
        <f t="shared" si="318"/>
        <v>RHB BANK / RHB ISLAMIC BANK</v>
      </c>
      <c r="K742" t="str">
        <f>"10602100186252"</f>
        <v>10602100186252</v>
      </c>
      <c r="L742" t="str">
        <f t="shared" si="319"/>
        <v>04-08-2020</v>
      </c>
      <c r="M742" t="str">
        <f t="shared" si="319"/>
        <v>04-08-2020</v>
      </c>
      <c r="N742" t="str">
        <f t="shared" si="305"/>
        <v>001105018356</v>
      </c>
      <c r="O742" t="str">
        <f t="shared" si="306"/>
        <v>MYR</v>
      </c>
      <c r="P742" t="str">
        <f t="shared" si="320"/>
        <v>NIL</v>
      </c>
      <c r="Q742" t="str">
        <f t="shared" si="320"/>
        <v>NIL</v>
      </c>
      <c r="R742" t="str">
        <f t="shared" si="307"/>
        <v>Accepted</v>
      </c>
      <c r="S742" t="str">
        <f t="shared" si="308"/>
        <v>Approved</v>
      </c>
      <c r="T742" t="str">
        <f t="shared" si="309"/>
        <v>10.20.8.188</v>
      </c>
      <c r="U742" t="str">
        <f t="shared" si="310"/>
        <v>AZRAD UMAR BIN SHAARI</v>
      </c>
      <c r="V742" t="str">
        <f t="shared" si="311"/>
        <v>FARHANA BINTI MUSTAPA</v>
      </c>
      <c r="W742" t="str">
        <f t="shared" si="312"/>
        <v>04-08-2020</v>
      </c>
      <c r="X742" t="str">
        <f t="shared" si="313"/>
        <v>RAZIMAH ANSAR AHMAD</v>
      </c>
      <c r="Y742" t="str">
        <f t="shared" si="314"/>
        <v>04-08-2020</v>
      </c>
      <c r="Z742" t="str">
        <f>"COS10200804 8412"</f>
        <v>COS10200804 8412</v>
      </c>
    </row>
    <row r="743" spans="1:26" x14ac:dyDescent="0.25">
      <c r="A743" t="str">
        <f t="shared" si="315"/>
        <v>04-08-2020 01:11:34</v>
      </c>
      <c r="B743" t="str">
        <f>"0000810217"</f>
        <v>0000810217</v>
      </c>
      <c r="C743" t="str">
        <f t="shared" si="316"/>
        <v>0000810206</v>
      </c>
      <c r="D743" t="str">
        <f t="shared" si="302"/>
        <v>73185</v>
      </c>
      <c r="E743" t="str">
        <f t="shared" si="303"/>
        <v>KFH-OPERATIONS DEPARTMENT</v>
      </c>
      <c r="F743" t="str">
        <f t="shared" si="304"/>
        <v>IBG</v>
      </c>
      <c r="G743" t="str">
        <f t="shared" si="317"/>
        <v>Refund COSHARE 10</v>
      </c>
      <c r="H743" s="2">
        <v>184.2</v>
      </c>
      <c r="I743" t="str">
        <f>"KHAIRON ANUAR BIN ABD MAJID"</f>
        <v>KHAIRON ANUAR BIN ABD MAJID</v>
      </c>
      <c r="J743" t="str">
        <f t="shared" si="318"/>
        <v>RHB BANK / RHB ISLAMIC BANK</v>
      </c>
      <c r="K743" t="str">
        <f>"10602100186252"</f>
        <v>10602100186252</v>
      </c>
      <c r="L743" t="str">
        <f t="shared" si="319"/>
        <v>04-08-2020</v>
      </c>
      <c r="M743" t="str">
        <f t="shared" si="319"/>
        <v>04-08-2020</v>
      </c>
      <c r="N743" t="str">
        <f t="shared" si="305"/>
        <v>001105018356</v>
      </c>
      <c r="O743" t="str">
        <f t="shared" si="306"/>
        <v>MYR</v>
      </c>
      <c r="P743" t="str">
        <f t="shared" si="320"/>
        <v>NIL</v>
      </c>
      <c r="Q743" t="str">
        <f t="shared" si="320"/>
        <v>NIL</v>
      </c>
      <c r="R743" t="str">
        <f t="shared" si="307"/>
        <v>Accepted</v>
      </c>
      <c r="S743" t="str">
        <f t="shared" si="308"/>
        <v>Approved</v>
      </c>
      <c r="T743" t="str">
        <f t="shared" si="309"/>
        <v>10.20.8.188</v>
      </c>
      <c r="U743" t="str">
        <f t="shared" si="310"/>
        <v>AZRAD UMAR BIN SHAARI</v>
      </c>
      <c r="V743" t="str">
        <f t="shared" si="311"/>
        <v>FARHANA BINTI MUSTAPA</v>
      </c>
      <c r="W743" t="str">
        <f t="shared" si="312"/>
        <v>04-08-2020</v>
      </c>
      <c r="X743" t="str">
        <f t="shared" si="313"/>
        <v>RAZIMAH ANSAR AHMAD</v>
      </c>
      <c r="Y743" t="str">
        <f t="shared" si="314"/>
        <v>04-08-2020</v>
      </c>
      <c r="Z743" t="str">
        <f>"COS10200804 8411"</f>
        <v>COS10200804 8411</v>
      </c>
    </row>
    <row r="744" spans="1:26" x14ac:dyDescent="0.25">
      <c r="A744" t="str">
        <f t="shared" si="315"/>
        <v>04-08-2020 01:11:34</v>
      </c>
      <c r="B744" t="str">
        <f>"0000810216"</f>
        <v>0000810216</v>
      </c>
      <c r="C744" t="str">
        <f t="shared" si="316"/>
        <v>0000810206</v>
      </c>
      <c r="D744" t="str">
        <f t="shared" si="302"/>
        <v>73185</v>
      </c>
      <c r="E744" t="str">
        <f t="shared" si="303"/>
        <v>KFH-OPERATIONS DEPARTMENT</v>
      </c>
      <c r="F744" t="str">
        <f t="shared" si="304"/>
        <v>IBG</v>
      </c>
      <c r="G744" t="str">
        <f t="shared" si="317"/>
        <v>Refund COSHARE 10</v>
      </c>
      <c r="H744" s="2">
        <v>48</v>
      </c>
      <c r="I744" t="str">
        <f>"JOHARI BIN RAMBALI"</f>
        <v>JOHARI BIN RAMBALI</v>
      </c>
      <c r="J744" t="str">
        <f t="shared" si="318"/>
        <v>RHB BANK / RHB ISLAMIC BANK</v>
      </c>
      <c r="K744" t="str">
        <f>"11114650182907"</f>
        <v>11114650182907</v>
      </c>
      <c r="L744" t="str">
        <f t="shared" si="319"/>
        <v>04-08-2020</v>
      </c>
      <c r="M744" t="str">
        <f t="shared" si="319"/>
        <v>04-08-2020</v>
      </c>
      <c r="N744" t="str">
        <f t="shared" si="305"/>
        <v>001105018356</v>
      </c>
      <c r="O744" t="str">
        <f t="shared" si="306"/>
        <v>MYR</v>
      </c>
      <c r="P744" t="str">
        <f t="shared" si="320"/>
        <v>NIL</v>
      </c>
      <c r="Q744" t="str">
        <f t="shared" si="320"/>
        <v>NIL</v>
      </c>
      <c r="R744" t="str">
        <f t="shared" si="307"/>
        <v>Accepted</v>
      </c>
      <c r="S744" t="str">
        <f t="shared" si="308"/>
        <v>Approved</v>
      </c>
      <c r="T744" t="str">
        <f t="shared" si="309"/>
        <v>10.20.8.188</v>
      </c>
      <c r="U744" t="str">
        <f t="shared" si="310"/>
        <v>AZRAD UMAR BIN SHAARI</v>
      </c>
      <c r="V744" t="str">
        <f t="shared" si="311"/>
        <v>FARHANA BINTI MUSTAPA</v>
      </c>
      <c r="W744" t="str">
        <f t="shared" si="312"/>
        <v>04-08-2020</v>
      </c>
      <c r="X744" t="str">
        <f t="shared" si="313"/>
        <v>RAZIMAH ANSAR AHMAD</v>
      </c>
      <c r="Y744" t="str">
        <f t="shared" si="314"/>
        <v>04-08-2020</v>
      </c>
      <c r="Z744" t="str">
        <f>"COS10200804 8410"</f>
        <v>COS10200804 8410</v>
      </c>
    </row>
    <row r="745" spans="1:26" x14ac:dyDescent="0.25">
      <c r="A745" t="str">
        <f t="shared" si="315"/>
        <v>04-08-2020 01:11:34</v>
      </c>
      <c r="B745" t="str">
        <f>"0000810215"</f>
        <v>0000810215</v>
      </c>
      <c r="C745" t="str">
        <f t="shared" si="316"/>
        <v>0000810206</v>
      </c>
      <c r="D745" t="str">
        <f t="shared" si="302"/>
        <v>73185</v>
      </c>
      <c r="E745" t="str">
        <f t="shared" si="303"/>
        <v>KFH-OPERATIONS DEPARTMENT</v>
      </c>
      <c r="F745" t="str">
        <f t="shared" si="304"/>
        <v>IBG</v>
      </c>
      <c r="G745" t="str">
        <f t="shared" si="317"/>
        <v>Refund COSHARE 10</v>
      </c>
      <c r="H745" s="2">
        <v>75.599999999999994</v>
      </c>
      <c r="I745" t="str">
        <f>"JEFFREY ANAK MILLY"</f>
        <v>JEFFREY ANAK MILLY</v>
      </c>
      <c r="J745" t="str">
        <f t="shared" si="318"/>
        <v>RHB BANK / RHB ISLAMIC BANK</v>
      </c>
      <c r="K745" t="str">
        <f>"11103400255618"</f>
        <v>11103400255618</v>
      </c>
      <c r="L745" t="str">
        <f t="shared" si="319"/>
        <v>04-08-2020</v>
      </c>
      <c r="M745" t="str">
        <f t="shared" si="319"/>
        <v>04-08-2020</v>
      </c>
      <c r="N745" t="str">
        <f t="shared" si="305"/>
        <v>001105018356</v>
      </c>
      <c r="O745" t="str">
        <f t="shared" si="306"/>
        <v>MYR</v>
      </c>
      <c r="P745" t="str">
        <f t="shared" si="320"/>
        <v>NIL</v>
      </c>
      <c r="Q745" t="str">
        <f t="shared" si="320"/>
        <v>NIL</v>
      </c>
      <c r="R745" t="str">
        <f t="shared" si="307"/>
        <v>Accepted</v>
      </c>
      <c r="S745" t="str">
        <f t="shared" si="308"/>
        <v>Approved</v>
      </c>
      <c r="T745" t="str">
        <f t="shared" si="309"/>
        <v>10.20.8.188</v>
      </c>
      <c r="U745" t="str">
        <f t="shared" si="310"/>
        <v>AZRAD UMAR BIN SHAARI</v>
      </c>
      <c r="V745" t="str">
        <f t="shared" si="311"/>
        <v>FARHANA BINTI MUSTAPA</v>
      </c>
      <c r="W745" t="str">
        <f t="shared" si="312"/>
        <v>04-08-2020</v>
      </c>
      <c r="X745" t="str">
        <f t="shared" si="313"/>
        <v>RAZIMAH ANSAR AHMAD</v>
      </c>
      <c r="Y745" t="str">
        <f t="shared" si="314"/>
        <v>04-08-2020</v>
      </c>
      <c r="Z745" t="str">
        <f>"COS10200804 8409"</f>
        <v>COS10200804 8409</v>
      </c>
    </row>
    <row r="746" spans="1:26" x14ac:dyDescent="0.25">
      <c r="A746" t="str">
        <f t="shared" si="315"/>
        <v>04-08-2020 01:11:34</v>
      </c>
      <c r="B746" t="str">
        <f>"0000810214"</f>
        <v>0000810214</v>
      </c>
      <c r="C746" t="str">
        <f t="shared" si="316"/>
        <v>0000810206</v>
      </c>
      <c r="D746" t="str">
        <f t="shared" si="302"/>
        <v>73185</v>
      </c>
      <c r="E746" t="str">
        <f t="shared" si="303"/>
        <v>KFH-OPERATIONS DEPARTMENT</v>
      </c>
      <c r="F746" t="str">
        <f t="shared" si="304"/>
        <v>IBG</v>
      </c>
      <c r="G746" t="str">
        <f t="shared" si="317"/>
        <v>Refund COSHARE 10</v>
      </c>
      <c r="H746" s="2">
        <v>83.95</v>
      </c>
      <c r="I746" t="str">
        <f>"JAYAKUMAR AL UTHAMASINGAM"</f>
        <v>JAYAKUMAR AL UTHAMASINGAM</v>
      </c>
      <c r="J746" t="str">
        <f t="shared" si="318"/>
        <v>RHB BANK / RHB ISLAMIC BANK</v>
      </c>
      <c r="K746" t="str">
        <f>"10118300022584"</f>
        <v>10118300022584</v>
      </c>
      <c r="L746" t="str">
        <f t="shared" si="319"/>
        <v>04-08-2020</v>
      </c>
      <c r="M746" t="str">
        <f t="shared" si="319"/>
        <v>04-08-2020</v>
      </c>
      <c r="N746" t="str">
        <f t="shared" si="305"/>
        <v>001105018356</v>
      </c>
      <c r="O746" t="str">
        <f t="shared" si="306"/>
        <v>MYR</v>
      </c>
      <c r="P746" t="str">
        <f t="shared" si="320"/>
        <v>NIL</v>
      </c>
      <c r="Q746" t="str">
        <f t="shared" si="320"/>
        <v>NIL</v>
      </c>
      <c r="R746" t="str">
        <f t="shared" si="307"/>
        <v>Accepted</v>
      </c>
      <c r="S746" t="str">
        <f t="shared" si="308"/>
        <v>Approved</v>
      </c>
      <c r="T746" t="str">
        <f t="shared" si="309"/>
        <v>10.20.8.188</v>
      </c>
      <c r="U746" t="str">
        <f t="shared" si="310"/>
        <v>AZRAD UMAR BIN SHAARI</v>
      </c>
      <c r="V746" t="str">
        <f t="shared" si="311"/>
        <v>FARHANA BINTI MUSTAPA</v>
      </c>
      <c r="W746" t="str">
        <f t="shared" si="312"/>
        <v>04-08-2020</v>
      </c>
      <c r="X746" t="str">
        <f t="shared" si="313"/>
        <v>RAZIMAH ANSAR AHMAD</v>
      </c>
      <c r="Y746" t="str">
        <f t="shared" si="314"/>
        <v>04-08-2020</v>
      </c>
      <c r="Z746" t="str">
        <f>"COS10200804 8408"</f>
        <v>COS10200804 8408</v>
      </c>
    </row>
    <row r="747" spans="1:26" x14ac:dyDescent="0.25">
      <c r="A747" t="str">
        <f t="shared" si="315"/>
        <v>04-08-2020 01:11:34</v>
      </c>
      <c r="B747" t="str">
        <f>"0000810213"</f>
        <v>0000810213</v>
      </c>
      <c r="C747" t="str">
        <f t="shared" si="316"/>
        <v>0000810206</v>
      </c>
      <c r="D747" t="str">
        <f t="shared" si="302"/>
        <v>73185</v>
      </c>
      <c r="E747" t="str">
        <f t="shared" si="303"/>
        <v>KFH-OPERATIONS DEPARTMENT</v>
      </c>
      <c r="F747" t="str">
        <f t="shared" si="304"/>
        <v>IBG</v>
      </c>
      <c r="G747" t="str">
        <f t="shared" si="317"/>
        <v>Refund COSHARE 10</v>
      </c>
      <c r="H747" s="2">
        <v>355.7</v>
      </c>
      <c r="I747" t="str">
        <f>"JAINOL BIN NAIMAN"</f>
        <v>JAINOL BIN NAIMAN</v>
      </c>
      <c r="J747" t="str">
        <f t="shared" si="318"/>
        <v>RHB BANK / RHB ISLAMIC BANK</v>
      </c>
      <c r="K747" t="str">
        <f>"11115550064684"</f>
        <v>11115550064684</v>
      </c>
      <c r="L747" t="str">
        <f t="shared" ref="L747:M766" si="321">"04-08-2020"</f>
        <v>04-08-2020</v>
      </c>
      <c r="M747" t="str">
        <f t="shared" si="321"/>
        <v>04-08-2020</v>
      </c>
      <c r="N747" t="str">
        <f t="shared" si="305"/>
        <v>001105018356</v>
      </c>
      <c r="O747" t="str">
        <f t="shared" si="306"/>
        <v>MYR</v>
      </c>
      <c r="P747" t="str">
        <f t="shared" ref="P747:Q766" si="322">"NIL"</f>
        <v>NIL</v>
      </c>
      <c r="Q747" t="str">
        <f t="shared" si="322"/>
        <v>NIL</v>
      </c>
      <c r="R747" t="str">
        <f t="shared" si="307"/>
        <v>Accepted</v>
      </c>
      <c r="S747" t="str">
        <f t="shared" si="308"/>
        <v>Approved</v>
      </c>
      <c r="T747" t="str">
        <f t="shared" si="309"/>
        <v>10.20.8.188</v>
      </c>
      <c r="U747" t="str">
        <f t="shared" si="310"/>
        <v>AZRAD UMAR BIN SHAARI</v>
      </c>
      <c r="V747" t="str">
        <f t="shared" si="311"/>
        <v>FARHANA BINTI MUSTAPA</v>
      </c>
      <c r="W747" t="str">
        <f t="shared" si="312"/>
        <v>04-08-2020</v>
      </c>
      <c r="X747" t="str">
        <f t="shared" si="313"/>
        <v>RAZIMAH ANSAR AHMAD</v>
      </c>
      <c r="Y747" t="str">
        <f t="shared" si="314"/>
        <v>04-08-2020</v>
      </c>
      <c r="Z747" t="str">
        <f>"COS10200804 8407"</f>
        <v>COS10200804 8407</v>
      </c>
    </row>
    <row r="748" spans="1:26" x14ac:dyDescent="0.25">
      <c r="A748" t="str">
        <f t="shared" ref="A748:A753" si="323">"04-08-2020 01:11:34"</f>
        <v>04-08-2020 01:11:34</v>
      </c>
      <c r="B748" t="str">
        <f>"0000810212"</f>
        <v>0000810212</v>
      </c>
      <c r="C748" t="str">
        <f t="shared" ref="C748:C753" si="324">"0000810206"</f>
        <v>0000810206</v>
      </c>
      <c r="D748" t="str">
        <f t="shared" si="302"/>
        <v>73185</v>
      </c>
      <c r="E748" t="str">
        <f t="shared" si="303"/>
        <v>KFH-OPERATIONS DEPARTMENT</v>
      </c>
      <c r="F748" t="str">
        <f t="shared" si="304"/>
        <v>IBG</v>
      </c>
      <c r="G748" t="str">
        <f t="shared" si="317"/>
        <v>Refund COSHARE 10</v>
      </c>
      <c r="H748" s="2">
        <v>1217.25</v>
      </c>
      <c r="I748" t="str">
        <f>"ISKANDAR BIN LEN"</f>
        <v>ISKANDAR BIN LEN</v>
      </c>
      <c r="J748" t="str">
        <f t="shared" si="318"/>
        <v>RHB BANK / RHB ISLAMIC BANK</v>
      </c>
      <c r="K748" t="str">
        <f>"11115550064820"</f>
        <v>11115550064820</v>
      </c>
      <c r="L748" t="str">
        <f t="shared" si="321"/>
        <v>04-08-2020</v>
      </c>
      <c r="M748" t="str">
        <f t="shared" si="321"/>
        <v>04-08-2020</v>
      </c>
      <c r="N748" t="str">
        <f t="shared" si="305"/>
        <v>001105018356</v>
      </c>
      <c r="O748" t="str">
        <f t="shared" si="306"/>
        <v>MYR</v>
      </c>
      <c r="P748" t="str">
        <f t="shared" si="322"/>
        <v>NIL</v>
      </c>
      <c r="Q748" t="str">
        <f t="shared" si="322"/>
        <v>NIL</v>
      </c>
      <c r="R748" t="str">
        <f t="shared" si="307"/>
        <v>Accepted</v>
      </c>
      <c r="S748" t="str">
        <f t="shared" si="308"/>
        <v>Approved</v>
      </c>
      <c r="T748" t="str">
        <f t="shared" si="309"/>
        <v>10.20.8.188</v>
      </c>
      <c r="U748" t="str">
        <f t="shared" si="310"/>
        <v>AZRAD UMAR BIN SHAARI</v>
      </c>
      <c r="V748" t="str">
        <f t="shared" si="311"/>
        <v>FARHANA BINTI MUSTAPA</v>
      </c>
      <c r="W748" t="str">
        <f t="shared" si="312"/>
        <v>04-08-2020</v>
      </c>
      <c r="X748" t="str">
        <f t="shared" si="313"/>
        <v>RAZIMAH ANSAR AHMAD</v>
      </c>
      <c r="Y748" t="str">
        <f t="shared" si="314"/>
        <v>04-08-2020</v>
      </c>
      <c r="Z748" t="str">
        <f>"COS10200804 8406"</f>
        <v>COS10200804 8406</v>
      </c>
    </row>
    <row r="749" spans="1:26" x14ac:dyDescent="0.25">
      <c r="A749" t="str">
        <f t="shared" si="323"/>
        <v>04-08-2020 01:11:34</v>
      </c>
      <c r="B749" t="str">
        <f>"0000810211"</f>
        <v>0000810211</v>
      </c>
      <c r="C749" t="str">
        <f t="shared" si="324"/>
        <v>0000810206</v>
      </c>
      <c r="D749" t="str">
        <f t="shared" si="302"/>
        <v>73185</v>
      </c>
      <c r="E749" t="str">
        <f t="shared" si="303"/>
        <v>KFH-OPERATIONS DEPARTMENT</v>
      </c>
      <c r="F749" t="str">
        <f t="shared" si="304"/>
        <v>IBG</v>
      </c>
      <c r="G749" t="str">
        <f t="shared" si="317"/>
        <v>Refund COSHARE 10</v>
      </c>
      <c r="H749" s="2">
        <v>193.1</v>
      </c>
      <c r="I749" t="str">
        <f>"HAZRINA BINTI NASRI"</f>
        <v>HAZRINA BINTI NASRI</v>
      </c>
      <c r="J749" t="str">
        <f t="shared" si="318"/>
        <v>RHB BANK / RHB ISLAMIC BANK</v>
      </c>
      <c r="K749" t="str">
        <f>"16008700015401"</f>
        <v>16008700015401</v>
      </c>
      <c r="L749" t="str">
        <f t="shared" si="321"/>
        <v>04-08-2020</v>
      </c>
      <c r="M749" t="str">
        <f t="shared" si="321"/>
        <v>04-08-2020</v>
      </c>
      <c r="N749" t="str">
        <f t="shared" si="305"/>
        <v>001105018356</v>
      </c>
      <c r="O749" t="str">
        <f t="shared" si="306"/>
        <v>MYR</v>
      </c>
      <c r="P749" t="str">
        <f t="shared" si="322"/>
        <v>NIL</v>
      </c>
      <c r="Q749" t="str">
        <f t="shared" si="322"/>
        <v>NIL</v>
      </c>
      <c r="R749" t="str">
        <f t="shared" si="307"/>
        <v>Accepted</v>
      </c>
      <c r="S749" t="str">
        <f t="shared" si="308"/>
        <v>Approved</v>
      </c>
      <c r="T749" t="str">
        <f t="shared" si="309"/>
        <v>10.20.8.188</v>
      </c>
      <c r="U749" t="str">
        <f t="shared" si="310"/>
        <v>AZRAD UMAR BIN SHAARI</v>
      </c>
      <c r="V749" t="str">
        <f t="shared" si="311"/>
        <v>FARHANA BINTI MUSTAPA</v>
      </c>
      <c r="W749" t="str">
        <f t="shared" si="312"/>
        <v>04-08-2020</v>
      </c>
      <c r="X749" t="str">
        <f t="shared" si="313"/>
        <v>RAZIMAH ANSAR AHMAD</v>
      </c>
      <c r="Y749" t="str">
        <f t="shared" si="314"/>
        <v>04-08-2020</v>
      </c>
      <c r="Z749" t="str">
        <f>"COS10200804 8405"</f>
        <v>COS10200804 8405</v>
      </c>
    </row>
    <row r="750" spans="1:26" x14ac:dyDescent="0.25">
      <c r="A750" t="str">
        <f t="shared" si="323"/>
        <v>04-08-2020 01:11:34</v>
      </c>
      <c r="B750" t="str">
        <f>"0000810210"</f>
        <v>0000810210</v>
      </c>
      <c r="C750" t="str">
        <f t="shared" si="324"/>
        <v>0000810206</v>
      </c>
      <c r="D750" t="str">
        <f t="shared" si="302"/>
        <v>73185</v>
      </c>
      <c r="E750" t="str">
        <f t="shared" si="303"/>
        <v>KFH-OPERATIONS DEPARTMENT</v>
      </c>
      <c r="F750" t="str">
        <f t="shared" si="304"/>
        <v>IBG</v>
      </c>
      <c r="G750" t="str">
        <f t="shared" si="317"/>
        <v>Refund COSHARE 10</v>
      </c>
      <c r="H750" s="2">
        <v>982</v>
      </c>
      <c r="I750" t="str">
        <f>"HASSAN BIN TAHIR"</f>
        <v>HASSAN BIN TAHIR</v>
      </c>
      <c r="J750" t="str">
        <f t="shared" ref="J750:J781" si="325">"RHB BANK / RHB ISLAMIC BANK"</f>
        <v>RHB BANK / RHB ISLAMIC BANK</v>
      </c>
      <c r="K750" t="str">
        <f>"11117350018553"</f>
        <v>11117350018553</v>
      </c>
      <c r="L750" t="str">
        <f t="shared" si="321"/>
        <v>04-08-2020</v>
      </c>
      <c r="M750" t="str">
        <f t="shared" si="321"/>
        <v>04-08-2020</v>
      </c>
      <c r="N750" t="str">
        <f t="shared" si="305"/>
        <v>001105018356</v>
      </c>
      <c r="O750" t="str">
        <f t="shared" si="306"/>
        <v>MYR</v>
      </c>
      <c r="P750" t="str">
        <f t="shared" si="322"/>
        <v>NIL</v>
      </c>
      <c r="Q750" t="str">
        <f t="shared" si="322"/>
        <v>NIL</v>
      </c>
      <c r="R750" t="str">
        <f t="shared" si="307"/>
        <v>Accepted</v>
      </c>
      <c r="S750" t="str">
        <f t="shared" si="308"/>
        <v>Approved</v>
      </c>
      <c r="T750" t="str">
        <f t="shared" si="309"/>
        <v>10.20.8.188</v>
      </c>
      <c r="U750" t="str">
        <f t="shared" si="310"/>
        <v>AZRAD UMAR BIN SHAARI</v>
      </c>
      <c r="V750" t="str">
        <f t="shared" si="311"/>
        <v>FARHANA BINTI MUSTAPA</v>
      </c>
      <c r="W750" t="str">
        <f t="shared" si="312"/>
        <v>04-08-2020</v>
      </c>
      <c r="X750" t="str">
        <f t="shared" si="313"/>
        <v>RAZIMAH ANSAR AHMAD</v>
      </c>
      <c r="Y750" t="str">
        <f t="shared" si="314"/>
        <v>04-08-2020</v>
      </c>
      <c r="Z750" t="str">
        <f>"COS10200804 8404"</f>
        <v>COS10200804 8404</v>
      </c>
    </row>
    <row r="751" spans="1:26" x14ac:dyDescent="0.25">
      <c r="A751" t="str">
        <f t="shared" si="323"/>
        <v>04-08-2020 01:11:34</v>
      </c>
      <c r="B751" t="str">
        <f>"0000810209"</f>
        <v>0000810209</v>
      </c>
      <c r="C751" t="str">
        <f t="shared" si="324"/>
        <v>0000810206</v>
      </c>
      <c r="D751" t="str">
        <f t="shared" si="302"/>
        <v>73185</v>
      </c>
      <c r="E751" t="str">
        <f t="shared" si="303"/>
        <v>KFH-OPERATIONS DEPARTMENT</v>
      </c>
      <c r="F751" t="str">
        <f t="shared" si="304"/>
        <v>IBG</v>
      </c>
      <c r="G751" t="str">
        <f t="shared" si="317"/>
        <v>Refund COSHARE 10</v>
      </c>
      <c r="H751" s="2">
        <v>683.55</v>
      </c>
      <c r="I751" t="str">
        <f>"HASNAH BINTI ZAKARIA"</f>
        <v>HASNAH BINTI ZAKARIA</v>
      </c>
      <c r="J751" t="str">
        <f t="shared" si="325"/>
        <v>RHB BANK / RHB ISLAMIC BANK</v>
      </c>
      <c r="K751" t="str">
        <f>"10210840042764"</f>
        <v>10210840042764</v>
      </c>
      <c r="L751" t="str">
        <f t="shared" si="321"/>
        <v>04-08-2020</v>
      </c>
      <c r="M751" t="str">
        <f t="shared" si="321"/>
        <v>04-08-2020</v>
      </c>
      <c r="N751" t="str">
        <f t="shared" si="305"/>
        <v>001105018356</v>
      </c>
      <c r="O751" t="str">
        <f t="shared" si="306"/>
        <v>MYR</v>
      </c>
      <c r="P751" t="str">
        <f t="shared" si="322"/>
        <v>NIL</v>
      </c>
      <c r="Q751" t="str">
        <f t="shared" si="322"/>
        <v>NIL</v>
      </c>
      <c r="R751" t="str">
        <f t="shared" si="307"/>
        <v>Accepted</v>
      </c>
      <c r="S751" t="str">
        <f t="shared" si="308"/>
        <v>Approved</v>
      </c>
      <c r="T751" t="str">
        <f t="shared" si="309"/>
        <v>10.20.8.188</v>
      </c>
      <c r="U751" t="str">
        <f t="shared" si="310"/>
        <v>AZRAD UMAR BIN SHAARI</v>
      </c>
      <c r="V751" t="str">
        <f t="shared" si="311"/>
        <v>FARHANA BINTI MUSTAPA</v>
      </c>
      <c r="W751" t="str">
        <f t="shared" si="312"/>
        <v>04-08-2020</v>
      </c>
      <c r="X751" t="str">
        <f t="shared" si="313"/>
        <v>RAZIMAH ANSAR AHMAD</v>
      </c>
      <c r="Y751" t="str">
        <f t="shared" si="314"/>
        <v>04-08-2020</v>
      </c>
      <c r="Z751" t="str">
        <f>"COS10200804 8403"</f>
        <v>COS10200804 8403</v>
      </c>
    </row>
    <row r="752" spans="1:26" x14ac:dyDescent="0.25">
      <c r="A752" t="str">
        <f t="shared" si="323"/>
        <v>04-08-2020 01:11:34</v>
      </c>
      <c r="B752" t="str">
        <f>"0000810208"</f>
        <v>0000810208</v>
      </c>
      <c r="C752" t="str">
        <f t="shared" si="324"/>
        <v>0000810206</v>
      </c>
      <c r="D752" t="str">
        <f t="shared" si="302"/>
        <v>73185</v>
      </c>
      <c r="E752" t="str">
        <f t="shared" si="303"/>
        <v>KFH-OPERATIONS DEPARTMENT</v>
      </c>
      <c r="F752" t="str">
        <f t="shared" si="304"/>
        <v>IBG</v>
      </c>
      <c r="G752" t="str">
        <f t="shared" si="317"/>
        <v>Refund COSHARE 10</v>
      </c>
      <c r="H752" s="2">
        <v>270</v>
      </c>
      <c r="I752" t="str">
        <f>"HASKINAH BINTI BAHAROM"</f>
        <v>HASKINAH BINTI BAHAROM</v>
      </c>
      <c r="J752" t="str">
        <f t="shared" si="325"/>
        <v>RHB BANK / RHB ISLAMIC BANK</v>
      </c>
      <c r="K752" t="str">
        <f>"10206900119522"</f>
        <v>10206900119522</v>
      </c>
      <c r="L752" t="str">
        <f t="shared" si="321"/>
        <v>04-08-2020</v>
      </c>
      <c r="M752" t="str">
        <f t="shared" si="321"/>
        <v>04-08-2020</v>
      </c>
      <c r="N752" t="str">
        <f t="shared" si="305"/>
        <v>001105018356</v>
      </c>
      <c r="O752" t="str">
        <f t="shared" si="306"/>
        <v>MYR</v>
      </c>
      <c r="P752" t="str">
        <f t="shared" si="322"/>
        <v>NIL</v>
      </c>
      <c r="Q752" t="str">
        <f t="shared" si="322"/>
        <v>NIL</v>
      </c>
      <c r="R752" t="str">
        <f t="shared" si="307"/>
        <v>Accepted</v>
      </c>
      <c r="S752" t="str">
        <f t="shared" si="308"/>
        <v>Approved</v>
      </c>
      <c r="T752" t="str">
        <f t="shared" si="309"/>
        <v>10.20.8.188</v>
      </c>
      <c r="U752" t="str">
        <f t="shared" si="310"/>
        <v>AZRAD UMAR BIN SHAARI</v>
      </c>
      <c r="V752" t="str">
        <f t="shared" si="311"/>
        <v>FARHANA BINTI MUSTAPA</v>
      </c>
      <c r="W752" t="str">
        <f t="shared" si="312"/>
        <v>04-08-2020</v>
      </c>
      <c r="X752" t="str">
        <f t="shared" si="313"/>
        <v>RAZIMAH ANSAR AHMAD</v>
      </c>
      <c r="Y752" t="str">
        <f t="shared" si="314"/>
        <v>04-08-2020</v>
      </c>
      <c r="Z752" t="str">
        <f>"COS10200804 8402"</f>
        <v>COS10200804 8402</v>
      </c>
    </row>
    <row r="753" spans="1:26" x14ac:dyDescent="0.25">
      <c r="A753" t="str">
        <f t="shared" si="323"/>
        <v>04-08-2020 01:11:34</v>
      </c>
      <c r="B753" t="str">
        <f>"0000810207"</f>
        <v>0000810207</v>
      </c>
      <c r="C753" t="str">
        <f t="shared" si="324"/>
        <v>0000810206</v>
      </c>
      <c r="D753" t="str">
        <f t="shared" si="302"/>
        <v>73185</v>
      </c>
      <c r="E753" t="str">
        <f t="shared" si="303"/>
        <v>KFH-OPERATIONS DEPARTMENT</v>
      </c>
      <c r="F753" t="str">
        <f t="shared" si="304"/>
        <v>IBG</v>
      </c>
      <c r="G753" t="str">
        <f t="shared" si="317"/>
        <v>Refund COSHARE 10</v>
      </c>
      <c r="H753" s="2">
        <v>368.4</v>
      </c>
      <c r="I753" t="str">
        <f>"HASKINAH BINTI BAHAROM"</f>
        <v>HASKINAH BINTI BAHAROM</v>
      </c>
      <c r="J753" t="str">
        <f t="shared" si="325"/>
        <v>RHB BANK / RHB ISLAMIC BANK</v>
      </c>
      <c r="K753" t="str">
        <f>"10206900119522"</f>
        <v>10206900119522</v>
      </c>
      <c r="L753" t="str">
        <f t="shared" si="321"/>
        <v>04-08-2020</v>
      </c>
      <c r="M753" t="str">
        <f t="shared" si="321"/>
        <v>04-08-2020</v>
      </c>
      <c r="N753" t="str">
        <f t="shared" si="305"/>
        <v>001105018356</v>
      </c>
      <c r="O753" t="str">
        <f t="shared" si="306"/>
        <v>MYR</v>
      </c>
      <c r="P753" t="str">
        <f t="shared" si="322"/>
        <v>NIL</v>
      </c>
      <c r="Q753" t="str">
        <f t="shared" si="322"/>
        <v>NIL</v>
      </c>
      <c r="R753" t="str">
        <f t="shared" si="307"/>
        <v>Accepted</v>
      </c>
      <c r="S753" t="str">
        <f t="shared" si="308"/>
        <v>Approved</v>
      </c>
      <c r="T753" t="str">
        <f t="shared" si="309"/>
        <v>10.20.8.188</v>
      </c>
      <c r="U753" t="str">
        <f t="shared" si="310"/>
        <v>AZRAD UMAR BIN SHAARI</v>
      </c>
      <c r="V753" t="str">
        <f t="shared" si="311"/>
        <v>FARHANA BINTI MUSTAPA</v>
      </c>
      <c r="W753" t="str">
        <f t="shared" si="312"/>
        <v>04-08-2020</v>
      </c>
      <c r="X753" t="str">
        <f t="shared" si="313"/>
        <v>RAZIMAH ANSAR AHMAD</v>
      </c>
      <c r="Y753" t="str">
        <f t="shared" si="314"/>
        <v>04-08-2020</v>
      </c>
      <c r="Z753" t="str">
        <f>"COS10200804 8401"</f>
        <v>COS10200804 8401</v>
      </c>
    </row>
    <row r="754" spans="1:26" x14ac:dyDescent="0.25">
      <c r="A754" t="str">
        <f t="shared" ref="A754:A785" si="326">"04-08-2020 01:11:00"</f>
        <v>04-08-2020 01:11:00</v>
      </c>
      <c r="B754" t="str">
        <f>"0000810205"</f>
        <v>0000810205</v>
      </c>
      <c r="C754" t="str">
        <f t="shared" ref="C754:C785" si="327">"0000810005"</f>
        <v>0000810005</v>
      </c>
      <c r="D754" t="str">
        <f t="shared" si="302"/>
        <v>73185</v>
      </c>
      <c r="E754" t="str">
        <f t="shared" si="303"/>
        <v>KFH-OPERATIONS DEPARTMENT</v>
      </c>
      <c r="F754" t="str">
        <f t="shared" si="304"/>
        <v>IBG</v>
      </c>
      <c r="G754" t="str">
        <f t="shared" si="317"/>
        <v>Refund COSHARE 10</v>
      </c>
      <c r="H754" s="2">
        <v>386.2</v>
      </c>
      <c r="I754" t="str">
        <f>"HASANAH BINTI AYUP  NOORANA SAMEN"</f>
        <v>HASANAH BINTI AYUP  NOORANA SAMEN</v>
      </c>
      <c r="J754" t="str">
        <f t="shared" si="325"/>
        <v>RHB BANK / RHB ISLAMIC BANK</v>
      </c>
      <c r="K754" t="str">
        <f>"11125460009118"</f>
        <v>11125460009118</v>
      </c>
      <c r="L754" t="str">
        <f t="shared" si="321"/>
        <v>04-08-2020</v>
      </c>
      <c r="M754" t="str">
        <f t="shared" si="321"/>
        <v>04-08-2020</v>
      </c>
      <c r="N754" t="str">
        <f t="shared" si="305"/>
        <v>001105018356</v>
      </c>
      <c r="O754" t="str">
        <f t="shared" si="306"/>
        <v>MYR</v>
      </c>
      <c r="P754" t="str">
        <f t="shared" si="322"/>
        <v>NIL</v>
      </c>
      <c r="Q754" t="str">
        <f t="shared" si="322"/>
        <v>NIL</v>
      </c>
      <c r="R754" t="str">
        <f t="shared" si="307"/>
        <v>Accepted</v>
      </c>
      <c r="S754" t="str">
        <f t="shared" si="308"/>
        <v>Approved</v>
      </c>
      <c r="T754" t="str">
        <f t="shared" si="309"/>
        <v>10.20.8.188</v>
      </c>
      <c r="U754" t="str">
        <f t="shared" si="310"/>
        <v>AZRAD UMAR BIN SHAARI</v>
      </c>
      <c r="V754" t="str">
        <f t="shared" si="311"/>
        <v>FARHANA BINTI MUSTAPA</v>
      </c>
      <c r="W754" t="str">
        <f t="shared" si="312"/>
        <v>04-08-2020</v>
      </c>
      <c r="X754" t="str">
        <f t="shared" si="313"/>
        <v>RAZIMAH ANSAR AHMAD</v>
      </c>
      <c r="Y754" t="str">
        <f t="shared" si="314"/>
        <v>04-08-2020</v>
      </c>
      <c r="Z754" t="str">
        <f>"COS10200804 8400"</f>
        <v>COS10200804 8400</v>
      </c>
    </row>
    <row r="755" spans="1:26" x14ac:dyDescent="0.25">
      <c r="A755" t="str">
        <f t="shared" si="326"/>
        <v>04-08-2020 01:11:00</v>
      </c>
      <c r="B755" t="str">
        <f>"0000810204"</f>
        <v>0000810204</v>
      </c>
      <c r="C755" t="str">
        <f t="shared" si="327"/>
        <v>0000810005</v>
      </c>
      <c r="D755" t="str">
        <f t="shared" si="302"/>
        <v>73185</v>
      </c>
      <c r="E755" t="str">
        <f t="shared" si="303"/>
        <v>KFH-OPERATIONS DEPARTMENT</v>
      </c>
      <c r="F755" t="str">
        <f t="shared" si="304"/>
        <v>IBG</v>
      </c>
      <c r="G755" t="str">
        <f t="shared" si="317"/>
        <v>Refund COSHARE 10</v>
      </c>
      <c r="H755" s="2">
        <v>349</v>
      </c>
      <c r="I755" t="str">
        <f>"HAMZAH BIN SAYON"</f>
        <v>HAMZAH BIN SAYON</v>
      </c>
      <c r="J755" t="str">
        <f t="shared" si="325"/>
        <v>RHB BANK / RHB ISLAMIC BANK</v>
      </c>
      <c r="K755" t="str">
        <f>"10118310037096"</f>
        <v>10118310037096</v>
      </c>
      <c r="L755" t="str">
        <f t="shared" si="321"/>
        <v>04-08-2020</v>
      </c>
      <c r="M755" t="str">
        <f t="shared" si="321"/>
        <v>04-08-2020</v>
      </c>
      <c r="N755" t="str">
        <f t="shared" si="305"/>
        <v>001105018356</v>
      </c>
      <c r="O755" t="str">
        <f t="shared" si="306"/>
        <v>MYR</v>
      </c>
      <c r="P755" t="str">
        <f t="shared" si="322"/>
        <v>NIL</v>
      </c>
      <c r="Q755" t="str">
        <f t="shared" si="322"/>
        <v>NIL</v>
      </c>
      <c r="R755" t="str">
        <f t="shared" si="307"/>
        <v>Accepted</v>
      </c>
      <c r="S755" t="str">
        <f t="shared" si="308"/>
        <v>Approved</v>
      </c>
      <c r="T755" t="str">
        <f t="shared" si="309"/>
        <v>10.20.8.188</v>
      </c>
      <c r="U755" t="str">
        <f t="shared" si="310"/>
        <v>AZRAD UMAR BIN SHAARI</v>
      </c>
      <c r="V755" t="str">
        <f t="shared" si="311"/>
        <v>FARHANA BINTI MUSTAPA</v>
      </c>
      <c r="W755" t="str">
        <f t="shared" si="312"/>
        <v>04-08-2020</v>
      </c>
      <c r="X755" t="str">
        <f t="shared" si="313"/>
        <v>RAZIMAH ANSAR AHMAD</v>
      </c>
      <c r="Y755" t="str">
        <f t="shared" si="314"/>
        <v>04-08-2020</v>
      </c>
      <c r="Z755" t="str">
        <f>"COS10200804 8399"</f>
        <v>COS10200804 8399</v>
      </c>
    </row>
    <row r="756" spans="1:26" x14ac:dyDescent="0.25">
      <c r="A756" t="str">
        <f t="shared" si="326"/>
        <v>04-08-2020 01:11:00</v>
      </c>
      <c r="B756" t="str">
        <f>"0000810203"</f>
        <v>0000810203</v>
      </c>
      <c r="C756" t="str">
        <f t="shared" si="327"/>
        <v>0000810005</v>
      </c>
      <c r="D756" t="str">
        <f t="shared" si="302"/>
        <v>73185</v>
      </c>
      <c r="E756" t="str">
        <f t="shared" si="303"/>
        <v>KFH-OPERATIONS DEPARTMENT</v>
      </c>
      <c r="F756" t="str">
        <f t="shared" si="304"/>
        <v>IBG</v>
      </c>
      <c r="G756" t="str">
        <f t="shared" si="317"/>
        <v>Refund COSHARE 10</v>
      </c>
      <c r="H756" s="2">
        <v>759</v>
      </c>
      <c r="I756" t="str">
        <f>"HAMDAN BIN MAAN"</f>
        <v>HAMDAN BIN MAAN</v>
      </c>
      <c r="J756" t="str">
        <f t="shared" si="325"/>
        <v>RHB BANK / RHB ISLAMIC BANK</v>
      </c>
      <c r="K756" t="str">
        <f>"15104900096870"</f>
        <v>15104900096870</v>
      </c>
      <c r="L756" t="str">
        <f t="shared" si="321"/>
        <v>04-08-2020</v>
      </c>
      <c r="M756" t="str">
        <f t="shared" si="321"/>
        <v>04-08-2020</v>
      </c>
      <c r="N756" t="str">
        <f t="shared" si="305"/>
        <v>001105018356</v>
      </c>
      <c r="O756" t="str">
        <f t="shared" si="306"/>
        <v>MYR</v>
      </c>
      <c r="P756" t="str">
        <f t="shared" si="322"/>
        <v>NIL</v>
      </c>
      <c r="Q756" t="str">
        <f t="shared" si="322"/>
        <v>NIL</v>
      </c>
      <c r="R756" t="str">
        <f t="shared" si="307"/>
        <v>Accepted</v>
      </c>
      <c r="S756" t="str">
        <f t="shared" si="308"/>
        <v>Approved</v>
      </c>
      <c r="T756" t="str">
        <f t="shared" si="309"/>
        <v>10.20.8.188</v>
      </c>
      <c r="U756" t="str">
        <f t="shared" si="310"/>
        <v>AZRAD UMAR BIN SHAARI</v>
      </c>
      <c r="V756" t="str">
        <f t="shared" si="311"/>
        <v>FARHANA BINTI MUSTAPA</v>
      </c>
      <c r="W756" t="str">
        <f t="shared" si="312"/>
        <v>04-08-2020</v>
      </c>
      <c r="X756" t="str">
        <f t="shared" si="313"/>
        <v>RAZIMAH ANSAR AHMAD</v>
      </c>
      <c r="Y756" t="str">
        <f t="shared" si="314"/>
        <v>04-08-2020</v>
      </c>
      <c r="Z756" t="str">
        <f>"COS10200804 8398"</f>
        <v>COS10200804 8398</v>
      </c>
    </row>
    <row r="757" spans="1:26" x14ac:dyDescent="0.25">
      <c r="A757" t="str">
        <f t="shared" si="326"/>
        <v>04-08-2020 01:11:00</v>
      </c>
      <c r="B757" t="str">
        <f>"0000810202"</f>
        <v>0000810202</v>
      </c>
      <c r="C757" t="str">
        <f t="shared" si="327"/>
        <v>0000810005</v>
      </c>
      <c r="D757" t="str">
        <f t="shared" si="302"/>
        <v>73185</v>
      </c>
      <c r="E757" t="str">
        <f t="shared" si="303"/>
        <v>KFH-OPERATIONS DEPARTMENT</v>
      </c>
      <c r="F757" t="str">
        <f t="shared" si="304"/>
        <v>IBG</v>
      </c>
      <c r="G757" t="str">
        <f t="shared" si="317"/>
        <v>Refund COSHARE 10</v>
      </c>
      <c r="H757" s="2">
        <v>146.4</v>
      </c>
      <c r="I757" t="str">
        <f>"HAJIJAH BINTI MORNIE"</f>
        <v>HAJIJAH BINTI MORNIE</v>
      </c>
      <c r="J757" t="str">
        <f t="shared" si="325"/>
        <v>RHB BANK / RHB ISLAMIC BANK</v>
      </c>
      <c r="K757" t="str">
        <f>"11114650290483"</f>
        <v>11114650290483</v>
      </c>
      <c r="L757" t="str">
        <f t="shared" si="321"/>
        <v>04-08-2020</v>
      </c>
      <c r="M757" t="str">
        <f t="shared" si="321"/>
        <v>04-08-2020</v>
      </c>
      <c r="N757" t="str">
        <f t="shared" si="305"/>
        <v>001105018356</v>
      </c>
      <c r="O757" t="str">
        <f t="shared" si="306"/>
        <v>MYR</v>
      </c>
      <c r="P757" t="str">
        <f t="shared" si="322"/>
        <v>NIL</v>
      </c>
      <c r="Q757" t="str">
        <f t="shared" si="322"/>
        <v>NIL</v>
      </c>
      <c r="R757" t="str">
        <f t="shared" si="307"/>
        <v>Accepted</v>
      </c>
      <c r="S757" t="str">
        <f t="shared" si="308"/>
        <v>Approved</v>
      </c>
      <c r="T757" t="str">
        <f t="shared" si="309"/>
        <v>10.20.8.188</v>
      </c>
      <c r="U757" t="str">
        <f t="shared" si="310"/>
        <v>AZRAD UMAR BIN SHAARI</v>
      </c>
      <c r="V757" t="str">
        <f t="shared" si="311"/>
        <v>FARHANA BINTI MUSTAPA</v>
      </c>
      <c r="W757" t="str">
        <f t="shared" si="312"/>
        <v>04-08-2020</v>
      </c>
      <c r="X757" t="str">
        <f t="shared" si="313"/>
        <v>RAZIMAH ANSAR AHMAD</v>
      </c>
      <c r="Y757" t="str">
        <f t="shared" si="314"/>
        <v>04-08-2020</v>
      </c>
      <c r="Z757" t="str">
        <f>"COS10200804 8397"</f>
        <v>COS10200804 8397</v>
      </c>
    </row>
    <row r="758" spans="1:26" x14ac:dyDescent="0.25">
      <c r="A758" t="str">
        <f t="shared" si="326"/>
        <v>04-08-2020 01:11:00</v>
      </c>
      <c r="B758" t="str">
        <f>"0000810201"</f>
        <v>0000810201</v>
      </c>
      <c r="C758" t="str">
        <f t="shared" si="327"/>
        <v>0000810005</v>
      </c>
      <c r="D758" t="str">
        <f t="shared" si="302"/>
        <v>73185</v>
      </c>
      <c r="E758" t="str">
        <f t="shared" si="303"/>
        <v>KFH-OPERATIONS DEPARTMENT</v>
      </c>
      <c r="F758" t="str">
        <f t="shared" si="304"/>
        <v>IBG</v>
      </c>
      <c r="G758" t="str">
        <f t="shared" si="317"/>
        <v>Refund COSHARE 10</v>
      </c>
      <c r="H758" s="2">
        <v>319</v>
      </c>
      <c r="I758" t="str">
        <f>"HAFIZAINI BIN MD AKIL"</f>
        <v>HAFIZAINI BIN MD AKIL</v>
      </c>
      <c r="J758" t="str">
        <f t="shared" si="325"/>
        <v>RHB BANK / RHB ISLAMIC BANK</v>
      </c>
      <c r="K758" t="str">
        <f>"16226900005800"</f>
        <v>16226900005800</v>
      </c>
      <c r="L758" t="str">
        <f t="shared" si="321"/>
        <v>04-08-2020</v>
      </c>
      <c r="M758" t="str">
        <f t="shared" si="321"/>
        <v>04-08-2020</v>
      </c>
      <c r="N758" t="str">
        <f t="shared" si="305"/>
        <v>001105018356</v>
      </c>
      <c r="O758" t="str">
        <f t="shared" si="306"/>
        <v>MYR</v>
      </c>
      <c r="P758" t="str">
        <f t="shared" si="322"/>
        <v>NIL</v>
      </c>
      <c r="Q758" t="str">
        <f t="shared" si="322"/>
        <v>NIL</v>
      </c>
      <c r="R758" t="str">
        <f t="shared" si="307"/>
        <v>Accepted</v>
      </c>
      <c r="S758" t="str">
        <f t="shared" si="308"/>
        <v>Approved</v>
      </c>
      <c r="T758" t="str">
        <f t="shared" si="309"/>
        <v>10.20.8.188</v>
      </c>
      <c r="U758" t="str">
        <f t="shared" si="310"/>
        <v>AZRAD UMAR BIN SHAARI</v>
      </c>
      <c r="V758" t="str">
        <f t="shared" si="311"/>
        <v>FARHANA BINTI MUSTAPA</v>
      </c>
      <c r="W758" t="str">
        <f t="shared" si="312"/>
        <v>04-08-2020</v>
      </c>
      <c r="X758" t="str">
        <f t="shared" si="313"/>
        <v>RAZIMAH ANSAR AHMAD</v>
      </c>
      <c r="Y758" t="str">
        <f t="shared" si="314"/>
        <v>04-08-2020</v>
      </c>
      <c r="Z758" t="str">
        <f>"COS10200804 8396"</f>
        <v>COS10200804 8396</v>
      </c>
    </row>
    <row r="759" spans="1:26" x14ac:dyDescent="0.25">
      <c r="A759" t="str">
        <f t="shared" si="326"/>
        <v>04-08-2020 01:11:00</v>
      </c>
      <c r="B759" t="str">
        <f>"0000810200"</f>
        <v>0000810200</v>
      </c>
      <c r="C759" t="str">
        <f t="shared" si="327"/>
        <v>0000810005</v>
      </c>
      <c r="D759" t="str">
        <f t="shared" si="302"/>
        <v>73185</v>
      </c>
      <c r="E759" t="str">
        <f t="shared" si="303"/>
        <v>KFH-OPERATIONS DEPARTMENT</v>
      </c>
      <c r="F759" t="str">
        <f t="shared" si="304"/>
        <v>IBG</v>
      </c>
      <c r="G759" t="str">
        <f t="shared" si="317"/>
        <v>Refund COSHARE 10</v>
      </c>
      <c r="H759" s="2">
        <v>67.55</v>
      </c>
      <c r="I759" t="str">
        <f>"FAUZUKI BIN ISMAIL"</f>
        <v>FAUZUKI BIN ISMAIL</v>
      </c>
      <c r="J759" t="str">
        <f t="shared" si="325"/>
        <v>RHB BANK / RHB ISLAMIC BANK</v>
      </c>
      <c r="K759" t="str">
        <f>"16419700004818"</f>
        <v>16419700004818</v>
      </c>
      <c r="L759" t="str">
        <f t="shared" si="321"/>
        <v>04-08-2020</v>
      </c>
      <c r="M759" t="str">
        <f t="shared" si="321"/>
        <v>04-08-2020</v>
      </c>
      <c r="N759" t="str">
        <f t="shared" si="305"/>
        <v>001105018356</v>
      </c>
      <c r="O759" t="str">
        <f t="shared" si="306"/>
        <v>MYR</v>
      </c>
      <c r="P759" t="str">
        <f t="shared" si="322"/>
        <v>NIL</v>
      </c>
      <c r="Q759" t="str">
        <f t="shared" si="322"/>
        <v>NIL</v>
      </c>
      <c r="R759" t="str">
        <f t="shared" si="307"/>
        <v>Accepted</v>
      </c>
      <c r="S759" t="str">
        <f t="shared" si="308"/>
        <v>Approved</v>
      </c>
      <c r="T759" t="str">
        <f t="shared" si="309"/>
        <v>10.20.8.188</v>
      </c>
      <c r="U759" t="str">
        <f t="shared" si="310"/>
        <v>AZRAD UMAR BIN SHAARI</v>
      </c>
      <c r="V759" t="str">
        <f t="shared" si="311"/>
        <v>FARHANA BINTI MUSTAPA</v>
      </c>
      <c r="W759" t="str">
        <f t="shared" si="312"/>
        <v>04-08-2020</v>
      </c>
      <c r="X759" t="str">
        <f t="shared" si="313"/>
        <v>RAZIMAH ANSAR AHMAD</v>
      </c>
      <c r="Y759" t="str">
        <f t="shared" si="314"/>
        <v>04-08-2020</v>
      </c>
      <c r="Z759" t="str">
        <f>"COS10200804 8395"</f>
        <v>COS10200804 8395</v>
      </c>
    </row>
    <row r="760" spans="1:26" x14ac:dyDescent="0.25">
      <c r="A760" t="str">
        <f t="shared" si="326"/>
        <v>04-08-2020 01:11:00</v>
      </c>
      <c r="B760" t="str">
        <f>"0000810199"</f>
        <v>0000810199</v>
      </c>
      <c r="C760" t="str">
        <f t="shared" si="327"/>
        <v>0000810005</v>
      </c>
      <c r="D760" t="str">
        <f t="shared" si="302"/>
        <v>73185</v>
      </c>
      <c r="E760" t="str">
        <f t="shared" si="303"/>
        <v>KFH-OPERATIONS DEPARTMENT</v>
      </c>
      <c r="F760" t="str">
        <f t="shared" si="304"/>
        <v>IBG</v>
      </c>
      <c r="G760" t="str">
        <f t="shared" si="317"/>
        <v>Refund COSHARE 10</v>
      </c>
      <c r="H760" s="2">
        <v>1259.25</v>
      </c>
      <c r="I760" t="str">
        <f>"EVELYN DIAN"</f>
        <v>EVELYN DIAN</v>
      </c>
      <c r="J760" t="str">
        <f t="shared" si="325"/>
        <v>RHB BANK / RHB ISLAMIC BANK</v>
      </c>
      <c r="K760" t="str">
        <f>"11002800399230"</f>
        <v>11002800399230</v>
      </c>
      <c r="L760" t="str">
        <f t="shared" si="321"/>
        <v>04-08-2020</v>
      </c>
      <c r="M760" t="str">
        <f t="shared" si="321"/>
        <v>04-08-2020</v>
      </c>
      <c r="N760" t="str">
        <f t="shared" si="305"/>
        <v>001105018356</v>
      </c>
      <c r="O760" t="str">
        <f t="shared" si="306"/>
        <v>MYR</v>
      </c>
      <c r="P760" t="str">
        <f t="shared" si="322"/>
        <v>NIL</v>
      </c>
      <c r="Q760" t="str">
        <f t="shared" si="322"/>
        <v>NIL</v>
      </c>
      <c r="R760" t="str">
        <f t="shared" si="307"/>
        <v>Accepted</v>
      </c>
      <c r="S760" t="str">
        <f t="shared" si="308"/>
        <v>Approved</v>
      </c>
      <c r="T760" t="str">
        <f t="shared" si="309"/>
        <v>10.20.8.188</v>
      </c>
      <c r="U760" t="str">
        <f t="shared" si="310"/>
        <v>AZRAD UMAR BIN SHAARI</v>
      </c>
      <c r="V760" t="str">
        <f t="shared" si="311"/>
        <v>FARHANA BINTI MUSTAPA</v>
      </c>
      <c r="W760" t="str">
        <f t="shared" si="312"/>
        <v>04-08-2020</v>
      </c>
      <c r="X760" t="str">
        <f t="shared" si="313"/>
        <v>RAZIMAH ANSAR AHMAD</v>
      </c>
      <c r="Y760" t="str">
        <f t="shared" si="314"/>
        <v>04-08-2020</v>
      </c>
      <c r="Z760" t="str">
        <f>"COS10200804 8394"</f>
        <v>COS10200804 8394</v>
      </c>
    </row>
    <row r="761" spans="1:26" x14ac:dyDescent="0.25">
      <c r="A761" t="str">
        <f t="shared" si="326"/>
        <v>04-08-2020 01:11:00</v>
      </c>
      <c r="B761" t="str">
        <f>"0000810198"</f>
        <v>0000810198</v>
      </c>
      <c r="C761" t="str">
        <f t="shared" si="327"/>
        <v>0000810005</v>
      </c>
      <c r="D761" t="str">
        <f t="shared" si="302"/>
        <v>73185</v>
      </c>
      <c r="E761" t="str">
        <f t="shared" si="303"/>
        <v>KFH-OPERATIONS DEPARTMENT</v>
      </c>
      <c r="F761" t="str">
        <f t="shared" si="304"/>
        <v>IBG</v>
      </c>
      <c r="G761" t="str">
        <f t="shared" si="317"/>
        <v>Refund COSHARE 10</v>
      </c>
      <c r="H761" s="2">
        <v>835</v>
      </c>
      <c r="I761" t="str">
        <f>"ENTABA ANAK DINGGAI"</f>
        <v>ENTABA ANAK DINGGAI</v>
      </c>
      <c r="J761" t="str">
        <f t="shared" si="325"/>
        <v>RHB BANK / RHB ISLAMIC BANK</v>
      </c>
      <c r="K761" t="str">
        <f>"11117350006571"</f>
        <v>11117350006571</v>
      </c>
      <c r="L761" t="str">
        <f t="shared" si="321"/>
        <v>04-08-2020</v>
      </c>
      <c r="M761" t="str">
        <f t="shared" si="321"/>
        <v>04-08-2020</v>
      </c>
      <c r="N761" t="str">
        <f t="shared" si="305"/>
        <v>001105018356</v>
      </c>
      <c r="O761" t="str">
        <f t="shared" si="306"/>
        <v>MYR</v>
      </c>
      <c r="P761" t="str">
        <f t="shared" si="322"/>
        <v>NIL</v>
      </c>
      <c r="Q761" t="str">
        <f t="shared" si="322"/>
        <v>NIL</v>
      </c>
      <c r="R761" t="str">
        <f t="shared" si="307"/>
        <v>Accepted</v>
      </c>
      <c r="S761" t="str">
        <f t="shared" si="308"/>
        <v>Approved</v>
      </c>
      <c r="T761" t="str">
        <f t="shared" si="309"/>
        <v>10.20.8.188</v>
      </c>
      <c r="U761" t="str">
        <f t="shared" si="310"/>
        <v>AZRAD UMAR BIN SHAARI</v>
      </c>
      <c r="V761" t="str">
        <f t="shared" si="311"/>
        <v>FARHANA BINTI MUSTAPA</v>
      </c>
      <c r="W761" t="str">
        <f t="shared" si="312"/>
        <v>04-08-2020</v>
      </c>
      <c r="X761" t="str">
        <f t="shared" si="313"/>
        <v>RAZIMAH ANSAR AHMAD</v>
      </c>
      <c r="Y761" t="str">
        <f t="shared" si="314"/>
        <v>04-08-2020</v>
      </c>
      <c r="Z761" t="str">
        <f>"COS10200804 8393"</f>
        <v>COS10200804 8393</v>
      </c>
    </row>
    <row r="762" spans="1:26" x14ac:dyDescent="0.25">
      <c r="A762" t="str">
        <f t="shared" si="326"/>
        <v>04-08-2020 01:11:00</v>
      </c>
      <c r="B762" t="str">
        <f>"0000810197"</f>
        <v>0000810197</v>
      </c>
      <c r="C762" t="str">
        <f t="shared" si="327"/>
        <v>0000810005</v>
      </c>
      <c r="D762" t="str">
        <f t="shared" si="302"/>
        <v>73185</v>
      </c>
      <c r="E762" t="str">
        <f t="shared" si="303"/>
        <v>KFH-OPERATIONS DEPARTMENT</v>
      </c>
      <c r="F762" t="str">
        <f t="shared" si="304"/>
        <v>IBG</v>
      </c>
      <c r="G762" t="str">
        <f t="shared" si="317"/>
        <v>Refund COSHARE 10</v>
      </c>
      <c r="H762" s="2">
        <v>1509.75</v>
      </c>
      <c r="I762" t="str">
        <f>"EDDIE BIN ROSDIN"</f>
        <v>EDDIE BIN ROSDIN</v>
      </c>
      <c r="J762" t="str">
        <f t="shared" si="325"/>
        <v>RHB BANK / RHB ISLAMIC BANK</v>
      </c>
      <c r="K762" t="str">
        <f>"11126700030629"</f>
        <v>11126700030629</v>
      </c>
      <c r="L762" t="str">
        <f t="shared" si="321"/>
        <v>04-08-2020</v>
      </c>
      <c r="M762" t="str">
        <f t="shared" si="321"/>
        <v>04-08-2020</v>
      </c>
      <c r="N762" t="str">
        <f t="shared" si="305"/>
        <v>001105018356</v>
      </c>
      <c r="O762" t="str">
        <f t="shared" si="306"/>
        <v>MYR</v>
      </c>
      <c r="P762" t="str">
        <f t="shared" si="322"/>
        <v>NIL</v>
      </c>
      <c r="Q762" t="str">
        <f t="shared" si="322"/>
        <v>NIL</v>
      </c>
      <c r="R762" t="str">
        <f t="shared" si="307"/>
        <v>Accepted</v>
      </c>
      <c r="S762" t="str">
        <f t="shared" si="308"/>
        <v>Approved</v>
      </c>
      <c r="T762" t="str">
        <f t="shared" si="309"/>
        <v>10.20.8.188</v>
      </c>
      <c r="U762" t="str">
        <f t="shared" si="310"/>
        <v>AZRAD UMAR BIN SHAARI</v>
      </c>
      <c r="V762" t="str">
        <f t="shared" si="311"/>
        <v>FARHANA BINTI MUSTAPA</v>
      </c>
      <c r="W762" t="str">
        <f t="shared" si="312"/>
        <v>04-08-2020</v>
      </c>
      <c r="X762" t="str">
        <f t="shared" si="313"/>
        <v>RAZIMAH ANSAR AHMAD</v>
      </c>
      <c r="Y762" t="str">
        <f t="shared" si="314"/>
        <v>04-08-2020</v>
      </c>
      <c r="Z762" t="str">
        <f>"COS10200804 8392"</f>
        <v>COS10200804 8392</v>
      </c>
    </row>
    <row r="763" spans="1:26" x14ac:dyDescent="0.25">
      <c r="A763" t="str">
        <f t="shared" si="326"/>
        <v>04-08-2020 01:11:00</v>
      </c>
      <c r="B763" t="str">
        <f>"0000810196"</f>
        <v>0000810196</v>
      </c>
      <c r="C763" t="str">
        <f t="shared" si="327"/>
        <v>0000810005</v>
      </c>
      <c r="D763" t="str">
        <f t="shared" si="302"/>
        <v>73185</v>
      </c>
      <c r="E763" t="str">
        <f t="shared" si="303"/>
        <v>KFH-OPERATIONS DEPARTMENT</v>
      </c>
      <c r="F763" t="str">
        <f t="shared" si="304"/>
        <v>IBG</v>
      </c>
      <c r="G763" t="str">
        <f t="shared" si="317"/>
        <v>Refund COSHARE 10</v>
      </c>
      <c r="H763" s="2">
        <v>276</v>
      </c>
      <c r="I763" t="str">
        <f>"EDDIE BIN ROSDIN"</f>
        <v>EDDIE BIN ROSDIN</v>
      </c>
      <c r="J763" t="str">
        <f t="shared" si="325"/>
        <v>RHB BANK / RHB ISLAMIC BANK</v>
      </c>
      <c r="K763" t="str">
        <f>"11126700030629"</f>
        <v>11126700030629</v>
      </c>
      <c r="L763" t="str">
        <f t="shared" si="321"/>
        <v>04-08-2020</v>
      </c>
      <c r="M763" t="str">
        <f t="shared" si="321"/>
        <v>04-08-2020</v>
      </c>
      <c r="N763" t="str">
        <f t="shared" si="305"/>
        <v>001105018356</v>
      </c>
      <c r="O763" t="str">
        <f t="shared" si="306"/>
        <v>MYR</v>
      </c>
      <c r="P763" t="str">
        <f t="shared" si="322"/>
        <v>NIL</v>
      </c>
      <c r="Q763" t="str">
        <f t="shared" si="322"/>
        <v>NIL</v>
      </c>
      <c r="R763" t="str">
        <f t="shared" si="307"/>
        <v>Accepted</v>
      </c>
      <c r="S763" t="str">
        <f t="shared" si="308"/>
        <v>Approved</v>
      </c>
      <c r="T763" t="str">
        <f t="shared" si="309"/>
        <v>10.20.8.188</v>
      </c>
      <c r="U763" t="str">
        <f t="shared" si="310"/>
        <v>AZRAD UMAR BIN SHAARI</v>
      </c>
      <c r="V763" t="str">
        <f t="shared" si="311"/>
        <v>FARHANA BINTI MUSTAPA</v>
      </c>
      <c r="W763" t="str">
        <f t="shared" si="312"/>
        <v>04-08-2020</v>
      </c>
      <c r="X763" t="str">
        <f t="shared" si="313"/>
        <v>RAZIMAH ANSAR AHMAD</v>
      </c>
      <c r="Y763" t="str">
        <f t="shared" si="314"/>
        <v>04-08-2020</v>
      </c>
      <c r="Z763" t="str">
        <f>"COS10200804 8391"</f>
        <v>COS10200804 8391</v>
      </c>
    </row>
    <row r="764" spans="1:26" x14ac:dyDescent="0.25">
      <c r="A764" t="str">
        <f t="shared" si="326"/>
        <v>04-08-2020 01:11:00</v>
      </c>
      <c r="B764" t="str">
        <f>"0000810195"</f>
        <v>0000810195</v>
      </c>
      <c r="C764" t="str">
        <f t="shared" si="327"/>
        <v>0000810005</v>
      </c>
      <c r="D764" t="str">
        <f t="shared" si="302"/>
        <v>73185</v>
      </c>
      <c r="E764" t="str">
        <f t="shared" si="303"/>
        <v>KFH-OPERATIONS DEPARTMENT</v>
      </c>
      <c r="F764" t="str">
        <f t="shared" si="304"/>
        <v>IBG</v>
      </c>
      <c r="G764" t="str">
        <f t="shared" si="317"/>
        <v>Refund COSHARE 10</v>
      </c>
      <c r="H764" s="2">
        <v>142.75</v>
      </c>
      <c r="I764" t="str">
        <f>"DOUGLAS SHYAM ANAK EDWARD"</f>
        <v>DOUGLAS SHYAM ANAK EDWARD</v>
      </c>
      <c r="J764" t="str">
        <f t="shared" si="325"/>
        <v>RHB BANK / RHB ISLAMIC BANK</v>
      </c>
      <c r="K764" t="str">
        <f>"11814700031944"</f>
        <v>11814700031944</v>
      </c>
      <c r="L764" t="str">
        <f t="shared" si="321"/>
        <v>04-08-2020</v>
      </c>
      <c r="M764" t="str">
        <f t="shared" si="321"/>
        <v>04-08-2020</v>
      </c>
      <c r="N764" t="str">
        <f t="shared" si="305"/>
        <v>001105018356</v>
      </c>
      <c r="O764" t="str">
        <f t="shared" si="306"/>
        <v>MYR</v>
      </c>
      <c r="P764" t="str">
        <f t="shared" si="322"/>
        <v>NIL</v>
      </c>
      <c r="Q764" t="str">
        <f t="shared" si="322"/>
        <v>NIL</v>
      </c>
      <c r="R764" t="str">
        <f t="shared" si="307"/>
        <v>Accepted</v>
      </c>
      <c r="S764" t="str">
        <f t="shared" si="308"/>
        <v>Approved</v>
      </c>
      <c r="T764" t="str">
        <f t="shared" si="309"/>
        <v>10.20.8.188</v>
      </c>
      <c r="U764" t="str">
        <f t="shared" si="310"/>
        <v>AZRAD UMAR BIN SHAARI</v>
      </c>
      <c r="V764" t="str">
        <f t="shared" si="311"/>
        <v>FARHANA BINTI MUSTAPA</v>
      </c>
      <c r="W764" t="str">
        <f t="shared" si="312"/>
        <v>04-08-2020</v>
      </c>
      <c r="X764" t="str">
        <f t="shared" si="313"/>
        <v>RAZIMAH ANSAR AHMAD</v>
      </c>
      <c r="Y764" t="str">
        <f t="shared" si="314"/>
        <v>04-08-2020</v>
      </c>
      <c r="Z764" t="str">
        <f>"COS10200804 8390"</f>
        <v>COS10200804 8390</v>
      </c>
    </row>
    <row r="765" spans="1:26" x14ac:dyDescent="0.25">
      <c r="A765" t="str">
        <f t="shared" si="326"/>
        <v>04-08-2020 01:11:00</v>
      </c>
      <c r="B765" t="str">
        <f>"0000810194"</f>
        <v>0000810194</v>
      </c>
      <c r="C765" t="str">
        <f t="shared" si="327"/>
        <v>0000810005</v>
      </c>
      <c r="D765" t="str">
        <f t="shared" si="302"/>
        <v>73185</v>
      </c>
      <c r="E765" t="str">
        <f t="shared" si="303"/>
        <v>KFH-OPERATIONS DEPARTMENT</v>
      </c>
      <c r="F765" t="str">
        <f t="shared" si="304"/>
        <v>IBG</v>
      </c>
      <c r="G765" t="str">
        <f t="shared" si="317"/>
        <v>Refund COSHARE 10</v>
      </c>
      <c r="H765" s="2">
        <v>943.05</v>
      </c>
      <c r="I765" t="str">
        <f>"DIANA BINTI JUMAIN"</f>
        <v>DIANA BINTI JUMAIN</v>
      </c>
      <c r="J765" t="str">
        <f t="shared" si="325"/>
        <v>RHB BANK / RHB ISLAMIC BANK</v>
      </c>
      <c r="K765" t="str">
        <f>"11114650197157"</f>
        <v>11114650197157</v>
      </c>
      <c r="L765" t="str">
        <f t="shared" si="321"/>
        <v>04-08-2020</v>
      </c>
      <c r="M765" t="str">
        <f t="shared" si="321"/>
        <v>04-08-2020</v>
      </c>
      <c r="N765" t="str">
        <f t="shared" si="305"/>
        <v>001105018356</v>
      </c>
      <c r="O765" t="str">
        <f t="shared" si="306"/>
        <v>MYR</v>
      </c>
      <c r="P765" t="str">
        <f t="shared" si="322"/>
        <v>NIL</v>
      </c>
      <c r="Q765" t="str">
        <f t="shared" si="322"/>
        <v>NIL</v>
      </c>
      <c r="R765" t="str">
        <f t="shared" si="307"/>
        <v>Accepted</v>
      </c>
      <c r="S765" t="str">
        <f t="shared" si="308"/>
        <v>Approved</v>
      </c>
      <c r="T765" t="str">
        <f t="shared" si="309"/>
        <v>10.20.8.188</v>
      </c>
      <c r="U765" t="str">
        <f t="shared" si="310"/>
        <v>AZRAD UMAR BIN SHAARI</v>
      </c>
      <c r="V765" t="str">
        <f t="shared" si="311"/>
        <v>FARHANA BINTI MUSTAPA</v>
      </c>
      <c r="W765" t="str">
        <f t="shared" si="312"/>
        <v>04-08-2020</v>
      </c>
      <c r="X765" t="str">
        <f t="shared" si="313"/>
        <v>RAZIMAH ANSAR AHMAD</v>
      </c>
      <c r="Y765" t="str">
        <f t="shared" si="314"/>
        <v>04-08-2020</v>
      </c>
      <c r="Z765" t="str">
        <f>"COS10200804 8389"</f>
        <v>COS10200804 8389</v>
      </c>
    </row>
    <row r="766" spans="1:26" x14ac:dyDescent="0.25">
      <c r="A766" t="str">
        <f t="shared" si="326"/>
        <v>04-08-2020 01:11:00</v>
      </c>
      <c r="B766" t="str">
        <f>"0000810193"</f>
        <v>0000810193</v>
      </c>
      <c r="C766" t="str">
        <f t="shared" si="327"/>
        <v>0000810005</v>
      </c>
      <c r="D766" t="str">
        <f t="shared" si="302"/>
        <v>73185</v>
      </c>
      <c r="E766" t="str">
        <f t="shared" si="303"/>
        <v>KFH-OPERATIONS DEPARTMENT</v>
      </c>
      <c r="F766" t="str">
        <f t="shared" si="304"/>
        <v>IBG</v>
      </c>
      <c r="G766" t="str">
        <f t="shared" si="317"/>
        <v>Refund COSHARE 10</v>
      </c>
      <c r="H766" s="2">
        <v>759</v>
      </c>
      <c r="I766" t="str">
        <f>"DAYANG SUHANA BINTI AWANG BAHRIN"</f>
        <v>DAYANG SUHANA BINTI AWANG BAHRIN</v>
      </c>
      <c r="J766" t="str">
        <f t="shared" si="325"/>
        <v>RHB BANK / RHB ISLAMIC BANK</v>
      </c>
      <c r="K766" t="str">
        <f>"11114600086912"</f>
        <v>11114600086912</v>
      </c>
      <c r="L766" t="str">
        <f t="shared" si="321"/>
        <v>04-08-2020</v>
      </c>
      <c r="M766" t="str">
        <f t="shared" si="321"/>
        <v>04-08-2020</v>
      </c>
      <c r="N766" t="str">
        <f t="shared" si="305"/>
        <v>001105018356</v>
      </c>
      <c r="O766" t="str">
        <f t="shared" si="306"/>
        <v>MYR</v>
      </c>
      <c r="P766" t="str">
        <f t="shared" si="322"/>
        <v>NIL</v>
      </c>
      <c r="Q766" t="str">
        <f t="shared" si="322"/>
        <v>NIL</v>
      </c>
      <c r="R766" t="str">
        <f t="shared" si="307"/>
        <v>Accepted</v>
      </c>
      <c r="S766" t="str">
        <f t="shared" si="308"/>
        <v>Approved</v>
      </c>
      <c r="T766" t="str">
        <f t="shared" si="309"/>
        <v>10.20.8.188</v>
      </c>
      <c r="U766" t="str">
        <f t="shared" si="310"/>
        <v>AZRAD UMAR BIN SHAARI</v>
      </c>
      <c r="V766" t="str">
        <f t="shared" si="311"/>
        <v>FARHANA BINTI MUSTAPA</v>
      </c>
      <c r="W766" t="str">
        <f t="shared" si="312"/>
        <v>04-08-2020</v>
      </c>
      <c r="X766" t="str">
        <f t="shared" si="313"/>
        <v>RAZIMAH ANSAR AHMAD</v>
      </c>
      <c r="Y766" t="str">
        <f t="shared" si="314"/>
        <v>04-08-2020</v>
      </c>
      <c r="Z766" t="str">
        <f>"COS10200804 8388"</f>
        <v>COS10200804 8388</v>
      </c>
    </row>
    <row r="767" spans="1:26" x14ac:dyDescent="0.25">
      <c r="A767" t="str">
        <f t="shared" si="326"/>
        <v>04-08-2020 01:11:00</v>
      </c>
      <c r="B767" t="str">
        <f>"0000810192"</f>
        <v>0000810192</v>
      </c>
      <c r="C767" t="str">
        <f t="shared" si="327"/>
        <v>0000810005</v>
      </c>
      <c r="D767" t="str">
        <f t="shared" si="302"/>
        <v>73185</v>
      </c>
      <c r="E767" t="str">
        <f t="shared" si="303"/>
        <v>KFH-OPERATIONS DEPARTMENT</v>
      </c>
      <c r="F767" t="str">
        <f t="shared" si="304"/>
        <v>IBG</v>
      </c>
      <c r="G767" t="str">
        <f t="shared" si="317"/>
        <v>Refund COSHARE 10</v>
      </c>
      <c r="H767" s="2">
        <v>461.75</v>
      </c>
      <c r="I767" t="str">
        <f>"DAYANG NUR HAJAR BINTI ABANG MADEHIE"</f>
        <v>DAYANG NUR HAJAR BINTI ABANG MADEHIE</v>
      </c>
      <c r="J767" t="str">
        <f t="shared" si="325"/>
        <v>RHB BANK / RHB ISLAMIC BANK</v>
      </c>
      <c r="K767" t="str">
        <f>"11114600084332"</f>
        <v>11114600084332</v>
      </c>
      <c r="L767" t="str">
        <f t="shared" ref="L767:M786" si="328">"04-08-2020"</f>
        <v>04-08-2020</v>
      </c>
      <c r="M767" t="str">
        <f t="shared" si="328"/>
        <v>04-08-2020</v>
      </c>
      <c r="N767" t="str">
        <f t="shared" si="305"/>
        <v>001105018356</v>
      </c>
      <c r="O767" t="str">
        <f t="shared" si="306"/>
        <v>MYR</v>
      </c>
      <c r="P767" t="str">
        <f t="shared" ref="P767:Q786" si="329">"NIL"</f>
        <v>NIL</v>
      </c>
      <c r="Q767" t="str">
        <f t="shared" si="329"/>
        <v>NIL</v>
      </c>
      <c r="R767" t="str">
        <f t="shared" si="307"/>
        <v>Accepted</v>
      </c>
      <c r="S767" t="str">
        <f t="shared" si="308"/>
        <v>Approved</v>
      </c>
      <c r="T767" t="str">
        <f t="shared" si="309"/>
        <v>10.20.8.188</v>
      </c>
      <c r="U767" t="str">
        <f t="shared" si="310"/>
        <v>AZRAD UMAR BIN SHAARI</v>
      </c>
      <c r="V767" t="str">
        <f t="shared" si="311"/>
        <v>FARHANA BINTI MUSTAPA</v>
      </c>
      <c r="W767" t="str">
        <f t="shared" si="312"/>
        <v>04-08-2020</v>
      </c>
      <c r="X767" t="str">
        <f t="shared" si="313"/>
        <v>RAZIMAH ANSAR AHMAD</v>
      </c>
      <c r="Y767" t="str">
        <f t="shared" si="314"/>
        <v>04-08-2020</v>
      </c>
      <c r="Z767" t="str">
        <f>"COS10200804 8387"</f>
        <v>COS10200804 8387</v>
      </c>
    </row>
    <row r="768" spans="1:26" x14ac:dyDescent="0.25">
      <c r="A768" t="str">
        <f t="shared" si="326"/>
        <v>04-08-2020 01:11:00</v>
      </c>
      <c r="B768" t="str">
        <f>"0000810191"</f>
        <v>0000810191</v>
      </c>
      <c r="C768" t="str">
        <f t="shared" si="327"/>
        <v>0000810005</v>
      </c>
      <c r="D768" t="str">
        <f t="shared" si="302"/>
        <v>73185</v>
      </c>
      <c r="E768" t="str">
        <f t="shared" si="303"/>
        <v>KFH-OPERATIONS DEPARTMENT</v>
      </c>
      <c r="F768" t="str">
        <f t="shared" si="304"/>
        <v>IBG</v>
      </c>
      <c r="G768" t="str">
        <f t="shared" si="317"/>
        <v>Refund COSHARE 10</v>
      </c>
      <c r="H768" s="2">
        <v>291</v>
      </c>
      <c r="I768" t="str">
        <f>"DALUSIN BIN SAMAT"</f>
        <v>DALUSIN BIN SAMAT</v>
      </c>
      <c r="J768" t="str">
        <f t="shared" si="325"/>
        <v>RHB BANK / RHB ISLAMIC BANK</v>
      </c>
      <c r="K768" t="str">
        <f>"11121250361815"</f>
        <v>11121250361815</v>
      </c>
      <c r="L768" t="str">
        <f t="shared" si="328"/>
        <v>04-08-2020</v>
      </c>
      <c r="M768" t="str">
        <f t="shared" si="328"/>
        <v>04-08-2020</v>
      </c>
      <c r="N768" t="str">
        <f t="shared" si="305"/>
        <v>001105018356</v>
      </c>
      <c r="O768" t="str">
        <f t="shared" si="306"/>
        <v>MYR</v>
      </c>
      <c r="P768" t="str">
        <f t="shared" si="329"/>
        <v>NIL</v>
      </c>
      <c r="Q768" t="str">
        <f t="shared" si="329"/>
        <v>NIL</v>
      </c>
      <c r="R768" t="str">
        <f t="shared" si="307"/>
        <v>Accepted</v>
      </c>
      <c r="S768" t="str">
        <f t="shared" si="308"/>
        <v>Approved</v>
      </c>
      <c r="T768" t="str">
        <f t="shared" si="309"/>
        <v>10.20.8.188</v>
      </c>
      <c r="U768" t="str">
        <f t="shared" si="310"/>
        <v>AZRAD UMAR BIN SHAARI</v>
      </c>
      <c r="V768" t="str">
        <f t="shared" si="311"/>
        <v>FARHANA BINTI MUSTAPA</v>
      </c>
      <c r="W768" t="str">
        <f t="shared" si="312"/>
        <v>04-08-2020</v>
      </c>
      <c r="X768" t="str">
        <f t="shared" si="313"/>
        <v>RAZIMAH ANSAR AHMAD</v>
      </c>
      <c r="Y768" t="str">
        <f t="shared" si="314"/>
        <v>04-08-2020</v>
      </c>
      <c r="Z768" t="str">
        <f>"COS10200804 8386"</f>
        <v>COS10200804 8386</v>
      </c>
    </row>
    <row r="769" spans="1:26" x14ac:dyDescent="0.25">
      <c r="A769" t="str">
        <f t="shared" si="326"/>
        <v>04-08-2020 01:11:00</v>
      </c>
      <c r="B769" t="str">
        <f>"0000810190"</f>
        <v>0000810190</v>
      </c>
      <c r="C769" t="str">
        <f t="shared" si="327"/>
        <v>0000810005</v>
      </c>
      <c r="D769" t="str">
        <f t="shared" si="302"/>
        <v>73185</v>
      </c>
      <c r="E769" t="str">
        <f t="shared" si="303"/>
        <v>KFH-OPERATIONS DEPARTMENT</v>
      </c>
      <c r="F769" t="str">
        <f t="shared" si="304"/>
        <v>IBG</v>
      </c>
      <c r="G769" t="str">
        <f t="shared" si="317"/>
        <v>Refund COSHARE 10</v>
      </c>
      <c r="H769" s="2">
        <v>2025.5</v>
      </c>
      <c r="I769" t="str">
        <f>"DALUSIN BIN SAMAT"</f>
        <v>DALUSIN BIN SAMAT</v>
      </c>
      <c r="J769" t="str">
        <f t="shared" si="325"/>
        <v>RHB BANK / RHB ISLAMIC BANK</v>
      </c>
      <c r="K769" t="str">
        <f>"11121250361815"</f>
        <v>11121250361815</v>
      </c>
      <c r="L769" t="str">
        <f t="shared" si="328"/>
        <v>04-08-2020</v>
      </c>
      <c r="M769" t="str">
        <f t="shared" si="328"/>
        <v>04-08-2020</v>
      </c>
      <c r="N769" t="str">
        <f t="shared" si="305"/>
        <v>001105018356</v>
      </c>
      <c r="O769" t="str">
        <f t="shared" si="306"/>
        <v>MYR</v>
      </c>
      <c r="P769" t="str">
        <f t="shared" si="329"/>
        <v>NIL</v>
      </c>
      <c r="Q769" t="str">
        <f t="shared" si="329"/>
        <v>NIL</v>
      </c>
      <c r="R769" t="str">
        <f t="shared" si="307"/>
        <v>Accepted</v>
      </c>
      <c r="S769" t="str">
        <f t="shared" si="308"/>
        <v>Approved</v>
      </c>
      <c r="T769" t="str">
        <f t="shared" si="309"/>
        <v>10.20.8.188</v>
      </c>
      <c r="U769" t="str">
        <f t="shared" si="310"/>
        <v>AZRAD UMAR BIN SHAARI</v>
      </c>
      <c r="V769" t="str">
        <f t="shared" si="311"/>
        <v>FARHANA BINTI MUSTAPA</v>
      </c>
      <c r="W769" t="str">
        <f t="shared" si="312"/>
        <v>04-08-2020</v>
      </c>
      <c r="X769" t="str">
        <f t="shared" si="313"/>
        <v>RAZIMAH ANSAR AHMAD</v>
      </c>
      <c r="Y769" t="str">
        <f t="shared" si="314"/>
        <v>04-08-2020</v>
      </c>
      <c r="Z769" t="str">
        <f>"COS10200804 8385"</f>
        <v>COS10200804 8385</v>
      </c>
    </row>
    <row r="770" spans="1:26" x14ac:dyDescent="0.25">
      <c r="A770" t="str">
        <f t="shared" si="326"/>
        <v>04-08-2020 01:11:00</v>
      </c>
      <c r="B770" t="str">
        <f>"0000810189"</f>
        <v>0000810189</v>
      </c>
      <c r="C770" t="str">
        <f t="shared" si="327"/>
        <v>0000810005</v>
      </c>
      <c r="D770" t="str">
        <f t="shared" si="302"/>
        <v>73185</v>
      </c>
      <c r="E770" t="str">
        <f t="shared" si="303"/>
        <v>KFH-OPERATIONS DEPARTMENT</v>
      </c>
      <c r="F770" t="str">
        <f t="shared" si="304"/>
        <v>IBG</v>
      </c>
      <c r="G770" t="str">
        <f t="shared" si="317"/>
        <v>Refund COSHARE 10</v>
      </c>
      <c r="H770" s="2">
        <v>839.5</v>
      </c>
      <c r="I770" t="str">
        <f>"CLIFF ANAK NYAGOK"</f>
        <v>CLIFF ANAK NYAGOK</v>
      </c>
      <c r="J770" t="str">
        <f t="shared" si="325"/>
        <v>RHB BANK / RHB ISLAMIC BANK</v>
      </c>
      <c r="K770" t="str">
        <f>"11114600075333"</f>
        <v>11114600075333</v>
      </c>
      <c r="L770" t="str">
        <f t="shared" si="328"/>
        <v>04-08-2020</v>
      </c>
      <c r="M770" t="str">
        <f t="shared" si="328"/>
        <v>04-08-2020</v>
      </c>
      <c r="N770" t="str">
        <f t="shared" si="305"/>
        <v>001105018356</v>
      </c>
      <c r="O770" t="str">
        <f t="shared" si="306"/>
        <v>MYR</v>
      </c>
      <c r="P770" t="str">
        <f t="shared" si="329"/>
        <v>NIL</v>
      </c>
      <c r="Q770" t="str">
        <f t="shared" si="329"/>
        <v>NIL</v>
      </c>
      <c r="R770" t="str">
        <f t="shared" si="307"/>
        <v>Accepted</v>
      </c>
      <c r="S770" t="str">
        <f t="shared" si="308"/>
        <v>Approved</v>
      </c>
      <c r="T770" t="str">
        <f t="shared" si="309"/>
        <v>10.20.8.188</v>
      </c>
      <c r="U770" t="str">
        <f t="shared" si="310"/>
        <v>AZRAD UMAR BIN SHAARI</v>
      </c>
      <c r="V770" t="str">
        <f t="shared" si="311"/>
        <v>FARHANA BINTI MUSTAPA</v>
      </c>
      <c r="W770" t="str">
        <f t="shared" si="312"/>
        <v>04-08-2020</v>
      </c>
      <c r="X770" t="str">
        <f t="shared" si="313"/>
        <v>RAZIMAH ANSAR AHMAD</v>
      </c>
      <c r="Y770" t="str">
        <f t="shared" si="314"/>
        <v>04-08-2020</v>
      </c>
      <c r="Z770" t="str">
        <f>"COS10200804 8384"</f>
        <v>COS10200804 8384</v>
      </c>
    </row>
    <row r="771" spans="1:26" x14ac:dyDescent="0.25">
      <c r="A771" t="str">
        <f t="shared" si="326"/>
        <v>04-08-2020 01:11:00</v>
      </c>
      <c r="B771" t="str">
        <f>"0000810188"</f>
        <v>0000810188</v>
      </c>
      <c r="C771" t="str">
        <f t="shared" si="327"/>
        <v>0000810005</v>
      </c>
      <c r="D771" t="str">
        <f t="shared" si="302"/>
        <v>73185</v>
      </c>
      <c r="E771" t="str">
        <f t="shared" si="303"/>
        <v>KFH-OPERATIONS DEPARTMENT</v>
      </c>
      <c r="F771" t="str">
        <f t="shared" si="304"/>
        <v>IBG</v>
      </c>
      <c r="G771" t="str">
        <f t="shared" si="317"/>
        <v>Refund COSHARE 10</v>
      </c>
      <c r="H771" s="2">
        <v>835</v>
      </c>
      <c r="I771" t="str">
        <f>"CIK SITI NURUL ASYIKIN BINTI AYUB"</f>
        <v>CIK SITI NURUL ASYIKIN BINTI AYUB</v>
      </c>
      <c r="J771" t="str">
        <f t="shared" si="325"/>
        <v>RHB BANK / RHB ISLAMIC BANK</v>
      </c>
      <c r="K771" t="str">
        <f>"10202300428343"</f>
        <v>10202300428343</v>
      </c>
      <c r="L771" t="str">
        <f t="shared" si="328"/>
        <v>04-08-2020</v>
      </c>
      <c r="M771" t="str">
        <f t="shared" si="328"/>
        <v>04-08-2020</v>
      </c>
      <c r="N771" t="str">
        <f t="shared" si="305"/>
        <v>001105018356</v>
      </c>
      <c r="O771" t="str">
        <f t="shared" si="306"/>
        <v>MYR</v>
      </c>
      <c r="P771" t="str">
        <f t="shared" si="329"/>
        <v>NIL</v>
      </c>
      <c r="Q771" t="str">
        <f t="shared" si="329"/>
        <v>NIL</v>
      </c>
      <c r="R771" t="str">
        <f t="shared" si="307"/>
        <v>Accepted</v>
      </c>
      <c r="S771" t="str">
        <f t="shared" si="308"/>
        <v>Approved</v>
      </c>
      <c r="T771" t="str">
        <f t="shared" si="309"/>
        <v>10.20.8.188</v>
      </c>
      <c r="U771" t="str">
        <f t="shared" si="310"/>
        <v>AZRAD UMAR BIN SHAARI</v>
      </c>
      <c r="V771" t="str">
        <f t="shared" si="311"/>
        <v>FARHANA BINTI MUSTAPA</v>
      </c>
      <c r="W771" t="str">
        <f t="shared" si="312"/>
        <v>04-08-2020</v>
      </c>
      <c r="X771" t="str">
        <f t="shared" si="313"/>
        <v>RAZIMAH ANSAR AHMAD</v>
      </c>
      <c r="Y771" t="str">
        <f t="shared" si="314"/>
        <v>04-08-2020</v>
      </c>
      <c r="Z771" t="str">
        <f>"COS10200804 8383"</f>
        <v>COS10200804 8383</v>
      </c>
    </row>
    <row r="772" spans="1:26" x14ac:dyDescent="0.25">
      <c r="A772" t="str">
        <f t="shared" si="326"/>
        <v>04-08-2020 01:11:00</v>
      </c>
      <c r="B772" t="str">
        <f>"0000810187"</f>
        <v>0000810187</v>
      </c>
      <c r="C772" t="str">
        <f t="shared" si="327"/>
        <v>0000810005</v>
      </c>
      <c r="D772" t="str">
        <f t="shared" si="302"/>
        <v>73185</v>
      </c>
      <c r="E772" t="str">
        <f t="shared" si="303"/>
        <v>KFH-OPERATIONS DEPARTMENT</v>
      </c>
      <c r="F772" t="str">
        <f t="shared" si="304"/>
        <v>IBG</v>
      </c>
      <c r="G772" t="str">
        <f t="shared" si="317"/>
        <v>Refund COSHARE 10</v>
      </c>
      <c r="H772" s="2">
        <v>923.45</v>
      </c>
      <c r="I772" t="str">
        <f>"CHEW BEE KIEN"</f>
        <v>CHEW BEE KIEN</v>
      </c>
      <c r="J772" t="str">
        <f t="shared" si="325"/>
        <v>RHB BANK / RHB ISLAMIC BANK</v>
      </c>
      <c r="K772" t="str">
        <f>"10714560197940"</f>
        <v>10714560197940</v>
      </c>
      <c r="L772" t="str">
        <f t="shared" si="328"/>
        <v>04-08-2020</v>
      </c>
      <c r="M772" t="str">
        <f t="shared" si="328"/>
        <v>04-08-2020</v>
      </c>
      <c r="N772" t="str">
        <f t="shared" si="305"/>
        <v>001105018356</v>
      </c>
      <c r="O772" t="str">
        <f t="shared" si="306"/>
        <v>MYR</v>
      </c>
      <c r="P772" t="str">
        <f t="shared" si="329"/>
        <v>NIL</v>
      </c>
      <c r="Q772" t="str">
        <f t="shared" si="329"/>
        <v>NIL</v>
      </c>
      <c r="R772" t="str">
        <f t="shared" si="307"/>
        <v>Accepted</v>
      </c>
      <c r="S772" t="str">
        <f t="shared" si="308"/>
        <v>Approved</v>
      </c>
      <c r="T772" t="str">
        <f t="shared" si="309"/>
        <v>10.20.8.188</v>
      </c>
      <c r="U772" t="str">
        <f t="shared" si="310"/>
        <v>AZRAD UMAR BIN SHAARI</v>
      </c>
      <c r="V772" t="str">
        <f t="shared" si="311"/>
        <v>FARHANA BINTI MUSTAPA</v>
      </c>
      <c r="W772" t="str">
        <f t="shared" si="312"/>
        <v>04-08-2020</v>
      </c>
      <c r="X772" t="str">
        <f t="shared" si="313"/>
        <v>RAZIMAH ANSAR AHMAD</v>
      </c>
      <c r="Y772" t="str">
        <f t="shared" si="314"/>
        <v>04-08-2020</v>
      </c>
      <c r="Z772" t="str">
        <f>"COS10200804 8382"</f>
        <v>COS10200804 8382</v>
      </c>
    </row>
    <row r="773" spans="1:26" x14ac:dyDescent="0.25">
      <c r="A773" t="str">
        <f t="shared" si="326"/>
        <v>04-08-2020 01:11:00</v>
      </c>
      <c r="B773" t="str">
        <f>"0000810186"</f>
        <v>0000810186</v>
      </c>
      <c r="C773" t="str">
        <f t="shared" si="327"/>
        <v>0000810005</v>
      </c>
      <c r="D773" t="str">
        <f t="shared" si="302"/>
        <v>73185</v>
      </c>
      <c r="E773" t="str">
        <f t="shared" si="303"/>
        <v>KFH-OPERATIONS DEPARTMENT</v>
      </c>
      <c r="F773" t="str">
        <f t="shared" si="304"/>
        <v>IBG</v>
      </c>
      <c r="G773" t="str">
        <f t="shared" si="317"/>
        <v>Refund COSHARE 10</v>
      </c>
      <c r="H773" s="2">
        <v>720.6</v>
      </c>
      <c r="I773" t="str">
        <f>"CHE ROSMIANI BINTI CHE KUB"</f>
        <v>CHE ROSMIANI BINTI CHE KUB</v>
      </c>
      <c r="J773" t="str">
        <f t="shared" si="325"/>
        <v>RHB BANK / RHB ISLAMIC BANK</v>
      </c>
      <c r="K773" t="str">
        <f>"16601600003518"</f>
        <v>16601600003518</v>
      </c>
      <c r="L773" t="str">
        <f t="shared" si="328"/>
        <v>04-08-2020</v>
      </c>
      <c r="M773" t="str">
        <f t="shared" si="328"/>
        <v>04-08-2020</v>
      </c>
      <c r="N773" t="str">
        <f t="shared" si="305"/>
        <v>001105018356</v>
      </c>
      <c r="O773" t="str">
        <f t="shared" si="306"/>
        <v>MYR</v>
      </c>
      <c r="P773" t="str">
        <f t="shared" si="329"/>
        <v>NIL</v>
      </c>
      <c r="Q773" t="str">
        <f t="shared" si="329"/>
        <v>NIL</v>
      </c>
      <c r="R773" t="str">
        <f t="shared" si="307"/>
        <v>Accepted</v>
      </c>
      <c r="S773" t="str">
        <f t="shared" si="308"/>
        <v>Approved</v>
      </c>
      <c r="T773" t="str">
        <f t="shared" si="309"/>
        <v>10.20.8.188</v>
      </c>
      <c r="U773" t="str">
        <f t="shared" si="310"/>
        <v>AZRAD UMAR BIN SHAARI</v>
      </c>
      <c r="V773" t="str">
        <f t="shared" si="311"/>
        <v>FARHANA BINTI MUSTAPA</v>
      </c>
      <c r="W773" t="str">
        <f t="shared" si="312"/>
        <v>04-08-2020</v>
      </c>
      <c r="X773" t="str">
        <f t="shared" si="313"/>
        <v>RAZIMAH ANSAR AHMAD</v>
      </c>
      <c r="Y773" t="str">
        <f t="shared" si="314"/>
        <v>04-08-2020</v>
      </c>
      <c r="Z773" t="str">
        <f>"COS10200804 8381"</f>
        <v>COS10200804 8381</v>
      </c>
    </row>
    <row r="774" spans="1:26" x14ac:dyDescent="0.25">
      <c r="A774" t="str">
        <f t="shared" si="326"/>
        <v>04-08-2020 01:11:00</v>
      </c>
      <c r="B774" t="str">
        <f>"0000810185"</f>
        <v>0000810185</v>
      </c>
      <c r="C774" t="str">
        <f t="shared" si="327"/>
        <v>0000810005</v>
      </c>
      <c r="D774" t="str">
        <f t="shared" si="302"/>
        <v>73185</v>
      </c>
      <c r="E774" t="str">
        <f t="shared" si="303"/>
        <v>KFH-OPERATIONS DEPARTMENT</v>
      </c>
      <c r="F774" t="str">
        <f t="shared" si="304"/>
        <v>IBG</v>
      </c>
      <c r="G774" t="str">
        <f t="shared" si="317"/>
        <v>Refund COSHARE 10</v>
      </c>
      <c r="H774" s="2">
        <v>1102</v>
      </c>
      <c r="I774" t="str">
        <f>"BAHASUDIN BIN ABDUL MANAF"</f>
        <v>BAHASUDIN BIN ABDUL MANAF</v>
      </c>
      <c r="J774" t="str">
        <f t="shared" si="325"/>
        <v>RHB BANK / RHB ISLAMIC BANK</v>
      </c>
      <c r="K774" t="str">
        <f>"21241500012435"</f>
        <v>21241500012435</v>
      </c>
      <c r="L774" t="str">
        <f t="shared" si="328"/>
        <v>04-08-2020</v>
      </c>
      <c r="M774" t="str">
        <f t="shared" si="328"/>
        <v>04-08-2020</v>
      </c>
      <c r="N774" t="str">
        <f t="shared" si="305"/>
        <v>001105018356</v>
      </c>
      <c r="O774" t="str">
        <f t="shared" si="306"/>
        <v>MYR</v>
      </c>
      <c r="P774" t="str">
        <f t="shared" si="329"/>
        <v>NIL</v>
      </c>
      <c r="Q774" t="str">
        <f t="shared" si="329"/>
        <v>NIL</v>
      </c>
      <c r="R774" t="str">
        <f t="shared" si="307"/>
        <v>Accepted</v>
      </c>
      <c r="S774" t="str">
        <f t="shared" si="308"/>
        <v>Approved</v>
      </c>
      <c r="T774" t="str">
        <f t="shared" si="309"/>
        <v>10.20.8.188</v>
      </c>
      <c r="U774" t="str">
        <f t="shared" si="310"/>
        <v>AZRAD UMAR BIN SHAARI</v>
      </c>
      <c r="V774" t="str">
        <f t="shared" si="311"/>
        <v>FARHANA BINTI MUSTAPA</v>
      </c>
      <c r="W774" t="str">
        <f t="shared" si="312"/>
        <v>04-08-2020</v>
      </c>
      <c r="X774" t="str">
        <f t="shared" si="313"/>
        <v>RAZIMAH ANSAR AHMAD</v>
      </c>
      <c r="Y774" t="str">
        <f t="shared" si="314"/>
        <v>04-08-2020</v>
      </c>
      <c r="Z774" t="str">
        <f>"COS10200804 8380"</f>
        <v>COS10200804 8380</v>
      </c>
    </row>
    <row r="775" spans="1:26" x14ac:dyDescent="0.25">
      <c r="A775" t="str">
        <f t="shared" si="326"/>
        <v>04-08-2020 01:11:00</v>
      </c>
      <c r="B775" t="str">
        <f>"0000810184"</f>
        <v>0000810184</v>
      </c>
      <c r="C775" t="str">
        <f t="shared" si="327"/>
        <v>0000810005</v>
      </c>
      <c r="D775" t="str">
        <f t="shared" ref="D775:D838" si="330">"73185"</f>
        <v>73185</v>
      </c>
      <c r="E775" t="str">
        <f t="shared" ref="E775:E838" si="331">"KFH-OPERATIONS DEPARTMENT"</f>
        <v>KFH-OPERATIONS DEPARTMENT</v>
      </c>
      <c r="F775" t="str">
        <f t="shared" ref="F775:F838" si="332">"IBG"</f>
        <v>IBG</v>
      </c>
      <c r="G775" t="str">
        <f t="shared" si="317"/>
        <v>Refund COSHARE 10</v>
      </c>
      <c r="H775" s="2">
        <v>95.35</v>
      </c>
      <c r="I775" t="str">
        <f>"BAHARUDDIN BIN YASIR"</f>
        <v>BAHARUDDIN BIN YASIR</v>
      </c>
      <c r="J775" t="str">
        <f t="shared" si="325"/>
        <v>RHB BANK / RHB ISLAMIC BANK</v>
      </c>
      <c r="K775" t="str">
        <f>"11442800095073"</f>
        <v>11442800095073</v>
      </c>
      <c r="L775" t="str">
        <f t="shared" si="328"/>
        <v>04-08-2020</v>
      </c>
      <c r="M775" t="str">
        <f t="shared" si="328"/>
        <v>04-08-2020</v>
      </c>
      <c r="N775" t="str">
        <f t="shared" ref="N775:N838" si="333">"001105018356"</f>
        <v>001105018356</v>
      </c>
      <c r="O775" t="str">
        <f t="shared" ref="O775:O838" si="334">"MYR"</f>
        <v>MYR</v>
      </c>
      <c r="P775" t="str">
        <f t="shared" si="329"/>
        <v>NIL</v>
      </c>
      <c r="Q775" t="str">
        <f t="shared" si="329"/>
        <v>NIL</v>
      </c>
      <c r="R775" t="str">
        <f t="shared" ref="R775:R838" si="335">"Accepted"</f>
        <v>Accepted</v>
      </c>
      <c r="S775" t="str">
        <f t="shared" ref="S775:S838" si="336">"Approved"</f>
        <v>Approved</v>
      </c>
      <c r="T775" t="str">
        <f t="shared" ref="T775:T838" si="337">"10.20.8.188"</f>
        <v>10.20.8.188</v>
      </c>
      <c r="U775" t="str">
        <f t="shared" ref="U775:U838" si="338">"AZRAD UMAR BIN SHAARI"</f>
        <v>AZRAD UMAR BIN SHAARI</v>
      </c>
      <c r="V775" t="str">
        <f t="shared" ref="V775:V838" si="339">"FARHANA BINTI MUSTAPA"</f>
        <v>FARHANA BINTI MUSTAPA</v>
      </c>
      <c r="W775" t="str">
        <f t="shared" ref="W775:W838" si="340">"04-08-2020"</f>
        <v>04-08-2020</v>
      </c>
      <c r="X775" t="str">
        <f t="shared" ref="X775:X838" si="341">"RAZIMAH ANSAR AHMAD"</f>
        <v>RAZIMAH ANSAR AHMAD</v>
      </c>
      <c r="Y775" t="str">
        <f t="shared" ref="Y775:Y838" si="342">"04-08-2020"</f>
        <v>04-08-2020</v>
      </c>
      <c r="Z775" t="str">
        <f>"COS10200804 8379"</f>
        <v>COS10200804 8379</v>
      </c>
    </row>
    <row r="776" spans="1:26" x14ac:dyDescent="0.25">
      <c r="A776" t="str">
        <f t="shared" si="326"/>
        <v>04-08-2020 01:11:00</v>
      </c>
      <c r="B776" t="str">
        <f>"0000810183"</f>
        <v>0000810183</v>
      </c>
      <c r="C776" t="str">
        <f t="shared" si="327"/>
        <v>0000810005</v>
      </c>
      <c r="D776" t="str">
        <f t="shared" si="330"/>
        <v>73185</v>
      </c>
      <c r="E776" t="str">
        <f t="shared" si="331"/>
        <v>KFH-OPERATIONS DEPARTMENT</v>
      </c>
      <c r="F776" t="str">
        <f t="shared" si="332"/>
        <v>IBG</v>
      </c>
      <c r="G776" t="str">
        <f t="shared" si="317"/>
        <v>Refund COSHARE 10</v>
      </c>
      <c r="H776" s="2">
        <v>337.8</v>
      </c>
      <c r="I776" t="str">
        <f>"BAHARUDDIN BIN HAMZAH"</f>
        <v>BAHARUDDIN BIN HAMZAH</v>
      </c>
      <c r="J776" t="str">
        <f t="shared" si="325"/>
        <v>RHB BANK / RHB ISLAMIC BANK</v>
      </c>
      <c r="K776" t="str">
        <f>"10822140253314"</f>
        <v>10822140253314</v>
      </c>
      <c r="L776" t="str">
        <f t="shared" si="328"/>
        <v>04-08-2020</v>
      </c>
      <c r="M776" t="str">
        <f t="shared" si="328"/>
        <v>04-08-2020</v>
      </c>
      <c r="N776" t="str">
        <f t="shared" si="333"/>
        <v>001105018356</v>
      </c>
      <c r="O776" t="str">
        <f t="shared" si="334"/>
        <v>MYR</v>
      </c>
      <c r="P776" t="str">
        <f t="shared" si="329"/>
        <v>NIL</v>
      </c>
      <c r="Q776" t="str">
        <f t="shared" si="329"/>
        <v>NIL</v>
      </c>
      <c r="R776" t="str">
        <f t="shared" si="335"/>
        <v>Accepted</v>
      </c>
      <c r="S776" t="str">
        <f t="shared" si="336"/>
        <v>Approved</v>
      </c>
      <c r="T776" t="str">
        <f t="shared" si="337"/>
        <v>10.20.8.188</v>
      </c>
      <c r="U776" t="str">
        <f t="shared" si="338"/>
        <v>AZRAD UMAR BIN SHAARI</v>
      </c>
      <c r="V776" t="str">
        <f t="shared" si="339"/>
        <v>FARHANA BINTI MUSTAPA</v>
      </c>
      <c r="W776" t="str">
        <f t="shared" si="340"/>
        <v>04-08-2020</v>
      </c>
      <c r="X776" t="str">
        <f t="shared" si="341"/>
        <v>RAZIMAH ANSAR AHMAD</v>
      </c>
      <c r="Y776" t="str">
        <f t="shared" si="342"/>
        <v>04-08-2020</v>
      </c>
      <c r="Z776" t="str">
        <f>"COS10200804 8378"</f>
        <v>COS10200804 8378</v>
      </c>
    </row>
    <row r="777" spans="1:26" x14ac:dyDescent="0.25">
      <c r="A777" t="str">
        <f t="shared" si="326"/>
        <v>04-08-2020 01:11:00</v>
      </c>
      <c r="B777" t="str">
        <f>"0000810182"</f>
        <v>0000810182</v>
      </c>
      <c r="C777" t="str">
        <f t="shared" si="327"/>
        <v>0000810005</v>
      </c>
      <c r="D777" t="str">
        <f t="shared" si="330"/>
        <v>73185</v>
      </c>
      <c r="E777" t="str">
        <f t="shared" si="331"/>
        <v>KFH-OPERATIONS DEPARTMENT</v>
      </c>
      <c r="F777" t="str">
        <f t="shared" si="332"/>
        <v>IBG</v>
      </c>
      <c r="G777" t="str">
        <f t="shared" si="317"/>
        <v>Refund COSHARE 10</v>
      </c>
      <c r="H777" s="2">
        <v>671.6</v>
      </c>
      <c r="I777" t="str">
        <f>"BADARIAH BINTI HARUN"</f>
        <v>BADARIAH BINTI HARUN</v>
      </c>
      <c r="J777" t="str">
        <f t="shared" si="325"/>
        <v>RHB BANK / RHB ISLAMIC BANK</v>
      </c>
      <c r="K777" t="str">
        <f>"11002800626619"</f>
        <v>11002800626619</v>
      </c>
      <c r="L777" t="str">
        <f t="shared" si="328"/>
        <v>04-08-2020</v>
      </c>
      <c r="M777" t="str">
        <f t="shared" si="328"/>
        <v>04-08-2020</v>
      </c>
      <c r="N777" t="str">
        <f t="shared" si="333"/>
        <v>001105018356</v>
      </c>
      <c r="O777" t="str">
        <f t="shared" si="334"/>
        <v>MYR</v>
      </c>
      <c r="P777" t="str">
        <f t="shared" si="329"/>
        <v>NIL</v>
      </c>
      <c r="Q777" t="str">
        <f t="shared" si="329"/>
        <v>NIL</v>
      </c>
      <c r="R777" t="str">
        <f t="shared" si="335"/>
        <v>Accepted</v>
      </c>
      <c r="S777" t="str">
        <f t="shared" si="336"/>
        <v>Approved</v>
      </c>
      <c r="T777" t="str">
        <f t="shared" si="337"/>
        <v>10.20.8.188</v>
      </c>
      <c r="U777" t="str">
        <f t="shared" si="338"/>
        <v>AZRAD UMAR BIN SHAARI</v>
      </c>
      <c r="V777" t="str">
        <f t="shared" si="339"/>
        <v>FARHANA BINTI MUSTAPA</v>
      </c>
      <c r="W777" t="str">
        <f t="shared" si="340"/>
        <v>04-08-2020</v>
      </c>
      <c r="X777" t="str">
        <f t="shared" si="341"/>
        <v>RAZIMAH ANSAR AHMAD</v>
      </c>
      <c r="Y777" t="str">
        <f t="shared" si="342"/>
        <v>04-08-2020</v>
      </c>
      <c r="Z777" t="str">
        <f>"COS10200804 8377"</f>
        <v>COS10200804 8377</v>
      </c>
    </row>
    <row r="778" spans="1:26" x14ac:dyDescent="0.25">
      <c r="A778" t="str">
        <f t="shared" si="326"/>
        <v>04-08-2020 01:11:00</v>
      </c>
      <c r="B778" t="str">
        <f>"0000810181"</f>
        <v>0000810181</v>
      </c>
      <c r="C778" t="str">
        <f t="shared" si="327"/>
        <v>0000810005</v>
      </c>
      <c r="D778" t="str">
        <f t="shared" si="330"/>
        <v>73185</v>
      </c>
      <c r="E778" t="str">
        <f t="shared" si="331"/>
        <v>KFH-OPERATIONS DEPARTMENT</v>
      </c>
      <c r="F778" t="str">
        <f t="shared" si="332"/>
        <v>IBG</v>
      </c>
      <c r="G778" t="str">
        <f t="shared" si="317"/>
        <v>Refund COSHARE 10</v>
      </c>
      <c r="H778" s="2">
        <v>596.04999999999995</v>
      </c>
      <c r="I778" t="str">
        <f>"AZLIN KARTINI BINTI ZEMAT"</f>
        <v>AZLIN KARTINI BINTI ZEMAT</v>
      </c>
      <c r="J778" t="str">
        <f t="shared" si="325"/>
        <v>RHB BANK / RHB ISLAMIC BANK</v>
      </c>
      <c r="K778" t="str">
        <f>"11236700036230"</f>
        <v>11236700036230</v>
      </c>
      <c r="L778" t="str">
        <f t="shared" si="328"/>
        <v>04-08-2020</v>
      </c>
      <c r="M778" t="str">
        <f t="shared" si="328"/>
        <v>04-08-2020</v>
      </c>
      <c r="N778" t="str">
        <f t="shared" si="333"/>
        <v>001105018356</v>
      </c>
      <c r="O778" t="str">
        <f t="shared" si="334"/>
        <v>MYR</v>
      </c>
      <c r="P778" t="str">
        <f t="shared" si="329"/>
        <v>NIL</v>
      </c>
      <c r="Q778" t="str">
        <f t="shared" si="329"/>
        <v>NIL</v>
      </c>
      <c r="R778" t="str">
        <f t="shared" si="335"/>
        <v>Accepted</v>
      </c>
      <c r="S778" t="str">
        <f t="shared" si="336"/>
        <v>Approved</v>
      </c>
      <c r="T778" t="str">
        <f t="shared" si="337"/>
        <v>10.20.8.188</v>
      </c>
      <c r="U778" t="str">
        <f t="shared" si="338"/>
        <v>AZRAD UMAR BIN SHAARI</v>
      </c>
      <c r="V778" t="str">
        <f t="shared" si="339"/>
        <v>FARHANA BINTI MUSTAPA</v>
      </c>
      <c r="W778" t="str">
        <f t="shared" si="340"/>
        <v>04-08-2020</v>
      </c>
      <c r="X778" t="str">
        <f t="shared" si="341"/>
        <v>RAZIMAH ANSAR AHMAD</v>
      </c>
      <c r="Y778" t="str">
        <f t="shared" si="342"/>
        <v>04-08-2020</v>
      </c>
      <c r="Z778" t="str">
        <f>"COS10200804 8376"</f>
        <v>COS10200804 8376</v>
      </c>
    </row>
    <row r="779" spans="1:26" x14ac:dyDescent="0.25">
      <c r="A779" t="str">
        <f t="shared" si="326"/>
        <v>04-08-2020 01:11:00</v>
      </c>
      <c r="B779" t="str">
        <f>"0000810180"</f>
        <v>0000810180</v>
      </c>
      <c r="C779" t="str">
        <f t="shared" si="327"/>
        <v>0000810005</v>
      </c>
      <c r="D779" t="str">
        <f t="shared" si="330"/>
        <v>73185</v>
      </c>
      <c r="E779" t="str">
        <f t="shared" si="331"/>
        <v>KFH-OPERATIONS DEPARTMENT</v>
      </c>
      <c r="F779" t="str">
        <f t="shared" si="332"/>
        <v>IBG</v>
      </c>
      <c r="G779" t="str">
        <f t="shared" si="317"/>
        <v>Refund COSHARE 10</v>
      </c>
      <c r="H779" s="2">
        <v>139.75</v>
      </c>
      <c r="I779" t="str">
        <f>"AZIZI BIN MANSOR"</f>
        <v>AZIZI BIN MANSOR</v>
      </c>
      <c r="J779" t="str">
        <f t="shared" si="325"/>
        <v>RHB BANK / RHB ISLAMIC BANK</v>
      </c>
      <c r="K779" t="str">
        <f>"11114650283789"</f>
        <v>11114650283789</v>
      </c>
      <c r="L779" t="str">
        <f t="shared" si="328"/>
        <v>04-08-2020</v>
      </c>
      <c r="M779" t="str">
        <f t="shared" si="328"/>
        <v>04-08-2020</v>
      </c>
      <c r="N779" t="str">
        <f t="shared" si="333"/>
        <v>001105018356</v>
      </c>
      <c r="O779" t="str">
        <f t="shared" si="334"/>
        <v>MYR</v>
      </c>
      <c r="P779" t="str">
        <f t="shared" si="329"/>
        <v>NIL</v>
      </c>
      <c r="Q779" t="str">
        <f t="shared" si="329"/>
        <v>NIL</v>
      </c>
      <c r="R779" t="str">
        <f t="shared" si="335"/>
        <v>Accepted</v>
      </c>
      <c r="S779" t="str">
        <f t="shared" si="336"/>
        <v>Approved</v>
      </c>
      <c r="T779" t="str">
        <f t="shared" si="337"/>
        <v>10.20.8.188</v>
      </c>
      <c r="U779" t="str">
        <f t="shared" si="338"/>
        <v>AZRAD UMAR BIN SHAARI</v>
      </c>
      <c r="V779" t="str">
        <f t="shared" si="339"/>
        <v>FARHANA BINTI MUSTAPA</v>
      </c>
      <c r="W779" t="str">
        <f t="shared" si="340"/>
        <v>04-08-2020</v>
      </c>
      <c r="X779" t="str">
        <f t="shared" si="341"/>
        <v>RAZIMAH ANSAR AHMAD</v>
      </c>
      <c r="Y779" t="str">
        <f t="shared" si="342"/>
        <v>04-08-2020</v>
      </c>
      <c r="Z779" t="str">
        <f>"COS10200804 8375"</f>
        <v>COS10200804 8375</v>
      </c>
    </row>
    <row r="780" spans="1:26" x14ac:dyDescent="0.25">
      <c r="A780" t="str">
        <f t="shared" si="326"/>
        <v>04-08-2020 01:11:00</v>
      </c>
      <c r="B780" t="str">
        <f>"0000810179"</f>
        <v>0000810179</v>
      </c>
      <c r="C780" t="str">
        <f t="shared" si="327"/>
        <v>0000810005</v>
      </c>
      <c r="D780" t="str">
        <f t="shared" si="330"/>
        <v>73185</v>
      </c>
      <c r="E780" t="str">
        <f t="shared" si="331"/>
        <v>KFH-OPERATIONS DEPARTMENT</v>
      </c>
      <c r="F780" t="str">
        <f t="shared" si="332"/>
        <v>IBG</v>
      </c>
      <c r="G780" t="str">
        <f t="shared" ref="G780:G843" si="343">"Refund COSHARE 10"</f>
        <v>Refund COSHARE 10</v>
      </c>
      <c r="H780" s="2">
        <v>587.65</v>
      </c>
      <c r="I780" t="str">
        <f>"ASMIDA BINTI MD SAAD"</f>
        <v>ASMIDA BINTI MD SAAD</v>
      </c>
      <c r="J780" t="str">
        <f t="shared" si="325"/>
        <v>RHB BANK / RHB ISLAMIC BANK</v>
      </c>
      <c r="K780" t="str">
        <f>"11424000062628"</f>
        <v>11424000062628</v>
      </c>
      <c r="L780" t="str">
        <f t="shared" si="328"/>
        <v>04-08-2020</v>
      </c>
      <c r="M780" t="str">
        <f t="shared" si="328"/>
        <v>04-08-2020</v>
      </c>
      <c r="N780" t="str">
        <f t="shared" si="333"/>
        <v>001105018356</v>
      </c>
      <c r="O780" t="str">
        <f t="shared" si="334"/>
        <v>MYR</v>
      </c>
      <c r="P780" t="str">
        <f t="shared" si="329"/>
        <v>NIL</v>
      </c>
      <c r="Q780" t="str">
        <f t="shared" si="329"/>
        <v>NIL</v>
      </c>
      <c r="R780" t="str">
        <f t="shared" si="335"/>
        <v>Accepted</v>
      </c>
      <c r="S780" t="str">
        <f t="shared" si="336"/>
        <v>Approved</v>
      </c>
      <c r="T780" t="str">
        <f t="shared" si="337"/>
        <v>10.20.8.188</v>
      </c>
      <c r="U780" t="str">
        <f t="shared" si="338"/>
        <v>AZRAD UMAR BIN SHAARI</v>
      </c>
      <c r="V780" t="str">
        <f t="shared" si="339"/>
        <v>FARHANA BINTI MUSTAPA</v>
      </c>
      <c r="W780" t="str">
        <f t="shared" si="340"/>
        <v>04-08-2020</v>
      </c>
      <c r="X780" t="str">
        <f t="shared" si="341"/>
        <v>RAZIMAH ANSAR AHMAD</v>
      </c>
      <c r="Y780" t="str">
        <f t="shared" si="342"/>
        <v>04-08-2020</v>
      </c>
      <c r="Z780" t="str">
        <f>"COS10200804 8374"</f>
        <v>COS10200804 8374</v>
      </c>
    </row>
    <row r="781" spans="1:26" x14ac:dyDescent="0.25">
      <c r="A781" t="str">
        <f t="shared" si="326"/>
        <v>04-08-2020 01:11:00</v>
      </c>
      <c r="B781" t="str">
        <f>"0000810178"</f>
        <v>0000810178</v>
      </c>
      <c r="C781" t="str">
        <f t="shared" si="327"/>
        <v>0000810005</v>
      </c>
      <c r="D781" t="str">
        <f t="shared" si="330"/>
        <v>73185</v>
      </c>
      <c r="E781" t="str">
        <f t="shared" si="331"/>
        <v>KFH-OPERATIONS DEPARTMENT</v>
      </c>
      <c r="F781" t="str">
        <f t="shared" si="332"/>
        <v>IBG</v>
      </c>
      <c r="G781" t="str">
        <f t="shared" si="343"/>
        <v>Refund COSHARE 10</v>
      </c>
      <c r="H781" s="2">
        <v>810.3</v>
      </c>
      <c r="I781" t="str">
        <f>"ARMAN SADEK BIN SULONG"</f>
        <v>ARMAN SADEK BIN SULONG</v>
      </c>
      <c r="J781" t="str">
        <f t="shared" si="325"/>
        <v>RHB BANK / RHB ISLAMIC BANK</v>
      </c>
      <c r="K781" t="str">
        <f>"11114600051612"</f>
        <v>11114600051612</v>
      </c>
      <c r="L781" t="str">
        <f t="shared" si="328"/>
        <v>04-08-2020</v>
      </c>
      <c r="M781" t="str">
        <f t="shared" si="328"/>
        <v>04-08-2020</v>
      </c>
      <c r="N781" t="str">
        <f t="shared" si="333"/>
        <v>001105018356</v>
      </c>
      <c r="O781" t="str">
        <f t="shared" si="334"/>
        <v>MYR</v>
      </c>
      <c r="P781" t="str">
        <f t="shared" si="329"/>
        <v>NIL</v>
      </c>
      <c r="Q781" t="str">
        <f t="shared" si="329"/>
        <v>NIL</v>
      </c>
      <c r="R781" t="str">
        <f t="shared" si="335"/>
        <v>Accepted</v>
      </c>
      <c r="S781" t="str">
        <f t="shared" si="336"/>
        <v>Approved</v>
      </c>
      <c r="T781" t="str">
        <f t="shared" si="337"/>
        <v>10.20.8.188</v>
      </c>
      <c r="U781" t="str">
        <f t="shared" si="338"/>
        <v>AZRAD UMAR BIN SHAARI</v>
      </c>
      <c r="V781" t="str">
        <f t="shared" si="339"/>
        <v>FARHANA BINTI MUSTAPA</v>
      </c>
      <c r="W781" t="str">
        <f t="shared" si="340"/>
        <v>04-08-2020</v>
      </c>
      <c r="X781" t="str">
        <f t="shared" si="341"/>
        <v>RAZIMAH ANSAR AHMAD</v>
      </c>
      <c r="Y781" t="str">
        <f t="shared" si="342"/>
        <v>04-08-2020</v>
      </c>
      <c r="Z781" t="str">
        <f>"COS10200804 8373"</f>
        <v>COS10200804 8373</v>
      </c>
    </row>
    <row r="782" spans="1:26" x14ac:dyDescent="0.25">
      <c r="A782" t="str">
        <f t="shared" si="326"/>
        <v>04-08-2020 01:11:00</v>
      </c>
      <c r="B782" t="str">
        <f>"0000810177"</f>
        <v>0000810177</v>
      </c>
      <c r="C782" t="str">
        <f t="shared" si="327"/>
        <v>0000810005</v>
      </c>
      <c r="D782" t="str">
        <f t="shared" si="330"/>
        <v>73185</v>
      </c>
      <c r="E782" t="str">
        <f t="shared" si="331"/>
        <v>KFH-OPERATIONS DEPARTMENT</v>
      </c>
      <c r="F782" t="str">
        <f t="shared" si="332"/>
        <v>IBG</v>
      </c>
      <c r="G782" t="str">
        <f t="shared" si="343"/>
        <v>Refund COSHARE 10</v>
      </c>
      <c r="H782" s="2">
        <v>1057.8</v>
      </c>
      <c r="I782" t="str">
        <f>"ARIF BIN MOHAMAD"</f>
        <v>ARIF BIN MOHAMAD</v>
      </c>
      <c r="J782" t="str">
        <f t="shared" ref="J782:J804" si="344">"RHB BANK / RHB ISLAMIC BANK"</f>
        <v>RHB BANK / RHB ISLAMIC BANK</v>
      </c>
      <c r="K782" t="str">
        <f>"11251800061248"</f>
        <v>11251800061248</v>
      </c>
      <c r="L782" t="str">
        <f t="shared" si="328"/>
        <v>04-08-2020</v>
      </c>
      <c r="M782" t="str">
        <f t="shared" si="328"/>
        <v>04-08-2020</v>
      </c>
      <c r="N782" t="str">
        <f t="shared" si="333"/>
        <v>001105018356</v>
      </c>
      <c r="O782" t="str">
        <f t="shared" si="334"/>
        <v>MYR</v>
      </c>
      <c r="P782" t="str">
        <f t="shared" si="329"/>
        <v>NIL</v>
      </c>
      <c r="Q782" t="str">
        <f t="shared" si="329"/>
        <v>NIL</v>
      </c>
      <c r="R782" t="str">
        <f t="shared" si="335"/>
        <v>Accepted</v>
      </c>
      <c r="S782" t="str">
        <f t="shared" si="336"/>
        <v>Approved</v>
      </c>
      <c r="T782" t="str">
        <f t="shared" si="337"/>
        <v>10.20.8.188</v>
      </c>
      <c r="U782" t="str">
        <f t="shared" si="338"/>
        <v>AZRAD UMAR BIN SHAARI</v>
      </c>
      <c r="V782" t="str">
        <f t="shared" si="339"/>
        <v>FARHANA BINTI MUSTAPA</v>
      </c>
      <c r="W782" t="str">
        <f t="shared" si="340"/>
        <v>04-08-2020</v>
      </c>
      <c r="X782" t="str">
        <f t="shared" si="341"/>
        <v>RAZIMAH ANSAR AHMAD</v>
      </c>
      <c r="Y782" t="str">
        <f t="shared" si="342"/>
        <v>04-08-2020</v>
      </c>
      <c r="Z782" t="str">
        <f>"COS10200804 8372"</f>
        <v>COS10200804 8372</v>
      </c>
    </row>
    <row r="783" spans="1:26" x14ac:dyDescent="0.25">
      <c r="A783" t="str">
        <f t="shared" si="326"/>
        <v>04-08-2020 01:11:00</v>
      </c>
      <c r="B783" t="str">
        <f>"0000810176"</f>
        <v>0000810176</v>
      </c>
      <c r="C783" t="str">
        <f t="shared" si="327"/>
        <v>0000810005</v>
      </c>
      <c r="D783" t="str">
        <f t="shared" si="330"/>
        <v>73185</v>
      </c>
      <c r="E783" t="str">
        <f t="shared" si="331"/>
        <v>KFH-OPERATIONS DEPARTMENT</v>
      </c>
      <c r="F783" t="str">
        <f t="shared" si="332"/>
        <v>IBG</v>
      </c>
      <c r="G783" t="str">
        <f t="shared" si="343"/>
        <v>Refund COSHARE 10</v>
      </c>
      <c r="H783" s="2">
        <v>83.95</v>
      </c>
      <c r="I783" t="str">
        <f>"ARIF BIN MOHAMAD"</f>
        <v>ARIF BIN MOHAMAD</v>
      </c>
      <c r="J783" t="str">
        <f t="shared" si="344"/>
        <v>RHB BANK / RHB ISLAMIC BANK</v>
      </c>
      <c r="K783" t="str">
        <f>"11251800061248"</f>
        <v>11251800061248</v>
      </c>
      <c r="L783" t="str">
        <f t="shared" si="328"/>
        <v>04-08-2020</v>
      </c>
      <c r="M783" t="str">
        <f t="shared" si="328"/>
        <v>04-08-2020</v>
      </c>
      <c r="N783" t="str">
        <f t="shared" si="333"/>
        <v>001105018356</v>
      </c>
      <c r="O783" t="str">
        <f t="shared" si="334"/>
        <v>MYR</v>
      </c>
      <c r="P783" t="str">
        <f t="shared" si="329"/>
        <v>NIL</v>
      </c>
      <c r="Q783" t="str">
        <f t="shared" si="329"/>
        <v>NIL</v>
      </c>
      <c r="R783" t="str">
        <f t="shared" si="335"/>
        <v>Accepted</v>
      </c>
      <c r="S783" t="str">
        <f t="shared" si="336"/>
        <v>Approved</v>
      </c>
      <c r="T783" t="str">
        <f t="shared" si="337"/>
        <v>10.20.8.188</v>
      </c>
      <c r="U783" t="str">
        <f t="shared" si="338"/>
        <v>AZRAD UMAR BIN SHAARI</v>
      </c>
      <c r="V783" t="str">
        <f t="shared" si="339"/>
        <v>FARHANA BINTI MUSTAPA</v>
      </c>
      <c r="W783" t="str">
        <f t="shared" si="340"/>
        <v>04-08-2020</v>
      </c>
      <c r="X783" t="str">
        <f t="shared" si="341"/>
        <v>RAZIMAH ANSAR AHMAD</v>
      </c>
      <c r="Y783" t="str">
        <f t="shared" si="342"/>
        <v>04-08-2020</v>
      </c>
      <c r="Z783" t="str">
        <f>"COS10200804 8371"</f>
        <v>COS10200804 8371</v>
      </c>
    </row>
    <row r="784" spans="1:26" x14ac:dyDescent="0.25">
      <c r="A784" t="str">
        <f t="shared" si="326"/>
        <v>04-08-2020 01:11:00</v>
      </c>
      <c r="B784" t="str">
        <f>"0000810175"</f>
        <v>0000810175</v>
      </c>
      <c r="C784" t="str">
        <f t="shared" si="327"/>
        <v>0000810005</v>
      </c>
      <c r="D784" t="str">
        <f t="shared" si="330"/>
        <v>73185</v>
      </c>
      <c r="E784" t="str">
        <f t="shared" si="331"/>
        <v>KFH-OPERATIONS DEPARTMENT</v>
      </c>
      <c r="F784" t="str">
        <f t="shared" si="332"/>
        <v>IBG</v>
      </c>
      <c r="G784" t="str">
        <f t="shared" si="343"/>
        <v>Refund COSHARE 10</v>
      </c>
      <c r="H784" s="2">
        <v>1117</v>
      </c>
      <c r="I784" t="str">
        <f>"ARIESIAH BINTI FATHIL"</f>
        <v>ARIESIAH BINTI FATHIL</v>
      </c>
      <c r="J784" t="str">
        <f t="shared" si="344"/>
        <v>RHB BANK / RHB ISLAMIC BANK</v>
      </c>
      <c r="K784" t="str">
        <f>"10104400349909"</f>
        <v>10104400349909</v>
      </c>
      <c r="L784" t="str">
        <f t="shared" si="328"/>
        <v>04-08-2020</v>
      </c>
      <c r="M784" t="str">
        <f t="shared" si="328"/>
        <v>04-08-2020</v>
      </c>
      <c r="N784" t="str">
        <f t="shared" si="333"/>
        <v>001105018356</v>
      </c>
      <c r="O784" t="str">
        <f t="shared" si="334"/>
        <v>MYR</v>
      </c>
      <c r="P784" t="str">
        <f t="shared" si="329"/>
        <v>NIL</v>
      </c>
      <c r="Q784" t="str">
        <f t="shared" si="329"/>
        <v>NIL</v>
      </c>
      <c r="R784" t="str">
        <f t="shared" si="335"/>
        <v>Accepted</v>
      </c>
      <c r="S784" t="str">
        <f t="shared" si="336"/>
        <v>Approved</v>
      </c>
      <c r="T784" t="str">
        <f t="shared" si="337"/>
        <v>10.20.8.188</v>
      </c>
      <c r="U784" t="str">
        <f t="shared" si="338"/>
        <v>AZRAD UMAR BIN SHAARI</v>
      </c>
      <c r="V784" t="str">
        <f t="shared" si="339"/>
        <v>FARHANA BINTI MUSTAPA</v>
      </c>
      <c r="W784" t="str">
        <f t="shared" si="340"/>
        <v>04-08-2020</v>
      </c>
      <c r="X784" t="str">
        <f t="shared" si="341"/>
        <v>RAZIMAH ANSAR AHMAD</v>
      </c>
      <c r="Y784" t="str">
        <f t="shared" si="342"/>
        <v>04-08-2020</v>
      </c>
      <c r="Z784" t="str">
        <f>"COS10200804 8370"</f>
        <v>COS10200804 8370</v>
      </c>
    </row>
    <row r="785" spans="1:26" x14ac:dyDescent="0.25">
      <c r="A785" t="str">
        <f t="shared" si="326"/>
        <v>04-08-2020 01:11:00</v>
      </c>
      <c r="B785" t="str">
        <f>"0000810174"</f>
        <v>0000810174</v>
      </c>
      <c r="C785" t="str">
        <f t="shared" si="327"/>
        <v>0000810005</v>
      </c>
      <c r="D785" t="str">
        <f t="shared" si="330"/>
        <v>73185</v>
      </c>
      <c r="E785" t="str">
        <f t="shared" si="331"/>
        <v>KFH-OPERATIONS DEPARTMENT</v>
      </c>
      <c r="F785" t="str">
        <f t="shared" si="332"/>
        <v>IBG</v>
      </c>
      <c r="G785" t="str">
        <f t="shared" si="343"/>
        <v>Refund COSHARE 10</v>
      </c>
      <c r="H785" s="2">
        <v>260</v>
      </c>
      <c r="I785" t="str">
        <f>"ARIESIAH BINTI FATHIL"</f>
        <v>ARIESIAH BINTI FATHIL</v>
      </c>
      <c r="J785" t="str">
        <f t="shared" si="344"/>
        <v>RHB BANK / RHB ISLAMIC BANK</v>
      </c>
      <c r="K785" t="str">
        <f>"10104400349909"</f>
        <v>10104400349909</v>
      </c>
      <c r="L785" t="str">
        <f t="shared" si="328"/>
        <v>04-08-2020</v>
      </c>
      <c r="M785" t="str">
        <f t="shared" si="328"/>
        <v>04-08-2020</v>
      </c>
      <c r="N785" t="str">
        <f t="shared" si="333"/>
        <v>001105018356</v>
      </c>
      <c r="O785" t="str">
        <f t="shared" si="334"/>
        <v>MYR</v>
      </c>
      <c r="P785" t="str">
        <f t="shared" si="329"/>
        <v>NIL</v>
      </c>
      <c r="Q785" t="str">
        <f t="shared" si="329"/>
        <v>NIL</v>
      </c>
      <c r="R785" t="str">
        <f t="shared" si="335"/>
        <v>Accepted</v>
      </c>
      <c r="S785" t="str">
        <f t="shared" si="336"/>
        <v>Approved</v>
      </c>
      <c r="T785" t="str">
        <f t="shared" si="337"/>
        <v>10.20.8.188</v>
      </c>
      <c r="U785" t="str">
        <f t="shared" si="338"/>
        <v>AZRAD UMAR BIN SHAARI</v>
      </c>
      <c r="V785" t="str">
        <f t="shared" si="339"/>
        <v>FARHANA BINTI MUSTAPA</v>
      </c>
      <c r="W785" t="str">
        <f t="shared" si="340"/>
        <v>04-08-2020</v>
      </c>
      <c r="X785" t="str">
        <f t="shared" si="341"/>
        <v>RAZIMAH ANSAR AHMAD</v>
      </c>
      <c r="Y785" t="str">
        <f t="shared" si="342"/>
        <v>04-08-2020</v>
      </c>
      <c r="Z785" t="str">
        <f>"COS10200804 8369"</f>
        <v>COS10200804 8369</v>
      </c>
    </row>
    <row r="786" spans="1:26" x14ac:dyDescent="0.25">
      <c r="A786" t="str">
        <f t="shared" ref="A786:A817" si="345">"04-08-2020 01:11:00"</f>
        <v>04-08-2020 01:11:00</v>
      </c>
      <c r="B786" t="str">
        <f>"0000810173"</f>
        <v>0000810173</v>
      </c>
      <c r="C786" t="str">
        <f t="shared" ref="C786:C817" si="346">"0000810005"</f>
        <v>0000810005</v>
      </c>
      <c r="D786" t="str">
        <f t="shared" si="330"/>
        <v>73185</v>
      </c>
      <c r="E786" t="str">
        <f t="shared" si="331"/>
        <v>KFH-OPERATIONS DEPARTMENT</v>
      </c>
      <c r="F786" t="str">
        <f t="shared" si="332"/>
        <v>IBG</v>
      </c>
      <c r="G786" t="str">
        <f t="shared" si="343"/>
        <v>Refund COSHARE 10</v>
      </c>
      <c r="H786" s="2">
        <v>307</v>
      </c>
      <c r="I786" t="str">
        <f>"ANNUAR BIN BAKRI"</f>
        <v>ANNUAR BIN BAKRI</v>
      </c>
      <c r="J786" t="str">
        <f t="shared" si="344"/>
        <v>RHB BANK / RHB ISLAMIC BANK</v>
      </c>
      <c r="K786" t="str">
        <f>"11118250032587"</f>
        <v>11118250032587</v>
      </c>
      <c r="L786" t="str">
        <f t="shared" si="328"/>
        <v>04-08-2020</v>
      </c>
      <c r="M786" t="str">
        <f t="shared" si="328"/>
        <v>04-08-2020</v>
      </c>
      <c r="N786" t="str">
        <f t="shared" si="333"/>
        <v>001105018356</v>
      </c>
      <c r="O786" t="str">
        <f t="shared" si="334"/>
        <v>MYR</v>
      </c>
      <c r="P786" t="str">
        <f t="shared" si="329"/>
        <v>NIL</v>
      </c>
      <c r="Q786" t="str">
        <f t="shared" si="329"/>
        <v>NIL</v>
      </c>
      <c r="R786" t="str">
        <f t="shared" si="335"/>
        <v>Accepted</v>
      </c>
      <c r="S786" t="str">
        <f t="shared" si="336"/>
        <v>Approved</v>
      </c>
      <c r="T786" t="str">
        <f t="shared" si="337"/>
        <v>10.20.8.188</v>
      </c>
      <c r="U786" t="str">
        <f t="shared" si="338"/>
        <v>AZRAD UMAR BIN SHAARI</v>
      </c>
      <c r="V786" t="str">
        <f t="shared" si="339"/>
        <v>FARHANA BINTI MUSTAPA</v>
      </c>
      <c r="W786" t="str">
        <f t="shared" si="340"/>
        <v>04-08-2020</v>
      </c>
      <c r="X786" t="str">
        <f t="shared" si="341"/>
        <v>RAZIMAH ANSAR AHMAD</v>
      </c>
      <c r="Y786" t="str">
        <f t="shared" si="342"/>
        <v>04-08-2020</v>
      </c>
      <c r="Z786" t="str">
        <f>"COS10200804 8368"</f>
        <v>COS10200804 8368</v>
      </c>
    </row>
    <row r="787" spans="1:26" x14ac:dyDescent="0.25">
      <c r="A787" t="str">
        <f t="shared" si="345"/>
        <v>04-08-2020 01:11:00</v>
      </c>
      <c r="B787" t="str">
        <f>"0000810172"</f>
        <v>0000810172</v>
      </c>
      <c r="C787" t="str">
        <f t="shared" si="346"/>
        <v>0000810005</v>
      </c>
      <c r="D787" t="str">
        <f t="shared" si="330"/>
        <v>73185</v>
      </c>
      <c r="E787" t="str">
        <f t="shared" si="331"/>
        <v>KFH-OPERATIONS DEPARTMENT</v>
      </c>
      <c r="F787" t="str">
        <f t="shared" si="332"/>
        <v>IBG</v>
      </c>
      <c r="G787" t="str">
        <f t="shared" si="343"/>
        <v>Refund COSHARE 10</v>
      </c>
      <c r="H787" s="2">
        <v>604.45000000000005</v>
      </c>
      <c r="I787" t="str">
        <f>"ANNIZA BINTI ALIAS"</f>
        <v>ANNIZA BINTI ALIAS</v>
      </c>
      <c r="J787" t="str">
        <f t="shared" si="344"/>
        <v>RHB BANK / RHB ISLAMIC BANK</v>
      </c>
      <c r="K787" t="str">
        <f>"11410100133250"</f>
        <v>11410100133250</v>
      </c>
      <c r="L787" t="str">
        <f t="shared" ref="L787:M806" si="347">"04-08-2020"</f>
        <v>04-08-2020</v>
      </c>
      <c r="M787" t="str">
        <f t="shared" si="347"/>
        <v>04-08-2020</v>
      </c>
      <c r="N787" t="str">
        <f t="shared" si="333"/>
        <v>001105018356</v>
      </c>
      <c r="O787" t="str">
        <f t="shared" si="334"/>
        <v>MYR</v>
      </c>
      <c r="P787" t="str">
        <f t="shared" ref="P787:Q806" si="348">"NIL"</f>
        <v>NIL</v>
      </c>
      <c r="Q787" t="str">
        <f t="shared" si="348"/>
        <v>NIL</v>
      </c>
      <c r="R787" t="str">
        <f t="shared" si="335"/>
        <v>Accepted</v>
      </c>
      <c r="S787" t="str">
        <f t="shared" si="336"/>
        <v>Approved</v>
      </c>
      <c r="T787" t="str">
        <f t="shared" si="337"/>
        <v>10.20.8.188</v>
      </c>
      <c r="U787" t="str">
        <f t="shared" si="338"/>
        <v>AZRAD UMAR BIN SHAARI</v>
      </c>
      <c r="V787" t="str">
        <f t="shared" si="339"/>
        <v>FARHANA BINTI MUSTAPA</v>
      </c>
      <c r="W787" t="str">
        <f t="shared" si="340"/>
        <v>04-08-2020</v>
      </c>
      <c r="X787" t="str">
        <f t="shared" si="341"/>
        <v>RAZIMAH ANSAR AHMAD</v>
      </c>
      <c r="Y787" t="str">
        <f t="shared" si="342"/>
        <v>04-08-2020</v>
      </c>
      <c r="Z787" t="str">
        <f>"COS10200804 8367"</f>
        <v>COS10200804 8367</v>
      </c>
    </row>
    <row r="788" spans="1:26" x14ac:dyDescent="0.25">
      <c r="A788" t="str">
        <f t="shared" si="345"/>
        <v>04-08-2020 01:11:00</v>
      </c>
      <c r="B788" t="str">
        <f>"0000810171"</f>
        <v>0000810171</v>
      </c>
      <c r="C788" t="str">
        <f t="shared" si="346"/>
        <v>0000810005</v>
      </c>
      <c r="D788" t="str">
        <f t="shared" si="330"/>
        <v>73185</v>
      </c>
      <c r="E788" t="str">
        <f t="shared" si="331"/>
        <v>KFH-OPERATIONS DEPARTMENT</v>
      </c>
      <c r="F788" t="str">
        <f t="shared" si="332"/>
        <v>IBG</v>
      </c>
      <c r="G788" t="str">
        <f t="shared" si="343"/>
        <v>Refund COSHARE 10</v>
      </c>
      <c r="H788" s="2">
        <v>50.4</v>
      </c>
      <c r="I788" t="str">
        <f>"ALEXANDER ANAK SEBU"</f>
        <v>ALEXANDER ANAK SEBU</v>
      </c>
      <c r="J788" t="str">
        <f t="shared" si="344"/>
        <v>RHB BANK / RHB ISLAMIC BANK</v>
      </c>
      <c r="K788" t="str">
        <f>"11117300008465"</f>
        <v>11117300008465</v>
      </c>
      <c r="L788" t="str">
        <f t="shared" si="347"/>
        <v>04-08-2020</v>
      </c>
      <c r="M788" t="str">
        <f t="shared" si="347"/>
        <v>04-08-2020</v>
      </c>
      <c r="N788" t="str">
        <f t="shared" si="333"/>
        <v>001105018356</v>
      </c>
      <c r="O788" t="str">
        <f t="shared" si="334"/>
        <v>MYR</v>
      </c>
      <c r="P788" t="str">
        <f t="shared" si="348"/>
        <v>NIL</v>
      </c>
      <c r="Q788" t="str">
        <f t="shared" si="348"/>
        <v>NIL</v>
      </c>
      <c r="R788" t="str">
        <f t="shared" si="335"/>
        <v>Accepted</v>
      </c>
      <c r="S788" t="str">
        <f t="shared" si="336"/>
        <v>Approved</v>
      </c>
      <c r="T788" t="str">
        <f t="shared" si="337"/>
        <v>10.20.8.188</v>
      </c>
      <c r="U788" t="str">
        <f t="shared" si="338"/>
        <v>AZRAD UMAR BIN SHAARI</v>
      </c>
      <c r="V788" t="str">
        <f t="shared" si="339"/>
        <v>FARHANA BINTI MUSTAPA</v>
      </c>
      <c r="W788" t="str">
        <f t="shared" si="340"/>
        <v>04-08-2020</v>
      </c>
      <c r="X788" t="str">
        <f t="shared" si="341"/>
        <v>RAZIMAH ANSAR AHMAD</v>
      </c>
      <c r="Y788" t="str">
        <f t="shared" si="342"/>
        <v>04-08-2020</v>
      </c>
      <c r="Z788" t="str">
        <f>"COS10200804 8366"</f>
        <v>COS10200804 8366</v>
      </c>
    </row>
    <row r="789" spans="1:26" x14ac:dyDescent="0.25">
      <c r="A789" t="str">
        <f t="shared" si="345"/>
        <v>04-08-2020 01:11:00</v>
      </c>
      <c r="B789" t="str">
        <f>"0000810170"</f>
        <v>0000810170</v>
      </c>
      <c r="C789" t="str">
        <f t="shared" si="346"/>
        <v>0000810005</v>
      </c>
      <c r="D789" t="str">
        <f t="shared" si="330"/>
        <v>73185</v>
      </c>
      <c r="E789" t="str">
        <f t="shared" si="331"/>
        <v>KFH-OPERATIONS DEPARTMENT</v>
      </c>
      <c r="F789" t="str">
        <f t="shared" si="332"/>
        <v>IBG</v>
      </c>
      <c r="G789" t="str">
        <f t="shared" si="343"/>
        <v>Refund COSHARE 10</v>
      </c>
      <c r="H789" s="2">
        <v>839.5</v>
      </c>
      <c r="I789" t="str">
        <f>"AHMAD JOHNNY BIN WAHID"</f>
        <v>AHMAD JOHNNY BIN WAHID</v>
      </c>
      <c r="J789" t="str">
        <f t="shared" si="344"/>
        <v>RHB BANK / RHB ISLAMIC BANK</v>
      </c>
      <c r="K789" t="str">
        <f>"11501400040912"</f>
        <v>11501400040912</v>
      </c>
      <c r="L789" t="str">
        <f t="shared" si="347"/>
        <v>04-08-2020</v>
      </c>
      <c r="M789" t="str">
        <f t="shared" si="347"/>
        <v>04-08-2020</v>
      </c>
      <c r="N789" t="str">
        <f t="shared" si="333"/>
        <v>001105018356</v>
      </c>
      <c r="O789" t="str">
        <f t="shared" si="334"/>
        <v>MYR</v>
      </c>
      <c r="P789" t="str">
        <f t="shared" si="348"/>
        <v>NIL</v>
      </c>
      <c r="Q789" t="str">
        <f t="shared" si="348"/>
        <v>NIL</v>
      </c>
      <c r="R789" t="str">
        <f t="shared" si="335"/>
        <v>Accepted</v>
      </c>
      <c r="S789" t="str">
        <f t="shared" si="336"/>
        <v>Approved</v>
      </c>
      <c r="T789" t="str">
        <f t="shared" si="337"/>
        <v>10.20.8.188</v>
      </c>
      <c r="U789" t="str">
        <f t="shared" si="338"/>
        <v>AZRAD UMAR BIN SHAARI</v>
      </c>
      <c r="V789" t="str">
        <f t="shared" si="339"/>
        <v>FARHANA BINTI MUSTAPA</v>
      </c>
      <c r="W789" t="str">
        <f t="shared" si="340"/>
        <v>04-08-2020</v>
      </c>
      <c r="X789" t="str">
        <f t="shared" si="341"/>
        <v>RAZIMAH ANSAR AHMAD</v>
      </c>
      <c r="Y789" t="str">
        <f t="shared" si="342"/>
        <v>04-08-2020</v>
      </c>
      <c r="Z789" t="str">
        <f>"COS10200804 8365"</f>
        <v>COS10200804 8365</v>
      </c>
    </row>
    <row r="790" spans="1:26" x14ac:dyDescent="0.25">
      <c r="A790" t="str">
        <f t="shared" si="345"/>
        <v>04-08-2020 01:11:00</v>
      </c>
      <c r="B790" t="str">
        <f>"0000810169"</f>
        <v>0000810169</v>
      </c>
      <c r="C790" t="str">
        <f t="shared" si="346"/>
        <v>0000810005</v>
      </c>
      <c r="D790" t="str">
        <f t="shared" si="330"/>
        <v>73185</v>
      </c>
      <c r="E790" t="str">
        <f t="shared" si="331"/>
        <v>KFH-OPERATIONS DEPARTMENT</v>
      </c>
      <c r="F790" t="str">
        <f t="shared" si="332"/>
        <v>IBG</v>
      </c>
      <c r="G790" t="str">
        <f t="shared" si="343"/>
        <v>Refund COSHARE 10</v>
      </c>
      <c r="H790" s="2">
        <v>918</v>
      </c>
      <c r="I790" t="str">
        <f>"AHMAD FUAD BIN MOHD HASHIM"</f>
        <v>AHMAD FUAD BIN MOHD HASHIM</v>
      </c>
      <c r="J790" t="str">
        <f t="shared" si="344"/>
        <v>RHB BANK / RHB ISLAMIC BANK</v>
      </c>
      <c r="K790" t="str">
        <f>"11405300456480"</f>
        <v>11405300456480</v>
      </c>
      <c r="L790" t="str">
        <f t="shared" si="347"/>
        <v>04-08-2020</v>
      </c>
      <c r="M790" t="str">
        <f t="shared" si="347"/>
        <v>04-08-2020</v>
      </c>
      <c r="N790" t="str">
        <f t="shared" si="333"/>
        <v>001105018356</v>
      </c>
      <c r="O790" t="str">
        <f t="shared" si="334"/>
        <v>MYR</v>
      </c>
      <c r="P790" t="str">
        <f t="shared" si="348"/>
        <v>NIL</v>
      </c>
      <c r="Q790" t="str">
        <f t="shared" si="348"/>
        <v>NIL</v>
      </c>
      <c r="R790" t="str">
        <f t="shared" si="335"/>
        <v>Accepted</v>
      </c>
      <c r="S790" t="str">
        <f t="shared" si="336"/>
        <v>Approved</v>
      </c>
      <c r="T790" t="str">
        <f t="shared" si="337"/>
        <v>10.20.8.188</v>
      </c>
      <c r="U790" t="str">
        <f t="shared" si="338"/>
        <v>AZRAD UMAR BIN SHAARI</v>
      </c>
      <c r="V790" t="str">
        <f t="shared" si="339"/>
        <v>FARHANA BINTI MUSTAPA</v>
      </c>
      <c r="W790" t="str">
        <f t="shared" si="340"/>
        <v>04-08-2020</v>
      </c>
      <c r="X790" t="str">
        <f t="shared" si="341"/>
        <v>RAZIMAH ANSAR AHMAD</v>
      </c>
      <c r="Y790" t="str">
        <f t="shared" si="342"/>
        <v>04-08-2020</v>
      </c>
      <c r="Z790" t="str">
        <f>"COS10200804 8364"</f>
        <v>COS10200804 8364</v>
      </c>
    </row>
    <row r="791" spans="1:26" x14ac:dyDescent="0.25">
      <c r="A791" t="str">
        <f t="shared" si="345"/>
        <v>04-08-2020 01:11:00</v>
      </c>
      <c r="B791" t="str">
        <f>"0000810168"</f>
        <v>0000810168</v>
      </c>
      <c r="C791" t="str">
        <f t="shared" si="346"/>
        <v>0000810005</v>
      </c>
      <c r="D791" t="str">
        <f t="shared" si="330"/>
        <v>73185</v>
      </c>
      <c r="E791" t="str">
        <f t="shared" si="331"/>
        <v>KFH-OPERATIONS DEPARTMENT</v>
      </c>
      <c r="F791" t="str">
        <f t="shared" si="332"/>
        <v>IBG</v>
      </c>
      <c r="G791" t="str">
        <f t="shared" si="343"/>
        <v>Refund COSHARE 10</v>
      </c>
      <c r="H791" s="2">
        <v>335.8</v>
      </c>
      <c r="I791" t="str">
        <f>"AHMAD FARID BIN MAT PIAH"</f>
        <v>AHMAD FARID BIN MAT PIAH</v>
      </c>
      <c r="J791" t="str">
        <f t="shared" si="344"/>
        <v>RHB BANK / RHB ISLAMIC BANK</v>
      </c>
      <c r="K791" t="str">
        <f>"11803800055653"</f>
        <v>11803800055653</v>
      </c>
      <c r="L791" t="str">
        <f t="shared" si="347"/>
        <v>04-08-2020</v>
      </c>
      <c r="M791" t="str">
        <f t="shared" si="347"/>
        <v>04-08-2020</v>
      </c>
      <c r="N791" t="str">
        <f t="shared" si="333"/>
        <v>001105018356</v>
      </c>
      <c r="O791" t="str">
        <f t="shared" si="334"/>
        <v>MYR</v>
      </c>
      <c r="P791" t="str">
        <f t="shared" si="348"/>
        <v>NIL</v>
      </c>
      <c r="Q791" t="str">
        <f t="shared" si="348"/>
        <v>NIL</v>
      </c>
      <c r="R791" t="str">
        <f t="shared" si="335"/>
        <v>Accepted</v>
      </c>
      <c r="S791" t="str">
        <f t="shared" si="336"/>
        <v>Approved</v>
      </c>
      <c r="T791" t="str">
        <f t="shared" si="337"/>
        <v>10.20.8.188</v>
      </c>
      <c r="U791" t="str">
        <f t="shared" si="338"/>
        <v>AZRAD UMAR BIN SHAARI</v>
      </c>
      <c r="V791" t="str">
        <f t="shared" si="339"/>
        <v>FARHANA BINTI MUSTAPA</v>
      </c>
      <c r="W791" t="str">
        <f t="shared" si="340"/>
        <v>04-08-2020</v>
      </c>
      <c r="X791" t="str">
        <f t="shared" si="341"/>
        <v>RAZIMAH ANSAR AHMAD</v>
      </c>
      <c r="Y791" t="str">
        <f t="shared" si="342"/>
        <v>04-08-2020</v>
      </c>
      <c r="Z791" t="str">
        <f>"COS10200804 8363"</f>
        <v>COS10200804 8363</v>
      </c>
    </row>
    <row r="792" spans="1:26" x14ac:dyDescent="0.25">
      <c r="A792" t="str">
        <f t="shared" si="345"/>
        <v>04-08-2020 01:11:00</v>
      </c>
      <c r="B792" t="str">
        <f>"0000810167"</f>
        <v>0000810167</v>
      </c>
      <c r="C792" t="str">
        <f t="shared" si="346"/>
        <v>0000810005</v>
      </c>
      <c r="D792" t="str">
        <f t="shared" si="330"/>
        <v>73185</v>
      </c>
      <c r="E792" t="str">
        <f t="shared" si="331"/>
        <v>KFH-OPERATIONS DEPARTMENT</v>
      </c>
      <c r="F792" t="str">
        <f t="shared" si="332"/>
        <v>IBG</v>
      </c>
      <c r="G792" t="str">
        <f t="shared" si="343"/>
        <v>Refund COSHARE 10</v>
      </c>
      <c r="H792" s="2">
        <v>1738.7</v>
      </c>
      <c r="I792" t="str">
        <f>"ADURANI BINTI HAMZAH"</f>
        <v>ADURANI BINTI HAMZAH</v>
      </c>
      <c r="J792" t="str">
        <f t="shared" si="344"/>
        <v>RHB BANK / RHB ISLAMIC BANK</v>
      </c>
      <c r="K792" t="str">
        <f>"15305200005287"</f>
        <v>15305200005287</v>
      </c>
      <c r="L792" t="str">
        <f t="shared" si="347"/>
        <v>04-08-2020</v>
      </c>
      <c r="M792" t="str">
        <f t="shared" si="347"/>
        <v>04-08-2020</v>
      </c>
      <c r="N792" t="str">
        <f t="shared" si="333"/>
        <v>001105018356</v>
      </c>
      <c r="O792" t="str">
        <f t="shared" si="334"/>
        <v>MYR</v>
      </c>
      <c r="P792" t="str">
        <f t="shared" si="348"/>
        <v>NIL</v>
      </c>
      <c r="Q792" t="str">
        <f t="shared" si="348"/>
        <v>NIL</v>
      </c>
      <c r="R792" t="str">
        <f t="shared" si="335"/>
        <v>Accepted</v>
      </c>
      <c r="S792" t="str">
        <f t="shared" si="336"/>
        <v>Approved</v>
      </c>
      <c r="T792" t="str">
        <f t="shared" si="337"/>
        <v>10.20.8.188</v>
      </c>
      <c r="U792" t="str">
        <f t="shared" si="338"/>
        <v>AZRAD UMAR BIN SHAARI</v>
      </c>
      <c r="V792" t="str">
        <f t="shared" si="339"/>
        <v>FARHANA BINTI MUSTAPA</v>
      </c>
      <c r="W792" t="str">
        <f t="shared" si="340"/>
        <v>04-08-2020</v>
      </c>
      <c r="X792" t="str">
        <f t="shared" si="341"/>
        <v>RAZIMAH ANSAR AHMAD</v>
      </c>
      <c r="Y792" t="str">
        <f t="shared" si="342"/>
        <v>04-08-2020</v>
      </c>
      <c r="Z792" t="str">
        <f>"COS10200804 8362"</f>
        <v>COS10200804 8362</v>
      </c>
    </row>
    <row r="793" spans="1:26" x14ac:dyDescent="0.25">
      <c r="A793" t="str">
        <f t="shared" si="345"/>
        <v>04-08-2020 01:11:00</v>
      </c>
      <c r="B793" t="str">
        <f>"0000810166"</f>
        <v>0000810166</v>
      </c>
      <c r="C793" t="str">
        <f t="shared" si="346"/>
        <v>0000810005</v>
      </c>
      <c r="D793" t="str">
        <f t="shared" si="330"/>
        <v>73185</v>
      </c>
      <c r="E793" t="str">
        <f t="shared" si="331"/>
        <v>KFH-OPERATIONS DEPARTMENT</v>
      </c>
      <c r="F793" t="str">
        <f t="shared" si="332"/>
        <v>IBG</v>
      </c>
      <c r="G793" t="str">
        <f t="shared" si="343"/>
        <v>Refund COSHARE 10</v>
      </c>
      <c r="H793" s="2">
        <v>731.85</v>
      </c>
      <c r="I793" t="str">
        <f>"ABU ZAKI BIN ROMLI"</f>
        <v>ABU ZAKI BIN ROMLI</v>
      </c>
      <c r="J793" t="str">
        <f t="shared" si="344"/>
        <v>RHB BANK / RHB ISLAMIC BANK</v>
      </c>
      <c r="K793" t="str">
        <f>"15210300010088"</f>
        <v>15210300010088</v>
      </c>
      <c r="L793" t="str">
        <f t="shared" si="347"/>
        <v>04-08-2020</v>
      </c>
      <c r="M793" t="str">
        <f t="shared" si="347"/>
        <v>04-08-2020</v>
      </c>
      <c r="N793" t="str">
        <f t="shared" si="333"/>
        <v>001105018356</v>
      </c>
      <c r="O793" t="str">
        <f t="shared" si="334"/>
        <v>MYR</v>
      </c>
      <c r="P793" t="str">
        <f t="shared" si="348"/>
        <v>NIL</v>
      </c>
      <c r="Q793" t="str">
        <f t="shared" si="348"/>
        <v>NIL</v>
      </c>
      <c r="R793" t="str">
        <f t="shared" si="335"/>
        <v>Accepted</v>
      </c>
      <c r="S793" t="str">
        <f t="shared" si="336"/>
        <v>Approved</v>
      </c>
      <c r="T793" t="str">
        <f t="shared" si="337"/>
        <v>10.20.8.188</v>
      </c>
      <c r="U793" t="str">
        <f t="shared" si="338"/>
        <v>AZRAD UMAR BIN SHAARI</v>
      </c>
      <c r="V793" t="str">
        <f t="shared" si="339"/>
        <v>FARHANA BINTI MUSTAPA</v>
      </c>
      <c r="W793" t="str">
        <f t="shared" si="340"/>
        <v>04-08-2020</v>
      </c>
      <c r="X793" t="str">
        <f t="shared" si="341"/>
        <v>RAZIMAH ANSAR AHMAD</v>
      </c>
      <c r="Y793" t="str">
        <f t="shared" si="342"/>
        <v>04-08-2020</v>
      </c>
      <c r="Z793" t="str">
        <f>"COS10200804 8361"</f>
        <v>COS10200804 8361</v>
      </c>
    </row>
    <row r="794" spans="1:26" x14ac:dyDescent="0.25">
      <c r="A794" t="str">
        <f t="shared" si="345"/>
        <v>04-08-2020 01:11:00</v>
      </c>
      <c r="B794" t="str">
        <f>"0000810165"</f>
        <v>0000810165</v>
      </c>
      <c r="C794" t="str">
        <f t="shared" si="346"/>
        <v>0000810005</v>
      </c>
      <c r="D794" t="str">
        <f t="shared" si="330"/>
        <v>73185</v>
      </c>
      <c r="E794" t="str">
        <f t="shared" si="331"/>
        <v>KFH-OPERATIONS DEPARTMENT</v>
      </c>
      <c r="F794" t="str">
        <f t="shared" si="332"/>
        <v>IBG</v>
      </c>
      <c r="G794" t="str">
        <f t="shared" si="343"/>
        <v>Refund COSHARE 10</v>
      </c>
      <c r="H794" s="2">
        <v>298</v>
      </c>
      <c r="I794" t="str">
        <f>"ABU BIN BUJANG"</f>
        <v>ABU BIN BUJANG</v>
      </c>
      <c r="J794" t="str">
        <f t="shared" si="344"/>
        <v>RHB BANK / RHB ISLAMIC BANK</v>
      </c>
      <c r="K794" t="str">
        <f>"11117350019797"</f>
        <v>11117350019797</v>
      </c>
      <c r="L794" t="str">
        <f t="shared" si="347"/>
        <v>04-08-2020</v>
      </c>
      <c r="M794" t="str">
        <f t="shared" si="347"/>
        <v>04-08-2020</v>
      </c>
      <c r="N794" t="str">
        <f t="shared" si="333"/>
        <v>001105018356</v>
      </c>
      <c r="O794" t="str">
        <f t="shared" si="334"/>
        <v>MYR</v>
      </c>
      <c r="P794" t="str">
        <f t="shared" si="348"/>
        <v>NIL</v>
      </c>
      <c r="Q794" t="str">
        <f t="shared" si="348"/>
        <v>NIL</v>
      </c>
      <c r="R794" t="str">
        <f t="shared" si="335"/>
        <v>Accepted</v>
      </c>
      <c r="S794" t="str">
        <f t="shared" si="336"/>
        <v>Approved</v>
      </c>
      <c r="T794" t="str">
        <f t="shared" si="337"/>
        <v>10.20.8.188</v>
      </c>
      <c r="U794" t="str">
        <f t="shared" si="338"/>
        <v>AZRAD UMAR BIN SHAARI</v>
      </c>
      <c r="V794" t="str">
        <f t="shared" si="339"/>
        <v>FARHANA BINTI MUSTAPA</v>
      </c>
      <c r="W794" t="str">
        <f t="shared" si="340"/>
        <v>04-08-2020</v>
      </c>
      <c r="X794" t="str">
        <f t="shared" si="341"/>
        <v>RAZIMAH ANSAR AHMAD</v>
      </c>
      <c r="Y794" t="str">
        <f t="shared" si="342"/>
        <v>04-08-2020</v>
      </c>
      <c r="Z794" t="str">
        <f>"COS10200804 8360"</f>
        <v>COS10200804 8360</v>
      </c>
    </row>
    <row r="795" spans="1:26" x14ac:dyDescent="0.25">
      <c r="A795" t="str">
        <f t="shared" si="345"/>
        <v>04-08-2020 01:11:00</v>
      </c>
      <c r="B795" t="str">
        <f>"0000810164"</f>
        <v>0000810164</v>
      </c>
      <c r="C795" t="str">
        <f t="shared" si="346"/>
        <v>0000810005</v>
      </c>
      <c r="D795" t="str">
        <f t="shared" si="330"/>
        <v>73185</v>
      </c>
      <c r="E795" t="str">
        <f t="shared" si="331"/>
        <v>KFH-OPERATIONS DEPARTMENT</v>
      </c>
      <c r="F795" t="str">
        <f t="shared" si="332"/>
        <v>IBG</v>
      </c>
      <c r="G795" t="str">
        <f t="shared" si="343"/>
        <v>Refund COSHARE 10</v>
      </c>
      <c r="H795" s="2">
        <v>1130</v>
      </c>
      <c r="I795" t="str">
        <f>"ABG MOHD AHADIE ZAINIE BIN ABG HASNI"</f>
        <v>ABG MOHD AHADIE ZAINIE BIN ABG HASNI</v>
      </c>
      <c r="J795" t="str">
        <f t="shared" si="344"/>
        <v>RHB BANK / RHB ISLAMIC BANK</v>
      </c>
      <c r="K795" t="str">
        <f>"11118200092535"</f>
        <v>11118200092535</v>
      </c>
      <c r="L795" t="str">
        <f t="shared" si="347"/>
        <v>04-08-2020</v>
      </c>
      <c r="M795" t="str">
        <f t="shared" si="347"/>
        <v>04-08-2020</v>
      </c>
      <c r="N795" t="str">
        <f t="shared" si="333"/>
        <v>001105018356</v>
      </c>
      <c r="O795" t="str">
        <f t="shared" si="334"/>
        <v>MYR</v>
      </c>
      <c r="P795" t="str">
        <f t="shared" si="348"/>
        <v>NIL</v>
      </c>
      <c r="Q795" t="str">
        <f t="shared" si="348"/>
        <v>NIL</v>
      </c>
      <c r="R795" t="str">
        <f t="shared" si="335"/>
        <v>Accepted</v>
      </c>
      <c r="S795" t="str">
        <f t="shared" si="336"/>
        <v>Approved</v>
      </c>
      <c r="T795" t="str">
        <f t="shared" si="337"/>
        <v>10.20.8.188</v>
      </c>
      <c r="U795" t="str">
        <f t="shared" si="338"/>
        <v>AZRAD UMAR BIN SHAARI</v>
      </c>
      <c r="V795" t="str">
        <f t="shared" si="339"/>
        <v>FARHANA BINTI MUSTAPA</v>
      </c>
      <c r="W795" t="str">
        <f t="shared" si="340"/>
        <v>04-08-2020</v>
      </c>
      <c r="X795" t="str">
        <f t="shared" si="341"/>
        <v>RAZIMAH ANSAR AHMAD</v>
      </c>
      <c r="Y795" t="str">
        <f t="shared" si="342"/>
        <v>04-08-2020</v>
      </c>
      <c r="Z795" t="str">
        <f>"COS10200804 8359"</f>
        <v>COS10200804 8359</v>
      </c>
    </row>
    <row r="796" spans="1:26" x14ac:dyDescent="0.25">
      <c r="A796" t="str">
        <f t="shared" si="345"/>
        <v>04-08-2020 01:11:00</v>
      </c>
      <c r="B796" t="str">
        <f>"0000810163"</f>
        <v>0000810163</v>
      </c>
      <c r="C796" t="str">
        <f t="shared" si="346"/>
        <v>0000810005</v>
      </c>
      <c r="D796" t="str">
        <f t="shared" si="330"/>
        <v>73185</v>
      </c>
      <c r="E796" t="str">
        <f t="shared" si="331"/>
        <v>KFH-OPERATIONS DEPARTMENT</v>
      </c>
      <c r="F796" t="str">
        <f t="shared" si="332"/>
        <v>IBG</v>
      </c>
      <c r="G796" t="str">
        <f t="shared" si="343"/>
        <v>Refund COSHARE 10</v>
      </c>
      <c r="H796" s="2">
        <v>834.05</v>
      </c>
      <c r="I796" t="str">
        <f>"ABDUL RAZAK BIN ABDUL KARIM"</f>
        <v>ABDUL RAZAK BIN ABDUL KARIM</v>
      </c>
      <c r="J796" t="str">
        <f t="shared" si="344"/>
        <v>RHB BANK / RHB ISLAMIC BANK</v>
      </c>
      <c r="K796" t="str">
        <f>"20117400033363"</f>
        <v>20117400033363</v>
      </c>
      <c r="L796" t="str">
        <f t="shared" si="347"/>
        <v>04-08-2020</v>
      </c>
      <c r="M796" t="str">
        <f t="shared" si="347"/>
        <v>04-08-2020</v>
      </c>
      <c r="N796" t="str">
        <f t="shared" si="333"/>
        <v>001105018356</v>
      </c>
      <c r="O796" t="str">
        <f t="shared" si="334"/>
        <v>MYR</v>
      </c>
      <c r="P796" t="str">
        <f t="shared" si="348"/>
        <v>NIL</v>
      </c>
      <c r="Q796" t="str">
        <f t="shared" si="348"/>
        <v>NIL</v>
      </c>
      <c r="R796" t="str">
        <f t="shared" si="335"/>
        <v>Accepted</v>
      </c>
      <c r="S796" t="str">
        <f t="shared" si="336"/>
        <v>Approved</v>
      </c>
      <c r="T796" t="str">
        <f t="shared" si="337"/>
        <v>10.20.8.188</v>
      </c>
      <c r="U796" t="str">
        <f t="shared" si="338"/>
        <v>AZRAD UMAR BIN SHAARI</v>
      </c>
      <c r="V796" t="str">
        <f t="shared" si="339"/>
        <v>FARHANA BINTI MUSTAPA</v>
      </c>
      <c r="W796" t="str">
        <f t="shared" si="340"/>
        <v>04-08-2020</v>
      </c>
      <c r="X796" t="str">
        <f t="shared" si="341"/>
        <v>RAZIMAH ANSAR AHMAD</v>
      </c>
      <c r="Y796" t="str">
        <f t="shared" si="342"/>
        <v>04-08-2020</v>
      </c>
      <c r="Z796" t="str">
        <f>"COS10200804 8358"</f>
        <v>COS10200804 8358</v>
      </c>
    </row>
    <row r="797" spans="1:26" x14ac:dyDescent="0.25">
      <c r="A797" t="str">
        <f t="shared" si="345"/>
        <v>04-08-2020 01:11:00</v>
      </c>
      <c r="B797" t="str">
        <f>"0000810162"</f>
        <v>0000810162</v>
      </c>
      <c r="C797" t="str">
        <f t="shared" si="346"/>
        <v>0000810005</v>
      </c>
      <c r="D797" t="str">
        <f t="shared" si="330"/>
        <v>73185</v>
      </c>
      <c r="E797" t="str">
        <f t="shared" si="331"/>
        <v>KFH-OPERATIONS DEPARTMENT</v>
      </c>
      <c r="F797" t="str">
        <f t="shared" si="332"/>
        <v>IBG</v>
      </c>
      <c r="G797" t="str">
        <f t="shared" si="343"/>
        <v>Refund COSHARE 10</v>
      </c>
      <c r="H797" s="2">
        <v>597.1</v>
      </c>
      <c r="I797" t="str">
        <f>"ABDUL RASIK BIN TALIP"</f>
        <v>ABDUL RASIK BIN TALIP</v>
      </c>
      <c r="J797" t="str">
        <f t="shared" si="344"/>
        <v>RHB BANK / RHB ISLAMIC BANK</v>
      </c>
      <c r="K797" t="str">
        <f>"11004600189289"</f>
        <v>11004600189289</v>
      </c>
      <c r="L797" t="str">
        <f t="shared" si="347"/>
        <v>04-08-2020</v>
      </c>
      <c r="M797" t="str">
        <f t="shared" si="347"/>
        <v>04-08-2020</v>
      </c>
      <c r="N797" t="str">
        <f t="shared" si="333"/>
        <v>001105018356</v>
      </c>
      <c r="O797" t="str">
        <f t="shared" si="334"/>
        <v>MYR</v>
      </c>
      <c r="P797" t="str">
        <f t="shared" si="348"/>
        <v>NIL</v>
      </c>
      <c r="Q797" t="str">
        <f t="shared" si="348"/>
        <v>NIL</v>
      </c>
      <c r="R797" t="str">
        <f t="shared" si="335"/>
        <v>Accepted</v>
      </c>
      <c r="S797" t="str">
        <f t="shared" si="336"/>
        <v>Approved</v>
      </c>
      <c r="T797" t="str">
        <f t="shared" si="337"/>
        <v>10.20.8.188</v>
      </c>
      <c r="U797" t="str">
        <f t="shared" si="338"/>
        <v>AZRAD UMAR BIN SHAARI</v>
      </c>
      <c r="V797" t="str">
        <f t="shared" si="339"/>
        <v>FARHANA BINTI MUSTAPA</v>
      </c>
      <c r="W797" t="str">
        <f t="shared" si="340"/>
        <v>04-08-2020</v>
      </c>
      <c r="X797" t="str">
        <f t="shared" si="341"/>
        <v>RAZIMAH ANSAR AHMAD</v>
      </c>
      <c r="Y797" t="str">
        <f t="shared" si="342"/>
        <v>04-08-2020</v>
      </c>
      <c r="Z797" t="str">
        <f>"COS10200804 8357"</f>
        <v>COS10200804 8357</v>
      </c>
    </row>
    <row r="798" spans="1:26" x14ac:dyDescent="0.25">
      <c r="A798" t="str">
        <f t="shared" si="345"/>
        <v>04-08-2020 01:11:00</v>
      </c>
      <c r="B798" t="str">
        <f>"0000810161"</f>
        <v>0000810161</v>
      </c>
      <c r="C798" t="str">
        <f t="shared" si="346"/>
        <v>0000810005</v>
      </c>
      <c r="D798" t="str">
        <f t="shared" si="330"/>
        <v>73185</v>
      </c>
      <c r="E798" t="str">
        <f t="shared" si="331"/>
        <v>KFH-OPERATIONS DEPARTMENT</v>
      </c>
      <c r="F798" t="str">
        <f t="shared" si="332"/>
        <v>IBG</v>
      </c>
      <c r="G798" t="str">
        <f t="shared" si="343"/>
        <v>Refund COSHARE 10</v>
      </c>
      <c r="H798" s="2">
        <v>1724</v>
      </c>
      <c r="I798" t="str">
        <f>"ABDUL RASHID BIN SULONG"</f>
        <v>ABDUL RASHID BIN SULONG</v>
      </c>
      <c r="J798" t="str">
        <f t="shared" si="344"/>
        <v>RHB BANK / RHB ISLAMIC BANK</v>
      </c>
      <c r="K798" t="str">
        <f>"16406700156136"</f>
        <v>16406700156136</v>
      </c>
      <c r="L798" t="str">
        <f t="shared" si="347"/>
        <v>04-08-2020</v>
      </c>
      <c r="M798" t="str">
        <f t="shared" si="347"/>
        <v>04-08-2020</v>
      </c>
      <c r="N798" t="str">
        <f t="shared" si="333"/>
        <v>001105018356</v>
      </c>
      <c r="O798" t="str">
        <f t="shared" si="334"/>
        <v>MYR</v>
      </c>
      <c r="P798" t="str">
        <f t="shared" si="348"/>
        <v>NIL</v>
      </c>
      <c r="Q798" t="str">
        <f t="shared" si="348"/>
        <v>NIL</v>
      </c>
      <c r="R798" t="str">
        <f t="shared" si="335"/>
        <v>Accepted</v>
      </c>
      <c r="S798" t="str">
        <f t="shared" si="336"/>
        <v>Approved</v>
      </c>
      <c r="T798" t="str">
        <f t="shared" si="337"/>
        <v>10.20.8.188</v>
      </c>
      <c r="U798" t="str">
        <f t="shared" si="338"/>
        <v>AZRAD UMAR BIN SHAARI</v>
      </c>
      <c r="V798" t="str">
        <f t="shared" si="339"/>
        <v>FARHANA BINTI MUSTAPA</v>
      </c>
      <c r="W798" t="str">
        <f t="shared" si="340"/>
        <v>04-08-2020</v>
      </c>
      <c r="X798" t="str">
        <f t="shared" si="341"/>
        <v>RAZIMAH ANSAR AHMAD</v>
      </c>
      <c r="Y798" t="str">
        <f t="shared" si="342"/>
        <v>04-08-2020</v>
      </c>
      <c r="Z798" t="str">
        <f>"COS10200804 8356"</f>
        <v>COS10200804 8356</v>
      </c>
    </row>
    <row r="799" spans="1:26" x14ac:dyDescent="0.25">
      <c r="A799" t="str">
        <f t="shared" si="345"/>
        <v>04-08-2020 01:11:00</v>
      </c>
      <c r="B799" t="str">
        <f>"0000810160"</f>
        <v>0000810160</v>
      </c>
      <c r="C799" t="str">
        <f t="shared" si="346"/>
        <v>0000810005</v>
      </c>
      <c r="D799" t="str">
        <f t="shared" si="330"/>
        <v>73185</v>
      </c>
      <c r="E799" t="str">
        <f t="shared" si="331"/>
        <v>KFH-OPERATIONS DEPARTMENT</v>
      </c>
      <c r="F799" t="str">
        <f t="shared" si="332"/>
        <v>IBG</v>
      </c>
      <c r="G799" t="str">
        <f t="shared" si="343"/>
        <v>Refund COSHARE 10</v>
      </c>
      <c r="H799" s="2">
        <v>142.75</v>
      </c>
      <c r="I799" t="str">
        <f>"ABDUL MALEK BIN ZAINUDDIN"</f>
        <v>ABDUL MALEK BIN ZAINUDDIN</v>
      </c>
      <c r="J799" t="str">
        <f t="shared" si="344"/>
        <v>RHB BANK / RHB ISLAMIC BANK</v>
      </c>
      <c r="K799" t="str">
        <f>"11115500083383"</f>
        <v>11115500083383</v>
      </c>
      <c r="L799" t="str">
        <f t="shared" si="347"/>
        <v>04-08-2020</v>
      </c>
      <c r="M799" t="str">
        <f t="shared" si="347"/>
        <v>04-08-2020</v>
      </c>
      <c r="N799" t="str">
        <f t="shared" si="333"/>
        <v>001105018356</v>
      </c>
      <c r="O799" t="str">
        <f t="shared" si="334"/>
        <v>MYR</v>
      </c>
      <c r="P799" t="str">
        <f t="shared" si="348"/>
        <v>NIL</v>
      </c>
      <c r="Q799" t="str">
        <f t="shared" si="348"/>
        <v>NIL</v>
      </c>
      <c r="R799" t="str">
        <f t="shared" si="335"/>
        <v>Accepted</v>
      </c>
      <c r="S799" t="str">
        <f t="shared" si="336"/>
        <v>Approved</v>
      </c>
      <c r="T799" t="str">
        <f t="shared" si="337"/>
        <v>10.20.8.188</v>
      </c>
      <c r="U799" t="str">
        <f t="shared" si="338"/>
        <v>AZRAD UMAR BIN SHAARI</v>
      </c>
      <c r="V799" t="str">
        <f t="shared" si="339"/>
        <v>FARHANA BINTI MUSTAPA</v>
      </c>
      <c r="W799" t="str">
        <f t="shared" si="340"/>
        <v>04-08-2020</v>
      </c>
      <c r="X799" t="str">
        <f t="shared" si="341"/>
        <v>RAZIMAH ANSAR AHMAD</v>
      </c>
      <c r="Y799" t="str">
        <f t="shared" si="342"/>
        <v>04-08-2020</v>
      </c>
      <c r="Z799" t="str">
        <f>"COS10200804 8355"</f>
        <v>COS10200804 8355</v>
      </c>
    </row>
    <row r="800" spans="1:26" x14ac:dyDescent="0.25">
      <c r="A800" t="str">
        <f t="shared" si="345"/>
        <v>04-08-2020 01:11:00</v>
      </c>
      <c r="B800" t="str">
        <f>"0000810159"</f>
        <v>0000810159</v>
      </c>
      <c r="C800" t="str">
        <f t="shared" si="346"/>
        <v>0000810005</v>
      </c>
      <c r="D800" t="str">
        <f t="shared" si="330"/>
        <v>73185</v>
      </c>
      <c r="E800" t="str">
        <f t="shared" si="331"/>
        <v>KFH-OPERATIONS DEPARTMENT</v>
      </c>
      <c r="F800" t="str">
        <f t="shared" si="332"/>
        <v>IBG</v>
      </c>
      <c r="G800" t="str">
        <f t="shared" si="343"/>
        <v>Refund COSHARE 10</v>
      </c>
      <c r="H800" s="2">
        <v>312</v>
      </c>
      <c r="I800" t="str">
        <f>"ABDUL BASSIT BIN ABDUL AZIZ"</f>
        <v>ABDUL BASSIT BIN ABDUL AZIZ</v>
      </c>
      <c r="J800" t="str">
        <f t="shared" si="344"/>
        <v>RHB BANK / RHB ISLAMIC BANK</v>
      </c>
      <c r="K800" t="str">
        <f>"10203200449134"</f>
        <v>10203200449134</v>
      </c>
      <c r="L800" t="str">
        <f t="shared" si="347"/>
        <v>04-08-2020</v>
      </c>
      <c r="M800" t="str">
        <f t="shared" si="347"/>
        <v>04-08-2020</v>
      </c>
      <c r="N800" t="str">
        <f t="shared" si="333"/>
        <v>001105018356</v>
      </c>
      <c r="O800" t="str">
        <f t="shared" si="334"/>
        <v>MYR</v>
      </c>
      <c r="P800" t="str">
        <f t="shared" si="348"/>
        <v>NIL</v>
      </c>
      <c r="Q800" t="str">
        <f t="shared" si="348"/>
        <v>NIL</v>
      </c>
      <c r="R800" t="str">
        <f t="shared" si="335"/>
        <v>Accepted</v>
      </c>
      <c r="S800" t="str">
        <f t="shared" si="336"/>
        <v>Approved</v>
      </c>
      <c r="T800" t="str">
        <f t="shared" si="337"/>
        <v>10.20.8.188</v>
      </c>
      <c r="U800" t="str">
        <f t="shared" si="338"/>
        <v>AZRAD UMAR BIN SHAARI</v>
      </c>
      <c r="V800" t="str">
        <f t="shared" si="339"/>
        <v>FARHANA BINTI MUSTAPA</v>
      </c>
      <c r="W800" t="str">
        <f t="shared" si="340"/>
        <v>04-08-2020</v>
      </c>
      <c r="X800" t="str">
        <f t="shared" si="341"/>
        <v>RAZIMAH ANSAR AHMAD</v>
      </c>
      <c r="Y800" t="str">
        <f t="shared" si="342"/>
        <v>04-08-2020</v>
      </c>
      <c r="Z800" t="str">
        <f>"COS10200804 8354"</f>
        <v>COS10200804 8354</v>
      </c>
    </row>
    <row r="801" spans="1:26" x14ac:dyDescent="0.25">
      <c r="A801" t="str">
        <f t="shared" si="345"/>
        <v>04-08-2020 01:11:00</v>
      </c>
      <c r="B801" t="str">
        <f>"0000810158"</f>
        <v>0000810158</v>
      </c>
      <c r="C801" t="str">
        <f t="shared" si="346"/>
        <v>0000810005</v>
      </c>
      <c r="D801" t="str">
        <f t="shared" si="330"/>
        <v>73185</v>
      </c>
      <c r="E801" t="str">
        <f t="shared" si="331"/>
        <v>KFH-OPERATIONS DEPARTMENT</v>
      </c>
      <c r="F801" t="str">
        <f t="shared" si="332"/>
        <v>IBG</v>
      </c>
      <c r="G801" t="str">
        <f t="shared" si="343"/>
        <v>Refund COSHARE 10</v>
      </c>
      <c r="H801" s="2">
        <v>214.15</v>
      </c>
      <c r="I801" t="str">
        <f>"ABD RAHMAN BIN YAAKOB"</f>
        <v>ABD RAHMAN BIN YAAKOB</v>
      </c>
      <c r="J801" t="str">
        <f t="shared" si="344"/>
        <v>RHB BANK / RHB ISLAMIC BANK</v>
      </c>
      <c r="K801" t="str">
        <f>"11246660002345"</f>
        <v>11246660002345</v>
      </c>
      <c r="L801" t="str">
        <f t="shared" si="347"/>
        <v>04-08-2020</v>
      </c>
      <c r="M801" t="str">
        <f t="shared" si="347"/>
        <v>04-08-2020</v>
      </c>
      <c r="N801" t="str">
        <f t="shared" si="333"/>
        <v>001105018356</v>
      </c>
      <c r="O801" t="str">
        <f t="shared" si="334"/>
        <v>MYR</v>
      </c>
      <c r="P801" t="str">
        <f t="shared" si="348"/>
        <v>NIL</v>
      </c>
      <c r="Q801" t="str">
        <f t="shared" si="348"/>
        <v>NIL</v>
      </c>
      <c r="R801" t="str">
        <f t="shared" si="335"/>
        <v>Accepted</v>
      </c>
      <c r="S801" t="str">
        <f t="shared" si="336"/>
        <v>Approved</v>
      </c>
      <c r="T801" t="str">
        <f t="shared" si="337"/>
        <v>10.20.8.188</v>
      </c>
      <c r="U801" t="str">
        <f t="shared" si="338"/>
        <v>AZRAD UMAR BIN SHAARI</v>
      </c>
      <c r="V801" t="str">
        <f t="shared" si="339"/>
        <v>FARHANA BINTI MUSTAPA</v>
      </c>
      <c r="W801" t="str">
        <f t="shared" si="340"/>
        <v>04-08-2020</v>
      </c>
      <c r="X801" t="str">
        <f t="shared" si="341"/>
        <v>RAZIMAH ANSAR AHMAD</v>
      </c>
      <c r="Y801" t="str">
        <f t="shared" si="342"/>
        <v>04-08-2020</v>
      </c>
      <c r="Z801" t="str">
        <f>"COS10200804 8353"</f>
        <v>COS10200804 8353</v>
      </c>
    </row>
    <row r="802" spans="1:26" x14ac:dyDescent="0.25">
      <c r="A802" t="str">
        <f t="shared" si="345"/>
        <v>04-08-2020 01:11:00</v>
      </c>
      <c r="B802" t="str">
        <f>"0000810157"</f>
        <v>0000810157</v>
      </c>
      <c r="C802" t="str">
        <f t="shared" si="346"/>
        <v>0000810005</v>
      </c>
      <c r="D802" t="str">
        <f t="shared" si="330"/>
        <v>73185</v>
      </c>
      <c r="E802" t="str">
        <f t="shared" si="331"/>
        <v>KFH-OPERATIONS DEPARTMENT</v>
      </c>
      <c r="F802" t="str">
        <f t="shared" si="332"/>
        <v>IBG</v>
      </c>
      <c r="G802" t="str">
        <f t="shared" si="343"/>
        <v>Refund COSHARE 10</v>
      </c>
      <c r="H802" s="2">
        <v>478.55</v>
      </c>
      <c r="I802" t="str">
        <f>"ABD HALLIM BIN ABD GHANI"</f>
        <v>ABD HALLIM BIN ABD GHANI</v>
      </c>
      <c r="J802" t="str">
        <f t="shared" si="344"/>
        <v>RHB BANK / RHB ISLAMIC BANK</v>
      </c>
      <c r="K802" t="str">
        <f>"11305600132225"</f>
        <v>11305600132225</v>
      </c>
      <c r="L802" t="str">
        <f t="shared" si="347"/>
        <v>04-08-2020</v>
      </c>
      <c r="M802" t="str">
        <f t="shared" si="347"/>
        <v>04-08-2020</v>
      </c>
      <c r="N802" t="str">
        <f t="shared" si="333"/>
        <v>001105018356</v>
      </c>
      <c r="O802" t="str">
        <f t="shared" si="334"/>
        <v>MYR</v>
      </c>
      <c r="P802" t="str">
        <f t="shared" si="348"/>
        <v>NIL</v>
      </c>
      <c r="Q802" t="str">
        <f t="shared" si="348"/>
        <v>NIL</v>
      </c>
      <c r="R802" t="str">
        <f t="shared" si="335"/>
        <v>Accepted</v>
      </c>
      <c r="S802" t="str">
        <f t="shared" si="336"/>
        <v>Approved</v>
      </c>
      <c r="T802" t="str">
        <f t="shared" si="337"/>
        <v>10.20.8.188</v>
      </c>
      <c r="U802" t="str">
        <f t="shared" si="338"/>
        <v>AZRAD UMAR BIN SHAARI</v>
      </c>
      <c r="V802" t="str">
        <f t="shared" si="339"/>
        <v>FARHANA BINTI MUSTAPA</v>
      </c>
      <c r="W802" t="str">
        <f t="shared" si="340"/>
        <v>04-08-2020</v>
      </c>
      <c r="X802" t="str">
        <f t="shared" si="341"/>
        <v>RAZIMAH ANSAR AHMAD</v>
      </c>
      <c r="Y802" t="str">
        <f t="shared" si="342"/>
        <v>04-08-2020</v>
      </c>
      <c r="Z802" t="str">
        <f>"COS10200804 8352"</f>
        <v>COS10200804 8352</v>
      </c>
    </row>
    <row r="803" spans="1:26" x14ac:dyDescent="0.25">
      <c r="A803" t="str">
        <f t="shared" si="345"/>
        <v>04-08-2020 01:11:00</v>
      </c>
      <c r="B803" t="str">
        <f>"0000810156"</f>
        <v>0000810156</v>
      </c>
      <c r="C803" t="str">
        <f t="shared" si="346"/>
        <v>0000810005</v>
      </c>
      <c r="D803" t="str">
        <f t="shared" si="330"/>
        <v>73185</v>
      </c>
      <c r="E803" t="str">
        <f t="shared" si="331"/>
        <v>KFH-OPERATIONS DEPARTMENT</v>
      </c>
      <c r="F803" t="str">
        <f t="shared" si="332"/>
        <v>IBG</v>
      </c>
      <c r="G803" t="str">
        <f t="shared" si="343"/>
        <v>Refund COSHARE 10</v>
      </c>
      <c r="H803" s="2">
        <v>763.95</v>
      </c>
      <c r="I803" t="str">
        <f>"ABAS BIN MOHAMAD"</f>
        <v>ABAS BIN MOHAMAD</v>
      </c>
      <c r="J803" t="str">
        <f t="shared" si="344"/>
        <v>RHB BANK / RHB ISLAMIC BANK</v>
      </c>
      <c r="K803" t="str">
        <f>"11122150006370"</f>
        <v>11122150006370</v>
      </c>
      <c r="L803" t="str">
        <f t="shared" si="347"/>
        <v>04-08-2020</v>
      </c>
      <c r="M803" t="str">
        <f t="shared" si="347"/>
        <v>04-08-2020</v>
      </c>
      <c r="N803" t="str">
        <f t="shared" si="333"/>
        <v>001105018356</v>
      </c>
      <c r="O803" t="str">
        <f t="shared" si="334"/>
        <v>MYR</v>
      </c>
      <c r="P803" t="str">
        <f t="shared" si="348"/>
        <v>NIL</v>
      </c>
      <c r="Q803" t="str">
        <f t="shared" si="348"/>
        <v>NIL</v>
      </c>
      <c r="R803" t="str">
        <f t="shared" si="335"/>
        <v>Accepted</v>
      </c>
      <c r="S803" t="str">
        <f t="shared" si="336"/>
        <v>Approved</v>
      </c>
      <c r="T803" t="str">
        <f t="shared" si="337"/>
        <v>10.20.8.188</v>
      </c>
      <c r="U803" t="str">
        <f t="shared" si="338"/>
        <v>AZRAD UMAR BIN SHAARI</v>
      </c>
      <c r="V803" t="str">
        <f t="shared" si="339"/>
        <v>FARHANA BINTI MUSTAPA</v>
      </c>
      <c r="W803" t="str">
        <f t="shared" si="340"/>
        <v>04-08-2020</v>
      </c>
      <c r="X803" t="str">
        <f t="shared" si="341"/>
        <v>RAZIMAH ANSAR AHMAD</v>
      </c>
      <c r="Y803" t="str">
        <f t="shared" si="342"/>
        <v>04-08-2020</v>
      </c>
      <c r="Z803" t="str">
        <f>"COS10200804 8351"</f>
        <v>COS10200804 8351</v>
      </c>
    </row>
    <row r="804" spans="1:26" x14ac:dyDescent="0.25">
      <c r="A804" t="str">
        <f t="shared" si="345"/>
        <v>04-08-2020 01:11:00</v>
      </c>
      <c r="B804" t="str">
        <f>"0000810155"</f>
        <v>0000810155</v>
      </c>
      <c r="C804" t="str">
        <f t="shared" si="346"/>
        <v>0000810005</v>
      </c>
      <c r="D804" t="str">
        <f t="shared" si="330"/>
        <v>73185</v>
      </c>
      <c r="E804" t="str">
        <f t="shared" si="331"/>
        <v>KFH-OPERATIONS DEPARTMENT</v>
      </c>
      <c r="F804" t="str">
        <f t="shared" si="332"/>
        <v>IBG</v>
      </c>
      <c r="G804" t="str">
        <f t="shared" si="343"/>
        <v>Refund COSHARE 10</v>
      </c>
      <c r="H804" s="2">
        <v>167.9</v>
      </c>
      <c r="I804" t="str">
        <f>"ABANG SYAHMINAN BIN ABANG ONN"</f>
        <v>ABANG SYAHMINAN BIN ABANG ONN</v>
      </c>
      <c r="J804" t="str">
        <f t="shared" si="344"/>
        <v>RHB BANK / RHB ISLAMIC BANK</v>
      </c>
      <c r="K804" t="str">
        <f>"11104300203363"</f>
        <v>11104300203363</v>
      </c>
      <c r="L804" t="str">
        <f t="shared" si="347"/>
        <v>04-08-2020</v>
      </c>
      <c r="M804" t="str">
        <f t="shared" si="347"/>
        <v>04-08-2020</v>
      </c>
      <c r="N804" t="str">
        <f t="shared" si="333"/>
        <v>001105018356</v>
      </c>
      <c r="O804" t="str">
        <f t="shared" si="334"/>
        <v>MYR</v>
      </c>
      <c r="P804" t="str">
        <f t="shared" si="348"/>
        <v>NIL</v>
      </c>
      <c r="Q804" t="str">
        <f t="shared" si="348"/>
        <v>NIL</v>
      </c>
      <c r="R804" t="str">
        <f t="shared" si="335"/>
        <v>Accepted</v>
      </c>
      <c r="S804" t="str">
        <f t="shared" si="336"/>
        <v>Approved</v>
      </c>
      <c r="T804" t="str">
        <f t="shared" si="337"/>
        <v>10.20.8.188</v>
      </c>
      <c r="U804" t="str">
        <f t="shared" si="338"/>
        <v>AZRAD UMAR BIN SHAARI</v>
      </c>
      <c r="V804" t="str">
        <f t="shared" si="339"/>
        <v>FARHANA BINTI MUSTAPA</v>
      </c>
      <c r="W804" t="str">
        <f t="shared" si="340"/>
        <v>04-08-2020</v>
      </c>
      <c r="X804" t="str">
        <f t="shared" si="341"/>
        <v>RAZIMAH ANSAR AHMAD</v>
      </c>
      <c r="Y804" t="str">
        <f t="shared" si="342"/>
        <v>04-08-2020</v>
      </c>
      <c r="Z804" t="str">
        <f>"COS10200804 8350"</f>
        <v>COS10200804 8350</v>
      </c>
    </row>
    <row r="805" spans="1:26" x14ac:dyDescent="0.25">
      <c r="A805" t="str">
        <f t="shared" si="345"/>
        <v>04-08-2020 01:11:00</v>
      </c>
      <c r="B805" t="str">
        <f>"0000810154"</f>
        <v>0000810154</v>
      </c>
      <c r="C805" t="str">
        <f t="shared" si="346"/>
        <v>0000810005</v>
      </c>
      <c r="D805" t="str">
        <f t="shared" si="330"/>
        <v>73185</v>
      </c>
      <c r="E805" t="str">
        <f t="shared" si="331"/>
        <v>KFH-OPERATIONS DEPARTMENT</v>
      </c>
      <c r="F805" t="str">
        <f t="shared" si="332"/>
        <v>IBG</v>
      </c>
      <c r="G805" t="str">
        <f t="shared" si="343"/>
        <v>Refund COSHARE 10</v>
      </c>
      <c r="H805" s="2">
        <v>873.1</v>
      </c>
      <c r="I805" t="str">
        <f>"MOHD ASHADI BIN MOHD NOOR"</f>
        <v>MOHD ASHADI BIN MOHD NOOR</v>
      </c>
      <c r="J805" t="str">
        <f t="shared" ref="J805:J868" si="349">"PUBLIC BANK / PUBLIC ISLAMIC BANK"</f>
        <v>PUBLIC BANK / PUBLIC ISLAMIC BANK</v>
      </c>
      <c r="K805" t="str">
        <f>"4906532636"</f>
        <v>4906532636</v>
      </c>
      <c r="L805" t="str">
        <f t="shared" si="347"/>
        <v>04-08-2020</v>
      </c>
      <c r="M805" t="str">
        <f t="shared" si="347"/>
        <v>04-08-2020</v>
      </c>
      <c r="N805" t="str">
        <f t="shared" si="333"/>
        <v>001105018356</v>
      </c>
      <c r="O805" t="str">
        <f t="shared" si="334"/>
        <v>MYR</v>
      </c>
      <c r="P805" t="str">
        <f t="shared" si="348"/>
        <v>NIL</v>
      </c>
      <c r="Q805" t="str">
        <f t="shared" si="348"/>
        <v>NIL</v>
      </c>
      <c r="R805" t="str">
        <f t="shared" si="335"/>
        <v>Accepted</v>
      </c>
      <c r="S805" t="str">
        <f t="shared" si="336"/>
        <v>Approved</v>
      </c>
      <c r="T805" t="str">
        <f t="shared" si="337"/>
        <v>10.20.8.188</v>
      </c>
      <c r="U805" t="str">
        <f t="shared" si="338"/>
        <v>AZRAD UMAR BIN SHAARI</v>
      </c>
      <c r="V805" t="str">
        <f t="shared" si="339"/>
        <v>FARHANA BINTI MUSTAPA</v>
      </c>
      <c r="W805" t="str">
        <f t="shared" si="340"/>
        <v>04-08-2020</v>
      </c>
      <c r="X805" t="str">
        <f t="shared" si="341"/>
        <v>RAZIMAH ANSAR AHMAD</v>
      </c>
      <c r="Y805" t="str">
        <f t="shared" si="342"/>
        <v>04-08-2020</v>
      </c>
      <c r="Z805" t="str">
        <f>"COS10200804 8349"</f>
        <v>COS10200804 8349</v>
      </c>
    </row>
    <row r="806" spans="1:26" x14ac:dyDescent="0.25">
      <c r="A806" t="str">
        <f t="shared" si="345"/>
        <v>04-08-2020 01:11:00</v>
      </c>
      <c r="B806" t="str">
        <f>"0000810153"</f>
        <v>0000810153</v>
      </c>
      <c r="C806" t="str">
        <f t="shared" si="346"/>
        <v>0000810005</v>
      </c>
      <c r="D806" t="str">
        <f t="shared" si="330"/>
        <v>73185</v>
      </c>
      <c r="E806" t="str">
        <f t="shared" si="331"/>
        <v>KFH-OPERATIONS DEPARTMENT</v>
      </c>
      <c r="F806" t="str">
        <f t="shared" si="332"/>
        <v>IBG</v>
      </c>
      <c r="G806" t="str">
        <f t="shared" si="343"/>
        <v>Refund COSHARE 10</v>
      </c>
      <c r="H806" s="2">
        <v>768.6</v>
      </c>
      <c r="I806" t="str">
        <f>"MOHD SHAFIE BIN YUSOF"</f>
        <v>MOHD SHAFIE BIN YUSOF</v>
      </c>
      <c r="J806" t="str">
        <f t="shared" si="349"/>
        <v>PUBLIC BANK / PUBLIC ISLAMIC BANK</v>
      </c>
      <c r="K806" t="str">
        <f>"4867922129"</f>
        <v>4867922129</v>
      </c>
      <c r="L806" t="str">
        <f t="shared" si="347"/>
        <v>04-08-2020</v>
      </c>
      <c r="M806" t="str">
        <f t="shared" si="347"/>
        <v>04-08-2020</v>
      </c>
      <c r="N806" t="str">
        <f t="shared" si="333"/>
        <v>001105018356</v>
      </c>
      <c r="O806" t="str">
        <f t="shared" si="334"/>
        <v>MYR</v>
      </c>
      <c r="P806" t="str">
        <f t="shared" si="348"/>
        <v>NIL</v>
      </c>
      <c r="Q806" t="str">
        <f t="shared" si="348"/>
        <v>NIL</v>
      </c>
      <c r="R806" t="str">
        <f t="shared" si="335"/>
        <v>Accepted</v>
      </c>
      <c r="S806" t="str">
        <f t="shared" si="336"/>
        <v>Approved</v>
      </c>
      <c r="T806" t="str">
        <f t="shared" si="337"/>
        <v>10.20.8.188</v>
      </c>
      <c r="U806" t="str">
        <f t="shared" si="338"/>
        <v>AZRAD UMAR BIN SHAARI</v>
      </c>
      <c r="V806" t="str">
        <f t="shared" si="339"/>
        <v>FARHANA BINTI MUSTAPA</v>
      </c>
      <c r="W806" t="str">
        <f t="shared" si="340"/>
        <v>04-08-2020</v>
      </c>
      <c r="X806" t="str">
        <f t="shared" si="341"/>
        <v>RAZIMAH ANSAR AHMAD</v>
      </c>
      <c r="Y806" t="str">
        <f t="shared" si="342"/>
        <v>04-08-2020</v>
      </c>
      <c r="Z806" t="str">
        <f>"COS10200804 8348"</f>
        <v>COS10200804 8348</v>
      </c>
    </row>
    <row r="807" spans="1:26" x14ac:dyDescent="0.25">
      <c r="A807" t="str">
        <f t="shared" si="345"/>
        <v>04-08-2020 01:11:00</v>
      </c>
      <c r="B807" t="str">
        <f>"0000810152"</f>
        <v>0000810152</v>
      </c>
      <c r="C807" t="str">
        <f t="shared" si="346"/>
        <v>0000810005</v>
      </c>
      <c r="D807" t="str">
        <f t="shared" si="330"/>
        <v>73185</v>
      </c>
      <c r="E807" t="str">
        <f t="shared" si="331"/>
        <v>KFH-OPERATIONS DEPARTMENT</v>
      </c>
      <c r="F807" t="str">
        <f t="shared" si="332"/>
        <v>IBG</v>
      </c>
      <c r="G807" t="str">
        <f t="shared" si="343"/>
        <v>Refund COSHARE 10</v>
      </c>
      <c r="H807" s="2">
        <v>189.65</v>
      </c>
      <c r="I807" t="str">
        <f>"ZURINA BINTI SUID"</f>
        <v>ZURINA BINTI SUID</v>
      </c>
      <c r="J807" t="str">
        <f t="shared" si="349"/>
        <v>PUBLIC BANK / PUBLIC ISLAMIC BANK</v>
      </c>
      <c r="K807" t="str">
        <f>"4820743822"</f>
        <v>4820743822</v>
      </c>
      <c r="L807" t="str">
        <f t="shared" ref="L807:M826" si="350">"04-08-2020"</f>
        <v>04-08-2020</v>
      </c>
      <c r="M807" t="str">
        <f t="shared" si="350"/>
        <v>04-08-2020</v>
      </c>
      <c r="N807" t="str">
        <f t="shared" si="333"/>
        <v>001105018356</v>
      </c>
      <c r="O807" t="str">
        <f t="shared" si="334"/>
        <v>MYR</v>
      </c>
      <c r="P807" t="str">
        <f t="shared" ref="P807:Q826" si="351">"NIL"</f>
        <v>NIL</v>
      </c>
      <c r="Q807" t="str">
        <f t="shared" si="351"/>
        <v>NIL</v>
      </c>
      <c r="R807" t="str">
        <f t="shared" si="335"/>
        <v>Accepted</v>
      </c>
      <c r="S807" t="str">
        <f t="shared" si="336"/>
        <v>Approved</v>
      </c>
      <c r="T807" t="str">
        <f t="shared" si="337"/>
        <v>10.20.8.188</v>
      </c>
      <c r="U807" t="str">
        <f t="shared" si="338"/>
        <v>AZRAD UMAR BIN SHAARI</v>
      </c>
      <c r="V807" t="str">
        <f t="shared" si="339"/>
        <v>FARHANA BINTI MUSTAPA</v>
      </c>
      <c r="W807" t="str">
        <f t="shared" si="340"/>
        <v>04-08-2020</v>
      </c>
      <c r="X807" t="str">
        <f t="shared" si="341"/>
        <v>RAZIMAH ANSAR AHMAD</v>
      </c>
      <c r="Y807" t="str">
        <f t="shared" si="342"/>
        <v>04-08-2020</v>
      </c>
      <c r="Z807" t="str">
        <f>"COS10200804 8347"</f>
        <v>COS10200804 8347</v>
      </c>
    </row>
    <row r="808" spans="1:26" x14ac:dyDescent="0.25">
      <c r="A808" t="str">
        <f t="shared" si="345"/>
        <v>04-08-2020 01:11:00</v>
      </c>
      <c r="B808" t="str">
        <f>"0000810151"</f>
        <v>0000810151</v>
      </c>
      <c r="C808" t="str">
        <f t="shared" si="346"/>
        <v>0000810005</v>
      </c>
      <c r="D808" t="str">
        <f t="shared" si="330"/>
        <v>73185</v>
      </c>
      <c r="E808" t="str">
        <f t="shared" si="331"/>
        <v>KFH-OPERATIONS DEPARTMENT</v>
      </c>
      <c r="F808" t="str">
        <f t="shared" si="332"/>
        <v>IBG</v>
      </c>
      <c r="G808" t="str">
        <f t="shared" si="343"/>
        <v>Refund COSHARE 10</v>
      </c>
      <c r="H808" s="2">
        <v>824.95</v>
      </c>
      <c r="I808" t="str">
        <f>"ZUBIR BIN RAMLI"</f>
        <v>ZUBIR BIN RAMLI</v>
      </c>
      <c r="J808" t="str">
        <f t="shared" si="349"/>
        <v>PUBLIC BANK / PUBLIC ISLAMIC BANK</v>
      </c>
      <c r="K808" t="str">
        <f>"4726298213"</f>
        <v>4726298213</v>
      </c>
      <c r="L808" t="str">
        <f t="shared" si="350"/>
        <v>04-08-2020</v>
      </c>
      <c r="M808" t="str">
        <f t="shared" si="350"/>
        <v>04-08-2020</v>
      </c>
      <c r="N808" t="str">
        <f t="shared" si="333"/>
        <v>001105018356</v>
      </c>
      <c r="O808" t="str">
        <f t="shared" si="334"/>
        <v>MYR</v>
      </c>
      <c r="P808" t="str">
        <f t="shared" si="351"/>
        <v>NIL</v>
      </c>
      <c r="Q808" t="str">
        <f t="shared" si="351"/>
        <v>NIL</v>
      </c>
      <c r="R808" t="str">
        <f t="shared" si="335"/>
        <v>Accepted</v>
      </c>
      <c r="S808" t="str">
        <f t="shared" si="336"/>
        <v>Approved</v>
      </c>
      <c r="T808" t="str">
        <f t="shared" si="337"/>
        <v>10.20.8.188</v>
      </c>
      <c r="U808" t="str">
        <f t="shared" si="338"/>
        <v>AZRAD UMAR BIN SHAARI</v>
      </c>
      <c r="V808" t="str">
        <f t="shared" si="339"/>
        <v>FARHANA BINTI MUSTAPA</v>
      </c>
      <c r="W808" t="str">
        <f t="shared" si="340"/>
        <v>04-08-2020</v>
      </c>
      <c r="X808" t="str">
        <f t="shared" si="341"/>
        <v>RAZIMAH ANSAR AHMAD</v>
      </c>
      <c r="Y808" t="str">
        <f t="shared" si="342"/>
        <v>04-08-2020</v>
      </c>
      <c r="Z808" t="str">
        <f>"COS10200804 8346"</f>
        <v>COS10200804 8346</v>
      </c>
    </row>
    <row r="809" spans="1:26" x14ac:dyDescent="0.25">
      <c r="A809" t="str">
        <f t="shared" si="345"/>
        <v>04-08-2020 01:11:00</v>
      </c>
      <c r="B809" t="str">
        <f>"0000810150"</f>
        <v>0000810150</v>
      </c>
      <c r="C809" t="str">
        <f t="shared" si="346"/>
        <v>0000810005</v>
      </c>
      <c r="D809" t="str">
        <f t="shared" si="330"/>
        <v>73185</v>
      </c>
      <c r="E809" t="str">
        <f t="shared" si="331"/>
        <v>KFH-OPERATIONS DEPARTMENT</v>
      </c>
      <c r="F809" t="str">
        <f t="shared" si="332"/>
        <v>IBG</v>
      </c>
      <c r="G809" t="str">
        <f t="shared" si="343"/>
        <v>Refund COSHARE 10</v>
      </c>
      <c r="H809" s="2">
        <v>444.65</v>
      </c>
      <c r="I809" t="str">
        <f>"ZARINA BINTI MOHAMMED"</f>
        <v>ZARINA BINTI MOHAMMED</v>
      </c>
      <c r="J809" t="str">
        <f t="shared" si="349"/>
        <v>PUBLIC BANK / PUBLIC ISLAMIC BANK</v>
      </c>
      <c r="K809" t="str">
        <f>"4924326831"</f>
        <v>4924326831</v>
      </c>
      <c r="L809" t="str">
        <f t="shared" si="350"/>
        <v>04-08-2020</v>
      </c>
      <c r="M809" t="str">
        <f t="shared" si="350"/>
        <v>04-08-2020</v>
      </c>
      <c r="N809" t="str">
        <f t="shared" si="333"/>
        <v>001105018356</v>
      </c>
      <c r="O809" t="str">
        <f t="shared" si="334"/>
        <v>MYR</v>
      </c>
      <c r="P809" t="str">
        <f t="shared" si="351"/>
        <v>NIL</v>
      </c>
      <c r="Q809" t="str">
        <f t="shared" si="351"/>
        <v>NIL</v>
      </c>
      <c r="R809" t="str">
        <f t="shared" si="335"/>
        <v>Accepted</v>
      </c>
      <c r="S809" t="str">
        <f t="shared" si="336"/>
        <v>Approved</v>
      </c>
      <c r="T809" t="str">
        <f t="shared" si="337"/>
        <v>10.20.8.188</v>
      </c>
      <c r="U809" t="str">
        <f t="shared" si="338"/>
        <v>AZRAD UMAR BIN SHAARI</v>
      </c>
      <c r="V809" t="str">
        <f t="shared" si="339"/>
        <v>FARHANA BINTI MUSTAPA</v>
      </c>
      <c r="W809" t="str">
        <f t="shared" si="340"/>
        <v>04-08-2020</v>
      </c>
      <c r="X809" t="str">
        <f t="shared" si="341"/>
        <v>RAZIMAH ANSAR AHMAD</v>
      </c>
      <c r="Y809" t="str">
        <f t="shared" si="342"/>
        <v>04-08-2020</v>
      </c>
      <c r="Z809" t="str">
        <f>"COS10200804 8345"</f>
        <v>COS10200804 8345</v>
      </c>
    </row>
    <row r="810" spans="1:26" x14ac:dyDescent="0.25">
      <c r="A810" t="str">
        <f t="shared" si="345"/>
        <v>04-08-2020 01:11:00</v>
      </c>
      <c r="B810" t="str">
        <f>"0000810149"</f>
        <v>0000810149</v>
      </c>
      <c r="C810" t="str">
        <f t="shared" si="346"/>
        <v>0000810005</v>
      </c>
      <c r="D810" t="str">
        <f t="shared" si="330"/>
        <v>73185</v>
      </c>
      <c r="E810" t="str">
        <f t="shared" si="331"/>
        <v>KFH-OPERATIONS DEPARTMENT</v>
      </c>
      <c r="F810" t="str">
        <f t="shared" si="332"/>
        <v>IBG</v>
      </c>
      <c r="G810" t="str">
        <f t="shared" si="343"/>
        <v>Refund COSHARE 10</v>
      </c>
      <c r="H810" s="2">
        <v>878.4</v>
      </c>
      <c r="I810" t="str">
        <f>"ZAINATUL NISA BINTI OTHMAN"</f>
        <v>ZAINATUL NISA BINTI OTHMAN</v>
      </c>
      <c r="J810" t="str">
        <f t="shared" si="349"/>
        <v>PUBLIC BANK / PUBLIC ISLAMIC BANK</v>
      </c>
      <c r="K810" t="str">
        <f>"4818628033"</f>
        <v>4818628033</v>
      </c>
      <c r="L810" t="str">
        <f t="shared" si="350"/>
        <v>04-08-2020</v>
      </c>
      <c r="M810" t="str">
        <f t="shared" si="350"/>
        <v>04-08-2020</v>
      </c>
      <c r="N810" t="str">
        <f t="shared" si="333"/>
        <v>001105018356</v>
      </c>
      <c r="O810" t="str">
        <f t="shared" si="334"/>
        <v>MYR</v>
      </c>
      <c r="P810" t="str">
        <f t="shared" si="351"/>
        <v>NIL</v>
      </c>
      <c r="Q810" t="str">
        <f t="shared" si="351"/>
        <v>NIL</v>
      </c>
      <c r="R810" t="str">
        <f t="shared" si="335"/>
        <v>Accepted</v>
      </c>
      <c r="S810" t="str">
        <f t="shared" si="336"/>
        <v>Approved</v>
      </c>
      <c r="T810" t="str">
        <f t="shared" si="337"/>
        <v>10.20.8.188</v>
      </c>
      <c r="U810" t="str">
        <f t="shared" si="338"/>
        <v>AZRAD UMAR BIN SHAARI</v>
      </c>
      <c r="V810" t="str">
        <f t="shared" si="339"/>
        <v>FARHANA BINTI MUSTAPA</v>
      </c>
      <c r="W810" t="str">
        <f t="shared" si="340"/>
        <v>04-08-2020</v>
      </c>
      <c r="X810" t="str">
        <f t="shared" si="341"/>
        <v>RAZIMAH ANSAR AHMAD</v>
      </c>
      <c r="Y810" t="str">
        <f t="shared" si="342"/>
        <v>04-08-2020</v>
      </c>
      <c r="Z810" t="str">
        <f>"COS10200804 8344"</f>
        <v>COS10200804 8344</v>
      </c>
    </row>
    <row r="811" spans="1:26" x14ac:dyDescent="0.25">
      <c r="A811" t="str">
        <f t="shared" si="345"/>
        <v>04-08-2020 01:11:00</v>
      </c>
      <c r="B811" t="str">
        <f>"0000810148"</f>
        <v>0000810148</v>
      </c>
      <c r="C811" t="str">
        <f t="shared" si="346"/>
        <v>0000810005</v>
      </c>
      <c r="D811" t="str">
        <f t="shared" si="330"/>
        <v>73185</v>
      </c>
      <c r="E811" t="str">
        <f t="shared" si="331"/>
        <v>KFH-OPERATIONS DEPARTMENT</v>
      </c>
      <c r="F811" t="str">
        <f t="shared" si="332"/>
        <v>IBG</v>
      </c>
      <c r="G811" t="str">
        <f t="shared" si="343"/>
        <v>Refund COSHARE 10</v>
      </c>
      <c r="H811" s="2">
        <v>683.55</v>
      </c>
      <c r="I811" t="str">
        <f>"ZAINAL ABIDIN BIN SAIT"</f>
        <v>ZAINAL ABIDIN BIN SAIT</v>
      </c>
      <c r="J811" t="str">
        <f t="shared" si="349"/>
        <v>PUBLIC BANK / PUBLIC ISLAMIC BANK</v>
      </c>
      <c r="K811" t="str">
        <f>"4953303919"</f>
        <v>4953303919</v>
      </c>
      <c r="L811" t="str">
        <f t="shared" si="350"/>
        <v>04-08-2020</v>
      </c>
      <c r="M811" t="str">
        <f t="shared" si="350"/>
        <v>04-08-2020</v>
      </c>
      <c r="N811" t="str">
        <f t="shared" si="333"/>
        <v>001105018356</v>
      </c>
      <c r="O811" t="str">
        <f t="shared" si="334"/>
        <v>MYR</v>
      </c>
      <c r="P811" t="str">
        <f t="shared" si="351"/>
        <v>NIL</v>
      </c>
      <c r="Q811" t="str">
        <f t="shared" si="351"/>
        <v>NIL</v>
      </c>
      <c r="R811" t="str">
        <f t="shared" si="335"/>
        <v>Accepted</v>
      </c>
      <c r="S811" t="str">
        <f t="shared" si="336"/>
        <v>Approved</v>
      </c>
      <c r="T811" t="str">
        <f t="shared" si="337"/>
        <v>10.20.8.188</v>
      </c>
      <c r="U811" t="str">
        <f t="shared" si="338"/>
        <v>AZRAD UMAR BIN SHAARI</v>
      </c>
      <c r="V811" t="str">
        <f t="shared" si="339"/>
        <v>FARHANA BINTI MUSTAPA</v>
      </c>
      <c r="W811" t="str">
        <f t="shared" si="340"/>
        <v>04-08-2020</v>
      </c>
      <c r="X811" t="str">
        <f t="shared" si="341"/>
        <v>RAZIMAH ANSAR AHMAD</v>
      </c>
      <c r="Y811" t="str">
        <f t="shared" si="342"/>
        <v>04-08-2020</v>
      </c>
      <c r="Z811" t="str">
        <f>"COS10200804 8343"</f>
        <v>COS10200804 8343</v>
      </c>
    </row>
    <row r="812" spans="1:26" x14ac:dyDescent="0.25">
      <c r="A812" t="str">
        <f t="shared" si="345"/>
        <v>04-08-2020 01:11:00</v>
      </c>
      <c r="B812" t="str">
        <f>"0000810147"</f>
        <v>0000810147</v>
      </c>
      <c r="C812" t="str">
        <f t="shared" si="346"/>
        <v>0000810005</v>
      </c>
      <c r="D812" t="str">
        <f t="shared" si="330"/>
        <v>73185</v>
      </c>
      <c r="E812" t="str">
        <f t="shared" si="331"/>
        <v>KFH-OPERATIONS DEPARTMENT</v>
      </c>
      <c r="F812" t="str">
        <f t="shared" si="332"/>
        <v>IBG</v>
      </c>
      <c r="G812" t="str">
        <f t="shared" si="343"/>
        <v>Refund COSHARE 10</v>
      </c>
      <c r="H812" s="2">
        <v>1126.4000000000001</v>
      </c>
      <c r="I812" t="str">
        <f>"ZAINAB BINTI INTAH"</f>
        <v>ZAINAB BINTI INTAH</v>
      </c>
      <c r="J812" t="str">
        <f t="shared" si="349"/>
        <v>PUBLIC BANK / PUBLIC ISLAMIC BANK</v>
      </c>
      <c r="K812" t="str">
        <f>"4969107900"</f>
        <v>4969107900</v>
      </c>
      <c r="L812" t="str">
        <f t="shared" si="350"/>
        <v>04-08-2020</v>
      </c>
      <c r="M812" t="str">
        <f t="shared" si="350"/>
        <v>04-08-2020</v>
      </c>
      <c r="N812" t="str">
        <f t="shared" si="333"/>
        <v>001105018356</v>
      </c>
      <c r="O812" t="str">
        <f t="shared" si="334"/>
        <v>MYR</v>
      </c>
      <c r="P812" t="str">
        <f t="shared" si="351"/>
        <v>NIL</v>
      </c>
      <c r="Q812" t="str">
        <f t="shared" si="351"/>
        <v>NIL</v>
      </c>
      <c r="R812" t="str">
        <f t="shared" si="335"/>
        <v>Accepted</v>
      </c>
      <c r="S812" t="str">
        <f t="shared" si="336"/>
        <v>Approved</v>
      </c>
      <c r="T812" t="str">
        <f t="shared" si="337"/>
        <v>10.20.8.188</v>
      </c>
      <c r="U812" t="str">
        <f t="shared" si="338"/>
        <v>AZRAD UMAR BIN SHAARI</v>
      </c>
      <c r="V812" t="str">
        <f t="shared" si="339"/>
        <v>FARHANA BINTI MUSTAPA</v>
      </c>
      <c r="W812" t="str">
        <f t="shared" si="340"/>
        <v>04-08-2020</v>
      </c>
      <c r="X812" t="str">
        <f t="shared" si="341"/>
        <v>RAZIMAH ANSAR AHMAD</v>
      </c>
      <c r="Y812" t="str">
        <f t="shared" si="342"/>
        <v>04-08-2020</v>
      </c>
      <c r="Z812" t="str">
        <f>"COS10200804 8342"</f>
        <v>COS10200804 8342</v>
      </c>
    </row>
    <row r="813" spans="1:26" x14ac:dyDescent="0.25">
      <c r="A813" t="str">
        <f t="shared" si="345"/>
        <v>04-08-2020 01:11:00</v>
      </c>
      <c r="B813" t="str">
        <f>"0000810146"</f>
        <v>0000810146</v>
      </c>
      <c r="C813" t="str">
        <f t="shared" si="346"/>
        <v>0000810005</v>
      </c>
      <c r="D813" t="str">
        <f t="shared" si="330"/>
        <v>73185</v>
      </c>
      <c r="E813" t="str">
        <f t="shared" si="331"/>
        <v>KFH-OPERATIONS DEPARTMENT</v>
      </c>
      <c r="F813" t="str">
        <f t="shared" si="332"/>
        <v>IBG</v>
      </c>
      <c r="G813" t="str">
        <f t="shared" si="343"/>
        <v>Refund COSHARE 10</v>
      </c>
      <c r="H813" s="2">
        <v>357</v>
      </c>
      <c r="I813" t="str">
        <f>"ZAIDI BIN YAHAYA ARIPIN"</f>
        <v>ZAIDI BIN YAHAYA ARIPIN</v>
      </c>
      <c r="J813" t="str">
        <f t="shared" si="349"/>
        <v>PUBLIC BANK / PUBLIC ISLAMIC BANK</v>
      </c>
      <c r="K813" t="str">
        <f>"4737928423"</f>
        <v>4737928423</v>
      </c>
      <c r="L813" t="str">
        <f t="shared" si="350"/>
        <v>04-08-2020</v>
      </c>
      <c r="M813" t="str">
        <f t="shared" si="350"/>
        <v>04-08-2020</v>
      </c>
      <c r="N813" t="str">
        <f t="shared" si="333"/>
        <v>001105018356</v>
      </c>
      <c r="O813" t="str">
        <f t="shared" si="334"/>
        <v>MYR</v>
      </c>
      <c r="P813" t="str">
        <f t="shared" si="351"/>
        <v>NIL</v>
      </c>
      <c r="Q813" t="str">
        <f t="shared" si="351"/>
        <v>NIL</v>
      </c>
      <c r="R813" t="str">
        <f t="shared" si="335"/>
        <v>Accepted</v>
      </c>
      <c r="S813" t="str">
        <f t="shared" si="336"/>
        <v>Approved</v>
      </c>
      <c r="T813" t="str">
        <f t="shared" si="337"/>
        <v>10.20.8.188</v>
      </c>
      <c r="U813" t="str">
        <f t="shared" si="338"/>
        <v>AZRAD UMAR BIN SHAARI</v>
      </c>
      <c r="V813" t="str">
        <f t="shared" si="339"/>
        <v>FARHANA BINTI MUSTAPA</v>
      </c>
      <c r="W813" t="str">
        <f t="shared" si="340"/>
        <v>04-08-2020</v>
      </c>
      <c r="X813" t="str">
        <f t="shared" si="341"/>
        <v>RAZIMAH ANSAR AHMAD</v>
      </c>
      <c r="Y813" t="str">
        <f t="shared" si="342"/>
        <v>04-08-2020</v>
      </c>
      <c r="Z813" t="str">
        <f>"COS10200804 8341"</f>
        <v>COS10200804 8341</v>
      </c>
    </row>
    <row r="814" spans="1:26" x14ac:dyDescent="0.25">
      <c r="A814" t="str">
        <f t="shared" si="345"/>
        <v>04-08-2020 01:11:00</v>
      </c>
      <c r="B814" t="str">
        <f>"0000810145"</f>
        <v>0000810145</v>
      </c>
      <c r="C814" t="str">
        <f t="shared" si="346"/>
        <v>0000810005</v>
      </c>
      <c r="D814" t="str">
        <f t="shared" si="330"/>
        <v>73185</v>
      </c>
      <c r="E814" t="str">
        <f t="shared" si="331"/>
        <v>KFH-OPERATIONS DEPARTMENT</v>
      </c>
      <c r="F814" t="str">
        <f t="shared" si="332"/>
        <v>IBG</v>
      </c>
      <c r="G814" t="str">
        <f t="shared" si="343"/>
        <v>Refund COSHARE 10</v>
      </c>
      <c r="H814" s="2">
        <v>671.6</v>
      </c>
      <c r="I814" t="str">
        <f>"YAHAYA BIN MOHD SUIT"</f>
        <v>YAHAYA BIN MOHD SUIT</v>
      </c>
      <c r="J814" t="str">
        <f t="shared" si="349"/>
        <v>PUBLIC BANK / PUBLIC ISLAMIC BANK</v>
      </c>
      <c r="K814" t="str">
        <f>"4941810236"</f>
        <v>4941810236</v>
      </c>
      <c r="L814" t="str">
        <f t="shared" si="350"/>
        <v>04-08-2020</v>
      </c>
      <c r="M814" t="str">
        <f t="shared" si="350"/>
        <v>04-08-2020</v>
      </c>
      <c r="N814" t="str">
        <f t="shared" si="333"/>
        <v>001105018356</v>
      </c>
      <c r="O814" t="str">
        <f t="shared" si="334"/>
        <v>MYR</v>
      </c>
      <c r="P814" t="str">
        <f t="shared" si="351"/>
        <v>NIL</v>
      </c>
      <c r="Q814" t="str">
        <f t="shared" si="351"/>
        <v>NIL</v>
      </c>
      <c r="R814" t="str">
        <f t="shared" si="335"/>
        <v>Accepted</v>
      </c>
      <c r="S814" t="str">
        <f t="shared" si="336"/>
        <v>Approved</v>
      </c>
      <c r="T814" t="str">
        <f t="shared" si="337"/>
        <v>10.20.8.188</v>
      </c>
      <c r="U814" t="str">
        <f t="shared" si="338"/>
        <v>AZRAD UMAR BIN SHAARI</v>
      </c>
      <c r="V814" t="str">
        <f t="shared" si="339"/>
        <v>FARHANA BINTI MUSTAPA</v>
      </c>
      <c r="W814" t="str">
        <f t="shared" si="340"/>
        <v>04-08-2020</v>
      </c>
      <c r="X814" t="str">
        <f t="shared" si="341"/>
        <v>RAZIMAH ANSAR AHMAD</v>
      </c>
      <c r="Y814" t="str">
        <f t="shared" si="342"/>
        <v>04-08-2020</v>
      </c>
      <c r="Z814" t="str">
        <f>"COS10200804 8340"</f>
        <v>COS10200804 8340</v>
      </c>
    </row>
    <row r="815" spans="1:26" x14ac:dyDescent="0.25">
      <c r="A815" t="str">
        <f t="shared" si="345"/>
        <v>04-08-2020 01:11:00</v>
      </c>
      <c r="B815" t="str">
        <f>"0000810144"</f>
        <v>0000810144</v>
      </c>
      <c r="C815" t="str">
        <f t="shared" si="346"/>
        <v>0000810005</v>
      </c>
      <c r="D815" t="str">
        <f t="shared" si="330"/>
        <v>73185</v>
      </c>
      <c r="E815" t="str">
        <f t="shared" si="331"/>
        <v>KFH-OPERATIONS DEPARTMENT</v>
      </c>
      <c r="F815" t="str">
        <f t="shared" si="332"/>
        <v>IBG</v>
      </c>
      <c r="G815" t="str">
        <f t="shared" si="343"/>
        <v>Refund COSHARE 10</v>
      </c>
      <c r="H815" s="2">
        <v>301.60000000000002</v>
      </c>
      <c r="I815" t="str">
        <f>"WONG LING CHING"</f>
        <v>WONG LING CHING</v>
      </c>
      <c r="J815" t="str">
        <f t="shared" si="349"/>
        <v>PUBLIC BANK / PUBLIC ISLAMIC BANK</v>
      </c>
      <c r="K815" t="str">
        <f>"4082287525"</f>
        <v>4082287525</v>
      </c>
      <c r="L815" t="str">
        <f t="shared" si="350"/>
        <v>04-08-2020</v>
      </c>
      <c r="M815" t="str">
        <f t="shared" si="350"/>
        <v>04-08-2020</v>
      </c>
      <c r="N815" t="str">
        <f t="shared" si="333"/>
        <v>001105018356</v>
      </c>
      <c r="O815" t="str">
        <f t="shared" si="334"/>
        <v>MYR</v>
      </c>
      <c r="P815" t="str">
        <f t="shared" si="351"/>
        <v>NIL</v>
      </c>
      <c r="Q815" t="str">
        <f t="shared" si="351"/>
        <v>NIL</v>
      </c>
      <c r="R815" t="str">
        <f t="shared" si="335"/>
        <v>Accepted</v>
      </c>
      <c r="S815" t="str">
        <f t="shared" si="336"/>
        <v>Approved</v>
      </c>
      <c r="T815" t="str">
        <f t="shared" si="337"/>
        <v>10.20.8.188</v>
      </c>
      <c r="U815" t="str">
        <f t="shared" si="338"/>
        <v>AZRAD UMAR BIN SHAARI</v>
      </c>
      <c r="V815" t="str">
        <f t="shared" si="339"/>
        <v>FARHANA BINTI MUSTAPA</v>
      </c>
      <c r="W815" t="str">
        <f t="shared" si="340"/>
        <v>04-08-2020</v>
      </c>
      <c r="X815" t="str">
        <f t="shared" si="341"/>
        <v>RAZIMAH ANSAR AHMAD</v>
      </c>
      <c r="Y815" t="str">
        <f t="shared" si="342"/>
        <v>04-08-2020</v>
      </c>
      <c r="Z815" t="str">
        <f>"COS10200804 8339"</f>
        <v>COS10200804 8339</v>
      </c>
    </row>
    <row r="816" spans="1:26" x14ac:dyDescent="0.25">
      <c r="A816" t="str">
        <f t="shared" si="345"/>
        <v>04-08-2020 01:11:00</v>
      </c>
      <c r="B816" t="str">
        <f>"0000810143"</f>
        <v>0000810143</v>
      </c>
      <c r="C816" t="str">
        <f t="shared" si="346"/>
        <v>0000810005</v>
      </c>
      <c r="D816" t="str">
        <f t="shared" si="330"/>
        <v>73185</v>
      </c>
      <c r="E816" t="str">
        <f t="shared" si="331"/>
        <v>KFH-OPERATIONS DEPARTMENT</v>
      </c>
      <c r="F816" t="str">
        <f t="shared" si="332"/>
        <v>IBG</v>
      </c>
      <c r="G816" t="str">
        <f t="shared" si="343"/>
        <v>Refund COSHARE 10</v>
      </c>
      <c r="H816" s="2">
        <v>695.4</v>
      </c>
      <c r="I816" t="str">
        <f>"WONG KING MING"</f>
        <v>WONG KING MING</v>
      </c>
      <c r="J816" t="str">
        <f t="shared" si="349"/>
        <v>PUBLIC BANK / PUBLIC ISLAMIC BANK</v>
      </c>
      <c r="K816" t="str">
        <f>"4905224933"</f>
        <v>4905224933</v>
      </c>
      <c r="L816" t="str">
        <f t="shared" si="350"/>
        <v>04-08-2020</v>
      </c>
      <c r="M816" t="str">
        <f t="shared" si="350"/>
        <v>04-08-2020</v>
      </c>
      <c r="N816" t="str">
        <f t="shared" si="333"/>
        <v>001105018356</v>
      </c>
      <c r="O816" t="str">
        <f t="shared" si="334"/>
        <v>MYR</v>
      </c>
      <c r="P816" t="str">
        <f t="shared" si="351"/>
        <v>NIL</v>
      </c>
      <c r="Q816" t="str">
        <f t="shared" si="351"/>
        <v>NIL</v>
      </c>
      <c r="R816" t="str">
        <f t="shared" si="335"/>
        <v>Accepted</v>
      </c>
      <c r="S816" t="str">
        <f t="shared" si="336"/>
        <v>Approved</v>
      </c>
      <c r="T816" t="str">
        <f t="shared" si="337"/>
        <v>10.20.8.188</v>
      </c>
      <c r="U816" t="str">
        <f t="shared" si="338"/>
        <v>AZRAD UMAR BIN SHAARI</v>
      </c>
      <c r="V816" t="str">
        <f t="shared" si="339"/>
        <v>FARHANA BINTI MUSTAPA</v>
      </c>
      <c r="W816" t="str">
        <f t="shared" si="340"/>
        <v>04-08-2020</v>
      </c>
      <c r="X816" t="str">
        <f t="shared" si="341"/>
        <v>RAZIMAH ANSAR AHMAD</v>
      </c>
      <c r="Y816" t="str">
        <f t="shared" si="342"/>
        <v>04-08-2020</v>
      </c>
      <c r="Z816" t="str">
        <f>"COS10200804 8338"</f>
        <v>COS10200804 8338</v>
      </c>
    </row>
    <row r="817" spans="1:26" x14ac:dyDescent="0.25">
      <c r="A817" t="str">
        <f t="shared" si="345"/>
        <v>04-08-2020 01:11:00</v>
      </c>
      <c r="B817" t="str">
        <f>"0000810142"</f>
        <v>0000810142</v>
      </c>
      <c r="C817" t="str">
        <f t="shared" si="346"/>
        <v>0000810005</v>
      </c>
      <c r="D817" t="str">
        <f t="shared" si="330"/>
        <v>73185</v>
      </c>
      <c r="E817" t="str">
        <f t="shared" si="331"/>
        <v>KFH-OPERATIONS DEPARTMENT</v>
      </c>
      <c r="F817" t="str">
        <f t="shared" si="332"/>
        <v>IBG</v>
      </c>
      <c r="G817" t="str">
        <f t="shared" si="343"/>
        <v>Refund COSHARE 10</v>
      </c>
      <c r="H817" s="2">
        <v>224.85</v>
      </c>
      <c r="I817" t="str">
        <f>"WAN ADZLEAN SHAH BIN WAN ABDULLAH"</f>
        <v>WAN ADZLEAN SHAH BIN WAN ABDULLAH</v>
      </c>
      <c r="J817" t="str">
        <f t="shared" si="349"/>
        <v>PUBLIC BANK / PUBLIC ISLAMIC BANK</v>
      </c>
      <c r="K817" t="str">
        <f>"4031327312"</f>
        <v>4031327312</v>
      </c>
      <c r="L817" t="str">
        <f t="shared" si="350"/>
        <v>04-08-2020</v>
      </c>
      <c r="M817" t="str">
        <f t="shared" si="350"/>
        <v>04-08-2020</v>
      </c>
      <c r="N817" t="str">
        <f t="shared" si="333"/>
        <v>001105018356</v>
      </c>
      <c r="O817" t="str">
        <f t="shared" si="334"/>
        <v>MYR</v>
      </c>
      <c r="P817" t="str">
        <f t="shared" si="351"/>
        <v>NIL</v>
      </c>
      <c r="Q817" t="str">
        <f t="shared" si="351"/>
        <v>NIL</v>
      </c>
      <c r="R817" t="str">
        <f t="shared" si="335"/>
        <v>Accepted</v>
      </c>
      <c r="S817" t="str">
        <f t="shared" si="336"/>
        <v>Approved</v>
      </c>
      <c r="T817" t="str">
        <f t="shared" si="337"/>
        <v>10.20.8.188</v>
      </c>
      <c r="U817" t="str">
        <f t="shared" si="338"/>
        <v>AZRAD UMAR BIN SHAARI</v>
      </c>
      <c r="V817" t="str">
        <f t="shared" si="339"/>
        <v>FARHANA BINTI MUSTAPA</v>
      </c>
      <c r="W817" t="str">
        <f t="shared" si="340"/>
        <v>04-08-2020</v>
      </c>
      <c r="X817" t="str">
        <f t="shared" si="341"/>
        <v>RAZIMAH ANSAR AHMAD</v>
      </c>
      <c r="Y817" t="str">
        <f t="shared" si="342"/>
        <v>04-08-2020</v>
      </c>
      <c r="Z817" t="str">
        <f>"COS10200804 8337"</f>
        <v>COS10200804 8337</v>
      </c>
    </row>
    <row r="818" spans="1:26" x14ac:dyDescent="0.25">
      <c r="A818" t="str">
        <f t="shared" ref="A818:A849" si="352">"04-08-2020 01:11:00"</f>
        <v>04-08-2020 01:11:00</v>
      </c>
      <c r="B818" t="str">
        <f>"0000810141"</f>
        <v>0000810141</v>
      </c>
      <c r="C818" t="str">
        <f t="shared" ref="C818:C849" si="353">"0000810005"</f>
        <v>0000810005</v>
      </c>
      <c r="D818" t="str">
        <f t="shared" si="330"/>
        <v>73185</v>
      </c>
      <c r="E818" t="str">
        <f t="shared" si="331"/>
        <v>KFH-OPERATIONS DEPARTMENT</v>
      </c>
      <c r="F818" t="str">
        <f t="shared" si="332"/>
        <v>IBG</v>
      </c>
      <c r="G818" t="str">
        <f t="shared" si="343"/>
        <v>Refund COSHARE 10</v>
      </c>
      <c r="H818" s="2">
        <v>827.55</v>
      </c>
      <c r="I818" t="str">
        <f>"TONY ANAK RAUU"</f>
        <v>TONY ANAK RAUU</v>
      </c>
      <c r="J818" t="str">
        <f t="shared" si="349"/>
        <v>PUBLIC BANK / PUBLIC ISLAMIC BANK</v>
      </c>
      <c r="K818" t="str">
        <f>"6924177125"</f>
        <v>6924177125</v>
      </c>
      <c r="L818" t="str">
        <f t="shared" si="350"/>
        <v>04-08-2020</v>
      </c>
      <c r="M818" t="str">
        <f t="shared" si="350"/>
        <v>04-08-2020</v>
      </c>
      <c r="N818" t="str">
        <f t="shared" si="333"/>
        <v>001105018356</v>
      </c>
      <c r="O818" t="str">
        <f t="shared" si="334"/>
        <v>MYR</v>
      </c>
      <c r="P818" t="str">
        <f t="shared" si="351"/>
        <v>NIL</v>
      </c>
      <c r="Q818" t="str">
        <f t="shared" si="351"/>
        <v>NIL</v>
      </c>
      <c r="R818" t="str">
        <f t="shared" si="335"/>
        <v>Accepted</v>
      </c>
      <c r="S818" t="str">
        <f t="shared" si="336"/>
        <v>Approved</v>
      </c>
      <c r="T818" t="str">
        <f t="shared" si="337"/>
        <v>10.20.8.188</v>
      </c>
      <c r="U818" t="str">
        <f t="shared" si="338"/>
        <v>AZRAD UMAR BIN SHAARI</v>
      </c>
      <c r="V818" t="str">
        <f t="shared" si="339"/>
        <v>FARHANA BINTI MUSTAPA</v>
      </c>
      <c r="W818" t="str">
        <f t="shared" si="340"/>
        <v>04-08-2020</v>
      </c>
      <c r="X818" t="str">
        <f t="shared" si="341"/>
        <v>RAZIMAH ANSAR AHMAD</v>
      </c>
      <c r="Y818" t="str">
        <f t="shared" si="342"/>
        <v>04-08-2020</v>
      </c>
      <c r="Z818" t="str">
        <f>"COS10200804 8336"</f>
        <v>COS10200804 8336</v>
      </c>
    </row>
    <row r="819" spans="1:26" x14ac:dyDescent="0.25">
      <c r="A819" t="str">
        <f t="shared" si="352"/>
        <v>04-08-2020 01:11:00</v>
      </c>
      <c r="B819" t="str">
        <f>"0000810140"</f>
        <v>0000810140</v>
      </c>
      <c r="C819" t="str">
        <f t="shared" si="353"/>
        <v>0000810005</v>
      </c>
      <c r="D819" t="str">
        <f t="shared" si="330"/>
        <v>73185</v>
      </c>
      <c r="E819" t="str">
        <f t="shared" si="331"/>
        <v>KFH-OPERATIONS DEPARTMENT</v>
      </c>
      <c r="F819" t="str">
        <f t="shared" si="332"/>
        <v>IBG</v>
      </c>
      <c r="G819" t="str">
        <f t="shared" si="343"/>
        <v>Refund COSHARE 10</v>
      </c>
      <c r="H819" s="2">
        <v>209.9</v>
      </c>
      <c r="I819" t="str">
        <f>"TAUFIK BIN MOHD YUSOP"</f>
        <v>TAUFIK BIN MOHD YUSOP</v>
      </c>
      <c r="J819" t="str">
        <f t="shared" si="349"/>
        <v>PUBLIC BANK / PUBLIC ISLAMIC BANK</v>
      </c>
      <c r="K819" t="str">
        <f>"4996137516"</f>
        <v>4996137516</v>
      </c>
      <c r="L819" t="str">
        <f t="shared" si="350"/>
        <v>04-08-2020</v>
      </c>
      <c r="M819" t="str">
        <f t="shared" si="350"/>
        <v>04-08-2020</v>
      </c>
      <c r="N819" t="str">
        <f t="shared" si="333"/>
        <v>001105018356</v>
      </c>
      <c r="O819" t="str">
        <f t="shared" si="334"/>
        <v>MYR</v>
      </c>
      <c r="P819" t="str">
        <f t="shared" si="351"/>
        <v>NIL</v>
      </c>
      <c r="Q819" t="str">
        <f t="shared" si="351"/>
        <v>NIL</v>
      </c>
      <c r="R819" t="str">
        <f t="shared" si="335"/>
        <v>Accepted</v>
      </c>
      <c r="S819" t="str">
        <f t="shared" si="336"/>
        <v>Approved</v>
      </c>
      <c r="T819" t="str">
        <f t="shared" si="337"/>
        <v>10.20.8.188</v>
      </c>
      <c r="U819" t="str">
        <f t="shared" si="338"/>
        <v>AZRAD UMAR BIN SHAARI</v>
      </c>
      <c r="V819" t="str">
        <f t="shared" si="339"/>
        <v>FARHANA BINTI MUSTAPA</v>
      </c>
      <c r="W819" t="str">
        <f t="shared" si="340"/>
        <v>04-08-2020</v>
      </c>
      <c r="X819" t="str">
        <f t="shared" si="341"/>
        <v>RAZIMAH ANSAR AHMAD</v>
      </c>
      <c r="Y819" t="str">
        <f t="shared" si="342"/>
        <v>04-08-2020</v>
      </c>
      <c r="Z819" t="str">
        <f>"COS10200804 8335"</f>
        <v>COS10200804 8335</v>
      </c>
    </row>
    <row r="820" spans="1:26" x14ac:dyDescent="0.25">
      <c r="A820" t="str">
        <f t="shared" si="352"/>
        <v>04-08-2020 01:11:00</v>
      </c>
      <c r="B820" t="str">
        <f>"0000810139"</f>
        <v>0000810139</v>
      </c>
      <c r="C820" t="str">
        <f t="shared" si="353"/>
        <v>0000810005</v>
      </c>
      <c r="D820" t="str">
        <f t="shared" si="330"/>
        <v>73185</v>
      </c>
      <c r="E820" t="str">
        <f t="shared" si="331"/>
        <v>KFH-OPERATIONS DEPARTMENT</v>
      </c>
      <c r="F820" t="str">
        <f t="shared" si="332"/>
        <v>IBG</v>
      </c>
      <c r="G820" t="str">
        <f t="shared" si="343"/>
        <v>Refund COSHARE 10</v>
      </c>
      <c r="H820" s="2">
        <v>83.95</v>
      </c>
      <c r="I820" t="str">
        <f>"TAN FUI TSIN"</f>
        <v>TAN FUI TSIN</v>
      </c>
      <c r="J820" t="str">
        <f t="shared" si="349"/>
        <v>PUBLIC BANK / PUBLIC ISLAMIC BANK</v>
      </c>
      <c r="K820" t="str">
        <f>"4454286613"</f>
        <v>4454286613</v>
      </c>
      <c r="L820" t="str">
        <f t="shared" si="350"/>
        <v>04-08-2020</v>
      </c>
      <c r="M820" t="str">
        <f t="shared" si="350"/>
        <v>04-08-2020</v>
      </c>
      <c r="N820" t="str">
        <f t="shared" si="333"/>
        <v>001105018356</v>
      </c>
      <c r="O820" t="str">
        <f t="shared" si="334"/>
        <v>MYR</v>
      </c>
      <c r="P820" t="str">
        <f t="shared" si="351"/>
        <v>NIL</v>
      </c>
      <c r="Q820" t="str">
        <f t="shared" si="351"/>
        <v>NIL</v>
      </c>
      <c r="R820" t="str">
        <f t="shared" si="335"/>
        <v>Accepted</v>
      </c>
      <c r="S820" t="str">
        <f t="shared" si="336"/>
        <v>Approved</v>
      </c>
      <c r="T820" t="str">
        <f t="shared" si="337"/>
        <v>10.20.8.188</v>
      </c>
      <c r="U820" t="str">
        <f t="shared" si="338"/>
        <v>AZRAD UMAR BIN SHAARI</v>
      </c>
      <c r="V820" t="str">
        <f t="shared" si="339"/>
        <v>FARHANA BINTI MUSTAPA</v>
      </c>
      <c r="W820" t="str">
        <f t="shared" si="340"/>
        <v>04-08-2020</v>
      </c>
      <c r="X820" t="str">
        <f t="shared" si="341"/>
        <v>RAZIMAH ANSAR AHMAD</v>
      </c>
      <c r="Y820" t="str">
        <f t="shared" si="342"/>
        <v>04-08-2020</v>
      </c>
      <c r="Z820" t="str">
        <f>"COS10200804 8334"</f>
        <v>COS10200804 8334</v>
      </c>
    </row>
    <row r="821" spans="1:26" x14ac:dyDescent="0.25">
      <c r="A821" t="str">
        <f t="shared" si="352"/>
        <v>04-08-2020 01:11:00</v>
      </c>
      <c r="B821" t="str">
        <f>"0000810138"</f>
        <v>0000810138</v>
      </c>
      <c r="C821" t="str">
        <f t="shared" si="353"/>
        <v>0000810005</v>
      </c>
      <c r="D821" t="str">
        <f t="shared" si="330"/>
        <v>73185</v>
      </c>
      <c r="E821" t="str">
        <f t="shared" si="331"/>
        <v>KFH-OPERATIONS DEPARTMENT</v>
      </c>
      <c r="F821" t="str">
        <f t="shared" si="332"/>
        <v>IBG</v>
      </c>
      <c r="G821" t="str">
        <f t="shared" si="343"/>
        <v>Refund COSHARE 10</v>
      </c>
      <c r="H821" s="2">
        <v>473</v>
      </c>
      <c r="I821" t="str">
        <f>"TAMPANIS BIN LINGKOM  JOHNNY"</f>
        <v>TAMPANIS BIN LINGKOM  JOHNNY</v>
      </c>
      <c r="J821" t="str">
        <f t="shared" si="349"/>
        <v>PUBLIC BANK / PUBLIC ISLAMIC BANK</v>
      </c>
      <c r="K821" t="str">
        <f>"4516992221"</f>
        <v>4516992221</v>
      </c>
      <c r="L821" t="str">
        <f t="shared" si="350"/>
        <v>04-08-2020</v>
      </c>
      <c r="M821" t="str">
        <f t="shared" si="350"/>
        <v>04-08-2020</v>
      </c>
      <c r="N821" t="str">
        <f t="shared" si="333"/>
        <v>001105018356</v>
      </c>
      <c r="O821" t="str">
        <f t="shared" si="334"/>
        <v>MYR</v>
      </c>
      <c r="P821" t="str">
        <f t="shared" si="351"/>
        <v>NIL</v>
      </c>
      <c r="Q821" t="str">
        <f t="shared" si="351"/>
        <v>NIL</v>
      </c>
      <c r="R821" t="str">
        <f t="shared" si="335"/>
        <v>Accepted</v>
      </c>
      <c r="S821" t="str">
        <f t="shared" si="336"/>
        <v>Approved</v>
      </c>
      <c r="T821" t="str">
        <f t="shared" si="337"/>
        <v>10.20.8.188</v>
      </c>
      <c r="U821" t="str">
        <f t="shared" si="338"/>
        <v>AZRAD UMAR BIN SHAARI</v>
      </c>
      <c r="V821" t="str">
        <f t="shared" si="339"/>
        <v>FARHANA BINTI MUSTAPA</v>
      </c>
      <c r="W821" t="str">
        <f t="shared" si="340"/>
        <v>04-08-2020</v>
      </c>
      <c r="X821" t="str">
        <f t="shared" si="341"/>
        <v>RAZIMAH ANSAR AHMAD</v>
      </c>
      <c r="Y821" t="str">
        <f t="shared" si="342"/>
        <v>04-08-2020</v>
      </c>
      <c r="Z821" t="str">
        <f>"COS10200804 8333"</f>
        <v>COS10200804 8333</v>
      </c>
    </row>
    <row r="822" spans="1:26" x14ac:dyDescent="0.25">
      <c r="A822" t="str">
        <f t="shared" si="352"/>
        <v>04-08-2020 01:11:00</v>
      </c>
      <c r="B822" t="str">
        <f>"0000810137"</f>
        <v>0000810137</v>
      </c>
      <c r="C822" t="str">
        <f t="shared" si="353"/>
        <v>0000810005</v>
      </c>
      <c r="D822" t="str">
        <f t="shared" si="330"/>
        <v>73185</v>
      </c>
      <c r="E822" t="str">
        <f t="shared" si="331"/>
        <v>KFH-OPERATIONS DEPARTMENT</v>
      </c>
      <c r="F822" t="str">
        <f t="shared" si="332"/>
        <v>IBG</v>
      </c>
      <c r="G822" t="str">
        <f t="shared" si="343"/>
        <v>Refund COSHARE 10</v>
      </c>
      <c r="H822" s="2">
        <v>67.2</v>
      </c>
      <c r="I822" t="str">
        <f>"TAMIR BIN GUMPITAI"</f>
        <v>TAMIR BIN GUMPITAI</v>
      </c>
      <c r="J822" t="str">
        <f t="shared" si="349"/>
        <v>PUBLIC BANK / PUBLIC ISLAMIC BANK</v>
      </c>
      <c r="K822" t="str">
        <f>"4523803626"</f>
        <v>4523803626</v>
      </c>
      <c r="L822" t="str">
        <f t="shared" si="350"/>
        <v>04-08-2020</v>
      </c>
      <c r="M822" t="str">
        <f t="shared" si="350"/>
        <v>04-08-2020</v>
      </c>
      <c r="N822" t="str">
        <f t="shared" si="333"/>
        <v>001105018356</v>
      </c>
      <c r="O822" t="str">
        <f t="shared" si="334"/>
        <v>MYR</v>
      </c>
      <c r="P822" t="str">
        <f t="shared" si="351"/>
        <v>NIL</v>
      </c>
      <c r="Q822" t="str">
        <f t="shared" si="351"/>
        <v>NIL</v>
      </c>
      <c r="R822" t="str">
        <f t="shared" si="335"/>
        <v>Accepted</v>
      </c>
      <c r="S822" t="str">
        <f t="shared" si="336"/>
        <v>Approved</v>
      </c>
      <c r="T822" t="str">
        <f t="shared" si="337"/>
        <v>10.20.8.188</v>
      </c>
      <c r="U822" t="str">
        <f t="shared" si="338"/>
        <v>AZRAD UMAR BIN SHAARI</v>
      </c>
      <c r="V822" t="str">
        <f t="shared" si="339"/>
        <v>FARHANA BINTI MUSTAPA</v>
      </c>
      <c r="W822" t="str">
        <f t="shared" si="340"/>
        <v>04-08-2020</v>
      </c>
      <c r="X822" t="str">
        <f t="shared" si="341"/>
        <v>RAZIMAH ANSAR AHMAD</v>
      </c>
      <c r="Y822" t="str">
        <f t="shared" si="342"/>
        <v>04-08-2020</v>
      </c>
      <c r="Z822" t="str">
        <f>"COS10200804 8332"</f>
        <v>COS10200804 8332</v>
      </c>
    </row>
    <row r="823" spans="1:26" x14ac:dyDescent="0.25">
      <c r="A823" t="str">
        <f t="shared" si="352"/>
        <v>04-08-2020 01:11:00</v>
      </c>
      <c r="B823" t="str">
        <f>"0000810136"</f>
        <v>0000810136</v>
      </c>
      <c r="C823" t="str">
        <f t="shared" si="353"/>
        <v>0000810005</v>
      </c>
      <c r="D823" t="str">
        <f t="shared" si="330"/>
        <v>73185</v>
      </c>
      <c r="E823" t="str">
        <f t="shared" si="331"/>
        <v>KFH-OPERATIONS DEPARTMENT</v>
      </c>
      <c r="F823" t="str">
        <f t="shared" si="332"/>
        <v>IBG</v>
      </c>
      <c r="G823" t="str">
        <f t="shared" si="343"/>
        <v>Refund COSHARE 10</v>
      </c>
      <c r="H823" s="2">
        <v>281</v>
      </c>
      <c r="I823" t="str">
        <f>"SUZANA BINTI AHMAD"</f>
        <v>SUZANA BINTI AHMAD</v>
      </c>
      <c r="J823" t="str">
        <f t="shared" si="349"/>
        <v>PUBLIC BANK / PUBLIC ISLAMIC BANK</v>
      </c>
      <c r="K823" t="str">
        <f>"4824178402"</f>
        <v>4824178402</v>
      </c>
      <c r="L823" t="str">
        <f t="shared" si="350"/>
        <v>04-08-2020</v>
      </c>
      <c r="M823" t="str">
        <f t="shared" si="350"/>
        <v>04-08-2020</v>
      </c>
      <c r="N823" t="str">
        <f t="shared" si="333"/>
        <v>001105018356</v>
      </c>
      <c r="O823" t="str">
        <f t="shared" si="334"/>
        <v>MYR</v>
      </c>
      <c r="P823" t="str">
        <f t="shared" si="351"/>
        <v>NIL</v>
      </c>
      <c r="Q823" t="str">
        <f t="shared" si="351"/>
        <v>NIL</v>
      </c>
      <c r="R823" t="str">
        <f t="shared" si="335"/>
        <v>Accepted</v>
      </c>
      <c r="S823" t="str">
        <f t="shared" si="336"/>
        <v>Approved</v>
      </c>
      <c r="T823" t="str">
        <f t="shared" si="337"/>
        <v>10.20.8.188</v>
      </c>
      <c r="U823" t="str">
        <f t="shared" si="338"/>
        <v>AZRAD UMAR BIN SHAARI</v>
      </c>
      <c r="V823" t="str">
        <f t="shared" si="339"/>
        <v>FARHANA BINTI MUSTAPA</v>
      </c>
      <c r="W823" t="str">
        <f t="shared" si="340"/>
        <v>04-08-2020</v>
      </c>
      <c r="X823" t="str">
        <f t="shared" si="341"/>
        <v>RAZIMAH ANSAR AHMAD</v>
      </c>
      <c r="Y823" t="str">
        <f t="shared" si="342"/>
        <v>04-08-2020</v>
      </c>
      <c r="Z823" t="str">
        <f>"COS10200804 8331"</f>
        <v>COS10200804 8331</v>
      </c>
    </row>
    <row r="824" spans="1:26" x14ac:dyDescent="0.25">
      <c r="A824" t="str">
        <f t="shared" si="352"/>
        <v>04-08-2020 01:11:00</v>
      </c>
      <c r="B824" t="str">
        <f>"0000810135"</f>
        <v>0000810135</v>
      </c>
      <c r="C824" t="str">
        <f t="shared" si="353"/>
        <v>0000810005</v>
      </c>
      <c r="D824" t="str">
        <f t="shared" si="330"/>
        <v>73185</v>
      </c>
      <c r="E824" t="str">
        <f t="shared" si="331"/>
        <v>KFH-OPERATIONS DEPARTMENT</v>
      </c>
      <c r="F824" t="str">
        <f t="shared" si="332"/>
        <v>IBG</v>
      </c>
      <c r="G824" t="str">
        <f t="shared" si="343"/>
        <v>Refund COSHARE 10</v>
      </c>
      <c r="H824" s="2">
        <v>1418.75</v>
      </c>
      <c r="I824" t="str">
        <f>"SURIANEH BINTI ALI"</f>
        <v>SURIANEH BINTI ALI</v>
      </c>
      <c r="J824" t="str">
        <f t="shared" si="349"/>
        <v>PUBLIC BANK / PUBLIC ISLAMIC BANK</v>
      </c>
      <c r="K824" t="str">
        <f>"4814318924"</f>
        <v>4814318924</v>
      </c>
      <c r="L824" t="str">
        <f t="shared" si="350"/>
        <v>04-08-2020</v>
      </c>
      <c r="M824" t="str">
        <f t="shared" si="350"/>
        <v>04-08-2020</v>
      </c>
      <c r="N824" t="str">
        <f t="shared" si="333"/>
        <v>001105018356</v>
      </c>
      <c r="O824" t="str">
        <f t="shared" si="334"/>
        <v>MYR</v>
      </c>
      <c r="P824" t="str">
        <f t="shared" si="351"/>
        <v>NIL</v>
      </c>
      <c r="Q824" t="str">
        <f t="shared" si="351"/>
        <v>NIL</v>
      </c>
      <c r="R824" t="str">
        <f t="shared" si="335"/>
        <v>Accepted</v>
      </c>
      <c r="S824" t="str">
        <f t="shared" si="336"/>
        <v>Approved</v>
      </c>
      <c r="T824" t="str">
        <f t="shared" si="337"/>
        <v>10.20.8.188</v>
      </c>
      <c r="U824" t="str">
        <f t="shared" si="338"/>
        <v>AZRAD UMAR BIN SHAARI</v>
      </c>
      <c r="V824" t="str">
        <f t="shared" si="339"/>
        <v>FARHANA BINTI MUSTAPA</v>
      </c>
      <c r="W824" t="str">
        <f t="shared" si="340"/>
        <v>04-08-2020</v>
      </c>
      <c r="X824" t="str">
        <f t="shared" si="341"/>
        <v>RAZIMAH ANSAR AHMAD</v>
      </c>
      <c r="Y824" t="str">
        <f t="shared" si="342"/>
        <v>04-08-2020</v>
      </c>
      <c r="Z824" t="str">
        <f>"COS10200804 8330"</f>
        <v>COS10200804 8330</v>
      </c>
    </row>
    <row r="825" spans="1:26" x14ac:dyDescent="0.25">
      <c r="A825" t="str">
        <f t="shared" si="352"/>
        <v>04-08-2020 01:11:00</v>
      </c>
      <c r="B825" t="str">
        <f>"0000810134"</f>
        <v>0000810134</v>
      </c>
      <c r="C825" t="str">
        <f t="shared" si="353"/>
        <v>0000810005</v>
      </c>
      <c r="D825" t="str">
        <f t="shared" si="330"/>
        <v>73185</v>
      </c>
      <c r="E825" t="str">
        <f t="shared" si="331"/>
        <v>KFH-OPERATIONS DEPARTMENT</v>
      </c>
      <c r="F825" t="str">
        <f t="shared" si="332"/>
        <v>IBG</v>
      </c>
      <c r="G825" t="str">
        <f t="shared" si="343"/>
        <v>Refund COSHARE 10</v>
      </c>
      <c r="H825" s="2">
        <v>820</v>
      </c>
      <c r="I825" t="str">
        <f>"SURAYA LAILA BINTI ABD MAJID"</f>
        <v>SURAYA LAILA BINTI ABD MAJID</v>
      </c>
      <c r="J825" t="str">
        <f t="shared" si="349"/>
        <v>PUBLIC BANK / PUBLIC ISLAMIC BANK</v>
      </c>
      <c r="K825" t="str">
        <f>"4901296501"</f>
        <v>4901296501</v>
      </c>
      <c r="L825" t="str">
        <f t="shared" si="350"/>
        <v>04-08-2020</v>
      </c>
      <c r="M825" t="str">
        <f t="shared" si="350"/>
        <v>04-08-2020</v>
      </c>
      <c r="N825" t="str">
        <f t="shared" si="333"/>
        <v>001105018356</v>
      </c>
      <c r="O825" t="str">
        <f t="shared" si="334"/>
        <v>MYR</v>
      </c>
      <c r="P825" t="str">
        <f t="shared" si="351"/>
        <v>NIL</v>
      </c>
      <c r="Q825" t="str">
        <f t="shared" si="351"/>
        <v>NIL</v>
      </c>
      <c r="R825" t="str">
        <f t="shared" si="335"/>
        <v>Accepted</v>
      </c>
      <c r="S825" t="str">
        <f t="shared" si="336"/>
        <v>Approved</v>
      </c>
      <c r="T825" t="str">
        <f t="shared" si="337"/>
        <v>10.20.8.188</v>
      </c>
      <c r="U825" t="str">
        <f t="shared" si="338"/>
        <v>AZRAD UMAR BIN SHAARI</v>
      </c>
      <c r="V825" t="str">
        <f t="shared" si="339"/>
        <v>FARHANA BINTI MUSTAPA</v>
      </c>
      <c r="W825" t="str">
        <f t="shared" si="340"/>
        <v>04-08-2020</v>
      </c>
      <c r="X825" t="str">
        <f t="shared" si="341"/>
        <v>RAZIMAH ANSAR AHMAD</v>
      </c>
      <c r="Y825" t="str">
        <f t="shared" si="342"/>
        <v>04-08-2020</v>
      </c>
      <c r="Z825" t="str">
        <f>"COS10200804 8329"</f>
        <v>COS10200804 8329</v>
      </c>
    </row>
    <row r="826" spans="1:26" x14ac:dyDescent="0.25">
      <c r="A826" t="str">
        <f t="shared" si="352"/>
        <v>04-08-2020 01:11:00</v>
      </c>
      <c r="B826" t="str">
        <f>"0000810133"</f>
        <v>0000810133</v>
      </c>
      <c r="C826" t="str">
        <f t="shared" si="353"/>
        <v>0000810005</v>
      </c>
      <c r="D826" t="str">
        <f t="shared" si="330"/>
        <v>73185</v>
      </c>
      <c r="E826" t="str">
        <f t="shared" si="331"/>
        <v>KFH-OPERATIONS DEPARTMENT</v>
      </c>
      <c r="F826" t="str">
        <f t="shared" si="332"/>
        <v>IBG</v>
      </c>
      <c r="G826" t="str">
        <f t="shared" si="343"/>
        <v>Refund COSHARE 10</v>
      </c>
      <c r="H826" s="2">
        <v>671.6</v>
      </c>
      <c r="I826" t="str">
        <f>"SUMIRAH BINTI SURIP"</f>
        <v>SUMIRAH BINTI SURIP</v>
      </c>
      <c r="J826" t="str">
        <f t="shared" si="349"/>
        <v>PUBLIC BANK / PUBLIC ISLAMIC BANK</v>
      </c>
      <c r="K826" t="str">
        <f>"4954591226"</f>
        <v>4954591226</v>
      </c>
      <c r="L826" t="str">
        <f t="shared" si="350"/>
        <v>04-08-2020</v>
      </c>
      <c r="M826" t="str">
        <f t="shared" si="350"/>
        <v>04-08-2020</v>
      </c>
      <c r="N826" t="str">
        <f t="shared" si="333"/>
        <v>001105018356</v>
      </c>
      <c r="O826" t="str">
        <f t="shared" si="334"/>
        <v>MYR</v>
      </c>
      <c r="P826" t="str">
        <f t="shared" si="351"/>
        <v>NIL</v>
      </c>
      <c r="Q826" t="str">
        <f t="shared" si="351"/>
        <v>NIL</v>
      </c>
      <c r="R826" t="str">
        <f t="shared" si="335"/>
        <v>Accepted</v>
      </c>
      <c r="S826" t="str">
        <f t="shared" si="336"/>
        <v>Approved</v>
      </c>
      <c r="T826" t="str">
        <f t="shared" si="337"/>
        <v>10.20.8.188</v>
      </c>
      <c r="U826" t="str">
        <f t="shared" si="338"/>
        <v>AZRAD UMAR BIN SHAARI</v>
      </c>
      <c r="V826" t="str">
        <f t="shared" si="339"/>
        <v>FARHANA BINTI MUSTAPA</v>
      </c>
      <c r="W826" t="str">
        <f t="shared" si="340"/>
        <v>04-08-2020</v>
      </c>
      <c r="X826" t="str">
        <f t="shared" si="341"/>
        <v>RAZIMAH ANSAR AHMAD</v>
      </c>
      <c r="Y826" t="str">
        <f t="shared" si="342"/>
        <v>04-08-2020</v>
      </c>
      <c r="Z826" t="str">
        <f>"COS10200804 8328"</f>
        <v>COS10200804 8328</v>
      </c>
    </row>
    <row r="827" spans="1:26" x14ac:dyDescent="0.25">
      <c r="A827" t="str">
        <f t="shared" si="352"/>
        <v>04-08-2020 01:11:00</v>
      </c>
      <c r="B827" t="str">
        <f>"0000810132"</f>
        <v>0000810132</v>
      </c>
      <c r="C827" t="str">
        <f t="shared" si="353"/>
        <v>0000810005</v>
      </c>
      <c r="D827" t="str">
        <f t="shared" si="330"/>
        <v>73185</v>
      </c>
      <c r="E827" t="str">
        <f t="shared" si="331"/>
        <v>KFH-OPERATIONS DEPARTMENT</v>
      </c>
      <c r="F827" t="str">
        <f t="shared" si="332"/>
        <v>IBG</v>
      </c>
      <c r="G827" t="str">
        <f t="shared" si="343"/>
        <v>Refund COSHARE 10</v>
      </c>
      <c r="H827" s="2">
        <v>277.05</v>
      </c>
      <c r="I827" t="str">
        <f>"SUMIRAH BINTI PARWI"</f>
        <v>SUMIRAH BINTI PARWI</v>
      </c>
      <c r="J827" t="str">
        <f t="shared" si="349"/>
        <v>PUBLIC BANK / PUBLIC ISLAMIC BANK</v>
      </c>
      <c r="K827" t="str">
        <f>"4990841503"</f>
        <v>4990841503</v>
      </c>
      <c r="L827" t="str">
        <f t="shared" ref="L827:M846" si="354">"04-08-2020"</f>
        <v>04-08-2020</v>
      </c>
      <c r="M827" t="str">
        <f t="shared" si="354"/>
        <v>04-08-2020</v>
      </c>
      <c r="N827" t="str">
        <f t="shared" si="333"/>
        <v>001105018356</v>
      </c>
      <c r="O827" t="str">
        <f t="shared" si="334"/>
        <v>MYR</v>
      </c>
      <c r="P827" t="str">
        <f t="shared" ref="P827:Q846" si="355">"NIL"</f>
        <v>NIL</v>
      </c>
      <c r="Q827" t="str">
        <f t="shared" si="355"/>
        <v>NIL</v>
      </c>
      <c r="R827" t="str">
        <f t="shared" si="335"/>
        <v>Accepted</v>
      </c>
      <c r="S827" t="str">
        <f t="shared" si="336"/>
        <v>Approved</v>
      </c>
      <c r="T827" t="str">
        <f t="shared" si="337"/>
        <v>10.20.8.188</v>
      </c>
      <c r="U827" t="str">
        <f t="shared" si="338"/>
        <v>AZRAD UMAR BIN SHAARI</v>
      </c>
      <c r="V827" t="str">
        <f t="shared" si="339"/>
        <v>FARHANA BINTI MUSTAPA</v>
      </c>
      <c r="W827" t="str">
        <f t="shared" si="340"/>
        <v>04-08-2020</v>
      </c>
      <c r="X827" t="str">
        <f t="shared" si="341"/>
        <v>RAZIMAH ANSAR AHMAD</v>
      </c>
      <c r="Y827" t="str">
        <f t="shared" si="342"/>
        <v>04-08-2020</v>
      </c>
      <c r="Z827" t="str">
        <f>"COS10200804 8327"</f>
        <v>COS10200804 8327</v>
      </c>
    </row>
    <row r="828" spans="1:26" x14ac:dyDescent="0.25">
      <c r="A828" t="str">
        <f t="shared" si="352"/>
        <v>04-08-2020 01:11:00</v>
      </c>
      <c r="B828" t="str">
        <f>"0000810131"</f>
        <v>0000810131</v>
      </c>
      <c r="C828" t="str">
        <f t="shared" si="353"/>
        <v>0000810005</v>
      </c>
      <c r="D828" t="str">
        <f t="shared" si="330"/>
        <v>73185</v>
      </c>
      <c r="E828" t="str">
        <f t="shared" si="331"/>
        <v>KFH-OPERATIONS DEPARTMENT</v>
      </c>
      <c r="F828" t="str">
        <f t="shared" si="332"/>
        <v>IBG</v>
      </c>
      <c r="G828" t="str">
        <f t="shared" si="343"/>
        <v>Refund COSHARE 10</v>
      </c>
      <c r="H828" s="2">
        <v>577</v>
      </c>
      <c r="I828" t="str">
        <f>"SUGUNTINI AP CHANDRA SAGARAN"</f>
        <v>SUGUNTINI AP CHANDRA SAGARAN</v>
      </c>
      <c r="J828" t="str">
        <f t="shared" si="349"/>
        <v>PUBLIC BANK / PUBLIC ISLAMIC BANK</v>
      </c>
      <c r="K828" t="str">
        <f>"4686821513"</f>
        <v>4686821513</v>
      </c>
      <c r="L828" t="str">
        <f t="shared" si="354"/>
        <v>04-08-2020</v>
      </c>
      <c r="M828" t="str">
        <f t="shared" si="354"/>
        <v>04-08-2020</v>
      </c>
      <c r="N828" t="str">
        <f t="shared" si="333"/>
        <v>001105018356</v>
      </c>
      <c r="O828" t="str">
        <f t="shared" si="334"/>
        <v>MYR</v>
      </c>
      <c r="P828" t="str">
        <f t="shared" si="355"/>
        <v>NIL</v>
      </c>
      <c r="Q828" t="str">
        <f t="shared" si="355"/>
        <v>NIL</v>
      </c>
      <c r="R828" t="str">
        <f t="shared" si="335"/>
        <v>Accepted</v>
      </c>
      <c r="S828" t="str">
        <f t="shared" si="336"/>
        <v>Approved</v>
      </c>
      <c r="T828" t="str">
        <f t="shared" si="337"/>
        <v>10.20.8.188</v>
      </c>
      <c r="U828" t="str">
        <f t="shared" si="338"/>
        <v>AZRAD UMAR BIN SHAARI</v>
      </c>
      <c r="V828" t="str">
        <f t="shared" si="339"/>
        <v>FARHANA BINTI MUSTAPA</v>
      </c>
      <c r="W828" t="str">
        <f t="shared" si="340"/>
        <v>04-08-2020</v>
      </c>
      <c r="X828" t="str">
        <f t="shared" si="341"/>
        <v>RAZIMAH ANSAR AHMAD</v>
      </c>
      <c r="Y828" t="str">
        <f t="shared" si="342"/>
        <v>04-08-2020</v>
      </c>
      <c r="Z828" t="str">
        <f>"COS10200804 8326"</f>
        <v>COS10200804 8326</v>
      </c>
    </row>
    <row r="829" spans="1:26" x14ac:dyDescent="0.25">
      <c r="A829" t="str">
        <f t="shared" si="352"/>
        <v>04-08-2020 01:11:00</v>
      </c>
      <c r="B829" t="str">
        <f>"0000810130"</f>
        <v>0000810130</v>
      </c>
      <c r="C829" t="str">
        <f t="shared" si="353"/>
        <v>0000810005</v>
      </c>
      <c r="D829" t="str">
        <f t="shared" si="330"/>
        <v>73185</v>
      </c>
      <c r="E829" t="str">
        <f t="shared" si="331"/>
        <v>KFH-OPERATIONS DEPARTMENT</v>
      </c>
      <c r="F829" t="str">
        <f t="shared" si="332"/>
        <v>IBG</v>
      </c>
      <c r="G829" t="str">
        <f t="shared" si="343"/>
        <v>Refund COSHARE 10</v>
      </c>
      <c r="H829" s="2">
        <v>839.5</v>
      </c>
      <c r="I829" t="str">
        <f>"SNIPELOVES BINTI SAINI"</f>
        <v>SNIPELOVES BINTI SAINI</v>
      </c>
      <c r="J829" t="str">
        <f t="shared" si="349"/>
        <v>PUBLIC BANK / PUBLIC ISLAMIC BANK</v>
      </c>
      <c r="K829" t="str">
        <f>"4994310629"</f>
        <v>4994310629</v>
      </c>
      <c r="L829" t="str">
        <f t="shared" si="354"/>
        <v>04-08-2020</v>
      </c>
      <c r="M829" t="str">
        <f t="shared" si="354"/>
        <v>04-08-2020</v>
      </c>
      <c r="N829" t="str">
        <f t="shared" si="333"/>
        <v>001105018356</v>
      </c>
      <c r="O829" t="str">
        <f t="shared" si="334"/>
        <v>MYR</v>
      </c>
      <c r="P829" t="str">
        <f t="shared" si="355"/>
        <v>NIL</v>
      </c>
      <c r="Q829" t="str">
        <f t="shared" si="355"/>
        <v>NIL</v>
      </c>
      <c r="R829" t="str">
        <f t="shared" si="335"/>
        <v>Accepted</v>
      </c>
      <c r="S829" t="str">
        <f t="shared" si="336"/>
        <v>Approved</v>
      </c>
      <c r="T829" t="str">
        <f t="shared" si="337"/>
        <v>10.20.8.188</v>
      </c>
      <c r="U829" t="str">
        <f t="shared" si="338"/>
        <v>AZRAD UMAR BIN SHAARI</v>
      </c>
      <c r="V829" t="str">
        <f t="shared" si="339"/>
        <v>FARHANA BINTI MUSTAPA</v>
      </c>
      <c r="W829" t="str">
        <f t="shared" si="340"/>
        <v>04-08-2020</v>
      </c>
      <c r="X829" t="str">
        <f t="shared" si="341"/>
        <v>RAZIMAH ANSAR AHMAD</v>
      </c>
      <c r="Y829" t="str">
        <f t="shared" si="342"/>
        <v>04-08-2020</v>
      </c>
      <c r="Z829" t="str">
        <f>"COS10200804 8325"</f>
        <v>COS10200804 8325</v>
      </c>
    </row>
    <row r="830" spans="1:26" x14ac:dyDescent="0.25">
      <c r="A830" t="str">
        <f t="shared" si="352"/>
        <v>04-08-2020 01:11:00</v>
      </c>
      <c r="B830" t="str">
        <f>"0000810129"</f>
        <v>0000810129</v>
      </c>
      <c r="C830" t="str">
        <f t="shared" si="353"/>
        <v>0000810005</v>
      </c>
      <c r="D830" t="str">
        <f t="shared" si="330"/>
        <v>73185</v>
      </c>
      <c r="E830" t="str">
        <f t="shared" si="331"/>
        <v>KFH-OPERATIONS DEPARTMENT</v>
      </c>
      <c r="F830" t="str">
        <f t="shared" si="332"/>
        <v>IBG</v>
      </c>
      <c r="G830" t="str">
        <f t="shared" si="343"/>
        <v>Refund COSHARE 10</v>
      </c>
      <c r="H830" s="2">
        <v>335.8</v>
      </c>
      <c r="I830" t="str">
        <f>"SIVAMOHAN AL V SHUNMUGAM"</f>
        <v>SIVAMOHAN AL V SHUNMUGAM</v>
      </c>
      <c r="J830" t="str">
        <f t="shared" si="349"/>
        <v>PUBLIC BANK / PUBLIC ISLAMIC BANK</v>
      </c>
      <c r="K830" t="str">
        <f>"6920703919"</f>
        <v>6920703919</v>
      </c>
      <c r="L830" t="str">
        <f t="shared" si="354"/>
        <v>04-08-2020</v>
      </c>
      <c r="M830" t="str">
        <f t="shared" si="354"/>
        <v>04-08-2020</v>
      </c>
      <c r="N830" t="str">
        <f t="shared" si="333"/>
        <v>001105018356</v>
      </c>
      <c r="O830" t="str">
        <f t="shared" si="334"/>
        <v>MYR</v>
      </c>
      <c r="P830" t="str">
        <f t="shared" si="355"/>
        <v>NIL</v>
      </c>
      <c r="Q830" t="str">
        <f t="shared" si="355"/>
        <v>NIL</v>
      </c>
      <c r="R830" t="str">
        <f t="shared" si="335"/>
        <v>Accepted</v>
      </c>
      <c r="S830" t="str">
        <f t="shared" si="336"/>
        <v>Approved</v>
      </c>
      <c r="T830" t="str">
        <f t="shared" si="337"/>
        <v>10.20.8.188</v>
      </c>
      <c r="U830" t="str">
        <f t="shared" si="338"/>
        <v>AZRAD UMAR BIN SHAARI</v>
      </c>
      <c r="V830" t="str">
        <f t="shared" si="339"/>
        <v>FARHANA BINTI MUSTAPA</v>
      </c>
      <c r="W830" t="str">
        <f t="shared" si="340"/>
        <v>04-08-2020</v>
      </c>
      <c r="X830" t="str">
        <f t="shared" si="341"/>
        <v>RAZIMAH ANSAR AHMAD</v>
      </c>
      <c r="Y830" t="str">
        <f t="shared" si="342"/>
        <v>04-08-2020</v>
      </c>
      <c r="Z830" t="str">
        <f>"COS10200804 8324"</f>
        <v>COS10200804 8324</v>
      </c>
    </row>
    <row r="831" spans="1:26" x14ac:dyDescent="0.25">
      <c r="A831" t="str">
        <f t="shared" si="352"/>
        <v>04-08-2020 01:11:00</v>
      </c>
      <c r="B831" t="str">
        <f>"0000810128"</f>
        <v>0000810128</v>
      </c>
      <c r="C831" t="str">
        <f t="shared" si="353"/>
        <v>0000810005</v>
      </c>
      <c r="D831" t="str">
        <f t="shared" si="330"/>
        <v>73185</v>
      </c>
      <c r="E831" t="str">
        <f t="shared" si="331"/>
        <v>KFH-OPERATIONS DEPARTMENT</v>
      </c>
      <c r="F831" t="str">
        <f t="shared" si="332"/>
        <v>IBG</v>
      </c>
      <c r="G831" t="str">
        <f t="shared" si="343"/>
        <v>Refund COSHARE 10</v>
      </c>
      <c r="H831" s="2">
        <v>1343.2</v>
      </c>
      <c r="I831" t="str">
        <f>"SIVAMOHAN AL V SHUNMUGAM"</f>
        <v>SIVAMOHAN AL V SHUNMUGAM</v>
      </c>
      <c r="J831" t="str">
        <f t="shared" si="349"/>
        <v>PUBLIC BANK / PUBLIC ISLAMIC BANK</v>
      </c>
      <c r="K831" t="str">
        <f>"6920703919"</f>
        <v>6920703919</v>
      </c>
      <c r="L831" t="str">
        <f t="shared" si="354"/>
        <v>04-08-2020</v>
      </c>
      <c r="M831" t="str">
        <f t="shared" si="354"/>
        <v>04-08-2020</v>
      </c>
      <c r="N831" t="str">
        <f t="shared" si="333"/>
        <v>001105018356</v>
      </c>
      <c r="O831" t="str">
        <f t="shared" si="334"/>
        <v>MYR</v>
      </c>
      <c r="P831" t="str">
        <f t="shared" si="355"/>
        <v>NIL</v>
      </c>
      <c r="Q831" t="str">
        <f t="shared" si="355"/>
        <v>NIL</v>
      </c>
      <c r="R831" t="str">
        <f t="shared" si="335"/>
        <v>Accepted</v>
      </c>
      <c r="S831" t="str">
        <f t="shared" si="336"/>
        <v>Approved</v>
      </c>
      <c r="T831" t="str">
        <f t="shared" si="337"/>
        <v>10.20.8.188</v>
      </c>
      <c r="U831" t="str">
        <f t="shared" si="338"/>
        <v>AZRAD UMAR BIN SHAARI</v>
      </c>
      <c r="V831" t="str">
        <f t="shared" si="339"/>
        <v>FARHANA BINTI MUSTAPA</v>
      </c>
      <c r="W831" t="str">
        <f t="shared" si="340"/>
        <v>04-08-2020</v>
      </c>
      <c r="X831" t="str">
        <f t="shared" si="341"/>
        <v>RAZIMAH ANSAR AHMAD</v>
      </c>
      <c r="Y831" t="str">
        <f t="shared" si="342"/>
        <v>04-08-2020</v>
      </c>
      <c r="Z831" t="str">
        <f>"COS10200804 8323"</f>
        <v>COS10200804 8323</v>
      </c>
    </row>
    <row r="832" spans="1:26" x14ac:dyDescent="0.25">
      <c r="A832" t="str">
        <f t="shared" si="352"/>
        <v>04-08-2020 01:11:00</v>
      </c>
      <c r="B832" t="str">
        <f>"0000810127"</f>
        <v>0000810127</v>
      </c>
      <c r="C832" t="str">
        <f t="shared" si="353"/>
        <v>0000810005</v>
      </c>
      <c r="D832" t="str">
        <f t="shared" si="330"/>
        <v>73185</v>
      </c>
      <c r="E832" t="str">
        <f t="shared" si="331"/>
        <v>KFH-OPERATIONS DEPARTMENT</v>
      </c>
      <c r="F832" t="str">
        <f t="shared" si="332"/>
        <v>IBG</v>
      </c>
      <c r="G832" t="str">
        <f t="shared" si="343"/>
        <v>Refund COSHARE 10</v>
      </c>
      <c r="H832" s="2">
        <v>906.7</v>
      </c>
      <c r="I832" t="str">
        <f>"SITI ZALEHA BINTI HAMIL"</f>
        <v>SITI ZALEHA BINTI HAMIL</v>
      </c>
      <c r="J832" t="str">
        <f t="shared" si="349"/>
        <v>PUBLIC BANK / PUBLIC ISLAMIC BANK</v>
      </c>
      <c r="K832" t="str">
        <f>"4767653603"</f>
        <v>4767653603</v>
      </c>
      <c r="L832" t="str">
        <f t="shared" si="354"/>
        <v>04-08-2020</v>
      </c>
      <c r="M832" t="str">
        <f t="shared" si="354"/>
        <v>04-08-2020</v>
      </c>
      <c r="N832" t="str">
        <f t="shared" si="333"/>
        <v>001105018356</v>
      </c>
      <c r="O832" t="str">
        <f t="shared" si="334"/>
        <v>MYR</v>
      </c>
      <c r="P832" t="str">
        <f t="shared" si="355"/>
        <v>NIL</v>
      </c>
      <c r="Q832" t="str">
        <f t="shared" si="355"/>
        <v>NIL</v>
      </c>
      <c r="R832" t="str">
        <f t="shared" si="335"/>
        <v>Accepted</v>
      </c>
      <c r="S832" t="str">
        <f t="shared" si="336"/>
        <v>Approved</v>
      </c>
      <c r="T832" t="str">
        <f t="shared" si="337"/>
        <v>10.20.8.188</v>
      </c>
      <c r="U832" t="str">
        <f t="shared" si="338"/>
        <v>AZRAD UMAR BIN SHAARI</v>
      </c>
      <c r="V832" t="str">
        <f t="shared" si="339"/>
        <v>FARHANA BINTI MUSTAPA</v>
      </c>
      <c r="W832" t="str">
        <f t="shared" si="340"/>
        <v>04-08-2020</v>
      </c>
      <c r="X832" t="str">
        <f t="shared" si="341"/>
        <v>RAZIMAH ANSAR AHMAD</v>
      </c>
      <c r="Y832" t="str">
        <f t="shared" si="342"/>
        <v>04-08-2020</v>
      </c>
      <c r="Z832" t="str">
        <f>"COS10200804 8322"</f>
        <v>COS10200804 8322</v>
      </c>
    </row>
    <row r="833" spans="1:26" x14ac:dyDescent="0.25">
      <c r="A833" t="str">
        <f t="shared" si="352"/>
        <v>04-08-2020 01:11:00</v>
      </c>
      <c r="B833" t="str">
        <f>"0000810126"</f>
        <v>0000810126</v>
      </c>
      <c r="C833" t="str">
        <f t="shared" si="353"/>
        <v>0000810005</v>
      </c>
      <c r="D833" t="str">
        <f t="shared" si="330"/>
        <v>73185</v>
      </c>
      <c r="E833" t="str">
        <f t="shared" si="331"/>
        <v>KFH-OPERATIONS DEPARTMENT</v>
      </c>
      <c r="F833" t="str">
        <f t="shared" si="332"/>
        <v>IBG</v>
      </c>
      <c r="G833" t="str">
        <f t="shared" si="343"/>
        <v>Refund COSHARE 10</v>
      </c>
      <c r="H833" s="2">
        <v>285.45</v>
      </c>
      <c r="I833" t="str">
        <f>"SITI SURIATI BINTI YUNOS"</f>
        <v>SITI SURIATI BINTI YUNOS</v>
      </c>
      <c r="J833" t="str">
        <f t="shared" si="349"/>
        <v>PUBLIC BANK / PUBLIC ISLAMIC BANK</v>
      </c>
      <c r="K833" t="str">
        <f>"4761657333"</f>
        <v>4761657333</v>
      </c>
      <c r="L833" t="str">
        <f t="shared" si="354"/>
        <v>04-08-2020</v>
      </c>
      <c r="M833" t="str">
        <f t="shared" si="354"/>
        <v>04-08-2020</v>
      </c>
      <c r="N833" t="str">
        <f t="shared" si="333"/>
        <v>001105018356</v>
      </c>
      <c r="O833" t="str">
        <f t="shared" si="334"/>
        <v>MYR</v>
      </c>
      <c r="P833" t="str">
        <f t="shared" si="355"/>
        <v>NIL</v>
      </c>
      <c r="Q833" t="str">
        <f t="shared" si="355"/>
        <v>NIL</v>
      </c>
      <c r="R833" t="str">
        <f t="shared" si="335"/>
        <v>Accepted</v>
      </c>
      <c r="S833" t="str">
        <f t="shared" si="336"/>
        <v>Approved</v>
      </c>
      <c r="T833" t="str">
        <f t="shared" si="337"/>
        <v>10.20.8.188</v>
      </c>
      <c r="U833" t="str">
        <f t="shared" si="338"/>
        <v>AZRAD UMAR BIN SHAARI</v>
      </c>
      <c r="V833" t="str">
        <f t="shared" si="339"/>
        <v>FARHANA BINTI MUSTAPA</v>
      </c>
      <c r="W833" t="str">
        <f t="shared" si="340"/>
        <v>04-08-2020</v>
      </c>
      <c r="X833" t="str">
        <f t="shared" si="341"/>
        <v>RAZIMAH ANSAR AHMAD</v>
      </c>
      <c r="Y833" t="str">
        <f t="shared" si="342"/>
        <v>04-08-2020</v>
      </c>
      <c r="Z833" t="str">
        <f>"COS10200804 8321"</f>
        <v>COS10200804 8321</v>
      </c>
    </row>
    <row r="834" spans="1:26" x14ac:dyDescent="0.25">
      <c r="A834" t="str">
        <f t="shared" si="352"/>
        <v>04-08-2020 01:11:00</v>
      </c>
      <c r="B834" t="str">
        <f>"0000810125"</f>
        <v>0000810125</v>
      </c>
      <c r="C834" t="str">
        <f t="shared" si="353"/>
        <v>0000810005</v>
      </c>
      <c r="D834" t="str">
        <f t="shared" si="330"/>
        <v>73185</v>
      </c>
      <c r="E834" t="str">
        <f t="shared" si="331"/>
        <v>KFH-OPERATIONS DEPARTMENT</v>
      </c>
      <c r="F834" t="str">
        <f t="shared" si="332"/>
        <v>IBG</v>
      </c>
      <c r="G834" t="str">
        <f t="shared" si="343"/>
        <v>Refund COSHARE 10</v>
      </c>
      <c r="H834" s="2">
        <v>542</v>
      </c>
      <c r="I834" t="str">
        <f>"SITI NORAINI BINTI AWANG HAMAT"</f>
        <v>SITI NORAINI BINTI AWANG HAMAT</v>
      </c>
      <c r="J834" t="str">
        <f t="shared" si="349"/>
        <v>PUBLIC BANK / PUBLIC ISLAMIC BANK</v>
      </c>
      <c r="K834" t="str">
        <f>"4542739117"</f>
        <v>4542739117</v>
      </c>
      <c r="L834" t="str">
        <f t="shared" si="354"/>
        <v>04-08-2020</v>
      </c>
      <c r="M834" t="str">
        <f t="shared" si="354"/>
        <v>04-08-2020</v>
      </c>
      <c r="N834" t="str">
        <f t="shared" si="333"/>
        <v>001105018356</v>
      </c>
      <c r="O834" t="str">
        <f t="shared" si="334"/>
        <v>MYR</v>
      </c>
      <c r="P834" t="str">
        <f t="shared" si="355"/>
        <v>NIL</v>
      </c>
      <c r="Q834" t="str">
        <f t="shared" si="355"/>
        <v>NIL</v>
      </c>
      <c r="R834" t="str">
        <f t="shared" si="335"/>
        <v>Accepted</v>
      </c>
      <c r="S834" t="str">
        <f t="shared" si="336"/>
        <v>Approved</v>
      </c>
      <c r="T834" t="str">
        <f t="shared" si="337"/>
        <v>10.20.8.188</v>
      </c>
      <c r="U834" t="str">
        <f t="shared" si="338"/>
        <v>AZRAD UMAR BIN SHAARI</v>
      </c>
      <c r="V834" t="str">
        <f t="shared" si="339"/>
        <v>FARHANA BINTI MUSTAPA</v>
      </c>
      <c r="W834" t="str">
        <f t="shared" si="340"/>
        <v>04-08-2020</v>
      </c>
      <c r="X834" t="str">
        <f t="shared" si="341"/>
        <v>RAZIMAH ANSAR AHMAD</v>
      </c>
      <c r="Y834" t="str">
        <f t="shared" si="342"/>
        <v>04-08-2020</v>
      </c>
      <c r="Z834" t="str">
        <f>"COS10200804 8320"</f>
        <v>COS10200804 8320</v>
      </c>
    </row>
    <row r="835" spans="1:26" x14ac:dyDescent="0.25">
      <c r="A835" t="str">
        <f t="shared" si="352"/>
        <v>04-08-2020 01:11:00</v>
      </c>
      <c r="B835" t="str">
        <f>"0000810124"</f>
        <v>0000810124</v>
      </c>
      <c r="C835" t="str">
        <f t="shared" si="353"/>
        <v>0000810005</v>
      </c>
      <c r="D835" t="str">
        <f t="shared" si="330"/>
        <v>73185</v>
      </c>
      <c r="E835" t="str">
        <f t="shared" si="331"/>
        <v>KFH-OPERATIONS DEPARTMENT</v>
      </c>
      <c r="F835" t="str">
        <f t="shared" si="332"/>
        <v>IBG</v>
      </c>
      <c r="G835" t="str">
        <f t="shared" si="343"/>
        <v>Refund COSHARE 10</v>
      </c>
      <c r="H835" s="2">
        <v>411.35</v>
      </c>
      <c r="I835" t="str">
        <f>"SITI MARIAM BINTI ISMAIL"</f>
        <v>SITI MARIAM BINTI ISMAIL</v>
      </c>
      <c r="J835" t="str">
        <f t="shared" si="349"/>
        <v>PUBLIC BANK / PUBLIC ISLAMIC BANK</v>
      </c>
      <c r="K835" t="str">
        <f>"6866849908"</f>
        <v>6866849908</v>
      </c>
      <c r="L835" t="str">
        <f t="shared" si="354"/>
        <v>04-08-2020</v>
      </c>
      <c r="M835" t="str">
        <f t="shared" si="354"/>
        <v>04-08-2020</v>
      </c>
      <c r="N835" t="str">
        <f t="shared" si="333"/>
        <v>001105018356</v>
      </c>
      <c r="O835" t="str">
        <f t="shared" si="334"/>
        <v>MYR</v>
      </c>
      <c r="P835" t="str">
        <f t="shared" si="355"/>
        <v>NIL</v>
      </c>
      <c r="Q835" t="str">
        <f t="shared" si="355"/>
        <v>NIL</v>
      </c>
      <c r="R835" t="str">
        <f t="shared" si="335"/>
        <v>Accepted</v>
      </c>
      <c r="S835" t="str">
        <f t="shared" si="336"/>
        <v>Approved</v>
      </c>
      <c r="T835" t="str">
        <f t="shared" si="337"/>
        <v>10.20.8.188</v>
      </c>
      <c r="U835" t="str">
        <f t="shared" si="338"/>
        <v>AZRAD UMAR BIN SHAARI</v>
      </c>
      <c r="V835" t="str">
        <f t="shared" si="339"/>
        <v>FARHANA BINTI MUSTAPA</v>
      </c>
      <c r="W835" t="str">
        <f t="shared" si="340"/>
        <v>04-08-2020</v>
      </c>
      <c r="X835" t="str">
        <f t="shared" si="341"/>
        <v>RAZIMAH ANSAR AHMAD</v>
      </c>
      <c r="Y835" t="str">
        <f t="shared" si="342"/>
        <v>04-08-2020</v>
      </c>
      <c r="Z835" t="str">
        <f>"COS10200804 8319"</f>
        <v>COS10200804 8319</v>
      </c>
    </row>
    <row r="836" spans="1:26" x14ac:dyDescent="0.25">
      <c r="A836" t="str">
        <f t="shared" si="352"/>
        <v>04-08-2020 01:11:00</v>
      </c>
      <c r="B836" t="str">
        <f>"0000810123"</f>
        <v>0000810123</v>
      </c>
      <c r="C836" t="str">
        <f t="shared" si="353"/>
        <v>0000810005</v>
      </c>
      <c r="D836" t="str">
        <f t="shared" si="330"/>
        <v>73185</v>
      </c>
      <c r="E836" t="str">
        <f t="shared" si="331"/>
        <v>KFH-OPERATIONS DEPARTMENT</v>
      </c>
      <c r="F836" t="str">
        <f t="shared" si="332"/>
        <v>IBG</v>
      </c>
      <c r="G836" t="str">
        <f t="shared" si="343"/>
        <v>Refund COSHARE 10</v>
      </c>
      <c r="H836" s="2">
        <v>448.25</v>
      </c>
      <c r="I836" t="str">
        <f>"SITI AINUN  NORAIN BINTI RAHMAN"</f>
        <v>SITI AINUN  NORAIN BINTI RAHMAN</v>
      </c>
      <c r="J836" t="str">
        <f t="shared" si="349"/>
        <v>PUBLIC BANK / PUBLIC ISLAMIC BANK</v>
      </c>
      <c r="K836" t="str">
        <f>"4541637502"</f>
        <v>4541637502</v>
      </c>
      <c r="L836" t="str">
        <f t="shared" si="354"/>
        <v>04-08-2020</v>
      </c>
      <c r="M836" t="str">
        <f t="shared" si="354"/>
        <v>04-08-2020</v>
      </c>
      <c r="N836" t="str">
        <f t="shared" si="333"/>
        <v>001105018356</v>
      </c>
      <c r="O836" t="str">
        <f t="shared" si="334"/>
        <v>MYR</v>
      </c>
      <c r="P836" t="str">
        <f t="shared" si="355"/>
        <v>NIL</v>
      </c>
      <c r="Q836" t="str">
        <f t="shared" si="355"/>
        <v>NIL</v>
      </c>
      <c r="R836" t="str">
        <f t="shared" si="335"/>
        <v>Accepted</v>
      </c>
      <c r="S836" t="str">
        <f t="shared" si="336"/>
        <v>Approved</v>
      </c>
      <c r="T836" t="str">
        <f t="shared" si="337"/>
        <v>10.20.8.188</v>
      </c>
      <c r="U836" t="str">
        <f t="shared" si="338"/>
        <v>AZRAD UMAR BIN SHAARI</v>
      </c>
      <c r="V836" t="str">
        <f t="shared" si="339"/>
        <v>FARHANA BINTI MUSTAPA</v>
      </c>
      <c r="W836" t="str">
        <f t="shared" si="340"/>
        <v>04-08-2020</v>
      </c>
      <c r="X836" t="str">
        <f t="shared" si="341"/>
        <v>RAZIMAH ANSAR AHMAD</v>
      </c>
      <c r="Y836" t="str">
        <f t="shared" si="342"/>
        <v>04-08-2020</v>
      </c>
      <c r="Z836" t="str">
        <f>"COS10200804 8318"</f>
        <v>COS10200804 8318</v>
      </c>
    </row>
    <row r="837" spans="1:26" x14ac:dyDescent="0.25">
      <c r="A837" t="str">
        <f t="shared" si="352"/>
        <v>04-08-2020 01:11:00</v>
      </c>
      <c r="B837" t="str">
        <f>"0000810122"</f>
        <v>0000810122</v>
      </c>
      <c r="C837" t="str">
        <f t="shared" si="353"/>
        <v>0000810005</v>
      </c>
      <c r="D837" t="str">
        <f t="shared" si="330"/>
        <v>73185</v>
      </c>
      <c r="E837" t="str">
        <f t="shared" si="331"/>
        <v>KFH-OPERATIONS DEPARTMENT</v>
      </c>
      <c r="F837" t="str">
        <f t="shared" si="332"/>
        <v>IBG</v>
      </c>
      <c r="G837" t="str">
        <f t="shared" si="343"/>
        <v>Refund COSHARE 10</v>
      </c>
      <c r="H837" s="2">
        <v>100.75</v>
      </c>
      <c r="I837" t="str">
        <f>"SIRUAN BIN ASIKIN"</f>
        <v>SIRUAN BIN ASIKIN</v>
      </c>
      <c r="J837" t="str">
        <f t="shared" si="349"/>
        <v>PUBLIC BANK / PUBLIC ISLAMIC BANK</v>
      </c>
      <c r="K837" t="str">
        <f>"4898073318"</f>
        <v>4898073318</v>
      </c>
      <c r="L837" t="str">
        <f t="shared" si="354"/>
        <v>04-08-2020</v>
      </c>
      <c r="M837" t="str">
        <f t="shared" si="354"/>
        <v>04-08-2020</v>
      </c>
      <c r="N837" t="str">
        <f t="shared" si="333"/>
        <v>001105018356</v>
      </c>
      <c r="O837" t="str">
        <f t="shared" si="334"/>
        <v>MYR</v>
      </c>
      <c r="P837" t="str">
        <f t="shared" si="355"/>
        <v>NIL</v>
      </c>
      <c r="Q837" t="str">
        <f t="shared" si="355"/>
        <v>NIL</v>
      </c>
      <c r="R837" t="str">
        <f t="shared" si="335"/>
        <v>Accepted</v>
      </c>
      <c r="S837" t="str">
        <f t="shared" si="336"/>
        <v>Approved</v>
      </c>
      <c r="T837" t="str">
        <f t="shared" si="337"/>
        <v>10.20.8.188</v>
      </c>
      <c r="U837" t="str">
        <f t="shared" si="338"/>
        <v>AZRAD UMAR BIN SHAARI</v>
      </c>
      <c r="V837" t="str">
        <f t="shared" si="339"/>
        <v>FARHANA BINTI MUSTAPA</v>
      </c>
      <c r="W837" t="str">
        <f t="shared" si="340"/>
        <v>04-08-2020</v>
      </c>
      <c r="X837" t="str">
        <f t="shared" si="341"/>
        <v>RAZIMAH ANSAR AHMAD</v>
      </c>
      <c r="Y837" t="str">
        <f t="shared" si="342"/>
        <v>04-08-2020</v>
      </c>
      <c r="Z837" t="str">
        <f>"COS10200804 8317"</f>
        <v>COS10200804 8317</v>
      </c>
    </row>
    <row r="838" spans="1:26" x14ac:dyDescent="0.25">
      <c r="A838" t="str">
        <f t="shared" si="352"/>
        <v>04-08-2020 01:11:00</v>
      </c>
      <c r="B838" t="str">
        <f>"0000810121"</f>
        <v>0000810121</v>
      </c>
      <c r="C838" t="str">
        <f t="shared" si="353"/>
        <v>0000810005</v>
      </c>
      <c r="D838" t="str">
        <f t="shared" si="330"/>
        <v>73185</v>
      </c>
      <c r="E838" t="str">
        <f t="shared" si="331"/>
        <v>KFH-OPERATIONS DEPARTMENT</v>
      </c>
      <c r="F838" t="str">
        <f t="shared" si="332"/>
        <v>IBG</v>
      </c>
      <c r="G838" t="str">
        <f t="shared" si="343"/>
        <v>Refund COSHARE 10</v>
      </c>
      <c r="H838" s="2">
        <v>225.2</v>
      </c>
      <c r="I838" t="str">
        <f>"SIM SIN BEE"</f>
        <v>SIM SIN BEE</v>
      </c>
      <c r="J838" t="str">
        <f t="shared" si="349"/>
        <v>PUBLIC BANK / PUBLIC ISLAMIC BANK</v>
      </c>
      <c r="K838" t="str">
        <f>"4003991714"</f>
        <v>4003991714</v>
      </c>
      <c r="L838" t="str">
        <f t="shared" si="354"/>
        <v>04-08-2020</v>
      </c>
      <c r="M838" t="str">
        <f t="shared" si="354"/>
        <v>04-08-2020</v>
      </c>
      <c r="N838" t="str">
        <f t="shared" si="333"/>
        <v>001105018356</v>
      </c>
      <c r="O838" t="str">
        <f t="shared" si="334"/>
        <v>MYR</v>
      </c>
      <c r="P838" t="str">
        <f t="shared" si="355"/>
        <v>NIL</v>
      </c>
      <c r="Q838" t="str">
        <f t="shared" si="355"/>
        <v>NIL</v>
      </c>
      <c r="R838" t="str">
        <f t="shared" si="335"/>
        <v>Accepted</v>
      </c>
      <c r="S838" t="str">
        <f t="shared" si="336"/>
        <v>Approved</v>
      </c>
      <c r="T838" t="str">
        <f t="shared" si="337"/>
        <v>10.20.8.188</v>
      </c>
      <c r="U838" t="str">
        <f t="shared" si="338"/>
        <v>AZRAD UMAR BIN SHAARI</v>
      </c>
      <c r="V838" t="str">
        <f t="shared" si="339"/>
        <v>FARHANA BINTI MUSTAPA</v>
      </c>
      <c r="W838" t="str">
        <f t="shared" si="340"/>
        <v>04-08-2020</v>
      </c>
      <c r="X838" t="str">
        <f t="shared" si="341"/>
        <v>RAZIMAH ANSAR AHMAD</v>
      </c>
      <c r="Y838" t="str">
        <f t="shared" si="342"/>
        <v>04-08-2020</v>
      </c>
      <c r="Z838" t="str">
        <f>"COS10200804 8316"</f>
        <v>COS10200804 8316</v>
      </c>
    </row>
    <row r="839" spans="1:26" x14ac:dyDescent="0.25">
      <c r="A839" t="str">
        <f t="shared" si="352"/>
        <v>04-08-2020 01:11:00</v>
      </c>
      <c r="B839" t="str">
        <f>"0000810120"</f>
        <v>0000810120</v>
      </c>
      <c r="C839" t="str">
        <f t="shared" si="353"/>
        <v>0000810005</v>
      </c>
      <c r="D839" t="str">
        <f t="shared" ref="D839:D902" si="356">"73185"</f>
        <v>73185</v>
      </c>
      <c r="E839" t="str">
        <f t="shared" ref="E839:E902" si="357">"KFH-OPERATIONS DEPARTMENT"</f>
        <v>KFH-OPERATIONS DEPARTMENT</v>
      </c>
      <c r="F839" t="str">
        <f t="shared" ref="F839:F902" si="358">"IBG"</f>
        <v>IBG</v>
      </c>
      <c r="G839" t="str">
        <f t="shared" si="343"/>
        <v>Refund COSHARE 10</v>
      </c>
      <c r="H839" s="2">
        <v>1495</v>
      </c>
      <c r="I839" t="str">
        <f>"SIA SI HUNG"</f>
        <v>SIA SI HUNG</v>
      </c>
      <c r="J839" t="str">
        <f t="shared" si="349"/>
        <v>PUBLIC BANK / PUBLIC ISLAMIC BANK</v>
      </c>
      <c r="K839" t="str">
        <f>"4447258602"</f>
        <v>4447258602</v>
      </c>
      <c r="L839" t="str">
        <f t="shared" si="354"/>
        <v>04-08-2020</v>
      </c>
      <c r="M839" t="str">
        <f t="shared" si="354"/>
        <v>04-08-2020</v>
      </c>
      <c r="N839" t="str">
        <f t="shared" ref="N839:N902" si="359">"001105018356"</f>
        <v>001105018356</v>
      </c>
      <c r="O839" t="str">
        <f t="shared" ref="O839:O902" si="360">"MYR"</f>
        <v>MYR</v>
      </c>
      <c r="P839" t="str">
        <f t="shared" si="355"/>
        <v>NIL</v>
      </c>
      <c r="Q839" t="str">
        <f t="shared" si="355"/>
        <v>NIL</v>
      </c>
      <c r="R839" t="str">
        <f t="shared" ref="R839:R902" si="361">"Accepted"</f>
        <v>Accepted</v>
      </c>
      <c r="S839" t="str">
        <f t="shared" ref="S839:S902" si="362">"Approved"</f>
        <v>Approved</v>
      </c>
      <c r="T839" t="str">
        <f t="shared" ref="T839:T902" si="363">"10.20.8.188"</f>
        <v>10.20.8.188</v>
      </c>
      <c r="U839" t="str">
        <f t="shared" ref="U839:U902" si="364">"AZRAD UMAR BIN SHAARI"</f>
        <v>AZRAD UMAR BIN SHAARI</v>
      </c>
      <c r="V839" t="str">
        <f t="shared" ref="V839:V902" si="365">"FARHANA BINTI MUSTAPA"</f>
        <v>FARHANA BINTI MUSTAPA</v>
      </c>
      <c r="W839" t="str">
        <f t="shared" ref="W839:W902" si="366">"04-08-2020"</f>
        <v>04-08-2020</v>
      </c>
      <c r="X839" t="str">
        <f t="shared" ref="X839:X902" si="367">"RAZIMAH ANSAR AHMAD"</f>
        <v>RAZIMAH ANSAR AHMAD</v>
      </c>
      <c r="Y839" t="str">
        <f t="shared" ref="Y839:Y902" si="368">"04-08-2020"</f>
        <v>04-08-2020</v>
      </c>
      <c r="Z839" t="str">
        <f>"COS10200804 8315"</f>
        <v>COS10200804 8315</v>
      </c>
    </row>
    <row r="840" spans="1:26" x14ac:dyDescent="0.25">
      <c r="A840" t="str">
        <f t="shared" si="352"/>
        <v>04-08-2020 01:11:00</v>
      </c>
      <c r="B840" t="str">
        <f>"0000810119"</f>
        <v>0000810119</v>
      </c>
      <c r="C840" t="str">
        <f t="shared" si="353"/>
        <v>0000810005</v>
      </c>
      <c r="D840" t="str">
        <f t="shared" si="356"/>
        <v>73185</v>
      </c>
      <c r="E840" t="str">
        <f t="shared" si="357"/>
        <v>KFH-OPERATIONS DEPARTMENT</v>
      </c>
      <c r="F840" t="str">
        <f t="shared" si="358"/>
        <v>IBG</v>
      </c>
      <c r="G840" t="str">
        <f t="shared" si="343"/>
        <v>Refund COSHARE 10</v>
      </c>
      <c r="H840" s="2">
        <v>117.55</v>
      </c>
      <c r="I840" t="str">
        <f>"SHARIMAN BIN OTHMAN"</f>
        <v>SHARIMAN BIN OTHMAN</v>
      </c>
      <c r="J840" t="str">
        <f t="shared" si="349"/>
        <v>PUBLIC BANK / PUBLIC ISLAMIC BANK</v>
      </c>
      <c r="K840" t="str">
        <f>"4917000812"</f>
        <v>4917000812</v>
      </c>
      <c r="L840" t="str">
        <f t="shared" si="354"/>
        <v>04-08-2020</v>
      </c>
      <c r="M840" t="str">
        <f t="shared" si="354"/>
        <v>04-08-2020</v>
      </c>
      <c r="N840" t="str">
        <f t="shared" si="359"/>
        <v>001105018356</v>
      </c>
      <c r="O840" t="str">
        <f t="shared" si="360"/>
        <v>MYR</v>
      </c>
      <c r="P840" t="str">
        <f t="shared" si="355"/>
        <v>NIL</v>
      </c>
      <c r="Q840" t="str">
        <f t="shared" si="355"/>
        <v>NIL</v>
      </c>
      <c r="R840" t="str">
        <f t="shared" si="361"/>
        <v>Accepted</v>
      </c>
      <c r="S840" t="str">
        <f t="shared" si="362"/>
        <v>Approved</v>
      </c>
      <c r="T840" t="str">
        <f t="shared" si="363"/>
        <v>10.20.8.188</v>
      </c>
      <c r="U840" t="str">
        <f t="shared" si="364"/>
        <v>AZRAD UMAR BIN SHAARI</v>
      </c>
      <c r="V840" t="str">
        <f t="shared" si="365"/>
        <v>FARHANA BINTI MUSTAPA</v>
      </c>
      <c r="W840" t="str">
        <f t="shared" si="366"/>
        <v>04-08-2020</v>
      </c>
      <c r="X840" t="str">
        <f t="shared" si="367"/>
        <v>RAZIMAH ANSAR AHMAD</v>
      </c>
      <c r="Y840" t="str">
        <f t="shared" si="368"/>
        <v>04-08-2020</v>
      </c>
      <c r="Z840" t="str">
        <f>"COS10200804 8314"</f>
        <v>COS10200804 8314</v>
      </c>
    </row>
    <row r="841" spans="1:26" x14ac:dyDescent="0.25">
      <c r="A841" t="str">
        <f t="shared" si="352"/>
        <v>04-08-2020 01:11:00</v>
      </c>
      <c r="B841" t="str">
        <f>"0000810118"</f>
        <v>0000810118</v>
      </c>
      <c r="C841" t="str">
        <f t="shared" si="353"/>
        <v>0000810005</v>
      </c>
      <c r="D841" t="str">
        <f t="shared" si="356"/>
        <v>73185</v>
      </c>
      <c r="E841" t="str">
        <f t="shared" si="357"/>
        <v>KFH-OPERATIONS DEPARTMENT</v>
      </c>
      <c r="F841" t="str">
        <f t="shared" si="358"/>
        <v>IBG</v>
      </c>
      <c r="G841" t="str">
        <f t="shared" si="343"/>
        <v>Refund COSHARE 10</v>
      </c>
      <c r="H841" s="2">
        <v>281</v>
      </c>
      <c r="I841" t="str">
        <f>"SHARIFAH ASIAH BINTI MAT ISA"</f>
        <v>SHARIFAH ASIAH BINTI MAT ISA</v>
      </c>
      <c r="J841" t="str">
        <f t="shared" si="349"/>
        <v>PUBLIC BANK / PUBLIC ISLAMIC BANK</v>
      </c>
      <c r="K841" t="str">
        <f>"4980147105"</f>
        <v>4980147105</v>
      </c>
      <c r="L841" t="str">
        <f t="shared" si="354"/>
        <v>04-08-2020</v>
      </c>
      <c r="M841" t="str">
        <f t="shared" si="354"/>
        <v>04-08-2020</v>
      </c>
      <c r="N841" t="str">
        <f t="shared" si="359"/>
        <v>001105018356</v>
      </c>
      <c r="O841" t="str">
        <f t="shared" si="360"/>
        <v>MYR</v>
      </c>
      <c r="P841" t="str">
        <f t="shared" si="355"/>
        <v>NIL</v>
      </c>
      <c r="Q841" t="str">
        <f t="shared" si="355"/>
        <v>NIL</v>
      </c>
      <c r="R841" t="str">
        <f t="shared" si="361"/>
        <v>Accepted</v>
      </c>
      <c r="S841" t="str">
        <f t="shared" si="362"/>
        <v>Approved</v>
      </c>
      <c r="T841" t="str">
        <f t="shared" si="363"/>
        <v>10.20.8.188</v>
      </c>
      <c r="U841" t="str">
        <f t="shared" si="364"/>
        <v>AZRAD UMAR BIN SHAARI</v>
      </c>
      <c r="V841" t="str">
        <f t="shared" si="365"/>
        <v>FARHANA BINTI MUSTAPA</v>
      </c>
      <c r="W841" t="str">
        <f t="shared" si="366"/>
        <v>04-08-2020</v>
      </c>
      <c r="X841" t="str">
        <f t="shared" si="367"/>
        <v>RAZIMAH ANSAR AHMAD</v>
      </c>
      <c r="Y841" t="str">
        <f t="shared" si="368"/>
        <v>04-08-2020</v>
      </c>
      <c r="Z841" t="str">
        <f>"COS10200804 8313"</f>
        <v>COS10200804 8313</v>
      </c>
    </row>
    <row r="842" spans="1:26" x14ac:dyDescent="0.25">
      <c r="A842" t="str">
        <f t="shared" si="352"/>
        <v>04-08-2020 01:11:00</v>
      </c>
      <c r="B842" t="str">
        <f>"0000810117"</f>
        <v>0000810117</v>
      </c>
      <c r="C842" t="str">
        <f t="shared" si="353"/>
        <v>0000810005</v>
      </c>
      <c r="D842" t="str">
        <f t="shared" si="356"/>
        <v>73185</v>
      </c>
      <c r="E842" t="str">
        <f t="shared" si="357"/>
        <v>KFH-OPERATIONS DEPARTMENT</v>
      </c>
      <c r="F842" t="str">
        <f t="shared" si="358"/>
        <v>IBG</v>
      </c>
      <c r="G842" t="str">
        <f t="shared" si="343"/>
        <v>Refund COSHARE 10</v>
      </c>
      <c r="H842" s="2">
        <v>839.5</v>
      </c>
      <c r="I842" t="str">
        <f>"SHANKER AL BALAKRISHNAN"</f>
        <v>SHANKER AL BALAKRISHNAN</v>
      </c>
      <c r="J842" t="str">
        <f t="shared" si="349"/>
        <v>PUBLIC BANK / PUBLIC ISLAMIC BANK</v>
      </c>
      <c r="K842" t="str">
        <f>"4507627536"</f>
        <v>4507627536</v>
      </c>
      <c r="L842" t="str">
        <f t="shared" si="354"/>
        <v>04-08-2020</v>
      </c>
      <c r="M842" t="str">
        <f t="shared" si="354"/>
        <v>04-08-2020</v>
      </c>
      <c r="N842" t="str">
        <f t="shared" si="359"/>
        <v>001105018356</v>
      </c>
      <c r="O842" t="str">
        <f t="shared" si="360"/>
        <v>MYR</v>
      </c>
      <c r="P842" t="str">
        <f t="shared" si="355"/>
        <v>NIL</v>
      </c>
      <c r="Q842" t="str">
        <f t="shared" si="355"/>
        <v>NIL</v>
      </c>
      <c r="R842" t="str">
        <f t="shared" si="361"/>
        <v>Accepted</v>
      </c>
      <c r="S842" t="str">
        <f t="shared" si="362"/>
        <v>Approved</v>
      </c>
      <c r="T842" t="str">
        <f t="shared" si="363"/>
        <v>10.20.8.188</v>
      </c>
      <c r="U842" t="str">
        <f t="shared" si="364"/>
        <v>AZRAD UMAR BIN SHAARI</v>
      </c>
      <c r="V842" t="str">
        <f t="shared" si="365"/>
        <v>FARHANA BINTI MUSTAPA</v>
      </c>
      <c r="W842" t="str">
        <f t="shared" si="366"/>
        <v>04-08-2020</v>
      </c>
      <c r="X842" t="str">
        <f t="shared" si="367"/>
        <v>RAZIMAH ANSAR AHMAD</v>
      </c>
      <c r="Y842" t="str">
        <f t="shared" si="368"/>
        <v>04-08-2020</v>
      </c>
      <c r="Z842" t="str">
        <f>"COS10200804 8312"</f>
        <v>COS10200804 8312</v>
      </c>
    </row>
    <row r="843" spans="1:26" x14ac:dyDescent="0.25">
      <c r="A843" t="str">
        <f t="shared" si="352"/>
        <v>04-08-2020 01:11:00</v>
      </c>
      <c r="B843" t="str">
        <f>"0000810116"</f>
        <v>0000810116</v>
      </c>
      <c r="C843" t="str">
        <f t="shared" si="353"/>
        <v>0000810005</v>
      </c>
      <c r="D843" t="str">
        <f t="shared" si="356"/>
        <v>73185</v>
      </c>
      <c r="E843" t="str">
        <f t="shared" si="357"/>
        <v>KFH-OPERATIONS DEPARTMENT</v>
      </c>
      <c r="F843" t="str">
        <f t="shared" si="358"/>
        <v>IBG</v>
      </c>
      <c r="G843" t="str">
        <f t="shared" si="343"/>
        <v>Refund COSHARE 10</v>
      </c>
      <c r="H843" s="2">
        <v>873.1</v>
      </c>
      <c r="I843" t="str">
        <f>"SHAMSURI BIN HASSAN"</f>
        <v>SHAMSURI BIN HASSAN</v>
      </c>
      <c r="J843" t="str">
        <f t="shared" si="349"/>
        <v>PUBLIC BANK / PUBLIC ISLAMIC BANK</v>
      </c>
      <c r="K843" t="str">
        <f>"4489639815"</f>
        <v>4489639815</v>
      </c>
      <c r="L843" t="str">
        <f t="shared" si="354"/>
        <v>04-08-2020</v>
      </c>
      <c r="M843" t="str">
        <f t="shared" si="354"/>
        <v>04-08-2020</v>
      </c>
      <c r="N843" t="str">
        <f t="shared" si="359"/>
        <v>001105018356</v>
      </c>
      <c r="O843" t="str">
        <f t="shared" si="360"/>
        <v>MYR</v>
      </c>
      <c r="P843" t="str">
        <f t="shared" si="355"/>
        <v>NIL</v>
      </c>
      <c r="Q843" t="str">
        <f t="shared" si="355"/>
        <v>NIL</v>
      </c>
      <c r="R843" t="str">
        <f t="shared" si="361"/>
        <v>Accepted</v>
      </c>
      <c r="S843" t="str">
        <f t="shared" si="362"/>
        <v>Approved</v>
      </c>
      <c r="T843" t="str">
        <f t="shared" si="363"/>
        <v>10.20.8.188</v>
      </c>
      <c r="U843" t="str">
        <f t="shared" si="364"/>
        <v>AZRAD UMAR BIN SHAARI</v>
      </c>
      <c r="V843" t="str">
        <f t="shared" si="365"/>
        <v>FARHANA BINTI MUSTAPA</v>
      </c>
      <c r="W843" t="str">
        <f t="shared" si="366"/>
        <v>04-08-2020</v>
      </c>
      <c r="X843" t="str">
        <f t="shared" si="367"/>
        <v>RAZIMAH ANSAR AHMAD</v>
      </c>
      <c r="Y843" t="str">
        <f t="shared" si="368"/>
        <v>04-08-2020</v>
      </c>
      <c r="Z843" t="str">
        <f>"COS10200804 8311"</f>
        <v>COS10200804 8311</v>
      </c>
    </row>
    <row r="844" spans="1:26" x14ac:dyDescent="0.25">
      <c r="A844" t="str">
        <f t="shared" si="352"/>
        <v>04-08-2020 01:11:00</v>
      </c>
      <c r="B844" t="str">
        <f>"0000810115"</f>
        <v>0000810115</v>
      </c>
      <c r="C844" t="str">
        <f t="shared" si="353"/>
        <v>0000810005</v>
      </c>
      <c r="D844" t="str">
        <f t="shared" si="356"/>
        <v>73185</v>
      </c>
      <c r="E844" t="str">
        <f t="shared" si="357"/>
        <v>KFH-OPERATIONS DEPARTMENT</v>
      </c>
      <c r="F844" t="str">
        <f t="shared" si="358"/>
        <v>IBG</v>
      </c>
      <c r="G844" t="str">
        <f t="shared" ref="G844:G907" si="369">"Refund COSHARE 10"</f>
        <v>Refund COSHARE 10</v>
      </c>
      <c r="H844" s="2">
        <v>524</v>
      </c>
      <c r="I844" t="str">
        <f>"SHAMILA BINTI MAT SAAD"</f>
        <v>SHAMILA BINTI MAT SAAD</v>
      </c>
      <c r="J844" t="str">
        <f t="shared" si="349"/>
        <v>PUBLIC BANK / PUBLIC ISLAMIC BANK</v>
      </c>
      <c r="K844" t="str">
        <f>"6911085509"</f>
        <v>6911085509</v>
      </c>
      <c r="L844" t="str">
        <f t="shared" si="354"/>
        <v>04-08-2020</v>
      </c>
      <c r="M844" t="str">
        <f t="shared" si="354"/>
        <v>04-08-2020</v>
      </c>
      <c r="N844" t="str">
        <f t="shared" si="359"/>
        <v>001105018356</v>
      </c>
      <c r="O844" t="str">
        <f t="shared" si="360"/>
        <v>MYR</v>
      </c>
      <c r="P844" t="str">
        <f t="shared" si="355"/>
        <v>NIL</v>
      </c>
      <c r="Q844" t="str">
        <f t="shared" si="355"/>
        <v>NIL</v>
      </c>
      <c r="R844" t="str">
        <f t="shared" si="361"/>
        <v>Accepted</v>
      </c>
      <c r="S844" t="str">
        <f t="shared" si="362"/>
        <v>Approved</v>
      </c>
      <c r="T844" t="str">
        <f t="shared" si="363"/>
        <v>10.20.8.188</v>
      </c>
      <c r="U844" t="str">
        <f t="shared" si="364"/>
        <v>AZRAD UMAR BIN SHAARI</v>
      </c>
      <c r="V844" t="str">
        <f t="shared" si="365"/>
        <v>FARHANA BINTI MUSTAPA</v>
      </c>
      <c r="W844" t="str">
        <f t="shared" si="366"/>
        <v>04-08-2020</v>
      </c>
      <c r="X844" t="str">
        <f t="shared" si="367"/>
        <v>RAZIMAH ANSAR AHMAD</v>
      </c>
      <c r="Y844" t="str">
        <f t="shared" si="368"/>
        <v>04-08-2020</v>
      </c>
      <c r="Z844" t="str">
        <f>"COS10200804 8310"</f>
        <v>COS10200804 8310</v>
      </c>
    </row>
    <row r="845" spans="1:26" x14ac:dyDescent="0.25">
      <c r="A845" t="str">
        <f t="shared" si="352"/>
        <v>04-08-2020 01:11:00</v>
      </c>
      <c r="B845" t="str">
        <f>"0000810114"</f>
        <v>0000810114</v>
      </c>
      <c r="C845" t="str">
        <f t="shared" si="353"/>
        <v>0000810005</v>
      </c>
      <c r="D845" t="str">
        <f t="shared" si="356"/>
        <v>73185</v>
      </c>
      <c r="E845" t="str">
        <f t="shared" si="357"/>
        <v>KFH-OPERATIONS DEPARTMENT</v>
      </c>
      <c r="F845" t="str">
        <f t="shared" si="358"/>
        <v>IBG</v>
      </c>
      <c r="G845" t="str">
        <f t="shared" si="369"/>
        <v>Refund COSHARE 10</v>
      </c>
      <c r="H845" s="2">
        <v>117.55</v>
      </c>
      <c r="I845" t="str">
        <f>"SHAIFUDDIN BIN SABARI  MAKSOM"</f>
        <v>SHAIFUDDIN BIN SABARI  MAKSOM</v>
      </c>
      <c r="J845" t="str">
        <f t="shared" si="349"/>
        <v>PUBLIC BANK / PUBLIC ISLAMIC BANK</v>
      </c>
      <c r="K845" t="str">
        <f>"4864385528"</f>
        <v>4864385528</v>
      </c>
      <c r="L845" t="str">
        <f t="shared" si="354"/>
        <v>04-08-2020</v>
      </c>
      <c r="M845" t="str">
        <f t="shared" si="354"/>
        <v>04-08-2020</v>
      </c>
      <c r="N845" t="str">
        <f t="shared" si="359"/>
        <v>001105018356</v>
      </c>
      <c r="O845" t="str">
        <f t="shared" si="360"/>
        <v>MYR</v>
      </c>
      <c r="P845" t="str">
        <f t="shared" si="355"/>
        <v>NIL</v>
      </c>
      <c r="Q845" t="str">
        <f t="shared" si="355"/>
        <v>NIL</v>
      </c>
      <c r="R845" t="str">
        <f t="shared" si="361"/>
        <v>Accepted</v>
      </c>
      <c r="S845" t="str">
        <f t="shared" si="362"/>
        <v>Approved</v>
      </c>
      <c r="T845" t="str">
        <f t="shared" si="363"/>
        <v>10.20.8.188</v>
      </c>
      <c r="U845" t="str">
        <f t="shared" si="364"/>
        <v>AZRAD UMAR BIN SHAARI</v>
      </c>
      <c r="V845" t="str">
        <f t="shared" si="365"/>
        <v>FARHANA BINTI MUSTAPA</v>
      </c>
      <c r="W845" t="str">
        <f t="shared" si="366"/>
        <v>04-08-2020</v>
      </c>
      <c r="X845" t="str">
        <f t="shared" si="367"/>
        <v>RAZIMAH ANSAR AHMAD</v>
      </c>
      <c r="Y845" t="str">
        <f t="shared" si="368"/>
        <v>04-08-2020</v>
      </c>
      <c r="Z845" t="str">
        <f>"COS10200804 8309"</f>
        <v>COS10200804 8309</v>
      </c>
    </row>
    <row r="846" spans="1:26" x14ac:dyDescent="0.25">
      <c r="A846" t="str">
        <f t="shared" si="352"/>
        <v>04-08-2020 01:11:00</v>
      </c>
      <c r="B846" t="str">
        <f>"0000810113"</f>
        <v>0000810113</v>
      </c>
      <c r="C846" t="str">
        <f t="shared" si="353"/>
        <v>0000810005</v>
      </c>
      <c r="D846" t="str">
        <f t="shared" si="356"/>
        <v>73185</v>
      </c>
      <c r="E846" t="str">
        <f t="shared" si="357"/>
        <v>KFH-OPERATIONS DEPARTMENT</v>
      </c>
      <c r="F846" t="str">
        <f t="shared" si="358"/>
        <v>IBG</v>
      </c>
      <c r="G846" t="str">
        <f t="shared" si="369"/>
        <v>Refund COSHARE 10</v>
      </c>
      <c r="H846" s="2">
        <v>209.9</v>
      </c>
      <c r="I846" t="str">
        <f>"SHAHRIFAH FARINA BT TUAN SYED DABAL"</f>
        <v>SHAHRIFAH FARINA BT TUAN SYED DABAL</v>
      </c>
      <c r="J846" t="str">
        <f t="shared" si="349"/>
        <v>PUBLIC BANK / PUBLIC ISLAMIC BANK</v>
      </c>
      <c r="K846" t="str">
        <f>"4883634902"</f>
        <v>4883634902</v>
      </c>
      <c r="L846" t="str">
        <f t="shared" si="354"/>
        <v>04-08-2020</v>
      </c>
      <c r="M846" t="str">
        <f t="shared" si="354"/>
        <v>04-08-2020</v>
      </c>
      <c r="N846" t="str">
        <f t="shared" si="359"/>
        <v>001105018356</v>
      </c>
      <c r="O846" t="str">
        <f t="shared" si="360"/>
        <v>MYR</v>
      </c>
      <c r="P846" t="str">
        <f t="shared" si="355"/>
        <v>NIL</v>
      </c>
      <c r="Q846" t="str">
        <f t="shared" si="355"/>
        <v>NIL</v>
      </c>
      <c r="R846" t="str">
        <f t="shared" si="361"/>
        <v>Accepted</v>
      </c>
      <c r="S846" t="str">
        <f t="shared" si="362"/>
        <v>Approved</v>
      </c>
      <c r="T846" t="str">
        <f t="shared" si="363"/>
        <v>10.20.8.188</v>
      </c>
      <c r="U846" t="str">
        <f t="shared" si="364"/>
        <v>AZRAD UMAR BIN SHAARI</v>
      </c>
      <c r="V846" t="str">
        <f t="shared" si="365"/>
        <v>FARHANA BINTI MUSTAPA</v>
      </c>
      <c r="W846" t="str">
        <f t="shared" si="366"/>
        <v>04-08-2020</v>
      </c>
      <c r="X846" t="str">
        <f t="shared" si="367"/>
        <v>RAZIMAH ANSAR AHMAD</v>
      </c>
      <c r="Y846" t="str">
        <f t="shared" si="368"/>
        <v>04-08-2020</v>
      </c>
      <c r="Z846" t="str">
        <f>"COS10200804 8308"</f>
        <v>COS10200804 8308</v>
      </c>
    </row>
    <row r="847" spans="1:26" x14ac:dyDescent="0.25">
      <c r="A847" t="str">
        <f t="shared" si="352"/>
        <v>04-08-2020 01:11:00</v>
      </c>
      <c r="B847" t="str">
        <f>"0000810112"</f>
        <v>0000810112</v>
      </c>
      <c r="C847" t="str">
        <f t="shared" si="353"/>
        <v>0000810005</v>
      </c>
      <c r="D847" t="str">
        <f t="shared" si="356"/>
        <v>73185</v>
      </c>
      <c r="E847" t="str">
        <f t="shared" si="357"/>
        <v>KFH-OPERATIONS DEPARTMENT</v>
      </c>
      <c r="F847" t="str">
        <f t="shared" si="358"/>
        <v>IBG</v>
      </c>
      <c r="G847" t="str">
        <f t="shared" si="369"/>
        <v>Refund COSHARE 10</v>
      </c>
      <c r="H847" s="2">
        <v>209.9</v>
      </c>
      <c r="I847" t="str">
        <f>"SHAHRIFAH FARINA BT TUAN SYED DABAL"</f>
        <v>SHAHRIFAH FARINA BT TUAN SYED DABAL</v>
      </c>
      <c r="J847" t="str">
        <f t="shared" si="349"/>
        <v>PUBLIC BANK / PUBLIC ISLAMIC BANK</v>
      </c>
      <c r="K847" t="str">
        <f>"4883634902"</f>
        <v>4883634902</v>
      </c>
      <c r="L847" t="str">
        <f t="shared" ref="L847:M866" si="370">"04-08-2020"</f>
        <v>04-08-2020</v>
      </c>
      <c r="M847" t="str">
        <f t="shared" si="370"/>
        <v>04-08-2020</v>
      </c>
      <c r="N847" t="str">
        <f t="shared" si="359"/>
        <v>001105018356</v>
      </c>
      <c r="O847" t="str">
        <f t="shared" si="360"/>
        <v>MYR</v>
      </c>
      <c r="P847" t="str">
        <f t="shared" ref="P847:Q866" si="371">"NIL"</f>
        <v>NIL</v>
      </c>
      <c r="Q847" t="str">
        <f t="shared" si="371"/>
        <v>NIL</v>
      </c>
      <c r="R847" t="str">
        <f t="shared" si="361"/>
        <v>Accepted</v>
      </c>
      <c r="S847" t="str">
        <f t="shared" si="362"/>
        <v>Approved</v>
      </c>
      <c r="T847" t="str">
        <f t="shared" si="363"/>
        <v>10.20.8.188</v>
      </c>
      <c r="U847" t="str">
        <f t="shared" si="364"/>
        <v>AZRAD UMAR BIN SHAARI</v>
      </c>
      <c r="V847" t="str">
        <f t="shared" si="365"/>
        <v>FARHANA BINTI MUSTAPA</v>
      </c>
      <c r="W847" t="str">
        <f t="shared" si="366"/>
        <v>04-08-2020</v>
      </c>
      <c r="X847" t="str">
        <f t="shared" si="367"/>
        <v>RAZIMAH ANSAR AHMAD</v>
      </c>
      <c r="Y847" t="str">
        <f t="shared" si="368"/>
        <v>04-08-2020</v>
      </c>
      <c r="Z847" t="str">
        <f>"COS10200804 8307"</f>
        <v>COS10200804 8307</v>
      </c>
    </row>
    <row r="848" spans="1:26" x14ac:dyDescent="0.25">
      <c r="A848" t="str">
        <f t="shared" si="352"/>
        <v>04-08-2020 01:11:00</v>
      </c>
      <c r="B848" t="str">
        <f>"0000810111"</f>
        <v>0000810111</v>
      </c>
      <c r="C848" t="str">
        <f t="shared" si="353"/>
        <v>0000810005</v>
      </c>
      <c r="D848" t="str">
        <f t="shared" si="356"/>
        <v>73185</v>
      </c>
      <c r="E848" t="str">
        <f t="shared" si="357"/>
        <v>KFH-OPERATIONS DEPARTMENT</v>
      </c>
      <c r="F848" t="str">
        <f t="shared" si="358"/>
        <v>IBG</v>
      </c>
      <c r="G848" t="str">
        <f t="shared" si="369"/>
        <v>Refund COSHARE 10</v>
      </c>
      <c r="H848" s="2">
        <v>75.599999999999994</v>
      </c>
      <c r="I848" t="str">
        <f>"SHAH NOORAMIE BIN SHAFFIEE"</f>
        <v>SHAH NOORAMIE BIN SHAFFIEE</v>
      </c>
      <c r="J848" t="str">
        <f t="shared" si="349"/>
        <v>PUBLIC BANK / PUBLIC ISLAMIC BANK</v>
      </c>
      <c r="K848" t="str">
        <f>"4979819706"</f>
        <v>4979819706</v>
      </c>
      <c r="L848" t="str">
        <f t="shared" si="370"/>
        <v>04-08-2020</v>
      </c>
      <c r="M848" t="str">
        <f t="shared" si="370"/>
        <v>04-08-2020</v>
      </c>
      <c r="N848" t="str">
        <f t="shared" si="359"/>
        <v>001105018356</v>
      </c>
      <c r="O848" t="str">
        <f t="shared" si="360"/>
        <v>MYR</v>
      </c>
      <c r="P848" t="str">
        <f t="shared" si="371"/>
        <v>NIL</v>
      </c>
      <c r="Q848" t="str">
        <f t="shared" si="371"/>
        <v>NIL</v>
      </c>
      <c r="R848" t="str">
        <f t="shared" si="361"/>
        <v>Accepted</v>
      </c>
      <c r="S848" t="str">
        <f t="shared" si="362"/>
        <v>Approved</v>
      </c>
      <c r="T848" t="str">
        <f t="shared" si="363"/>
        <v>10.20.8.188</v>
      </c>
      <c r="U848" t="str">
        <f t="shared" si="364"/>
        <v>AZRAD UMAR BIN SHAARI</v>
      </c>
      <c r="V848" t="str">
        <f t="shared" si="365"/>
        <v>FARHANA BINTI MUSTAPA</v>
      </c>
      <c r="W848" t="str">
        <f t="shared" si="366"/>
        <v>04-08-2020</v>
      </c>
      <c r="X848" t="str">
        <f t="shared" si="367"/>
        <v>RAZIMAH ANSAR AHMAD</v>
      </c>
      <c r="Y848" t="str">
        <f t="shared" si="368"/>
        <v>04-08-2020</v>
      </c>
      <c r="Z848" t="str">
        <f>"COS10200804 8306"</f>
        <v>COS10200804 8306</v>
      </c>
    </row>
    <row r="849" spans="1:26" x14ac:dyDescent="0.25">
      <c r="A849" t="str">
        <f t="shared" si="352"/>
        <v>04-08-2020 01:11:00</v>
      </c>
      <c r="B849" t="str">
        <f>"0000810110"</f>
        <v>0000810110</v>
      </c>
      <c r="C849" t="str">
        <f t="shared" si="353"/>
        <v>0000810005</v>
      </c>
      <c r="D849" t="str">
        <f t="shared" si="356"/>
        <v>73185</v>
      </c>
      <c r="E849" t="str">
        <f t="shared" si="357"/>
        <v>KFH-OPERATIONS DEPARTMENT</v>
      </c>
      <c r="F849" t="str">
        <f t="shared" si="358"/>
        <v>IBG</v>
      </c>
      <c r="G849" t="str">
        <f t="shared" si="369"/>
        <v>Refund COSHARE 10</v>
      </c>
      <c r="H849" s="2">
        <v>246.1</v>
      </c>
      <c r="I849" t="str">
        <f>"SHAH HALID  SHAHLINA HALID"</f>
        <v>SHAH HALID  SHAHLINA HALID</v>
      </c>
      <c r="J849" t="str">
        <f t="shared" si="349"/>
        <v>PUBLIC BANK / PUBLIC ISLAMIC BANK</v>
      </c>
      <c r="K849" t="str">
        <f>"4082921811"</f>
        <v>4082921811</v>
      </c>
      <c r="L849" t="str">
        <f t="shared" si="370"/>
        <v>04-08-2020</v>
      </c>
      <c r="M849" t="str">
        <f t="shared" si="370"/>
        <v>04-08-2020</v>
      </c>
      <c r="N849" t="str">
        <f t="shared" si="359"/>
        <v>001105018356</v>
      </c>
      <c r="O849" t="str">
        <f t="shared" si="360"/>
        <v>MYR</v>
      </c>
      <c r="P849" t="str">
        <f t="shared" si="371"/>
        <v>NIL</v>
      </c>
      <c r="Q849" t="str">
        <f t="shared" si="371"/>
        <v>NIL</v>
      </c>
      <c r="R849" t="str">
        <f t="shared" si="361"/>
        <v>Accepted</v>
      </c>
      <c r="S849" t="str">
        <f t="shared" si="362"/>
        <v>Approved</v>
      </c>
      <c r="T849" t="str">
        <f t="shared" si="363"/>
        <v>10.20.8.188</v>
      </c>
      <c r="U849" t="str">
        <f t="shared" si="364"/>
        <v>AZRAD UMAR BIN SHAARI</v>
      </c>
      <c r="V849" t="str">
        <f t="shared" si="365"/>
        <v>FARHANA BINTI MUSTAPA</v>
      </c>
      <c r="W849" t="str">
        <f t="shared" si="366"/>
        <v>04-08-2020</v>
      </c>
      <c r="X849" t="str">
        <f t="shared" si="367"/>
        <v>RAZIMAH ANSAR AHMAD</v>
      </c>
      <c r="Y849" t="str">
        <f t="shared" si="368"/>
        <v>04-08-2020</v>
      </c>
      <c r="Z849" t="str">
        <f>"COS10200804 8305"</f>
        <v>COS10200804 8305</v>
      </c>
    </row>
    <row r="850" spans="1:26" x14ac:dyDescent="0.25">
      <c r="A850" t="str">
        <f t="shared" ref="A850:A881" si="372">"04-08-2020 01:11:00"</f>
        <v>04-08-2020 01:11:00</v>
      </c>
      <c r="B850" t="str">
        <f>"0000810109"</f>
        <v>0000810109</v>
      </c>
      <c r="C850" t="str">
        <f t="shared" ref="C850:C881" si="373">"0000810005"</f>
        <v>0000810005</v>
      </c>
      <c r="D850" t="str">
        <f t="shared" si="356"/>
        <v>73185</v>
      </c>
      <c r="E850" t="str">
        <f t="shared" si="357"/>
        <v>KFH-OPERATIONS DEPARTMENT</v>
      </c>
      <c r="F850" t="str">
        <f t="shared" si="358"/>
        <v>IBG</v>
      </c>
      <c r="G850" t="str">
        <f t="shared" si="369"/>
        <v>Refund COSHARE 10</v>
      </c>
      <c r="H850" s="2">
        <v>898.3</v>
      </c>
      <c r="I850" t="str">
        <f>"SATHIYA KALAH AP VADIVALU"</f>
        <v>SATHIYA KALAH AP VADIVALU</v>
      </c>
      <c r="J850" t="str">
        <f t="shared" si="349"/>
        <v>PUBLIC BANK / PUBLIC ISLAMIC BANK</v>
      </c>
      <c r="K850" t="str">
        <f>"4741974529"</f>
        <v>4741974529</v>
      </c>
      <c r="L850" t="str">
        <f t="shared" si="370"/>
        <v>04-08-2020</v>
      </c>
      <c r="M850" t="str">
        <f t="shared" si="370"/>
        <v>04-08-2020</v>
      </c>
      <c r="N850" t="str">
        <f t="shared" si="359"/>
        <v>001105018356</v>
      </c>
      <c r="O850" t="str">
        <f t="shared" si="360"/>
        <v>MYR</v>
      </c>
      <c r="P850" t="str">
        <f t="shared" si="371"/>
        <v>NIL</v>
      </c>
      <c r="Q850" t="str">
        <f t="shared" si="371"/>
        <v>NIL</v>
      </c>
      <c r="R850" t="str">
        <f t="shared" si="361"/>
        <v>Accepted</v>
      </c>
      <c r="S850" t="str">
        <f t="shared" si="362"/>
        <v>Approved</v>
      </c>
      <c r="T850" t="str">
        <f t="shared" si="363"/>
        <v>10.20.8.188</v>
      </c>
      <c r="U850" t="str">
        <f t="shared" si="364"/>
        <v>AZRAD UMAR BIN SHAARI</v>
      </c>
      <c r="V850" t="str">
        <f t="shared" si="365"/>
        <v>FARHANA BINTI MUSTAPA</v>
      </c>
      <c r="W850" t="str">
        <f t="shared" si="366"/>
        <v>04-08-2020</v>
      </c>
      <c r="X850" t="str">
        <f t="shared" si="367"/>
        <v>RAZIMAH ANSAR AHMAD</v>
      </c>
      <c r="Y850" t="str">
        <f t="shared" si="368"/>
        <v>04-08-2020</v>
      </c>
      <c r="Z850" t="str">
        <f>"COS10200804 8304"</f>
        <v>COS10200804 8304</v>
      </c>
    </row>
    <row r="851" spans="1:26" x14ac:dyDescent="0.25">
      <c r="A851" t="str">
        <f t="shared" si="372"/>
        <v>04-08-2020 01:11:00</v>
      </c>
      <c r="B851" t="str">
        <f>"0000810108"</f>
        <v>0000810108</v>
      </c>
      <c r="C851" t="str">
        <f t="shared" si="373"/>
        <v>0000810005</v>
      </c>
      <c r="D851" t="str">
        <f t="shared" si="356"/>
        <v>73185</v>
      </c>
      <c r="E851" t="str">
        <f t="shared" si="357"/>
        <v>KFH-OPERATIONS DEPARTMENT</v>
      </c>
      <c r="F851" t="str">
        <f t="shared" si="358"/>
        <v>IBG</v>
      </c>
      <c r="G851" t="str">
        <f t="shared" si="369"/>
        <v>Refund COSHARE 10</v>
      </c>
      <c r="H851" s="2">
        <v>331.9</v>
      </c>
      <c r="I851" t="str">
        <f>"SARUDIN BIN MAAROF"</f>
        <v>SARUDIN BIN MAAROF</v>
      </c>
      <c r="J851" t="str">
        <f t="shared" si="349"/>
        <v>PUBLIC BANK / PUBLIC ISLAMIC BANK</v>
      </c>
      <c r="K851" t="str">
        <f>"4493251604"</f>
        <v>4493251604</v>
      </c>
      <c r="L851" t="str">
        <f t="shared" si="370"/>
        <v>04-08-2020</v>
      </c>
      <c r="M851" t="str">
        <f t="shared" si="370"/>
        <v>04-08-2020</v>
      </c>
      <c r="N851" t="str">
        <f t="shared" si="359"/>
        <v>001105018356</v>
      </c>
      <c r="O851" t="str">
        <f t="shared" si="360"/>
        <v>MYR</v>
      </c>
      <c r="P851" t="str">
        <f t="shared" si="371"/>
        <v>NIL</v>
      </c>
      <c r="Q851" t="str">
        <f t="shared" si="371"/>
        <v>NIL</v>
      </c>
      <c r="R851" t="str">
        <f t="shared" si="361"/>
        <v>Accepted</v>
      </c>
      <c r="S851" t="str">
        <f t="shared" si="362"/>
        <v>Approved</v>
      </c>
      <c r="T851" t="str">
        <f t="shared" si="363"/>
        <v>10.20.8.188</v>
      </c>
      <c r="U851" t="str">
        <f t="shared" si="364"/>
        <v>AZRAD UMAR BIN SHAARI</v>
      </c>
      <c r="V851" t="str">
        <f t="shared" si="365"/>
        <v>FARHANA BINTI MUSTAPA</v>
      </c>
      <c r="W851" t="str">
        <f t="shared" si="366"/>
        <v>04-08-2020</v>
      </c>
      <c r="X851" t="str">
        <f t="shared" si="367"/>
        <v>RAZIMAH ANSAR AHMAD</v>
      </c>
      <c r="Y851" t="str">
        <f t="shared" si="368"/>
        <v>04-08-2020</v>
      </c>
      <c r="Z851" t="str">
        <f>"COS10200804 8303"</f>
        <v>COS10200804 8303</v>
      </c>
    </row>
    <row r="852" spans="1:26" x14ac:dyDescent="0.25">
      <c r="A852" t="str">
        <f t="shared" si="372"/>
        <v>04-08-2020 01:11:00</v>
      </c>
      <c r="B852" t="str">
        <f>"0000810107"</f>
        <v>0000810107</v>
      </c>
      <c r="C852" t="str">
        <f t="shared" si="373"/>
        <v>0000810005</v>
      </c>
      <c r="D852" t="str">
        <f t="shared" si="356"/>
        <v>73185</v>
      </c>
      <c r="E852" t="str">
        <f t="shared" si="357"/>
        <v>KFH-OPERATIONS DEPARTMENT</v>
      </c>
      <c r="F852" t="str">
        <f t="shared" si="358"/>
        <v>IBG</v>
      </c>
      <c r="G852" t="str">
        <f t="shared" si="369"/>
        <v>Refund COSHARE 10</v>
      </c>
      <c r="H852" s="2">
        <v>213</v>
      </c>
      <c r="I852" t="str">
        <f>"SARIPA SABARIAH BINTI ALI"</f>
        <v>SARIPA SABARIAH BINTI ALI</v>
      </c>
      <c r="J852" t="str">
        <f t="shared" si="349"/>
        <v>PUBLIC BANK / PUBLIC ISLAMIC BANK</v>
      </c>
      <c r="K852" t="str">
        <f>"4530664235"</f>
        <v>4530664235</v>
      </c>
      <c r="L852" t="str">
        <f t="shared" si="370"/>
        <v>04-08-2020</v>
      </c>
      <c r="M852" t="str">
        <f t="shared" si="370"/>
        <v>04-08-2020</v>
      </c>
      <c r="N852" t="str">
        <f t="shared" si="359"/>
        <v>001105018356</v>
      </c>
      <c r="O852" t="str">
        <f t="shared" si="360"/>
        <v>MYR</v>
      </c>
      <c r="P852" t="str">
        <f t="shared" si="371"/>
        <v>NIL</v>
      </c>
      <c r="Q852" t="str">
        <f t="shared" si="371"/>
        <v>NIL</v>
      </c>
      <c r="R852" t="str">
        <f t="shared" si="361"/>
        <v>Accepted</v>
      </c>
      <c r="S852" t="str">
        <f t="shared" si="362"/>
        <v>Approved</v>
      </c>
      <c r="T852" t="str">
        <f t="shared" si="363"/>
        <v>10.20.8.188</v>
      </c>
      <c r="U852" t="str">
        <f t="shared" si="364"/>
        <v>AZRAD UMAR BIN SHAARI</v>
      </c>
      <c r="V852" t="str">
        <f t="shared" si="365"/>
        <v>FARHANA BINTI MUSTAPA</v>
      </c>
      <c r="W852" t="str">
        <f t="shared" si="366"/>
        <v>04-08-2020</v>
      </c>
      <c r="X852" t="str">
        <f t="shared" si="367"/>
        <v>RAZIMAH ANSAR AHMAD</v>
      </c>
      <c r="Y852" t="str">
        <f t="shared" si="368"/>
        <v>04-08-2020</v>
      </c>
      <c r="Z852" t="str">
        <f>"COS10200804 8302"</f>
        <v>COS10200804 8302</v>
      </c>
    </row>
    <row r="853" spans="1:26" x14ac:dyDescent="0.25">
      <c r="A853" t="str">
        <f t="shared" si="372"/>
        <v>04-08-2020 01:11:00</v>
      </c>
      <c r="B853" t="str">
        <f>"0000810106"</f>
        <v>0000810106</v>
      </c>
      <c r="C853" t="str">
        <f t="shared" si="373"/>
        <v>0000810005</v>
      </c>
      <c r="D853" t="str">
        <f t="shared" si="356"/>
        <v>73185</v>
      </c>
      <c r="E853" t="str">
        <f t="shared" si="357"/>
        <v>KFH-OPERATIONS DEPARTMENT</v>
      </c>
      <c r="F853" t="str">
        <f t="shared" si="358"/>
        <v>IBG</v>
      </c>
      <c r="G853" t="str">
        <f t="shared" si="369"/>
        <v>Refund COSHARE 10</v>
      </c>
      <c r="H853" s="2">
        <v>159</v>
      </c>
      <c r="I853" t="str">
        <f>"SARIPA SABARIAH BINTI ALI"</f>
        <v>SARIPA SABARIAH BINTI ALI</v>
      </c>
      <c r="J853" t="str">
        <f t="shared" si="349"/>
        <v>PUBLIC BANK / PUBLIC ISLAMIC BANK</v>
      </c>
      <c r="K853" t="str">
        <f>"4530664235"</f>
        <v>4530664235</v>
      </c>
      <c r="L853" t="str">
        <f t="shared" si="370"/>
        <v>04-08-2020</v>
      </c>
      <c r="M853" t="str">
        <f t="shared" si="370"/>
        <v>04-08-2020</v>
      </c>
      <c r="N853" t="str">
        <f t="shared" si="359"/>
        <v>001105018356</v>
      </c>
      <c r="O853" t="str">
        <f t="shared" si="360"/>
        <v>MYR</v>
      </c>
      <c r="P853" t="str">
        <f t="shared" si="371"/>
        <v>NIL</v>
      </c>
      <c r="Q853" t="str">
        <f t="shared" si="371"/>
        <v>NIL</v>
      </c>
      <c r="R853" t="str">
        <f t="shared" si="361"/>
        <v>Accepted</v>
      </c>
      <c r="S853" t="str">
        <f t="shared" si="362"/>
        <v>Approved</v>
      </c>
      <c r="T853" t="str">
        <f t="shared" si="363"/>
        <v>10.20.8.188</v>
      </c>
      <c r="U853" t="str">
        <f t="shared" si="364"/>
        <v>AZRAD UMAR BIN SHAARI</v>
      </c>
      <c r="V853" t="str">
        <f t="shared" si="365"/>
        <v>FARHANA BINTI MUSTAPA</v>
      </c>
      <c r="W853" t="str">
        <f t="shared" si="366"/>
        <v>04-08-2020</v>
      </c>
      <c r="X853" t="str">
        <f t="shared" si="367"/>
        <v>RAZIMAH ANSAR AHMAD</v>
      </c>
      <c r="Y853" t="str">
        <f t="shared" si="368"/>
        <v>04-08-2020</v>
      </c>
      <c r="Z853" t="str">
        <f>"COS10200804 8301"</f>
        <v>COS10200804 8301</v>
      </c>
    </row>
    <row r="854" spans="1:26" x14ac:dyDescent="0.25">
      <c r="A854" t="str">
        <f t="shared" si="372"/>
        <v>04-08-2020 01:11:00</v>
      </c>
      <c r="B854" t="str">
        <f>"0000810105"</f>
        <v>0000810105</v>
      </c>
      <c r="C854" t="str">
        <f t="shared" si="373"/>
        <v>0000810005</v>
      </c>
      <c r="D854" t="str">
        <f t="shared" si="356"/>
        <v>73185</v>
      </c>
      <c r="E854" t="str">
        <f t="shared" si="357"/>
        <v>KFH-OPERATIONS DEPARTMENT</v>
      </c>
      <c r="F854" t="str">
        <f t="shared" si="358"/>
        <v>IBG</v>
      </c>
      <c r="G854" t="str">
        <f t="shared" si="369"/>
        <v>Refund COSHARE 10</v>
      </c>
      <c r="H854" s="2">
        <v>114</v>
      </c>
      <c r="I854" t="str">
        <f>"SARIP BIN AMAN"</f>
        <v>SARIP BIN AMAN</v>
      </c>
      <c r="J854" t="str">
        <f t="shared" si="349"/>
        <v>PUBLIC BANK / PUBLIC ISLAMIC BANK</v>
      </c>
      <c r="K854" t="str">
        <f>"4560330900"</f>
        <v>4560330900</v>
      </c>
      <c r="L854" t="str">
        <f t="shared" si="370"/>
        <v>04-08-2020</v>
      </c>
      <c r="M854" t="str">
        <f t="shared" si="370"/>
        <v>04-08-2020</v>
      </c>
      <c r="N854" t="str">
        <f t="shared" si="359"/>
        <v>001105018356</v>
      </c>
      <c r="O854" t="str">
        <f t="shared" si="360"/>
        <v>MYR</v>
      </c>
      <c r="P854" t="str">
        <f t="shared" si="371"/>
        <v>NIL</v>
      </c>
      <c r="Q854" t="str">
        <f t="shared" si="371"/>
        <v>NIL</v>
      </c>
      <c r="R854" t="str">
        <f t="shared" si="361"/>
        <v>Accepted</v>
      </c>
      <c r="S854" t="str">
        <f t="shared" si="362"/>
        <v>Approved</v>
      </c>
      <c r="T854" t="str">
        <f t="shared" si="363"/>
        <v>10.20.8.188</v>
      </c>
      <c r="U854" t="str">
        <f t="shared" si="364"/>
        <v>AZRAD UMAR BIN SHAARI</v>
      </c>
      <c r="V854" t="str">
        <f t="shared" si="365"/>
        <v>FARHANA BINTI MUSTAPA</v>
      </c>
      <c r="W854" t="str">
        <f t="shared" si="366"/>
        <v>04-08-2020</v>
      </c>
      <c r="X854" t="str">
        <f t="shared" si="367"/>
        <v>RAZIMAH ANSAR AHMAD</v>
      </c>
      <c r="Y854" t="str">
        <f t="shared" si="368"/>
        <v>04-08-2020</v>
      </c>
      <c r="Z854" t="str">
        <f>"COS10200804 8300"</f>
        <v>COS10200804 8300</v>
      </c>
    </row>
    <row r="855" spans="1:26" x14ac:dyDescent="0.25">
      <c r="A855" t="str">
        <f t="shared" si="372"/>
        <v>04-08-2020 01:11:00</v>
      </c>
      <c r="B855" t="str">
        <f>"0000810104"</f>
        <v>0000810104</v>
      </c>
      <c r="C855" t="str">
        <f t="shared" si="373"/>
        <v>0000810005</v>
      </c>
      <c r="D855" t="str">
        <f t="shared" si="356"/>
        <v>73185</v>
      </c>
      <c r="E855" t="str">
        <f t="shared" si="357"/>
        <v>KFH-OPERATIONS DEPARTMENT</v>
      </c>
      <c r="F855" t="str">
        <f t="shared" si="358"/>
        <v>IBG</v>
      </c>
      <c r="G855" t="str">
        <f t="shared" si="369"/>
        <v>Refund COSHARE 10</v>
      </c>
      <c r="H855" s="2">
        <v>209.9</v>
      </c>
      <c r="I855" t="str">
        <f>"SARIP BIN AMAN"</f>
        <v>SARIP BIN AMAN</v>
      </c>
      <c r="J855" t="str">
        <f t="shared" si="349"/>
        <v>PUBLIC BANK / PUBLIC ISLAMIC BANK</v>
      </c>
      <c r="K855" t="str">
        <f>"4560330900"</f>
        <v>4560330900</v>
      </c>
      <c r="L855" t="str">
        <f t="shared" si="370"/>
        <v>04-08-2020</v>
      </c>
      <c r="M855" t="str">
        <f t="shared" si="370"/>
        <v>04-08-2020</v>
      </c>
      <c r="N855" t="str">
        <f t="shared" si="359"/>
        <v>001105018356</v>
      </c>
      <c r="O855" t="str">
        <f t="shared" si="360"/>
        <v>MYR</v>
      </c>
      <c r="P855" t="str">
        <f t="shared" si="371"/>
        <v>NIL</v>
      </c>
      <c r="Q855" t="str">
        <f t="shared" si="371"/>
        <v>NIL</v>
      </c>
      <c r="R855" t="str">
        <f t="shared" si="361"/>
        <v>Accepted</v>
      </c>
      <c r="S855" t="str">
        <f t="shared" si="362"/>
        <v>Approved</v>
      </c>
      <c r="T855" t="str">
        <f t="shared" si="363"/>
        <v>10.20.8.188</v>
      </c>
      <c r="U855" t="str">
        <f t="shared" si="364"/>
        <v>AZRAD UMAR BIN SHAARI</v>
      </c>
      <c r="V855" t="str">
        <f t="shared" si="365"/>
        <v>FARHANA BINTI MUSTAPA</v>
      </c>
      <c r="W855" t="str">
        <f t="shared" si="366"/>
        <v>04-08-2020</v>
      </c>
      <c r="X855" t="str">
        <f t="shared" si="367"/>
        <v>RAZIMAH ANSAR AHMAD</v>
      </c>
      <c r="Y855" t="str">
        <f t="shared" si="368"/>
        <v>04-08-2020</v>
      </c>
      <c r="Z855" t="str">
        <f>"COS10200804 8299"</f>
        <v>COS10200804 8299</v>
      </c>
    </row>
    <row r="856" spans="1:26" x14ac:dyDescent="0.25">
      <c r="A856" t="str">
        <f t="shared" si="372"/>
        <v>04-08-2020 01:11:00</v>
      </c>
      <c r="B856" t="str">
        <f>"0000810103"</f>
        <v>0000810103</v>
      </c>
      <c r="C856" t="str">
        <f t="shared" si="373"/>
        <v>0000810005</v>
      </c>
      <c r="D856" t="str">
        <f t="shared" si="356"/>
        <v>73185</v>
      </c>
      <c r="E856" t="str">
        <f t="shared" si="357"/>
        <v>KFH-OPERATIONS DEPARTMENT</v>
      </c>
      <c r="F856" t="str">
        <f t="shared" si="358"/>
        <v>IBG</v>
      </c>
      <c r="G856" t="str">
        <f t="shared" si="369"/>
        <v>Refund COSHARE 10</v>
      </c>
      <c r="H856" s="2">
        <v>1767.7</v>
      </c>
      <c r="I856" t="str">
        <f>"SALMAH BINTI ISMAIL"</f>
        <v>SALMAH BINTI ISMAIL</v>
      </c>
      <c r="J856" t="str">
        <f t="shared" si="349"/>
        <v>PUBLIC BANK / PUBLIC ISLAMIC BANK</v>
      </c>
      <c r="K856" t="str">
        <f>"4023321333"</f>
        <v>4023321333</v>
      </c>
      <c r="L856" t="str">
        <f t="shared" si="370"/>
        <v>04-08-2020</v>
      </c>
      <c r="M856" t="str">
        <f t="shared" si="370"/>
        <v>04-08-2020</v>
      </c>
      <c r="N856" t="str">
        <f t="shared" si="359"/>
        <v>001105018356</v>
      </c>
      <c r="O856" t="str">
        <f t="shared" si="360"/>
        <v>MYR</v>
      </c>
      <c r="P856" t="str">
        <f t="shared" si="371"/>
        <v>NIL</v>
      </c>
      <c r="Q856" t="str">
        <f t="shared" si="371"/>
        <v>NIL</v>
      </c>
      <c r="R856" t="str">
        <f t="shared" si="361"/>
        <v>Accepted</v>
      </c>
      <c r="S856" t="str">
        <f t="shared" si="362"/>
        <v>Approved</v>
      </c>
      <c r="T856" t="str">
        <f t="shared" si="363"/>
        <v>10.20.8.188</v>
      </c>
      <c r="U856" t="str">
        <f t="shared" si="364"/>
        <v>AZRAD UMAR BIN SHAARI</v>
      </c>
      <c r="V856" t="str">
        <f t="shared" si="365"/>
        <v>FARHANA BINTI MUSTAPA</v>
      </c>
      <c r="W856" t="str">
        <f t="shared" si="366"/>
        <v>04-08-2020</v>
      </c>
      <c r="X856" t="str">
        <f t="shared" si="367"/>
        <v>RAZIMAH ANSAR AHMAD</v>
      </c>
      <c r="Y856" t="str">
        <f t="shared" si="368"/>
        <v>04-08-2020</v>
      </c>
      <c r="Z856" t="str">
        <f>"COS10200804 8298"</f>
        <v>COS10200804 8298</v>
      </c>
    </row>
    <row r="857" spans="1:26" x14ac:dyDescent="0.25">
      <c r="A857" t="str">
        <f t="shared" si="372"/>
        <v>04-08-2020 01:11:00</v>
      </c>
      <c r="B857" t="str">
        <f>"0000810102"</f>
        <v>0000810102</v>
      </c>
      <c r="C857" t="str">
        <f t="shared" si="373"/>
        <v>0000810005</v>
      </c>
      <c r="D857" t="str">
        <f t="shared" si="356"/>
        <v>73185</v>
      </c>
      <c r="E857" t="str">
        <f t="shared" si="357"/>
        <v>KFH-OPERATIONS DEPARTMENT</v>
      </c>
      <c r="F857" t="str">
        <f t="shared" si="358"/>
        <v>IBG</v>
      </c>
      <c r="G857" t="str">
        <f t="shared" si="369"/>
        <v>Refund COSHARE 10</v>
      </c>
      <c r="H857" s="2">
        <v>713.6</v>
      </c>
      <c r="I857" t="str">
        <f>"RUZIANA BINTI TAMIT"</f>
        <v>RUZIANA BINTI TAMIT</v>
      </c>
      <c r="J857" t="str">
        <f t="shared" si="349"/>
        <v>PUBLIC BANK / PUBLIC ISLAMIC BANK</v>
      </c>
      <c r="K857" t="str">
        <f>"4718787004"</f>
        <v>4718787004</v>
      </c>
      <c r="L857" t="str">
        <f t="shared" si="370"/>
        <v>04-08-2020</v>
      </c>
      <c r="M857" t="str">
        <f t="shared" si="370"/>
        <v>04-08-2020</v>
      </c>
      <c r="N857" t="str">
        <f t="shared" si="359"/>
        <v>001105018356</v>
      </c>
      <c r="O857" t="str">
        <f t="shared" si="360"/>
        <v>MYR</v>
      </c>
      <c r="P857" t="str">
        <f t="shared" si="371"/>
        <v>NIL</v>
      </c>
      <c r="Q857" t="str">
        <f t="shared" si="371"/>
        <v>NIL</v>
      </c>
      <c r="R857" t="str">
        <f t="shared" si="361"/>
        <v>Accepted</v>
      </c>
      <c r="S857" t="str">
        <f t="shared" si="362"/>
        <v>Approved</v>
      </c>
      <c r="T857" t="str">
        <f t="shared" si="363"/>
        <v>10.20.8.188</v>
      </c>
      <c r="U857" t="str">
        <f t="shared" si="364"/>
        <v>AZRAD UMAR BIN SHAARI</v>
      </c>
      <c r="V857" t="str">
        <f t="shared" si="365"/>
        <v>FARHANA BINTI MUSTAPA</v>
      </c>
      <c r="W857" t="str">
        <f t="shared" si="366"/>
        <v>04-08-2020</v>
      </c>
      <c r="X857" t="str">
        <f t="shared" si="367"/>
        <v>RAZIMAH ANSAR AHMAD</v>
      </c>
      <c r="Y857" t="str">
        <f t="shared" si="368"/>
        <v>04-08-2020</v>
      </c>
      <c r="Z857" t="str">
        <f>"COS10200804 8297"</f>
        <v>COS10200804 8297</v>
      </c>
    </row>
    <row r="858" spans="1:26" x14ac:dyDescent="0.25">
      <c r="A858" t="str">
        <f t="shared" si="372"/>
        <v>04-08-2020 01:11:00</v>
      </c>
      <c r="B858" t="str">
        <f>"0000810101"</f>
        <v>0000810101</v>
      </c>
      <c r="C858" t="str">
        <f t="shared" si="373"/>
        <v>0000810005</v>
      </c>
      <c r="D858" t="str">
        <f t="shared" si="356"/>
        <v>73185</v>
      </c>
      <c r="E858" t="str">
        <f t="shared" si="357"/>
        <v>KFH-OPERATIONS DEPARTMENT</v>
      </c>
      <c r="F858" t="str">
        <f t="shared" si="358"/>
        <v>IBG</v>
      </c>
      <c r="G858" t="str">
        <f t="shared" si="369"/>
        <v>Refund COSHARE 10</v>
      </c>
      <c r="H858" s="2">
        <v>600</v>
      </c>
      <c r="I858" t="str">
        <f>"RUSNIZAN BIN ISMAIL"</f>
        <v>RUSNIZAN BIN ISMAIL</v>
      </c>
      <c r="J858" t="str">
        <f t="shared" si="349"/>
        <v>PUBLIC BANK / PUBLIC ISLAMIC BANK</v>
      </c>
      <c r="K858" t="str">
        <f>"4807068609"</f>
        <v>4807068609</v>
      </c>
      <c r="L858" t="str">
        <f t="shared" si="370"/>
        <v>04-08-2020</v>
      </c>
      <c r="M858" t="str">
        <f t="shared" si="370"/>
        <v>04-08-2020</v>
      </c>
      <c r="N858" t="str">
        <f t="shared" si="359"/>
        <v>001105018356</v>
      </c>
      <c r="O858" t="str">
        <f t="shared" si="360"/>
        <v>MYR</v>
      </c>
      <c r="P858" t="str">
        <f t="shared" si="371"/>
        <v>NIL</v>
      </c>
      <c r="Q858" t="str">
        <f t="shared" si="371"/>
        <v>NIL</v>
      </c>
      <c r="R858" t="str">
        <f t="shared" si="361"/>
        <v>Accepted</v>
      </c>
      <c r="S858" t="str">
        <f t="shared" si="362"/>
        <v>Approved</v>
      </c>
      <c r="T858" t="str">
        <f t="shared" si="363"/>
        <v>10.20.8.188</v>
      </c>
      <c r="U858" t="str">
        <f t="shared" si="364"/>
        <v>AZRAD UMAR BIN SHAARI</v>
      </c>
      <c r="V858" t="str">
        <f t="shared" si="365"/>
        <v>FARHANA BINTI MUSTAPA</v>
      </c>
      <c r="W858" t="str">
        <f t="shared" si="366"/>
        <v>04-08-2020</v>
      </c>
      <c r="X858" t="str">
        <f t="shared" si="367"/>
        <v>RAZIMAH ANSAR AHMAD</v>
      </c>
      <c r="Y858" t="str">
        <f t="shared" si="368"/>
        <v>04-08-2020</v>
      </c>
      <c r="Z858" t="str">
        <f>"COS10200804 8296"</f>
        <v>COS10200804 8296</v>
      </c>
    </row>
    <row r="859" spans="1:26" x14ac:dyDescent="0.25">
      <c r="A859" t="str">
        <f t="shared" si="372"/>
        <v>04-08-2020 01:11:00</v>
      </c>
      <c r="B859" t="str">
        <f>"0000810100"</f>
        <v>0000810100</v>
      </c>
      <c r="C859" t="str">
        <f t="shared" si="373"/>
        <v>0000810005</v>
      </c>
      <c r="D859" t="str">
        <f t="shared" si="356"/>
        <v>73185</v>
      </c>
      <c r="E859" t="str">
        <f t="shared" si="357"/>
        <v>KFH-OPERATIONS DEPARTMENT</v>
      </c>
      <c r="F859" t="str">
        <f t="shared" si="358"/>
        <v>IBG</v>
      </c>
      <c r="G859" t="str">
        <f t="shared" si="369"/>
        <v>Refund COSHARE 10</v>
      </c>
      <c r="H859" s="2">
        <v>125.95</v>
      </c>
      <c r="I859" t="str">
        <f>"ROZLEHA BINTI HAMID"</f>
        <v>ROZLEHA BINTI HAMID</v>
      </c>
      <c r="J859" t="str">
        <f t="shared" si="349"/>
        <v>PUBLIC BANK / PUBLIC ISLAMIC BANK</v>
      </c>
      <c r="K859" t="str">
        <f>"4455429836"</f>
        <v>4455429836</v>
      </c>
      <c r="L859" t="str">
        <f t="shared" si="370"/>
        <v>04-08-2020</v>
      </c>
      <c r="M859" t="str">
        <f t="shared" si="370"/>
        <v>04-08-2020</v>
      </c>
      <c r="N859" t="str">
        <f t="shared" si="359"/>
        <v>001105018356</v>
      </c>
      <c r="O859" t="str">
        <f t="shared" si="360"/>
        <v>MYR</v>
      </c>
      <c r="P859" t="str">
        <f t="shared" si="371"/>
        <v>NIL</v>
      </c>
      <c r="Q859" t="str">
        <f t="shared" si="371"/>
        <v>NIL</v>
      </c>
      <c r="R859" t="str">
        <f t="shared" si="361"/>
        <v>Accepted</v>
      </c>
      <c r="S859" t="str">
        <f t="shared" si="362"/>
        <v>Approved</v>
      </c>
      <c r="T859" t="str">
        <f t="shared" si="363"/>
        <v>10.20.8.188</v>
      </c>
      <c r="U859" t="str">
        <f t="shared" si="364"/>
        <v>AZRAD UMAR BIN SHAARI</v>
      </c>
      <c r="V859" t="str">
        <f t="shared" si="365"/>
        <v>FARHANA BINTI MUSTAPA</v>
      </c>
      <c r="W859" t="str">
        <f t="shared" si="366"/>
        <v>04-08-2020</v>
      </c>
      <c r="X859" t="str">
        <f t="shared" si="367"/>
        <v>RAZIMAH ANSAR AHMAD</v>
      </c>
      <c r="Y859" t="str">
        <f t="shared" si="368"/>
        <v>04-08-2020</v>
      </c>
      <c r="Z859" t="str">
        <f>"COS10200804 8295"</f>
        <v>COS10200804 8295</v>
      </c>
    </row>
    <row r="860" spans="1:26" x14ac:dyDescent="0.25">
      <c r="A860" t="str">
        <f t="shared" si="372"/>
        <v>04-08-2020 01:11:00</v>
      </c>
      <c r="B860" t="str">
        <f>"0000810099"</f>
        <v>0000810099</v>
      </c>
      <c r="C860" t="str">
        <f t="shared" si="373"/>
        <v>0000810005</v>
      </c>
      <c r="D860" t="str">
        <f t="shared" si="356"/>
        <v>73185</v>
      </c>
      <c r="E860" t="str">
        <f t="shared" si="357"/>
        <v>KFH-OPERATIONS DEPARTMENT</v>
      </c>
      <c r="F860" t="str">
        <f t="shared" si="358"/>
        <v>IBG</v>
      </c>
      <c r="G860" t="str">
        <f t="shared" si="369"/>
        <v>Refund COSHARE 10</v>
      </c>
      <c r="H860" s="2">
        <v>209.9</v>
      </c>
      <c r="I860" t="str">
        <f>"ROZANNA BINTI HASSAN"</f>
        <v>ROZANNA BINTI HASSAN</v>
      </c>
      <c r="J860" t="str">
        <f t="shared" si="349"/>
        <v>PUBLIC BANK / PUBLIC ISLAMIC BANK</v>
      </c>
      <c r="K860" t="str">
        <f>"4715526814"</f>
        <v>4715526814</v>
      </c>
      <c r="L860" t="str">
        <f t="shared" si="370"/>
        <v>04-08-2020</v>
      </c>
      <c r="M860" t="str">
        <f t="shared" si="370"/>
        <v>04-08-2020</v>
      </c>
      <c r="N860" t="str">
        <f t="shared" si="359"/>
        <v>001105018356</v>
      </c>
      <c r="O860" t="str">
        <f t="shared" si="360"/>
        <v>MYR</v>
      </c>
      <c r="P860" t="str">
        <f t="shared" si="371"/>
        <v>NIL</v>
      </c>
      <c r="Q860" t="str">
        <f t="shared" si="371"/>
        <v>NIL</v>
      </c>
      <c r="R860" t="str">
        <f t="shared" si="361"/>
        <v>Accepted</v>
      </c>
      <c r="S860" t="str">
        <f t="shared" si="362"/>
        <v>Approved</v>
      </c>
      <c r="T860" t="str">
        <f t="shared" si="363"/>
        <v>10.20.8.188</v>
      </c>
      <c r="U860" t="str">
        <f t="shared" si="364"/>
        <v>AZRAD UMAR BIN SHAARI</v>
      </c>
      <c r="V860" t="str">
        <f t="shared" si="365"/>
        <v>FARHANA BINTI MUSTAPA</v>
      </c>
      <c r="W860" t="str">
        <f t="shared" si="366"/>
        <v>04-08-2020</v>
      </c>
      <c r="X860" t="str">
        <f t="shared" si="367"/>
        <v>RAZIMAH ANSAR AHMAD</v>
      </c>
      <c r="Y860" t="str">
        <f t="shared" si="368"/>
        <v>04-08-2020</v>
      </c>
      <c r="Z860" t="str">
        <f>"COS10200804 8294"</f>
        <v>COS10200804 8294</v>
      </c>
    </row>
    <row r="861" spans="1:26" x14ac:dyDescent="0.25">
      <c r="A861" t="str">
        <f t="shared" si="372"/>
        <v>04-08-2020 01:11:00</v>
      </c>
      <c r="B861" t="str">
        <f>"0000810098"</f>
        <v>0000810098</v>
      </c>
      <c r="C861" t="str">
        <f t="shared" si="373"/>
        <v>0000810005</v>
      </c>
      <c r="D861" t="str">
        <f t="shared" si="356"/>
        <v>73185</v>
      </c>
      <c r="E861" t="str">
        <f t="shared" si="357"/>
        <v>KFH-OPERATIONS DEPARTMENT</v>
      </c>
      <c r="F861" t="str">
        <f t="shared" si="358"/>
        <v>IBG</v>
      </c>
      <c r="G861" t="str">
        <f t="shared" si="369"/>
        <v>Refund COSHARE 10</v>
      </c>
      <c r="H861" s="2">
        <v>887.05</v>
      </c>
      <c r="I861" t="str">
        <f>"ROSYILAWATI BINTI MOHD RAZALI"</f>
        <v>ROSYILAWATI BINTI MOHD RAZALI</v>
      </c>
      <c r="J861" t="str">
        <f t="shared" si="349"/>
        <v>PUBLIC BANK / PUBLIC ISLAMIC BANK</v>
      </c>
      <c r="K861" t="str">
        <f>"4801880528"</f>
        <v>4801880528</v>
      </c>
      <c r="L861" t="str">
        <f t="shared" si="370"/>
        <v>04-08-2020</v>
      </c>
      <c r="M861" t="str">
        <f t="shared" si="370"/>
        <v>04-08-2020</v>
      </c>
      <c r="N861" t="str">
        <f t="shared" si="359"/>
        <v>001105018356</v>
      </c>
      <c r="O861" t="str">
        <f t="shared" si="360"/>
        <v>MYR</v>
      </c>
      <c r="P861" t="str">
        <f t="shared" si="371"/>
        <v>NIL</v>
      </c>
      <c r="Q861" t="str">
        <f t="shared" si="371"/>
        <v>NIL</v>
      </c>
      <c r="R861" t="str">
        <f t="shared" si="361"/>
        <v>Accepted</v>
      </c>
      <c r="S861" t="str">
        <f t="shared" si="362"/>
        <v>Approved</v>
      </c>
      <c r="T861" t="str">
        <f t="shared" si="363"/>
        <v>10.20.8.188</v>
      </c>
      <c r="U861" t="str">
        <f t="shared" si="364"/>
        <v>AZRAD UMAR BIN SHAARI</v>
      </c>
      <c r="V861" t="str">
        <f t="shared" si="365"/>
        <v>FARHANA BINTI MUSTAPA</v>
      </c>
      <c r="W861" t="str">
        <f t="shared" si="366"/>
        <v>04-08-2020</v>
      </c>
      <c r="X861" t="str">
        <f t="shared" si="367"/>
        <v>RAZIMAH ANSAR AHMAD</v>
      </c>
      <c r="Y861" t="str">
        <f t="shared" si="368"/>
        <v>04-08-2020</v>
      </c>
      <c r="Z861" t="str">
        <f>"COS10200804 8293"</f>
        <v>COS10200804 8293</v>
      </c>
    </row>
    <row r="862" spans="1:26" x14ac:dyDescent="0.25">
      <c r="A862" t="str">
        <f t="shared" si="372"/>
        <v>04-08-2020 01:11:00</v>
      </c>
      <c r="B862" t="str">
        <f>"0000810097"</f>
        <v>0000810097</v>
      </c>
      <c r="C862" t="str">
        <f t="shared" si="373"/>
        <v>0000810005</v>
      </c>
      <c r="D862" t="str">
        <f t="shared" si="356"/>
        <v>73185</v>
      </c>
      <c r="E862" t="str">
        <f t="shared" si="357"/>
        <v>KFH-OPERATIONS DEPARTMENT</v>
      </c>
      <c r="F862" t="str">
        <f t="shared" si="358"/>
        <v>IBG</v>
      </c>
      <c r="G862" t="str">
        <f t="shared" si="369"/>
        <v>Refund COSHARE 10</v>
      </c>
      <c r="H862" s="2">
        <v>831.1</v>
      </c>
      <c r="I862" t="str">
        <f>"ROSTAM BIN MAHA"</f>
        <v>ROSTAM BIN MAHA</v>
      </c>
      <c r="J862" t="str">
        <f t="shared" si="349"/>
        <v>PUBLIC BANK / PUBLIC ISLAMIC BANK</v>
      </c>
      <c r="K862" t="str">
        <f>"4718043406"</f>
        <v>4718043406</v>
      </c>
      <c r="L862" t="str">
        <f t="shared" si="370"/>
        <v>04-08-2020</v>
      </c>
      <c r="M862" t="str">
        <f t="shared" si="370"/>
        <v>04-08-2020</v>
      </c>
      <c r="N862" t="str">
        <f t="shared" si="359"/>
        <v>001105018356</v>
      </c>
      <c r="O862" t="str">
        <f t="shared" si="360"/>
        <v>MYR</v>
      </c>
      <c r="P862" t="str">
        <f t="shared" si="371"/>
        <v>NIL</v>
      </c>
      <c r="Q862" t="str">
        <f t="shared" si="371"/>
        <v>NIL</v>
      </c>
      <c r="R862" t="str">
        <f t="shared" si="361"/>
        <v>Accepted</v>
      </c>
      <c r="S862" t="str">
        <f t="shared" si="362"/>
        <v>Approved</v>
      </c>
      <c r="T862" t="str">
        <f t="shared" si="363"/>
        <v>10.20.8.188</v>
      </c>
      <c r="U862" t="str">
        <f t="shared" si="364"/>
        <v>AZRAD UMAR BIN SHAARI</v>
      </c>
      <c r="V862" t="str">
        <f t="shared" si="365"/>
        <v>FARHANA BINTI MUSTAPA</v>
      </c>
      <c r="W862" t="str">
        <f t="shared" si="366"/>
        <v>04-08-2020</v>
      </c>
      <c r="X862" t="str">
        <f t="shared" si="367"/>
        <v>RAZIMAH ANSAR AHMAD</v>
      </c>
      <c r="Y862" t="str">
        <f t="shared" si="368"/>
        <v>04-08-2020</v>
      </c>
      <c r="Z862" t="str">
        <f>"COS10200804 8292"</f>
        <v>COS10200804 8292</v>
      </c>
    </row>
    <row r="863" spans="1:26" x14ac:dyDescent="0.25">
      <c r="A863" t="str">
        <f t="shared" si="372"/>
        <v>04-08-2020 01:11:00</v>
      </c>
      <c r="B863" t="str">
        <f>"0000810096"</f>
        <v>0000810096</v>
      </c>
      <c r="C863" t="str">
        <f t="shared" si="373"/>
        <v>0000810005</v>
      </c>
      <c r="D863" t="str">
        <f t="shared" si="356"/>
        <v>73185</v>
      </c>
      <c r="E863" t="str">
        <f t="shared" si="357"/>
        <v>KFH-OPERATIONS DEPARTMENT</v>
      </c>
      <c r="F863" t="str">
        <f t="shared" si="358"/>
        <v>IBG</v>
      </c>
      <c r="G863" t="str">
        <f t="shared" si="369"/>
        <v>Refund COSHARE 10</v>
      </c>
      <c r="H863" s="2">
        <v>1242.45</v>
      </c>
      <c r="I863" t="str">
        <f>"ROSNEH BINTI MADIN"</f>
        <v>ROSNEH BINTI MADIN</v>
      </c>
      <c r="J863" t="str">
        <f t="shared" si="349"/>
        <v>PUBLIC BANK / PUBLIC ISLAMIC BANK</v>
      </c>
      <c r="K863" t="str">
        <f>"4950783313"</f>
        <v>4950783313</v>
      </c>
      <c r="L863" t="str">
        <f t="shared" si="370"/>
        <v>04-08-2020</v>
      </c>
      <c r="M863" t="str">
        <f t="shared" si="370"/>
        <v>04-08-2020</v>
      </c>
      <c r="N863" t="str">
        <f t="shared" si="359"/>
        <v>001105018356</v>
      </c>
      <c r="O863" t="str">
        <f t="shared" si="360"/>
        <v>MYR</v>
      </c>
      <c r="P863" t="str">
        <f t="shared" si="371"/>
        <v>NIL</v>
      </c>
      <c r="Q863" t="str">
        <f t="shared" si="371"/>
        <v>NIL</v>
      </c>
      <c r="R863" t="str">
        <f t="shared" si="361"/>
        <v>Accepted</v>
      </c>
      <c r="S863" t="str">
        <f t="shared" si="362"/>
        <v>Approved</v>
      </c>
      <c r="T863" t="str">
        <f t="shared" si="363"/>
        <v>10.20.8.188</v>
      </c>
      <c r="U863" t="str">
        <f t="shared" si="364"/>
        <v>AZRAD UMAR BIN SHAARI</v>
      </c>
      <c r="V863" t="str">
        <f t="shared" si="365"/>
        <v>FARHANA BINTI MUSTAPA</v>
      </c>
      <c r="W863" t="str">
        <f t="shared" si="366"/>
        <v>04-08-2020</v>
      </c>
      <c r="X863" t="str">
        <f t="shared" si="367"/>
        <v>RAZIMAH ANSAR AHMAD</v>
      </c>
      <c r="Y863" t="str">
        <f t="shared" si="368"/>
        <v>04-08-2020</v>
      </c>
      <c r="Z863" t="str">
        <f>"COS10200804 8291"</f>
        <v>COS10200804 8291</v>
      </c>
    </row>
    <row r="864" spans="1:26" x14ac:dyDescent="0.25">
      <c r="A864" t="str">
        <f t="shared" si="372"/>
        <v>04-08-2020 01:11:00</v>
      </c>
      <c r="B864" t="str">
        <f>"0000810095"</f>
        <v>0000810095</v>
      </c>
      <c r="C864" t="str">
        <f t="shared" si="373"/>
        <v>0000810005</v>
      </c>
      <c r="D864" t="str">
        <f t="shared" si="356"/>
        <v>73185</v>
      </c>
      <c r="E864" t="str">
        <f t="shared" si="357"/>
        <v>KFH-OPERATIONS DEPARTMENT</v>
      </c>
      <c r="F864" t="str">
        <f t="shared" si="358"/>
        <v>IBG</v>
      </c>
      <c r="G864" t="str">
        <f t="shared" si="369"/>
        <v>Refund COSHARE 10</v>
      </c>
      <c r="H864" s="2">
        <v>1893.05</v>
      </c>
      <c r="I864" t="str">
        <f>"ROSMAWATI BINTI JAMIL"</f>
        <v>ROSMAWATI BINTI JAMIL</v>
      </c>
      <c r="J864" t="str">
        <f t="shared" si="349"/>
        <v>PUBLIC BANK / PUBLIC ISLAMIC BANK</v>
      </c>
      <c r="K864" t="str">
        <f>"4125475102"</f>
        <v>4125475102</v>
      </c>
      <c r="L864" t="str">
        <f t="shared" si="370"/>
        <v>04-08-2020</v>
      </c>
      <c r="M864" t="str">
        <f t="shared" si="370"/>
        <v>04-08-2020</v>
      </c>
      <c r="N864" t="str">
        <f t="shared" si="359"/>
        <v>001105018356</v>
      </c>
      <c r="O864" t="str">
        <f t="shared" si="360"/>
        <v>MYR</v>
      </c>
      <c r="P864" t="str">
        <f t="shared" si="371"/>
        <v>NIL</v>
      </c>
      <c r="Q864" t="str">
        <f t="shared" si="371"/>
        <v>NIL</v>
      </c>
      <c r="R864" t="str">
        <f t="shared" si="361"/>
        <v>Accepted</v>
      </c>
      <c r="S864" t="str">
        <f t="shared" si="362"/>
        <v>Approved</v>
      </c>
      <c r="T864" t="str">
        <f t="shared" si="363"/>
        <v>10.20.8.188</v>
      </c>
      <c r="U864" t="str">
        <f t="shared" si="364"/>
        <v>AZRAD UMAR BIN SHAARI</v>
      </c>
      <c r="V864" t="str">
        <f t="shared" si="365"/>
        <v>FARHANA BINTI MUSTAPA</v>
      </c>
      <c r="W864" t="str">
        <f t="shared" si="366"/>
        <v>04-08-2020</v>
      </c>
      <c r="X864" t="str">
        <f t="shared" si="367"/>
        <v>RAZIMAH ANSAR AHMAD</v>
      </c>
      <c r="Y864" t="str">
        <f t="shared" si="368"/>
        <v>04-08-2020</v>
      </c>
      <c r="Z864" t="str">
        <f>"COS10200804 8290"</f>
        <v>COS10200804 8290</v>
      </c>
    </row>
    <row r="865" spans="1:26" x14ac:dyDescent="0.25">
      <c r="A865" t="str">
        <f t="shared" si="372"/>
        <v>04-08-2020 01:11:00</v>
      </c>
      <c r="B865" t="str">
        <f>"0000810094"</f>
        <v>0000810094</v>
      </c>
      <c r="C865" t="str">
        <f t="shared" si="373"/>
        <v>0000810005</v>
      </c>
      <c r="D865" t="str">
        <f t="shared" si="356"/>
        <v>73185</v>
      </c>
      <c r="E865" t="str">
        <f t="shared" si="357"/>
        <v>KFH-OPERATIONS DEPARTMENT</v>
      </c>
      <c r="F865" t="str">
        <f t="shared" si="358"/>
        <v>IBG</v>
      </c>
      <c r="G865" t="str">
        <f t="shared" si="369"/>
        <v>Refund COSHARE 10</v>
      </c>
      <c r="H865" s="2">
        <v>729</v>
      </c>
      <c r="I865" t="str">
        <f>"ROSLIZA BINTI ISHAK"</f>
        <v>ROSLIZA BINTI ISHAK</v>
      </c>
      <c r="J865" t="str">
        <f t="shared" si="349"/>
        <v>PUBLIC BANK / PUBLIC ISLAMIC BANK</v>
      </c>
      <c r="K865" t="str">
        <f>"4471865936"</f>
        <v>4471865936</v>
      </c>
      <c r="L865" t="str">
        <f t="shared" si="370"/>
        <v>04-08-2020</v>
      </c>
      <c r="M865" t="str">
        <f t="shared" si="370"/>
        <v>04-08-2020</v>
      </c>
      <c r="N865" t="str">
        <f t="shared" si="359"/>
        <v>001105018356</v>
      </c>
      <c r="O865" t="str">
        <f t="shared" si="360"/>
        <v>MYR</v>
      </c>
      <c r="P865" t="str">
        <f t="shared" si="371"/>
        <v>NIL</v>
      </c>
      <c r="Q865" t="str">
        <f t="shared" si="371"/>
        <v>NIL</v>
      </c>
      <c r="R865" t="str">
        <f t="shared" si="361"/>
        <v>Accepted</v>
      </c>
      <c r="S865" t="str">
        <f t="shared" si="362"/>
        <v>Approved</v>
      </c>
      <c r="T865" t="str">
        <f t="shared" si="363"/>
        <v>10.20.8.188</v>
      </c>
      <c r="U865" t="str">
        <f t="shared" si="364"/>
        <v>AZRAD UMAR BIN SHAARI</v>
      </c>
      <c r="V865" t="str">
        <f t="shared" si="365"/>
        <v>FARHANA BINTI MUSTAPA</v>
      </c>
      <c r="W865" t="str">
        <f t="shared" si="366"/>
        <v>04-08-2020</v>
      </c>
      <c r="X865" t="str">
        <f t="shared" si="367"/>
        <v>RAZIMAH ANSAR AHMAD</v>
      </c>
      <c r="Y865" t="str">
        <f t="shared" si="368"/>
        <v>04-08-2020</v>
      </c>
      <c r="Z865" t="str">
        <f>"COS10200804 8289"</f>
        <v>COS10200804 8289</v>
      </c>
    </row>
    <row r="866" spans="1:26" x14ac:dyDescent="0.25">
      <c r="A866" t="str">
        <f t="shared" si="372"/>
        <v>04-08-2020 01:11:00</v>
      </c>
      <c r="B866" t="str">
        <f>"0000810093"</f>
        <v>0000810093</v>
      </c>
      <c r="C866" t="str">
        <f t="shared" si="373"/>
        <v>0000810005</v>
      </c>
      <c r="D866" t="str">
        <f t="shared" si="356"/>
        <v>73185</v>
      </c>
      <c r="E866" t="str">
        <f t="shared" si="357"/>
        <v>KFH-OPERATIONS DEPARTMENT</v>
      </c>
      <c r="F866" t="str">
        <f t="shared" si="358"/>
        <v>IBG</v>
      </c>
      <c r="G866" t="str">
        <f t="shared" si="369"/>
        <v>Refund COSHARE 10</v>
      </c>
      <c r="H866" s="2">
        <v>1473.5</v>
      </c>
      <c r="I866" t="str">
        <f>"ROSLINA BINTI HAMID  PA"</f>
        <v>ROSLINA BINTI HAMID  PA</v>
      </c>
      <c r="J866" t="str">
        <f t="shared" si="349"/>
        <v>PUBLIC BANK / PUBLIC ISLAMIC BANK</v>
      </c>
      <c r="K866" t="str">
        <f>"4922764735"</f>
        <v>4922764735</v>
      </c>
      <c r="L866" t="str">
        <f t="shared" si="370"/>
        <v>04-08-2020</v>
      </c>
      <c r="M866" t="str">
        <f t="shared" si="370"/>
        <v>04-08-2020</v>
      </c>
      <c r="N866" t="str">
        <f t="shared" si="359"/>
        <v>001105018356</v>
      </c>
      <c r="O866" t="str">
        <f t="shared" si="360"/>
        <v>MYR</v>
      </c>
      <c r="P866" t="str">
        <f t="shared" si="371"/>
        <v>NIL</v>
      </c>
      <c r="Q866" t="str">
        <f t="shared" si="371"/>
        <v>NIL</v>
      </c>
      <c r="R866" t="str">
        <f t="shared" si="361"/>
        <v>Accepted</v>
      </c>
      <c r="S866" t="str">
        <f t="shared" si="362"/>
        <v>Approved</v>
      </c>
      <c r="T866" t="str">
        <f t="shared" si="363"/>
        <v>10.20.8.188</v>
      </c>
      <c r="U866" t="str">
        <f t="shared" si="364"/>
        <v>AZRAD UMAR BIN SHAARI</v>
      </c>
      <c r="V866" t="str">
        <f t="shared" si="365"/>
        <v>FARHANA BINTI MUSTAPA</v>
      </c>
      <c r="W866" t="str">
        <f t="shared" si="366"/>
        <v>04-08-2020</v>
      </c>
      <c r="X866" t="str">
        <f t="shared" si="367"/>
        <v>RAZIMAH ANSAR AHMAD</v>
      </c>
      <c r="Y866" t="str">
        <f t="shared" si="368"/>
        <v>04-08-2020</v>
      </c>
      <c r="Z866" t="str">
        <f>"COS10200804 8288"</f>
        <v>COS10200804 8288</v>
      </c>
    </row>
    <row r="867" spans="1:26" x14ac:dyDescent="0.25">
      <c r="A867" t="str">
        <f t="shared" si="372"/>
        <v>04-08-2020 01:11:00</v>
      </c>
      <c r="B867" t="str">
        <f>"0000810092"</f>
        <v>0000810092</v>
      </c>
      <c r="C867" t="str">
        <f t="shared" si="373"/>
        <v>0000810005</v>
      </c>
      <c r="D867" t="str">
        <f t="shared" si="356"/>
        <v>73185</v>
      </c>
      <c r="E867" t="str">
        <f t="shared" si="357"/>
        <v>KFH-OPERATIONS DEPARTMENT</v>
      </c>
      <c r="F867" t="str">
        <f t="shared" si="358"/>
        <v>IBG</v>
      </c>
      <c r="G867" t="str">
        <f t="shared" si="369"/>
        <v>Refund COSHARE 10</v>
      </c>
      <c r="H867" s="2">
        <v>67.2</v>
      </c>
      <c r="I867" t="str">
        <f>"ROSLEE BIN MOHD IBRAHIM"</f>
        <v>ROSLEE BIN MOHD IBRAHIM</v>
      </c>
      <c r="J867" t="str">
        <f t="shared" si="349"/>
        <v>PUBLIC BANK / PUBLIC ISLAMIC BANK</v>
      </c>
      <c r="K867" t="str">
        <f>"4918996829"</f>
        <v>4918996829</v>
      </c>
      <c r="L867" t="str">
        <f t="shared" ref="L867:M886" si="374">"04-08-2020"</f>
        <v>04-08-2020</v>
      </c>
      <c r="M867" t="str">
        <f t="shared" si="374"/>
        <v>04-08-2020</v>
      </c>
      <c r="N867" t="str">
        <f t="shared" si="359"/>
        <v>001105018356</v>
      </c>
      <c r="O867" t="str">
        <f t="shared" si="360"/>
        <v>MYR</v>
      </c>
      <c r="P867" t="str">
        <f t="shared" ref="P867:Q886" si="375">"NIL"</f>
        <v>NIL</v>
      </c>
      <c r="Q867" t="str">
        <f t="shared" si="375"/>
        <v>NIL</v>
      </c>
      <c r="R867" t="str">
        <f t="shared" si="361"/>
        <v>Accepted</v>
      </c>
      <c r="S867" t="str">
        <f t="shared" si="362"/>
        <v>Approved</v>
      </c>
      <c r="T867" t="str">
        <f t="shared" si="363"/>
        <v>10.20.8.188</v>
      </c>
      <c r="U867" t="str">
        <f t="shared" si="364"/>
        <v>AZRAD UMAR BIN SHAARI</v>
      </c>
      <c r="V867" t="str">
        <f t="shared" si="365"/>
        <v>FARHANA BINTI MUSTAPA</v>
      </c>
      <c r="W867" t="str">
        <f t="shared" si="366"/>
        <v>04-08-2020</v>
      </c>
      <c r="X867" t="str">
        <f t="shared" si="367"/>
        <v>RAZIMAH ANSAR AHMAD</v>
      </c>
      <c r="Y867" t="str">
        <f t="shared" si="368"/>
        <v>04-08-2020</v>
      </c>
      <c r="Z867" t="str">
        <f>"COS10200804 8287"</f>
        <v>COS10200804 8287</v>
      </c>
    </row>
    <row r="868" spans="1:26" x14ac:dyDescent="0.25">
      <c r="A868" t="str">
        <f t="shared" si="372"/>
        <v>04-08-2020 01:11:00</v>
      </c>
      <c r="B868" t="str">
        <f>"0000810091"</f>
        <v>0000810091</v>
      </c>
      <c r="C868" t="str">
        <f t="shared" si="373"/>
        <v>0000810005</v>
      </c>
      <c r="D868" t="str">
        <f t="shared" si="356"/>
        <v>73185</v>
      </c>
      <c r="E868" t="str">
        <f t="shared" si="357"/>
        <v>KFH-OPERATIONS DEPARTMENT</v>
      </c>
      <c r="F868" t="str">
        <f t="shared" si="358"/>
        <v>IBG</v>
      </c>
      <c r="G868" t="str">
        <f t="shared" si="369"/>
        <v>Refund COSHARE 10</v>
      </c>
      <c r="H868" s="2">
        <v>940.25</v>
      </c>
      <c r="I868" t="str">
        <f>"ROSILAWATI BINTI ABDUL KADIR"</f>
        <v>ROSILAWATI BINTI ABDUL KADIR</v>
      </c>
      <c r="J868" t="str">
        <f t="shared" si="349"/>
        <v>PUBLIC BANK / PUBLIC ISLAMIC BANK</v>
      </c>
      <c r="K868" t="str">
        <f>"4414625707"</f>
        <v>4414625707</v>
      </c>
      <c r="L868" t="str">
        <f t="shared" si="374"/>
        <v>04-08-2020</v>
      </c>
      <c r="M868" t="str">
        <f t="shared" si="374"/>
        <v>04-08-2020</v>
      </c>
      <c r="N868" t="str">
        <f t="shared" si="359"/>
        <v>001105018356</v>
      </c>
      <c r="O868" t="str">
        <f t="shared" si="360"/>
        <v>MYR</v>
      </c>
      <c r="P868" t="str">
        <f t="shared" si="375"/>
        <v>NIL</v>
      </c>
      <c r="Q868" t="str">
        <f t="shared" si="375"/>
        <v>NIL</v>
      </c>
      <c r="R868" t="str">
        <f t="shared" si="361"/>
        <v>Accepted</v>
      </c>
      <c r="S868" t="str">
        <f t="shared" si="362"/>
        <v>Approved</v>
      </c>
      <c r="T868" t="str">
        <f t="shared" si="363"/>
        <v>10.20.8.188</v>
      </c>
      <c r="U868" t="str">
        <f t="shared" si="364"/>
        <v>AZRAD UMAR BIN SHAARI</v>
      </c>
      <c r="V868" t="str">
        <f t="shared" si="365"/>
        <v>FARHANA BINTI MUSTAPA</v>
      </c>
      <c r="W868" t="str">
        <f t="shared" si="366"/>
        <v>04-08-2020</v>
      </c>
      <c r="X868" t="str">
        <f t="shared" si="367"/>
        <v>RAZIMAH ANSAR AHMAD</v>
      </c>
      <c r="Y868" t="str">
        <f t="shared" si="368"/>
        <v>04-08-2020</v>
      </c>
      <c r="Z868" t="str">
        <f>"COS10200804 8286"</f>
        <v>COS10200804 8286</v>
      </c>
    </row>
    <row r="869" spans="1:26" x14ac:dyDescent="0.25">
      <c r="A869" t="str">
        <f t="shared" si="372"/>
        <v>04-08-2020 01:11:00</v>
      </c>
      <c r="B869" t="str">
        <f>"0000810090"</f>
        <v>0000810090</v>
      </c>
      <c r="C869" t="str">
        <f t="shared" si="373"/>
        <v>0000810005</v>
      </c>
      <c r="D869" t="str">
        <f t="shared" si="356"/>
        <v>73185</v>
      </c>
      <c r="E869" t="str">
        <f t="shared" si="357"/>
        <v>KFH-OPERATIONS DEPARTMENT</v>
      </c>
      <c r="F869" t="str">
        <f t="shared" si="358"/>
        <v>IBG</v>
      </c>
      <c r="G869" t="str">
        <f t="shared" si="369"/>
        <v>Refund COSHARE 10</v>
      </c>
      <c r="H869" s="2">
        <v>1460.75</v>
      </c>
      <c r="I869" t="str">
        <f>"ROSIDAH BINTI MOHD MANASIR"</f>
        <v>ROSIDAH BINTI MOHD MANASIR</v>
      </c>
      <c r="J869" t="str">
        <f t="shared" ref="J869:J932" si="376">"PUBLIC BANK / PUBLIC ISLAMIC BANK"</f>
        <v>PUBLIC BANK / PUBLIC ISLAMIC BANK</v>
      </c>
      <c r="K869" t="str">
        <f>"4427001520"</f>
        <v>4427001520</v>
      </c>
      <c r="L869" t="str">
        <f t="shared" si="374"/>
        <v>04-08-2020</v>
      </c>
      <c r="M869" t="str">
        <f t="shared" si="374"/>
        <v>04-08-2020</v>
      </c>
      <c r="N869" t="str">
        <f t="shared" si="359"/>
        <v>001105018356</v>
      </c>
      <c r="O869" t="str">
        <f t="shared" si="360"/>
        <v>MYR</v>
      </c>
      <c r="P869" t="str">
        <f t="shared" si="375"/>
        <v>NIL</v>
      </c>
      <c r="Q869" t="str">
        <f t="shared" si="375"/>
        <v>NIL</v>
      </c>
      <c r="R869" t="str">
        <f t="shared" si="361"/>
        <v>Accepted</v>
      </c>
      <c r="S869" t="str">
        <f t="shared" si="362"/>
        <v>Approved</v>
      </c>
      <c r="T869" t="str">
        <f t="shared" si="363"/>
        <v>10.20.8.188</v>
      </c>
      <c r="U869" t="str">
        <f t="shared" si="364"/>
        <v>AZRAD UMAR BIN SHAARI</v>
      </c>
      <c r="V869" t="str">
        <f t="shared" si="365"/>
        <v>FARHANA BINTI MUSTAPA</v>
      </c>
      <c r="W869" t="str">
        <f t="shared" si="366"/>
        <v>04-08-2020</v>
      </c>
      <c r="X869" t="str">
        <f t="shared" si="367"/>
        <v>RAZIMAH ANSAR AHMAD</v>
      </c>
      <c r="Y869" t="str">
        <f t="shared" si="368"/>
        <v>04-08-2020</v>
      </c>
      <c r="Z869" t="str">
        <f>"COS10200804 8285"</f>
        <v>COS10200804 8285</v>
      </c>
    </row>
    <row r="870" spans="1:26" x14ac:dyDescent="0.25">
      <c r="A870" t="str">
        <f t="shared" si="372"/>
        <v>04-08-2020 01:11:00</v>
      </c>
      <c r="B870" t="str">
        <f>"0000810089"</f>
        <v>0000810089</v>
      </c>
      <c r="C870" t="str">
        <f t="shared" si="373"/>
        <v>0000810005</v>
      </c>
      <c r="D870" t="str">
        <f t="shared" si="356"/>
        <v>73185</v>
      </c>
      <c r="E870" t="str">
        <f t="shared" si="357"/>
        <v>KFH-OPERATIONS DEPARTMENT</v>
      </c>
      <c r="F870" t="str">
        <f t="shared" si="358"/>
        <v>IBG</v>
      </c>
      <c r="G870" t="str">
        <f t="shared" si="369"/>
        <v>Refund COSHARE 10</v>
      </c>
      <c r="H870" s="2">
        <v>172.4</v>
      </c>
      <c r="I870" t="str">
        <f>"ROSESINAHWATI BINTI KAHAR"</f>
        <v>ROSESINAHWATI BINTI KAHAR</v>
      </c>
      <c r="J870" t="str">
        <f t="shared" si="376"/>
        <v>PUBLIC BANK / PUBLIC ISLAMIC BANK</v>
      </c>
      <c r="K870" t="str">
        <f>"4946968912"</f>
        <v>4946968912</v>
      </c>
      <c r="L870" t="str">
        <f t="shared" si="374"/>
        <v>04-08-2020</v>
      </c>
      <c r="M870" t="str">
        <f t="shared" si="374"/>
        <v>04-08-2020</v>
      </c>
      <c r="N870" t="str">
        <f t="shared" si="359"/>
        <v>001105018356</v>
      </c>
      <c r="O870" t="str">
        <f t="shared" si="360"/>
        <v>MYR</v>
      </c>
      <c r="P870" t="str">
        <f t="shared" si="375"/>
        <v>NIL</v>
      </c>
      <c r="Q870" t="str">
        <f t="shared" si="375"/>
        <v>NIL</v>
      </c>
      <c r="R870" t="str">
        <f t="shared" si="361"/>
        <v>Accepted</v>
      </c>
      <c r="S870" t="str">
        <f t="shared" si="362"/>
        <v>Approved</v>
      </c>
      <c r="T870" t="str">
        <f t="shared" si="363"/>
        <v>10.20.8.188</v>
      </c>
      <c r="U870" t="str">
        <f t="shared" si="364"/>
        <v>AZRAD UMAR BIN SHAARI</v>
      </c>
      <c r="V870" t="str">
        <f t="shared" si="365"/>
        <v>FARHANA BINTI MUSTAPA</v>
      </c>
      <c r="W870" t="str">
        <f t="shared" si="366"/>
        <v>04-08-2020</v>
      </c>
      <c r="X870" t="str">
        <f t="shared" si="367"/>
        <v>RAZIMAH ANSAR AHMAD</v>
      </c>
      <c r="Y870" t="str">
        <f t="shared" si="368"/>
        <v>04-08-2020</v>
      </c>
      <c r="Z870" t="str">
        <f>"COS10200804 8284"</f>
        <v>COS10200804 8284</v>
      </c>
    </row>
    <row r="871" spans="1:26" x14ac:dyDescent="0.25">
      <c r="A871" t="str">
        <f t="shared" si="372"/>
        <v>04-08-2020 01:11:00</v>
      </c>
      <c r="B871" t="str">
        <f>"0000810088"</f>
        <v>0000810088</v>
      </c>
      <c r="C871" t="str">
        <f t="shared" si="373"/>
        <v>0000810005</v>
      </c>
      <c r="D871" t="str">
        <f t="shared" si="356"/>
        <v>73185</v>
      </c>
      <c r="E871" t="str">
        <f t="shared" si="357"/>
        <v>KFH-OPERATIONS DEPARTMENT</v>
      </c>
      <c r="F871" t="str">
        <f t="shared" si="358"/>
        <v>IBG</v>
      </c>
      <c r="G871" t="str">
        <f t="shared" si="369"/>
        <v>Refund COSHARE 10</v>
      </c>
      <c r="H871" s="2">
        <v>251</v>
      </c>
      <c r="I871" t="str">
        <f>"ROS BINTI KIPLI"</f>
        <v>ROS BINTI KIPLI</v>
      </c>
      <c r="J871" t="str">
        <f t="shared" si="376"/>
        <v>PUBLIC BANK / PUBLIC ISLAMIC BANK</v>
      </c>
      <c r="K871" t="str">
        <f>"4936704514"</f>
        <v>4936704514</v>
      </c>
      <c r="L871" t="str">
        <f t="shared" si="374"/>
        <v>04-08-2020</v>
      </c>
      <c r="M871" t="str">
        <f t="shared" si="374"/>
        <v>04-08-2020</v>
      </c>
      <c r="N871" t="str">
        <f t="shared" si="359"/>
        <v>001105018356</v>
      </c>
      <c r="O871" t="str">
        <f t="shared" si="360"/>
        <v>MYR</v>
      </c>
      <c r="P871" t="str">
        <f t="shared" si="375"/>
        <v>NIL</v>
      </c>
      <c r="Q871" t="str">
        <f t="shared" si="375"/>
        <v>NIL</v>
      </c>
      <c r="R871" t="str">
        <f t="shared" si="361"/>
        <v>Accepted</v>
      </c>
      <c r="S871" t="str">
        <f t="shared" si="362"/>
        <v>Approved</v>
      </c>
      <c r="T871" t="str">
        <f t="shared" si="363"/>
        <v>10.20.8.188</v>
      </c>
      <c r="U871" t="str">
        <f t="shared" si="364"/>
        <v>AZRAD UMAR BIN SHAARI</v>
      </c>
      <c r="V871" t="str">
        <f t="shared" si="365"/>
        <v>FARHANA BINTI MUSTAPA</v>
      </c>
      <c r="W871" t="str">
        <f t="shared" si="366"/>
        <v>04-08-2020</v>
      </c>
      <c r="X871" t="str">
        <f t="shared" si="367"/>
        <v>RAZIMAH ANSAR AHMAD</v>
      </c>
      <c r="Y871" t="str">
        <f t="shared" si="368"/>
        <v>04-08-2020</v>
      </c>
      <c r="Z871" t="str">
        <f>"COS10200804 8283"</f>
        <v>COS10200804 8283</v>
      </c>
    </row>
    <row r="872" spans="1:26" x14ac:dyDescent="0.25">
      <c r="A872" t="str">
        <f t="shared" si="372"/>
        <v>04-08-2020 01:11:00</v>
      </c>
      <c r="B872" t="str">
        <f>"0000810087"</f>
        <v>0000810087</v>
      </c>
      <c r="C872" t="str">
        <f t="shared" si="373"/>
        <v>0000810005</v>
      </c>
      <c r="D872" t="str">
        <f t="shared" si="356"/>
        <v>73185</v>
      </c>
      <c r="E872" t="str">
        <f t="shared" si="357"/>
        <v>KFH-OPERATIONS DEPARTMENT</v>
      </c>
      <c r="F872" t="str">
        <f t="shared" si="358"/>
        <v>IBG</v>
      </c>
      <c r="G872" t="str">
        <f t="shared" si="369"/>
        <v>Refund COSHARE 10</v>
      </c>
      <c r="H872" s="2">
        <v>1429.8</v>
      </c>
      <c r="I872" t="str">
        <f>"RONI GARAU"</f>
        <v>RONI GARAU</v>
      </c>
      <c r="J872" t="str">
        <f t="shared" si="376"/>
        <v>PUBLIC BANK / PUBLIC ISLAMIC BANK</v>
      </c>
      <c r="K872" t="str">
        <f>"4368491827"</f>
        <v>4368491827</v>
      </c>
      <c r="L872" t="str">
        <f t="shared" si="374"/>
        <v>04-08-2020</v>
      </c>
      <c r="M872" t="str">
        <f t="shared" si="374"/>
        <v>04-08-2020</v>
      </c>
      <c r="N872" t="str">
        <f t="shared" si="359"/>
        <v>001105018356</v>
      </c>
      <c r="O872" t="str">
        <f t="shared" si="360"/>
        <v>MYR</v>
      </c>
      <c r="P872" t="str">
        <f t="shared" si="375"/>
        <v>NIL</v>
      </c>
      <c r="Q872" t="str">
        <f t="shared" si="375"/>
        <v>NIL</v>
      </c>
      <c r="R872" t="str">
        <f t="shared" si="361"/>
        <v>Accepted</v>
      </c>
      <c r="S872" t="str">
        <f t="shared" si="362"/>
        <v>Approved</v>
      </c>
      <c r="T872" t="str">
        <f t="shared" si="363"/>
        <v>10.20.8.188</v>
      </c>
      <c r="U872" t="str">
        <f t="shared" si="364"/>
        <v>AZRAD UMAR BIN SHAARI</v>
      </c>
      <c r="V872" t="str">
        <f t="shared" si="365"/>
        <v>FARHANA BINTI MUSTAPA</v>
      </c>
      <c r="W872" t="str">
        <f t="shared" si="366"/>
        <v>04-08-2020</v>
      </c>
      <c r="X872" t="str">
        <f t="shared" si="367"/>
        <v>RAZIMAH ANSAR AHMAD</v>
      </c>
      <c r="Y872" t="str">
        <f t="shared" si="368"/>
        <v>04-08-2020</v>
      </c>
      <c r="Z872" t="str">
        <f>"COS10200804 8282"</f>
        <v>COS10200804 8282</v>
      </c>
    </row>
    <row r="873" spans="1:26" x14ac:dyDescent="0.25">
      <c r="A873" t="str">
        <f t="shared" si="372"/>
        <v>04-08-2020 01:11:00</v>
      </c>
      <c r="B873" t="str">
        <f>"0000810086"</f>
        <v>0000810086</v>
      </c>
      <c r="C873" t="str">
        <f t="shared" si="373"/>
        <v>0000810005</v>
      </c>
      <c r="D873" t="str">
        <f t="shared" si="356"/>
        <v>73185</v>
      </c>
      <c r="E873" t="str">
        <f t="shared" si="357"/>
        <v>KFH-OPERATIONS DEPARTMENT</v>
      </c>
      <c r="F873" t="str">
        <f t="shared" si="358"/>
        <v>IBG</v>
      </c>
      <c r="G873" t="str">
        <f t="shared" si="369"/>
        <v>Refund COSHARE 10</v>
      </c>
      <c r="H873" s="2">
        <v>92.35</v>
      </c>
      <c r="I873" t="str">
        <f>"ROKIAH BINTI AMIN"</f>
        <v>ROKIAH BINTI AMIN</v>
      </c>
      <c r="J873" t="str">
        <f t="shared" si="376"/>
        <v>PUBLIC BANK / PUBLIC ISLAMIC BANK</v>
      </c>
      <c r="K873" t="str">
        <f>"4902026813"</f>
        <v>4902026813</v>
      </c>
      <c r="L873" t="str">
        <f t="shared" si="374"/>
        <v>04-08-2020</v>
      </c>
      <c r="M873" t="str">
        <f t="shared" si="374"/>
        <v>04-08-2020</v>
      </c>
      <c r="N873" t="str">
        <f t="shared" si="359"/>
        <v>001105018356</v>
      </c>
      <c r="O873" t="str">
        <f t="shared" si="360"/>
        <v>MYR</v>
      </c>
      <c r="P873" t="str">
        <f t="shared" si="375"/>
        <v>NIL</v>
      </c>
      <c r="Q873" t="str">
        <f t="shared" si="375"/>
        <v>NIL</v>
      </c>
      <c r="R873" t="str">
        <f t="shared" si="361"/>
        <v>Accepted</v>
      </c>
      <c r="S873" t="str">
        <f t="shared" si="362"/>
        <v>Approved</v>
      </c>
      <c r="T873" t="str">
        <f t="shared" si="363"/>
        <v>10.20.8.188</v>
      </c>
      <c r="U873" t="str">
        <f t="shared" si="364"/>
        <v>AZRAD UMAR BIN SHAARI</v>
      </c>
      <c r="V873" t="str">
        <f t="shared" si="365"/>
        <v>FARHANA BINTI MUSTAPA</v>
      </c>
      <c r="W873" t="str">
        <f t="shared" si="366"/>
        <v>04-08-2020</v>
      </c>
      <c r="X873" t="str">
        <f t="shared" si="367"/>
        <v>RAZIMAH ANSAR AHMAD</v>
      </c>
      <c r="Y873" t="str">
        <f t="shared" si="368"/>
        <v>04-08-2020</v>
      </c>
      <c r="Z873" t="str">
        <f>"COS10200804 8281"</f>
        <v>COS10200804 8281</v>
      </c>
    </row>
    <row r="874" spans="1:26" x14ac:dyDescent="0.25">
      <c r="A874" t="str">
        <f t="shared" si="372"/>
        <v>04-08-2020 01:11:00</v>
      </c>
      <c r="B874" t="str">
        <f>"0000810085"</f>
        <v>0000810085</v>
      </c>
      <c r="C874" t="str">
        <f t="shared" si="373"/>
        <v>0000810005</v>
      </c>
      <c r="D874" t="str">
        <f t="shared" si="356"/>
        <v>73185</v>
      </c>
      <c r="E874" t="str">
        <f t="shared" si="357"/>
        <v>KFH-OPERATIONS DEPARTMENT</v>
      </c>
      <c r="F874" t="str">
        <f t="shared" si="358"/>
        <v>IBG</v>
      </c>
      <c r="G874" t="str">
        <f t="shared" si="369"/>
        <v>Refund COSHARE 10</v>
      </c>
      <c r="H874" s="2">
        <v>248.4</v>
      </c>
      <c r="I874" t="str">
        <f>"ROHANITA BINTI MD TAHIR"</f>
        <v>ROHANITA BINTI MD TAHIR</v>
      </c>
      <c r="J874" t="str">
        <f t="shared" si="376"/>
        <v>PUBLIC BANK / PUBLIC ISLAMIC BANK</v>
      </c>
      <c r="K874" t="str">
        <f>"4219117307"</f>
        <v>4219117307</v>
      </c>
      <c r="L874" t="str">
        <f t="shared" si="374"/>
        <v>04-08-2020</v>
      </c>
      <c r="M874" t="str">
        <f t="shared" si="374"/>
        <v>04-08-2020</v>
      </c>
      <c r="N874" t="str">
        <f t="shared" si="359"/>
        <v>001105018356</v>
      </c>
      <c r="O874" t="str">
        <f t="shared" si="360"/>
        <v>MYR</v>
      </c>
      <c r="P874" t="str">
        <f t="shared" si="375"/>
        <v>NIL</v>
      </c>
      <c r="Q874" t="str">
        <f t="shared" si="375"/>
        <v>NIL</v>
      </c>
      <c r="R874" t="str">
        <f t="shared" si="361"/>
        <v>Accepted</v>
      </c>
      <c r="S874" t="str">
        <f t="shared" si="362"/>
        <v>Approved</v>
      </c>
      <c r="T874" t="str">
        <f t="shared" si="363"/>
        <v>10.20.8.188</v>
      </c>
      <c r="U874" t="str">
        <f t="shared" si="364"/>
        <v>AZRAD UMAR BIN SHAARI</v>
      </c>
      <c r="V874" t="str">
        <f t="shared" si="365"/>
        <v>FARHANA BINTI MUSTAPA</v>
      </c>
      <c r="W874" t="str">
        <f t="shared" si="366"/>
        <v>04-08-2020</v>
      </c>
      <c r="X874" t="str">
        <f t="shared" si="367"/>
        <v>RAZIMAH ANSAR AHMAD</v>
      </c>
      <c r="Y874" t="str">
        <f t="shared" si="368"/>
        <v>04-08-2020</v>
      </c>
      <c r="Z874" t="str">
        <f>"COS10200804 8280"</f>
        <v>COS10200804 8280</v>
      </c>
    </row>
    <row r="875" spans="1:26" x14ac:dyDescent="0.25">
      <c r="A875" t="str">
        <f t="shared" si="372"/>
        <v>04-08-2020 01:11:00</v>
      </c>
      <c r="B875" t="str">
        <f>"0000810084"</f>
        <v>0000810084</v>
      </c>
      <c r="C875" t="str">
        <f t="shared" si="373"/>
        <v>0000810005</v>
      </c>
      <c r="D875" t="str">
        <f t="shared" si="356"/>
        <v>73185</v>
      </c>
      <c r="E875" t="str">
        <f t="shared" si="357"/>
        <v>KFH-OPERATIONS DEPARTMENT</v>
      </c>
      <c r="F875" t="str">
        <f t="shared" si="358"/>
        <v>IBG</v>
      </c>
      <c r="G875" t="str">
        <f t="shared" si="369"/>
        <v>Refund COSHARE 10</v>
      </c>
      <c r="H875" s="2">
        <v>83.95</v>
      </c>
      <c r="I875" t="str">
        <f>"ROHANA BINTI ALIDDIN"</f>
        <v>ROHANA BINTI ALIDDIN</v>
      </c>
      <c r="J875" t="str">
        <f t="shared" si="376"/>
        <v>PUBLIC BANK / PUBLIC ISLAMIC BANK</v>
      </c>
      <c r="K875" t="str">
        <f>"4599898503"</f>
        <v>4599898503</v>
      </c>
      <c r="L875" t="str">
        <f t="shared" si="374"/>
        <v>04-08-2020</v>
      </c>
      <c r="M875" t="str">
        <f t="shared" si="374"/>
        <v>04-08-2020</v>
      </c>
      <c r="N875" t="str">
        <f t="shared" si="359"/>
        <v>001105018356</v>
      </c>
      <c r="O875" t="str">
        <f t="shared" si="360"/>
        <v>MYR</v>
      </c>
      <c r="P875" t="str">
        <f t="shared" si="375"/>
        <v>NIL</v>
      </c>
      <c r="Q875" t="str">
        <f t="shared" si="375"/>
        <v>NIL</v>
      </c>
      <c r="R875" t="str">
        <f t="shared" si="361"/>
        <v>Accepted</v>
      </c>
      <c r="S875" t="str">
        <f t="shared" si="362"/>
        <v>Approved</v>
      </c>
      <c r="T875" t="str">
        <f t="shared" si="363"/>
        <v>10.20.8.188</v>
      </c>
      <c r="U875" t="str">
        <f t="shared" si="364"/>
        <v>AZRAD UMAR BIN SHAARI</v>
      </c>
      <c r="V875" t="str">
        <f t="shared" si="365"/>
        <v>FARHANA BINTI MUSTAPA</v>
      </c>
      <c r="W875" t="str">
        <f t="shared" si="366"/>
        <v>04-08-2020</v>
      </c>
      <c r="X875" t="str">
        <f t="shared" si="367"/>
        <v>RAZIMAH ANSAR AHMAD</v>
      </c>
      <c r="Y875" t="str">
        <f t="shared" si="368"/>
        <v>04-08-2020</v>
      </c>
      <c r="Z875" t="str">
        <f>"COS10200804 8279"</f>
        <v>COS10200804 8279</v>
      </c>
    </row>
    <row r="876" spans="1:26" x14ac:dyDescent="0.25">
      <c r="A876" t="str">
        <f t="shared" si="372"/>
        <v>04-08-2020 01:11:00</v>
      </c>
      <c r="B876" t="str">
        <f>"0000810083"</f>
        <v>0000810083</v>
      </c>
      <c r="C876" t="str">
        <f t="shared" si="373"/>
        <v>0000810005</v>
      </c>
      <c r="D876" t="str">
        <f t="shared" si="356"/>
        <v>73185</v>
      </c>
      <c r="E876" t="str">
        <f t="shared" si="357"/>
        <v>KFH-OPERATIONS DEPARTMENT</v>
      </c>
      <c r="F876" t="str">
        <f t="shared" si="358"/>
        <v>IBG</v>
      </c>
      <c r="G876" t="str">
        <f t="shared" si="369"/>
        <v>Refund COSHARE 10</v>
      </c>
      <c r="H876" s="2">
        <v>134.35</v>
      </c>
      <c r="I876" t="str">
        <f>"RICKY BIN TUMBIL"</f>
        <v>RICKY BIN TUMBIL</v>
      </c>
      <c r="J876" t="str">
        <f t="shared" si="376"/>
        <v>PUBLIC BANK / PUBLIC ISLAMIC BANK</v>
      </c>
      <c r="K876" t="str">
        <f>"4457226810"</f>
        <v>4457226810</v>
      </c>
      <c r="L876" t="str">
        <f t="shared" si="374"/>
        <v>04-08-2020</v>
      </c>
      <c r="M876" t="str">
        <f t="shared" si="374"/>
        <v>04-08-2020</v>
      </c>
      <c r="N876" t="str">
        <f t="shared" si="359"/>
        <v>001105018356</v>
      </c>
      <c r="O876" t="str">
        <f t="shared" si="360"/>
        <v>MYR</v>
      </c>
      <c r="P876" t="str">
        <f t="shared" si="375"/>
        <v>NIL</v>
      </c>
      <c r="Q876" t="str">
        <f t="shared" si="375"/>
        <v>NIL</v>
      </c>
      <c r="R876" t="str">
        <f t="shared" si="361"/>
        <v>Accepted</v>
      </c>
      <c r="S876" t="str">
        <f t="shared" si="362"/>
        <v>Approved</v>
      </c>
      <c r="T876" t="str">
        <f t="shared" si="363"/>
        <v>10.20.8.188</v>
      </c>
      <c r="U876" t="str">
        <f t="shared" si="364"/>
        <v>AZRAD UMAR BIN SHAARI</v>
      </c>
      <c r="V876" t="str">
        <f t="shared" si="365"/>
        <v>FARHANA BINTI MUSTAPA</v>
      </c>
      <c r="W876" t="str">
        <f t="shared" si="366"/>
        <v>04-08-2020</v>
      </c>
      <c r="X876" t="str">
        <f t="shared" si="367"/>
        <v>RAZIMAH ANSAR AHMAD</v>
      </c>
      <c r="Y876" t="str">
        <f t="shared" si="368"/>
        <v>04-08-2020</v>
      </c>
      <c r="Z876" t="str">
        <f>"COS10200804 8278"</f>
        <v>COS10200804 8278</v>
      </c>
    </row>
    <row r="877" spans="1:26" x14ac:dyDescent="0.25">
      <c r="A877" t="str">
        <f t="shared" si="372"/>
        <v>04-08-2020 01:11:00</v>
      </c>
      <c r="B877" t="str">
        <f>"0000810082"</f>
        <v>0000810082</v>
      </c>
      <c r="C877" t="str">
        <f t="shared" si="373"/>
        <v>0000810005</v>
      </c>
      <c r="D877" t="str">
        <f t="shared" si="356"/>
        <v>73185</v>
      </c>
      <c r="E877" t="str">
        <f t="shared" si="357"/>
        <v>KFH-OPERATIONS DEPARTMENT</v>
      </c>
      <c r="F877" t="str">
        <f t="shared" si="358"/>
        <v>IBG</v>
      </c>
      <c r="G877" t="str">
        <f t="shared" si="369"/>
        <v>Refund COSHARE 10</v>
      </c>
      <c r="H877" s="2">
        <v>680</v>
      </c>
      <c r="I877" t="str">
        <f>"RAMDHAN DZULFIKAR BIN SAID RASUL"</f>
        <v>RAMDHAN DZULFIKAR BIN SAID RASUL</v>
      </c>
      <c r="J877" t="str">
        <f t="shared" si="376"/>
        <v>PUBLIC BANK / PUBLIC ISLAMIC BANK</v>
      </c>
      <c r="K877" t="str">
        <f>"4471743121"</f>
        <v>4471743121</v>
      </c>
      <c r="L877" t="str">
        <f t="shared" si="374"/>
        <v>04-08-2020</v>
      </c>
      <c r="M877" t="str">
        <f t="shared" si="374"/>
        <v>04-08-2020</v>
      </c>
      <c r="N877" t="str">
        <f t="shared" si="359"/>
        <v>001105018356</v>
      </c>
      <c r="O877" t="str">
        <f t="shared" si="360"/>
        <v>MYR</v>
      </c>
      <c r="P877" t="str">
        <f t="shared" si="375"/>
        <v>NIL</v>
      </c>
      <c r="Q877" t="str">
        <f t="shared" si="375"/>
        <v>NIL</v>
      </c>
      <c r="R877" t="str">
        <f t="shared" si="361"/>
        <v>Accepted</v>
      </c>
      <c r="S877" t="str">
        <f t="shared" si="362"/>
        <v>Approved</v>
      </c>
      <c r="T877" t="str">
        <f t="shared" si="363"/>
        <v>10.20.8.188</v>
      </c>
      <c r="U877" t="str">
        <f t="shared" si="364"/>
        <v>AZRAD UMAR BIN SHAARI</v>
      </c>
      <c r="V877" t="str">
        <f t="shared" si="365"/>
        <v>FARHANA BINTI MUSTAPA</v>
      </c>
      <c r="W877" t="str">
        <f t="shared" si="366"/>
        <v>04-08-2020</v>
      </c>
      <c r="X877" t="str">
        <f t="shared" si="367"/>
        <v>RAZIMAH ANSAR AHMAD</v>
      </c>
      <c r="Y877" t="str">
        <f t="shared" si="368"/>
        <v>04-08-2020</v>
      </c>
      <c r="Z877" t="str">
        <f>"COS10200804 8277"</f>
        <v>COS10200804 8277</v>
      </c>
    </row>
    <row r="878" spans="1:26" x14ac:dyDescent="0.25">
      <c r="A878" t="str">
        <f t="shared" si="372"/>
        <v>04-08-2020 01:11:00</v>
      </c>
      <c r="B878" t="str">
        <f>"0000810081"</f>
        <v>0000810081</v>
      </c>
      <c r="C878" t="str">
        <f t="shared" si="373"/>
        <v>0000810005</v>
      </c>
      <c r="D878" t="str">
        <f t="shared" si="356"/>
        <v>73185</v>
      </c>
      <c r="E878" t="str">
        <f t="shared" si="357"/>
        <v>KFH-OPERATIONS DEPARTMENT</v>
      </c>
      <c r="F878" t="str">
        <f t="shared" si="358"/>
        <v>IBG</v>
      </c>
      <c r="G878" t="str">
        <f t="shared" si="369"/>
        <v>Refund COSHARE 10</v>
      </c>
      <c r="H878" s="2">
        <v>1685.35</v>
      </c>
      <c r="I878" t="str">
        <f>"RAJA SHUKRI BIN RAJA JUSOH"</f>
        <v>RAJA SHUKRI BIN RAJA JUSOH</v>
      </c>
      <c r="J878" t="str">
        <f t="shared" si="376"/>
        <v>PUBLIC BANK / PUBLIC ISLAMIC BANK</v>
      </c>
      <c r="K878" t="str">
        <f>"4865022009"</f>
        <v>4865022009</v>
      </c>
      <c r="L878" t="str">
        <f t="shared" si="374"/>
        <v>04-08-2020</v>
      </c>
      <c r="M878" t="str">
        <f t="shared" si="374"/>
        <v>04-08-2020</v>
      </c>
      <c r="N878" t="str">
        <f t="shared" si="359"/>
        <v>001105018356</v>
      </c>
      <c r="O878" t="str">
        <f t="shared" si="360"/>
        <v>MYR</v>
      </c>
      <c r="P878" t="str">
        <f t="shared" si="375"/>
        <v>NIL</v>
      </c>
      <c r="Q878" t="str">
        <f t="shared" si="375"/>
        <v>NIL</v>
      </c>
      <c r="R878" t="str">
        <f t="shared" si="361"/>
        <v>Accepted</v>
      </c>
      <c r="S878" t="str">
        <f t="shared" si="362"/>
        <v>Approved</v>
      </c>
      <c r="T878" t="str">
        <f t="shared" si="363"/>
        <v>10.20.8.188</v>
      </c>
      <c r="U878" t="str">
        <f t="shared" si="364"/>
        <v>AZRAD UMAR BIN SHAARI</v>
      </c>
      <c r="V878" t="str">
        <f t="shared" si="365"/>
        <v>FARHANA BINTI MUSTAPA</v>
      </c>
      <c r="W878" t="str">
        <f t="shared" si="366"/>
        <v>04-08-2020</v>
      </c>
      <c r="X878" t="str">
        <f t="shared" si="367"/>
        <v>RAZIMAH ANSAR AHMAD</v>
      </c>
      <c r="Y878" t="str">
        <f t="shared" si="368"/>
        <v>04-08-2020</v>
      </c>
      <c r="Z878" t="str">
        <f>"COS10200804 8276"</f>
        <v>COS10200804 8276</v>
      </c>
    </row>
    <row r="879" spans="1:26" x14ac:dyDescent="0.25">
      <c r="A879" t="str">
        <f t="shared" si="372"/>
        <v>04-08-2020 01:11:00</v>
      </c>
      <c r="B879" t="str">
        <f>"0000810080"</f>
        <v>0000810080</v>
      </c>
      <c r="C879" t="str">
        <f t="shared" si="373"/>
        <v>0000810005</v>
      </c>
      <c r="D879" t="str">
        <f t="shared" si="356"/>
        <v>73185</v>
      </c>
      <c r="E879" t="str">
        <f t="shared" si="357"/>
        <v>KFH-OPERATIONS DEPARTMENT</v>
      </c>
      <c r="F879" t="str">
        <f t="shared" si="358"/>
        <v>IBG</v>
      </c>
      <c r="G879" t="str">
        <f t="shared" si="369"/>
        <v>Refund COSHARE 10</v>
      </c>
      <c r="H879" s="2">
        <v>137</v>
      </c>
      <c r="I879" t="str">
        <f>"RAIHA BINTI RAMAT"</f>
        <v>RAIHA BINTI RAMAT</v>
      </c>
      <c r="J879" t="str">
        <f t="shared" si="376"/>
        <v>PUBLIC BANK / PUBLIC ISLAMIC BANK</v>
      </c>
      <c r="K879" t="str">
        <f>"4558589120"</f>
        <v>4558589120</v>
      </c>
      <c r="L879" t="str">
        <f t="shared" si="374"/>
        <v>04-08-2020</v>
      </c>
      <c r="M879" t="str">
        <f t="shared" si="374"/>
        <v>04-08-2020</v>
      </c>
      <c r="N879" t="str">
        <f t="shared" si="359"/>
        <v>001105018356</v>
      </c>
      <c r="O879" t="str">
        <f t="shared" si="360"/>
        <v>MYR</v>
      </c>
      <c r="P879" t="str">
        <f t="shared" si="375"/>
        <v>NIL</v>
      </c>
      <c r="Q879" t="str">
        <f t="shared" si="375"/>
        <v>NIL</v>
      </c>
      <c r="R879" t="str">
        <f t="shared" si="361"/>
        <v>Accepted</v>
      </c>
      <c r="S879" t="str">
        <f t="shared" si="362"/>
        <v>Approved</v>
      </c>
      <c r="T879" t="str">
        <f t="shared" si="363"/>
        <v>10.20.8.188</v>
      </c>
      <c r="U879" t="str">
        <f t="shared" si="364"/>
        <v>AZRAD UMAR BIN SHAARI</v>
      </c>
      <c r="V879" t="str">
        <f t="shared" si="365"/>
        <v>FARHANA BINTI MUSTAPA</v>
      </c>
      <c r="W879" t="str">
        <f t="shared" si="366"/>
        <v>04-08-2020</v>
      </c>
      <c r="X879" t="str">
        <f t="shared" si="367"/>
        <v>RAZIMAH ANSAR AHMAD</v>
      </c>
      <c r="Y879" t="str">
        <f t="shared" si="368"/>
        <v>04-08-2020</v>
      </c>
      <c r="Z879" t="str">
        <f>"COS10200804 8275"</f>
        <v>COS10200804 8275</v>
      </c>
    </row>
    <row r="880" spans="1:26" x14ac:dyDescent="0.25">
      <c r="A880" t="str">
        <f t="shared" si="372"/>
        <v>04-08-2020 01:11:00</v>
      </c>
      <c r="B880" t="str">
        <f>"0000810079"</f>
        <v>0000810079</v>
      </c>
      <c r="C880" t="str">
        <f t="shared" si="373"/>
        <v>0000810005</v>
      </c>
      <c r="D880" t="str">
        <f t="shared" si="356"/>
        <v>73185</v>
      </c>
      <c r="E880" t="str">
        <f t="shared" si="357"/>
        <v>KFH-OPERATIONS DEPARTMENT</v>
      </c>
      <c r="F880" t="str">
        <f t="shared" si="358"/>
        <v>IBG</v>
      </c>
      <c r="G880" t="str">
        <f t="shared" si="369"/>
        <v>Refund COSHARE 10</v>
      </c>
      <c r="H880" s="2">
        <v>125.95</v>
      </c>
      <c r="I880" t="str">
        <f>"RAIHA BINTI RAMAT"</f>
        <v>RAIHA BINTI RAMAT</v>
      </c>
      <c r="J880" t="str">
        <f t="shared" si="376"/>
        <v>PUBLIC BANK / PUBLIC ISLAMIC BANK</v>
      </c>
      <c r="K880" t="str">
        <f>"4558589120"</f>
        <v>4558589120</v>
      </c>
      <c r="L880" t="str">
        <f t="shared" si="374"/>
        <v>04-08-2020</v>
      </c>
      <c r="M880" t="str">
        <f t="shared" si="374"/>
        <v>04-08-2020</v>
      </c>
      <c r="N880" t="str">
        <f t="shared" si="359"/>
        <v>001105018356</v>
      </c>
      <c r="O880" t="str">
        <f t="shared" si="360"/>
        <v>MYR</v>
      </c>
      <c r="P880" t="str">
        <f t="shared" si="375"/>
        <v>NIL</v>
      </c>
      <c r="Q880" t="str">
        <f t="shared" si="375"/>
        <v>NIL</v>
      </c>
      <c r="R880" t="str">
        <f t="shared" si="361"/>
        <v>Accepted</v>
      </c>
      <c r="S880" t="str">
        <f t="shared" si="362"/>
        <v>Approved</v>
      </c>
      <c r="T880" t="str">
        <f t="shared" si="363"/>
        <v>10.20.8.188</v>
      </c>
      <c r="U880" t="str">
        <f t="shared" si="364"/>
        <v>AZRAD UMAR BIN SHAARI</v>
      </c>
      <c r="V880" t="str">
        <f t="shared" si="365"/>
        <v>FARHANA BINTI MUSTAPA</v>
      </c>
      <c r="W880" t="str">
        <f t="shared" si="366"/>
        <v>04-08-2020</v>
      </c>
      <c r="X880" t="str">
        <f t="shared" si="367"/>
        <v>RAZIMAH ANSAR AHMAD</v>
      </c>
      <c r="Y880" t="str">
        <f t="shared" si="368"/>
        <v>04-08-2020</v>
      </c>
      <c r="Z880" t="str">
        <f>"COS10200804 8274"</f>
        <v>COS10200804 8274</v>
      </c>
    </row>
    <row r="881" spans="1:26" x14ac:dyDescent="0.25">
      <c r="A881" t="str">
        <f t="shared" si="372"/>
        <v>04-08-2020 01:11:00</v>
      </c>
      <c r="B881" t="str">
        <f>"0000810078"</f>
        <v>0000810078</v>
      </c>
      <c r="C881" t="str">
        <f t="shared" si="373"/>
        <v>0000810005</v>
      </c>
      <c r="D881" t="str">
        <f t="shared" si="356"/>
        <v>73185</v>
      </c>
      <c r="E881" t="str">
        <f t="shared" si="357"/>
        <v>KFH-OPERATIONS DEPARTMENT</v>
      </c>
      <c r="F881" t="str">
        <f t="shared" si="358"/>
        <v>IBG</v>
      </c>
      <c r="G881" t="str">
        <f t="shared" si="369"/>
        <v>Refund COSHARE 10</v>
      </c>
      <c r="H881" s="2">
        <v>254.1</v>
      </c>
      <c r="I881" t="str">
        <f>"RAHIMAH BINTI AMIN"</f>
        <v>RAHIMAH BINTI AMIN</v>
      </c>
      <c r="J881" t="str">
        <f t="shared" si="376"/>
        <v>PUBLIC BANK / PUBLIC ISLAMIC BANK</v>
      </c>
      <c r="K881" t="str">
        <f>"4083242722"</f>
        <v>4083242722</v>
      </c>
      <c r="L881" t="str">
        <f t="shared" si="374"/>
        <v>04-08-2020</v>
      </c>
      <c r="M881" t="str">
        <f t="shared" si="374"/>
        <v>04-08-2020</v>
      </c>
      <c r="N881" t="str">
        <f t="shared" si="359"/>
        <v>001105018356</v>
      </c>
      <c r="O881" t="str">
        <f t="shared" si="360"/>
        <v>MYR</v>
      </c>
      <c r="P881" t="str">
        <f t="shared" si="375"/>
        <v>NIL</v>
      </c>
      <c r="Q881" t="str">
        <f t="shared" si="375"/>
        <v>NIL</v>
      </c>
      <c r="R881" t="str">
        <f t="shared" si="361"/>
        <v>Accepted</v>
      </c>
      <c r="S881" t="str">
        <f t="shared" si="362"/>
        <v>Approved</v>
      </c>
      <c r="T881" t="str">
        <f t="shared" si="363"/>
        <v>10.20.8.188</v>
      </c>
      <c r="U881" t="str">
        <f t="shared" si="364"/>
        <v>AZRAD UMAR BIN SHAARI</v>
      </c>
      <c r="V881" t="str">
        <f t="shared" si="365"/>
        <v>FARHANA BINTI MUSTAPA</v>
      </c>
      <c r="W881" t="str">
        <f t="shared" si="366"/>
        <v>04-08-2020</v>
      </c>
      <c r="X881" t="str">
        <f t="shared" si="367"/>
        <v>RAZIMAH ANSAR AHMAD</v>
      </c>
      <c r="Y881" t="str">
        <f t="shared" si="368"/>
        <v>04-08-2020</v>
      </c>
      <c r="Z881" t="str">
        <f>"COS10200804 8273"</f>
        <v>COS10200804 8273</v>
      </c>
    </row>
    <row r="882" spans="1:26" x14ac:dyDescent="0.25">
      <c r="A882" t="str">
        <f t="shared" ref="A882:A913" si="377">"04-08-2020 01:11:00"</f>
        <v>04-08-2020 01:11:00</v>
      </c>
      <c r="B882" t="str">
        <f>"0000810077"</f>
        <v>0000810077</v>
      </c>
      <c r="C882" t="str">
        <f t="shared" ref="C882:C913" si="378">"0000810005"</f>
        <v>0000810005</v>
      </c>
      <c r="D882" t="str">
        <f t="shared" si="356"/>
        <v>73185</v>
      </c>
      <c r="E882" t="str">
        <f t="shared" si="357"/>
        <v>KFH-OPERATIONS DEPARTMENT</v>
      </c>
      <c r="F882" t="str">
        <f t="shared" si="358"/>
        <v>IBG</v>
      </c>
      <c r="G882" t="str">
        <f t="shared" si="369"/>
        <v>Refund COSHARE 10</v>
      </c>
      <c r="H882" s="2">
        <v>621.25</v>
      </c>
      <c r="I882" t="str">
        <f>"RAFIDI BIN ABDUL HAMID"</f>
        <v>RAFIDI BIN ABDUL HAMID</v>
      </c>
      <c r="J882" t="str">
        <f t="shared" si="376"/>
        <v>PUBLIC BANK / PUBLIC ISLAMIC BANK</v>
      </c>
      <c r="K882" t="str">
        <f>"4529409211"</f>
        <v>4529409211</v>
      </c>
      <c r="L882" t="str">
        <f t="shared" si="374"/>
        <v>04-08-2020</v>
      </c>
      <c r="M882" t="str">
        <f t="shared" si="374"/>
        <v>04-08-2020</v>
      </c>
      <c r="N882" t="str">
        <f t="shared" si="359"/>
        <v>001105018356</v>
      </c>
      <c r="O882" t="str">
        <f t="shared" si="360"/>
        <v>MYR</v>
      </c>
      <c r="P882" t="str">
        <f t="shared" si="375"/>
        <v>NIL</v>
      </c>
      <c r="Q882" t="str">
        <f t="shared" si="375"/>
        <v>NIL</v>
      </c>
      <c r="R882" t="str">
        <f t="shared" si="361"/>
        <v>Accepted</v>
      </c>
      <c r="S882" t="str">
        <f t="shared" si="362"/>
        <v>Approved</v>
      </c>
      <c r="T882" t="str">
        <f t="shared" si="363"/>
        <v>10.20.8.188</v>
      </c>
      <c r="U882" t="str">
        <f t="shared" si="364"/>
        <v>AZRAD UMAR BIN SHAARI</v>
      </c>
      <c r="V882" t="str">
        <f t="shared" si="365"/>
        <v>FARHANA BINTI MUSTAPA</v>
      </c>
      <c r="W882" t="str">
        <f t="shared" si="366"/>
        <v>04-08-2020</v>
      </c>
      <c r="X882" t="str">
        <f t="shared" si="367"/>
        <v>RAZIMAH ANSAR AHMAD</v>
      </c>
      <c r="Y882" t="str">
        <f t="shared" si="368"/>
        <v>04-08-2020</v>
      </c>
      <c r="Z882" t="str">
        <f>"COS10200804 8272"</f>
        <v>COS10200804 8272</v>
      </c>
    </row>
    <row r="883" spans="1:26" x14ac:dyDescent="0.25">
      <c r="A883" t="str">
        <f t="shared" si="377"/>
        <v>04-08-2020 01:11:00</v>
      </c>
      <c r="B883" t="str">
        <f>"0000810076"</f>
        <v>0000810076</v>
      </c>
      <c r="C883" t="str">
        <f t="shared" si="378"/>
        <v>0000810005</v>
      </c>
      <c r="D883" t="str">
        <f t="shared" si="356"/>
        <v>73185</v>
      </c>
      <c r="E883" t="str">
        <f t="shared" si="357"/>
        <v>KFH-OPERATIONS DEPARTMENT</v>
      </c>
      <c r="F883" t="str">
        <f t="shared" si="358"/>
        <v>IBG</v>
      </c>
      <c r="G883" t="str">
        <f t="shared" si="369"/>
        <v>Refund COSHARE 10</v>
      </c>
      <c r="H883" s="2">
        <v>621.25</v>
      </c>
      <c r="I883" t="str">
        <f>"RAFIDI BIN ABDUL HAMID"</f>
        <v>RAFIDI BIN ABDUL HAMID</v>
      </c>
      <c r="J883" t="str">
        <f t="shared" si="376"/>
        <v>PUBLIC BANK / PUBLIC ISLAMIC BANK</v>
      </c>
      <c r="K883" t="str">
        <f>"4529409211"</f>
        <v>4529409211</v>
      </c>
      <c r="L883" t="str">
        <f t="shared" si="374"/>
        <v>04-08-2020</v>
      </c>
      <c r="M883" t="str">
        <f t="shared" si="374"/>
        <v>04-08-2020</v>
      </c>
      <c r="N883" t="str">
        <f t="shared" si="359"/>
        <v>001105018356</v>
      </c>
      <c r="O883" t="str">
        <f t="shared" si="360"/>
        <v>MYR</v>
      </c>
      <c r="P883" t="str">
        <f t="shared" si="375"/>
        <v>NIL</v>
      </c>
      <c r="Q883" t="str">
        <f t="shared" si="375"/>
        <v>NIL</v>
      </c>
      <c r="R883" t="str">
        <f t="shared" si="361"/>
        <v>Accepted</v>
      </c>
      <c r="S883" t="str">
        <f t="shared" si="362"/>
        <v>Approved</v>
      </c>
      <c r="T883" t="str">
        <f t="shared" si="363"/>
        <v>10.20.8.188</v>
      </c>
      <c r="U883" t="str">
        <f t="shared" si="364"/>
        <v>AZRAD UMAR BIN SHAARI</v>
      </c>
      <c r="V883" t="str">
        <f t="shared" si="365"/>
        <v>FARHANA BINTI MUSTAPA</v>
      </c>
      <c r="W883" t="str">
        <f t="shared" si="366"/>
        <v>04-08-2020</v>
      </c>
      <c r="X883" t="str">
        <f t="shared" si="367"/>
        <v>RAZIMAH ANSAR AHMAD</v>
      </c>
      <c r="Y883" t="str">
        <f t="shared" si="368"/>
        <v>04-08-2020</v>
      </c>
      <c r="Z883" t="str">
        <f>"COS10200804 8271"</f>
        <v>COS10200804 8271</v>
      </c>
    </row>
    <row r="884" spans="1:26" x14ac:dyDescent="0.25">
      <c r="A884" t="str">
        <f t="shared" si="377"/>
        <v>04-08-2020 01:11:00</v>
      </c>
      <c r="B884" t="str">
        <f>"0000810075"</f>
        <v>0000810075</v>
      </c>
      <c r="C884" t="str">
        <f t="shared" si="378"/>
        <v>0000810005</v>
      </c>
      <c r="D884" t="str">
        <f t="shared" si="356"/>
        <v>73185</v>
      </c>
      <c r="E884" t="str">
        <f t="shared" si="357"/>
        <v>KFH-OPERATIONS DEPARTMENT</v>
      </c>
      <c r="F884" t="str">
        <f t="shared" si="358"/>
        <v>IBG</v>
      </c>
      <c r="G884" t="str">
        <f t="shared" si="369"/>
        <v>Refund COSHARE 10</v>
      </c>
      <c r="H884" s="2">
        <v>503.7</v>
      </c>
      <c r="I884" t="str">
        <f>"RAFHAN BIN KEPLI"</f>
        <v>RAFHAN BIN KEPLI</v>
      </c>
      <c r="J884" t="str">
        <f t="shared" si="376"/>
        <v>PUBLIC BANK / PUBLIC ISLAMIC BANK</v>
      </c>
      <c r="K884" t="str">
        <f>"4733791021"</f>
        <v>4733791021</v>
      </c>
      <c r="L884" t="str">
        <f t="shared" si="374"/>
        <v>04-08-2020</v>
      </c>
      <c r="M884" t="str">
        <f t="shared" si="374"/>
        <v>04-08-2020</v>
      </c>
      <c r="N884" t="str">
        <f t="shared" si="359"/>
        <v>001105018356</v>
      </c>
      <c r="O884" t="str">
        <f t="shared" si="360"/>
        <v>MYR</v>
      </c>
      <c r="P884" t="str">
        <f t="shared" si="375"/>
        <v>NIL</v>
      </c>
      <c r="Q884" t="str">
        <f t="shared" si="375"/>
        <v>NIL</v>
      </c>
      <c r="R884" t="str">
        <f t="shared" si="361"/>
        <v>Accepted</v>
      </c>
      <c r="S884" t="str">
        <f t="shared" si="362"/>
        <v>Approved</v>
      </c>
      <c r="T884" t="str">
        <f t="shared" si="363"/>
        <v>10.20.8.188</v>
      </c>
      <c r="U884" t="str">
        <f t="shared" si="364"/>
        <v>AZRAD UMAR BIN SHAARI</v>
      </c>
      <c r="V884" t="str">
        <f t="shared" si="365"/>
        <v>FARHANA BINTI MUSTAPA</v>
      </c>
      <c r="W884" t="str">
        <f t="shared" si="366"/>
        <v>04-08-2020</v>
      </c>
      <c r="X884" t="str">
        <f t="shared" si="367"/>
        <v>RAZIMAH ANSAR AHMAD</v>
      </c>
      <c r="Y884" t="str">
        <f t="shared" si="368"/>
        <v>04-08-2020</v>
      </c>
      <c r="Z884" t="str">
        <f>"COS10200804 8270"</f>
        <v>COS10200804 8270</v>
      </c>
    </row>
    <row r="885" spans="1:26" x14ac:dyDescent="0.25">
      <c r="A885" t="str">
        <f t="shared" si="377"/>
        <v>04-08-2020 01:11:00</v>
      </c>
      <c r="B885" t="str">
        <f>"0000810074"</f>
        <v>0000810074</v>
      </c>
      <c r="C885" t="str">
        <f t="shared" si="378"/>
        <v>0000810005</v>
      </c>
      <c r="D885" t="str">
        <f t="shared" si="356"/>
        <v>73185</v>
      </c>
      <c r="E885" t="str">
        <f t="shared" si="357"/>
        <v>KFH-OPERATIONS DEPARTMENT</v>
      </c>
      <c r="F885" t="str">
        <f t="shared" si="358"/>
        <v>IBG</v>
      </c>
      <c r="G885" t="str">
        <f t="shared" si="369"/>
        <v>Refund COSHARE 10</v>
      </c>
      <c r="H885" s="2">
        <v>1391.8</v>
      </c>
      <c r="I885" t="str">
        <f>"RADZIAH BINTI HASHIM"</f>
        <v>RADZIAH BINTI HASHIM</v>
      </c>
      <c r="J885" t="str">
        <f t="shared" si="376"/>
        <v>PUBLIC BANK / PUBLIC ISLAMIC BANK</v>
      </c>
      <c r="K885" t="str">
        <f>"4112820331"</f>
        <v>4112820331</v>
      </c>
      <c r="L885" t="str">
        <f t="shared" si="374"/>
        <v>04-08-2020</v>
      </c>
      <c r="M885" t="str">
        <f t="shared" si="374"/>
        <v>04-08-2020</v>
      </c>
      <c r="N885" t="str">
        <f t="shared" si="359"/>
        <v>001105018356</v>
      </c>
      <c r="O885" t="str">
        <f t="shared" si="360"/>
        <v>MYR</v>
      </c>
      <c r="P885" t="str">
        <f t="shared" si="375"/>
        <v>NIL</v>
      </c>
      <c r="Q885" t="str">
        <f t="shared" si="375"/>
        <v>NIL</v>
      </c>
      <c r="R885" t="str">
        <f t="shared" si="361"/>
        <v>Accepted</v>
      </c>
      <c r="S885" t="str">
        <f t="shared" si="362"/>
        <v>Approved</v>
      </c>
      <c r="T885" t="str">
        <f t="shared" si="363"/>
        <v>10.20.8.188</v>
      </c>
      <c r="U885" t="str">
        <f t="shared" si="364"/>
        <v>AZRAD UMAR BIN SHAARI</v>
      </c>
      <c r="V885" t="str">
        <f t="shared" si="365"/>
        <v>FARHANA BINTI MUSTAPA</v>
      </c>
      <c r="W885" t="str">
        <f t="shared" si="366"/>
        <v>04-08-2020</v>
      </c>
      <c r="X885" t="str">
        <f t="shared" si="367"/>
        <v>RAZIMAH ANSAR AHMAD</v>
      </c>
      <c r="Y885" t="str">
        <f t="shared" si="368"/>
        <v>04-08-2020</v>
      </c>
      <c r="Z885" t="str">
        <f>"COS10200804 8269"</f>
        <v>COS10200804 8269</v>
      </c>
    </row>
    <row r="886" spans="1:26" x14ac:dyDescent="0.25">
      <c r="A886" t="str">
        <f t="shared" si="377"/>
        <v>04-08-2020 01:11:00</v>
      </c>
      <c r="B886" t="str">
        <f>"0000810073"</f>
        <v>0000810073</v>
      </c>
      <c r="C886" t="str">
        <f t="shared" si="378"/>
        <v>0000810005</v>
      </c>
      <c r="D886" t="str">
        <f t="shared" si="356"/>
        <v>73185</v>
      </c>
      <c r="E886" t="str">
        <f t="shared" si="357"/>
        <v>KFH-OPERATIONS DEPARTMENT</v>
      </c>
      <c r="F886" t="str">
        <f t="shared" si="358"/>
        <v>IBG</v>
      </c>
      <c r="G886" t="str">
        <f t="shared" si="369"/>
        <v>Refund COSHARE 10</v>
      </c>
      <c r="H886" s="2">
        <v>663.2</v>
      </c>
      <c r="I886" t="str">
        <f>"RADIN NURULHUDA BT RADIN IMAM RAZALI"</f>
        <v>RADIN NURULHUDA BT RADIN IMAM RAZALI</v>
      </c>
      <c r="J886" t="str">
        <f t="shared" si="376"/>
        <v>PUBLIC BANK / PUBLIC ISLAMIC BANK</v>
      </c>
      <c r="K886" t="str">
        <f>"4830974115"</f>
        <v>4830974115</v>
      </c>
      <c r="L886" t="str">
        <f t="shared" si="374"/>
        <v>04-08-2020</v>
      </c>
      <c r="M886" t="str">
        <f t="shared" si="374"/>
        <v>04-08-2020</v>
      </c>
      <c r="N886" t="str">
        <f t="shared" si="359"/>
        <v>001105018356</v>
      </c>
      <c r="O886" t="str">
        <f t="shared" si="360"/>
        <v>MYR</v>
      </c>
      <c r="P886" t="str">
        <f t="shared" si="375"/>
        <v>NIL</v>
      </c>
      <c r="Q886" t="str">
        <f t="shared" si="375"/>
        <v>NIL</v>
      </c>
      <c r="R886" t="str">
        <f t="shared" si="361"/>
        <v>Accepted</v>
      </c>
      <c r="S886" t="str">
        <f t="shared" si="362"/>
        <v>Approved</v>
      </c>
      <c r="T886" t="str">
        <f t="shared" si="363"/>
        <v>10.20.8.188</v>
      </c>
      <c r="U886" t="str">
        <f t="shared" si="364"/>
        <v>AZRAD UMAR BIN SHAARI</v>
      </c>
      <c r="V886" t="str">
        <f t="shared" si="365"/>
        <v>FARHANA BINTI MUSTAPA</v>
      </c>
      <c r="W886" t="str">
        <f t="shared" si="366"/>
        <v>04-08-2020</v>
      </c>
      <c r="X886" t="str">
        <f t="shared" si="367"/>
        <v>RAZIMAH ANSAR AHMAD</v>
      </c>
      <c r="Y886" t="str">
        <f t="shared" si="368"/>
        <v>04-08-2020</v>
      </c>
      <c r="Z886" t="str">
        <f>"COS10200804 8268"</f>
        <v>COS10200804 8268</v>
      </c>
    </row>
    <row r="887" spans="1:26" x14ac:dyDescent="0.25">
      <c r="A887" t="str">
        <f t="shared" si="377"/>
        <v>04-08-2020 01:11:00</v>
      </c>
      <c r="B887" t="str">
        <f>"0000810072"</f>
        <v>0000810072</v>
      </c>
      <c r="C887" t="str">
        <f t="shared" si="378"/>
        <v>0000810005</v>
      </c>
      <c r="D887" t="str">
        <f t="shared" si="356"/>
        <v>73185</v>
      </c>
      <c r="E887" t="str">
        <f t="shared" si="357"/>
        <v>KFH-OPERATIONS DEPARTMENT</v>
      </c>
      <c r="F887" t="str">
        <f t="shared" si="358"/>
        <v>IBG</v>
      </c>
      <c r="G887" t="str">
        <f t="shared" si="369"/>
        <v>Refund COSHARE 10</v>
      </c>
      <c r="H887" s="2">
        <v>209.9</v>
      </c>
      <c r="I887" t="str">
        <f>"PETER BIN KASSIM"</f>
        <v>PETER BIN KASSIM</v>
      </c>
      <c r="J887" t="str">
        <f t="shared" si="376"/>
        <v>PUBLIC BANK / PUBLIC ISLAMIC BANK</v>
      </c>
      <c r="K887" t="str">
        <f>"4913419223"</f>
        <v>4913419223</v>
      </c>
      <c r="L887" t="str">
        <f t="shared" ref="L887:M906" si="379">"04-08-2020"</f>
        <v>04-08-2020</v>
      </c>
      <c r="M887" t="str">
        <f t="shared" si="379"/>
        <v>04-08-2020</v>
      </c>
      <c r="N887" t="str">
        <f t="shared" si="359"/>
        <v>001105018356</v>
      </c>
      <c r="O887" t="str">
        <f t="shared" si="360"/>
        <v>MYR</v>
      </c>
      <c r="P887" t="str">
        <f t="shared" ref="P887:Q906" si="380">"NIL"</f>
        <v>NIL</v>
      </c>
      <c r="Q887" t="str">
        <f t="shared" si="380"/>
        <v>NIL</v>
      </c>
      <c r="R887" t="str">
        <f t="shared" si="361"/>
        <v>Accepted</v>
      </c>
      <c r="S887" t="str">
        <f t="shared" si="362"/>
        <v>Approved</v>
      </c>
      <c r="T887" t="str">
        <f t="shared" si="363"/>
        <v>10.20.8.188</v>
      </c>
      <c r="U887" t="str">
        <f t="shared" si="364"/>
        <v>AZRAD UMAR BIN SHAARI</v>
      </c>
      <c r="V887" t="str">
        <f t="shared" si="365"/>
        <v>FARHANA BINTI MUSTAPA</v>
      </c>
      <c r="W887" t="str">
        <f t="shared" si="366"/>
        <v>04-08-2020</v>
      </c>
      <c r="X887" t="str">
        <f t="shared" si="367"/>
        <v>RAZIMAH ANSAR AHMAD</v>
      </c>
      <c r="Y887" t="str">
        <f t="shared" si="368"/>
        <v>04-08-2020</v>
      </c>
      <c r="Z887" t="str">
        <f>"COS10200804 8267"</f>
        <v>COS10200804 8267</v>
      </c>
    </row>
    <row r="888" spans="1:26" x14ac:dyDescent="0.25">
      <c r="A888" t="str">
        <f t="shared" si="377"/>
        <v>04-08-2020 01:11:00</v>
      </c>
      <c r="B888" t="str">
        <f>"0000810071"</f>
        <v>0000810071</v>
      </c>
      <c r="C888" t="str">
        <f t="shared" si="378"/>
        <v>0000810005</v>
      </c>
      <c r="D888" t="str">
        <f t="shared" si="356"/>
        <v>73185</v>
      </c>
      <c r="E888" t="str">
        <f t="shared" si="357"/>
        <v>KFH-OPERATIONS DEPARTMENT</v>
      </c>
      <c r="F888" t="str">
        <f t="shared" si="358"/>
        <v>IBG</v>
      </c>
      <c r="G888" t="str">
        <f t="shared" si="369"/>
        <v>Refund COSHARE 10</v>
      </c>
      <c r="H888" s="2">
        <v>444.95</v>
      </c>
      <c r="I888" t="str">
        <f>"NURHAYATI BINTI ABDUL WAHAB"</f>
        <v>NURHAYATI BINTI ABDUL WAHAB</v>
      </c>
      <c r="J888" t="str">
        <f t="shared" si="376"/>
        <v>PUBLIC BANK / PUBLIC ISLAMIC BANK</v>
      </c>
      <c r="K888" t="str">
        <f>"4858705117"</f>
        <v>4858705117</v>
      </c>
      <c r="L888" t="str">
        <f t="shared" si="379"/>
        <v>04-08-2020</v>
      </c>
      <c r="M888" t="str">
        <f t="shared" si="379"/>
        <v>04-08-2020</v>
      </c>
      <c r="N888" t="str">
        <f t="shared" si="359"/>
        <v>001105018356</v>
      </c>
      <c r="O888" t="str">
        <f t="shared" si="360"/>
        <v>MYR</v>
      </c>
      <c r="P888" t="str">
        <f t="shared" si="380"/>
        <v>NIL</v>
      </c>
      <c r="Q888" t="str">
        <f t="shared" si="380"/>
        <v>NIL</v>
      </c>
      <c r="R888" t="str">
        <f t="shared" si="361"/>
        <v>Accepted</v>
      </c>
      <c r="S888" t="str">
        <f t="shared" si="362"/>
        <v>Approved</v>
      </c>
      <c r="T888" t="str">
        <f t="shared" si="363"/>
        <v>10.20.8.188</v>
      </c>
      <c r="U888" t="str">
        <f t="shared" si="364"/>
        <v>AZRAD UMAR BIN SHAARI</v>
      </c>
      <c r="V888" t="str">
        <f t="shared" si="365"/>
        <v>FARHANA BINTI MUSTAPA</v>
      </c>
      <c r="W888" t="str">
        <f t="shared" si="366"/>
        <v>04-08-2020</v>
      </c>
      <c r="X888" t="str">
        <f t="shared" si="367"/>
        <v>RAZIMAH ANSAR AHMAD</v>
      </c>
      <c r="Y888" t="str">
        <f t="shared" si="368"/>
        <v>04-08-2020</v>
      </c>
      <c r="Z888" t="str">
        <f>"COS10200804 8266"</f>
        <v>COS10200804 8266</v>
      </c>
    </row>
    <row r="889" spans="1:26" x14ac:dyDescent="0.25">
      <c r="A889" t="str">
        <f t="shared" si="377"/>
        <v>04-08-2020 01:11:00</v>
      </c>
      <c r="B889" t="str">
        <f>"0000810070"</f>
        <v>0000810070</v>
      </c>
      <c r="C889" t="str">
        <f t="shared" si="378"/>
        <v>0000810005</v>
      </c>
      <c r="D889" t="str">
        <f t="shared" si="356"/>
        <v>73185</v>
      </c>
      <c r="E889" t="str">
        <f t="shared" si="357"/>
        <v>KFH-OPERATIONS DEPARTMENT</v>
      </c>
      <c r="F889" t="str">
        <f t="shared" si="358"/>
        <v>IBG</v>
      </c>
      <c r="G889" t="str">
        <f t="shared" si="369"/>
        <v>Refund COSHARE 10</v>
      </c>
      <c r="H889" s="2">
        <v>225.2</v>
      </c>
      <c r="I889" t="str">
        <f>"NORIDAH BINTI CHE HAAT"</f>
        <v>NORIDAH BINTI CHE HAAT</v>
      </c>
      <c r="J889" t="str">
        <f t="shared" si="376"/>
        <v>PUBLIC BANK / PUBLIC ISLAMIC BANK</v>
      </c>
      <c r="K889" t="str">
        <f>"4993052600"</f>
        <v>4993052600</v>
      </c>
      <c r="L889" t="str">
        <f t="shared" si="379"/>
        <v>04-08-2020</v>
      </c>
      <c r="M889" t="str">
        <f t="shared" si="379"/>
        <v>04-08-2020</v>
      </c>
      <c r="N889" t="str">
        <f t="shared" si="359"/>
        <v>001105018356</v>
      </c>
      <c r="O889" t="str">
        <f t="shared" si="360"/>
        <v>MYR</v>
      </c>
      <c r="P889" t="str">
        <f t="shared" si="380"/>
        <v>NIL</v>
      </c>
      <c r="Q889" t="str">
        <f t="shared" si="380"/>
        <v>NIL</v>
      </c>
      <c r="R889" t="str">
        <f t="shared" si="361"/>
        <v>Accepted</v>
      </c>
      <c r="S889" t="str">
        <f t="shared" si="362"/>
        <v>Approved</v>
      </c>
      <c r="T889" t="str">
        <f t="shared" si="363"/>
        <v>10.20.8.188</v>
      </c>
      <c r="U889" t="str">
        <f t="shared" si="364"/>
        <v>AZRAD UMAR BIN SHAARI</v>
      </c>
      <c r="V889" t="str">
        <f t="shared" si="365"/>
        <v>FARHANA BINTI MUSTAPA</v>
      </c>
      <c r="W889" t="str">
        <f t="shared" si="366"/>
        <v>04-08-2020</v>
      </c>
      <c r="X889" t="str">
        <f t="shared" si="367"/>
        <v>RAZIMAH ANSAR AHMAD</v>
      </c>
      <c r="Y889" t="str">
        <f t="shared" si="368"/>
        <v>04-08-2020</v>
      </c>
      <c r="Z889" t="str">
        <f>"COS10200804 8265"</f>
        <v>COS10200804 8265</v>
      </c>
    </row>
    <row r="890" spans="1:26" x14ac:dyDescent="0.25">
      <c r="A890" t="str">
        <f t="shared" si="377"/>
        <v>04-08-2020 01:11:00</v>
      </c>
      <c r="B890" t="str">
        <f>"0000810069"</f>
        <v>0000810069</v>
      </c>
      <c r="C890" t="str">
        <f t="shared" si="378"/>
        <v>0000810005</v>
      </c>
      <c r="D890" t="str">
        <f t="shared" si="356"/>
        <v>73185</v>
      </c>
      <c r="E890" t="str">
        <f t="shared" si="357"/>
        <v>KFH-OPERATIONS DEPARTMENT</v>
      </c>
      <c r="F890" t="str">
        <f t="shared" si="358"/>
        <v>IBG</v>
      </c>
      <c r="G890" t="str">
        <f t="shared" si="369"/>
        <v>Refund COSHARE 10</v>
      </c>
      <c r="H890" s="2">
        <v>736.75</v>
      </c>
      <c r="I890" t="str">
        <f>"NORIAH BINTI LIASNIH"</f>
        <v>NORIAH BINTI LIASNIH</v>
      </c>
      <c r="J890" t="str">
        <f t="shared" si="376"/>
        <v>PUBLIC BANK / PUBLIC ISLAMIC BANK</v>
      </c>
      <c r="K890" t="str">
        <f>"4446771812"</f>
        <v>4446771812</v>
      </c>
      <c r="L890" t="str">
        <f t="shared" si="379"/>
        <v>04-08-2020</v>
      </c>
      <c r="M890" t="str">
        <f t="shared" si="379"/>
        <v>04-08-2020</v>
      </c>
      <c r="N890" t="str">
        <f t="shared" si="359"/>
        <v>001105018356</v>
      </c>
      <c r="O890" t="str">
        <f t="shared" si="360"/>
        <v>MYR</v>
      </c>
      <c r="P890" t="str">
        <f t="shared" si="380"/>
        <v>NIL</v>
      </c>
      <c r="Q890" t="str">
        <f t="shared" si="380"/>
        <v>NIL</v>
      </c>
      <c r="R890" t="str">
        <f t="shared" si="361"/>
        <v>Accepted</v>
      </c>
      <c r="S890" t="str">
        <f t="shared" si="362"/>
        <v>Approved</v>
      </c>
      <c r="T890" t="str">
        <f t="shared" si="363"/>
        <v>10.20.8.188</v>
      </c>
      <c r="U890" t="str">
        <f t="shared" si="364"/>
        <v>AZRAD UMAR BIN SHAARI</v>
      </c>
      <c r="V890" t="str">
        <f t="shared" si="365"/>
        <v>FARHANA BINTI MUSTAPA</v>
      </c>
      <c r="W890" t="str">
        <f t="shared" si="366"/>
        <v>04-08-2020</v>
      </c>
      <c r="X890" t="str">
        <f t="shared" si="367"/>
        <v>RAZIMAH ANSAR AHMAD</v>
      </c>
      <c r="Y890" t="str">
        <f t="shared" si="368"/>
        <v>04-08-2020</v>
      </c>
      <c r="Z890" t="str">
        <f>"COS10200804 8264"</f>
        <v>COS10200804 8264</v>
      </c>
    </row>
    <row r="891" spans="1:26" x14ac:dyDescent="0.25">
      <c r="A891" t="str">
        <f t="shared" si="377"/>
        <v>04-08-2020 01:11:00</v>
      </c>
      <c r="B891" t="str">
        <f>"0000810068"</f>
        <v>0000810068</v>
      </c>
      <c r="C891" t="str">
        <f t="shared" si="378"/>
        <v>0000810005</v>
      </c>
      <c r="D891" t="str">
        <f t="shared" si="356"/>
        <v>73185</v>
      </c>
      <c r="E891" t="str">
        <f t="shared" si="357"/>
        <v>KFH-OPERATIONS DEPARTMENT</v>
      </c>
      <c r="F891" t="str">
        <f t="shared" si="358"/>
        <v>IBG</v>
      </c>
      <c r="G891" t="str">
        <f t="shared" si="369"/>
        <v>Refund COSHARE 10</v>
      </c>
      <c r="H891" s="2">
        <v>393</v>
      </c>
      <c r="I891" t="str">
        <f>"NORHAYANI BINTI JALIL"</f>
        <v>NORHAYANI BINTI JALIL</v>
      </c>
      <c r="J891" t="str">
        <f t="shared" si="376"/>
        <v>PUBLIC BANK / PUBLIC ISLAMIC BANK</v>
      </c>
      <c r="K891" t="str">
        <f>"4439072303"</f>
        <v>4439072303</v>
      </c>
      <c r="L891" t="str">
        <f t="shared" si="379"/>
        <v>04-08-2020</v>
      </c>
      <c r="M891" t="str">
        <f t="shared" si="379"/>
        <v>04-08-2020</v>
      </c>
      <c r="N891" t="str">
        <f t="shared" si="359"/>
        <v>001105018356</v>
      </c>
      <c r="O891" t="str">
        <f t="shared" si="360"/>
        <v>MYR</v>
      </c>
      <c r="P891" t="str">
        <f t="shared" si="380"/>
        <v>NIL</v>
      </c>
      <c r="Q891" t="str">
        <f t="shared" si="380"/>
        <v>NIL</v>
      </c>
      <c r="R891" t="str">
        <f t="shared" si="361"/>
        <v>Accepted</v>
      </c>
      <c r="S891" t="str">
        <f t="shared" si="362"/>
        <v>Approved</v>
      </c>
      <c r="T891" t="str">
        <f t="shared" si="363"/>
        <v>10.20.8.188</v>
      </c>
      <c r="U891" t="str">
        <f t="shared" si="364"/>
        <v>AZRAD UMAR BIN SHAARI</v>
      </c>
      <c r="V891" t="str">
        <f t="shared" si="365"/>
        <v>FARHANA BINTI MUSTAPA</v>
      </c>
      <c r="W891" t="str">
        <f t="shared" si="366"/>
        <v>04-08-2020</v>
      </c>
      <c r="X891" t="str">
        <f t="shared" si="367"/>
        <v>RAZIMAH ANSAR AHMAD</v>
      </c>
      <c r="Y891" t="str">
        <f t="shared" si="368"/>
        <v>04-08-2020</v>
      </c>
      <c r="Z891" t="str">
        <f>"COS10200804 8263"</f>
        <v>COS10200804 8263</v>
      </c>
    </row>
    <row r="892" spans="1:26" x14ac:dyDescent="0.25">
      <c r="A892" t="str">
        <f t="shared" si="377"/>
        <v>04-08-2020 01:11:00</v>
      </c>
      <c r="B892" t="str">
        <f>"0000810067"</f>
        <v>0000810067</v>
      </c>
      <c r="C892" t="str">
        <f t="shared" si="378"/>
        <v>0000810005</v>
      </c>
      <c r="D892" t="str">
        <f t="shared" si="356"/>
        <v>73185</v>
      </c>
      <c r="E892" t="str">
        <f t="shared" si="357"/>
        <v>KFH-OPERATIONS DEPARTMENT</v>
      </c>
      <c r="F892" t="str">
        <f t="shared" si="358"/>
        <v>IBG</v>
      </c>
      <c r="G892" t="str">
        <f t="shared" si="369"/>
        <v>Refund COSHARE 10</v>
      </c>
      <c r="H892" s="2">
        <v>1536.3</v>
      </c>
      <c r="I892" t="str">
        <f>"NORHASYIMAH BINTI ANUAR"</f>
        <v>NORHASYIMAH BINTI ANUAR</v>
      </c>
      <c r="J892" t="str">
        <f t="shared" si="376"/>
        <v>PUBLIC BANK / PUBLIC ISLAMIC BANK</v>
      </c>
      <c r="K892" t="str">
        <f>"4401568828"</f>
        <v>4401568828</v>
      </c>
      <c r="L892" t="str">
        <f t="shared" si="379"/>
        <v>04-08-2020</v>
      </c>
      <c r="M892" t="str">
        <f t="shared" si="379"/>
        <v>04-08-2020</v>
      </c>
      <c r="N892" t="str">
        <f t="shared" si="359"/>
        <v>001105018356</v>
      </c>
      <c r="O892" t="str">
        <f t="shared" si="360"/>
        <v>MYR</v>
      </c>
      <c r="P892" t="str">
        <f t="shared" si="380"/>
        <v>NIL</v>
      </c>
      <c r="Q892" t="str">
        <f t="shared" si="380"/>
        <v>NIL</v>
      </c>
      <c r="R892" t="str">
        <f t="shared" si="361"/>
        <v>Accepted</v>
      </c>
      <c r="S892" t="str">
        <f t="shared" si="362"/>
        <v>Approved</v>
      </c>
      <c r="T892" t="str">
        <f t="shared" si="363"/>
        <v>10.20.8.188</v>
      </c>
      <c r="U892" t="str">
        <f t="shared" si="364"/>
        <v>AZRAD UMAR BIN SHAARI</v>
      </c>
      <c r="V892" t="str">
        <f t="shared" si="365"/>
        <v>FARHANA BINTI MUSTAPA</v>
      </c>
      <c r="W892" t="str">
        <f t="shared" si="366"/>
        <v>04-08-2020</v>
      </c>
      <c r="X892" t="str">
        <f t="shared" si="367"/>
        <v>RAZIMAH ANSAR AHMAD</v>
      </c>
      <c r="Y892" t="str">
        <f t="shared" si="368"/>
        <v>04-08-2020</v>
      </c>
      <c r="Z892" t="str">
        <f>"COS10200804 8262"</f>
        <v>COS10200804 8262</v>
      </c>
    </row>
    <row r="893" spans="1:26" x14ac:dyDescent="0.25">
      <c r="A893" t="str">
        <f t="shared" si="377"/>
        <v>04-08-2020 01:11:00</v>
      </c>
      <c r="B893" t="str">
        <f>"0000810066"</f>
        <v>0000810066</v>
      </c>
      <c r="C893" t="str">
        <f t="shared" si="378"/>
        <v>0000810005</v>
      </c>
      <c r="D893" t="str">
        <f t="shared" si="356"/>
        <v>73185</v>
      </c>
      <c r="E893" t="str">
        <f t="shared" si="357"/>
        <v>KFH-OPERATIONS DEPARTMENT</v>
      </c>
      <c r="F893" t="str">
        <f t="shared" si="358"/>
        <v>IBG</v>
      </c>
      <c r="G893" t="str">
        <f t="shared" si="369"/>
        <v>Refund COSHARE 10</v>
      </c>
      <c r="H893" s="2">
        <v>209.9</v>
      </c>
      <c r="I893" t="str">
        <f>"NORHAFIEDA BINTI ABDUL WAHID"</f>
        <v>NORHAFIEDA BINTI ABDUL WAHID</v>
      </c>
      <c r="J893" t="str">
        <f t="shared" si="376"/>
        <v>PUBLIC BANK / PUBLIC ISLAMIC BANK</v>
      </c>
      <c r="K893" t="str">
        <f>"4853922415"</f>
        <v>4853922415</v>
      </c>
      <c r="L893" t="str">
        <f t="shared" si="379"/>
        <v>04-08-2020</v>
      </c>
      <c r="M893" t="str">
        <f t="shared" si="379"/>
        <v>04-08-2020</v>
      </c>
      <c r="N893" t="str">
        <f t="shared" si="359"/>
        <v>001105018356</v>
      </c>
      <c r="O893" t="str">
        <f t="shared" si="360"/>
        <v>MYR</v>
      </c>
      <c r="P893" t="str">
        <f t="shared" si="380"/>
        <v>NIL</v>
      </c>
      <c r="Q893" t="str">
        <f t="shared" si="380"/>
        <v>NIL</v>
      </c>
      <c r="R893" t="str">
        <f t="shared" si="361"/>
        <v>Accepted</v>
      </c>
      <c r="S893" t="str">
        <f t="shared" si="362"/>
        <v>Approved</v>
      </c>
      <c r="T893" t="str">
        <f t="shared" si="363"/>
        <v>10.20.8.188</v>
      </c>
      <c r="U893" t="str">
        <f t="shared" si="364"/>
        <v>AZRAD UMAR BIN SHAARI</v>
      </c>
      <c r="V893" t="str">
        <f t="shared" si="365"/>
        <v>FARHANA BINTI MUSTAPA</v>
      </c>
      <c r="W893" t="str">
        <f t="shared" si="366"/>
        <v>04-08-2020</v>
      </c>
      <c r="X893" t="str">
        <f t="shared" si="367"/>
        <v>RAZIMAH ANSAR AHMAD</v>
      </c>
      <c r="Y893" t="str">
        <f t="shared" si="368"/>
        <v>04-08-2020</v>
      </c>
      <c r="Z893" t="str">
        <f>"COS10200804 8261"</f>
        <v>COS10200804 8261</v>
      </c>
    </row>
    <row r="894" spans="1:26" x14ac:dyDescent="0.25">
      <c r="A894" t="str">
        <f t="shared" si="377"/>
        <v>04-08-2020 01:11:00</v>
      </c>
      <c r="B894" t="str">
        <f>"0000810065"</f>
        <v>0000810065</v>
      </c>
      <c r="C894" t="str">
        <f t="shared" si="378"/>
        <v>0000810005</v>
      </c>
      <c r="D894" t="str">
        <f t="shared" si="356"/>
        <v>73185</v>
      </c>
      <c r="E894" t="str">
        <f t="shared" si="357"/>
        <v>KFH-OPERATIONS DEPARTMENT</v>
      </c>
      <c r="F894" t="str">
        <f t="shared" si="358"/>
        <v>IBG</v>
      </c>
      <c r="G894" t="str">
        <f t="shared" si="369"/>
        <v>Refund COSHARE 10</v>
      </c>
      <c r="H894" s="2">
        <v>670.7</v>
      </c>
      <c r="I894" t="str">
        <f>"NORHAFIEDA BINTI ABDUL WAHID"</f>
        <v>NORHAFIEDA BINTI ABDUL WAHID</v>
      </c>
      <c r="J894" t="str">
        <f t="shared" si="376"/>
        <v>PUBLIC BANK / PUBLIC ISLAMIC BANK</v>
      </c>
      <c r="K894" t="str">
        <f>"4853922415"</f>
        <v>4853922415</v>
      </c>
      <c r="L894" t="str">
        <f t="shared" si="379"/>
        <v>04-08-2020</v>
      </c>
      <c r="M894" t="str">
        <f t="shared" si="379"/>
        <v>04-08-2020</v>
      </c>
      <c r="N894" t="str">
        <f t="shared" si="359"/>
        <v>001105018356</v>
      </c>
      <c r="O894" t="str">
        <f t="shared" si="360"/>
        <v>MYR</v>
      </c>
      <c r="P894" t="str">
        <f t="shared" si="380"/>
        <v>NIL</v>
      </c>
      <c r="Q894" t="str">
        <f t="shared" si="380"/>
        <v>NIL</v>
      </c>
      <c r="R894" t="str">
        <f t="shared" si="361"/>
        <v>Accepted</v>
      </c>
      <c r="S894" t="str">
        <f t="shared" si="362"/>
        <v>Approved</v>
      </c>
      <c r="T894" t="str">
        <f t="shared" si="363"/>
        <v>10.20.8.188</v>
      </c>
      <c r="U894" t="str">
        <f t="shared" si="364"/>
        <v>AZRAD UMAR BIN SHAARI</v>
      </c>
      <c r="V894" t="str">
        <f t="shared" si="365"/>
        <v>FARHANA BINTI MUSTAPA</v>
      </c>
      <c r="W894" t="str">
        <f t="shared" si="366"/>
        <v>04-08-2020</v>
      </c>
      <c r="X894" t="str">
        <f t="shared" si="367"/>
        <v>RAZIMAH ANSAR AHMAD</v>
      </c>
      <c r="Y894" t="str">
        <f t="shared" si="368"/>
        <v>04-08-2020</v>
      </c>
      <c r="Z894" t="str">
        <f>"COS10200804 8260"</f>
        <v>COS10200804 8260</v>
      </c>
    </row>
    <row r="895" spans="1:26" x14ac:dyDescent="0.25">
      <c r="A895" t="str">
        <f t="shared" si="377"/>
        <v>04-08-2020 01:11:00</v>
      </c>
      <c r="B895" t="str">
        <f>"0000810064"</f>
        <v>0000810064</v>
      </c>
      <c r="C895" t="str">
        <f t="shared" si="378"/>
        <v>0000810005</v>
      </c>
      <c r="D895" t="str">
        <f t="shared" si="356"/>
        <v>73185</v>
      </c>
      <c r="E895" t="str">
        <f t="shared" si="357"/>
        <v>KFH-OPERATIONS DEPARTMENT</v>
      </c>
      <c r="F895" t="str">
        <f t="shared" si="358"/>
        <v>IBG</v>
      </c>
      <c r="G895" t="str">
        <f t="shared" si="369"/>
        <v>Refund COSHARE 10</v>
      </c>
      <c r="H895" s="2">
        <v>780.75</v>
      </c>
      <c r="I895" t="str">
        <f>"NORFAIZAL BIN AHMAD BAHARUDIN"</f>
        <v>NORFAIZAL BIN AHMAD BAHARUDIN</v>
      </c>
      <c r="J895" t="str">
        <f t="shared" si="376"/>
        <v>PUBLIC BANK / PUBLIC ISLAMIC BANK</v>
      </c>
      <c r="K895" t="str">
        <f>"4570471525"</f>
        <v>4570471525</v>
      </c>
      <c r="L895" t="str">
        <f t="shared" si="379"/>
        <v>04-08-2020</v>
      </c>
      <c r="M895" t="str">
        <f t="shared" si="379"/>
        <v>04-08-2020</v>
      </c>
      <c r="N895" t="str">
        <f t="shared" si="359"/>
        <v>001105018356</v>
      </c>
      <c r="O895" t="str">
        <f t="shared" si="360"/>
        <v>MYR</v>
      </c>
      <c r="P895" t="str">
        <f t="shared" si="380"/>
        <v>NIL</v>
      </c>
      <c r="Q895" t="str">
        <f t="shared" si="380"/>
        <v>NIL</v>
      </c>
      <c r="R895" t="str">
        <f t="shared" si="361"/>
        <v>Accepted</v>
      </c>
      <c r="S895" t="str">
        <f t="shared" si="362"/>
        <v>Approved</v>
      </c>
      <c r="T895" t="str">
        <f t="shared" si="363"/>
        <v>10.20.8.188</v>
      </c>
      <c r="U895" t="str">
        <f t="shared" si="364"/>
        <v>AZRAD UMAR BIN SHAARI</v>
      </c>
      <c r="V895" t="str">
        <f t="shared" si="365"/>
        <v>FARHANA BINTI MUSTAPA</v>
      </c>
      <c r="W895" t="str">
        <f t="shared" si="366"/>
        <v>04-08-2020</v>
      </c>
      <c r="X895" t="str">
        <f t="shared" si="367"/>
        <v>RAZIMAH ANSAR AHMAD</v>
      </c>
      <c r="Y895" t="str">
        <f t="shared" si="368"/>
        <v>04-08-2020</v>
      </c>
      <c r="Z895" t="str">
        <f>"COS10200804 8259"</f>
        <v>COS10200804 8259</v>
      </c>
    </row>
    <row r="896" spans="1:26" x14ac:dyDescent="0.25">
      <c r="A896" t="str">
        <f t="shared" si="377"/>
        <v>04-08-2020 01:11:00</v>
      </c>
      <c r="B896" t="str">
        <f>"0000810063"</f>
        <v>0000810063</v>
      </c>
      <c r="C896" t="str">
        <f t="shared" si="378"/>
        <v>0000810005</v>
      </c>
      <c r="D896" t="str">
        <f t="shared" si="356"/>
        <v>73185</v>
      </c>
      <c r="E896" t="str">
        <f t="shared" si="357"/>
        <v>KFH-OPERATIONS DEPARTMENT</v>
      </c>
      <c r="F896" t="str">
        <f t="shared" si="358"/>
        <v>IBG</v>
      </c>
      <c r="G896" t="str">
        <f t="shared" si="369"/>
        <v>Refund COSHARE 10</v>
      </c>
      <c r="H896" s="2">
        <v>722</v>
      </c>
      <c r="I896" t="str">
        <f>"NORBAIZURA BINTI JAMHARI"</f>
        <v>NORBAIZURA BINTI JAMHARI</v>
      </c>
      <c r="J896" t="str">
        <f t="shared" si="376"/>
        <v>PUBLIC BANK / PUBLIC ISLAMIC BANK</v>
      </c>
      <c r="K896" t="str">
        <f>"4873878826"</f>
        <v>4873878826</v>
      </c>
      <c r="L896" t="str">
        <f t="shared" si="379"/>
        <v>04-08-2020</v>
      </c>
      <c r="M896" t="str">
        <f t="shared" si="379"/>
        <v>04-08-2020</v>
      </c>
      <c r="N896" t="str">
        <f t="shared" si="359"/>
        <v>001105018356</v>
      </c>
      <c r="O896" t="str">
        <f t="shared" si="360"/>
        <v>MYR</v>
      </c>
      <c r="P896" t="str">
        <f t="shared" si="380"/>
        <v>NIL</v>
      </c>
      <c r="Q896" t="str">
        <f t="shared" si="380"/>
        <v>NIL</v>
      </c>
      <c r="R896" t="str">
        <f t="shared" si="361"/>
        <v>Accepted</v>
      </c>
      <c r="S896" t="str">
        <f t="shared" si="362"/>
        <v>Approved</v>
      </c>
      <c r="T896" t="str">
        <f t="shared" si="363"/>
        <v>10.20.8.188</v>
      </c>
      <c r="U896" t="str">
        <f t="shared" si="364"/>
        <v>AZRAD UMAR BIN SHAARI</v>
      </c>
      <c r="V896" t="str">
        <f t="shared" si="365"/>
        <v>FARHANA BINTI MUSTAPA</v>
      </c>
      <c r="W896" t="str">
        <f t="shared" si="366"/>
        <v>04-08-2020</v>
      </c>
      <c r="X896" t="str">
        <f t="shared" si="367"/>
        <v>RAZIMAH ANSAR AHMAD</v>
      </c>
      <c r="Y896" t="str">
        <f t="shared" si="368"/>
        <v>04-08-2020</v>
      </c>
      <c r="Z896" t="str">
        <f>"COS10200804 8258"</f>
        <v>COS10200804 8258</v>
      </c>
    </row>
    <row r="897" spans="1:26" x14ac:dyDescent="0.25">
      <c r="A897" t="str">
        <f t="shared" si="377"/>
        <v>04-08-2020 01:11:00</v>
      </c>
      <c r="B897" t="str">
        <f>"0000810062"</f>
        <v>0000810062</v>
      </c>
      <c r="C897" t="str">
        <f t="shared" si="378"/>
        <v>0000810005</v>
      </c>
      <c r="D897" t="str">
        <f t="shared" si="356"/>
        <v>73185</v>
      </c>
      <c r="E897" t="str">
        <f t="shared" si="357"/>
        <v>KFH-OPERATIONS DEPARTMENT</v>
      </c>
      <c r="F897" t="str">
        <f t="shared" si="358"/>
        <v>IBG</v>
      </c>
      <c r="G897" t="str">
        <f t="shared" si="369"/>
        <v>Refund COSHARE 10</v>
      </c>
      <c r="H897" s="2">
        <v>122.8</v>
      </c>
      <c r="I897" t="str">
        <f>"NORAIDA BINTI AIMAN"</f>
        <v>NORAIDA BINTI AIMAN</v>
      </c>
      <c r="J897" t="str">
        <f t="shared" si="376"/>
        <v>PUBLIC BANK / PUBLIC ISLAMIC BANK</v>
      </c>
      <c r="K897" t="str">
        <f>"4070014021"</f>
        <v>4070014021</v>
      </c>
      <c r="L897" t="str">
        <f t="shared" si="379"/>
        <v>04-08-2020</v>
      </c>
      <c r="M897" t="str">
        <f t="shared" si="379"/>
        <v>04-08-2020</v>
      </c>
      <c r="N897" t="str">
        <f t="shared" si="359"/>
        <v>001105018356</v>
      </c>
      <c r="O897" t="str">
        <f t="shared" si="360"/>
        <v>MYR</v>
      </c>
      <c r="P897" t="str">
        <f t="shared" si="380"/>
        <v>NIL</v>
      </c>
      <c r="Q897" t="str">
        <f t="shared" si="380"/>
        <v>NIL</v>
      </c>
      <c r="R897" t="str">
        <f t="shared" si="361"/>
        <v>Accepted</v>
      </c>
      <c r="S897" t="str">
        <f t="shared" si="362"/>
        <v>Approved</v>
      </c>
      <c r="T897" t="str">
        <f t="shared" si="363"/>
        <v>10.20.8.188</v>
      </c>
      <c r="U897" t="str">
        <f t="shared" si="364"/>
        <v>AZRAD UMAR BIN SHAARI</v>
      </c>
      <c r="V897" t="str">
        <f t="shared" si="365"/>
        <v>FARHANA BINTI MUSTAPA</v>
      </c>
      <c r="W897" t="str">
        <f t="shared" si="366"/>
        <v>04-08-2020</v>
      </c>
      <c r="X897" t="str">
        <f t="shared" si="367"/>
        <v>RAZIMAH ANSAR AHMAD</v>
      </c>
      <c r="Y897" t="str">
        <f t="shared" si="368"/>
        <v>04-08-2020</v>
      </c>
      <c r="Z897" t="str">
        <f>"COS10200804 8257"</f>
        <v>COS10200804 8257</v>
      </c>
    </row>
    <row r="898" spans="1:26" x14ac:dyDescent="0.25">
      <c r="A898" t="str">
        <f t="shared" si="377"/>
        <v>04-08-2020 01:11:00</v>
      </c>
      <c r="B898" t="str">
        <f>"0000810061"</f>
        <v>0000810061</v>
      </c>
      <c r="C898" t="str">
        <f t="shared" si="378"/>
        <v>0000810005</v>
      </c>
      <c r="D898" t="str">
        <f t="shared" si="356"/>
        <v>73185</v>
      </c>
      <c r="E898" t="str">
        <f t="shared" si="357"/>
        <v>KFH-OPERATIONS DEPARTMENT</v>
      </c>
      <c r="F898" t="str">
        <f t="shared" si="358"/>
        <v>IBG</v>
      </c>
      <c r="G898" t="str">
        <f t="shared" si="369"/>
        <v>Refund COSHARE 10</v>
      </c>
      <c r="H898" s="2">
        <v>228</v>
      </c>
      <c r="I898" t="str">
        <f>"NOR SUHAILA BINTI HASHIM"</f>
        <v>NOR SUHAILA BINTI HASHIM</v>
      </c>
      <c r="J898" t="str">
        <f t="shared" si="376"/>
        <v>PUBLIC BANK / PUBLIC ISLAMIC BANK</v>
      </c>
      <c r="K898" t="str">
        <f>"4768626305"</f>
        <v>4768626305</v>
      </c>
      <c r="L898" t="str">
        <f t="shared" si="379"/>
        <v>04-08-2020</v>
      </c>
      <c r="M898" t="str">
        <f t="shared" si="379"/>
        <v>04-08-2020</v>
      </c>
      <c r="N898" t="str">
        <f t="shared" si="359"/>
        <v>001105018356</v>
      </c>
      <c r="O898" t="str">
        <f t="shared" si="360"/>
        <v>MYR</v>
      </c>
      <c r="P898" t="str">
        <f t="shared" si="380"/>
        <v>NIL</v>
      </c>
      <c r="Q898" t="str">
        <f t="shared" si="380"/>
        <v>NIL</v>
      </c>
      <c r="R898" t="str">
        <f t="shared" si="361"/>
        <v>Accepted</v>
      </c>
      <c r="S898" t="str">
        <f t="shared" si="362"/>
        <v>Approved</v>
      </c>
      <c r="T898" t="str">
        <f t="shared" si="363"/>
        <v>10.20.8.188</v>
      </c>
      <c r="U898" t="str">
        <f t="shared" si="364"/>
        <v>AZRAD UMAR BIN SHAARI</v>
      </c>
      <c r="V898" t="str">
        <f t="shared" si="365"/>
        <v>FARHANA BINTI MUSTAPA</v>
      </c>
      <c r="W898" t="str">
        <f t="shared" si="366"/>
        <v>04-08-2020</v>
      </c>
      <c r="X898" t="str">
        <f t="shared" si="367"/>
        <v>RAZIMAH ANSAR AHMAD</v>
      </c>
      <c r="Y898" t="str">
        <f t="shared" si="368"/>
        <v>04-08-2020</v>
      </c>
      <c r="Z898" t="str">
        <f>"COS10200804 8256"</f>
        <v>COS10200804 8256</v>
      </c>
    </row>
    <row r="899" spans="1:26" x14ac:dyDescent="0.25">
      <c r="A899" t="str">
        <f t="shared" si="377"/>
        <v>04-08-2020 01:11:00</v>
      </c>
      <c r="B899" t="str">
        <f>"0000810060"</f>
        <v>0000810060</v>
      </c>
      <c r="C899" t="str">
        <f t="shared" si="378"/>
        <v>0000810005</v>
      </c>
      <c r="D899" t="str">
        <f t="shared" si="356"/>
        <v>73185</v>
      </c>
      <c r="E899" t="str">
        <f t="shared" si="357"/>
        <v>KFH-OPERATIONS DEPARTMENT</v>
      </c>
      <c r="F899" t="str">
        <f t="shared" si="358"/>
        <v>IBG</v>
      </c>
      <c r="G899" t="str">
        <f t="shared" si="369"/>
        <v>Refund COSHARE 10</v>
      </c>
      <c r="H899" s="2">
        <v>1584</v>
      </c>
      <c r="I899" t="str">
        <f>"NOR LEZA BINTI BIDIN"</f>
        <v>NOR LEZA BINTI BIDIN</v>
      </c>
      <c r="J899" t="str">
        <f t="shared" si="376"/>
        <v>PUBLIC BANK / PUBLIC ISLAMIC BANK</v>
      </c>
      <c r="K899" t="str">
        <f>"4189304027"</f>
        <v>4189304027</v>
      </c>
      <c r="L899" t="str">
        <f t="shared" si="379"/>
        <v>04-08-2020</v>
      </c>
      <c r="M899" t="str">
        <f t="shared" si="379"/>
        <v>04-08-2020</v>
      </c>
      <c r="N899" t="str">
        <f t="shared" si="359"/>
        <v>001105018356</v>
      </c>
      <c r="O899" t="str">
        <f t="shared" si="360"/>
        <v>MYR</v>
      </c>
      <c r="P899" t="str">
        <f t="shared" si="380"/>
        <v>NIL</v>
      </c>
      <c r="Q899" t="str">
        <f t="shared" si="380"/>
        <v>NIL</v>
      </c>
      <c r="R899" t="str">
        <f t="shared" si="361"/>
        <v>Accepted</v>
      </c>
      <c r="S899" t="str">
        <f t="shared" si="362"/>
        <v>Approved</v>
      </c>
      <c r="T899" t="str">
        <f t="shared" si="363"/>
        <v>10.20.8.188</v>
      </c>
      <c r="U899" t="str">
        <f t="shared" si="364"/>
        <v>AZRAD UMAR BIN SHAARI</v>
      </c>
      <c r="V899" t="str">
        <f t="shared" si="365"/>
        <v>FARHANA BINTI MUSTAPA</v>
      </c>
      <c r="W899" t="str">
        <f t="shared" si="366"/>
        <v>04-08-2020</v>
      </c>
      <c r="X899" t="str">
        <f t="shared" si="367"/>
        <v>RAZIMAH ANSAR AHMAD</v>
      </c>
      <c r="Y899" t="str">
        <f t="shared" si="368"/>
        <v>04-08-2020</v>
      </c>
      <c r="Z899" t="str">
        <f>"COS10200804 8255"</f>
        <v>COS10200804 8255</v>
      </c>
    </row>
    <row r="900" spans="1:26" x14ac:dyDescent="0.25">
      <c r="A900" t="str">
        <f t="shared" si="377"/>
        <v>04-08-2020 01:11:00</v>
      </c>
      <c r="B900" t="str">
        <f>"0000810059"</f>
        <v>0000810059</v>
      </c>
      <c r="C900" t="str">
        <f t="shared" si="378"/>
        <v>0000810005</v>
      </c>
      <c r="D900" t="str">
        <f t="shared" si="356"/>
        <v>73185</v>
      </c>
      <c r="E900" t="str">
        <f t="shared" si="357"/>
        <v>KFH-OPERATIONS DEPARTMENT</v>
      </c>
      <c r="F900" t="str">
        <f t="shared" si="358"/>
        <v>IBG</v>
      </c>
      <c r="G900" t="str">
        <f t="shared" si="369"/>
        <v>Refund COSHARE 10</v>
      </c>
      <c r="H900" s="2">
        <v>266</v>
      </c>
      <c r="I900" t="str">
        <f>"NOR AMIZA BINTI USOP"</f>
        <v>NOR AMIZA BINTI USOP</v>
      </c>
      <c r="J900" t="str">
        <f t="shared" si="376"/>
        <v>PUBLIC BANK / PUBLIC ISLAMIC BANK</v>
      </c>
      <c r="K900" t="str">
        <f>"4842905310"</f>
        <v>4842905310</v>
      </c>
      <c r="L900" t="str">
        <f t="shared" si="379"/>
        <v>04-08-2020</v>
      </c>
      <c r="M900" t="str">
        <f t="shared" si="379"/>
        <v>04-08-2020</v>
      </c>
      <c r="N900" t="str">
        <f t="shared" si="359"/>
        <v>001105018356</v>
      </c>
      <c r="O900" t="str">
        <f t="shared" si="360"/>
        <v>MYR</v>
      </c>
      <c r="P900" t="str">
        <f t="shared" si="380"/>
        <v>NIL</v>
      </c>
      <c r="Q900" t="str">
        <f t="shared" si="380"/>
        <v>NIL</v>
      </c>
      <c r="R900" t="str">
        <f t="shared" si="361"/>
        <v>Accepted</v>
      </c>
      <c r="S900" t="str">
        <f t="shared" si="362"/>
        <v>Approved</v>
      </c>
      <c r="T900" t="str">
        <f t="shared" si="363"/>
        <v>10.20.8.188</v>
      </c>
      <c r="U900" t="str">
        <f t="shared" si="364"/>
        <v>AZRAD UMAR BIN SHAARI</v>
      </c>
      <c r="V900" t="str">
        <f t="shared" si="365"/>
        <v>FARHANA BINTI MUSTAPA</v>
      </c>
      <c r="W900" t="str">
        <f t="shared" si="366"/>
        <v>04-08-2020</v>
      </c>
      <c r="X900" t="str">
        <f t="shared" si="367"/>
        <v>RAZIMAH ANSAR AHMAD</v>
      </c>
      <c r="Y900" t="str">
        <f t="shared" si="368"/>
        <v>04-08-2020</v>
      </c>
      <c r="Z900" t="str">
        <f>"COS10200804 8254"</f>
        <v>COS10200804 8254</v>
      </c>
    </row>
    <row r="901" spans="1:26" x14ac:dyDescent="0.25">
      <c r="A901" t="str">
        <f t="shared" si="377"/>
        <v>04-08-2020 01:11:00</v>
      </c>
      <c r="B901" t="str">
        <f>"0000810058"</f>
        <v>0000810058</v>
      </c>
      <c r="C901" t="str">
        <f t="shared" si="378"/>
        <v>0000810005</v>
      </c>
      <c r="D901" t="str">
        <f t="shared" si="356"/>
        <v>73185</v>
      </c>
      <c r="E901" t="str">
        <f t="shared" si="357"/>
        <v>KFH-OPERATIONS DEPARTMENT</v>
      </c>
      <c r="F901" t="str">
        <f t="shared" si="358"/>
        <v>IBG</v>
      </c>
      <c r="G901" t="str">
        <f t="shared" si="369"/>
        <v>Refund COSHARE 10</v>
      </c>
      <c r="H901" s="2">
        <v>125.95</v>
      </c>
      <c r="I901" t="str">
        <f>"NOR AHMADI BIN SAARI"</f>
        <v>NOR AHMADI BIN SAARI</v>
      </c>
      <c r="J901" t="str">
        <f t="shared" si="376"/>
        <v>PUBLIC BANK / PUBLIC ISLAMIC BANK</v>
      </c>
      <c r="K901" t="str">
        <f>"4817496126"</f>
        <v>4817496126</v>
      </c>
      <c r="L901" t="str">
        <f t="shared" si="379"/>
        <v>04-08-2020</v>
      </c>
      <c r="M901" t="str">
        <f t="shared" si="379"/>
        <v>04-08-2020</v>
      </c>
      <c r="N901" t="str">
        <f t="shared" si="359"/>
        <v>001105018356</v>
      </c>
      <c r="O901" t="str">
        <f t="shared" si="360"/>
        <v>MYR</v>
      </c>
      <c r="P901" t="str">
        <f t="shared" si="380"/>
        <v>NIL</v>
      </c>
      <c r="Q901" t="str">
        <f t="shared" si="380"/>
        <v>NIL</v>
      </c>
      <c r="R901" t="str">
        <f t="shared" si="361"/>
        <v>Accepted</v>
      </c>
      <c r="S901" t="str">
        <f t="shared" si="362"/>
        <v>Approved</v>
      </c>
      <c r="T901" t="str">
        <f t="shared" si="363"/>
        <v>10.20.8.188</v>
      </c>
      <c r="U901" t="str">
        <f t="shared" si="364"/>
        <v>AZRAD UMAR BIN SHAARI</v>
      </c>
      <c r="V901" t="str">
        <f t="shared" si="365"/>
        <v>FARHANA BINTI MUSTAPA</v>
      </c>
      <c r="W901" t="str">
        <f t="shared" si="366"/>
        <v>04-08-2020</v>
      </c>
      <c r="X901" t="str">
        <f t="shared" si="367"/>
        <v>RAZIMAH ANSAR AHMAD</v>
      </c>
      <c r="Y901" t="str">
        <f t="shared" si="368"/>
        <v>04-08-2020</v>
      </c>
      <c r="Z901" t="str">
        <f>"COS10200804 8253"</f>
        <v>COS10200804 8253</v>
      </c>
    </row>
    <row r="902" spans="1:26" x14ac:dyDescent="0.25">
      <c r="A902" t="str">
        <f t="shared" si="377"/>
        <v>04-08-2020 01:11:00</v>
      </c>
      <c r="B902" t="str">
        <f>"0000810057"</f>
        <v>0000810057</v>
      </c>
      <c r="C902" t="str">
        <f t="shared" si="378"/>
        <v>0000810005</v>
      </c>
      <c r="D902" t="str">
        <f t="shared" si="356"/>
        <v>73185</v>
      </c>
      <c r="E902" t="str">
        <f t="shared" si="357"/>
        <v>KFH-OPERATIONS DEPARTMENT</v>
      </c>
      <c r="F902" t="str">
        <f t="shared" si="358"/>
        <v>IBG</v>
      </c>
      <c r="G902" t="str">
        <f t="shared" si="369"/>
        <v>Refund COSHARE 10</v>
      </c>
      <c r="H902" s="2">
        <v>122</v>
      </c>
      <c r="I902" t="str">
        <f>"NOORIZAM BIN JEMAT"</f>
        <v>NOORIZAM BIN JEMAT</v>
      </c>
      <c r="J902" t="str">
        <f t="shared" si="376"/>
        <v>PUBLIC BANK / PUBLIC ISLAMIC BANK</v>
      </c>
      <c r="K902" t="str">
        <f>"6891447514"</f>
        <v>6891447514</v>
      </c>
      <c r="L902" t="str">
        <f t="shared" si="379"/>
        <v>04-08-2020</v>
      </c>
      <c r="M902" t="str">
        <f t="shared" si="379"/>
        <v>04-08-2020</v>
      </c>
      <c r="N902" t="str">
        <f t="shared" si="359"/>
        <v>001105018356</v>
      </c>
      <c r="O902" t="str">
        <f t="shared" si="360"/>
        <v>MYR</v>
      </c>
      <c r="P902" t="str">
        <f t="shared" si="380"/>
        <v>NIL</v>
      </c>
      <c r="Q902" t="str">
        <f t="shared" si="380"/>
        <v>NIL</v>
      </c>
      <c r="R902" t="str">
        <f t="shared" si="361"/>
        <v>Accepted</v>
      </c>
      <c r="S902" t="str">
        <f t="shared" si="362"/>
        <v>Approved</v>
      </c>
      <c r="T902" t="str">
        <f t="shared" si="363"/>
        <v>10.20.8.188</v>
      </c>
      <c r="U902" t="str">
        <f t="shared" si="364"/>
        <v>AZRAD UMAR BIN SHAARI</v>
      </c>
      <c r="V902" t="str">
        <f t="shared" si="365"/>
        <v>FARHANA BINTI MUSTAPA</v>
      </c>
      <c r="W902" t="str">
        <f t="shared" si="366"/>
        <v>04-08-2020</v>
      </c>
      <c r="X902" t="str">
        <f t="shared" si="367"/>
        <v>RAZIMAH ANSAR AHMAD</v>
      </c>
      <c r="Y902" t="str">
        <f t="shared" si="368"/>
        <v>04-08-2020</v>
      </c>
      <c r="Z902" t="str">
        <f>"COS10200804 8252"</f>
        <v>COS10200804 8252</v>
      </c>
    </row>
    <row r="903" spans="1:26" x14ac:dyDescent="0.25">
      <c r="A903" t="str">
        <f t="shared" si="377"/>
        <v>04-08-2020 01:11:00</v>
      </c>
      <c r="B903" t="str">
        <f>"0000810056"</f>
        <v>0000810056</v>
      </c>
      <c r="C903" t="str">
        <f t="shared" si="378"/>
        <v>0000810005</v>
      </c>
      <c r="D903" t="str">
        <f t="shared" ref="D903:D966" si="381">"73185"</f>
        <v>73185</v>
      </c>
      <c r="E903" t="str">
        <f t="shared" ref="E903:E966" si="382">"KFH-OPERATIONS DEPARTMENT"</f>
        <v>KFH-OPERATIONS DEPARTMENT</v>
      </c>
      <c r="F903" t="str">
        <f t="shared" ref="F903:F966" si="383">"IBG"</f>
        <v>IBG</v>
      </c>
      <c r="G903" t="str">
        <f t="shared" si="369"/>
        <v>Refund COSHARE 10</v>
      </c>
      <c r="H903" s="2">
        <v>1017.15</v>
      </c>
      <c r="I903" t="str">
        <f>"NOOR ZAINI BINTI ABD LATEF"</f>
        <v>NOOR ZAINI BINTI ABD LATEF</v>
      </c>
      <c r="J903" t="str">
        <f t="shared" si="376"/>
        <v>PUBLIC BANK / PUBLIC ISLAMIC BANK</v>
      </c>
      <c r="K903" t="str">
        <f>"4325531332"</f>
        <v>4325531332</v>
      </c>
      <c r="L903" t="str">
        <f t="shared" si="379"/>
        <v>04-08-2020</v>
      </c>
      <c r="M903" t="str">
        <f t="shared" si="379"/>
        <v>04-08-2020</v>
      </c>
      <c r="N903" t="str">
        <f t="shared" ref="N903:N966" si="384">"001105018356"</f>
        <v>001105018356</v>
      </c>
      <c r="O903" t="str">
        <f t="shared" ref="O903:O966" si="385">"MYR"</f>
        <v>MYR</v>
      </c>
      <c r="P903" t="str">
        <f t="shared" si="380"/>
        <v>NIL</v>
      </c>
      <c r="Q903" t="str">
        <f t="shared" si="380"/>
        <v>NIL</v>
      </c>
      <c r="R903" t="str">
        <f t="shared" ref="R903:R966" si="386">"Accepted"</f>
        <v>Accepted</v>
      </c>
      <c r="S903" t="str">
        <f t="shared" ref="S903:S966" si="387">"Approved"</f>
        <v>Approved</v>
      </c>
      <c r="T903" t="str">
        <f t="shared" ref="T903:T966" si="388">"10.20.8.188"</f>
        <v>10.20.8.188</v>
      </c>
      <c r="U903" t="str">
        <f t="shared" ref="U903:U966" si="389">"AZRAD UMAR BIN SHAARI"</f>
        <v>AZRAD UMAR BIN SHAARI</v>
      </c>
      <c r="V903" t="str">
        <f t="shared" ref="V903:V966" si="390">"FARHANA BINTI MUSTAPA"</f>
        <v>FARHANA BINTI MUSTAPA</v>
      </c>
      <c r="W903" t="str">
        <f t="shared" ref="W903:W966" si="391">"04-08-2020"</f>
        <v>04-08-2020</v>
      </c>
      <c r="X903" t="str">
        <f t="shared" ref="X903:X966" si="392">"RAZIMAH ANSAR AHMAD"</f>
        <v>RAZIMAH ANSAR AHMAD</v>
      </c>
      <c r="Y903" t="str">
        <f t="shared" ref="Y903:Y966" si="393">"04-08-2020"</f>
        <v>04-08-2020</v>
      </c>
      <c r="Z903" t="str">
        <f>"COS10200804 8251"</f>
        <v>COS10200804 8251</v>
      </c>
    </row>
    <row r="904" spans="1:26" x14ac:dyDescent="0.25">
      <c r="A904" t="str">
        <f t="shared" si="377"/>
        <v>04-08-2020 01:11:00</v>
      </c>
      <c r="B904" t="str">
        <f>"0000810055"</f>
        <v>0000810055</v>
      </c>
      <c r="C904" t="str">
        <f t="shared" si="378"/>
        <v>0000810005</v>
      </c>
      <c r="D904" t="str">
        <f t="shared" si="381"/>
        <v>73185</v>
      </c>
      <c r="E904" t="str">
        <f t="shared" si="382"/>
        <v>KFH-OPERATIONS DEPARTMENT</v>
      </c>
      <c r="F904" t="str">
        <f t="shared" si="383"/>
        <v>IBG</v>
      </c>
      <c r="G904" t="str">
        <f t="shared" si="369"/>
        <v>Refund COSHARE 10</v>
      </c>
      <c r="H904" s="2">
        <v>1017.15</v>
      </c>
      <c r="I904" t="str">
        <f>"NOOR ZAINI BINTI ABD LATEF"</f>
        <v>NOOR ZAINI BINTI ABD LATEF</v>
      </c>
      <c r="J904" t="str">
        <f t="shared" si="376"/>
        <v>PUBLIC BANK / PUBLIC ISLAMIC BANK</v>
      </c>
      <c r="K904" t="str">
        <f>"4325531332"</f>
        <v>4325531332</v>
      </c>
      <c r="L904" t="str">
        <f t="shared" si="379"/>
        <v>04-08-2020</v>
      </c>
      <c r="M904" t="str">
        <f t="shared" si="379"/>
        <v>04-08-2020</v>
      </c>
      <c r="N904" t="str">
        <f t="shared" si="384"/>
        <v>001105018356</v>
      </c>
      <c r="O904" t="str">
        <f t="shared" si="385"/>
        <v>MYR</v>
      </c>
      <c r="P904" t="str">
        <f t="shared" si="380"/>
        <v>NIL</v>
      </c>
      <c r="Q904" t="str">
        <f t="shared" si="380"/>
        <v>NIL</v>
      </c>
      <c r="R904" t="str">
        <f t="shared" si="386"/>
        <v>Accepted</v>
      </c>
      <c r="S904" t="str">
        <f t="shared" si="387"/>
        <v>Approved</v>
      </c>
      <c r="T904" t="str">
        <f t="shared" si="388"/>
        <v>10.20.8.188</v>
      </c>
      <c r="U904" t="str">
        <f t="shared" si="389"/>
        <v>AZRAD UMAR BIN SHAARI</v>
      </c>
      <c r="V904" t="str">
        <f t="shared" si="390"/>
        <v>FARHANA BINTI MUSTAPA</v>
      </c>
      <c r="W904" t="str">
        <f t="shared" si="391"/>
        <v>04-08-2020</v>
      </c>
      <c r="X904" t="str">
        <f t="shared" si="392"/>
        <v>RAZIMAH ANSAR AHMAD</v>
      </c>
      <c r="Y904" t="str">
        <f t="shared" si="393"/>
        <v>04-08-2020</v>
      </c>
      <c r="Z904" t="str">
        <f>"COS10200804 8250"</f>
        <v>COS10200804 8250</v>
      </c>
    </row>
    <row r="905" spans="1:26" x14ac:dyDescent="0.25">
      <c r="A905" t="str">
        <f t="shared" si="377"/>
        <v>04-08-2020 01:11:00</v>
      </c>
      <c r="B905" t="str">
        <f>"0000810054"</f>
        <v>0000810054</v>
      </c>
      <c r="C905" t="str">
        <f t="shared" si="378"/>
        <v>0000810005</v>
      </c>
      <c r="D905" t="str">
        <f t="shared" si="381"/>
        <v>73185</v>
      </c>
      <c r="E905" t="str">
        <f t="shared" si="382"/>
        <v>KFH-OPERATIONS DEPARTMENT</v>
      </c>
      <c r="F905" t="str">
        <f t="shared" si="383"/>
        <v>IBG</v>
      </c>
      <c r="G905" t="str">
        <f t="shared" si="369"/>
        <v>Refund COSHARE 10</v>
      </c>
      <c r="H905" s="2">
        <v>361</v>
      </c>
      <c r="I905" t="str">
        <f>"NOOR SARAH BINTI ABU KASSIM"</f>
        <v>NOOR SARAH BINTI ABU KASSIM</v>
      </c>
      <c r="J905" t="str">
        <f t="shared" si="376"/>
        <v>PUBLIC BANK / PUBLIC ISLAMIC BANK</v>
      </c>
      <c r="K905" t="str">
        <f>"4509794502"</f>
        <v>4509794502</v>
      </c>
      <c r="L905" t="str">
        <f t="shared" si="379"/>
        <v>04-08-2020</v>
      </c>
      <c r="M905" t="str">
        <f t="shared" si="379"/>
        <v>04-08-2020</v>
      </c>
      <c r="N905" t="str">
        <f t="shared" si="384"/>
        <v>001105018356</v>
      </c>
      <c r="O905" t="str">
        <f t="shared" si="385"/>
        <v>MYR</v>
      </c>
      <c r="P905" t="str">
        <f t="shared" si="380"/>
        <v>NIL</v>
      </c>
      <c r="Q905" t="str">
        <f t="shared" si="380"/>
        <v>NIL</v>
      </c>
      <c r="R905" t="str">
        <f t="shared" si="386"/>
        <v>Accepted</v>
      </c>
      <c r="S905" t="str">
        <f t="shared" si="387"/>
        <v>Approved</v>
      </c>
      <c r="T905" t="str">
        <f t="shared" si="388"/>
        <v>10.20.8.188</v>
      </c>
      <c r="U905" t="str">
        <f t="shared" si="389"/>
        <v>AZRAD UMAR BIN SHAARI</v>
      </c>
      <c r="V905" t="str">
        <f t="shared" si="390"/>
        <v>FARHANA BINTI MUSTAPA</v>
      </c>
      <c r="W905" t="str">
        <f t="shared" si="391"/>
        <v>04-08-2020</v>
      </c>
      <c r="X905" t="str">
        <f t="shared" si="392"/>
        <v>RAZIMAH ANSAR AHMAD</v>
      </c>
      <c r="Y905" t="str">
        <f t="shared" si="393"/>
        <v>04-08-2020</v>
      </c>
      <c r="Z905" t="str">
        <f>"COS10200804 8249"</f>
        <v>COS10200804 8249</v>
      </c>
    </row>
    <row r="906" spans="1:26" x14ac:dyDescent="0.25">
      <c r="A906" t="str">
        <f t="shared" si="377"/>
        <v>04-08-2020 01:11:00</v>
      </c>
      <c r="B906" t="str">
        <f>"0000810053"</f>
        <v>0000810053</v>
      </c>
      <c r="C906" t="str">
        <f t="shared" si="378"/>
        <v>0000810005</v>
      </c>
      <c r="D906" t="str">
        <f t="shared" si="381"/>
        <v>73185</v>
      </c>
      <c r="E906" t="str">
        <f t="shared" si="382"/>
        <v>KFH-OPERATIONS DEPARTMENT</v>
      </c>
      <c r="F906" t="str">
        <f t="shared" si="383"/>
        <v>IBG</v>
      </c>
      <c r="G906" t="str">
        <f t="shared" si="369"/>
        <v>Refund COSHARE 10</v>
      </c>
      <c r="H906" s="2">
        <v>596.04999999999995</v>
      </c>
      <c r="I906" t="str">
        <f>"NOOR ASMAHANIM BINTI SAHAROM"</f>
        <v>NOOR ASMAHANIM BINTI SAHAROM</v>
      </c>
      <c r="J906" t="str">
        <f t="shared" si="376"/>
        <v>PUBLIC BANK / PUBLIC ISLAMIC BANK</v>
      </c>
      <c r="K906" t="str">
        <f>"4502698219"</f>
        <v>4502698219</v>
      </c>
      <c r="L906" t="str">
        <f t="shared" si="379"/>
        <v>04-08-2020</v>
      </c>
      <c r="M906" t="str">
        <f t="shared" si="379"/>
        <v>04-08-2020</v>
      </c>
      <c r="N906" t="str">
        <f t="shared" si="384"/>
        <v>001105018356</v>
      </c>
      <c r="O906" t="str">
        <f t="shared" si="385"/>
        <v>MYR</v>
      </c>
      <c r="P906" t="str">
        <f t="shared" si="380"/>
        <v>NIL</v>
      </c>
      <c r="Q906" t="str">
        <f t="shared" si="380"/>
        <v>NIL</v>
      </c>
      <c r="R906" t="str">
        <f t="shared" si="386"/>
        <v>Accepted</v>
      </c>
      <c r="S906" t="str">
        <f t="shared" si="387"/>
        <v>Approved</v>
      </c>
      <c r="T906" t="str">
        <f t="shared" si="388"/>
        <v>10.20.8.188</v>
      </c>
      <c r="U906" t="str">
        <f t="shared" si="389"/>
        <v>AZRAD UMAR BIN SHAARI</v>
      </c>
      <c r="V906" t="str">
        <f t="shared" si="390"/>
        <v>FARHANA BINTI MUSTAPA</v>
      </c>
      <c r="W906" t="str">
        <f t="shared" si="391"/>
        <v>04-08-2020</v>
      </c>
      <c r="X906" t="str">
        <f t="shared" si="392"/>
        <v>RAZIMAH ANSAR AHMAD</v>
      </c>
      <c r="Y906" t="str">
        <f t="shared" si="393"/>
        <v>04-08-2020</v>
      </c>
      <c r="Z906" t="str">
        <f>"COS10200804 8248"</f>
        <v>COS10200804 8248</v>
      </c>
    </row>
    <row r="907" spans="1:26" x14ac:dyDescent="0.25">
      <c r="A907" t="str">
        <f t="shared" si="377"/>
        <v>04-08-2020 01:11:00</v>
      </c>
      <c r="B907" t="str">
        <f>"0000810052"</f>
        <v>0000810052</v>
      </c>
      <c r="C907" t="str">
        <f t="shared" si="378"/>
        <v>0000810005</v>
      </c>
      <c r="D907" t="str">
        <f t="shared" si="381"/>
        <v>73185</v>
      </c>
      <c r="E907" t="str">
        <f t="shared" si="382"/>
        <v>KFH-OPERATIONS DEPARTMENT</v>
      </c>
      <c r="F907" t="str">
        <f t="shared" si="383"/>
        <v>IBG</v>
      </c>
      <c r="G907" t="str">
        <f t="shared" si="369"/>
        <v>Refund COSHARE 10</v>
      </c>
      <c r="H907" s="2">
        <v>1049</v>
      </c>
      <c r="I907" t="str">
        <f>"NICHOLAS SALUTAN"</f>
        <v>NICHOLAS SALUTAN</v>
      </c>
      <c r="J907" t="str">
        <f t="shared" si="376"/>
        <v>PUBLIC BANK / PUBLIC ISLAMIC BANK</v>
      </c>
      <c r="K907" t="str">
        <f>"4915554511"</f>
        <v>4915554511</v>
      </c>
      <c r="L907" t="str">
        <f t="shared" ref="L907:M926" si="394">"04-08-2020"</f>
        <v>04-08-2020</v>
      </c>
      <c r="M907" t="str">
        <f t="shared" si="394"/>
        <v>04-08-2020</v>
      </c>
      <c r="N907" t="str">
        <f t="shared" si="384"/>
        <v>001105018356</v>
      </c>
      <c r="O907" t="str">
        <f t="shared" si="385"/>
        <v>MYR</v>
      </c>
      <c r="P907" t="str">
        <f t="shared" ref="P907:Q926" si="395">"NIL"</f>
        <v>NIL</v>
      </c>
      <c r="Q907" t="str">
        <f t="shared" si="395"/>
        <v>NIL</v>
      </c>
      <c r="R907" t="str">
        <f t="shared" si="386"/>
        <v>Accepted</v>
      </c>
      <c r="S907" t="str">
        <f t="shared" si="387"/>
        <v>Approved</v>
      </c>
      <c r="T907" t="str">
        <f t="shared" si="388"/>
        <v>10.20.8.188</v>
      </c>
      <c r="U907" t="str">
        <f t="shared" si="389"/>
        <v>AZRAD UMAR BIN SHAARI</v>
      </c>
      <c r="V907" t="str">
        <f t="shared" si="390"/>
        <v>FARHANA BINTI MUSTAPA</v>
      </c>
      <c r="W907" t="str">
        <f t="shared" si="391"/>
        <v>04-08-2020</v>
      </c>
      <c r="X907" t="str">
        <f t="shared" si="392"/>
        <v>RAZIMAH ANSAR AHMAD</v>
      </c>
      <c r="Y907" t="str">
        <f t="shared" si="393"/>
        <v>04-08-2020</v>
      </c>
      <c r="Z907" t="str">
        <f>"COS10200804 8247"</f>
        <v>COS10200804 8247</v>
      </c>
    </row>
    <row r="908" spans="1:26" x14ac:dyDescent="0.25">
      <c r="A908" t="str">
        <f t="shared" si="377"/>
        <v>04-08-2020 01:11:00</v>
      </c>
      <c r="B908" t="str">
        <f>"0000810051"</f>
        <v>0000810051</v>
      </c>
      <c r="C908" t="str">
        <f t="shared" si="378"/>
        <v>0000810005</v>
      </c>
      <c r="D908" t="str">
        <f t="shared" si="381"/>
        <v>73185</v>
      </c>
      <c r="E908" t="str">
        <f t="shared" si="382"/>
        <v>KFH-OPERATIONS DEPARTMENT</v>
      </c>
      <c r="F908" t="str">
        <f t="shared" si="383"/>
        <v>IBG</v>
      </c>
      <c r="G908" t="str">
        <f t="shared" ref="G908:G971" si="396">"Refund COSHARE 10"</f>
        <v>Refund COSHARE 10</v>
      </c>
      <c r="H908" s="2">
        <v>1060.9000000000001</v>
      </c>
      <c r="I908" t="str">
        <f>"NGIENG SENG HUNG"</f>
        <v>NGIENG SENG HUNG</v>
      </c>
      <c r="J908" t="str">
        <f t="shared" si="376"/>
        <v>PUBLIC BANK / PUBLIC ISLAMIC BANK</v>
      </c>
      <c r="K908" t="str">
        <f>"4366558216"</f>
        <v>4366558216</v>
      </c>
      <c r="L908" t="str">
        <f t="shared" si="394"/>
        <v>04-08-2020</v>
      </c>
      <c r="M908" t="str">
        <f t="shared" si="394"/>
        <v>04-08-2020</v>
      </c>
      <c r="N908" t="str">
        <f t="shared" si="384"/>
        <v>001105018356</v>
      </c>
      <c r="O908" t="str">
        <f t="shared" si="385"/>
        <v>MYR</v>
      </c>
      <c r="P908" t="str">
        <f t="shared" si="395"/>
        <v>NIL</v>
      </c>
      <c r="Q908" t="str">
        <f t="shared" si="395"/>
        <v>NIL</v>
      </c>
      <c r="R908" t="str">
        <f t="shared" si="386"/>
        <v>Accepted</v>
      </c>
      <c r="S908" t="str">
        <f t="shared" si="387"/>
        <v>Approved</v>
      </c>
      <c r="T908" t="str">
        <f t="shared" si="388"/>
        <v>10.20.8.188</v>
      </c>
      <c r="U908" t="str">
        <f t="shared" si="389"/>
        <v>AZRAD UMAR BIN SHAARI</v>
      </c>
      <c r="V908" t="str">
        <f t="shared" si="390"/>
        <v>FARHANA BINTI MUSTAPA</v>
      </c>
      <c r="W908" t="str">
        <f t="shared" si="391"/>
        <v>04-08-2020</v>
      </c>
      <c r="X908" t="str">
        <f t="shared" si="392"/>
        <v>RAZIMAH ANSAR AHMAD</v>
      </c>
      <c r="Y908" t="str">
        <f t="shared" si="393"/>
        <v>04-08-2020</v>
      </c>
      <c r="Z908" t="str">
        <f>"COS10200804 8246"</f>
        <v>COS10200804 8246</v>
      </c>
    </row>
    <row r="909" spans="1:26" x14ac:dyDescent="0.25">
      <c r="A909" t="str">
        <f t="shared" si="377"/>
        <v>04-08-2020 01:11:00</v>
      </c>
      <c r="B909" t="str">
        <f>"0000810050"</f>
        <v>0000810050</v>
      </c>
      <c r="C909" t="str">
        <f t="shared" si="378"/>
        <v>0000810005</v>
      </c>
      <c r="D909" t="str">
        <f t="shared" si="381"/>
        <v>73185</v>
      </c>
      <c r="E909" t="str">
        <f t="shared" si="382"/>
        <v>KFH-OPERATIONS DEPARTMENT</v>
      </c>
      <c r="F909" t="str">
        <f t="shared" si="383"/>
        <v>IBG</v>
      </c>
      <c r="G909" t="str">
        <f t="shared" si="396"/>
        <v>Refund COSHARE 10</v>
      </c>
      <c r="H909" s="2">
        <v>251.85</v>
      </c>
      <c r="I909" t="str">
        <f>"NELLY NOR AINI BINTI YUSUF"</f>
        <v>NELLY NOR AINI BINTI YUSUF</v>
      </c>
      <c r="J909" t="str">
        <f t="shared" si="376"/>
        <v>PUBLIC BANK / PUBLIC ISLAMIC BANK</v>
      </c>
      <c r="K909" t="str">
        <f>"4889304333"</f>
        <v>4889304333</v>
      </c>
      <c r="L909" t="str">
        <f t="shared" si="394"/>
        <v>04-08-2020</v>
      </c>
      <c r="M909" t="str">
        <f t="shared" si="394"/>
        <v>04-08-2020</v>
      </c>
      <c r="N909" t="str">
        <f t="shared" si="384"/>
        <v>001105018356</v>
      </c>
      <c r="O909" t="str">
        <f t="shared" si="385"/>
        <v>MYR</v>
      </c>
      <c r="P909" t="str">
        <f t="shared" si="395"/>
        <v>NIL</v>
      </c>
      <c r="Q909" t="str">
        <f t="shared" si="395"/>
        <v>NIL</v>
      </c>
      <c r="R909" t="str">
        <f t="shared" si="386"/>
        <v>Accepted</v>
      </c>
      <c r="S909" t="str">
        <f t="shared" si="387"/>
        <v>Approved</v>
      </c>
      <c r="T909" t="str">
        <f t="shared" si="388"/>
        <v>10.20.8.188</v>
      </c>
      <c r="U909" t="str">
        <f t="shared" si="389"/>
        <v>AZRAD UMAR BIN SHAARI</v>
      </c>
      <c r="V909" t="str">
        <f t="shared" si="390"/>
        <v>FARHANA BINTI MUSTAPA</v>
      </c>
      <c r="W909" t="str">
        <f t="shared" si="391"/>
        <v>04-08-2020</v>
      </c>
      <c r="X909" t="str">
        <f t="shared" si="392"/>
        <v>RAZIMAH ANSAR AHMAD</v>
      </c>
      <c r="Y909" t="str">
        <f t="shared" si="393"/>
        <v>04-08-2020</v>
      </c>
      <c r="Z909" t="str">
        <f>"COS10200804 8245"</f>
        <v>COS10200804 8245</v>
      </c>
    </row>
    <row r="910" spans="1:26" x14ac:dyDescent="0.25">
      <c r="A910" t="str">
        <f t="shared" si="377"/>
        <v>04-08-2020 01:11:00</v>
      </c>
      <c r="B910" t="str">
        <f>"0000810049"</f>
        <v>0000810049</v>
      </c>
      <c r="C910" t="str">
        <f t="shared" si="378"/>
        <v>0000810005</v>
      </c>
      <c r="D910" t="str">
        <f t="shared" si="381"/>
        <v>73185</v>
      </c>
      <c r="E910" t="str">
        <f t="shared" si="382"/>
        <v>KFH-OPERATIONS DEPARTMENT</v>
      </c>
      <c r="F910" t="str">
        <f t="shared" si="383"/>
        <v>IBG</v>
      </c>
      <c r="G910" t="str">
        <f t="shared" si="396"/>
        <v>Refund COSHARE 10</v>
      </c>
      <c r="H910" s="2">
        <v>881.5</v>
      </c>
      <c r="I910" t="str">
        <f>"NAZAZILA BINTI KAMARUDDIN"</f>
        <v>NAZAZILA BINTI KAMARUDDIN</v>
      </c>
      <c r="J910" t="str">
        <f t="shared" si="376"/>
        <v>PUBLIC BANK / PUBLIC ISLAMIC BANK</v>
      </c>
      <c r="K910" t="str">
        <f>"6888666520"</f>
        <v>6888666520</v>
      </c>
      <c r="L910" t="str">
        <f t="shared" si="394"/>
        <v>04-08-2020</v>
      </c>
      <c r="M910" t="str">
        <f t="shared" si="394"/>
        <v>04-08-2020</v>
      </c>
      <c r="N910" t="str">
        <f t="shared" si="384"/>
        <v>001105018356</v>
      </c>
      <c r="O910" t="str">
        <f t="shared" si="385"/>
        <v>MYR</v>
      </c>
      <c r="P910" t="str">
        <f t="shared" si="395"/>
        <v>NIL</v>
      </c>
      <c r="Q910" t="str">
        <f t="shared" si="395"/>
        <v>NIL</v>
      </c>
      <c r="R910" t="str">
        <f t="shared" si="386"/>
        <v>Accepted</v>
      </c>
      <c r="S910" t="str">
        <f t="shared" si="387"/>
        <v>Approved</v>
      </c>
      <c r="T910" t="str">
        <f t="shared" si="388"/>
        <v>10.20.8.188</v>
      </c>
      <c r="U910" t="str">
        <f t="shared" si="389"/>
        <v>AZRAD UMAR BIN SHAARI</v>
      </c>
      <c r="V910" t="str">
        <f t="shared" si="390"/>
        <v>FARHANA BINTI MUSTAPA</v>
      </c>
      <c r="W910" t="str">
        <f t="shared" si="391"/>
        <v>04-08-2020</v>
      </c>
      <c r="X910" t="str">
        <f t="shared" si="392"/>
        <v>RAZIMAH ANSAR AHMAD</v>
      </c>
      <c r="Y910" t="str">
        <f t="shared" si="393"/>
        <v>04-08-2020</v>
      </c>
      <c r="Z910" t="str">
        <f>"COS10200804 8244"</f>
        <v>COS10200804 8244</v>
      </c>
    </row>
    <row r="911" spans="1:26" x14ac:dyDescent="0.25">
      <c r="A911" t="str">
        <f t="shared" si="377"/>
        <v>04-08-2020 01:11:00</v>
      </c>
      <c r="B911" t="str">
        <f>"0000810048"</f>
        <v>0000810048</v>
      </c>
      <c r="C911" t="str">
        <f t="shared" si="378"/>
        <v>0000810005</v>
      </c>
      <c r="D911" t="str">
        <f t="shared" si="381"/>
        <v>73185</v>
      </c>
      <c r="E911" t="str">
        <f t="shared" si="382"/>
        <v>KFH-OPERATIONS DEPARTMENT</v>
      </c>
      <c r="F911" t="str">
        <f t="shared" si="383"/>
        <v>IBG</v>
      </c>
      <c r="G911" t="str">
        <f t="shared" si="396"/>
        <v>Refund COSHARE 10</v>
      </c>
      <c r="H911" s="2">
        <v>453.35</v>
      </c>
      <c r="I911" t="str">
        <f>"NATASHA ABDULLAH"</f>
        <v>NATASHA ABDULLAH</v>
      </c>
      <c r="J911" t="str">
        <f t="shared" si="376"/>
        <v>PUBLIC BANK / PUBLIC ISLAMIC BANK</v>
      </c>
      <c r="K911" t="str">
        <f>"4805785536"</f>
        <v>4805785536</v>
      </c>
      <c r="L911" t="str">
        <f t="shared" si="394"/>
        <v>04-08-2020</v>
      </c>
      <c r="M911" t="str">
        <f t="shared" si="394"/>
        <v>04-08-2020</v>
      </c>
      <c r="N911" t="str">
        <f t="shared" si="384"/>
        <v>001105018356</v>
      </c>
      <c r="O911" t="str">
        <f t="shared" si="385"/>
        <v>MYR</v>
      </c>
      <c r="P911" t="str">
        <f t="shared" si="395"/>
        <v>NIL</v>
      </c>
      <c r="Q911" t="str">
        <f t="shared" si="395"/>
        <v>NIL</v>
      </c>
      <c r="R911" t="str">
        <f t="shared" si="386"/>
        <v>Accepted</v>
      </c>
      <c r="S911" t="str">
        <f t="shared" si="387"/>
        <v>Approved</v>
      </c>
      <c r="T911" t="str">
        <f t="shared" si="388"/>
        <v>10.20.8.188</v>
      </c>
      <c r="U911" t="str">
        <f t="shared" si="389"/>
        <v>AZRAD UMAR BIN SHAARI</v>
      </c>
      <c r="V911" t="str">
        <f t="shared" si="390"/>
        <v>FARHANA BINTI MUSTAPA</v>
      </c>
      <c r="W911" t="str">
        <f t="shared" si="391"/>
        <v>04-08-2020</v>
      </c>
      <c r="X911" t="str">
        <f t="shared" si="392"/>
        <v>RAZIMAH ANSAR AHMAD</v>
      </c>
      <c r="Y911" t="str">
        <f t="shared" si="393"/>
        <v>04-08-2020</v>
      </c>
      <c r="Z911" t="str">
        <f>"COS10200804 8243"</f>
        <v>COS10200804 8243</v>
      </c>
    </row>
    <row r="912" spans="1:26" x14ac:dyDescent="0.25">
      <c r="A912" t="str">
        <f t="shared" si="377"/>
        <v>04-08-2020 01:11:00</v>
      </c>
      <c r="B912" t="str">
        <f>"0000810047"</f>
        <v>0000810047</v>
      </c>
      <c r="C912" t="str">
        <f t="shared" si="378"/>
        <v>0000810005</v>
      </c>
      <c r="D912" t="str">
        <f t="shared" si="381"/>
        <v>73185</v>
      </c>
      <c r="E912" t="str">
        <f t="shared" si="382"/>
        <v>KFH-OPERATIONS DEPARTMENT</v>
      </c>
      <c r="F912" t="str">
        <f t="shared" si="383"/>
        <v>IBG</v>
      </c>
      <c r="G912" t="str">
        <f t="shared" si="396"/>
        <v>Refund COSHARE 10</v>
      </c>
      <c r="H912" s="2">
        <v>251.85</v>
      </c>
      <c r="I912" t="str">
        <f>"NANTAH AL PONNUSAMY"</f>
        <v>NANTAH AL PONNUSAMY</v>
      </c>
      <c r="J912" t="str">
        <f t="shared" si="376"/>
        <v>PUBLIC BANK / PUBLIC ISLAMIC BANK</v>
      </c>
      <c r="K912" t="str">
        <f>"4033189524"</f>
        <v>4033189524</v>
      </c>
      <c r="L912" t="str">
        <f t="shared" si="394"/>
        <v>04-08-2020</v>
      </c>
      <c r="M912" t="str">
        <f t="shared" si="394"/>
        <v>04-08-2020</v>
      </c>
      <c r="N912" t="str">
        <f t="shared" si="384"/>
        <v>001105018356</v>
      </c>
      <c r="O912" t="str">
        <f t="shared" si="385"/>
        <v>MYR</v>
      </c>
      <c r="P912" t="str">
        <f t="shared" si="395"/>
        <v>NIL</v>
      </c>
      <c r="Q912" t="str">
        <f t="shared" si="395"/>
        <v>NIL</v>
      </c>
      <c r="R912" t="str">
        <f t="shared" si="386"/>
        <v>Accepted</v>
      </c>
      <c r="S912" t="str">
        <f t="shared" si="387"/>
        <v>Approved</v>
      </c>
      <c r="T912" t="str">
        <f t="shared" si="388"/>
        <v>10.20.8.188</v>
      </c>
      <c r="U912" t="str">
        <f t="shared" si="389"/>
        <v>AZRAD UMAR BIN SHAARI</v>
      </c>
      <c r="V912" t="str">
        <f t="shared" si="390"/>
        <v>FARHANA BINTI MUSTAPA</v>
      </c>
      <c r="W912" t="str">
        <f t="shared" si="391"/>
        <v>04-08-2020</v>
      </c>
      <c r="X912" t="str">
        <f t="shared" si="392"/>
        <v>RAZIMAH ANSAR AHMAD</v>
      </c>
      <c r="Y912" t="str">
        <f t="shared" si="393"/>
        <v>04-08-2020</v>
      </c>
      <c r="Z912" t="str">
        <f>"COS10200804 8242"</f>
        <v>COS10200804 8242</v>
      </c>
    </row>
    <row r="913" spans="1:26" x14ac:dyDescent="0.25">
      <c r="A913" t="str">
        <f t="shared" si="377"/>
        <v>04-08-2020 01:11:00</v>
      </c>
      <c r="B913" t="str">
        <f>"0000810046"</f>
        <v>0000810046</v>
      </c>
      <c r="C913" t="str">
        <f t="shared" si="378"/>
        <v>0000810005</v>
      </c>
      <c r="D913" t="str">
        <f t="shared" si="381"/>
        <v>73185</v>
      </c>
      <c r="E913" t="str">
        <f t="shared" si="382"/>
        <v>KFH-OPERATIONS DEPARTMENT</v>
      </c>
      <c r="F913" t="str">
        <f t="shared" si="383"/>
        <v>IBG</v>
      </c>
      <c r="G913" t="str">
        <f t="shared" si="396"/>
        <v>Refund COSHARE 10</v>
      </c>
      <c r="H913" s="2">
        <v>1387</v>
      </c>
      <c r="I913" t="str">
        <f>"NADZIAH BINTI SHARKAWI"</f>
        <v>NADZIAH BINTI SHARKAWI</v>
      </c>
      <c r="J913" t="str">
        <f t="shared" si="376"/>
        <v>PUBLIC BANK / PUBLIC ISLAMIC BANK</v>
      </c>
      <c r="K913" t="str">
        <f>"4079985532"</f>
        <v>4079985532</v>
      </c>
      <c r="L913" t="str">
        <f t="shared" si="394"/>
        <v>04-08-2020</v>
      </c>
      <c r="M913" t="str">
        <f t="shared" si="394"/>
        <v>04-08-2020</v>
      </c>
      <c r="N913" t="str">
        <f t="shared" si="384"/>
        <v>001105018356</v>
      </c>
      <c r="O913" t="str">
        <f t="shared" si="385"/>
        <v>MYR</v>
      </c>
      <c r="P913" t="str">
        <f t="shared" si="395"/>
        <v>NIL</v>
      </c>
      <c r="Q913" t="str">
        <f t="shared" si="395"/>
        <v>NIL</v>
      </c>
      <c r="R913" t="str">
        <f t="shared" si="386"/>
        <v>Accepted</v>
      </c>
      <c r="S913" t="str">
        <f t="shared" si="387"/>
        <v>Approved</v>
      </c>
      <c r="T913" t="str">
        <f t="shared" si="388"/>
        <v>10.20.8.188</v>
      </c>
      <c r="U913" t="str">
        <f t="shared" si="389"/>
        <v>AZRAD UMAR BIN SHAARI</v>
      </c>
      <c r="V913" t="str">
        <f t="shared" si="390"/>
        <v>FARHANA BINTI MUSTAPA</v>
      </c>
      <c r="W913" t="str">
        <f t="shared" si="391"/>
        <v>04-08-2020</v>
      </c>
      <c r="X913" t="str">
        <f t="shared" si="392"/>
        <v>RAZIMAH ANSAR AHMAD</v>
      </c>
      <c r="Y913" t="str">
        <f t="shared" si="393"/>
        <v>04-08-2020</v>
      </c>
      <c r="Z913" t="str">
        <f>"COS10200804 8241"</f>
        <v>COS10200804 8241</v>
      </c>
    </row>
    <row r="914" spans="1:26" x14ac:dyDescent="0.25">
      <c r="A914" t="str">
        <f t="shared" ref="A914:A945" si="397">"04-08-2020 01:11:00"</f>
        <v>04-08-2020 01:11:00</v>
      </c>
      <c r="B914" t="str">
        <f>"0000810045"</f>
        <v>0000810045</v>
      </c>
      <c r="C914" t="str">
        <f t="shared" ref="C914:C945" si="398">"0000810005"</f>
        <v>0000810005</v>
      </c>
      <c r="D914" t="str">
        <f t="shared" si="381"/>
        <v>73185</v>
      </c>
      <c r="E914" t="str">
        <f t="shared" si="382"/>
        <v>KFH-OPERATIONS DEPARTMENT</v>
      </c>
      <c r="F914" t="str">
        <f t="shared" si="383"/>
        <v>IBG</v>
      </c>
      <c r="G914" t="str">
        <f t="shared" si="396"/>
        <v>Refund COSHARE 10</v>
      </c>
      <c r="H914" s="2">
        <v>569</v>
      </c>
      <c r="I914" t="str">
        <f>"MUTIARA MORNI"</f>
        <v>MUTIARA MORNI</v>
      </c>
      <c r="J914" t="str">
        <f t="shared" si="376"/>
        <v>PUBLIC BANK / PUBLIC ISLAMIC BANK</v>
      </c>
      <c r="K914" t="str">
        <f>"4825079529"</f>
        <v>4825079529</v>
      </c>
      <c r="L914" t="str">
        <f t="shared" si="394"/>
        <v>04-08-2020</v>
      </c>
      <c r="M914" t="str">
        <f t="shared" si="394"/>
        <v>04-08-2020</v>
      </c>
      <c r="N914" t="str">
        <f t="shared" si="384"/>
        <v>001105018356</v>
      </c>
      <c r="O914" t="str">
        <f t="shared" si="385"/>
        <v>MYR</v>
      </c>
      <c r="P914" t="str">
        <f t="shared" si="395"/>
        <v>NIL</v>
      </c>
      <c r="Q914" t="str">
        <f t="shared" si="395"/>
        <v>NIL</v>
      </c>
      <c r="R914" t="str">
        <f t="shared" si="386"/>
        <v>Accepted</v>
      </c>
      <c r="S914" t="str">
        <f t="shared" si="387"/>
        <v>Approved</v>
      </c>
      <c r="T914" t="str">
        <f t="shared" si="388"/>
        <v>10.20.8.188</v>
      </c>
      <c r="U914" t="str">
        <f t="shared" si="389"/>
        <v>AZRAD UMAR BIN SHAARI</v>
      </c>
      <c r="V914" t="str">
        <f t="shared" si="390"/>
        <v>FARHANA BINTI MUSTAPA</v>
      </c>
      <c r="W914" t="str">
        <f t="shared" si="391"/>
        <v>04-08-2020</v>
      </c>
      <c r="X914" t="str">
        <f t="shared" si="392"/>
        <v>RAZIMAH ANSAR AHMAD</v>
      </c>
      <c r="Y914" t="str">
        <f t="shared" si="393"/>
        <v>04-08-2020</v>
      </c>
      <c r="Z914" t="str">
        <f>"COS10200804 8240"</f>
        <v>COS10200804 8240</v>
      </c>
    </row>
    <row r="915" spans="1:26" x14ac:dyDescent="0.25">
      <c r="A915" t="str">
        <f t="shared" si="397"/>
        <v>04-08-2020 01:11:00</v>
      </c>
      <c r="B915" t="str">
        <f>"0000810044"</f>
        <v>0000810044</v>
      </c>
      <c r="C915" t="str">
        <f t="shared" si="398"/>
        <v>0000810005</v>
      </c>
      <c r="D915" t="str">
        <f t="shared" si="381"/>
        <v>73185</v>
      </c>
      <c r="E915" t="str">
        <f t="shared" si="382"/>
        <v>KFH-OPERATIONS DEPARTMENT</v>
      </c>
      <c r="F915" t="str">
        <f t="shared" si="383"/>
        <v>IBG</v>
      </c>
      <c r="G915" t="str">
        <f t="shared" si="396"/>
        <v>Refund COSHARE 10</v>
      </c>
      <c r="H915" s="2">
        <v>193.1</v>
      </c>
      <c r="I915" t="str">
        <f>"MUNI BINTI NESKOH"</f>
        <v>MUNI BINTI NESKOH</v>
      </c>
      <c r="J915" t="str">
        <f t="shared" si="376"/>
        <v>PUBLIC BANK / PUBLIC ISLAMIC BANK</v>
      </c>
      <c r="K915" t="str">
        <f>"4442488818"</f>
        <v>4442488818</v>
      </c>
      <c r="L915" t="str">
        <f t="shared" si="394"/>
        <v>04-08-2020</v>
      </c>
      <c r="M915" t="str">
        <f t="shared" si="394"/>
        <v>04-08-2020</v>
      </c>
      <c r="N915" t="str">
        <f t="shared" si="384"/>
        <v>001105018356</v>
      </c>
      <c r="O915" t="str">
        <f t="shared" si="385"/>
        <v>MYR</v>
      </c>
      <c r="P915" t="str">
        <f t="shared" si="395"/>
        <v>NIL</v>
      </c>
      <c r="Q915" t="str">
        <f t="shared" si="395"/>
        <v>NIL</v>
      </c>
      <c r="R915" t="str">
        <f t="shared" si="386"/>
        <v>Accepted</v>
      </c>
      <c r="S915" t="str">
        <f t="shared" si="387"/>
        <v>Approved</v>
      </c>
      <c r="T915" t="str">
        <f t="shared" si="388"/>
        <v>10.20.8.188</v>
      </c>
      <c r="U915" t="str">
        <f t="shared" si="389"/>
        <v>AZRAD UMAR BIN SHAARI</v>
      </c>
      <c r="V915" t="str">
        <f t="shared" si="390"/>
        <v>FARHANA BINTI MUSTAPA</v>
      </c>
      <c r="W915" t="str">
        <f t="shared" si="391"/>
        <v>04-08-2020</v>
      </c>
      <c r="X915" t="str">
        <f t="shared" si="392"/>
        <v>RAZIMAH ANSAR AHMAD</v>
      </c>
      <c r="Y915" t="str">
        <f t="shared" si="393"/>
        <v>04-08-2020</v>
      </c>
      <c r="Z915" t="str">
        <f>"COS10200804 8239"</f>
        <v>COS10200804 8239</v>
      </c>
    </row>
    <row r="916" spans="1:26" x14ac:dyDescent="0.25">
      <c r="A916" t="str">
        <f t="shared" si="397"/>
        <v>04-08-2020 01:11:00</v>
      </c>
      <c r="B916" t="str">
        <f>"0000810043"</f>
        <v>0000810043</v>
      </c>
      <c r="C916" t="str">
        <f t="shared" si="398"/>
        <v>0000810005</v>
      </c>
      <c r="D916" t="str">
        <f t="shared" si="381"/>
        <v>73185</v>
      </c>
      <c r="E916" t="str">
        <f t="shared" si="382"/>
        <v>KFH-OPERATIONS DEPARTMENT</v>
      </c>
      <c r="F916" t="str">
        <f t="shared" si="383"/>
        <v>IBG</v>
      </c>
      <c r="G916" t="str">
        <f t="shared" si="396"/>
        <v>Refund COSHARE 10</v>
      </c>
      <c r="H916" s="2">
        <v>176.3</v>
      </c>
      <c r="I916" t="str">
        <f>"MUHAMMAD REDZUAN BIN JAAFAR"</f>
        <v>MUHAMMAD REDZUAN BIN JAAFAR</v>
      </c>
      <c r="J916" t="str">
        <f t="shared" si="376"/>
        <v>PUBLIC BANK / PUBLIC ISLAMIC BANK</v>
      </c>
      <c r="K916" t="str">
        <f>"4856772728"</f>
        <v>4856772728</v>
      </c>
      <c r="L916" t="str">
        <f t="shared" si="394"/>
        <v>04-08-2020</v>
      </c>
      <c r="M916" t="str">
        <f t="shared" si="394"/>
        <v>04-08-2020</v>
      </c>
      <c r="N916" t="str">
        <f t="shared" si="384"/>
        <v>001105018356</v>
      </c>
      <c r="O916" t="str">
        <f t="shared" si="385"/>
        <v>MYR</v>
      </c>
      <c r="P916" t="str">
        <f t="shared" si="395"/>
        <v>NIL</v>
      </c>
      <c r="Q916" t="str">
        <f t="shared" si="395"/>
        <v>NIL</v>
      </c>
      <c r="R916" t="str">
        <f t="shared" si="386"/>
        <v>Accepted</v>
      </c>
      <c r="S916" t="str">
        <f t="shared" si="387"/>
        <v>Approved</v>
      </c>
      <c r="T916" t="str">
        <f t="shared" si="388"/>
        <v>10.20.8.188</v>
      </c>
      <c r="U916" t="str">
        <f t="shared" si="389"/>
        <v>AZRAD UMAR BIN SHAARI</v>
      </c>
      <c r="V916" t="str">
        <f t="shared" si="390"/>
        <v>FARHANA BINTI MUSTAPA</v>
      </c>
      <c r="W916" t="str">
        <f t="shared" si="391"/>
        <v>04-08-2020</v>
      </c>
      <c r="X916" t="str">
        <f t="shared" si="392"/>
        <v>RAZIMAH ANSAR AHMAD</v>
      </c>
      <c r="Y916" t="str">
        <f t="shared" si="393"/>
        <v>04-08-2020</v>
      </c>
      <c r="Z916" t="str">
        <f>"COS10200804 8238"</f>
        <v>COS10200804 8238</v>
      </c>
    </row>
    <row r="917" spans="1:26" x14ac:dyDescent="0.25">
      <c r="A917" t="str">
        <f t="shared" si="397"/>
        <v>04-08-2020 01:11:00</v>
      </c>
      <c r="B917" t="str">
        <f>"0000810042"</f>
        <v>0000810042</v>
      </c>
      <c r="C917" t="str">
        <f t="shared" si="398"/>
        <v>0000810005</v>
      </c>
      <c r="D917" t="str">
        <f t="shared" si="381"/>
        <v>73185</v>
      </c>
      <c r="E917" t="str">
        <f t="shared" si="382"/>
        <v>KFH-OPERATIONS DEPARTMENT</v>
      </c>
      <c r="F917" t="str">
        <f t="shared" si="383"/>
        <v>IBG</v>
      </c>
      <c r="G917" t="str">
        <f t="shared" si="396"/>
        <v>Refund COSHARE 10</v>
      </c>
      <c r="H917" s="2">
        <v>528.9</v>
      </c>
      <c r="I917" t="str">
        <f>"MUHAMAD ZUKRI BIN ZAHARI"</f>
        <v>MUHAMAD ZUKRI BIN ZAHARI</v>
      </c>
      <c r="J917" t="str">
        <f t="shared" si="376"/>
        <v>PUBLIC BANK / PUBLIC ISLAMIC BANK</v>
      </c>
      <c r="K917" t="str">
        <f>"4852783112"</f>
        <v>4852783112</v>
      </c>
      <c r="L917" t="str">
        <f t="shared" si="394"/>
        <v>04-08-2020</v>
      </c>
      <c r="M917" t="str">
        <f t="shared" si="394"/>
        <v>04-08-2020</v>
      </c>
      <c r="N917" t="str">
        <f t="shared" si="384"/>
        <v>001105018356</v>
      </c>
      <c r="O917" t="str">
        <f t="shared" si="385"/>
        <v>MYR</v>
      </c>
      <c r="P917" t="str">
        <f t="shared" si="395"/>
        <v>NIL</v>
      </c>
      <c r="Q917" t="str">
        <f t="shared" si="395"/>
        <v>NIL</v>
      </c>
      <c r="R917" t="str">
        <f t="shared" si="386"/>
        <v>Accepted</v>
      </c>
      <c r="S917" t="str">
        <f t="shared" si="387"/>
        <v>Approved</v>
      </c>
      <c r="T917" t="str">
        <f t="shared" si="388"/>
        <v>10.20.8.188</v>
      </c>
      <c r="U917" t="str">
        <f t="shared" si="389"/>
        <v>AZRAD UMAR BIN SHAARI</v>
      </c>
      <c r="V917" t="str">
        <f t="shared" si="390"/>
        <v>FARHANA BINTI MUSTAPA</v>
      </c>
      <c r="W917" t="str">
        <f t="shared" si="391"/>
        <v>04-08-2020</v>
      </c>
      <c r="X917" t="str">
        <f t="shared" si="392"/>
        <v>RAZIMAH ANSAR AHMAD</v>
      </c>
      <c r="Y917" t="str">
        <f t="shared" si="393"/>
        <v>04-08-2020</v>
      </c>
      <c r="Z917" t="str">
        <f>"COS10200804 8237"</f>
        <v>COS10200804 8237</v>
      </c>
    </row>
    <row r="918" spans="1:26" x14ac:dyDescent="0.25">
      <c r="A918" t="str">
        <f t="shared" si="397"/>
        <v>04-08-2020 01:11:00</v>
      </c>
      <c r="B918" t="str">
        <f>"0000810041"</f>
        <v>0000810041</v>
      </c>
      <c r="C918" t="str">
        <f t="shared" si="398"/>
        <v>0000810005</v>
      </c>
      <c r="D918" t="str">
        <f t="shared" si="381"/>
        <v>73185</v>
      </c>
      <c r="E918" t="str">
        <f t="shared" si="382"/>
        <v>KFH-OPERATIONS DEPARTMENT</v>
      </c>
      <c r="F918" t="str">
        <f t="shared" si="383"/>
        <v>IBG</v>
      </c>
      <c r="G918" t="str">
        <f t="shared" si="396"/>
        <v>Refund COSHARE 10</v>
      </c>
      <c r="H918" s="2">
        <v>698</v>
      </c>
      <c r="I918" t="str">
        <f>"MUHAMAD KHAIRUL BIN BADRIN"</f>
        <v>MUHAMAD KHAIRUL BIN BADRIN</v>
      </c>
      <c r="J918" t="str">
        <f t="shared" si="376"/>
        <v>PUBLIC BANK / PUBLIC ISLAMIC BANK</v>
      </c>
      <c r="K918" t="str">
        <f>"4858276312"</f>
        <v>4858276312</v>
      </c>
      <c r="L918" t="str">
        <f t="shared" si="394"/>
        <v>04-08-2020</v>
      </c>
      <c r="M918" t="str">
        <f t="shared" si="394"/>
        <v>04-08-2020</v>
      </c>
      <c r="N918" t="str">
        <f t="shared" si="384"/>
        <v>001105018356</v>
      </c>
      <c r="O918" t="str">
        <f t="shared" si="385"/>
        <v>MYR</v>
      </c>
      <c r="P918" t="str">
        <f t="shared" si="395"/>
        <v>NIL</v>
      </c>
      <c r="Q918" t="str">
        <f t="shared" si="395"/>
        <v>NIL</v>
      </c>
      <c r="R918" t="str">
        <f t="shared" si="386"/>
        <v>Accepted</v>
      </c>
      <c r="S918" t="str">
        <f t="shared" si="387"/>
        <v>Approved</v>
      </c>
      <c r="T918" t="str">
        <f t="shared" si="388"/>
        <v>10.20.8.188</v>
      </c>
      <c r="U918" t="str">
        <f t="shared" si="389"/>
        <v>AZRAD UMAR BIN SHAARI</v>
      </c>
      <c r="V918" t="str">
        <f t="shared" si="390"/>
        <v>FARHANA BINTI MUSTAPA</v>
      </c>
      <c r="W918" t="str">
        <f t="shared" si="391"/>
        <v>04-08-2020</v>
      </c>
      <c r="X918" t="str">
        <f t="shared" si="392"/>
        <v>RAZIMAH ANSAR AHMAD</v>
      </c>
      <c r="Y918" t="str">
        <f t="shared" si="393"/>
        <v>04-08-2020</v>
      </c>
      <c r="Z918" t="str">
        <f>"COS10200804 8236"</f>
        <v>COS10200804 8236</v>
      </c>
    </row>
    <row r="919" spans="1:26" x14ac:dyDescent="0.25">
      <c r="A919" t="str">
        <f t="shared" si="397"/>
        <v>04-08-2020 01:11:00</v>
      </c>
      <c r="B919" t="str">
        <f>"0000810040"</f>
        <v>0000810040</v>
      </c>
      <c r="C919" t="str">
        <f t="shared" si="398"/>
        <v>0000810005</v>
      </c>
      <c r="D919" t="str">
        <f t="shared" si="381"/>
        <v>73185</v>
      </c>
      <c r="E919" t="str">
        <f t="shared" si="382"/>
        <v>KFH-OPERATIONS DEPARTMENT</v>
      </c>
      <c r="F919" t="str">
        <f t="shared" si="383"/>
        <v>IBG</v>
      </c>
      <c r="G919" t="str">
        <f t="shared" si="396"/>
        <v>Refund COSHARE 10</v>
      </c>
      <c r="H919" s="2">
        <v>1321.2</v>
      </c>
      <c r="I919" t="str">
        <f>"MOKTAR BIN MASLIN"</f>
        <v>MOKTAR BIN MASLIN</v>
      </c>
      <c r="J919" t="str">
        <f t="shared" si="376"/>
        <v>PUBLIC BANK / PUBLIC ISLAMIC BANK</v>
      </c>
      <c r="K919" t="str">
        <f>"4727667025"</f>
        <v>4727667025</v>
      </c>
      <c r="L919" t="str">
        <f t="shared" si="394"/>
        <v>04-08-2020</v>
      </c>
      <c r="M919" t="str">
        <f t="shared" si="394"/>
        <v>04-08-2020</v>
      </c>
      <c r="N919" t="str">
        <f t="shared" si="384"/>
        <v>001105018356</v>
      </c>
      <c r="O919" t="str">
        <f t="shared" si="385"/>
        <v>MYR</v>
      </c>
      <c r="P919" t="str">
        <f t="shared" si="395"/>
        <v>NIL</v>
      </c>
      <c r="Q919" t="str">
        <f t="shared" si="395"/>
        <v>NIL</v>
      </c>
      <c r="R919" t="str">
        <f t="shared" si="386"/>
        <v>Accepted</v>
      </c>
      <c r="S919" t="str">
        <f t="shared" si="387"/>
        <v>Approved</v>
      </c>
      <c r="T919" t="str">
        <f t="shared" si="388"/>
        <v>10.20.8.188</v>
      </c>
      <c r="U919" t="str">
        <f t="shared" si="389"/>
        <v>AZRAD UMAR BIN SHAARI</v>
      </c>
      <c r="V919" t="str">
        <f t="shared" si="390"/>
        <v>FARHANA BINTI MUSTAPA</v>
      </c>
      <c r="W919" t="str">
        <f t="shared" si="391"/>
        <v>04-08-2020</v>
      </c>
      <c r="X919" t="str">
        <f t="shared" si="392"/>
        <v>RAZIMAH ANSAR AHMAD</v>
      </c>
      <c r="Y919" t="str">
        <f t="shared" si="393"/>
        <v>04-08-2020</v>
      </c>
      <c r="Z919" t="str">
        <f>"COS10200804 8235"</f>
        <v>COS10200804 8235</v>
      </c>
    </row>
    <row r="920" spans="1:26" x14ac:dyDescent="0.25">
      <c r="A920" t="str">
        <f t="shared" si="397"/>
        <v>04-08-2020 01:11:00</v>
      </c>
      <c r="B920" t="str">
        <f>"0000810039"</f>
        <v>0000810039</v>
      </c>
      <c r="C920" t="str">
        <f t="shared" si="398"/>
        <v>0000810005</v>
      </c>
      <c r="D920" t="str">
        <f t="shared" si="381"/>
        <v>73185</v>
      </c>
      <c r="E920" t="str">
        <f t="shared" si="382"/>
        <v>KFH-OPERATIONS DEPARTMENT</v>
      </c>
      <c r="F920" t="str">
        <f t="shared" si="383"/>
        <v>IBG</v>
      </c>
      <c r="G920" t="str">
        <f t="shared" si="396"/>
        <v>Refund COSHARE 10</v>
      </c>
      <c r="H920" s="2">
        <v>839.5</v>
      </c>
      <c r="I920" t="str">
        <f>"MOHD ZULKARNAIN BIN MUSBAH"</f>
        <v>MOHD ZULKARNAIN BIN MUSBAH</v>
      </c>
      <c r="J920" t="str">
        <f t="shared" si="376"/>
        <v>PUBLIC BANK / PUBLIC ISLAMIC BANK</v>
      </c>
      <c r="K920" t="str">
        <f>"4944383322"</f>
        <v>4944383322</v>
      </c>
      <c r="L920" t="str">
        <f t="shared" si="394"/>
        <v>04-08-2020</v>
      </c>
      <c r="M920" t="str">
        <f t="shared" si="394"/>
        <v>04-08-2020</v>
      </c>
      <c r="N920" t="str">
        <f t="shared" si="384"/>
        <v>001105018356</v>
      </c>
      <c r="O920" t="str">
        <f t="shared" si="385"/>
        <v>MYR</v>
      </c>
      <c r="P920" t="str">
        <f t="shared" si="395"/>
        <v>NIL</v>
      </c>
      <c r="Q920" t="str">
        <f t="shared" si="395"/>
        <v>NIL</v>
      </c>
      <c r="R920" t="str">
        <f t="shared" si="386"/>
        <v>Accepted</v>
      </c>
      <c r="S920" t="str">
        <f t="shared" si="387"/>
        <v>Approved</v>
      </c>
      <c r="T920" t="str">
        <f t="shared" si="388"/>
        <v>10.20.8.188</v>
      </c>
      <c r="U920" t="str">
        <f t="shared" si="389"/>
        <v>AZRAD UMAR BIN SHAARI</v>
      </c>
      <c r="V920" t="str">
        <f t="shared" si="390"/>
        <v>FARHANA BINTI MUSTAPA</v>
      </c>
      <c r="W920" t="str">
        <f t="shared" si="391"/>
        <v>04-08-2020</v>
      </c>
      <c r="X920" t="str">
        <f t="shared" si="392"/>
        <v>RAZIMAH ANSAR AHMAD</v>
      </c>
      <c r="Y920" t="str">
        <f t="shared" si="393"/>
        <v>04-08-2020</v>
      </c>
      <c r="Z920" t="str">
        <f>"COS10200804 8234"</f>
        <v>COS10200804 8234</v>
      </c>
    </row>
    <row r="921" spans="1:26" x14ac:dyDescent="0.25">
      <c r="A921" t="str">
        <f t="shared" si="397"/>
        <v>04-08-2020 01:11:00</v>
      </c>
      <c r="B921" t="str">
        <f>"0000810038"</f>
        <v>0000810038</v>
      </c>
      <c r="C921" t="str">
        <f t="shared" si="398"/>
        <v>0000810005</v>
      </c>
      <c r="D921" t="str">
        <f t="shared" si="381"/>
        <v>73185</v>
      </c>
      <c r="E921" t="str">
        <f t="shared" si="382"/>
        <v>KFH-OPERATIONS DEPARTMENT</v>
      </c>
      <c r="F921" t="str">
        <f t="shared" si="383"/>
        <v>IBG</v>
      </c>
      <c r="G921" t="str">
        <f t="shared" si="396"/>
        <v>Refund COSHARE 10</v>
      </c>
      <c r="H921" s="2">
        <v>76</v>
      </c>
      <c r="I921" t="str">
        <f>"MOHD ZUBIR BIN RAZALI"</f>
        <v>MOHD ZUBIR BIN RAZALI</v>
      </c>
      <c r="J921" t="str">
        <f t="shared" si="376"/>
        <v>PUBLIC BANK / PUBLIC ISLAMIC BANK</v>
      </c>
      <c r="K921" t="str">
        <f>"6893992400"</f>
        <v>6893992400</v>
      </c>
      <c r="L921" t="str">
        <f t="shared" si="394"/>
        <v>04-08-2020</v>
      </c>
      <c r="M921" t="str">
        <f t="shared" si="394"/>
        <v>04-08-2020</v>
      </c>
      <c r="N921" t="str">
        <f t="shared" si="384"/>
        <v>001105018356</v>
      </c>
      <c r="O921" t="str">
        <f t="shared" si="385"/>
        <v>MYR</v>
      </c>
      <c r="P921" t="str">
        <f t="shared" si="395"/>
        <v>NIL</v>
      </c>
      <c r="Q921" t="str">
        <f t="shared" si="395"/>
        <v>NIL</v>
      </c>
      <c r="R921" t="str">
        <f t="shared" si="386"/>
        <v>Accepted</v>
      </c>
      <c r="S921" t="str">
        <f t="shared" si="387"/>
        <v>Approved</v>
      </c>
      <c r="T921" t="str">
        <f t="shared" si="388"/>
        <v>10.20.8.188</v>
      </c>
      <c r="U921" t="str">
        <f t="shared" si="389"/>
        <v>AZRAD UMAR BIN SHAARI</v>
      </c>
      <c r="V921" t="str">
        <f t="shared" si="390"/>
        <v>FARHANA BINTI MUSTAPA</v>
      </c>
      <c r="W921" t="str">
        <f t="shared" si="391"/>
        <v>04-08-2020</v>
      </c>
      <c r="X921" t="str">
        <f t="shared" si="392"/>
        <v>RAZIMAH ANSAR AHMAD</v>
      </c>
      <c r="Y921" t="str">
        <f t="shared" si="393"/>
        <v>04-08-2020</v>
      </c>
      <c r="Z921" t="str">
        <f>"COS10200804 8233"</f>
        <v>COS10200804 8233</v>
      </c>
    </row>
    <row r="922" spans="1:26" x14ac:dyDescent="0.25">
      <c r="A922" t="str">
        <f t="shared" si="397"/>
        <v>04-08-2020 01:11:00</v>
      </c>
      <c r="B922" t="str">
        <f>"0000810037"</f>
        <v>0000810037</v>
      </c>
      <c r="C922" t="str">
        <f t="shared" si="398"/>
        <v>0000810005</v>
      </c>
      <c r="D922" t="str">
        <f t="shared" si="381"/>
        <v>73185</v>
      </c>
      <c r="E922" t="str">
        <f t="shared" si="382"/>
        <v>KFH-OPERATIONS DEPARTMENT</v>
      </c>
      <c r="F922" t="str">
        <f t="shared" si="383"/>
        <v>IBG</v>
      </c>
      <c r="G922" t="str">
        <f t="shared" si="396"/>
        <v>Refund COSHARE 10</v>
      </c>
      <c r="H922" s="2">
        <v>503.7</v>
      </c>
      <c r="I922" t="str">
        <f>"MOHD ZUBIR BIN MOHD RAZALI"</f>
        <v>MOHD ZUBIR BIN MOHD RAZALI</v>
      </c>
      <c r="J922" t="str">
        <f t="shared" si="376"/>
        <v>PUBLIC BANK / PUBLIC ISLAMIC BANK</v>
      </c>
      <c r="K922" t="str">
        <f>"6893992400"</f>
        <v>6893992400</v>
      </c>
      <c r="L922" t="str">
        <f t="shared" si="394"/>
        <v>04-08-2020</v>
      </c>
      <c r="M922" t="str">
        <f t="shared" si="394"/>
        <v>04-08-2020</v>
      </c>
      <c r="N922" t="str">
        <f t="shared" si="384"/>
        <v>001105018356</v>
      </c>
      <c r="O922" t="str">
        <f t="shared" si="385"/>
        <v>MYR</v>
      </c>
      <c r="P922" t="str">
        <f t="shared" si="395"/>
        <v>NIL</v>
      </c>
      <c r="Q922" t="str">
        <f t="shared" si="395"/>
        <v>NIL</v>
      </c>
      <c r="R922" t="str">
        <f t="shared" si="386"/>
        <v>Accepted</v>
      </c>
      <c r="S922" t="str">
        <f t="shared" si="387"/>
        <v>Approved</v>
      </c>
      <c r="T922" t="str">
        <f t="shared" si="388"/>
        <v>10.20.8.188</v>
      </c>
      <c r="U922" t="str">
        <f t="shared" si="389"/>
        <v>AZRAD UMAR BIN SHAARI</v>
      </c>
      <c r="V922" t="str">
        <f t="shared" si="390"/>
        <v>FARHANA BINTI MUSTAPA</v>
      </c>
      <c r="W922" t="str">
        <f t="shared" si="391"/>
        <v>04-08-2020</v>
      </c>
      <c r="X922" t="str">
        <f t="shared" si="392"/>
        <v>RAZIMAH ANSAR AHMAD</v>
      </c>
      <c r="Y922" t="str">
        <f t="shared" si="393"/>
        <v>04-08-2020</v>
      </c>
      <c r="Z922" t="str">
        <f>"COS10200804 8232"</f>
        <v>COS10200804 8232</v>
      </c>
    </row>
    <row r="923" spans="1:26" x14ac:dyDescent="0.25">
      <c r="A923" t="str">
        <f t="shared" si="397"/>
        <v>04-08-2020 01:11:00</v>
      </c>
      <c r="B923" t="str">
        <f>"0000810036"</f>
        <v>0000810036</v>
      </c>
      <c r="C923" t="str">
        <f t="shared" si="398"/>
        <v>0000810005</v>
      </c>
      <c r="D923" t="str">
        <f t="shared" si="381"/>
        <v>73185</v>
      </c>
      <c r="E923" t="str">
        <f t="shared" si="382"/>
        <v>KFH-OPERATIONS DEPARTMENT</v>
      </c>
      <c r="F923" t="str">
        <f t="shared" si="383"/>
        <v>IBG</v>
      </c>
      <c r="G923" t="str">
        <f t="shared" si="396"/>
        <v>Refund COSHARE 10</v>
      </c>
      <c r="H923" s="2">
        <v>1292.8499999999999</v>
      </c>
      <c r="I923" t="str">
        <f>"MOHD ZARIN BIN AMIN JOHARI"</f>
        <v>MOHD ZARIN BIN AMIN JOHARI</v>
      </c>
      <c r="J923" t="str">
        <f t="shared" si="376"/>
        <v>PUBLIC BANK / PUBLIC ISLAMIC BANK</v>
      </c>
      <c r="K923" t="str">
        <f>"6870661809"</f>
        <v>6870661809</v>
      </c>
      <c r="L923" t="str">
        <f t="shared" si="394"/>
        <v>04-08-2020</v>
      </c>
      <c r="M923" t="str">
        <f t="shared" si="394"/>
        <v>04-08-2020</v>
      </c>
      <c r="N923" t="str">
        <f t="shared" si="384"/>
        <v>001105018356</v>
      </c>
      <c r="O923" t="str">
        <f t="shared" si="385"/>
        <v>MYR</v>
      </c>
      <c r="P923" t="str">
        <f t="shared" si="395"/>
        <v>NIL</v>
      </c>
      <c r="Q923" t="str">
        <f t="shared" si="395"/>
        <v>NIL</v>
      </c>
      <c r="R923" t="str">
        <f t="shared" si="386"/>
        <v>Accepted</v>
      </c>
      <c r="S923" t="str">
        <f t="shared" si="387"/>
        <v>Approved</v>
      </c>
      <c r="T923" t="str">
        <f t="shared" si="388"/>
        <v>10.20.8.188</v>
      </c>
      <c r="U923" t="str">
        <f t="shared" si="389"/>
        <v>AZRAD UMAR BIN SHAARI</v>
      </c>
      <c r="V923" t="str">
        <f t="shared" si="390"/>
        <v>FARHANA BINTI MUSTAPA</v>
      </c>
      <c r="W923" t="str">
        <f t="shared" si="391"/>
        <v>04-08-2020</v>
      </c>
      <c r="X923" t="str">
        <f t="shared" si="392"/>
        <v>RAZIMAH ANSAR AHMAD</v>
      </c>
      <c r="Y923" t="str">
        <f t="shared" si="393"/>
        <v>04-08-2020</v>
      </c>
      <c r="Z923" t="str">
        <f>"COS10200804 8231"</f>
        <v>COS10200804 8231</v>
      </c>
    </row>
    <row r="924" spans="1:26" x14ac:dyDescent="0.25">
      <c r="A924" t="str">
        <f t="shared" si="397"/>
        <v>04-08-2020 01:11:00</v>
      </c>
      <c r="B924" t="str">
        <f>"0000810035"</f>
        <v>0000810035</v>
      </c>
      <c r="C924" t="str">
        <f t="shared" si="398"/>
        <v>0000810005</v>
      </c>
      <c r="D924" t="str">
        <f t="shared" si="381"/>
        <v>73185</v>
      </c>
      <c r="E924" t="str">
        <f t="shared" si="382"/>
        <v>KFH-OPERATIONS DEPARTMENT</v>
      </c>
      <c r="F924" t="str">
        <f t="shared" si="383"/>
        <v>IBG</v>
      </c>
      <c r="G924" t="str">
        <f t="shared" si="396"/>
        <v>Refund COSHARE 10</v>
      </c>
      <c r="H924" s="2">
        <v>117.55</v>
      </c>
      <c r="I924" t="str">
        <f>"MOHD SUHAIMI BIN BAHARUDIN"</f>
        <v>MOHD SUHAIMI BIN BAHARUDIN</v>
      </c>
      <c r="J924" t="str">
        <f t="shared" si="376"/>
        <v>PUBLIC BANK / PUBLIC ISLAMIC BANK</v>
      </c>
      <c r="K924" t="str">
        <f>"4872773801"</f>
        <v>4872773801</v>
      </c>
      <c r="L924" t="str">
        <f t="shared" si="394"/>
        <v>04-08-2020</v>
      </c>
      <c r="M924" t="str">
        <f t="shared" si="394"/>
        <v>04-08-2020</v>
      </c>
      <c r="N924" t="str">
        <f t="shared" si="384"/>
        <v>001105018356</v>
      </c>
      <c r="O924" t="str">
        <f t="shared" si="385"/>
        <v>MYR</v>
      </c>
      <c r="P924" t="str">
        <f t="shared" si="395"/>
        <v>NIL</v>
      </c>
      <c r="Q924" t="str">
        <f t="shared" si="395"/>
        <v>NIL</v>
      </c>
      <c r="R924" t="str">
        <f t="shared" si="386"/>
        <v>Accepted</v>
      </c>
      <c r="S924" t="str">
        <f t="shared" si="387"/>
        <v>Approved</v>
      </c>
      <c r="T924" t="str">
        <f t="shared" si="388"/>
        <v>10.20.8.188</v>
      </c>
      <c r="U924" t="str">
        <f t="shared" si="389"/>
        <v>AZRAD UMAR BIN SHAARI</v>
      </c>
      <c r="V924" t="str">
        <f t="shared" si="390"/>
        <v>FARHANA BINTI MUSTAPA</v>
      </c>
      <c r="W924" t="str">
        <f t="shared" si="391"/>
        <v>04-08-2020</v>
      </c>
      <c r="X924" t="str">
        <f t="shared" si="392"/>
        <v>RAZIMAH ANSAR AHMAD</v>
      </c>
      <c r="Y924" t="str">
        <f t="shared" si="393"/>
        <v>04-08-2020</v>
      </c>
      <c r="Z924" t="str">
        <f>"COS10200804 8230"</f>
        <v>COS10200804 8230</v>
      </c>
    </row>
    <row r="925" spans="1:26" x14ac:dyDescent="0.25">
      <c r="A925" t="str">
        <f t="shared" si="397"/>
        <v>04-08-2020 01:11:00</v>
      </c>
      <c r="B925" t="str">
        <f>"0000810034"</f>
        <v>0000810034</v>
      </c>
      <c r="C925" t="str">
        <f t="shared" si="398"/>
        <v>0000810005</v>
      </c>
      <c r="D925" t="str">
        <f t="shared" si="381"/>
        <v>73185</v>
      </c>
      <c r="E925" t="str">
        <f t="shared" si="382"/>
        <v>KFH-OPERATIONS DEPARTMENT</v>
      </c>
      <c r="F925" t="str">
        <f t="shared" si="383"/>
        <v>IBG</v>
      </c>
      <c r="G925" t="str">
        <f t="shared" si="396"/>
        <v>Refund COSHARE 10</v>
      </c>
      <c r="H925" s="2">
        <v>165.15</v>
      </c>
      <c r="I925" t="str">
        <f>"MOHD RAZI  MAIDAL BOTRASIT  RASIT"</f>
        <v>MOHD RAZI  MAIDAL BOTRASIT  RASIT</v>
      </c>
      <c r="J925" t="str">
        <f t="shared" si="376"/>
        <v>PUBLIC BANK / PUBLIC ISLAMIC BANK</v>
      </c>
      <c r="K925" t="str">
        <f>"4045704727"</f>
        <v>4045704727</v>
      </c>
      <c r="L925" t="str">
        <f t="shared" si="394"/>
        <v>04-08-2020</v>
      </c>
      <c r="M925" t="str">
        <f t="shared" si="394"/>
        <v>04-08-2020</v>
      </c>
      <c r="N925" t="str">
        <f t="shared" si="384"/>
        <v>001105018356</v>
      </c>
      <c r="O925" t="str">
        <f t="shared" si="385"/>
        <v>MYR</v>
      </c>
      <c r="P925" t="str">
        <f t="shared" si="395"/>
        <v>NIL</v>
      </c>
      <c r="Q925" t="str">
        <f t="shared" si="395"/>
        <v>NIL</v>
      </c>
      <c r="R925" t="str">
        <f t="shared" si="386"/>
        <v>Accepted</v>
      </c>
      <c r="S925" t="str">
        <f t="shared" si="387"/>
        <v>Approved</v>
      </c>
      <c r="T925" t="str">
        <f t="shared" si="388"/>
        <v>10.20.8.188</v>
      </c>
      <c r="U925" t="str">
        <f t="shared" si="389"/>
        <v>AZRAD UMAR BIN SHAARI</v>
      </c>
      <c r="V925" t="str">
        <f t="shared" si="390"/>
        <v>FARHANA BINTI MUSTAPA</v>
      </c>
      <c r="W925" t="str">
        <f t="shared" si="391"/>
        <v>04-08-2020</v>
      </c>
      <c r="X925" t="str">
        <f t="shared" si="392"/>
        <v>RAZIMAH ANSAR AHMAD</v>
      </c>
      <c r="Y925" t="str">
        <f t="shared" si="393"/>
        <v>04-08-2020</v>
      </c>
      <c r="Z925" t="str">
        <f>"COS10200804 8229"</f>
        <v>COS10200804 8229</v>
      </c>
    </row>
    <row r="926" spans="1:26" x14ac:dyDescent="0.25">
      <c r="A926" t="str">
        <f t="shared" si="397"/>
        <v>04-08-2020 01:11:00</v>
      </c>
      <c r="B926" t="str">
        <f>"0000810033"</f>
        <v>0000810033</v>
      </c>
      <c r="C926" t="str">
        <f t="shared" si="398"/>
        <v>0000810005</v>
      </c>
      <c r="D926" t="str">
        <f t="shared" si="381"/>
        <v>73185</v>
      </c>
      <c r="E926" t="str">
        <f t="shared" si="382"/>
        <v>KFH-OPERATIONS DEPARTMENT</v>
      </c>
      <c r="F926" t="str">
        <f t="shared" si="383"/>
        <v>IBG</v>
      </c>
      <c r="G926" t="str">
        <f t="shared" si="396"/>
        <v>Refund COSHARE 10</v>
      </c>
      <c r="H926" s="2">
        <v>608</v>
      </c>
      <c r="I926" t="str">
        <f>"MOHD RAZI  MAIDAL BOTRASIT  RASIT"</f>
        <v>MOHD RAZI  MAIDAL BOTRASIT  RASIT</v>
      </c>
      <c r="J926" t="str">
        <f t="shared" si="376"/>
        <v>PUBLIC BANK / PUBLIC ISLAMIC BANK</v>
      </c>
      <c r="K926" t="str">
        <f>"4045704727"</f>
        <v>4045704727</v>
      </c>
      <c r="L926" t="str">
        <f t="shared" si="394"/>
        <v>04-08-2020</v>
      </c>
      <c r="M926" t="str">
        <f t="shared" si="394"/>
        <v>04-08-2020</v>
      </c>
      <c r="N926" t="str">
        <f t="shared" si="384"/>
        <v>001105018356</v>
      </c>
      <c r="O926" t="str">
        <f t="shared" si="385"/>
        <v>MYR</v>
      </c>
      <c r="P926" t="str">
        <f t="shared" si="395"/>
        <v>NIL</v>
      </c>
      <c r="Q926" t="str">
        <f t="shared" si="395"/>
        <v>NIL</v>
      </c>
      <c r="R926" t="str">
        <f t="shared" si="386"/>
        <v>Accepted</v>
      </c>
      <c r="S926" t="str">
        <f t="shared" si="387"/>
        <v>Approved</v>
      </c>
      <c r="T926" t="str">
        <f t="shared" si="388"/>
        <v>10.20.8.188</v>
      </c>
      <c r="U926" t="str">
        <f t="shared" si="389"/>
        <v>AZRAD UMAR BIN SHAARI</v>
      </c>
      <c r="V926" t="str">
        <f t="shared" si="390"/>
        <v>FARHANA BINTI MUSTAPA</v>
      </c>
      <c r="W926" t="str">
        <f t="shared" si="391"/>
        <v>04-08-2020</v>
      </c>
      <c r="X926" t="str">
        <f t="shared" si="392"/>
        <v>RAZIMAH ANSAR AHMAD</v>
      </c>
      <c r="Y926" t="str">
        <f t="shared" si="393"/>
        <v>04-08-2020</v>
      </c>
      <c r="Z926" t="str">
        <f>"COS10200804 8228"</f>
        <v>COS10200804 8228</v>
      </c>
    </row>
    <row r="927" spans="1:26" x14ac:dyDescent="0.25">
      <c r="A927" t="str">
        <f t="shared" si="397"/>
        <v>04-08-2020 01:11:00</v>
      </c>
      <c r="B927" t="str">
        <f>"0000810032"</f>
        <v>0000810032</v>
      </c>
      <c r="C927" t="str">
        <f t="shared" si="398"/>
        <v>0000810005</v>
      </c>
      <c r="D927" t="str">
        <f t="shared" si="381"/>
        <v>73185</v>
      </c>
      <c r="E927" t="str">
        <f t="shared" si="382"/>
        <v>KFH-OPERATIONS DEPARTMENT</v>
      </c>
      <c r="F927" t="str">
        <f t="shared" si="383"/>
        <v>IBG</v>
      </c>
      <c r="G927" t="str">
        <f t="shared" si="396"/>
        <v>Refund COSHARE 10</v>
      </c>
      <c r="H927" s="2">
        <v>1427.15</v>
      </c>
      <c r="I927" t="str">
        <f>"MOHD RAFFI BIN MAKSIN"</f>
        <v>MOHD RAFFI BIN MAKSIN</v>
      </c>
      <c r="J927" t="str">
        <f t="shared" si="376"/>
        <v>PUBLIC BANK / PUBLIC ISLAMIC BANK</v>
      </c>
      <c r="K927" t="str">
        <f>"4047990225"</f>
        <v>4047990225</v>
      </c>
      <c r="L927" t="str">
        <f t="shared" ref="L927:M946" si="399">"04-08-2020"</f>
        <v>04-08-2020</v>
      </c>
      <c r="M927" t="str">
        <f t="shared" si="399"/>
        <v>04-08-2020</v>
      </c>
      <c r="N927" t="str">
        <f t="shared" si="384"/>
        <v>001105018356</v>
      </c>
      <c r="O927" t="str">
        <f t="shared" si="385"/>
        <v>MYR</v>
      </c>
      <c r="P927" t="str">
        <f t="shared" ref="P927:Q946" si="400">"NIL"</f>
        <v>NIL</v>
      </c>
      <c r="Q927" t="str">
        <f t="shared" si="400"/>
        <v>NIL</v>
      </c>
      <c r="R927" t="str">
        <f t="shared" si="386"/>
        <v>Accepted</v>
      </c>
      <c r="S927" t="str">
        <f t="shared" si="387"/>
        <v>Approved</v>
      </c>
      <c r="T927" t="str">
        <f t="shared" si="388"/>
        <v>10.20.8.188</v>
      </c>
      <c r="U927" t="str">
        <f t="shared" si="389"/>
        <v>AZRAD UMAR BIN SHAARI</v>
      </c>
      <c r="V927" t="str">
        <f t="shared" si="390"/>
        <v>FARHANA BINTI MUSTAPA</v>
      </c>
      <c r="W927" t="str">
        <f t="shared" si="391"/>
        <v>04-08-2020</v>
      </c>
      <c r="X927" t="str">
        <f t="shared" si="392"/>
        <v>RAZIMAH ANSAR AHMAD</v>
      </c>
      <c r="Y927" t="str">
        <f t="shared" si="393"/>
        <v>04-08-2020</v>
      </c>
      <c r="Z927" t="str">
        <f>"COS10200804 8227"</f>
        <v>COS10200804 8227</v>
      </c>
    </row>
    <row r="928" spans="1:26" x14ac:dyDescent="0.25">
      <c r="A928" t="str">
        <f t="shared" si="397"/>
        <v>04-08-2020 01:11:00</v>
      </c>
      <c r="B928" t="str">
        <f>"0000810031"</f>
        <v>0000810031</v>
      </c>
      <c r="C928" t="str">
        <f t="shared" si="398"/>
        <v>0000810005</v>
      </c>
      <c r="D928" t="str">
        <f t="shared" si="381"/>
        <v>73185</v>
      </c>
      <c r="E928" t="str">
        <f t="shared" si="382"/>
        <v>KFH-OPERATIONS DEPARTMENT</v>
      </c>
      <c r="F928" t="str">
        <f t="shared" si="383"/>
        <v>IBG</v>
      </c>
      <c r="G928" t="str">
        <f t="shared" si="396"/>
        <v>Refund COSHARE 10</v>
      </c>
      <c r="H928" s="2">
        <v>759</v>
      </c>
      <c r="I928" t="str">
        <f>"MOHD NUR SYAFIQ JASPER BIN ABDULLAH"</f>
        <v>MOHD NUR SYAFIQ JASPER BIN ABDULLAH</v>
      </c>
      <c r="J928" t="str">
        <f t="shared" si="376"/>
        <v>PUBLIC BANK / PUBLIC ISLAMIC BANK</v>
      </c>
      <c r="K928" t="str">
        <f>"4401298900"</f>
        <v>4401298900</v>
      </c>
      <c r="L928" t="str">
        <f t="shared" si="399"/>
        <v>04-08-2020</v>
      </c>
      <c r="M928" t="str">
        <f t="shared" si="399"/>
        <v>04-08-2020</v>
      </c>
      <c r="N928" t="str">
        <f t="shared" si="384"/>
        <v>001105018356</v>
      </c>
      <c r="O928" t="str">
        <f t="shared" si="385"/>
        <v>MYR</v>
      </c>
      <c r="P928" t="str">
        <f t="shared" si="400"/>
        <v>NIL</v>
      </c>
      <c r="Q928" t="str">
        <f t="shared" si="400"/>
        <v>NIL</v>
      </c>
      <c r="R928" t="str">
        <f t="shared" si="386"/>
        <v>Accepted</v>
      </c>
      <c r="S928" t="str">
        <f t="shared" si="387"/>
        <v>Approved</v>
      </c>
      <c r="T928" t="str">
        <f t="shared" si="388"/>
        <v>10.20.8.188</v>
      </c>
      <c r="U928" t="str">
        <f t="shared" si="389"/>
        <v>AZRAD UMAR BIN SHAARI</v>
      </c>
      <c r="V928" t="str">
        <f t="shared" si="390"/>
        <v>FARHANA BINTI MUSTAPA</v>
      </c>
      <c r="W928" t="str">
        <f t="shared" si="391"/>
        <v>04-08-2020</v>
      </c>
      <c r="X928" t="str">
        <f t="shared" si="392"/>
        <v>RAZIMAH ANSAR AHMAD</v>
      </c>
      <c r="Y928" t="str">
        <f t="shared" si="393"/>
        <v>04-08-2020</v>
      </c>
      <c r="Z928" t="str">
        <f>"COS10200804 8226"</f>
        <v>COS10200804 8226</v>
      </c>
    </row>
    <row r="929" spans="1:26" x14ac:dyDescent="0.25">
      <c r="A929" t="str">
        <f t="shared" si="397"/>
        <v>04-08-2020 01:11:00</v>
      </c>
      <c r="B929" t="str">
        <f>"0000810030"</f>
        <v>0000810030</v>
      </c>
      <c r="C929" t="str">
        <f t="shared" si="398"/>
        <v>0000810005</v>
      </c>
      <c r="D929" t="str">
        <f t="shared" si="381"/>
        <v>73185</v>
      </c>
      <c r="E929" t="str">
        <f t="shared" si="382"/>
        <v>KFH-OPERATIONS DEPARTMENT</v>
      </c>
      <c r="F929" t="str">
        <f t="shared" si="383"/>
        <v>IBG</v>
      </c>
      <c r="G929" t="str">
        <f t="shared" si="396"/>
        <v>Refund COSHARE 10</v>
      </c>
      <c r="H929" s="2">
        <v>42</v>
      </c>
      <c r="I929" t="str">
        <f>"MOHD NOR BIN TAMSILULLAH"</f>
        <v>MOHD NOR BIN TAMSILULLAH</v>
      </c>
      <c r="J929" t="str">
        <f t="shared" si="376"/>
        <v>PUBLIC BANK / PUBLIC ISLAMIC BANK</v>
      </c>
      <c r="K929" t="str">
        <f>"4479364019"</f>
        <v>4479364019</v>
      </c>
      <c r="L929" t="str">
        <f t="shared" si="399"/>
        <v>04-08-2020</v>
      </c>
      <c r="M929" t="str">
        <f t="shared" si="399"/>
        <v>04-08-2020</v>
      </c>
      <c r="N929" t="str">
        <f t="shared" si="384"/>
        <v>001105018356</v>
      </c>
      <c r="O929" t="str">
        <f t="shared" si="385"/>
        <v>MYR</v>
      </c>
      <c r="P929" t="str">
        <f t="shared" si="400"/>
        <v>NIL</v>
      </c>
      <c r="Q929" t="str">
        <f t="shared" si="400"/>
        <v>NIL</v>
      </c>
      <c r="R929" t="str">
        <f t="shared" si="386"/>
        <v>Accepted</v>
      </c>
      <c r="S929" t="str">
        <f t="shared" si="387"/>
        <v>Approved</v>
      </c>
      <c r="T929" t="str">
        <f t="shared" si="388"/>
        <v>10.20.8.188</v>
      </c>
      <c r="U929" t="str">
        <f t="shared" si="389"/>
        <v>AZRAD UMAR BIN SHAARI</v>
      </c>
      <c r="V929" t="str">
        <f t="shared" si="390"/>
        <v>FARHANA BINTI MUSTAPA</v>
      </c>
      <c r="W929" t="str">
        <f t="shared" si="391"/>
        <v>04-08-2020</v>
      </c>
      <c r="X929" t="str">
        <f t="shared" si="392"/>
        <v>RAZIMAH ANSAR AHMAD</v>
      </c>
      <c r="Y929" t="str">
        <f t="shared" si="393"/>
        <v>04-08-2020</v>
      </c>
      <c r="Z929" t="str">
        <f>"COS10200804 8225"</f>
        <v>COS10200804 8225</v>
      </c>
    </row>
    <row r="930" spans="1:26" x14ac:dyDescent="0.25">
      <c r="A930" t="str">
        <f t="shared" si="397"/>
        <v>04-08-2020 01:11:00</v>
      </c>
      <c r="B930" t="str">
        <f>"0000810029"</f>
        <v>0000810029</v>
      </c>
      <c r="C930" t="str">
        <f t="shared" si="398"/>
        <v>0000810005</v>
      </c>
      <c r="D930" t="str">
        <f t="shared" si="381"/>
        <v>73185</v>
      </c>
      <c r="E930" t="str">
        <f t="shared" si="382"/>
        <v>KFH-OPERATIONS DEPARTMENT</v>
      </c>
      <c r="F930" t="str">
        <f t="shared" si="383"/>
        <v>IBG</v>
      </c>
      <c r="G930" t="str">
        <f t="shared" si="396"/>
        <v>Refund COSHARE 10</v>
      </c>
      <c r="H930" s="2">
        <v>167.9</v>
      </c>
      <c r="I930" t="str">
        <f>"MOHD KHAIRY BIN ABU BAKAR"</f>
        <v>MOHD KHAIRY BIN ABU BAKAR</v>
      </c>
      <c r="J930" t="str">
        <f t="shared" si="376"/>
        <v>PUBLIC BANK / PUBLIC ISLAMIC BANK</v>
      </c>
      <c r="K930" t="str">
        <f>"4877803229"</f>
        <v>4877803229</v>
      </c>
      <c r="L930" t="str">
        <f t="shared" si="399"/>
        <v>04-08-2020</v>
      </c>
      <c r="M930" t="str">
        <f t="shared" si="399"/>
        <v>04-08-2020</v>
      </c>
      <c r="N930" t="str">
        <f t="shared" si="384"/>
        <v>001105018356</v>
      </c>
      <c r="O930" t="str">
        <f t="shared" si="385"/>
        <v>MYR</v>
      </c>
      <c r="P930" t="str">
        <f t="shared" si="400"/>
        <v>NIL</v>
      </c>
      <c r="Q930" t="str">
        <f t="shared" si="400"/>
        <v>NIL</v>
      </c>
      <c r="R930" t="str">
        <f t="shared" si="386"/>
        <v>Accepted</v>
      </c>
      <c r="S930" t="str">
        <f t="shared" si="387"/>
        <v>Approved</v>
      </c>
      <c r="T930" t="str">
        <f t="shared" si="388"/>
        <v>10.20.8.188</v>
      </c>
      <c r="U930" t="str">
        <f t="shared" si="389"/>
        <v>AZRAD UMAR BIN SHAARI</v>
      </c>
      <c r="V930" t="str">
        <f t="shared" si="390"/>
        <v>FARHANA BINTI MUSTAPA</v>
      </c>
      <c r="W930" t="str">
        <f t="shared" si="391"/>
        <v>04-08-2020</v>
      </c>
      <c r="X930" t="str">
        <f t="shared" si="392"/>
        <v>RAZIMAH ANSAR AHMAD</v>
      </c>
      <c r="Y930" t="str">
        <f t="shared" si="393"/>
        <v>04-08-2020</v>
      </c>
      <c r="Z930" t="str">
        <f>"COS10200804 8224"</f>
        <v>COS10200804 8224</v>
      </c>
    </row>
    <row r="931" spans="1:26" x14ac:dyDescent="0.25">
      <c r="A931" t="str">
        <f t="shared" si="397"/>
        <v>04-08-2020 01:11:00</v>
      </c>
      <c r="B931" t="str">
        <f>"0000810028"</f>
        <v>0000810028</v>
      </c>
      <c r="C931" t="str">
        <f t="shared" si="398"/>
        <v>0000810005</v>
      </c>
      <c r="D931" t="str">
        <f t="shared" si="381"/>
        <v>73185</v>
      </c>
      <c r="E931" t="str">
        <f t="shared" si="382"/>
        <v>KFH-OPERATIONS DEPARTMENT</v>
      </c>
      <c r="F931" t="str">
        <f t="shared" si="383"/>
        <v>IBG</v>
      </c>
      <c r="G931" t="str">
        <f t="shared" si="396"/>
        <v>Refund COSHARE 10</v>
      </c>
      <c r="H931" s="2">
        <v>839.5</v>
      </c>
      <c r="I931" t="str">
        <f>"MOHD IZNAN BIN IBRAHIM"</f>
        <v>MOHD IZNAN BIN IBRAHIM</v>
      </c>
      <c r="J931" t="str">
        <f t="shared" si="376"/>
        <v>PUBLIC BANK / PUBLIC ISLAMIC BANK</v>
      </c>
      <c r="K931" t="str">
        <f>"4568425721"</f>
        <v>4568425721</v>
      </c>
      <c r="L931" t="str">
        <f t="shared" si="399"/>
        <v>04-08-2020</v>
      </c>
      <c r="M931" t="str">
        <f t="shared" si="399"/>
        <v>04-08-2020</v>
      </c>
      <c r="N931" t="str">
        <f t="shared" si="384"/>
        <v>001105018356</v>
      </c>
      <c r="O931" t="str">
        <f t="shared" si="385"/>
        <v>MYR</v>
      </c>
      <c r="P931" t="str">
        <f t="shared" si="400"/>
        <v>NIL</v>
      </c>
      <c r="Q931" t="str">
        <f t="shared" si="400"/>
        <v>NIL</v>
      </c>
      <c r="R931" t="str">
        <f t="shared" si="386"/>
        <v>Accepted</v>
      </c>
      <c r="S931" t="str">
        <f t="shared" si="387"/>
        <v>Approved</v>
      </c>
      <c r="T931" t="str">
        <f t="shared" si="388"/>
        <v>10.20.8.188</v>
      </c>
      <c r="U931" t="str">
        <f t="shared" si="389"/>
        <v>AZRAD UMAR BIN SHAARI</v>
      </c>
      <c r="V931" t="str">
        <f t="shared" si="390"/>
        <v>FARHANA BINTI MUSTAPA</v>
      </c>
      <c r="W931" t="str">
        <f t="shared" si="391"/>
        <v>04-08-2020</v>
      </c>
      <c r="X931" t="str">
        <f t="shared" si="392"/>
        <v>RAZIMAH ANSAR AHMAD</v>
      </c>
      <c r="Y931" t="str">
        <f t="shared" si="393"/>
        <v>04-08-2020</v>
      </c>
      <c r="Z931" t="str">
        <f>"COS10200804 8223"</f>
        <v>COS10200804 8223</v>
      </c>
    </row>
    <row r="932" spans="1:26" x14ac:dyDescent="0.25">
      <c r="A932" t="str">
        <f t="shared" si="397"/>
        <v>04-08-2020 01:11:00</v>
      </c>
      <c r="B932" t="str">
        <f>"0000810027"</f>
        <v>0000810027</v>
      </c>
      <c r="C932" t="str">
        <f t="shared" si="398"/>
        <v>0000810005</v>
      </c>
      <c r="D932" t="str">
        <f t="shared" si="381"/>
        <v>73185</v>
      </c>
      <c r="E932" t="str">
        <f t="shared" si="382"/>
        <v>KFH-OPERATIONS DEPARTMENT</v>
      </c>
      <c r="F932" t="str">
        <f t="shared" si="383"/>
        <v>IBG</v>
      </c>
      <c r="G932" t="str">
        <f t="shared" si="396"/>
        <v>Refund COSHARE 10</v>
      </c>
      <c r="H932" s="2">
        <v>251.85</v>
      </c>
      <c r="I932" t="str">
        <f>"MOHD HAIRUL BIN HAMZAH"</f>
        <v>MOHD HAIRUL BIN HAMZAH</v>
      </c>
      <c r="J932" t="str">
        <f t="shared" si="376"/>
        <v>PUBLIC BANK / PUBLIC ISLAMIC BANK</v>
      </c>
      <c r="K932" t="str">
        <f>"4935503614"</f>
        <v>4935503614</v>
      </c>
      <c r="L932" t="str">
        <f t="shared" si="399"/>
        <v>04-08-2020</v>
      </c>
      <c r="M932" t="str">
        <f t="shared" si="399"/>
        <v>04-08-2020</v>
      </c>
      <c r="N932" t="str">
        <f t="shared" si="384"/>
        <v>001105018356</v>
      </c>
      <c r="O932" t="str">
        <f t="shared" si="385"/>
        <v>MYR</v>
      </c>
      <c r="P932" t="str">
        <f t="shared" si="400"/>
        <v>NIL</v>
      </c>
      <c r="Q932" t="str">
        <f t="shared" si="400"/>
        <v>NIL</v>
      </c>
      <c r="R932" t="str">
        <f t="shared" si="386"/>
        <v>Accepted</v>
      </c>
      <c r="S932" t="str">
        <f t="shared" si="387"/>
        <v>Approved</v>
      </c>
      <c r="T932" t="str">
        <f t="shared" si="388"/>
        <v>10.20.8.188</v>
      </c>
      <c r="U932" t="str">
        <f t="shared" si="389"/>
        <v>AZRAD UMAR BIN SHAARI</v>
      </c>
      <c r="V932" t="str">
        <f t="shared" si="390"/>
        <v>FARHANA BINTI MUSTAPA</v>
      </c>
      <c r="W932" t="str">
        <f t="shared" si="391"/>
        <v>04-08-2020</v>
      </c>
      <c r="X932" t="str">
        <f t="shared" si="392"/>
        <v>RAZIMAH ANSAR AHMAD</v>
      </c>
      <c r="Y932" t="str">
        <f t="shared" si="393"/>
        <v>04-08-2020</v>
      </c>
      <c r="Z932" t="str">
        <f>"COS10200804 8222"</f>
        <v>COS10200804 8222</v>
      </c>
    </row>
    <row r="933" spans="1:26" x14ac:dyDescent="0.25">
      <c r="A933" t="str">
        <f t="shared" si="397"/>
        <v>04-08-2020 01:11:00</v>
      </c>
      <c r="B933" t="str">
        <f>"0000810026"</f>
        <v>0000810026</v>
      </c>
      <c r="C933" t="str">
        <f t="shared" si="398"/>
        <v>0000810005</v>
      </c>
      <c r="D933" t="str">
        <f t="shared" si="381"/>
        <v>73185</v>
      </c>
      <c r="E933" t="str">
        <f t="shared" si="382"/>
        <v>KFH-OPERATIONS DEPARTMENT</v>
      </c>
      <c r="F933" t="str">
        <f t="shared" si="383"/>
        <v>IBG</v>
      </c>
      <c r="G933" t="str">
        <f t="shared" si="396"/>
        <v>Refund COSHARE 10</v>
      </c>
      <c r="H933" s="2">
        <v>797.55</v>
      </c>
      <c r="I933" t="str">
        <f>"MOHD HAFIS BIN HASSAN"</f>
        <v>MOHD HAFIS BIN HASSAN</v>
      </c>
      <c r="J933" t="str">
        <f t="shared" ref="J933:J996" si="401">"PUBLIC BANK / PUBLIC ISLAMIC BANK"</f>
        <v>PUBLIC BANK / PUBLIC ISLAMIC BANK</v>
      </c>
      <c r="K933" t="str">
        <f>"4847426803"</f>
        <v>4847426803</v>
      </c>
      <c r="L933" t="str">
        <f t="shared" si="399"/>
        <v>04-08-2020</v>
      </c>
      <c r="M933" t="str">
        <f t="shared" si="399"/>
        <v>04-08-2020</v>
      </c>
      <c r="N933" t="str">
        <f t="shared" si="384"/>
        <v>001105018356</v>
      </c>
      <c r="O933" t="str">
        <f t="shared" si="385"/>
        <v>MYR</v>
      </c>
      <c r="P933" t="str">
        <f t="shared" si="400"/>
        <v>NIL</v>
      </c>
      <c r="Q933" t="str">
        <f t="shared" si="400"/>
        <v>NIL</v>
      </c>
      <c r="R933" t="str">
        <f t="shared" si="386"/>
        <v>Accepted</v>
      </c>
      <c r="S933" t="str">
        <f t="shared" si="387"/>
        <v>Approved</v>
      </c>
      <c r="T933" t="str">
        <f t="shared" si="388"/>
        <v>10.20.8.188</v>
      </c>
      <c r="U933" t="str">
        <f t="shared" si="389"/>
        <v>AZRAD UMAR BIN SHAARI</v>
      </c>
      <c r="V933" t="str">
        <f t="shared" si="390"/>
        <v>FARHANA BINTI MUSTAPA</v>
      </c>
      <c r="W933" t="str">
        <f t="shared" si="391"/>
        <v>04-08-2020</v>
      </c>
      <c r="X933" t="str">
        <f t="shared" si="392"/>
        <v>RAZIMAH ANSAR AHMAD</v>
      </c>
      <c r="Y933" t="str">
        <f t="shared" si="393"/>
        <v>04-08-2020</v>
      </c>
      <c r="Z933" t="str">
        <f>"COS10200804 8221"</f>
        <v>COS10200804 8221</v>
      </c>
    </row>
    <row r="934" spans="1:26" x14ac:dyDescent="0.25">
      <c r="A934" t="str">
        <f t="shared" si="397"/>
        <v>04-08-2020 01:11:00</v>
      </c>
      <c r="B934" t="str">
        <f>"0000810025"</f>
        <v>0000810025</v>
      </c>
      <c r="C934" t="str">
        <f t="shared" si="398"/>
        <v>0000810005</v>
      </c>
      <c r="D934" t="str">
        <f t="shared" si="381"/>
        <v>73185</v>
      </c>
      <c r="E934" t="str">
        <f t="shared" si="382"/>
        <v>KFH-OPERATIONS DEPARTMENT</v>
      </c>
      <c r="F934" t="str">
        <f t="shared" si="383"/>
        <v>IBG</v>
      </c>
      <c r="G934" t="str">
        <f t="shared" si="396"/>
        <v>Refund COSHARE 10</v>
      </c>
      <c r="H934" s="2">
        <v>663.2</v>
      </c>
      <c r="I934" t="str">
        <f>"MOHD FITRI BIN HASSAN BASRI"</f>
        <v>MOHD FITRI BIN HASSAN BASRI</v>
      </c>
      <c r="J934" t="str">
        <f t="shared" si="401"/>
        <v>PUBLIC BANK / PUBLIC ISLAMIC BANK</v>
      </c>
      <c r="K934" t="str">
        <f>"4559545118"</f>
        <v>4559545118</v>
      </c>
      <c r="L934" t="str">
        <f t="shared" si="399"/>
        <v>04-08-2020</v>
      </c>
      <c r="M934" t="str">
        <f t="shared" si="399"/>
        <v>04-08-2020</v>
      </c>
      <c r="N934" t="str">
        <f t="shared" si="384"/>
        <v>001105018356</v>
      </c>
      <c r="O934" t="str">
        <f t="shared" si="385"/>
        <v>MYR</v>
      </c>
      <c r="P934" t="str">
        <f t="shared" si="400"/>
        <v>NIL</v>
      </c>
      <c r="Q934" t="str">
        <f t="shared" si="400"/>
        <v>NIL</v>
      </c>
      <c r="R934" t="str">
        <f t="shared" si="386"/>
        <v>Accepted</v>
      </c>
      <c r="S934" t="str">
        <f t="shared" si="387"/>
        <v>Approved</v>
      </c>
      <c r="T934" t="str">
        <f t="shared" si="388"/>
        <v>10.20.8.188</v>
      </c>
      <c r="U934" t="str">
        <f t="shared" si="389"/>
        <v>AZRAD UMAR BIN SHAARI</v>
      </c>
      <c r="V934" t="str">
        <f t="shared" si="390"/>
        <v>FARHANA BINTI MUSTAPA</v>
      </c>
      <c r="W934" t="str">
        <f t="shared" si="391"/>
        <v>04-08-2020</v>
      </c>
      <c r="X934" t="str">
        <f t="shared" si="392"/>
        <v>RAZIMAH ANSAR AHMAD</v>
      </c>
      <c r="Y934" t="str">
        <f t="shared" si="393"/>
        <v>04-08-2020</v>
      </c>
      <c r="Z934" t="str">
        <f>"COS10200804 8220"</f>
        <v>COS10200804 8220</v>
      </c>
    </row>
    <row r="935" spans="1:26" x14ac:dyDescent="0.25">
      <c r="A935" t="str">
        <f t="shared" si="397"/>
        <v>04-08-2020 01:11:00</v>
      </c>
      <c r="B935" t="str">
        <f>"0000810024"</f>
        <v>0000810024</v>
      </c>
      <c r="C935" t="str">
        <f t="shared" si="398"/>
        <v>0000810005</v>
      </c>
      <c r="D935" t="str">
        <f t="shared" si="381"/>
        <v>73185</v>
      </c>
      <c r="E935" t="str">
        <f t="shared" si="382"/>
        <v>KFH-OPERATIONS DEPARTMENT</v>
      </c>
      <c r="F935" t="str">
        <f t="shared" si="383"/>
        <v>IBG</v>
      </c>
      <c r="G935" t="str">
        <f t="shared" si="396"/>
        <v>Refund COSHARE 10</v>
      </c>
      <c r="H935" s="2">
        <v>151.15</v>
      </c>
      <c r="I935" t="str">
        <f>"MOHD FAIZAL BIN ALI SHAKBAR"</f>
        <v>MOHD FAIZAL BIN ALI SHAKBAR</v>
      </c>
      <c r="J935" t="str">
        <f t="shared" si="401"/>
        <v>PUBLIC BANK / PUBLIC ISLAMIC BANK</v>
      </c>
      <c r="K935" t="str">
        <f>"4469624031"</f>
        <v>4469624031</v>
      </c>
      <c r="L935" t="str">
        <f t="shared" si="399"/>
        <v>04-08-2020</v>
      </c>
      <c r="M935" t="str">
        <f t="shared" si="399"/>
        <v>04-08-2020</v>
      </c>
      <c r="N935" t="str">
        <f t="shared" si="384"/>
        <v>001105018356</v>
      </c>
      <c r="O935" t="str">
        <f t="shared" si="385"/>
        <v>MYR</v>
      </c>
      <c r="P935" t="str">
        <f t="shared" si="400"/>
        <v>NIL</v>
      </c>
      <c r="Q935" t="str">
        <f t="shared" si="400"/>
        <v>NIL</v>
      </c>
      <c r="R935" t="str">
        <f t="shared" si="386"/>
        <v>Accepted</v>
      </c>
      <c r="S935" t="str">
        <f t="shared" si="387"/>
        <v>Approved</v>
      </c>
      <c r="T935" t="str">
        <f t="shared" si="388"/>
        <v>10.20.8.188</v>
      </c>
      <c r="U935" t="str">
        <f t="shared" si="389"/>
        <v>AZRAD UMAR BIN SHAARI</v>
      </c>
      <c r="V935" t="str">
        <f t="shared" si="390"/>
        <v>FARHANA BINTI MUSTAPA</v>
      </c>
      <c r="W935" t="str">
        <f t="shared" si="391"/>
        <v>04-08-2020</v>
      </c>
      <c r="X935" t="str">
        <f t="shared" si="392"/>
        <v>RAZIMAH ANSAR AHMAD</v>
      </c>
      <c r="Y935" t="str">
        <f t="shared" si="393"/>
        <v>04-08-2020</v>
      </c>
      <c r="Z935" t="str">
        <f>"COS10200804 8219"</f>
        <v>COS10200804 8219</v>
      </c>
    </row>
    <row r="936" spans="1:26" x14ac:dyDescent="0.25">
      <c r="A936" t="str">
        <f t="shared" si="397"/>
        <v>04-08-2020 01:11:00</v>
      </c>
      <c r="B936" t="str">
        <f>"0000810023"</f>
        <v>0000810023</v>
      </c>
      <c r="C936" t="str">
        <f t="shared" si="398"/>
        <v>0000810005</v>
      </c>
      <c r="D936" t="str">
        <f t="shared" si="381"/>
        <v>73185</v>
      </c>
      <c r="E936" t="str">
        <f t="shared" si="382"/>
        <v>KFH-OPERATIONS DEPARTMENT</v>
      </c>
      <c r="F936" t="str">
        <f t="shared" si="383"/>
        <v>IBG</v>
      </c>
      <c r="G936" t="str">
        <f t="shared" si="396"/>
        <v>Refund COSHARE 10</v>
      </c>
      <c r="H936" s="2">
        <v>228</v>
      </c>
      <c r="I936" t="str">
        <f>"MOHD EZRI BIN HOSNAN"</f>
        <v>MOHD EZRI BIN HOSNAN</v>
      </c>
      <c r="J936" t="str">
        <f t="shared" si="401"/>
        <v>PUBLIC BANK / PUBLIC ISLAMIC BANK</v>
      </c>
      <c r="K936" t="str">
        <f>"4717000522"</f>
        <v>4717000522</v>
      </c>
      <c r="L936" t="str">
        <f t="shared" si="399"/>
        <v>04-08-2020</v>
      </c>
      <c r="M936" t="str">
        <f t="shared" si="399"/>
        <v>04-08-2020</v>
      </c>
      <c r="N936" t="str">
        <f t="shared" si="384"/>
        <v>001105018356</v>
      </c>
      <c r="O936" t="str">
        <f t="shared" si="385"/>
        <v>MYR</v>
      </c>
      <c r="P936" t="str">
        <f t="shared" si="400"/>
        <v>NIL</v>
      </c>
      <c r="Q936" t="str">
        <f t="shared" si="400"/>
        <v>NIL</v>
      </c>
      <c r="R936" t="str">
        <f t="shared" si="386"/>
        <v>Accepted</v>
      </c>
      <c r="S936" t="str">
        <f t="shared" si="387"/>
        <v>Approved</v>
      </c>
      <c r="T936" t="str">
        <f t="shared" si="388"/>
        <v>10.20.8.188</v>
      </c>
      <c r="U936" t="str">
        <f t="shared" si="389"/>
        <v>AZRAD UMAR BIN SHAARI</v>
      </c>
      <c r="V936" t="str">
        <f t="shared" si="390"/>
        <v>FARHANA BINTI MUSTAPA</v>
      </c>
      <c r="W936" t="str">
        <f t="shared" si="391"/>
        <v>04-08-2020</v>
      </c>
      <c r="X936" t="str">
        <f t="shared" si="392"/>
        <v>RAZIMAH ANSAR AHMAD</v>
      </c>
      <c r="Y936" t="str">
        <f t="shared" si="393"/>
        <v>04-08-2020</v>
      </c>
      <c r="Z936" t="str">
        <f>"COS10200804 8218"</f>
        <v>COS10200804 8218</v>
      </c>
    </row>
    <row r="937" spans="1:26" x14ac:dyDescent="0.25">
      <c r="A937" t="str">
        <f t="shared" si="397"/>
        <v>04-08-2020 01:11:00</v>
      </c>
      <c r="B937" t="str">
        <f>"0000810022"</f>
        <v>0000810022</v>
      </c>
      <c r="C937" t="str">
        <f t="shared" si="398"/>
        <v>0000810005</v>
      </c>
      <c r="D937" t="str">
        <f t="shared" si="381"/>
        <v>73185</v>
      </c>
      <c r="E937" t="str">
        <f t="shared" si="382"/>
        <v>KFH-OPERATIONS DEPARTMENT</v>
      </c>
      <c r="F937" t="str">
        <f t="shared" si="383"/>
        <v>IBG</v>
      </c>
      <c r="G937" t="str">
        <f t="shared" si="396"/>
        <v>Refund COSHARE 10</v>
      </c>
      <c r="H937" s="2">
        <v>1023.25</v>
      </c>
      <c r="I937" t="str">
        <f>"MOHD AZMAN BIN SA AT  YUSOF"</f>
        <v>MOHD AZMAN BIN SA AT  YUSOF</v>
      </c>
      <c r="J937" t="str">
        <f t="shared" si="401"/>
        <v>PUBLIC BANK / PUBLIC ISLAMIC BANK</v>
      </c>
      <c r="K937" t="str">
        <f>"6903135912"</f>
        <v>6903135912</v>
      </c>
      <c r="L937" t="str">
        <f t="shared" si="399"/>
        <v>04-08-2020</v>
      </c>
      <c r="M937" t="str">
        <f t="shared" si="399"/>
        <v>04-08-2020</v>
      </c>
      <c r="N937" t="str">
        <f t="shared" si="384"/>
        <v>001105018356</v>
      </c>
      <c r="O937" t="str">
        <f t="shared" si="385"/>
        <v>MYR</v>
      </c>
      <c r="P937" t="str">
        <f t="shared" si="400"/>
        <v>NIL</v>
      </c>
      <c r="Q937" t="str">
        <f t="shared" si="400"/>
        <v>NIL</v>
      </c>
      <c r="R937" t="str">
        <f t="shared" si="386"/>
        <v>Accepted</v>
      </c>
      <c r="S937" t="str">
        <f t="shared" si="387"/>
        <v>Approved</v>
      </c>
      <c r="T937" t="str">
        <f t="shared" si="388"/>
        <v>10.20.8.188</v>
      </c>
      <c r="U937" t="str">
        <f t="shared" si="389"/>
        <v>AZRAD UMAR BIN SHAARI</v>
      </c>
      <c r="V937" t="str">
        <f t="shared" si="390"/>
        <v>FARHANA BINTI MUSTAPA</v>
      </c>
      <c r="W937" t="str">
        <f t="shared" si="391"/>
        <v>04-08-2020</v>
      </c>
      <c r="X937" t="str">
        <f t="shared" si="392"/>
        <v>RAZIMAH ANSAR AHMAD</v>
      </c>
      <c r="Y937" t="str">
        <f t="shared" si="393"/>
        <v>04-08-2020</v>
      </c>
      <c r="Z937" t="str">
        <f>"COS10200804 8217"</f>
        <v>COS10200804 8217</v>
      </c>
    </row>
    <row r="938" spans="1:26" x14ac:dyDescent="0.25">
      <c r="A938" t="str">
        <f t="shared" si="397"/>
        <v>04-08-2020 01:11:00</v>
      </c>
      <c r="B938" t="str">
        <f>"0000810021"</f>
        <v>0000810021</v>
      </c>
      <c r="C938" t="str">
        <f t="shared" si="398"/>
        <v>0000810005</v>
      </c>
      <c r="D938" t="str">
        <f t="shared" si="381"/>
        <v>73185</v>
      </c>
      <c r="E938" t="str">
        <f t="shared" si="382"/>
        <v>KFH-OPERATIONS DEPARTMENT</v>
      </c>
      <c r="F938" t="str">
        <f t="shared" si="383"/>
        <v>IBG</v>
      </c>
      <c r="G938" t="str">
        <f t="shared" si="396"/>
        <v>Refund COSHARE 10</v>
      </c>
      <c r="H938" s="2">
        <v>587.65</v>
      </c>
      <c r="I938" t="str">
        <f>"MOHD AFZAIDIYUSMAN BIN ABDULLAH"</f>
        <v>MOHD AFZAIDIYUSMAN BIN ABDULLAH</v>
      </c>
      <c r="J938" t="str">
        <f t="shared" si="401"/>
        <v>PUBLIC BANK / PUBLIC ISLAMIC BANK</v>
      </c>
      <c r="K938" t="str">
        <f>"4849396134"</f>
        <v>4849396134</v>
      </c>
      <c r="L938" t="str">
        <f t="shared" si="399"/>
        <v>04-08-2020</v>
      </c>
      <c r="M938" t="str">
        <f t="shared" si="399"/>
        <v>04-08-2020</v>
      </c>
      <c r="N938" t="str">
        <f t="shared" si="384"/>
        <v>001105018356</v>
      </c>
      <c r="O938" t="str">
        <f t="shared" si="385"/>
        <v>MYR</v>
      </c>
      <c r="P938" t="str">
        <f t="shared" si="400"/>
        <v>NIL</v>
      </c>
      <c r="Q938" t="str">
        <f t="shared" si="400"/>
        <v>NIL</v>
      </c>
      <c r="R938" t="str">
        <f t="shared" si="386"/>
        <v>Accepted</v>
      </c>
      <c r="S938" t="str">
        <f t="shared" si="387"/>
        <v>Approved</v>
      </c>
      <c r="T938" t="str">
        <f t="shared" si="388"/>
        <v>10.20.8.188</v>
      </c>
      <c r="U938" t="str">
        <f t="shared" si="389"/>
        <v>AZRAD UMAR BIN SHAARI</v>
      </c>
      <c r="V938" t="str">
        <f t="shared" si="390"/>
        <v>FARHANA BINTI MUSTAPA</v>
      </c>
      <c r="W938" t="str">
        <f t="shared" si="391"/>
        <v>04-08-2020</v>
      </c>
      <c r="X938" t="str">
        <f t="shared" si="392"/>
        <v>RAZIMAH ANSAR AHMAD</v>
      </c>
      <c r="Y938" t="str">
        <f t="shared" si="393"/>
        <v>04-08-2020</v>
      </c>
      <c r="Z938" t="str">
        <f>"COS10200804 8216"</f>
        <v>COS10200804 8216</v>
      </c>
    </row>
    <row r="939" spans="1:26" x14ac:dyDescent="0.25">
      <c r="A939" t="str">
        <f t="shared" si="397"/>
        <v>04-08-2020 01:11:00</v>
      </c>
      <c r="B939" t="str">
        <f>"0000810020"</f>
        <v>0000810020</v>
      </c>
      <c r="C939" t="str">
        <f t="shared" si="398"/>
        <v>0000810005</v>
      </c>
      <c r="D939" t="str">
        <f t="shared" si="381"/>
        <v>73185</v>
      </c>
      <c r="E939" t="str">
        <f t="shared" si="382"/>
        <v>KFH-OPERATIONS DEPARTMENT</v>
      </c>
      <c r="F939" t="str">
        <f t="shared" si="383"/>
        <v>IBG</v>
      </c>
      <c r="G939" t="str">
        <f t="shared" si="396"/>
        <v>Refund COSHARE 10</v>
      </c>
      <c r="H939" s="2">
        <v>114.35</v>
      </c>
      <c r="I939" t="str">
        <f>"MOHAMUD BIN JURIMAN"</f>
        <v>MOHAMUD BIN JURIMAN</v>
      </c>
      <c r="J939" t="str">
        <f t="shared" si="401"/>
        <v>PUBLIC BANK / PUBLIC ISLAMIC BANK</v>
      </c>
      <c r="K939" t="str">
        <f>"4917363214"</f>
        <v>4917363214</v>
      </c>
      <c r="L939" t="str">
        <f t="shared" si="399"/>
        <v>04-08-2020</v>
      </c>
      <c r="M939" t="str">
        <f t="shared" si="399"/>
        <v>04-08-2020</v>
      </c>
      <c r="N939" t="str">
        <f t="shared" si="384"/>
        <v>001105018356</v>
      </c>
      <c r="O939" t="str">
        <f t="shared" si="385"/>
        <v>MYR</v>
      </c>
      <c r="P939" t="str">
        <f t="shared" si="400"/>
        <v>NIL</v>
      </c>
      <c r="Q939" t="str">
        <f t="shared" si="400"/>
        <v>NIL</v>
      </c>
      <c r="R939" t="str">
        <f t="shared" si="386"/>
        <v>Accepted</v>
      </c>
      <c r="S939" t="str">
        <f t="shared" si="387"/>
        <v>Approved</v>
      </c>
      <c r="T939" t="str">
        <f t="shared" si="388"/>
        <v>10.20.8.188</v>
      </c>
      <c r="U939" t="str">
        <f t="shared" si="389"/>
        <v>AZRAD UMAR BIN SHAARI</v>
      </c>
      <c r="V939" t="str">
        <f t="shared" si="390"/>
        <v>FARHANA BINTI MUSTAPA</v>
      </c>
      <c r="W939" t="str">
        <f t="shared" si="391"/>
        <v>04-08-2020</v>
      </c>
      <c r="X939" t="str">
        <f t="shared" si="392"/>
        <v>RAZIMAH ANSAR AHMAD</v>
      </c>
      <c r="Y939" t="str">
        <f t="shared" si="393"/>
        <v>04-08-2020</v>
      </c>
      <c r="Z939" t="str">
        <f>"COS10200804 8215"</f>
        <v>COS10200804 8215</v>
      </c>
    </row>
    <row r="940" spans="1:26" x14ac:dyDescent="0.25">
      <c r="A940" t="str">
        <f t="shared" si="397"/>
        <v>04-08-2020 01:11:00</v>
      </c>
      <c r="B940" t="str">
        <f>"0000810019"</f>
        <v>0000810019</v>
      </c>
      <c r="C940" t="str">
        <f t="shared" si="398"/>
        <v>0000810005</v>
      </c>
      <c r="D940" t="str">
        <f t="shared" si="381"/>
        <v>73185</v>
      </c>
      <c r="E940" t="str">
        <f t="shared" si="382"/>
        <v>KFH-OPERATIONS DEPARTMENT</v>
      </c>
      <c r="F940" t="str">
        <f t="shared" si="383"/>
        <v>IBG</v>
      </c>
      <c r="G940" t="str">
        <f t="shared" si="396"/>
        <v>Refund COSHARE 10</v>
      </c>
      <c r="H940" s="2">
        <v>134.35</v>
      </c>
      <c r="I940" t="str">
        <f>"MOHAMED MARZHAR BIN MOHAMED ANUAR"</f>
        <v>MOHAMED MARZHAR BIN MOHAMED ANUAR</v>
      </c>
      <c r="J940" t="str">
        <f t="shared" si="401"/>
        <v>PUBLIC BANK / PUBLIC ISLAMIC BANK</v>
      </c>
      <c r="K940" t="str">
        <f>"4458243835"</f>
        <v>4458243835</v>
      </c>
      <c r="L940" t="str">
        <f t="shared" si="399"/>
        <v>04-08-2020</v>
      </c>
      <c r="M940" t="str">
        <f t="shared" si="399"/>
        <v>04-08-2020</v>
      </c>
      <c r="N940" t="str">
        <f t="shared" si="384"/>
        <v>001105018356</v>
      </c>
      <c r="O940" t="str">
        <f t="shared" si="385"/>
        <v>MYR</v>
      </c>
      <c r="P940" t="str">
        <f t="shared" si="400"/>
        <v>NIL</v>
      </c>
      <c r="Q940" t="str">
        <f t="shared" si="400"/>
        <v>NIL</v>
      </c>
      <c r="R940" t="str">
        <f t="shared" si="386"/>
        <v>Accepted</v>
      </c>
      <c r="S940" t="str">
        <f t="shared" si="387"/>
        <v>Approved</v>
      </c>
      <c r="T940" t="str">
        <f t="shared" si="388"/>
        <v>10.20.8.188</v>
      </c>
      <c r="U940" t="str">
        <f t="shared" si="389"/>
        <v>AZRAD UMAR BIN SHAARI</v>
      </c>
      <c r="V940" t="str">
        <f t="shared" si="390"/>
        <v>FARHANA BINTI MUSTAPA</v>
      </c>
      <c r="W940" t="str">
        <f t="shared" si="391"/>
        <v>04-08-2020</v>
      </c>
      <c r="X940" t="str">
        <f t="shared" si="392"/>
        <v>RAZIMAH ANSAR AHMAD</v>
      </c>
      <c r="Y940" t="str">
        <f t="shared" si="393"/>
        <v>04-08-2020</v>
      </c>
      <c r="Z940" t="str">
        <f>"COS10200804 8214"</f>
        <v>COS10200804 8214</v>
      </c>
    </row>
    <row r="941" spans="1:26" x14ac:dyDescent="0.25">
      <c r="A941" t="str">
        <f t="shared" si="397"/>
        <v>04-08-2020 01:11:00</v>
      </c>
      <c r="B941" t="str">
        <f>"0000810018"</f>
        <v>0000810018</v>
      </c>
      <c r="C941" t="str">
        <f t="shared" si="398"/>
        <v>0000810005</v>
      </c>
      <c r="D941" t="str">
        <f t="shared" si="381"/>
        <v>73185</v>
      </c>
      <c r="E941" t="str">
        <f t="shared" si="382"/>
        <v>KFH-OPERATIONS DEPARTMENT</v>
      </c>
      <c r="F941" t="str">
        <f t="shared" si="383"/>
        <v>IBG</v>
      </c>
      <c r="G941" t="str">
        <f t="shared" si="396"/>
        <v>Refund COSHARE 10</v>
      </c>
      <c r="H941" s="2">
        <v>75.599999999999994</v>
      </c>
      <c r="I941" t="str">
        <f>"MOHAMAD ZAMRI BIN MOHAMAD YUNUS"</f>
        <v>MOHAMAD ZAMRI BIN MOHAMAD YUNUS</v>
      </c>
      <c r="J941" t="str">
        <f t="shared" si="401"/>
        <v>PUBLIC BANK / PUBLIC ISLAMIC BANK</v>
      </c>
      <c r="K941" t="str">
        <f>"4870470122"</f>
        <v>4870470122</v>
      </c>
      <c r="L941" t="str">
        <f t="shared" si="399"/>
        <v>04-08-2020</v>
      </c>
      <c r="M941" t="str">
        <f t="shared" si="399"/>
        <v>04-08-2020</v>
      </c>
      <c r="N941" t="str">
        <f t="shared" si="384"/>
        <v>001105018356</v>
      </c>
      <c r="O941" t="str">
        <f t="shared" si="385"/>
        <v>MYR</v>
      </c>
      <c r="P941" t="str">
        <f t="shared" si="400"/>
        <v>NIL</v>
      </c>
      <c r="Q941" t="str">
        <f t="shared" si="400"/>
        <v>NIL</v>
      </c>
      <c r="R941" t="str">
        <f t="shared" si="386"/>
        <v>Accepted</v>
      </c>
      <c r="S941" t="str">
        <f t="shared" si="387"/>
        <v>Approved</v>
      </c>
      <c r="T941" t="str">
        <f t="shared" si="388"/>
        <v>10.20.8.188</v>
      </c>
      <c r="U941" t="str">
        <f t="shared" si="389"/>
        <v>AZRAD UMAR BIN SHAARI</v>
      </c>
      <c r="V941" t="str">
        <f t="shared" si="390"/>
        <v>FARHANA BINTI MUSTAPA</v>
      </c>
      <c r="W941" t="str">
        <f t="shared" si="391"/>
        <v>04-08-2020</v>
      </c>
      <c r="X941" t="str">
        <f t="shared" si="392"/>
        <v>RAZIMAH ANSAR AHMAD</v>
      </c>
      <c r="Y941" t="str">
        <f t="shared" si="393"/>
        <v>04-08-2020</v>
      </c>
      <c r="Z941" t="str">
        <f>"COS10200804 8213"</f>
        <v>COS10200804 8213</v>
      </c>
    </row>
    <row r="942" spans="1:26" x14ac:dyDescent="0.25">
      <c r="A942" t="str">
        <f t="shared" si="397"/>
        <v>04-08-2020 01:11:00</v>
      </c>
      <c r="B942" t="str">
        <f>"0000810017"</f>
        <v>0000810017</v>
      </c>
      <c r="C942" t="str">
        <f t="shared" si="398"/>
        <v>0000810005</v>
      </c>
      <c r="D942" t="str">
        <f t="shared" si="381"/>
        <v>73185</v>
      </c>
      <c r="E942" t="str">
        <f t="shared" si="382"/>
        <v>KFH-OPERATIONS DEPARTMENT</v>
      </c>
      <c r="F942" t="str">
        <f t="shared" si="383"/>
        <v>IBG</v>
      </c>
      <c r="G942" t="str">
        <f t="shared" si="396"/>
        <v>Refund COSHARE 10</v>
      </c>
      <c r="H942" s="2">
        <v>160.6</v>
      </c>
      <c r="I942" t="str">
        <f>"MOHAMAD ASRI BIN ISHAK"</f>
        <v>MOHAMAD ASRI BIN ISHAK</v>
      </c>
      <c r="J942" t="str">
        <f t="shared" si="401"/>
        <v>PUBLIC BANK / PUBLIC ISLAMIC BANK</v>
      </c>
      <c r="K942" t="str">
        <f>"4899028121"</f>
        <v>4899028121</v>
      </c>
      <c r="L942" t="str">
        <f t="shared" si="399"/>
        <v>04-08-2020</v>
      </c>
      <c r="M942" t="str">
        <f t="shared" si="399"/>
        <v>04-08-2020</v>
      </c>
      <c r="N942" t="str">
        <f t="shared" si="384"/>
        <v>001105018356</v>
      </c>
      <c r="O942" t="str">
        <f t="shared" si="385"/>
        <v>MYR</v>
      </c>
      <c r="P942" t="str">
        <f t="shared" si="400"/>
        <v>NIL</v>
      </c>
      <c r="Q942" t="str">
        <f t="shared" si="400"/>
        <v>NIL</v>
      </c>
      <c r="R942" t="str">
        <f t="shared" si="386"/>
        <v>Accepted</v>
      </c>
      <c r="S942" t="str">
        <f t="shared" si="387"/>
        <v>Approved</v>
      </c>
      <c r="T942" t="str">
        <f t="shared" si="388"/>
        <v>10.20.8.188</v>
      </c>
      <c r="U942" t="str">
        <f t="shared" si="389"/>
        <v>AZRAD UMAR BIN SHAARI</v>
      </c>
      <c r="V942" t="str">
        <f t="shared" si="390"/>
        <v>FARHANA BINTI MUSTAPA</v>
      </c>
      <c r="W942" t="str">
        <f t="shared" si="391"/>
        <v>04-08-2020</v>
      </c>
      <c r="X942" t="str">
        <f t="shared" si="392"/>
        <v>RAZIMAH ANSAR AHMAD</v>
      </c>
      <c r="Y942" t="str">
        <f t="shared" si="393"/>
        <v>04-08-2020</v>
      </c>
      <c r="Z942" t="str">
        <f>"COS10200804 8212"</f>
        <v>COS10200804 8212</v>
      </c>
    </row>
    <row r="943" spans="1:26" x14ac:dyDescent="0.25">
      <c r="A943" t="str">
        <f t="shared" si="397"/>
        <v>04-08-2020 01:11:00</v>
      </c>
      <c r="B943" t="str">
        <f>"0000810016"</f>
        <v>0000810016</v>
      </c>
      <c r="C943" t="str">
        <f t="shared" si="398"/>
        <v>0000810005</v>
      </c>
      <c r="D943" t="str">
        <f t="shared" si="381"/>
        <v>73185</v>
      </c>
      <c r="E943" t="str">
        <f t="shared" si="382"/>
        <v>KFH-OPERATIONS DEPARTMENT</v>
      </c>
      <c r="F943" t="str">
        <f t="shared" si="383"/>
        <v>IBG</v>
      </c>
      <c r="G943" t="str">
        <f t="shared" si="396"/>
        <v>Refund COSHARE 10</v>
      </c>
      <c r="H943" s="2">
        <v>160.6</v>
      </c>
      <c r="I943" t="str">
        <f>"MOHAMAD ASRI BIN ISHAK"</f>
        <v>MOHAMAD ASRI BIN ISHAK</v>
      </c>
      <c r="J943" t="str">
        <f t="shared" si="401"/>
        <v>PUBLIC BANK / PUBLIC ISLAMIC BANK</v>
      </c>
      <c r="K943" t="str">
        <f>"4899028121"</f>
        <v>4899028121</v>
      </c>
      <c r="L943" t="str">
        <f t="shared" si="399"/>
        <v>04-08-2020</v>
      </c>
      <c r="M943" t="str">
        <f t="shared" si="399"/>
        <v>04-08-2020</v>
      </c>
      <c r="N943" t="str">
        <f t="shared" si="384"/>
        <v>001105018356</v>
      </c>
      <c r="O943" t="str">
        <f t="shared" si="385"/>
        <v>MYR</v>
      </c>
      <c r="P943" t="str">
        <f t="shared" si="400"/>
        <v>NIL</v>
      </c>
      <c r="Q943" t="str">
        <f t="shared" si="400"/>
        <v>NIL</v>
      </c>
      <c r="R943" t="str">
        <f t="shared" si="386"/>
        <v>Accepted</v>
      </c>
      <c r="S943" t="str">
        <f t="shared" si="387"/>
        <v>Approved</v>
      </c>
      <c r="T943" t="str">
        <f t="shared" si="388"/>
        <v>10.20.8.188</v>
      </c>
      <c r="U943" t="str">
        <f t="shared" si="389"/>
        <v>AZRAD UMAR BIN SHAARI</v>
      </c>
      <c r="V943" t="str">
        <f t="shared" si="390"/>
        <v>FARHANA BINTI MUSTAPA</v>
      </c>
      <c r="W943" t="str">
        <f t="shared" si="391"/>
        <v>04-08-2020</v>
      </c>
      <c r="X943" t="str">
        <f t="shared" si="392"/>
        <v>RAZIMAH ANSAR AHMAD</v>
      </c>
      <c r="Y943" t="str">
        <f t="shared" si="393"/>
        <v>04-08-2020</v>
      </c>
      <c r="Z943" t="str">
        <f>"COS10200804 8211"</f>
        <v>COS10200804 8211</v>
      </c>
    </row>
    <row r="944" spans="1:26" x14ac:dyDescent="0.25">
      <c r="A944" t="str">
        <f t="shared" si="397"/>
        <v>04-08-2020 01:11:00</v>
      </c>
      <c r="B944" t="str">
        <f>"0000810015"</f>
        <v>0000810015</v>
      </c>
      <c r="C944" t="str">
        <f t="shared" si="398"/>
        <v>0000810005</v>
      </c>
      <c r="D944" t="str">
        <f t="shared" si="381"/>
        <v>73185</v>
      </c>
      <c r="E944" t="str">
        <f t="shared" si="382"/>
        <v>KFH-OPERATIONS DEPARTMENT</v>
      </c>
      <c r="F944" t="str">
        <f t="shared" si="383"/>
        <v>IBG</v>
      </c>
      <c r="G944" t="str">
        <f t="shared" si="396"/>
        <v>Refund COSHARE 10</v>
      </c>
      <c r="H944" s="2">
        <v>83.95</v>
      </c>
      <c r="I944" t="str">
        <f>"MOHAMAD AMIN BIN JANARUDIN"</f>
        <v>MOHAMAD AMIN BIN JANARUDIN</v>
      </c>
      <c r="J944" t="str">
        <f t="shared" si="401"/>
        <v>PUBLIC BANK / PUBLIC ISLAMIC BANK</v>
      </c>
      <c r="K944" t="str">
        <f>"4948935825"</f>
        <v>4948935825</v>
      </c>
      <c r="L944" t="str">
        <f t="shared" si="399"/>
        <v>04-08-2020</v>
      </c>
      <c r="M944" t="str">
        <f t="shared" si="399"/>
        <v>04-08-2020</v>
      </c>
      <c r="N944" t="str">
        <f t="shared" si="384"/>
        <v>001105018356</v>
      </c>
      <c r="O944" t="str">
        <f t="shared" si="385"/>
        <v>MYR</v>
      </c>
      <c r="P944" t="str">
        <f t="shared" si="400"/>
        <v>NIL</v>
      </c>
      <c r="Q944" t="str">
        <f t="shared" si="400"/>
        <v>NIL</v>
      </c>
      <c r="R944" t="str">
        <f t="shared" si="386"/>
        <v>Accepted</v>
      </c>
      <c r="S944" t="str">
        <f t="shared" si="387"/>
        <v>Approved</v>
      </c>
      <c r="T944" t="str">
        <f t="shared" si="388"/>
        <v>10.20.8.188</v>
      </c>
      <c r="U944" t="str">
        <f t="shared" si="389"/>
        <v>AZRAD UMAR BIN SHAARI</v>
      </c>
      <c r="V944" t="str">
        <f t="shared" si="390"/>
        <v>FARHANA BINTI MUSTAPA</v>
      </c>
      <c r="W944" t="str">
        <f t="shared" si="391"/>
        <v>04-08-2020</v>
      </c>
      <c r="X944" t="str">
        <f t="shared" si="392"/>
        <v>RAZIMAH ANSAR AHMAD</v>
      </c>
      <c r="Y944" t="str">
        <f t="shared" si="393"/>
        <v>04-08-2020</v>
      </c>
      <c r="Z944" t="str">
        <f>"COS10200804 8210"</f>
        <v>COS10200804 8210</v>
      </c>
    </row>
    <row r="945" spans="1:26" x14ac:dyDescent="0.25">
      <c r="A945" t="str">
        <f t="shared" si="397"/>
        <v>04-08-2020 01:11:00</v>
      </c>
      <c r="B945" t="str">
        <f>"0000810014"</f>
        <v>0000810014</v>
      </c>
      <c r="C945" t="str">
        <f t="shared" si="398"/>
        <v>0000810005</v>
      </c>
      <c r="D945" t="str">
        <f t="shared" si="381"/>
        <v>73185</v>
      </c>
      <c r="E945" t="str">
        <f t="shared" si="382"/>
        <v>KFH-OPERATIONS DEPARTMENT</v>
      </c>
      <c r="F945" t="str">
        <f t="shared" si="383"/>
        <v>IBG</v>
      </c>
      <c r="G945" t="str">
        <f t="shared" si="396"/>
        <v>Refund COSHARE 10</v>
      </c>
      <c r="H945" s="2">
        <v>315.25</v>
      </c>
      <c r="I945" t="str">
        <f>"MAZLIN BIN MOHAMAD"</f>
        <v>MAZLIN BIN MOHAMAD</v>
      </c>
      <c r="J945" t="str">
        <f t="shared" si="401"/>
        <v>PUBLIC BANK / PUBLIC ISLAMIC BANK</v>
      </c>
      <c r="K945" t="str">
        <f>"6013282633"</f>
        <v>6013282633</v>
      </c>
      <c r="L945" t="str">
        <f t="shared" si="399"/>
        <v>04-08-2020</v>
      </c>
      <c r="M945" t="str">
        <f t="shared" si="399"/>
        <v>04-08-2020</v>
      </c>
      <c r="N945" t="str">
        <f t="shared" si="384"/>
        <v>001105018356</v>
      </c>
      <c r="O945" t="str">
        <f t="shared" si="385"/>
        <v>MYR</v>
      </c>
      <c r="P945" t="str">
        <f t="shared" si="400"/>
        <v>NIL</v>
      </c>
      <c r="Q945" t="str">
        <f t="shared" si="400"/>
        <v>NIL</v>
      </c>
      <c r="R945" t="str">
        <f t="shared" si="386"/>
        <v>Accepted</v>
      </c>
      <c r="S945" t="str">
        <f t="shared" si="387"/>
        <v>Approved</v>
      </c>
      <c r="T945" t="str">
        <f t="shared" si="388"/>
        <v>10.20.8.188</v>
      </c>
      <c r="U945" t="str">
        <f t="shared" si="389"/>
        <v>AZRAD UMAR BIN SHAARI</v>
      </c>
      <c r="V945" t="str">
        <f t="shared" si="390"/>
        <v>FARHANA BINTI MUSTAPA</v>
      </c>
      <c r="W945" t="str">
        <f t="shared" si="391"/>
        <v>04-08-2020</v>
      </c>
      <c r="X945" t="str">
        <f t="shared" si="392"/>
        <v>RAZIMAH ANSAR AHMAD</v>
      </c>
      <c r="Y945" t="str">
        <f t="shared" si="393"/>
        <v>04-08-2020</v>
      </c>
      <c r="Z945" t="str">
        <f>"COS10200804 8209"</f>
        <v>COS10200804 8209</v>
      </c>
    </row>
    <row r="946" spans="1:26" x14ac:dyDescent="0.25">
      <c r="A946" t="str">
        <f t="shared" ref="A946:A953" si="402">"04-08-2020 01:11:00"</f>
        <v>04-08-2020 01:11:00</v>
      </c>
      <c r="B946" t="str">
        <f>"0000810013"</f>
        <v>0000810013</v>
      </c>
      <c r="C946" t="str">
        <f t="shared" ref="C946:C953" si="403">"0000810005"</f>
        <v>0000810005</v>
      </c>
      <c r="D946" t="str">
        <f t="shared" si="381"/>
        <v>73185</v>
      </c>
      <c r="E946" t="str">
        <f t="shared" si="382"/>
        <v>KFH-OPERATIONS DEPARTMENT</v>
      </c>
      <c r="F946" t="str">
        <f t="shared" si="383"/>
        <v>IBG</v>
      </c>
      <c r="G946" t="str">
        <f t="shared" si="396"/>
        <v>Refund COSHARE 10</v>
      </c>
      <c r="H946" s="2">
        <v>1074.5999999999999</v>
      </c>
      <c r="I946" t="str">
        <f>"MAZIAH BINTI MININ  DAYANG"</f>
        <v>MAZIAH BINTI MININ  DAYANG</v>
      </c>
      <c r="J946" t="str">
        <f t="shared" si="401"/>
        <v>PUBLIC BANK / PUBLIC ISLAMIC BANK</v>
      </c>
      <c r="K946" t="str">
        <f>"4811422319"</f>
        <v>4811422319</v>
      </c>
      <c r="L946" t="str">
        <f t="shared" si="399"/>
        <v>04-08-2020</v>
      </c>
      <c r="M946" t="str">
        <f t="shared" si="399"/>
        <v>04-08-2020</v>
      </c>
      <c r="N946" t="str">
        <f t="shared" si="384"/>
        <v>001105018356</v>
      </c>
      <c r="O946" t="str">
        <f t="shared" si="385"/>
        <v>MYR</v>
      </c>
      <c r="P946" t="str">
        <f t="shared" si="400"/>
        <v>NIL</v>
      </c>
      <c r="Q946" t="str">
        <f t="shared" si="400"/>
        <v>NIL</v>
      </c>
      <c r="R946" t="str">
        <f t="shared" si="386"/>
        <v>Accepted</v>
      </c>
      <c r="S946" t="str">
        <f t="shared" si="387"/>
        <v>Approved</v>
      </c>
      <c r="T946" t="str">
        <f t="shared" si="388"/>
        <v>10.20.8.188</v>
      </c>
      <c r="U946" t="str">
        <f t="shared" si="389"/>
        <v>AZRAD UMAR BIN SHAARI</v>
      </c>
      <c r="V946" t="str">
        <f t="shared" si="390"/>
        <v>FARHANA BINTI MUSTAPA</v>
      </c>
      <c r="W946" t="str">
        <f t="shared" si="391"/>
        <v>04-08-2020</v>
      </c>
      <c r="X946" t="str">
        <f t="shared" si="392"/>
        <v>RAZIMAH ANSAR AHMAD</v>
      </c>
      <c r="Y946" t="str">
        <f t="shared" si="393"/>
        <v>04-08-2020</v>
      </c>
      <c r="Z946" t="str">
        <f>"COS10200804 8208"</f>
        <v>COS10200804 8208</v>
      </c>
    </row>
    <row r="947" spans="1:26" x14ac:dyDescent="0.25">
      <c r="A947" t="str">
        <f t="shared" si="402"/>
        <v>04-08-2020 01:11:00</v>
      </c>
      <c r="B947" t="str">
        <f>"0000810012"</f>
        <v>0000810012</v>
      </c>
      <c r="C947" t="str">
        <f t="shared" si="403"/>
        <v>0000810005</v>
      </c>
      <c r="D947" t="str">
        <f t="shared" si="381"/>
        <v>73185</v>
      </c>
      <c r="E947" t="str">
        <f t="shared" si="382"/>
        <v>KFH-OPERATIONS DEPARTMENT</v>
      </c>
      <c r="F947" t="str">
        <f t="shared" si="383"/>
        <v>IBG</v>
      </c>
      <c r="G947" t="str">
        <f t="shared" si="396"/>
        <v>Refund COSHARE 10</v>
      </c>
      <c r="H947" s="2">
        <v>839.5</v>
      </c>
      <c r="I947" t="str">
        <f>"MAWARNI BINTI ABD RAHMAN"</f>
        <v>MAWARNI BINTI ABD RAHMAN</v>
      </c>
      <c r="J947" t="str">
        <f t="shared" si="401"/>
        <v>PUBLIC BANK / PUBLIC ISLAMIC BANK</v>
      </c>
      <c r="K947" t="str">
        <f>"4111963909"</f>
        <v>4111963909</v>
      </c>
      <c r="L947" t="str">
        <f t="shared" ref="L947:M966" si="404">"04-08-2020"</f>
        <v>04-08-2020</v>
      </c>
      <c r="M947" t="str">
        <f t="shared" si="404"/>
        <v>04-08-2020</v>
      </c>
      <c r="N947" t="str">
        <f t="shared" si="384"/>
        <v>001105018356</v>
      </c>
      <c r="O947" t="str">
        <f t="shared" si="385"/>
        <v>MYR</v>
      </c>
      <c r="P947" t="str">
        <f t="shared" ref="P947:Q966" si="405">"NIL"</f>
        <v>NIL</v>
      </c>
      <c r="Q947" t="str">
        <f t="shared" si="405"/>
        <v>NIL</v>
      </c>
      <c r="R947" t="str">
        <f t="shared" si="386"/>
        <v>Accepted</v>
      </c>
      <c r="S947" t="str">
        <f t="shared" si="387"/>
        <v>Approved</v>
      </c>
      <c r="T947" t="str">
        <f t="shared" si="388"/>
        <v>10.20.8.188</v>
      </c>
      <c r="U947" t="str">
        <f t="shared" si="389"/>
        <v>AZRAD UMAR BIN SHAARI</v>
      </c>
      <c r="V947" t="str">
        <f t="shared" si="390"/>
        <v>FARHANA BINTI MUSTAPA</v>
      </c>
      <c r="W947" t="str">
        <f t="shared" si="391"/>
        <v>04-08-2020</v>
      </c>
      <c r="X947" t="str">
        <f t="shared" si="392"/>
        <v>RAZIMAH ANSAR AHMAD</v>
      </c>
      <c r="Y947" t="str">
        <f t="shared" si="393"/>
        <v>04-08-2020</v>
      </c>
      <c r="Z947" t="str">
        <f>"COS10200804 8207"</f>
        <v>COS10200804 8207</v>
      </c>
    </row>
    <row r="948" spans="1:26" x14ac:dyDescent="0.25">
      <c r="A948" t="str">
        <f t="shared" si="402"/>
        <v>04-08-2020 01:11:00</v>
      </c>
      <c r="B948" t="str">
        <f>"0000810011"</f>
        <v>0000810011</v>
      </c>
      <c r="C948" t="str">
        <f t="shared" si="403"/>
        <v>0000810005</v>
      </c>
      <c r="D948" t="str">
        <f t="shared" si="381"/>
        <v>73185</v>
      </c>
      <c r="E948" t="str">
        <f t="shared" si="382"/>
        <v>KFH-OPERATIONS DEPARTMENT</v>
      </c>
      <c r="F948" t="str">
        <f t="shared" si="383"/>
        <v>IBG</v>
      </c>
      <c r="G948" t="str">
        <f t="shared" si="396"/>
        <v>Refund COSHARE 10</v>
      </c>
      <c r="H948" s="2">
        <v>150.4</v>
      </c>
      <c r="I948" t="str">
        <f>"MAUREEN ANAK JAMES"</f>
        <v>MAUREEN ANAK JAMES</v>
      </c>
      <c r="J948" t="str">
        <f t="shared" si="401"/>
        <v>PUBLIC BANK / PUBLIC ISLAMIC BANK</v>
      </c>
      <c r="K948" t="str">
        <f>"6370574431"</f>
        <v>6370574431</v>
      </c>
      <c r="L948" t="str">
        <f t="shared" si="404"/>
        <v>04-08-2020</v>
      </c>
      <c r="M948" t="str">
        <f t="shared" si="404"/>
        <v>04-08-2020</v>
      </c>
      <c r="N948" t="str">
        <f t="shared" si="384"/>
        <v>001105018356</v>
      </c>
      <c r="O948" t="str">
        <f t="shared" si="385"/>
        <v>MYR</v>
      </c>
      <c r="P948" t="str">
        <f t="shared" si="405"/>
        <v>NIL</v>
      </c>
      <c r="Q948" t="str">
        <f t="shared" si="405"/>
        <v>NIL</v>
      </c>
      <c r="R948" t="str">
        <f t="shared" si="386"/>
        <v>Accepted</v>
      </c>
      <c r="S948" t="str">
        <f t="shared" si="387"/>
        <v>Approved</v>
      </c>
      <c r="T948" t="str">
        <f t="shared" si="388"/>
        <v>10.20.8.188</v>
      </c>
      <c r="U948" t="str">
        <f t="shared" si="389"/>
        <v>AZRAD UMAR BIN SHAARI</v>
      </c>
      <c r="V948" t="str">
        <f t="shared" si="390"/>
        <v>FARHANA BINTI MUSTAPA</v>
      </c>
      <c r="W948" t="str">
        <f t="shared" si="391"/>
        <v>04-08-2020</v>
      </c>
      <c r="X948" t="str">
        <f t="shared" si="392"/>
        <v>RAZIMAH ANSAR AHMAD</v>
      </c>
      <c r="Y948" t="str">
        <f t="shared" si="393"/>
        <v>04-08-2020</v>
      </c>
      <c r="Z948" t="str">
        <f>"COS10200804 8206"</f>
        <v>COS10200804 8206</v>
      </c>
    </row>
    <row r="949" spans="1:26" x14ac:dyDescent="0.25">
      <c r="A949" t="str">
        <f t="shared" si="402"/>
        <v>04-08-2020 01:11:00</v>
      </c>
      <c r="B949" t="str">
        <f>"0000810010"</f>
        <v>0000810010</v>
      </c>
      <c r="C949" t="str">
        <f t="shared" si="403"/>
        <v>0000810005</v>
      </c>
      <c r="D949" t="str">
        <f t="shared" si="381"/>
        <v>73185</v>
      </c>
      <c r="E949" t="str">
        <f t="shared" si="382"/>
        <v>KFH-OPERATIONS DEPARTMENT</v>
      </c>
      <c r="F949" t="str">
        <f t="shared" si="383"/>
        <v>IBG</v>
      </c>
      <c r="G949" t="str">
        <f t="shared" si="396"/>
        <v>Refund COSHARE 10</v>
      </c>
      <c r="H949" s="2">
        <v>1259.25</v>
      </c>
      <c r="I949" t="str">
        <f>"MATILDHA BINTI MAIK"</f>
        <v>MATILDHA BINTI MAIK</v>
      </c>
      <c r="J949" t="str">
        <f t="shared" si="401"/>
        <v>PUBLIC BANK / PUBLIC ISLAMIC BANK</v>
      </c>
      <c r="K949" t="str">
        <f>"4425004009"</f>
        <v>4425004009</v>
      </c>
      <c r="L949" t="str">
        <f t="shared" si="404"/>
        <v>04-08-2020</v>
      </c>
      <c r="M949" t="str">
        <f t="shared" si="404"/>
        <v>04-08-2020</v>
      </c>
      <c r="N949" t="str">
        <f t="shared" si="384"/>
        <v>001105018356</v>
      </c>
      <c r="O949" t="str">
        <f t="shared" si="385"/>
        <v>MYR</v>
      </c>
      <c r="P949" t="str">
        <f t="shared" si="405"/>
        <v>NIL</v>
      </c>
      <c r="Q949" t="str">
        <f t="shared" si="405"/>
        <v>NIL</v>
      </c>
      <c r="R949" t="str">
        <f t="shared" si="386"/>
        <v>Accepted</v>
      </c>
      <c r="S949" t="str">
        <f t="shared" si="387"/>
        <v>Approved</v>
      </c>
      <c r="T949" t="str">
        <f t="shared" si="388"/>
        <v>10.20.8.188</v>
      </c>
      <c r="U949" t="str">
        <f t="shared" si="389"/>
        <v>AZRAD UMAR BIN SHAARI</v>
      </c>
      <c r="V949" t="str">
        <f t="shared" si="390"/>
        <v>FARHANA BINTI MUSTAPA</v>
      </c>
      <c r="W949" t="str">
        <f t="shared" si="391"/>
        <v>04-08-2020</v>
      </c>
      <c r="X949" t="str">
        <f t="shared" si="392"/>
        <v>RAZIMAH ANSAR AHMAD</v>
      </c>
      <c r="Y949" t="str">
        <f t="shared" si="393"/>
        <v>04-08-2020</v>
      </c>
      <c r="Z949" t="str">
        <f>"COS10200804 8205"</f>
        <v>COS10200804 8205</v>
      </c>
    </row>
    <row r="950" spans="1:26" x14ac:dyDescent="0.25">
      <c r="A950" t="str">
        <f t="shared" si="402"/>
        <v>04-08-2020 01:11:00</v>
      </c>
      <c r="B950" t="str">
        <f>"0000810009"</f>
        <v>0000810009</v>
      </c>
      <c r="C950" t="str">
        <f t="shared" si="403"/>
        <v>0000810005</v>
      </c>
      <c r="D950" t="str">
        <f t="shared" si="381"/>
        <v>73185</v>
      </c>
      <c r="E950" t="str">
        <f t="shared" si="382"/>
        <v>KFH-OPERATIONS DEPARTMENT</v>
      </c>
      <c r="F950" t="str">
        <f t="shared" si="383"/>
        <v>IBG</v>
      </c>
      <c r="G950" t="str">
        <f t="shared" si="396"/>
        <v>Refund COSHARE 10</v>
      </c>
      <c r="H950" s="2">
        <v>176.3</v>
      </c>
      <c r="I950" t="str">
        <f>"MATHANA RAJ AL KALAI MANI"</f>
        <v>MATHANA RAJ AL KALAI MANI</v>
      </c>
      <c r="J950" t="str">
        <f t="shared" si="401"/>
        <v>PUBLIC BANK / PUBLIC ISLAMIC BANK</v>
      </c>
      <c r="K950" t="str">
        <f>"4476195830"</f>
        <v>4476195830</v>
      </c>
      <c r="L950" t="str">
        <f t="shared" si="404"/>
        <v>04-08-2020</v>
      </c>
      <c r="M950" t="str">
        <f t="shared" si="404"/>
        <v>04-08-2020</v>
      </c>
      <c r="N950" t="str">
        <f t="shared" si="384"/>
        <v>001105018356</v>
      </c>
      <c r="O950" t="str">
        <f t="shared" si="385"/>
        <v>MYR</v>
      </c>
      <c r="P950" t="str">
        <f t="shared" si="405"/>
        <v>NIL</v>
      </c>
      <c r="Q950" t="str">
        <f t="shared" si="405"/>
        <v>NIL</v>
      </c>
      <c r="R950" t="str">
        <f t="shared" si="386"/>
        <v>Accepted</v>
      </c>
      <c r="S950" t="str">
        <f t="shared" si="387"/>
        <v>Approved</v>
      </c>
      <c r="T950" t="str">
        <f t="shared" si="388"/>
        <v>10.20.8.188</v>
      </c>
      <c r="U950" t="str">
        <f t="shared" si="389"/>
        <v>AZRAD UMAR BIN SHAARI</v>
      </c>
      <c r="V950" t="str">
        <f t="shared" si="390"/>
        <v>FARHANA BINTI MUSTAPA</v>
      </c>
      <c r="W950" t="str">
        <f t="shared" si="391"/>
        <v>04-08-2020</v>
      </c>
      <c r="X950" t="str">
        <f t="shared" si="392"/>
        <v>RAZIMAH ANSAR AHMAD</v>
      </c>
      <c r="Y950" t="str">
        <f t="shared" si="393"/>
        <v>04-08-2020</v>
      </c>
      <c r="Z950" t="str">
        <f>"COS10200804 8204"</f>
        <v>COS10200804 8204</v>
      </c>
    </row>
    <row r="951" spans="1:26" x14ac:dyDescent="0.25">
      <c r="A951" t="str">
        <f t="shared" si="402"/>
        <v>04-08-2020 01:11:00</v>
      </c>
      <c r="B951" t="str">
        <f>"0000810008"</f>
        <v>0000810008</v>
      </c>
      <c r="C951" t="str">
        <f t="shared" si="403"/>
        <v>0000810005</v>
      </c>
      <c r="D951" t="str">
        <f t="shared" si="381"/>
        <v>73185</v>
      </c>
      <c r="E951" t="str">
        <f t="shared" si="382"/>
        <v>KFH-OPERATIONS DEPARTMENT</v>
      </c>
      <c r="F951" t="str">
        <f t="shared" si="383"/>
        <v>IBG</v>
      </c>
      <c r="G951" t="str">
        <f t="shared" si="396"/>
        <v>Refund COSHARE 10</v>
      </c>
      <c r="H951" s="2">
        <v>147.35</v>
      </c>
      <c r="I951" t="str">
        <f>"MAT ASLI BIN LEMBUT"</f>
        <v>MAT ASLI BIN LEMBUT</v>
      </c>
      <c r="J951" t="str">
        <f t="shared" si="401"/>
        <v>PUBLIC BANK / PUBLIC ISLAMIC BANK</v>
      </c>
      <c r="K951" t="str">
        <f>"4735950819"</f>
        <v>4735950819</v>
      </c>
      <c r="L951" t="str">
        <f t="shared" si="404"/>
        <v>04-08-2020</v>
      </c>
      <c r="M951" t="str">
        <f t="shared" si="404"/>
        <v>04-08-2020</v>
      </c>
      <c r="N951" t="str">
        <f t="shared" si="384"/>
        <v>001105018356</v>
      </c>
      <c r="O951" t="str">
        <f t="shared" si="385"/>
        <v>MYR</v>
      </c>
      <c r="P951" t="str">
        <f t="shared" si="405"/>
        <v>NIL</v>
      </c>
      <c r="Q951" t="str">
        <f t="shared" si="405"/>
        <v>NIL</v>
      </c>
      <c r="R951" t="str">
        <f t="shared" si="386"/>
        <v>Accepted</v>
      </c>
      <c r="S951" t="str">
        <f t="shared" si="387"/>
        <v>Approved</v>
      </c>
      <c r="T951" t="str">
        <f t="shared" si="388"/>
        <v>10.20.8.188</v>
      </c>
      <c r="U951" t="str">
        <f t="shared" si="389"/>
        <v>AZRAD UMAR BIN SHAARI</v>
      </c>
      <c r="V951" t="str">
        <f t="shared" si="390"/>
        <v>FARHANA BINTI MUSTAPA</v>
      </c>
      <c r="W951" t="str">
        <f t="shared" si="391"/>
        <v>04-08-2020</v>
      </c>
      <c r="X951" t="str">
        <f t="shared" si="392"/>
        <v>RAZIMAH ANSAR AHMAD</v>
      </c>
      <c r="Y951" t="str">
        <f t="shared" si="393"/>
        <v>04-08-2020</v>
      </c>
      <c r="Z951" t="str">
        <f>"COS10200804 8203"</f>
        <v>COS10200804 8203</v>
      </c>
    </row>
    <row r="952" spans="1:26" x14ac:dyDescent="0.25">
      <c r="A952" t="str">
        <f t="shared" si="402"/>
        <v>04-08-2020 01:11:00</v>
      </c>
      <c r="B952" t="str">
        <f>"0000810007"</f>
        <v>0000810007</v>
      </c>
      <c r="C952" t="str">
        <f t="shared" si="403"/>
        <v>0000810005</v>
      </c>
      <c r="D952" t="str">
        <f t="shared" si="381"/>
        <v>73185</v>
      </c>
      <c r="E952" t="str">
        <f t="shared" si="382"/>
        <v>KFH-OPERATIONS DEPARTMENT</v>
      </c>
      <c r="F952" t="str">
        <f t="shared" si="383"/>
        <v>IBG</v>
      </c>
      <c r="G952" t="str">
        <f t="shared" si="396"/>
        <v>Refund COSHARE 10</v>
      </c>
      <c r="H952" s="2">
        <v>662</v>
      </c>
      <c r="I952" t="str">
        <f>"MAT ASLI BIN LEMBUT"</f>
        <v>MAT ASLI BIN LEMBUT</v>
      </c>
      <c r="J952" t="str">
        <f t="shared" si="401"/>
        <v>PUBLIC BANK / PUBLIC ISLAMIC BANK</v>
      </c>
      <c r="K952" t="str">
        <f>"4735950819"</f>
        <v>4735950819</v>
      </c>
      <c r="L952" t="str">
        <f t="shared" si="404"/>
        <v>04-08-2020</v>
      </c>
      <c r="M952" t="str">
        <f t="shared" si="404"/>
        <v>04-08-2020</v>
      </c>
      <c r="N952" t="str">
        <f t="shared" si="384"/>
        <v>001105018356</v>
      </c>
      <c r="O952" t="str">
        <f t="shared" si="385"/>
        <v>MYR</v>
      </c>
      <c r="P952" t="str">
        <f t="shared" si="405"/>
        <v>NIL</v>
      </c>
      <c r="Q952" t="str">
        <f t="shared" si="405"/>
        <v>NIL</v>
      </c>
      <c r="R952" t="str">
        <f t="shared" si="386"/>
        <v>Accepted</v>
      </c>
      <c r="S952" t="str">
        <f t="shared" si="387"/>
        <v>Approved</v>
      </c>
      <c r="T952" t="str">
        <f t="shared" si="388"/>
        <v>10.20.8.188</v>
      </c>
      <c r="U952" t="str">
        <f t="shared" si="389"/>
        <v>AZRAD UMAR BIN SHAARI</v>
      </c>
      <c r="V952" t="str">
        <f t="shared" si="390"/>
        <v>FARHANA BINTI MUSTAPA</v>
      </c>
      <c r="W952" t="str">
        <f t="shared" si="391"/>
        <v>04-08-2020</v>
      </c>
      <c r="X952" t="str">
        <f t="shared" si="392"/>
        <v>RAZIMAH ANSAR AHMAD</v>
      </c>
      <c r="Y952" t="str">
        <f t="shared" si="393"/>
        <v>04-08-2020</v>
      </c>
      <c r="Z952" t="str">
        <f>"COS10200804 8202"</f>
        <v>COS10200804 8202</v>
      </c>
    </row>
    <row r="953" spans="1:26" x14ac:dyDescent="0.25">
      <c r="A953" t="str">
        <f t="shared" si="402"/>
        <v>04-08-2020 01:11:00</v>
      </c>
      <c r="B953" t="str">
        <f>"0000810006"</f>
        <v>0000810006</v>
      </c>
      <c r="C953" t="str">
        <f t="shared" si="403"/>
        <v>0000810005</v>
      </c>
      <c r="D953" t="str">
        <f t="shared" si="381"/>
        <v>73185</v>
      </c>
      <c r="E953" t="str">
        <f t="shared" si="382"/>
        <v>KFH-OPERATIONS DEPARTMENT</v>
      </c>
      <c r="F953" t="str">
        <f t="shared" si="383"/>
        <v>IBG</v>
      </c>
      <c r="G953" t="str">
        <f t="shared" si="396"/>
        <v>Refund COSHARE 10</v>
      </c>
      <c r="H953" s="2">
        <v>831.1</v>
      </c>
      <c r="I953" t="str">
        <f>"MASLAN BIN JASNIH"</f>
        <v>MASLAN BIN JASNIH</v>
      </c>
      <c r="J953" t="str">
        <f t="shared" si="401"/>
        <v>PUBLIC BANK / PUBLIC ISLAMIC BANK</v>
      </c>
      <c r="K953" t="str">
        <f>"4454186236"</f>
        <v>4454186236</v>
      </c>
      <c r="L953" t="str">
        <f t="shared" si="404"/>
        <v>04-08-2020</v>
      </c>
      <c r="M953" t="str">
        <f t="shared" si="404"/>
        <v>04-08-2020</v>
      </c>
      <c r="N953" t="str">
        <f t="shared" si="384"/>
        <v>001105018356</v>
      </c>
      <c r="O953" t="str">
        <f t="shared" si="385"/>
        <v>MYR</v>
      </c>
      <c r="P953" t="str">
        <f t="shared" si="405"/>
        <v>NIL</v>
      </c>
      <c r="Q953" t="str">
        <f t="shared" si="405"/>
        <v>NIL</v>
      </c>
      <c r="R953" t="str">
        <f t="shared" si="386"/>
        <v>Accepted</v>
      </c>
      <c r="S953" t="str">
        <f t="shared" si="387"/>
        <v>Approved</v>
      </c>
      <c r="T953" t="str">
        <f t="shared" si="388"/>
        <v>10.20.8.188</v>
      </c>
      <c r="U953" t="str">
        <f t="shared" si="389"/>
        <v>AZRAD UMAR BIN SHAARI</v>
      </c>
      <c r="V953" t="str">
        <f t="shared" si="390"/>
        <v>FARHANA BINTI MUSTAPA</v>
      </c>
      <c r="W953" t="str">
        <f t="shared" si="391"/>
        <v>04-08-2020</v>
      </c>
      <c r="X953" t="str">
        <f t="shared" si="392"/>
        <v>RAZIMAH ANSAR AHMAD</v>
      </c>
      <c r="Y953" t="str">
        <f t="shared" si="393"/>
        <v>04-08-2020</v>
      </c>
      <c r="Z953" t="str">
        <f>"COS10200804 8201"</f>
        <v>COS10200804 8201</v>
      </c>
    </row>
    <row r="954" spans="1:26" x14ac:dyDescent="0.25">
      <c r="A954" t="str">
        <f t="shared" ref="A954:A985" si="406">"04-08-2020 01:09:43"</f>
        <v>04-08-2020 01:09:43</v>
      </c>
      <c r="B954" t="str">
        <f>"0000810003"</f>
        <v>0000810003</v>
      </c>
      <c r="C954" t="str">
        <f t="shared" ref="C954:C985" si="407">"0000809803"</f>
        <v>0000809803</v>
      </c>
      <c r="D954" t="str">
        <f t="shared" si="381"/>
        <v>73185</v>
      </c>
      <c r="E954" t="str">
        <f t="shared" si="382"/>
        <v>KFH-OPERATIONS DEPARTMENT</v>
      </c>
      <c r="F954" t="str">
        <f t="shared" si="383"/>
        <v>IBG</v>
      </c>
      <c r="G954" t="str">
        <f t="shared" si="396"/>
        <v>Refund COSHARE 10</v>
      </c>
      <c r="H954" s="2">
        <v>1175.3</v>
      </c>
      <c r="I954" t="str">
        <f>"MASIYAH BINTI MAJISTI"</f>
        <v>MASIYAH BINTI MAJISTI</v>
      </c>
      <c r="J954" t="str">
        <f t="shared" si="401"/>
        <v>PUBLIC BANK / PUBLIC ISLAMIC BANK</v>
      </c>
      <c r="K954" t="str">
        <f>"6820468128"</f>
        <v>6820468128</v>
      </c>
      <c r="L954" t="str">
        <f t="shared" si="404"/>
        <v>04-08-2020</v>
      </c>
      <c r="M954" t="str">
        <f t="shared" si="404"/>
        <v>04-08-2020</v>
      </c>
      <c r="N954" t="str">
        <f t="shared" si="384"/>
        <v>001105018356</v>
      </c>
      <c r="O954" t="str">
        <f t="shared" si="385"/>
        <v>MYR</v>
      </c>
      <c r="P954" t="str">
        <f t="shared" si="405"/>
        <v>NIL</v>
      </c>
      <c r="Q954" t="str">
        <f t="shared" si="405"/>
        <v>NIL</v>
      </c>
      <c r="R954" t="str">
        <f t="shared" si="386"/>
        <v>Accepted</v>
      </c>
      <c r="S954" t="str">
        <f t="shared" si="387"/>
        <v>Approved</v>
      </c>
      <c r="T954" t="str">
        <f t="shared" si="388"/>
        <v>10.20.8.188</v>
      </c>
      <c r="U954" t="str">
        <f t="shared" si="389"/>
        <v>AZRAD UMAR BIN SHAARI</v>
      </c>
      <c r="V954" t="str">
        <f t="shared" si="390"/>
        <v>FARHANA BINTI MUSTAPA</v>
      </c>
      <c r="W954" t="str">
        <f t="shared" si="391"/>
        <v>04-08-2020</v>
      </c>
      <c r="X954" t="str">
        <f t="shared" si="392"/>
        <v>RAZIMAH ANSAR AHMAD</v>
      </c>
      <c r="Y954" t="str">
        <f t="shared" si="393"/>
        <v>04-08-2020</v>
      </c>
      <c r="Z954" t="str">
        <f>"COS10200804 8200"</f>
        <v>COS10200804 8200</v>
      </c>
    </row>
    <row r="955" spans="1:26" x14ac:dyDescent="0.25">
      <c r="A955" t="str">
        <f t="shared" si="406"/>
        <v>04-08-2020 01:09:43</v>
      </c>
      <c r="B955" t="str">
        <f>"0000810002"</f>
        <v>0000810002</v>
      </c>
      <c r="C955" t="str">
        <f t="shared" si="407"/>
        <v>0000809803</v>
      </c>
      <c r="D955" t="str">
        <f t="shared" si="381"/>
        <v>73185</v>
      </c>
      <c r="E955" t="str">
        <f t="shared" si="382"/>
        <v>KFH-OPERATIONS DEPARTMENT</v>
      </c>
      <c r="F955" t="str">
        <f t="shared" si="383"/>
        <v>IBG</v>
      </c>
      <c r="G955" t="str">
        <f t="shared" si="396"/>
        <v>Refund COSHARE 10</v>
      </c>
      <c r="H955" s="2">
        <v>127.05</v>
      </c>
      <c r="I955" t="str">
        <f>"MARZUAN BIN YAAKOB  MOHAMED"</f>
        <v>MARZUAN BIN YAAKOB  MOHAMED</v>
      </c>
      <c r="J955" t="str">
        <f t="shared" si="401"/>
        <v>PUBLIC BANK / PUBLIC ISLAMIC BANK</v>
      </c>
      <c r="K955" t="str">
        <f>"4817329328"</f>
        <v>4817329328</v>
      </c>
      <c r="L955" t="str">
        <f t="shared" si="404"/>
        <v>04-08-2020</v>
      </c>
      <c r="M955" t="str">
        <f t="shared" si="404"/>
        <v>04-08-2020</v>
      </c>
      <c r="N955" t="str">
        <f t="shared" si="384"/>
        <v>001105018356</v>
      </c>
      <c r="O955" t="str">
        <f t="shared" si="385"/>
        <v>MYR</v>
      </c>
      <c r="P955" t="str">
        <f t="shared" si="405"/>
        <v>NIL</v>
      </c>
      <c r="Q955" t="str">
        <f t="shared" si="405"/>
        <v>NIL</v>
      </c>
      <c r="R955" t="str">
        <f t="shared" si="386"/>
        <v>Accepted</v>
      </c>
      <c r="S955" t="str">
        <f t="shared" si="387"/>
        <v>Approved</v>
      </c>
      <c r="T955" t="str">
        <f t="shared" si="388"/>
        <v>10.20.8.188</v>
      </c>
      <c r="U955" t="str">
        <f t="shared" si="389"/>
        <v>AZRAD UMAR BIN SHAARI</v>
      </c>
      <c r="V955" t="str">
        <f t="shared" si="390"/>
        <v>FARHANA BINTI MUSTAPA</v>
      </c>
      <c r="W955" t="str">
        <f t="shared" si="391"/>
        <v>04-08-2020</v>
      </c>
      <c r="X955" t="str">
        <f t="shared" si="392"/>
        <v>RAZIMAH ANSAR AHMAD</v>
      </c>
      <c r="Y955" t="str">
        <f t="shared" si="393"/>
        <v>04-08-2020</v>
      </c>
      <c r="Z955" t="str">
        <f>"COS10200804 8199"</f>
        <v>COS10200804 8199</v>
      </c>
    </row>
    <row r="956" spans="1:26" x14ac:dyDescent="0.25">
      <c r="A956" t="str">
        <f t="shared" si="406"/>
        <v>04-08-2020 01:09:43</v>
      </c>
      <c r="B956" t="str">
        <f>"0000810001"</f>
        <v>0000810001</v>
      </c>
      <c r="C956" t="str">
        <f t="shared" si="407"/>
        <v>0000809803</v>
      </c>
      <c r="D956" t="str">
        <f t="shared" si="381"/>
        <v>73185</v>
      </c>
      <c r="E956" t="str">
        <f t="shared" si="382"/>
        <v>KFH-OPERATIONS DEPARTMENT</v>
      </c>
      <c r="F956" t="str">
        <f t="shared" si="383"/>
        <v>IBG</v>
      </c>
      <c r="G956" t="str">
        <f t="shared" si="396"/>
        <v>Refund COSHARE 10</v>
      </c>
      <c r="H956" s="2">
        <v>1081.3</v>
      </c>
      <c r="I956" t="str">
        <f>"MAHESWARAN AL ARUMUGAM"</f>
        <v>MAHESWARAN AL ARUMUGAM</v>
      </c>
      <c r="J956" t="str">
        <f t="shared" si="401"/>
        <v>PUBLIC BANK / PUBLIC ISLAMIC BANK</v>
      </c>
      <c r="K956" t="str">
        <f>"4385829215"</f>
        <v>4385829215</v>
      </c>
      <c r="L956" t="str">
        <f t="shared" si="404"/>
        <v>04-08-2020</v>
      </c>
      <c r="M956" t="str">
        <f t="shared" si="404"/>
        <v>04-08-2020</v>
      </c>
      <c r="N956" t="str">
        <f t="shared" si="384"/>
        <v>001105018356</v>
      </c>
      <c r="O956" t="str">
        <f t="shared" si="385"/>
        <v>MYR</v>
      </c>
      <c r="P956" t="str">
        <f t="shared" si="405"/>
        <v>NIL</v>
      </c>
      <c r="Q956" t="str">
        <f t="shared" si="405"/>
        <v>NIL</v>
      </c>
      <c r="R956" t="str">
        <f t="shared" si="386"/>
        <v>Accepted</v>
      </c>
      <c r="S956" t="str">
        <f t="shared" si="387"/>
        <v>Approved</v>
      </c>
      <c r="T956" t="str">
        <f t="shared" si="388"/>
        <v>10.20.8.188</v>
      </c>
      <c r="U956" t="str">
        <f t="shared" si="389"/>
        <v>AZRAD UMAR BIN SHAARI</v>
      </c>
      <c r="V956" t="str">
        <f t="shared" si="390"/>
        <v>FARHANA BINTI MUSTAPA</v>
      </c>
      <c r="W956" t="str">
        <f t="shared" si="391"/>
        <v>04-08-2020</v>
      </c>
      <c r="X956" t="str">
        <f t="shared" si="392"/>
        <v>RAZIMAH ANSAR AHMAD</v>
      </c>
      <c r="Y956" t="str">
        <f t="shared" si="393"/>
        <v>04-08-2020</v>
      </c>
      <c r="Z956" t="str">
        <f>"COS10200804 8198"</f>
        <v>COS10200804 8198</v>
      </c>
    </row>
    <row r="957" spans="1:26" x14ac:dyDescent="0.25">
      <c r="A957" t="str">
        <f t="shared" si="406"/>
        <v>04-08-2020 01:09:43</v>
      </c>
      <c r="B957" t="str">
        <f>"0000810000"</f>
        <v>0000810000</v>
      </c>
      <c r="C957" t="str">
        <f t="shared" si="407"/>
        <v>0000809803</v>
      </c>
      <c r="D957" t="str">
        <f t="shared" si="381"/>
        <v>73185</v>
      </c>
      <c r="E957" t="str">
        <f t="shared" si="382"/>
        <v>KFH-OPERATIONS DEPARTMENT</v>
      </c>
      <c r="F957" t="str">
        <f t="shared" si="383"/>
        <v>IBG</v>
      </c>
      <c r="G957" t="str">
        <f t="shared" si="396"/>
        <v>Refund COSHARE 10</v>
      </c>
      <c r="H957" s="2">
        <v>948.2</v>
      </c>
      <c r="I957" t="str">
        <f>"MAHALINGAM AL PERMALSAMY"</f>
        <v>MAHALINGAM AL PERMALSAMY</v>
      </c>
      <c r="J957" t="str">
        <f t="shared" si="401"/>
        <v>PUBLIC BANK / PUBLIC ISLAMIC BANK</v>
      </c>
      <c r="K957" t="str">
        <f>"4723383527"</f>
        <v>4723383527</v>
      </c>
      <c r="L957" t="str">
        <f t="shared" si="404"/>
        <v>04-08-2020</v>
      </c>
      <c r="M957" t="str">
        <f t="shared" si="404"/>
        <v>04-08-2020</v>
      </c>
      <c r="N957" t="str">
        <f t="shared" si="384"/>
        <v>001105018356</v>
      </c>
      <c r="O957" t="str">
        <f t="shared" si="385"/>
        <v>MYR</v>
      </c>
      <c r="P957" t="str">
        <f t="shared" si="405"/>
        <v>NIL</v>
      </c>
      <c r="Q957" t="str">
        <f t="shared" si="405"/>
        <v>NIL</v>
      </c>
      <c r="R957" t="str">
        <f t="shared" si="386"/>
        <v>Accepted</v>
      </c>
      <c r="S957" t="str">
        <f t="shared" si="387"/>
        <v>Approved</v>
      </c>
      <c r="T957" t="str">
        <f t="shared" si="388"/>
        <v>10.20.8.188</v>
      </c>
      <c r="U957" t="str">
        <f t="shared" si="389"/>
        <v>AZRAD UMAR BIN SHAARI</v>
      </c>
      <c r="V957" t="str">
        <f t="shared" si="390"/>
        <v>FARHANA BINTI MUSTAPA</v>
      </c>
      <c r="W957" t="str">
        <f t="shared" si="391"/>
        <v>04-08-2020</v>
      </c>
      <c r="X957" t="str">
        <f t="shared" si="392"/>
        <v>RAZIMAH ANSAR AHMAD</v>
      </c>
      <c r="Y957" t="str">
        <f t="shared" si="393"/>
        <v>04-08-2020</v>
      </c>
      <c r="Z957" t="str">
        <f>"COS10200804 8197"</f>
        <v>COS10200804 8197</v>
      </c>
    </row>
    <row r="958" spans="1:26" x14ac:dyDescent="0.25">
      <c r="A958" t="str">
        <f t="shared" si="406"/>
        <v>04-08-2020 01:09:43</v>
      </c>
      <c r="B958" t="str">
        <f>"0000809999"</f>
        <v>0000809999</v>
      </c>
      <c r="C958" t="str">
        <f t="shared" si="407"/>
        <v>0000809803</v>
      </c>
      <c r="D958" t="str">
        <f t="shared" si="381"/>
        <v>73185</v>
      </c>
      <c r="E958" t="str">
        <f t="shared" si="382"/>
        <v>KFH-OPERATIONS DEPARTMENT</v>
      </c>
      <c r="F958" t="str">
        <f t="shared" si="383"/>
        <v>IBG</v>
      </c>
      <c r="G958" t="str">
        <f t="shared" si="396"/>
        <v>Refund COSHARE 10</v>
      </c>
      <c r="H958" s="2">
        <v>713.6</v>
      </c>
      <c r="I958" t="str">
        <f>"LYUDMILA ANAK JIMMY"</f>
        <v>LYUDMILA ANAK JIMMY</v>
      </c>
      <c r="J958" t="str">
        <f t="shared" si="401"/>
        <v>PUBLIC BANK / PUBLIC ISLAMIC BANK</v>
      </c>
      <c r="K958" t="str">
        <f>"4807729823"</f>
        <v>4807729823</v>
      </c>
      <c r="L958" t="str">
        <f t="shared" si="404"/>
        <v>04-08-2020</v>
      </c>
      <c r="M958" t="str">
        <f t="shared" si="404"/>
        <v>04-08-2020</v>
      </c>
      <c r="N958" t="str">
        <f t="shared" si="384"/>
        <v>001105018356</v>
      </c>
      <c r="O958" t="str">
        <f t="shared" si="385"/>
        <v>MYR</v>
      </c>
      <c r="P958" t="str">
        <f t="shared" si="405"/>
        <v>NIL</v>
      </c>
      <c r="Q958" t="str">
        <f t="shared" si="405"/>
        <v>NIL</v>
      </c>
      <c r="R958" t="str">
        <f t="shared" si="386"/>
        <v>Accepted</v>
      </c>
      <c r="S958" t="str">
        <f t="shared" si="387"/>
        <v>Approved</v>
      </c>
      <c r="T958" t="str">
        <f t="shared" si="388"/>
        <v>10.20.8.188</v>
      </c>
      <c r="U958" t="str">
        <f t="shared" si="389"/>
        <v>AZRAD UMAR BIN SHAARI</v>
      </c>
      <c r="V958" t="str">
        <f t="shared" si="390"/>
        <v>FARHANA BINTI MUSTAPA</v>
      </c>
      <c r="W958" t="str">
        <f t="shared" si="391"/>
        <v>04-08-2020</v>
      </c>
      <c r="X958" t="str">
        <f t="shared" si="392"/>
        <v>RAZIMAH ANSAR AHMAD</v>
      </c>
      <c r="Y958" t="str">
        <f t="shared" si="393"/>
        <v>04-08-2020</v>
      </c>
      <c r="Z958" t="str">
        <f>"COS10200804 8196"</f>
        <v>COS10200804 8196</v>
      </c>
    </row>
    <row r="959" spans="1:26" x14ac:dyDescent="0.25">
      <c r="A959" t="str">
        <f t="shared" si="406"/>
        <v>04-08-2020 01:09:43</v>
      </c>
      <c r="B959" t="str">
        <f>"0000809998"</f>
        <v>0000809998</v>
      </c>
      <c r="C959" t="str">
        <f t="shared" si="407"/>
        <v>0000809803</v>
      </c>
      <c r="D959" t="str">
        <f t="shared" si="381"/>
        <v>73185</v>
      </c>
      <c r="E959" t="str">
        <f t="shared" si="382"/>
        <v>KFH-OPERATIONS DEPARTMENT</v>
      </c>
      <c r="F959" t="str">
        <f t="shared" si="383"/>
        <v>IBG</v>
      </c>
      <c r="G959" t="str">
        <f t="shared" si="396"/>
        <v>Refund COSHARE 10</v>
      </c>
      <c r="H959" s="2">
        <v>2589</v>
      </c>
      <c r="I959" t="str">
        <f>"LING HIE JING"</f>
        <v>LING HIE JING</v>
      </c>
      <c r="J959" t="str">
        <f t="shared" si="401"/>
        <v>PUBLIC BANK / PUBLIC ISLAMIC BANK</v>
      </c>
      <c r="K959" t="str">
        <f>"4637901902"</f>
        <v>4637901902</v>
      </c>
      <c r="L959" t="str">
        <f t="shared" si="404"/>
        <v>04-08-2020</v>
      </c>
      <c r="M959" t="str">
        <f t="shared" si="404"/>
        <v>04-08-2020</v>
      </c>
      <c r="N959" t="str">
        <f t="shared" si="384"/>
        <v>001105018356</v>
      </c>
      <c r="O959" t="str">
        <f t="shared" si="385"/>
        <v>MYR</v>
      </c>
      <c r="P959" t="str">
        <f t="shared" si="405"/>
        <v>NIL</v>
      </c>
      <c r="Q959" t="str">
        <f t="shared" si="405"/>
        <v>NIL</v>
      </c>
      <c r="R959" t="str">
        <f t="shared" si="386"/>
        <v>Accepted</v>
      </c>
      <c r="S959" t="str">
        <f t="shared" si="387"/>
        <v>Approved</v>
      </c>
      <c r="T959" t="str">
        <f t="shared" si="388"/>
        <v>10.20.8.188</v>
      </c>
      <c r="U959" t="str">
        <f t="shared" si="389"/>
        <v>AZRAD UMAR BIN SHAARI</v>
      </c>
      <c r="V959" t="str">
        <f t="shared" si="390"/>
        <v>FARHANA BINTI MUSTAPA</v>
      </c>
      <c r="W959" t="str">
        <f t="shared" si="391"/>
        <v>04-08-2020</v>
      </c>
      <c r="X959" t="str">
        <f t="shared" si="392"/>
        <v>RAZIMAH ANSAR AHMAD</v>
      </c>
      <c r="Y959" t="str">
        <f t="shared" si="393"/>
        <v>04-08-2020</v>
      </c>
      <c r="Z959" t="str">
        <f>"COS10200804 8195"</f>
        <v>COS10200804 8195</v>
      </c>
    </row>
    <row r="960" spans="1:26" x14ac:dyDescent="0.25">
      <c r="A960" t="str">
        <f t="shared" si="406"/>
        <v>04-08-2020 01:09:43</v>
      </c>
      <c r="B960" t="str">
        <f>"0000809997"</f>
        <v>0000809997</v>
      </c>
      <c r="C960" t="str">
        <f t="shared" si="407"/>
        <v>0000809803</v>
      </c>
      <c r="D960" t="str">
        <f t="shared" si="381"/>
        <v>73185</v>
      </c>
      <c r="E960" t="str">
        <f t="shared" si="382"/>
        <v>KFH-OPERATIONS DEPARTMENT</v>
      </c>
      <c r="F960" t="str">
        <f t="shared" si="383"/>
        <v>IBG</v>
      </c>
      <c r="G960" t="str">
        <f t="shared" si="396"/>
        <v>Refund COSHARE 10</v>
      </c>
      <c r="H960" s="2">
        <v>419.75</v>
      </c>
      <c r="I960" t="str">
        <f>"LINDA SYLVESTER"</f>
        <v>LINDA SYLVESTER</v>
      </c>
      <c r="J960" t="str">
        <f t="shared" si="401"/>
        <v>PUBLIC BANK / PUBLIC ISLAMIC BANK</v>
      </c>
      <c r="K960" t="str">
        <f>"4391383704"</f>
        <v>4391383704</v>
      </c>
      <c r="L960" t="str">
        <f t="shared" si="404"/>
        <v>04-08-2020</v>
      </c>
      <c r="M960" t="str">
        <f t="shared" si="404"/>
        <v>04-08-2020</v>
      </c>
      <c r="N960" t="str">
        <f t="shared" si="384"/>
        <v>001105018356</v>
      </c>
      <c r="O960" t="str">
        <f t="shared" si="385"/>
        <v>MYR</v>
      </c>
      <c r="P960" t="str">
        <f t="shared" si="405"/>
        <v>NIL</v>
      </c>
      <c r="Q960" t="str">
        <f t="shared" si="405"/>
        <v>NIL</v>
      </c>
      <c r="R960" t="str">
        <f t="shared" si="386"/>
        <v>Accepted</v>
      </c>
      <c r="S960" t="str">
        <f t="shared" si="387"/>
        <v>Approved</v>
      </c>
      <c r="T960" t="str">
        <f t="shared" si="388"/>
        <v>10.20.8.188</v>
      </c>
      <c r="U960" t="str">
        <f t="shared" si="389"/>
        <v>AZRAD UMAR BIN SHAARI</v>
      </c>
      <c r="V960" t="str">
        <f t="shared" si="390"/>
        <v>FARHANA BINTI MUSTAPA</v>
      </c>
      <c r="W960" t="str">
        <f t="shared" si="391"/>
        <v>04-08-2020</v>
      </c>
      <c r="X960" t="str">
        <f t="shared" si="392"/>
        <v>RAZIMAH ANSAR AHMAD</v>
      </c>
      <c r="Y960" t="str">
        <f t="shared" si="393"/>
        <v>04-08-2020</v>
      </c>
      <c r="Z960" t="str">
        <f>"COS10200804 8194"</f>
        <v>COS10200804 8194</v>
      </c>
    </row>
    <row r="961" spans="1:26" x14ac:dyDescent="0.25">
      <c r="A961" t="str">
        <f t="shared" si="406"/>
        <v>04-08-2020 01:09:43</v>
      </c>
      <c r="B961" t="str">
        <f>"0000809996"</f>
        <v>0000809996</v>
      </c>
      <c r="C961" t="str">
        <f t="shared" si="407"/>
        <v>0000809803</v>
      </c>
      <c r="D961" t="str">
        <f t="shared" si="381"/>
        <v>73185</v>
      </c>
      <c r="E961" t="str">
        <f t="shared" si="382"/>
        <v>KFH-OPERATIONS DEPARTMENT</v>
      </c>
      <c r="F961" t="str">
        <f t="shared" si="383"/>
        <v>IBG</v>
      </c>
      <c r="G961" t="str">
        <f t="shared" si="396"/>
        <v>Refund COSHARE 10</v>
      </c>
      <c r="H961" s="2">
        <v>1023.25</v>
      </c>
      <c r="I961" t="str">
        <f>"LIM MUI KEN"</f>
        <v>LIM MUI KEN</v>
      </c>
      <c r="J961" t="str">
        <f t="shared" si="401"/>
        <v>PUBLIC BANK / PUBLIC ISLAMIC BANK</v>
      </c>
      <c r="K961" t="str">
        <f>"4023287115"</f>
        <v>4023287115</v>
      </c>
      <c r="L961" t="str">
        <f t="shared" si="404"/>
        <v>04-08-2020</v>
      </c>
      <c r="M961" t="str">
        <f t="shared" si="404"/>
        <v>04-08-2020</v>
      </c>
      <c r="N961" t="str">
        <f t="shared" si="384"/>
        <v>001105018356</v>
      </c>
      <c r="O961" t="str">
        <f t="shared" si="385"/>
        <v>MYR</v>
      </c>
      <c r="P961" t="str">
        <f t="shared" si="405"/>
        <v>NIL</v>
      </c>
      <c r="Q961" t="str">
        <f t="shared" si="405"/>
        <v>NIL</v>
      </c>
      <c r="R961" t="str">
        <f t="shared" si="386"/>
        <v>Accepted</v>
      </c>
      <c r="S961" t="str">
        <f t="shared" si="387"/>
        <v>Approved</v>
      </c>
      <c r="T961" t="str">
        <f t="shared" si="388"/>
        <v>10.20.8.188</v>
      </c>
      <c r="U961" t="str">
        <f t="shared" si="389"/>
        <v>AZRAD UMAR BIN SHAARI</v>
      </c>
      <c r="V961" t="str">
        <f t="shared" si="390"/>
        <v>FARHANA BINTI MUSTAPA</v>
      </c>
      <c r="W961" t="str">
        <f t="shared" si="391"/>
        <v>04-08-2020</v>
      </c>
      <c r="X961" t="str">
        <f t="shared" si="392"/>
        <v>RAZIMAH ANSAR AHMAD</v>
      </c>
      <c r="Y961" t="str">
        <f t="shared" si="393"/>
        <v>04-08-2020</v>
      </c>
      <c r="Z961" t="str">
        <f>"COS10200804 8193"</f>
        <v>COS10200804 8193</v>
      </c>
    </row>
    <row r="962" spans="1:26" x14ac:dyDescent="0.25">
      <c r="A962" t="str">
        <f t="shared" si="406"/>
        <v>04-08-2020 01:09:43</v>
      </c>
      <c r="B962" t="str">
        <f>"0000809995"</f>
        <v>0000809995</v>
      </c>
      <c r="C962" t="str">
        <f t="shared" si="407"/>
        <v>0000809803</v>
      </c>
      <c r="D962" t="str">
        <f t="shared" si="381"/>
        <v>73185</v>
      </c>
      <c r="E962" t="str">
        <f t="shared" si="382"/>
        <v>KFH-OPERATIONS DEPARTMENT</v>
      </c>
      <c r="F962" t="str">
        <f t="shared" si="383"/>
        <v>IBG</v>
      </c>
      <c r="G962" t="str">
        <f t="shared" si="396"/>
        <v>Refund COSHARE 10</v>
      </c>
      <c r="H962" s="2">
        <v>302.25</v>
      </c>
      <c r="I962" t="str">
        <f>"LEE KET FAH"</f>
        <v>LEE KET FAH</v>
      </c>
      <c r="J962" t="str">
        <f t="shared" si="401"/>
        <v>PUBLIC BANK / PUBLIC ISLAMIC BANK</v>
      </c>
      <c r="K962" t="str">
        <f>"4045958336"</f>
        <v>4045958336</v>
      </c>
      <c r="L962" t="str">
        <f t="shared" si="404"/>
        <v>04-08-2020</v>
      </c>
      <c r="M962" t="str">
        <f t="shared" si="404"/>
        <v>04-08-2020</v>
      </c>
      <c r="N962" t="str">
        <f t="shared" si="384"/>
        <v>001105018356</v>
      </c>
      <c r="O962" t="str">
        <f t="shared" si="385"/>
        <v>MYR</v>
      </c>
      <c r="P962" t="str">
        <f t="shared" si="405"/>
        <v>NIL</v>
      </c>
      <c r="Q962" t="str">
        <f t="shared" si="405"/>
        <v>NIL</v>
      </c>
      <c r="R962" t="str">
        <f t="shared" si="386"/>
        <v>Accepted</v>
      </c>
      <c r="S962" t="str">
        <f t="shared" si="387"/>
        <v>Approved</v>
      </c>
      <c r="T962" t="str">
        <f t="shared" si="388"/>
        <v>10.20.8.188</v>
      </c>
      <c r="U962" t="str">
        <f t="shared" si="389"/>
        <v>AZRAD UMAR BIN SHAARI</v>
      </c>
      <c r="V962" t="str">
        <f t="shared" si="390"/>
        <v>FARHANA BINTI MUSTAPA</v>
      </c>
      <c r="W962" t="str">
        <f t="shared" si="391"/>
        <v>04-08-2020</v>
      </c>
      <c r="X962" t="str">
        <f t="shared" si="392"/>
        <v>RAZIMAH ANSAR AHMAD</v>
      </c>
      <c r="Y962" t="str">
        <f t="shared" si="393"/>
        <v>04-08-2020</v>
      </c>
      <c r="Z962" t="str">
        <f>"COS10200804 8192"</f>
        <v>COS10200804 8192</v>
      </c>
    </row>
    <row r="963" spans="1:26" x14ac:dyDescent="0.25">
      <c r="A963" t="str">
        <f t="shared" si="406"/>
        <v>04-08-2020 01:09:43</v>
      </c>
      <c r="B963" t="str">
        <f>"0000809994"</f>
        <v>0000809994</v>
      </c>
      <c r="C963" t="str">
        <f t="shared" si="407"/>
        <v>0000809803</v>
      </c>
      <c r="D963" t="str">
        <f t="shared" si="381"/>
        <v>73185</v>
      </c>
      <c r="E963" t="str">
        <f t="shared" si="382"/>
        <v>KFH-OPERATIONS DEPARTMENT</v>
      </c>
      <c r="F963" t="str">
        <f t="shared" si="383"/>
        <v>IBG</v>
      </c>
      <c r="G963" t="str">
        <f t="shared" si="396"/>
        <v>Refund COSHARE 10</v>
      </c>
      <c r="H963" s="2">
        <v>419.75</v>
      </c>
      <c r="I963" t="str">
        <f>"KRISHNAVENY AP MUNIANDY"</f>
        <v>KRISHNAVENY AP MUNIANDY</v>
      </c>
      <c r="J963" t="str">
        <f t="shared" si="401"/>
        <v>PUBLIC BANK / PUBLIC ISLAMIC BANK</v>
      </c>
      <c r="K963" t="str">
        <f>"4950387919"</f>
        <v>4950387919</v>
      </c>
      <c r="L963" t="str">
        <f t="shared" si="404"/>
        <v>04-08-2020</v>
      </c>
      <c r="M963" t="str">
        <f t="shared" si="404"/>
        <v>04-08-2020</v>
      </c>
      <c r="N963" t="str">
        <f t="shared" si="384"/>
        <v>001105018356</v>
      </c>
      <c r="O963" t="str">
        <f t="shared" si="385"/>
        <v>MYR</v>
      </c>
      <c r="P963" t="str">
        <f t="shared" si="405"/>
        <v>NIL</v>
      </c>
      <c r="Q963" t="str">
        <f t="shared" si="405"/>
        <v>NIL</v>
      </c>
      <c r="R963" t="str">
        <f t="shared" si="386"/>
        <v>Accepted</v>
      </c>
      <c r="S963" t="str">
        <f t="shared" si="387"/>
        <v>Approved</v>
      </c>
      <c r="T963" t="str">
        <f t="shared" si="388"/>
        <v>10.20.8.188</v>
      </c>
      <c r="U963" t="str">
        <f t="shared" si="389"/>
        <v>AZRAD UMAR BIN SHAARI</v>
      </c>
      <c r="V963" t="str">
        <f t="shared" si="390"/>
        <v>FARHANA BINTI MUSTAPA</v>
      </c>
      <c r="W963" t="str">
        <f t="shared" si="391"/>
        <v>04-08-2020</v>
      </c>
      <c r="X963" t="str">
        <f t="shared" si="392"/>
        <v>RAZIMAH ANSAR AHMAD</v>
      </c>
      <c r="Y963" t="str">
        <f t="shared" si="393"/>
        <v>04-08-2020</v>
      </c>
      <c r="Z963" t="str">
        <f>"COS10200804 8191"</f>
        <v>COS10200804 8191</v>
      </c>
    </row>
    <row r="964" spans="1:26" x14ac:dyDescent="0.25">
      <c r="A964" t="str">
        <f t="shared" si="406"/>
        <v>04-08-2020 01:09:43</v>
      </c>
      <c r="B964" t="str">
        <f>"0000809993"</f>
        <v>0000809993</v>
      </c>
      <c r="C964" t="str">
        <f t="shared" si="407"/>
        <v>0000809803</v>
      </c>
      <c r="D964" t="str">
        <f t="shared" si="381"/>
        <v>73185</v>
      </c>
      <c r="E964" t="str">
        <f t="shared" si="382"/>
        <v>KFH-OPERATIONS DEPARTMENT</v>
      </c>
      <c r="F964" t="str">
        <f t="shared" si="383"/>
        <v>IBG</v>
      </c>
      <c r="G964" t="str">
        <f t="shared" si="396"/>
        <v>Refund COSHARE 10</v>
      </c>
      <c r="H964" s="2">
        <v>416.5</v>
      </c>
      <c r="I964" t="str">
        <f>"KHO TAI CHAI"</f>
        <v>KHO TAI CHAI</v>
      </c>
      <c r="J964" t="str">
        <f t="shared" si="401"/>
        <v>PUBLIC BANK / PUBLIC ISLAMIC BANK</v>
      </c>
      <c r="K964" t="str">
        <f>"4876842607"</f>
        <v>4876842607</v>
      </c>
      <c r="L964" t="str">
        <f t="shared" si="404"/>
        <v>04-08-2020</v>
      </c>
      <c r="M964" t="str">
        <f t="shared" si="404"/>
        <v>04-08-2020</v>
      </c>
      <c r="N964" t="str">
        <f t="shared" si="384"/>
        <v>001105018356</v>
      </c>
      <c r="O964" t="str">
        <f t="shared" si="385"/>
        <v>MYR</v>
      </c>
      <c r="P964" t="str">
        <f t="shared" si="405"/>
        <v>NIL</v>
      </c>
      <c r="Q964" t="str">
        <f t="shared" si="405"/>
        <v>NIL</v>
      </c>
      <c r="R964" t="str">
        <f t="shared" si="386"/>
        <v>Accepted</v>
      </c>
      <c r="S964" t="str">
        <f t="shared" si="387"/>
        <v>Approved</v>
      </c>
      <c r="T964" t="str">
        <f t="shared" si="388"/>
        <v>10.20.8.188</v>
      </c>
      <c r="U964" t="str">
        <f t="shared" si="389"/>
        <v>AZRAD UMAR BIN SHAARI</v>
      </c>
      <c r="V964" t="str">
        <f t="shared" si="390"/>
        <v>FARHANA BINTI MUSTAPA</v>
      </c>
      <c r="W964" t="str">
        <f t="shared" si="391"/>
        <v>04-08-2020</v>
      </c>
      <c r="X964" t="str">
        <f t="shared" si="392"/>
        <v>RAZIMAH ANSAR AHMAD</v>
      </c>
      <c r="Y964" t="str">
        <f t="shared" si="393"/>
        <v>04-08-2020</v>
      </c>
      <c r="Z964" t="str">
        <f>"COS10200804 8190"</f>
        <v>COS10200804 8190</v>
      </c>
    </row>
    <row r="965" spans="1:26" x14ac:dyDescent="0.25">
      <c r="A965" t="str">
        <f t="shared" si="406"/>
        <v>04-08-2020 01:09:43</v>
      </c>
      <c r="B965" t="str">
        <f>"0000809992"</f>
        <v>0000809992</v>
      </c>
      <c r="C965" t="str">
        <f t="shared" si="407"/>
        <v>0000809803</v>
      </c>
      <c r="D965" t="str">
        <f t="shared" si="381"/>
        <v>73185</v>
      </c>
      <c r="E965" t="str">
        <f t="shared" si="382"/>
        <v>KFH-OPERATIONS DEPARTMENT</v>
      </c>
      <c r="F965" t="str">
        <f t="shared" si="383"/>
        <v>IBG</v>
      </c>
      <c r="G965" t="str">
        <f t="shared" si="396"/>
        <v>Refund COSHARE 10</v>
      </c>
      <c r="H965" s="2">
        <v>1239.95</v>
      </c>
      <c r="I965" t="str">
        <f>"KHO TAI CHAI"</f>
        <v>KHO TAI CHAI</v>
      </c>
      <c r="J965" t="str">
        <f t="shared" si="401"/>
        <v>PUBLIC BANK / PUBLIC ISLAMIC BANK</v>
      </c>
      <c r="K965" t="str">
        <f>"4876842607"</f>
        <v>4876842607</v>
      </c>
      <c r="L965" t="str">
        <f t="shared" si="404"/>
        <v>04-08-2020</v>
      </c>
      <c r="M965" t="str">
        <f t="shared" si="404"/>
        <v>04-08-2020</v>
      </c>
      <c r="N965" t="str">
        <f t="shared" si="384"/>
        <v>001105018356</v>
      </c>
      <c r="O965" t="str">
        <f t="shared" si="385"/>
        <v>MYR</v>
      </c>
      <c r="P965" t="str">
        <f t="shared" si="405"/>
        <v>NIL</v>
      </c>
      <c r="Q965" t="str">
        <f t="shared" si="405"/>
        <v>NIL</v>
      </c>
      <c r="R965" t="str">
        <f t="shared" si="386"/>
        <v>Accepted</v>
      </c>
      <c r="S965" t="str">
        <f t="shared" si="387"/>
        <v>Approved</v>
      </c>
      <c r="T965" t="str">
        <f t="shared" si="388"/>
        <v>10.20.8.188</v>
      </c>
      <c r="U965" t="str">
        <f t="shared" si="389"/>
        <v>AZRAD UMAR BIN SHAARI</v>
      </c>
      <c r="V965" t="str">
        <f t="shared" si="390"/>
        <v>FARHANA BINTI MUSTAPA</v>
      </c>
      <c r="W965" t="str">
        <f t="shared" si="391"/>
        <v>04-08-2020</v>
      </c>
      <c r="X965" t="str">
        <f t="shared" si="392"/>
        <v>RAZIMAH ANSAR AHMAD</v>
      </c>
      <c r="Y965" t="str">
        <f t="shared" si="393"/>
        <v>04-08-2020</v>
      </c>
      <c r="Z965" t="str">
        <f>"COS10200804 8189"</f>
        <v>COS10200804 8189</v>
      </c>
    </row>
    <row r="966" spans="1:26" x14ac:dyDescent="0.25">
      <c r="A966" t="str">
        <f t="shared" si="406"/>
        <v>04-08-2020 01:09:43</v>
      </c>
      <c r="B966" t="str">
        <f>"0000809991"</f>
        <v>0000809991</v>
      </c>
      <c r="C966" t="str">
        <f t="shared" si="407"/>
        <v>0000809803</v>
      </c>
      <c r="D966" t="str">
        <f t="shared" si="381"/>
        <v>73185</v>
      </c>
      <c r="E966" t="str">
        <f t="shared" si="382"/>
        <v>KFH-OPERATIONS DEPARTMENT</v>
      </c>
      <c r="F966" t="str">
        <f t="shared" si="383"/>
        <v>IBG</v>
      </c>
      <c r="G966" t="str">
        <f t="shared" si="396"/>
        <v>Refund COSHARE 10</v>
      </c>
      <c r="H966" s="2">
        <v>58.8</v>
      </c>
      <c r="I966" t="str">
        <f>"KHAIRUL NISA BINTI ALIMUDDIN"</f>
        <v>KHAIRUL NISA BINTI ALIMUDDIN</v>
      </c>
      <c r="J966" t="str">
        <f t="shared" si="401"/>
        <v>PUBLIC BANK / PUBLIC ISLAMIC BANK</v>
      </c>
      <c r="K966" t="str">
        <f>"4885921417"</f>
        <v>4885921417</v>
      </c>
      <c r="L966" t="str">
        <f t="shared" si="404"/>
        <v>04-08-2020</v>
      </c>
      <c r="M966" t="str">
        <f t="shared" si="404"/>
        <v>04-08-2020</v>
      </c>
      <c r="N966" t="str">
        <f t="shared" si="384"/>
        <v>001105018356</v>
      </c>
      <c r="O966" t="str">
        <f t="shared" si="385"/>
        <v>MYR</v>
      </c>
      <c r="P966" t="str">
        <f t="shared" si="405"/>
        <v>NIL</v>
      </c>
      <c r="Q966" t="str">
        <f t="shared" si="405"/>
        <v>NIL</v>
      </c>
      <c r="R966" t="str">
        <f t="shared" si="386"/>
        <v>Accepted</v>
      </c>
      <c r="S966" t="str">
        <f t="shared" si="387"/>
        <v>Approved</v>
      </c>
      <c r="T966" t="str">
        <f t="shared" si="388"/>
        <v>10.20.8.188</v>
      </c>
      <c r="U966" t="str">
        <f t="shared" si="389"/>
        <v>AZRAD UMAR BIN SHAARI</v>
      </c>
      <c r="V966" t="str">
        <f t="shared" si="390"/>
        <v>FARHANA BINTI MUSTAPA</v>
      </c>
      <c r="W966" t="str">
        <f t="shared" si="391"/>
        <v>04-08-2020</v>
      </c>
      <c r="X966" t="str">
        <f t="shared" si="392"/>
        <v>RAZIMAH ANSAR AHMAD</v>
      </c>
      <c r="Y966" t="str">
        <f t="shared" si="393"/>
        <v>04-08-2020</v>
      </c>
      <c r="Z966" t="str">
        <f>"COS10200804 8188"</f>
        <v>COS10200804 8188</v>
      </c>
    </row>
    <row r="967" spans="1:26" x14ac:dyDescent="0.25">
      <c r="A967" t="str">
        <f t="shared" si="406"/>
        <v>04-08-2020 01:09:43</v>
      </c>
      <c r="B967" t="str">
        <f>"0000809990"</f>
        <v>0000809990</v>
      </c>
      <c r="C967" t="str">
        <f t="shared" si="407"/>
        <v>0000809803</v>
      </c>
      <c r="D967" t="str">
        <f t="shared" ref="D967:D1030" si="408">"73185"</f>
        <v>73185</v>
      </c>
      <c r="E967" t="str">
        <f t="shared" ref="E967:E1030" si="409">"KFH-OPERATIONS DEPARTMENT"</f>
        <v>KFH-OPERATIONS DEPARTMENT</v>
      </c>
      <c r="F967" t="str">
        <f t="shared" ref="F967:F1030" si="410">"IBG"</f>
        <v>IBG</v>
      </c>
      <c r="G967" t="str">
        <f t="shared" si="396"/>
        <v>Refund COSHARE 10</v>
      </c>
      <c r="H967" s="2">
        <v>193.1</v>
      </c>
      <c r="I967" t="str">
        <f>"KHAIRUL ANWAR BIN KAMARUDIN"</f>
        <v>KHAIRUL ANWAR BIN KAMARUDIN</v>
      </c>
      <c r="J967" t="str">
        <f t="shared" si="401"/>
        <v>PUBLIC BANK / PUBLIC ISLAMIC BANK</v>
      </c>
      <c r="K967" t="str">
        <f>"6845365129"</f>
        <v>6845365129</v>
      </c>
      <c r="L967" t="str">
        <f t="shared" ref="L967:M986" si="411">"04-08-2020"</f>
        <v>04-08-2020</v>
      </c>
      <c r="M967" t="str">
        <f t="shared" si="411"/>
        <v>04-08-2020</v>
      </c>
      <c r="N967" t="str">
        <f t="shared" ref="N967:N1030" si="412">"001105018356"</f>
        <v>001105018356</v>
      </c>
      <c r="O967" t="str">
        <f t="shared" ref="O967:O1030" si="413">"MYR"</f>
        <v>MYR</v>
      </c>
      <c r="P967" t="str">
        <f t="shared" ref="P967:Q986" si="414">"NIL"</f>
        <v>NIL</v>
      </c>
      <c r="Q967" t="str">
        <f t="shared" si="414"/>
        <v>NIL</v>
      </c>
      <c r="R967" t="str">
        <f t="shared" ref="R967:R1030" si="415">"Accepted"</f>
        <v>Accepted</v>
      </c>
      <c r="S967" t="str">
        <f t="shared" ref="S967:S1030" si="416">"Approved"</f>
        <v>Approved</v>
      </c>
      <c r="T967" t="str">
        <f t="shared" ref="T967:T1030" si="417">"10.20.8.188"</f>
        <v>10.20.8.188</v>
      </c>
      <c r="U967" t="str">
        <f t="shared" ref="U967:U1030" si="418">"AZRAD UMAR BIN SHAARI"</f>
        <v>AZRAD UMAR BIN SHAARI</v>
      </c>
      <c r="V967" t="str">
        <f t="shared" ref="V967:V1030" si="419">"FARHANA BINTI MUSTAPA"</f>
        <v>FARHANA BINTI MUSTAPA</v>
      </c>
      <c r="W967" t="str">
        <f t="shared" ref="W967:W1030" si="420">"04-08-2020"</f>
        <v>04-08-2020</v>
      </c>
      <c r="X967" t="str">
        <f t="shared" ref="X967:X1030" si="421">"RAZIMAH ANSAR AHMAD"</f>
        <v>RAZIMAH ANSAR AHMAD</v>
      </c>
      <c r="Y967" t="str">
        <f t="shared" ref="Y967:Y1030" si="422">"04-08-2020"</f>
        <v>04-08-2020</v>
      </c>
      <c r="Z967" t="str">
        <f>"COS10200804 8187"</f>
        <v>COS10200804 8187</v>
      </c>
    </row>
    <row r="968" spans="1:26" x14ac:dyDescent="0.25">
      <c r="A968" t="str">
        <f t="shared" si="406"/>
        <v>04-08-2020 01:09:43</v>
      </c>
      <c r="B968" t="str">
        <f>"0000809989"</f>
        <v>0000809989</v>
      </c>
      <c r="C968" t="str">
        <f t="shared" si="407"/>
        <v>0000809803</v>
      </c>
      <c r="D968" t="str">
        <f t="shared" si="408"/>
        <v>73185</v>
      </c>
      <c r="E968" t="str">
        <f t="shared" si="409"/>
        <v>KFH-OPERATIONS DEPARTMENT</v>
      </c>
      <c r="F968" t="str">
        <f t="shared" si="410"/>
        <v>IBG</v>
      </c>
      <c r="G968" t="str">
        <f t="shared" si="396"/>
        <v>Refund COSHARE 10</v>
      </c>
      <c r="H968" s="2">
        <v>254.1</v>
      </c>
      <c r="I968" t="str">
        <f>"KANMANI AP MUTHU"</f>
        <v>KANMANI AP MUTHU</v>
      </c>
      <c r="J968" t="str">
        <f t="shared" si="401"/>
        <v>PUBLIC BANK / PUBLIC ISLAMIC BANK</v>
      </c>
      <c r="K968" t="str">
        <f>"4340404209"</f>
        <v>4340404209</v>
      </c>
      <c r="L968" t="str">
        <f t="shared" si="411"/>
        <v>04-08-2020</v>
      </c>
      <c r="M968" t="str">
        <f t="shared" si="411"/>
        <v>04-08-2020</v>
      </c>
      <c r="N968" t="str">
        <f t="shared" si="412"/>
        <v>001105018356</v>
      </c>
      <c r="O968" t="str">
        <f t="shared" si="413"/>
        <v>MYR</v>
      </c>
      <c r="P968" t="str">
        <f t="shared" si="414"/>
        <v>NIL</v>
      </c>
      <c r="Q968" t="str">
        <f t="shared" si="414"/>
        <v>NIL</v>
      </c>
      <c r="R968" t="str">
        <f t="shared" si="415"/>
        <v>Accepted</v>
      </c>
      <c r="S968" t="str">
        <f t="shared" si="416"/>
        <v>Approved</v>
      </c>
      <c r="T968" t="str">
        <f t="shared" si="417"/>
        <v>10.20.8.188</v>
      </c>
      <c r="U968" t="str">
        <f t="shared" si="418"/>
        <v>AZRAD UMAR BIN SHAARI</v>
      </c>
      <c r="V968" t="str">
        <f t="shared" si="419"/>
        <v>FARHANA BINTI MUSTAPA</v>
      </c>
      <c r="W968" t="str">
        <f t="shared" si="420"/>
        <v>04-08-2020</v>
      </c>
      <c r="X968" t="str">
        <f t="shared" si="421"/>
        <v>RAZIMAH ANSAR AHMAD</v>
      </c>
      <c r="Y968" t="str">
        <f t="shared" si="422"/>
        <v>04-08-2020</v>
      </c>
      <c r="Z968" t="str">
        <f>"COS10200804 8186"</f>
        <v>COS10200804 8186</v>
      </c>
    </row>
    <row r="969" spans="1:26" x14ac:dyDescent="0.25">
      <c r="A969" t="str">
        <f t="shared" si="406"/>
        <v>04-08-2020 01:09:43</v>
      </c>
      <c r="B969" t="str">
        <f>"0000809988"</f>
        <v>0000809988</v>
      </c>
      <c r="C969" t="str">
        <f t="shared" si="407"/>
        <v>0000809803</v>
      </c>
      <c r="D969" t="str">
        <f t="shared" si="408"/>
        <v>73185</v>
      </c>
      <c r="E969" t="str">
        <f t="shared" si="409"/>
        <v>KFH-OPERATIONS DEPARTMENT</v>
      </c>
      <c r="F969" t="str">
        <f t="shared" si="410"/>
        <v>IBG</v>
      </c>
      <c r="G969" t="str">
        <f t="shared" si="396"/>
        <v>Refund COSHARE 10</v>
      </c>
      <c r="H969" s="2">
        <v>193.1</v>
      </c>
      <c r="I969" t="str">
        <f>"JUREMAY BIN TAJUL ARIFIEN"</f>
        <v>JUREMAY BIN TAJUL ARIFIEN</v>
      </c>
      <c r="J969" t="str">
        <f t="shared" si="401"/>
        <v>PUBLIC BANK / PUBLIC ISLAMIC BANK</v>
      </c>
      <c r="K969" t="str">
        <f>"4489225036"</f>
        <v>4489225036</v>
      </c>
      <c r="L969" t="str">
        <f t="shared" si="411"/>
        <v>04-08-2020</v>
      </c>
      <c r="M969" t="str">
        <f t="shared" si="411"/>
        <v>04-08-2020</v>
      </c>
      <c r="N969" t="str">
        <f t="shared" si="412"/>
        <v>001105018356</v>
      </c>
      <c r="O969" t="str">
        <f t="shared" si="413"/>
        <v>MYR</v>
      </c>
      <c r="P969" t="str">
        <f t="shared" si="414"/>
        <v>NIL</v>
      </c>
      <c r="Q969" t="str">
        <f t="shared" si="414"/>
        <v>NIL</v>
      </c>
      <c r="R969" t="str">
        <f t="shared" si="415"/>
        <v>Accepted</v>
      </c>
      <c r="S969" t="str">
        <f t="shared" si="416"/>
        <v>Approved</v>
      </c>
      <c r="T969" t="str">
        <f t="shared" si="417"/>
        <v>10.20.8.188</v>
      </c>
      <c r="U969" t="str">
        <f t="shared" si="418"/>
        <v>AZRAD UMAR BIN SHAARI</v>
      </c>
      <c r="V969" t="str">
        <f t="shared" si="419"/>
        <v>FARHANA BINTI MUSTAPA</v>
      </c>
      <c r="W969" t="str">
        <f t="shared" si="420"/>
        <v>04-08-2020</v>
      </c>
      <c r="X969" t="str">
        <f t="shared" si="421"/>
        <v>RAZIMAH ANSAR AHMAD</v>
      </c>
      <c r="Y969" t="str">
        <f t="shared" si="422"/>
        <v>04-08-2020</v>
      </c>
      <c r="Z969" t="str">
        <f>"COS10200804 8185"</f>
        <v>COS10200804 8185</v>
      </c>
    </row>
    <row r="970" spans="1:26" x14ac:dyDescent="0.25">
      <c r="A970" t="str">
        <f t="shared" si="406"/>
        <v>04-08-2020 01:09:43</v>
      </c>
      <c r="B970" t="str">
        <f>"0000809987"</f>
        <v>0000809987</v>
      </c>
      <c r="C970" t="str">
        <f t="shared" si="407"/>
        <v>0000809803</v>
      </c>
      <c r="D970" t="str">
        <f t="shared" si="408"/>
        <v>73185</v>
      </c>
      <c r="E970" t="str">
        <f t="shared" si="409"/>
        <v>KFH-OPERATIONS DEPARTMENT</v>
      </c>
      <c r="F970" t="str">
        <f t="shared" si="410"/>
        <v>IBG</v>
      </c>
      <c r="G970" t="str">
        <f t="shared" si="396"/>
        <v>Refund COSHARE 10</v>
      </c>
      <c r="H970" s="2">
        <v>402.75</v>
      </c>
      <c r="I970" t="str">
        <f>"JOSEPH ANAK SELIMAN"</f>
        <v>JOSEPH ANAK SELIMAN</v>
      </c>
      <c r="J970" t="str">
        <f t="shared" si="401"/>
        <v>PUBLIC BANK / PUBLIC ISLAMIC BANK</v>
      </c>
      <c r="K970" t="str">
        <f>"4928992116"</f>
        <v>4928992116</v>
      </c>
      <c r="L970" t="str">
        <f t="shared" si="411"/>
        <v>04-08-2020</v>
      </c>
      <c r="M970" t="str">
        <f t="shared" si="411"/>
        <v>04-08-2020</v>
      </c>
      <c r="N970" t="str">
        <f t="shared" si="412"/>
        <v>001105018356</v>
      </c>
      <c r="O970" t="str">
        <f t="shared" si="413"/>
        <v>MYR</v>
      </c>
      <c r="P970" t="str">
        <f t="shared" si="414"/>
        <v>NIL</v>
      </c>
      <c r="Q970" t="str">
        <f t="shared" si="414"/>
        <v>NIL</v>
      </c>
      <c r="R970" t="str">
        <f t="shared" si="415"/>
        <v>Accepted</v>
      </c>
      <c r="S970" t="str">
        <f t="shared" si="416"/>
        <v>Approved</v>
      </c>
      <c r="T970" t="str">
        <f t="shared" si="417"/>
        <v>10.20.8.188</v>
      </c>
      <c r="U970" t="str">
        <f t="shared" si="418"/>
        <v>AZRAD UMAR BIN SHAARI</v>
      </c>
      <c r="V970" t="str">
        <f t="shared" si="419"/>
        <v>FARHANA BINTI MUSTAPA</v>
      </c>
      <c r="W970" t="str">
        <f t="shared" si="420"/>
        <v>04-08-2020</v>
      </c>
      <c r="X970" t="str">
        <f t="shared" si="421"/>
        <v>RAZIMAH ANSAR AHMAD</v>
      </c>
      <c r="Y970" t="str">
        <f t="shared" si="422"/>
        <v>04-08-2020</v>
      </c>
      <c r="Z970" t="str">
        <f>"COS10200804 8184"</f>
        <v>COS10200804 8184</v>
      </c>
    </row>
    <row r="971" spans="1:26" x14ac:dyDescent="0.25">
      <c r="A971" t="str">
        <f t="shared" si="406"/>
        <v>04-08-2020 01:09:43</v>
      </c>
      <c r="B971" t="str">
        <f>"0000809986"</f>
        <v>0000809986</v>
      </c>
      <c r="C971" t="str">
        <f t="shared" si="407"/>
        <v>0000809803</v>
      </c>
      <c r="D971" t="str">
        <f t="shared" si="408"/>
        <v>73185</v>
      </c>
      <c r="E971" t="str">
        <f t="shared" si="409"/>
        <v>KFH-OPERATIONS DEPARTMENT</v>
      </c>
      <c r="F971" t="str">
        <f t="shared" si="410"/>
        <v>IBG</v>
      </c>
      <c r="G971" t="str">
        <f t="shared" si="396"/>
        <v>Refund COSHARE 10</v>
      </c>
      <c r="H971" s="2">
        <v>1679</v>
      </c>
      <c r="I971" t="str">
        <f>"JOKO BIN JOHN"</f>
        <v>JOKO BIN JOHN</v>
      </c>
      <c r="J971" t="str">
        <f t="shared" si="401"/>
        <v>PUBLIC BANK / PUBLIC ISLAMIC BANK</v>
      </c>
      <c r="K971" t="str">
        <f>"4531747404"</f>
        <v>4531747404</v>
      </c>
      <c r="L971" t="str">
        <f t="shared" si="411"/>
        <v>04-08-2020</v>
      </c>
      <c r="M971" t="str">
        <f t="shared" si="411"/>
        <v>04-08-2020</v>
      </c>
      <c r="N971" t="str">
        <f t="shared" si="412"/>
        <v>001105018356</v>
      </c>
      <c r="O971" t="str">
        <f t="shared" si="413"/>
        <v>MYR</v>
      </c>
      <c r="P971" t="str">
        <f t="shared" si="414"/>
        <v>NIL</v>
      </c>
      <c r="Q971" t="str">
        <f t="shared" si="414"/>
        <v>NIL</v>
      </c>
      <c r="R971" t="str">
        <f t="shared" si="415"/>
        <v>Accepted</v>
      </c>
      <c r="S971" t="str">
        <f t="shared" si="416"/>
        <v>Approved</v>
      </c>
      <c r="T971" t="str">
        <f t="shared" si="417"/>
        <v>10.20.8.188</v>
      </c>
      <c r="U971" t="str">
        <f t="shared" si="418"/>
        <v>AZRAD UMAR BIN SHAARI</v>
      </c>
      <c r="V971" t="str">
        <f t="shared" si="419"/>
        <v>FARHANA BINTI MUSTAPA</v>
      </c>
      <c r="W971" t="str">
        <f t="shared" si="420"/>
        <v>04-08-2020</v>
      </c>
      <c r="X971" t="str">
        <f t="shared" si="421"/>
        <v>RAZIMAH ANSAR AHMAD</v>
      </c>
      <c r="Y971" t="str">
        <f t="shared" si="422"/>
        <v>04-08-2020</v>
      </c>
      <c r="Z971" t="str">
        <f>"COS10200804 8183"</f>
        <v>COS10200804 8183</v>
      </c>
    </row>
    <row r="972" spans="1:26" x14ac:dyDescent="0.25">
      <c r="A972" t="str">
        <f t="shared" si="406"/>
        <v>04-08-2020 01:09:43</v>
      </c>
      <c r="B972" t="str">
        <f>"0000809985"</f>
        <v>0000809985</v>
      </c>
      <c r="C972" t="str">
        <f t="shared" si="407"/>
        <v>0000809803</v>
      </c>
      <c r="D972" t="str">
        <f t="shared" si="408"/>
        <v>73185</v>
      </c>
      <c r="E972" t="str">
        <f t="shared" si="409"/>
        <v>KFH-OPERATIONS DEPARTMENT</v>
      </c>
      <c r="F972" t="str">
        <f t="shared" si="410"/>
        <v>IBG</v>
      </c>
      <c r="G972" t="str">
        <f t="shared" ref="G972:G1035" si="423">"Refund COSHARE 10"</f>
        <v>Refund COSHARE 10</v>
      </c>
      <c r="H972" s="2">
        <v>1214</v>
      </c>
      <c r="I972" t="str">
        <f>"JOEMNAH  ELLVIAH BINTI SANADON"</f>
        <v>JOEMNAH  ELLVIAH BINTI SANADON</v>
      </c>
      <c r="J972" t="str">
        <f t="shared" si="401"/>
        <v>PUBLIC BANK / PUBLIC ISLAMIC BANK</v>
      </c>
      <c r="K972" t="str">
        <f>"4729618611"</f>
        <v>4729618611</v>
      </c>
      <c r="L972" t="str">
        <f t="shared" si="411"/>
        <v>04-08-2020</v>
      </c>
      <c r="M972" t="str">
        <f t="shared" si="411"/>
        <v>04-08-2020</v>
      </c>
      <c r="N972" t="str">
        <f t="shared" si="412"/>
        <v>001105018356</v>
      </c>
      <c r="O972" t="str">
        <f t="shared" si="413"/>
        <v>MYR</v>
      </c>
      <c r="P972" t="str">
        <f t="shared" si="414"/>
        <v>NIL</v>
      </c>
      <c r="Q972" t="str">
        <f t="shared" si="414"/>
        <v>NIL</v>
      </c>
      <c r="R972" t="str">
        <f t="shared" si="415"/>
        <v>Accepted</v>
      </c>
      <c r="S972" t="str">
        <f t="shared" si="416"/>
        <v>Approved</v>
      </c>
      <c r="T972" t="str">
        <f t="shared" si="417"/>
        <v>10.20.8.188</v>
      </c>
      <c r="U972" t="str">
        <f t="shared" si="418"/>
        <v>AZRAD UMAR BIN SHAARI</v>
      </c>
      <c r="V972" t="str">
        <f t="shared" si="419"/>
        <v>FARHANA BINTI MUSTAPA</v>
      </c>
      <c r="W972" t="str">
        <f t="shared" si="420"/>
        <v>04-08-2020</v>
      </c>
      <c r="X972" t="str">
        <f t="shared" si="421"/>
        <v>RAZIMAH ANSAR AHMAD</v>
      </c>
      <c r="Y972" t="str">
        <f t="shared" si="422"/>
        <v>04-08-2020</v>
      </c>
      <c r="Z972" t="str">
        <f>"COS10200804 8182"</f>
        <v>COS10200804 8182</v>
      </c>
    </row>
    <row r="973" spans="1:26" x14ac:dyDescent="0.25">
      <c r="A973" t="str">
        <f t="shared" si="406"/>
        <v>04-08-2020 01:09:43</v>
      </c>
      <c r="B973" t="str">
        <f>"0000809984"</f>
        <v>0000809984</v>
      </c>
      <c r="C973" t="str">
        <f t="shared" si="407"/>
        <v>0000809803</v>
      </c>
      <c r="D973" t="str">
        <f t="shared" si="408"/>
        <v>73185</v>
      </c>
      <c r="E973" t="str">
        <f t="shared" si="409"/>
        <v>KFH-OPERATIONS DEPARTMENT</v>
      </c>
      <c r="F973" t="str">
        <f t="shared" si="410"/>
        <v>IBG</v>
      </c>
      <c r="G973" t="str">
        <f t="shared" si="423"/>
        <v>Refund COSHARE 10</v>
      </c>
      <c r="H973" s="2">
        <v>127.05</v>
      </c>
      <c r="I973" t="str">
        <f>"JITTA BINTI GABRIEL  ANNA GANTAKOS"</f>
        <v>JITTA BINTI GABRIEL  ANNA GANTAKOS</v>
      </c>
      <c r="J973" t="str">
        <f t="shared" si="401"/>
        <v>PUBLIC BANK / PUBLIC ISLAMIC BANK</v>
      </c>
      <c r="K973" t="str">
        <f>"4895423117"</f>
        <v>4895423117</v>
      </c>
      <c r="L973" t="str">
        <f t="shared" si="411"/>
        <v>04-08-2020</v>
      </c>
      <c r="M973" t="str">
        <f t="shared" si="411"/>
        <v>04-08-2020</v>
      </c>
      <c r="N973" t="str">
        <f t="shared" si="412"/>
        <v>001105018356</v>
      </c>
      <c r="O973" t="str">
        <f t="shared" si="413"/>
        <v>MYR</v>
      </c>
      <c r="P973" t="str">
        <f t="shared" si="414"/>
        <v>NIL</v>
      </c>
      <c r="Q973" t="str">
        <f t="shared" si="414"/>
        <v>NIL</v>
      </c>
      <c r="R973" t="str">
        <f t="shared" si="415"/>
        <v>Accepted</v>
      </c>
      <c r="S973" t="str">
        <f t="shared" si="416"/>
        <v>Approved</v>
      </c>
      <c r="T973" t="str">
        <f t="shared" si="417"/>
        <v>10.20.8.188</v>
      </c>
      <c r="U973" t="str">
        <f t="shared" si="418"/>
        <v>AZRAD UMAR BIN SHAARI</v>
      </c>
      <c r="V973" t="str">
        <f t="shared" si="419"/>
        <v>FARHANA BINTI MUSTAPA</v>
      </c>
      <c r="W973" t="str">
        <f t="shared" si="420"/>
        <v>04-08-2020</v>
      </c>
      <c r="X973" t="str">
        <f t="shared" si="421"/>
        <v>RAZIMAH ANSAR AHMAD</v>
      </c>
      <c r="Y973" t="str">
        <f t="shared" si="422"/>
        <v>04-08-2020</v>
      </c>
      <c r="Z973" t="str">
        <f>"COS10200804 8181"</f>
        <v>COS10200804 8181</v>
      </c>
    </row>
    <row r="974" spans="1:26" x14ac:dyDescent="0.25">
      <c r="A974" t="str">
        <f t="shared" si="406"/>
        <v>04-08-2020 01:09:43</v>
      </c>
      <c r="B974" t="str">
        <f>"0000809983"</f>
        <v>0000809983</v>
      </c>
      <c r="C974" t="str">
        <f t="shared" si="407"/>
        <v>0000809803</v>
      </c>
      <c r="D974" t="str">
        <f t="shared" si="408"/>
        <v>73185</v>
      </c>
      <c r="E974" t="str">
        <f t="shared" si="409"/>
        <v>KFH-OPERATIONS DEPARTMENT</v>
      </c>
      <c r="F974" t="str">
        <f t="shared" si="410"/>
        <v>IBG</v>
      </c>
      <c r="G974" t="str">
        <f t="shared" si="423"/>
        <v>Refund COSHARE 10</v>
      </c>
      <c r="H974" s="2">
        <v>167.9</v>
      </c>
      <c r="I974" t="str">
        <f>"JESNITIROGUMANTI BIN JIMAIN"</f>
        <v>JESNITIROGUMANTI BIN JIMAIN</v>
      </c>
      <c r="J974" t="str">
        <f t="shared" si="401"/>
        <v>PUBLIC BANK / PUBLIC ISLAMIC BANK</v>
      </c>
      <c r="K974" t="str">
        <f>"4803493427"</f>
        <v>4803493427</v>
      </c>
      <c r="L974" t="str">
        <f t="shared" si="411"/>
        <v>04-08-2020</v>
      </c>
      <c r="M974" t="str">
        <f t="shared" si="411"/>
        <v>04-08-2020</v>
      </c>
      <c r="N974" t="str">
        <f t="shared" si="412"/>
        <v>001105018356</v>
      </c>
      <c r="O974" t="str">
        <f t="shared" si="413"/>
        <v>MYR</v>
      </c>
      <c r="P974" t="str">
        <f t="shared" si="414"/>
        <v>NIL</v>
      </c>
      <c r="Q974" t="str">
        <f t="shared" si="414"/>
        <v>NIL</v>
      </c>
      <c r="R974" t="str">
        <f t="shared" si="415"/>
        <v>Accepted</v>
      </c>
      <c r="S974" t="str">
        <f t="shared" si="416"/>
        <v>Approved</v>
      </c>
      <c r="T974" t="str">
        <f t="shared" si="417"/>
        <v>10.20.8.188</v>
      </c>
      <c r="U974" t="str">
        <f t="shared" si="418"/>
        <v>AZRAD UMAR BIN SHAARI</v>
      </c>
      <c r="V974" t="str">
        <f t="shared" si="419"/>
        <v>FARHANA BINTI MUSTAPA</v>
      </c>
      <c r="W974" t="str">
        <f t="shared" si="420"/>
        <v>04-08-2020</v>
      </c>
      <c r="X974" t="str">
        <f t="shared" si="421"/>
        <v>RAZIMAH ANSAR AHMAD</v>
      </c>
      <c r="Y974" t="str">
        <f t="shared" si="422"/>
        <v>04-08-2020</v>
      </c>
      <c r="Z974" t="str">
        <f>"COS10200804 8180"</f>
        <v>COS10200804 8180</v>
      </c>
    </row>
    <row r="975" spans="1:26" x14ac:dyDescent="0.25">
      <c r="A975" t="str">
        <f t="shared" si="406"/>
        <v>04-08-2020 01:09:43</v>
      </c>
      <c r="B975" t="str">
        <f>"0000809982"</f>
        <v>0000809982</v>
      </c>
      <c r="C975" t="str">
        <f t="shared" si="407"/>
        <v>0000809803</v>
      </c>
      <c r="D975" t="str">
        <f t="shared" si="408"/>
        <v>73185</v>
      </c>
      <c r="E975" t="str">
        <f t="shared" si="409"/>
        <v>KFH-OPERATIONS DEPARTMENT</v>
      </c>
      <c r="F975" t="str">
        <f t="shared" si="410"/>
        <v>IBG</v>
      </c>
      <c r="G975" t="str">
        <f t="shared" si="423"/>
        <v>Refund COSHARE 10</v>
      </c>
      <c r="H975" s="2">
        <v>982.2</v>
      </c>
      <c r="I975" t="str">
        <f>"JAMILAH AMP JAMBUL  DG JAMILAH AG JAMBU"</f>
        <v>JAMILAH AMP JAMBUL  DG JAMILAH AG JAMBU</v>
      </c>
      <c r="J975" t="str">
        <f t="shared" si="401"/>
        <v>PUBLIC BANK / PUBLIC ISLAMIC BANK</v>
      </c>
      <c r="K975" t="str">
        <f>"4802725834"</f>
        <v>4802725834</v>
      </c>
      <c r="L975" t="str">
        <f t="shared" si="411"/>
        <v>04-08-2020</v>
      </c>
      <c r="M975" t="str">
        <f t="shared" si="411"/>
        <v>04-08-2020</v>
      </c>
      <c r="N975" t="str">
        <f t="shared" si="412"/>
        <v>001105018356</v>
      </c>
      <c r="O975" t="str">
        <f t="shared" si="413"/>
        <v>MYR</v>
      </c>
      <c r="P975" t="str">
        <f t="shared" si="414"/>
        <v>NIL</v>
      </c>
      <c r="Q975" t="str">
        <f t="shared" si="414"/>
        <v>NIL</v>
      </c>
      <c r="R975" t="str">
        <f t="shared" si="415"/>
        <v>Accepted</v>
      </c>
      <c r="S975" t="str">
        <f t="shared" si="416"/>
        <v>Approved</v>
      </c>
      <c r="T975" t="str">
        <f t="shared" si="417"/>
        <v>10.20.8.188</v>
      </c>
      <c r="U975" t="str">
        <f t="shared" si="418"/>
        <v>AZRAD UMAR BIN SHAARI</v>
      </c>
      <c r="V975" t="str">
        <f t="shared" si="419"/>
        <v>FARHANA BINTI MUSTAPA</v>
      </c>
      <c r="W975" t="str">
        <f t="shared" si="420"/>
        <v>04-08-2020</v>
      </c>
      <c r="X975" t="str">
        <f t="shared" si="421"/>
        <v>RAZIMAH ANSAR AHMAD</v>
      </c>
      <c r="Y975" t="str">
        <f t="shared" si="422"/>
        <v>04-08-2020</v>
      </c>
      <c r="Z975" t="str">
        <f>"COS10200804 8179"</f>
        <v>COS10200804 8179</v>
      </c>
    </row>
    <row r="976" spans="1:26" x14ac:dyDescent="0.25">
      <c r="A976" t="str">
        <f t="shared" si="406"/>
        <v>04-08-2020 01:09:43</v>
      </c>
      <c r="B976" t="str">
        <f>"0000809981"</f>
        <v>0000809981</v>
      </c>
      <c r="C976" t="str">
        <f t="shared" si="407"/>
        <v>0000809803</v>
      </c>
      <c r="D976" t="str">
        <f t="shared" si="408"/>
        <v>73185</v>
      </c>
      <c r="E976" t="str">
        <f t="shared" si="409"/>
        <v>KFH-OPERATIONS DEPARTMENT</v>
      </c>
      <c r="F976" t="str">
        <f t="shared" si="410"/>
        <v>IBG</v>
      </c>
      <c r="G976" t="str">
        <f t="shared" si="423"/>
        <v>Refund COSHARE 10</v>
      </c>
      <c r="H976" s="2">
        <v>1120</v>
      </c>
      <c r="I976" t="str">
        <f>"JAINUN BINTI AMININ"</f>
        <v>JAINUN BINTI AMININ</v>
      </c>
      <c r="J976" t="str">
        <f t="shared" si="401"/>
        <v>PUBLIC BANK / PUBLIC ISLAMIC BANK</v>
      </c>
      <c r="K976" t="str">
        <f>"4901500815"</f>
        <v>4901500815</v>
      </c>
      <c r="L976" t="str">
        <f t="shared" si="411"/>
        <v>04-08-2020</v>
      </c>
      <c r="M976" t="str">
        <f t="shared" si="411"/>
        <v>04-08-2020</v>
      </c>
      <c r="N976" t="str">
        <f t="shared" si="412"/>
        <v>001105018356</v>
      </c>
      <c r="O976" t="str">
        <f t="shared" si="413"/>
        <v>MYR</v>
      </c>
      <c r="P976" t="str">
        <f t="shared" si="414"/>
        <v>NIL</v>
      </c>
      <c r="Q976" t="str">
        <f t="shared" si="414"/>
        <v>NIL</v>
      </c>
      <c r="R976" t="str">
        <f t="shared" si="415"/>
        <v>Accepted</v>
      </c>
      <c r="S976" t="str">
        <f t="shared" si="416"/>
        <v>Approved</v>
      </c>
      <c r="T976" t="str">
        <f t="shared" si="417"/>
        <v>10.20.8.188</v>
      </c>
      <c r="U976" t="str">
        <f t="shared" si="418"/>
        <v>AZRAD UMAR BIN SHAARI</v>
      </c>
      <c r="V976" t="str">
        <f t="shared" si="419"/>
        <v>FARHANA BINTI MUSTAPA</v>
      </c>
      <c r="W976" t="str">
        <f t="shared" si="420"/>
        <v>04-08-2020</v>
      </c>
      <c r="X976" t="str">
        <f t="shared" si="421"/>
        <v>RAZIMAH ANSAR AHMAD</v>
      </c>
      <c r="Y976" t="str">
        <f t="shared" si="422"/>
        <v>04-08-2020</v>
      </c>
      <c r="Z976" t="str">
        <f>"COS10200804 8178"</f>
        <v>COS10200804 8178</v>
      </c>
    </row>
    <row r="977" spans="1:26" x14ac:dyDescent="0.25">
      <c r="A977" t="str">
        <f t="shared" si="406"/>
        <v>04-08-2020 01:09:43</v>
      </c>
      <c r="B977" t="str">
        <f>"0000809980"</f>
        <v>0000809980</v>
      </c>
      <c r="C977" t="str">
        <f t="shared" si="407"/>
        <v>0000809803</v>
      </c>
      <c r="D977" t="str">
        <f t="shared" si="408"/>
        <v>73185</v>
      </c>
      <c r="E977" t="str">
        <f t="shared" si="409"/>
        <v>KFH-OPERATIONS DEPARTMENT</v>
      </c>
      <c r="F977" t="str">
        <f t="shared" si="410"/>
        <v>IBG</v>
      </c>
      <c r="G977" t="str">
        <f t="shared" si="423"/>
        <v>Refund COSHARE 10</v>
      </c>
      <c r="H977" s="2">
        <v>167.9</v>
      </c>
      <c r="I977" t="str">
        <f>"J NELLY BINTI JAMES"</f>
        <v>J NELLY BINTI JAMES</v>
      </c>
      <c r="J977" t="str">
        <f t="shared" si="401"/>
        <v>PUBLIC BANK / PUBLIC ISLAMIC BANK</v>
      </c>
      <c r="K977" t="str">
        <f>"4396426632"</f>
        <v>4396426632</v>
      </c>
      <c r="L977" t="str">
        <f t="shared" si="411"/>
        <v>04-08-2020</v>
      </c>
      <c r="M977" t="str">
        <f t="shared" si="411"/>
        <v>04-08-2020</v>
      </c>
      <c r="N977" t="str">
        <f t="shared" si="412"/>
        <v>001105018356</v>
      </c>
      <c r="O977" t="str">
        <f t="shared" si="413"/>
        <v>MYR</v>
      </c>
      <c r="P977" t="str">
        <f t="shared" si="414"/>
        <v>NIL</v>
      </c>
      <c r="Q977" t="str">
        <f t="shared" si="414"/>
        <v>NIL</v>
      </c>
      <c r="R977" t="str">
        <f t="shared" si="415"/>
        <v>Accepted</v>
      </c>
      <c r="S977" t="str">
        <f t="shared" si="416"/>
        <v>Approved</v>
      </c>
      <c r="T977" t="str">
        <f t="shared" si="417"/>
        <v>10.20.8.188</v>
      </c>
      <c r="U977" t="str">
        <f t="shared" si="418"/>
        <v>AZRAD UMAR BIN SHAARI</v>
      </c>
      <c r="V977" t="str">
        <f t="shared" si="419"/>
        <v>FARHANA BINTI MUSTAPA</v>
      </c>
      <c r="W977" t="str">
        <f t="shared" si="420"/>
        <v>04-08-2020</v>
      </c>
      <c r="X977" t="str">
        <f t="shared" si="421"/>
        <v>RAZIMAH ANSAR AHMAD</v>
      </c>
      <c r="Y977" t="str">
        <f t="shared" si="422"/>
        <v>04-08-2020</v>
      </c>
      <c r="Z977" t="str">
        <f>"COS10200804 8177"</f>
        <v>COS10200804 8177</v>
      </c>
    </row>
    <row r="978" spans="1:26" x14ac:dyDescent="0.25">
      <c r="A978" t="str">
        <f t="shared" si="406"/>
        <v>04-08-2020 01:09:43</v>
      </c>
      <c r="B978" t="str">
        <f>"0000809979"</f>
        <v>0000809979</v>
      </c>
      <c r="C978" t="str">
        <f t="shared" si="407"/>
        <v>0000809803</v>
      </c>
      <c r="D978" t="str">
        <f t="shared" si="408"/>
        <v>73185</v>
      </c>
      <c r="E978" t="str">
        <f t="shared" si="409"/>
        <v>KFH-OPERATIONS DEPARTMENT</v>
      </c>
      <c r="F978" t="str">
        <f t="shared" si="410"/>
        <v>IBG</v>
      </c>
      <c r="G978" t="str">
        <f t="shared" si="423"/>
        <v>Refund COSHARE 10</v>
      </c>
      <c r="H978" s="2">
        <v>176.3</v>
      </c>
      <c r="I978" t="str">
        <f>"IZWANUDDIN BIN LEMAN"</f>
        <v>IZWANUDDIN BIN LEMAN</v>
      </c>
      <c r="J978" t="str">
        <f t="shared" si="401"/>
        <v>PUBLIC BANK / PUBLIC ISLAMIC BANK</v>
      </c>
      <c r="K978" t="str">
        <f>"4434983100"</f>
        <v>4434983100</v>
      </c>
      <c r="L978" t="str">
        <f t="shared" si="411"/>
        <v>04-08-2020</v>
      </c>
      <c r="M978" t="str">
        <f t="shared" si="411"/>
        <v>04-08-2020</v>
      </c>
      <c r="N978" t="str">
        <f t="shared" si="412"/>
        <v>001105018356</v>
      </c>
      <c r="O978" t="str">
        <f t="shared" si="413"/>
        <v>MYR</v>
      </c>
      <c r="P978" t="str">
        <f t="shared" si="414"/>
        <v>NIL</v>
      </c>
      <c r="Q978" t="str">
        <f t="shared" si="414"/>
        <v>NIL</v>
      </c>
      <c r="R978" t="str">
        <f t="shared" si="415"/>
        <v>Accepted</v>
      </c>
      <c r="S978" t="str">
        <f t="shared" si="416"/>
        <v>Approved</v>
      </c>
      <c r="T978" t="str">
        <f t="shared" si="417"/>
        <v>10.20.8.188</v>
      </c>
      <c r="U978" t="str">
        <f t="shared" si="418"/>
        <v>AZRAD UMAR BIN SHAARI</v>
      </c>
      <c r="V978" t="str">
        <f t="shared" si="419"/>
        <v>FARHANA BINTI MUSTAPA</v>
      </c>
      <c r="W978" t="str">
        <f t="shared" si="420"/>
        <v>04-08-2020</v>
      </c>
      <c r="X978" t="str">
        <f t="shared" si="421"/>
        <v>RAZIMAH ANSAR AHMAD</v>
      </c>
      <c r="Y978" t="str">
        <f t="shared" si="422"/>
        <v>04-08-2020</v>
      </c>
      <c r="Z978" t="str">
        <f>"COS10200804 8176"</f>
        <v>COS10200804 8176</v>
      </c>
    </row>
    <row r="979" spans="1:26" x14ac:dyDescent="0.25">
      <c r="A979" t="str">
        <f t="shared" si="406"/>
        <v>04-08-2020 01:09:43</v>
      </c>
      <c r="B979" t="str">
        <f>"0000809978"</f>
        <v>0000809978</v>
      </c>
      <c r="C979" t="str">
        <f t="shared" si="407"/>
        <v>0000809803</v>
      </c>
      <c r="D979" t="str">
        <f t="shared" si="408"/>
        <v>73185</v>
      </c>
      <c r="E979" t="str">
        <f t="shared" si="409"/>
        <v>KFH-OPERATIONS DEPARTMENT</v>
      </c>
      <c r="F979" t="str">
        <f t="shared" si="410"/>
        <v>IBG</v>
      </c>
      <c r="G979" t="str">
        <f t="shared" si="423"/>
        <v>Refund COSHARE 10</v>
      </c>
      <c r="H979" s="2">
        <v>46</v>
      </c>
      <c r="I979" t="str">
        <f>"IZWAN SAFWAN BIN NORDIN"</f>
        <v>IZWAN SAFWAN BIN NORDIN</v>
      </c>
      <c r="J979" t="str">
        <f t="shared" si="401"/>
        <v>PUBLIC BANK / PUBLIC ISLAMIC BANK</v>
      </c>
      <c r="K979" t="str">
        <f>"4735482903"</f>
        <v>4735482903</v>
      </c>
      <c r="L979" t="str">
        <f t="shared" si="411"/>
        <v>04-08-2020</v>
      </c>
      <c r="M979" t="str">
        <f t="shared" si="411"/>
        <v>04-08-2020</v>
      </c>
      <c r="N979" t="str">
        <f t="shared" si="412"/>
        <v>001105018356</v>
      </c>
      <c r="O979" t="str">
        <f t="shared" si="413"/>
        <v>MYR</v>
      </c>
      <c r="P979" t="str">
        <f t="shared" si="414"/>
        <v>NIL</v>
      </c>
      <c r="Q979" t="str">
        <f t="shared" si="414"/>
        <v>NIL</v>
      </c>
      <c r="R979" t="str">
        <f t="shared" si="415"/>
        <v>Accepted</v>
      </c>
      <c r="S979" t="str">
        <f t="shared" si="416"/>
        <v>Approved</v>
      </c>
      <c r="T979" t="str">
        <f t="shared" si="417"/>
        <v>10.20.8.188</v>
      </c>
      <c r="U979" t="str">
        <f t="shared" si="418"/>
        <v>AZRAD UMAR BIN SHAARI</v>
      </c>
      <c r="V979" t="str">
        <f t="shared" si="419"/>
        <v>FARHANA BINTI MUSTAPA</v>
      </c>
      <c r="W979" t="str">
        <f t="shared" si="420"/>
        <v>04-08-2020</v>
      </c>
      <c r="X979" t="str">
        <f t="shared" si="421"/>
        <v>RAZIMAH ANSAR AHMAD</v>
      </c>
      <c r="Y979" t="str">
        <f t="shared" si="422"/>
        <v>04-08-2020</v>
      </c>
      <c r="Z979" t="str">
        <f>"COS10200804 8175"</f>
        <v>COS10200804 8175</v>
      </c>
    </row>
    <row r="980" spans="1:26" x14ac:dyDescent="0.25">
      <c r="A980" t="str">
        <f t="shared" si="406"/>
        <v>04-08-2020 01:09:43</v>
      </c>
      <c r="B980" t="str">
        <f>"0000809977"</f>
        <v>0000809977</v>
      </c>
      <c r="C980" t="str">
        <f t="shared" si="407"/>
        <v>0000809803</v>
      </c>
      <c r="D980" t="str">
        <f t="shared" si="408"/>
        <v>73185</v>
      </c>
      <c r="E980" t="str">
        <f t="shared" si="409"/>
        <v>KFH-OPERATIONS DEPARTMENT</v>
      </c>
      <c r="F980" t="str">
        <f t="shared" si="410"/>
        <v>IBG</v>
      </c>
      <c r="G980" t="str">
        <f t="shared" si="423"/>
        <v>Refund COSHARE 10</v>
      </c>
      <c r="H980" s="2">
        <v>1178.8</v>
      </c>
      <c r="I980" t="str">
        <f>"IZHAM BIN MAT ZIN"</f>
        <v>IZHAM BIN MAT ZIN</v>
      </c>
      <c r="J980" t="str">
        <f t="shared" si="401"/>
        <v>PUBLIC BANK / PUBLIC ISLAMIC BANK</v>
      </c>
      <c r="K980" t="str">
        <f>"4176752827"</f>
        <v>4176752827</v>
      </c>
      <c r="L980" t="str">
        <f t="shared" si="411"/>
        <v>04-08-2020</v>
      </c>
      <c r="M980" t="str">
        <f t="shared" si="411"/>
        <v>04-08-2020</v>
      </c>
      <c r="N980" t="str">
        <f t="shared" si="412"/>
        <v>001105018356</v>
      </c>
      <c r="O980" t="str">
        <f t="shared" si="413"/>
        <v>MYR</v>
      </c>
      <c r="P980" t="str">
        <f t="shared" si="414"/>
        <v>NIL</v>
      </c>
      <c r="Q980" t="str">
        <f t="shared" si="414"/>
        <v>NIL</v>
      </c>
      <c r="R980" t="str">
        <f t="shared" si="415"/>
        <v>Accepted</v>
      </c>
      <c r="S980" t="str">
        <f t="shared" si="416"/>
        <v>Approved</v>
      </c>
      <c r="T980" t="str">
        <f t="shared" si="417"/>
        <v>10.20.8.188</v>
      </c>
      <c r="U980" t="str">
        <f t="shared" si="418"/>
        <v>AZRAD UMAR BIN SHAARI</v>
      </c>
      <c r="V980" t="str">
        <f t="shared" si="419"/>
        <v>FARHANA BINTI MUSTAPA</v>
      </c>
      <c r="W980" t="str">
        <f t="shared" si="420"/>
        <v>04-08-2020</v>
      </c>
      <c r="X980" t="str">
        <f t="shared" si="421"/>
        <v>RAZIMAH ANSAR AHMAD</v>
      </c>
      <c r="Y980" t="str">
        <f t="shared" si="422"/>
        <v>04-08-2020</v>
      </c>
      <c r="Z980" t="str">
        <f>"COS10200804 8174"</f>
        <v>COS10200804 8174</v>
      </c>
    </row>
    <row r="981" spans="1:26" x14ac:dyDescent="0.25">
      <c r="A981" t="str">
        <f t="shared" si="406"/>
        <v>04-08-2020 01:09:43</v>
      </c>
      <c r="B981" t="str">
        <f>"0000809976"</f>
        <v>0000809976</v>
      </c>
      <c r="C981" t="str">
        <f t="shared" si="407"/>
        <v>0000809803</v>
      </c>
      <c r="D981" t="str">
        <f t="shared" si="408"/>
        <v>73185</v>
      </c>
      <c r="E981" t="str">
        <f t="shared" si="409"/>
        <v>KFH-OPERATIONS DEPARTMENT</v>
      </c>
      <c r="F981" t="str">
        <f t="shared" si="410"/>
        <v>IBG</v>
      </c>
      <c r="G981" t="str">
        <f t="shared" si="423"/>
        <v>Refund COSHARE 10</v>
      </c>
      <c r="H981" s="2">
        <v>528.9</v>
      </c>
      <c r="I981" t="str">
        <f>"ISNAWATI BINTI ALUM"</f>
        <v>ISNAWATI BINTI ALUM</v>
      </c>
      <c r="J981" t="str">
        <f t="shared" si="401"/>
        <v>PUBLIC BANK / PUBLIC ISLAMIC BANK</v>
      </c>
      <c r="K981" t="str">
        <f>"6841176833"</f>
        <v>6841176833</v>
      </c>
      <c r="L981" t="str">
        <f t="shared" si="411"/>
        <v>04-08-2020</v>
      </c>
      <c r="M981" t="str">
        <f t="shared" si="411"/>
        <v>04-08-2020</v>
      </c>
      <c r="N981" t="str">
        <f t="shared" si="412"/>
        <v>001105018356</v>
      </c>
      <c r="O981" t="str">
        <f t="shared" si="413"/>
        <v>MYR</v>
      </c>
      <c r="P981" t="str">
        <f t="shared" si="414"/>
        <v>NIL</v>
      </c>
      <c r="Q981" t="str">
        <f t="shared" si="414"/>
        <v>NIL</v>
      </c>
      <c r="R981" t="str">
        <f t="shared" si="415"/>
        <v>Accepted</v>
      </c>
      <c r="S981" t="str">
        <f t="shared" si="416"/>
        <v>Approved</v>
      </c>
      <c r="T981" t="str">
        <f t="shared" si="417"/>
        <v>10.20.8.188</v>
      </c>
      <c r="U981" t="str">
        <f t="shared" si="418"/>
        <v>AZRAD UMAR BIN SHAARI</v>
      </c>
      <c r="V981" t="str">
        <f t="shared" si="419"/>
        <v>FARHANA BINTI MUSTAPA</v>
      </c>
      <c r="W981" t="str">
        <f t="shared" si="420"/>
        <v>04-08-2020</v>
      </c>
      <c r="X981" t="str">
        <f t="shared" si="421"/>
        <v>RAZIMAH ANSAR AHMAD</v>
      </c>
      <c r="Y981" t="str">
        <f t="shared" si="422"/>
        <v>04-08-2020</v>
      </c>
      <c r="Z981" t="str">
        <f>"COS10200804 8173"</f>
        <v>COS10200804 8173</v>
      </c>
    </row>
    <row r="982" spans="1:26" x14ac:dyDescent="0.25">
      <c r="A982" t="str">
        <f t="shared" si="406"/>
        <v>04-08-2020 01:09:43</v>
      </c>
      <c r="B982" t="str">
        <f>"0000809975"</f>
        <v>0000809975</v>
      </c>
      <c r="C982" t="str">
        <f t="shared" si="407"/>
        <v>0000809803</v>
      </c>
      <c r="D982" t="str">
        <f t="shared" si="408"/>
        <v>73185</v>
      </c>
      <c r="E982" t="str">
        <f t="shared" si="409"/>
        <v>KFH-OPERATIONS DEPARTMENT</v>
      </c>
      <c r="F982" t="str">
        <f t="shared" si="410"/>
        <v>IBG</v>
      </c>
      <c r="G982" t="str">
        <f t="shared" si="423"/>
        <v>Refund COSHARE 10</v>
      </c>
      <c r="H982" s="2">
        <v>152</v>
      </c>
      <c r="I982" t="str">
        <f>"ISMAIL BIN TANJONG"</f>
        <v>ISMAIL BIN TANJONG</v>
      </c>
      <c r="J982" t="str">
        <f t="shared" si="401"/>
        <v>PUBLIC BANK / PUBLIC ISLAMIC BANK</v>
      </c>
      <c r="K982" t="str">
        <f>"4495546019"</f>
        <v>4495546019</v>
      </c>
      <c r="L982" t="str">
        <f t="shared" si="411"/>
        <v>04-08-2020</v>
      </c>
      <c r="M982" t="str">
        <f t="shared" si="411"/>
        <v>04-08-2020</v>
      </c>
      <c r="N982" t="str">
        <f t="shared" si="412"/>
        <v>001105018356</v>
      </c>
      <c r="O982" t="str">
        <f t="shared" si="413"/>
        <v>MYR</v>
      </c>
      <c r="P982" t="str">
        <f t="shared" si="414"/>
        <v>NIL</v>
      </c>
      <c r="Q982" t="str">
        <f t="shared" si="414"/>
        <v>NIL</v>
      </c>
      <c r="R982" t="str">
        <f t="shared" si="415"/>
        <v>Accepted</v>
      </c>
      <c r="S982" t="str">
        <f t="shared" si="416"/>
        <v>Approved</v>
      </c>
      <c r="T982" t="str">
        <f t="shared" si="417"/>
        <v>10.20.8.188</v>
      </c>
      <c r="U982" t="str">
        <f t="shared" si="418"/>
        <v>AZRAD UMAR BIN SHAARI</v>
      </c>
      <c r="V982" t="str">
        <f t="shared" si="419"/>
        <v>FARHANA BINTI MUSTAPA</v>
      </c>
      <c r="W982" t="str">
        <f t="shared" si="420"/>
        <v>04-08-2020</v>
      </c>
      <c r="X982" t="str">
        <f t="shared" si="421"/>
        <v>RAZIMAH ANSAR AHMAD</v>
      </c>
      <c r="Y982" t="str">
        <f t="shared" si="422"/>
        <v>04-08-2020</v>
      </c>
      <c r="Z982" t="str">
        <f>"COS10200804 8172"</f>
        <v>COS10200804 8172</v>
      </c>
    </row>
    <row r="983" spans="1:26" x14ac:dyDescent="0.25">
      <c r="A983" t="str">
        <f t="shared" si="406"/>
        <v>04-08-2020 01:09:43</v>
      </c>
      <c r="B983" t="str">
        <f>"0000809974"</f>
        <v>0000809974</v>
      </c>
      <c r="C983" t="str">
        <f t="shared" si="407"/>
        <v>0000809803</v>
      </c>
      <c r="D983" t="str">
        <f t="shared" si="408"/>
        <v>73185</v>
      </c>
      <c r="E983" t="str">
        <f t="shared" si="409"/>
        <v>KFH-OPERATIONS DEPARTMENT</v>
      </c>
      <c r="F983" t="str">
        <f t="shared" si="410"/>
        <v>IBG</v>
      </c>
      <c r="G983" t="str">
        <f t="shared" si="423"/>
        <v>Refund COSHARE 10</v>
      </c>
      <c r="H983" s="2">
        <v>201.3</v>
      </c>
      <c r="I983" t="str">
        <f>"IMRAN BIN MOHD AKIL"</f>
        <v>IMRAN BIN MOHD AKIL</v>
      </c>
      <c r="J983" t="str">
        <f t="shared" si="401"/>
        <v>PUBLIC BANK / PUBLIC ISLAMIC BANK</v>
      </c>
      <c r="K983" t="str">
        <f>"4960311228"</f>
        <v>4960311228</v>
      </c>
      <c r="L983" t="str">
        <f t="shared" si="411"/>
        <v>04-08-2020</v>
      </c>
      <c r="M983" t="str">
        <f t="shared" si="411"/>
        <v>04-08-2020</v>
      </c>
      <c r="N983" t="str">
        <f t="shared" si="412"/>
        <v>001105018356</v>
      </c>
      <c r="O983" t="str">
        <f t="shared" si="413"/>
        <v>MYR</v>
      </c>
      <c r="P983" t="str">
        <f t="shared" si="414"/>
        <v>NIL</v>
      </c>
      <c r="Q983" t="str">
        <f t="shared" si="414"/>
        <v>NIL</v>
      </c>
      <c r="R983" t="str">
        <f t="shared" si="415"/>
        <v>Accepted</v>
      </c>
      <c r="S983" t="str">
        <f t="shared" si="416"/>
        <v>Approved</v>
      </c>
      <c r="T983" t="str">
        <f t="shared" si="417"/>
        <v>10.20.8.188</v>
      </c>
      <c r="U983" t="str">
        <f t="shared" si="418"/>
        <v>AZRAD UMAR BIN SHAARI</v>
      </c>
      <c r="V983" t="str">
        <f t="shared" si="419"/>
        <v>FARHANA BINTI MUSTAPA</v>
      </c>
      <c r="W983" t="str">
        <f t="shared" si="420"/>
        <v>04-08-2020</v>
      </c>
      <c r="X983" t="str">
        <f t="shared" si="421"/>
        <v>RAZIMAH ANSAR AHMAD</v>
      </c>
      <c r="Y983" t="str">
        <f t="shared" si="422"/>
        <v>04-08-2020</v>
      </c>
      <c r="Z983" t="str">
        <f>"COS10200804 8171"</f>
        <v>COS10200804 8171</v>
      </c>
    </row>
    <row r="984" spans="1:26" x14ac:dyDescent="0.25">
      <c r="A984" t="str">
        <f t="shared" si="406"/>
        <v>04-08-2020 01:09:43</v>
      </c>
      <c r="B984" t="str">
        <f>"0000809973"</f>
        <v>0000809973</v>
      </c>
      <c r="C984" t="str">
        <f t="shared" si="407"/>
        <v>0000809803</v>
      </c>
      <c r="D984" t="str">
        <f t="shared" si="408"/>
        <v>73185</v>
      </c>
      <c r="E984" t="str">
        <f t="shared" si="409"/>
        <v>KFH-OPERATIONS DEPARTMENT</v>
      </c>
      <c r="F984" t="str">
        <f t="shared" si="410"/>
        <v>IBG</v>
      </c>
      <c r="G984" t="str">
        <f t="shared" si="423"/>
        <v>Refund COSHARE 10</v>
      </c>
      <c r="H984" s="2">
        <v>1569.85</v>
      </c>
      <c r="I984" t="str">
        <f>"ILHAN BIN MAT KASSIM"</f>
        <v>ILHAN BIN MAT KASSIM</v>
      </c>
      <c r="J984" t="str">
        <f t="shared" si="401"/>
        <v>PUBLIC BANK / PUBLIC ISLAMIC BANK</v>
      </c>
      <c r="K984" t="str">
        <f>"4700650104"</f>
        <v>4700650104</v>
      </c>
      <c r="L984" t="str">
        <f t="shared" si="411"/>
        <v>04-08-2020</v>
      </c>
      <c r="M984" t="str">
        <f t="shared" si="411"/>
        <v>04-08-2020</v>
      </c>
      <c r="N984" t="str">
        <f t="shared" si="412"/>
        <v>001105018356</v>
      </c>
      <c r="O984" t="str">
        <f t="shared" si="413"/>
        <v>MYR</v>
      </c>
      <c r="P984" t="str">
        <f t="shared" si="414"/>
        <v>NIL</v>
      </c>
      <c r="Q984" t="str">
        <f t="shared" si="414"/>
        <v>NIL</v>
      </c>
      <c r="R984" t="str">
        <f t="shared" si="415"/>
        <v>Accepted</v>
      </c>
      <c r="S984" t="str">
        <f t="shared" si="416"/>
        <v>Approved</v>
      </c>
      <c r="T984" t="str">
        <f t="shared" si="417"/>
        <v>10.20.8.188</v>
      </c>
      <c r="U984" t="str">
        <f t="shared" si="418"/>
        <v>AZRAD UMAR BIN SHAARI</v>
      </c>
      <c r="V984" t="str">
        <f t="shared" si="419"/>
        <v>FARHANA BINTI MUSTAPA</v>
      </c>
      <c r="W984" t="str">
        <f t="shared" si="420"/>
        <v>04-08-2020</v>
      </c>
      <c r="X984" t="str">
        <f t="shared" si="421"/>
        <v>RAZIMAH ANSAR AHMAD</v>
      </c>
      <c r="Y984" t="str">
        <f t="shared" si="422"/>
        <v>04-08-2020</v>
      </c>
      <c r="Z984" t="str">
        <f>"COS10200804 8170"</f>
        <v>COS10200804 8170</v>
      </c>
    </row>
    <row r="985" spans="1:26" x14ac:dyDescent="0.25">
      <c r="A985" t="str">
        <f t="shared" si="406"/>
        <v>04-08-2020 01:09:43</v>
      </c>
      <c r="B985" t="str">
        <f>"0000809972"</f>
        <v>0000809972</v>
      </c>
      <c r="C985" t="str">
        <f t="shared" si="407"/>
        <v>0000809803</v>
      </c>
      <c r="D985" t="str">
        <f t="shared" si="408"/>
        <v>73185</v>
      </c>
      <c r="E985" t="str">
        <f t="shared" si="409"/>
        <v>KFH-OPERATIONS DEPARTMENT</v>
      </c>
      <c r="F985" t="str">
        <f t="shared" si="410"/>
        <v>IBG</v>
      </c>
      <c r="G985" t="str">
        <f t="shared" si="423"/>
        <v>Refund COSHARE 10</v>
      </c>
      <c r="H985" s="2">
        <v>671.6</v>
      </c>
      <c r="I985" t="str">
        <f>"HILARY BIN JOKININ  DAVID"</f>
        <v>HILARY BIN JOKININ  DAVID</v>
      </c>
      <c r="J985" t="str">
        <f t="shared" si="401"/>
        <v>PUBLIC BANK / PUBLIC ISLAMIC BANK</v>
      </c>
      <c r="K985" t="str">
        <f>"4700488624"</f>
        <v>4700488624</v>
      </c>
      <c r="L985" t="str">
        <f t="shared" si="411"/>
        <v>04-08-2020</v>
      </c>
      <c r="M985" t="str">
        <f t="shared" si="411"/>
        <v>04-08-2020</v>
      </c>
      <c r="N985" t="str">
        <f t="shared" si="412"/>
        <v>001105018356</v>
      </c>
      <c r="O985" t="str">
        <f t="shared" si="413"/>
        <v>MYR</v>
      </c>
      <c r="P985" t="str">
        <f t="shared" si="414"/>
        <v>NIL</v>
      </c>
      <c r="Q985" t="str">
        <f t="shared" si="414"/>
        <v>NIL</v>
      </c>
      <c r="R985" t="str">
        <f t="shared" si="415"/>
        <v>Accepted</v>
      </c>
      <c r="S985" t="str">
        <f t="shared" si="416"/>
        <v>Approved</v>
      </c>
      <c r="T985" t="str">
        <f t="shared" si="417"/>
        <v>10.20.8.188</v>
      </c>
      <c r="U985" t="str">
        <f t="shared" si="418"/>
        <v>AZRAD UMAR BIN SHAARI</v>
      </c>
      <c r="V985" t="str">
        <f t="shared" si="419"/>
        <v>FARHANA BINTI MUSTAPA</v>
      </c>
      <c r="W985" t="str">
        <f t="shared" si="420"/>
        <v>04-08-2020</v>
      </c>
      <c r="X985" t="str">
        <f t="shared" si="421"/>
        <v>RAZIMAH ANSAR AHMAD</v>
      </c>
      <c r="Y985" t="str">
        <f t="shared" si="422"/>
        <v>04-08-2020</v>
      </c>
      <c r="Z985" t="str">
        <f>"COS10200804 8169"</f>
        <v>COS10200804 8169</v>
      </c>
    </row>
    <row r="986" spans="1:26" x14ac:dyDescent="0.25">
      <c r="A986" t="str">
        <f t="shared" ref="A986:A1017" si="424">"04-08-2020 01:09:43"</f>
        <v>04-08-2020 01:09:43</v>
      </c>
      <c r="B986" t="str">
        <f>"0000809971"</f>
        <v>0000809971</v>
      </c>
      <c r="C986" t="str">
        <f t="shared" ref="C986:C1017" si="425">"0000809803"</f>
        <v>0000809803</v>
      </c>
      <c r="D986" t="str">
        <f t="shared" si="408"/>
        <v>73185</v>
      </c>
      <c r="E986" t="str">
        <f t="shared" si="409"/>
        <v>KFH-OPERATIONS DEPARTMENT</v>
      </c>
      <c r="F986" t="str">
        <f t="shared" si="410"/>
        <v>IBG</v>
      </c>
      <c r="G986" t="str">
        <f t="shared" si="423"/>
        <v>Refund COSHARE 10</v>
      </c>
      <c r="H986" s="2">
        <v>1259.25</v>
      </c>
      <c r="I986" t="str">
        <f>"HII SII TECK"</f>
        <v>HII SII TECK</v>
      </c>
      <c r="J986" t="str">
        <f t="shared" si="401"/>
        <v>PUBLIC BANK / PUBLIC ISLAMIC BANK</v>
      </c>
      <c r="K986" t="str">
        <f>"4931745024"</f>
        <v>4931745024</v>
      </c>
      <c r="L986" t="str">
        <f t="shared" si="411"/>
        <v>04-08-2020</v>
      </c>
      <c r="M986" t="str">
        <f t="shared" si="411"/>
        <v>04-08-2020</v>
      </c>
      <c r="N986" t="str">
        <f t="shared" si="412"/>
        <v>001105018356</v>
      </c>
      <c r="O986" t="str">
        <f t="shared" si="413"/>
        <v>MYR</v>
      </c>
      <c r="P986" t="str">
        <f t="shared" si="414"/>
        <v>NIL</v>
      </c>
      <c r="Q986" t="str">
        <f t="shared" si="414"/>
        <v>NIL</v>
      </c>
      <c r="R986" t="str">
        <f t="shared" si="415"/>
        <v>Accepted</v>
      </c>
      <c r="S986" t="str">
        <f t="shared" si="416"/>
        <v>Approved</v>
      </c>
      <c r="T986" t="str">
        <f t="shared" si="417"/>
        <v>10.20.8.188</v>
      </c>
      <c r="U986" t="str">
        <f t="shared" si="418"/>
        <v>AZRAD UMAR BIN SHAARI</v>
      </c>
      <c r="V986" t="str">
        <f t="shared" si="419"/>
        <v>FARHANA BINTI MUSTAPA</v>
      </c>
      <c r="W986" t="str">
        <f t="shared" si="420"/>
        <v>04-08-2020</v>
      </c>
      <c r="X986" t="str">
        <f t="shared" si="421"/>
        <v>RAZIMAH ANSAR AHMAD</v>
      </c>
      <c r="Y986" t="str">
        <f t="shared" si="422"/>
        <v>04-08-2020</v>
      </c>
      <c r="Z986" t="str">
        <f>"COS10200804 8168"</f>
        <v>COS10200804 8168</v>
      </c>
    </row>
    <row r="987" spans="1:26" x14ac:dyDescent="0.25">
      <c r="A987" t="str">
        <f t="shared" si="424"/>
        <v>04-08-2020 01:09:43</v>
      </c>
      <c r="B987" t="str">
        <f>"0000809970"</f>
        <v>0000809970</v>
      </c>
      <c r="C987" t="str">
        <f t="shared" si="425"/>
        <v>0000809803</v>
      </c>
      <c r="D987" t="str">
        <f t="shared" si="408"/>
        <v>73185</v>
      </c>
      <c r="E987" t="str">
        <f t="shared" si="409"/>
        <v>KFH-OPERATIONS DEPARTMENT</v>
      </c>
      <c r="F987" t="str">
        <f t="shared" si="410"/>
        <v>IBG</v>
      </c>
      <c r="G987" t="str">
        <f t="shared" si="423"/>
        <v>Refund COSHARE 10</v>
      </c>
      <c r="H987" s="2">
        <v>380</v>
      </c>
      <c r="I987" t="str">
        <f>"HERRYANNA BINTI HARIDAN"</f>
        <v>HERRYANNA BINTI HARIDAN</v>
      </c>
      <c r="J987" t="str">
        <f t="shared" si="401"/>
        <v>PUBLIC BANK / PUBLIC ISLAMIC BANK</v>
      </c>
      <c r="K987" t="str">
        <f>"4728306115"</f>
        <v>4728306115</v>
      </c>
      <c r="L987" t="str">
        <f t="shared" ref="L987:M1006" si="426">"04-08-2020"</f>
        <v>04-08-2020</v>
      </c>
      <c r="M987" t="str">
        <f t="shared" si="426"/>
        <v>04-08-2020</v>
      </c>
      <c r="N987" t="str">
        <f t="shared" si="412"/>
        <v>001105018356</v>
      </c>
      <c r="O987" t="str">
        <f t="shared" si="413"/>
        <v>MYR</v>
      </c>
      <c r="P987" t="str">
        <f t="shared" ref="P987:Q1006" si="427">"NIL"</f>
        <v>NIL</v>
      </c>
      <c r="Q987" t="str">
        <f t="shared" si="427"/>
        <v>NIL</v>
      </c>
      <c r="R987" t="str">
        <f t="shared" si="415"/>
        <v>Accepted</v>
      </c>
      <c r="S987" t="str">
        <f t="shared" si="416"/>
        <v>Approved</v>
      </c>
      <c r="T987" t="str">
        <f t="shared" si="417"/>
        <v>10.20.8.188</v>
      </c>
      <c r="U987" t="str">
        <f t="shared" si="418"/>
        <v>AZRAD UMAR BIN SHAARI</v>
      </c>
      <c r="V987" t="str">
        <f t="shared" si="419"/>
        <v>FARHANA BINTI MUSTAPA</v>
      </c>
      <c r="W987" t="str">
        <f t="shared" si="420"/>
        <v>04-08-2020</v>
      </c>
      <c r="X987" t="str">
        <f t="shared" si="421"/>
        <v>RAZIMAH ANSAR AHMAD</v>
      </c>
      <c r="Y987" t="str">
        <f t="shared" si="422"/>
        <v>04-08-2020</v>
      </c>
      <c r="Z987" t="str">
        <f>"COS10200804 8167"</f>
        <v>COS10200804 8167</v>
      </c>
    </row>
    <row r="988" spans="1:26" x14ac:dyDescent="0.25">
      <c r="A988" t="str">
        <f t="shared" si="424"/>
        <v>04-08-2020 01:09:43</v>
      </c>
      <c r="B988" t="str">
        <f>"0000809969"</f>
        <v>0000809969</v>
      </c>
      <c r="C988" t="str">
        <f t="shared" si="425"/>
        <v>0000809803</v>
      </c>
      <c r="D988" t="str">
        <f t="shared" si="408"/>
        <v>73185</v>
      </c>
      <c r="E988" t="str">
        <f t="shared" si="409"/>
        <v>KFH-OPERATIONS DEPARTMENT</v>
      </c>
      <c r="F988" t="str">
        <f t="shared" si="410"/>
        <v>IBG</v>
      </c>
      <c r="G988" t="str">
        <f t="shared" si="423"/>
        <v>Refund COSHARE 10</v>
      </c>
      <c r="H988" s="2">
        <v>705.2</v>
      </c>
      <c r="I988" t="str">
        <f>"HAZMAN BIN MOHAMAD JULAIHI"</f>
        <v>HAZMAN BIN MOHAMAD JULAIHI</v>
      </c>
      <c r="J988" t="str">
        <f t="shared" si="401"/>
        <v>PUBLIC BANK / PUBLIC ISLAMIC BANK</v>
      </c>
      <c r="K988" t="str">
        <f>"6849225601"</f>
        <v>6849225601</v>
      </c>
      <c r="L988" t="str">
        <f t="shared" si="426"/>
        <v>04-08-2020</v>
      </c>
      <c r="M988" t="str">
        <f t="shared" si="426"/>
        <v>04-08-2020</v>
      </c>
      <c r="N988" t="str">
        <f t="shared" si="412"/>
        <v>001105018356</v>
      </c>
      <c r="O988" t="str">
        <f t="shared" si="413"/>
        <v>MYR</v>
      </c>
      <c r="P988" t="str">
        <f t="shared" si="427"/>
        <v>NIL</v>
      </c>
      <c r="Q988" t="str">
        <f t="shared" si="427"/>
        <v>NIL</v>
      </c>
      <c r="R988" t="str">
        <f t="shared" si="415"/>
        <v>Accepted</v>
      </c>
      <c r="S988" t="str">
        <f t="shared" si="416"/>
        <v>Approved</v>
      </c>
      <c r="T988" t="str">
        <f t="shared" si="417"/>
        <v>10.20.8.188</v>
      </c>
      <c r="U988" t="str">
        <f t="shared" si="418"/>
        <v>AZRAD UMAR BIN SHAARI</v>
      </c>
      <c r="V988" t="str">
        <f t="shared" si="419"/>
        <v>FARHANA BINTI MUSTAPA</v>
      </c>
      <c r="W988" t="str">
        <f t="shared" si="420"/>
        <v>04-08-2020</v>
      </c>
      <c r="X988" t="str">
        <f t="shared" si="421"/>
        <v>RAZIMAH ANSAR AHMAD</v>
      </c>
      <c r="Y988" t="str">
        <f t="shared" si="422"/>
        <v>04-08-2020</v>
      </c>
      <c r="Z988" t="str">
        <f>"COS10200804 8166"</f>
        <v>COS10200804 8166</v>
      </c>
    </row>
    <row r="989" spans="1:26" x14ac:dyDescent="0.25">
      <c r="A989" t="str">
        <f t="shared" si="424"/>
        <v>04-08-2020 01:09:43</v>
      </c>
      <c r="B989" t="str">
        <f>"0000809968"</f>
        <v>0000809968</v>
      </c>
      <c r="C989" t="str">
        <f t="shared" si="425"/>
        <v>0000809803</v>
      </c>
      <c r="D989" t="str">
        <f t="shared" si="408"/>
        <v>73185</v>
      </c>
      <c r="E989" t="str">
        <f t="shared" si="409"/>
        <v>KFH-OPERATIONS DEPARTMENT</v>
      </c>
      <c r="F989" t="str">
        <f t="shared" si="410"/>
        <v>IBG</v>
      </c>
      <c r="G989" t="str">
        <f t="shared" si="423"/>
        <v>Refund COSHARE 10</v>
      </c>
      <c r="H989" s="2">
        <v>74.95</v>
      </c>
      <c r="I989" t="str">
        <f>"HASSANAL BIN JUNAIDI"</f>
        <v>HASSANAL BIN JUNAIDI</v>
      </c>
      <c r="J989" t="str">
        <f t="shared" si="401"/>
        <v>PUBLIC BANK / PUBLIC ISLAMIC BANK</v>
      </c>
      <c r="K989" t="str">
        <f>"4472004328"</f>
        <v>4472004328</v>
      </c>
      <c r="L989" t="str">
        <f t="shared" si="426"/>
        <v>04-08-2020</v>
      </c>
      <c r="M989" t="str">
        <f t="shared" si="426"/>
        <v>04-08-2020</v>
      </c>
      <c r="N989" t="str">
        <f t="shared" si="412"/>
        <v>001105018356</v>
      </c>
      <c r="O989" t="str">
        <f t="shared" si="413"/>
        <v>MYR</v>
      </c>
      <c r="P989" t="str">
        <f t="shared" si="427"/>
        <v>NIL</v>
      </c>
      <c r="Q989" t="str">
        <f t="shared" si="427"/>
        <v>NIL</v>
      </c>
      <c r="R989" t="str">
        <f t="shared" si="415"/>
        <v>Accepted</v>
      </c>
      <c r="S989" t="str">
        <f t="shared" si="416"/>
        <v>Approved</v>
      </c>
      <c r="T989" t="str">
        <f t="shared" si="417"/>
        <v>10.20.8.188</v>
      </c>
      <c r="U989" t="str">
        <f t="shared" si="418"/>
        <v>AZRAD UMAR BIN SHAARI</v>
      </c>
      <c r="V989" t="str">
        <f t="shared" si="419"/>
        <v>FARHANA BINTI MUSTAPA</v>
      </c>
      <c r="W989" t="str">
        <f t="shared" si="420"/>
        <v>04-08-2020</v>
      </c>
      <c r="X989" t="str">
        <f t="shared" si="421"/>
        <v>RAZIMAH ANSAR AHMAD</v>
      </c>
      <c r="Y989" t="str">
        <f t="shared" si="422"/>
        <v>04-08-2020</v>
      </c>
      <c r="Z989" t="str">
        <f>"COS10200804 8165"</f>
        <v>COS10200804 8165</v>
      </c>
    </row>
    <row r="990" spans="1:26" x14ac:dyDescent="0.25">
      <c r="A990" t="str">
        <f t="shared" si="424"/>
        <v>04-08-2020 01:09:43</v>
      </c>
      <c r="B990" t="str">
        <f>"0000809967"</f>
        <v>0000809967</v>
      </c>
      <c r="C990" t="str">
        <f t="shared" si="425"/>
        <v>0000809803</v>
      </c>
      <c r="D990" t="str">
        <f t="shared" si="408"/>
        <v>73185</v>
      </c>
      <c r="E990" t="str">
        <f t="shared" si="409"/>
        <v>KFH-OPERATIONS DEPARTMENT</v>
      </c>
      <c r="F990" t="str">
        <f t="shared" si="410"/>
        <v>IBG</v>
      </c>
      <c r="G990" t="str">
        <f t="shared" si="423"/>
        <v>Refund COSHARE 10</v>
      </c>
      <c r="H990" s="2">
        <v>1091.3499999999999</v>
      </c>
      <c r="I990" t="str">
        <f>"HASRAWATY PHANG"</f>
        <v>HASRAWATY PHANG</v>
      </c>
      <c r="J990" t="str">
        <f t="shared" si="401"/>
        <v>PUBLIC BANK / PUBLIC ISLAMIC BANK</v>
      </c>
      <c r="K990" t="str">
        <f>"6837651636"</f>
        <v>6837651636</v>
      </c>
      <c r="L990" t="str">
        <f t="shared" si="426"/>
        <v>04-08-2020</v>
      </c>
      <c r="M990" t="str">
        <f t="shared" si="426"/>
        <v>04-08-2020</v>
      </c>
      <c r="N990" t="str">
        <f t="shared" si="412"/>
        <v>001105018356</v>
      </c>
      <c r="O990" t="str">
        <f t="shared" si="413"/>
        <v>MYR</v>
      </c>
      <c r="P990" t="str">
        <f t="shared" si="427"/>
        <v>NIL</v>
      </c>
      <c r="Q990" t="str">
        <f t="shared" si="427"/>
        <v>NIL</v>
      </c>
      <c r="R990" t="str">
        <f t="shared" si="415"/>
        <v>Accepted</v>
      </c>
      <c r="S990" t="str">
        <f t="shared" si="416"/>
        <v>Approved</v>
      </c>
      <c r="T990" t="str">
        <f t="shared" si="417"/>
        <v>10.20.8.188</v>
      </c>
      <c r="U990" t="str">
        <f t="shared" si="418"/>
        <v>AZRAD UMAR BIN SHAARI</v>
      </c>
      <c r="V990" t="str">
        <f t="shared" si="419"/>
        <v>FARHANA BINTI MUSTAPA</v>
      </c>
      <c r="W990" t="str">
        <f t="shared" si="420"/>
        <v>04-08-2020</v>
      </c>
      <c r="X990" t="str">
        <f t="shared" si="421"/>
        <v>RAZIMAH ANSAR AHMAD</v>
      </c>
      <c r="Y990" t="str">
        <f t="shared" si="422"/>
        <v>04-08-2020</v>
      </c>
      <c r="Z990" t="str">
        <f>"COS10200804 8164"</f>
        <v>COS10200804 8164</v>
      </c>
    </row>
    <row r="991" spans="1:26" x14ac:dyDescent="0.25">
      <c r="A991" t="str">
        <f t="shared" si="424"/>
        <v>04-08-2020 01:09:43</v>
      </c>
      <c r="B991" t="str">
        <f>"0000809966"</f>
        <v>0000809966</v>
      </c>
      <c r="C991" t="str">
        <f t="shared" si="425"/>
        <v>0000809803</v>
      </c>
      <c r="D991" t="str">
        <f t="shared" si="408"/>
        <v>73185</v>
      </c>
      <c r="E991" t="str">
        <f t="shared" si="409"/>
        <v>KFH-OPERATIONS DEPARTMENT</v>
      </c>
      <c r="F991" t="str">
        <f t="shared" si="410"/>
        <v>IBG</v>
      </c>
      <c r="G991" t="str">
        <f t="shared" si="423"/>
        <v>Refund COSHARE 10</v>
      </c>
      <c r="H991" s="2">
        <v>74.95</v>
      </c>
      <c r="I991" t="str">
        <f>"HASNAH BINTI RAJIKAN"</f>
        <v>HASNAH BINTI RAJIKAN</v>
      </c>
      <c r="J991" t="str">
        <f t="shared" si="401"/>
        <v>PUBLIC BANK / PUBLIC ISLAMIC BANK</v>
      </c>
      <c r="K991" t="str">
        <f>"4941195232"</f>
        <v>4941195232</v>
      </c>
      <c r="L991" t="str">
        <f t="shared" si="426"/>
        <v>04-08-2020</v>
      </c>
      <c r="M991" t="str">
        <f t="shared" si="426"/>
        <v>04-08-2020</v>
      </c>
      <c r="N991" t="str">
        <f t="shared" si="412"/>
        <v>001105018356</v>
      </c>
      <c r="O991" t="str">
        <f t="shared" si="413"/>
        <v>MYR</v>
      </c>
      <c r="P991" t="str">
        <f t="shared" si="427"/>
        <v>NIL</v>
      </c>
      <c r="Q991" t="str">
        <f t="shared" si="427"/>
        <v>NIL</v>
      </c>
      <c r="R991" t="str">
        <f t="shared" si="415"/>
        <v>Accepted</v>
      </c>
      <c r="S991" t="str">
        <f t="shared" si="416"/>
        <v>Approved</v>
      </c>
      <c r="T991" t="str">
        <f t="shared" si="417"/>
        <v>10.20.8.188</v>
      </c>
      <c r="U991" t="str">
        <f t="shared" si="418"/>
        <v>AZRAD UMAR BIN SHAARI</v>
      </c>
      <c r="V991" t="str">
        <f t="shared" si="419"/>
        <v>FARHANA BINTI MUSTAPA</v>
      </c>
      <c r="W991" t="str">
        <f t="shared" si="420"/>
        <v>04-08-2020</v>
      </c>
      <c r="X991" t="str">
        <f t="shared" si="421"/>
        <v>RAZIMAH ANSAR AHMAD</v>
      </c>
      <c r="Y991" t="str">
        <f t="shared" si="422"/>
        <v>04-08-2020</v>
      </c>
      <c r="Z991" t="str">
        <f>"COS10200804 8163"</f>
        <v>COS10200804 8163</v>
      </c>
    </row>
    <row r="992" spans="1:26" x14ac:dyDescent="0.25">
      <c r="A992" t="str">
        <f t="shared" si="424"/>
        <v>04-08-2020 01:09:43</v>
      </c>
      <c r="B992" t="str">
        <f>"0000809965"</f>
        <v>0000809965</v>
      </c>
      <c r="C992" t="str">
        <f t="shared" si="425"/>
        <v>0000809803</v>
      </c>
      <c r="D992" t="str">
        <f t="shared" si="408"/>
        <v>73185</v>
      </c>
      <c r="E992" t="str">
        <f t="shared" si="409"/>
        <v>KFH-OPERATIONS DEPARTMENT</v>
      </c>
      <c r="F992" t="str">
        <f t="shared" si="410"/>
        <v>IBG</v>
      </c>
      <c r="G992" t="str">
        <f t="shared" si="423"/>
        <v>Refund COSHARE 10</v>
      </c>
      <c r="H992" s="2">
        <v>112.6</v>
      </c>
      <c r="I992" t="str">
        <f>"HARUN BIN ABDUL RAJIM"</f>
        <v>HARUN BIN ABDUL RAJIM</v>
      </c>
      <c r="J992" t="str">
        <f t="shared" si="401"/>
        <v>PUBLIC BANK / PUBLIC ISLAMIC BANK</v>
      </c>
      <c r="K992" t="str">
        <f>"4047963134"</f>
        <v>4047963134</v>
      </c>
      <c r="L992" t="str">
        <f t="shared" si="426"/>
        <v>04-08-2020</v>
      </c>
      <c r="M992" t="str">
        <f t="shared" si="426"/>
        <v>04-08-2020</v>
      </c>
      <c r="N992" t="str">
        <f t="shared" si="412"/>
        <v>001105018356</v>
      </c>
      <c r="O992" t="str">
        <f t="shared" si="413"/>
        <v>MYR</v>
      </c>
      <c r="P992" t="str">
        <f t="shared" si="427"/>
        <v>NIL</v>
      </c>
      <c r="Q992" t="str">
        <f t="shared" si="427"/>
        <v>NIL</v>
      </c>
      <c r="R992" t="str">
        <f t="shared" si="415"/>
        <v>Accepted</v>
      </c>
      <c r="S992" t="str">
        <f t="shared" si="416"/>
        <v>Approved</v>
      </c>
      <c r="T992" t="str">
        <f t="shared" si="417"/>
        <v>10.20.8.188</v>
      </c>
      <c r="U992" t="str">
        <f t="shared" si="418"/>
        <v>AZRAD UMAR BIN SHAARI</v>
      </c>
      <c r="V992" t="str">
        <f t="shared" si="419"/>
        <v>FARHANA BINTI MUSTAPA</v>
      </c>
      <c r="W992" t="str">
        <f t="shared" si="420"/>
        <v>04-08-2020</v>
      </c>
      <c r="X992" t="str">
        <f t="shared" si="421"/>
        <v>RAZIMAH ANSAR AHMAD</v>
      </c>
      <c r="Y992" t="str">
        <f t="shared" si="422"/>
        <v>04-08-2020</v>
      </c>
      <c r="Z992" t="str">
        <f>"COS10200804 8162"</f>
        <v>COS10200804 8162</v>
      </c>
    </row>
    <row r="993" spans="1:26" x14ac:dyDescent="0.25">
      <c r="A993" t="str">
        <f t="shared" si="424"/>
        <v>04-08-2020 01:09:43</v>
      </c>
      <c r="B993" t="str">
        <f>"0000809964"</f>
        <v>0000809964</v>
      </c>
      <c r="C993" t="str">
        <f t="shared" si="425"/>
        <v>0000809803</v>
      </c>
      <c r="D993" t="str">
        <f t="shared" si="408"/>
        <v>73185</v>
      </c>
      <c r="E993" t="str">
        <f t="shared" si="409"/>
        <v>KFH-OPERATIONS DEPARTMENT</v>
      </c>
      <c r="F993" t="str">
        <f t="shared" si="410"/>
        <v>IBG</v>
      </c>
      <c r="G993" t="str">
        <f t="shared" si="423"/>
        <v>Refund COSHARE 10</v>
      </c>
      <c r="H993" s="2">
        <v>55</v>
      </c>
      <c r="I993" t="str">
        <f>"HANITA BINTI LEE"</f>
        <v>HANITA BINTI LEE</v>
      </c>
      <c r="J993" t="str">
        <f t="shared" si="401"/>
        <v>PUBLIC BANK / PUBLIC ISLAMIC BANK</v>
      </c>
      <c r="K993" t="str">
        <f>"4597701005"</f>
        <v>4597701005</v>
      </c>
      <c r="L993" t="str">
        <f t="shared" si="426"/>
        <v>04-08-2020</v>
      </c>
      <c r="M993" t="str">
        <f t="shared" si="426"/>
        <v>04-08-2020</v>
      </c>
      <c r="N993" t="str">
        <f t="shared" si="412"/>
        <v>001105018356</v>
      </c>
      <c r="O993" t="str">
        <f t="shared" si="413"/>
        <v>MYR</v>
      </c>
      <c r="P993" t="str">
        <f t="shared" si="427"/>
        <v>NIL</v>
      </c>
      <c r="Q993" t="str">
        <f t="shared" si="427"/>
        <v>NIL</v>
      </c>
      <c r="R993" t="str">
        <f t="shared" si="415"/>
        <v>Accepted</v>
      </c>
      <c r="S993" t="str">
        <f t="shared" si="416"/>
        <v>Approved</v>
      </c>
      <c r="T993" t="str">
        <f t="shared" si="417"/>
        <v>10.20.8.188</v>
      </c>
      <c r="U993" t="str">
        <f t="shared" si="418"/>
        <v>AZRAD UMAR BIN SHAARI</v>
      </c>
      <c r="V993" t="str">
        <f t="shared" si="419"/>
        <v>FARHANA BINTI MUSTAPA</v>
      </c>
      <c r="W993" t="str">
        <f t="shared" si="420"/>
        <v>04-08-2020</v>
      </c>
      <c r="X993" t="str">
        <f t="shared" si="421"/>
        <v>RAZIMAH ANSAR AHMAD</v>
      </c>
      <c r="Y993" t="str">
        <f t="shared" si="422"/>
        <v>04-08-2020</v>
      </c>
      <c r="Z993" t="str">
        <f>"COS10200804 8161"</f>
        <v>COS10200804 8161</v>
      </c>
    </row>
    <row r="994" spans="1:26" x14ac:dyDescent="0.25">
      <c r="A994" t="str">
        <f t="shared" si="424"/>
        <v>04-08-2020 01:09:43</v>
      </c>
      <c r="B994" t="str">
        <f>"0000809963"</f>
        <v>0000809963</v>
      </c>
      <c r="C994" t="str">
        <f t="shared" si="425"/>
        <v>0000809803</v>
      </c>
      <c r="D994" t="str">
        <f t="shared" si="408"/>
        <v>73185</v>
      </c>
      <c r="E994" t="str">
        <f t="shared" si="409"/>
        <v>KFH-OPERATIONS DEPARTMENT</v>
      </c>
      <c r="F994" t="str">
        <f t="shared" si="410"/>
        <v>IBG</v>
      </c>
      <c r="G994" t="str">
        <f t="shared" si="423"/>
        <v>Refund COSHARE 10</v>
      </c>
      <c r="H994" s="2">
        <v>910</v>
      </c>
      <c r="I994" t="str">
        <f>"HAFIDAH BINTI OTHMAN"</f>
        <v>HAFIDAH BINTI OTHMAN</v>
      </c>
      <c r="J994" t="str">
        <f t="shared" si="401"/>
        <v>PUBLIC BANK / PUBLIC ISLAMIC BANK</v>
      </c>
      <c r="K994" t="str">
        <f>"4354346321"</f>
        <v>4354346321</v>
      </c>
      <c r="L994" t="str">
        <f t="shared" si="426"/>
        <v>04-08-2020</v>
      </c>
      <c r="M994" t="str">
        <f t="shared" si="426"/>
        <v>04-08-2020</v>
      </c>
      <c r="N994" t="str">
        <f t="shared" si="412"/>
        <v>001105018356</v>
      </c>
      <c r="O994" t="str">
        <f t="shared" si="413"/>
        <v>MYR</v>
      </c>
      <c r="P994" t="str">
        <f t="shared" si="427"/>
        <v>NIL</v>
      </c>
      <c r="Q994" t="str">
        <f t="shared" si="427"/>
        <v>NIL</v>
      </c>
      <c r="R994" t="str">
        <f t="shared" si="415"/>
        <v>Accepted</v>
      </c>
      <c r="S994" t="str">
        <f t="shared" si="416"/>
        <v>Approved</v>
      </c>
      <c r="T994" t="str">
        <f t="shared" si="417"/>
        <v>10.20.8.188</v>
      </c>
      <c r="U994" t="str">
        <f t="shared" si="418"/>
        <v>AZRAD UMAR BIN SHAARI</v>
      </c>
      <c r="V994" t="str">
        <f t="shared" si="419"/>
        <v>FARHANA BINTI MUSTAPA</v>
      </c>
      <c r="W994" t="str">
        <f t="shared" si="420"/>
        <v>04-08-2020</v>
      </c>
      <c r="X994" t="str">
        <f t="shared" si="421"/>
        <v>RAZIMAH ANSAR AHMAD</v>
      </c>
      <c r="Y994" t="str">
        <f t="shared" si="422"/>
        <v>04-08-2020</v>
      </c>
      <c r="Z994" t="str">
        <f>"COS10200804 8160"</f>
        <v>COS10200804 8160</v>
      </c>
    </row>
    <row r="995" spans="1:26" x14ac:dyDescent="0.25">
      <c r="A995" t="str">
        <f t="shared" si="424"/>
        <v>04-08-2020 01:09:43</v>
      </c>
      <c r="B995" t="str">
        <f>"0000809962"</f>
        <v>0000809962</v>
      </c>
      <c r="C995" t="str">
        <f t="shared" si="425"/>
        <v>0000809803</v>
      </c>
      <c r="D995" t="str">
        <f t="shared" si="408"/>
        <v>73185</v>
      </c>
      <c r="E995" t="str">
        <f t="shared" si="409"/>
        <v>KFH-OPERATIONS DEPARTMENT</v>
      </c>
      <c r="F995" t="str">
        <f t="shared" si="410"/>
        <v>IBG</v>
      </c>
      <c r="G995" t="str">
        <f t="shared" si="423"/>
        <v>Refund COSHARE 10</v>
      </c>
      <c r="H995" s="2">
        <v>310.64999999999998</v>
      </c>
      <c r="I995" t="str">
        <f>"GOH CHEAN SEAN"</f>
        <v>GOH CHEAN SEAN</v>
      </c>
      <c r="J995" t="str">
        <f t="shared" si="401"/>
        <v>PUBLIC BANK / PUBLIC ISLAMIC BANK</v>
      </c>
      <c r="K995" t="str">
        <f>"6429549025"</f>
        <v>6429549025</v>
      </c>
      <c r="L995" t="str">
        <f t="shared" si="426"/>
        <v>04-08-2020</v>
      </c>
      <c r="M995" t="str">
        <f t="shared" si="426"/>
        <v>04-08-2020</v>
      </c>
      <c r="N995" t="str">
        <f t="shared" si="412"/>
        <v>001105018356</v>
      </c>
      <c r="O995" t="str">
        <f t="shared" si="413"/>
        <v>MYR</v>
      </c>
      <c r="P995" t="str">
        <f t="shared" si="427"/>
        <v>NIL</v>
      </c>
      <c r="Q995" t="str">
        <f t="shared" si="427"/>
        <v>NIL</v>
      </c>
      <c r="R995" t="str">
        <f t="shared" si="415"/>
        <v>Accepted</v>
      </c>
      <c r="S995" t="str">
        <f t="shared" si="416"/>
        <v>Approved</v>
      </c>
      <c r="T995" t="str">
        <f t="shared" si="417"/>
        <v>10.20.8.188</v>
      </c>
      <c r="U995" t="str">
        <f t="shared" si="418"/>
        <v>AZRAD UMAR BIN SHAARI</v>
      </c>
      <c r="V995" t="str">
        <f t="shared" si="419"/>
        <v>FARHANA BINTI MUSTAPA</v>
      </c>
      <c r="W995" t="str">
        <f t="shared" si="420"/>
        <v>04-08-2020</v>
      </c>
      <c r="X995" t="str">
        <f t="shared" si="421"/>
        <v>RAZIMAH ANSAR AHMAD</v>
      </c>
      <c r="Y995" t="str">
        <f t="shared" si="422"/>
        <v>04-08-2020</v>
      </c>
      <c r="Z995" t="str">
        <f>"COS10200804 8159"</f>
        <v>COS10200804 8159</v>
      </c>
    </row>
    <row r="996" spans="1:26" x14ac:dyDescent="0.25">
      <c r="A996" t="str">
        <f t="shared" si="424"/>
        <v>04-08-2020 01:09:43</v>
      </c>
      <c r="B996" t="str">
        <f>"0000809961"</f>
        <v>0000809961</v>
      </c>
      <c r="C996" t="str">
        <f t="shared" si="425"/>
        <v>0000809803</v>
      </c>
      <c r="D996" t="str">
        <f t="shared" si="408"/>
        <v>73185</v>
      </c>
      <c r="E996" t="str">
        <f t="shared" si="409"/>
        <v>KFH-OPERATIONS DEPARTMENT</v>
      </c>
      <c r="F996" t="str">
        <f t="shared" si="410"/>
        <v>IBG</v>
      </c>
      <c r="G996" t="str">
        <f t="shared" si="423"/>
        <v>Refund COSHARE 10</v>
      </c>
      <c r="H996" s="2">
        <v>705.2</v>
      </c>
      <c r="I996" t="str">
        <f>"GHAYATRY AP VARLIMUNIAN"</f>
        <v>GHAYATRY AP VARLIMUNIAN</v>
      </c>
      <c r="J996" t="str">
        <f t="shared" si="401"/>
        <v>PUBLIC BANK / PUBLIC ISLAMIC BANK</v>
      </c>
      <c r="K996" t="str">
        <f>"4748707106"</f>
        <v>4748707106</v>
      </c>
      <c r="L996" t="str">
        <f t="shared" si="426"/>
        <v>04-08-2020</v>
      </c>
      <c r="M996" t="str">
        <f t="shared" si="426"/>
        <v>04-08-2020</v>
      </c>
      <c r="N996" t="str">
        <f t="shared" si="412"/>
        <v>001105018356</v>
      </c>
      <c r="O996" t="str">
        <f t="shared" si="413"/>
        <v>MYR</v>
      </c>
      <c r="P996" t="str">
        <f t="shared" si="427"/>
        <v>NIL</v>
      </c>
      <c r="Q996" t="str">
        <f t="shared" si="427"/>
        <v>NIL</v>
      </c>
      <c r="R996" t="str">
        <f t="shared" si="415"/>
        <v>Accepted</v>
      </c>
      <c r="S996" t="str">
        <f t="shared" si="416"/>
        <v>Approved</v>
      </c>
      <c r="T996" t="str">
        <f t="shared" si="417"/>
        <v>10.20.8.188</v>
      </c>
      <c r="U996" t="str">
        <f t="shared" si="418"/>
        <v>AZRAD UMAR BIN SHAARI</v>
      </c>
      <c r="V996" t="str">
        <f t="shared" si="419"/>
        <v>FARHANA BINTI MUSTAPA</v>
      </c>
      <c r="W996" t="str">
        <f t="shared" si="420"/>
        <v>04-08-2020</v>
      </c>
      <c r="X996" t="str">
        <f t="shared" si="421"/>
        <v>RAZIMAH ANSAR AHMAD</v>
      </c>
      <c r="Y996" t="str">
        <f t="shared" si="422"/>
        <v>04-08-2020</v>
      </c>
      <c r="Z996" t="str">
        <f>"COS10200804 8158"</f>
        <v>COS10200804 8158</v>
      </c>
    </row>
    <row r="997" spans="1:26" x14ac:dyDescent="0.25">
      <c r="A997" t="str">
        <f t="shared" si="424"/>
        <v>04-08-2020 01:09:43</v>
      </c>
      <c r="B997" t="str">
        <f>"0000809960"</f>
        <v>0000809960</v>
      </c>
      <c r="C997" t="str">
        <f t="shared" si="425"/>
        <v>0000809803</v>
      </c>
      <c r="D997" t="str">
        <f t="shared" si="408"/>
        <v>73185</v>
      </c>
      <c r="E997" t="str">
        <f t="shared" si="409"/>
        <v>KFH-OPERATIONS DEPARTMENT</v>
      </c>
      <c r="F997" t="str">
        <f t="shared" si="410"/>
        <v>IBG</v>
      </c>
      <c r="G997" t="str">
        <f t="shared" si="423"/>
        <v>Refund COSHARE 10</v>
      </c>
      <c r="H997" s="2">
        <v>110</v>
      </c>
      <c r="I997" t="str">
        <f>"FRANCIS  FRANCIS ALI BIN HUSIN"</f>
        <v>FRANCIS  FRANCIS ALI BIN HUSIN</v>
      </c>
      <c r="J997" t="str">
        <f t="shared" ref="J997:J1040" si="428">"PUBLIC BANK / PUBLIC ISLAMIC BANK"</f>
        <v>PUBLIC BANK / PUBLIC ISLAMIC BANK</v>
      </c>
      <c r="K997" t="str">
        <f>"4964799221"</f>
        <v>4964799221</v>
      </c>
      <c r="L997" t="str">
        <f t="shared" si="426"/>
        <v>04-08-2020</v>
      </c>
      <c r="M997" t="str">
        <f t="shared" si="426"/>
        <v>04-08-2020</v>
      </c>
      <c r="N997" t="str">
        <f t="shared" si="412"/>
        <v>001105018356</v>
      </c>
      <c r="O997" t="str">
        <f t="shared" si="413"/>
        <v>MYR</v>
      </c>
      <c r="P997" t="str">
        <f t="shared" si="427"/>
        <v>NIL</v>
      </c>
      <c r="Q997" t="str">
        <f t="shared" si="427"/>
        <v>NIL</v>
      </c>
      <c r="R997" t="str">
        <f t="shared" si="415"/>
        <v>Accepted</v>
      </c>
      <c r="S997" t="str">
        <f t="shared" si="416"/>
        <v>Approved</v>
      </c>
      <c r="T997" t="str">
        <f t="shared" si="417"/>
        <v>10.20.8.188</v>
      </c>
      <c r="U997" t="str">
        <f t="shared" si="418"/>
        <v>AZRAD UMAR BIN SHAARI</v>
      </c>
      <c r="V997" t="str">
        <f t="shared" si="419"/>
        <v>FARHANA BINTI MUSTAPA</v>
      </c>
      <c r="W997" t="str">
        <f t="shared" si="420"/>
        <v>04-08-2020</v>
      </c>
      <c r="X997" t="str">
        <f t="shared" si="421"/>
        <v>RAZIMAH ANSAR AHMAD</v>
      </c>
      <c r="Y997" t="str">
        <f t="shared" si="422"/>
        <v>04-08-2020</v>
      </c>
      <c r="Z997" t="str">
        <f>"COS10200804 8157"</f>
        <v>COS10200804 8157</v>
      </c>
    </row>
    <row r="998" spans="1:26" x14ac:dyDescent="0.25">
      <c r="A998" t="str">
        <f t="shared" si="424"/>
        <v>04-08-2020 01:09:43</v>
      </c>
      <c r="B998" t="str">
        <f>"0000809959"</f>
        <v>0000809959</v>
      </c>
      <c r="C998" t="str">
        <f t="shared" si="425"/>
        <v>0000809803</v>
      </c>
      <c r="D998" t="str">
        <f t="shared" si="408"/>
        <v>73185</v>
      </c>
      <c r="E998" t="str">
        <f t="shared" si="409"/>
        <v>KFH-OPERATIONS DEPARTMENT</v>
      </c>
      <c r="F998" t="str">
        <f t="shared" si="410"/>
        <v>IBG</v>
      </c>
      <c r="G998" t="str">
        <f t="shared" si="423"/>
        <v>Refund COSHARE 10</v>
      </c>
      <c r="H998" s="2">
        <v>634.20000000000005</v>
      </c>
      <c r="I998" t="str">
        <f>"FLORENCIA BALAGUT  WINNIE"</f>
        <v>FLORENCIA BALAGUT  WINNIE</v>
      </c>
      <c r="J998" t="str">
        <f t="shared" si="428"/>
        <v>PUBLIC BANK / PUBLIC ISLAMIC BANK</v>
      </c>
      <c r="K998" t="str">
        <f>"4528561636"</f>
        <v>4528561636</v>
      </c>
      <c r="L998" t="str">
        <f t="shared" si="426"/>
        <v>04-08-2020</v>
      </c>
      <c r="M998" t="str">
        <f t="shared" si="426"/>
        <v>04-08-2020</v>
      </c>
      <c r="N998" t="str">
        <f t="shared" si="412"/>
        <v>001105018356</v>
      </c>
      <c r="O998" t="str">
        <f t="shared" si="413"/>
        <v>MYR</v>
      </c>
      <c r="P998" t="str">
        <f t="shared" si="427"/>
        <v>NIL</v>
      </c>
      <c r="Q998" t="str">
        <f t="shared" si="427"/>
        <v>NIL</v>
      </c>
      <c r="R998" t="str">
        <f t="shared" si="415"/>
        <v>Accepted</v>
      </c>
      <c r="S998" t="str">
        <f t="shared" si="416"/>
        <v>Approved</v>
      </c>
      <c r="T998" t="str">
        <f t="shared" si="417"/>
        <v>10.20.8.188</v>
      </c>
      <c r="U998" t="str">
        <f t="shared" si="418"/>
        <v>AZRAD UMAR BIN SHAARI</v>
      </c>
      <c r="V998" t="str">
        <f t="shared" si="419"/>
        <v>FARHANA BINTI MUSTAPA</v>
      </c>
      <c r="W998" t="str">
        <f t="shared" si="420"/>
        <v>04-08-2020</v>
      </c>
      <c r="X998" t="str">
        <f t="shared" si="421"/>
        <v>RAZIMAH ANSAR AHMAD</v>
      </c>
      <c r="Y998" t="str">
        <f t="shared" si="422"/>
        <v>04-08-2020</v>
      </c>
      <c r="Z998" t="str">
        <f>"COS10200804 8156"</f>
        <v>COS10200804 8156</v>
      </c>
    </row>
    <row r="999" spans="1:26" x14ac:dyDescent="0.25">
      <c r="A999" t="str">
        <f t="shared" si="424"/>
        <v>04-08-2020 01:09:43</v>
      </c>
      <c r="B999" t="str">
        <f>"0000809958"</f>
        <v>0000809958</v>
      </c>
      <c r="C999" t="str">
        <f t="shared" si="425"/>
        <v>0000809803</v>
      </c>
      <c r="D999" t="str">
        <f t="shared" si="408"/>
        <v>73185</v>
      </c>
      <c r="E999" t="str">
        <f t="shared" si="409"/>
        <v>KFH-OPERATIONS DEPARTMENT</v>
      </c>
      <c r="F999" t="str">
        <f t="shared" si="410"/>
        <v>IBG</v>
      </c>
      <c r="G999" t="str">
        <f t="shared" si="423"/>
        <v>Refund COSHARE 10</v>
      </c>
      <c r="H999" s="2">
        <v>511.65</v>
      </c>
      <c r="I999" t="str">
        <f>"FAUZIAH BINTI ZAWAWI"</f>
        <v>FAUZIAH BINTI ZAWAWI</v>
      </c>
      <c r="J999" t="str">
        <f t="shared" si="428"/>
        <v>PUBLIC BANK / PUBLIC ISLAMIC BANK</v>
      </c>
      <c r="K999" t="str">
        <f>"4942778323"</f>
        <v>4942778323</v>
      </c>
      <c r="L999" t="str">
        <f t="shared" si="426"/>
        <v>04-08-2020</v>
      </c>
      <c r="M999" t="str">
        <f t="shared" si="426"/>
        <v>04-08-2020</v>
      </c>
      <c r="N999" t="str">
        <f t="shared" si="412"/>
        <v>001105018356</v>
      </c>
      <c r="O999" t="str">
        <f t="shared" si="413"/>
        <v>MYR</v>
      </c>
      <c r="P999" t="str">
        <f t="shared" si="427"/>
        <v>NIL</v>
      </c>
      <c r="Q999" t="str">
        <f t="shared" si="427"/>
        <v>NIL</v>
      </c>
      <c r="R999" t="str">
        <f t="shared" si="415"/>
        <v>Accepted</v>
      </c>
      <c r="S999" t="str">
        <f t="shared" si="416"/>
        <v>Approved</v>
      </c>
      <c r="T999" t="str">
        <f t="shared" si="417"/>
        <v>10.20.8.188</v>
      </c>
      <c r="U999" t="str">
        <f t="shared" si="418"/>
        <v>AZRAD UMAR BIN SHAARI</v>
      </c>
      <c r="V999" t="str">
        <f t="shared" si="419"/>
        <v>FARHANA BINTI MUSTAPA</v>
      </c>
      <c r="W999" t="str">
        <f t="shared" si="420"/>
        <v>04-08-2020</v>
      </c>
      <c r="X999" t="str">
        <f t="shared" si="421"/>
        <v>RAZIMAH ANSAR AHMAD</v>
      </c>
      <c r="Y999" t="str">
        <f t="shared" si="422"/>
        <v>04-08-2020</v>
      </c>
      <c r="Z999" t="str">
        <f>"COS10200804 8155"</f>
        <v>COS10200804 8155</v>
      </c>
    </row>
    <row r="1000" spans="1:26" x14ac:dyDescent="0.25">
      <c r="A1000" t="str">
        <f t="shared" si="424"/>
        <v>04-08-2020 01:09:43</v>
      </c>
      <c r="B1000" t="str">
        <f>"0000809957"</f>
        <v>0000809957</v>
      </c>
      <c r="C1000" t="str">
        <f t="shared" si="425"/>
        <v>0000809803</v>
      </c>
      <c r="D1000" t="str">
        <f t="shared" si="408"/>
        <v>73185</v>
      </c>
      <c r="E1000" t="str">
        <f t="shared" si="409"/>
        <v>KFH-OPERATIONS DEPARTMENT</v>
      </c>
      <c r="F1000" t="str">
        <f t="shared" si="410"/>
        <v>IBG</v>
      </c>
      <c r="G1000" t="str">
        <f t="shared" si="423"/>
        <v>Refund COSHARE 10</v>
      </c>
      <c r="H1000" s="2">
        <v>1259</v>
      </c>
      <c r="I1000" t="str">
        <f>"EVLEN PANSIUL"</f>
        <v>EVLEN PANSIUL</v>
      </c>
      <c r="J1000" t="str">
        <f t="shared" si="428"/>
        <v>PUBLIC BANK / PUBLIC ISLAMIC BANK</v>
      </c>
      <c r="K1000" t="str">
        <f>"4342708435"</f>
        <v>4342708435</v>
      </c>
      <c r="L1000" t="str">
        <f t="shared" si="426"/>
        <v>04-08-2020</v>
      </c>
      <c r="M1000" t="str">
        <f t="shared" si="426"/>
        <v>04-08-2020</v>
      </c>
      <c r="N1000" t="str">
        <f t="shared" si="412"/>
        <v>001105018356</v>
      </c>
      <c r="O1000" t="str">
        <f t="shared" si="413"/>
        <v>MYR</v>
      </c>
      <c r="P1000" t="str">
        <f t="shared" si="427"/>
        <v>NIL</v>
      </c>
      <c r="Q1000" t="str">
        <f t="shared" si="427"/>
        <v>NIL</v>
      </c>
      <c r="R1000" t="str">
        <f t="shared" si="415"/>
        <v>Accepted</v>
      </c>
      <c r="S1000" t="str">
        <f t="shared" si="416"/>
        <v>Approved</v>
      </c>
      <c r="T1000" t="str">
        <f t="shared" si="417"/>
        <v>10.20.8.188</v>
      </c>
      <c r="U1000" t="str">
        <f t="shared" si="418"/>
        <v>AZRAD UMAR BIN SHAARI</v>
      </c>
      <c r="V1000" t="str">
        <f t="shared" si="419"/>
        <v>FARHANA BINTI MUSTAPA</v>
      </c>
      <c r="W1000" t="str">
        <f t="shared" si="420"/>
        <v>04-08-2020</v>
      </c>
      <c r="X1000" t="str">
        <f t="shared" si="421"/>
        <v>RAZIMAH ANSAR AHMAD</v>
      </c>
      <c r="Y1000" t="str">
        <f t="shared" si="422"/>
        <v>04-08-2020</v>
      </c>
      <c r="Z1000" t="str">
        <f>"COS10200804 8154"</f>
        <v>COS10200804 8154</v>
      </c>
    </row>
    <row r="1001" spans="1:26" x14ac:dyDescent="0.25">
      <c r="A1001" t="str">
        <f t="shared" si="424"/>
        <v>04-08-2020 01:09:43</v>
      </c>
      <c r="B1001" t="str">
        <f>"0000809956"</f>
        <v>0000809956</v>
      </c>
      <c r="C1001" t="str">
        <f t="shared" si="425"/>
        <v>0000809803</v>
      </c>
      <c r="D1001" t="str">
        <f t="shared" si="408"/>
        <v>73185</v>
      </c>
      <c r="E1001" t="str">
        <f t="shared" si="409"/>
        <v>KFH-OPERATIONS DEPARTMENT</v>
      </c>
      <c r="F1001" t="str">
        <f t="shared" si="410"/>
        <v>IBG</v>
      </c>
      <c r="G1001" t="str">
        <f t="shared" si="423"/>
        <v>Refund COSHARE 10</v>
      </c>
      <c r="H1001" s="2">
        <v>1647</v>
      </c>
      <c r="I1001" t="str">
        <f>"DULROSIDI BIN AHMAD"</f>
        <v>DULROSIDI BIN AHMAD</v>
      </c>
      <c r="J1001" t="str">
        <f t="shared" si="428"/>
        <v>PUBLIC BANK / PUBLIC ISLAMIC BANK</v>
      </c>
      <c r="K1001" t="str">
        <f>"6814540815"</f>
        <v>6814540815</v>
      </c>
      <c r="L1001" t="str">
        <f t="shared" si="426"/>
        <v>04-08-2020</v>
      </c>
      <c r="M1001" t="str">
        <f t="shared" si="426"/>
        <v>04-08-2020</v>
      </c>
      <c r="N1001" t="str">
        <f t="shared" si="412"/>
        <v>001105018356</v>
      </c>
      <c r="O1001" t="str">
        <f t="shared" si="413"/>
        <v>MYR</v>
      </c>
      <c r="P1001" t="str">
        <f t="shared" si="427"/>
        <v>NIL</v>
      </c>
      <c r="Q1001" t="str">
        <f t="shared" si="427"/>
        <v>NIL</v>
      </c>
      <c r="R1001" t="str">
        <f t="shared" si="415"/>
        <v>Accepted</v>
      </c>
      <c r="S1001" t="str">
        <f t="shared" si="416"/>
        <v>Approved</v>
      </c>
      <c r="T1001" t="str">
        <f t="shared" si="417"/>
        <v>10.20.8.188</v>
      </c>
      <c r="U1001" t="str">
        <f t="shared" si="418"/>
        <v>AZRAD UMAR BIN SHAARI</v>
      </c>
      <c r="V1001" t="str">
        <f t="shared" si="419"/>
        <v>FARHANA BINTI MUSTAPA</v>
      </c>
      <c r="W1001" t="str">
        <f t="shared" si="420"/>
        <v>04-08-2020</v>
      </c>
      <c r="X1001" t="str">
        <f t="shared" si="421"/>
        <v>RAZIMAH ANSAR AHMAD</v>
      </c>
      <c r="Y1001" t="str">
        <f t="shared" si="422"/>
        <v>04-08-2020</v>
      </c>
      <c r="Z1001" t="str">
        <f>"COS10200804 8153"</f>
        <v>COS10200804 8153</v>
      </c>
    </row>
    <row r="1002" spans="1:26" x14ac:dyDescent="0.25">
      <c r="A1002" t="str">
        <f t="shared" si="424"/>
        <v>04-08-2020 01:09:43</v>
      </c>
      <c r="B1002" t="str">
        <f>"0000809955"</f>
        <v>0000809955</v>
      </c>
      <c r="C1002" t="str">
        <f t="shared" si="425"/>
        <v>0000809803</v>
      </c>
      <c r="D1002" t="str">
        <f t="shared" si="408"/>
        <v>73185</v>
      </c>
      <c r="E1002" t="str">
        <f t="shared" si="409"/>
        <v>KFH-OPERATIONS DEPARTMENT</v>
      </c>
      <c r="F1002" t="str">
        <f t="shared" si="410"/>
        <v>IBG</v>
      </c>
      <c r="G1002" t="str">
        <f t="shared" si="423"/>
        <v>Refund COSHARE 10</v>
      </c>
      <c r="H1002" s="2">
        <v>594.79999999999995</v>
      </c>
      <c r="I1002" t="str">
        <f>"DG MASNIAH BINTI AG PIUT"</f>
        <v>DG MASNIAH BINTI AG PIUT</v>
      </c>
      <c r="J1002" t="str">
        <f t="shared" si="428"/>
        <v>PUBLIC BANK / PUBLIC ISLAMIC BANK</v>
      </c>
      <c r="K1002" t="str">
        <f>"4511860411"</f>
        <v>4511860411</v>
      </c>
      <c r="L1002" t="str">
        <f t="shared" si="426"/>
        <v>04-08-2020</v>
      </c>
      <c r="M1002" t="str">
        <f t="shared" si="426"/>
        <v>04-08-2020</v>
      </c>
      <c r="N1002" t="str">
        <f t="shared" si="412"/>
        <v>001105018356</v>
      </c>
      <c r="O1002" t="str">
        <f t="shared" si="413"/>
        <v>MYR</v>
      </c>
      <c r="P1002" t="str">
        <f t="shared" si="427"/>
        <v>NIL</v>
      </c>
      <c r="Q1002" t="str">
        <f t="shared" si="427"/>
        <v>NIL</v>
      </c>
      <c r="R1002" t="str">
        <f t="shared" si="415"/>
        <v>Accepted</v>
      </c>
      <c r="S1002" t="str">
        <f t="shared" si="416"/>
        <v>Approved</v>
      </c>
      <c r="T1002" t="str">
        <f t="shared" si="417"/>
        <v>10.20.8.188</v>
      </c>
      <c r="U1002" t="str">
        <f t="shared" si="418"/>
        <v>AZRAD UMAR BIN SHAARI</v>
      </c>
      <c r="V1002" t="str">
        <f t="shared" si="419"/>
        <v>FARHANA BINTI MUSTAPA</v>
      </c>
      <c r="W1002" t="str">
        <f t="shared" si="420"/>
        <v>04-08-2020</v>
      </c>
      <c r="X1002" t="str">
        <f t="shared" si="421"/>
        <v>RAZIMAH ANSAR AHMAD</v>
      </c>
      <c r="Y1002" t="str">
        <f t="shared" si="422"/>
        <v>04-08-2020</v>
      </c>
      <c r="Z1002" t="str">
        <f>"COS10200804 8152"</f>
        <v>COS10200804 8152</v>
      </c>
    </row>
    <row r="1003" spans="1:26" x14ac:dyDescent="0.25">
      <c r="A1003" t="str">
        <f t="shared" si="424"/>
        <v>04-08-2020 01:09:43</v>
      </c>
      <c r="B1003" t="str">
        <f>"0000809954"</f>
        <v>0000809954</v>
      </c>
      <c r="C1003" t="str">
        <f t="shared" si="425"/>
        <v>0000809803</v>
      </c>
      <c r="D1003" t="str">
        <f t="shared" si="408"/>
        <v>73185</v>
      </c>
      <c r="E1003" t="str">
        <f t="shared" si="409"/>
        <v>KFH-OPERATIONS DEPARTMENT</v>
      </c>
      <c r="F1003" t="str">
        <f t="shared" si="410"/>
        <v>IBG</v>
      </c>
      <c r="G1003" t="str">
        <f t="shared" si="423"/>
        <v>Refund COSHARE 10</v>
      </c>
      <c r="H1003" s="2">
        <v>1173.7</v>
      </c>
      <c r="I1003" t="str">
        <f>"DG FATIMAH BINTI AG SALLEH"</f>
        <v>DG FATIMAH BINTI AG SALLEH</v>
      </c>
      <c r="J1003" t="str">
        <f t="shared" si="428"/>
        <v>PUBLIC BANK / PUBLIC ISLAMIC BANK</v>
      </c>
      <c r="K1003" t="str">
        <f>"4111767426"</f>
        <v>4111767426</v>
      </c>
      <c r="L1003" t="str">
        <f t="shared" si="426"/>
        <v>04-08-2020</v>
      </c>
      <c r="M1003" t="str">
        <f t="shared" si="426"/>
        <v>04-08-2020</v>
      </c>
      <c r="N1003" t="str">
        <f t="shared" si="412"/>
        <v>001105018356</v>
      </c>
      <c r="O1003" t="str">
        <f t="shared" si="413"/>
        <v>MYR</v>
      </c>
      <c r="P1003" t="str">
        <f t="shared" si="427"/>
        <v>NIL</v>
      </c>
      <c r="Q1003" t="str">
        <f t="shared" si="427"/>
        <v>NIL</v>
      </c>
      <c r="R1003" t="str">
        <f t="shared" si="415"/>
        <v>Accepted</v>
      </c>
      <c r="S1003" t="str">
        <f t="shared" si="416"/>
        <v>Approved</v>
      </c>
      <c r="T1003" t="str">
        <f t="shared" si="417"/>
        <v>10.20.8.188</v>
      </c>
      <c r="U1003" t="str">
        <f t="shared" si="418"/>
        <v>AZRAD UMAR BIN SHAARI</v>
      </c>
      <c r="V1003" t="str">
        <f t="shared" si="419"/>
        <v>FARHANA BINTI MUSTAPA</v>
      </c>
      <c r="W1003" t="str">
        <f t="shared" si="420"/>
        <v>04-08-2020</v>
      </c>
      <c r="X1003" t="str">
        <f t="shared" si="421"/>
        <v>RAZIMAH ANSAR AHMAD</v>
      </c>
      <c r="Y1003" t="str">
        <f t="shared" si="422"/>
        <v>04-08-2020</v>
      </c>
      <c r="Z1003" t="str">
        <f>"COS10200804 8151"</f>
        <v>COS10200804 8151</v>
      </c>
    </row>
    <row r="1004" spans="1:26" x14ac:dyDescent="0.25">
      <c r="A1004" t="str">
        <f t="shared" si="424"/>
        <v>04-08-2020 01:09:43</v>
      </c>
      <c r="B1004" t="str">
        <f>"0000809953"</f>
        <v>0000809953</v>
      </c>
      <c r="C1004" t="str">
        <f t="shared" si="425"/>
        <v>0000809803</v>
      </c>
      <c r="D1004" t="str">
        <f t="shared" si="408"/>
        <v>73185</v>
      </c>
      <c r="E1004" t="str">
        <f t="shared" si="409"/>
        <v>KFH-OPERATIONS DEPARTMENT</v>
      </c>
      <c r="F1004" t="str">
        <f t="shared" si="410"/>
        <v>IBG</v>
      </c>
      <c r="G1004" t="str">
        <f t="shared" si="423"/>
        <v>Refund COSHARE 10</v>
      </c>
      <c r="H1004" s="2">
        <v>63</v>
      </c>
      <c r="I1004" t="str">
        <f>"DG ARPIAH BINTI PG AHMAD"</f>
        <v>DG ARPIAH BINTI PG AHMAD</v>
      </c>
      <c r="J1004" t="str">
        <f t="shared" si="428"/>
        <v>PUBLIC BANK / PUBLIC ISLAMIC BANK</v>
      </c>
      <c r="K1004" t="str">
        <f>"4023337624"</f>
        <v>4023337624</v>
      </c>
      <c r="L1004" t="str">
        <f t="shared" si="426"/>
        <v>04-08-2020</v>
      </c>
      <c r="M1004" t="str">
        <f t="shared" si="426"/>
        <v>04-08-2020</v>
      </c>
      <c r="N1004" t="str">
        <f t="shared" si="412"/>
        <v>001105018356</v>
      </c>
      <c r="O1004" t="str">
        <f t="shared" si="413"/>
        <v>MYR</v>
      </c>
      <c r="P1004" t="str">
        <f t="shared" si="427"/>
        <v>NIL</v>
      </c>
      <c r="Q1004" t="str">
        <f t="shared" si="427"/>
        <v>NIL</v>
      </c>
      <c r="R1004" t="str">
        <f t="shared" si="415"/>
        <v>Accepted</v>
      </c>
      <c r="S1004" t="str">
        <f t="shared" si="416"/>
        <v>Approved</v>
      </c>
      <c r="T1004" t="str">
        <f t="shared" si="417"/>
        <v>10.20.8.188</v>
      </c>
      <c r="U1004" t="str">
        <f t="shared" si="418"/>
        <v>AZRAD UMAR BIN SHAARI</v>
      </c>
      <c r="V1004" t="str">
        <f t="shared" si="419"/>
        <v>FARHANA BINTI MUSTAPA</v>
      </c>
      <c r="W1004" t="str">
        <f t="shared" si="420"/>
        <v>04-08-2020</v>
      </c>
      <c r="X1004" t="str">
        <f t="shared" si="421"/>
        <v>RAZIMAH ANSAR AHMAD</v>
      </c>
      <c r="Y1004" t="str">
        <f t="shared" si="422"/>
        <v>04-08-2020</v>
      </c>
      <c r="Z1004" t="str">
        <f>"COS10200804 8150"</f>
        <v>COS10200804 8150</v>
      </c>
    </row>
    <row r="1005" spans="1:26" x14ac:dyDescent="0.25">
      <c r="A1005" t="str">
        <f t="shared" si="424"/>
        <v>04-08-2020 01:09:43</v>
      </c>
      <c r="B1005" t="str">
        <f>"0000809952"</f>
        <v>0000809952</v>
      </c>
      <c r="C1005" t="str">
        <f t="shared" si="425"/>
        <v>0000809803</v>
      </c>
      <c r="D1005" t="str">
        <f t="shared" si="408"/>
        <v>73185</v>
      </c>
      <c r="E1005" t="str">
        <f t="shared" si="409"/>
        <v>KFH-OPERATIONS DEPARTMENT</v>
      </c>
      <c r="F1005" t="str">
        <f t="shared" si="410"/>
        <v>IBG</v>
      </c>
      <c r="G1005" t="str">
        <f t="shared" si="423"/>
        <v>Refund COSHARE 10</v>
      </c>
      <c r="H1005" s="2">
        <v>865</v>
      </c>
      <c r="I1005" t="str">
        <f>"DAYANG SARUJA BINTI GADOR"</f>
        <v>DAYANG SARUJA BINTI GADOR</v>
      </c>
      <c r="J1005" t="str">
        <f t="shared" si="428"/>
        <v>PUBLIC BANK / PUBLIC ISLAMIC BANK</v>
      </c>
      <c r="K1005" t="str">
        <f>"4805200427"</f>
        <v>4805200427</v>
      </c>
      <c r="L1005" t="str">
        <f t="shared" si="426"/>
        <v>04-08-2020</v>
      </c>
      <c r="M1005" t="str">
        <f t="shared" si="426"/>
        <v>04-08-2020</v>
      </c>
      <c r="N1005" t="str">
        <f t="shared" si="412"/>
        <v>001105018356</v>
      </c>
      <c r="O1005" t="str">
        <f t="shared" si="413"/>
        <v>MYR</v>
      </c>
      <c r="P1005" t="str">
        <f t="shared" si="427"/>
        <v>NIL</v>
      </c>
      <c r="Q1005" t="str">
        <f t="shared" si="427"/>
        <v>NIL</v>
      </c>
      <c r="R1005" t="str">
        <f t="shared" si="415"/>
        <v>Accepted</v>
      </c>
      <c r="S1005" t="str">
        <f t="shared" si="416"/>
        <v>Approved</v>
      </c>
      <c r="T1005" t="str">
        <f t="shared" si="417"/>
        <v>10.20.8.188</v>
      </c>
      <c r="U1005" t="str">
        <f t="shared" si="418"/>
        <v>AZRAD UMAR BIN SHAARI</v>
      </c>
      <c r="V1005" t="str">
        <f t="shared" si="419"/>
        <v>FARHANA BINTI MUSTAPA</v>
      </c>
      <c r="W1005" t="str">
        <f t="shared" si="420"/>
        <v>04-08-2020</v>
      </c>
      <c r="X1005" t="str">
        <f t="shared" si="421"/>
        <v>RAZIMAH ANSAR AHMAD</v>
      </c>
      <c r="Y1005" t="str">
        <f t="shared" si="422"/>
        <v>04-08-2020</v>
      </c>
      <c r="Z1005" t="str">
        <f>"COS10200804 8149"</f>
        <v>COS10200804 8149</v>
      </c>
    </row>
    <row r="1006" spans="1:26" x14ac:dyDescent="0.25">
      <c r="A1006" t="str">
        <f t="shared" si="424"/>
        <v>04-08-2020 01:09:43</v>
      </c>
      <c r="B1006" t="str">
        <f>"0000809951"</f>
        <v>0000809951</v>
      </c>
      <c r="C1006" t="str">
        <f t="shared" si="425"/>
        <v>0000809803</v>
      </c>
      <c r="D1006" t="str">
        <f t="shared" si="408"/>
        <v>73185</v>
      </c>
      <c r="E1006" t="str">
        <f t="shared" si="409"/>
        <v>KFH-OPERATIONS DEPARTMENT</v>
      </c>
      <c r="F1006" t="str">
        <f t="shared" si="410"/>
        <v>IBG</v>
      </c>
      <c r="G1006" t="str">
        <f t="shared" si="423"/>
        <v>Refund COSHARE 10</v>
      </c>
      <c r="H1006" s="2">
        <v>2046.55</v>
      </c>
      <c r="I1006" t="str">
        <f>"DAYANG ARIFAH BINTI AHMAD"</f>
        <v>DAYANG ARIFAH BINTI AHMAD</v>
      </c>
      <c r="J1006" t="str">
        <f t="shared" si="428"/>
        <v>PUBLIC BANK / PUBLIC ISLAMIC BANK</v>
      </c>
      <c r="K1006" t="str">
        <f>"4970089617"</f>
        <v>4970089617</v>
      </c>
      <c r="L1006" t="str">
        <f t="shared" si="426"/>
        <v>04-08-2020</v>
      </c>
      <c r="M1006" t="str">
        <f t="shared" si="426"/>
        <v>04-08-2020</v>
      </c>
      <c r="N1006" t="str">
        <f t="shared" si="412"/>
        <v>001105018356</v>
      </c>
      <c r="O1006" t="str">
        <f t="shared" si="413"/>
        <v>MYR</v>
      </c>
      <c r="P1006" t="str">
        <f t="shared" si="427"/>
        <v>NIL</v>
      </c>
      <c r="Q1006" t="str">
        <f t="shared" si="427"/>
        <v>NIL</v>
      </c>
      <c r="R1006" t="str">
        <f t="shared" si="415"/>
        <v>Accepted</v>
      </c>
      <c r="S1006" t="str">
        <f t="shared" si="416"/>
        <v>Approved</v>
      </c>
      <c r="T1006" t="str">
        <f t="shared" si="417"/>
        <v>10.20.8.188</v>
      </c>
      <c r="U1006" t="str">
        <f t="shared" si="418"/>
        <v>AZRAD UMAR BIN SHAARI</v>
      </c>
      <c r="V1006" t="str">
        <f t="shared" si="419"/>
        <v>FARHANA BINTI MUSTAPA</v>
      </c>
      <c r="W1006" t="str">
        <f t="shared" si="420"/>
        <v>04-08-2020</v>
      </c>
      <c r="X1006" t="str">
        <f t="shared" si="421"/>
        <v>RAZIMAH ANSAR AHMAD</v>
      </c>
      <c r="Y1006" t="str">
        <f t="shared" si="422"/>
        <v>04-08-2020</v>
      </c>
      <c r="Z1006" t="str">
        <f>"COS10200804 8148"</f>
        <v>COS10200804 8148</v>
      </c>
    </row>
    <row r="1007" spans="1:26" x14ac:dyDescent="0.25">
      <c r="A1007" t="str">
        <f t="shared" si="424"/>
        <v>04-08-2020 01:09:43</v>
      </c>
      <c r="B1007" t="str">
        <f>"0000809950"</f>
        <v>0000809950</v>
      </c>
      <c r="C1007" t="str">
        <f t="shared" si="425"/>
        <v>0000809803</v>
      </c>
      <c r="D1007" t="str">
        <f t="shared" si="408"/>
        <v>73185</v>
      </c>
      <c r="E1007" t="str">
        <f t="shared" si="409"/>
        <v>KFH-OPERATIONS DEPARTMENT</v>
      </c>
      <c r="F1007" t="str">
        <f t="shared" si="410"/>
        <v>IBG</v>
      </c>
      <c r="G1007" t="str">
        <f t="shared" si="423"/>
        <v>Refund COSHARE 10</v>
      </c>
      <c r="H1007" s="2">
        <v>545.70000000000005</v>
      </c>
      <c r="I1007" t="str">
        <f>"DARUS BIN DARAHIM"</f>
        <v>DARUS BIN DARAHIM</v>
      </c>
      <c r="J1007" t="str">
        <f t="shared" si="428"/>
        <v>PUBLIC BANK / PUBLIC ISLAMIC BANK</v>
      </c>
      <c r="K1007" t="str">
        <f>"4841011809"</f>
        <v>4841011809</v>
      </c>
      <c r="L1007" t="str">
        <f t="shared" ref="L1007:M1026" si="429">"04-08-2020"</f>
        <v>04-08-2020</v>
      </c>
      <c r="M1007" t="str">
        <f t="shared" si="429"/>
        <v>04-08-2020</v>
      </c>
      <c r="N1007" t="str">
        <f t="shared" si="412"/>
        <v>001105018356</v>
      </c>
      <c r="O1007" t="str">
        <f t="shared" si="413"/>
        <v>MYR</v>
      </c>
      <c r="P1007" t="str">
        <f t="shared" ref="P1007:Q1026" si="430">"NIL"</f>
        <v>NIL</v>
      </c>
      <c r="Q1007" t="str">
        <f t="shared" si="430"/>
        <v>NIL</v>
      </c>
      <c r="R1007" t="str">
        <f t="shared" si="415"/>
        <v>Accepted</v>
      </c>
      <c r="S1007" t="str">
        <f t="shared" si="416"/>
        <v>Approved</v>
      </c>
      <c r="T1007" t="str">
        <f t="shared" si="417"/>
        <v>10.20.8.188</v>
      </c>
      <c r="U1007" t="str">
        <f t="shared" si="418"/>
        <v>AZRAD UMAR BIN SHAARI</v>
      </c>
      <c r="V1007" t="str">
        <f t="shared" si="419"/>
        <v>FARHANA BINTI MUSTAPA</v>
      </c>
      <c r="W1007" t="str">
        <f t="shared" si="420"/>
        <v>04-08-2020</v>
      </c>
      <c r="X1007" t="str">
        <f t="shared" si="421"/>
        <v>RAZIMAH ANSAR AHMAD</v>
      </c>
      <c r="Y1007" t="str">
        <f t="shared" si="422"/>
        <v>04-08-2020</v>
      </c>
      <c r="Z1007" t="str">
        <f>"COS10200804 8147"</f>
        <v>COS10200804 8147</v>
      </c>
    </row>
    <row r="1008" spans="1:26" x14ac:dyDescent="0.25">
      <c r="A1008" t="str">
        <f t="shared" si="424"/>
        <v>04-08-2020 01:09:43</v>
      </c>
      <c r="B1008" t="str">
        <f>"0000809949"</f>
        <v>0000809949</v>
      </c>
      <c r="C1008" t="str">
        <f t="shared" si="425"/>
        <v>0000809803</v>
      </c>
      <c r="D1008" t="str">
        <f t="shared" si="408"/>
        <v>73185</v>
      </c>
      <c r="E1008" t="str">
        <f t="shared" si="409"/>
        <v>KFH-OPERATIONS DEPARTMENT</v>
      </c>
      <c r="F1008" t="str">
        <f t="shared" si="410"/>
        <v>IBG</v>
      </c>
      <c r="G1008" t="str">
        <f t="shared" si="423"/>
        <v>Refund COSHARE 10</v>
      </c>
      <c r="H1008" s="2">
        <v>251.85</v>
      </c>
      <c r="I1008" t="str">
        <f>"DANNY BIN EKU"</f>
        <v>DANNY BIN EKU</v>
      </c>
      <c r="J1008" t="str">
        <f t="shared" si="428"/>
        <v>PUBLIC BANK / PUBLIC ISLAMIC BANK</v>
      </c>
      <c r="K1008" t="str">
        <f>"4827185408"</f>
        <v>4827185408</v>
      </c>
      <c r="L1008" t="str">
        <f t="shared" si="429"/>
        <v>04-08-2020</v>
      </c>
      <c r="M1008" t="str">
        <f t="shared" si="429"/>
        <v>04-08-2020</v>
      </c>
      <c r="N1008" t="str">
        <f t="shared" si="412"/>
        <v>001105018356</v>
      </c>
      <c r="O1008" t="str">
        <f t="shared" si="413"/>
        <v>MYR</v>
      </c>
      <c r="P1008" t="str">
        <f t="shared" si="430"/>
        <v>NIL</v>
      </c>
      <c r="Q1008" t="str">
        <f t="shared" si="430"/>
        <v>NIL</v>
      </c>
      <c r="R1008" t="str">
        <f t="shared" si="415"/>
        <v>Accepted</v>
      </c>
      <c r="S1008" t="str">
        <f t="shared" si="416"/>
        <v>Approved</v>
      </c>
      <c r="T1008" t="str">
        <f t="shared" si="417"/>
        <v>10.20.8.188</v>
      </c>
      <c r="U1008" t="str">
        <f t="shared" si="418"/>
        <v>AZRAD UMAR BIN SHAARI</v>
      </c>
      <c r="V1008" t="str">
        <f t="shared" si="419"/>
        <v>FARHANA BINTI MUSTAPA</v>
      </c>
      <c r="W1008" t="str">
        <f t="shared" si="420"/>
        <v>04-08-2020</v>
      </c>
      <c r="X1008" t="str">
        <f t="shared" si="421"/>
        <v>RAZIMAH ANSAR AHMAD</v>
      </c>
      <c r="Y1008" t="str">
        <f t="shared" si="422"/>
        <v>04-08-2020</v>
      </c>
      <c r="Z1008" t="str">
        <f>"COS10200804 8146"</f>
        <v>COS10200804 8146</v>
      </c>
    </row>
    <row r="1009" spans="1:26" x14ac:dyDescent="0.25">
      <c r="A1009" t="str">
        <f t="shared" si="424"/>
        <v>04-08-2020 01:09:43</v>
      </c>
      <c r="B1009" t="str">
        <f>"0000809948"</f>
        <v>0000809948</v>
      </c>
      <c r="C1009" t="str">
        <f t="shared" si="425"/>
        <v>0000809803</v>
      </c>
      <c r="D1009" t="str">
        <f t="shared" si="408"/>
        <v>73185</v>
      </c>
      <c r="E1009" t="str">
        <f t="shared" si="409"/>
        <v>KFH-OPERATIONS DEPARTMENT</v>
      </c>
      <c r="F1009" t="str">
        <f t="shared" si="410"/>
        <v>IBG</v>
      </c>
      <c r="G1009" t="str">
        <f t="shared" si="423"/>
        <v>Refund COSHARE 10</v>
      </c>
      <c r="H1009" s="2">
        <v>434</v>
      </c>
      <c r="I1009" t="str">
        <f>"CHONG WEI LEE"</f>
        <v>CHONG WEI LEE</v>
      </c>
      <c r="J1009" t="str">
        <f t="shared" si="428"/>
        <v>PUBLIC BANK / PUBLIC ISLAMIC BANK</v>
      </c>
      <c r="K1009" t="str">
        <f>"6982747928"</f>
        <v>6982747928</v>
      </c>
      <c r="L1009" t="str">
        <f t="shared" si="429"/>
        <v>04-08-2020</v>
      </c>
      <c r="M1009" t="str">
        <f t="shared" si="429"/>
        <v>04-08-2020</v>
      </c>
      <c r="N1009" t="str">
        <f t="shared" si="412"/>
        <v>001105018356</v>
      </c>
      <c r="O1009" t="str">
        <f t="shared" si="413"/>
        <v>MYR</v>
      </c>
      <c r="P1009" t="str">
        <f t="shared" si="430"/>
        <v>NIL</v>
      </c>
      <c r="Q1009" t="str">
        <f t="shared" si="430"/>
        <v>NIL</v>
      </c>
      <c r="R1009" t="str">
        <f t="shared" si="415"/>
        <v>Accepted</v>
      </c>
      <c r="S1009" t="str">
        <f t="shared" si="416"/>
        <v>Approved</v>
      </c>
      <c r="T1009" t="str">
        <f t="shared" si="417"/>
        <v>10.20.8.188</v>
      </c>
      <c r="U1009" t="str">
        <f t="shared" si="418"/>
        <v>AZRAD UMAR BIN SHAARI</v>
      </c>
      <c r="V1009" t="str">
        <f t="shared" si="419"/>
        <v>FARHANA BINTI MUSTAPA</v>
      </c>
      <c r="W1009" t="str">
        <f t="shared" si="420"/>
        <v>04-08-2020</v>
      </c>
      <c r="X1009" t="str">
        <f t="shared" si="421"/>
        <v>RAZIMAH ANSAR AHMAD</v>
      </c>
      <c r="Y1009" t="str">
        <f t="shared" si="422"/>
        <v>04-08-2020</v>
      </c>
      <c r="Z1009" t="str">
        <f>"COS10200804 8145"</f>
        <v>COS10200804 8145</v>
      </c>
    </row>
    <row r="1010" spans="1:26" x14ac:dyDescent="0.25">
      <c r="A1010" t="str">
        <f t="shared" si="424"/>
        <v>04-08-2020 01:09:43</v>
      </c>
      <c r="B1010" t="str">
        <f>"0000809947"</f>
        <v>0000809947</v>
      </c>
      <c r="C1010" t="str">
        <f t="shared" si="425"/>
        <v>0000809803</v>
      </c>
      <c r="D1010" t="str">
        <f t="shared" si="408"/>
        <v>73185</v>
      </c>
      <c r="E1010" t="str">
        <f t="shared" si="409"/>
        <v>KFH-OPERATIONS DEPARTMENT</v>
      </c>
      <c r="F1010" t="str">
        <f t="shared" si="410"/>
        <v>IBG</v>
      </c>
      <c r="G1010" t="str">
        <f t="shared" si="423"/>
        <v>Refund COSHARE 10</v>
      </c>
      <c r="H1010" s="2">
        <v>256.2</v>
      </c>
      <c r="I1010" t="str">
        <f>"CHIN FOOK ON  ROBERT"</f>
        <v>CHIN FOOK ON  ROBERT</v>
      </c>
      <c r="J1010" t="str">
        <f t="shared" si="428"/>
        <v>PUBLIC BANK / PUBLIC ISLAMIC BANK</v>
      </c>
      <c r="K1010" t="str">
        <f>"4954094520"</f>
        <v>4954094520</v>
      </c>
      <c r="L1010" t="str">
        <f t="shared" si="429"/>
        <v>04-08-2020</v>
      </c>
      <c r="M1010" t="str">
        <f t="shared" si="429"/>
        <v>04-08-2020</v>
      </c>
      <c r="N1010" t="str">
        <f t="shared" si="412"/>
        <v>001105018356</v>
      </c>
      <c r="O1010" t="str">
        <f t="shared" si="413"/>
        <v>MYR</v>
      </c>
      <c r="P1010" t="str">
        <f t="shared" si="430"/>
        <v>NIL</v>
      </c>
      <c r="Q1010" t="str">
        <f t="shared" si="430"/>
        <v>NIL</v>
      </c>
      <c r="R1010" t="str">
        <f t="shared" si="415"/>
        <v>Accepted</v>
      </c>
      <c r="S1010" t="str">
        <f t="shared" si="416"/>
        <v>Approved</v>
      </c>
      <c r="T1010" t="str">
        <f t="shared" si="417"/>
        <v>10.20.8.188</v>
      </c>
      <c r="U1010" t="str">
        <f t="shared" si="418"/>
        <v>AZRAD UMAR BIN SHAARI</v>
      </c>
      <c r="V1010" t="str">
        <f t="shared" si="419"/>
        <v>FARHANA BINTI MUSTAPA</v>
      </c>
      <c r="W1010" t="str">
        <f t="shared" si="420"/>
        <v>04-08-2020</v>
      </c>
      <c r="X1010" t="str">
        <f t="shared" si="421"/>
        <v>RAZIMAH ANSAR AHMAD</v>
      </c>
      <c r="Y1010" t="str">
        <f t="shared" si="422"/>
        <v>04-08-2020</v>
      </c>
      <c r="Z1010" t="str">
        <f>"COS10200804 8144"</f>
        <v>COS10200804 8144</v>
      </c>
    </row>
    <row r="1011" spans="1:26" x14ac:dyDescent="0.25">
      <c r="A1011" t="str">
        <f t="shared" si="424"/>
        <v>04-08-2020 01:09:43</v>
      </c>
      <c r="B1011" t="str">
        <f>"0000809946"</f>
        <v>0000809946</v>
      </c>
      <c r="C1011" t="str">
        <f t="shared" si="425"/>
        <v>0000809803</v>
      </c>
      <c r="D1011" t="str">
        <f t="shared" si="408"/>
        <v>73185</v>
      </c>
      <c r="E1011" t="str">
        <f t="shared" si="409"/>
        <v>KFH-OPERATIONS DEPARTMENT</v>
      </c>
      <c r="F1011" t="str">
        <f t="shared" si="410"/>
        <v>IBG</v>
      </c>
      <c r="G1011" t="str">
        <f t="shared" si="423"/>
        <v>Refund COSHARE 10</v>
      </c>
      <c r="H1011" s="2">
        <v>1443.95</v>
      </c>
      <c r="I1011" t="str">
        <f>"CHARLOTTE FAYE RAYNOLD"</f>
        <v>CHARLOTTE FAYE RAYNOLD</v>
      </c>
      <c r="J1011" t="str">
        <f t="shared" si="428"/>
        <v>PUBLIC BANK / PUBLIC ISLAMIC BANK</v>
      </c>
      <c r="K1011" t="str">
        <f>"4768466530"</f>
        <v>4768466530</v>
      </c>
      <c r="L1011" t="str">
        <f t="shared" si="429"/>
        <v>04-08-2020</v>
      </c>
      <c r="M1011" t="str">
        <f t="shared" si="429"/>
        <v>04-08-2020</v>
      </c>
      <c r="N1011" t="str">
        <f t="shared" si="412"/>
        <v>001105018356</v>
      </c>
      <c r="O1011" t="str">
        <f t="shared" si="413"/>
        <v>MYR</v>
      </c>
      <c r="P1011" t="str">
        <f t="shared" si="430"/>
        <v>NIL</v>
      </c>
      <c r="Q1011" t="str">
        <f t="shared" si="430"/>
        <v>NIL</v>
      </c>
      <c r="R1011" t="str">
        <f t="shared" si="415"/>
        <v>Accepted</v>
      </c>
      <c r="S1011" t="str">
        <f t="shared" si="416"/>
        <v>Approved</v>
      </c>
      <c r="T1011" t="str">
        <f t="shared" si="417"/>
        <v>10.20.8.188</v>
      </c>
      <c r="U1011" t="str">
        <f t="shared" si="418"/>
        <v>AZRAD UMAR BIN SHAARI</v>
      </c>
      <c r="V1011" t="str">
        <f t="shared" si="419"/>
        <v>FARHANA BINTI MUSTAPA</v>
      </c>
      <c r="W1011" t="str">
        <f t="shared" si="420"/>
        <v>04-08-2020</v>
      </c>
      <c r="X1011" t="str">
        <f t="shared" si="421"/>
        <v>RAZIMAH ANSAR AHMAD</v>
      </c>
      <c r="Y1011" t="str">
        <f t="shared" si="422"/>
        <v>04-08-2020</v>
      </c>
      <c r="Z1011" t="str">
        <f>"COS10200804 8143"</f>
        <v>COS10200804 8143</v>
      </c>
    </row>
    <row r="1012" spans="1:26" x14ac:dyDescent="0.25">
      <c r="A1012" t="str">
        <f t="shared" si="424"/>
        <v>04-08-2020 01:09:43</v>
      </c>
      <c r="B1012" t="str">
        <f>"0000809945"</f>
        <v>0000809945</v>
      </c>
      <c r="C1012" t="str">
        <f t="shared" si="425"/>
        <v>0000809803</v>
      </c>
      <c r="D1012" t="str">
        <f t="shared" si="408"/>
        <v>73185</v>
      </c>
      <c r="E1012" t="str">
        <f t="shared" si="409"/>
        <v>KFH-OPERATIONS DEPARTMENT</v>
      </c>
      <c r="F1012" t="str">
        <f t="shared" si="410"/>
        <v>IBG</v>
      </c>
      <c r="G1012" t="str">
        <f t="shared" si="423"/>
        <v>Refund COSHARE 10</v>
      </c>
      <c r="H1012" s="2">
        <v>251.85</v>
      </c>
      <c r="I1012" t="str">
        <f>"CELISTINA YANTI LABO"</f>
        <v>CELISTINA YANTI LABO</v>
      </c>
      <c r="J1012" t="str">
        <f t="shared" si="428"/>
        <v>PUBLIC BANK / PUBLIC ISLAMIC BANK</v>
      </c>
      <c r="K1012" t="str">
        <f>"4860092413"</f>
        <v>4860092413</v>
      </c>
      <c r="L1012" t="str">
        <f t="shared" si="429"/>
        <v>04-08-2020</v>
      </c>
      <c r="M1012" t="str">
        <f t="shared" si="429"/>
        <v>04-08-2020</v>
      </c>
      <c r="N1012" t="str">
        <f t="shared" si="412"/>
        <v>001105018356</v>
      </c>
      <c r="O1012" t="str">
        <f t="shared" si="413"/>
        <v>MYR</v>
      </c>
      <c r="P1012" t="str">
        <f t="shared" si="430"/>
        <v>NIL</v>
      </c>
      <c r="Q1012" t="str">
        <f t="shared" si="430"/>
        <v>NIL</v>
      </c>
      <c r="R1012" t="str">
        <f t="shared" si="415"/>
        <v>Accepted</v>
      </c>
      <c r="S1012" t="str">
        <f t="shared" si="416"/>
        <v>Approved</v>
      </c>
      <c r="T1012" t="str">
        <f t="shared" si="417"/>
        <v>10.20.8.188</v>
      </c>
      <c r="U1012" t="str">
        <f t="shared" si="418"/>
        <v>AZRAD UMAR BIN SHAARI</v>
      </c>
      <c r="V1012" t="str">
        <f t="shared" si="419"/>
        <v>FARHANA BINTI MUSTAPA</v>
      </c>
      <c r="W1012" t="str">
        <f t="shared" si="420"/>
        <v>04-08-2020</v>
      </c>
      <c r="X1012" t="str">
        <f t="shared" si="421"/>
        <v>RAZIMAH ANSAR AHMAD</v>
      </c>
      <c r="Y1012" t="str">
        <f t="shared" si="422"/>
        <v>04-08-2020</v>
      </c>
      <c r="Z1012" t="str">
        <f>"COS10200804 8142"</f>
        <v>COS10200804 8142</v>
      </c>
    </row>
    <row r="1013" spans="1:26" x14ac:dyDescent="0.25">
      <c r="A1013" t="str">
        <f t="shared" si="424"/>
        <v>04-08-2020 01:09:43</v>
      </c>
      <c r="B1013" t="str">
        <f>"0000809944"</f>
        <v>0000809944</v>
      </c>
      <c r="C1013" t="str">
        <f t="shared" si="425"/>
        <v>0000809803</v>
      </c>
      <c r="D1013" t="str">
        <f t="shared" si="408"/>
        <v>73185</v>
      </c>
      <c r="E1013" t="str">
        <f t="shared" si="409"/>
        <v>KFH-OPERATIONS DEPARTMENT</v>
      </c>
      <c r="F1013" t="str">
        <f t="shared" si="410"/>
        <v>IBG</v>
      </c>
      <c r="G1013" t="str">
        <f t="shared" si="423"/>
        <v>Refund COSHARE 10</v>
      </c>
      <c r="H1013" s="2">
        <v>1679</v>
      </c>
      <c r="I1013" t="str">
        <f>"CAROL SYLVESTER THARIN"</f>
        <v>CAROL SYLVESTER THARIN</v>
      </c>
      <c r="J1013" t="str">
        <f t="shared" si="428"/>
        <v>PUBLIC BANK / PUBLIC ISLAMIC BANK</v>
      </c>
      <c r="K1013" t="str">
        <f>"4807214508"</f>
        <v>4807214508</v>
      </c>
      <c r="L1013" t="str">
        <f t="shared" si="429"/>
        <v>04-08-2020</v>
      </c>
      <c r="M1013" t="str">
        <f t="shared" si="429"/>
        <v>04-08-2020</v>
      </c>
      <c r="N1013" t="str">
        <f t="shared" si="412"/>
        <v>001105018356</v>
      </c>
      <c r="O1013" t="str">
        <f t="shared" si="413"/>
        <v>MYR</v>
      </c>
      <c r="P1013" t="str">
        <f t="shared" si="430"/>
        <v>NIL</v>
      </c>
      <c r="Q1013" t="str">
        <f t="shared" si="430"/>
        <v>NIL</v>
      </c>
      <c r="R1013" t="str">
        <f t="shared" si="415"/>
        <v>Accepted</v>
      </c>
      <c r="S1013" t="str">
        <f t="shared" si="416"/>
        <v>Approved</v>
      </c>
      <c r="T1013" t="str">
        <f t="shared" si="417"/>
        <v>10.20.8.188</v>
      </c>
      <c r="U1013" t="str">
        <f t="shared" si="418"/>
        <v>AZRAD UMAR BIN SHAARI</v>
      </c>
      <c r="V1013" t="str">
        <f t="shared" si="419"/>
        <v>FARHANA BINTI MUSTAPA</v>
      </c>
      <c r="W1013" t="str">
        <f t="shared" si="420"/>
        <v>04-08-2020</v>
      </c>
      <c r="X1013" t="str">
        <f t="shared" si="421"/>
        <v>RAZIMAH ANSAR AHMAD</v>
      </c>
      <c r="Y1013" t="str">
        <f t="shared" si="422"/>
        <v>04-08-2020</v>
      </c>
      <c r="Z1013" t="str">
        <f>"COS10200804 8141"</f>
        <v>COS10200804 8141</v>
      </c>
    </row>
    <row r="1014" spans="1:26" x14ac:dyDescent="0.25">
      <c r="A1014" t="str">
        <f t="shared" si="424"/>
        <v>04-08-2020 01:09:43</v>
      </c>
      <c r="B1014" t="str">
        <f>"0000809943"</f>
        <v>0000809943</v>
      </c>
      <c r="C1014" t="str">
        <f t="shared" si="425"/>
        <v>0000809803</v>
      </c>
      <c r="D1014" t="str">
        <f t="shared" si="408"/>
        <v>73185</v>
      </c>
      <c r="E1014" t="str">
        <f t="shared" si="409"/>
        <v>KFH-OPERATIONS DEPARTMENT</v>
      </c>
      <c r="F1014" t="str">
        <f t="shared" si="410"/>
        <v>IBG</v>
      </c>
      <c r="G1014" t="str">
        <f t="shared" si="423"/>
        <v>Refund COSHARE 10</v>
      </c>
      <c r="H1014" s="2">
        <v>84</v>
      </c>
      <c r="I1014" t="str">
        <f>"BUANG SUPARDI BIN MAT ARIF"</f>
        <v>BUANG SUPARDI BIN MAT ARIF</v>
      </c>
      <c r="J1014" t="str">
        <f t="shared" si="428"/>
        <v>PUBLIC BANK / PUBLIC ISLAMIC BANK</v>
      </c>
      <c r="K1014" t="str">
        <f>"4854793929"</f>
        <v>4854793929</v>
      </c>
      <c r="L1014" t="str">
        <f t="shared" si="429"/>
        <v>04-08-2020</v>
      </c>
      <c r="M1014" t="str">
        <f t="shared" si="429"/>
        <v>04-08-2020</v>
      </c>
      <c r="N1014" t="str">
        <f t="shared" si="412"/>
        <v>001105018356</v>
      </c>
      <c r="O1014" t="str">
        <f t="shared" si="413"/>
        <v>MYR</v>
      </c>
      <c r="P1014" t="str">
        <f t="shared" si="430"/>
        <v>NIL</v>
      </c>
      <c r="Q1014" t="str">
        <f t="shared" si="430"/>
        <v>NIL</v>
      </c>
      <c r="R1014" t="str">
        <f t="shared" si="415"/>
        <v>Accepted</v>
      </c>
      <c r="S1014" t="str">
        <f t="shared" si="416"/>
        <v>Approved</v>
      </c>
      <c r="T1014" t="str">
        <f t="shared" si="417"/>
        <v>10.20.8.188</v>
      </c>
      <c r="U1014" t="str">
        <f t="shared" si="418"/>
        <v>AZRAD UMAR BIN SHAARI</v>
      </c>
      <c r="V1014" t="str">
        <f t="shared" si="419"/>
        <v>FARHANA BINTI MUSTAPA</v>
      </c>
      <c r="W1014" t="str">
        <f t="shared" si="420"/>
        <v>04-08-2020</v>
      </c>
      <c r="X1014" t="str">
        <f t="shared" si="421"/>
        <v>RAZIMAH ANSAR AHMAD</v>
      </c>
      <c r="Y1014" t="str">
        <f t="shared" si="422"/>
        <v>04-08-2020</v>
      </c>
      <c r="Z1014" t="str">
        <f>"COS10200804 8140"</f>
        <v>COS10200804 8140</v>
      </c>
    </row>
    <row r="1015" spans="1:26" x14ac:dyDescent="0.25">
      <c r="A1015" t="str">
        <f t="shared" si="424"/>
        <v>04-08-2020 01:09:43</v>
      </c>
      <c r="B1015" t="str">
        <f>"0000809942"</f>
        <v>0000809942</v>
      </c>
      <c r="C1015" t="str">
        <f t="shared" si="425"/>
        <v>0000809803</v>
      </c>
      <c r="D1015" t="str">
        <f t="shared" si="408"/>
        <v>73185</v>
      </c>
      <c r="E1015" t="str">
        <f t="shared" si="409"/>
        <v>KFH-OPERATIONS DEPARTMENT</v>
      </c>
      <c r="F1015" t="str">
        <f t="shared" si="410"/>
        <v>IBG</v>
      </c>
      <c r="G1015" t="str">
        <f t="shared" si="423"/>
        <v>Refund COSHARE 10</v>
      </c>
      <c r="H1015" s="2">
        <v>112.6</v>
      </c>
      <c r="I1015" t="str">
        <f>"BADDEROL BIN HASHIM"</f>
        <v>BADDEROL BIN HASHIM</v>
      </c>
      <c r="J1015" t="str">
        <f t="shared" si="428"/>
        <v>PUBLIC BANK / PUBLIC ISLAMIC BANK</v>
      </c>
      <c r="K1015" t="str">
        <f>"4704439930"</f>
        <v>4704439930</v>
      </c>
      <c r="L1015" t="str">
        <f t="shared" si="429"/>
        <v>04-08-2020</v>
      </c>
      <c r="M1015" t="str">
        <f t="shared" si="429"/>
        <v>04-08-2020</v>
      </c>
      <c r="N1015" t="str">
        <f t="shared" si="412"/>
        <v>001105018356</v>
      </c>
      <c r="O1015" t="str">
        <f t="shared" si="413"/>
        <v>MYR</v>
      </c>
      <c r="P1015" t="str">
        <f t="shared" si="430"/>
        <v>NIL</v>
      </c>
      <c r="Q1015" t="str">
        <f t="shared" si="430"/>
        <v>NIL</v>
      </c>
      <c r="R1015" t="str">
        <f t="shared" si="415"/>
        <v>Accepted</v>
      </c>
      <c r="S1015" t="str">
        <f t="shared" si="416"/>
        <v>Approved</v>
      </c>
      <c r="T1015" t="str">
        <f t="shared" si="417"/>
        <v>10.20.8.188</v>
      </c>
      <c r="U1015" t="str">
        <f t="shared" si="418"/>
        <v>AZRAD UMAR BIN SHAARI</v>
      </c>
      <c r="V1015" t="str">
        <f t="shared" si="419"/>
        <v>FARHANA BINTI MUSTAPA</v>
      </c>
      <c r="W1015" t="str">
        <f t="shared" si="420"/>
        <v>04-08-2020</v>
      </c>
      <c r="X1015" t="str">
        <f t="shared" si="421"/>
        <v>RAZIMAH ANSAR AHMAD</v>
      </c>
      <c r="Y1015" t="str">
        <f t="shared" si="422"/>
        <v>04-08-2020</v>
      </c>
      <c r="Z1015" t="str">
        <f>"COS10200804 8139"</f>
        <v>COS10200804 8139</v>
      </c>
    </row>
    <row r="1016" spans="1:26" x14ac:dyDescent="0.25">
      <c r="A1016" t="str">
        <f t="shared" si="424"/>
        <v>04-08-2020 01:09:43</v>
      </c>
      <c r="B1016" t="str">
        <f>"0000809941"</f>
        <v>0000809941</v>
      </c>
      <c r="C1016" t="str">
        <f t="shared" si="425"/>
        <v>0000809803</v>
      </c>
      <c r="D1016" t="str">
        <f t="shared" si="408"/>
        <v>73185</v>
      </c>
      <c r="E1016" t="str">
        <f t="shared" si="409"/>
        <v>KFH-OPERATIONS DEPARTMENT</v>
      </c>
      <c r="F1016" t="str">
        <f t="shared" si="410"/>
        <v>IBG</v>
      </c>
      <c r="G1016" t="str">
        <f t="shared" si="423"/>
        <v>Refund COSHARE 10</v>
      </c>
      <c r="H1016" s="2">
        <v>152</v>
      </c>
      <c r="I1016" t="str">
        <f>"AZWAN BIN LAIDIN"</f>
        <v>AZWAN BIN LAIDIN</v>
      </c>
      <c r="J1016" t="str">
        <f t="shared" si="428"/>
        <v>PUBLIC BANK / PUBLIC ISLAMIC BANK</v>
      </c>
      <c r="K1016" t="str">
        <f>"4399528221"</f>
        <v>4399528221</v>
      </c>
      <c r="L1016" t="str">
        <f t="shared" si="429"/>
        <v>04-08-2020</v>
      </c>
      <c r="M1016" t="str">
        <f t="shared" si="429"/>
        <v>04-08-2020</v>
      </c>
      <c r="N1016" t="str">
        <f t="shared" si="412"/>
        <v>001105018356</v>
      </c>
      <c r="O1016" t="str">
        <f t="shared" si="413"/>
        <v>MYR</v>
      </c>
      <c r="P1016" t="str">
        <f t="shared" si="430"/>
        <v>NIL</v>
      </c>
      <c r="Q1016" t="str">
        <f t="shared" si="430"/>
        <v>NIL</v>
      </c>
      <c r="R1016" t="str">
        <f t="shared" si="415"/>
        <v>Accepted</v>
      </c>
      <c r="S1016" t="str">
        <f t="shared" si="416"/>
        <v>Approved</v>
      </c>
      <c r="T1016" t="str">
        <f t="shared" si="417"/>
        <v>10.20.8.188</v>
      </c>
      <c r="U1016" t="str">
        <f t="shared" si="418"/>
        <v>AZRAD UMAR BIN SHAARI</v>
      </c>
      <c r="V1016" t="str">
        <f t="shared" si="419"/>
        <v>FARHANA BINTI MUSTAPA</v>
      </c>
      <c r="W1016" t="str">
        <f t="shared" si="420"/>
        <v>04-08-2020</v>
      </c>
      <c r="X1016" t="str">
        <f t="shared" si="421"/>
        <v>RAZIMAH ANSAR AHMAD</v>
      </c>
      <c r="Y1016" t="str">
        <f t="shared" si="422"/>
        <v>04-08-2020</v>
      </c>
      <c r="Z1016" t="str">
        <f>"COS10200804 8138"</f>
        <v>COS10200804 8138</v>
      </c>
    </row>
    <row r="1017" spans="1:26" x14ac:dyDescent="0.25">
      <c r="A1017" t="str">
        <f t="shared" si="424"/>
        <v>04-08-2020 01:09:43</v>
      </c>
      <c r="B1017" t="str">
        <f>"0000809940"</f>
        <v>0000809940</v>
      </c>
      <c r="C1017" t="str">
        <f t="shared" si="425"/>
        <v>0000809803</v>
      </c>
      <c r="D1017" t="str">
        <f t="shared" si="408"/>
        <v>73185</v>
      </c>
      <c r="E1017" t="str">
        <f t="shared" si="409"/>
        <v>KFH-OPERATIONS DEPARTMENT</v>
      </c>
      <c r="F1017" t="str">
        <f t="shared" si="410"/>
        <v>IBG</v>
      </c>
      <c r="G1017" t="str">
        <f t="shared" si="423"/>
        <v>Refund COSHARE 10</v>
      </c>
      <c r="H1017" s="2">
        <v>92</v>
      </c>
      <c r="I1017" t="str">
        <f>"AZMAN BIN ZAINAL"</f>
        <v>AZMAN BIN ZAINAL</v>
      </c>
      <c r="J1017" t="str">
        <f t="shared" si="428"/>
        <v>PUBLIC BANK / PUBLIC ISLAMIC BANK</v>
      </c>
      <c r="K1017" t="str">
        <f>"4899247224"</f>
        <v>4899247224</v>
      </c>
      <c r="L1017" t="str">
        <f t="shared" si="429"/>
        <v>04-08-2020</v>
      </c>
      <c r="M1017" t="str">
        <f t="shared" si="429"/>
        <v>04-08-2020</v>
      </c>
      <c r="N1017" t="str">
        <f t="shared" si="412"/>
        <v>001105018356</v>
      </c>
      <c r="O1017" t="str">
        <f t="shared" si="413"/>
        <v>MYR</v>
      </c>
      <c r="P1017" t="str">
        <f t="shared" si="430"/>
        <v>NIL</v>
      </c>
      <c r="Q1017" t="str">
        <f t="shared" si="430"/>
        <v>NIL</v>
      </c>
      <c r="R1017" t="str">
        <f t="shared" si="415"/>
        <v>Accepted</v>
      </c>
      <c r="S1017" t="str">
        <f t="shared" si="416"/>
        <v>Approved</v>
      </c>
      <c r="T1017" t="str">
        <f t="shared" si="417"/>
        <v>10.20.8.188</v>
      </c>
      <c r="U1017" t="str">
        <f t="shared" si="418"/>
        <v>AZRAD UMAR BIN SHAARI</v>
      </c>
      <c r="V1017" t="str">
        <f t="shared" si="419"/>
        <v>FARHANA BINTI MUSTAPA</v>
      </c>
      <c r="W1017" t="str">
        <f t="shared" si="420"/>
        <v>04-08-2020</v>
      </c>
      <c r="X1017" t="str">
        <f t="shared" si="421"/>
        <v>RAZIMAH ANSAR AHMAD</v>
      </c>
      <c r="Y1017" t="str">
        <f t="shared" si="422"/>
        <v>04-08-2020</v>
      </c>
      <c r="Z1017" t="str">
        <f>"COS10200804 8137"</f>
        <v>COS10200804 8137</v>
      </c>
    </row>
    <row r="1018" spans="1:26" x14ac:dyDescent="0.25">
      <c r="A1018" t="str">
        <f t="shared" ref="A1018:A1049" si="431">"04-08-2020 01:09:43"</f>
        <v>04-08-2020 01:09:43</v>
      </c>
      <c r="B1018" t="str">
        <f>"0000809939"</f>
        <v>0000809939</v>
      </c>
      <c r="C1018" t="str">
        <f t="shared" ref="C1018:C1049" si="432">"0000809803"</f>
        <v>0000809803</v>
      </c>
      <c r="D1018" t="str">
        <f t="shared" si="408"/>
        <v>73185</v>
      </c>
      <c r="E1018" t="str">
        <f t="shared" si="409"/>
        <v>KFH-OPERATIONS DEPARTMENT</v>
      </c>
      <c r="F1018" t="str">
        <f t="shared" si="410"/>
        <v>IBG</v>
      </c>
      <c r="G1018" t="str">
        <f t="shared" si="423"/>
        <v>Refund COSHARE 10</v>
      </c>
      <c r="H1018" s="2">
        <v>227</v>
      </c>
      <c r="I1018" t="str">
        <f>"AZLAN BIN ALI"</f>
        <v>AZLAN BIN ALI</v>
      </c>
      <c r="J1018" t="str">
        <f t="shared" si="428"/>
        <v>PUBLIC BANK / PUBLIC ISLAMIC BANK</v>
      </c>
      <c r="K1018" t="str">
        <f>"4760983409"</f>
        <v>4760983409</v>
      </c>
      <c r="L1018" t="str">
        <f t="shared" si="429"/>
        <v>04-08-2020</v>
      </c>
      <c r="M1018" t="str">
        <f t="shared" si="429"/>
        <v>04-08-2020</v>
      </c>
      <c r="N1018" t="str">
        <f t="shared" si="412"/>
        <v>001105018356</v>
      </c>
      <c r="O1018" t="str">
        <f t="shared" si="413"/>
        <v>MYR</v>
      </c>
      <c r="P1018" t="str">
        <f t="shared" si="430"/>
        <v>NIL</v>
      </c>
      <c r="Q1018" t="str">
        <f t="shared" si="430"/>
        <v>NIL</v>
      </c>
      <c r="R1018" t="str">
        <f t="shared" si="415"/>
        <v>Accepted</v>
      </c>
      <c r="S1018" t="str">
        <f t="shared" si="416"/>
        <v>Approved</v>
      </c>
      <c r="T1018" t="str">
        <f t="shared" si="417"/>
        <v>10.20.8.188</v>
      </c>
      <c r="U1018" t="str">
        <f t="shared" si="418"/>
        <v>AZRAD UMAR BIN SHAARI</v>
      </c>
      <c r="V1018" t="str">
        <f t="shared" si="419"/>
        <v>FARHANA BINTI MUSTAPA</v>
      </c>
      <c r="W1018" t="str">
        <f t="shared" si="420"/>
        <v>04-08-2020</v>
      </c>
      <c r="X1018" t="str">
        <f t="shared" si="421"/>
        <v>RAZIMAH ANSAR AHMAD</v>
      </c>
      <c r="Y1018" t="str">
        <f t="shared" si="422"/>
        <v>04-08-2020</v>
      </c>
      <c r="Z1018" t="str">
        <f>"COS10200804 8136"</f>
        <v>COS10200804 8136</v>
      </c>
    </row>
    <row r="1019" spans="1:26" x14ac:dyDescent="0.25">
      <c r="A1019" t="str">
        <f t="shared" si="431"/>
        <v>04-08-2020 01:09:43</v>
      </c>
      <c r="B1019" t="str">
        <f>"0000809938"</f>
        <v>0000809938</v>
      </c>
      <c r="C1019" t="str">
        <f t="shared" si="432"/>
        <v>0000809803</v>
      </c>
      <c r="D1019" t="str">
        <f t="shared" si="408"/>
        <v>73185</v>
      </c>
      <c r="E1019" t="str">
        <f t="shared" si="409"/>
        <v>KFH-OPERATIONS DEPARTMENT</v>
      </c>
      <c r="F1019" t="str">
        <f t="shared" si="410"/>
        <v>IBG</v>
      </c>
      <c r="G1019" t="str">
        <f t="shared" si="423"/>
        <v>Refund COSHARE 10</v>
      </c>
      <c r="H1019" s="2">
        <v>130</v>
      </c>
      <c r="I1019" t="str">
        <f>"AZIZOL BIN UNTONG"</f>
        <v>AZIZOL BIN UNTONG</v>
      </c>
      <c r="J1019" t="str">
        <f t="shared" si="428"/>
        <v>PUBLIC BANK / PUBLIC ISLAMIC BANK</v>
      </c>
      <c r="K1019" t="str">
        <f>"4926344510"</f>
        <v>4926344510</v>
      </c>
      <c r="L1019" t="str">
        <f t="shared" si="429"/>
        <v>04-08-2020</v>
      </c>
      <c r="M1019" t="str">
        <f t="shared" si="429"/>
        <v>04-08-2020</v>
      </c>
      <c r="N1019" t="str">
        <f t="shared" si="412"/>
        <v>001105018356</v>
      </c>
      <c r="O1019" t="str">
        <f t="shared" si="413"/>
        <v>MYR</v>
      </c>
      <c r="P1019" t="str">
        <f t="shared" si="430"/>
        <v>NIL</v>
      </c>
      <c r="Q1019" t="str">
        <f t="shared" si="430"/>
        <v>NIL</v>
      </c>
      <c r="R1019" t="str">
        <f t="shared" si="415"/>
        <v>Accepted</v>
      </c>
      <c r="S1019" t="str">
        <f t="shared" si="416"/>
        <v>Approved</v>
      </c>
      <c r="T1019" t="str">
        <f t="shared" si="417"/>
        <v>10.20.8.188</v>
      </c>
      <c r="U1019" t="str">
        <f t="shared" si="418"/>
        <v>AZRAD UMAR BIN SHAARI</v>
      </c>
      <c r="V1019" t="str">
        <f t="shared" si="419"/>
        <v>FARHANA BINTI MUSTAPA</v>
      </c>
      <c r="W1019" t="str">
        <f t="shared" si="420"/>
        <v>04-08-2020</v>
      </c>
      <c r="X1019" t="str">
        <f t="shared" si="421"/>
        <v>RAZIMAH ANSAR AHMAD</v>
      </c>
      <c r="Y1019" t="str">
        <f t="shared" si="422"/>
        <v>04-08-2020</v>
      </c>
      <c r="Z1019" t="str">
        <f>"COS10200804 8135"</f>
        <v>COS10200804 8135</v>
      </c>
    </row>
    <row r="1020" spans="1:26" x14ac:dyDescent="0.25">
      <c r="A1020" t="str">
        <f t="shared" si="431"/>
        <v>04-08-2020 01:09:43</v>
      </c>
      <c r="B1020" t="str">
        <f>"0000809937"</f>
        <v>0000809937</v>
      </c>
      <c r="C1020" t="str">
        <f t="shared" si="432"/>
        <v>0000809803</v>
      </c>
      <c r="D1020" t="str">
        <f t="shared" si="408"/>
        <v>73185</v>
      </c>
      <c r="E1020" t="str">
        <f t="shared" si="409"/>
        <v>KFH-OPERATIONS DEPARTMENT</v>
      </c>
      <c r="F1020" t="str">
        <f t="shared" si="410"/>
        <v>IBG</v>
      </c>
      <c r="G1020" t="str">
        <f t="shared" si="423"/>
        <v>Refund COSHARE 10</v>
      </c>
      <c r="H1020" s="2">
        <v>56.3</v>
      </c>
      <c r="I1020" t="str">
        <f>"AZHAR BIN CHIK"</f>
        <v>AZHAR BIN CHIK</v>
      </c>
      <c r="J1020" t="str">
        <f t="shared" si="428"/>
        <v>PUBLIC BANK / PUBLIC ISLAMIC BANK</v>
      </c>
      <c r="K1020" t="str">
        <f>"4470696520"</f>
        <v>4470696520</v>
      </c>
      <c r="L1020" t="str">
        <f t="shared" si="429"/>
        <v>04-08-2020</v>
      </c>
      <c r="M1020" t="str">
        <f t="shared" si="429"/>
        <v>04-08-2020</v>
      </c>
      <c r="N1020" t="str">
        <f t="shared" si="412"/>
        <v>001105018356</v>
      </c>
      <c r="O1020" t="str">
        <f t="shared" si="413"/>
        <v>MYR</v>
      </c>
      <c r="P1020" t="str">
        <f t="shared" si="430"/>
        <v>NIL</v>
      </c>
      <c r="Q1020" t="str">
        <f t="shared" si="430"/>
        <v>NIL</v>
      </c>
      <c r="R1020" t="str">
        <f t="shared" si="415"/>
        <v>Accepted</v>
      </c>
      <c r="S1020" t="str">
        <f t="shared" si="416"/>
        <v>Approved</v>
      </c>
      <c r="T1020" t="str">
        <f t="shared" si="417"/>
        <v>10.20.8.188</v>
      </c>
      <c r="U1020" t="str">
        <f t="shared" si="418"/>
        <v>AZRAD UMAR BIN SHAARI</v>
      </c>
      <c r="V1020" t="str">
        <f t="shared" si="419"/>
        <v>FARHANA BINTI MUSTAPA</v>
      </c>
      <c r="W1020" t="str">
        <f t="shared" si="420"/>
        <v>04-08-2020</v>
      </c>
      <c r="X1020" t="str">
        <f t="shared" si="421"/>
        <v>RAZIMAH ANSAR AHMAD</v>
      </c>
      <c r="Y1020" t="str">
        <f t="shared" si="422"/>
        <v>04-08-2020</v>
      </c>
      <c r="Z1020" t="str">
        <f>"COS10200804 8134"</f>
        <v>COS10200804 8134</v>
      </c>
    </row>
    <row r="1021" spans="1:26" x14ac:dyDescent="0.25">
      <c r="A1021" t="str">
        <f t="shared" si="431"/>
        <v>04-08-2020 01:09:43</v>
      </c>
      <c r="B1021" t="str">
        <f>"0000809936"</f>
        <v>0000809936</v>
      </c>
      <c r="C1021" t="str">
        <f t="shared" si="432"/>
        <v>0000809803</v>
      </c>
      <c r="D1021" t="str">
        <f t="shared" si="408"/>
        <v>73185</v>
      </c>
      <c r="E1021" t="str">
        <f t="shared" si="409"/>
        <v>KFH-OPERATIONS DEPARTMENT</v>
      </c>
      <c r="F1021" t="str">
        <f t="shared" si="410"/>
        <v>IBG</v>
      </c>
      <c r="G1021" t="str">
        <f t="shared" si="423"/>
        <v>Refund COSHARE 10</v>
      </c>
      <c r="H1021" s="2">
        <v>417.05</v>
      </c>
      <c r="I1021" t="str">
        <f>"AZAHAR BIN MD ISA"</f>
        <v>AZAHAR BIN MD ISA</v>
      </c>
      <c r="J1021" t="str">
        <f t="shared" si="428"/>
        <v>PUBLIC BANK / PUBLIC ISLAMIC BANK</v>
      </c>
      <c r="K1021" t="str">
        <f>"4173429326"</f>
        <v>4173429326</v>
      </c>
      <c r="L1021" t="str">
        <f t="shared" si="429"/>
        <v>04-08-2020</v>
      </c>
      <c r="M1021" t="str">
        <f t="shared" si="429"/>
        <v>04-08-2020</v>
      </c>
      <c r="N1021" t="str">
        <f t="shared" si="412"/>
        <v>001105018356</v>
      </c>
      <c r="O1021" t="str">
        <f t="shared" si="413"/>
        <v>MYR</v>
      </c>
      <c r="P1021" t="str">
        <f t="shared" si="430"/>
        <v>NIL</v>
      </c>
      <c r="Q1021" t="str">
        <f t="shared" si="430"/>
        <v>NIL</v>
      </c>
      <c r="R1021" t="str">
        <f t="shared" si="415"/>
        <v>Accepted</v>
      </c>
      <c r="S1021" t="str">
        <f t="shared" si="416"/>
        <v>Approved</v>
      </c>
      <c r="T1021" t="str">
        <f t="shared" si="417"/>
        <v>10.20.8.188</v>
      </c>
      <c r="U1021" t="str">
        <f t="shared" si="418"/>
        <v>AZRAD UMAR BIN SHAARI</v>
      </c>
      <c r="V1021" t="str">
        <f t="shared" si="419"/>
        <v>FARHANA BINTI MUSTAPA</v>
      </c>
      <c r="W1021" t="str">
        <f t="shared" si="420"/>
        <v>04-08-2020</v>
      </c>
      <c r="X1021" t="str">
        <f t="shared" si="421"/>
        <v>RAZIMAH ANSAR AHMAD</v>
      </c>
      <c r="Y1021" t="str">
        <f t="shared" si="422"/>
        <v>04-08-2020</v>
      </c>
      <c r="Z1021" t="str">
        <f>"COS10200804 8133"</f>
        <v>COS10200804 8133</v>
      </c>
    </row>
    <row r="1022" spans="1:26" x14ac:dyDescent="0.25">
      <c r="A1022" t="str">
        <f t="shared" si="431"/>
        <v>04-08-2020 01:09:43</v>
      </c>
      <c r="B1022" t="str">
        <f>"0000809935"</f>
        <v>0000809935</v>
      </c>
      <c r="C1022" t="str">
        <f t="shared" si="432"/>
        <v>0000809803</v>
      </c>
      <c r="D1022" t="str">
        <f t="shared" si="408"/>
        <v>73185</v>
      </c>
      <c r="E1022" t="str">
        <f t="shared" si="409"/>
        <v>KFH-OPERATIONS DEPARTMENT</v>
      </c>
      <c r="F1022" t="str">
        <f t="shared" si="410"/>
        <v>IBG</v>
      </c>
      <c r="G1022" t="str">
        <f t="shared" si="423"/>
        <v>Refund COSHARE 10</v>
      </c>
      <c r="H1022" s="2">
        <v>83.95</v>
      </c>
      <c r="I1022" t="str">
        <f>"AZAHA BIN DOLLAH"</f>
        <v>AZAHA BIN DOLLAH</v>
      </c>
      <c r="J1022" t="str">
        <f t="shared" si="428"/>
        <v>PUBLIC BANK / PUBLIC ISLAMIC BANK</v>
      </c>
      <c r="K1022" t="str">
        <f>"4459187106"</f>
        <v>4459187106</v>
      </c>
      <c r="L1022" t="str">
        <f t="shared" si="429"/>
        <v>04-08-2020</v>
      </c>
      <c r="M1022" t="str">
        <f t="shared" si="429"/>
        <v>04-08-2020</v>
      </c>
      <c r="N1022" t="str">
        <f t="shared" si="412"/>
        <v>001105018356</v>
      </c>
      <c r="O1022" t="str">
        <f t="shared" si="413"/>
        <v>MYR</v>
      </c>
      <c r="P1022" t="str">
        <f t="shared" si="430"/>
        <v>NIL</v>
      </c>
      <c r="Q1022" t="str">
        <f t="shared" si="430"/>
        <v>NIL</v>
      </c>
      <c r="R1022" t="str">
        <f t="shared" si="415"/>
        <v>Accepted</v>
      </c>
      <c r="S1022" t="str">
        <f t="shared" si="416"/>
        <v>Approved</v>
      </c>
      <c r="T1022" t="str">
        <f t="shared" si="417"/>
        <v>10.20.8.188</v>
      </c>
      <c r="U1022" t="str">
        <f t="shared" si="418"/>
        <v>AZRAD UMAR BIN SHAARI</v>
      </c>
      <c r="V1022" t="str">
        <f t="shared" si="419"/>
        <v>FARHANA BINTI MUSTAPA</v>
      </c>
      <c r="W1022" t="str">
        <f t="shared" si="420"/>
        <v>04-08-2020</v>
      </c>
      <c r="X1022" t="str">
        <f t="shared" si="421"/>
        <v>RAZIMAH ANSAR AHMAD</v>
      </c>
      <c r="Y1022" t="str">
        <f t="shared" si="422"/>
        <v>04-08-2020</v>
      </c>
      <c r="Z1022" t="str">
        <f>"COS10200804 8132"</f>
        <v>COS10200804 8132</v>
      </c>
    </row>
    <row r="1023" spans="1:26" x14ac:dyDescent="0.25">
      <c r="A1023" t="str">
        <f t="shared" si="431"/>
        <v>04-08-2020 01:09:43</v>
      </c>
      <c r="B1023" t="str">
        <f>"0000809934"</f>
        <v>0000809934</v>
      </c>
      <c r="C1023" t="str">
        <f t="shared" si="432"/>
        <v>0000809803</v>
      </c>
      <c r="D1023" t="str">
        <f t="shared" si="408"/>
        <v>73185</v>
      </c>
      <c r="E1023" t="str">
        <f t="shared" si="409"/>
        <v>KFH-OPERATIONS DEPARTMENT</v>
      </c>
      <c r="F1023" t="str">
        <f t="shared" si="410"/>
        <v>IBG</v>
      </c>
      <c r="G1023" t="str">
        <f t="shared" si="423"/>
        <v>Refund COSHARE 10</v>
      </c>
      <c r="H1023" s="2">
        <v>587.65</v>
      </c>
      <c r="I1023" t="str">
        <f>"AWANG SHARIFF BIN APAU"</f>
        <v>AWANG SHARIFF BIN APAU</v>
      </c>
      <c r="J1023" t="str">
        <f t="shared" si="428"/>
        <v>PUBLIC BANK / PUBLIC ISLAMIC BANK</v>
      </c>
      <c r="K1023" t="str">
        <f>"6380323305"</f>
        <v>6380323305</v>
      </c>
      <c r="L1023" t="str">
        <f t="shared" si="429"/>
        <v>04-08-2020</v>
      </c>
      <c r="M1023" t="str">
        <f t="shared" si="429"/>
        <v>04-08-2020</v>
      </c>
      <c r="N1023" t="str">
        <f t="shared" si="412"/>
        <v>001105018356</v>
      </c>
      <c r="O1023" t="str">
        <f t="shared" si="413"/>
        <v>MYR</v>
      </c>
      <c r="P1023" t="str">
        <f t="shared" si="430"/>
        <v>NIL</v>
      </c>
      <c r="Q1023" t="str">
        <f t="shared" si="430"/>
        <v>NIL</v>
      </c>
      <c r="R1023" t="str">
        <f t="shared" si="415"/>
        <v>Accepted</v>
      </c>
      <c r="S1023" t="str">
        <f t="shared" si="416"/>
        <v>Approved</v>
      </c>
      <c r="T1023" t="str">
        <f t="shared" si="417"/>
        <v>10.20.8.188</v>
      </c>
      <c r="U1023" t="str">
        <f t="shared" si="418"/>
        <v>AZRAD UMAR BIN SHAARI</v>
      </c>
      <c r="V1023" t="str">
        <f t="shared" si="419"/>
        <v>FARHANA BINTI MUSTAPA</v>
      </c>
      <c r="W1023" t="str">
        <f t="shared" si="420"/>
        <v>04-08-2020</v>
      </c>
      <c r="X1023" t="str">
        <f t="shared" si="421"/>
        <v>RAZIMAH ANSAR AHMAD</v>
      </c>
      <c r="Y1023" t="str">
        <f t="shared" si="422"/>
        <v>04-08-2020</v>
      </c>
      <c r="Z1023" t="str">
        <f>"COS10200804 8131"</f>
        <v>COS10200804 8131</v>
      </c>
    </row>
    <row r="1024" spans="1:26" x14ac:dyDescent="0.25">
      <c r="A1024" t="str">
        <f t="shared" si="431"/>
        <v>04-08-2020 01:09:43</v>
      </c>
      <c r="B1024" t="str">
        <f>"0000809933"</f>
        <v>0000809933</v>
      </c>
      <c r="C1024" t="str">
        <f t="shared" si="432"/>
        <v>0000809803</v>
      </c>
      <c r="D1024" t="str">
        <f t="shared" si="408"/>
        <v>73185</v>
      </c>
      <c r="E1024" t="str">
        <f t="shared" si="409"/>
        <v>KFH-OPERATIONS DEPARTMENT</v>
      </c>
      <c r="F1024" t="str">
        <f t="shared" si="410"/>
        <v>IBG</v>
      </c>
      <c r="G1024" t="str">
        <f t="shared" si="423"/>
        <v>Refund COSHARE 10</v>
      </c>
      <c r="H1024" s="2">
        <v>1108.8</v>
      </c>
      <c r="I1024" t="str">
        <f>"AWANG RAPBIL BIN AWANG SULAIMAN"</f>
        <v>AWANG RAPBIL BIN AWANG SULAIMAN</v>
      </c>
      <c r="J1024" t="str">
        <f t="shared" si="428"/>
        <v>PUBLIC BANK / PUBLIC ISLAMIC BANK</v>
      </c>
      <c r="K1024" t="str">
        <f>"4736941517"</f>
        <v>4736941517</v>
      </c>
      <c r="L1024" t="str">
        <f t="shared" si="429"/>
        <v>04-08-2020</v>
      </c>
      <c r="M1024" t="str">
        <f t="shared" si="429"/>
        <v>04-08-2020</v>
      </c>
      <c r="N1024" t="str">
        <f t="shared" si="412"/>
        <v>001105018356</v>
      </c>
      <c r="O1024" t="str">
        <f t="shared" si="413"/>
        <v>MYR</v>
      </c>
      <c r="P1024" t="str">
        <f t="shared" si="430"/>
        <v>NIL</v>
      </c>
      <c r="Q1024" t="str">
        <f t="shared" si="430"/>
        <v>NIL</v>
      </c>
      <c r="R1024" t="str">
        <f t="shared" si="415"/>
        <v>Accepted</v>
      </c>
      <c r="S1024" t="str">
        <f t="shared" si="416"/>
        <v>Approved</v>
      </c>
      <c r="T1024" t="str">
        <f t="shared" si="417"/>
        <v>10.20.8.188</v>
      </c>
      <c r="U1024" t="str">
        <f t="shared" si="418"/>
        <v>AZRAD UMAR BIN SHAARI</v>
      </c>
      <c r="V1024" t="str">
        <f t="shared" si="419"/>
        <v>FARHANA BINTI MUSTAPA</v>
      </c>
      <c r="W1024" t="str">
        <f t="shared" si="420"/>
        <v>04-08-2020</v>
      </c>
      <c r="X1024" t="str">
        <f t="shared" si="421"/>
        <v>RAZIMAH ANSAR AHMAD</v>
      </c>
      <c r="Y1024" t="str">
        <f t="shared" si="422"/>
        <v>04-08-2020</v>
      </c>
      <c r="Z1024" t="str">
        <f>"COS10200804 8130"</f>
        <v>COS10200804 8130</v>
      </c>
    </row>
    <row r="1025" spans="1:26" x14ac:dyDescent="0.25">
      <c r="A1025" t="str">
        <f t="shared" si="431"/>
        <v>04-08-2020 01:09:43</v>
      </c>
      <c r="B1025" t="str">
        <f>"0000809932"</f>
        <v>0000809932</v>
      </c>
      <c r="C1025" t="str">
        <f t="shared" si="432"/>
        <v>0000809803</v>
      </c>
      <c r="D1025" t="str">
        <f t="shared" si="408"/>
        <v>73185</v>
      </c>
      <c r="E1025" t="str">
        <f t="shared" si="409"/>
        <v>KFH-OPERATIONS DEPARTMENT</v>
      </c>
      <c r="F1025" t="str">
        <f t="shared" si="410"/>
        <v>IBG</v>
      </c>
      <c r="G1025" t="str">
        <f t="shared" si="423"/>
        <v>Refund COSHARE 10</v>
      </c>
      <c r="H1025" s="2">
        <v>75.599999999999994</v>
      </c>
      <c r="I1025" t="str">
        <f>"ARLENE ORIBIO"</f>
        <v>ARLENE ORIBIO</v>
      </c>
      <c r="J1025" t="str">
        <f t="shared" si="428"/>
        <v>PUBLIC BANK / PUBLIC ISLAMIC BANK</v>
      </c>
      <c r="K1025" t="str">
        <f>"4413890323"</f>
        <v>4413890323</v>
      </c>
      <c r="L1025" t="str">
        <f t="shared" si="429"/>
        <v>04-08-2020</v>
      </c>
      <c r="M1025" t="str">
        <f t="shared" si="429"/>
        <v>04-08-2020</v>
      </c>
      <c r="N1025" t="str">
        <f t="shared" si="412"/>
        <v>001105018356</v>
      </c>
      <c r="O1025" t="str">
        <f t="shared" si="413"/>
        <v>MYR</v>
      </c>
      <c r="P1025" t="str">
        <f t="shared" si="430"/>
        <v>NIL</v>
      </c>
      <c r="Q1025" t="str">
        <f t="shared" si="430"/>
        <v>NIL</v>
      </c>
      <c r="R1025" t="str">
        <f t="shared" si="415"/>
        <v>Accepted</v>
      </c>
      <c r="S1025" t="str">
        <f t="shared" si="416"/>
        <v>Approved</v>
      </c>
      <c r="T1025" t="str">
        <f t="shared" si="417"/>
        <v>10.20.8.188</v>
      </c>
      <c r="U1025" t="str">
        <f t="shared" si="418"/>
        <v>AZRAD UMAR BIN SHAARI</v>
      </c>
      <c r="V1025" t="str">
        <f t="shared" si="419"/>
        <v>FARHANA BINTI MUSTAPA</v>
      </c>
      <c r="W1025" t="str">
        <f t="shared" si="420"/>
        <v>04-08-2020</v>
      </c>
      <c r="X1025" t="str">
        <f t="shared" si="421"/>
        <v>RAZIMAH ANSAR AHMAD</v>
      </c>
      <c r="Y1025" t="str">
        <f t="shared" si="422"/>
        <v>04-08-2020</v>
      </c>
      <c r="Z1025" t="str">
        <f>"COS10200804 8129"</f>
        <v>COS10200804 8129</v>
      </c>
    </row>
    <row r="1026" spans="1:26" x14ac:dyDescent="0.25">
      <c r="A1026" t="str">
        <f t="shared" si="431"/>
        <v>04-08-2020 01:09:43</v>
      </c>
      <c r="B1026" t="str">
        <f>"0000809931"</f>
        <v>0000809931</v>
      </c>
      <c r="C1026" t="str">
        <f t="shared" si="432"/>
        <v>0000809803</v>
      </c>
      <c r="D1026" t="str">
        <f t="shared" si="408"/>
        <v>73185</v>
      </c>
      <c r="E1026" t="str">
        <f t="shared" si="409"/>
        <v>KFH-OPERATIONS DEPARTMENT</v>
      </c>
      <c r="F1026" t="str">
        <f t="shared" si="410"/>
        <v>IBG</v>
      </c>
      <c r="G1026" t="str">
        <f t="shared" si="423"/>
        <v>Refund COSHARE 10</v>
      </c>
      <c r="H1026" s="2">
        <v>1074.55</v>
      </c>
      <c r="I1026" t="str">
        <f>"AMANDA WONG LILING"</f>
        <v>AMANDA WONG LILING</v>
      </c>
      <c r="J1026" t="str">
        <f t="shared" si="428"/>
        <v>PUBLIC BANK / PUBLIC ISLAMIC BANK</v>
      </c>
      <c r="K1026" t="str">
        <f>"4111942928"</f>
        <v>4111942928</v>
      </c>
      <c r="L1026" t="str">
        <f t="shared" si="429"/>
        <v>04-08-2020</v>
      </c>
      <c r="M1026" t="str">
        <f t="shared" si="429"/>
        <v>04-08-2020</v>
      </c>
      <c r="N1026" t="str">
        <f t="shared" si="412"/>
        <v>001105018356</v>
      </c>
      <c r="O1026" t="str">
        <f t="shared" si="413"/>
        <v>MYR</v>
      </c>
      <c r="P1026" t="str">
        <f t="shared" si="430"/>
        <v>NIL</v>
      </c>
      <c r="Q1026" t="str">
        <f t="shared" si="430"/>
        <v>NIL</v>
      </c>
      <c r="R1026" t="str">
        <f t="shared" si="415"/>
        <v>Accepted</v>
      </c>
      <c r="S1026" t="str">
        <f t="shared" si="416"/>
        <v>Approved</v>
      </c>
      <c r="T1026" t="str">
        <f t="shared" si="417"/>
        <v>10.20.8.188</v>
      </c>
      <c r="U1026" t="str">
        <f t="shared" si="418"/>
        <v>AZRAD UMAR BIN SHAARI</v>
      </c>
      <c r="V1026" t="str">
        <f t="shared" si="419"/>
        <v>FARHANA BINTI MUSTAPA</v>
      </c>
      <c r="W1026" t="str">
        <f t="shared" si="420"/>
        <v>04-08-2020</v>
      </c>
      <c r="X1026" t="str">
        <f t="shared" si="421"/>
        <v>RAZIMAH ANSAR AHMAD</v>
      </c>
      <c r="Y1026" t="str">
        <f t="shared" si="422"/>
        <v>04-08-2020</v>
      </c>
      <c r="Z1026" t="str">
        <f>"COS10200804 8128"</f>
        <v>COS10200804 8128</v>
      </c>
    </row>
    <row r="1027" spans="1:26" x14ac:dyDescent="0.25">
      <c r="A1027" t="str">
        <f t="shared" si="431"/>
        <v>04-08-2020 01:09:43</v>
      </c>
      <c r="B1027" t="str">
        <f>"0000809930"</f>
        <v>0000809930</v>
      </c>
      <c r="C1027" t="str">
        <f t="shared" si="432"/>
        <v>0000809803</v>
      </c>
      <c r="D1027" t="str">
        <f t="shared" si="408"/>
        <v>73185</v>
      </c>
      <c r="E1027" t="str">
        <f t="shared" si="409"/>
        <v>KFH-OPERATIONS DEPARTMENT</v>
      </c>
      <c r="F1027" t="str">
        <f t="shared" si="410"/>
        <v>IBG</v>
      </c>
      <c r="G1027" t="str">
        <f t="shared" si="423"/>
        <v>Refund COSHARE 10</v>
      </c>
      <c r="H1027" s="2">
        <v>642.35</v>
      </c>
      <c r="I1027" t="str">
        <f>"ALINA BINTI OMAR"</f>
        <v>ALINA BINTI OMAR</v>
      </c>
      <c r="J1027" t="str">
        <f t="shared" si="428"/>
        <v>PUBLIC BANK / PUBLIC ISLAMIC BANK</v>
      </c>
      <c r="K1027" t="str">
        <f>"4808607905"</f>
        <v>4808607905</v>
      </c>
      <c r="L1027" t="str">
        <f t="shared" ref="L1027:M1046" si="433">"04-08-2020"</f>
        <v>04-08-2020</v>
      </c>
      <c r="M1027" t="str">
        <f t="shared" si="433"/>
        <v>04-08-2020</v>
      </c>
      <c r="N1027" t="str">
        <f t="shared" si="412"/>
        <v>001105018356</v>
      </c>
      <c r="O1027" t="str">
        <f t="shared" si="413"/>
        <v>MYR</v>
      </c>
      <c r="P1027" t="str">
        <f t="shared" ref="P1027:Q1046" si="434">"NIL"</f>
        <v>NIL</v>
      </c>
      <c r="Q1027" t="str">
        <f t="shared" si="434"/>
        <v>NIL</v>
      </c>
      <c r="R1027" t="str">
        <f t="shared" si="415"/>
        <v>Accepted</v>
      </c>
      <c r="S1027" t="str">
        <f t="shared" si="416"/>
        <v>Approved</v>
      </c>
      <c r="T1027" t="str">
        <f t="shared" si="417"/>
        <v>10.20.8.188</v>
      </c>
      <c r="U1027" t="str">
        <f t="shared" si="418"/>
        <v>AZRAD UMAR BIN SHAARI</v>
      </c>
      <c r="V1027" t="str">
        <f t="shared" si="419"/>
        <v>FARHANA BINTI MUSTAPA</v>
      </c>
      <c r="W1027" t="str">
        <f t="shared" si="420"/>
        <v>04-08-2020</v>
      </c>
      <c r="X1027" t="str">
        <f t="shared" si="421"/>
        <v>RAZIMAH ANSAR AHMAD</v>
      </c>
      <c r="Y1027" t="str">
        <f t="shared" si="422"/>
        <v>04-08-2020</v>
      </c>
      <c r="Z1027" t="str">
        <f>"COS10200804 8127"</f>
        <v>COS10200804 8127</v>
      </c>
    </row>
    <row r="1028" spans="1:26" x14ac:dyDescent="0.25">
      <c r="A1028" t="str">
        <f t="shared" si="431"/>
        <v>04-08-2020 01:09:43</v>
      </c>
      <c r="B1028" t="str">
        <f>"0000809929"</f>
        <v>0000809929</v>
      </c>
      <c r="C1028" t="str">
        <f t="shared" si="432"/>
        <v>0000809803</v>
      </c>
      <c r="D1028" t="str">
        <f t="shared" si="408"/>
        <v>73185</v>
      </c>
      <c r="E1028" t="str">
        <f t="shared" si="409"/>
        <v>KFH-OPERATIONS DEPARTMENT</v>
      </c>
      <c r="F1028" t="str">
        <f t="shared" si="410"/>
        <v>IBG</v>
      </c>
      <c r="G1028" t="str">
        <f t="shared" si="423"/>
        <v>Refund COSHARE 10</v>
      </c>
      <c r="H1028" s="2">
        <v>101</v>
      </c>
      <c r="I1028" t="str">
        <f>"AHMAD SAH BIN SAIMAN"</f>
        <v>AHMAD SAH BIN SAIMAN</v>
      </c>
      <c r="J1028" t="str">
        <f t="shared" si="428"/>
        <v>PUBLIC BANK / PUBLIC ISLAMIC BANK</v>
      </c>
      <c r="K1028" t="str">
        <f>"4479881912"</f>
        <v>4479881912</v>
      </c>
      <c r="L1028" t="str">
        <f t="shared" si="433"/>
        <v>04-08-2020</v>
      </c>
      <c r="M1028" t="str">
        <f t="shared" si="433"/>
        <v>04-08-2020</v>
      </c>
      <c r="N1028" t="str">
        <f t="shared" si="412"/>
        <v>001105018356</v>
      </c>
      <c r="O1028" t="str">
        <f t="shared" si="413"/>
        <v>MYR</v>
      </c>
      <c r="P1028" t="str">
        <f t="shared" si="434"/>
        <v>NIL</v>
      </c>
      <c r="Q1028" t="str">
        <f t="shared" si="434"/>
        <v>NIL</v>
      </c>
      <c r="R1028" t="str">
        <f t="shared" si="415"/>
        <v>Accepted</v>
      </c>
      <c r="S1028" t="str">
        <f t="shared" si="416"/>
        <v>Approved</v>
      </c>
      <c r="T1028" t="str">
        <f t="shared" si="417"/>
        <v>10.20.8.188</v>
      </c>
      <c r="U1028" t="str">
        <f t="shared" si="418"/>
        <v>AZRAD UMAR BIN SHAARI</v>
      </c>
      <c r="V1028" t="str">
        <f t="shared" si="419"/>
        <v>FARHANA BINTI MUSTAPA</v>
      </c>
      <c r="W1028" t="str">
        <f t="shared" si="420"/>
        <v>04-08-2020</v>
      </c>
      <c r="X1028" t="str">
        <f t="shared" si="421"/>
        <v>RAZIMAH ANSAR AHMAD</v>
      </c>
      <c r="Y1028" t="str">
        <f t="shared" si="422"/>
        <v>04-08-2020</v>
      </c>
      <c r="Z1028" t="str">
        <f>"COS10200804 8126"</f>
        <v>COS10200804 8126</v>
      </c>
    </row>
    <row r="1029" spans="1:26" x14ac:dyDescent="0.25">
      <c r="A1029" t="str">
        <f t="shared" si="431"/>
        <v>04-08-2020 01:09:43</v>
      </c>
      <c r="B1029" t="str">
        <f>"0000809928"</f>
        <v>0000809928</v>
      </c>
      <c r="C1029" t="str">
        <f t="shared" si="432"/>
        <v>0000809803</v>
      </c>
      <c r="D1029" t="str">
        <f t="shared" si="408"/>
        <v>73185</v>
      </c>
      <c r="E1029" t="str">
        <f t="shared" si="409"/>
        <v>KFH-OPERATIONS DEPARTMENT</v>
      </c>
      <c r="F1029" t="str">
        <f t="shared" si="410"/>
        <v>IBG</v>
      </c>
      <c r="G1029" t="str">
        <f t="shared" si="423"/>
        <v>Refund COSHARE 10</v>
      </c>
      <c r="H1029" s="2">
        <v>66.25</v>
      </c>
      <c r="I1029" t="str">
        <f>"AHMAD NIZAM BIN YAHAYA"</f>
        <v>AHMAD NIZAM BIN YAHAYA</v>
      </c>
      <c r="J1029" t="str">
        <f t="shared" si="428"/>
        <v>PUBLIC BANK / PUBLIC ISLAMIC BANK</v>
      </c>
      <c r="K1029" t="str">
        <f>"4736495711"</f>
        <v>4736495711</v>
      </c>
      <c r="L1029" t="str">
        <f t="shared" si="433"/>
        <v>04-08-2020</v>
      </c>
      <c r="M1029" t="str">
        <f t="shared" si="433"/>
        <v>04-08-2020</v>
      </c>
      <c r="N1029" t="str">
        <f t="shared" si="412"/>
        <v>001105018356</v>
      </c>
      <c r="O1029" t="str">
        <f t="shared" si="413"/>
        <v>MYR</v>
      </c>
      <c r="P1029" t="str">
        <f t="shared" si="434"/>
        <v>NIL</v>
      </c>
      <c r="Q1029" t="str">
        <f t="shared" si="434"/>
        <v>NIL</v>
      </c>
      <c r="R1029" t="str">
        <f t="shared" si="415"/>
        <v>Accepted</v>
      </c>
      <c r="S1029" t="str">
        <f t="shared" si="416"/>
        <v>Approved</v>
      </c>
      <c r="T1029" t="str">
        <f t="shared" si="417"/>
        <v>10.20.8.188</v>
      </c>
      <c r="U1029" t="str">
        <f t="shared" si="418"/>
        <v>AZRAD UMAR BIN SHAARI</v>
      </c>
      <c r="V1029" t="str">
        <f t="shared" si="419"/>
        <v>FARHANA BINTI MUSTAPA</v>
      </c>
      <c r="W1029" t="str">
        <f t="shared" si="420"/>
        <v>04-08-2020</v>
      </c>
      <c r="X1029" t="str">
        <f t="shared" si="421"/>
        <v>RAZIMAH ANSAR AHMAD</v>
      </c>
      <c r="Y1029" t="str">
        <f t="shared" si="422"/>
        <v>04-08-2020</v>
      </c>
      <c r="Z1029" t="str">
        <f>"COS10200804 8125"</f>
        <v>COS10200804 8125</v>
      </c>
    </row>
    <row r="1030" spans="1:26" x14ac:dyDescent="0.25">
      <c r="A1030" t="str">
        <f t="shared" si="431"/>
        <v>04-08-2020 01:09:43</v>
      </c>
      <c r="B1030" t="str">
        <f>"0000809927"</f>
        <v>0000809927</v>
      </c>
      <c r="C1030" t="str">
        <f t="shared" si="432"/>
        <v>0000809803</v>
      </c>
      <c r="D1030" t="str">
        <f t="shared" si="408"/>
        <v>73185</v>
      </c>
      <c r="E1030" t="str">
        <f t="shared" si="409"/>
        <v>KFH-OPERATIONS DEPARTMENT</v>
      </c>
      <c r="F1030" t="str">
        <f t="shared" si="410"/>
        <v>IBG</v>
      </c>
      <c r="G1030" t="str">
        <f t="shared" si="423"/>
        <v>Refund COSHARE 10</v>
      </c>
      <c r="H1030" s="2">
        <v>66.25</v>
      </c>
      <c r="I1030" t="str">
        <f>"AHMAD NIZAM BIN YAHAYA"</f>
        <v>AHMAD NIZAM BIN YAHAYA</v>
      </c>
      <c r="J1030" t="str">
        <f t="shared" si="428"/>
        <v>PUBLIC BANK / PUBLIC ISLAMIC BANK</v>
      </c>
      <c r="K1030" t="str">
        <f>"4736495711"</f>
        <v>4736495711</v>
      </c>
      <c r="L1030" t="str">
        <f t="shared" si="433"/>
        <v>04-08-2020</v>
      </c>
      <c r="M1030" t="str">
        <f t="shared" si="433"/>
        <v>04-08-2020</v>
      </c>
      <c r="N1030" t="str">
        <f t="shared" si="412"/>
        <v>001105018356</v>
      </c>
      <c r="O1030" t="str">
        <f t="shared" si="413"/>
        <v>MYR</v>
      </c>
      <c r="P1030" t="str">
        <f t="shared" si="434"/>
        <v>NIL</v>
      </c>
      <c r="Q1030" t="str">
        <f t="shared" si="434"/>
        <v>NIL</v>
      </c>
      <c r="R1030" t="str">
        <f t="shared" si="415"/>
        <v>Accepted</v>
      </c>
      <c r="S1030" t="str">
        <f t="shared" si="416"/>
        <v>Approved</v>
      </c>
      <c r="T1030" t="str">
        <f t="shared" si="417"/>
        <v>10.20.8.188</v>
      </c>
      <c r="U1030" t="str">
        <f t="shared" si="418"/>
        <v>AZRAD UMAR BIN SHAARI</v>
      </c>
      <c r="V1030" t="str">
        <f t="shared" si="419"/>
        <v>FARHANA BINTI MUSTAPA</v>
      </c>
      <c r="W1030" t="str">
        <f t="shared" si="420"/>
        <v>04-08-2020</v>
      </c>
      <c r="X1030" t="str">
        <f t="shared" si="421"/>
        <v>RAZIMAH ANSAR AHMAD</v>
      </c>
      <c r="Y1030" t="str">
        <f t="shared" si="422"/>
        <v>04-08-2020</v>
      </c>
      <c r="Z1030" t="str">
        <f>"COS10200804 8124"</f>
        <v>COS10200804 8124</v>
      </c>
    </row>
    <row r="1031" spans="1:26" x14ac:dyDescent="0.25">
      <c r="A1031" t="str">
        <f t="shared" si="431"/>
        <v>04-08-2020 01:09:43</v>
      </c>
      <c r="B1031" t="str">
        <f>"0000809926"</f>
        <v>0000809926</v>
      </c>
      <c r="C1031" t="str">
        <f t="shared" si="432"/>
        <v>0000809803</v>
      </c>
      <c r="D1031" t="str">
        <f t="shared" ref="D1031:D1094" si="435">"73185"</f>
        <v>73185</v>
      </c>
      <c r="E1031" t="str">
        <f t="shared" ref="E1031:E1094" si="436">"KFH-OPERATIONS DEPARTMENT"</f>
        <v>KFH-OPERATIONS DEPARTMENT</v>
      </c>
      <c r="F1031" t="str">
        <f t="shared" ref="F1031:F1094" si="437">"IBG"</f>
        <v>IBG</v>
      </c>
      <c r="G1031" t="str">
        <f t="shared" si="423"/>
        <v>Refund COSHARE 10</v>
      </c>
      <c r="H1031" s="2">
        <v>80</v>
      </c>
      <c r="I1031" t="str">
        <f>"AHMAD JAIS BIN AHAD"</f>
        <v>AHMAD JAIS BIN AHAD</v>
      </c>
      <c r="J1031" t="str">
        <f t="shared" si="428"/>
        <v>PUBLIC BANK / PUBLIC ISLAMIC BANK</v>
      </c>
      <c r="K1031" t="str">
        <f>"4862593826"</f>
        <v>4862593826</v>
      </c>
      <c r="L1031" t="str">
        <f t="shared" si="433"/>
        <v>04-08-2020</v>
      </c>
      <c r="M1031" t="str">
        <f t="shared" si="433"/>
        <v>04-08-2020</v>
      </c>
      <c r="N1031" t="str">
        <f t="shared" ref="N1031:N1094" si="438">"001105018356"</f>
        <v>001105018356</v>
      </c>
      <c r="O1031" t="str">
        <f t="shared" ref="O1031:O1094" si="439">"MYR"</f>
        <v>MYR</v>
      </c>
      <c r="P1031" t="str">
        <f t="shared" si="434"/>
        <v>NIL</v>
      </c>
      <c r="Q1031" t="str">
        <f t="shared" si="434"/>
        <v>NIL</v>
      </c>
      <c r="R1031" t="str">
        <f t="shared" ref="R1031:R1094" si="440">"Accepted"</f>
        <v>Accepted</v>
      </c>
      <c r="S1031" t="str">
        <f t="shared" ref="S1031:S1094" si="441">"Approved"</f>
        <v>Approved</v>
      </c>
      <c r="T1031" t="str">
        <f t="shared" ref="T1031:T1094" si="442">"10.20.8.188"</f>
        <v>10.20.8.188</v>
      </c>
      <c r="U1031" t="str">
        <f t="shared" ref="U1031:U1094" si="443">"AZRAD UMAR BIN SHAARI"</f>
        <v>AZRAD UMAR BIN SHAARI</v>
      </c>
      <c r="V1031" t="str">
        <f t="shared" ref="V1031:V1094" si="444">"FARHANA BINTI MUSTAPA"</f>
        <v>FARHANA BINTI MUSTAPA</v>
      </c>
      <c r="W1031" t="str">
        <f t="shared" ref="W1031:W1094" si="445">"04-08-2020"</f>
        <v>04-08-2020</v>
      </c>
      <c r="X1031" t="str">
        <f t="shared" ref="X1031:X1094" si="446">"RAZIMAH ANSAR AHMAD"</f>
        <v>RAZIMAH ANSAR AHMAD</v>
      </c>
      <c r="Y1031" t="str">
        <f t="shared" ref="Y1031:Y1094" si="447">"04-08-2020"</f>
        <v>04-08-2020</v>
      </c>
      <c r="Z1031" t="str">
        <f>"COS10200804 8123"</f>
        <v>COS10200804 8123</v>
      </c>
    </row>
    <row r="1032" spans="1:26" x14ac:dyDescent="0.25">
      <c r="A1032" t="str">
        <f t="shared" si="431"/>
        <v>04-08-2020 01:09:43</v>
      </c>
      <c r="B1032" t="str">
        <f>"0000809925"</f>
        <v>0000809925</v>
      </c>
      <c r="C1032" t="str">
        <f t="shared" si="432"/>
        <v>0000809803</v>
      </c>
      <c r="D1032" t="str">
        <f t="shared" si="435"/>
        <v>73185</v>
      </c>
      <c r="E1032" t="str">
        <f t="shared" si="436"/>
        <v>KFH-OPERATIONS DEPARTMENT</v>
      </c>
      <c r="F1032" t="str">
        <f t="shared" si="437"/>
        <v>IBG</v>
      </c>
      <c r="G1032" t="str">
        <f t="shared" si="423"/>
        <v>Refund COSHARE 10</v>
      </c>
      <c r="H1032" s="2">
        <v>926</v>
      </c>
      <c r="I1032" t="str">
        <f>"AH CHIN BIN LIEW KONG FOOK"</f>
        <v>AH CHIN BIN LIEW KONG FOOK</v>
      </c>
      <c r="J1032" t="str">
        <f t="shared" si="428"/>
        <v>PUBLIC BANK / PUBLIC ISLAMIC BANK</v>
      </c>
      <c r="K1032" t="str">
        <f>"4455839106"</f>
        <v>4455839106</v>
      </c>
      <c r="L1032" t="str">
        <f t="shared" si="433"/>
        <v>04-08-2020</v>
      </c>
      <c r="M1032" t="str">
        <f t="shared" si="433"/>
        <v>04-08-2020</v>
      </c>
      <c r="N1032" t="str">
        <f t="shared" si="438"/>
        <v>001105018356</v>
      </c>
      <c r="O1032" t="str">
        <f t="shared" si="439"/>
        <v>MYR</v>
      </c>
      <c r="P1032" t="str">
        <f t="shared" si="434"/>
        <v>NIL</v>
      </c>
      <c r="Q1032" t="str">
        <f t="shared" si="434"/>
        <v>NIL</v>
      </c>
      <c r="R1032" t="str">
        <f t="shared" si="440"/>
        <v>Accepted</v>
      </c>
      <c r="S1032" t="str">
        <f t="shared" si="441"/>
        <v>Approved</v>
      </c>
      <c r="T1032" t="str">
        <f t="shared" si="442"/>
        <v>10.20.8.188</v>
      </c>
      <c r="U1032" t="str">
        <f t="shared" si="443"/>
        <v>AZRAD UMAR BIN SHAARI</v>
      </c>
      <c r="V1032" t="str">
        <f t="shared" si="444"/>
        <v>FARHANA BINTI MUSTAPA</v>
      </c>
      <c r="W1032" t="str">
        <f t="shared" si="445"/>
        <v>04-08-2020</v>
      </c>
      <c r="X1032" t="str">
        <f t="shared" si="446"/>
        <v>RAZIMAH ANSAR AHMAD</v>
      </c>
      <c r="Y1032" t="str">
        <f t="shared" si="447"/>
        <v>04-08-2020</v>
      </c>
      <c r="Z1032" t="str">
        <f>"COS10200804 8122"</f>
        <v>COS10200804 8122</v>
      </c>
    </row>
    <row r="1033" spans="1:26" x14ac:dyDescent="0.25">
      <c r="A1033" t="str">
        <f t="shared" si="431"/>
        <v>04-08-2020 01:09:43</v>
      </c>
      <c r="B1033" t="str">
        <f>"0000809924"</f>
        <v>0000809924</v>
      </c>
      <c r="C1033" t="str">
        <f t="shared" si="432"/>
        <v>0000809803</v>
      </c>
      <c r="D1033" t="str">
        <f t="shared" si="435"/>
        <v>73185</v>
      </c>
      <c r="E1033" t="str">
        <f t="shared" si="436"/>
        <v>KFH-OPERATIONS DEPARTMENT</v>
      </c>
      <c r="F1033" t="str">
        <f t="shared" si="437"/>
        <v>IBG</v>
      </c>
      <c r="G1033" t="str">
        <f t="shared" si="423"/>
        <v>Refund COSHARE 10</v>
      </c>
      <c r="H1033" s="2">
        <v>1259.25</v>
      </c>
      <c r="I1033" t="str">
        <f>"AGKU AMIRULL BIN AGKU AMIN"</f>
        <v>AGKU AMIRULL BIN AGKU AMIN</v>
      </c>
      <c r="J1033" t="str">
        <f t="shared" si="428"/>
        <v>PUBLIC BANK / PUBLIC ISLAMIC BANK</v>
      </c>
      <c r="K1033" t="str">
        <f>"4825929927"</f>
        <v>4825929927</v>
      </c>
      <c r="L1033" t="str">
        <f t="shared" si="433"/>
        <v>04-08-2020</v>
      </c>
      <c r="M1033" t="str">
        <f t="shared" si="433"/>
        <v>04-08-2020</v>
      </c>
      <c r="N1033" t="str">
        <f t="shared" si="438"/>
        <v>001105018356</v>
      </c>
      <c r="O1033" t="str">
        <f t="shared" si="439"/>
        <v>MYR</v>
      </c>
      <c r="P1033" t="str">
        <f t="shared" si="434"/>
        <v>NIL</v>
      </c>
      <c r="Q1033" t="str">
        <f t="shared" si="434"/>
        <v>NIL</v>
      </c>
      <c r="R1033" t="str">
        <f t="shared" si="440"/>
        <v>Accepted</v>
      </c>
      <c r="S1033" t="str">
        <f t="shared" si="441"/>
        <v>Approved</v>
      </c>
      <c r="T1033" t="str">
        <f t="shared" si="442"/>
        <v>10.20.8.188</v>
      </c>
      <c r="U1033" t="str">
        <f t="shared" si="443"/>
        <v>AZRAD UMAR BIN SHAARI</v>
      </c>
      <c r="V1033" t="str">
        <f t="shared" si="444"/>
        <v>FARHANA BINTI MUSTAPA</v>
      </c>
      <c r="W1033" t="str">
        <f t="shared" si="445"/>
        <v>04-08-2020</v>
      </c>
      <c r="X1033" t="str">
        <f t="shared" si="446"/>
        <v>RAZIMAH ANSAR AHMAD</v>
      </c>
      <c r="Y1033" t="str">
        <f t="shared" si="447"/>
        <v>04-08-2020</v>
      </c>
      <c r="Z1033" t="str">
        <f>"COS10200804 8121"</f>
        <v>COS10200804 8121</v>
      </c>
    </row>
    <row r="1034" spans="1:26" x14ac:dyDescent="0.25">
      <c r="A1034" t="str">
        <f t="shared" si="431"/>
        <v>04-08-2020 01:09:43</v>
      </c>
      <c r="B1034" t="str">
        <f>"0000809923"</f>
        <v>0000809923</v>
      </c>
      <c r="C1034" t="str">
        <f t="shared" si="432"/>
        <v>0000809803</v>
      </c>
      <c r="D1034" t="str">
        <f t="shared" si="435"/>
        <v>73185</v>
      </c>
      <c r="E1034" t="str">
        <f t="shared" si="436"/>
        <v>KFH-OPERATIONS DEPARTMENT</v>
      </c>
      <c r="F1034" t="str">
        <f t="shared" si="437"/>
        <v>IBG</v>
      </c>
      <c r="G1034" t="str">
        <f t="shared" si="423"/>
        <v>Refund COSHARE 10</v>
      </c>
      <c r="H1034" s="2">
        <v>1487</v>
      </c>
      <c r="I1034" t="str">
        <f>"AG MOHAMMAD SAIFUL BIN PG KAHAR"</f>
        <v>AG MOHAMMAD SAIFUL BIN PG KAHAR</v>
      </c>
      <c r="J1034" t="str">
        <f t="shared" si="428"/>
        <v>PUBLIC BANK / PUBLIC ISLAMIC BANK</v>
      </c>
      <c r="K1034" t="str">
        <f>"4958117401"</f>
        <v>4958117401</v>
      </c>
      <c r="L1034" t="str">
        <f t="shared" si="433"/>
        <v>04-08-2020</v>
      </c>
      <c r="M1034" t="str">
        <f t="shared" si="433"/>
        <v>04-08-2020</v>
      </c>
      <c r="N1034" t="str">
        <f t="shared" si="438"/>
        <v>001105018356</v>
      </c>
      <c r="O1034" t="str">
        <f t="shared" si="439"/>
        <v>MYR</v>
      </c>
      <c r="P1034" t="str">
        <f t="shared" si="434"/>
        <v>NIL</v>
      </c>
      <c r="Q1034" t="str">
        <f t="shared" si="434"/>
        <v>NIL</v>
      </c>
      <c r="R1034" t="str">
        <f t="shared" si="440"/>
        <v>Accepted</v>
      </c>
      <c r="S1034" t="str">
        <f t="shared" si="441"/>
        <v>Approved</v>
      </c>
      <c r="T1034" t="str">
        <f t="shared" si="442"/>
        <v>10.20.8.188</v>
      </c>
      <c r="U1034" t="str">
        <f t="shared" si="443"/>
        <v>AZRAD UMAR BIN SHAARI</v>
      </c>
      <c r="V1034" t="str">
        <f t="shared" si="444"/>
        <v>FARHANA BINTI MUSTAPA</v>
      </c>
      <c r="W1034" t="str">
        <f t="shared" si="445"/>
        <v>04-08-2020</v>
      </c>
      <c r="X1034" t="str">
        <f t="shared" si="446"/>
        <v>RAZIMAH ANSAR AHMAD</v>
      </c>
      <c r="Y1034" t="str">
        <f t="shared" si="447"/>
        <v>04-08-2020</v>
      </c>
      <c r="Z1034" t="str">
        <f>"COS10200804 8120"</f>
        <v>COS10200804 8120</v>
      </c>
    </row>
    <row r="1035" spans="1:26" x14ac:dyDescent="0.25">
      <c r="A1035" t="str">
        <f t="shared" si="431"/>
        <v>04-08-2020 01:09:43</v>
      </c>
      <c r="B1035" t="str">
        <f>"0000809922"</f>
        <v>0000809922</v>
      </c>
      <c r="C1035" t="str">
        <f t="shared" si="432"/>
        <v>0000809803</v>
      </c>
      <c r="D1035" t="str">
        <f t="shared" si="435"/>
        <v>73185</v>
      </c>
      <c r="E1035" t="str">
        <f t="shared" si="436"/>
        <v>KFH-OPERATIONS DEPARTMENT</v>
      </c>
      <c r="F1035" t="str">
        <f t="shared" si="437"/>
        <v>IBG</v>
      </c>
      <c r="G1035" t="str">
        <f t="shared" si="423"/>
        <v>Refund COSHARE 10</v>
      </c>
      <c r="H1035" s="2">
        <v>839.5</v>
      </c>
      <c r="I1035" t="str">
        <f>"AG KU ROSMAINI BIN AWANG MUMIN"</f>
        <v>AG KU ROSMAINI BIN AWANG MUMIN</v>
      </c>
      <c r="J1035" t="str">
        <f t="shared" si="428"/>
        <v>PUBLIC BANK / PUBLIC ISLAMIC BANK</v>
      </c>
      <c r="K1035" t="str">
        <f>"6869691314"</f>
        <v>6869691314</v>
      </c>
      <c r="L1035" t="str">
        <f t="shared" si="433"/>
        <v>04-08-2020</v>
      </c>
      <c r="M1035" t="str">
        <f t="shared" si="433"/>
        <v>04-08-2020</v>
      </c>
      <c r="N1035" t="str">
        <f t="shared" si="438"/>
        <v>001105018356</v>
      </c>
      <c r="O1035" t="str">
        <f t="shared" si="439"/>
        <v>MYR</v>
      </c>
      <c r="P1035" t="str">
        <f t="shared" si="434"/>
        <v>NIL</v>
      </c>
      <c r="Q1035" t="str">
        <f t="shared" si="434"/>
        <v>NIL</v>
      </c>
      <c r="R1035" t="str">
        <f t="shared" si="440"/>
        <v>Accepted</v>
      </c>
      <c r="S1035" t="str">
        <f t="shared" si="441"/>
        <v>Approved</v>
      </c>
      <c r="T1035" t="str">
        <f t="shared" si="442"/>
        <v>10.20.8.188</v>
      </c>
      <c r="U1035" t="str">
        <f t="shared" si="443"/>
        <v>AZRAD UMAR BIN SHAARI</v>
      </c>
      <c r="V1035" t="str">
        <f t="shared" si="444"/>
        <v>FARHANA BINTI MUSTAPA</v>
      </c>
      <c r="W1035" t="str">
        <f t="shared" si="445"/>
        <v>04-08-2020</v>
      </c>
      <c r="X1035" t="str">
        <f t="shared" si="446"/>
        <v>RAZIMAH ANSAR AHMAD</v>
      </c>
      <c r="Y1035" t="str">
        <f t="shared" si="447"/>
        <v>04-08-2020</v>
      </c>
      <c r="Z1035" t="str">
        <f>"COS10200804 8119"</f>
        <v>COS10200804 8119</v>
      </c>
    </row>
    <row r="1036" spans="1:26" x14ac:dyDescent="0.25">
      <c r="A1036" t="str">
        <f t="shared" si="431"/>
        <v>04-08-2020 01:09:43</v>
      </c>
      <c r="B1036" t="str">
        <f>"0000809921"</f>
        <v>0000809921</v>
      </c>
      <c r="C1036" t="str">
        <f t="shared" si="432"/>
        <v>0000809803</v>
      </c>
      <c r="D1036" t="str">
        <f t="shared" si="435"/>
        <v>73185</v>
      </c>
      <c r="E1036" t="str">
        <f t="shared" si="436"/>
        <v>KFH-OPERATIONS DEPARTMENT</v>
      </c>
      <c r="F1036" t="str">
        <f t="shared" si="437"/>
        <v>IBG</v>
      </c>
      <c r="G1036" t="str">
        <f t="shared" ref="G1036:G1099" si="448">"Refund COSHARE 10"</f>
        <v>Refund COSHARE 10</v>
      </c>
      <c r="H1036" s="2">
        <v>296.75</v>
      </c>
      <c r="I1036" t="str">
        <f>"AG JUDIN BIN AG PIUT"</f>
        <v>AG JUDIN BIN AG PIUT</v>
      </c>
      <c r="J1036" t="str">
        <f t="shared" si="428"/>
        <v>PUBLIC BANK / PUBLIC ISLAMIC BANK</v>
      </c>
      <c r="K1036" t="str">
        <f>"6983869335"</f>
        <v>6983869335</v>
      </c>
      <c r="L1036" t="str">
        <f t="shared" si="433"/>
        <v>04-08-2020</v>
      </c>
      <c r="M1036" t="str">
        <f t="shared" si="433"/>
        <v>04-08-2020</v>
      </c>
      <c r="N1036" t="str">
        <f t="shared" si="438"/>
        <v>001105018356</v>
      </c>
      <c r="O1036" t="str">
        <f t="shared" si="439"/>
        <v>MYR</v>
      </c>
      <c r="P1036" t="str">
        <f t="shared" si="434"/>
        <v>NIL</v>
      </c>
      <c r="Q1036" t="str">
        <f t="shared" si="434"/>
        <v>NIL</v>
      </c>
      <c r="R1036" t="str">
        <f t="shared" si="440"/>
        <v>Accepted</v>
      </c>
      <c r="S1036" t="str">
        <f t="shared" si="441"/>
        <v>Approved</v>
      </c>
      <c r="T1036" t="str">
        <f t="shared" si="442"/>
        <v>10.20.8.188</v>
      </c>
      <c r="U1036" t="str">
        <f t="shared" si="443"/>
        <v>AZRAD UMAR BIN SHAARI</v>
      </c>
      <c r="V1036" t="str">
        <f t="shared" si="444"/>
        <v>FARHANA BINTI MUSTAPA</v>
      </c>
      <c r="W1036" t="str">
        <f t="shared" si="445"/>
        <v>04-08-2020</v>
      </c>
      <c r="X1036" t="str">
        <f t="shared" si="446"/>
        <v>RAZIMAH ANSAR AHMAD</v>
      </c>
      <c r="Y1036" t="str">
        <f t="shared" si="447"/>
        <v>04-08-2020</v>
      </c>
      <c r="Z1036" t="str">
        <f>"COS10200804 8118"</f>
        <v>COS10200804 8118</v>
      </c>
    </row>
    <row r="1037" spans="1:26" x14ac:dyDescent="0.25">
      <c r="A1037" t="str">
        <f t="shared" si="431"/>
        <v>04-08-2020 01:09:43</v>
      </c>
      <c r="B1037" t="str">
        <f>"0000809920"</f>
        <v>0000809920</v>
      </c>
      <c r="C1037" t="str">
        <f t="shared" si="432"/>
        <v>0000809803</v>
      </c>
      <c r="D1037" t="str">
        <f t="shared" si="435"/>
        <v>73185</v>
      </c>
      <c r="E1037" t="str">
        <f t="shared" si="436"/>
        <v>KFH-OPERATIONS DEPARTMENT</v>
      </c>
      <c r="F1037" t="str">
        <f t="shared" si="437"/>
        <v>IBG</v>
      </c>
      <c r="G1037" t="str">
        <f t="shared" si="448"/>
        <v>Refund COSHARE 10</v>
      </c>
      <c r="H1037" s="2">
        <v>163.75</v>
      </c>
      <c r="I1037" t="str">
        <f>"ADIZAH BINTI JUAL"</f>
        <v>ADIZAH BINTI JUAL</v>
      </c>
      <c r="J1037" t="str">
        <f t="shared" si="428"/>
        <v>PUBLIC BANK / PUBLIC ISLAMIC BANK</v>
      </c>
      <c r="K1037" t="str">
        <f>"4583215901"</f>
        <v>4583215901</v>
      </c>
      <c r="L1037" t="str">
        <f t="shared" si="433"/>
        <v>04-08-2020</v>
      </c>
      <c r="M1037" t="str">
        <f t="shared" si="433"/>
        <v>04-08-2020</v>
      </c>
      <c r="N1037" t="str">
        <f t="shared" si="438"/>
        <v>001105018356</v>
      </c>
      <c r="O1037" t="str">
        <f t="shared" si="439"/>
        <v>MYR</v>
      </c>
      <c r="P1037" t="str">
        <f t="shared" si="434"/>
        <v>NIL</v>
      </c>
      <c r="Q1037" t="str">
        <f t="shared" si="434"/>
        <v>NIL</v>
      </c>
      <c r="R1037" t="str">
        <f t="shared" si="440"/>
        <v>Accepted</v>
      </c>
      <c r="S1037" t="str">
        <f t="shared" si="441"/>
        <v>Approved</v>
      </c>
      <c r="T1037" t="str">
        <f t="shared" si="442"/>
        <v>10.20.8.188</v>
      </c>
      <c r="U1037" t="str">
        <f t="shared" si="443"/>
        <v>AZRAD UMAR BIN SHAARI</v>
      </c>
      <c r="V1037" t="str">
        <f t="shared" si="444"/>
        <v>FARHANA BINTI MUSTAPA</v>
      </c>
      <c r="W1037" t="str">
        <f t="shared" si="445"/>
        <v>04-08-2020</v>
      </c>
      <c r="X1037" t="str">
        <f t="shared" si="446"/>
        <v>RAZIMAH ANSAR AHMAD</v>
      </c>
      <c r="Y1037" t="str">
        <f t="shared" si="447"/>
        <v>04-08-2020</v>
      </c>
      <c r="Z1037" t="str">
        <f>"COS10200804 8117"</f>
        <v>COS10200804 8117</v>
      </c>
    </row>
    <row r="1038" spans="1:26" x14ac:dyDescent="0.25">
      <c r="A1038" t="str">
        <f t="shared" si="431"/>
        <v>04-08-2020 01:09:43</v>
      </c>
      <c r="B1038" t="str">
        <f>"0000809919"</f>
        <v>0000809919</v>
      </c>
      <c r="C1038" t="str">
        <f t="shared" si="432"/>
        <v>0000809803</v>
      </c>
      <c r="D1038" t="str">
        <f t="shared" si="435"/>
        <v>73185</v>
      </c>
      <c r="E1038" t="str">
        <f t="shared" si="436"/>
        <v>KFH-OPERATIONS DEPARTMENT</v>
      </c>
      <c r="F1038" t="str">
        <f t="shared" si="437"/>
        <v>IBG</v>
      </c>
      <c r="G1038" t="str">
        <f t="shared" si="448"/>
        <v>Refund COSHARE 10</v>
      </c>
      <c r="H1038" s="2">
        <v>344.2</v>
      </c>
      <c r="I1038" t="str">
        <f>"ABDUL RAHMAN BIN JAMARUDDIN"</f>
        <v>ABDUL RAHMAN BIN JAMARUDDIN</v>
      </c>
      <c r="J1038" t="str">
        <f t="shared" si="428"/>
        <v>PUBLIC BANK / PUBLIC ISLAMIC BANK</v>
      </c>
      <c r="K1038" t="str">
        <f>"4333775636"</f>
        <v>4333775636</v>
      </c>
      <c r="L1038" t="str">
        <f t="shared" si="433"/>
        <v>04-08-2020</v>
      </c>
      <c r="M1038" t="str">
        <f t="shared" si="433"/>
        <v>04-08-2020</v>
      </c>
      <c r="N1038" t="str">
        <f t="shared" si="438"/>
        <v>001105018356</v>
      </c>
      <c r="O1038" t="str">
        <f t="shared" si="439"/>
        <v>MYR</v>
      </c>
      <c r="P1038" t="str">
        <f t="shared" si="434"/>
        <v>NIL</v>
      </c>
      <c r="Q1038" t="str">
        <f t="shared" si="434"/>
        <v>NIL</v>
      </c>
      <c r="R1038" t="str">
        <f t="shared" si="440"/>
        <v>Accepted</v>
      </c>
      <c r="S1038" t="str">
        <f t="shared" si="441"/>
        <v>Approved</v>
      </c>
      <c r="T1038" t="str">
        <f t="shared" si="442"/>
        <v>10.20.8.188</v>
      </c>
      <c r="U1038" t="str">
        <f t="shared" si="443"/>
        <v>AZRAD UMAR BIN SHAARI</v>
      </c>
      <c r="V1038" t="str">
        <f t="shared" si="444"/>
        <v>FARHANA BINTI MUSTAPA</v>
      </c>
      <c r="W1038" t="str">
        <f t="shared" si="445"/>
        <v>04-08-2020</v>
      </c>
      <c r="X1038" t="str">
        <f t="shared" si="446"/>
        <v>RAZIMAH ANSAR AHMAD</v>
      </c>
      <c r="Y1038" t="str">
        <f t="shared" si="447"/>
        <v>04-08-2020</v>
      </c>
      <c r="Z1038" t="str">
        <f>"COS10200804 8116"</f>
        <v>COS10200804 8116</v>
      </c>
    </row>
    <row r="1039" spans="1:26" x14ac:dyDescent="0.25">
      <c r="A1039" t="str">
        <f t="shared" si="431"/>
        <v>04-08-2020 01:09:43</v>
      </c>
      <c r="B1039" t="str">
        <f>"0000809918"</f>
        <v>0000809918</v>
      </c>
      <c r="C1039" t="str">
        <f t="shared" si="432"/>
        <v>0000809803</v>
      </c>
      <c r="D1039" t="str">
        <f t="shared" si="435"/>
        <v>73185</v>
      </c>
      <c r="E1039" t="str">
        <f t="shared" si="436"/>
        <v>KFH-OPERATIONS DEPARTMENT</v>
      </c>
      <c r="F1039" t="str">
        <f t="shared" si="437"/>
        <v>IBG</v>
      </c>
      <c r="G1039" t="str">
        <f t="shared" si="448"/>
        <v>Refund COSHARE 10</v>
      </c>
      <c r="H1039" s="2">
        <v>115.35</v>
      </c>
      <c r="I1039" t="str">
        <f>"ABDUL MALIK BIN ABDUL GHANI"</f>
        <v>ABDUL MALIK BIN ABDUL GHANI</v>
      </c>
      <c r="J1039" t="str">
        <f t="shared" si="428"/>
        <v>PUBLIC BANK / PUBLIC ISLAMIC BANK</v>
      </c>
      <c r="K1039" t="str">
        <f>"4901232429"</f>
        <v>4901232429</v>
      </c>
      <c r="L1039" t="str">
        <f t="shared" si="433"/>
        <v>04-08-2020</v>
      </c>
      <c r="M1039" t="str">
        <f t="shared" si="433"/>
        <v>04-08-2020</v>
      </c>
      <c r="N1039" t="str">
        <f t="shared" si="438"/>
        <v>001105018356</v>
      </c>
      <c r="O1039" t="str">
        <f t="shared" si="439"/>
        <v>MYR</v>
      </c>
      <c r="P1039" t="str">
        <f t="shared" si="434"/>
        <v>NIL</v>
      </c>
      <c r="Q1039" t="str">
        <f t="shared" si="434"/>
        <v>NIL</v>
      </c>
      <c r="R1039" t="str">
        <f t="shared" si="440"/>
        <v>Accepted</v>
      </c>
      <c r="S1039" t="str">
        <f t="shared" si="441"/>
        <v>Approved</v>
      </c>
      <c r="T1039" t="str">
        <f t="shared" si="442"/>
        <v>10.20.8.188</v>
      </c>
      <c r="U1039" t="str">
        <f t="shared" si="443"/>
        <v>AZRAD UMAR BIN SHAARI</v>
      </c>
      <c r="V1039" t="str">
        <f t="shared" si="444"/>
        <v>FARHANA BINTI MUSTAPA</v>
      </c>
      <c r="W1039" t="str">
        <f t="shared" si="445"/>
        <v>04-08-2020</v>
      </c>
      <c r="X1039" t="str">
        <f t="shared" si="446"/>
        <v>RAZIMAH ANSAR AHMAD</v>
      </c>
      <c r="Y1039" t="str">
        <f t="shared" si="447"/>
        <v>04-08-2020</v>
      </c>
      <c r="Z1039" t="str">
        <f>"COS10200804 8115"</f>
        <v>COS10200804 8115</v>
      </c>
    </row>
    <row r="1040" spans="1:26" x14ac:dyDescent="0.25">
      <c r="A1040" t="str">
        <f t="shared" si="431"/>
        <v>04-08-2020 01:09:43</v>
      </c>
      <c r="B1040" t="str">
        <f>"0000809917"</f>
        <v>0000809917</v>
      </c>
      <c r="C1040" t="str">
        <f t="shared" si="432"/>
        <v>0000809803</v>
      </c>
      <c r="D1040" t="str">
        <f t="shared" si="435"/>
        <v>73185</v>
      </c>
      <c r="E1040" t="str">
        <f t="shared" si="436"/>
        <v>KFH-OPERATIONS DEPARTMENT</v>
      </c>
      <c r="F1040" t="str">
        <f t="shared" si="437"/>
        <v>IBG</v>
      </c>
      <c r="G1040" t="str">
        <f t="shared" si="448"/>
        <v>Refund COSHARE 10</v>
      </c>
      <c r="H1040" s="2">
        <v>609.79999999999995</v>
      </c>
      <c r="I1040" t="str">
        <f>"ABDUL LATIF BIN SALLEH"</f>
        <v>ABDUL LATIF BIN SALLEH</v>
      </c>
      <c r="J1040" t="str">
        <f t="shared" si="428"/>
        <v>PUBLIC BANK / PUBLIC ISLAMIC BANK</v>
      </c>
      <c r="K1040" t="str">
        <f>"4850423102"</f>
        <v>4850423102</v>
      </c>
      <c r="L1040" t="str">
        <f t="shared" si="433"/>
        <v>04-08-2020</v>
      </c>
      <c r="M1040" t="str">
        <f t="shared" si="433"/>
        <v>04-08-2020</v>
      </c>
      <c r="N1040" t="str">
        <f t="shared" si="438"/>
        <v>001105018356</v>
      </c>
      <c r="O1040" t="str">
        <f t="shared" si="439"/>
        <v>MYR</v>
      </c>
      <c r="P1040" t="str">
        <f t="shared" si="434"/>
        <v>NIL</v>
      </c>
      <c r="Q1040" t="str">
        <f t="shared" si="434"/>
        <v>NIL</v>
      </c>
      <c r="R1040" t="str">
        <f t="shared" si="440"/>
        <v>Accepted</v>
      </c>
      <c r="S1040" t="str">
        <f t="shared" si="441"/>
        <v>Approved</v>
      </c>
      <c r="T1040" t="str">
        <f t="shared" si="442"/>
        <v>10.20.8.188</v>
      </c>
      <c r="U1040" t="str">
        <f t="shared" si="443"/>
        <v>AZRAD UMAR BIN SHAARI</v>
      </c>
      <c r="V1040" t="str">
        <f t="shared" si="444"/>
        <v>FARHANA BINTI MUSTAPA</v>
      </c>
      <c r="W1040" t="str">
        <f t="shared" si="445"/>
        <v>04-08-2020</v>
      </c>
      <c r="X1040" t="str">
        <f t="shared" si="446"/>
        <v>RAZIMAH ANSAR AHMAD</v>
      </c>
      <c r="Y1040" t="str">
        <f t="shared" si="447"/>
        <v>04-08-2020</v>
      </c>
      <c r="Z1040" t="str">
        <f>"COS10200804 8114"</f>
        <v>COS10200804 8114</v>
      </c>
    </row>
    <row r="1041" spans="1:26" x14ac:dyDescent="0.25">
      <c r="A1041" t="str">
        <f t="shared" si="431"/>
        <v>04-08-2020 01:09:43</v>
      </c>
      <c r="B1041" t="str">
        <f>"0000809916"</f>
        <v>0000809916</v>
      </c>
      <c r="C1041" t="str">
        <f t="shared" si="432"/>
        <v>0000809803</v>
      </c>
      <c r="D1041" t="str">
        <f t="shared" si="435"/>
        <v>73185</v>
      </c>
      <c r="E1041" t="str">
        <f t="shared" si="436"/>
        <v>KFH-OPERATIONS DEPARTMENT</v>
      </c>
      <c r="F1041" t="str">
        <f t="shared" si="437"/>
        <v>IBG</v>
      </c>
      <c r="G1041" t="str">
        <f t="shared" si="448"/>
        <v>Refund COSHARE 10</v>
      </c>
      <c r="H1041" s="2">
        <v>486.95</v>
      </c>
      <c r="I1041" t="str">
        <f>"MOHD AZUWAN BIN AHMAD"</f>
        <v>MOHD AZUWAN BIN AHMAD</v>
      </c>
      <c r="J1041" t="str">
        <f t="shared" ref="J1041:J1104" si="449">"MAYBANK / MAYBANK ISLAMIC"</f>
        <v>MAYBANK / MAYBANK ISLAMIC</v>
      </c>
      <c r="K1041" t="str">
        <f>"157090953349"</f>
        <v>157090953349</v>
      </c>
      <c r="L1041" t="str">
        <f t="shared" si="433"/>
        <v>04-08-2020</v>
      </c>
      <c r="M1041" t="str">
        <f t="shared" si="433"/>
        <v>04-08-2020</v>
      </c>
      <c r="N1041" t="str">
        <f t="shared" si="438"/>
        <v>001105018356</v>
      </c>
      <c r="O1041" t="str">
        <f t="shared" si="439"/>
        <v>MYR</v>
      </c>
      <c r="P1041" t="str">
        <f t="shared" si="434"/>
        <v>NIL</v>
      </c>
      <c r="Q1041" t="str">
        <f t="shared" si="434"/>
        <v>NIL</v>
      </c>
      <c r="R1041" t="str">
        <f t="shared" si="440"/>
        <v>Accepted</v>
      </c>
      <c r="S1041" t="str">
        <f t="shared" si="441"/>
        <v>Approved</v>
      </c>
      <c r="T1041" t="str">
        <f t="shared" si="442"/>
        <v>10.20.8.188</v>
      </c>
      <c r="U1041" t="str">
        <f t="shared" si="443"/>
        <v>AZRAD UMAR BIN SHAARI</v>
      </c>
      <c r="V1041" t="str">
        <f t="shared" si="444"/>
        <v>FARHANA BINTI MUSTAPA</v>
      </c>
      <c r="W1041" t="str">
        <f t="shared" si="445"/>
        <v>04-08-2020</v>
      </c>
      <c r="X1041" t="str">
        <f t="shared" si="446"/>
        <v>RAZIMAH ANSAR AHMAD</v>
      </c>
      <c r="Y1041" t="str">
        <f t="shared" si="447"/>
        <v>04-08-2020</v>
      </c>
      <c r="Z1041" t="str">
        <f>"COS10200804 8113"</f>
        <v>COS10200804 8113</v>
      </c>
    </row>
    <row r="1042" spans="1:26" x14ac:dyDescent="0.25">
      <c r="A1042" t="str">
        <f t="shared" si="431"/>
        <v>04-08-2020 01:09:43</v>
      </c>
      <c r="B1042" t="str">
        <f>"0000809915"</f>
        <v>0000809915</v>
      </c>
      <c r="C1042" t="str">
        <f t="shared" si="432"/>
        <v>0000809803</v>
      </c>
      <c r="D1042" t="str">
        <f t="shared" si="435"/>
        <v>73185</v>
      </c>
      <c r="E1042" t="str">
        <f t="shared" si="436"/>
        <v>KFH-OPERATIONS DEPARTMENT</v>
      </c>
      <c r="F1042" t="str">
        <f t="shared" si="437"/>
        <v>IBG</v>
      </c>
      <c r="G1042" t="str">
        <f t="shared" si="448"/>
        <v>Refund COSHARE 10</v>
      </c>
      <c r="H1042" s="2">
        <v>528.9</v>
      </c>
      <c r="I1042" t="str">
        <f>"MOHD AZHAN BIN MOHD AZIDIN"</f>
        <v>MOHD AZHAN BIN MOHD AZIDIN</v>
      </c>
      <c r="J1042" t="str">
        <f t="shared" si="449"/>
        <v>MAYBANK / MAYBANK ISLAMIC</v>
      </c>
      <c r="K1042" t="str">
        <f>"114290061758"</f>
        <v>114290061758</v>
      </c>
      <c r="L1042" t="str">
        <f t="shared" si="433"/>
        <v>04-08-2020</v>
      </c>
      <c r="M1042" t="str">
        <f t="shared" si="433"/>
        <v>04-08-2020</v>
      </c>
      <c r="N1042" t="str">
        <f t="shared" si="438"/>
        <v>001105018356</v>
      </c>
      <c r="O1042" t="str">
        <f t="shared" si="439"/>
        <v>MYR</v>
      </c>
      <c r="P1042" t="str">
        <f t="shared" si="434"/>
        <v>NIL</v>
      </c>
      <c r="Q1042" t="str">
        <f t="shared" si="434"/>
        <v>NIL</v>
      </c>
      <c r="R1042" t="str">
        <f t="shared" si="440"/>
        <v>Accepted</v>
      </c>
      <c r="S1042" t="str">
        <f t="shared" si="441"/>
        <v>Approved</v>
      </c>
      <c r="T1042" t="str">
        <f t="shared" si="442"/>
        <v>10.20.8.188</v>
      </c>
      <c r="U1042" t="str">
        <f t="shared" si="443"/>
        <v>AZRAD UMAR BIN SHAARI</v>
      </c>
      <c r="V1042" t="str">
        <f t="shared" si="444"/>
        <v>FARHANA BINTI MUSTAPA</v>
      </c>
      <c r="W1042" t="str">
        <f t="shared" si="445"/>
        <v>04-08-2020</v>
      </c>
      <c r="X1042" t="str">
        <f t="shared" si="446"/>
        <v>RAZIMAH ANSAR AHMAD</v>
      </c>
      <c r="Y1042" t="str">
        <f t="shared" si="447"/>
        <v>04-08-2020</v>
      </c>
      <c r="Z1042" t="str">
        <f>"COS10200804 8112"</f>
        <v>COS10200804 8112</v>
      </c>
    </row>
    <row r="1043" spans="1:26" x14ac:dyDescent="0.25">
      <c r="A1043" t="str">
        <f t="shared" si="431"/>
        <v>04-08-2020 01:09:43</v>
      </c>
      <c r="B1043" t="str">
        <f>"0000809914"</f>
        <v>0000809914</v>
      </c>
      <c r="C1043" t="str">
        <f t="shared" si="432"/>
        <v>0000809803</v>
      </c>
      <c r="D1043" t="str">
        <f t="shared" si="435"/>
        <v>73185</v>
      </c>
      <c r="E1043" t="str">
        <f t="shared" si="436"/>
        <v>KFH-OPERATIONS DEPARTMENT</v>
      </c>
      <c r="F1043" t="str">
        <f t="shared" si="437"/>
        <v>IBG</v>
      </c>
      <c r="G1043" t="str">
        <f t="shared" si="448"/>
        <v>Refund COSHARE 10</v>
      </c>
      <c r="H1043" s="2">
        <v>1176.75</v>
      </c>
      <c r="I1043" t="str">
        <f>"MOHAMED SUFFIAN BIN JAMALUDDIN"</f>
        <v>MOHAMED SUFFIAN BIN JAMALUDDIN</v>
      </c>
      <c r="J1043" t="str">
        <f t="shared" si="449"/>
        <v>MAYBANK / MAYBANK ISLAMIC</v>
      </c>
      <c r="K1043" t="str">
        <f>"162272694210"</f>
        <v>162272694210</v>
      </c>
      <c r="L1043" t="str">
        <f t="shared" si="433"/>
        <v>04-08-2020</v>
      </c>
      <c r="M1043" t="str">
        <f t="shared" si="433"/>
        <v>04-08-2020</v>
      </c>
      <c r="N1043" t="str">
        <f t="shared" si="438"/>
        <v>001105018356</v>
      </c>
      <c r="O1043" t="str">
        <f t="shared" si="439"/>
        <v>MYR</v>
      </c>
      <c r="P1043" t="str">
        <f t="shared" si="434"/>
        <v>NIL</v>
      </c>
      <c r="Q1043" t="str">
        <f t="shared" si="434"/>
        <v>NIL</v>
      </c>
      <c r="R1043" t="str">
        <f t="shared" si="440"/>
        <v>Accepted</v>
      </c>
      <c r="S1043" t="str">
        <f t="shared" si="441"/>
        <v>Approved</v>
      </c>
      <c r="T1043" t="str">
        <f t="shared" si="442"/>
        <v>10.20.8.188</v>
      </c>
      <c r="U1043" t="str">
        <f t="shared" si="443"/>
        <v>AZRAD UMAR BIN SHAARI</v>
      </c>
      <c r="V1043" t="str">
        <f t="shared" si="444"/>
        <v>FARHANA BINTI MUSTAPA</v>
      </c>
      <c r="W1043" t="str">
        <f t="shared" si="445"/>
        <v>04-08-2020</v>
      </c>
      <c r="X1043" t="str">
        <f t="shared" si="446"/>
        <v>RAZIMAH ANSAR AHMAD</v>
      </c>
      <c r="Y1043" t="str">
        <f t="shared" si="447"/>
        <v>04-08-2020</v>
      </c>
      <c r="Z1043" t="str">
        <f>"COS10200804 8111"</f>
        <v>COS10200804 8111</v>
      </c>
    </row>
    <row r="1044" spans="1:26" x14ac:dyDescent="0.25">
      <c r="A1044" t="str">
        <f t="shared" si="431"/>
        <v>04-08-2020 01:09:43</v>
      </c>
      <c r="B1044" t="str">
        <f>"0000809913"</f>
        <v>0000809913</v>
      </c>
      <c r="C1044" t="str">
        <f t="shared" si="432"/>
        <v>0000809803</v>
      </c>
      <c r="D1044" t="str">
        <f t="shared" si="435"/>
        <v>73185</v>
      </c>
      <c r="E1044" t="str">
        <f t="shared" si="436"/>
        <v>KFH-OPERATIONS DEPARTMENT</v>
      </c>
      <c r="F1044" t="str">
        <f t="shared" si="437"/>
        <v>IBG</v>
      </c>
      <c r="G1044" t="str">
        <f t="shared" si="448"/>
        <v>Refund COSHARE 10</v>
      </c>
      <c r="H1044" s="2">
        <v>494</v>
      </c>
      <c r="I1044" t="str">
        <f>"MASRAN BIN MANSOR"</f>
        <v>MASRAN BIN MANSOR</v>
      </c>
      <c r="J1044" t="str">
        <f t="shared" si="449"/>
        <v>MAYBANK / MAYBANK ISLAMIC</v>
      </c>
      <c r="K1044" t="str">
        <f>"162151688172"</f>
        <v>162151688172</v>
      </c>
      <c r="L1044" t="str">
        <f t="shared" si="433"/>
        <v>04-08-2020</v>
      </c>
      <c r="M1044" t="str">
        <f t="shared" si="433"/>
        <v>04-08-2020</v>
      </c>
      <c r="N1044" t="str">
        <f t="shared" si="438"/>
        <v>001105018356</v>
      </c>
      <c r="O1044" t="str">
        <f t="shared" si="439"/>
        <v>MYR</v>
      </c>
      <c r="P1044" t="str">
        <f t="shared" si="434"/>
        <v>NIL</v>
      </c>
      <c r="Q1044" t="str">
        <f t="shared" si="434"/>
        <v>NIL</v>
      </c>
      <c r="R1044" t="str">
        <f t="shared" si="440"/>
        <v>Accepted</v>
      </c>
      <c r="S1044" t="str">
        <f t="shared" si="441"/>
        <v>Approved</v>
      </c>
      <c r="T1044" t="str">
        <f t="shared" si="442"/>
        <v>10.20.8.188</v>
      </c>
      <c r="U1044" t="str">
        <f t="shared" si="443"/>
        <v>AZRAD UMAR BIN SHAARI</v>
      </c>
      <c r="V1044" t="str">
        <f t="shared" si="444"/>
        <v>FARHANA BINTI MUSTAPA</v>
      </c>
      <c r="W1044" t="str">
        <f t="shared" si="445"/>
        <v>04-08-2020</v>
      </c>
      <c r="X1044" t="str">
        <f t="shared" si="446"/>
        <v>RAZIMAH ANSAR AHMAD</v>
      </c>
      <c r="Y1044" t="str">
        <f t="shared" si="447"/>
        <v>04-08-2020</v>
      </c>
      <c r="Z1044" t="str">
        <f>"COS10200804 8110"</f>
        <v>COS10200804 8110</v>
      </c>
    </row>
    <row r="1045" spans="1:26" x14ac:dyDescent="0.25">
      <c r="A1045" t="str">
        <f t="shared" si="431"/>
        <v>04-08-2020 01:09:43</v>
      </c>
      <c r="B1045" t="str">
        <f>"0000809912"</f>
        <v>0000809912</v>
      </c>
      <c r="C1045" t="str">
        <f t="shared" si="432"/>
        <v>0000809803</v>
      </c>
      <c r="D1045" t="str">
        <f t="shared" si="435"/>
        <v>73185</v>
      </c>
      <c r="E1045" t="str">
        <f t="shared" si="436"/>
        <v>KFH-OPERATIONS DEPARTMENT</v>
      </c>
      <c r="F1045" t="str">
        <f t="shared" si="437"/>
        <v>IBG</v>
      </c>
      <c r="G1045" t="str">
        <f t="shared" si="448"/>
        <v>Refund COSHARE 10</v>
      </c>
      <c r="H1045" s="2">
        <v>864.7</v>
      </c>
      <c r="I1045" t="str">
        <f>"JESSILLIA DEWI BT ABD RAHMAN"</f>
        <v>JESSILLIA DEWI BT ABD RAHMAN</v>
      </c>
      <c r="J1045" t="str">
        <f t="shared" si="449"/>
        <v>MAYBANK / MAYBANK ISLAMIC</v>
      </c>
      <c r="K1045" t="str">
        <f>"116015081384"</f>
        <v>116015081384</v>
      </c>
      <c r="L1045" t="str">
        <f t="shared" si="433"/>
        <v>04-08-2020</v>
      </c>
      <c r="M1045" t="str">
        <f t="shared" si="433"/>
        <v>04-08-2020</v>
      </c>
      <c r="N1045" t="str">
        <f t="shared" si="438"/>
        <v>001105018356</v>
      </c>
      <c r="O1045" t="str">
        <f t="shared" si="439"/>
        <v>MYR</v>
      </c>
      <c r="P1045" t="str">
        <f t="shared" si="434"/>
        <v>NIL</v>
      </c>
      <c r="Q1045" t="str">
        <f t="shared" si="434"/>
        <v>NIL</v>
      </c>
      <c r="R1045" t="str">
        <f t="shared" si="440"/>
        <v>Accepted</v>
      </c>
      <c r="S1045" t="str">
        <f t="shared" si="441"/>
        <v>Approved</v>
      </c>
      <c r="T1045" t="str">
        <f t="shared" si="442"/>
        <v>10.20.8.188</v>
      </c>
      <c r="U1045" t="str">
        <f t="shared" si="443"/>
        <v>AZRAD UMAR BIN SHAARI</v>
      </c>
      <c r="V1045" t="str">
        <f t="shared" si="444"/>
        <v>FARHANA BINTI MUSTAPA</v>
      </c>
      <c r="W1045" t="str">
        <f t="shared" si="445"/>
        <v>04-08-2020</v>
      </c>
      <c r="X1045" t="str">
        <f t="shared" si="446"/>
        <v>RAZIMAH ANSAR AHMAD</v>
      </c>
      <c r="Y1045" t="str">
        <f t="shared" si="447"/>
        <v>04-08-2020</v>
      </c>
      <c r="Z1045" t="str">
        <f>"COS10200804 8109"</f>
        <v>COS10200804 8109</v>
      </c>
    </row>
    <row r="1046" spans="1:26" x14ac:dyDescent="0.25">
      <c r="A1046" t="str">
        <f t="shared" si="431"/>
        <v>04-08-2020 01:09:43</v>
      </c>
      <c r="B1046" t="str">
        <f>"0000809911"</f>
        <v>0000809911</v>
      </c>
      <c r="C1046" t="str">
        <f t="shared" si="432"/>
        <v>0000809803</v>
      </c>
      <c r="D1046" t="str">
        <f t="shared" si="435"/>
        <v>73185</v>
      </c>
      <c r="E1046" t="str">
        <f t="shared" si="436"/>
        <v>KFH-OPERATIONS DEPARTMENT</v>
      </c>
      <c r="F1046" t="str">
        <f t="shared" si="437"/>
        <v>IBG</v>
      </c>
      <c r="G1046" t="str">
        <f t="shared" si="448"/>
        <v>Refund COSHARE 10</v>
      </c>
      <c r="H1046" s="2">
        <v>428.15</v>
      </c>
      <c r="I1046" t="str">
        <f>"JAZLINA BTE JAAPAR"</f>
        <v>JAZLINA BTE JAAPAR</v>
      </c>
      <c r="J1046" t="str">
        <f t="shared" si="449"/>
        <v>MAYBANK / MAYBANK ISLAMIC</v>
      </c>
      <c r="K1046" t="str">
        <f>"151212959610"</f>
        <v>151212959610</v>
      </c>
      <c r="L1046" t="str">
        <f t="shared" si="433"/>
        <v>04-08-2020</v>
      </c>
      <c r="M1046" t="str">
        <f t="shared" si="433"/>
        <v>04-08-2020</v>
      </c>
      <c r="N1046" t="str">
        <f t="shared" si="438"/>
        <v>001105018356</v>
      </c>
      <c r="O1046" t="str">
        <f t="shared" si="439"/>
        <v>MYR</v>
      </c>
      <c r="P1046" t="str">
        <f t="shared" si="434"/>
        <v>NIL</v>
      </c>
      <c r="Q1046" t="str">
        <f t="shared" si="434"/>
        <v>NIL</v>
      </c>
      <c r="R1046" t="str">
        <f t="shared" si="440"/>
        <v>Accepted</v>
      </c>
      <c r="S1046" t="str">
        <f t="shared" si="441"/>
        <v>Approved</v>
      </c>
      <c r="T1046" t="str">
        <f t="shared" si="442"/>
        <v>10.20.8.188</v>
      </c>
      <c r="U1046" t="str">
        <f t="shared" si="443"/>
        <v>AZRAD UMAR BIN SHAARI</v>
      </c>
      <c r="V1046" t="str">
        <f t="shared" si="444"/>
        <v>FARHANA BINTI MUSTAPA</v>
      </c>
      <c r="W1046" t="str">
        <f t="shared" si="445"/>
        <v>04-08-2020</v>
      </c>
      <c r="X1046" t="str">
        <f t="shared" si="446"/>
        <v>RAZIMAH ANSAR AHMAD</v>
      </c>
      <c r="Y1046" t="str">
        <f t="shared" si="447"/>
        <v>04-08-2020</v>
      </c>
      <c r="Z1046" t="str">
        <f>"COS10200804 8108"</f>
        <v>COS10200804 8108</v>
      </c>
    </row>
    <row r="1047" spans="1:26" x14ac:dyDescent="0.25">
      <c r="A1047" t="str">
        <f t="shared" si="431"/>
        <v>04-08-2020 01:09:43</v>
      </c>
      <c r="B1047" t="str">
        <f>"0000809910"</f>
        <v>0000809910</v>
      </c>
      <c r="C1047" t="str">
        <f t="shared" si="432"/>
        <v>0000809803</v>
      </c>
      <c r="D1047" t="str">
        <f t="shared" si="435"/>
        <v>73185</v>
      </c>
      <c r="E1047" t="str">
        <f t="shared" si="436"/>
        <v>KFH-OPERATIONS DEPARTMENT</v>
      </c>
      <c r="F1047" t="str">
        <f t="shared" si="437"/>
        <v>IBG</v>
      </c>
      <c r="G1047" t="str">
        <f t="shared" si="448"/>
        <v>Refund COSHARE 10</v>
      </c>
      <c r="H1047" s="2">
        <v>848</v>
      </c>
      <c r="I1047" t="str">
        <f>"AZALINDA BINTI MAHAT"</f>
        <v>AZALINDA BINTI MAHAT</v>
      </c>
      <c r="J1047" t="str">
        <f t="shared" si="449"/>
        <v>MAYBANK / MAYBANK ISLAMIC</v>
      </c>
      <c r="K1047" t="str">
        <f>"112184011304"</f>
        <v>112184011304</v>
      </c>
      <c r="L1047" t="str">
        <f t="shared" ref="L1047:M1066" si="450">"04-08-2020"</f>
        <v>04-08-2020</v>
      </c>
      <c r="M1047" t="str">
        <f t="shared" si="450"/>
        <v>04-08-2020</v>
      </c>
      <c r="N1047" t="str">
        <f t="shared" si="438"/>
        <v>001105018356</v>
      </c>
      <c r="O1047" t="str">
        <f t="shared" si="439"/>
        <v>MYR</v>
      </c>
      <c r="P1047" t="str">
        <f t="shared" ref="P1047:Q1066" si="451">"NIL"</f>
        <v>NIL</v>
      </c>
      <c r="Q1047" t="str">
        <f t="shared" si="451"/>
        <v>NIL</v>
      </c>
      <c r="R1047" t="str">
        <f t="shared" si="440"/>
        <v>Accepted</v>
      </c>
      <c r="S1047" t="str">
        <f t="shared" si="441"/>
        <v>Approved</v>
      </c>
      <c r="T1047" t="str">
        <f t="shared" si="442"/>
        <v>10.20.8.188</v>
      </c>
      <c r="U1047" t="str">
        <f t="shared" si="443"/>
        <v>AZRAD UMAR BIN SHAARI</v>
      </c>
      <c r="V1047" t="str">
        <f t="shared" si="444"/>
        <v>FARHANA BINTI MUSTAPA</v>
      </c>
      <c r="W1047" t="str">
        <f t="shared" si="445"/>
        <v>04-08-2020</v>
      </c>
      <c r="X1047" t="str">
        <f t="shared" si="446"/>
        <v>RAZIMAH ANSAR AHMAD</v>
      </c>
      <c r="Y1047" t="str">
        <f t="shared" si="447"/>
        <v>04-08-2020</v>
      </c>
      <c r="Z1047" t="str">
        <f>"COS10200804 8107"</f>
        <v>COS10200804 8107</v>
      </c>
    </row>
    <row r="1048" spans="1:26" x14ac:dyDescent="0.25">
      <c r="A1048" t="str">
        <f t="shared" si="431"/>
        <v>04-08-2020 01:09:43</v>
      </c>
      <c r="B1048" t="str">
        <f>"0000809909"</f>
        <v>0000809909</v>
      </c>
      <c r="C1048" t="str">
        <f t="shared" si="432"/>
        <v>0000809803</v>
      </c>
      <c r="D1048" t="str">
        <f t="shared" si="435"/>
        <v>73185</v>
      </c>
      <c r="E1048" t="str">
        <f t="shared" si="436"/>
        <v>KFH-OPERATIONS DEPARTMENT</v>
      </c>
      <c r="F1048" t="str">
        <f t="shared" si="437"/>
        <v>IBG</v>
      </c>
      <c r="G1048" t="str">
        <f t="shared" si="448"/>
        <v>Refund COSHARE 10</v>
      </c>
      <c r="H1048" s="2">
        <v>1270.3499999999999</v>
      </c>
      <c r="I1048" t="str">
        <f>"ZURITA BINTI YUSOFF"</f>
        <v>ZURITA BINTI YUSOFF</v>
      </c>
      <c r="J1048" t="str">
        <f t="shared" si="449"/>
        <v>MAYBANK / MAYBANK ISLAMIC</v>
      </c>
      <c r="K1048" t="str">
        <f>"103024340675"</f>
        <v>103024340675</v>
      </c>
      <c r="L1048" t="str">
        <f t="shared" si="450"/>
        <v>04-08-2020</v>
      </c>
      <c r="M1048" t="str">
        <f t="shared" si="450"/>
        <v>04-08-2020</v>
      </c>
      <c r="N1048" t="str">
        <f t="shared" si="438"/>
        <v>001105018356</v>
      </c>
      <c r="O1048" t="str">
        <f t="shared" si="439"/>
        <v>MYR</v>
      </c>
      <c r="P1048" t="str">
        <f t="shared" si="451"/>
        <v>NIL</v>
      </c>
      <c r="Q1048" t="str">
        <f t="shared" si="451"/>
        <v>NIL</v>
      </c>
      <c r="R1048" t="str">
        <f t="shared" si="440"/>
        <v>Accepted</v>
      </c>
      <c r="S1048" t="str">
        <f t="shared" si="441"/>
        <v>Approved</v>
      </c>
      <c r="T1048" t="str">
        <f t="shared" si="442"/>
        <v>10.20.8.188</v>
      </c>
      <c r="U1048" t="str">
        <f t="shared" si="443"/>
        <v>AZRAD UMAR BIN SHAARI</v>
      </c>
      <c r="V1048" t="str">
        <f t="shared" si="444"/>
        <v>FARHANA BINTI MUSTAPA</v>
      </c>
      <c r="W1048" t="str">
        <f t="shared" si="445"/>
        <v>04-08-2020</v>
      </c>
      <c r="X1048" t="str">
        <f t="shared" si="446"/>
        <v>RAZIMAH ANSAR AHMAD</v>
      </c>
      <c r="Y1048" t="str">
        <f t="shared" si="447"/>
        <v>04-08-2020</v>
      </c>
      <c r="Z1048" t="str">
        <f>"COS10200804 8106"</f>
        <v>COS10200804 8106</v>
      </c>
    </row>
    <row r="1049" spans="1:26" x14ac:dyDescent="0.25">
      <c r="A1049" t="str">
        <f t="shared" si="431"/>
        <v>04-08-2020 01:09:43</v>
      </c>
      <c r="B1049" t="str">
        <f>"0000809908"</f>
        <v>0000809908</v>
      </c>
      <c r="C1049" t="str">
        <f t="shared" si="432"/>
        <v>0000809803</v>
      </c>
      <c r="D1049" t="str">
        <f t="shared" si="435"/>
        <v>73185</v>
      </c>
      <c r="E1049" t="str">
        <f t="shared" si="436"/>
        <v>KFH-OPERATIONS DEPARTMENT</v>
      </c>
      <c r="F1049" t="str">
        <f t="shared" si="437"/>
        <v>IBG</v>
      </c>
      <c r="G1049" t="str">
        <f t="shared" si="448"/>
        <v>Refund COSHARE 10</v>
      </c>
      <c r="H1049" s="2">
        <v>117.55</v>
      </c>
      <c r="I1049" t="str">
        <f>"ZURINAWATI BINTI RADZUAN"</f>
        <v>ZURINAWATI BINTI RADZUAN</v>
      </c>
      <c r="J1049" t="str">
        <f t="shared" si="449"/>
        <v>MAYBANK / MAYBANK ISLAMIC</v>
      </c>
      <c r="K1049" t="str">
        <f>"106138176533"</f>
        <v>106138176533</v>
      </c>
      <c r="L1049" t="str">
        <f t="shared" si="450"/>
        <v>04-08-2020</v>
      </c>
      <c r="M1049" t="str">
        <f t="shared" si="450"/>
        <v>04-08-2020</v>
      </c>
      <c r="N1049" t="str">
        <f t="shared" si="438"/>
        <v>001105018356</v>
      </c>
      <c r="O1049" t="str">
        <f t="shared" si="439"/>
        <v>MYR</v>
      </c>
      <c r="P1049" t="str">
        <f t="shared" si="451"/>
        <v>NIL</v>
      </c>
      <c r="Q1049" t="str">
        <f t="shared" si="451"/>
        <v>NIL</v>
      </c>
      <c r="R1049" t="str">
        <f t="shared" si="440"/>
        <v>Accepted</v>
      </c>
      <c r="S1049" t="str">
        <f t="shared" si="441"/>
        <v>Approved</v>
      </c>
      <c r="T1049" t="str">
        <f t="shared" si="442"/>
        <v>10.20.8.188</v>
      </c>
      <c r="U1049" t="str">
        <f t="shared" si="443"/>
        <v>AZRAD UMAR BIN SHAARI</v>
      </c>
      <c r="V1049" t="str">
        <f t="shared" si="444"/>
        <v>FARHANA BINTI MUSTAPA</v>
      </c>
      <c r="W1049" t="str">
        <f t="shared" si="445"/>
        <v>04-08-2020</v>
      </c>
      <c r="X1049" t="str">
        <f t="shared" si="446"/>
        <v>RAZIMAH ANSAR AHMAD</v>
      </c>
      <c r="Y1049" t="str">
        <f t="shared" si="447"/>
        <v>04-08-2020</v>
      </c>
      <c r="Z1049" t="str">
        <f>"COS10200804 8105"</f>
        <v>COS10200804 8105</v>
      </c>
    </row>
    <row r="1050" spans="1:26" x14ac:dyDescent="0.25">
      <c r="A1050" t="str">
        <f t="shared" ref="A1050:A1081" si="452">"04-08-2020 01:09:43"</f>
        <v>04-08-2020 01:09:43</v>
      </c>
      <c r="B1050" t="str">
        <f>"0000809907"</f>
        <v>0000809907</v>
      </c>
      <c r="C1050" t="str">
        <f t="shared" ref="C1050:C1081" si="453">"0000809803"</f>
        <v>0000809803</v>
      </c>
      <c r="D1050" t="str">
        <f t="shared" si="435"/>
        <v>73185</v>
      </c>
      <c r="E1050" t="str">
        <f t="shared" si="436"/>
        <v>KFH-OPERATIONS DEPARTMENT</v>
      </c>
      <c r="F1050" t="str">
        <f t="shared" si="437"/>
        <v>IBG</v>
      </c>
      <c r="G1050" t="str">
        <f t="shared" si="448"/>
        <v>Refund COSHARE 10</v>
      </c>
      <c r="H1050" s="2">
        <v>577.4</v>
      </c>
      <c r="I1050" t="str">
        <f>"ZURINAH BINTI MOHAMED HASHIM"</f>
        <v>ZURINAH BINTI MOHAMED HASHIM</v>
      </c>
      <c r="J1050" t="str">
        <f t="shared" si="449"/>
        <v>MAYBANK / MAYBANK ISLAMIC</v>
      </c>
      <c r="K1050" t="str">
        <f>"112026510882"</f>
        <v>112026510882</v>
      </c>
      <c r="L1050" t="str">
        <f t="shared" si="450"/>
        <v>04-08-2020</v>
      </c>
      <c r="M1050" t="str">
        <f t="shared" si="450"/>
        <v>04-08-2020</v>
      </c>
      <c r="N1050" t="str">
        <f t="shared" si="438"/>
        <v>001105018356</v>
      </c>
      <c r="O1050" t="str">
        <f t="shared" si="439"/>
        <v>MYR</v>
      </c>
      <c r="P1050" t="str">
        <f t="shared" si="451"/>
        <v>NIL</v>
      </c>
      <c r="Q1050" t="str">
        <f t="shared" si="451"/>
        <v>NIL</v>
      </c>
      <c r="R1050" t="str">
        <f t="shared" si="440"/>
        <v>Accepted</v>
      </c>
      <c r="S1050" t="str">
        <f t="shared" si="441"/>
        <v>Approved</v>
      </c>
      <c r="T1050" t="str">
        <f t="shared" si="442"/>
        <v>10.20.8.188</v>
      </c>
      <c r="U1050" t="str">
        <f t="shared" si="443"/>
        <v>AZRAD UMAR BIN SHAARI</v>
      </c>
      <c r="V1050" t="str">
        <f t="shared" si="444"/>
        <v>FARHANA BINTI MUSTAPA</v>
      </c>
      <c r="W1050" t="str">
        <f t="shared" si="445"/>
        <v>04-08-2020</v>
      </c>
      <c r="X1050" t="str">
        <f t="shared" si="446"/>
        <v>RAZIMAH ANSAR AHMAD</v>
      </c>
      <c r="Y1050" t="str">
        <f t="shared" si="447"/>
        <v>04-08-2020</v>
      </c>
      <c r="Z1050" t="str">
        <f>"COS10200804 8104"</f>
        <v>COS10200804 8104</v>
      </c>
    </row>
    <row r="1051" spans="1:26" x14ac:dyDescent="0.25">
      <c r="A1051" t="str">
        <f t="shared" si="452"/>
        <v>04-08-2020 01:09:43</v>
      </c>
      <c r="B1051" t="str">
        <f>"0000809906"</f>
        <v>0000809906</v>
      </c>
      <c r="C1051" t="str">
        <f t="shared" si="453"/>
        <v>0000809803</v>
      </c>
      <c r="D1051" t="str">
        <f t="shared" si="435"/>
        <v>73185</v>
      </c>
      <c r="E1051" t="str">
        <f t="shared" si="436"/>
        <v>KFH-OPERATIONS DEPARTMENT</v>
      </c>
      <c r="F1051" t="str">
        <f t="shared" si="437"/>
        <v>IBG</v>
      </c>
      <c r="G1051" t="str">
        <f t="shared" si="448"/>
        <v>Refund COSHARE 10</v>
      </c>
      <c r="H1051" s="2">
        <v>823.5</v>
      </c>
      <c r="I1051" t="str">
        <f>"ZURINA BT MAT NOOR HARMAN"</f>
        <v>ZURINA BT MAT NOOR HARMAN</v>
      </c>
      <c r="J1051" t="str">
        <f t="shared" si="449"/>
        <v>MAYBANK / MAYBANK ISLAMIC</v>
      </c>
      <c r="K1051" t="str">
        <f>"106043190132"</f>
        <v>106043190132</v>
      </c>
      <c r="L1051" t="str">
        <f t="shared" si="450"/>
        <v>04-08-2020</v>
      </c>
      <c r="M1051" t="str">
        <f t="shared" si="450"/>
        <v>04-08-2020</v>
      </c>
      <c r="N1051" t="str">
        <f t="shared" si="438"/>
        <v>001105018356</v>
      </c>
      <c r="O1051" t="str">
        <f t="shared" si="439"/>
        <v>MYR</v>
      </c>
      <c r="P1051" t="str">
        <f t="shared" si="451"/>
        <v>NIL</v>
      </c>
      <c r="Q1051" t="str">
        <f t="shared" si="451"/>
        <v>NIL</v>
      </c>
      <c r="R1051" t="str">
        <f t="shared" si="440"/>
        <v>Accepted</v>
      </c>
      <c r="S1051" t="str">
        <f t="shared" si="441"/>
        <v>Approved</v>
      </c>
      <c r="T1051" t="str">
        <f t="shared" si="442"/>
        <v>10.20.8.188</v>
      </c>
      <c r="U1051" t="str">
        <f t="shared" si="443"/>
        <v>AZRAD UMAR BIN SHAARI</v>
      </c>
      <c r="V1051" t="str">
        <f t="shared" si="444"/>
        <v>FARHANA BINTI MUSTAPA</v>
      </c>
      <c r="W1051" t="str">
        <f t="shared" si="445"/>
        <v>04-08-2020</v>
      </c>
      <c r="X1051" t="str">
        <f t="shared" si="446"/>
        <v>RAZIMAH ANSAR AHMAD</v>
      </c>
      <c r="Y1051" t="str">
        <f t="shared" si="447"/>
        <v>04-08-2020</v>
      </c>
      <c r="Z1051" t="str">
        <f>"COS10200804 8103"</f>
        <v>COS10200804 8103</v>
      </c>
    </row>
    <row r="1052" spans="1:26" x14ac:dyDescent="0.25">
      <c r="A1052" t="str">
        <f t="shared" si="452"/>
        <v>04-08-2020 01:09:43</v>
      </c>
      <c r="B1052" t="str">
        <f>"0000809905"</f>
        <v>0000809905</v>
      </c>
      <c r="C1052" t="str">
        <f t="shared" si="453"/>
        <v>0000809803</v>
      </c>
      <c r="D1052" t="str">
        <f t="shared" si="435"/>
        <v>73185</v>
      </c>
      <c r="E1052" t="str">
        <f t="shared" si="436"/>
        <v>KFH-OPERATIONS DEPARTMENT</v>
      </c>
      <c r="F1052" t="str">
        <f t="shared" si="437"/>
        <v>IBG</v>
      </c>
      <c r="G1052" t="str">
        <f t="shared" si="448"/>
        <v>Refund COSHARE 10</v>
      </c>
      <c r="H1052" s="2">
        <v>763.95</v>
      </c>
      <c r="I1052" t="str">
        <f>"ZURINA BINTI RASMO"</f>
        <v>ZURINA BINTI RASMO</v>
      </c>
      <c r="J1052" t="str">
        <f t="shared" si="449"/>
        <v>MAYBANK / MAYBANK ISLAMIC</v>
      </c>
      <c r="K1052" t="str">
        <f>"106164199095"</f>
        <v>106164199095</v>
      </c>
      <c r="L1052" t="str">
        <f t="shared" si="450"/>
        <v>04-08-2020</v>
      </c>
      <c r="M1052" t="str">
        <f t="shared" si="450"/>
        <v>04-08-2020</v>
      </c>
      <c r="N1052" t="str">
        <f t="shared" si="438"/>
        <v>001105018356</v>
      </c>
      <c r="O1052" t="str">
        <f t="shared" si="439"/>
        <v>MYR</v>
      </c>
      <c r="P1052" t="str">
        <f t="shared" si="451"/>
        <v>NIL</v>
      </c>
      <c r="Q1052" t="str">
        <f t="shared" si="451"/>
        <v>NIL</v>
      </c>
      <c r="R1052" t="str">
        <f t="shared" si="440"/>
        <v>Accepted</v>
      </c>
      <c r="S1052" t="str">
        <f t="shared" si="441"/>
        <v>Approved</v>
      </c>
      <c r="T1052" t="str">
        <f t="shared" si="442"/>
        <v>10.20.8.188</v>
      </c>
      <c r="U1052" t="str">
        <f t="shared" si="443"/>
        <v>AZRAD UMAR BIN SHAARI</v>
      </c>
      <c r="V1052" t="str">
        <f t="shared" si="444"/>
        <v>FARHANA BINTI MUSTAPA</v>
      </c>
      <c r="W1052" t="str">
        <f t="shared" si="445"/>
        <v>04-08-2020</v>
      </c>
      <c r="X1052" t="str">
        <f t="shared" si="446"/>
        <v>RAZIMAH ANSAR AHMAD</v>
      </c>
      <c r="Y1052" t="str">
        <f t="shared" si="447"/>
        <v>04-08-2020</v>
      </c>
      <c r="Z1052" t="str">
        <f>"COS10200804 8102"</f>
        <v>COS10200804 8102</v>
      </c>
    </row>
    <row r="1053" spans="1:26" x14ac:dyDescent="0.25">
      <c r="A1053" t="str">
        <f t="shared" si="452"/>
        <v>04-08-2020 01:09:43</v>
      </c>
      <c r="B1053" t="str">
        <f>"0000809904"</f>
        <v>0000809904</v>
      </c>
      <c r="C1053" t="str">
        <f t="shared" si="453"/>
        <v>0000809803</v>
      </c>
      <c r="D1053" t="str">
        <f t="shared" si="435"/>
        <v>73185</v>
      </c>
      <c r="E1053" t="str">
        <f t="shared" si="436"/>
        <v>KFH-OPERATIONS DEPARTMENT</v>
      </c>
      <c r="F1053" t="str">
        <f t="shared" si="437"/>
        <v>IBG</v>
      </c>
      <c r="G1053" t="str">
        <f t="shared" si="448"/>
        <v>Refund COSHARE 10</v>
      </c>
      <c r="H1053" s="2">
        <v>69</v>
      </c>
      <c r="I1053" t="str">
        <f>"ZURINA BINTI OTHMAN"</f>
        <v>ZURINA BINTI OTHMAN</v>
      </c>
      <c r="J1053" t="str">
        <f t="shared" si="449"/>
        <v>MAYBANK / MAYBANK ISLAMIC</v>
      </c>
      <c r="K1053" t="str">
        <f>"152040270408"</f>
        <v>152040270408</v>
      </c>
      <c r="L1053" t="str">
        <f t="shared" si="450"/>
        <v>04-08-2020</v>
      </c>
      <c r="M1053" t="str">
        <f t="shared" si="450"/>
        <v>04-08-2020</v>
      </c>
      <c r="N1053" t="str">
        <f t="shared" si="438"/>
        <v>001105018356</v>
      </c>
      <c r="O1053" t="str">
        <f t="shared" si="439"/>
        <v>MYR</v>
      </c>
      <c r="P1053" t="str">
        <f t="shared" si="451"/>
        <v>NIL</v>
      </c>
      <c r="Q1053" t="str">
        <f t="shared" si="451"/>
        <v>NIL</v>
      </c>
      <c r="R1053" t="str">
        <f t="shared" si="440"/>
        <v>Accepted</v>
      </c>
      <c r="S1053" t="str">
        <f t="shared" si="441"/>
        <v>Approved</v>
      </c>
      <c r="T1053" t="str">
        <f t="shared" si="442"/>
        <v>10.20.8.188</v>
      </c>
      <c r="U1053" t="str">
        <f t="shared" si="443"/>
        <v>AZRAD UMAR BIN SHAARI</v>
      </c>
      <c r="V1053" t="str">
        <f t="shared" si="444"/>
        <v>FARHANA BINTI MUSTAPA</v>
      </c>
      <c r="W1053" t="str">
        <f t="shared" si="445"/>
        <v>04-08-2020</v>
      </c>
      <c r="X1053" t="str">
        <f t="shared" si="446"/>
        <v>RAZIMAH ANSAR AHMAD</v>
      </c>
      <c r="Y1053" t="str">
        <f t="shared" si="447"/>
        <v>04-08-2020</v>
      </c>
      <c r="Z1053" t="str">
        <f>"COS10200804 8101"</f>
        <v>COS10200804 8101</v>
      </c>
    </row>
    <row r="1054" spans="1:26" x14ac:dyDescent="0.25">
      <c r="A1054" t="str">
        <f t="shared" si="452"/>
        <v>04-08-2020 01:09:43</v>
      </c>
      <c r="B1054" t="str">
        <f>"0000809903"</f>
        <v>0000809903</v>
      </c>
      <c r="C1054" t="str">
        <f t="shared" si="453"/>
        <v>0000809803</v>
      </c>
      <c r="D1054" t="str">
        <f t="shared" si="435"/>
        <v>73185</v>
      </c>
      <c r="E1054" t="str">
        <f t="shared" si="436"/>
        <v>KFH-OPERATIONS DEPARTMENT</v>
      </c>
      <c r="F1054" t="str">
        <f t="shared" si="437"/>
        <v>IBG</v>
      </c>
      <c r="G1054" t="str">
        <f t="shared" si="448"/>
        <v>Refund COSHARE 10</v>
      </c>
      <c r="H1054" s="2">
        <v>1108.8</v>
      </c>
      <c r="I1054" t="str">
        <f>"ZURINA BINTI OTHMAN"</f>
        <v>ZURINA BINTI OTHMAN</v>
      </c>
      <c r="J1054" t="str">
        <f t="shared" si="449"/>
        <v>MAYBANK / MAYBANK ISLAMIC</v>
      </c>
      <c r="K1054" t="str">
        <f>"152189062777"</f>
        <v>152189062777</v>
      </c>
      <c r="L1054" t="str">
        <f t="shared" si="450"/>
        <v>04-08-2020</v>
      </c>
      <c r="M1054" t="str">
        <f t="shared" si="450"/>
        <v>04-08-2020</v>
      </c>
      <c r="N1054" t="str">
        <f t="shared" si="438"/>
        <v>001105018356</v>
      </c>
      <c r="O1054" t="str">
        <f t="shared" si="439"/>
        <v>MYR</v>
      </c>
      <c r="P1054" t="str">
        <f t="shared" si="451"/>
        <v>NIL</v>
      </c>
      <c r="Q1054" t="str">
        <f t="shared" si="451"/>
        <v>NIL</v>
      </c>
      <c r="R1054" t="str">
        <f t="shared" si="440"/>
        <v>Accepted</v>
      </c>
      <c r="S1054" t="str">
        <f t="shared" si="441"/>
        <v>Approved</v>
      </c>
      <c r="T1054" t="str">
        <f t="shared" si="442"/>
        <v>10.20.8.188</v>
      </c>
      <c r="U1054" t="str">
        <f t="shared" si="443"/>
        <v>AZRAD UMAR BIN SHAARI</v>
      </c>
      <c r="V1054" t="str">
        <f t="shared" si="444"/>
        <v>FARHANA BINTI MUSTAPA</v>
      </c>
      <c r="W1054" t="str">
        <f t="shared" si="445"/>
        <v>04-08-2020</v>
      </c>
      <c r="X1054" t="str">
        <f t="shared" si="446"/>
        <v>RAZIMAH ANSAR AHMAD</v>
      </c>
      <c r="Y1054" t="str">
        <f t="shared" si="447"/>
        <v>04-08-2020</v>
      </c>
      <c r="Z1054" t="str">
        <f>"COS10200804 8100"</f>
        <v>COS10200804 8100</v>
      </c>
    </row>
    <row r="1055" spans="1:26" x14ac:dyDescent="0.25">
      <c r="A1055" t="str">
        <f t="shared" si="452"/>
        <v>04-08-2020 01:09:43</v>
      </c>
      <c r="B1055" t="str">
        <f>"0000809902"</f>
        <v>0000809902</v>
      </c>
      <c r="C1055" t="str">
        <f t="shared" si="453"/>
        <v>0000809803</v>
      </c>
      <c r="D1055" t="str">
        <f t="shared" si="435"/>
        <v>73185</v>
      </c>
      <c r="E1055" t="str">
        <f t="shared" si="436"/>
        <v>KFH-OPERATIONS DEPARTMENT</v>
      </c>
      <c r="F1055" t="str">
        <f t="shared" si="437"/>
        <v>IBG</v>
      </c>
      <c r="G1055" t="str">
        <f t="shared" si="448"/>
        <v>Refund COSHARE 10</v>
      </c>
      <c r="H1055" s="2">
        <v>254.1</v>
      </c>
      <c r="I1055" t="str">
        <f>"ZURINA BINTI ADNAN  AW GONG BAY"</f>
        <v>ZURINA BINTI ADNAN  AW GONG BAY</v>
      </c>
      <c r="J1055" t="str">
        <f t="shared" si="449"/>
        <v>MAYBANK / MAYBANK ISLAMIC</v>
      </c>
      <c r="K1055" t="str">
        <f>"155050006645"</f>
        <v>155050006645</v>
      </c>
      <c r="L1055" t="str">
        <f t="shared" si="450"/>
        <v>04-08-2020</v>
      </c>
      <c r="M1055" t="str">
        <f t="shared" si="450"/>
        <v>04-08-2020</v>
      </c>
      <c r="N1055" t="str">
        <f t="shared" si="438"/>
        <v>001105018356</v>
      </c>
      <c r="O1055" t="str">
        <f t="shared" si="439"/>
        <v>MYR</v>
      </c>
      <c r="P1055" t="str">
        <f t="shared" si="451"/>
        <v>NIL</v>
      </c>
      <c r="Q1055" t="str">
        <f t="shared" si="451"/>
        <v>NIL</v>
      </c>
      <c r="R1055" t="str">
        <f t="shared" si="440"/>
        <v>Accepted</v>
      </c>
      <c r="S1055" t="str">
        <f t="shared" si="441"/>
        <v>Approved</v>
      </c>
      <c r="T1055" t="str">
        <f t="shared" si="442"/>
        <v>10.20.8.188</v>
      </c>
      <c r="U1055" t="str">
        <f t="shared" si="443"/>
        <v>AZRAD UMAR BIN SHAARI</v>
      </c>
      <c r="V1055" t="str">
        <f t="shared" si="444"/>
        <v>FARHANA BINTI MUSTAPA</v>
      </c>
      <c r="W1055" t="str">
        <f t="shared" si="445"/>
        <v>04-08-2020</v>
      </c>
      <c r="X1055" t="str">
        <f t="shared" si="446"/>
        <v>RAZIMAH ANSAR AHMAD</v>
      </c>
      <c r="Y1055" t="str">
        <f t="shared" si="447"/>
        <v>04-08-2020</v>
      </c>
      <c r="Z1055" t="str">
        <f>"COS10200804 8099"</f>
        <v>COS10200804 8099</v>
      </c>
    </row>
    <row r="1056" spans="1:26" x14ac:dyDescent="0.25">
      <c r="A1056" t="str">
        <f t="shared" si="452"/>
        <v>04-08-2020 01:09:43</v>
      </c>
      <c r="B1056" t="str">
        <f>"0000809901"</f>
        <v>0000809901</v>
      </c>
      <c r="C1056" t="str">
        <f t="shared" si="453"/>
        <v>0000809803</v>
      </c>
      <c r="D1056" t="str">
        <f t="shared" si="435"/>
        <v>73185</v>
      </c>
      <c r="E1056" t="str">
        <f t="shared" si="436"/>
        <v>KFH-OPERATIONS DEPARTMENT</v>
      </c>
      <c r="F1056" t="str">
        <f t="shared" si="437"/>
        <v>IBG</v>
      </c>
      <c r="G1056" t="str">
        <f t="shared" si="448"/>
        <v>Refund COSHARE 10</v>
      </c>
      <c r="H1056" s="2">
        <v>839.5</v>
      </c>
      <c r="I1056" t="str">
        <f>"ZURIJAWATI BINTI KASSIM"</f>
        <v>ZURIJAWATI BINTI KASSIM</v>
      </c>
      <c r="J1056" t="str">
        <f t="shared" si="449"/>
        <v>MAYBANK / MAYBANK ISLAMIC</v>
      </c>
      <c r="K1056" t="str">
        <f>"158314077329"</f>
        <v>158314077329</v>
      </c>
      <c r="L1056" t="str">
        <f t="shared" si="450"/>
        <v>04-08-2020</v>
      </c>
      <c r="M1056" t="str">
        <f t="shared" si="450"/>
        <v>04-08-2020</v>
      </c>
      <c r="N1056" t="str">
        <f t="shared" si="438"/>
        <v>001105018356</v>
      </c>
      <c r="O1056" t="str">
        <f t="shared" si="439"/>
        <v>MYR</v>
      </c>
      <c r="P1056" t="str">
        <f t="shared" si="451"/>
        <v>NIL</v>
      </c>
      <c r="Q1056" t="str">
        <f t="shared" si="451"/>
        <v>NIL</v>
      </c>
      <c r="R1056" t="str">
        <f t="shared" si="440"/>
        <v>Accepted</v>
      </c>
      <c r="S1056" t="str">
        <f t="shared" si="441"/>
        <v>Approved</v>
      </c>
      <c r="T1056" t="str">
        <f t="shared" si="442"/>
        <v>10.20.8.188</v>
      </c>
      <c r="U1056" t="str">
        <f t="shared" si="443"/>
        <v>AZRAD UMAR BIN SHAARI</v>
      </c>
      <c r="V1056" t="str">
        <f t="shared" si="444"/>
        <v>FARHANA BINTI MUSTAPA</v>
      </c>
      <c r="W1056" t="str">
        <f t="shared" si="445"/>
        <v>04-08-2020</v>
      </c>
      <c r="X1056" t="str">
        <f t="shared" si="446"/>
        <v>RAZIMAH ANSAR AHMAD</v>
      </c>
      <c r="Y1056" t="str">
        <f t="shared" si="447"/>
        <v>04-08-2020</v>
      </c>
      <c r="Z1056" t="str">
        <f>"COS10200804 8098"</f>
        <v>COS10200804 8098</v>
      </c>
    </row>
    <row r="1057" spans="1:26" x14ac:dyDescent="0.25">
      <c r="A1057" t="str">
        <f t="shared" si="452"/>
        <v>04-08-2020 01:09:43</v>
      </c>
      <c r="B1057" t="str">
        <f>"0000809900"</f>
        <v>0000809900</v>
      </c>
      <c r="C1057" t="str">
        <f t="shared" si="453"/>
        <v>0000809803</v>
      </c>
      <c r="D1057" t="str">
        <f t="shared" si="435"/>
        <v>73185</v>
      </c>
      <c r="E1057" t="str">
        <f t="shared" si="436"/>
        <v>KFH-OPERATIONS DEPARTMENT</v>
      </c>
      <c r="F1057" t="str">
        <f t="shared" si="437"/>
        <v>IBG</v>
      </c>
      <c r="G1057" t="str">
        <f t="shared" si="448"/>
        <v>Refund COSHARE 10</v>
      </c>
      <c r="H1057" s="2">
        <v>142.75</v>
      </c>
      <c r="I1057" t="str">
        <f>"ZURIDAH BINTI DAHRON"</f>
        <v>ZURIDAH BINTI DAHRON</v>
      </c>
      <c r="J1057" t="str">
        <f t="shared" si="449"/>
        <v>MAYBANK / MAYBANK ISLAMIC</v>
      </c>
      <c r="K1057" t="str">
        <f>"162795016206"</f>
        <v>162795016206</v>
      </c>
      <c r="L1057" t="str">
        <f t="shared" si="450"/>
        <v>04-08-2020</v>
      </c>
      <c r="M1057" t="str">
        <f t="shared" si="450"/>
        <v>04-08-2020</v>
      </c>
      <c r="N1057" t="str">
        <f t="shared" si="438"/>
        <v>001105018356</v>
      </c>
      <c r="O1057" t="str">
        <f t="shared" si="439"/>
        <v>MYR</v>
      </c>
      <c r="P1057" t="str">
        <f t="shared" si="451"/>
        <v>NIL</v>
      </c>
      <c r="Q1057" t="str">
        <f t="shared" si="451"/>
        <v>NIL</v>
      </c>
      <c r="R1057" t="str">
        <f t="shared" si="440"/>
        <v>Accepted</v>
      </c>
      <c r="S1057" t="str">
        <f t="shared" si="441"/>
        <v>Approved</v>
      </c>
      <c r="T1057" t="str">
        <f t="shared" si="442"/>
        <v>10.20.8.188</v>
      </c>
      <c r="U1057" t="str">
        <f t="shared" si="443"/>
        <v>AZRAD UMAR BIN SHAARI</v>
      </c>
      <c r="V1057" t="str">
        <f t="shared" si="444"/>
        <v>FARHANA BINTI MUSTAPA</v>
      </c>
      <c r="W1057" t="str">
        <f t="shared" si="445"/>
        <v>04-08-2020</v>
      </c>
      <c r="X1057" t="str">
        <f t="shared" si="446"/>
        <v>RAZIMAH ANSAR AHMAD</v>
      </c>
      <c r="Y1057" t="str">
        <f t="shared" si="447"/>
        <v>04-08-2020</v>
      </c>
      <c r="Z1057" t="str">
        <f>"COS10200804 8097"</f>
        <v>COS10200804 8097</v>
      </c>
    </row>
    <row r="1058" spans="1:26" x14ac:dyDescent="0.25">
      <c r="A1058" t="str">
        <f t="shared" si="452"/>
        <v>04-08-2020 01:09:43</v>
      </c>
      <c r="B1058" t="str">
        <f>"0000809899"</f>
        <v>0000809899</v>
      </c>
      <c r="C1058" t="str">
        <f t="shared" si="453"/>
        <v>0000809803</v>
      </c>
      <c r="D1058" t="str">
        <f t="shared" si="435"/>
        <v>73185</v>
      </c>
      <c r="E1058" t="str">
        <f t="shared" si="436"/>
        <v>KFH-OPERATIONS DEPARTMENT</v>
      </c>
      <c r="F1058" t="str">
        <f t="shared" si="437"/>
        <v>IBG</v>
      </c>
      <c r="G1058" t="str">
        <f t="shared" si="448"/>
        <v>Refund COSHARE 10</v>
      </c>
      <c r="H1058" s="2">
        <v>948.65</v>
      </c>
      <c r="I1058" t="str">
        <f>"ZURIATI BINTI ZULKAFELY"</f>
        <v>ZURIATI BINTI ZULKAFELY</v>
      </c>
      <c r="J1058" t="str">
        <f t="shared" si="449"/>
        <v>MAYBANK / MAYBANK ISLAMIC</v>
      </c>
      <c r="K1058" t="str">
        <f>"162852028198"</f>
        <v>162852028198</v>
      </c>
      <c r="L1058" t="str">
        <f t="shared" si="450"/>
        <v>04-08-2020</v>
      </c>
      <c r="M1058" t="str">
        <f t="shared" si="450"/>
        <v>04-08-2020</v>
      </c>
      <c r="N1058" t="str">
        <f t="shared" si="438"/>
        <v>001105018356</v>
      </c>
      <c r="O1058" t="str">
        <f t="shared" si="439"/>
        <v>MYR</v>
      </c>
      <c r="P1058" t="str">
        <f t="shared" si="451"/>
        <v>NIL</v>
      </c>
      <c r="Q1058" t="str">
        <f t="shared" si="451"/>
        <v>NIL</v>
      </c>
      <c r="R1058" t="str">
        <f t="shared" si="440"/>
        <v>Accepted</v>
      </c>
      <c r="S1058" t="str">
        <f t="shared" si="441"/>
        <v>Approved</v>
      </c>
      <c r="T1058" t="str">
        <f t="shared" si="442"/>
        <v>10.20.8.188</v>
      </c>
      <c r="U1058" t="str">
        <f t="shared" si="443"/>
        <v>AZRAD UMAR BIN SHAARI</v>
      </c>
      <c r="V1058" t="str">
        <f t="shared" si="444"/>
        <v>FARHANA BINTI MUSTAPA</v>
      </c>
      <c r="W1058" t="str">
        <f t="shared" si="445"/>
        <v>04-08-2020</v>
      </c>
      <c r="X1058" t="str">
        <f t="shared" si="446"/>
        <v>RAZIMAH ANSAR AHMAD</v>
      </c>
      <c r="Y1058" t="str">
        <f t="shared" si="447"/>
        <v>04-08-2020</v>
      </c>
      <c r="Z1058" t="str">
        <f>"COS10200804 8096"</f>
        <v>COS10200804 8096</v>
      </c>
    </row>
    <row r="1059" spans="1:26" x14ac:dyDescent="0.25">
      <c r="A1059" t="str">
        <f t="shared" si="452"/>
        <v>04-08-2020 01:09:43</v>
      </c>
      <c r="B1059" t="str">
        <f>"0000809898"</f>
        <v>0000809898</v>
      </c>
      <c r="C1059" t="str">
        <f t="shared" si="453"/>
        <v>0000809803</v>
      </c>
      <c r="D1059" t="str">
        <f t="shared" si="435"/>
        <v>73185</v>
      </c>
      <c r="E1059" t="str">
        <f t="shared" si="436"/>
        <v>KFH-OPERATIONS DEPARTMENT</v>
      </c>
      <c r="F1059" t="str">
        <f t="shared" si="437"/>
        <v>IBG</v>
      </c>
      <c r="G1059" t="str">
        <f t="shared" si="448"/>
        <v>Refund COSHARE 10</v>
      </c>
      <c r="H1059" s="2">
        <v>479</v>
      </c>
      <c r="I1059" t="str">
        <f>"ZURIAH BINTI YUSOF"</f>
        <v>ZURIAH BINTI YUSOF</v>
      </c>
      <c r="J1059" t="str">
        <f t="shared" si="449"/>
        <v>MAYBANK / MAYBANK ISLAMIC</v>
      </c>
      <c r="K1059" t="str">
        <f>"151146005141"</f>
        <v>151146005141</v>
      </c>
      <c r="L1059" t="str">
        <f t="shared" si="450"/>
        <v>04-08-2020</v>
      </c>
      <c r="M1059" t="str">
        <f t="shared" si="450"/>
        <v>04-08-2020</v>
      </c>
      <c r="N1059" t="str">
        <f t="shared" si="438"/>
        <v>001105018356</v>
      </c>
      <c r="O1059" t="str">
        <f t="shared" si="439"/>
        <v>MYR</v>
      </c>
      <c r="P1059" t="str">
        <f t="shared" si="451"/>
        <v>NIL</v>
      </c>
      <c r="Q1059" t="str">
        <f t="shared" si="451"/>
        <v>NIL</v>
      </c>
      <c r="R1059" t="str">
        <f t="shared" si="440"/>
        <v>Accepted</v>
      </c>
      <c r="S1059" t="str">
        <f t="shared" si="441"/>
        <v>Approved</v>
      </c>
      <c r="T1059" t="str">
        <f t="shared" si="442"/>
        <v>10.20.8.188</v>
      </c>
      <c r="U1059" t="str">
        <f t="shared" si="443"/>
        <v>AZRAD UMAR BIN SHAARI</v>
      </c>
      <c r="V1059" t="str">
        <f t="shared" si="444"/>
        <v>FARHANA BINTI MUSTAPA</v>
      </c>
      <c r="W1059" t="str">
        <f t="shared" si="445"/>
        <v>04-08-2020</v>
      </c>
      <c r="X1059" t="str">
        <f t="shared" si="446"/>
        <v>RAZIMAH ANSAR AHMAD</v>
      </c>
      <c r="Y1059" t="str">
        <f t="shared" si="447"/>
        <v>04-08-2020</v>
      </c>
      <c r="Z1059" t="str">
        <f>"COS10200804 8095"</f>
        <v>COS10200804 8095</v>
      </c>
    </row>
    <row r="1060" spans="1:26" x14ac:dyDescent="0.25">
      <c r="A1060" t="str">
        <f t="shared" si="452"/>
        <v>04-08-2020 01:09:43</v>
      </c>
      <c r="B1060" t="str">
        <f>"0000809897"</f>
        <v>0000809897</v>
      </c>
      <c r="C1060" t="str">
        <f t="shared" si="453"/>
        <v>0000809803</v>
      </c>
      <c r="D1060" t="str">
        <f t="shared" si="435"/>
        <v>73185</v>
      </c>
      <c r="E1060" t="str">
        <f t="shared" si="436"/>
        <v>KFH-OPERATIONS DEPARTMENT</v>
      </c>
      <c r="F1060" t="str">
        <f t="shared" si="437"/>
        <v>IBG</v>
      </c>
      <c r="G1060" t="str">
        <f t="shared" si="448"/>
        <v>Refund COSHARE 10</v>
      </c>
      <c r="H1060" s="2">
        <v>713.6</v>
      </c>
      <c r="I1060" t="str">
        <f>"ZURAINAH BINTI MOKHTAR"</f>
        <v>ZURAINAH BINTI MOKHTAR</v>
      </c>
      <c r="J1060" t="str">
        <f t="shared" si="449"/>
        <v>MAYBANK / MAYBANK ISLAMIC</v>
      </c>
      <c r="K1060" t="str">
        <f>"114160026998"</f>
        <v>114160026998</v>
      </c>
      <c r="L1060" t="str">
        <f t="shared" si="450"/>
        <v>04-08-2020</v>
      </c>
      <c r="M1060" t="str">
        <f t="shared" si="450"/>
        <v>04-08-2020</v>
      </c>
      <c r="N1060" t="str">
        <f t="shared" si="438"/>
        <v>001105018356</v>
      </c>
      <c r="O1060" t="str">
        <f t="shared" si="439"/>
        <v>MYR</v>
      </c>
      <c r="P1060" t="str">
        <f t="shared" si="451"/>
        <v>NIL</v>
      </c>
      <c r="Q1060" t="str">
        <f t="shared" si="451"/>
        <v>NIL</v>
      </c>
      <c r="R1060" t="str">
        <f t="shared" si="440"/>
        <v>Accepted</v>
      </c>
      <c r="S1060" t="str">
        <f t="shared" si="441"/>
        <v>Approved</v>
      </c>
      <c r="T1060" t="str">
        <f t="shared" si="442"/>
        <v>10.20.8.188</v>
      </c>
      <c r="U1060" t="str">
        <f t="shared" si="443"/>
        <v>AZRAD UMAR BIN SHAARI</v>
      </c>
      <c r="V1060" t="str">
        <f t="shared" si="444"/>
        <v>FARHANA BINTI MUSTAPA</v>
      </c>
      <c r="W1060" t="str">
        <f t="shared" si="445"/>
        <v>04-08-2020</v>
      </c>
      <c r="X1060" t="str">
        <f t="shared" si="446"/>
        <v>RAZIMAH ANSAR AHMAD</v>
      </c>
      <c r="Y1060" t="str">
        <f t="shared" si="447"/>
        <v>04-08-2020</v>
      </c>
      <c r="Z1060" t="str">
        <f>"COS10200804 8094"</f>
        <v>COS10200804 8094</v>
      </c>
    </row>
    <row r="1061" spans="1:26" x14ac:dyDescent="0.25">
      <c r="A1061" t="str">
        <f t="shared" si="452"/>
        <v>04-08-2020 01:09:43</v>
      </c>
      <c r="B1061" t="str">
        <f>"0000809896"</f>
        <v>0000809896</v>
      </c>
      <c r="C1061" t="str">
        <f t="shared" si="453"/>
        <v>0000809803</v>
      </c>
      <c r="D1061" t="str">
        <f t="shared" si="435"/>
        <v>73185</v>
      </c>
      <c r="E1061" t="str">
        <f t="shared" si="436"/>
        <v>KFH-OPERATIONS DEPARTMENT</v>
      </c>
      <c r="F1061" t="str">
        <f t="shared" si="437"/>
        <v>IBG</v>
      </c>
      <c r="G1061" t="str">
        <f t="shared" si="448"/>
        <v>Refund COSHARE 10</v>
      </c>
      <c r="H1061" s="2">
        <v>419.75</v>
      </c>
      <c r="I1061" t="str">
        <f>"ZURAIMI BIN KHALID"</f>
        <v>ZURAIMI BIN KHALID</v>
      </c>
      <c r="J1061" t="str">
        <f t="shared" si="449"/>
        <v>MAYBANK / MAYBANK ISLAMIC</v>
      </c>
      <c r="K1061" t="str">
        <f>"151017159567"</f>
        <v>151017159567</v>
      </c>
      <c r="L1061" t="str">
        <f t="shared" si="450"/>
        <v>04-08-2020</v>
      </c>
      <c r="M1061" t="str">
        <f t="shared" si="450"/>
        <v>04-08-2020</v>
      </c>
      <c r="N1061" t="str">
        <f t="shared" si="438"/>
        <v>001105018356</v>
      </c>
      <c r="O1061" t="str">
        <f t="shared" si="439"/>
        <v>MYR</v>
      </c>
      <c r="P1061" t="str">
        <f t="shared" si="451"/>
        <v>NIL</v>
      </c>
      <c r="Q1061" t="str">
        <f t="shared" si="451"/>
        <v>NIL</v>
      </c>
      <c r="R1061" t="str">
        <f t="shared" si="440"/>
        <v>Accepted</v>
      </c>
      <c r="S1061" t="str">
        <f t="shared" si="441"/>
        <v>Approved</v>
      </c>
      <c r="T1061" t="str">
        <f t="shared" si="442"/>
        <v>10.20.8.188</v>
      </c>
      <c r="U1061" t="str">
        <f t="shared" si="443"/>
        <v>AZRAD UMAR BIN SHAARI</v>
      </c>
      <c r="V1061" t="str">
        <f t="shared" si="444"/>
        <v>FARHANA BINTI MUSTAPA</v>
      </c>
      <c r="W1061" t="str">
        <f t="shared" si="445"/>
        <v>04-08-2020</v>
      </c>
      <c r="X1061" t="str">
        <f t="shared" si="446"/>
        <v>RAZIMAH ANSAR AHMAD</v>
      </c>
      <c r="Y1061" t="str">
        <f t="shared" si="447"/>
        <v>04-08-2020</v>
      </c>
      <c r="Z1061" t="str">
        <f>"COS10200804 8093"</f>
        <v>COS10200804 8093</v>
      </c>
    </row>
    <row r="1062" spans="1:26" x14ac:dyDescent="0.25">
      <c r="A1062" t="str">
        <f t="shared" si="452"/>
        <v>04-08-2020 01:09:43</v>
      </c>
      <c r="B1062" t="str">
        <f>"0000809895"</f>
        <v>0000809895</v>
      </c>
      <c r="C1062" t="str">
        <f t="shared" si="453"/>
        <v>0000809803</v>
      </c>
      <c r="D1062" t="str">
        <f t="shared" si="435"/>
        <v>73185</v>
      </c>
      <c r="E1062" t="str">
        <f t="shared" si="436"/>
        <v>KFH-OPERATIONS DEPARTMENT</v>
      </c>
      <c r="F1062" t="str">
        <f t="shared" si="437"/>
        <v>IBG</v>
      </c>
      <c r="G1062" t="str">
        <f t="shared" si="448"/>
        <v>Refund COSHARE 10</v>
      </c>
      <c r="H1062" s="2">
        <v>495.3</v>
      </c>
      <c r="I1062" t="str">
        <f>"ZURAIHA BNTI SARIF"</f>
        <v>ZURAIHA BNTI SARIF</v>
      </c>
      <c r="J1062" t="str">
        <f t="shared" si="449"/>
        <v>MAYBANK / MAYBANK ISLAMIC</v>
      </c>
      <c r="K1062" t="str">
        <f>"101133212536"</f>
        <v>101133212536</v>
      </c>
      <c r="L1062" t="str">
        <f t="shared" si="450"/>
        <v>04-08-2020</v>
      </c>
      <c r="M1062" t="str">
        <f t="shared" si="450"/>
        <v>04-08-2020</v>
      </c>
      <c r="N1062" t="str">
        <f t="shared" si="438"/>
        <v>001105018356</v>
      </c>
      <c r="O1062" t="str">
        <f t="shared" si="439"/>
        <v>MYR</v>
      </c>
      <c r="P1062" t="str">
        <f t="shared" si="451"/>
        <v>NIL</v>
      </c>
      <c r="Q1062" t="str">
        <f t="shared" si="451"/>
        <v>NIL</v>
      </c>
      <c r="R1062" t="str">
        <f t="shared" si="440"/>
        <v>Accepted</v>
      </c>
      <c r="S1062" t="str">
        <f t="shared" si="441"/>
        <v>Approved</v>
      </c>
      <c r="T1062" t="str">
        <f t="shared" si="442"/>
        <v>10.20.8.188</v>
      </c>
      <c r="U1062" t="str">
        <f t="shared" si="443"/>
        <v>AZRAD UMAR BIN SHAARI</v>
      </c>
      <c r="V1062" t="str">
        <f t="shared" si="444"/>
        <v>FARHANA BINTI MUSTAPA</v>
      </c>
      <c r="W1062" t="str">
        <f t="shared" si="445"/>
        <v>04-08-2020</v>
      </c>
      <c r="X1062" t="str">
        <f t="shared" si="446"/>
        <v>RAZIMAH ANSAR AHMAD</v>
      </c>
      <c r="Y1062" t="str">
        <f t="shared" si="447"/>
        <v>04-08-2020</v>
      </c>
      <c r="Z1062" t="str">
        <f>"COS10200804 8092"</f>
        <v>COS10200804 8092</v>
      </c>
    </row>
    <row r="1063" spans="1:26" x14ac:dyDescent="0.25">
      <c r="A1063" t="str">
        <f t="shared" si="452"/>
        <v>04-08-2020 01:09:43</v>
      </c>
      <c r="B1063" t="str">
        <f>"0000809894"</f>
        <v>0000809894</v>
      </c>
      <c r="C1063" t="str">
        <f t="shared" si="453"/>
        <v>0000809803</v>
      </c>
      <c r="D1063" t="str">
        <f t="shared" si="435"/>
        <v>73185</v>
      </c>
      <c r="E1063" t="str">
        <f t="shared" si="436"/>
        <v>KFH-OPERATIONS DEPARTMENT</v>
      </c>
      <c r="F1063" t="str">
        <f t="shared" si="437"/>
        <v>IBG</v>
      </c>
      <c r="G1063" t="str">
        <f t="shared" si="448"/>
        <v>Refund COSHARE 10</v>
      </c>
      <c r="H1063" s="2">
        <v>268.64999999999998</v>
      </c>
      <c r="I1063" t="str">
        <f>"ZURAIHA BINTI ISMAIL  AB RAHIM"</f>
        <v>ZURAIHA BINTI ISMAIL  AB RAHIM</v>
      </c>
      <c r="J1063" t="str">
        <f t="shared" si="449"/>
        <v>MAYBANK / MAYBANK ISLAMIC</v>
      </c>
      <c r="K1063" t="str">
        <f>"103015786540"</f>
        <v>103015786540</v>
      </c>
      <c r="L1063" t="str">
        <f t="shared" si="450"/>
        <v>04-08-2020</v>
      </c>
      <c r="M1063" t="str">
        <f t="shared" si="450"/>
        <v>04-08-2020</v>
      </c>
      <c r="N1063" t="str">
        <f t="shared" si="438"/>
        <v>001105018356</v>
      </c>
      <c r="O1063" t="str">
        <f t="shared" si="439"/>
        <v>MYR</v>
      </c>
      <c r="P1063" t="str">
        <f t="shared" si="451"/>
        <v>NIL</v>
      </c>
      <c r="Q1063" t="str">
        <f t="shared" si="451"/>
        <v>NIL</v>
      </c>
      <c r="R1063" t="str">
        <f t="shared" si="440"/>
        <v>Accepted</v>
      </c>
      <c r="S1063" t="str">
        <f t="shared" si="441"/>
        <v>Approved</v>
      </c>
      <c r="T1063" t="str">
        <f t="shared" si="442"/>
        <v>10.20.8.188</v>
      </c>
      <c r="U1063" t="str">
        <f t="shared" si="443"/>
        <v>AZRAD UMAR BIN SHAARI</v>
      </c>
      <c r="V1063" t="str">
        <f t="shared" si="444"/>
        <v>FARHANA BINTI MUSTAPA</v>
      </c>
      <c r="W1063" t="str">
        <f t="shared" si="445"/>
        <v>04-08-2020</v>
      </c>
      <c r="X1063" t="str">
        <f t="shared" si="446"/>
        <v>RAZIMAH ANSAR AHMAD</v>
      </c>
      <c r="Y1063" t="str">
        <f t="shared" si="447"/>
        <v>04-08-2020</v>
      </c>
      <c r="Z1063" t="str">
        <f>"COS10200804 8091"</f>
        <v>COS10200804 8091</v>
      </c>
    </row>
    <row r="1064" spans="1:26" x14ac:dyDescent="0.25">
      <c r="A1064" t="str">
        <f t="shared" si="452"/>
        <v>04-08-2020 01:09:43</v>
      </c>
      <c r="B1064" t="str">
        <f>"0000809893"</f>
        <v>0000809893</v>
      </c>
      <c r="C1064" t="str">
        <f t="shared" si="453"/>
        <v>0000809803</v>
      </c>
      <c r="D1064" t="str">
        <f t="shared" si="435"/>
        <v>73185</v>
      </c>
      <c r="E1064" t="str">
        <f t="shared" si="436"/>
        <v>KFH-OPERATIONS DEPARTMENT</v>
      </c>
      <c r="F1064" t="str">
        <f t="shared" si="437"/>
        <v>IBG</v>
      </c>
      <c r="G1064" t="str">
        <f t="shared" si="448"/>
        <v>Refund COSHARE 10</v>
      </c>
      <c r="H1064" s="2">
        <v>982.35</v>
      </c>
      <c r="I1064" t="str">
        <f>"ZURAIDAH BINTI ZAINUDDIN"</f>
        <v>ZURAIDAH BINTI ZAINUDDIN</v>
      </c>
      <c r="J1064" t="str">
        <f t="shared" si="449"/>
        <v>MAYBANK / MAYBANK ISLAMIC</v>
      </c>
      <c r="K1064" t="str">
        <f>"114011537742"</f>
        <v>114011537742</v>
      </c>
      <c r="L1064" t="str">
        <f t="shared" si="450"/>
        <v>04-08-2020</v>
      </c>
      <c r="M1064" t="str">
        <f t="shared" si="450"/>
        <v>04-08-2020</v>
      </c>
      <c r="N1064" t="str">
        <f t="shared" si="438"/>
        <v>001105018356</v>
      </c>
      <c r="O1064" t="str">
        <f t="shared" si="439"/>
        <v>MYR</v>
      </c>
      <c r="P1064" t="str">
        <f t="shared" si="451"/>
        <v>NIL</v>
      </c>
      <c r="Q1064" t="str">
        <f t="shared" si="451"/>
        <v>NIL</v>
      </c>
      <c r="R1064" t="str">
        <f t="shared" si="440"/>
        <v>Accepted</v>
      </c>
      <c r="S1064" t="str">
        <f t="shared" si="441"/>
        <v>Approved</v>
      </c>
      <c r="T1064" t="str">
        <f t="shared" si="442"/>
        <v>10.20.8.188</v>
      </c>
      <c r="U1064" t="str">
        <f t="shared" si="443"/>
        <v>AZRAD UMAR BIN SHAARI</v>
      </c>
      <c r="V1064" t="str">
        <f t="shared" si="444"/>
        <v>FARHANA BINTI MUSTAPA</v>
      </c>
      <c r="W1064" t="str">
        <f t="shared" si="445"/>
        <v>04-08-2020</v>
      </c>
      <c r="X1064" t="str">
        <f t="shared" si="446"/>
        <v>RAZIMAH ANSAR AHMAD</v>
      </c>
      <c r="Y1064" t="str">
        <f t="shared" si="447"/>
        <v>04-08-2020</v>
      </c>
      <c r="Z1064" t="str">
        <f>"COS10200804 8090"</f>
        <v>COS10200804 8090</v>
      </c>
    </row>
    <row r="1065" spans="1:26" x14ac:dyDescent="0.25">
      <c r="A1065" t="str">
        <f t="shared" si="452"/>
        <v>04-08-2020 01:09:43</v>
      </c>
      <c r="B1065" t="str">
        <f>"0000809892"</f>
        <v>0000809892</v>
      </c>
      <c r="C1065" t="str">
        <f t="shared" si="453"/>
        <v>0000809803</v>
      </c>
      <c r="D1065" t="str">
        <f t="shared" si="435"/>
        <v>73185</v>
      </c>
      <c r="E1065" t="str">
        <f t="shared" si="436"/>
        <v>KFH-OPERATIONS DEPARTMENT</v>
      </c>
      <c r="F1065" t="str">
        <f t="shared" si="437"/>
        <v>IBG</v>
      </c>
      <c r="G1065" t="str">
        <f t="shared" si="448"/>
        <v>Refund COSHARE 10</v>
      </c>
      <c r="H1065" s="2">
        <v>759</v>
      </c>
      <c r="I1065" t="str">
        <f>"ZURAIDAH BINTI MUNSARIF"</f>
        <v>ZURAIDAH BINTI MUNSARIF</v>
      </c>
      <c r="J1065" t="str">
        <f t="shared" si="449"/>
        <v>MAYBANK / MAYBANK ISLAMIC</v>
      </c>
      <c r="K1065" t="str">
        <f>"158088153893"</f>
        <v>158088153893</v>
      </c>
      <c r="L1065" t="str">
        <f t="shared" si="450"/>
        <v>04-08-2020</v>
      </c>
      <c r="M1065" t="str">
        <f t="shared" si="450"/>
        <v>04-08-2020</v>
      </c>
      <c r="N1065" t="str">
        <f t="shared" si="438"/>
        <v>001105018356</v>
      </c>
      <c r="O1065" t="str">
        <f t="shared" si="439"/>
        <v>MYR</v>
      </c>
      <c r="P1065" t="str">
        <f t="shared" si="451"/>
        <v>NIL</v>
      </c>
      <c r="Q1065" t="str">
        <f t="shared" si="451"/>
        <v>NIL</v>
      </c>
      <c r="R1065" t="str">
        <f t="shared" si="440"/>
        <v>Accepted</v>
      </c>
      <c r="S1065" t="str">
        <f t="shared" si="441"/>
        <v>Approved</v>
      </c>
      <c r="T1065" t="str">
        <f t="shared" si="442"/>
        <v>10.20.8.188</v>
      </c>
      <c r="U1065" t="str">
        <f t="shared" si="443"/>
        <v>AZRAD UMAR BIN SHAARI</v>
      </c>
      <c r="V1065" t="str">
        <f t="shared" si="444"/>
        <v>FARHANA BINTI MUSTAPA</v>
      </c>
      <c r="W1065" t="str">
        <f t="shared" si="445"/>
        <v>04-08-2020</v>
      </c>
      <c r="X1065" t="str">
        <f t="shared" si="446"/>
        <v>RAZIMAH ANSAR AHMAD</v>
      </c>
      <c r="Y1065" t="str">
        <f t="shared" si="447"/>
        <v>04-08-2020</v>
      </c>
      <c r="Z1065" t="str">
        <f>"COS10200804 8089"</f>
        <v>COS10200804 8089</v>
      </c>
    </row>
    <row r="1066" spans="1:26" x14ac:dyDescent="0.25">
      <c r="A1066" t="str">
        <f t="shared" si="452"/>
        <v>04-08-2020 01:09:43</v>
      </c>
      <c r="B1066" t="str">
        <f>"0000809891"</f>
        <v>0000809891</v>
      </c>
      <c r="C1066" t="str">
        <f t="shared" si="453"/>
        <v>0000809803</v>
      </c>
      <c r="D1066" t="str">
        <f t="shared" si="435"/>
        <v>73185</v>
      </c>
      <c r="E1066" t="str">
        <f t="shared" si="436"/>
        <v>KFH-OPERATIONS DEPARTMENT</v>
      </c>
      <c r="F1066" t="str">
        <f t="shared" si="437"/>
        <v>IBG</v>
      </c>
      <c r="G1066" t="str">
        <f t="shared" si="448"/>
        <v>Refund COSHARE 10</v>
      </c>
      <c r="H1066" s="2">
        <v>736</v>
      </c>
      <c r="I1066" t="str">
        <f>"ZURAIDAH BINTI KARIMHUSSEIN"</f>
        <v>ZURAIDAH BINTI KARIMHUSSEIN</v>
      </c>
      <c r="J1066" t="str">
        <f t="shared" si="449"/>
        <v>MAYBANK / MAYBANK ISLAMIC</v>
      </c>
      <c r="K1066" t="str">
        <f>"101271029501"</f>
        <v>101271029501</v>
      </c>
      <c r="L1066" t="str">
        <f t="shared" si="450"/>
        <v>04-08-2020</v>
      </c>
      <c r="M1066" t="str">
        <f t="shared" si="450"/>
        <v>04-08-2020</v>
      </c>
      <c r="N1066" t="str">
        <f t="shared" si="438"/>
        <v>001105018356</v>
      </c>
      <c r="O1066" t="str">
        <f t="shared" si="439"/>
        <v>MYR</v>
      </c>
      <c r="P1066" t="str">
        <f t="shared" si="451"/>
        <v>NIL</v>
      </c>
      <c r="Q1066" t="str">
        <f t="shared" si="451"/>
        <v>NIL</v>
      </c>
      <c r="R1066" t="str">
        <f t="shared" si="440"/>
        <v>Accepted</v>
      </c>
      <c r="S1066" t="str">
        <f t="shared" si="441"/>
        <v>Approved</v>
      </c>
      <c r="T1066" t="str">
        <f t="shared" si="442"/>
        <v>10.20.8.188</v>
      </c>
      <c r="U1066" t="str">
        <f t="shared" si="443"/>
        <v>AZRAD UMAR BIN SHAARI</v>
      </c>
      <c r="V1066" t="str">
        <f t="shared" si="444"/>
        <v>FARHANA BINTI MUSTAPA</v>
      </c>
      <c r="W1066" t="str">
        <f t="shared" si="445"/>
        <v>04-08-2020</v>
      </c>
      <c r="X1066" t="str">
        <f t="shared" si="446"/>
        <v>RAZIMAH ANSAR AHMAD</v>
      </c>
      <c r="Y1066" t="str">
        <f t="shared" si="447"/>
        <v>04-08-2020</v>
      </c>
      <c r="Z1066" t="str">
        <f>"COS10200804 8088"</f>
        <v>COS10200804 8088</v>
      </c>
    </row>
    <row r="1067" spans="1:26" x14ac:dyDescent="0.25">
      <c r="A1067" t="str">
        <f t="shared" si="452"/>
        <v>04-08-2020 01:09:43</v>
      </c>
      <c r="B1067" t="str">
        <f>"0000809890"</f>
        <v>0000809890</v>
      </c>
      <c r="C1067" t="str">
        <f t="shared" si="453"/>
        <v>0000809803</v>
      </c>
      <c r="D1067" t="str">
        <f t="shared" si="435"/>
        <v>73185</v>
      </c>
      <c r="E1067" t="str">
        <f t="shared" si="436"/>
        <v>KFH-OPERATIONS DEPARTMENT</v>
      </c>
      <c r="F1067" t="str">
        <f t="shared" si="437"/>
        <v>IBG</v>
      </c>
      <c r="G1067" t="str">
        <f t="shared" si="448"/>
        <v>Refund COSHARE 10</v>
      </c>
      <c r="H1067" s="2">
        <v>92.35</v>
      </c>
      <c r="I1067" t="str">
        <f>"ZURAIDAH BINTI ISHAK"</f>
        <v>ZURAIDAH BINTI ISHAK</v>
      </c>
      <c r="J1067" t="str">
        <f t="shared" si="449"/>
        <v>MAYBANK / MAYBANK ISLAMIC</v>
      </c>
      <c r="K1067" t="str">
        <f>"163019343404"</f>
        <v>163019343404</v>
      </c>
      <c r="L1067" t="str">
        <f t="shared" ref="L1067:M1086" si="454">"04-08-2020"</f>
        <v>04-08-2020</v>
      </c>
      <c r="M1067" t="str">
        <f t="shared" si="454"/>
        <v>04-08-2020</v>
      </c>
      <c r="N1067" t="str">
        <f t="shared" si="438"/>
        <v>001105018356</v>
      </c>
      <c r="O1067" t="str">
        <f t="shared" si="439"/>
        <v>MYR</v>
      </c>
      <c r="P1067" t="str">
        <f t="shared" ref="P1067:Q1086" si="455">"NIL"</f>
        <v>NIL</v>
      </c>
      <c r="Q1067" t="str">
        <f t="shared" si="455"/>
        <v>NIL</v>
      </c>
      <c r="R1067" t="str">
        <f t="shared" si="440"/>
        <v>Accepted</v>
      </c>
      <c r="S1067" t="str">
        <f t="shared" si="441"/>
        <v>Approved</v>
      </c>
      <c r="T1067" t="str">
        <f t="shared" si="442"/>
        <v>10.20.8.188</v>
      </c>
      <c r="U1067" t="str">
        <f t="shared" si="443"/>
        <v>AZRAD UMAR BIN SHAARI</v>
      </c>
      <c r="V1067" t="str">
        <f t="shared" si="444"/>
        <v>FARHANA BINTI MUSTAPA</v>
      </c>
      <c r="W1067" t="str">
        <f t="shared" si="445"/>
        <v>04-08-2020</v>
      </c>
      <c r="X1067" t="str">
        <f t="shared" si="446"/>
        <v>RAZIMAH ANSAR AHMAD</v>
      </c>
      <c r="Y1067" t="str">
        <f t="shared" si="447"/>
        <v>04-08-2020</v>
      </c>
      <c r="Z1067" t="str">
        <f>"COS10200804 8087"</f>
        <v>COS10200804 8087</v>
      </c>
    </row>
    <row r="1068" spans="1:26" x14ac:dyDescent="0.25">
      <c r="A1068" t="str">
        <f t="shared" si="452"/>
        <v>04-08-2020 01:09:43</v>
      </c>
      <c r="B1068" t="str">
        <f>"0000809889"</f>
        <v>0000809889</v>
      </c>
      <c r="C1068" t="str">
        <f t="shared" si="453"/>
        <v>0000809803</v>
      </c>
      <c r="D1068" t="str">
        <f t="shared" si="435"/>
        <v>73185</v>
      </c>
      <c r="E1068" t="str">
        <f t="shared" si="436"/>
        <v>KFH-OPERATIONS DEPARTMENT</v>
      </c>
      <c r="F1068" t="str">
        <f t="shared" si="437"/>
        <v>IBG</v>
      </c>
      <c r="G1068" t="str">
        <f t="shared" si="448"/>
        <v>Refund COSHARE 10</v>
      </c>
      <c r="H1068" s="2">
        <v>1586.65</v>
      </c>
      <c r="I1068" t="str">
        <f>"ZURAIDAH BINTI ISHAK"</f>
        <v>ZURAIDAH BINTI ISHAK</v>
      </c>
      <c r="J1068" t="str">
        <f t="shared" si="449"/>
        <v>MAYBANK / MAYBANK ISLAMIC</v>
      </c>
      <c r="K1068" t="str">
        <f>"163019343404"</f>
        <v>163019343404</v>
      </c>
      <c r="L1068" t="str">
        <f t="shared" si="454"/>
        <v>04-08-2020</v>
      </c>
      <c r="M1068" t="str">
        <f t="shared" si="454"/>
        <v>04-08-2020</v>
      </c>
      <c r="N1068" t="str">
        <f t="shared" si="438"/>
        <v>001105018356</v>
      </c>
      <c r="O1068" t="str">
        <f t="shared" si="439"/>
        <v>MYR</v>
      </c>
      <c r="P1068" t="str">
        <f t="shared" si="455"/>
        <v>NIL</v>
      </c>
      <c r="Q1068" t="str">
        <f t="shared" si="455"/>
        <v>NIL</v>
      </c>
      <c r="R1068" t="str">
        <f t="shared" si="440"/>
        <v>Accepted</v>
      </c>
      <c r="S1068" t="str">
        <f t="shared" si="441"/>
        <v>Approved</v>
      </c>
      <c r="T1068" t="str">
        <f t="shared" si="442"/>
        <v>10.20.8.188</v>
      </c>
      <c r="U1068" t="str">
        <f t="shared" si="443"/>
        <v>AZRAD UMAR BIN SHAARI</v>
      </c>
      <c r="V1068" t="str">
        <f t="shared" si="444"/>
        <v>FARHANA BINTI MUSTAPA</v>
      </c>
      <c r="W1068" t="str">
        <f t="shared" si="445"/>
        <v>04-08-2020</v>
      </c>
      <c r="X1068" t="str">
        <f t="shared" si="446"/>
        <v>RAZIMAH ANSAR AHMAD</v>
      </c>
      <c r="Y1068" t="str">
        <f t="shared" si="447"/>
        <v>04-08-2020</v>
      </c>
      <c r="Z1068" t="str">
        <f>"COS10200804 8086"</f>
        <v>COS10200804 8086</v>
      </c>
    </row>
    <row r="1069" spans="1:26" x14ac:dyDescent="0.25">
      <c r="A1069" t="str">
        <f t="shared" si="452"/>
        <v>04-08-2020 01:09:43</v>
      </c>
      <c r="B1069" t="str">
        <f>"0000809888"</f>
        <v>0000809888</v>
      </c>
      <c r="C1069" t="str">
        <f t="shared" si="453"/>
        <v>0000809803</v>
      </c>
      <c r="D1069" t="str">
        <f t="shared" si="435"/>
        <v>73185</v>
      </c>
      <c r="E1069" t="str">
        <f t="shared" si="436"/>
        <v>KFH-OPERATIONS DEPARTMENT</v>
      </c>
      <c r="F1069" t="str">
        <f t="shared" si="437"/>
        <v>IBG</v>
      </c>
      <c r="G1069" t="str">
        <f t="shared" si="448"/>
        <v>Refund COSHARE 10</v>
      </c>
      <c r="H1069" s="2">
        <v>774</v>
      </c>
      <c r="I1069" t="str">
        <f>"ZURAIDAH BINTI HUSSEIN  HUSSIN"</f>
        <v>ZURAIDAH BINTI HUSSEIN  HUSSIN</v>
      </c>
      <c r="J1069" t="str">
        <f t="shared" si="449"/>
        <v>MAYBANK / MAYBANK ISLAMIC</v>
      </c>
      <c r="K1069" t="str">
        <f>"160090297010"</f>
        <v>160090297010</v>
      </c>
      <c r="L1069" t="str">
        <f t="shared" si="454"/>
        <v>04-08-2020</v>
      </c>
      <c r="M1069" t="str">
        <f t="shared" si="454"/>
        <v>04-08-2020</v>
      </c>
      <c r="N1069" t="str">
        <f t="shared" si="438"/>
        <v>001105018356</v>
      </c>
      <c r="O1069" t="str">
        <f t="shared" si="439"/>
        <v>MYR</v>
      </c>
      <c r="P1069" t="str">
        <f t="shared" si="455"/>
        <v>NIL</v>
      </c>
      <c r="Q1069" t="str">
        <f t="shared" si="455"/>
        <v>NIL</v>
      </c>
      <c r="R1069" t="str">
        <f t="shared" si="440"/>
        <v>Accepted</v>
      </c>
      <c r="S1069" t="str">
        <f t="shared" si="441"/>
        <v>Approved</v>
      </c>
      <c r="T1069" t="str">
        <f t="shared" si="442"/>
        <v>10.20.8.188</v>
      </c>
      <c r="U1069" t="str">
        <f t="shared" si="443"/>
        <v>AZRAD UMAR BIN SHAARI</v>
      </c>
      <c r="V1069" t="str">
        <f t="shared" si="444"/>
        <v>FARHANA BINTI MUSTAPA</v>
      </c>
      <c r="W1069" t="str">
        <f t="shared" si="445"/>
        <v>04-08-2020</v>
      </c>
      <c r="X1069" t="str">
        <f t="shared" si="446"/>
        <v>RAZIMAH ANSAR AHMAD</v>
      </c>
      <c r="Y1069" t="str">
        <f t="shared" si="447"/>
        <v>04-08-2020</v>
      </c>
      <c r="Z1069" t="str">
        <f>"COS10200804 8085"</f>
        <v>COS10200804 8085</v>
      </c>
    </row>
    <row r="1070" spans="1:26" x14ac:dyDescent="0.25">
      <c r="A1070" t="str">
        <f t="shared" si="452"/>
        <v>04-08-2020 01:09:43</v>
      </c>
      <c r="B1070" t="str">
        <f>"0000809887"</f>
        <v>0000809887</v>
      </c>
      <c r="C1070" t="str">
        <f t="shared" si="453"/>
        <v>0000809803</v>
      </c>
      <c r="D1070" t="str">
        <f t="shared" si="435"/>
        <v>73185</v>
      </c>
      <c r="E1070" t="str">
        <f t="shared" si="436"/>
        <v>KFH-OPERATIONS DEPARTMENT</v>
      </c>
      <c r="F1070" t="str">
        <f t="shared" si="437"/>
        <v>IBG</v>
      </c>
      <c r="G1070" t="str">
        <f t="shared" si="448"/>
        <v>Refund COSHARE 10</v>
      </c>
      <c r="H1070" s="2">
        <v>714</v>
      </c>
      <c r="I1070" t="str">
        <f>"ZURAIDAH BINTI ABDULLAH"</f>
        <v>ZURAIDAH BINTI ABDULLAH</v>
      </c>
      <c r="J1070" t="str">
        <f t="shared" si="449"/>
        <v>MAYBANK / MAYBANK ISLAMIC</v>
      </c>
      <c r="K1070" t="str">
        <f>"112027017880"</f>
        <v>112027017880</v>
      </c>
      <c r="L1070" t="str">
        <f t="shared" si="454"/>
        <v>04-08-2020</v>
      </c>
      <c r="M1070" t="str">
        <f t="shared" si="454"/>
        <v>04-08-2020</v>
      </c>
      <c r="N1070" t="str">
        <f t="shared" si="438"/>
        <v>001105018356</v>
      </c>
      <c r="O1070" t="str">
        <f t="shared" si="439"/>
        <v>MYR</v>
      </c>
      <c r="P1070" t="str">
        <f t="shared" si="455"/>
        <v>NIL</v>
      </c>
      <c r="Q1070" t="str">
        <f t="shared" si="455"/>
        <v>NIL</v>
      </c>
      <c r="R1070" t="str">
        <f t="shared" si="440"/>
        <v>Accepted</v>
      </c>
      <c r="S1070" t="str">
        <f t="shared" si="441"/>
        <v>Approved</v>
      </c>
      <c r="T1070" t="str">
        <f t="shared" si="442"/>
        <v>10.20.8.188</v>
      </c>
      <c r="U1070" t="str">
        <f t="shared" si="443"/>
        <v>AZRAD UMAR BIN SHAARI</v>
      </c>
      <c r="V1070" t="str">
        <f t="shared" si="444"/>
        <v>FARHANA BINTI MUSTAPA</v>
      </c>
      <c r="W1070" t="str">
        <f t="shared" si="445"/>
        <v>04-08-2020</v>
      </c>
      <c r="X1070" t="str">
        <f t="shared" si="446"/>
        <v>RAZIMAH ANSAR AHMAD</v>
      </c>
      <c r="Y1070" t="str">
        <f t="shared" si="447"/>
        <v>04-08-2020</v>
      </c>
      <c r="Z1070" t="str">
        <f>"COS10200804 8084"</f>
        <v>COS10200804 8084</v>
      </c>
    </row>
    <row r="1071" spans="1:26" x14ac:dyDescent="0.25">
      <c r="A1071" t="str">
        <f t="shared" si="452"/>
        <v>04-08-2020 01:09:43</v>
      </c>
      <c r="B1071" t="str">
        <f>"0000809886"</f>
        <v>0000809886</v>
      </c>
      <c r="C1071" t="str">
        <f t="shared" si="453"/>
        <v>0000809803</v>
      </c>
      <c r="D1071" t="str">
        <f t="shared" si="435"/>
        <v>73185</v>
      </c>
      <c r="E1071" t="str">
        <f t="shared" si="436"/>
        <v>KFH-OPERATIONS DEPARTMENT</v>
      </c>
      <c r="F1071" t="str">
        <f t="shared" si="437"/>
        <v>IBG</v>
      </c>
      <c r="G1071" t="str">
        <f t="shared" si="448"/>
        <v>Refund COSHARE 10</v>
      </c>
      <c r="H1071" s="2">
        <v>50.4</v>
      </c>
      <c r="I1071" t="str">
        <f>"ZURAIDAH BINTI ABDULLAH"</f>
        <v>ZURAIDAH BINTI ABDULLAH</v>
      </c>
      <c r="J1071" t="str">
        <f t="shared" si="449"/>
        <v>MAYBANK / MAYBANK ISLAMIC</v>
      </c>
      <c r="K1071" t="str">
        <f>"154035380413"</f>
        <v>154035380413</v>
      </c>
      <c r="L1071" t="str">
        <f t="shared" si="454"/>
        <v>04-08-2020</v>
      </c>
      <c r="M1071" t="str">
        <f t="shared" si="454"/>
        <v>04-08-2020</v>
      </c>
      <c r="N1071" t="str">
        <f t="shared" si="438"/>
        <v>001105018356</v>
      </c>
      <c r="O1071" t="str">
        <f t="shared" si="439"/>
        <v>MYR</v>
      </c>
      <c r="P1071" t="str">
        <f t="shared" si="455"/>
        <v>NIL</v>
      </c>
      <c r="Q1071" t="str">
        <f t="shared" si="455"/>
        <v>NIL</v>
      </c>
      <c r="R1071" t="str">
        <f t="shared" si="440"/>
        <v>Accepted</v>
      </c>
      <c r="S1071" t="str">
        <f t="shared" si="441"/>
        <v>Approved</v>
      </c>
      <c r="T1071" t="str">
        <f t="shared" si="442"/>
        <v>10.20.8.188</v>
      </c>
      <c r="U1071" t="str">
        <f t="shared" si="443"/>
        <v>AZRAD UMAR BIN SHAARI</v>
      </c>
      <c r="V1071" t="str">
        <f t="shared" si="444"/>
        <v>FARHANA BINTI MUSTAPA</v>
      </c>
      <c r="W1071" t="str">
        <f t="shared" si="445"/>
        <v>04-08-2020</v>
      </c>
      <c r="X1071" t="str">
        <f t="shared" si="446"/>
        <v>RAZIMAH ANSAR AHMAD</v>
      </c>
      <c r="Y1071" t="str">
        <f t="shared" si="447"/>
        <v>04-08-2020</v>
      </c>
      <c r="Z1071" t="str">
        <f>"COS10200804 8083"</f>
        <v>COS10200804 8083</v>
      </c>
    </row>
    <row r="1072" spans="1:26" x14ac:dyDescent="0.25">
      <c r="A1072" t="str">
        <f t="shared" si="452"/>
        <v>04-08-2020 01:09:43</v>
      </c>
      <c r="B1072" t="str">
        <f>"0000809885"</f>
        <v>0000809885</v>
      </c>
      <c r="C1072" t="str">
        <f t="shared" si="453"/>
        <v>0000809803</v>
      </c>
      <c r="D1072" t="str">
        <f t="shared" si="435"/>
        <v>73185</v>
      </c>
      <c r="E1072" t="str">
        <f t="shared" si="436"/>
        <v>KFH-OPERATIONS DEPARTMENT</v>
      </c>
      <c r="F1072" t="str">
        <f t="shared" si="437"/>
        <v>IBG</v>
      </c>
      <c r="G1072" t="str">
        <f t="shared" si="448"/>
        <v>Refund COSHARE 10</v>
      </c>
      <c r="H1072" s="2">
        <v>167.9</v>
      </c>
      <c r="I1072" t="str">
        <f>"ZURAIDA BINTI ZAINUDDIN"</f>
        <v>ZURAIDA BINTI ZAINUDDIN</v>
      </c>
      <c r="J1072" t="str">
        <f t="shared" si="449"/>
        <v>MAYBANK / MAYBANK ISLAMIC</v>
      </c>
      <c r="K1072" t="str">
        <f>"162487034451"</f>
        <v>162487034451</v>
      </c>
      <c r="L1072" t="str">
        <f t="shared" si="454"/>
        <v>04-08-2020</v>
      </c>
      <c r="M1072" t="str">
        <f t="shared" si="454"/>
        <v>04-08-2020</v>
      </c>
      <c r="N1072" t="str">
        <f t="shared" si="438"/>
        <v>001105018356</v>
      </c>
      <c r="O1072" t="str">
        <f t="shared" si="439"/>
        <v>MYR</v>
      </c>
      <c r="P1072" t="str">
        <f t="shared" si="455"/>
        <v>NIL</v>
      </c>
      <c r="Q1072" t="str">
        <f t="shared" si="455"/>
        <v>NIL</v>
      </c>
      <c r="R1072" t="str">
        <f t="shared" si="440"/>
        <v>Accepted</v>
      </c>
      <c r="S1072" t="str">
        <f t="shared" si="441"/>
        <v>Approved</v>
      </c>
      <c r="T1072" t="str">
        <f t="shared" si="442"/>
        <v>10.20.8.188</v>
      </c>
      <c r="U1072" t="str">
        <f t="shared" si="443"/>
        <v>AZRAD UMAR BIN SHAARI</v>
      </c>
      <c r="V1072" t="str">
        <f t="shared" si="444"/>
        <v>FARHANA BINTI MUSTAPA</v>
      </c>
      <c r="W1072" t="str">
        <f t="shared" si="445"/>
        <v>04-08-2020</v>
      </c>
      <c r="X1072" t="str">
        <f t="shared" si="446"/>
        <v>RAZIMAH ANSAR AHMAD</v>
      </c>
      <c r="Y1072" t="str">
        <f t="shared" si="447"/>
        <v>04-08-2020</v>
      </c>
      <c r="Z1072" t="str">
        <f>"COS10200804 8082"</f>
        <v>COS10200804 8082</v>
      </c>
    </row>
    <row r="1073" spans="1:26" x14ac:dyDescent="0.25">
      <c r="A1073" t="str">
        <f t="shared" si="452"/>
        <v>04-08-2020 01:09:43</v>
      </c>
      <c r="B1073" t="str">
        <f>"0000809884"</f>
        <v>0000809884</v>
      </c>
      <c r="C1073" t="str">
        <f t="shared" si="453"/>
        <v>0000809803</v>
      </c>
      <c r="D1073" t="str">
        <f t="shared" si="435"/>
        <v>73185</v>
      </c>
      <c r="E1073" t="str">
        <f t="shared" si="436"/>
        <v>KFH-OPERATIONS DEPARTMENT</v>
      </c>
      <c r="F1073" t="str">
        <f t="shared" si="437"/>
        <v>IBG</v>
      </c>
      <c r="G1073" t="str">
        <f t="shared" si="448"/>
        <v>Refund COSHARE 10</v>
      </c>
      <c r="H1073" s="2">
        <v>251.85</v>
      </c>
      <c r="I1073" t="str">
        <f>"ZURAIDA BINTI MUKHTAR"</f>
        <v>ZURAIDA BINTI MUKHTAR</v>
      </c>
      <c r="J1073" t="str">
        <f t="shared" si="449"/>
        <v>MAYBANK / MAYBANK ISLAMIC</v>
      </c>
      <c r="K1073" t="str">
        <f>"158136717585"</f>
        <v>158136717585</v>
      </c>
      <c r="L1073" t="str">
        <f t="shared" si="454"/>
        <v>04-08-2020</v>
      </c>
      <c r="M1073" t="str">
        <f t="shared" si="454"/>
        <v>04-08-2020</v>
      </c>
      <c r="N1073" t="str">
        <f t="shared" si="438"/>
        <v>001105018356</v>
      </c>
      <c r="O1073" t="str">
        <f t="shared" si="439"/>
        <v>MYR</v>
      </c>
      <c r="P1073" t="str">
        <f t="shared" si="455"/>
        <v>NIL</v>
      </c>
      <c r="Q1073" t="str">
        <f t="shared" si="455"/>
        <v>NIL</v>
      </c>
      <c r="R1073" t="str">
        <f t="shared" si="440"/>
        <v>Accepted</v>
      </c>
      <c r="S1073" t="str">
        <f t="shared" si="441"/>
        <v>Approved</v>
      </c>
      <c r="T1073" t="str">
        <f t="shared" si="442"/>
        <v>10.20.8.188</v>
      </c>
      <c r="U1073" t="str">
        <f t="shared" si="443"/>
        <v>AZRAD UMAR BIN SHAARI</v>
      </c>
      <c r="V1073" t="str">
        <f t="shared" si="444"/>
        <v>FARHANA BINTI MUSTAPA</v>
      </c>
      <c r="W1073" t="str">
        <f t="shared" si="445"/>
        <v>04-08-2020</v>
      </c>
      <c r="X1073" t="str">
        <f t="shared" si="446"/>
        <v>RAZIMAH ANSAR AHMAD</v>
      </c>
      <c r="Y1073" t="str">
        <f t="shared" si="447"/>
        <v>04-08-2020</v>
      </c>
      <c r="Z1073" t="str">
        <f>"COS10200804 8081"</f>
        <v>COS10200804 8081</v>
      </c>
    </row>
    <row r="1074" spans="1:26" x14ac:dyDescent="0.25">
      <c r="A1074" t="str">
        <f t="shared" si="452"/>
        <v>04-08-2020 01:09:43</v>
      </c>
      <c r="B1074" t="str">
        <f>"0000809883"</f>
        <v>0000809883</v>
      </c>
      <c r="C1074" t="str">
        <f t="shared" si="453"/>
        <v>0000809803</v>
      </c>
      <c r="D1074" t="str">
        <f t="shared" si="435"/>
        <v>73185</v>
      </c>
      <c r="E1074" t="str">
        <f t="shared" si="436"/>
        <v>KFH-OPERATIONS DEPARTMENT</v>
      </c>
      <c r="F1074" t="str">
        <f t="shared" si="437"/>
        <v>IBG</v>
      </c>
      <c r="G1074" t="str">
        <f t="shared" si="448"/>
        <v>Refund COSHARE 10</v>
      </c>
      <c r="H1074" s="2">
        <v>780.75</v>
      </c>
      <c r="I1074" t="str">
        <f>"ZURAIDA BINTI MOHD IDRUS"</f>
        <v>ZURAIDA BINTI MOHD IDRUS</v>
      </c>
      <c r="J1074" t="str">
        <f t="shared" si="449"/>
        <v>MAYBANK / MAYBANK ISLAMIC</v>
      </c>
      <c r="K1074" t="str">
        <f>"152170110426"</f>
        <v>152170110426</v>
      </c>
      <c r="L1074" t="str">
        <f t="shared" si="454"/>
        <v>04-08-2020</v>
      </c>
      <c r="M1074" t="str">
        <f t="shared" si="454"/>
        <v>04-08-2020</v>
      </c>
      <c r="N1074" t="str">
        <f t="shared" si="438"/>
        <v>001105018356</v>
      </c>
      <c r="O1074" t="str">
        <f t="shared" si="439"/>
        <v>MYR</v>
      </c>
      <c r="P1074" t="str">
        <f t="shared" si="455"/>
        <v>NIL</v>
      </c>
      <c r="Q1074" t="str">
        <f t="shared" si="455"/>
        <v>NIL</v>
      </c>
      <c r="R1074" t="str">
        <f t="shared" si="440"/>
        <v>Accepted</v>
      </c>
      <c r="S1074" t="str">
        <f t="shared" si="441"/>
        <v>Approved</v>
      </c>
      <c r="T1074" t="str">
        <f t="shared" si="442"/>
        <v>10.20.8.188</v>
      </c>
      <c r="U1074" t="str">
        <f t="shared" si="443"/>
        <v>AZRAD UMAR BIN SHAARI</v>
      </c>
      <c r="V1074" t="str">
        <f t="shared" si="444"/>
        <v>FARHANA BINTI MUSTAPA</v>
      </c>
      <c r="W1074" t="str">
        <f t="shared" si="445"/>
        <v>04-08-2020</v>
      </c>
      <c r="X1074" t="str">
        <f t="shared" si="446"/>
        <v>RAZIMAH ANSAR AHMAD</v>
      </c>
      <c r="Y1074" t="str">
        <f t="shared" si="447"/>
        <v>04-08-2020</v>
      </c>
      <c r="Z1074" t="str">
        <f>"COS10200804 8080"</f>
        <v>COS10200804 8080</v>
      </c>
    </row>
    <row r="1075" spans="1:26" x14ac:dyDescent="0.25">
      <c r="A1075" t="str">
        <f t="shared" si="452"/>
        <v>04-08-2020 01:09:43</v>
      </c>
      <c r="B1075" t="str">
        <f>"0000809882"</f>
        <v>0000809882</v>
      </c>
      <c r="C1075" t="str">
        <f t="shared" si="453"/>
        <v>0000809803</v>
      </c>
      <c r="D1075" t="str">
        <f t="shared" si="435"/>
        <v>73185</v>
      </c>
      <c r="E1075" t="str">
        <f t="shared" si="436"/>
        <v>KFH-OPERATIONS DEPARTMENT</v>
      </c>
      <c r="F1075" t="str">
        <f t="shared" si="437"/>
        <v>IBG</v>
      </c>
      <c r="G1075" t="str">
        <f t="shared" si="448"/>
        <v>Refund COSHARE 10</v>
      </c>
      <c r="H1075" s="2">
        <v>1703.1</v>
      </c>
      <c r="I1075" t="str">
        <f>"ZURAIDA BINTI KAMAL"</f>
        <v>ZURAIDA BINTI KAMAL</v>
      </c>
      <c r="J1075" t="str">
        <f t="shared" si="449"/>
        <v>MAYBANK / MAYBANK ISLAMIC</v>
      </c>
      <c r="K1075" t="str">
        <f>"156084011049"</f>
        <v>156084011049</v>
      </c>
      <c r="L1075" t="str">
        <f t="shared" si="454"/>
        <v>04-08-2020</v>
      </c>
      <c r="M1075" t="str">
        <f t="shared" si="454"/>
        <v>04-08-2020</v>
      </c>
      <c r="N1075" t="str">
        <f t="shared" si="438"/>
        <v>001105018356</v>
      </c>
      <c r="O1075" t="str">
        <f t="shared" si="439"/>
        <v>MYR</v>
      </c>
      <c r="P1075" t="str">
        <f t="shared" si="455"/>
        <v>NIL</v>
      </c>
      <c r="Q1075" t="str">
        <f t="shared" si="455"/>
        <v>NIL</v>
      </c>
      <c r="R1075" t="str">
        <f t="shared" si="440"/>
        <v>Accepted</v>
      </c>
      <c r="S1075" t="str">
        <f t="shared" si="441"/>
        <v>Approved</v>
      </c>
      <c r="T1075" t="str">
        <f t="shared" si="442"/>
        <v>10.20.8.188</v>
      </c>
      <c r="U1075" t="str">
        <f t="shared" si="443"/>
        <v>AZRAD UMAR BIN SHAARI</v>
      </c>
      <c r="V1075" t="str">
        <f t="shared" si="444"/>
        <v>FARHANA BINTI MUSTAPA</v>
      </c>
      <c r="W1075" t="str">
        <f t="shared" si="445"/>
        <v>04-08-2020</v>
      </c>
      <c r="X1075" t="str">
        <f t="shared" si="446"/>
        <v>RAZIMAH ANSAR AHMAD</v>
      </c>
      <c r="Y1075" t="str">
        <f t="shared" si="447"/>
        <v>04-08-2020</v>
      </c>
      <c r="Z1075" t="str">
        <f>"COS10200804 8079"</f>
        <v>COS10200804 8079</v>
      </c>
    </row>
    <row r="1076" spans="1:26" x14ac:dyDescent="0.25">
      <c r="A1076" t="str">
        <f t="shared" si="452"/>
        <v>04-08-2020 01:09:43</v>
      </c>
      <c r="B1076" t="str">
        <f>"0000809881"</f>
        <v>0000809881</v>
      </c>
      <c r="C1076" t="str">
        <f t="shared" si="453"/>
        <v>0000809803</v>
      </c>
      <c r="D1076" t="str">
        <f t="shared" si="435"/>
        <v>73185</v>
      </c>
      <c r="E1076" t="str">
        <f t="shared" si="436"/>
        <v>KFH-OPERATIONS DEPARTMENT</v>
      </c>
      <c r="F1076" t="str">
        <f t="shared" si="437"/>
        <v>IBG</v>
      </c>
      <c r="G1076" t="str">
        <f t="shared" si="448"/>
        <v>Refund COSHARE 10</v>
      </c>
      <c r="H1076" s="2">
        <v>478.5</v>
      </c>
      <c r="I1076" t="str">
        <f>"ZURAIDA BINTI AB KADIR"</f>
        <v>ZURAIDA BINTI AB KADIR</v>
      </c>
      <c r="J1076" t="str">
        <f t="shared" si="449"/>
        <v>MAYBANK / MAYBANK ISLAMIC</v>
      </c>
      <c r="K1076" t="str">
        <f>"112027988604"</f>
        <v>112027988604</v>
      </c>
      <c r="L1076" t="str">
        <f t="shared" si="454"/>
        <v>04-08-2020</v>
      </c>
      <c r="M1076" t="str">
        <f t="shared" si="454"/>
        <v>04-08-2020</v>
      </c>
      <c r="N1076" t="str">
        <f t="shared" si="438"/>
        <v>001105018356</v>
      </c>
      <c r="O1076" t="str">
        <f t="shared" si="439"/>
        <v>MYR</v>
      </c>
      <c r="P1076" t="str">
        <f t="shared" si="455"/>
        <v>NIL</v>
      </c>
      <c r="Q1076" t="str">
        <f t="shared" si="455"/>
        <v>NIL</v>
      </c>
      <c r="R1076" t="str">
        <f t="shared" si="440"/>
        <v>Accepted</v>
      </c>
      <c r="S1076" t="str">
        <f t="shared" si="441"/>
        <v>Approved</v>
      </c>
      <c r="T1076" t="str">
        <f t="shared" si="442"/>
        <v>10.20.8.188</v>
      </c>
      <c r="U1076" t="str">
        <f t="shared" si="443"/>
        <v>AZRAD UMAR BIN SHAARI</v>
      </c>
      <c r="V1076" t="str">
        <f t="shared" si="444"/>
        <v>FARHANA BINTI MUSTAPA</v>
      </c>
      <c r="W1076" t="str">
        <f t="shared" si="445"/>
        <v>04-08-2020</v>
      </c>
      <c r="X1076" t="str">
        <f t="shared" si="446"/>
        <v>RAZIMAH ANSAR AHMAD</v>
      </c>
      <c r="Y1076" t="str">
        <f t="shared" si="447"/>
        <v>04-08-2020</v>
      </c>
      <c r="Z1076" t="str">
        <f>"COS10200804 8078"</f>
        <v>COS10200804 8078</v>
      </c>
    </row>
    <row r="1077" spans="1:26" x14ac:dyDescent="0.25">
      <c r="A1077" t="str">
        <f t="shared" si="452"/>
        <v>04-08-2020 01:09:43</v>
      </c>
      <c r="B1077" t="str">
        <f>"0000809880"</f>
        <v>0000809880</v>
      </c>
      <c r="C1077" t="str">
        <f t="shared" si="453"/>
        <v>0000809803</v>
      </c>
      <c r="D1077" t="str">
        <f t="shared" si="435"/>
        <v>73185</v>
      </c>
      <c r="E1077" t="str">
        <f t="shared" si="436"/>
        <v>KFH-OPERATIONS DEPARTMENT</v>
      </c>
      <c r="F1077" t="str">
        <f t="shared" si="437"/>
        <v>IBG</v>
      </c>
      <c r="G1077" t="str">
        <f t="shared" si="448"/>
        <v>Refund COSHARE 10</v>
      </c>
      <c r="H1077" s="2">
        <v>1166.9000000000001</v>
      </c>
      <c r="I1077" t="str">
        <f>"ZUNNASRI BIN BIDIN"</f>
        <v>ZUNNASRI BIN BIDIN</v>
      </c>
      <c r="J1077" t="str">
        <f t="shared" si="449"/>
        <v>MAYBANK / MAYBANK ISLAMIC</v>
      </c>
      <c r="K1077" t="str">
        <f>"159012008113"</f>
        <v>159012008113</v>
      </c>
      <c r="L1077" t="str">
        <f t="shared" si="454"/>
        <v>04-08-2020</v>
      </c>
      <c r="M1077" t="str">
        <f t="shared" si="454"/>
        <v>04-08-2020</v>
      </c>
      <c r="N1077" t="str">
        <f t="shared" si="438"/>
        <v>001105018356</v>
      </c>
      <c r="O1077" t="str">
        <f t="shared" si="439"/>
        <v>MYR</v>
      </c>
      <c r="P1077" t="str">
        <f t="shared" si="455"/>
        <v>NIL</v>
      </c>
      <c r="Q1077" t="str">
        <f t="shared" si="455"/>
        <v>NIL</v>
      </c>
      <c r="R1077" t="str">
        <f t="shared" si="440"/>
        <v>Accepted</v>
      </c>
      <c r="S1077" t="str">
        <f t="shared" si="441"/>
        <v>Approved</v>
      </c>
      <c r="T1077" t="str">
        <f t="shared" si="442"/>
        <v>10.20.8.188</v>
      </c>
      <c r="U1077" t="str">
        <f t="shared" si="443"/>
        <v>AZRAD UMAR BIN SHAARI</v>
      </c>
      <c r="V1077" t="str">
        <f t="shared" si="444"/>
        <v>FARHANA BINTI MUSTAPA</v>
      </c>
      <c r="W1077" t="str">
        <f t="shared" si="445"/>
        <v>04-08-2020</v>
      </c>
      <c r="X1077" t="str">
        <f t="shared" si="446"/>
        <v>RAZIMAH ANSAR AHMAD</v>
      </c>
      <c r="Y1077" t="str">
        <f t="shared" si="447"/>
        <v>04-08-2020</v>
      </c>
      <c r="Z1077" t="str">
        <f>"COS10200804 8077"</f>
        <v>COS10200804 8077</v>
      </c>
    </row>
    <row r="1078" spans="1:26" x14ac:dyDescent="0.25">
      <c r="A1078" t="str">
        <f t="shared" si="452"/>
        <v>04-08-2020 01:09:43</v>
      </c>
      <c r="B1078" t="str">
        <f>"0000809879"</f>
        <v>0000809879</v>
      </c>
      <c r="C1078" t="str">
        <f t="shared" si="453"/>
        <v>0000809803</v>
      </c>
      <c r="D1078" t="str">
        <f t="shared" si="435"/>
        <v>73185</v>
      </c>
      <c r="E1078" t="str">
        <f t="shared" si="436"/>
        <v>KFH-OPERATIONS DEPARTMENT</v>
      </c>
      <c r="F1078" t="str">
        <f t="shared" si="437"/>
        <v>IBG</v>
      </c>
      <c r="G1078" t="str">
        <f t="shared" si="448"/>
        <v>Refund COSHARE 10</v>
      </c>
      <c r="H1078" s="2">
        <v>68.8</v>
      </c>
      <c r="I1078" t="str">
        <f>"ZUNIKA  RUZITA BINTI ABDUL MUTALIP"</f>
        <v>ZUNIKA  RUZITA BINTI ABDUL MUTALIP</v>
      </c>
      <c r="J1078" t="str">
        <f t="shared" si="449"/>
        <v>MAYBANK / MAYBANK ISLAMIC</v>
      </c>
      <c r="K1078" t="str">
        <f>"114057720022"</f>
        <v>114057720022</v>
      </c>
      <c r="L1078" t="str">
        <f t="shared" si="454"/>
        <v>04-08-2020</v>
      </c>
      <c r="M1078" t="str">
        <f t="shared" si="454"/>
        <v>04-08-2020</v>
      </c>
      <c r="N1078" t="str">
        <f t="shared" si="438"/>
        <v>001105018356</v>
      </c>
      <c r="O1078" t="str">
        <f t="shared" si="439"/>
        <v>MYR</v>
      </c>
      <c r="P1078" t="str">
        <f t="shared" si="455"/>
        <v>NIL</v>
      </c>
      <c r="Q1078" t="str">
        <f t="shared" si="455"/>
        <v>NIL</v>
      </c>
      <c r="R1078" t="str">
        <f t="shared" si="440"/>
        <v>Accepted</v>
      </c>
      <c r="S1078" t="str">
        <f t="shared" si="441"/>
        <v>Approved</v>
      </c>
      <c r="T1078" t="str">
        <f t="shared" si="442"/>
        <v>10.20.8.188</v>
      </c>
      <c r="U1078" t="str">
        <f t="shared" si="443"/>
        <v>AZRAD UMAR BIN SHAARI</v>
      </c>
      <c r="V1078" t="str">
        <f t="shared" si="444"/>
        <v>FARHANA BINTI MUSTAPA</v>
      </c>
      <c r="W1078" t="str">
        <f t="shared" si="445"/>
        <v>04-08-2020</v>
      </c>
      <c r="X1078" t="str">
        <f t="shared" si="446"/>
        <v>RAZIMAH ANSAR AHMAD</v>
      </c>
      <c r="Y1078" t="str">
        <f t="shared" si="447"/>
        <v>04-08-2020</v>
      </c>
      <c r="Z1078" t="str">
        <f>"COS10200804 8076"</f>
        <v>COS10200804 8076</v>
      </c>
    </row>
    <row r="1079" spans="1:26" x14ac:dyDescent="0.25">
      <c r="A1079" t="str">
        <f t="shared" si="452"/>
        <v>04-08-2020 01:09:43</v>
      </c>
      <c r="B1079" t="str">
        <f>"0000809878"</f>
        <v>0000809878</v>
      </c>
      <c r="C1079" t="str">
        <f t="shared" si="453"/>
        <v>0000809803</v>
      </c>
      <c r="D1079" t="str">
        <f t="shared" si="435"/>
        <v>73185</v>
      </c>
      <c r="E1079" t="str">
        <f t="shared" si="436"/>
        <v>KFH-OPERATIONS DEPARTMENT</v>
      </c>
      <c r="F1079" t="str">
        <f t="shared" si="437"/>
        <v>IBG</v>
      </c>
      <c r="G1079" t="str">
        <f t="shared" si="448"/>
        <v>Refund COSHARE 10</v>
      </c>
      <c r="H1079" s="2">
        <v>172.4</v>
      </c>
      <c r="I1079" t="str">
        <f>"ZUNAIDAH BINTI DAIMAN"</f>
        <v>ZUNAIDAH BINTI DAIMAN</v>
      </c>
      <c r="J1079" t="str">
        <f t="shared" si="449"/>
        <v>MAYBANK / MAYBANK ISLAMIC</v>
      </c>
      <c r="K1079" t="str">
        <f>"110107234235"</f>
        <v>110107234235</v>
      </c>
      <c r="L1079" t="str">
        <f t="shared" si="454"/>
        <v>04-08-2020</v>
      </c>
      <c r="M1079" t="str">
        <f t="shared" si="454"/>
        <v>04-08-2020</v>
      </c>
      <c r="N1079" t="str">
        <f t="shared" si="438"/>
        <v>001105018356</v>
      </c>
      <c r="O1079" t="str">
        <f t="shared" si="439"/>
        <v>MYR</v>
      </c>
      <c r="P1079" t="str">
        <f t="shared" si="455"/>
        <v>NIL</v>
      </c>
      <c r="Q1079" t="str">
        <f t="shared" si="455"/>
        <v>NIL</v>
      </c>
      <c r="R1079" t="str">
        <f t="shared" si="440"/>
        <v>Accepted</v>
      </c>
      <c r="S1079" t="str">
        <f t="shared" si="441"/>
        <v>Approved</v>
      </c>
      <c r="T1079" t="str">
        <f t="shared" si="442"/>
        <v>10.20.8.188</v>
      </c>
      <c r="U1079" t="str">
        <f t="shared" si="443"/>
        <v>AZRAD UMAR BIN SHAARI</v>
      </c>
      <c r="V1079" t="str">
        <f t="shared" si="444"/>
        <v>FARHANA BINTI MUSTAPA</v>
      </c>
      <c r="W1079" t="str">
        <f t="shared" si="445"/>
        <v>04-08-2020</v>
      </c>
      <c r="X1079" t="str">
        <f t="shared" si="446"/>
        <v>RAZIMAH ANSAR AHMAD</v>
      </c>
      <c r="Y1079" t="str">
        <f t="shared" si="447"/>
        <v>04-08-2020</v>
      </c>
      <c r="Z1079" t="str">
        <f>"COS10200804 8075"</f>
        <v>COS10200804 8075</v>
      </c>
    </row>
    <row r="1080" spans="1:26" x14ac:dyDescent="0.25">
      <c r="A1080" t="str">
        <f t="shared" si="452"/>
        <v>04-08-2020 01:09:43</v>
      </c>
      <c r="B1080" t="str">
        <f>"0000809877"</f>
        <v>0000809877</v>
      </c>
      <c r="C1080" t="str">
        <f t="shared" si="453"/>
        <v>0000809803</v>
      </c>
      <c r="D1080" t="str">
        <f t="shared" si="435"/>
        <v>73185</v>
      </c>
      <c r="E1080" t="str">
        <f t="shared" si="436"/>
        <v>KFH-OPERATIONS DEPARTMENT</v>
      </c>
      <c r="F1080" t="str">
        <f t="shared" si="437"/>
        <v>IBG</v>
      </c>
      <c r="G1080" t="str">
        <f t="shared" si="448"/>
        <v>Refund COSHARE 10</v>
      </c>
      <c r="H1080" s="2">
        <v>839.5</v>
      </c>
      <c r="I1080" t="str">
        <f>"ZULNIZAR BIN MUHAMMAD"</f>
        <v>ZULNIZAR BIN MUHAMMAD</v>
      </c>
      <c r="J1080" t="str">
        <f t="shared" si="449"/>
        <v>MAYBANK / MAYBANK ISLAMIC</v>
      </c>
      <c r="K1080" t="str">
        <f>"158172619191"</f>
        <v>158172619191</v>
      </c>
      <c r="L1080" t="str">
        <f t="shared" si="454"/>
        <v>04-08-2020</v>
      </c>
      <c r="M1080" t="str">
        <f t="shared" si="454"/>
        <v>04-08-2020</v>
      </c>
      <c r="N1080" t="str">
        <f t="shared" si="438"/>
        <v>001105018356</v>
      </c>
      <c r="O1080" t="str">
        <f t="shared" si="439"/>
        <v>MYR</v>
      </c>
      <c r="P1080" t="str">
        <f t="shared" si="455"/>
        <v>NIL</v>
      </c>
      <c r="Q1080" t="str">
        <f t="shared" si="455"/>
        <v>NIL</v>
      </c>
      <c r="R1080" t="str">
        <f t="shared" si="440"/>
        <v>Accepted</v>
      </c>
      <c r="S1080" t="str">
        <f t="shared" si="441"/>
        <v>Approved</v>
      </c>
      <c r="T1080" t="str">
        <f t="shared" si="442"/>
        <v>10.20.8.188</v>
      </c>
      <c r="U1080" t="str">
        <f t="shared" si="443"/>
        <v>AZRAD UMAR BIN SHAARI</v>
      </c>
      <c r="V1080" t="str">
        <f t="shared" si="444"/>
        <v>FARHANA BINTI MUSTAPA</v>
      </c>
      <c r="W1080" t="str">
        <f t="shared" si="445"/>
        <v>04-08-2020</v>
      </c>
      <c r="X1080" t="str">
        <f t="shared" si="446"/>
        <v>RAZIMAH ANSAR AHMAD</v>
      </c>
      <c r="Y1080" t="str">
        <f t="shared" si="447"/>
        <v>04-08-2020</v>
      </c>
      <c r="Z1080" t="str">
        <f>"COS10200804 8074"</f>
        <v>COS10200804 8074</v>
      </c>
    </row>
    <row r="1081" spans="1:26" x14ac:dyDescent="0.25">
      <c r="A1081" t="str">
        <f t="shared" si="452"/>
        <v>04-08-2020 01:09:43</v>
      </c>
      <c r="B1081" t="str">
        <f>"0000809876"</f>
        <v>0000809876</v>
      </c>
      <c r="C1081" t="str">
        <f t="shared" si="453"/>
        <v>0000809803</v>
      </c>
      <c r="D1081" t="str">
        <f t="shared" si="435"/>
        <v>73185</v>
      </c>
      <c r="E1081" t="str">
        <f t="shared" si="436"/>
        <v>KFH-OPERATIONS DEPARTMENT</v>
      </c>
      <c r="F1081" t="str">
        <f t="shared" si="437"/>
        <v>IBG</v>
      </c>
      <c r="G1081" t="str">
        <f t="shared" si="448"/>
        <v>Refund COSHARE 10</v>
      </c>
      <c r="H1081" s="2">
        <v>142.75</v>
      </c>
      <c r="I1081" t="str">
        <f>"ZULMI FAISAL BIN ABDUL WAHAB"</f>
        <v>ZULMI FAISAL BIN ABDUL WAHAB</v>
      </c>
      <c r="J1081" t="str">
        <f t="shared" si="449"/>
        <v>MAYBANK / MAYBANK ISLAMIC</v>
      </c>
      <c r="K1081" t="str">
        <f>"157166903308"</f>
        <v>157166903308</v>
      </c>
      <c r="L1081" t="str">
        <f t="shared" si="454"/>
        <v>04-08-2020</v>
      </c>
      <c r="M1081" t="str">
        <f t="shared" si="454"/>
        <v>04-08-2020</v>
      </c>
      <c r="N1081" t="str">
        <f t="shared" si="438"/>
        <v>001105018356</v>
      </c>
      <c r="O1081" t="str">
        <f t="shared" si="439"/>
        <v>MYR</v>
      </c>
      <c r="P1081" t="str">
        <f t="shared" si="455"/>
        <v>NIL</v>
      </c>
      <c r="Q1081" t="str">
        <f t="shared" si="455"/>
        <v>NIL</v>
      </c>
      <c r="R1081" t="str">
        <f t="shared" si="440"/>
        <v>Accepted</v>
      </c>
      <c r="S1081" t="str">
        <f t="shared" si="441"/>
        <v>Approved</v>
      </c>
      <c r="T1081" t="str">
        <f t="shared" si="442"/>
        <v>10.20.8.188</v>
      </c>
      <c r="U1081" t="str">
        <f t="shared" si="443"/>
        <v>AZRAD UMAR BIN SHAARI</v>
      </c>
      <c r="V1081" t="str">
        <f t="shared" si="444"/>
        <v>FARHANA BINTI MUSTAPA</v>
      </c>
      <c r="W1081" t="str">
        <f t="shared" si="445"/>
        <v>04-08-2020</v>
      </c>
      <c r="X1081" t="str">
        <f t="shared" si="446"/>
        <v>RAZIMAH ANSAR AHMAD</v>
      </c>
      <c r="Y1081" t="str">
        <f t="shared" si="447"/>
        <v>04-08-2020</v>
      </c>
      <c r="Z1081" t="str">
        <f>"COS10200804 8073"</f>
        <v>COS10200804 8073</v>
      </c>
    </row>
    <row r="1082" spans="1:26" x14ac:dyDescent="0.25">
      <c r="A1082" t="str">
        <f t="shared" ref="A1082:A1113" si="456">"04-08-2020 01:09:43"</f>
        <v>04-08-2020 01:09:43</v>
      </c>
      <c r="B1082" t="str">
        <f>"0000809875"</f>
        <v>0000809875</v>
      </c>
      <c r="C1082" t="str">
        <f t="shared" ref="C1082:C1113" si="457">"0000809803"</f>
        <v>0000809803</v>
      </c>
      <c r="D1082" t="str">
        <f t="shared" si="435"/>
        <v>73185</v>
      </c>
      <c r="E1082" t="str">
        <f t="shared" si="436"/>
        <v>KFH-OPERATIONS DEPARTMENT</v>
      </c>
      <c r="F1082" t="str">
        <f t="shared" si="437"/>
        <v>IBG</v>
      </c>
      <c r="G1082" t="str">
        <f t="shared" si="448"/>
        <v>Refund COSHARE 10</v>
      </c>
      <c r="H1082" s="2">
        <v>747.15</v>
      </c>
      <c r="I1082" t="str">
        <f>"ZULMAJDEE BIN ABDRAHMAN"</f>
        <v>ZULMAJDEE BIN ABDRAHMAN</v>
      </c>
      <c r="J1082" t="str">
        <f t="shared" si="449"/>
        <v>MAYBANK / MAYBANK ISLAMIC</v>
      </c>
      <c r="K1082" t="str">
        <f>"101067072952"</f>
        <v>101067072952</v>
      </c>
      <c r="L1082" t="str">
        <f t="shared" si="454"/>
        <v>04-08-2020</v>
      </c>
      <c r="M1082" t="str">
        <f t="shared" si="454"/>
        <v>04-08-2020</v>
      </c>
      <c r="N1082" t="str">
        <f t="shared" si="438"/>
        <v>001105018356</v>
      </c>
      <c r="O1082" t="str">
        <f t="shared" si="439"/>
        <v>MYR</v>
      </c>
      <c r="P1082" t="str">
        <f t="shared" si="455"/>
        <v>NIL</v>
      </c>
      <c r="Q1082" t="str">
        <f t="shared" si="455"/>
        <v>NIL</v>
      </c>
      <c r="R1082" t="str">
        <f t="shared" si="440"/>
        <v>Accepted</v>
      </c>
      <c r="S1082" t="str">
        <f t="shared" si="441"/>
        <v>Approved</v>
      </c>
      <c r="T1082" t="str">
        <f t="shared" si="442"/>
        <v>10.20.8.188</v>
      </c>
      <c r="U1082" t="str">
        <f t="shared" si="443"/>
        <v>AZRAD UMAR BIN SHAARI</v>
      </c>
      <c r="V1082" t="str">
        <f t="shared" si="444"/>
        <v>FARHANA BINTI MUSTAPA</v>
      </c>
      <c r="W1082" t="str">
        <f t="shared" si="445"/>
        <v>04-08-2020</v>
      </c>
      <c r="X1082" t="str">
        <f t="shared" si="446"/>
        <v>RAZIMAH ANSAR AHMAD</v>
      </c>
      <c r="Y1082" t="str">
        <f t="shared" si="447"/>
        <v>04-08-2020</v>
      </c>
      <c r="Z1082" t="str">
        <f>"COS10200804 8072"</f>
        <v>COS10200804 8072</v>
      </c>
    </row>
    <row r="1083" spans="1:26" x14ac:dyDescent="0.25">
      <c r="A1083" t="str">
        <f t="shared" si="456"/>
        <v>04-08-2020 01:09:43</v>
      </c>
      <c r="B1083" t="str">
        <f>"0000809874"</f>
        <v>0000809874</v>
      </c>
      <c r="C1083" t="str">
        <f t="shared" si="457"/>
        <v>0000809803</v>
      </c>
      <c r="D1083" t="str">
        <f t="shared" si="435"/>
        <v>73185</v>
      </c>
      <c r="E1083" t="str">
        <f t="shared" si="436"/>
        <v>KFH-OPERATIONS DEPARTMENT</v>
      </c>
      <c r="F1083" t="str">
        <f t="shared" si="437"/>
        <v>IBG</v>
      </c>
      <c r="G1083" t="str">
        <f t="shared" si="448"/>
        <v>Refund COSHARE 10</v>
      </c>
      <c r="H1083" s="2">
        <v>706</v>
      </c>
      <c r="I1083" t="str">
        <f>"ZULLKEPPLI AMIN BIN KAMARUDDIN"</f>
        <v>ZULLKEPPLI AMIN BIN KAMARUDDIN</v>
      </c>
      <c r="J1083" t="str">
        <f t="shared" si="449"/>
        <v>MAYBANK / MAYBANK ISLAMIC</v>
      </c>
      <c r="K1083" t="str">
        <f>"158118085681"</f>
        <v>158118085681</v>
      </c>
      <c r="L1083" t="str">
        <f t="shared" si="454"/>
        <v>04-08-2020</v>
      </c>
      <c r="M1083" t="str">
        <f t="shared" si="454"/>
        <v>04-08-2020</v>
      </c>
      <c r="N1083" t="str">
        <f t="shared" si="438"/>
        <v>001105018356</v>
      </c>
      <c r="O1083" t="str">
        <f t="shared" si="439"/>
        <v>MYR</v>
      </c>
      <c r="P1083" t="str">
        <f t="shared" si="455"/>
        <v>NIL</v>
      </c>
      <c r="Q1083" t="str">
        <f t="shared" si="455"/>
        <v>NIL</v>
      </c>
      <c r="R1083" t="str">
        <f t="shared" si="440"/>
        <v>Accepted</v>
      </c>
      <c r="S1083" t="str">
        <f t="shared" si="441"/>
        <v>Approved</v>
      </c>
      <c r="T1083" t="str">
        <f t="shared" si="442"/>
        <v>10.20.8.188</v>
      </c>
      <c r="U1083" t="str">
        <f t="shared" si="443"/>
        <v>AZRAD UMAR BIN SHAARI</v>
      </c>
      <c r="V1083" t="str">
        <f t="shared" si="444"/>
        <v>FARHANA BINTI MUSTAPA</v>
      </c>
      <c r="W1083" t="str">
        <f t="shared" si="445"/>
        <v>04-08-2020</v>
      </c>
      <c r="X1083" t="str">
        <f t="shared" si="446"/>
        <v>RAZIMAH ANSAR AHMAD</v>
      </c>
      <c r="Y1083" t="str">
        <f t="shared" si="447"/>
        <v>04-08-2020</v>
      </c>
      <c r="Z1083" t="str">
        <f>"COS10200804 8071"</f>
        <v>COS10200804 8071</v>
      </c>
    </row>
    <row r="1084" spans="1:26" x14ac:dyDescent="0.25">
      <c r="A1084" t="str">
        <f t="shared" si="456"/>
        <v>04-08-2020 01:09:43</v>
      </c>
      <c r="B1084" t="str">
        <f>"0000809873"</f>
        <v>0000809873</v>
      </c>
      <c r="C1084" t="str">
        <f t="shared" si="457"/>
        <v>0000809803</v>
      </c>
      <c r="D1084" t="str">
        <f t="shared" si="435"/>
        <v>73185</v>
      </c>
      <c r="E1084" t="str">
        <f t="shared" si="436"/>
        <v>KFH-OPERATIONS DEPARTMENT</v>
      </c>
      <c r="F1084" t="str">
        <f t="shared" si="437"/>
        <v>IBG</v>
      </c>
      <c r="G1084" t="str">
        <f t="shared" si="448"/>
        <v>Refund COSHARE 10</v>
      </c>
      <c r="H1084" s="2">
        <v>805.5</v>
      </c>
      <c r="I1084" t="str">
        <f>"ZULKURNAIN BIN CHE HARUN"</f>
        <v>ZULKURNAIN BIN CHE HARUN</v>
      </c>
      <c r="J1084" t="str">
        <f t="shared" si="449"/>
        <v>MAYBANK / MAYBANK ISLAMIC</v>
      </c>
      <c r="K1084" t="str">
        <f>"102045261201"</f>
        <v>102045261201</v>
      </c>
      <c r="L1084" t="str">
        <f t="shared" si="454"/>
        <v>04-08-2020</v>
      </c>
      <c r="M1084" t="str">
        <f t="shared" si="454"/>
        <v>04-08-2020</v>
      </c>
      <c r="N1084" t="str">
        <f t="shared" si="438"/>
        <v>001105018356</v>
      </c>
      <c r="O1084" t="str">
        <f t="shared" si="439"/>
        <v>MYR</v>
      </c>
      <c r="P1084" t="str">
        <f t="shared" si="455"/>
        <v>NIL</v>
      </c>
      <c r="Q1084" t="str">
        <f t="shared" si="455"/>
        <v>NIL</v>
      </c>
      <c r="R1084" t="str">
        <f t="shared" si="440"/>
        <v>Accepted</v>
      </c>
      <c r="S1084" t="str">
        <f t="shared" si="441"/>
        <v>Approved</v>
      </c>
      <c r="T1084" t="str">
        <f t="shared" si="442"/>
        <v>10.20.8.188</v>
      </c>
      <c r="U1084" t="str">
        <f t="shared" si="443"/>
        <v>AZRAD UMAR BIN SHAARI</v>
      </c>
      <c r="V1084" t="str">
        <f t="shared" si="444"/>
        <v>FARHANA BINTI MUSTAPA</v>
      </c>
      <c r="W1084" t="str">
        <f t="shared" si="445"/>
        <v>04-08-2020</v>
      </c>
      <c r="X1084" t="str">
        <f t="shared" si="446"/>
        <v>RAZIMAH ANSAR AHMAD</v>
      </c>
      <c r="Y1084" t="str">
        <f t="shared" si="447"/>
        <v>04-08-2020</v>
      </c>
      <c r="Z1084" t="str">
        <f>"COS10200804 8070"</f>
        <v>COS10200804 8070</v>
      </c>
    </row>
    <row r="1085" spans="1:26" x14ac:dyDescent="0.25">
      <c r="A1085" t="str">
        <f t="shared" si="456"/>
        <v>04-08-2020 01:09:43</v>
      </c>
      <c r="B1085" t="str">
        <f>"0000809872"</f>
        <v>0000809872</v>
      </c>
      <c r="C1085" t="str">
        <f t="shared" si="457"/>
        <v>0000809803</v>
      </c>
      <c r="D1085" t="str">
        <f t="shared" si="435"/>
        <v>73185</v>
      </c>
      <c r="E1085" t="str">
        <f t="shared" si="436"/>
        <v>KFH-OPERATIONS DEPARTMENT</v>
      </c>
      <c r="F1085" t="str">
        <f t="shared" si="437"/>
        <v>IBG</v>
      </c>
      <c r="G1085" t="str">
        <f t="shared" si="448"/>
        <v>Refund COSHARE 10</v>
      </c>
      <c r="H1085" s="2">
        <v>60.35</v>
      </c>
      <c r="I1085" t="str">
        <f>"ZULKIFLI BIN ZAMZURI"</f>
        <v>ZULKIFLI BIN ZAMZURI</v>
      </c>
      <c r="J1085" t="str">
        <f t="shared" si="449"/>
        <v>MAYBANK / MAYBANK ISLAMIC</v>
      </c>
      <c r="K1085" t="str">
        <f>"158015001187"</f>
        <v>158015001187</v>
      </c>
      <c r="L1085" t="str">
        <f t="shared" si="454"/>
        <v>04-08-2020</v>
      </c>
      <c r="M1085" t="str">
        <f t="shared" si="454"/>
        <v>04-08-2020</v>
      </c>
      <c r="N1085" t="str">
        <f t="shared" si="438"/>
        <v>001105018356</v>
      </c>
      <c r="O1085" t="str">
        <f t="shared" si="439"/>
        <v>MYR</v>
      </c>
      <c r="P1085" t="str">
        <f t="shared" si="455"/>
        <v>NIL</v>
      </c>
      <c r="Q1085" t="str">
        <f t="shared" si="455"/>
        <v>NIL</v>
      </c>
      <c r="R1085" t="str">
        <f t="shared" si="440"/>
        <v>Accepted</v>
      </c>
      <c r="S1085" t="str">
        <f t="shared" si="441"/>
        <v>Approved</v>
      </c>
      <c r="T1085" t="str">
        <f t="shared" si="442"/>
        <v>10.20.8.188</v>
      </c>
      <c r="U1085" t="str">
        <f t="shared" si="443"/>
        <v>AZRAD UMAR BIN SHAARI</v>
      </c>
      <c r="V1085" t="str">
        <f t="shared" si="444"/>
        <v>FARHANA BINTI MUSTAPA</v>
      </c>
      <c r="W1085" t="str">
        <f t="shared" si="445"/>
        <v>04-08-2020</v>
      </c>
      <c r="X1085" t="str">
        <f t="shared" si="446"/>
        <v>RAZIMAH ANSAR AHMAD</v>
      </c>
      <c r="Y1085" t="str">
        <f t="shared" si="447"/>
        <v>04-08-2020</v>
      </c>
      <c r="Z1085" t="str">
        <f>"COS10200804 8069"</f>
        <v>COS10200804 8069</v>
      </c>
    </row>
    <row r="1086" spans="1:26" x14ac:dyDescent="0.25">
      <c r="A1086" t="str">
        <f t="shared" si="456"/>
        <v>04-08-2020 01:09:43</v>
      </c>
      <c r="B1086" t="str">
        <f>"0000809871"</f>
        <v>0000809871</v>
      </c>
      <c r="C1086" t="str">
        <f t="shared" si="457"/>
        <v>0000809803</v>
      </c>
      <c r="D1086" t="str">
        <f t="shared" si="435"/>
        <v>73185</v>
      </c>
      <c r="E1086" t="str">
        <f t="shared" si="436"/>
        <v>KFH-OPERATIONS DEPARTMENT</v>
      </c>
      <c r="F1086" t="str">
        <f t="shared" si="437"/>
        <v>IBG</v>
      </c>
      <c r="G1086" t="str">
        <f t="shared" si="448"/>
        <v>Refund COSHARE 10</v>
      </c>
      <c r="H1086" s="2">
        <v>1100.2</v>
      </c>
      <c r="I1086" t="str">
        <f>"ZULKIFLI BIN YAAKOB"</f>
        <v>ZULKIFLI BIN YAAKOB</v>
      </c>
      <c r="J1086" t="str">
        <f t="shared" si="449"/>
        <v>MAYBANK / MAYBANK ISLAMIC</v>
      </c>
      <c r="K1086" t="str">
        <f>"153047875063"</f>
        <v>153047875063</v>
      </c>
      <c r="L1086" t="str">
        <f t="shared" si="454"/>
        <v>04-08-2020</v>
      </c>
      <c r="M1086" t="str">
        <f t="shared" si="454"/>
        <v>04-08-2020</v>
      </c>
      <c r="N1086" t="str">
        <f t="shared" si="438"/>
        <v>001105018356</v>
      </c>
      <c r="O1086" t="str">
        <f t="shared" si="439"/>
        <v>MYR</v>
      </c>
      <c r="P1086" t="str">
        <f t="shared" si="455"/>
        <v>NIL</v>
      </c>
      <c r="Q1086" t="str">
        <f t="shared" si="455"/>
        <v>NIL</v>
      </c>
      <c r="R1086" t="str">
        <f t="shared" si="440"/>
        <v>Accepted</v>
      </c>
      <c r="S1086" t="str">
        <f t="shared" si="441"/>
        <v>Approved</v>
      </c>
      <c r="T1086" t="str">
        <f t="shared" si="442"/>
        <v>10.20.8.188</v>
      </c>
      <c r="U1086" t="str">
        <f t="shared" si="443"/>
        <v>AZRAD UMAR BIN SHAARI</v>
      </c>
      <c r="V1086" t="str">
        <f t="shared" si="444"/>
        <v>FARHANA BINTI MUSTAPA</v>
      </c>
      <c r="W1086" t="str">
        <f t="shared" si="445"/>
        <v>04-08-2020</v>
      </c>
      <c r="X1086" t="str">
        <f t="shared" si="446"/>
        <v>RAZIMAH ANSAR AHMAD</v>
      </c>
      <c r="Y1086" t="str">
        <f t="shared" si="447"/>
        <v>04-08-2020</v>
      </c>
      <c r="Z1086" t="str">
        <f>"COS10200804 8068"</f>
        <v>COS10200804 8068</v>
      </c>
    </row>
    <row r="1087" spans="1:26" x14ac:dyDescent="0.25">
      <c r="A1087" t="str">
        <f t="shared" si="456"/>
        <v>04-08-2020 01:09:43</v>
      </c>
      <c r="B1087" t="str">
        <f>"0000809870"</f>
        <v>0000809870</v>
      </c>
      <c r="C1087" t="str">
        <f t="shared" si="457"/>
        <v>0000809803</v>
      </c>
      <c r="D1087" t="str">
        <f t="shared" si="435"/>
        <v>73185</v>
      </c>
      <c r="E1087" t="str">
        <f t="shared" si="436"/>
        <v>KFH-OPERATIONS DEPARTMENT</v>
      </c>
      <c r="F1087" t="str">
        <f t="shared" si="437"/>
        <v>IBG</v>
      </c>
      <c r="G1087" t="str">
        <f t="shared" si="448"/>
        <v>Refund COSHARE 10</v>
      </c>
      <c r="H1087" s="2">
        <v>143</v>
      </c>
      <c r="I1087" t="str">
        <f>"ZULKIFLI BIN SHAMSUDDIN"</f>
        <v>ZULKIFLI BIN SHAMSUDDIN</v>
      </c>
      <c r="J1087" t="str">
        <f t="shared" si="449"/>
        <v>MAYBANK / MAYBANK ISLAMIC</v>
      </c>
      <c r="K1087" t="str">
        <f>"105046661219"</f>
        <v>105046661219</v>
      </c>
      <c r="L1087" t="str">
        <f t="shared" ref="L1087:M1106" si="458">"04-08-2020"</f>
        <v>04-08-2020</v>
      </c>
      <c r="M1087" t="str">
        <f t="shared" si="458"/>
        <v>04-08-2020</v>
      </c>
      <c r="N1087" t="str">
        <f t="shared" si="438"/>
        <v>001105018356</v>
      </c>
      <c r="O1087" t="str">
        <f t="shared" si="439"/>
        <v>MYR</v>
      </c>
      <c r="P1087" t="str">
        <f t="shared" ref="P1087:Q1106" si="459">"NIL"</f>
        <v>NIL</v>
      </c>
      <c r="Q1087" t="str">
        <f t="shared" si="459"/>
        <v>NIL</v>
      </c>
      <c r="R1087" t="str">
        <f t="shared" si="440"/>
        <v>Accepted</v>
      </c>
      <c r="S1087" t="str">
        <f t="shared" si="441"/>
        <v>Approved</v>
      </c>
      <c r="T1087" t="str">
        <f t="shared" si="442"/>
        <v>10.20.8.188</v>
      </c>
      <c r="U1087" t="str">
        <f t="shared" si="443"/>
        <v>AZRAD UMAR BIN SHAARI</v>
      </c>
      <c r="V1087" t="str">
        <f t="shared" si="444"/>
        <v>FARHANA BINTI MUSTAPA</v>
      </c>
      <c r="W1087" t="str">
        <f t="shared" si="445"/>
        <v>04-08-2020</v>
      </c>
      <c r="X1087" t="str">
        <f t="shared" si="446"/>
        <v>RAZIMAH ANSAR AHMAD</v>
      </c>
      <c r="Y1087" t="str">
        <f t="shared" si="447"/>
        <v>04-08-2020</v>
      </c>
      <c r="Z1087" t="str">
        <f>"COS10200804 8067"</f>
        <v>COS10200804 8067</v>
      </c>
    </row>
    <row r="1088" spans="1:26" x14ac:dyDescent="0.25">
      <c r="A1088" t="str">
        <f t="shared" si="456"/>
        <v>04-08-2020 01:09:43</v>
      </c>
      <c r="B1088" t="str">
        <f>"0000809869"</f>
        <v>0000809869</v>
      </c>
      <c r="C1088" t="str">
        <f t="shared" si="457"/>
        <v>0000809803</v>
      </c>
      <c r="D1088" t="str">
        <f t="shared" si="435"/>
        <v>73185</v>
      </c>
      <c r="E1088" t="str">
        <f t="shared" si="436"/>
        <v>KFH-OPERATIONS DEPARTMENT</v>
      </c>
      <c r="F1088" t="str">
        <f t="shared" si="437"/>
        <v>IBG</v>
      </c>
      <c r="G1088" t="str">
        <f t="shared" si="448"/>
        <v>Refund COSHARE 10</v>
      </c>
      <c r="H1088" s="2">
        <v>123.05</v>
      </c>
      <c r="I1088" t="str">
        <f>"ZULKIFLI BIN MOHAMED"</f>
        <v>ZULKIFLI BIN MOHAMED</v>
      </c>
      <c r="J1088" t="str">
        <f t="shared" si="449"/>
        <v>MAYBANK / MAYBANK ISLAMIC</v>
      </c>
      <c r="K1088" t="str">
        <f>"158163097628"</f>
        <v>158163097628</v>
      </c>
      <c r="L1088" t="str">
        <f t="shared" si="458"/>
        <v>04-08-2020</v>
      </c>
      <c r="M1088" t="str">
        <f t="shared" si="458"/>
        <v>04-08-2020</v>
      </c>
      <c r="N1088" t="str">
        <f t="shared" si="438"/>
        <v>001105018356</v>
      </c>
      <c r="O1088" t="str">
        <f t="shared" si="439"/>
        <v>MYR</v>
      </c>
      <c r="P1088" t="str">
        <f t="shared" si="459"/>
        <v>NIL</v>
      </c>
      <c r="Q1088" t="str">
        <f t="shared" si="459"/>
        <v>NIL</v>
      </c>
      <c r="R1088" t="str">
        <f t="shared" si="440"/>
        <v>Accepted</v>
      </c>
      <c r="S1088" t="str">
        <f t="shared" si="441"/>
        <v>Approved</v>
      </c>
      <c r="T1088" t="str">
        <f t="shared" si="442"/>
        <v>10.20.8.188</v>
      </c>
      <c r="U1088" t="str">
        <f t="shared" si="443"/>
        <v>AZRAD UMAR BIN SHAARI</v>
      </c>
      <c r="V1088" t="str">
        <f t="shared" si="444"/>
        <v>FARHANA BINTI MUSTAPA</v>
      </c>
      <c r="W1088" t="str">
        <f t="shared" si="445"/>
        <v>04-08-2020</v>
      </c>
      <c r="X1088" t="str">
        <f t="shared" si="446"/>
        <v>RAZIMAH ANSAR AHMAD</v>
      </c>
      <c r="Y1088" t="str">
        <f t="shared" si="447"/>
        <v>04-08-2020</v>
      </c>
      <c r="Z1088" t="str">
        <f>"COS10200804 8066"</f>
        <v>COS10200804 8066</v>
      </c>
    </row>
    <row r="1089" spans="1:26" x14ac:dyDescent="0.25">
      <c r="A1089" t="str">
        <f t="shared" si="456"/>
        <v>04-08-2020 01:09:43</v>
      </c>
      <c r="B1089" t="str">
        <f>"0000809868"</f>
        <v>0000809868</v>
      </c>
      <c r="C1089" t="str">
        <f t="shared" si="457"/>
        <v>0000809803</v>
      </c>
      <c r="D1089" t="str">
        <f t="shared" si="435"/>
        <v>73185</v>
      </c>
      <c r="E1089" t="str">
        <f t="shared" si="436"/>
        <v>KFH-OPERATIONS DEPARTMENT</v>
      </c>
      <c r="F1089" t="str">
        <f t="shared" si="437"/>
        <v>IBG</v>
      </c>
      <c r="G1089" t="str">
        <f t="shared" si="448"/>
        <v>Refund COSHARE 10</v>
      </c>
      <c r="H1089" s="2">
        <v>344</v>
      </c>
      <c r="I1089" t="str">
        <f>"ZULKIFLI BIN MOHAMAD"</f>
        <v>ZULKIFLI BIN MOHAMAD</v>
      </c>
      <c r="J1089" t="str">
        <f t="shared" si="449"/>
        <v>MAYBANK / MAYBANK ISLAMIC</v>
      </c>
      <c r="K1089" t="str">
        <f>"157018674231"</f>
        <v>157018674231</v>
      </c>
      <c r="L1089" t="str">
        <f t="shared" si="458"/>
        <v>04-08-2020</v>
      </c>
      <c r="M1089" t="str">
        <f t="shared" si="458"/>
        <v>04-08-2020</v>
      </c>
      <c r="N1089" t="str">
        <f t="shared" si="438"/>
        <v>001105018356</v>
      </c>
      <c r="O1089" t="str">
        <f t="shared" si="439"/>
        <v>MYR</v>
      </c>
      <c r="P1089" t="str">
        <f t="shared" si="459"/>
        <v>NIL</v>
      </c>
      <c r="Q1089" t="str">
        <f t="shared" si="459"/>
        <v>NIL</v>
      </c>
      <c r="R1089" t="str">
        <f t="shared" si="440"/>
        <v>Accepted</v>
      </c>
      <c r="S1089" t="str">
        <f t="shared" si="441"/>
        <v>Approved</v>
      </c>
      <c r="T1089" t="str">
        <f t="shared" si="442"/>
        <v>10.20.8.188</v>
      </c>
      <c r="U1089" t="str">
        <f t="shared" si="443"/>
        <v>AZRAD UMAR BIN SHAARI</v>
      </c>
      <c r="V1089" t="str">
        <f t="shared" si="444"/>
        <v>FARHANA BINTI MUSTAPA</v>
      </c>
      <c r="W1089" t="str">
        <f t="shared" si="445"/>
        <v>04-08-2020</v>
      </c>
      <c r="X1089" t="str">
        <f t="shared" si="446"/>
        <v>RAZIMAH ANSAR AHMAD</v>
      </c>
      <c r="Y1089" t="str">
        <f t="shared" si="447"/>
        <v>04-08-2020</v>
      </c>
      <c r="Z1089" t="str">
        <f>"COS10200804 8065"</f>
        <v>COS10200804 8065</v>
      </c>
    </row>
    <row r="1090" spans="1:26" x14ac:dyDescent="0.25">
      <c r="A1090" t="str">
        <f t="shared" si="456"/>
        <v>04-08-2020 01:09:43</v>
      </c>
      <c r="B1090" t="str">
        <f>"0000809867"</f>
        <v>0000809867</v>
      </c>
      <c r="C1090" t="str">
        <f t="shared" si="457"/>
        <v>0000809803</v>
      </c>
      <c r="D1090" t="str">
        <f t="shared" si="435"/>
        <v>73185</v>
      </c>
      <c r="E1090" t="str">
        <f t="shared" si="436"/>
        <v>KFH-OPERATIONS DEPARTMENT</v>
      </c>
      <c r="F1090" t="str">
        <f t="shared" si="437"/>
        <v>IBG</v>
      </c>
      <c r="G1090" t="str">
        <f t="shared" si="448"/>
        <v>Refund COSHARE 10</v>
      </c>
      <c r="H1090" s="2">
        <v>747.15</v>
      </c>
      <c r="I1090" t="str">
        <f>"ZULKIFLI BIN HAMDI"</f>
        <v>ZULKIFLI BIN HAMDI</v>
      </c>
      <c r="J1090" t="str">
        <f t="shared" si="449"/>
        <v>MAYBANK / MAYBANK ISLAMIC</v>
      </c>
      <c r="K1090" t="str">
        <f>"164016943660"</f>
        <v>164016943660</v>
      </c>
      <c r="L1090" t="str">
        <f t="shared" si="458"/>
        <v>04-08-2020</v>
      </c>
      <c r="M1090" t="str">
        <f t="shared" si="458"/>
        <v>04-08-2020</v>
      </c>
      <c r="N1090" t="str">
        <f t="shared" si="438"/>
        <v>001105018356</v>
      </c>
      <c r="O1090" t="str">
        <f t="shared" si="439"/>
        <v>MYR</v>
      </c>
      <c r="P1090" t="str">
        <f t="shared" si="459"/>
        <v>NIL</v>
      </c>
      <c r="Q1090" t="str">
        <f t="shared" si="459"/>
        <v>NIL</v>
      </c>
      <c r="R1090" t="str">
        <f t="shared" si="440"/>
        <v>Accepted</v>
      </c>
      <c r="S1090" t="str">
        <f t="shared" si="441"/>
        <v>Approved</v>
      </c>
      <c r="T1090" t="str">
        <f t="shared" si="442"/>
        <v>10.20.8.188</v>
      </c>
      <c r="U1090" t="str">
        <f t="shared" si="443"/>
        <v>AZRAD UMAR BIN SHAARI</v>
      </c>
      <c r="V1090" t="str">
        <f t="shared" si="444"/>
        <v>FARHANA BINTI MUSTAPA</v>
      </c>
      <c r="W1090" t="str">
        <f t="shared" si="445"/>
        <v>04-08-2020</v>
      </c>
      <c r="X1090" t="str">
        <f t="shared" si="446"/>
        <v>RAZIMAH ANSAR AHMAD</v>
      </c>
      <c r="Y1090" t="str">
        <f t="shared" si="447"/>
        <v>04-08-2020</v>
      </c>
      <c r="Z1090" t="str">
        <f>"COS10200804 8064"</f>
        <v>COS10200804 8064</v>
      </c>
    </row>
    <row r="1091" spans="1:26" x14ac:dyDescent="0.25">
      <c r="A1091" t="str">
        <f t="shared" si="456"/>
        <v>04-08-2020 01:09:43</v>
      </c>
      <c r="B1091" t="str">
        <f>"0000809866"</f>
        <v>0000809866</v>
      </c>
      <c r="C1091" t="str">
        <f t="shared" si="457"/>
        <v>0000809803</v>
      </c>
      <c r="D1091" t="str">
        <f t="shared" si="435"/>
        <v>73185</v>
      </c>
      <c r="E1091" t="str">
        <f t="shared" si="436"/>
        <v>KFH-OPERATIONS DEPARTMENT</v>
      </c>
      <c r="F1091" t="str">
        <f t="shared" si="437"/>
        <v>IBG</v>
      </c>
      <c r="G1091" t="str">
        <f t="shared" si="448"/>
        <v>Refund COSHARE 10</v>
      </c>
      <c r="H1091" s="2">
        <v>755.55</v>
      </c>
      <c r="I1091" t="str">
        <f>"ZULKIFLI BIN APANGI"</f>
        <v>ZULKIFLI BIN APANGI</v>
      </c>
      <c r="J1091" t="str">
        <f t="shared" si="449"/>
        <v>MAYBANK / MAYBANK ISLAMIC</v>
      </c>
      <c r="K1091" t="str">
        <f>"151025048305"</f>
        <v>151025048305</v>
      </c>
      <c r="L1091" t="str">
        <f t="shared" si="458"/>
        <v>04-08-2020</v>
      </c>
      <c r="M1091" t="str">
        <f t="shared" si="458"/>
        <v>04-08-2020</v>
      </c>
      <c r="N1091" t="str">
        <f t="shared" si="438"/>
        <v>001105018356</v>
      </c>
      <c r="O1091" t="str">
        <f t="shared" si="439"/>
        <v>MYR</v>
      </c>
      <c r="P1091" t="str">
        <f t="shared" si="459"/>
        <v>NIL</v>
      </c>
      <c r="Q1091" t="str">
        <f t="shared" si="459"/>
        <v>NIL</v>
      </c>
      <c r="R1091" t="str">
        <f t="shared" si="440"/>
        <v>Accepted</v>
      </c>
      <c r="S1091" t="str">
        <f t="shared" si="441"/>
        <v>Approved</v>
      </c>
      <c r="T1091" t="str">
        <f t="shared" si="442"/>
        <v>10.20.8.188</v>
      </c>
      <c r="U1091" t="str">
        <f t="shared" si="443"/>
        <v>AZRAD UMAR BIN SHAARI</v>
      </c>
      <c r="V1091" t="str">
        <f t="shared" si="444"/>
        <v>FARHANA BINTI MUSTAPA</v>
      </c>
      <c r="W1091" t="str">
        <f t="shared" si="445"/>
        <v>04-08-2020</v>
      </c>
      <c r="X1091" t="str">
        <f t="shared" si="446"/>
        <v>RAZIMAH ANSAR AHMAD</v>
      </c>
      <c r="Y1091" t="str">
        <f t="shared" si="447"/>
        <v>04-08-2020</v>
      </c>
      <c r="Z1091" t="str">
        <f>"COS10200804 8063"</f>
        <v>COS10200804 8063</v>
      </c>
    </row>
    <row r="1092" spans="1:26" x14ac:dyDescent="0.25">
      <c r="A1092" t="str">
        <f t="shared" si="456"/>
        <v>04-08-2020 01:09:43</v>
      </c>
      <c r="B1092" t="str">
        <f>"0000809865"</f>
        <v>0000809865</v>
      </c>
      <c r="C1092" t="str">
        <f t="shared" si="457"/>
        <v>0000809803</v>
      </c>
      <c r="D1092" t="str">
        <f t="shared" si="435"/>
        <v>73185</v>
      </c>
      <c r="E1092" t="str">
        <f t="shared" si="436"/>
        <v>KFH-OPERATIONS DEPARTMENT</v>
      </c>
      <c r="F1092" t="str">
        <f t="shared" si="437"/>
        <v>IBG</v>
      </c>
      <c r="G1092" t="str">
        <f t="shared" si="448"/>
        <v>Refund COSHARE 10</v>
      </c>
      <c r="H1092" s="2">
        <v>570.85</v>
      </c>
      <c r="I1092" t="str">
        <f>"ZULKIFLI BIN ABU BAKAR"</f>
        <v>ZULKIFLI BIN ABU BAKAR</v>
      </c>
      <c r="J1092" t="str">
        <f t="shared" si="449"/>
        <v>MAYBANK / MAYBANK ISLAMIC</v>
      </c>
      <c r="K1092" t="str">
        <f>"108300045087"</f>
        <v>108300045087</v>
      </c>
      <c r="L1092" t="str">
        <f t="shared" si="458"/>
        <v>04-08-2020</v>
      </c>
      <c r="M1092" t="str">
        <f t="shared" si="458"/>
        <v>04-08-2020</v>
      </c>
      <c r="N1092" t="str">
        <f t="shared" si="438"/>
        <v>001105018356</v>
      </c>
      <c r="O1092" t="str">
        <f t="shared" si="439"/>
        <v>MYR</v>
      </c>
      <c r="P1092" t="str">
        <f t="shared" si="459"/>
        <v>NIL</v>
      </c>
      <c r="Q1092" t="str">
        <f t="shared" si="459"/>
        <v>NIL</v>
      </c>
      <c r="R1092" t="str">
        <f t="shared" si="440"/>
        <v>Accepted</v>
      </c>
      <c r="S1092" t="str">
        <f t="shared" si="441"/>
        <v>Approved</v>
      </c>
      <c r="T1092" t="str">
        <f t="shared" si="442"/>
        <v>10.20.8.188</v>
      </c>
      <c r="U1092" t="str">
        <f t="shared" si="443"/>
        <v>AZRAD UMAR BIN SHAARI</v>
      </c>
      <c r="V1092" t="str">
        <f t="shared" si="444"/>
        <v>FARHANA BINTI MUSTAPA</v>
      </c>
      <c r="W1092" t="str">
        <f t="shared" si="445"/>
        <v>04-08-2020</v>
      </c>
      <c r="X1092" t="str">
        <f t="shared" si="446"/>
        <v>RAZIMAH ANSAR AHMAD</v>
      </c>
      <c r="Y1092" t="str">
        <f t="shared" si="447"/>
        <v>04-08-2020</v>
      </c>
      <c r="Z1092" t="str">
        <f>"COS10200804 8062"</f>
        <v>COS10200804 8062</v>
      </c>
    </row>
    <row r="1093" spans="1:26" x14ac:dyDescent="0.25">
      <c r="A1093" t="str">
        <f t="shared" si="456"/>
        <v>04-08-2020 01:09:43</v>
      </c>
      <c r="B1093" t="str">
        <f>"0000809864"</f>
        <v>0000809864</v>
      </c>
      <c r="C1093" t="str">
        <f t="shared" si="457"/>
        <v>0000809803</v>
      </c>
      <c r="D1093" t="str">
        <f t="shared" si="435"/>
        <v>73185</v>
      </c>
      <c r="E1093" t="str">
        <f t="shared" si="436"/>
        <v>KFH-OPERATIONS DEPARTMENT</v>
      </c>
      <c r="F1093" t="str">
        <f t="shared" si="437"/>
        <v>IBG</v>
      </c>
      <c r="G1093" t="str">
        <f t="shared" si="448"/>
        <v>Refund COSHARE 10</v>
      </c>
      <c r="H1093" s="2">
        <v>236.65</v>
      </c>
      <c r="I1093" t="str">
        <f>"ZULKIFLI BIN ABDUL RASHID"</f>
        <v>ZULKIFLI BIN ABDUL RASHID</v>
      </c>
      <c r="J1093" t="str">
        <f t="shared" si="449"/>
        <v>MAYBANK / MAYBANK ISLAMIC</v>
      </c>
      <c r="K1093" t="str">
        <f>"163019453751"</f>
        <v>163019453751</v>
      </c>
      <c r="L1093" t="str">
        <f t="shared" si="458"/>
        <v>04-08-2020</v>
      </c>
      <c r="M1093" t="str">
        <f t="shared" si="458"/>
        <v>04-08-2020</v>
      </c>
      <c r="N1093" t="str">
        <f t="shared" si="438"/>
        <v>001105018356</v>
      </c>
      <c r="O1093" t="str">
        <f t="shared" si="439"/>
        <v>MYR</v>
      </c>
      <c r="P1093" t="str">
        <f t="shared" si="459"/>
        <v>NIL</v>
      </c>
      <c r="Q1093" t="str">
        <f t="shared" si="459"/>
        <v>NIL</v>
      </c>
      <c r="R1093" t="str">
        <f t="shared" si="440"/>
        <v>Accepted</v>
      </c>
      <c r="S1093" t="str">
        <f t="shared" si="441"/>
        <v>Approved</v>
      </c>
      <c r="T1093" t="str">
        <f t="shared" si="442"/>
        <v>10.20.8.188</v>
      </c>
      <c r="U1093" t="str">
        <f t="shared" si="443"/>
        <v>AZRAD UMAR BIN SHAARI</v>
      </c>
      <c r="V1093" t="str">
        <f t="shared" si="444"/>
        <v>FARHANA BINTI MUSTAPA</v>
      </c>
      <c r="W1093" t="str">
        <f t="shared" si="445"/>
        <v>04-08-2020</v>
      </c>
      <c r="X1093" t="str">
        <f t="shared" si="446"/>
        <v>RAZIMAH ANSAR AHMAD</v>
      </c>
      <c r="Y1093" t="str">
        <f t="shared" si="447"/>
        <v>04-08-2020</v>
      </c>
      <c r="Z1093" t="str">
        <f>"COS10200804 8061"</f>
        <v>COS10200804 8061</v>
      </c>
    </row>
    <row r="1094" spans="1:26" x14ac:dyDescent="0.25">
      <c r="A1094" t="str">
        <f t="shared" si="456"/>
        <v>04-08-2020 01:09:43</v>
      </c>
      <c r="B1094" t="str">
        <f>"0000809863"</f>
        <v>0000809863</v>
      </c>
      <c r="C1094" t="str">
        <f t="shared" si="457"/>
        <v>0000809803</v>
      </c>
      <c r="D1094" t="str">
        <f t="shared" si="435"/>
        <v>73185</v>
      </c>
      <c r="E1094" t="str">
        <f t="shared" si="436"/>
        <v>KFH-OPERATIONS DEPARTMENT</v>
      </c>
      <c r="F1094" t="str">
        <f t="shared" si="437"/>
        <v>IBG</v>
      </c>
      <c r="G1094" t="str">
        <f t="shared" si="448"/>
        <v>Refund COSHARE 10</v>
      </c>
      <c r="H1094" s="2">
        <v>790</v>
      </c>
      <c r="I1094" t="str">
        <f>"ZULKIFLEE BIN ARAHIM"</f>
        <v>ZULKIFLEE BIN ARAHIM</v>
      </c>
      <c r="J1094" t="str">
        <f t="shared" si="449"/>
        <v>MAYBANK / MAYBANK ISLAMIC</v>
      </c>
      <c r="K1094" t="str">
        <f>"101254081129"</f>
        <v>101254081129</v>
      </c>
      <c r="L1094" t="str">
        <f t="shared" si="458"/>
        <v>04-08-2020</v>
      </c>
      <c r="M1094" t="str">
        <f t="shared" si="458"/>
        <v>04-08-2020</v>
      </c>
      <c r="N1094" t="str">
        <f t="shared" si="438"/>
        <v>001105018356</v>
      </c>
      <c r="O1094" t="str">
        <f t="shared" si="439"/>
        <v>MYR</v>
      </c>
      <c r="P1094" t="str">
        <f t="shared" si="459"/>
        <v>NIL</v>
      </c>
      <c r="Q1094" t="str">
        <f t="shared" si="459"/>
        <v>NIL</v>
      </c>
      <c r="R1094" t="str">
        <f t="shared" si="440"/>
        <v>Accepted</v>
      </c>
      <c r="S1094" t="str">
        <f t="shared" si="441"/>
        <v>Approved</v>
      </c>
      <c r="T1094" t="str">
        <f t="shared" si="442"/>
        <v>10.20.8.188</v>
      </c>
      <c r="U1094" t="str">
        <f t="shared" si="443"/>
        <v>AZRAD UMAR BIN SHAARI</v>
      </c>
      <c r="V1094" t="str">
        <f t="shared" si="444"/>
        <v>FARHANA BINTI MUSTAPA</v>
      </c>
      <c r="W1094" t="str">
        <f t="shared" si="445"/>
        <v>04-08-2020</v>
      </c>
      <c r="X1094" t="str">
        <f t="shared" si="446"/>
        <v>RAZIMAH ANSAR AHMAD</v>
      </c>
      <c r="Y1094" t="str">
        <f t="shared" si="447"/>
        <v>04-08-2020</v>
      </c>
      <c r="Z1094" t="str">
        <f>"COS10200804 8060"</f>
        <v>COS10200804 8060</v>
      </c>
    </row>
    <row r="1095" spans="1:26" x14ac:dyDescent="0.25">
      <c r="A1095" t="str">
        <f t="shared" si="456"/>
        <v>04-08-2020 01:09:43</v>
      </c>
      <c r="B1095" t="str">
        <f>"0000809862"</f>
        <v>0000809862</v>
      </c>
      <c r="C1095" t="str">
        <f t="shared" si="457"/>
        <v>0000809803</v>
      </c>
      <c r="D1095" t="str">
        <f t="shared" ref="D1095:D1158" si="460">"73185"</f>
        <v>73185</v>
      </c>
      <c r="E1095" t="str">
        <f t="shared" ref="E1095:E1158" si="461">"KFH-OPERATIONS DEPARTMENT"</f>
        <v>KFH-OPERATIONS DEPARTMENT</v>
      </c>
      <c r="F1095" t="str">
        <f t="shared" ref="F1095:F1158" si="462">"IBG"</f>
        <v>IBG</v>
      </c>
      <c r="G1095" t="str">
        <f t="shared" si="448"/>
        <v>Refund COSHARE 10</v>
      </c>
      <c r="H1095" s="2">
        <v>1284.45</v>
      </c>
      <c r="I1095" t="str">
        <f>"ZULKHIBRI BIN BUANG"</f>
        <v>ZULKHIBRI BIN BUANG</v>
      </c>
      <c r="J1095" t="str">
        <f t="shared" si="449"/>
        <v>MAYBANK / MAYBANK ISLAMIC</v>
      </c>
      <c r="K1095" t="str">
        <f>"151276024037"</f>
        <v>151276024037</v>
      </c>
      <c r="L1095" t="str">
        <f t="shared" si="458"/>
        <v>04-08-2020</v>
      </c>
      <c r="M1095" t="str">
        <f t="shared" si="458"/>
        <v>04-08-2020</v>
      </c>
      <c r="N1095" t="str">
        <f t="shared" ref="N1095:N1158" si="463">"001105018356"</f>
        <v>001105018356</v>
      </c>
      <c r="O1095" t="str">
        <f t="shared" ref="O1095:O1158" si="464">"MYR"</f>
        <v>MYR</v>
      </c>
      <c r="P1095" t="str">
        <f t="shared" si="459"/>
        <v>NIL</v>
      </c>
      <c r="Q1095" t="str">
        <f t="shared" si="459"/>
        <v>NIL</v>
      </c>
      <c r="R1095" t="str">
        <f t="shared" ref="R1095:R1158" si="465">"Accepted"</f>
        <v>Accepted</v>
      </c>
      <c r="S1095" t="str">
        <f t="shared" ref="S1095:S1158" si="466">"Approved"</f>
        <v>Approved</v>
      </c>
      <c r="T1095" t="str">
        <f t="shared" ref="T1095:T1158" si="467">"10.20.8.188"</f>
        <v>10.20.8.188</v>
      </c>
      <c r="U1095" t="str">
        <f t="shared" ref="U1095:U1158" si="468">"AZRAD UMAR BIN SHAARI"</f>
        <v>AZRAD UMAR BIN SHAARI</v>
      </c>
      <c r="V1095" t="str">
        <f t="shared" ref="V1095:V1158" si="469">"FARHANA BINTI MUSTAPA"</f>
        <v>FARHANA BINTI MUSTAPA</v>
      </c>
      <c r="W1095" t="str">
        <f t="shared" ref="W1095:W1158" si="470">"04-08-2020"</f>
        <v>04-08-2020</v>
      </c>
      <c r="X1095" t="str">
        <f t="shared" ref="X1095:X1158" si="471">"RAZIMAH ANSAR AHMAD"</f>
        <v>RAZIMAH ANSAR AHMAD</v>
      </c>
      <c r="Y1095" t="str">
        <f t="shared" ref="Y1095:Y1158" si="472">"04-08-2020"</f>
        <v>04-08-2020</v>
      </c>
      <c r="Z1095" t="str">
        <f>"COS10200804 8059"</f>
        <v>COS10200804 8059</v>
      </c>
    </row>
    <row r="1096" spans="1:26" x14ac:dyDescent="0.25">
      <c r="A1096" t="str">
        <f t="shared" si="456"/>
        <v>04-08-2020 01:09:43</v>
      </c>
      <c r="B1096" t="str">
        <f>"0000809861"</f>
        <v>0000809861</v>
      </c>
      <c r="C1096" t="str">
        <f t="shared" si="457"/>
        <v>0000809803</v>
      </c>
      <c r="D1096" t="str">
        <f t="shared" si="460"/>
        <v>73185</v>
      </c>
      <c r="E1096" t="str">
        <f t="shared" si="461"/>
        <v>KFH-OPERATIONS DEPARTMENT</v>
      </c>
      <c r="F1096" t="str">
        <f t="shared" si="462"/>
        <v>IBG</v>
      </c>
      <c r="G1096" t="str">
        <f t="shared" si="448"/>
        <v>Refund COSHARE 10</v>
      </c>
      <c r="H1096" s="2">
        <v>839.5</v>
      </c>
      <c r="I1096" t="str">
        <f>"ZULKHAIRI BIN KHAIRUDIN"</f>
        <v>ZULKHAIRI BIN KHAIRUDIN</v>
      </c>
      <c r="J1096" t="str">
        <f t="shared" si="449"/>
        <v>MAYBANK / MAYBANK ISLAMIC</v>
      </c>
      <c r="K1096" t="str">
        <f>"151240016059"</f>
        <v>151240016059</v>
      </c>
      <c r="L1096" t="str">
        <f t="shared" si="458"/>
        <v>04-08-2020</v>
      </c>
      <c r="M1096" t="str">
        <f t="shared" si="458"/>
        <v>04-08-2020</v>
      </c>
      <c r="N1096" t="str">
        <f t="shared" si="463"/>
        <v>001105018356</v>
      </c>
      <c r="O1096" t="str">
        <f t="shared" si="464"/>
        <v>MYR</v>
      </c>
      <c r="P1096" t="str">
        <f t="shared" si="459"/>
        <v>NIL</v>
      </c>
      <c r="Q1096" t="str">
        <f t="shared" si="459"/>
        <v>NIL</v>
      </c>
      <c r="R1096" t="str">
        <f t="shared" si="465"/>
        <v>Accepted</v>
      </c>
      <c r="S1096" t="str">
        <f t="shared" si="466"/>
        <v>Approved</v>
      </c>
      <c r="T1096" t="str">
        <f t="shared" si="467"/>
        <v>10.20.8.188</v>
      </c>
      <c r="U1096" t="str">
        <f t="shared" si="468"/>
        <v>AZRAD UMAR BIN SHAARI</v>
      </c>
      <c r="V1096" t="str">
        <f t="shared" si="469"/>
        <v>FARHANA BINTI MUSTAPA</v>
      </c>
      <c r="W1096" t="str">
        <f t="shared" si="470"/>
        <v>04-08-2020</v>
      </c>
      <c r="X1096" t="str">
        <f t="shared" si="471"/>
        <v>RAZIMAH ANSAR AHMAD</v>
      </c>
      <c r="Y1096" t="str">
        <f t="shared" si="472"/>
        <v>04-08-2020</v>
      </c>
      <c r="Z1096" t="str">
        <f>"COS10200804 8058"</f>
        <v>COS10200804 8058</v>
      </c>
    </row>
    <row r="1097" spans="1:26" x14ac:dyDescent="0.25">
      <c r="A1097" t="str">
        <f t="shared" si="456"/>
        <v>04-08-2020 01:09:43</v>
      </c>
      <c r="B1097" t="str">
        <f>"0000809860"</f>
        <v>0000809860</v>
      </c>
      <c r="C1097" t="str">
        <f t="shared" si="457"/>
        <v>0000809803</v>
      </c>
      <c r="D1097" t="str">
        <f t="shared" si="460"/>
        <v>73185</v>
      </c>
      <c r="E1097" t="str">
        <f t="shared" si="461"/>
        <v>KFH-OPERATIONS DEPARTMENT</v>
      </c>
      <c r="F1097" t="str">
        <f t="shared" si="462"/>
        <v>IBG</v>
      </c>
      <c r="G1097" t="str">
        <f t="shared" si="448"/>
        <v>Refund COSHARE 10</v>
      </c>
      <c r="H1097" s="2">
        <v>705</v>
      </c>
      <c r="I1097" t="str">
        <f>"ZULKEPALI BIN SALLEH"</f>
        <v>ZULKEPALI BIN SALLEH</v>
      </c>
      <c r="J1097" t="str">
        <f t="shared" si="449"/>
        <v>MAYBANK / MAYBANK ISLAMIC</v>
      </c>
      <c r="K1097" t="str">
        <f>"151267002108"</f>
        <v>151267002108</v>
      </c>
      <c r="L1097" t="str">
        <f t="shared" si="458"/>
        <v>04-08-2020</v>
      </c>
      <c r="M1097" t="str">
        <f t="shared" si="458"/>
        <v>04-08-2020</v>
      </c>
      <c r="N1097" t="str">
        <f t="shared" si="463"/>
        <v>001105018356</v>
      </c>
      <c r="O1097" t="str">
        <f t="shared" si="464"/>
        <v>MYR</v>
      </c>
      <c r="P1097" t="str">
        <f t="shared" si="459"/>
        <v>NIL</v>
      </c>
      <c r="Q1097" t="str">
        <f t="shared" si="459"/>
        <v>NIL</v>
      </c>
      <c r="R1097" t="str">
        <f t="shared" si="465"/>
        <v>Accepted</v>
      </c>
      <c r="S1097" t="str">
        <f t="shared" si="466"/>
        <v>Approved</v>
      </c>
      <c r="T1097" t="str">
        <f t="shared" si="467"/>
        <v>10.20.8.188</v>
      </c>
      <c r="U1097" t="str">
        <f t="shared" si="468"/>
        <v>AZRAD UMAR BIN SHAARI</v>
      </c>
      <c r="V1097" t="str">
        <f t="shared" si="469"/>
        <v>FARHANA BINTI MUSTAPA</v>
      </c>
      <c r="W1097" t="str">
        <f t="shared" si="470"/>
        <v>04-08-2020</v>
      </c>
      <c r="X1097" t="str">
        <f t="shared" si="471"/>
        <v>RAZIMAH ANSAR AHMAD</v>
      </c>
      <c r="Y1097" t="str">
        <f t="shared" si="472"/>
        <v>04-08-2020</v>
      </c>
      <c r="Z1097" t="str">
        <f>"COS10200804 8057"</f>
        <v>COS10200804 8057</v>
      </c>
    </row>
    <row r="1098" spans="1:26" x14ac:dyDescent="0.25">
      <c r="A1098" t="str">
        <f t="shared" si="456"/>
        <v>04-08-2020 01:09:43</v>
      </c>
      <c r="B1098" t="str">
        <f>"0000809859"</f>
        <v>0000809859</v>
      </c>
      <c r="C1098" t="str">
        <f t="shared" si="457"/>
        <v>0000809803</v>
      </c>
      <c r="D1098" t="str">
        <f t="shared" si="460"/>
        <v>73185</v>
      </c>
      <c r="E1098" t="str">
        <f t="shared" si="461"/>
        <v>KFH-OPERATIONS DEPARTMENT</v>
      </c>
      <c r="F1098" t="str">
        <f t="shared" si="462"/>
        <v>IBG</v>
      </c>
      <c r="G1098" t="str">
        <f t="shared" si="448"/>
        <v>Refund COSHARE 10</v>
      </c>
      <c r="H1098" s="2">
        <v>1679</v>
      </c>
      <c r="I1098" t="str">
        <f>"ZULKEFLI BIN RAMLEE"</f>
        <v>ZULKEFLI BIN RAMLEE</v>
      </c>
      <c r="J1098" t="str">
        <f t="shared" si="449"/>
        <v>MAYBANK / MAYBANK ISLAMIC</v>
      </c>
      <c r="K1098" t="str">
        <f>"162487099304"</f>
        <v>162487099304</v>
      </c>
      <c r="L1098" t="str">
        <f t="shared" si="458"/>
        <v>04-08-2020</v>
      </c>
      <c r="M1098" t="str">
        <f t="shared" si="458"/>
        <v>04-08-2020</v>
      </c>
      <c r="N1098" t="str">
        <f t="shared" si="463"/>
        <v>001105018356</v>
      </c>
      <c r="O1098" t="str">
        <f t="shared" si="464"/>
        <v>MYR</v>
      </c>
      <c r="P1098" t="str">
        <f t="shared" si="459"/>
        <v>NIL</v>
      </c>
      <c r="Q1098" t="str">
        <f t="shared" si="459"/>
        <v>NIL</v>
      </c>
      <c r="R1098" t="str">
        <f t="shared" si="465"/>
        <v>Accepted</v>
      </c>
      <c r="S1098" t="str">
        <f t="shared" si="466"/>
        <v>Approved</v>
      </c>
      <c r="T1098" t="str">
        <f t="shared" si="467"/>
        <v>10.20.8.188</v>
      </c>
      <c r="U1098" t="str">
        <f t="shared" si="468"/>
        <v>AZRAD UMAR BIN SHAARI</v>
      </c>
      <c r="V1098" t="str">
        <f t="shared" si="469"/>
        <v>FARHANA BINTI MUSTAPA</v>
      </c>
      <c r="W1098" t="str">
        <f t="shared" si="470"/>
        <v>04-08-2020</v>
      </c>
      <c r="X1098" t="str">
        <f t="shared" si="471"/>
        <v>RAZIMAH ANSAR AHMAD</v>
      </c>
      <c r="Y1098" t="str">
        <f t="shared" si="472"/>
        <v>04-08-2020</v>
      </c>
      <c r="Z1098" t="str">
        <f>"COS10200804 8056"</f>
        <v>COS10200804 8056</v>
      </c>
    </row>
    <row r="1099" spans="1:26" x14ac:dyDescent="0.25">
      <c r="A1099" t="str">
        <f t="shared" si="456"/>
        <v>04-08-2020 01:09:43</v>
      </c>
      <c r="B1099" t="str">
        <f>"0000809858"</f>
        <v>0000809858</v>
      </c>
      <c r="C1099" t="str">
        <f t="shared" si="457"/>
        <v>0000809803</v>
      </c>
      <c r="D1099" t="str">
        <f t="shared" si="460"/>
        <v>73185</v>
      </c>
      <c r="E1099" t="str">
        <f t="shared" si="461"/>
        <v>KFH-OPERATIONS DEPARTMENT</v>
      </c>
      <c r="F1099" t="str">
        <f t="shared" si="462"/>
        <v>IBG</v>
      </c>
      <c r="G1099" t="str">
        <f t="shared" si="448"/>
        <v>Refund COSHARE 10</v>
      </c>
      <c r="H1099" s="2">
        <v>805.95</v>
      </c>
      <c r="I1099" t="str">
        <f>"ZULKEFLEE BIN MOHD SALLEH"</f>
        <v>ZULKEFLEE BIN MOHD SALLEH</v>
      </c>
      <c r="J1099" t="str">
        <f t="shared" si="449"/>
        <v>MAYBANK / MAYBANK ISLAMIC</v>
      </c>
      <c r="K1099" t="str">
        <f>"162012563473"</f>
        <v>162012563473</v>
      </c>
      <c r="L1099" t="str">
        <f t="shared" si="458"/>
        <v>04-08-2020</v>
      </c>
      <c r="M1099" t="str">
        <f t="shared" si="458"/>
        <v>04-08-2020</v>
      </c>
      <c r="N1099" t="str">
        <f t="shared" si="463"/>
        <v>001105018356</v>
      </c>
      <c r="O1099" t="str">
        <f t="shared" si="464"/>
        <v>MYR</v>
      </c>
      <c r="P1099" t="str">
        <f t="shared" si="459"/>
        <v>NIL</v>
      </c>
      <c r="Q1099" t="str">
        <f t="shared" si="459"/>
        <v>NIL</v>
      </c>
      <c r="R1099" t="str">
        <f t="shared" si="465"/>
        <v>Accepted</v>
      </c>
      <c r="S1099" t="str">
        <f t="shared" si="466"/>
        <v>Approved</v>
      </c>
      <c r="T1099" t="str">
        <f t="shared" si="467"/>
        <v>10.20.8.188</v>
      </c>
      <c r="U1099" t="str">
        <f t="shared" si="468"/>
        <v>AZRAD UMAR BIN SHAARI</v>
      </c>
      <c r="V1099" t="str">
        <f t="shared" si="469"/>
        <v>FARHANA BINTI MUSTAPA</v>
      </c>
      <c r="W1099" t="str">
        <f t="shared" si="470"/>
        <v>04-08-2020</v>
      </c>
      <c r="X1099" t="str">
        <f t="shared" si="471"/>
        <v>RAZIMAH ANSAR AHMAD</v>
      </c>
      <c r="Y1099" t="str">
        <f t="shared" si="472"/>
        <v>04-08-2020</v>
      </c>
      <c r="Z1099" t="str">
        <f>"COS10200804 8055"</f>
        <v>COS10200804 8055</v>
      </c>
    </row>
    <row r="1100" spans="1:26" x14ac:dyDescent="0.25">
      <c r="A1100" t="str">
        <f t="shared" si="456"/>
        <v>04-08-2020 01:09:43</v>
      </c>
      <c r="B1100" t="str">
        <f>"0000809857"</f>
        <v>0000809857</v>
      </c>
      <c r="C1100" t="str">
        <f t="shared" si="457"/>
        <v>0000809803</v>
      </c>
      <c r="D1100" t="str">
        <f t="shared" si="460"/>
        <v>73185</v>
      </c>
      <c r="E1100" t="str">
        <f t="shared" si="461"/>
        <v>KFH-OPERATIONS DEPARTMENT</v>
      </c>
      <c r="F1100" t="str">
        <f t="shared" si="462"/>
        <v>IBG</v>
      </c>
      <c r="G1100" t="str">
        <f t="shared" ref="G1100:G1163" si="473">"Refund COSHARE 10"</f>
        <v>Refund COSHARE 10</v>
      </c>
      <c r="H1100" s="2">
        <v>1235.25</v>
      </c>
      <c r="I1100" t="str">
        <f>"ZULKEFLE BIN LAMUDIN"</f>
        <v>ZULKEFLE BIN LAMUDIN</v>
      </c>
      <c r="J1100" t="str">
        <f t="shared" si="449"/>
        <v>MAYBANK / MAYBANK ISLAMIC</v>
      </c>
      <c r="K1100" t="str">
        <f>"160102346147"</f>
        <v>160102346147</v>
      </c>
      <c r="L1100" t="str">
        <f t="shared" si="458"/>
        <v>04-08-2020</v>
      </c>
      <c r="M1100" t="str">
        <f t="shared" si="458"/>
        <v>04-08-2020</v>
      </c>
      <c r="N1100" t="str">
        <f t="shared" si="463"/>
        <v>001105018356</v>
      </c>
      <c r="O1100" t="str">
        <f t="shared" si="464"/>
        <v>MYR</v>
      </c>
      <c r="P1100" t="str">
        <f t="shared" si="459"/>
        <v>NIL</v>
      </c>
      <c r="Q1100" t="str">
        <f t="shared" si="459"/>
        <v>NIL</v>
      </c>
      <c r="R1100" t="str">
        <f t="shared" si="465"/>
        <v>Accepted</v>
      </c>
      <c r="S1100" t="str">
        <f t="shared" si="466"/>
        <v>Approved</v>
      </c>
      <c r="T1100" t="str">
        <f t="shared" si="467"/>
        <v>10.20.8.188</v>
      </c>
      <c r="U1100" t="str">
        <f t="shared" si="468"/>
        <v>AZRAD UMAR BIN SHAARI</v>
      </c>
      <c r="V1100" t="str">
        <f t="shared" si="469"/>
        <v>FARHANA BINTI MUSTAPA</v>
      </c>
      <c r="W1100" t="str">
        <f t="shared" si="470"/>
        <v>04-08-2020</v>
      </c>
      <c r="X1100" t="str">
        <f t="shared" si="471"/>
        <v>RAZIMAH ANSAR AHMAD</v>
      </c>
      <c r="Y1100" t="str">
        <f t="shared" si="472"/>
        <v>04-08-2020</v>
      </c>
      <c r="Z1100" t="str">
        <f>"COS10200804 8054"</f>
        <v>COS10200804 8054</v>
      </c>
    </row>
    <row r="1101" spans="1:26" x14ac:dyDescent="0.25">
      <c r="A1101" t="str">
        <f t="shared" si="456"/>
        <v>04-08-2020 01:09:43</v>
      </c>
      <c r="B1101" t="str">
        <f>"0000809856"</f>
        <v>0000809856</v>
      </c>
      <c r="C1101" t="str">
        <f t="shared" si="457"/>
        <v>0000809803</v>
      </c>
      <c r="D1101" t="str">
        <f t="shared" si="460"/>
        <v>73185</v>
      </c>
      <c r="E1101" t="str">
        <f t="shared" si="461"/>
        <v>KFH-OPERATIONS DEPARTMENT</v>
      </c>
      <c r="F1101" t="str">
        <f t="shared" si="462"/>
        <v>IBG</v>
      </c>
      <c r="G1101" t="str">
        <f t="shared" si="473"/>
        <v>Refund COSHARE 10</v>
      </c>
      <c r="H1101" s="2">
        <v>560</v>
      </c>
      <c r="I1101" t="str">
        <f>"ZULKEFLE BIN ABU SAMAH"</f>
        <v>ZULKEFLE BIN ABU SAMAH</v>
      </c>
      <c r="J1101" t="str">
        <f t="shared" si="449"/>
        <v>MAYBANK / MAYBANK ISLAMIC</v>
      </c>
      <c r="K1101" t="str">
        <f>"154044750666"</f>
        <v>154044750666</v>
      </c>
      <c r="L1101" t="str">
        <f t="shared" si="458"/>
        <v>04-08-2020</v>
      </c>
      <c r="M1101" t="str">
        <f t="shared" si="458"/>
        <v>04-08-2020</v>
      </c>
      <c r="N1101" t="str">
        <f t="shared" si="463"/>
        <v>001105018356</v>
      </c>
      <c r="O1101" t="str">
        <f t="shared" si="464"/>
        <v>MYR</v>
      </c>
      <c r="P1101" t="str">
        <f t="shared" si="459"/>
        <v>NIL</v>
      </c>
      <c r="Q1101" t="str">
        <f t="shared" si="459"/>
        <v>NIL</v>
      </c>
      <c r="R1101" t="str">
        <f t="shared" si="465"/>
        <v>Accepted</v>
      </c>
      <c r="S1101" t="str">
        <f t="shared" si="466"/>
        <v>Approved</v>
      </c>
      <c r="T1101" t="str">
        <f t="shared" si="467"/>
        <v>10.20.8.188</v>
      </c>
      <c r="U1101" t="str">
        <f t="shared" si="468"/>
        <v>AZRAD UMAR BIN SHAARI</v>
      </c>
      <c r="V1101" t="str">
        <f t="shared" si="469"/>
        <v>FARHANA BINTI MUSTAPA</v>
      </c>
      <c r="W1101" t="str">
        <f t="shared" si="470"/>
        <v>04-08-2020</v>
      </c>
      <c r="X1101" t="str">
        <f t="shared" si="471"/>
        <v>RAZIMAH ANSAR AHMAD</v>
      </c>
      <c r="Y1101" t="str">
        <f t="shared" si="472"/>
        <v>04-08-2020</v>
      </c>
      <c r="Z1101" t="str">
        <f>"COS10200804 8053"</f>
        <v>COS10200804 8053</v>
      </c>
    </row>
    <row r="1102" spans="1:26" x14ac:dyDescent="0.25">
      <c r="A1102" t="str">
        <f t="shared" si="456"/>
        <v>04-08-2020 01:09:43</v>
      </c>
      <c r="B1102" t="str">
        <f>"0000809855"</f>
        <v>0000809855</v>
      </c>
      <c r="C1102" t="str">
        <f t="shared" si="457"/>
        <v>0000809803</v>
      </c>
      <c r="D1102" t="str">
        <f t="shared" si="460"/>
        <v>73185</v>
      </c>
      <c r="E1102" t="str">
        <f t="shared" si="461"/>
        <v>KFH-OPERATIONS DEPARTMENT</v>
      </c>
      <c r="F1102" t="str">
        <f t="shared" si="462"/>
        <v>IBG</v>
      </c>
      <c r="G1102" t="str">
        <f t="shared" si="473"/>
        <v>Refund COSHARE 10</v>
      </c>
      <c r="H1102" s="2">
        <v>359.7</v>
      </c>
      <c r="I1102" t="str">
        <f>"ZULKARNAIN HASSAN BIN ZAINI  ABU BAKAR"</f>
        <v>ZULKARNAIN HASSAN BIN ZAINI  ABU BAKAR</v>
      </c>
      <c r="J1102" t="str">
        <f t="shared" si="449"/>
        <v>MAYBANK / MAYBANK ISLAMIC</v>
      </c>
      <c r="K1102" t="str">
        <f>"151061171654"</f>
        <v>151061171654</v>
      </c>
      <c r="L1102" t="str">
        <f t="shared" si="458"/>
        <v>04-08-2020</v>
      </c>
      <c r="M1102" t="str">
        <f t="shared" si="458"/>
        <v>04-08-2020</v>
      </c>
      <c r="N1102" t="str">
        <f t="shared" si="463"/>
        <v>001105018356</v>
      </c>
      <c r="O1102" t="str">
        <f t="shared" si="464"/>
        <v>MYR</v>
      </c>
      <c r="P1102" t="str">
        <f t="shared" si="459"/>
        <v>NIL</v>
      </c>
      <c r="Q1102" t="str">
        <f t="shared" si="459"/>
        <v>NIL</v>
      </c>
      <c r="R1102" t="str">
        <f t="shared" si="465"/>
        <v>Accepted</v>
      </c>
      <c r="S1102" t="str">
        <f t="shared" si="466"/>
        <v>Approved</v>
      </c>
      <c r="T1102" t="str">
        <f t="shared" si="467"/>
        <v>10.20.8.188</v>
      </c>
      <c r="U1102" t="str">
        <f t="shared" si="468"/>
        <v>AZRAD UMAR BIN SHAARI</v>
      </c>
      <c r="V1102" t="str">
        <f t="shared" si="469"/>
        <v>FARHANA BINTI MUSTAPA</v>
      </c>
      <c r="W1102" t="str">
        <f t="shared" si="470"/>
        <v>04-08-2020</v>
      </c>
      <c r="X1102" t="str">
        <f t="shared" si="471"/>
        <v>RAZIMAH ANSAR AHMAD</v>
      </c>
      <c r="Y1102" t="str">
        <f t="shared" si="472"/>
        <v>04-08-2020</v>
      </c>
      <c r="Z1102" t="str">
        <f>"COS10200804 8052"</f>
        <v>COS10200804 8052</v>
      </c>
    </row>
    <row r="1103" spans="1:26" x14ac:dyDescent="0.25">
      <c r="A1103" t="str">
        <f t="shared" si="456"/>
        <v>04-08-2020 01:09:43</v>
      </c>
      <c r="B1103" t="str">
        <f>"0000809854"</f>
        <v>0000809854</v>
      </c>
      <c r="C1103" t="str">
        <f t="shared" si="457"/>
        <v>0000809803</v>
      </c>
      <c r="D1103" t="str">
        <f t="shared" si="460"/>
        <v>73185</v>
      </c>
      <c r="E1103" t="str">
        <f t="shared" si="461"/>
        <v>KFH-OPERATIONS DEPARTMENT</v>
      </c>
      <c r="F1103" t="str">
        <f t="shared" si="462"/>
        <v>IBG</v>
      </c>
      <c r="G1103" t="str">
        <f t="shared" si="473"/>
        <v>Refund COSHARE 10</v>
      </c>
      <c r="H1103" s="2">
        <v>97</v>
      </c>
      <c r="I1103" t="str">
        <f>"ZULKARNAIN BIN MAT ADAM"</f>
        <v>ZULKARNAIN BIN MAT ADAM</v>
      </c>
      <c r="J1103" t="str">
        <f t="shared" si="449"/>
        <v>MAYBANK / MAYBANK ISLAMIC</v>
      </c>
      <c r="K1103" t="str">
        <f>"164098481760"</f>
        <v>164098481760</v>
      </c>
      <c r="L1103" t="str">
        <f t="shared" si="458"/>
        <v>04-08-2020</v>
      </c>
      <c r="M1103" t="str">
        <f t="shared" si="458"/>
        <v>04-08-2020</v>
      </c>
      <c r="N1103" t="str">
        <f t="shared" si="463"/>
        <v>001105018356</v>
      </c>
      <c r="O1103" t="str">
        <f t="shared" si="464"/>
        <v>MYR</v>
      </c>
      <c r="P1103" t="str">
        <f t="shared" si="459"/>
        <v>NIL</v>
      </c>
      <c r="Q1103" t="str">
        <f t="shared" si="459"/>
        <v>NIL</v>
      </c>
      <c r="R1103" t="str">
        <f t="shared" si="465"/>
        <v>Accepted</v>
      </c>
      <c r="S1103" t="str">
        <f t="shared" si="466"/>
        <v>Approved</v>
      </c>
      <c r="T1103" t="str">
        <f t="shared" si="467"/>
        <v>10.20.8.188</v>
      </c>
      <c r="U1103" t="str">
        <f t="shared" si="468"/>
        <v>AZRAD UMAR BIN SHAARI</v>
      </c>
      <c r="V1103" t="str">
        <f t="shared" si="469"/>
        <v>FARHANA BINTI MUSTAPA</v>
      </c>
      <c r="W1103" t="str">
        <f t="shared" si="470"/>
        <v>04-08-2020</v>
      </c>
      <c r="X1103" t="str">
        <f t="shared" si="471"/>
        <v>RAZIMAH ANSAR AHMAD</v>
      </c>
      <c r="Y1103" t="str">
        <f t="shared" si="472"/>
        <v>04-08-2020</v>
      </c>
      <c r="Z1103" t="str">
        <f>"COS10200804 8051"</f>
        <v>COS10200804 8051</v>
      </c>
    </row>
    <row r="1104" spans="1:26" x14ac:dyDescent="0.25">
      <c r="A1104" t="str">
        <f t="shared" si="456"/>
        <v>04-08-2020 01:09:43</v>
      </c>
      <c r="B1104" t="str">
        <f>"0000809853"</f>
        <v>0000809853</v>
      </c>
      <c r="C1104" t="str">
        <f t="shared" si="457"/>
        <v>0000809803</v>
      </c>
      <c r="D1104" t="str">
        <f t="shared" si="460"/>
        <v>73185</v>
      </c>
      <c r="E1104" t="str">
        <f t="shared" si="461"/>
        <v>KFH-OPERATIONS DEPARTMENT</v>
      </c>
      <c r="F1104" t="str">
        <f t="shared" si="462"/>
        <v>IBG</v>
      </c>
      <c r="G1104" t="str">
        <f t="shared" si="473"/>
        <v>Refund COSHARE 10</v>
      </c>
      <c r="H1104" s="2">
        <v>142.75</v>
      </c>
      <c r="I1104" t="str">
        <f>"ZULKARNAIN BIN HASAN"</f>
        <v>ZULKARNAIN BIN HASAN</v>
      </c>
      <c r="J1104" t="str">
        <f t="shared" si="449"/>
        <v>MAYBANK / MAYBANK ISLAMIC</v>
      </c>
      <c r="K1104" t="str">
        <f>"152023039716"</f>
        <v>152023039716</v>
      </c>
      <c r="L1104" t="str">
        <f t="shared" si="458"/>
        <v>04-08-2020</v>
      </c>
      <c r="M1104" t="str">
        <f t="shared" si="458"/>
        <v>04-08-2020</v>
      </c>
      <c r="N1104" t="str">
        <f t="shared" si="463"/>
        <v>001105018356</v>
      </c>
      <c r="O1104" t="str">
        <f t="shared" si="464"/>
        <v>MYR</v>
      </c>
      <c r="P1104" t="str">
        <f t="shared" si="459"/>
        <v>NIL</v>
      </c>
      <c r="Q1104" t="str">
        <f t="shared" si="459"/>
        <v>NIL</v>
      </c>
      <c r="R1104" t="str">
        <f t="shared" si="465"/>
        <v>Accepted</v>
      </c>
      <c r="S1104" t="str">
        <f t="shared" si="466"/>
        <v>Approved</v>
      </c>
      <c r="T1104" t="str">
        <f t="shared" si="467"/>
        <v>10.20.8.188</v>
      </c>
      <c r="U1104" t="str">
        <f t="shared" si="468"/>
        <v>AZRAD UMAR BIN SHAARI</v>
      </c>
      <c r="V1104" t="str">
        <f t="shared" si="469"/>
        <v>FARHANA BINTI MUSTAPA</v>
      </c>
      <c r="W1104" t="str">
        <f t="shared" si="470"/>
        <v>04-08-2020</v>
      </c>
      <c r="X1104" t="str">
        <f t="shared" si="471"/>
        <v>RAZIMAH ANSAR AHMAD</v>
      </c>
      <c r="Y1104" t="str">
        <f t="shared" si="472"/>
        <v>04-08-2020</v>
      </c>
      <c r="Z1104" t="str">
        <f>"COS10200804 8050"</f>
        <v>COS10200804 8050</v>
      </c>
    </row>
    <row r="1105" spans="1:26" x14ac:dyDescent="0.25">
      <c r="A1105" t="str">
        <f t="shared" si="456"/>
        <v>04-08-2020 01:09:43</v>
      </c>
      <c r="B1105" t="str">
        <f>"0000809852"</f>
        <v>0000809852</v>
      </c>
      <c r="C1105" t="str">
        <f t="shared" si="457"/>
        <v>0000809803</v>
      </c>
      <c r="D1105" t="str">
        <f t="shared" si="460"/>
        <v>73185</v>
      </c>
      <c r="E1105" t="str">
        <f t="shared" si="461"/>
        <v>KFH-OPERATIONS DEPARTMENT</v>
      </c>
      <c r="F1105" t="str">
        <f t="shared" si="462"/>
        <v>IBG</v>
      </c>
      <c r="G1105" t="str">
        <f t="shared" si="473"/>
        <v>Refund COSHARE 10</v>
      </c>
      <c r="H1105" s="2">
        <v>359</v>
      </c>
      <c r="I1105" t="str">
        <f>"ZULKARNAIN BIN AHMAD"</f>
        <v>ZULKARNAIN BIN AHMAD</v>
      </c>
      <c r="J1105" t="str">
        <f t="shared" ref="J1105:J1168" si="474">"MAYBANK / MAYBANK ISLAMIC"</f>
        <v>MAYBANK / MAYBANK ISLAMIC</v>
      </c>
      <c r="K1105" t="str">
        <f>"101105538726"</f>
        <v>101105538726</v>
      </c>
      <c r="L1105" t="str">
        <f t="shared" si="458"/>
        <v>04-08-2020</v>
      </c>
      <c r="M1105" t="str">
        <f t="shared" si="458"/>
        <v>04-08-2020</v>
      </c>
      <c r="N1105" t="str">
        <f t="shared" si="463"/>
        <v>001105018356</v>
      </c>
      <c r="O1105" t="str">
        <f t="shared" si="464"/>
        <v>MYR</v>
      </c>
      <c r="P1105" t="str">
        <f t="shared" si="459"/>
        <v>NIL</v>
      </c>
      <c r="Q1105" t="str">
        <f t="shared" si="459"/>
        <v>NIL</v>
      </c>
      <c r="R1105" t="str">
        <f t="shared" si="465"/>
        <v>Accepted</v>
      </c>
      <c r="S1105" t="str">
        <f t="shared" si="466"/>
        <v>Approved</v>
      </c>
      <c r="T1105" t="str">
        <f t="shared" si="467"/>
        <v>10.20.8.188</v>
      </c>
      <c r="U1105" t="str">
        <f t="shared" si="468"/>
        <v>AZRAD UMAR BIN SHAARI</v>
      </c>
      <c r="V1105" t="str">
        <f t="shared" si="469"/>
        <v>FARHANA BINTI MUSTAPA</v>
      </c>
      <c r="W1105" t="str">
        <f t="shared" si="470"/>
        <v>04-08-2020</v>
      </c>
      <c r="X1105" t="str">
        <f t="shared" si="471"/>
        <v>RAZIMAH ANSAR AHMAD</v>
      </c>
      <c r="Y1105" t="str">
        <f t="shared" si="472"/>
        <v>04-08-2020</v>
      </c>
      <c r="Z1105" t="str">
        <f>"COS10200804 8049"</f>
        <v>COS10200804 8049</v>
      </c>
    </row>
    <row r="1106" spans="1:26" x14ac:dyDescent="0.25">
      <c r="A1106" t="str">
        <f t="shared" si="456"/>
        <v>04-08-2020 01:09:43</v>
      </c>
      <c r="B1106" t="str">
        <f>"0000809851"</f>
        <v>0000809851</v>
      </c>
      <c r="C1106" t="str">
        <f t="shared" si="457"/>
        <v>0000809803</v>
      </c>
      <c r="D1106" t="str">
        <f t="shared" si="460"/>
        <v>73185</v>
      </c>
      <c r="E1106" t="str">
        <f t="shared" si="461"/>
        <v>KFH-OPERATIONS DEPARTMENT</v>
      </c>
      <c r="F1106" t="str">
        <f t="shared" si="462"/>
        <v>IBG</v>
      </c>
      <c r="G1106" t="str">
        <f t="shared" si="473"/>
        <v>Refund COSHARE 10</v>
      </c>
      <c r="H1106" s="2">
        <v>190.55</v>
      </c>
      <c r="I1106" t="str">
        <f>"ZULKARNAIN BIN ABDULLAH"</f>
        <v>ZULKARNAIN BIN ABDULLAH</v>
      </c>
      <c r="J1106" t="str">
        <f t="shared" si="474"/>
        <v>MAYBANK / MAYBANK ISLAMIC</v>
      </c>
      <c r="K1106" t="str">
        <f>"164191975676"</f>
        <v>164191975676</v>
      </c>
      <c r="L1106" t="str">
        <f t="shared" si="458"/>
        <v>04-08-2020</v>
      </c>
      <c r="M1106" t="str">
        <f t="shared" si="458"/>
        <v>04-08-2020</v>
      </c>
      <c r="N1106" t="str">
        <f t="shared" si="463"/>
        <v>001105018356</v>
      </c>
      <c r="O1106" t="str">
        <f t="shared" si="464"/>
        <v>MYR</v>
      </c>
      <c r="P1106" t="str">
        <f t="shared" si="459"/>
        <v>NIL</v>
      </c>
      <c r="Q1106" t="str">
        <f t="shared" si="459"/>
        <v>NIL</v>
      </c>
      <c r="R1106" t="str">
        <f t="shared" si="465"/>
        <v>Accepted</v>
      </c>
      <c r="S1106" t="str">
        <f t="shared" si="466"/>
        <v>Approved</v>
      </c>
      <c r="T1106" t="str">
        <f t="shared" si="467"/>
        <v>10.20.8.188</v>
      </c>
      <c r="U1106" t="str">
        <f t="shared" si="468"/>
        <v>AZRAD UMAR BIN SHAARI</v>
      </c>
      <c r="V1106" t="str">
        <f t="shared" si="469"/>
        <v>FARHANA BINTI MUSTAPA</v>
      </c>
      <c r="W1106" t="str">
        <f t="shared" si="470"/>
        <v>04-08-2020</v>
      </c>
      <c r="X1106" t="str">
        <f t="shared" si="471"/>
        <v>RAZIMAH ANSAR AHMAD</v>
      </c>
      <c r="Y1106" t="str">
        <f t="shared" si="472"/>
        <v>04-08-2020</v>
      </c>
      <c r="Z1106" t="str">
        <f>"COS10200804 8048"</f>
        <v>COS10200804 8048</v>
      </c>
    </row>
    <row r="1107" spans="1:26" x14ac:dyDescent="0.25">
      <c r="A1107" t="str">
        <f t="shared" si="456"/>
        <v>04-08-2020 01:09:43</v>
      </c>
      <c r="B1107" t="str">
        <f>"0000809850"</f>
        <v>0000809850</v>
      </c>
      <c r="C1107" t="str">
        <f t="shared" si="457"/>
        <v>0000809803</v>
      </c>
      <c r="D1107" t="str">
        <f t="shared" si="460"/>
        <v>73185</v>
      </c>
      <c r="E1107" t="str">
        <f t="shared" si="461"/>
        <v>KFH-OPERATIONS DEPARTMENT</v>
      </c>
      <c r="F1107" t="str">
        <f t="shared" si="462"/>
        <v>IBG</v>
      </c>
      <c r="G1107" t="str">
        <f t="shared" si="473"/>
        <v>Refund COSHARE 10</v>
      </c>
      <c r="H1107" s="2">
        <v>344.8</v>
      </c>
      <c r="I1107" t="str">
        <f>"ZULKARNAIN BIN ABDULLAH"</f>
        <v>ZULKARNAIN BIN ABDULLAH</v>
      </c>
      <c r="J1107" t="str">
        <f t="shared" si="474"/>
        <v>MAYBANK / MAYBANK ISLAMIC</v>
      </c>
      <c r="K1107" t="str">
        <f>"164191975676"</f>
        <v>164191975676</v>
      </c>
      <c r="L1107" t="str">
        <f t="shared" ref="L1107:M1126" si="475">"04-08-2020"</f>
        <v>04-08-2020</v>
      </c>
      <c r="M1107" t="str">
        <f t="shared" si="475"/>
        <v>04-08-2020</v>
      </c>
      <c r="N1107" t="str">
        <f t="shared" si="463"/>
        <v>001105018356</v>
      </c>
      <c r="O1107" t="str">
        <f t="shared" si="464"/>
        <v>MYR</v>
      </c>
      <c r="P1107" t="str">
        <f t="shared" ref="P1107:Q1126" si="476">"NIL"</f>
        <v>NIL</v>
      </c>
      <c r="Q1107" t="str">
        <f t="shared" si="476"/>
        <v>NIL</v>
      </c>
      <c r="R1107" t="str">
        <f t="shared" si="465"/>
        <v>Accepted</v>
      </c>
      <c r="S1107" t="str">
        <f t="shared" si="466"/>
        <v>Approved</v>
      </c>
      <c r="T1107" t="str">
        <f t="shared" si="467"/>
        <v>10.20.8.188</v>
      </c>
      <c r="U1107" t="str">
        <f t="shared" si="468"/>
        <v>AZRAD UMAR BIN SHAARI</v>
      </c>
      <c r="V1107" t="str">
        <f t="shared" si="469"/>
        <v>FARHANA BINTI MUSTAPA</v>
      </c>
      <c r="W1107" t="str">
        <f t="shared" si="470"/>
        <v>04-08-2020</v>
      </c>
      <c r="X1107" t="str">
        <f t="shared" si="471"/>
        <v>RAZIMAH ANSAR AHMAD</v>
      </c>
      <c r="Y1107" t="str">
        <f t="shared" si="472"/>
        <v>04-08-2020</v>
      </c>
      <c r="Z1107" t="str">
        <f>"COS10200804 8047"</f>
        <v>COS10200804 8047</v>
      </c>
    </row>
    <row r="1108" spans="1:26" x14ac:dyDescent="0.25">
      <c r="A1108" t="str">
        <f t="shared" si="456"/>
        <v>04-08-2020 01:09:43</v>
      </c>
      <c r="B1108" t="str">
        <f>"0000809849"</f>
        <v>0000809849</v>
      </c>
      <c r="C1108" t="str">
        <f t="shared" si="457"/>
        <v>0000809803</v>
      </c>
      <c r="D1108" t="str">
        <f t="shared" si="460"/>
        <v>73185</v>
      </c>
      <c r="E1108" t="str">
        <f t="shared" si="461"/>
        <v>KFH-OPERATIONS DEPARTMENT</v>
      </c>
      <c r="F1108" t="str">
        <f t="shared" si="462"/>
        <v>IBG</v>
      </c>
      <c r="G1108" t="str">
        <f t="shared" si="473"/>
        <v>Refund COSHARE 10</v>
      </c>
      <c r="H1108" s="2">
        <v>477</v>
      </c>
      <c r="I1108" t="str">
        <f>"ZULKAPLI BIN HASHIM"</f>
        <v>ZULKAPLI BIN HASHIM</v>
      </c>
      <c r="J1108" t="str">
        <f t="shared" si="474"/>
        <v>MAYBANK / MAYBANK ISLAMIC</v>
      </c>
      <c r="K1108" t="str">
        <f>"158118099100"</f>
        <v>158118099100</v>
      </c>
      <c r="L1108" t="str">
        <f t="shared" si="475"/>
        <v>04-08-2020</v>
      </c>
      <c r="M1108" t="str">
        <f t="shared" si="475"/>
        <v>04-08-2020</v>
      </c>
      <c r="N1108" t="str">
        <f t="shared" si="463"/>
        <v>001105018356</v>
      </c>
      <c r="O1108" t="str">
        <f t="shared" si="464"/>
        <v>MYR</v>
      </c>
      <c r="P1108" t="str">
        <f t="shared" si="476"/>
        <v>NIL</v>
      </c>
      <c r="Q1108" t="str">
        <f t="shared" si="476"/>
        <v>NIL</v>
      </c>
      <c r="R1108" t="str">
        <f t="shared" si="465"/>
        <v>Accepted</v>
      </c>
      <c r="S1108" t="str">
        <f t="shared" si="466"/>
        <v>Approved</v>
      </c>
      <c r="T1108" t="str">
        <f t="shared" si="467"/>
        <v>10.20.8.188</v>
      </c>
      <c r="U1108" t="str">
        <f t="shared" si="468"/>
        <v>AZRAD UMAR BIN SHAARI</v>
      </c>
      <c r="V1108" t="str">
        <f t="shared" si="469"/>
        <v>FARHANA BINTI MUSTAPA</v>
      </c>
      <c r="W1108" t="str">
        <f t="shared" si="470"/>
        <v>04-08-2020</v>
      </c>
      <c r="X1108" t="str">
        <f t="shared" si="471"/>
        <v>RAZIMAH ANSAR AHMAD</v>
      </c>
      <c r="Y1108" t="str">
        <f t="shared" si="472"/>
        <v>04-08-2020</v>
      </c>
      <c r="Z1108" t="str">
        <f>"COS10200804 8046"</f>
        <v>COS10200804 8046</v>
      </c>
    </row>
    <row r="1109" spans="1:26" x14ac:dyDescent="0.25">
      <c r="A1109" t="str">
        <f t="shared" si="456"/>
        <v>04-08-2020 01:09:43</v>
      </c>
      <c r="B1109" t="str">
        <f>"0000809848"</f>
        <v>0000809848</v>
      </c>
      <c r="C1109" t="str">
        <f t="shared" si="457"/>
        <v>0000809803</v>
      </c>
      <c r="D1109" t="str">
        <f t="shared" si="460"/>
        <v>73185</v>
      </c>
      <c r="E1109" t="str">
        <f t="shared" si="461"/>
        <v>KFH-OPERATIONS DEPARTMENT</v>
      </c>
      <c r="F1109" t="str">
        <f t="shared" si="462"/>
        <v>IBG</v>
      </c>
      <c r="G1109" t="str">
        <f t="shared" si="473"/>
        <v>Refund COSHARE 10</v>
      </c>
      <c r="H1109" s="2">
        <v>153.5</v>
      </c>
      <c r="I1109" t="str">
        <f>"ZULKAFLI BIN MD TALIB"</f>
        <v>ZULKAFLI BIN MD TALIB</v>
      </c>
      <c r="J1109" t="str">
        <f t="shared" si="474"/>
        <v>MAYBANK / MAYBANK ISLAMIC</v>
      </c>
      <c r="K1109" t="str">
        <f>"166010083000"</f>
        <v>166010083000</v>
      </c>
      <c r="L1109" t="str">
        <f t="shared" si="475"/>
        <v>04-08-2020</v>
      </c>
      <c r="M1109" t="str">
        <f t="shared" si="475"/>
        <v>04-08-2020</v>
      </c>
      <c r="N1109" t="str">
        <f t="shared" si="463"/>
        <v>001105018356</v>
      </c>
      <c r="O1109" t="str">
        <f t="shared" si="464"/>
        <v>MYR</v>
      </c>
      <c r="P1109" t="str">
        <f t="shared" si="476"/>
        <v>NIL</v>
      </c>
      <c r="Q1109" t="str">
        <f t="shared" si="476"/>
        <v>NIL</v>
      </c>
      <c r="R1109" t="str">
        <f t="shared" si="465"/>
        <v>Accepted</v>
      </c>
      <c r="S1109" t="str">
        <f t="shared" si="466"/>
        <v>Approved</v>
      </c>
      <c r="T1109" t="str">
        <f t="shared" si="467"/>
        <v>10.20.8.188</v>
      </c>
      <c r="U1109" t="str">
        <f t="shared" si="468"/>
        <v>AZRAD UMAR BIN SHAARI</v>
      </c>
      <c r="V1109" t="str">
        <f t="shared" si="469"/>
        <v>FARHANA BINTI MUSTAPA</v>
      </c>
      <c r="W1109" t="str">
        <f t="shared" si="470"/>
        <v>04-08-2020</v>
      </c>
      <c r="X1109" t="str">
        <f t="shared" si="471"/>
        <v>RAZIMAH ANSAR AHMAD</v>
      </c>
      <c r="Y1109" t="str">
        <f t="shared" si="472"/>
        <v>04-08-2020</v>
      </c>
      <c r="Z1109" t="str">
        <f>"COS10200804 8045"</f>
        <v>COS10200804 8045</v>
      </c>
    </row>
    <row r="1110" spans="1:26" x14ac:dyDescent="0.25">
      <c r="A1110" t="str">
        <f t="shared" si="456"/>
        <v>04-08-2020 01:09:43</v>
      </c>
      <c r="B1110" t="str">
        <f>"0000809847"</f>
        <v>0000809847</v>
      </c>
      <c r="C1110" t="str">
        <f t="shared" si="457"/>
        <v>0000809803</v>
      </c>
      <c r="D1110" t="str">
        <f t="shared" si="460"/>
        <v>73185</v>
      </c>
      <c r="E1110" t="str">
        <f t="shared" si="461"/>
        <v>KFH-OPERATIONS DEPARTMENT</v>
      </c>
      <c r="F1110" t="str">
        <f t="shared" si="462"/>
        <v>IBG</v>
      </c>
      <c r="G1110" t="str">
        <f t="shared" si="473"/>
        <v>Refund COSHARE 10</v>
      </c>
      <c r="H1110" s="2">
        <v>46</v>
      </c>
      <c r="I1110" t="str">
        <f>"ZULIZWAN BIN YASIN"</f>
        <v>ZULIZWAN BIN YASIN</v>
      </c>
      <c r="J1110" t="str">
        <f t="shared" si="474"/>
        <v>MAYBANK / MAYBANK ISLAMIC</v>
      </c>
      <c r="K1110" t="str">
        <f>"101067020689"</f>
        <v>101067020689</v>
      </c>
      <c r="L1110" t="str">
        <f t="shared" si="475"/>
        <v>04-08-2020</v>
      </c>
      <c r="M1110" t="str">
        <f t="shared" si="475"/>
        <v>04-08-2020</v>
      </c>
      <c r="N1110" t="str">
        <f t="shared" si="463"/>
        <v>001105018356</v>
      </c>
      <c r="O1110" t="str">
        <f t="shared" si="464"/>
        <v>MYR</v>
      </c>
      <c r="P1110" t="str">
        <f t="shared" si="476"/>
        <v>NIL</v>
      </c>
      <c r="Q1110" t="str">
        <f t="shared" si="476"/>
        <v>NIL</v>
      </c>
      <c r="R1110" t="str">
        <f t="shared" si="465"/>
        <v>Accepted</v>
      </c>
      <c r="S1110" t="str">
        <f t="shared" si="466"/>
        <v>Approved</v>
      </c>
      <c r="T1110" t="str">
        <f t="shared" si="467"/>
        <v>10.20.8.188</v>
      </c>
      <c r="U1110" t="str">
        <f t="shared" si="468"/>
        <v>AZRAD UMAR BIN SHAARI</v>
      </c>
      <c r="V1110" t="str">
        <f t="shared" si="469"/>
        <v>FARHANA BINTI MUSTAPA</v>
      </c>
      <c r="W1110" t="str">
        <f t="shared" si="470"/>
        <v>04-08-2020</v>
      </c>
      <c r="X1110" t="str">
        <f t="shared" si="471"/>
        <v>RAZIMAH ANSAR AHMAD</v>
      </c>
      <c r="Y1110" t="str">
        <f t="shared" si="472"/>
        <v>04-08-2020</v>
      </c>
      <c r="Z1110" t="str">
        <f>"COS10200804 8044"</f>
        <v>COS10200804 8044</v>
      </c>
    </row>
    <row r="1111" spans="1:26" x14ac:dyDescent="0.25">
      <c r="A1111" t="str">
        <f t="shared" si="456"/>
        <v>04-08-2020 01:09:43</v>
      </c>
      <c r="B1111" t="str">
        <f>"0000809846"</f>
        <v>0000809846</v>
      </c>
      <c r="C1111" t="str">
        <f t="shared" si="457"/>
        <v>0000809803</v>
      </c>
      <c r="D1111" t="str">
        <f t="shared" si="460"/>
        <v>73185</v>
      </c>
      <c r="E1111" t="str">
        <f t="shared" si="461"/>
        <v>KFH-OPERATIONS DEPARTMENT</v>
      </c>
      <c r="F1111" t="str">
        <f t="shared" si="462"/>
        <v>IBG</v>
      </c>
      <c r="G1111" t="str">
        <f t="shared" si="473"/>
        <v>Refund COSHARE 10</v>
      </c>
      <c r="H1111" s="2">
        <v>58.8</v>
      </c>
      <c r="I1111" t="str">
        <f>"ZULIYATI BINTI OTHMAN"</f>
        <v>ZULIYATI BINTI OTHMAN</v>
      </c>
      <c r="J1111" t="str">
        <f t="shared" si="474"/>
        <v>MAYBANK / MAYBANK ISLAMIC</v>
      </c>
      <c r="K1111" t="str">
        <f>"161190076625"</f>
        <v>161190076625</v>
      </c>
      <c r="L1111" t="str">
        <f t="shared" si="475"/>
        <v>04-08-2020</v>
      </c>
      <c r="M1111" t="str">
        <f t="shared" si="475"/>
        <v>04-08-2020</v>
      </c>
      <c r="N1111" t="str">
        <f t="shared" si="463"/>
        <v>001105018356</v>
      </c>
      <c r="O1111" t="str">
        <f t="shared" si="464"/>
        <v>MYR</v>
      </c>
      <c r="P1111" t="str">
        <f t="shared" si="476"/>
        <v>NIL</v>
      </c>
      <c r="Q1111" t="str">
        <f t="shared" si="476"/>
        <v>NIL</v>
      </c>
      <c r="R1111" t="str">
        <f t="shared" si="465"/>
        <v>Accepted</v>
      </c>
      <c r="S1111" t="str">
        <f t="shared" si="466"/>
        <v>Approved</v>
      </c>
      <c r="T1111" t="str">
        <f t="shared" si="467"/>
        <v>10.20.8.188</v>
      </c>
      <c r="U1111" t="str">
        <f t="shared" si="468"/>
        <v>AZRAD UMAR BIN SHAARI</v>
      </c>
      <c r="V1111" t="str">
        <f t="shared" si="469"/>
        <v>FARHANA BINTI MUSTAPA</v>
      </c>
      <c r="W1111" t="str">
        <f t="shared" si="470"/>
        <v>04-08-2020</v>
      </c>
      <c r="X1111" t="str">
        <f t="shared" si="471"/>
        <v>RAZIMAH ANSAR AHMAD</v>
      </c>
      <c r="Y1111" t="str">
        <f t="shared" si="472"/>
        <v>04-08-2020</v>
      </c>
      <c r="Z1111" t="str">
        <f>"COS10200804 8043"</f>
        <v>COS10200804 8043</v>
      </c>
    </row>
    <row r="1112" spans="1:26" x14ac:dyDescent="0.25">
      <c r="A1112" t="str">
        <f t="shared" si="456"/>
        <v>04-08-2020 01:09:43</v>
      </c>
      <c r="B1112" t="str">
        <f>"0000809845"</f>
        <v>0000809845</v>
      </c>
      <c r="C1112" t="str">
        <f t="shared" si="457"/>
        <v>0000809803</v>
      </c>
      <c r="D1112" t="str">
        <f t="shared" si="460"/>
        <v>73185</v>
      </c>
      <c r="E1112" t="str">
        <f t="shared" si="461"/>
        <v>KFH-OPERATIONS DEPARTMENT</v>
      </c>
      <c r="F1112" t="str">
        <f t="shared" si="462"/>
        <v>IBG</v>
      </c>
      <c r="G1112" t="str">
        <f t="shared" si="473"/>
        <v>Refund COSHARE 10</v>
      </c>
      <c r="H1112" s="2">
        <v>759</v>
      </c>
      <c r="I1112" t="str">
        <f>"ZULIANA BINTI RAJEMI"</f>
        <v>ZULIANA BINTI RAJEMI</v>
      </c>
      <c r="J1112" t="str">
        <f t="shared" si="474"/>
        <v>MAYBANK / MAYBANK ISLAMIC</v>
      </c>
      <c r="K1112" t="str">
        <f>"111075220000"</f>
        <v>111075220000</v>
      </c>
      <c r="L1112" t="str">
        <f t="shared" si="475"/>
        <v>04-08-2020</v>
      </c>
      <c r="M1112" t="str">
        <f t="shared" si="475"/>
        <v>04-08-2020</v>
      </c>
      <c r="N1112" t="str">
        <f t="shared" si="463"/>
        <v>001105018356</v>
      </c>
      <c r="O1112" t="str">
        <f t="shared" si="464"/>
        <v>MYR</v>
      </c>
      <c r="P1112" t="str">
        <f t="shared" si="476"/>
        <v>NIL</v>
      </c>
      <c r="Q1112" t="str">
        <f t="shared" si="476"/>
        <v>NIL</v>
      </c>
      <c r="R1112" t="str">
        <f t="shared" si="465"/>
        <v>Accepted</v>
      </c>
      <c r="S1112" t="str">
        <f t="shared" si="466"/>
        <v>Approved</v>
      </c>
      <c r="T1112" t="str">
        <f t="shared" si="467"/>
        <v>10.20.8.188</v>
      </c>
      <c r="U1112" t="str">
        <f t="shared" si="468"/>
        <v>AZRAD UMAR BIN SHAARI</v>
      </c>
      <c r="V1112" t="str">
        <f t="shared" si="469"/>
        <v>FARHANA BINTI MUSTAPA</v>
      </c>
      <c r="W1112" t="str">
        <f t="shared" si="470"/>
        <v>04-08-2020</v>
      </c>
      <c r="X1112" t="str">
        <f t="shared" si="471"/>
        <v>RAZIMAH ANSAR AHMAD</v>
      </c>
      <c r="Y1112" t="str">
        <f t="shared" si="472"/>
        <v>04-08-2020</v>
      </c>
      <c r="Z1112" t="str">
        <f>"COS10200804 8042"</f>
        <v>COS10200804 8042</v>
      </c>
    </row>
    <row r="1113" spans="1:26" x14ac:dyDescent="0.25">
      <c r="A1113" t="str">
        <f t="shared" si="456"/>
        <v>04-08-2020 01:09:43</v>
      </c>
      <c r="B1113" t="str">
        <f>"0000809844"</f>
        <v>0000809844</v>
      </c>
      <c r="C1113" t="str">
        <f t="shared" si="457"/>
        <v>0000809803</v>
      </c>
      <c r="D1113" t="str">
        <f t="shared" si="460"/>
        <v>73185</v>
      </c>
      <c r="E1113" t="str">
        <f t="shared" si="461"/>
        <v>KFH-OPERATIONS DEPARTMENT</v>
      </c>
      <c r="F1113" t="str">
        <f t="shared" si="462"/>
        <v>IBG</v>
      </c>
      <c r="G1113" t="str">
        <f t="shared" si="473"/>
        <v>Refund COSHARE 10</v>
      </c>
      <c r="H1113" s="2">
        <v>159.5</v>
      </c>
      <c r="I1113" t="str">
        <f>"ZULHAZMI BIN MUHAMAD"</f>
        <v>ZULHAZMI BIN MUHAMAD</v>
      </c>
      <c r="J1113" t="str">
        <f t="shared" si="474"/>
        <v>MAYBANK / MAYBANK ISLAMIC</v>
      </c>
      <c r="K1113" t="str">
        <f>"162151656551"</f>
        <v>162151656551</v>
      </c>
      <c r="L1113" t="str">
        <f t="shared" si="475"/>
        <v>04-08-2020</v>
      </c>
      <c r="M1113" t="str">
        <f t="shared" si="475"/>
        <v>04-08-2020</v>
      </c>
      <c r="N1113" t="str">
        <f t="shared" si="463"/>
        <v>001105018356</v>
      </c>
      <c r="O1113" t="str">
        <f t="shared" si="464"/>
        <v>MYR</v>
      </c>
      <c r="P1113" t="str">
        <f t="shared" si="476"/>
        <v>NIL</v>
      </c>
      <c r="Q1113" t="str">
        <f t="shared" si="476"/>
        <v>NIL</v>
      </c>
      <c r="R1113" t="str">
        <f t="shared" si="465"/>
        <v>Accepted</v>
      </c>
      <c r="S1113" t="str">
        <f t="shared" si="466"/>
        <v>Approved</v>
      </c>
      <c r="T1113" t="str">
        <f t="shared" si="467"/>
        <v>10.20.8.188</v>
      </c>
      <c r="U1113" t="str">
        <f t="shared" si="468"/>
        <v>AZRAD UMAR BIN SHAARI</v>
      </c>
      <c r="V1113" t="str">
        <f t="shared" si="469"/>
        <v>FARHANA BINTI MUSTAPA</v>
      </c>
      <c r="W1113" t="str">
        <f t="shared" si="470"/>
        <v>04-08-2020</v>
      </c>
      <c r="X1113" t="str">
        <f t="shared" si="471"/>
        <v>RAZIMAH ANSAR AHMAD</v>
      </c>
      <c r="Y1113" t="str">
        <f t="shared" si="472"/>
        <v>04-08-2020</v>
      </c>
      <c r="Z1113" t="str">
        <f>"COS10200804 8041"</f>
        <v>COS10200804 8041</v>
      </c>
    </row>
    <row r="1114" spans="1:26" x14ac:dyDescent="0.25">
      <c r="A1114" t="str">
        <f t="shared" ref="A1114:A1145" si="477">"04-08-2020 01:09:43"</f>
        <v>04-08-2020 01:09:43</v>
      </c>
      <c r="B1114" t="str">
        <f>"0000809843"</f>
        <v>0000809843</v>
      </c>
      <c r="C1114" t="str">
        <f t="shared" ref="C1114:C1145" si="478">"0000809803"</f>
        <v>0000809803</v>
      </c>
      <c r="D1114" t="str">
        <f t="shared" si="460"/>
        <v>73185</v>
      </c>
      <c r="E1114" t="str">
        <f t="shared" si="461"/>
        <v>KFH-OPERATIONS DEPARTMENT</v>
      </c>
      <c r="F1114" t="str">
        <f t="shared" si="462"/>
        <v>IBG</v>
      </c>
      <c r="G1114" t="str">
        <f t="shared" si="473"/>
        <v>Refund COSHARE 10</v>
      </c>
      <c r="H1114" s="2">
        <v>184.7</v>
      </c>
      <c r="I1114" t="str">
        <f>"ZULFARIZAN BIN SULAIMAN"</f>
        <v>ZULFARIZAN BIN SULAIMAN</v>
      </c>
      <c r="J1114" t="str">
        <f t="shared" si="474"/>
        <v>MAYBANK / MAYBANK ISLAMIC</v>
      </c>
      <c r="K1114" t="str">
        <f>"151267056618"</f>
        <v>151267056618</v>
      </c>
      <c r="L1114" t="str">
        <f t="shared" si="475"/>
        <v>04-08-2020</v>
      </c>
      <c r="M1114" t="str">
        <f t="shared" si="475"/>
        <v>04-08-2020</v>
      </c>
      <c r="N1114" t="str">
        <f t="shared" si="463"/>
        <v>001105018356</v>
      </c>
      <c r="O1114" t="str">
        <f t="shared" si="464"/>
        <v>MYR</v>
      </c>
      <c r="P1114" t="str">
        <f t="shared" si="476"/>
        <v>NIL</v>
      </c>
      <c r="Q1114" t="str">
        <f t="shared" si="476"/>
        <v>NIL</v>
      </c>
      <c r="R1114" t="str">
        <f t="shared" si="465"/>
        <v>Accepted</v>
      </c>
      <c r="S1114" t="str">
        <f t="shared" si="466"/>
        <v>Approved</v>
      </c>
      <c r="T1114" t="str">
        <f t="shared" si="467"/>
        <v>10.20.8.188</v>
      </c>
      <c r="U1114" t="str">
        <f t="shared" si="468"/>
        <v>AZRAD UMAR BIN SHAARI</v>
      </c>
      <c r="V1114" t="str">
        <f t="shared" si="469"/>
        <v>FARHANA BINTI MUSTAPA</v>
      </c>
      <c r="W1114" t="str">
        <f t="shared" si="470"/>
        <v>04-08-2020</v>
      </c>
      <c r="X1114" t="str">
        <f t="shared" si="471"/>
        <v>RAZIMAH ANSAR AHMAD</v>
      </c>
      <c r="Y1114" t="str">
        <f t="shared" si="472"/>
        <v>04-08-2020</v>
      </c>
      <c r="Z1114" t="str">
        <f>"COS10200804 8040"</f>
        <v>COS10200804 8040</v>
      </c>
    </row>
    <row r="1115" spans="1:26" x14ac:dyDescent="0.25">
      <c r="A1115" t="str">
        <f t="shared" si="477"/>
        <v>04-08-2020 01:09:43</v>
      </c>
      <c r="B1115" t="str">
        <f>"0000809842"</f>
        <v>0000809842</v>
      </c>
      <c r="C1115" t="str">
        <f t="shared" si="478"/>
        <v>0000809803</v>
      </c>
      <c r="D1115" t="str">
        <f t="shared" si="460"/>
        <v>73185</v>
      </c>
      <c r="E1115" t="str">
        <f t="shared" si="461"/>
        <v>KFH-OPERATIONS DEPARTMENT</v>
      </c>
      <c r="F1115" t="str">
        <f t="shared" si="462"/>
        <v>IBG</v>
      </c>
      <c r="G1115" t="str">
        <f t="shared" si="473"/>
        <v>Refund COSHARE 10</v>
      </c>
      <c r="H1115" s="2">
        <v>607</v>
      </c>
      <c r="I1115" t="str">
        <f>"ZULFA BINTI MD AZIZ  YAAKOB"</f>
        <v>ZULFA BINTI MD AZIZ  YAAKOB</v>
      </c>
      <c r="J1115" t="str">
        <f t="shared" si="474"/>
        <v>MAYBANK / MAYBANK ISLAMIC</v>
      </c>
      <c r="K1115" t="str">
        <f>"157091194614"</f>
        <v>157091194614</v>
      </c>
      <c r="L1115" t="str">
        <f t="shared" si="475"/>
        <v>04-08-2020</v>
      </c>
      <c r="M1115" t="str">
        <f t="shared" si="475"/>
        <v>04-08-2020</v>
      </c>
      <c r="N1115" t="str">
        <f t="shared" si="463"/>
        <v>001105018356</v>
      </c>
      <c r="O1115" t="str">
        <f t="shared" si="464"/>
        <v>MYR</v>
      </c>
      <c r="P1115" t="str">
        <f t="shared" si="476"/>
        <v>NIL</v>
      </c>
      <c r="Q1115" t="str">
        <f t="shared" si="476"/>
        <v>NIL</v>
      </c>
      <c r="R1115" t="str">
        <f t="shared" si="465"/>
        <v>Accepted</v>
      </c>
      <c r="S1115" t="str">
        <f t="shared" si="466"/>
        <v>Approved</v>
      </c>
      <c r="T1115" t="str">
        <f t="shared" si="467"/>
        <v>10.20.8.188</v>
      </c>
      <c r="U1115" t="str">
        <f t="shared" si="468"/>
        <v>AZRAD UMAR BIN SHAARI</v>
      </c>
      <c r="V1115" t="str">
        <f t="shared" si="469"/>
        <v>FARHANA BINTI MUSTAPA</v>
      </c>
      <c r="W1115" t="str">
        <f t="shared" si="470"/>
        <v>04-08-2020</v>
      </c>
      <c r="X1115" t="str">
        <f t="shared" si="471"/>
        <v>RAZIMAH ANSAR AHMAD</v>
      </c>
      <c r="Y1115" t="str">
        <f t="shared" si="472"/>
        <v>04-08-2020</v>
      </c>
      <c r="Z1115" t="str">
        <f>"COS10200804 8039"</f>
        <v>COS10200804 8039</v>
      </c>
    </row>
    <row r="1116" spans="1:26" x14ac:dyDescent="0.25">
      <c r="A1116" t="str">
        <f t="shared" si="477"/>
        <v>04-08-2020 01:09:43</v>
      </c>
      <c r="B1116" t="str">
        <f>"0000809841"</f>
        <v>0000809841</v>
      </c>
      <c r="C1116" t="str">
        <f t="shared" si="478"/>
        <v>0000809803</v>
      </c>
      <c r="D1116" t="str">
        <f t="shared" si="460"/>
        <v>73185</v>
      </c>
      <c r="E1116" t="str">
        <f t="shared" si="461"/>
        <v>KFH-OPERATIONS DEPARTMENT</v>
      </c>
      <c r="F1116" t="str">
        <f t="shared" si="462"/>
        <v>IBG</v>
      </c>
      <c r="G1116" t="str">
        <f t="shared" si="473"/>
        <v>Refund COSHARE 10</v>
      </c>
      <c r="H1116" s="2">
        <v>251</v>
      </c>
      <c r="I1116" t="str">
        <f>"ZULAN BIN MOHAMED"</f>
        <v>ZULAN BIN MOHAMED</v>
      </c>
      <c r="J1116" t="str">
        <f t="shared" si="474"/>
        <v>MAYBANK / MAYBANK ISLAMIC</v>
      </c>
      <c r="K1116" t="str">
        <f>"114329114903"</f>
        <v>114329114903</v>
      </c>
      <c r="L1116" t="str">
        <f t="shared" si="475"/>
        <v>04-08-2020</v>
      </c>
      <c r="M1116" t="str">
        <f t="shared" si="475"/>
        <v>04-08-2020</v>
      </c>
      <c r="N1116" t="str">
        <f t="shared" si="463"/>
        <v>001105018356</v>
      </c>
      <c r="O1116" t="str">
        <f t="shared" si="464"/>
        <v>MYR</v>
      </c>
      <c r="P1116" t="str">
        <f t="shared" si="476"/>
        <v>NIL</v>
      </c>
      <c r="Q1116" t="str">
        <f t="shared" si="476"/>
        <v>NIL</v>
      </c>
      <c r="R1116" t="str">
        <f t="shared" si="465"/>
        <v>Accepted</v>
      </c>
      <c r="S1116" t="str">
        <f t="shared" si="466"/>
        <v>Approved</v>
      </c>
      <c r="T1116" t="str">
        <f t="shared" si="467"/>
        <v>10.20.8.188</v>
      </c>
      <c r="U1116" t="str">
        <f t="shared" si="468"/>
        <v>AZRAD UMAR BIN SHAARI</v>
      </c>
      <c r="V1116" t="str">
        <f t="shared" si="469"/>
        <v>FARHANA BINTI MUSTAPA</v>
      </c>
      <c r="W1116" t="str">
        <f t="shared" si="470"/>
        <v>04-08-2020</v>
      </c>
      <c r="X1116" t="str">
        <f t="shared" si="471"/>
        <v>RAZIMAH ANSAR AHMAD</v>
      </c>
      <c r="Y1116" t="str">
        <f t="shared" si="472"/>
        <v>04-08-2020</v>
      </c>
      <c r="Z1116" t="str">
        <f>"COS10200804 8038"</f>
        <v>COS10200804 8038</v>
      </c>
    </row>
    <row r="1117" spans="1:26" x14ac:dyDescent="0.25">
      <c r="A1117" t="str">
        <f t="shared" si="477"/>
        <v>04-08-2020 01:09:43</v>
      </c>
      <c r="B1117" t="str">
        <f>"0000809840"</f>
        <v>0000809840</v>
      </c>
      <c r="C1117" t="str">
        <f t="shared" si="478"/>
        <v>0000809803</v>
      </c>
      <c r="D1117" t="str">
        <f t="shared" si="460"/>
        <v>73185</v>
      </c>
      <c r="E1117" t="str">
        <f t="shared" si="461"/>
        <v>KFH-OPERATIONS DEPARTMENT</v>
      </c>
      <c r="F1117" t="str">
        <f t="shared" si="462"/>
        <v>IBG</v>
      </c>
      <c r="G1117" t="str">
        <f t="shared" si="473"/>
        <v>Refund COSHARE 10</v>
      </c>
      <c r="H1117" s="2">
        <v>1578.9</v>
      </c>
      <c r="I1117" t="str">
        <f>"ZUL ROZAINI BIN SETURI"</f>
        <v>ZUL ROZAINI BIN SETURI</v>
      </c>
      <c r="J1117" t="str">
        <f t="shared" si="474"/>
        <v>MAYBANK / MAYBANK ISLAMIC</v>
      </c>
      <c r="K1117" t="str">
        <f>"158136741743"</f>
        <v>158136741743</v>
      </c>
      <c r="L1117" t="str">
        <f t="shared" si="475"/>
        <v>04-08-2020</v>
      </c>
      <c r="M1117" t="str">
        <f t="shared" si="475"/>
        <v>04-08-2020</v>
      </c>
      <c r="N1117" t="str">
        <f t="shared" si="463"/>
        <v>001105018356</v>
      </c>
      <c r="O1117" t="str">
        <f t="shared" si="464"/>
        <v>MYR</v>
      </c>
      <c r="P1117" t="str">
        <f t="shared" si="476"/>
        <v>NIL</v>
      </c>
      <c r="Q1117" t="str">
        <f t="shared" si="476"/>
        <v>NIL</v>
      </c>
      <c r="R1117" t="str">
        <f t="shared" si="465"/>
        <v>Accepted</v>
      </c>
      <c r="S1117" t="str">
        <f t="shared" si="466"/>
        <v>Approved</v>
      </c>
      <c r="T1117" t="str">
        <f t="shared" si="467"/>
        <v>10.20.8.188</v>
      </c>
      <c r="U1117" t="str">
        <f t="shared" si="468"/>
        <v>AZRAD UMAR BIN SHAARI</v>
      </c>
      <c r="V1117" t="str">
        <f t="shared" si="469"/>
        <v>FARHANA BINTI MUSTAPA</v>
      </c>
      <c r="W1117" t="str">
        <f t="shared" si="470"/>
        <v>04-08-2020</v>
      </c>
      <c r="X1117" t="str">
        <f t="shared" si="471"/>
        <v>RAZIMAH ANSAR AHMAD</v>
      </c>
      <c r="Y1117" t="str">
        <f t="shared" si="472"/>
        <v>04-08-2020</v>
      </c>
      <c r="Z1117" t="str">
        <f>"COS10200804 8037"</f>
        <v>COS10200804 8037</v>
      </c>
    </row>
    <row r="1118" spans="1:26" x14ac:dyDescent="0.25">
      <c r="A1118" t="str">
        <f t="shared" si="477"/>
        <v>04-08-2020 01:09:43</v>
      </c>
      <c r="B1118" t="str">
        <f>"0000809839"</f>
        <v>0000809839</v>
      </c>
      <c r="C1118" t="str">
        <f t="shared" si="478"/>
        <v>0000809803</v>
      </c>
      <c r="D1118" t="str">
        <f t="shared" si="460"/>
        <v>73185</v>
      </c>
      <c r="E1118" t="str">
        <f t="shared" si="461"/>
        <v>KFH-OPERATIONS DEPARTMENT</v>
      </c>
      <c r="F1118" t="str">
        <f t="shared" si="462"/>
        <v>IBG</v>
      </c>
      <c r="G1118" t="str">
        <f t="shared" si="473"/>
        <v>Refund COSHARE 10</v>
      </c>
      <c r="H1118" s="2">
        <v>60</v>
      </c>
      <c r="I1118" t="str">
        <f>"ZUL BIN SULAIMAN"</f>
        <v>ZUL BIN SULAIMAN</v>
      </c>
      <c r="J1118" t="str">
        <f t="shared" si="474"/>
        <v>MAYBANK / MAYBANK ISLAMIC</v>
      </c>
      <c r="K1118" t="str">
        <f>"165125183264"</f>
        <v>165125183264</v>
      </c>
      <c r="L1118" t="str">
        <f t="shared" si="475"/>
        <v>04-08-2020</v>
      </c>
      <c r="M1118" t="str">
        <f t="shared" si="475"/>
        <v>04-08-2020</v>
      </c>
      <c r="N1118" t="str">
        <f t="shared" si="463"/>
        <v>001105018356</v>
      </c>
      <c r="O1118" t="str">
        <f t="shared" si="464"/>
        <v>MYR</v>
      </c>
      <c r="P1118" t="str">
        <f t="shared" si="476"/>
        <v>NIL</v>
      </c>
      <c r="Q1118" t="str">
        <f t="shared" si="476"/>
        <v>NIL</v>
      </c>
      <c r="R1118" t="str">
        <f t="shared" si="465"/>
        <v>Accepted</v>
      </c>
      <c r="S1118" t="str">
        <f t="shared" si="466"/>
        <v>Approved</v>
      </c>
      <c r="T1118" t="str">
        <f t="shared" si="467"/>
        <v>10.20.8.188</v>
      </c>
      <c r="U1118" t="str">
        <f t="shared" si="468"/>
        <v>AZRAD UMAR BIN SHAARI</v>
      </c>
      <c r="V1118" t="str">
        <f t="shared" si="469"/>
        <v>FARHANA BINTI MUSTAPA</v>
      </c>
      <c r="W1118" t="str">
        <f t="shared" si="470"/>
        <v>04-08-2020</v>
      </c>
      <c r="X1118" t="str">
        <f t="shared" si="471"/>
        <v>RAZIMAH ANSAR AHMAD</v>
      </c>
      <c r="Y1118" t="str">
        <f t="shared" si="472"/>
        <v>04-08-2020</v>
      </c>
      <c r="Z1118" t="str">
        <f>"COS10200804 8036"</f>
        <v>COS10200804 8036</v>
      </c>
    </row>
    <row r="1119" spans="1:26" x14ac:dyDescent="0.25">
      <c r="A1119" t="str">
        <f t="shared" si="477"/>
        <v>04-08-2020 01:09:43</v>
      </c>
      <c r="B1119" t="str">
        <f>"0000809838"</f>
        <v>0000809838</v>
      </c>
      <c r="C1119" t="str">
        <f t="shared" si="478"/>
        <v>0000809803</v>
      </c>
      <c r="D1119" t="str">
        <f t="shared" si="460"/>
        <v>73185</v>
      </c>
      <c r="E1119" t="str">
        <f t="shared" si="461"/>
        <v>KFH-OPERATIONS DEPARTMENT</v>
      </c>
      <c r="F1119" t="str">
        <f t="shared" si="462"/>
        <v>IBG</v>
      </c>
      <c r="G1119" t="str">
        <f t="shared" si="473"/>
        <v>Refund COSHARE 10</v>
      </c>
      <c r="H1119" s="2">
        <v>125.95</v>
      </c>
      <c r="I1119" t="str">
        <f>"ZUL AZMAN BIN MOHD YUSSOF"</f>
        <v>ZUL AZMAN BIN MOHD YUSSOF</v>
      </c>
      <c r="J1119" t="str">
        <f t="shared" si="474"/>
        <v>MAYBANK / MAYBANK ISLAMIC</v>
      </c>
      <c r="K1119" t="str">
        <f>"164016974090"</f>
        <v>164016974090</v>
      </c>
      <c r="L1119" t="str">
        <f t="shared" si="475"/>
        <v>04-08-2020</v>
      </c>
      <c r="M1119" t="str">
        <f t="shared" si="475"/>
        <v>04-08-2020</v>
      </c>
      <c r="N1119" t="str">
        <f t="shared" si="463"/>
        <v>001105018356</v>
      </c>
      <c r="O1119" t="str">
        <f t="shared" si="464"/>
        <v>MYR</v>
      </c>
      <c r="P1119" t="str">
        <f t="shared" si="476"/>
        <v>NIL</v>
      </c>
      <c r="Q1119" t="str">
        <f t="shared" si="476"/>
        <v>NIL</v>
      </c>
      <c r="R1119" t="str">
        <f t="shared" si="465"/>
        <v>Accepted</v>
      </c>
      <c r="S1119" t="str">
        <f t="shared" si="466"/>
        <v>Approved</v>
      </c>
      <c r="T1119" t="str">
        <f t="shared" si="467"/>
        <v>10.20.8.188</v>
      </c>
      <c r="U1119" t="str">
        <f t="shared" si="468"/>
        <v>AZRAD UMAR BIN SHAARI</v>
      </c>
      <c r="V1119" t="str">
        <f t="shared" si="469"/>
        <v>FARHANA BINTI MUSTAPA</v>
      </c>
      <c r="W1119" t="str">
        <f t="shared" si="470"/>
        <v>04-08-2020</v>
      </c>
      <c r="X1119" t="str">
        <f t="shared" si="471"/>
        <v>RAZIMAH ANSAR AHMAD</v>
      </c>
      <c r="Y1119" t="str">
        <f t="shared" si="472"/>
        <v>04-08-2020</v>
      </c>
      <c r="Z1119" t="str">
        <f>"COS10200804 8035"</f>
        <v>COS10200804 8035</v>
      </c>
    </row>
    <row r="1120" spans="1:26" x14ac:dyDescent="0.25">
      <c r="A1120" t="str">
        <f t="shared" si="477"/>
        <v>04-08-2020 01:09:43</v>
      </c>
      <c r="B1120" t="str">
        <f>"0000809837"</f>
        <v>0000809837</v>
      </c>
      <c r="C1120" t="str">
        <f t="shared" si="478"/>
        <v>0000809803</v>
      </c>
      <c r="D1120" t="str">
        <f t="shared" si="460"/>
        <v>73185</v>
      </c>
      <c r="E1120" t="str">
        <f t="shared" si="461"/>
        <v>KFH-OPERATIONS DEPARTMENT</v>
      </c>
      <c r="F1120" t="str">
        <f t="shared" si="462"/>
        <v>IBG</v>
      </c>
      <c r="G1120" t="str">
        <f t="shared" si="473"/>
        <v>Refund COSHARE 10</v>
      </c>
      <c r="H1120" s="2">
        <v>419.75</v>
      </c>
      <c r="I1120" t="str">
        <f>"ZUL ANUAR AZMY BIN ABDULLAH"</f>
        <v>ZUL ANUAR AZMY BIN ABDULLAH</v>
      </c>
      <c r="J1120" t="str">
        <f t="shared" si="474"/>
        <v>MAYBANK / MAYBANK ISLAMIC</v>
      </c>
      <c r="K1120" t="str">
        <f>"166010005986"</f>
        <v>166010005986</v>
      </c>
      <c r="L1120" t="str">
        <f t="shared" si="475"/>
        <v>04-08-2020</v>
      </c>
      <c r="M1120" t="str">
        <f t="shared" si="475"/>
        <v>04-08-2020</v>
      </c>
      <c r="N1120" t="str">
        <f t="shared" si="463"/>
        <v>001105018356</v>
      </c>
      <c r="O1120" t="str">
        <f t="shared" si="464"/>
        <v>MYR</v>
      </c>
      <c r="P1120" t="str">
        <f t="shared" si="476"/>
        <v>NIL</v>
      </c>
      <c r="Q1120" t="str">
        <f t="shared" si="476"/>
        <v>NIL</v>
      </c>
      <c r="R1120" t="str">
        <f t="shared" si="465"/>
        <v>Accepted</v>
      </c>
      <c r="S1120" t="str">
        <f t="shared" si="466"/>
        <v>Approved</v>
      </c>
      <c r="T1120" t="str">
        <f t="shared" si="467"/>
        <v>10.20.8.188</v>
      </c>
      <c r="U1120" t="str">
        <f t="shared" si="468"/>
        <v>AZRAD UMAR BIN SHAARI</v>
      </c>
      <c r="V1120" t="str">
        <f t="shared" si="469"/>
        <v>FARHANA BINTI MUSTAPA</v>
      </c>
      <c r="W1120" t="str">
        <f t="shared" si="470"/>
        <v>04-08-2020</v>
      </c>
      <c r="X1120" t="str">
        <f t="shared" si="471"/>
        <v>RAZIMAH ANSAR AHMAD</v>
      </c>
      <c r="Y1120" t="str">
        <f t="shared" si="472"/>
        <v>04-08-2020</v>
      </c>
      <c r="Z1120" t="str">
        <f>"COS10200804 8034"</f>
        <v>COS10200804 8034</v>
      </c>
    </row>
    <row r="1121" spans="1:26" x14ac:dyDescent="0.25">
      <c r="A1121" t="str">
        <f t="shared" si="477"/>
        <v>04-08-2020 01:09:43</v>
      </c>
      <c r="B1121" t="str">
        <f>"0000809836"</f>
        <v>0000809836</v>
      </c>
      <c r="C1121" t="str">
        <f t="shared" si="478"/>
        <v>0000809803</v>
      </c>
      <c r="D1121" t="str">
        <f t="shared" si="460"/>
        <v>73185</v>
      </c>
      <c r="E1121" t="str">
        <f t="shared" si="461"/>
        <v>KFH-OPERATIONS DEPARTMENT</v>
      </c>
      <c r="F1121" t="str">
        <f t="shared" si="462"/>
        <v>IBG</v>
      </c>
      <c r="G1121" t="str">
        <f t="shared" si="473"/>
        <v>Refund COSHARE 10</v>
      </c>
      <c r="H1121" s="2">
        <v>1480</v>
      </c>
      <c r="I1121" t="str">
        <f>"ZUKRI BIN MOHD SAID"</f>
        <v>ZUKRI BIN MOHD SAID</v>
      </c>
      <c r="J1121" t="str">
        <f t="shared" si="474"/>
        <v>MAYBANK / MAYBANK ISLAMIC</v>
      </c>
      <c r="K1121" t="str">
        <f>"151294781286"</f>
        <v>151294781286</v>
      </c>
      <c r="L1121" t="str">
        <f t="shared" si="475"/>
        <v>04-08-2020</v>
      </c>
      <c r="M1121" t="str">
        <f t="shared" si="475"/>
        <v>04-08-2020</v>
      </c>
      <c r="N1121" t="str">
        <f t="shared" si="463"/>
        <v>001105018356</v>
      </c>
      <c r="O1121" t="str">
        <f t="shared" si="464"/>
        <v>MYR</v>
      </c>
      <c r="P1121" t="str">
        <f t="shared" si="476"/>
        <v>NIL</v>
      </c>
      <c r="Q1121" t="str">
        <f t="shared" si="476"/>
        <v>NIL</v>
      </c>
      <c r="R1121" t="str">
        <f t="shared" si="465"/>
        <v>Accepted</v>
      </c>
      <c r="S1121" t="str">
        <f t="shared" si="466"/>
        <v>Approved</v>
      </c>
      <c r="T1121" t="str">
        <f t="shared" si="467"/>
        <v>10.20.8.188</v>
      </c>
      <c r="U1121" t="str">
        <f t="shared" si="468"/>
        <v>AZRAD UMAR BIN SHAARI</v>
      </c>
      <c r="V1121" t="str">
        <f t="shared" si="469"/>
        <v>FARHANA BINTI MUSTAPA</v>
      </c>
      <c r="W1121" t="str">
        <f t="shared" si="470"/>
        <v>04-08-2020</v>
      </c>
      <c r="X1121" t="str">
        <f t="shared" si="471"/>
        <v>RAZIMAH ANSAR AHMAD</v>
      </c>
      <c r="Y1121" t="str">
        <f t="shared" si="472"/>
        <v>04-08-2020</v>
      </c>
      <c r="Z1121" t="str">
        <f>"COS10200804 8033"</f>
        <v>COS10200804 8033</v>
      </c>
    </row>
    <row r="1122" spans="1:26" x14ac:dyDescent="0.25">
      <c r="A1122" t="str">
        <f t="shared" si="477"/>
        <v>04-08-2020 01:09:43</v>
      </c>
      <c r="B1122" t="str">
        <f>"0000809835"</f>
        <v>0000809835</v>
      </c>
      <c r="C1122" t="str">
        <f t="shared" si="478"/>
        <v>0000809803</v>
      </c>
      <c r="D1122" t="str">
        <f t="shared" si="460"/>
        <v>73185</v>
      </c>
      <c r="E1122" t="str">
        <f t="shared" si="461"/>
        <v>KFH-OPERATIONS DEPARTMENT</v>
      </c>
      <c r="F1122" t="str">
        <f t="shared" si="462"/>
        <v>IBG</v>
      </c>
      <c r="G1122" t="str">
        <f t="shared" si="473"/>
        <v>Refund COSHARE 10</v>
      </c>
      <c r="H1122" s="2">
        <v>511.65</v>
      </c>
      <c r="I1122" t="str">
        <f>"ZUHANA BINTI MOHAMED NOORDIN"</f>
        <v>ZUHANA BINTI MOHAMED NOORDIN</v>
      </c>
      <c r="J1122" t="str">
        <f t="shared" si="474"/>
        <v>MAYBANK / MAYBANK ISLAMIC</v>
      </c>
      <c r="K1122" t="str">
        <f>"162021249214"</f>
        <v>162021249214</v>
      </c>
      <c r="L1122" t="str">
        <f t="shared" si="475"/>
        <v>04-08-2020</v>
      </c>
      <c r="M1122" t="str">
        <f t="shared" si="475"/>
        <v>04-08-2020</v>
      </c>
      <c r="N1122" t="str">
        <f t="shared" si="463"/>
        <v>001105018356</v>
      </c>
      <c r="O1122" t="str">
        <f t="shared" si="464"/>
        <v>MYR</v>
      </c>
      <c r="P1122" t="str">
        <f t="shared" si="476"/>
        <v>NIL</v>
      </c>
      <c r="Q1122" t="str">
        <f t="shared" si="476"/>
        <v>NIL</v>
      </c>
      <c r="R1122" t="str">
        <f t="shared" si="465"/>
        <v>Accepted</v>
      </c>
      <c r="S1122" t="str">
        <f t="shared" si="466"/>
        <v>Approved</v>
      </c>
      <c r="T1122" t="str">
        <f t="shared" si="467"/>
        <v>10.20.8.188</v>
      </c>
      <c r="U1122" t="str">
        <f t="shared" si="468"/>
        <v>AZRAD UMAR BIN SHAARI</v>
      </c>
      <c r="V1122" t="str">
        <f t="shared" si="469"/>
        <v>FARHANA BINTI MUSTAPA</v>
      </c>
      <c r="W1122" t="str">
        <f t="shared" si="470"/>
        <v>04-08-2020</v>
      </c>
      <c r="X1122" t="str">
        <f t="shared" si="471"/>
        <v>RAZIMAH ANSAR AHMAD</v>
      </c>
      <c r="Y1122" t="str">
        <f t="shared" si="472"/>
        <v>04-08-2020</v>
      </c>
      <c r="Z1122" t="str">
        <f>"COS10200804 8032"</f>
        <v>COS10200804 8032</v>
      </c>
    </row>
    <row r="1123" spans="1:26" x14ac:dyDescent="0.25">
      <c r="A1123" t="str">
        <f t="shared" si="477"/>
        <v>04-08-2020 01:09:43</v>
      </c>
      <c r="B1123" t="str">
        <f>"0000809834"</f>
        <v>0000809834</v>
      </c>
      <c r="C1123" t="str">
        <f t="shared" si="478"/>
        <v>0000809803</v>
      </c>
      <c r="D1123" t="str">
        <f t="shared" si="460"/>
        <v>73185</v>
      </c>
      <c r="E1123" t="str">
        <f t="shared" si="461"/>
        <v>KFH-OPERATIONS DEPARTMENT</v>
      </c>
      <c r="F1123" t="str">
        <f t="shared" si="462"/>
        <v>IBG</v>
      </c>
      <c r="G1123" t="str">
        <f t="shared" si="473"/>
        <v>Refund COSHARE 10</v>
      </c>
      <c r="H1123" s="2">
        <v>251.85</v>
      </c>
      <c r="I1123" t="str">
        <f>"ZUHAIRI BIN MOHD ISA"</f>
        <v>ZUHAIRI BIN MOHD ISA</v>
      </c>
      <c r="J1123" t="str">
        <f t="shared" si="474"/>
        <v>MAYBANK / MAYBANK ISLAMIC</v>
      </c>
      <c r="K1123" t="str">
        <f>"164100243748"</f>
        <v>164100243748</v>
      </c>
      <c r="L1123" t="str">
        <f t="shared" si="475"/>
        <v>04-08-2020</v>
      </c>
      <c r="M1123" t="str">
        <f t="shared" si="475"/>
        <v>04-08-2020</v>
      </c>
      <c r="N1123" t="str">
        <f t="shared" si="463"/>
        <v>001105018356</v>
      </c>
      <c r="O1123" t="str">
        <f t="shared" si="464"/>
        <v>MYR</v>
      </c>
      <c r="P1123" t="str">
        <f t="shared" si="476"/>
        <v>NIL</v>
      </c>
      <c r="Q1123" t="str">
        <f t="shared" si="476"/>
        <v>NIL</v>
      </c>
      <c r="R1123" t="str">
        <f t="shared" si="465"/>
        <v>Accepted</v>
      </c>
      <c r="S1123" t="str">
        <f t="shared" si="466"/>
        <v>Approved</v>
      </c>
      <c r="T1123" t="str">
        <f t="shared" si="467"/>
        <v>10.20.8.188</v>
      </c>
      <c r="U1123" t="str">
        <f t="shared" si="468"/>
        <v>AZRAD UMAR BIN SHAARI</v>
      </c>
      <c r="V1123" t="str">
        <f t="shared" si="469"/>
        <v>FARHANA BINTI MUSTAPA</v>
      </c>
      <c r="W1123" t="str">
        <f t="shared" si="470"/>
        <v>04-08-2020</v>
      </c>
      <c r="X1123" t="str">
        <f t="shared" si="471"/>
        <v>RAZIMAH ANSAR AHMAD</v>
      </c>
      <c r="Y1123" t="str">
        <f t="shared" si="472"/>
        <v>04-08-2020</v>
      </c>
      <c r="Z1123" t="str">
        <f>"COS10200804 8031"</f>
        <v>COS10200804 8031</v>
      </c>
    </row>
    <row r="1124" spans="1:26" x14ac:dyDescent="0.25">
      <c r="A1124" t="str">
        <f t="shared" si="477"/>
        <v>04-08-2020 01:09:43</v>
      </c>
      <c r="B1124" t="str">
        <f>"0000809833"</f>
        <v>0000809833</v>
      </c>
      <c r="C1124" t="str">
        <f t="shared" si="478"/>
        <v>0000809803</v>
      </c>
      <c r="D1124" t="str">
        <f t="shared" si="460"/>
        <v>73185</v>
      </c>
      <c r="E1124" t="str">
        <f t="shared" si="461"/>
        <v>KFH-OPERATIONS DEPARTMENT</v>
      </c>
      <c r="F1124" t="str">
        <f t="shared" si="462"/>
        <v>IBG</v>
      </c>
      <c r="G1124" t="str">
        <f t="shared" si="473"/>
        <v>Refund COSHARE 10</v>
      </c>
      <c r="H1124" s="2">
        <v>698</v>
      </c>
      <c r="I1124" t="str">
        <f>"ZUHAIDI BIN AWALUDIN"</f>
        <v>ZUHAIDI BIN AWALUDIN</v>
      </c>
      <c r="J1124" t="str">
        <f t="shared" si="474"/>
        <v>MAYBANK / MAYBANK ISLAMIC</v>
      </c>
      <c r="K1124" t="str">
        <f>"112277030837"</f>
        <v>112277030837</v>
      </c>
      <c r="L1124" t="str">
        <f t="shared" si="475"/>
        <v>04-08-2020</v>
      </c>
      <c r="M1124" t="str">
        <f t="shared" si="475"/>
        <v>04-08-2020</v>
      </c>
      <c r="N1124" t="str">
        <f t="shared" si="463"/>
        <v>001105018356</v>
      </c>
      <c r="O1124" t="str">
        <f t="shared" si="464"/>
        <v>MYR</v>
      </c>
      <c r="P1124" t="str">
        <f t="shared" si="476"/>
        <v>NIL</v>
      </c>
      <c r="Q1124" t="str">
        <f t="shared" si="476"/>
        <v>NIL</v>
      </c>
      <c r="R1124" t="str">
        <f t="shared" si="465"/>
        <v>Accepted</v>
      </c>
      <c r="S1124" t="str">
        <f t="shared" si="466"/>
        <v>Approved</v>
      </c>
      <c r="T1124" t="str">
        <f t="shared" si="467"/>
        <v>10.20.8.188</v>
      </c>
      <c r="U1124" t="str">
        <f t="shared" si="468"/>
        <v>AZRAD UMAR BIN SHAARI</v>
      </c>
      <c r="V1124" t="str">
        <f t="shared" si="469"/>
        <v>FARHANA BINTI MUSTAPA</v>
      </c>
      <c r="W1124" t="str">
        <f t="shared" si="470"/>
        <v>04-08-2020</v>
      </c>
      <c r="X1124" t="str">
        <f t="shared" si="471"/>
        <v>RAZIMAH ANSAR AHMAD</v>
      </c>
      <c r="Y1124" t="str">
        <f t="shared" si="472"/>
        <v>04-08-2020</v>
      </c>
      <c r="Z1124" t="str">
        <f>"COS10200804 8030"</f>
        <v>COS10200804 8030</v>
      </c>
    </row>
    <row r="1125" spans="1:26" x14ac:dyDescent="0.25">
      <c r="A1125" t="str">
        <f t="shared" si="477"/>
        <v>04-08-2020 01:09:43</v>
      </c>
      <c r="B1125" t="str">
        <f>"0000809832"</f>
        <v>0000809832</v>
      </c>
      <c r="C1125" t="str">
        <f t="shared" si="478"/>
        <v>0000809803</v>
      </c>
      <c r="D1125" t="str">
        <f t="shared" si="460"/>
        <v>73185</v>
      </c>
      <c r="E1125" t="str">
        <f t="shared" si="461"/>
        <v>KFH-OPERATIONS DEPARTMENT</v>
      </c>
      <c r="F1125" t="str">
        <f t="shared" si="462"/>
        <v>IBG</v>
      </c>
      <c r="G1125" t="str">
        <f t="shared" si="473"/>
        <v>Refund COSHARE 10</v>
      </c>
      <c r="H1125" s="2">
        <v>503.7</v>
      </c>
      <c r="I1125" t="str">
        <f>"ZUHAFIZ BIN ZULKARNAIN"</f>
        <v>ZUHAFIZ BIN ZULKARNAIN</v>
      </c>
      <c r="J1125" t="str">
        <f t="shared" si="474"/>
        <v>MAYBANK / MAYBANK ISLAMIC</v>
      </c>
      <c r="K1125" t="str">
        <f>"164892039684"</f>
        <v>164892039684</v>
      </c>
      <c r="L1125" t="str">
        <f t="shared" si="475"/>
        <v>04-08-2020</v>
      </c>
      <c r="M1125" t="str">
        <f t="shared" si="475"/>
        <v>04-08-2020</v>
      </c>
      <c r="N1125" t="str">
        <f t="shared" si="463"/>
        <v>001105018356</v>
      </c>
      <c r="O1125" t="str">
        <f t="shared" si="464"/>
        <v>MYR</v>
      </c>
      <c r="P1125" t="str">
        <f t="shared" si="476"/>
        <v>NIL</v>
      </c>
      <c r="Q1125" t="str">
        <f t="shared" si="476"/>
        <v>NIL</v>
      </c>
      <c r="R1125" t="str">
        <f t="shared" si="465"/>
        <v>Accepted</v>
      </c>
      <c r="S1125" t="str">
        <f t="shared" si="466"/>
        <v>Approved</v>
      </c>
      <c r="T1125" t="str">
        <f t="shared" si="467"/>
        <v>10.20.8.188</v>
      </c>
      <c r="U1125" t="str">
        <f t="shared" si="468"/>
        <v>AZRAD UMAR BIN SHAARI</v>
      </c>
      <c r="V1125" t="str">
        <f t="shared" si="469"/>
        <v>FARHANA BINTI MUSTAPA</v>
      </c>
      <c r="W1125" t="str">
        <f t="shared" si="470"/>
        <v>04-08-2020</v>
      </c>
      <c r="X1125" t="str">
        <f t="shared" si="471"/>
        <v>RAZIMAH ANSAR AHMAD</v>
      </c>
      <c r="Y1125" t="str">
        <f t="shared" si="472"/>
        <v>04-08-2020</v>
      </c>
      <c r="Z1125" t="str">
        <f>"COS10200804 8029"</f>
        <v>COS10200804 8029</v>
      </c>
    </row>
    <row r="1126" spans="1:26" x14ac:dyDescent="0.25">
      <c r="A1126" t="str">
        <f t="shared" si="477"/>
        <v>04-08-2020 01:09:43</v>
      </c>
      <c r="B1126" t="str">
        <f>"0000809831"</f>
        <v>0000809831</v>
      </c>
      <c r="C1126" t="str">
        <f t="shared" si="478"/>
        <v>0000809803</v>
      </c>
      <c r="D1126" t="str">
        <f t="shared" si="460"/>
        <v>73185</v>
      </c>
      <c r="E1126" t="str">
        <f t="shared" si="461"/>
        <v>KFH-OPERATIONS DEPARTMENT</v>
      </c>
      <c r="F1126" t="str">
        <f t="shared" si="462"/>
        <v>IBG</v>
      </c>
      <c r="G1126" t="str">
        <f t="shared" si="473"/>
        <v>Refund COSHARE 10</v>
      </c>
      <c r="H1126" s="2">
        <v>904</v>
      </c>
      <c r="I1126" t="str">
        <f>"ZUBAIDAH BINTI MAHSAN"</f>
        <v>ZUBAIDAH BINTI MAHSAN</v>
      </c>
      <c r="J1126" t="str">
        <f t="shared" si="474"/>
        <v>MAYBANK / MAYBANK ISLAMIC</v>
      </c>
      <c r="K1126" t="str">
        <f>"101244140446"</f>
        <v>101244140446</v>
      </c>
      <c r="L1126" t="str">
        <f t="shared" si="475"/>
        <v>04-08-2020</v>
      </c>
      <c r="M1126" t="str">
        <f t="shared" si="475"/>
        <v>04-08-2020</v>
      </c>
      <c r="N1126" t="str">
        <f t="shared" si="463"/>
        <v>001105018356</v>
      </c>
      <c r="O1126" t="str">
        <f t="shared" si="464"/>
        <v>MYR</v>
      </c>
      <c r="P1126" t="str">
        <f t="shared" si="476"/>
        <v>NIL</v>
      </c>
      <c r="Q1126" t="str">
        <f t="shared" si="476"/>
        <v>NIL</v>
      </c>
      <c r="R1126" t="str">
        <f t="shared" si="465"/>
        <v>Accepted</v>
      </c>
      <c r="S1126" t="str">
        <f t="shared" si="466"/>
        <v>Approved</v>
      </c>
      <c r="T1126" t="str">
        <f t="shared" si="467"/>
        <v>10.20.8.188</v>
      </c>
      <c r="U1126" t="str">
        <f t="shared" si="468"/>
        <v>AZRAD UMAR BIN SHAARI</v>
      </c>
      <c r="V1126" t="str">
        <f t="shared" si="469"/>
        <v>FARHANA BINTI MUSTAPA</v>
      </c>
      <c r="W1126" t="str">
        <f t="shared" si="470"/>
        <v>04-08-2020</v>
      </c>
      <c r="X1126" t="str">
        <f t="shared" si="471"/>
        <v>RAZIMAH ANSAR AHMAD</v>
      </c>
      <c r="Y1126" t="str">
        <f t="shared" si="472"/>
        <v>04-08-2020</v>
      </c>
      <c r="Z1126" t="str">
        <f>"COS10200804 8028"</f>
        <v>COS10200804 8028</v>
      </c>
    </row>
    <row r="1127" spans="1:26" x14ac:dyDescent="0.25">
      <c r="A1127" t="str">
        <f t="shared" si="477"/>
        <v>04-08-2020 01:09:43</v>
      </c>
      <c r="B1127" t="str">
        <f>"0000809830"</f>
        <v>0000809830</v>
      </c>
      <c r="C1127" t="str">
        <f t="shared" si="478"/>
        <v>0000809803</v>
      </c>
      <c r="D1127" t="str">
        <f t="shared" si="460"/>
        <v>73185</v>
      </c>
      <c r="E1127" t="str">
        <f t="shared" si="461"/>
        <v>KFH-OPERATIONS DEPARTMENT</v>
      </c>
      <c r="F1127" t="str">
        <f t="shared" si="462"/>
        <v>IBG</v>
      </c>
      <c r="G1127" t="str">
        <f t="shared" si="473"/>
        <v>Refund COSHARE 10</v>
      </c>
      <c r="H1127" s="2">
        <v>1343.2</v>
      </c>
      <c r="I1127" t="str">
        <f>"ZOOLHILMI BIN GHAZALI"</f>
        <v>ZOOLHILMI BIN GHAZALI</v>
      </c>
      <c r="J1127" t="str">
        <f t="shared" si="474"/>
        <v>MAYBANK / MAYBANK ISLAMIC</v>
      </c>
      <c r="K1127" t="str">
        <f>"158024722564"</f>
        <v>158024722564</v>
      </c>
      <c r="L1127" t="str">
        <f t="shared" ref="L1127:M1146" si="479">"04-08-2020"</f>
        <v>04-08-2020</v>
      </c>
      <c r="M1127" t="str">
        <f t="shared" si="479"/>
        <v>04-08-2020</v>
      </c>
      <c r="N1127" t="str">
        <f t="shared" si="463"/>
        <v>001105018356</v>
      </c>
      <c r="O1127" t="str">
        <f t="shared" si="464"/>
        <v>MYR</v>
      </c>
      <c r="P1127" t="str">
        <f t="shared" ref="P1127:Q1146" si="480">"NIL"</f>
        <v>NIL</v>
      </c>
      <c r="Q1127" t="str">
        <f t="shared" si="480"/>
        <v>NIL</v>
      </c>
      <c r="R1127" t="str">
        <f t="shared" si="465"/>
        <v>Accepted</v>
      </c>
      <c r="S1127" t="str">
        <f t="shared" si="466"/>
        <v>Approved</v>
      </c>
      <c r="T1127" t="str">
        <f t="shared" si="467"/>
        <v>10.20.8.188</v>
      </c>
      <c r="U1127" t="str">
        <f t="shared" si="468"/>
        <v>AZRAD UMAR BIN SHAARI</v>
      </c>
      <c r="V1127" t="str">
        <f t="shared" si="469"/>
        <v>FARHANA BINTI MUSTAPA</v>
      </c>
      <c r="W1127" t="str">
        <f t="shared" si="470"/>
        <v>04-08-2020</v>
      </c>
      <c r="X1127" t="str">
        <f t="shared" si="471"/>
        <v>RAZIMAH ANSAR AHMAD</v>
      </c>
      <c r="Y1127" t="str">
        <f t="shared" si="472"/>
        <v>04-08-2020</v>
      </c>
      <c r="Z1127" t="str">
        <f>"COS10200804 8027"</f>
        <v>COS10200804 8027</v>
      </c>
    </row>
    <row r="1128" spans="1:26" x14ac:dyDescent="0.25">
      <c r="A1128" t="str">
        <f t="shared" si="477"/>
        <v>04-08-2020 01:09:43</v>
      </c>
      <c r="B1128" t="str">
        <f>"0000809829"</f>
        <v>0000809829</v>
      </c>
      <c r="C1128" t="str">
        <f t="shared" si="478"/>
        <v>0000809803</v>
      </c>
      <c r="D1128" t="str">
        <f t="shared" si="460"/>
        <v>73185</v>
      </c>
      <c r="E1128" t="str">
        <f t="shared" si="461"/>
        <v>KFH-OPERATIONS DEPARTMENT</v>
      </c>
      <c r="F1128" t="str">
        <f t="shared" si="462"/>
        <v>IBG</v>
      </c>
      <c r="G1128" t="str">
        <f t="shared" si="473"/>
        <v>Refund COSHARE 10</v>
      </c>
      <c r="H1128" s="2">
        <v>558</v>
      </c>
      <c r="I1128" t="str">
        <f>"ZOLKIFLI BIN MOHD ISMAIL"</f>
        <v>ZOLKIFLI BIN MOHD ISMAIL</v>
      </c>
      <c r="J1128" t="str">
        <f t="shared" si="474"/>
        <v>MAYBANK / MAYBANK ISLAMIC</v>
      </c>
      <c r="K1128" t="str">
        <f>"151017007136"</f>
        <v>151017007136</v>
      </c>
      <c r="L1128" t="str">
        <f t="shared" si="479"/>
        <v>04-08-2020</v>
      </c>
      <c r="M1128" t="str">
        <f t="shared" si="479"/>
        <v>04-08-2020</v>
      </c>
      <c r="N1128" t="str">
        <f t="shared" si="463"/>
        <v>001105018356</v>
      </c>
      <c r="O1128" t="str">
        <f t="shared" si="464"/>
        <v>MYR</v>
      </c>
      <c r="P1128" t="str">
        <f t="shared" si="480"/>
        <v>NIL</v>
      </c>
      <c r="Q1128" t="str">
        <f t="shared" si="480"/>
        <v>NIL</v>
      </c>
      <c r="R1128" t="str">
        <f t="shared" si="465"/>
        <v>Accepted</v>
      </c>
      <c r="S1128" t="str">
        <f t="shared" si="466"/>
        <v>Approved</v>
      </c>
      <c r="T1128" t="str">
        <f t="shared" si="467"/>
        <v>10.20.8.188</v>
      </c>
      <c r="U1128" t="str">
        <f t="shared" si="468"/>
        <v>AZRAD UMAR BIN SHAARI</v>
      </c>
      <c r="V1128" t="str">
        <f t="shared" si="469"/>
        <v>FARHANA BINTI MUSTAPA</v>
      </c>
      <c r="W1128" t="str">
        <f t="shared" si="470"/>
        <v>04-08-2020</v>
      </c>
      <c r="X1128" t="str">
        <f t="shared" si="471"/>
        <v>RAZIMAH ANSAR AHMAD</v>
      </c>
      <c r="Y1128" t="str">
        <f t="shared" si="472"/>
        <v>04-08-2020</v>
      </c>
      <c r="Z1128" t="str">
        <f>"COS10200804 8026"</f>
        <v>COS10200804 8026</v>
      </c>
    </row>
    <row r="1129" spans="1:26" x14ac:dyDescent="0.25">
      <c r="A1129" t="str">
        <f t="shared" si="477"/>
        <v>04-08-2020 01:09:43</v>
      </c>
      <c r="B1129" t="str">
        <f>"0000809828"</f>
        <v>0000809828</v>
      </c>
      <c r="C1129" t="str">
        <f t="shared" si="478"/>
        <v>0000809803</v>
      </c>
      <c r="D1129" t="str">
        <f t="shared" si="460"/>
        <v>73185</v>
      </c>
      <c r="E1129" t="str">
        <f t="shared" si="461"/>
        <v>KFH-OPERATIONS DEPARTMENT</v>
      </c>
      <c r="F1129" t="str">
        <f t="shared" si="462"/>
        <v>IBG</v>
      </c>
      <c r="G1129" t="str">
        <f t="shared" si="473"/>
        <v>Refund COSHARE 10</v>
      </c>
      <c r="H1129" s="2">
        <v>168</v>
      </c>
      <c r="I1129" t="str">
        <f>"ZILA BINTI ISMAIL"</f>
        <v>ZILA BINTI ISMAIL</v>
      </c>
      <c r="J1129" t="str">
        <f t="shared" si="474"/>
        <v>MAYBANK / MAYBANK ISLAMIC</v>
      </c>
      <c r="K1129" t="str">
        <f>"151016940579"</f>
        <v>151016940579</v>
      </c>
      <c r="L1129" t="str">
        <f t="shared" si="479"/>
        <v>04-08-2020</v>
      </c>
      <c r="M1129" t="str">
        <f t="shared" si="479"/>
        <v>04-08-2020</v>
      </c>
      <c r="N1129" t="str">
        <f t="shared" si="463"/>
        <v>001105018356</v>
      </c>
      <c r="O1129" t="str">
        <f t="shared" si="464"/>
        <v>MYR</v>
      </c>
      <c r="P1129" t="str">
        <f t="shared" si="480"/>
        <v>NIL</v>
      </c>
      <c r="Q1129" t="str">
        <f t="shared" si="480"/>
        <v>NIL</v>
      </c>
      <c r="R1129" t="str">
        <f t="shared" si="465"/>
        <v>Accepted</v>
      </c>
      <c r="S1129" t="str">
        <f t="shared" si="466"/>
        <v>Approved</v>
      </c>
      <c r="T1129" t="str">
        <f t="shared" si="467"/>
        <v>10.20.8.188</v>
      </c>
      <c r="U1129" t="str">
        <f t="shared" si="468"/>
        <v>AZRAD UMAR BIN SHAARI</v>
      </c>
      <c r="V1129" t="str">
        <f t="shared" si="469"/>
        <v>FARHANA BINTI MUSTAPA</v>
      </c>
      <c r="W1129" t="str">
        <f t="shared" si="470"/>
        <v>04-08-2020</v>
      </c>
      <c r="X1129" t="str">
        <f t="shared" si="471"/>
        <v>RAZIMAH ANSAR AHMAD</v>
      </c>
      <c r="Y1129" t="str">
        <f t="shared" si="472"/>
        <v>04-08-2020</v>
      </c>
      <c r="Z1129" t="str">
        <f>"COS10200804 8025"</f>
        <v>COS10200804 8025</v>
      </c>
    </row>
    <row r="1130" spans="1:26" x14ac:dyDescent="0.25">
      <c r="A1130" t="str">
        <f t="shared" si="477"/>
        <v>04-08-2020 01:09:43</v>
      </c>
      <c r="B1130" t="str">
        <f>"0000809827"</f>
        <v>0000809827</v>
      </c>
      <c r="C1130" t="str">
        <f t="shared" si="478"/>
        <v>0000809803</v>
      </c>
      <c r="D1130" t="str">
        <f t="shared" si="460"/>
        <v>73185</v>
      </c>
      <c r="E1130" t="str">
        <f t="shared" si="461"/>
        <v>KFH-OPERATIONS DEPARTMENT</v>
      </c>
      <c r="F1130" t="str">
        <f t="shared" si="462"/>
        <v>IBG</v>
      </c>
      <c r="G1130" t="str">
        <f t="shared" si="473"/>
        <v>Refund COSHARE 10</v>
      </c>
      <c r="H1130" s="2">
        <v>42</v>
      </c>
      <c r="I1130" t="str">
        <f>"ZILA BINTI ISMAIL"</f>
        <v>ZILA BINTI ISMAIL</v>
      </c>
      <c r="J1130" t="str">
        <f t="shared" si="474"/>
        <v>MAYBANK / MAYBANK ISLAMIC</v>
      </c>
      <c r="K1130" t="str">
        <f>"151016940579"</f>
        <v>151016940579</v>
      </c>
      <c r="L1130" t="str">
        <f t="shared" si="479"/>
        <v>04-08-2020</v>
      </c>
      <c r="M1130" t="str">
        <f t="shared" si="479"/>
        <v>04-08-2020</v>
      </c>
      <c r="N1130" t="str">
        <f t="shared" si="463"/>
        <v>001105018356</v>
      </c>
      <c r="O1130" t="str">
        <f t="shared" si="464"/>
        <v>MYR</v>
      </c>
      <c r="P1130" t="str">
        <f t="shared" si="480"/>
        <v>NIL</v>
      </c>
      <c r="Q1130" t="str">
        <f t="shared" si="480"/>
        <v>NIL</v>
      </c>
      <c r="R1130" t="str">
        <f t="shared" si="465"/>
        <v>Accepted</v>
      </c>
      <c r="S1130" t="str">
        <f t="shared" si="466"/>
        <v>Approved</v>
      </c>
      <c r="T1130" t="str">
        <f t="shared" si="467"/>
        <v>10.20.8.188</v>
      </c>
      <c r="U1130" t="str">
        <f t="shared" si="468"/>
        <v>AZRAD UMAR BIN SHAARI</v>
      </c>
      <c r="V1130" t="str">
        <f t="shared" si="469"/>
        <v>FARHANA BINTI MUSTAPA</v>
      </c>
      <c r="W1130" t="str">
        <f t="shared" si="470"/>
        <v>04-08-2020</v>
      </c>
      <c r="X1130" t="str">
        <f t="shared" si="471"/>
        <v>RAZIMAH ANSAR AHMAD</v>
      </c>
      <c r="Y1130" t="str">
        <f t="shared" si="472"/>
        <v>04-08-2020</v>
      </c>
      <c r="Z1130" t="str">
        <f>"COS10200804 8024"</f>
        <v>COS10200804 8024</v>
      </c>
    </row>
    <row r="1131" spans="1:26" x14ac:dyDescent="0.25">
      <c r="A1131" t="str">
        <f t="shared" si="477"/>
        <v>04-08-2020 01:09:43</v>
      </c>
      <c r="B1131" t="str">
        <f>"0000809826"</f>
        <v>0000809826</v>
      </c>
      <c r="C1131" t="str">
        <f t="shared" si="478"/>
        <v>0000809803</v>
      </c>
      <c r="D1131" t="str">
        <f t="shared" si="460"/>
        <v>73185</v>
      </c>
      <c r="E1131" t="str">
        <f t="shared" si="461"/>
        <v>KFH-OPERATIONS DEPARTMENT</v>
      </c>
      <c r="F1131" t="str">
        <f t="shared" si="462"/>
        <v>IBG</v>
      </c>
      <c r="G1131" t="str">
        <f t="shared" si="473"/>
        <v>Refund COSHARE 10</v>
      </c>
      <c r="H1131" s="2">
        <v>247.05</v>
      </c>
      <c r="I1131" t="str">
        <f>"ZAWAWI BIN YAACOB"</f>
        <v>ZAWAWI BIN YAACOB</v>
      </c>
      <c r="J1131" t="str">
        <f t="shared" si="474"/>
        <v>MAYBANK / MAYBANK ISLAMIC</v>
      </c>
      <c r="K1131" t="str">
        <f>"153010891252"</f>
        <v>153010891252</v>
      </c>
      <c r="L1131" t="str">
        <f t="shared" si="479"/>
        <v>04-08-2020</v>
      </c>
      <c r="M1131" t="str">
        <f t="shared" si="479"/>
        <v>04-08-2020</v>
      </c>
      <c r="N1131" t="str">
        <f t="shared" si="463"/>
        <v>001105018356</v>
      </c>
      <c r="O1131" t="str">
        <f t="shared" si="464"/>
        <v>MYR</v>
      </c>
      <c r="P1131" t="str">
        <f t="shared" si="480"/>
        <v>NIL</v>
      </c>
      <c r="Q1131" t="str">
        <f t="shared" si="480"/>
        <v>NIL</v>
      </c>
      <c r="R1131" t="str">
        <f t="shared" si="465"/>
        <v>Accepted</v>
      </c>
      <c r="S1131" t="str">
        <f t="shared" si="466"/>
        <v>Approved</v>
      </c>
      <c r="T1131" t="str">
        <f t="shared" si="467"/>
        <v>10.20.8.188</v>
      </c>
      <c r="U1131" t="str">
        <f t="shared" si="468"/>
        <v>AZRAD UMAR BIN SHAARI</v>
      </c>
      <c r="V1131" t="str">
        <f t="shared" si="469"/>
        <v>FARHANA BINTI MUSTAPA</v>
      </c>
      <c r="W1131" t="str">
        <f t="shared" si="470"/>
        <v>04-08-2020</v>
      </c>
      <c r="X1131" t="str">
        <f t="shared" si="471"/>
        <v>RAZIMAH ANSAR AHMAD</v>
      </c>
      <c r="Y1131" t="str">
        <f t="shared" si="472"/>
        <v>04-08-2020</v>
      </c>
      <c r="Z1131" t="str">
        <f>"COS10200804 8023"</f>
        <v>COS10200804 8023</v>
      </c>
    </row>
    <row r="1132" spans="1:26" x14ac:dyDescent="0.25">
      <c r="A1132" t="str">
        <f t="shared" si="477"/>
        <v>04-08-2020 01:09:43</v>
      </c>
      <c r="B1132" t="str">
        <f>"0000809825"</f>
        <v>0000809825</v>
      </c>
      <c r="C1132" t="str">
        <f t="shared" si="478"/>
        <v>0000809803</v>
      </c>
      <c r="D1132" t="str">
        <f t="shared" si="460"/>
        <v>73185</v>
      </c>
      <c r="E1132" t="str">
        <f t="shared" si="461"/>
        <v>KFH-OPERATIONS DEPARTMENT</v>
      </c>
      <c r="F1132" t="str">
        <f t="shared" si="462"/>
        <v>IBG</v>
      </c>
      <c r="G1132" t="str">
        <f t="shared" si="473"/>
        <v>Refund COSHARE 10</v>
      </c>
      <c r="H1132" s="2">
        <v>125.95</v>
      </c>
      <c r="I1132" t="str">
        <f>"ZATUL HIJANAH BINTI MD SAIF"</f>
        <v>ZATUL HIJANAH BINTI MD SAIF</v>
      </c>
      <c r="J1132" t="str">
        <f t="shared" si="474"/>
        <v>MAYBANK / MAYBANK ISLAMIC</v>
      </c>
      <c r="K1132" t="str">
        <f>"151584054250"</f>
        <v>151584054250</v>
      </c>
      <c r="L1132" t="str">
        <f t="shared" si="479"/>
        <v>04-08-2020</v>
      </c>
      <c r="M1132" t="str">
        <f t="shared" si="479"/>
        <v>04-08-2020</v>
      </c>
      <c r="N1132" t="str">
        <f t="shared" si="463"/>
        <v>001105018356</v>
      </c>
      <c r="O1132" t="str">
        <f t="shared" si="464"/>
        <v>MYR</v>
      </c>
      <c r="P1132" t="str">
        <f t="shared" si="480"/>
        <v>NIL</v>
      </c>
      <c r="Q1132" t="str">
        <f t="shared" si="480"/>
        <v>NIL</v>
      </c>
      <c r="R1132" t="str">
        <f t="shared" si="465"/>
        <v>Accepted</v>
      </c>
      <c r="S1132" t="str">
        <f t="shared" si="466"/>
        <v>Approved</v>
      </c>
      <c r="T1132" t="str">
        <f t="shared" si="467"/>
        <v>10.20.8.188</v>
      </c>
      <c r="U1132" t="str">
        <f t="shared" si="468"/>
        <v>AZRAD UMAR BIN SHAARI</v>
      </c>
      <c r="V1132" t="str">
        <f t="shared" si="469"/>
        <v>FARHANA BINTI MUSTAPA</v>
      </c>
      <c r="W1132" t="str">
        <f t="shared" si="470"/>
        <v>04-08-2020</v>
      </c>
      <c r="X1132" t="str">
        <f t="shared" si="471"/>
        <v>RAZIMAH ANSAR AHMAD</v>
      </c>
      <c r="Y1132" t="str">
        <f t="shared" si="472"/>
        <v>04-08-2020</v>
      </c>
      <c r="Z1132" t="str">
        <f>"COS10200804 8022"</f>
        <v>COS10200804 8022</v>
      </c>
    </row>
    <row r="1133" spans="1:26" x14ac:dyDescent="0.25">
      <c r="A1133" t="str">
        <f t="shared" si="477"/>
        <v>04-08-2020 01:09:43</v>
      </c>
      <c r="B1133" t="str">
        <f>"0000809824"</f>
        <v>0000809824</v>
      </c>
      <c r="C1133" t="str">
        <f t="shared" si="478"/>
        <v>0000809803</v>
      </c>
      <c r="D1133" t="str">
        <f t="shared" si="460"/>
        <v>73185</v>
      </c>
      <c r="E1133" t="str">
        <f t="shared" si="461"/>
        <v>KFH-OPERATIONS DEPARTMENT</v>
      </c>
      <c r="F1133" t="str">
        <f t="shared" si="462"/>
        <v>IBG</v>
      </c>
      <c r="G1133" t="str">
        <f t="shared" si="473"/>
        <v>Refund COSHARE 10</v>
      </c>
      <c r="H1133" s="2">
        <v>822.7</v>
      </c>
      <c r="I1133" t="str">
        <f>"ZARINA BINTI YUSOP"</f>
        <v>ZARINA BINTI YUSOP</v>
      </c>
      <c r="J1133" t="str">
        <f t="shared" si="474"/>
        <v>MAYBANK / MAYBANK ISLAMIC</v>
      </c>
      <c r="K1133" t="str">
        <f>"158088173615"</f>
        <v>158088173615</v>
      </c>
      <c r="L1133" t="str">
        <f t="shared" si="479"/>
        <v>04-08-2020</v>
      </c>
      <c r="M1133" t="str">
        <f t="shared" si="479"/>
        <v>04-08-2020</v>
      </c>
      <c r="N1133" t="str">
        <f t="shared" si="463"/>
        <v>001105018356</v>
      </c>
      <c r="O1133" t="str">
        <f t="shared" si="464"/>
        <v>MYR</v>
      </c>
      <c r="P1133" t="str">
        <f t="shared" si="480"/>
        <v>NIL</v>
      </c>
      <c r="Q1133" t="str">
        <f t="shared" si="480"/>
        <v>NIL</v>
      </c>
      <c r="R1133" t="str">
        <f t="shared" si="465"/>
        <v>Accepted</v>
      </c>
      <c r="S1133" t="str">
        <f t="shared" si="466"/>
        <v>Approved</v>
      </c>
      <c r="T1133" t="str">
        <f t="shared" si="467"/>
        <v>10.20.8.188</v>
      </c>
      <c r="U1133" t="str">
        <f t="shared" si="468"/>
        <v>AZRAD UMAR BIN SHAARI</v>
      </c>
      <c r="V1133" t="str">
        <f t="shared" si="469"/>
        <v>FARHANA BINTI MUSTAPA</v>
      </c>
      <c r="W1133" t="str">
        <f t="shared" si="470"/>
        <v>04-08-2020</v>
      </c>
      <c r="X1133" t="str">
        <f t="shared" si="471"/>
        <v>RAZIMAH ANSAR AHMAD</v>
      </c>
      <c r="Y1133" t="str">
        <f t="shared" si="472"/>
        <v>04-08-2020</v>
      </c>
      <c r="Z1133" t="str">
        <f>"COS10200804 8021"</f>
        <v>COS10200804 8021</v>
      </c>
    </row>
    <row r="1134" spans="1:26" x14ac:dyDescent="0.25">
      <c r="A1134" t="str">
        <f t="shared" si="477"/>
        <v>04-08-2020 01:09:43</v>
      </c>
      <c r="B1134" t="str">
        <f>"0000809823"</f>
        <v>0000809823</v>
      </c>
      <c r="C1134" t="str">
        <f t="shared" si="478"/>
        <v>0000809803</v>
      </c>
      <c r="D1134" t="str">
        <f t="shared" si="460"/>
        <v>73185</v>
      </c>
      <c r="E1134" t="str">
        <f t="shared" si="461"/>
        <v>KFH-OPERATIONS DEPARTMENT</v>
      </c>
      <c r="F1134" t="str">
        <f t="shared" si="462"/>
        <v>IBG</v>
      </c>
      <c r="G1134" t="str">
        <f t="shared" si="473"/>
        <v>Refund COSHARE 10</v>
      </c>
      <c r="H1134" s="2">
        <v>629.65</v>
      </c>
      <c r="I1134" t="str">
        <f>"ZARINA BINTI RAMJI"</f>
        <v>ZARINA BINTI RAMJI</v>
      </c>
      <c r="J1134" t="str">
        <f t="shared" si="474"/>
        <v>MAYBANK / MAYBANK ISLAMIC</v>
      </c>
      <c r="K1134" t="str">
        <f>"111114121844"</f>
        <v>111114121844</v>
      </c>
      <c r="L1134" t="str">
        <f t="shared" si="479"/>
        <v>04-08-2020</v>
      </c>
      <c r="M1134" t="str">
        <f t="shared" si="479"/>
        <v>04-08-2020</v>
      </c>
      <c r="N1134" t="str">
        <f t="shared" si="463"/>
        <v>001105018356</v>
      </c>
      <c r="O1134" t="str">
        <f t="shared" si="464"/>
        <v>MYR</v>
      </c>
      <c r="P1134" t="str">
        <f t="shared" si="480"/>
        <v>NIL</v>
      </c>
      <c r="Q1134" t="str">
        <f t="shared" si="480"/>
        <v>NIL</v>
      </c>
      <c r="R1134" t="str">
        <f t="shared" si="465"/>
        <v>Accepted</v>
      </c>
      <c r="S1134" t="str">
        <f t="shared" si="466"/>
        <v>Approved</v>
      </c>
      <c r="T1134" t="str">
        <f t="shared" si="467"/>
        <v>10.20.8.188</v>
      </c>
      <c r="U1134" t="str">
        <f t="shared" si="468"/>
        <v>AZRAD UMAR BIN SHAARI</v>
      </c>
      <c r="V1134" t="str">
        <f t="shared" si="469"/>
        <v>FARHANA BINTI MUSTAPA</v>
      </c>
      <c r="W1134" t="str">
        <f t="shared" si="470"/>
        <v>04-08-2020</v>
      </c>
      <c r="X1134" t="str">
        <f t="shared" si="471"/>
        <v>RAZIMAH ANSAR AHMAD</v>
      </c>
      <c r="Y1134" t="str">
        <f t="shared" si="472"/>
        <v>04-08-2020</v>
      </c>
      <c r="Z1134" t="str">
        <f>"COS10200804 8020"</f>
        <v>COS10200804 8020</v>
      </c>
    </row>
    <row r="1135" spans="1:26" x14ac:dyDescent="0.25">
      <c r="A1135" t="str">
        <f t="shared" si="477"/>
        <v>04-08-2020 01:09:43</v>
      </c>
      <c r="B1135" t="str">
        <f>"0000809822"</f>
        <v>0000809822</v>
      </c>
      <c r="C1135" t="str">
        <f t="shared" si="478"/>
        <v>0000809803</v>
      </c>
      <c r="D1135" t="str">
        <f t="shared" si="460"/>
        <v>73185</v>
      </c>
      <c r="E1135" t="str">
        <f t="shared" si="461"/>
        <v>KFH-OPERATIONS DEPARTMENT</v>
      </c>
      <c r="F1135" t="str">
        <f t="shared" si="462"/>
        <v>IBG</v>
      </c>
      <c r="G1135" t="str">
        <f t="shared" si="473"/>
        <v>Refund COSHARE 10</v>
      </c>
      <c r="H1135" s="2">
        <v>125.95</v>
      </c>
      <c r="I1135" t="str">
        <f>"ZARINA BINTI MOHD"</f>
        <v>ZARINA BINTI MOHD</v>
      </c>
      <c r="J1135" t="str">
        <f t="shared" si="474"/>
        <v>MAYBANK / MAYBANK ISLAMIC</v>
      </c>
      <c r="K1135" t="str">
        <f>"156057271091"</f>
        <v>156057271091</v>
      </c>
      <c r="L1135" t="str">
        <f t="shared" si="479"/>
        <v>04-08-2020</v>
      </c>
      <c r="M1135" t="str">
        <f t="shared" si="479"/>
        <v>04-08-2020</v>
      </c>
      <c r="N1135" t="str">
        <f t="shared" si="463"/>
        <v>001105018356</v>
      </c>
      <c r="O1135" t="str">
        <f t="shared" si="464"/>
        <v>MYR</v>
      </c>
      <c r="P1135" t="str">
        <f t="shared" si="480"/>
        <v>NIL</v>
      </c>
      <c r="Q1135" t="str">
        <f t="shared" si="480"/>
        <v>NIL</v>
      </c>
      <c r="R1135" t="str">
        <f t="shared" si="465"/>
        <v>Accepted</v>
      </c>
      <c r="S1135" t="str">
        <f t="shared" si="466"/>
        <v>Approved</v>
      </c>
      <c r="T1135" t="str">
        <f t="shared" si="467"/>
        <v>10.20.8.188</v>
      </c>
      <c r="U1135" t="str">
        <f t="shared" si="468"/>
        <v>AZRAD UMAR BIN SHAARI</v>
      </c>
      <c r="V1135" t="str">
        <f t="shared" si="469"/>
        <v>FARHANA BINTI MUSTAPA</v>
      </c>
      <c r="W1135" t="str">
        <f t="shared" si="470"/>
        <v>04-08-2020</v>
      </c>
      <c r="X1135" t="str">
        <f t="shared" si="471"/>
        <v>RAZIMAH ANSAR AHMAD</v>
      </c>
      <c r="Y1135" t="str">
        <f t="shared" si="472"/>
        <v>04-08-2020</v>
      </c>
      <c r="Z1135" t="str">
        <f>"COS10200804 8019"</f>
        <v>COS10200804 8019</v>
      </c>
    </row>
    <row r="1136" spans="1:26" x14ac:dyDescent="0.25">
      <c r="A1136" t="str">
        <f t="shared" si="477"/>
        <v>04-08-2020 01:09:43</v>
      </c>
      <c r="B1136" t="str">
        <f>"0000809821"</f>
        <v>0000809821</v>
      </c>
      <c r="C1136" t="str">
        <f t="shared" si="478"/>
        <v>0000809803</v>
      </c>
      <c r="D1136" t="str">
        <f t="shared" si="460"/>
        <v>73185</v>
      </c>
      <c r="E1136" t="str">
        <f t="shared" si="461"/>
        <v>KFH-OPERATIONS DEPARTMENT</v>
      </c>
      <c r="F1136" t="str">
        <f t="shared" si="462"/>
        <v>IBG</v>
      </c>
      <c r="G1136" t="str">
        <f t="shared" si="473"/>
        <v>Refund COSHARE 10</v>
      </c>
      <c r="H1136" s="2">
        <v>55</v>
      </c>
      <c r="I1136" t="str">
        <f>"ZARINA BINTI MAT ISA"</f>
        <v>ZARINA BINTI MAT ISA</v>
      </c>
      <c r="J1136" t="str">
        <f t="shared" si="474"/>
        <v>MAYBANK / MAYBANK ISLAMIC</v>
      </c>
      <c r="K1136" t="str">
        <f>"152059035990"</f>
        <v>152059035990</v>
      </c>
      <c r="L1136" t="str">
        <f t="shared" si="479"/>
        <v>04-08-2020</v>
      </c>
      <c r="M1136" t="str">
        <f t="shared" si="479"/>
        <v>04-08-2020</v>
      </c>
      <c r="N1136" t="str">
        <f t="shared" si="463"/>
        <v>001105018356</v>
      </c>
      <c r="O1136" t="str">
        <f t="shared" si="464"/>
        <v>MYR</v>
      </c>
      <c r="P1136" t="str">
        <f t="shared" si="480"/>
        <v>NIL</v>
      </c>
      <c r="Q1136" t="str">
        <f t="shared" si="480"/>
        <v>NIL</v>
      </c>
      <c r="R1136" t="str">
        <f t="shared" si="465"/>
        <v>Accepted</v>
      </c>
      <c r="S1136" t="str">
        <f t="shared" si="466"/>
        <v>Approved</v>
      </c>
      <c r="T1136" t="str">
        <f t="shared" si="467"/>
        <v>10.20.8.188</v>
      </c>
      <c r="U1136" t="str">
        <f t="shared" si="468"/>
        <v>AZRAD UMAR BIN SHAARI</v>
      </c>
      <c r="V1136" t="str">
        <f t="shared" si="469"/>
        <v>FARHANA BINTI MUSTAPA</v>
      </c>
      <c r="W1136" t="str">
        <f t="shared" si="470"/>
        <v>04-08-2020</v>
      </c>
      <c r="X1136" t="str">
        <f t="shared" si="471"/>
        <v>RAZIMAH ANSAR AHMAD</v>
      </c>
      <c r="Y1136" t="str">
        <f t="shared" si="472"/>
        <v>04-08-2020</v>
      </c>
      <c r="Z1136" t="str">
        <f>"COS10200804 8018"</f>
        <v>COS10200804 8018</v>
      </c>
    </row>
    <row r="1137" spans="1:26" x14ac:dyDescent="0.25">
      <c r="A1137" t="str">
        <f t="shared" si="477"/>
        <v>04-08-2020 01:09:43</v>
      </c>
      <c r="B1137" t="str">
        <f>"0000809820"</f>
        <v>0000809820</v>
      </c>
      <c r="C1137" t="str">
        <f t="shared" si="478"/>
        <v>0000809803</v>
      </c>
      <c r="D1137" t="str">
        <f t="shared" si="460"/>
        <v>73185</v>
      </c>
      <c r="E1137" t="str">
        <f t="shared" si="461"/>
        <v>KFH-OPERATIONS DEPARTMENT</v>
      </c>
      <c r="F1137" t="str">
        <f t="shared" si="462"/>
        <v>IBG</v>
      </c>
      <c r="G1137" t="str">
        <f t="shared" si="473"/>
        <v>Refund COSHARE 10</v>
      </c>
      <c r="H1137" s="2">
        <v>369.4</v>
      </c>
      <c r="I1137" t="str">
        <f>"ZARINA BINTI ALIAS"</f>
        <v>ZARINA BINTI ALIAS</v>
      </c>
      <c r="J1137" t="str">
        <f t="shared" si="474"/>
        <v>MAYBANK / MAYBANK ISLAMIC</v>
      </c>
      <c r="K1137" t="str">
        <f>"108065390110"</f>
        <v>108065390110</v>
      </c>
      <c r="L1137" t="str">
        <f t="shared" si="479"/>
        <v>04-08-2020</v>
      </c>
      <c r="M1137" t="str">
        <f t="shared" si="479"/>
        <v>04-08-2020</v>
      </c>
      <c r="N1137" t="str">
        <f t="shared" si="463"/>
        <v>001105018356</v>
      </c>
      <c r="O1137" t="str">
        <f t="shared" si="464"/>
        <v>MYR</v>
      </c>
      <c r="P1137" t="str">
        <f t="shared" si="480"/>
        <v>NIL</v>
      </c>
      <c r="Q1137" t="str">
        <f t="shared" si="480"/>
        <v>NIL</v>
      </c>
      <c r="R1137" t="str">
        <f t="shared" si="465"/>
        <v>Accepted</v>
      </c>
      <c r="S1137" t="str">
        <f t="shared" si="466"/>
        <v>Approved</v>
      </c>
      <c r="T1137" t="str">
        <f t="shared" si="467"/>
        <v>10.20.8.188</v>
      </c>
      <c r="U1137" t="str">
        <f t="shared" si="468"/>
        <v>AZRAD UMAR BIN SHAARI</v>
      </c>
      <c r="V1137" t="str">
        <f t="shared" si="469"/>
        <v>FARHANA BINTI MUSTAPA</v>
      </c>
      <c r="W1137" t="str">
        <f t="shared" si="470"/>
        <v>04-08-2020</v>
      </c>
      <c r="X1137" t="str">
        <f t="shared" si="471"/>
        <v>RAZIMAH ANSAR AHMAD</v>
      </c>
      <c r="Y1137" t="str">
        <f t="shared" si="472"/>
        <v>04-08-2020</v>
      </c>
      <c r="Z1137" t="str">
        <f>"COS10200804 8017"</f>
        <v>COS10200804 8017</v>
      </c>
    </row>
    <row r="1138" spans="1:26" x14ac:dyDescent="0.25">
      <c r="A1138" t="str">
        <f t="shared" si="477"/>
        <v>04-08-2020 01:09:43</v>
      </c>
      <c r="B1138" t="str">
        <f>"0000809819"</f>
        <v>0000809819</v>
      </c>
      <c r="C1138" t="str">
        <f t="shared" si="478"/>
        <v>0000809803</v>
      </c>
      <c r="D1138" t="str">
        <f t="shared" si="460"/>
        <v>73185</v>
      </c>
      <c r="E1138" t="str">
        <f t="shared" si="461"/>
        <v>KFH-OPERATIONS DEPARTMENT</v>
      </c>
      <c r="F1138" t="str">
        <f t="shared" si="462"/>
        <v>IBG</v>
      </c>
      <c r="G1138" t="str">
        <f t="shared" si="473"/>
        <v>Refund COSHARE 10</v>
      </c>
      <c r="H1138" s="2">
        <v>52</v>
      </c>
      <c r="I1138" t="str">
        <f>"ZARINA BINTI ABDULLAH"</f>
        <v>ZARINA BINTI ABDULLAH</v>
      </c>
      <c r="J1138" t="str">
        <f t="shared" si="474"/>
        <v>MAYBANK / MAYBANK ISLAMIC</v>
      </c>
      <c r="K1138" t="str">
        <f>"108020044178"</f>
        <v>108020044178</v>
      </c>
      <c r="L1138" t="str">
        <f t="shared" si="479"/>
        <v>04-08-2020</v>
      </c>
      <c r="M1138" t="str">
        <f t="shared" si="479"/>
        <v>04-08-2020</v>
      </c>
      <c r="N1138" t="str">
        <f t="shared" si="463"/>
        <v>001105018356</v>
      </c>
      <c r="O1138" t="str">
        <f t="shared" si="464"/>
        <v>MYR</v>
      </c>
      <c r="P1138" t="str">
        <f t="shared" si="480"/>
        <v>NIL</v>
      </c>
      <c r="Q1138" t="str">
        <f t="shared" si="480"/>
        <v>NIL</v>
      </c>
      <c r="R1138" t="str">
        <f t="shared" si="465"/>
        <v>Accepted</v>
      </c>
      <c r="S1138" t="str">
        <f t="shared" si="466"/>
        <v>Approved</v>
      </c>
      <c r="T1138" t="str">
        <f t="shared" si="467"/>
        <v>10.20.8.188</v>
      </c>
      <c r="U1138" t="str">
        <f t="shared" si="468"/>
        <v>AZRAD UMAR BIN SHAARI</v>
      </c>
      <c r="V1138" t="str">
        <f t="shared" si="469"/>
        <v>FARHANA BINTI MUSTAPA</v>
      </c>
      <c r="W1138" t="str">
        <f t="shared" si="470"/>
        <v>04-08-2020</v>
      </c>
      <c r="X1138" t="str">
        <f t="shared" si="471"/>
        <v>RAZIMAH ANSAR AHMAD</v>
      </c>
      <c r="Y1138" t="str">
        <f t="shared" si="472"/>
        <v>04-08-2020</v>
      </c>
      <c r="Z1138" t="str">
        <f>"COS10200804 8016"</f>
        <v>COS10200804 8016</v>
      </c>
    </row>
    <row r="1139" spans="1:26" x14ac:dyDescent="0.25">
      <c r="A1139" t="str">
        <f t="shared" si="477"/>
        <v>04-08-2020 01:09:43</v>
      </c>
      <c r="B1139" t="str">
        <f>"0000809818"</f>
        <v>0000809818</v>
      </c>
      <c r="C1139" t="str">
        <f t="shared" si="478"/>
        <v>0000809803</v>
      </c>
      <c r="D1139" t="str">
        <f t="shared" si="460"/>
        <v>73185</v>
      </c>
      <c r="E1139" t="str">
        <f t="shared" si="461"/>
        <v>KFH-OPERATIONS DEPARTMENT</v>
      </c>
      <c r="F1139" t="str">
        <f t="shared" si="462"/>
        <v>IBG</v>
      </c>
      <c r="G1139" t="str">
        <f t="shared" si="473"/>
        <v>Refund COSHARE 10</v>
      </c>
      <c r="H1139" s="2">
        <v>799.35</v>
      </c>
      <c r="I1139" t="str">
        <f>"ZANARIAH BINTI DAUD"</f>
        <v>ZANARIAH BINTI DAUD</v>
      </c>
      <c r="J1139" t="str">
        <f t="shared" si="474"/>
        <v>MAYBANK / MAYBANK ISLAMIC</v>
      </c>
      <c r="K1139" t="str">
        <f>"103024312443"</f>
        <v>103024312443</v>
      </c>
      <c r="L1139" t="str">
        <f t="shared" si="479"/>
        <v>04-08-2020</v>
      </c>
      <c r="M1139" t="str">
        <f t="shared" si="479"/>
        <v>04-08-2020</v>
      </c>
      <c r="N1139" t="str">
        <f t="shared" si="463"/>
        <v>001105018356</v>
      </c>
      <c r="O1139" t="str">
        <f t="shared" si="464"/>
        <v>MYR</v>
      </c>
      <c r="P1139" t="str">
        <f t="shared" si="480"/>
        <v>NIL</v>
      </c>
      <c r="Q1139" t="str">
        <f t="shared" si="480"/>
        <v>NIL</v>
      </c>
      <c r="R1139" t="str">
        <f t="shared" si="465"/>
        <v>Accepted</v>
      </c>
      <c r="S1139" t="str">
        <f t="shared" si="466"/>
        <v>Approved</v>
      </c>
      <c r="T1139" t="str">
        <f t="shared" si="467"/>
        <v>10.20.8.188</v>
      </c>
      <c r="U1139" t="str">
        <f t="shared" si="468"/>
        <v>AZRAD UMAR BIN SHAARI</v>
      </c>
      <c r="V1139" t="str">
        <f t="shared" si="469"/>
        <v>FARHANA BINTI MUSTAPA</v>
      </c>
      <c r="W1139" t="str">
        <f t="shared" si="470"/>
        <v>04-08-2020</v>
      </c>
      <c r="X1139" t="str">
        <f t="shared" si="471"/>
        <v>RAZIMAH ANSAR AHMAD</v>
      </c>
      <c r="Y1139" t="str">
        <f t="shared" si="472"/>
        <v>04-08-2020</v>
      </c>
      <c r="Z1139" t="str">
        <f>"COS10200804 8015"</f>
        <v>COS10200804 8015</v>
      </c>
    </row>
    <row r="1140" spans="1:26" x14ac:dyDescent="0.25">
      <c r="A1140" t="str">
        <f t="shared" si="477"/>
        <v>04-08-2020 01:09:43</v>
      </c>
      <c r="B1140" t="str">
        <f>"0000809817"</f>
        <v>0000809817</v>
      </c>
      <c r="C1140" t="str">
        <f t="shared" si="478"/>
        <v>0000809803</v>
      </c>
      <c r="D1140" t="str">
        <f t="shared" si="460"/>
        <v>73185</v>
      </c>
      <c r="E1140" t="str">
        <f t="shared" si="461"/>
        <v>KFH-OPERATIONS DEPARTMENT</v>
      </c>
      <c r="F1140" t="str">
        <f t="shared" si="462"/>
        <v>IBG</v>
      </c>
      <c r="G1140" t="str">
        <f t="shared" si="473"/>
        <v>Refund COSHARE 10</v>
      </c>
      <c r="H1140" s="2">
        <v>128.1</v>
      </c>
      <c r="I1140" t="str">
        <f>"ZANARIAH BINTI AHMAD"</f>
        <v>ZANARIAH BINTI AHMAD</v>
      </c>
      <c r="J1140" t="str">
        <f t="shared" si="474"/>
        <v>MAYBANK / MAYBANK ISLAMIC</v>
      </c>
      <c r="K1140" t="str">
        <f>"154026116450"</f>
        <v>154026116450</v>
      </c>
      <c r="L1140" t="str">
        <f t="shared" si="479"/>
        <v>04-08-2020</v>
      </c>
      <c r="M1140" t="str">
        <f t="shared" si="479"/>
        <v>04-08-2020</v>
      </c>
      <c r="N1140" t="str">
        <f t="shared" si="463"/>
        <v>001105018356</v>
      </c>
      <c r="O1140" t="str">
        <f t="shared" si="464"/>
        <v>MYR</v>
      </c>
      <c r="P1140" t="str">
        <f t="shared" si="480"/>
        <v>NIL</v>
      </c>
      <c r="Q1140" t="str">
        <f t="shared" si="480"/>
        <v>NIL</v>
      </c>
      <c r="R1140" t="str">
        <f t="shared" si="465"/>
        <v>Accepted</v>
      </c>
      <c r="S1140" t="str">
        <f t="shared" si="466"/>
        <v>Approved</v>
      </c>
      <c r="T1140" t="str">
        <f t="shared" si="467"/>
        <v>10.20.8.188</v>
      </c>
      <c r="U1140" t="str">
        <f t="shared" si="468"/>
        <v>AZRAD UMAR BIN SHAARI</v>
      </c>
      <c r="V1140" t="str">
        <f t="shared" si="469"/>
        <v>FARHANA BINTI MUSTAPA</v>
      </c>
      <c r="W1140" t="str">
        <f t="shared" si="470"/>
        <v>04-08-2020</v>
      </c>
      <c r="X1140" t="str">
        <f t="shared" si="471"/>
        <v>RAZIMAH ANSAR AHMAD</v>
      </c>
      <c r="Y1140" t="str">
        <f t="shared" si="472"/>
        <v>04-08-2020</v>
      </c>
      <c r="Z1140" t="str">
        <f>"COS10200804 8014"</f>
        <v>COS10200804 8014</v>
      </c>
    </row>
    <row r="1141" spans="1:26" x14ac:dyDescent="0.25">
      <c r="A1141" t="str">
        <f t="shared" si="477"/>
        <v>04-08-2020 01:09:43</v>
      </c>
      <c r="B1141" t="str">
        <f>"0000809816"</f>
        <v>0000809816</v>
      </c>
      <c r="C1141" t="str">
        <f t="shared" si="478"/>
        <v>0000809803</v>
      </c>
      <c r="D1141" t="str">
        <f t="shared" si="460"/>
        <v>73185</v>
      </c>
      <c r="E1141" t="str">
        <f t="shared" si="461"/>
        <v>KFH-OPERATIONS DEPARTMENT</v>
      </c>
      <c r="F1141" t="str">
        <f t="shared" si="462"/>
        <v>IBG</v>
      </c>
      <c r="G1141" t="str">
        <f t="shared" si="473"/>
        <v>Refund COSHARE 10</v>
      </c>
      <c r="H1141" s="2">
        <v>193.1</v>
      </c>
      <c r="I1141" t="str">
        <f>"ZANARIAH BINTI ABDUL MAYAS"</f>
        <v>ZANARIAH BINTI ABDUL MAYAS</v>
      </c>
      <c r="J1141" t="str">
        <f t="shared" si="474"/>
        <v>MAYBANK / MAYBANK ISLAMIC</v>
      </c>
      <c r="K1141" t="str">
        <f>"162021386187"</f>
        <v>162021386187</v>
      </c>
      <c r="L1141" t="str">
        <f t="shared" si="479"/>
        <v>04-08-2020</v>
      </c>
      <c r="M1141" t="str">
        <f t="shared" si="479"/>
        <v>04-08-2020</v>
      </c>
      <c r="N1141" t="str">
        <f t="shared" si="463"/>
        <v>001105018356</v>
      </c>
      <c r="O1141" t="str">
        <f t="shared" si="464"/>
        <v>MYR</v>
      </c>
      <c r="P1141" t="str">
        <f t="shared" si="480"/>
        <v>NIL</v>
      </c>
      <c r="Q1141" t="str">
        <f t="shared" si="480"/>
        <v>NIL</v>
      </c>
      <c r="R1141" t="str">
        <f t="shared" si="465"/>
        <v>Accepted</v>
      </c>
      <c r="S1141" t="str">
        <f t="shared" si="466"/>
        <v>Approved</v>
      </c>
      <c r="T1141" t="str">
        <f t="shared" si="467"/>
        <v>10.20.8.188</v>
      </c>
      <c r="U1141" t="str">
        <f t="shared" si="468"/>
        <v>AZRAD UMAR BIN SHAARI</v>
      </c>
      <c r="V1141" t="str">
        <f t="shared" si="469"/>
        <v>FARHANA BINTI MUSTAPA</v>
      </c>
      <c r="W1141" t="str">
        <f t="shared" si="470"/>
        <v>04-08-2020</v>
      </c>
      <c r="X1141" t="str">
        <f t="shared" si="471"/>
        <v>RAZIMAH ANSAR AHMAD</v>
      </c>
      <c r="Y1141" t="str">
        <f t="shared" si="472"/>
        <v>04-08-2020</v>
      </c>
      <c r="Z1141" t="str">
        <f>"COS10200804 8013"</f>
        <v>COS10200804 8013</v>
      </c>
    </row>
    <row r="1142" spans="1:26" x14ac:dyDescent="0.25">
      <c r="A1142" t="str">
        <f t="shared" si="477"/>
        <v>04-08-2020 01:09:43</v>
      </c>
      <c r="B1142" t="str">
        <f>"0000809815"</f>
        <v>0000809815</v>
      </c>
      <c r="C1142" t="str">
        <f t="shared" si="478"/>
        <v>0000809803</v>
      </c>
      <c r="D1142" t="str">
        <f t="shared" si="460"/>
        <v>73185</v>
      </c>
      <c r="E1142" t="str">
        <f t="shared" si="461"/>
        <v>KFH-OPERATIONS DEPARTMENT</v>
      </c>
      <c r="F1142" t="str">
        <f t="shared" si="462"/>
        <v>IBG</v>
      </c>
      <c r="G1142" t="str">
        <f t="shared" si="473"/>
        <v>Refund COSHARE 10</v>
      </c>
      <c r="H1142" s="2">
        <v>1175.3</v>
      </c>
      <c r="I1142" t="str">
        <f>"ZAMZY BIN ABDUL RAHMAN"</f>
        <v>ZAMZY BIN ABDUL RAHMAN</v>
      </c>
      <c r="J1142" t="str">
        <f t="shared" si="474"/>
        <v>MAYBANK / MAYBANK ISLAMIC</v>
      </c>
      <c r="K1142" t="str">
        <f>"111114167822"</f>
        <v>111114167822</v>
      </c>
      <c r="L1142" t="str">
        <f t="shared" si="479"/>
        <v>04-08-2020</v>
      </c>
      <c r="M1142" t="str">
        <f t="shared" si="479"/>
        <v>04-08-2020</v>
      </c>
      <c r="N1142" t="str">
        <f t="shared" si="463"/>
        <v>001105018356</v>
      </c>
      <c r="O1142" t="str">
        <f t="shared" si="464"/>
        <v>MYR</v>
      </c>
      <c r="P1142" t="str">
        <f t="shared" si="480"/>
        <v>NIL</v>
      </c>
      <c r="Q1142" t="str">
        <f t="shared" si="480"/>
        <v>NIL</v>
      </c>
      <c r="R1142" t="str">
        <f t="shared" si="465"/>
        <v>Accepted</v>
      </c>
      <c r="S1142" t="str">
        <f t="shared" si="466"/>
        <v>Approved</v>
      </c>
      <c r="T1142" t="str">
        <f t="shared" si="467"/>
        <v>10.20.8.188</v>
      </c>
      <c r="U1142" t="str">
        <f t="shared" si="468"/>
        <v>AZRAD UMAR BIN SHAARI</v>
      </c>
      <c r="V1142" t="str">
        <f t="shared" si="469"/>
        <v>FARHANA BINTI MUSTAPA</v>
      </c>
      <c r="W1142" t="str">
        <f t="shared" si="470"/>
        <v>04-08-2020</v>
      </c>
      <c r="X1142" t="str">
        <f t="shared" si="471"/>
        <v>RAZIMAH ANSAR AHMAD</v>
      </c>
      <c r="Y1142" t="str">
        <f t="shared" si="472"/>
        <v>04-08-2020</v>
      </c>
      <c r="Z1142" t="str">
        <f>"COS10200804 8012"</f>
        <v>COS10200804 8012</v>
      </c>
    </row>
    <row r="1143" spans="1:26" x14ac:dyDescent="0.25">
      <c r="A1143" t="str">
        <f t="shared" si="477"/>
        <v>04-08-2020 01:09:43</v>
      </c>
      <c r="B1143" t="str">
        <f>"0000809814"</f>
        <v>0000809814</v>
      </c>
      <c r="C1143" t="str">
        <f t="shared" si="478"/>
        <v>0000809803</v>
      </c>
      <c r="D1143" t="str">
        <f t="shared" si="460"/>
        <v>73185</v>
      </c>
      <c r="E1143" t="str">
        <f t="shared" si="461"/>
        <v>KFH-OPERATIONS DEPARTMENT</v>
      </c>
      <c r="F1143" t="str">
        <f t="shared" si="462"/>
        <v>IBG</v>
      </c>
      <c r="G1143" t="str">
        <f t="shared" si="473"/>
        <v>Refund COSHARE 10</v>
      </c>
      <c r="H1143" s="2">
        <v>274.5</v>
      </c>
      <c r="I1143" t="str">
        <f>"ZAMZURINA BINTI SHUIB"</f>
        <v>ZAMZURINA BINTI SHUIB</v>
      </c>
      <c r="J1143" t="str">
        <f t="shared" si="474"/>
        <v>MAYBANK / MAYBANK ISLAMIC</v>
      </c>
      <c r="K1143" t="str">
        <f>"101105523037"</f>
        <v>101105523037</v>
      </c>
      <c r="L1143" t="str">
        <f t="shared" si="479"/>
        <v>04-08-2020</v>
      </c>
      <c r="M1143" t="str">
        <f t="shared" si="479"/>
        <v>04-08-2020</v>
      </c>
      <c r="N1143" t="str">
        <f t="shared" si="463"/>
        <v>001105018356</v>
      </c>
      <c r="O1143" t="str">
        <f t="shared" si="464"/>
        <v>MYR</v>
      </c>
      <c r="P1143" t="str">
        <f t="shared" si="480"/>
        <v>NIL</v>
      </c>
      <c r="Q1143" t="str">
        <f t="shared" si="480"/>
        <v>NIL</v>
      </c>
      <c r="R1143" t="str">
        <f t="shared" si="465"/>
        <v>Accepted</v>
      </c>
      <c r="S1143" t="str">
        <f t="shared" si="466"/>
        <v>Approved</v>
      </c>
      <c r="T1143" t="str">
        <f t="shared" si="467"/>
        <v>10.20.8.188</v>
      </c>
      <c r="U1143" t="str">
        <f t="shared" si="468"/>
        <v>AZRAD UMAR BIN SHAARI</v>
      </c>
      <c r="V1143" t="str">
        <f t="shared" si="469"/>
        <v>FARHANA BINTI MUSTAPA</v>
      </c>
      <c r="W1143" t="str">
        <f t="shared" si="470"/>
        <v>04-08-2020</v>
      </c>
      <c r="X1143" t="str">
        <f t="shared" si="471"/>
        <v>RAZIMAH ANSAR AHMAD</v>
      </c>
      <c r="Y1143" t="str">
        <f t="shared" si="472"/>
        <v>04-08-2020</v>
      </c>
      <c r="Z1143" t="str">
        <f>"COS10200804 8011"</f>
        <v>COS10200804 8011</v>
      </c>
    </row>
    <row r="1144" spans="1:26" x14ac:dyDescent="0.25">
      <c r="A1144" t="str">
        <f t="shared" si="477"/>
        <v>04-08-2020 01:09:43</v>
      </c>
      <c r="B1144" t="str">
        <f>"0000809813"</f>
        <v>0000809813</v>
      </c>
      <c r="C1144" t="str">
        <f t="shared" si="478"/>
        <v>0000809803</v>
      </c>
      <c r="D1144" t="str">
        <f t="shared" si="460"/>
        <v>73185</v>
      </c>
      <c r="E1144" t="str">
        <f t="shared" si="461"/>
        <v>KFH-OPERATIONS DEPARTMENT</v>
      </c>
      <c r="F1144" t="str">
        <f t="shared" si="462"/>
        <v>IBG</v>
      </c>
      <c r="G1144" t="str">
        <f t="shared" si="473"/>
        <v>Refund COSHARE 10</v>
      </c>
      <c r="H1144" s="2">
        <v>774</v>
      </c>
      <c r="I1144" t="str">
        <f>"ZAMZURI BIN HAMZAH"</f>
        <v>ZAMZURI BIN HAMZAH</v>
      </c>
      <c r="J1144" t="str">
        <f t="shared" si="474"/>
        <v>MAYBANK / MAYBANK ISLAMIC</v>
      </c>
      <c r="K1144" t="str">
        <f>"151044094384"</f>
        <v>151044094384</v>
      </c>
      <c r="L1144" t="str">
        <f t="shared" si="479"/>
        <v>04-08-2020</v>
      </c>
      <c r="M1144" t="str">
        <f t="shared" si="479"/>
        <v>04-08-2020</v>
      </c>
      <c r="N1144" t="str">
        <f t="shared" si="463"/>
        <v>001105018356</v>
      </c>
      <c r="O1144" t="str">
        <f t="shared" si="464"/>
        <v>MYR</v>
      </c>
      <c r="P1144" t="str">
        <f t="shared" si="480"/>
        <v>NIL</v>
      </c>
      <c r="Q1144" t="str">
        <f t="shared" si="480"/>
        <v>NIL</v>
      </c>
      <c r="R1144" t="str">
        <f t="shared" si="465"/>
        <v>Accepted</v>
      </c>
      <c r="S1144" t="str">
        <f t="shared" si="466"/>
        <v>Approved</v>
      </c>
      <c r="T1144" t="str">
        <f t="shared" si="467"/>
        <v>10.20.8.188</v>
      </c>
      <c r="U1144" t="str">
        <f t="shared" si="468"/>
        <v>AZRAD UMAR BIN SHAARI</v>
      </c>
      <c r="V1144" t="str">
        <f t="shared" si="469"/>
        <v>FARHANA BINTI MUSTAPA</v>
      </c>
      <c r="W1144" t="str">
        <f t="shared" si="470"/>
        <v>04-08-2020</v>
      </c>
      <c r="X1144" t="str">
        <f t="shared" si="471"/>
        <v>RAZIMAH ANSAR AHMAD</v>
      </c>
      <c r="Y1144" t="str">
        <f t="shared" si="472"/>
        <v>04-08-2020</v>
      </c>
      <c r="Z1144" t="str">
        <f>"COS10200804 8010"</f>
        <v>COS10200804 8010</v>
      </c>
    </row>
    <row r="1145" spans="1:26" x14ac:dyDescent="0.25">
      <c r="A1145" t="str">
        <f t="shared" si="477"/>
        <v>04-08-2020 01:09:43</v>
      </c>
      <c r="B1145" t="str">
        <f>"0000809812"</f>
        <v>0000809812</v>
      </c>
      <c r="C1145" t="str">
        <f t="shared" si="478"/>
        <v>0000809803</v>
      </c>
      <c r="D1145" t="str">
        <f t="shared" si="460"/>
        <v>73185</v>
      </c>
      <c r="E1145" t="str">
        <f t="shared" si="461"/>
        <v>KFH-OPERATIONS DEPARTMENT</v>
      </c>
      <c r="F1145" t="str">
        <f t="shared" si="462"/>
        <v>IBG</v>
      </c>
      <c r="G1145" t="str">
        <f t="shared" si="473"/>
        <v>Refund COSHARE 10</v>
      </c>
      <c r="H1145" s="2">
        <v>77.599999999999994</v>
      </c>
      <c r="I1145" t="str">
        <f>"ZAMZIDA BINTI M JAMHARI"</f>
        <v>ZAMZIDA BINTI M JAMHARI</v>
      </c>
      <c r="J1145" t="str">
        <f t="shared" si="474"/>
        <v>MAYBANK / MAYBANK ISLAMIC</v>
      </c>
      <c r="K1145" t="str">
        <f>"158060022644"</f>
        <v>158060022644</v>
      </c>
      <c r="L1145" t="str">
        <f t="shared" si="479"/>
        <v>04-08-2020</v>
      </c>
      <c r="M1145" t="str">
        <f t="shared" si="479"/>
        <v>04-08-2020</v>
      </c>
      <c r="N1145" t="str">
        <f t="shared" si="463"/>
        <v>001105018356</v>
      </c>
      <c r="O1145" t="str">
        <f t="shared" si="464"/>
        <v>MYR</v>
      </c>
      <c r="P1145" t="str">
        <f t="shared" si="480"/>
        <v>NIL</v>
      </c>
      <c r="Q1145" t="str">
        <f t="shared" si="480"/>
        <v>NIL</v>
      </c>
      <c r="R1145" t="str">
        <f t="shared" si="465"/>
        <v>Accepted</v>
      </c>
      <c r="S1145" t="str">
        <f t="shared" si="466"/>
        <v>Approved</v>
      </c>
      <c r="T1145" t="str">
        <f t="shared" si="467"/>
        <v>10.20.8.188</v>
      </c>
      <c r="U1145" t="str">
        <f t="shared" si="468"/>
        <v>AZRAD UMAR BIN SHAARI</v>
      </c>
      <c r="V1145" t="str">
        <f t="shared" si="469"/>
        <v>FARHANA BINTI MUSTAPA</v>
      </c>
      <c r="W1145" t="str">
        <f t="shared" si="470"/>
        <v>04-08-2020</v>
      </c>
      <c r="X1145" t="str">
        <f t="shared" si="471"/>
        <v>RAZIMAH ANSAR AHMAD</v>
      </c>
      <c r="Y1145" t="str">
        <f t="shared" si="472"/>
        <v>04-08-2020</v>
      </c>
      <c r="Z1145" t="str">
        <f>"COS10200804 8009"</f>
        <v>COS10200804 8009</v>
      </c>
    </row>
    <row r="1146" spans="1:26" x14ac:dyDescent="0.25">
      <c r="A1146" t="str">
        <f t="shared" ref="A1146:A1153" si="481">"04-08-2020 01:09:43"</f>
        <v>04-08-2020 01:09:43</v>
      </c>
      <c r="B1146" t="str">
        <f>"0000809811"</f>
        <v>0000809811</v>
      </c>
      <c r="C1146" t="str">
        <f t="shared" ref="C1146:C1153" si="482">"0000809803"</f>
        <v>0000809803</v>
      </c>
      <c r="D1146" t="str">
        <f t="shared" si="460"/>
        <v>73185</v>
      </c>
      <c r="E1146" t="str">
        <f t="shared" si="461"/>
        <v>KFH-OPERATIONS DEPARTMENT</v>
      </c>
      <c r="F1146" t="str">
        <f t="shared" si="462"/>
        <v>IBG</v>
      </c>
      <c r="G1146" t="str">
        <f t="shared" si="473"/>
        <v>Refund COSHARE 10</v>
      </c>
      <c r="H1146" s="2">
        <v>484.95</v>
      </c>
      <c r="I1146" t="str">
        <f>"ZAMZATULSHILLA BINTI ISMAIL"</f>
        <v>ZAMZATULSHILLA BINTI ISMAIL</v>
      </c>
      <c r="J1146" t="str">
        <f t="shared" si="474"/>
        <v>MAYBANK / MAYBANK ISLAMIC</v>
      </c>
      <c r="K1146" t="str">
        <f>"112175108738"</f>
        <v>112175108738</v>
      </c>
      <c r="L1146" t="str">
        <f t="shared" si="479"/>
        <v>04-08-2020</v>
      </c>
      <c r="M1146" t="str">
        <f t="shared" si="479"/>
        <v>04-08-2020</v>
      </c>
      <c r="N1146" t="str">
        <f t="shared" si="463"/>
        <v>001105018356</v>
      </c>
      <c r="O1146" t="str">
        <f t="shared" si="464"/>
        <v>MYR</v>
      </c>
      <c r="P1146" t="str">
        <f t="shared" si="480"/>
        <v>NIL</v>
      </c>
      <c r="Q1146" t="str">
        <f t="shared" si="480"/>
        <v>NIL</v>
      </c>
      <c r="R1146" t="str">
        <f t="shared" si="465"/>
        <v>Accepted</v>
      </c>
      <c r="S1146" t="str">
        <f t="shared" si="466"/>
        <v>Approved</v>
      </c>
      <c r="T1146" t="str">
        <f t="shared" si="467"/>
        <v>10.20.8.188</v>
      </c>
      <c r="U1146" t="str">
        <f t="shared" si="468"/>
        <v>AZRAD UMAR BIN SHAARI</v>
      </c>
      <c r="V1146" t="str">
        <f t="shared" si="469"/>
        <v>FARHANA BINTI MUSTAPA</v>
      </c>
      <c r="W1146" t="str">
        <f t="shared" si="470"/>
        <v>04-08-2020</v>
      </c>
      <c r="X1146" t="str">
        <f t="shared" si="471"/>
        <v>RAZIMAH ANSAR AHMAD</v>
      </c>
      <c r="Y1146" t="str">
        <f t="shared" si="472"/>
        <v>04-08-2020</v>
      </c>
      <c r="Z1146" t="str">
        <f>"COS10200804 8008"</f>
        <v>COS10200804 8008</v>
      </c>
    </row>
    <row r="1147" spans="1:26" x14ac:dyDescent="0.25">
      <c r="A1147" t="str">
        <f t="shared" si="481"/>
        <v>04-08-2020 01:09:43</v>
      </c>
      <c r="B1147" t="str">
        <f>"0000809810"</f>
        <v>0000809810</v>
      </c>
      <c r="C1147" t="str">
        <f t="shared" si="482"/>
        <v>0000809803</v>
      </c>
      <c r="D1147" t="str">
        <f t="shared" si="460"/>
        <v>73185</v>
      </c>
      <c r="E1147" t="str">
        <f t="shared" si="461"/>
        <v>KFH-OPERATIONS DEPARTMENT</v>
      </c>
      <c r="F1147" t="str">
        <f t="shared" si="462"/>
        <v>IBG</v>
      </c>
      <c r="G1147" t="str">
        <f t="shared" si="473"/>
        <v>Refund COSHARE 10</v>
      </c>
      <c r="H1147" s="2">
        <v>570.85</v>
      </c>
      <c r="I1147" t="str">
        <f>"ZAMZALINA BINTI MAT  KAMARULZAMAN"</f>
        <v>ZAMZALINA BINTI MAT  KAMARULZAMAN</v>
      </c>
      <c r="J1147" t="str">
        <f t="shared" si="474"/>
        <v>MAYBANK / MAYBANK ISLAMIC</v>
      </c>
      <c r="K1147" t="str">
        <f>"164016975451"</f>
        <v>164016975451</v>
      </c>
      <c r="L1147" t="str">
        <f t="shared" ref="L1147:M1166" si="483">"04-08-2020"</f>
        <v>04-08-2020</v>
      </c>
      <c r="M1147" t="str">
        <f t="shared" si="483"/>
        <v>04-08-2020</v>
      </c>
      <c r="N1147" t="str">
        <f t="shared" si="463"/>
        <v>001105018356</v>
      </c>
      <c r="O1147" t="str">
        <f t="shared" si="464"/>
        <v>MYR</v>
      </c>
      <c r="P1147" t="str">
        <f t="shared" ref="P1147:Q1166" si="484">"NIL"</f>
        <v>NIL</v>
      </c>
      <c r="Q1147" t="str">
        <f t="shared" si="484"/>
        <v>NIL</v>
      </c>
      <c r="R1147" t="str">
        <f t="shared" si="465"/>
        <v>Accepted</v>
      </c>
      <c r="S1147" t="str">
        <f t="shared" si="466"/>
        <v>Approved</v>
      </c>
      <c r="T1147" t="str">
        <f t="shared" si="467"/>
        <v>10.20.8.188</v>
      </c>
      <c r="U1147" t="str">
        <f t="shared" si="468"/>
        <v>AZRAD UMAR BIN SHAARI</v>
      </c>
      <c r="V1147" t="str">
        <f t="shared" si="469"/>
        <v>FARHANA BINTI MUSTAPA</v>
      </c>
      <c r="W1147" t="str">
        <f t="shared" si="470"/>
        <v>04-08-2020</v>
      </c>
      <c r="X1147" t="str">
        <f t="shared" si="471"/>
        <v>RAZIMAH ANSAR AHMAD</v>
      </c>
      <c r="Y1147" t="str">
        <f t="shared" si="472"/>
        <v>04-08-2020</v>
      </c>
      <c r="Z1147" t="str">
        <f>"COS10200804 8007"</f>
        <v>COS10200804 8007</v>
      </c>
    </row>
    <row r="1148" spans="1:26" x14ac:dyDescent="0.25">
      <c r="A1148" t="str">
        <f t="shared" si="481"/>
        <v>04-08-2020 01:09:43</v>
      </c>
      <c r="B1148" t="str">
        <f>"0000809809"</f>
        <v>0000809809</v>
      </c>
      <c r="C1148" t="str">
        <f t="shared" si="482"/>
        <v>0000809803</v>
      </c>
      <c r="D1148" t="str">
        <f t="shared" si="460"/>
        <v>73185</v>
      </c>
      <c r="E1148" t="str">
        <f t="shared" si="461"/>
        <v>KFH-OPERATIONS DEPARTMENT</v>
      </c>
      <c r="F1148" t="str">
        <f t="shared" si="462"/>
        <v>IBG</v>
      </c>
      <c r="G1148" t="str">
        <f t="shared" si="473"/>
        <v>Refund COSHARE 10</v>
      </c>
      <c r="H1148" s="2">
        <v>370.7</v>
      </c>
      <c r="I1148" t="str">
        <f>"ZAMRY BIN MOHAMAD"</f>
        <v>ZAMRY BIN MOHAMAD</v>
      </c>
      <c r="J1148" t="str">
        <f t="shared" si="474"/>
        <v>MAYBANK / MAYBANK ISLAMIC</v>
      </c>
      <c r="K1148" t="str">
        <f>"114013179191"</f>
        <v>114013179191</v>
      </c>
      <c r="L1148" t="str">
        <f t="shared" si="483"/>
        <v>04-08-2020</v>
      </c>
      <c r="M1148" t="str">
        <f t="shared" si="483"/>
        <v>04-08-2020</v>
      </c>
      <c r="N1148" t="str">
        <f t="shared" si="463"/>
        <v>001105018356</v>
      </c>
      <c r="O1148" t="str">
        <f t="shared" si="464"/>
        <v>MYR</v>
      </c>
      <c r="P1148" t="str">
        <f t="shared" si="484"/>
        <v>NIL</v>
      </c>
      <c r="Q1148" t="str">
        <f t="shared" si="484"/>
        <v>NIL</v>
      </c>
      <c r="R1148" t="str">
        <f t="shared" si="465"/>
        <v>Accepted</v>
      </c>
      <c r="S1148" t="str">
        <f t="shared" si="466"/>
        <v>Approved</v>
      </c>
      <c r="T1148" t="str">
        <f t="shared" si="467"/>
        <v>10.20.8.188</v>
      </c>
      <c r="U1148" t="str">
        <f t="shared" si="468"/>
        <v>AZRAD UMAR BIN SHAARI</v>
      </c>
      <c r="V1148" t="str">
        <f t="shared" si="469"/>
        <v>FARHANA BINTI MUSTAPA</v>
      </c>
      <c r="W1148" t="str">
        <f t="shared" si="470"/>
        <v>04-08-2020</v>
      </c>
      <c r="X1148" t="str">
        <f t="shared" si="471"/>
        <v>RAZIMAH ANSAR AHMAD</v>
      </c>
      <c r="Y1148" t="str">
        <f t="shared" si="472"/>
        <v>04-08-2020</v>
      </c>
      <c r="Z1148" t="str">
        <f>"COS10200804 8006"</f>
        <v>COS10200804 8006</v>
      </c>
    </row>
    <row r="1149" spans="1:26" x14ac:dyDescent="0.25">
      <c r="A1149" t="str">
        <f t="shared" si="481"/>
        <v>04-08-2020 01:09:43</v>
      </c>
      <c r="B1149" t="str">
        <f>"0000809808"</f>
        <v>0000809808</v>
      </c>
      <c r="C1149" t="str">
        <f t="shared" si="482"/>
        <v>0000809803</v>
      </c>
      <c r="D1149" t="str">
        <f t="shared" si="460"/>
        <v>73185</v>
      </c>
      <c r="E1149" t="str">
        <f t="shared" si="461"/>
        <v>KFH-OPERATIONS DEPARTMENT</v>
      </c>
      <c r="F1149" t="str">
        <f t="shared" si="462"/>
        <v>IBG</v>
      </c>
      <c r="G1149" t="str">
        <f t="shared" si="473"/>
        <v>Refund COSHARE 10</v>
      </c>
      <c r="H1149" s="2">
        <v>1662.2</v>
      </c>
      <c r="I1149" t="str">
        <f>"ZAMRI BIN SULAIMAN"</f>
        <v>ZAMRI BIN SULAIMAN</v>
      </c>
      <c r="J1149" t="str">
        <f t="shared" si="474"/>
        <v>MAYBANK / MAYBANK ISLAMIC</v>
      </c>
      <c r="K1149" t="str">
        <f>"166010017267"</f>
        <v>166010017267</v>
      </c>
      <c r="L1149" t="str">
        <f t="shared" si="483"/>
        <v>04-08-2020</v>
      </c>
      <c r="M1149" t="str">
        <f t="shared" si="483"/>
        <v>04-08-2020</v>
      </c>
      <c r="N1149" t="str">
        <f t="shared" si="463"/>
        <v>001105018356</v>
      </c>
      <c r="O1149" t="str">
        <f t="shared" si="464"/>
        <v>MYR</v>
      </c>
      <c r="P1149" t="str">
        <f t="shared" si="484"/>
        <v>NIL</v>
      </c>
      <c r="Q1149" t="str">
        <f t="shared" si="484"/>
        <v>NIL</v>
      </c>
      <c r="R1149" t="str">
        <f t="shared" si="465"/>
        <v>Accepted</v>
      </c>
      <c r="S1149" t="str">
        <f t="shared" si="466"/>
        <v>Approved</v>
      </c>
      <c r="T1149" t="str">
        <f t="shared" si="467"/>
        <v>10.20.8.188</v>
      </c>
      <c r="U1149" t="str">
        <f t="shared" si="468"/>
        <v>AZRAD UMAR BIN SHAARI</v>
      </c>
      <c r="V1149" t="str">
        <f t="shared" si="469"/>
        <v>FARHANA BINTI MUSTAPA</v>
      </c>
      <c r="W1149" t="str">
        <f t="shared" si="470"/>
        <v>04-08-2020</v>
      </c>
      <c r="X1149" t="str">
        <f t="shared" si="471"/>
        <v>RAZIMAH ANSAR AHMAD</v>
      </c>
      <c r="Y1149" t="str">
        <f t="shared" si="472"/>
        <v>04-08-2020</v>
      </c>
      <c r="Z1149" t="str">
        <f>"COS10200804 8005"</f>
        <v>COS10200804 8005</v>
      </c>
    </row>
    <row r="1150" spans="1:26" x14ac:dyDescent="0.25">
      <c r="A1150" t="str">
        <f t="shared" si="481"/>
        <v>04-08-2020 01:09:43</v>
      </c>
      <c r="B1150" t="str">
        <f>"0000809807"</f>
        <v>0000809807</v>
      </c>
      <c r="C1150" t="str">
        <f t="shared" si="482"/>
        <v>0000809803</v>
      </c>
      <c r="D1150" t="str">
        <f t="shared" si="460"/>
        <v>73185</v>
      </c>
      <c r="E1150" t="str">
        <f t="shared" si="461"/>
        <v>KFH-OPERATIONS DEPARTMENT</v>
      </c>
      <c r="F1150" t="str">
        <f t="shared" si="462"/>
        <v>IBG</v>
      </c>
      <c r="G1150" t="str">
        <f t="shared" si="473"/>
        <v>Refund COSHARE 10</v>
      </c>
      <c r="H1150" s="2">
        <v>314.45</v>
      </c>
      <c r="I1150" t="str">
        <f>"ZAMRI BIN SHAMSUDDIN"</f>
        <v>ZAMRI BIN SHAMSUDDIN</v>
      </c>
      <c r="J1150" t="str">
        <f t="shared" si="474"/>
        <v>MAYBANK / MAYBANK ISLAMIC</v>
      </c>
      <c r="K1150" t="str">
        <f>"108010356655"</f>
        <v>108010356655</v>
      </c>
      <c r="L1150" t="str">
        <f t="shared" si="483"/>
        <v>04-08-2020</v>
      </c>
      <c r="M1150" t="str">
        <f t="shared" si="483"/>
        <v>04-08-2020</v>
      </c>
      <c r="N1150" t="str">
        <f t="shared" si="463"/>
        <v>001105018356</v>
      </c>
      <c r="O1150" t="str">
        <f t="shared" si="464"/>
        <v>MYR</v>
      </c>
      <c r="P1150" t="str">
        <f t="shared" si="484"/>
        <v>NIL</v>
      </c>
      <c r="Q1150" t="str">
        <f t="shared" si="484"/>
        <v>NIL</v>
      </c>
      <c r="R1150" t="str">
        <f t="shared" si="465"/>
        <v>Accepted</v>
      </c>
      <c r="S1150" t="str">
        <f t="shared" si="466"/>
        <v>Approved</v>
      </c>
      <c r="T1150" t="str">
        <f t="shared" si="467"/>
        <v>10.20.8.188</v>
      </c>
      <c r="U1150" t="str">
        <f t="shared" si="468"/>
        <v>AZRAD UMAR BIN SHAARI</v>
      </c>
      <c r="V1150" t="str">
        <f t="shared" si="469"/>
        <v>FARHANA BINTI MUSTAPA</v>
      </c>
      <c r="W1150" t="str">
        <f t="shared" si="470"/>
        <v>04-08-2020</v>
      </c>
      <c r="X1150" t="str">
        <f t="shared" si="471"/>
        <v>RAZIMAH ANSAR AHMAD</v>
      </c>
      <c r="Y1150" t="str">
        <f t="shared" si="472"/>
        <v>04-08-2020</v>
      </c>
      <c r="Z1150" t="str">
        <f>"COS10200804 8004"</f>
        <v>COS10200804 8004</v>
      </c>
    </row>
    <row r="1151" spans="1:26" x14ac:dyDescent="0.25">
      <c r="A1151" t="str">
        <f t="shared" si="481"/>
        <v>04-08-2020 01:09:43</v>
      </c>
      <c r="B1151" t="str">
        <f>"0000809806"</f>
        <v>0000809806</v>
      </c>
      <c r="C1151" t="str">
        <f t="shared" si="482"/>
        <v>0000809803</v>
      </c>
      <c r="D1151" t="str">
        <f t="shared" si="460"/>
        <v>73185</v>
      </c>
      <c r="E1151" t="str">
        <f t="shared" si="461"/>
        <v>KFH-OPERATIONS DEPARTMENT</v>
      </c>
      <c r="F1151" t="str">
        <f t="shared" si="462"/>
        <v>IBG</v>
      </c>
      <c r="G1151" t="str">
        <f t="shared" si="473"/>
        <v>Refund COSHARE 10</v>
      </c>
      <c r="H1151" s="2">
        <v>275</v>
      </c>
      <c r="I1151" t="str">
        <f>"ZAMRI BIN LATIB"</f>
        <v>ZAMRI BIN LATIB</v>
      </c>
      <c r="J1151" t="str">
        <f t="shared" si="474"/>
        <v>MAYBANK / MAYBANK ISLAMIC</v>
      </c>
      <c r="K1151" t="str">
        <f>"102054486497"</f>
        <v>102054486497</v>
      </c>
      <c r="L1151" t="str">
        <f t="shared" si="483"/>
        <v>04-08-2020</v>
      </c>
      <c r="M1151" t="str">
        <f t="shared" si="483"/>
        <v>04-08-2020</v>
      </c>
      <c r="N1151" t="str">
        <f t="shared" si="463"/>
        <v>001105018356</v>
      </c>
      <c r="O1151" t="str">
        <f t="shared" si="464"/>
        <v>MYR</v>
      </c>
      <c r="P1151" t="str">
        <f t="shared" si="484"/>
        <v>NIL</v>
      </c>
      <c r="Q1151" t="str">
        <f t="shared" si="484"/>
        <v>NIL</v>
      </c>
      <c r="R1151" t="str">
        <f t="shared" si="465"/>
        <v>Accepted</v>
      </c>
      <c r="S1151" t="str">
        <f t="shared" si="466"/>
        <v>Approved</v>
      </c>
      <c r="T1151" t="str">
        <f t="shared" si="467"/>
        <v>10.20.8.188</v>
      </c>
      <c r="U1151" t="str">
        <f t="shared" si="468"/>
        <v>AZRAD UMAR BIN SHAARI</v>
      </c>
      <c r="V1151" t="str">
        <f t="shared" si="469"/>
        <v>FARHANA BINTI MUSTAPA</v>
      </c>
      <c r="W1151" t="str">
        <f t="shared" si="470"/>
        <v>04-08-2020</v>
      </c>
      <c r="X1151" t="str">
        <f t="shared" si="471"/>
        <v>RAZIMAH ANSAR AHMAD</v>
      </c>
      <c r="Y1151" t="str">
        <f t="shared" si="472"/>
        <v>04-08-2020</v>
      </c>
      <c r="Z1151" t="str">
        <f>"COS10200804 8003"</f>
        <v>COS10200804 8003</v>
      </c>
    </row>
    <row r="1152" spans="1:26" x14ac:dyDescent="0.25">
      <c r="A1152" t="str">
        <f t="shared" si="481"/>
        <v>04-08-2020 01:09:43</v>
      </c>
      <c r="B1152" t="str">
        <f>"0000809805"</f>
        <v>0000809805</v>
      </c>
      <c r="C1152" t="str">
        <f t="shared" si="482"/>
        <v>0000809803</v>
      </c>
      <c r="D1152" t="str">
        <f t="shared" si="460"/>
        <v>73185</v>
      </c>
      <c r="E1152" t="str">
        <f t="shared" si="461"/>
        <v>KFH-OPERATIONS DEPARTMENT</v>
      </c>
      <c r="F1152" t="str">
        <f t="shared" si="462"/>
        <v>IBG</v>
      </c>
      <c r="G1152" t="str">
        <f t="shared" si="473"/>
        <v>Refund COSHARE 10</v>
      </c>
      <c r="H1152" s="2">
        <v>420</v>
      </c>
      <c r="I1152" t="str">
        <f>"ZAMRI BIN AHMAD"</f>
        <v>ZAMRI BIN AHMAD</v>
      </c>
      <c r="J1152" t="str">
        <f t="shared" si="474"/>
        <v>MAYBANK / MAYBANK ISLAMIC</v>
      </c>
      <c r="K1152" t="str">
        <f>"151061259140"</f>
        <v>151061259140</v>
      </c>
      <c r="L1152" t="str">
        <f t="shared" si="483"/>
        <v>04-08-2020</v>
      </c>
      <c r="M1152" t="str">
        <f t="shared" si="483"/>
        <v>04-08-2020</v>
      </c>
      <c r="N1152" t="str">
        <f t="shared" si="463"/>
        <v>001105018356</v>
      </c>
      <c r="O1152" t="str">
        <f t="shared" si="464"/>
        <v>MYR</v>
      </c>
      <c r="P1152" t="str">
        <f t="shared" si="484"/>
        <v>NIL</v>
      </c>
      <c r="Q1152" t="str">
        <f t="shared" si="484"/>
        <v>NIL</v>
      </c>
      <c r="R1152" t="str">
        <f t="shared" si="465"/>
        <v>Accepted</v>
      </c>
      <c r="S1152" t="str">
        <f t="shared" si="466"/>
        <v>Approved</v>
      </c>
      <c r="T1152" t="str">
        <f t="shared" si="467"/>
        <v>10.20.8.188</v>
      </c>
      <c r="U1152" t="str">
        <f t="shared" si="468"/>
        <v>AZRAD UMAR BIN SHAARI</v>
      </c>
      <c r="V1152" t="str">
        <f t="shared" si="469"/>
        <v>FARHANA BINTI MUSTAPA</v>
      </c>
      <c r="W1152" t="str">
        <f t="shared" si="470"/>
        <v>04-08-2020</v>
      </c>
      <c r="X1152" t="str">
        <f t="shared" si="471"/>
        <v>RAZIMAH ANSAR AHMAD</v>
      </c>
      <c r="Y1152" t="str">
        <f t="shared" si="472"/>
        <v>04-08-2020</v>
      </c>
      <c r="Z1152" t="str">
        <f>"COS10200804 8002"</f>
        <v>COS10200804 8002</v>
      </c>
    </row>
    <row r="1153" spans="1:26" x14ac:dyDescent="0.25">
      <c r="A1153" t="str">
        <f t="shared" si="481"/>
        <v>04-08-2020 01:09:43</v>
      </c>
      <c r="B1153" t="str">
        <f>"0000809804"</f>
        <v>0000809804</v>
      </c>
      <c r="C1153" t="str">
        <f t="shared" si="482"/>
        <v>0000809803</v>
      </c>
      <c r="D1153" t="str">
        <f t="shared" si="460"/>
        <v>73185</v>
      </c>
      <c r="E1153" t="str">
        <f t="shared" si="461"/>
        <v>KFH-OPERATIONS DEPARTMENT</v>
      </c>
      <c r="F1153" t="str">
        <f t="shared" si="462"/>
        <v>IBG</v>
      </c>
      <c r="G1153" t="str">
        <f t="shared" si="473"/>
        <v>Refund COSHARE 10</v>
      </c>
      <c r="H1153" s="2">
        <v>42</v>
      </c>
      <c r="I1153" t="str">
        <f>"ZAMI BIN SALLEH"</f>
        <v>ZAMI BIN SALLEH</v>
      </c>
      <c r="J1153" t="str">
        <f t="shared" si="474"/>
        <v>MAYBANK / MAYBANK ISLAMIC</v>
      </c>
      <c r="K1153" t="str">
        <f>"164100249165"</f>
        <v>164100249165</v>
      </c>
      <c r="L1153" t="str">
        <f t="shared" si="483"/>
        <v>04-08-2020</v>
      </c>
      <c r="M1153" t="str">
        <f t="shared" si="483"/>
        <v>04-08-2020</v>
      </c>
      <c r="N1153" t="str">
        <f t="shared" si="463"/>
        <v>001105018356</v>
      </c>
      <c r="O1153" t="str">
        <f t="shared" si="464"/>
        <v>MYR</v>
      </c>
      <c r="P1153" t="str">
        <f t="shared" si="484"/>
        <v>NIL</v>
      </c>
      <c r="Q1153" t="str">
        <f t="shared" si="484"/>
        <v>NIL</v>
      </c>
      <c r="R1153" t="str">
        <f t="shared" si="465"/>
        <v>Accepted</v>
      </c>
      <c r="S1153" t="str">
        <f t="shared" si="466"/>
        <v>Approved</v>
      </c>
      <c r="T1153" t="str">
        <f t="shared" si="467"/>
        <v>10.20.8.188</v>
      </c>
      <c r="U1153" t="str">
        <f t="shared" si="468"/>
        <v>AZRAD UMAR BIN SHAARI</v>
      </c>
      <c r="V1153" t="str">
        <f t="shared" si="469"/>
        <v>FARHANA BINTI MUSTAPA</v>
      </c>
      <c r="W1153" t="str">
        <f t="shared" si="470"/>
        <v>04-08-2020</v>
      </c>
      <c r="X1153" t="str">
        <f t="shared" si="471"/>
        <v>RAZIMAH ANSAR AHMAD</v>
      </c>
      <c r="Y1153" t="str">
        <f t="shared" si="472"/>
        <v>04-08-2020</v>
      </c>
      <c r="Z1153" t="str">
        <f>"COS10200804 8001"</f>
        <v>COS10200804 8001</v>
      </c>
    </row>
    <row r="1154" spans="1:26" x14ac:dyDescent="0.25">
      <c r="A1154" t="str">
        <f t="shared" ref="A1154:A1185" si="485">"04-08-2020 01:08:42"</f>
        <v>04-08-2020 01:08:42</v>
      </c>
      <c r="B1154" t="str">
        <f>"0000809802"</f>
        <v>0000809802</v>
      </c>
      <c r="C1154" t="str">
        <f t="shared" ref="C1154:C1185" si="486">"0000809602"</f>
        <v>0000809602</v>
      </c>
      <c r="D1154" t="str">
        <f t="shared" si="460"/>
        <v>73185</v>
      </c>
      <c r="E1154" t="str">
        <f t="shared" si="461"/>
        <v>KFH-OPERATIONS DEPARTMENT</v>
      </c>
      <c r="F1154" t="str">
        <f t="shared" si="462"/>
        <v>IBG</v>
      </c>
      <c r="G1154" t="str">
        <f t="shared" si="473"/>
        <v>Refund COSHARE 10</v>
      </c>
      <c r="H1154" s="2">
        <v>209.9</v>
      </c>
      <c r="I1154" t="str">
        <f>"ZAMBOR BIN MAHFUDZ"</f>
        <v>ZAMBOR BIN MAHFUDZ</v>
      </c>
      <c r="J1154" t="str">
        <f t="shared" si="474"/>
        <v>MAYBANK / MAYBANK ISLAMIC</v>
      </c>
      <c r="K1154" t="str">
        <f>"162106005337"</f>
        <v>162106005337</v>
      </c>
      <c r="L1154" t="str">
        <f t="shared" si="483"/>
        <v>04-08-2020</v>
      </c>
      <c r="M1154" t="str">
        <f t="shared" si="483"/>
        <v>04-08-2020</v>
      </c>
      <c r="N1154" t="str">
        <f t="shared" si="463"/>
        <v>001105018356</v>
      </c>
      <c r="O1154" t="str">
        <f t="shared" si="464"/>
        <v>MYR</v>
      </c>
      <c r="P1154" t="str">
        <f t="shared" si="484"/>
        <v>NIL</v>
      </c>
      <c r="Q1154" t="str">
        <f t="shared" si="484"/>
        <v>NIL</v>
      </c>
      <c r="R1154" t="str">
        <f t="shared" si="465"/>
        <v>Accepted</v>
      </c>
      <c r="S1154" t="str">
        <f t="shared" si="466"/>
        <v>Approved</v>
      </c>
      <c r="T1154" t="str">
        <f t="shared" si="467"/>
        <v>10.20.8.188</v>
      </c>
      <c r="U1154" t="str">
        <f t="shared" si="468"/>
        <v>AZRAD UMAR BIN SHAARI</v>
      </c>
      <c r="V1154" t="str">
        <f t="shared" si="469"/>
        <v>FARHANA BINTI MUSTAPA</v>
      </c>
      <c r="W1154" t="str">
        <f t="shared" si="470"/>
        <v>04-08-2020</v>
      </c>
      <c r="X1154" t="str">
        <f t="shared" si="471"/>
        <v>RAZIMAH ANSAR AHMAD</v>
      </c>
      <c r="Y1154" t="str">
        <f t="shared" si="472"/>
        <v>04-08-2020</v>
      </c>
      <c r="Z1154" t="str">
        <f>"COS10200804 8000"</f>
        <v>COS10200804 8000</v>
      </c>
    </row>
    <row r="1155" spans="1:26" x14ac:dyDescent="0.25">
      <c r="A1155" t="str">
        <f t="shared" si="485"/>
        <v>04-08-2020 01:08:42</v>
      </c>
      <c r="B1155" t="str">
        <f>"0000809801"</f>
        <v>0000809801</v>
      </c>
      <c r="C1155" t="str">
        <f t="shared" si="486"/>
        <v>0000809602</v>
      </c>
      <c r="D1155" t="str">
        <f t="shared" si="460"/>
        <v>73185</v>
      </c>
      <c r="E1155" t="str">
        <f t="shared" si="461"/>
        <v>KFH-OPERATIONS DEPARTMENT</v>
      </c>
      <c r="F1155" t="str">
        <f t="shared" si="462"/>
        <v>IBG</v>
      </c>
      <c r="G1155" t="str">
        <f t="shared" si="473"/>
        <v>Refund COSHARE 10</v>
      </c>
      <c r="H1155" s="2">
        <v>75.599999999999994</v>
      </c>
      <c r="I1155" t="str">
        <f>"ZAMANI IZWAN BIN AB MAJID"</f>
        <v>ZAMANI IZWAN BIN AB MAJID</v>
      </c>
      <c r="J1155" t="str">
        <f t="shared" si="474"/>
        <v>MAYBANK / MAYBANK ISLAMIC</v>
      </c>
      <c r="K1155" t="str">
        <f>"105104039133"</f>
        <v>105104039133</v>
      </c>
      <c r="L1155" t="str">
        <f t="shared" si="483"/>
        <v>04-08-2020</v>
      </c>
      <c r="M1155" t="str">
        <f t="shared" si="483"/>
        <v>04-08-2020</v>
      </c>
      <c r="N1155" t="str">
        <f t="shared" si="463"/>
        <v>001105018356</v>
      </c>
      <c r="O1155" t="str">
        <f t="shared" si="464"/>
        <v>MYR</v>
      </c>
      <c r="P1155" t="str">
        <f t="shared" si="484"/>
        <v>NIL</v>
      </c>
      <c r="Q1155" t="str">
        <f t="shared" si="484"/>
        <v>NIL</v>
      </c>
      <c r="R1155" t="str">
        <f t="shared" si="465"/>
        <v>Accepted</v>
      </c>
      <c r="S1155" t="str">
        <f t="shared" si="466"/>
        <v>Approved</v>
      </c>
      <c r="T1155" t="str">
        <f t="shared" si="467"/>
        <v>10.20.8.188</v>
      </c>
      <c r="U1155" t="str">
        <f t="shared" si="468"/>
        <v>AZRAD UMAR BIN SHAARI</v>
      </c>
      <c r="V1155" t="str">
        <f t="shared" si="469"/>
        <v>FARHANA BINTI MUSTAPA</v>
      </c>
      <c r="W1155" t="str">
        <f t="shared" si="470"/>
        <v>04-08-2020</v>
      </c>
      <c r="X1155" t="str">
        <f t="shared" si="471"/>
        <v>RAZIMAH ANSAR AHMAD</v>
      </c>
      <c r="Y1155" t="str">
        <f t="shared" si="472"/>
        <v>04-08-2020</v>
      </c>
      <c r="Z1155" t="str">
        <f>"COS10200804 7999"</f>
        <v>COS10200804 7999</v>
      </c>
    </row>
    <row r="1156" spans="1:26" x14ac:dyDescent="0.25">
      <c r="A1156" t="str">
        <f t="shared" si="485"/>
        <v>04-08-2020 01:08:42</v>
      </c>
      <c r="B1156" t="str">
        <f>"0000809800"</f>
        <v>0000809800</v>
      </c>
      <c r="C1156" t="str">
        <f t="shared" si="486"/>
        <v>0000809602</v>
      </c>
      <c r="D1156" t="str">
        <f t="shared" si="460"/>
        <v>73185</v>
      </c>
      <c r="E1156" t="str">
        <f t="shared" si="461"/>
        <v>KFH-OPERATIONS DEPARTMENT</v>
      </c>
      <c r="F1156" t="str">
        <f t="shared" si="462"/>
        <v>IBG</v>
      </c>
      <c r="G1156" t="str">
        <f t="shared" si="473"/>
        <v>Refund COSHARE 10</v>
      </c>
      <c r="H1156" s="2">
        <v>1360</v>
      </c>
      <c r="I1156" t="str">
        <f>"ZAM ZALINA BINTI TUMIAN"</f>
        <v>ZAM ZALINA BINTI TUMIAN</v>
      </c>
      <c r="J1156" t="str">
        <f t="shared" si="474"/>
        <v>MAYBANK / MAYBANK ISLAMIC</v>
      </c>
      <c r="K1156" t="str">
        <f>"164100205773"</f>
        <v>164100205773</v>
      </c>
      <c r="L1156" t="str">
        <f t="shared" si="483"/>
        <v>04-08-2020</v>
      </c>
      <c r="M1156" t="str">
        <f t="shared" si="483"/>
        <v>04-08-2020</v>
      </c>
      <c r="N1156" t="str">
        <f t="shared" si="463"/>
        <v>001105018356</v>
      </c>
      <c r="O1156" t="str">
        <f t="shared" si="464"/>
        <v>MYR</v>
      </c>
      <c r="P1156" t="str">
        <f t="shared" si="484"/>
        <v>NIL</v>
      </c>
      <c r="Q1156" t="str">
        <f t="shared" si="484"/>
        <v>NIL</v>
      </c>
      <c r="R1156" t="str">
        <f t="shared" si="465"/>
        <v>Accepted</v>
      </c>
      <c r="S1156" t="str">
        <f t="shared" si="466"/>
        <v>Approved</v>
      </c>
      <c r="T1156" t="str">
        <f t="shared" si="467"/>
        <v>10.20.8.188</v>
      </c>
      <c r="U1156" t="str">
        <f t="shared" si="468"/>
        <v>AZRAD UMAR BIN SHAARI</v>
      </c>
      <c r="V1156" t="str">
        <f t="shared" si="469"/>
        <v>FARHANA BINTI MUSTAPA</v>
      </c>
      <c r="W1156" t="str">
        <f t="shared" si="470"/>
        <v>04-08-2020</v>
      </c>
      <c r="X1156" t="str">
        <f t="shared" si="471"/>
        <v>RAZIMAH ANSAR AHMAD</v>
      </c>
      <c r="Y1156" t="str">
        <f t="shared" si="472"/>
        <v>04-08-2020</v>
      </c>
      <c r="Z1156" t="str">
        <f>"COS10200804 7998"</f>
        <v>COS10200804 7998</v>
      </c>
    </row>
    <row r="1157" spans="1:26" x14ac:dyDescent="0.25">
      <c r="A1157" t="str">
        <f t="shared" si="485"/>
        <v>04-08-2020 01:08:42</v>
      </c>
      <c r="B1157" t="str">
        <f>"0000809799"</f>
        <v>0000809799</v>
      </c>
      <c r="C1157" t="str">
        <f t="shared" si="486"/>
        <v>0000809602</v>
      </c>
      <c r="D1157" t="str">
        <f t="shared" si="460"/>
        <v>73185</v>
      </c>
      <c r="E1157" t="str">
        <f t="shared" si="461"/>
        <v>KFH-OPERATIONS DEPARTMENT</v>
      </c>
      <c r="F1157" t="str">
        <f t="shared" si="462"/>
        <v>IBG</v>
      </c>
      <c r="G1157" t="str">
        <f t="shared" si="473"/>
        <v>Refund COSHARE 10</v>
      </c>
      <c r="H1157" s="2">
        <v>251.85</v>
      </c>
      <c r="I1157" t="str">
        <f>"ZALINA BINTI TUPARMAN"</f>
        <v>ZALINA BINTI TUPARMAN</v>
      </c>
      <c r="J1157" t="str">
        <f t="shared" si="474"/>
        <v>MAYBANK / MAYBANK ISLAMIC</v>
      </c>
      <c r="K1157" t="str">
        <f>"151071171903"</f>
        <v>151071171903</v>
      </c>
      <c r="L1157" t="str">
        <f t="shared" si="483"/>
        <v>04-08-2020</v>
      </c>
      <c r="M1157" t="str">
        <f t="shared" si="483"/>
        <v>04-08-2020</v>
      </c>
      <c r="N1157" t="str">
        <f t="shared" si="463"/>
        <v>001105018356</v>
      </c>
      <c r="O1157" t="str">
        <f t="shared" si="464"/>
        <v>MYR</v>
      </c>
      <c r="P1157" t="str">
        <f t="shared" si="484"/>
        <v>NIL</v>
      </c>
      <c r="Q1157" t="str">
        <f t="shared" si="484"/>
        <v>NIL</v>
      </c>
      <c r="R1157" t="str">
        <f t="shared" si="465"/>
        <v>Accepted</v>
      </c>
      <c r="S1157" t="str">
        <f t="shared" si="466"/>
        <v>Approved</v>
      </c>
      <c r="T1157" t="str">
        <f t="shared" si="467"/>
        <v>10.20.8.188</v>
      </c>
      <c r="U1157" t="str">
        <f t="shared" si="468"/>
        <v>AZRAD UMAR BIN SHAARI</v>
      </c>
      <c r="V1157" t="str">
        <f t="shared" si="469"/>
        <v>FARHANA BINTI MUSTAPA</v>
      </c>
      <c r="W1157" t="str">
        <f t="shared" si="470"/>
        <v>04-08-2020</v>
      </c>
      <c r="X1157" t="str">
        <f t="shared" si="471"/>
        <v>RAZIMAH ANSAR AHMAD</v>
      </c>
      <c r="Y1157" t="str">
        <f t="shared" si="472"/>
        <v>04-08-2020</v>
      </c>
      <c r="Z1157" t="str">
        <f>"COS10200804 7997"</f>
        <v>COS10200804 7997</v>
      </c>
    </row>
    <row r="1158" spans="1:26" x14ac:dyDescent="0.25">
      <c r="A1158" t="str">
        <f t="shared" si="485"/>
        <v>04-08-2020 01:08:42</v>
      </c>
      <c r="B1158" t="str">
        <f>"0000809798"</f>
        <v>0000809798</v>
      </c>
      <c r="C1158" t="str">
        <f t="shared" si="486"/>
        <v>0000809602</v>
      </c>
      <c r="D1158" t="str">
        <f t="shared" si="460"/>
        <v>73185</v>
      </c>
      <c r="E1158" t="str">
        <f t="shared" si="461"/>
        <v>KFH-OPERATIONS DEPARTMENT</v>
      </c>
      <c r="F1158" t="str">
        <f t="shared" si="462"/>
        <v>IBG</v>
      </c>
      <c r="G1158" t="str">
        <f t="shared" si="473"/>
        <v>Refund COSHARE 10</v>
      </c>
      <c r="H1158" s="2">
        <v>310.45</v>
      </c>
      <c r="I1158" t="str">
        <f>"ZALINA BINTI KASIM"</f>
        <v>ZALINA BINTI KASIM</v>
      </c>
      <c r="J1158" t="str">
        <f t="shared" si="474"/>
        <v>MAYBANK / MAYBANK ISLAMIC</v>
      </c>
      <c r="K1158" t="str">
        <f>"164155470393"</f>
        <v>164155470393</v>
      </c>
      <c r="L1158" t="str">
        <f t="shared" si="483"/>
        <v>04-08-2020</v>
      </c>
      <c r="M1158" t="str">
        <f t="shared" si="483"/>
        <v>04-08-2020</v>
      </c>
      <c r="N1158" t="str">
        <f t="shared" si="463"/>
        <v>001105018356</v>
      </c>
      <c r="O1158" t="str">
        <f t="shared" si="464"/>
        <v>MYR</v>
      </c>
      <c r="P1158" t="str">
        <f t="shared" si="484"/>
        <v>NIL</v>
      </c>
      <c r="Q1158" t="str">
        <f t="shared" si="484"/>
        <v>NIL</v>
      </c>
      <c r="R1158" t="str">
        <f t="shared" si="465"/>
        <v>Accepted</v>
      </c>
      <c r="S1158" t="str">
        <f t="shared" si="466"/>
        <v>Approved</v>
      </c>
      <c r="T1158" t="str">
        <f t="shared" si="467"/>
        <v>10.20.8.188</v>
      </c>
      <c r="U1158" t="str">
        <f t="shared" si="468"/>
        <v>AZRAD UMAR BIN SHAARI</v>
      </c>
      <c r="V1158" t="str">
        <f t="shared" si="469"/>
        <v>FARHANA BINTI MUSTAPA</v>
      </c>
      <c r="W1158" t="str">
        <f t="shared" si="470"/>
        <v>04-08-2020</v>
      </c>
      <c r="X1158" t="str">
        <f t="shared" si="471"/>
        <v>RAZIMAH ANSAR AHMAD</v>
      </c>
      <c r="Y1158" t="str">
        <f t="shared" si="472"/>
        <v>04-08-2020</v>
      </c>
      <c r="Z1158" t="str">
        <f>"COS10200804 7996"</f>
        <v>COS10200804 7996</v>
      </c>
    </row>
    <row r="1159" spans="1:26" x14ac:dyDescent="0.25">
      <c r="A1159" t="str">
        <f t="shared" si="485"/>
        <v>04-08-2020 01:08:42</v>
      </c>
      <c r="B1159" t="str">
        <f>"0000809797"</f>
        <v>0000809797</v>
      </c>
      <c r="C1159" t="str">
        <f t="shared" si="486"/>
        <v>0000809602</v>
      </c>
      <c r="D1159" t="str">
        <f t="shared" ref="D1159:D1222" si="487">"73185"</f>
        <v>73185</v>
      </c>
      <c r="E1159" t="str">
        <f t="shared" ref="E1159:E1222" si="488">"KFH-OPERATIONS DEPARTMENT"</f>
        <v>KFH-OPERATIONS DEPARTMENT</v>
      </c>
      <c r="F1159" t="str">
        <f t="shared" ref="F1159:F1222" si="489">"IBG"</f>
        <v>IBG</v>
      </c>
      <c r="G1159" t="str">
        <f t="shared" si="473"/>
        <v>Refund COSHARE 10</v>
      </c>
      <c r="H1159" s="2">
        <v>134.35</v>
      </c>
      <c r="I1159" t="str">
        <f>"ZALINA BINTI HUSSEIN"</f>
        <v>ZALINA BINTI HUSSEIN</v>
      </c>
      <c r="J1159" t="str">
        <f t="shared" si="474"/>
        <v>MAYBANK / MAYBANK ISLAMIC</v>
      </c>
      <c r="K1159" t="str">
        <f>"151052058171"</f>
        <v>151052058171</v>
      </c>
      <c r="L1159" t="str">
        <f t="shared" si="483"/>
        <v>04-08-2020</v>
      </c>
      <c r="M1159" t="str">
        <f t="shared" si="483"/>
        <v>04-08-2020</v>
      </c>
      <c r="N1159" t="str">
        <f t="shared" ref="N1159:N1222" si="490">"001105018356"</f>
        <v>001105018356</v>
      </c>
      <c r="O1159" t="str">
        <f t="shared" ref="O1159:O1222" si="491">"MYR"</f>
        <v>MYR</v>
      </c>
      <c r="P1159" t="str">
        <f t="shared" si="484"/>
        <v>NIL</v>
      </c>
      <c r="Q1159" t="str">
        <f t="shared" si="484"/>
        <v>NIL</v>
      </c>
      <c r="R1159" t="str">
        <f t="shared" ref="R1159:R1222" si="492">"Accepted"</f>
        <v>Accepted</v>
      </c>
      <c r="S1159" t="str">
        <f t="shared" ref="S1159:S1222" si="493">"Approved"</f>
        <v>Approved</v>
      </c>
      <c r="T1159" t="str">
        <f t="shared" ref="T1159:T1222" si="494">"10.20.8.188"</f>
        <v>10.20.8.188</v>
      </c>
      <c r="U1159" t="str">
        <f t="shared" ref="U1159:U1222" si="495">"AZRAD UMAR BIN SHAARI"</f>
        <v>AZRAD UMAR BIN SHAARI</v>
      </c>
      <c r="V1159" t="str">
        <f t="shared" ref="V1159:V1222" si="496">"FARHANA BINTI MUSTAPA"</f>
        <v>FARHANA BINTI MUSTAPA</v>
      </c>
      <c r="W1159" t="str">
        <f t="shared" ref="W1159:W1222" si="497">"04-08-2020"</f>
        <v>04-08-2020</v>
      </c>
      <c r="X1159" t="str">
        <f t="shared" ref="X1159:X1222" si="498">"RAZIMAH ANSAR AHMAD"</f>
        <v>RAZIMAH ANSAR AHMAD</v>
      </c>
      <c r="Y1159" t="str">
        <f t="shared" ref="Y1159:Y1222" si="499">"04-08-2020"</f>
        <v>04-08-2020</v>
      </c>
      <c r="Z1159" t="str">
        <f>"COS10200804 7995"</f>
        <v>COS10200804 7995</v>
      </c>
    </row>
    <row r="1160" spans="1:26" x14ac:dyDescent="0.25">
      <c r="A1160" t="str">
        <f t="shared" si="485"/>
        <v>04-08-2020 01:08:42</v>
      </c>
      <c r="B1160" t="str">
        <f>"0000809796"</f>
        <v>0000809796</v>
      </c>
      <c r="C1160" t="str">
        <f t="shared" si="486"/>
        <v>0000809602</v>
      </c>
      <c r="D1160" t="str">
        <f t="shared" si="487"/>
        <v>73185</v>
      </c>
      <c r="E1160" t="str">
        <f t="shared" si="488"/>
        <v>KFH-OPERATIONS DEPARTMENT</v>
      </c>
      <c r="F1160" t="str">
        <f t="shared" si="489"/>
        <v>IBG</v>
      </c>
      <c r="G1160" t="str">
        <f t="shared" si="473"/>
        <v>Refund COSHARE 10</v>
      </c>
      <c r="H1160" s="2">
        <v>1679</v>
      </c>
      <c r="I1160" t="str">
        <f>"ZALINA BINTI CHE MAT"</f>
        <v>ZALINA BINTI CHE MAT</v>
      </c>
      <c r="J1160" t="str">
        <f t="shared" si="474"/>
        <v>MAYBANK / MAYBANK ISLAMIC</v>
      </c>
      <c r="K1160" t="str">
        <f>"153038969055"</f>
        <v>153038969055</v>
      </c>
      <c r="L1160" t="str">
        <f t="shared" si="483"/>
        <v>04-08-2020</v>
      </c>
      <c r="M1160" t="str">
        <f t="shared" si="483"/>
        <v>04-08-2020</v>
      </c>
      <c r="N1160" t="str">
        <f t="shared" si="490"/>
        <v>001105018356</v>
      </c>
      <c r="O1160" t="str">
        <f t="shared" si="491"/>
        <v>MYR</v>
      </c>
      <c r="P1160" t="str">
        <f t="shared" si="484"/>
        <v>NIL</v>
      </c>
      <c r="Q1160" t="str">
        <f t="shared" si="484"/>
        <v>NIL</v>
      </c>
      <c r="R1160" t="str">
        <f t="shared" si="492"/>
        <v>Accepted</v>
      </c>
      <c r="S1160" t="str">
        <f t="shared" si="493"/>
        <v>Approved</v>
      </c>
      <c r="T1160" t="str">
        <f t="shared" si="494"/>
        <v>10.20.8.188</v>
      </c>
      <c r="U1160" t="str">
        <f t="shared" si="495"/>
        <v>AZRAD UMAR BIN SHAARI</v>
      </c>
      <c r="V1160" t="str">
        <f t="shared" si="496"/>
        <v>FARHANA BINTI MUSTAPA</v>
      </c>
      <c r="W1160" t="str">
        <f t="shared" si="497"/>
        <v>04-08-2020</v>
      </c>
      <c r="X1160" t="str">
        <f t="shared" si="498"/>
        <v>RAZIMAH ANSAR AHMAD</v>
      </c>
      <c r="Y1160" t="str">
        <f t="shared" si="499"/>
        <v>04-08-2020</v>
      </c>
      <c r="Z1160" t="str">
        <f>"COS10200804 7994"</f>
        <v>COS10200804 7994</v>
      </c>
    </row>
    <row r="1161" spans="1:26" x14ac:dyDescent="0.25">
      <c r="A1161" t="str">
        <f t="shared" si="485"/>
        <v>04-08-2020 01:08:42</v>
      </c>
      <c r="B1161" t="str">
        <f>"0000809795"</f>
        <v>0000809795</v>
      </c>
      <c r="C1161" t="str">
        <f t="shared" si="486"/>
        <v>0000809602</v>
      </c>
      <c r="D1161" t="str">
        <f t="shared" si="487"/>
        <v>73185</v>
      </c>
      <c r="E1161" t="str">
        <f t="shared" si="488"/>
        <v>KFH-OPERATIONS DEPARTMENT</v>
      </c>
      <c r="F1161" t="str">
        <f t="shared" si="489"/>
        <v>IBG</v>
      </c>
      <c r="G1161" t="str">
        <f t="shared" si="473"/>
        <v>Refund COSHARE 10</v>
      </c>
      <c r="H1161" s="2">
        <v>378.65</v>
      </c>
      <c r="I1161" t="str">
        <f>"ZALILAH BINTI AB GHAFFAR"</f>
        <v>ZALILAH BINTI AB GHAFFAR</v>
      </c>
      <c r="J1161" t="str">
        <f t="shared" si="474"/>
        <v>MAYBANK / MAYBANK ISLAMIC</v>
      </c>
      <c r="K1161" t="str">
        <f>"154101087086"</f>
        <v>154101087086</v>
      </c>
      <c r="L1161" t="str">
        <f t="shared" si="483"/>
        <v>04-08-2020</v>
      </c>
      <c r="M1161" t="str">
        <f t="shared" si="483"/>
        <v>04-08-2020</v>
      </c>
      <c r="N1161" t="str">
        <f t="shared" si="490"/>
        <v>001105018356</v>
      </c>
      <c r="O1161" t="str">
        <f t="shared" si="491"/>
        <v>MYR</v>
      </c>
      <c r="P1161" t="str">
        <f t="shared" si="484"/>
        <v>NIL</v>
      </c>
      <c r="Q1161" t="str">
        <f t="shared" si="484"/>
        <v>NIL</v>
      </c>
      <c r="R1161" t="str">
        <f t="shared" si="492"/>
        <v>Accepted</v>
      </c>
      <c r="S1161" t="str">
        <f t="shared" si="493"/>
        <v>Approved</v>
      </c>
      <c r="T1161" t="str">
        <f t="shared" si="494"/>
        <v>10.20.8.188</v>
      </c>
      <c r="U1161" t="str">
        <f t="shared" si="495"/>
        <v>AZRAD UMAR BIN SHAARI</v>
      </c>
      <c r="V1161" t="str">
        <f t="shared" si="496"/>
        <v>FARHANA BINTI MUSTAPA</v>
      </c>
      <c r="W1161" t="str">
        <f t="shared" si="497"/>
        <v>04-08-2020</v>
      </c>
      <c r="X1161" t="str">
        <f t="shared" si="498"/>
        <v>RAZIMAH ANSAR AHMAD</v>
      </c>
      <c r="Y1161" t="str">
        <f t="shared" si="499"/>
        <v>04-08-2020</v>
      </c>
      <c r="Z1161" t="str">
        <f>"COS10200804 7993"</f>
        <v>COS10200804 7993</v>
      </c>
    </row>
    <row r="1162" spans="1:26" x14ac:dyDescent="0.25">
      <c r="A1162" t="str">
        <f t="shared" si="485"/>
        <v>04-08-2020 01:08:42</v>
      </c>
      <c r="B1162" t="str">
        <f>"0000809794"</f>
        <v>0000809794</v>
      </c>
      <c r="C1162" t="str">
        <f t="shared" si="486"/>
        <v>0000809602</v>
      </c>
      <c r="D1162" t="str">
        <f t="shared" si="487"/>
        <v>73185</v>
      </c>
      <c r="E1162" t="str">
        <f t="shared" si="488"/>
        <v>KFH-OPERATIONS DEPARTMENT</v>
      </c>
      <c r="F1162" t="str">
        <f t="shared" si="489"/>
        <v>IBG</v>
      </c>
      <c r="G1162" t="str">
        <f t="shared" si="473"/>
        <v>Refund COSHARE 10</v>
      </c>
      <c r="H1162" s="2">
        <v>248.4</v>
      </c>
      <c r="I1162" t="str">
        <f>"ZALILA BINTI CHE MOOD"</f>
        <v>ZALILA BINTI CHE MOOD</v>
      </c>
      <c r="J1162" t="str">
        <f t="shared" si="474"/>
        <v>MAYBANK / MAYBANK ISLAMIC</v>
      </c>
      <c r="K1162" t="str">
        <f>"156020226381"</f>
        <v>156020226381</v>
      </c>
      <c r="L1162" t="str">
        <f t="shared" si="483"/>
        <v>04-08-2020</v>
      </c>
      <c r="M1162" t="str">
        <f t="shared" si="483"/>
        <v>04-08-2020</v>
      </c>
      <c r="N1162" t="str">
        <f t="shared" si="490"/>
        <v>001105018356</v>
      </c>
      <c r="O1162" t="str">
        <f t="shared" si="491"/>
        <v>MYR</v>
      </c>
      <c r="P1162" t="str">
        <f t="shared" si="484"/>
        <v>NIL</v>
      </c>
      <c r="Q1162" t="str">
        <f t="shared" si="484"/>
        <v>NIL</v>
      </c>
      <c r="R1162" t="str">
        <f t="shared" si="492"/>
        <v>Accepted</v>
      </c>
      <c r="S1162" t="str">
        <f t="shared" si="493"/>
        <v>Approved</v>
      </c>
      <c r="T1162" t="str">
        <f t="shared" si="494"/>
        <v>10.20.8.188</v>
      </c>
      <c r="U1162" t="str">
        <f t="shared" si="495"/>
        <v>AZRAD UMAR BIN SHAARI</v>
      </c>
      <c r="V1162" t="str">
        <f t="shared" si="496"/>
        <v>FARHANA BINTI MUSTAPA</v>
      </c>
      <c r="W1162" t="str">
        <f t="shared" si="497"/>
        <v>04-08-2020</v>
      </c>
      <c r="X1162" t="str">
        <f t="shared" si="498"/>
        <v>RAZIMAH ANSAR AHMAD</v>
      </c>
      <c r="Y1162" t="str">
        <f t="shared" si="499"/>
        <v>04-08-2020</v>
      </c>
      <c r="Z1162" t="str">
        <f>"COS10200804 7992"</f>
        <v>COS10200804 7992</v>
      </c>
    </row>
    <row r="1163" spans="1:26" x14ac:dyDescent="0.25">
      <c r="A1163" t="str">
        <f t="shared" si="485"/>
        <v>04-08-2020 01:08:42</v>
      </c>
      <c r="B1163" t="str">
        <f>"0000809793"</f>
        <v>0000809793</v>
      </c>
      <c r="C1163" t="str">
        <f t="shared" si="486"/>
        <v>0000809602</v>
      </c>
      <c r="D1163" t="str">
        <f t="shared" si="487"/>
        <v>73185</v>
      </c>
      <c r="E1163" t="str">
        <f t="shared" si="488"/>
        <v>KFH-OPERATIONS DEPARTMENT</v>
      </c>
      <c r="F1163" t="str">
        <f t="shared" si="489"/>
        <v>IBG</v>
      </c>
      <c r="G1163" t="str">
        <f t="shared" si="473"/>
        <v>Refund COSHARE 10</v>
      </c>
      <c r="H1163" s="2">
        <v>254.1</v>
      </c>
      <c r="I1163" t="str">
        <f>"ZALIAH BINTI MOHD SHARIF"</f>
        <v>ZALIAH BINTI MOHD SHARIF</v>
      </c>
      <c r="J1163" t="str">
        <f t="shared" si="474"/>
        <v>MAYBANK / MAYBANK ISLAMIC</v>
      </c>
      <c r="K1163" t="str">
        <f>"156012000978"</f>
        <v>156012000978</v>
      </c>
      <c r="L1163" t="str">
        <f t="shared" si="483"/>
        <v>04-08-2020</v>
      </c>
      <c r="M1163" t="str">
        <f t="shared" si="483"/>
        <v>04-08-2020</v>
      </c>
      <c r="N1163" t="str">
        <f t="shared" si="490"/>
        <v>001105018356</v>
      </c>
      <c r="O1163" t="str">
        <f t="shared" si="491"/>
        <v>MYR</v>
      </c>
      <c r="P1163" t="str">
        <f t="shared" si="484"/>
        <v>NIL</v>
      </c>
      <c r="Q1163" t="str">
        <f t="shared" si="484"/>
        <v>NIL</v>
      </c>
      <c r="R1163" t="str">
        <f t="shared" si="492"/>
        <v>Accepted</v>
      </c>
      <c r="S1163" t="str">
        <f t="shared" si="493"/>
        <v>Approved</v>
      </c>
      <c r="T1163" t="str">
        <f t="shared" si="494"/>
        <v>10.20.8.188</v>
      </c>
      <c r="U1163" t="str">
        <f t="shared" si="495"/>
        <v>AZRAD UMAR BIN SHAARI</v>
      </c>
      <c r="V1163" t="str">
        <f t="shared" si="496"/>
        <v>FARHANA BINTI MUSTAPA</v>
      </c>
      <c r="W1163" t="str">
        <f t="shared" si="497"/>
        <v>04-08-2020</v>
      </c>
      <c r="X1163" t="str">
        <f t="shared" si="498"/>
        <v>RAZIMAH ANSAR AHMAD</v>
      </c>
      <c r="Y1163" t="str">
        <f t="shared" si="499"/>
        <v>04-08-2020</v>
      </c>
      <c r="Z1163" t="str">
        <f>"COS10200804 7991"</f>
        <v>COS10200804 7991</v>
      </c>
    </row>
    <row r="1164" spans="1:26" x14ac:dyDescent="0.25">
      <c r="A1164" t="str">
        <f t="shared" si="485"/>
        <v>04-08-2020 01:08:42</v>
      </c>
      <c r="B1164" t="str">
        <f>"0000809792"</f>
        <v>0000809792</v>
      </c>
      <c r="C1164" t="str">
        <f t="shared" si="486"/>
        <v>0000809602</v>
      </c>
      <c r="D1164" t="str">
        <f t="shared" si="487"/>
        <v>73185</v>
      </c>
      <c r="E1164" t="str">
        <f t="shared" si="488"/>
        <v>KFH-OPERATIONS DEPARTMENT</v>
      </c>
      <c r="F1164" t="str">
        <f t="shared" si="489"/>
        <v>IBG</v>
      </c>
      <c r="G1164" t="str">
        <f t="shared" ref="G1164:G1227" si="500">"Refund COSHARE 10"</f>
        <v>Refund COSHARE 10</v>
      </c>
      <c r="H1164" s="2">
        <v>254.1</v>
      </c>
      <c r="I1164" t="str">
        <f>"ZALIAH BINTI MOHD SHARIF"</f>
        <v>ZALIAH BINTI MOHD SHARIF</v>
      </c>
      <c r="J1164" t="str">
        <f t="shared" si="474"/>
        <v>MAYBANK / MAYBANK ISLAMIC</v>
      </c>
      <c r="K1164" t="str">
        <f>"156012000978"</f>
        <v>156012000978</v>
      </c>
      <c r="L1164" t="str">
        <f t="shared" si="483"/>
        <v>04-08-2020</v>
      </c>
      <c r="M1164" t="str">
        <f t="shared" si="483"/>
        <v>04-08-2020</v>
      </c>
      <c r="N1164" t="str">
        <f t="shared" si="490"/>
        <v>001105018356</v>
      </c>
      <c r="O1164" t="str">
        <f t="shared" si="491"/>
        <v>MYR</v>
      </c>
      <c r="P1164" t="str">
        <f t="shared" si="484"/>
        <v>NIL</v>
      </c>
      <c r="Q1164" t="str">
        <f t="shared" si="484"/>
        <v>NIL</v>
      </c>
      <c r="R1164" t="str">
        <f t="shared" si="492"/>
        <v>Accepted</v>
      </c>
      <c r="S1164" t="str">
        <f t="shared" si="493"/>
        <v>Approved</v>
      </c>
      <c r="T1164" t="str">
        <f t="shared" si="494"/>
        <v>10.20.8.188</v>
      </c>
      <c r="U1164" t="str">
        <f t="shared" si="495"/>
        <v>AZRAD UMAR BIN SHAARI</v>
      </c>
      <c r="V1164" t="str">
        <f t="shared" si="496"/>
        <v>FARHANA BINTI MUSTAPA</v>
      </c>
      <c r="W1164" t="str">
        <f t="shared" si="497"/>
        <v>04-08-2020</v>
      </c>
      <c r="X1164" t="str">
        <f t="shared" si="498"/>
        <v>RAZIMAH ANSAR AHMAD</v>
      </c>
      <c r="Y1164" t="str">
        <f t="shared" si="499"/>
        <v>04-08-2020</v>
      </c>
      <c r="Z1164" t="str">
        <f>"COS10200804 7990"</f>
        <v>COS10200804 7990</v>
      </c>
    </row>
    <row r="1165" spans="1:26" x14ac:dyDescent="0.25">
      <c r="A1165" t="str">
        <f t="shared" si="485"/>
        <v>04-08-2020 01:08:42</v>
      </c>
      <c r="B1165" t="str">
        <f>"0000809791"</f>
        <v>0000809791</v>
      </c>
      <c r="C1165" t="str">
        <f t="shared" si="486"/>
        <v>0000809602</v>
      </c>
      <c r="D1165" t="str">
        <f t="shared" si="487"/>
        <v>73185</v>
      </c>
      <c r="E1165" t="str">
        <f t="shared" si="488"/>
        <v>KFH-OPERATIONS DEPARTMENT</v>
      </c>
      <c r="F1165" t="str">
        <f t="shared" si="489"/>
        <v>IBG</v>
      </c>
      <c r="G1165" t="str">
        <f t="shared" si="500"/>
        <v>Refund COSHARE 10</v>
      </c>
      <c r="H1165" s="2">
        <v>335.8</v>
      </c>
      <c r="I1165" t="str">
        <f>"ZALEHA BINTI MOHD SAUFI"</f>
        <v>ZALEHA BINTI MOHD SAUFI</v>
      </c>
      <c r="J1165" t="str">
        <f t="shared" si="474"/>
        <v>MAYBANK / MAYBANK ISLAMIC</v>
      </c>
      <c r="K1165" t="str">
        <f>"107135125011"</f>
        <v>107135125011</v>
      </c>
      <c r="L1165" t="str">
        <f t="shared" si="483"/>
        <v>04-08-2020</v>
      </c>
      <c r="M1165" t="str">
        <f t="shared" si="483"/>
        <v>04-08-2020</v>
      </c>
      <c r="N1165" t="str">
        <f t="shared" si="490"/>
        <v>001105018356</v>
      </c>
      <c r="O1165" t="str">
        <f t="shared" si="491"/>
        <v>MYR</v>
      </c>
      <c r="P1165" t="str">
        <f t="shared" si="484"/>
        <v>NIL</v>
      </c>
      <c r="Q1165" t="str">
        <f t="shared" si="484"/>
        <v>NIL</v>
      </c>
      <c r="R1165" t="str">
        <f t="shared" si="492"/>
        <v>Accepted</v>
      </c>
      <c r="S1165" t="str">
        <f t="shared" si="493"/>
        <v>Approved</v>
      </c>
      <c r="T1165" t="str">
        <f t="shared" si="494"/>
        <v>10.20.8.188</v>
      </c>
      <c r="U1165" t="str">
        <f t="shared" si="495"/>
        <v>AZRAD UMAR BIN SHAARI</v>
      </c>
      <c r="V1165" t="str">
        <f t="shared" si="496"/>
        <v>FARHANA BINTI MUSTAPA</v>
      </c>
      <c r="W1165" t="str">
        <f t="shared" si="497"/>
        <v>04-08-2020</v>
      </c>
      <c r="X1165" t="str">
        <f t="shared" si="498"/>
        <v>RAZIMAH ANSAR AHMAD</v>
      </c>
      <c r="Y1165" t="str">
        <f t="shared" si="499"/>
        <v>04-08-2020</v>
      </c>
      <c r="Z1165" t="str">
        <f>"COS10200804 7989"</f>
        <v>COS10200804 7989</v>
      </c>
    </row>
    <row r="1166" spans="1:26" x14ac:dyDescent="0.25">
      <c r="A1166" t="str">
        <f t="shared" si="485"/>
        <v>04-08-2020 01:08:42</v>
      </c>
      <c r="B1166" t="str">
        <f>"0000809790"</f>
        <v>0000809790</v>
      </c>
      <c r="C1166" t="str">
        <f t="shared" si="486"/>
        <v>0000809602</v>
      </c>
      <c r="D1166" t="str">
        <f t="shared" si="487"/>
        <v>73185</v>
      </c>
      <c r="E1166" t="str">
        <f t="shared" si="488"/>
        <v>KFH-OPERATIONS DEPARTMENT</v>
      </c>
      <c r="F1166" t="str">
        <f t="shared" si="489"/>
        <v>IBG</v>
      </c>
      <c r="G1166" t="str">
        <f t="shared" si="500"/>
        <v>Refund COSHARE 10</v>
      </c>
      <c r="H1166" s="2">
        <v>50.4</v>
      </c>
      <c r="I1166" t="str">
        <f>"ZALEHA BINTI JAMANUDIN"</f>
        <v>ZALEHA BINTI JAMANUDIN</v>
      </c>
      <c r="J1166" t="str">
        <f t="shared" si="474"/>
        <v>MAYBANK / MAYBANK ISLAMIC</v>
      </c>
      <c r="K1166" t="str">
        <f>"112277081941"</f>
        <v>112277081941</v>
      </c>
      <c r="L1166" t="str">
        <f t="shared" si="483"/>
        <v>04-08-2020</v>
      </c>
      <c r="M1166" t="str">
        <f t="shared" si="483"/>
        <v>04-08-2020</v>
      </c>
      <c r="N1166" t="str">
        <f t="shared" si="490"/>
        <v>001105018356</v>
      </c>
      <c r="O1166" t="str">
        <f t="shared" si="491"/>
        <v>MYR</v>
      </c>
      <c r="P1166" t="str">
        <f t="shared" si="484"/>
        <v>NIL</v>
      </c>
      <c r="Q1166" t="str">
        <f t="shared" si="484"/>
        <v>NIL</v>
      </c>
      <c r="R1166" t="str">
        <f t="shared" si="492"/>
        <v>Accepted</v>
      </c>
      <c r="S1166" t="str">
        <f t="shared" si="493"/>
        <v>Approved</v>
      </c>
      <c r="T1166" t="str">
        <f t="shared" si="494"/>
        <v>10.20.8.188</v>
      </c>
      <c r="U1166" t="str">
        <f t="shared" si="495"/>
        <v>AZRAD UMAR BIN SHAARI</v>
      </c>
      <c r="V1166" t="str">
        <f t="shared" si="496"/>
        <v>FARHANA BINTI MUSTAPA</v>
      </c>
      <c r="W1166" t="str">
        <f t="shared" si="497"/>
        <v>04-08-2020</v>
      </c>
      <c r="X1166" t="str">
        <f t="shared" si="498"/>
        <v>RAZIMAH ANSAR AHMAD</v>
      </c>
      <c r="Y1166" t="str">
        <f t="shared" si="499"/>
        <v>04-08-2020</v>
      </c>
      <c r="Z1166" t="str">
        <f>"COS10200804 7988"</f>
        <v>COS10200804 7988</v>
      </c>
    </row>
    <row r="1167" spans="1:26" x14ac:dyDescent="0.25">
      <c r="A1167" t="str">
        <f t="shared" si="485"/>
        <v>04-08-2020 01:08:42</v>
      </c>
      <c r="B1167" t="str">
        <f>"0000809789"</f>
        <v>0000809789</v>
      </c>
      <c r="C1167" t="str">
        <f t="shared" si="486"/>
        <v>0000809602</v>
      </c>
      <c r="D1167" t="str">
        <f t="shared" si="487"/>
        <v>73185</v>
      </c>
      <c r="E1167" t="str">
        <f t="shared" si="488"/>
        <v>KFH-OPERATIONS DEPARTMENT</v>
      </c>
      <c r="F1167" t="str">
        <f t="shared" si="489"/>
        <v>IBG</v>
      </c>
      <c r="G1167" t="str">
        <f t="shared" si="500"/>
        <v>Refund COSHARE 10</v>
      </c>
      <c r="H1167" s="2">
        <v>1518</v>
      </c>
      <c r="I1167" t="str">
        <f>"ZALEHA BINTI ISMAIL"</f>
        <v>ZALEHA BINTI ISMAIL</v>
      </c>
      <c r="J1167" t="str">
        <f t="shared" si="474"/>
        <v>MAYBANK / MAYBANK ISLAMIC</v>
      </c>
      <c r="K1167" t="str">
        <f>"164100272215"</f>
        <v>164100272215</v>
      </c>
      <c r="L1167" t="str">
        <f t="shared" ref="L1167:M1186" si="501">"04-08-2020"</f>
        <v>04-08-2020</v>
      </c>
      <c r="M1167" t="str">
        <f t="shared" si="501"/>
        <v>04-08-2020</v>
      </c>
      <c r="N1167" t="str">
        <f t="shared" si="490"/>
        <v>001105018356</v>
      </c>
      <c r="O1167" t="str">
        <f t="shared" si="491"/>
        <v>MYR</v>
      </c>
      <c r="P1167" t="str">
        <f t="shared" ref="P1167:Q1186" si="502">"NIL"</f>
        <v>NIL</v>
      </c>
      <c r="Q1167" t="str">
        <f t="shared" si="502"/>
        <v>NIL</v>
      </c>
      <c r="R1167" t="str">
        <f t="shared" si="492"/>
        <v>Accepted</v>
      </c>
      <c r="S1167" t="str">
        <f t="shared" si="493"/>
        <v>Approved</v>
      </c>
      <c r="T1167" t="str">
        <f t="shared" si="494"/>
        <v>10.20.8.188</v>
      </c>
      <c r="U1167" t="str">
        <f t="shared" si="495"/>
        <v>AZRAD UMAR BIN SHAARI</v>
      </c>
      <c r="V1167" t="str">
        <f t="shared" si="496"/>
        <v>FARHANA BINTI MUSTAPA</v>
      </c>
      <c r="W1167" t="str">
        <f t="shared" si="497"/>
        <v>04-08-2020</v>
      </c>
      <c r="X1167" t="str">
        <f t="shared" si="498"/>
        <v>RAZIMAH ANSAR AHMAD</v>
      </c>
      <c r="Y1167" t="str">
        <f t="shared" si="499"/>
        <v>04-08-2020</v>
      </c>
      <c r="Z1167" t="str">
        <f>"COS10200804 7987"</f>
        <v>COS10200804 7987</v>
      </c>
    </row>
    <row r="1168" spans="1:26" x14ac:dyDescent="0.25">
      <c r="A1168" t="str">
        <f t="shared" si="485"/>
        <v>04-08-2020 01:08:42</v>
      </c>
      <c r="B1168" t="str">
        <f>"0000809788"</f>
        <v>0000809788</v>
      </c>
      <c r="C1168" t="str">
        <f t="shared" si="486"/>
        <v>0000809602</v>
      </c>
      <c r="D1168" t="str">
        <f t="shared" si="487"/>
        <v>73185</v>
      </c>
      <c r="E1168" t="str">
        <f t="shared" si="488"/>
        <v>KFH-OPERATIONS DEPARTMENT</v>
      </c>
      <c r="F1168" t="str">
        <f t="shared" si="489"/>
        <v>IBG</v>
      </c>
      <c r="G1168" t="str">
        <f t="shared" si="500"/>
        <v>Refund COSHARE 10</v>
      </c>
      <c r="H1168" s="2">
        <v>1605.9</v>
      </c>
      <c r="I1168" t="str">
        <f>"ZALEHA BINTI ABDULLAH"</f>
        <v>ZALEHA BINTI ABDULLAH</v>
      </c>
      <c r="J1168" t="str">
        <f t="shared" si="474"/>
        <v>MAYBANK / MAYBANK ISLAMIC</v>
      </c>
      <c r="K1168" t="str">
        <f>"105037450581"</f>
        <v>105037450581</v>
      </c>
      <c r="L1168" t="str">
        <f t="shared" si="501"/>
        <v>04-08-2020</v>
      </c>
      <c r="M1168" t="str">
        <f t="shared" si="501"/>
        <v>04-08-2020</v>
      </c>
      <c r="N1168" t="str">
        <f t="shared" si="490"/>
        <v>001105018356</v>
      </c>
      <c r="O1168" t="str">
        <f t="shared" si="491"/>
        <v>MYR</v>
      </c>
      <c r="P1168" t="str">
        <f t="shared" si="502"/>
        <v>NIL</v>
      </c>
      <c r="Q1168" t="str">
        <f t="shared" si="502"/>
        <v>NIL</v>
      </c>
      <c r="R1168" t="str">
        <f t="shared" si="492"/>
        <v>Accepted</v>
      </c>
      <c r="S1168" t="str">
        <f t="shared" si="493"/>
        <v>Approved</v>
      </c>
      <c r="T1168" t="str">
        <f t="shared" si="494"/>
        <v>10.20.8.188</v>
      </c>
      <c r="U1168" t="str">
        <f t="shared" si="495"/>
        <v>AZRAD UMAR BIN SHAARI</v>
      </c>
      <c r="V1168" t="str">
        <f t="shared" si="496"/>
        <v>FARHANA BINTI MUSTAPA</v>
      </c>
      <c r="W1168" t="str">
        <f t="shared" si="497"/>
        <v>04-08-2020</v>
      </c>
      <c r="X1168" t="str">
        <f t="shared" si="498"/>
        <v>RAZIMAH ANSAR AHMAD</v>
      </c>
      <c r="Y1168" t="str">
        <f t="shared" si="499"/>
        <v>04-08-2020</v>
      </c>
      <c r="Z1168" t="str">
        <f>"COS10200804 7986"</f>
        <v>COS10200804 7986</v>
      </c>
    </row>
    <row r="1169" spans="1:26" x14ac:dyDescent="0.25">
      <c r="A1169" t="str">
        <f t="shared" si="485"/>
        <v>04-08-2020 01:08:42</v>
      </c>
      <c r="B1169" t="str">
        <f>"0000809787"</f>
        <v>0000809787</v>
      </c>
      <c r="C1169" t="str">
        <f t="shared" si="486"/>
        <v>0000809602</v>
      </c>
      <c r="D1169" t="str">
        <f t="shared" si="487"/>
        <v>73185</v>
      </c>
      <c r="E1169" t="str">
        <f t="shared" si="488"/>
        <v>KFH-OPERATIONS DEPARTMENT</v>
      </c>
      <c r="F1169" t="str">
        <f t="shared" si="489"/>
        <v>IBG</v>
      </c>
      <c r="G1169" t="str">
        <f t="shared" si="500"/>
        <v>Refund COSHARE 10</v>
      </c>
      <c r="H1169" s="2">
        <v>587.65</v>
      </c>
      <c r="I1169" t="str">
        <f>"ZALEENA BINTI ALIAS"</f>
        <v>ZALEENA BINTI ALIAS</v>
      </c>
      <c r="J1169" t="str">
        <f t="shared" ref="J1169:J1232" si="503">"MAYBANK / MAYBANK ISLAMIC"</f>
        <v>MAYBANK / MAYBANK ISLAMIC</v>
      </c>
      <c r="K1169" t="str">
        <f>"112277090516"</f>
        <v>112277090516</v>
      </c>
      <c r="L1169" t="str">
        <f t="shared" si="501"/>
        <v>04-08-2020</v>
      </c>
      <c r="M1169" t="str">
        <f t="shared" si="501"/>
        <v>04-08-2020</v>
      </c>
      <c r="N1169" t="str">
        <f t="shared" si="490"/>
        <v>001105018356</v>
      </c>
      <c r="O1169" t="str">
        <f t="shared" si="491"/>
        <v>MYR</v>
      </c>
      <c r="P1169" t="str">
        <f t="shared" si="502"/>
        <v>NIL</v>
      </c>
      <c r="Q1169" t="str">
        <f t="shared" si="502"/>
        <v>NIL</v>
      </c>
      <c r="R1169" t="str">
        <f t="shared" si="492"/>
        <v>Accepted</v>
      </c>
      <c r="S1169" t="str">
        <f t="shared" si="493"/>
        <v>Approved</v>
      </c>
      <c r="T1169" t="str">
        <f t="shared" si="494"/>
        <v>10.20.8.188</v>
      </c>
      <c r="U1169" t="str">
        <f t="shared" si="495"/>
        <v>AZRAD UMAR BIN SHAARI</v>
      </c>
      <c r="V1169" t="str">
        <f t="shared" si="496"/>
        <v>FARHANA BINTI MUSTAPA</v>
      </c>
      <c r="W1169" t="str">
        <f t="shared" si="497"/>
        <v>04-08-2020</v>
      </c>
      <c r="X1169" t="str">
        <f t="shared" si="498"/>
        <v>RAZIMAH ANSAR AHMAD</v>
      </c>
      <c r="Y1169" t="str">
        <f t="shared" si="499"/>
        <v>04-08-2020</v>
      </c>
      <c r="Z1169" t="str">
        <f>"COS10200804 7985"</f>
        <v>COS10200804 7985</v>
      </c>
    </row>
    <row r="1170" spans="1:26" x14ac:dyDescent="0.25">
      <c r="A1170" t="str">
        <f t="shared" si="485"/>
        <v>04-08-2020 01:08:42</v>
      </c>
      <c r="B1170" t="str">
        <f>"0000809786"</f>
        <v>0000809786</v>
      </c>
      <c r="C1170" t="str">
        <f t="shared" si="486"/>
        <v>0000809602</v>
      </c>
      <c r="D1170" t="str">
        <f t="shared" si="487"/>
        <v>73185</v>
      </c>
      <c r="E1170" t="str">
        <f t="shared" si="488"/>
        <v>KFH-OPERATIONS DEPARTMENT</v>
      </c>
      <c r="F1170" t="str">
        <f t="shared" si="489"/>
        <v>IBG</v>
      </c>
      <c r="G1170" t="str">
        <f t="shared" si="500"/>
        <v>Refund COSHARE 10</v>
      </c>
      <c r="H1170" s="2">
        <v>946.55</v>
      </c>
      <c r="I1170" t="str">
        <f>"ZAKRI BIN ZAKARIA"</f>
        <v>ZAKRI BIN ZAKARIA</v>
      </c>
      <c r="J1170" t="str">
        <f t="shared" si="503"/>
        <v>MAYBANK / MAYBANK ISLAMIC</v>
      </c>
      <c r="K1170" t="str">
        <f>"101105913346"</f>
        <v>101105913346</v>
      </c>
      <c r="L1170" t="str">
        <f t="shared" si="501"/>
        <v>04-08-2020</v>
      </c>
      <c r="M1170" t="str">
        <f t="shared" si="501"/>
        <v>04-08-2020</v>
      </c>
      <c r="N1170" t="str">
        <f t="shared" si="490"/>
        <v>001105018356</v>
      </c>
      <c r="O1170" t="str">
        <f t="shared" si="491"/>
        <v>MYR</v>
      </c>
      <c r="P1170" t="str">
        <f t="shared" si="502"/>
        <v>NIL</v>
      </c>
      <c r="Q1170" t="str">
        <f t="shared" si="502"/>
        <v>NIL</v>
      </c>
      <c r="R1170" t="str">
        <f t="shared" si="492"/>
        <v>Accepted</v>
      </c>
      <c r="S1170" t="str">
        <f t="shared" si="493"/>
        <v>Approved</v>
      </c>
      <c r="T1170" t="str">
        <f t="shared" si="494"/>
        <v>10.20.8.188</v>
      </c>
      <c r="U1170" t="str">
        <f t="shared" si="495"/>
        <v>AZRAD UMAR BIN SHAARI</v>
      </c>
      <c r="V1170" t="str">
        <f t="shared" si="496"/>
        <v>FARHANA BINTI MUSTAPA</v>
      </c>
      <c r="W1170" t="str">
        <f t="shared" si="497"/>
        <v>04-08-2020</v>
      </c>
      <c r="X1170" t="str">
        <f t="shared" si="498"/>
        <v>RAZIMAH ANSAR AHMAD</v>
      </c>
      <c r="Y1170" t="str">
        <f t="shared" si="499"/>
        <v>04-08-2020</v>
      </c>
      <c r="Z1170" t="str">
        <f>"COS10200804 7984"</f>
        <v>COS10200804 7984</v>
      </c>
    </row>
    <row r="1171" spans="1:26" x14ac:dyDescent="0.25">
      <c r="A1171" t="str">
        <f t="shared" si="485"/>
        <v>04-08-2020 01:08:42</v>
      </c>
      <c r="B1171" t="str">
        <f>"0000809785"</f>
        <v>0000809785</v>
      </c>
      <c r="C1171" t="str">
        <f t="shared" si="486"/>
        <v>0000809602</v>
      </c>
      <c r="D1171" t="str">
        <f t="shared" si="487"/>
        <v>73185</v>
      </c>
      <c r="E1171" t="str">
        <f t="shared" si="488"/>
        <v>KFH-OPERATIONS DEPARTMENT</v>
      </c>
      <c r="F1171" t="str">
        <f t="shared" si="489"/>
        <v>IBG</v>
      </c>
      <c r="G1171" t="str">
        <f t="shared" si="500"/>
        <v>Refund COSHARE 10</v>
      </c>
      <c r="H1171" s="2">
        <v>1578</v>
      </c>
      <c r="I1171" t="str">
        <f>"ZAKREENA BINTI ZAKARIA"</f>
        <v>ZAKREENA BINTI ZAKARIA</v>
      </c>
      <c r="J1171" t="str">
        <f t="shared" si="503"/>
        <v>MAYBANK / MAYBANK ISLAMIC</v>
      </c>
      <c r="K1171" t="str">
        <f>"164043660135"</f>
        <v>164043660135</v>
      </c>
      <c r="L1171" t="str">
        <f t="shared" si="501"/>
        <v>04-08-2020</v>
      </c>
      <c r="M1171" t="str">
        <f t="shared" si="501"/>
        <v>04-08-2020</v>
      </c>
      <c r="N1171" t="str">
        <f t="shared" si="490"/>
        <v>001105018356</v>
      </c>
      <c r="O1171" t="str">
        <f t="shared" si="491"/>
        <v>MYR</v>
      </c>
      <c r="P1171" t="str">
        <f t="shared" si="502"/>
        <v>NIL</v>
      </c>
      <c r="Q1171" t="str">
        <f t="shared" si="502"/>
        <v>NIL</v>
      </c>
      <c r="R1171" t="str">
        <f t="shared" si="492"/>
        <v>Accepted</v>
      </c>
      <c r="S1171" t="str">
        <f t="shared" si="493"/>
        <v>Approved</v>
      </c>
      <c r="T1171" t="str">
        <f t="shared" si="494"/>
        <v>10.20.8.188</v>
      </c>
      <c r="U1171" t="str">
        <f t="shared" si="495"/>
        <v>AZRAD UMAR BIN SHAARI</v>
      </c>
      <c r="V1171" t="str">
        <f t="shared" si="496"/>
        <v>FARHANA BINTI MUSTAPA</v>
      </c>
      <c r="W1171" t="str">
        <f t="shared" si="497"/>
        <v>04-08-2020</v>
      </c>
      <c r="X1171" t="str">
        <f t="shared" si="498"/>
        <v>RAZIMAH ANSAR AHMAD</v>
      </c>
      <c r="Y1171" t="str">
        <f t="shared" si="499"/>
        <v>04-08-2020</v>
      </c>
      <c r="Z1171" t="str">
        <f>"COS10200804 7983"</f>
        <v>COS10200804 7983</v>
      </c>
    </row>
    <row r="1172" spans="1:26" x14ac:dyDescent="0.25">
      <c r="A1172" t="str">
        <f t="shared" si="485"/>
        <v>04-08-2020 01:08:42</v>
      </c>
      <c r="B1172" t="str">
        <f>"0000809784"</f>
        <v>0000809784</v>
      </c>
      <c r="C1172" t="str">
        <f t="shared" si="486"/>
        <v>0000809602</v>
      </c>
      <c r="D1172" t="str">
        <f t="shared" si="487"/>
        <v>73185</v>
      </c>
      <c r="E1172" t="str">
        <f t="shared" si="488"/>
        <v>KFH-OPERATIONS DEPARTMENT</v>
      </c>
      <c r="F1172" t="str">
        <f t="shared" si="489"/>
        <v>IBG</v>
      </c>
      <c r="G1172" t="str">
        <f t="shared" si="500"/>
        <v>Refund COSHARE 10</v>
      </c>
      <c r="H1172" s="2">
        <v>152</v>
      </c>
      <c r="I1172" t="str">
        <f>"ZAKKY YAMANIE BIN JAMIAUDDIN"</f>
        <v>ZAKKY YAMANIE BIN JAMIAUDDIN</v>
      </c>
      <c r="J1172" t="str">
        <f t="shared" si="503"/>
        <v>MAYBANK / MAYBANK ISLAMIC</v>
      </c>
      <c r="K1172" t="str">
        <f>"162143030138"</f>
        <v>162143030138</v>
      </c>
      <c r="L1172" t="str">
        <f t="shared" si="501"/>
        <v>04-08-2020</v>
      </c>
      <c r="M1172" t="str">
        <f t="shared" si="501"/>
        <v>04-08-2020</v>
      </c>
      <c r="N1172" t="str">
        <f t="shared" si="490"/>
        <v>001105018356</v>
      </c>
      <c r="O1172" t="str">
        <f t="shared" si="491"/>
        <v>MYR</v>
      </c>
      <c r="P1172" t="str">
        <f t="shared" si="502"/>
        <v>NIL</v>
      </c>
      <c r="Q1172" t="str">
        <f t="shared" si="502"/>
        <v>NIL</v>
      </c>
      <c r="R1172" t="str">
        <f t="shared" si="492"/>
        <v>Accepted</v>
      </c>
      <c r="S1172" t="str">
        <f t="shared" si="493"/>
        <v>Approved</v>
      </c>
      <c r="T1172" t="str">
        <f t="shared" si="494"/>
        <v>10.20.8.188</v>
      </c>
      <c r="U1172" t="str">
        <f t="shared" si="495"/>
        <v>AZRAD UMAR BIN SHAARI</v>
      </c>
      <c r="V1172" t="str">
        <f t="shared" si="496"/>
        <v>FARHANA BINTI MUSTAPA</v>
      </c>
      <c r="W1172" t="str">
        <f t="shared" si="497"/>
        <v>04-08-2020</v>
      </c>
      <c r="X1172" t="str">
        <f t="shared" si="498"/>
        <v>RAZIMAH ANSAR AHMAD</v>
      </c>
      <c r="Y1172" t="str">
        <f t="shared" si="499"/>
        <v>04-08-2020</v>
      </c>
      <c r="Z1172" t="str">
        <f>"COS10200804 7982"</f>
        <v>COS10200804 7982</v>
      </c>
    </row>
    <row r="1173" spans="1:26" x14ac:dyDescent="0.25">
      <c r="A1173" t="str">
        <f t="shared" si="485"/>
        <v>04-08-2020 01:08:42</v>
      </c>
      <c r="B1173" t="str">
        <f>"0000809783"</f>
        <v>0000809783</v>
      </c>
      <c r="C1173" t="str">
        <f t="shared" si="486"/>
        <v>0000809602</v>
      </c>
      <c r="D1173" t="str">
        <f t="shared" si="487"/>
        <v>73185</v>
      </c>
      <c r="E1173" t="str">
        <f t="shared" si="488"/>
        <v>KFH-OPERATIONS DEPARTMENT</v>
      </c>
      <c r="F1173" t="str">
        <f t="shared" si="489"/>
        <v>IBG</v>
      </c>
      <c r="G1173" t="str">
        <f t="shared" si="500"/>
        <v>Refund COSHARE 10</v>
      </c>
      <c r="H1173" s="2">
        <v>755.55</v>
      </c>
      <c r="I1173" t="str">
        <f>"ZAKIRA BINTI RAZALI"</f>
        <v>ZAKIRA BINTI RAZALI</v>
      </c>
      <c r="J1173" t="str">
        <f t="shared" si="503"/>
        <v>MAYBANK / MAYBANK ISLAMIC</v>
      </c>
      <c r="K1173" t="str">
        <f>"152050183277"</f>
        <v>152050183277</v>
      </c>
      <c r="L1173" t="str">
        <f t="shared" si="501"/>
        <v>04-08-2020</v>
      </c>
      <c r="M1173" t="str">
        <f t="shared" si="501"/>
        <v>04-08-2020</v>
      </c>
      <c r="N1173" t="str">
        <f t="shared" si="490"/>
        <v>001105018356</v>
      </c>
      <c r="O1173" t="str">
        <f t="shared" si="491"/>
        <v>MYR</v>
      </c>
      <c r="P1173" t="str">
        <f t="shared" si="502"/>
        <v>NIL</v>
      </c>
      <c r="Q1173" t="str">
        <f t="shared" si="502"/>
        <v>NIL</v>
      </c>
      <c r="R1173" t="str">
        <f t="shared" si="492"/>
        <v>Accepted</v>
      </c>
      <c r="S1173" t="str">
        <f t="shared" si="493"/>
        <v>Approved</v>
      </c>
      <c r="T1173" t="str">
        <f t="shared" si="494"/>
        <v>10.20.8.188</v>
      </c>
      <c r="U1173" t="str">
        <f t="shared" si="495"/>
        <v>AZRAD UMAR BIN SHAARI</v>
      </c>
      <c r="V1173" t="str">
        <f t="shared" si="496"/>
        <v>FARHANA BINTI MUSTAPA</v>
      </c>
      <c r="W1173" t="str">
        <f t="shared" si="497"/>
        <v>04-08-2020</v>
      </c>
      <c r="X1173" t="str">
        <f t="shared" si="498"/>
        <v>RAZIMAH ANSAR AHMAD</v>
      </c>
      <c r="Y1173" t="str">
        <f t="shared" si="499"/>
        <v>04-08-2020</v>
      </c>
      <c r="Z1173" t="str">
        <f>"COS10200804 7981"</f>
        <v>COS10200804 7981</v>
      </c>
    </row>
    <row r="1174" spans="1:26" x14ac:dyDescent="0.25">
      <c r="A1174" t="str">
        <f t="shared" si="485"/>
        <v>04-08-2020 01:08:42</v>
      </c>
      <c r="B1174" t="str">
        <f>"0000809782"</f>
        <v>0000809782</v>
      </c>
      <c r="C1174" t="str">
        <f t="shared" si="486"/>
        <v>0000809602</v>
      </c>
      <c r="D1174" t="str">
        <f t="shared" si="487"/>
        <v>73185</v>
      </c>
      <c r="E1174" t="str">
        <f t="shared" si="488"/>
        <v>KFH-OPERATIONS DEPARTMENT</v>
      </c>
      <c r="F1174" t="str">
        <f t="shared" si="489"/>
        <v>IBG</v>
      </c>
      <c r="G1174" t="str">
        <f t="shared" si="500"/>
        <v>Refund COSHARE 10</v>
      </c>
      <c r="H1174" s="2">
        <v>481.8</v>
      </c>
      <c r="I1174" t="str">
        <f>"ZAKIAH BINTI ISHAK"</f>
        <v>ZAKIAH BINTI ISHAK</v>
      </c>
      <c r="J1174" t="str">
        <f t="shared" si="503"/>
        <v>MAYBANK / MAYBANK ISLAMIC</v>
      </c>
      <c r="K1174" t="str">
        <f>"162106384723"</f>
        <v>162106384723</v>
      </c>
      <c r="L1174" t="str">
        <f t="shared" si="501"/>
        <v>04-08-2020</v>
      </c>
      <c r="M1174" t="str">
        <f t="shared" si="501"/>
        <v>04-08-2020</v>
      </c>
      <c r="N1174" t="str">
        <f t="shared" si="490"/>
        <v>001105018356</v>
      </c>
      <c r="O1174" t="str">
        <f t="shared" si="491"/>
        <v>MYR</v>
      </c>
      <c r="P1174" t="str">
        <f t="shared" si="502"/>
        <v>NIL</v>
      </c>
      <c r="Q1174" t="str">
        <f t="shared" si="502"/>
        <v>NIL</v>
      </c>
      <c r="R1174" t="str">
        <f t="shared" si="492"/>
        <v>Accepted</v>
      </c>
      <c r="S1174" t="str">
        <f t="shared" si="493"/>
        <v>Approved</v>
      </c>
      <c r="T1174" t="str">
        <f t="shared" si="494"/>
        <v>10.20.8.188</v>
      </c>
      <c r="U1174" t="str">
        <f t="shared" si="495"/>
        <v>AZRAD UMAR BIN SHAARI</v>
      </c>
      <c r="V1174" t="str">
        <f t="shared" si="496"/>
        <v>FARHANA BINTI MUSTAPA</v>
      </c>
      <c r="W1174" t="str">
        <f t="shared" si="497"/>
        <v>04-08-2020</v>
      </c>
      <c r="X1174" t="str">
        <f t="shared" si="498"/>
        <v>RAZIMAH ANSAR AHMAD</v>
      </c>
      <c r="Y1174" t="str">
        <f t="shared" si="499"/>
        <v>04-08-2020</v>
      </c>
      <c r="Z1174" t="str">
        <f>"COS10200804 7980"</f>
        <v>COS10200804 7980</v>
      </c>
    </row>
    <row r="1175" spans="1:26" x14ac:dyDescent="0.25">
      <c r="A1175" t="str">
        <f t="shared" si="485"/>
        <v>04-08-2020 01:08:42</v>
      </c>
      <c r="B1175" t="str">
        <f>"0000809781"</f>
        <v>0000809781</v>
      </c>
      <c r="C1175" t="str">
        <f t="shared" si="486"/>
        <v>0000809602</v>
      </c>
      <c r="D1175" t="str">
        <f t="shared" si="487"/>
        <v>73185</v>
      </c>
      <c r="E1175" t="str">
        <f t="shared" si="488"/>
        <v>KFH-OPERATIONS DEPARTMENT</v>
      </c>
      <c r="F1175" t="str">
        <f t="shared" si="489"/>
        <v>IBG</v>
      </c>
      <c r="G1175" t="str">
        <f t="shared" si="500"/>
        <v>Refund COSHARE 10</v>
      </c>
      <c r="H1175" s="2">
        <v>1178.8</v>
      </c>
      <c r="I1175" t="str">
        <f>"ZAKIAH BINTI AMAN"</f>
        <v>ZAKIAH BINTI AMAN</v>
      </c>
      <c r="J1175" t="str">
        <f t="shared" si="503"/>
        <v>MAYBANK / MAYBANK ISLAMIC</v>
      </c>
      <c r="K1175" t="str">
        <f>"164016059297"</f>
        <v>164016059297</v>
      </c>
      <c r="L1175" t="str">
        <f t="shared" si="501"/>
        <v>04-08-2020</v>
      </c>
      <c r="M1175" t="str">
        <f t="shared" si="501"/>
        <v>04-08-2020</v>
      </c>
      <c r="N1175" t="str">
        <f t="shared" si="490"/>
        <v>001105018356</v>
      </c>
      <c r="O1175" t="str">
        <f t="shared" si="491"/>
        <v>MYR</v>
      </c>
      <c r="P1175" t="str">
        <f t="shared" si="502"/>
        <v>NIL</v>
      </c>
      <c r="Q1175" t="str">
        <f t="shared" si="502"/>
        <v>NIL</v>
      </c>
      <c r="R1175" t="str">
        <f t="shared" si="492"/>
        <v>Accepted</v>
      </c>
      <c r="S1175" t="str">
        <f t="shared" si="493"/>
        <v>Approved</v>
      </c>
      <c r="T1175" t="str">
        <f t="shared" si="494"/>
        <v>10.20.8.188</v>
      </c>
      <c r="U1175" t="str">
        <f t="shared" si="495"/>
        <v>AZRAD UMAR BIN SHAARI</v>
      </c>
      <c r="V1175" t="str">
        <f t="shared" si="496"/>
        <v>FARHANA BINTI MUSTAPA</v>
      </c>
      <c r="W1175" t="str">
        <f t="shared" si="497"/>
        <v>04-08-2020</v>
      </c>
      <c r="X1175" t="str">
        <f t="shared" si="498"/>
        <v>RAZIMAH ANSAR AHMAD</v>
      </c>
      <c r="Y1175" t="str">
        <f t="shared" si="499"/>
        <v>04-08-2020</v>
      </c>
      <c r="Z1175" t="str">
        <f>"COS10200804 7979"</f>
        <v>COS10200804 7979</v>
      </c>
    </row>
    <row r="1176" spans="1:26" x14ac:dyDescent="0.25">
      <c r="A1176" t="str">
        <f t="shared" si="485"/>
        <v>04-08-2020 01:08:42</v>
      </c>
      <c r="B1176" t="str">
        <f>"0000809780"</f>
        <v>0000809780</v>
      </c>
      <c r="C1176" t="str">
        <f t="shared" si="486"/>
        <v>0000809602</v>
      </c>
      <c r="D1176" t="str">
        <f t="shared" si="487"/>
        <v>73185</v>
      </c>
      <c r="E1176" t="str">
        <f t="shared" si="488"/>
        <v>KFH-OPERATIONS DEPARTMENT</v>
      </c>
      <c r="F1176" t="str">
        <f t="shared" si="489"/>
        <v>IBG</v>
      </c>
      <c r="G1176" t="str">
        <f t="shared" si="500"/>
        <v>Refund COSHARE 10</v>
      </c>
      <c r="H1176" s="2">
        <v>549</v>
      </c>
      <c r="I1176" t="str">
        <f>"ZAKARIA BIN ABDULLAH"</f>
        <v>ZAKARIA BIN ABDULLAH</v>
      </c>
      <c r="J1176" t="str">
        <f t="shared" si="503"/>
        <v>MAYBANK / MAYBANK ISLAMIC</v>
      </c>
      <c r="K1176" t="str">
        <f>"112222334407"</f>
        <v>112222334407</v>
      </c>
      <c r="L1176" t="str">
        <f t="shared" si="501"/>
        <v>04-08-2020</v>
      </c>
      <c r="M1176" t="str">
        <f t="shared" si="501"/>
        <v>04-08-2020</v>
      </c>
      <c r="N1176" t="str">
        <f t="shared" si="490"/>
        <v>001105018356</v>
      </c>
      <c r="O1176" t="str">
        <f t="shared" si="491"/>
        <v>MYR</v>
      </c>
      <c r="P1176" t="str">
        <f t="shared" si="502"/>
        <v>NIL</v>
      </c>
      <c r="Q1176" t="str">
        <f t="shared" si="502"/>
        <v>NIL</v>
      </c>
      <c r="R1176" t="str">
        <f t="shared" si="492"/>
        <v>Accepted</v>
      </c>
      <c r="S1176" t="str">
        <f t="shared" si="493"/>
        <v>Approved</v>
      </c>
      <c r="T1176" t="str">
        <f t="shared" si="494"/>
        <v>10.20.8.188</v>
      </c>
      <c r="U1176" t="str">
        <f t="shared" si="495"/>
        <v>AZRAD UMAR BIN SHAARI</v>
      </c>
      <c r="V1176" t="str">
        <f t="shared" si="496"/>
        <v>FARHANA BINTI MUSTAPA</v>
      </c>
      <c r="W1176" t="str">
        <f t="shared" si="497"/>
        <v>04-08-2020</v>
      </c>
      <c r="X1176" t="str">
        <f t="shared" si="498"/>
        <v>RAZIMAH ANSAR AHMAD</v>
      </c>
      <c r="Y1176" t="str">
        <f t="shared" si="499"/>
        <v>04-08-2020</v>
      </c>
      <c r="Z1176" t="str">
        <f>"COS10200804 7978"</f>
        <v>COS10200804 7978</v>
      </c>
    </row>
    <row r="1177" spans="1:26" x14ac:dyDescent="0.25">
      <c r="A1177" t="str">
        <f t="shared" si="485"/>
        <v>04-08-2020 01:08:42</v>
      </c>
      <c r="B1177" t="str">
        <f>"0000809779"</f>
        <v>0000809779</v>
      </c>
      <c r="C1177" t="str">
        <f t="shared" si="486"/>
        <v>0000809602</v>
      </c>
      <c r="D1177" t="str">
        <f t="shared" si="487"/>
        <v>73185</v>
      </c>
      <c r="E1177" t="str">
        <f t="shared" si="488"/>
        <v>KFH-OPERATIONS DEPARTMENT</v>
      </c>
      <c r="F1177" t="str">
        <f t="shared" si="489"/>
        <v>IBG</v>
      </c>
      <c r="G1177" t="str">
        <f t="shared" si="500"/>
        <v>Refund COSHARE 10</v>
      </c>
      <c r="H1177" s="2">
        <v>881.5</v>
      </c>
      <c r="I1177" t="str">
        <f>"ZAITULAKMAR BINTI ABDUL MANAP"</f>
        <v>ZAITULAKMAR BINTI ABDUL MANAP</v>
      </c>
      <c r="J1177" t="str">
        <f t="shared" si="503"/>
        <v>MAYBANK / MAYBANK ISLAMIC</v>
      </c>
      <c r="K1177" t="str">
        <f>"162106436699"</f>
        <v>162106436699</v>
      </c>
      <c r="L1177" t="str">
        <f t="shared" si="501"/>
        <v>04-08-2020</v>
      </c>
      <c r="M1177" t="str">
        <f t="shared" si="501"/>
        <v>04-08-2020</v>
      </c>
      <c r="N1177" t="str">
        <f t="shared" si="490"/>
        <v>001105018356</v>
      </c>
      <c r="O1177" t="str">
        <f t="shared" si="491"/>
        <v>MYR</v>
      </c>
      <c r="P1177" t="str">
        <f t="shared" si="502"/>
        <v>NIL</v>
      </c>
      <c r="Q1177" t="str">
        <f t="shared" si="502"/>
        <v>NIL</v>
      </c>
      <c r="R1177" t="str">
        <f t="shared" si="492"/>
        <v>Accepted</v>
      </c>
      <c r="S1177" t="str">
        <f t="shared" si="493"/>
        <v>Approved</v>
      </c>
      <c r="T1177" t="str">
        <f t="shared" si="494"/>
        <v>10.20.8.188</v>
      </c>
      <c r="U1177" t="str">
        <f t="shared" si="495"/>
        <v>AZRAD UMAR BIN SHAARI</v>
      </c>
      <c r="V1177" t="str">
        <f t="shared" si="496"/>
        <v>FARHANA BINTI MUSTAPA</v>
      </c>
      <c r="W1177" t="str">
        <f t="shared" si="497"/>
        <v>04-08-2020</v>
      </c>
      <c r="X1177" t="str">
        <f t="shared" si="498"/>
        <v>RAZIMAH ANSAR AHMAD</v>
      </c>
      <c r="Y1177" t="str">
        <f t="shared" si="499"/>
        <v>04-08-2020</v>
      </c>
      <c r="Z1177" t="str">
        <f>"COS10200804 7977"</f>
        <v>COS10200804 7977</v>
      </c>
    </row>
    <row r="1178" spans="1:26" x14ac:dyDescent="0.25">
      <c r="A1178" t="str">
        <f t="shared" si="485"/>
        <v>04-08-2020 01:08:42</v>
      </c>
      <c r="B1178" t="str">
        <f>"0000809778"</f>
        <v>0000809778</v>
      </c>
      <c r="C1178" t="str">
        <f t="shared" si="486"/>
        <v>0000809602</v>
      </c>
      <c r="D1178" t="str">
        <f t="shared" si="487"/>
        <v>73185</v>
      </c>
      <c r="E1178" t="str">
        <f t="shared" si="488"/>
        <v>KFH-OPERATIONS DEPARTMENT</v>
      </c>
      <c r="F1178" t="str">
        <f t="shared" si="489"/>
        <v>IBG</v>
      </c>
      <c r="G1178" t="str">
        <f t="shared" si="500"/>
        <v>Refund COSHARE 10</v>
      </c>
      <c r="H1178" s="2">
        <v>127</v>
      </c>
      <c r="I1178" t="str">
        <f>"ZAIRUL AZMAINI BINTI AHMAD ZAHARI"</f>
        <v>ZAIRUL AZMAINI BINTI AHMAD ZAHARI</v>
      </c>
      <c r="J1178" t="str">
        <f t="shared" si="503"/>
        <v>MAYBANK / MAYBANK ISLAMIC</v>
      </c>
      <c r="K1178" t="str">
        <f>"108113368410"</f>
        <v>108113368410</v>
      </c>
      <c r="L1178" t="str">
        <f t="shared" si="501"/>
        <v>04-08-2020</v>
      </c>
      <c r="M1178" t="str">
        <f t="shared" si="501"/>
        <v>04-08-2020</v>
      </c>
      <c r="N1178" t="str">
        <f t="shared" si="490"/>
        <v>001105018356</v>
      </c>
      <c r="O1178" t="str">
        <f t="shared" si="491"/>
        <v>MYR</v>
      </c>
      <c r="P1178" t="str">
        <f t="shared" si="502"/>
        <v>NIL</v>
      </c>
      <c r="Q1178" t="str">
        <f t="shared" si="502"/>
        <v>NIL</v>
      </c>
      <c r="R1178" t="str">
        <f t="shared" si="492"/>
        <v>Accepted</v>
      </c>
      <c r="S1178" t="str">
        <f t="shared" si="493"/>
        <v>Approved</v>
      </c>
      <c r="T1178" t="str">
        <f t="shared" si="494"/>
        <v>10.20.8.188</v>
      </c>
      <c r="U1178" t="str">
        <f t="shared" si="495"/>
        <v>AZRAD UMAR BIN SHAARI</v>
      </c>
      <c r="V1178" t="str">
        <f t="shared" si="496"/>
        <v>FARHANA BINTI MUSTAPA</v>
      </c>
      <c r="W1178" t="str">
        <f t="shared" si="497"/>
        <v>04-08-2020</v>
      </c>
      <c r="X1178" t="str">
        <f t="shared" si="498"/>
        <v>RAZIMAH ANSAR AHMAD</v>
      </c>
      <c r="Y1178" t="str">
        <f t="shared" si="499"/>
        <v>04-08-2020</v>
      </c>
      <c r="Z1178" t="str">
        <f>"COS10200804 7976"</f>
        <v>COS10200804 7976</v>
      </c>
    </row>
    <row r="1179" spans="1:26" x14ac:dyDescent="0.25">
      <c r="A1179" t="str">
        <f t="shared" si="485"/>
        <v>04-08-2020 01:08:42</v>
      </c>
      <c r="B1179" t="str">
        <f>"0000809777"</f>
        <v>0000809777</v>
      </c>
      <c r="C1179" t="str">
        <f t="shared" si="486"/>
        <v>0000809602</v>
      </c>
      <c r="D1179" t="str">
        <f t="shared" si="487"/>
        <v>73185</v>
      </c>
      <c r="E1179" t="str">
        <f t="shared" si="488"/>
        <v>KFH-OPERATIONS DEPARTMENT</v>
      </c>
      <c r="F1179" t="str">
        <f t="shared" si="489"/>
        <v>IBG</v>
      </c>
      <c r="G1179" t="str">
        <f t="shared" si="500"/>
        <v>Refund COSHARE 10</v>
      </c>
      <c r="H1179" s="2">
        <v>474.1</v>
      </c>
      <c r="I1179" t="str">
        <f>"ZAIRUL AMIR BIN MOHD KASSIM"</f>
        <v>ZAIRUL AMIR BIN MOHD KASSIM</v>
      </c>
      <c r="J1179" t="str">
        <f t="shared" si="503"/>
        <v>MAYBANK / MAYBANK ISLAMIC</v>
      </c>
      <c r="K1179" t="str">
        <f>"108010683288"</f>
        <v>108010683288</v>
      </c>
      <c r="L1179" t="str">
        <f t="shared" si="501"/>
        <v>04-08-2020</v>
      </c>
      <c r="M1179" t="str">
        <f t="shared" si="501"/>
        <v>04-08-2020</v>
      </c>
      <c r="N1179" t="str">
        <f t="shared" si="490"/>
        <v>001105018356</v>
      </c>
      <c r="O1179" t="str">
        <f t="shared" si="491"/>
        <v>MYR</v>
      </c>
      <c r="P1179" t="str">
        <f t="shared" si="502"/>
        <v>NIL</v>
      </c>
      <c r="Q1179" t="str">
        <f t="shared" si="502"/>
        <v>NIL</v>
      </c>
      <c r="R1179" t="str">
        <f t="shared" si="492"/>
        <v>Accepted</v>
      </c>
      <c r="S1179" t="str">
        <f t="shared" si="493"/>
        <v>Approved</v>
      </c>
      <c r="T1179" t="str">
        <f t="shared" si="494"/>
        <v>10.20.8.188</v>
      </c>
      <c r="U1179" t="str">
        <f t="shared" si="495"/>
        <v>AZRAD UMAR BIN SHAARI</v>
      </c>
      <c r="V1179" t="str">
        <f t="shared" si="496"/>
        <v>FARHANA BINTI MUSTAPA</v>
      </c>
      <c r="W1179" t="str">
        <f t="shared" si="497"/>
        <v>04-08-2020</v>
      </c>
      <c r="X1179" t="str">
        <f t="shared" si="498"/>
        <v>RAZIMAH ANSAR AHMAD</v>
      </c>
      <c r="Y1179" t="str">
        <f t="shared" si="499"/>
        <v>04-08-2020</v>
      </c>
      <c r="Z1179" t="str">
        <f>"COS10200804 7975"</f>
        <v>COS10200804 7975</v>
      </c>
    </row>
    <row r="1180" spans="1:26" x14ac:dyDescent="0.25">
      <c r="A1180" t="str">
        <f t="shared" si="485"/>
        <v>04-08-2020 01:08:42</v>
      </c>
      <c r="B1180" t="str">
        <f>"0000809776"</f>
        <v>0000809776</v>
      </c>
      <c r="C1180" t="str">
        <f t="shared" si="486"/>
        <v>0000809602</v>
      </c>
      <c r="D1180" t="str">
        <f t="shared" si="487"/>
        <v>73185</v>
      </c>
      <c r="E1180" t="str">
        <f t="shared" si="488"/>
        <v>KFH-OPERATIONS DEPARTMENT</v>
      </c>
      <c r="F1180" t="str">
        <f t="shared" si="489"/>
        <v>IBG</v>
      </c>
      <c r="G1180" t="str">
        <f t="shared" si="500"/>
        <v>Refund COSHARE 10</v>
      </c>
      <c r="H1180" s="2">
        <v>1024.2</v>
      </c>
      <c r="I1180" t="str">
        <f>"ZAIRINA BINTI YUSOF"</f>
        <v>ZAIRINA BINTI YUSOF</v>
      </c>
      <c r="J1180" t="str">
        <f t="shared" si="503"/>
        <v>MAYBANK / MAYBANK ISLAMIC</v>
      </c>
      <c r="K1180" t="str">
        <f>"162263034835"</f>
        <v>162263034835</v>
      </c>
      <c r="L1180" t="str">
        <f t="shared" si="501"/>
        <v>04-08-2020</v>
      </c>
      <c r="M1180" t="str">
        <f t="shared" si="501"/>
        <v>04-08-2020</v>
      </c>
      <c r="N1180" t="str">
        <f t="shared" si="490"/>
        <v>001105018356</v>
      </c>
      <c r="O1180" t="str">
        <f t="shared" si="491"/>
        <v>MYR</v>
      </c>
      <c r="P1180" t="str">
        <f t="shared" si="502"/>
        <v>NIL</v>
      </c>
      <c r="Q1180" t="str">
        <f t="shared" si="502"/>
        <v>NIL</v>
      </c>
      <c r="R1180" t="str">
        <f t="shared" si="492"/>
        <v>Accepted</v>
      </c>
      <c r="S1180" t="str">
        <f t="shared" si="493"/>
        <v>Approved</v>
      </c>
      <c r="T1180" t="str">
        <f t="shared" si="494"/>
        <v>10.20.8.188</v>
      </c>
      <c r="U1180" t="str">
        <f t="shared" si="495"/>
        <v>AZRAD UMAR BIN SHAARI</v>
      </c>
      <c r="V1180" t="str">
        <f t="shared" si="496"/>
        <v>FARHANA BINTI MUSTAPA</v>
      </c>
      <c r="W1180" t="str">
        <f t="shared" si="497"/>
        <v>04-08-2020</v>
      </c>
      <c r="X1180" t="str">
        <f t="shared" si="498"/>
        <v>RAZIMAH ANSAR AHMAD</v>
      </c>
      <c r="Y1180" t="str">
        <f t="shared" si="499"/>
        <v>04-08-2020</v>
      </c>
      <c r="Z1180" t="str">
        <f>"COS10200804 7974"</f>
        <v>COS10200804 7974</v>
      </c>
    </row>
    <row r="1181" spans="1:26" x14ac:dyDescent="0.25">
      <c r="A1181" t="str">
        <f t="shared" si="485"/>
        <v>04-08-2020 01:08:42</v>
      </c>
      <c r="B1181" t="str">
        <f>"0000809775"</f>
        <v>0000809775</v>
      </c>
      <c r="C1181" t="str">
        <f t="shared" si="486"/>
        <v>0000809602</v>
      </c>
      <c r="D1181" t="str">
        <f t="shared" si="487"/>
        <v>73185</v>
      </c>
      <c r="E1181" t="str">
        <f t="shared" si="488"/>
        <v>KFH-OPERATIONS DEPARTMENT</v>
      </c>
      <c r="F1181" t="str">
        <f t="shared" si="489"/>
        <v>IBG</v>
      </c>
      <c r="G1181" t="str">
        <f t="shared" si="500"/>
        <v>Refund COSHARE 10</v>
      </c>
      <c r="H1181" s="2">
        <v>159.5</v>
      </c>
      <c r="I1181" t="str">
        <f>"ZAIREEN ADLINA BINTI ZAIN"</f>
        <v>ZAIREEN ADLINA BINTI ZAIN</v>
      </c>
      <c r="J1181" t="str">
        <f t="shared" si="503"/>
        <v>MAYBANK / MAYBANK ISLAMIC</v>
      </c>
      <c r="K1181" t="str">
        <f>"162188293186"</f>
        <v>162188293186</v>
      </c>
      <c r="L1181" t="str">
        <f t="shared" si="501"/>
        <v>04-08-2020</v>
      </c>
      <c r="M1181" t="str">
        <f t="shared" si="501"/>
        <v>04-08-2020</v>
      </c>
      <c r="N1181" t="str">
        <f t="shared" si="490"/>
        <v>001105018356</v>
      </c>
      <c r="O1181" t="str">
        <f t="shared" si="491"/>
        <v>MYR</v>
      </c>
      <c r="P1181" t="str">
        <f t="shared" si="502"/>
        <v>NIL</v>
      </c>
      <c r="Q1181" t="str">
        <f t="shared" si="502"/>
        <v>NIL</v>
      </c>
      <c r="R1181" t="str">
        <f t="shared" si="492"/>
        <v>Accepted</v>
      </c>
      <c r="S1181" t="str">
        <f t="shared" si="493"/>
        <v>Approved</v>
      </c>
      <c r="T1181" t="str">
        <f t="shared" si="494"/>
        <v>10.20.8.188</v>
      </c>
      <c r="U1181" t="str">
        <f t="shared" si="495"/>
        <v>AZRAD UMAR BIN SHAARI</v>
      </c>
      <c r="V1181" t="str">
        <f t="shared" si="496"/>
        <v>FARHANA BINTI MUSTAPA</v>
      </c>
      <c r="W1181" t="str">
        <f t="shared" si="497"/>
        <v>04-08-2020</v>
      </c>
      <c r="X1181" t="str">
        <f t="shared" si="498"/>
        <v>RAZIMAH ANSAR AHMAD</v>
      </c>
      <c r="Y1181" t="str">
        <f t="shared" si="499"/>
        <v>04-08-2020</v>
      </c>
      <c r="Z1181" t="str">
        <f>"COS10200804 7973"</f>
        <v>COS10200804 7973</v>
      </c>
    </row>
    <row r="1182" spans="1:26" x14ac:dyDescent="0.25">
      <c r="A1182" t="str">
        <f t="shared" si="485"/>
        <v>04-08-2020 01:08:42</v>
      </c>
      <c r="B1182" t="str">
        <f>"0000809774"</f>
        <v>0000809774</v>
      </c>
      <c r="C1182" t="str">
        <f t="shared" si="486"/>
        <v>0000809602</v>
      </c>
      <c r="D1182" t="str">
        <f t="shared" si="487"/>
        <v>73185</v>
      </c>
      <c r="E1182" t="str">
        <f t="shared" si="488"/>
        <v>KFH-OPERATIONS DEPARTMENT</v>
      </c>
      <c r="F1182" t="str">
        <f t="shared" si="489"/>
        <v>IBG</v>
      </c>
      <c r="G1182" t="str">
        <f t="shared" si="500"/>
        <v>Refund COSHARE 10</v>
      </c>
      <c r="H1182" s="2">
        <v>1518</v>
      </c>
      <c r="I1182" t="str">
        <f>"ZAIREE BIN ZAINUDIN"</f>
        <v>ZAIREE BIN ZAINUDIN</v>
      </c>
      <c r="J1182" t="str">
        <f t="shared" si="503"/>
        <v>MAYBANK / MAYBANK ISLAMIC</v>
      </c>
      <c r="K1182" t="str">
        <f>"160072330178"</f>
        <v>160072330178</v>
      </c>
      <c r="L1182" t="str">
        <f t="shared" si="501"/>
        <v>04-08-2020</v>
      </c>
      <c r="M1182" t="str">
        <f t="shared" si="501"/>
        <v>04-08-2020</v>
      </c>
      <c r="N1182" t="str">
        <f t="shared" si="490"/>
        <v>001105018356</v>
      </c>
      <c r="O1182" t="str">
        <f t="shared" si="491"/>
        <v>MYR</v>
      </c>
      <c r="P1182" t="str">
        <f t="shared" si="502"/>
        <v>NIL</v>
      </c>
      <c r="Q1182" t="str">
        <f t="shared" si="502"/>
        <v>NIL</v>
      </c>
      <c r="R1182" t="str">
        <f t="shared" si="492"/>
        <v>Accepted</v>
      </c>
      <c r="S1182" t="str">
        <f t="shared" si="493"/>
        <v>Approved</v>
      </c>
      <c r="T1182" t="str">
        <f t="shared" si="494"/>
        <v>10.20.8.188</v>
      </c>
      <c r="U1182" t="str">
        <f t="shared" si="495"/>
        <v>AZRAD UMAR BIN SHAARI</v>
      </c>
      <c r="V1182" t="str">
        <f t="shared" si="496"/>
        <v>FARHANA BINTI MUSTAPA</v>
      </c>
      <c r="W1182" t="str">
        <f t="shared" si="497"/>
        <v>04-08-2020</v>
      </c>
      <c r="X1182" t="str">
        <f t="shared" si="498"/>
        <v>RAZIMAH ANSAR AHMAD</v>
      </c>
      <c r="Y1182" t="str">
        <f t="shared" si="499"/>
        <v>04-08-2020</v>
      </c>
      <c r="Z1182" t="str">
        <f>"COS10200804 7972"</f>
        <v>COS10200804 7972</v>
      </c>
    </row>
    <row r="1183" spans="1:26" x14ac:dyDescent="0.25">
      <c r="A1183" t="str">
        <f t="shared" si="485"/>
        <v>04-08-2020 01:08:42</v>
      </c>
      <c r="B1183" t="str">
        <f>"0000809773"</f>
        <v>0000809773</v>
      </c>
      <c r="C1183" t="str">
        <f t="shared" si="486"/>
        <v>0000809602</v>
      </c>
      <c r="D1183" t="str">
        <f t="shared" si="487"/>
        <v>73185</v>
      </c>
      <c r="E1183" t="str">
        <f t="shared" si="488"/>
        <v>KFH-OPERATIONS DEPARTMENT</v>
      </c>
      <c r="F1183" t="str">
        <f t="shared" si="489"/>
        <v>IBG</v>
      </c>
      <c r="G1183" t="str">
        <f t="shared" si="500"/>
        <v>Refund COSHARE 10</v>
      </c>
      <c r="H1183" s="2">
        <v>732</v>
      </c>
      <c r="I1183" t="str">
        <f>"ZAIRE BIN ZAHARIMAN"</f>
        <v>ZAIRE BIN ZAHARIMAN</v>
      </c>
      <c r="J1183" t="str">
        <f t="shared" si="503"/>
        <v>MAYBANK / MAYBANK ISLAMIC</v>
      </c>
      <c r="K1183" t="str">
        <f>"158088140599"</f>
        <v>158088140599</v>
      </c>
      <c r="L1183" t="str">
        <f t="shared" si="501"/>
        <v>04-08-2020</v>
      </c>
      <c r="M1183" t="str">
        <f t="shared" si="501"/>
        <v>04-08-2020</v>
      </c>
      <c r="N1183" t="str">
        <f t="shared" si="490"/>
        <v>001105018356</v>
      </c>
      <c r="O1183" t="str">
        <f t="shared" si="491"/>
        <v>MYR</v>
      </c>
      <c r="P1183" t="str">
        <f t="shared" si="502"/>
        <v>NIL</v>
      </c>
      <c r="Q1183" t="str">
        <f t="shared" si="502"/>
        <v>NIL</v>
      </c>
      <c r="R1183" t="str">
        <f t="shared" si="492"/>
        <v>Accepted</v>
      </c>
      <c r="S1183" t="str">
        <f t="shared" si="493"/>
        <v>Approved</v>
      </c>
      <c r="T1183" t="str">
        <f t="shared" si="494"/>
        <v>10.20.8.188</v>
      </c>
      <c r="U1183" t="str">
        <f t="shared" si="495"/>
        <v>AZRAD UMAR BIN SHAARI</v>
      </c>
      <c r="V1183" t="str">
        <f t="shared" si="496"/>
        <v>FARHANA BINTI MUSTAPA</v>
      </c>
      <c r="W1183" t="str">
        <f t="shared" si="497"/>
        <v>04-08-2020</v>
      </c>
      <c r="X1183" t="str">
        <f t="shared" si="498"/>
        <v>RAZIMAH ANSAR AHMAD</v>
      </c>
      <c r="Y1183" t="str">
        <f t="shared" si="499"/>
        <v>04-08-2020</v>
      </c>
      <c r="Z1183" t="str">
        <f>"COS10200804 7971"</f>
        <v>COS10200804 7971</v>
      </c>
    </row>
    <row r="1184" spans="1:26" x14ac:dyDescent="0.25">
      <c r="A1184" t="str">
        <f t="shared" si="485"/>
        <v>04-08-2020 01:08:42</v>
      </c>
      <c r="B1184" t="str">
        <f>"0000809772"</f>
        <v>0000809772</v>
      </c>
      <c r="C1184" t="str">
        <f t="shared" si="486"/>
        <v>0000809602</v>
      </c>
      <c r="D1184" t="str">
        <f t="shared" si="487"/>
        <v>73185</v>
      </c>
      <c r="E1184" t="str">
        <f t="shared" si="488"/>
        <v>KFH-OPERATIONS DEPARTMENT</v>
      </c>
      <c r="F1184" t="str">
        <f t="shared" si="489"/>
        <v>IBG</v>
      </c>
      <c r="G1184" t="str">
        <f t="shared" si="500"/>
        <v>Refund COSHARE 10</v>
      </c>
      <c r="H1184" s="2">
        <v>243</v>
      </c>
      <c r="I1184" t="str">
        <f>"ZAIRATUL WAHIDA BINTI ABDUL RAHIM"</f>
        <v>ZAIRATUL WAHIDA BINTI ABDUL RAHIM</v>
      </c>
      <c r="J1184" t="str">
        <f t="shared" si="503"/>
        <v>MAYBANK / MAYBANK ISLAMIC</v>
      </c>
      <c r="K1184" t="str">
        <f>"156012259391"</f>
        <v>156012259391</v>
      </c>
      <c r="L1184" t="str">
        <f t="shared" si="501"/>
        <v>04-08-2020</v>
      </c>
      <c r="M1184" t="str">
        <f t="shared" si="501"/>
        <v>04-08-2020</v>
      </c>
      <c r="N1184" t="str">
        <f t="shared" si="490"/>
        <v>001105018356</v>
      </c>
      <c r="O1184" t="str">
        <f t="shared" si="491"/>
        <v>MYR</v>
      </c>
      <c r="P1184" t="str">
        <f t="shared" si="502"/>
        <v>NIL</v>
      </c>
      <c r="Q1184" t="str">
        <f t="shared" si="502"/>
        <v>NIL</v>
      </c>
      <c r="R1184" t="str">
        <f t="shared" si="492"/>
        <v>Accepted</v>
      </c>
      <c r="S1184" t="str">
        <f t="shared" si="493"/>
        <v>Approved</v>
      </c>
      <c r="T1184" t="str">
        <f t="shared" si="494"/>
        <v>10.20.8.188</v>
      </c>
      <c r="U1184" t="str">
        <f t="shared" si="495"/>
        <v>AZRAD UMAR BIN SHAARI</v>
      </c>
      <c r="V1184" t="str">
        <f t="shared" si="496"/>
        <v>FARHANA BINTI MUSTAPA</v>
      </c>
      <c r="W1184" t="str">
        <f t="shared" si="497"/>
        <v>04-08-2020</v>
      </c>
      <c r="X1184" t="str">
        <f t="shared" si="498"/>
        <v>RAZIMAH ANSAR AHMAD</v>
      </c>
      <c r="Y1184" t="str">
        <f t="shared" si="499"/>
        <v>04-08-2020</v>
      </c>
      <c r="Z1184" t="str">
        <f>"COS10200804 7970"</f>
        <v>COS10200804 7970</v>
      </c>
    </row>
    <row r="1185" spans="1:26" x14ac:dyDescent="0.25">
      <c r="A1185" t="str">
        <f t="shared" si="485"/>
        <v>04-08-2020 01:08:42</v>
      </c>
      <c r="B1185" t="str">
        <f>"0000809771"</f>
        <v>0000809771</v>
      </c>
      <c r="C1185" t="str">
        <f t="shared" si="486"/>
        <v>0000809602</v>
      </c>
      <c r="D1185" t="str">
        <f t="shared" si="487"/>
        <v>73185</v>
      </c>
      <c r="E1185" t="str">
        <f t="shared" si="488"/>
        <v>KFH-OPERATIONS DEPARTMENT</v>
      </c>
      <c r="F1185" t="str">
        <f t="shared" si="489"/>
        <v>IBG</v>
      </c>
      <c r="G1185" t="str">
        <f t="shared" si="500"/>
        <v>Refund COSHARE 10</v>
      </c>
      <c r="H1185" s="2">
        <v>629.65</v>
      </c>
      <c r="I1185" t="str">
        <f>"ZAINUSI BIN ABD MANAB"</f>
        <v>ZAINUSI BIN ABD MANAB</v>
      </c>
      <c r="J1185" t="str">
        <f t="shared" si="503"/>
        <v>MAYBANK / MAYBANK ISLAMIC</v>
      </c>
      <c r="K1185" t="str">
        <f>"158172794963"</f>
        <v>158172794963</v>
      </c>
      <c r="L1185" t="str">
        <f t="shared" si="501"/>
        <v>04-08-2020</v>
      </c>
      <c r="M1185" t="str">
        <f t="shared" si="501"/>
        <v>04-08-2020</v>
      </c>
      <c r="N1185" t="str">
        <f t="shared" si="490"/>
        <v>001105018356</v>
      </c>
      <c r="O1185" t="str">
        <f t="shared" si="491"/>
        <v>MYR</v>
      </c>
      <c r="P1185" t="str">
        <f t="shared" si="502"/>
        <v>NIL</v>
      </c>
      <c r="Q1185" t="str">
        <f t="shared" si="502"/>
        <v>NIL</v>
      </c>
      <c r="R1185" t="str">
        <f t="shared" si="492"/>
        <v>Accepted</v>
      </c>
      <c r="S1185" t="str">
        <f t="shared" si="493"/>
        <v>Approved</v>
      </c>
      <c r="T1185" t="str">
        <f t="shared" si="494"/>
        <v>10.20.8.188</v>
      </c>
      <c r="U1185" t="str">
        <f t="shared" si="495"/>
        <v>AZRAD UMAR BIN SHAARI</v>
      </c>
      <c r="V1185" t="str">
        <f t="shared" si="496"/>
        <v>FARHANA BINTI MUSTAPA</v>
      </c>
      <c r="W1185" t="str">
        <f t="shared" si="497"/>
        <v>04-08-2020</v>
      </c>
      <c r="X1185" t="str">
        <f t="shared" si="498"/>
        <v>RAZIMAH ANSAR AHMAD</v>
      </c>
      <c r="Y1185" t="str">
        <f t="shared" si="499"/>
        <v>04-08-2020</v>
      </c>
      <c r="Z1185" t="str">
        <f>"COS10200804 7969"</f>
        <v>COS10200804 7969</v>
      </c>
    </row>
    <row r="1186" spans="1:26" x14ac:dyDescent="0.25">
      <c r="A1186" t="str">
        <f t="shared" ref="A1186:A1217" si="504">"04-08-2020 01:08:42"</f>
        <v>04-08-2020 01:08:42</v>
      </c>
      <c r="B1186" t="str">
        <f>"0000809770"</f>
        <v>0000809770</v>
      </c>
      <c r="C1186" t="str">
        <f t="shared" ref="C1186:C1217" si="505">"0000809602"</f>
        <v>0000809602</v>
      </c>
      <c r="D1186" t="str">
        <f t="shared" si="487"/>
        <v>73185</v>
      </c>
      <c r="E1186" t="str">
        <f t="shared" si="488"/>
        <v>KFH-OPERATIONS DEPARTMENT</v>
      </c>
      <c r="F1186" t="str">
        <f t="shared" si="489"/>
        <v>IBG</v>
      </c>
      <c r="G1186" t="str">
        <f t="shared" si="500"/>
        <v>Refund COSHARE 10</v>
      </c>
      <c r="H1186" s="2">
        <v>254.1</v>
      </c>
      <c r="I1186" t="str">
        <f>"ZAINURIN BIN SAHIR"</f>
        <v>ZAINURIN BIN SAHIR</v>
      </c>
      <c r="J1186" t="str">
        <f t="shared" si="503"/>
        <v>MAYBANK / MAYBANK ISLAMIC</v>
      </c>
      <c r="K1186" t="str">
        <f>"101084116870"</f>
        <v>101084116870</v>
      </c>
      <c r="L1186" t="str">
        <f t="shared" si="501"/>
        <v>04-08-2020</v>
      </c>
      <c r="M1186" t="str">
        <f t="shared" si="501"/>
        <v>04-08-2020</v>
      </c>
      <c r="N1186" t="str">
        <f t="shared" si="490"/>
        <v>001105018356</v>
      </c>
      <c r="O1186" t="str">
        <f t="shared" si="491"/>
        <v>MYR</v>
      </c>
      <c r="P1186" t="str">
        <f t="shared" si="502"/>
        <v>NIL</v>
      </c>
      <c r="Q1186" t="str">
        <f t="shared" si="502"/>
        <v>NIL</v>
      </c>
      <c r="R1186" t="str">
        <f t="shared" si="492"/>
        <v>Accepted</v>
      </c>
      <c r="S1186" t="str">
        <f t="shared" si="493"/>
        <v>Approved</v>
      </c>
      <c r="T1186" t="str">
        <f t="shared" si="494"/>
        <v>10.20.8.188</v>
      </c>
      <c r="U1186" t="str">
        <f t="shared" si="495"/>
        <v>AZRAD UMAR BIN SHAARI</v>
      </c>
      <c r="V1186" t="str">
        <f t="shared" si="496"/>
        <v>FARHANA BINTI MUSTAPA</v>
      </c>
      <c r="W1186" t="str">
        <f t="shared" si="497"/>
        <v>04-08-2020</v>
      </c>
      <c r="X1186" t="str">
        <f t="shared" si="498"/>
        <v>RAZIMAH ANSAR AHMAD</v>
      </c>
      <c r="Y1186" t="str">
        <f t="shared" si="499"/>
        <v>04-08-2020</v>
      </c>
      <c r="Z1186" t="str">
        <f>"COS10200804 7968"</f>
        <v>COS10200804 7968</v>
      </c>
    </row>
    <row r="1187" spans="1:26" x14ac:dyDescent="0.25">
      <c r="A1187" t="str">
        <f t="shared" si="504"/>
        <v>04-08-2020 01:08:42</v>
      </c>
      <c r="B1187" t="str">
        <f>"0000809769"</f>
        <v>0000809769</v>
      </c>
      <c r="C1187" t="str">
        <f t="shared" si="505"/>
        <v>0000809602</v>
      </c>
      <c r="D1187" t="str">
        <f t="shared" si="487"/>
        <v>73185</v>
      </c>
      <c r="E1187" t="str">
        <f t="shared" si="488"/>
        <v>KFH-OPERATIONS DEPARTMENT</v>
      </c>
      <c r="F1187" t="str">
        <f t="shared" si="489"/>
        <v>IBG</v>
      </c>
      <c r="G1187" t="str">
        <f t="shared" si="500"/>
        <v>Refund COSHARE 10</v>
      </c>
      <c r="H1187" s="2">
        <v>251.85</v>
      </c>
      <c r="I1187" t="str">
        <f>"ZAINURI BIN TAMBI ALI"</f>
        <v>ZAINURI BIN TAMBI ALI</v>
      </c>
      <c r="J1187" t="str">
        <f t="shared" si="503"/>
        <v>MAYBANK / MAYBANK ISLAMIC</v>
      </c>
      <c r="K1187" t="str">
        <f>"156123501953"</f>
        <v>156123501953</v>
      </c>
      <c r="L1187" t="str">
        <f t="shared" ref="L1187:M1206" si="506">"04-08-2020"</f>
        <v>04-08-2020</v>
      </c>
      <c r="M1187" t="str">
        <f t="shared" si="506"/>
        <v>04-08-2020</v>
      </c>
      <c r="N1187" t="str">
        <f t="shared" si="490"/>
        <v>001105018356</v>
      </c>
      <c r="O1187" t="str">
        <f t="shared" si="491"/>
        <v>MYR</v>
      </c>
      <c r="P1187" t="str">
        <f t="shared" ref="P1187:Q1206" si="507">"NIL"</f>
        <v>NIL</v>
      </c>
      <c r="Q1187" t="str">
        <f t="shared" si="507"/>
        <v>NIL</v>
      </c>
      <c r="R1187" t="str">
        <f t="shared" si="492"/>
        <v>Accepted</v>
      </c>
      <c r="S1187" t="str">
        <f t="shared" si="493"/>
        <v>Approved</v>
      </c>
      <c r="T1187" t="str">
        <f t="shared" si="494"/>
        <v>10.20.8.188</v>
      </c>
      <c r="U1187" t="str">
        <f t="shared" si="495"/>
        <v>AZRAD UMAR BIN SHAARI</v>
      </c>
      <c r="V1187" t="str">
        <f t="shared" si="496"/>
        <v>FARHANA BINTI MUSTAPA</v>
      </c>
      <c r="W1187" t="str">
        <f t="shared" si="497"/>
        <v>04-08-2020</v>
      </c>
      <c r="X1187" t="str">
        <f t="shared" si="498"/>
        <v>RAZIMAH ANSAR AHMAD</v>
      </c>
      <c r="Y1187" t="str">
        <f t="shared" si="499"/>
        <v>04-08-2020</v>
      </c>
      <c r="Z1187" t="str">
        <f>"COS10200804 7967"</f>
        <v>COS10200804 7967</v>
      </c>
    </row>
    <row r="1188" spans="1:26" x14ac:dyDescent="0.25">
      <c r="A1188" t="str">
        <f t="shared" si="504"/>
        <v>04-08-2020 01:08:42</v>
      </c>
      <c r="B1188" t="str">
        <f>"0000809768"</f>
        <v>0000809768</v>
      </c>
      <c r="C1188" t="str">
        <f t="shared" si="505"/>
        <v>0000809602</v>
      </c>
      <c r="D1188" t="str">
        <f t="shared" si="487"/>
        <v>73185</v>
      </c>
      <c r="E1188" t="str">
        <f t="shared" si="488"/>
        <v>KFH-OPERATIONS DEPARTMENT</v>
      </c>
      <c r="F1188" t="str">
        <f t="shared" si="489"/>
        <v>IBG</v>
      </c>
      <c r="G1188" t="str">
        <f t="shared" si="500"/>
        <v>Refund COSHARE 10</v>
      </c>
      <c r="H1188" s="2">
        <v>344</v>
      </c>
      <c r="I1188" t="str">
        <f>"ZAINURHIZA BINTI MUHAMAD DERUS"</f>
        <v>ZAINURHIZA BINTI MUHAMAD DERUS</v>
      </c>
      <c r="J1188" t="str">
        <f t="shared" si="503"/>
        <v>MAYBANK / MAYBANK ISLAMIC</v>
      </c>
      <c r="K1188" t="str">
        <f>"162021397244"</f>
        <v>162021397244</v>
      </c>
      <c r="L1188" t="str">
        <f t="shared" si="506"/>
        <v>04-08-2020</v>
      </c>
      <c r="M1188" t="str">
        <f t="shared" si="506"/>
        <v>04-08-2020</v>
      </c>
      <c r="N1188" t="str">
        <f t="shared" si="490"/>
        <v>001105018356</v>
      </c>
      <c r="O1188" t="str">
        <f t="shared" si="491"/>
        <v>MYR</v>
      </c>
      <c r="P1188" t="str">
        <f t="shared" si="507"/>
        <v>NIL</v>
      </c>
      <c r="Q1188" t="str">
        <f t="shared" si="507"/>
        <v>NIL</v>
      </c>
      <c r="R1188" t="str">
        <f t="shared" si="492"/>
        <v>Accepted</v>
      </c>
      <c r="S1188" t="str">
        <f t="shared" si="493"/>
        <v>Approved</v>
      </c>
      <c r="T1188" t="str">
        <f t="shared" si="494"/>
        <v>10.20.8.188</v>
      </c>
      <c r="U1188" t="str">
        <f t="shared" si="495"/>
        <v>AZRAD UMAR BIN SHAARI</v>
      </c>
      <c r="V1188" t="str">
        <f t="shared" si="496"/>
        <v>FARHANA BINTI MUSTAPA</v>
      </c>
      <c r="W1188" t="str">
        <f t="shared" si="497"/>
        <v>04-08-2020</v>
      </c>
      <c r="X1188" t="str">
        <f t="shared" si="498"/>
        <v>RAZIMAH ANSAR AHMAD</v>
      </c>
      <c r="Y1188" t="str">
        <f t="shared" si="499"/>
        <v>04-08-2020</v>
      </c>
      <c r="Z1188" t="str">
        <f>"COS10200804 7966"</f>
        <v>COS10200804 7966</v>
      </c>
    </row>
    <row r="1189" spans="1:26" x14ac:dyDescent="0.25">
      <c r="A1189" t="str">
        <f t="shared" si="504"/>
        <v>04-08-2020 01:08:42</v>
      </c>
      <c r="B1189" t="str">
        <f>"0000809767"</f>
        <v>0000809767</v>
      </c>
      <c r="C1189" t="str">
        <f t="shared" si="505"/>
        <v>0000809602</v>
      </c>
      <c r="D1189" t="str">
        <f t="shared" si="487"/>
        <v>73185</v>
      </c>
      <c r="E1189" t="str">
        <f t="shared" si="488"/>
        <v>KFH-OPERATIONS DEPARTMENT</v>
      </c>
      <c r="F1189" t="str">
        <f t="shared" si="489"/>
        <v>IBG</v>
      </c>
      <c r="G1189" t="str">
        <f t="shared" si="500"/>
        <v>Refund COSHARE 10</v>
      </c>
      <c r="H1189" s="2">
        <v>1135.8499999999999</v>
      </c>
      <c r="I1189" t="str">
        <f>"ZAINULKHIR BIN MOHD DIN"</f>
        <v>ZAINULKHIR BIN MOHD DIN</v>
      </c>
      <c r="J1189" t="str">
        <f t="shared" si="503"/>
        <v>MAYBANK / MAYBANK ISLAMIC</v>
      </c>
      <c r="K1189" t="str">
        <f>"155023295202"</f>
        <v>155023295202</v>
      </c>
      <c r="L1189" t="str">
        <f t="shared" si="506"/>
        <v>04-08-2020</v>
      </c>
      <c r="M1189" t="str">
        <f t="shared" si="506"/>
        <v>04-08-2020</v>
      </c>
      <c r="N1189" t="str">
        <f t="shared" si="490"/>
        <v>001105018356</v>
      </c>
      <c r="O1189" t="str">
        <f t="shared" si="491"/>
        <v>MYR</v>
      </c>
      <c r="P1189" t="str">
        <f t="shared" si="507"/>
        <v>NIL</v>
      </c>
      <c r="Q1189" t="str">
        <f t="shared" si="507"/>
        <v>NIL</v>
      </c>
      <c r="R1189" t="str">
        <f t="shared" si="492"/>
        <v>Accepted</v>
      </c>
      <c r="S1189" t="str">
        <f t="shared" si="493"/>
        <v>Approved</v>
      </c>
      <c r="T1189" t="str">
        <f t="shared" si="494"/>
        <v>10.20.8.188</v>
      </c>
      <c r="U1189" t="str">
        <f t="shared" si="495"/>
        <v>AZRAD UMAR BIN SHAARI</v>
      </c>
      <c r="V1189" t="str">
        <f t="shared" si="496"/>
        <v>FARHANA BINTI MUSTAPA</v>
      </c>
      <c r="W1189" t="str">
        <f t="shared" si="497"/>
        <v>04-08-2020</v>
      </c>
      <c r="X1189" t="str">
        <f t="shared" si="498"/>
        <v>RAZIMAH ANSAR AHMAD</v>
      </c>
      <c r="Y1189" t="str">
        <f t="shared" si="499"/>
        <v>04-08-2020</v>
      </c>
      <c r="Z1189" t="str">
        <f>"COS10200804 7965"</f>
        <v>COS10200804 7965</v>
      </c>
    </row>
    <row r="1190" spans="1:26" x14ac:dyDescent="0.25">
      <c r="A1190" t="str">
        <f t="shared" si="504"/>
        <v>04-08-2020 01:08:42</v>
      </c>
      <c r="B1190" t="str">
        <f>"0000809766"</f>
        <v>0000809766</v>
      </c>
      <c r="C1190" t="str">
        <f t="shared" si="505"/>
        <v>0000809602</v>
      </c>
      <c r="D1190" t="str">
        <f t="shared" si="487"/>
        <v>73185</v>
      </c>
      <c r="E1190" t="str">
        <f t="shared" si="488"/>
        <v>KFH-OPERATIONS DEPARTMENT</v>
      </c>
      <c r="F1190" t="str">
        <f t="shared" si="489"/>
        <v>IBG</v>
      </c>
      <c r="G1190" t="str">
        <f t="shared" si="500"/>
        <v>Refund COSHARE 10</v>
      </c>
      <c r="H1190" s="2">
        <v>344.8</v>
      </c>
      <c r="I1190" t="str">
        <f>"ZAINUDIN BIN ABU BAKAR"</f>
        <v>ZAINUDIN BIN ABU BAKAR</v>
      </c>
      <c r="J1190" t="str">
        <f t="shared" si="503"/>
        <v>MAYBANK / MAYBANK ISLAMIC</v>
      </c>
      <c r="K1190" t="str">
        <f>"151548024396"</f>
        <v>151548024396</v>
      </c>
      <c r="L1190" t="str">
        <f t="shared" si="506"/>
        <v>04-08-2020</v>
      </c>
      <c r="M1190" t="str">
        <f t="shared" si="506"/>
        <v>04-08-2020</v>
      </c>
      <c r="N1190" t="str">
        <f t="shared" si="490"/>
        <v>001105018356</v>
      </c>
      <c r="O1190" t="str">
        <f t="shared" si="491"/>
        <v>MYR</v>
      </c>
      <c r="P1190" t="str">
        <f t="shared" si="507"/>
        <v>NIL</v>
      </c>
      <c r="Q1190" t="str">
        <f t="shared" si="507"/>
        <v>NIL</v>
      </c>
      <c r="R1190" t="str">
        <f t="shared" si="492"/>
        <v>Accepted</v>
      </c>
      <c r="S1190" t="str">
        <f t="shared" si="493"/>
        <v>Approved</v>
      </c>
      <c r="T1190" t="str">
        <f t="shared" si="494"/>
        <v>10.20.8.188</v>
      </c>
      <c r="U1190" t="str">
        <f t="shared" si="495"/>
        <v>AZRAD UMAR BIN SHAARI</v>
      </c>
      <c r="V1190" t="str">
        <f t="shared" si="496"/>
        <v>FARHANA BINTI MUSTAPA</v>
      </c>
      <c r="W1190" t="str">
        <f t="shared" si="497"/>
        <v>04-08-2020</v>
      </c>
      <c r="X1190" t="str">
        <f t="shared" si="498"/>
        <v>RAZIMAH ANSAR AHMAD</v>
      </c>
      <c r="Y1190" t="str">
        <f t="shared" si="499"/>
        <v>04-08-2020</v>
      </c>
      <c r="Z1190" t="str">
        <f>"COS10200804 7964"</f>
        <v>COS10200804 7964</v>
      </c>
    </row>
    <row r="1191" spans="1:26" x14ac:dyDescent="0.25">
      <c r="A1191" t="str">
        <f t="shared" si="504"/>
        <v>04-08-2020 01:08:42</v>
      </c>
      <c r="B1191" t="str">
        <f>"0000809765"</f>
        <v>0000809765</v>
      </c>
      <c r="C1191" t="str">
        <f t="shared" si="505"/>
        <v>0000809602</v>
      </c>
      <c r="D1191" t="str">
        <f t="shared" si="487"/>
        <v>73185</v>
      </c>
      <c r="E1191" t="str">
        <f t="shared" si="488"/>
        <v>KFH-OPERATIONS DEPARTMENT</v>
      </c>
      <c r="F1191" t="str">
        <f t="shared" si="489"/>
        <v>IBG</v>
      </c>
      <c r="G1191" t="str">
        <f t="shared" si="500"/>
        <v>Refund COSHARE 10</v>
      </c>
      <c r="H1191" s="2">
        <v>254.1</v>
      </c>
      <c r="I1191" t="str">
        <f>"ZAINUDDIN BIN IDRIS"</f>
        <v>ZAINUDDIN BIN IDRIS</v>
      </c>
      <c r="J1191" t="str">
        <f t="shared" si="503"/>
        <v>MAYBANK / MAYBANK ISLAMIC</v>
      </c>
      <c r="K1191" t="str">
        <f>"163028572487"</f>
        <v>163028572487</v>
      </c>
      <c r="L1191" t="str">
        <f t="shared" si="506"/>
        <v>04-08-2020</v>
      </c>
      <c r="M1191" t="str">
        <f t="shared" si="506"/>
        <v>04-08-2020</v>
      </c>
      <c r="N1191" t="str">
        <f t="shared" si="490"/>
        <v>001105018356</v>
      </c>
      <c r="O1191" t="str">
        <f t="shared" si="491"/>
        <v>MYR</v>
      </c>
      <c r="P1191" t="str">
        <f t="shared" si="507"/>
        <v>NIL</v>
      </c>
      <c r="Q1191" t="str">
        <f t="shared" si="507"/>
        <v>NIL</v>
      </c>
      <c r="R1191" t="str">
        <f t="shared" si="492"/>
        <v>Accepted</v>
      </c>
      <c r="S1191" t="str">
        <f t="shared" si="493"/>
        <v>Approved</v>
      </c>
      <c r="T1191" t="str">
        <f t="shared" si="494"/>
        <v>10.20.8.188</v>
      </c>
      <c r="U1191" t="str">
        <f t="shared" si="495"/>
        <v>AZRAD UMAR BIN SHAARI</v>
      </c>
      <c r="V1191" t="str">
        <f t="shared" si="496"/>
        <v>FARHANA BINTI MUSTAPA</v>
      </c>
      <c r="W1191" t="str">
        <f t="shared" si="497"/>
        <v>04-08-2020</v>
      </c>
      <c r="X1191" t="str">
        <f t="shared" si="498"/>
        <v>RAZIMAH ANSAR AHMAD</v>
      </c>
      <c r="Y1191" t="str">
        <f t="shared" si="499"/>
        <v>04-08-2020</v>
      </c>
      <c r="Z1191" t="str">
        <f>"COS10200804 7963"</f>
        <v>COS10200804 7963</v>
      </c>
    </row>
    <row r="1192" spans="1:26" x14ac:dyDescent="0.25">
      <c r="A1192" t="str">
        <f t="shared" si="504"/>
        <v>04-08-2020 01:08:42</v>
      </c>
      <c r="B1192" t="str">
        <f>"0000809764"</f>
        <v>0000809764</v>
      </c>
      <c r="C1192" t="str">
        <f t="shared" si="505"/>
        <v>0000809602</v>
      </c>
      <c r="D1192" t="str">
        <f t="shared" si="487"/>
        <v>73185</v>
      </c>
      <c r="E1192" t="str">
        <f t="shared" si="488"/>
        <v>KFH-OPERATIONS DEPARTMENT</v>
      </c>
      <c r="F1192" t="str">
        <f t="shared" si="489"/>
        <v>IBG</v>
      </c>
      <c r="G1192" t="str">
        <f t="shared" si="500"/>
        <v>Refund COSHARE 10</v>
      </c>
      <c r="H1192" s="2">
        <v>83.95</v>
      </c>
      <c r="I1192" t="str">
        <f>"ZAINUDDIN BIN ABU BAKAR"</f>
        <v>ZAINUDDIN BIN ABU BAKAR</v>
      </c>
      <c r="J1192" t="str">
        <f t="shared" si="503"/>
        <v>MAYBANK / MAYBANK ISLAMIC</v>
      </c>
      <c r="K1192" t="str">
        <f>"160036932578"</f>
        <v>160036932578</v>
      </c>
      <c r="L1192" t="str">
        <f t="shared" si="506"/>
        <v>04-08-2020</v>
      </c>
      <c r="M1192" t="str">
        <f t="shared" si="506"/>
        <v>04-08-2020</v>
      </c>
      <c r="N1192" t="str">
        <f t="shared" si="490"/>
        <v>001105018356</v>
      </c>
      <c r="O1192" t="str">
        <f t="shared" si="491"/>
        <v>MYR</v>
      </c>
      <c r="P1192" t="str">
        <f t="shared" si="507"/>
        <v>NIL</v>
      </c>
      <c r="Q1192" t="str">
        <f t="shared" si="507"/>
        <v>NIL</v>
      </c>
      <c r="R1192" t="str">
        <f t="shared" si="492"/>
        <v>Accepted</v>
      </c>
      <c r="S1192" t="str">
        <f t="shared" si="493"/>
        <v>Approved</v>
      </c>
      <c r="T1192" t="str">
        <f t="shared" si="494"/>
        <v>10.20.8.188</v>
      </c>
      <c r="U1192" t="str">
        <f t="shared" si="495"/>
        <v>AZRAD UMAR BIN SHAARI</v>
      </c>
      <c r="V1192" t="str">
        <f t="shared" si="496"/>
        <v>FARHANA BINTI MUSTAPA</v>
      </c>
      <c r="W1192" t="str">
        <f t="shared" si="497"/>
        <v>04-08-2020</v>
      </c>
      <c r="X1192" t="str">
        <f t="shared" si="498"/>
        <v>RAZIMAH ANSAR AHMAD</v>
      </c>
      <c r="Y1192" t="str">
        <f t="shared" si="499"/>
        <v>04-08-2020</v>
      </c>
      <c r="Z1192" t="str">
        <f>"COS10200804 7962"</f>
        <v>COS10200804 7962</v>
      </c>
    </row>
    <row r="1193" spans="1:26" x14ac:dyDescent="0.25">
      <c r="A1193" t="str">
        <f t="shared" si="504"/>
        <v>04-08-2020 01:08:42</v>
      </c>
      <c r="B1193" t="str">
        <f>"0000809763"</f>
        <v>0000809763</v>
      </c>
      <c r="C1193" t="str">
        <f t="shared" si="505"/>
        <v>0000809602</v>
      </c>
      <c r="D1193" t="str">
        <f t="shared" si="487"/>
        <v>73185</v>
      </c>
      <c r="E1193" t="str">
        <f t="shared" si="488"/>
        <v>KFH-OPERATIONS DEPARTMENT</v>
      </c>
      <c r="F1193" t="str">
        <f t="shared" si="489"/>
        <v>IBG</v>
      </c>
      <c r="G1193" t="str">
        <f t="shared" si="500"/>
        <v>Refund COSHARE 10</v>
      </c>
      <c r="H1193" s="2">
        <v>159</v>
      </c>
      <c r="I1193" t="str">
        <f>"ZAINOR AZMAN BIN ZULKIFLI"</f>
        <v>ZAINOR AZMAN BIN ZULKIFLI</v>
      </c>
      <c r="J1193" t="str">
        <f t="shared" si="503"/>
        <v>MAYBANK / MAYBANK ISLAMIC</v>
      </c>
      <c r="K1193" t="str">
        <f>"162094096280"</f>
        <v>162094096280</v>
      </c>
      <c r="L1193" t="str">
        <f t="shared" si="506"/>
        <v>04-08-2020</v>
      </c>
      <c r="M1193" t="str">
        <f t="shared" si="506"/>
        <v>04-08-2020</v>
      </c>
      <c r="N1193" t="str">
        <f t="shared" si="490"/>
        <v>001105018356</v>
      </c>
      <c r="O1193" t="str">
        <f t="shared" si="491"/>
        <v>MYR</v>
      </c>
      <c r="P1193" t="str">
        <f t="shared" si="507"/>
        <v>NIL</v>
      </c>
      <c r="Q1193" t="str">
        <f t="shared" si="507"/>
        <v>NIL</v>
      </c>
      <c r="R1193" t="str">
        <f t="shared" si="492"/>
        <v>Accepted</v>
      </c>
      <c r="S1193" t="str">
        <f t="shared" si="493"/>
        <v>Approved</v>
      </c>
      <c r="T1193" t="str">
        <f t="shared" si="494"/>
        <v>10.20.8.188</v>
      </c>
      <c r="U1193" t="str">
        <f t="shared" si="495"/>
        <v>AZRAD UMAR BIN SHAARI</v>
      </c>
      <c r="V1193" t="str">
        <f t="shared" si="496"/>
        <v>FARHANA BINTI MUSTAPA</v>
      </c>
      <c r="W1193" t="str">
        <f t="shared" si="497"/>
        <v>04-08-2020</v>
      </c>
      <c r="X1193" t="str">
        <f t="shared" si="498"/>
        <v>RAZIMAH ANSAR AHMAD</v>
      </c>
      <c r="Y1193" t="str">
        <f t="shared" si="499"/>
        <v>04-08-2020</v>
      </c>
      <c r="Z1193" t="str">
        <f>"COS10200804 7961"</f>
        <v>COS10200804 7961</v>
      </c>
    </row>
    <row r="1194" spans="1:26" x14ac:dyDescent="0.25">
      <c r="A1194" t="str">
        <f t="shared" si="504"/>
        <v>04-08-2020 01:08:42</v>
      </c>
      <c r="B1194" t="str">
        <f>"0000809762"</f>
        <v>0000809762</v>
      </c>
      <c r="C1194" t="str">
        <f t="shared" si="505"/>
        <v>0000809602</v>
      </c>
      <c r="D1194" t="str">
        <f t="shared" si="487"/>
        <v>73185</v>
      </c>
      <c r="E1194" t="str">
        <f t="shared" si="488"/>
        <v>KFH-OPERATIONS DEPARTMENT</v>
      </c>
      <c r="F1194" t="str">
        <f t="shared" si="489"/>
        <v>IBG</v>
      </c>
      <c r="G1194" t="str">
        <f t="shared" si="500"/>
        <v>Refund COSHARE 10</v>
      </c>
      <c r="H1194" s="2">
        <v>102.35</v>
      </c>
      <c r="I1194" t="str">
        <f>"ZAINON ASRIYAH BINTI AHMAD"</f>
        <v>ZAINON ASRIYAH BINTI AHMAD</v>
      </c>
      <c r="J1194" t="str">
        <f t="shared" si="503"/>
        <v>MAYBANK / MAYBANK ISLAMIC</v>
      </c>
      <c r="K1194" t="str">
        <f>"152040258438"</f>
        <v>152040258438</v>
      </c>
      <c r="L1194" t="str">
        <f t="shared" si="506"/>
        <v>04-08-2020</v>
      </c>
      <c r="M1194" t="str">
        <f t="shared" si="506"/>
        <v>04-08-2020</v>
      </c>
      <c r="N1194" t="str">
        <f t="shared" si="490"/>
        <v>001105018356</v>
      </c>
      <c r="O1194" t="str">
        <f t="shared" si="491"/>
        <v>MYR</v>
      </c>
      <c r="P1194" t="str">
        <f t="shared" si="507"/>
        <v>NIL</v>
      </c>
      <c r="Q1194" t="str">
        <f t="shared" si="507"/>
        <v>NIL</v>
      </c>
      <c r="R1194" t="str">
        <f t="shared" si="492"/>
        <v>Accepted</v>
      </c>
      <c r="S1194" t="str">
        <f t="shared" si="493"/>
        <v>Approved</v>
      </c>
      <c r="T1194" t="str">
        <f t="shared" si="494"/>
        <v>10.20.8.188</v>
      </c>
      <c r="U1194" t="str">
        <f t="shared" si="495"/>
        <v>AZRAD UMAR BIN SHAARI</v>
      </c>
      <c r="V1194" t="str">
        <f t="shared" si="496"/>
        <v>FARHANA BINTI MUSTAPA</v>
      </c>
      <c r="W1194" t="str">
        <f t="shared" si="497"/>
        <v>04-08-2020</v>
      </c>
      <c r="X1194" t="str">
        <f t="shared" si="498"/>
        <v>RAZIMAH ANSAR AHMAD</v>
      </c>
      <c r="Y1194" t="str">
        <f t="shared" si="499"/>
        <v>04-08-2020</v>
      </c>
      <c r="Z1194" t="str">
        <f>"COS10200804 7960"</f>
        <v>COS10200804 7960</v>
      </c>
    </row>
    <row r="1195" spans="1:26" x14ac:dyDescent="0.25">
      <c r="A1195" t="str">
        <f t="shared" si="504"/>
        <v>04-08-2020 01:08:42</v>
      </c>
      <c r="B1195" t="str">
        <f>"0000809761"</f>
        <v>0000809761</v>
      </c>
      <c r="C1195" t="str">
        <f t="shared" si="505"/>
        <v>0000809602</v>
      </c>
      <c r="D1195" t="str">
        <f t="shared" si="487"/>
        <v>73185</v>
      </c>
      <c r="E1195" t="str">
        <f t="shared" si="488"/>
        <v>KFH-OPERATIONS DEPARTMENT</v>
      </c>
      <c r="F1195" t="str">
        <f t="shared" si="489"/>
        <v>IBG</v>
      </c>
      <c r="G1195" t="str">
        <f t="shared" si="500"/>
        <v>Refund COSHARE 10</v>
      </c>
      <c r="H1195" s="2">
        <v>456</v>
      </c>
      <c r="I1195" t="str">
        <f>"ZAINOL ABIDIN BIN SALLEH"</f>
        <v>ZAINOL ABIDIN BIN SALLEH</v>
      </c>
      <c r="J1195" t="str">
        <f t="shared" si="503"/>
        <v>MAYBANK / MAYBANK ISLAMIC</v>
      </c>
      <c r="K1195" t="str">
        <f>"162852028636"</f>
        <v>162852028636</v>
      </c>
      <c r="L1195" t="str">
        <f t="shared" si="506"/>
        <v>04-08-2020</v>
      </c>
      <c r="M1195" t="str">
        <f t="shared" si="506"/>
        <v>04-08-2020</v>
      </c>
      <c r="N1195" t="str">
        <f t="shared" si="490"/>
        <v>001105018356</v>
      </c>
      <c r="O1195" t="str">
        <f t="shared" si="491"/>
        <v>MYR</v>
      </c>
      <c r="P1195" t="str">
        <f t="shared" si="507"/>
        <v>NIL</v>
      </c>
      <c r="Q1195" t="str">
        <f t="shared" si="507"/>
        <v>NIL</v>
      </c>
      <c r="R1195" t="str">
        <f t="shared" si="492"/>
        <v>Accepted</v>
      </c>
      <c r="S1195" t="str">
        <f t="shared" si="493"/>
        <v>Approved</v>
      </c>
      <c r="T1195" t="str">
        <f t="shared" si="494"/>
        <v>10.20.8.188</v>
      </c>
      <c r="U1195" t="str">
        <f t="shared" si="495"/>
        <v>AZRAD UMAR BIN SHAARI</v>
      </c>
      <c r="V1195" t="str">
        <f t="shared" si="496"/>
        <v>FARHANA BINTI MUSTAPA</v>
      </c>
      <c r="W1195" t="str">
        <f t="shared" si="497"/>
        <v>04-08-2020</v>
      </c>
      <c r="X1195" t="str">
        <f t="shared" si="498"/>
        <v>RAZIMAH ANSAR AHMAD</v>
      </c>
      <c r="Y1195" t="str">
        <f t="shared" si="499"/>
        <v>04-08-2020</v>
      </c>
      <c r="Z1195" t="str">
        <f>"COS10200804 7959"</f>
        <v>COS10200804 7959</v>
      </c>
    </row>
    <row r="1196" spans="1:26" x14ac:dyDescent="0.25">
      <c r="A1196" t="str">
        <f t="shared" si="504"/>
        <v>04-08-2020 01:08:42</v>
      </c>
      <c r="B1196" t="str">
        <f>"0000809760"</f>
        <v>0000809760</v>
      </c>
      <c r="C1196" t="str">
        <f t="shared" si="505"/>
        <v>0000809602</v>
      </c>
      <c r="D1196" t="str">
        <f t="shared" si="487"/>
        <v>73185</v>
      </c>
      <c r="E1196" t="str">
        <f t="shared" si="488"/>
        <v>KFH-OPERATIONS DEPARTMENT</v>
      </c>
      <c r="F1196" t="str">
        <f t="shared" si="489"/>
        <v>IBG</v>
      </c>
      <c r="G1196" t="str">
        <f t="shared" si="500"/>
        <v>Refund COSHARE 10</v>
      </c>
      <c r="H1196" s="2">
        <v>133</v>
      </c>
      <c r="I1196" t="str">
        <f>"ZAINI BINTI MD SAAD"</f>
        <v>ZAINI BINTI MD SAAD</v>
      </c>
      <c r="J1196" t="str">
        <f t="shared" si="503"/>
        <v>MAYBANK / MAYBANK ISLAMIC</v>
      </c>
      <c r="K1196" t="str">
        <f>"152031368807"</f>
        <v>152031368807</v>
      </c>
      <c r="L1196" t="str">
        <f t="shared" si="506"/>
        <v>04-08-2020</v>
      </c>
      <c r="M1196" t="str">
        <f t="shared" si="506"/>
        <v>04-08-2020</v>
      </c>
      <c r="N1196" t="str">
        <f t="shared" si="490"/>
        <v>001105018356</v>
      </c>
      <c r="O1196" t="str">
        <f t="shared" si="491"/>
        <v>MYR</v>
      </c>
      <c r="P1196" t="str">
        <f t="shared" si="507"/>
        <v>NIL</v>
      </c>
      <c r="Q1196" t="str">
        <f t="shared" si="507"/>
        <v>NIL</v>
      </c>
      <c r="R1196" t="str">
        <f t="shared" si="492"/>
        <v>Accepted</v>
      </c>
      <c r="S1196" t="str">
        <f t="shared" si="493"/>
        <v>Approved</v>
      </c>
      <c r="T1196" t="str">
        <f t="shared" si="494"/>
        <v>10.20.8.188</v>
      </c>
      <c r="U1196" t="str">
        <f t="shared" si="495"/>
        <v>AZRAD UMAR BIN SHAARI</v>
      </c>
      <c r="V1196" t="str">
        <f t="shared" si="496"/>
        <v>FARHANA BINTI MUSTAPA</v>
      </c>
      <c r="W1196" t="str">
        <f t="shared" si="497"/>
        <v>04-08-2020</v>
      </c>
      <c r="X1196" t="str">
        <f t="shared" si="498"/>
        <v>RAZIMAH ANSAR AHMAD</v>
      </c>
      <c r="Y1196" t="str">
        <f t="shared" si="499"/>
        <v>04-08-2020</v>
      </c>
      <c r="Z1196" t="str">
        <f>"COS10200804 7958"</f>
        <v>COS10200804 7958</v>
      </c>
    </row>
    <row r="1197" spans="1:26" x14ac:dyDescent="0.25">
      <c r="A1197" t="str">
        <f t="shared" si="504"/>
        <v>04-08-2020 01:08:42</v>
      </c>
      <c r="B1197" t="str">
        <f>"0000809759"</f>
        <v>0000809759</v>
      </c>
      <c r="C1197" t="str">
        <f t="shared" si="505"/>
        <v>0000809602</v>
      </c>
      <c r="D1197" t="str">
        <f t="shared" si="487"/>
        <v>73185</v>
      </c>
      <c r="E1197" t="str">
        <f t="shared" si="488"/>
        <v>KFH-OPERATIONS DEPARTMENT</v>
      </c>
      <c r="F1197" t="str">
        <f t="shared" si="489"/>
        <v>IBG</v>
      </c>
      <c r="G1197" t="str">
        <f t="shared" si="500"/>
        <v>Refund COSHARE 10</v>
      </c>
      <c r="H1197" s="2">
        <v>503.7</v>
      </c>
      <c r="I1197" t="str">
        <f>"ZAINI BINTI HAMZAH"</f>
        <v>ZAINI BINTI HAMZAH</v>
      </c>
      <c r="J1197" t="str">
        <f t="shared" si="503"/>
        <v>MAYBANK / MAYBANK ISLAMIC</v>
      </c>
      <c r="K1197" t="str">
        <f>"162076505531"</f>
        <v>162076505531</v>
      </c>
      <c r="L1197" t="str">
        <f t="shared" si="506"/>
        <v>04-08-2020</v>
      </c>
      <c r="M1197" t="str">
        <f t="shared" si="506"/>
        <v>04-08-2020</v>
      </c>
      <c r="N1197" t="str">
        <f t="shared" si="490"/>
        <v>001105018356</v>
      </c>
      <c r="O1197" t="str">
        <f t="shared" si="491"/>
        <v>MYR</v>
      </c>
      <c r="P1197" t="str">
        <f t="shared" si="507"/>
        <v>NIL</v>
      </c>
      <c r="Q1197" t="str">
        <f t="shared" si="507"/>
        <v>NIL</v>
      </c>
      <c r="R1197" t="str">
        <f t="shared" si="492"/>
        <v>Accepted</v>
      </c>
      <c r="S1197" t="str">
        <f t="shared" si="493"/>
        <v>Approved</v>
      </c>
      <c r="T1197" t="str">
        <f t="shared" si="494"/>
        <v>10.20.8.188</v>
      </c>
      <c r="U1197" t="str">
        <f t="shared" si="495"/>
        <v>AZRAD UMAR BIN SHAARI</v>
      </c>
      <c r="V1197" t="str">
        <f t="shared" si="496"/>
        <v>FARHANA BINTI MUSTAPA</v>
      </c>
      <c r="W1197" t="str">
        <f t="shared" si="497"/>
        <v>04-08-2020</v>
      </c>
      <c r="X1197" t="str">
        <f t="shared" si="498"/>
        <v>RAZIMAH ANSAR AHMAD</v>
      </c>
      <c r="Y1197" t="str">
        <f t="shared" si="499"/>
        <v>04-08-2020</v>
      </c>
      <c r="Z1197" t="str">
        <f>"COS10200804 7957"</f>
        <v>COS10200804 7957</v>
      </c>
    </row>
    <row r="1198" spans="1:26" x14ac:dyDescent="0.25">
      <c r="A1198" t="str">
        <f t="shared" si="504"/>
        <v>04-08-2020 01:08:42</v>
      </c>
      <c r="B1198" t="str">
        <f>"0000809758"</f>
        <v>0000809758</v>
      </c>
      <c r="C1198" t="str">
        <f t="shared" si="505"/>
        <v>0000809602</v>
      </c>
      <c r="D1198" t="str">
        <f t="shared" si="487"/>
        <v>73185</v>
      </c>
      <c r="E1198" t="str">
        <f t="shared" si="488"/>
        <v>KFH-OPERATIONS DEPARTMENT</v>
      </c>
      <c r="F1198" t="str">
        <f t="shared" si="489"/>
        <v>IBG</v>
      </c>
      <c r="G1198" t="str">
        <f t="shared" si="500"/>
        <v>Refund COSHARE 10</v>
      </c>
      <c r="H1198" s="2">
        <v>294.7</v>
      </c>
      <c r="I1198" t="str">
        <f>"ZAINI BIN ZAKARIA"</f>
        <v>ZAINI BIN ZAKARIA</v>
      </c>
      <c r="J1198" t="str">
        <f t="shared" si="503"/>
        <v>MAYBANK / MAYBANK ISLAMIC</v>
      </c>
      <c r="K1198" t="str">
        <f>"162106321847"</f>
        <v>162106321847</v>
      </c>
      <c r="L1198" t="str">
        <f t="shared" si="506"/>
        <v>04-08-2020</v>
      </c>
      <c r="M1198" t="str">
        <f t="shared" si="506"/>
        <v>04-08-2020</v>
      </c>
      <c r="N1198" t="str">
        <f t="shared" si="490"/>
        <v>001105018356</v>
      </c>
      <c r="O1198" t="str">
        <f t="shared" si="491"/>
        <v>MYR</v>
      </c>
      <c r="P1198" t="str">
        <f t="shared" si="507"/>
        <v>NIL</v>
      </c>
      <c r="Q1198" t="str">
        <f t="shared" si="507"/>
        <v>NIL</v>
      </c>
      <c r="R1198" t="str">
        <f t="shared" si="492"/>
        <v>Accepted</v>
      </c>
      <c r="S1198" t="str">
        <f t="shared" si="493"/>
        <v>Approved</v>
      </c>
      <c r="T1198" t="str">
        <f t="shared" si="494"/>
        <v>10.20.8.188</v>
      </c>
      <c r="U1198" t="str">
        <f t="shared" si="495"/>
        <v>AZRAD UMAR BIN SHAARI</v>
      </c>
      <c r="V1198" t="str">
        <f t="shared" si="496"/>
        <v>FARHANA BINTI MUSTAPA</v>
      </c>
      <c r="W1198" t="str">
        <f t="shared" si="497"/>
        <v>04-08-2020</v>
      </c>
      <c r="X1198" t="str">
        <f t="shared" si="498"/>
        <v>RAZIMAH ANSAR AHMAD</v>
      </c>
      <c r="Y1198" t="str">
        <f t="shared" si="499"/>
        <v>04-08-2020</v>
      </c>
      <c r="Z1198" t="str">
        <f>"COS10200804 7956"</f>
        <v>COS10200804 7956</v>
      </c>
    </row>
    <row r="1199" spans="1:26" x14ac:dyDescent="0.25">
      <c r="A1199" t="str">
        <f t="shared" si="504"/>
        <v>04-08-2020 01:08:42</v>
      </c>
      <c r="B1199" t="str">
        <f>"0000809757"</f>
        <v>0000809757</v>
      </c>
      <c r="C1199" t="str">
        <f t="shared" si="505"/>
        <v>0000809602</v>
      </c>
      <c r="D1199" t="str">
        <f t="shared" si="487"/>
        <v>73185</v>
      </c>
      <c r="E1199" t="str">
        <f t="shared" si="488"/>
        <v>KFH-OPERATIONS DEPARTMENT</v>
      </c>
      <c r="F1199" t="str">
        <f t="shared" si="489"/>
        <v>IBG</v>
      </c>
      <c r="G1199" t="str">
        <f t="shared" si="500"/>
        <v>Refund COSHARE 10</v>
      </c>
      <c r="H1199" s="2">
        <v>304.55</v>
      </c>
      <c r="I1199" t="str">
        <f>"ZAINAL BIN HARON"</f>
        <v>ZAINAL BIN HARON</v>
      </c>
      <c r="J1199" t="str">
        <f t="shared" si="503"/>
        <v>MAYBANK / MAYBANK ISLAMIC</v>
      </c>
      <c r="K1199" t="str">
        <f>"112147483713"</f>
        <v>112147483713</v>
      </c>
      <c r="L1199" t="str">
        <f t="shared" si="506"/>
        <v>04-08-2020</v>
      </c>
      <c r="M1199" t="str">
        <f t="shared" si="506"/>
        <v>04-08-2020</v>
      </c>
      <c r="N1199" t="str">
        <f t="shared" si="490"/>
        <v>001105018356</v>
      </c>
      <c r="O1199" t="str">
        <f t="shared" si="491"/>
        <v>MYR</v>
      </c>
      <c r="P1199" t="str">
        <f t="shared" si="507"/>
        <v>NIL</v>
      </c>
      <c r="Q1199" t="str">
        <f t="shared" si="507"/>
        <v>NIL</v>
      </c>
      <c r="R1199" t="str">
        <f t="shared" si="492"/>
        <v>Accepted</v>
      </c>
      <c r="S1199" t="str">
        <f t="shared" si="493"/>
        <v>Approved</v>
      </c>
      <c r="T1199" t="str">
        <f t="shared" si="494"/>
        <v>10.20.8.188</v>
      </c>
      <c r="U1199" t="str">
        <f t="shared" si="495"/>
        <v>AZRAD UMAR BIN SHAARI</v>
      </c>
      <c r="V1199" t="str">
        <f t="shared" si="496"/>
        <v>FARHANA BINTI MUSTAPA</v>
      </c>
      <c r="W1199" t="str">
        <f t="shared" si="497"/>
        <v>04-08-2020</v>
      </c>
      <c r="X1199" t="str">
        <f t="shared" si="498"/>
        <v>RAZIMAH ANSAR AHMAD</v>
      </c>
      <c r="Y1199" t="str">
        <f t="shared" si="499"/>
        <v>04-08-2020</v>
      </c>
      <c r="Z1199" t="str">
        <f>"COS10200804 7955"</f>
        <v>COS10200804 7955</v>
      </c>
    </row>
    <row r="1200" spans="1:26" x14ac:dyDescent="0.25">
      <c r="A1200" t="str">
        <f t="shared" si="504"/>
        <v>04-08-2020 01:08:42</v>
      </c>
      <c r="B1200" t="str">
        <f>"0000809756"</f>
        <v>0000809756</v>
      </c>
      <c r="C1200" t="str">
        <f t="shared" si="505"/>
        <v>0000809602</v>
      </c>
      <c r="D1200" t="str">
        <f t="shared" si="487"/>
        <v>73185</v>
      </c>
      <c r="E1200" t="str">
        <f t="shared" si="488"/>
        <v>KFH-OPERATIONS DEPARTMENT</v>
      </c>
      <c r="F1200" t="str">
        <f t="shared" si="489"/>
        <v>IBG</v>
      </c>
      <c r="G1200" t="str">
        <f t="shared" si="500"/>
        <v>Refund COSHARE 10</v>
      </c>
      <c r="H1200" s="2">
        <v>307</v>
      </c>
      <c r="I1200" t="str">
        <f>"ZAINAL  ABIDIN BIN AB KARIM"</f>
        <v>ZAINAL  ABIDIN BIN AB KARIM</v>
      </c>
      <c r="J1200" t="str">
        <f t="shared" si="503"/>
        <v>MAYBANK / MAYBANK ISLAMIC</v>
      </c>
      <c r="K1200" t="str">
        <f>"152050174626"</f>
        <v>152050174626</v>
      </c>
      <c r="L1200" t="str">
        <f t="shared" si="506"/>
        <v>04-08-2020</v>
      </c>
      <c r="M1200" t="str">
        <f t="shared" si="506"/>
        <v>04-08-2020</v>
      </c>
      <c r="N1200" t="str">
        <f t="shared" si="490"/>
        <v>001105018356</v>
      </c>
      <c r="O1200" t="str">
        <f t="shared" si="491"/>
        <v>MYR</v>
      </c>
      <c r="P1200" t="str">
        <f t="shared" si="507"/>
        <v>NIL</v>
      </c>
      <c r="Q1200" t="str">
        <f t="shared" si="507"/>
        <v>NIL</v>
      </c>
      <c r="R1200" t="str">
        <f t="shared" si="492"/>
        <v>Accepted</v>
      </c>
      <c r="S1200" t="str">
        <f t="shared" si="493"/>
        <v>Approved</v>
      </c>
      <c r="T1200" t="str">
        <f t="shared" si="494"/>
        <v>10.20.8.188</v>
      </c>
      <c r="U1200" t="str">
        <f t="shared" si="495"/>
        <v>AZRAD UMAR BIN SHAARI</v>
      </c>
      <c r="V1200" t="str">
        <f t="shared" si="496"/>
        <v>FARHANA BINTI MUSTAPA</v>
      </c>
      <c r="W1200" t="str">
        <f t="shared" si="497"/>
        <v>04-08-2020</v>
      </c>
      <c r="X1200" t="str">
        <f t="shared" si="498"/>
        <v>RAZIMAH ANSAR AHMAD</v>
      </c>
      <c r="Y1200" t="str">
        <f t="shared" si="499"/>
        <v>04-08-2020</v>
      </c>
      <c r="Z1200" t="str">
        <f>"COS10200804 7954"</f>
        <v>COS10200804 7954</v>
      </c>
    </row>
    <row r="1201" spans="1:26" x14ac:dyDescent="0.25">
      <c r="A1201" t="str">
        <f t="shared" si="504"/>
        <v>04-08-2020 01:08:42</v>
      </c>
      <c r="B1201" t="str">
        <f>"0000809755"</f>
        <v>0000809755</v>
      </c>
      <c r="C1201" t="str">
        <f t="shared" si="505"/>
        <v>0000809602</v>
      </c>
      <c r="D1201" t="str">
        <f t="shared" si="487"/>
        <v>73185</v>
      </c>
      <c r="E1201" t="str">
        <f t="shared" si="488"/>
        <v>KFH-OPERATIONS DEPARTMENT</v>
      </c>
      <c r="F1201" t="str">
        <f t="shared" si="489"/>
        <v>IBG</v>
      </c>
      <c r="G1201" t="str">
        <f t="shared" si="500"/>
        <v>Refund COSHARE 10</v>
      </c>
      <c r="H1201" s="2">
        <v>410</v>
      </c>
      <c r="I1201" t="str">
        <f>"ZAINAB BINTI JAAFAR"</f>
        <v>ZAINAB BINTI JAAFAR</v>
      </c>
      <c r="J1201" t="str">
        <f t="shared" si="503"/>
        <v>MAYBANK / MAYBANK ISLAMIC</v>
      </c>
      <c r="K1201" t="str">
        <f>"151191015454"</f>
        <v>151191015454</v>
      </c>
      <c r="L1201" t="str">
        <f t="shared" si="506"/>
        <v>04-08-2020</v>
      </c>
      <c r="M1201" t="str">
        <f t="shared" si="506"/>
        <v>04-08-2020</v>
      </c>
      <c r="N1201" t="str">
        <f t="shared" si="490"/>
        <v>001105018356</v>
      </c>
      <c r="O1201" t="str">
        <f t="shared" si="491"/>
        <v>MYR</v>
      </c>
      <c r="P1201" t="str">
        <f t="shared" si="507"/>
        <v>NIL</v>
      </c>
      <c r="Q1201" t="str">
        <f t="shared" si="507"/>
        <v>NIL</v>
      </c>
      <c r="R1201" t="str">
        <f t="shared" si="492"/>
        <v>Accepted</v>
      </c>
      <c r="S1201" t="str">
        <f t="shared" si="493"/>
        <v>Approved</v>
      </c>
      <c r="T1201" t="str">
        <f t="shared" si="494"/>
        <v>10.20.8.188</v>
      </c>
      <c r="U1201" t="str">
        <f t="shared" si="495"/>
        <v>AZRAD UMAR BIN SHAARI</v>
      </c>
      <c r="V1201" t="str">
        <f t="shared" si="496"/>
        <v>FARHANA BINTI MUSTAPA</v>
      </c>
      <c r="W1201" t="str">
        <f t="shared" si="497"/>
        <v>04-08-2020</v>
      </c>
      <c r="X1201" t="str">
        <f t="shared" si="498"/>
        <v>RAZIMAH ANSAR AHMAD</v>
      </c>
      <c r="Y1201" t="str">
        <f t="shared" si="499"/>
        <v>04-08-2020</v>
      </c>
      <c r="Z1201" t="str">
        <f>"COS10200804 7953"</f>
        <v>COS10200804 7953</v>
      </c>
    </row>
    <row r="1202" spans="1:26" x14ac:dyDescent="0.25">
      <c r="A1202" t="str">
        <f t="shared" si="504"/>
        <v>04-08-2020 01:08:42</v>
      </c>
      <c r="B1202" t="str">
        <f>"0000809754"</f>
        <v>0000809754</v>
      </c>
      <c r="C1202" t="str">
        <f t="shared" si="505"/>
        <v>0000809602</v>
      </c>
      <c r="D1202" t="str">
        <f t="shared" si="487"/>
        <v>73185</v>
      </c>
      <c r="E1202" t="str">
        <f t="shared" si="488"/>
        <v>KFH-OPERATIONS DEPARTMENT</v>
      </c>
      <c r="F1202" t="str">
        <f t="shared" si="489"/>
        <v>IBG</v>
      </c>
      <c r="G1202" t="str">
        <f t="shared" si="500"/>
        <v>Refund COSHARE 10</v>
      </c>
      <c r="H1202" s="2">
        <v>470.7</v>
      </c>
      <c r="I1202" t="str">
        <f>"ZAINAB BINTI HUSIN"</f>
        <v>ZAINAB BINTI HUSIN</v>
      </c>
      <c r="J1202" t="str">
        <f t="shared" si="503"/>
        <v>MAYBANK / MAYBANK ISLAMIC</v>
      </c>
      <c r="K1202" t="str">
        <f>"151025010086"</f>
        <v>151025010086</v>
      </c>
      <c r="L1202" t="str">
        <f t="shared" si="506"/>
        <v>04-08-2020</v>
      </c>
      <c r="M1202" t="str">
        <f t="shared" si="506"/>
        <v>04-08-2020</v>
      </c>
      <c r="N1202" t="str">
        <f t="shared" si="490"/>
        <v>001105018356</v>
      </c>
      <c r="O1202" t="str">
        <f t="shared" si="491"/>
        <v>MYR</v>
      </c>
      <c r="P1202" t="str">
        <f t="shared" si="507"/>
        <v>NIL</v>
      </c>
      <c r="Q1202" t="str">
        <f t="shared" si="507"/>
        <v>NIL</v>
      </c>
      <c r="R1202" t="str">
        <f t="shared" si="492"/>
        <v>Accepted</v>
      </c>
      <c r="S1202" t="str">
        <f t="shared" si="493"/>
        <v>Approved</v>
      </c>
      <c r="T1202" t="str">
        <f t="shared" si="494"/>
        <v>10.20.8.188</v>
      </c>
      <c r="U1202" t="str">
        <f t="shared" si="495"/>
        <v>AZRAD UMAR BIN SHAARI</v>
      </c>
      <c r="V1202" t="str">
        <f t="shared" si="496"/>
        <v>FARHANA BINTI MUSTAPA</v>
      </c>
      <c r="W1202" t="str">
        <f t="shared" si="497"/>
        <v>04-08-2020</v>
      </c>
      <c r="X1202" t="str">
        <f t="shared" si="498"/>
        <v>RAZIMAH ANSAR AHMAD</v>
      </c>
      <c r="Y1202" t="str">
        <f t="shared" si="499"/>
        <v>04-08-2020</v>
      </c>
      <c r="Z1202" t="str">
        <f>"COS10200804 7952"</f>
        <v>COS10200804 7952</v>
      </c>
    </row>
    <row r="1203" spans="1:26" x14ac:dyDescent="0.25">
      <c r="A1203" t="str">
        <f t="shared" si="504"/>
        <v>04-08-2020 01:08:42</v>
      </c>
      <c r="B1203" t="str">
        <f>"0000809753"</f>
        <v>0000809753</v>
      </c>
      <c r="C1203" t="str">
        <f t="shared" si="505"/>
        <v>0000809602</v>
      </c>
      <c r="D1203" t="str">
        <f t="shared" si="487"/>
        <v>73185</v>
      </c>
      <c r="E1203" t="str">
        <f t="shared" si="488"/>
        <v>KFH-OPERATIONS DEPARTMENT</v>
      </c>
      <c r="F1203" t="str">
        <f t="shared" si="489"/>
        <v>IBG</v>
      </c>
      <c r="G1203" t="str">
        <f t="shared" si="500"/>
        <v>Refund COSHARE 10</v>
      </c>
      <c r="H1203" s="2">
        <v>167.9</v>
      </c>
      <c r="I1203" t="str">
        <f>"ZAINA BINTI ASAN"</f>
        <v>ZAINA BINTI ASAN</v>
      </c>
      <c r="J1203" t="str">
        <f t="shared" si="503"/>
        <v>MAYBANK / MAYBANK ISLAMIC</v>
      </c>
      <c r="K1203" t="str">
        <f>"161190004556"</f>
        <v>161190004556</v>
      </c>
      <c r="L1203" t="str">
        <f t="shared" si="506"/>
        <v>04-08-2020</v>
      </c>
      <c r="M1203" t="str">
        <f t="shared" si="506"/>
        <v>04-08-2020</v>
      </c>
      <c r="N1203" t="str">
        <f t="shared" si="490"/>
        <v>001105018356</v>
      </c>
      <c r="O1203" t="str">
        <f t="shared" si="491"/>
        <v>MYR</v>
      </c>
      <c r="P1203" t="str">
        <f t="shared" si="507"/>
        <v>NIL</v>
      </c>
      <c r="Q1203" t="str">
        <f t="shared" si="507"/>
        <v>NIL</v>
      </c>
      <c r="R1203" t="str">
        <f t="shared" si="492"/>
        <v>Accepted</v>
      </c>
      <c r="S1203" t="str">
        <f t="shared" si="493"/>
        <v>Approved</v>
      </c>
      <c r="T1203" t="str">
        <f t="shared" si="494"/>
        <v>10.20.8.188</v>
      </c>
      <c r="U1203" t="str">
        <f t="shared" si="495"/>
        <v>AZRAD UMAR BIN SHAARI</v>
      </c>
      <c r="V1203" t="str">
        <f t="shared" si="496"/>
        <v>FARHANA BINTI MUSTAPA</v>
      </c>
      <c r="W1203" t="str">
        <f t="shared" si="497"/>
        <v>04-08-2020</v>
      </c>
      <c r="X1203" t="str">
        <f t="shared" si="498"/>
        <v>RAZIMAH ANSAR AHMAD</v>
      </c>
      <c r="Y1203" t="str">
        <f t="shared" si="499"/>
        <v>04-08-2020</v>
      </c>
      <c r="Z1203" t="str">
        <f>"COS10200804 7951"</f>
        <v>COS10200804 7951</v>
      </c>
    </row>
    <row r="1204" spans="1:26" x14ac:dyDescent="0.25">
      <c r="A1204" t="str">
        <f t="shared" si="504"/>
        <v>04-08-2020 01:08:42</v>
      </c>
      <c r="B1204" t="str">
        <f>"0000809752"</f>
        <v>0000809752</v>
      </c>
      <c r="C1204" t="str">
        <f t="shared" si="505"/>
        <v>0000809602</v>
      </c>
      <c r="D1204" t="str">
        <f t="shared" si="487"/>
        <v>73185</v>
      </c>
      <c r="E1204" t="str">
        <f t="shared" si="488"/>
        <v>KFH-OPERATIONS DEPARTMENT</v>
      </c>
      <c r="F1204" t="str">
        <f t="shared" si="489"/>
        <v>IBG</v>
      </c>
      <c r="G1204" t="str">
        <f t="shared" si="500"/>
        <v>Refund COSHARE 10</v>
      </c>
      <c r="H1204" s="2">
        <v>622.5</v>
      </c>
      <c r="I1204" t="str">
        <f>"ZAILEHA BINTI MOHAMED"</f>
        <v>ZAILEHA BINTI MOHAMED</v>
      </c>
      <c r="J1204" t="str">
        <f t="shared" si="503"/>
        <v>MAYBANK / MAYBANK ISLAMIC</v>
      </c>
      <c r="K1204" t="str">
        <f>"101217881823"</f>
        <v>101217881823</v>
      </c>
      <c r="L1204" t="str">
        <f t="shared" si="506"/>
        <v>04-08-2020</v>
      </c>
      <c r="M1204" t="str">
        <f t="shared" si="506"/>
        <v>04-08-2020</v>
      </c>
      <c r="N1204" t="str">
        <f t="shared" si="490"/>
        <v>001105018356</v>
      </c>
      <c r="O1204" t="str">
        <f t="shared" si="491"/>
        <v>MYR</v>
      </c>
      <c r="P1204" t="str">
        <f t="shared" si="507"/>
        <v>NIL</v>
      </c>
      <c r="Q1204" t="str">
        <f t="shared" si="507"/>
        <v>NIL</v>
      </c>
      <c r="R1204" t="str">
        <f t="shared" si="492"/>
        <v>Accepted</v>
      </c>
      <c r="S1204" t="str">
        <f t="shared" si="493"/>
        <v>Approved</v>
      </c>
      <c r="T1204" t="str">
        <f t="shared" si="494"/>
        <v>10.20.8.188</v>
      </c>
      <c r="U1204" t="str">
        <f t="shared" si="495"/>
        <v>AZRAD UMAR BIN SHAARI</v>
      </c>
      <c r="V1204" t="str">
        <f t="shared" si="496"/>
        <v>FARHANA BINTI MUSTAPA</v>
      </c>
      <c r="W1204" t="str">
        <f t="shared" si="497"/>
        <v>04-08-2020</v>
      </c>
      <c r="X1204" t="str">
        <f t="shared" si="498"/>
        <v>RAZIMAH ANSAR AHMAD</v>
      </c>
      <c r="Y1204" t="str">
        <f t="shared" si="499"/>
        <v>04-08-2020</v>
      </c>
      <c r="Z1204" t="str">
        <f>"COS10200804 7950"</f>
        <v>COS10200804 7950</v>
      </c>
    </row>
    <row r="1205" spans="1:26" x14ac:dyDescent="0.25">
      <c r="A1205" t="str">
        <f t="shared" si="504"/>
        <v>04-08-2020 01:08:42</v>
      </c>
      <c r="B1205" t="str">
        <f>"0000809751"</f>
        <v>0000809751</v>
      </c>
      <c r="C1205" t="str">
        <f t="shared" si="505"/>
        <v>0000809602</v>
      </c>
      <c r="D1205" t="str">
        <f t="shared" si="487"/>
        <v>73185</v>
      </c>
      <c r="E1205" t="str">
        <f t="shared" si="488"/>
        <v>KFH-OPERATIONS DEPARTMENT</v>
      </c>
      <c r="F1205" t="str">
        <f t="shared" si="489"/>
        <v>IBG</v>
      </c>
      <c r="G1205" t="str">
        <f t="shared" si="500"/>
        <v>Refund COSHARE 10</v>
      </c>
      <c r="H1205" s="2">
        <v>378.6</v>
      </c>
      <c r="I1205" t="str">
        <f>"ZAIHAIDAH BINTI HASSAN RAZA"</f>
        <v>ZAIHAIDAH BINTI HASSAN RAZA</v>
      </c>
      <c r="J1205" t="str">
        <f t="shared" si="503"/>
        <v>MAYBANK / MAYBANK ISLAMIC</v>
      </c>
      <c r="K1205" t="str">
        <f>"112026888398"</f>
        <v>112026888398</v>
      </c>
      <c r="L1205" t="str">
        <f t="shared" si="506"/>
        <v>04-08-2020</v>
      </c>
      <c r="M1205" t="str">
        <f t="shared" si="506"/>
        <v>04-08-2020</v>
      </c>
      <c r="N1205" t="str">
        <f t="shared" si="490"/>
        <v>001105018356</v>
      </c>
      <c r="O1205" t="str">
        <f t="shared" si="491"/>
        <v>MYR</v>
      </c>
      <c r="P1205" t="str">
        <f t="shared" si="507"/>
        <v>NIL</v>
      </c>
      <c r="Q1205" t="str">
        <f t="shared" si="507"/>
        <v>NIL</v>
      </c>
      <c r="R1205" t="str">
        <f t="shared" si="492"/>
        <v>Accepted</v>
      </c>
      <c r="S1205" t="str">
        <f t="shared" si="493"/>
        <v>Approved</v>
      </c>
      <c r="T1205" t="str">
        <f t="shared" si="494"/>
        <v>10.20.8.188</v>
      </c>
      <c r="U1205" t="str">
        <f t="shared" si="495"/>
        <v>AZRAD UMAR BIN SHAARI</v>
      </c>
      <c r="V1205" t="str">
        <f t="shared" si="496"/>
        <v>FARHANA BINTI MUSTAPA</v>
      </c>
      <c r="W1205" t="str">
        <f t="shared" si="497"/>
        <v>04-08-2020</v>
      </c>
      <c r="X1205" t="str">
        <f t="shared" si="498"/>
        <v>RAZIMAH ANSAR AHMAD</v>
      </c>
      <c r="Y1205" t="str">
        <f t="shared" si="499"/>
        <v>04-08-2020</v>
      </c>
      <c r="Z1205" t="str">
        <f>"COS10200804 7949"</f>
        <v>COS10200804 7949</v>
      </c>
    </row>
    <row r="1206" spans="1:26" x14ac:dyDescent="0.25">
      <c r="A1206" t="str">
        <f t="shared" si="504"/>
        <v>04-08-2020 01:08:42</v>
      </c>
      <c r="B1206" t="str">
        <f>"0000809750"</f>
        <v>0000809750</v>
      </c>
      <c r="C1206" t="str">
        <f t="shared" si="505"/>
        <v>0000809602</v>
      </c>
      <c r="D1206" t="str">
        <f t="shared" si="487"/>
        <v>73185</v>
      </c>
      <c r="E1206" t="str">
        <f t="shared" si="488"/>
        <v>KFH-OPERATIONS DEPARTMENT</v>
      </c>
      <c r="F1206" t="str">
        <f t="shared" si="489"/>
        <v>IBG</v>
      </c>
      <c r="G1206" t="str">
        <f t="shared" si="500"/>
        <v>Refund COSHARE 10</v>
      </c>
      <c r="H1206" s="2">
        <v>347</v>
      </c>
      <c r="I1206" t="str">
        <f>"ZAIDIN BIN ZAINUDDIN"</f>
        <v>ZAIDIN BIN ZAINUDDIN</v>
      </c>
      <c r="J1206" t="str">
        <f t="shared" si="503"/>
        <v>MAYBANK / MAYBANK ISLAMIC</v>
      </c>
      <c r="K1206" t="str">
        <f>"160027285479"</f>
        <v>160027285479</v>
      </c>
      <c r="L1206" t="str">
        <f t="shared" si="506"/>
        <v>04-08-2020</v>
      </c>
      <c r="M1206" t="str">
        <f t="shared" si="506"/>
        <v>04-08-2020</v>
      </c>
      <c r="N1206" t="str">
        <f t="shared" si="490"/>
        <v>001105018356</v>
      </c>
      <c r="O1206" t="str">
        <f t="shared" si="491"/>
        <v>MYR</v>
      </c>
      <c r="P1206" t="str">
        <f t="shared" si="507"/>
        <v>NIL</v>
      </c>
      <c r="Q1206" t="str">
        <f t="shared" si="507"/>
        <v>NIL</v>
      </c>
      <c r="R1206" t="str">
        <f t="shared" si="492"/>
        <v>Accepted</v>
      </c>
      <c r="S1206" t="str">
        <f t="shared" si="493"/>
        <v>Approved</v>
      </c>
      <c r="T1206" t="str">
        <f t="shared" si="494"/>
        <v>10.20.8.188</v>
      </c>
      <c r="U1206" t="str">
        <f t="shared" si="495"/>
        <v>AZRAD UMAR BIN SHAARI</v>
      </c>
      <c r="V1206" t="str">
        <f t="shared" si="496"/>
        <v>FARHANA BINTI MUSTAPA</v>
      </c>
      <c r="W1206" t="str">
        <f t="shared" si="497"/>
        <v>04-08-2020</v>
      </c>
      <c r="X1206" t="str">
        <f t="shared" si="498"/>
        <v>RAZIMAH ANSAR AHMAD</v>
      </c>
      <c r="Y1206" t="str">
        <f t="shared" si="499"/>
        <v>04-08-2020</v>
      </c>
      <c r="Z1206" t="str">
        <f>"COS10200804 7948"</f>
        <v>COS10200804 7948</v>
      </c>
    </row>
    <row r="1207" spans="1:26" x14ac:dyDescent="0.25">
      <c r="A1207" t="str">
        <f t="shared" si="504"/>
        <v>04-08-2020 01:08:42</v>
      </c>
      <c r="B1207" t="str">
        <f>"0000809749"</f>
        <v>0000809749</v>
      </c>
      <c r="C1207" t="str">
        <f t="shared" si="505"/>
        <v>0000809602</v>
      </c>
      <c r="D1207" t="str">
        <f t="shared" si="487"/>
        <v>73185</v>
      </c>
      <c r="E1207" t="str">
        <f t="shared" si="488"/>
        <v>KFH-OPERATIONS DEPARTMENT</v>
      </c>
      <c r="F1207" t="str">
        <f t="shared" si="489"/>
        <v>IBG</v>
      </c>
      <c r="G1207" t="str">
        <f t="shared" si="500"/>
        <v>Refund COSHARE 10</v>
      </c>
      <c r="H1207" s="2">
        <v>167.9</v>
      </c>
      <c r="I1207" t="str">
        <f>"ZAIDILL BIN ZAILEE"</f>
        <v>ZAIDILL BIN ZAILEE</v>
      </c>
      <c r="J1207" t="str">
        <f t="shared" si="503"/>
        <v>MAYBANK / MAYBANK ISLAMIC</v>
      </c>
      <c r="K1207" t="str">
        <f>"157091166697"</f>
        <v>157091166697</v>
      </c>
      <c r="L1207" t="str">
        <f t="shared" ref="L1207:M1226" si="508">"04-08-2020"</f>
        <v>04-08-2020</v>
      </c>
      <c r="M1207" t="str">
        <f t="shared" si="508"/>
        <v>04-08-2020</v>
      </c>
      <c r="N1207" t="str">
        <f t="shared" si="490"/>
        <v>001105018356</v>
      </c>
      <c r="O1207" t="str">
        <f t="shared" si="491"/>
        <v>MYR</v>
      </c>
      <c r="P1207" t="str">
        <f t="shared" ref="P1207:Q1226" si="509">"NIL"</f>
        <v>NIL</v>
      </c>
      <c r="Q1207" t="str">
        <f t="shared" si="509"/>
        <v>NIL</v>
      </c>
      <c r="R1207" t="str">
        <f t="shared" si="492"/>
        <v>Accepted</v>
      </c>
      <c r="S1207" t="str">
        <f t="shared" si="493"/>
        <v>Approved</v>
      </c>
      <c r="T1207" t="str">
        <f t="shared" si="494"/>
        <v>10.20.8.188</v>
      </c>
      <c r="U1207" t="str">
        <f t="shared" si="495"/>
        <v>AZRAD UMAR BIN SHAARI</v>
      </c>
      <c r="V1207" t="str">
        <f t="shared" si="496"/>
        <v>FARHANA BINTI MUSTAPA</v>
      </c>
      <c r="W1207" t="str">
        <f t="shared" si="497"/>
        <v>04-08-2020</v>
      </c>
      <c r="X1207" t="str">
        <f t="shared" si="498"/>
        <v>RAZIMAH ANSAR AHMAD</v>
      </c>
      <c r="Y1207" t="str">
        <f t="shared" si="499"/>
        <v>04-08-2020</v>
      </c>
      <c r="Z1207" t="str">
        <f>"COS10200804 7947"</f>
        <v>COS10200804 7947</v>
      </c>
    </row>
    <row r="1208" spans="1:26" x14ac:dyDescent="0.25">
      <c r="A1208" t="str">
        <f t="shared" si="504"/>
        <v>04-08-2020 01:08:42</v>
      </c>
      <c r="B1208" t="str">
        <f>"0000809748"</f>
        <v>0000809748</v>
      </c>
      <c r="C1208" t="str">
        <f t="shared" si="505"/>
        <v>0000809602</v>
      </c>
      <c r="D1208" t="str">
        <f t="shared" si="487"/>
        <v>73185</v>
      </c>
      <c r="E1208" t="str">
        <f t="shared" si="488"/>
        <v>KFH-OPERATIONS DEPARTMENT</v>
      </c>
      <c r="F1208" t="str">
        <f t="shared" si="489"/>
        <v>IBG</v>
      </c>
      <c r="G1208" t="str">
        <f t="shared" si="500"/>
        <v>Refund COSHARE 10</v>
      </c>
      <c r="H1208" s="2">
        <v>965.45</v>
      </c>
      <c r="I1208" t="str">
        <f>"ZAIDI BIN ELIAS"</f>
        <v>ZAIDI BIN ELIAS</v>
      </c>
      <c r="J1208" t="str">
        <f t="shared" si="503"/>
        <v>MAYBANK / MAYBANK ISLAMIC</v>
      </c>
      <c r="K1208" t="str">
        <f>"108123027288"</f>
        <v>108123027288</v>
      </c>
      <c r="L1208" t="str">
        <f t="shared" si="508"/>
        <v>04-08-2020</v>
      </c>
      <c r="M1208" t="str">
        <f t="shared" si="508"/>
        <v>04-08-2020</v>
      </c>
      <c r="N1208" t="str">
        <f t="shared" si="490"/>
        <v>001105018356</v>
      </c>
      <c r="O1208" t="str">
        <f t="shared" si="491"/>
        <v>MYR</v>
      </c>
      <c r="P1208" t="str">
        <f t="shared" si="509"/>
        <v>NIL</v>
      </c>
      <c r="Q1208" t="str">
        <f t="shared" si="509"/>
        <v>NIL</v>
      </c>
      <c r="R1208" t="str">
        <f t="shared" si="492"/>
        <v>Accepted</v>
      </c>
      <c r="S1208" t="str">
        <f t="shared" si="493"/>
        <v>Approved</v>
      </c>
      <c r="T1208" t="str">
        <f t="shared" si="494"/>
        <v>10.20.8.188</v>
      </c>
      <c r="U1208" t="str">
        <f t="shared" si="495"/>
        <v>AZRAD UMAR BIN SHAARI</v>
      </c>
      <c r="V1208" t="str">
        <f t="shared" si="496"/>
        <v>FARHANA BINTI MUSTAPA</v>
      </c>
      <c r="W1208" t="str">
        <f t="shared" si="497"/>
        <v>04-08-2020</v>
      </c>
      <c r="X1208" t="str">
        <f t="shared" si="498"/>
        <v>RAZIMAH ANSAR AHMAD</v>
      </c>
      <c r="Y1208" t="str">
        <f t="shared" si="499"/>
        <v>04-08-2020</v>
      </c>
      <c r="Z1208" t="str">
        <f>"COS10200804 7946"</f>
        <v>COS10200804 7946</v>
      </c>
    </row>
    <row r="1209" spans="1:26" x14ac:dyDescent="0.25">
      <c r="A1209" t="str">
        <f t="shared" si="504"/>
        <v>04-08-2020 01:08:42</v>
      </c>
      <c r="B1209" t="str">
        <f>"0000809747"</f>
        <v>0000809747</v>
      </c>
      <c r="C1209" t="str">
        <f t="shared" si="505"/>
        <v>0000809602</v>
      </c>
      <c r="D1209" t="str">
        <f t="shared" si="487"/>
        <v>73185</v>
      </c>
      <c r="E1209" t="str">
        <f t="shared" si="488"/>
        <v>KFH-OPERATIONS DEPARTMENT</v>
      </c>
      <c r="F1209" t="str">
        <f t="shared" si="489"/>
        <v>IBG</v>
      </c>
      <c r="G1209" t="str">
        <f t="shared" si="500"/>
        <v>Refund COSHARE 10</v>
      </c>
      <c r="H1209" s="2">
        <v>798.15</v>
      </c>
      <c r="I1209" t="str">
        <f>"ZAIDI BIN BERJURI"</f>
        <v>ZAIDI BIN BERJURI</v>
      </c>
      <c r="J1209" t="str">
        <f t="shared" si="503"/>
        <v>MAYBANK / MAYBANK ISLAMIC</v>
      </c>
      <c r="K1209" t="str">
        <f>"111105013877"</f>
        <v>111105013877</v>
      </c>
      <c r="L1209" t="str">
        <f t="shared" si="508"/>
        <v>04-08-2020</v>
      </c>
      <c r="M1209" t="str">
        <f t="shared" si="508"/>
        <v>04-08-2020</v>
      </c>
      <c r="N1209" t="str">
        <f t="shared" si="490"/>
        <v>001105018356</v>
      </c>
      <c r="O1209" t="str">
        <f t="shared" si="491"/>
        <v>MYR</v>
      </c>
      <c r="P1209" t="str">
        <f t="shared" si="509"/>
        <v>NIL</v>
      </c>
      <c r="Q1209" t="str">
        <f t="shared" si="509"/>
        <v>NIL</v>
      </c>
      <c r="R1209" t="str">
        <f t="shared" si="492"/>
        <v>Accepted</v>
      </c>
      <c r="S1209" t="str">
        <f t="shared" si="493"/>
        <v>Approved</v>
      </c>
      <c r="T1209" t="str">
        <f t="shared" si="494"/>
        <v>10.20.8.188</v>
      </c>
      <c r="U1209" t="str">
        <f t="shared" si="495"/>
        <v>AZRAD UMAR BIN SHAARI</v>
      </c>
      <c r="V1209" t="str">
        <f t="shared" si="496"/>
        <v>FARHANA BINTI MUSTAPA</v>
      </c>
      <c r="W1209" t="str">
        <f t="shared" si="497"/>
        <v>04-08-2020</v>
      </c>
      <c r="X1209" t="str">
        <f t="shared" si="498"/>
        <v>RAZIMAH ANSAR AHMAD</v>
      </c>
      <c r="Y1209" t="str">
        <f t="shared" si="499"/>
        <v>04-08-2020</v>
      </c>
      <c r="Z1209" t="str">
        <f>"COS10200804 7945"</f>
        <v>COS10200804 7945</v>
      </c>
    </row>
    <row r="1210" spans="1:26" x14ac:dyDescent="0.25">
      <c r="A1210" t="str">
        <f t="shared" si="504"/>
        <v>04-08-2020 01:08:42</v>
      </c>
      <c r="B1210" t="str">
        <f>"0000809746"</f>
        <v>0000809746</v>
      </c>
      <c r="C1210" t="str">
        <f t="shared" si="505"/>
        <v>0000809602</v>
      </c>
      <c r="D1210" t="str">
        <f t="shared" si="487"/>
        <v>73185</v>
      </c>
      <c r="E1210" t="str">
        <f t="shared" si="488"/>
        <v>KFH-OPERATIONS DEPARTMENT</v>
      </c>
      <c r="F1210" t="str">
        <f t="shared" si="489"/>
        <v>IBG</v>
      </c>
      <c r="G1210" t="str">
        <f t="shared" si="500"/>
        <v>Refund COSHARE 10</v>
      </c>
      <c r="H1210" s="2">
        <v>84</v>
      </c>
      <c r="I1210" t="str">
        <f>"ZAIDI BIN AHMAD"</f>
        <v>ZAIDI BIN AHMAD</v>
      </c>
      <c r="J1210" t="str">
        <f t="shared" si="503"/>
        <v>MAYBANK / MAYBANK ISLAMIC</v>
      </c>
      <c r="K1210" t="str">
        <f>"161088515950"</f>
        <v>161088515950</v>
      </c>
      <c r="L1210" t="str">
        <f t="shared" si="508"/>
        <v>04-08-2020</v>
      </c>
      <c r="M1210" t="str">
        <f t="shared" si="508"/>
        <v>04-08-2020</v>
      </c>
      <c r="N1210" t="str">
        <f t="shared" si="490"/>
        <v>001105018356</v>
      </c>
      <c r="O1210" t="str">
        <f t="shared" si="491"/>
        <v>MYR</v>
      </c>
      <c r="P1210" t="str">
        <f t="shared" si="509"/>
        <v>NIL</v>
      </c>
      <c r="Q1210" t="str">
        <f t="shared" si="509"/>
        <v>NIL</v>
      </c>
      <c r="R1210" t="str">
        <f t="shared" si="492"/>
        <v>Accepted</v>
      </c>
      <c r="S1210" t="str">
        <f t="shared" si="493"/>
        <v>Approved</v>
      </c>
      <c r="T1210" t="str">
        <f t="shared" si="494"/>
        <v>10.20.8.188</v>
      </c>
      <c r="U1210" t="str">
        <f t="shared" si="495"/>
        <v>AZRAD UMAR BIN SHAARI</v>
      </c>
      <c r="V1210" t="str">
        <f t="shared" si="496"/>
        <v>FARHANA BINTI MUSTAPA</v>
      </c>
      <c r="W1210" t="str">
        <f t="shared" si="497"/>
        <v>04-08-2020</v>
      </c>
      <c r="X1210" t="str">
        <f t="shared" si="498"/>
        <v>RAZIMAH ANSAR AHMAD</v>
      </c>
      <c r="Y1210" t="str">
        <f t="shared" si="499"/>
        <v>04-08-2020</v>
      </c>
      <c r="Z1210" t="str">
        <f>"COS10200804 7944"</f>
        <v>COS10200804 7944</v>
      </c>
    </row>
    <row r="1211" spans="1:26" x14ac:dyDescent="0.25">
      <c r="A1211" t="str">
        <f t="shared" si="504"/>
        <v>04-08-2020 01:08:42</v>
      </c>
      <c r="B1211" t="str">
        <f>"0000809745"</f>
        <v>0000809745</v>
      </c>
      <c r="C1211" t="str">
        <f t="shared" si="505"/>
        <v>0000809602</v>
      </c>
      <c r="D1211" t="str">
        <f t="shared" si="487"/>
        <v>73185</v>
      </c>
      <c r="E1211" t="str">
        <f t="shared" si="488"/>
        <v>KFH-OPERATIONS DEPARTMENT</v>
      </c>
      <c r="F1211" t="str">
        <f t="shared" si="489"/>
        <v>IBG</v>
      </c>
      <c r="G1211" t="str">
        <f t="shared" si="500"/>
        <v>Refund COSHARE 10</v>
      </c>
      <c r="H1211" s="2">
        <v>537.29999999999995</v>
      </c>
      <c r="I1211" t="str">
        <f>"ZAIDI BIN AHMAD"</f>
        <v>ZAIDI BIN AHMAD</v>
      </c>
      <c r="J1211" t="str">
        <f t="shared" si="503"/>
        <v>MAYBANK / MAYBANK ISLAMIC</v>
      </c>
      <c r="K1211" t="str">
        <f>"161088515950"</f>
        <v>161088515950</v>
      </c>
      <c r="L1211" t="str">
        <f t="shared" si="508"/>
        <v>04-08-2020</v>
      </c>
      <c r="M1211" t="str">
        <f t="shared" si="508"/>
        <v>04-08-2020</v>
      </c>
      <c r="N1211" t="str">
        <f t="shared" si="490"/>
        <v>001105018356</v>
      </c>
      <c r="O1211" t="str">
        <f t="shared" si="491"/>
        <v>MYR</v>
      </c>
      <c r="P1211" t="str">
        <f t="shared" si="509"/>
        <v>NIL</v>
      </c>
      <c r="Q1211" t="str">
        <f t="shared" si="509"/>
        <v>NIL</v>
      </c>
      <c r="R1211" t="str">
        <f t="shared" si="492"/>
        <v>Accepted</v>
      </c>
      <c r="S1211" t="str">
        <f t="shared" si="493"/>
        <v>Approved</v>
      </c>
      <c r="T1211" t="str">
        <f t="shared" si="494"/>
        <v>10.20.8.188</v>
      </c>
      <c r="U1211" t="str">
        <f t="shared" si="495"/>
        <v>AZRAD UMAR BIN SHAARI</v>
      </c>
      <c r="V1211" t="str">
        <f t="shared" si="496"/>
        <v>FARHANA BINTI MUSTAPA</v>
      </c>
      <c r="W1211" t="str">
        <f t="shared" si="497"/>
        <v>04-08-2020</v>
      </c>
      <c r="X1211" t="str">
        <f t="shared" si="498"/>
        <v>RAZIMAH ANSAR AHMAD</v>
      </c>
      <c r="Y1211" t="str">
        <f t="shared" si="499"/>
        <v>04-08-2020</v>
      </c>
      <c r="Z1211" t="str">
        <f>"COS10200804 7943"</f>
        <v>COS10200804 7943</v>
      </c>
    </row>
    <row r="1212" spans="1:26" x14ac:dyDescent="0.25">
      <c r="A1212" t="str">
        <f t="shared" si="504"/>
        <v>04-08-2020 01:08:42</v>
      </c>
      <c r="B1212" t="str">
        <f>"0000809744"</f>
        <v>0000809744</v>
      </c>
      <c r="C1212" t="str">
        <f t="shared" si="505"/>
        <v>0000809602</v>
      </c>
      <c r="D1212" t="str">
        <f t="shared" si="487"/>
        <v>73185</v>
      </c>
      <c r="E1212" t="str">
        <f t="shared" si="488"/>
        <v>KFH-OPERATIONS DEPARTMENT</v>
      </c>
      <c r="F1212" t="str">
        <f t="shared" si="489"/>
        <v>IBG</v>
      </c>
      <c r="G1212" t="str">
        <f t="shared" si="500"/>
        <v>Refund COSHARE 10</v>
      </c>
      <c r="H1212" s="2">
        <v>252</v>
      </c>
      <c r="I1212" t="str">
        <f>"ZAHROL BIN AMAT ISNIN"</f>
        <v>ZAHROL BIN AMAT ISNIN</v>
      </c>
      <c r="J1212" t="str">
        <f t="shared" si="503"/>
        <v>MAYBANK / MAYBANK ISLAMIC</v>
      </c>
      <c r="K1212" t="str">
        <f>"101075432407"</f>
        <v>101075432407</v>
      </c>
      <c r="L1212" t="str">
        <f t="shared" si="508"/>
        <v>04-08-2020</v>
      </c>
      <c r="M1212" t="str">
        <f t="shared" si="508"/>
        <v>04-08-2020</v>
      </c>
      <c r="N1212" t="str">
        <f t="shared" si="490"/>
        <v>001105018356</v>
      </c>
      <c r="O1212" t="str">
        <f t="shared" si="491"/>
        <v>MYR</v>
      </c>
      <c r="P1212" t="str">
        <f t="shared" si="509"/>
        <v>NIL</v>
      </c>
      <c r="Q1212" t="str">
        <f t="shared" si="509"/>
        <v>NIL</v>
      </c>
      <c r="R1212" t="str">
        <f t="shared" si="492"/>
        <v>Accepted</v>
      </c>
      <c r="S1212" t="str">
        <f t="shared" si="493"/>
        <v>Approved</v>
      </c>
      <c r="T1212" t="str">
        <f t="shared" si="494"/>
        <v>10.20.8.188</v>
      </c>
      <c r="U1212" t="str">
        <f t="shared" si="495"/>
        <v>AZRAD UMAR BIN SHAARI</v>
      </c>
      <c r="V1212" t="str">
        <f t="shared" si="496"/>
        <v>FARHANA BINTI MUSTAPA</v>
      </c>
      <c r="W1212" t="str">
        <f t="shared" si="497"/>
        <v>04-08-2020</v>
      </c>
      <c r="X1212" t="str">
        <f t="shared" si="498"/>
        <v>RAZIMAH ANSAR AHMAD</v>
      </c>
      <c r="Y1212" t="str">
        <f t="shared" si="499"/>
        <v>04-08-2020</v>
      </c>
      <c r="Z1212" t="str">
        <f>"COS10200804 7942"</f>
        <v>COS10200804 7942</v>
      </c>
    </row>
    <row r="1213" spans="1:26" x14ac:dyDescent="0.25">
      <c r="A1213" t="str">
        <f t="shared" si="504"/>
        <v>04-08-2020 01:08:42</v>
      </c>
      <c r="B1213" t="str">
        <f>"0000809743"</f>
        <v>0000809743</v>
      </c>
      <c r="C1213" t="str">
        <f t="shared" si="505"/>
        <v>0000809602</v>
      </c>
      <c r="D1213" t="str">
        <f t="shared" si="487"/>
        <v>73185</v>
      </c>
      <c r="E1213" t="str">
        <f t="shared" si="488"/>
        <v>KFH-OPERATIONS DEPARTMENT</v>
      </c>
      <c r="F1213" t="str">
        <f t="shared" si="489"/>
        <v>IBG</v>
      </c>
      <c r="G1213" t="str">
        <f t="shared" si="500"/>
        <v>Refund COSHARE 10</v>
      </c>
      <c r="H1213" s="2">
        <v>1169</v>
      </c>
      <c r="I1213" t="str">
        <f>"ZAHRATULLAILA BINTI  ISMAIL"</f>
        <v>ZAHRATULLAILA BINTI  ISMAIL</v>
      </c>
      <c r="J1213" t="str">
        <f t="shared" si="503"/>
        <v>MAYBANK / MAYBANK ISLAMIC</v>
      </c>
      <c r="K1213" t="str">
        <f>"151025638313"</f>
        <v>151025638313</v>
      </c>
      <c r="L1213" t="str">
        <f t="shared" si="508"/>
        <v>04-08-2020</v>
      </c>
      <c r="M1213" t="str">
        <f t="shared" si="508"/>
        <v>04-08-2020</v>
      </c>
      <c r="N1213" t="str">
        <f t="shared" si="490"/>
        <v>001105018356</v>
      </c>
      <c r="O1213" t="str">
        <f t="shared" si="491"/>
        <v>MYR</v>
      </c>
      <c r="P1213" t="str">
        <f t="shared" si="509"/>
        <v>NIL</v>
      </c>
      <c r="Q1213" t="str">
        <f t="shared" si="509"/>
        <v>NIL</v>
      </c>
      <c r="R1213" t="str">
        <f t="shared" si="492"/>
        <v>Accepted</v>
      </c>
      <c r="S1213" t="str">
        <f t="shared" si="493"/>
        <v>Approved</v>
      </c>
      <c r="T1213" t="str">
        <f t="shared" si="494"/>
        <v>10.20.8.188</v>
      </c>
      <c r="U1213" t="str">
        <f t="shared" si="495"/>
        <v>AZRAD UMAR BIN SHAARI</v>
      </c>
      <c r="V1213" t="str">
        <f t="shared" si="496"/>
        <v>FARHANA BINTI MUSTAPA</v>
      </c>
      <c r="W1213" t="str">
        <f t="shared" si="497"/>
        <v>04-08-2020</v>
      </c>
      <c r="X1213" t="str">
        <f t="shared" si="498"/>
        <v>RAZIMAH ANSAR AHMAD</v>
      </c>
      <c r="Y1213" t="str">
        <f t="shared" si="499"/>
        <v>04-08-2020</v>
      </c>
      <c r="Z1213" t="str">
        <f>"COS10200804 7941"</f>
        <v>COS10200804 7941</v>
      </c>
    </row>
    <row r="1214" spans="1:26" x14ac:dyDescent="0.25">
      <c r="A1214" t="str">
        <f t="shared" si="504"/>
        <v>04-08-2020 01:08:42</v>
      </c>
      <c r="B1214" t="str">
        <f>"0000809742"</f>
        <v>0000809742</v>
      </c>
      <c r="C1214" t="str">
        <f t="shared" si="505"/>
        <v>0000809602</v>
      </c>
      <c r="D1214" t="str">
        <f t="shared" si="487"/>
        <v>73185</v>
      </c>
      <c r="E1214" t="str">
        <f t="shared" si="488"/>
        <v>KFH-OPERATIONS DEPARTMENT</v>
      </c>
      <c r="F1214" t="str">
        <f t="shared" si="489"/>
        <v>IBG</v>
      </c>
      <c r="G1214" t="str">
        <f t="shared" si="500"/>
        <v>Refund COSHARE 10</v>
      </c>
      <c r="H1214" s="2">
        <v>1007.4</v>
      </c>
      <c r="I1214" t="str">
        <f>"ZAHIMAH BINTI ZAKARIA"</f>
        <v>ZAHIMAH BINTI ZAKARIA</v>
      </c>
      <c r="J1214" t="str">
        <f t="shared" si="503"/>
        <v>MAYBANK / MAYBANK ISLAMIC</v>
      </c>
      <c r="K1214" t="str">
        <f>"114281042056"</f>
        <v>114281042056</v>
      </c>
      <c r="L1214" t="str">
        <f t="shared" si="508"/>
        <v>04-08-2020</v>
      </c>
      <c r="M1214" t="str">
        <f t="shared" si="508"/>
        <v>04-08-2020</v>
      </c>
      <c r="N1214" t="str">
        <f t="shared" si="490"/>
        <v>001105018356</v>
      </c>
      <c r="O1214" t="str">
        <f t="shared" si="491"/>
        <v>MYR</v>
      </c>
      <c r="P1214" t="str">
        <f t="shared" si="509"/>
        <v>NIL</v>
      </c>
      <c r="Q1214" t="str">
        <f t="shared" si="509"/>
        <v>NIL</v>
      </c>
      <c r="R1214" t="str">
        <f t="shared" si="492"/>
        <v>Accepted</v>
      </c>
      <c r="S1214" t="str">
        <f t="shared" si="493"/>
        <v>Approved</v>
      </c>
      <c r="T1214" t="str">
        <f t="shared" si="494"/>
        <v>10.20.8.188</v>
      </c>
      <c r="U1214" t="str">
        <f t="shared" si="495"/>
        <v>AZRAD UMAR BIN SHAARI</v>
      </c>
      <c r="V1214" t="str">
        <f t="shared" si="496"/>
        <v>FARHANA BINTI MUSTAPA</v>
      </c>
      <c r="W1214" t="str">
        <f t="shared" si="497"/>
        <v>04-08-2020</v>
      </c>
      <c r="X1214" t="str">
        <f t="shared" si="498"/>
        <v>RAZIMAH ANSAR AHMAD</v>
      </c>
      <c r="Y1214" t="str">
        <f t="shared" si="499"/>
        <v>04-08-2020</v>
      </c>
      <c r="Z1214" t="str">
        <f>"COS10200804 7940"</f>
        <v>COS10200804 7940</v>
      </c>
    </row>
    <row r="1215" spans="1:26" x14ac:dyDescent="0.25">
      <c r="A1215" t="str">
        <f t="shared" si="504"/>
        <v>04-08-2020 01:08:42</v>
      </c>
      <c r="B1215" t="str">
        <f>"0000809741"</f>
        <v>0000809741</v>
      </c>
      <c r="C1215" t="str">
        <f t="shared" si="505"/>
        <v>0000809602</v>
      </c>
      <c r="D1215" t="str">
        <f t="shared" si="487"/>
        <v>73185</v>
      </c>
      <c r="E1215" t="str">
        <f t="shared" si="488"/>
        <v>KFH-OPERATIONS DEPARTMENT</v>
      </c>
      <c r="F1215" t="str">
        <f t="shared" si="489"/>
        <v>IBG</v>
      </c>
      <c r="G1215" t="str">
        <f t="shared" si="500"/>
        <v>Refund COSHARE 10</v>
      </c>
      <c r="H1215" s="2">
        <v>503.7</v>
      </c>
      <c r="I1215" t="str">
        <f>"ZAHARI BIN MOHAMAD"</f>
        <v>ZAHARI BIN MOHAMAD</v>
      </c>
      <c r="J1215" t="str">
        <f t="shared" si="503"/>
        <v>MAYBANK / MAYBANK ISLAMIC</v>
      </c>
      <c r="K1215" t="str">
        <f>"152068800309"</f>
        <v>152068800309</v>
      </c>
      <c r="L1215" t="str">
        <f t="shared" si="508"/>
        <v>04-08-2020</v>
      </c>
      <c r="M1215" t="str">
        <f t="shared" si="508"/>
        <v>04-08-2020</v>
      </c>
      <c r="N1215" t="str">
        <f t="shared" si="490"/>
        <v>001105018356</v>
      </c>
      <c r="O1215" t="str">
        <f t="shared" si="491"/>
        <v>MYR</v>
      </c>
      <c r="P1215" t="str">
        <f t="shared" si="509"/>
        <v>NIL</v>
      </c>
      <c r="Q1215" t="str">
        <f t="shared" si="509"/>
        <v>NIL</v>
      </c>
      <c r="R1215" t="str">
        <f t="shared" si="492"/>
        <v>Accepted</v>
      </c>
      <c r="S1215" t="str">
        <f t="shared" si="493"/>
        <v>Approved</v>
      </c>
      <c r="T1215" t="str">
        <f t="shared" si="494"/>
        <v>10.20.8.188</v>
      </c>
      <c r="U1215" t="str">
        <f t="shared" si="495"/>
        <v>AZRAD UMAR BIN SHAARI</v>
      </c>
      <c r="V1215" t="str">
        <f t="shared" si="496"/>
        <v>FARHANA BINTI MUSTAPA</v>
      </c>
      <c r="W1215" t="str">
        <f t="shared" si="497"/>
        <v>04-08-2020</v>
      </c>
      <c r="X1215" t="str">
        <f t="shared" si="498"/>
        <v>RAZIMAH ANSAR AHMAD</v>
      </c>
      <c r="Y1215" t="str">
        <f t="shared" si="499"/>
        <v>04-08-2020</v>
      </c>
      <c r="Z1215" t="str">
        <f>"COS10200804 7939"</f>
        <v>COS10200804 7939</v>
      </c>
    </row>
    <row r="1216" spans="1:26" x14ac:dyDescent="0.25">
      <c r="A1216" t="str">
        <f t="shared" si="504"/>
        <v>04-08-2020 01:08:42</v>
      </c>
      <c r="B1216" t="str">
        <f>"0000809740"</f>
        <v>0000809740</v>
      </c>
      <c r="C1216" t="str">
        <f t="shared" si="505"/>
        <v>0000809602</v>
      </c>
      <c r="D1216" t="str">
        <f t="shared" si="487"/>
        <v>73185</v>
      </c>
      <c r="E1216" t="str">
        <f t="shared" si="488"/>
        <v>KFH-OPERATIONS DEPARTMENT</v>
      </c>
      <c r="F1216" t="str">
        <f t="shared" si="489"/>
        <v>IBG</v>
      </c>
      <c r="G1216" t="str">
        <f t="shared" si="500"/>
        <v>Refund COSHARE 10</v>
      </c>
      <c r="H1216" s="2">
        <v>96</v>
      </c>
      <c r="I1216" t="str">
        <f>"ZAHARI BIN HARUN"</f>
        <v>ZAHARI BIN HARUN</v>
      </c>
      <c r="J1216" t="str">
        <f t="shared" si="503"/>
        <v>MAYBANK / MAYBANK ISLAMIC</v>
      </c>
      <c r="K1216" t="str">
        <f>"103024232916"</f>
        <v>103024232916</v>
      </c>
      <c r="L1216" t="str">
        <f t="shared" si="508"/>
        <v>04-08-2020</v>
      </c>
      <c r="M1216" t="str">
        <f t="shared" si="508"/>
        <v>04-08-2020</v>
      </c>
      <c r="N1216" t="str">
        <f t="shared" si="490"/>
        <v>001105018356</v>
      </c>
      <c r="O1216" t="str">
        <f t="shared" si="491"/>
        <v>MYR</v>
      </c>
      <c r="P1216" t="str">
        <f t="shared" si="509"/>
        <v>NIL</v>
      </c>
      <c r="Q1216" t="str">
        <f t="shared" si="509"/>
        <v>NIL</v>
      </c>
      <c r="R1216" t="str">
        <f t="shared" si="492"/>
        <v>Accepted</v>
      </c>
      <c r="S1216" t="str">
        <f t="shared" si="493"/>
        <v>Approved</v>
      </c>
      <c r="T1216" t="str">
        <f t="shared" si="494"/>
        <v>10.20.8.188</v>
      </c>
      <c r="U1216" t="str">
        <f t="shared" si="495"/>
        <v>AZRAD UMAR BIN SHAARI</v>
      </c>
      <c r="V1216" t="str">
        <f t="shared" si="496"/>
        <v>FARHANA BINTI MUSTAPA</v>
      </c>
      <c r="W1216" t="str">
        <f t="shared" si="497"/>
        <v>04-08-2020</v>
      </c>
      <c r="X1216" t="str">
        <f t="shared" si="498"/>
        <v>RAZIMAH ANSAR AHMAD</v>
      </c>
      <c r="Y1216" t="str">
        <f t="shared" si="499"/>
        <v>04-08-2020</v>
      </c>
      <c r="Z1216" t="str">
        <f>"COS10200804 7938"</f>
        <v>COS10200804 7938</v>
      </c>
    </row>
    <row r="1217" spans="1:26" x14ac:dyDescent="0.25">
      <c r="A1217" t="str">
        <f t="shared" si="504"/>
        <v>04-08-2020 01:08:42</v>
      </c>
      <c r="B1217" t="str">
        <f>"0000809739"</f>
        <v>0000809739</v>
      </c>
      <c r="C1217" t="str">
        <f t="shared" si="505"/>
        <v>0000809602</v>
      </c>
      <c r="D1217" t="str">
        <f t="shared" si="487"/>
        <v>73185</v>
      </c>
      <c r="E1217" t="str">
        <f t="shared" si="488"/>
        <v>KFH-OPERATIONS DEPARTMENT</v>
      </c>
      <c r="F1217" t="str">
        <f t="shared" si="489"/>
        <v>IBG</v>
      </c>
      <c r="G1217" t="str">
        <f t="shared" si="500"/>
        <v>Refund COSHARE 10</v>
      </c>
      <c r="H1217" s="2">
        <v>36.6</v>
      </c>
      <c r="I1217" t="str">
        <f>"ZAHARI BIN ABD RASHID"</f>
        <v>ZAHARI BIN ABD RASHID</v>
      </c>
      <c r="J1217" t="str">
        <f t="shared" si="503"/>
        <v>MAYBANK / MAYBANK ISLAMIC</v>
      </c>
      <c r="K1217" t="str">
        <f>"157072007311"</f>
        <v>157072007311</v>
      </c>
      <c r="L1217" t="str">
        <f t="shared" si="508"/>
        <v>04-08-2020</v>
      </c>
      <c r="M1217" t="str">
        <f t="shared" si="508"/>
        <v>04-08-2020</v>
      </c>
      <c r="N1217" t="str">
        <f t="shared" si="490"/>
        <v>001105018356</v>
      </c>
      <c r="O1217" t="str">
        <f t="shared" si="491"/>
        <v>MYR</v>
      </c>
      <c r="P1217" t="str">
        <f t="shared" si="509"/>
        <v>NIL</v>
      </c>
      <c r="Q1217" t="str">
        <f t="shared" si="509"/>
        <v>NIL</v>
      </c>
      <c r="R1217" t="str">
        <f t="shared" si="492"/>
        <v>Accepted</v>
      </c>
      <c r="S1217" t="str">
        <f t="shared" si="493"/>
        <v>Approved</v>
      </c>
      <c r="T1217" t="str">
        <f t="shared" si="494"/>
        <v>10.20.8.188</v>
      </c>
      <c r="U1217" t="str">
        <f t="shared" si="495"/>
        <v>AZRAD UMAR BIN SHAARI</v>
      </c>
      <c r="V1217" t="str">
        <f t="shared" si="496"/>
        <v>FARHANA BINTI MUSTAPA</v>
      </c>
      <c r="W1217" t="str">
        <f t="shared" si="497"/>
        <v>04-08-2020</v>
      </c>
      <c r="X1217" t="str">
        <f t="shared" si="498"/>
        <v>RAZIMAH ANSAR AHMAD</v>
      </c>
      <c r="Y1217" t="str">
        <f t="shared" si="499"/>
        <v>04-08-2020</v>
      </c>
      <c r="Z1217" t="str">
        <f>"COS10200804 7937"</f>
        <v>COS10200804 7937</v>
      </c>
    </row>
    <row r="1218" spans="1:26" x14ac:dyDescent="0.25">
      <c r="A1218" t="str">
        <f t="shared" ref="A1218:A1249" si="510">"04-08-2020 01:08:42"</f>
        <v>04-08-2020 01:08:42</v>
      </c>
      <c r="B1218" t="str">
        <f>"0000809738"</f>
        <v>0000809738</v>
      </c>
      <c r="C1218" t="str">
        <f t="shared" ref="C1218:C1249" si="511">"0000809602"</f>
        <v>0000809602</v>
      </c>
      <c r="D1218" t="str">
        <f t="shared" si="487"/>
        <v>73185</v>
      </c>
      <c r="E1218" t="str">
        <f t="shared" si="488"/>
        <v>KFH-OPERATIONS DEPARTMENT</v>
      </c>
      <c r="F1218" t="str">
        <f t="shared" si="489"/>
        <v>IBG</v>
      </c>
      <c r="G1218" t="str">
        <f t="shared" si="500"/>
        <v>Refund COSHARE 10</v>
      </c>
      <c r="H1218" s="2">
        <v>1125.95</v>
      </c>
      <c r="I1218" t="str">
        <f>"ZAHARAH BINTI HAMZAH"</f>
        <v>ZAHARAH BINTI HAMZAH</v>
      </c>
      <c r="J1218" t="str">
        <f t="shared" si="503"/>
        <v>MAYBANK / MAYBANK ISLAMIC</v>
      </c>
      <c r="K1218" t="str">
        <f>"158015022567"</f>
        <v>158015022567</v>
      </c>
      <c r="L1218" t="str">
        <f t="shared" si="508"/>
        <v>04-08-2020</v>
      </c>
      <c r="M1218" t="str">
        <f t="shared" si="508"/>
        <v>04-08-2020</v>
      </c>
      <c r="N1218" t="str">
        <f t="shared" si="490"/>
        <v>001105018356</v>
      </c>
      <c r="O1218" t="str">
        <f t="shared" si="491"/>
        <v>MYR</v>
      </c>
      <c r="P1218" t="str">
        <f t="shared" si="509"/>
        <v>NIL</v>
      </c>
      <c r="Q1218" t="str">
        <f t="shared" si="509"/>
        <v>NIL</v>
      </c>
      <c r="R1218" t="str">
        <f t="shared" si="492"/>
        <v>Accepted</v>
      </c>
      <c r="S1218" t="str">
        <f t="shared" si="493"/>
        <v>Approved</v>
      </c>
      <c r="T1218" t="str">
        <f t="shared" si="494"/>
        <v>10.20.8.188</v>
      </c>
      <c r="U1218" t="str">
        <f t="shared" si="495"/>
        <v>AZRAD UMAR BIN SHAARI</v>
      </c>
      <c r="V1218" t="str">
        <f t="shared" si="496"/>
        <v>FARHANA BINTI MUSTAPA</v>
      </c>
      <c r="W1218" t="str">
        <f t="shared" si="497"/>
        <v>04-08-2020</v>
      </c>
      <c r="X1218" t="str">
        <f t="shared" si="498"/>
        <v>RAZIMAH ANSAR AHMAD</v>
      </c>
      <c r="Y1218" t="str">
        <f t="shared" si="499"/>
        <v>04-08-2020</v>
      </c>
      <c r="Z1218" t="str">
        <f>"COS10200804 7936"</f>
        <v>COS10200804 7936</v>
      </c>
    </row>
    <row r="1219" spans="1:26" x14ac:dyDescent="0.25">
      <c r="A1219" t="str">
        <f t="shared" si="510"/>
        <v>04-08-2020 01:08:42</v>
      </c>
      <c r="B1219" t="str">
        <f>"0000809737"</f>
        <v>0000809737</v>
      </c>
      <c r="C1219" t="str">
        <f t="shared" si="511"/>
        <v>0000809602</v>
      </c>
      <c r="D1219" t="str">
        <f t="shared" si="487"/>
        <v>73185</v>
      </c>
      <c r="E1219" t="str">
        <f t="shared" si="488"/>
        <v>KFH-OPERATIONS DEPARTMENT</v>
      </c>
      <c r="F1219" t="str">
        <f t="shared" si="489"/>
        <v>IBG</v>
      </c>
      <c r="G1219" t="str">
        <f t="shared" si="500"/>
        <v>Refund COSHARE 10</v>
      </c>
      <c r="H1219" s="2">
        <v>130</v>
      </c>
      <c r="I1219" t="str">
        <f>"ZAHARAH BINTI DOLAH MOKSIM"</f>
        <v>ZAHARAH BINTI DOLAH MOKSIM</v>
      </c>
      <c r="J1219" t="str">
        <f t="shared" si="503"/>
        <v>MAYBANK / MAYBANK ISLAMIC</v>
      </c>
      <c r="K1219" t="str">
        <f>"158015096948"</f>
        <v>158015096948</v>
      </c>
      <c r="L1219" t="str">
        <f t="shared" si="508"/>
        <v>04-08-2020</v>
      </c>
      <c r="M1219" t="str">
        <f t="shared" si="508"/>
        <v>04-08-2020</v>
      </c>
      <c r="N1219" t="str">
        <f t="shared" si="490"/>
        <v>001105018356</v>
      </c>
      <c r="O1219" t="str">
        <f t="shared" si="491"/>
        <v>MYR</v>
      </c>
      <c r="P1219" t="str">
        <f t="shared" si="509"/>
        <v>NIL</v>
      </c>
      <c r="Q1219" t="str">
        <f t="shared" si="509"/>
        <v>NIL</v>
      </c>
      <c r="R1219" t="str">
        <f t="shared" si="492"/>
        <v>Accepted</v>
      </c>
      <c r="S1219" t="str">
        <f t="shared" si="493"/>
        <v>Approved</v>
      </c>
      <c r="T1219" t="str">
        <f t="shared" si="494"/>
        <v>10.20.8.188</v>
      </c>
      <c r="U1219" t="str">
        <f t="shared" si="495"/>
        <v>AZRAD UMAR BIN SHAARI</v>
      </c>
      <c r="V1219" t="str">
        <f t="shared" si="496"/>
        <v>FARHANA BINTI MUSTAPA</v>
      </c>
      <c r="W1219" t="str">
        <f t="shared" si="497"/>
        <v>04-08-2020</v>
      </c>
      <c r="X1219" t="str">
        <f t="shared" si="498"/>
        <v>RAZIMAH ANSAR AHMAD</v>
      </c>
      <c r="Y1219" t="str">
        <f t="shared" si="499"/>
        <v>04-08-2020</v>
      </c>
      <c r="Z1219" t="str">
        <f>"COS10200804 7935"</f>
        <v>COS10200804 7935</v>
      </c>
    </row>
    <row r="1220" spans="1:26" x14ac:dyDescent="0.25">
      <c r="A1220" t="str">
        <f t="shared" si="510"/>
        <v>04-08-2020 01:08:42</v>
      </c>
      <c r="B1220" t="str">
        <f>"0000809736"</f>
        <v>0000809736</v>
      </c>
      <c r="C1220" t="str">
        <f t="shared" si="511"/>
        <v>0000809602</v>
      </c>
      <c r="D1220" t="str">
        <f t="shared" si="487"/>
        <v>73185</v>
      </c>
      <c r="E1220" t="str">
        <f t="shared" si="488"/>
        <v>KFH-OPERATIONS DEPARTMENT</v>
      </c>
      <c r="F1220" t="str">
        <f t="shared" si="489"/>
        <v>IBG</v>
      </c>
      <c r="G1220" t="str">
        <f t="shared" si="500"/>
        <v>Refund COSHARE 10</v>
      </c>
      <c r="H1220" s="2">
        <v>327</v>
      </c>
      <c r="I1220" t="str">
        <f>"ZAHARAH BINTI BAKAR"</f>
        <v>ZAHARAH BINTI BAKAR</v>
      </c>
      <c r="J1220" t="str">
        <f t="shared" si="503"/>
        <v>MAYBANK / MAYBANK ISLAMIC</v>
      </c>
      <c r="K1220" t="str">
        <f>"161060888317"</f>
        <v>161060888317</v>
      </c>
      <c r="L1220" t="str">
        <f t="shared" si="508"/>
        <v>04-08-2020</v>
      </c>
      <c r="M1220" t="str">
        <f t="shared" si="508"/>
        <v>04-08-2020</v>
      </c>
      <c r="N1220" t="str">
        <f t="shared" si="490"/>
        <v>001105018356</v>
      </c>
      <c r="O1220" t="str">
        <f t="shared" si="491"/>
        <v>MYR</v>
      </c>
      <c r="P1220" t="str">
        <f t="shared" si="509"/>
        <v>NIL</v>
      </c>
      <c r="Q1220" t="str">
        <f t="shared" si="509"/>
        <v>NIL</v>
      </c>
      <c r="R1220" t="str">
        <f t="shared" si="492"/>
        <v>Accepted</v>
      </c>
      <c r="S1220" t="str">
        <f t="shared" si="493"/>
        <v>Approved</v>
      </c>
      <c r="T1220" t="str">
        <f t="shared" si="494"/>
        <v>10.20.8.188</v>
      </c>
      <c r="U1220" t="str">
        <f t="shared" si="495"/>
        <v>AZRAD UMAR BIN SHAARI</v>
      </c>
      <c r="V1220" t="str">
        <f t="shared" si="496"/>
        <v>FARHANA BINTI MUSTAPA</v>
      </c>
      <c r="W1220" t="str">
        <f t="shared" si="497"/>
        <v>04-08-2020</v>
      </c>
      <c r="X1220" t="str">
        <f t="shared" si="498"/>
        <v>RAZIMAH ANSAR AHMAD</v>
      </c>
      <c r="Y1220" t="str">
        <f t="shared" si="499"/>
        <v>04-08-2020</v>
      </c>
      <c r="Z1220" t="str">
        <f>"COS10200804 7934"</f>
        <v>COS10200804 7934</v>
      </c>
    </row>
    <row r="1221" spans="1:26" x14ac:dyDescent="0.25">
      <c r="A1221" t="str">
        <f t="shared" si="510"/>
        <v>04-08-2020 01:08:42</v>
      </c>
      <c r="B1221" t="str">
        <f>"0000809735"</f>
        <v>0000809735</v>
      </c>
      <c r="C1221" t="str">
        <f t="shared" si="511"/>
        <v>0000809602</v>
      </c>
      <c r="D1221" t="str">
        <f t="shared" si="487"/>
        <v>73185</v>
      </c>
      <c r="E1221" t="str">
        <f t="shared" si="488"/>
        <v>KFH-OPERATIONS DEPARTMENT</v>
      </c>
      <c r="F1221" t="str">
        <f t="shared" si="489"/>
        <v>IBG</v>
      </c>
      <c r="G1221" t="str">
        <f t="shared" si="500"/>
        <v>Refund COSHARE 10</v>
      </c>
      <c r="H1221" s="2">
        <v>563</v>
      </c>
      <c r="I1221" t="str">
        <f>"ZAHANIFA BINTI ROHAN"</f>
        <v>ZAHANIFA BINTI ROHAN</v>
      </c>
      <c r="J1221" t="str">
        <f t="shared" si="503"/>
        <v>MAYBANK / MAYBANK ISLAMIC</v>
      </c>
      <c r="K1221" t="str">
        <f>"151445022494"</f>
        <v>151445022494</v>
      </c>
      <c r="L1221" t="str">
        <f t="shared" si="508"/>
        <v>04-08-2020</v>
      </c>
      <c r="M1221" t="str">
        <f t="shared" si="508"/>
        <v>04-08-2020</v>
      </c>
      <c r="N1221" t="str">
        <f t="shared" si="490"/>
        <v>001105018356</v>
      </c>
      <c r="O1221" t="str">
        <f t="shared" si="491"/>
        <v>MYR</v>
      </c>
      <c r="P1221" t="str">
        <f t="shared" si="509"/>
        <v>NIL</v>
      </c>
      <c r="Q1221" t="str">
        <f t="shared" si="509"/>
        <v>NIL</v>
      </c>
      <c r="R1221" t="str">
        <f t="shared" si="492"/>
        <v>Accepted</v>
      </c>
      <c r="S1221" t="str">
        <f t="shared" si="493"/>
        <v>Approved</v>
      </c>
      <c r="T1221" t="str">
        <f t="shared" si="494"/>
        <v>10.20.8.188</v>
      </c>
      <c r="U1221" t="str">
        <f t="shared" si="495"/>
        <v>AZRAD UMAR BIN SHAARI</v>
      </c>
      <c r="V1221" t="str">
        <f t="shared" si="496"/>
        <v>FARHANA BINTI MUSTAPA</v>
      </c>
      <c r="W1221" t="str">
        <f t="shared" si="497"/>
        <v>04-08-2020</v>
      </c>
      <c r="X1221" t="str">
        <f t="shared" si="498"/>
        <v>RAZIMAH ANSAR AHMAD</v>
      </c>
      <c r="Y1221" t="str">
        <f t="shared" si="499"/>
        <v>04-08-2020</v>
      </c>
      <c r="Z1221" t="str">
        <f>"COS10200804 7933"</f>
        <v>COS10200804 7933</v>
      </c>
    </row>
    <row r="1222" spans="1:26" x14ac:dyDescent="0.25">
      <c r="A1222" t="str">
        <f t="shared" si="510"/>
        <v>04-08-2020 01:08:42</v>
      </c>
      <c r="B1222" t="str">
        <f>"0000809734"</f>
        <v>0000809734</v>
      </c>
      <c r="C1222" t="str">
        <f t="shared" si="511"/>
        <v>0000809602</v>
      </c>
      <c r="D1222" t="str">
        <f t="shared" si="487"/>
        <v>73185</v>
      </c>
      <c r="E1222" t="str">
        <f t="shared" si="488"/>
        <v>KFH-OPERATIONS DEPARTMENT</v>
      </c>
      <c r="F1222" t="str">
        <f t="shared" si="489"/>
        <v>IBG</v>
      </c>
      <c r="G1222" t="str">
        <f t="shared" si="500"/>
        <v>Refund COSHARE 10</v>
      </c>
      <c r="H1222" s="2">
        <v>62.1</v>
      </c>
      <c r="I1222" t="str">
        <f>"ZAHANA BINTI HAMDZAH"</f>
        <v>ZAHANA BINTI HAMDZAH</v>
      </c>
      <c r="J1222" t="str">
        <f t="shared" si="503"/>
        <v>MAYBANK / MAYBANK ISLAMIC</v>
      </c>
      <c r="K1222" t="str">
        <f>"158154003927"</f>
        <v>158154003927</v>
      </c>
      <c r="L1222" t="str">
        <f t="shared" si="508"/>
        <v>04-08-2020</v>
      </c>
      <c r="M1222" t="str">
        <f t="shared" si="508"/>
        <v>04-08-2020</v>
      </c>
      <c r="N1222" t="str">
        <f t="shared" si="490"/>
        <v>001105018356</v>
      </c>
      <c r="O1222" t="str">
        <f t="shared" si="491"/>
        <v>MYR</v>
      </c>
      <c r="P1222" t="str">
        <f t="shared" si="509"/>
        <v>NIL</v>
      </c>
      <c r="Q1222" t="str">
        <f t="shared" si="509"/>
        <v>NIL</v>
      </c>
      <c r="R1222" t="str">
        <f t="shared" si="492"/>
        <v>Accepted</v>
      </c>
      <c r="S1222" t="str">
        <f t="shared" si="493"/>
        <v>Approved</v>
      </c>
      <c r="T1222" t="str">
        <f t="shared" si="494"/>
        <v>10.20.8.188</v>
      </c>
      <c r="U1222" t="str">
        <f t="shared" si="495"/>
        <v>AZRAD UMAR BIN SHAARI</v>
      </c>
      <c r="V1222" t="str">
        <f t="shared" si="496"/>
        <v>FARHANA BINTI MUSTAPA</v>
      </c>
      <c r="W1222" t="str">
        <f t="shared" si="497"/>
        <v>04-08-2020</v>
      </c>
      <c r="X1222" t="str">
        <f t="shared" si="498"/>
        <v>RAZIMAH ANSAR AHMAD</v>
      </c>
      <c r="Y1222" t="str">
        <f t="shared" si="499"/>
        <v>04-08-2020</v>
      </c>
      <c r="Z1222" t="str">
        <f>"COS10200804 7932"</f>
        <v>COS10200804 7932</v>
      </c>
    </row>
    <row r="1223" spans="1:26" x14ac:dyDescent="0.25">
      <c r="A1223" t="str">
        <f t="shared" si="510"/>
        <v>04-08-2020 01:08:42</v>
      </c>
      <c r="B1223" t="str">
        <f>"0000809733"</f>
        <v>0000809733</v>
      </c>
      <c r="C1223" t="str">
        <f t="shared" si="511"/>
        <v>0000809602</v>
      </c>
      <c r="D1223" t="str">
        <f t="shared" ref="D1223:D1286" si="512">"73185"</f>
        <v>73185</v>
      </c>
      <c r="E1223" t="str">
        <f t="shared" ref="E1223:E1286" si="513">"KFH-OPERATIONS DEPARTMENT"</f>
        <v>KFH-OPERATIONS DEPARTMENT</v>
      </c>
      <c r="F1223" t="str">
        <f t="shared" ref="F1223:F1286" si="514">"IBG"</f>
        <v>IBG</v>
      </c>
      <c r="G1223" t="str">
        <f t="shared" si="500"/>
        <v>Refund COSHARE 10</v>
      </c>
      <c r="H1223" s="2">
        <v>822.7</v>
      </c>
      <c r="I1223" t="str">
        <f>"ZABINAH BINTI SAAT"</f>
        <v>ZABINAH BINTI SAAT</v>
      </c>
      <c r="J1223" t="str">
        <f t="shared" si="503"/>
        <v>MAYBANK / MAYBANK ISLAMIC</v>
      </c>
      <c r="K1223" t="str">
        <f>"155014928528"</f>
        <v>155014928528</v>
      </c>
      <c r="L1223" t="str">
        <f t="shared" si="508"/>
        <v>04-08-2020</v>
      </c>
      <c r="M1223" t="str">
        <f t="shared" si="508"/>
        <v>04-08-2020</v>
      </c>
      <c r="N1223" t="str">
        <f t="shared" ref="N1223:N1286" si="515">"001105018356"</f>
        <v>001105018356</v>
      </c>
      <c r="O1223" t="str">
        <f t="shared" ref="O1223:O1286" si="516">"MYR"</f>
        <v>MYR</v>
      </c>
      <c r="P1223" t="str">
        <f t="shared" si="509"/>
        <v>NIL</v>
      </c>
      <c r="Q1223" t="str">
        <f t="shared" si="509"/>
        <v>NIL</v>
      </c>
      <c r="R1223" t="str">
        <f t="shared" ref="R1223:R1286" si="517">"Accepted"</f>
        <v>Accepted</v>
      </c>
      <c r="S1223" t="str">
        <f t="shared" ref="S1223:S1286" si="518">"Approved"</f>
        <v>Approved</v>
      </c>
      <c r="T1223" t="str">
        <f t="shared" ref="T1223:T1286" si="519">"10.20.8.188"</f>
        <v>10.20.8.188</v>
      </c>
      <c r="U1223" t="str">
        <f t="shared" ref="U1223:U1286" si="520">"AZRAD UMAR BIN SHAARI"</f>
        <v>AZRAD UMAR BIN SHAARI</v>
      </c>
      <c r="V1223" t="str">
        <f t="shared" ref="V1223:V1286" si="521">"FARHANA BINTI MUSTAPA"</f>
        <v>FARHANA BINTI MUSTAPA</v>
      </c>
      <c r="W1223" t="str">
        <f t="shared" ref="W1223:W1286" si="522">"04-08-2020"</f>
        <v>04-08-2020</v>
      </c>
      <c r="X1223" t="str">
        <f t="shared" ref="X1223:X1286" si="523">"RAZIMAH ANSAR AHMAD"</f>
        <v>RAZIMAH ANSAR AHMAD</v>
      </c>
      <c r="Y1223" t="str">
        <f t="shared" ref="Y1223:Y1286" si="524">"04-08-2020"</f>
        <v>04-08-2020</v>
      </c>
      <c r="Z1223" t="str">
        <f>"COS10200804 7931"</f>
        <v>COS10200804 7931</v>
      </c>
    </row>
    <row r="1224" spans="1:26" x14ac:dyDescent="0.25">
      <c r="A1224" t="str">
        <f t="shared" si="510"/>
        <v>04-08-2020 01:08:42</v>
      </c>
      <c r="B1224" t="str">
        <f>"0000809732"</f>
        <v>0000809732</v>
      </c>
      <c r="C1224" t="str">
        <f t="shared" si="511"/>
        <v>0000809602</v>
      </c>
      <c r="D1224" t="str">
        <f t="shared" si="512"/>
        <v>73185</v>
      </c>
      <c r="E1224" t="str">
        <f t="shared" si="513"/>
        <v>KFH-OPERATIONS DEPARTMENT</v>
      </c>
      <c r="F1224" t="str">
        <f t="shared" si="514"/>
        <v>IBG</v>
      </c>
      <c r="G1224" t="str">
        <f t="shared" si="500"/>
        <v>Refund COSHARE 10</v>
      </c>
      <c r="H1224" s="2">
        <v>1126.5</v>
      </c>
      <c r="I1224" t="str">
        <f>"ZABIDAH BINTI YUSUF"</f>
        <v>ZABIDAH BINTI YUSUF</v>
      </c>
      <c r="J1224" t="str">
        <f t="shared" si="503"/>
        <v>MAYBANK / MAYBANK ISLAMIC</v>
      </c>
      <c r="K1224" t="str">
        <f>"114178880960"</f>
        <v>114178880960</v>
      </c>
      <c r="L1224" t="str">
        <f t="shared" si="508"/>
        <v>04-08-2020</v>
      </c>
      <c r="M1224" t="str">
        <f t="shared" si="508"/>
        <v>04-08-2020</v>
      </c>
      <c r="N1224" t="str">
        <f t="shared" si="515"/>
        <v>001105018356</v>
      </c>
      <c r="O1224" t="str">
        <f t="shared" si="516"/>
        <v>MYR</v>
      </c>
      <c r="P1224" t="str">
        <f t="shared" si="509"/>
        <v>NIL</v>
      </c>
      <c r="Q1224" t="str">
        <f t="shared" si="509"/>
        <v>NIL</v>
      </c>
      <c r="R1224" t="str">
        <f t="shared" si="517"/>
        <v>Accepted</v>
      </c>
      <c r="S1224" t="str">
        <f t="shared" si="518"/>
        <v>Approved</v>
      </c>
      <c r="T1224" t="str">
        <f t="shared" si="519"/>
        <v>10.20.8.188</v>
      </c>
      <c r="U1224" t="str">
        <f t="shared" si="520"/>
        <v>AZRAD UMAR BIN SHAARI</v>
      </c>
      <c r="V1224" t="str">
        <f t="shared" si="521"/>
        <v>FARHANA BINTI MUSTAPA</v>
      </c>
      <c r="W1224" t="str">
        <f t="shared" si="522"/>
        <v>04-08-2020</v>
      </c>
      <c r="X1224" t="str">
        <f t="shared" si="523"/>
        <v>RAZIMAH ANSAR AHMAD</v>
      </c>
      <c r="Y1224" t="str">
        <f t="shared" si="524"/>
        <v>04-08-2020</v>
      </c>
      <c r="Z1224" t="str">
        <f>"COS10200804 7930"</f>
        <v>COS10200804 7930</v>
      </c>
    </row>
    <row r="1225" spans="1:26" x14ac:dyDescent="0.25">
      <c r="A1225" t="str">
        <f t="shared" si="510"/>
        <v>04-08-2020 01:08:42</v>
      </c>
      <c r="B1225" t="str">
        <f>"0000809731"</f>
        <v>0000809731</v>
      </c>
      <c r="C1225" t="str">
        <f t="shared" si="511"/>
        <v>0000809602</v>
      </c>
      <c r="D1225" t="str">
        <f t="shared" si="512"/>
        <v>73185</v>
      </c>
      <c r="E1225" t="str">
        <f t="shared" si="513"/>
        <v>KFH-OPERATIONS DEPARTMENT</v>
      </c>
      <c r="F1225" t="str">
        <f t="shared" si="514"/>
        <v>IBG</v>
      </c>
      <c r="G1225" t="str">
        <f t="shared" si="500"/>
        <v>Refund COSHARE 10</v>
      </c>
      <c r="H1225" s="2">
        <v>895.9</v>
      </c>
      <c r="I1225" t="str">
        <f>"ZABIDAH BINTI GHAZALLI"</f>
        <v>ZABIDAH BINTI GHAZALLI</v>
      </c>
      <c r="J1225" t="str">
        <f t="shared" si="503"/>
        <v>MAYBANK / MAYBANK ISLAMIC</v>
      </c>
      <c r="K1225" t="str">
        <f>"158051773958"</f>
        <v>158051773958</v>
      </c>
      <c r="L1225" t="str">
        <f t="shared" si="508"/>
        <v>04-08-2020</v>
      </c>
      <c r="M1225" t="str">
        <f t="shared" si="508"/>
        <v>04-08-2020</v>
      </c>
      <c r="N1225" t="str">
        <f t="shared" si="515"/>
        <v>001105018356</v>
      </c>
      <c r="O1225" t="str">
        <f t="shared" si="516"/>
        <v>MYR</v>
      </c>
      <c r="P1225" t="str">
        <f t="shared" si="509"/>
        <v>NIL</v>
      </c>
      <c r="Q1225" t="str">
        <f t="shared" si="509"/>
        <v>NIL</v>
      </c>
      <c r="R1225" t="str">
        <f t="shared" si="517"/>
        <v>Accepted</v>
      </c>
      <c r="S1225" t="str">
        <f t="shared" si="518"/>
        <v>Approved</v>
      </c>
      <c r="T1225" t="str">
        <f t="shared" si="519"/>
        <v>10.20.8.188</v>
      </c>
      <c r="U1225" t="str">
        <f t="shared" si="520"/>
        <v>AZRAD UMAR BIN SHAARI</v>
      </c>
      <c r="V1225" t="str">
        <f t="shared" si="521"/>
        <v>FARHANA BINTI MUSTAPA</v>
      </c>
      <c r="W1225" t="str">
        <f t="shared" si="522"/>
        <v>04-08-2020</v>
      </c>
      <c r="X1225" t="str">
        <f t="shared" si="523"/>
        <v>RAZIMAH ANSAR AHMAD</v>
      </c>
      <c r="Y1225" t="str">
        <f t="shared" si="524"/>
        <v>04-08-2020</v>
      </c>
      <c r="Z1225" t="str">
        <f>"COS10200804 7929"</f>
        <v>COS10200804 7929</v>
      </c>
    </row>
    <row r="1226" spans="1:26" x14ac:dyDescent="0.25">
      <c r="A1226" t="str">
        <f t="shared" si="510"/>
        <v>04-08-2020 01:08:42</v>
      </c>
      <c r="B1226" t="str">
        <f>"0000809730"</f>
        <v>0000809730</v>
      </c>
      <c r="C1226" t="str">
        <f t="shared" si="511"/>
        <v>0000809602</v>
      </c>
      <c r="D1226" t="str">
        <f t="shared" si="512"/>
        <v>73185</v>
      </c>
      <c r="E1226" t="str">
        <f t="shared" si="513"/>
        <v>KFH-OPERATIONS DEPARTMENT</v>
      </c>
      <c r="F1226" t="str">
        <f t="shared" si="514"/>
        <v>IBG</v>
      </c>
      <c r="G1226" t="str">
        <f t="shared" si="500"/>
        <v>Refund COSHARE 10</v>
      </c>
      <c r="H1226" s="2">
        <v>604.45000000000005</v>
      </c>
      <c r="I1226" t="str">
        <f>"YUSRIZAM BINTI YUSOP"</f>
        <v>YUSRIZAM BINTI YUSOP</v>
      </c>
      <c r="J1226" t="str">
        <f t="shared" si="503"/>
        <v>MAYBANK / MAYBANK ISLAMIC</v>
      </c>
      <c r="K1226" t="str">
        <f>"157241026518"</f>
        <v>157241026518</v>
      </c>
      <c r="L1226" t="str">
        <f t="shared" si="508"/>
        <v>04-08-2020</v>
      </c>
      <c r="M1226" t="str">
        <f t="shared" si="508"/>
        <v>04-08-2020</v>
      </c>
      <c r="N1226" t="str">
        <f t="shared" si="515"/>
        <v>001105018356</v>
      </c>
      <c r="O1226" t="str">
        <f t="shared" si="516"/>
        <v>MYR</v>
      </c>
      <c r="P1226" t="str">
        <f t="shared" si="509"/>
        <v>NIL</v>
      </c>
      <c r="Q1226" t="str">
        <f t="shared" si="509"/>
        <v>NIL</v>
      </c>
      <c r="R1226" t="str">
        <f t="shared" si="517"/>
        <v>Accepted</v>
      </c>
      <c r="S1226" t="str">
        <f t="shared" si="518"/>
        <v>Approved</v>
      </c>
      <c r="T1226" t="str">
        <f t="shared" si="519"/>
        <v>10.20.8.188</v>
      </c>
      <c r="U1226" t="str">
        <f t="shared" si="520"/>
        <v>AZRAD UMAR BIN SHAARI</v>
      </c>
      <c r="V1226" t="str">
        <f t="shared" si="521"/>
        <v>FARHANA BINTI MUSTAPA</v>
      </c>
      <c r="W1226" t="str">
        <f t="shared" si="522"/>
        <v>04-08-2020</v>
      </c>
      <c r="X1226" t="str">
        <f t="shared" si="523"/>
        <v>RAZIMAH ANSAR AHMAD</v>
      </c>
      <c r="Y1226" t="str">
        <f t="shared" si="524"/>
        <v>04-08-2020</v>
      </c>
      <c r="Z1226" t="str">
        <f>"COS10200804 7928"</f>
        <v>COS10200804 7928</v>
      </c>
    </row>
    <row r="1227" spans="1:26" x14ac:dyDescent="0.25">
      <c r="A1227" t="str">
        <f t="shared" si="510"/>
        <v>04-08-2020 01:08:42</v>
      </c>
      <c r="B1227" t="str">
        <f>"0000809729"</f>
        <v>0000809729</v>
      </c>
      <c r="C1227" t="str">
        <f t="shared" si="511"/>
        <v>0000809602</v>
      </c>
      <c r="D1227" t="str">
        <f t="shared" si="512"/>
        <v>73185</v>
      </c>
      <c r="E1227" t="str">
        <f t="shared" si="513"/>
        <v>KFH-OPERATIONS DEPARTMENT</v>
      </c>
      <c r="F1227" t="str">
        <f t="shared" si="514"/>
        <v>IBG</v>
      </c>
      <c r="G1227" t="str">
        <f t="shared" si="500"/>
        <v>Refund COSHARE 10</v>
      </c>
      <c r="H1227" s="2">
        <v>798.15</v>
      </c>
      <c r="I1227" t="str">
        <f>"YUSRI BIN TAJUDIN"</f>
        <v>YUSRI BIN TAJUDIN</v>
      </c>
      <c r="J1227" t="str">
        <f t="shared" si="503"/>
        <v>MAYBANK / MAYBANK ISLAMIC</v>
      </c>
      <c r="K1227" t="str">
        <f>"114075625148"</f>
        <v>114075625148</v>
      </c>
      <c r="L1227" t="str">
        <f t="shared" ref="L1227:M1246" si="525">"04-08-2020"</f>
        <v>04-08-2020</v>
      </c>
      <c r="M1227" t="str">
        <f t="shared" si="525"/>
        <v>04-08-2020</v>
      </c>
      <c r="N1227" t="str">
        <f t="shared" si="515"/>
        <v>001105018356</v>
      </c>
      <c r="O1227" t="str">
        <f t="shared" si="516"/>
        <v>MYR</v>
      </c>
      <c r="P1227" t="str">
        <f t="shared" ref="P1227:Q1246" si="526">"NIL"</f>
        <v>NIL</v>
      </c>
      <c r="Q1227" t="str">
        <f t="shared" si="526"/>
        <v>NIL</v>
      </c>
      <c r="R1227" t="str">
        <f t="shared" si="517"/>
        <v>Accepted</v>
      </c>
      <c r="S1227" t="str">
        <f t="shared" si="518"/>
        <v>Approved</v>
      </c>
      <c r="T1227" t="str">
        <f t="shared" si="519"/>
        <v>10.20.8.188</v>
      </c>
      <c r="U1227" t="str">
        <f t="shared" si="520"/>
        <v>AZRAD UMAR BIN SHAARI</v>
      </c>
      <c r="V1227" t="str">
        <f t="shared" si="521"/>
        <v>FARHANA BINTI MUSTAPA</v>
      </c>
      <c r="W1227" t="str">
        <f t="shared" si="522"/>
        <v>04-08-2020</v>
      </c>
      <c r="X1227" t="str">
        <f t="shared" si="523"/>
        <v>RAZIMAH ANSAR AHMAD</v>
      </c>
      <c r="Y1227" t="str">
        <f t="shared" si="524"/>
        <v>04-08-2020</v>
      </c>
      <c r="Z1227" t="str">
        <f>"COS10200804 7927"</f>
        <v>COS10200804 7927</v>
      </c>
    </row>
    <row r="1228" spans="1:26" x14ac:dyDescent="0.25">
      <c r="A1228" t="str">
        <f t="shared" si="510"/>
        <v>04-08-2020 01:08:42</v>
      </c>
      <c r="B1228" t="str">
        <f>"0000809728"</f>
        <v>0000809728</v>
      </c>
      <c r="C1228" t="str">
        <f t="shared" si="511"/>
        <v>0000809602</v>
      </c>
      <c r="D1228" t="str">
        <f t="shared" si="512"/>
        <v>73185</v>
      </c>
      <c r="E1228" t="str">
        <f t="shared" si="513"/>
        <v>KFH-OPERATIONS DEPARTMENT</v>
      </c>
      <c r="F1228" t="str">
        <f t="shared" si="514"/>
        <v>IBG</v>
      </c>
      <c r="G1228" t="str">
        <f t="shared" ref="G1228:G1291" si="527">"Refund COSHARE 10"</f>
        <v>Refund COSHARE 10</v>
      </c>
      <c r="H1228" s="2">
        <v>120.7</v>
      </c>
      <c r="I1228" t="str">
        <f>"YUSRI BIN SALLEH"</f>
        <v>YUSRI BIN SALLEH</v>
      </c>
      <c r="J1228" t="str">
        <f t="shared" si="503"/>
        <v>MAYBANK / MAYBANK ISLAMIC</v>
      </c>
      <c r="K1228" t="str">
        <f>"111113289614"</f>
        <v>111113289614</v>
      </c>
      <c r="L1228" t="str">
        <f t="shared" si="525"/>
        <v>04-08-2020</v>
      </c>
      <c r="M1228" t="str">
        <f t="shared" si="525"/>
        <v>04-08-2020</v>
      </c>
      <c r="N1228" t="str">
        <f t="shared" si="515"/>
        <v>001105018356</v>
      </c>
      <c r="O1228" t="str">
        <f t="shared" si="516"/>
        <v>MYR</v>
      </c>
      <c r="P1228" t="str">
        <f t="shared" si="526"/>
        <v>NIL</v>
      </c>
      <c r="Q1228" t="str">
        <f t="shared" si="526"/>
        <v>NIL</v>
      </c>
      <c r="R1228" t="str">
        <f t="shared" si="517"/>
        <v>Accepted</v>
      </c>
      <c r="S1228" t="str">
        <f t="shared" si="518"/>
        <v>Approved</v>
      </c>
      <c r="T1228" t="str">
        <f t="shared" si="519"/>
        <v>10.20.8.188</v>
      </c>
      <c r="U1228" t="str">
        <f t="shared" si="520"/>
        <v>AZRAD UMAR BIN SHAARI</v>
      </c>
      <c r="V1228" t="str">
        <f t="shared" si="521"/>
        <v>FARHANA BINTI MUSTAPA</v>
      </c>
      <c r="W1228" t="str">
        <f t="shared" si="522"/>
        <v>04-08-2020</v>
      </c>
      <c r="X1228" t="str">
        <f t="shared" si="523"/>
        <v>RAZIMAH ANSAR AHMAD</v>
      </c>
      <c r="Y1228" t="str">
        <f t="shared" si="524"/>
        <v>04-08-2020</v>
      </c>
      <c r="Z1228" t="str">
        <f>"COS10200804 7926"</f>
        <v>COS10200804 7926</v>
      </c>
    </row>
    <row r="1229" spans="1:26" x14ac:dyDescent="0.25">
      <c r="A1229" t="str">
        <f t="shared" si="510"/>
        <v>04-08-2020 01:08:42</v>
      </c>
      <c r="B1229" t="str">
        <f>"0000809727"</f>
        <v>0000809727</v>
      </c>
      <c r="C1229" t="str">
        <f t="shared" si="511"/>
        <v>0000809602</v>
      </c>
      <c r="D1229" t="str">
        <f t="shared" si="512"/>
        <v>73185</v>
      </c>
      <c r="E1229" t="str">
        <f t="shared" si="513"/>
        <v>KFH-OPERATIONS DEPARTMENT</v>
      </c>
      <c r="F1229" t="str">
        <f t="shared" si="514"/>
        <v>IBG</v>
      </c>
      <c r="G1229" t="str">
        <f t="shared" si="527"/>
        <v>Refund COSHARE 10</v>
      </c>
      <c r="H1229" s="2">
        <v>238</v>
      </c>
      <c r="I1229" t="str">
        <f>"YUSRI BIN SALLEH"</f>
        <v>YUSRI BIN SALLEH</v>
      </c>
      <c r="J1229" t="str">
        <f t="shared" si="503"/>
        <v>MAYBANK / MAYBANK ISLAMIC</v>
      </c>
      <c r="K1229" t="str">
        <f>"111113289614"</f>
        <v>111113289614</v>
      </c>
      <c r="L1229" t="str">
        <f t="shared" si="525"/>
        <v>04-08-2020</v>
      </c>
      <c r="M1229" t="str">
        <f t="shared" si="525"/>
        <v>04-08-2020</v>
      </c>
      <c r="N1229" t="str">
        <f t="shared" si="515"/>
        <v>001105018356</v>
      </c>
      <c r="O1229" t="str">
        <f t="shared" si="516"/>
        <v>MYR</v>
      </c>
      <c r="P1229" t="str">
        <f t="shared" si="526"/>
        <v>NIL</v>
      </c>
      <c r="Q1229" t="str">
        <f t="shared" si="526"/>
        <v>NIL</v>
      </c>
      <c r="R1229" t="str">
        <f t="shared" si="517"/>
        <v>Accepted</v>
      </c>
      <c r="S1229" t="str">
        <f t="shared" si="518"/>
        <v>Approved</v>
      </c>
      <c r="T1229" t="str">
        <f t="shared" si="519"/>
        <v>10.20.8.188</v>
      </c>
      <c r="U1229" t="str">
        <f t="shared" si="520"/>
        <v>AZRAD UMAR BIN SHAARI</v>
      </c>
      <c r="V1229" t="str">
        <f t="shared" si="521"/>
        <v>FARHANA BINTI MUSTAPA</v>
      </c>
      <c r="W1229" t="str">
        <f t="shared" si="522"/>
        <v>04-08-2020</v>
      </c>
      <c r="X1229" t="str">
        <f t="shared" si="523"/>
        <v>RAZIMAH ANSAR AHMAD</v>
      </c>
      <c r="Y1229" t="str">
        <f t="shared" si="524"/>
        <v>04-08-2020</v>
      </c>
      <c r="Z1229" t="str">
        <f>"COS10200804 7925"</f>
        <v>COS10200804 7925</v>
      </c>
    </row>
    <row r="1230" spans="1:26" x14ac:dyDescent="0.25">
      <c r="A1230" t="str">
        <f t="shared" si="510"/>
        <v>04-08-2020 01:08:42</v>
      </c>
      <c r="B1230" t="str">
        <f>"0000809726"</f>
        <v>0000809726</v>
      </c>
      <c r="C1230" t="str">
        <f t="shared" si="511"/>
        <v>0000809602</v>
      </c>
      <c r="D1230" t="str">
        <f t="shared" si="512"/>
        <v>73185</v>
      </c>
      <c r="E1230" t="str">
        <f t="shared" si="513"/>
        <v>KFH-OPERATIONS DEPARTMENT</v>
      </c>
      <c r="F1230" t="str">
        <f t="shared" si="514"/>
        <v>IBG</v>
      </c>
      <c r="G1230" t="str">
        <f t="shared" si="527"/>
        <v>Refund COSHARE 10</v>
      </c>
      <c r="H1230" s="2">
        <v>50.4</v>
      </c>
      <c r="I1230" t="str">
        <f>"YUSRAN BIN MOHAMMAD NASIR"</f>
        <v>YUSRAN BIN MOHAMMAD NASIR</v>
      </c>
      <c r="J1230" t="str">
        <f t="shared" si="503"/>
        <v>MAYBANK / MAYBANK ISLAMIC</v>
      </c>
      <c r="K1230" t="str">
        <f>"155032265521"</f>
        <v>155032265521</v>
      </c>
      <c r="L1230" t="str">
        <f t="shared" si="525"/>
        <v>04-08-2020</v>
      </c>
      <c r="M1230" t="str">
        <f t="shared" si="525"/>
        <v>04-08-2020</v>
      </c>
      <c r="N1230" t="str">
        <f t="shared" si="515"/>
        <v>001105018356</v>
      </c>
      <c r="O1230" t="str">
        <f t="shared" si="516"/>
        <v>MYR</v>
      </c>
      <c r="P1230" t="str">
        <f t="shared" si="526"/>
        <v>NIL</v>
      </c>
      <c r="Q1230" t="str">
        <f t="shared" si="526"/>
        <v>NIL</v>
      </c>
      <c r="R1230" t="str">
        <f t="shared" si="517"/>
        <v>Accepted</v>
      </c>
      <c r="S1230" t="str">
        <f t="shared" si="518"/>
        <v>Approved</v>
      </c>
      <c r="T1230" t="str">
        <f t="shared" si="519"/>
        <v>10.20.8.188</v>
      </c>
      <c r="U1230" t="str">
        <f t="shared" si="520"/>
        <v>AZRAD UMAR BIN SHAARI</v>
      </c>
      <c r="V1230" t="str">
        <f t="shared" si="521"/>
        <v>FARHANA BINTI MUSTAPA</v>
      </c>
      <c r="W1230" t="str">
        <f t="shared" si="522"/>
        <v>04-08-2020</v>
      </c>
      <c r="X1230" t="str">
        <f t="shared" si="523"/>
        <v>RAZIMAH ANSAR AHMAD</v>
      </c>
      <c r="Y1230" t="str">
        <f t="shared" si="524"/>
        <v>04-08-2020</v>
      </c>
      <c r="Z1230" t="str">
        <f>"COS10200804 7924"</f>
        <v>COS10200804 7924</v>
      </c>
    </row>
    <row r="1231" spans="1:26" x14ac:dyDescent="0.25">
      <c r="A1231" t="str">
        <f t="shared" si="510"/>
        <v>04-08-2020 01:08:42</v>
      </c>
      <c r="B1231" t="str">
        <f>"0000809725"</f>
        <v>0000809725</v>
      </c>
      <c r="C1231" t="str">
        <f t="shared" si="511"/>
        <v>0000809602</v>
      </c>
      <c r="D1231" t="str">
        <f t="shared" si="512"/>
        <v>73185</v>
      </c>
      <c r="E1231" t="str">
        <f t="shared" si="513"/>
        <v>KFH-OPERATIONS DEPARTMENT</v>
      </c>
      <c r="F1231" t="str">
        <f t="shared" si="514"/>
        <v>IBG</v>
      </c>
      <c r="G1231" t="str">
        <f t="shared" si="527"/>
        <v>Refund COSHARE 10</v>
      </c>
      <c r="H1231" s="2">
        <v>335.8</v>
      </c>
      <c r="I1231" t="str">
        <f>"YUSRA BINTI ABDUL HAMID"</f>
        <v>YUSRA BINTI ABDUL HAMID</v>
      </c>
      <c r="J1231" t="str">
        <f t="shared" si="503"/>
        <v>MAYBANK / MAYBANK ISLAMIC</v>
      </c>
      <c r="K1231" t="str">
        <f>"162384756230"</f>
        <v>162384756230</v>
      </c>
      <c r="L1231" t="str">
        <f t="shared" si="525"/>
        <v>04-08-2020</v>
      </c>
      <c r="M1231" t="str">
        <f t="shared" si="525"/>
        <v>04-08-2020</v>
      </c>
      <c r="N1231" t="str">
        <f t="shared" si="515"/>
        <v>001105018356</v>
      </c>
      <c r="O1231" t="str">
        <f t="shared" si="516"/>
        <v>MYR</v>
      </c>
      <c r="P1231" t="str">
        <f t="shared" si="526"/>
        <v>NIL</v>
      </c>
      <c r="Q1231" t="str">
        <f t="shared" si="526"/>
        <v>NIL</v>
      </c>
      <c r="R1231" t="str">
        <f t="shared" si="517"/>
        <v>Accepted</v>
      </c>
      <c r="S1231" t="str">
        <f t="shared" si="518"/>
        <v>Approved</v>
      </c>
      <c r="T1231" t="str">
        <f t="shared" si="519"/>
        <v>10.20.8.188</v>
      </c>
      <c r="U1231" t="str">
        <f t="shared" si="520"/>
        <v>AZRAD UMAR BIN SHAARI</v>
      </c>
      <c r="V1231" t="str">
        <f t="shared" si="521"/>
        <v>FARHANA BINTI MUSTAPA</v>
      </c>
      <c r="W1231" t="str">
        <f t="shared" si="522"/>
        <v>04-08-2020</v>
      </c>
      <c r="X1231" t="str">
        <f t="shared" si="523"/>
        <v>RAZIMAH ANSAR AHMAD</v>
      </c>
      <c r="Y1231" t="str">
        <f t="shared" si="524"/>
        <v>04-08-2020</v>
      </c>
      <c r="Z1231" t="str">
        <f>"COS10200804 7923"</f>
        <v>COS10200804 7923</v>
      </c>
    </row>
    <row r="1232" spans="1:26" x14ac:dyDescent="0.25">
      <c r="A1232" t="str">
        <f t="shared" si="510"/>
        <v>04-08-2020 01:08:42</v>
      </c>
      <c r="B1232" t="str">
        <f>"0000809724"</f>
        <v>0000809724</v>
      </c>
      <c r="C1232" t="str">
        <f t="shared" si="511"/>
        <v>0000809602</v>
      </c>
      <c r="D1232" t="str">
        <f t="shared" si="512"/>
        <v>73185</v>
      </c>
      <c r="E1232" t="str">
        <f t="shared" si="513"/>
        <v>KFH-OPERATIONS DEPARTMENT</v>
      </c>
      <c r="F1232" t="str">
        <f t="shared" si="514"/>
        <v>IBG</v>
      </c>
      <c r="G1232" t="str">
        <f t="shared" si="527"/>
        <v>Refund COSHARE 10</v>
      </c>
      <c r="H1232" s="2">
        <v>419.75</v>
      </c>
      <c r="I1232" t="str">
        <f>"YUSOFF BIN SHAHROM"</f>
        <v>YUSOFF BIN SHAHROM</v>
      </c>
      <c r="J1232" t="str">
        <f t="shared" si="503"/>
        <v>MAYBANK / MAYBANK ISLAMIC</v>
      </c>
      <c r="K1232" t="str">
        <f>"112148116340"</f>
        <v>112148116340</v>
      </c>
      <c r="L1232" t="str">
        <f t="shared" si="525"/>
        <v>04-08-2020</v>
      </c>
      <c r="M1232" t="str">
        <f t="shared" si="525"/>
        <v>04-08-2020</v>
      </c>
      <c r="N1232" t="str">
        <f t="shared" si="515"/>
        <v>001105018356</v>
      </c>
      <c r="O1232" t="str">
        <f t="shared" si="516"/>
        <v>MYR</v>
      </c>
      <c r="P1232" t="str">
        <f t="shared" si="526"/>
        <v>NIL</v>
      </c>
      <c r="Q1232" t="str">
        <f t="shared" si="526"/>
        <v>NIL</v>
      </c>
      <c r="R1232" t="str">
        <f t="shared" si="517"/>
        <v>Accepted</v>
      </c>
      <c r="S1232" t="str">
        <f t="shared" si="518"/>
        <v>Approved</v>
      </c>
      <c r="T1232" t="str">
        <f t="shared" si="519"/>
        <v>10.20.8.188</v>
      </c>
      <c r="U1232" t="str">
        <f t="shared" si="520"/>
        <v>AZRAD UMAR BIN SHAARI</v>
      </c>
      <c r="V1232" t="str">
        <f t="shared" si="521"/>
        <v>FARHANA BINTI MUSTAPA</v>
      </c>
      <c r="W1232" t="str">
        <f t="shared" si="522"/>
        <v>04-08-2020</v>
      </c>
      <c r="X1232" t="str">
        <f t="shared" si="523"/>
        <v>RAZIMAH ANSAR AHMAD</v>
      </c>
      <c r="Y1232" t="str">
        <f t="shared" si="524"/>
        <v>04-08-2020</v>
      </c>
      <c r="Z1232" t="str">
        <f>"COS10200804 7922"</f>
        <v>COS10200804 7922</v>
      </c>
    </row>
    <row r="1233" spans="1:26" x14ac:dyDescent="0.25">
      <c r="A1233" t="str">
        <f t="shared" si="510"/>
        <v>04-08-2020 01:08:42</v>
      </c>
      <c r="B1233" t="str">
        <f>"0000809723"</f>
        <v>0000809723</v>
      </c>
      <c r="C1233" t="str">
        <f t="shared" si="511"/>
        <v>0000809602</v>
      </c>
      <c r="D1233" t="str">
        <f t="shared" si="512"/>
        <v>73185</v>
      </c>
      <c r="E1233" t="str">
        <f t="shared" si="513"/>
        <v>KFH-OPERATIONS DEPARTMENT</v>
      </c>
      <c r="F1233" t="str">
        <f t="shared" si="514"/>
        <v>IBG</v>
      </c>
      <c r="G1233" t="str">
        <f t="shared" si="527"/>
        <v>Refund COSHARE 10</v>
      </c>
      <c r="H1233" s="2">
        <v>196.5</v>
      </c>
      <c r="I1233" t="str">
        <f>"YUSOFF BIN MOHD"</f>
        <v>YUSOFF BIN MOHD</v>
      </c>
      <c r="J1233" t="str">
        <f t="shared" ref="J1233:J1296" si="528">"MAYBANK / MAYBANK ISLAMIC"</f>
        <v>MAYBANK / MAYBANK ISLAMIC</v>
      </c>
      <c r="K1233" t="str">
        <f>"162209013699"</f>
        <v>162209013699</v>
      </c>
      <c r="L1233" t="str">
        <f t="shared" si="525"/>
        <v>04-08-2020</v>
      </c>
      <c r="M1233" t="str">
        <f t="shared" si="525"/>
        <v>04-08-2020</v>
      </c>
      <c r="N1233" t="str">
        <f t="shared" si="515"/>
        <v>001105018356</v>
      </c>
      <c r="O1233" t="str">
        <f t="shared" si="516"/>
        <v>MYR</v>
      </c>
      <c r="P1233" t="str">
        <f t="shared" si="526"/>
        <v>NIL</v>
      </c>
      <c r="Q1233" t="str">
        <f t="shared" si="526"/>
        <v>NIL</v>
      </c>
      <c r="R1233" t="str">
        <f t="shared" si="517"/>
        <v>Accepted</v>
      </c>
      <c r="S1233" t="str">
        <f t="shared" si="518"/>
        <v>Approved</v>
      </c>
      <c r="T1233" t="str">
        <f t="shared" si="519"/>
        <v>10.20.8.188</v>
      </c>
      <c r="U1233" t="str">
        <f t="shared" si="520"/>
        <v>AZRAD UMAR BIN SHAARI</v>
      </c>
      <c r="V1233" t="str">
        <f t="shared" si="521"/>
        <v>FARHANA BINTI MUSTAPA</v>
      </c>
      <c r="W1233" t="str">
        <f t="shared" si="522"/>
        <v>04-08-2020</v>
      </c>
      <c r="X1233" t="str">
        <f t="shared" si="523"/>
        <v>RAZIMAH ANSAR AHMAD</v>
      </c>
      <c r="Y1233" t="str">
        <f t="shared" si="524"/>
        <v>04-08-2020</v>
      </c>
      <c r="Z1233" t="str">
        <f>"COS10200804 7921"</f>
        <v>COS10200804 7921</v>
      </c>
    </row>
    <row r="1234" spans="1:26" x14ac:dyDescent="0.25">
      <c r="A1234" t="str">
        <f t="shared" si="510"/>
        <v>04-08-2020 01:08:42</v>
      </c>
      <c r="B1234" t="str">
        <f>"0000809722"</f>
        <v>0000809722</v>
      </c>
      <c r="C1234" t="str">
        <f t="shared" si="511"/>
        <v>0000809602</v>
      </c>
      <c r="D1234" t="str">
        <f t="shared" si="512"/>
        <v>73185</v>
      </c>
      <c r="E1234" t="str">
        <f t="shared" si="513"/>
        <v>KFH-OPERATIONS DEPARTMENT</v>
      </c>
      <c r="F1234" t="str">
        <f t="shared" si="514"/>
        <v>IBG</v>
      </c>
      <c r="G1234" t="str">
        <f t="shared" si="527"/>
        <v>Refund COSHARE 10</v>
      </c>
      <c r="H1234" s="2">
        <v>1281</v>
      </c>
      <c r="I1234" t="str">
        <f>"YUSOF BIN HASAN"</f>
        <v>YUSOF BIN HASAN</v>
      </c>
      <c r="J1234" t="str">
        <f t="shared" si="528"/>
        <v>MAYBANK / MAYBANK ISLAMIC</v>
      </c>
      <c r="K1234" t="str">
        <f>"101075439743"</f>
        <v>101075439743</v>
      </c>
      <c r="L1234" t="str">
        <f t="shared" si="525"/>
        <v>04-08-2020</v>
      </c>
      <c r="M1234" t="str">
        <f t="shared" si="525"/>
        <v>04-08-2020</v>
      </c>
      <c r="N1234" t="str">
        <f t="shared" si="515"/>
        <v>001105018356</v>
      </c>
      <c r="O1234" t="str">
        <f t="shared" si="516"/>
        <v>MYR</v>
      </c>
      <c r="P1234" t="str">
        <f t="shared" si="526"/>
        <v>NIL</v>
      </c>
      <c r="Q1234" t="str">
        <f t="shared" si="526"/>
        <v>NIL</v>
      </c>
      <c r="R1234" t="str">
        <f t="shared" si="517"/>
        <v>Accepted</v>
      </c>
      <c r="S1234" t="str">
        <f t="shared" si="518"/>
        <v>Approved</v>
      </c>
      <c r="T1234" t="str">
        <f t="shared" si="519"/>
        <v>10.20.8.188</v>
      </c>
      <c r="U1234" t="str">
        <f t="shared" si="520"/>
        <v>AZRAD UMAR BIN SHAARI</v>
      </c>
      <c r="V1234" t="str">
        <f t="shared" si="521"/>
        <v>FARHANA BINTI MUSTAPA</v>
      </c>
      <c r="W1234" t="str">
        <f t="shared" si="522"/>
        <v>04-08-2020</v>
      </c>
      <c r="X1234" t="str">
        <f t="shared" si="523"/>
        <v>RAZIMAH ANSAR AHMAD</v>
      </c>
      <c r="Y1234" t="str">
        <f t="shared" si="524"/>
        <v>04-08-2020</v>
      </c>
      <c r="Z1234" t="str">
        <f>"COS10200804 7920"</f>
        <v>COS10200804 7920</v>
      </c>
    </row>
    <row r="1235" spans="1:26" x14ac:dyDescent="0.25">
      <c r="A1235" t="str">
        <f t="shared" si="510"/>
        <v>04-08-2020 01:08:42</v>
      </c>
      <c r="B1235" t="str">
        <f>"0000809721"</f>
        <v>0000809721</v>
      </c>
      <c r="C1235" t="str">
        <f t="shared" si="511"/>
        <v>0000809602</v>
      </c>
      <c r="D1235" t="str">
        <f t="shared" si="512"/>
        <v>73185</v>
      </c>
      <c r="E1235" t="str">
        <f t="shared" si="513"/>
        <v>KFH-OPERATIONS DEPARTMENT</v>
      </c>
      <c r="F1235" t="str">
        <f t="shared" si="514"/>
        <v>IBG</v>
      </c>
      <c r="G1235" t="str">
        <f t="shared" si="527"/>
        <v>Refund COSHARE 10</v>
      </c>
      <c r="H1235" s="2">
        <v>293.85000000000002</v>
      </c>
      <c r="I1235" t="str">
        <f>"YUSNITA BINTI YUSOF"</f>
        <v>YUSNITA BINTI YUSOF</v>
      </c>
      <c r="J1235" t="str">
        <f t="shared" si="528"/>
        <v>MAYBANK / MAYBANK ISLAMIC</v>
      </c>
      <c r="K1235" t="str">
        <f>"107013717083"</f>
        <v>107013717083</v>
      </c>
      <c r="L1235" t="str">
        <f t="shared" si="525"/>
        <v>04-08-2020</v>
      </c>
      <c r="M1235" t="str">
        <f t="shared" si="525"/>
        <v>04-08-2020</v>
      </c>
      <c r="N1235" t="str">
        <f t="shared" si="515"/>
        <v>001105018356</v>
      </c>
      <c r="O1235" t="str">
        <f t="shared" si="516"/>
        <v>MYR</v>
      </c>
      <c r="P1235" t="str">
        <f t="shared" si="526"/>
        <v>NIL</v>
      </c>
      <c r="Q1235" t="str">
        <f t="shared" si="526"/>
        <v>NIL</v>
      </c>
      <c r="R1235" t="str">
        <f t="shared" si="517"/>
        <v>Accepted</v>
      </c>
      <c r="S1235" t="str">
        <f t="shared" si="518"/>
        <v>Approved</v>
      </c>
      <c r="T1235" t="str">
        <f t="shared" si="519"/>
        <v>10.20.8.188</v>
      </c>
      <c r="U1235" t="str">
        <f t="shared" si="520"/>
        <v>AZRAD UMAR BIN SHAARI</v>
      </c>
      <c r="V1235" t="str">
        <f t="shared" si="521"/>
        <v>FARHANA BINTI MUSTAPA</v>
      </c>
      <c r="W1235" t="str">
        <f t="shared" si="522"/>
        <v>04-08-2020</v>
      </c>
      <c r="X1235" t="str">
        <f t="shared" si="523"/>
        <v>RAZIMAH ANSAR AHMAD</v>
      </c>
      <c r="Y1235" t="str">
        <f t="shared" si="524"/>
        <v>04-08-2020</v>
      </c>
      <c r="Z1235" t="str">
        <f>"COS10200804 7919"</f>
        <v>COS10200804 7919</v>
      </c>
    </row>
    <row r="1236" spans="1:26" x14ac:dyDescent="0.25">
      <c r="A1236" t="str">
        <f t="shared" si="510"/>
        <v>04-08-2020 01:08:42</v>
      </c>
      <c r="B1236" t="str">
        <f>"0000809720"</f>
        <v>0000809720</v>
      </c>
      <c r="C1236" t="str">
        <f t="shared" si="511"/>
        <v>0000809602</v>
      </c>
      <c r="D1236" t="str">
        <f t="shared" si="512"/>
        <v>73185</v>
      </c>
      <c r="E1236" t="str">
        <f t="shared" si="513"/>
        <v>KFH-OPERATIONS DEPARTMENT</v>
      </c>
      <c r="F1236" t="str">
        <f t="shared" si="514"/>
        <v>IBG</v>
      </c>
      <c r="G1236" t="str">
        <f t="shared" si="527"/>
        <v>Refund COSHARE 10</v>
      </c>
      <c r="H1236" s="2">
        <v>419.75</v>
      </c>
      <c r="I1236" t="str">
        <f>"YUSNITA BINTI YAAKUB"</f>
        <v>YUSNITA BINTI YAAKUB</v>
      </c>
      <c r="J1236" t="str">
        <f t="shared" si="528"/>
        <v>MAYBANK / MAYBANK ISLAMIC</v>
      </c>
      <c r="K1236" t="str">
        <f>"158079675736"</f>
        <v>158079675736</v>
      </c>
      <c r="L1236" t="str">
        <f t="shared" si="525"/>
        <v>04-08-2020</v>
      </c>
      <c r="M1236" t="str">
        <f t="shared" si="525"/>
        <v>04-08-2020</v>
      </c>
      <c r="N1236" t="str">
        <f t="shared" si="515"/>
        <v>001105018356</v>
      </c>
      <c r="O1236" t="str">
        <f t="shared" si="516"/>
        <v>MYR</v>
      </c>
      <c r="P1236" t="str">
        <f t="shared" si="526"/>
        <v>NIL</v>
      </c>
      <c r="Q1236" t="str">
        <f t="shared" si="526"/>
        <v>NIL</v>
      </c>
      <c r="R1236" t="str">
        <f t="shared" si="517"/>
        <v>Accepted</v>
      </c>
      <c r="S1236" t="str">
        <f t="shared" si="518"/>
        <v>Approved</v>
      </c>
      <c r="T1236" t="str">
        <f t="shared" si="519"/>
        <v>10.20.8.188</v>
      </c>
      <c r="U1236" t="str">
        <f t="shared" si="520"/>
        <v>AZRAD UMAR BIN SHAARI</v>
      </c>
      <c r="V1236" t="str">
        <f t="shared" si="521"/>
        <v>FARHANA BINTI MUSTAPA</v>
      </c>
      <c r="W1236" t="str">
        <f t="shared" si="522"/>
        <v>04-08-2020</v>
      </c>
      <c r="X1236" t="str">
        <f t="shared" si="523"/>
        <v>RAZIMAH ANSAR AHMAD</v>
      </c>
      <c r="Y1236" t="str">
        <f t="shared" si="524"/>
        <v>04-08-2020</v>
      </c>
      <c r="Z1236" t="str">
        <f>"COS10200804 7918"</f>
        <v>COS10200804 7918</v>
      </c>
    </row>
    <row r="1237" spans="1:26" x14ac:dyDescent="0.25">
      <c r="A1237" t="str">
        <f t="shared" si="510"/>
        <v>04-08-2020 01:08:42</v>
      </c>
      <c r="B1237" t="str">
        <f>"0000809719"</f>
        <v>0000809719</v>
      </c>
      <c r="C1237" t="str">
        <f t="shared" si="511"/>
        <v>0000809602</v>
      </c>
      <c r="D1237" t="str">
        <f t="shared" si="512"/>
        <v>73185</v>
      </c>
      <c r="E1237" t="str">
        <f t="shared" si="513"/>
        <v>KFH-OPERATIONS DEPARTMENT</v>
      </c>
      <c r="F1237" t="str">
        <f t="shared" si="514"/>
        <v>IBG</v>
      </c>
      <c r="G1237" t="str">
        <f t="shared" si="527"/>
        <v>Refund COSHARE 10</v>
      </c>
      <c r="H1237" s="2">
        <v>251.85</v>
      </c>
      <c r="I1237" t="str">
        <f>"YUSNITA BINTI JUSOH"</f>
        <v>YUSNITA BINTI JUSOH</v>
      </c>
      <c r="J1237" t="str">
        <f t="shared" si="528"/>
        <v>MAYBANK / MAYBANK ISLAMIC</v>
      </c>
      <c r="K1237" t="str">
        <f>"163037033136"</f>
        <v>163037033136</v>
      </c>
      <c r="L1237" t="str">
        <f t="shared" si="525"/>
        <v>04-08-2020</v>
      </c>
      <c r="M1237" t="str">
        <f t="shared" si="525"/>
        <v>04-08-2020</v>
      </c>
      <c r="N1237" t="str">
        <f t="shared" si="515"/>
        <v>001105018356</v>
      </c>
      <c r="O1237" t="str">
        <f t="shared" si="516"/>
        <v>MYR</v>
      </c>
      <c r="P1237" t="str">
        <f t="shared" si="526"/>
        <v>NIL</v>
      </c>
      <c r="Q1237" t="str">
        <f t="shared" si="526"/>
        <v>NIL</v>
      </c>
      <c r="R1237" t="str">
        <f t="shared" si="517"/>
        <v>Accepted</v>
      </c>
      <c r="S1237" t="str">
        <f t="shared" si="518"/>
        <v>Approved</v>
      </c>
      <c r="T1237" t="str">
        <f t="shared" si="519"/>
        <v>10.20.8.188</v>
      </c>
      <c r="U1237" t="str">
        <f t="shared" si="520"/>
        <v>AZRAD UMAR BIN SHAARI</v>
      </c>
      <c r="V1237" t="str">
        <f t="shared" si="521"/>
        <v>FARHANA BINTI MUSTAPA</v>
      </c>
      <c r="W1237" t="str">
        <f t="shared" si="522"/>
        <v>04-08-2020</v>
      </c>
      <c r="X1237" t="str">
        <f t="shared" si="523"/>
        <v>RAZIMAH ANSAR AHMAD</v>
      </c>
      <c r="Y1237" t="str">
        <f t="shared" si="524"/>
        <v>04-08-2020</v>
      </c>
      <c r="Z1237" t="str">
        <f>"COS10200804 7917"</f>
        <v>COS10200804 7917</v>
      </c>
    </row>
    <row r="1238" spans="1:26" x14ac:dyDescent="0.25">
      <c r="A1238" t="str">
        <f t="shared" si="510"/>
        <v>04-08-2020 01:08:42</v>
      </c>
      <c r="B1238" t="str">
        <f>"0000809718"</f>
        <v>0000809718</v>
      </c>
      <c r="C1238" t="str">
        <f t="shared" si="511"/>
        <v>0000809602</v>
      </c>
      <c r="D1238" t="str">
        <f t="shared" si="512"/>
        <v>73185</v>
      </c>
      <c r="E1238" t="str">
        <f t="shared" si="513"/>
        <v>KFH-OPERATIONS DEPARTMENT</v>
      </c>
      <c r="F1238" t="str">
        <f t="shared" si="514"/>
        <v>IBG</v>
      </c>
      <c r="G1238" t="str">
        <f t="shared" si="527"/>
        <v>Refund COSHARE 10</v>
      </c>
      <c r="H1238" s="2">
        <v>431</v>
      </c>
      <c r="I1238" t="str">
        <f>"YUSNITA BINTI ISMAIL"</f>
        <v>YUSNITA BINTI ISMAIL</v>
      </c>
      <c r="J1238" t="str">
        <f t="shared" si="528"/>
        <v>MAYBANK / MAYBANK ISLAMIC</v>
      </c>
      <c r="K1238" t="str">
        <f>"157054629440"</f>
        <v>157054629440</v>
      </c>
      <c r="L1238" t="str">
        <f t="shared" si="525"/>
        <v>04-08-2020</v>
      </c>
      <c r="M1238" t="str">
        <f t="shared" si="525"/>
        <v>04-08-2020</v>
      </c>
      <c r="N1238" t="str">
        <f t="shared" si="515"/>
        <v>001105018356</v>
      </c>
      <c r="O1238" t="str">
        <f t="shared" si="516"/>
        <v>MYR</v>
      </c>
      <c r="P1238" t="str">
        <f t="shared" si="526"/>
        <v>NIL</v>
      </c>
      <c r="Q1238" t="str">
        <f t="shared" si="526"/>
        <v>NIL</v>
      </c>
      <c r="R1238" t="str">
        <f t="shared" si="517"/>
        <v>Accepted</v>
      </c>
      <c r="S1238" t="str">
        <f t="shared" si="518"/>
        <v>Approved</v>
      </c>
      <c r="T1238" t="str">
        <f t="shared" si="519"/>
        <v>10.20.8.188</v>
      </c>
      <c r="U1238" t="str">
        <f t="shared" si="520"/>
        <v>AZRAD UMAR BIN SHAARI</v>
      </c>
      <c r="V1238" t="str">
        <f t="shared" si="521"/>
        <v>FARHANA BINTI MUSTAPA</v>
      </c>
      <c r="W1238" t="str">
        <f t="shared" si="522"/>
        <v>04-08-2020</v>
      </c>
      <c r="X1238" t="str">
        <f t="shared" si="523"/>
        <v>RAZIMAH ANSAR AHMAD</v>
      </c>
      <c r="Y1238" t="str">
        <f t="shared" si="524"/>
        <v>04-08-2020</v>
      </c>
      <c r="Z1238" t="str">
        <f>"COS10200804 7916"</f>
        <v>COS10200804 7916</v>
      </c>
    </row>
    <row r="1239" spans="1:26" x14ac:dyDescent="0.25">
      <c r="A1239" t="str">
        <f t="shared" si="510"/>
        <v>04-08-2020 01:08:42</v>
      </c>
      <c r="B1239" t="str">
        <f>"0000809717"</f>
        <v>0000809717</v>
      </c>
      <c r="C1239" t="str">
        <f t="shared" si="511"/>
        <v>0000809602</v>
      </c>
      <c r="D1239" t="str">
        <f t="shared" si="512"/>
        <v>73185</v>
      </c>
      <c r="E1239" t="str">
        <f t="shared" si="513"/>
        <v>KFH-OPERATIONS DEPARTMENT</v>
      </c>
      <c r="F1239" t="str">
        <f t="shared" si="514"/>
        <v>IBG</v>
      </c>
      <c r="G1239" t="str">
        <f t="shared" si="527"/>
        <v>Refund COSHARE 10</v>
      </c>
      <c r="H1239" s="2">
        <v>567.95000000000005</v>
      </c>
      <c r="I1239" t="str">
        <f>"YUSNISHAM BINTI YUNUS"</f>
        <v>YUSNISHAM BINTI YUNUS</v>
      </c>
      <c r="J1239" t="str">
        <f t="shared" si="528"/>
        <v>MAYBANK / MAYBANK ISLAMIC</v>
      </c>
      <c r="K1239" t="str">
        <f>"162106991548"</f>
        <v>162106991548</v>
      </c>
      <c r="L1239" t="str">
        <f t="shared" si="525"/>
        <v>04-08-2020</v>
      </c>
      <c r="M1239" t="str">
        <f t="shared" si="525"/>
        <v>04-08-2020</v>
      </c>
      <c r="N1239" t="str">
        <f t="shared" si="515"/>
        <v>001105018356</v>
      </c>
      <c r="O1239" t="str">
        <f t="shared" si="516"/>
        <v>MYR</v>
      </c>
      <c r="P1239" t="str">
        <f t="shared" si="526"/>
        <v>NIL</v>
      </c>
      <c r="Q1239" t="str">
        <f t="shared" si="526"/>
        <v>NIL</v>
      </c>
      <c r="R1239" t="str">
        <f t="shared" si="517"/>
        <v>Accepted</v>
      </c>
      <c r="S1239" t="str">
        <f t="shared" si="518"/>
        <v>Approved</v>
      </c>
      <c r="T1239" t="str">
        <f t="shared" si="519"/>
        <v>10.20.8.188</v>
      </c>
      <c r="U1239" t="str">
        <f t="shared" si="520"/>
        <v>AZRAD UMAR BIN SHAARI</v>
      </c>
      <c r="V1239" t="str">
        <f t="shared" si="521"/>
        <v>FARHANA BINTI MUSTAPA</v>
      </c>
      <c r="W1239" t="str">
        <f t="shared" si="522"/>
        <v>04-08-2020</v>
      </c>
      <c r="X1239" t="str">
        <f t="shared" si="523"/>
        <v>RAZIMAH ANSAR AHMAD</v>
      </c>
      <c r="Y1239" t="str">
        <f t="shared" si="524"/>
        <v>04-08-2020</v>
      </c>
      <c r="Z1239" t="str">
        <f>"COS10200804 7915"</f>
        <v>COS10200804 7915</v>
      </c>
    </row>
    <row r="1240" spans="1:26" x14ac:dyDescent="0.25">
      <c r="A1240" t="str">
        <f t="shared" si="510"/>
        <v>04-08-2020 01:08:42</v>
      </c>
      <c r="B1240" t="str">
        <f>"0000809716"</f>
        <v>0000809716</v>
      </c>
      <c r="C1240" t="str">
        <f t="shared" si="511"/>
        <v>0000809602</v>
      </c>
      <c r="D1240" t="str">
        <f t="shared" si="512"/>
        <v>73185</v>
      </c>
      <c r="E1240" t="str">
        <f t="shared" si="513"/>
        <v>KFH-OPERATIONS DEPARTMENT</v>
      </c>
      <c r="F1240" t="str">
        <f t="shared" si="514"/>
        <v>IBG</v>
      </c>
      <c r="G1240" t="str">
        <f t="shared" si="527"/>
        <v>Refund COSHARE 10</v>
      </c>
      <c r="H1240" s="2">
        <v>226.7</v>
      </c>
      <c r="I1240" t="str">
        <f>"YUSMAR BINTI USOF"</f>
        <v>YUSMAR BINTI USOF</v>
      </c>
      <c r="J1240" t="str">
        <f t="shared" si="528"/>
        <v>MAYBANK / MAYBANK ISLAMIC</v>
      </c>
      <c r="K1240" t="str">
        <f>"114374095499"</f>
        <v>114374095499</v>
      </c>
      <c r="L1240" t="str">
        <f t="shared" si="525"/>
        <v>04-08-2020</v>
      </c>
      <c r="M1240" t="str">
        <f t="shared" si="525"/>
        <v>04-08-2020</v>
      </c>
      <c r="N1240" t="str">
        <f t="shared" si="515"/>
        <v>001105018356</v>
      </c>
      <c r="O1240" t="str">
        <f t="shared" si="516"/>
        <v>MYR</v>
      </c>
      <c r="P1240" t="str">
        <f t="shared" si="526"/>
        <v>NIL</v>
      </c>
      <c r="Q1240" t="str">
        <f t="shared" si="526"/>
        <v>NIL</v>
      </c>
      <c r="R1240" t="str">
        <f t="shared" si="517"/>
        <v>Accepted</v>
      </c>
      <c r="S1240" t="str">
        <f t="shared" si="518"/>
        <v>Approved</v>
      </c>
      <c r="T1240" t="str">
        <f t="shared" si="519"/>
        <v>10.20.8.188</v>
      </c>
      <c r="U1240" t="str">
        <f t="shared" si="520"/>
        <v>AZRAD UMAR BIN SHAARI</v>
      </c>
      <c r="V1240" t="str">
        <f t="shared" si="521"/>
        <v>FARHANA BINTI MUSTAPA</v>
      </c>
      <c r="W1240" t="str">
        <f t="shared" si="522"/>
        <v>04-08-2020</v>
      </c>
      <c r="X1240" t="str">
        <f t="shared" si="523"/>
        <v>RAZIMAH ANSAR AHMAD</v>
      </c>
      <c r="Y1240" t="str">
        <f t="shared" si="524"/>
        <v>04-08-2020</v>
      </c>
      <c r="Z1240" t="str">
        <f>"COS10200804 7914"</f>
        <v>COS10200804 7914</v>
      </c>
    </row>
    <row r="1241" spans="1:26" x14ac:dyDescent="0.25">
      <c r="A1241" t="str">
        <f t="shared" si="510"/>
        <v>04-08-2020 01:08:42</v>
      </c>
      <c r="B1241" t="str">
        <f>"0000809715"</f>
        <v>0000809715</v>
      </c>
      <c r="C1241" t="str">
        <f t="shared" si="511"/>
        <v>0000809602</v>
      </c>
      <c r="D1241" t="str">
        <f t="shared" si="512"/>
        <v>73185</v>
      </c>
      <c r="E1241" t="str">
        <f t="shared" si="513"/>
        <v>KFH-OPERATIONS DEPARTMENT</v>
      </c>
      <c r="F1241" t="str">
        <f t="shared" si="514"/>
        <v>IBG</v>
      </c>
      <c r="G1241" t="str">
        <f t="shared" si="527"/>
        <v>Refund COSHARE 10</v>
      </c>
      <c r="H1241" s="2">
        <v>142.75</v>
      </c>
      <c r="I1241" t="str">
        <f>"YUSMAN BIN OMAR"</f>
        <v>YUSMAN BIN OMAR</v>
      </c>
      <c r="J1241" t="str">
        <f t="shared" si="528"/>
        <v>MAYBANK / MAYBANK ISLAMIC</v>
      </c>
      <c r="K1241" t="str">
        <f>"101013272230"</f>
        <v>101013272230</v>
      </c>
      <c r="L1241" t="str">
        <f t="shared" si="525"/>
        <v>04-08-2020</v>
      </c>
      <c r="M1241" t="str">
        <f t="shared" si="525"/>
        <v>04-08-2020</v>
      </c>
      <c r="N1241" t="str">
        <f t="shared" si="515"/>
        <v>001105018356</v>
      </c>
      <c r="O1241" t="str">
        <f t="shared" si="516"/>
        <v>MYR</v>
      </c>
      <c r="P1241" t="str">
        <f t="shared" si="526"/>
        <v>NIL</v>
      </c>
      <c r="Q1241" t="str">
        <f t="shared" si="526"/>
        <v>NIL</v>
      </c>
      <c r="R1241" t="str">
        <f t="shared" si="517"/>
        <v>Accepted</v>
      </c>
      <c r="S1241" t="str">
        <f t="shared" si="518"/>
        <v>Approved</v>
      </c>
      <c r="T1241" t="str">
        <f t="shared" si="519"/>
        <v>10.20.8.188</v>
      </c>
      <c r="U1241" t="str">
        <f t="shared" si="520"/>
        <v>AZRAD UMAR BIN SHAARI</v>
      </c>
      <c r="V1241" t="str">
        <f t="shared" si="521"/>
        <v>FARHANA BINTI MUSTAPA</v>
      </c>
      <c r="W1241" t="str">
        <f t="shared" si="522"/>
        <v>04-08-2020</v>
      </c>
      <c r="X1241" t="str">
        <f t="shared" si="523"/>
        <v>RAZIMAH ANSAR AHMAD</v>
      </c>
      <c r="Y1241" t="str">
        <f t="shared" si="524"/>
        <v>04-08-2020</v>
      </c>
      <c r="Z1241" t="str">
        <f>"COS10200804 7913"</f>
        <v>COS10200804 7913</v>
      </c>
    </row>
    <row r="1242" spans="1:26" x14ac:dyDescent="0.25">
      <c r="A1242" t="str">
        <f t="shared" si="510"/>
        <v>04-08-2020 01:08:42</v>
      </c>
      <c r="B1242" t="str">
        <f>"0000809714"</f>
        <v>0000809714</v>
      </c>
      <c r="C1242" t="str">
        <f t="shared" si="511"/>
        <v>0000809602</v>
      </c>
      <c r="D1242" t="str">
        <f t="shared" si="512"/>
        <v>73185</v>
      </c>
      <c r="E1242" t="str">
        <f t="shared" si="513"/>
        <v>KFH-OPERATIONS DEPARTMENT</v>
      </c>
      <c r="F1242" t="str">
        <f t="shared" si="514"/>
        <v>IBG</v>
      </c>
      <c r="G1242" t="str">
        <f t="shared" si="527"/>
        <v>Refund COSHARE 10</v>
      </c>
      <c r="H1242" s="2">
        <v>92.35</v>
      </c>
      <c r="I1242" t="str">
        <f>"YUSMA HANIM BINTI YAFIAH"</f>
        <v>YUSMA HANIM BINTI YAFIAH</v>
      </c>
      <c r="J1242" t="str">
        <f t="shared" si="528"/>
        <v>MAYBANK / MAYBANK ISLAMIC</v>
      </c>
      <c r="K1242" t="str">
        <f>"162384708456"</f>
        <v>162384708456</v>
      </c>
      <c r="L1242" t="str">
        <f t="shared" si="525"/>
        <v>04-08-2020</v>
      </c>
      <c r="M1242" t="str">
        <f t="shared" si="525"/>
        <v>04-08-2020</v>
      </c>
      <c r="N1242" t="str">
        <f t="shared" si="515"/>
        <v>001105018356</v>
      </c>
      <c r="O1242" t="str">
        <f t="shared" si="516"/>
        <v>MYR</v>
      </c>
      <c r="P1242" t="str">
        <f t="shared" si="526"/>
        <v>NIL</v>
      </c>
      <c r="Q1242" t="str">
        <f t="shared" si="526"/>
        <v>NIL</v>
      </c>
      <c r="R1242" t="str">
        <f t="shared" si="517"/>
        <v>Accepted</v>
      </c>
      <c r="S1242" t="str">
        <f t="shared" si="518"/>
        <v>Approved</v>
      </c>
      <c r="T1242" t="str">
        <f t="shared" si="519"/>
        <v>10.20.8.188</v>
      </c>
      <c r="U1242" t="str">
        <f t="shared" si="520"/>
        <v>AZRAD UMAR BIN SHAARI</v>
      </c>
      <c r="V1242" t="str">
        <f t="shared" si="521"/>
        <v>FARHANA BINTI MUSTAPA</v>
      </c>
      <c r="W1242" t="str">
        <f t="shared" si="522"/>
        <v>04-08-2020</v>
      </c>
      <c r="X1242" t="str">
        <f t="shared" si="523"/>
        <v>RAZIMAH ANSAR AHMAD</v>
      </c>
      <c r="Y1242" t="str">
        <f t="shared" si="524"/>
        <v>04-08-2020</v>
      </c>
      <c r="Z1242" t="str">
        <f>"COS10200804 7912"</f>
        <v>COS10200804 7912</v>
      </c>
    </row>
    <row r="1243" spans="1:26" x14ac:dyDescent="0.25">
      <c r="A1243" t="str">
        <f t="shared" si="510"/>
        <v>04-08-2020 01:08:42</v>
      </c>
      <c r="B1243" t="str">
        <f>"0000809713"</f>
        <v>0000809713</v>
      </c>
      <c r="C1243" t="str">
        <f t="shared" si="511"/>
        <v>0000809602</v>
      </c>
      <c r="D1243" t="str">
        <f t="shared" si="512"/>
        <v>73185</v>
      </c>
      <c r="E1243" t="str">
        <f t="shared" si="513"/>
        <v>KFH-OPERATIONS DEPARTMENT</v>
      </c>
      <c r="F1243" t="str">
        <f t="shared" si="514"/>
        <v>IBG</v>
      </c>
      <c r="G1243" t="str">
        <f t="shared" si="527"/>
        <v>Refund COSHARE 10</v>
      </c>
      <c r="H1243" s="2">
        <v>1477.55</v>
      </c>
      <c r="I1243" t="str">
        <f>"YUSLIZA BINTI AHMAD"</f>
        <v>YUSLIZA BINTI AHMAD</v>
      </c>
      <c r="J1243" t="str">
        <f t="shared" si="528"/>
        <v>MAYBANK / MAYBANK ISLAMIC</v>
      </c>
      <c r="K1243" t="str">
        <f>"114263052366"</f>
        <v>114263052366</v>
      </c>
      <c r="L1243" t="str">
        <f t="shared" si="525"/>
        <v>04-08-2020</v>
      </c>
      <c r="M1243" t="str">
        <f t="shared" si="525"/>
        <v>04-08-2020</v>
      </c>
      <c r="N1243" t="str">
        <f t="shared" si="515"/>
        <v>001105018356</v>
      </c>
      <c r="O1243" t="str">
        <f t="shared" si="516"/>
        <v>MYR</v>
      </c>
      <c r="P1243" t="str">
        <f t="shared" si="526"/>
        <v>NIL</v>
      </c>
      <c r="Q1243" t="str">
        <f t="shared" si="526"/>
        <v>NIL</v>
      </c>
      <c r="R1243" t="str">
        <f t="shared" si="517"/>
        <v>Accepted</v>
      </c>
      <c r="S1243" t="str">
        <f t="shared" si="518"/>
        <v>Approved</v>
      </c>
      <c r="T1243" t="str">
        <f t="shared" si="519"/>
        <v>10.20.8.188</v>
      </c>
      <c r="U1243" t="str">
        <f t="shared" si="520"/>
        <v>AZRAD UMAR BIN SHAARI</v>
      </c>
      <c r="V1243" t="str">
        <f t="shared" si="521"/>
        <v>FARHANA BINTI MUSTAPA</v>
      </c>
      <c r="W1243" t="str">
        <f t="shared" si="522"/>
        <v>04-08-2020</v>
      </c>
      <c r="X1243" t="str">
        <f t="shared" si="523"/>
        <v>RAZIMAH ANSAR AHMAD</v>
      </c>
      <c r="Y1243" t="str">
        <f t="shared" si="524"/>
        <v>04-08-2020</v>
      </c>
      <c r="Z1243" t="str">
        <f>"COS10200804 7911"</f>
        <v>COS10200804 7911</v>
      </c>
    </row>
    <row r="1244" spans="1:26" x14ac:dyDescent="0.25">
      <c r="A1244" t="str">
        <f t="shared" si="510"/>
        <v>04-08-2020 01:08:42</v>
      </c>
      <c r="B1244" t="str">
        <f>"0000809712"</f>
        <v>0000809712</v>
      </c>
      <c r="C1244" t="str">
        <f t="shared" si="511"/>
        <v>0000809602</v>
      </c>
      <c r="D1244" t="str">
        <f t="shared" si="512"/>
        <v>73185</v>
      </c>
      <c r="E1244" t="str">
        <f t="shared" si="513"/>
        <v>KFH-OPERATIONS DEPARTMENT</v>
      </c>
      <c r="F1244" t="str">
        <f t="shared" si="514"/>
        <v>IBG</v>
      </c>
      <c r="G1244" t="str">
        <f t="shared" si="527"/>
        <v>Refund COSHARE 10</v>
      </c>
      <c r="H1244" s="2">
        <v>1603.45</v>
      </c>
      <c r="I1244" t="str">
        <f>"YUSLAN BIN YASOK"</f>
        <v>YUSLAN BIN YASOK</v>
      </c>
      <c r="J1244" t="str">
        <f t="shared" si="528"/>
        <v>MAYBANK / MAYBANK ISLAMIC</v>
      </c>
      <c r="K1244" t="str">
        <f>"114011414019"</f>
        <v>114011414019</v>
      </c>
      <c r="L1244" t="str">
        <f t="shared" si="525"/>
        <v>04-08-2020</v>
      </c>
      <c r="M1244" t="str">
        <f t="shared" si="525"/>
        <v>04-08-2020</v>
      </c>
      <c r="N1244" t="str">
        <f t="shared" si="515"/>
        <v>001105018356</v>
      </c>
      <c r="O1244" t="str">
        <f t="shared" si="516"/>
        <v>MYR</v>
      </c>
      <c r="P1244" t="str">
        <f t="shared" si="526"/>
        <v>NIL</v>
      </c>
      <c r="Q1244" t="str">
        <f t="shared" si="526"/>
        <v>NIL</v>
      </c>
      <c r="R1244" t="str">
        <f t="shared" si="517"/>
        <v>Accepted</v>
      </c>
      <c r="S1244" t="str">
        <f t="shared" si="518"/>
        <v>Approved</v>
      </c>
      <c r="T1244" t="str">
        <f t="shared" si="519"/>
        <v>10.20.8.188</v>
      </c>
      <c r="U1244" t="str">
        <f t="shared" si="520"/>
        <v>AZRAD UMAR BIN SHAARI</v>
      </c>
      <c r="V1244" t="str">
        <f t="shared" si="521"/>
        <v>FARHANA BINTI MUSTAPA</v>
      </c>
      <c r="W1244" t="str">
        <f t="shared" si="522"/>
        <v>04-08-2020</v>
      </c>
      <c r="X1244" t="str">
        <f t="shared" si="523"/>
        <v>RAZIMAH ANSAR AHMAD</v>
      </c>
      <c r="Y1244" t="str">
        <f t="shared" si="524"/>
        <v>04-08-2020</v>
      </c>
      <c r="Z1244" t="str">
        <f>"COS10200804 7910"</f>
        <v>COS10200804 7910</v>
      </c>
    </row>
    <row r="1245" spans="1:26" x14ac:dyDescent="0.25">
      <c r="A1245" t="str">
        <f t="shared" si="510"/>
        <v>04-08-2020 01:08:42</v>
      </c>
      <c r="B1245" t="str">
        <f>"0000809711"</f>
        <v>0000809711</v>
      </c>
      <c r="C1245" t="str">
        <f t="shared" si="511"/>
        <v>0000809602</v>
      </c>
      <c r="D1245" t="str">
        <f t="shared" si="512"/>
        <v>73185</v>
      </c>
      <c r="E1245" t="str">
        <f t="shared" si="513"/>
        <v>KFH-OPERATIONS DEPARTMENT</v>
      </c>
      <c r="F1245" t="str">
        <f t="shared" si="514"/>
        <v>IBG</v>
      </c>
      <c r="G1245" t="str">
        <f t="shared" si="527"/>
        <v>Refund COSHARE 10</v>
      </c>
      <c r="H1245" s="2">
        <v>587.65</v>
      </c>
      <c r="I1245" t="str">
        <f>"YUSAINI BIN YUSOFF"</f>
        <v>YUSAINI BIN YUSOFF</v>
      </c>
      <c r="J1245" t="str">
        <f t="shared" si="528"/>
        <v>MAYBANK / MAYBANK ISLAMIC</v>
      </c>
      <c r="K1245" t="str">
        <f>"152116149484"</f>
        <v>152116149484</v>
      </c>
      <c r="L1245" t="str">
        <f t="shared" si="525"/>
        <v>04-08-2020</v>
      </c>
      <c r="M1245" t="str">
        <f t="shared" si="525"/>
        <v>04-08-2020</v>
      </c>
      <c r="N1245" t="str">
        <f t="shared" si="515"/>
        <v>001105018356</v>
      </c>
      <c r="O1245" t="str">
        <f t="shared" si="516"/>
        <v>MYR</v>
      </c>
      <c r="P1245" t="str">
        <f t="shared" si="526"/>
        <v>NIL</v>
      </c>
      <c r="Q1245" t="str">
        <f t="shared" si="526"/>
        <v>NIL</v>
      </c>
      <c r="R1245" t="str">
        <f t="shared" si="517"/>
        <v>Accepted</v>
      </c>
      <c r="S1245" t="str">
        <f t="shared" si="518"/>
        <v>Approved</v>
      </c>
      <c r="T1245" t="str">
        <f t="shared" si="519"/>
        <v>10.20.8.188</v>
      </c>
      <c r="U1245" t="str">
        <f t="shared" si="520"/>
        <v>AZRAD UMAR BIN SHAARI</v>
      </c>
      <c r="V1245" t="str">
        <f t="shared" si="521"/>
        <v>FARHANA BINTI MUSTAPA</v>
      </c>
      <c r="W1245" t="str">
        <f t="shared" si="522"/>
        <v>04-08-2020</v>
      </c>
      <c r="X1245" t="str">
        <f t="shared" si="523"/>
        <v>RAZIMAH ANSAR AHMAD</v>
      </c>
      <c r="Y1245" t="str">
        <f t="shared" si="524"/>
        <v>04-08-2020</v>
      </c>
      <c r="Z1245" t="str">
        <f>"COS10200804 7909"</f>
        <v>COS10200804 7909</v>
      </c>
    </row>
    <row r="1246" spans="1:26" x14ac:dyDescent="0.25">
      <c r="A1246" t="str">
        <f t="shared" si="510"/>
        <v>04-08-2020 01:08:42</v>
      </c>
      <c r="B1246" t="str">
        <f>"0000809710"</f>
        <v>0000809710</v>
      </c>
      <c r="C1246" t="str">
        <f t="shared" si="511"/>
        <v>0000809602</v>
      </c>
      <c r="D1246" t="str">
        <f t="shared" si="512"/>
        <v>73185</v>
      </c>
      <c r="E1246" t="str">
        <f t="shared" si="513"/>
        <v>KFH-OPERATIONS DEPARTMENT</v>
      </c>
      <c r="F1246" t="str">
        <f t="shared" si="514"/>
        <v>IBG</v>
      </c>
      <c r="G1246" t="str">
        <f t="shared" si="527"/>
        <v>Refund COSHARE 10</v>
      </c>
      <c r="H1246" s="2">
        <v>503.7</v>
      </c>
      <c r="I1246" t="str">
        <f>"YUMILA BINTI MAT YUSOF"</f>
        <v>YUMILA BINTI MAT YUSOF</v>
      </c>
      <c r="J1246" t="str">
        <f t="shared" si="528"/>
        <v>MAYBANK / MAYBANK ISLAMIC</v>
      </c>
      <c r="K1246" t="str">
        <f>"113015156348"</f>
        <v>113015156348</v>
      </c>
      <c r="L1246" t="str">
        <f t="shared" si="525"/>
        <v>04-08-2020</v>
      </c>
      <c r="M1246" t="str">
        <f t="shared" si="525"/>
        <v>04-08-2020</v>
      </c>
      <c r="N1246" t="str">
        <f t="shared" si="515"/>
        <v>001105018356</v>
      </c>
      <c r="O1246" t="str">
        <f t="shared" si="516"/>
        <v>MYR</v>
      </c>
      <c r="P1246" t="str">
        <f t="shared" si="526"/>
        <v>NIL</v>
      </c>
      <c r="Q1246" t="str">
        <f t="shared" si="526"/>
        <v>NIL</v>
      </c>
      <c r="R1246" t="str">
        <f t="shared" si="517"/>
        <v>Accepted</v>
      </c>
      <c r="S1246" t="str">
        <f t="shared" si="518"/>
        <v>Approved</v>
      </c>
      <c r="T1246" t="str">
        <f t="shared" si="519"/>
        <v>10.20.8.188</v>
      </c>
      <c r="U1246" t="str">
        <f t="shared" si="520"/>
        <v>AZRAD UMAR BIN SHAARI</v>
      </c>
      <c r="V1246" t="str">
        <f t="shared" si="521"/>
        <v>FARHANA BINTI MUSTAPA</v>
      </c>
      <c r="W1246" t="str">
        <f t="shared" si="522"/>
        <v>04-08-2020</v>
      </c>
      <c r="X1246" t="str">
        <f t="shared" si="523"/>
        <v>RAZIMAH ANSAR AHMAD</v>
      </c>
      <c r="Y1246" t="str">
        <f t="shared" si="524"/>
        <v>04-08-2020</v>
      </c>
      <c r="Z1246" t="str">
        <f>"COS10200804 7908"</f>
        <v>COS10200804 7908</v>
      </c>
    </row>
    <row r="1247" spans="1:26" x14ac:dyDescent="0.25">
      <c r="A1247" t="str">
        <f t="shared" si="510"/>
        <v>04-08-2020 01:08:42</v>
      </c>
      <c r="B1247" t="str">
        <f>"0000809709"</f>
        <v>0000809709</v>
      </c>
      <c r="C1247" t="str">
        <f t="shared" si="511"/>
        <v>0000809602</v>
      </c>
      <c r="D1247" t="str">
        <f t="shared" si="512"/>
        <v>73185</v>
      </c>
      <c r="E1247" t="str">
        <f t="shared" si="513"/>
        <v>KFH-OPERATIONS DEPARTMENT</v>
      </c>
      <c r="F1247" t="str">
        <f t="shared" si="514"/>
        <v>IBG</v>
      </c>
      <c r="G1247" t="str">
        <f t="shared" si="527"/>
        <v>Refund COSHARE 10</v>
      </c>
      <c r="H1247" s="2">
        <v>1292.8499999999999</v>
      </c>
      <c r="I1247" t="str">
        <f>"YUHASNI BINTI MANSOR"</f>
        <v>YUHASNI BINTI MANSOR</v>
      </c>
      <c r="J1247" t="str">
        <f t="shared" si="528"/>
        <v>MAYBANK / MAYBANK ISLAMIC</v>
      </c>
      <c r="K1247" t="str">
        <f>"162508051409"</f>
        <v>162508051409</v>
      </c>
      <c r="L1247" t="str">
        <f t="shared" ref="L1247:M1266" si="529">"04-08-2020"</f>
        <v>04-08-2020</v>
      </c>
      <c r="M1247" t="str">
        <f t="shared" si="529"/>
        <v>04-08-2020</v>
      </c>
      <c r="N1247" t="str">
        <f t="shared" si="515"/>
        <v>001105018356</v>
      </c>
      <c r="O1247" t="str">
        <f t="shared" si="516"/>
        <v>MYR</v>
      </c>
      <c r="P1247" t="str">
        <f t="shared" ref="P1247:Q1266" si="530">"NIL"</f>
        <v>NIL</v>
      </c>
      <c r="Q1247" t="str">
        <f t="shared" si="530"/>
        <v>NIL</v>
      </c>
      <c r="R1247" t="str">
        <f t="shared" si="517"/>
        <v>Accepted</v>
      </c>
      <c r="S1247" t="str">
        <f t="shared" si="518"/>
        <v>Approved</v>
      </c>
      <c r="T1247" t="str">
        <f t="shared" si="519"/>
        <v>10.20.8.188</v>
      </c>
      <c r="U1247" t="str">
        <f t="shared" si="520"/>
        <v>AZRAD UMAR BIN SHAARI</v>
      </c>
      <c r="V1247" t="str">
        <f t="shared" si="521"/>
        <v>FARHANA BINTI MUSTAPA</v>
      </c>
      <c r="W1247" t="str">
        <f t="shared" si="522"/>
        <v>04-08-2020</v>
      </c>
      <c r="X1247" t="str">
        <f t="shared" si="523"/>
        <v>RAZIMAH ANSAR AHMAD</v>
      </c>
      <c r="Y1247" t="str">
        <f t="shared" si="524"/>
        <v>04-08-2020</v>
      </c>
      <c r="Z1247" t="str">
        <f>"COS10200804 7907"</f>
        <v>COS10200804 7907</v>
      </c>
    </row>
    <row r="1248" spans="1:26" x14ac:dyDescent="0.25">
      <c r="A1248" t="str">
        <f t="shared" si="510"/>
        <v>04-08-2020 01:08:42</v>
      </c>
      <c r="B1248" t="str">
        <f>"0000809708"</f>
        <v>0000809708</v>
      </c>
      <c r="C1248" t="str">
        <f t="shared" si="511"/>
        <v>0000809602</v>
      </c>
      <c r="D1248" t="str">
        <f t="shared" si="512"/>
        <v>73185</v>
      </c>
      <c r="E1248" t="str">
        <f t="shared" si="513"/>
        <v>KFH-OPERATIONS DEPARTMENT</v>
      </c>
      <c r="F1248" t="str">
        <f t="shared" si="514"/>
        <v>IBG</v>
      </c>
      <c r="G1248" t="str">
        <f t="shared" si="527"/>
        <v>Refund COSHARE 10</v>
      </c>
      <c r="H1248" s="2">
        <v>67.2</v>
      </c>
      <c r="I1248" t="str">
        <f>"YUHANIS BINTI KHALID"</f>
        <v>YUHANIS BINTI KHALID</v>
      </c>
      <c r="J1248" t="str">
        <f t="shared" si="528"/>
        <v>MAYBANK / MAYBANK ISLAMIC</v>
      </c>
      <c r="K1248" t="str">
        <f>"166010112645"</f>
        <v>166010112645</v>
      </c>
      <c r="L1248" t="str">
        <f t="shared" si="529"/>
        <v>04-08-2020</v>
      </c>
      <c r="M1248" t="str">
        <f t="shared" si="529"/>
        <v>04-08-2020</v>
      </c>
      <c r="N1248" t="str">
        <f t="shared" si="515"/>
        <v>001105018356</v>
      </c>
      <c r="O1248" t="str">
        <f t="shared" si="516"/>
        <v>MYR</v>
      </c>
      <c r="P1248" t="str">
        <f t="shared" si="530"/>
        <v>NIL</v>
      </c>
      <c r="Q1248" t="str">
        <f t="shared" si="530"/>
        <v>NIL</v>
      </c>
      <c r="R1248" t="str">
        <f t="shared" si="517"/>
        <v>Accepted</v>
      </c>
      <c r="S1248" t="str">
        <f t="shared" si="518"/>
        <v>Approved</v>
      </c>
      <c r="T1248" t="str">
        <f t="shared" si="519"/>
        <v>10.20.8.188</v>
      </c>
      <c r="U1248" t="str">
        <f t="shared" si="520"/>
        <v>AZRAD UMAR BIN SHAARI</v>
      </c>
      <c r="V1248" t="str">
        <f t="shared" si="521"/>
        <v>FARHANA BINTI MUSTAPA</v>
      </c>
      <c r="W1248" t="str">
        <f t="shared" si="522"/>
        <v>04-08-2020</v>
      </c>
      <c r="X1248" t="str">
        <f t="shared" si="523"/>
        <v>RAZIMAH ANSAR AHMAD</v>
      </c>
      <c r="Y1248" t="str">
        <f t="shared" si="524"/>
        <v>04-08-2020</v>
      </c>
      <c r="Z1248" t="str">
        <f>"COS10200804 7906"</f>
        <v>COS10200804 7906</v>
      </c>
    </row>
    <row r="1249" spans="1:26" x14ac:dyDescent="0.25">
      <c r="A1249" t="str">
        <f t="shared" si="510"/>
        <v>04-08-2020 01:08:42</v>
      </c>
      <c r="B1249" t="str">
        <f>"0000809707"</f>
        <v>0000809707</v>
      </c>
      <c r="C1249" t="str">
        <f t="shared" si="511"/>
        <v>0000809602</v>
      </c>
      <c r="D1249" t="str">
        <f t="shared" si="512"/>
        <v>73185</v>
      </c>
      <c r="E1249" t="str">
        <f t="shared" si="513"/>
        <v>KFH-OPERATIONS DEPARTMENT</v>
      </c>
      <c r="F1249" t="str">
        <f t="shared" si="514"/>
        <v>IBG</v>
      </c>
      <c r="G1249" t="str">
        <f t="shared" si="527"/>
        <v>Refund COSHARE 10</v>
      </c>
      <c r="H1249" s="2">
        <v>839.5</v>
      </c>
      <c r="I1249" t="str">
        <f>"YUHAIDA BINTI YAH PAKHARI"</f>
        <v>YUHAIDA BINTI YAH PAKHARI</v>
      </c>
      <c r="J1249" t="str">
        <f t="shared" si="528"/>
        <v>MAYBANK / MAYBANK ISLAMIC</v>
      </c>
      <c r="K1249" t="str">
        <f>"155032318536"</f>
        <v>155032318536</v>
      </c>
      <c r="L1249" t="str">
        <f t="shared" si="529"/>
        <v>04-08-2020</v>
      </c>
      <c r="M1249" t="str">
        <f t="shared" si="529"/>
        <v>04-08-2020</v>
      </c>
      <c r="N1249" t="str">
        <f t="shared" si="515"/>
        <v>001105018356</v>
      </c>
      <c r="O1249" t="str">
        <f t="shared" si="516"/>
        <v>MYR</v>
      </c>
      <c r="P1249" t="str">
        <f t="shared" si="530"/>
        <v>NIL</v>
      </c>
      <c r="Q1249" t="str">
        <f t="shared" si="530"/>
        <v>NIL</v>
      </c>
      <c r="R1249" t="str">
        <f t="shared" si="517"/>
        <v>Accepted</v>
      </c>
      <c r="S1249" t="str">
        <f t="shared" si="518"/>
        <v>Approved</v>
      </c>
      <c r="T1249" t="str">
        <f t="shared" si="519"/>
        <v>10.20.8.188</v>
      </c>
      <c r="U1249" t="str">
        <f t="shared" si="520"/>
        <v>AZRAD UMAR BIN SHAARI</v>
      </c>
      <c r="V1249" t="str">
        <f t="shared" si="521"/>
        <v>FARHANA BINTI MUSTAPA</v>
      </c>
      <c r="W1249" t="str">
        <f t="shared" si="522"/>
        <v>04-08-2020</v>
      </c>
      <c r="X1249" t="str">
        <f t="shared" si="523"/>
        <v>RAZIMAH ANSAR AHMAD</v>
      </c>
      <c r="Y1249" t="str">
        <f t="shared" si="524"/>
        <v>04-08-2020</v>
      </c>
      <c r="Z1249" t="str">
        <f>"COS10200804 7905"</f>
        <v>COS10200804 7905</v>
      </c>
    </row>
    <row r="1250" spans="1:26" x14ac:dyDescent="0.25">
      <c r="A1250" t="str">
        <f t="shared" ref="A1250:A1281" si="531">"04-08-2020 01:08:42"</f>
        <v>04-08-2020 01:08:42</v>
      </c>
      <c r="B1250" t="str">
        <f>"0000809706"</f>
        <v>0000809706</v>
      </c>
      <c r="C1250" t="str">
        <f t="shared" ref="C1250:C1281" si="532">"0000809602"</f>
        <v>0000809602</v>
      </c>
      <c r="D1250" t="str">
        <f t="shared" si="512"/>
        <v>73185</v>
      </c>
      <c r="E1250" t="str">
        <f t="shared" si="513"/>
        <v>KFH-OPERATIONS DEPARTMENT</v>
      </c>
      <c r="F1250" t="str">
        <f t="shared" si="514"/>
        <v>IBG</v>
      </c>
      <c r="G1250" t="str">
        <f t="shared" si="527"/>
        <v>Refund COSHARE 10</v>
      </c>
      <c r="H1250" s="2">
        <v>307</v>
      </c>
      <c r="I1250" t="str">
        <f>"YOGANATHAN AL MUNIANDY"</f>
        <v>YOGANATHAN AL MUNIANDY</v>
      </c>
      <c r="J1250" t="str">
        <f t="shared" si="528"/>
        <v>MAYBANK / MAYBANK ISLAMIC</v>
      </c>
      <c r="K1250" t="str">
        <f>"116015014910"</f>
        <v>116015014910</v>
      </c>
      <c r="L1250" t="str">
        <f t="shared" si="529"/>
        <v>04-08-2020</v>
      </c>
      <c r="M1250" t="str">
        <f t="shared" si="529"/>
        <v>04-08-2020</v>
      </c>
      <c r="N1250" t="str">
        <f t="shared" si="515"/>
        <v>001105018356</v>
      </c>
      <c r="O1250" t="str">
        <f t="shared" si="516"/>
        <v>MYR</v>
      </c>
      <c r="P1250" t="str">
        <f t="shared" si="530"/>
        <v>NIL</v>
      </c>
      <c r="Q1250" t="str">
        <f t="shared" si="530"/>
        <v>NIL</v>
      </c>
      <c r="R1250" t="str">
        <f t="shared" si="517"/>
        <v>Accepted</v>
      </c>
      <c r="S1250" t="str">
        <f t="shared" si="518"/>
        <v>Approved</v>
      </c>
      <c r="T1250" t="str">
        <f t="shared" si="519"/>
        <v>10.20.8.188</v>
      </c>
      <c r="U1250" t="str">
        <f t="shared" si="520"/>
        <v>AZRAD UMAR BIN SHAARI</v>
      </c>
      <c r="V1250" t="str">
        <f t="shared" si="521"/>
        <v>FARHANA BINTI MUSTAPA</v>
      </c>
      <c r="W1250" t="str">
        <f t="shared" si="522"/>
        <v>04-08-2020</v>
      </c>
      <c r="X1250" t="str">
        <f t="shared" si="523"/>
        <v>RAZIMAH ANSAR AHMAD</v>
      </c>
      <c r="Y1250" t="str">
        <f t="shared" si="524"/>
        <v>04-08-2020</v>
      </c>
      <c r="Z1250" t="str">
        <f>"COS10200804 7904"</f>
        <v>COS10200804 7904</v>
      </c>
    </row>
    <row r="1251" spans="1:26" x14ac:dyDescent="0.25">
      <c r="A1251" t="str">
        <f t="shared" si="531"/>
        <v>04-08-2020 01:08:42</v>
      </c>
      <c r="B1251" t="str">
        <f>"0000809705"</f>
        <v>0000809705</v>
      </c>
      <c r="C1251" t="str">
        <f t="shared" si="532"/>
        <v>0000809602</v>
      </c>
      <c r="D1251" t="str">
        <f t="shared" si="512"/>
        <v>73185</v>
      </c>
      <c r="E1251" t="str">
        <f t="shared" si="513"/>
        <v>KFH-OPERATIONS DEPARTMENT</v>
      </c>
      <c r="F1251" t="str">
        <f t="shared" si="514"/>
        <v>IBG</v>
      </c>
      <c r="G1251" t="str">
        <f t="shared" si="527"/>
        <v>Refund COSHARE 10</v>
      </c>
      <c r="H1251" s="2">
        <v>50.4</v>
      </c>
      <c r="I1251" t="str">
        <f>"YENNI BINTI IRWAN KURNIAWAN"</f>
        <v>YENNI BINTI IRWAN KURNIAWAN</v>
      </c>
      <c r="J1251" t="str">
        <f t="shared" si="528"/>
        <v>MAYBANK / MAYBANK ISLAMIC</v>
      </c>
      <c r="K1251" t="str">
        <f>"162384822001"</f>
        <v>162384822001</v>
      </c>
      <c r="L1251" t="str">
        <f t="shared" si="529"/>
        <v>04-08-2020</v>
      </c>
      <c r="M1251" t="str">
        <f t="shared" si="529"/>
        <v>04-08-2020</v>
      </c>
      <c r="N1251" t="str">
        <f t="shared" si="515"/>
        <v>001105018356</v>
      </c>
      <c r="O1251" t="str">
        <f t="shared" si="516"/>
        <v>MYR</v>
      </c>
      <c r="P1251" t="str">
        <f t="shared" si="530"/>
        <v>NIL</v>
      </c>
      <c r="Q1251" t="str">
        <f t="shared" si="530"/>
        <v>NIL</v>
      </c>
      <c r="R1251" t="str">
        <f t="shared" si="517"/>
        <v>Accepted</v>
      </c>
      <c r="S1251" t="str">
        <f t="shared" si="518"/>
        <v>Approved</v>
      </c>
      <c r="T1251" t="str">
        <f t="shared" si="519"/>
        <v>10.20.8.188</v>
      </c>
      <c r="U1251" t="str">
        <f t="shared" si="520"/>
        <v>AZRAD UMAR BIN SHAARI</v>
      </c>
      <c r="V1251" t="str">
        <f t="shared" si="521"/>
        <v>FARHANA BINTI MUSTAPA</v>
      </c>
      <c r="W1251" t="str">
        <f t="shared" si="522"/>
        <v>04-08-2020</v>
      </c>
      <c r="X1251" t="str">
        <f t="shared" si="523"/>
        <v>RAZIMAH ANSAR AHMAD</v>
      </c>
      <c r="Y1251" t="str">
        <f t="shared" si="524"/>
        <v>04-08-2020</v>
      </c>
      <c r="Z1251" t="str">
        <f>"COS10200804 7903"</f>
        <v>COS10200804 7903</v>
      </c>
    </row>
    <row r="1252" spans="1:26" x14ac:dyDescent="0.25">
      <c r="A1252" t="str">
        <f t="shared" si="531"/>
        <v>04-08-2020 01:08:42</v>
      </c>
      <c r="B1252" t="str">
        <f>"0000809704"</f>
        <v>0000809704</v>
      </c>
      <c r="C1252" t="str">
        <f t="shared" si="532"/>
        <v>0000809602</v>
      </c>
      <c r="D1252" t="str">
        <f t="shared" si="512"/>
        <v>73185</v>
      </c>
      <c r="E1252" t="str">
        <f t="shared" si="513"/>
        <v>KFH-OPERATIONS DEPARTMENT</v>
      </c>
      <c r="F1252" t="str">
        <f t="shared" si="514"/>
        <v>IBG</v>
      </c>
      <c r="G1252" t="str">
        <f t="shared" si="527"/>
        <v>Refund COSHARE 10</v>
      </c>
      <c r="H1252" s="2">
        <v>1259.25</v>
      </c>
      <c r="I1252" t="str">
        <f>"YAZID BIN MUHAMAD NOH"</f>
        <v>YAZID BIN MUHAMAD NOH</v>
      </c>
      <c r="J1252" t="str">
        <f t="shared" si="528"/>
        <v>MAYBANK / MAYBANK ISLAMIC</v>
      </c>
      <c r="K1252" t="str">
        <f>"162487039246"</f>
        <v>162487039246</v>
      </c>
      <c r="L1252" t="str">
        <f t="shared" si="529"/>
        <v>04-08-2020</v>
      </c>
      <c r="M1252" t="str">
        <f t="shared" si="529"/>
        <v>04-08-2020</v>
      </c>
      <c r="N1252" t="str">
        <f t="shared" si="515"/>
        <v>001105018356</v>
      </c>
      <c r="O1252" t="str">
        <f t="shared" si="516"/>
        <v>MYR</v>
      </c>
      <c r="P1252" t="str">
        <f t="shared" si="530"/>
        <v>NIL</v>
      </c>
      <c r="Q1252" t="str">
        <f t="shared" si="530"/>
        <v>NIL</v>
      </c>
      <c r="R1252" t="str">
        <f t="shared" si="517"/>
        <v>Accepted</v>
      </c>
      <c r="S1252" t="str">
        <f t="shared" si="518"/>
        <v>Approved</v>
      </c>
      <c r="T1252" t="str">
        <f t="shared" si="519"/>
        <v>10.20.8.188</v>
      </c>
      <c r="U1252" t="str">
        <f t="shared" si="520"/>
        <v>AZRAD UMAR BIN SHAARI</v>
      </c>
      <c r="V1252" t="str">
        <f t="shared" si="521"/>
        <v>FARHANA BINTI MUSTAPA</v>
      </c>
      <c r="W1252" t="str">
        <f t="shared" si="522"/>
        <v>04-08-2020</v>
      </c>
      <c r="X1252" t="str">
        <f t="shared" si="523"/>
        <v>RAZIMAH ANSAR AHMAD</v>
      </c>
      <c r="Y1252" t="str">
        <f t="shared" si="524"/>
        <v>04-08-2020</v>
      </c>
      <c r="Z1252" t="str">
        <f>"COS10200804 7902"</f>
        <v>COS10200804 7902</v>
      </c>
    </row>
    <row r="1253" spans="1:26" x14ac:dyDescent="0.25">
      <c r="A1253" t="str">
        <f t="shared" si="531"/>
        <v>04-08-2020 01:08:42</v>
      </c>
      <c r="B1253" t="str">
        <f>"0000809703"</f>
        <v>0000809703</v>
      </c>
      <c r="C1253" t="str">
        <f t="shared" si="532"/>
        <v>0000809602</v>
      </c>
      <c r="D1253" t="str">
        <f t="shared" si="512"/>
        <v>73185</v>
      </c>
      <c r="E1253" t="str">
        <f t="shared" si="513"/>
        <v>KFH-OPERATIONS DEPARTMENT</v>
      </c>
      <c r="F1253" t="str">
        <f t="shared" si="514"/>
        <v>IBG</v>
      </c>
      <c r="G1253" t="str">
        <f t="shared" si="527"/>
        <v>Refund COSHARE 10</v>
      </c>
      <c r="H1253" s="2">
        <v>655</v>
      </c>
      <c r="I1253" t="str">
        <f>"YASRI BIN MISRAN"</f>
        <v>YASRI BIN MISRAN</v>
      </c>
      <c r="J1253" t="str">
        <f t="shared" si="528"/>
        <v>MAYBANK / MAYBANK ISLAMIC</v>
      </c>
      <c r="K1253" t="str">
        <f>"108029486285"</f>
        <v>108029486285</v>
      </c>
      <c r="L1253" t="str">
        <f t="shared" si="529"/>
        <v>04-08-2020</v>
      </c>
      <c r="M1253" t="str">
        <f t="shared" si="529"/>
        <v>04-08-2020</v>
      </c>
      <c r="N1253" t="str">
        <f t="shared" si="515"/>
        <v>001105018356</v>
      </c>
      <c r="O1253" t="str">
        <f t="shared" si="516"/>
        <v>MYR</v>
      </c>
      <c r="P1253" t="str">
        <f t="shared" si="530"/>
        <v>NIL</v>
      </c>
      <c r="Q1253" t="str">
        <f t="shared" si="530"/>
        <v>NIL</v>
      </c>
      <c r="R1253" t="str">
        <f t="shared" si="517"/>
        <v>Accepted</v>
      </c>
      <c r="S1253" t="str">
        <f t="shared" si="518"/>
        <v>Approved</v>
      </c>
      <c r="T1253" t="str">
        <f t="shared" si="519"/>
        <v>10.20.8.188</v>
      </c>
      <c r="U1253" t="str">
        <f t="shared" si="520"/>
        <v>AZRAD UMAR BIN SHAARI</v>
      </c>
      <c r="V1253" t="str">
        <f t="shared" si="521"/>
        <v>FARHANA BINTI MUSTAPA</v>
      </c>
      <c r="W1253" t="str">
        <f t="shared" si="522"/>
        <v>04-08-2020</v>
      </c>
      <c r="X1253" t="str">
        <f t="shared" si="523"/>
        <v>RAZIMAH ANSAR AHMAD</v>
      </c>
      <c r="Y1253" t="str">
        <f t="shared" si="524"/>
        <v>04-08-2020</v>
      </c>
      <c r="Z1253" t="str">
        <f>"COS10200804 7901"</f>
        <v>COS10200804 7901</v>
      </c>
    </row>
    <row r="1254" spans="1:26" x14ac:dyDescent="0.25">
      <c r="A1254" t="str">
        <f t="shared" si="531"/>
        <v>04-08-2020 01:08:42</v>
      </c>
      <c r="B1254" t="str">
        <f>"0000809702"</f>
        <v>0000809702</v>
      </c>
      <c r="C1254" t="str">
        <f t="shared" si="532"/>
        <v>0000809602</v>
      </c>
      <c r="D1254" t="str">
        <f t="shared" si="512"/>
        <v>73185</v>
      </c>
      <c r="E1254" t="str">
        <f t="shared" si="513"/>
        <v>KFH-OPERATIONS DEPARTMENT</v>
      </c>
      <c r="F1254" t="str">
        <f t="shared" si="514"/>
        <v>IBG</v>
      </c>
      <c r="G1254" t="str">
        <f t="shared" si="527"/>
        <v>Refund COSHARE 10</v>
      </c>
      <c r="H1254" s="2">
        <v>503.7</v>
      </c>
      <c r="I1254" t="str">
        <f>"YASMIN BINTI YUSUP"</f>
        <v>YASMIN BINTI YUSUP</v>
      </c>
      <c r="J1254" t="str">
        <f t="shared" si="528"/>
        <v>MAYBANK / MAYBANK ISLAMIC</v>
      </c>
      <c r="K1254" t="str">
        <f>"111114416462"</f>
        <v>111114416462</v>
      </c>
      <c r="L1254" t="str">
        <f t="shared" si="529"/>
        <v>04-08-2020</v>
      </c>
      <c r="M1254" t="str">
        <f t="shared" si="529"/>
        <v>04-08-2020</v>
      </c>
      <c r="N1254" t="str">
        <f t="shared" si="515"/>
        <v>001105018356</v>
      </c>
      <c r="O1254" t="str">
        <f t="shared" si="516"/>
        <v>MYR</v>
      </c>
      <c r="P1254" t="str">
        <f t="shared" si="530"/>
        <v>NIL</v>
      </c>
      <c r="Q1254" t="str">
        <f t="shared" si="530"/>
        <v>NIL</v>
      </c>
      <c r="R1254" t="str">
        <f t="shared" si="517"/>
        <v>Accepted</v>
      </c>
      <c r="S1254" t="str">
        <f t="shared" si="518"/>
        <v>Approved</v>
      </c>
      <c r="T1254" t="str">
        <f t="shared" si="519"/>
        <v>10.20.8.188</v>
      </c>
      <c r="U1254" t="str">
        <f t="shared" si="520"/>
        <v>AZRAD UMAR BIN SHAARI</v>
      </c>
      <c r="V1254" t="str">
        <f t="shared" si="521"/>
        <v>FARHANA BINTI MUSTAPA</v>
      </c>
      <c r="W1254" t="str">
        <f t="shared" si="522"/>
        <v>04-08-2020</v>
      </c>
      <c r="X1254" t="str">
        <f t="shared" si="523"/>
        <v>RAZIMAH ANSAR AHMAD</v>
      </c>
      <c r="Y1254" t="str">
        <f t="shared" si="524"/>
        <v>04-08-2020</v>
      </c>
      <c r="Z1254" t="str">
        <f>"COS10200804 7900"</f>
        <v>COS10200804 7900</v>
      </c>
    </row>
    <row r="1255" spans="1:26" x14ac:dyDescent="0.25">
      <c r="A1255" t="str">
        <f t="shared" si="531"/>
        <v>04-08-2020 01:08:42</v>
      </c>
      <c r="B1255" t="str">
        <f>"0000809701"</f>
        <v>0000809701</v>
      </c>
      <c r="C1255" t="str">
        <f t="shared" si="532"/>
        <v>0000809602</v>
      </c>
      <c r="D1255" t="str">
        <f t="shared" si="512"/>
        <v>73185</v>
      </c>
      <c r="E1255" t="str">
        <f t="shared" si="513"/>
        <v>KFH-OPERATIONS DEPARTMENT</v>
      </c>
      <c r="F1255" t="str">
        <f t="shared" si="514"/>
        <v>IBG</v>
      </c>
      <c r="G1255" t="str">
        <f t="shared" si="527"/>
        <v>Refund COSHARE 10</v>
      </c>
      <c r="H1255" s="2">
        <v>137</v>
      </c>
      <c r="I1255" t="str">
        <f>"YASARINA BINTI YAYAH"</f>
        <v>YASARINA BINTI YAYAH</v>
      </c>
      <c r="J1255" t="str">
        <f t="shared" si="528"/>
        <v>MAYBANK / MAYBANK ISLAMIC</v>
      </c>
      <c r="K1255" t="str">
        <f>"166010032894"</f>
        <v>166010032894</v>
      </c>
      <c r="L1255" t="str">
        <f t="shared" si="529"/>
        <v>04-08-2020</v>
      </c>
      <c r="M1255" t="str">
        <f t="shared" si="529"/>
        <v>04-08-2020</v>
      </c>
      <c r="N1255" t="str">
        <f t="shared" si="515"/>
        <v>001105018356</v>
      </c>
      <c r="O1255" t="str">
        <f t="shared" si="516"/>
        <v>MYR</v>
      </c>
      <c r="P1255" t="str">
        <f t="shared" si="530"/>
        <v>NIL</v>
      </c>
      <c r="Q1255" t="str">
        <f t="shared" si="530"/>
        <v>NIL</v>
      </c>
      <c r="R1255" t="str">
        <f t="shared" si="517"/>
        <v>Accepted</v>
      </c>
      <c r="S1255" t="str">
        <f t="shared" si="518"/>
        <v>Approved</v>
      </c>
      <c r="T1255" t="str">
        <f t="shared" si="519"/>
        <v>10.20.8.188</v>
      </c>
      <c r="U1255" t="str">
        <f t="shared" si="520"/>
        <v>AZRAD UMAR BIN SHAARI</v>
      </c>
      <c r="V1255" t="str">
        <f t="shared" si="521"/>
        <v>FARHANA BINTI MUSTAPA</v>
      </c>
      <c r="W1255" t="str">
        <f t="shared" si="522"/>
        <v>04-08-2020</v>
      </c>
      <c r="X1255" t="str">
        <f t="shared" si="523"/>
        <v>RAZIMAH ANSAR AHMAD</v>
      </c>
      <c r="Y1255" t="str">
        <f t="shared" si="524"/>
        <v>04-08-2020</v>
      </c>
      <c r="Z1255" t="str">
        <f>"COS10200804 7899"</f>
        <v>COS10200804 7899</v>
      </c>
    </row>
    <row r="1256" spans="1:26" x14ac:dyDescent="0.25">
      <c r="A1256" t="str">
        <f t="shared" si="531"/>
        <v>04-08-2020 01:08:42</v>
      </c>
      <c r="B1256" t="str">
        <f>"0000809700"</f>
        <v>0000809700</v>
      </c>
      <c r="C1256" t="str">
        <f t="shared" si="532"/>
        <v>0000809602</v>
      </c>
      <c r="D1256" t="str">
        <f t="shared" si="512"/>
        <v>73185</v>
      </c>
      <c r="E1256" t="str">
        <f t="shared" si="513"/>
        <v>KFH-OPERATIONS DEPARTMENT</v>
      </c>
      <c r="F1256" t="str">
        <f t="shared" si="514"/>
        <v>IBG</v>
      </c>
      <c r="G1256" t="str">
        <f t="shared" si="527"/>
        <v>Refund COSHARE 10</v>
      </c>
      <c r="H1256" s="2">
        <v>887.85</v>
      </c>
      <c r="I1256" t="str">
        <f>"YAP WAN FUN"</f>
        <v>YAP WAN FUN</v>
      </c>
      <c r="J1256" t="str">
        <f t="shared" si="528"/>
        <v>MAYBANK / MAYBANK ISLAMIC</v>
      </c>
      <c r="K1256" t="str">
        <f>"110161122813"</f>
        <v>110161122813</v>
      </c>
      <c r="L1256" t="str">
        <f t="shared" si="529"/>
        <v>04-08-2020</v>
      </c>
      <c r="M1256" t="str">
        <f t="shared" si="529"/>
        <v>04-08-2020</v>
      </c>
      <c r="N1256" t="str">
        <f t="shared" si="515"/>
        <v>001105018356</v>
      </c>
      <c r="O1256" t="str">
        <f t="shared" si="516"/>
        <v>MYR</v>
      </c>
      <c r="P1256" t="str">
        <f t="shared" si="530"/>
        <v>NIL</v>
      </c>
      <c r="Q1256" t="str">
        <f t="shared" si="530"/>
        <v>NIL</v>
      </c>
      <c r="R1256" t="str">
        <f t="shared" si="517"/>
        <v>Accepted</v>
      </c>
      <c r="S1256" t="str">
        <f t="shared" si="518"/>
        <v>Approved</v>
      </c>
      <c r="T1256" t="str">
        <f t="shared" si="519"/>
        <v>10.20.8.188</v>
      </c>
      <c r="U1256" t="str">
        <f t="shared" si="520"/>
        <v>AZRAD UMAR BIN SHAARI</v>
      </c>
      <c r="V1256" t="str">
        <f t="shared" si="521"/>
        <v>FARHANA BINTI MUSTAPA</v>
      </c>
      <c r="W1256" t="str">
        <f t="shared" si="522"/>
        <v>04-08-2020</v>
      </c>
      <c r="X1256" t="str">
        <f t="shared" si="523"/>
        <v>RAZIMAH ANSAR AHMAD</v>
      </c>
      <c r="Y1256" t="str">
        <f t="shared" si="524"/>
        <v>04-08-2020</v>
      </c>
      <c r="Z1256" t="str">
        <f>"COS10200804 7898"</f>
        <v>COS10200804 7898</v>
      </c>
    </row>
    <row r="1257" spans="1:26" x14ac:dyDescent="0.25">
      <c r="A1257" t="str">
        <f t="shared" si="531"/>
        <v>04-08-2020 01:08:42</v>
      </c>
      <c r="B1257" t="str">
        <f>"0000809699"</f>
        <v>0000809699</v>
      </c>
      <c r="C1257" t="str">
        <f t="shared" si="532"/>
        <v>0000809602</v>
      </c>
      <c r="D1257" t="str">
        <f t="shared" si="512"/>
        <v>73185</v>
      </c>
      <c r="E1257" t="str">
        <f t="shared" si="513"/>
        <v>KFH-OPERATIONS DEPARTMENT</v>
      </c>
      <c r="F1257" t="str">
        <f t="shared" si="514"/>
        <v>IBG</v>
      </c>
      <c r="G1257" t="str">
        <f t="shared" si="527"/>
        <v>Refund COSHARE 10</v>
      </c>
      <c r="H1257" s="2">
        <v>88.7</v>
      </c>
      <c r="I1257" t="str">
        <f>"YANTI BINTI KAMILAN"</f>
        <v>YANTI BINTI KAMILAN</v>
      </c>
      <c r="J1257" t="str">
        <f t="shared" si="528"/>
        <v>MAYBANK / MAYBANK ISLAMIC</v>
      </c>
      <c r="K1257" t="str">
        <f>"151138021454"</f>
        <v>151138021454</v>
      </c>
      <c r="L1257" t="str">
        <f t="shared" si="529"/>
        <v>04-08-2020</v>
      </c>
      <c r="M1257" t="str">
        <f t="shared" si="529"/>
        <v>04-08-2020</v>
      </c>
      <c r="N1257" t="str">
        <f t="shared" si="515"/>
        <v>001105018356</v>
      </c>
      <c r="O1257" t="str">
        <f t="shared" si="516"/>
        <v>MYR</v>
      </c>
      <c r="P1257" t="str">
        <f t="shared" si="530"/>
        <v>NIL</v>
      </c>
      <c r="Q1257" t="str">
        <f t="shared" si="530"/>
        <v>NIL</v>
      </c>
      <c r="R1257" t="str">
        <f t="shared" si="517"/>
        <v>Accepted</v>
      </c>
      <c r="S1257" t="str">
        <f t="shared" si="518"/>
        <v>Approved</v>
      </c>
      <c r="T1257" t="str">
        <f t="shared" si="519"/>
        <v>10.20.8.188</v>
      </c>
      <c r="U1257" t="str">
        <f t="shared" si="520"/>
        <v>AZRAD UMAR BIN SHAARI</v>
      </c>
      <c r="V1257" t="str">
        <f t="shared" si="521"/>
        <v>FARHANA BINTI MUSTAPA</v>
      </c>
      <c r="W1257" t="str">
        <f t="shared" si="522"/>
        <v>04-08-2020</v>
      </c>
      <c r="X1257" t="str">
        <f t="shared" si="523"/>
        <v>RAZIMAH ANSAR AHMAD</v>
      </c>
      <c r="Y1257" t="str">
        <f t="shared" si="524"/>
        <v>04-08-2020</v>
      </c>
      <c r="Z1257" t="str">
        <f>"COS10200804 7897"</f>
        <v>COS10200804 7897</v>
      </c>
    </row>
    <row r="1258" spans="1:26" x14ac:dyDescent="0.25">
      <c r="A1258" t="str">
        <f t="shared" si="531"/>
        <v>04-08-2020 01:08:42</v>
      </c>
      <c r="B1258" t="str">
        <f>"0000809698"</f>
        <v>0000809698</v>
      </c>
      <c r="C1258" t="str">
        <f t="shared" si="532"/>
        <v>0000809602</v>
      </c>
      <c r="D1258" t="str">
        <f t="shared" si="512"/>
        <v>73185</v>
      </c>
      <c r="E1258" t="str">
        <f t="shared" si="513"/>
        <v>KFH-OPERATIONS DEPARTMENT</v>
      </c>
      <c r="F1258" t="str">
        <f t="shared" si="514"/>
        <v>IBG</v>
      </c>
      <c r="G1258" t="str">
        <f t="shared" si="527"/>
        <v>Refund COSHARE 10</v>
      </c>
      <c r="H1258" s="2">
        <v>293.85000000000002</v>
      </c>
      <c r="I1258" t="str">
        <f>"YANTI BINTI AHMAD"</f>
        <v>YANTI BINTI AHMAD</v>
      </c>
      <c r="J1258" t="str">
        <f t="shared" si="528"/>
        <v>MAYBANK / MAYBANK ISLAMIC</v>
      </c>
      <c r="K1258" t="str">
        <f>"101150212797"</f>
        <v>101150212797</v>
      </c>
      <c r="L1258" t="str">
        <f t="shared" si="529"/>
        <v>04-08-2020</v>
      </c>
      <c r="M1258" t="str">
        <f t="shared" si="529"/>
        <v>04-08-2020</v>
      </c>
      <c r="N1258" t="str">
        <f t="shared" si="515"/>
        <v>001105018356</v>
      </c>
      <c r="O1258" t="str">
        <f t="shared" si="516"/>
        <v>MYR</v>
      </c>
      <c r="P1258" t="str">
        <f t="shared" si="530"/>
        <v>NIL</v>
      </c>
      <c r="Q1258" t="str">
        <f t="shared" si="530"/>
        <v>NIL</v>
      </c>
      <c r="R1258" t="str">
        <f t="shared" si="517"/>
        <v>Accepted</v>
      </c>
      <c r="S1258" t="str">
        <f t="shared" si="518"/>
        <v>Approved</v>
      </c>
      <c r="T1258" t="str">
        <f t="shared" si="519"/>
        <v>10.20.8.188</v>
      </c>
      <c r="U1258" t="str">
        <f t="shared" si="520"/>
        <v>AZRAD UMAR BIN SHAARI</v>
      </c>
      <c r="V1258" t="str">
        <f t="shared" si="521"/>
        <v>FARHANA BINTI MUSTAPA</v>
      </c>
      <c r="W1258" t="str">
        <f t="shared" si="522"/>
        <v>04-08-2020</v>
      </c>
      <c r="X1258" t="str">
        <f t="shared" si="523"/>
        <v>RAZIMAH ANSAR AHMAD</v>
      </c>
      <c r="Y1258" t="str">
        <f t="shared" si="524"/>
        <v>04-08-2020</v>
      </c>
      <c r="Z1258" t="str">
        <f>"COS10200804 7896"</f>
        <v>COS10200804 7896</v>
      </c>
    </row>
    <row r="1259" spans="1:26" x14ac:dyDescent="0.25">
      <c r="A1259" t="str">
        <f t="shared" si="531"/>
        <v>04-08-2020 01:08:42</v>
      </c>
      <c r="B1259" t="str">
        <f>"0000809697"</f>
        <v>0000809697</v>
      </c>
      <c r="C1259" t="str">
        <f t="shared" si="532"/>
        <v>0000809602</v>
      </c>
      <c r="D1259" t="str">
        <f t="shared" si="512"/>
        <v>73185</v>
      </c>
      <c r="E1259" t="str">
        <f t="shared" si="513"/>
        <v>KFH-OPERATIONS DEPARTMENT</v>
      </c>
      <c r="F1259" t="str">
        <f t="shared" si="514"/>
        <v>IBG</v>
      </c>
      <c r="G1259" t="str">
        <f t="shared" si="527"/>
        <v>Refund COSHARE 10</v>
      </c>
      <c r="H1259" s="2">
        <v>83.95</v>
      </c>
      <c r="I1259" t="str">
        <f>"YANTI AFIZAH BINTI ABDUL LATIB"</f>
        <v>YANTI AFIZAH BINTI ABDUL LATIB</v>
      </c>
      <c r="J1259" t="str">
        <f t="shared" si="528"/>
        <v>MAYBANK / MAYBANK ISLAMIC</v>
      </c>
      <c r="K1259" t="str">
        <f>"164146548682"</f>
        <v>164146548682</v>
      </c>
      <c r="L1259" t="str">
        <f t="shared" si="529"/>
        <v>04-08-2020</v>
      </c>
      <c r="M1259" t="str">
        <f t="shared" si="529"/>
        <v>04-08-2020</v>
      </c>
      <c r="N1259" t="str">
        <f t="shared" si="515"/>
        <v>001105018356</v>
      </c>
      <c r="O1259" t="str">
        <f t="shared" si="516"/>
        <v>MYR</v>
      </c>
      <c r="P1259" t="str">
        <f t="shared" si="530"/>
        <v>NIL</v>
      </c>
      <c r="Q1259" t="str">
        <f t="shared" si="530"/>
        <v>NIL</v>
      </c>
      <c r="R1259" t="str">
        <f t="shared" si="517"/>
        <v>Accepted</v>
      </c>
      <c r="S1259" t="str">
        <f t="shared" si="518"/>
        <v>Approved</v>
      </c>
      <c r="T1259" t="str">
        <f t="shared" si="519"/>
        <v>10.20.8.188</v>
      </c>
      <c r="U1259" t="str">
        <f t="shared" si="520"/>
        <v>AZRAD UMAR BIN SHAARI</v>
      </c>
      <c r="V1259" t="str">
        <f t="shared" si="521"/>
        <v>FARHANA BINTI MUSTAPA</v>
      </c>
      <c r="W1259" t="str">
        <f t="shared" si="522"/>
        <v>04-08-2020</v>
      </c>
      <c r="X1259" t="str">
        <f t="shared" si="523"/>
        <v>RAZIMAH ANSAR AHMAD</v>
      </c>
      <c r="Y1259" t="str">
        <f t="shared" si="524"/>
        <v>04-08-2020</v>
      </c>
      <c r="Z1259" t="str">
        <f>"COS10200804 7895"</f>
        <v>COS10200804 7895</v>
      </c>
    </row>
    <row r="1260" spans="1:26" x14ac:dyDescent="0.25">
      <c r="A1260" t="str">
        <f t="shared" si="531"/>
        <v>04-08-2020 01:08:42</v>
      </c>
      <c r="B1260" t="str">
        <f>"0000809696"</f>
        <v>0000809696</v>
      </c>
      <c r="C1260" t="str">
        <f t="shared" si="532"/>
        <v>0000809602</v>
      </c>
      <c r="D1260" t="str">
        <f t="shared" si="512"/>
        <v>73185</v>
      </c>
      <c r="E1260" t="str">
        <f t="shared" si="513"/>
        <v>KFH-OPERATIONS DEPARTMENT</v>
      </c>
      <c r="F1260" t="str">
        <f t="shared" si="514"/>
        <v>IBG</v>
      </c>
      <c r="G1260" t="str">
        <f t="shared" si="527"/>
        <v>Refund COSHARE 10</v>
      </c>
      <c r="H1260" s="2">
        <v>1070.5999999999999</v>
      </c>
      <c r="I1260" t="str">
        <f>"YAMBUT ANAK IDOP"</f>
        <v>YAMBUT ANAK IDOP</v>
      </c>
      <c r="J1260" t="str">
        <f t="shared" si="528"/>
        <v>MAYBANK / MAYBANK ISLAMIC</v>
      </c>
      <c r="K1260" t="str">
        <f>"111029317665"</f>
        <v>111029317665</v>
      </c>
      <c r="L1260" t="str">
        <f t="shared" si="529"/>
        <v>04-08-2020</v>
      </c>
      <c r="M1260" t="str">
        <f t="shared" si="529"/>
        <v>04-08-2020</v>
      </c>
      <c r="N1260" t="str">
        <f t="shared" si="515"/>
        <v>001105018356</v>
      </c>
      <c r="O1260" t="str">
        <f t="shared" si="516"/>
        <v>MYR</v>
      </c>
      <c r="P1260" t="str">
        <f t="shared" si="530"/>
        <v>NIL</v>
      </c>
      <c r="Q1260" t="str">
        <f t="shared" si="530"/>
        <v>NIL</v>
      </c>
      <c r="R1260" t="str">
        <f t="shared" si="517"/>
        <v>Accepted</v>
      </c>
      <c r="S1260" t="str">
        <f t="shared" si="518"/>
        <v>Approved</v>
      </c>
      <c r="T1260" t="str">
        <f t="shared" si="519"/>
        <v>10.20.8.188</v>
      </c>
      <c r="U1260" t="str">
        <f t="shared" si="520"/>
        <v>AZRAD UMAR BIN SHAARI</v>
      </c>
      <c r="V1260" t="str">
        <f t="shared" si="521"/>
        <v>FARHANA BINTI MUSTAPA</v>
      </c>
      <c r="W1260" t="str">
        <f t="shared" si="522"/>
        <v>04-08-2020</v>
      </c>
      <c r="X1260" t="str">
        <f t="shared" si="523"/>
        <v>RAZIMAH ANSAR AHMAD</v>
      </c>
      <c r="Y1260" t="str">
        <f t="shared" si="524"/>
        <v>04-08-2020</v>
      </c>
      <c r="Z1260" t="str">
        <f>"COS10200804 7894"</f>
        <v>COS10200804 7894</v>
      </c>
    </row>
    <row r="1261" spans="1:26" x14ac:dyDescent="0.25">
      <c r="A1261" t="str">
        <f t="shared" si="531"/>
        <v>04-08-2020 01:08:42</v>
      </c>
      <c r="B1261" t="str">
        <f>"0000809695"</f>
        <v>0000809695</v>
      </c>
      <c r="C1261" t="str">
        <f t="shared" si="532"/>
        <v>0000809602</v>
      </c>
      <c r="D1261" t="str">
        <f t="shared" si="512"/>
        <v>73185</v>
      </c>
      <c r="E1261" t="str">
        <f t="shared" si="513"/>
        <v>KFH-OPERATIONS DEPARTMENT</v>
      </c>
      <c r="F1261" t="str">
        <f t="shared" si="514"/>
        <v>IBG</v>
      </c>
      <c r="G1261" t="str">
        <f t="shared" si="527"/>
        <v>Refund COSHARE 10</v>
      </c>
      <c r="H1261" s="2">
        <v>839.5</v>
      </c>
      <c r="I1261" t="str">
        <f>"YAMAN BIN JUMAT"</f>
        <v>YAMAN BIN JUMAT</v>
      </c>
      <c r="J1261" t="str">
        <f t="shared" si="528"/>
        <v>MAYBANK / MAYBANK ISLAMIC</v>
      </c>
      <c r="K1261" t="str">
        <f>"106138121118"</f>
        <v>106138121118</v>
      </c>
      <c r="L1261" t="str">
        <f t="shared" si="529"/>
        <v>04-08-2020</v>
      </c>
      <c r="M1261" t="str">
        <f t="shared" si="529"/>
        <v>04-08-2020</v>
      </c>
      <c r="N1261" t="str">
        <f t="shared" si="515"/>
        <v>001105018356</v>
      </c>
      <c r="O1261" t="str">
        <f t="shared" si="516"/>
        <v>MYR</v>
      </c>
      <c r="P1261" t="str">
        <f t="shared" si="530"/>
        <v>NIL</v>
      </c>
      <c r="Q1261" t="str">
        <f t="shared" si="530"/>
        <v>NIL</v>
      </c>
      <c r="R1261" t="str">
        <f t="shared" si="517"/>
        <v>Accepted</v>
      </c>
      <c r="S1261" t="str">
        <f t="shared" si="518"/>
        <v>Approved</v>
      </c>
      <c r="T1261" t="str">
        <f t="shared" si="519"/>
        <v>10.20.8.188</v>
      </c>
      <c r="U1261" t="str">
        <f t="shared" si="520"/>
        <v>AZRAD UMAR BIN SHAARI</v>
      </c>
      <c r="V1261" t="str">
        <f t="shared" si="521"/>
        <v>FARHANA BINTI MUSTAPA</v>
      </c>
      <c r="W1261" t="str">
        <f t="shared" si="522"/>
        <v>04-08-2020</v>
      </c>
      <c r="X1261" t="str">
        <f t="shared" si="523"/>
        <v>RAZIMAH ANSAR AHMAD</v>
      </c>
      <c r="Y1261" t="str">
        <f t="shared" si="524"/>
        <v>04-08-2020</v>
      </c>
      <c r="Z1261" t="str">
        <f>"COS10200804 7893"</f>
        <v>COS10200804 7893</v>
      </c>
    </row>
    <row r="1262" spans="1:26" x14ac:dyDescent="0.25">
      <c r="A1262" t="str">
        <f t="shared" si="531"/>
        <v>04-08-2020 01:08:42</v>
      </c>
      <c r="B1262" t="str">
        <f>"0000809694"</f>
        <v>0000809694</v>
      </c>
      <c r="C1262" t="str">
        <f t="shared" si="532"/>
        <v>0000809602</v>
      </c>
      <c r="D1262" t="str">
        <f t="shared" si="512"/>
        <v>73185</v>
      </c>
      <c r="E1262" t="str">
        <f t="shared" si="513"/>
        <v>KFH-OPERATIONS DEPARTMENT</v>
      </c>
      <c r="F1262" t="str">
        <f t="shared" si="514"/>
        <v>IBG</v>
      </c>
      <c r="G1262" t="str">
        <f t="shared" si="527"/>
        <v>Refund COSHARE 10</v>
      </c>
      <c r="H1262" s="2">
        <v>665.15</v>
      </c>
      <c r="I1262" t="str">
        <f>"YAHYASHAM BIN JAMALUDIN"</f>
        <v>YAHYASHAM BIN JAMALUDIN</v>
      </c>
      <c r="J1262" t="str">
        <f t="shared" si="528"/>
        <v>MAYBANK / MAYBANK ISLAMIC</v>
      </c>
      <c r="K1262" t="str">
        <f>"108010949145"</f>
        <v>108010949145</v>
      </c>
      <c r="L1262" t="str">
        <f t="shared" si="529"/>
        <v>04-08-2020</v>
      </c>
      <c r="M1262" t="str">
        <f t="shared" si="529"/>
        <v>04-08-2020</v>
      </c>
      <c r="N1262" t="str">
        <f t="shared" si="515"/>
        <v>001105018356</v>
      </c>
      <c r="O1262" t="str">
        <f t="shared" si="516"/>
        <v>MYR</v>
      </c>
      <c r="P1262" t="str">
        <f t="shared" si="530"/>
        <v>NIL</v>
      </c>
      <c r="Q1262" t="str">
        <f t="shared" si="530"/>
        <v>NIL</v>
      </c>
      <c r="R1262" t="str">
        <f t="shared" si="517"/>
        <v>Accepted</v>
      </c>
      <c r="S1262" t="str">
        <f t="shared" si="518"/>
        <v>Approved</v>
      </c>
      <c r="T1262" t="str">
        <f t="shared" si="519"/>
        <v>10.20.8.188</v>
      </c>
      <c r="U1262" t="str">
        <f t="shared" si="520"/>
        <v>AZRAD UMAR BIN SHAARI</v>
      </c>
      <c r="V1262" t="str">
        <f t="shared" si="521"/>
        <v>FARHANA BINTI MUSTAPA</v>
      </c>
      <c r="W1262" t="str">
        <f t="shared" si="522"/>
        <v>04-08-2020</v>
      </c>
      <c r="X1262" t="str">
        <f t="shared" si="523"/>
        <v>RAZIMAH ANSAR AHMAD</v>
      </c>
      <c r="Y1262" t="str">
        <f t="shared" si="524"/>
        <v>04-08-2020</v>
      </c>
      <c r="Z1262" t="str">
        <f>"COS10200804 7892"</f>
        <v>COS10200804 7892</v>
      </c>
    </row>
    <row r="1263" spans="1:26" x14ac:dyDescent="0.25">
      <c r="A1263" t="str">
        <f t="shared" si="531"/>
        <v>04-08-2020 01:08:42</v>
      </c>
      <c r="B1263" t="str">
        <f>"0000809693"</f>
        <v>0000809693</v>
      </c>
      <c r="C1263" t="str">
        <f t="shared" si="532"/>
        <v>0000809602</v>
      </c>
      <c r="D1263" t="str">
        <f t="shared" si="512"/>
        <v>73185</v>
      </c>
      <c r="E1263" t="str">
        <f t="shared" si="513"/>
        <v>KFH-OPERATIONS DEPARTMENT</v>
      </c>
      <c r="F1263" t="str">
        <f t="shared" si="514"/>
        <v>IBG</v>
      </c>
      <c r="G1263" t="str">
        <f t="shared" si="527"/>
        <v>Refund COSHARE 10</v>
      </c>
      <c r="H1263" s="2">
        <v>42</v>
      </c>
      <c r="I1263" t="str">
        <f>"YAHYA BIN YUSOP"</f>
        <v>YAHYA BIN YUSOP</v>
      </c>
      <c r="J1263" t="str">
        <f t="shared" si="528"/>
        <v>MAYBANK / MAYBANK ISLAMIC</v>
      </c>
      <c r="K1263" t="str">
        <f>"110031393075"</f>
        <v>110031393075</v>
      </c>
      <c r="L1263" t="str">
        <f t="shared" si="529"/>
        <v>04-08-2020</v>
      </c>
      <c r="M1263" t="str">
        <f t="shared" si="529"/>
        <v>04-08-2020</v>
      </c>
      <c r="N1263" t="str">
        <f t="shared" si="515"/>
        <v>001105018356</v>
      </c>
      <c r="O1263" t="str">
        <f t="shared" si="516"/>
        <v>MYR</v>
      </c>
      <c r="P1263" t="str">
        <f t="shared" si="530"/>
        <v>NIL</v>
      </c>
      <c r="Q1263" t="str">
        <f t="shared" si="530"/>
        <v>NIL</v>
      </c>
      <c r="R1263" t="str">
        <f t="shared" si="517"/>
        <v>Accepted</v>
      </c>
      <c r="S1263" t="str">
        <f t="shared" si="518"/>
        <v>Approved</v>
      </c>
      <c r="T1263" t="str">
        <f t="shared" si="519"/>
        <v>10.20.8.188</v>
      </c>
      <c r="U1263" t="str">
        <f t="shared" si="520"/>
        <v>AZRAD UMAR BIN SHAARI</v>
      </c>
      <c r="V1263" t="str">
        <f t="shared" si="521"/>
        <v>FARHANA BINTI MUSTAPA</v>
      </c>
      <c r="W1263" t="str">
        <f t="shared" si="522"/>
        <v>04-08-2020</v>
      </c>
      <c r="X1263" t="str">
        <f t="shared" si="523"/>
        <v>RAZIMAH ANSAR AHMAD</v>
      </c>
      <c r="Y1263" t="str">
        <f t="shared" si="524"/>
        <v>04-08-2020</v>
      </c>
      <c r="Z1263" t="str">
        <f>"COS10200804 7891"</f>
        <v>COS10200804 7891</v>
      </c>
    </row>
    <row r="1264" spans="1:26" x14ac:dyDescent="0.25">
      <c r="A1264" t="str">
        <f t="shared" si="531"/>
        <v>04-08-2020 01:08:42</v>
      </c>
      <c r="B1264" t="str">
        <f>"0000809692"</f>
        <v>0000809692</v>
      </c>
      <c r="C1264" t="str">
        <f t="shared" si="532"/>
        <v>0000809602</v>
      </c>
      <c r="D1264" t="str">
        <f t="shared" si="512"/>
        <v>73185</v>
      </c>
      <c r="E1264" t="str">
        <f t="shared" si="513"/>
        <v>KFH-OPERATIONS DEPARTMENT</v>
      </c>
      <c r="F1264" t="str">
        <f t="shared" si="514"/>
        <v>IBG</v>
      </c>
      <c r="G1264" t="str">
        <f t="shared" si="527"/>
        <v>Refund COSHARE 10</v>
      </c>
      <c r="H1264" s="2">
        <v>1343.2</v>
      </c>
      <c r="I1264" t="str">
        <f>"YAHYA BIN MAT AIL"</f>
        <v>YAHYA BIN MAT AIL</v>
      </c>
      <c r="J1264" t="str">
        <f t="shared" si="528"/>
        <v>MAYBANK / MAYBANK ISLAMIC</v>
      </c>
      <c r="K1264" t="str">
        <f>"153056078729"</f>
        <v>153056078729</v>
      </c>
      <c r="L1264" t="str">
        <f t="shared" si="529"/>
        <v>04-08-2020</v>
      </c>
      <c r="M1264" t="str">
        <f t="shared" si="529"/>
        <v>04-08-2020</v>
      </c>
      <c r="N1264" t="str">
        <f t="shared" si="515"/>
        <v>001105018356</v>
      </c>
      <c r="O1264" t="str">
        <f t="shared" si="516"/>
        <v>MYR</v>
      </c>
      <c r="P1264" t="str">
        <f t="shared" si="530"/>
        <v>NIL</v>
      </c>
      <c r="Q1264" t="str">
        <f t="shared" si="530"/>
        <v>NIL</v>
      </c>
      <c r="R1264" t="str">
        <f t="shared" si="517"/>
        <v>Accepted</v>
      </c>
      <c r="S1264" t="str">
        <f t="shared" si="518"/>
        <v>Approved</v>
      </c>
      <c r="T1264" t="str">
        <f t="shared" si="519"/>
        <v>10.20.8.188</v>
      </c>
      <c r="U1264" t="str">
        <f t="shared" si="520"/>
        <v>AZRAD UMAR BIN SHAARI</v>
      </c>
      <c r="V1264" t="str">
        <f t="shared" si="521"/>
        <v>FARHANA BINTI MUSTAPA</v>
      </c>
      <c r="W1264" t="str">
        <f t="shared" si="522"/>
        <v>04-08-2020</v>
      </c>
      <c r="X1264" t="str">
        <f t="shared" si="523"/>
        <v>RAZIMAH ANSAR AHMAD</v>
      </c>
      <c r="Y1264" t="str">
        <f t="shared" si="524"/>
        <v>04-08-2020</v>
      </c>
      <c r="Z1264" t="str">
        <f>"COS10200804 7890"</f>
        <v>COS10200804 7890</v>
      </c>
    </row>
    <row r="1265" spans="1:26" x14ac:dyDescent="0.25">
      <c r="A1265" t="str">
        <f t="shared" si="531"/>
        <v>04-08-2020 01:08:42</v>
      </c>
      <c r="B1265" t="str">
        <f>"0000809691"</f>
        <v>0000809691</v>
      </c>
      <c r="C1265" t="str">
        <f t="shared" si="532"/>
        <v>0000809602</v>
      </c>
      <c r="D1265" t="str">
        <f t="shared" si="512"/>
        <v>73185</v>
      </c>
      <c r="E1265" t="str">
        <f t="shared" si="513"/>
        <v>KFH-OPERATIONS DEPARTMENT</v>
      </c>
      <c r="F1265" t="str">
        <f t="shared" si="514"/>
        <v>IBG</v>
      </c>
      <c r="G1265" t="str">
        <f t="shared" si="527"/>
        <v>Refund COSHARE 10</v>
      </c>
      <c r="H1265" s="2">
        <v>621.25</v>
      </c>
      <c r="I1265" t="str">
        <f>"YADI BIN BIJUN"</f>
        <v>YADI BIN BIJUN</v>
      </c>
      <c r="J1265" t="str">
        <f t="shared" si="528"/>
        <v>MAYBANK / MAYBANK ISLAMIC</v>
      </c>
      <c r="K1265" t="str">
        <f>"160090300547"</f>
        <v>160090300547</v>
      </c>
      <c r="L1265" t="str">
        <f t="shared" si="529"/>
        <v>04-08-2020</v>
      </c>
      <c r="M1265" t="str">
        <f t="shared" si="529"/>
        <v>04-08-2020</v>
      </c>
      <c r="N1265" t="str">
        <f t="shared" si="515"/>
        <v>001105018356</v>
      </c>
      <c r="O1265" t="str">
        <f t="shared" si="516"/>
        <v>MYR</v>
      </c>
      <c r="P1265" t="str">
        <f t="shared" si="530"/>
        <v>NIL</v>
      </c>
      <c r="Q1265" t="str">
        <f t="shared" si="530"/>
        <v>NIL</v>
      </c>
      <c r="R1265" t="str">
        <f t="shared" si="517"/>
        <v>Accepted</v>
      </c>
      <c r="S1265" t="str">
        <f t="shared" si="518"/>
        <v>Approved</v>
      </c>
      <c r="T1265" t="str">
        <f t="shared" si="519"/>
        <v>10.20.8.188</v>
      </c>
      <c r="U1265" t="str">
        <f t="shared" si="520"/>
        <v>AZRAD UMAR BIN SHAARI</v>
      </c>
      <c r="V1265" t="str">
        <f t="shared" si="521"/>
        <v>FARHANA BINTI MUSTAPA</v>
      </c>
      <c r="W1265" t="str">
        <f t="shared" si="522"/>
        <v>04-08-2020</v>
      </c>
      <c r="X1265" t="str">
        <f t="shared" si="523"/>
        <v>RAZIMAH ANSAR AHMAD</v>
      </c>
      <c r="Y1265" t="str">
        <f t="shared" si="524"/>
        <v>04-08-2020</v>
      </c>
      <c r="Z1265" t="str">
        <f>"COS10200804 7889"</f>
        <v>COS10200804 7889</v>
      </c>
    </row>
    <row r="1266" spans="1:26" x14ac:dyDescent="0.25">
      <c r="A1266" t="str">
        <f t="shared" si="531"/>
        <v>04-08-2020 01:08:42</v>
      </c>
      <c r="B1266" t="str">
        <f>"0000809690"</f>
        <v>0000809690</v>
      </c>
      <c r="C1266" t="str">
        <f t="shared" si="532"/>
        <v>0000809602</v>
      </c>
      <c r="D1266" t="str">
        <f t="shared" si="512"/>
        <v>73185</v>
      </c>
      <c r="E1266" t="str">
        <f t="shared" si="513"/>
        <v>KFH-OPERATIONS DEPARTMENT</v>
      </c>
      <c r="F1266" t="str">
        <f t="shared" si="514"/>
        <v>IBG</v>
      </c>
      <c r="G1266" t="str">
        <f t="shared" si="527"/>
        <v>Refund COSHARE 10</v>
      </c>
      <c r="H1266" s="2">
        <v>1284.7</v>
      </c>
      <c r="I1266" t="str">
        <f>"YABIN BIN GINSARI"</f>
        <v>YABIN BIN GINSARI</v>
      </c>
      <c r="J1266" t="str">
        <f t="shared" si="528"/>
        <v>MAYBANK / MAYBANK ISLAMIC</v>
      </c>
      <c r="K1266" t="str">
        <f>"110096072799"</f>
        <v>110096072799</v>
      </c>
      <c r="L1266" t="str">
        <f t="shared" si="529"/>
        <v>04-08-2020</v>
      </c>
      <c r="M1266" t="str">
        <f t="shared" si="529"/>
        <v>04-08-2020</v>
      </c>
      <c r="N1266" t="str">
        <f t="shared" si="515"/>
        <v>001105018356</v>
      </c>
      <c r="O1266" t="str">
        <f t="shared" si="516"/>
        <v>MYR</v>
      </c>
      <c r="P1266" t="str">
        <f t="shared" si="530"/>
        <v>NIL</v>
      </c>
      <c r="Q1266" t="str">
        <f t="shared" si="530"/>
        <v>NIL</v>
      </c>
      <c r="R1266" t="str">
        <f t="shared" si="517"/>
        <v>Accepted</v>
      </c>
      <c r="S1266" t="str">
        <f t="shared" si="518"/>
        <v>Approved</v>
      </c>
      <c r="T1266" t="str">
        <f t="shared" si="519"/>
        <v>10.20.8.188</v>
      </c>
      <c r="U1266" t="str">
        <f t="shared" si="520"/>
        <v>AZRAD UMAR BIN SHAARI</v>
      </c>
      <c r="V1266" t="str">
        <f t="shared" si="521"/>
        <v>FARHANA BINTI MUSTAPA</v>
      </c>
      <c r="W1266" t="str">
        <f t="shared" si="522"/>
        <v>04-08-2020</v>
      </c>
      <c r="X1266" t="str">
        <f t="shared" si="523"/>
        <v>RAZIMAH ANSAR AHMAD</v>
      </c>
      <c r="Y1266" t="str">
        <f t="shared" si="524"/>
        <v>04-08-2020</v>
      </c>
      <c r="Z1266" t="str">
        <f>"COS10200804 7888"</f>
        <v>COS10200804 7888</v>
      </c>
    </row>
    <row r="1267" spans="1:26" x14ac:dyDescent="0.25">
      <c r="A1267" t="str">
        <f t="shared" si="531"/>
        <v>04-08-2020 01:08:42</v>
      </c>
      <c r="B1267" t="str">
        <f>"0000809689"</f>
        <v>0000809689</v>
      </c>
      <c r="C1267" t="str">
        <f t="shared" si="532"/>
        <v>0000809602</v>
      </c>
      <c r="D1267" t="str">
        <f t="shared" si="512"/>
        <v>73185</v>
      </c>
      <c r="E1267" t="str">
        <f t="shared" si="513"/>
        <v>KFH-OPERATIONS DEPARTMENT</v>
      </c>
      <c r="F1267" t="str">
        <f t="shared" si="514"/>
        <v>IBG</v>
      </c>
      <c r="G1267" t="str">
        <f t="shared" si="527"/>
        <v>Refund COSHARE 10</v>
      </c>
      <c r="H1267" s="2">
        <v>186.65</v>
      </c>
      <c r="I1267" t="str">
        <f>"YA ACOB BIN MOHD TOHA"</f>
        <v>YA ACOB BIN MOHD TOHA</v>
      </c>
      <c r="J1267" t="str">
        <f t="shared" si="528"/>
        <v>MAYBANK / MAYBANK ISLAMIC</v>
      </c>
      <c r="K1267" t="str">
        <f>"101057472457"</f>
        <v>101057472457</v>
      </c>
      <c r="L1267" t="str">
        <f t="shared" ref="L1267:M1286" si="533">"04-08-2020"</f>
        <v>04-08-2020</v>
      </c>
      <c r="M1267" t="str">
        <f t="shared" si="533"/>
        <v>04-08-2020</v>
      </c>
      <c r="N1267" t="str">
        <f t="shared" si="515"/>
        <v>001105018356</v>
      </c>
      <c r="O1267" t="str">
        <f t="shared" si="516"/>
        <v>MYR</v>
      </c>
      <c r="P1267" t="str">
        <f t="shared" ref="P1267:Q1286" si="534">"NIL"</f>
        <v>NIL</v>
      </c>
      <c r="Q1267" t="str">
        <f t="shared" si="534"/>
        <v>NIL</v>
      </c>
      <c r="R1267" t="str">
        <f t="shared" si="517"/>
        <v>Accepted</v>
      </c>
      <c r="S1267" t="str">
        <f t="shared" si="518"/>
        <v>Approved</v>
      </c>
      <c r="T1267" t="str">
        <f t="shared" si="519"/>
        <v>10.20.8.188</v>
      </c>
      <c r="U1267" t="str">
        <f t="shared" si="520"/>
        <v>AZRAD UMAR BIN SHAARI</v>
      </c>
      <c r="V1267" t="str">
        <f t="shared" si="521"/>
        <v>FARHANA BINTI MUSTAPA</v>
      </c>
      <c r="W1267" t="str">
        <f t="shared" si="522"/>
        <v>04-08-2020</v>
      </c>
      <c r="X1267" t="str">
        <f t="shared" si="523"/>
        <v>RAZIMAH ANSAR AHMAD</v>
      </c>
      <c r="Y1267" t="str">
        <f t="shared" si="524"/>
        <v>04-08-2020</v>
      </c>
      <c r="Z1267" t="str">
        <f>"COS10200804 7887"</f>
        <v>COS10200804 7887</v>
      </c>
    </row>
    <row r="1268" spans="1:26" x14ac:dyDescent="0.25">
      <c r="A1268" t="str">
        <f t="shared" si="531"/>
        <v>04-08-2020 01:08:42</v>
      </c>
      <c r="B1268" t="str">
        <f>"0000809688"</f>
        <v>0000809688</v>
      </c>
      <c r="C1268" t="str">
        <f t="shared" si="532"/>
        <v>0000809602</v>
      </c>
      <c r="D1268" t="str">
        <f t="shared" si="512"/>
        <v>73185</v>
      </c>
      <c r="E1268" t="str">
        <f t="shared" si="513"/>
        <v>KFH-OPERATIONS DEPARTMENT</v>
      </c>
      <c r="F1268" t="str">
        <f t="shared" si="514"/>
        <v>IBG</v>
      </c>
      <c r="G1268" t="str">
        <f t="shared" si="527"/>
        <v>Refund COSHARE 10</v>
      </c>
      <c r="H1268" s="2">
        <v>83.95</v>
      </c>
      <c r="I1268" t="str">
        <f>"WIRA BIN MAT YAACOB"</f>
        <v>WIRA BIN MAT YAACOB</v>
      </c>
      <c r="J1268" t="str">
        <f t="shared" si="528"/>
        <v>MAYBANK / MAYBANK ISLAMIC</v>
      </c>
      <c r="K1268" t="str">
        <f>"162487085037"</f>
        <v>162487085037</v>
      </c>
      <c r="L1268" t="str">
        <f t="shared" si="533"/>
        <v>04-08-2020</v>
      </c>
      <c r="M1268" t="str">
        <f t="shared" si="533"/>
        <v>04-08-2020</v>
      </c>
      <c r="N1268" t="str">
        <f t="shared" si="515"/>
        <v>001105018356</v>
      </c>
      <c r="O1268" t="str">
        <f t="shared" si="516"/>
        <v>MYR</v>
      </c>
      <c r="P1268" t="str">
        <f t="shared" si="534"/>
        <v>NIL</v>
      </c>
      <c r="Q1268" t="str">
        <f t="shared" si="534"/>
        <v>NIL</v>
      </c>
      <c r="R1268" t="str">
        <f t="shared" si="517"/>
        <v>Accepted</v>
      </c>
      <c r="S1268" t="str">
        <f t="shared" si="518"/>
        <v>Approved</v>
      </c>
      <c r="T1268" t="str">
        <f t="shared" si="519"/>
        <v>10.20.8.188</v>
      </c>
      <c r="U1268" t="str">
        <f t="shared" si="520"/>
        <v>AZRAD UMAR BIN SHAARI</v>
      </c>
      <c r="V1268" t="str">
        <f t="shared" si="521"/>
        <v>FARHANA BINTI MUSTAPA</v>
      </c>
      <c r="W1268" t="str">
        <f t="shared" si="522"/>
        <v>04-08-2020</v>
      </c>
      <c r="X1268" t="str">
        <f t="shared" si="523"/>
        <v>RAZIMAH ANSAR AHMAD</v>
      </c>
      <c r="Y1268" t="str">
        <f t="shared" si="524"/>
        <v>04-08-2020</v>
      </c>
      <c r="Z1268" t="str">
        <f>"COS10200804 7886"</f>
        <v>COS10200804 7886</v>
      </c>
    </row>
    <row r="1269" spans="1:26" x14ac:dyDescent="0.25">
      <c r="A1269" t="str">
        <f t="shared" si="531"/>
        <v>04-08-2020 01:08:42</v>
      </c>
      <c r="B1269" t="str">
        <f>"0000809687"</f>
        <v>0000809687</v>
      </c>
      <c r="C1269" t="str">
        <f t="shared" si="532"/>
        <v>0000809602</v>
      </c>
      <c r="D1269" t="str">
        <f t="shared" si="512"/>
        <v>73185</v>
      </c>
      <c r="E1269" t="str">
        <f t="shared" si="513"/>
        <v>KFH-OPERATIONS DEPARTMENT</v>
      </c>
      <c r="F1269" t="str">
        <f t="shared" si="514"/>
        <v>IBG</v>
      </c>
      <c r="G1269" t="str">
        <f t="shared" si="527"/>
        <v>Refund COSHARE 10</v>
      </c>
      <c r="H1269" s="2">
        <v>1007.4</v>
      </c>
      <c r="I1269" t="str">
        <f>"WILYNTON ENCHANA WATT"</f>
        <v>WILYNTON ENCHANA WATT</v>
      </c>
      <c r="J1269" t="str">
        <f t="shared" si="528"/>
        <v>MAYBANK / MAYBANK ISLAMIC</v>
      </c>
      <c r="K1269" t="str">
        <f>"110023143750"</f>
        <v>110023143750</v>
      </c>
      <c r="L1269" t="str">
        <f t="shared" si="533"/>
        <v>04-08-2020</v>
      </c>
      <c r="M1269" t="str">
        <f t="shared" si="533"/>
        <v>04-08-2020</v>
      </c>
      <c r="N1269" t="str">
        <f t="shared" si="515"/>
        <v>001105018356</v>
      </c>
      <c r="O1269" t="str">
        <f t="shared" si="516"/>
        <v>MYR</v>
      </c>
      <c r="P1269" t="str">
        <f t="shared" si="534"/>
        <v>NIL</v>
      </c>
      <c r="Q1269" t="str">
        <f t="shared" si="534"/>
        <v>NIL</v>
      </c>
      <c r="R1269" t="str">
        <f t="shared" si="517"/>
        <v>Accepted</v>
      </c>
      <c r="S1269" t="str">
        <f t="shared" si="518"/>
        <v>Approved</v>
      </c>
      <c r="T1269" t="str">
        <f t="shared" si="519"/>
        <v>10.20.8.188</v>
      </c>
      <c r="U1269" t="str">
        <f t="shared" si="520"/>
        <v>AZRAD UMAR BIN SHAARI</v>
      </c>
      <c r="V1269" t="str">
        <f t="shared" si="521"/>
        <v>FARHANA BINTI MUSTAPA</v>
      </c>
      <c r="W1269" t="str">
        <f t="shared" si="522"/>
        <v>04-08-2020</v>
      </c>
      <c r="X1269" t="str">
        <f t="shared" si="523"/>
        <v>RAZIMAH ANSAR AHMAD</v>
      </c>
      <c r="Y1269" t="str">
        <f t="shared" si="524"/>
        <v>04-08-2020</v>
      </c>
      <c r="Z1269" t="str">
        <f>"COS10200804 7885"</f>
        <v>COS10200804 7885</v>
      </c>
    </row>
    <row r="1270" spans="1:26" x14ac:dyDescent="0.25">
      <c r="A1270" t="str">
        <f t="shared" si="531"/>
        <v>04-08-2020 01:08:42</v>
      </c>
      <c r="B1270" t="str">
        <f>"0000809686"</f>
        <v>0000809686</v>
      </c>
      <c r="C1270" t="str">
        <f t="shared" si="532"/>
        <v>0000809602</v>
      </c>
      <c r="D1270" t="str">
        <f t="shared" si="512"/>
        <v>73185</v>
      </c>
      <c r="E1270" t="str">
        <f t="shared" si="513"/>
        <v>KFH-OPERATIONS DEPARTMENT</v>
      </c>
      <c r="F1270" t="str">
        <f t="shared" si="514"/>
        <v>IBG</v>
      </c>
      <c r="G1270" t="str">
        <f t="shared" si="527"/>
        <v>Refund COSHARE 10</v>
      </c>
      <c r="H1270" s="2">
        <v>1259.25</v>
      </c>
      <c r="I1270" t="str">
        <f>"WILSON BERAUS ANAK KAYA"</f>
        <v>WILSON BERAUS ANAK KAYA</v>
      </c>
      <c r="J1270" t="str">
        <f t="shared" si="528"/>
        <v>MAYBANK / MAYBANK ISLAMIC</v>
      </c>
      <c r="K1270" t="str">
        <f>"151043072337"</f>
        <v>151043072337</v>
      </c>
      <c r="L1270" t="str">
        <f t="shared" si="533"/>
        <v>04-08-2020</v>
      </c>
      <c r="M1270" t="str">
        <f t="shared" si="533"/>
        <v>04-08-2020</v>
      </c>
      <c r="N1270" t="str">
        <f t="shared" si="515"/>
        <v>001105018356</v>
      </c>
      <c r="O1270" t="str">
        <f t="shared" si="516"/>
        <v>MYR</v>
      </c>
      <c r="P1270" t="str">
        <f t="shared" si="534"/>
        <v>NIL</v>
      </c>
      <c r="Q1270" t="str">
        <f t="shared" si="534"/>
        <v>NIL</v>
      </c>
      <c r="R1270" t="str">
        <f t="shared" si="517"/>
        <v>Accepted</v>
      </c>
      <c r="S1270" t="str">
        <f t="shared" si="518"/>
        <v>Approved</v>
      </c>
      <c r="T1270" t="str">
        <f t="shared" si="519"/>
        <v>10.20.8.188</v>
      </c>
      <c r="U1270" t="str">
        <f t="shared" si="520"/>
        <v>AZRAD UMAR BIN SHAARI</v>
      </c>
      <c r="V1270" t="str">
        <f t="shared" si="521"/>
        <v>FARHANA BINTI MUSTAPA</v>
      </c>
      <c r="W1270" t="str">
        <f t="shared" si="522"/>
        <v>04-08-2020</v>
      </c>
      <c r="X1270" t="str">
        <f t="shared" si="523"/>
        <v>RAZIMAH ANSAR AHMAD</v>
      </c>
      <c r="Y1270" t="str">
        <f t="shared" si="524"/>
        <v>04-08-2020</v>
      </c>
      <c r="Z1270" t="str">
        <f>"COS10200804 7884"</f>
        <v>COS10200804 7884</v>
      </c>
    </row>
    <row r="1271" spans="1:26" x14ac:dyDescent="0.25">
      <c r="A1271" t="str">
        <f t="shared" si="531"/>
        <v>04-08-2020 01:08:42</v>
      </c>
      <c r="B1271" t="str">
        <f>"0000809685"</f>
        <v>0000809685</v>
      </c>
      <c r="C1271" t="str">
        <f t="shared" si="532"/>
        <v>0000809602</v>
      </c>
      <c r="D1271" t="str">
        <f t="shared" si="512"/>
        <v>73185</v>
      </c>
      <c r="E1271" t="str">
        <f t="shared" si="513"/>
        <v>KFH-OPERATIONS DEPARTMENT</v>
      </c>
      <c r="F1271" t="str">
        <f t="shared" si="514"/>
        <v>IBG</v>
      </c>
      <c r="G1271" t="str">
        <f t="shared" si="527"/>
        <v>Refund COSHARE 10</v>
      </c>
      <c r="H1271" s="2">
        <v>990.65</v>
      </c>
      <c r="I1271" t="str">
        <f>"WIDIAWATI BINTI MALOH"</f>
        <v>WIDIAWATI BINTI MALOH</v>
      </c>
      <c r="J1271" t="str">
        <f t="shared" si="528"/>
        <v>MAYBANK / MAYBANK ISLAMIC</v>
      </c>
      <c r="K1271" t="str">
        <f>"161042168330"</f>
        <v>161042168330</v>
      </c>
      <c r="L1271" t="str">
        <f t="shared" si="533"/>
        <v>04-08-2020</v>
      </c>
      <c r="M1271" t="str">
        <f t="shared" si="533"/>
        <v>04-08-2020</v>
      </c>
      <c r="N1271" t="str">
        <f t="shared" si="515"/>
        <v>001105018356</v>
      </c>
      <c r="O1271" t="str">
        <f t="shared" si="516"/>
        <v>MYR</v>
      </c>
      <c r="P1271" t="str">
        <f t="shared" si="534"/>
        <v>NIL</v>
      </c>
      <c r="Q1271" t="str">
        <f t="shared" si="534"/>
        <v>NIL</v>
      </c>
      <c r="R1271" t="str">
        <f t="shared" si="517"/>
        <v>Accepted</v>
      </c>
      <c r="S1271" t="str">
        <f t="shared" si="518"/>
        <v>Approved</v>
      </c>
      <c r="T1271" t="str">
        <f t="shared" si="519"/>
        <v>10.20.8.188</v>
      </c>
      <c r="U1271" t="str">
        <f t="shared" si="520"/>
        <v>AZRAD UMAR BIN SHAARI</v>
      </c>
      <c r="V1271" t="str">
        <f t="shared" si="521"/>
        <v>FARHANA BINTI MUSTAPA</v>
      </c>
      <c r="W1271" t="str">
        <f t="shared" si="522"/>
        <v>04-08-2020</v>
      </c>
      <c r="X1271" t="str">
        <f t="shared" si="523"/>
        <v>RAZIMAH ANSAR AHMAD</v>
      </c>
      <c r="Y1271" t="str">
        <f t="shared" si="524"/>
        <v>04-08-2020</v>
      </c>
      <c r="Z1271" t="str">
        <f>"COS10200804 7883"</f>
        <v>COS10200804 7883</v>
      </c>
    </row>
    <row r="1272" spans="1:26" x14ac:dyDescent="0.25">
      <c r="A1272" t="str">
        <f t="shared" si="531"/>
        <v>04-08-2020 01:08:42</v>
      </c>
      <c r="B1272" t="str">
        <f>"0000809684"</f>
        <v>0000809684</v>
      </c>
      <c r="C1272" t="str">
        <f t="shared" si="532"/>
        <v>0000809602</v>
      </c>
      <c r="D1272" t="str">
        <f t="shared" si="512"/>
        <v>73185</v>
      </c>
      <c r="E1272" t="str">
        <f t="shared" si="513"/>
        <v>KFH-OPERATIONS DEPARTMENT</v>
      </c>
      <c r="F1272" t="str">
        <f t="shared" si="514"/>
        <v>IBG</v>
      </c>
      <c r="G1272" t="str">
        <f t="shared" si="527"/>
        <v>Refund COSHARE 10</v>
      </c>
      <c r="H1272" s="2">
        <v>713.6</v>
      </c>
      <c r="I1272" t="str">
        <f>"WELLMEXLY LOJUMIN"</f>
        <v>WELLMEXLY LOJUMIN</v>
      </c>
      <c r="J1272" t="str">
        <f t="shared" si="528"/>
        <v>MAYBANK / MAYBANK ISLAMIC</v>
      </c>
      <c r="K1272" t="str">
        <f>"110032259738"</f>
        <v>110032259738</v>
      </c>
      <c r="L1272" t="str">
        <f t="shared" si="533"/>
        <v>04-08-2020</v>
      </c>
      <c r="M1272" t="str">
        <f t="shared" si="533"/>
        <v>04-08-2020</v>
      </c>
      <c r="N1272" t="str">
        <f t="shared" si="515"/>
        <v>001105018356</v>
      </c>
      <c r="O1272" t="str">
        <f t="shared" si="516"/>
        <v>MYR</v>
      </c>
      <c r="P1272" t="str">
        <f t="shared" si="534"/>
        <v>NIL</v>
      </c>
      <c r="Q1272" t="str">
        <f t="shared" si="534"/>
        <v>NIL</v>
      </c>
      <c r="R1272" t="str">
        <f t="shared" si="517"/>
        <v>Accepted</v>
      </c>
      <c r="S1272" t="str">
        <f t="shared" si="518"/>
        <v>Approved</v>
      </c>
      <c r="T1272" t="str">
        <f t="shared" si="519"/>
        <v>10.20.8.188</v>
      </c>
      <c r="U1272" t="str">
        <f t="shared" si="520"/>
        <v>AZRAD UMAR BIN SHAARI</v>
      </c>
      <c r="V1272" t="str">
        <f t="shared" si="521"/>
        <v>FARHANA BINTI MUSTAPA</v>
      </c>
      <c r="W1272" t="str">
        <f t="shared" si="522"/>
        <v>04-08-2020</v>
      </c>
      <c r="X1272" t="str">
        <f t="shared" si="523"/>
        <v>RAZIMAH ANSAR AHMAD</v>
      </c>
      <c r="Y1272" t="str">
        <f t="shared" si="524"/>
        <v>04-08-2020</v>
      </c>
      <c r="Z1272" t="str">
        <f>"COS10200804 7882"</f>
        <v>COS10200804 7882</v>
      </c>
    </row>
    <row r="1273" spans="1:26" x14ac:dyDescent="0.25">
      <c r="A1273" t="str">
        <f t="shared" si="531"/>
        <v>04-08-2020 01:08:42</v>
      </c>
      <c r="B1273" t="str">
        <f>"0000809683"</f>
        <v>0000809683</v>
      </c>
      <c r="C1273" t="str">
        <f t="shared" si="532"/>
        <v>0000809602</v>
      </c>
      <c r="D1273" t="str">
        <f t="shared" si="512"/>
        <v>73185</v>
      </c>
      <c r="E1273" t="str">
        <f t="shared" si="513"/>
        <v>KFH-OPERATIONS DEPARTMENT</v>
      </c>
      <c r="F1273" t="str">
        <f t="shared" si="514"/>
        <v>IBG</v>
      </c>
      <c r="G1273" t="str">
        <f t="shared" si="527"/>
        <v>Refund COSHARE 10</v>
      </c>
      <c r="H1273" s="2">
        <v>1595.05</v>
      </c>
      <c r="I1273" t="str">
        <f>"WEHAIZRIN BIN ABD WAHID"</f>
        <v>WEHAIZRIN BIN ABD WAHID</v>
      </c>
      <c r="J1273" t="str">
        <f t="shared" si="528"/>
        <v>MAYBANK / MAYBANK ISLAMIC</v>
      </c>
      <c r="K1273" t="str">
        <f>"154017410593"</f>
        <v>154017410593</v>
      </c>
      <c r="L1273" t="str">
        <f t="shared" si="533"/>
        <v>04-08-2020</v>
      </c>
      <c r="M1273" t="str">
        <f t="shared" si="533"/>
        <v>04-08-2020</v>
      </c>
      <c r="N1273" t="str">
        <f t="shared" si="515"/>
        <v>001105018356</v>
      </c>
      <c r="O1273" t="str">
        <f t="shared" si="516"/>
        <v>MYR</v>
      </c>
      <c r="P1273" t="str">
        <f t="shared" si="534"/>
        <v>NIL</v>
      </c>
      <c r="Q1273" t="str">
        <f t="shared" si="534"/>
        <v>NIL</v>
      </c>
      <c r="R1273" t="str">
        <f t="shared" si="517"/>
        <v>Accepted</v>
      </c>
      <c r="S1273" t="str">
        <f t="shared" si="518"/>
        <v>Approved</v>
      </c>
      <c r="T1273" t="str">
        <f t="shared" si="519"/>
        <v>10.20.8.188</v>
      </c>
      <c r="U1273" t="str">
        <f t="shared" si="520"/>
        <v>AZRAD UMAR BIN SHAARI</v>
      </c>
      <c r="V1273" t="str">
        <f t="shared" si="521"/>
        <v>FARHANA BINTI MUSTAPA</v>
      </c>
      <c r="W1273" t="str">
        <f t="shared" si="522"/>
        <v>04-08-2020</v>
      </c>
      <c r="X1273" t="str">
        <f t="shared" si="523"/>
        <v>RAZIMAH ANSAR AHMAD</v>
      </c>
      <c r="Y1273" t="str">
        <f t="shared" si="524"/>
        <v>04-08-2020</v>
      </c>
      <c r="Z1273" t="str">
        <f>"COS10200804 7881"</f>
        <v>COS10200804 7881</v>
      </c>
    </row>
    <row r="1274" spans="1:26" x14ac:dyDescent="0.25">
      <c r="A1274" t="str">
        <f t="shared" si="531"/>
        <v>04-08-2020 01:08:42</v>
      </c>
      <c r="B1274" t="str">
        <f>"0000809682"</f>
        <v>0000809682</v>
      </c>
      <c r="C1274" t="str">
        <f t="shared" si="532"/>
        <v>0000809602</v>
      </c>
      <c r="D1274" t="str">
        <f t="shared" si="512"/>
        <v>73185</v>
      </c>
      <c r="E1274" t="str">
        <f t="shared" si="513"/>
        <v>KFH-OPERATIONS DEPARTMENT</v>
      </c>
      <c r="F1274" t="str">
        <f t="shared" si="514"/>
        <v>IBG</v>
      </c>
      <c r="G1274" t="str">
        <f t="shared" si="527"/>
        <v>Refund COSHARE 10</v>
      </c>
      <c r="H1274" s="2">
        <v>419.75</v>
      </c>
      <c r="I1274" t="str">
        <f>"WAN ZURAIDI BIN WAN IDRIS"</f>
        <v>WAN ZURAIDI BIN WAN IDRIS</v>
      </c>
      <c r="J1274" t="str">
        <f t="shared" si="528"/>
        <v>MAYBANK / MAYBANK ISLAMIC</v>
      </c>
      <c r="K1274" t="str">
        <f>"164137404412"</f>
        <v>164137404412</v>
      </c>
      <c r="L1274" t="str">
        <f t="shared" si="533"/>
        <v>04-08-2020</v>
      </c>
      <c r="M1274" t="str">
        <f t="shared" si="533"/>
        <v>04-08-2020</v>
      </c>
      <c r="N1274" t="str">
        <f t="shared" si="515"/>
        <v>001105018356</v>
      </c>
      <c r="O1274" t="str">
        <f t="shared" si="516"/>
        <v>MYR</v>
      </c>
      <c r="P1274" t="str">
        <f t="shared" si="534"/>
        <v>NIL</v>
      </c>
      <c r="Q1274" t="str">
        <f t="shared" si="534"/>
        <v>NIL</v>
      </c>
      <c r="R1274" t="str">
        <f t="shared" si="517"/>
        <v>Accepted</v>
      </c>
      <c r="S1274" t="str">
        <f t="shared" si="518"/>
        <v>Approved</v>
      </c>
      <c r="T1274" t="str">
        <f t="shared" si="519"/>
        <v>10.20.8.188</v>
      </c>
      <c r="U1274" t="str">
        <f t="shared" si="520"/>
        <v>AZRAD UMAR BIN SHAARI</v>
      </c>
      <c r="V1274" t="str">
        <f t="shared" si="521"/>
        <v>FARHANA BINTI MUSTAPA</v>
      </c>
      <c r="W1274" t="str">
        <f t="shared" si="522"/>
        <v>04-08-2020</v>
      </c>
      <c r="X1274" t="str">
        <f t="shared" si="523"/>
        <v>RAZIMAH ANSAR AHMAD</v>
      </c>
      <c r="Y1274" t="str">
        <f t="shared" si="524"/>
        <v>04-08-2020</v>
      </c>
      <c r="Z1274" t="str">
        <f>"COS10200804 7880"</f>
        <v>COS10200804 7880</v>
      </c>
    </row>
    <row r="1275" spans="1:26" x14ac:dyDescent="0.25">
      <c r="A1275" t="str">
        <f t="shared" si="531"/>
        <v>04-08-2020 01:08:42</v>
      </c>
      <c r="B1275" t="str">
        <f>"0000809681"</f>
        <v>0000809681</v>
      </c>
      <c r="C1275" t="str">
        <f t="shared" si="532"/>
        <v>0000809602</v>
      </c>
      <c r="D1275" t="str">
        <f t="shared" si="512"/>
        <v>73185</v>
      </c>
      <c r="E1275" t="str">
        <f t="shared" si="513"/>
        <v>KFH-OPERATIONS DEPARTMENT</v>
      </c>
      <c r="F1275" t="str">
        <f t="shared" si="514"/>
        <v>IBG</v>
      </c>
      <c r="G1275" t="str">
        <f t="shared" si="527"/>
        <v>Refund COSHARE 10</v>
      </c>
      <c r="H1275" s="2">
        <v>1435.55</v>
      </c>
      <c r="I1275" t="str">
        <f>"WAN ZULKIFLI BIN WAN ABU BAKAR"</f>
        <v>WAN ZULKIFLI BIN WAN ABU BAKAR</v>
      </c>
      <c r="J1275" t="str">
        <f t="shared" si="528"/>
        <v>MAYBANK / MAYBANK ISLAMIC</v>
      </c>
      <c r="K1275" t="str">
        <f>"157139763793"</f>
        <v>157139763793</v>
      </c>
      <c r="L1275" t="str">
        <f t="shared" si="533"/>
        <v>04-08-2020</v>
      </c>
      <c r="M1275" t="str">
        <f t="shared" si="533"/>
        <v>04-08-2020</v>
      </c>
      <c r="N1275" t="str">
        <f t="shared" si="515"/>
        <v>001105018356</v>
      </c>
      <c r="O1275" t="str">
        <f t="shared" si="516"/>
        <v>MYR</v>
      </c>
      <c r="P1275" t="str">
        <f t="shared" si="534"/>
        <v>NIL</v>
      </c>
      <c r="Q1275" t="str">
        <f t="shared" si="534"/>
        <v>NIL</v>
      </c>
      <c r="R1275" t="str">
        <f t="shared" si="517"/>
        <v>Accepted</v>
      </c>
      <c r="S1275" t="str">
        <f t="shared" si="518"/>
        <v>Approved</v>
      </c>
      <c r="T1275" t="str">
        <f t="shared" si="519"/>
        <v>10.20.8.188</v>
      </c>
      <c r="U1275" t="str">
        <f t="shared" si="520"/>
        <v>AZRAD UMAR BIN SHAARI</v>
      </c>
      <c r="V1275" t="str">
        <f t="shared" si="521"/>
        <v>FARHANA BINTI MUSTAPA</v>
      </c>
      <c r="W1275" t="str">
        <f t="shared" si="522"/>
        <v>04-08-2020</v>
      </c>
      <c r="X1275" t="str">
        <f t="shared" si="523"/>
        <v>RAZIMAH ANSAR AHMAD</v>
      </c>
      <c r="Y1275" t="str">
        <f t="shared" si="524"/>
        <v>04-08-2020</v>
      </c>
      <c r="Z1275" t="str">
        <f>"COS10200804 7879"</f>
        <v>COS10200804 7879</v>
      </c>
    </row>
    <row r="1276" spans="1:26" x14ac:dyDescent="0.25">
      <c r="A1276" t="str">
        <f t="shared" si="531"/>
        <v>04-08-2020 01:08:42</v>
      </c>
      <c r="B1276" t="str">
        <f>"0000809680"</f>
        <v>0000809680</v>
      </c>
      <c r="C1276" t="str">
        <f t="shared" si="532"/>
        <v>0000809602</v>
      </c>
      <c r="D1276" t="str">
        <f t="shared" si="512"/>
        <v>73185</v>
      </c>
      <c r="E1276" t="str">
        <f t="shared" si="513"/>
        <v>KFH-OPERATIONS DEPARTMENT</v>
      </c>
      <c r="F1276" t="str">
        <f t="shared" si="514"/>
        <v>IBG</v>
      </c>
      <c r="G1276" t="str">
        <f t="shared" si="527"/>
        <v>Refund COSHARE 10</v>
      </c>
      <c r="H1276" s="2">
        <v>839.5</v>
      </c>
      <c r="I1276" t="str">
        <f>"WAN ZULIANA BINTI WAN ZAINUS"</f>
        <v>WAN ZULIANA BINTI WAN ZAINUS</v>
      </c>
      <c r="J1276" t="str">
        <f t="shared" si="528"/>
        <v>MAYBANK / MAYBANK ISLAMIC</v>
      </c>
      <c r="K1276" t="str">
        <f>"163019327295"</f>
        <v>163019327295</v>
      </c>
      <c r="L1276" t="str">
        <f t="shared" si="533"/>
        <v>04-08-2020</v>
      </c>
      <c r="M1276" t="str">
        <f t="shared" si="533"/>
        <v>04-08-2020</v>
      </c>
      <c r="N1276" t="str">
        <f t="shared" si="515"/>
        <v>001105018356</v>
      </c>
      <c r="O1276" t="str">
        <f t="shared" si="516"/>
        <v>MYR</v>
      </c>
      <c r="P1276" t="str">
        <f t="shared" si="534"/>
        <v>NIL</v>
      </c>
      <c r="Q1276" t="str">
        <f t="shared" si="534"/>
        <v>NIL</v>
      </c>
      <c r="R1276" t="str">
        <f t="shared" si="517"/>
        <v>Accepted</v>
      </c>
      <c r="S1276" t="str">
        <f t="shared" si="518"/>
        <v>Approved</v>
      </c>
      <c r="T1276" t="str">
        <f t="shared" si="519"/>
        <v>10.20.8.188</v>
      </c>
      <c r="U1276" t="str">
        <f t="shared" si="520"/>
        <v>AZRAD UMAR BIN SHAARI</v>
      </c>
      <c r="V1276" t="str">
        <f t="shared" si="521"/>
        <v>FARHANA BINTI MUSTAPA</v>
      </c>
      <c r="W1276" t="str">
        <f t="shared" si="522"/>
        <v>04-08-2020</v>
      </c>
      <c r="X1276" t="str">
        <f t="shared" si="523"/>
        <v>RAZIMAH ANSAR AHMAD</v>
      </c>
      <c r="Y1276" t="str">
        <f t="shared" si="524"/>
        <v>04-08-2020</v>
      </c>
      <c r="Z1276" t="str">
        <f>"COS10200804 7878"</f>
        <v>COS10200804 7878</v>
      </c>
    </row>
    <row r="1277" spans="1:26" x14ac:dyDescent="0.25">
      <c r="A1277" t="str">
        <f t="shared" si="531"/>
        <v>04-08-2020 01:08:42</v>
      </c>
      <c r="B1277" t="str">
        <f>"0000809679"</f>
        <v>0000809679</v>
      </c>
      <c r="C1277" t="str">
        <f t="shared" si="532"/>
        <v>0000809602</v>
      </c>
      <c r="D1277" t="str">
        <f t="shared" si="512"/>
        <v>73185</v>
      </c>
      <c r="E1277" t="str">
        <f t="shared" si="513"/>
        <v>KFH-OPERATIONS DEPARTMENT</v>
      </c>
      <c r="F1277" t="str">
        <f t="shared" si="514"/>
        <v>IBG</v>
      </c>
      <c r="G1277" t="str">
        <f t="shared" si="527"/>
        <v>Refund COSHARE 10</v>
      </c>
      <c r="H1277" s="2">
        <v>373.3</v>
      </c>
      <c r="I1277" t="str">
        <f>"WAN ZIL AKMAL BINTI WAN HASSAN"</f>
        <v>WAN ZIL AKMAL BINTI WAN HASSAN</v>
      </c>
      <c r="J1277" t="str">
        <f t="shared" si="528"/>
        <v>MAYBANK / MAYBANK ISLAMIC</v>
      </c>
      <c r="K1277" t="str">
        <f>"114150389583"</f>
        <v>114150389583</v>
      </c>
      <c r="L1277" t="str">
        <f t="shared" si="533"/>
        <v>04-08-2020</v>
      </c>
      <c r="M1277" t="str">
        <f t="shared" si="533"/>
        <v>04-08-2020</v>
      </c>
      <c r="N1277" t="str">
        <f t="shared" si="515"/>
        <v>001105018356</v>
      </c>
      <c r="O1277" t="str">
        <f t="shared" si="516"/>
        <v>MYR</v>
      </c>
      <c r="P1277" t="str">
        <f t="shared" si="534"/>
        <v>NIL</v>
      </c>
      <c r="Q1277" t="str">
        <f t="shared" si="534"/>
        <v>NIL</v>
      </c>
      <c r="R1277" t="str">
        <f t="shared" si="517"/>
        <v>Accepted</v>
      </c>
      <c r="S1277" t="str">
        <f t="shared" si="518"/>
        <v>Approved</v>
      </c>
      <c r="T1277" t="str">
        <f t="shared" si="519"/>
        <v>10.20.8.188</v>
      </c>
      <c r="U1277" t="str">
        <f t="shared" si="520"/>
        <v>AZRAD UMAR BIN SHAARI</v>
      </c>
      <c r="V1277" t="str">
        <f t="shared" si="521"/>
        <v>FARHANA BINTI MUSTAPA</v>
      </c>
      <c r="W1277" t="str">
        <f t="shared" si="522"/>
        <v>04-08-2020</v>
      </c>
      <c r="X1277" t="str">
        <f t="shared" si="523"/>
        <v>RAZIMAH ANSAR AHMAD</v>
      </c>
      <c r="Y1277" t="str">
        <f t="shared" si="524"/>
        <v>04-08-2020</v>
      </c>
      <c r="Z1277" t="str">
        <f>"COS10200804 7877"</f>
        <v>COS10200804 7877</v>
      </c>
    </row>
    <row r="1278" spans="1:26" x14ac:dyDescent="0.25">
      <c r="A1278" t="str">
        <f t="shared" si="531"/>
        <v>04-08-2020 01:08:42</v>
      </c>
      <c r="B1278" t="str">
        <f>"0000809678"</f>
        <v>0000809678</v>
      </c>
      <c r="C1278" t="str">
        <f t="shared" si="532"/>
        <v>0000809602</v>
      </c>
      <c r="D1278" t="str">
        <f t="shared" si="512"/>
        <v>73185</v>
      </c>
      <c r="E1278" t="str">
        <f t="shared" si="513"/>
        <v>KFH-OPERATIONS DEPARTMENT</v>
      </c>
      <c r="F1278" t="str">
        <f t="shared" si="514"/>
        <v>IBG</v>
      </c>
      <c r="G1278" t="str">
        <f t="shared" si="527"/>
        <v>Refund COSHARE 10</v>
      </c>
      <c r="H1278" s="2">
        <v>75.599999999999994</v>
      </c>
      <c r="I1278" t="str">
        <f>"WAN ZAMRI BIN WAN SALLEH"</f>
        <v>WAN ZAMRI BIN WAN SALLEH</v>
      </c>
      <c r="J1278" t="str">
        <f t="shared" si="528"/>
        <v>MAYBANK / MAYBANK ISLAMIC</v>
      </c>
      <c r="K1278" t="str">
        <f>"153010052068"</f>
        <v>153010052068</v>
      </c>
      <c r="L1278" t="str">
        <f t="shared" si="533"/>
        <v>04-08-2020</v>
      </c>
      <c r="M1278" t="str">
        <f t="shared" si="533"/>
        <v>04-08-2020</v>
      </c>
      <c r="N1278" t="str">
        <f t="shared" si="515"/>
        <v>001105018356</v>
      </c>
      <c r="O1278" t="str">
        <f t="shared" si="516"/>
        <v>MYR</v>
      </c>
      <c r="P1278" t="str">
        <f t="shared" si="534"/>
        <v>NIL</v>
      </c>
      <c r="Q1278" t="str">
        <f t="shared" si="534"/>
        <v>NIL</v>
      </c>
      <c r="R1278" t="str">
        <f t="shared" si="517"/>
        <v>Accepted</v>
      </c>
      <c r="S1278" t="str">
        <f t="shared" si="518"/>
        <v>Approved</v>
      </c>
      <c r="T1278" t="str">
        <f t="shared" si="519"/>
        <v>10.20.8.188</v>
      </c>
      <c r="U1278" t="str">
        <f t="shared" si="520"/>
        <v>AZRAD UMAR BIN SHAARI</v>
      </c>
      <c r="V1278" t="str">
        <f t="shared" si="521"/>
        <v>FARHANA BINTI MUSTAPA</v>
      </c>
      <c r="W1278" t="str">
        <f t="shared" si="522"/>
        <v>04-08-2020</v>
      </c>
      <c r="X1278" t="str">
        <f t="shared" si="523"/>
        <v>RAZIMAH ANSAR AHMAD</v>
      </c>
      <c r="Y1278" t="str">
        <f t="shared" si="524"/>
        <v>04-08-2020</v>
      </c>
      <c r="Z1278" t="str">
        <f>"COS10200804 7876"</f>
        <v>COS10200804 7876</v>
      </c>
    </row>
    <row r="1279" spans="1:26" x14ac:dyDescent="0.25">
      <c r="A1279" t="str">
        <f t="shared" si="531"/>
        <v>04-08-2020 01:08:42</v>
      </c>
      <c r="B1279" t="str">
        <f>"0000809677"</f>
        <v>0000809677</v>
      </c>
      <c r="C1279" t="str">
        <f t="shared" si="532"/>
        <v>0000809602</v>
      </c>
      <c r="D1279" t="str">
        <f t="shared" si="512"/>
        <v>73185</v>
      </c>
      <c r="E1279" t="str">
        <f t="shared" si="513"/>
        <v>KFH-OPERATIONS DEPARTMENT</v>
      </c>
      <c r="F1279" t="str">
        <f t="shared" si="514"/>
        <v>IBG</v>
      </c>
      <c r="G1279" t="str">
        <f t="shared" si="527"/>
        <v>Refund COSHARE 10</v>
      </c>
      <c r="H1279" s="2">
        <v>335.8</v>
      </c>
      <c r="I1279" t="str">
        <f>"WAN ZAMANI BIN WAN MUSA"</f>
        <v>WAN ZAMANI BIN WAN MUSA</v>
      </c>
      <c r="J1279" t="str">
        <f t="shared" si="528"/>
        <v>MAYBANK / MAYBANK ISLAMIC</v>
      </c>
      <c r="K1279" t="str">
        <f>"156094035929"</f>
        <v>156094035929</v>
      </c>
      <c r="L1279" t="str">
        <f t="shared" si="533"/>
        <v>04-08-2020</v>
      </c>
      <c r="M1279" t="str">
        <f t="shared" si="533"/>
        <v>04-08-2020</v>
      </c>
      <c r="N1279" t="str">
        <f t="shared" si="515"/>
        <v>001105018356</v>
      </c>
      <c r="O1279" t="str">
        <f t="shared" si="516"/>
        <v>MYR</v>
      </c>
      <c r="P1279" t="str">
        <f t="shared" si="534"/>
        <v>NIL</v>
      </c>
      <c r="Q1279" t="str">
        <f t="shared" si="534"/>
        <v>NIL</v>
      </c>
      <c r="R1279" t="str">
        <f t="shared" si="517"/>
        <v>Accepted</v>
      </c>
      <c r="S1279" t="str">
        <f t="shared" si="518"/>
        <v>Approved</v>
      </c>
      <c r="T1279" t="str">
        <f t="shared" si="519"/>
        <v>10.20.8.188</v>
      </c>
      <c r="U1279" t="str">
        <f t="shared" si="520"/>
        <v>AZRAD UMAR BIN SHAARI</v>
      </c>
      <c r="V1279" t="str">
        <f t="shared" si="521"/>
        <v>FARHANA BINTI MUSTAPA</v>
      </c>
      <c r="W1279" t="str">
        <f t="shared" si="522"/>
        <v>04-08-2020</v>
      </c>
      <c r="X1279" t="str">
        <f t="shared" si="523"/>
        <v>RAZIMAH ANSAR AHMAD</v>
      </c>
      <c r="Y1279" t="str">
        <f t="shared" si="524"/>
        <v>04-08-2020</v>
      </c>
      <c r="Z1279" t="str">
        <f>"COS10200804 7875"</f>
        <v>COS10200804 7875</v>
      </c>
    </row>
    <row r="1280" spans="1:26" x14ac:dyDescent="0.25">
      <c r="A1280" t="str">
        <f t="shared" si="531"/>
        <v>04-08-2020 01:08:42</v>
      </c>
      <c r="B1280" t="str">
        <f>"0000809676"</f>
        <v>0000809676</v>
      </c>
      <c r="C1280" t="str">
        <f t="shared" si="532"/>
        <v>0000809602</v>
      </c>
      <c r="D1280" t="str">
        <f t="shared" si="512"/>
        <v>73185</v>
      </c>
      <c r="E1280" t="str">
        <f t="shared" si="513"/>
        <v>KFH-OPERATIONS DEPARTMENT</v>
      </c>
      <c r="F1280" t="str">
        <f t="shared" si="514"/>
        <v>IBG</v>
      </c>
      <c r="G1280" t="str">
        <f t="shared" si="527"/>
        <v>Refund COSHARE 10</v>
      </c>
      <c r="H1280" s="2">
        <v>1518</v>
      </c>
      <c r="I1280" t="str">
        <f>"WAN SYAPIEE BIN WAN SAAN"</f>
        <v>WAN SYAPIEE BIN WAN SAAN</v>
      </c>
      <c r="J1280" t="str">
        <f t="shared" si="528"/>
        <v>MAYBANK / MAYBANK ISLAMIC</v>
      </c>
      <c r="K1280" t="str">
        <f>"158109012050"</f>
        <v>158109012050</v>
      </c>
      <c r="L1280" t="str">
        <f t="shared" si="533"/>
        <v>04-08-2020</v>
      </c>
      <c r="M1280" t="str">
        <f t="shared" si="533"/>
        <v>04-08-2020</v>
      </c>
      <c r="N1280" t="str">
        <f t="shared" si="515"/>
        <v>001105018356</v>
      </c>
      <c r="O1280" t="str">
        <f t="shared" si="516"/>
        <v>MYR</v>
      </c>
      <c r="P1280" t="str">
        <f t="shared" si="534"/>
        <v>NIL</v>
      </c>
      <c r="Q1280" t="str">
        <f t="shared" si="534"/>
        <v>NIL</v>
      </c>
      <c r="R1280" t="str">
        <f t="shared" si="517"/>
        <v>Accepted</v>
      </c>
      <c r="S1280" t="str">
        <f t="shared" si="518"/>
        <v>Approved</v>
      </c>
      <c r="T1280" t="str">
        <f t="shared" si="519"/>
        <v>10.20.8.188</v>
      </c>
      <c r="U1280" t="str">
        <f t="shared" si="520"/>
        <v>AZRAD UMAR BIN SHAARI</v>
      </c>
      <c r="V1280" t="str">
        <f t="shared" si="521"/>
        <v>FARHANA BINTI MUSTAPA</v>
      </c>
      <c r="W1280" t="str">
        <f t="shared" si="522"/>
        <v>04-08-2020</v>
      </c>
      <c r="X1280" t="str">
        <f t="shared" si="523"/>
        <v>RAZIMAH ANSAR AHMAD</v>
      </c>
      <c r="Y1280" t="str">
        <f t="shared" si="524"/>
        <v>04-08-2020</v>
      </c>
      <c r="Z1280" t="str">
        <f>"COS10200804 7874"</f>
        <v>COS10200804 7874</v>
      </c>
    </row>
    <row r="1281" spans="1:26" x14ac:dyDescent="0.25">
      <c r="A1281" t="str">
        <f t="shared" si="531"/>
        <v>04-08-2020 01:08:42</v>
      </c>
      <c r="B1281" t="str">
        <f>"0000809675"</f>
        <v>0000809675</v>
      </c>
      <c r="C1281" t="str">
        <f t="shared" si="532"/>
        <v>0000809602</v>
      </c>
      <c r="D1281" t="str">
        <f t="shared" si="512"/>
        <v>73185</v>
      </c>
      <c r="E1281" t="str">
        <f t="shared" si="513"/>
        <v>KFH-OPERATIONS DEPARTMENT</v>
      </c>
      <c r="F1281" t="str">
        <f t="shared" si="514"/>
        <v>IBG</v>
      </c>
      <c r="G1281" t="str">
        <f t="shared" si="527"/>
        <v>Refund COSHARE 10</v>
      </c>
      <c r="H1281" s="2">
        <v>805.95</v>
      </c>
      <c r="I1281" t="str">
        <f>"WAN SHUKERIAH BINTI WAN ABD KADIR"</f>
        <v>WAN SHUKERIAH BINTI WAN ABD KADIR</v>
      </c>
      <c r="J1281" t="str">
        <f t="shared" si="528"/>
        <v>MAYBANK / MAYBANK ISLAMIC</v>
      </c>
      <c r="K1281" t="str">
        <f>"162450201180"</f>
        <v>162450201180</v>
      </c>
      <c r="L1281" t="str">
        <f t="shared" si="533"/>
        <v>04-08-2020</v>
      </c>
      <c r="M1281" t="str">
        <f t="shared" si="533"/>
        <v>04-08-2020</v>
      </c>
      <c r="N1281" t="str">
        <f t="shared" si="515"/>
        <v>001105018356</v>
      </c>
      <c r="O1281" t="str">
        <f t="shared" si="516"/>
        <v>MYR</v>
      </c>
      <c r="P1281" t="str">
        <f t="shared" si="534"/>
        <v>NIL</v>
      </c>
      <c r="Q1281" t="str">
        <f t="shared" si="534"/>
        <v>NIL</v>
      </c>
      <c r="R1281" t="str">
        <f t="shared" si="517"/>
        <v>Accepted</v>
      </c>
      <c r="S1281" t="str">
        <f t="shared" si="518"/>
        <v>Approved</v>
      </c>
      <c r="T1281" t="str">
        <f t="shared" si="519"/>
        <v>10.20.8.188</v>
      </c>
      <c r="U1281" t="str">
        <f t="shared" si="520"/>
        <v>AZRAD UMAR BIN SHAARI</v>
      </c>
      <c r="V1281" t="str">
        <f t="shared" si="521"/>
        <v>FARHANA BINTI MUSTAPA</v>
      </c>
      <c r="W1281" t="str">
        <f t="shared" si="522"/>
        <v>04-08-2020</v>
      </c>
      <c r="X1281" t="str">
        <f t="shared" si="523"/>
        <v>RAZIMAH ANSAR AHMAD</v>
      </c>
      <c r="Y1281" t="str">
        <f t="shared" si="524"/>
        <v>04-08-2020</v>
      </c>
      <c r="Z1281" t="str">
        <f>"COS10200804 7873"</f>
        <v>COS10200804 7873</v>
      </c>
    </row>
    <row r="1282" spans="1:26" x14ac:dyDescent="0.25">
      <c r="A1282" t="str">
        <f t="shared" ref="A1282:A1313" si="535">"04-08-2020 01:08:42"</f>
        <v>04-08-2020 01:08:42</v>
      </c>
      <c r="B1282" t="str">
        <f>"0000809674"</f>
        <v>0000809674</v>
      </c>
      <c r="C1282" t="str">
        <f t="shared" ref="C1282:C1313" si="536">"0000809602"</f>
        <v>0000809602</v>
      </c>
      <c r="D1282" t="str">
        <f t="shared" si="512"/>
        <v>73185</v>
      </c>
      <c r="E1282" t="str">
        <f t="shared" si="513"/>
        <v>KFH-OPERATIONS DEPARTMENT</v>
      </c>
      <c r="F1282" t="str">
        <f t="shared" si="514"/>
        <v>IBG</v>
      </c>
      <c r="G1282" t="str">
        <f t="shared" si="527"/>
        <v>Refund COSHARE 10</v>
      </c>
      <c r="H1282" s="2">
        <v>377.8</v>
      </c>
      <c r="I1282" t="str">
        <f>"WAN SHAFIHARINA BINTI WAN ISMAIL"</f>
        <v>WAN SHAFIHARINA BINTI WAN ISMAIL</v>
      </c>
      <c r="J1282" t="str">
        <f t="shared" si="528"/>
        <v>MAYBANK / MAYBANK ISLAMIC</v>
      </c>
      <c r="K1282" t="str">
        <f>"162143029775"</f>
        <v>162143029775</v>
      </c>
      <c r="L1282" t="str">
        <f t="shared" si="533"/>
        <v>04-08-2020</v>
      </c>
      <c r="M1282" t="str">
        <f t="shared" si="533"/>
        <v>04-08-2020</v>
      </c>
      <c r="N1282" t="str">
        <f t="shared" si="515"/>
        <v>001105018356</v>
      </c>
      <c r="O1282" t="str">
        <f t="shared" si="516"/>
        <v>MYR</v>
      </c>
      <c r="P1282" t="str">
        <f t="shared" si="534"/>
        <v>NIL</v>
      </c>
      <c r="Q1282" t="str">
        <f t="shared" si="534"/>
        <v>NIL</v>
      </c>
      <c r="R1282" t="str">
        <f t="shared" si="517"/>
        <v>Accepted</v>
      </c>
      <c r="S1282" t="str">
        <f t="shared" si="518"/>
        <v>Approved</v>
      </c>
      <c r="T1282" t="str">
        <f t="shared" si="519"/>
        <v>10.20.8.188</v>
      </c>
      <c r="U1282" t="str">
        <f t="shared" si="520"/>
        <v>AZRAD UMAR BIN SHAARI</v>
      </c>
      <c r="V1282" t="str">
        <f t="shared" si="521"/>
        <v>FARHANA BINTI MUSTAPA</v>
      </c>
      <c r="W1282" t="str">
        <f t="shared" si="522"/>
        <v>04-08-2020</v>
      </c>
      <c r="X1282" t="str">
        <f t="shared" si="523"/>
        <v>RAZIMAH ANSAR AHMAD</v>
      </c>
      <c r="Y1282" t="str">
        <f t="shared" si="524"/>
        <v>04-08-2020</v>
      </c>
      <c r="Z1282" t="str">
        <f>"COS10200804 7872"</f>
        <v>COS10200804 7872</v>
      </c>
    </row>
    <row r="1283" spans="1:26" x14ac:dyDescent="0.25">
      <c r="A1283" t="str">
        <f t="shared" si="535"/>
        <v>04-08-2020 01:08:42</v>
      </c>
      <c r="B1283" t="str">
        <f>"0000809673"</f>
        <v>0000809673</v>
      </c>
      <c r="C1283" t="str">
        <f t="shared" si="536"/>
        <v>0000809602</v>
      </c>
      <c r="D1283" t="str">
        <f t="shared" si="512"/>
        <v>73185</v>
      </c>
      <c r="E1283" t="str">
        <f t="shared" si="513"/>
        <v>KFH-OPERATIONS DEPARTMENT</v>
      </c>
      <c r="F1283" t="str">
        <f t="shared" si="514"/>
        <v>IBG</v>
      </c>
      <c r="G1283" t="str">
        <f t="shared" si="527"/>
        <v>Refund COSHARE 10</v>
      </c>
      <c r="H1283" s="2">
        <v>326.5</v>
      </c>
      <c r="I1283" t="str">
        <f>"WAN SALMAN BIN WAN ABDULLAH"</f>
        <v>WAN SALMAN BIN WAN ABDULLAH</v>
      </c>
      <c r="J1283" t="str">
        <f t="shared" si="528"/>
        <v>MAYBANK / MAYBANK ISLAMIC</v>
      </c>
      <c r="K1283" t="str">
        <f>"163046232802"</f>
        <v>163046232802</v>
      </c>
      <c r="L1283" t="str">
        <f t="shared" si="533"/>
        <v>04-08-2020</v>
      </c>
      <c r="M1283" t="str">
        <f t="shared" si="533"/>
        <v>04-08-2020</v>
      </c>
      <c r="N1283" t="str">
        <f t="shared" si="515"/>
        <v>001105018356</v>
      </c>
      <c r="O1283" t="str">
        <f t="shared" si="516"/>
        <v>MYR</v>
      </c>
      <c r="P1283" t="str">
        <f t="shared" si="534"/>
        <v>NIL</v>
      </c>
      <c r="Q1283" t="str">
        <f t="shared" si="534"/>
        <v>NIL</v>
      </c>
      <c r="R1283" t="str">
        <f t="shared" si="517"/>
        <v>Accepted</v>
      </c>
      <c r="S1283" t="str">
        <f t="shared" si="518"/>
        <v>Approved</v>
      </c>
      <c r="T1283" t="str">
        <f t="shared" si="519"/>
        <v>10.20.8.188</v>
      </c>
      <c r="U1283" t="str">
        <f t="shared" si="520"/>
        <v>AZRAD UMAR BIN SHAARI</v>
      </c>
      <c r="V1283" t="str">
        <f t="shared" si="521"/>
        <v>FARHANA BINTI MUSTAPA</v>
      </c>
      <c r="W1283" t="str">
        <f t="shared" si="522"/>
        <v>04-08-2020</v>
      </c>
      <c r="X1283" t="str">
        <f t="shared" si="523"/>
        <v>RAZIMAH ANSAR AHMAD</v>
      </c>
      <c r="Y1283" t="str">
        <f t="shared" si="524"/>
        <v>04-08-2020</v>
      </c>
      <c r="Z1283" t="str">
        <f>"COS10200804 7871"</f>
        <v>COS10200804 7871</v>
      </c>
    </row>
    <row r="1284" spans="1:26" x14ac:dyDescent="0.25">
      <c r="A1284" t="str">
        <f t="shared" si="535"/>
        <v>04-08-2020 01:08:42</v>
      </c>
      <c r="B1284" t="str">
        <f>"0000809672"</f>
        <v>0000809672</v>
      </c>
      <c r="C1284" t="str">
        <f t="shared" si="536"/>
        <v>0000809602</v>
      </c>
      <c r="D1284" t="str">
        <f t="shared" si="512"/>
        <v>73185</v>
      </c>
      <c r="E1284" t="str">
        <f t="shared" si="513"/>
        <v>KFH-OPERATIONS DEPARTMENT</v>
      </c>
      <c r="F1284" t="str">
        <f t="shared" si="514"/>
        <v>IBG</v>
      </c>
      <c r="G1284" t="str">
        <f t="shared" si="527"/>
        <v>Refund COSHARE 10</v>
      </c>
      <c r="H1284" s="2">
        <v>172</v>
      </c>
      <c r="I1284" t="str">
        <f>"WAN SALINA BINTI WAN SEMAN"</f>
        <v>WAN SALINA BINTI WAN SEMAN</v>
      </c>
      <c r="J1284" t="str">
        <f t="shared" si="528"/>
        <v>MAYBANK / MAYBANK ISLAMIC</v>
      </c>
      <c r="K1284" t="str">
        <f>"164137482762"</f>
        <v>164137482762</v>
      </c>
      <c r="L1284" t="str">
        <f t="shared" si="533"/>
        <v>04-08-2020</v>
      </c>
      <c r="M1284" t="str">
        <f t="shared" si="533"/>
        <v>04-08-2020</v>
      </c>
      <c r="N1284" t="str">
        <f t="shared" si="515"/>
        <v>001105018356</v>
      </c>
      <c r="O1284" t="str">
        <f t="shared" si="516"/>
        <v>MYR</v>
      </c>
      <c r="P1284" t="str">
        <f t="shared" si="534"/>
        <v>NIL</v>
      </c>
      <c r="Q1284" t="str">
        <f t="shared" si="534"/>
        <v>NIL</v>
      </c>
      <c r="R1284" t="str">
        <f t="shared" si="517"/>
        <v>Accepted</v>
      </c>
      <c r="S1284" t="str">
        <f t="shared" si="518"/>
        <v>Approved</v>
      </c>
      <c r="T1284" t="str">
        <f t="shared" si="519"/>
        <v>10.20.8.188</v>
      </c>
      <c r="U1284" t="str">
        <f t="shared" si="520"/>
        <v>AZRAD UMAR BIN SHAARI</v>
      </c>
      <c r="V1284" t="str">
        <f t="shared" si="521"/>
        <v>FARHANA BINTI MUSTAPA</v>
      </c>
      <c r="W1284" t="str">
        <f t="shared" si="522"/>
        <v>04-08-2020</v>
      </c>
      <c r="X1284" t="str">
        <f t="shared" si="523"/>
        <v>RAZIMAH ANSAR AHMAD</v>
      </c>
      <c r="Y1284" t="str">
        <f t="shared" si="524"/>
        <v>04-08-2020</v>
      </c>
      <c r="Z1284" t="str">
        <f>"COS10200804 7870"</f>
        <v>COS10200804 7870</v>
      </c>
    </row>
    <row r="1285" spans="1:26" x14ac:dyDescent="0.25">
      <c r="A1285" t="str">
        <f t="shared" si="535"/>
        <v>04-08-2020 01:08:42</v>
      </c>
      <c r="B1285" t="str">
        <f>"0000809671"</f>
        <v>0000809671</v>
      </c>
      <c r="C1285" t="str">
        <f t="shared" si="536"/>
        <v>0000809602</v>
      </c>
      <c r="D1285" t="str">
        <f t="shared" si="512"/>
        <v>73185</v>
      </c>
      <c r="E1285" t="str">
        <f t="shared" si="513"/>
        <v>KFH-OPERATIONS DEPARTMENT</v>
      </c>
      <c r="F1285" t="str">
        <f t="shared" si="514"/>
        <v>IBG</v>
      </c>
      <c r="G1285" t="str">
        <f t="shared" si="527"/>
        <v>Refund COSHARE 10</v>
      </c>
      <c r="H1285" s="2">
        <v>293.85000000000002</v>
      </c>
      <c r="I1285" t="str">
        <f>"WAN RUSMAEZAME BIN WAN MAHMOOD"</f>
        <v>WAN RUSMAEZAME BIN WAN MAHMOOD</v>
      </c>
      <c r="J1285" t="str">
        <f t="shared" si="528"/>
        <v>MAYBANK / MAYBANK ISLAMIC</v>
      </c>
      <c r="K1285" t="str">
        <f>"112353032806"</f>
        <v>112353032806</v>
      </c>
      <c r="L1285" t="str">
        <f t="shared" si="533"/>
        <v>04-08-2020</v>
      </c>
      <c r="M1285" t="str">
        <f t="shared" si="533"/>
        <v>04-08-2020</v>
      </c>
      <c r="N1285" t="str">
        <f t="shared" si="515"/>
        <v>001105018356</v>
      </c>
      <c r="O1285" t="str">
        <f t="shared" si="516"/>
        <v>MYR</v>
      </c>
      <c r="P1285" t="str">
        <f t="shared" si="534"/>
        <v>NIL</v>
      </c>
      <c r="Q1285" t="str">
        <f t="shared" si="534"/>
        <v>NIL</v>
      </c>
      <c r="R1285" t="str">
        <f t="shared" si="517"/>
        <v>Accepted</v>
      </c>
      <c r="S1285" t="str">
        <f t="shared" si="518"/>
        <v>Approved</v>
      </c>
      <c r="T1285" t="str">
        <f t="shared" si="519"/>
        <v>10.20.8.188</v>
      </c>
      <c r="U1285" t="str">
        <f t="shared" si="520"/>
        <v>AZRAD UMAR BIN SHAARI</v>
      </c>
      <c r="V1285" t="str">
        <f t="shared" si="521"/>
        <v>FARHANA BINTI MUSTAPA</v>
      </c>
      <c r="W1285" t="str">
        <f t="shared" si="522"/>
        <v>04-08-2020</v>
      </c>
      <c r="X1285" t="str">
        <f t="shared" si="523"/>
        <v>RAZIMAH ANSAR AHMAD</v>
      </c>
      <c r="Y1285" t="str">
        <f t="shared" si="524"/>
        <v>04-08-2020</v>
      </c>
      <c r="Z1285" t="str">
        <f>"COS10200804 7869"</f>
        <v>COS10200804 7869</v>
      </c>
    </row>
    <row r="1286" spans="1:26" x14ac:dyDescent="0.25">
      <c r="A1286" t="str">
        <f t="shared" si="535"/>
        <v>04-08-2020 01:08:42</v>
      </c>
      <c r="B1286" t="str">
        <f>"0000809670"</f>
        <v>0000809670</v>
      </c>
      <c r="C1286" t="str">
        <f t="shared" si="536"/>
        <v>0000809602</v>
      </c>
      <c r="D1286" t="str">
        <f t="shared" si="512"/>
        <v>73185</v>
      </c>
      <c r="E1286" t="str">
        <f t="shared" si="513"/>
        <v>KFH-OPERATIONS DEPARTMENT</v>
      </c>
      <c r="F1286" t="str">
        <f t="shared" si="514"/>
        <v>IBG</v>
      </c>
      <c r="G1286" t="str">
        <f t="shared" si="527"/>
        <v>Refund COSHARE 10</v>
      </c>
      <c r="H1286" s="2">
        <v>683.55</v>
      </c>
      <c r="I1286" t="str">
        <f>"WAN RUSLIM BIN ISMAIL  WAN ISMAIL"</f>
        <v>WAN RUSLIM BIN ISMAIL  WAN ISMAIL</v>
      </c>
      <c r="J1286" t="str">
        <f t="shared" si="528"/>
        <v>MAYBANK / MAYBANK ISLAMIC</v>
      </c>
      <c r="K1286" t="str">
        <f>"110078036676"</f>
        <v>110078036676</v>
      </c>
      <c r="L1286" t="str">
        <f t="shared" si="533"/>
        <v>04-08-2020</v>
      </c>
      <c r="M1286" t="str">
        <f t="shared" si="533"/>
        <v>04-08-2020</v>
      </c>
      <c r="N1286" t="str">
        <f t="shared" si="515"/>
        <v>001105018356</v>
      </c>
      <c r="O1286" t="str">
        <f t="shared" si="516"/>
        <v>MYR</v>
      </c>
      <c r="P1286" t="str">
        <f t="shared" si="534"/>
        <v>NIL</v>
      </c>
      <c r="Q1286" t="str">
        <f t="shared" si="534"/>
        <v>NIL</v>
      </c>
      <c r="R1286" t="str">
        <f t="shared" si="517"/>
        <v>Accepted</v>
      </c>
      <c r="S1286" t="str">
        <f t="shared" si="518"/>
        <v>Approved</v>
      </c>
      <c r="T1286" t="str">
        <f t="shared" si="519"/>
        <v>10.20.8.188</v>
      </c>
      <c r="U1286" t="str">
        <f t="shared" si="520"/>
        <v>AZRAD UMAR BIN SHAARI</v>
      </c>
      <c r="V1286" t="str">
        <f t="shared" si="521"/>
        <v>FARHANA BINTI MUSTAPA</v>
      </c>
      <c r="W1286" t="str">
        <f t="shared" si="522"/>
        <v>04-08-2020</v>
      </c>
      <c r="X1286" t="str">
        <f t="shared" si="523"/>
        <v>RAZIMAH ANSAR AHMAD</v>
      </c>
      <c r="Y1286" t="str">
        <f t="shared" si="524"/>
        <v>04-08-2020</v>
      </c>
      <c r="Z1286" t="str">
        <f>"COS10200804 7868"</f>
        <v>COS10200804 7868</v>
      </c>
    </row>
    <row r="1287" spans="1:26" x14ac:dyDescent="0.25">
      <c r="A1287" t="str">
        <f t="shared" si="535"/>
        <v>04-08-2020 01:08:42</v>
      </c>
      <c r="B1287" t="str">
        <f>"0000809669"</f>
        <v>0000809669</v>
      </c>
      <c r="C1287" t="str">
        <f t="shared" si="536"/>
        <v>0000809602</v>
      </c>
      <c r="D1287" t="str">
        <f t="shared" ref="D1287:D1350" si="537">"73185"</f>
        <v>73185</v>
      </c>
      <c r="E1287" t="str">
        <f t="shared" ref="E1287:E1350" si="538">"KFH-OPERATIONS DEPARTMENT"</f>
        <v>KFH-OPERATIONS DEPARTMENT</v>
      </c>
      <c r="F1287" t="str">
        <f t="shared" ref="F1287:F1350" si="539">"IBG"</f>
        <v>IBG</v>
      </c>
      <c r="G1287" t="str">
        <f t="shared" si="527"/>
        <v>Refund COSHARE 10</v>
      </c>
      <c r="H1287" s="2">
        <v>112.1</v>
      </c>
      <c r="I1287" t="str">
        <f>"WAN ROSENINA BINTI WAN ABDUL RAHMAN"</f>
        <v>WAN ROSENINA BINTI WAN ABDUL RAHMAN</v>
      </c>
      <c r="J1287" t="str">
        <f t="shared" si="528"/>
        <v>MAYBANK / MAYBANK ISLAMIC</v>
      </c>
      <c r="K1287" t="str">
        <f>"112204186715"</f>
        <v>112204186715</v>
      </c>
      <c r="L1287" t="str">
        <f t="shared" ref="L1287:M1306" si="540">"04-08-2020"</f>
        <v>04-08-2020</v>
      </c>
      <c r="M1287" t="str">
        <f t="shared" si="540"/>
        <v>04-08-2020</v>
      </c>
      <c r="N1287" t="str">
        <f t="shared" ref="N1287:N1350" si="541">"001105018356"</f>
        <v>001105018356</v>
      </c>
      <c r="O1287" t="str">
        <f t="shared" ref="O1287:O1350" si="542">"MYR"</f>
        <v>MYR</v>
      </c>
      <c r="P1287" t="str">
        <f t="shared" ref="P1287:Q1306" si="543">"NIL"</f>
        <v>NIL</v>
      </c>
      <c r="Q1287" t="str">
        <f t="shared" si="543"/>
        <v>NIL</v>
      </c>
      <c r="R1287" t="str">
        <f t="shared" ref="R1287:R1350" si="544">"Accepted"</f>
        <v>Accepted</v>
      </c>
      <c r="S1287" t="str">
        <f t="shared" ref="S1287:S1350" si="545">"Approved"</f>
        <v>Approved</v>
      </c>
      <c r="T1287" t="str">
        <f t="shared" ref="T1287:T1350" si="546">"10.20.8.188"</f>
        <v>10.20.8.188</v>
      </c>
      <c r="U1287" t="str">
        <f t="shared" ref="U1287:U1350" si="547">"AZRAD UMAR BIN SHAARI"</f>
        <v>AZRAD UMAR BIN SHAARI</v>
      </c>
      <c r="V1287" t="str">
        <f t="shared" ref="V1287:V1350" si="548">"FARHANA BINTI MUSTAPA"</f>
        <v>FARHANA BINTI MUSTAPA</v>
      </c>
      <c r="W1287" t="str">
        <f t="shared" ref="W1287:W1350" si="549">"04-08-2020"</f>
        <v>04-08-2020</v>
      </c>
      <c r="X1287" t="str">
        <f t="shared" ref="X1287:X1350" si="550">"RAZIMAH ANSAR AHMAD"</f>
        <v>RAZIMAH ANSAR AHMAD</v>
      </c>
      <c r="Y1287" t="str">
        <f t="shared" ref="Y1287:Y1350" si="551">"04-08-2020"</f>
        <v>04-08-2020</v>
      </c>
      <c r="Z1287" t="str">
        <f>"COS10200804 7867"</f>
        <v>COS10200804 7867</v>
      </c>
    </row>
    <row r="1288" spans="1:26" x14ac:dyDescent="0.25">
      <c r="A1288" t="str">
        <f t="shared" si="535"/>
        <v>04-08-2020 01:08:42</v>
      </c>
      <c r="B1288" t="str">
        <f>"0000809668"</f>
        <v>0000809668</v>
      </c>
      <c r="C1288" t="str">
        <f t="shared" si="536"/>
        <v>0000809602</v>
      </c>
      <c r="D1288" t="str">
        <f t="shared" si="537"/>
        <v>73185</v>
      </c>
      <c r="E1288" t="str">
        <f t="shared" si="538"/>
        <v>KFH-OPERATIONS DEPARTMENT</v>
      </c>
      <c r="F1288" t="str">
        <f t="shared" si="539"/>
        <v>IBG</v>
      </c>
      <c r="G1288" t="str">
        <f t="shared" si="527"/>
        <v>Refund COSHARE 10</v>
      </c>
      <c r="H1288" s="2">
        <v>1007.4</v>
      </c>
      <c r="I1288" t="str">
        <f>"WAN ROHAIZAD BIN WAN IBRAHIM"</f>
        <v>WAN ROHAIZAD BIN WAN IBRAHIM</v>
      </c>
      <c r="J1288" t="str">
        <f t="shared" si="528"/>
        <v>MAYBANK / MAYBANK ISLAMIC</v>
      </c>
      <c r="K1288" t="str">
        <f>"151101117312"</f>
        <v>151101117312</v>
      </c>
      <c r="L1288" t="str">
        <f t="shared" si="540"/>
        <v>04-08-2020</v>
      </c>
      <c r="M1288" t="str">
        <f t="shared" si="540"/>
        <v>04-08-2020</v>
      </c>
      <c r="N1288" t="str">
        <f t="shared" si="541"/>
        <v>001105018356</v>
      </c>
      <c r="O1288" t="str">
        <f t="shared" si="542"/>
        <v>MYR</v>
      </c>
      <c r="P1288" t="str">
        <f t="shared" si="543"/>
        <v>NIL</v>
      </c>
      <c r="Q1288" t="str">
        <f t="shared" si="543"/>
        <v>NIL</v>
      </c>
      <c r="R1288" t="str">
        <f t="shared" si="544"/>
        <v>Accepted</v>
      </c>
      <c r="S1288" t="str">
        <f t="shared" si="545"/>
        <v>Approved</v>
      </c>
      <c r="T1288" t="str">
        <f t="shared" si="546"/>
        <v>10.20.8.188</v>
      </c>
      <c r="U1288" t="str">
        <f t="shared" si="547"/>
        <v>AZRAD UMAR BIN SHAARI</v>
      </c>
      <c r="V1288" t="str">
        <f t="shared" si="548"/>
        <v>FARHANA BINTI MUSTAPA</v>
      </c>
      <c r="W1288" t="str">
        <f t="shared" si="549"/>
        <v>04-08-2020</v>
      </c>
      <c r="X1288" t="str">
        <f t="shared" si="550"/>
        <v>RAZIMAH ANSAR AHMAD</v>
      </c>
      <c r="Y1288" t="str">
        <f t="shared" si="551"/>
        <v>04-08-2020</v>
      </c>
      <c r="Z1288" t="str">
        <f>"COS10200804 7866"</f>
        <v>COS10200804 7866</v>
      </c>
    </row>
    <row r="1289" spans="1:26" x14ac:dyDescent="0.25">
      <c r="A1289" t="str">
        <f t="shared" si="535"/>
        <v>04-08-2020 01:08:42</v>
      </c>
      <c r="B1289" t="str">
        <f>"0000809667"</f>
        <v>0000809667</v>
      </c>
      <c r="C1289" t="str">
        <f t="shared" si="536"/>
        <v>0000809602</v>
      </c>
      <c r="D1289" t="str">
        <f t="shared" si="537"/>
        <v>73185</v>
      </c>
      <c r="E1289" t="str">
        <f t="shared" si="538"/>
        <v>KFH-OPERATIONS DEPARTMENT</v>
      </c>
      <c r="F1289" t="str">
        <f t="shared" si="539"/>
        <v>IBG</v>
      </c>
      <c r="G1289" t="str">
        <f t="shared" si="527"/>
        <v>Refund COSHARE 10</v>
      </c>
      <c r="H1289" s="2">
        <v>132</v>
      </c>
      <c r="I1289" t="str">
        <f>"WAN ROHAFZA BINTI AHMAD"</f>
        <v>WAN ROHAFZA BINTI AHMAD</v>
      </c>
      <c r="J1289" t="str">
        <f t="shared" si="528"/>
        <v>MAYBANK / MAYBANK ISLAMIC</v>
      </c>
      <c r="K1289" t="str">
        <f>"164025856254"</f>
        <v>164025856254</v>
      </c>
      <c r="L1289" t="str">
        <f t="shared" si="540"/>
        <v>04-08-2020</v>
      </c>
      <c r="M1289" t="str">
        <f t="shared" si="540"/>
        <v>04-08-2020</v>
      </c>
      <c r="N1289" t="str">
        <f t="shared" si="541"/>
        <v>001105018356</v>
      </c>
      <c r="O1289" t="str">
        <f t="shared" si="542"/>
        <v>MYR</v>
      </c>
      <c r="P1289" t="str">
        <f t="shared" si="543"/>
        <v>NIL</v>
      </c>
      <c r="Q1289" t="str">
        <f t="shared" si="543"/>
        <v>NIL</v>
      </c>
      <c r="R1289" t="str">
        <f t="shared" si="544"/>
        <v>Accepted</v>
      </c>
      <c r="S1289" t="str">
        <f t="shared" si="545"/>
        <v>Approved</v>
      </c>
      <c r="T1289" t="str">
        <f t="shared" si="546"/>
        <v>10.20.8.188</v>
      </c>
      <c r="U1289" t="str">
        <f t="shared" si="547"/>
        <v>AZRAD UMAR BIN SHAARI</v>
      </c>
      <c r="V1289" t="str">
        <f t="shared" si="548"/>
        <v>FARHANA BINTI MUSTAPA</v>
      </c>
      <c r="W1289" t="str">
        <f t="shared" si="549"/>
        <v>04-08-2020</v>
      </c>
      <c r="X1289" t="str">
        <f t="shared" si="550"/>
        <v>RAZIMAH ANSAR AHMAD</v>
      </c>
      <c r="Y1289" t="str">
        <f t="shared" si="551"/>
        <v>04-08-2020</v>
      </c>
      <c r="Z1289" t="str">
        <f>"COS10200804 7865"</f>
        <v>COS10200804 7865</v>
      </c>
    </row>
    <row r="1290" spans="1:26" x14ac:dyDescent="0.25">
      <c r="A1290" t="str">
        <f t="shared" si="535"/>
        <v>04-08-2020 01:08:42</v>
      </c>
      <c r="B1290" t="str">
        <f>"0000809666"</f>
        <v>0000809666</v>
      </c>
      <c r="C1290" t="str">
        <f t="shared" si="536"/>
        <v>0000809602</v>
      </c>
      <c r="D1290" t="str">
        <f t="shared" si="537"/>
        <v>73185</v>
      </c>
      <c r="E1290" t="str">
        <f t="shared" si="538"/>
        <v>KFH-OPERATIONS DEPARTMENT</v>
      </c>
      <c r="F1290" t="str">
        <f t="shared" si="539"/>
        <v>IBG</v>
      </c>
      <c r="G1290" t="str">
        <f t="shared" si="527"/>
        <v>Refund COSHARE 10</v>
      </c>
      <c r="H1290" s="2">
        <v>638</v>
      </c>
      <c r="I1290" t="str">
        <f>"WAN RAZIMAH BINTI WAN RAZALI"</f>
        <v>WAN RAZIMAH BINTI WAN RAZALI</v>
      </c>
      <c r="J1290" t="str">
        <f t="shared" si="528"/>
        <v>MAYBANK / MAYBANK ISLAMIC</v>
      </c>
      <c r="K1290" t="str">
        <f>"112438042914"</f>
        <v>112438042914</v>
      </c>
      <c r="L1290" t="str">
        <f t="shared" si="540"/>
        <v>04-08-2020</v>
      </c>
      <c r="M1290" t="str">
        <f t="shared" si="540"/>
        <v>04-08-2020</v>
      </c>
      <c r="N1290" t="str">
        <f t="shared" si="541"/>
        <v>001105018356</v>
      </c>
      <c r="O1290" t="str">
        <f t="shared" si="542"/>
        <v>MYR</v>
      </c>
      <c r="P1290" t="str">
        <f t="shared" si="543"/>
        <v>NIL</v>
      </c>
      <c r="Q1290" t="str">
        <f t="shared" si="543"/>
        <v>NIL</v>
      </c>
      <c r="R1290" t="str">
        <f t="shared" si="544"/>
        <v>Accepted</v>
      </c>
      <c r="S1290" t="str">
        <f t="shared" si="545"/>
        <v>Approved</v>
      </c>
      <c r="T1290" t="str">
        <f t="shared" si="546"/>
        <v>10.20.8.188</v>
      </c>
      <c r="U1290" t="str">
        <f t="shared" si="547"/>
        <v>AZRAD UMAR BIN SHAARI</v>
      </c>
      <c r="V1290" t="str">
        <f t="shared" si="548"/>
        <v>FARHANA BINTI MUSTAPA</v>
      </c>
      <c r="W1290" t="str">
        <f t="shared" si="549"/>
        <v>04-08-2020</v>
      </c>
      <c r="X1290" t="str">
        <f t="shared" si="550"/>
        <v>RAZIMAH ANSAR AHMAD</v>
      </c>
      <c r="Y1290" t="str">
        <f t="shared" si="551"/>
        <v>04-08-2020</v>
      </c>
      <c r="Z1290" t="str">
        <f>"COS10200804 7864"</f>
        <v>COS10200804 7864</v>
      </c>
    </row>
    <row r="1291" spans="1:26" x14ac:dyDescent="0.25">
      <c r="A1291" t="str">
        <f t="shared" si="535"/>
        <v>04-08-2020 01:08:42</v>
      </c>
      <c r="B1291" t="str">
        <f>"0000809665"</f>
        <v>0000809665</v>
      </c>
      <c r="C1291" t="str">
        <f t="shared" si="536"/>
        <v>0000809602</v>
      </c>
      <c r="D1291" t="str">
        <f t="shared" si="537"/>
        <v>73185</v>
      </c>
      <c r="E1291" t="str">
        <f t="shared" si="538"/>
        <v>KFH-OPERATIONS DEPARTMENT</v>
      </c>
      <c r="F1291" t="str">
        <f t="shared" si="539"/>
        <v>IBG</v>
      </c>
      <c r="G1291" t="str">
        <f t="shared" si="527"/>
        <v>Refund COSHARE 10</v>
      </c>
      <c r="H1291" s="2">
        <v>1679</v>
      </c>
      <c r="I1291" t="str">
        <f>"WAN RAHIZUL BIN W SALLEH"</f>
        <v>WAN RAHIZUL BIN W SALLEH</v>
      </c>
      <c r="J1291" t="str">
        <f t="shared" si="528"/>
        <v>MAYBANK / MAYBANK ISLAMIC</v>
      </c>
      <c r="K1291" t="str">
        <f>"153083158626"</f>
        <v>153083158626</v>
      </c>
      <c r="L1291" t="str">
        <f t="shared" si="540"/>
        <v>04-08-2020</v>
      </c>
      <c r="M1291" t="str">
        <f t="shared" si="540"/>
        <v>04-08-2020</v>
      </c>
      <c r="N1291" t="str">
        <f t="shared" si="541"/>
        <v>001105018356</v>
      </c>
      <c r="O1291" t="str">
        <f t="shared" si="542"/>
        <v>MYR</v>
      </c>
      <c r="P1291" t="str">
        <f t="shared" si="543"/>
        <v>NIL</v>
      </c>
      <c r="Q1291" t="str">
        <f t="shared" si="543"/>
        <v>NIL</v>
      </c>
      <c r="R1291" t="str">
        <f t="shared" si="544"/>
        <v>Accepted</v>
      </c>
      <c r="S1291" t="str">
        <f t="shared" si="545"/>
        <v>Approved</v>
      </c>
      <c r="T1291" t="str">
        <f t="shared" si="546"/>
        <v>10.20.8.188</v>
      </c>
      <c r="U1291" t="str">
        <f t="shared" si="547"/>
        <v>AZRAD UMAR BIN SHAARI</v>
      </c>
      <c r="V1291" t="str">
        <f t="shared" si="548"/>
        <v>FARHANA BINTI MUSTAPA</v>
      </c>
      <c r="W1291" t="str">
        <f t="shared" si="549"/>
        <v>04-08-2020</v>
      </c>
      <c r="X1291" t="str">
        <f t="shared" si="550"/>
        <v>RAZIMAH ANSAR AHMAD</v>
      </c>
      <c r="Y1291" t="str">
        <f t="shared" si="551"/>
        <v>04-08-2020</v>
      </c>
      <c r="Z1291" t="str">
        <f>"COS10200804 7863"</f>
        <v>COS10200804 7863</v>
      </c>
    </row>
    <row r="1292" spans="1:26" x14ac:dyDescent="0.25">
      <c r="A1292" t="str">
        <f t="shared" si="535"/>
        <v>04-08-2020 01:08:42</v>
      </c>
      <c r="B1292" t="str">
        <f>"0000809664"</f>
        <v>0000809664</v>
      </c>
      <c r="C1292" t="str">
        <f t="shared" si="536"/>
        <v>0000809602</v>
      </c>
      <c r="D1292" t="str">
        <f t="shared" si="537"/>
        <v>73185</v>
      </c>
      <c r="E1292" t="str">
        <f t="shared" si="538"/>
        <v>KFH-OPERATIONS DEPARTMENT</v>
      </c>
      <c r="F1292" t="str">
        <f t="shared" si="539"/>
        <v>IBG</v>
      </c>
      <c r="G1292" t="str">
        <f t="shared" ref="G1292:G1355" si="552">"Refund COSHARE 10"</f>
        <v>Refund COSHARE 10</v>
      </c>
      <c r="H1292" s="2">
        <v>196.5</v>
      </c>
      <c r="I1292" t="str">
        <f>"WAN NURASIKIN BINTI WAN ABDULLAH"</f>
        <v>WAN NURASIKIN BINTI WAN ABDULLAH</v>
      </c>
      <c r="J1292" t="str">
        <f t="shared" si="528"/>
        <v>MAYBANK / MAYBANK ISLAMIC</v>
      </c>
      <c r="K1292" t="str">
        <f>"164034295184"</f>
        <v>164034295184</v>
      </c>
      <c r="L1292" t="str">
        <f t="shared" si="540"/>
        <v>04-08-2020</v>
      </c>
      <c r="M1292" t="str">
        <f t="shared" si="540"/>
        <v>04-08-2020</v>
      </c>
      <c r="N1292" t="str">
        <f t="shared" si="541"/>
        <v>001105018356</v>
      </c>
      <c r="O1292" t="str">
        <f t="shared" si="542"/>
        <v>MYR</v>
      </c>
      <c r="P1292" t="str">
        <f t="shared" si="543"/>
        <v>NIL</v>
      </c>
      <c r="Q1292" t="str">
        <f t="shared" si="543"/>
        <v>NIL</v>
      </c>
      <c r="R1292" t="str">
        <f t="shared" si="544"/>
        <v>Accepted</v>
      </c>
      <c r="S1292" t="str">
        <f t="shared" si="545"/>
        <v>Approved</v>
      </c>
      <c r="T1292" t="str">
        <f t="shared" si="546"/>
        <v>10.20.8.188</v>
      </c>
      <c r="U1292" t="str">
        <f t="shared" si="547"/>
        <v>AZRAD UMAR BIN SHAARI</v>
      </c>
      <c r="V1292" t="str">
        <f t="shared" si="548"/>
        <v>FARHANA BINTI MUSTAPA</v>
      </c>
      <c r="W1292" t="str">
        <f t="shared" si="549"/>
        <v>04-08-2020</v>
      </c>
      <c r="X1292" t="str">
        <f t="shared" si="550"/>
        <v>RAZIMAH ANSAR AHMAD</v>
      </c>
      <c r="Y1292" t="str">
        <f t="shared" si="551"/>
        <v>04-08-2020</v>
      </c>
      <c r="Z1292" t="str">
        <f>"COS10200804 7862"</f>
        <v>COS10200804 7862</v>
      </c>
    </row>
    <row r="1293" spans="1:26" x14ac:dyDescent="0.25">
      <c r="A1293" t="str">
        <f t="shared" si="535"/>
        <v>04-08-2020 01:08:42</v>
      </c>
      <c r="B1293" t="str">
        <f>"0000809663"</f>
        <v>0000809663</v>
      </c>
      <c r="C1293" t="str">
        <f t="shared" si="536"/>
        <v>0000809602</v>
      </c>
      <c r="D1293" t="str">
        <f t="shared" si="537"/>
        <v>73185</v>
      </c>
      <c r="E1293" t="str">
        <f t="shared" si="538"/>
        <v>KFH-OPERATIONS DEPARTMENT</v>
      </c>
      <c r="F1293" t="str">
        <f t="shared" si="539"/>
        <v>IBG</v>
      </c>
      <c r="G1293" t="str">
        <f t="shared" si="552"/>
        <v>Refund COSHARE 10</v>
      </c>
      <c r="H1293" s="2">
        <v>1225.7</v>
      </c>
      <c r="I1293" t="str">
        <f>"WAN NUR IDAYU BINTI W AB RAHMAN"</f>
        <v>WAN NUR IDAYU BINTI W AB RAHMAN</v>
      </c>
      <c r="J1293" t="str">
        <f t="shared" si="528"/>
        <v>MAYBANK / MAYBANK ISLAMIC</v>
      </c>
      <c r="K1293" t="str">
        <f>"156039352496"</f>
        <v>156039352496</v>
      </c>
      <c r="L1293" t="str">
        <f t="shared" si="540"/>
        <v>04-08-2020</v>
      </c>
      <c r="M1293" t="str">
        <f t="shared" si="540"/>
        <v>04-08-2020</v>
      </c>
      <c r="N1293" t="str">
        <f t="shared" si="541"/>
        <v>001105018356</v>
      </c>
      <c r="O1293" t="str">
        <f t="shared" si="542"/>
        <v>MYR</v>
      </c>
      <c r="P1293" t="str">
        <f t="shared" si="543"/>
        <v>NIL</v>
      </c>
      <c r="Q1293" t="str">
        <f t="shared" si="543"/>
        <v>NIL</v>
      </c>
      <c r="R1293" t="str">
        <f t="shared" si="544"/>
        <v>Accepted</v>
      </c>
      <c r="S1293" t="str">
        <f t="shared" si="545"/>
        <v>Approved</v>
      </c>
      <c r="T1293" t="str">
        <f t="shared" si="546"/>
        <v>10.20.8.188</v>
      </c>
      <c r="U1293" t="str">
        <f t="shared" si="547"/>
        <v>AZRAD UMAR BIN SHAARI</v>
      </c>
      <c r="V1293" t="str">
        <f t="shared" si="548"/>
        <v>FARHANA BINTI MUSTAPA</v>
      </c>
      <c r="W1293" t="str">
        <f t="shared" si="549"/>
        <v>04-08-2020</v>
      </c>
      <c r="X1293" t="str">
        <f t="shared" si="550"/>
        <v>RAZIMAH ANSAR AHMAD</v>
      </c>
      <c r="Y1293" t="str">
        <f t="shared" si="551"/>
        <v>04-08-2020</v>
      </c>
      <c r="Z1293" t="str">
        <f>"COS10200804 7861"</f>
        <v>COS10200804 7861</v>
      </c>
    </row>
    <row r="1294" spans="1:26" x14ac:dyDescent="0.25">
      <c r="A1294" t="str">
        <f t="shared" si="535"/>
        <v>04-08-2020 01:08:42</v>
      </c>
      <c r="B1294" t="str">
        <f>"0000809662"</f>
        <v>0000809662</v>
      </c>
      <c r="C1294" t="str">
        <f t="shared" si="536"/>
        <v>0000809602</v>
      </c>
      <c r="D1294" t="str">
        <f t="shared" si="537"/>
        <v>73185</v>
      </c>
      <c r="E1294" t="str">
        <f t="shared" si="538"/>
        <v>KFH-OPERATIONS DEPARTMENT</v>
      </c>
      <c r="F1294" t="str">
        <f t="shared" si="539"/>
        <v>IBG</v>
      </c>
      <c r="G1294" t="str">
        <f t="shared" si="552"/>
        <v>Refund COSHARE 10</v>
      </c>
      <c r="H1294" s="2">
        <v>1502.7</v>
      </c>
      <c r="I1294" t="str">
        <f>"WAN NORULHUDA BINTI WAN ABDUL WAHAB"</f>
        <v>WAN NORULHUDA BINTI WAN ABDUL WAHAB</v>
      </c>
      <c r="J1294" t="str">
        <f t="shared" si="528"/>
        <v>MAYBANK / MAYBANK ISLAMIC</v>
      </c>
      <c r="K1294" t="str">
        <f>"157308011495"</f>
        <v>157308011495</v>
      </c>
      <c r="L1294" t="str">
        <f t="shared" si="540"/>
        <v>04-08-2020</v>
      </c>
      <c r="M1294" t="str">
        <f t="shared" si="540"/>
        <v>04-08-2020</v>
      </c>
      <c r="N1294" t="str">
        <f t="shared" si="541"/>
        <v>001105018356</v>
      </c>
      <c r="O1294" t="str">
        <f t="shared" si="542"/>
        <v>MYR</v>
      </c>
      <c r="P1294" t="str">
        <f t="shared" si="543"/>
        <v>NIL</v>
      </c>
      <c r="Q1294" t="str">
        <f t="shared" si="543"/>
        <v>NIL</v>
      </c>
      <c r="R1294" t="str">
        <f t="shared" si="544"/>
        <v>Accepted</v>
      </c>
      <c r="S1294" t="str">
        <f t="shared" si="545"/>
        <v>Approved</v>
      </c>
      <c r="T1294" t="str">
        <f t="shared" si="546"/>
        <v>10.20.8.188</v>
      </c>
      <c r="U1294" t="str">
        <f t="shared" si="547"/>
        <v>AZRAD UMAR BIN SHAARI</v>
      </c>
      <c r="V1294" t="str">
        <f t="shared" si="548"/>
        <v>FARHANA BINTI MUSTAPA</v>
      </c>
      <c r="W1294" t="str">
        <f t="shared" si="549"/>
        <v>04-08-2020</v>
      </c>
      <c r="X1294" t="str">
        <f t="shared" si="550"/>
        <v>RAZIMAH ANSAR AHMAD</v>
      </c>
      <c r="Y1294" t="str">
        <f t="shared" si="551"/>
        <v>04-08-2020</v>
      </c>
      <c r="Z1294" t="str">
        <f>"COS10200804 7860"</f>
        <v>COS10200804 7860</v>
      </c>
    </row>
    <row r="1295" spans="1:26" x14ac:dyDescent="0.25">
      <c r="A1295" t="str">
        <f t="shared" si="535"/>
        <v>04-08-2020 01:08:42</v>
      </c>
      <c r="B1295" t="str">
        <f>"0000809661"</f>
        <v>0000809661</v>
      </c>
      <c r="C1295" t="str">
        <f t="shared" si="536"/>
        <v>0000809602</v>
      </c>
      <c r="D1295" t="str">
        <f t="shared" si="537"/>
        <v>73185</v>
      </c>
      <c r="E1295" t="str">
        <f t="shared" si="538"/>
        <v>KFH-OPERATIONS DEPARTMENT</v>
      </c>
      <c r="F1295" t="str">
        <f t="shared" si="539"/>
        <v>IBG</v>
      </c>
      <c r="G1295" t="str">
        <f t="shared" si="552"/>
        <v>Refund COSHARE 10</v>
      </c>
      <c r="H1295" s="2">
        <v>587.65</v>
      </c>
      <c r="I1295" t="str">
        <f>"WAN NORUL HUDA BINTI WAN MOHD SAIDIN"</f>
        <v>WAN NORUL HUDA BINTI WAN MOHD SAIDIN</v>
      </c>
      <c r="J1295" t="str">
        <f t="shared" si="528"/>
        <v>MAYBANK / MAYBANK ISLAMIC</v>
      </c>
      <c r="K1295" t="str">
        <f>"158088142783"</f>
        <v>158088142783</v>
      </c>
      <c r="L1295" t="str">
        <f t="shared" si="540"/>
        <v>04-08-2020</v>
      </c>
      <c r="M1295" t="str">
        <f t="shared" si="540"/>
        <v>04-08-2020</v>
      </c>
      <c r="N1295" t="str">
        <f t="shared" si="541"/>
        <v>001105018356</v>
      </c>
      <c r="O1295" t="str">
        <f t="shared" si="542"/>
        <v>MYR</v>
      </c>
      <c r="P1295" t="str">
        <f t="shared" si="543"/>
        <v>NIL</v>
      </c>
      <c r="Q1295" t="str">
        <f t="shared" si="543"/>
        <v>NIL</v>
      </c>
      <c r="R1295" t="str">
        <f t="shared" si="544"/>
        <v>Accepted</v>
      </c>
      <c r="S1295" t="str">
        <f t="shared" si="545"/>
        <v>Approved</v>
      </c>
      <c r="T1295" t="str">
        <f t="shared" si="546"/>
        <v>10.20.8.188</v>
      </c>
      <c r="U1295" t="str">
        <f t="shared" si="547"/>
        <v>AZRAD UMAR BIN SHAARI</v>
      </c>
      <c r="V1295" t="str">
        <f t="shared" si="548"/>
        <v>FARHANA BINTI MUSTAPA</v>
      </c>
      <c r="W1295" t="str">
        <f t="shared" si="549"/>
        <v>04-08-2020</v>
      </c>
      <c r="X1295" t="str">
        <f t="shared" si="550"/>
        <v>RAZIMAH ANSAR AHMAD</v>
      </c>
      <c r="Y1295" t="str">
        <f t="shared" si="551"/>
        <v>04-08-2020</v>
      </c>
      <c r="Z1295" t="str">
        <f>"COS10200804 7859"</f>
        <v>COS10200804 7859</v>
      </c>
    </row>
    <row r="1296" spans="1:26" x14ac:dyDescent="0.25">
      <c r="A1296" t="str">
        <f t="shared" si="535"/>
        <v>04-08-2020 01:08:42</v>
      </c>
      <c r="B1296" t="str">
        <f>"0000809660"</f>
        <v>0000809660</v>
      </c>
      <c r="C1296" t="str">
        <f t="shared" si="536"/>
        <v>0000809602</v>
      </c>
      <c r="D1296" t="str">
        <f t="shared" si="537"/>
        <v>73185</v>
      </c>
      <c r="E1296" t="str">
        <f t="shared" si="538"/>
        <v>KFH-OPERATIONS DEPARTMENT</v>
      </c>
      <c r="F1296" t="str">
        <f t="shared" si="539"/>
        <v>IBG</v>
      </c>
      <c r="G1296" t="str">
        <f t="shared" si="552"/>
        <v>Refund COSHARE 10</v>
      </c>
      <c r="H1296" s="2">
        <v>1103.3499999999999</v>
      </c>
      <c r="I1296" t="str">
        <f>"WAN NORSALMAH BINTI MAHIL"</f>
        <v>WAN NORSALMAH BINTI MAHIL</v>
      </c>
      <c r="J1296" t="str">
        <f t="shared" si="528"/>
        <v>MAYBANK / MAYBANK ISLAMIC</v>
      </c>
      <c r="K1296" t="str">
        <f>"160166134805"</f>
        <v>160166134805</v>
      </c>
      <c r="L1296" t="str">
        <f t="shared" si="540"/>
        <v>04-08-2020</v>
      </c>
      <c r="M1296" t="str">
        <f t="shared" si="540"/>
        <v>04-08-2020</v>
      </c>
      <c r="N1296" t="str">
        <f t="shared" si="541"/>
        <v>001105018356</v>
      </c>
      <c r="O1296" t="str">
        <f t="shared" si="542"/>
        <v>MYR</v>
      </c>
      <c r="P1296" t="str">
        <f t="shared" si="543"/>
        <v>NIL</v>
      </c>
      <c r="Q1296" t="str">
        <f t="shared" si="543"/>
        <v>NIL</v>
      </c>
      <c r="R1296" t="str">
        <f t="shared" si="544"/>
        <v>Accepted</v>
      </c>
      <c r="S1296" t="str">
        <f t="shared" si="545"/>
        <v>Approved</v>
      </c>
      <c r="T1296" t="str">
        <f t="shared" si="546"/>
        <v>10.20.8.188</v>
      </c>
      <c r="U1296" t="str">
        <f t="shared" si="547"/>
        <v>AZRAD UMAR BIN SHAARI</v>
      </c>
      <c r="V1296" t="str">
        <f t="shared" si="548"/>
        <v>FARHANA BINTI MUSTAPA</v>
      </c>
      <c r="W1296" t="str">
        <f t="shared" si="549"/>
        <v>04-08-2020</v>
      </c>
      <c r="X1296" t="str">
        <f t="shared" si="550"/>
        <v>RAZIMAH ANSAR AHMAD</v>
      </c>
      <c r="Y1296" t="str">
        <f t="shared" si="551"/>
        <v>04-08-2020</v>
      </c>
      <c r="Z1296" t="str">
        <f>"COS10200804 7858"</f>
        <v>COS10200804 7858</v>
      </c>
    </row>
    <row r="1297" spans="1:26" x14ac:dyDescent="0.25">
      <c r="A1297" t="str">
        <f t="shared" si="535"/>
        <v>04-08-2020 01:08:42</v>
      </c>
      <c r="B1297" t="str">
        <f>"0000809659"</f>
        <v>0000809659</v>
      </c>
      <c r="C1297" t="str">
        <f t="shared" si="536"/>
        <v>0000809602</v>
      </c>
      <c r="D1297" t="str">
        <f t="shared" si="537"/>
        <v>73185</v>
      </c>
      <c r="E1297" t="str">
        <f t="shared" si="538"/>
        <v>KFH-OPERATIONS DEPARTMENT</v>
      </c>
      <c r="F1297" t="str">
        <f t="shared" si="539"/>
        <v>IBG</v>
      </c>
      <c r="G1297" t="str">
        <f t="shared" si="552"/>
        <v>Refund COSHARE 10</v>
      </c>
      <c r="H1297" s="2">
        <v>301.7</v>
      </c>
      <c r="I1297" t="str">
        <f>"WAN NORAZMIN BIN WAN SALLEH"</f>
        <v>WAN NORAZMIN BIN WAN SALLEH</v>
      </c>
      <c r="J1297" t="str">
        <f t="shared" ref="J1297:J1360" si="553">"MAYBANK / MAYBANK ISLAMIC"</f>
        <v>MAYBANK / MAYBANK ISLAMIC</v>
      </c>
      <c r="K1297" t="str">
        <f>"153010236280"</f>
        <v>153010236280</v>
      </c>
      <c r="L1297" t="str">
        <f t="shared" si="540"/>
        <v>04-08-2020</v>
      </c>
      <c r="M1297" t="str">
        <f t="shared" si="540"/>
        <v>04-08-2020</v>
      </c>
      <c r="N1297" t="str">
        <f t="shared" si="541"/>
        <v>001105018356</v>
      </c>
      <c r="O1297" t="str">
        <f t="shared" si="542"/>
        <v>MYR</v>
      </c>
      <c r="P1297" t="str">
        <f t="shared" si="543"/>
        <v>NIL</v>
      </c>
      <c r="Q1297" t="str">
        <f t="shared" si="543"/>
        <v>NIL</v>
      </c>
      <c r="R1297" t="str">
        <f t="shared" si="544"/>
        <v>Accepted</v>
      </c>
      <c r="S1297" t="str">
        <f t="shared" si="545"/>
        <v>Approved</v>
      </c>
      <c r="T1297" t="str">
        <f t="shared" si="546"/>
        <v>10.20.8.188</v>
      </c>
      <c r="U1297" t="str">
        <f t="shared" si="547"/>
        <v>AZRAD UMAR BIN SHAARI</v>
      </c>
      <c r="V1297" t="str">
        <f t="shared" si="548"/>
        <v>FARHANA BINTI MUSTAPA</v>
      </c>
      <c r="W1297" t="str">
        <f t="shared" si="549"/>
        <v>04-08-2020</v>
      </c>
      <c r="X1297" t="str">
        <f t="shared" si="550"/>
        <v>RAZIMAH ANSAR AHMAD</v>
      </c>
      <c r="Y1297" t="str">
        <f t="shared" si="551"/>
        <v>04-08-2020</v>
      </c>
      <c r="Z1297" t="str">
        <f>"COS10200804 7857"</f>
        <v>COS10200804 7857</v>
      </c>
    </row>
    <row r="1298" spans="1:26" x14ac:dyDescent="0.25">
      <c r="A1298" t="str">
        <f t="shared" si="535"/>
        <v>04-08-2020 01:08:42</v>
      </c>
      <c r="B1298" t="str">
        <f>"0000809658"</f>
        <v>0000809658</v>
      </c>
      <c r="C1298" t="str">
        <f t="shared" si="536"/>
        <v>0000809602</v>
      </c>
      <c r="D1298" t="str">
        <f t="shared" si="537"/>
        <v>73185</v>
      </c>
      <c r="E1298" t="str">
        <f t="shared" si="538"/>
        <v>KFH-OPERATIONS DEPARTMENT</v>
      </c>
      <c r="F1298" t="str">
        <f t="shared" si="539"/>
        <v>IBG</v>
      </c>
      <c r="G1298" t="str">
        <f t="shared" si="552"/>
        <v>Refund COSHARE 10</v>
      </c>
      <c r="H1298" s="2">
        <v>67.2</v>
      </c>
      <c r="I1298" t="str">
        <f>"WAN NORAZLINA BINTI WAN ABDUL KADIR"</f>
        <v>WAN NORAZLINA BINTI WAN ABDUL KADIR</v>
      </c>
      <c r="J1298" t="str">
        <f t="shared" si="553"/>
        <v>MAYBANK / MAYBANK ISLAMIC</v>
      </c>
      <c r="K1298" t="str">
        <f>"153083000265"</f>
        <v>153083000265</v>
      </c>
      <c r="L1298" t="str">
        <f t="shared" si="540"/>
        <v>04-08-2020</v>
      </c>
      <c r="M1298" t="str">
        <f t="shared" si="540"/>
        <v>04-08-2020</v>
      </c>
      <c r="N1298" t="str">
        <f t="shared" si="541"/>
        <v>001105018356</v>
      </c>
      <c r="O1298" t="str">
        <f t="shared" si="542"/>
        <v>MYR</v>
      </c>
      <c r="P1298" t="str">
        <f t="shared" si="543"/>
        <v>NIL</v>
      </c>
      <c r="Q1298" t="str">
        <f t="shared" si="543"/>
        <v>NIL</v>
      </c>
      <c r="R1298" t="str">
        <f t="shared" si="544"/>
        <v>Accepted</v>
      </c>
      <c r="S1298" t="str">
        <f t="shared" si="545"/>
        <v>Approved</v>
      </c>
      <c r="T1298" t="str">
        <f t="shared" si="546"/>
        <v>10.20.8.188</v>
      </c>
      <c r="U1298" t="str">
        <f t="shared" si="547"/>
        <v>AZRAD UMAR BIN SHAARI</v>
      </c>
      <c r="V1298" t="str">
        <f t="shared" si="548"/>
        <v>FARHANA BINTI MUSTAPA</v>
      </c>
      <c r="W1298" t="str">
        <f t="shared" si="549"/>
        <v>04-08-2020</v>
      </c>
      <c r="X1298" t="str">
        <f t="shared" si="550"/>
        <v>RAZIMAH ANSAR AHMAD</v>
      </c>
      <c r="Y1298" t="str">
        <f t="shared" si="551"/>
        <v>04-08-2020</v>
      </c>
      <c r="Z1298" t="str">
        <f>"COS10200804 7856"</f>
        <v>COS10200804 7856</v>
      </c>
    </row>
    <row r="1299" spans="1:26" x14ac:dyDescent="0.25">
      <c r="A1299" t="str">
        <f t="shared" si="535"/>
        <v>04-08-2020 01:08:42</v>
      </c>
      <c r="B1299" t="str">
        <f>"0000809657"</f>
        <v>0000809657</v>
      </c>
      <c r="C1299" t="str">
        <f t="shared" si="536"/>
        <v>0000809602</v>
      </c>
      <c r="D1299" t="str">
        <f t="shared" si="537"/>
        <v>73185</v>
      </c>
      <c r="E1299" t="str">
        <f t="shared" si="538"/>
        <v>KFH-OPERATIONS DEPARTMENT</v>
      </c>
      <c r="F1299" t="str">
        <f t="shared" si="539"/>
        <v>IBG</v>
      </c>
      <c r="G1299" t="str">
        <f t="shared" si="552"/>
        <v>Refund COSHARE 10</v>
      </c>
      <c r="H1299" s="2">
        <v>889.9</v>
      </c>
      <c r="I1299" t="str">
        <f>"WAN NORASHIKIN BINTI WAN MOHAMED"</f>
        <v>WAN NORASHIKIN BINTI WAN MOHAMED</v>
      </c>
      <c r="J1299" t="str">
        <f t="shared" si="553"/>
        <v>MAYBANK / MAYBANK ISLAMIC</v>
      </c>
      <c r="K1299" t="str">
        <f>"153010199245"</f>
        <v>153010199245</v>
      </c>
      <c r="L1299" t="str">
        <f t="shared" si="540"/>
        <v>04-08-2020</v>
      </c>
      <c r="M1299" t="str">
        <f t="shared" si="540"/>
        <v>04-08-2020</v>
      </c>
      <c r="N1299" t="str">
        <f t="shared" si="541"/>
        <v>001105018356</v>
      </c>
      <c r="O1299" t="str">
        <f t="shared" si="542"/>
        <v>MYR</v>
      </c>
      <c r="P1299" t="str">
        <f t="shared" si="543"/>
        <v>NIL</v>
      </c>
      <c r="Q1299" t="str">
        <f t="shared" si="543"/>
        <v>NIL</v>
      </c>
      <c r="R1299" t="str">
        <f t="shared" si="544"/>
        <v>Accepted</v>
      </c>
      <c r="S1299" t="str">
        <f t="shared" si="545"/>
        <v>Approved</v>
      </c>
      <c r="T1299" t="str">
        <f t="shared" si="546"/>
        <v>10.20.8.188</v>
      </c>
      <c r="U1299" t="str">
        <f t="shared" si="547"/>
        <v>AZRAD UMAR BIN SHAARI</v>
      </c>
      <c r="V1299" t="str">
        <f t="shared" si="548"/>
        <v>FARHANA BINTI MUSTAPA</v>
      </c>
      <c r="W1299" t="str">
        <f t="shared" si="549"/>
        <v>04-08-2020</v>
      </c>
      <c r="X1299" t="str">
        <f t="shared" si="550"/>
        <v>RAZIMAH ANSAR AHMAD</v>
      </c>
      <c r="Y1299" t="str">
        <f t="shared" si="551"/>
        <v>04-08-2020</v>
      </c>
      <c r="Z1299" t="str">
        <f>"COS10200804 7855"</f>
        <v>COS10200804 7855</v>
      </c>
    </row>
    <row r="1300" spans="1:26" x14ac:dyDescent="0.25">
      <c r="A1300" t="str">
        <f t="shared" si="535"/>
        <v>04-08-2020 01:08:42</v>
      </c>
      <c r="B1300" t="str">
        <f>"0000809656"</f>
        <v>0000809656</v>
      </c>
      <c r="C1300" t="str">
        <f t="shared" si="536"/>
        <v>0000809602</v>
      </c>
      <c r="D1300" t="str">
        <f t="shared" si="537"/>
        <v>73185</v>
      </c>
      <c r="E1300" t="str">
        <f t="shared" si="538"/>
        <v>KFH-OPERATIONS DEPARTMENT</v>
      </c>
      <c r="F1300" t="str">
        <f t="shared" si="539"/>
        <v>IBG</v>
      </c>
      <c r="G1300" t="str">
        <f t="shared" si="552"/>
        <v>Refund COSHARE 10</v>
      </c>
      <c r="H1300" s="2">
        <v>335.8</v>
      </c>
      <c r="I1300" t="str">
        <f>"WAN NOR AZWARIAH BINTI WAN AB BAKAR"</f>
        <v>WAN NOR AZWARIAH BINTI WAN AB BAKAR</v>
      </c>
      <c r="J1300" t="str">
        <f t="shared" si="553"/>
        <v>MAYBANK / MAYBANK ISLAMIC</v>
      </c>
      <c r="K1300" t="str">
        <f>"166010035211"</f>
        <v>166010035211</v>
      </c>
      <c r="L1300" t="str">
        <f t="shared" si="540"/>
        <v>04-08-2020</v>
      </c>
      <c r="M1300" t="str">
        <f t="shared" si="540"/>
        <v>04-08-2020</v>
      </c>
      <c r="N1300" t="str">
        <f t="shared" si="541"/>
        <v>001105018356</v>
      </c>
      <c r="O1300" t="str">
        <f t="shared" si="542"/>
        <v>MYR</v>
      </c>
      <c r="P1300" t="str">
        <f t="shared" si="543"/>
        <v>NIL</v>
      </c>
      <c r="Q1300" t="str">
        <f t="shared" si="543"/>
        <v>NIL</v>
      </c>
      <c r="R1300" t="str">
        <f t="shared" si="544"/>
        <v>Accepted</v>
      </c>
      <c r="S1300" t="str">
        <f t="shared" si="545"/>
        <v>Approved</v>
      </c>
      <c r="T1300" t="str">
        <f t="shared" si="546"/>
        <v>10.20.8.188</v>
      </c>
      <c r="U1300" t="str">
        <f t="shared" si="547"/>
        <v>AZRAD UMAR BIN SHAARI</v>
      </c>
      <c r="V1300" t="str">
        <f t="shared" si="548"/>
        <v>FARHANA BINTI MUSTAPA</v>
      </c>
      <c r="W1300" t="str">
        <f t="shared" si="549"/>
        <v>04-08-2020</v>
      </c>
      <c r="X1300" t="str">
        <f t="shared" si="550"/>
        <v>RAZIMAH ANSAR AHMAD</v>
      </c>
      <c r="Y1300" t="str">
        <f t="shared" si="551"/>
        <v>04-08-2020</v>
      </c>
      <c r="Z1300" t="str">
        <f>"COS10200804 7854"</f>
        <v>COS10200804 7854</v>
      </c>
    </row>
    <row r="1301" spans="1:26" x14ac:dyDescent="0.25">
      <c r="A1301" t="str">
        <f t="shared" si="535"/>
        <v>04-08-2020 01:08:42</v>
      </c>
      <c r="B1301" t="str">
        <f>"0000809655"</f>
        <v>0000809655</v>
      </c>
      <c r="C1301" t="str">
        <f t="shared" si="536"/>
        <v>0000809602</v>
      </c>
      <c r="D1301" t="str">
        <f t="shared" si="537"/>
        <v>73185</v>
      </c>
      <c r="E1301" t="str">
        <f t="shared" si="538"/>
        <v>KFH-OPERATIONS DEPARTMENT</v>
      </c>
      <c r="F1301" t="str">
        <f t="shared" si="539"/>
        <v>IBG</v>
      </c>
      <c r="G1301" t="str">
        <f t="shared" si="552"/>
        <v>Refund COSHARE 10</v>
      </c>
      <c r="H1301" s="2">
        <v>129.30000000000001</v>
      </c>
      <c r="I1301" t="str">
        <f>"WAN NOR AZURA BINTI WAN MOHD ZAIN"</f>
        <v>WAN NOR AZURA BINTI WAN MOHD ZAIN</v>
      </c>
      <c r="J1301" t="str">
        <f t="shared" si="553"/>
        <v>MAYBANK / MAYBANK ISLAMIC</v>
      </c>
      <c r="K1301" t="str">
        <f>"153065332138"</f>
        <v>153065332138</v>
      </c>
      <c r="L1301" t="str">
        <f t="shared" si="540"/>
        <v>04-08-2020</v>
      </c>
      <c r="M1301" t="str">
        <f t="shared" si="540"/>
        <v>04-08-2020</v>
      </c>
      <c r="N1301" t="str">
        <f t="shared" si="541"/>
        <v>001105018356</v>
      </c>
      <c r="O1301" t="str">
        <f t="shared" si="542"/>
        <v>MYR</v>
      </c>
      <c r="P1301" t="str">
        <f t="shared" si="543"/>
        <v>NIL</v>
      </c>
      <c r="Q1301" t="str">
        <f t="shared" si="543"/>
        <v>NIL</v>
      </c>
      <c r="R1301" t="str">
        <f t="shared" si="544"/>
        <v>Accepted</v>
      </c>
      <c r="S1301" t="str">
        <f t="shared" si="545"/>
        <v>Approved</v>
      </c>
      <c r="T1301" t="str">
        <f t="shared" si="546"/>
        <v>10.20.8.188</v>
      </c>
      <c r="U1301" t="str">
        <f t="shared" si="547"/>
        <v>AZRAD UMAR BIN SHAARI</v>
      </c>
      <c r="V1301" t="str">
        <f t="shared" si="548"/>
        <v>FARHANA BINTI MUSTAPA</v>
      </c>
      <c r="W1301" t="str">
        <f t="shared" si="549"/>
        <v>04-08-2020</v>
      </c>
      <c r="X1301" t="str">
        <f t="shared" si="550"/>
        <v>RAZIMAH ANSAR AHMAD</v>
      </c>
      <c r="Y1301" t="str">
        <f t="shared" si="551"/>
        <v>04-08-2020</v>
      </c>
      <c r="Z1301" t="str">
        <f>"COS10200804 7853"</f>
        <v>COS10200804 7853</v>
      </c>
    </row>
    <row r="1302" spans="1:26" x14ac:dyDescent="0.25">
      <c r="A1302" t="str">
        <f t="shared" si="535"/>
        <v>04-08-2020 01:08:42</v>
      </c>
      <c r="B1302" t="str">
        <f>"0000809654"</f>
        <v>0000809654</v>
      </c>
      <c r="C1302" t="str">
        <f t="shared" si="536"/>
        <v>0000809602</v>
      </c>
      <c r="D1302" t="str">
        <f t="shared" si="537"/>
        <v>73185</v>
      </c>
      <c r="E1302" t="str">
        <f t="shared" si="538"/>
        <v>KFH-OPERATIONS DEPARTMENT</v>
      </c>
      <c r="F1302" t="str">
        <f t="shared" si="539"/>
        <v>IBG</v>
      </c>
      <c r="G1302" t="str">
        <f t="shared" si="552"/>
        <v>Refund COSHARE 10</v>
      </c>
      <c r="H1302" s="2">
        <v>839.5</v>
      </c>
      <c r="I1302" t="str">
        <f>"WAN NOORAINI BT WAN MOHD FOUZI"</f>
        <v>WAN NOORAINI BT WAN MOHD FOUZI</v>
      </c>
      <c r="J1302" t="str">
        <f t="shared" si="553"/>
        <v>MAYBANK / MAYBANK ISLAMIC</v>
      </c>
      <c r="K1302" t="str">
        <f>"160269078329"</f>
        <v>160269078329</v>
      </c>
      <c r="L1302" t="str">
        <f t="shared" si="540"/>
        <v>04-08-2020</v>
      </c>
      <c r="M1302" t="str">
        <f t="shared" si="540"/>
        <v>04-08-2020</v>
      </c>
      <c r="N1302" t="str">
        <f t="shared" si="541"/>
        <v>001105018356</v>
      </c>
      <c r="O1302" t="str">
        <f t="shared" si="542"/>
        <v>MYR</v>
      </c>
      <c r="P1302" t="str">
        <f t="shared" si="543"/>
        <v>NIL</v>
      </c>
      <c r="Q1302" t="str">
        <f t="shared" si="543"/>
        <v>NIL</v>
      </c>
      <c r="R1302" t="str">
        <f t="shared" si="544"/>
        <v>Accepted</v>
      </c>
      <c r="S1302" t="str">
        <f t="shared" si="545"/>
        <v>Approved</v>
      </c>
      <c r="T1302" t="str">
        <f t="shared" si="546"/>
        <v>10.20.8.188</v>
      </c>
      <c r="U1302" t="str">
        <f t="shared" si="547"/>
        <v>AZRAD UMAR BIN SHAARI</v>
      </c>
      <c r="V1302" t="str">
        <f t="shared" si="548"/>
        <v>FARHANA BINTI MUSTAPA</v>
      </c>
      <c r="W1302" t="str">
        <f t="shared" si="549"/>
        <v>04-08-2020</v>
      </c>
      <c r="X1302" t="str">
        <f t="shared" si="550"/>
        <v>RAZIMAH ANSAR AHMAD</v>
      </c>
      <c r="Y1302" t="str">
        <f t="shared" si="551"/>
        <v>04-08-2020</v>
      </c>
      <c r="Z1302" t="str">
        <f>"COS10200804 7852"</f>
        <v>COS10200804 7852</v>
      </c>
    </row>
    <row r="1303" spans="1:26" x14ac:dyDescent="0.25">
      <c r="A1303" t="str">
        <f t="shared" si="535"/>
        <v>04-08-2020 01:08:42</v>
      </c>
      <c r="B1303" t="str">
        <f>"0000809653"</f>
        <v>0000809653</v>
      </c>
      <c r="C1303" t="str">
        <f t="shared" si="536"/>
        <v>0000809602</v>
      </c>
      <c r="D1303" t="str">
        <f t="shared" si="537"/>
        <v>73185</v>
      </c>
      <c r="E1303" t="str">
        <f t="shared" si="538"/>
        <v>KFH-OPERATIONS DEPARTMENT</v>
      </c>
      <c r="F1303" t="str">
        <f t="shared" si="539"/>
        <v>IBG</v>
      </c>
      <c r="G1303" t="str">
        <f t="shared" si="552"/>
        <v>Refund COSHARE 10</v>
      </c>
      <c r="H1303" s="2">
        <v>361</v>
      </c>
      <c r="I1303" t="str">
        <f>"WAN MUHAMAD FAISAL RIZA BIN WAN HAMAD"</f>
        <v>WAN MUHAMAD FAISAL RIZA BIN WAN HAMAD</v>
      </c>
      <c r="J1303" t="str">
        <f t="shared" si="553"/>
        <v>MAYBANK / MAYBANK ISLAMIC</v>
      </c>
      <c r="K1303" t="str">
        <f>"162302527134"</f>
        <v>162302527134</v>
      </c>
      <c r="L1303" t="str">
        <f t="shared" si="540"/>
        <v>04-08-2020</v>
      </c>
      <c r="M1303" t="str">
        <f t="shared" si="540"/>
        <v>04-08-2020</v>
      </c>
      <c r="N1303" t="str">
        <f t="shared" si="541"/>
        <v>001105018356</v>
      </c>
      <c r="O1303" t="str">
        <f t="shared" si="542"/>
        <v>MYR</v>
      </c>
      <c r="P1303" t="str">
        <f t="shared" si="543"/>
        <v>NIL</v>
      </c>
      <c r="Q1303" t="str">
        <f t="shared" si="543"/>
        <v>NIL</v>
      </c>
      <c r="R1303" t="str">
        <f t="shared" si="544"/>
        <v>Accepted</v>
      </c>
      <c r="S1303" t="str">
        <f t="shared" si="545"/>
        <v>Approved</v>
      </c>
      <c r="T1303" t="str">
        <f t="shared" si="546"/>
        <v>10.20.8.188</v>
      </c>
      <c r="U1303" t="str">
        <f t="shared" si="547"/>
        <v>AZRAD UMAR BIN SHAARI</v>
      </c>
      <c r="V1303" t="str">
        <f t="shared" si="548"/>
        <v>FARHANA BINTI MUSTAPA</v>
      </c>
      <c r="W1303" t="str">
        <f t="shared" si="549"/>
        <v>04-08-2020</v>
      </c>
      <c r="X1303" t="str">
        <f t="shared" si="550"/>
        <v>RAZIMAH ANSAR AHMAD</v>
      </c>
      <c r="Y1303" t="str">
        <f t="shared" si="551"/>
        <v>04-08-2020</v>
      </c>
      <c r="Z1303" t="str">
        <f>"COS10200804 7851"</f>
        <v>COS10200804 7851</v>
      </c>
    </row>
    <row r="1304" spans="1:26" x14ac:dyDescent="0.25">
      <c r="A1304" t="str">
        <f t="shared" si="535"/>
        <v>04-08-2020 01:08:42</v>
      </c>
      <c r="B1304" t="str">
        <f>"0000809652"</f>
        <v>0000809652</v>
      </c>
      <c r="C1304" t="str">
        <f t="shared" si="536"/>
        <v>0000809602</v>
      </c>
      <c r="D1304" t="str">
        <f t="shared" si="537"/>
        <v>73185</v>
      </c>
      <c r="E1304" t="str">
        <f t="shared" si="538"/>
        <v>KFH-OPERATIONS DEPARTMENT</v>
      </c>
      <c r="F1304" t="str">
        <f t="shared" si="539"/>
        <v>IBG</v>
      </c>
      <c r="G1304" t="str">
        <f t="shared" si="552"/>
        <v>Refund COSHARE 10</v>
      </c>
      <c r="H1304" s="2">
        <v>1679</v>
      </c>
      <c r="I1304" t="str">
        <f>"WAN MUHAMAD ASSIQ SIDDIQQI BIN W JAAFAR"</f>
        <v>WAN MUHAMAD ASSIQ SIDDIQQI BIN W JAAFAR</v>
      </c>
      <c r="J1304" t="str">
        <f t="shared" si="553"/>
        <v>MAYBANK / MAYBANK ISLAMIC</v>
      </c>
      <c r="K1304" t="str">
        <f>"152068796366"</f>
        <v>152068796366</v>
      </c>
      <c r="L1304" t="str">
        <f t="shared" si="540"/>
        <v>04-08-2020</v>
      </c>
      <c r="M1304" t="str">
        <f t="shared" si="540"/>
        <v>04-08-2020</v>
      </c>
      <c r="N1304" t="str">
        <f t="shared" si="541"/>
        <v>001105018356</v>
      </c>
      <c r="O1304" t="str">
        <f t="shared" si="542"/>
        <v>MYR</v>
      </c>
      <c r="P1304" t="str">
        <f t="shared" si="543"/>
        <v>NIL</v>
      </c>
      <c r="Q1304" t="str">
        <f t="shared" si="543"/>
        <v>NIL</v>
      </c>
      <c r="R1304" t="str">
        <f t="shared" si="544"/>
        <v>Accepted</v>
      </c>
      <c r="S1304" t="str">
        <f t="shared" si="545"/>
        <v>Approved</v>
      </c>
      <c r="T1304" t="str">
        <f t="shared" si="546"/>
        <v>10.20.8.188</v>
      </c>
      <c r="U1304" t="str">
        <f t="shared" si="547"/>
        <v>AZRAD UMAR BIN SHAARI</v>
      </c>
      <c r="V1304" t="str">
        <f t="shared" si="548"/>
        <v>FARHANA BINTI MUSTAPA</v>
      </c>
      <c r="W1304" t="str">
        <f t="shared" si="549"/>
        <v>04-08-2020</v>
      </c>
      <c r="X1304" t="str">
        <f t="shared" si="550"/>
        <v>RAZIMAH ANSAR AHMAD</v>
      </c>
      <c r="Y1304" t="str">
        <f t="shared" si="551"/>
        <v>04-08-2020</v>
      </c>
      <c r="Z1304" t="str">
        <f>"COS10200804 7850"</f>
        <v>COS10200804 7850</v>
      </c>
    </row>
    <row r="1305" spans="1:26" x14ac:dyDescent="0.25">
      <c r="A1305" t="str">
        <f t="shared" si="535"/>
        <v>04-08-2020 01:08:42</v>
      </c>
      <c r="B1305" t="str">
        <f>"0000809651"</f>
        <v>0000809651</v>
      </c>
      <c r="C1305" t="str">
        <f t="shared" si="536"/>
        <v>0000809602</v>
      </c>
      <c r="D1305" t="str">
        <f t="shared" si="537"/>
        <v>73185</v>
      </c>
      <c r="E1305" t="str">
        <f t="shared" si="538"/>
        <v>KFH-OPERATIONS DEPARTMENT</v>
      </c>
      <c r="F1305" t="str">
        <f t="shared" si="539"/>
        <v>IBG</v>
      </c>
      <c r="G1305" t="str">
        <f t="shared" si="552"/>
        <v>Refund COSHARE 10</v>
      </c>
      <c r="H1305" s="2">
        <v>151.15</v>
      </c>
      <c r="I1305" t="str">
        <f>"WAN MOKHTAR BIN WAN AHMAD"</f>
        <v>WAN MOKHTAR BIN WAN AHMAD</v>
      </c>
      <c r="J1305" t="str">
        <f t="shared" si="553"/>
        <v>MAYBANK / MAYBANK ISLAMIC</v>
      </c>
      <c r="K1305" t="str">
        <f>"114339007239"</f>
        <v>114339007239</v>
      </c>
      <c r="L1305" t="str">
        <f t="shared" si="540"/>
        <v>04-08-2020</v>
      </c>
      <c r="M1305" t="str">
        <f t="shared" si="540"/>
        <v>04-08-2020</v>
      </c>
      <c r="N1305" t="str">
        <f t="shared" si="541"/>
        <v>001105018356</v>
      </c>
      <c r="O1305" t="str">
        <f t="shared" si="542"/>
        <v>MYR</v>
      </c>
      <c r="P1305" t="str">
        <f t="shared" si="543"/>
        <v>NIL</v>
      </c>
      <c r="Q1305" t="str">
        <f t="shared" si="543"/>
        <v>NIL</v>
      </c>
      <c r="R1305" t="str">
        <f t="shared" si="544"/>
        <v>Accepted</v>
      </c>
      <c r="S1305" t="str">
        <f t="shared" si="545"/>
        <v>Approved</v>
      </c>
      <c r="T1305" t="str">
        <f t="shared" si="546"/>
        <v>10.20.8.188</v>
      </c>
      <c r="U1305" t="str">
        <f t="shared" si="547"/>
        <v>AZRAD UMAR BIN SHAARI</v>
      </c>
      <c r="V1305" t="str">
        <f t="shared" si="548"/>
        <v>FARHANA BINTI MUSTAPA</v>
      </c>
      <c r="W1305" t="str">
        <f t="shared" si="549"/>
        <v>04-08-2020</v>
      </c>
      <c r="X1305" t="str">
        <f t="shared" si="550"/>
        <v>RAZIMAH ANSAR AHMAD</v>
      </c>
      <c r="Y1305" t="str">
        <f t="shared" si="551"/>
        <v>04-08-2020</v>
      </c>
      <c r="Z1305" t="str">
        <f>"COS10200804 7849"</f>
        <v>COS10200804 7849</v>
      </c>
    </row>
    <row r="1306" spans="1:26" x14ac:dyDescent="0.25">
      <c r="A1306" t="str">
        <f t="shared" si="535"/>
        <v>04-08-2020 01:08:42</v>
      </c>
      <c r="B1306" t="str">
        <f>"0000809650"</f>
        <v>0000809650</v>
      </c>
      <c r="C1306" t="str">
        <f t="shared" si="536"/>
        <v>0000809602</v>
      </c>
      <c r="D1306" t="str">
        <f t="shared" si="537"/>
        <v>73185</v>
      </c>
      <c r="E1306" t="str">
        <f t="shared" si="538"/>
        <v>KFH-OPERATIONS DEPARTMENT</v>
      </c>
      <c r="F1306" t="str">
        <f t="shared" si="539"/>
        <v>IBG</v>
      </c>
      <c r="G1306" t="str">
        <f t="shared" si="552"/>
        <v>Refund COSHARE 10</v>
      </c>
      <c r="H1306" s="2">
        <v>587.65</v>
      </c>
      <c r="I1306" t="str">
        <f>"WAN MOHD SHAHRIDHAN BIN WAN MOHD ANWAR"</f>
        <v>WAN MOHD SHAHRIDHAN BIN WAN MOHD ANWAR</v>
      </c>
      <c r="J1306" t="str">
        <f t="shared" si="553"/>
        <v>MAYBANK / MAYBANK ISLAMIC</v>
      </c>
      <c r="K1306" t="str">
        <f>"153010261323"</f>
        <v>153010261323</v>
      </c>
      <c r="L1306" t="str">
        <f t="shared" si="540"/>
        <v>04-08-2020</v>
      </c>
      <c r="M1306" t="str">
        <f t="shared" si="540"/>
        <v>04-08-2020</v>
      </c>
      <c r="N1306" t="str">
        <f t="shared" si="541"/>
        <v>001105018356</v>
      </c>
      <c r="O1306" t="str">
        <f t="shared" si="542"/>
        <v>MYR</v>
      </c>
      <c r="P1306" t="str">
        <f t="shared" si="543"/>
        <v>NIL</v>
      </c>
      <c r="Q1306" t="str">
        <f t="shared" si="543"/>
        <v>NIL</v>
      </c>
      <c r="R1306" t="str">
        <f t="shared" si="544"/>
        <v>Accepted</v>
      </c>
      <c r="S1306" t="str">
        <f t="shared" si="545"/>
        <v>Approved</v>
      </c>
      <c r="T1306" t="str">
        <f t="shared" si="546"/>
        <v>10.20.8.188</v>
      </c>
      <c r="U1306" t="str">
        <f t="shared" si="547"/>
        <v>AZRAD UMAR BIN SHAARI</v>
      </c>
      <c r="V1306" t="str">
        <f t="shared" si="548"/>
        <v>FARHANA BINTI MUSTAPA</v>
      </c>
      <c r="W1306" t="str">
        <f t="shared" si="549"/>
        <v>04-08-2020</v>
      </c>
      <c r="X1306" t="str">
        <f t="shared" si="550"/>
        <v>RAZIMAH ANSAR AHMAD</v>
      </c>
      <c r="Y1306" t="str">
        <f t="shared" si="551"/>
        <v>04-08-2020</v>
      </c>
      <c r="Z1306" t="str">
        <f>"COS10200804 7848"</f>
        <v>COS10200804 7848</v>
      </c>
    </row>
    <row r="1307" spans="1:26" x14ac:dyDescent="0.25">
      <c r="A1307" t="str">
        <f t="shared" si="535"/>
        <v>04-08-2020 01:08:42</v>
      </c>
      <c r="B1307" t="str">
        <f>"0000809649"</f>
        <v>0000809649</v>
      </c>
      <c r="C1307" t="str">
        <f t="shared" si="536"/>
        <v>0000809602</v>
      </c>
      <c r="D1307" t="str">
        <f t="shared" si="537"/>
        <v>73185</v>
      </c>
      <c r="E1307" t="str">
        <f t="shared" si="538"/>
        <v>KFH-OPERATIONS DEPARTMENT</v>
      </c>
      <c r="F1307" t="str">
        <f t="shared" si="539"/>
        <v>IBG</v>
      </c>
      <c r="G1307" t="str">
        <f t="shared" si="552"/>
        <v>Refund COSHARE 10</v>
      </c>
      <c r="H1307" s="2">
        <v>889.9</v>
      </c>
      <c r="I1307" t="str">
        <f>"WAN MOHD REZALME BIN WAN MOHD ZAWAI"</f>
        <v>WAN MOHD REZALME BIN WAN MOHD ZAWAI</v>
      </c>
      <c r="J1307" t="str">
        <f t="shared" si="553"/>
        <v>MAYBANK / MAYBANK ISLAMIC</v>
      </c>
      <c r="K1307" t="str">
        <f>"103016025785"</f>
        <v>103016025785</v>
      </c>
      <c r="L1307" t="str">
        <f t="shared" ref="L1307:M1326" si="554">"04-08-2020"</f>
        <v>04-08-2020</v>
      </c>
      <c r="M1307" t="str">
        <f t="shared" si="554"/>
        <v>04-08-2020</v>
      </c>
      <c r="N1307" t="str">
        <f t="shared" si="541"/>
        <v>001105018356</v>
      </c>
      <c r="O1307" t="str">
        <f t="shared" si="542"/>
        <v>MYR</v>
      </c>
      <c r="P1307" t="str">
        <f t="shared" ref="P1307:Q1326" si="555">"NIL"</f>
        <v>NIL</v>
      </c>
      <c r="Q1307" t="str">
        <f t="shared" si="555"/>
        <v>NIL</v>
      </c>
      <c r="R1307" t="str">
        <f t="shared" si="544"/>
        <v>Accepted</v>
      </c>
      <c r="S1307" t="str">
        <f t="shared" si="545"/>
        <v>Approved</v>
      </c>
      <c r="T1307" t="str">
        <f t="shared" si="546"/>
        <v>10.20.8.188</v>
      </c>
      <c r="U1307" t="str">
        <f t="shared" si="547"/>
        <v>AZRAD UMAR BIN SHAARI</v>
      </c>
      <c r="V1307" t="str">
        <f t="shared" si="548"/>
        <v>FARHANA BINTI MUSTAPA</v>
      </c>
      <c r="W1307" t="str">
        <f t="shared" si="549"/>
        <v>04-08-2020</v>
      </c>
      <c r="X1307" t="str">
        <f t="shared" si="550"/>
        <v>RAZIMAH ANSAR AHMAD</v>
      </c>
      <c r="Y1307" t="str">
        <f t="shared" si="551"/>
        <v>04-08-2020</v>
      </c>
      <c r="Z1307" t="str">
        <f>"COS10200804 7847"</f>
        <v>COS10200804 7847</v>
      </c>
    </row>
    <row r="1308" spans="1:26" x14ac:dyDescent="0.25">
      <c r="A1308" t="str">
        <f t="shared" si="535"/>
        <v>04-08-2020 01:08:42</v>
      </c>
      <c r="B1308" t="str">
        <f>"0000809648"</f>
        <v>0000809648</v>
      </c>
      <c r="C1308" t="str">
        <f t="shared" si="536"/>
        <v>0000809602</v>
      </c>
      <c r="D1308" t="str">
        <f t="shared" si="537"/>
        <v>73185</v>
      </c>
      <c r="E1308" t="str">
        <f t="shared" si="538"/>
        <v>KFH-OPERATIONS DEPARTMENT</v>
      </c>
      <c r="F1308" t="str">
        <f t="shared" si="539"/>
        <v>IBG</v>
      </c>
      <c r="G1308" t="str">
        <f t="shared" si="552"/>
        <v>Refund COSHARE 10</v>
      </c>
      <c r="H1308" s="2">
        <v>144</v>
      </c>
      <c r="I1308" t="str">
        <f>"WAN MOHD RADZIE BIN NAZLEY"</f>
        <v>WAN MOHD RADZIE BIN NAZLEY</v>
      </c>
      <c r="J1308" t="str">
        <f t="shared" si="553"/>
        <v>MAYBANK / MAYBANK ISLAMIC</v>
      </c>
      <c r="K1308" t="str">
        <f>"157120177322"</f>
        <v>157120177322</v>
      </c>
      <c r="L1308" t="str">
        <f t="shared" si="554"/>
        <v>04-08-2020</v>
      </c>
      <c r="M1308" t="str">
        <f t="shared" si="554"/>
        <v>04-08-2020</v>
      </c>
      <c r="N1308" t="str">
        <f t="shared" si="541"/>
        <v>001105018356</v>
      </c>
      <c r="O1308" t="str">
        <f t="shared" si="542"/>
        <v>MYR</v>
      </c>
      <c r="P1308" t="str">
        <f t="shared" si="555"/>
        <v>NIL</v>
      </c>
      <c r="Q1308" t="str">
        <f t="shared" si="555"/>
        <v>NIL</v>
      </c>
      <c r="R1308" t="str">
        <f t="shared" si="544"/>
        <v>Accepted</v>
      </c>
      <c r="S1308" t="str">
        <f t="shared" si="545"/>
        <v>Approved</v>
      </c>
      <c r="T1308" t="str">
        <f t="shared" si="546"/>
        <v>10.20.8.188</v>
      </c>
      <c r="U1308" t="str">
        <f t="shared" si="547"/>
        <v>AZRAD UMAR BIN SHAARI</v>
      </c>
      <c r="V1308" t="str">
        <f t="shared" si="548"/>
        <v>FARHANA BINTI MUSTAPA</v>
      </c>
      <c r="W1308" t="str">
        <f t="shared" si="549"/>
        <v>04-08-2020</v>
      </c>
      <c r="X1308" t="str">
        <f t="shared" si="550"/>
        <v>RAZIMAH ANSAR AHMAD</v>
      </c>
      <c r="Y1308" t="str">
        <f t="shared" si="551"/>
        <v>04-08-2020</v>
      </c>
      <c r="Z1308" t="str">
        <f>"COS10200804 7846"</f>
        <v>COS10200804 7846</v>
      </c>
    </row>
    <row r="1309" spans="1:26" x14ac:dyDescent="0.25">
      <c r="A1309" t="str">
        <f t="shared" si="535"/>
        <v>04-08-2020 01:08:42</v>
      </c>
      <c r="B1309" t="str">
        <f>"0000809647"</f>
        <v>0000809647</v>
      </c>
      <c r="C1309" t="str">
        <f t="shared" si="536"/>
        <v>0000809602</v>
      </c>
      <c r="D1309" t="str">
        <f t="shared" si="537"/>
        <v>73185</v>
      </c>
      <c r="E1309" t="str">
        <f t="shared" si="538"/>
        <v>KFH-OPERATIONS DEPARTMENT</v>
      </c>
      <c r="F1309" t="str">
        <f t="shared" si="539"/>
        <v>IBG</v>
      </c>
      <c r="G1309" t="str">
        <f t="shared" si="552"/>
        <v>Refund COSHARE 10</v>
      </c>
      <c r="H1309" s="2">
        <v>109.15</v>
      </c>
      <c r="I1309" t="str">
        <f>"WAN MOHD KHALIS BIN WAN MOHAMED"</f>
        <v>WAN MOHD KHALIS BIN WAN MOHAMED</v>
      </c>
      <c r="J1309" t="str">
        <f t="shared" si="553"/>
        <v>MAYBANK / MAYBANK ISLAMIC</v>
      </c>
      <c r="K1309" t="str">
        <f>"164829022247"</f>
        <v>164829022247</v>
      </c>
      <c r="L1309" t="str">
        <f t="shared" si="554"/>
        <v>04-08-2020</v>
      </c>
      <c r="M1309" t="str">
        <f t="shared" si="554"/>
        <v>04-08-2020</v>
      </c>
      <c r="N1309" t="str">
        <f t="shared" si="541"/>
        <v>001105018356</v>
      </c>
      <c r="O1309" t="str">
        <f t="shared" si="542"/>
        <v>MYR</v>
      </c>
      <c r="P1309" t="str">
        <f t="shared" si="555"/>
        <v>NIL</v>
      </c>
      <c r="Q1309" t="str">
        <f t="shared" si="555"/>
        <v>NIL</v>
      </c>
      <c r="R1309" t="str">
        <f t="shared" si="544"/>
        <v>Accepted</v>
      </c>
      <c r="S1309" t="str">
        <f t="shared" si="545"/>
        <v>Approved</v>
      </c>
      <c r="T1309" t="str">
        <f t="shared" si="546"/>
        <v>10.20.8.188</v>
      </c>
      <c r="U1309" t="str">
        <f t="shared" si="547"/>
        <v>AZRAD UMAR BIN SHAARI</v>
      </c>
      <c r="V1309" t="str">
        <f t="shared" si="548"/>
        <v>FARHANA BINTI MUSTAPA</v>
      </c>
      <c r="W1309" t="str">
        <f t="shared" si="549"/>
        <v>04-08-2020</v>
      </c>
      <c r="X1309" t="str">
        <f t="shared" si="550"/>
        <v>RAZIMAH ANSAR AHMAD</v>
      </c>
      <c r="Y1309" t="str">
        <f t="shared" si="551"/>
        <v>04-08-2020</v>
      </c>
      <c r="Z1309" t="str">
        <f>"COS10200804 7845"</f>
        <v>COS10200804 7845</v>
      </c>
    </row>
    <row r="1310" spans="1:26" x14ac:dyDescent="0.25">
      <c r="A1310" t="str">
        <f t="shared" si="535"/>
        <v>04-08-2020 01:08:42</v>
      </c>
      <c r="B1310" t="str">
        <f>"0000809646"</f>
        <v>0000809646</v>
      </c>
      <c r="C1310" t="str">
        <f t="shared" si="536"/>
        <v>0000809602</v>
      </c>
      <c r="D1310" t="str">
        <f t="shared" si="537"/>
        <v>73185</v>
      </c>
      <c r="E1310" t="str">
        <f t="shared" si="538"/>
        <v>KFH-OPERATIONS DEPARTMENT</v>
      </c>
      <c r="F1310" t="str">
        <f t="shared" si="539"/>
        <v>IBG</v>
      </c>
      <c r="G1310" t="str">
        <f t="shared" si="552"/>
        <v>Refund COSHARE 10</v>
      </c>
      <c r="H1310" s="2">
        <v>1082.95</v>
      </c>
      <c r="I1310" t="str">
        <f>"WAN MOHD IDHAM BIN WAN ADIK"</f>
        <v>WAN MOHD IDHAM BIN WAN ADIK</v>
      </c>
      <c r="J1310" t="str">
        <f t="shared" si="553"/>
        <v>MAYBANK / MAYBANK ISLAMIC</v>
      </c>
      <c r="K1310" t="str">
        <f>"159021021393"</f>
        <v>159021021393</v>
      </c>
      <c r="L1310" t="str">
        <f t="shared" si="554"/>
        <v>04-08-2020</v>
      </c>
      <c r="M1310" t="str">
        <f t="shared" si="554"/>
        <v>04-08-2020</v>
      </c>
      <c r="N1310" t="str">
        <f t="shared" si="541"/>
        <v>001105018356</v>
      </c>
      <c r="O1310" t="str">
        <f t="shared" si="542"/>
        <v>MYR</v>
      </c>
      <c r="P1310" t="str">
        <f t="shared" si="555"/>
        <v>NIL</v>
      </c>
      <c r="Q1310" t="str">
        <f t="shared" si="555"/>
        <v>NIL</v>
      </c>
      <c r="R1310" t="str">
        <f t="shared" si="544"/>
        <v>Accepted</v>
      </c>
      <c r="S1310" t="str">
        <f t="shared" si="545"/>
        <v>Approved</v>
      </c>
      <c r="T1310" t="str">
        <f t="shared" si="546"/>
        <v>10.20.8.188</v>
      </c>
      <c r="U1310" t="str">
        <f t="shared" si="547"/>
        <v>AZRAD UMAR BIN SHAARI</v>
      </c>
      <c r="V1310" t="str">
        <f t="shared" si="548"/>
        <v>FARHANA BINTI MUSTAPA</v>
      </c>
      <c r="W1310" t="str">
        <f t="shared" si="549"/>
        <v>04-08-2020</v>
      </c>
      <c r="X1310" t="str">
        <f t="shared" si="550"/>
        <v>RAZIMAH ANSAR AHMAD</v>
      </c>
      <c r="Y1310" t="str">
        <f t="shared" si="551"/>
        <v>04-08-2020</v>
      </c>
      <c r="Z1310" t="str">
        <f>"COS10200804 7844"</f>
        <v>COS10200804 7844</v>
      </c>
    </row>
    <row r="1311" spans="1:26" x14ac:dyDescent="0.25">
      <c r="A1311" t="str">
        <f t="shared" si="535"/>
        <v>04-08-2020 01:08:42</v>
      </c>
      <c r="B1311" t="str">
        <f>"0000809645"</f>
        <v>0000809645</v>
      </c>
      <c r="C1311" t="str">
        <f t="shared" si="536"/>
        <v>0000809602</v>
      </c>
      <c r="D1311" t="str">
        <f t="shared" si="537"/>
        <v>73185</v>
      </c>
      <c r="E1311" t="str">
        <f t="shared" si="538"/>
        <v>KFH-OPERATIONS DEPARTMENT</v>
      </c>
      <c r="F1311" t="str">
        <f t="shared" si="539"/>
        <v>IBG</v>
      </c>
      <c r="G1311" t="str">
        <f t="shared" si="552"/>
        <v>Refund COSHARE 10</v>
      </c>
      <c r="H1311" s="2">
        <v>168</v>
      </c>
      <c r="I1311" t="str">
        <f>"WAN MOHD HAZIMIN BIN W JUSOH"</f>
        <v>WAN MOHD HAZIMIN BIN W JUSOH</v>
      </c>
      <c r="J1311" t="str">
        <f t="shared" si="553"/>
        <v>MAYBANK / MAYBANK ISLAMIC</v>
      </c>
      <c r="K1311" t="str">
        <f>"157157781714"</f>
        <v>157157781714</v>
      </c>
      <c r="L1311" t="str">
        <f t="shared" si="554"/>
        <v>04-08-2020</v>
      </c>
      <c r="M1311" t="str">
        <f t="shared" si="554"/>
        <v>04-08-2020</v>
      </c>
      <c r="N1311" t="str">
        <f t="shared" si="541"/>
        <v>001105018356</v>
      </c>
      <c r="O1311" t="str">
        <f t="shared" si="542"/>
        <v>MYR</v>
      </c>
      <c r="P1311" t="str">
        <f t="shared" si="555"/>
        <v>NIL</v>
      </c>
      <c r="Q1311" t="str">
        <f t="shared" si="555"/>
        <v>NIL</v>
      </c>
      <c r="R1311" t="str">
        <f t="shared" si="544"/>
        <v>Accepted</v>
      </c>
      <c r="S1311" t="str">
        <f t="shared" si="545"/>
        <v>Approved</v>
      </c>
      <c r="T1311" t="str">
        <f t="shared" si="546"/>
        <v>10.20.8.188</v>
      </c>
      <c r="U1311" t="str">
        <f t="shared" si="547"/>
        <v>AZRAD UMAR BIN SHAARI</v>
      </c>
      <c r="V1311" t="str">
        <f t="shared" si="548"/>
        <v>FARHANA BINTI MUSTAPA</v>
      </c>
      <c r="W1311" t="str">
        <f t="shared" si="549"/>
        <v>04-08-2020</v>
      </c>
      <c r="X1311" t="str">
        <f t="shared" si="550"/>
        <v>RAZIMAH ANSAR AHMAD</v>
      </c>
      <c r="Y1311" t="str">
        <f t="shared" si="551"/>
        <v>04-08-2020</v>
      </c>
      <c r="Z1311" t="str">
        <f>"COS10200804 7843"</f>
        <v>COS10200804 7843</v>
      </c>
    </row>
    <row r="1312" spans="1:26" x14ac:dyDescent="0.25">
      <c r="A1312" t="str">
        <f t="shared" si="535"/>
        <v>04-08-2020 01:08:42</v>
      </c>
      <c r="B1312" t="str">
        <f>"0000809644"</f>
        <v>0000809644</v>
      </c>
      <c r="C1312" t="str">
        <f t="shared" si="536"/>
        <v>0000809602</v>
      </c>
      <c r="D1312" t="str">
        <f t="shared" si="537"/>
        <v>73185</v>
      </c>
      <c r="E1312" t="str">
        <f t="shared" si="538"/>
        <v>KFH-OPERATIONS DEPARTMENT</v>
      </c>
      <c r="F1312" t="str">
        <f t="shared" si="539"/>
        <v>IBG</v>
      </c>
      <c r="G1312" t="str">
        <f t="shared" si="552"/>
        <v>Refund COSHARE 10</v>
      </c>
      <c r="H1312" s="2">
        <v>419.75</v>
      </c>
      <c r="I1312" t="str">
        <f>"WAN MOHD HAZERIL BIN WAN HUSSIN"</f>
        <v>WAN MOHD HAZERIL BIN WAN HUSSIN</v>
      </c>
      <c r="J1312" t="str">
        <f t="shared" si="553"/>
        <v>MAYBANK / MAYBANK ISLAMIC</v>
      </c>
      <c r="K1312" t="str">
        <f>"153010098224"</f>
        <v>153010098224</v>
      </c>
      <c r="L1312" t="str">
        <f t="shared" si="554"/>
        <v>04-08-2020</v>
      </c>
      <c r="M1312" t="str">
        <f t="shared" si="554"/>
        <v>04-08-2020</v>
      </c>
      <c r="N1312" t="str">
        <f t="shared" si="541"/>
        <v>001105018356</v>
      </c>
      <c r="O1312" t="str">
        <f t="shared" si="542"/>
        <v>MYR</v>
      </c>
      <c r="P1312" t="str">
        <f t="shared" si="555"/>
        <v>NIL</v>
      </c>
      <c r="Q1312" t="str">
        <f t="shared" si="555"/>
        <v>NIL</v>
      </c>
      <c r="R1312" t="str">
        <f t="shared" si="544"/>
        <v>Accepted</v>
      </c>
      <c r="S1312" t="str">
        <f t="shared" si="545"/>
        <v>Approved</v>
      </c>
      <c r="T1312" t="str">
        <f t="shared" si="546"/>
        <v>10.20.8.188</v>
      </c>
      <c r="U1312" t="str">
        <f t="shared" si="547"/>
        <v>AZRAD UMAR BIN SHAARI</v>
      </c>
      <c r="V1312" t="str">
        <f t="shared" si="548"/>
        <v>FARHANA BINTI MUSTAPA</v>
      </c>
      <c r="W1312" t="str">
        <f t="shared" si="549"/>
        <v>04-08-2020</v>
      </c>
      <c r="X1312" t="str">
        <f t="shared" si="550"/>
        <v>RAZIMAH ANSAR AHMAD</v>
      </c>
      <c r="Y1312" t="str">
        <f t="shared" si="551"/>
        <v>04-08-2020</v>
      </c>
      <c r="Z1312" t="str">
        <f>"COS10200804 7842"</f>
        <v>COS10200804 7842</v>
      </c>
    </row>
    <row r="1313" spans="1:26" x14ac:dyDescent="0.25">
      <c r="A1313" t="str">
        <f t="shared" si="535"/>
        <v>04-08-2020 01:08:42</v>
      </c>
      <c r="B1313" t="str">
        <f>"0000809643"</f>
        <v>0000809643</v>
      </c>
      <c r="C1313" t="str">
        <f t="shared" si="536"/>
        <v>0000809602</v>
      </c>
      <c r="D1313" t="str">
        <f t="shared" si="537"/>
        <v>73185</v>
      </c>
      <c r="E1313" t="str">
        <f t="shared" si="538"/>
        <v>KFH-OPERATIONS DEPARTMENT</v>
      </c>
      <c r="F1313" t="str">
        <f t="shared" si="539"/>
        <v>IBG</v>
      </c>
      <c r="G1313" t="str">
        <f t="shared" si="552"/>
        <v>Refund COSHARE 10</v>
      </c>
      <c r="H1313" s="2">
        <v>1653.85</v>
      </c>
      <c r="I1313" t="str">
        <f>"WAN MOHD FARID BIN WAN MAT"</f>
        <v>WAN MOHD FARID BIN WAN MAT</v>
      </c>
      <c r="J1313" t="str">
        <f t="shared" si="553"/>
        <v>MAYBANK / MAYBANK ISLAMIC</v>
      </c>
      <c r="K1313" t="str">
        <f>"156048181391"</f>
        <v>156048181391</v>
      </c>
      <c r="L1313" t="str">
        <f t="shared" si="554"/>
        <v>04-08-2020</v>
      </c>
      <c r="M1313" t="str">
        <f t="shared" si="554"/>
        <v>04-08-2020</v>
      </c>
      <c r="N1313" t="str">
        <f t="shared" si="541"/>
        <v>001105018356</v>
      </c>
      <c r="O1313" t="str">
        <f t="shared" si="542"/>
        <v>MYR</v>
      </c>
      <c r="P1313" t="str">
        <f t="shared" si="555"/>
        <v>NIL</v>
      </c>
      <c r="Q1313" t="str">
        <f t="shared" si="555"/>
        <v>NIL</v>
      </c>
      <c r="R1313" t="str">
        <f t="shared" si="544"/>
        <v>Accepted</v>
      </c>
      <c r="S1313" t="str">
        <f t="shared" si="545"/>
        <v>Approved</v>
      </c>
      <c r="T1313" t="str">
        <f t="shared" si="546"/>
        <v>10.20.8.188</v>
      </c>
      <c r="U1313" t="str">
        <f t="shared" si="547"/>
        <v>AZRAD UMAR BIN SHAARI</v>
      </c>
      <c r="V1313" t="str">
        <f t="shared" si="548"/>
        <v>FARHANA BINTI MUSTAPA</v>
      </c>
      <c r="W1313" t="str">
        <f t="shared" si="549"/>
        <v>04-08-2020</v>
      </c>
      <c r="X1313" t="str">
        <f t="shared" si="550"/>
        <v>RAZIMAH ANSAR AHMAD</v>
      </c>
      <c r="Y1313" t="str">
        <f t="shared" si="551"/>
        <v>04-08-2020</v>
      </c>
      <c r="Z1313" t="str">
        <f>"COS10200804 7841"</f>
        <v>COS10200804 7841</v>
      </c>
    </row>
    <row r="1314" spans="1:26" x14ac:dyDescent="0.25">
      <c r="A1314" t="str">
        <f t="shared" ref="A1314:A1345" si="556">"04-08-2020 01:08:42"</f>
        <v>04-08-2020 01:08:42</v>
      </c>
      <c r="B1314" t="str">
        <f>"0000809642"</f>
        <v>0000809642</v>
      </c>
      <c r="C1314" t="str">
        <f t="shared" ref="C1314:C1345" si="557">"0000809602"</f>
        <v>0000809602</v>
      </c>
      <c r="D1314" t="str">
        <f t="shared" si="537"/>
        <v>73185</v>
      </c>
      <c r="E1314" t="str">
        <f t="shared" si="538"/>
        <v>KFH-OPERATIONS DEPARTMENT</v>
      </c>
      <c r="F1314" t="str">
        <f t="shared" si="539"/>
        <v>IBG</v>
      </c>
      <c r="G1314" t="str">
        <f t="shared" si="552"/>
        <v>Refund COSHARE 10</v>
      </c>
      <c r="H1314" s="2">
        <v>67.2</v>
      </c>
      <c r="I1314" t="str">
        <f>"WAN MOHD FAIRUS NAIN BIN WANANG"</f>
        <v>WAN MOHD FAIRUS NAIN BIN WANANG</v>
      </c>
      <c r="J1314" t="str">
        <f t="shared" si="553"/>
        <v>MAYBANK / MAYBANK ISLAMIC</v>
      </c>
      <c r="K1314" t="str">
        <f>"112184080119"</f>
        <v>112184080119</v>
      </c>
      <c r="L1314" t="str">
        <f t="shared" si="554"/>
        <v>04-08-2020</v>
      </c>
      <c r="M1314" t="str">
        <f t="shared" si="554"/>
        <v>04-08-2020</v>
      </c>
      <c r="N1314" t="str">
        <f t="shared" si="541"/>
        <v>001105018356</v>
      </c>
      <c r="O1314" t="str">
        <f t="shared" si="542"/>
        <v>MYR</v>
      </c>
      <c r="P1314" t="str">
        <f t="shared" si="555"/>
        <v>NIL</v>
      </c>
      <c r="Q1314" t="str">
        <f t="shared" si="555"/>
        <v>NIL</v>
      </c>
      <c r="R1314" t="str">
        <f t="shared" si="544"/>
        <v>Accepted</v>
      </c>
      <c r="S1314" t="str">
        <f t="shared" si="545"/>
        <v>Approved</v>
      </c>
      <c r="T1314" t="str">
        <f t="shared" si="546"/>
        <v>10.20.8.188</v>
      </c>
      <c r="U1314" t="str">
        <f t="shared" si="547"/>
        <v>AZRAD UMAR BIN SHAARI</v>
      </c>
      <c r="V1314" t="str">
        <f t="shared" si="548"/>
        <v>FARHANA BINTI MUSTAPA</v>
      </c>
      <c r="W1314" t="str">
        <f t="shared" si="549"/>
        <v>04-08-2020</v>
      </c>
      <c r="X1314" t="str">
        <f t="shared" si="550"/>
        <v>RAZIMAH ANSAR AHMAD</v>
      </c>
      <c r="Y1314" t="str">
        <f t="shared" si="551"/>
        <v>04-08-2020</v>
      </c>
      <c r="Z1314" t="str">
        <f>"COS10200804 7840"</f>
        <v>COS10200804 7840</v>
      </c>
    </row>
    <row r="1315" spans="1:26" x14ac:dyDescent="0.25">
      <c r="A1315" t="str">
        <f t="shared" si="556"/>
        <v>04-08-2020 01:08:42</v>
      </c>
      <c r="B1315" t="str">
        <f>"0000809641"</f>
        <v>0000809641</v>
      </c>
      <c r="C1315" t="str">
        <f t="shared" si="557"/>
        <v>0000809602</v>
      </c>
      <c r="D1315" t="str">
        <f t="shared" si="537"/>
        <v>73185</v>
      </c>
      <c r="E1315" t="str">
        <f t="shared" si="538"/>
        <v>KFH-OPERATIONS DEPARTMENT</v>
      </c>
      <c r="F1315" t="str">
        <f t="shared" si="539"/>
        <v>IBG</v>
      </c>
      <c r="G1315" t="str">
        <f t="shared" si="552"/>
        <v>Refund COSHARE 10</v>
      </c>
      <c r="H1315" s="2">
        <v>839.5</v>
      </c>
      <c r="I1315" t="str">
        <f>"WAN MOHD AZLI BIN WAN ISMAIL"</f>
        <v>WAN MOHD AZLI BIN WAN ISMAIL</v>
      </c>
      <c r="J1315" t="str">
        <f t="shared" si="553"/>
        <v>MAYBANK / MAYBANK ISLAMIC</v>
      </c>
      <c r="K1315" t="str">
        <f>"162200001077"</f>
        <v>162200001077</v>
      </c>
      <c r="L1315" t="str">
        <f t="shared" si="554"/>
        <v>04-08-2020</v>
      </c>
      <c r="M1315" t="str">
        <f t="shared" si="554"/>
        <v>04-08-2020</v>
      </c>
      <c r="N1315" t="str">
        <f t="shared" si="541"/>
        <v>001105018356</v>
      </c>
      <c r="O1315" t="str">
        <f t="shared" si="542"/>
        <v>MYR</v>
      </c>
      <c r="P1315" t="str">
        <f t="shared" si="555"/>
        <v>NIL</v>
      </c>
      <c r="Q1315" t="str">
        <f t="shared" si="555"/>
        <v>NIL</v>
      </c>
      <c r="R1315" t="str">
        <f t="shared" si="544"/>
        <v>Accepted</v>
      </c>
      <c r="S1315" t="str">
        <f t="shared" si="545"/>
        <v>Approved</v>
      </c>
      <c r="T1315" t="str">
        <f t="shared" si="546"/>
        <v>10.20.8.188</v>
      </c>
      <c r="U1315" t="str">
        <f t="shared" si="547"/>
        <v>AZRAD UMAR BIN SHAARI</v>
      </c>
      <c r="V1315" t="str">
        <f t="shared" si="548"/>
        <v>FARHANA BINTI MUSTAPA</v>
      </c>
      <c r="W1315" t="str">
        <f t="shared" si="549"/>
        <v>04-08-2020</v>
      </c>
      <c r="X1315" t="str">
        <f t="shared" si="550"/>
        <v>RAZIMAH ANSAR AHMAD</v>
      </c>
      <c r="Y1315" t="str">
        <f t="shared" si="551"/>
        <v>04-08-2020</v>
      </c>
      <c r="Z1315" t="str">
        <f>"COS10200804 7839"</f>
        <v>COS10200804 7839</v>
      </c>
    </row>
    <row r="1316" spans="1:26" x14ac:dyDescent="0.25">
      <c r="A1316" t="str">
        <f t="shared" si="556"/>
        <v>04-08-2020 01:08:42</v>
      </c>
      <c r="B1316" t="str">
        <f>"0000809640"</f>
        <v>0000809640</v>
      </c>
      <c r="C1316" t="str">
        <f t="shared" si="557"/>
        <v>0000809602</v>
      </c>
      <c r="D1316" t="str">
        <f t="shared" si="537"/>
        <v>73185</v>
      </c>
      <c r="E1316" t="str">
        <f t="shared" si="538"/>
        <v>KFH-OPERATIONS DEPARTMENT</v>
      </c>
      <c r="F1316" t="str">
        <f t="shared" si="539"/>
        <v>IBG</v>
      </c>
      <c r="G1316" t="str">
        <f t="shared" si="552"/>
        <v>Refund COSHARE 10</v>
      </c>
      <c r="H1316" s="2">
        <v>1259.25</v>
      </c>
      <c r="I1316" t="str">
        <f>"WAN MOHAMED SHUKRI BIN WANDI  WAN ALI"</f>
        <v>WAN MOHAMED SHUKRI BIN WANDI  WAN ALI</v>
      </c>
      <c r="J1316" t="str">
        <f t="shared" si="553"/>
        <v>MAYBANK / MAYBANK ISLAMIC</v>
      </c>
      <c r="K1316" t="str">
        <f>"162142982226"</f>
        <v>162142982226</v>
      </c>
      <c r="L1316" t="str">
        <f t="shared" si="554"/>
        <v>04-08-2020</v>
      </c>
      <c r="M1316" t="str">
        <f t="shared" si="554"/>
        <v>04-08-2020</v>
      </c>
      <c r="N1316" t="str">
        <f t="shared" si="541"/>
        <v>001105018356</v>
      </c>
      <c r="O1316" t="str">
        <f t="shared" si="542"/>
        <v>MYR</v>
      </c>
      <c r="P1316" t="str">
        <f t="shared" si="555"/>
        <v>NIL</v>
      </c>
      <c r="Q1316" t="str">
        <f t="shared" si="555"/>
        <v>NIL</v>
      </c>
      <c r="R1316" t="str">
        <f t="shared" si="544"/>
        <v>Accepted</v>
      </c>
      <c r="S1316" t="str">
        <f t="shared" si="545"/>
        <v>Approved</v>
      </c>
      <c r="T1316" t="str">
        <f t="shared" si="546"/>
        <v>10.20.8.188</v>
      </c>
      <c r="U1316" t="str">
        <f t="shared" si="547"/>
        <v>AZRAD UMAR BIN SHAARI</v>
      </c>
      <c r="V1316" t="str">
        <f t="shared" si="548"/>
        <v>FARHANA BINTI MUSTAPA</v>
      </c>
      <c r="W1316" t="str">
        <f t="shared" si="549"/>
        <v>04-08-2020</v>
      </c>
      <c r="X1316" t="str">
        <f t="shared" si="550"/>
        <v>RAZIMAH ANSAR AHMAD</v>
      </c>
      <c r="Y1316" t="str">
        <f t="shared" si="551"/>
        <v>04-08-2020</v>
      </c>
      <c r="Z1316" t="str">
        <f>"COS10200804 7838"</f>
        <v>COS10200804 7838</v>
      </c>
    </row>
    <row r="1317" spans="1:26" x14ac:dyDescent="0.25">
      <c r="A1317" t="str">
        <f t="shared" si="556"/>
        <v>04-08-2020 01:08:42</v>
      </c>
      <c r="B1317" t="str">
        <f>"0000809639"</f>
        <v>0000809639</v>
      </c>
      <c r="C1317" t="str">
        <f t="shared" si="557"/>
        <v>0000809602</v>
      </c>
      <c r="D1317" t="str">
        <f t="shared" si="537"/>
        <v>73185</v>
      </c>
      <c r="E1317" t="str">
        <f t="shared" si="538"/>
        <v>KFH-OPERATIONS DEPARTMENT</v>
      </c>
      <c r="F1317" t="str">
        <f t="shared" si="539"/>
        <v>IBG</v>
      </c>
      <c r="G1317" t="str">
        <f t="shared" si="552"/>
        <v>Refund COSHARE 10</v>
      </c>
      <c r="H1317" s="2">
        <v>319</v>
      </c>
      <c r="I1317" t="str">
        <f>"WAN MAZUEIN BINTI CHE MAT"</f>
        <v>WAN MAZUEIN BINTI CHE MAT</v>
      </c>
      <c r="J1317" t="str">
        <f t="shared" si="553"/>
        <v>MAYBANK / MAYBANK ISLAMIC</v>
      </c>
      <c r="K1317" t="str">
        <f>"113042009736"</f>
        <v>113042009736</v>
      </c>
      <c r="L1317" t="str">
        <f t="shared" si="554"/>
        <v>04-08-2020</v>
      </c>
      <c r="M1317" t="str">
        <f t="shared" si="554"/>
        <v>04-08-2020</v>
      </c>
      <c r="N1317" t="str">
        <f t="shared" si="541"/>
        <v>001105018356</v>
      </c>
      <c r="O1317" t="str">
        <f t="shared" si="542"/>
        <v>MYR</v>
      </c>
      <c r="P1317" t="str">
        <f t="shared" si="555"/>
        <v>NIL</v>
      </c>
      <c r="Q1317" t="str">
        <f t="shared" si="555"/>
        <v>NIL</v>
      </c>
      <c r="R1317" t="str">
        <f t="shared" si="544"/>
        <v>Accepted</v>
      </c>
      <c r="S1317" t="str">
        <f t="shared" si="545"/>
        <v>Approved</v>
      </c>
      <c r="T1317" t="str">
        <f t="shared" si="546"/>
        <v>10.20.8.188</v>
      </c>
      <c r="U1317" t="str">
        <f t="shared" si="547"/>
        <v>AZRAD UMAR BIN SHAARI</v>
      </c>
      <c r="V1317" t="str">
        <f t="shared" si="548"/>
        <v>FARHANA BINTI MUSTAPA</v>
      </c>
      <c r="W1317" t="str">
        <f t="shared" si="549"/>
        <v>04-08-2020</v>
      </c>
      <c r="X1317" t="str">
        <f t="shared" si="550"/>
        <v>RAZIMAH ANSAR AHMAD</v>
      </c>
      <c r="Y1317" t="str">
        <f t="shared" si="551"/>
        <v>04-08-2020</v>
      </c>
      <c r="Z1317" t="str">
        <f>"COS10200804 7837"</f>
        <v>COS10200804 7837</v>
      </c>
    </row>
    <row r="1318" spans="1:26" x14ac:dyDescent="0.25">
      <c r="A1318" t="str">
        <f t="shared" si="556"/>
        <v>04-08-2020 01:08:42</v>
      </c>
      <c r="B1318" t="str">
        <f>"0000809638"</f>
        <v>0000809638</v>
      </c>
      <c r="C1318" t="str">
        <f t="shared" si="557"/>
        <v>0000809602</v>
      </c>
      <c r="D1318" t="str">
        <f t="shared" si="537"/>
        <v>73185</v>
      </c>
      <c r="E1318" t="str">
        <f t="shared" si="538"/>
        <v>KFH-OPERATIONS DEPARTMENT</v>
      </c>
      <c r="F1318" t="str">
        <f t="shared" si="539"/>
        <v>IBG</v>
      </c>
      <c r="G1318" t="str">
        <f t="shared" si="552"/>
        <v>Refund COSHARE 10</v>
      </c>
      <c r="H1318" s="2">
        <v>344.8</v>
      </c>
      <c r="I1318" t="str">
        <f>"WAN MASLINDA BINTI MD ALI"</f>
        <v>WAN MASLINDA BINTI MD ALI</v>
      </c>
      <c r="J1318" t="str">
        <f t="shared" si="553"/>
        <v>MAYBANK / MAYBANK ISLAMIC</v>
      </c>
      <c r="K1318" t="str">
        <f>"114383532033"</f>
        <v>114383532033</v>
      </c>
      <c r="L1318" t="str">
        <f t="shared" si="554"/>
        <v>04-08-2020</v>
      </c>
      <c r="M1318" t="str">
        <f t="shared" si="554"/>
        <v>04-08-2020</v>
      </c>
      <c r="N1318" t="str">
        <f t="shared" si="541"/>
        <v>001105018356</v>
      </c>
      <c r="O1318" t="str">
        <f t="shared" si="542"/>
        <v>MYR</v>
      </c>
      <c r="P1318" t="str">
        <f t="shared" si="555"/>
        <v>NIL</v>
      </c>
      <c r="Q1318" t="str">
        <f t="shared" si="555"/>
        <v>NIL</v>
      </c>
      <c r="R1318" t="str">
        <f t="shared" si="544"/>
        <v>Accepted</v>
      </c>
      <c r="S1318" t="str">
        <f t="shared" si="545"/>
        <v>Approved</v>
      </c>
      <c r="T1318" t="str">
        <f t="shared" si="546"/>
        <v>10.20.8.188</v>
      </c>
      <c r="U1318" t="str">
        <f t="shared" si="547"/>
        <v>AZRAD UMAR BIN SHAARI</v>
      </c>
      <c r="V1318" t="str">
        <f t="shared" si="548"/>
        <v>FARHANA BINTI MUSTAPA</v>
      </c>
      <c r="W1318" t="str">
        <f t="shared" si="549"/>
        <v>04-08-2020</v>
      </c>
      <c r="X1318" t="str">
        <f t="shared" si="550"/>
        <v>RAZIMAH ANSAR AHMAD</v>
      </c>
      <c r="Y1318" t="str">
        <f t="shared" si="551"/>
        <v>04-08-2020</v>
      </c>
      <c r="Z1318" t="str">
        <f>"COS10200804 7836"</f>
        <v>COS10200804 7836</v>
      </c>
    </row>
    <row r="1319" spans="1:26" x14ac:dyDescent="0.25">
      <c r="A1319" t="str">
        <f t="shared" si="556"/>
        <v>04-08-2020 01:08:42</v>
      </c>
      <c r="B1319" t="str">
        <f>"0000809637"</f>
        <v>0000809637</v>
      </c>
      <c r="C1319" t="str">
        <f t="shared" si="557"/>
        <v>0000809602</v>
      </c>
      <c r="D1319" t="str">
        <f t="shared" si="537"/>
        <v>73185</v>
      </c>
      <c r="E1319" t="str">
        <f t="shared" si="538"/>
        <v>KFH-OPERATIONS DEPARTMENT</v>
      </c>
      <c r="F1319" t="str">
        <f t="shared" si="539"/>
        <v>IBG</v>
      </c>
      <c r="G1319" t="str">
        <f t="shared" si="552"/>
        <v>Refund COSHARE 10</v>
      </c>
      <c r="H1319" s="2">
        <v>159.5</v>
      </c>
      <c r="I1319" t="str">
        <f>"WAN HAZLINA BINTI WAN MOHSEN"</f>
        <v>WAN HAZLINA BINTI WAN MOHSEN</v>
      </c>
      <c r="J1319" t="str">
        <f t="shared" si="553"/>
        <v>MAYBANK / MAYBANK ISLAMIC</v>
      </c>
      <c r="K1319" t="str">
        <f>"161051377385"</f>
        <v>161051377385</v>
      </c>
      <c r="L1319" t="str">
        <f t="shared" si="554"/>
        <v>04-08-2020</v>
      </c>
      <c r="M1319" t="str">
        <f t="shared" si="554"/>
        <v>04-08-2020</v>
      </c>
      <c r="N1319" t="str">
        <f t="shared" si="541"/>
        <v>001105018356</v>
      </c>
      <c r="O1319" t="str">
        <f t="shared" si="542"/>
        <v>MYR</v>
      </c>
      <c r="P1319" t="str">
        <f t="shared" si="555"/>
        <v>NIL</v>
      </c>
      <c r="Q1319" t="str">
        <f t="shared" si="555"/>
        <v>NIL</v>
      </c>
      <c r="R1319" t="str">
        <f t="shared" si="544"/>
        <v>Accepted</v>
      </c>
      <c r="S1319" t="str">
        <f t="shared" si="545"/>
        <v>Approved</v>
      </c>
      <c r="T1319" t="str">
        <f t="shared" si="546"/>
        <v>10.20.8.188</v>
      </c>
      <c r="U1319" t="str">
        <f t="shared" si="547"/>
        <v>AZRAD UMAR BIN SHAARI</v>
      </c>
      <c r="V1319" t="str">
        <f t="shared" si="548"/>
        <v>FARHANA BINTI MUSTAPA</v>
      </c>
      <c r="W1319" t="str">
        <f t="shared" si="549"/>
        <v>04-08-2020</v>
      </c>
      <c r="X1319" t="str">
        <f t="shared" si="550"/>
        <v>RAZIMAH ANSAR AHMAD</v>
      </c>
      <c r="Y1319" t="str">
        <f t="shared" si="551"/>
        <v>04-08-2020</v>
      </c>
      <c r="Z1319" t="str">
        <f>"COS10200804 7835"</f>
        <v>COS10200804 7835</v>
      </c>
    </row>
    <row r="1320" spans="1:26" x14ac:dyDescent="0.25">
      <c r="A1320" t="str">
        <f t="shared" si="556"/>
        <v>04-08-2020 01:08:42</v>
      </c>
      <c r="B1320" t="str">
        <f>"0000809636"</f>
        <v>0000809636</v>
      </c>
      <c r="C1320" t="str">
        <f t="shared" si="557"/>
        <v>0000809602</v>
      </c>
      <c r="D1320" t="str">
        <f t="shared" si="537"/>
        <v>73185</v>
      </c>
      <c r="E1320" t="str">
        <f t="shared" si="538"/>
        <v>KFH-OPERATIONS DEPARTMENT</v>
      </c>
      <c r="F1320" t="str">
        <f t="shared" si="539"/>
        <v>IBG</v>
      </c>
      <c r="G1320" t="str">
        <f t="shared" si="552"/>
        <v>Refund COSHARE 10</v>
      </c>
      <c r="H1320" s="2">
        <v>209.9</v>
      </c>
      <c r="I1320" t="str">
        <f>"WAN HAWA DAMIA BINTI WAN RASNI"</f>
        <v>WAN HAWA DAMIA BINTI WAN RASNI</v>
      </c>
      <c r="J1320" t="str">
        <f t="shared" si="553"/>
        <v>MAYBANK / MAYBANK ISLAMIC</v>
      </c>
      <c r="K1320" t="str">
        <f>"158088212993"</f>
        <v>158088212993</v>
      </c>
      <c r="L1320" t="str">
        <f t="shared" si="554"/>
        <v>04-08-2020</v>
      </c>
      <c r="M1320" t="str">
        <f t="shared" si="554"/>
        <v>04-08-2020</v>
      </c>
      <c r="N1320" t="str">
        <f t="shared" si="541"/>
        <v>001105018356</v>
      </c>
      <c r="O1320" t="str">
        <f t="shared" si="542"/>
        <v>MYR</v>
      </c>
      <c r="P1320" t="str">
        <f t="shared" si="555"/>
        <v>NIL</v>
      </c>
      <c r="Q1320" t="str">
        <f t="shared" si="555"/>
        <v>NIL</v>
      </c>
      <c r="R1320" t="str">
        <f t="shared" si="544"/>
        <v>Accepted</v>
      </c>
      <c r="S1320" t="str">
        <f t="shared" si="545"/>
        <v>Approved</v>
      </c>
      <c r="T1320" t="str">
        <f t="shared" si="546"/>
        <v>10.20.8.188</v>
      </c>
      <c r="U1320" t="str">
        <f t="shared" si="547"/>
        <v>AZRAD UMAR BIN SHAARI</v>
      </c>
      <c r="V1320" t="str">
        <f t="shared" si="548"/>
        <v>FARHANA BINTI MUSTAPA</v>
      </c>
      <c r="W1320" t="str">
        <f t="shared" si="549"/>
        <v>04-08-2020</v>
      </c>
      <c r="X1320" t="str">
        <f t="shared" si="550"/>
        <v>RAZIMAH ANSAR AHMAD</v>
      </c>
      <c r="Y1320" t="str">
        <f t="shared" si="551"/>
        <v>04-08-2020</v>
      </c>
      <c r="Z1320" t="str">
        <f>"COS10200804 7834"</f>
        <v>COS10200804 7834</v>
      </c>
    </row>
    <row r="1321" spans="1:26" x14ac:dyDescent="0.25">
      <c r="A1321" t="str">
        <f t="shared" si="556"/>
        <v>04-08-2020 01:08:42</v>
      </c>
      <c r="B1321" t="str">
        <f>"0000809635"</f>
        <v>0000809635</v>
      </c>
      <c r="C1321" t="str">
        <f t="shared" si="557"/>
        <v>0000809602</v>
      </c>
      <c r="D1321" t="str">
        <f t="shared" si="537"/>
        <v>73185</v>
      </c>
      <c r="E1321" t="str">
        <f t="shared" si="538"/>
        <v>KFH-OPERATIONS DEPARTMENT</v>
      </c>
      <c r="F1321" t="str">
        <f t="shared" si="539"/>
        <v>IBG</v>
      </c>
      <c r="G1321" t="str">
        <f t="shared" si="552"/>
        <v>Refund COSHARE 10</v>
      </c>
      <c r="H1321" s="2">
        <v>327</v>
      </c>
      <c r="I1321" t="str">
        <f>"WAN HASYADI BIN OTHMAN"</f>
        <v>WAN HASYADI BIN OTHMAN</v>
      </c>
      <c r="J1321" t="str">
        <f t="shared" si="553"/>
        <v>MAYBANK / MAYBANK ISLAMIC</v>
      </c>
      <c r="K1321" t="str">
        <f>"163064023288"</f>
        <v>163064023288</v>
      </c>
      <c r="L1321" t="str">
        <f t="shared" si="554"/>
        <v>04-08-2020</v>
      </c>
      <c r="M1321" t="str">
        <f t="shared" si="554"/>
        <v>04-08-2020</v>
      </c>
      <c r="N1321" t="str">
        <f t="shared" si="541"/>
        <v>001105018356</v>
      </c>
      <c r="O1321" t="str">
        <f t="shared" si="542"/>
        <v>MYR</v>
      </c>
      <c r="P1321" t="str">
        <f t="shared" si="555"/>
        <v>NIL</v>
      </c>
      <c r="Q1321" t="str">
        <f t="shared" si="555"/>
        <v>NIL</v>
      </c>
      <c r="R1321" t="str">
        <f t="shared" si="544"/>
        <v>Accepted</v>
      </c>
      <c r="S1321" t="str">
        <f t="shared" si="545"/>
        <v>Approved</v>
      </c>
      <c r="T1321" t="str">
        <f t="shared" si="546"/>
        <v>10.20.8.188</v>
      </c>
      <c r="U1321" t="str">
        <f t="shared" si="547"/>
        <v>AZRAD UMAR BIN SHAARI</v>
      </c>
      <c r="V1321" t="str">
        <f t="shared" si="548"/>
        <v>FARHANA BINTI MUSTAPA</v>
      </c>
      <c r="W1321" t="str">
        <f t="shared" si="549"/>
        <v>04-08-2020</v>
      </c>
      <c r="X1321" t="str">
        <f t="shared" si="550"/>
        <v>RAZIMAH ANSAR AHMAD</v>
      </c>
      <c r="Y1321" t="str">
        <f t="shared" si="551"/>
        <v>04-08-2020</v>
      </c>
      <c r="Z1321" t="str">
        <f>"COS10200804 7833"</f>
        <v>COS10200804 7833</v>
      </c>
    </row>
    <row r="1322" spans="1:26" x14ac:dyDescent="0.25">
      <c r="A1322" t="str">
        <f t="shared" si="556"/>
        <v>04-08-2020 01:08:42</v>
      </c>
      <c r="B1322" t="str">
        <f>"0000809634"</f>
        <v>0000809634</v>
      </c>
      <c r="C1322" t="str">
        <f t="shared" si="557"/>
        <v>0000809602</v>
      </c>
      <c r="D1322" t="str">
        <f t="shared" si="537"/>
        <v>73185</v>
      </c>
      <c r="E1322" t="str">
        <f t="shared" si="538"/>
        <v>KFH-OPERATIONS DEPARTMENT</v>
      </c>
      <c r="F1322" t="str">
        <f t="shared" si="539"/>
        <v>IBG</v>
      </c>
      <c r="G1322" t="str">
        <f t="shared" si="552"/>
        <v>Refund COSHARE 10</v>
      </c>
      <c r="H1322" s="2">
        <v>516</v>
      </c>
      <c r="I1322" t="str">
        <f>"WAN HASNI BINTI WAN AZMI"</f>
        <v>WAN HASNI BINTI WAN AZMI</v>
      </c>
      <c r="J1322" t="str">
        <f t="shared" si="553"/>
        <v>MAYBANK / MAYBANK ISLAMIC</v>
      </c>
      <c r="K1322" t="str">
        <f>"163019661303"</f>
        <v>163019661303</v>
      </c>
      <c r="L1322" t="str">
        <f t="shared" si="554"/>
        <v>04-08-2020</v>
      </c>
      <c r="M1322" t="str">
        <f t="shared" si="554"/>
        <v>04-08-2020</v>
      </c>
      <c r="N1322" t="str">
        <f t="shared" si="541"/>
        <v>001105018356</v>
      </c>
      <c r="O1322" t="str">
        <f t="shared" si="542"/>
        <v>MYR</v>
      </c>
      <c r="P1322" t="str">
        <f t="shared" si="555"/>
        <v>NIL</v>
      </c>
      <c r="Q1322" t="str">
        <f t="shared" si="555"/>
        <v>NIL</v>
      </c>
      <c r="R1322" t="str">
        <f t="shared" si="544"/>
        <v>Accepted</v>
      </c>
      <c r="S1322" t="str">
        <f t="shared" si="545"/>
        <v>Approved</v>
      </c>
      <c r="T1322" t="str">
        <f t="shared" si="546"/>
        <v>10.20.8.188</v>
      </c>
      <c r="U1322" t="str">
        <f t="shared" si="547"/>
        <v>AZRAD UMAR BIN SHAARI</v>
      </c>
      <c r="V1322" t="str">
        <f t="shared" si="548"/>
        <v>FARHANA BINTI MUSTAPA</v>
      </c>
      <c r="W1322" t="str">
        <f t="shared" si="549"/>
        <v>04-08-2020</v>
      </c>
      <c r="X1322" t="str">
        <f t="shared" si="550"/>
        <v>RAZIMAH ANSAR AHMAD</v>
      </c>
      <c r="Y1322" t="str">
        <f t="shared" si="551"/>
        <v>04-08-2020</v>
      </c>
      <c r="Z1322" t="str">
        <f>"COS10200804 7832"</f>
        <v>COS10200804 7832</v>
      </c>
    </row>
    <row r="1323" spans="1:26" x14ac:dyDescent="0.25">
      <c r="A1323" t="str">
        <f t="shared" si="556"/>
        <v>04-08-2020 01:08:42</v>
      </c>
      <c r="B1323" t="str">
        <f>"0000809633"</f>
        <v>0000809633</v>
      </c>
      <c r="C1323" t="str">
        <f t="shared" si="557"/>
        <v>0000809602</v>
      </c>
      <c r="D1323" t="str">
        <f t="shared" si="537"/>
        <v>73185</v>
      </c>
      <c r="E1323" t="str">
        <f t="shared" si="538"/>
        <v>KFH-OPERATIONS DEPARTMENT</v>
      </c>
      <c r="F1323" t="str">
        <f t="shared" si="539"/>
        <v>IBG</v>
      </c>
      <c r="G1323" t="str">
        <f t="shared" si="552"/>
        <v>Refund COSHARE 10</v>
      </c>
      <c r="H1323" s="2">
        <v>1225.7</v>
      </c>
      <c r="I1323" t="str">
        <f>"WAN FAZRIZAL BIN ATAN"</f>
        <v>WAN FAZRIZAL BIN ATAN</v>
      </c>
      <c r="J1323" t="str">
        <f t="shared" si="553"/>
        <v>MAYBANK / MAYBANK ISLAMIC</v>
      </c>
      <c r="K1323" t="str">
        <f>"111114242623"</f>
        <v>111114242623</v>
      </c>
      <c r="L1323" t="str">
        <f t="shared" si="554"/>
        <v>04-08-2020</v>
      </c>
      <c r="M1323" t="str">
        <f t="shared" si="554"/>
        <v>04-08-2020</v>
      </c>
      <c r="N1323" t="str">
        <f t="shared" si="541"/>
        <v>001105018356</v>
      </c>
      <c r="O1323" t="str">
        <f t="shared" si="542"/>
        <v>MYR</v>
      </c>
      <c r="P1323" t="str">
        <f t="shared" si="555"/>
        <v>NIL</v>
      </c>
      <c r="Q1323" t="str">
        <f t="shared" si="555"/>
        <v>NIL</v>
      </c>
      <c r="R1323" t="str">
        <f t="shared" si="544"/>
        <v>Accepted</v>
      </c>
      <c r="S1323" t="str">
        <f t="shared" si="545"/>
        <v>Approved</v>
      </c>
      <c r="T1323" t="str">
        <f t="shared" si="546"/>
        <v>10.20.8.188</v>
      </c>
      <c r="U1323" t="str">
        <f t="shared" si="547"/>
        <v>AZRAD UMAR BIN SHAARI</v>
      </c>
      <c r="V1323" t="str">
        <f t="shared" si="548"/>
        <v>FARHANA BINTI MUSTAPA</v>
      </c>
      <c r="W1323" t="str">
        <f t="shared" si="549"/>
        <v>04-08-2020</v>
      </c>
      <c r="X1323" t="str">
        <f t="shared" si="550"/>
        <v>RAZIMAH ANSAR AHMAD</v>
      </c>
      <c r="Y1323" t="str">
        <f t="shared" si="551"/>
        <v>04-08-2020</v>
      </c>
      <c r="Z1323" t="str">
        <f>"COS10200804 7831"</f>
        <v>COS10200804 7831</v>
      </c>
    </row>
    <row r="1324" spans="1:26" x14ac:dyDescent="0.25">
      <c r="A1324" t="str">
        <f t="shared" si="556"/>
        <v>04-08-2020 01:08:42</v>
      </c>
      <c r="B1324" t="str">
        <f>"0000809632"</f>
        <v>0000809632</v>
      </c>
      <c r="C1324" t="str">
        <f t="shared" si="557"/>
        <v>0000809602</v>
      </c>
      <c r="D1324" t="str">
        <f t="shared" si="537"/>
        <v>73185</v>
      </c>
      <c r="E1324" t="str">
        <f t="shared" si="538"/>
        <v>KFH-OPERATIONS DEPARTMENT</v>
      </c>
      <c r="F1324" t="str">
        <f t="shared" si="539"/>
        <v>IBG</v>
      </c>
      <c r="G1324" t="str">
        <f t="shared" si="552"/>
        <v>Refund COSHARE 10</v>
      </c>
      <c r="H1324" s="2">
        <v>766</v>
      </c>
      <c r="I1324" t="str">
        <f>"WAN FAIZAH BINTI WAN YAAKUB"</f>
        <v>WAN FAIZAH BINTI WAN YAAKUB</v>
      </c>
      <c r="J1324" t="str">
        <f t="shared" si="553"/>
        <v>MAYBANK / MAYBANK ISLAMIC</v>
      </c>
      <c r="K1324" t="str">
        <f>"153010538440"</f>
        <v>153010538440</v>
      </c>
      <c r="L1324" t="str">
        <f t="shared" si="554"/>
        <v>04-08-2020</v>
      </c>
      <c r="M1324" t="str">
        <f t="shared" si="554"/>
        <v>04-08-2020</v>
      </c>
      <c r="N1324" t="str">
        <f t="shared" si="541"/>
        <v>001105018356</v>
      </c>
      <c r="O1324" t="str">
        <f t="shared" si="542"/>
        <v>MYR</v>
      </c>
      <c r="P1324" t="str">
        <f t="shared" si="555"/>
        <v>NIL</v>
      </c>
      <c r="Q1324" t="str">
        <f t="shared" si="555"/>
        <v>NIL</v>
      </c>
      <c r="R1324" t="str">
        <f t="shared" si="544"/>
        <v>Accepted</v>
      </c>
      <c r="S1324" t="str">
        <f t="shared" si="545"/>
        <v>Approved</v>
      </c>
      <c r="T1324" t="str">
        <f t="shared" si="546"/>
        <v>10.20.8.188</v>
      </c>
      <c r="U1324" t="str">
        <f t="shared" si="547"/>
        <v>AZRAD UMAR BIN SHAARI</v>
      </c>
      <c r="V1324" t="str">
        <f t="shared" si="548"/>
        <v>FARHANA BINTI MUSTAPA</v>
      </c>
      <c r="W1324" t="str">
        <f t="shared" si="549"/>
        <v>04-08-2020</v>
      </c>
      <c r="X1324" t="str">
        <f t="shared" si="550"/>
        <v>RAZIMAH ANSAR AHMAD</v>
      </c>
      <c r="Y1324" t="str">
        <f t="shared" si="551"/>
        <v>04-08-2020</v>
      </c>
      <c r="Z1324" t="str">
        <f>"COS10200804 7830"</f>
        <v>COS10200804 7830</v>
      </c>
    </row>
    <row r="1325" spans="1:26" x14ac:dyDescent="0.25">
      <c r="A1325" t="str">
        <f t="shared" si="556"/>
        <v>04-08-2020 01:08:42</v>
      </c>
      <c r="B1325" t="str">
        <f>"0000809631"</f>
        <v>0000809631</v>
      </c>
      <c r="C1325" t="str">
        <f t="shared" si="557"/>
        <v>0000809602</v>
      </c>
      <c r="D1325" t="str">
        <f t="shared" si="537"/>
        <v>73185</v>
      </c>
      <c r="E1325" t="str">
        <f t="shared" si="538"/>
        <v>KFH-OPERATIONS DEPARTMENT</v>
      </c>
      <c r="F1325" t="str">
        <f t="shared" si="539"/>
        <v>IBG</v>
      </c>
      <c r="G1325" t="str">
        <f t="shared" si="552"/>
        <v>Refund COSHARE 10</v>
      </c>
      <c r="H1325" s="2">
        <v>83.95</v>
      </c>
      <c r="I1325" t="str">
        <f>"WAN ELLYANI BINTI WAN MUSHADEK"</f>
        <v>WAN ELLYANI BINTI WAN MUSHADEK</v>
      </c>
      <c r="J1325" t="str">
        <f t="shared" si="553"/>
        <v>MAYBANK / MAYBANK ISLAMIC</v>
      </c>
      <c r="K1325" t="str">
        <f>"151463000614"</f>
        <v>151463000614</v>
      </c>
      <c r="L1325" t="str">
        <f t="shared" si="554"/>
        <v>04-08-2020</v>
      </c>
      <c r="M1325" t="str">
        <f t="shared" si="554"/>
        <v>04-08-2020</v>
      </c>
      <c r="N1325" t="str">
        <f t="shared" si="541"/>
        <v>001105018356</v>
      </c>
      <c r="O1325" t="str">
        <f t="shared" si="542"/>
        <v>MYR</v>
      </c>
      <c r="P1325" t="str">
        <f t="shared" si="555"/>
        <v>NIL</v>
      </c>
      <c r="Q1325" t="str">
        <f t="shared" si="555"/>
        <v>NIL</v>
      </c>
      <c r="R1325" t="str">
        <f t="shared" si="544"/>
        <v>Accepted</v>
      </c>
      <c r="S1325" t="str">
        <f t="shared" si="545"/>
        <v>Approved</v>
      </c>
      <c r="T1325" t="str">
        <f t="shared" si="546"/>
        <v>10.20.8.188</v>
      </c>
      <c r="U1325" t="str">
        <f t="shared" si="547"/>
        <v>AZRAD UMAR BIN SHAARI</v>
      </c>
      <c r="V1325" t="str">
        <f t="shared" si="548"/>
        <v>FARHANA BINTI MUSTAPA</v>
      </c>
      <c r="W1325" t="str">
        <f t="shared" si="549"/>
        <v>04-08-2020</v>
      </c>
      <c r="X1325" t="str">
        <f t="shared" si="550"/>
        <v>RAZIMAH ANSAR AHMAD</v>
      </c>
      <c r="Y1325" t="str">
        <f t="shared" si="551"/>
        <v>04-08-2020</v>
      </c>
      <c r="Z1325" t="str">
        <f>"COS10200804 7829"</f>
        <v>COS10200804 7829</v>
      </c>
    </row>
    <row r="1326" spans="1:26" x14ac:dyDescent="0.25">
      <c r="A1326" t="str">
        <f t="shared" si="556"/>
        <v>04-08-2020 01:08:42</v>
      </c>
      <c r="B1326" t="str">
        <f>"0000809630"</f>
        <v>0000809630</v>
      </c>
      <c r="C1326" t="str">
        <f t="shared" si="557"/>
        <v>0000809602</v>
      </c>
      <c r="D1326" t="str">
        <f t="shared" si="537"/>
        <v>73185</v>
      </c>
      <c r="E1326" t="str">
        <f t="shared" si="538"/>
        <v>KFH-OPERATIONS DEPARTMENT</v>
      </c>
      <c r="F1326" t="str">
        <f t="shared" si="539"/>
        <v>IBG</v>
      </c>
      <c r="G1326" t="str">
        <f t="shared" si="552"/>
        <v>Refund COSHARE 10</v>
      </c>
      <c r="H1326" s="2">
        <v>354.8</v>
      </c>
      <c r="I1326" t="str">
        <f>"WAN AZZURI BIN WAN MOHD MOHAYIDIN"</f>
        <v>WAN AZZURI BIN WAN MOHD MOHAYIDIN</v>
      </c>
      <c r="J1326" t="str">
        <f t="shared" si="553"/>
        <v>MAYBANK / MAYBANK ISLAMIC</v>
      </c>
      <c r="K1326" t="str">
        <f>"113042077805"</f>
        <v>113042077805</v>
      </c>
      <c r="L1326" t="str">
        <f t="shared" si="554"/>
        <v>04-08-2020</v>
      </c>
      <c r="M1326" t="str">
        <f t="shared" si="554"/>
        <v>04-08-2020</v>
      </c>
      <c r="N1326" t="str">
        <f t="shared" si="541"/>
        <v>001105018356</v>
      </c>
      <c r="O1326" t="str">
        <f t="shared" si="542"/>
        <v>MYR</v>
      </c>
      <c r="P1326" t="str">
        <f t="shared" si="555"/>
        <v>NIL</v>
      </c>
      <c r="Q1326" t="str">
        <f t="shared" si="555"/>
        <v>NIL</v>
      </c>
      <c r="R1326" t="str">
        <f t="shared" si="544"/>
        <v>Accepted</v>
      </c>
      <c r="S1326" t="str">
        <f t="shared" si="545"/>
        <v>Approved</v>
      </c>
      <c r="T1326" t="str">
        <f t="shared" si="546"/>
        <v>10.20.8.188</v>
      </c>
      <c r="U1326" t="str">
        <f t="shared" si="547"/>
        <v>AZRAD UMAR BIN SHAARI</v>
      </c>
      <c r="V1326" t="str">
        <f t="shared" si="548"/>
        <v>FARHANA BINTI MUSTAPA</v>
      </c>
      <c r="W1326" t="str">
        <f t="shared" si="549"/>
        <v>04-08-2020</v>
      </c>
      <c r="X1326" t="str">
        <f t="shared" si="550"/>
        <v>RAZIMAH ANSAR AHMAD</v>
      </c>
      <c r="Y1326" t="str">
        <f t="shared" si="551"/>
        <v>04-08-2020</v>
      </c>
      <c r="Z1326" t="str">
        <f>"COS10200804 7828"</f>
        <v>COS10200804 7828</v>
      </c>
    </row>
    <row r="1327" spans="1:26" x14ac:dyDescent="0.25">
      <c r="A1327" t="str">
        <f t="shared" si="556"/>
        <v>04-08-2020 01:08:42</v>
      </c>
      <c r="B1327" t="str">
        <f>"0000809629"</f>
        <v>0000809629</v>
      </c>
      <c r="C1327" t="str">
        <f t="shared" si="557"/>
        <v>0000809602</v>
      </c>
      <c r="D1327" t="str">
        <f t="shared" si="537"/>
        <v>73185</v>
      </c>
      <c r="E1327" t="str">
        <f t="shared" si="538"/>
        <v>KFH-OPERATIONS DEPARTMENT</v>
      </c>
      <c r="F1327" t="str">
        <f t="shared" si="539"/>
        <v>IBG</v>
      </c>
      <c r="G1327" t="str">
        <f t="shared" si="552"/>
        <v>Refund COSHARE 10</v>
      </c>
      <c r="H1327" s="2">
        <v>126</v>
      </c>
      <c r="I1327" t="str">
        <f>"WAN AZUAN ZAKRI BIN DOLLAH WAN DAUD"</f>
        <v>WAN AZUAN ZAKRI BIN DOLLAH WAN DAUD</v>
      </c>
      <c r="J1327" t="str">
        <f t="shared" si="553"/>
        <v>MAYBANK / MAYBANK ISLAMIC</v>
      </c>
      <c r="K1327" t="str">
        <f>"153010967937"</f>
        <v>153010967937</v>
      </c>
      <c r="L1327" t="str">
        <f t="shared" ref="L1327:M1346" si="558">"04-08-2020"</f>
        <v>04-08-2020</v>
      </c>
      <c r="M1327" t="str">
        <f t="shared" si="558"/>
        <v>04-08-2020</v>
      </c>
      <c r="N1327" t="str">
        <f t="shared" si="541"/>
        <v>001105018356</v>
      </c>
      <c r="O1327" t="str">
        <f t="shared" si="542"/>
        <v>MYR</v>
      </c>
      <c r="P1327" t="str">
        <f t="shared" ref="P1327:Q1346" si="559">"NIL"</f>
        <v>NIL</v>
      </c>
      <c r="Q1327" t="str">
        <f t="shared" si="559"/>
        <v>NIL</v>
      </c>
      <c r="R1327" t="str">
        <f t="shared" si="544"/>
        <v>Accepted</v>
      </c>
      <c r="S1327" t="str">
        <f t="shared" si="545"/>
        <v>Approved</v>
      </c>
      <c r="T1327" t="str">
        <f t="shared" si="546"/>
        <v>10.20.8.188</v>
      </c>
      <c r="U1327" t="str">
        <f t="shared" si="547"/>
        <v>AZRAD UMAR BIN SHAARI</v>
      </c>
      <c r="V1327" t="str">
        <f t="shared" si="548"/>
        <v>FARHANA BINTI MUSTAPA</v>
      </c>
      <c r="W1327" t="str">
        <f t="shared" si="549"/>
        <v>04-08-2020</v>
      </c>
      <c r="X1327" t="str">
        <f t="shared" si="550"/>
        <v>RAZIMAH ANSAR AHMAD</v>
      </c>
      <c r="Y1327" t="str">
        <f t="shared" si="551"/>
        <v>04-08-2020</v>
      </c>
      <c r="Z1327" t="str">
        <f>"COS10200804 7827"</f>
        <v>COS10200804 7827</v>
      </c>
    </row>
    <row r="1328" spans="1:26" x14ac:dyDescent="0.25">
      <c r="A1328" t="str">
        <f t="shared" si="556"/>
        <v>04-08-2020 01:08:42</v>
      </c>
      <c r="B1328" t="str">
        <f>"0000809628"</f>
        <v>0000809628</v>
      </c>
      <c r="C1328" t="str">
        <f t="shared" si="557"/>
        <v>0000809602</v>
      </c>
      <c r="D1328" t="str">
        <f t="shared" si="537"/>
        <v>73185</v>
      </c>
      <c r="E1328" t="str">
        <f t="shared" si="538"/>
        <v>KFH-OPERATIONS DEPARTMENT</v>
      </c>
      <c r="F1328" t="str">
        <f t="shared" si="539"/>
        <v>IBG</v>
      </c>
      <c r="G1328" t="str">
        <f t="shared" si="552"/>
        <v>Refund COSHARE 10</v>
      </c>
      <c r="H1328" s="2">
        <v>596.04999999999995</v>
      </c>
      <c r="I1328" t="str">
        <f>"WAN AZNAN BIN WAN CHIK"</f>
        <v>WAN AZNAN BIN WAN CHIK</v>
      </c>
      <c r="J1328" t="str">
        <f t="shared" si="553"/>
        <v>MAYBANK / MAYBANK ISLAMIC</v>
      </c>
      <c r="K1328" t="str">
        <f>"152050155541"</f>
        <v>152050155541</v>
      </c>
      <c r="L1328" t="str">
        <f t="shared" si="558"/>
        <v>04-08-2020</v>
      </c>
      <c r="M1328" t="str">
        <f t="shared" si="558"/>
        <v>04-08-2020</v>
      </c>
      <c r="N1328" t="str">
        <f t="shared" si="541"/>
        <v>001105018356</v>
      </c>
      <c r="O1328" t="str">
        <f t="shared" si="542"/>
        <v>MYR</v>
      </c>
      <c r="P1328" t="str">
        <f t="shared" si="559"/>
        <v>NIL</v>
      </c>
      <c r="Q1328" t="str">
        <f t="shared" si="559"/>
        <v>NIL</v>
      </c>
      <c r="R1328" t="str">
        <f t="shared" si="544"/>
        <v>Accepted</v>
      </c>
      <c r="S1328" t="str">
        <f t="shared" si="545"/>
        <v>Approved</v>
      </c>
      <c r="T1328" t="str">
        <f t="shared" si="546"/>
        <v>10.20.8.188</v>
      </c>
      <c r="U1328" t="str">
        <f t="shared" si="547"/>
        <v>AZRAD UMAR BIN SHAARI</v>
      </c>
      <c r="V1328" t="str">
        <f t="shared" si="548"/>
        <v>FARHANA BINTI MUSTAPA</v>
      </c>
      <c r="W1328" t="str">
        <f t="shared" si="549"/>
        <v>04-08-2020</v>
      </c>
      <c r="X1328" t="str">
        <f t="shared" si="550"/>
        <v>RAZIMAH ANSAR AHMAD</v>
      </c>
      <c r="Y1328" t="str">
        <f t="shared" si="551"/>
        <v>04-08-2020</v>
      </c>
      <c r="Z1328" t="str">
        <f>"COS10200804 7826"</f>
        <v>COS10200804 7826</v>
      </c>
    </row>
    <row r="1329" spans="1:26" x14ac:dyDescent="0.25">
      <c r="A1329" t="str">
        <f t="shared" si="556"/>
        <v>04-08-2020 01:08:42</v>
      </c>
      <c r="B1329" t="str">
        <f>"0000809627"</f>
        <v>0000809627</v>
      </c>
      <c r="C1329" t="str">
        <f t="shared" si="557"/>
        <v>0000809602</v>
      </c>
      <c r="D1329" t="str">
        <f t="shared" si="537"/>
        <v>73185</v>
      </c>
      <c r="E1329" t="str">
        <f t="shared" si="538"/>
        <v>KFH-OPERATIONS DEPARTMENT</v>
      </c>
      <c r="F1329" t="str">
        <f t="shared" si="539"/>
        <v>IBG</v>
      </c>
      <c r="G1329" t="str">
        <f t="shared" si="552"/>
        <v>Refund COSHARE 10</v>
      </c>
      <c r="H1329" s="2">
        <v>1344.75</v>
      </c>
      <c r="I1329" t="str">
        <f>"WAN AZMULIA BINTI MOHD AZMI"</f>
        <v>WAN AZMULIA BINTI MOHD AZMI</v>
      </c>
      <c r="J1329" t="str">
        <f t="shared" si="553"/>
        <v>MAYBANK / MAYBANK ISLAMIC</v>
      </c>
      <c r="K1329" t="str">
        <f>"158088212168"</f>
        <v>158088212168</v>
      </c>
      <c r="L1329" t="str">
        <f t="shared" si="558"/>
        <v>04-08-2020</v>
      </c>
      <c r="M1329" t="str">
        <f t="shared" si="558"/>
        <v>04-08-2020</v>
      </c>
      <c r="N1329" t="str">
        <f t="shared" si="541"/>
        <v>001105018356</v>
      </c>
      <c r="O1329" t="str">
        <f t="shared" si="542"/>
        <v>MYR</v>
      </c>
      <c r="P1329" t="str">
        <f t="shared" si="559"/>
        <v>NIL</v>
      </c>
      <c r="Q1329" t="str">
        <f t="shared" si="559"/>
        <v>NIL</v>
      </c>
      <c r="R1329" t="str">
        <f t="shared" si="544"/>
        <v>Accepted</v>
      </c>
      <c r="S1329" t="str">
        <f t="shared" si="545"/>
        <v>Approved</v>
      </c>
      <c r="T1329" t="str">
        <f t="shared" si="546"/>
        <v>10.20.8.188</v>
      </c>
      <c r="U1329" t="str">
        <f t="shared" si="547"/>
        <v>AZRAD UMAR BIN SHAARI</v>
      </c>
      <c r="V1329" t="str">
        <f t="shared" si="548"/>
        <v>FARHANA BINTI MUSTAPA</v>
      </c>
      <c r="W1329" t="str">
        <f t="shared" si="549"/>
        <v>04-08-2020</v>
      </c>
      <c r="X1329" t="str">
        <f t="shared" si="550"/>
        <v>RAZIMAH ANSAR AHMAD</v>
      </c>
      <c r="Y1329" t="str">
        <f t="shared" si="551"/>
        <v>04-08-2020</v>
      </c>
      <c r="Z1329" t="str">
        <f>"COS10200804 7825"</f>
        <v>COS10200804 7825</v>
      </c>
    </row>
    <row r="1330" spans="1:26" x14ac:dyDescent="0.25">
      <c r="A1330" t="str">
        <f t="shared" si="556"/>
        <v>04-08-2020 01:08:42</v>
      </c>
      <c r="B1330" t="str">
        <f>"0000809626"</f>
        <v>0000809626</v>
      </c>
      <c r="C1330" t="str">
        <f t="shared" si="557"/>
        <v>0000809602</v>
      </c>
      <c r="D1330" t="str">
        <f t="shared" si="537"/>
        <v>73185</v>
      </c>
      <c r="E1330" t="str">
        <f t="shared" si="538"/>
        <v>KFH-OPERATIONS DEPARTMENT</v>
      </c>
      <c r="F1330" t="str">
        <f t="shared" si="539"/>
        <v>IBG</v>
      </c>
      <c r="G1330" t="str">
        <f t="shared" si="552"/>
        <v>Refund COSHARE 10</v>
      </c>
      <c r="H1330" s="2">
        <v>1413.7</v>
      </c>
      <c r="I1330" t="str">
        <f>"WAN AZMAN BIN WAN AHMAD"</f>
        <v>WAN AZMAN BIN WAN AHMAD</v>
      </c>
      <c r="J1330" t="str">
        <f t="shared" si="553"/>
        <v>MAYBANK / MAYBANK ISLAMIC</v>
      </c>
      <c r="K1330" t="str">
        <f>"101076027441"</f>
        <v>101076027441</v>
      </c>
      <c r="L1330" t="str">
        <f t="shared" si="558"/>
        <v>04-08-2020</v>
      </c>
      <c r="M1330" t="str">
        <f t="shared" si="558"/>
        <v>04-08-2020</v>
      </c>
      <c r="N1330" t="str">
        <f t="shared" si="541"/>
        <v>001105018356</v>
      </c>
      <c r="O1330" t="str">
        <f t="shared" si="542"/>
        <v>MYR</v>
      </c>
      <c r="P1330" t="str">
        <f t="shared" si="559"/>
        <v>NIL</v>
      </c>
      <c r="Q1330" t="str">
        <f t="shared" si="559"/>
        <v>NIL</v>
      </c>
      <c r="R1330" t="str">
        <f t="shared" si="544"/>
        <v>Accepted</v>
      </c>
      <c r="S1330" t="str">
        <f t="shared" si="545"/>
        <v>Approved</v>
      </c>
      <c r="T1330" t="str">
        <f t="shared" si="546"/>
        <v>10.20.8.188</v>
      </c>
      <c r="U1330" t="str">
        <f t="shared" si="547"/>
        <v>AZRAD UMAR BIN SHAARI</v>
      </c>
      <c r="V1330" t="str">
        <f t="shared" si="548"/>
        <v>FARHANA BINTI MUSTAPA</v>
      </c>
      <c r="W1330" t="str">
        <f t="shared" si="549"/>
        <v>04-08-2020</v>
      </c>
      <c r="X1330" t="str">
        <f t="shared" si="550"/>
        <v>RAZIMAH ANSAR AHMAD</v>
      </c>
      <c r="Y1330" t="str">
        <f t="shared" si="551"/>
        <v>04-08-2020</v>
      </c>
      <c r="Z1330" t="str">
        <f>"COS10200804 7824"</f>
        <v>COS10200804 7824</v>
      </c>
    </row>
    <row r="1331" spans="1:26" x14ac:dyDescent="0.25">
      <c r="A1331" t="str">
        <f t="shared" si="556"/>
        <v>04-08-2020 01:08:42</v>
      </c>
      <c r="B1331" t="str">
        <f>"0000809625"</f>
        <v>0000809625</v>
      </c>
      <c r="C1331" t="str">
        <f t="shared" si="557"/>
        <v>0000809602</v>
      </c>
      <c r="D1331" t="str">
        <f t="shared" si="537"/>
        <v>73185</v>
      </c>
      <c r="E1331" t="str">
        <f t="shared" si="538"/>
        <v>KFH-OPERATIONS DEPARTMENT</v>
      </c>
      <c r="F1331" t="str">
        <f t="shared" si="539"/>
        <v>IBG</v>
      </c>
      <c r="G1331" t="str">
        <f t="shared" si="552"/>
        <v>Refund COSHARE 10</v>
      </c>
      <c r="H1331" s="2">
        <v>88.7</v>
      </c>
      <c r="I1331" t="str">
        <f>"WAN AZIZ BIN W YUSOFF"</f>
        <v>WAN AZIZ BIN W YUSOFF</v>
      </c>
      <c r="J1331" t="str">
        <f t="shared" si="553"/>
        <v>MAYBANK / MAYBANK ISLAMIC</v>
      </c>
      <c r="K1331" t="str">
        <f>"164100238368"</f>
        <v>164100238368</v>
      </c>
      <c r="L1331" t="str">
        <f t="shared" si="558"/>
        <v>04-08-2020</v>
      </c>
      <c r="M1331" t="str">
        <f t="shared" si="558"/>
        <v>04-08-2020</v>
      </c>
      <c r="N1331" t="str">
        <f t="shared" si="541"/>
        <v>001105018356</v>
      </c>
      <c r="O1331" t="str">
        <f t="shared" si="542"/>
        <v>MYR</v>
      </c>
      <c r="P1331" t="str">
        <f t="shared" si="559"/>
        <v>NIL</v>
      </c>
      <c r="Q1331" t="str">
        <f t="shared" si="559"/>
        <v>NIL</v>
      </c>
      <c r="R1331" t="str">
        <f t="shared" si="544"/>
        <v>Accepted</v>
      </c>
      <c r="S1331" t="str">
        <f t="shared" si="545"/>
        <v>Approved</v>
      </c>
      <c r="T1331" t="str">
        <f t="shared" si="546"/>
        <v>10.20.8.188</v>
      </c>
      <c r="U1331" t="str">
        <f t="shared" si="547"/>
        <v>AZRAD UMAR BIN SHAARI</v>
      </c>
      <c r="V1331" t="str">
        <f t="shared" si="548"/>
        <v>FARHANA BINTI MUSTAPA</v>
      </c>
      <c r="W1331" t="str">
        <f t="shared" si="549"/>
        <v>04-08-2020</v>
      </c>
      <c r="X1331" t="str">
        <f t="shared" si="550"/>
        <v>RAZIMAH ANSAR AHMAD</v>
      </c>
      <c r="Y1331" t="str">
        <f t="shared" si="551"/>
        <v>04-08-2020</v>
      </c>
      <c r="Z1331" t="str">
        <f>"COS10200804 7823"</f>
        <v>COS10200804 7823</v>
      </c>
    </row>
    <row r="1332" spans="1:26" x14ac:dyDescent="0.25">
      <c r="A1332" t="str">
        <f t="shared" si="556"/>
        <v>04-08-2020 01:08:42</v>
      </c>
      <c r="B1332" t="str">
        <f>"0000809624"</f>
        <v>0000809624</v>
      </c>
      <c r="C1332" t="str">
        <f t="shared" si="557"/>
        <v>0000809602</v>
      </c>
      <c r="D1332" t="str">
        <f t="shared" si="537"/>
        <v>73185</v>
      </c>
      <c r="E1332" t="str">
        <f t="shared" si="538"/>
        <v>KFH-OPERATIONS DEPARTMENT</v>
      </c>
      <c r="F1332" t="str">
        <f t="shared" si="539"/>
        <v>IBG</v>
      </c>
      <c r="G1332" t="str">
        <f t="shared" si="552"/>
        <v>Refund COSHARE 10</v>
      </c>
      <c r="H1332" s="2">
        <v>744</v>
      </c>
      <c r="I1332" t="str">
        <f>"WAN AZIAN BIN ABD AZIZ"</f>
        <v>WAN AZIAN BIN ABD AZIZ</v>
      </c>
      <c r="J1332" t="str">
        <f t="shared" si="553"/>
        <v>MAYBANK / MAYBANK ISLAMIC</v>
      </c>
      <c r="K1332" t="str">
        <f>"164258420008"</f>
        <v>164258420008</v>
      </c>
      <c r="L1332" t="str">
        <f t="shared" si="558"/>
        <v>04-08-2020</v>
      </c>
      <c r="M1332" t="str">
        <f t="shared" si="558"/>
        <v>04-08-2020</v>
      </c>
      <c r="N1332" t="str">
        <f t="shared" si="541"/>
        <v>001105018356</v>
      </c>
      <c r="O1332" t="str">
        <f t="shared" si="542"/>
        <v>MYR</v>
      </c>
      <c r="P1332" t="str">
        <f t="shared" si="559"/>
        <v>NIL</v>
      </c>
      <c r="Q1332" t="str">
        <f t="shared" si="559"/>
        <v>NIL</v>
      </c>
      <c r="R1332" t="str">
        <f t="shared" si="544"/>
        <v>Accepted</v>
      </c>
      <c r="S1332" t="str">
        <f t="shared" si="545"/>
        <v>Approved</v>
      </c>
      <c r="T1332" t="str">
        <f t="shared" si="546"/>
        <v>10.20.8.188</v>
      </c>
      <c r="U1332" t="str">
        <f t="shared" si="547"/>
        <v>AZRAD UMAR BIN SHAARI</v>
      </c>
      <c r="V1332" t="str">
        <f t="shared" si="548"/>
        <v>FARHANA BINTI MUSTAPA</v>
      </c>
      <c r="W1332" t="str">
        <f t="shared" si="549"/>
        <v>04-08-2020</v>
      </c>
      <c r="X1332" t="str">
        <f t="shared" si="550"/>
        <v>RAZIMAH ANSAR AHMAD</v>
      </c>
      <c r="Y1332" t="str">
        <f t="shared" si="551"/>
        <v>04-08-2020</v>
      </c>
      <c r="Z1332" t="str">
        <f>"COS10200804 7822"</f>
        <v>COS10200804 7822</v>
      </c>
    </row>
    <row r="1333" spans="1:26" x14ac:dyDescent="0.25">
      <c r="A1333" t="str">
        <f t="shared" si="556"/>
        <v>04-08-2020 01:08:42</v>
      </c>
      <c r="B1333" t="str">
        <f>"0000809623"</f>
        <v>0000809623</v>
      </c>
      <c r="C1333" t="str">
        <f t="shared" si="557"/>
        <v>0000809602</v>
      </c>
      <c r="D1333" t="str">
        <f t="shared" si="537"/>
        <v>73185</v>
      </c>
      <c r="E1333" t="str">
        <f t="shared" si="538"/>
        <v>KFH-OPERATIONS DEPARTMENT</v>
      </c>
      <c r="F1333" t="str">
        <f t="shared" si="539"/>
        <v>IBG</v>
      </c>
      <c r="G1333" t="str">
        <f t="shared" si="552"/>
        <v>Refund COSHARE 10</v>
      </c>
      <c r="H1333" s="2">
        <v>1343.2</v>
      </c>
      <c r="I1333" t="str">
        <f>"WAN AMIRUL BIN WAN MAHMUD"</f>
        <v>WAN AMIRUL BIN WAN MAHMUD</v>
      </c>
      <c r="J1333" t="str">
        <f t="shared" si="553"/>
        <v>MAYBANK / MAYBANK ISLAMIC</v>
      </c>
      <c r="K1333" t="str">
        <f>"156178006398"</f>
        <v>156178006398</v>
      </c>
      <c r="L1333" t="str">
        <f t="shared" si="558"/>
        <v>04-08-2020</v>
      </c>
      <c r="M1333" t="str">
        <f t="shared" si="558"/>
        <v>04-08-2020</v>
      </c>
      <c r="N1333" t="str">
        <f t="shared" si="541"/>
        <v>001105018356</v>
      </c>
      <c r="O1333" t="str">
        <f t="shared" si="542"/>
        <v>MYR</v>
      </c>
      <c r="P1333" t="str">
        <f t="shared" si="559"/>
        <v>NIL</v>
      </c>
      <c r="Q1333" t="str">
        <f t="shared" si="559"/>
        <v>NIL</v>
      </c>
      <c r="R1333" t="str">
        <f t="shared" si="544"/>
        <v>Accepted</v>
      </c>
      <c r="S1333" t="str">
        <f t="shared" si="545"/>
        <v>Approved</v>
      </c>
      <c r="T1333" t="str">
        <f t="shared" si="546"/>
        <v>10.20.8.188</v>
      </c>
      <c r="U1333" t="str">
        <f t="shared" si="547"/>
        <v>AZRAD UMAR BIN SHAARI</v>
      </c>
      <c r="V1333" t="str">
        <f t="shared" si="548"/>
        <v>FARHANA BINTI MUSTAPA</v>
      </c>
      <c r="W1333" t="str">
        <f t="shared" si="549"/>
        <v>04-08-2020</v>
      </c>
      <c r="X1333" t="str">
        <f t="shared" si="550"/>
        <v>RAZIMAH ANSAR AHMAD</v>
      </c>
      <c r="Y1333" t="str">
        <f t="shared" si="551"/>
        <v>04-08-2020</v>
      </c>
      <c r="Z1333" t="str">
        <f>"COS10200804 7821"</f>
        <v>COS10200804 7821</v>
      </c>
    </row>
    <row r="1334" spans="1:26" x14ac:dyDescent="0.25">
      <c r="A1334" t="str">
        <f t="shared" si="556"/>
        <v>04-08-2020 01:08:42</v>
      </c>
      <c r="B1334" t="str">
        <f>"0000809622"</f>
        <v>0000809622</v>
      </c>
      <c r="C1334" t="str">
        <f t="shared" si="557"/>
        <v>0000809602</v>
      </c>
      <c r="D1334" t="str">
        <f t="shared" si="537"/>
        <v>73185</v>
      </c>
      <c r="E1334" t="str">
        <f t="shared" si="538"/>
        <v>KFH-OPERATIONS DEPARTMENT</v>
      </c>
      <c r="F1334" t="str">
        <f t="shared" si="539"/>
        <v>IBG</v>
      </c>
      <c r="G1334" t="str">
        <f t="shared" si="552"/>
        <v>Refund COSHARE 10</v>
      </c>
      <c r="H1334" s="2">
        <v>142.75</v>
      </c>
      <c r="I1334" t="str">
        <f>"WAN AEMY AMALINA  BINTI WAN AZHAR"</f>
        <v>WAN AEMY AMALINA  BINTI WAN AZHAR</v>
      </c>
      <c r="J1334" t="str">
        <f t="shared" si="553"/>
        <v>MAYBANK / MAYBANK ISLAMIC</v>
      </c>
      <c r="K1334" t="str">
        <f>"164034251412"</f>
        <v>164034251412</v>
      </c>
      <c r="L1334" t="str">
        <f t="shared" si="558"/>
        <v>04-08-2020</v>
      </c>
      <c r="M1334" t="str">
        <f t="shared" si="558"/>
        <v>04-08-2020</v>
      </c>
      <c r="N1334" t="str">
        <f t="shared" si="541"/>
        <v>001105018356</v>
      </c>
      <c r="O1334" t="str">
        <f t="shared" si="542"/>
        <v>MYR</v>
      </c>
      <c r="P1334" t="str">
        <f t="shared" si="559"/>
        <v>NIL</v>
      </c>
      <c r="Q1334" t="str">
        <f t="shared" si="559"/>
        <v>NIL</v>
      </c>
      <c r="R1334" t="str">
        <f t="shared" si="544"/>
        <v>Accepted</v>
      </c>
      <c r="S1334" t="str">
        <f t="shared" si="545"/>
        <v>Approved</v>
      </c>
      <c r="T1334" t="str">
        <f t="shared" si="546"/>
        <v>10.20.8.188</v>
      </c>
      <c r="U1334" t="str">
        <f t="shared" si="547"/>
        <v>AZRAD UMAR BIN SHAARI</v>
      </c>
      <c r="V1334" t="str">
        <f t="shared" si="548"/>
        <v>FARHANA BINTI MUSTAPA</v>
      </c>
      <c r="W1334" t="str">
        <f t="shared" si="549"/>
        <v>04-08-2020</v>
      </c>
      <c r="X1334" t="str">
        <f t="shared" si="550"/>
        <v>RAZIMAH ANSAR AHMAD</v>
      </c>
      <c r="Y1334" t="str">
        <f t="shared" si="551"/>
        <v>04-08-2020</v>
      </c>
      <c r="Z1334" t="str">
        <f>"COS10200804 7820"</f>
        <v>COS10200804 7820</v>
      </c>
    </row>
    <row r="1335" spans="1:26" x14ac:dyDescent="0.25">
      <c r="A1335" t="str">
        <f t="shared" si="556"/>
        <v>04-08-2020 01:08:42</v>
      </c>
      <c r="B1335" t="str">
        <f>"0000809621"</f>
        <v>0000809621</v>
      </c>
      <c r="C1335" t="str">
        <f t="shared" si="557"/>
        <v>0000809602</v>
      </c>
      <c r="D1335" t="str">
        <f t="shared" si="537"/>
        <v>73185</v>
      </c>
      <c r="E1335" t="str">
        <f t="shared" si="538"/>
        <v>KFH-OPERATIONS DEPARTMENT</v>
      </c>
      <c r="F1335" t="str">
        <f t="shared" si="539"/>
        <v>IBG</v>
      </c>
      <c r="G1335" t="str">
        <f t="shared" si="552"/>
        <v>Refund COSHARE 10</v>
      </c>
      <c r="H1335" s="2">
        <v>966</v>
      </c>
      <c r="I1335" t="str">
        <f>"WAN AEMY AMALINA  BINTI WAN AZHAR"</f>
        <v>WAN AEMY AMALINA  BINTI WAN AZHAR</v>
      </c>
      <c r="J1335" t="str">
        <f t="shared" si="553"/>
        <v>MAYBANK / MAYBANK ISLAMIC</v>
      </c>
      <c r="K1335" t="str">
        <f>"164034251412"</f>
        <v>164034251412</v>
      </c>
      <c r="L1335" t="str">
        <f t="shared" si="558"/>
        <v>04-08-2020</v>
      </c>
      <c r="M1335" t="str">
        <f t="shared" si="558"/>
        <v>04-08-2020</v>
      </c>
      <c r="N1335" t="str">
        <f t="shared" si="541"/>
        <v>001105018356</v>
      </c>
      <c r="O1335" t="str">
        <f t="shared" si="542"/>
        <v>MYR</v>
      </c>
      <c r="P1335" t="str">
        <f t="shared" si="559"/>
        <v>NIL</v>
      </c>
      <c r="Q1335" t="str">
        <f t="shared" si="559"/>
        <v>NIL</v>
      </c>
      <c r="R1335" t="str">
        <f t="shared" si="544"/>
        <v>Accepted</v>
      </c>
      <c r="S1335" t="str">
        <f t="shared" si="545"/>
        <v>Approved</v>
      </c>
      <c r="T1335" t="str">
        <f t="shared" si="546"/>
        <v>10.20.8.188</v>
      </c>
      <c r="U1335" t="str">
        <f t="shared" si="547"/>
        <v>AZRAD UMAR BIN SHAARI</v>
      </c>
      <c r="V1335" t="str">
        <f t="shared" si="548"/>
        <v>FARHANA BINTI MUSTAPA</v>
      </c>
      <c r="W1335" t="str">
        <f t="shared" si="549"/>
        <v>04-08-2020</v>
      </c>
      <c r="X1335" t="str">
        <f t="shared" si="550"/>
        <v>RAZIMAH ANSAR AHMAD</v>
      </c>
      <c r="Y1335" t="str">
        <f t="shared" si="551"/>
        <v>04-08-2020</v>
      </c>
      <c r="Z1335" t="str">
        <f>"COS10200804 7819"</f>
        <v>COS10200804 7819</v>
      </c>
    </row>
    <row r="1336" spans="1:26" x14ac:dyDescent="0.25">
      <c r="A1336" t="str">
        <f t="shared" si="556"/>
        <v>04-08-2020 01:08:42</v>
      </c>
      <c r="B1336" t="str">
        <f>"0000809620"</f>
        <v>0000809620</v>
      </c>
      <c r="C1336" t="str">
        <f t="shared" si="557"/>
        <v>0000809602</v>
      </c>
      <c r="D1336" t="str">
        <f t="shared" si="537"/>
        <v>73185</v>
      </c>
      <c r="E1336" t="str">
        <f t="shared" si="538"/>
        <v>KFH-OPERATIONS DEPARTMENT</v>
      </c>
      <c r="F1336" t="str">
        <f t="shared" si="539"/>
        <v>IBG</v>
      </c>
      <c r="G1336" t="str">
        <f t="shared" si="552"/>
        <v>Refund COSHARE 10</v>
      </c>
      <c r="H1336" s="2">
        <v>235.1</v>
      </c>
      <c r="I1336" t="str">
        <f>"WAN ADIAN BIN FAHMI"</f>
        <v>WAN ADIAN BIN FAHMI</v>
      </c>
      <c r="J1336" t="str">
        <f t="shared" si="553"/>
        <v>MAYBANK / MAYBANK ISLAMIC</v>
      </c>
      <c r="K1336" t="str">
        <f>"102027666190"</f>
        <v>102027666190</v>
      </c>
      <c r="L1336" t="str">
        <f t="shared" si="558"/>
        <v>04-08-2020</v>
      </c>
      <c r="M1336" t="str">
        <f t="shared" si="558"/>
        <v>04-08-2020</v>
      </c>
      <c r="N1336" t="str">
        <f t="shared" si="541"/>
        <v>001105018356</v>
      </c>
      <c r="O1336" t="str">
        <f t="shared" si="542"/>
        <v>MYR</v>
      </c>
      <c r="P1336" t="str">
        <f t="shared" si="559"/>
        <v>NIL</v>
      </c>
      <c r="Q1336" t="str">
        <f t="shared" si="559"/>
        <v>NIL</v>
      </c>
      <c r="R1336" t="str">
        <f t="shared" si="544"/>
        <v>Accepted</v>
      </c>
      <c r="S1336" t="str">
        <f t="shared" si="545"/>
        <v>Approved</v>
      </c>
      <c r="T1336" t="str">
        <f t="shared" si="546"/>
        <v>10.20.8.188</v>
      </c>
      <c r="U1336" t="str">
        <f t="shared" si="547"/>
        <v>AZRAD UMAR BIN SHAARI</v>
      </c>
      <c r="V1336" t="str">
        <f t="shared" si="548"/>
        <v>FARHANA BINTI MUSTAPA</v>
      </c>
      <c r="W1336" t="str">
        <f t="shared" si="549"/>
        <v>04-08-2020</v>
      </c>
      <c r="X1336" t="str">
        <f t="shared" si="550"/>
        <v>RAZIMAH ANSAR AHMAD</v>
      </c>
      <c r="Y1336" t="str">
        <f t="shared" si="551"/>
        <v>04-08-2020</v>
      </c>
      <c r="Z1336" t="str">
        <f>"COS10200804 7818"</f>
        <v>COS10200804 7818</v>
      </c>
    </row>
    <row r="1337" spans="1:26" x14ac:dyDescent="0.25">
      <c r="A1337" t="str">
        <f t="shared" si="556"/>
        <v>04-08-2020 01:08:42</v>
      </c>
      <c r="B1337" t="str">
        <f>"0000809619"</f>
        <v>0000809619</v>
      </c>
      <c r="C1337" t="str">
        <f t="shared" si="557"/>
        <v>0000809602</v>
      </c>
      <c r="D1337" t="str">
        <f t="shared" si="537"/>
        <v>73185</v>
      </c>
      <c r="E1337" t="str">
        <f t="shared" si="538"/>
        <v>KFH-OPERATIONS DEPARTMENT</v>
      </c>
      <c r="F1337" t="str">
        <f t="shared" si="539"/>
        <v>IBG</v>
      </c>
      <c r="G1337" t="str">
        <f t="shared" si="552"/>
        <v>Refund COSHARE 10</v>
      </c>
      <c r="H1337" s="2">
        <v>98.25</v>
      </c>
      <c r="I1337" t="str">
        <f>"WAN ABU BAKAR BIN WAN HASSAN"</f>
        <v>WAN ABU BAKAR BIN WAN HASSAN</v>
      </c>
      <c r="J1337" t="str">
        <f t="shared" si="553"/>
        <v>MAYBANK / MAYBANK ISLAMIC</v>
      </c>
      <c r="K1337" t="str">
        <f>"162375672958"</f>
        <v>162375672958</v>
      </c>
      <c r="L1337" t="str">
        <f t="shared" si="558"/>
        <v>04-08-2020</v>
      </c>
      <c r="M1337" t="str">
        <f t="shared" si="558"/>
        <v>04-08-2020</v>
      </c>
      <c r="N1337" t="str">
        <f t="shared" si="541"/>
        <v>001105018356</v>
      </c>
      <c r="O1337" t="str">
        <f t="shared" si="542"/>
        <v>MYR</v>
      </c>
      <c r="P1337" t="str">
        <f t="shared" si="559"/>
        <v>NIL</v>
      </c>
      <c r="Q1337" t="str">
        <f t="shared" si="559"/>
        <v>NIL</v>
      </c>
      <c r="R1337" t="str">
        <f t="shared" si="544"/>
        <v>Accepted</v>
      </c>
      <c r="S1337" t="str">
        <f t="shared" si="545"/>
        <v>Approved</v>
      </c>
      <c r="T1337" t="str">
        <f t="shared" si="546"/>
        <v>10.20.8.188</v>
      </c>
      <c r="U1337" t="str">
        <f t="shared" si="547"/>
        <v>AZRAD UMAR BIN SHAARI</v>
      </c>
      <c r="V1337" t="str">
        <f t="shared" si="548"/>
        <v>FARHANA BINTI MUSTAPA</v>
      </c>
      <c r="W1337" t="str">
        <f t="shared" si="549"/>
        <v>04-08-2020</v>
      </c>
      <c r="X1337" t="str">
        <f t="shared" si="550"/>
        <v>RAZIMAH ANSAR AHMAD</v>
      </c>
      <c r="Y1337" t="str">
        <f t="shared" si="551"/>
        <v>04-08-2020</v>
      </c>
      <c r="Z1337" t="str">
        <f>"COS10200804 7817"</f>
        <v>COS10200804 7817</v>
      </c>
    </row>
    <row r="1338" spans="1:26" x14ac:dyDescent="0.25">
      <c r="A1338" t="str">
        <f t="shared" si="556"/>
        <v>04-08-2020 01:08:42</v>
      </c>
      <c r="B1338" t="str">
        <f>"0000809618"</f>
        <v>0000809618</v>
      </c>
      <c r="C1338" t="str">
        <f t="shared" si="557"/>
        <v>0000809602</v>
      </c>
      <c r="D1338" t="str">
        <f t="shared" si="537"/>
        <v>73185</v>
      </c>
      <c r="E1338" t="str">
        <f t="shared" si="538"/>
        <v>KFH-OPERATIONS DEPARTMENT</v>
      </c>
      <c r="F1338" t="str">
        <f t="shared" si="539"/>
        <v>IBG</v>
      </c>
      <c r="G1338" t="str">
        <f t="shared" si="552"/>
        <v>Refund COSHARE 10</v>
      </c>
      <c r="H1338" s="2">
        <v>345.5</v>
      </c>
      <c r="I1338" t="str">
        <f>"WAN ABDUL SIDEK BIN ALI"</f>
        <v>WAN ABDUL SIDEK BIN ALI</v>
      </c>
      <c r="J1338" t="str">
        <f t="shared" si="553"/>
        <v>MAYBANK / MAYBANK ISLAMIC</v>
      </c>
      <c r="K1338" t="str">
        <f>"103015439214"</f>
        <v>103015439214</v>
      </c>
      <c r="L1338" t="str">
        <f t="shared" si="558"/>
        <v>04-08-2020</v>
      </c>
      <c r="M1338" t="str">
        <f t="shared" si="558"/>
        <v>04-08-2020</v>
      </c>
      <c r="N1338" t="str">
        <f t="shared" si="541"/>
        <v>001105018356</v>
      </c>
      <c r="O1338" t="str">
        <f t="shared" si="542"/>
        <v>MYR</v>
      </c>
      <c r="P1338" t="str">
        <f t="shared" si="559"/>
        <v>NIL</v>
      </c>
      <c r="Q1338" t="str">
        <f t="shared" si="559"/>
        <v>NIL</v>
      </c>
      <c r="R1338" t="str">
        <f t="shared" si="544"/>
        <v>Accepted</v>
      </c>
      <c r="S1338" t="str">
        <f t="shared" si="545"/>
        <v>Approved</v>
      </c>
      <c r="T1338" t="str">
        <f t="shared" si="546"/>
        <v>10.20.8.188</v>
      </c>
      <c r="U1338" t="str">
        <f t="shared" si="547"/>
        <v>AZRAD UMAR BIN SHAARI</v>
      </c>
      <c r="V1338" t="str">
        <f t="shared" si="548"/>
        <v>FARHANA BINTI MUSTAPA</v>
      </c>
      <c r="W1338" t="str">
        <f t="shared" si="549"/>
        <v>04-08-2020</v>
      </c>
      <c r="X1338" t="str">
        <f t="shared" si="550"/>
        <v>RAZIMAH ANSAR AHMAD</v>
      </c>
      <c r="Y1338" t="str">
        <f t="shared" si="551"/>
        <v>04-08-2020</v>
      </c>
      <c r="Z1338" t="str">
        <f>"COS10200804 7816"</f>
        <v>COS10200804 7816</v>
      </c>
    </row>
    <row r="1339" spans="1:26" x14ac:dyDescent="0.25">
      <c r="A1339" t="str">
        <f t="shared" si="556"/>
        <v>04-08-2020 01:08:42</v>
      </c>
      <c r="B1339" t="str">
        <f>"0000809617"</f>
        <v>0000809617</v>
      </c>
      <c r="C1339" t="str">
        <f t="shared" si="557"/>
        <v>0000809602</v>
      </c>
      <c r="D1339" t="str">
        <f t="shared" si="537"/>
        <v>73185</v>
      </c>
      <c r="E1339" t="str">
        <f t="shared" si="538"/>
        <v>KFH-OPERATIONS DEPARTMENT</v>
      </c>
      <c r="F1339" t="str">
        <f t="shared" si="539"/>
        <v>IBG</v>
      </c>
      <c r="G1339" t="str">
        <f t="shared" si="552"/>
        <v>Refund COSHARE 10</v>
      </c>
      <c r="H1339" s="2">
        <v>235.1</v>
      </c>
      <c r="I1339" t="str">
        <f>"WAN ABD RAHMAN BIN WAN HUSSIN"</f>
        <v>WAN ABD RAHMAN BIN WAN HUSSIN</v>
      </c>
      <c r="J1339" t="str">
        <f t="shared" si="553"/>
        <v>MAYBANK / MAYBANK ISLAMIC</v>
      </c>
      <c r="K1339" t="str">
        <f>"162021010196"</f>
        <v>162021010196</v>
      </c>
      <c r="L1339" t="str">
        <f t="shared" si="558"/>
        <v>04-08-2020</v>
      </c>
      <c r="M1339" t="str">
        <f t="shared" si="558"/>
        <v>04-08-2020</v>
      </c>
      <c r="N1339" t="str">
        <f t="shared" si="541"/>
        <v>001105018356</v>
      </c>
      <c r="O1339" t="str">
        <f t="shared" si="542"/>
        <v>MYR</v>
      </c>
      <c r="P1339" t="str">
        <f t="shared" si="559"/>
        <v>NIL</v>
      </c>
      <c r="Q1339" t="str">
        <f t="shared" si="559"/>
        <v>NIL</v>
      </c>
      <c r="R1339" t="str">
        <f t="shared" si="544"/>
        <v>Accepted</v>
      </c>
      <c r="S1339" t="str">
        <f t="shared" si="545"/>
        <v>Approved</v>
      </c>
      <c r="T1339" t="str">
        <f t="shared" si="546"/>
        <v>10.20.8.188</v>
      </c>
      <c r="U1339" t="str">
        <f t="shared" si="547"/>
        <v>AZRAD UMAR BIN SHAARI</v>
      </c>
      <c r="V1339" t="str">
        <f t="shared" si="548"/>
        <v>FARHANA BINTI MUSTAPA</v>
      </c>
      <c r="W1339" t="str">
        <f t="shared" si="549"/>
        <v>04-08-2020</v>
      </c>
      <c r="X1339" t="str">
        <f t="shared" si="550"/>
        <v>RAZIMAH ANSAR AHMAD</v>
      </c>
      <c r="Y1339" t="str">
        <f t="shared" si="551"/>
        <v>04-08-2020</v>
      </c>
      <c r="Z1339" t="str">
        <f>"COS10200804 7815"</f>
        <v>COS10200804 7815</v>
      </c>
    </row>
    <row r="1340" spans="1:26" x14ac:dyDescent="0.25">
      <c r="A1340" t="str">
        <f t="shared" si="556"/>
        <v>04-08-2020 01:08:42</v>
      </c>
      <c r="B1340" t="str">
        <f>"0000809616"</f>
        <v>0000809616</v>
      </c>
      <c r="C1340" t="str">
        <f t="shared" si="557"/>
        <v>0000809602</v>
      </c>
      <c r="D1340" t="str">
        <f t="shared" si="537"/>
        <v>73185</v>
      </c>
      <c r="E1340" t="str">
        <f t="shared" si="538"/>
        <v>KFH-OPERATIONS DEPARTMENT</v>
      </c>
      <c r="F1340" t="str">
        <f t="shared" si="539"/>
        <v>IBG</v>
      </c>
      <c r="G1340" t="str">
        <f t="shared" si="552"/>
        <v>Refund COSHARE 10</v>
      </c>
      <c r="H1340" s="2">
        <v>419.75</v>
      </c>
      <c r="I1340" t="str">
        <f>"WAN AB AZIZ BIN WAN OMAR"</f>
        <v>WAN AB AZIZ BIN WAN OMAR</v>
      </c>
      <c r="J1340" t="str">
        <f t="shared" si="553"/>
        <v>MAYBANK / MAYBANK ISLAMIC</v>
      </c>
      <c r="K1340" t="str">
        <f>"166010327318"</f>
        <v>166010327318</v>
      </c>
      <c r="L1340" t="str">
        <f t="shared" si="558"/>
        <v>04-08-2020</v>
      </c>
      <c r="M1340" t="str">
        <f t="shared" si="558"/>
        <v>04-08-2020</v>
      </c>
      <c r="N1340" t="str">
        <f t="shared" si="541"/>
        <v>001105018356</v>
      </c>
      <c r="O1340" t="str">
        <f t="shared" si="542"/>
        <v>MYR</v>
      </c>
      <c r="P1340" t="str">
        <f t="shared" si="559"/>
        <v>NIL</v>
      </c>
      <c r="Q1340" t="str">
        <f t="shared" si="559"/>
        <v>NIL</v>
      </c>
      <c r="R1340" t="str">
        <f t="shared" si="544"/>
        <v>Accepted</v>
      </c>
      <c r="S1340" t="str">
        <f t="shared" si="545"/>
        <v>Approved</v>
      </c>
      <c r="T1340" t="str">
        <f t="shared" si="546"/>
        <v>10.20.8.188</v>
      </c>
      <c r="U1340" t="str">
        <f t="shared" si="547"/>
        <v>AZRAD UMAR BIN SHAARI</v>
      </c>
      <c r="V1340" t="str">
        <f t="shared" si="548"/>
        <v>FARHANA BINTI MUSTAPA</v>
      </c>
      <c r="W1340" t="str">
        <f t="shared" si="549"/>
        <v>04-08-2020</v>
      </c>
      <c r="X1340" t="str">
        <f t="shared" si="550"/>
        <v>RAZIMAH ANSAR AHMAD</v>
      </c>
      <c r="Y1340" t="str">
        <f t="shared" si="551"/>
        <v>04-08-2020</v>
      </c>
      <c r="Z1340" t="str">
        <f>"COS10200804 7814"</f>
        <v>COS10200804 7814</v>
      </c>
    </row>
    <row r="1341" spans="1:26" x14ac:dyDescent="0.25">
      <c r="A1341" t="str">
        <f t="shared" si="556"/>
        <v>04-08-2020 01:08:42</v>
      </c>
      <c r="B1341" t="str">
        <f>"0000809615"</f>
        <v>0000809615</v>
      </c>
      <c r="C1341" t="str">
        <f t="shared" si="557"/>
        <v>0000809602</v>
      </c>
      <c r="D1341" t="str">
        <f t="shared" si="537"/>
        <v>73185</v>
      </c>
      <c r="E1341" t="str">
        <f t="shared" si="538"/>
        <v>KFH-OPERATIONS DEPARTMENT</v>
      </c>
      <c r="F1341" t="str">
        <f t="shared" si="539"/>
        <v>IBG</v>
      </c>
      <c r="G1341" t="str">
        <f t="shared" si="552"/>
        <v>Refund COSHARE 10</v>
      </c>
      <c r="H1341" s="2">
        <v>58.8</v>
      </c>
      <c r="I1341" t="str">
        <f>"WAHYU HIDAYAT BIN MAKSOM"</f>
        <v>WAHYU HIDAYAT BIN MAKSOM</v>
      </c>
      <c r="J1341" t="str">
        <f t="shared" si="553"/>
        <v>MAYBANK / MAYBANK ISLAMIC</v>
      </c>
      <c r="K1341" t="str">
        <f>"151043804757"</f>
        <v>151043804757</v>
      </c>
      <c r="L1341" t="str">
        <f t="shared" si="558"/>
        <v>04-08-2020</v>
      </c>
      <c r="M1341" t="str">
        <f t="shared" si="558"/>
        <v>04-08-2020</v>
      </c>
      <c r="N1341" t="str">
        <f t="shared" si="541"/>
        <v>001105018356</v>
      </c>
      <c r="O1341" t="str">
        <f t="shared" si="542"/>
        <v>MYR</v>
      </c>
      <c r="P1341" t="str">
        <f t="shared" si="559"/>
        <v>NIL</v>
      </c>
      <c r="Q1341" t="str">
        <f t="shared" si="559"/>
        <v>NIL</v>
      </c>
      <c r="R1341" t="str">
        <f t="shared" si="544"/>
        <v>Accepted</v>
      </c>
      <c r="S1341" t="str">
        <f t="shared" si="545"/>
        <v>Approved</v>
      </c>
      <c r="T1341" t="str">
        <f t="shared" si="546"/>
        <v>10.20.8.188</v>
      </c>
      <c r="U1341" t="str">
        <f t="shared" si="547"/>
        <v>AZRAD UMAR BIN SHAARI</v>
      </c>
      <c r="V1341" t="str">
        <f t="shared" si="548"/>
        <v>FARHANA BINTI MUSTAPA</v>
      </c>
      <c r="W1341" t="str">
        <f t="shared" si="549"/>
        <v>04-08-2020</v>
      </c>
      <c r="X1341" t="str">
        <f t="shared" si="550"/>
        <v>RAZIMAH ANSAR AHMAD</v>
      </c>
      <c r="Y1341" t="str">
        <f t="shared" si="551"/>
        <v>04-08-2020</v>
      </c>
      <c r="Z1341" t="str">
        <f>"COS10200804 7813"</f>
        <v>COS10200804 7813</v>
      </c>
    </row>
    <row r="1342" spans="1:26" x14ac:dyDescent="0.25">
      <c r="A1342" t="str">
        <f t="shared" si="556"/>
        <v>04-08-2020 01:08:42</v>
      </c>
      <c r="B1342" t="str">
        <f>"0000809614"</f>
        <v>0000809614</v>
      </c>
      <c r="C1342" t="str">
        <f t="shared" si="557"/>
        <v>0000809602</v>
      </c>
      <c r="D1342" t="str">
        <f t="shared" si="537"/>
        <v>73185</v>
      </c>
      <c r="E1342" t="str">
        <f t="shared" si="538"/>
        <v>KFH-OPERATIONS DEPARTMENT</v>
      </c>
      <c r="F1342" t="str">
        <f t="shared" si="539"/>
        <v>IBG</v>
      </c>
      <c r="G1342" t="str">
        <f t="shared" si="552"/>
        <v>Refund COSHARE 10</v>
      </c>
      <c r="H1342" s="2">
        <v>50.4</v>
      </c>
      <c r="I1342" t="str">
        <f>"WAHIDAH BINTI ABDUL SAMAD"</f>
        <v>WAHIDAH BINTI ABDUL SAMAD</v>
      </c>
      <c r="J1342" t="str">
        <f t="shared" si="553"/>
        <v>MAYBANK / MAYBANK ISLAMIC</v>
      </c>
      <c r="K1342" t="str">
        <f>"101218175889"</f>
        <v>101218175889</v>
      </c>
      <c r="L1342" t="str">
        <f t="shared" si="558"/>
        <v>04-08-2020</v>
      </c>
      <c r="M1342" t="str">
        <f t="shared" si="558"/>
        <v>04-08-2020</v>
      </c>
      <c r="N1342" t="str">
        <f t="shared" si="541"/>
        <v>001105018356</v>
      </c>
      <c r="O1342" t="str">
        <f t="shared" si="542"/>
        <v>MYR</v>
      </c>
      <c r="P1342" t="str">
        <f t="shared" si="559"/>
        <v>NIL</v>
      </c>
      <c r="Q1342" t="str">
        <f t="shared" si="559"/>
        <v>NIL</v>
      </c>
      <c r="R1342" t="str">
        <f t="shared" si="544"/>
        <v>Accepted</v>
      </c>
      <c r="S1342" t="str">
        <f t="shared" si="545"/>
        <v>Approved</v>
      </c>
      <c r="T1342" t="str">
        <f t="shared" si="546"/>
        <v>10.20.8.188</v>
      </c>
      <c r="U1342" t="str">
        <f t="shared" si="547"/>
        <v>AZRAD UMAR BIN SHAARI</v>
      </c>
      <c r="V1342" t="str">
        <f t="shared" si="548"/>
        <v>FARHANA BINTI MUSTAPA</v>
      </c>
      <c r="W1342" t="str">
        <f t="shared" si="549"/>
        <v>04-08-2020</v>
      </c>
      <c r="X1342" t="str">
        <f t="shared" si="550"/>
        <v>RAZIMAH ANSAR AHMAD</v>
      </c>
      <c r="Y1342" t="str">
        <f t="shared" si="551"/>
        <v>04-08-2020</v>
      </c>
      <c r="Z1342" t="str">
        <f>"COS10200804 7812"</f>
        <v>COS10200804 7812</v>
      </c>
    </row>
    <row r="1343" spans="1:26" x14ac:dyDescent="0.25">
      <c r="A1343" t="str">
        <f t="shared" si="556"/>
        <v>04-08-2020 01:08:42</v>
      </c>
      <c r="B1343" t="str">
        <f>"0000809613"</f>
        <v>0000809613</v>
      </c>
      <c r="C1343" t="str">
        <f t="shared" si="557"/>
        <v>0000809602</v>
      </c>
      <c r="D1343" t="str">
        <f t="shared" si="537"/>
        <v>73185</v>
      </c>
      <c r="E1343" t="str">
        <f t="shared" si="538"/>
        <v>KFH-OPERATIONS DEPARTMENT</v>
      </c>
      <c r="F1343" t="str">
        <f t="shared" si="539"/>
        <v>IBG</v>
      </c>
      <c r="G1343" t="str">
        <f t="shared" si="552"/>
        <v>Refund COSHARE 10</v>
      </c>
      <c r="H1343" s="2">
        <v>203.25</v>
      </c>
      <c r="I1343" t="str">
        <f>"WAHIDAH BINTI ABDUL ADZANI"</f>
        <v>WAHIDAH BINTI ABDUL ADZANI</v>
      </c>
      <c r="J1343" t="str">
        <f t="shared" si="553"/>
        <v>MAYBANK / MAYBANK ISLAMIC</v>
      </c>
      <c r="K1343" t="str">
        <f>"114253091174"</f>
        <v>114253091174</v>
      </c>
      <c r="L1343" t="str">
        <f t="shared" si="558"/>
        <v>04-08-2020</v>
      </c>
      <c r="M1343" t="str">
        <f t="shared" si="558"/>
        <v>04-08-2020</v>
      </c>
      <c r="N1343" t="str">
        <f t="shared" si="541"/>
        <v>001105018356</v>
      </c>
      <c r="O1343" t="str">
        <f t="shared" si="542"/>
        <v>MYR</v>
      </c>
      <c r="P1343" t="str">
        <f t="shared" si="559"/>
        <v>NIL</v>
      </c>
      <c r="Q1343" t="str">
        <f t="shared" si="559"/>
        <v>NIL</v>
      </c>
      <c r="R1343" t="str">
        <f t="shared" si="544"/>
        <v>Accepted</v>
      </c>
      <c r="S1343" t="str">
        <f t="shared" si="545"/>
        <v>Approved</v>
      </c>
      <c r="T1343" t="str">
        <f t="shared" si="546"/>
        <v>10.20.8.188</v>
      </c>
      <c r="U1343" t="str">
        <f t="shared" si="547"/>
        <v>AZRAD UMAR BIN SHAARI</v>
      </c>
      <c r="V1343" t="str">
        <f t="shared" si="548"/>
        <v>FARHANA BINTI MUSTAPA</v>
      </c>
      <c r="W1343" t="str">
        <f t="shared" si="549"/>
        <v>04-08-2020</v>
      </c>
      <c r="X1343" t="str">
        <f t="shared" si="550"/>
        <v>RAZIMAH ANSAR AHMAD</v>
      </c>
      <c r="Y1343" t="str">
        <f t="shared" si="551"/>
        <v>04-08-2020</v>
      </c>
      <c r="Z1343" t="str">
        <f>"COS10200804 7811"</f>
        <v>COS10200804 7811</v>
      </c>
    </row>
    <row r="1344" spans="1:26" x14ac:dyDescent="0.25">
      <c r="A1344" t="str">
        <f t="shared" si="556"/>
        <v>04-08-2020 01:08:42</v>
      </c>
      <c r="B1344" t="str">
        <f>"0000809612"</f>
        <v>0000809612</v>
      </c>
      <c r="C1344" t="str">
        <f t="shared" si="557"/>
        <v>0000809602</v>
      </c>
      <c r="D1344" t="str">
        <f t="shared" si="537"/>
        <v>73185</v>
      </c>
      <c r="E1344" t="str">
        <f t="shared" si="538"/>
        <v>KFH-OPERATIONS DEPARTMENT</v>
      </c>
      <c r="F1344" t="str">
        <f t="shared" si="539"/>
        <v>IBG</v>
      </c>
      <c r="G1344" t="str">
        <f t="shared" si="552"/>
        <v>Refund COSHARE 10</v>
      </c>
      <c r="H1344" s="2">
        <v>1679</v>
      </c>
      <c r="I1344" t="str">
        <f>"WAHIDA BINTI BAHARUDIN"</f>
        <v>WAHIDA BINTI BAHARUDIN</v>
      </c>
      <c r="J1344" t="str">
        <f t="shared" si="553"/>
        <v>MAYBANK / MAYBANK ISLAMIC</v>
      </c>
      <c r="K1344" t="str">
        <f>"155069159156"</f>
        <v>155069159156</v>
      </c>
      <c r="L1344" t="str">
        <f t="shared" si="558"/>
        <v>04-08-2020</v>
      </c>
      <c r="M1344" t="str">
        <f t="shared" si="558"/>
        <v>04-08-2020</v>
      </c>
      <c r="N1344" t="str">
        <f t="shared" si="541"/>
        <v>001105018356</v>
      </c>
      <c r="O1344" t="str">
        <f t="shared" si="542"/>
        <v>MYR</v>
      </c>
      <c r="P1344" t="str">
        <f t="shared" si="559"/>
        <v>NIL</v>
      </c>
      <c r="Q1344" t="str">
        <f t="shared" si="559"/>
        <v>NIL</v>
      </c>
      <c r="R1344" t="str">
        <f t="shared" si="544"/>
        <v>Accepted</v>
      </c>
      <c r="S1344" t="str">
        <f t="shared" si="545"/>
        <v>Approved</v>
      </c>
      <c r="T1344" t="str">
        <f t="shared" si="546"/>
        <v>10.20.8.188</v>
      </c>
      <c r="U1344" t="str">
        <f t="shared" si="547"/>
        <v>AZRAD UMAR BIN SHAARI</v>
      </c>
      <c r="V1344" t="str">
        <f t="shared" si="548"/>
        <v>FARHANA BINTI MUSTAPA</v>
      </c>
      <c r="W1344" t="str">
        <f t="shared" si="549"/>
        <v>04-08-2020</v>
      </c>
      <c r="X1344" t="str">
        <f t="shared" si="550"/>
        <v>RAZIMAH ANSAR AHMAD</v>
      </c>
      <c r="Y1344" t="str">
        <f t="shared" si="551"/>
        <v>04-08-2020</v>
      </c>
      <c r="Z1344" t="str">
        <f>"COS10200804 7810"</f>
        <v>COS10200804 7810</v>
      </c>
    </row>
    <row r="1345" spans="1:26" x14ac:dyDescent="0.25">
      <c r="A1345" t="str">
        <f t="shared" si="556"/>
        <v>04-08-2020 01:08:42</v>
      </c>
      <c r="B1345" t="str">
        <f>"0000809611"</f>
        <v>0000809611</v>
      </c>
      <c r="C1345" t="str">
        <f t="shared" si="557"/>
        <v>0000809602</v>
      </c>
      <c r="D1345" t="str">
        <f t="shared" si="537"/>
        <v>73185</v>
      </c>
      <c r="E1345" t="str">
        <f t="shared" si="538"/>
        <v>KFH-OPERATIONS DEPARTMENT</v>
      </c>
      <c r="F1345" t="str">
        <f t="shared" si="539"/>
        <v>IBG</v>
      </c>
      <c r="G1345" t="str">
        <f t="shared" si="552"/>
        <v>Refund COSHARE 10</v>
      </c>
      <c r="H1345" s="2">
        <v>235.1</v>
      </c>
      <c r="I1345" t="str">
        <f>"WAHIDA BINTI ABDUL WAHID"</f>
        <v>WAHIDA BINTI ABDUL WAHID</v>
      </c>
      <c r="J1345" t="str">
        <f t="shared" si="553"/>
        <v>MAYBANK / MAYBANK ISLAMIC</v>
      </c>
      <c r="K1345" t="str">
        <f>"106119166557"</f>
        <v>106119166557</v>
      </c>
      <c r="L1345" t="str">
        <f t="shared" si="558"/>
        <v>04-08-2020</v>
      </c>
      <c r="M1345" t="str">
        <f t="shared" si="558"/>
        <v>04-08-2020</v>
      </c>
      <c r="N1345" t="str">
        <f t="shared" si="541"/>
        <v>001105018356</v>
      </c>
      <c r="O1345" t="str">
        <f t="shared" si="542"/>
        <v>MYR</v>
      </c>
      <c r="P1345" t="str">
        <f t="shared" si="559"/>
        <v>NIL</v>
      </c>
      <c r="Q1345" t="str">
        <f t="shared" si="559"/>
        <v>NIL</v>
      </c>
      <c r="R1345" t="str">
        <f t="shared" si="544"/>
        <v>Accepted</v>
      </c>
      <c r="S1345" t="str">
        <f t="shared" si="545"/>
        <v>Approved</v>
      </c>
      <c r="T1345" t="str">
        <f t="shared" si="546"/>
        <v>10.20.8.188</v>
      </c>
      <c r="U1345" t="str">
        <f t="shared" si="547"/>
        <v>AZRAD UMAR BIN SHAARI</v>
      </c>
      <c r="V1345" t="str">
        <f t="shared" si="548"/>
        <v>FARHANA BINTI MUSTAPA</v>
      </c>
      <c r="W1345" t="str">
        <f t="shared" si="549"/>
        <v>04-08-2020</v>
      </c>
      <c r="X1345" t="str">
        <f t="shared" si="550"/>
        <v>RAZIMAH ANSAR AHMAD</v>
      </c>
      <c r="Y1345" t="str">
        <f t="shared" si="551"/>
        <v>04-08-2020</v>
      </c>
      <c r="Z1345" t="str">
        <f>"COS10200804 7809"</f>
        <v>COS10200804 7809</v>
      </c>
    </row>
    <row r="1346" spans="1:26" x14ac:dyDescent="0.25">
      <c r="A1346" t="str">
        <f t="shared" ref="A1346:A1353" si="560">"04-08-2020 01:08:42"</f>
        <v>04-08-2020 01:08:42</v>
      </c>
      <c r="B1346" t="str">
        <f>"0000809610"</f>
        <v>0000809610</v>
      </c>
      <c r="C1346" t="str">
        <f t="shared" ref="C1346:C1353" si="561">"0000809602"</f>
        <v>0000809602</v>
      </c>
      <c r="D1346" t="str">
        <f t="shared" si="537"/>
        <v>73185</v>
      </c>
      <c r="E1346" t="str">
        <f t="shared" si="538"/>
        <v>KFH-OPERATIONS DEPARTMENT</v>
      </c>
      <c r="F1346" t="str">
        <f t="shared" si="539"/>
        <v>IBG</v>
      </c>
      <c r="G1346" t="str">
        <f t="shared" si="552"/>
        <v>Refund COSHARE 10</v>
      </c>
      <c r="H1346" s="2">
        <v>751.9</v>
      </c>
      <c r="I1346" t="str">
        <f>"W MUSTAPPA B W AHMAD"</f>
        <v>W MUSTAPPA B W AHMAD</v>
      </c>
      <c r="J1346" t="str">
        <f t="shared" si="553"/>
        <v>MAYBANK / MAYBANK ISLAMIC</v>
      </c>
      <c r="K1346" t="str">
        <f>"164016974640"</f>
        <v>164016974640</v>
      </c>
      <c r="L1346" t="str">
        <f t="shared" si="558"/>
        <v>04-08-2020</v>
      </c>
      <c r="M1346" t="str">
        <f t="shared" si="558"/>
        <v>04-08-2020</v>
      </c>
      <c r="N1346" t="str">
        <f t="shared" si="541"/>
        <v>001105018356</v>
      </c>
      <c r="O1346" t="str">
        <f t="shared" si="542"/>
        <v>MYR</v>
      </c>
      <c r="P1346" t="str">
        <f t="shared" si="559"/>
        <v>NIL</v>
      </c>
      <c r="Q1346" t="str">
        <f t="shared" si="559"/>
        <v>NIL</v>
      </c>
      <c r="R1346" t="str">
        <f t="shared" si="544"/>
        <v>Accepted</v>
      </c>
      <c r="S1346" t="str">
        <f t="shared" si="545"/>
        <v>Approved</v>
      </c>
      <c r="T1346" t="str">
        <f t="shared" si="546"/>
        <v>10.20.8.188</v>
      </c>
      <c r="U1346" t="str">
        <f t="shared" si="547"/>
        <v>AZRAD UMAR BIN SHAARI</v>
      </c>
      <c r="V1346" t="str">
        <f t="shared" si="548"/>
        <v>FARHANA BINTI MUSTAPA</v>
      </c>
      <c r="W1346" t="str">
        <f t="shared" si="549"/>
        <v>04-08-2020</v>
      </c>
      <c r="X1346" t="str">
        <f t="shared" si="550"/>
        <v>RAZIMAH ANSAR AHMAD</v>
      </c>
      <c r="Y1346" t="str">
        <f t="shared" si="551"/>
        <v>04-08-2020</v>
      </c>
      <c r="Z1346" t="str">
        <f>"COS10200804 7808"</f>
        <v>COS10200804 7808</v>
      </c>
    </row>
    <row r="1347" spans="1:26" x14ac:dyDescent="0.25">
      <c r="A1347" t="str">
        <f t="shared" si="560"/>
        <v>04-08-2020 01:08:42</v>
      </c>
      <c r="B1347" t="str">
        <f>"0000809609"</f>
        <v>0000809609</v>
      </c>
      <c r="C1347" t="str">
        <f t="shared" si="561"/>
        <v>0000809602</v>
      </c>
      <c r="D1347" t="str">
        <f t="shared" si="537"/>
        <v>73185</v>
      </c>
      <c r="E1347" t="str">
        <f t="shared" si="538"/>
        <v>KFH-OPERATIONS DEPARTMENT</v>
      </c>
      <c r="F1347" t="str">
        <f t="shared" si="539"/>
        <v>IBG</v>
      </c>
      <c r="G1347" t="str">
        <f t="shared" si="552"/>
        <v>Refund COSHARE 10</v>
      </c>
      <c r="H1347" s="2">
        <v>645</v>
      </c>
      <c r="I1347" t="str">
        <f>"VRYNDA GRYCE ANAK HENRY"</f>
        <v>VRYNDA GRYCE ANAK HENRY</v>
      </c>
      <c r="J1347" t="str">
        <f t="shared" si="553"/>
        <v>MAYBANK / MAYBANK ISLAMIC</v>
      </c>
      <c r="K1347" t="str">
        <f>"161051493750"</f>
        <v>161051493750</v>
      </c>
      <c r="L1347" t="str">
        <f t="shared" ref="L1347:M1366" si="562">"04-08-2020"</f>
        <v>04-08-2020</v>
      </c>
      <c r="M1347" t="str">
        <f t="shared" si="562"/>
        <v>04-08-2020</v>
      </c>
      <c r="N1347" t="str">
        <f t="shared" si="541"/>
        <v>001105018356</v>
      </c>
      <c r="O1347" t="str">
        <f t="shared" si="542"/>
        <v>MYR</v>
      </c>
      <c r="P1347" t="str">
        <f t="shared" ref="P1347:Q1366" si="563">"NIL"</f>
        <v>NIL</v>
      </c>
      <c r="Q1347" t="str">
        <f t="shared" si="563"/>
        <v>NIL</v>
      </c>
      <c r="R1347" t="str">
        <f t="shared" si="544"/>
        <v>Accepted</v>
      </c>
      <c r="S1347" t="str">
        <f t="shared" si="545"/>
        <v>Approved</v>
      </c>
      <c r="T1347" t="str">
        <f t="shared" si="546"/>
        <v>10.20.8.188</v>
      </c>
      <c r="U1347" t="str">
        <f t="shared" si="547"/>
        <v>AZRAD UMAR BIN SHAARI</v>
      </c>
      <c r="V1347" t="str">
        <f t="shared" si="548"/>
        <v>FARHANA BINTI MUSTAPA</v>
      </c>
      <c r="W1347" t="str">
        <f t="shared" si="549"/>
        <v>04-08-2020</v>
      </c>
      <c r="X1347" t="str">
        <f t="shared" si="550"/>
        <v>RAZIMAH ANSAR AHMAD</v>
      </c>
      <c r="Y1347" t="str">
        <f t="shared" si="551"/>
        <v>04-08-2020</v>
      </c>
      <c r="Z1347" t="str">
        <f>"COS10200804 7807"</f>
        <v>COS10200804 7807</v>
      </c>
    </row>
    <row r="1348" spans="1:26" x14ac:dyDescent="0.25">
      <c r="A1348" t="str">
        <f t="shared" si="560"/>
        <v>04-08-2020 01:08:42</v>
      </c>
      <c r="B1348" t="str">
        <f>"0000809608"</f>
        <v>0000809608</v>
      </c>
      <c r="C1348" t="str">
        <f t="shared" si="561"/>
        <v>0000809602</v>
      </c>
      <c r="D1348" t="str">
        <f t="shared" si="537"/>
        <v>73185</v>
      </c>
      <c r="E1348" t="str">
        <f t="shared" si="538"/>
        <v>KFH-OPERATIONS DEPARTMENT</v>
      </c>
      <c r="F1348" t="str">
        <f t="shared" si="539"/>
        <v>IBG</v>
      </c>
      <c r="G1348" t="str">
        <f t="shared" si="552"/>
        <v>Refund COSHARE 10</v>
      </c>
      <c r="H1348" s="2">
        <v>378.65</v>
      </c>
      <c r="I1348" t="str">
        <f>"VIYALAMPIKAI AP RANGANATHAN"</f>
        <v>VIYALAMPIKAI AP RANGANATHAN</v>
      </c>
      <c r="J1348" t="str">
        <f t="shared" si="553"/>
        <v>MAYBANK / MAYBANK ISLAMIC</v>
      </c>
      <c r="K1348" t="str">
        <f>"101106260098"</f>
        <v>101106260098</v>
      </c>
      <c r="L1348" t="str">
        <f t="shared" si="562"/>
        <v>04-08-2020</v>
      </c>
      <c r="M1348" t="str">
        <f t="shared" si="562"/>
        <v>04-08-2020</v>
      </c>
      <c r="N1348" t="str">
        <f t="shared" si="541"/>
        <v>001105018356</v>
      </c>
      <c r="O1348" t="str">
        <f t="shared" si="542"/>
        <v>MYR</v>
      </c>
      <c r="P1348" t="str">
        <f t="shared" si="563"/>
        <v>NIL</v>
      </c>
      <c r="Q1348" t="str">
        <f t="shared" si="563"/>
        <v>NIL</v>
      </c>
      <c r="R1348" t="str">
        <f t="shared" si="544"/>
        <v>Accepted</v>
      </c>
      <c r="S1348" t="str">
        <f t="shared" si="545"/>
        <v>Approved</v>
      </c>
      <c r="T1348" t="str">
        <f t="shared" si="546"/>
        <v>10.20.8.188</v>
      </c>
      <c r="U1348" t="str">
        <f t="shared" si="547"/>
        <v>AZRAD UMAR BIN SHAARI</v>
      </c>
      <c r="V1348" t="str">
        <f t="shared" si="548"/>
        <v>FARHANA BINTI MUSTAPA</v>
      </c>
      <c r="W1348" t="str">
        <f t="shared" si="549"/>
        <v>04-08-2020</v>
      </c>
      <c r="X1348" t="str">
        <f t="shared" si="550"/>
        <v>RAZIMAH ANSAR AHMAD</v>
      </c>
      <c r="Y1348" t="str">
        <f t="shared" si="551"/>
        <v>04-08-2020</v>
      </c>
      <c r="Z1348" t="str">
        <f>"COS10200804 7806"</f>
        <v>COS10200804 7806</v>
      </c>
    </row>
    <row r="1349" spans="1:26" x14ac:dyDescent="0.25">
      <c r="A1349" t="str">
        <f t="shared" si="560"/>
        <v>04-08-2020 01:08:42</v>
      </c>
      <c r="B1349" t="str">
        <f>"0000809607"</f>
        <v>0000809607</v>
      </c>
      <c r="C1349" t="str">
        <f t="shared" si="561"/>
        <v>0000809602</v>
      </c>
      <c r="D1349" t="str">
        <f t="shared" si="537"/>
        <v>73185</v>
      </c>
      <c r="E1349" t="str">
        <f t="shared" si="538"/>
        <v>KFH-OPERATIONS DEPARTMENT</v>
      </c>
      <c r="F1349" t="str">
        <f t="shared" si="539"/>
        <v>IBG</v>
      </c>
      <c r="G1349" t="str">
        <f t="shared" si="552"/>
        <v>Refund COSHARE 10</v>
      </c>
      <c r="H1349" s="2">
        <v>920.7</v>
      </c>
      <c r="I1349" t="str">
        <f>"VIMALLA AP THANGAVALOO"</f>
        <v>VIMALLA AP THANGAVALOO</v>
      </c>
      <c r="J1349" t="str">
        <f t="shared" si="553"/>
        <v>MAYBANK / MAYBANK ISLAMIC</v>
      </c>
      <c r="K1349" t="str">
        <f>"108225452842"</f>
        <v>108225452842</v>
      </c>
      <c r="L1349" t="str">
        <f t="shared" si="562"/>
        <v>04-08-2020</v>
      </c>
      <c r="M1349" t="str">
        <f t="shared" si="562"/>
        <v>04-08-2020</v>
      </c>
      <c r="N1349" t="str">
        <f t="shared" si="541"/>
        <v>001105018356</v>
      </c>
      <c r="O1349" t="str">
        <f t="shared" si="542"/>
        <v>MYR</v>
      </c>
      <c r="P1349" t="str">
        <f t="shared" si="563"/>
        <v>NIL</v>
      </c>
      <c r="Q1349" t="str">
        <f t="shared" si="563"/>
        <v>NIL</v>
      </c>
      <c r="R1349" t="str">
        <f t="shared" si="544"/>
        <v>Accepted</v>
      </c>
      <c r="S1349" t="str">
        <f t="shared" si="545"/>
        <v>Approved</v>
      </c>
      <c r="T1349" t="str">
        <f t="shared" si="546"/>
        <v>10.20.8.188</v>
      </c>
      <c r="U1349" t="str">
        <f t="shared" si="547"/>
        <v>AZRAD UMAR BIN SHAARI</v>
      </c>
      <c r="V1349" t="str">
        <f t="shared" si="548"/>
        <v>FARHANA BINTI MUSTAPA</v>
      </c>
      <c r="W1349" t="str">
        <f t="shared" si="549"/>
        <v>04-08-2020</v>
      </c>
      <c r="X1349" t="str">
        <f t="shared" si="550"/>
        <v>RAZIMAH ANSAR AHMAD</v>
      </c>
      <c r="Y1349" t="str">
        <f t="shared" si="551"/>
        <v>04-08-2020</v>
      </c>
      <c r="Z1349" t="str">
        <f>"COS10200804 7805"</f>
        <v>COS10200804 7805</v>
      </c>
    </row>
    <row r="1350" spans="1:26" x14ac:dyDescent="0.25">
      <c r="A1350" t="str">
        <f t="shared" si="560"/>
        <v>04-08-2020 01:08:42</v>
      </c>
      <c r="B1350" t="str">
        <f>"0000809606"</f>
        <v>0000809606</v>
      </c>
      <c r="C1350" t="str">
        <f t="shared" si="561"/>
        <v>0000809602</v>
      </c>
      <c r="D1350" t="str">
        <f t="shared" si="537"/>
        <v>73185</v>
      </c>
      <c r="E1350" t="str">
        <f t="shared" si="538"/>
        <v>KFH-OPERATIONS DEPARTMENT</v>
      </c>
      <c r="F1350" t="str">
        <f t="shared" si="539"/>
        <v>IBG</v>
      </c>
      <c r="G1350" t="str">
        <f t="shared" si="552"/>
        <v>Refund COSHARE 10</v>
      </c>
      <c r="H1350" s="2">
        <v>532</v>
      </c>
      <c r="I1350" t="str">
        <f>"VIMALAH AP PARAMASIVAN"</f>
        <v>VIMALAH AP PARAMASIVAN</v>
      </c>
      <c r="J1350" t="str">
        <f t="shared" si="553"/>
        <v>MAYBANK / MAYBANK ISLAMIC</v>
      </c>
      <c r="K1350" t="str">
        <f>"112464063648"</f>
        <v>112464063648</v>
      </c>
      <c r="L1350" t="str">
        <f t="shared" si="562"/>
        <v>04-08-2020</v>
      </c>
      <c r="M1350" t="str">
        <f t="shared" si="562"/>
        <v>04-08-2020</v>
      </c>
      <c r="N1350" t="str">
        <f t="shared" si="541"/>
        <v>001105018356</v>
      </c>
      <c r="O1350" t="str">
        <f t="shared" si="542"/>
        <v>MYR</v>
      </c>
      <c r="P1350" t="str">
        <f t="shared" si="563"/>
        <v>NIL</v>
      </c>
      <c r="Q1350" t="str">
        <f t="shared" si="563"/>
        <v>NIL</v>
      </c>
      <c r="R1350" t="str">
        <f t="shared" si="544"/>
        <v>Accepted</v>
      </c>
      <c r="S1350" t="str">
        <f t="shared" si="545"/>
        <v>Approved</v>
      </c>
      <c r="T1350" t="str">
        <f t="shared" si="546"/>
        <v>10.20.8.188</v>
      </c>
      <c r="U1350" t="str">
        <f t="shared" si="547"/>
        <v>AZRAD UMAR BIN SHAARI</v>
      </c>
      <c r="V1350" t="str">
        <f t="shared" si="548"/>
        <v>FARHANA BINTI MUSTAPA</v>
      </c>
      <c r="W1350" t="str">
        <f t="shared" si="549"/>
        <v>04-08-2020</v>
      </c>
      <c r="X1350" t="str">
        <f t="shared" si="550"/>
        <v>RAZIMAH ANSAR AHMAD</v>
      </c>
      <c r="Y1350" t="str">
        <f t="shared" si="551"/>
        <v>04-08-2020</v>
      </c>
      <c r="Z1350" t="str">
        <f>"COS10200804 7804"</f>
        <v>COS10200804 7804</v>
      </c>
    </row>
    <row r="1351" spans="1:26" x14ac:dyDescent="0.25">
      <c r="A1351" t="str">
        <f t="shared" si="560"/>
        <v>04-08-2020 01:08:42</v>
      </c>
      <c r="B1351" t="str">
        <f>"0000809605"</f>
        <v>0000809605</v>
      </c>
      <c r="C1351" t="str">
        <f t="shared" si="561"/>
        <v>0000809602</v>
      </c>
      <c r="D1351" t="str">
        <f t="shared" ref="D1351:D1414" si="564">"73185"</f>
        <v>73185</v>
      </c>
      <c r="E1351" t="str">
        <f t="shared" ref="E1351:E1414" si="565">"KFH-OPERATIONS DEPARTMENT"</f>
        <v>KFH-OPERATIONS DEPARTMENT</v>
      </c>
      <c r="F1351" t="str">
        <f t="shared" ref="F1351:F1414" si="566">"IBG"</f>
        <v>IBG</v>
      </c>
      <c r="G1351" t="str">
        <f t="shared" si="552"/>
        <v>Refund COSHARE 10</v>
      </c>
      <c r="H1351" s="2">
        <v>539.6</v>
      </c>
      <c r="I1351" t="str">
        <f>"VICTOR BIN TUNSIN"</f>
        <v>VICTOR BIN TUNSIN</v>
      </c>
      <c r="J1351" t="str">
        <f t="shared" si="553"/>
        <v>MAYBANK / MAYBANK ISLAMIC</v>
      </c>
      <c r="K1351" t="str">
        <f>"510237563748"</f>
        <v>510237563748</v>
      </c>
      <c r="L1351" t="str">
        <f t="shared" si="562"/>
        <v>04-08-2020</v>
      </c>
      <c r="M1351" t="str">
        <f t="shared" si="562"/>
        <v>04-08-2020</v>
      </c>
      <c r="N1351" t="str">
        <f t="shared" ref="N1351:N1414" si="567">"001105018356"</f>
        <v>001105018356</v>
      </c>
      <c r="O1351" t="str">
        <f t="shared" ref="O1351:O1414" si="568">"MYR"</f>
        <v>MYR</v>
      </c>
      <c r="P1351" t="str">
        <f t="shared" si="563"/>
        <v>NIL</v>
      </c>
      <c r="Q1351" t="str">
        <f t="shared" si="563"/>
        <v>NIL</v>
      </c>
      <c r="R1351" t="str">
        <f t="shared" ref="R1351:R1414" si="569">"Accepted"</f>
        <v>Accepted</v>
      </c>
      <c r="S1351" t="str">
        <f t="shared" ref="S1351:S1414" si="570">"Approved"</f>
        <v>Approved</v>
      </c>
      <c r="T1351" t="str">
        <f t="shared" ref="T1351:T1414" si="571">"10.20.8.188"</f>
        <v>10.20.8.188</v>
      </c>
      <c r="U1351" t="str">
        <f t="shared" ref="U1351:U1414" si="572">"AZRAD UMAR BIN SHAARI"</f>
        <v>AZRAD UMAR BIN SHAARI</v>
      </c>
      <c r="V1351" t="str">
        <f t="shared" ref="V1351:V1414" si="573">"FARHANA BINTI MUSTAPA"</f>
        <v>FARHANA BINTI MUSTAPA</v>
      </c>
      <c r="W1351" t="str">
        <f t="shared" ref="W1351:W1414" si="574">"04-08-2020"</f>
        <v>04-08-2020</v>
      </c>
      <c r="X1351" t="str">
        <f t="shared" ref="X1351:X1414" si="575">"RAZIMAH ANSAR AHMAD"</f>
        <v>RAZIMAH ANSAR AHMAD</v>
      </c>
      <c r="Y1351" t="str">
        <f t="shared" ref="Y1351:Y1414" si="576">"04-08-2020"</f>
        <v>04-08-2020</v>
      </c>
      <c r="Z1351" t="str">
        <f>"COS10200804 7803"</f>
        <v>COS10200804 7803</v>
      </c>
    </row>
    <row r="1352" spans="1:26" x14ac:dyDescent="0.25">
      <c r="A1352" t="str">
        <f t="shared" si="560"/>
        <v>04-08-2020 01:08:42</v>
      </c>
      <c r="B1352" t="str">
        <f>"0000809604"</f>
        <v>0000809604</v>
      </c>
      <c r="C1352" t="str">
        <f t="shared" si="561"/>
        <v>0000809602</v>
      </c>
      <c r="D1352" t="str">
        <f t="shared" si="564"/>
        <v>73185</v>
      </c>
      <c r="E1352" t="str">
        <f t="shared" si="565"/>
        <v>KFH-OPERATIONS DEPARTMENT</v>
      </c>
      <c r="F1352" t="str">
        <f t="shared" si="566"/>
        <v>IBG</v>
      </c>
      <c r="G1352" t="str">
        <f t="shared" si="552"/>
        <v>Refund COSHARE 10</v>
      </c>
      <c r="H1352" s="2">
        <v>646.45000000000005</v>
      </c>
      <c r="I1352" t="str">
        <f>"VICTOR AMIN"</f>
        <v>VICTOR AMIN</v>
      </c>
      <c r="J1352" t="str">
        <f t="shared" si="553"/>
        <v>MAYBANK / MAYBANK ISLAMIC</v>
      </c>
      <c r="K1352" t="str">
        <f>"110077185899"</f>
        <v>110077185899</v>
      </c>
      <c r="L1352" t="str">
        <f t="shared" si="562"/>
        <v>04-08-2020</v>
      </c>
      <c r="M1352" t="str">
        <f t="shared" si="562"/>
        <v>04-08-2020</v>
      </c>
      <c r="N1352" t="str">
        <f t="shared" si="567"/>
        <v>001105018356</v>
      </c>
      <c r="O1352" t="str">
        <f t="shared" si="568"/>
        <v>MYR</v>
      </c>
      <c r="P1352" t="str">
        <f t="shared" si="563"/>
        <v>NIL</v>
      </c>
      <c r="Q1352" t="str">
        <f t="shared" si="563"/>
        <v>NIL</v>
      </c>
      <c r="R1352" t="str">
        <f t="shared" si="569"/>
        <v>Accepted</v>
      </c>
      <c r="S1352" t="str">
        <f t="shared" si="570"/>
        <v>Approved</v>
      </c>
      <c r="T1352" t="str">
        <f t="shared" si="571"/>
        <v>10.20.8.188</v>
      </c>
      <c r="U1352" t="str">
        <f t="shared" si="572"/>
        <v>AZRAD UMAR BIN SHAARI</v>
      </c>
      <c r="V1352" t="str">
        <f t="shared" si="573"/>
        <v>FARHANA BINTI MUSTAPA</v>
      </c>
      <c r="W1352" t="str">
        <f t="shared" si="574"/>
        <v>04-08-2020</v>
      </c>
      <c r="X1352" t="str">
        <f t="shared" si="575"/>
        <v>RAZIMAH ANSAR AHMAD</v>
      </c>
      <c r="Y1352" t="str">
        <f t="shared" si="576"/>
        <v>04-08-2020</v>
      </c>
      <c r="Z1352" t="str">
        <f>"COS10200804 7802"</f>
        <v>COS10200804 7802</v>
      </c>
    </row>
    <row r="1353" spans="1:26" x14ac:dyDescent="0.25">
      <c r="A1353" t="str">
        <f t="shared" si="560"/>
        <v>04-08-2020 01:08:42</v>
      </c>
      <c r="B1353" t="str">
        <f>"0000809603"</f>
        <v>0000809603</v>
      </c>
      <c r="C1353" t="str">
        <f t="shared" si="561"/>
        <v>0000809602</v>
      </c>
      <c r="D1353" t="str">
        <f t="shared" si="564"/>
        <v>73185</v>
      </c>
      <c r="E1353" t="str">
        <f t="shared" si="565"/>
        <v>KFH-OPERATIONS DEPARTMENT</v>
      </c>
      <c r="F1353" t="str">
        <f t="shared" si="566"/>
        <v>IBG</v>
      </c>
      <c r="G1353" t="str">
        <f t="shared" si="552"/>
        <v>Refund COSHARE 10</v>
      </c>
      <c r="H1353" s="2">
        <v>812</v>
      </c>
      <c r="I1353" t="str">
        <f>"VICKNESWARY AP SUPRAMANIAM"</f>
        <v>VICKNESWARY AP SUPRAMANIAM</v>
      </c>
      <c r="J1353" t="str">
        <f t="shared" si="553"/>
        <v>MAYBANK / MAYBANK ISLAMIC</v>
      </c>
      <c r="K1353" t="str">
        <f>"111039144931"</f>
        <v>111039144931</v>
      </c>
      <c r="L1353" t="str">
        <f t="shared" si="562"/>
        <v>04-08-2020</v>
      </c>
      <c r="M1353" t="str">
        <f t="shared" si="562"/>
        <v>04-08-2020</v>
      </c>
      <c r="N1353" t="str">
        <f t="shared" si="567"/>
        <v>001105018356</v>
      </c>
      <c r="O1353" t="str">
        <f t="shared" si="568"/>
        <v>MYR</v>
      </c>
      <c r="P1353" t="str">
        <f t="shared" si="563"/>
        <v>NIL</v>
      </c>
      <c r="Q1353" t="str">
        <f t="shared" si="563"/>
        <v>NIL</v>
      </c>
      <c r="R1353" t="str">
        <f t="shared" si="569"/>
        <v>Accepted</v>
      </c>
      <c r="S1353" t="str">
        <f t="shared" si="570"/>
        <v>Approved</v>
      </c>
      <c r="T1353" t="str">
        <f t="shared" si="571"/>
        <v>10.20.8.188</v>
      </c>
      <c r="U1353" t="str">
        <f t="shared" si="572"/>
        <v>AZRAD UMAR BIN SHAARI</v>
      </c>
      <c r="V1353" t="str">
        <f t="shared" si="573"/>
        <v>FARHANA BINTI MUSTAPA</v>
      </c>
      <c r="W1353" t="str">
        <f t="shared" si="574"/>
        <v>04-08-2020</v>
      </c>
      <c r="X1353" t="str">
        <f t="shared" si="575"/>
        <v>RAZIMAH ANSAR AHMAD</v>
      </c>
      <c r="Y1353" t="str">
        <f t="shared" si="576"/>
        <v>04-08-2020</v>
      </c>
      <c r="Z1353" t="str">
        <f>"COS10200804 7801"</f>
        <v>COS10200804 7801</v>
      </c>
    </row>
    <row r="1354" spans="1:26" x14ac:dyDescent="0.25">
      <c r="A1354" t="str">
        <f t="shared" ref="A1354:A1385" si="577">"04-08-2020 01:08:11"</f>
        <v>04-08-2020 01:08:11</v>
      </c>
      <c r="B1354" t="str">
        <f>"0000809601"</f>
        <v>0000809601</v>
      </c>
      <c r="C1354" t="str">
        <f t="shared" ref="C1354:C1385" si="578">"0000809401"</f>
        <v>0000809401</v>
      </c>
      <c r="D1354" t="str">
        <f t="shared" si="564"/>
        <v>73185</v>
      </c>
      <c r="E1354" t="str">
        <f t="shared" si="565"/>
        <v>KFH-OPERATIONS DEPARTMENT</v>
      </c>
      <c r="F1354" t="str">
        <f t="shared" si="566"/>
        <v>IBG</v>
      </c>
      <c r="G1354" t="str">
        <f t="shared" si="552"/>
        <v>Refund COSHARE 10</v>
      </c>
      <c r="H1354" s="2">
        <v>695</v>
      </c>
      <c r="I1354" t="str">
        <f>"VERITINUS SANTIONG"</f>
        <v>VERITINUS SANTIONG</v>
      </c>
      <c r="J1354" t="str">
        <f t="shared" si="553"/>
        <v>MAYBANK / MAYBANK ISLAMIC</v>
      </c>
      <c r="K1354" t="str">
        <f>"160102005687"</f>
        <v>160102005687</v>
      </c>
      <c r="L1354" t="str">
        <f t="shared" si="562"/>
        <v>04-08-2020</v>
      </c>
      <c r="M1354" t="str">
        <f t="shared" si="562"/>
        <v>04-08-2020</v>
      </c>
      <c r="N1354" t="str">
        <f t="shared" si="567"/>
        <v>001105018356</v>
      </c>
      <c r="O1354" t="str">
        <f t="shared" si="568"/>
        <v>MYR</v>
      </c>
      <c r="P1354" t="str">
        <f t="shared" si="563"/>
        <v>NIL</v>
      </c>
      <c r="Q1354" t="str">
        <f t="shared" si="563"/>
        <v>NIL</v>
      </c>
      <c r="R1354" t="str">
        <f t="shared" si="569"/>
        <v>Accepted</v>
      </c>
      <c r="S1354" t="str">
        <f t="shared" si="570"/>
        <v>Approved</v>
      </c>
      <c r="T1354" t="str">
        <f t="shared" si="571"/>
        <v>10.20.8.188</v>
      </c>
      <c r="U1354" t="str">
        <f t="shared" si="572"/>
        <v>AZRAD UMAR BIN SHAARI</v>
      </c>
      <c r="V1354" t="str">
        <f t="shared" si="573"/>
        <v>FARHANA BINTI MUSTAPA</v>
      </c>
      <c r="W1354" t="str">
        <f t="shared" si="574"/>
        <v>04-08-2020</v>
      </c>
      <c r="X1354" t="str">
        <f t="shared" si="575"/>
        <v>RAZIMAH ANSAR AHMAD</v>
      </c>
      <c r="Y1354" t="str">
        <f t="shared" si="576"/>
        <v>04-08-2020</v>
      </c>
      <c r="Z1354" t="str">
        <f>"COS10200804 7800"</f>
        <v>COS10200804 7800</v>
      </c>
    </row>
    <row r="1355" spans="1:26" x14ac:dyDescent="0.25">
      <c r="A1355" t="str">
        <f t="shared" si="577"/>
        <v>04-08-2020 01:08:11</v>
      </c>
      <c r="B1355" t="str">
        <f>"0000809600"</f>
        <v>0000809600</v>
      </c>
      <c r="C1355" t="str">
        <f t="shared" si="578"/>
        <v>0000809401</v>
      </c>
      <c r="D1355" t="str">
        <f t="shared" si="564"/>
        <v>73185</v>
      </c>
      <c r="E1355" t="str">
        <f t="shared" si="565"/>
        <v>KFH-OPERATIONS DEPARTMENT</v>
      </c>
      <c r="F1355" t="str">
        <f t="shared" si="566"/>
        <v>IBG</v>
      </c>
      <c r="G1355" t="str">
        <f t="shared" si="552"/>
        <v>Refund COSHARE 10</v>
      </c>
      <c r="H1355" s="2">
        <v>839.5</v>
      </c>
      <c r="I1355" t="str">
        <f>"VERAMUTHU AL TIMRAYAN"</f>
        <v>VERAMUTHU AL TIMRAYAN</v>
      </c>
      <c r="J1355" t="str">
        <f t="shared" si="553"/>
        <v>MAYBANK / MAYBANK ISLAMIC</v>
      </c>
      <c r="K1355" t="str">
        <f>"112054118646"</f>
        <v>112054118646</v>
      </c>
      <c r="L1355" t="str">
        <f t="shared" si="562"/>
        <v>04-08-2020</v>
      </c>
      <c r="M1355" t="str">
        <f t="shared" si="562"/>
        <v>04-08-2020</v>
      </c>
      <c r="N1355" t="str">
        <f t="shared" si="567"/>
        <v>001105018356</v>
      </c>
      <c r="O1355" t="str">
        <f t="shared" si="568"/>
        <v>MYR</v>
      </c>
      <c r="P1355" t="str">
        <f t="shared" si="563"/>
        <v>NIL</v>
      </c>
      <c r="Q1355" t="str">
        <f t="shared" si="563"/>
        <v>NIL</v>
      </c>
      <c r="R1355" t="str">
        <f t="shared" si="569"/>
        <v>Accepted</v>
      </c>
      <c r="S1355" t="str">
        <f t="shared" si="570"/>
        <v>Approved</v>
      </c>
      <c r="T1355" t="str">
        <f t="shared" si="571"/>
        <v>10.20.8.188</v>
      </c>
      <c r="U1355" t="str">
        <f t="shared" si="572"/>
        <v>AZRAD UMAR BIN SHAARI</v>
      </c>
      <c r="V1355" t="str">
        <f t="shared" si="573"/>
        <v>FARHANA BINTI MUSTAPA</v>
      </c>
      <c r="W1355" t="str">
        <f t="shared" si="574"/>
        <v>04-08-2020</v>
      </c>
      <c r="X1355" t="str">
        <f t="shared" si="575"/>
        <v>RAZIMAH ANSAR AHMAD</v>
      </c>
      <c r="Y1355" t="str">
        <f t="shared" si="576"/>
        <v>04-08-2020</v>
      </c>
      <c r="Z1355" t="str">
        <f>"COS10200804 7799"</f>
        <v>COS10200804 7799</v>
      </c>
    </row>
    <row r="1356" spans="1:26" x14ac:dyDescent="0.25">
      <c r="A1356" t="str">
        <f t="shared" si="577"/>
        <v>04-08-2020 01:08:11</v>
      </c>
      <c r="B1356" t="str">
        <f>"0000809599"</f>
        <v>0000809599</v>
      </c>
      <c r="C1356" t="str">
        <f t="shared" si="578"/>
        <v>0000809401</v>
      </c>
      <c r="D1356" t="str">
        <f t="shared" si="564"/>
        <v>73185</v>
      </c>
      <c r="E1356" t="str">
        <f t="shared" si="565"/>
        <v>KFH-OPERATIONS DEPARTMENT</v>
      </c>
      <c r="F1356" t="str">
        <f t="shared" si="566"/>
        <v>IBG</v>
      </c>
      <c r="G1356" t="str">
        <f t="shared" ref="G1356:G1419" si="579">"Refund COSHARE 10"</f>
        <v>Refund COSHARE 10</v>
      </c>
      <c r="H1356" s="2">
        <v>109.15</v>
      </c>
      <c r="I1356" t="str">
        <f>"VENLYNNE JOE ANAK DORES  JORES"</f>
        <v>VENLYNNE JOE ANAK DORES  JORES</v>
      </c>
      <c r="J1356" t="str">
        <f t="shared" si="553"/>
        <v>MAYBANK / MAYBANK ISLAMIC</v>
      </c>
      <c r="K1356" t="str">
        <f>"105047125956"</f>
        <v>105047125956</v>
      </c>
      <c r="L1356" t="str">
        <f t="shared" si="562"/>
        <v>04-08-2020</v>
      </c>
      <c r="M1356" t="str">
        <f t="shared" si="562"/>
        <v>04-08-2020</v>
      </c>
      <c r="N1356" t="str">
        <f t="shared" si="567"/>
        <v>001105018356</v>
      </c>
      <c r="O1356" t="str">
        <f t="shared" si="568"/>
        <v>MYR</v>
      </c>
      <c r="P1356" t="str">
        <f t="shared" si="563"/>
        <v>NIL</v>
      </c>
      <c r="Q1356" t="str">
        <f t="shared" si="563"/>
        <v>NIL</v>
      </c>
      <c r="R1356" t="str">
        <f t="shared" si="569"/>
        <v>Accepted</v>
      </c>
      <c r="S1356" t="str">
        <f t="shared" si="570"/>
        <v>Approved</v>
      </c>
      <c r="T1356" t="str">
        <f t="shared" si="571"/>
        <v>10.20.8.188</v>
      </c>
      <c r="U1356" t="str">
        <f t="shared" si="572"/>
        <v>AZRAD UMAR BIN SHAARI</v>
      </c>
      <c r="V1356" t="str">
        <f t="shared" si="573"/>
        <v>FARHANA BINTI MUSTAPA</v>
      </c>
      <c r="W1356" t="str">
        <f t="shared" si="574"/>
        <v>04-08-2020</v>
      </c>
      <c r="X1356" t="str">
        <f t="shared" si="575"/>
        <v>RAZIMAH ANSAR AHMAD</v>
      </c>
      <c r="Y1356" t="str">
        <f t="shared" si="576"/>
        <v>04-08-2020</v>
      </c>
      <c r="Z1356" t="str">
        <f>"COS10200804 7798"</f>
        <v>COS10200804 7798</v>
      </c>
    </row>
    <row r="1357" spans="1:26" x14ac:dyDescent="0.25">
      <c r="A1357" t="str">
        <f t="shared" si="577"/>
        <v>04-08-2020 01:08:11</v>
      </c>
      <c r="B1357" t="str">
        <f>"0000809598"</f>
        <v>0000809598</v>
      </c>
      <c r="C1357" t="str">
        <f t="shared" si="578"/>
        <v>0000809401</v>
      </c>
      <c r="D1357" t="str">
        <f t="shared" si="564"/>
        <v>73185</v>
      </c>
      <c r="E1357" t="str">
        <f t="shared" si="565"/>
        <v>KFH-OPERATIONS DEPARTMENT</v>
      </c>
      <c r="F1357" t="str">
        <f t="shared" si="566"/>
        <v>IBG</v>
      </c>
      <c r="G1357" t="str">
        <f t="shared" si="579"/>
        <v>Refund COSHARE 10</v>
      </c>
      <c r="H1357" s="2">
        <v>1777.2</v>
      </c>
      <c r="I1357" t="str">
        <f>"VEJAYAK KUMAR AL ELLAPPAN"</f>
        <v>VEJAYAK KUMAR AL ELLAPPAN</v>
      </c>
      <c r="J1357" t="str">
        <f t="shared" si="553"/>
        <v>MAYBANK / MAYBANK ISLAMIC</v>
      </c>
      <c r="K1357" t="str">
        <f>"114066422350"</f>
        <v>114066422350</v>
      </c>
      <c r="L1357" t="str">
        <f t="shared" si="562"/>
        <v>04-08-2020</v>
      </c>
      <c r="M1357" t="str">
        <f t="shared" si="562"/>
        <v>04-08-2020</v>
      </c>
      <c r="N1357" t="str">
        <f t="shared" si="567"/>
        <v>001105018356</v>
      </c>
      <c r="O1357" t="str">
        <f t="shared" si="568"/>
        <v>MYR</v>
      </c>
      <c r="P1357" t="str">
        <f t="shared" si="563"/>
        <v>NIL</v>
      </c>
      <c r="Q1357" t="str">
        <f t="shared" si="563"/>
        <v>NIL</v>
      </c>
      <c r="R1357" t="str">
        <f t="shared" si="569"/>
        <v>Accepted</v>
      </c>
      <c r="S1357" t="str">
        <f t="shared" si="570"/>
        <v>Approved</v>
      </c>
      <c r="T1357" t="str">
        <f t="shared" si="571"/>
        <v>10.20.8.188</v>
      </c>
      <c r="U1357" t="str">
        <f t="shared" si="572"/>
        <v>AZRAD UMAR BIN SHAARI</v>
      </c>
      <c r="V1357" t="str">
        <f t="shared" si="573"/>
        <v>FARHANA BINTI MUSTAPA</v>
      </c>
      <c r="W1357" t="str">
        <f t="shared" si="574"/>
        <v>04-08-2020</v>
      </c>
      <c r="X1357" t="str">
        <f t="shared" si="575"/>
        <v>RAZIMAH ANSAR AHMAD</v>
      </c>
      <c r="Y1357" t="str">
        <f t="shared" si="576"/>
        <v>04-08-2020</v>
      </c>
      <c r="Z1357" t="str">
        <f>"COS10200804 7797"</f>
        <v>COS10200804 7797</v>
      </c>
    </row>
    <row r="1358" spans="1:26" x14ac:dyDescent="0.25">
      <c r="A1358" t="str">
        <f t="shared" si="577"/>
        <v>04-08-2020 01:08:11</v>
      </c>
      <c r="B1358" t="str">
        <f>"0000809597"</f>
        <v>0000809597</v>
      </c>
      <c r="C1358" t="str">
        <f t="shared" si="578"/>
        <v>0000809401</v>
      </c>
      <c r="D1358" t="str">
        <f t="shared" si="564"/>
        <v>73185</v>
      </c>
      <c r="E1358" t="str">
        <f t="shared" si="565"/>
        <v>KFH-OPERATIONS DEPARTMENT</v>
      </c>
      <c r="F1358" t="str">
        <f t="shared" si="566"/>
        <v>IBG</v>
      </c>
      <c r="G1358" t="str">
        <f t="shared" si="579"/>
        <v>Refund COSHARE 10</v>
      </c>
      <c r="H1358" s="2">
        <v>1679</v>
      </c>
      <c r="I1358" t="str">
        <f>"VANITHA AP SAIGARAN"</f>
        <v>VANITHA AP SAIGARAN</v>
      </c>
      <c r="J1358" t="str">
        <f t="shared" si="553"/>
        <v>MAYBANK / MAYBANK ISLAMIC</v>
      </c>
      <c r="K1358" t="str">
        <f>"102184007535"</f>
        <v>102184007535</v>
      </c>
      <c r="L1358" t="str">
        <f t="shared" si="562"/>
        <v>04-08-2020</v>
      </c>
      <c r="M1358" t="str">
        <f t="shared" si="562"/>
        <v>04-08-2020</v>
      </c>
      <c r="N1358" t="str">
        <f t="shared" si="567"/>
        <v>001105018356</v>
      </c>
      <c r="O1358" t="str">
        <f t="shared" si="568"/>
        <v>MYR</v>
      </c>
      <c r="P1358" t="str">
        <f t="shared" si="563"/>
        <v>NIL</v>
      </c>
      <c r="Q1358" t="str">
        <f t="shared" si="563"/>
        <v>NIL</v>
      </c>
      <c r="R1358" t="str">
        <f t="shared" si="569"/>
        <v>Accepted</v>
      </c>
      <c r="S1358" t="str">
        <f t="shared" si="570"/>
        <v>Approved</v>
      </c>
      <c r="T1358" t="str">
        <f t="shared" si="571"/>
        <v>10.20.8.188</v>
      </c>
      <c r="U1358" t="str">
        <f t="shared" si="572"/>
        <v>AZRAD UMAR BIN SHAARI</v>
      </c>
      <c r="V1358" t="str">
        <f t="shared" si="573"/>
        <v>FARHANA BINTI MUSTAPA</v>
      </c>
      <c r="W1358" t="str">
        <f t="shared" si="574"/>
        <v>04-08-2020</v>
      </c>
      <c r="X1358" t="str">
        <f t="shared" si="575"/>
        <v>RAZIMAH ANSAR AHMAD</v>
      </c>
      <c r="Y1358" t="str">
        <f t="shared" si="576"/>
        <v>04-08-2020</v>
      </c>
      <c r="Z1358" t="str">
        <f>"COS10200804 7796"</f>
        <v>COS10200804 7796</v>
      </c>
    </row>
    <row r="1359" spans="1:26" x14ac:dyDescent="0.25">
      <c r="A1359" t="str">
        <f t="shared" si="577"/>
        <v>04-08-2020 01:08:11</v>
      </c>
      <c r="B1359" t="str">
        <f>"0000809596"</f>
        <v>0000809596</v>
      </c>
      <c r="C1359" t="str">
        <f t="shared" si="578"/>
        <v>0000809401</v>
      </c>
      <c r="D1359" t="str">
        <f t="shared" si="564"/>
        <v>73185</v>
      </c>
      <c r="E1359" t="str">
        <f t="shared" si="565"/>
        <v>KFH-OPERATIONS DEPARTMENT</v>
      </c>
      <c r="F1359" t="str">
        <f t="shared" si="566"/>
        <v>IBG</v>
      </c>
      <c r="G1359" t="str">
        <f t="shared" si="579"/>
        <v>Refund COSHARE 10</v>
      </c>
      <c r="H1359" s="2">
        <v>125.95</v>
      </c>
      <c r="I1359" t="str">
        <f>"USAMA BIN IBRAHIM"</f>
        <v>USAMA BIN IBRAHIM</v>
      </c>
      <c r="J1359" t="str">
        <f t="shared" si="553"/>
        <v>MAYBANK / MAYBANK ISLAMIC</v>
      </c>
      <c r="K1359" t="str">
        <f>"112027068405"</f>
        <v>112027068405</v>
      </c>
      <c r="L1359" t="str">
        <f t="shared" si="562"/>
        <v>04-08-2020</v>
      </c>
      <c r="M1359" t="str">
        <f t="shared" si="562"/>
        <v>04-08-2020</v>
      </c>
      <c r="N1359" t="str">
        <f t="shared" si="567"/>
        <v>001105018356</v>
      </c>
      <c r="O1359" t="str">
        <f t="shared" si="568"/>
        <v>MYR</v>
      </c>
      <c r="P1359" t="str">
        <f t="shared" si="563"/>
        <v>NIL</v>
      </c>
      <c r="Q1359" t="str">
        <f t="shared" si="563"/>
        <v>NIL</v>
      </c>
      <c r="R1359" t="str">
        <f t="shared" si="569"/>
        <v>Accepted</v>
      </c>
      <c r="S1359" t="str">
        <f t="shared" si="570"/>
        <v>Approved</v>
      </c>
      <c r="T1359" t="str">
        <f t="shared" si="571"/>
        <v>10.20.8.188</v>
      </c>
      <c r="U1359" t="str">
        <f t="shared" si="572"/>
        <v>AZRAD UMAR BIN SHAARI</v>
      </c>
      <c r="V1359" t="str">
        <f t="shared" si="573"/>
        <v>FARHANA BINTI MUSTAPA</v>
      </c>
      <c r="W1359" t="str">
        <f t="shared" si="574"/>
        <v>04-08-2020</v>
      </c>
      <c r="X1359" t="str">
        <f t="shared" si="575"/>
        <v>RAZIMAH ANSAR AHMAD</v>
      </c>
      <c r="Y1359" t="str">
        <f t="shared" si="576"/>
        <v>04-08-2020</v>
      </c>
      <c r="Z1359" t="str">
        <f>"COS10200804 7795"</f>
        <v>COS10200804 7795</v>
      </c>
    </row>
    <row r="1360" spans="1:26" x14ac:dyDescent="0.25">
      <c r="A1360" t="str">
        <f t="shared" si="577"/>
        <v>04-08-2020 01:08:11</v>
      </c>
      <c r="B1360" t="str">
        <f>"0000809595"</f>
        <v>0000809595</v>
      </c>
      <c r="C1360" t="str">
        <f t="shared" si="578"/>
        <v>0000809401</v>
      </c>
      <c r="D1360" t="str">
        <f t="shared" si="564"/>
        <v>73185</v>
      </c>
      <c r="E1360" t="str">
        <f t="shared" si="565"/>
        <v>KFH-OPERATIONS DEPARTMENT</v>
      </c>
      <c r="F1360" t="str">
        <f t="shared" si="566"/>
        <v>IBG</v>
      </c>
      <c r="G1360" t="str">
        <f t="shared" si="579"/>
        <v>Refund COSHARE 10</v>
      </c>
      <c r="H1360" s="2">
        <v>629.65</v>
      </c>
      <c r="I1360" t="str">
        <f>"UNGKU ABDULLAH IBRAHIM"</f>
        <v>UNGKU ABDULLAH IBRAHIM</v>
      </c>
      <c r="J1360" t="str">
        <f t="shared" si="553"/>
        <v>MAYBANK / MAYBANK ISLAMIC</v>
      </c>
      <c r="K1360" t="str">
        <f>"151137862914"</f>
        <v>151137862914</v>
      </c>
      <c r="L1360" t="str">
        <f t="shared" si="562"/>
        <v>04-08-2020</v>
      </c>
      <c r="M1360" t="str">
        <f t="shared" si="562"/>
        <v>04-08-2020</v>
      </c>
      <c r="N1360" t="str">
        <f t="shared" si="567"/>
        <v>001105018356</v>
      </c>
      <c r="O1360" t="str">
        <f t="shared" si="568"/>
        <v>MYR</v>
      </c>
      <c r="P1360" t="str">
        <f t="shared" si="563"/>
        <v>NIL</v>
      </c>
      <c r="Q1360" t="str">
        <f t="shared" si="563"/>
        <v>NIL</v>
      </c>
      <c r="R1360" t="str">
        <f t="shared" si="569"/>
        <v>Accepted</v>
      </c>
      <c r="S1360" t="str">
        <f t="shared" si="570"/>
        <v>Approved</v>
      </c>
      <c r="T1360" t="str">
        <f t="shared" si="571"/>
        <v>10.20.8.188</v>
      </c>
      <c r="U1360" t="str">
        <f t="shared" si="572"/>
        <v>AZRAD UMAR BIN SHAARI</v>
      </c>
      <c r="V1360" t="str">
        <f t="shared" si="573"/>
        <v>FARHANA BINTI MUSTAPA</v>
      </c>
      <c r="W1360" t="str">
        <f t="shared" si="574"/>
        <v>04-08-2020</v>
      </c>
      <c r="X1360" t="str">
        <f t="shared" si="575"/>
        <v>RAZIMAH ANSAR AHMAD</v>
      </c>
      <c r="Y1360" t="str">
        <f t="shared" si="576"/>
        <v>04-08-2020</v>
      </c>
      <c r="Z1360" t="str">
        <f>"COS10200804 7794"</f>
        <v>COS10200804 7794</v>
      </c>
    </row>
    <row r="1361" spans="1:26" x14ac:dyDescent="0.25">
      <c r="A1361" t="str">
        <f t="shared" si="577"/>
        <v>04-08-2020 01:08:11</v>
      </c>
      <c r="B1361" t="str">
        <f>"0000809594"</f>
        <v>0000809594</v>
      </c>
      <c r="C1361" t="str">
        <f t="shared" si="578"/>
        <v>0000809401</v>
      </c>
      <c r="D1361" t="str">
        <f t="shared" si="564"/>
        <v>73185</v>
      </c>
      <c r="E1361" t="str">
        <f t="shared" si="565"/>
        <v>KFH-OPERATIONS DEPARTMENT</v>
      </c>
      <c r="F1361" t="str">
        <f t="shared" si="566"/>
        <v>IBG</v>
      </c>
      <c r="G1361" t="str">
        <f t="shared" si="579"/>
        <v>Refund COSHARE 10</v>
      </c>
      <c r="H1361" s="2">
        <v>157.65</v>
      </c>
      <c r="I1361" t="str">
        <f>"UMOR BAKI BIN AHMAD"</f>
        <v>UMOR BAKI BIN AHMAD</v>
      </c>
      <c r="J1361" t="str">
        <f t="shared" ref="J1361:J1424" si="580">"MAYBANK / MAYBANK ISLAMIC"</f>
        <v>MAYBANK / MAYBANK ISLAMIC</v>
      </c>
      <c r="K1361" t="str">
        <f>"106137035310"</f>
        <v>106137035310</v>
      </c>
      <c r="L1361" t="str">
        <f t="shared" si="562"/>
        <v>04-08-2020</v>
      </c>
      <c r="M1361" t="str">
        <f t="shared" si="562"/>
        <v>04-08-2020</v>
      </c>
      <c r="N1361" t="str">
        <f t="shared" si="567"/>
        <v>001105018356</v>
      </c>
      <c r="O1361" t="str">
        <f t="shared" si="568"/>
        <v>MYR</v>
      </c>
      <c r="P1361" t="str">
        <f t="shared" si="563"/>
        <v>NIL</v>
      </c>
      <c r="Q1361" t="str">
        <f t="shared" si="563"/>
        <v>NIL</v>
      </c>
      <c r="R1361" t="str">
        <f t="shared" si="569"/>
        <v>Accepted</v>
      </c>
      <c r="S1361" t="str">
        <f t="shared" si="570"/>
        <v>Approved</v>
      </c>
      <c r="T1361" t="str">
        <f t="shared" si="571"/>
        <v>10.20.8.188</v>
      </c>
      <c r="U1361" t="str">
        <f t="shared" si="572"/>
        <v>AZRAD UMAR BIN SHAARI</v>
      </c>
      <c r="V1361" t="str">
        <f t="shared" si="573"/>
        <v>FARHANA BINTI MUSTAPA</v>
      </c>
      <c r="W1361" t="str">
        <f t="shared" si="574"/>
        <v>04-08-2020</v>
      </c>
      <c r="X1361" t="str">
        <f t="shared" si="575"/>
        <v>RAZIMAH ANSAR AHMAD</v>
      </c>
      <c r="Y1361" t="str">
        <f t="shared" si="576"/>
        <v>04-08-2020</v>
      </c>
      <c r="Z1361" t="str">
        <f>"COS10200804 7793"</f>
        <v>COS10200804 7793</v>
      </c>
    </row>
    <row r="1362" spans="1:26" x14ac:dyDescent="0.25">
      <c r="A1362" t="str">
        <f t="shared" si="577"/>
        <v>04-08-2020 01:08:11</v>
      </c>
      <c r="B1362" t="str">
        <f>"0000809593"</f>
        <v>0000809593</v>
      </c>
      <c r="C1362" t="str">
        <f t="shared" si="578"/>
        <v>0000809401</v>
      </c>
      <c r="D1362" t="str">
        <f t="shared" si="564"/>
        <v>73185</v>
      </c>
      <c r="E1362" t="str">
        <f t="shared" si="565"/>
        <v>KFH-OPERATIONS DEPARTMENT</v>
      </c>
      <c r="F1362" t="str">
        <f t="shared" si="566"/>
        <v>IBG</v>
      </c>
      <c r="G1362" t="str">
        <f t="shared" si="579"/>
        <v>Refund COSHARE 10</v>
      </c>
      <c r="H1362" s="2">
        <v>1518</v>
      </c>
      <c r="I1362" t="str">
        <f>"UMMU FADHIL AL FARUQY BT M SUJUTHI"</f>
        <v>UMMU FADHIL AL FARUQY BT M SUJUTHI</v>
      </c>
      <c r="J1362" t="str">
        <f t="shared" si="580"/>
        <v>MAYBANK / MAYBANK ISLAMIC</v>
      </c>
      <c r="K1362" t="str">
        <f>"158088148327"</f>
        <v>158088148327</v>
      </c>
      <c r="L1362" t="str">
        <f t="shared" si="562"/>
        <v>04-08-2020</v>
      </c>
      <c r="M1362" t="str">
        <f t="shared" si="562"/>
        <v>04-08-2020</v>
      </c>
      <c r="N1362" t="str">
        <f t="shared" si="567"/>
        <v>001105018356</v>
      </c>
      <c r="O1362" t="str">
        <f t="shared" si="568"/>
        <v>MYR</v>
      </c>
      <c r="P1362" t="str">
        <f t="shared" si="563"/>
        <v>NIL</v>
      </c>
      <c r="Q1362" t="str">
        <f t="shared" si="563"/>
        <v>NIL</v>
      </c>
      <c r="R1362" t="str">
        <f t="shared" si="569"/>
        <v>Accepted</v>
      </c>
      <c r="S1362" t="str">
        <f t="shared" si="570"/>
        <v>Approved</v>
      </c>
      <c r="T1362" t="str">
        <f t="shared" si="571"/>
        <v>10.20.8.188</v>
      </c>
      <c r="U1362" t="str">
        <f t="shared" si="572"/>
        <v>AZRAD UMAR BIN SHAARI</v>
      </c>
      <c r="V1362" t="str">
        <f t="shared" si="573"/>
        <v>FARHANA BINTI MUSTAPA</v>
      </c>
      <c r="W1362" t="str">
        <f t="shared" si="574"/>
        <v>04-08-2020</v>
      </c>
      <c r="X1362" t="str">
        <f t="shared" si="575"/>
        <v>RAZIMAH ANSAR AHMAD</v>
      </c>
      <c r="Y1362" t="str">
        <f t="shared" si="576"/>
        <v>04-08-2020</v>
      </c>
      <c r="Z1362" t="str">
        <f>"COS10200804 7792"</f>
        <v>COS10200804 7792</v>
      </c>
    </row>
    <row r="1363" spans="1:26" x14ac:dyDescent="0.25">
      <c r="A1363" t="str">
        <f t="shared" si="577"/>
        <v>04-08-2020 01:08:11</v>
      </c>
      <c r="B1363" t="str">
        <f>"0000809592"</f>
        <v>0000809592</v>
      </c>
      <c r="C1363" t="str">
        <f t="shared" si="578"/>
        <v>0000809401</v>
      </c>
      <c r="D1363" t="str">
        <f t="shared" si="564"/>
        <v>73185</v>
      </c>
      <c r="E1363" t="str">
        <f t="shared" si="565"/>
        <v>KFH-OPERATIONS DEPARTMENT</v>
      </c>
      <c r="F1363" t="str">
        <f t="shared" si="566"/>
        <v>IBG</v>
      </c>
      <c r="G1363" t="str">
        <f t="shared" si="579"/>
        <v>Refund COSHARE 10</v>
      </c>
      <c r="H1363" s="2">
        <v>209.9</v>
      </c>
      <c r="I1363" t="str">
        <f>"UMMI NASSHUHA BINTI SHAMSUDIN"</f>
        <v>UMMI NASSHUHA BINTI SHAMSUDIN</v>
      </c>
      <c r="J1363" t="str">
        <f t="shared" si="580"/>
        <v>MAYBANK / MAYBANK ISLAMIC</v>
      </c>
      <c r="K1363" t="str">
        <f>"156141202779"</f>
        <v>156141202779</v>
      </c>
      <c r="L1363" t="str">
        <f t="shared" si="562"/>
        <v>04-08-2020</v>
      </c>
      <c r="M1363" t="str">
        <f t="shared" si="562"/>
        <v>04-08-2020</v>
      </c>
      <c r="N1363" t="str">
        <f t="shared" si="567"/>
        <v>001105018356</v>
      </c>
      <c r="O1363" t="str">
        <f t="shared" si="568"/>
        <v>MYR</v>
      </c>
      <c r="P1363" t="str">
        <f t="shared" si="563"/>
        <v>NIL</v>
      </c>
      <c r="Q1363" t="str">
        <f t="shared" si="563"/>
        <v>NIL</v>
      </c>
      <c r="R1363" t="str">
        <f t="shared" si="569"/>
        <v>Accepted</v>
      </c>
      <c r="S1363" t="str">
        <f t="shared" si="570"/>
        <v>Approved</v>
      </c>
      <c r="T1363" t="str">
        <f t="shared" si="571"/>
        <v>10.20.8.188</v>
      </c>
      <c r="U1363" t="str">
        <f t="shared" si="572"/>
        <v>AZRAD UMAR BIN SHAARI</v>
      </c>
      <c r="V1363" t="str">
        <f t="shared" si="573"/>
        <v>FARHANA BINTI MUSTAPA</v>
      </c>
      <c r="W1363" t="str">
        <f t="shared" si="574"/>
        <v>04-08-2020</v>
      </c>
      <c r="X1363" t="str">
        <f t="shared" si="575"/>
        <v>RAZIMAH ANSAR AHMAD</v>
      </c>
      <c r="Y1363" t="str">
        <f t="shared" si="576"/>
        <v>04-08-2020</v>
      </c>
      <c r="Z1363" t="str">
        <f>"COS10200804 7791"</f>
        <v>COS10200804 7791</v>
      </c>
    </row>
    <row r="1364" spans="1:26" x14ac:dyDescent="0.25">
      <c r="A1364" t="str">
        <f t="shared" si="577"/>
        <v>04-08-2020 01:08:11</v>
      </c>
      <c r="B1364" t="str">
        <f>"0000809591"</f>
        <v>0000809591</v>
      </c>
      <c r="C1364" t="str">
        <f t="shared" si="578"/>
        <v>0000809401</v>
      </c>
      <c r="D1364" t="str">
        <f t="shared" si="564"/>
        <v>73185</v>
      </c>
      <c r="E1364" t="str">
        <f t="shared" si="565"/>
        <v>KFH-OPERATIONS DEPARTMENT</v>
      </c>
      <c r="F1364" t="str">
        <f t="shared" si="566"/>
        <v>IBG</v>
      </c>
      <c r="G1364" t="str">
        <f t="shared" si="579"/>
        <v>Refund COSHARE 10</v>
      </c>
      <c r="H1364" s="2">
        <v>83.95</v>
      </c>
      <c r="I1364" t="str">
        <f>"UMI KHAIRUNNISA BINTI KUSHAIRI"</f>
        <v>UMI KHAIRUNNISA BINTI KUSHAIRI</v>
      </c>
      <c r="J1364" t="str">
        <f t="shared" si="580"/>
        <v>MAYBANK / MAYBANK ISLAMIC</v>
      </c>
      <c r="K1364" t="str">
        <f>"116015013052"</f>
        <v>116015013052</v>
      </c>
      <c r="L1364" t="str">
        <f t="shared" si="562"/>
        <v>04-08-2020</v>
      </c>
      <c r="M1364" t="str">
        <f t="shared" si="562"/>
        <v>04-08-2020</v>
      </c>
      <c r="N1364" t="str">
        <f t="shared" si="567"/>
        <v>001105018356</v>
      </c>
      <c r="O1364" t="str">
        <f t="shared" si="568"/>
        <v>MYR</v>
      </c>
      <c r="P1364" t="str">
        <f t="shared" si="563"/>
        <v>NIL</v>
      </c>
      <c r="Q1364" t="str">
        <f t="shared" si="563"/>
        <v>NIL</v>
      </c>
      <c r="R1364" t="str">
        <f t="shared" si="569"/>
        <v>Accepted</v>
      </c>
      <c r="S1364" t="str">
        <f t="shared" si="570"/>
        <v>Approved</v>
      </c>
      <c r="T1364" t="str">
        <f t="shared" si="571"/>
        <v>10.20.8.188</v>
      </c>
      <c r="U1364" t="str">
        <f t="shared" si="572"/>
        <v>AZRAD UMAR BIN SHAARI</v>
      </c>
      <c r="V1364" t="str">
        <f t="shared" si="573"/>
        <v>FARHANA BINTI MUSTAPA</v>
      </c>
      <c r="W1364" t="str">
        <f t="shared" si="574"/>
        <v>04-08-2020</v>
      </c>
      <c r="X1364" t="str">
        <f t="shared" si="575"/>
        <v>RAZIMAH ANSAR AHMAD</v>
      </c>
      <c r="Y1364" t="str">
        <f t="shared" si="576"/>
        <v>04-08-2020</v>
      </c>
      <c r="Z1364" t="str">
        <f>"COS10200804 7790"</f>
        <v>COS10200804 7790</v>
      </c>
    </row>
    <row r="1365" spans="1:26" x14ac:dyDescent="0.25">
      <c r="A1365" t="str">
        <f t="shared" si="577"/>
        <v>04-08-2020 01:08:11</v>
      </c>
      <c r="B1365" t="str">
        <f>"0000809590"</f>
        <v>0000809590</v>
      </c>
      <c r="C1365" t="str">
        <f t="shared" si="578"/>
        <v>0000809401</v>
      </c>
      <c r="D1365" t="str">
        <f t="shared" si="564"/>
        <v>73185</v>
      </c>
      <c r="E1365" t="str">
        <f t="shared" si="565"/>
        <v>KFH-OPERATIONS DEPARTMENT</v>
      </c>
      <c r="F1365" t="str">
        <f t="shared" si="566"/>
        <v>IBG</v>
      </c>
      <c r="G1365" t="str">
        <f t="shared" si="579"/>
        <v>Refund COSHARE 10</v>
      </c>
      <c r="H1365" s="2">
        <v>84</v>
      </c>
      <c r="I1365" t="str">
        <f>"UMI KALSOM BINTI ZAKARIA"</f>
        <v>UMI KALSOM BINTI ZAKARIA</v>
      </c>
      <c r="J1365" t="str">
        <f t="shared" si="580"/>
        <v>MAYBANK / MAYBANK ISLAMIC</v>
      </c>
      <c r="K1365" t="str">
        <f>"162348469169"</f>
        <v>162348469169</v>
      </c>
      <c r="L1365" t="str">
        <f t="shared" si="562"/>
        <v>04-08-2020</v>
      </c>
      <c r="M1365" t="str">
        <f t="shared" si="562"/>
        <v>04-08-2020</v>
      </c>
      <c r="N1365" t="str">
        <f t="shared" si="567"/>
        <v>001105018356</v>
      </c>
      <c r="O1365" t="str">
        <f t="shared" si="568"/>
        <v>MYR</v>
      </c>
      <c r="P1365" t="str">
        <f t="shared" si="563"/>
        <v>NIL</v>
      </c>
      <c r="Q1365" t="str">
        <f t="shared" si="563"/>
        <v>NIL</v>
      </c>
      <c r="R1365" t="str">
        <f t="shared" si="569"/>
        <v>Accepted</v>
      </c>
      <c r="S1365" t="str">
        <f t="shared" si="570"/>
        <v>Approved</v>
      </c>
      <c r="T1365" t="str">
        <f t="shared" si="571"/>
        <v>10.20.8.188</v>
      </c>
      <c r="U1365" t="str">
        <f t="shared" si="572"/>
        <v>AZRAD UMAR BIN SHAARI</v>
      </c>
      <c r="V1365" t="str">
        <f t="shared" si="573"/>
        <v>FARHANA BINTI MUSTAPA</v>
      </c>
      <c r="W1365" t="str">
        <f t="shared" si="574"/>
        <v>04-08-2020</v>
      </c>
      <c r="X1365" t="str">
        <f t="shared" si="575"/>
        <v>RAZIMAH ANSAR AHMAD</v>
      </c>
      <c r="Y1365" t="str">
        <f t="shared" si="576"/>
        <v>04-08-2020</v>
      </c>
      <c r="Z1365" t="str">
        <f>"COS10200804 7789"</f>
        <v>COS10200804 7789</v>
      </c>
    </row>
    <row r="1366" spans="1:26" x14ac:dyDescent="0.25">
      <c r="A1366" t="str">
        <f t="shared" si="577"/>
        <v>04-08-2020 01:08:11</v>
      </c>
      <c r="B1366" t="str">
        <f>"0000809589"</f>
        <v>0000809589</v>
      </c>
      <c r="C1366" t="str">
        <f t="shared" si="578"/>
        <v>0000809401</v>
      </c>
      <c r="D1366" t="str">
        <f t="shared" si="564"/>
        <v>73185</v>
      </c>
      <c r="E1366" t="str">
        <f t="shared" si="565"/>
        <v>KFH-OPERATIONS DEPARTMENT</v>
      </c>
      <c r="F1366" t="str">
        <f t="shared" si="566"/>
        <v>IBG</v>
      </c>
      <c r="G1366" t="str">
        <f t="shared" si="579"/>
        <v>Refund COSHARE 10</v>
      </c>
      <c r="H1366" s="2">
        <v>1376.8</v>
      </c>
      <c r="I1366" t="str">
        <f>"UMAT BIN KAWI"</f>
        <v>UMAT BIN KAWI</v>
      </c>
      <c r="J1366" t="str">
        <f t="shared" si="580"/>
        <v>MAYBANK / MAYBANK ISLAMIC</v>
      </c>
      <c r="K1366" t="str">
        <f>"162508077434"</f>
        <v>162508077434</v>
      </c>
      <c r="L1366" t="str">
        <f t="shared" si="562"/>
        <v>04-08-2020</v>
      </c>
      <c r="M1366" t="str">
        <f t="shared" si="562"/>
        <v>04-08-2020</v>
      </c>
      <c r="N1366" t="str">
        <f t="shared" si="567"/>
        <v>001105018356</v>
      </c>
      <c r="O1366" t="str">
        <f t="shared" si="568"/>
        <v>MYR</v>
      </c>
      <c r="P1366" t="str">
        <f t="shared" si="563"/>
        <v>NIL</v>
      </c>
      <c r="Q1366" t="str">
        <f t="shared" si="563"/>
        <v>NIL</v>
      </c>
      <c r="R1366" t="str">
        <f t="shared" si="569"/>
        <v>Accepted</v>
      </c>
      <c r="S1366" t="str">
        <f t="shared" si="570"/>
        <v>Approved</v>
      </c>
      <c r="T1366" t="str">
        <f t="shared" si="571"/>
        <v>10.20.8.188</v>
      </c>
      <c r="U1366" t="str">
        <f t="shared" si="572"/>
        <v>AZRAD UMAR BIN SHAARI</v>
      </c>
      <c r="V1366" t="str">
        <f t="shared" si="573"/>
        <v>FARHANA BINTI MUSTAPA</v>
      </c>
      <c r="W1366" t="str">
        <f t="shared" si="574"/>
        <v>04-08-2020</v>
      </c>
      <c r="X1366" t="str">
        <f t="shared" si="575"/>
        <v>RAZIMAH ANSAR AHMAD</v>
      </c>
      <c r="Y1366" t="str">
        <f t="shared" si="576"/>
        <v>04-08-2020</v>
      </c>
      <c r="Z1366" t="str">
        <f>"COS10200804 7788"</f>
        <v>COS10200804 7788</v>
      </c>
    </row>
    <row r="1367" spans="1:26" x14ac:dyDescent="0.25">
      <c r="A1367" t="str">
        <f t="shared" si="577"/>
        <v>04-08-2020 01:08:11</v>
      </c>
      <c r="B1367" t="str">
        <f>"0000809588"</f>
        <v>0000809588</v>
      </c>
      <c r="C1367" t="str">
        <f t="shared" si="578"/>
        <v>0000809401</v>
      </c>
      <c r="D1367" t="str">
        <f t="shared" si="564"/>
        <v>73185</v>
      </c>
      <c r="E1367" t="str">
        <f t="shared" si="565"/>
        <v>KFH-OPERATIONS DEPARTMENT</v>
      </c>
      <c r="F1367" t="str">
        <f t="shared" si="566"/>
        <v>IBG</v>
      </c>
      <c r="G1367" t="str">
        <f t="shared" si="579"/>
        <v>Refund COSHARE 10</v>
      </c>
      <c r="H1367" s="2">
        <v>786.4</v>
      </c>
      <c r="I1367" t="str">
        <f>"UMARAJAN AL RATNAM"</f>
        <v>UMARAJAN AL RATNAM</v>
      </c>
      <c r="J1367" t="str">
        <f t="shared" si="580"/>
        <v>MAYBANK / MAYBANK ISLAMIC</v>
      </c>
      <c r="K1367" t="str">
        <f>"108011849916"</f>
        <v>108011849916</v>
      </c>
      <c r="L1367" t="str">
        <f t="shared" ref="L1367:M1386" si="581">"04-08-2020"</f>
        <v>04-08-2020</v>
      </c>
      <c r="M1367" t="str">
        <f t="shared" si="581"/>
        <v>04-08-2020</v>
      </c>
      <c r="N1367" t="str">
        <f t="shared" si="567"/>
        <v>001105018356</v>
      </c>
      <c r="O1367" t="str">
        <f t="shared" si="568"/>
        <v>MYR</v>
      </c>
      <c r="P1367" t="str">
        <f t="shared" ref="P1367:Q1386" si="582">"NIL"</f>
        <v>NIL</v>
      </c>
      <c r="Q1367" t="str">
        <f t="shared" si="582"/>
        <v>NIL</v>
      </c>
      <c r="R1367" t="str">
        <f t="shared" si="569"/>
        <v>Accepted</v>
      </c>
      <c r="S1367" t="str">
        <f t="shared" si="570"/>
        <v>Approved</v>
      </c>
      <c r="T1367" t="str">
        <f t="shared" si="571"/>
        <v>10.20.8.188</v>
      </c>
      <c r="U1367" t="str">
        <f t="shared" si="572"/>
        <v>AZRAD UMAR BIN SHAARI</v>
      </c>
      <c r="V1367" t="str">
        <f t="shared" si="573"/>
        <v>FARHANA BINTI MUSTAPA</v>
      </c>
      <c r="W1367" t="str">
        <f t="shared" si="574"/>
        <v>04-08-2020</v>
      </c>
      <c r="X1367" t="str">
        <f t="shared" si="575"/>
        <v>RAZIMAH ANSAR AHMAD</v>
      </c>
      <c r="Y1367" t="str">
        <f t="shared" si="576"/>
        <v>04-08-2020</v>
      </c>
      <c r="Z1367" t="str">
        <f>"COS10200804 7787"</f>
        <v>COS10200804 7787</v>
      </c>
    </row>
    <row r="1368" spans="1:26" x14ac:dyDescent="0.25">
      <c r="A1368" t="str">
        <f t="shared" si="577"/>
        <v>04-08-2020 01:08:11</v>
      </c>
      <c r="B1368" t="str">
        <f>"0000809587"</f>
        <v>0000809587</v>
      </c>
      <c r="C1368" t="str">
        <f t="shared" si="578"/>
        <v>0000809401</v>
      </c>
      <c r="D1368" t="str">
        <f t="shared" si="564"/>
        <v>73185</v>
      </c>
      <c r="E1368" t="str">
        <f t="shared" si="565"/>
        <v>KFH-OPERATIONS DEPARTMENT</v>
      </c>
      <c r="F1368" t="str">
        <f t="shared" si="566"/>
        <v>IBG</v>
      </c>
      <c r="G1368" t="str">
        <f t="shared" si="579"/>
        <v>Refund COSHARE 10</v>
      </c>
      <c r="H1368" s="2">
        <v>133.05000000000001</v>
      </c>
      <c r="I1368" t="str">
        <f>"UJIDAH BINTI DANIN"</f>
        <v>UJIDAH BINTI DANIN</v>
      </c>
      <c r="J1368" t="str">
        <f t="shared" si="580"/>
        <v>MAYBANK / MAYBANK ISLAMIC</v>
      </c>
      <c r="K1368" t="str">
        <f>"160148858002"</f>
        <v>160148858002</v>
      </c>
      <c r="L1368" t="str">
        <f t="shared" si="581"/>
        <v>04-08-2020</v>
      </c>
      <c r="M1368" t="str">
        <f t="shared" si="581"/>
        <v>04-08-2020</v>
      </c>
      <c r="N1368" t="str">
        <f t="shared" si="567"/>
        <v>001105018356</v>
      </c>
      <c r="O1368" t="str">
        <f t="shared" si="568"/>
        <v>MYR</v>
      </c>
      <c r="P1368" t="str">
        <f t="shared" si="582"/>
        <v>NIL</v>
      </c>
      <c r="Q1368" t="str">
        <f t="shared" si="582"/>
        <v>NIL</v>
      </c>
      <c r="R1368" t="str">
        <f t="shared" si="569"/>
        <v>Accepted</v>
      </c>
      <c r="S1368" t="str">
        <f t="shared" si="570"/>
        <v>Approved</v>
      </c>
      <c r="T1368" t="str">
        <f t="shared" si="571"/>
        <v>10.20.8.188</v>
      </c>
      <c r="U1368" t="str">
        <f t="shared" si="572"/>
        <v>AZRAD UMAR BIN SHAARI</v>
      </c>
      <c r="V1368" t="str">
        <f t="shared" si="573"/>
        <v>FARHANA BINTI MUSTAPA</v>
      </c>
      <c r="W1368" t="str">
        <f t="shared" si="574"/>
        <v>04-08-2020</v>
      </c>
      <c r="X1368" t="str">
        <f t="shared" si="575"/>
        <v>RAZIMAH ANSAR AHMAD</v>
      </c>
      <c r="Y1368" t="str">
        <f t="shared" si="576"/>
        <v>04-08-2020</v>
      </c>
      <c r="Z1368" t="str">
        <f>"COS10200804 7786"</f>
        <v>COS10200804 7786</v>
      </c>
    </row>
    <row r="1369" spans="1:26" x14ac:dyDescent="0.25">
      <c r="A1369" t="str">
        <f t="shared" si="577"/>
        <v>04-08-2020 01:08:11</v>
      </c>
      <c r="B1369" t="str">
        <f>"0000809586"</f>
        <v>0000809586</v>
      </c>
      <c r="C1369" t="str">
        <f t="shared" si="578"/>
        <v>0000809401</v>
      </c>
      <c r="D1369" t="str">
        <f t="shared" si="564"/>
        <v>73185</v>
      </c>
      <c r="E1369" t="str">
        <f t="shared" si="565"/>
        <v>KFH-OPERATIONS DEPARTMENT</v>
      </c>
      <c r="F1369" t="str">
        <f t="shared" si="566"/>
        <v>IBG</v>
      </c>
      <c r="G1369" t="str">
        <f t="shared" si="579"/>
        <v>Refund COSHARE 10</v>
      </c>
      <c r="H1369" s="2">
        <v>1143.3</v>
      </c>
      <c r="I1369" t="str">
        <f>"UJANG BIN MOHAMED LAZIM"</f>
        <v>UJANG BIN MOHAMED LAZIM</v>
      </c>
      <c r="J1369" t="str">
        <f t="shared" si="580"/>
        <v>MAYBANK / MAYBANK ISLAMIC</v>
      </c>
      <c r="K1369" t="str">
        <f>"101133253534"</f>
        <v>101133253534</v>
      </c>
      <c r="L1369" t="str">
        <f t="shared" si="581"/>
        <v>04-08-2020</v>
      </c>
      <c r="M1369" t="str">
        <f t="shared" si="581"/>
        <v>04-08-2020</v>
      </c>
      <c r="N1369" t="str">
        <f t="shared" si="567"/>
        <v>001105018356</v>
      </c>
      <c r="O1369" t="str">
        <f t="shared" si="568"/>
        <v>MYR</v>
      </c>
      <c r="P1369" t="str">
        <f t="shared" si="582"/>
        <v>NIL</v>
      </c>
      <c r="Q1369" t="str">
        <f t="shared" si="582"/>
        <v>NIL</v>
      </c>
      <c r="R1369" t="str">
        <f t="shared" si="569"/>
        <v>Accepted</v>
      </c>
      <c r="S1369" t="str">
        <f t="shared" si="570"/>
        <v>Approved</v>
      </c>
      <c r="T1369" t="str">
        <f t="shared" si="571"/>
        <v>10.20.8.188</v>
      </c>
      <c r="U1369" t="str">
        <f t="shared" si="572"/>
        <v>AZRAD UMAR BIN SHAARI</v>
      </c>
      <c r="V1369" t="str">
        <f t="shared" si="573"/>
        <v>FARHANA BINTI MUSTAPA</v>
      </c>
      <c r="W1369" t="str">
        <f t="shared" si="574"/>
        <v>04-08-2020</v>
      </c>
      <c r="X1369" t="str">
        <f t="shared" si="575"/>
        <v>RAZIMAH ANSAR AHMAD</v>
      </c>
      <c r="Y1369" t="str">
        <f t="shared" si="576"/>
        <v>04-08-2020</v>
      </c>
      <c r="Z1369" t="str">
        <f>"COS10200804 7785"</f>
        <v>COS10200804 7785</v>
      </c>
    </row>
    <row r="1370" spans="1:26" x14ac:dyDescent="0.25">
      <c r="A1370" t="str">
        <f t="shared" si="577"/>
        <v>04-08-2020 01:08:11</v>
      </c>
      <c r="B1370" t="str">
        <f>"0000809585"</f>
        <v>0000809585</v>
      </c>
      <c r="C1370" t="str">
        <f t="shared" si="578"/>
        <v>0000809401</v>
      </c>
      <c r="D1370" t="str">
        <f t="shared" si="564"/>
        <v>73185</v>
      </c>
      <c r="E1370" t="str">
        <f t="shared" si="565"/>
        <v>KFH-OPERATIONS DEPARTMENT</v>
      </c>
      <c r="F1370" t="str">
        <f t="shared" si="566"/>
        <v>IBG</v>
      </c>
      <c r="G1370" t="str">
        <f t="shared" si="579"/>
        <v>Refund COSHARE 10</v>
      </c>
      <c r="H1370" s="2">
        <v>61.4</v>
      </c>
      <c r="I1370" t="str">
        <f>"TUZIAH BINTI HITAM"</f>
        <v>TUZIAH BINTI HITAM</v>
      </c>
      <c r="J1370" t="str">
        <f t="shared" si="580"/>
        <v>MAYBANK / MAYBANK ISLAMIC</v>
      </c>
      <c r="K1370" t="str">
        <f>"112204200534"</f>
        <v>112204200534</v>
      </c>
      <c r="L1370" t="str">
        <f t="shared" si="581"/>
        <v>04-08-2020</v>
      </c>
      <c r="M1370" t="str">
        <f t="shared" si="581"/>
        <v>04-08-2020</v>
      </c>
      <c r="N1370" t="str">
        <f t="shared" si="567"/>
        <v>001105018356</v>
      </c>
      <c r="O1370" t="str">
        <f t="shared" si="568"/>
        <v>MYR</v>
      </c>
      <c r="P1370" t="str">
        <f t="shared" si="582"/>
        <v>NIL</v>
      </c>
      <c r="Q1370" t="str">
        <f t="shared" si="582"/>
        <v>NIL</v>
      </c>
      <c r="R1370" t="str">
        <f t="shared" si="569"/>
        <v>Accepted</v>
      </c>
      <c r="S1370" t="str">
        <f t="shared" si="570"/>
        <v>Approved</v>
      </c>
      <c r="T1370" t="str">
        <f t="shared" si="571"/>
        <v>10.20.8.188</v>
      </c>
      <c r="U1370" t="str">
        <f t="shared" si="572"/>
        <v>AZRAD UMAR BIN SHAARI</v>
      </c>
      <c r="V1370" t="str">
        <f t="shared" si="573"/>
        <v>FARHANA BINTI MUSTAPA</v>
      </c>
      <c r="W1370" t="str">
        <f t="shared" si="574"/>
        <v>04-08-2020</v>
      </c>
      <c r="X1370" t="str">
        <f t="shared" si="575"/>
        <v>RAZIMAH ANSAR AHMAD</v>
      </c>
      <c r="Y1370" t="str">
        <f t="shared" si="576"/>
        <v>04-08-2020</v>
      </c>
      <c r="Z1370" t="str">
        <f>"COS10200804 7784"</f>
        <v>COS10200804 7784</v>
      </c>
    </row>
    <row r="1371" spans="1:26" x14ac:dyDescent="0.25">
      <c r="A1371" t="str">
        <f t="shared" si="577"/>
        <v>04-08-2020 01:08:11</v>
      </c>
      <c r="B1371" t="str">
        <f>"0000809584"</f>
        <v>0000809584</v>
      </c>
      <c r="C1371" t="str">
        <f t="shared" si="578"/>
        <v>0000809401</v>
      </c>
      <c r="D1371" t="str">
        <f t="shared" si="564"/>
        <v>73185</v>
      </c>
      <c r="E1371" t="str">
        <f t="shared" si="565"/>
        <v>KFH-OPERATIONS DEPARTMENT</v>
      </c>
      <c r="F1371" t="str">
        <f t="shared" si="566"/>
        <v>IBG</v>
      </c>
      <c r="G1371" t="str">
        <f t="shared" si="579"/>
        <v>Refund COSHARE 10</v>
      </c>
      <c r="H1371" s="2">
        <v>1502.7</v>
      </c>
      <c r="I1371" t="str">
        <f>"TUTY ROHIDA BINTI ABU BAKAR"</f>
        <v>TUTY ROHIDA BINTI ABU BAKAR</v>
      </c>
      <c r="J1371" t="str">
        <f t="shared" si="580"/>
        <v>MAYBANK / MAYBANK ISLAMIC</v>
      </c>
      <c r="K1371" t="str">
        <f>"164258087322"</f>
        <v>164258087322</v>
      </c>
      <c r="L1371" t="str">
        <f t="shared" si="581"/>
        <v>04-08-2020</v>
      </c>
      <c r="M1371" t="str">
        <f t="shared" si="581"/>
        <v>04-08-2020</v>
      </c>
      <c r="N1371" t="str">
        <f t="shared" si="567"/>
        <v>001105018356</v>
      </c>
      <c r="O1371" t="str">
        <f t="shared" si="568"/>
        <v>MYR</v>
      </c>
      <c r="P1371" t="str">
        <f t="shared" si="582"/>
        <v>NIL</v>
      </c>
      <c r="Q1371" t="str">
        <f t="shared" si="582"/>
        <v>NIL</v>
      </c>
      <c r="R1371" t="str">
        <f t="shared" si="569"/>
        <v>Accepted</v>
      </c>
      <c r="S1371" t="str">
        <f t="shared" si="570"/>
        <v>Approved</v>
      </c>
      <c r="T1371" t="str">
        <f t="shared" si="571"/>
        <v>10.20.8.188</v>
      </c>
      <c r="U1371" t="str">
        <f t="shared" si="572"/>
        <v>AZRAD UMAR BIN SHAARI</v>
      </c>
      <c r="V1371" t="str">
        <f t="shared" si="573"/>
        <v>FARHANA BINTI MUSTAPA</v>
      </c>
      <c r="W1371" t="str">
        <f t="shared" si="574"/>
        <v>04-08-2020</v>
      </c>
      <c r="X1371" t="str">
        <f t="shared" si="575"/>
        <v>RAZIMAH ANSAR AHMAD</v>
      </c>
      <c r="Y1371" t="str">
        <f t="shared" si="576"/>
        <v>04-08-2020</v>
      </c>
      <c r="Z1371" t="str">
        <f>"COS10200804 7783"</f>
        <v>COS10200804 7783</v>
      </c>
    </row>
    <row r="1372" spans="1:26" x14ac:dyDescent="0.25">
      <c r="A1372" t="str">
        <f t="shared" si="577"/>
        <v>04-08-2020 01:08:11</v>
      </c>
      <c r="B1372" t="str">
        <f>"0000809583"</f>
        <v>0000809583</v>
      </c>
      <c r="C1372" t="str">
        <f t="shared" si="578"/>
        <v>0000809401</v>
      </c>
      <c r="D1372" t="str">
        <f t="shared" si="564"/>
        <v>73185</v>
      </c>
      <c r="E1372" t="str">
        <f t="shared" si="565"/>
        <v>KFH-OPERATIONS DEPARTMENT</v>
      </c>
      <c r="F1372" t="str">
        <f t="shared" si="566"/>
        <v>IBG</v>
      </c>
      <c r="G1372" t="str">
        <f t="shared" si="579"/>
        <v>Refund COSHARE 10</v>
      </c>
      <c r="H1372" s="2">
        <v>216.15</v>
      </c>
      <c r="I1372" t="str">
        <f>"TUN ALI BIN MOHAMAD"</f>
        <v>TUN ALI BIN MOHAMAD</v>
      </c>
      <c r="J1372" t="str">
        <f t="shared" si="580"/>
        <v>MAYBANK / MAYBANK ISLAMIC</v>
      </c>
      <c r="K1372" t="str">
        <f>"164397931726"</f>
        <v>164397931726</v>
      </c>
      <c r="L1372" t="str">
        <f t="shared" si="581"/>
        <v>04-08-2020</v>
      </c>
      <c r="M1372" t="str">
        <f t="shared" si="581"/>
        <v>04-08-2020</v>
      </c>
      <c r="N1372" t="str">
        <f t="shared" si="567"/>
        <v>001105018356</v>
      </c>
      <c r="O1372" t="str">
        <f t="shared" si="568"/>
        <v>MYR</v>
      </c>
      <c r="P1372" t="str">
        <f t="shared" si="582"/>
        <v>NIL</v>
      </c>
      <c r="Q1372" t="str">
        <f t="shared" si="582"/>
        <v>NIL</v>
      </c>
      <c r="R1372" t="str">
        <f t="shared" si="569"/>
        <v>Accepted</v>
      </c>
      <c r="S1372" t="str">
        <f t="shared" si="570"/>
        <v>Approved</v>
      </c>
      <c r="T1372" t="str">
        <f t="shared" si="571"/>
        <v>10.20.8.188</v>
      </c>
      <c r="U1372" t="str">
        <f t="shared" si="572"/>
        <v>AZRAD UMAR BIN SHAARI</v>
      </c>
      <c r="V1372" t="str">
        <f t="shared" si="573"/>
        <v>FARHANA BINTI MUSTAPA</v>
      </c>
      <c r="W1372" t="str">
        <f t="shared" si="574"/>
        <v>04-08-2020</v>
      </c>
      <c r="X1372" t="str">
        <f t="shared" si="575"/>
        <v>RAZIMAH ANSAR AHMAD</v>
      </c>
      <c r="Y1372" t="str">
        <f t="shared" si="576"/>
        <v>04-08-2020</v>
      </c>
      <c r="Z1372" t="str">
        <f>"COS10200804 7782"</f>
        <v>COS10200804 7782</v>
      </c>
    </row>
    <row r="1373" spans="1:26" x14ac:dyDescent="0.25">
      <c r="A1373" t="str">
        <f t="shared" si="577"/>
        <v>04-08-2020 01:08:11</v>
      </c>
      <c r="B1373" t="str">
        <f>"0000809582"</f>
        <v>0000809582</v>
      </c>
      <c r="C1373" t="str">
        <f t="shared" si="578"/>
        <v>0000809401</v>
      </c>
      <c r="D1373" t="str">
        <f t="shared" si="564"/>
        <v>73185</v>
      </c>
      <c r="E1373" t="str">
        <f t="shared" si="565"/>
        <v>KFH-OPERATIONS DEPARTMENT</v>
      </c>
      <c r="F1373" t="str">
        <f t="shared" si="566"/>
        <v>IBG</v>
      </c>
      <c r="G1373" t="str">
        <f t="shared" si="579"/>
        <v>Refund COSHARE 10</v>
      </c>
      <c r="H1373" s="2">
        <v>1986</v>
      </c>
      <c r="I1373" t="str">
        <f>"TUAN ZUL AZIZ BIN TUAN MAT"</f>
        <v>TUAN ZUL AZIZ BIN TUAN MAT</v>
      </c>
      <c r="J1373" t="str">
        <f t="shared" si="580"/>
        <v>MAYBANK / MAYBANK ISLAMIC</v>
      </c>
      <c r="K1373" t="str">
        <f>"152050142991"</f>
        <v>152050142991</v>
      </c>
      <c r="L1373" t="str">
        <f t="shared" si="581"/>
        <v>04-08-2020</v>
      </c>
      <c r="M1373" t="str">
        <f t="shared" si="581"/>
        <v>04-08-2020</v>
      </c>
      <c r="N1373" t="str">
        <f t="shared" si="567"/>
        <v>001105018356</v>
      </c>
      <c r="O1373" t="str">
        <f t="shared" si="568"/>
        <v>MYR</v>
      </c>
      <c r="P1373" t="str">
        <f t="shared" si="582"/>
        <v>NIL</v>
      </c>
      <c r="Q1373" t="str">
        <f t="shared" si="582"/>
        <v>NIL</v>
      </c>
      <c r="R1373" t="str">
        <f t="shared" si="569"/>
        <v>Accepted</v>
      </c>
      <c r="S1373" t="str">
        <f t="shared" si="570"/>
        <v>Approved</v>
      </c>
      <c r="T1373" t="str">
        <f t="shared" si="571"/>
        <v>10.20.8.188</v>
      </c>
      <c r="U1373" t="str">
        <f t="shared" si="572"/>
        <v>AZRAD UMAR BIN SHAARI</v>
      </c>
      <c r="V1373" t="str">
        <f t="shared" si="573"/>
        <v>FARHANA BINTI MUSTAPA</v>
      </c>
      <c r="W1373" t="str">
        <f t="shared" si="574"/>
        <v>04-08-2020</v>
      </c>
      <c r="X1373" t="str">
        <f t="shared" si="575"/>
        <v>RAZIMAH ANSAR AHMAD</v>
      </c>
      <c r="Y1373" t="str">
        <f t="shared" si="576"/>
        <v>04-08-2020</v>
      </c>
      <c r="Z1373" t="str">
        <f>"COS10200804 7781"</f>
        <v>COS10200804 7781</v>
      </c>
    </row>
    <row r="1374" spans="1:26" x14ac:dyDescent="0.25">
      <c r="A1374" t="str">
        <f t="shared" si="577"/>
        <v>04-08-2020 01:08:11</v>
      </c>
      <c r="B1374" t="str">
        <f>"0000809581"</f>
        <v>0000809581</v>
      </c>
      <c r="C1374" t="str">
        <f t="shared" si="578"/>
        <v>0000809401</v>
      </c>
      <c r="D1374" t="str">
        <f t="shared" si="564"/>
        <v>73185</v>
      </c>
      <c r="E1374" t="str">
        <f t="shared" si="565"/>
        <v>KFH-OPERATIONS DEPARTMENT</v>
      </c>
      <c r="F1374" t="str">
        <f t="shared" si="566"/>
        <v>IBG</v>
      </c>
      <c r="G1374" t="str">
        <f t="shared" si="579"/>
        <v>Refund COSHARE 10</v>
      </c>
      <c r="H1374" s="2">
        <v>1250.8499999999999</v>
      </c>
      <c r="I1374" t="str">
        <f>"TUAN ROZMA BINTI TUAN MAT"</f>
        <v>TUAN ROZMA BINTI TUAN MAT</v>
      </c>
      <c r="J1374" t="str">
        <f t="shared" si="580"/>
        <v>MAYBANK / MAYBANK ISLAMIC</v>
      </c>
      <c r="K1374" t="str">
        <f>"110050115516"</f>
        <v>110050115516</v>
      </c>
      <c r="L1374" t="str">
        <f t="shared" si="581"/>
        <v>04-08-2020</v>
      </c>
      <c r="M1374" t="str">
        <f t="shared" si="581"/>
        <v>04-08-2020</v>
      </c>
      <c r="N1374" t="str">
        <f t="shared" si="567"/>
        <v>001105018356</v>
      </c>
      <c r="O1374" t="str">
        <f t="shared" si="568"/>
        <v>MYR</v>
      </c>
      <c r="P1374" t="str">
        <f t="shared" si="582"/>
        <v>NIL</v>
      </c>
      <c r="Q1374" t="str">
        <f t="shared" si="582"/>
        <v>NIL</v>
      </c>
      <c r="R1374" t="str">
        <f t="shared" si="569"/>
        <v>Accepted</v>
      </c>
      <c r="S1374" t="str">
        <f t="shared" si="570"/>
        <v>Approved</v>
      </c>
      <c r="T1374" t="str">
        <f t="shared" si="571"/>
        <v>10.20.8.188</v>
      </c>
      <c r="U1374" t="str">
        <f t="shared" si="572"/>
        <v>AZRAD UMAR BIN SHAARI</v>
      </c>
      <c r="V1374" t="str">
        <f t="shared" si="573"/>
        <v>FARHANA BINTI MUSTAPA</v>
      </c>
      <c r="W1374" t="str">
        <f t="shared" si="574"/>
        <v>04-08-2020</v>
      </c>
      <c r="X1374" t="str">
        <f t="shared" si="575"/>
        <v>RAZIMAH ANSAR AHMAD</v>
      </c>
      <c r="Y1374" t="str">
        <f t="shared" si="576"/>
        <v>04-08-2020</v>
      </c>
      <c r="Z1374" t="str">
        <f>"COS10200804 7780"</f>
        <v>COS10200804 7780</v>
      </c>
    </row>
    <row r="1375" spans="1:26" x14ac:dyDescent="0.25">
      <c r="A1375" t="str">
        <f t="shared" si="577"/>
        <v>04-08-2020 01:08:11</v>
      </c>
      <c r="B1375" t="str">
        <f>"0000809580"</f>
        <v>0000809580</v>
      </c>
      <c r="C1375" t="str">
        <f t="shared" si="578"/>
        <v>0000809401</v>
      </c>
      <c r="D1375" t="str">
        <f t="shared" si="564"/>
        <v>73185</v>
      </c>
      <c r="E1375" t="str">
        <f t="shared" si="565"/>
        <v>KFH-OPERATIONS DEPARTMENT</v>
      </c>
      <c r="F1375" t="str">
        <f t="shared" si="566"/>
        <v>IBG</v>
      </c>
      <c r="G1375" t="str">
        <f t="shared" si="579"/>
        <v>Refund COSHARE 10</v>
      </c>
      <c r="H1375" s="2">
        <v>1023.25</v>
      </c>
      <c r="I1375" t="str">
        <f>"TUAN NORIZAN BINTI TUAN ABDULLAH"</f>
        <v>TUAN NORIZAN BINTI TUAN ABDULLAH</v>
      </c>
      <c r="J1375" t="str">
        <f t="shared" si="580"/>
        <v>MAYBANK / MAYBANK ISLAMIC</v>
      </c>
      <c r="K1375" t="str">
        <f>"156011031663"</f>
        <v>156011031663</v>
      </c>
      <c r="L1375" t="str">
        <f t="shared" si="581"/>
        <v>04-08-2020</v>
      </c>
      <c r="M1375" t="str">
        <f t="shared" si="581"/>
        <v>04-08-2020</v>
      </c>
      <c r="N1375" t="str">
        <f t="shared" si="567"/>
        <v>001105018356</v>
      </c>
      <c r="O1375" t="str">
        <f t="shared" si="568"/>
        <v>MYR</v>
      </c>
      <c r="P1375" t="str">
        <f t="shared" si="582"/>
        <v>NIL</v>
      </c>
      <c r="Q1375" t="str">
        <f t="shared" si="582"/>
        <v>NIL</v>
      </c>
      <c r="R1375" t="str">
        <f t="shared" si="569"/>
        <v>Accepted</v>
      </c>
      <c r="S1375" t="str">
        <f t="shared" si="570"/>
        <v>Approved</v>
      </c>
      <c r="T1375" t="str">
        <f t="shared" si="571"/>
        <v>10.20.8.188</v>
      </c>
      <c r="U1375" t="str">
        <f t="shared" si="572"/>
        <v>AZRAD UMAR BIN SHAARI</v>
      </c>
      <c r="V1375" t="str">
        <f t="shared" si="573"/>
        <v>FARHANA BINTI MUSTAPA</v>
      </c>
      <c r="W1375" t="str">
        <f t="shared" si="574"/>
        <v>04-08-2020</v>
      </c>
      <c r="X1375" t="str">
        <f t="shared" si="575"/>
        <v>RAZIMAH ANSAR AHMAD</v>
      </c>
      <c r="Y1375" t="str">
        <f t="shared" si="576"/>
        <v>04-08-2020</v>
      </c>
      <c r="Z1375" t="str">
        <f>"COS10200804 7779"</f>
        <v>COS10200804 7779</v>
      </c>
    </row>
    <row r="1376" spans="1:26" x14ac:dyDescent="0.25">
      <c r="A1376" t="str">
        <f t="shared" si="577"/>
        <v>04-08-2020 01:08:11</v>
      </c>
      <c r="B1376" t="str">
        <f>"0000809579"</f>
        <v>0000809579</v>
      </c>
      <c r="C1376" t="str">
        <f t="shared" si="578"/>
        <v>0000809401</v>
      </c>
      <c r="D1376" t="str">
        <f t="shared" si="564"/>
        <v>73185</v>
      </c>
      <c r="E1376" t="str">
        <f t="shared" si="565"/>
        <v>KFH-OPERATIONS DEPARTMENT</v>
      </c>
      <c r="F1376" t="str">
        <f t="shared" si="566"/>
        <v>IBG</v>
      </c>
      <c r="G1376" t="str">
        <f t="shared" si="579"/>
        <v>Refund COSHARE 10</v>
      </c>
      <c r="H1376" s="2">
        <v>1679</v>
      </c>
      <c r="I1376" t="str">
        <f>"TUAN MOHD ZAIRUL HISYAM BIN TUAN MANAN"</f>
        <v>TUAN MOHD ZAIRUL HISYAM BIN TUAN MANAN</v>
      </c>
      <c r="J1376" t="str">
        <f t="shared" si="580"/>
        <v>MAYBANK / MAYBANK ISLAMIC</v>
      </c>
      <c r="K1376" t="str">
        <f>"162731015456"</f>
        <v>162731015456</v>
      </c>
      <c r="L1376" t="str">
        <f t="shared" si="581"/>
        <v>04-08-2020</v>
      </c>
      <c r="M1376" t="str">
        <f t="shared" si="581"/>
        <v>04-08-2020</v>
      </c>
      <c r="N1376" t="str">
        <f t="shared" si="567"/>
        <v>001105018356</v>
      </c>
      <c r="O1376" t="str">
        <f t="shared" si="568"/>
        <v>MYR</v>
      </c>
      <c r="P1376" t="str">
        <f t="shared" si="582"/>
        <v>NIL</v>
      </c>
      <c r="Q1376" t="str">
        <f t="shared" si="582"/>
        <v>NIL</v>
      </c>
      <c r="R1376" t="str">
        <f t="shared" si="569"/>
        <v>Accepted</v>
      </c>
      <c r="S1376" t="str">
        <f t="shared" si="570"/>
        <v>Approved</v>
      </c>
      <c r="T1376" t="str">
        <f t="shared" si="571"/>
        <v>10.20.8.188</v>
      </c>
      <c r="U1376" t="str">
        <f t="shared" si="572"/>
        <v>AZRAD UMAR BIN SHAARI</v>
      </c>
      <c r="V1376" t="str">
        <f t="shared" si="573"/>
        <v>FARHANA BINTI MUSTAPA</v>
      </c>
      <c r="W1376" t="str">
        <f t="shared" si="574"/>
        <v>04-08-2020</v>
      </c>
      <c r="X1376" t="str">
        <f t="shared" si="575"/>
        <v>RAZIMAH ANSAR AHMAD</v>
      </c>
      <c r="Y1376" t="str">
        <f t="shared" si="576"/>
        <v>04-08-2020</v>
      </c>
      <c r="Z1376" t="str">
        <f>"COS10200804 7778"</f>
        <v>COS10200804 7778</v>
      </c>
    </row>
    <row r="1377" spans="1:26" x14ac:dyDescent="0.25">
      <c r="A1377" t="str">
        <f t="shared" si="577"/>
        <v>04-08-2020 01:08:11</v>
      </c>
      <c r="B1377" t="str">
        <f>"0000809578"</f>
        <v>0000809578</v>
      </c>
      <c r="C1377" t="str">
        <f t="shared" si="578"/>
        <v>0000809401</v>
      </c>
      <c r="D1377" t="str">
        <f t="shared" si="564"/>
        <v>73185</v>
      </c>
      <c r="E1377" t="str">
        <f t="shared" si="565"/>
        <v>KFH-OPERATIONS DEPARTMENT</v>
      </c>
      <c r="F1377" t="str">
        <f t="shared" si="566"/>
        <v>IBG</v>
      </c>
      <c r="G1377" t="str">
        <f t="shared" si="579"/>
        <v>Refund COSHARE 10</v>
      </c>
      <c r="H1377" s="2">
        <v>689.6</v>
      </c>
      <c r="I1377" t="str">
        <f>"TUAN MOHD YUSOF BIN TUAN WAIL"</f>
        <v>TUAN MOHD YUSOF BIN TUAN WAIL</v>
      </c>
      <c r="J1377" t="str">
        <f t="shared" si="580"/>
        <v>MAYBANK / MAYBANK ISLAMIC</v>
      </c>
      <c r="K1377" t="str">
        <f>"164799039080"</f>
        <v>164799039080</v>
      </c>
      <c r="L1377" t="str">
        <f t="shared" si="581"/>
        <v>04-08-2020</v>
      </c>
      <c r="M1377" t="str">
        <f t="shared" si="581"/>
        <v>04-08-2020</v>
      </c>
      <c r="N1377" t="str">
        <f t="shared" si="567"/>
        <v>001105018356</v>
      </c>
      <c r="O1377" t="str">
        <f t="shared" si="568"/>
        <v>MYR</v>
      </c>
      <c r="P1377" t="str">
        <f t="shared" si="582"/>
        <v>NIL</v>
      </c>
      <c r="Q1377" t="str">
        <f t="shared" si="582"/>
        <v>NIL</v>
      </c>
      <c r="R1377" t="str">
        <f t="shared" si="569"/>
        <v>Accepted</v>
      </c>
      <c r="S1377" t="str">
        <f t="shared" si="570"/>
        <v>Approved</v>
      </c>
      <c r="T1377" t="str">
        <f t="shared" si="571"/>
        <v>10.20.8.188</v>
      </c>
      <c r="U1377" t="str">
        <f t="shared" si="572"/>
        <v>AZRAD UMAR BIN SHAARI</v>
      </c>
      <c r="V1377" t="str">
        <f t="shared" si="573"/>
        <v>FARHANA BINTI MUSTAPA</v>
      </c>
      <c r="W1377" t="str">
        <f t="shared" si="574"/>
        <v>04-08-2020</v>
      </c>
      <c r="X1377" t="str">
        <f t="shared" si="575"/>
        <v>RAZIMAH ANSAR AHMAD</v>
      </c>
      <c r="Y1377" t="str">
        <f t="shared" si="576"/>
        <v>04-08-2020</v>
      </c>
      <c r="Z1377" t="str">
        <f>"COS10200804 7777"</f>
        <v>COS10200804 7777</v>
      </c>
    </row>
    <row r="1378" spans="1:26" x14ac:dyDescent="0.25">
      <c r="A1378" t="str">
        <f t="shared" si="577"/>
        <v>04-08-2020 01:08:11</v>
      </c>
      <c r="B1378" t="str">
        <f>"0000809577"</f>
        <v>0000809577</v>
      </c>
      <c r="C1378" t="str">
        <f t="shared" si="578"/>
        <v>0000809401</v>
      </c>
      <c r="D1378" t="str">
        <f t="shared" si="564"/>
        <v>73185</v>
      </c>
      <c r="E1378" t="str">
        <f t="shared" si="565"/>
        <v>KFH-OPERATIONS DEPARTMENT</v>
      </c>
      <c r="F1378" t="str">
        <f t="shared" si="566"/>
        <v>IBG</v>
      </c>
      <c r="G1378" t="str">
        <f t="shared" si="579"/>
        <v>Refund COSHARE 10</v>
      </c>
      <c r="H1378" s="2">
        <v>251.85</v>
      </c>
      <c r="I1378" t="str">
        <f>"TONY ANAK MARGIE"</f>
        <v>TONY ANAK MARGIE</v>
      </c>
      <c r="J1378" t="str">
        <f t="shared" si="580"/>
        <v>MAYBANK / MAYBANK ISLAMIC</v>
      </c>
      <c r="K1378" t="str">
        <f>"151203897518"</f>
        <v>151203897518</v>
      </c>
      <c r="L1378" t="str">
        <f t="shared" si="581"/>
        <v>04-08-2020</v>
      </c>
      <c r="M1378" t="str">
        <f t="shared" si="581"/>
        <v>04-08-2020</v>
      </c>
      <c r="N1378" t="str">
        <f t="shared" si="567"/>
        <v>001105018356</v>
      </c>
      <c r="O1378" t="str">
        <f t="shared" si="568"/>
        <v>MYR</v>
      </c>
      <c r="P1378" t="str">
        <f t="shared" si="582"/>
        <v>NIL</v>
      </c>
      <c r="Q1378" t="str">
        <f t="shared" si="582"/>
        <v>NIL</v>
      </c>
      <c r="R1378" t="str">
        <f t="shared" si="569"/>
        <v>Accepted</v>
      </c>
      <c r="S1378" t="str">
        <f t="shared" si="570"/>
        <v>Approved</v>
      </c>
      <c r="T1378" t="str">
        <f t="shared" si="571"/>
        <v>10.20.8.188</v>
      </c>
      <c r="U1378" t="str">
        <f t="shared" si="572"/>
        <v>AZRAD UMAR BIN SHAARI</v>
      </c>
      <c r="V1378" t="str">
        <f t="shared" si="573"/>
        <v>FARHANA BINTI MUSTAPA</v>
      </c>
      <c r="W1378" t="str">
        <f t="shared" si="574"/>
        <v>04-08-2020</v>
      </c>
      <c r="X1378" t="str">
        <f t="shared" si="575"/>
        <v>RAZIMAH ANSAR AHMAD</v>
      </c>
      <c r="Y1378" t="str">
        <f t="shared" si="576"/>
        <v>04-08-2020</v>
      </c>
      <c r="Z1378" t="str">
        <f>"COS10200804 7776"</f>
        <v>COS10200804 7776</v>
      </c>
    </row>
    <row r="1379" spans="1:26" x14ac:dyDescent="0.25">
      <c r="A1379" t="str">
        <f t="shared" si="577"/>
        <v>04-08-2020 01:08:11</v>
      </c>
      <c r="B1379" t="str">
        <f>"0000809576"</f>
        <v>0000809576</v>
      </c>
      <c r="C1379" t="str">
        <f t="shared" si="578"/>
        <v>0000809401</v>
      </c>
      <c r="D1379" t="str">
        <f t="shared" si="564"/>
        <v>73185</v>
      </c>
      <c r="E1379" t="str">
        <f t="shared" si="565"/>
        <v>KFH-OPERATIONS DEPARTMENT</v>
      </c>
      <c r="F1379" t="str">
        <f t="shared" si="566"/>
        <v>IBG</v>
      </c>
      <c r="G1379" t="str">
        <f t="shared" si="579"/>
        <v>Refund COSHARE 10</v>
      </c>
      <c r="H1379" s="2">
        <v>42</v>
      </c>
      <c r="I1379" t="str">
        <f>"TING YUK POH"</f>
        <v>TING YUK POH</v>
      </c>
      <c r="J1379" t="str">
        <f t="shared" si="580"/>
        <v>MAYBANK / MAYBANK ISLAMIC</v>
      </c>
      <c r="K1379" t="str">
        <f>"161211064059"</f>
        <v>161211064059</v>
      </c>
      <c r="L1379" t="str">
        <f t="shared" si="581"/>
        <v>04-08-2020</v>
      </c>
      <c r="M1379" t="str">
        <f t="shared" si="581"/>
        <v>04-08-2020</v>
      </c>
      <c r="N1379" t="str">
        <f t="shared" si="567"/>
        <v>001105018356</v>
      </c>
      <c r="O1379" t="str">
        <f t="shared" si="568"/>
        <v>MYR</v>
      </c>
      <c r="P1379" t="str">
        <f t="shared" si="582"/>
        <v>NIL</v>
      </c>
      <c r="Q1379" t="str">
        <f t="shared" si="582"/>
        <v>NIL</v>
      </c>
      <c r="R1379" t="str">
        <f t="shared" si="569"/>
        <v>Accepted</v>
      </c>
      <c r="S1379" t="str">
        <f t="shared" si="570"/>
        <v>Approved</v>
      </c>
      <c r="T1379" t="str">
        <f t="shared" si="571"/>
        <v>10.20.8.188</v>
      </c>
      <c r="U1379" t="str">
        <f t="shared" si="572"/>
        <v>AZRAD UMAR BIN SHAARI</v>
      </c>
      <c r="V1379" t="str">
        <f t="shared" si="573"/>
        <v>FARHANA BINTI MUSTAPA</v>
      </c>
      <c r="W1379" t="str">
        <f t="shared" si="574"/>
        <v>04-08-2020</v>
      </c>
      <c r="X1379" t="str">
        <f t="shared" si="575"/>
        <v>RAZIMAH ANSAR AHMAD</v>
      </c>
      <c r="Y1379" t="str">
        <f t="shared" si="576"/>
        <v>04-08-2020</v>
      </c>
      <c r="Z1379" t="str">
        <f>"COS10200804 7775"</f>
        <v>COS10200804 7775</v>
      </c>
    </row>
    <row r="1380" spans="1:26" x14ac:dyDescent="0.25">
      <c r="A1380" t="str">
        <f t="shared" si="577"/>
        <v>04-08-2020 01:08:11</v>
      </c>
      <c r="B1380" t="str">
        <f>"0000809575"</f>
        <v>0000809575</v>
      </c>
      <c r="C1380" t="str">
        <f t="shared" si="578"/>
        <v>0000809401</v>
      </c>
      <c r="D1380" t="str">
        <f t="shared" si="564"/>
        <v>73185</v>
      </c>
      <c r="E1380" t="str">
        <f t="shared" si="565"/>
        <v>KFH-OPERATIONS DEPARTMENT</v>
      </c>
      <c r="F1380" t="str">
        <f t="shared" si="566"/>
        <v>IBG</v>
      </c>
      <c r="G1380" t="str">
        <f t="shared" si="579"/>
        <v>Refund COSHARE 10</v>
      </c>
      <c r="H1380" s="2">
        <v>620.65</v>
      </c>
      <c r="I1380" t="str">
        <f>"TIANI BINTI MADRAAN"</f>
        <v>TIANI BINTI MADRAAN</v>
      </c>
      <c r="J1380" t="str">
        <f t="shared" si="580"/>
        <v>MAYBANK / MAYBANK ISLAMIC</v>
      </c>
      <c r="K1380" t="str">
        <f>"160232107359"</f>
        <v>160232107359</v>
      </c>
      <c r="L1380" t="str">
        <f t="shared" si="581"/>
        <v>04-08-2020</v>
      </c>
      <c r="M1380" t="str">
        <f t="shared" si="581"/>
        <v>04-08-2020</v>
      </c>
      <c r="N1380" t="str">
        <f t="shared" si="567"/>
        <v>001105018356</v>
      </c>
      <c r="O1380" t="str">
        <f t="shared" si="568"/>
        <v>MYR</v>
      </c>
      <c r="P1380" t="str">
        <f t="shared" si="582"/>
        <v>NIL</v>
      </c>
      <c r="Q1380" t="str">
        <f t="shared" si="582"/>
        <v>NIL</v>
      </c>
      <c r="R1380" t="str">
        <f t="shared" si="569"/>
        <v>Accepted</v>
      </c>
      <c r="S1380" t="str">
        <f t="shared" si="570"/>
        <v>Approved</v>
      </c>
      <c r="T1380" t="str">
        <f t="shared" si="571"/>
        <v>10.20.8.188</v>
      </c>
      <c r="U1380" t="str">
        <f t="shared" si="572"/>
        <v>AZRAD UMAR BIN SHAARI</v>
      </c>
      <c r="V1380" t="str">
        <f t="shared" si="573"/>
        <v>FARHANA BINTI MUSTAPA</v>
      </c>
      <c r="W1380" t="str">
        <f t="shared" si="574"/>
        <v>04-08-2020</v>
      </c>
      <c r="X1380" t="str">
        <f t="shared" si="575"/>
        <v>RAZIMAH ANSAR AHMAD</v>
      </c>
      <c r="Y1380" t="str">
        <f t="shared" si="576"/>
        <v>04-08-2020</v>
      </c>
      <c r="Z1380" t="str">
        <f>"COS10200804 7774"</f>
        <v>COS10200804 7774</v>
      </c>
    </row>
    <row r="1381" spans="1:26" x14ac:dyDescent="0.25">
      <c r="A1381" t="str">
        <f t="shared" si="577"/>
        <v>04-08-2020 01:08:11</v>
      </c>
      <c r="B1381" t="str">
        <f>"0000809574"</f>
        <v>0000809574</v>
      </c>
      <c r="C1381" t="str">
        <f t="shared" si="578"/>
        <v>0000809401</v>
      </c>
      <c r="D1381" t="str">
        <f t="shared" si="564"/>
        <v>73185</v>
      </c>
      <c r="E1381" t="str">
        <f t="shared" si="565"/>
        <v>KFH-OPERATIONS DEPARTMENT</v>
      </c>
      <c r="F1381" t="str">
        <f t="shared" si="566"/>
        <v>IBG</v>
      </c>
      <c r="G1381" t="str">
        <f t="shared" si="579"/>
        <v>Refund COSHARE 10</v>
      </c>
      <c r="H1381" s="2">
        <v>1533.4</v>
      </c>
      <c r="I1381" t="str">
        <f>"TIABAH BINTI ABDUL JALIL"</f>
        <v>TIABAH BINTI ABDUL JALIL</v>
      </c>
      <c r="J1381" t="str">
        <f t="shared" si="580"/>
        <v>MAYBANK / MAYBANK ISLAMIC</v>
      </c>
      <c r="K1381" t="str">
        <f>"110014025654"</f>
        <v>110014025654</v>
      </c>
      <c r="L1381" t="str">
        <f t="shared" si="581"/>
        <v>04-08-2020</v>
      </c>
      <c r="M1381" t="str">
        <f t="shared" si="581"/>
        <v>04-08-2020</v>
      </c>
      <c r="N1381" t="str">
        <f t="shared" si="567"/>
        <v>001105018356</v>
      </c>
      <c r="O1381" t="str">
        <f t="shared" si="568"/>
        <v>MYR</v>
      </c>
      <c r="P1381" t="str">
        <f t="shared" si="582"/>
        <v>NIL</v>
      </c>
      <c r="Q1381" t="str">
        <f t="shared" si="582"/>
        <v>NIL</v>
      </c>
      <c r="R1381" t="str">
        <f t="shared" si="569"/>
        <v>Accepted</v>
      </c>
      <c r="S1381" t="str">
        <f t="shared" si="570"/>
        <v>Approved</v>
      </c>
      <c r="T1381" t="str">
        <f t="shared" si="571"/>
        <v>10.20.8.188</v>
      </c>
      <c r="U1381" t="str">
        <f t="shared" si="572"/>
        <v>AZRAD UMAR BIN SHAARI</v>
      </c>
      <c r="V1381" t="str">
        <f t="shared" si="573"/>
        <v>FARHANA BINTI MUSTAPA</v>
      </c>
      <c r="W1381" t="str">
        <f t="shared" si="574"/>
        <v>04-08-2020</v>
      </c>
      <c r="X1381" t="str">
        <f t="shared" si="575"/>
        <v>RAZIMAH ANSAR AHMAD</v>
      </c>
      <c r="Y1381" t="str">
        <f t="shared" si="576"/>
        <v>04-08-2020</v>
      </c>
      <c r="Z1381" t="str">
        <f>"COS10200804 7773"</f>
        <v>COS10200804 7773</v>
      </c>
    </row>
    <row r="1382" spans="1:26" x14ac:dyDescent="0.25">
      <c r="A1382" t="str">
        <f t="shared" si="577"/>
        <v>04-08-2020 01:08:11</v>
      </c>
      <c r="B1382" t="str">
        <f>"0000809573"</f>
        <v>0000809573</v>
      </c>
      <c r="C1382" t="str">
        <f t="shared" si="578"/>
        <v>0000809401</v>
      </c>
      <c r="D1382" t="str">
        <f t="shared" si="564"/>
        <v>73185</v>
      </c>
      <c r="E1382" t="str">
        <f t="shared" si="565"/>
        <v>KFH-OPERATIONS DEPARTMENT</v>
      </c>
      <c r="F1382" t="str">
        <f t="shared" si="566"/>
        <v>IBG</v>
      </c>
      <c r="G1382" t="str">
        <f t="shared" si="579"/>
        <v>Refund COSHARE 10</v>
      </c>
      <c r="H1382" s="2">
        <v>342</v>
      </c>
      <c r="I1382" t="str">
        <f>"THULASI AP MARIMUTHU"</f>
        <v>THULASI AP MARIMUTHU</v>
      </c>
      <c r="J1382" t="str">
        <f t="shared" si="580"/>
        <v>MAYBANK / MAYBANK ISLAMIC</v>
      </c>
      <c r="K1382" t="str">
        <f>"105038088608"</f>
        <v>105038088608</v>
      </c>
      <c r="L1382" t="str">
        <f t="shared" si="581"/>
        <v>04-08-2020</v>
      </c>
      <c r="M1382" t="str">
        <f t="shared" si="581"/>
        <v>04-08-2020</v>
      </c>
      <c r="N1382" t="str">
        <f t="shared" si="567"/>
        <v>001105018356</v>
      </c>
      <c r="O1382" t="str">
        <f t="shared" si="568"/>
        <v>MYR</v>
      </c>
      <c r="P1382" t="str">
        <f t="shared" si="582"/>
        <v>NIL</v>
      </c>
      <c r="Q1382" t="str">
        <f t="shared" si="582"/>
        <v>NIL</v>
      </c>
      <c r="R1382" t="str">
        <f t="shared" si="569"/>
        <v>Accepted</v>
      </c>
      <c r="S1382" t="str">
        <f t="shared" si="570"/>
        <v>Approved</v>
      </c>
      <c r="T1382" t="str">
        <f t="shared" si="571"/>
        <v>10.20.8.188</v>
      </c>
      <c r="U1382" t="str">
        <f t="shared" si="572"/>
        <v>AZRAD UMAR BIN SHAARI</v>
      </c>
      <c r="V1382" t="str">
        <f t="shared" si="573"/>
        <v>FARHANA BINTI MUSTAPA</v>
      </c>
      <c r="W1382" t="str">
        <f t="shared" si="574"/>
        <v>04-08-2020</v>
      </c>
      <c r="X1382" t="str">
        <f t="shared" si="575"/>
        <v>RAZIMAH ANSAR AHMAD</v>
      </c>
      <c r="Y1382" t="str">
        <f t="shared" si="576"/>
        <v>04-08-2020</v>
      </c>
      <c r="Z1382" t="str">
        <f>"COS10200804 7772"</f>
        <v>COS10200804 7772</v>
      </c>
    </row>
    <row r="1383" spans="1:26" x14ac:dyDescent="0.25">
      <c r="A1383" t="str">
        <f t="shared" si="577"/>
        <v>04-08-2020 01:08:11</v>
      </c>
      <c r="B1383" t="str">
        <f>"0000809572"</f>
        <v>0000809572</v>
      </c>
      <c r="C1383" t="str">
        <f t="shared" si="578"/>
        <v>0000809401</v>
      </c>
      <c r="D1383" t="str">
        <f t="shared" si="564"/>
        <v>73185</v>
      </c>
      <c r="E1383" t="str">
        <f t="shared" si="565"/>
        <v>KFH-OPERATIONS DEPARTMENT</v>
      </c>
      <c r="F1383" t="str">
        <f t="shared" si="566"/>
        <v>IBG</v>
      </c>
      <c r="G1383" t="str">
        <f t="shared" si="579"/>
        <v>Refund COSHARE 10</v>
      </c>
      <c r="H1383" s="2">
        <v>157</v>
      </c>
      <c r="I1383" t="str">
        <f>"THOMAS ANAK BONIFACE BARAU"</f>
        <v>THOMAS ANAK BONIFACE BARAU</v>
      </c>
      <c r="J1383" t="str">
        <f t="shared" si="580"/>
        <v>MAYBANK / MAYBANK ISLAMIC</v>
      </c>
      <c r="K1383" t="str">
        <f>"111113396579"</f>
        <v>111113396579</v>
      </c>
      <c r="L1383" t="str">
        <f t="shared" si="581"/>
        <v>04-08-2020</v>
      </c>
      <c r="M1383" t="str">
        <f t="shared" si="581"/>
        <v>04-08-2020</v>
      </c>
      <c r="N1383" t="str">
        <f t="shared" si="567"/>
        <v>001105018356</v>
      </c>
      <c r="O1383" t="str">
        <f t="shared" si="568"/>
        <v>MYR</v>
      </c>
      <c r="P1383" t="str">
        <f t="shared" si="582"/>
        <v>NIL</v>
      </c>
      <c r="Q1383" t="str">
        <f t="shared" si="582"/>
        <v>NIL</v>
      </c>
      <c r="R1383" t="str">
        <f t="shared" si="569"/>
        <v>Accepted</v>
      </c>
      <c r="S1383" t="str">
        <f t="shared" si="570"/>
        <v>Approved</v>
      </c>
      <c r="T1383" t="str">
        <f t="shared" si="571"/>
        <v>10.20.8.188</v>
      </c>
      <c r="U1383" t="str">
        <f t="shared" si="572"/>
        <v>AZRAD UMAR BIN SHAARI</v>
      </c>
      <c r="V1383" t="str">
        <f t="shared" si="573"/>
        <v>FARHANA BINTI MUSTAPA</v>
      </c>
      <c r="W1383" t="str">
        <f t="shared" si="574"/>
        <v>04-08-2020</v>
      </c>
      <c r="X1383" t="str">
        <f t="shared" si="575"/>
        <v>RAZIMAH ANSAR AHMAD</v>
      </c>
      <c r="Y1383" t="str">
        <f t="shared" si="576"/>
        <v>04-08-2020</v>
      </c>
      <c r="Z1383" t="str">
        <f>"COS10200804 7771"</f>
        <v>COS10200804 7771</v>
      </c>
    </row>
    <row r="1384" spans="1:26" x14ac:dyDescent="0.25">
      <c r="A1384" t="str">
        <f t="shared" si="577"/>
        <v>04-08-2020 01:08:11</v>
      </c>
      <c r="B1384" t="str">
        <f>"0000809571"</f>
        <v>0000809571</v>
      </c>
      <c r="C1384" t="str">
        <f t="shared" si="578"/>
        <v>0000809401</v>
      </c>
      <c r="D1384" t="str">
        <f t="shared" si="564"/>
        <v>73185</v>
      </c>
      <c r="E1384" t="str">
        <f t="shared" si="565"/>
        <v>KFH-OPERATIONS DEPARTMENT</v>
      </c>
      <c r="F1384" t="str">
        <f t="shared" si="566"/>
        <v>IBG</v>
      </c>
      <c r="G1384" t="str">
        <f t="shared" si="579"/>
        <v>Refund COSHARE 10</v>
      </c>
      <c r="H1384" s="2">
        <v>155.19999999999999</v>
      </c>
      <c r="I1384" t="str">
        <f>"THOMAS ANAK BONIFACE BARAU"</f>
        <v>THOMAS ANAK BONIFACE BARAU</v>
      </c>
      <c r="J1384" t="str">
        <f t="shared" si="580"/>
        <v>MAYBANK / MAYBANK ISLAMIC</v>
      </c>
      <c r="K1384" t="str">
        <f>"111113396579"</f>
        <v>111113396579</v>
      </c>
      <c r="L1384" t="str">
        <f t="shared" si="581"/>
        <v>04-08-2020</v>
      </c>
      <c r="M1384" t="str">
        <f t="shared" si="581"/>
        <v>04-08-2020</v>
      </c>
      <c r="N1384" t="str">
        <f t="shared" si="567"/>
        <v>001105018356</v>
      </c>
      <c r="O1384" t="str">
        <f t="shared" si="568"/>
        <v>MYR</v>
      </c>
      <c r="P1384" t="str">
        <f t="shared" si="582"/>
        <v>NIL</v>
      </c>
      <c r="Q1384" t="str">
        <f t="shared" si="582"/>
        <v>NIL</v>
      </c>
      <c r="R1384" t="str">
        <f t="shared" si="569"/>
        <v>Accepted</v>
      </c>
      <c r="S1384" t="str">
        <f t="shared" si="570"/>
        <v>Approved</v>
      </c>
      <c r="T1384" t="str">
        <f t="shared" si="571"/>
        <v>10.20.8.188</v>
      </c>
      <c r="U1384" t="str">
        <f t="shared" si="572"/>
        <v>AZRAD UMAR BIN SHAARI</v>
      </c>
      <c r="V1384" t="str">
        <f t="shared" si="573"/>
        <v>FARHANA BINTI MUSTAPA</v>
      </c>
      <c r="W1384" t="str">
        <f t="shared" si="574"/>
        <v>04-08-2020</v>
      </c>
      <c r="X1384" t="str">
        <f t="shared" si="575"/>
        <v>RAZIMAH ANSAR AHMAD</v>
      </c>
      <c r="Y1384" t="str">
        <f t="shared" si="576"/>
        <v>04-08-2020</v>
      </c>
      <c r="Z1384" t="str">
        <f>"COS10200804 7770"</f>
        <v>COS10200804 7770</v>
      </c>
    </row>
    <row r="1385" spans="1:26" x14ac:dyDescent="0.25">
      <c r="A1385" t="str">
        <f t="shared" si="577"/>
        <v>04-08-2020 01:08:11</v>
      </c>
      <c r="B1385" t="str">
        <f>"0000809570"</f>
        <v>0000809570</v>
      </c>
      <c r="C1385" t="str">
        <f t="shared" si="578"/>
        <v>0000809401</v>
      </c>
      <c r="D1385" t="str">
        <f t="shared" si="564"/>
        <v>73185</v>
      </c>
      <c r="E1385" t="str">
        <f t="shared" si="565"/>
        <v>KFH-OPERATIONS DEPARTMENT</v>
      </c>
      <c r="F1385" t="str">
        <f t="shared" si="566"/>
        <v>IBG</v>
      </c>
      <c r="G1385" t="str">
        <f t="shared" si="579"/>
        <v>Refund COSHARE 10</v>
      </c>
      <c r="H1385" s="2">
        <v>378</v>
      </c>
      <c r="I1385" t="str">
        <f>"THILAGHA AP MAYAVAN"</f>
        <v>THILAGHA AP MAYAVAN</v>
      </c>
      <c r="J1385" t="str">
        <f t="shared" si="580"/>
        <v>MAYBANK / MAYBANK ISLAMIC</v>
      </c>
      <c r="K1385" t="str">
        <f>"112101718021"</f>
        <v>112101718021</v>
      </c>
      <c r="L1385" t="str">
        <f t="shared" si="581"/>
        <v>04-08-2020</v>
      </c>
      <c r="M1385" t="str">
        <f t="shared" si="581"/>
        <v>04-08-2020</v>
      </c>
      <c r="N1385" t="str">
        <f t="shared" si="567"/>
        <v>001105018356</v>
      </c>
      <c r="O1385" t="str">
        <f t="shared" si="568"/>
        <v>MYR</v>
      </c>
      <c r="P1385" t="str">
        <f t="shared" si="582"/>
        <v>NIL</v>
      </c>
      <c r="Q1385" t="str">
        <f t="shared" si="582"/>
        <v>NIL</v>
      </c>
      <c r="R1385" t="str">
        <f t="shared" si="569"/>
        <v>Accepted</v>
      </c>
      <c r="S1385" t="str">
        <f t="shared" si="570"/>
        <v>Approved</v>
      </c>
      <c r="T1385" t="str">
        <f t="shared" si="571"/>
        <v>10.20.8.188</v>
      </c>
      <c r="U1385" t="str">
        <f t="shared" si="572"/>
        <v>AZRAD UMAR BIN SHAARI</v>
      </c>
      <c r="V1385" t="str">
        <f t="shared" si="573"/>
        <v>FARHANA BINTI MUSTAPA</v>
      </c>
      <c r="W1385" t="str">
        <f t="shared" si="574"/>
        <v>04-08-2020</v>
      </c>
      <c r="X1385" t="str">
        <f t="shared" si="575"/>
        <v>RAZIMAH ANSAR AHMAD</v>
      </c>
      <c r="Y1385" t="str">
        <f t="shared" si="576"/>
        <v>04-08-2020</v>
      </c>
      <c r="Z1385" t="str">
        <f>"COS10200804 7769"</f>
        <v>COS10200804 7769</v>
      </c>
    </row>
    <row r="1386" spans="1:26" x14ac:dyDescent="0.25">
      <c r="A1386" t="str">
        <f t="shared" ref="A1386:A1417" si="583">"04-08-2020 01:08:11"</f>
        <v>04-08-2020 01:08:11</v>
      </c>
      <c r="B1386" t="str">
        <f>"0000809569"</f>
        <v>0000809569</v>
      </c>
      <c r="C1386" t="str">
        <f t="shared" ref="C1386:C1417" si="584">"0000809401"</f>
        <v>0000809401</v>
      </c>
      <c r="D1386" t="str">
        <f t="shared" si="564"/>
        <v>73185</v>
      </c>
      <c r="E1386" t="str">
        <f t="shared" si="565"/>
        <v>KFH-OPERATIONS DEPARTMENT</v>
      </c>
      <c r="F1386" t="str">
        <f t="shared" si="566"/>
        <v>IBG</v>
      </c>
      <c r="G1386" t="str">
        <f t="shared" si="579"/>
        <v>Refund COSHARE 10</v>
      </c>
      <c r="H1386" s="2">
        <v>255.85</v>
      </c>
      <c r="I1386" t="str">
        <f>"THILAGHA AP MAYAVAN"</f>
        <v>THILAGHA AP MAYAVAN</v>
      </c>
      <c r="J1386" t="str">
        <f t="shared" si="580"/>
        <v>MAYBANK / MAYBANK ISLAMIC</v>
      </c>
      <c r="K1386" t="str">
        <f>"112101718021"</f>
        <v>112101718021</v>
      </c>
      <c r="L1386" t="str">
        <f t="shared" si="581"/>
        <v>04-08-2020</v>
      </c>
      <c r="M1386" t="str">
        <f t="shared" si="581"/>
        <v>04-08-2020</v>
      </c>
      <c r="N1386" t="str">
        <f t="shared" si="567"/>
        <v>001105018356</v>
      </c>
      <c r="O1386" t="str">
        <f t="shared" si="568"/>
        <v>MYR</v>
      </c>
      <c r="P1386" t="str">
        <f t="shared" si="582"/>
        <v>NIL</v>
      </c>
      <c r="Q1386" t="str">
        <f t="shared" si="582"/>
        <v>NIL</v>
      </c>
      <c r="R1386" t="str">
        <f t="shared" si="569"/>
        <v>Accepted</v>
      </c>
      <c r="S1386" t="str">
        <f t="shared" si="570"/>
        <v>Approved</v>
      </c>
      <c r="T1386" t="str">
        <f t="shared" si="571"/>
        <v>10.20.8.188</v>
      </c>
      <c r="U1386" t="str">
        <f t="shared" si="572"/>
        <v>AZRAD UMAR BIN SHAARI</v>
      </c>
      <c r="V1386" t="str">
        <f t="shared" si="573"/>
        <v>FARHANA BINTI MUSTAPA</v>
      </c>
      <c r="W1386" t="str">
        <f t="shared" si="574"/>
        <v>04-08-2020</v>
      </c>
      <c r="X1386" t="str">
        <f t="shared" si="575"/>
        <v>RAZIMAH ANSAR AHMAD</v>
      </c>
      <c r="Y1386" t="str">
        <f t="shared" si="576"/>
        <v>04-08-2020</v>
      </c>
      <c r="Z1386" t="str">
        <f>"COS10200804 7768"</f>
        <v>COS10200804 7768</v>
      </c>
    </row>
    <row r="1387" spans="1:26" x14ac:dyDescent="0.25">
      <c r="A1387" t="str">
        <f t="shared" si="583"/>
        <v>04-08-2020 01:08:11</v>
      </c>
      <c r="B1387" t="str">
        <f>"0000809568"</f>
        <v>0000809568</v>
      </c>
      <c r="C1387" t="str">
        <f t="shared" si="584"/>
        <v>0000809401</v>
      </c>
      <c r="D1387" t="str">
        <f t="shared" si="564"/>
        <v>73185</v>
      </c>
      <c r="E1387" t="str">
        <f t="shared" si="565"/>
        <v>KFH-OPERATIONS DEPARTMENT</v>
      </c>
      <c r="F1387" t="str">
        <f t="shared" si="566"/>
        <v>IBG</v>
      </c>
      <c r="G1387" t="str">
        <f t="shared" si="579"/>
        <v>Refund COSHARE 10</v>
      </c>
      <c r="H1387" s="2">
        <v>1267.6500000000001</v>
      </c>
      <c r="I1387" t="str">
        <f>"THILAGAVATHY AP SUBRAMANIAM"</f>
        <v>THILAGAVATHY AP SUBRAMANIAM</v>
      </c>
      <c r="J1387" t="str">
        <f t="shared" si="580"/>
        <v>MAYBANK / MAYBANK ISLAMIC</v>
      </c>
      <c r="K1387" t="str">
        <f>"164100244326"</f>
        <v>164100244326</v>
      </c>
      <c r="L1387" t="str">
        <f t="shared" ref="L1387:M1406" si="585">"04-08-2020"</f>
        <v>04-08-2020</v>
      </c>
      <c r="M1387" t="str">
        <f t="shared" si="585"/>
        <v>04-08-2020</v>
      </c>
      <c r="N1387" t="str">
        <f t="shared" si="567"/>
        <v>001105018356</v>
      </c>
      <c r="O1387" t="str">
        <f t="shared" si="568"/>
        <v>MYR</v>
      </c>
      <c r="P1387" t="str">
        <f t="shared" ref="P1387:Q1406" si="586">"NIL"</f>
        <v>NIL</v>
      </c>
      <c r="Q1387" t="str">
        <f t="shared" si="586"/>
        <v>NIL</v>
      </c>
      <c r="R1387" t="str">
        <f t="shared" si="569"/>
        <v>Accepted</v>
      </c>
      <c r="S1387" t="str">
        <f t="shared" si="570"/>
        <v>Approved</v>
      </c>
      <c r="T1387" t="str">
        <f t="shared" si="571"/>
        <v>10.20.8.188</v>
      </c>
      <c r="U1387" t="str">
        <f t="shared" si="572"/>
        <v>AZRAD UMAR BIN SHAARI</v>
      </c>
      <c r="V1387" t="str">
        <f t="shared" si="573"/>
        <v>FARHANA BINTI MUSTAPA</v>
      </c>
      <c r="W1387" t="str">
        <f t="shared" si="574"/>
        <v>04-08-2020</v>
      </c>
      <c r="X1387" t="str">
        <f t="shared" si="575"/>
        <v>RAZIMAH ANSAR AHMAD</v>
      </c>
      <c r="Y1387" t="str">
        <f t="shared" si="576"/>
        <v>04-08-2020</v>
      </c>
      <c r="Z1387" t="str">
        <f>"COS10200804 7767"</f>
        <v>COS10200804 7767</v>
      </c>
    </row>
    <row r="1388" spans="1:26" x14ac:dyDescent="0.25">
      <c r="A1388" t="str">
        <f t="shared" si="583"/>
        <v>04-08-2020 01:08:11</v>
      </c>
      <c r="B1388" t="str">
        <f>"0000809567"</f>
        <v>0000809567</v>
      </c>
      <c r="C1388" t="str">
        <f t="shared" si="584"/>
        <v>0000809401</v>
      </c>
      <c r="D1388" t="str">
        <f t="shared" si="564"/>
        <v>73185</v>
      </c>
      <c r="E1388" t="str">
        <f t="shared" si="565"/>
        <v>KFH-OPERATIONS DEPARTMENT</v>
      </c>
      <c r="F1388" t="str">
        <f t="shared" si="566"/>
        <v>IBG</v>
      </c>
      <c r="G1388" t="str">
        <f t="shared" si="579"/>
        <v>Refund COSHARE 10</v>
      </c>
      <c r="H1388" s="2">
        <v>176.3</v>
      </c>
      <c r="I1388" t="str">
        <f>"THILAGAVATHI AP BATUMALAY"</f>
        <v>THILAGAVATHI AP BATUMALAY</v>
      </c>
      <c r="J1388" t="str">
        <f t="shared" si="580"/>
        <v>MAYBANK / MAYBANK ISLAMIC</v>
      </c>
      <c r="K1388" t="str">
        <f>"164100247076"</f>
        <v>164100247076</v>
      </c>
      <c r="L1388" t="str">
        <f t="shared" si="585"/>
        <v>04-08-2020</v>
      </c>
      <c r="M1388" t="str">
        <f t="shared" si="585"/>
        <v>04-08-2020</v>
      </c>
      <c r="N1388" t="str">
        <f t="shared" si="567"/>
        <v>001105018356</v>
      </c>
      <c r="O1388" t="str">
        <f t="shared" si="568"/>
        <v>MYR</v>
      </c>
      <c r="P1388" t="str">
        <f t="shared" si="586"/>
        <v>NIL</v>
      </c>
      <c r="Q1388" t="str">
        <f t="shared" si="586"/>
        <v>NIL</v>
      </c>
      <c r="R1388" t="str">
        <f t="shared" si="569"/>
        <v>Accepted</v>
      </c>
      <c r="S1388" t="str">
        <f t="shared" si="570"/>
        <v>Approved</v>
      </c>
      <c r="T1388" t="str">
        <f t="shared" si="571"/>
        <v>10.20.8.188</v>
      </c>
      <c r="U1388" t="str">
        <f t="shared" si="572"/>
        <v>AZRAD UMAR BIN SHAARI</v>
      </c>
      <c r="V1388" t="str">
        <f t="shared" si="573"/>
        <v>FARHANA BINTI MUSTAPA</v>
      </c>
      <c r="W1388" t="str">
        <f t="shared" si="574"/>
        <v>04-08-2020</v>
      </c>
      <c r="X1388" t="str">
        <f t="shared" si="575"/>
        <v>RAZIMAH ANSAR AHMAD</v>
      </c>
      <c r="Y1388" t="str">
        <f t="shared" si="576"/>
        <v>04-08-2020</v>
      </c>
      <c r="Z1388" t="str">
        <f>"COS10200804 7766"</f>
        <v>COS10200804 7766</v>
      </c>
    </row>
    <row r="1389" spans="1:26" x14ac:dyDescent="0.25">
      <c r="A1389" t="str">
        <f t="shared" si="583"/>
        <v>04-08-2020 01:08:11</v>
      </c>
      <c r="B1389" t="str">
        <f>"0000809566"</f>
        <v>0000809566</v>
      </c>
      <c r="C1389" t="str">
        <f t="shared" si="584"/>
        <v>0000809401</v>
      </c>
      <c r="D1389" t="str">
        <f t="shared" si="564"/>
        <v>73185</v>
      </c>
      <c r="E1389" t="str">
        <f t="shared" si="565"/>
        <v>KFH-OPERATIONS DEPARTMENT</v>
      </c>
      <c r="F1389" t="str">
        <f t="shared" si="566"/>
        <v>IBG</v>
      </c>
      <c r="G1389" t="str">
        <f t="shared" si="579"/>
        <v>Refund COSHARE 10</v>
      </c>
      <c r="H1389" s="2">
        <v>569</v>
      </c>
      <c r="I1389" t="str">
        <f>"THEENES TERRI AP RARVI"</f>
        <v>THEENES TERRI AP RARVI</v>
      </c>
      <c r="J1389" t="str">
        <f t="shared" si="580"/>
        <v>MAYBANK / MAYBANK ISLAMIC</v>
      </c>
      <c r="K1389" t="str">
        <f>"102055365334"</f>
        <v>102055365334</v>
      </c>
      <c r="L1389" t="str">
        <f t="shared" si="585"/>
        <v>04-08-2020</v>
      </c>
      <c r="M1389" t="str">
        <f t="shared" si="585"/>
        <v>04-08-2020</v>
      </c>
      <c r="N1389" t="str">
        <f t="shared" si="567"/>
        <v>001105018356</v>
      </c>
      <c r="O1389" t="str">
        <f t="shared" si="568"/>
        <v>MYR</v>
      </c>
      <c r="P1389" t="str">
        <f t="shared" si="586"/>
        <v>NIL</v>
      </c>
      <c r="Q1389" t="str">
        <f t="shared" si="586"/>
        <v>NIL</v>
      </c>
      <c r="R1389" t="str">
        <f t="shared" si="569"/>
        <v>Accepted</v>
      </c>
      <c r="S1389" t="str">
        <f t="shared" si="570"/>
        <v>Approved</v>
      </c>
      <c r="T1389" t="str">
        <f t="shared" si="571"/>
        <v>10.20.8.188</v>
      </c>
      <c r="U1389" t="str">
        <f t="shared" si="572"/>
        <v>AZRAD UMAR BIN SHAARI</v>
      </c>
      <c r="V1389" t="str">
        <f t="shared" si="573"/>
        <v>FARHANA BINTI MUSTAPA</v>
      </c>
      <c r="W1389" t="str">
        <f t="shared" si="574"/>
        <v>04-08-2020</v>
      </c>
      <c r="X1389" t="str">
        <f t="shared" si="575"/>
        <v>RAZIMAH ANSAR AHMAD</v>
      </c>
      <c r="Y1389" t="str">
        <f t="shared" si="576"/>
        <v>04-08-2020</v>
      </c>
      <c r="Z1389" t="str">
        <f>"COS10200804 7765"</f>
        <v>COS10200804 7765</v>
      </c>
    </row>
    <row r="1390" spans="1:26" x14ac:dyDescent="0.25">
      <c r="A1390" t="str">
        <f t="shared" si="583"/>
        <v>04-08-2020 01:08:11</v>
      </c>
      <c r="B1390" t="str">
        <f>"0000809565"</f>
        <v>0000809565</v>
      </c>
      <c r="C1390" t="str">
        <f t="shared" si="584"/>
        <v>0000809401</v>
      </c>
      <c r="D1390" t="str">
        <f t="shared" si="564"/>
        <v>73185</v>
      </c>
      <c r="E1390" t="str">
        <f t="shared" si="565"/>
        <v>KFH-OPERATIONS DEPARTMENT</v>
      </c>
      <c r="F1390" t="str">
        <f t="shared" si="566"/>
        <v>IBG</v>
      </c>
      <c r="G1390" t="str">
        <f t="shared" si="579"/>
        <v>Refund COSHARE 10</v>
      </c>
      <c r="H1390" s="2">
        <v>304.89999999999998</v>
      </c>
      <c r="I1390" t="str">
        <f>"THANGARAJAH AL SUBRAMANIAM"</f>
        <v>THANGARAJAH AL SUBRAMANIAM</v>
      </c>
      <c r="J1390" t="str">
        <f t="shared" si="580"/>
        <v>MAYBANK / MAYBANK ISLAMIC</v>
      </c>
      <c r="K1390" t="str">
        <f>"158015205836"</f>
        <v>158015205836</v>
      </c>
      <c r="L1390" t="str">
        <f t="shared" si="585"/>
        <v>04-08-2020</v>
      </c>
      <c r="M1390" t="str">
        <f t="shared" si="585"/>
        <v>04-08-2020</v>
      </c>
      <c r="N1390" t="str">
        <f t="shared" si="567"/>
        <v>001105018356</v>
      </c>
      <c r="O1390" t="str">
        <f t="shared" si="568"/>
        <v>MYR</v>
      </c>
      <c r="P1390" t="str">
        <f t="shared" si="586"/>
        <v>NIL</v>
      </c>
      <c r="Q1390" t="str">
        <f t="shared" si="586"/>
        <v>NIL</v>
      </c>
      <c r="R1390" t="str">
        <f t="shared" si="569"/>
        <v>Accepted</v>
      </c>
      <c r="S1390" t="str">
        <f t="shared" si="570"/>
        <v>Approved</v>
      </c>
      <c r="T1390" t="str">
        <f t="shared" si="571"/>
        <v>10.20.8.188</v>
      </c>
      <c r="U1390" t="str">
        <f t="shared" si="572"/>
        <v>AZRAD UMAR BIN SHAARI</v>
      </c>
      <c r="V1390" t="str">
        <f t="shared" si="573"/>
        <v>FARHANA BINTI MUSTAPA</v>
      </c>
      <c r="W1390" t="str">
        <f t="shared" si="574"/>
        <v>04-08-2020</v>
      </c>
      <c r="X1390" t="str">
        <f t="shared" si="575"/>
        <v>RAZIMAH ANSAR AHMAD</v>
      </c>
      <c r="Y1390" t="str">
        <f t="shared" si="576"/>
        <v>04-08-2020</v>
      </c>
      <c r="Z1390" t="str">
        <f>"COS10200804 7764"</f>
        <v>COS10200804 7764</v>
      </c>
    </row>
    <row r="1391" spans="1:26" x14ac:dyDescent="0.25">
      <c r="A1391" t="str">
        <f t="shared" si="583"/>
        <v>04-08-2020 01:08:11</v>
      </c>
      <c r="B1391" t="str">
        <f>"0000809564"</f>
        <v>0000809564</v>
      </c>
      <c r="C1391" t="str">
        <f t="shared" si="584"/>
        <v>0000809401</v>
      </c>
      <c r="D1391" t="str">
        <f t="shared" si="564"/>
        <v>73185</v>
      </c>
      <c r="E1391" t="str">
        <f t="shared" si="565"/>
        <v>KFH-OPERATIONS DEPARTMENT</v>
      </c>
      <c r="F1391" t="str">
        <f t="shared" si="566"/>
        <v>IBG</v>
      </c>
      <c r="G1391" t="str">
        <f t="shared" si="579"/>
        <v>Refund COSHARE 10</v>
      </c>
      <c r="H1391" s="2">
        <v>486.95</v>
      </c>
      <c r="I1391" t="str">
        <f>"THANALETCHUMY AP SEKARAN"</f>
        <v>THANALETCHUMY AP SEKARAN</v>
      </c>
      <c r="J1391" t="str">
        <f t="shared" si="580"/>
        <v>MAYBANK / MAYBANK ISLAMIC</v>
      </c>
      <c r="K1391" t="str">
        <f>"158369017210"</f>
        <v>158369017210</v>
      </c>
      <c r="L1391" t="str">
        <f t="shared" si="585"/>
        <v>04-08-2020</v>
      </c>
      <c r="M1391" t="str">
        <f t="shared" si="585"/>
        <v>04-08-2020</v>
      </c>
      <c r="N1391" t="str">
        <f t="shared" si="567"/>
        <v>001105018356</v>
      </c>
      <c r="O1391" t="str">
        <f t="shared" si="568"/>
        <v>MYR</v>
      </c>
      <c r="P1391" t="str">
        <f t="shared" si="586"/>
        <v>NIL</v>
      </c>
      <c r="Q1391" t="str">
        <f t="shared" si="586"/>
        <v>NIL</v>
      </c>
      <c r="R1391" t="str">
        <f t="shared" si="569"/>
        <v>Accepted</v>
      </c>
      <c r="S1391" t="str">
        <f t="shared" si="570"/>
        <v>Approved</v>
      </c>
      <c r="T1391" t="str">
        <f t="shared" si="571"/>
        <v>10.20.8.188</v>
      </c>
      <c r="U1391" t="str">
        <f t="shared" si="572"/>
        <v>AZRAD UMAR BIN SHAARI</v>
      </c>
      <c r="V1391" t="str">
        <f t="shared" si="573"/>
        <v>FARHANA BINTI MUSTAPA</v>
      </c>
      <c r="W1391" t="str">
        <f t="shared" si="574"/>
        <v>04-08-2020</v>
      </c>
      <c r="X1391" t="str">
        <f t="shared" si="575"/>
        <v>RAZIMAH ANSAR AHMAD</v>
      </c>
      <c r="Y1391" t="str">
        <f t="shared" si="576"/>
        <v>04-08-2020</v>
      </c>
      <c r="Z1391" t="str">
        <f>"COS10200804 7763"</f>
        <v>COS10200804 7763</v>
      </c>
    </row>
    <row r="1392" spans="1:26" x14ac:dyDescent="0.25">
      <c r="A1392" t="str">
        <f t="shared" si="583"/>
        <v>04-08-2020 01:08:11</v>
      </c>
      <c r="B1392" t="str">
        <f>"0000809563"</f>
        <v>0000809563</v>
      </c>
      <c r="C1392" t="str">
        <f t="shared" si="584"/>
        <v>0000809401</v>
      </c>
      <c r="D1392" t="str">
        <f t="shared" si="564"/>
        <v>73185</v>
      </c>
      <c r="E1392" t="str">
        <f t="shared" si="565"/>
        <v>KFH-OPERATIONS DEPARTMENT</v>
      </c>
      <c r="F1392" t="str">
        <f t="shared" si="566"/>
        <v>IBG</v>
      </c>
      <c r="G1392" t="str">
        <f t="shared" si="579"/>
        <v>Refund COSHARE 10</v>
      </c>
      <c r="H1392" s="2">
        <v>926</v>
      </c>
      <c r="I1392" t="str">
        <f>"TERRY ANAK RARI  BASER"</f>
        <v>TERRY ANAK RARI  BASER</v>
      </c>
      <c r="J1392" t="str">
        <f t="shared" si="580"/>
        <v>MAYBANK / MAYBANK ISLAMIC</v>
      </c>
      <c r="K1392" t="str">
        <f>"157139770560"</f>
        <v>157139770560</v>
      </c>
      <c r="L1392" t="str">
        <f t="shared" si="585"/>
        <v>04-08-2020</v>
      </c>
      <c r="M1392" t="str">
        <f t="shared" si="585"/>
        <v>04-08-2020</v>
      </c>
      <c r="N1392" t="str">
        <f t="shared" si="567"/>
        <v>001105018356</v>
      </c>
      <c r="O1392" t="str">
        <f t="shared" si="568"/>
        <v>MYR</v>
      </c>
      <c r="P1392" t="str">
        <f t="shared" si="586"/>
        <v>NIL</v>
      </c>
      <c r="Q1392" t="str">
        <f t="shared" si="586"/>
        <v>NIL</v>
      </c>
      <c r="R1392" t="str">
        <f t="shared" si="569"/>
        <v>Accepted</v>
      </c>
      <c r="S1392" t="str">
        <f t="shared" si="570"/>
        <v>Approved</v>
      </c>
      <c r="T1392" t="str">
        <f t="shared" si="571"/>
        <v>10.20.8.188</v>
      </c>
      <c r="U1392" t="str">
        <f t="shared" si="572"/>
        <v>AZRAD UMAR BIN SHAARI</v>
      </c>
      <c r="V1392" t="str">
        <f t="shared" si="573"/>
        <v>FARHANA BINTI MUSTAPA</v>
      </c>
      <c r="W1392" t="str">
        <f t="shared" si="574"/>
        <v>04-08-2020</v>
      </c>
      <c r="X1392" t="str">
        <f t="shared" si="575"/>
        <v>RAZIMAH ANSAR AHMAD</v>
      </c>
      <c r="Y1392" t="str">
        <f t="shared" si="576"/>
        <v>04-08-2020</v>
      </c>
      <c r="Z1392" t="str">
        <f>"COS10200804 7762"</f>
        <v>COS10200804 7762</v>
      </c>
    </row>
    <row r="1393" spans="1:26" x14ac:dyDescent="0.25">
      <c r="A1393" t="str">
        <f t="shared" si="583"/>
        <v>04-08-2020 01:08:11</v>
      </c>
      <c r="B1393" t="str">
        <f>"0000809562"</f>
        <v>0000809562</v>
      </c>
      <c r="C1393" t="str">
        <f t="shared" si="584"/>
        <v>0000809401</v>
      </c>
      <c r="D1393" t="str">
        <f t="shared" si="564"/>
        <v>73185</v>
      </c>
      <c r="E1393" t="str">
        <f t="shared" si="565"/>
        <v>KFH-OPERATIONS DEPARTMENT</v>
      </c>
      <c r="F1393" t="str">
        <f t="shared" si="566"/>
        <v>IBG</v>
      </c>
      <c r="G1393" t="str">
        <f t="shared" si="579"/>
        <v>Refund COSHARE 10</v>
      </c>
      <c r="H1393" s="2">
        <v>607</v>
      </c>
      <c r="I1393" t="str">
        <f>"TEO CHIANG HWUI"</f>
        <v>TEO CHIANG HWUI</v>
      </c>
      <c r="J1393" t="str">
        <f t="shared" si="580"/>
        <v>MAYBANK / MAYBANK ISLAMIC</v>
      </c>
      <c r="K1393" t="str">
        <f>"101030085494"</f>
        <v>101030085494</v>
      </c>
      <c r="L1393" t="str">
        <f t="shared" si="585"/>
        <v>04-08-2020</v>
      </c>
      <c r="M1393" t="str">
        <f t="shared" si="585"/>
        <v>04-08-2020</v>
      </c>
      <c r="N1393" t="str">
        <f t="shared" si="567"/>
        <v>001105018356</v>
      </c>
      <c r="O1393" t="str">
        <f t="shared" si="568"/>
        <v>MYR</v>
      </c>
      <c r="P1393" t="str">
        <f t="shared" si="586"/>
        <v>NIL</v>
      </c>
      <c r="Q1393" t="str">
        <f t="shared" si="586"/>
        <v>NIL</v>
      </c>
      <c r="R1393" t="str">
        <f t="shared" si="569"/>
        <v>Accepted</v>
      </c>
      <c r="S1393" t="str">
        <f t="shared" si="570"/>
        <v>Approved</v>
      </c>
      <c r="T1393" t="str">
        <f t="shared" si="571"/>
        <v>10.20.8.188</v>
      </c>
      <c r="U1393" t="str">
        <f t="shared" si="572"/>
        <v>AZRAD UMAR BIN SHAARI</v>
      </c>
      <c r="V1393" t="str">
        <f t="shared" si="573"/>
        <v>FARHANA BINTI MUSTAPA</v>
      </c>
      <c r="W1393" t="str">
        <f t="shared" si="574"/>
        <v>04-08-2020</v>
      </c>
      <c r="X1393" t="str">
        <f t="shared" si="575"/>
        <v>RAZIMAH ANSAR AHMAD</v>
      </c>
      <c r="Y1393" t="str">
        <f t="shared" si="576"/>
        <v>04-08-2020</v>
      </c>
      <c r="Z1393" t="str">
        <f>"COS10200804 7761"</f>
        <v>COS10200804 7761</v>
      </c>
    </row>
    <row r="1394" spans="1:26" x14ac:dyDescent="0.25">
      <c r="A1394" t="str">
        <f t="shared" si="583"/>
        <v>04-08-2020 01:08:11</v>
      </c>
      <c r="B1394" t="str">
        <f>"0000809561"</f>
        <v>0000809561</v>
      </c>
      <c r="C1394" t="str">
        <f t="shared" si="584"/>
        <v>0000809401</v>
      </c>
      <c r="D1394" t="str">
        <f t="shared" si="564"/>
        <v>73185</v>
      </c>
      <c r="E1394" t="str">
        <f t="shared" si="565"/>
        <v>KFH-OPERATIONS DEPARTMENT</v>
      </c>
      <c r="F1394" t="str">
        <f t="shared" si="566"/>
        <v>IBG</v>
      </c>
      <c r="G1394" t="str">
        <f t="shared" si="579"/>
        <v>Refund COSHARE 10</v>
      </c>
      <c r="H1394" s="2">
        <v>167.9</v>
      </c>
      <c r="I1394" t="str">
        <f>"TENGKU NORSUHANA BINTI TENGKU ISHAK"</f>
        <v>TENGKU NORSUHANA BINTI TENGKU ISHAK</v>
      </c>
      <c r="J1394" t="str">
        <f t="shared" si="580"/>
        <v>MAYBANK / MAYBANK ISLAMIC</v>
      </c>
      <c r="K1394" t="str">
        <f>"162058637798"</f>
        <v>162058637798</v>
      </c>
      <c r="L1394" t="str">
        <f t="shared" si="585"/>
        <v>04-08-2020</v>
      </c>
      <c r="M1394" t="str">
        <f t="shared" si="585"/>
        <v>04-08-2020</v>
      </c>
      <c r="N1394" t="str">
        <f t="shared" si="567"/>
        <v>001105018356</v>
      </c>
      <c r="O1394" t="str">
        <f t="shared" si="568"/>
        <v>MYR</v>
      </c>
      <c r="P1394" t="str">
        <f t="shared" si="586"/>
        <v>NIL</v>
      </c>
      <c r="Q1394" t="str">
        <f t="shared" si="586"/>
        <v>NIL</v>
      </c>
      <c r="R1394" t="str">
        <f t="shared" si="569"/>
        <v>Accepted</v>
      </c>
      <c r="S1394" t="str">
        <f t="shared" si="570"/>
        <v>Approved</v>
      </c>
      <c r="T1394" t="str">
        <f t="shared" si="571"/>
        <v>10.20.8.188</v>
      </c>
      <c r="U1394" t="str">
        <f t="shared" si="572"/>
        <v>AZRAD UMAR BIN SHAARI</v>
      </c>
      <c r="V1394" t="str">
        <f t="shared" si="573"/>
        <v>FARHANA BINTI MUSTAPA</v>
      </c>
      <c r="W1394" t="str">
        <f t="shared" si="574"/>
        <v>04-08-2020</v>
      </c>
      <c r="X1394" t="str">
        <f t="shared" si="575"/>
        <v>RAZIMAH ANSAR AHMAD</v>
      </c>
      <c r="Y1394" t="str">
        <f t="shared" si="576"/>
        <v>04-08-2020</v>
      </c>
      <c r="Z1394" t="str">
        <f>"COS10200804 7760"</f>
        <v>COS10200804 7760</v>
      </c>
    </row>
    <row r="1395" spans="1:26" x14ac:dyDescent="0.25">
      <c r="A1395" t="str">
        <f t="shared" si="583"/>
        <v>04-08-2020 01:08:11</v>
      </c>
      <c r="B1395" t="str">
        <f>"0000809560"</f>
        <v>0000809560</v>
      </c>
      <c r="C1395" t="str">
        <f t="shared" si="584"/>
        <v>0000809401</v>
      </c>
      <c r="D1395" t="str">
        <f t="shared" si="564"/>
        <v>73185</v>
      </c>
      <c r="E1395" t="str">
        <f t="shared" si="565"/>
        <v>KFH-OPERATIONS DEPARTMENT</v>
      </c>
      <c r="F1395" t="str">
        <f t="shared" si="566"/>
        <v>IBG</v>
      </c>
      <c r="G1395" t="str">
        <f t="shared" si="579"/>
        <v>Refund COSHARE 10</v>
      </c>
      <c r="H1395" s="2">
        <v>338</v>
      </c>
      <c r="I1395" t="str">
        <f>"TENGKU MOHD ZAININ B TENGKU BADARUZAMAN"</f>
        <v>TENGKU MOHD ZAININ B TENGKU BADARUZAMAN</v>
      </c>
      <c r="J1395" t="str">
        <f t="shared" si="580"/>
        <v>MAYBANK / MAYBANK ISLAMIC</v>
      </c>
      <c r="K1395" t="str">
        <f>"156132529604"</f>
        <v>156132529604</v>
      </c>
      <c r="L1395" t="str">
        <f t="shared" si="585"/>
        <v>04-08-2020</v>
      </c>
      <c r="M1395" t="str">
        <f t="shared" si="585"/>
        <v>04-08-2020</v>
      </c>
      <c r="N1395" t="str">
        <f t="shared" si="567"/>
        <v>001105018356</v>
      </c>
      <c r="O1395" t="str">
        <f t="shared" si="568"/>
        <v>MYR</v>
      </c>
      <c r="P1395" t="str">
        <f t="shared" si="586"/>
        <v>NIL</v>
      </c>
      <c r="Q1395" t="str">
        <f t="shared" si="586"/>
        <v>NIL</v>
      </c>
      <c r="R1395" t="str">
        <f t="shared" si="569"/>
        <v>Accepted</v>
      </c>
      <c r="S1395" t="str">
        <f t="shared" si="570"/>
        <v>Approved</v>
      </c>
      <c r="T1395" t="str">
        <f t="shared" si="571"/>
        <v>10.20.8.188</v>
      </c>
      <c r="U1395" t="str">
        <f t="shared" si="572"/>
        <v>AZRAD UMAR BIN SHAARI</v>
      </c>
      <c r="V1395" t="str">
        <f t="shared" si="573"/>
        <v>FARHANA BINTI MUSTAPA</v>
      </c>
      <c r="W1395" t="str">
        <f t="shared" si="574"/>
        <v>04-08-2020</v>
      </c>
      <c r="X1395" t="str">
        <f t="shared" si="575"/>
        <v>RAZIMAH ANSAR AHMAD</v>
      </c>
      <c r="Y1395" t="str">
        <f t="shared" si="576"/>
        <v>04-08-2020</v>
      </c>
      <c r="Z1395" t="str">
        <f>"COS10200804 7759"</f>
        <v>COS10200804 7759</v>
      </c>
    </row>
    <row r="1396" spans="1:26" x14ac:dyDescent="0.25">
      <c r="A1396" t="str">
        <f t="shared" si="583"/>
        <v>04-08-2020 01:08:11</v>
      </c>
      <c r="B1396" t="str">
        <f>"0000809559"</f>
        <v>0000809559</v>
      </c>
      <c r="C1396" t="str">
        <f t="shared" si="584"/>
        <v>0000809401</v>
      </c>
      <c r="D1396" t="str">
        <f t="shared" si="564"/>
        <v>73185</v>
      </c>
      <c r="E1396" t="str">
        <f t="shared" si="565"/>
        <v>KFH-OPERATIONS DEPARTMENT</v>
      </c>
      <c r="F1396" t="str">
        <f t="shared" si="566"/>
        <v>IBG</v>
      </c>
      <c r="G1396" t="str">
        <f t="shared" si="579"/>
        <v>Refund COSHARE 10</v>
      </c>
      <c r="H1396" s="2">
        <v>380</v>
      </c>
      <c r="I1396" t="str">
        <f>"TENGKU MOHD AZIRI BIN TENGKU ALI"</f>
        <v>TENGKU MOHD AZIRI BIN TENGKU ALI</v>
      </c>
      <c r="J1396" t="str">
        <f t="shared" si="580"/>
        <v>MAYBANK / MAYBANK ISLAMIC</v>
      </c>
      <c r="K1396" t="str">
        <f>"106138056876"</f>
        <v>106138056876</v>
      </c>
      <c r="L1396" t="str">
        <f t="shared" si="585"/>
        <v>04-08-2020</v>
      </c>
      <c r="M1396" t="str">
        <f t="shared" si="585"/>
        <v>04-08-2020</v>
      </c>
      <c r="N1396" t="str">
        <f t="shared" si="567"/>
        <v>001105018356</v>
      </c>
      <c r="O1396" t="str">
        <f t="shared" si="568"/>
        <v>MYR</v>
      </c>
      <c r="P1396" t="str">
        <f t="shared" si="586"/>
        <v>NIL</v>
      </c>
      <c r="Q1396" t="str">
        <f t="shared" si="586"/>
        <v>NIL</v>
      </c>
      <c r="R1396" t="str">
        <f t="shared" si="569"/>
        <v>Accepted</v>
      </c>
      <c r="S1396" t="str">
        <f t="shared" si="570"/>
        <v>Approved</v>
      </c>
      <c r="T1396" t="str">
        <f t="shared" si="571"/>
        <v>10.20.8.188</v>
      </c>
      <c r="U1396" t="str">
        <f t="shared" si="572"/>
        <v>AZRAD UMAR BIN SHAARI</v>
      </c>
      <c r="V1396" t="str">
        <f t="shared" si="573"/>
        <v>FARHANA BINTI MUSTAPA</v>
      </c>
      <c r="W1396" t="str">
        <f t="shared" si="574"/>
        <v>04-08-2020</v>
      </c>
      <c r="X1396" t="str">
        <f t="shared" si="575"/>
        <v>RAZIMAH ANSAR AHMAD</v>
      </c>
      <c r="Y1396" t="str">
        <f t="shared" si="576"/>
        <v>04-08-2020</v>
      </c>
      <c r="Z1396" t="str">
        <f>"COS10200804 7758"</f>
        <v>COS10200804 7758</v>
      </c>
    </row>
    <row r="1397" spans="1:26" x14ac:dyDescent="0.25">
      <c r="A1397" t="str">
        <f t="shared" si="583"/>
        <v>04-08-2020 01:08:11</v>
      </c>
      <c r="B1397" t="str">
        <f>"0000809558"</f>
        <v>0000809558</v>
      </c>
      <c r="C1397" t="str">
        <f t="shared" si="584"/>
        <v>0000809401</v>
      </c>
      <c r="D1397" t="str">
        <f t="shared" si="564"/>
        <v>73185</v>
      </c>
      <c r="E1397" t="str">
        <f t="shared" si="565"/>
        <v>KFH-OPERATIONS DEPARTMENT</v>
      </c>
      <c r="F1397" t="str">
        <f t="shared" si="566"/>
        <v>IBG</v>
      </c>
      <c r="G1397" t="str">
        <f t="shared" si="579"/>
        <v>Refund COSHARE 10</v>
      </c>
      <c r="H1397" s="2">
        <v>843.1</v>
      </c>
      <c r="I1397" t="str">
        <f>"TENGKU MARLIANA BINTI TENGKU YUSOFF"</f>
        <v>TENGKU MARLIANA BINTI TENGKU YUSOFF</v>
      </c>
      <c r="J1397" t="str">
        <f t="shared" si="580"/>
        <v>MAYBANK / MAYBANK ISLAMIC</v>
      </c>
      <c r="K1397" t="str">
        <f>"164034252535"</f>
        <v>164034252535</v>
      </c>
      <c r="L1397" t="str">
        <f t="shared" si="585"/>
        <v>04-08-2020</v>
      </c>
      <c r="M1397" t="str">
        <f t="shared" si="585"/>
        <v>04-08-2020</v>
      </c>
      <c r="N1397" t="str">
        <f t="shared" si="567"/>
        <v>001105018356</v>
      </c>
      <c r="O1397" t="str">
        <f t="shared" si="568"/>
        <v>MYR</v>
      </c>
      <c r="P1397" t="str">
        <f t="shared" si="586"/>
        <v>NIL</v>
      </c>
      <c r="Q1397" t="str">
        <f t="shared" si="586"/>
        <v>NIL</v>
      </c>
      <c r="R1397" t="str">
        <f t="shared" si="569"/>
        <v>Accepted</v>
      </c>
      <c r="S1397" t="str">
        <f t="shared" si="570"/>
        <v>Approved</v>
      </c>
      <c r="T1397" t="str">
        <f t="shared" si="571"/>
        <v>10.20.8.188</v>
      </c>
      <c r="U1397" t="str">
        <f t="shared" si="572"/>
        <v>AZRAD UMAR BIN SHAARI</v>
      </c>
      <c r="V1397" t="str">
        <f t="shared" si="573"/>
        <v>FARHANA BINTI MUSTAPA</v>
      </c>
      <c r="W1397" t="str">
        <f t="shared" si="574"/>
        <v>04-08-2020</v>
      </c>
      <c r="X1397" t="str">
        <f t="shared" si="575"/>
        <v>RAZIMAH ANSAR AHMAD</v>
      </c>
      <c r="Y1397" t="str">
        <f t="shared" si="576"/>
        <v>04-08-2020</v>
      </c>
      <c r="Z1397" t="str">
        <f>"COS10200804 7757"</f>
        <v>COS10200804 7757</v>
      </c>
    </row>
    <row r="1398" spans="1:26" x14ac:dyDescent="0.25">
      <c r="A1398" t="str">
        <f t="shared" si="583"/>
        <v>04-08-2020 01:08:11</v>
      </c>
      <c r="B1398" t="str">
        <f>"0000809557"</f>
        <v>0000809557</v>
      </c>
      <c r="C1398" t="str">
        <f t="shared" si="584"/>
        <v>0000809401</v>
      </c>
      <c r="D1398" t="str">
        <f t="shared" si="564"/>
        <v>73185</v>
      </c>
      <c r="E1398" t="str">
        <f t="shared" si="565"/>
        <v>KFH-OPERATIONS DEPARTMENT</v>
      </c>
      <c r="F1398" t="str">
        <f t="shared" si="566"/>
        <v>IBG</v>
      </c>
      <c r="G1398" t="str">
        <f t="shared" si="579"/>
        <v>Refund COSHARE 10</v>
      </c>
      <c r="H1398" s="2">
        <v>251.85</v>
      </c>
      <c r="I1398" t="str">
        <f>"TENGKU AZIANA BINTI TENGKU AZIZ"</f>
        <v>TENGKU AZIANA BINTI TENGKU AZIZ</v>
      </c>
      <c r="J1398" t="str">
        <f t="shared" si="580"/>
        <v>MAYBANK / MAYBANK ISLAMIC</v>
      </c>
      <c r="K1398" t="str">
        <f>"158079615950"</f>
        <v>158079615950</v>
      </c>
      <c r="L1398" t="str">
        <f t="shared" si="585"/>
        <v>04-08-2020</v>
      </c>
      <c r="M1398" t="str">
        <f t="shared" si="585"/>
        <v>04-08-2020</v>
      </c>
      <c r="N1398" t="str">
        <f t="shared" si="567"/>
        <v>001105018356</v>
      </c>
      <c r="O1398" t="str">
        <f t="shared" si="568"/>
        <v>MYR</v>
      </c>
      <c r="P1398" t="str">
        <f t="shared" si="586"/>
        <v>NIL</v>
      </c>
      <c r="Q1398" t="str">
        <f t="shared" si="586"/>
        <v>NIL</v>
      </c>
      <c r="R1398" t="str">
        <f t="shared" si="569"/>
        <v>Accepted</v>
      </c>
      <c r="S1398" t="str">
        <f t="shared" si="570"/>
        <v>Approved</v>
      </c>
      <c r="T1398" t="str">
        <f t="shared" si="571"/>
        <v>10.20.8.188</v>
      </c>
      <c r="U1398" t="str">
        <f t="shared" si="572"/>
        <v>AZRAD UMAR BIN SHAARI</v>
      </c>
      <c r="V1398" t="str">
        <f t="shared" si="573"/>
        <v>FARHANA BINTI MUSTAPA</v>
      </c>
      <c r="W1398" t="str">
        <f t="shared" si="574"/>
        <v>04-08-2020</v>
      </c>
      <c r="X1398" t="str">
        <f t="shared" si="575"/>
        <v>RAZIMAH ANSAR AHMAD</v>
      </c>
      <c r="Y1398" t="str">
        <f t="shared" si="576"/>
        <v>04-08-2020</v>
      </c>
      <c r="Z1398" t="str">
        <f>"COS10200804 7756"</f>
        <v>COS10200804 7756</v>
      </c>
    </row>
    <row r="1399" spans="1:26" x14ac:dyDescent="0.25">
      <c r="A1399" t="str">
        <f t="shared" si="583"/>
        <v>04-08-2020 01:08:11</v>
      </c>
      <c r="B1399" t="str">
        <f>"0000809556"</f>
        <v>0000809556</v>
      </c>
      <c r="C1399" t="str">
        <f t="shared" si="584"/>
        <v>0000809401</v>
      </c>
      <c r="D1399" t="str">
        <f t="shared" si="564"/>
        <v>73185</v>
      </c>
      <c r="E1399" t="str">
        <f t="shared" si="565"/>
        <v>KFH-OPERATIONS DEPARTMENT</v>
      </c>
      <c r="F1399" t="str">
        <f t="shared" si="566"/>
        <v>IBG</v>
      </c>
      <c r="G1399" t="str">
        <f t="shared" si="579"/>
        <v>Refund COSHARE 10</v>
      </c>
      <c r="H1399" s="2">
        <v>176.3</v>
      </c>
      <c r="I1399" t="str">
        <f>"TENGKU ASRAF SHAH BIN TENGKU YAHYA"</f>
        <v>TENGKU ASRAF SHAH BIN TENGKU YAHYA</v>
      </c>
      <c r="J1399" t="str">
        <f t="shared" si="580"/>
        <v>MAYBANK / MAYBANK ISLAMIC</v>
      </c>
      <c r="K1399" t="str">
        <f>"156244125629"</f>
        <v>156244125629</v>
      </c>
      <c r="L1399" t="str">
        <f t="shared" si="585"/>
        <v>04-08-2020</v>
      </c>
      <c r="M1399" t="str">
        <f t="shared" si="585"/>
        <v>04-08-2020</v>
      </c>
      <c r="N1399" t="str">
        <f t="shared" si="567"/>
        <v>001105018356</v>
      </c>
      <c r="O1399" t="str">
        <f t="shared" si="568"/>
        <v>MYR</v>
      </c>
      <c r="P1399" t="str">
        <f t="shared" si="586"/>
        <v>NIL</v>
      </c>
      <c r="Q1399" t="str">
        <f t="shared" si="586"/>
        <v>NIL</v>
      </c>
      <c r="R1399" t="str">
        <f t="shared" si="569"/>
        <v>Accepted</v>
      </c>
      <c r="S1399" t="str">
        <f t="shared" si="570"/>
        <v>Approved</v>
      </c>
      <c r="T1399" t="str">
        <f t="shared" si="571"/>
        <v>10.20.8.188</v>
      </c>
      <c r="U1399" t="str">
        <f t="shared" si="572"/>
        <v>AZRAD UMAR BIN SHAARI</v>
      </c>
      <c r="V1399" t="str">
        <f t="shared" si="573"/>
        <v>FARHANA BINTI MUSTAPA</v>
      </c>
      <c r="W1399" t="str">
        <f t="shared" si="574"/>
        <v>04-08-2020</v>
      </c>
      <c r="X1399" t="str">
        <f t="shared" si="575"/>
        <v>RAZIMAH ANSAR AHMAD</v>
      </c>
      <c r="Y1399" t="str">
        <f t="shared" si="576"/>
        <v>04-08-2020</v>
      </c>
      <c r="Z1399" t="str">
        <f>"COS10200804 7755"</f>
        <v>COS10200804 7755</v>
      </c>
    </row>
    <row r="1400" spans="1:26" x14ac:dyDescent="0.25">
      <c r="A1400" t="str">
        <f t="shared" si="583"/>
        <v>04-08-2020 01:08:11</v>
      </c>
      <c r="B1400" t="str">
        <f>"0000809555"</f>
        <v>0000809555</v>
      </c>
      <c r="C1400" t="str">
        <f t="shared" si="584"/>
        <v>0000809401</v>
      </c>
      <c r="D1400" t="str">
        <f t="shared" si="564"/>
        <v>73185</v>
      </c>
      <c r="E1400" t="str">
        <f t="shared" si="565"/>
        <v>KFH-OPERATIONS DEPARTMENT</v>
      </c>
      <c r="F1400" t="str">
        <f t="shared" si="566"/>
        <v>IBG</v>
      </c>
      <c r="G1400" t="str">
        <f t="shared" si="579"/>
        <v>Refund COSHARE 10</v>
      </c>
      <c r="H1400" s="2">
        <v>88.7</v>
      </c>
      <c r="I1400" t="str">
        <f>"TENGKU AMARIANORA BINTI TUAN AHMAD"</f>
        <v>TENGKU AMARIANORA BINTI TUAN AHMAD</v>
      </c>
      <c r="J1400" t="str">
        <f t="shared" si="580"/>
        <v>MAYBANK / MAYBANK ISLAMIC</v>
      </c>
      <c r="K1400" t="str">
        <f>"153010094180"</f>
        <v>153010094180</v>
      </c>
      <c r="L1400" t="str">
        <f t="shared" si="585"/>
        <v>04-08-2020</v>
      </c>
      <c r="M1400" t="str">
        <f t="shared" si="585"/>
        <v>04-08-2020</v>
      </c>
      <c r="N1400" t="str">
        <f t="shared" si="567"/>
        <v>001105018356</v>
      </c>
      <c r="O1400" t="str">
        <f t="shared" si="568"/>
        <v>MYR</v>
      </c>
      <c r="P1400" t="str">
        <f t="shared" si="586"/>
        <v>NIL</v>
      </c>
      <c r="Q1400" t="str">
        <f t="shared" si="586"/>
        <v>NIL</v>
      </c>
      <c r="R1400" t="str">
        <f t="shared" si="569"/>
        <v>Accepted</v>
      </c>
      <c r="S1400" t="str">
        <f t="shared" si="570"/>
        <v>Approved</v>
      </c>
      <c r="T1400" t="str">
        <f t="shared" si="571"/>
        <v>10.20.8.188</v>
      </c>
      <c r="U1400" t="str">
        <f t="shared" si="572"/>
        <v>AZRAD UMAR BIN SHAARI</v>
      </c>
      <c r="V1400" t="str">
        <f t="shared" si="573"/>
        <v>FARHANA BINTI MUSTAPA</v>
      </c>
      <c r="W1400" t="str">
        <f t="shared" si="574"/>
        <v>04-08-2020</v>
      </c>
      <c r="X1400" t="str">
        <f t="shared" si="575"/>
        <v>RAZIMAH ANSAR AHMAD</v>
      </c>
      <c r="Y1400" t="str">
        <f t="shared" si="576"/>
        <v>04-08-2020</v>
      </c>
      <c r="Z1400" t="str">
        <f>"COS10200804 7754"</f>
        <v>COS10200804 7754</v>
      </c>
    </row>
    <row r="1401" spans="1:26" x14ac:dyDescent="0.25">
      <c r="A1401" t="str">
        <f t="shared" si="583"/>
        <v>04-08-2020 01:08:11</v>
      </c>
      <c r="B1401" t="str">
        <f>"0000809554"</f>
        <v>0000809554</v>
      </c>
      <c r="C1401" t="str">
        <f t="shared" si="584"/>
        <v>0000809401</v>
      </c>
      <c r="D1401" t="str">
        <f t="shared" si="564"/>
        <v>73185</v>
      </c>
      <c r="E1401" t="str">
        <f t="shared" si="565"/>
        <v>KFH-OPERATIONS DEPARTMENT</v>
      </c>
      <c r="F1401" t="str">
        <f t="shared" si="566"/>
        <v>IBG</v>
      </c>
      <c r="G1401" t="str">
        <f t="shared" si="579"/>
        <v>Refund COSHARE 10</v>
      </c>
      <c r="H1401" s="2">
        <v>589.4</v>
      </c>
      <c r="I1401" t="str">
        <f>"TENGKU AHMAD SHAHROL NIZAM"</f>
        <v>TENGKU AHMAD SHAHROL NIZAM</v>
      </c>
      <c r="J1401" t="str">
        <f t="shared" si="580"/>
        <v>MAYBANK / MAYBANK ISLAMIC</v>
      </c>
      <c r="K1401" t="str">
        <f>"159012716779"</f>
        <v>159012716779</v>
      </c>
      <c r="L1401" t="str">
        <f t="shared" si="585"/>
        <v>04-08-2020</v>
      </c>
      <c r="M1401" t="str">
        <f t="shared" si="585"/>
        <v>04-08-2020</v>
      </c>
      <c r="N1401" t="str">
        <f t="shared" si="567"/>
        <v>001105018356</v>
      </c>
      <c r="O1401" t="str">
        <f t="shared" si="568"/>
        <v>MYR</v>
      </c>
      <c r="P1401" t="str">
        <f t="shared" si="586"/>
        <v>NIL</v>
      </c>
      <c r="Q1401" t="str">
        <f t="shared" si="586"/>
        <v>NIL</v>
      </c>
      <c r="R1401" t="str">
        <f t="shared" si="569"/>
        <v>Accepted</v>
      </c>
      <c r="S1401" t="str">
        <f t="shared" si="570"/>
        <v>Approved</v>
      </c>
      <c r="T1401" t="str">
        <f t="shared" si="571"/>
        <v>10.20.8.188</v>
      </c>
      <c r="U1401" t="str">
        <f t="shared" si="572"/>
        <v>AZRAD UMAR BIN SHAARI</v>
      </c>
      <c r="V1401" t="str">
        <f t="shared" si="573"/>
        <v>FARHANA BINTI MUSTAPA</v>
      </c>
      <c r="W1401" t="str">
        <f t="shared" si="574"/>
        <v>04-08-2020</v>
      </c>
      <c r="X1401" t="str">
        <f t="shared" si="575"/>
        <v>RAZIMAH ANSAR AHMAD</v>
      </c>
      <c r="Y1401" t="str">
        <f t="shared" si="576"/>
        <v>04-08-2020</v>
      </c>
      <c r="Z1401" t="str">
        <f>"COS10200804 7753"</f>
        <v>COS10200804 7753</v>
      </c>
    </row>
    <row r="1402" spans="1:26" x14ac:dyDescent="0.25">
      <c r="A1402" t="str">
        <f t="shared" si="583"/>
        <v>04-08-2020 01:08:11</v>
      </c>
      <c r="B1402" t="str">
        <f>"0000809553"</f>
        <v>0000809553</v>
      </c>
      <c r="C1402" t="str">
        <f t="shared" si="584"/>
        <v>0000809401</v>
      </c>
      <c r="D1402" t="str">
        <f t="shared" si="564"/>
        <v>73185</v>
      </c>
      <c r="E1402" t="str">
        <f t="shared" si="565"/>
        <v>KFH-OPERATIONS DEPARTMENT</v>
      </c>
      <c r="F1402" t="str">
        <f t="shared" si="566"/>
        <v>IBG</v>
      </c>
      <c r="G1402" t="str">
        <f t="shared" si="579"/>
        <v>Refund COSHARE 10</v>
      </c>
      <c r="H1402" s="2">
        <v>1217.3</v>
      </c>
      <c r="I1402" t="str">
        <f>"TEH NUR AZLINA BINTI MOHAMAD NOOR"</f>
        <v>TEH NUR AZLINA BINTI MOHAMAD NOOR</v>
      </c>
      <c r="J1402" t="str">
        <f t="shared" si="580"/>
        <v>MAYBANK / MAYBANK ISLAMIC</v>
      </c>
      <c r="K1402" t="str">
        <f>"157308017425"</f>
        <v>157308017425</v>
      </c>
      <c r="L1402" t="str">
        <f t="shared" si="585"/>
        <v>04-08-2020</v>
      </c>
      <c r="M1402" t="str">
        <f t="shared" si="585"/>
        <v>04-08-2020</v>
      </c>
      <c r="N1402" t="str">
        <f t="shared" si="567"/>
        <v>001105018356</v>
      </c>
      <c r="O1402" t="str">
        <f t="shared" si="568"/>
        <v>MYR</v>
      </c>
      <c r="P1402" t="str">
        <f t="shared" si="586"/>
        <v>NIL</v>
      </c>
      <c r="Q1402" t="str">
        <f t="shared" si="586"/>
        <v>NIL</v>
      </c>
      <c r="R1402" t="str">
        <f t="shared" si="569"/>
        <v>Accepted</v>
      </c>
      <c r="S1402" t="str">
        <f t="shared" si="570"/>
        <v>Approved</v>
      </c>
      <c r="T1402" t="str">
        <f t="shared" si="571"/>
        <v>10.20.8.188</v>
      </c>
      <c r="U1402" t="str">
        <f t="shared" si="572"/>
        <v>AZRAD UMAR BIN SHAARI</v>
      </c>
      <c r="V1402" t="str">
        <f t="shared" si="573"/>
        <v>FARHANA BINTI MUSTAPA</v>
      </c>
      <c r="W1402" t="str">
        <f t="shared" si="574"/>
        <v>04-08-2020</v>
      </c>
      <c r="X1402" t="str">
        <f t="shared" si="575"/>
        <v>RAZIMAH ANSAR AHMAD</v>
      </c>
      <c r="Y1402" t="str">
        <f t="shared" si="576"/>
        <v>04-08-2020</v>
      </c>
      <c r="Z1402" t="str">
        <f>"COS10200804 7752"</f>
        <v>COS10200804 7752</v>
      </c>
    </row>
    <row r="1403" spans="1:26" x14ac:dyDescent="0.25">
      <c r="A1403" t="str">
        <f t="shared" si="583"/>
        <v>04-08-2020 01:08:11</v>
      </c>
      <c r="B1403" t="str">
        <f>"0000809552"</f>
        <v>0000809552</v>
      </c>
      <c r="C1403" t="str">
        <f t="shared" si="584"/>
        <v>0000809401</v>
      </c>
      <c r="D1403" t="str">
        <f t="shared" si="564"/>
        <v>73185</v>
      </c>
      <c r="E1403" t="str">
        <f t="shared" si="565"/>
        <v>KFH-OPERATIONS DEPARTMENT</v>
      </c>
      <c r="F1403" t="str">
        <f t="shared" si="566"/>
        <v>IBG</v>
      </c>
      <c r="G1403" t="str">
        <f t="shared" si="579"/>
        <v>Refund COSHARE 10</v>
      </c>
      <c r="H1403" s="2">
        <v>663.2</v>
      </c>
      <c r="I1403" t="str">
        <f>"TANZIL BIN HUSSAIN"</f>
        <v>TANZIL BIN HUSSAIN</v>
      </c>
      <c r="J1403" t="str">
        <f t="shared" si="580"/>
        <v>MAYBANK / MAYBANK ISLAMIC</v>
      </c>
      <c r="K1403" t="str">
        <f>"114150437887"</f>
        <v>114150437887</v>
      </c>
      <c r="L1403" t="str">
        <f t="shared" si="585"/>
        <v>04-08-2020</v>
      </c>
      <c r="M1403" t="str">
        <f t="shared" si="585"/>
        <v>04-08-2020</v>
      </c>
      <c r="N1403" t="str">
        <f t="shared" si="567"/>
        <v>001105018356</v>
      </c>
      <c r="O1403" t="str">
        <f t="shared" si="568"/>
        <v>MYR</v>
      </c>
      <c r="P1403" t="str">
        <f t="shared" si="586"/>
        <v>NIL</v>
      </c>
      <c r="Q1403" t="str">
        <f t="shared" si="586"/>
        <v>NIL</v>
      </c>
      <c r="R1403" t="str">
        <f t="shared" si="569"/>
        <v>Accepted</v>
      </c>
      <c r="S1403" t="str">
        <f t="shared" si="570"/>
        <v>Approved</v>
      </c>
      <c r="T1403" t="str">
        <f t="shared" si="571"/>
        <v>10.20.8.188</v>
      </c>
      <c r="U1403" t="str">
        <f t="shared" si="572"/>
        <v>AZRAD UMAR BIN SHAARI</v>
      </c>
      <c r="V1403" t="str">
        <f t="shared" si="573"/>
        <v>FARHANA BINTI MUSTAPA</v>
      </c>
      <c r="W1403" t="str">
        <f t="shared" si="574"/>
        <v>04-08-2020</v>
      </c>
      <c r="X1403" t="str">
        <f t="shared" si="575"/>
        <v>RAZIMAH ANSAR AHMAD</v>
      </c>
      <c r="Y1403" t="str">
        <f t="shared" si="576"/>
        <v>04-08-2020</v>
      </c>
      <c r="Z1403" t="str">
        <f>"COS10200804 7751"</f>
        <v>COS10200804 7751</v>
      </c>
    </row>
    <row r="1404" spans="1:26" x14ac:dyDescent="0.25">
      <c r="A1404" t="str">
        <f t="shared" si="583"/>
        <v>04-08-2020 01:08:11</v>
      </c>
      <c r="B1404" t="str">
        <f>"0000809551"</f>
        <v>0000809551</v>
      </c>
      <c r="C1404" t="str">
        <f t="shared" si="584"/>
        <v>0000809401</v>
      </c>
      <c r="D1404" t="str">
        <f t="shared" si="564"/>
        <v>73185</v>
      </c>
      <c r="E1404" t="str">
        <f t="shared" si="565"/>
        <v>KFH-OPERATIONS DEPARTMENT</v>
      </c>
      <c r="F1404" t="str">
        <f t="shared" si="566"/>
        <v>IBG</v>
      </c>
      <c r="G1404" t="str">
        <f t="shared" si="579"/>
        <v>Refund COSHARE 10</v>
      </c>
      <c r="H1404" s="2">
        <v>887.55</v>
      </c>
      <c r="I1404" t="str">
        <f>"TANG LEE CHIN"</f>
        <v>TANG LEE CHIN</v>
      </c>
      <c r="J1404" t="str">
        <f t="shared" si="580"/>
        <v>MAYBANK / MAYBANK ISLAMIC</v>
      </c>
      <c r="K1404" t="str">
        <f>"101141283797"</f>
        <v>101141283797</v>
      </c>
      <c r="L1404" t="str">
        <f t="shared" si="585"/>
        <v>04-08-2020</v>
      </c>
      <c r="M1404" t="str">
        <f t="shared" si="585"/>
        <v>04-08-2020</v>
      </c>
      <c r="N1404" t="str">
        <f t="shared" si="567"/>
        <v>001105018356</v>
      </c>
      <c r="O1404" t="str">
        <f t="shared" si="568"/>
        <v>MYR</v>
      </c>
      <c r="P1404" t="str">
        <f t="shared" si="586"/>
        <v>NIL</v>
      </c>
      <c r="Q1404" t="str">
        <f t="shared" si="586"/>
        <v>NIL</v>
      </c>
      <c r="R1404" t="str">
        <f t="shared" si="569"/>
        <v>Accepted</v>
      </c>
      <c r="S1404" t="str">
        <f t="shared" si="570"/>
        <v>Approved</v>
      </c>
      <c r="T1404" t="str">
        <f t="shared" si="571"/>
        <v>10.20.8.188</v>
      </c>
      <c r="U1404" t="str">
        <f t="shared" si="572"/>
        <v>AZRAD UMAR BIN SHAARI</v>
      </c>
      <c r="V1404" t="str">
        <f t="shared" si="573"/>
        <v>FARHANA BINTI MUSTAPA</v>
      </c>
      <c r="W1404" t="str">
        <f t="shared" si="574"/>
        <v>04-08-2020</v>
      </c>
      <c r="X1404" t="str">
        <f t="shared" si="575"/>
        <v>RAZIMAH ANSAR AHMAD</v>
      </c>
      <c r="Y1404" t="str">
        <f t="shared" si="576"/>
        <v>04-08-2020</v>
      </c>
      <c r="Z1404" t="str">
        <f>"COS10200804 7750"</f>
        <v>COS10200804 7750</v>
      </c>
    </row>
    <row r="1405" spans="1:26" x14ac:dyDescent="0.25">
      <c r="A1405" t="str">
        <f t="shared" si="583"/>
        <v>04-08-2020 01:08:11</v>
      </c>
      <c r="B1405" t="str">
        <f>"0000809550"</f>
        <v>0000809550</v>
      </c>
      <c r="C1405" t="str">
        <f t="shared" si="584"/>
        <v>0000809401</v>
      </c>
      <c r="D1405" t="str">
        <f t="shared" si="564"/>
        <v>73185</v>
      </c>
      <c r="E1405" t="str">
        <f t="shared" si="565"/>
        <v>KFH-OPERATIONS DEPARTMENT</v>
      </c>
      <c r="F1405" t="str">
        <f t="shared" si="566"/>
        <v>IBG</v>
      </c>
      <c r="G1405" t="str">
        <f t="shared" si="579"/>
        <v>Refund COSHARE 10</v>
      </c>
      <c r="H1405" s="2">
        <v>1734</v>
      </c>
      <c r="I1405" t="str">
        <f>"TAN SUET CHEE"</f>
        <v>TAN SUET CHEE</v>
      </c>
      <c r="J1405" t="str">
        <f t="shared" si="580"/>
        <v>MAYBANK / MAYBANK ISLAMIC</v>
      </c>
      <c r="K1405" t="str">
        <f>"111057120837"</f>
        <v>111057120837</v>
      </c>
      <c r="L1405" t="str">
        <f t="shared" si="585"/>
        <v>04-08-2020</v>
      </c>
      <c r="M1405" t="str">
        <f t="shared" si="585"/>
        <v>04-08-2020</v>
      </c>
      <c r="N1405" t="str">
        <f t="shared" si="567"/>
        <v>001105018356</v>
      </c>
      <c r="O1405" t="str">
        <f t="shared" si="568"/>
        <v>MYR</v>
      </c>
      <c r="P1405" t="str">
        <f t="shared" si="586"/>
        <v>NIL</v>
      </c>
      <c r="Q1405" t="str">
        <f t="shared" si="586"/>
        <v>NIL</v>
      </c>
      <c r="R1405" t="str">
        <f t="shared" si="569"/>
        <v>Accepted</v>
      </c>
      <c r="S1405" t="str">
        <f t="shared" si="570"/>
        <v>Approved</v>
      </c>
      <c r="T1405" t="str">
        <f t="shared" si="571"/>
        <v>10.20.8.188</v>
      </c>
      <c r="U1405" t="str">
        <f t="shared" si="572"/>
        <v>AZRAD UMAR BIN SHAARI</v>
      </c>
      <c r="V1405" t="str">
        <f t="shared" si="573"/>
        <v>FARHANA BINTI MUSTAPA</v>
      </c>
      <c r="W1405" t="str">
        <f t="shared" si="574"/>
        <v>04-08-2020</v>
      </c>
      <c r="X1405" t="str">
        <f t="shared" si="575"/>
        <v>RAZIMAH ANSAR AHMAD</v>
      </c>
      <c r="Y1405" t="str">
        <f t="shared" si="576"/>
        <v>04-08-2020</v>
      </c>
      <c r="Z1405" t="str">
        <f>"COS10200804 7749"</f>
        <v>COS10200804 7749</v>
      </c>
    </row>
    <row r="1406" spans="1:26" x14ac:dyDescent="0.25">
      <c r="A1406" t="str">
        <f t="shared" si="583"/>
        <v>04-08-2020 01:08:11</v>
      </c>
      <c r="B1406" t="str">
        <f>"0000809549"</f>
        <v>0000809549</v>
      </c>
      <c r="C1406" t="str">
        <f t="shared" si="584"/>
        <v>0000809401</v>
      </c>
      <c r="D1406" t="str">
        <f t="shared" si="564"/>
        <v>73185</v>
      </c>
      <c r="E1406" t="str">
        <f t="shared" si="565"/>
        <v>KFH-OPERATIONS DEPARTMENT</v>
      </c>
      <c r="F1406" t="str">
        <f t="shared" si="566"/>
        <v>IBG</v>
      </c>
      <c r="G1406" t="str">
        <f t="shared" si="579"/>
        <v>Refund COSHARE 10</v>
      </c>
      <c r="H1406" s="2">
        <v>167.9</v>
      </c>
      <c r="I1406" t="str">
        <f>"TAN SIEW GUAT"</f>
        <v>TAN SIEW GUAT</v>
      </c>
      <c r="J1406" t="str">
        <f t="shared" si="580"/>
        <v>MAYBANK / MAYBANK ISLAMIC</v>
      </c>
      <c r="K1406" t="str">
        <f>"107032038136"</f>
        <v>107032038136</v>
      </c>
      <c r="L1406" t="str">
        <f t="shared" si="585"/>
        <v>04-08-2020</v>
      </c>
      <c r="M1406" t="str">
        <f t="shared" si="585"/>
        <v>04-08-2020</v>
      </c>
      <c r="N1406" t="str">
        <f t="shared" si="567"/>
        <v>001105018356</v>
      </c>
      <c r="O1406" t="str">
        <f t="shared" si="568"/>
        <v>MYR</v>
      </c>
      <c r="P1406" t="str">
        <f t="shared" si="586"/>
        <v>NIL</v>
      </c>
      <c r="Q1406" t="str">
        <f t="shared" si="586"/>
        <v>NIL</v>
      </c>
      <c r="R1406" t="str">
        <f t="shared" si="569"/>
        <v>Accepted</v>
      </c>
      <c r="S1406" t="str">
        <f t="shared" si="570"/>
        <v>Approved</v>
      </c>
      <c r="T1406" t="str">
        <f t="shared" si="571"/>
        <v>10.20.8.188</v>
      </c>
      <c r="U1406" t="str">
        <f t="shared" si="572"/>
        <v>AZRAD UMAR BIN SHAARI</v>
      </c>
      <c r="V1406" t="str">
        <f t="shared" si="573"/>
        <v>FARHANA BINTI MUSTAPA</v>
      </c>
      <c r="W1406" t="str">
        <f t="shared" si="574"/>
        <v>04-08-2020</v>
      </c>
      <c r="X1406" t="str">
        <f t="shared" si="575"/>
        <v>RAZIMAH ANSAR AHMAD</v>
      </c>
      <c r="Y1406" t="str">
        <f t="shared" si="576"/>
        <v>04-08-2020</v>
      </c>
      <c r="Z1406" t="str">
        <f>"COS10200804 7748"</f>
        <v>COS10200804 7748</v>
      </c>
    </row>
    <row r="1407" spans="1:26" x14ac:dyDescent="0.25">
      <c r="A1407" t="str">
        <f t="shared" si="583"/>
        <v>04-08-2020 01:08:11</v>
      </c>
      <c r="B1407" t="str">
        <f>"0000809548"</f>
        <v>0000809548</v>
      </c>
      <c r="C1407" t="str">
        <f t="shared" si="584"/>
        <v>0000809401</v>
      </c>
      <c r="D1407" t="str">
        <f t="shared" si="564"/>
        <v>73185</v>
      </c>
      <c r="E1407" t="str">
        <f t="shared" si="565"/>
        <v>KFH-OPERATIONS DEPARTMENT</v>
      </c>
      <c r="F1407" t="str">
        <f t="shared" si="566"/>
        <v>IBG</v>
      </c>
      <c r="G1407" t="str">
        <f t="shared" si="579"/>
        <v>Refund COSHARE 10</v>
      </c>
      <c r="H1407" s="2">
        <v>610</v>
      </c>
      <c r="I1407" t="str">
        <f>"TAJUDIN BIN MUHAMMAD"</f>
        <v>TAJUDIN BIN MUHAMMAD</v>
      </c>
      <c r="J1407" t="str">
        <f t="shared" si="580"/>
        <v>MAYBANK / MAYBANK ISLAMIC</v>
      </c>
      <c r="K1407" t="str">
        <f>"114066387286"</f>
        <v>114066387286</v>
      </c>
      <c r="L1407" t="str">
        <f t="shared" ref="L1407:M1426" si="587">"04-08-2020"</f>
        <v>04-08-2020</v>
      </c>
      <c r="M1407" t="str">
        <f t="shared" si="587"/>
        <v>04-08-2020</v>
      </c>
      <c r="N1407" t="str">
        <f t="shared" si="567"/>
        <v>001105018356</v>
      </c>
      <c r="O1407" t="str">
        <f t="shared" si="568"/>
        <v>MYR</v>
      </c>
      <c r="P1407" t="str">
        <f t="shared" ref="P1407:Q1426" si="588">"NIL"</f>
        <v>NIL</v>
      </c>
      <c r="Q1407" t="str">
        <f t="shared" si="588"/>
        <v>NIL</v>
      </c>
      <c r="R1407" t="str">
        <f t="shared" si="569"/>
        <v>Accepted</v>
      </c>
      <c r="S1407" t="str">
        <f t="shared" si="570"/>
        <v>Approved</v>
      </c>
      <c r="T1407" t="str">
        <f t="shared" si="571"/>
        <v>10.20.8.188</v>
      </c>
      <c r="U1407" t="str">
        <f t="shared" si="572"/>
        <v>AZRAD UMAR BIN SHAARI</v>
      </c>
      <c r="V1407" t="str">
        <f t="shared" si="573"/>
        <v>FARHANA BINTI MUSTAPA</v>
      </c>
      <c r="W1407" t="str">
        <f t="shared" si="574"/>
        <v>04-08-2020</v>
      </c>
      <c r="X1407" t="str">
        <f t="shared" si="575"/>
        <v>RAZIMAH ANSAR AHMAD</v>
      </c>
      <c r="Y1407" t="str">
        <f t="shared" si="576"/>
        <v>04-08-2020</v>
      </c>
      <c r="Z1407" t="str">
        <f>"COS10200804 7747"</f>
        <v>COS10200804 7747</v>
      </c>
    </row>
    <row r="1408" spans="1:26" x14ac:dyDescent="0.25">
      <c r="A1408" t="str">
        <f t="shared" si="583"/>
        <v>04-08-2020 01:08:11</v>
      </c>
      <c r="B1408" t="str">
        <f>"0000809547"</f>
        <v>0000809547</v>
      </c>
      <c r="C1408" t="str">
        <f t="shared" si="584"/>
        <v>0000809401</v>
      </c>
      <c r="D1408" t="str">
        <f t="shared" si="564"/>
        <v>73185</v>
      </c>
      <c r="E1408" t="str">
        <f t="shared" si="565"/>
        <v>KFH-OPERATIONS DEPARTMENT</v>
      </c>
      <c r="F1408" t="str">
        <f t="shared" si="566"/>
        <v>IBG</v>
      </c>
      <c r="G1408" t="str">
        <f t="shared" si="579"/>
        <v>Refund COSHARE 10</v>
      </c>
      <c r="H1408" s="2">
        <v>409.3</v>
      </c>
      <c r="I1408" t="str">
        <f>"TAHMIL BIN MAHIDI"</f>
        <v>TAHMIL BIN MAHIDI</v>
      </c>
      <c r="J1408" t="str">
        <f t="shared" si="580"/>
        <v>MAYBANK / MAYBANK ISLAMIC</v>
      </c>
      <c r="K1408" t="str">
        <f>"101011548363"</f>
        <v>101011548363</v>
      </c>
      <c r="L1408" t="str">
        <f t="shared" si="587"/>
        <v>04-08-2020</v>
      </c>
      <c r="M1408" t="str">
        <f t="shared" si="587"/>
        <v>04-08-2020</v>
      </c>
      <c r="N1408" t="str">
        <f t="shared" si="567"/>
        <v>001105018356</v>
      </c>
      <c r="O1408" t="str">
        <f t="shared" si="568"/>
        <v>MYR</v>
      </c>
      <c r="P1408" t="str">
        <f t="shared" si="588"/>
        <v>NIL</v>
      </c>
      <c r="Q1408" t="str">
        <f t="shared" si="588"/>
        <v>NIL</v>
      </c>
      <c r="R1408" t="str">
        <f t="shared" si="569"/>
        <v>Accepted</v>
      </c>
      <c r="S1408" t="str">
        <f t="shared" si="570"/>
        <v>Approved</v>
      </c>
      <c r="T1408" t="str">
        <f t="shared" si="571"/>
        <v>10.20.8.188</v>
      </c>
      <c r="U1408" t="str">
        <f t="shared" si="572"/>
        <v>AZRAD UMAR BIN SHAARI</v>
      </c>
      <c r="V1408" t="str">
        <f t="shared" si="573"/>
        <v>FARHANA BINTI MUSTAPA</v>
      </c>
      <c r="W1408" t="str">
        <f t="shared" si="574"/>
        <v>04-08-2020</v>
      </c>
      <c r="X1408" t="str">
        <f t="shared" si="575"/>
        <v>RAZIMAH ANSAR AHMAD</v>
      </c>
      <c r="Y1408" t="str">
        <f t="shared" si="576"/>
        <v>04-08-2020</v>
      </c>
      <c r="Z1408" t="str">
        <f>"COS10200804 7746"</f>
        <v>COS10200804 7746</v>
      </c>
    </row>
    <row r="1409" spans="1:26" x14ac:dyDescent="0.25">
      <c r="A1409" t="str">
        <f t="shared" si="583"/>
        <v>04-08-2020 01:08:11</v>
      </c>
      <c r="B1409" t="str">
        <f>"0000809546"</f>
        <v>0000809546</v>
      </c>
      <c r="C1409" t="str">
        <f t="shared" si="584"/>
        <v>0000809401</v>
      </c>
      <c r="D1409" t="str">
        <f t="shared" si="564"/>
        <v>73185</v>
      </c>
      <c r="E1409" t="str">
        <f t="shared" si="565"/>
        <v>KFH-OPERATIONS DEPARTMENT</v>
      </c>
      <c r="F1409" t="str">
        <f t="shared" si="566"/>
        <v>IBG</v>
      </c>
      <c r="G1409" t="str">
        <f t="shared" si="579"/>
        <v>Refund COSHARE 10</v>
      </c>
      <c r="H1409" s="2">
        <v>61</v>
      </c>
      <c r="I1409" t="str">
        <f>"SYUHAIRI BIN ISMAIL"</f>
        <v>SYUHAIRI BIN ISMAIL</v>
      </c>
      <c r="J1409" t="str">
        <f t="shared" si="580"/>
        <v>MAYBANK / MAYBANK ISLAMIC</v>
      </c>
      <c r="K1409" t="str">
        <f>"162311720380"</f>
        <v>162311720380</v>
      </c>
      <c r="L1409" t="str">
        <f t="shared" si="587"/>
        <v>04-08-2020</v>
      </c>
      <c r="M1409" t="str">
        <f t="shared" si="587"/>
        <v>04-08-2020</v>
      </c>
      <c r="N1409" t="str">
        <f t="shared" si="567"/>
        <v>001105018356</v>
      </c>
      <c r="O1409" t="str">
        <f t="shared" si="568"/>
        <v>MYR</v>
      </c>
      <c r="P1409" t="str">
        <f t="shared" si="588"/>
        <v>NIL</v>
      </c>
      <c r="Q1409" t="str">
        <f t="shared" si="588"/>
        <v>NIL</v>
      </c>
      <c r="R1409" t="str">
        <f t="shared" si="569"/>
        <v>Accepted</v>
      </c>
      <c r="S1409" t="str">
        <f t="shared" si="570"/>
        <v>Approved</v>
      </c>
      <c r="T1409" t="str">
        <f t="shared" si="571"/>
        <v>10.20.8.188</v>
      </c>
      <c r="U1409" t="str">
        <f t="shared" si="572"/>
        <v>AZRAD UMAR BIN SHAARI</v>
      </c>
      <c r="V1409" t="str">
        <f t="shared" si="573"/>
        <v>FARHANA BINTI MUSTAPA</v>
      </c>
      <c r="W1409" t="str">
        <f t="shared" si="574"/>
        <v>04-08-2020</v>
      </c>
      <c r="X1409" t="str">
        <f t="shared" si="575"/>
        <v>RAZIMAH ANSAR AHMAD</v>
      </c>
      <c r="Y1409" t="str">
        <f t="shared" si="576"/>
        <v>04-08-2020</v>
      </c>
      <c r="Z1409" t="str">
        <f>"COS10200804 7745"</f>
        <v>COS10200804 7745</v>
      </c>
    </row>
    <row r="1410" spans="1:26" x14ac:dyDescent="0.25">
      <c r="A1410" t="str">
        <f t="shared" si="583"/>
        <v>04-08-2020 01:08:11</v>
      </c>
      <c r="B1410" t="str">
        <f>"0000809545"</f>
        <v>0000809545</v>
      </c>
      <c r="C1410" t="str">
        <f t="shared" si="584"/>
        <v>0000809401</v>
      </c>
      <c r="D1410" t="str">
        <f t="shared" si="564"/>
        <v>73185</v>
      </c>
      <c r="E1410" t="str">
        <f t="shared" si="565"/>
        <v>KFH-OPERATIONS DEPARTMENT</v>
      </c>
      <c r="F1410" t="str">
        <f t="shared" si="566"/>
        <v>IBG</v>
      </c>
      <c r="G1410" t="str">
        <f t="shared" si="579"/>
        <v>Refund COSHARE 10</v>
      </c>
      <c r="H1410" s="2">
        <v>419.75</v>
      </c>
      <c r="I1410" t="str">
        <f>"SYUHAIDAH BINTI SAHABUDIN"</f>
        <v>SYUHAIDAH BINTI SAHABUDIN</v>
      </c>
      <c r="J1410" t="str">
        <f t="shared" si="580"/>
        <v>MAYBANK / MAYBANK ISLAMIC</v>
      </c>
      <c r="K1410" t="str">
        <f>"164025918357"</f>
        <v>164025918357</v>
      </c>
      <c r="L1410" t="str">
        <f t="shared" si="587"/>
        <v>04-08-2020</v>
      </c>
      <c r="M1410" t="str">
        <f t="shared" si="587"/>
        <v>04-08-2020</v>
      </c>
      <c r="N1410" t="str">
        <f t="shared" si="567"/>
        <v>001105018356</v>
      </c>
      <c r="O1410" t="str">
        <f t="shared" si="568"/>
        <v>MYR</v>
      </c>
      <c r="P1410" t="str">
        <f t="shared" si="588"/>
        <v>NIL</v>
      </c>
      <c r="Q1410" t="str">
        <f t="shared" si="588"/>
        <v>NIL</v>
      </c>
      <c r="R1410" t="str">
        <f t="shared" si="569"/>
        <v>Accepted</v>
      </c>
      <c r="S1410" t="str">
        <f t="shared" si="570"/>
        <v>Approved</v>
      </c>
      <c r="T1410" t="str">
        <f t="shared" si="571"/>
        <v>10.20.8.188</v>
      </c>
      <c r="U1410" t="str">
        <f t="shared" si="572"/>
        <v>AZRAD UMAR BIN SHAARI</v>
      </c>
      <c r="V1410" t="str">
        <f t="shared" si="573"/>
        <v>FARHANA BINTI MUSTAPA</v>
      </c>
      <c r="W1410" t="str">
        <f t="shared" si="574"/>
        <v>04-08-2020</v>
      </c>
      <c r="X1410" t="str">
        <f t="shared" si="575"/>
        <v>RAZIMAH ANSAR AHMAD</v>
      </c>
      <c r="Y1410" t="str">
        <f t="shared" si="576"/>
        <v>04-08-2020</v>
      </c>
      <c r="Z1410" t="str">
        <f>"COS10200804 7744"</f>
        <v>COS10200804 7744</v>
      </c>
    </row>
    <row r="1411" spans="1:26" x14ac:dyDescent="0.25">
      <c r="A1411" t="str">
        <f t="shared" si="583"/>
        <v>04-08-2020 01:08:11</v>
      </c>
      <c r="B1411" t="str">
        <f>"0000809544"</f>
        <v>0000809544</v>
      </c>
      <c r="C1411" t="str">
        <f t="shared" si="584"/>
        <v>0000809401</v>
      </c>
      <c r="D1411" t="str">
        <f t="shared" si="564"/>
        <v>73185</v>
      </c>
      <c r="E1411" t="str">
        <f t="shared" si="565"/>
        <v>KFH-OPERATIONS DEPARTMENT</v>
      </c>
      <c r="F1411" t="str">
        <f t="shared" si="566"/>
        <v>IBG</v>
      </c>
      <c r="G1411" t="str">
        <f t="shared" si="579"/>
        <v>Refund COSHARE 10</v>
      </c>
      <c r="H1411" s="2">
        <v>251.85</v>
      </c>
      <c r="I1411" t="str">
        <f>"SYUHAIDA BT MOHAMED"</f>
        <v>SYUHAIDA BT MOHAMED</v>
      </c>
      <c r="J1411" t="str">
        <f t="shared" si="580"/>
        <v>MAYBANK / MAYBANK ISLAMIC</v>
      </c>
      <c r="K1411" t="str">
        <f>"156114112485"</f>
        <v>156114112485</v>
      </c>
      <c r="L1411" t="str">
        <f t="shared" si="587"/>
        <v>04-08-2020</v>
      </c>
      <c r="M1411" t="str">
        <f t="shared" si="587"/>
        <v>04-08-2020</v>
      </c>
      <c r="N1411" t="str">
        <f t="shared" si="567"/>
        <v>001105018356</v>
      </c>
      <c r="O1411" t="str">
        <f t="shared" si="568"/>
        <v>MYR</v>
      </c>
      <c r="P1411" t="str">
        <f t="shared" si="588"/>
        <v>NIL</v>
      </c>
      <c r="Q1411" t="str">
        <f t="shared" si="588"/>
        <v>NIL</v>
      </c>
      <c r="R1411" t="str">
        <f t="shared" si="569"/>
        <v>Accepted</v>
      </c>
      <c r="S1411" t="str">
        <f t="shared" si="570"/>
        <v>Approved</v>
      </c>
      <c r="T1411" t="str">
        <f t="shared" si="571"/>
        <v>10.20.8.188</v>
      </c>
      <c r="U1411" t="str">
        <f t="shared" si="572"/>
        <v>AZRAD UMAR BIN SHAARI</v>
      </c>
      <c r="V1411" t="str">
        <f t="shared" si="573"/>
        <v>FARHANA BINTI MUSTAPA</v>
      </c>
      <c r="W1411" t="str">
        <f t="shared" si="574"/>
        <v>04-08-2020</v>
      </c>
      <c r="X1411" t="str">
        <f t="shared" si="575"/>
        <v>RAZIMAH ANSAR AHMAD</v>
      </c>
      <c r="Y1411" t="str">
        <f t="shared" si="576"/>
        <v>04-08-2020</v>
      </c>
      <c r="Z1411" t="str">
        <f>"COS10200804 7743"</f>
        <v>COS10200804 7743</v>
      </c>
    </row>
    <row r="1412" spans="1:26" x14ac:dyDescent="0.25">
      <c r="A1412" t="str">
        <f t="shared" si="583"/>
        <v>04-08-2020 01:08:11</v>
      </c>
      <c r="B1412" t="str">
        <f>"0000809543"</f>
        <v>0000809543</v>
      </c>
      <c r="C1412" t="str">
        <f t="shared" si="584"/>
        <v>0000809401</v>
      </c>
      <c r="D1412" t="str">
        <f t="shared" si="564"/>
        <v>73185</v>
      </c>
      <c r="E1412" t="str">
        <f t="shared" si="565"/>
        <v>KFH-OPERATIONS DEPARTMENT</v>
      </c>
      <c r="F1412" t="str">
        <f t="shared" si="566"/>
        <v>IBG</v>
      </c>
      <c r="G1412" t="str">
        <f t="shared" si="579"/>
        <v>Refund COSHARE 10</v>
      </c>
      <c r="H1412" s="2">
        <v>671.6</v>
      </c>
      <c r="I1412" t="str">
        <f>"SYUHAIDA BINTI MD ALI"</f>
        <v>SYUHAIDA BINTI MD ALI</v>
      </c>
      <c r="J1412" t="str">
        <f t="shared" si="580"/>
        <v>MAYBANK / MAYBANK ISLAMIC</v>
      </c>
      <c r="K1412" t="str">
        <f>"157072369622"</f>
        <v>157072369622</v>
      </c>
      <c r="L1412" t="str">
        <f t="shared" si="587"/>
        <v>04-08-2020</v>
      </c>
      <c r="M1412" t="str">
        <f t="shared" si="587"/>
        <v>04-08-2020</v>
      </c>
      <c r="N1412" t="str">
        <f t="shared" si="567"/>
        <v>001105018356</v>
      </c>
      <c r="O1412" t="str">
        <f t="shared" si="568"/>
        <v>MYR</v>
      </c>
      <c r="P1412" t="str">
        <f t="shared" si="588"/>
        <v>NIL</v>
      </c>
      <c r="Q1412" t="str">
        <f t="shared" si="588"/>
        <v>NIL</v>
      </c>
      <c r="R1412" t="str">
        <f t="shared" si="569"/>
        <v>Accepted</v>
      </c>
      <c r="S1412" t="str">
        <f t="shared" si="570"/>
        <v>Approved</v>
      </c>
      <c r="T1412" t="str">
        <f t="shared" si="571"/>
        <v>10.20.8.188</v>
      </c>
      <c r="U1412" t="str">
        <f t="shared" si="572"/>
        <v>AZRAD UMAR BIN SHAARI</v>
      </c>
      <c r="V1412" t="str">
        <f t="shared" si="573"/>
        <v>FARHANA BINTI MUSTAPA</v>
      </c>
      <c r="W1412" t="str">
        <f t="shared" si="574"/>
        <v>04-08-2020</v>
      </c>
      <c r="X1412" t="str">
        <f t="shared" si="575"/>
        <v>RAZIMAH ANSAR AHMAD</v>
      </c>
      <c r="Y1412" t="str">
        <f t="shared" si="576"/>
        <v>04-08-2020</v>
      </c>
      <c r="Z1412" t="str">
        <f>"COS10200804 7742"</f>
        <v>COS10200804 7742</v>
      </c>
    </row>
    <row r="1413" spans="1:26" x14ac:dyDescent="0.25">
      <c r="A1413" t="str">
        <f t="shared" si="583"/>
        <v>04-08-2020 01:08:11</v>
      </c>
      <c r="B1413" t="str">
        <f>"0000809542"</f>
        <v>0000809542</v>
      </c>
      <c r="C1413" t="str">
        <f t="shared" si="584"/>
        <v>0000809401</v>
      </c>
      <c r="D1413" t="str">
        <f t="shared" si="564"/>
        <v>73185</v>
      </c>
      <c r="E1413" t="str">
        <f t="shared" si="565"/>
        <v>KFH-OPERATIONS DEPARTMENT</v>
      </c>
      <c r="F1413" t="str">
        <f t="shared" si="566"/>
        <v>IBG</v>
      </c>
      <c r="G1413" t="str">
        <f t="shared" si="579"/>
        <v>Refund COSHARE 10</v>
      </c>
      <c r="H1413" s="2">
        <v>114</v>
      </c>
      <c r="I1413" t="str">
        <f>"SYUHADA BTE MANSOR"</f>
        <v>SYUHADA BTE MANSOR</v>
      </c>
      <c r="J1413" t="str">
        <f t="shared" si="580"/>
        <v>MAYBANK / MAYBANK ISLAMIC</v>
      </c>
      <c r="K1413" t="str">
        <f>"158088233681"</f>
        <v>158088233681</v>
      </c>
      <c r="L1413" t="str">
        <f t="shared" si="587"/>
        <v>04-08-2020</v>
      </c>
      <c r="M1413" t="str">
        <f t="shared" si="587"/>
        <v>04-08-2020</v>
      </c>
      <c r="N1413" t="str">
        <f t="shared" si="567"/>
        <v>001105018356</v>
      </c>
      <c r="O1413" t="str">
        <f t="shared" si="568"/>
        <v>MYR</v>
      </c>
      <c r="P1413" t="str">
        <f t="shared" si="588"/>
        <v>NIL</v>
      </c>
      <c r="Q1413" t="str">
        <f t="shared" si="588"/>
        <v>NIL</v>
      </c>
      <c r="R1413" t="str">
        <f t="shared" si="569"/>
        <v>Accepted</v>
      </c>
      <c r="S1413" t="str">
        <f t="shared" si="570"/>
        <v>Approved</v>
      </c>
      <c r="T1413" t="str">
        <f t="shared" si="571"/>
        <v>10.20.8.188</v>
      </c>
      <c r="U1413" t="str">
        <f t="shared" si="572"/>
        <v>AZRAD UMAR BIN SHAARI</v>
      </c>
      <c r="V1413" t="str">
        <f t="shared" si="573"/>
        <v>FARHANA BINTI MUSTAPA</v>
      </c>
      <c r="W1413" t="str">
        <f t="shared" si="574"/>
        <v>04-08-2020</v>
      </c>
      <c r="X1413" t="str">
        <f t="shared" si="575"/>
        <v>RAZIMAH ANSAR AHMAD</v>
      </c>
      <c r="Y1413" t="str">
        <f t="shared" si="576"/>
        <v>04-08-2020</v>
      </c>
      <c r="Z1413" t="str">
        <f>"COS10200804 7741"</f>
        <v>COS10200804 7741</v>
      </c>
    </row>
    <row r="1414" spans="1:26" x14ac:dyDescent="0.25">
      <c r="A1414" t="str">
        <f t="shared" si="583"/>
        <v>04-08-2020 01:08:11</v>
      </c>
      <c r="B1414" t="str">
        <f>"0000809541"</f>
        <v>0000809541</v>
      </c>
      <c r="C1414" t="str">
        <f t="shared" si="584"/>
        <v>0000809401</v>
      </c>
      <c r="D1414" t="str">
        <f t="shared" si="564"/>
        <v>73185</v>
      </c>
      <c r="E1414" t="str">
        <f t="shared" si="565"/>
        <v>KFH-OPERATIONS DEPARTMENT</v>
      </c>
      <c r="F1414" t="str">
        <f t="shared" si="566"/>
        <v>IBG</v>
      </c>
      <c r="G1414" t="str">
        <f t="shared" si="579"/>
        <v>Refund COSHARE 10</v>
      </c>
      <c r="H1414" s="2">
        <v>1366</v>
      </c>
      <c r="I1414" t="str">
        <f>"SYUHADA BINTI HAMZAH"</f>
        <v>SYUHADA BINTI HAMZAH</v>
      </c>
      <c r="J1414" t="str">
        <f t="shared" si="580"/>
        <v>MAYBANK / MAYBANK ISLAMIC</v>
      </c>
      <c r="K1414" t="str">
        <f>"154101082835"</f>
        <v>154101082835</v>
      </c>
      <c r="L1414" t="str">
        <f t="shared" si="587"/>
        <v>04-08-2020</v>
      </c>
      <c r="M1414" t="str">
        <f t="shared" si="587"/>
        <v>04-08-2020</v>
      </c>
      <c r="N1414" t="str">
        <f t="shared" si="567"/>
        <v>001105018356</v>
      </c>
      <c r="O1414" t="str">
        <f t="shared" si="568"/>
        <v>MYR</v>
      </c>
      <c r="P1414" t="str">
        <f t="shared" si="588"/>
        <v>NIL</v>
      </c>
      <c r="Q1414" t="str">
        <f t="shared" si="588"/>
        <v>NIL</v>
      </c>
      <c r="R1414" t="str">
        <f t="shared" si="569"/>
        <v>Accepted</v>
      </c>
      <c r="S1414" t="str">
        <f t="shared" si="570"/>
        <v>Approved</v>
      </c>
      <c r="T1414" t="str">
        <f t="shared" si="571"/>
        <v>10.20.8.188</v>
      </c>
      <c r="U1414" t="str">
        <f t="shared" si="572"/>
        <v>AZRAD UMAR BIN SHAARI</v>
      </c>
      <c r="V1414" t="str">
        <f t="shared" si="573"/>
        <v>FARHANA BINTI MUSTAPA</v>
      </c>
      <c r="W1414" t="str">
        <f t="shared" si="574"/>
        <v>04-08-2020</v>
      </c>
      <c r="X1414" t="str">
        <f t="shared" si="575"/>
        <v>RAZIMAH ANSAR AHMAD</v>
      </c>
      <c r="Y1414" t="str">
        <f t="shared" si="576"/>
        <v>04-08-2020</v>
      </c>
      <c r="Z1414" t="str">
        <f>"COS10200804 7740"</f>
        <v>COS10200804 7740</v>
      </c>
    </row>
    <row r="1415" spans="1:26" x14ac:dyDescent="0.25">
      <c r="A1415" t="str">
        <f t="shared" si="583"/>
        <v>04-08-2020 01:08:11</v>
      </c>
      <c r="B1415" t="str">
        <f>"0000809540"</f>
        <v>0000809540</v>
      </c>
      <c r="C1415" t="str">
        <f t="shared" si="584"/>
        <v>0000809401</v>
      </c>
      <c r="D1415" t="str">
        <f t="shared" ref="D1415:D1478" si="589">"73185"</f>
        <v>73185</v>
      </c>
      <c r="E1415" t="str">
        <f t="shared" ref="E1415:E1478" si="590">"KFH-OPERATIONS DEPARTMENT"</f>
        <v>KFH-OPERATIONS DEPARTMENT</v>
      </c>
      <c r="F1415" t="str">
        <f t="shared" ref="F1415:F1478" si="591">"IBG"</f>
        <v>IBG</v>
      </c>
      <c r="G1415" t="str">
        <f t="shared" si="579"/>
        <v>Refund COSHARE 10</v>
      </c>
      <c r="H1415" s="2">
        <v>184.7</v>
      </c>
      <c r="I1415" t="str">
        <f>"SYLVIANAH BINTI MARAUN"</f>
        <v>SYLVIANAH BINTI MARAUN</v>
      </c>
      <c r="J1415" t="str">
        <f t="shared" si="580"/>
        <v>MAYBANK / MAYBANK ISLAMIC</v>
      </c>
      <c r="K1415" t="str">
        <f>"110069027580"</f>
        <v>110069027580</v>
      </c>
      <c r="L1415" t="str">
        <f t="shared" si="587"/>
        <v>04-08-2020</v>
      </c>
      <c r="M1415" t="str">
        <f t="shared" si="587"/>
        <v>04-08-2020</v>
      </c>
      <c r="N1415" t="str">
        <f t="shared" ref="N1415:N1478" si="592">"001105018356"</f>
        <v>001105018356</v>
      </c>
      <c r="O1415" t="str">
        <f t="shared" ref="O1415:O1478" si="593">"MYR"</f>
        <v>MYR</v>
      </c>
      <c r="P1415" t="str">
        <f t="shared" si="588"/>
        <v>NIL</v>
      </c>
      <c r="Q1415" t="str">
        <f t="shared" si="588"/>
        <v>NIL</v>
      </c>
      <c r="R1415" t="str">
        <f t="shared" ref="R1415:R1478" si="594">"Accepted"</f>
        <v>Accepted</v>
      </c>
      <c r="S1415" t="str">
        <f t="shared" ref="S1415:S1478" si="595">"Approved"</f>
        <v>Approved</v>
      </c>
      <c r="T1415" t="str">
        <f t="shared" ref="T1415:T1478" si="596">"10.20.8.188"</f>
        <v>10.20.8.188</v>
      </c>
      <c r="U1415" t="str">
        <f t="shared" ref="U1415:U1478" si="597">"AZRAD UMAR BIN SHAARI"</f>
        <v>AZRAD UMAR BIN SHAARI</v>
      </c>
      <c r="V1415" t="str">
        <f t="shared" ref="V1415:V1478" si="598">"FARHANA BINTI MUSTAPA"</f>
        <v>FARHANA BINTI MUSTAPA</v>
      </c>
      <c r="W1415" t="str">
        <f t="shared" ref="W1415:W1478" si="599">"04-08-2020"</f>
        <v>04-08-2020</v>
      </c>
      <c r="X1415" t="str">
        <f t="shared" ref="X1415:X1478" si="600">"RAZIMAH ANSAR AHMAD"</f>
        <v>RAZIMAH ANSAR AHMAD</v>
      </c>
      <c r="Y1415" t="str">
        <f t="shared" ref="Y1415:Y1478" si="601">"04-08-2020"</f>
        <v>04-08-2020</v>
      </c>
      <c r="Z1415" t="str">
        <f>"COS10200804 7739"</f>
        <v>COS10200804 7739</v>
      </c>
    </row>
    <row r="1416" spans="1:26" x14ac:dyDescent="0.25">
      <c r="A1416" t="str">
        <f t="shared" si="583"/>
        <v>04-08-2020 01:08:11</v>
      </c>
      <c r="B1416" t="str">
        <f>"0000809539"</f>
        <v>0000809539</v>
      </c>
      <c r="C1416" t="str">
        <f t="shared" si="584"/>
        <v>0000809401</v>
      </c>
      <c r="D1416" t="str">
        <f t="shared" si="589"/>
        <v>73185</v>
      </c>
      <c r="E1416" t="str">
        <f t="shared" si="590"/>
        <v>KFH-OPERATIONS DEPARTMENT</v>
      </c>
      <c r="F1416" t="str">
        <f t="shared" si="591"/>
        <v>IBG</v>
      </c>
      <c r="G1416" t="str">
        <f t="shared" si="579"/>
        <v>Refund COSHARE 10</v>
      </c>
      <c r="H1416" s="2">
        <v>218.3</v>
      </c>
      <c r="I1416" t="str">
        <f>"SYLVIA SYLVESTER MALUDA"</f>
        <v>SYLVIA SYLVESTER MALUDA</v>
      </c>
      <c r="J1416" t="str">
        <f t="shared" si="580"/>
        <v>MAYBANK / MAYBANK ISLAMIC</v>
      </c>
      <c r="K1416" t="str">
        <f>"110014077786"</f>
        <v>110014077786</v>
      </c>
      <c r="L1416" t="str">
        <f t="shared" si="587"/>
        <v>04-08-2020</v>
      </c>
      <c r="M1416" t="str">
        <f t="shared" si="587"/>
        <v>04-08-2020</v>
      </c>
      <c r="N1416" t="str">
        <f t="shared" si="592"/>
        <v>001105018356</v>
      </c>
      <c r="O1416" t="str">
        <f t="shared" si="593"/>
        <v>MYR</v>
      </c>
      <c r="P1416" t="str">
        <f t="shared" si="588"/>
        <v>NIL</v>
      </c>
      <c r="Q1416" t="str">
        <f t="shared" si="588"/>
        <v>NIL</v>
      </c>
      <c r="R1416" t="str">
        <f t="shared" si="594"/>
        <v>Accepted</v>
      </c>
      <c r="S1416" t="str">
        <f t="shared" si="595"/>
        <v>Approved</v>
      </c>
      <c r="T1416" t="str">
        <f t="shared" si="596"/>
        <v>10.20.8.188</v>
      </c>
      <c r="U1416" t="str">
        <f t="shared" si="597"/>
        <v>AZRAD UMAR BIN SHAARI</v>
      </c>
      <c r="V1416" t="str">
        <f t="shared" si="598"/>
        <v>FARHANA BINTI MUSTAPA</v>
      </c>
      <c r="W1416" t="str">
        <f t="shared" si="599"/>
        <v>04-08-2020</v>
      </c>
      <c r="X1416" t="str">
        <f t="shared" si="600"/>
        <v>RAZIMAH ANSAR AHMAD</v>
      </c>
      <c r="Y1416" t="str">
        <f t="shared" si="601"/>
        <v>04-08-2020</v>
      </c>
      <c r="Z1416" t="str">
        <f>"COS10200804 7738"</f>
        <v>COS10200804 7738</v>
      </c>
    </row>
    <row r="1417" spans="1:26" x14ac:dyDescent="0.25">
      <c r="A1417" t="str">
        <f t="shared" si="583"/>
        <v>04-08-2020 01:08:11</v>
      </c>
      <c r="B1417" t="str">
        <f>"0000809538"</f>
        <v>0000809538</v>
      </c>
      <c r="C1417" t="str">
        <f t="shared" si="584"/>
        <v>0000809401</v>
      </c>
      <c r="D1417" t="str">
        <f t="shared" si="589"/>
        <v>73185</v>
      </c>
      <c r="E1417" t="str">
        <f t="shared" si="590"/>
        <v>KFH-OPERATIONS DEPARTMENT</v>
      </c>
      <c r="F1417" t="str">
        <f t="shared" si="591"/>
        <v>IBG</v>
      </c>
      <c r="G1417" t="str">
        <f t="shared" si="579"/>
        <v>Refund COSHARE 10</v>
      </c>
      <c r="H1417" s="2">
        <v>1595.05</v>
      </c>
      <c r="I1417" t="str">
        <f>"SYLVIA DORIE ANAK RAOH"</f>
        <v>SYLVIA DORIE ANAK RAOH</v>
      </c>
      <c r="J1417" t="str">
        <f t="shared" si="580"/>
        <v>MAYBANK / MAYBANK ISLAMIC</v>
      </c>
      <c r="K1417" t="str">
        <f>"110032030132"</f>
        <v>110032030132</v>
      </c>
      <c r="L1417" t="str">
        <f t="shared" si="587"/>
        <v>04-08-2020</v>
      </c>
      <c r="M1417" t="str">
        <f t="shared" si="587"/>
        <v>04-08-2020</v>
      </c>
      <c r="N1417" t="str">
        <f t="shared" si="592"/>
        <v>001105018356</v>
      </c>
      <c r="O1417" t="str">
        <f t="shared" si="593"/>
        <v>MYR</v>
      </c>
      <c r="P1417" t="str">
        <f t="shared" si="588"/>
        <v>NIL</v>
      </c>
      <c r="Q1417" t="str">
        <f t="shared" si="588"/>
        <v>NIL</v>
      </c>
      <c r="R1417" t="str">
        <f t="shared" si="594"/>
        <v>Accepted</v>
      </c>
      <c r="S1417" t="str">
        <f t="shared" si="595"/>
        <v>Approved</v>
      </c>
      <c r="T1417" t="str">
        <f t="shared" si="596"/>
        <v>10.20.8.188</v>
      </c>
      <c r="U1417" t="str">
        <f t="shared" si="597"/>
        <v>AZRAD UMAR BIN SHAARI</v>
      </c>
      <c r="V1417" t="str">
        <f t="shared" si="598"/>
        <v>FARHANA BINTI MUSTAPA</v>
      </c>
      <c r="W1417" t="str">
        <f t="shared" si="599"/>
        <v>04-08-2020</v>
      </c>
      <c r="X1417" t="str">
        <f t="shared" si="600"/>
        <v>RAZIMAH ANSAR AHMAD</v>
      </c>
      <c r="Y1417" t="str">
        <f t="shared" si="601"/>
        <v>04-08-2020</v>
      </c>
      <c r="Z1417" t="str">
        <f>"COS10200804 7737"</f>
        <v>COS10200804 7737</v>
      </c>
    </row>
    <row r="1418" spans="1:26" x14ac:dyDescent="0.25">
      <c r="A1418" t="str">
        <f t="shared" ref="A1418:A1449" si="602">"04-08-2020 01:08:11"</f>
        <v>04-08-2020 01:08:11</v>
      </c>
      <c r="B1418" t="str">
        <f>"0000809537"</f>
        <v>0000809537</v>
      </c>
      <c r="C1418" t="str">
        <f t="shared" ref="C1418:C1449" si="603">"0000809401"</f>
        <v>0000809401</v>
      </c>
      <c r="D1418" t="str">
        <f t="shared" si="589"/>
        <v>73185</v>
      </c>
      <c r="E1418" t="str">
        <f t="shared" si="590"/>
        <v>KFH-OPERATIONS DEPARTMENT</v>
      </c>
      <c r="F1418" t="str">
        <f t="shared" si="591"/>
        <v>IBG</v>
      </c>
      <c r="G1418" t="str">
        <f t="shared" si="579"/>
        <v>Refund COSHARE 10</v>
      </c>
      <c r="H1418" s="2">
        <v>1586.65</v>
      </c>
      <c r="I1418" t="str">
        <f>"SYIRLEEN ADLYNA BINTI OTHMAN"</f>
        <v>SYIRLEEN ADLYNA BINTI OTHMAN</v>
      </c>
      <c r="J1418" t="str">
        <f t="shared" si="580"/>
        <v>MAYBANK / MAYBANK ISLAMIC</v>
      </c>
      <c r="K1418" t="str">
        <f>"152107019244"</f>
        <v>152107019244</v>
      </c>
      <c r="L1418" t="str">
        <f t="shared" si="587"/>
        <v>04-08-2020</v>
      </c>
      <c r="M1418" t="str">
        <f t="shared" si="587"/>
        <v>04-08-2020</v>
      </c>
      <c r="N1418" t="str">
        <f t="shared" si="592"/>
        <v>001105018356</v>
      </c>
      <c r="O1418" t="str">
        <f t="shared" si="593"/>
        <v>MYR</v>
      </c>
      <c r="P1418" t="str">
        <f t="shared" si="588"/>
        <v>NIL</v>
      </c>
      <c r="Q1418" t="str">
        <f t="shared" si="588"/>
        <v>NIL</v>
      </c>
      <c r="R1418" t="str">
        <f t="shared" si="594"/>
        <v>Accepted</v>
      </c>
      <c r="S1418" t="str">
        <f t="shared" si="595"/>
        <v>Approved</v>
      </c>
      <c r="T1418" t="str">
        <f t="shared" si="596"/>
        <v>10.20.8.188</v>
      </c>
      <c r="U1418" t="str">
        <f t="shared" si="597"/>
        <v>AZRAD UMAR BIN SHAARI</v>
      </c>
      <c r="V1418" t="str">
        <f t="shared" si="598"/>
        <v>FARHANA BINTI MUSTAPA</v>
      </c>
      <c r="W1418" t="str">
        <f t="shared" si="599"/>
        <v>04-08-2020</v>
      </c>
      <c r="X1418" t="str">
        <f t="shared" si="600"/>
        <v>RAZIMAH ANSAR AHMAD</v>
      </c>
      <c r="Y1418" t="str">
        <f t="shared" si="601"/>
        <v>04-08-2020</v>
      </c>
      <c r="Z1418" t="str">
        <f>"COS10200804 7736"</f>
        <v>COS10200804 7736</v>
      </c>
    </row>
    <row r="1419" spans="1:26" x14ac:dyDescent="0.25">
      <c r="A1419" t="str">
        <f t="shared" si="602"/>
        <v>04-08-2020 01:08:11</v>
      </c>
      <c r="B1419" t="str">
        <f>"0000809536"</f>
        <v>0000809536</v>
      </c>
      <c r="C1419" t="str">
        <f t="shared" si="603"/>
        <v>0000809401</v>
      </c>
      <c r="D1419" t="str">
        <f t="shared" si="589"/>
        <v>73185</v>
      </c>
      <c r="E1419" t="str">
        <f t="shared" si="590"/>
        <v>KFH-OPERATIONS DEPARTMENT</v>
      </c>
      <c r="F1419" t="str">
        <f t="shared" si="591"/>
        <v>IBG</v>
      </c>
      <c r="G1419" t="str">
        <f t="shared" si="579"/>
        <v>Refund COSHARE 10</v>
      </c>
      <c r="H1419" s="2">
        <v>42</v>
      </c>
      <c r="I1419" t="str">
        <f>"SYED SUKRAN BIN WAN ADENAN"</f>
        <v>SYED SUKRAN BIN WAN ADENAN</v>
      </c>
      <c r="J1419" t="str">
        <f t="shared" si="580"/>
        <v>MAYBANK / MAYBANK ISLAMIC</v>
      </c>
      <c r="K1419" t="str">
        <f>"111114256684"</f>
        <v>111114256684</v>
      </c>
      <c r="L1419" t="str">
        <f t="shared" si="587"/>
        <v>04-08-2020</v>
      </c>
      <c r="M1419" t="str">
        <f t="shared" si="587"/>
        <v>04-08-2020</v>
      </c>
      <c r="N1419" t="str">
        <f t="shared" si="592"/>
        <v>001105018356</v>
      </c>
      <c r="O1419" t="str">
        <f t="shared" si="593"/>
        <v>MYR</v>
      </c>
      <c r="P1419" t="str">
        <f t="shared" si="588"/>
        <v>NIL</v>
      </c>
      <c r="Q1419" t="str">
        <f t="shared" si="588"/>
        <v>NIL</v>
      </c>
      <c r="R1419" t="str">
        <f t="shared" si="594"/>
        <v>Accepted</v>
      </c>
      <c r="S1419" t="str">
        <f t="shared" si="595"/>
        <v>Approved</v>
      </c>
      <c r="T1419" t="str">
        <f t="shared" si="596"/>
        <v>10.20.8.188</v>
      </c>
      <c r="U1419" t="str">
        <f t="shared" si="597"/>
        <v>AZRAD UMAR BIN SHAARI</v>
      </c>
      <c r="V1419" t="str">
        <f t="shared" si="598"/>
        <v>FARHANA BINTI MUSTAPA</v>
      </c>
      <c r="W1419" t="str">
        <f t="shared" si="599"/>
        <v>04-08-2020</v>
      </c>
      <c r="X1419" t="str">
        <f t="shared" si="600"/>
        <v>RAZIMAH ANSAR AHMAD</v>
      </c>
      <c r="Y1419" t="str">
        <f t="shared" si="601"/>
        <v>04-08-2020</v>
      </c>
      <c r="Z1419" t="str">
        <f>"COS10200804 7735"</f>
        <v>COS10200804 7735</v>
      </c>
    </row>
    <row r="1420" spans="1:26" x14ac:dyDescent="0.25">
      <c r="A1420" t="str">
        <f t="shared" si="602"/>
        <v>04-08-2020 01:08:11</v>
      </c>
      <c r="B1420" t="str">
        <f>"0000809535"</f>
        <v>0000809535</v>
      </c>
      <c r="C1420" t="str">
        <f t="shared" si="603"/>
        <v>0000809401</v>
      </c>
      <c r="D1420" t="str">
        <f t="shared" si="589"/>
        <v>73185</v>
      </c>
      <c r="E1420" t="str">
        <f t="shared" si="590"/>
        <v>KFH-OPERATIONS DEPARTMENT</v>
      </c>
      <c r="F1420" t="str">
        <f t="shared" si="591"/>
        <v>IBG</v>
      </c>
      <c r="G1420" t="str">
        <f t="shared" ref="G1420:G1483" si="604">"Refund COSHARE 10"</f>
        <v>Refund COSHARE 10</v>
      </c>
      <c r="H1420" s="2">
        <v>386.2</v>
      </c>
      <c r="I1420" t="str">
        <f>"SYED RASHDAN BIN SYED MUBARAK"</f>
        <v>SYED RASHDAN BIN SYED MUBARAK</v>
      </c>
      <c r="J1420" t="str">
        <f t="shared" si="580"/>
        <v>MAYBANK / MAYBANK ISLAMIC</v>
      </c>
      <c r="K1420" t="str">
        <f>"162106262078"</f>
        <v>162106262078</v>
      </c>
      <c r="L1420" t="str">
        <f t="shared" si="587"/>
        <v>04-08-2020</v>
      </c>
      <c r="M1420" t="str">
        <f t="shared" si="587"/>
        <v>04-08-2020</v>
      </c>
      <c r="N1420" t="str">
        <f t="shared" si="592"/>
        <v>001105018356</v>
      </c>
      <c r="O1420" t="str">
        <f t="shared" si="593"/>
        <v>MYR</v>
      </c>
      <c r="P1420" t="str">
        <f t="shared" si="588"/>
        <v>NIL</v>
      </c>
      <c r="Q1420" t="str">
        <f t="shared" si="588"/>
        <v>NIL</v>
      </c>
      <c r="R1420" t="str">
        <f t="shared" si="594"/>
        <v>Accepted</v>
      </c>
      <c r="S1420" t="str">
        <f t="shared" si="595"/>
        <v>Approved</v>
      </c>
      <c r="T1420" t="str">
        <f t="shared" si="596"/>
        <v>10.20.8.188</v>
      </c>
      <c r="U1420" t="str">
        <f t="shared" si="597"/>
        <v>AZRAD UMAR BIN SHAARI</v>
      </c>
      <c r="V1420" t="str">
        <f t="shared" si="598"/>
        <v>FARHANA BINTI MUSTAPA</v>
      </c>
      <c r="W1420" t="str">
        <f t="shared" si="599"/>
        <v>04-08-2020</v>
      </c>
      <c r="X1420" t="str">
        <f t="shared" si="600"/>
        <v>RAZIMAH ANSAR AHMAD</v>
      </c>
      <c r="Y1420" t="str">
        <f t="shared" si="601"/>
        <v>04-08-2020</v>
      </c>
      <c r="Z1420" t="str">
        <f>"COS10200804 7734"</f>
        <v>COS10200804 7734</v>
      </c>
    </row>
    <row r="1421" spans="1:26" x14ac:dyDescent="0.25">
      <c r="A1421" t="str">
        <f t="shared" si="602"/>
        <v>04-08-2020 01:08:11</v>
      </c>
      <c r="B1421" t="str">
        <f>"0000809534"</f>
        <v>0000809534</v>
      </c>
      <c r="C1421" t="str">
        <f t="shared" si="603"/>
        <v>0000809401</v>
      </c>
      <c r="D1421" t="str">
        <f t="shared" si="589"/>
        <v>73185</v>
      </c>
      <c r="E1421" t="str">
        <f t="shared" si="590"/>
        <v>KFH-OPERATIONS DEPARTMENT</v>
      </c>
      <c r="F1421" t="str">
        <f t="shared" si="591"/>
        <v>IBG</v>
      </c>
      <c r="G1421" t="str">
        <f t="shared" si="604"/>
        <v>Refund COSHARE 10</v>
      </c>
      <c r="H1421" s="2">
        <v>671.6</v>
      </c>
      <c r="I1421" t="str">
        <f>"SYED MOHD SAUFI BIN SYED BAKRI"</f>
        <v>SYED MOHD SAUFI BIN SYED BAKRI</v>
      </c>
      <c r="J1421" t="str">
        <f t="shared" si="580"/>
        <v>MAYBANK / MAYBANK ISLAMIC</v>
      </c>
      <c r="K1421" t="str">
        <f>"158088273303"</f>
        <v>158088273303</v>
      </c>
      <c r="L1421" t="str">
        <f t="shared" si="587"/>
        <v>04-08-2020</v>
      </c>
      <c r="M1421" t="str">
        <f t="shared" si="587"/>
        <v>04-08-2020</v>
      </c>
      <c r="N1421" t="str">
        <f t="shared" si="592"/>
        <v>001105018356</v>
      </c>
      <c r="O1421" t="str">
        <f t="shared" si="593"/>
        <v>MYR</v>
      </c>
      <c r="P1421" t="str">
        <f t="shared" si="588"/>
        <v>NIL</v>
      </c>
      <c r="Q1421" t="str">
        <f t="shared" si="588"/>
        <v>NIL</v>
      </c>
      <c r="R1421" t="str">
        <f t="shared" si="594"/>
        <v>Accepted</v>
      </c>
      <c r="S1421" t="str">
        <f t="shared" si="595"/>
        <v>Approved</v>
      </c>
      <c r="T1421" t="str">
        <f t="shared" si="596"/>
        <v>10.20.8.188</v>
      </c>
      <c r="U1421" t="str">
        <f t="shared" si="597"/>
        <v>AZRAD UMAR BIN SHAARI</v>
      </c>
      <c r="V1421" t="str">
        <f t="shared" si="598"/>
        <v>FARHANA BINTI MUSTAPA</v>
      </c>
      <c r="W1421" t="str">
        <f t="shared" si="599"/>
        <v>04-08-2020</v>
      </c>
      <c r="X1421" t="str">
        <f t="shared" si="600"/>
        <v>RAZIMAH ANSAR AHMAD</v>
      </c>
      <c r="Y1421" t="str">
        <f t="shared" si="601"/>
        <v>04-08-2020</v>
      </c>
      <c r="Z1421" t="str">
        <f>"COS10200804 7733"</f>
        <v>COS10200804 7733</v>
      </c>
    </row>
    <row r="1422" spans="1:26" x14ac:dyDescent="0.25">
      <c r="A1422" t="str">
        <f t="shared" si="602"/>
        <v>04-08-2020 01:08:11</v>
      </c>
      <c r="B1422" t="str">
        <f>"0000809533"</f>
        <v>0000809533</v>
      </c>
      <c r="C1422" t="str">
        <f t="shared" si="603"/>
        <v>0000809401</v>
      </c>
      <c r="D1422" t="str">
        <f t="shared" si="589"/>
        <v>73185</v>
      </c>
      <c r="E1422" t="str">
        <f t="shared" si="590"/>
        <v>KFH-OPERATIONS DEPARTMENT</v>
      </c>
      <c r="F1422" t="str">
        <f t="shared" si="591"/>
        <v>IBG</v>
      </c>
      <c r="G1422" t="str">
        <f t="shared" si="604"/>
        <v>Refund COSHARE 10</v>
      </c>
      <c r="H1422" s="2">
        <v>117.55</v>
      </c>
      <c r="I1422" t="str">
        <f>"SYED MOHD KANAFIAH BIN HABIB OTHMAN"</f>
        <v>SYED MOHD KANAFIAH BIN HABIB OTHMAN</v>
      </c>
      <c r="J1422" t="str">
        <f t="shared" si="580"/>
        <v>MAYBANK / MAYBANK ISLAMIC</v>
      </c>
      <c r="K1422" t="str">
        <f>"110032136042"</f>
        <v>110032136042</v>
      </c>
      <c r="L1422" t="str">
        <f t="shared" si="587"/>
        <v>04-08-2020</v>
      </c>
      <c r="M1422" t="str">
        <f t="shared" si="587"/>
        <v>04-08-2020</v>
      </c>
      <c r="N1422" t="str">
        <f t="shared" si="592"/>
        <v>001105018356</v>
      </c>
      <c r="O1422" t="str">
        <f t="shared" si="593"/>
        <v>MYR</v>
      </c>
      <c r="P1422" t="str">
        <f t="shared" si="588"/>
        <v>NIL</v>
      </c>
      <c r="Q1422" t="str">
        <f t="shared" si="588"/>
        <v>NIL</v>
      </c>
      <c r="R1422" t="str">
        <f t="shared" si="594"/>
        <v>Accepted</v>
      </c>
      <c r="S1422" t="str">
        <f t="shared" si="595"/>
        <v>Approved</v>
      </c>
      <c r="T1422" t="str">
        <f t="shared" si="596"/>
        <v>10.20.8.188</v>
      </c>
      <c r="U1422" t="str">
        <f t="shared" si="597"/>
        <v>AZRAD UMAR BIN SHAARI</v>
      </c>
      <c r="V1422" t="str">
        <f t="shared" si="598"/>
        <v>FARHANA BINTI MUSTAPA</v>
      </c>
      <c r="W1422" t="str">
        <f t="shared" si="599"/>
        <v>04-08-2020</v>
      </c>
      <c r="X1422" t="str">
        <f t="shared" si="600"/>
        <v>RAZIMAH ANSAR AHMAD</v>
      </c>
      <c r="Y1422" t="str">
        <f t="shared" si="601"/>
        <v>04-08-2020</v>
      </c>
      <c r="Z1422" t="str">
        <f>"COS10200804 7732"</f>
        <v>COS10200804 7732</v>
      </c>
    </row>
    <row r="1423" spans="1:26" x14ac:dyDescent="0.25">
      <c r="A1423" t="str">
        <f t="shared" si="602"/>
        <v>04-08-2020 01:08:11</v>
      </c>
      <c r="B1423" t="str">
        <f>"0000809532"</f>
        <v>0000809532</v>
      </c>
      <c r="C1423" t="str">
        <f t="shared" si="603"/>
        <v>0000809401</v>
      </c>
      <c r="D1423" t="str">
        <f t="shared" si="589"/>
        <v>73185</v>
      </c>
      <c r="E1423" t="str">
        <f t="shared" si="590"/>
        <v>KFH-OPERATIONS DEPARTMENT</v>
      </c>
      <c r="F1423" t="str">
        <f t="shared" si="591"/>
        <v>IBG</v>
      </c>
      <c r="G1423" t="str">
        <f t="shared" si="604"/>
        <v>Refund COSHARE 10</v>
      </c>
      <c r="H1423" s="2">
        <v>125.95</v>
      </c>
      <c r="I1423" t="str">
        <f>"SYED MOHD FARID BIN SYED HASSAN"</f>
        <v>SYED MOHD FARID BIN SYED HASSAN</v>
      </c>
      <c r="J1423" t="str">
        <f t="shared" si="580"/>
        <v>MAYBANK / MAYBANK ISLAMIC</v>
      </c>
      <c r="K1423" t="str">
        <f>"157090987853"</f>
        <v>157090987853</v>
      </c>
      <c r="L1423" t="str">
        <f t="shared" si="587"/>
        <v>04-08-2020</v>
      </c>
      <c r="M1423" t="str">
        <f t="shared" si="587"/>
        <v>04-08-2020</v>
      </c>
      <c r="N1423" t="str">
        <f t="shared" si="592"/>
        <v>001105018356</v>
      </c>
      <c r="O1423" t="str">
        <f t="shared" si="593"/>
        <v>MYR</v>
      </c>
      <c r="P1423" t="str">
        <f t="shared" si="588"/>
        <v>NIL</v>
      </c>
      <c r="Q1423" t="str">
        <f t="shared" si="588"/>
        <v>NIL</v>
      </c>
      <c r="R1423" t="str">
        <f t="shared" si="594"/>
        <v>Accepted</v>
      </c>
      <c r="S1423" t="str">
        <f t="shared" si="595"/>
        <v>Approved</v>
      </c>
      <c r="T1423" t="str">
        <f t="shared" si="596"/>
        <v>10.20.8.188</v>
      </c>
      <c r="U1423" t="str">
        <f t="shared" si="597"/>
        <v>AZRAD UMAR BIN SHAARI</v>
      </c>
      <c r="V1423" t="str">
        <f t="shared" si="598"/>
        <v>FARHANA BINTI MUSTAPA</v>
      </c>
      <c r="W1423" t="str">
        <f t="shared" si="599"/>
        <v>04-08-2020</v>
      </c>
      <c r="X1423" t="str">
        <f t="shared" si="600"/>
        <v>RAZIMAH ANSAR AHMAD</v>
      </c>
      <c r="Y1423" t="str">
        <f t="shared" si="601"/>
        <v>04-08-2020</v>
      </c>
      <c r="Z1423" t="str">
        <f>"COS10200804 7731"</f>
        <v>COS10200804 7731</v>
      </c>
    </row>
    <row r="1424" spans="1:26" x14ac:dyDescent="0.25">
      <c r="A1424" t="str">
        <f t="shared" si="602"/>
        <v>04-08-2020 01:08:11</v>
      </c>
      <c r="B1424" t="str">
        <f>"0000809531"</f>
        <v>0000809531</v>
      </c>
      <c r="C1424" t="str">
        <f t="shared" si="603"/>
        <v>0000809401</v>
      </c>
      <c r="D1424" t="str">
        <f t="shared" si="589"/>
        <v>73185</v>
      </c>
      <c r="E1424" t="str">
        <f t="shared" si="590"/>
        <v>KFH-OPERATIONS DEPARTMENT</v>
      </c>
      <c r="F1424" t="str">
        <f t="shared" si="591"/>
        <v>IBG</v>
      </c>
      <c r="G1424" t="str">
        <f t="shared" si="604"/>
        <v>Refund COSHARE 10</v>
      </c>
      <c r="H1424" s="2">
        <v>167.9</v>
      </c>
      <c r="I1424" t="str">
        <f>"SYED AZUWAN BIN SYED AZMAN"</f>
        <v>SYED AZUWAN BIN SYED AZMAN</v>
      </c>
      <c r="J1424" t="str">
        <f t="shared" si="580"/>
        <v>MAYBANK / MAYBANK ISLAMIC</v>
      </c>
      <c r="K1424" t="str">
        <f>"162012575712"</f>
        <v>162012575712</v>
      </c>
      <c r="L1424" t="str">
        <f t="shared" si="587"/>
        <v>04-08-2020</v>
      </c>
      <c r="M1424" t="str">
        <f t="shared" si="587"/>
        <v>04-08-2020</v>
      </c>
      <c r="N1424" t="str">
        <f t="shared" si="592"/>
        <v>001105018356</v>
      </c>
      <c r="O1424" t="str">
        <f t="shared" si="593"/>
        <v>MYR</v>
      </c>
      <c r="P1424" t="str">
        <f t="shared" si="588"/>
        <v>NIL</v>
      </c>
      <c r="Q1424" t="str">
        <f t="shared" si="588"/>
        <v>NIL</v>
      </c>
      <c r="R1424" t="str">
        <f t="shared" si="594"/>
        <v>Accepted</v>
      </c>
      <c r="S1424" t="str">
        <f t="shared" si="595"/>
        <v>Approved</v>
      </c>
      <c r="T1424" t="str">
        <f t="shared" si="596"/>
        <v>10.20.8.188</v>
      </c>
      <c r="U1424" t="str">
        <f t="shared" si="597"/>
        <v>AZRAD UMAR BIN SHAARI</v>
      </c>
      <c r="V1424" t="str">
        <f t="shared" si="598"/>
        <v>FARHANA BINTI MUSTAPA</v>
      </c>
      <c r="W1424" t="str">
        <f t="shared" si="599"/>
        <v>04-08-2020</v>
      </c>
      <c r="X1424" t="str">
        <f t="shared" si="600"/>
        <v>RAZIMAH ANSAR AHMAD</v>
      </c>
      <c r="Y1424" t="str">
        <f t="shared" si="601"/>
        <v>04-08-2020</v>
      </c>
      <c r="Z1424" t="str">
        <f>"COS10200804 7730"</f>
        <v>COS10200804 7730</v>
      </c>
    </row>
    <row r="1425" spans="1:26" x14ac:dyDescent="0.25">
      <c r="A1425" t="str">
        <f t="shared" si="602"/>
        <v>04-08-2020 01:08:11</v>
      </c>
      <c r="B1425" t="str">
        <f>"0000809530"</f>
        <v>0000809530</v>
      </c>
      <c r="C1425" t="str">
        <f t="shared" si="603"/>
        <v>0000809401</v>
      </c>
      <c r="D1425" t="str">
        <f t="shared" si="589"/>
        <v>73185</v>
      </c>
      <c r="E1425" t="str">
        <f t="shared" si="590"/>
        <v>KFH-OPERATIONS DEPARTMENT</v>
      </c>
      <c r="F1425" t="str">
        <f t="shared" si="591"/>
        <v>IBG</v>
      </c>
      <c r="G1425" t="str">
        <f t="shared" si="604"/>
        <v>Refund COSHARE 10</v>
      </c>
      <c r="H1425" s="2">
        <v>419.75</v>
      </c>
      <c r="I1425" t="str">
        <f>"SYED AZIZAN BIN WAN AZAMI"</f>
        <v>SYED AZIZAN BIN WAN AZAMI</v>
      </c>
      <c r="J1425" t="str">
        <f t="shared" ref="J1425:J1488" si="605">"MAYBANK / MAYBANK ISLAMIC"</f>
        <v>MAYBANK / MAYBANK ISLAMIC</v>
      </c>
      <c r="K1425" t="str">
        <f>"110041035364"</f>
        <v>110041035364</v>
      </c>
      <c r="L1425" t="str">
        <f t="shared" si="587"/>
        <v>04-08-2020</v>
      </c>
      <c r="M1425" t="str">
        <f t="shared" si="587"/>
        <v>04-08-2020</v>
      </c>
      <c r="N1425" t="str">
        <f t="shared" si="592"/>
        <v>001105018356</v>
      </c>
      <c r="O1425" t="str">
        <f t="shared" si="593"/>
        <v>MYR</v>
      </c>
      <c r="P1425" t="str">
        <f t="shared" si="588"/>
        <v>NIL</v>
      </c>
      <c r="Q1425" t="str">
        <f t="shared" si="588"/>
        <v>NIL</v>
      </c>
      <c r="R1425" t="str">
        <f t="shared" si="594"/>
        <v>Accepted</v>
      </c>
      <c r="S1425" t="str">
        <f t="shared" si="595"/>
        <v>Approved</v>
      </c>
      <c r="T1425" t="str">
        <f t="shared" si="596"/>
        <v>10.20.8.188</v>
      </c>
      <c r="U1425" t="str">
        <f t="shared" si="597"/>
        <v>AZRAD UMAR BIN SHAARI</v>
      </c>
      <c r="V1425" t="str">
        <f t="shared" si="598"/>
        <v>FARHANA BINTI MUSTAPA</v>
      </c>
      <c r="W1425" t="str">
        <f t="shared" si="599"/>
        <v>04-08-2020</v>
      </c>
      <c r="X1425" t="str">
        <f t="shared" si="600"/>
        <v>RAZIMAH ANSAR AHMAD</v>
      </c>
      <c r="Y1425" t="str">
        <f t="shared" si="601"/>
        <v>04-08-2020</v>
      </c>
      <c r="Z1425" t="str">
        <f>"COS10200804 7729"</f>
        <v>COS10200804 7729</v>
      </c>
    </row>
    <row r="1426" spans="1:26" x14ac:dyDescent="0.25">
      <c r="A1426" t="str">
        <f t="shared" si="602"/>
        <v>04-08-2020 01:08:11</v>
      </c>
      <c r="B1426" t="str">
        <f>"0000809529"</f>
        <v>0000809529</v>
      </c>
      <c r="C1426" t="str">
        <f t="shared" si="603"/>
        <v>0000809401</v>
      </c>
      <c r="D1426" t="str">
        <f t="shared" si="589"/>
        <v>73185</v>
      </c>
      <c r="E1426" t="str">
        <f t="shared" si="590"/>
        <v>KFH-OPERATIONS DEPARTMENT</v>
      </c>
      <c r="F1426" t="str">
        <f t="shared" si="591"/>
        <v>IBG</v>
      </c>
      <c r="G1426" t="str">
        <f t="shared" si="604"/>
        <v>Refund COSHARE 10</v>
      </c>
      <c r="H1426" s="2">
        <v>1116.55</v>
      </c>
      <c r="I1426" t="str">
        <f>"SYED AHMAD ZAHIRUDIN BIN SYED MOHAMAD"</f>
        <v>SYED AHMAD ZAHIRUDIN BIN SYED MOHAMAD</v>
      </c>
      <c r="J1426" t="str">
        <f t="shared" si="605"/>
        <v>MAYBANK / MAYBANK ISLAMIC</v>
      </c>
      <c r="K1426" t="str">
        <f>"162115071407"</f>
        <v>162115071407</v>
      </c>
      <c r="L1426" t="str">
        <f t="shared" si="587"/>
        <v>04-08-2020</v>
      </c>
      <c r="M1426" t="str">
        <f t="shared" si="587"/>
        <v>04-08-2020</v>
      </c>
      <c r="N1426" t="str">
        <f t="shared" si="592"/>
        <v>001105018356</v>
      </c>
      <c r="O1426" t="str">
        <f t="shared" si="593"/>
        <v>MYR</v>
      </c>
      <c r="P1426" t="str">
        <f t="shared" si="588"/>
        <v>NIL</v>
      </c>
      <c r="Q1426" t="str">
        <f t="shared" si="588"/>
        <v>NIL</v>
      </c>
      <c r="R1426" t="str">
        <f t="shared" si="594"/>
        <v>Accepted</v>
      </c>
      <c r="S1426" t="str">
        <f t="shared" si="595"/>
        <v>Approved</v>
      </c>
      <c r="T1426" t="str">
        <f t="shared" si="596"/>
        <v>10.20.8.188</v>
      </c>
      <c r="U1426" t="str">
        <f t="shared" si="597"/>
        <v>AZRAD UMAR BIN SHAARI</v>
      </c>
      <c r="V1426" t="str">
        <f t="shared" si="598"/>
        <v>FARHANA BINTI MUSTAPA</v>
      </c>
      <c r="W1426" t="str">
        <f t="shared" si="599"/>
        <v>04-08-2020</v>
      </c>
      <c r="X1426" t="str">
        <f t="shared" si="600"/>
        <v>RAZIMAH ANSAR AHMAD</v>
      </c>
      <c r="Y1426" t="str">
        <f t="shared" si="601"/>
        <v>04-08-2020</v>
      </c>
      <c r="Z1426" t="str">
        <f>"COS10200804 7728"</f>
        <v>COS10200804 7728</v>
      </c>
    </row>
    <row r="1427" spans="1:26" x14ac:dyDescent="0.25">
      <c r="A1427" t="str">
        <f t="shared" si="602"/>
        <v>04-08-2020 01:08:11</v>
      </c>
      <c r="B1427" t="str">
        <f>"0000809528"</f>
        <v>0000809528</v>
      </c>
      <c r="C1427" t="str">
        <f t="shared" si="603"/>
        <v>0000809401</v>
      </c>
      <c r="D1427" t="str">
        <f t="shared" si="589"/>
        <v>73185</v>
      </c>
      <c r="E1427" t="str">
        <f t="shared" si="590"/>
        <v>KFH-OPERATIONS DEPARTMENT</v>
      </c>
      <c r="F1427" t="str">
        <f t="shared" si="591"/>
        <v>IBG</v>
      </c>
      <c r="G1427" t="str">
        <f t="shared" si="604"/>
        <v>Refund COSHARE 10</v>
      </c>
      <c r="H1427" s="2">
        <v>335.8</v>
      </c>
      <c r="I1427" t="str">
        <f>"SYED ABDULLAH BIN SYED AKIL"</f>
        <v>SYED ABDULLAH BIN SYED AKIL</v>
      </c>
      <c r="J1427" t="str">
        <f t="shared" si="605"/>
        <v>MAYBANK / MAYBANK ISLAMIC</v>
      </c>
      <c r="K1427" t="str">
        <f>"116015021749"</f>
        <v>116015021749</v>
      </c>
      <c r="L1427" t="str">
        <f t="shared" ref="L1427:M1446" si="606">"04-08-2020"</f>
        <v>04-08-2020</v>
      </c>
      <c r="M1427" t="str">
        <f t="shared" si="606"/>
        <v>04-08-2020</v>
      </c>
      <c r="N1427" t="str">
        <f t="shared" si="592"/>
        <v>001105018356</v>
      </c>
      <c r="O1427" t="str">
        <f t="shared" si="593"/>
        <v>MYR</v>
      </c>
      <c r="P1427" t="str">
        <f t="shared" ref="P1427:Q1446" si="607">"NIL"</f>
        <v>NIL</v>
      </c>
      <c r="Q1427" t="str">
        <f t="shared" si="607"/>
        <v>NIL</v>
      </c>
      <c r="R1427" t="str">
        <f t="shared" si="594"/>
        <v>Accepted</v>
      </c>
      <c r="S1427" t="str">
        <f t="shared" si="595"/>
        <v>Approved</v>
      </c>
      <c r="T1427" t="str">
        <f t="shared" si="596"/>
        <v>10.20.8.188</v>
      </c>
      <c r="U1427" t="str">
        <f t="shared" si="597"/>
        <v>AZRAD UMAR BIN SHAARI</v>
      </c>
      <c r="V1427" t="str">
        <f t="shared" si="598"/>
        <v>FARHANA BINTI MUSTAPA</v>
      </c>
      <c r="W1427" t="str">
        <f t="shared" si="599"/>
        <v>04-08-2020</v>
      </c>
      <c r="X1427" t="str">
        <f t="shared" si="600"/>
        <v>RAZIMAH ANSAR AHMAD</v>
      </c>
      <c r="Y1427" t="str">
        <f t="shared" si="601"/>
        <v>04-08-2020</v>
      </c>
      <c r="Z1427" t="str">
        <f>"COS10200804 7727"</f>
        <v>COS10200804 7727</v>
      </c>
    </row>
    <row r="1428" spans="1:26" x14ac:dyDescent="0.25">
      <c r="A1428" t="str">
        <f t="shared" si="602"/>
        <v>04-08-2020 01:08:11</v>
      </c>
      <c r="B1428" t="str">
        <f>"0000809527"</f>
        <v>0000809527</v>
      </c>
      <c r="C1428" t="str">
        <f t="shared" si="603"/>
        <v>0000809401</v>
      </c>
      <c r="D1428" t="str">
        <f t="shared" si="589"/>
        <v>73185</v>
      </c>
      <c r="E1428" t="str">
        <f t="shared" si="590"/>
        <v>KFH-OPERATIONS DEPARTMENT</v>
      </c>
      <c r="F1428" t="str">
        <f t="shared" si="591"/>
        <v>IBG</v>
      </c>
      <c r="G1428" t="str">
        <f t="shared" si="604"/>
        <v>Refund COSHARE 10</v>
      </c>
      <c r="H1428" s="2">
        <v>915.05</v>
      </c>
      <c r="I1428" t="str">
        <f>"SYED ABD RAUF BIN SYED OTHMAN"</f>
        <v>SYED ABD RAUF BIN SYED OTHMAN</v>
      </c>
      <c r="J1428" t="str">
        <f t="shared" si="605"/>
        <v>MAYBANK / MAYBANK ISLAMIC</v>
      </c>
      <c r="K1428" t="str">
        <f>"156132616630"</f>
        <v>156132616630</v>
      </c>
      <c r="L1428" t="str">
        <f t="shared" si="606"/>
        <v>04-08-2020</v>
      </c>
      <c r="M1428" t="str">
        <f t="shared" si="606"/>
        <v>04-08-2020</v>
      </c>
      <c r="N1428" t="str">
        <f t="shared" si="592"/>
        <v>001105018356</v>
      </c>
      <c r="O1428" t="str">
        <f t="shared" si="593"/>
        <v>MYR</v>
      </c>
      <c r="P1428" t="str">
        <f t="shared" si="607"/>
        <v>NIL</v>
      </c>
      <c r="Q1428" t="str">
        <f t="shared" si="607"/>
        <v>NIL</v>
      </c>
      <c r="R1428" t="str">
        <f t="shared" si="594"/>
        <v>Accepted</v>
      </c>
      <c r="S1428" t="str">
        <f t="shared" si="595"/>
        <v>Approved</v>
      </c>
      <c r="T1428" t="str">
        <f t="shared" si="596"/>
        <v>10.20.8.188</v>
      </c>
      <c r="U1428" t="str">
        <f t="shared" si="597"/>
        <v>AZRAD UMAR BIN SHAARI</v>
      </c>
      <c r="V1428" t="str">
        <f t="shared" si="598"/>
        <v>FARHANA BINTI MUSTAPA</v>
      </c>
      <c r="W1428" t="str">
        <f t="shared" si="599"/>
        <v>04-08-2020</v>
      </c>
      <c r="X1428" t="str">
        <f t="shared" si="600"/>
        <v>RAZIMAH ANSAR AHMAD</v>
      </c>
      <c r="Y1428" t="str">
        <f t="shared" si="601"/>
        <v>04-08-2020</v>
      </c>
      <c r="Z1428" t="str">
        <f>"COS10200804 7726"</f>
        <v>COS10200804 7726</v>
      </c>
    </row>
    <row r="1429" spans="1:26" x14ac:dyDescent="0.25">
      <c r="A1429" t="str">
        <f t="shared" si="602"/>
        <v>04-08-2020 01:08:11</v>
      </c>
      <c r="B1429" t="str">
        <f>"0000809526"</f>
        <v>0000809526</v>
      </c>
      <c r="C1429" t="str">
        <f t="shared" si="603"/>
        <v>0000809401</v>
      </c>
      <c r="D1429" t="str">
        <f t="shared" si="589"/>
        <v>73185</v>
      </c>
      <c r="E1429" t="str">
        <f t="shared" si="590"/>
        <v>KFH-OPERATIONS DEPARTMENT</v>
      </c>
      <c r="F1429" t="str">
        <f t="shared" si="591"/>
        <v>IBG</v>
      </c>
      <c r="G1429" t="str">
        <f t="shared" si="604"/>
        <v>Refund COSHARE 10</v>
      </c>
      <c r="H1429" s="2">
        <v>392.95</v>
      </c>
      <c r="I1429" t="str">
        <f>"SYAZWANI AIMY BINTI SHAFIE"</f>
        <v>SYAZWANI AIMY BINTI SHAFIE</v>
      </c>
      <c r="J1429" t="str">
        <f t="shared" si="605"/>
        <v>MAYBANK / MAYBANK ISLAMIC</v>
      </c>
      <c r="K1429" t="str">
        <f>"153104076087"</f>
        <v>153104076087</v>
      </c>
      <c r="L1429" t="str">
        <f t="shared" si="606"/>
        <v>04-08-2020</v>
      </c>
      <c r="M1429" t="str">
        <f t="shared" si="606"/>
        <v>04-08-2020</v>
      </c>
      <c r="N1429" t="str">
        <f t="shared" si="592"/>
        <v>001105018356</v>
      </c>
      <c r="O1429" t="str">
        <f t="shared" si="593"/>
        <v>MYR</v>
      </c>
      <c r="P1429" t="str">
        <f t="shared" si="607"/>
        <v>NIL</v>
      </c>
      <c r="Q1429" t="str">
        <f t="shared" si="607"/>
        <v>NIL</v>
      </c>
      <c r="R1429" t="str">
        <f t="shared" si="594"/>
        <v>Accepted</v>
      </c>
      <c r="S1429" t="str">
        <f t="shared" si="595"/>
        <v>Approved</v>
      </c>
      <c r="T1429" t="str">
        <f t="shared" si="596"/>
        <v>10.20.8.188</v>
      </c>
      <c r="U1429" t="str">
        <f t="shared" si="597"/>
        <v>AZRAD UMAR BIN SHAARI</v>
      </c>
      <c r="V1429" t="str">
        <f t="shared" si="598"/>
        <v>FARHANA BINTI MUSTAPA</v>
      </c>
      <c r="W1429" t="str">
        <f t="shared" si="599"/>
        <v>04-08-2020</v>
      </c>
      <c r="X1429" t="str">
        <f t="shared" si="600"/>
        <v>RAZIMAH ANSAR AHMAD</v>
      </c>
      <c r="Y1429" t="str">
        <f t="shared" si="601"/>
        <v>04-08-2020</v>
      </c>
      <c r="Z1429" t="str">
        <f>"COS10200804 7725"</f>
        <v>COS10200804 7725</v>
      </c>
    </row>
    <row r="1430" spans="1:26" x14ac:dyDescent="0.25">
      <c r="A1430" t="str">
        <f t="shared" si="602"/>
        <v>04-08-2020 01:08:11</v>
      </c>
      <c r="B1430" t="str">
        <f>"0000809525"</f>
        <v>0000809525</v>
      </c>
      <c r="C1430" t="str">
        <f t="shared" si="603"/>
        <v>0000809401</v>
      </c>
      <c r="D1430" t="str">
        <f t="shared" si="589"/>
        <v>73185</v>
      </c>
      <c r="E1430" t="str">
        <f t="shared" si="590"/>
        <v>KFH-OPERATIONS DEPARTMENT</v>
      </c>
      <c r="F1430" t="str">
        <f t="shared" si="591"/>
        <v>IBG</v>
      </c>
      <c r="G1430" t="str">
        <f t="shared" si="604"/>
        <v>Refund COSHARE 10</v>
      </c>
      <c r="H1430" s="2">
        <v>474.1</v>
      </c>
      <c r="I1430" t="str">
        <f>"SYARINA BINTI SHAHABUDIN"</f>
        <v>SYARINA BINTI SHAHABUDIN</v>
      </c>
      <c r="J1430" t="str">
        <f t="shared" si="605"/>
        <v>MAYBANK / MAYBANK ISLAMIC</v>
      </c>
      <c r="K1430" t="str">
        <f>"164490038034"</f>
        <v>164490038034</v>
      </c>
      <c r="L1430" t="str">
        <f t="shared" si="606"/>
        <v>04-08-2020</v>
      </c>
      <c r="M1430" t="str">
        <f t="shared" si="606"/>
        <v>04-08-2020</v>
      </c>
      <c r="N1430" t="str">
        <f t="shared" si="592"/>
        <v>001105018356</v>
      </c>
      <c r="O1430" t="str">
        <f t="shared" si="593"/>
        <v>MYR</v>
      </c>
      <c r="P1430" t="str">
        <f t="shared" si="607"/>
        <v>NIL</v>
      </c>
      <c r="Q1430" t="str">
        <f t="shared" si="607"/>
        <v>NIL</v>
      </c>
      <c r="R1430" t="str">
        <f t="shared" si="594"/>
        <v>Accepted</v>
      </c>
      <c r="S1430" t="str">
        <f t="shared" si="595"/>
        <v>Approved</v>
      </c>
      <c r="T1430" t="str">
        <f t="shared" si="596"/>
        <v>10.20.8.188</v>
      </c>
      <c r="U1430" t="str">
        <f t="shared" si="597"/>
        <v>AZRAD UMAR BIN SHAARI</v>
      </c>
      <c r="V1430" t="str">
        <f t="shared" si="598"/>
        <v>FARHANA BINTI MUSTAPA</v>
      </c>
      <c r="W1430" t="str">
        <f t="shared" si="599"/>
        <v>04-08-2020</v>
      </c>
      <c r="X1430" t="str">
        <f t="shared" si="600"/>
        <v>RAZIMAH ANSAR AHMAD</v>
      </c>
      <c r="Y1430" t="str">
        <f t="shared" si="601"/>
        <v>04-08-2020</v>
      </c>
      <c r="Z1430" t="str">
        <f>"COS10200804 7724"</f>
        <v>COS10200804 7724</v>
      </c>
    </row>
    <row r="1431" spans="1:26" x14ac:dyDescent="0.25">
      <c r="A1431" t="str">
        <f t="shared" si="602"/>
        <v>04-08-2020 01:08:11</v>
      </c>
      <c r="B1431" t="str">
        <f>"0000809524"</f>
        <v>0000809524</v>
      </c>
      <c r="C1431" t="str">
        <f t="shared" si="603"/>
        <v>0000809401</v>
      </c>
      <c r="D1431" t="str">
        <f t="shared" si="589"/>
        <v>73185</v>
      </c>
      <c r="E1431" t="str">
        <f t="shared" si="590"/>
        <v>KFH-OPERATIONS DEPARTMENT</v>
      </c>
      <c r="F1431" t="str">
        <f t="shared" si="591"/>
        <v>IBG</v>
      </c>
      <c r="G1431" t="str">
        <f t="shared" si="604"/>
        <v>Refund COSHARE 10</v>
      </c>
      <c r="H1431" s="2">
        <v>125.95</v>
      </c>
      <c r="I1431" t="str">
        <f>"SYARIFUDDIN HELMI BIN IDRUS"</f>
        <v>SYARIFUDDIN HELMI BIN IDRUS</v>
      </c>
      <c r="J1431" t="str">
        <f t="shared" si="605"/>
        <v>MAYBANK / MAYBANK ISLAMIC</v>
      </c>
      <c r="K1431" t="str">
        <f>"162106524532"</f>
        <v>162106524532</v>
      </c>
      <c r="L1431" t="str">
        <f t="shared" si="606"/>
        <v>04-08-2020</v>
      </c>
      <c r="M1431" t="str">
        <f t="shared" si="606"/>
        <v>04-08-2020</v>
      </c>
      <c r="N1431" t="str">
        <f t="shared" si="592"/>
        <v>001105018356</v>
      </c>
      <c r="O1431" t="str">
        <f t="shared" si="593"/>
        <v>MYR</v>
      </c>
      <c r="P1431" t="str">
        <f t="shared" si="607"/>
        <v>NIL</v>
      </c>
      <c r="Q1431" t="str">
        <f t="shared" si="607"/>
        <v>NIL</v>
      </c>
      <c r="R1431" t="str">
        <f t="shared" si="594"/>
        <v>Accepted</v>
      </c>
      <c r="S1431" t="str">
        <f t="shared" si="595"/>
        <v>Approved</v>
      </c>
      <c r="T1431" t="str">
        <f t="shared" si="596"/>
        <v>10.20.8.188</v>
      </c>
      <c r="U1431" t="str">
        <f t="shared" si="597"/>
        <v>AZRAD UMAR BIN SHAARI</v>
      </c>
      <c r="V1431" t="str">
        <f t="shared" si="598"/>
        <v>FARHANA BINTI MUSTAPA</v>
      </c>
      <c r="W1431" t="str">
        <f t="shared" si="599"/>
        <v>04-08-2020</v>
      </c>
      <c r="X1431" t="str">
        <f t="shared" si="600"/>
        <v>RAZIMAH ANSAR AHMAD</v>
      </c>
      <c r="Y1431" t="str">
        <f t="shared" si="601"/>
        <v>04-08-2020</v>
      </c>
      <c r="Z1431" t="str">
        <f>"COS10200804 7723"</f>
        <v>COS10200804 7723</v>
      </c>
    </row>
    <row r="1432" spans="1:26" x14ac:dyDescent="0.25">
      <c r="A1432" t="str">
        <f t="shared" si="602"/>
        <v>04-08-2020 01:08:11</v>
      </c>
      <c r="B1432" t="str">
        <f>"0000809523"</f>
        <v>0000809523</v>
      </c>
      <c r="C1432" t="str">
        <f t="shared" si="603"/>
        <v>0000809401</v>
      </c>
      <c r="D1432" t="str">
        <f t="shared" si="589"/>
        <v>73185</v>
      </c>
      <c r="E1432" t="str">
        <f t="shared" si="590"/>
        <v>KFH-OPERATIONS DEPARTMENT</v>
      </c>
      <c r="F1432" t="str">
        <f t="shared" si="591"/>
        <v>IBG</v>
      </c>
      <c r="G1432" t="str">
        <f t="shared" si="604"/>
        <v>Refund COSHARE 10</v>
      </c>
      <c r="H1432" s="2">
        <v>100.75</v>
      </c>
      <c r="I1432" t="str">
        <f>"SYARIFAH TEH RAFIDAH BINTI SYED ABDULLAH"</f>
        <v>SYARIFAH TEH RAFIDAH BINTI SYED ABDULLAH</v>
      </c>
      <c r="J1432" t="str">
        <f t="shared" si="605"/>
        <v>MAYBANK / MAYBANK ISLAMIC</v>
      </c>
      <c r="K1432" t="str">
        <f>"166010033995"</f>
        <v>166010033995</v>
      </c>
      <c r="L1432" t="str">
        <f t="shared" si="606"/>
        <v>04-08-2020</v>
      </c>
      <c r="M1432" t="str">
        <f t="shared" si="606"/>
        <v>04-08-2020</v>
      </c>
      <c r="N1432" t="str">
        <f t="shared" si="592"/>
        <v>001105018356</v>
      </c>
      <c r="O1432" t="str">
        <f t="shared" si="593"/>
        <v>MYR</v>
      </c>
      <c r="P1432" t="str">
        <f t="shared" si="607"/>
        <v>NIL</v>
      </c>
      <c r="Q1432" t="str">
        <f t="shared" si="607"/>
        <v>NIL</v>
      </c>
      <c r="R1432" t="str">
        <f t="shared" si="594"/>
        <v>Accepted</v>
      </c>
      <c r="S1432" t="str">
        <f t="shared" si="595"/>
        <v>Approved</v>
      </c>
      <c r="T1432" t="str">
        <f t="shared" si="596"/>
        <v>10.20.8.188</v>
      </c>
      <c r="U1432" t="str">
        <f t="shared" si="597"/>
        <v>AZRAD UMAR BIN SHAARI</v>
      </c>
      <c r="V1432" t="str">
        <f t="shared" si="598"/>
        <v>FARHANA BINTI MUSTAPA</v>
      </c>
      <c r="W1432" t="str">
        <f t="shared" si="599"/>
        <v>04-08-2020</v>
      </c>
      <c r="X1432" t="str">
        <f t="shared" si="600"/>
        <v>RAZIMAH ANSAR AHMAD</v>
      </c>
      <c r="Y1432" t="str">
        <f t="shared" si="601"/>
        <v>04-08-2020</v>
      </c>
      <c r="Z1432" t="str">
        <f>"COS10200804 7722"</f>
        <v>COS10200804 7722</v>
      </c>
    </row>
    <row r="1433" spans="1:26" x14ac:dyDescent="0.25">
      <c r="A1433" t="str">
        <f t="shared" si="602"/>
        <v>04-08-2020 01:08:11</v>
      </c>
      <c r="B1433" t="str">
        <f>"0000809522"</f>
        <v>0000809522</v>
      </c>
      <c r="C1433" t="str">
        <f t="shared" si="603"/>
        <v>0000809401</v>
      </c>
      <c r="D1433" t="str">
        <f t="shared" si="589"/>
        <v>73185</v>
      </c>
      <c r="E1433" t="str">
        <f t="shared" si="590"/>
        <v>KFH-OPERATIONS DEPARTMENT</v>
      </c>
      <c r="F1433" t="str">
        <f t="shared" si="591"/>
        <v>IBG</v>
      </c>
      <c r="G1433" t="str">
        <f t="shared" si="604"/>
        <v>Refund COSHARE 10</v>
      </c>
      <c r="H1433" s="2">
        <v>190</v>
      </c>
      <c r="I1433" t="str">
        <f>"SYARIFAH ASRIZA BINTI SYED ALWI"</f>
        <v>SYARIFAH ASRIZA BINTI SYED ALWI</v>
      </c>
      <c r="J1433" t="str">
        <f t="shared" si="605"/>
        <v>MAYBANK / MAYBANK ISLAMIC</v>
      </c>
      <c r="K1433" t="str">
        <f>"152077334721"</f>
        <v>152077334721</v>
      </c>
      <c r="L1433" t="str">
        <f t="shared" si="606"/>
        <v>04-08-2020</v>
      </c>
      <c r="M1433" t="str">
        <f t="shared" si="606"/>
        <v>04-08-2020</v>
      </c>
      <c r="N1433" t="str">
        <f t="shared" si="592"/>
        <v>001105018356</v>
      </c>
      <c r="O1433" t="str">
        <f t="shared" si="593"/>
        <v>MYR</v>
      </c>
      <c r="P1433" t="str">
        <f t="shared" si="607"/>
        <v>NIL</v>
      </c>
      <c r="Q1433" t="str">
        <f t="shared" si="607"/>
        <v>NIL</v>
      </c>
      <c r="R1433" t="str">
        <f t="shared" si="594"/>
        <v>Accepted</v>
      </c>
      <c r="S1433" t="str">
        <f t="shared" si="595"/>
        <v>Approved</v>
      </c>
      <c r="T1433" t="str">
        <f t="shared" si="596"/>
        <v>10.20.8.188</v>
      </c>
      <c r="U1433" t="str">
        <f t="shared" si="597"/>
        <v>AZRAD UMAR BIN SHAARI</v>
      </c>
      <c r="V1433" t="str">
        <f t="shared" si="598"/>
        <v>FARHANA BINTI MUSTAPA</v>
      </c>
      <c r="W1433" t="str">
        <f t="shared" si="599"/>
        <v>04-08-2020</v>
      </c>
      <c r="X1433" t="str">
        <f t="shared" si="600"/>
        <v>RAZIMAH ANSAR AHMAD</v>
      </c>
      <c r="Y1433" t="str">
        <f t="shared" si="601"/>
        <v>04-08-2020</v>
      </c>
      <c r="Z1433" t="str">
        <f>"COS10200804 7721"</f>
        <v>COS10200804 7721</v>
      </c>
    </row>
    <row r="1434" spans="1:26" x14ac:dyDescent="0.25">
      <c r="A1434" t="str">
        <f t="shared" si="602"/>
        <v>04-08-2020 01:08:11</v>
      </c>
      <c r="B1434" t="str">
        <f>"0000809521"</f>
        <v>0000809521</v>
      </c>
      <c r="C1434" t="str">
        <f t="shared" si="603"/>
        <v>0000809401</v>
      </c>
      <c r="D1434" t="str">
        <f t="shared" si="589"/>
        <v>73185</v>
      </c>
      <c r="E1434" t="str">
        <f t="shared" si="590"/>
        <v>KFH-OPERATIONS DEPARTMENT</v>
      </c>
      <c r="F1434" t="str">
        <f t="shared" si="591"/>
        <v>IBG</v>
      </c>
      <c r="G1434" t="str">
        <f t="shared" si="604"/>
        <v>Refund COSHARE 10</v>
      </c>
      <c r="H1434" s="2">
        <v>335.8</v>
      </c>
      <c r="I1434" t="str">
        <f>"SYAMIZA FIRDAUS BINTI ABD MALIK"</f>
        <v>SYAMIZA FIRDAUS BINTI ABD MALIK</v>
      </c>
      <c r="J1434" t="str">
        <f t="shared" si="605"/>
        <v>MAYBANK / MAYBANK ISLAMIC</v>
      </c>
      <c r="K1434" t="str">
        <f>"162142967528"</f>
        <v>162142967528</v>
      </c>
      <c r="L1434" t="str">
        <f t="shared" si="606"/>
        <v>04-08-2020</v>
      </c>
      <c r="M1434" t="str">
        <f t="shared" si="606"/>
        <v>04-08-2020</v>
      </c>
      <c r="N1434" t="str">
        <f t="shared" si="592"/>
        <v>001105018356</v>
      </c>
      <c r="O1434" t="str">
        <f t="shared" si="593"/>
        <v>MYR</v>
      </c>
      <c r="P1434" t="str">
        <f t="shared" si="607"/>
        <v>NIL</v>
      </c>
      <c r="Q1434" t="str">
        <f t="shared" si="607"/>
        <v>NIL</v>
      </c>
      <c r="R1434" t="str">
        <f t="shared" si="594"/>
        <v>Accepted</v>
      </c>
      <c r="S1434" t="str">
        <f t="shared" si="595"/>
        <v>Approved</v>
      </c>
      <c r="T1434" t="str">
        <f t="shared" si="596"/>
        <v>10.20.8.188</v>
      </c>
      <c r="U1434" t="str">
        <f t="shared" si="597"/>
        <v>AZRAD UMAR BIN SHAARI</v>
      </c>
      <c r="V1434" t="str">
        <f t="shared" si="598"/>
        <v>FARHANA BINTI MUSTAPA</v>
      </c>
      <c r="W1434" t="str">
        <f t="shared" si="599"/>
        <v>04-08-2020</v>
      </c>
      <c r="X1434" t="str">
        <f t="shared" si="600"/>
        <v>RAZIMAH ANSAR AHMAD</v>
      </c>
      <c r="Y1434" t="str">
        <f t="shared" si="601"/>
        <v>04-08-2020</v>
      </c>
      <c r="Z1434" t="str">
        <f>"COS10200804 7720"</f>
        <v>COS10200804 7720</v>
      </c>
    </row>
    <row r="1435" spans="1:26" x14ac:dyDescent="0.25">
      <c r="A1435" t="str">
        <f t="shared" si="602"/>
        <v>04-08-2020 01:08:11</v>
      </c>
      <c r="B1435" t="str">
        <f>"0000809520"</f>
        <v>0000809520</v>
      </c>
      <c r="C1435" t="str">
        <f t="shared" si="603"/>
        <v>0000809401</v>
      </c>
      <c r="D1435" t="str">
        <f t="shared" si="589"/>
        <v>73185</v>
      </c>
      <c r="E1435" t="str">
        <f t="shared" si="590"/>
        <v>KFH-OPERATIONS DEPARTMENT</v>
      </c>
      <c r="F1435" t="str">
        <f t="shared" si="591"/>
        <v>IBG</v>
      </c>
      <c r="G1435" t="str">
        <f t="shared" si="604"/>
        <v>Refund COSHARE 10</v>
      </c>
      <c r="H1435" s="2">
        <v>705.2</v>
      </c>
      <c r="I1435" t="str">
        <f>"SYAIRUL EMIE AZZFA BIN MUSTAFHA"</f>
        <v>SYAIRUL EMIE AZZFA BIN MUSTAFHA</v>
      </c>
      <c r="J1435" t="str">
        <f t="shared" si="605"/>
        <v>MAYBANK / MAYBANK ISLAMIC</v>
      </c>
      <c r="K1435" t="str">
        <f>"156114093007"</f>
        <v>156114093007</v>
      </c>
      <c r="L1435" t="str">
        <f t="shared" si="606"/>
        <v>04-08-2020</v>
      </c>
      <c r="M1435" t="str">
        <f t="shared" si="606"/>
        <v>04-08-2020</v>
      </c>
      <c r="N1435" t="str">
        <f t="shared" si="592"/>
        <v>001105018356</v>
      </c>
      <c r="O1435" t="str">
        <f t="shared" si="593"/>
        <v>MYR</v>
      </c>
      <c r="P1435" t="str">
        <f t="shared" si="607"/>
        <v>NIL</v>
      </c>
      <c r="Q1435" t="str">
        <f t="shared" si="607"/>
        <v>NIL</v>
      </c>
      <c r="R1435" t="str">
        <f t="shared" si="594"/>
        <v>Accepted</v>
      </c>
      <c r="S1435" t="str">
        <f t="shared" si="595"/>
        <v>Approved</v>
      </c>
      <c r="T1435" t="str">
        <f t="shared" si="596"/>
        <v>10.20.8.188</v>
      </c>
      <c r="U1435" t="str">
        <f t="shared" si="597"/>
        <v>AZRAD UMAR BIN SHAARI</v>
      </c>
      <c r="V1435" t="str">
        <f t="shared" si="598"/>
        <v>FARHANA BINTI MUSTAPA</v>
      </c>
      <c r="W1435" t="str">
        <f t="shared" si="599"/>
        <v>04-08-2020</v>
      </c>
      <c r="X1435" t="str">
        <f t="shared" si="600"/>
        <v>RAZIMAH ANSAR AHMAD</v>
      </c>
      <c r="Y1435" t="str">
        <f t="shared" si="601"/>
        <v>04-08-2020</v>
      </c>
      <c r="Z1435" t="str">
        <f>"COS10200804 7719"</f>
        <v>COS10200804 7719</v>
      </c>
    </row>
    <row r="1436" spans="1:26" x14ac:dyDescent="0.25">
      <c r="A1436" t="str">
        <f t="shared" si="602"/>
        <v>04-08-2020 01:08:11</v>
      </c>
      <c r="B1436" t="str">
        <f>"0000809519"</f>
        <v>0000809519</v>
      </c>
      <c r="C1436" t="str">
        <f t="shared" si="603"/>
        <v>0000809401</v>
      </c>
      <c r="D1436" t="str">
        <f t="shared" si="589"/>
        <v>73185</v>
      </c>
      <c r="E1436" t="str">
        <f t="shared" si="590"/>
        <v>KFH-OPERATIONS DEPARTMENT</v>
      </c>
      <c r="F1436" t="str">
        <f t="shared" si="591"/>
        <v>IBG</v>
      </c>
      <c r="G1436" t="str">
        <f t="shared" si="604"/>
        <v>Refund COSHARE 10</v>
      </c>
      <c r="H1436" s="2">
        <v>42</v>
      </c>
      <c r="I1436" t="str">
        <f>"SYAIDATUL ASMANATUHA BINTI AMINUDDEN"</f>
        <v>SYAIDATUL ASMANATUHA BINTI AMINUDDEN</v>
      </c>
      <c r="J1436" t="str">
        <f t="shared" si="605"/>
        <v>MAYBANK / MAYBANK ISLAMIC</v>
      </c>
      <c r="K1436" t="str">
        <f>"162188462767"</f>
        <v>162188462767</v>
      </c>
      <c r="L1436" t="str">
        <f t="shared" si="606"/>
        <v>04-08-2020</v>
      </c>
      <c r="M1436" t="str">
        <f t="shared" si="606"/>
        <v>04-08-2020</v>
      </c>
      <c r="N1436" t="str">
        <f t="shared" si="592"/>
        <v>001105018356</v>
      </c>
      <c r="O1436" t="str">
        <f t="shared" si="593"/>
        <v>MYR</v>
      </c>
      <c r="P1436" t="str">
        <f t="shared" si="607"/>
        <v>NIL</v>
      </c>
      <c r="Q1436" t="str">
        <f t="shared" si="607"/>
        <v>NIL</v>
      </c>
      <c r="R1436" t="str">
        <f t="shared" si="594"/>
        <v>Accepted</v>
      </c>
      <c r="S1436" t="str">
        <f t="shared" si="595"/>
        <v>Approved</v>
      </c>
      <c r="T1436" t="str">
        <f t="shared" si="596"/>
        <v>10.20.8.188</v>
      </c>
      <c r="U1436" t="str">
        <f t="shared" si="597"/>
        <v>AZRAD UMAR BIN SHAARI</v>
      </c>
      <c r="V1436" t="str">
        <f t="shared" si="598"/>
        <v>FARHANA BINTI MUSTAPA</v>
      </c>
      <c r="W1436" t="str">
        <f t="shared" si="599"/>
        <v>04-08-2020</v>
      </c>
      <c r="X1436" t="str">
        <f t="shared" si="600"/>
        <v>RAZIMAH ANSAR AHMAD</v>
      </c>
      <c r="Y1436" t="str">
        <f t="shared" si="601"/>
        <v>04-08-2020</v>
      </c>
      <c r="Z1436" t="str">
        <f>"COS10200804 7718"</f>
        <v>COS10200804 7718</v>
      </c>
    </row>
    <row r="1437" spans="1:26" x14ac:dyDescent="0.25">
      <c r="A1437" t="str">
        <f t="shared" si="602"/>
        <v>04-08-2020 01:08:11</v>
      </c>
      <c r="B1437" t="str">
        <f>"0000809518"</f>
        <v>0000809518</v>
      </c>
      <c r="C1437" t="str">
        <f t="shared" si="603"/>
        <v>0000809401</v>
      </c>
      <c r="D1437" t="str">
        <f t="shared" si="589"/>
        <v>73185</v>
      </c>
      <c r="E1437" t="str">
        <f t="shared" si="590"/>
        <v>KFH-OPERATIONS DEPARTMENT</v>
      </c>
      <c r="F1437" t="str">
        <f t="shared" si="591"/>
        <v>IBG</v>
      </c>
      <c r="G1437" t="str">
        <f t="shared" si="604"/>
        <v>Refund COSHARE 10</v>
      </c>
      <c r="H1437" s="2">
        <v>203.25</v>
      </c>
      <c r="I1437" t="str">
        <f>"SYAHRULNIZAM BIN ARIFFIN"</f>
        <v>SYAHRULNIZAM BIN ARIFFIN</v>
      </c>
      <c r="J1437" t="str">
        <f t="shared" si="605"/>
        <v>MAYBANK / MAYBANK ISLAMIC</v>
      </c>
      <c r="K1437" t="str">
        <f>"106138025279"</f>
        <v>106138025279</v>
      </c>
      <c r="L1437" t="str">
        <f t="shared" si="606"/>
        <v>04-08-2020</v>
      </c>
      <c r="M1437" t="str">
        <f t="shared" si="606"/>
        <v>04-08-2020</v>
      </c>
      <c r="N1437" t="str">
        <f t="shared" si="592"/>
        <v>001105018356</v>
      </c>
      <c r="O1437" t="str">
        <f t="shared" si="593"/>
        <v>MYR</v>
      </c>
      <c r="P1437" t="str">
        <f t="shared" si="607"/>
        <v>NIL</v>
      </c>
      <c r="Q1437" t="str">
        <f t="shared" si="607"/>
        <v>NIL</v>
      </c>
      <c r="R1437" t="str">
        <f t="shared" si="594"/>
        <v>Accepted</v>
      </c>
      <c r="S1437" t="str">
        <f t="shared" si="595"/>
        <v>Approved</v>
      </c>
      <c r="T1437" t="str">
        <f t="shared" si="596"/>
        <v>10.20.8.188</v>
      </c>
      <c r="U1437" t="str">
        <f t="shared" si="597"/>
        <v>AZRAD UMAR BIN SHAARI</v>
      </c>
      <c r="V1437" t="str">
        <f t="shared" si="598"/>
        <v>FARHANA BINTI MUSTAPA</v>
      </c>
      <c r="W1437" t="str">
        <f t="shared" si="599"/>
        <v>04-08-2020</v>
      </c>
      <c r="X1437" t="str">
        <f t="shared" si="600"/>
        <v>RAZIMAH ANSAR AHMAD</v>
      </c>
      <c r="Y1437" t="str">
        <f t="shared" si="601"/>
        <v>04-08-2020</v>
      </c>
      <c r="Z1437" t="str">
        <f>"COS10200804 7717"</f>
        <v>COS10200804 7717</v>
      </c>
    </row>
    <row r="1438" spans="1:26" x14ac:dyDescent="0.25">
      <c r="A1438" t="str">
        <f t="shared" si="602"/>
        <v>04-08-2020 01:08:11</v>
      </c>
      <c r="B1438" t="str">
        <f>"0000809517"</f>
        <v>0000809517</v>
      </c>
      <c r="C1438" t="str">
        <f t="shared" si="603"/>
        <v>0000809401</v>
      </c>
      <c r="D1438" t="str">
        <f t="shared" si="589"/>
        <v>73185</v>
      </c>
      <c r="E1438" t="str">
        <f t="shared" si="590"/>
        <v>KFH-OPERATIONS DEPARTMENT</v>
      </c>
      <c r="F1438" t="str">
        <f t="shared" si="591"/>
        <v>IBG</v>
      </c>
      <c r="G1438" t="str">
        <f t="shared" si="604"/>
        <v>Refund COSHARE 10</v>
      </c>
      <c r="H1438" s="2">
        <v>203.25</v>
      </c>
      <c r="I1438" t="str">
        <f>"SYAHRULNIZAM BIN ARIFFIN"</f>
        <v>SYAHRULNIZAM BIN ARIFFIN</v>
      </c>
      <c r="J1438" t="str">
        <f t="shared" si="605"/>
        <v>MAYBANK / MAYBANK ISLAMIC</v>
      </c>
      <c r="K1438" t="str">
        <f>"106138025279"</f>
        <v>106138025279</v>
      </c>
      <c r="L1438" t="str">
        <f t="shared" si="606"/>
        <v>04-08-2020</v>
      </c>
      <c r="M1438" t="str">
        <f t="shared" si="606"/>
        <v>04-08-2020</v>
      </c>
      <c r="N1438" t="str">
        <f t="shared" si="592"/>
        <v>001105018356</v>
      </c>
      <c r="O1438" t="str">
        <f t="shared" si="593"/>
        <v>MYR</v>
      </c>
      <c r="P1438" t="str">
        <f t="shared" si="607"/>
        <v>NIL</v>
      </c>
      <c r="Q1438" t="str">
        <f t="shared" si="607"/>
        <v>NIL</v>
      </c>
      <c r="R1438" t="str">
        <f t="shared" si="594"/>
        <v>Accepted</v>
      </c>
      <c r="S1438" t="str">
        <f t="shared" si="595"/>
        <v>Approved</v>
      </c>
      <c r="T1438" t="str">
        <f t="shared" si="596"/>
        <v>10.20.8.188</v>
      </c>
      <c r="U1438" t="str">
        <f t="shared" si="597"/>
        <v>AZRAD UMAR BIN SHAARI</v>
      </c>
      <c r="V1438" t="str">
        <f t="shared" si="598"/>
        <v>FARHANA BINTI MUSTAPA</v>
      </c>
      <c r="W1438" t="str">
        <f t="shared" si="599"/>
        <v>04-08-2020</v>
      </c>
      <c r="X1438" t="str">
        <f t="shared" si="600"/>
        <v>RAZIMAH ANSAR AHMAD</v>
      </c>
      <c r="Y1438" t="str">
        <f t="shared" si="601"/>
        <v>04-08-2020</v>
      </c>
      <c r="Z1438" t="str">
        <f>"COS10200804 7716"</f>
        <v>COS10200804 7716</v>
      </c>
    </row>
    <row r="1439" spans="1:26" x14ac:dyDescent="0.25">
      <c r="A1439" t="str">
        <f t="shared" si="602"/>
        <v>04-08-2020 01:08:11</v>
      </c>
      <c r="B1439" t="str">
        <f>"0000809516"</f>
        <v>0000809516</v>
      </c>
      <c r="C1439" t="str">
        <f t="shared" si="603"/>
        <v>0000809401</v>
      </c>
      <c r="D1439" t="str">
        <f t="shared" si="589"/>
        <v>73185</v>
      </c>
      <c r="E1439" t="str">
        <f t="shared" si="590"/>
        <v>KFH-OPERATIONS DEPARTMENT</v>
      </c>
      <c r="F1439" t="str">
        <f t="shared" si="591"/>
        <v>IBG</v>
      </c>
      <c r="G1439" t="str">
        <f t="shared" si="604"/>
        <v>Refund COSHARE 10</v>
      </c>
      <c r="H1439" s="2">
        <v>125.95</v>
      </c>
      <c r="I1439" t="str">
        <f>"SYAHRUL IRMAN BIN RAZALI"</f>
        <v>SYAHRUL IRMAN BIN RAZALI</v>
      </c>
      <c r="J1439" t="str">
        <f t="shared" si="605"/>
        <v>MAYBANK / MAYBANK ISLAMIC</v>
      </c>
      <c r="K1439" t="str">
        <f>"162508084000"</f>
        <v>162508084000</v>
      </c>
      <c r="L1439" t="str">
        <f t="shared" si="606"/>
        <v>04-08-2020</v>
      </c>
      <c r="M1439" t="str">
        <f t="shared" si="606"/>
        <v>04-08-2020</v>
      </c>
      <c r="N1439" t="str">
        <f t="shared" si="592"/>
        <v>001105018356</v>
      </c>
      <c r="O1439" t="str">
        <f t="shared" si="593"/>
        <v>MYR</v>
      </c>
      <c r="P1439" t="str">
        <f t="shared" si="607"/>
        <v>NIL</v>
      </c>
      <c r="Q1439" t="str">
        <f t="shared" si="607"/>
        <v>NIL</v>
      </c>
      <c r="R1439" t="str">
        <f t="shared" si="594"/>
        <v>Accepted</v>
      </c>
      <c r="S1439" t="str">
        <f t="shared" si="595"/>
        <v>Approved</v>
      </c>
      <c r="T1439" t="str">
        <f t="shared" si="596"/>
        <v>10.20.8.188</v>
      </c>
      <c r="U1439" t="str">
        <f t="shared" si="597"/>
        <v>AZRAD UMAR BIN SHAARI</v>
      </c>
      <c r="V1439" t="str">
        <f t="shared" si="598"/>
        <v>FARHANA BINTI MUSTAPA</v>
      </c>
      <c r="W1439" t="str">
        <f t="shared" si="599"/>
        <v>04-08-2020</v>
      </c>
      <c r="X1439" t="str">
        <f t="shared" si="600"/>
        <v>RAZIMAH ANSAR AHMAD</v>
      </c>
      <c r="Y1439" t="str">
        <f t="shared" si="601"/>
        <v>04-08-2020</v>
      </c>
      <c r="Z1439" t="str">
        <f>"COS10200804 7715"</f>
        <v>COS10200804 7715</v>
      </c>
    </row>
    <row r="1440" spans="1:26" x14ac:dyDescent="0.25">
      <c r="A1440" t="str">
        <f t="shared" si="602"/>
        <v>04-08-2020 01:08:11</v>
      </c>
      <c r="B1440" t="str">
        <f>"0000809515"</f>
        <v>0000809515</v>
      </c>
      <c r="C1440" t="str">
        <f t="shared" si="603"/>
        <v>0000809401</v>
      </c>
      <c r="D1440" t="str">
        <f t="shared" si="589"/>
        <v>73185</v>
      </c>
      <c r="E1440" t="str">
        <f t="shared" si="590"/>
        <v>KFH-OPERATIONS DEPARTMENT</v>
      </c>
      <c r="F1440" t="str">
        <f t="shared" si="591"/>
        <v>IBG</v>
      </c>
      <c r="G1440" t="str">
        <f t="shared" si="604"/>
        <v>Refund COSHARE 10</v>
      </c>
      <c r="H1440" s="2">
        <v>715</v>
      </c>
      <c r="I1440" t="str">
        <f>"SYAHRUL HAN BIN KAMBA"</f>
        <v>SYAHRUL HAN BIN KAMBA</v>
      </c>
      <c r="J1440" t="str">
        <f t="shared" si="605"/>
        <v>MAYBANK / MAYBANK ISLAMIC</v>
      </c>
      <c r="K1440" t="str">
        <f>"160036854825"</f>
        <v>160036854825</v>
      </c>
      <c r="L1440" t="str">
        <f t="shared" si="606"/>
        <v>04-08-2020</v>
      </c>
      <c r="M1440" t="str">
        <f t="shared" si="606"/>
        <v>04-08-2020</v>
      </c>
      <c r="N1440" t="str">
        <f t="shared" si="592"/>
        <v>001105018356</v>
      </c>
      <c r="O1440" t="str">
        <f t="shared" si="593"/>
        <v>MYR</v>
      </c>
      <c r="P1440" t="str">
        <f t="shared" si="607"/>
        <v>NIL</v>
      </c>
      <c r="Q1440" t="str">
        <f t="shared" si="607"/>
        <v>NIL</v>
      </c>
      <c r="R1440" t="str">
        <f t="shared" si="594"/>
        <v>Accepted</v>
      </c>
      <c r="S1440" t="str">
        <f t="shared" si="595"/>
        <v>Approved</v>
      </c>
      <c r="T1440" t="str">
        <f t="shared" si="596"/>
        <v>10.20.8.188</v>
      </c>
      <c r="U1440" t="str">
        <f t="shared" si="597"/>
        <v>AZRAD UMAR BIN SHAARI</v>
      </c>
      <c r="V1440" t="str">
        <f t="shared" si="598"/>
        <v>FARHANA BINTI MUSTAPA</v>
      </c>
      <c r="W1440" t="str">
        <f t="shared" si="599"/>
        <v>04-08-2020</v>
      </c>
      <c r="X1440" t="str">
        <f t="shared" si="600"/>
        <v>RAZIMAH ANSAR AHMAD</v>
      </c>
      <c r="Y1440" t="str">
        <f t="shared" si="601"/>
        <v>04-08-2020</v>
      </c>
      <c r="Z1440" t="str">
        <f>"COS10200804 7714"</f>
        <v>COS10200804 7714</v>
      </c>
    </row>
    <row r="1441" spans="1:26" x14ac:dyDescent="0.25">
      <c r="A1441" t="str">
        <f t="shared" si="602"/>
        <v>04-08-2020 01:08:11</v>
      </c>
      <c r="B1441" t="str">
        <f>"0000809514"</f>
        <v>0000809514</v>
      </c>
      <c r="C1441" t="str">
        <f t="shared" si="603"/>
        <v>0000809401</v>
      </c>
      <c r="D1441" t="str">
        <f t="shared" si="589"/>
        <v>73185</v>
      </c>
      <c r="E1441" t="str">
        <f t="shared" si="590"/>
        <v>KFH-OPERATIONS DEPARTMENT</v>
      </c>
      <c r="F1441" t="str">
        <f t="shared" si="591"/>
        <v>IBG</v>
      </c>
      <c r="G1441" t="str">
        <f t="shared" si="604"/>
        <v>Refund COSHARE 10</v>
      </c>
      <c r="H1441" s="2">
        <v>209.9</v>
      </c>
      <c r="I1441" t="str">
        <f>"SYAHRIZAL BIN SALIM"</f>
        <v>SYAHRIZAL BIN SALIM</v>
      </c>
      <c r="J1441" t="str">
        <f t="shared" si="605"/>
        <v>MAYBANK / MAYBANK ISLAMIC</v>
      </c>
      <c r="K1441" t="str">
        <f>"162263045098"</f>
        <v>162263045098</v>
      </c>
      <c r="L1441" t="str">
        <f t="shared" si="606"/>
        <v>04-08-2020</v>
      </c>
      <c r="M1441" t="str">
        <f t="shared" si="606"/>
        <v>04-08-2020</v>
      </c>
      <c r="N1441" t="str">
        <f t="shared" si="592"/>
        <v>001105018356</v>
      </c>
      <c r="O1441" t="str">
        <f t="shared" si="593"/>
        <v>MYR</v>
      </c>
      <c r="P1441" t="str">
        <f t="shared" si="607"/>
        <v>NIL</v>
      </c>
      <c r="Q1441" t="str">
        <f t="shared" si="607"/>
        <v>NIL</v>
      </c>
      <c r="R1441" t="str">
        <f t="shared" si="594"/>
        <v>Accepted</v>
      </c>
      <c r="S1441" t="str">
        <f t="shared" si="595"/>
        <v>Approved</v>
      </c>
      <c r="T1441" t="str">
        <f t="shared" si="596"/>
        <v>10.20.8.188</v>
      </c>
      <c r="U1441" t="str">
        <f t="shared" si="597"/>
        <v>AZRAD UMAR BIN SHAARI</v>
      </c>
      <c r="V1441" t="str">
        <f t="shared" si="598"/>
        <v>FARHANA BINTI MUSTAPA</v>
      </c>
      <c r="W1441" t="str">
        <f t="shared" si="599"/>
        <v>04-08-2020</v>
      </c>
      <c r="X1441" t="str">
        <f t="shared" si="600"/>
        <v>RAZIMAH ANSAR AHMAD</v>
      </c>
      <c r="Y1441" t="str">
        <f t="shared" si="601"/>
        <v>04-08-2020</v>
      </c>
      <c r="Z1441" t="str">
        <f>"COS10200804 7713"</f>
        <v>COS10200804 7713</v>
      </c>
    </row>
    <row r="1442" spans="1:26" x14ac:dyDescent="0.25">
      <c r="A1442" t="str">
        <f t="shared" si="602"/>
        <v>04-08-2020 01:08:11</v>
      </c>
      <c r="B1442" t="str">
        <f>"0000809513"</f>
        <v>0000809513</v>
      </c>
      <c r="C1442" t="str">
        <f t="shared" si="603"/>
        <v>0000809401</v>
      </c>
      <c r="D1442" t="str">
        <f t="shared" si="589"/>
        <v>73185</v>
      </c>
      <c r="E1442" t="str">
        <f t="shared" si="590"/>
        <v>KFH-OPERATIONS DEPARTMENT</v>
      </c>
      <c r="F1442" t="str">
        <f t="shared" si="591"/>
        <v>IBG</v>
      </c>
      <c r="G1442" t="str">
        <f t="shared" si="604"/>
        <v>Refund COSHARE 10</v>
      </c>
      <c r="H1442" s="2">
        <v>587.65</v>
      </c>
      <c r="I1442" t="str">
        <f>"SYAHLAN BIN ABD HALIM"</f>
        <v>SYAHLAN BIN ABD HALIM</v>
      </c>
      <c r="J1442" t="str">
        <f t="shared" si="605"/>
        <v>MAYBANK / MAYBANK ISLAMIC</v>
      </c>
      <c r="K1442" t="str">
        <f>"160148851382"</f>
        <v>160148851382</v>
      </c>
      <c r="L1442" t="str">
        <f t="shared" si="606"/>
        <v>04-08-2020</v>
      </c>
      <c r="M1442" t="str">
        <f t="shared" si="606"/>
        <v>04-08-2020</v>
      </c>
      <c r="N1442" t="str">
        <f t="shared" si="592"/>
        <v>001105018356</v>
      </c>
      <c r="O1442" t="str">
        <f t="shared" si="593"/>
        <v>MYR</v>
      </c>
      <c r="P1442" t="str">
        <f t="shared" si="607"/>
        <v>NIL</v>
      </c>
      <c r="Q1442" t="str">
        <f t="shared" si="607"/>
        <v>NIL</v>
      </c>
      <c r="R1442" t="str">
        <f t="shared" si="594"/>
        <v>Accepted</v>
      </c>
      <c r="S1442" t="str">
        <f t="shared" si="595"/>
        <v>Approved</v>
      </c>
      <c r="T1442" t="str">
        <f t="shared" si="596"/>
        <v>10.20.8.188</v>
      </c>
      <c r="U1442" t="str">
        <f t="shared" si="597"/>
        <v>AZRAD UMAR BIN SHAARI</v>
      </c>
      <c r="V1442" t="str">
        <f t="shared" si="598"/>
        <v>FARHANA BINTI MUSTAPA</v>
      </c>
      <c r="W1442" t="str">
        <f t="shared" si="599"/>
        <v>04-08-2020</v>
      </c>
      <c r="X1442" t="str">
        <f t="shared" si="600"/>
        <v>RAZIMAH ANSAR AHMAD</v>
      </c>
      <c r="Y1442" t="str">
        <f t="shared" si="601"/>
        <v>04-08-2020</v>
      </c>
      <c r="Z1442" t="str">
        <f>"COS10200804 7712"</f>
        <v>COS10200804 7712</v>
      </c>
    </row>
    <row r="1443" spans="1:26" x14ac:dyDescent="0.25">
      <c r="A1443" t="str">
        <f t="shared" si="602"/>
        <v>04-08-2020 01:08:11</v>
      </c>
      <c r="B1443" t="str">
        <f>"0000809512"</f>
        <v>0000809512</v>
      </c>
      <c r="C1443" t="str">
        <f t="shared" si="603"/>
        <v>0000809401</v>
      </c>
      <c r="D1443" t="str">
        <f t="shared" si="589"/>
        <v>73185</v>
      </c>
      <c r="E1443" t="str">
        <f t="shared" si="590"/>
        <v>KFH-OPERATIONS DEPARTMENT</v>
      </c>
      <c r="F1443" t="str">
        <f t="shared" si="591"/>
        <v>IBG</v>
      </c>
      <c r="G1443" t="str">
        <f t="shared" si="604"/>
        <v>Refund COSHARE 10</v>
      </c>
      <c r="H1443" s="2">
        <v>335.8</v>
      </c>
      <c r="I1443" t="str">
        <f>"SYAH REEZAL BIN MD BASHAH"</f>
        <v>SYAH REEZAL BIN MD BASHAH</v>
      </c>
      <c r="J1443" t="str">
        <f t="shared" si="605"/>
        <v>MAYBANK / MAYBANK ISLAMIC</v>
      </c>
      <c r="K1443" t="str">
        <f>"164016925021"</f>
        <v>164016925021</v>
      </c>
      <c r="L1443" t="str">
        <f t="shared" si="606"/>
        <v>04-08-2020</v>
      </c>
      <c r="M1443" t="str">
        <f t="shared" si="606"/>
        <v>04-08-2020</v>
      </c>
      <c r="N1443" t="str">
        <f t="shared" si="592"/>
        <v>001105018356</v>
      </c>
      <c r="O1443" t="str">
        <f t="shared" si="593"/>
        <v>MYR</v>
      </c>
      <c r="P1443" t="str">
        <f t="shared" si="607"/>
        <v>NIL</v>
      </c>
      <c r="Q1443" t="str">
        <f t="shared" si="607"/>
        <v>NIL</v>
      </c>
      <c r="R1443" t="str">
        <f t="shared" si="594"/>
        <v>Accepted</v>
      </c>
      <c r="S1443" t="str">
        <f t="shared" si="595"/>
        <v>Approved</v>
      </c>
      <c r="T1443" t="str">
        <f t="shared" si="596"/>
        <v>10.20.8.188</v>
      </c>
      <c r="U1443" t="str">
        <f t="shared" si="597"/>
        <v>AZRAD UMAR BIN SHAARI</v>
      </c>
      <c r="V1443" t="str">
        <f t="shared" si="598"/>
        <v>FARHANA BINTI MUSTAPA</v>
      </c>
      <c r="W1443" t="str">
        <f t="shared" si="599"/>
        <v>04-08-2020</v>
      </c>
      <c r="X1443" t="str">
        <f t="shared" si="600"/>
        <v>RAZIMAH ANSAR AHMAD</v>
      </c>
      <c r="Y1443" t="str">
        <f t="shared" si="601"/>
        <v>04-08-2020</v>
      </c>
      <c r="Z1443" t="str">
        <f>"COS10200804 7711"</f>
        <v>COS10200804 7711</v>
      </c>
    </row>
    <row r="1444" spans="1:26" x14ac:dyDescent="0.25">
      <c r="A1444" t="str">
        <f t="shared" si="602"/>
        <v>04-08-2020 01:08:11</v>
      </c>
      <c r="B1444" t="str">
        <f>"0000809511"</f>
        <v>0000809511</v>
      </c>
      <c r="C1444" t="str">
        <f t="shared" si="603"/>
        <v>0000809401</v>
      </c>
      <c r="D1444" t="str">
        <f t="shared" si="589"/>
        <v>73185</v>
      </c>
      <c r="E1444" t="str">
        <f t="shared" si="590"/>
        <v>KFH-OPERATIONS DEPARTMENT</v>
      </c>
      <c r="F1444" t="str">
        <f t="shared" si="591"/>
        <v>IBG</v>
      </c>
      <c r="G1444" t="str">
        <f t="shared" si="604"/>
        <v>Refund COSHARE 10</v>
      </c>
      <c r="H1444" s="2">
        <v>259</v>
      </c>
      <c r="I1444" t="str">
        <f>"SUZZIE BINTI IBRAHIM"</f>
        <v>SUZZIE BINTI IBRAHIM</v>
      </c>
      <c r="J1444" t="str">
        <f t="shared" si="605"/>
        <v>MAYBANK / MAYBANK ISLAMIC</v>
      </c>
      <c r="K1444" t="str">
        <f>"161051368877"</f>
        <v>161051368877</v>
      </c>
      <c r="L1444" t="str">
        <f t="shared" si="606"/>
        <v>04-08-2020</v>
      </c>
      <c r="M1444" t="str">
        <f t="shared" si="606"/>
        <v>04-08-2020</v>
      </c>
      <c r="N1444" t="str">
        <f t="shared" si="592"/>
        <v>001105018356</v>
      </c>
      <c r="O1444" t="str">
        <f t="shared" si="593"/>
        <v>MYR</v>
      </c>
      <c r="P1444" t="str">
        <f t="shared" si="607"/>
        <v>NIL</v>
      </c>
      <c r="Q1444" t="str">
        <f t="shared" si="607"/>
        <v>NIL</v>
      </c>
      <c r="R1444" t="str">
        <f t="shared" si="594"/>
        <v>Accepted</v>
      </c>
      <c r="S1444" t="str">
        <f t="shared" si="595"/>
        <v>Approved</v>
      </c>
      <c r="T1444" t="str">
        <f t="shared" si="596"/>
        <v>10.20.8.188</v>
      </c>
      <c r="U1444" t="str">
        <f t="shared" si="597"/>
        <v>AZRAD UMAR BIN SHAARI</v>
      </c>
      <c r="V1444" t="str">
        <f t="shared" si="598"/>
        <v>FARHANA BINTI MUSTAPA</v>
      </c>
      <c r="W1444" t="str">
        <f t="shared" si="599"/>
        <v>04-08-2020</v>
      </c>
      <c r="X1444" t="str">
        <f t="shared" si="600"/>
        <v>RAZIMAH ANSAR AHMAD</v>
      </c>
      <c r="Y1444" t="str">
        <f t="shared" si="601"/>
        <v>04-08-2020</v>
      </c>
      <c r="Z1444" t="str">
        <f>"COS10200804 7710"</f>
        <v>COS10200804 7710</v>
      </c>
    </row>
    <row r="1445" spans="1:26" x14ac:dyDescent="0.25">
      <c r="A1445" t="str">
        <f t="shared" si="602"/>
        <v>04-08-2020 01:08:11</v>
      </c>
      <c r="B1445" t="str">
        <f>"0000809510"</f>
        <v>0000809510</v>
      </c>
      <c r="C1445" t="str">
        <f t="shared" si="603"/>
        <v>0000809401</v>
      </c>
      <c r="D1445" t="str">
        <f t="shared" si="589"/>
        <v>73185</v>
      </c>
      <c r="E1445" t="str">
        <f t="shared" si="590"/>
        <v>KFH-OPERATIONS DEPARTMENT</v>
      </c>
      <c r="F1445" t="str">
        <f t="shared" si="591"/>
        <v>IBG</v>
      </c>
      <c r="G1445" t="str">
        <f t="shared" si="604"/>
        <v>Refund COSHARE 10</v>
      </c>
      <c r="H1445" s="2">
        <v>302.25</v>
      </c>
      <c r="I1445" t="str">
        <f>"SUZZAINA BINTI ROSLEY"</f>
        <v>SUZZAINA BINTI ROSLEY</v>
      </c>
      <c r="J1445" t="str">
        <f t="shared" si="605"/>
        <v>MAYBANK / MAYBANK ISLAMIC</v>
      </c>
      <c r="K1445" t="str">
        <f>"160166116033"</f>
        <v>160166116033</v>
      </c>
      <c r="L1445" t="str">
        <f t="shared" si="606"/>
        <v>04-08-2020</v>
      </c>
      <c r="M1445" t="str">
        <f t="shared" si="606"/>
        <v>04-08-2020</v>
      </c>
      <c r="N1445" t="str">
        <f t="shared" si="592"/>
        <v>001105018356</v>
      </c>
      <c r="O1445" t="str">
        <f t="shared" si="593"/>
        <v>MYR</v>
      </c>
      <c r="P1445" t="str">
        <f t="shared" si="607"/>
        <v>NIL</v>
      </c>
      <c r="Q1445" t="str">
        <f t="shared" si="607"/>
        <v>NIL</v>
      </c>
      <c r="R1445" t="str">
        <f t="shared" si="594"/>
        <v>Accepted</v>
      </c>
      <c r="S1445" t="str">
        <f t="shared" si="595"/>
        <v>Approved</v>
      </c>
      <c r="T1445" t="str">
        <f t="shared" si="596"/>
        <v>10.20.8.188</v>
      </c>
      <c r="U1445" t="str">
        <f t="shared" si="597"/>
        <v>AZRAD UMAR BIN SHAARI</v>
      </c>
      <c r="V1445" t="str">
        <f t="shared" si="598"/>
        <v>FARHANA BINTI MUSTAPA</v>
      </c>
      <c r="W1445" t="str">
        <f t="shared" si="599"/>
        <v>04-08-2020</v>
      </c>
      <c r="X1445" t="str">
        <f t="shared" si="600"/>
        <v>RAZIMAH ANSAR AHMAD</v>
      </c>
      <c r="Y1445" t="str">
        <f t="shared" si="601"/>
        <v>04-08-2020</v>
      </c>
      <c r="Z1445" t="str">
        <f>"COS10200804 7709"</f>
        <v>COS10200804 7709</v>
      </c>
    </row>
    <row r="1446" spans="1:26" x14ac:dyDescent="0.25">
      <c r="A1446" t="str">
        <f t="shared" si="602"/>
        <v>04-08-2020 01:08:11</v>
      </c>
      <c r="B1446" t="str">
        <f>"0000809509"</f>
        <v>0000809509</v>
      </c>
      <c r="C1446" t="str">
        <f t="shared" si="603"/>
        <v>0000809401</v>
      </c>
      <c r="D1446" t="str">
        <f t="shared" si="589"/>
        <v>73185</v>
      </c>
      <c r="E1446" t="str">
        <f t="shared" si="590"/>
        <v>KFH-OPERATIONS DEPARTMENT</v>
      </c>
      <c r="F1446" t="str">
        <f t="shared" si="591"/>
        <v>IBG</v>
      </c>
      <c r="G1446" t="str">
        <f t="shared" si="604"/>
        <v>Refund COSHARE 10</v>
      </c>
      <c r="H1446" s="2">
        <v>109.15</v>
      </c>
      <c r="I1446" t="str">
        <f>"SUZLIZA BINTI ISMAIL"</f>
        <v>SUZLIZA BINTI ISMAIL</v>
      </c>
      <c r="J1446" t="str">
        <f t="shared" si="605"/>
        <v>MAYBANK / MAYBANK ISLAMIC</v>
      </c>
      <c r="K1446" t="str">
        <f>"107135084655"</f>
        <v>107135084655</v>
      </c>
      <c r="L1446" t="str">
        <f t="shared" si="606"/>
        <v>04-08-2020</v>
      </c>
      <c r="M1446" t="str">
        <f t="shared" si="606"/>
        <v>04-08-2020</v>
      </c>
      <c r="N1446" t="str">
        <f t="shared" si="592"/>
        <v>001105018356</v>
      </c>
      <c r="O1446" t="str">
        <f t="shared" si="593"/>
        <v>MYR</v>
      </c>
      <c r="P1446" t="str">
        <f t="shared" si="607"/>
        <v>NIL</v>
      </c>
      <c r="Q1446" t="str">
        <f t="shared" si="607"/>
        <v>NIL</v>
      </c>
      <c r="R1446" t="str">
        <f t="shared" si="594"/>
        <v>Accepted</v>
      </c>
      <c r="S1446" t="str">
        <f t="shared" si="595"/>
        <v>Approved</v>
      </c>
      <c r="T1446" t="str">
        <f t="shared" si="596"/>
        <v>10.20.8.188</v>
      </c>
      <c r="U1446" t="str">
        <f t="shared" si="597"/>
        <v>AZRAD UMAR BIN SHAARI</v>
      </c>
      <c r="V1446" t="str">
        <f t="shared" si="598"/>
        <v>FARHANA BINTI MUSTAPA</v>
      </c>
      <c r="W1446" t="str">
        <f t="shared" si="599"/>
        <v>04-08-2020</v>
      </c>
      <c r="X1446" t="str">
        <f t="shared" si="600"/>
        <v>RAZIMAH ANSAR AHMAD</v>
      </c>
      <c r="Y1446" t="str">
        <f t="shared" si="601"/>
        <v>04-08-2020</v>
      </c>
      <c r="Z1446" t="str">
        <f>"COS10200804 7708"</f>
        <v>COS10200804 7708</v>
      </c>
    </row>
    <row r="1447" spans="1:26" x14ac:dyDescent="0.25">
      <c r="A1447" t="str">
        <f t="shared" si="602"/>
        <v>04-08-2020 01:08:11</v>
      </c>
      <c r="B1447" t="str">
        <f>"0000809508"</f>
        <v>0000809508</v>
      </c>
      <c r="C1447" t="str">
        <f t="shared" si="603"/>
        <v>0000809401</v>
      </c>
      <c r="D1447" t="str">
        <f t="shared" si="589"/>
        <v>73185</v>
      </c>
      <c r="E1447" t="str">
        <f t="shared" si="590"/>
        <v>KFH-OPERATIONS DEPARTMENT</v>
      </c>
      <c r="F1447" t="str">
        <f t="shared" si="591"/>
        <v>IBG</v>
      </c>
      <c r="G1447" t="str">
        <f t="shared" si="604"/>
        <v>Refund COSHARE 10</v>
      </c>
      <c r="H1447" s="2">
        <v>176.3</v>
      </c>
      <c r="I1447" t="str">
        <f>"SUZLIZA BINTI ISMAIL"</f>
        <v>SUZLIZA BINTI ISMAIL</v>
      </c>
      <c r="J1447" t="str">
        <f t="shared" si="605"/>
        <v>MAYBANK / MAYBANK ISLAMIC</v>
      </c>
      <c r="K1447" t="str">
        <f>"107135084655"</f>
        <v>107135084655</v>
      </c>
      <c r="L1447" t="str">
        <f t="shared" ref="L1447:M1466" si="608">"04-08-2020"</f>
        <v>04-08-2020</v>
      </c>
      <c r="M1447" t="str">
        <f t="shared" si="608"/>
        <v>04-08-2020</v>
      </c>
      <c r="N1447" t="str">
        <f t="shared" si="592"/>
        <v>001105018356</v>
      </c>
      <c r="O1447" t="str">
        <f t="shared" si="593"/>
        <v>MYR</v>
      </c>
      <c r="P1447" t="str">
        <f t="shared" ref="P1447:Q1466" si="609">"NIL"</f>
        <v>NIL</v>
      </c>
      <c r="Q1447" t="str">
        <f t="shared" si="609"/>
        <v>NIL</v>
      </c>
      <c r="R1447" t="str">
        <f t="shared" si="594"/>
        <v>Accepted</v>
      </c>
      <c r="S1447" t="str">
        <f t="shared" si="595"/>
        <v>Approved</v>
      </c>
      <c r="T1447" t="str">
        <f t="shared" si="596"/>
        <v>10.20.8.188</v>
      </c>
      <c r="U1447" t="str">
        <f t="shared" si="597"/>
        <v>AZRAD UMAR BIN SHAARI</v>
      </c>
      <c r="V1447" t="str">
        <f t="shared" si="598"/>
        <v>FARHANA BINTI MUSTAPA</v>
      </c>
      <c r="W1447" t="str">
        <f t="shared" si="599"/>
        <v>04-08-2020</v>
      </c>
      <c r="X1447" t="str">
        <f t="shared" si="600"/>
        <v>RAZIMAH ANSAR AHMAD</v>
      </c>
      <c r="Y1447" t="str">
        <f t="shared" si="601"/>
        <v>04-08-2020</v>
      </c>
      <c r="Z1447" t="str">
        <f>"COS10200804 7707"</f>
        <v>COS10200804 7707</v>
      </c>
    </row>
    <row r="1448" spans="1:26" x14ac:dyDescent="0.25">
      <c r="A1448" t="str">
        <f t="shared" si="602"/>
        <v>04-08-2020 01:08:11</v>
      </c>
      <c r="B1448" t="str">
        <f>"0000809507"</f>
        <v>0000809507</v>
      </c>
      <c r="C1448" t="str">
        <f t="shared" si="603"/>
        <v>0000809401</v>
      </c>
      <c r="D1448" t="str">
        <f t="shared" si="589"/>
        <v>73185</v>
      </c>
      <c r="E1448" t="str">
        <f t="shared" si="590"/>
        <v>KFH-OPERATIONS DEPARTMENT</v>
      </c>
      <c r="F1448" t="str">
        <f t="shared" si="591"/>
        <v>IBG</v>
      </c>
      <c r="G1448" t="str">
        <f t="shared" si="604"/>
        <v>Refund COSHARE 10</v>
      </c>
      <c r="H1448" s="2">
        <v>117.9</v>
      </c>
      <c r="I1448" t="str">
        <f>"SUZLIZA BINTI ISMAIL"</f>
        <v>SUZLIZA BINTI ISMAIL</v>
      </c>
      <c r="J1448" t="str">
        <f t="shared" si="605"/>
        <v>MAYBANK / MAYBANK ISLAMIC</v>
      </c>
      <c r="K1448" t="str">
        <f>"112183150233"</f>
        <v>112183150233</v>
      </c>
      <c r="L1448" t="str">
        <f t="shared" si="608"/>
        <v>04-08-2020</v>
      </c>
      <c r="M1448" t="str">
        <f t="shared" si="608"/>
        <v>04-08-2020</v>
      </c>
      <c r="N1448" t="str">
        <f t="shared" si="592"/>
        <v>001105018356</v>
      </c>
      <c r="O1448" t="str">
        <f t="shared" si="593"/>
        <v>MYR</v>
      </c>
      <c r="P1448" t="str">
        <f t="shared" si="609"/>
        <v>NIL</v>
      </c>
      <c r="Q1448" t="str">
        <f t="shared" si="609"/>
        <v>NIL</v>
      </c>
      <c r="R1448" t="str">
        <f t="shared" si="594"/>
        <v>Accepted</v>
      </c>
      <c r="S1448" t="str">
        <f t="shared" si="595"/>
        <v>Approved</v>
      </c>
      <c r="T1448" t="str">
        <f t="shared" si="596"/>
        <v>10.20.8.188</v>
      </c>
      <c r="U1448" t="str">
        <f t="shared" si="597"/>
        <v>AZRAD UMAR BIN SHAARI</v>
      </c>
      <c r="V1448" t="str">
        <f t="shared" si="598"/>
        <v>FARHANA BINTI MUSTAPA</v>
      </c>
      <c r="W1448" t="str">
        <f t="shared" si="599"/>
        <v>04-08-2020</v>
      </c>
      <c r="X1448" t="str">
        <f t="shared" si="600"/>
        <v>RAZIMAH ANSAR AHMAD</v>
      </c>
      <c r="Y1448" t="str">
        <f t="shared" si="601"/>
        <v>04-08-2020</v>
      </c>
      <c r="Z1448" t="str">
        <f>"COS10200804 7706"</f>
        <v>COS10200804 7706</v>
      </c>
    </row>
    <row r="1449" spans="1:26" x14ac:dyDescent="0.25">
      <c r="A1449" t="str">
        <f t="shared" si="602"/>
        <v>04-08-2020 01:08:11</v>
      </c>
      <c r="B1449" t="str">
        <f>"0000809506"</f>
        <v>0000809506</v>
      </c>
      <c r="C1449" t="str">
        <f t="shared" si="603"/>
        <v>0000809401</v>
      </c>
      <c r="D1449" t="str">
        <f t="shared" si="589"/>
        <v>73185</v>
      </c>
      <c r="E1449" t="str">
        <f t="shared" si="590"/>
        <v>KFH-OPERATIONS DEPARTMENT</v>
      </c>
      <c r="F1449" t="str">
        <f t="shared" si="591"/>
        <v>IBG</v>
      </c>
      <c r="G1449" t="str">
        <f t="shared" si="604"/>
        <v>Refund COSHARE 10</v>
      </c>
      <c r="H1449" s="2">
        <v>1596.65</v>
      </c>
      <c r="I1449" t="str">
        <f>"SUZIWATI  NORFAIZYANTY"</f>
        <v>SUZIWATI  NORFAIZYANTY</v>
      </c>
      <c r="J1449" t="str">
        <f t="shared" si="605"/>
        <v>MAYBANK / MAYBANK ISLAMIC</v>
      </c>
      <c r="K1449" t="str">
        <f>"153010153980"</f>
        <v>153010153980</v>
      </c>
      <c r="L1449" t="str">
        <f t="shared" si="608"/>
        <v>04-08-2020</v>
      </c>
      <c r="M1449" t="str">
        <f t="shared" si="608"/>
        <v>04-08-2020</v>
      </c>
      <c r="N1449" t="str">
        <f t="shared" si="592"/>
        <v>001105018356</v>
      </c>
      <c r="O1449" t="str">
        <f t="shared" si="593"/>
        <v>MYR</v>
      </c>
      <c r="P1449" t="str">
        <f t="shared" si="609"/>
        <v>NIL</v>
      </c>
      <c r="Q1449" t="str">
        <f t="shared" si="609"/>
        <v>NIL</v>
      </c>
      <c r="R1449" t="str">
        <f t="shared" si="594"/>
        <v>Accepted</v>
      </c>
      <c r="S1449" t="str">
        <f t="shared" si="595"/>
        <v>Approved</v>
      </c>
      <c r="T1449" t="str">
        <f t="shared" si="596"/>
        <v>10.20.8.188</v>
      </c>
      <c r="U1449" t="str">
        <f t="shared" si="597"/>
        <v>AZRAD UMAR BIN SHAARI</v>
      </c>
      <c r="V1449" t="str">
        <f t="shared" si="598"/>
        <v>FARHANA BINTI MUSTAPA</v>
      </c>
      <c r="W1449" t="str">
        <f t="shared" si="599"/>
        <v>04-08-2020</v>
      </c>
      <c r="X1449" t="str">
        <f t="shared" si="600"/>
        <v>RAZIMAH ANSAR AHMAD</v>
      </c>
      <c r="Y1449" t="str">
        <f t="shared" si="601"/>
        <v>04-08-2020</v>
      </c>
      <c r="Z1449" t="str">
        <f>"COS10200804 7705"</f>
        <v>COS10200804 7705</v>
      </c>
    </row>
    <row r="1450" spans="1:26" x14ac:dyDescent="0.25">
      <c r="A1450" t="str">
        <f t="shared" ref="A1450:A1481" si="610">"04-08-2020 01:08:11"</f>
        <v>04-08-2020 01:08:11</v>
      </c>
      <c r="B1450" t="str">
        <f>"0000809505"</f>
        <v>0000809505</v>
      </c>
      <c r="C1450" t="str">
        <f t="shared" ref="C1450:C1481" si="611">"0000809401"</f>
        <v>0000809401</v>
      </c>
      <c r="D1450" t="str">
        <f t="shared" si="589"/>
        <v>73185</v>
      </c>
      <c r="E1450" t="str">
        <f t="shared" si="590"/>
        <v>KFH-OPERATIONS DEPARTMENT</v>
      </c>
      <c r="F1450" t="str">
        <f t="shared" si="591"/>
        <v>IBG</v>
      </c>
      <c r="G1450" t="str">
        <f t="shared" si="604"/>
        <v>Refund COSHARE 10</v>
      </c>
      <c r="H1450" s="2">
        <v>51.75</v>
      </c>
      <c r="I1450" t="str">
        <f>"SUZITAR BINTI HASSAN"</f>
        <v>SUZITAR BINTI HASSAN</v>
      </c>
      <c r="J1450" t="str">
        <f t="shared" si="605"/>
        <v>MAYBANK / MAYBANK ISLAMIC</v>
      </c>
      <c r="K1450" t="str">
        <f>"164557073103"</f>
        <v>164557073103</v>
      </c>
      <c r="L1450" t="str">
        <f t="shared" si="608"/>
        <v>04-08-2020</v>
      </c>
      <c r="M1450" t="str">
        <f t="shared" si="608"/>
        <v>04-08-2020</v>
      </c>
      <c r="N1450" t="str">
        <f t="shared" si="592"/>
        <v>001105018356</v>
      </c>
      <c r="O1450" t="str">
        <f t="shared" si="593"/>
        <v>MYR</v>
      </c>
      <c r="P1450" t="str">
        <f t="shared" si="609"/>
        <v>NIL</v>
      </c>
      <c r="Q1450" t="str">
        <f t="shared" si="609"/>
        <v>NIL</v>
      </c>
      <c r="R1450" t="str">
        <f t="shared" si="594"/>
        <v>Accepted</v>
      </c>
      <c r="S1450" t="str">
        <f t="shared" si="595"/>
        <v>Approved</v>
      </c>
      <c r="T1450" t="str">
        <f t="shared" si="596"/>
        <v>10.20.8.188</v>
      </c>
      <c r="U1450" t="str">
        <f t="shared" si="597"/>
        <v>AZRAD UMAR BIN SHAARI</v>
      </c>
      <c r="V1450" t="str">
        <f t="shared" si="598"/>
        <v>FARHANA BINTI MUSTAPA</v>
      </c>
      <c r="W1450" t="str">
        <f t="shared" si="599"/>
        <v>04-08-2020</v>
      </c>
      <c r="X1450" t="str">
        <f t="shared" si="600"/>
        <v>RAZIMAH ANSAR AHMAD</v>
      </c>
      <c r="Y1450" t="str">
        <f t="shared" si="601"/>
        <v>04-08-2020</v>
      </c>
      <c r="Z1450" t="str">
        <f>"COS10200804 7704"</f>
        <v>COS10200804 7704</v>
      </c>
    </row>
    <row r="1451" spans="1:26" x14ac:dyDescent="0.25">
      <c r="A1451" t="str">
        <f t="shared" si="610"/>
        <v>04-08-2020 01:08:11</v>
      </c>
      <c r="B1451" t="str">
        <f>"0000809504"</f>
        <v>0000809504</v>
      </c>
      <c r="C1451" t="str">
        <f t="shared" si="611"/>
        <v>0000809401</v>
      </c>
      <c r="D1451" t="str">
        <f t="shared" si="589"/>
        <v>73185</v>
      </c>
      <c r="E1451" t="str">
        <f t="shared" si="590"/>
        <v>KFH-OPERATIONS DEPARTMENT</v>
      </c>
      <c r="F1451" t="str">
        <f t="shared" si="591"/>
        <v>IBG</v>
      </c>
      <c r="G1451" t="str">
        <f t="shared" si="604"/>
        <v>Refund COSHARE 10</v>
      </c>
      <c r="H1451" s="2">
        <v>786</v>
      </c>
      <c r="I1451" t="str">
        <f>"SUZILAWATI BINTI MOHD HUSSIN"</f>
        <v>SUZILAWATI BINTI MOHD HUSSIN</v>
      </c>
      <c r="J1451" t="str">
        <f t="shared" si="605"/>
        <v>MAYBANK / MAYBANK ISLAMIC</v>
      </c>
      <c r="K1451" t="str">
        <f>"112101761040"</f>
        <v>112101761040</v>
      </c>
      <c r="L1451" t="str">
        <f t="shared" si="608"/>
        <v>04-08-2020</v>
      </c>
      <c r="M1451" t="str">
        <f t="shared" si="608"/>
        <v>04-08-2020</v>
      </c>
      <c r="N1451" t="str">
        <f t="shared" si="592"/>
        <v>001105018356</v>
      </c>
      <c r="O1451" t="str">
        <f t="shared" si="593"/>
        <v>MYR</v>
      </c>
      <c r="P1451" t="str">
        <f t="shared" si="609"/>
        <v>NIL</v>
      </c>
      <c r="Q1451" t="str">
        <f t="shared" si="609"/>
        <v>NIL</v>
      </c>
      <c r="R1451" t="str">
        <f t="shared" si="594"/>
        <v>Accepted</v>
      </c>
      <c r="S1451" t="str">
        <f t="shared" si="595"/>
        <v>Approved</v>
      </c>
      <c r="T1451" t="str">
        <f t="shared" si="596"/>
        <v>10.20.8.188</v>
      </c>
      <c r="U1451" t="str">
        <f t="shared" si="597"/>
        <v>AZRAD UMAR BIN SHAARI</v>
      </c>
      <c r="V1451" t="str">
        <f t="shared" si="598"/>
        <v>FARHANA BINTI MUSTAPA</v>
      </c>
      <c r="W1451" t="str">
        <f t="shared" si="599"/>
        <v>04-08-2020</v>
      </c>
      <c r="X1451" t="str">
        <f t="shared" si="600"/>
        <v>RAZIMAH ANSAR AHMAD</v>
      </c>
      <c r="Y1451" t="str">
        <f t="shared" si="601"/>
        <v>04-08-2020</v>
      </c>
      <c r="Z1451" t="str">
        <f>"COS10200804 7703"</f>
        <v>COS10200804 7703</v>
      </c>
    </row>
    <row r="1452" spans="1:26" x14ac:dyDescent="0.25">
      <c r="A1452" t="str">
        <f t="shared" si="610"/>
        <v>04-08-2020 01:08:11</v>
      </c>
      <c r="B1452" t="str">
        <f>"0000809503"</f>
        <v>0000809503</v>
      </c>
      <c r="C1452" t="str">
        <f t="shared" si="611"/>
        <v>0000809401</v>
      </c>
      <c r="D1452" t="str">
        <f t="shared" si="589"/>
        <v>73185</v>
      </c>
      <c r="E1452" t="str">
        <f t="shared" si="590"/>
        <v>KFH-OPERATIONS DEPARTMENT</v>
      </c>
      <c r="F1452" t="str">
        <f t="shared" si="591"/>
        <v>IBG</v>
      </c>
      <c r="G1452" t="str">
        <f t="shared" si="604"/>
        <v>Refund COSHARE 10</v>
      </c>
      <c r="H1452" s="2">
        <v>58.8</v>
      </c>
      <c r="I1452" t="str">
        <f>"SUZILAWATI BINTI MD ROSHOL"</f>
        <v>SUZILAWATI BINTI MD ROSHOL</v>
      </c>
      <c r="J1452" t="str">
        <f t="shared" si="605"/>
        <v>MAYBANK / MAYBANK ISLAMIC</v>
      </c>
      <c r="K1452" t="str">
        <f>"152125096102"</f>
        <v>152125096102</v>
      </c>
      <c r="L1452" t="str">
        <f t="shared" si="608"/>
        <v>04-08-2020</v>
      </c>
      <c r="M1452" t="str">
        <f t="shared" si="608"/>
        <v>04-08-2020</v>
      </c>
      <c r="N1452" t="str">
        <f t="shared" si="592"/>
        <v>001105018356</v>
      </c>
      <c r="O1452" t="str">
        <f t="shared" si="593"/>
        <v>MYR</v>
      </c>
      <c r="P1452" t="str">
        <f t="shared" si="609"/>
        <v>NIL</v>
      </c>
      <c r="Q1452" t="str">
        <f t="shared" si="609"/>
        <v>NIL</v>
      </c>
      <c r="R1452" t="str">
        <f t="shared" si="594"/>
        <v>Accepted</v>
      </c>
      <c r="S1452" t="str">
        <f t="shared" si="595"/>
        <v>Approved</v>
      </c>
      <c r="T1452" t="str">
        <f t="shared" si="596"/>
        <v>10.20.8.188</v>
      </c>
      <c r="U1452" t="str">
        <f t="shared" si="597"/>
        <v>AZRAD UMAR BIN SHAARI</v>
      </c>
      <c r="V1452" t="str">
        <f t="shared" si="598"/>
        <v>FARHANA BINTI MUSTAPA</v>
      </c>
      <c r="W1452" t="str">
        <f t="shared" si="599"/>
        <v>04-08-2020</v>
      </c>
      <c r="X1452" t="str">
        <f t="shared" si="600"/>
        <v>RAZIMAH ANSAR AHMAD</v>
      </c>
      <c r="Y1452" t="str">
        <f t="shared" si="601"/>
        <v>04-08-2020</v>
      </c>
      <c r="Z1452" t="str">
        <f>"COS10200804 7702"</f>
        <v>COS10200804 7702</v>
      </c>
    </row>
    <row r="1453" spans="1:26" x14ac:dyDescent="0.25">
      <c r="A1453" t="str">
        <f t="shared" si="610"/>
        <v>04-08-2020 01:08:11</v>
      </c>
      <c r="B1453" t="str">
        <f>"0000809502"</f>
        <v>0000809502</v>
      </c>
      <c r="C1453" t="str">
        <f t="shared" si="611"/>
        <v>0000809401</v>
      </c>
      <c r="D1453" t="str">
        <f t="shared" si="589"/>
        <v>73185</v>
      </c>
      <c r="E1453" t="str">
        <f t="shared" si="590"/>
        <v>KFH-OPERATIONS DEPARTMENT</v>
      </c>
      <c r="F1453" t="str">
        <f t="shared" si="591"/>
        <v>IBG</v>
      </c>
      <c r="G1453" t="str">
        <f t="shared" si="604"/>
        <v>Refund COSHARE 10</v>
      </c>
      <c r="H1453" s="2">
        <v>755.55</v>
      </c>
      <c r="I1453" t="str">
        <f>"SUZILAWATI BINTI ISMAIL"</f>
        <v>SUZILAWATI BINTI ISMAIL</v>
      </c>
      <c r="J1453" t="str">
        <f t="shared" si="605"/>
        <v>MAYBANK / MAYBANK ISLAMIC</v>
      </c>
      <c r="K1453" t="str">
        <f>"113033000797"</f>
        <v>113033000797</v>
      </c>
      <c r="L1453" t="str">
        <f t="shared" si="608"/>
        <v>04-08-2020</v>
      </c>
      <c r="M1453" t="str">
        <f t="shared" si="608"/>
        <v>04-08-2020</v>
      </c>
      <c r="N1453" t="str">
        <f t="shared" si="592"/>
        <v>001105018356</v>
      </c>
      <c r="O1453" t="str">
        <f t="shared" si="593"/>
        <v>MYR</v>
      </c>
      <c r="P1453" t="str">
        <f t="shared" si="609"/>
        <v>NIL</v>
      </c>
      <c r="Q1453" t="str">
        <f t="shared" si="609"/>
        <v>NIL</v>
      </c>
      <c r="R1453" t="str">
        <f t="shared" si="594"/>
        <v>Accepted</v>
      </c>
      <c r="S1453" t="str">
        <f t="shared" si="595"/>
        <v>Approved</v>
      </c>
      <c r="T1453" t="str">
        <f t="shared" si="596"/>
        <v>10.20.8.188</v>
      </c>
      <c r="U1453" t="str">
        <f t="shared" si="597"/>
        <v>AZRAD UMAR BIN SHAARI</v>
      </c>
      <c r="V1453" t="str">
        <f t="shared" si="598"/>
        <v>FARHANA BINTI MUSTAPA</v>
      </c>
      <c r="W1453" t="str">
        <f t="shared" si="599"/>
        <v>04-08-2020</v>
      </c>
      <c r="X1453" t="str">
        <f t="shared" si="600"/>
        <v>RAZIMAH ANSAR AHMAD</v>
      </c>
      <c r="Y1453" t="str">
        <f t="shared" si="601"/>
        <v>04-08-2020</v>
      </c>
      <c r="Z1453" t="str">
        <f>"COS10200804 7701"</f>
        <v>COS10200804 7701</v>
      </c>
    </row>
    <row r="1454" spans="1:26" x14ac:dyDescent="0.25">
      <c r="A1454" t="str">
        <f t="shared" si="610"/>
        <v>04-08-2020 01:08:11</v>
      </c>
      <c r="B1454" t="str">
        <f>"0000809501"</f>
        <v>0000809501</v>
      </c>
      <c r="C1454" t="str">
        <f t="shared" si="611"/>
        <v>0000809401</v>
      </c>
      <c r="D1454" t="str">
        <f t="shared" si="589"/>
        <v>73185</v>
      </c>
      <c r="E1454" t="str">
        <f t="shared" si="590"/>
        <v>KFH-OPERATIONS DEPARTMENT</v>
      </c>
      <c r="F1454" t="str">
        <f t="shared" si="591"/>
        <v>IBG</v>
      </c>
      <c r="G1454" t="str">
        <f t="shared" si="604"/>
        <v>Refund COSHARE 10</v>
      </c>
      <c r="H1454" s="2">
        <v>99</v>
      </c>
      <c r="I1454" t="str">
        <f>"SUZILA BINTI SAHAR"</f>
        <v>SUZILA BINTI SAHAR</v>
      </c>
      <c r="J1454" t="str">
        <f t="shared" si="605"/>
        <v>MAYBANK / MAYBANK ISLAMIC</v>
      </c>
      <c r="K1454" t="str">
        <f>"151017039129"</f>
        <v>151017039129</v>
      </c>
      <c r="L1454" t="str">
        <f t="shared" si="608"/>
        <v>04-08-2020</v>
      </c>
      <c r="M1454" t="str">
        <f t="shared" si="608"/>
        <v>04-08-2020</v>
      </c>
      <c r="N1454" t="str">
        <f t="shared" si="592"/>
        <v>001105018356</v>
      </c>
      <c r="O1454" t="str">
        <f t="shared" si="593"/>
        <v>MYR</v>
      </c>
      <c r="P1454" t="str">
        <f t="shared" si="609"/>
        <v>NIL</v>
      </c>
      <c r="Q1454" t="str">
        <f t="shared" si="609"/>
        <v>NIL</v>
      </c>
      <c r="R1454" t="str">
        <f t="shared" si="594"/>
        <v>Accepted</v>
      </c>
      <c r="S1454" t="str">
        <f t="shared" si="595"/>
        <v>Approved</v>
      </c>
      <c r="T1454" t="str">
        <f t="shared" si="596"/>
        <v>10.20.8.188</v>
      </c>
      <c r="U1454" t="str">
        <f t="shared" si="597"/>
        <v>AZRAD UMAR BIN SHAARI</v>
      </c>
      <c r="V1454" t="str">
        <f t="shared" si="598"/>
        <v>FARHANA BINTI MUSTAPA</v>
      </c>
      <c r="W1454" t="str">
        <f t="shared" si="599"/>
        <v>04-08-2020</v>
      </c>
      <c r="X1454" t="str">
        <f t="shared" si="600"/>
        <v>RAZIMAH ANSAR AHMAD</v>
      </c>
      <c r="Y1454" t="str">
        <f t="shared" si="601"/>
        <v>04-08-2020</v>
      </c>
      <c r="Z1454" t="str">
        <f>"COS10200804 7700"</f>
        <v>COS10200804 7700</v>
      </c>
    </row>
    <row r="1455" spans="1:26" x14ac:dyDescent="0.25">
      <c r="A1455" t="str">
        <f t="shared" si="610"/>
        <v>04-08-2020 01:08:11</v>
      </c>
      <c r="B1455" t="str">
        <f>"0000809500"</f>
        <v>0000809500</v>
      </c>
      <c r="C1455" t="str">
        <f t="shared" si="611"/>
        <v>0000809401</v>
      </c>
      <c r="D1455" t="str">
        <f t="shared" si="589"/>
        <v>73185</v>
      </c>
      <c r="E1455" t="str">
        <f t="shared" si="590"/>
        <v>KFH-OPERATIONS DEPARTMENT</v>
      </c>
      <c r="F1455" t="str">
        <f t="shared" si="591"/>
        <v>IBG</v>
      </c>
      <c r="G1455" t="str">
        <f t="shared" si="604"/>
        <v>Refund COSHARE 10</v>
      </c>
      <c r="H1455" s="2">
        <v>444.95</v>
      </c>
      <c r="I1455" t="str">
        <f>"SUZILA BINTI SAHAR"</f>
        <v>SUZILA BINTI SAHAR</v>
      </c>
      <c r="J1455" t="str">
        <f t="shared" si="605"/>
        <v>MAYBANK / MAYBANK ISLAMIC</v>
      </c>
      <c r="K1455" t="str">
        <f>"151017039129"</f>
        <v>151017039129</v>
      </c>
      <c r="L1455" t="str">
        <f t="shared" si="608"/>
        <v>04-08-2020</v>
      </c>
      <c r="M1455" t="str">
        <f t="shared" si="608"/>
        <v>04-08-2020</v>
      </c>
      <c r="N1455" t="str">
        <f t="shared" si="592"/>
        <v>001105018356</v>
      </c>
      <c r="O1455" t="str">
        <f t="shared" si="593"/>
        <v>MYR</v>
      </c>
      <c r="P1455" t="str">
        <f t="shared" si="609"/>
        <v>NIL</v>
      </c>
      <c r="Q1455" t="str">
        <f t="shared" si="609"/>
        <v>NIL</v>
      </c>
      <c r="R1455" t="str">
        <f t="shared" si="594"/>
        <v>Accepted</v>
      </c>
      <c r="S1455" t="str">
        <f t="shared" si="595"/>
        <v>Approved</v>
      </c>
      <c r="T1455" t="str">
        <f t="shared" si="596"/>
        <v>10.20.8.188</v>
      </c>
      <c r="U1455" t="str">
        <f t="shared" si="597"/>
        <v>AZRAD UMAR BIN SHAARI</v>
      </c>
      <c r="V1455" t="str">
        <f t="shared" si="598"/>
        <v>FARHANA BINTI MUSTAPA</v>
      </c>
      <c r="W1455" t="str">
        <f t="shared" si="599"/>
        <v>04-08-2020</v>
      </c>
      <c r="X1455" t="str">
        <f t="shared" si="600"/>
        <v>RAZIMAH ANSAR AHMAD</v>
      </c>
      <c r="Y1455" t="str">
        <f t="shared" si="601"/>
        <v>04-08-2020</v>
      </c>
      <c r="Z1455" t="str">
        <f>"COS10200804 7699"</f>
        <v>COS10200804 7699</v>
      </c>
    </row>
    <row r="1456" spans="1:26" x14ac:dyDescent="0.25">
      <c r="A1456" t="str">
        <f t="shared" si="610"/>
        <v>04-08-2020 01:08:11</v>
      </c>
      <c r="B1456" t="str">
        <f>"0000809499"</f>
        <v>0000809499</v>
      </c>
      <c r="C1456" t="str">
        <f t="shared" si="611"/>
        <v>0000809401</v>
      </c>
      <c r="D1456" t="str">
        <f t="shared" si="589"/>
        <v>73185</v>
      </c>
      <c r="E1456" t="str">
        <f t="shared" si="590"/>
        <v>KFH-OPERATIONS DEPARTMENT</v>
      </c>
      <c r="F1456" t="str">
        <f t="shared" si="591"/>
        <v>IBG</v>
      </c>
      <c r="G1456" t="str">
        <f t="shared" si="604"/>
        <v>Refund COSHARE 10</v>
      </c>
      <c r="H1456" s="2">
        <v>83.95</v>
      </c>
      <c r="I1456" t="str">
        <f>"SUZILA BINTI AZIZ"</f>
        <v>SUZILA BINTI AZIZ</v>
      </c>
      <c r="J1456" t="str">
        <f t="shared" si="605"/>
        <v>MAYBANK / MAYBANK ISLAMIC</v>
      </c>
      <c r="K1456" t="str">
        <f>"151267065388"</f>
        <v>151267065388</v>
      </c>
      <c r="L1456" t="str">
        <f t="shared" si="608"/>
        <v>04-08-2020</v>
      </c>
      <c r="M1456" t="str">
        <f t="shared" si="608"/>
        <v>04-08-2020</v>
      </c>
      <c r="N1456" t="str">
        <f t="shared" si="592"/>
        <v>001105018356</v>
      </c>
      <c r="O1456" t="str">
        <f t="shared" si="593"/>
        <v>MYR</v>
      </c>
      <c r="P1456" t="str">
        <f t="shared" si="609"/>
        <v>NIL</v>
      </c>
      <c r="Q1456" t="str">
        <f t="shared" si="609"/>
        <v>NIL</v>
      </c>
      <c r="R1456" t="str">
        <f t="shared" si="594"/>
        <v>Accepted</v>
      </c>
      <c r="S1456" t="str">
        <f t="shared" si="595"/>
        <v>Approved</v>
      </c>
      <c r="T1456" t="str">
        <f t="shared" si="596"/>
        <v>10.20.8.188</v>
      </c>
      <c r="U1456" t="str">
        <f t="shared" si="597"/>
        <v>AZRAD UMAR BIN SHAARI</v>
      </c>
      <c r="V1456" t="str">
        <f t="shared" si="598"/>
        <v>FARHANA BINTI MUSTAPA</v>
      </c>
      <c r="W1456" t="str">
        <f t="shared" si="599"/>
        <v>04-08-2020</v>
      </c>
      <c r="X1456" t="str">
        <f t="shared" si="600"/>
        <v>RAZIMAH ANSAR AHMAD</v>
      </c>
      <c r="Y1456" t="str">
        <f t="shared" si="601"/>
        <v>04-08-2020</v>
      </c>
      <c r="Z1456" t="str">
        <f>"COS10200804 7698"</f>
        <v>COS10200804 7698</v>
      </c>
    </row>
    <row r="1457" spans="1:26" x14ac:dyDescent="0.25">
      <c r="A1457" t="str">
        <f t="shared" si="610"/>
        <v>04-08-2020 01:08:11</v>
      </c>
      <c r="B1457" t="str">
        <f>"0000809498"</f>
        <v>0000809498</v>
      </c>
      <c r="C1457" t="str">
        <f t="shared" si="611"/>
        <v>0000809401</v>
      </c>
      <c r="D1457" t="str">
        <f t="shared" si="589"/>
        <v>73185</v>
      </c>
      <c r="E1457" t="str">
        <f t="shared" si="590"/>
        <v>KFH-OPERATIONS DEPARTMENT</v>
      </c>
      <c r="F1457" t="str">
        <f t="shared" si="591"/>
        <v>IBG</v>
      </c>
      <c r="G1457" t="str">
        <f t="shared" si="604"/>
        <v>Refund COSHARE 10</v>
      </c>
      <c r="H1457" s="2">
        <v>184.7</v>
      </c>
      <c r="I1457" t="str">
        <f>"SUZIEYANTIE BINTI MOHAMAD SHA"</f>
        <v>SUZIEYANTIE BINTI MOHAMAD SHA</v>
      </c>
      <c r="J1457" t="str">
        <f t="shared" si="605"/>
        <v>MAYBANK / MAYBANK ISLAMIC</v>
      </c>
      <c r="K1457" t="str">
        <f>"160184030982"</f>
        <v>160184030982</v>
      </c>
      <c r="L1457" t="str">
        <f t="shared" si="608"/>
        <v>04-08-2020</v>
      </c>
      <c r="M1457" t="str">
        <f t="shared" si="608"/>
        <v>04-08-2020</v>
      </c>
      <c r="N1457" t="str">
        <f t="shared" si="592"/>
        <v>001105018356</v>
      </c>
      <c r="O1457" t="str">
        <f t="shared" si="593"/>
        <v>MYR</v>
      </c>
      <c r="P1457" t="str">
        <f t="shared" si="609"/>
        <v>NIL</v>
      </c>
      <c r="Q1457" t="str">
        <f t="shared" si="609"/>
        <v>NIL</v>
      </c>
      <c r="R1457" t="str">
        <f t="shared" si="594"/>
        <v>Accepted</v>
      </c>
      <c r="S1457" t="str">
        <f t="shared" si="595"/>
        <v>Approved</v>
      </c>
      <c r="T1457" t="str">
        <f t="shared" si="596"/>
        <v>10.20.8.188</v>
      </c>
      <c r="U1457" t="str">
        <f t="shared" si="597"/>
        <v>AZRAD UMAR BIN SHAARI</v>
      </c>
      <c r="V1457" t="str">
        <f t="shared" si="598"/>
        <v>FARHANA BINTI MUSTAPA</v>
      </c>
      <c r="W1457" t="str">
        <f t="shared" si="599"/>
        <v>04-08-2020</v>
      </c>
      <c r="X1457" t="str">
        <f t="shared" si="600"/>
        <v>RAZIMAH ANSAR AHMAD</v>
      </c>
      <c r="Y1457" t="str">
        <f t="shared" si="601"/>
        <v>04-08-2020</v>
      </c>
      <c r="Z1457" t="str">
        <f>"COS10200804 7697"</f>
        <v>COS10200804 7697</v>
      </c>
    </row>
    <row r="1458" spans="1:26" x14ac:dyDescent="0.25">
      <c r="A1458" t="str">
        <f t="shared" si="610"/>
        <v>04-08-2020 01:08:11</v>
      </c>
      <c r="B1458" t="str">
        <f>"0000809497"</f>
        <v>0000809497</v>
      </c>
      <c r="C1458" t="str">
        <f t="shared" si="611"/>
        <v>0000809401</v>
      </c>
      <c r="D1458" t="str">
        <f t="shared" si="589"/>
        <v>73185</v>
      </c>
      <c r="E1458" t="str">
        <f t="shared" si="590"/>
        <v>KFH-OPERATIONS DEPARTMENT</v>
      </c>
      <c r="F1458" t="str">
        <f t="shared" si="591"/>
        <v>IBG</v>
      </c>
      <c r="G1458" t="str">
        <f t="shared" si="604"/>
        <v>Refund COSHARE 10</v>
      </c>
      <c r="H1458" s="2">
        <v>990.65</v>
      </c>
      <c r="I1458" t="str">
        <f>"SUZIE BINTI MARDEN"</f>
        <v>SUZIE BINTI MARDEN</v>
      </c>
      <c r="J1458" t="str">
        <f t="shared" si="605"/>
        <v>MAYBANK / MAYBANK ISLAMIC</v>
      </c>
      <c r="K1458" t="str">
        <f>"110107280382"</f>
        <v>110107280382</v>
      </c>
      <c r="L1458" t="str">
        <f t="shared" si="608"/>
        <v>04-08-2020</v>
      </c>
      <c r="M1458" t="str">
        <f t="shared" si="608"/>
        <v>04-08-2020</v>
      </c>
      <c r="N1458" t="str">
        <f t="shared" si="592"/>
        <v>001105018356</v>
      </c>
      <c r="O1458" t="str">
        <f t="shared" si="593"/>
        <v>MYR</v>
      </c>
      <c r="P1458" t="str">
        <f t="shared" si="609"/>
        <v>NIL</v>
      </c>
      <c r="Q1458" t="str">
        <f t="shared" si="609"/>
        <v>NIL</v>
      </c>
      <c r="R1458" t="str">
        <f t="shared" si="594"/>
        <v>Accepted</v>
      </c>
      <c r="S1458" t="str">
        <f t="shared" si="595"/>
        <v>Approved</v>
      </c>
      <c r="T1458" t="str">
        <f t="shared" si="596"/>
        <v>10.20.8.188</v>
      </c>
      <c r="U1458" t="str">
        <f t="shared" si="597"/>
        <v>AZRAD UMAR BIN SHAARI</v>
      </c>
      <c r="V1458" t="str">
        <f t="shared" si="598"/>
        <v>FARHANA BINTI MUSTAPA</v>
      </c>
      <c r="W1458" t="str">
        <f t="shared" si="599"/>
        <v>04-08-2020</v>
      </c>
      <c r="X1458" t="str">
        <f t="shared" si="600"/>
        <v>RAZIMAH ANSAR AHMAD</v>
      </c>
      <c r="Y1458" t="str">
        <f t="shared" si="601"/>
        <v>04-08-2020</v>
      </c>
      <c r="Z1458" t="str">
        <f>"COS10200804 7696"</f>
        <v>COS10200804 7696</v>
      </c>
    </row>
    <row r="1459" spans="1:26" x14ac:dyDescent="0.25">
      <c r="A1459" t="str">
        <f t="shared" si="610"/>
        <v>04-08-2020 01:08:11</v>
      </c>
      <c r="B1459" t="str">
        <f>"0000809496"</f>
        <v>0000809496</v>
      </c>
      <c r="C1459" t="str">
        <f t="shared" si="611"/>
        <v>0000809401</v>
      </c>
      <c r="D1459" t="str">
        <f t="shared" si="589"/>
        <v>73185</v>
      </c>
      <c r="E1459" t="str">
        <f t="shared" si="590"/>
        <v>KFH-OPERATIONS DEPARTMENT</v>
      </c>
      <c r="F1459" t="str">
        <f t="shared" si="591"/>
        <v>IBG</v>
      </c>
      <c r="G1459" t="str">
        <f t="shared" si="604"/>
        <v>Refund COSHARE 10</v>
      </c>
      <c r="H1459" s="2">
        <v>419.75</v>
      </c>
      <c r="I1459" t="str">
        <f>"SUZIANA  BINTI MAT ALI"</f>
        <v>SUZIANA  BINTI MAT ALI</v>
      </c>
      <c r="J1459" t="str">
        <f t="shared" si="605"/>
        <v>MAYBANK / MAYBANK ISLAMIC</v>
      </c>
      <c r="K1459" t="str">
        <f>"164098458581"</f>
        <v>164098458581</v>
      </c>
      <c r="L1459" t="str">
        <f t="shared" si="608"/>
        <v>04-08-2020</v>
      </c>
      <c r="M1459" t="str">
        <f t="shared" si="608"/>
        <v>04-08-2020</v>
      </c>
      <c r="N1459" t="str">
        <f t="shared" si="592"/>
        <v>001105018356</v>
      </c>
      <c r="O1459" t="str">
        <f t="shared" si="593"/>
        <v>MYR</v>
      </c>
      <c r="P1459" t="str">
        <f t="shared" si="609"/>
        <v>NIL</v>
      </c>
      <c r="Q1459" t="str">
        <f t="shared" si="609"/>
        <v>NIL</v>
      </c>
      <c r="R1459" t="str">
        <f t="shared" si="594"/>
        <v>Accepted</v>
      </c>
      <c r="S1459" t="str">
        <f t="shared" si="595"/>
        <v>Approved</v>
      </c>
      <c r="T1459" t="str">
        <f t="shared" si="596"/>
        <v>10.20.8.188</v>
      </c>
      <c r="U1459" t="str">
        <f t="shared" si="597"/>
        <v>AZRAD UMAR BIN SHAARI</v>
      </c>
      <c r="V1459" t="str">
        <f t="shared" si="598"/>
        <v>FARHANA BINTI MUSTAPA</v>
      </c>
      <c r="W1459" t="str">
        <f t="shared" si="599"/>
        <v>04-08-2020</v>
      </c>
      <c r="X1459" t="str">
        <f t="shared" si="600"/>
        <v>RAZIMAH ANSAR AHMAD</v>
      </c>
      <c r="Y1459" t="str">
        <f t="shared" si="601"/>
        <v>04-08-2020</v>
      </c>
      <c r="Z1459" t="str">
        <f>"COS10200804 7695"</f>
        <v>COS10200804 7695</v>
      </c>
    </row>
    <row r="1460" spans="1:26" x14ac:dyDescent="0.25">
      <c r="A1460" t="str">
        <f t="shared" si="610"/>
        <v>04-08-2020 01:08:11</v>
      </c>
      <c r="B1460" t="str">
        <f>"0000809495"</f>
        <v>0000809495</v>
      </c>
      <c r="C1460" t="str">
        <f t="shared" si="611"/>
        <v>0000809401</v>
      </c>
      <c r="D1460" t="str">
        <f t="shared" si="589"/>
        <v>73185</v>
      </c>
      <c r="E1460" t="str">
        <f t="shared" si="590"/>
        <v>KFH-OPERATIONS DEPARTMENT</v>
      </c>
      <c r="F1460" t="str">
        <f t="shared" si="591"/>
        <v>IBG</v>
      </c>
      <c r="G1460" t="str">
        <f t="shared" si="604"/>
        <v>Refund COSHARE 10</v>
      </c>
      <c r="H1460" s="2">
        <v>672.35</v>
      </c>
      <c r="I1460" t="str">
        <f>"SUZARIZA BINTI KADIR"</f>
        <v>SUZARIZA BINTI KADIR</v>
      </c>
      <c r="J1460" t="str">
        <f t="shared" si="605"/>
        <v>MAYBANK / MAYBANK ISLAMIC</v>
      </c>
      <c r="K1460" t="str">
        <f>"162115062616"</f>
        <v>162115062616</v>
      </c>
      <c r="L1460" t="str">
        <f t="shared" si="608"/>
        <v>04-08-2020</v>
      </c>
      <c r="M1460" t="str">
        <f t="shared" si="608"/>
        <v>04-08-2020</v>
      </c>
      <c r="N1460" t="str">
        <f t="shared" si="592"/>
        <v>001105018356</v>
      </c>
      <c r="O1460" t="str">
        <f t="shared" si="593"/>
        <v>MYR</v>
      </c>
      <c r="P1460" t="str">
        <f t="shared" si="609"/>
        <v>NIL</v>
      </c>
      <c r="Q1460" t="str">
        <f t="shared" si="609"/>
        <v>NIL</v>
      </c>
      <c r="R1460" t="str">
        <f t="shared" si="594"/>
        <v>Accepted</v>
      </c>
      <c r="S1460" t="str">
        <f t="shared" si="595"/>
        <v>Approved</v>
      </c>
      <c r="T1460" t="str">
        <f t="shared" si="596"/>
        <v>10.20.8.188</v>
      </c>
      <c r="U1460" t="str">
        <f t="shared" si="597"/>
        <v>AZRAD UMAR BIN SHAARI</v>
      </c>
      <c r="V1460" t="str">
        <f t="shared" si="598"/>
        <v>FARHANA BINTI MUSTAPA</v>
      </c>
      <c r="W1460" t="str">
        <f t="shared" si="599"/>
        <v>04-08-2020</v>
      </c>
      <c r="X1460" t="str">
        <f t="shared" si="600"/>
        <v>RAZIMAH ANSAR AHMAD</v>
      </c>
      <c r="Y1460" t="str">
        <f t="shared" si="601"/>
        <v>04-08-2020</v>
      </c>
      <c r="Z1460" t="str">
        <f>"COS10200804 7694"</f>
        <v>COS10200804 7694</v>
      </c>
    </row>
    <row r="1461" spans="1:26" x14ac:dyDescent="0.25">
      <c r="A1461" t="str">
        <f t="shared" si="610"/>
        <v>04-08-2020 01:08:11</v>
      </c>
      <c r="B1461" t="str">
        <f>"0000809494"</f>
        <v>0000809494</v>
      </c>
      <c r="C1461" t="str">
        <f t="shared" si="611"/>
        <v>0000809401</v>
      </c>
      <c r="D1461" t="str">
        <f t="shared" si="589"/>
        <v>73185</v>
      </c>
      <c r="E1461" t="str">
        <f t="shared" si="590"/>
        <v>KFH-OPERATIONS DEPARTMENT</v>
      </c>
      <c r="F1461" t="str">
        <f t="shared" si="591"/>
        <v>IBG</v>
      </c>
      <c r="G1461" t="str">
        <f t="shared" si="604"/>
        <v>Refund COSHARE 10</v>
      </c>
      <c r="H1461" s="2">
        <v>1175.3</v>
      </c>
      <c r="I1461" t="str">
        <f>"SUZANTY BINTI RUTIMIN"</f>
        <v>SUZANTY BINTI RUTIMIN</v>
      </c>
      <c r="J1461" t="str">
        <f t="shared" si="605"/>
        <v>MAYBANK / MAYBANK ISLAMIC</v>
      </c>
      <c r="K1461" t="str">
        <f>"160269079040"</f>
        <v>160269079040</v>
      </c>
      <c r="L1461" t="str">
        <f t="shared" si="608"/>
        <v>04-08-2020</v>
      </c>
      <c r="M1461" t="str">
        <f t="shared" si="608"/>
        <v>04-08-2020</v>
      </c>
      <c r="N1461" t="str">
        <f t="shared" si="592"/>
        <v>001105018356</v>
      </c>
      <c r="O1461" t="str">
        <f t="shared" si="593"/>
        <v>MYR</v>
      </c>
      <c r="P1461" t="str">
        <f t="shared" si="609"/>
        <v>NIL</v>
      </c>
      <c r="Q1461" t="str">
        <f t="shared" si="609"/>
        <v>NIL</v>
      </c>
      <c r="R1461" t="str">
        <f t="shared" si="594"/>
        <v>Accepted</v>
      </c>
      <c r="S1461" t="str">
        <f t="shared" si="595"/>
        <v>Approved</v>
      </c>
      <c r="T1461" t="str">
        <f t="shared" si="596"/>
        <v>10.20.8.188</v>
      </c>
      <c r="U1461" t="str">
        <f t="shared" si="597"/>
        <v>AZRAD UMAR BIN SHAARI</v>
      </c>
      <c r="V1461" t="str">
        <f t="shared" si="598"/>
        <v>FARHANA BINTI MUSTAPA</v>
      </c>
      <c r="W1461" t="str">
        <f t="shared" si="599"/>
        <v>04-08-2020</v>
      </c>
      <c r="X1461" t="str">
        <f t="shared" si="600"/>
        <v>RAZIMAH ANSAR AHMAD</v>
      </c>
      <c r="Y1461" t="str">
        <f t="shared" si="601"/>
        <v>04-08-2020</v>
      </c>
      <c r="Z1461" t="str">
        <f>"COS10200804 7693"</f>
        <v>COS10200804 7693</v>
      </c>
    </row>
    <row r="1462" spans="1:26" x14ac:dyDescent="0.25">
      <c r="A1462" t="str">
        <f t="shared" si="610"/>
        <v>04-08-2020 01:08:11</v>
      </c>
      <c r="B1462" t="str">
        <f>"0000809493"</f>
        <v>0000809493</v>
      </c>
      <c r="C1462" t="str">
        <f t="shared" si="611"/>
        <v>0000809401</v>
      </c>
      <c r="D1462" t="str">
        <f t="shared" si="589"/>
        <v>73185</v>
      </c>
      <c r="E1462" t="str">
        <f t="shared" si="590"/>
        <v>KFH-OPERATIONS DEPARTMENT</v>
      </c>
      <c r="F1462" t="str">
        <f t="shared" si="591"/>
        <v>IBG</v>
      </c>
      <c r="G1462" t="str">
        <f t="shared" si="604"/>
        <v>Refund COSHARE 10</v>
      </c>
      <c r="H1462" s="2">
        <v>251.85</v>
      </c>
      <c r="I1462" t="str">
        <f>"SUZANNA BINTI OSMAN"</f>
        <v>SUZANNA BINTI OSMAN</v>
      </c>
      <c r="J1462" t="str">
        <f t="shared" si="605"/>
        <v>MAYBANK / MAYBANK ISLAMIC</v>
      </c>
      <c r="K1462" t="str">
        <f>"114263009116"</f>
        <v>114263009116</v>
      </c>
      <c r="L1462" t="str">
        <f t="shared" si="608"/>
        <v>04-08-2020</v>
      </c>
      <c r="M1462" t="str">
        <f t="shared" si="608"/>
        <v>04-08-2020</v>
      </c>
      <c r="N1462" t="str">
        <f t="shared" si="592"/>
        <v>001105018356</v>
      </c>
      <c r="O1462" t="str">
        <f t="shared" si="593"/>
        <v>MYR</v>
      </c>
      <c r="P1462" t="str">
        <f t="shared" si="609"/>
        <v>NIL</v>
      </c>
      <c r="Q1462" t="str">
        <f t="shared" si="609"/>
        <v>NIL</v>
      </c>
      <c r="R1462" t="str">
        <f t="shared" si="594"/>
        <v>Accepted</v>
      </c>
      <c r="S1462" t="str">
        <f t="shared" si="595"/>
        <v>Approved</v>
      </c>
      <c r="T1462" t="str">
        <f t="shared" si="596"/>
        <v>10.20.8.188</v>
      </c>
      <c r="U1462" t="str">
        <f t="shared" si="597"/>
        <v>AZRAD UMAR BIN SHAARI</v>
      </c>
      <c r="V1462" t="str">
        <f t="shared" si="598"/>
        <v>FARHANA BINTI MUSTAPA</v>
      </c>
      <c r="W1462" t="str">
        <f t="shared" si="599"/>
        <v>04-08-2020</v>
      </c>
      <c r="X1462" t="str">
        <f t="shared" si="600"/>
        <v>RAZIMAH ANSAR AHMAD</v>
      </c>
      <c r="Y1462" t="str">
        <f t="shared" si="601"/>
        <v>04-08-2020</v>
      </c>
      <c r="Z1462" t="str">
        <f>"COS10200804 7692"</f>
        <v>COS10200804 7692</v>
      </c>
    </row>
    <row r="1463" spans="1:26" x14ac:dyDescent="0.25">
      <c r="A1463" t="str">
        <f t="shared" si="610"/>
        <v>04-08-2020 01:08:11</v>
      </c>
      <c r="B1463" t="str">
        <f>"0000809492"</f>
        <v>0000809492</v>
      </c>
      <c r="C1463" t="str">
        <f t="shared" si="611"/>
        <v>0000809401</v>
      </c>
      <c r="D1463" t="str">
        <f t="shared" si="589"/>
        <v>73185</v>
      </c>
      <c r="E1463" t="str">
        <f t="shared" si="590"/>
        <v>KFH-OPERATIONS DEPARTMENT</v>
      </c>
      <c r="F1463" t="str">
        <f t="shared" si="591"/>
        <v>IBG</v>
      </c>
      <c r="G1463" t="str">
        <f t="shared" si="604"/>
        <v>Refund COSHARE 10</v>
      </c>
      <c r="H1463" s="2">
        <v>503.7</v>
      </c>
      <c r="I1463" t="str">
        <f>"SUZANAWATI BINTI ISHARK"</f>
        <v>SUZANAWATI BINTI ISHARK</v>
      </c>
      <c r="J1463" t="str">
        <f t="shared" si="605"/>
        <v>MAYBANK / MAYBANK ISLAMIC</v>
      </c>
      <c r="K1463" t="str">
        <f>"112103127573"</f>
        <v>112103127573</v>
      </c>
      <c r="L1463" t="str">
        <f t="shared" si="608"/>
        <v>04-08-2020</v>
      </c>
      <c r="M1463" t="str">
        <f t="shared" si="608"/>
        <v>04-08-2020</v>
      </c>
      <c r="N1463" t="str">
        <f t="shared" si="592"/>
        <v>001105018356</v>
      </c>
      <c r="O1463" t="str">
        <f t="shared" si="593"/>
        <v>MYR</v>
      </c>
      <c r="P1463" t="str">
        <f t="shared" si="609"/>
        <v>NIL</v>
      </c>
      <c r="Q1463" t="str">
        <f t="shared" si="609"/>
        <v>NIL</v>
      </c>
      <c r="R1463" t="str">
        <f t="shared" si="594"/>
        <v>Accepted</v>
      </c>
      <c r="S1463" t="str">
        <f t="shared" si="595"/>
        <v>Approved</v>
      </c>
      <c r="T1463" t="str">
        <f t="shared" si="596"/>
        <v>10.20.8.188</v>
      </c>
      <c r="U1463" t="str">
        <f t="shared" si="597"/>
        <v>AZRAD UMAR BIN SHAARI</v>
      </c>
      <c r="V1463" t="str">
        <f t="shared" si="598"/>
        <v>FARHANA BINTI MUSTAPA</v>
      </c>
      <c r="W1463" t="str">
        <f t="shared" si="599"/>
        <v>04-08-2020</v>
      </c>
      <c r="X1463" t="str">
        <f t="shared" si="600"/>
        <v>RAZIMAH ANSAR AHMAD</v>
      </c>
      <c r="Y1463" t="str">
        <f t="shared" si="601"/>
        <v>04-08-2020</v>
      </c>
      <c r="Z1463" t="str">
        <f>"COS10200804 7691"</f>
        <v>COS10200804 7691</v>
      </c>
    </row>
    <row r="1464" spans="1:26" x14ac:dyDescent="0.25">
      <c r="A1464" t="str">
        <f t="shared" si="610"/>
        <v>04-08-2020 01:08:11</v>
      </c>
      <c r="B1464" t="str">
        <f>"0000809491"</f>
        <v>0000809491</v>
      </c>
      <c r="C1464" t="str">
        <f t="shared" si="611"/>
        <v>0000809401</v>
      </c>
      <c r="D1464" t="str">
        <f t="shared" si="589"/>
        <v>73185</v>
      </c>
      <c r="E1464" t="str">
        <f t="shared" si="590"/>
        <v>KFH-OPERATIONS DEPARTMENT</v>
      </c>
      <c r="F1464" t="str">
        <f t="shared" si="591"/>
        <v>IBG</v>
      </c>
      <c r="G1464" t="str">
        <f t="shared" si="604"/>
        <v>Refund COSHARE 10</v>
      </c>
      <c r="H1464" s="2">
        <v>294</v>
      </c>
      <c r="I1464" t="str">
        <f>"SUZANALELAWATTY BINTI MALEB"</f>
        <v>SUZANALELAWATTY BINTI MALEB</v>
      </c>
      <c r="J1464" t="str">
        <f t="shared" si="605"/>
        <v>MAYBANK / MAYBANK ISLAMIC</v>
      </c>
      <c r="K1464" t="str">
        <f>"112193043503"</f>
        <v>112193043503</v>
      </c>
      <c r="L1464" t="str">
        <f t="shared" si="608"/>
        <v>04-08-2020</v>
      </c>
      <c r="M1464" t="str">
        <f t="shared" si="608"/>
        <v>04-08-2020</v>
      </c>
      <c r="N1464" t="str">
        <f t="shared" si="592"/>
        <v>001105018356</v>
      </c>
      <c r="O1464" t="str">
        <f t="shared" si="593"/>
        <v>MYR</v>
      </c>
      <c r="P1464" t="str">
        <f t="shared" si="609"/>
        <v>NIL</v>
      </c>
      <c r="Q1464" t="str">
        <f t="shared" si="609"/>
        <v>NIL</v>
      </c>
      <c r="R1464" t="str">
        <f t="shared" si="594"/>
        <v>Accepted</v>
      </c>
      <c r="S1464" t="str">
        <f t="shared" si="595"/>
        <v>Approved</v>
      </c>
      <c r="T1464" t="str">
        <f t="shared" si="596"/>
        <v>10.20.8.188</v>
      </c>
      <c r="U1464" t="str">
        <f t="shared" si="597"/>
        <v>AZRAD UMAR BIN SHAARI</v>
      </c>
      <c r="V1464" t="str">
        <f t="shared" si="598"/>
        <v>FARHANA BINTI MUSTAPA</v>
      </c>
      <c r="W1464" t="str">
        <f t="shared" si="599"/>
        <v>04-08-2020</v>
      </c>
      <c r="X1464" t="str">
        <f t="shared" si="600"/>
        <v>RAZIMAH ANSAR AHMAD</v>
      </c>
      <c r="Y1464" t="str">
        <f t="shared" si="601"/>
        <v>04-08-2020</v>
      </c>
      <c r="Z1464" t="str">
        <f>"COS10200804 7690"</f>
        <v>COS10200804 7690</v>
      </c>
    </row>
    <row r="1465" spans="1:26" x14ac:dyDescent="0.25">
      <c r="A1465" t="str">
        <f t="shared" si="610"/>
        <v>04-08-2020 01:08:11</v>
      </c>
      <c r="B1465" t="str">
        <f>"0000809490"</f>
        <v>0000809490</v>
      </c>
      <c r="C1465" t="str">
        <f t="shared" si="611"/>
        <v>0000809401</v>
      </c>
      <c r="D1465" t="str">
        <f t="shared" si="589"/>
        <v>73185</v>
      </c>
      <c r="E1465" t="str">
        <f t="shared" si="590"/>
        <v>KFH-OPERATIONS DEPARTMENT</v>
      </c>
      <c r="F1465" t="str">
        <f t="shared" si="591"/>
        <v>IBG</v>
      </c>
      <c r="G1465" t="str">
        <f t="shared" si="604"/>
        <v>Refund COSHARE 10</v>
      </c>
      <c r="H1465" s="2">
        <v>567.95000000000005</v>
      </c>
      <c r="I1465" t="str">
        <f>"SUZANAH BINTI ZAINOT DIN  ZAINUDDIN"</f>
        <v>SUZANAH BINTI ZAINOT DIN  ZAINUDDIN</v>
      </c>
      <c r="J1465" t="str">
        <f t="shared" si="605"/>
        <v>MAYBANK / MAYBANK ISLAMIC</v>
      </c>
      <c r="K1465" t="str">
        <f>"162786032348"</f>
        <v>162786032348</v>
      </c>
      <c r="L1465" t="str">
        <f t="shared" si="608"/>
        <v>04-08-2020</v>
      </c>
      <c r="M1465" t="str">
        <f t="shared" si="608"/>
        <v>04-08-2020</v>
      </c>
      <c r="N1465" t="str">
        <f t="shared" si="592"/>
        <v>001105018356</v>
      </c>
      <c r="O1465" t="str">
        <f t="shared" si="593"/>
        <v>MYR</v>
      </c>
      <c r="P1465" t="str">
        <f t="shared" si="609"/>
        <v>NIL</v>
      </c>
      <c r="Q1465" t="str">
        <f t="shared" si="609"/>
        <v>NIL</v>
      </c>
      <c r="R1465" t="str">
        <f t="shared" si="594"/>
        <v>Accepted</v>
      </c>
      <c r="S1465" t="str">
        <f t="shared" si="595"/>
        <v>Approved</v>
      </c>
      <c r="T1465" t="str">
        <f t="shared" si="596"/>
        <v>10.20.8.188</v>
      </c>
      <c r="U1465" t="str">
        <f t="shared" si="597"/>
        <v>AZRAD UMAR BIN SHAARI</v>
      </c>
      <c r="V1465" t="str">
        <f t="shared" si="598"/>
        <v>FARHANA BINTI MUSTAPA</v>
      </c>
      <c r="W1465" t="str">
        <f t="shared" si="599"/>
        <v>04-08-2020</v>
      </c>
      <c r="X1465" t="str">
        <f t="shared" si="600"/>
        <v>RAZIMAH ANSAR AHMAD</v>
      </c>
      <c r="Y1465" t="str">
        <f t="shared" si="601"/>
        <v>04-08-2020</v>
      </c>
      <c r="Z1465" t="str">
        <f>"COS10200804 7689"</f>
        <v>COS10200804 7689</v>
      </c>
    </row>
    <row r="1466" spans="1:26" x14ac:dyDescent="0.25">
      <c r="A1466" t="str">
        <f t="shared" si="610"/>
        <v>04-08-2020 01:08:11</v>
      </c>
      <c r="B1466" t="str">
        <f>"0000809489"</f>
        <v>0000809489</v>
      </c>
      <c r="C1466" t="str">
        <f t="shared" si="611"/>
        <v>0000809401</v>
      </c>
      <c r="D1466" t="str">
        <f t="shared" si="589"/>
        <v>73185</v>
      </c>
      <c r="E1466" t="str">
        <f t="shared" si="590"/>
        <v>KFH-OPERATIONS DEPARTMENT</v>
      </c>
      <c r="F1466" t="str">
        <f t="shared" si="591"/>
        <v>IBG</v>
      </c>
      <c r="G1466" t="str">
        <f t="shared" si="604"/>
        <v>Refund COSHARE 10</v>
      </c>
      <c r="H1466" s="2">
        <v>839.5</v>
      </c>
      <c r="I1466" t="str">
        <f>"SUZANA BT ABU BAKAR"</f>
        <v>SUZANA BT ABU BAKAR</v>
      </c>
      <c r="J1466" t="str">
        <f t="shared" si="605"/>
        <v>MAYBANK / MAYBANK ISLAMIC</v>
      </c>
      <c r="K1466" t="str">
        <f>"105038002196"</f>
        <v>105038002196</v>
      </c>
      <c r="L1466" t="str">
        <f t="shared" si="608"/>
        <v>04-08-2020</v>
      </c>
      <c r="M1466" t="str">
        <f t="shared" si="608"/>
        <v>04-08-2020</v>
      </c>
      <c r="N1466" t="str">
        <f t="shared" si="592"/>
        <v>001105018356</v>
      </c>
      <c r="O1466" t="str">
        <f t="shared" si="593"/>
        <v>MYR</v>
      </c>
      <c r="P1466" t="str">
        <f t="shared" si="609"/>
        <v>NIL</v>
      </c>
      <c r="Q1466" t="str">
        <f t="shared" si="609"/>
        <v>NIL</v>
      </c>
      <c r="R1466" t="str">
        <f t="shared" si="594"/>
        <v>Accepted</v>
      </c>
      <c r="S1466" t="str">
        <f t="shared" si="595"/>
        <v>Approved</v>
      </c>
      <c r="T1466" t="str">
        <f t="shared" si="596"/>
        <v>10.20.8.188</v>
      </c>
      <c r="U1466" t="str">
        <f t="shared" si="597"/>
        <v>AZRAD UMAR BIN SHAARI</v>
      </c>
      <c r="V1466" t="str">
        <f t="shared" si="598"/>
        <v>FARHANA BINTI MUSTAPA</v>
      </c>
      <c r="W1466" t="str">
        <f t="shared" si="599"/>
        <v>04-08-2020</v>
      </c>
      <c r="X1466" t="str">
        <f t="shared" si="600"/>
        <v>RAZIMAH ANSAR AHMAD</v>
      </c>
      <c r="Y1466" t="str">
        <f t="shared" si="601"/>
        <v>04-08-2020</v>
      </c>
      <c r="Z1466" t="str">
        <f>"COS10200804 7688"</f>
        <v>COS10200804 7688</v>
      </c>
    </row>
    <row r="1467" spans="1:26" x14ac:dyDescent="0.25">
      <c r="A1467" t="str">
        <f t="shared" si="610"/>
        <v>04-08-2020 01:08:11</v>
      </c>
      <c r="B1467" t="str">
        <f>"0000809488"</f>
        <v>0000809488</v>
      </c>
      <c r="C1467" t="str">
        <f t="shared" si="611"/>
        <v>0000809401</v>
      </c>
      <c r="D1467" t="str">
        <f t="shared" si="589"/>
        <v>73185</v>
      </c>
      <c r="E1467" t="str">
        <f t="shared" si="590"/>
        <v>KFH-OPERATIONS DEPARTMENT</v>
      </c>
      <c r="F1467" t="str">
        <f t="shared" si="591"/>
        <v>IBG</v>
      </c>
      <c r="G1467" t="str">
        <f t="shared" si="604"/>
        <v>Refund COSHARE 10</v>
      </c>
      <c r="H1467" s="2">
        <v>931.85</v>
      </c>
      <c r="I1467" t="str">
        <f>"SUZANA BINTI SALLEH"</f>
        <v>SUZANA BINTI SALLEH</v>
      </c>
      <c r="J1467" t="str">
        <f t="shared" si="605"/>
        <v>MAYBANK / MAYBANK ISLAMIC</v>
      </c>
      <c r="K1467" t="str">
        <f>"164810146075"</f>
        <v>164810146075</v>
      </c>
      <c r="L1467" t="str">
        <f t="shared" ref="L1467:M1486" si="612">"04-08-2020"</f>
        <v>04-08-2020</v>
      </c>
      <c r="M1467" t="str">
        <f t="shared" si="612"/>
        <v>04-08-2020</v>
      </c>
      <c r="N1467" t="str">
        <f t="shared" si="592"/>
        <v>001105018356</v>
      </c>
      <c r="O1467" t="str">
        <f t="shared" si="593"/>
        <v>MYR</v>
      </c>
      <c r="P1467" t="str">
        <f t="shared" ref="P1467:Q1486" si="613">"NIL"</f>
        <v>NIL</v>
      </c>
      <c r="Q1467" t="str">
        <f t="shared" si="613"/>
        <v>NIL</v>
      </c>
      <c r="R1467" t="str">
        <f t="shared" si="594"/>
        <v>Accepted</v>
      </c>
      <c r="S1467" t="str">
        <f t="shared" si="595"/>
        <v>Approved</v>
      </c>
      <c r="T1467" t="str">
        <f t="shared" si="596"/>
        <v>10.20.8.188</v>
      </c>
      <c r="U1467" t="str">
        <f t="shared" si="597"/>
        <v>AZRAD UMAR BIN SHAARI</v>
      </c>
      <c r="V1467" t="str">
        <f t="shared" si="598"/>
        <v>FARHANA BINTI MUSTAPA</v>
      </c>
      <c r="W1467" t="str">
        <f t="shared" si="599"/>
        <v>04-08-2020</v>
      </c>
      <c r="X1467" t="str">
        <f t="shared" si="600"/>
        <v>RAZIMAH ANSAR AHMAD</v>
      </c>
      <c r="Y1467" t="str">
        <f t="shared" si="601"/>
        <v>04-08-2020</v>
      </c>
      <c r="Z1467" t="str">
        <f>"COS10200804 7687"</f>
        <v>COS10200804 7687</v>
      </c>
    </row>
    <row r="1468" spans="1:26" x14ac:dyDescent="0.25">
      <c r="A1468" t="str">
        <f t="shared" si="610"/>
        <v>04-08-2020 01:08:11</v>
      </c>
      <c r="B1468" t="str">
        <f>"0000809487"</f>
        <v>0000809487</v>
      </c>
      <c r="C1468" t="str">
        <f t="shared" si="611"/>
        <v>0000809401</v>
      </c>
      <c r="D1468" t="str">
        <f t="shared" si="589"/>
        <v>73185</v>
      </c>
      <c r="E1468" t="str">
        <f t="shared" si="590"/>
        <v>KFH-OPERATIONS DEPARTMENT</v>
      </c>
      <c r="F1468" t="str">
        <f t="shared" si="591"/>
        <v>IBG</v>
      </c>
      <c r="G1468" t="str">
        <f t="shared" si="604"/>
        <v>Refund COSHARE 10</v>
      </c>
      <c r="H1468" s="2">
        <v>629.65</v>
      </c>
      <c r="I1468" t="str">
        <f>"SUZANA BINTI SALEH"</f>
        <v>SUZANA BINTI SALEH</v>
      </c>
      <c r="J1468" t="str">
        <f t="shared" si="605"/>
        <v>MAYBANK / MAYBANK ISLAMIC</v>
      </c>
      <c r="K1468" t="str">
        <f>"162218443236"</f>
        <v>162218443236</v>
      </c>
      <c r="L1468" t="str">
        <f t="shared" si="612"/>
        <v>04-08-2020</v>
      </c>
      <c r="M1468" t="str">
        <f t="shared" si="612"/>
        <v>04-08-2020</v>
      </c>
      <c r="N1468" t="str">
        <f t="shared" si="592"/>
        <v>001105018356</v>
      </c>
      <c r="O1468" t="str">
        <f t="shared" si="593"/>
        <v>MYR</v>
      </c>
      <c r="P1468" t="str">
        <f t="shared" si="613"/>
        <v>NIL</v>
      </c>
      <c r="Q1468" t="str">
        <f t="shared" si="613"/>
        <v>NIL</v>
      </c>
      <c r="R1468" t="str">
        <f t="shared" si="594"/>
        <v>Accepted</v>
      </c>
      <c r="S1468" t="str">
        <f t="shared" si="595"/>
        <v>Approved</v>
      </c>
      <c r="T1468" t="str">
        <f t="shared" si="596"/>
        <v>10.20.8.188</v>
      </c>
      <c r="U1468" t="str">
        <f t="shared" si="597"/>
        <v>AZRAD UMAR BIN SHAARI</v>
      </c>
      <c r="V1468" t="str">
        <f t="shared" si="598"/>
        <v>FARHANA BINTI MUSTAPA</v>
      </c>
      <c r="W1468" t="str">
        <f t="shared" si="599"/>
        <v>04-08-2020</v>
      </c>
      <c r="X1468" t="str">
        <f t="shared" si="600"/>
        <v>RAZIMAH ANSAR AHMAD</v>
      </c>
      <c r="Y1468" t="str">
        <f t="shared" si="601"/>
        <v>04-08-2020</v>
      </c>
      <c r="Z1468" t="str">
        <f>"COS10200804 7686"</f>
        <v>COS10200804 7686</v>
      </c>
    </row>
    <row r="1469" spans="1:26" x14ac:dyDescent="0.25">
      <c r="A1469" t="str">
        <f t="shared" si="610"/>
        <v>04-08-2020 01:08:11</v>
      </c>
      <c r="B1469" t="str">
        <f>"0000809486"</f>
        <v>0000809486</v>
      </c>
      <c r="C1469" t="str">
        <f t="shared" si="611"/>
        <v>0000809401</v>
      </c>
      <c r="D1469" t="str">
        <f t="shared" si="589"/>
        <v>73185</v>
      </c>
      <c r="E1469" t="str">
        <f t="shared" si="590"/>
        <v>KFH-OPERATIONS DEPARTMENT</v>
      </c>
      <c r="F1469" t="str">
        <f t="shared" si="591"/>
        <v>IBG</v>
      </c>
      <c r="G1469" t="str">
        <f t="shared" si="604"/>
        <v>Refund COSHARE 10</v>
      </c>
      <c r="H1469" s="2">
        <v>635.20000000000005</v>
      </c>
      <c r="I1469" t="str">
        <f>"SUZANA BINTI MDSIRAT"</f>
        <v>SUZANA BINTI MDSIRAT</v>
      </c>
      <c r="J1469" t="str">
        <f t="shared" si="605"/>
        <v>MAYBANK / MAYBANK ISLAMIC</v>
      </c>
      <c r="K1469" t="str">
        <f>"107078018118"</f>
        <v>107078018118</v>
      </c>
      <c r="L1469" t="str">
        <f t="shared" si="612"/>
        <v>04-08-2020</v>
      </c>
      <c r="M1469" t="str">
        <f t="shared" si="612"/>
        <v>04-08-2020</v>
      </c>
      <c r="N1469" t="str">
        <f t="shared" si="592"/>
        <v>001105018356</v>
      </c>
      <c r="O1469" t="str">
        <f t="shared" si="593"/>
        <v>MYR</v>
      </c>
      <c r="P1469" t="str">
        <f t="shared" si="613"/>
        <v>NIL</v>
      </c>
      <c r="Q1469" t="str">
        <f t="shared" si="613"/>
        <v>NIL</v>
      </c>
      <c r="R1469" t="str">
        <f t="shared" si="594"/>
        <v>Accepted</v>
      </c>
      <c r="S1469" t="str">
        <f t="shared" si="595"/>
        <v>Approved</v>
      </c>
      <c r="T1469" t="str">
        <f t="shared" si="596"/>
        <v>10.20.8.188</v>
      </c>
      <c r="U1469" t="str">
        <f t="shared" si="597"/>
        <v>AZRAD UMAR BIN SHAARI</v>
      </c>
      <c r="V1469" t="str">
        <f t="shared" si="598"/>
        <v>FARHANA BINTI MUSTAPA</v>
      </c>
      <c r="W1469" t="str">
        <f t="shared" si="599"/>
        <v>04-08-2020</v>
      </c>
      <c r="X1469" t="str">
        <f t="shared" si="600"/>
        <v>RAZIMAH ANSAR AHMAD</v>
      </c>
      <c r="Y1469" t="str">
        <f t="shared" si="601"/>
        <v>04-08-2020</v>
      </c>
      <c r="Z1469" t="str">
        <f>"COS10200804 7685"</f>
        <v>COS10200804 7685</v>
      </c>
    </row>
    <row r="1470" spans="1:26" x14ac:dyDescent="0.25">
      <c r="A1470" t="str">
        <f t="shared" si="610"/>
        <v>04-08-2020 01:08:11</v>
      </c>
      <c r="B1470" t="str">
        <f>"0000809485"</f>
        <v>0000809485</v>
      </c>
      <c r="C1470" t="str">
        <f t="shared" si="611"/>
        <v>0000809401</v>
      </c>
      <c r="D1470" t="str">
        <f t="shared" si="589"/>
        <v>73185</v>
      </c>
      <c r="E1470" t="str">
        <f t="shared" si="590"/>
        <v>KFH-OPERATIONS DEPARTMENT</v>
      </c>
      <c r="F1470" t="str">
        <f t="shared" si="591"/>
        <v>IBG</v>
      </c>
      <c r="G1470" t="str">
        <f t="shared" si="604"/>
        <v>Refund COSHARE 10</v>
      </c>
      <c r="H1470" s="2">
        <v>1264.7</v>
      </c>
      <c r="I1470" t="str">
        <f>"SUZANA BINTI MD NOR"</f>
        <v>SUZANA BINTI MD NOR</v>
      </c>
      <c r="J1470" t="str">
        <f t="shared" si="605"/>
        <v>MAYBANK / MAYBANK ISLAMIC</v>
      </c>
      <c r="K1470" t="str">
        <f>"156066091926"</f>
        <v>156066091926</v>
      </c>
      <c r="L1470" t="str">
        <f t="shared" si="612"/>
        <v>04-08-2020</v>
      </c>
      <c r="M1470" t="str">
        <f t="shared" si="612"/>
        <v>04-08-2020</v>
      </c>
      <c r="N1470" t="str">
        <f t="shared" si="592"/>
        <v>001105018356</v>
      </c>
      <c r="O1470" t="str">
        <f t="shared" si="593"/>
        <v>MYR</v>
      </c>
      <c r="P1470" t="str">
        <f t="shared" si="613"/>
        <v>NIL</v>
      </c>
      <c r="Q1470" t="str">
        <f t="shared" si="613"/>
        <v>NIL</v>
      </c>
      <c r="R1470" t="str">
        <f t="shared" si="594"/>
        <v>Accepted</v>
      </c>
      <c r="S1470" t="str">
        <f t="shared" si="595"/>
        <v>Approved</v>
      </c>
      <c r="T1470" t="str">
        <f t="shared" si="596"/>
        <v>10.20.8.188</v>
      </c>
      <c r="U1470" t="str">
        <f t="shared" si="597"/>
        <v>AZRAD UMAR BIN SHAARI</v>
      </c>
      <c r="V1470" t="str">
        <f t="shared" si="598"/>
        <v>FARHANA BINTI MUSTAPA</v>
      </c>
      <c r="W1470" t="str">
        <f t="shared" si="599"/>
        <v>04-08-2020</v>
      </c>
      <c r="X1470" t="str">
        <f t="shared" si="600"/>
        <v>RAZIMAH ANSAR AHMAD</v>
      </c>
      <c r="Y1470" t="str">
        <f t="shared" si="601"/>
        <v>04-08-2020</v>
      </c>
      <c r="Z1470" t="str">
        <f>"COS10200804 7684"</f>
        <v>COS10200804 7684</v>
      </c>
    </row>
    <row r="1471" spans="1:26" x14ac:dyDescent="0.25">
      <c r="A1471" t="str">
        <f t="shared" si="610"/>
        <v>04-08-2020 01:08:11</v>
      </c>
      <c r="B1471" t="str">
        <f>"0000809484"</f>
        <v>0000809484</v>
      </c>
      <c r="C1471" t="str">
        <f t="shared" si="611"/>
        <v>0000809401</v>
      </c>
      <c r="D1471" t="str">
        <f t="shared" si="589"/>
        <v>73185</v>
      </c>
      <c r="E1471" t="str">
        <f t="shared" si="590"/>
        <v>KFH-OPERATIONS DEPARTMENT</v>
      </c>
      <c r="F1471" t="str">
        <f t="shared" si="591"/>
        <v>IBG</v>
      </c>
      <c r="G1471" t="str">
        <f t="shared" si="604"/>
        <v>Refund COSHARE 10</v>
      </c>
      <c r="H1471" s="2">
        <v>327</v>
      </c>
      <c r="I1471" t="str">
        <f>"SUZANA BINTI JEMILAH"</f>
        <v>SUZANA BINTI JEMILAH</v>
      </c>
      <c r="J1471" t="str">
        <f t="shared" si="605"/>
        <v>MAYBANK / MAYBANK ISLAMIC</v>
      </c>
      <c r="K1471" t="str">
        <f>"162263019997"</f>
        <v>162263019997</v>
      </c>
      <c r="L1471" t="str">
        <f t="shared" si="612"/>
        <v>04-08-2020</v>
      </c>
      <c r="M1471" t="str">
        <f t="shared" si="612"/>
        <v>04-08-2020</v>
      </c>
      <c r="N1471" t="str">
        <f t="shared" si="592"/>
        <v>001105018356</v>
      </c>
      <c r="O1471" t="str">
        <f t="shared" si="593"/>
        <v>MYR</v>
      </c>
      <c r="P1471" t="str">
        <f t="shared" si="613"/>
        <v>NIL</v>
      </c>
      <c r="Q1471" t="str">
        <f t="shared" si="613"/>
        <v>NIL</v>
      </c>
      <c r="R1471" t="str">
        <f t="shared" si="594"/>
        <v>Accepted</v>
      </c>
      <c r="S1471" t="str">
        <f t="shared" si="595"/>
        <v>Approved</v>
      </c>
      <c r="T1471" t="str">
        <f t="shared" si="596"/>
        <v>10.20.8.188</v>
      </c>
      <c r="U1471" t="str">
        <f t="shared" si="597"/>
        <v>AZRAD UMAR BIN SHAARI</v>
      </c>
      <c r="V1471" t="str">
        <f t="shared" si="598"/>
        <v>FARHANA BINTI MUSTAPA</v>
      </c>
      <c r="W1471" t="str">
        <f t="shared" si="599"/>
        <v>04-08-2020</v>
      </c>
      <c r="X1471" t="str">
        <f t="shared" si="600"/>
        <v>RAZIMAH ANSAR AHMAD</v>
      </c>
      <c r="Y1471" t="str">
        <f t="shared" si="601"/>
        <v>04-08-2020</v>
      </c>
      <c r="Z1471" t="str">
        <f>"COS10200804 7683"</f>
        <v>COS10200804 7683</v>
      </c>
    </row>
    <row r="1472" spans="1:26" x14ac:dyDescent="0.25">
      <c r="A1472" t="str">
        <f t="shared" si="610"/>
        <v>04-08-2020 01:08:11</v>
      </c>
      <c r="B1472" t="str">
        <f>"0000809483"</f>
        <v>0000809483</v>
      </c>
      <c r="C1472" t="str">
        <f t="shared" si="611"/>
        <v>0000809401</v>
      </c>
      <c r="D1472" t="str">
        <f t="shared" si="589"/>
        <v>73185</v>
      </c>
      <c r="E1472" t="str">
        <f t="shared" si="590"/>
        <v>KFH-OPERATIONS DEPARTMENT</v>
      </c>
      <c r="F1472" t="str">
        <f t="shared" si="591"/>
        <v>IBG</v>
      </c>
      <c r="G1472" t="str">
        <f t="shared" si="604"/>
        <v>Refund COSHARE 10</v>
      </c>
      <c r="H1472" s="2">
        <v>380</v>
      </c>
      <c r="I1472" t="str">
        <f>"SUZANA BINTI ABU BAKAR"</f>
        <v>SUZANA BINTI ABU BAKAR</v>
      </c>
      <c r="J1472" t="str">
        <f t="shared" si="605"/>
        <v>MAYBANK / MAYBANK ISLAMIC</v>
      </c>
      <c r="K1472" t="str">
        <f>"114262334054"</f>
        <v>114262334054</v>
      </c>
      <c r="L1472" t="str">
        <f t="shared" si="612"/>
        <v>04-08-2020</v>
      </c>
      <c r="M1472" t="str">
        <f t="shared" si="612"/>
        <v>04-08-2020</v>
      </c>
      <c r="N1472" t="str">
        <f t="shared" si="592"/>
        <v>001105018356</v>
      </c>
      <c r="O1472" t="str">
        <f t="shared" si="593"/>
        <v>MYR</v>
      </c>
      <c r="P1472" t="str">
        <f t="shared" si="613"/>
        <v>NIL</v>
      </c>
      <c r="Q1472" t="str">
        <f t="shared" si="613"/>
        <v>NIL</v>
      </c>
      <c r="R1472" t="str">
        <f t="shared" si="594"/>
        <v>Accepted</v>
      </c>
      <c r="S1472" t="str">
        <f t="shared" si="595"/>
        <v>Approved</v>
      </c>
      <c r="T1472" t="str">
        <f t="shared" si="596"/>
        <v>10.20.8.188</v>
      </c>
      <c r="U1472" t="str">
        <f t="shared" si="597"/>
        <v>AZRAD UMAR BIN SHAARI</v>
      </c>
      <c r="V1472" t="str">
        <f t="shared" si="598"/>
        <v>FARHANA BINTI MUSTAPA</v>
      </c>
      <c r="W1472" t="str">
        <f t="shared" si="599"/>
        <v>04-08-2020</v>
      </c>
      <c r="X1472" t="str">
        <f t="shared" si="600"/>
        <v>RAZIMAH ANSAR AHMAD</v>
      </c>
      <c r="Y1472" t="str">
        <f t="shared" si="601"/>
        <v>04-08-2020</v>
      </c>
      <c r="Z1472" t="str">
        <f>"COS10200804 7682"</f>
        <v>COS10200804 7682</v>
      </c>
    </row>
    <row r="1473" spans="1:26" x14ac:dyDescent="0.25">
      <c r="A1473" t="str">
        <f t="shared" si="610"/>
        <v>04-08-2020 01:08:11</v>
      </c>
      <c r="B1473" t="str">
        <f>"0000809482"</f>
        <v>0000809482</v>
      </c>
      <c r="C1473" t="str">
        <f t="shared" si="611"/>
        <v>0000809401</v>
      </c>
      <c r="D1473" t="str">
        <f t="shared" si="589"/>
        <v>73185</v>
      </c>
      <c r="E1473" t="str">
        <f t="shared" si="590"/>
        <v>KFH-OPERATIONS DEPARTMENT</v>
      </c>
      <c r="F1473" t="str">
        <f t="shared" si="591"/>
        <v>IBG</v>
      </c>
      <c r="G1473" t="str">
        <f t="shared" si="604"/>
        <v>Refund COSHARE 10</v>
      </c>
      <c r="H1473" s="2">
        <v>976</v>
      </c>
      <c r="I1473" t="str">
        <f>"SUZAINI BIN ZAINOL"</f>
        <v>SUZAINI BIN ZAINOL</v>
      </c>
      <c r="J1473" t="str">
        <f t="shared" si="605"/>
        <v>MAYBANK / MAYBANK ISLAMIC</v>
      </c>
      <c r="K1473" t="str">
        <f>"106138014056"</f>
        <v>106138014056</v>
      </c>
      <c r="L1473" t="str">
        <f t="shared" si="612"/>
        <v>04-08-2020</v>
      </c>
      <c r="M1473" t="str">
        <f t="shared" si="612"/>
        <v>04-08-2020</v>
      </c>
      <c r="N1473" t="str">
        <f t="shared" si="592"/>
        <v>001105018356</v>
      </c>
      <c r="O1473" t="str">
        <f t="shared" si="593"/>
        <v>MYR</v>
      </c>
      <c r="P1473" t="str">
        <f t="shared" si="613"/>
        <v>NIL</v>
      </c>
      <c r="Q1473" t="str">
        <f t="shared" si="613"/>
        <v>NIL</v>
      </c>
      <c r="R1473" t="str">
        <f t="shared" si="594"/>
        <v>Accepted</v>
      </c>
      <c r="S1473" t="str">
        <f t="shared" si="595"/>
        <v>Approved</v>
      </c>
      <c r="T1473" t="str">
        <f t="shared" si="596"/>
        <v>10.20.8.188</v>
      </c>
      <c r="U1473" t="str">
        <f t="shared" si="597"/>
        <v>AZRAD UMAR BIN SHAARI</v>
      </c>
      <c r="V1473" t="str">
        <f t="shared" si="598"/>
        <v>FARHANA BINTI MUSTAPA</v>
      </c>
      <c r="W1473" t="str">
        <f t="shared" si="599"/>
        <v>04-08-2020</v>
      </c>
      <c r="X1473" t="str">
        <f t="shared" si="600"/>
        <v>RAZIMAH ANSAR AHMAD</v>
      </c>
      <c r="Y1473" t="str">
        <f t="shared" si="601"/>
        <v>04-08-2020</v>
      </c>
      <c r="Z1473" t="str">
        <f>"COS10200804 7681"</f>
        <v>COS10200804 7681</v>
      </c>
    </row>
    <row r="1474" spans="1:26" x14ac:dyDescent="0.25">
      <c r="A1474" t="str">
        <f t="shared" si="610"/>
        <v>04-08-2020 01:08:11</v>
      </c>
      <c r="B1474" t="str">
        <f>"0000809481"</f>
        <v>0000809481</v>
      </c>
      <c r="C1474" t="str">
        <f t="shared" si="611"/>
        <v>0000809401</v>
      </c>
      <c r="D1474" t="str">
        <f t="shared" si="589"/>
        <v>73185</v>
      </c>
      <c r="E1474" t="str">
        <f t="shared" si="590"/>
        <v>KFH-OPERATIONS DEPARTMENT</v>
      </c>
      <c r="F1474" t="str">
        <f t="shared" si="591"/>
        <v>IBG</v>
      </c>
      <c r="G1474" t="str">
        <f t="shared" si="604"/>
        <v>Refund COSHARE 10</v>
      </c>
      <c r="H1474" s="2">
        <v>100.75</v>
      </c>
      <c r="I1474" t="str">
        <f>"SUWIRIANEH BINTI SAPRAN"</f>
        <v>SUWIRIANEH BINTI SAPRAN</v>
      </c>
      <c r="J1474" t="str">
        <f t="shared" si="605"/>
        <v>MAYBANK / MAYBANK ISLAMIC</v>
      </c>
      <c r="K1474" t="str">
        <f>"160063267572"</f>
        <v>160063267572</v>
      </c>
      <c r="L1474" t="str">
        <f t="shared" si="612"/>
        <v>04-08-2020</v>
      </c>
      <c r="M1474" t="str">
        <f t="shared" si="612"/>
        <v>04-08-2020</v>
      </c>
      <c r="N1474" t="str">
        <f t="shared" si="592"/>
        <v>001105018356</v>
      </c>
      <c r="O1474" t="str">
        <f t="shared" si="593"/>
        <v>MYR</v>
      </c>
      <c r="P1474" t="str">
        <f t="shared" si="613"/>
        <v>NIL</v>
      </c>
      <c r="Q1474" t="str">
        <f t="shared" si="613"/>
        <v>NIL</v>
      </c>
      <c r="R1474" t="str">
        <f t="shared" si="594"/>
        <v>Accepted</v>
      </c>
      <c r="S1474" t="str">
        <f t="shared" si="595"/>
        <v>Approved</v>
      </c>
      <c r="T1474" t="str">
        <f t="shared" si="596"/>
        <v>10.20.8.188</v>
      </c>
      <c r="U1474" t="str">
        <f t="shared" si="597"/>
        <v>AZRAD UMAR BIN SHAARI</v>
      </c>
      <c r="V1474" t="str">
        <f t="shared" si="598"/>
        <v>FARHANA BINTI MUSTAPA</v>
      </c>
      <c r="W1474" t="str">
        <f t="shared" si="599"/>
        <v>04-08-2020</v>
      </c>
      <c r="X1474" t="str">
        <f t="shared" si="600"/>
        <v>RAZIMAH ANSAR AHMAD</v>
      </c>
      <c r="Y1474" t="str">
        <f t="shared" si="601"/>
        <v>04-08-2020</v>
      </c>
      <c r="Z1474" t="str">
        <f>"COS10200804 7680"</f>
        <v>COS10200804 7680</v>
      </c>
    </row>
    <row r="1475" spans="1:26" x14ac:dyDescent="0.25">
      <c r="A1475" t="str">
        <f t="shared" si="610"/>
        <v>04-08-2020 01:08:11</v>
      </c>
      <c r="B1475" t="str">
        <f>"0000809480"</f>
        <v>0000809480</v>
      </c>
      <c r="C1475" t="str">
        <f t="shared" si="611"/>
        <v>0000809401</v>
      </c>
      <c r="D1475" t="str">
        <f t="shared" si="589"/>
        <v>73185</v>
      </c>
      <c r="E1475" t="str">
        <f t="shared" si="590"/>
        <v>KFH-OPERATIONS DEPARTMENT</v>
      </c>
      <c r="F1475" t="str">
        <f t="shared" si="591"/>
        <v>IBG</v>
      </c>
      <c r="G1475" t="str">
        <f t="shared" si="604"/>
        <v>Refund COSHARE 10</v>
      </c>
      <c r="H1475" s="2">
        <v>58.8</v>
      </c>
      <c r="I1475" t="str">
        <f>"SUTINA BINTI SA AT"</f>
        <v>SUTINA BINTI SA AT</v>
      </c>
      <c r="J1475" t="str">
        <f t="shared" si="605"/>
        <v>MAYBANK / MAYBANK ISLAMIC</v>
      </c>
      <c r="K1475" t="str">
        <f>"161015931346"</f>
        <v>161015931346</v>
      </c>
      <c r="L1475" t="str">
        <f t="shared" si="612"/>
        <v>04-08-2020</v>
      </c>
      <c r="M1475" t="str">
        <f t="shared" si="612"/>
        <v>04-08-2020</v>
      </c>
      <c r="N1475" t="str">
        <f t="shared" si="592"/>
        <v>001105018356</v>
      </c>
      <c r="O1475" t="str">
        <f t="shared" si="593"/>
        <v>MYR</v>
      </c>
      <c r="P1475" t="str">
        <f t="shared" si="613"/>
        <v>NIL</v>
      </c>
      <c r="Q1475" t="str">
        <f t="shared" si="613"/>
        <v>NIL</v>
      </c>
      <c r="R1475" t="str">
        <f t="shared" si="594"/>
        <v>Accepted</v>
      </c>
      <c r="S1475" t="str">
        <f t="shared" si="595"/>
        <v>Approved</v>
      </c>
      <c r="T1475" t="str">
        <f t="shared" si="596"/>
        <v>10.20.8.188</v>
      </c>
      <c r="U1475" t="str">
        <f t="shared" si="597"/>
        <v>AZRAD UMAR BIN SHAARI</v>
      </c>
      <c r="V1475" t="str">
        <f t="shared" si="598"/>
        <v>FARHANA BINTI MUSTAPA</v>
      </c>
      <c r="W1475" t="str">
        <f t="shared" si="599"/>
        <v>04-08-2020</v>
      </c>
      <c r="X1475" t="str">
        <f t="shared" si="600"/>
        <v>RAZIMAH ANSAR AHMAD</v>
      </c>
      <c r="Y1475" t="str">
        <f t="shared" si="601"/>
        <v>04-08-2020</v>
      </c>
      <c r="Z1475" t="str">
        <f>"COS10200804 7679"</f>
        <v>COS10200804 7679</v>
      </c>
    </row>
    <row r="1476" spans="1:26" x14ac:dyDescent="0.25">
      <c r="A1476" t="str">
        <f t="shared" si="610"/>
        <v>04-08-2020 01:08:11</v>
      </c>
      <c r="B1476" t="str">
        <f>"0000809479"</f>
        <v>0000809479</v>
      </c>
      <c r="C1476" t="str">
        <f t="shared" si="611"/>
        <v>0000809401</v>
      </c>
      <c r="D1476" t="str">
        <f t="shared" si="589"/>
        <v>73185</v>
      </c>
      <c r="E1476" t="str">
        <f t="shared" si="590"/>
        <v>KFH-OPERATIONS DEPARTMENT</v>
      </c>
      <c r="F1476" t="str">
        <f t="shared" si="591"/>
        <v>IBG</v>
      </c>
      <c r="G1476" t="str">
        <f t="shared" si="604"/>
        <v>Refund COSHARE 10</v>
      </c>
      <c r="H1476" s="2">
        <v>193.1</v>
      </c>
      <c r="I1476" t="str">
        <f>"SURYANI BINTI MAT SAMAN"</f>
        <v>SURYANI BINTI MAT SAMAN</v>
      </c>
      <c r="J1476" t="str">
        <f t="shared" si="605"/>
        <v>MAYBANK / MAYBANK ISLAMIC</v>
      </c>
      <c r="K1476" t="str">
        <f>"156012057790"</f>
        <v>156012057790</v>
      </c>
      <c r="L1476" t="str">
        <f t="shared" si="612"/>
        <v>04-08-2020</v>
      </c>
      <c r="M1476" t="str">
        <f t="shared" si="612"/>
        <v>04-08-2020</v>
      </c>
      <c r="N1476" t="str">
        <f t="shared" si="592"/>
        <v>001105018356</v>
      </c>
      <c r="O1476" t="str">
        <f t="shared" si="593"/>
        <v>MYR</v>
      </c>
      <c r="P1476" t="str">
        <f t="shared" si="613"/>
        <v>NIL</v>
      </c>
      <c r="Q1476" t="str">
        <f t="shared" si="613"/>
        <v>NIL</v>
      </c>
      <c r="R1476" t="str">
        <f t="shared" si="594"/>
        <v>Accepted</v>
      </c>
      <c r="S1476" t="str">
        <f t="shared" si="595"/>
        <v>Approved</v>
      </c>
      <c r="T1476" t="str">
        <f t="shared" si="596"/>
        <v>10.20.8.188</v>
      </c>
      <c r="U1476" t="str">
        <f t="shared" si="597"/>
        <v>AZRAD UMAR BIN SHAARI</v>
      </c>
      <c r="V1476" t="str">
        <f t="shared" si="598"/>
        <v>FARHANA BINTI MUSTAPA</v>
      </c>
      <c r="W1476" t="str">
        <f t="shared" si="599"/>
        <v>04-08-2020</v>
      </c>
      <c r="X1476" t="str">
        <f t="shared" si="600"/>
        <v>RAZIMAH ANSAR AHMAD</v>
      </c>
      <c r="Y1476" t="str">
        <f t="shared" si="601"/>
        <v>04-08-2020</v>
      </c>
      <c r="Z1476" t="str">
        <f>"COS10200804 7678"</f>
        <v>COS10200804 7678</v>
      </c>
    </row>
    <row r="1477" spans="1:26" x14ac:dyDescent="0.25">
      <c r="A1477" t="str">
        <f t="shared" si="610"/>
        <v>04-08-2020 01:08:11</v>
      </c>
      <c r="B1477" t="str">
        <f>"0000809478"</f>
        <v>0000809478</v>
      </c>
      <c r="C1477" t="str">
        <f t="shared" si="611"/>
        <v>0000809401</v>
      </c>
      <c r="D1477" t="str">
        <f t="shared" si="589"/>
        <v>73185</v>
      </c>
      <c r="E1477" t="str">
        <f t="shared" si="590"/>
        <v>KFH-OPERATIONS DEPARTMENT</v>
      </c>
      <c r="F1477" t="str">
        <f t="shared" si="591"/>
        <v>IBG</v>
      </c>
      <c r="G1477" t="str">
        <f t="shared" si="604"/>
        <v>Refund COSHARE 10</v>
      </c>
      <c r="H1477" s="2">
        <v>663.2</v>
      </c>
      <c r="I1477" t="str">
        <f>"SURNIZA BINTI MOHAMED"</f>
        <v>SURNIZA BINTI MOHAMED</v>
      </c>
      <c r="J1477" t="str">
        <f t="shared" si="605"/>
        <v>MAYBANK / MAYBANK ISLAMIC</v>
      </c>
      <c r="K1477" t="str">
        <f>"162348456615"</f>
        <v>162348456615</v>
      </c>
      <c r="L1477" t="str">
        <f t="shared" si="612"/>
        <v>04-08-2020</v>
      </c>
      <c r="M1477" t="str">
        <f t="shared" si="612"/>
        <v>04-08-2020</v>
      </c>
      <c r="N1477" t="str">
        <f t="shared" si="592"/>
        <v>001105018356</v>
      </c>
      <c r="O1477" t="str">
        <f t="shared" si="593"/>
        <v>MYR</v>
      </c>
      <c r="P1477" t="str">
        <f t="shared" si="613"/>
        <v>NIL</v>
      </c>
      <c r="Q1477" t="str">
        <f t="shared" si="613"/>
        <v>NIL</v>
      </c>
      <c r="R1477" t="str">
        <f t="shared" si="594"/>
        <v>Accepted</v>
      </c>
      <c r="S1477" t="str">
        <f t="shared" si="595"/>
        <v>Approved</v>
      </c>
      <c r="T1477" t="str">
        <f t="shared" si="596"/>
        <v>10.20.8.188</v>
      </c>
      <c r="U1477" t="str">
        <f t="shared" si="597"/>
        <v>AZRAD UMAR BIN SHAARI</v>
      </c>
      <c r="V1477" t="str">
        <f t="shared" si="598"/>
        <v>FARHANA BINTI MUSTAPA</v>
      </c>
      <c r="W1477" t="str">
        <f t="shared" si="599"/>
        <v>04-08-2020</v>
      </c>
      <c r="X1477" t="str">
        <f t="shared" si="600"/>
        <v>RAZIMAH ANSAR AHMAD</v>
      </c>
      <c r="Y1477" t="str">
        <f t="shared" si="601"/>
        <v>04-08-2020</v>
      </c>
      <c r="Z1477" t="str">
        <f>"COS10200804 7677"</f>
        <v>COS10200804 7677</v>
      </c>
    </row>
    <row r="1478" spans="1:26" x14ac:dyDescent="0.25">
      <c r="A1478" t="str">
        <f t="shared" si="610"/>
        <v>04-08-2020 01:08:11</v>
      </c>
      <c r="B1478" t="str">
        <f>"0000809477"</f>
        <v>0000809477</v>
      </c>
      <c r="C1478" t="str">
        <f t="shared" si="611"/>
        <v>0000809401</v>
      </c>
      <c r="D1478" t="str">
        <f t="shared" si="589"/>
        <v>73185</v>
      </c>
      <c r="E1478" t="str">
        <f t="shared" si="590"/>
        <v>KFH-OPERATIONS DEPARTMENT</v>
      </c>
      <c r="F1478" t="str">
        <f t="shared" si="591"/>
        <v>IBG</v>
      </c>
      <c r="G1478" t="str">
        <f t="shared" si="604"/>
        <v>Refund COSHARE 10</v>
      </c>
      <c r="H1478" s="2">
        <v>84</v>
      </c>
      <c r="I1478" t="str">
        <f>"SURIYATI MASNI BINTI SHARIF"</f>
        <v>SURIYATI MASNI BINTI SHARIF</v>
      </c>
      <c r="J1478" t="str">
        <f t="shared" si="605"/>
        <v>MAYBANK / MAYBANK ISLAMIC</v>
      </c>
      <c r="K1478" t="str">
        <f>"164324346501"</f>
        <v>164324346501</v>
      </c>
      <c r="L1478" t="str">
        <f t="shared" si="612"/>
        <v>04-08-2020</v>
      </c>
      <c r="M1478" t="str">
        <f t="shared" si="612"/>
        <v>04-08-2020</v>
      </c>
      <c r="N1478" t="str">
        <f t="shared" si="592"/>
        <v>001105018356</v>
      </c>
      <c r="O1478" t="str">
        <f t="shared" si="593"/>
        <v>MYR</v>
      </c>
      <c r="P1478" t="str">
        <f t="shared" si="613"/>
        <v>NIL</v>
      </c>
      <c r="Q1478" t="str">
        <f t="shared" si="613"/>
        <v>NIL</v>
      </c>
      <c r="R1478" t="str">
        <f t="shared" si="594"/>
        <v>Accepted</v>
      </c>
      <c r="S1478" t="str">
        <f t="shared" si="595"/>
        <v>Approved</v>
      </c>
      <c r="T1478" t="str">
        <f t="shared" si="596"/>
        <v>10.20.8.188</v>
      </c>
      <c r="U1478" t="str">
        <f t="shared" si="597"/>
        <v>AZRAD UMAR BIN SHAARI</v>
      </c>
      <c r="V1478" t="str">
        <f t="shared" si="598"/>
        <v>FARHANA BINTI MUSTAPA</v>
      </c>
      <c r="W1478" t="str">
        <f t="shared" si="599"/>
        <v>04-08-2020</v>
      </c>
      <c r="X1478" t="str">
        <f t="shared" si="600"/>
        <v>RAZIMAH ANSAR AHMAD</v>
      </c>
      <c r="Y1478" t="str">
        <f t="shared" si="601"/>
        <v>04-08-2020</v>
      </c>
      <c r="Z1478" t="str">
        <f>"COS10200804 7676"</f>
        <v>COS10200804 7676</v>
      </c>
    </row>
    <row r="1479" spans="1:26" x14ac:dyDescent="0.25">
      <c r="A1479" t="str">
        <f t="shared" si="610"/>
        <v>04-08-2020 01:08:11</v>
      </c>
      <c r="B1479" t="str">
        <f>"0000809476"</f>
        <v>0000809476</v>
      </c>
      <c r="C1479" t="str">
        <f t="shared" si="611"/>
        <v>0000809401</v>
      </c>
      <c r="D1479" t="str">
        <f t="shared" ref="D1479:D1542" si="614">"73185"</f>
        <v>73185</v>
      </c>
      <c r="E1479" t="str">
        <f t="shared" ref="E1479:E1542" si="615">"KFH-OPERATIONS DEPARTMENT"</f>
        <v>KFH-OPERATIONS DEPARTMENT</v>
      </c>
      <c r="F1479" t="str">
        <f t="shared" ref="F1479:F1542" si="616">"IBG"</f>
        <v>IBG</v>
      </c>
      <c r="G1479" t="str">
        <f t="shared" si="604"/>
        <v>Refund COSHARE 10</v>
      </c>
      <c r="H1479" s="2">
        <v>274.5</v>
      </c>
      <c r="I1479" t="str">
        <f>"SURIYATI BINTI GHAZALI"</f>
        <v>SURIYATI BINTI GHAZALI</v>
      </c>
      <c r="J1479" t="str">
        <f t="shared" si="605"/>
        <v>MAYBANK / MAYBANK ISLAMIC</v>
      </c>
      <c r="K1479" t="str">
        <f>"163019358037"</f>
        <v>163019358037</v>
      </c>
      <c r="L1479" t="str">
        <f t="shared" si="612"/>
        <v>04-08-2020</v>
      </c>
      <c r="M1479" t="str">
        <f t="shared" si="612"/>
        <v>04-08-2020</v>
      </c>
      <c r="N1479" t="str">
        <f t="shared" ref="N1479:N1542" si="617">"001105018356"</f>
        <v>001105018356</v>
      </c>
      <c r="O1479" t="str">
        <f t="shared" ref="O1479:O1542" si="618">"MYR"</f>
        <v>MYR</v>
      </c>
      <c r="P1479" t="str">
        <f t="shared" si="613"/>
        <v>NIL</v>
      </c>
      <c r="Q1479" t="str">
        <f t="shared" si="613"/>
        <v>NIL</v>
      </c>
      <c r="R1479" t="str">
        <f t="shared" ref="R1479:R1542" si="619">"Accepted"</f>
        <v>Accepted</v>
      </c>
      <c r="S1479" t="str">
        <f t="shared" ref="S1479:S1542" si="620">"Approved"</f>
        <v>Approved</v>
      </c>
      <c r="T1479" t="str">
        <f t="shared" ref="T1479:T1542" si="621">"10.20.8.188"</f>
        <v>10.20.8.188</v>
      </c>
      <c r="U1479" t="str">
        <f t="shared" ref="U1479:U1542" si="622">"AZRAD UMAR BIN SHAARI"</f>
        <v>AZRAD UMAR BIN SHAARI</v>
      </c>
      <c r="V1479" t="str">
        <f t="shared" ref="V1479:V1542" si="623">"FARHANA BINTI MUSTAPA"</f>
        <v>FARHANA BINTI MUSTAPA</v>
      </c>
      <c r="W1479" t="str">
        <f t="shared" ref="W1479:W1542" si="624">"04-08-2020"</f>
        <v>04-08-2020</v>
      </c>
      <c r="X1479" t="str">
        <f t="shared" ref="X1479:X1542" si="625">"RAZIMAH ANSAR AHMAD"</f>
        <v>RAZIMAH ANSAR AHMAD</v>
      </c>
      <c r="Y1479" t="str">
        <f t="shared" ref="Y1479:Y1542" si="626">"04-08-2020"</f>
        <v>04-08-2020</v>
      </c>
      <c r="Z1479" t="str">
        <f>"COS10200804 7675"</f>
        <v>COS10200804 7675</v>
      </c>
    </row>
    <row r="1480" spans="1:26" x14ac:dyDescent="0.25">
      <c r="A1480" t="str">
        <f t="shared" si="610"/>
        <v>04-08-2020 01:08:11</v>
      </c>
      <c r="B1480" t="str">
        <f>"0000809475"</f>
        <v>0000809475</v>
      </c>
      <c r="C1480" t="str">
        <f t="shared" si="611"/>
        <v>0000809401</v>
      </c>
      <c r="D1480" t="str">
        <f t="shared" si="614"/>
        <v>73185</v>
      </c>
      <c r="E1480" t="str">
        <f t="shared" si="615"/>
        <v>KFH-OPERATIONS DEPARTMENT</v>
      </c>
      <c r="F1480" t="str">
        <f t="shared" si="616"/>
        <v>IBG</v>
      </c>
      <c r="G1480" t="str">
        <f t="shared" si="604"/>
        <v>Refund COSHARE 10</v>
      </c>
      <c r="H1480" s="2">
        <v>378</v>
      </c>
      <c r="I1480" t="str">
        <f>"SURIYANTI BINTI SOJIPTO"</f>
        <v>SURIYANTI BINTI SOJIPTO</v>
      </c>
      <c r="J1480" t="str">
        <f t="shared" si="605"/>
        <v>MAYBANK / MAYBANK ISLAMIC</v>
      </c>
      <c r="K1480" t="str">
        <f>"155126965125"</f>
        <v>155126965125</v>
      </c>
      <c r="L1480" t="str">
        <f t="shared" si="612"/>
        <v>04-08-2020</v>
      </c>
      <c r="M1480" t="str">
        <f t="shared" si="612"/>
        <v>04-08-2020</v>
      </c>
      <c r="N1480" t="str">
        <f t="shared" si="617"/>
        <v>001105018356</v>
      </c>
      <c r="O1480" t="str">
        <f t="shared" si="618"/>
        <v>MYR</v>
      </c>
      <c r="P1480" t="str">
        <f t="shared" si="613"/>
        <v>NIL</v>
      </c>
      <c r="Q1480" t="str">
        <f t="shared" si="613"/>
        <v>NIL</v>
      </c>
      <c r="R1480" t="str">
        <f t="shared" si="619"/>
        <v>Accepted</v>
      </c>
      <c r="S1480" t="str">
        <f t="shared" si="620"/>
        <v>Approved</v>
      </c>
      <c r="T1480" t="str">
        <f t="shared" si="621"/>
        <v>10.20.8.188</v>
      </c>
      <c r="U1480" t="str">
        <f t="shared" si="622"/>
        <v>AZRAD UMAR BIN SHAARI</v>
      </c>
      <c r="V1480" t="str">
        <f t="shared" si="623"/>
        <v>FARHANA BINTI MUSTAPA</v>
      </c>
      <c r="W1480" t="str">
        <f t="shared" si="624"/>
        <v>04-08-2020</v>
      </c>
      <c r="X1480" t="str">
        <f t="shared" si="625"/>
        <v>RAZIMAH ANSAR AHMAD</v>
      </c>
      <c r="Y1480" t="str">
        <f t="shared" si="626"/>
        <v>04-08-2020</v>
      </c>
      <c r="Z1480" t="str">
        <f>"COS10200804 7674"</f>
        <v>COS10200804 7674</v>
      </c>
    </row>
    <row r="1481" spans="1:26" x14ac:dyDescent="0.25">
      <c r="A1481" t="str">
        <f t="shared" si="610"/>
        <v>04-08-2020 01:08:11</v>
      </c>
      <c r="B1481" t="str">
        <f>"0000809474"</f>
        <v>0000809474</v>
      </c>
      <c r="C1481" t="str">
        <f t="shared" si="611"/>
        <v>0000809401</v>
      </c>
      <c r="D1481" t="str">
        <f t="shared" si="614"/>
        <v>73185</v>
      </c>
      <c r="E1481" t="str">
        <f t="shared" si="615"/>
        <v>KFH-OPERATIONS DEPARTMENT</v>
      </c>
      <c r="F1481" t="str">
        <f t="shared" si="616"/>
        <v>IBG</v>
      </c>
      <c r="G1481" t="str">
        <f t="shared" si="604"/>
        <v>Refund COSHARE 10</v>
      </c>
      <c r="H1481" s="2">
        <v>755.55</v>
      </c>
      <c r="I1481" t="str">
        <f>"SURIYANI BINTI SAAD"</f>
        <v>SURIYANI BINTI SAAD</v>
      </c>
      <c r="J1481" t="str">
        <f t="shared" si="605"/>
        <v>MAYBANK / MAYBANK ISLAMIC</v>
      </c>
      <c r="K1481" t="str">
        <f>"162179543536"</f>
        <v>162179543536</v>
      </c>
      <c r="L1481" t="str">
        <f t="shared" si="612"/>
        <v>04-08-2020</v>
      </c>
      <c r="M1481" t="str">
        <f t="shared" si="612"/>
        <v>04-08-2020</v>
      </c>
      <c r="N1481" t="str">
        <f t="shared" si="617"/>
        <v>001105018356</v>
      </c>
      <c r="O1481" t="str">
        <f t="shared" si="618"/>
        <v>MYR</v>
      </c>
      <c r="P1481" t="str">
        <f t="shared" si="613"/>
        <v>NIL</v>
      </c>
      <c r="Q1481" t="str">
        <f t="shared" si="613"/>
        <v>NIL</v>
      </c>
      <c r="R1481" t="str">
        <f t="shared" si="619"/>
        <v>Accepted</v>
      </c>
      <c r="S1481" t="str">
        <f t="shared" si="620"/>
        <v>Approved</v>
      </c>
      <c r="T1481" t="str">
        <f t="shared" si="621"/>
        <v>10.20.8.188</v>
      </c>
      <c r="U1481" t="str">
        <f t="shared" si="622"/>
        <v>AZRAD UMAR BIN SHAARI</v>
      </c>
      <c r="V1481" t="str">
        <f t="shared" si="623"/>
        <v>FARHANA BINTI MUSTAPA</v>
      </c>
      <c r="W1481" t="str">
        <f t="shared" si="624"/>
        <v>04-08-2020</v>
      </c>
      <c r="X1481" t="str">
        <f t="shared" si="625"/>
        <v>RAZIMAH ANSAR AHMAD</v>
      </c>
      <c r="Y1481" t="str">
        <f t="shared" si="626"/>
        <v>04-08-2020</v>
      </c>
      <c r="Z1481" t="str">
        <f>"COS10200804 7673"</f>
        <v>COS10200804 7673</v>
      </c>
    </row>
    <row r="1482" spans="1:26" x14ac:dyDescent="0.25">
      <c r="A1482" t="str">
        <f t="shared" ref="A1482:A1513" si="627">"04-08-2020 01:08:11"</f>
        <v>04-08-2020 01:08:11</v>
      </c>
      <c r="B1482" t="str">
        <f>"0000809473"</f>
        <v>0000809473</v>
      </c>
      <c r="C1482" t="str">
        <f t="shared" ref="C1482:C1513" si="628">"0000809401"</f>
        <v>0000809401</v>
      </c>
      <c r="D1482" t="str">
        <f t="shared" si="614"/>
        <v>73185</v>
      </c>
      <c r="E1482" t="str">
        <f t="shared" si="615"/>
        <v>KFH-OPERATIONS DEPARTMENT</v>
      </c>
      <c r="F1482" t="str">
        <f t="shared" si="616"/>
        <v>IBG</v>
      </c>
      <c r="G1482" t="str">
        <f t="shared" si="604"/>
        <v>Refund COSHARE 10</v>
      </c>
      <c r="H1482" s="2">
        <v>1361.95</v>
      </c>
      <c r="I1482" t="str">
        <f>"SURITA BINTI ZAINOL ABIDIN"</f>
        <v>SURITA BINTI ZAINOL ABIDIN</v>
      </c>
      <c r="J1482" t="str">
        <f t="shared" si="605"/>
        <v>MAYBANK / MAYBANK ISLAMIC</v>
      </c>
      <c r="K1482" t="str">
        <f>"159012693361"</f>
        <v>159012693361</v>
      </c>
      <c r="L1482" t="str">
        <f t="shared" si="612"/>
        <v>04-08-2020</v>
      </c>
      <c r="M1482" t="str">
        <f t="shared" si="612"/>
        <v>04-08-2020</v>
      </c>
      <c r="N1482" t="str">
        <f t="shared" si="617"/>
        <v>001105018356</v>
      </c>
      <c r="O1482" t="str">
        <f t="shared" si="618"/>
        <v>MYR</v>
      </c>
      <c r="P1482" t="str">
        <f t="shared" si="613"/>
        <v>NIL</v>
      </c>
      <c r="Q1482" t="str">
        <f t="shared" si="613"/>
        <v>NIL</v>
      </c>
      <c r="R1482" t="str">
        <f t="shared" si="619"/>
        <v>Accepted</v>
      </c>
      <c r="S1482" t="str">
        <f t="shared" si="620"/>
        <v>Approved</v>
      </c>
      <c r="T1482" t="str">
        <f t="shared" si="621"/>
        <v>10.20.8.188</v>
      </c>
      <c r="U1482" t="str">
        <f t="shared" si="622"/>
        <v>AZRAD UMAR BIN SHAARI</v>
      </c>
      <c r="V1482" t="str">
        <f t="shared" si="623"/>
        <v>FARHANA BINTI MUSTAPA</v>
      </c>
      <c r="W1482" t="str">
        <f t="shared" si="624"/>
        <v>04-08-2020</v>
      </c>
      <c r="X1482" t="str">
        <f t="shared" si="625"/>
        <v>RAZIMAH ANSAR AHMAD</v>
      </c>
      <c r="Y1482" t="str">
        <f t="shared" si="626"/>
        <v>04-08-2020</v>
      </c>
      <c r="Z1482" t="str">
        <f>"COS10200804 7672"</f>
        <v>COS10200804 7672</v>
      </c>
    </row>
    <row r="1483" spans="1:26" x14ac:dyDescent="0.25">
      <c r="A1483" t="str">
        <f t="shared" si="627"/>
        <v>04-08-2020 01:08:11</v>
      </c>
      <c r="B1483" t="str">
        <f>"0000809472"</f>
        <v>0000809472</v>
      </c>
      <c r="C1483" t="str">
        <f t="shared" si="628"/>
        <v>0000809401</v>
      </c>
      <c r="D1483" t="str">
        <f t="shared" si="614"/>
        <v>73185</v>
      </c>
      <c r="E1483" t="str">
        <f t="shared" si="615"/>
        <v>KFH-OPERATIONS DEPARTMENT</v>
      </c>
      <c r="F1483" t="str">
        <f t="shared" si="616"/>
        <v>IBG</v>
      </c>
      <c r="G1483" t="str">
        <f t="shared" si="604"/>
        <v>Refund COSHARE 10</v>
      </c>
      <c r="H1483" s="2">
        <v>125.95</v>
      </c>
      <c r="I1483" t="str">
        <f>"SURIMI BIN MAIDIN  ARIFFIN"</f>
        <v>SURIMI BIN MAIDIN  ARIFFIN</v>
      </c>
      <c r="J1483" t="str">
        <f t="shared" si="605"/>
        <v>MAYBANK / MAYBANK ISLAMIC</v>
      </c>
      <c r="K1483" t="str">
        <f>"162384005320"</f>
        <v>162384005320</v>
      </c>
      <c r="L1483" t="str">
        <f t="shared" si="612"/>
        <v>04-08-2020</v>
      </c>
      <c r="M1483" t="str">
        <f t="shared" si="612"/>
        <v>04-08-2020</v>
      </c>
      <c r="N1483" t="str">
        <f t="shared" si="617"/>
        <v>001105018356</v>
      </c>
      <c r="O1483" t="str">
        <f t="shared" si="618"/>
        <v>MYR</v>
      </c>
      <c r="P1483" t="str">
        <f t="shared" si="613"/>
        <v>NIL</v>
      </c>
      <c r="Q1483" t="str">
        <f t="shared" si="613"/>
        <v>NIL</v>
      </c>
      <c r="R1483" t="str">
        <f t="shared" si="619"/>
        <v>Accepted</v>
      </c>
      <c r="S1483" t="str">
        <f t="shared" si="620"/>
        <v>Approved</v>
      </c>
      <c r="T1483" t="str">
        <f t="shared" si="621"/>
        <v>10.20.8.188</v>
      </c>
      <c r="U1483" t="str">
        <f t="shared" si="622"/>
        <v>AZRAD UMAR BIN SHAARI</v>
      </c>
      <c r="V1483" t="str">
        <f t="shared" si="623"/>
        <v>FARHANA BINTI MUSTAPA</v>
      </c>
      <c r="W1483" t="str">
        <f t="shared" si="624"/>
        <v>04-08-2020</v>
      </c>
      <c r="X1483" t="str">
        <f t="shared" si="625"/>
        <v>RAZIMAH ANSAR AHMAD</v>
      </c>
      <c r="Y1483" t="str">
        <f t="shared" si="626"/>
        <v>04-08-2020</v>
      </c>
      <c r="Z1483" t="str">
        <f>"COS10200804 7671"</f>
        <v>COS10200804 7671</v>
      </c>
    </row>
    <row r="1484" spans="1:26" x14ac:dyDescent="0.25">
      <c r="A1484" t="str">
        <f t="shared" si="627"/>
        <v>04-08-2020 01:08:11</v>
      </c>
      <c r="B1484" t="str">
        <f>"0000809471"</f>
        <v>0000809471</v>
      </c>
      <c r="C1484" t="str">
        <f t="shared" si="628"/>
        <v>0000809401</v>
      </c>
      <c r="D1484" t="str">
        <f t="shared" si="614"/>
        <v>73185</v>
      </c>
      <c r="E1484" t="str">
        <f t="shared" si="615"/>
        <v>KFH-OPERATIONS DEPARTMENT</v>
      </c>
      <c r="F1484" t="str">
        <f t="shared" si="616"/>
        <v>IBG</v>
      </c>
      <c r="G1484" t="str">
        <f t="shared" ref="G1484:G1547" si="629">"Refund COSHARE 10"</f>
        <v>Refund COSHARE 10</v>
      </c>
      <c r="H1484" s="2">
        <v>68.8</v>
      </c>
      <c r="I1484" t="str">
        <f>"SURIATI BINTI SUPARTO"</f>
        <v>SURIATI BINTI SUPARTO</v>
      </c>
      <c r="J1484" t="str">
        <f t="shared" si="605"/>
        <v>MAYBANK / MAYBANK ISLAMIC</v>
      </c>
      <c r="K1484" t="str">
        <f>"110032100798"</f>
        <v>110032100798</v>
      </c>
      <c r="L1484" t="str">
        <f t="shared" si="612"/>
        <v>04-08-2020</v>
      </c>
      <c r="M1484" t="str">
        <f t="shared" si="612"/>
        <v>04-08-2020</v>
      </c>
      <c r="N1484" t="str">
        <f t="shared" si="617"/>
        <v>001105018356</v>
      </c>
      <c r="O1484" t="str">
        <f t="shared" si="618"/>
        <v>MYR</v>
      </c>
      <c r="P1484" t="str">
        <f t="shared" si="613"/>
        <v>NIL</v>
      </c>
      <c r="Q1484" t="str">
        <f t="shared" si="613"/>
        <v>NIL</v>
      </c>
      <c r="R1484" t="str">
        <f t="shared" si="619"/>
        <v>Accepted</v>
      </c>
      <c r="S1484" t="str">
        <f t="shared" si="620"/>
        <v>Approved</v>
      </c>
      <c r="T1484" t="str">
        <f t="shared" si="621"/>
        <v>10.20.8.188</v>
      </c>
      <c r="U1484" t="str">
        <f t="shared" si="622"/>
        <v>AZRAD UMAR BIN SHAARI</v>
      </c>
      <c r="V1484" t="str">
        <f t="shared" si="623"/>
        <v>FARHANA BINTI MUSTAPA</v>
      </c>
      <c r="W1484" t="str">
        <f t="shared" si="624"/>
        <v>04-08-2020</v>
      </c>
      <c r="X1484" t="str">
        <f t="shared" si="625"/>
        <v>RAZIMAH ANSAR AHMAD</v>
      </c>
      <c r="Y1484" t="str">
        <f t="shared" si="626"/>
        <v>04-08-2020</v>
      </c>
      <c r="Z1484" t="str">
        <f>"COS10200804 7670"</f>
        <v>COS10200804 7670</v>
      </c>
    </row>
    <row r="1485" spans="1:26" x14ac:dyDescent="0.25">
      <c r="A1485" t="str">
        <f t="shared" si="627"/>
        <v>04-08-2020 01:08:11</v>
      </c>
      <c r="B1485" t="str">
        <f>"0000809470"</f>
        <v>0000809470</v>
      </c>
      <c r="C1485" t="str">
        <f t="shared" si="628"/>
        <v>0000809401</v>
      </c>
      <c r="D1485" t="str">
        <f t="shared" si="614"/>
        <v>73185</v>
      </c>
      <c r="E1485" t="str">
        <f t="shared" si="615"/>
        <v>KFH-OPERATIONS DEPARTMENT</v>
      </c>
      <c r="F1485" t="str">
        <f t="shared" si="616"/>
        <v>IBG</v>
      </c>
      <c r="G1485" t="str">
        <f t="shared" si="629"/>
        <v>Refund COSHARE 10</v>
      </c>
      <c r="H1485" s="2">
        <v>152</v>
      </c>
      <c r="I1485" t="str">
        <f>"SURIATI BINTI MOHD SALMI"</f>
        <v>SURIATI BINTI MOHD SALMI</v>
      </c>
      <c r="J1485" t="str">
        <f t="shared" si="605"/>
        <v>MAYBANK / MAYBANK ISLAMIC</v>
      </c>
      <c r="K1485" t="str">
        <f>"164472253474"</f>
        <v>164472253474</v>
      </c>
      <c r="L1485" t="str">
        <f t="shared" si="612"/>
        <v>04-08-2020</v>
      </c>
      <c r="M1485" t="str">
        <f t="shared" si="612"/>
        <v>04-08-2020</v>
      </c>
      <c r="N1485" t="str">
        <f t="shared" si="617"/>
        <v>001105018356</v>
      </c>
      <c r="O1485" t="str">
        <f t="shared" si="618"/>
        <v>MYR</v>
      </c>
      <c r="P1485" t="str">
        <f t="shared" si="613"/>
        <v>NIL</v>
      </c>
      <c r="Q1485" t="str">
        <f t="shared" si="613"/>
        <v>NIL</v>
      </c>
      <c r="R1485" t="str">
        <f t="shared" si="619"/>
        <v>Accepted</v>
      </c>
      <c r="S1485" t="str">
        <f t="shared" si="620"/>
        <v>Approved</v>
      </c>
      <c r="T1485" t="str">
        <f t="shared" si="621"/>
        <v>10.20.8.188</v>
      </c>
      <c r="U1485" t="str">
        <f t="shared" si="622"/>
        <v>AZRAD UMAR BIN SHAARI</v>
      </c>
      <c r="V1485" t="str">
        <f t="shared" si="623"/>
        <v>FARHANA BINTI MUSTAPA</v>
      </c>
      <c r="W1485" t="str">
        <f t="shared" si="624"/>
        <v>04-08-2020</v>
      </c>
      <c r="X1485" t="str">
        <f t="shared" si="625"/>
        <v>RAZIMAH ANSAR AHMAD</v>
      </c>
      <c r="Y1485" t="str">
        <f t="shared" si="626"/>
        <v>04-08-2020</v>
      </c>
      <c r="Z1485" t="str">
        <f>"COS10200804 7669"</f>
        <v>COS10200804 7669</v>
      </c>
    </row>
    <row r="1486" spans="1:26" x14ac:dyDescent="0.25">
      <c r="A1486" t="str">
        <f t="shared" si="627"/>
        <v>04-08-2020 01:08:11</v>
      </c>
      <c r="B1486" t="str">
        <f>"0000809469"</f>
        <v>0000809469</v>
      </c>
      <c r="C1486" t="str">
        <f t="shared" si="628"/>
        <v>0000809401</v>
      </c>
      <c r="D1486" t="str">
        <f t="shared" si="614"/>
        <v>73185</v>
      </c>
      <c r="E1486" t="str">
        <f t="shared" si="615"/>
        <v>KFH-OPERATIONS DEPARTMENT</v>
      </c>
      <c r="F1486" t="str">
        <f t="shared" si="616"/>
        <v>IBG</v>
      </c>
      <c r="G1486" t="str">
        <f t="shared" si="629"/>
        <v>Refund COSHARE 10</v>
      </c>
      <c r="H1486" s="2">
        <v>759</v>
      </c>
      <c r="I1486" t="str">
        <f>"SURIANA BINTI SUKARNI"</f>
        <v>SURIANA BINTI SUKARNI</v>
      </c>
      <c r="J1486" t="str">
        <f t="shared" si="605"/>
        <v>MAYBANK / MAYBANK ISLAMIC</v>
      </c>
      <c r="K1486" t="str">
        <f>"103016162385"</f>
        <v>103016162385</v>
      </c>
      <c r="L1486" t="str">
        <f t="shared" si="612"/>
        <v>04-08-2020</v>
      </c>
      <c r="M1486" t="str">
        <f t="shared" si="612"/>
        <v>04-08-2020</v>
      </c>
      <c r="N1486" t="str">
        <f t="shared" si="617"/>
        <v>001105018356</v>
      </c>
      <c r="O1486" t="str">
        <f t="shared" si="618"/>
        <v>MYR</v>
      </c>
      <c r="P1486" t="str">
        <f t="shared" si="613"/>
        <v>NIL</v>
      </c>
      <c r="Q1486" t="str">
        <f t="shared" si="613"/>
        <v>NIL</v>
      </c>
      <c r="R1486" t="str">
        <f t="shared" si="619"/>
        <v>Accepted</v>
      </c>
      <c r="S1486" t="str">
        <f t="shared" si="620"/>
        <v>Approved</v>
      </c>
      <c r="T1486" t="str">
        <f t="shared" si="621"/>
        <v>10.20.8.188</v>
      </c>
      <c r="U1486" t="str">
        <f t="shared" si="622"/>
        <v>AZRAD UMAR BIN SHAARI</v>
      </c>
      <c r="V1486" t="str">
        <f t="shared" si="623"/>
        <v>FARHANA BINTI MUSTAPA</v>
      </c>
      <c r="W1486" t="str">
        <f t="shared" si="624"/>
        <v>04-08-2020</v>
      </c>
      <c r="X1486" t="str">
        <f t="shared" si="625"/>
        <v>RAZIMAH ANSAR AHMAD</v>
      </c>
      <c r="Y1486" t="str">
        <f t="shared" si="626"/>
        <v>04-08-2020</v>
      </c>
      <c r="Z1486" t="str">
        <f>"COS10200804 7668"</f>
        <v>COS10200804 7668</v>
      </c>
    </row>
    <row r="1487" spans="1:26" x14ac:dyDescent="0.25">
      <c r="A1487" t="str">
        <f t="shared" si="627"/>
        <v>04-08-2020 01:08:11</v>
      </c>
      <c r="B1487" t="str">
        <f>"0000809468"</f>
        <v>0000809468</v>
      </c>
      <c r="C1487" t="str">
        <f t="shared" si="628"/>
        <v>0000809401</v>
      </c>
      <c r="D1487" t="str">
        <f t="shared" si="614"/>
        <v>73185</v>
      </c>
      <c r="E1487" t="str">
        <f t="shared" si="615"/>
        <v>KFH-OPERATIONS DEPARTMENT</v>
      </c>
      <c r="F1487" t="str">
        <f t="shared" si="616"/>
        <v>IBG</v>
      </c>
      <c r="G1487" t="str">
        <f t="shared" si="629"/>
        <v>Refund COSHARE 10</v>
      </c>
      <c r="H1487" s="2">
        <v>1582</v>
      </c>
      <c r="I1487" t="str">
        <f>"SURIANA BINTI HUSEIN"</f>
        <v>SURIANA BINTI HUSEIN</v>
      </c>
      <c r="J1487" t="str">
        <f t="shared" si="605"/>
        <v>MAYBANK / MAYBANK ISLAMIC</v>
      </c>
      <c r="K1487" t="str">
        <f>"112370016227"</f>
        <v>112370016227</v>
      </c>
      <c r="L1487" t="str">
        <f t="shared" ref="L1487:M1506" si="630">"04-08-2020"</f>
        <v>04-08-2020</v>
      </c>
      <c r="M1487" t="str">
        <f t="shared" si="630"/>
        <v>04-08-2020</v>
      </c>
      <c r="N1487" t="str">
        <f t="shared" si="617"/>
        <v>001105018356</v>
      </c>
      <c r="O1487" t="str">
        <f t="shared" si="618"/>
        <v>MYR</v>
      </c>
      <c r="P1487" t="str">
        <f t="shared" ref="P1487:Q1506" si="631">"NIL"</f>
        <v>NIL</v>
      </c>
      <c r="Q1487" t="str">
        <f t="shared" si="631"/>
        <v>NIL</v>
      </c>
      <c r="R1487" t="str">
        <f t="shared" si="619"/>
        <v>Accepted</v>
      </c>
      <c r="S1487" t="str">
        <f t="shared" si="620"/>
        <v>Approved</v>
      </c>
      <c r="T1487" t="str">
        <f t="shared" si="621"/>
        <v>10.20.8.188</v>
      </c>
      <c r="U1487" t="str">
        <f t="shared" si="622"/>
        <v>AZRAD UMAR BIN SHAARI</v>
      </c>
      <c r="V1487" t="str">
        <f t="shared" si="623"/>
        <v>FARHANA BINTI MUSTAPA</v>
      </c>
      <c r="W1487" t="str">
        <f t="shared" si="624"/>
        <v>04-08-2020</v>
      </c>
      <c r="X1487" t="str">
        <f t="shared" si="625"/>
        <v>RAZIMAH ANSAR AHMAD</v>
      </c>
      <c r="Y1487" t="str">
        <f t="shared" si="626"/>
        <v>04-08-2020</v>
      </c>
      <c r="Z1487" t="str">
        <f>"COS10200804 7667"</f>
        <v>COS10200804 7667</v>
      </c>
    </row>
    <row r="1488" spans="1:26" x14ac:dyDescent="0.25">
      <c r="A1488" t="str">
        <f t="shared" si="627"/>
        <v>04-08-2020 01:08:11</v>
      </c>
      <c r="B1488" t="str">
        <f>"0000809467"</f>
        <v>0000809467</v>
      </c>
      <c r="C1488" t="str">
        <f t="shared" si="628"/>
        <v>0000809401</v>
      </c>
      <c r="D1488" t="str">
        <f t="shared" si="614"/>
        <v>73185</v>
      </c>
      <c r="E1488" t="str">
        <f t="shared" si="615"/>
        <v>KFH-OPERATIONS DEPARTMENT</v>
      </c>
      <c r="F1488" t="str">
        <f t="shared" si="616"/>
        <v>IBG</v>
      </c>
      <c r="G1488" t="str">
        <f t="shared" si="629"/>
        <v>Refund COSHARE 10</v>
      </c>
      <c r="H1488" s="2">
        <v>75.599999999999994</v>
      </c>
      <c r="I1488" t="str">
        <f>"SURIA BINTI ISMAIL"</f>
        <v>SURIA BINTI ISMAIL</v>
      </c>
      <c r="J1488" t="str">
        <f t="shared" si="605"/>
        <v>MAYBANK / MAYBANK ISLAMIC</v>
      </c>
      <c r="K1488" t="str">
        <f>"106138138695"</f>
        <v>106138138695</v>
      </c>
      <c r="L1488" t="str">
        <f t="shared" si="630"/>
        <v>04-08-2020</v>
      </c>
      <c r="M1488" t="str">
        <f t="shared" si="630"/>
        <v>04-08-2020</v>
      </c>
      <c r="N1488" t="str">
        <f t="shared" si="617"/>
        <v>001105018356</v>
      </c>
      <c r="O1488" t="str">
        <f t="shared" si="618"/>
        <v>MYR</v>
      </c>
      <c r="P1488" t="str">
        <f t="shared" si="631"/>
        <v>NIL</v>
      </c>
      <c r="Q1488" t="str">
        <f t="shared" si="631"/>
        <v>NIL</v>
      </c>
      <c r="R1488" t="str">
        <f t="shared" si="619"/>
        <v>Accepted</v>
      </c>
      <c r="S1488" t="str">
        <f t="shared" si="620"/>
        <v>Approved</v>
      </c>
      <c r="T1488" t="str">
        <f t="shared" si="621"/>
        <v>10.20.8.188</v>
      </c>
      <c r="U1488" t="str">
        <f t="shared" si="622"/>
        <v>AZRAD UMAR BIN SHAARI</v>
      </c>
      <c r="V1488" t="str">
        <f t="shared" si="623"/>
        <v>FARHANA BINTI MUSTAPA</v>
      </c>
      <c r="W1488" t="str">
        <f t="shared" si="624"/>
        <v>04-08-2020</v>
      </c>
      <c r="X1488" t="str">
        <f t="shared" si="625"/>
        <v>RAZIMAH ANSAR AHMAD</v>
      </c>
      <c r="Y1488" t="str">
        <f t="shared" si="626"/>
        <v>04-08-2020</v>
      </c>
      <c r="Z1488" t="str">
        <f>"COS10200804 7666"</f>
        <v>COS10200804 7666</v>
      </c>
    </row>
    <row r="1489" spans="1:26" x14ac:dyDescent="0.25">
      <c r="A1489" t="str">
        <f t="shared" si="627"/>
        <v>04-08-2020 01:08:11</v>
      </c>
      <c r="B1489" t="str">
        <f>"0000809466"</f>
        <v>0000809466</v>
      </c>
      <c r="C1489" t="str">
        <f t="shared" si="628"/>
        <v>0000809401</v>
      </c>
      <c r="D1489" t="str">
        <f t="shared" si="614"/>
        <v>73185</v>
      </c>
      <c r="E1489" t="str">
        <f t="shared" si="615"/>
        <v>KFH-OPERATIONS DEPARTMENT</v>
      </c>
      <c r="F1489" t="str">
        <f t="shared" si="616"/>
        <v>IBG</v>
      </c>
      <c r="G1489" t="str">
        <f t="shared" si="629"/>
        <v>Refund COSHARE 10</v>
      </c>
      <c r="H1489" s="2">
        <v>190.55</v>
      </c>
      <c r="I1489" t="str">
        <f>"SURIA BINTI ABDUL MALEK"</f>
        <v>SURIA BINTI ABDUL MALEK</v>
      </c>
      <c r="J1489" t="str">
        <f t="shared" ref="J1489:J1552" si="632">"MAYBANK / MAYBANK ISLAMIC"</f>
        <v>MAYBANK / MAYBANK ISLAMIC</v>
      </c>
      <c r="K1489" t="str">
        <f>"162021278434"</f>
        <v>162021278434</v>
      </c>
      <c r="L1489" t="str">
        <f t="shared" si="630"/>
        <v>04-08-2020</v>
      </c>
      <c r="M1489" t="str">
        <f t="shared" si="630"/>
        <v>04-08-2020</v>
      </c>
      <c r="N1489" t="str">
        <f t="shared" si="617"/>
        <v>001105018356</v>
      </c>
      <c r="O1489" t="str">
        <f t="shared" si="618"/>
        <v>MYR</v>
      </c>
      <c r="P1489" t="str">
        <f t="shared" si="631"/>
        <v>NIL</v>
      </c>
      <c r="Q1489" t="str">
        <f t="shared" si="631"/>
        <v>NIL</v>
      </c>
      <c r="R1489" t="str">
        <f t="shared" si="619"/>
        <v>Accepted</v>
      </c>
      <c r="S1489" t="str">
        <f t="shared" si="620"/>
        <v>Approved</v>
      </c>
      <c r="T1489" t="str">
        <f t="shared" si="621"/>
        <v>10.20.8.188</v>
      </c>
      <c r="U1489" t="str">
        <f t="shared" si="622"/>
        <v>AZRAD UMAR BIN SHAARI</v>
      </c>
      <c r="V1489" t="str">
        <f t="shared" si="623"/>
        <v>FARHANA BINTI MUSTAPA</v>
      </c>
      <c r="W1489" t="str">
        <f t="shared" si="624"/>
        <v>04-08-2020</v>
      </c>
      <c r="X1489" t="str">
        <f t="shared" si="625"/>
        <v>RAZIMAH ANSAR AHMAD</v>
      </c>
      <c r="Y1489" t="str">
        <f t="shared" si="626"/>
        <v>04-08-2020</v>
      </c>
      <c r="Z1489" t="str">
        <f>"COS10200804 7665"</f>
        <v>COS10200804 7665</v>
      </c>
    </row>
    <row r="1490" spans="1:26" x14ac:dyDescent="0.25">
      <c r="A1490" t="str">
        <f t="shared" si="627"/>
        <v>04-08-2020 01:08:11</v>
      </c>
      <c r="B1490" t="str">
        <f>"0000809465"</f>
        <v>0000809465</v>
      </c>
      <c r="C1490" t="str">
        <f t="shared" si="628"/>
        <v>0000809401</v>
      </c>
      <c r="D1490" t="str">
        <f t="shared" si="614"/>
        <v>73185</v>
      </c>
      <c r="E1490" t="str">
        <f t="shared" si="615"/>
        <v>KFH-OPERATIONS DEPARTMENT</v>
      </c>
      <c r="F1490" t="str">
        <f t="shared" si="616"/>
        <v>IBG</v>
      </c>
      <c r="G1490" t="str">
        <f t="shared" si="629"/>
        <v>Refund COSHARE 10</v>
      </c>
      <c r="H1490" s="2">
        <v>1679</v>
      </c>
      <c r="I1490" t="str">
        <f>"SURIA AZIANA BINTI MHD ATAN"</f>
        <v>SURIA AZIANA BINTI MHD ATAN</v>
      </c>
      <c r="J1490" t="str">
        <f t="shared" si="632"/>
        <v>MAYBANK / MAYBANK ISLAMIC</v>
      </c>
      <c r="K1490" t="str">
        <f>"163082033212"</f>
        <v>163082033212</v>
      </c>
      <c r="L1490" t="str">
        <f t="shared" si="630"/>
        <v>04-08-2020</v>
      </c>
      <c r="M1490" t="str">
        <f t="shared" si="630"/>
        <v>04-08-2020</v>
      </c>
      <c r="N1490" t="str">
        <f t="shared" si="617"/>
        <v>001105018356</v>
      </c>
      <c r="O1490" t="str">
        <f t="shared" si="618"/>
        <v>MYR</v>
      </c>
      <c r="P1490" t="str">
        <f t="shared" si="631"/>
        <v>NIL</v>
      </c>
      <c r="Q1490" t="str">
        <f t="shared" si="631"/>
        <v>NIL</v>
      </c>
      <c r="R1490" t="str">
        <f t="shared" si="619"/>
        <v>Accepted</v>
      </c>
      <c r="S1490" t="str">
        <f t="shared" si="620"/>
        <v>Approved</v>
      </c>
      <c r="T1490" t="str">
        <f t="shared" si="621"/>
        <v>10.20.8.188</v>
      </c>
      <c r="U1490" t="str">
        <f t="shared" si="622"/>
        <v>AZRAD UMAR BIN SHAARI</v>
      </c>
      <c r="V1490" t="str">
        <f t="shared" si="623"/>
        <v>FARHANA BINTI MUSTAPA</v>
      </c>
      <c r="W1490" t="str">
        <f t="shared" si="624"/>
        <v>04-08-2020</v>
      </c>
      <c r="X1490" t="str">
        <f t="shared" si="625"/>
        <v>RAZIMAH ANSAR AHMAD</v>
      </c>
      <c r="Y1490" t="str">
        <f t="shared" si="626"/>
        <v>04-08-2020</v>
      </c>
      <c r="Z1490" t="str">
        <f>"COS10200804 7664"</f>
        <v>COS10200804 7664</v>
      </c>
    </row>
    <row r="1491" spans="1:26" x14ac:dyDescent="0.25">
      <c r="A1491" t="str">
        <f t="shared" si="627"/>
        <v>04-08-2020 01:08:11</v>
      </c>
      <c r="B1491" t="str">
        <f>"0000809464"</f>
        <v>0000809464</v>
      </c>
      <c r="C1491" t="str">
        <f t="shared" si="628"/>
        <v>0000809401</v>
      </c>
      <c r="D1491" t="str">
        <f t="shared" si="614"/>
        <v>73185</v>
      </c>
      <c r="E1491" t="str">
        <f t="shared" si="615"/>
        <v>KFH-OPERATIONS DEPARTMENT</v>
      </c>
      <c r="F1491" t="str">
        <f t="shared" si="616"/>
        <v>IBG</v>
      </c>
      <c r="G1491" t="str">
        <f t="shared" si="629"/>
        <v>Refund COSHARE 10</v>
      </c>
      <c r="H1491" s="2">
        <v>587.65</v>
      </c>
      <c r="I1491" t="str">
        <f>"SURESH AL M GANESAN"</f>
        <v>SURESH AL M GANESAN</v>
      </c>
      <c r="J1491" t="str">
        <f t="shared" si="632"/>
        <v>MAYBANK / MAYBANK ISLAMIC</v>
      </c>
      <c r="K1491" t="str">
        <f>"112102095353"</f>
        <v>112102095353</v>
      </c>
      <c r="L1491" t="str">
        <f t="shared" si="630"/>
        <v>04-08-2020</v>
      </c>
      <c r="M1491" t="str">
        <f t="shared" si="630"/>
        <v>04-08-2020</v>
      </c>
      <c r="N1491" t="str">
        <f t="shared" si="617"/>
        <v>001105018356</v>
      </c>
      <c r="O1491" t="str">
        <f t="shared" si="618"/>
        <v>MYR</v>
      </c>
      <c r="P1491" t="str">
        <f t="shared" si="631"/>
        <v>NIL</v>
      </c>
      <c r="Q1491" t="str">
        <f t="shared" si="631"/>
        <v>NIL</v>
      </c>
      <c r="R1491" t="str">
        <f t="shared" si="619"/>
        <v>Accepted</v>
      </c>
      <c r="S1491" t="str">
        <f t="shared" si="620"/>
        <v>Approved</v>
      </c>
      <c r="T1491" t="str">
        <f t="shared" si="621"/>
        <v>10.20.8.188</v>
      </c>
      <c r="U1491" t="str">
        <f t="shared" si="622"/>
        <v>AZRAD UMAR BIN SHAARI</v>
      </c>
      <c r="V1491" t="str">
        <f t="shared" si="623"/>
        <v>FARHANA BINTI MUSTAPA</v>
      </c>
      <c r="W1491" t="str">
        <f t="shared" si="624"/>
        <v>04-08-2020</v>
      </c>
      <c r="X1491" t="str">
        <f t="shared" si="625"/>
        <v>RAZIMAH ANSAR AHMAD</v>
      </c>
      <c r="Y1491" t="str">
        <f t="shared" si="626"/>
        <v>04-08-2020</v>
      </c>
      <c r="Z1491" t="str">
        <f>"COS10200804 7663"</f>
        <v>COS10200804 7663</v>
      </c>
    </row>
    <row r="1492" spans="1:26" x14ac:dyDescent="0.25">
      <c r="A1492" t="str">
        <f t="shared" si="627"/>
        <v>04-08-2020 01:08:11</v>
      </c>
      <c r="B1492" t="str">
        <f>"0000809463"</f>
        <v>0000809463</v>
      </c>
      <c r="C1492" t="str">
        <f t="shared" si="628"/>
        <v>0000809401</v>
      </c>
      <c r="D1492" t="str">
        <f t="shared" si="614"/>
        <v>73185</v>
      </c>
      <c r="E1492" t="str">
        <f t="shared" si="615"/>
        <v>KFH-OPERATIONS DEPARTMENT</v>
      </c>
      <c r="F1492" t="str">
        <f t="shared" si="616"/>
        <v>IBG</v>
      </c>
      <c r="G1492" t="str">
        <f t="shared" si="629"/>
        <v>Refund COSHARE 10</v>
      </c>
      <c r="H1492" s="2">
        <v>331</v>
      </c>
      <c r="I1492" t="str">
        <f>"SUREENA BINTI MOHD ISA"</f>
        <v>SUREENA BINTI MOHD ISA</v>
      </c>
      <c r="J1492" t="str">
        <f t="shared" si="632"/>
        <v>MAYBANK / MAYBANK ISLAMIC</v>
      </c>
      <c r="K1492" t="str">
        <f>"112204126447"</f>
        <v>112204126447</v>
      </c>
      <c r="L1492" t="str">
        <f t="shared" si="630"/>
        <v>04-08-2020</v>
      </c>
      <c r="M1492" t="str">
        <f t="shared" si="630"/>
        <v>04-08-2020</v>
      </c>
      <c r="N1492" t="str">
        <f t="shared" si="617"/>
        <v>001105018356</v>
      </c>
      <c r="O1492" t="str">
        <f t="shared" si="618"/>
        <v>MYR</v>
      </c>
      <c r="P1492" t="str">
        <f t="shared" si="631"/>
        <v>NIL</v>
      </c>
      <c r="Q1492" t="str">
        <f t="shared" si="631"/>
        <v>NIL</v>
      </c>
      <c r="R1492" t="str">
        <f t="shared" si="619"/>
        <v>Accepted</v>
      </c>
      <c r="S1492" t="str">
        <f t="shared" si="620"/>
        <v>Approved</v>
      </c>
      <c r="T1492" t="str">
        <f t="shared" si="621"/>
        <v>10.20.8.188</v>
      </c>
      <c r="U1492" t="str">
        <f t="shared" si="622"/>
        <v>AZRAD UMAR BIN SHAARI</v>
      </c>
      <c r="V1492" t="str">
        <f t="shared" si="623"/>
        <v>FARHANA BINTI MUSTAPA</v>
      </c>
      <c r="W1492" t="str">
        <f t="shared" si="624"/>
        <v>04-08-2020</v>
      </c>
      <c r="X1492" t="str">
        <f t="shared" si="625"/>
        <v>RAZIMAH ANSAR AHMAD</v>
      </c>
      <c r="Y1492" t="str">
        <f t="shared" si="626"/>
        <v>04-08-2020</v>
      </c>
      <c r="Z1492" t="str">
        <f>"COS10200804 7662"</f>
        <v>COS10200804 7662</v>
      </c>
    </row>
    <row r="1493" spans="1:26" x14ac:dyDescent="0.25">
      <c r="A1493" t="str">
        <f t="shared" si="627"/>
        <v>04-08-2020 01:08:11</v>
      </c>
      <c r="B1493" t="str">
        <f>"0000809462"</f>
        <v>0000809462</v>
      </c>
      <c r="C1493" t="str">
        <f t="shared" si="628"/>
        <v>0000809401</v>
      </c>
      <c r="D1493" t="str">
        <f t="shared" si="614"/>
        <v>73185</v>
      </c>
      <c r="E1493" t="str">
        <f t="shared" si="615"/>
        <v>KFH-OPERATIONS DEPARTMENT</v>
      </c>
      <c r="F1493" t="str">
        <f t="shared" si="616"/>
        <v>IBG</v>
      </c>
      <c r="G1493" t="str">
        <f t="shared" si="629"/>
        <v>Refund COSHARE 10</v>
      </c>
      <c r="H1493" s="2">
        <v>159.5</v>
      </c>
      <c r="I1493" t="str">
        <f>"SURAYANI BINTI ALIAS"</f>
        <v>SURAYANI BINTI ALIAS</v>
      </c>
      <c r="J1493" t="str">
        <f t="shared" si="632"/>
        <v>MAYBANK / MAYBANK ISLAMIC</v>
      </c>
      <c r="K1493" t="str">
        <f>"161109000535"</f>
        <v>161109000535</v>
      </c>
      <c r="L1493" t="str">
        <f t="shared" si="630"/>
        <v>04-08-2020</v>
      </c>
      <c r="M1493" t="str">
        <f t="shared" si="630"/>
        <v>04-08-2020</v>
      </c>
      <c r="N1493" t="str">
        <f t="shared" si="617"/>
        <v>001105018356</v>
      </c>
      <c r="O1493" t="str">
        <f t="shared" si="618"/>
        <v>MYR</v>
      </c>
      <c r="P1493" t="str">
        <f t="shared" si="631"/>
        <v>NIL</v>
      </c>
      <c r="Q1493" t="str">
        <f t="shared" si="631"/>
        <v>NIL</v>
      </c>
      <c r="R1493" t="str">
        <f t="shared" si="619"/>
        <v>Accepted</v>
      </c>
      <c r="S1493" t="str">
        <f t="shared" si="620"/>
        <v>Approved</v>
      </c>
      <c r="T1493" t="str">
        <f t="shared" si="621"/>
        <v>10.20.8.188</v>
      </c>
      <c r="U1493" t="str">
        <f t="shared" si="622"/>
        <v>AZRAD UMAR BIN SHAARI</v>
      </c>
      <c r="V1493" t="str">
        <f t="shared" si="623"/>
        <v>FARHANA BINTI MUSTAPA</v>
      </c>
      <c r="W1493" t="str">
        <f t="shared" si="624"/>
        <v>04-08-2020</v>
      </c>
      <c r="X1493" t="str">
        <f t="shared" si="625"/>
        <v>RAZIMAH ANSAR AHMAD</v>
      </c>
      <c r="Y1493" t="str">
        <f t="shared" si="626"/>
        <v>04-08-2020</v>
      </c>
      <c r="Z1493" t="str">
        <f>"COS10200804 7661"</f>
        <v>COS10200804 7661</v>
      </c>
    </row>
    <row r="1494" spans="1:26" x14ac:dyDescent="0.25">
      <c r="A1494" t="str">
        <f t="shared" si="627"/>
        <v>04-08-2020 01:08:11</v>
      </c>
      <c r="B1494" t="str">
        <f>"0000809461"</f>
        <v>0000809461</v>
      </c>
      <c r="C1494" t="str">
        <f t="shared" si="628"/>
        <v>0000809401</v>
      </c>
      <c r="D1494" t="str">
        <f t="shared" si="614"/>
        <v>73185</v>
      </c>
      <c r="E1494" t="str">
        <f t="shared" si="615"/>
        <v>KFH-OPERATIONS DEPARTMENT</v>
      </c>
      <c r="F1494" t="str">
        <f t="shared" si="616"/>
        <v>IBG</v>
      </c>
      <c r="G1494" t="str">
        <f t="shared" si="629"/>
        <v>Refund COSHARE 10</v>
      </c>
      <c r="H1494" s="2">
        <v>839.5</v>
      </c>
      <c r="I1494" t="str">
        <f>"SURAYA NADZRAH BINTI JAHAMIL"</f>
        <v>SURAYA NADZRAH BINTI JAHAMIL</v>
      </c>
      <c r="J1494" t="str">
        <f t="shared" si="632"/>
        <v>MAYBANK / MAYBANK ISLAMIC</v>
      </c>
      <c r="K1494" t="str">
        <f>"162143168842"</f>
        <v>162143168842</v>
      </c>
      <c r="L1494" t="str">
        <f t="shared" si="630"/>
        <v>04-08-2020</v>
      </c>
      <c r="M1494" t="str">
        <f t="shared" si="630"/>
        <v>04-08-2020</v>
      </c>
      <c r="N1494" t="str">
        <f t="shared" si="617"/>
        <v>001105018356</v>
      </c>
      <c r="O1494" t="str">
        <f t="shared" si="618"/>
        <v>MYR</v>
      </c>
      <c r="P1494" t="str">
        <f t="shared" si="631"/>
        <v>NIL</v>
      </c>
      <c r="Q1494" t="str">
        <f t="shared" si="631"/>
        <v>NIL</v>
      </c>
      <c r="R1494" t="str">
        <f t="shared" si="619"/>
        <v>Accepted</v>
      </c>
      <c r="S1494" t="str">
        <f t="shared" si="620"/>
        <v>Approved</v>
      </c>
      <c r="T1494" t="str">
        <f t="shared" si="621"/>
        <v>10.20.8.188</v>
      </c>
      <c r="U1494" t="str">
        <f t="shared" si="622"/>
        <v>AZRAD UMAR BIN SHAARI</v>
      </c>
      <c r="V1494" t="str">
        <f t="shared" si="623"/>
        <v>FARHANA BINTI MUSTAPA</v>
      </c>
      <c r="W1494" t="str">
        <f t="shared" si="624"/>
        <v>04-08-2020</v>
      </c>
      <c r="X1494" t="str">
        <f t="shared" si="625"/>
        <v>RAZIMAH ANSAR AHMAD</v>
      </c>
      <c r="Y1494" t="str">
        <f t="shared" si="626"/>
        <v>04-08-2020</v>
      </c>
      <c r="Z1494" t="str">
        <f>"COS10200804 7660"</f>
        <v>COS10200804 7660</v>
      </c>
    </row>
    <row r="1495" spans="1:26" x14ac:dyDescent="0.25">
      <c r="A1495" t="str">
        <f t="shared" si="627"/>
        <v>04-08-2020 01:08:11</v>
      </c>
      <c r="B1495" t="str">
        <f>"0000809460"</f>
        <v>0000809460</v>
      </c>
      <c r="C1495" t="str">
        <f t="shared" si="628"/>
        <v>0000809401</v>
      </c>
      <c r="D1495" t="str">
        <f t="shared" si="614"/>
        <v>73185</v>
      </c>
      <c r="E1495" t="str">
        <f t="shared" si="615"/>
        <v>KFH-OPERATIONS DEPARTMENT</v>
      </c>
      <c r="F1495" t="str">
        <f t="shared" si="616"/>
        <v>IBG</v>
      </c>
      <c r="G1495" t="str">
        <f t="shared" si="629"/>
        <v>Refund COSHARE 10</v>
      </c>
      <c r="H1495" s="2">
        <v>210</v>
      </c>
      <c r="I1495" t="str">
        <f>"SURAYA HANI BINTI HAMDAN"</f>
        <v>SURAYA HANI BINTI HAMDAN</v>
      </c>
      <c r="J1495" t="str">
        <f t="shared" si="632"/>
        <v>MAYBANK / MAYBANK ISLAMIC</v>
      </c>
      <c r="K1495" t="str">
        <f>"105019809579"</f>
        <v>105019809579</v>
      </c>
      <c r="L1495" t="str">
        <f t="shared" si="630"/>
        <v>04-08-2020</v>
      </c>
      <c r="M1495" t="str">
        <f t="shared" si="630"/>
        <v>04-08-2020</v>
      </c>
      <c r="N1495" t="str">
        <f t="shared" si="617"/>
        <v>001105018356</v>
      </c>
      <c r="O1495" t="str">
        <f t="shared" si="618"/>
        <v>MYR</v>
      </c>
      <c r="P1495" t="str">
        <f t="shared" si="631"/>
        <v>NIL</v>
      </c>
      <c r="Q1495" t="str">
        <f t="shared" si="631"/>
        <v>NIL</v>
      </c>
      <c r="R1495" t="str">
        <f t="shared" si="619"/>
        <v>Accepted</v>
      </c>
      <c r="S1495" t="str">
        <f t="shared" si="620"/>
        <v>Approved</v>
      </c>
      <c r="T1495" t="str">
        <f t="shared" si="621"/>
        <v>10.20.8.188</v>
      </c>
      <c r="U1495" t="str">
        <f t="shared" si="622"/>
        <v>AZRAD UMAR BIN SHAARI</v>
      </c>
      <c r="V1495" t="str">
        <f t="shared" si="623"/>
        <v>FARHANA BINTI MUSTAPA</v>
      </c>
      <c r="W1495" t="str">
        <f t="shared" si="624"/>
        <v>04-08-2020</v>
      </c>
      <c r="X1495" t="str">
        <f t="shared" si="625"/>
        <v>RAZIMAH ANSAR AHMAD</v>
      </c>
      <c r="Y1495" t="str">
        <f t="shared" si="626"/>
        <v>04-08-2020</v>
      </c>
      <c r="Z1495" t="str">
        <f>"COS10200804 7659"</f>
        <v>COS10200804 7659</v>
      </c>
    </row>
    <row r="1496" spans="1:26" x14ac:dyDescent="0.25">
      <c r="A1496" t="str">
        <f t="shared" si="627"/>
        <v>04-08-2020 01:08:11</v>
      </c>
      <c r="B1496" t="str">
        <f>"0000809459"</f>
        <v>0000809459</v>
      </c>
      <c r="C1496" t="str">
        <f t="shared" si="628"/>
        <v>0000809401</v>
      </c>
      <c r="D1496" t="str">
        <f t="shared" si="614"/>
        <v>73185</v>
      </c>
      <c r="E1496" t="str">
        <f t="shared" si="615"/>
        <v>KFH-OPERATIONS DEPARTMENT</v>
      </c>
      <c r="F1496" t="str">
        <f t="shared" si="616"/>
        <v>IBG</v>
      </c>
      <c r="G1496" t="str">
        <f t="shared" si="629"/>
        <v>Refund COSHARE 10</v>
      </c>
      <c r="H1496" s="2">
        <v>324</v>
      </c>
      <c r="I1496" t="str">
        <f>"SURAYA BINTI ZAINAL"</f>
        <v>SURAYA BINTI ZAINAL</v>
      </c>
      <c r="J1496" t="str">
        <f t="shared" si="632"/>
        <v>MAYBANK / MAYBANK ISLAMIC</v>
      </c>
      <c r="K1496" t="str">
        <f>"154026035899"</f>
        <v>154026035899</v>
      </c>
      <c r="L1496" t="str">
        <f t="shared" si="630"/>
        <v>04-08-2020</v>
      </c>
      <c r="M1496" t="str">
        <f t="shared" si="630"/>
        <v>04-08-2020</v>
      </c>
      <c r="N1496" t="str">
        <f t="shared" si="617"/>
        <v>001105018356</v>
      </c>
      <c r="O1496" t="str">
        <f t="shared" si="618"/>
        <v>MYR</v>
      </c>
      <c r="P1496" t="str">
        <f t="shared" si="631"/>
        <v>NIL</v>
      </c>
      <c r="Q1496" t="str">
        <f t="shared" si="631"/>
        <v>NIL</v>
      </c>
      <c r="R1496" t="str">
        <f t="shared" si="619"/>
        <v>Accepted</v>
      </c>
      <c r="S1496" t="str">
        <f t="shared" si="620"/>
        <v>Approved</v>
      </c>
      <c r="T1496" t="str">
        <f t="shared" si="621"/>
        <v>10.20.8.188</v>
      </c>
      <c r="U1496" t="str">
        <f t="shared" si="622"/>
        <v>AZRAD UMAR BIN SHAARI</v>
      </c>
      <c r="V1496" t="str">
        <f t="shared" si="623"/>
        <v>FARHANA BINTI MUSTAPA</v>
      </c>
      <c r="W1496" t="str">
        <f t="shared" si="624"/>
        <v>04-08-2020</v>
      </c>
      <c r="X1496" t="str">
        <f t="shared" si="625"/>
        <v>RAZIMAH ANSAR AHMAD</v>
      </c>
      <c r="Y1496" t="str">
        <f t="shared" si="626"/>
        <v>04-08-2020</v>
      </c>
      <c r="Z1496" t="str">
        <f>"COS10200804 7658"</f>
        <v>COS10200804 7658</v>
      </c>
    </row>
    <row r="1497" spans="1:26" x14ac:dyDescent="0.25">
      <c r="A1497" t="str">
        <f t="shared" si="627"/>
        <v>04-08-2020 01:08:11</v>
      </c>
      <c r="B1497" t="str">
        <f>"0000809458"</f>
        <v>0000809458</v>
      </c>
      <c r="C1497" t="str">
        <f t="shared" si="628"/>
        <v>0000809401</v>
      </c>
      <c r="D1497" t="str">
        <f t="shared" si="614"/>
        <v>73185</v>
      </c>
      <c r="E1497" t="str">
        <f t="shared" si="615"/>
        <v>KFH-OPERATIONS DEPARTMENT</v>
      </c>
      <c r="F1497" t="str">
        <f t="shared" si="616"/>
        <v>IBG</v>
      </c>
      <c r="G1497" t="str">
        <f t="shared" si="629"/>
        <v>Refund COSHARE 10</v>
      </c>
      <c r="H1497" s="2">
        <v>117.55</v>
      </c>
      <c r="I1497" t="str">
        <f>"SURAYA BINTI MOHD ALI"</f>
        <v>SURAYA BINTI MOHD ALI</v>
      </c>
      <c r="J1497" t="str">
        <f t="shared" si="632"/>
        <v>MAYBANK / MAYBANK ISLAMIC</v>
      </c>
      <c r="K1497" t="str">
        <f>"105010103948"</f>
        <v>105010103948</v>
      </c>
      <c r="L1497" t="str">
        <f t="shared" si="630"/>
        <v>04-08-2020</v>
      </c>
      <c r="M1497" t="str">
        <f t="shared" si="630"/>
        <v>04-08-2020</v>
      </c>
      <c r="N1497" t="str">
        <f t="shared" si="617"/>
        <v>001105018356</v>
      </c>
      <c r="O1497" t="str">
        <f t="shared" si="618"/>
        <v>MYR</v>
      </c>
      <c r="P1497" t="str">
        <f t="shared" si="631"/>
        <v>NIL</v>
      </c>
      <c r="Q1497" t="str">
        <f t="shared" si="631"/>
        <v>NIL</v>
      </c>
      <c r="R1497" t="str">
        <f t="shared" si="619"/>
        <v>Accepted</v>
      </c>
      <c r="S1497" t="str">
        <f t="shared" si="620"/>
        <v>Approved</v>
      </c>
      <c r="T1497" t="str">
        <f t="shared" si="621"/>
        <v>10.20.8.188</v>
      </c>
      <c r="U1497" t="str">
        <f t="shared" si="622"/>
        <v>AZRAD UMAR BIN SHAARI</v>
      </c>
      <c r="V1497" t="str">
        <f t="shared" si="623"/>
        <v>FARHANA BINTI MUSTAPA</v>
      </c>
      <c r="W1497" t="str">
        <f t="shared" si="624"/>
        <v>04-08-2020</v>
      </c>
      <c r="X1497" t="str">
        <f t="shared" si="625"/>
        <v>RAZIMAH ANSAR AHMAD</v>
      </c>
      <c r="Y1497" t="str">
        <f t="shared" si="626"/>
        <v>04-08-2020</v>
      </c>
      <c r="Z1497" t="str">
        <f>"COS10200804 7657"</f>
        <v>COS10200804 7657</v>
      </c>
    </row>
    <row r="1498" spans="1:26" x14ac:dyDescent="0.25">
      <c r="A1498" t="str">
        <f t="shared" si="627"/>
        <v>04-08-2020 01:08:11</v>
      </c>
      <c r="B1498" t="str">
        <f>"0000809457"</f>
        <v>0000809457</v>
      </c>
      <c r="C1498" t="str">
        <f t="shared" si="628"/>
        <v>0000809401</v>
      </c>
      <c r="D1498" t="str">
        <f t="shared" si="614"/>
        <v>73185</v>
      </c>
      <c r="E1498" t="str">
        <f t="shared" si="615"/>
        <v>KFH-OPERATIONS DEPARTMENT</v>
      </c>
      <c r="F1498" t="str">
        <f t="shared" si="616"/>
        <v>IBG</v>
      </c>
      <c r="G1498" t="str">
        <f t="shared" si="629"/>
        <v>Refund COSHARE 10</v>
      </c>
      <c r="H1498" s="2">
        <v>685.6</v>
      </c>
      <c r="I1498" t="str">
        <f>"SURAYA BINTI ABDUL RAMAN"</f>
        <v>SURAYA BINTI ABDUL RAMAN</v>
      </c>
      <c r="J1498" t="str">
        <f t="shared" si="632"/>
        <v>MAYBANK / MAYBANK ISLAMIC</v>
      </c>
      <c r="K1498" t="str">
        <f>"114301141429"</f>
        <v>114301141429</v>
      </c>
      <c r="L1498" t="str">
        <f t="shared" si="630"/>
        <v>04-08-2020</v>
      </c>
      <c r="M1498" t="str">
        <f t="shared" si="630"/>
        <v>04-08-2020</v>
      </c>
      <c r="N1498" t="str">
        <f t="shared" si="617"/>
        <v>001105018356</v>
      </c>
      <c r="O1498" t="str">
        <f t="shared" si="618"/>
        <v>MYR</v>
      </c>
      <c r="P1498" t="str">
        <f t="shared" si="631"/>
        <v>NIL</v>
      </c>
      <c r="Q1498" t="str">
        <f t="shared" si="631"/>
        <v>NIL</v>
      </c>
      <c r="R1498" t="str">
        <f t="shared" si="619"/>
        <v>Accepted</v>
      </c>
      <c r="S1498" t="str">
        <f t="shared" si="620"/>
        <v>Approved</v>
      </c>
      <c r="T1498" t="str">
        <f t="shared" si="621"/>
        <v>10.20.8.188</v>
      </c>
      <c r="U1498" t="str">
        <f t="shared" si="622"/>
        <v>AZRAD UMAR BIN SHAARI</v>
      </c>
      <c r="V1498" t="str">
        <f t="shared" si="623"/>
        <v>FARHANA BINTI MUSTAPA</v>
      </c>
      <c r="W1498" t="str">
        <f t="shared" si="624"/>
        <v>04-08-2020</v>
      </c>
      <c r="X1498" t="str">
        <f t="shared" si="625"/>
        <v>RAZIMAH ANSAR AHMAD</v>
      </c>
      <c r="Y1498" t="str">
        <f t="shared" si="626"/>
        <v>04-08-2020</v>
      </c>
      <c r="Z1498" t="str">
        <f>"COS10200804 7656"</f>
        <v>COS10200804 7656</v>
      </c>
    </row>
    <row r="1499" spans="1:26" x14ac:dyDescent="0.25">
      <c r="A1499" t="str">
        <f t="shared" si="627"/>
        <v>04-08-2020 01:08:11</v>
      </c>
      <c r="B1499" t="str">
        <f>"0000809456"</f>
        <v>0000809456</v>
      </c>
      <c r="C1499" t="str">
        <f t="shared" si="628"/>
        <v>0000809401</v>
      </c>
      <c r="D1499" t="str">
        <f t="shared" si="614"/>
        <v>73185</v>
      </c>
      <c r="E1499" t="str">
        <f t="shared" si="615"/>
        <v>KFH-OPERATIONS DEPARTMENT</v>
      </c>
      <c r="F1499" t="str">
        <f t="shared" si="616"/>
        <v>IBG</v>
      </c>
      <c r="G1499" t="str">
        <f t="shared" si="629"/>
        <v>Refund COSHARE 10</v>
      </c>
      <c r="H1499" s="2">
        <v>1679</v>
      </c>
      <c r="I1499" t="str">
        <f>"SURAYA BINTI ABDUL RAHIM"</f>
        <v>SURAYA BINTI ABDUL RAHIM</v>
      </c>
      <c r="J1499" t="str">
        <f t="shared" si="632"/>
        <v>MAYBANK / MAYBANK ISLAMIC</v>
      </c>
      <c r="K1499" t="str">
        <f>"151025620278"</f>
        <v>151025620278</v>
      </c>
      <c r="L1499" t="str">
        <f t="shared" si="630"/>
        <v>04-08-2020</v>
      </c>
      <c r="M1499" t="str">
        <f t="shared" si="630"/>
        <v>04-08-2020</v>
      </c>
      <c r="N1499" t="str">
        <f t="shared" si="617"/>
        <v>001105018356</v>
      </c>
      <c r="O1499" t="str">
        <f t="shared" si="618"/>
        <v>MYR</v>
      </c>
      <c r="P1499" t="str">
        <f t="shared" si="631"/>
        <v>NIL</v>
      </c>
      <c r="Q1499" t="str">
        <f t="shared" si="631"/>
        <v>NIL</v>
      </c>
      <c r="R1499" t="str">
        <f t="shared" si="619"/>
        <v>Accepted</v>
      </c>
      <c r="S1499" t="str">
        <f t="shared" si="620"/>
        <v>Approved</v>
      </c>
      <c r="T1499" t="str">
        <f t="shared" si="621"/>
        <v>10.20.8.188</v>
      </c>
      <c r="U1499" t="str">
        <f t="shared" si="622"/>
        <v>AZRAD UMAR BIN SHAARI</v>
      </c>
      <c r="V1499" t="str">
        <f t="shared" si="623"/>
        <v>FARHANA BINTI MUSTAPA</v>
      </c>
      <c r="W1499" t="str">
        <f t="shared" si="624"/>
        <v>04-08-2020</v>
      </c>
      <c r="X1499" t="str">
        <f t="shared" si="625"/>
        <v>RAZIMAH ANSAR AHMAD</v>
      </c>
      <c r="Y1499" t="str">
        <f t="shared" si="626"/>
        <v>04-08-2020</v>
      </c>
      <c r="Z1499" t="str">
        <f>"COS10200804 7655"</f>
        <v>COS10200804 7655</v>
      </c>
    </row>
    <row r="1500" spans="1:26" x14ac:dyDescent="0.25">
      <c r="A1500" t="str">
        <f t="shared" si="627"/>
        <v>04-08-2020 01:08:11</v>
      </c>
      <c r="B1500" t="str">
        <f>"0000809455"</f>
        <v>0000809455</v>
      </c>
      <c r="C1500" t="str">
        <f t="shared" si="628"/>
        <v>0000809401</v>
      </c>
      <c r="D1500" t="str">
        <f t="shared" si="614"/>
        <v>73185</v>
      </c>
      <c r="E1500" t="str">
        <f t="shared" si="615"/>
        <v>KFH-OPERATIONS DEPARTMENT</v>
      </c>
      <c r="F1500" t="str">
        <f t="shared" si="616"/>
        <v>IBG</v>
      </c>
      <c r="G1500" t="str">
        <f t="shared" si="629"/>
        <v>Refund COSHARE 10</v>
      </c>
      <c r="H1500" s="2">
        <v>607</v>
      </c>
      <c r="I1500" t="str">
        <f>"SURAINI BINTI SAMSU"</f>
        <v>SURAINI BINTI SAMSU</v>
      </c>
      <c r="J1500" t="str">
        <f t="shared" si="632"/>
        <v>MAYBANK / MAYBANK ISLAMIC</v>
      </c>
      <c r="K1500" t="str">
        <f>"102063469730"</f>
        <v>102063469730</v>
      </c>
      <c r="L1500" t="str">
        <f t="shared" si="630"/>
        <v>04-08-2020</v>
      </c>
      <c r="M1500" t="str">
        <f t="shared" si="630"/>
        <v>04-08-2020</v>
      </c>
      <c r="N1500" t="str">
        <f t="shared" si="617"/>
        <v>001105018356</v>
      </c>
      <c r="O1500" t="str">
        <f t="shared" si="618"/>
        <v>MYR</v>
      </c>
      <c r="P1500" t="str">
        <f t="shared" si="631"/>
        <v>NIL</v>
      </c>
      <c r="Q1500" t="str">
        <f t="shared" si="631"/>
        <v>NIL</v>
      </c>
      <c r="R1500" t="str">
        <f t="shared" si="619"/>
        <v>Accepted</v>
      </c>
      <c r="S1500" t="str">
        <f t="shared" si="620"/>
        <v>Approved</v>
      </c>
      <c r="T1500" t="str">
        <f t="shared" si="621"/>
        <v>10.20.8.188</v>
      </c>
      <c r="U1500" t="str">
        <f t="shared" si="622"/>
        <v>AZRAD UMAR BIN SHAARI</v>
      </c>
      <c r="V1500" t="str">
        <f t="shared" si="623"/>
        <v>FARHANA BINTI MUSTAPA</v>
      </c>
      <c r="W1500" t="str">
        <f t="shared" si="624"/>
        <v>04-08-2020</v>
      </c>
      <c r="X1500" t="str">
        <f t="shared" si="625"/>
        <v>RAZIMAH ANSAR AHMAD</v>
      </c>
      <c r="Y1500" t="str">
        <f t="shared" si="626"/>
        <v>04-08-2020</v>
      </c>
      <c r="Z1500" t="str">
        <f>"COS10200804 7654"</f>
        <v>COS10200804 7654</v>
      </c>
    </row>
    <row r="1501" spans="1:26" x14ac:dyDescent="0.25">
      <c r="A1501" t="str">
        <f t="shared" si="627"/>
        <v>04-08-2020 01:08:11</v>
      </c>
      <c r="B1501" t="str">
        <f>"0000809454"</f>
        <v>0000809454</v>
      </c>
      <c r="C1501" t="str">
        <f t="shared" si="628"/>
        <v>0000809401</v>
      </c>
      <c r="D1501" t="str">
        <f t="shared" si="614"/>
        <v>73185</v>
      </c>
      <c r="E1501" t="str">
        <f t="shared" si="615"/>
        <v>KFH-OPERATIONS DEPARTMENT</v>
      </c>
      <c r="F1501" t="str">
        <f t="shared" si="616"/>
        <v>IBG</v>
      </c>
      <c r="G1501" t="str">
        <f t="shared" si="629"/>
        <v>Refund COSHARE 10</v>
      </c>
      <c r="H1501" s="2">
        <v>71</v>
      </c>
      <c r="I1501" t="str">
        <f>"SUPIAH BINTI HASSAN"</f>
        <v>SUPIAH BINTI HASSAN</v>
      </c>
      <c r="J1501" t="str">
        <f t="shared" si="632"/>
        <v>MAYBANK / MAYBANK ISLAMIC</v>
      </c>
      <c r="K1501" t="str">
        <f>"160166056152"</f>
        <v>160166056152</v>
      </c>
      <c r="L1501" t="str">
        <f t="shared" si="630"/>
        <v>04-08-2020</v>
      </c>
      <c r="M1501" t="str">
        <f t="shared" si="630"/>
        <v>04-08-2020</v>
      </c>
      <c r="N1501" t="str">
        <f t="shared" si="617"/>
        <v>001105018356</v>
      </c>
      <c r="O1501" t="str">
        <f t="shared" si="618"/>
        <v>MYR</v>
      </c>
      <c r="P1501" t="str">
        <f t="shared" si="631"/>
        <v>NIL</v>
      </c>
      <c r="Q1501" t="str">
        <f t="shared" si="631"/>
        <v>NIL</v>
      </c>
      <c r="R1501" t="str">
        <f t="shared" si="619"/>
        <v>Accepted</v>
      </c>
      <c r="S1501" t="str">
        <f t="shared" si="620"/>
        <v>Approved</v>
      </c>
      <c r="T1501" t="str">
        <f t="shared" si="621"/>
        <v>10.20.8.188</v>
      </c>
      <c r="U1501" t="str">
        <f t="shared" si="622"/>
        <v>AZRAD UMAR BIN SHAARI</v>
      </c>
      <c r="V1501" t="str">
        <f t="shared" si="623"/>
        <v>FARHANA BINTI MUSTAPA</v>
      </c>
      <c r="W1501" t="str">
        <f t="shared" si="624"/>
        <v>04-08-2020</v>
      </c>
      <c r="X1501" t="str">
        <f t="shared" si="625"/>
        <v>RAZIMAH ANSAR AHMAD</v>
      </c>
      <c r="Y1501" t="str">
        <f t="shared" si="626"/>
        <v>04-08-2020</v>
      </c>
      <c r="Z1501" t="str">
        <f>"COS10200804 7653"</f>
        <v>COS10200804 7653</v>
      </c>
    </row>
    <row r="1502" spans="1:26" x14ac:dyDescent="0.25">
      <c r="A1502" t="str">
        <f t="shared" si="627"/>
        <v>04-08-2020 01:08:11</v>
      </c>
      <c r="B1502" t="str">
        <f>"0000809453"</f>
        <v>0000809453</v>
      </c>
      <c r="C1502" t="str">
        <f t="shared" si="628"/>
        <v>0000809401</v>
      </c>
      <c r="D1502" t="str">
        <f t="shared" si="614"/>
        <v>73185</v>
      </c>
      <c r="E1502" t="str">
        <f t="shared" si="615"/>
        <v>KFH-OPERATIONS DEPARTMENT</v>
      </c>
      <c r="F1502" t="str">
        <f t="shared" si="616"/>
        <v>IBG</v>
      </c>
      <c r="G1502" t="str">
        <f t="shared" si="629"/>
        <v>Refund COSHARE 10</v>
      </c>
      <c r="H1502" s="2">
        <v>75.599999999999994</v>
      </c>
      <c r="I1502" t="str">
        <f>"SUNITA BINTI SHAMSUDIN"</f>
        <v>SUNITA BINTI SHAMSUDIN</v>
      </c>
      <c r="J1502" t="str">
        <f t="shared" si="632"/>
        <v>MAYBANK / MAYBANK ISLAMIC</v>
      </c>
      <c r="K1502" t="str">
        <f>"157344054988"</f>
        <v>157344054988</v>
      </c>
      <c r="L1502" t="str">
        <f t="shared" si="630"/>
        <v>04-08-2020</v>
      </c>
      <c r="M1502" t="str">
        <f t="shared" si="630"/>
        <v>04-08-2020</v>
      </c>
      <c r="N1502" t="str">
        <f t="shared" si="617"/>
        <v>001105018356</v>
      </c>
      <c r="O1502" t="str">
        <f t="shared" si="618"/>
        <v>MYR</v>
      </c>
      <c r="P1502" t="str">
        <f t="shared" si="631"/>
        <v>NIL</v>
      </c>
      <c r="Q1502" t="str">
        <f t="shared" si="631"/>
        <v>NIL</v>
      </c>
      <c r="R1502" t="str">
        <f t="shared" si="619"/>
        <v>Accepted</v>
      </c>
      <c r="S1502" t="str">
        <f t="shared" si="620"/>
        <v>Approved</v>
      </c>
      <c r="T1502" t="str">
        <f t="shared" si="621"/>
        <v>10.20.8.188</v>
      </c>
      <c r="U1502" t="str">
        <f t="shared" si="622"/>
        <v>AZRAD UMAR BIN SHAARI</v>
      </c>
      <c r="V1502" t="str">
        <f t="shared" si="623"/>
        <v>FARHANA BINTI MUSTAPA</v>
      </c>
      <c r="W1502" t="str">
        <f t="shared" si="624"/>
        <v>04-08-2020</v>
      </c>
      <c r="X1502" t="str">
        <f t="shared" si="625"/>
        <v>RAZIMAH ANSAR AHMAD</v>
      </c>
      <c r="Y1502" t="str">
        <f t="shared" si="626"/>
        <v>04-08-2020</v>
      </c>
      <c r="Z1502" t="str">
        <f>"COS10200804 7652"</f>
        <v>COS10200804 7652</v>
      </c>
    </row>
    <row r="1503" spans="1:26" x14ac:dyDescent="0.25">
      <c r="A1503" t="str">
        <f t="shared" si="627"/>
        <v>04-08-2020 01:08:11</v>
      </c>
      <c r="B1503" t="str">
        <f>"0000809452"</f>
        <v>0000809452</v>
      </c>
      <c r="C1503" t="str">
        <f t="shared" si="628"/>
        <v>0000809401</v>
      </c>
      <c r="D1503" t="str">
        <f t="shared" si="614"/>
        <v>73185</v>
      </c>
      <c r="E1503" t="str">
        <f t="shared" si="615"/>
        <v>KFH-OPERATIONS DEPARTMENT</v>
      </c>
      <c r="F1503" t="str">
        <f t="shared" si="616"/>
        <v>IBG</v>
      </c>
      <c r="G1503" t="str">
        <f t="shared" si="629"/>
        <v>Refund COSHARE 10</v>
      </c>
      <c r="H1503" s="2">
        <v>76</v>
      </c>
      <c r="I1503" t="str">
        <f>"SUMMAIYAH  UMMAIYAH BINTI MOHD BIDIN"</f>
        <v>SUMMAIYAH  UMMAIYAH BINTI MOHD BIDIN</v>
      </c>
      <c r="J1503" t="str">
        <f t="shared" si="632"/>
        <v>MAYBANK / MAYBANK ISLAMIC</v>
      </c>
      <c r="K1503" t="str">
        <f>"158453023923"</f>
        <v>158453023923</v>
      </c>
      <c r="L1503" t="str">
        <f t="shared" si="630"/>
        <v>04-08-2020</v>
      </c>
      <c r="M1503" t="str">
        <f t="shared" si="630"/>
        <v>04-08-2020</v>
      </c>
      <c r="N1503" t="str">
        <f t="shared" si="617"/>
        <v>001105018356</v>
      </c>
      <c r="O1503" t="str">
        <f t="shared" si="618"/>
        <v>MYR</v>
      </c>
      <c r="P1503" t="str">
        <f t="shared" si="631"/>
        <v>NIL</v>
      </c>
      <c r="Q1503" t="str">
        <f t="shared" si="631"/>
        <v>NIL</v>
      </c>
      <c r="R1503" t="str">
        <f t="shared" si="619"/>
        <v>Accepted</v>
      </c>
      <c r="S1503" t="str">
        <f t="shared" si="620"/>
        <v>Approved</v>
      </c>
      <c r="T1503" t="str">
        <f t="shared" si="621"/>
        <v>10.20.8.188</v>
      </c>
      <c r="U1503" t="str">
        <f t="shared" si="622"/>
        <v>AZRAD UMAR BIN SHAARI</v>
      </c>
      <c r="V1503" t="str">
        <f t="shared" si="623"/>
        <v>FARHANA BINTI MUSTAPA</v>
      </c>
      <c r="W1503" t="str">
        <f t="shared" si="624"/>
        <v>04-08-2020</v>
      </c>
      <c r="X1503" t="str">
        <f t="shared" si="625"/>
        <v>RAZIMAH ANSAR AHMAD</v>
      </c>
      <c r="Y1503" t="str">
        <f t="shared" si="626"/>
        <v>04-08-2020</v>
      </c>
      <c r="Z1503" t="str">
        <f>"COS10200804 7651"</f>
        <v>COS10200804 7651</v>
      </c>
    </row>
    <row r="1504" spans="1:26" x14ac:dyDescent="0.25">
      <c r="A1504" t="str">
        <f t="shared" si="627"/>
        <v>04-08-2020 01:08:11</v>
      </c>
      <c r="B1504" t="str">
        <f>"0000809451"</f>
        <v>0000809451</v>
      </c>
      <c r="C1504" t="str">
        <f t="shared" si="628"/>
        <v>0000809401</v>
      </c>
      <c r="D1504" t="str">
        <f t="shared" si="614"/>
        <v>73185</v>
      </c>
      <c r="E1504" t="str">
        <f t="shared" si="615"/>
        <v>KFH-OPERATIONS DEPARTMENT</v>
      </c>
      <c r="F1504" t="str">
        <f t="shared" si="616"/>
        <v>IBG</v>
      </c>
      <c r="G1504" t="str">
        <f t="shared" si="629"/>
        <v>Refund COSHARE 10</v>
      </c>
      <c r="H1504" s="2">
        <v>840</v>
      </c>
      <c r="I1504" t="str">
        <f>"SULIZAWATI BINTI ZAKARIA"</f>
        <v>SULIZAWATI BINTI ZAKARIA</v>
      </c>
      <c r="J1504" t="str">
        <f t="shared" si="632"/>
        <v>MAYBANK / MAYBANK ISLAMIC</v>
      </c>
      <c r="K1504" t="str">
        <f>"151212905206"</f>
        <v>151212905206</v>
      </c>
      <c r="L1504" t="str">
        <f t="shared" si="630"/>
        <v>04-08-2020</v>
      </c>
      <c r="M1504" t="str">
        <f t="shared" si="630"/>
        <v>04-08-2020</v>
      </c>
      <c r="N1504" t="str">
        <f t="shared" si="617"/>
        <v>001105018356</v>
      </c>
      <c r="O1504" t="str">
        <f t="shared" si="618"/>
        <v>MYR</v>
      </c>
      <c r="P1504" t="str">
        <f t="shared" si="631"/>
        <v>NIL</v>
      </c>
      <c r="Q1504" t="str">
        <f t="shared" si="631"/>
        <v>NIL</v>
      </c>
      <c r="R1504" t="str">
        <f t="shared" si="619"/>
        <v>Accepted</v>
      </c>
      <c r="S1504" t="str">
        <f t="shared" si="620"/>
        <v>Approved</v>
      </c>
      <c r="T1504" t="str">
        <f t="shared" si="621"/>
        <v>10.20.8.188</v>
      </c>
      <c r="U1504" t="str">
        <f t="shared" si="622"/>
        <v>AZRAD UMAR BIN SHAARI</v>
      </c>
      <c r="V1504" t="str">
        <f t="shared" si="623"/>
        <v>FARHANA BINTI MUSTAPA</v>
      </c>
      <c r="W1504" t="str">
        <f t="shared" si="624"/>
        <v>04-08-2020</v>
      </c>
      <c r="X1504" t="str">
        <f t="shared" si="625"/>
        <v>RAZIMAH ANSAR AHMAD</v>
      </c>
      <c r="Y1504" t="str">
        <f t="shared" si="626"/>
        <v>04-08-2020</v>
      </c>
      <c r="Z1504" t="str">
        <f>"COS10200804 7650"</f>
        <v>COS10200804 7650</v>
      </c>
    </row>
    <row r="1505" spans="1:26" x14ac:dyDescent="0.25">
      <c r="A1505" t="str">
        <f t="shared" si="627"/>
        <v>04-08-2020 01:08:11</v>
      </c>
      <c r="B1505" t="str">
        <f>"0000809450"</f>
        <v>0000809450</v>
      </c>
      <c r="C1505" t="str">
        <f t="shared" si="628"/>
        <v>0000809401</v>
      </c>
      <c r="D1505" t="str">
        <f t="shared" si="614"/>
        <v>73185</v>
      </c>
      <c r="E1505" t="str">
        <f t="shared" si="615"/>
        <v>KFH-OPERATIONS DEPARTMENT</v>
      </c>
      <c r="F1505" t="str">
        <f t="shared" si="616"/>
        <v>IBG</v>
      </c>
      <c r="G1505" t="str">
        <f t="shared" si="629"/>
        <v>Refund COSHARE 10</v>
      </c>
      <c r="H1505" s="2">
        <v>737</v>
      </c>
      <c r="I1505" t="str">
        <f>"SULAIMAN BIN YAHAYA"</f>
        <v>SULAIMAN BIN YAHAYA</v>
      </c>
      <c r="J1505" t="str">
        <f t="shared" si="632"/>
        <v>MAYBANK / MAYBANK ISLAMIC</v>
      </c>
      <c r="K1505" t="str">
        <f>"108122221405"</f>
        <v>108122221405</v>
      </c>
      <c r="L1505" t="str">
        <f t="shared" si="630"/>
        <v>04-08-2020</v>
      </c>
      <c r="M1505" t="str">
        <f t="shared" si="630"/>
        <v>04-08-2020</v>
      </c>
      <c r="N1505" t="str">
        <f t="shared" si="617"/>
        <v>001105018356</v>
      </c>
      <c r="O1505" t="str">
        <f t="shared" si="618"/>
        <v>MYR</v>
      </c>
      <c r="P1505" t="str">
        <f t="shared" si="631"/>
        <v>NIL</v>
      </c>
      <c r="Q1505" t="str">
        <f t="shared" si="631"/>
        <v>NIL</v>
      </c>
      <c r="R1505" t="str">
        <f t="shared" si="619"/>
        <v>Accepted</v>
      </c>
      <c r="S1505" t="str">
        <f t="shared" si="620"/>
        <v>Approved</v>
      </c>
      <c r="T1505" t="str">
        <f t="shared" si="621"/>
        <v>10.20.8.188</v>
      </c>
      <c r="U1505" t="str">
        <f t="shared" si="622"/>
        <v>AZRAD UMAR BIN SHAARI</v>
      </c>
      <c r="V1505" t="str">
        <f t="shared" si="623"/>
        <v>FARHANA BINTI MUSTAPA</v>
      </c>
      <c r="W1505" t="str">
        <f t="shared" si="624"/>
        <v>04-08-2020</v>
      </c>
      <c r="X1505" t="str">
        <f t="shared" si="625"/>
        <v>RAZIMAH ANSAR AHMAD</v>
      </c>
      <c r="Y1505" t="str">
        <f t="shared" si="626"/>
        <v>04-08-2020</v>
      </c>
      <c r="Z1505" t="str">
        <f>"COS10200804 7649"</f>
        <v>COS10200804 7649</v>
      </c>
    </row>
    <row r="1506" spans="1:26" x14ac:dyDescent="0.25">
      <c r="A1506" t="str">
        <f t="shared" si="627"/>
        <v>04-08-2020 01:08:11</v>
      </c>
      <c r="B1506" t="str">
        <f>"0000809449"</f>
        <v>0000809449</v>
      </c>
      <c r="C1506" t="str">
        <f t="shared" si="628"/>
        <v>0000809401</v>
      </c>
      <c r="D1506" t="str">
        <f t="shared" si="614"/>
        <v>73185</v>
      </c>
      <c r="E1506" t="str">
        <f t="shared" si="615"/>
        <v>KFH-OPERATIONS DEPARTMENT</v>
      </c>
      <c r="F1506" t="str">
        <f t="shared" si="616"/>
        <v>IBG</v>
      </c>
      <c r="G1506" t="str">
        <f t="shared" si="629"/>
        <v>Refund COSHARE 10</v>
      </c>
      <c r="H1506" s="2">
        <v>737</v>
      </c>
      <c r="I1506" t="str">
        <f>"SULAIMAN BIN YAHAYA"</f>
        <v>SULAIMAN BIN YAHAYA</v>
      </c>
      <c r="J1506" t="str">
        <f t="shared" si="632"/>
        <v>MAYBANK / MAYBANK ISLAMIC</v>
      </c>
      <c r="K1506" t="str">
        <f>"108122221405"</f>
        <v>108122221405</v>
      </c>
      <c r="L1506" t="str">
        <f t="shared" si="630"/>
        <v>04-08-2020</v>
      </c>
      <c r="M1506" t="str">
        <f t="shared" si="630"/>
        <v>04-08-2020</v>
      </c>
      <c r="N1506" t="str">
        <f t="shared" si="617"/>
        <v>001105018356</v>
      </c>
      <c r="O1506" t="str">
        <f t="shared" si="618"/>
        <v>MYR</v>
      </c>
      <c r="P1506" t="str">
        <f t="shared" si="631"/>
        <v>NIL</v>
      </c>
      <c r="Q1506" t="str">
        <f t="shared" si="631"/>
        <v>NIL</v>
      </c>
      <c r="R1506" t="str">
        <f t="shared" si="619"/>
        <v>Accepted</v>
      </c>
      <c r="S1506" t="str">
        <f t="shared" si="620"/>
        <v>Approved</v>
      </c>
      <c r="T1506" t="str">
        <f t="shared" si="621"/>
        <v>10.20.8.188</v>
      </c>
      <c r="U1506" t="str">
        <f t="shared" si="622"/>
        <v>AZRAD UMAR BIN SHAARI</v>
      </c>
      <c r="V1506" t="str">
        <f t="shared" si="623"/>
        <v>FARHANA BINTI MUSTAPA</v>
      </c>
      <c r="W1506" t="str">
        <f t="shared" si="624"/>
        <v>04-08-2020</v>
      </c>
      <c r="X1506" t="str">
        <f t="shared" si="625"/>
        <v>RAZIMAH ANSAR AHMAD</v>
      </c>
      <c r="Y1506" t="str">
        <f t="shared" si="626"/>
        <v>04-08-2020</v>
      </c>
      <c r="Z1506" t="str">
        <f>"COS10200804 7648"</f>
        <v>COS10200804 7648</v>
      </c>
    </row>
    <row r="1507" spans="1:26" x14ac:dyDescent="0.25">
      <c r="A1507" t="str">
        <f t="shared" si="627"/>
        <v>04-08-2020 01:08:11</v>
      </c>
      <c r="B1507" t="str">
        <f>"0000809448"</f>
        <v>0000809448</v>
      </c>
      <c r="C1507" t="str">
        <f t="shared" si="628"/>
        <v>0000809401</v>
      </c>
      <c r="D1507" t="str">
        <f t="shared" si="614"/>
        <v>73185</v>
      </c>
      <c r="E1507" t="str">
        <f t="shared" si="615"/>
        <v>KFH-OPERATIONS DEPARTMENT</v>
      </c>
      <c r="F1507" t="str">
        <f t="shared" si="616"/>
        <v>IBG</v>
      </c>
      <c r="G1507" t="str">
        <f t="shared" si="629"/>
        <v>Refund COSHARE 10</v>
      </c>
      <c r="H1507" s="2">
        <v>419.75</v>
      </c>
      <c r="I1507" t="str">
        <f>"SULAIMAN BIN MOHD YUSOF"</f>
        <v>SULAIMAN BIN MOHD YUSOF</v>
      </c>
      <c r="J1507" t="str">
        <f t="shared" si="632"/>
        <v>MAYBANK / MAYBANK ISLAMIC</v>
      </c>
      <c r="K1507" t="str">
        <f>"164098512523"</f>
        <v>164098512523</v>
      </c>
      <c r="L1507" t="str">
        <f t="shared" ref="L1507:M1526" si="633">"04-08-2020"</f>
        <v>04-08-2020</v>
      </c>
      <c r="M1507" t="str">
        <f t="shared" si="633"/>
        <v>04-08-2020</v>
      </c>
      <c r="N1507" t="str">
        <f t="shared" si="617"/>
        <v>001105018356</v>
      </c>
      <c r="O1507" t="str">
        <f t="shared" si="618"/>
        <v>MYR</v>
      </c>
      <c r="P1507" t="str">
        <f t="shared" ref="P1507:Q1526" si="634">"NIL"</f>
        <v>NIL</v>
      </c>
      <c r="Q1507" t="str">
        <f t="shared" si="634"/>
        <v>NIL</v>
      </c>
      <c r="R1507" t="str">
        <f t="shared" si="619"/>
        <v>Accepted</v>
      </c>
      <c r="S1507" t="str">
        <f t="shared" si="620"/>
        <v>Approved</v>
      </c>
      <c r="T1507" t="str">
        <f t="shared" si="621"/>
        <v>10.20.8.188</v>
      </c>
      <c r="U1507" t="str">
        <f t="shared" si="622"/>
        <v>AZRAD UMAR BIN SHAARI</v>
      </c>
      <c r="V1507" t="str">
        <f t="shared" si="623"/>
        <v>FARHANA BINTI MUSTAPA</v>
      </c>
      <c r="W1507" t="str">
        <f t="shared" si="624"/>
        <v>04-08-2020</v>
      </c>
      <c r="X1507" t="str">
        <f t="shared" si="625"/>
        <v>RAZIMAH ANSAR AHMAD</v>
      </c>
      <c r="Y1507" t="str">
        <f t="shared" si="626"/>
        <v>04-08-2020</v>
      </c>
      <c r="Z1507" t="str">
        <f>"COS10200804 7647"</f>
        <v>COS10200804 7647</v>
      </c>
    </row>
    <row r="1508" spans="1:26" x14ac:dyDescent="0.25">
      <c r="A1508" t="str">
        <f t="shared" si="627"/>
        <v>04-08-2020 01:08:11</v>
      </c>
      <c r="B1508" t="str">
        <f>"0000809447"</f>
        <v>0000809447</v>
      </c>
      <c r="C1508" t="str">
        <f t="shared" si="628"/>
        <v>0000809401</v>
      </c>
      <c r="D1508" t="str">
        <f t="shared" si="614"/>
        <v>73185</v>
      </c>
      <c r="E1508" t="str">
        <f t="shared" si="615"/>
        <v>KFH-OPERATIONS DEPARTMENT</v>
      </c>
      <c r="F1508" t="str">
        <f t="shared" si="616"/>
        <v>IBG</v>
      </c>
      <c r="G1508" t="str">
        <f t="shared" si="629"/>
        <v>Refund COSHARE 10</v>
      </c>
      <c r="H1508" s="2">
        <v>788.15</v>
      </c>
      <c r="I1508" t="str">
        <f>"SULAIMAN BIN MOHD SAAD"</f>
        <v>SULAIMAN BIN MOHD SAAD</v>
      </c>
      <c r="J1508" t="str">
        <f t="shared" si="632"/>
        <v>MAYBANK / MAYBANK ISLAMIC</v>
      </c>
      <c r="K1508" t="str">
        <f>"164557014062"</f>
        <v>164557014062</v>
      </c>
      <c r="L1508" t="str">
        <f t="shared" si="633"/>
        <v>04-08-2020</v>
      </c>
      <c r="M1508" t="str">
        <f t="shared" si="633"/>
        <v>04-08-2020</v>
      </c>
      <c r="N1508" t="str">
        <f t="shared" si="617"/>
        <v>001105018356</v>
      </c>
      <c r="O1508" t="str">
        <f t="shared" si="618"/>
        <v>MYR</v>
      </c>
      <c r="P1508" t="str">
        <f t="shared" si="634"/>
        <v>NIL</v>
      </c>
      <c r="Q1508" t="str">
        <f t="shared" si="634"/>
        <v>NIL</v>
      </c>
      <c r="R1508" t="str">
        <f t="shared" si="619"/>
        <v>Accepted</v>
      </c>
      <c r="S1508" t="str">
        <f t="shared" si="620"/>
        <v>Approved</v>
      </c>
      <c r="T1508" t="str">
        <f t="shared" si="621"/>
        <v>10.20.8.188</v>
      </c>
      <c r="U1508" t="str">
        <f t="shared" si="622"/>
        <v>AZRAD UMAR BIN SHAARI</v>
      </c>
      <c r="V1508" t="str">
        <f t="shared" si="623"/>
        <v>FARHANA BINTI MUSTAPA</v>
      </c>
      <c r="W1508" t="str">
        <f t="shared" si="624"/>
        <v>04-08-2020</v>
      </c>
      <c r="X1508" t="str">
        <f t="shared" si="625"/>
        <v>RAZIMAH ANSAR AHMAD</v>
      </c>
      <c r="Y1508" t="str">
        <f t="shared" si="626"/>
        <v>04-08-2020</v>
      </c>
      <c r="Z1508" t="str">
        <f>"COS10200804 7646"</f>
        <v>COS10200804 7646</v>
      </c>
    </row>
    <row r="1509" spans="1:26" x14ac:dyDescent="0.25">
      <c r="A1509" t="str">
        <f t="shared" si="627"/>
        <v>04-08-2020 01:08:11</v>
      </c>
      <c r="B1509" t="str">
        <f>"0000809446"</f>
        <v>0000809446</v>
      </c>
      <c r="C1509" t="str">
        <f t="shared" si="628"/>
        <v>0000809401</v>
      </c>
      <c r="D1509" t="str">
        <f t="shared" si="614"/>
        <v>73185</v>
      </c>
      <c r="E1509" t="str">
        <f t="shared" si="615"/>
        <v>KFH-OPERATIONS DEPARTMENT</v>
      </c>
      <c r="F1509" t="str">
        <f t="shared" si="616"/>
        <v>IBG</v>
      </c>
      <c r="G1509" t="str">
        <f t="shared" si="629"/>
        <v>Refund COSHARE 10</v>
      </c>
      <c r="H1509" s="2">
        <v>1518</v>
      </c>
      <c r="I1509" t="str">
        <f>"SULAIMAN BIN MOHD NOR"</f>
        <v>SULAIMAN BIN MOHD NOR</v>
      </c>
      <c r="J1509" t="str">
        <f t="shared" si="632"/>
        <v>MAYBANK / MAYBANK ISLAMIC</v>
      </c>
      <c r="K1509" t="str">
        <f>"155023278149"</f>
        <v>155023278149</v>
      </c>
      <c r="L1509" t="str">
        <f t="shared" si="633"/>
        <v>04-08-2020</v>
      </c>
      <c r="M1509" t="str">
        <f t="shared" si="633"/>
        <v>04-08-2020</v>
      </c>
      <c r="N1509" t="str">
        <f t="shared" si="617"/>
        <v>001105018356</v>
      </c>
      <c r="O1509" t="str">
        <f t="shared" si="618"/>
        <v>MYR</v>
      </c>
      <c r="P1509" t="str">
        <f t="shared" si="634"/>
        <v>NIL</v>
      </c>
      <c r="Q1509" t="str">
        <f t="shared" si="634"/>
        <v>NIL</v>
      </c>
      <c r="R1509" t="str">
        <f t="shared" si="619"/>
        <v>Accepted</v>
      </c>
      <c r="S1509" t="str">
        <f t="shared" si="620"/>
        <v>Approved</v>
      </c>
      <c r="T1509" t="str">
        <f t="shared" si="621"/>
        <v>10.20.8.188</v>
      </c>
      <c r="U1509" t="str">
        <f t="shared" si="622"/>
        <v>AZRAD UMAR BIN SHAARI</v>
      </c>
      <c r="V1509" t="str">
        <f t="shared" si="623"/>
        <v>FARHANA BINTI MUSTAPA</v>
      </c>
      <c r="W1509" t="str">
        <f t="shared" si="624"/>
        <v>04-08-2020</v>
      </c>
      <c r="X1509" t="str">
        <f t="shared" si="625"/>
        <v>RAZIMAH ANSAR AHMAD</v>
      </c>
      <c r="Y1509" t="str">
        <f t="shared" si="626"/>
        <v>04-08-2020</v>
      </c>
      <c r="Z1509" t="str">
        <f>"COS10200804 7645"</f>
        <v>COS10200804 7645</v>
      </c>
    </row>
    <row r="1510" spans="1:26" x14ac:dyDescent="0.25">
      <c r="A1510" t="str">
        <f t="shared" si="627"/>
        <v>04-08-2020 01:08:11</v>
      </c>
      <c r="B1510" t="str">
        <f>"0000809445"</f>
        <v>0000809445</v>
      </c>
      <c r="C1510" t="str">
        <f t="shared" si="628"/>
        <v>0000809401</v>
      </c>
      <c r="D1510" t="str">
        <f t="shared" si="614"/>
        <v>73185</v>
      </c>
      <c r="E1510" t="str">
        <f t="shared" si="615"/>
        <v>KFH-OPERATIONS DEPARTMENT</v>
      </c>
      <c r="F1510" t="str">
        <f t="shared" si="616"/>
        <v>IBG</v>
      </c>
      <c r="G1510" t="str">
        <f t="shared" si="629"/>
        <v>Refund COSHARE 10</v>
      </c>
      <c r="H1510" s="2">
        <v>205.1</v>
      </c>
      <c r="I1510" t="str">
        <f>"SUKUMARAN AL A RAMIAH"</f>
        <v>SUKUMARAN AL A RAMIAH</v>
      </c>
      <c r="J1510" t="str">
        <f t="shared" si="632"/>
        <v>MAYBANK / MAYBANK ISLAMIC</v>
      </c>
      <c r="K1510" t="str">
        <f>"112026508326"</f>
        <v>112026508326</v>
      </c>
      <c r="L1510" t="str">
        <f t="shared" si="633"/>
        <v>04-08-2020</v>
      </c>
      <c r="M1510" t="str">
        <f t="shared" si="633"/>
        <v>04-08-2020</v>
      </c>
      <c r="N1510" t="str">
        <f t="shared" si="617"/>
        <v>001105018356</v>
      </c>
      <c r="O1510" t="str">
        <f t="shared" si="618"/>
        <v>MYR</v>
      </c>
      <c r="P1510" t="str">
        <f t="shared" si="634"/>
        <v>NIL</v>
      </c>
      <c r="Q1510" t="str">
        <f t="shared" si="634"/>
        <v>NIL</v>
      </c>
      <c r="R1510" t="str">
        <f t="shared" si="619"/>
        <v>Accepted</v>
      </c>
      <c r="S1510" t="str">
        <f t="shared" si="620"/>
        <v>Approved</v>
      </c>
      <c r="T1510" t="str">
        <f t="shared" si="621"/>
        <v>10.20.8.188</v>
      </c>
      <c r="U1510" t="str">
        <f t="shared" si="622"/>
        <v>AZRAD UMAR BIN SHAARI</v>
      </c>
      <c r="V1510" t="str">
        <f t="shared" si="623"/>
        <v>FARHANA BINTI MUSTAPA</v>
      </c>
      <c r="W1510" t="str">
        <f t="shared" si="624"/>
        <v>04-08-2020</v>
      </c>
      <c r="X1510" t="str">
        <f t="shared" si="625"/>
        <v>RAZIMAH ANSAR AHMAD</v>
      </c>
      <c r="Y1510" t="str">
        <f t="shared" si="626"/>
        <v>04-08-2020</v>
      </c>
      <c r="Z1510" t="str">
        <f>"COS10200804 7644"</f>
        <v>COS10200804 7644</v>
      </c>
    </row>
    <row r="1511" spans="1:26" x14ac:dyDescent="0.25">
      <c r="A1511" t="str">
        <f t="shared" si="627"/>
        <v>04-08-2020 01:08:11</v>
      </c>
      <c r="B1511" t="str">
        <f>"0000809444"</f>
        <v>0000809444</v>
      </c>
      <c r="C1511" t="str">
        <f t="shared" si="628"/>
        <v>0000809401</v>
      </c>
      <c r="D1511" t="str">
        <f t="shared" si="614"/>
        <v>73185</v>
      </c>
      <c r="E1511" t="str">
        <f t="shared" si="615"/>
        <v>KFH-OPERATIONS DEPARTMENT</v>
      </c>
      <c r="F1511" t="str">
        <f t="shared" si="616"/>
        <v>IBG</v>
      </c>
      <c r="G1511" t="str">
        <f t="shared" si="629"/>
        <v>Refund COSHARE 10</v>
      </c>
      <c r="H1511" s="2">
        <v>491.15</v>
      </c>
      <c r="I1511" t="str">
        <f>"SUKHAIRONI BIN KAMARUDDIN"</f>
        <v>SUKHAIRONI BIN KAMARUDDIN</v>
      </c>
      <c r="J1511" t="str">
        <f t="shared" si="632"/>
        <v>MAYBANK / MAYBANK ISLAMIC</v>
      </c>
      <c r="K1511" t="str">
        <f>"110107160719"</f>
        <v>110107160719</v>
      </c>
      <c r="L1511" t="str">
        <f t="shared" si="633"/>
        <v>04-08-2020</v>
      </c>
      <c r="M1511" t="str">
        <f t="shared" si="633"/>
        <v>04-08-2020</v>
      </c>
      <c r="N1511" t="str">
        <f t="shared" si="617"/>
        <v>001105018356</v>
      </c>
      <c r="O1511" t="str">
        <f t="shared" si="618"/>
        <v>MYR</v>
      </c>
      <c r="P1511" t="str">
        <f t="shared" si="634"/>
        <v>NIL</v>
      </c>
      <c r="Q1511" t="str">
        <f t="shared" si="634"/>
        <v>NIL</v>
      </c>
      <c r="R1511" t="str">
        <f t="shared" si="619"/>
        <v>Accepted</v>
      </c>
      <c r="S1511" t="str">
        <f t="shared" si="620"/>
        <v>Approved</v>
      </c>
      <c r="T1511" t="str">
        <f t="shared" si="621"/>
        <v>10.20.8.188</v>
      </c>
      <c r="U1511" t="str">
        <f t="shared" si="622"/>
        <v>AZRAD UMAR BIN SHAARI</v>
      </c>
      <c r="V1511" t="str">
        <f t="shared" si="623"/>
        <v>FARHANA BINTI MUSTAPA</v>
      </c>
      <c r="W1511" t="str">
        <f t="shared" si="624"/>
        <v>04-08-2020</v>
      </c>
      <c r="X1511" t="str">
        <f t="shared" si="625"/>
        <v>RAZIMAH ANSAR AHMAD</v>
      </c>
      <c r="Y1511" t="str">
        <f t="shared" si="626"/>
        <v>04-08-2020</v>
      </c>
      <c r="Z1511" t="str">
        <f>"COS10200804 7643"</f>
        <v>COS10200804 7643</v>
      </c>
    </row>
    <row r="1512" spans="1:26" x14ac:dyDescent="0.25">
      <c r="A1512" t="str">
        <f t="shared" si="627"/>
        <v>04-08-2020 01:08:11</v>
      </c>
      <c r="B1512" t="str">
        <f>"0000809443"</f>
        <v>0000809443</v>
      </c>
      <c r="C1512" t="str">
        <f t="shared" si="628"/>
        <v>0000809401</v>
      </c>
      <c r="D1512" t="str">
        <f t="shared" si="614"/>
        <v>73185</v>
      </c>
      <c r="E1512" t="str">
        <f t="shared" si="615"/>
        <v>KFH-OPERATIONS DEPARTMENT</v>
      </c>
      <c r="F1512" t="str">
        <f t="shared" si="616"/>
        <v>IBG</v>
      </c>
      <c r="G1512" t="str">
        <f t="shared" si="629"/>
        <v>Refund COSHARE 10</v>
      </c>
      <c r="H1512" s="2">
        <v>545.70000000000005</v>
      </c>
      <c r="I1512" t="str">
        <f>"SUHILA BINTI ABU SAMAH"</f>
        <v>SUHILA BINTI ABU SAMAH</v>
      </c>
      <c r="J1512" t="str">
        <f t="shared" si="632"/>
        <v>MAYBANK / MAYBANK ISLAMIC</v>
      </c>
      <c r="K1512" t="str">
        <f>"156093937126"</f>
        <v>156093937126</v>
      </c>
      <c r="L1512" t="str">
        <f t="shared" si="633"/>
        <v>04-08-2020</v>
      </c>
      <c r="M1512" t="str">
        <f t="shared" si="633"/>
        <v>04-08-2020</v>
      </c>
      <c r="N1512" t="str">
        <f t="shared" si="617"/>
        <v>001105018356</v>
      </c>
      <c r="O1512" t="str">
        <f t="shared" si="618"/>
        <v>MYR</v>
      </c>
      <c r="P1512" t="str">
        <f t="shared" si="634"/>
        <v>NIL</v>
      </c>
      <c r="Q1512" t="str">
        <f t="shared" si="634"/>
        <v>NIL</v>
      </c>
      <c r="R1512" t="str">
        <f t="shared" si="619"/>
        <v>Accepted</v>
      </c>
      <c r="S1512" t="str">
        <f t="shared" si="620"/>
        <v>Approved</v>
      </c>
      <c r="T1512" t="str">
        <f t="shared" si="621"/>
        <v>10.20.8.188</v>
      </c>
      <c r="U1512" t="str">
        <f t="shared" si="622"/>
        <v>AZRAD UMAR BIN SHAARI</v>
      </c>
      <c r="V1512" t="str">
        <f t="shared" si="623"/>
        <v>FARHANA BINTI MUSTAPA</v>
      </c>
      <c r="W1512" t="str">
        <f t="shared" si="624"/>
        <v>04-08-2020</v>
      </c>
      <c r="X1512" t="str">
        <f t="shared" si="625"/>
        <v>RAZIMAH ANSAR AHMAD</v>
      </c>
      <c r="Y1512" t="str">
        <f t="shared" si="626"/>
        <v>04-08-2020</v>
      </c>
      <c r="Z1512" t="str">
        <f>"COS10200804 7642"</f>
        <v>COS10200804 7642</v>
      </c>
    </row>
    <row r="1513" spans="1:26" x14ac:dyDescent="0.25">
      <c r="A1513" t="str">
        <f t="shared" si="627"/>
        <v>04-08-2020 01:08:11</v>
      </c>
      <c r="B1513" t="str">
        <f>"0000809442"</f>
        <v>0000809442</v>
      </c>
      <c r="C1513" t="str">
        <f t="shared" si="628"/>
        <v>0000809401</v>
      </c>
      <c r="D1513" t="str">
        <f t="shared" si="614"/>
        <v>73185</v>
      </c>
      <c r="E1513" t="str">
        <f t="shared" si="615"/>
        <v>KFH-OPERATIONS DEPARTMENT</v>
      </c>
      <c r="F1513" t="str">
        <f t="shared" si="616"/>
        <v>IBG</v>
      </c>
      <c r="G1513" t="str">
        <f t="shared" si="629"/>
        <v>Refund COSHARE 10</v>
      </c>
      <c r="H1513" s="2">
        <v>491.15</v>
      </c>
      <c r="I1513" t="str">
        <f>"SUHARTI BINTI MOHAMAD"</f>
        <v>SUHARTI BINTI MOHAMAD</v>
      </c>
      <c r="J1513" t="str">
        <f t="shared" si="632"/>
        <v>MAYBANK / MAYBANK ISLAMIC</v>
      </c>
      <c r="K1513" t="str">
        <f>"151146560739"</f>
        <v>151146560739</v>
      </c>
      <c r="L1513" t="str">
        <f t="shared" si="633"/>
        <v>04-08-2020</v>
      </c>
      <c r="M1513" t="str">
        <f t="shared" si="633"/>
        <v>04-08-2020</v>
      </c>
      <c r="N1513" t="str">
        <f t="shared" si="617"/>
        <v>001105018356</v>
      </c>
      <c r="O1513" t="str">
        <f t="shared" si="618"/>
        <v>MYR</v>
      </c>
      <c r="P1513" t="str">
        <f t="shared" si="634"/>
        <v>NIL</v>
      </c>
      <c r="Q1513" t="str">
        <f t="shared" si="634"/>
        <v>NIL</v>
      </c>
      <c r="R1513" t="str">
        <f t="shared" si="619"/>
        <v>Accepted</v>
      </c>
      <c r="S1513" t="str">
        <f t="shared" si="620"/>
        <v>Approved</v>
      </c>
      <c r="T1513" t="str">
        <f t="shared" si="621"/>
        <v>10.20.8.188</v>
      </c>
      <c r="U1513" t="str">
        <f t="shared" si="622"/>
        <v>AZRAD UMAR BIN SHAARI</v>
      </c>
      <c r="V1513" t="str">
        <f t="shared" si="623"/>
        <v>FARHANA BINTI MUSTAPA</v>
      </c>
      <c r="W1513" t="str">
        <f t="shared" si="624"/>
        <v>04-08-2020</v>
      </c>
      <c r="X1513" t="str">
        <f t="shared" si="625"/>
        <v>RAZIMAH ANSAR AHMAD</v>
      </c>
      <c r="Y1513" t="str">
        <f t="shared" si="626"/>
        <v>04-08-2020</v>
      </c>
      <c r="Z1513" t="str">
        <f>"COS10200804 7641"</f>
        <v>COS10200804 7641</v>
      </c>
    </row>
    <row r="1514" spans="1:26" x14ac:dyDescent="0.25">
      <c r="A1514" t="str">
        <f t="shared" ref="A1514:A1545" si="635">"04-08-2020 01:08:11"</f>
        <v>04-08-2020 01:08:11</v>
      </c>
      <c r="B1514" t="str">
        <f>"0000809441"</f>
        <v>0000809441</v>
      </c>
      <c r="C1514" t="str">
        <f t="shared" ref="C1514:C1545" si="636">"0000809401"</f>
        <v>0000809401</v>
      </c>
      <c r="D1514" t="str">
        <f t="shared" si="614"/>
        <v>73185</v>
      </c>
      <c r="E1514" t="str">
        <f t="shared" si="615"/>
        <v>KFH-OPERATIONS DEPARTMENT</v>
      </c>
      <c r="F1514" t="str">
        <f t="shared" si="616"/>
        <v>IBG</v>
      </c>
      <c r="G1514" t="str">
        <f t="shared" si="629"/>
        <v>Refund COSHARE 10</v>
      </c>
      <c r="H1514" s="2">
        <v>798.3</v>
      </c>
      <c r="I1514" t="str">
        <f>"SUHARDI BIN SAID"</f>
        <v>SUHARDI BIN SAID</v>
      </c>
      <c r="J1514" t="str">
        <f t="shared" si="632"/>
        <v>MAYBANK / MAYBANK ISLAMIC</v>
      </c>
      <c r="K1514" t="str">
        <f>"106099083095"</f>
        <v>106099083095</v>
      </c>
      <c r="L1514" t="str">
        <f t="shared" si="633"/>
        <v>04-08-2020</v>
      </c>
      <c r="M1514" t="str">
        <f t="shared" si="633"/>
        <v>04-08-2020</v>
      </c>
      <c r="N1514" t="str">
        <f t="shared" si="617"/>
        <v>001105018356</v>
      </c>
      <c r="O1514" t="str">
        <f t="shared" si="618"/>
        <v>MYR</v>
      </c>
      <c r="P1514" t="str">
        <f t="shared" si="634"/>
        <v>NIL</v>
      </c>
      <c r="Q1514" t="str">
        <f t="shared" si="634"/>
        <v>NIL</v>
      </c>
      <c r="R1514" t="str">
        <f t="shared" si="619"/>
        <v>Accepted</v>
      </c>
      <c r="S1514" t="str">
        <f t="shared" si="620"/>
        <v>Approved</v>
      </c>
      <c r="T1514" t="str">
        <f t="shared" si="621"/>
        <v>10.20.8.188</v>
      </c>
      <c r="U1514" t="str">
        <f t="shared" si="622"/>
        <v>AZRAD UMAR BIN SHAARI</v>
      </c>
      <c r="V1514" t="str">
        <f t="shared" si="623"/>
        <v>FARHANA BINTI MUSTAPA</v>
      </c>
      <c r="W1514" t="str">
        <f t="shared" si="624"/>
        <v>04-08-2020</v>
      </c>
      <c r="X1514" t="str">
        <f t="shared" si="625"/>
        <v>RAZIMAH ANSAR AHMAD</v>
      </c>
      <c r="Y1514" t="str">
        <f t="shared" si="626"/>
        <v>04-08-2020</v>
      </c>
      <c r="Z1514" t="str">
        <f>"COS10200804 7640"</f>
        <v>COS10200804 7640</v>
      </c>
    </row>
    <row r="1515" spans="1:26" x14ac:dyDescent="0.25">
      <c r="A1515" t="str">
        <f t="shared" si="635"/>
        <v>04-08-2020 01:08:11</v>
      </c>
      <c r="B1515" t="str">
        <f>"0000809440"</f>
        <v>0000809440</v>
      </c>
      <c r="C1515" t="str">
        <f t="shared" si="636"/>
        <v>0000809401</v>
      </c>
      <c r="D1515" t="str">
        <f t="shared" si="614"/>
        <v>73185</v>
      </c>
      <c r="E1515" t="str">
        <f t="shared" si="615"/>
        <v>KFH-OPERATIONS DEPARTMENT</v>
      </c>
      <c r="F1515" t="str">
        <f t="shared" si="616"/>
        <v>IBG</v>
      </c>
      <c r="G1515" t="str">
        <f t="shared" si="629"/>
        <v>Refund COSHARE 10</v>
      </c>
      <c r="H1515" s="2">
        <v>1679</v>
      </c>
      <c r="I1515" t="str">
        <f>"SUHARDI BIN MANJELI"</f>
        <v>SUHARDI BIN MANJELI</v>
      </c>
      <c r="J1515" t="str">
        <f t="shared" si="632"/>
        <v>MAYBANK / MAYBANK ISLAMIC</v>
      </c>
      <c r="K1515" t="str">
        <f>"161042003588"</f>
        <v>161042003588</v>
      </c>
      <c r="L1515" t="str">
        <f t="shared" si="633"/>
        <v>04-08-2020</v>
      </c>
      <c r="M1515" t="str">
        <f t="shared" si="633"/>
        <v>04-08-2020</v>
      </c>
      <c r="N1515" t="str">
        <f t="shared" si="617"/>
        <v>001105018356</v>
      </c>
      <c r="O1515" t="str">
        <f t="shared" si="618"/>
        <v>MYR</v>
      </c>
      <c r="P1515" t="str">
        <f t="shared" si="634"/>
        <v>NIL</v>
      </c>
      <c r="Q1515" t="str">
        <f t="shared" si="634"/>
        <v>NIL</v>
      </c>
      <c r="R1515" t="str">
        <f t="shared" si="619"/>
        <v>Accepted</v>
      </c>
      <c r="S1515" t="str">
        <f t="shared" si="620"/>
        <v>Approved</v>
      </c>
      <c r="T1515" t="str">
        <f t="shared" si="621"/>
        <v>10.20.8.188</v>
      </c>
      <c r="U1515" t="str">
        <f t="shared" si="622"/>
        <v>AZRAD UMAR BIN SHAARI</v>
      </c>
      <c r="V1515" t="str">
        <f t="shared" si="623"/>
        <v>FARHANA BINTI MUSTAPA</v>
      </c>
      <c r="W1515" t="str">
        <f t="shared" si="624"/>
        <v>04-08-2020</v>
      </c>
      <c r="X1515" t="str">
        <f t="shared" si="625"/>
        <v>RAZIMAH ANSAR AHMAD</v>
      </c>
      <c r="Y1515" t="str">
        <f t="shared" si="626"/>
        <v>04-08-2020</v>
      </c>
      <c r="Z1515" t="str">
        <f>"COS10200804 7639"</f>
        <v>COS10200804 7639</v>
      </c>
    </row>
    <row r="1516" spans="1:26" x14ac:dyDescent="0.25">
      <c r="A1516" t="str">
        <f t="shared" si="635"/>
        <v>04-08-2020 01:08:11</v>
      </c>
      <c r="B1516" t="str">
        <f>"0000809439"</f>
        <v>0000809439</v>
      </c>
      <c r="C1516" t="str">
        <f t="shared" si="636"/>
        <v>0000809401</v>
      </c>
      <c r="D1516" t="str">
        <f t="shared" si="614"/>
        <v>73185</v>
      </c>
      <c r="E1516" t="str">
        <f t="shared" si="615"/>
        <v>KFH-OPERATIONS DEPARTMENT</v>
      </c>
      <c r="F1516" t="str">
        <f t="shared" si="616"/>
        <v>IBG</v>
      </c>
      <c r="G1516" t="str">
        <f t="shared" si="629"/>
        <v>Refund COSHARE 10</v>
      </c>
      <c r="H1516" s="2">
        <v>629.65</v>
      </c>
      <c r="I1516" t="str">
        <f>"SUHARDI BIN ABDUL RAHMAN"</f>
        <v>SUHARDI BIN ABDUL RAHMAN</v>
      </c>
      <c r="J1516" t="str">
        <f t="shared" si="632"/>
        <v>MAYBANK / MAYBANK ISLAMIC</v>
      </c>
      <c r="K1516" t="str">
        <f>"162142986597"</f>
        <v>162142986597</v>
      </c>
      <c r="L1516" t="str">
        <f t="shared" si="633"/>
        <v>04-08-2020</v>
      </c>
      <c r="M1516" t="str">
        <f t="shared" si="633"/>
        <v>04-08-2020</v>
      </c>
      <c r="N1516" t="str">
        <f t="shared" si="617"/>
        <v>001105018356</v>
      </c>
      <c r="O1516" t="str">
        <f t="shared" si="618"/>
        <v>MYR</v>
      </c>
      <c r="P1516" t="str">
        <f t="shared" si="634"/>
        <v>NIL</v>
      </c>
      <c r="Q1516" t="str">
        <f t="shared" si="634"/>
        <v>NIL</v>
      </c>
      <c r="R1516" t="str">
        <f t="shared" si="619"/>
        <v>Accepted</v>
      </c>
      <c r="S1516" t="str">
        <f t="shared" si="620"/>
        <v>Approved</v>
      </c>
      <c r="T1516" t="str">
        <f t="shared" si="621"/>
        <v>10.20.8.188</v>
      </c>
      <c r="U1516" t="str">
        <f t="shared" si="622"/>
        <v>AZRAD UMAR BIN SHAARI</v>
      </c>
      <c r="V1516" t="str">
        <f t="shared" si="623"/>
        <v>FARHANA BINTI MUSTAPA</v>
      </c>
      <c r="W1516" t="str">
        <f t="shared" si="624"/>
        <v>04-08-2020</v>
      </c>
      <c r="X1516" t="str">
        <f t="shared" si="625"/>
        <v>RAZIMAH ANSAR AHMAD</v>
      </c>
      <c r="Y1516" t="str">
        <f t="shared" si="626"/>
        <v>04-08-2020</v>
      </c>
      <c r="Z1516" t="str">
        <f>"COS10200804 7638"</f>
        <v>COS10200804 7638</v>
      </c>
    </row>
    <row r="1517" spans="1:26" x14ac:dyDescent="0.25">
      <c r="A1517" t="str">
        <f t="shared" si="635"/>
        <v>04-08-2020 01:08:11</v>
      </c>
      <c r="B1517" t="str">
        <f>"0000809438"</f>
        <v>0000809438</v>
      </c>
      <c r="C1517" t="str">
        <f t="shared" si="636"/>
        <v>0000809401</v>
      </c>
      <c r="D1517" t="str">
        <f t="shared" si="614"/>
        <v>73185</v>
      </c>
      <c r="E1517" t="str">
        <f t="shared" si="615"/>
        <v>KFH-OPERATIONS DEPARTMENT</v>
      </c>
      <c r="F1517" t="str">
        <f t="shared" si="616"/>
        <v>IBG</v>
      </c>
      <c r="G1517" t="str">
        <f t="shared" si="629"/>
        <v>Refund COSHARE 10</v>
      </c>
      <c r="H1517" s="2">
        <v>92.35</v>
      </c>
      <c r="I1517" t="str">
        <f>"SUHANIZA BINTI SALEH"</f>
        <v>SUHANIZA BINTI SALEH</v>
      </c>
      <c r="J1517" t="str">
        <f t="shared" si="632"/>
        <v>MAYBANK / MAYBANK ISLAMIC</v>
      </c>
      <c r="K1517" t="str">
        <f>"151043972641"</f>
        <v>151043972641</v>
      </c>
      <c r="L1517" t="str">
        <f t="shared" si="633"/>
        <v>04-08-2020</v>
      </c>
      <c r="M1517" t="str">
        <f t="shared" si="633"/>
        <v>04-08-2020</v>
      </c>
      <c r="N1517" t="str">
        <f t="shared" si="617"/>
        <v>001105018356</v>
      </c>
      <c r="O1517" t="str">
        <f t="shared" si="618"/>
        <v>MYR</v>
      </c>
      <c r="P1517" t="str">
        <f t="shared" si="634"/>
        <v>NIL</v>
      </c>
      <c r="Q1517" t="str">
        <f t="shared" si="634"/>
        <v>NIL</v>
      </c>
      <c r="R1517" t="str">
        <f t="shared" si="619"/>
        <v>Accepted</v>
      </c>
      <c r="S1517" t="str">
        <f t="shared" si="620"/>
        <v>Approved</v>
      </c>
      <c r="T1517" t="str">
        <f t="shared" si="621"/>
        <v>10.20.8.188</v>
      </c>
      <c r="U1517" t="str">
        <f t="shared" si="622"/>
        <v>AZRAD UMAR BIN SHAARI</v>
      </c>
      <c r="V1517" t="str">
        <f t="shared" si="623"/>
        <v>FARHANA BINTI MUSTAPA</v>
      </c>
      <c r="W1517" t="str">
        <f t="shared" si="624"/>
        <v>04-08-2020</v>
      </c>
      <c r="X1517" t="str">
        <f t="shared" si="625"/>
        <v>RAZIMAH ANSAR AHMAD</v>
      </c>
      <c r="Y1517" t="str">
        <f t="shared" si="626"/>
        <v>04-08-2020</v>
      </c>
      <c r="Z1517" t="str">
        <f>"COS10200804 7637"</f>
        <v>COS10200804 7637</v>
      </c>
    </row>
    <row r="1518" spans="1:26" x14ac:dyDescent="0.25">
      <c r="A1518" t="str">
        <f t="shared" si="635"/>
        <v>04-08-2020 01:08:11</v>
      </c>
      <c r="B1518" t="str">
        <f>"0000809437"</f>
        <v>0000809437</v>
      </c>
      <c r="C1518" t="str">
        <f t="shared" si="636"/>
        <v>0000809401</v>
      </c>
      <c r="D1518" t="str">
        <f t="shared" si="614"/>
        <v>73185</v>
      </c>
      <c r="E1518" t="str">
        <f t="shared" si="615"/>
        <v>KFH-OPERATIONS DEPARTMENT</v>
      </c>
      <c r="F1518" t="str">
        <f t="shared" si="616"/>
        <v>IBG</v>
      </c>
      <c r="G1518" t="str">
        <f t="shared" si="629"/>
        <v>Refund COSHARE 10</v>
      </c>
      <c r="H1518" s="2">
        <v>965.45</v>
      </c>
      <c r="I1518" t="str">
        <f>"SUHANIZA BINTI JAAFAR"</f>
        <v>SUHANIZA BINTI JAAFAR</v>
      </c>
      <c r="J1518" t="str">
        <f t="shared" si="632"/>
        <v>MAYBANK / MAYBANK ISLAMIC</v>
      </c>
      <c r="K1518" t="str">
        <f>"114272020572"</f>
        <v>114272020572</v>
      </c>
      <c r="L1518" t="str">
        <f t="shared" si="633"/>
        <v>04-08-2020</v>
      </c>
      <c r="M1518" t="str">
        <f t="shared" si="633"/>
        <v>04-08-2020</v>
      </c>
      <c r="N1518" t="str">
        <f t="shared" si="617"/>
        <v>001105018356</v>
      </c>
      <c r="O1518" t="str">
        <f t="shared" si="618"/>
        <v>MYR</v>
      </c>
      <c r="P1518" t="str">
        <f t="shared" si="634"/>
        <v>NIL</v>
      </c>
      <c r="Q1518" t="str">
        <f t="shared" si="634"/>
        <v>NIL</v>
      </c>
      <c r="R1518" t="str">
        <f t="shared" si="619"/>
        <v>Accepted</v>
      </c>
      <c r="S1518" t="str">
        <f t="shared" si="620"/>
        <v>Approved</v>
      </c>
      <c r="T1518" t="str">
        <f t="shared" si="621"/>
        <v>10.20.8.188</v>
      </c>
      <c r="U1518" t="str">
        <f t="shared" si="622"/>
        <v>AZRAD UMAR BIN SHAARI</v>
      </c>
      <c r="V1518" t="str">
        <f t="shared" si="623"/>
        <v>FARHANA BINTI MUSTAPA</v>
      </c>
      <c r="W1518" t="str">
        <f t="shared" si="624"/>
        <v>04-08-2020</v>
      </c>
      <c r="X1518" t="str">
        <f t="shared" si="625"/>
        <v>RAZIMAH ANSAR AHMAD</v>
      </c>
      <c r="Y1518" t="str">
        <f t="shared" si="626"/>
        <v>04-08-2020</v>
      </c>
      <c r="Z1518" t="str">
        <f>"COS10200804 7636"</f>
        <v>COS10200804 7636</v>
      </c>
    </row>
    <row r="1519" spans="1:26" x14ac:dyDescent="0.25">
      <c r="A1519" t="str">
        <f t="shared" si="635"/>
        <v>04-08-2020 01:08:11</v>
      </c>
      <c r="B1519" t="str">
        <f>"0000809436"</f>
        <v>0000809436</v>
      </c>
      <c r="C1519" t="str">
        <f t="shared" si="636"/>
        <v>0000809401</v>
      </c>
      <c r="D1519" t="str">
        <f t="shared" si="614"/>
        <v>73185</v>
      </c>
      <c r="E1519" t="str">
        <f t="shared" si="615"/>
        <v>KFH-OPERATIONS DEPARTMENT</v>
      </c>
      <c r="F1519" t="str">
        <f t="shared" si="616"/>
        <v>IBG</v>
      </c>
      <c r="G1519" t="str">
        <f t="shared" si="629"/>
        <v>Refund COSHARE 10</v>
      </c>
      <c r="H1519" s="2">
        <v>1586.65</v>
      </c>
      <c r="I1519" t="str">
        <f>"SUHANA BINTI SARMADAN"</f>
        <v>SUHANA BINTI SARMADAN</v>
      </c>
      <c r="J1519" t="str">
        <f t="shared" si="632"/>
        <v>MAYBANK / MAYBANK ISLAMIC</v>
      </c>
      <c r="K1519" t="str">
        <f>"101302045329"</f>
        <v>101302045329</v>
      </c>
      <c r="L1519" t="str">
        <f t="shared" si="633"/>
        <v>04-08-2020</v>
      </c>
      <c r="M1519" t="str">
        <f t="shared" si="633"/>
        <v>04-08-2020</v>
      </c>
      <c r="N1519" t="str">
        <f t="shared" si="617"/>
        <v>001105018356</v>
      </c>
      <c r="O1519" t="str">
        <f t="shared" si="618"/>
        <v>MYR</v>
      </c>
      <c r="P1519" t="str">
        <f t="shared" si="634"/>
        <v>NIL</v>
      </c>
      <c r="Q1519" t="str">
        <f t="shared" si="634"/>
        <v>NIL</v>
      </c>
      <c r="R1519" t="str">
        <f t="shared" si="619"/>
        <v>Accepted</v>
      </c>
      <c r="S1519" t="str">
        <f t="shared" si="620"/>
        <v>Approved</v>
      </c>
      <c r="T1519" t="str">
        <f t="shared" si="621"/>
        <v>10.20.8.188</v>
      </c>
      <c r="U1519" t="str">
        <f t="shared" si="622"/>
        <v>AZRAD UMAR BIN SHAARI</v>
      </c>
      <c r="V1519" t="str">
        <f t="shared" si="623"/>
        <v>FARHANA BINTI MUSTAPA</v>
      </c>
      <c r="W1519" t="str">
        <f t="shared" si="624"/>
        <v>04-08-2020</v>
      </c>
      <c r="X1519" t="str">
        <f t="shared" si="625"/>
        <v>RAZIMAH ANSAR AHMAD</v>
      </c>
      <c r="Y1519" t="str">
        <f t="shared" si="626"/>
        <v>04-08-2020</v>
      </c>
      <c r="Z1519" t="str">
        <f>"COS10200804 7635"</f>
        <v>COS10200804 7635</v>
      </c>
    </row>
    <row r="1520" spans="1:26" x14ac:dyDescent="0.25">
      <c r="A1520" t="str">
        <f t="shared" si="635"/>
        <v>04-08-2020 01:08:11</v>
      </c>
      <c r="B1520" t="str">
        <f>"0000809435"</f>
        <v>0000809435</v>
      </c>
      <c r="C1520" t="str">
        <f t="shared" si="636"/>
        <v>0000809401</v>
      </c>
      <c r="D1520" t="str">
        <f t="shared" si="614"/>
        <v>73185</v>
      </c>
      <c r="E1520" t="str">
        <f t="shared" si="615"/>
        <v>KFH-OPERATIONS DEPARTMENT</v>
      </c>
      <c r="F1520" t="str">
        <f t="shared" si="616"/>
        <v>IBG</v>
      </c>
      <c r="G1520" t="str">
        <f t="shared" si="629"/>
        <v>Refund COSHARE 10</v>
      </c>
      <c r="H1520" s="2">
        <v>419.8</v>
      </c>
      <c r="I1520" t="str">
        <f>"SUHANA BINTI SAIRIN"</f>
        <v>SUHANA BINTI SAIRIN</v>
      </c>
      <c r="J1520" t="str">
        <f t="shared" si="632"/>
        <v>MAYBANK / MAYBANK ISLAMIC</v>
      </c>
      <c r="K1520" t="str">
        <f>"162731051154"</f>
        <v>162731051154</v>
      </c>
      <c r="L1520" t="str">
        <f t="shared" si="633"/>
        <v>04-08-2020</v>
      </c>
      <c r="M1520" t="str">
        <f t="shared" si="633"/>
        <v>04-08-2020</v>
      </c>
      <c r="N1520" t="str">
        <f t="shared" si="617"/>
        <v>001105018356</v>
      </c>
      <c r="O1520" t="str">
        <f t="shared" si="618"/>
        <v>MYR</v>
      </c>
      <c r="P1520" t="str">
        <f t="shared" si="634"/>
        <v>NIL</v>
      </c>
      <c r="Q1520" t="str">
        <f t="shared" si="634"/>
        <v>NIL</v>
      </c>
      <c r="R1520" t="str">
        <f t="shared" si="619"/>
        <v>Accepted</v>
      </c>
      <c r="S1520" t="str">
        <f t="shared" si="620"/>
        <v>Approved</v>
      </c>
      <c r="T1520" t="str">
        <f t="shared" si="621"/>
        <v>10.20.8.188</v>
      </c>
      <c r="U1520" t="str">
        <f t="shared" si="622"/>
        <v>AZRAD UMAR BIN SHAARI</v>
      </c>
      <c r="V1520" t="str">
        <f t="shared" si="623"/>
        <v>FARHANA BINTI MUSTAPA</v>
      </c>
      <c r="W1520" t="str">
        <f t="shared" si="624"/>
        <v>04-08-2020</v>
      </c>
      <c r="X1520" t="str">
        <f t="shared" si="625"/>
        <v>RAZIMAH ANSAR AHMAD</v>
      </c>
      <c r="Y1520" t="str">
        <f t="shared" si="626"/>
        <v>04-08-2020</v>
      </c>
      <c r="Z1520" t="str">
        <f>"COS10200804 7634"</f>
        <v>COS10200804 7634</v>
      </c>
    </row>
    <row r="1521" spans="1:26" x14ac:dyDescent="0.25">
      <c r="A1521" t="str">
        <f t="shared" si="635"/>
        <v>04-08-2020 01:08:11</v>
      </c>
      <c r="B1521" t="str">
        <f>"0000809434"</f>
        <v>0000809434</v>
      </c>
      <c r="C1521" t="str">
        <f t="shared" si="636"/>
        <v>0000809401</v>
      </c>
      <c r="D1521" t="str">
        <f t="shared" si="614"/>
        <v>73185</v>
      </c>
      <c r="E1521" t="str">
        <f t="shared" si="615"/>
        <v>KFH-OPERATIONS DEPARTMENT</v>
      </c>
      <c r="F1521" t="str">
        <f t="shared" si="616"/>
        <v>IBG</v>
      </c>
      <c r="G1521" t="str">
        <f t="shared" si="629"/>
        <v>Refund COSHARE 10</v>
      </c>
      <c r="H1521" s="2">
        <v>252</v>
      </c>
      <c r="I1521" t="str">
        <f>"SUHAIZI BIN SEMAIL"</f>
        <v>SUHAIZI BIN SEMAIL</v>
      </c>
      <c r="J1521" t="str">
        <f t="shared" si="632"/>
        <v>MAYBANK / MAYBANK ISLAMIC</v>
      </c>
      <c r="K1521" t="str">
        <f>"157036536791"</f>
        <v>157036536791</v>
      </c>
      <c r="L1521" t="str">
        <f t="shared" si="633"/>
        <v>04-08-2020</v>
      </c>
      <c r="M1521" t="str">
        <f t="shared" si="633"/>
        <v>04-08-2020</v>
      </c>
      <c r="N1521" t="str">
        <f t="shared" si="617"/>
        <v>001105018356</v>
      </c>
      <c r="O1521" t="str">
        <f t="shared" si="618"/>
        <v>MYR</v>
      </c>
      <c r="P1521" t="str">
        <f t="shared" si="634"/>
        <v>NIL</v>
      </c>
      <c r="Q1521" t="str">
        <f t="shared" si="634"/>
        <v>NIL</v>
      </c>
      <c r="R1521" t="str">
        <f t="shared" si="619"/>
        <v>Accepted</v>
      </c>
      <c r="S1521" t="str">
        <f t="shared" si="620"/>
        <v>Approved</v>
      </c>
      <c r="T1521" t="str">
        <f t="shared" si="621"/>
        <v>10.20.8.188</v>
      </c>
      <c r="U1521" t="str">
        <f t="shared" si="622"/>
        <v>AZRAD UMAR BIN SHAARI</v>
      </c>
      <c r="V1521" t="str">
        <f t="shared" si="623"/>
        <v>FARHANA BINTI MUSTAPA</v>
      </c>
      <c r="W1521" t="str">
        <f t="shared" si="624"/>
        <v>04-08-2020</v>
      </c>
      <c r="X1521" t="str">
        <f t="shared" si="625"/>
        <v>RAZIMAH ANSAR AHMAD</v>
      </c>
      <c r="Y1521" t="str">
        <f t="shared" si="626"/>
        <v>04-08-2020</v>
      </c>
      <c r="Z1521" t="str">
        <f>"COS10200804 7633"</f>
        <v>COS10200804 7633</v>
      </c>
    </row>
    <row r="1522" spans="1:26" x14ac:dyDescent="0.25">
      <c r="A1522" t="str">
        <f t="shared" si="635"/>
        <v>04-08-2020 01:08:11</v>
      </c>
      <c r="B1522" t="str">
        <f>"0000809433"</f>
        <v>0000809433</v>
      </c>
      <c r="C1522" t="str">
        <f t="shared" si="636"/>
        <v>0000809401</v>
      </c>
      <c r="D1522" t="str">
        <f t="shared" si="614"/>
        <v>73185</v>
      </c>
      <c r="E1522" t="str">
        <f t="shared" si="615"/>
        <v>KFH-OPERATIONS DEPARTMENT</v>
      </c>
      <c r="F1522" t="str">
        <f t="shared" si="616"/>
        <v>IBG</v>
      </c>
      <c r="G1522" t="str">
        <f t="shared" si="629"/>
        <v>Refund COSHARE 10</v>
      </c>
      <c r="H1522" s="2">
        <v>461.75</v>
      </c>
      <c r="I1522" t="str">
        <f>"SUHAIZAK BIN ABWAHAB"</f>
        <v>SUHAIZAK BIN ABWAHAB</v>
      </c>
      <c r="J1522" t="str">
        <f t="shared" si="632"/>
        <v>MAYBANK / MAYBANK ISLAMIC</v>
      </c>
      <c r="K1522" t="str">
        <f>"164100241934"</f>
        <v>164100241934</v>
      </c>
      <c r="L1522" t="str">
        <f t="shared" si="633"/>
        <v>04-08-2020</v>
      </c>
      <c r="M1522" t="str">
        <f t="shared" si="633"/>
        <v>04-08-2020</v>
      </c>
      <c r="N1522" t="str">
        <f t="shared" si="617"/>
        <v>001105018356</v>
      </c>
      <c r="O1522" t="str">
        <f t="shared" si="618"/>
        <v>MYR</v>
      </c>
      <c r="P1522" t="str">
        <f t="shared" si="634"/>
        <v>NIL</v>
      </c>
      <c r="Q1522" t="str">
        <f t="shared" si="634"/>
        <v>NIL</v>
      </c>
      <c r="R1522" t="str">
        <f t="shared" si="619"/>
        <v>Accepted</v>
      </c>
      <c r="S1522" t="str">
        <f t="shared" si="620"/>
        <v>Approved</v>
      </c>
      <c r="T1522" t="str">
        <f t="shared" si="621"/>
        <v>10.20.8.188</v>
      </c>
      <c r="U1522" t="str">
        <f t="shared" si="622"/>
        <v>AZRAD UMAR BIN SHAARI</v>
      </c>
      <c r="V1522" t="str">
        <f t="shared" si="623"/>
        <v>FARHANA BINTI MUSTAPA</v>
      </c>
      <c r="W1522" t="str">
        <f t="shared" si="624"/>
        <v>04-08-2020</v>
      </c>
      <c r="X1522" t="str">
        <f t="shared" si="625"/>
        <v>RAZIMAH ANSAR AHMAD</v>
      </c>
      <c r="Y1522" t="str">
        <f t="shared" si="626"/>
        <v>04-08-2020</v>
      </c>
      <c r="Z1522" t="str">
        <f>"COS10200804 7632"</f>
        <v>COS10200804 7632</v>
      </c>
    </row>
    <row r="1523" spans="1:26" x14ac:dyDescent="0.25">
      <c r="A1523" t="str">
        <f t="shared" si="635"/>
        <v>04-08-2020 01:08:11</v>
      </c>
      <c r="B1523" t="str">
        <f>"0000809432"</f>
        <v>0000809432</v>
      </c>
      <c r="C1523" t="str">
        <f t="shared" si="636"/>
        <v>0000809401</v>
      </c>
      <c r="D1523" t="str">
        <f t="shared" si="614"/>
        <v>73185</v>
      </c>
      <c r="E1523" t="str">
        <f t="shared" si="615"/>
        <v>KFH-OPERATIONS DEPARTMENT</v>
      </c>
      <c r="F1523" t="str">
        <f t="shared" si="616"/>
        <v>IBG</v>
      </c>
      <c r="G1523" t="str">
        <f t="shared" si="629"/>
        <v>Refund COSHARE 10</v>
      </c>
      <c r="H1523" s="2">
        <v>126</v>
      </c>
      <c r="I1523" t="str">
        <f>"SUHAIRIZAN BINTI MFADZILAH"</f>
        <v>SUHAIRIZAN BINTI MFADZILAH</v>
      </c>
      <c r="J1523" t="str">
        <f t="shared" si="632"/>
        <v>MAYBANK / MAYBANK ISLAMIC</v>
      </c>
      <c r="K1523" t="str">
        <f>"101311005757"</f>
        <v>101311005757</v>
      </c>
      <c r="L1523" t="str">
        <f t="shared" si="633"/>
        <v>04-08-2020</v>
      </c>
      <c r="M1523" t="str">
        <f t="shared" si="633"/>
        <v>04-08-2020</v>
      </c>
      <c r="N1523" t="str">
        <f t="shared" si="617"/>
        <v>001105018356</v>
      </c>
      <c r="O1523" t="str">
        <f t="shared" si="618"/>
        <v>MYR</v>
      </c>
      <c r="P1523" t="str">
        <f t="shared" si="634"/>
        <v>NIL</v>
      </c>
      <c r="Q1523" t="str">
        <f t="shared" si="634"/>
        <v>NIL</v>
      </c>
      <c r="R1523" t="str">
        <f t="shared" si="619"/>
        <v>Accepted</v>
      </c>
      <c r="S1523" t="str">
        <f t="shared" si="620"/>
        <v>Approved</v>
      </c>
      <c r="T1523" t="str">
        <f t="shared" si="621"/>
        <v>10.20.8.188</v>
      </c>
      <c r="U1523" t="str">
        <f t="shared" si="622"/>
        <v>AZRAD UMAR BIN SHAARI</v>
      </c>
      <c r="V1523" t="str">
        <f t="shared" si="623"/>
        <v>FARHANA BINTI MUSTAPA</v>
      </c>
      <c r="W1523" t="str">
        <f t="shared" si="624"/>
        <v>04-08-2020</v>
      </c>
      <c r="X1523" t="str">
        <f t="shared" si="625"/>
        <v>RAZIMAH ANSAR AHMAD</v>
      </c>
      <c r="Y1523" t="str">
        <f t="shared" si="626"/>
        <v>04-08-2020</v>
      </c>
      <c r="Z1523" t="str">
        <f>"COS10200804 7631"</f>
        <v>COS10200804 7631</v>
      </c>
    </row>
    <row r="1524" spans="1:26" x14ac:dyDescent="0.25">
      <c r="A1524" t="str">
        <f t="shared" si="635"/>
        <v>04-08-2020 01:08:11</v>
      </c>
      <c r="B1524" t="str">
        <f>"0000809431"</f>
        <v>0000809431</v>
      </c>
      <c r="C1524" t="str">
        <f t="shared" si="636"/>
        <v>0000809401</v>
      </c>
      <c r="D1524" t="str">
        <f t="shared" si="614"/>
        <v>73185</v>
      </c>
      <c r="E1524" t="str">
        <f t="shared" si="615"/>
        <v>KFH-OPERATIONS DEPARTMENT</v>
      </c>
      <c r="F1524" t="str">
        <f t="shared" si="616"/>
        <v>IBG</v>
      </c>
      <c r="G1524" t="str">
        <f t="shared" si="629"/>
        <v>Refund COSHARE 10</v>
      </c>
      <c r="H1524" s="2">
        <v>1270.3499999999999</v>
      </c>
      <c r="I1524" t="str">
        <f>"SUHAIRIAH BINTI SUDIRMAN"</f>
        <v>SUHAIRIAH BINTI SUDIRMAN</v>
      </c>
      <c r="J1524" t="str">
        <f t="shared" si="632"/>
        <v>MAYBANK / MAYBANK ISLAMIC</v>
      </c>
      <c r="K1524" t="str">
        <f>"151043938100"</f>
        <v>151043938100</v>
      </c>
      <c r="L1524" t="str">
        <f t="shared" si="633"/>
        <v>04-08-2020</v>
      </c>
      <c r="M1524" t="str">
        <f t="shared" si="633"/>
        <v>04-08-2020</v>
      </c>
      <c r="N1524" t="str">
        <f t="shared" si="617"/>
        <v>001105018356</v>
      </c>
      <c r="O1524" t="str">
        <f t="shared" si="618"/>
        <v>MYR</v>
      </c>
      <c r="P1524" t="str">
        <f t="shared" si="634"/>
        <v>NIL</v>
      </c>
      <c r="Q1524" t="str">
        <f t="shared" si="634"/>
        <v>NIL</v>
      </c>
      <c r="R1524" t="str">
        <f t="shared" si="619"/>
        <v>Accepted</v>
      </c>
      <c r="S1524" t="str">
        <f t="shared" si="620"/>
        <v>Approved</v>
      </c>
      <c r="T1524" t="str">
        <f t="shared" si="621"/>
        <v>10.20.8.188</v>
      </c>
      <c r="U1524" t="str">
        <f t="shared" si="622"/>
        <v>AZRAD UMAR BIN SHAARI</v>
      </c>
      <c r="V1524" t="str">
        <f t="shared" si="623"/>
        <v>FARHANA BINTI MUSTAPA</v>
      </c>
      <c r="W1524" t="str">
        <f t="shared" si="624"/>
        <v>04-08-2020</v>
      </c>
      <c r="X1524" t="str">
        <f t="shared" si="625"/>
        <v>RAZIMAH ANSAR AHMAD</v>
      </c>
      <c r="Y1524" t="str">
        <f t="shared" si="626"/>
        <v>04-08-2020</v>
      </c>
      <c r="Z1524" t="str">
        <f>"COS10200804 7630"</f>
        <v>COS10200804 7630</v>
      </c>
    </row>
    <row r="1525" spans="1:26" x14ac:dyDescent="0.25">
      <c r="A1525" t="str">
        <f t="shared" si="635"/>
        <v>04-08-2020 01:08:11</v>
      </c>
      <c r="B1525" t="str">
        <f>"0000809430"</f>
        <v>0000809430</v>
      </c>
      <c r="C1525" t="str">
        <f t="shared" si="636"/>
        <v>0000809401</v>
      </c>
      <c r="D1525" t="str">
        <f t="shared" si="614"/>
        <v>73185</v>
      </c>
      <c r="E1525" t="str">
        <f t="shared" si="615"/>
        <v>KFH-OPERATIONS DEPARTMENT</v>
      </c>
      <c r="F1525" t="str">
        <f t="shared" si="616"/>
        <v>IBG</v>
      </c>
      <c r="G1525" t="str">
        <f t="shared" si="629"/>
        <v>Refund COSHARE 10</v>
      </c>
      <c r="H1525" s="2">
        <v>763.95</v>
      </c>
      <c r="I1525" t="str">
        <f>"SUHAIRI BIN ISHAK"</f>
        <v>SUHAIRI BIN ISHAK</v>
      </c>
      <c r="J1525" t="str">
        <f t="shared" si="632"/>
        <v>MAYBANK / MAYBANK ISLAMIC</v>
      </c>
      <c r="K1525" t="str">
        <f>"164481016165"</f>
        <v>164481016165</v>
      </c>
      <c r="L1525" t="str">
        <f t="shared" si="633"/>
        <v>04-08-2020</v>
      </c>
      <c r="M1525" t="str">
        <f t="shared" si="633"/>
        <v>04-08-2020</v>
      </c>
      <c r="N1525" t="str">
        <f t="shared" si="617"/>
        <v>001105018356</v>
      </c>
      <c r="O1525" t="str">
        <f t="shared" si="618"/>
        <v>MYR</v>
      </c>
      <c r="P1525" t="str">
        <f t="shared" si="634"/>
        <v>NIL</v>
      </c>
      <c r="Q1525" t="str">
        <f t="shared" si="634"/>
        <v>NIL</v>
      </c>
      <c r="R1525" t="str">
        <f t="shared" si="619"/>
        <v>Accepted</v>
      </c>
      <c r="S1525" t="str">
        <f t="shared" si="620"/>
        <v>Approved</v>
      </c>
      <c r="T1525" t="str">
        <f t="shared" si="621"/>
        <v>10.20.8.188</v>
      </c>
      <c r="U1525" t="str">
        <f t="shared" si="622"/>
        <v>AZRAD UMAR BIN SHAARI</v>
      </c>
      <c r="V1525" t="str">
        <f t="shared" si="623"/>
        <v>FARHANA BINTI MUSTAPA</v>
      </c>
      <c r="W1525" t="str">
        <f t="shared" si="624"/>
        <v>04-08-2020</v>
      </c>
      <c r="X1525" t="str">
        <f t="shared" si="625"/>
        <v>RAZIMAH ANSAR AHMAD</v>
      </c>
      <c r="Y1525" t="str">
        <f t="shared" si="626"/>
        <v>04-08-2020</v>
      </c>
      <c r="Z1525" t="str">
        <f>"COS10200804 7629"</f>
        <v>COS10200804 7629</v>
      </c>
    </row>
    <row r="1526" spans="1:26" x14ac:dyDescent="0.25">
      <c r="A1526" t="str">
        <f t="shared" si="635"/>
        <v>04-08-2020 01:08:11</v>
      </c>
      <c r="B1526" t="str">
        <f>"0000809429"</f>
        <v>0000809429</v>
      </c>
      <c r="C1526" t="str">
        <f t="shared" si="636"/>
        <v>0000809401</v>
      </c>
      <c r="D1526" t="str">
        <f t="shared" si="614"/>
        <v>73185</v>
      </c>
      <c r="E1526" t="str">
        <f t="shared" si="615"/>
        <v>KFH-OPERATIONS DEPARTMENT</v>
      </c>
      <c r="F1526" t="str">
        <f t="shared" si="616"/>
        <v>IBG</v>
      </c>
      <c r="G1526" t="str">
        <f t="shared" si="629"/>
        <v>Refund COSHARE 10</v>
      </c>
      <c r="H1526" s="2">
        <v>155.55000000000001</v>
      </c>
      <c r="I1526" t="str">
        <f>"SUHAINA BINTI MSOM"</f>
        <v>SUHAINA BINTI MSOM</v>
      </c>
      <c r="J1526" t="str">
        <f t="shared" si="632"/>
        <v>MAYBANK / MAYBANK ISLAMIC</v>
      </c>
      <c r="K1526" t="str">
        <f>"155127031823"</f>
        <v>155127031823</v>
      </c>
      <c r="L1526" t="str">
        <f t="shared" si="633"/>
        <v>04-08-2020</v>
      </c>
      <c r="M1526" t="str">
        <f t="shared" si="633"/>
        <v>04-08-2020</v>
      </c>
      <c r="N1526" t="str">
        <f t="shared" si="617"/>
        <v>001105018356</v>
      </c>
      <c r="O1526" t="str">
        <f t="shared" si="618"/>
        <v>MYR</v>
      </c>
      <c r="P1526" t="str">
        <f t="shared" si="634"/>
        <v>NIL</v>
      </c>
      <c r="Q1526" t="str">
        <f t="shared" si="634"/>
        <v>NIL</v>
      </c>
      <c r="R1526" t="str">
        <f t="shared" si="619"/>
        <v>Accepted</v>
      </c>
      <c r="S1526" t="str">
        <f t="shared" si="620"/>
        <v>Approved</v>
      </c>
      <c r="T1526" t="str">
        <f t="shared" si="621"/>
        <v>10.20.8.188</v>
      </c>
      <c r="U1526" t="str">
        <f t="shared" si="622"/>
        <v>AZRAD UMAR BIN SHAARI</v>
      </c>
      <c r="V1526" t="str">
        <f t="shared" si="623"/>
        <v>FARHANA BINTI MUSTAPA</v>
      </c>
      <c r="W1526" t="str">
        <f t="shared" si="624"/>
        <v>04-08-2020</v>
      </c>
      <c r="X1526" t="str">
        <f t="shared" si="625"/>
        <v>RAZIMAH ANSAR AHMAD</v>
      </c>
      <c r="Y1526" t="str">
        <f t="shared" si="626"/>
        <v>04-08-2020</v>
      </c>
      <c r="Z1526" t="str">
        <f>"COS10200804 7628"</f>
        <v>COS10200804 7628</v>
      </c>
    </row>
    <row r="1527" spans="1:26" x14ac:dyDescent="0.25">
      <c r="A1527" t="str">
        <f t="shared" si="635"/>
        <v>04-08-2020 01:08:11</v>
      </c>
      <c r="B1527" t="str">
        <f>"0000809428"</f>
        <v>0000809428</v>
      </c>
      <c r="C1527" t="str">
        <f t="shared" si="636"/>
        <v>0000809401</v>
      </c>
      <c r="D1527" t="str">
        <f t="shared" si="614"/>
        <v>73185</v>
      </c>
      <c r="E1527" t="str">
        <f t="shared" si="615"/>
        <v>KFH-OPERATIONS DEPARTMENT</v>
      </c>
      <c r="F1527" t="str">
        <f t="shared" si="616"/>
        <v>IBG</v>
      </c>
      <c r="G1527" t="str">
        <f t="shared" si="629"/>
        <v>Refund COSHARE 10</v>
      </c>
      <c r="H1527" s="2">
        <v>125.95</v>
      </c>
      <c r="I1527" t="str">
        <f>"SUHAIMI NIZAM BIN MAHMOR"</f>
        <v>SUHAIMI NIZAM BIN MAHMOR</v>
      </c>
      <c r="J1527" t="str">
        <f t="shared" si="632"/>
        <v>MAYBANK / MAYBANK ISLAMIC</v>
      </c>
      <c r="K1527" t="str">
        <f>"101123549105"</f>
        <v>101123549105</v>
      </c>
      <c r="L1527" t="str">
        <f t="shared" ref="L1527:M1546" si="637">"04-08-2020"</f>
        <v>04-08-2020</v>
      </c>
      <c r="M1527" t="str">
        <f t="shared" si="637"/>
        <v>04-08-2020</v>
      </c>
      <c r="N1527" t="str">
        <f t="shared" si="617"/>
        <v>001105018356</v>
      </c>
      <c r="O1527" t="str">
        <f t="shared" si="618"/>
        <v>MYR</v>
      </c>
      <c r="P1527" t="str">
        <f t="shared" ref="P1527:Q1546" si="638">"NIL"</f>
        <v>NIL</v>
      </c>
      <c r="Q1527" t="str">
        <f t="shared" si="638"/>
        <v>NIL</v>
      </c>
      <c r="R1527" t="str">
        <f t="shared" si="619"/>
        <v>Accepted</v>
      </c>
      <c r="S1527" t="str">
        <f t="shared" si="620"/>
        <v>Approved</v>
      </c>
      <c r="T1527" t="str">
        <f t="shared" si="621"/>
        <v>10.20.8.188</v>
      </c>
      <c r="U1527" t="str">
        <f t="shared" si="622"/>
        <v>AZRAD UMAR BIN SHAARI</v>
      </c>
      <c r="V1527" t="str">
        <f t="shared" si="623"/>
        <v>FARHANA BINTI MUSTAPA</v>
      </c>
      <c r="W1527" t="str">
        <f t="shared" si="624"/>
        <v>04-08-2020</v>
      </c>
      <c r="X1527" t="str">
        <f t="shared" si="625"/>
        <v>RAZIMAH ANSAR AHMAD</v>
      </c>
      <c r="Y1527" t="str">
        <f t="shared" si="626"/>
        <v>04-08-2020</v>
      </c>
      <c r="Z1527" t="str">
        <f>"COS10200804 7627"</f>
        <v>COS10200804 7627</v>
      </c>
    </row>
    <row r="1528" spans="1:26" x14ac:dyDescent="0.25">
      <c r="A1528" t="str">
        <f t="shared" si="635"/>
        <v>04-08-2020 01:08:11</v>
      </c>
      <c r="B1528" t="str">
        <f>"0000809427"</f>
        <v>0000809427</v>
      </c>
      <c r="C1528" t="str">
        <f t="shared" si="636"/>
        <v>0000809401</v>
      </c>
      <c r="D1528" t="str">
        <f t="shared" si="614"/>
        <v>73185</v>
      </c>
      <c r="E1528" t="str">
        <f t="shared" si="615"/>
        <v>KFH-OPERATIONS DEPARTMENT</v>
      </c>
      <c r="F1528" t="str">
        <f t="shared" si="616"/>
        <v>IBG</v>
      </c>
      <c r="G1528" t="str">
        <f t="shared" si="629"/>
        <v>Refund COSHARE 10</v>
      </c>
      <c r="H1528" s="2">
        <v>1188.3499999999999</v>
      </c>
      <c r="I1528" t="str">
        <f>"SUHAIMI BIN YAKUB"</f>
        <v>SUHAIMI BIN YAKUB</v>
      </c>
      <c r="J1528" t="str">
        <f t="shared" si="632"/>
        <v>MAYBANK / MAYBANK ISLAMIC</v>
      </c>
      <c r="K1528" t="str">
        <f>"153038502232"</f>
        <v>153038502232</v>
      </c>
      <c r="L1528" t="str">
        <f t="shared" si="637"/>
        <v>04-08-2020</v>
      </c>
      <c r="M1528" t="str">
        <f t="shared" si="637"/>
        <v>04-08-2020</v>
      </c>
      <c r="N1528" t="str">
        <f t="shared" si="617"/>
        <v>001105018356</v>
      </c>
      <c r="O1528" t="str">
        <f t="shared" si="618"/>
        <v>MYR</v>
      </c>
      <c r="P1528" t="str">
        <f t="shared" si="638"/>
        <v>NIL</v>
      </c>
      <c r="Q1528" t="str">
        <f t="shared" si="638"/>
        <v>NIL</v>
      </c>
      <c r="R1528" t="str">
        <f t="shared" si="619"/>
        <v>Accepted</v>
      </c>
      <c r="S1528" t="str">
        <f t="shared" si="620"/>
        <v>Approved</v>
      </c>
      <c r="T1528" t="str">
        <f t="shared" si="621"/>
        <v>10.20.8.188</v>
      </c>
      <c r="U1528" t="str">
        <f t="shared" si="622"/>
        <v>AZRAD UMAR BIN SHAARI</v>
      </c>
      <c r="V1528" t="str">
        <f t="shared" si="623"/>
        <v>FARHANA BINTI MUSTAPA</v>
      </c>
      <c r="W1528" t="str">
        <f t="shared" si="624"/>
        <v>04-08-2020</v>
      </c>
      <c r="X1528" t="str">
        <f t="shared" si="625"/>
        <v>RAZIMAH ANSAR AHMAD</v>
      </c>
      <c r="Y1528" t="str">
        <f t="shared" si="626"/>
        <v>04-08-2020</v>
      </c>
      <c r="Z1528" t="str">
        <f>"COS10200804 7626"</f>
        <v>COS10200804 7626</v>
      </c>
    </row>
    <row r="1529" spans="1:26" x14ac:dyDescent="0.25">
      <c r="A1529" t="str">
        <f t="shared" si="635"/>
        <v>04-08-2020 01:08:11</v>
      </c>
      <c r="B1529" t="str">
        <f>"0000809426"</f>
        <v>0000809426</v>
      </c>
      <c r="C1529" t="str">
        <f t="shared" si="636"/>
        <v>0000809401</v>
      </c>
      <c r="D1529" t="str">
        <f t="shared" si="614"/>
        <v>73185</v>
      </c>
      <c r="E1529" t="str">
        <f t="shared" si="615"/>
        <v>KFH-OPERATIONS DEPARTMENT</v>
      </c>
      <c r="F1529" t="str">
        <f t="shared" si="616"/>
        <v>IBG</v>
      </c>
      <c r="G1529" t="str">
        <f t="shared" si="629"/>
        <v>Refund COSHARE 10</v>
      </c>
      <c r="H1529" s="2">
        <v>549</v>
      </c>
      <c r="I1529" t="str">
        <f>"SUHAIMI BIN DAUD"</f>
        <v>SUHAIMI BIN DAUD</v>
      </c>
      <c r="J1529" t="str">
        <f t="shared" si="632"/>
        <v>MAYBANK / MAYBANK ISLAMIC</v>
      </c>
      <c r="K1529" t="str">
        <f>"101169134827"</f>
        <v>101169134827</v>
      </c>
      <c r="L1529" t="str">
        <f t="shared" si="637"/>
        <v>04-08-2020</v>
      </c>
      <c r="M1529" t="str">
        <f t="shared" si="637"/>
        <v>04-08-2020</v>
      </c>
      <c r="N1529" t="str">
        <f t="shared" si="617"/>
        <v>001105018356</v>
      </c>
      <c r="O1529" t="str">
        <f t="shared" si="618"/>
        <v>MYR</v>
      </c>
      <c r="P1529" t="str">
        <f t="shared" si="638"/>
        <v>NIL</v>
      </c>
      <c r="Q1529" t="str">
        <f t="shared" si="638"/>
        <v>NIL</v>
      </c>
      <c r="R1529" t="str">
        <f t="shared" si="619"/>
        <v>Accepted</v>
      </c>
      <c r="S1529" t="str">
        <f t="shared" si="620"/>
        <v>Approved</v>
      </c>
      <c r="T1529" t="str">
        <f t="shared" si="621"/>
        <v>10.20.8.188</v>
      </c>
      <c r="U1529" t="str">
        <f t="shared" si="622"/>
        <v>AZRAD UMAR BIN SHAARI</v>
      </c>
      <c r="V1529" t="str">
        <f t="shared" si="623"/>
        <v>FARHANA BINTI MUSTAPA</v>
      </c>
      <c r="W1529" t="str">
        <f t="shared" si="624"/>
        <v>04-08-2020</v>
      </c>
      <c r="X1529" t="str">
        <f t="shared" si="625"/>
        <v>RAZIMAH ANSAR AHMAD</v>
      </c>
      <c r="Y1529" t="str">
        <f t="shared" si="626"/>
        <v>04-08-2020</v>
      </c>
      <c r="Z1529" t="str">
        <f>"COS10200804 7625"</f>
        <v>COS10200804 7625</v>
      </c>
    </row>
    <row r="1530" spans="1:26" x14ac:dyDescent="0.25">
      <c r="A1530" t="str">
        <f t="shared" si="635"/>
        <v>04-08-2020 01:08:11</v>
      </c>
      <c r="B1530" t="str">
        <f>"0000809425"</f>
        <v>0000809425</v>
      </c>
      <c r="C1530" t="str">
        <f t="shared" si="636"/>
        <v>0000809401</v>
      </c>
      <c r="D1530" t="str">
        <f t="shared" si="614"/>
        <v>73185</v>
      </c>
      <c r="E1530" t="str">
        <f t="shared" si="615"/>
        <v>KFH-OPERATIONS DEPARTMENT</v>
      </c>
      <c r="F1530" t="str">
        <f t="shared" si="616"/>
        <v>IBG</v>
      </c>
      <c r="G1530" t="str">
        <f t="shared" si="629"/>
        <v>Refund COSHARE 10</v>
      </c>
      <c r="H1530" s="2">
        <v>381.1</v>
      </c>
      <c r="I1530" t="str">
        <f>"SUHAIMI BIN ABDULLAH"</f>
        <v>SUHAIMI BIN ABDULLAH</v>
      </c>
      <c r="J1530" t="str">
        <f t="shared" si="632"/>
        <v>MAYBANK / MAYBANK ISLAMIC</v>
      </c>
      <c r="K1530" t="str">
        <f>"156075812363"</f>
        <v>156075812363</v>
      </c>
      <c r="L1530" t="str">
        <f t="shared" si="637"/>
        <v>04-08-2020</v>
      </c>
      <c r="M1530" t="str">
        <f t="shared" si="637"/>
        <v>04-08-2020</v>
      </c>
      <c r="N1530" t="str">
        <f t="shared" si="617"/>
        <v>001105018356</v>
      </c>
      <c r="O1530" t="str">
        <f t="shared" si="618"/>
        <v>MYR</v>
      </c>
      <c r="P1530" t="str">
        <f t="shared" si="638"/>
        <v>NIL</v>
      </c>
      <c r="Q1530" t="str">
        <f t="shared" si="638"/>
        <v>NIL</v>
      </c>
      <c r="R1530" t="str">
        <f t="shared" si="619"/>
        <v>Accepted</v>
      </c>
      <c r="S1530" t="str">
        <f t="shared" si="620"/>
        <v>Approved</v>
      </c>
      <c r="T1530" t="str">
        <f t="shared" si="621"/>
        <v>10.20.8.188</v>
      </c>
      <c r="U1530" t="str">
        <f t="shared" si="622"/>
        <v>AZRAD UMAR BIN SHAARI</v>
      </c>
      <c r="V1530" t="str">
        <f t="shared" si="623"/>
        <v>FARHANA BINTI MUSTAPA</v>
      </c>
      <c r="W1530" t="str">
        <f t="shared" si="624"/>
        <v>04-08-2020</v>
      </c>
      <c r="X1530" t="str">
        <f t="shared" si="625"/>
        <v>RAZIMAH ANSAR AHMAD</v>
      </c>
      <c r="Y1530" t="str">
        <f t="shared" si="626"/>
        <v>04-08-2020</v>
      </c>
      <c r="Z1530" t="str">
        <f>"COS10200804 7624"</f>
        <v>COS10200804 7624</v>
      </c>
    </row>
    <row r="1531" spans="1:26" x14ac:dyDescent="0.25">
      <c r="A1531" t="str">
        <f t="shared" si="635"/>
        <v>04-08-2020 01:08:11</v>
      </c>
      <c r="B1531" t="str">
        <f>"0000809424"</f>
        <v>0000809424</v>
      </c>
      <c r="C1531" t="str">
        <f t="shared" si="636"/>
        <v>0000809401</v>
      </c>
      <c r="D1531" t="str">
        <f t="shared" si="614"/>
        <v>73185</v>
      </c>
      <c r="E1531" t="str">
        <f t="shared" si="615"/>
        <v>KFH-OPERATIONS DEPARTMENT</v>
      </c>
      <c r="F1531" t="str">
        <f t="shared" si="616"/>
        <v>IBG</v>
      </c>
      <c r="G1531" t="str">
        <f t="shared" si="629"/>
        <v>Refund COSHARE 10</v>
      </c>
      <c r="H1531" s="2">
        <v>60</v>
      </c>
      <c r="I1531" t="str">
        <f>"SUHAILY BINTI SAMSUDI"</f>
        <v>SUHAILY BINTI SAMSUDI</v>
      </c>
      <c r="J1531" t="str">
        <f t="shared" si="632"/>
        <v>MAYBANK / MAYBANK ISLAMIC</v>
      </c>
      <c r="K1531" t="str">
        <f>"155108763355"</f>
        <v>155108763355</v>
      </c>
      <c r="L1531" t="str">
        <f t="shared" si="637"/>
        <v>04-08-2020</v>
      </c>
      <c r="M1531" t="str">
        <f t="shared" si="637"/>
        <v>04-08-2020</v>
      </c>
      <c r="N1531" t="str">
        <f t="shared" si="617"/>
        <v>001105018356</v>
      </c>
      <c r="O1531" t="str">
        <f t="shared" si="618"/>
        <v>MYR</v>
      </c>
      <c r="P1531" t="str">
        <f t="shared" si="638"/>
        <v>NIL</v>
      </c>
      <c r="Q1531" t="str">
        <f t="shared" si="638"/>
        <v>NIL</v>
      </c>
      <c r="R1531" t="str">
        <f t="shared" si="619"/>
        <v>Accepted</v>
      </c>
      <c r="S1531" t="str">
        <f t="shared" si="620"/>
        <v>Approved</v>
      </c>
      <c r="T1531" t="str">
        <f t="shared" si="621"/>
        <v>10.20.8.188</v>
      </c>
      <c r="U1531" t="str">
        <f t="shared" si="622"/>
        <v>AZRAD UMAR BIN SHAARI</v>
      </c>
      <c r="V1531" t="str">
        <f t="shared" si="623"/>
        <v>FARHANA BINTI MUSTAPA</v>
      </c>
      <c r="W1531" t="str">
        <f t="shared" si="624"/>
        <v>04-08-2020</v>
      </c>
      <c r="X1531" t="str">
        <f t="shared" si="625"/>
        <v>RAZIMAH ANSAR AHMAD</v>
      </c>
      <c r="Y1531" t="str">
        <f t="shared" si="626"/>
        <v>04-08-2020</v>
      </c>
      <c r="Z1531" t="str">
        <f>"COS10200804 7623"</f>
        <v>COS10200804 7623</v>
      </c>
    </row>
    <row r="1532" spans="1:26" x14ac:dyDescent="0.25">
      <c r="A1532" t="str">
        <f t="shared" si="635"/>
        <v>04-08-2020 01:08:11</v>
      </c>
      <c r="B1532" t="str">
        <f>"0000809423"</f>
        <v>0000809423</v>
      </c>
      <c r="C1532" t="str">
        <f t="shared" si="636"/>
        <v>0000809401</v>
      </c>
      <c r="D1532" t="str">
        <f t="shared" si="614"/>
        <v>73185</v>
      </c>
      <c r="E1532" t="str">
        <f t="shared" si="615"/>
        <v>KFH-OPERATIONS DEPARTMENT</v>
      </c>
      <c r="F1532" t="str">
        <f t="shared" si="616"/>
        <v>IBG</v>
      </c>
      <c r="G1532" t="str">
        <f t="shared" si="629"/>
        <v>Refund COSHARE 10</v>
      </c>
      <c r="H1532" s="2">
        <v>411.35</v>
      </c>
      <c r="I1532" t="str">
        <f>"SUHAILI BINTI OMAR"</f>
        <v>SUHAILI BINTI OMAR</v>
      </c>
      <c r="J1532" t="str">
        <f t="shared" si="632"/>
        <v>MAYBANK / MAYBANK ISLAMIC</v>
      </c>
      <c r="K1532" t="str">
        <f>"102027284620"</f>
        <v>102027284620</v>
      </c>
      <c r="L1532" t="str">
        <f t="shared" si="637"/>
        <v>04-08-2020</v>
      </c>
      <c r="M1532" t="str">
        <f t="shared" si="637"/>
        <v>04-08-2020</v>
      </c>
      <c r="N1532" t="str">
        <f t="shared" si="617"/>
        <v>001105018356</v>
      </c>
      <c r="O1532" t="str">
        <f t="shared" si="618"/>
        <v>MYR</v>
      </c>
      <c r="P1532" t="str">
        <f t="shared" si="638"/>
        <v>NIL</v>
      </c>
      <c r="Q1532" t="str">
        <f t="shared" si="638"/>
        <v>NIL</v>
      </c>
      <c r="R1532" t="str">
        <f t="shared" si="619"/>
        <v>Accepted</v>
      </c>
      <c r="S1532" t="str">
        <f t="shared" si="620"/>
        <v>Approved</v>
      </c>
      <c r="T1532" t="str">
        <f t="shared" si="621"/>
        <v>10.20.8.188</v>
      </c>
      <c r="U1532" t="str">
        <f t="shared" si="622"/>
        <v>AZRAD UMAR BIN SHAARI</v>
      </c>
      <c r="V1532" t="str">
        <f t="shared" si="623"/>
        <v>FARHANA BINTI MUSTAPA</v>
      </c>
      <c r="W1532" t="str">
        <f t="shared" si="624"/>
        <v>04-08-2020</v>
      </c>
      <c r="X1532" t="str">
        <f t="shared" si="625"/>
        <v>RAZIMAH ANSAR AHMAD</v>
      </c>
      <c r="Y1532" t="str">
        <f t="shared" si="626"/>
        <v>04-08-2020</v>
      </c>
      <c r="Z1532" t="str">
        <f>"COS10200804 7622"</f>
        <v>COS10200804 7622</v>
      </c>
    </row>
    <row r="1533" spans="1:26" x14ac:dyDescent="0.25">
      <c r="A1533" t="str">
        <f t="shared" si="635"/>
        <v>04-08-2020 01:08:11</v>
      </c>
      <c r="B1533" t="str">
        <f>"0000809422"</f>
        <v>0000809422</v>
      </c>
      <c r="C1533" t="str">
        <f t="shared" si="636"/>
        <v>0000809401</v>
      </c>
      <c r="D1533" t="str">
        <f t="shared" si="614"/>
        <v>73185</v>
      </c>
      <c r="E1533" t="str">
        <f t="shared" si="615"/>
        <v>KFH-OPERATIONS DEPARTMENT</v>
      </c>
      <c r="F1533" t="str">
        <f t="shared" si="616"/>
        <v>IBG</v>
      </c>
      <c r="G1533" t="str">
        <f t="shared" si="629"/>
        <v>Refund COSHARE 10</v>
      </c>
      <c r="H1533" s="2">
        <v>42</v>
      </c>
      <c r="I1533" t="str">
        <f>"SUHAILAH BINTI PARDI"</f>
        <v>SUHAILAH BINTI PARDI</v>
      </c>
      <c r="J1533" t="str">
        <f t="shared" si="632"/>
        <v>MAYBANK / MAYBANK ISLAMIC</v>
      </c>
      <c r="K1533" t="str">
        <f>"160148812643"</f>
        <v>160148812643</v>
      </c>
      <c r="L1533" t="str">
        <f t="shared" si="637"/>
        <v>04-08-2020</v>
      </c>
      <c r="M1533" t="str">
        <f t="shared" si="637"/>
        <v>04-08-2020</v>
      </c>
      <c r="N1533" t="str">
        <f t="shared" si="617"/>
        <v>001105018356</v>
      </c>
      <c r="O1533" t="str">
        <f t="shared" si="618"/>
        <v>MYR</v>
      </c>
      <c r="P1533" t="str">
        <f t="shared" si="638"/>
        <v>NIL</v>
      </c>
      <c r="Q1533" t="str">
        <f t="shared" si="638"/>
        <v>NIL</v>
      </c>
      <c r="R1533" t="str">
        <f t="shared" si="619"/>
        <v>Accepted</v>
      </c>
      <c r="S1533" t="str">
        <f t="shared" si="620"/>
        <v>Approved</v>
      </c>
      <c r="T1533" t="str">
        <f t="shared" si="621"/>
        <v>10.20.8.188</v>
      </c>
      <c r="U1533" t="str">
        <f t="shared" si="622"/>
        <v>AZRAD UMAR BIN SHAARI</v>
      </c>
      <c r="V1533" t="str">
        <f t="shared" si="623"/>
        <v>FARHANA BINTI MUSTAPA</v>
      </c>
      <c r="W1533" t="str">
        <f t="shared" si="624"/>
        <v>04-08-2020</v>
      </c>
      <c r="X1533" t="str">
        <f t="shared" si="625"/>
        <v>RAZIMAH ANSAR AHMAD</v>
      </c>
      <c r="Y1533" t="str">
        <f t="shared" si="626"/>
        <v>04-08-2020</v>
      </c>
      <c r="Z1533" t="str">
        <f>"COS10200804 7621"</f>
        <v>COS10200804 7621</v>
      </c>
    </row>
    <row r="1534" spans="1:26" x14ac:dyDescent="0.25">
      <c r="A1534" t="str">
        <f t="shared" si="635"/>
        <v>04-08-2020 01:08:11</v>
      </c>
      <c r="B1534" t="str">
        <f>"0000809421"</f>
        <v>0000809421</v>
      </c>
      <c r="C1534" t="str">
        <f t="shared" si="636"/>
        <v>0000809401</v>
      </c>
      <c r="D1534" t="str">
        <f t="shared" si="614"/>
        <v>73185</v>
      </c>
      <c r="E1534" t="str">
        <f t="shared" si="615"/>
        <v>KFH-OPERATIONS DEPARTMENT</v>
      </c>
      <c r="F1534" t="str">
        <f t="shared" si="616"/>
        <v>IBG</v>
      </c>
      <c r="G1534" t="str">
        <f t="shared" si="629"/>
        <v>Refund COSHARE 10</v>
      </c>
      <c r="H1534" s="2">
        <v>293.85000000000002</v>
      </c>
      <c r="I1534" t="str">
        <f>"SUHAILA BT MD SALLEH"</f>
        <v>SUHAILA BT MD SALLEH</v>
      </c>
      <c r="J1534" t="str">
        <f t="shared" si="632"/>
        <v>MAYBANK / MAYBANK ISLAMIC</v>
      </c>
      <c r="K1534" t="str">
        <f>"159012010550"</f>
        <v>159012010550</v>
      </c>
      <c r="L1534" t="str">
        <f t="shared" si="637"/>
        <v>04-08-2020</v>
      </c>
      <c r="M1534" t="str">
        <f t="shared" si="637"/>
        <v>04-08-2020</v>
      </c>
      <c r="N1534" t="str">
        <f t="shared" si="617"/>
        <v>001105018356</v>
      </c>
      <c r="O1534" t="str">
        <f t="shared" si="618"/>
        <v>MYR</v>
      </c>
      <c r="P1534" t="str">
        <f t="shared" si="638"/>
        <v>NIL</v>
      </c>
      <c r="Q1534" t="str">
        <f t="shared" si="638"/>
        <v>NIL</v>
      </c>
      <c r="R1534" t="str">
        <f t="shared" si="619"/>
        <v>Accepted</v>
      </c>
      <c r="S1534" t="str">
        <f t="shared" si="620"/>
        <v>Approved</v>
      </c>
      <c r="T1534" t="str">
        <f t="shared" si="621"/>
        <v>10.20.8.188</v>
      </c>
      <c r="U1534" t="str">
        <f t="shared" si="622"/>
        <v>AZRAD UMAR BIN SHAARI</v>
      </c>
      <c r="V1534" t="str">
        <f t="shared" si="623"/>
        <v>FARHANA BINTI MUSTAPA</v>
      </c>
      <c r="W1534" t="str">
        <f t="shared" si="624"/>
        <v>04-08-2020</v>
      </c>
      <c r="X1534" t="str">
        <f t="shared" si="625"/>
        <v>RAZIMAH ANSAR AHMAD</v>
      </c>
      <c r="Y1534" t="str">
        <f t="shared" si="626"/>
        <v>04-08-2020</v>
      </c>
      <c r="Z1534" t="str">
        <f>"COS10200804 7620"</f>
        <v>COS10200804 7620</v>
      </c>
    </row>
    <row r="1535" spans="1:26" x14ac:dyDescent="0.25">
      <c r="A1535" t="str">
        <f t="shared" si="635"/>
        <v>04-08-2020 01:08:11</v>
      </c>
      <c r="B1535" t="str">
        <f>"0000809420"</f>
        <v>0000809420</v>
      </c>
      <c r="C1535" t="str">
        <f t="shared" si="636"/>
        <v>0000809401</v>
      </c>
      <c r="D1535" t="str">
        <f t="shared" si="614"/>
        <v>73185</v>
      </c>
      <c r="E1535" t="str">
        <f t="shared" si="615"/>
        <v>KFH-OPERATIONS DEPARTMENT</v>
      </c>
      <c r="F1535" t="str">
        <f t="shared" si="616"/>
        <v>IBG</v>
      </c>
      <c r="G1535" t="str">
        <f t="shared" si="629"/>
        <v>Refund COSHARE 10</v>
      </c>
      <c r="H1535" s="2">
        <v>567.95000000000005</v>
      </c>
      <c r="I1535" t="str">
        <f>"SUHAILA BINTI MD SAID"</f>
        <v>SUHAILA BINTI MD SAID</v>
      </c>
      <c r="J1535" t="str">
        <f t="shared" si="632"/>
        <v>MAYBANK / MAYBANK ISLAMIC</v>
      </c>
      <c r="K1535" t="str">
        <f>"157072306232"</f>
        <v>157072306232</v>
      </c>
      <c r="L1535" t="str">
        <f t="shared" si="637"/>
        <v>04-08-2020</v>
      </c>
      <c r="M1535" t="str">
        <f t="shared" si="637"/>
        <v>04-08-2020</v>
      </c>
      <c r="N1535" t="str">
        <f t="shared" si="617"/>
        <v>001105018356</v>
      </c>
      <c r="O1535" t="str">
        <f t="shared" si="618"/>
        <v>MYR</v>
      </c>
      <c r="P1535" t="str">
        <f t="shared" si="638"/>
        <v>NIL</v>
      </c>
      <c r="Q1535" t="str">
        <f t="shared" si="638"/>
        <v>NIL</v>
      </c>
      <c r="R1535" t="str">
        <f t="shared" si="619"/>
        <v>Accepted</v>
      </c>
      <c r="S1535" t="str">
        <f t="shared" si="620"/>
        <v>Approved</v>
      </c>
      <c r="T1535" t="str">
        <f t="shared" si="621"/>
        <v>10.20.8.188</v>
      </c>
      <c r="U1535" t="str">
        <f t="shared" si="622"/>
        <v>AZRAD UMAR BIN SHAARI</v>
      </c>
      <c r="V1535" t="str">
        <f t="shared" si="623"/>
        <v>FARHANA BINTI MUSTAPA</v>
      </c>
      <c r="W1535" t="str">
        <f t="shared" si="624"/>
        <v>04-08-2020</v>
      </c>
      <c r="X1535" t="str">
        <f t="shared" si="625"/>
        <v>RAZIMAH ANSAR AHMAD</v>
      </c>
      <c r="Y1535" t="str">
        <f t="shared" si="626"/>
        <v>04-08-2020</v>
      </c>
      <c r="Z1535" t="str">
        <f>"COS10200804 7619"</f>
        <v>COS10200804 7619</v>
      </c>
    </row>
    <row r="1536" spans="1:26" x14ac:dyDescent="0.25">
      <c r="A1536" t="str">
        <f t="shared" si="635"/>
        <v>04-08-2020 01:08:11</v>
      </c>
      <c r="B1536" t="str">
        <f>"0000809419"</f>
        <v>0000809419</v>
      </c>
      <c r="C1536" t="str">
        <f t="shared" si="636"/>
        <v>0000809401</v>
      </c>
      <c r="D1536" t="str">
        <f t="shared" si="614"/>
        <v>73185</v>
      </c>
      <c r="E1536" t="str">
        <f t="shared" si="615"/>
        <v>KFH-OPERATIONS DEPARTMENT</v>
      </c>
      <c r="F1536" t="str">
        <f t="shared" si="616"/>
        <v>IBG</v>
      </c>
      <c r="G1536" t="str">
        <f t="shared" si="629"/>
        <v>Refund COSHARE 10</v>
      </c>
      <c r="H1536" s="2">
        <v>193.1</v>
      </c>
      <c r="I1536" t="str">
        <f>"SUHAILA BINTI BEBAKAR"</f>
        <v>SUHAILA BINTI BEBAKAR</v>
      </c>
      <c r="J1536" t="str">
        <f t="shared" si="632"/>
        <v>MAYBANK / MAYBANK ISLAMIC</v>
      </c>
      <c r="K1536" t="str">
        <f>"153083165486"</f>
        <v>153083165486</v>
      </c>
      <c r="L1536" t="str">
        <f t="shared" si="637"/>
        <v>04-08-2020</v>
      </c>
      <c r="M1536" t="str">
        <f t="shared" si="637"/>
        <v>04-08-2020</v>
      </c>
      <c r="N1536" t="str">
        <f t="shared" si="617"/>
        <v>001105018356</v>
      </c>
      <c r="O1536" t="str">
        <f t="shared" si="618"/>
        <v>MYR</v>
      </c>
      <c r="P1536" t="str">
        <f t="shared" si="638"/>
        <v>NIL</v>
      </c>
      <c r="Q1536" t="str">
        <f t="shared" si="638"/>
        <v>NIL</v>
      </c>
      <c r="R1536" t="str">
        <f t="shared" si="619"/>
        <v>Accepted</v>
      </c>
      <c r="S1536" t="str">
        <f t="shared" si="620"/>
        <v>Approved</v>
      </c>
      <c r="T1536" t="str">
        <f t="shared" si="621"/>
        <v>10.20.8.188</v>
      </c>
      <c r="U1536" t="str">
        <f t="shared" si="622"/>
        <v>AZRAD UMAR BIN SHAARI</v>
      </c>
      <c r="V1536" t="str">
        <f t="shared" si="623"/>
        <v>FARHANA BINTI MUSTAPA</v>
      </c>
      <c r="W1536" t="str">
        <f t="shared" si="624"/>
        <v>04-08-2020</v>
      </c>
      <c r="X1536" t="str">
        <f t="shared" si="625"/>
        <v>RAZIMAH ANSAR AHMAD</v>
      </c>
      <c r="Y1536" t="str">
        <f t="shared" si="626"/>
        <v>04-08-2020</v>
      </c>
      <c r="Z1536" t="str">
        <f>"COS10200804 7618"</f>
        <v>COS10200804 7618</v>
      </c>
    </row>
    <row r="1537" spans="1:26" x14ac:dyDescent="0.25">
      <c r="A1537" t="str">
        <f t="shared" si="635"/>
        <v>04-08-2020 01:08:11</v>
      </c>
      <c r="B1537" t="str">
        <f>"0000809418"</f>
        <v>0000809418</v>
      </c>
      <c r="C1537" t="str">
        <f t="shared" si="636"/>
        <v>0000809401</v>
      </c>
      <c r="D1537" t="str">
        <f t="shared" si="614"/>
        <v>73185</v>
      </c>
      <c r="E1537" t="str">
        <f t="shared" si="615"/>
        <v>KFH-OPERATIONS DEPARTMENT</v>
      </c>
      <c r="F1537" t="str">
        <f t="shared" si="616"/>
        <v>IBG</v>
      </c>
      <c r="G1537" t="str">
        <f t="shared" si="629"/>
        <v>Refund COSHARE 10</v>
      </c>
      <c r="H1537" s="2">
        <v>629.65</v>
      </c>
      <c r="I1537" t="str">
        <f>"SUHAIDA BINTI ABAS"</f>
        <v>SUHAIDA BINTI ABAS</v>
      </c>
      <c r="J1537" t="str">
        <f t="shared" si="632"/>
        <v>MAYBANK / MAYBANK ISLAMIC</v>
      </c>
      <c r="K1537" t="str">
        <f>"166010038676"</f>
        <v>166010038676</v>
      </c>
      <c r="L1537" t="str">
        <f t="shared" si="637"/>
        <v>04-08-2020</v>
      </c>
      <c r="M1537" t="str">
        <f t="shared" si="637"/>
        <v>04-08-2020</v>
      </c>
      <c r="N1537" t="str">
        <f t="shared" si="617"/>
        <v>001105018356</v>
      </c>
      <c r="O1537" t="str">
        <f t="shared" si="618"/>
        <v>MYR</v>
      </c>
      <c r="P1537" t="str">
        <f t="shared" si="638"/>
        <v>NIL</v>
      </c>
      <c r="Q1537" t="str">
        <f t="shared" si="638"/>
        <v>NIL</v>
      </c>
      <c r="R1537" t="str">
        <f t="shared" si="619"/>
        <v>Accepted</v>
      </c>
      <c r="S1537" t="str">
        <f t="shared" si="620"/>
        <v>Approved</v>
      </c>
      <c r="T1537" t="str">
        <f t="shared" si="621"/>
        <v>10.20.8.188</v>
      </c>
      <c r="U1537" t="str">
        <f t="shared" si="622"/>
        <v>AZRAD UMAR BIN SHAARI</v>
      </c>
      <c r="V1537" t="str">
        <f t="shared" si="623"/>
        <v>FARHANA BINTI MUSTAPA</v>
      </c>
      <c r="W1537" t="str">
        <f t="shared" si="624"/>
        <v>04-08-2020</v>
      </c>
      <c r="X1537" t="str">
        <f t="shared" si="625"/>
        <v>RAZIMAH ANSAR AHMAD</v>
      </c>
      <c r="Y1537" t="str">
        <f t="shared" si="626"/>
        <v>04-08-2020</v>
      </c>
      <c r="Z1537" t="str">
        <f>"COS10200804 7617"</f>
        <v>COS10200804 7617</v>
      </c>
    </row>
    <row r="1538" spans="1:26" x14ac:dyDescent="0.25">
      <c r="A1538" t="str">
        <f t="shared" si="635"/>
        <v>04-08-2020 01:08:11</v>
      </c>
      <c r="B1538" t="str">
        <f>"0000809417"</f>
        <v>0000809417</v>
      </c>
      <c r="C1538" t="str">
        <f t="shared" si="636"/>
        <v>0000809401</v>
      </c>
      <c r="D1538" t="str">
        <f t="shared" si="614"/>
        <v>73185</v>
      </c>
      <c r="E1538" t="str">
        <f t="shared" si="615"/>
        <v>KFH-OPERATIONS DEPARTMENT</v>
      </c>
      <c r="F1538" t="str">
        <f t="shared" si="616"/>
        <v>IBG</v>
      </c>
      <c r="G1538" t="str">
        <f t="shared" si="629"/>
        <v>Refund COSHARE 10</v>
      </c>
      <c r="H1538" s="2">
        <v>67.2</v>
      </c>
      <c r="I1538" t="str">
        <f>"SUHAIBAH BINTI MOHAMED"</f>
        <v>SUHAIBAH BINTI MOHAMED</v>
      </c>
      <c r="J1538" t="str">
        <f t="shared" si="632"/>
        <v>MAYBANK / MAYBANK ISLAMIC</v>
      </c>
      <c r="K1538" t="str">
        <f>"101218076732"</f>
        <v>101218076732</v>
      </c>
      <c r="L1538" t="str">
        <f t="shared" si="637"/>
        <v>04-08-2020</v>
      </c>
      <c r="M1538" t="str">
        <f t="shared" si="637"/>
        <v>04-08-2020</v>
      </c>
      <c r="N1538" t="str">
        <f t="shared" si="617"/>
        <v>001105018356</v>
      </c>
      <c r="O1538" t="str">
        <f t="shared" si="618"/>
        <v>MYR</v>
      </c>
      <c r="P1538" t="str">
        <f t="shared" si="638"/>
        <v>NIL</v>
      </c>
      <c r="Q1538" t="str">
        <f t="shared" si="638"/>
        <v>NIL</v>
      </c>
      <c r="R1538" t="str">
        <f t="shared" si="619"/>
        <v>Accepted</v>
      </c>
      <c r="S1538" t="str">
        <f t="shared" si="620"/>
        <v>Approved</v>
      </c>
      <c r="T1538" t="str">
        <f t="shared" si="621"/>
        <v>10.20.8.188</v>
      </c>
      <c r="U1538" t="str">
        <f t="shared" si="622"/>
        <v>AZRAD UMAR BIN SHAARI</v>
      </c>
      <c r="V1538" t="str">
        <f t="shared" si="623"/>
        <v>FARHANA BINTI MUSTAPA</v>
      </c>
      <c r="W1538" t="str">
        <f t="shared" si="624"/>
        <v>04-08-2020</v>
      </c>
      <c r="X1538" t="str">
        <f t="shared" si="625"/>
        <v>RAZIMAH ANSAR AHMAD</v>
      </c>
      <c r="Y1538" t="str">
        <f t="shared" si="626"/>
        <v>04-08-2020</v>
      </c>
      <c r="Z1538" t="str">
        <f>"COS10200804 7616"</f>
        <v>COS10200804 7616</v>
      </c>
    </row>
    <row r="1539" spans="1:26" x14ac:dyDescent="0.25">
      <c r="A1539" t="str">
        <f t="shared" si="635"/>
        <v>04-08-2020 01:08:11</v>
      </c>
      <c r="B1539" t="str">
        <f>"0000809416"</f>
        <v>0000809416</v>
      </c>
      <c r="C1539" t="str">
        <f t="shared" si="636"/>
        <v>0000809401</v>
      </c>
      <c r="D1539" t="str">
        <f t="shared" si="614"/>
        <v>73185</v>
      </c>
      <c r="E1539" t="str">
        <f t="shared" si="615"/>
        <v>KFH-OPERATIONS DEPARTMENT</v>
      </c>
      <c r="F1539" t="str">
        <f t="shared" si="616"/>
        <v>IBG</v>
      </c>
      <c r="G1539" t="str">
        <f t="shared" si="629"/>
        <v>Refund COSHARE 10</v>
      </c>
      <c r="H1539" s="2">
        <v>335.8</v>
      </c>
      <c r="I1539" t="str">
        <f>"SUHAANUAR BIN MOHAMAD"</f>
        <v>SUHAANUAR BIN MOHAMAD</v>
      </c>
      <c r="J1539" t="str">
        <f t="shared" si="632"/>
        <v>MAYBANK / MAYBANK ISLAMIC</v>
      </c>
      <c r="K1539" t="str">
        <f>"166010059914"</f>
        <v>166010059914</v>
      </c>
      <c r="L1539" t="str">
        <f t="shared" si="637"/>
        <v>04-08-2020</v>
      </c>
      <c r="M1539" t="str">
        <f t="shared" si="637"/>
        <v>04-08-2020</v>
      </c>
      <c r="N1539" t="str">
        <f t="shared" si="617"/>
        <v>001105018356</v>
      </c>
      <c r="O1539" t="str">
        <f t="shared" si="618"/>
        <v>MYR</v>
      </c>
      <c r="P1539" t="str">
        <f t="shared" si="638"/>
        <v>NIL</v>
      </c>
      <c r="Q1539" t="str">
        <f t="shared" si="638"/>
        <v>NIL</v>
      </c>
      <c r="R1539" t="str">
        <f t="shared" si="619"/>
        <v>Accepted</v>
      </c>
      <c r="S1539" t="str">
        <f t="shared" si="620"/>
        <v>Approved</v>
      </c>
      <c r="T1539" t="str">
        <f t="shared" si="621"/>
        <v>10.20.8.188</v>
      </c>
      <c r="U1539" t="str">
        <f t="shared" si="622"/>
        <v>AZRAD UMAR BIN SHAARI</v>
      </c>
      <c r="V1539" t="str">
        <f t="shared" si="623"/>
        <v>FARHANA BINTI MUSTAPA</v>
      </c>
      <c r="W1539" t="str">
        <f t="shared" si="624"/>
        <v>04-08-2020</v>
      </c>
      <c r="X1539" t="str">
        <f t="shared" si="625"/>
        <v>RAZIMAH ANSAR AHMAD</v>
      </c>
      <c r="Y1539" t="str">
        <f t="shared" si="626"/>
        <v>04-08-2020</v>
      </c>
      <c r="Z1539" t="str">
        <f>"COS10200804 7615"</f>
        <v>COS10200804 7615</v>
      </c>
    </row>
    <row r="1540" spans="1:26" x14ac:dyDescent="0.25">
      <c r="A1540" t="str">
        <f t="shared" si="635"/>
        <v>04-08-2020 01:08:11</v>
      </c>
      <c r="B1540" t="str">
        <f>"0000809415"</f>
        <v>0000809415</v>
      </c>
      <c r="C1540" t="str">
        <f t="shared" si="636"/>
        <v>0000809401</v>
      </c>
      <c r="D1540" t="str">
        <f t="shared" si="614"/>
        <v>73185</v>
      </c>
      <c r="E1540" t="str">
        <f t="shared" si="615"/>
        <v>KFH-OPERATIONS DEPARTMENT</v>
      </c>
      <c r="F1540" t="str">
        <f t="shared" si="616"/>
        <v>IBG</v>
      </c>
      <c r="G1540" t="str">
        <f t="shared" si="629"/>
        <v>Refund COSHARE 10</v>
      </c>
      <c r="H1540" s="2">
        <v>453.35</v>
      </c>
      <c r="I1540" t="str">
        <f>"SUGUMARAN AL SILVARETINAM"</f>
        <v>SUGUMARAN AL SILVARETINAM</v>
      </c>
      <c r="J1540" t="str">
        <f t="shared" si="632"/>
        <v>MAYBANK / MAYBANK ISLAMIC</v>
      </c>
      <c r="K1540" t="str">
        <f>"108011809675"</f>
        <v>108011809675</v>
      </c>
      <c r="L1540" t="str">
        <f t="shared" si="637"/>
        <v>04-08-2020</v>
      </c>
      <c r="M1540" t="str">
        <f t="shared" si="637"/>
        <v>04-08-2020</v>
      </c>
      <c r="N1540" t="str">
        <f t="shared" si="617"/>
        <v>001105018356</v>
      </c>
      <c r="O1540" t="str">
        <f t="shared" si="618"/>
        <v>MYR</v>
      </c>
      <c r="P1540" t="str">
        <f t="shared" si="638"/>
        <v>NIL</v>
      </c>
      <c r="Q1540" t="str">
        <f t="shared" si="638"/>
        <v>NIL</v>
      </c>
      <c r="R1540" t="str">
        <f t="shared" si="619"/>
        <v>Accepted</v>
      </c>
      <c r="S1540" t="str">
        <f t="shared" si="620"/>
        <v>Approved</v>
      </c>
      <c r="T1540" t="str">
        <f t="shared" si="621"/>
        <v>10.20.8.188</v>
      </c>
      <c r="U1540" t="str">
        <f t="shared" si="622"/>
        <v>AZRAD UMAR BIN SHAARI</v>
      </c>
      <c r="V1540" t="str">
        <f t="shared" si="623"/>
        <v>FARHANA BINTI MUSTAPA</v>
      </c>
      <c r="W1540" t="str">
        <f t="shared" si="624"/>
        <v>04-08-2020</v>
      </c>
      <c r="X1540" t="str">
        <f t="shared" si="625"/>
        <v>RAZIMAH ANSAR AHMAD</v>
      </c>
      <c r="Y1540" t="str">
        <f t="shared" si="626"/>
        <v>04-08-2020</v>
      </c>
      <c r="Z1540" t="str">
        <f>"COS10200804 7614"</f>
        <v>COS10200804 7614</v>
      </c>
    </row>
    <row r="1541" spans="1:26" x14ac:dyDescent="0.25">
      <c r="A1541" t="str">
        <f t="shared" si="635"/>
        <v>04-08-2020 01:08:11</v>
      </c>
      <c r="B1541" t="str">
        <f>"0000809414"</f>
        <v>0000809414</v>
      </c>
      <c r="C1541" t="str">
        <f t="shared" si="636"/>
        <v>0000809401</v>
      </c>
      <c r="D1541" t="str">
        <f t="shared" si="614"/>
        <v>73185</v>
      </c>
      <c r="E1541" t="str">
        <f t="shared" si="615"/>
        <v>KFH-OPERATIONS DEPARTMENT</v>
      </c>
      <c r="F1541" t="str">
        <f t="shared" si="616"/>
        <v>IBG</v>
      </c>
      <c r="G1541" t="str">
        <f t="shared" si="629"/>
        <v>Refund COSHARE 10</v>
      </c>
      <c r="H1541" s="2">
        <v>1277</v>
      </c>
      <c r="I1541" t="str">
        <f>"SUGANTHI AP CHELLAPPAN"</f>
        <v>SUGANTHI AP CHELLAPPAN</v>
      </c>
      <c r="J1541" t="str">
        <f t="shared" si="632"/>
        <v>MAYBANK / MAYBANK ISLAMIC</v>
      </c>
      <c r="K1541" t="str">
        <f>"112222341816"</f>
        <v>112222341816</v>
      </c>
      <c r="L1541" t="str">
        <f t="shared" si="637"/>
        <v>04-08-2020</v>
      </c>
      <c r="M1541" t="str">
        <f t="shared" si="637"/>
        <v>04-08-2020</v>
      </c>
      <c r="N1541" t="str">
        <f t="shared" si="617"/>
        <v>001105018356</v>
      </c>
      <c r="O1541" t="str">
        <f t="shared" si="618"/>
        <v>MYR</v>
      </c>
      <c r="P1541" t="str">
        <f t="shared" si="638"/>
        <v>NIL</v>
      </c>
      <c r="Q1541" t="str">
        <f t="shared" si="638"/>
        <v>NIL</v>
      </c>
      <c r="R1541" t="str">
        <f t="shared" si="619"/>
        <v>Accepted</v>
      </c>
      <c r="S1541" t="str">
        <f t="shared" si="620"/>
        <v>Approved</v>
      </c>
      <c r="T1541" t="str">
        <f t="shared" si="621"/>
        <v>10.20.8.188</v>
      </c>
      <c r="U1541" t="str">
        <f t="shared" si="622"/>
        <v>AZRAD UMAR BIN SHAARI</v>
      </c>
      <c r="V1541" t="str">
        <f t="shared" si="623"/>
        <v>FARHANA BINTI MUSTAPA</v>
      </c>
      <c r="W1541" t="str">
        <f t="shared" si="624"/>
        <v>04-08-2020</v>
      </c>
      <c r="X1541" t="str">
        <f t="shared" si="625"/>
        <v>RAZIMAH ANSAR AHMAD</v>
      </c>
      <c r="Y1541" t="str">
        <f t="shared" si="626"/>
        <v>04-08-2020</v>
      </c>
      <c r="Z1541" t="str">
        <f>"COS10200804 7613"</f>
        <v>COS10200804 7613</v>
      </c>
    </row>
    <row r="1542" spans="1:26" x14ac:dyDescent="0.25">
      <c r="A1542" t="str">
        <f t="shared" si="635"/>
        <v>04-08-2020 01:08:11</v>
      </c>
      <c r="B1542" t="str">
        <f>"0000809413"</f>
        <v>0000809413</v>
      </c>
      <c r="C1542" t="str">
        <f t="shared" si="636"/>
        <v>0000809401</v>
      </c>
      <c r="D1542" t="str">
        <f t="shared" si="614"/>
        <v>73185</v>
      </c>
      <c r="E1542" t="str">
        <f t="shared" si="615"/>
        <v>KFH-OPERATIONS DEPARTMENT</v>
      </c>
      <c r="F1542" t="str">
        <f t="shared" si="616"/>
        <v>IBG</v>
      </c>
      <c r="G1542" t="str">
        <f t="shared" si="629"/>
        <v>Refund COSHARE 10</v>
      </c>
      <c r="H1542" s="2">
        <v>1126</v>
      </c>
      <c r="I1542" t="str">
        <f>"SUFIDA BINTI SALAIMAN"</f>
        <v>SUFIDA BINTI SALAIMAN</v>
      </c>
      <c r="J1542" t="str">
        <f t="shared" si="632"/>
        <v>MAYBANK / MAYBANK ISLAMIC</v>
      </c>
      <c r="K1542" t="str">
        <f>"111038397126"</f>
        <v>111038397126</v>
      </c>
      <c r="L1542" t="str">
        <f t="shared" si="637"/>
        <v>04-08-2020</v>
      </c>
      <c r="M1542" t="str">
        <f t="shared" si="637"/>
        <v>04-08-2020</v>
      </c>
      <c r="N1542" t="str">
        <f t="shared" si="617"/>
        <v>001105018356</v>
      </c>
      <c r="O1542" t="str">
        <f t="shared" si="618"/>
        <v>MYR</v>
      </c>
      <c r="P1542" t="str">
        <f t="shared" si="638"/>
        <v>NIL</v>
      </c>
      <c r="Q1542" t="str">
        <f t="shared" si="638"/>
        <v>NIL</v>
      </c>
      <c r="R1542" t="str">
        <f t="shared" si="619"/>
        <v>Accepted</v>
      </c>
      <c r="S1542" t="str">
        <f t="shared" si="620"/>
        <v>Approved</v>
      </c>
      <c r="T1542" t="str">
        <f t="shared" si="621"/>
        <v>10.20.8.188</v>
      </c>
      <c r="U1542" t="str">
        <f t="shared" si="622"/>
        <v>AZRAD UMAR BIN SHAARI</v>
      </c>
      <c r="V1542" t="str">
        <f t="shared" si="623"/>
        <v>FARHANA BINTI MUSTAPA</v>
      </c>
      <c r="W1542" t="str">
        <f t="shared" si="624"/>
        <v>04-08-2020</v>
      </c>
      <c r="X1542" t="str">
        <f t="shared" si="625"/>
        <v>RAZIMAH ANSAR AHMAD</v>
      </c>
      <c r="Y1542" t="str">
        <f t="shared" si="626"/>
        <v>04-08-2020</v>
      </c>
      <c r="Z1542" t="str">
        <f>"COS10200804 7612"</f>
        <v>COS10200804 7612</v>
      </c>
    </row>
    <row r="1543" spans="1:26" x14ac:dyDescent="0.25">
      <c r="A1543" t="str">
        <f t="shared" si="635"/>
        <v>04-08-2020 01:08:11</v>
      </c>
      <c r="B1543" t="str">
        <f>"0000809412"</f>
        <v>0000809412</v>
      </c>
      <c r="C1543" t="str">
        <f t="shared" si="636"/>
        <v>0000809401</v>
      </c>
      <c r="D1543" t="str">
        <f t="shared" ref="D1543:D1606" si="639">"73185"</f>
        <v>73185</v>
      </c>
      <c r="E1543" t="str">
        <f t="shared" ref="E1543:E1606" si="640">"KFH-OPERATIONS DEPARTMENT"</f>
        <v>KFH-OPERATIONS DEPARTMENT</v>
      </c>
      <c r="F1543" t="str">
        <f t="shared" ref="F1543:F1606" si="641">"IBG"</f>
        <v>IBG</v>
      </c>
      <c r="G1543" t="str">
        <f t="shared" si="629"/>
        <v>Refund COSHARE 10</v>
      </c>
      <c r="H1543" s="2">
        <v>1711.95</v>
      </c>
      <c r="I1543" t="str">
        <f>"SUFIAN BIN MOKTAR"</f>
        <v>SUFIAN BIN MOKTAR</v>
      </c>
      <c r="J1543" t="str">
        <f t="shared" si="632"/>
        <v>MAYBANK / MAYBANK ISLAMIC</v>
      </c>
      <c r="K1543" t="str">
        <f>"158109147466"</f>
        <v>158109147466</v>
      </c>
      <c r="L1543" t="str">
        <f t="shared" si="637"/>
        <v>04-08-2020</v>
      </c>
      <c r="M1543" t="str">
        <f t="shared" si="637"/>
        <v>04-08-2020</v>
      </c>
      <c r="N1543" t="str">
        <f t="shared" ref="N1543:N1606" si="642">"001105018356"</f>
        <v>001105018356</v>
      </c>
      <c r="O1543" t="str">
        <f t="shared" ref="O1543:O1606" si="643">"MYR"</f>
        <v>MYR</v>
      </c>
      <c r="P1543" t="str">
        <f t="shared" si="638"/>
        <v>NIL</v>
      </c>
      <c r="Q1543" t="str">
        <f t="shared" si="638"/>
        <v>NIL</v>
      </c>
      <c r="R1543" t="str">
        <f t="shared" ref="R1543:R1606" si="644">"Accepted"</f>
        <v>Accepted</v>
      </c>
      <c r="S1543" t="str">
        <f t="shared" ref="S1543:S1606" si="645">"Approved"</f>
        <v>Approved</v>
      </c>
      <c r="T1543" t="str">
        <f t="shared" ref="T1543:T1606" si="646">"10.20.8.188"</f>
        <v>10.20.8.188</v>
      </c>
      <c r="U1543" t="str">
        <f t="shared" ref="U1543:U1606" si="647">"AZRAD UMAR BIN SHAARI"</f>
        <v>AZRAD UMAR BIN SHAARI</v>
      </c>
      <c r="V1543" t="str">
        <f t="shared" ref="V1543:V1606" si="648">"FARHANA BINTI MUSTAPA"</f>
        <v>FARHANA BINTI MUSTAPA</v>
      </c>
      <c r="W1543" t="str">
        <f t="shared" ref="W1543:W1606" si="649">"04-08-2020"</f>
        <v>04-08-2020</v>
      </c>
      <c r="X1543" t="str">
        <f t="shared" ref="X1543:X1606" si="650">"RAZIMAH ANSAR AHMAD"</f>
        <v>RAZIMAH ANSAR AHMAD</v>
      </c>
      <c r="Y1543" t="str">
        <f t="shared" ref="Y1543:Y1606" si="651">"04-08-2020"</f>
        <v>04-08-2020</v>
      </c>
      <c r="Z1543" t="str">
        <f>"COS10200804 7611"</f>
        <v>COS10200804 7611</v>
      </c>
    </row>
    <row r="1544" spans="1:26" x14ac:dyDescent="0.25">
      <c r="A1544" t="str">
        <f t="shared" si="635"/>
        <v>04-08-2020 01:08:11</v>
      </c>
      <c r="B1544" t="str">
        <f>"0000809411"</f>
        <v>0000809411</v>
      </c>
      <c r="C1544" t="str">
        <f t="shared" si="636"/>
        <v>0000809401</v>
      </c>
      <c r="D1544" t="str">
        <f t="shared" si="639"/>
        <v>73185</v>
      </c>
      <c r="E1544" t="str">
        <f t="shared" si="640"/>
        <v>KFH-OPERATIONS DEPARTMENT</v>
      </c>
      <c r="F1544" t="str">
        <f t="shared" si="641"/>
        <v>IBG</v>
      </c>
      <c r="G1544" t="str">
        <f t="shared" si="629"/>
        <v>Refund COSHARE 10</v>
      </c>
      <c r="H1544" s="2">
        <v>688.4</v>
      </c>
      <c r="I1544" t="str">
        <f>"SUDIRMAN BIN AHMAD"</f>
        <v>SUDIRMAN BIN AHMAD</v>
      </c>
      <c r="J1544" t="str">
        <f t="shared" si="632"/>
        <v>MAYBANK / MAYBANK ISLAMIC</v>
      </c>
      <c r="K1544" t="str">
        <f>"107077518776"</f>
        <v>107077518776</v>
      </c>
      <c r="L1544" t="str">
        <f t="shared" si="637"/>
        <v>04-08-2020</v>
      </c>
      <c r="M1544" t="str">
        <f t="shared" si="637"/>
        <v>04-08-2020</v>
      </c>
      <c r="N1544" t="str">
        <f t="shared" si="642"/>
        <v>001105018356</v>
      </c>
      <c r="O1544" t="str">
        <f t="shared" si="643"/>
        <v>MYR</v>
      </c>
      <c r="P1544" t="str">
        <f t="shared" si="638"/>
        <v>NIL</v>
      </c>
      <c r="Q1544" t="str">
        <f t="shared" si="638"/>
        <v>NIL</v>
      </c>
      <c r="R1544" t="str">
        <f t="shared" si="644"/>
        <v>Accepted</v>
      </c>
      <c r="S1544" t="str">
        <f t="shared" si="645"/>
        <v>Approved</v>
      </c>
      <c r="T1544" t="str">
        <f t="shared" si="646"/>
        <v>10.20.8.188</v>
      </c>
      <c r="U1544" t="str">
        <f t="shared" si="647"/>
        <v>AZRAD UMAR BIN SHAARI</v>
      </c>
      <c r="V1544" t="str">
        <f t="shared" si="648"/>
        <v>FARHANA BINTI MUSTAPA</v>
      </c>
      <c r="W1544" t="str">
        <f t="shared" si="649"/>
        <v>04-08-2020</v>
      </c>
      <c r="X1544" t="str">
        <f t="shared" si="650"/>
        <v>RAZIMAH ANSAR AHMAD</v>
      </c>
      <c r="Y1544" t="str">
        <f t="shared" si="651"/>
        <v>04-08-2020</v>
      </c>
      <c r="Z1544" t="str">
        <f>"COS10200804 7610"</f>
        <v>COS10200804 7610</v>
      </c>
    </row>
    <row r="1545" spans="1:26" x14ac:dyDescent="0.25">
      <c r="A1545" t="str">
        <f t="shared" si="635"/>
        <v>04-08-2020 01:08:11</v>
      </c>
      <c r="B1545" t="str">
        <f>"0000809410"</f>
        <v>0000809410</v>
      </c>
      <c r="C1545" t="str">
        <f t="shared" si="636"/>
        <v>0000809401</v>
      </c>
      <c r="D1545" t="str">
        <f t="shared" si="639"/>
        <v>73185</v>
      </c>
      <c r="E1545" t="str">
        <f t="shared" si="640"/>
        <v>KFH-OPERATIONS DEPARTMENT</v>
      </c>
      <c r="F1545" t="str">
        <f t="shared" si="641"/>
        <v>IBG</v>
      </c>
      <c r="G1545" t="str">
        <f t="shared" si="629"/>
        <v>Refund COSHARE 10</v>
      </c>
      <c r="H1545" s="2">
        <v>671.6</v>
      </c>
      <c r="I1545" t="str">
        <f>"SUBHANA BIN MAHMUD"</f>
        <v>SUBHANA BIN MAHMUD</v>
      </c>
      <c r="J1545" t="str">
        <f t="shared" si="632"/>
        <v>MAYBANK / MAYBANK ISLAMIC</v>
      </c>
      <c r="K1545" t="str">
        <f>"108319035389"</f>
        <v>108319035389</v>
      </c>
      <c r="L1545" t="str">
        <f t="shared" si="637"/>
        <v>04-08-2020</v>
      </c>
      <c r="M1545" t="str">
        <f t="shared" si="637"/>
        <v>04-08-2020</v>
      </c>
      <c r="N1545" t="str">
        <f t="shared" si="642"/>
        <v>001105018356</v>
      </c>
      <c r="O1545" t="str">
        <f t="shared" si="643"/>
        <v>MYR</v>
      </c>
      <c r="P1545" t="str">
        <f t="shared" si="638"/>
        <v>NIL</v>
      </c>
      <c r="Q1545" t="str">
        <f t="shared" si="638"/>
        <v>NIL</v>
      </c>
      <c r="R1545" t="str">
        <f t="shared" si="644"/>
        <v>Accepted</v>
      </c>
      <c r="S1545" t="str">
        <f t="shared" si="645"/>
        <v>Approved</v>
      </c>
      <c r="T1545" t="str">
        <f t="shared" si="646"/>
        <v>10.20.8.188</v>
      </c>
      <c r="U1545" t="str">
        <f t="shared" si="647"/>
        <v>AZRAD UMAR BIN SHAARI</v>
      </c>
      <c r="V1545" t="str">
        <f t="shared" si="648"/>
        <v>FARHANA BINTI MUSTAPA</v>
      </c>
      <c r="W1545" t="str">
        <f t="shared" si="649"/>
        <v>04-08-2020</v>
      </c>
      <c r="X1545" t="str">
        <f t="shared" si="650"/>
        <v>RAZIMAH ANSAR AHMAD</v>
      </c>
      <c r="Y1545" t="str">
        <f t="shared" si="651"/>
        <v>04-08-2020</v>
      </c>
      <c r="Z1545" t="str">
        <f>"COS10200804 7609"</f>
        <v>COS10200804 7609</v>
      </c>
    </row>
    <row r="1546" spans="1:26" x14ac:dyDescent="0.25">
      <c r="A1546" t="str">
        <f t="shared" ref="A1546:A1553" si="652">"04-08-2020 01:08:11"</f>
        <v>04-08-2020 01:08:11</v>
      </c>
      <c r="B1546" t="str">
        <f>"0000809409"</f>
        <v>0000809409</v>
      </c>
      <c r="C1546" t="str">
        <f t="shared" ref="C1546:C1553" si="653">"0000809401"</f>
        <v>0000809401</v>
      </c>
      <c r="D1546" t="str">
        <f t="shared" si="639"/>
        <v>73185</v>
      </c>
      <c r="E1546" t="str">
        <f t="shared" si="640"/>
        <v>KFH-OPERATIONS DEPARTMENT</v>
      </c>
      <c r="F1546" t="str">
        <f t="shared" si="641"/>
        <v>IBG</v>
      </c>
      <c r="G1546" t="str">
        <f t="shared" si="629"/>
        <v>Refund COSHARE 10</v>
      </c>
      <c r="H1546" s="2">
        <v>619.25</v>
      </c>
      <c r="I1546" t="str">
        <f>"SUBEDAH BINTI RAMLAN"</f>
        <v>SUBEDAH BINTI RAMLAN</v>
      </c>
      <c r="J1546" t="str">
        <f t="shared" si="632"/>
        <v>MAYBANK / MAYBANK ISLAMIC</v>
      </c>
      <c r="K1546" t="str">
        <f>"151017056546"</f>
        <v>151017056546</v>
      </c>
      <c r="L1546" t="str">
        <f t="shared" si="637"/>
        <v>04-08-2020</v>
      </c>
      <c r="M1546" t="str">
        <f t="shared" si="637"/>
        <v>04-08-2020</v>
      </c>
      <c r="N1546" t="str">
        <f t="shared" si="642"/>
        <v>001105018356</v>
      </c>
      <c r="O1546" t="str">
        <f t="shared" si="643"/>
        <v>MYR</v>
      </c>
      <c r="P1546" t="str">
        <f t="shared" si="638"/>
        <v>NIL</v>
      </c>
      <c r="Q1546" t="str">
        <f t="shared" si="638"/>
        <v>NIL</v>
      </c>
      <c r="R1546" t="str">
        <f t="shared" si="644"/>
        <v>Accepted</v>
      </c>
      <c r="S1546" t="str">
        <f t="shared" si="645"/>
        <v>Approved</v>
      </c>
      <c r="T1546" t="str">
        <f t="shared" si="646"/>
        <v>10.20.8.188</v>
      </c>
      <c r="U1546" t="str">
        <f t="shared" si="647"/>
        <v>AZRAD UMAR BIN SHAARI</v>
      </c>
      <c r="V1546" t="str">
        <f t="shared" si="648"/>
        <v>FARHANA BINTI MUSTAPA</v>
      </c>
      <c r="W1546" t="str">
        <f t="shared" si="649"/>
        <v>04-08-2020</v>
      </c>
      <c r="X1546" t="str">
        <f t="shared" si="650"/>
        <v>RAZIMAH ANSAR AHMAD</v>
      </c>
      <c r="Y1546" t="str">
        <f t="shared" si="651"/>
        <v>04-08-2020</v>
      </c>
      <c r="Z1546" t="str">
        <f>"COS10200804 7608"</f>
        <v>COS10200804 7608</v>
      </c>
    </row>
    <row r="1547" spans="1:26" x14ac:dyDescent="0.25">
      <c r="A1547" t="str">
        <f t="shared" si="652"/>
        <v>04-08-2020 01:08:11</v>
      </c>
      <c r="B1547" t="str">
        <f>"0000809408"</f>
        <v>0000809408</v>
      </c>
      <c r="C1547" t="str">
        <f t="shared" si="653"/>
        <v>0000809401</v>
      </c>
      <c r="D1547" t="str">
        <f t="shared" si="639"/>
        <v>73185</v>
      </c>
      <c r="E1547" t="str">
        <f t="shared" si="640"/>
        <v>KFH-OPERATIONS DEPARTMENT</v>
      </c>
      <c r="F1547" t="str">
        <f t="shared" si="641"/>
        <v>IBG</v>
      </c>
      <c r="G1547" t="str">
        <f t="shared" si="629"/>
        <v>Refund COSHARE 10</v>
      </c>
      <c r="H1547" s="2">
        <v>1830</v>
      </c>
      <c r="I1547" t="str">
        <f>"SUBATHRA AP MARIAPPAN"</f>
        <v>SUBATHRA AP MARIAPPAN</v>
      </c>
      <c r="J1547" t="str">
        <f t="shared" si="632"/>
        <v>MAYBANK / MAYBANK ISLAMIC</v>
      </c>
      <c r="K1547" t="str">
        <f>"112389036476"</f>
        <v>112389036476</v>
      </c>
      <c r="L1547" t="str">
        <f t="shared" ref="L1547:M1566" si="654">"04-08-2020"</f>
        <v>04-08-2020</v>
      </c>
      <c r="M1547" t="str">
        <f t="shared" si="654"/>
        <v>04-08-2020</v>
      </c>
      <c r="N1547" t="str">
        <f t="shared" si="642"/>
        <v>001105018356</v>
      </c>
      <c r="O1547" t="str">
        <f t="shared" si="643"/>
        <v>MYR</v>
      </c>
      <c r="P1547" t="str">
        <f t="shared" ref="P1547:Q1566" si="655">"NIL"</f>
        <v>NIL</v>
      </c>
      <c r="Q1547" t="str">
        <f t="shared" si="655"/>
        <v>NIL</v>
      </c>
      <c r="R1547" t="str">
        <f t="shared" si="644"/>
        <v>Accepted</v>
      </c>
      <c r="S1547" t="str">
        <f t="shared" si="645"/>
        <v>Approved</v>
      </c>
      <c r="T1547" t="str">
        <f t="shared" si="646"/>
        <v>10.20.8.188</v>
      </c>
      <c r="U1547" t="str">
        <f t="shared" si="647"/>
        <v>AZRAD UMAR BIN SHAARI</v>
      </c>
      <c r="V1547" t="str">
        <f t="shared" si="648"/>
        <v>FARHANA BINTI MUSTAPA</v>
      </c>
      <c r="W1547" t="str">
        <f t="shared" si="649"/>
        <v>04-08-2020</v>
      </c>
      <c r="X1547" t="str">
        <f t="shared" si="650"/>
        <v>RAZIMAH ANSAR AHMAD</v>
      </c>
      <c r="Y1547" t="str">
        <f t="shared" si="651"/>
        <v>04-08-2020</v>
      </c>
      <c r="Z1547" t="str">
        <f>"COS10200804 7607"</f>
        <v>COS10200804 7607</v>
      </c>
    </row>
    <row r="1548" spans="1:26" x14ac:dyDescent="0.25">
      <c r="A1548" t="str">
        <f t="shared" si="652"/>
        <v>04-08-2020 01:08:11</v>
      </c>
      <c r="B1548" t="str">
        <f>"0000809407"</f>
        <v>0000809407</v>
      </c>
      <c r="C1548" t="str">
        <f t="shared" si="653"/>
        <v>0000809401</v>
      </c>
      <c r="D1548" t="str">
        <f t="shared" si="639"/>
        <v>73185</v>
      </c>
      <c r="E1548" t="str">
        <f t="shared" si="640"/>
        <v>KFH-OPERATIONS DEPARTMENT</v>
      </c>
      <c r="F1548" t="str">
        <f t="shared" si="641"/>
        <v>IBG</v>
      </c>
      <c r="G1548" t="str">
        <f t="shared" ref="G1548:G1611" si="656">"Refund COSHARE 10"</f>
        <v>Refund COSHARE 10</v>
      </c>
      <c r="H1548" s="2">
        <v>284.89999999999998</v>
      </c>
      <c r="I1548" t="str">
        <f>"SUBAIDAH BINTI MOHAMED"</f>
        <v>SUBAIDAH BINTI MOHAMED</v>
      </c>
      <c r="J1548" t="str">
        <f t="shared" si="632"/>
        <v>MAYBANK / MAYBANK ISLAMIC</v>
      </c>
      <c r="K1548" t="str">
        <f>"151070995400"</f>
        <v>151070995400</v>
      </c>
      <c r="L1548" t="str">
        <f t="shared" si="654"/>
        <v>04-08-2020</v>
      </c>
      <c r="M1548" t="str">
        <f t="shared" si="654"/>
        <v>04-08-2020</v>
      </c>
      <c r="N1548" t="str">
        <f t="shared" si="642"/>
        <v>001105018356</v>
      </c>
      <c r="O1548" t="str">
        <f t="shared" si="643"/>
        <v>MYR</v>
      </c>
      <c r="P1548" t="str">
        <f t="shared" si="655"/>
        <v>NIL</v>
      </c>
      <c r="Q1548" t="str">
        <f t="shared" si="655"/>
        <v>NIL</v>
      </c>
      <c r="R1548" t="str">
        <f t="shared" si="644"/>
        <v>Accepted</v>
      </c>
      <c r="S1548" t="str">
        <f t="shared" si="645"/>
        <v>Approved</v>
      </c>
      <c r="T1548" t="str">
        <f t="shared" si="646"/>
        <v>10.20.8.188</v>
      </c>
      <c r="U1548" t="str">
        <f t="shared" si="647"/>
        <v>AZRAD UMAR BIN SHAARI</v>
      </c>
      <c r="V1548" t="str">
        <f t="shared" si="648"/>
        <v>FARHANA BINTI MUSTAPA</v>
      </c>
      <c r="W1548" t="str">
        <f t="shared" si="649"/>
        <v>04-08-2020</v>
      </c>
      <c r="X1548" t="str">
        <f t="shared" si="650"/>
        <v>RAZIMAH ANSAR AHMAD</v>
      </c>
      <c r="Y1548" t="str">
        <f t="shared" si="651"/>
        <v>04-08-2020</v>
      </c>
      <c r="Z1548" t="str">
        <f>"COS10200804 7606"</f>
        <v>COS10200804 7606</v>
      </c>
    </row>
    <row r="1549" spans="1:26" x14ac:dyDescent="0.25">
      <c r="A1549" t="str">
        <f t="shared" si="652"/>
        <v>04-08-2020 01:08:11</v>
      </c>
      <c r="B1549" t="str">
        <f>"0000809406"</f>
        <v>0000809406</v>
      </c>
      <c r="C1549" t="str">
        <f t="shared" si="653"/>
        <v>0000809401</v>
      </c>
      <c r="D1549" t="str">
        <f t="shared" si="639"/>
        <v>73185</v>
      </c>
      <c r="E1549" t="str">
        <f t="shared" si="640"/>
        <v>KFH-OPERATIONS DEPARTMENT</v>
      </c>
      <c r="F1549" t="str">
        <f t="shared" si="641"/>
        <v>IBG</v>
      </c>
      <c r="G1549" t="str">
        <f t="shared" si="656"/>
        <v>Refund COSHARE 10</v>
      </c>
      <c r="H1549" s="2">
        <v>109</v>
      </c>
      <c r="I1549" t="str">
        <f>"STIYABUDIUTAMABIN NAMLING"</f>
        <v>STIYABUDIUTAMABIN NAMLING</v>
      </c>
      <c r="J1549" t="str">
        <f t="shared" si="632"/>
        <v>MAYBANK / MAYBANK ISLAMIC</v>
      </c>
      <c r="K1549" t="str">
        <f>"160036970685"</f>
        <v>160036970685</v>
      </c>
      <c r="L1549" t="str">
        <f t="shared" si="654"/>
        <v>04-08-2020</v>
      </c>
      <c r="M1549" t="str">
        <f t="shared" si="654"/>
        <v>04-08-2020</v>
      </c>
      <c r="N1549" t="str">
        <f t="shared" si="642"/>
        <v>001105018356</v>
      </c>
      <c r="O1549" t="str">
        <f t="shared" si="643"/>
        <v>MYR</v>
      </c>
      <c r="P1549" t="str">
        <f t="shared" si="655"/>
        <v>NIL</v>
      </c>
      <c r="Q1549" t="str">
        <f t="shared" si="655"/>
        <v>NIL</v>
      </c>
      <c r="R1549" t="str">
        <f t="shared" si="644"/>
        <v>Accepted</v>
      </c>
      <c r="S1549" t="str">
        <f t="shared" si="645"/>
        <v>Approved</v>
      </c>
      <c r="T1549" t="str">
        <f t="shared" si="646"/>
        <v>10.20.8.188</v>
      </c>
      <c r="U1549" t="str">
        <f t="shared" si="647"/>
        <v>AZRAD UMAR BIN SHAARI</v>
      </c>
      <c r="V1549" t="str">
        <f t="shared" si="648"/>
        <v>FARHANA BINTI MUSTAPA</v>
      </c>
      <c r="W1549" t="str">
        <f t="shared" si="649"/>
        <v>04-08-2020</v>
      </c>
      <c r="X1549" t="str">
        <f t="shared" si="650"/>
        <v>RAZIMAH ANSAR AHMAD</v>
      </c>
      <c r="Y1549" t="str">
        <f t="shared" si="651"/>
        <v>04-08-2020</v>
      </c>
      <c r="Z1549" t="str">
        <f>"COS10200804 7605"</f>
        <v>COS10200804 7605</v>
      </c>
    </row>
    <row r="1550" spans="1:26" x14ac:dyDescent="0.25">
      <c r="A1550" t="str">
        <f t="shared" si="652"/>
        <v>04-08-2020 01:08:11</v>
      </c>
      <c r="B1550" t="str">
        <f>"0000809405"</f>
        <v>0000809405</v>
      </c>
      <c r="C1550" t="str">
        <f t="shared" si="653"/>
        <v>0000809401</v>
      </c>
      <c r="D1550" t="str">
        <f t="shared" si="639"/>
        <v>73185</v>
      </c>
      <c r="E1550" t="str">
        <f t="shared" si="640"/>
        <v>KFH-OPERATIONS DEPARTMENT</v>
      </c>
      <c r="F1550" t="str">
        <f t="shared" si="641"/>
        <v>IBG</v>
      </c>
      <c r="G1550" t="str">
        <f t="shared" si="656"/>
        <v>Refund COSHARE 10</v>
      </c>
      <c r="H1550" s="2">
        <v>114</v>
      </c>
      <c r="I1550" t="str">
        <f>"STEPHANIE ANAK TREDO"</f>
        <v>STEPHANIE ANAK TREDO</v>
      </c>
      <c r="J1550" t="str">
        <f t="shared" si="632"/>
        <v>MAYBANK / MAYBANK ISLAMIC</v>
      </c>
      <c r="K1550" t="str">
        <f>"111234020556"</f>
        <v>111234020556</v>
      </c>
      <c r="L1550" t="str">
        <f t="shared" si="654"/>
        <v>04-08-2020</v>
      </c>
      <c r="M1550" t="str">
        <f t="shared" si="654"/>
        <v>04-08-2020</v>
      </c>
      <c r="N1550" t="str">
        <f t="shared" si="642"/>
        <v>001105018356</v>
      </c>
      <c r="O1550" t="str">
        <f t="shared" si="643"/>
        <v>MYR</v>
      </c>
      <c r="P1550" t="str">
        <f t="shared" si="655"/>
        <v>NIL</v>
      </c>
      <c r="Q1550" t="str">
        <f t="shared" si="655"/>
        <v>NIL</v>
      </c>
      <c r="R1550" t="str">
        <f t="shared" si="644"/>
        <v>Accepted</v>
      </c>
      <c r="S1550" t="str">
        <f t="shared" si="645"/>
        <v>Approved</v>
      </c>
      <c r="T1550" t="str">
        <f t="shared" si="646"/>
        <v>10.20.8.188</v>
      </c>
      <c r="U1550" t="str">
        <f t="shared" si="647"/>
        <v>AZRAD UMAR BIN SHAARI</v>
      </c>
      <c r="V1550" t="str">
        <f t="shared" si="648"/>
        <v>FARHANA BINTI MUSTAPA</v>
      </c>
      <c r="W1550" t="str">
        <f t="shared" si="649"/>
        <v>04-08-2020</v>
      </c>
      <c r="X1550" t="str">
        <f t="shared" si="650"/>
        <v>RAZIMAH ANSAR AHMAD</v>
      </c>
      <c r="Y1550" t="str">
        <f t="shared" si="651"/>
        <v>04-08-2020</v>
      </c>
      <c r="Z1550" t="str">
        <f>"COS10200804 7604"</f>
        <v>COS10200804 7604</v>
      </c>
    </row>
    <row r="1551" spans="1:26" x14ac:dyDescent="0.25">
      <c r="A1551" t="str">
        <f t="shared" si="652"/>
        <v>04-08-2020 01:08:11</v>
      </c>
      <c r="B1551" t="str">
        <f>"0000809404"</f>
        <v>0000809404</v>
      </c>
      <c r="C1551" t="str">
        <f t="shared" si="653"/>
        <v>0000809401</v>
      </c>
      <c r="D1551" t="str">
        <f t="shared" si="639"/>
        <v>73185</v>
      </c>
      <c r="E1551" t="str">
        <f t="shared" si="640"/>
        <v>KFH-OPERATIONS DEPARTMENT</v>
      </c>
      <c r="F1551" t="str">
        <f t="shared" si="641"/>
        <v>IBG</v>
      </c>
      <c r="G1551" t="str">
        <f t="shared" si="656"/>
        <v>Refund COSHARE 10</v>
      </c>
      <c r="H1551" s="2">
        <v>662.6</v>
      </c>
      <c r="I1551" t="str">
        <f>"STELLA BERNARD"</f>
        <v>STELLA BERNARD</v>
      </c>
      <c r="J1551" t="str">
        <f t="shared" si="632"/>
        <v>MAYBANK / MAYBANK ISLAMIC</v>
      </c>
      <c r="K1551" t="str">
        <f>"160148800640"</f>
        <v>160148800640</v>
      </c>
      <c r="L1551" t="str">
        <f t="shared" si="654"/>
        <v>04-08-2020</v>
      </c>
      <c r="M1551" t="str">
        <f t="shared" si="654"/>
        <v>04-08-2020</v>
      </c>
      <c r="N1551" t="str">
        <f t="shared" si="642"/>
        <v>001105018356</v>
      </c>
      <c r="O1551" t="str">
        <f t="shared" si="643"/>
        <v>MYR</v>
      </c>
      <c r="P1551" t="str">
        <f t="shared" si="655"/>
        <v>NIL</v>
      </c>
      <c r="Q1551" t="str">
        <f t="shared" si="655"/>
        <v>NIL</v>
      </c>
      <c r="R1551" t="str">
        <f t="shared" si="644"/>
        <v>Accepted</v>
      </c>
      <c r="S1551" t="str">
        <f t="shared" si="645"/>
        <v>Approved</v>
      </c>
      <c r="T1551" t="str">
        <f t="shared" si="646"/>
        <v>10.20.8.188</v>
      </c>
      <c r="U1551" t="str">
        <f t="shared" si="647"/>
        <v>AZRAD UMAR BIN SHAARI</v>
      </c>
      <c r="V1551" t="str">
        <f t="shared" si="648"/>
        <v>FARHANA BINTI MUSTAPA</v>
      </c>
      <c r="W1551" t="str">
        <f t="shared" si="649"/>
        <v>04-08-2020</v>
      </c>
      <c r="X1551" t="str">
        <f t="shared" si="650"/>
        <v>RAZIMAH ANSAR AHMAD</v>
      </c>
      <c r="Y1551" t="str">
        <f t="shared" si="651"/>
        <v>04-08-2020</v>
      </c>
      <c r="Z1551" t="str">
        <f>"COS10200804 7603"</f>
        <v>COS10200804 7603</v>
      </c>
    </row>
    <row r="1552" spans="1:26" x14ac:dyDescent="0.25">
      <c r="A1552" t="str">
        <f t="shared" si="652"/>
        <v>04-08-2020 01:08:11</v>
      </c>
      <c r="B1552" t="str">
        <f>"0000809403"</f>
        <v>0000809403</v>
      </c>
      <c r="C1552" t="str">
        <f t="shared" si="653"/>
        <v>0000809401</v>
      </c>
      <c r="D1552" t="str">
        <f t="shared" si="639"/>
        <v>73185</v>
      </c>
      <c r="E1552" t="str">
        <f t="shared" si="640"/>
        <v>KFH-OPERATIONS DEPARTMENT</v>
      </c>
      <c r="F1552" t="str">
        <f t="shared" si="641"/>
        <v>IBG</v>
      </c>
      <c r="G1552" t="str">
        <f t="shared" si="656"/>
        <v>Refund COSHARE 10</v>
      </c>
      <c r="H1552" s="2">
        <v>251.85</v>
      </c>
      <c r="I1552" t="str">
        <f>"STEFANIE K NIRMAL"</f>
        <v>STEFANIE K NIRMAL</v>
      </c>
      <c r="J1552" t="str">
        <f t="shared" si="632"/>
        <v>MAYBANK / MAYBANK ISLAMIC</v>
      </c>
      <c r="K1552" t="str">
        <f>"110023027876"</f>
        <v>110023027876</v>
      </c>
      <c r="L1552" t="str">
        <f t="shared" si="654"/>
        <v>04-08-2020</v>
      </c>
      <c r="M1552" t="str">
        <f t="shared" si="654"/>
        <v>04-08-2020</v>
      </c>
      <c r="N1552" t="str">
        <f t="shared" si="642"/>
        <v>001105018356</v>
      </c>
      <c r="O1552" t="str">
        <f t="shared" si="643"/>
        <v>MYR</v>
      </c>
      <c r="P1552" t="str">
        <f t="shared" si="655"/>
        <v>NIL</v>
      </c>
      <c r="Q1552" t="str">
        <f t="shared" si="655"/>
        <v>NIL</v>
      </c>
      <c r="R1552" t="str">
        <f t="shared" si="644"/>
        <v>Accepted</v>
      </c>
      <c r="S1552" t="str">
        <f t="shared" si="645"/>
        <v>Approved</v>
      </c>
      <c r="T1552" t="str">
        <f t="shared" si="646"/>
        <v>10.20.8.188</v>
      </c>
      <c r="U1552" t="str">
        <f t="shared" si="647"/>
        <v>AZRAD UMAR BIN SHAARI</v>
      </c>
      <c r="V1552" t="str">
        <f t="shared" si="648"/>
        <v>FARHANA BINTI MUSTAPA</v>
      </c>
      <c r="W1552" t="str">
        <f t="shared" si="649"/>
        <v>04-08-2020</v>
      </c>
      <c r="X1552" t="str">
        <f t="shared" si="650"/>
        <v>RAZIMAH ANSAR AHMAD</v>
      </c>
      <c r="Y1552" t="str">
        <f t="shared" si="651"/>
        <v>04-08-2020</v>
      </c>
      <c r="Z1552" t="str">
        <f>"COS10200804 7602"</f>
        <v>COS10200804 7602</v>
      </c>
    </row>
    <row r="1553" spans="1:26" x14ac:dyDescent="0.25">
      <c r="A1553" t="str">
        <f t="shared" si="652"/>
        <v>04-08-2020 01:08:11</v>
      </c>
      <c r="B1553" t="str">
        <f>"0000809402"</f>
        <v>0000809402</v>
      </c>
      <c r="C1553" t="str">
        <f t="shared" si="653"/>
        <v>0000809401</v>
      </c>
      <c r="D1553" t="str">
        <f t="shared" si="639"/>
        <v>73185</v>
      </c>
      <c r="E1553" t="str">
        <f t="shared" si="640"/>
        <v>KFH-OPERATIONS DEPARTMENT</v>
      </c>
      <c r="F1553" t="str">
        <f t="shared" si="641"/>
        <v>IBG</v>
      </c>
      <c r="G1553" t="str">
        <f t="shared" si="656"/>
        <v>Refund COSHARE 10</v>
      </c>
      <c r="H1553" s="2">
        <v>1252</v>
      </c>
      <c r="I1553" t="str">
        <f>"SRI ARATI AP SUBRAMANIAM"</f>
        <v>SRI ARATI AP SUBRAMANIAM</v>
      </c>
      <c r="J1553" t="str">
        <f t="shared" ref="J1553:J1616" si="657">"MAYBANK / MAYBANK ISLAMIC"</f>
        <v>MAYBANK / MAYBANK ISLAMIC</v>
      </c>
      <c r="K1553" t="str">
        <f>"157091009019"</f>
        <v>157091009019</v>
      </c>
      <c r="L1553" t="str">
        <f t="shared" si="654"/>
        <v>04-08-2020</v>
      </c>
      <c r="M1553" t="str">
        <f t="shared" si="654"/>
        <v>04-08-2020</v>
      </c>
      <c r="N1553" t="str">
        <f t="shared" si="642"/>
        <v>001105018356</v>
      </c>
      <c r="O1553" t="str">
        <f t="shared" si="643"/>
        <v>MYR</v>
      </c>
      <c r="P1553" t="str">
        <f t="shared" si="655"/>
        <v>NIL</v>
      </c>
      <c r="Q1553" t="str">
        <f t="shared" si="655"/>
        <v>NIL</v>
      </c>
      <c r="R1553" t="str">
        <f t="shared" si="644"/>
        <v>Accepted</v>
      </c>
      <c r="S1553" t="str">
        <f t="shared" si="645"/>
        <v>Approved</v>
      </c>
      <c r="T1553" t="str">
        <f t="shared" si="646"/>
        <v>10.20.8.188</v>
      </c>
      <c r="U1553" t="str">
        <f t="shared" si="647"/>
        <v>AZRAD UMAR BIN SHAARI</v>
      </c>
      <c r="V1553" t="str">
        <f t="shared" si="648"/>
        <v>FARHANA BINTI MUSTAPA</v>
      </c>
      <c r="W1553" t="str">
        <f t="shared" si="649"/>
        <v>04-08-2020</v>
      </c>
      <c r="X1553" t="str">
        <f t="shared" si="650"/>
        <v>RAZIMAH ANSAR AHMAD</v>
      </c>
      <c r="Y1553" t="str">
        <f t="shared" si="651"/>
        <v>04-08-2020</v>
      </c>
      <c r="Z1553" t="str">
        <f>"COS10200804 7601"</f>
        <v>COS10200804 7601</v>
      </c>
    </row>
    <row r="1554" spans="1:26" x14ac:dyDescent="0.25">
      <c r="A1554" t="str">
        <f t="shared" ref="A1554:A1585" si="658">"04-08-2020 01:07:32"</f>
        <v>04-08-2020 01:07:32</v>
      </c>
      <c r="B1554" t="str">
        <f>"0000809400"</f>
        <v>0000809400</v>
      </c>
      <c r="C1554" t="str">
        <f t="shared" ref="C1554:C1585" si="659">"0000809200"</f>
        <v>0000809200</v>
      </c>
      <c r="D1554" t="str">
        <f t="shared" si="639"/>
        <v>73185</v>
      </c>
      <c r="E1554" t="str">
        <f t="shared" si="640"/>
        <v>KFH-OPERATIONS DEPARTMENT</v>
      </c>
      <c r="F1554" t="str">
        <f t="shared" si="641"/>
        <v>IBG</v>
      </c>
      <c r="G1554" t="str">
        <f t="shared" si="656"/>
        <v>Refund COSHARE 10</v>
      </c>
      <c r="H1554" s="2">
        <v>270.25</v>
      </c>
      <c r="I1554" t="str">
        <f>"SOPIAN BIN SHARIF"</f>
        <v>SOPIAN BIN SHARIF</v>
      </c>
      <c r="J1554" t="str">
        <f t="shared" si="657"/>
        <v>MAYBANK / MAYBANK ISLAMIC</v>
      </c>
      <c r="K1554" t="str">
        <f>"108029562387"</f>
        <v>108029562387</v>
      </c>
      <c r="L1554" t="str">
        <f t="shared" si="654"/>
        <v>04-08-2020</v>
      </c>
      <c r="M1554" t="str">
        <f t="shared" si="654"/>
        <v>04-08-2020</v>
      </c>
      <c r="N1554" t="str">
        <f t="shared" si="642"/>
        <v>001105018356</v>
      </c>
      <c r="O1554" t="str">
        <f t="shared" si="643"/>
        <v>MYR</v>
      </c>
      <c r="P1554" t="str">
        <f t="shared" si="655"/>
        <v>NIL</v>
      </c>
      <c r="Q1554" t="str">
        <f t="shared" si="655"/>
        <v>NIL</v>
      </c>
      <c r="R1554" t="str">
        <f t="shared" si="644"/>
        <v>Accepted</v>
      </c>
      <c r="S1554" t="str">
        <f t="shared" si="645"/>
        <v>Approved</v>
      </c>
      <c r="T1554" t="str">
        <f t="shared" si="646"/>
        <v>10.20.8.188</v>
      </c>
      <c r="U1554" t="str">
        <f t="shared" si="647"/>
        <v>AZRAD UMAR BIN SHAARI</v>
      </c>
      <c r="V1554" t="str">
        <f t="shared" si="648"/>
        <v>FARHANA BINTI MUSTAPA</v>
      </c>
      <c r="W1554" t="str">
        <f t="shared" si="649"/>
        <v>04-08-2020</v>
      </c>
      <c r="X1554" t="str">
        <f t="shared" si="650"/>
        <v>RAZIMAH ANSAR AHMAD</v>
      </c>
      <c r="Y1554" t="str">
        <f t="shared" si="651"/>
        <v>04-08-2020</v>
      </c>
      <c r="Z1554" t="str">
        <f>"COS10200804 7600"</f>
        <v>COS10200804 7600</v>
      </c>
    </row>
    <row r="1555" spans="1:26" x14ac:dyDescent="0.25">
      <c r="A1555" t="str">
        <f t="shared" si="658"/>
        <v>04-08-2020 01:07:32</v>
      </c>
      <c r="B1555" t="str">
        <f>"0000809399"</f>
        <v>0000809399</v>
      </c>
      <c r="C1555" t="str">
        <f t="shared" si="659"/>
        <v>0000809200</v>
      </c>
      <c r="D1555" t="str">
        <f t="shared" si="639"/>
        <v>73185</v>
      </c>
      <c r="E1555" t="str">
        <f t="shared" si="640"/>
        <v>KFH-OPERATIONS DEPARTMENT</v>
      </c>
      <c r="F1555" t="str">
        <f t="shared" si="641"/>
        <v>IBG</v>
      </c>
      <c r="G1555" t="str">
        <f t="shared" si="656"/>
        <v>Refund COSHARE 10</v>
      </c>
      <c r="H1555" s="2">
        <v>1679</v>
      </c>
      <c r="I1555" t="str">
        <f>"SOPIAN BIN HASSAN"</f>
        <v>SOPIAN BIN HASSAN</v>
      </c>
      <c r="J1555" t="str">
        <f t="shared" si="657"/>
        <v>MAYBANK / MAYBANK ISLAMIC</v>
      </c>
      <c r="K1555" t="str">
        <f>"164212006989"</f>
        <v>164212006989</v>
      </c>
      <c r="L1555" t="str">
        <f t="shared" si="654"/>
        <v>04-08-2020</v>
      </c>
      <c r="M1555" t="str">
        <f t="shared" si="654"/>
        <v>04-08-2020</v>
      </c>
      <c r="N1555" t="str">
        <f t="shared" si="642"/>
        <v>001105018356</v>
      </c>
      <c r="O1555" t="str">
        <f t="shared" si="643"/>
        <v>MYR</v>
      </c>
      <c r="P1555" t="str">
        <f t="shared" si="655"/>
        <v>NIL</v>
      </c>
      <c r="Q1555" t="str">
        <f t="shared" si="655"/>
        <v>NIL</v>
      </c>
      <c r="R1555" t="str">
        <f t="shared" si="644"/>
        <v>Accepted</v>
      </c>
      <c r="S1555" t="str">
        <f t="shared" si="645"/>
        <v>Approved</v>
      </c>
      <c r="T1555" t="str">
        <f t="shared" si="646"/>
        <v>10.20.8.188</v>
      </c>
      <c r="U1555" t="str">
        <f t="shared" si="647"/>
        <v>AZRAD UMAR BIN SHAARI</v>
      </c>
      <c r="V1555" t="str">
        <f t="shared" si="648"/>
        <v>FARHANA BINTI MUSTAPA</v>
      </c>
      <c r="W1555" t="str">
        <f t="shared" si="649"/>
        <v>04-08-2020</v>
      </c>
      <c r="X1555" t="str">
        <f t="shared" si="650"/>
        <v>RAZIMAH ANSAR AHMAD</v>
      </c>
      <c r="Y1555" t="str">
        <f t="shared" si="651"/>
        <v>04-08-2020</v>
      </c>
      <c r="Z1555" t="str">
        <f>"COS10200804 7599"</f>
        <v>COS10200804 7599</v>
      </c>
    </row>
    <row r="1556" spans="1:26" x14ac:dyDescent="0.25">
      <c r="A1556" t="str">
        <f t="shared" si="658"/>
        <v>04-08-2020 01:07:32</v>
      </c>
      <c r="B1556" t="str">
        <f>"0000809398"</f>
        <v>0000809398</v>
      </c>
      <c r="C1556" t="str">
        <f t="shared" si="659"/>
        <v>0000809200</v>
      </c>
      <c r="D1556" t="str">
        <f t="shared" si="639"/>
        <v>73185</v>
      </c>
      <c r="E1556" t="str">
        <f t="shared" si="640"/>
        <v>KFH-OPERATIONS DEPARTMENT</v>
      </c>
      <c r="F1556" t="str">
        <f t="shared" si="641"/>
        <v>IBG</v>
      </c>
      <c r="G1556" t="str">
        <f t="shared" si="656"/>
        <v>Refund COSHARE 10</v>
      </c>
      <c r="H1556" s="2">
        <v>84</v>
      </c>
      <c r="I1556" t="str">
        <f>"SOPHIA DEBORAH SUDARSAN"</f>
        <v>SOPHIA DEBORAH SUDARSAN</v>
      </c>
      <c r="J1556" t="str">
        <f t="shared" si="657"/>
        <v>MAYBANK / MAYBANK ISLAMIC</v>
      </c>
      <c r="K1556" t="str">
        <f>"160214055766"</f>
        <v>160214055766</v>
      </c>
      <c r="L1556" t="str">
        <f t="shared" si="654"/>
        <v>04-08-2020</v>
      </c>
      <c r="M1556" t="str">
        <f t="shared" si="654"/>
        <v>04-08-2020</v>
      </c>
      <c r="N1556" t="str">
        <f t="shared" si="642"/>
        <v>001105018356</v>
      </c>
      <c r="O1556" t="str">
        <f t="shared" si="643"/>
        <v>MYR</v>
      </c>
      <c r="P1556" t="str">
        <f t="shared" si="655"/>
        <v>NIL</v>
      </c>
      <c r="Q1556" t="str">
        <f t="shared" si="655"/>
        <v>NIL</v>
      </c>
      <c r="R1556" t="str">
        <f t="shared" si="644"/>
        <v>Accepted</v>
      </c>
      <c r="S1556" t="str">
        <f t="shared" si="645"/>
        <v>Approved</v>
      </c>
      <c r="T1556" t="str">
        <f t="shared" si="646"/>
        <v>10.20.8.188</v>
      </c>
      <c r="U1556" t="str">
        <f t="shared" si="647"/>
        <v>AZRAD UMAR BIN SHAARI</v>
      </c>
      <c r="V1556" t="str">
        <f t="shared" si="648"/>
        <v>FARHANA BINTI MUSTAPA</v>
      </c>
      <c r="W1556" t="str">
        <f t="shared" si="649"/>
        <v>04-08-2020</v>
      </c>
      <c r="X1556" t="str">
        <f t="shared" si="650"/>
        <v>RAZIMAH ANSAR AHMAD</v>
      </c>
      <c r="Y1556" t="str">
        <f t="shared" si="651"/>
        <v>04-08-2020</v>
      </c>
      <c r="Z1556" t="str">
        <f>"COS10200804 7598"</f>
        <v>COS10200804 7598</v>
      </c>
    </row>
    <row r="1557" spans="1:26" x14ac:dyDescent="0.25">
      <c r="A1557" t="str">
        <f t="shared" si="658"/>
        <v>04-08-2020 01:07:32</v>
      </c>
      <c r="B1557" t="str">
        <f>"0000809397"</f>
        <v>0000809397</v>
      </c>
      <c r="C1557" t="str">
        <f t="shared" si="659"/>
        <v>0000809200</v>
      </c>
      <c r="D1557" t="str">
        <f t="shared" si="639"/>
        <v>73185</v>
      </c>
      <c r="E1557" t="str">
        <f t="shared" si="640"/>
        <v>KFH-OPERATIONS DEPARTMENT</v>
      </c>
      <c r="F1557" t="str">
        <f t="shared" si="641"/>
        <v>IBG</v>
      </c>
      <c r="G1557" t="str">
        <f t="shared" si="656"/>
        <v>Refund COSHARE 10</v>
      </c>
      <c r="H1557" s="2">
        <v>218.3</v>
      </c>
      <c r="I1557" t="str">
        <f>"SOMESUNDRAM AL KRISHNAN"</f>
        <v>SOMESUNDRAM AL KRISHNAN</v>
      </c>
      <c r="J1557" t="str">
        <f t="shared" si="657"/>
        <v>MAYBANK / MAYBANK ISLAMIC</v>
      </c>
      <c r="K1557" t="str">
        <f>"159012799525"</f>
        <v>159012799525</v>
      </c>
      <c r="L1557" t="str">
        <f t="shared" si="654"/>
        <v>04-08-2020</v>
      </c>
      <c r="M1557" t="str">
        <f t="shared" si="654"/>
        <v>04-08-2020</v>
      </c>
      <c r="N1557" t="str">
        <f t="shared" si="642"/>
        <v>001105018356</v>
      </c>
      <c r="O1557" t="str">
        <f t="shared" si="643"/>
        <v>MYR</v>
      </c>
      <c r="P1557" t="str">
        <f t="shared" si="655"/>
        <v>NIL</v>
      </c>
      <c r="Q1557" t="str">
        <f t="shared" si="655"/>
        <v>NIL</v>
      </c>
      <c r="R1557" t="str">
        <f t="shared" si="644"/>
        <v>Accepted</v>
      </c>
      <c r="S1557" t="str">
        <f t="shared" si="645"/>
        <v>Approved</v>
      </c>
      <c r="T1557" t="str">
        <f t="shared" si="646"/>
        <v>10.20.8.188</v>
      </c>
      <c r="U1557" t="str">
        <f t="shared" si="647"/>
        <v>AZRAD UMAR BIN SHAARI</v>
      </c>
      <c r="V1557" t="str">
        <f t="shared" si="648"/>
        <v>FARHANA BINTI MUSTAPA</v>
      </c>
      <c r="W1557" t="str">
        <f t="shared" si="649"/>
        <v>04-08-2020</v>
      </c>
      <c r="X1557" t="str">
        <f t="shared" si="650"/>
        <v>RAZIMAH ANSAR AHMAD</v>
      </c>
      <c r="Y1557" t="str">
        <f t="shared" si="651"/>
        <v>04-08-2020</v>
      </c>
      <c r="Z1557" t="str">
        <f>"COS10200804 7597"</f>
        <v>COS10200804 7597</v>
      </c>
    </row>
    <row r="1558" spans="1:26" x14ac:dyDescent="0.25">
      <c r="A1558" t="str">
        <f t="shared" si="658"/>
        <v>04-08-2020 01:07:32</v>
      </c>
      <c r="B1558" t="str">
        <f>"0000809396"</f>
        <v>0000809396</v>
      </c>
      <c r="C1558" t="str">
        <f t="shared" si="659"/>
        <v>0000809200</v>
      </c>
      <c r="D1558" t="str">
        <f t="shared" si="639"/>
        <v>73185</v>
      </c>
      <c r="E1558" t="str">
        <f t="shared" si="640"/>
        <v>KFH-OPERATIONS DEPARTMENT</v>
      </c>
      <c r="F1558" t="str">
        <f t="shared" si="641"/>
        <v>IBG</v>
      </c>
      <c r="G1558" t="str">
        <f t="shared" si="656"/>
        <v>Refund COSHARE 10</v>
      </c>
      <c r="H1558" s="2">
        <v>293.85000000000002</v>
      </c>
      <c r="I1558" t="str">
        <f>"SOMESUNDRAM AL KRISHNAN"</f>
        <v>SOMESUNDRAM AL KRISHNAN</v>
      </c>
      <c r="J1558" t="str">
        <f t="shared" si="657"/>
        <v>MAYBANK / MAYBANK ISLAMIC</v>
      </c>
      <c r="K1558" t="str">
        <f>"159012799525"</f>
        <v>159012799525</v>
      </c>
      <c r="L1558" t="str">
        <f t="shared" si="654"/>
        <v>04-08-2020</v>
      </c>
      <c r="M1558" t="str">
        <f t="shared" si="654"/>
        <v>04-08-2020</v>
      </c>
      <c r="N1558" t="str">
        <f t="shared" si="642"/>
        <v>001105018356</v>
      </c>
      <c r="O1558" t="str">
        <f t="shared" si="643"/>
        <v>MYR</v>
      </c>
      <c r="P1558" t="str">
        <f t="shared" si="655"/>
        <v>NIL</v>
      </c>
      <c r="Q1558" t="str">
        <f t="shared" si="655"/>
        <v>NIL</v>
      </c>
      <c r="R1558" t="str">
        <f t="shared" si="644"/>
        <v>Accepted</v>
      </c>
      <c r="S1558" t="str">
        <f t="shared" si="645"/>
        <v>Approved</v>
      </c>
      <c r="T1558" t="str">
        <f t="shared" si="646"/>
        <v>10.20.8.188</v>
      </c>
      <c r="U1558" t="str">
        <f t="shared" si="647"/>
        <v>AZRAD UMAR BIN SHAARI</v>
      </c>
      <c r="V1558" t="str">
        <f t="shared" si="648"/>
        <v>FARHANA BINTI MUSTAPA</v>
      </c>
      <c r="W1558" t="str">
        <f t="shared" si="649"/>
        <v>04-08-2020</v>
      </c>
      <c r="X1558" t="str">
        <f t="shared" si="650"/>
        <v>RAZIMAH ANSAR AHMAD</v>
      </c>
      <c r="Y1558" t="str">
        <f t="shared" si="651"/>
        <v>04-08-2020</v>
      </c>
      <c r="Z1558" t="str">
        <f>"COS10200804 7596"</f>
        <v>COS10200804 7596</v>
      </c>
    </row>
    <row r="1559" spans="1:26" x14ac:dyDescent="0.25">
      <c r="A1559" t="str">
        <f t="shared" si="658"/>
        <v>04-08-2020 01:07:32</v>
      </c>
      <c r="B1559" t="str">
        <f>"0000809395"</f>
        <v>0000809395</v>
      </c>
      <c r="C1559" t="str">
        <f t="shared" si="659"/>
        <v>0000809200</v>
      </c>
      <c r="D1559" t="str">
        <f t="shared" si="639"/>
        <v>73185</v>
      </c>
      <c r="E1559" t="str">
        <f t="shared" si="640"/>
        <v>KFH-OPERATIONS DEPARTMENT</v>
      </c>
      <c r="F1559" t="str">
        <f t="shared" si="641"/>
        <v>IBG</v>
      </c>
      <c r="G1559" t="str">
        <f t="shared" si="656"/>
        <v>Refund COSHARE 10</v>
      </c>
      <c r="H1559" s="2">
        <v>142.75</v>
      </c>
      <c r="I1559" t="str">
        <f>"SOLIHAH BINTI KASIM"</f>
        <v>SOLIHAH BINTI KASIM</v>
      </c>
      <c r="J1559" t="str">
        <f t="shared" si="657"/>
        <v>MAYBANK / MAYBANK ISLAMIC</v>
      </c>
      <c r="K1559" t="str">
        <f>"156012067317"</f>
        <v>156012067317</v>
      </c>
      <c r="L1559" t="str">
        <f t="shared" si="654"/>
        <v>04-08-2020</v>
      </c>
      <c r="M1559" t="str">
        <f t="shared" si="654"/>
        <v>04-08-2020</v>
      </c>
      <c r="N1559" t="str">
        <f t="shared" si="642"/>
        <v>001105018356</v>
      </c>
      <c r="O1559" t="str">
        <f t="shared" si="643"/>
        <v>MYR</v>
      </c>
      <c r="P1559" t="str">
        <f t="shared" si="655"/>
        <v>NIL</v>
      </c>
      <c r="Q1559" t="str">
        <f t="shared" si="655"/>
        <v>NIL</v>
      </c>
      <c r="R1559" t="str">
        <f t="shared" si="644"/>
        <v>Accepted</v>
      </c>
      <c r="S1559" t="str">
        <f t="shared" si="645"/>
        <v>Approved</v>
      </c>
      <c r="T1559" t="str">
        <f t="shared" si="646"/>
        <v>10.20.8.188</v>
      </c>
      <c r="U1559" t="str">
        <f t="shared" si="647"/>
        <v>AZRAD UMAR BIN SHAARI</v>
      </c>
      <c r="V1559" t="str">
        <f t="shared" si="648"/>
        <v>FARHANA BINTI MUSTAPA</v>
      </c>
      <c r="W1559" t="str">
        <f t="shared" si="649"/>
        <v>04-08-2020</v>
      </c>
      <c r="X1559" t="str">
        <f t="shared" si="650"/>
        <v>RAZIMAH ANSAR AHMAD</v>
      </c>
      <c r="Y1559" t="str">
        <f t="shared" si="651"/>
        <v>04-08-2020</v>
      </c>
      <c r="Z1559" t="str">
        <f>"COS10200804 7595"</f>
        <v>COS10200804 7595</v>
      </c>
    </row>
    <row r="1560" spans="1:26" x14ac:dyDescent="0.25">
      <c r="A1560" t="str">
        <f t="shared" si="658"/>
        <v>04-08-2020 01:07:32</v>
      </c>
      <c r="B1560" t="str">
        <f>"0000809394"</f>
        <v>0000809394</v>
      </c>
      <c r="C1560" t="str">
        <f t="shared" si="659"/>
        <v>0000809200</v>
      </c>
      <c r="D1560" t="str">
        <f t="shared" si="639"/>
        <v>73185</v>
      </c>
      <c r="E1560" t="str">
        <f t="shared" si="640"/>
        <v>KFH-OPERATIONS DEPARTMENT</v>
      </c>
      <c r="F1560" t="str">
        <f t="shared" si="641"/>
        <v>IBG</v>
      </c>
      <c r="G1560" t="str">
        <f t="shared" si="656"/>
        <v>Refund COSHARE 10</v>
      </c>
      <c r="H1560" s="2">
        <v>274.5</v>
      </c>
      <c r="I1560" t="str">
        <f>"SOLEH BIN MAT ALI"</f>
        <v>SOLEH BIN MAT ALI</v>
      </c>
      <c r="J1560" t="str">
        <f t="shared" si="657"/>
        <v>MAYBANK / MAYBANK ISLAMIC</v>
      </c>
      <c r="K1560" t="str">
        <f>"158060011013"</f>
        <v>158060011013</v>
      </c>
      <c r="L1560" t="str">
        <f t="shared" si="654"/>
        <v>04-08-2020</v>
      </c>
      <c r="M1560" t="str">
        <f t="shared" si="654"/>
        <v>04-08-2020</v>
      </c>
      <c r="N1560" t="str">
        <f t="shared" si="642"/>
        <v>001105018356</v>
      </c>
      <c r="O1560" t="str">
        <f t="shared" si="643"/>
        <v>MYR</v>
      </c>
      <c r="P1560" t="str">
        <f t="shared" si="655"/>
        <v>NIL</v>
      </c>
      <c r="Q1560" t="str">
        <f t="shared" si="655"/>
        <v>NIL</v>
      </c>
      <c r="R1560" t="str">
        <f t="shared" si="644"/>
        <v>Accepted</v>
      </c>
      <c r="S1560" t="str">
        <f t="shared" si="645"/>
        <v>Approved</v>
      </c>
      <c r="T1560" t="str">
        <f t="shared" si="646"/>
        <v>10.20.8.188</v>
      </c>
      <c r="U1560" t="str">
        <f t="shared" si="647"/>
        <v>AZRAD UMAR BIN SHAARI</v>
      </c>
      <c r="V1560" t="str">
        <f t="shared" si="648"/>
        <v>FARHANA BINTI MUSTAPA</v>
      </c>
      <c r="W1560" t="str">
        <f t="shared" si="649"/>
        <v>04-08-2020</v>
      </c>
      <c r="X1560" t="str">
        <f t="shared" si="650"/>
        <v>RAZIMAH ANSAR AHMAD</v>
      </c>
      <c r="Y1560" t="str">
        <f t="shared" si="651"/>
        <v>04-08-2020</v>
      </c>
      <c r="Z1560" t="str">
        <f>"COS10200804 7594"</f>
        <v>COS10200804 7594</v>
      </c>
    </row>
    <row r="1561" spans="1:26" x14ac:dyDescent="0.25">
      <c r="A1561" t="str">
        <f t="shared" si="658"/>
        <v>04-08-2020 01:07:32</v>
      </c>
      <c r="B1561" t="str">
        <f>"0000809393"</f>
        <v>0000809393</v>
      </c>
      <c r="C1561" t="str">
        <f t="shared" si="659"/>
        <v>0000809200</v>
      </c>
      <c r="D1561" t="str">
        <f t="shared" si="639"/>
        <v>73185</v>
      </c>
      <c r="E1561" t="str">
        <f t="shared" si="640"/>
        <v>KFH-OPERATIONS DEPARTMENT</v>
      </c>
      <c r="F1561" t="str">
        <f t="shared" si="641"/>
        <v>IBG</v>
      </c>
      <c r="G1561" t="str">
        <f t="shared" si="656"/>
        <v>Refund COSHARE 10</v>
      </c>
      <c r="H1561" s="2">
        <v>262</v>
      </c>
      <c r="I1561" t="str">
        <f>"SOFIUDDIN BIN MOHAMAD ISA"</f>
        <v>SOFIUDDIN BIN MOHAMAD ISA</v>
      </c>
      <c r="J1561" t="str">
        <f t="shared" si="657"/>
        <v>MAYBANK / MAYBANK ISLAMIC</v>
      </c>
      <c r="K1561" t="str">
        <f>"159012665429"</f>
        <v>159012665429</v>
      </c>
      <c r="L1561" t="str">
        <f t="shared" si="654"/>
        <v>04-08-2020</v>
      </c>
      <c r="M1561" t="str">
        <f t="shared" si="654"/>
        <v>04-08-2020</v>
      </c>
      <c r="N1561" t="str">
        <f t="shared" si="642"/>
        <v>001105018356</v>
      </c>
      <c r="O1561" t="str">
        <f t="shared" si="643"/>
        <v>MYR</v>
      </c>
      <c r="P1561" t="str">
        <f t="shared" si="655"/>
        <v>NIL</v>
      </c>
      <c r="Q1561" t="str">
        <f t="shared" si="655"/>
        <v>NIL</v>
      </c>
      <c r="R1561" t="str">
        <f t="shared" si="644"/>
        <v>Accepted</v>
      </c>
      <c r="S1561" t="str">
        <f t="shared" si="645"/>
        <v>Approved</v>
      </c>
      <c r="T1561" t="str">
        <f t="shared" si="646"/>
        <v>10.20.8.188</v>
      </c>
      <c r="U1561" t="str">
        <f t="shared" si="647"/>
        <v>AZRAD UMAR BIN SHAARI</v>
      </c>
      <c r="V1561" t="str">
        <f t="shared" si="648"/>
        <v>FARHANA BINTI MUSTAPA</v>
      </c>
      <c r="W1561" t="str">
        <f t="shared" si="649"/>
        <v>04-08-2020</v>
      </c>
      <c r="X1561" t="str">
        <f t="shared" si="650"/>
        <v>RAZIMAH ANSAR AHMAD</v>
      </c>
      <c r="Y1561" t="str">
        <f t="shared" si="651"/>
        <v>04-08-2020</v>
      </c>
      <c r="Z1561" t="str">
        <f>"COS10200804 7593"</f>
        <v>COS10200804 7593</v>
      </c>
    </row>
    <row r="1562" spans="1:26" x14ac:dyDescent="0.25">
      <c r="A1562" t="str">
        <f t="shared" si="658"/>
        <v>04-08-2020 01:07:32</v>
      </c>
      <c r="B1562" t="str">
        <f>"0000809392"</f>
        <v>0000809392</v>
      </c>
      <c r="C1562" t="str">
        <f t="shared" si="659"/>
        <v>0000809200</v>
      </c>
      <c r="D1562" t="str">
        <f t="shared" si="639"/>
        <v>73185</v>
      </c>
      <c r="E1562" t="str">
        <f t="shared" si="640"/>
        <v>KFH-OPERATIONS DEPARTMENT</v>
      </c>
      <c r="F1562" t="str">
        <f t="shared" si="641"/>
        <v>IBG</v>
      </c>
      <c r="G1562" t="str">
        <f t="shared" si="656"/>
        <v>Refund COSHARE 10</v>
      </c>
      <c r="H1562" s="2">
        <v>254.1</v>
      </c>
      <c r="I1562" t="str">
        <f>"SOFIAH BINTI ABDULLAH"</f>
        <v>SOFIAH BINTI ABDULLAH</v>
      </c>
      <c r="J1562" t="str">
        <f t="shared" si="657"/>
        <v>MAYBANK / MAYBANK ISLAMIC</v>
      </c>
      <c r="K1562" t="str">
        <f>"161136279958"</f>
        <v>161136279958</v>
      </c>
      <c r="L1562" t="str">
        <f t="shared" si="654"/>
        <v>04-08-2020</v>
      </c>
      <c r="M1562" t="str">
        <f t="shared" si="654"/>
        <v>04-08-2020</v>
      </c>
      <c r="N1562" t="str">
        <f t="shared" si="642"/>
        <v>001105018356</v>
      </c>
      <c r="O1562" t="str">
        <f t="shared" si="643"/>
        <v>MYR</v>
      </c>
      <c r="P1562" t="str">
        <f t="shared" si="655"/>
        <v>NIL</v>
      </c>
      <c r="Q1562" t="str">
        <f t="shared" si="655"/>
        <v>NIL</v>
      </c>
      <c r="R1562" t="str">
        <f t="shared" si="644"/>
        <v>Accepted</v>
      </c>
      <c r="S1562" t="str">
        <f t="shared" si="645"/>
        <v>Approved</v>
      </c>
      <c r="T1562" t="str">
        <f t="shared" si="646"/>
        <v>10.20.8.188</v>
      </c>
      <c r="U1562" t="str">
        <f t="shared" si="647"/>
        <v>AZRAD UMAR BIN SHAARI</v>
      </c>
      <c r="V1562" t="str">
        <f t="shared" si="648"/>
        <v>FARHANA BINTI MUSTAPA</v>
      </c>
      <c r="W1562" t="str">
        <f t="shared" si="649"/>
        <v>04-08-2020</v>
      </c>
      <c r="X1562" t="str">
        <f t="shared" si="650"/>
        <v>RAZIMAH ANSAR AHMAD</v>
      </c>
      <c r="Y1562" t="str">
        <f t="shared" si="651"/>
        <v>04-08-2020</v>
      </c>
      <c r="Z1562" t="str">
        <f>"COS10200804 7592"</f>
        <v>COS10200804 7592</v>
      </c>
    </row>
    <row r="1563" spans="1:26" x14ac:dyDescent="0.25">
      <c r="A1563" t="str">
        <f t="shared" si="658"/>
        <v>04-08-2020 01:07:32</v>
      </c>
      <c r="B1563" t="str">
        <f>"0000809391"</f>
        <v>0000809391</v>
      </c>
      <c r="C1563" t="str">
        <f t="shared" si="659"/>
        <v>0000809200</v>
      </c>
      <c r="D1563" t="str">
        <f t="shared" si="639"/>
        <v>73185</v>
      </c>
      <c r="E1563" t="str">
        <f t="shared" si="640"/>
        <v>KFH-OPERATIONS DEPARTMENT</v>
      </c>
      <c r="F1563" t="str">
        <f t="shared" si="641"/>
        <v>IBG</v>
      </c>
      <c r="G1563" t="str">
        <f t="shared" si="656"/>
        <v>Refund COSHARE 10</v>
      </c>
      <c r="H1563" s="2">
        <v>1679</v>
      </c>
      <c r="I1563" t="str">
        <f>"SOFIA ANNAIM BINTI ABDUSSYUKUR"</f>
        <v>SOFIA ANNAIM BINTI ABDUSSYUKUR</v>
      </c>
      <c r="J1563" t="str">
        <f t="shared" si="657"/>
        <v>MAYBANK / MAYBANK ISLAMIC</v>
      </c>
      <c r="K1563" t="str">
        <f>"156012095809"</f>
        <v>156012095809</v>
      </c>
      <c r="L1563" t="str">
        <f t="shared" si="654"/>
        <v>04-08-2020</v>
      </c>
      <c r="M1563" t="str">
        <f t="shared" si="654"/>
        <v>04-08-2020</v>
      </c>
      <c r="N1563" t="str">
        <f t="shared" si="642"/>
        <v>001105018356</v>
      </c>
      <c r="O1563" t="str">
        <f t="shared" si="643"/>
        <v>MYR</v>
      </c>
      <c r="P1563" t="str">
        <f t="shared" si="655"/>
        <v>NIL</v>
      </c>
      <c r="Q1563" t="str">
        <f t="shared" si="655"/>
        <v>NIL</v>
      </c>
      <c r="R1563" t="str">
        <f t="shared" si="644"/>
        <v>Accepted</v>
      </c>
      <c r="S1563" t="str">
        <f t="shared" si="645"/>
        <v>Approved</v>
      </c>
      <c r="T1563" t="str">
        <f t="shared" si="646"/>
        <v>10.20.8.188</v>
      </c>
      <c r="U1563" t="str">
        <f t="shared" si="647"/>
        <v>AZRAD UMAR BIN SHAARI</v>
      </c>
      <c r="V1563" t="str">
        <f t="shared" si="648"/>
        <v>FARHANA BINTI MUSTAPA</v>
      </c>
      <c r="W1563" t="str">
        <f t="shared" si="649"/>
        <v>04-08-2020</v>
      </c>
      <c r="X1563" t="str">
        <f t="shared" si="650"/>
        <v>RAZIMAH ANSAR AHMAD</v>
      </c>
      <c r="Y1563" t="str">
        <f t="shared" si="651"/>
        <v>04-08-2020</v>
      </c>
      <c r="Z1563" t="str">
        <f>"COS10200804 7591"</f>
        <v>COS10200804 7591</v>
      </c>
    </row>
    <row r="1564" spans="1:26" x14ac:dyDescent="0.25">
      <c r="A1564" t="str">
        <f t="shared" si="658"/>
        <v>04-08-2020 01:07:32</v>
      </c>
      <c r="B1564" t="str">
        <f>"0000809390"</f>
        <v>0000809390</v>
      </c>
      <c r="C1564" t="str">
        <f t="shared" si="659"/>
        <v>0000809200</v>
      </c>
      <c r="D1564" t="str">
        <f t="shared" si="639"/>
        <v>73185</v>
      </c>
      <c r="E1564" t="str">
        <f t="shared" si="640"/>
        <v>KFH-OPERATIONS DEPARTMENT</v>
      </c>
      <c r="F1564" t="str">
        <f t="shared" si="641"/>
        <v>IBG</v>
      </c>
      <c r="G1564" t="str">
        <f t="shared" si="656"/>
        <v>Refund COSHARE 10</v>
      </c>
      <c r="H1564" s="2">
        <v>1242</v>
      </c>
      <c r="I1564" t="str">
        <f>"SOFFIA BINTI NONONG"</f>
        <v>SOFFIA BINTI NONONG</v>
      </c>
      <c r="J1564" t="str">
        <f t="shared" si="657"/>
        <v>MAYBANK / MAYBANK ISLAMIC</v>
      </c>
      <c r="K1564" t="str">
        <f>"160149057341"</f>
        <v>160149057341</v>
      </c>
      <c r="L1564" t="str">
        <f t="shared" si="654"/>
        <v>04-08-2020</v>
      </c>
      <c r="M1564" t="str">
        <f t="shared" si="654"/>
        <v>04-08-2020</v>
      </c>
      <c r="N1564" t="str">
        <f t="shared" si="642"/>
        <v>001105018356</v>
      </c>
      <c r="O1564" t="str">
        <f t="shared" si="643"/>
        <v>MYR</v>
      </c>
      <c r="P1564" t="str">
        <f t="shared" si="655"/>
        <v>NIL</v>
      </c>
      <c r="Q1564" t="str">
        <f t="shared" si="655"/>
        <v>NIL</v>
      </c>
      <c r="R1564" t="str">
        <f t="shared" si="644"/>
        <v>Accepted</v>
      </c>
      <c r="S1564" t="str">
        <f t="shared" si="645"/>
        <v>Approved</v>
      </c>
      <c r="T1564" t="str">
        <f t="shared" si="646"/>
        <v>10.20.8.188</v>
      </c>
      <c r="U1564" t="str">
        <f t="shared" si="647"/>
        <v>AZRAD UMAR BIN SHAARI</v>
      </c>
      <c r="V1564" t="str">
        <f t="shared" si="648"/>
        <v>FARHANA BINTI MUSTAPA</v>
      </c>
      <c r="W1564" t="str">
        <f t="shared" si="649"/>
        <v>04-08-2020</v>
      </c>
      <c r="X1564" t="str">
        <f t="shared" si="650"/>
        <v>RAZIMAH ANSAR AHMAD</v>
      </c>
      <c r="Y1564" t="str">
        <f t="shared" si="651"/>
        <v>04-08-2020</v>
      </c>
      <c r="Z1564" t="str">
        <f>"COS10200804 7590"</f>
        <v>COS10200804 7590</v>
      </c>
    </row>
    <row r="1565" spans="1:26" x14ac:dyDescent="0.25">
      <c r="A1565" t="str">
        <f t="shared" si="658"/>
        <v>04-08-2020 01:07:32</v>
      </c>
      <c r="B1565" t="str">
        <f>"0000809389"</f>
        <v>0000809389</v>
      </c>
      <c r="C1565" t="str">
        <f t="shared" si="659"/>
        <v>0000809200</v>
      </c>
      <c r="D1565" t="str">
        <f t="shared" si="639"/>
        <v>73185</v>
      </c>
      <c r="E1565" t="str">
        <f t="shared" si="640"/>
        <v>KFH-OPERATIONS DEPARTMENT</v>
      </c>
      <c r="F1565" t="str">
        <f t="shared" si="641"/>
        <v>IBG</v>
      </c>
      <c r="G1565" t="str">
        <f t="shared" si="656"/>
        <v>Refund COSHARE 10</v>
      </c>
      <c r="H1565" s="2">
        <v>167.9</v>
      </c>
      <c r="I1565" t="str">
        <f>"SOFEZUL BIN RAMALI"</f>
        <v>SOFEZUL BIN RAMALI</v>
      </c>
      <c r="J1565" t="str">
        <f t="shared" si="657"/>
        <v>MAYBANK / MAYBANK ISLAMIC</v>
      </c>
      <c r="K1565" t="str">
        <f>"111105056339"</f>
        <v>111105056339</v>
      </c>
      <c r="L1565" t="str">
        <f t="shared" si="654"/>
        <v>04-08-2020</v>
      </c>
      <c r="M1565" t="str">
        <f t="shared" si="654"/>
        <v>04-08-2020</v>
      </c>
      <c r="N1565" t="str">
        <f t="shared" si="642"/>
        <v>001105018356</v>
      </c>
      <c r="O1565" t="str">
        <f t="shared" si="643"/>
        <v>MYR</v>
      </c>
      <c r="P1565" t="str">
        <f t="shared" si="655"/>
        <v>NIL</v>
      </c>
      <c r="Q1565" t="str">
        <f t="shared" si="655"/>
        <v>NIL</v>
      </c>
      <c r="R1565" t="str">
        <f t="shared" si="644"/>
        <v>Accepted</v>
      </c>
      <c r="S1565" t="str">
        <f t="shared" si="645"/>
        <v>Approved</v>
      </c>
      <c r="T1565" t="str">
        <f t="shared" si="646"/>
        <v>10.20.8.188</v>
      </c>
      <c r="U1565" t="str">
        <f t="shared" si="647"/>
        <v>AZRAD UMAR BIN SHAARI</v>
      </c>
      <c r="V1565" t="str">
        <f t="shared" si="648"/>
        <v>FARHANA BINTI MUSTAPA</v>
      </c>
      <c r="W1565" t="str">
        <f t="shared" si="649"/>
        <v>04-08-2020</v>
      </c>
      <c r="X1565" t="str">
        <f t="shared" si="650"/>
        <v>RAZIMAH ANSAR AHMAD</v>
      </c>
      <c r="Y1565" t="str">
        <f t="shared" si="651"/>
        <v>04-08-2020</v>
      </c>
      <c r="Z1565" t="str">
        <f>"COS10200804 7589"</f>
        <v>COS10200804 7589</v>
      </c>
    </row>
    <row r="1566" spans="1:26" x14ac:dyDescent="0.25">
      <c r="A1566" t="str">
        <f t="shared" si="658"/>
        <v>04-08-2020 01:07:32</v>
      </c>
      <c r="B1566" t="str">
        <f>"0000809388"</f>
        <v>0000809388</v>
      </c>
      <c r="C1566" t="str">
        <f t="shared" si="659"/>
        <v>0000809200</v>
      </c>
      <c r="D1566" t="str">
        <f t="shared" si="639"/>
        <v>73185</v>
      </c>
      <c r="E1566" t="str">
        <f t="shared" si="640"/>
        <v>KFH-OPERATIONS DEPARTMENT</v>
      </c>
      <c r="F1566" t="str">
        <f t="shared" si="641"/>
        <v>IBG</v>
      </c>
      <c r="G1566" t="str">
        <f t="shared" si="656"/>
        <v>Refund COSHARE 10</v>
      </c>
      <c r="H1566" s="2">
        <v>839.5</v>
      </c>
      <c r="I1566" t="str">
        <f>"SIVANITHA AP SIVANANTHAM"</f>
        <v>SIVANITHA AP SIVANANTHAM</v>
      </c>
      <c r="J1566" t="str">
        <f t="shared" si="657"/>
        <v>MAYBANK / MAYBANK ISLAMIC</v>
      </c>
      <c r="K1566" t="str">
        <f>"101068042101"</f>
        <v>101068042101</v>
      </c>
      <c r="L1566" t="str">
        <f t="shared" si="654"/>
        <v>04-08-2020</v>
      </c>
      <c r="M1566" t="str">
        <f t="shared" si="654"/>
        <v>04-08-2020</v>
      </c>
      <c r="N1566" t="str">
        <f t="shared" si="642"/>
        <v>001105018356</v>
      </c>
      <c r="O1566" t="str">
        <f t="shared" si="643"/>
        <v>MYR</v>
      </c>
      <c r="P1566" t="str">
        <f t="shared" si="655"/>
        <v>NIL</v>
      </c>
      <c r="Q1566" t="str">
        <f t="shared" si="655"/>
        <v>NIL</v>
      </c>
      <c r="R1566" t="str">
        <f t="shared" si="644"/>
        <v>Accepted</v>
      </c>
      <c r="S1566" t="str">
        <f t="shared" si="645"/>
        <v>Approved</v>
      </c>
      <c r="T1566" t="str">
        <f t="shared" si="646"/>
        <v>10.20.8.188</v>
      </c>
      <c r="U1566" t="str">
        <f t="shared" si="647"/>
        <v>AZRAD UMAR BIN SHAARI</v>
      </c>
      <c r="V1566" t="str">
        <f t="shared" si="648"/>
        <v>FARHANA BINTI MUSTAPA</v>
      </c>
      <c r="W1566" t="str">
        <f t="shared" si="649"/>
        <v>04-08-2020</v>
      </c>
      <c r="X1566" t="str">
        <f t="shared" si="650"/>
        <v>RAZIMAH ANSAR AHMAD</v>
      </c>
      <c r="Y1566" t="str">
        <f t="shared" si="651"/>
        <v>04-08-2020</v>
      </c>
      <c r="Z1566" t="str">
        <f>"COS10200804 7588"</f>
        <v>COS10200804 7588</v>
      </c>
    </row>
    <row r="1567" spans="1:26" x14ac:dyDescent="0.25">
      <c r="A1567" t="str">
        <f t="shared" si="658"/>
        <v>04-08-2020 01:07:32</v>
      </c>
      <c r="B1567" t="str">
        <f>"0000809387"</f>
        <v>0000809387</v>
      </c>
      <c r="C1567" t="str">
        <f t="shared" si="659"/>
        <v>0000809200</v>
      </c>
      <c r="D1567" t="str">
        <f t="shared" si="639"/>
        <v>73185</v>
      </c>
      <c r="E1567" t="str">
        <f t="shared" si="640"/>
        <v>KFH-OPERATIONS DEPARTMENT</v>
      </c>
      <c r="F1567" t="str">
        <f t="shared" si="641"/>
        <v>IBG</v>
      </c>
      <c r="G1567" t="str">
        <f t="shared" si="656"/>
        <v>Refund COSHARE 10</v>
      </c>
      <c r="H1567" s="2">
        <v>839.5</v>
      </c>
      <c r="I1567" t="str">
        <f>"SIVANANTHAM AL PERIANAN"</f>
        <v>SIVANANTHAM AL PERIANAN</v>
      </c>
      <c r="J1567" t="str">
        <f t="shared" si="657"/>
        <v>MAYBANK / MAYBANK ISLAMIC</v>
      </c>
      <c r="K1567" t="str">
        <f>"114179448016"</f>
        <v>114179448016</v>
      </c>
      <c r="L1567" t="str">
        <f t="shared" ref="L1567:M1586" si="660">"04-08-2020"</f>
        <v>04-08-2020</v>
      </c>
      <c r="M1567" t="str">
        <f t="shared" si="660"/>
        <v>04-08-2020</v>
      </c>
      <c r="N1567" t="str">
        <f t="shared" si="642"/>
        <v>001105018356</v>
      </c>
      <c r="O1567" t="str">
        <f t="shared" si="643"/>
        <v>MYR</v>
      </c>
      <c r="P1567" t="str">
        <f t="shared" ref="P1567:Q1586" si="661">"NIL"</f>
        <v>NIL</v>
      </c>
      <c r="Q1567" t="str">
        <f t="shared" si="661"/>
        <v>NIL</v>
      </c>
      <c r="R1567" t="str">
        <f t="shared" si="644"/>
        <v>Accepted</v>
      </c>
      <c r="S1567" t="str">
        <f t="shared" si="645"/>
        <v>Approved</v>
      </c>
      <c r="T1567" t="str">
        <f t="shared" si="646"/>
        <v>10.20.8.188</v>
      </c>
      <c r="U1567" t="str">
        <f t="shared" si="647"/>
        <v>AZRAD UMAR BIN SHAARI</v>
      </c>
      <c r="V1567" t="str">
        <f t="shared" si="648"/>
        <v>FARHANA BINTI MUSTAPA</v>
      </c>
      <c r="W1567" t="str">
        <f t="shared" si="649"/>
        <v>04-08-2020</v>
      </c>
      <c r="X1567" t="str">
        <f t="shared" si="650"/>
        <v>RAZIMAH ANSAR AHMAD</v>
      </c>
      <c r="Y1567" t="str">
        <f t="shared" si="651"/>
        <v>04-08-2020</v>
      </c>
      <c r="Z1567" t="str">
        <f>"COS10200804 7587"</f>
        <v>COS10200804 7587</v>
      </c>
    </row>
    <row r="1568" spans="1:26" x14ac:dyDescent="0.25">
      <c r="A1568" t="str">
        <f t="shared" si="658"/>
        <v>04-08-2020 01:07:32</v>
      </c>
      <c r="B1568" t="str">
        <f>"0000809386"</f>
        <v>0000809386</v>
      </c>
      <c r="C1568" t="str">
        <f t="shared" si="659"/>
        <v>0000809200</v>
      </c>
      <c r="D1568" t="str">
        <f t="shared" si="639"/>
        <v>73185</v>
      </c>
      <c r="E1568" t="str">
        <f t="shared" si="640"/>
        <v>KFH-OPERATIONS DEPARTMENT</v>
      </c>
      <c r="F1568" t="str">
        <f t="shared" si="641"/>
        <v>IBG</v>
      </c>
      <c r="G1568" t="str">
        <f t="shared" si="656"/>
        <v>Refund COSHARE 10</v>
      </c>
      <c r="H1568" s="2">
        <v>136.75</v>
      </c>
      <c r="I1568" t="str">
        <f>"SIVAM AL DURASAMY"</f>
        <v>SIVAM AL DURASAMY</v>
      </c>
      <c r="J1568" t="str">
        <f t="shared" si="657"/>
        <v>MAYBANK / MAYBANK ISLAMIC</v>
      </c>
      <c r="K1568" t="str">
        <f>"108140234631"</f>
        <v>108140234631</v>
      </c>
      <c r="L1568" t="str">
        <f t="shared" si="660"/>
        <v>04-08-2020</v>
      </c>
      <c r="M1568" t="str">
        <f t="shared" si="660"/>
        <v>04-08-2020</v>
      </c>
      <c r="N1568" t="str">
        <f t="shared" si="642"/>
        <v>001105018356</v>
      </c>
      <c r="O1568" t="str">
        <f t="shared" si="643"/>
        <v>MYR</v>
      </c>
      <c r="P1568" t="str">
        <f t="shared" si="661"/>
        <v>NIL</v>
      </c>
      <c r="Q1568" t="str">
        <f t="shared" si="661"/>
        <v>NIL</v>
      </c>
      <c r="R1568" t="str">
        <f t="shared" si="644"/>
        <v>Accepted</v>
      </c>
      <c r="S1568" t="str">
        <f t="shared" si="645"/>
        <v>Approved</v>
      </c>
      <c r="T1568" t="str">
        <f t="shared" si="646"/>
        <v>10.20.8.188</v>
      </c>
      <c r="U1568" t="str">
        <f t="shared" si="647"/>
        <v>AZRAD UMAR BIN SHAARI</v>
      </c>
      <c r="V1568" t="str">
        <f t="shared" si="648"/>
        <v>FARHANA BINTI MUSTAPA</v>
      </c>
      <c r="W1568" t="str">
        <f t="shared" si="649"/>
        <v>04-08-2020</v>
      </c>
      <c r="X1568" t="str">
        <f t="shared" si="650"/>
        <v>RAZIMAH ANSAR AHMAD</v>
      </c>
      <c r="Y1568" t="str">
        <f t="shared" si="651"/>
        <v>04-08-2020</v>
      </c>
      <c r="Z1568" t="str">
        <f>"COS10200804 7586"</f>
        <v>COS10200804 7586</v>
      </c>
    </row>
    <row r="1569" spans="1:26" x14ac:dyDescent="0.25">
      <c r="A1569" t="str">
        <f t="shared" si="658"/>
        <v>04-08-2020 01:07:32</v>
      </c>
      <c r="B1569" t="str">
        <f>"0000809385"</f>
        <v>0000809385</v>
      </c>
      <c r="C1569" t="str">
        <f t="shared" si="659"/>
        <v>0000809200</v>
      </c>
      <c r="D1569" t="str">
        <f t="shared" si="639"/>
        <v>73185</v>
      </c>
      <c r="E1569" t="str">
        <f t="shared" si="640"/>
        <v>KFH-OPERATIONS DEPARTMENT</v>
      </c>
      <c r="F1569" t="str">
        <f t="shared" si="641"/>
        <v>IBG</v>
      </c>
      <c r="G1569" t="str">
        <f t="shared" si="656"/>
        <v>Refund COSHARE 10</v>
      </c>
      <c r="H1569" s="2">
        <v>175</v>
      </c>
      <c r="I1569" t="str">
        <f>"SITTI RAMLAH BINTI OSMAN"</f>
        <v>SITTI RAMLAH BINTI OSMAN</v>
      </c>
      <c r="J1569" t="str">
        <f t="shared" si="657"/>
        <v>MAYBANK / MAYBANK ISLAMIC</v>
      </c>
      <c r="K1569" t="str">
        <f>"164100241079"</f>
        <v>164100241079</v>
      </c>
      <c r="L1569" t="str">
        <f t="shared" si="660"/>
        <v>04-08-2020</v>
      </c>
      <c r="M1569" t="str">
        <f t="shared" si="660"/>
        <v>04-08-2020</v>
      </c>
      <c r="N1569" t="str">
        <f t="shared" si="642"/>
        <v>001105018356</v>
      </c>
      <c r="O1569" t="str">
        <f t="shared" si="643"/>
        <v>MYR</v>
      </c>
      <c r="P1569" t="str">
        <f t="shared" si="661"/>
        <v>NIL</v>
      </c>
      <c r="Q1569" t="str">
        <f t="shared" si="661"/>
        <v>NIL</v>
      </c>
      <c r="R1569" t="str">
        <f t="shared" si="644"/>
        <v>Accepted</v>
      </c>
      <c r="S1569" t="str">
        <f t="shared" si="645"/>
        <v>Approved</v>
      </c>
      <c r="T1569" t="str">
        <f t="shared" si="646"/>
        <v>10.20.8.188</v>
      </c>
      <c r="U1569" t="str">
        <f t="shared" si="647"/>
        <v>AZRAD UMAR BIN SHAARI</v>
      </c>
      <c r="V1569" t="str">
        <f t="shared" si="648"/>
        <v>FARHANA BINTI MUSTAPA</v>
      </c>
      <c r="W1569" t="str">
        <f t="shared" si="649"/>
        <v>04-08-2020</v>
      </c>
      <c r="X1569" t="str">
        <f t="shared" si="650"/>
        <v>RAZIMAH ANSAR AHMAD</v>
      </c>
      <c r="Y1569" t="str">
        <f t="shared" si="651"/>
        <v>04-08-2020</v>
      </c>
      <c r="Z1569" t="str">
        <f>"COS10200804 7585"</f>
        <v>COS10200804 7585</v>
      </c>
    </row>
    <row r="1570" spans="1:26" x14ac:dyDescent="0.25">
      <c r="A1570" t="str">
        <f t="shared" si="658"/>
        <v>04-08-2020 01:07:32</v>
      </c>
      <c r="B1570" t="str">
        <f>"0000809384"</f>
        <v>0000809384</v>
      </c>
      <c r="C1570" t="str">
        <f t="shared" si="659"/>
        <v>0000809200</v>
      </c>
      <c r="D1570" t="str">
        <f t="shared" si="639"/>
        <v>73185</v>
      </c>
      <c r="E1570" t="str">
        <f t="shared" si="640"/>
        <v>KFH-OPERATIONS DEPARTMENT</v>
      </c>
      <c r="F1570" t="str">
        <f t="shared" si="641"/>
        <v>IBG</v>
      </c>
      <c r="G1570" t="str">
        <f t="shared" si="656"/>
        <v>Refund COSHARE 10</v>
      </c>
      <c r="H1570" s="2">
        <v>612.85</v>
      </c>
      <c r="I1570" t="str">
        <f>"SITTI LENA BINTI ATING"</f>
        <v>SITTI LENA BINTI ATING</v>
      </c>
      <c r="J1570" t="str">
        <f t="shared" si="657"/>
        <v>MAYBANK / MAYBANK ISLAMIC</v>
      </c>
      <c r="K1570" t="str">
        <f>"160054371245"</f>
        <v>160054371245</v>
      </c>
      <c r="L1570" t="str">
        <f t="shared" si="660"/>
        <v>04-08-2020</v>
      </c>
      <c r="M1570" t="str">
        <f t="shared" si="660"/>
        <v>04-08-2020</v>
      </c>
      <c r="N1570" t="str">
        <f t="shared" si="642"/>
        <v>001105018356</v>
      </c>
      <c r="O1570" t="str">
        <f t="shared" si="643"/>
        <v>MYR</v>
      </c>
      <c r="P1570" t="str">
        <f t="shared" si="661"/>
        <v>NIL</v>
      </c>
      <c r="Q1570" t="str">
        <f t="shared" si="661"/>
        <v>NIL</v>
      </c>
      <c r="R1570" t="str">
        <f t="shared" si="644"/>
        <v>Accepted</v>
      </c>
      <c r="S1570" t="str">
        <f t="shared" si="645"/>
        <v>Approved</v>
      </c>
      <c r="T1570" t="str">
        <f t="shared" si="646"/>
        <v>10.20.8.188</v>
      </c>
      <c r="U1570" t="str">
        <f t="shared" si="647"/>
        <v>AZRAD UMAR BIN SHAARI</v>
      </c>
      <c r="V1570" t="str">
        <f t="shared" si="648"/>
        <v>FARHANA BINTI MUSTAPA</v>
      </c>
      <c r="W1570" t="str">
        <f t="shared" si="649"/>
        <v>04-08-2020</v>
      </c>
      <c r="X1570" t="str">
        <f t="shared" si="650"/>
        <v>RAZIMAH ANSAR AHMAD</v>
      </c>
      <c r="Y1570" t="str">
        <f t="shared" si="651"/>
        <v>04-08-2020</v>
      </c>
      <c r="Z1570" t="str">
        <f>"COS10200804 7584"</f>
        <v>COS10200804 7584</v>
      </c>
    </row>
    <row r="1571" spans="1:26" x14ac:dyDescent="0.25">
      <c r="A1571" t="str">
        <f t="shared" si="658"/>
        <v>04-08-2020 01:07:32</v>
      </c>
      <c r="B1571" t="str">
        <f>"0000809383"</f>
        <v>0000809383</v>
      </c>
      <c r="C1571" t="str">
        <f t="shared" si="659"/>
        <v>0000809200</v>
      </c>
      <c r="D1571" t="str">
        <f t="shared" si="639"/>
        <v>73185</v>
      </c>
      <c r="E1571" t="str">
        <f t="shared" si="640"/>
        <v>KFH-OPERATIONS DEPARTMENT</v>
      </c>
      <c r="F1571" t="str">
        <f t="shared" si="641"/>
        <v>IBG</v>
      </c>
      <c r="G1571" t="str">
        <f t="shared" si="656"/>
        <v>Refund COSHARE 10</v>
      </c>
      <c r="H1571" s="2">
        <v>377.8</v>
      </c>
      <c r="I1571" t="str">
        <f>"SITTI HALA BINTI LAWRENCE"</f>
        <v>SITTI HALA BINTI LAWRENCE</v>
      </c>
      <c r="J1571" t="str">
        <f t="shared" si="657"/>
        <v>MAYBANK / MAYBANK ISLAMIC</v>
      </c>
      <c r="K1571" t="str">
        <f>"112344301325"</f>
        <v>112344301325</v>
      </c>
      <c r="L1571" t="str">
        <f t="shared" si="660"/>
        <v>04-08-2020</v>
      </c>
      <c r="M1571" t="str">
        <f t="shared" si="660"/>
        <v>04-08-2020</v>
      </c>
      <c r="N1571" t="str">
        <f t="shared" si="642"/>
        <v>001105018356</v>
      </c>
      <c r="O1571" t="str">
        <f t="shared" si="643"/>
        <v>MYR</v>
      </c>
      <c r="P1571" t="str">
        <f t="shared" si="661"/>
        <v>NIL</v>
      </c>
      <c r="Q1571" t="str">
        <f t="shared" si="661"/>
        <v>NIL</v>
      </c>
      <c r="R1571" t="str">
        <f t="shared" si="644"/>
        <v>Accepted</v>
      </c>
      <c r="S1571" t="str">
        <f t="shared" si="645"/>
        <v>Approved</v>
      </c>
      <c r="T1571" t="str">
        <f t="shared" si="646"/>
        <v>10.20.8.188</v>
      </c>
      <c r="U1571" t="str">
        <f t="shared" si="647"/>
        <v>AZRAD UMAR BIN SHAARI</v>
      </c>
      <c r="V1571" t="str">
        <f t="shared" si="648"/>
        <v>FARHANA BINTI MUSTAPA</v>
      </c>
      <c r="W1571" t="str">
        <f t="shared" si="649"/>
        <v>04-08-2020</v>
      </c>
      <c r="X1571" t="str">
        <f t="shared" si="650"/>
        <v>RAZIMAH ANSAR AHMAD</v>
      </c>
      <c r="Y1571" t="str">
        <f t="shared" si="651"/>
        <v>04-08-2020</v>
      </c>
      <c r="Z1571" t="str">
        <f>"COS10200804 7583"</f>
        <v>COS10200804 7583</v>
      </c>
    </row>
    <row r="1572" spans="1:26" x14ac:dyDescent="0.25">
      <c r="A1572" t="str">
        <f t="shared" si="658"/>
        <v>04-08-2020 01:07:32</v>
      </c>
      <c r="B1572" t="str">
        <f>"0000809382"</f>
        <v>0000809382</v>
      </c>
      <c r="C1572" t="str">
        <f t="shared" si="659"/>
        <v>0000809200</v>
      </c>
      <c r="D1572" t="str">
        <f t="shared" si="639"/>
        <v>73185</v>
      </c>
      <c r="E1572" t="str">
        <f t="shared" si="640"/>
        <v>KFH-OPERATIONS DEPARTMENT</v>
      </c>
      <c r="F1572" t="str">
        <f t="shared" si="641"/>
        <v>IBG</v>
      </c>
      <c r="G1572" t="str">
        <f t="shared" si="656"/>
        <v>Refund COSHARE 10</v>
      </c>
      <c r="H1572" s="2">
        <v>1679</v>
      </c>
      <c r="I1572" t="str">
        <f>"SITTI FASEHAH BINTI ABDULLAH"</f>
        <v>SITTI FASEHAH BINTI ABDULLAH</v>
      </c>
      <c r="J1572" t="str">
        <f t="shared" si="657"/>
        <v>MAYBANK / MAYBANK ISLAMIC</v>
      </c>
      <c r="K1572" t="str">
        <f>"112277012592"</f>
        <v>112277012592</v>
      </c>
      <c r="L1572" t="str">
        <f t="shared" si="660"/>
        <v>04-08-2020</v>
      </c>
      <c r="M1572" t="str">
        <f t="shared" si="660"/>
        <v>04-08-2020</v>
      </c>
      <c r="N1572" t="str">
        <f t="shared" si="642"/>
        <v>001105018356</v>
      </c>
      <c r="O1572" t="str">
        <f t="shared" si="643"/>
        <v>MYR</v>
      </c>
      <c r="P1572" t="str">
        <f t="shared" si="661"/>
        <v>NIL</v>
      </c>
      <c r="Q1572" t="str">
        <f t="shared" si="661"/>
        <v>NIL</v>
      </c>
      <c r="R1572" t="str">
        <f t="shared" si="644"/>
        <v>Accepted</v>
      </c>
      <c r="S1572" t="str">
        <f t="shared" si="645"/>
        <v>Approved</v>
      </c>
      <c r="T1572" t="str">
        <f t="shared" si="646"/>
        <v>10.20.8.188</v>
      </c>
      <c r="U1572" t="str">
        <f t="shared" si="647"/>
        <v>AZRAD UMAR BIN SHAARI</v>
      </c>
      <c r="V1572" t="str">
        <f t="shared" si="648"/>
        <v>FARHANA BINTI MUSTAPA</v>
      </c>
      <c r="W1572" t="str">
        <f t="shared" si="649"/>
        <v>04-08-2020</v>
      </c>
      <c r="X1572" t="str">
        <f t="shared" si="650"/>
        <v>RAZIMAH ANSAR AHMAD</v>
      </c>
      <c r="Y1572" t="str">
        <f t="shared" si="651"/>
        <v>04-08-2020</v>
      </c>
      <c r="Z1572" t="str">
        <f>"COS10200804 7582"</f>
        <v>COS10200804 7582</v>
      </c>
    </row>
    <row r="1573" spans="1:26" x14ac:dyDescent="0.25">
      <c r="A1573" t="str">
        <f t="shared" si="658"/>
        <v>04-08-2020 01:07:32</v>
      </c>
      <c r="B1573" t="str">
        <f>"0000809381"</f>
        <v>0000809381</v>
      </c>
      <c r="C1573" t="str">
        <f t="shared" si="659"/>
        <v>0000809200</v>
      </c>
      <c r="D1573" t="str">
        <f t="shared" si="639"/>
        <v>73185</v>
      </c>
      <c r="E1573" t="str">
        <f t="shared" si="640"/>
        <v>KFH-OPERATIONS DEPARTMENT</v>
      </c>
      <c r="F1573" t="str">
        <f t="shared" si="641"/>
        <v>IBG</v>
      </c>
      <c r="G1573" t="str">
        <f t="shared" si="656"/>
        <v>Refund COSHARE 10</v>
      </c>
      <c r="H1573" s="2">
        <v>749.45</v>
      </c>
      <c r="I1573" t="str">
        <f>"SITTI BINTI RUDIN"</f>
        <v>SITTI BINTI RUDIN</v>
      </c>
      <c r="J1573" t="str">
        <f t="shared" si="657"/>
        <v>MAYBANK / MAYBANK ISLAMIC</v>
      </c>
      <c r="K1573" t="str">
        <f>"114150352909"</f>
        <v>114150352909</v>
      </c>
      <c r="L1573" t="str">
        <f t="shared" si="660"/>
        <v>04-08-2020</v>
      </c>
      <c r="M1573" t="str">
        <f t="shared" si="660"/>
        <v>04-08-2020</v>
      </c>
      <c r="N1573" t="str">
        <f t="shared" si="642"/>
        <v>001105018356</v>
      </c>
      <c r="O1573" t="str">
        <f t="shared" si="643"/>
        <v>MYR</v>
      </c>
      <c r="P1573" t="str">
        <f t="shared" si="661"/>
        <v>NIL</v>
      </c>
      <c r="Q1573" t="str">
        <f t="shared" si="661"/>
        <v>NIL</v>
      </c>
      <c r="R1573" t="str">
        <f t="shared" si="644"/>
        <v>Accepted</v>
      </c>
      <c r="S1573" t="str">
        <f t="shared" si="645"/>
        <v>Approved</v>
      </c>
      <c r="T1573" t="str">
        <f t="shared" si="646"/>
        <v>10.20.8.188</v>
      </c>
      <c r="U1573" t="str">
        <f t="shared" si="647"/>
        <v>AZRAD UMAR BIN SHAARI</v>
      </c>
      <c r="V1573" t="str">
        <f t="shared" si="648"/>
        <v>FARHANA BINTI MUSTAPA</v>
      </c>
      <c r="W1573" t="str">
        <f t="shared" si="649"/>
        <v>04-08-2020</v>
      </c>
      <c r="X1573" t="str">
        <f t="shared" si="650"/>
        <v>RAZIMAH ANSAR AHMAD</v>
      </c>
      <c r="Y1573" t="str">
        <f t="shared" si="651"/>
        <v>04-08-2020</v>
      </c>
      <c r="Z1573" t="str">
        <f>"COS10200804 7581"</f>
        <v>COS10200804 7581</v>
      </c>
    </row>
    <row r="1574" spans="1:26" x14ac:dyDescent="0.25">
      <c r="A1574" t="str">
        <f t="shared" si="658"/>
        <v>04-08-2020 01:07:32</v>
      </c>
      <c r="B1574" t="str">
        <f>"0000809380"</f>
        <v>0000809380</v>
      </c>
      <c r="C1574" t="str">
        <f t="shared" si="659"/>
        <v>0000809200</v>
      </c>
      <c r="D1574" t="str">
        <f t="shared" si="639"/>
        <v>73185</v>
      </c>
      <c r="E1574" t="str">
        <f t="shared" si="640"/>
        <v>KFH-OPERATIONS DEPARTMENT</v>
      </c>
      <c r="F1574" t="str">
        <f t="shared" si="641"/>
        <v>IBG</v>
      </c>
      <c r="G1574" t="str">
        <f t="shared" si="656"/>
        <v>Refund COSHARE 10</v>
      </c>
      <c r="H1574" s="2">
        <v>293.85000000000002</v>
      </c>
      <c r="I1574" t="str">
        <f>"SITI ZURAIDAH BINTI MOHD HASSAN"</f>
        <v>SITI ZURAIDAH BINTI MOHD HASSAN</v>
      </c>
      <c r="J1574" t="str">
        <f t="shared" si="657"/>
        <v>MAYBANK / MAYBANK ISLAMIC</v>
      </c>
      <c r="K1574" t="str">
        <f>"164146443457"</f>
        <v>164146443457</v>
      </c>
      <c r="L1574" t="str">
        <f t="shared" si="660"/>
        <v>04-08-2020</v>
      </c>
      <c r="M1574" t="str">
        <f t="shared" si="660"/>
        <v>04-08-2020</v>
      </c>
      <c r="N1574" t="str">
        <f t="shared" si="642"/>
        <v>001105018356</v>
      </c>
      <c r="O1574" t="str">
        <f t="shared" si="643"/>
        <v>MYR</v>
      </c>
      <c r="P1574" t="str">
        <f t="shared" si="661"/>
        <v>NIL</v>
      </c>
      <c r="Q1574" t="str">
        <f t="shared" si="661"/>
        <v>NIL</v>
      </c>
      <c r="R1574" t="str">
        <f t="shared" si="644"/>
        <v>Accepted</v>
      </c>
      <c r="S1574" t="str">
        <f t="shared" si="645"/>
        <v>Approved</v>
      </c>
      <c r="T1574" t="str">
        <f t="shared" si="646"/>
        <v>10.20.8.188</v>
      </c>
      <c r="U1574" t="str">
        <f t="shared" si="647"/>
        <v>AZRAD UMAR BIN SHAARI</v>
      </c>
      <c r="V1574" t="str">
        <f t="shared" si="648"/>
        <v>FARHANA BINTI MUSTAPA</v>
      </c>
      <c r="W1574" t="str">
        <f t="shared" si="649"/>
        <v>04-08-2020</v>
      </c>
      <c r="X1574" t="str">
        <f t="shared" si="650"/>
        <v>RAZIMAH ANSAR AHMAD</v>
      </c>
      <c r="Y1574" t="str">
        <f t="shared" si="651"/>
        <v>04-08-2020</v>
      </c>
      <c r="Z1574" t="str">
        <f>"COS10200804 7580"</f>
        <v>COS10200804 7580</v>
      </c>
    </row>
    <row r="1575" spans="1:26" x14ac:dyDescent="0.25">
      <c r="A1575" t="str">
        <f t="shared" si="658"/>
        <v>04-08-2020 01:07:32</v>
      </c>
      <c r="B1575" t="str">
        <f>"0000809379"</f>
        <v>0000809379</v>
      </c>
      <c r="C1575" t="str">
        <f t="shared" si="659"/>
        <v>0000809200</v>
      </c>
      <c r="D1575" t="str">
        <f t="shared" si="639"/>
        <v>73185</v>
      </c>
      <c r="E1575" t="str">
        <f t="shared" si="640"/>
        <v>KFH-OPERATIONS DEPARTMENT</v>
      </c>
      <c r="F1575" t="str">
        <f t="shared" si="641"/>
        <v>IBG</v>
      </c>
      <c r="G1575" t="str">
        <f t="shared" si="656"/>
        <v>Refund COSHARE 10</v>
      </c>
      <c r="H1575" s="2">
        <v>236.65</v>
      </c>
      <c r="I1575" t="str">
        <f>"SITI ZUBAIDAH BINTI SARODIN"</f>
        <v>SITI ZUBAIDAH BINTI SARODIN</v>
      </c>
      <c r="J1575" t="str">
        <f t="shared" si="657"/>
        <v>MAYBANK / MAYBANK ISLAMIC</v>
      </c>
      <c r="K1575" t="str">
        <f>"157072304427"</f>
        <v>157072304427</v>
      </c>
      <c r="L1575" t="str">
        <f t="shared" si="660"/>
        <v>04-08-2020</v>
      </c>
      <c r="M1575" t="str">
        <f t="shared" si="660"/>
        <v>04-08-2020</v>
      </c>
      <c r="N1575" t="str">
        <f t="shared" si="642"/>
        <v>001105018356</v>
      </c>
      <c r="O1575" t="str">
        <f t="shared" si="643"/>
        <v>MYR</v>
      </c>
      <c r="P1575" t="str">
        <f t="shared" si="661"/>
        <v>NIL</v>
      </c>
      <c r="Q1575" t="str">
        <f t="shared" si="661"/>
        <v>NIL</v>
      </c>
      <c r="R1575" t="str">
        <f t="shared" si="644"/>
        <v>Accepted</v>
      </c>
      <c r="S1575" t="str">
        <f t="shared" si="645"/>
        <v>Approved</v>
      </c>
      <c r="T1575" t="str">
        <f t="shared" si="646"/>
        <v>10.20.8.188</v>
      </c>
      <c r="U1575" t="str">
        <f t="shared" si="647"/>
        <v>AZRAD UMAR BIN SHAARI</v>
      </c>
      <c r="V1575" t="str">
        <f t="shared" si="648"/>
        <v>FARHANA BINTI MUSTAPA</v>
      </c>
      <c r="W1575" t="str">
        <f t="shared" si="649"/>
        <v>04-08-2020</v>
      </c>
      <c r="X1575" t="str">
        <f t="shared" si="650"/>
        <v>RAZIMAH ANSAR AHMAD</v>
      </c>
      <c r="Y1575" t="str">
        <f t="shared" si="651"/>
        <v>04-08-2020</v>
      </c>
      <c r="Z1575" t="str">
        <f>"COS10200804 7579"</f>
        <v>COS10200804 7579</v>
      </c>
    </row>
    <row r="1576" spans="1:26" x14ac:dyDescent="0.25">
      <c r="A1576" t="str">
        <f t="shared" si="658"/>
        <v>04-08-2020 01:07:32</v>
      </c>
      <c r="B1576" t="str">
        <f>"0000809378"</f>
        <v>0000809378</v>
      </c>
      <c r="C1576" t="str">
        <f t="shared" si="659"/>
        <v>0000809200</v>
      </c>
      <c r="D1576" t="str">
        <f t="shared" si="639"/>
        <v>73185</v>
      </c>
      <c r="E1576" t="str">
        <f t="shared" si="640"/>
        <v>KFH-OPERATIONS DEPARTMENT</v>
      </c>
      <c r="F1576" t="str">
        <f t="shared" si="641"/>
        <v>IBG</v>
      </c>
      <c r="G1576" t="str">
        <f t="shared" si="656"/>
        <v>Refund COSHARE 10</v>
      </c>
      <c r="H1576" s="2">
        <v>820</v>
      </c>
      <c r="I1576" t="str">
        <f>"SITI ZUBAIDAH BINTI MIRON"</f>
        <v>SITI ZUBAIDAH BINTI MIRON</v>
      </c>
      <c r="J1576" t="str">
        <f t="shared" si="657"/>
        <v>MAYBANK / MAYBANK ISLAMIC</v>
      </c>
      <c r="K1576" t="str">
        <f>"151052174249"</f>
        <v>151052174249</v>
      </c>
      <c r="L1576" t="str">
        <f t="shared" si="660"/>
        <v>04-08-2020</v>
      </c>
      <c r="M1576" t="str">
        <f t="shared" si="660"/>
        <v>04-08-2020</v>
      </c>
      <c r="N1576" t="str">
        <f t="shared" si="642"/>
        <v>001105018356</v>
      </c>
      <c r="O1576" t="str">
        <f t="shared" si="643"/>
        <v>MYR</v>
      </c>
      <c r="P1576" t="str">
        <f t="shared" si="661"/>
        <v>NIL</v>
      </c>
      <c r="Q1576" t="str">
        <f t="shared" si="661"/>
        <v>NIL</v>
      </c>
      <c r="R1576" t="str">
        <f t="shared" si="644"/>
        <v>Accepted</v>
      </c>
      <c r="S1576" t="str">
        <f t="shared" si="645"/>
        <v>Approved</v>
      </c>
      <c r="T1576" t="str">
        <f t="shared" si="646"/>
        <v>10.20.8.188</v>
      </c>
      <c r="U1576" t="str">
        <f t="shared" si="647"/>
        <v>AZRAD UMAR BIN SHAARI</v>
      </c>
      <c r="V1576" t="str">
        <f t="shared" si="648"/>
        <v>FARHANA BINTI MUSTAPA</v>
      </c>
      <c r="W1576" t="str">
        <f t="shared" si="649"/>
        <v>04-08-2020</v>
      </c>
      <c r="X1576" t="str">
        <f t="shared" si="650"/>
        <v>RAZIMAH ANSAR AHMAD</v>
      </c>
      <c r="Y1576" t="str">
        <f t="shared" si="651"/>
        <v>04-08-2020</v>
      </c>
      <c r="Z1576" t="str">
        <f>"COS10200804 7578"</f>
        <v>COS10200804 7578</v>
      </c>
    </row>
    <row r="1577" spans="1:26" x14ac:dyDescent="0.25">
      <c r="A1577" t="str">
        <f t="shared" si="658"/>
        <v>04-08-2020 01:07:32</v>
      </c>
      <c r="B1577" t="str">
        <f>"0000809377"</f>
        <v>0000809377</v>
      </c>
      <c r="C1577" t="str">
        <f t="shared" si="659"/>
        <v>0000809200</v>
      </c>
      <c r="D1577" t="str">
        <f t="shared" si="639"/>
        <v>73185</v>
      </c>
      <c r="E1577" t="str">
        <f t="shared" si="640"/>
        <v>KFH-OPERATIONS DEPARTMENT</v>
      </c>
      <c r="F1577" t="str">
        <f t="shared" si="641"/>
        <v>IBG</v>
      </c>
      <c r="G1577" t="str">
        <f t="shared" si="656"/>
        <v>Refund COSHARE 10</v>
      </c>
      <c r="H1577" s="2">
        <v>607</v>
      </c>
      <c r="I1577" t="str">
        <f>"SITI ZARINA BINTI LAHURI"</f>
        <v>SITI ZARINA BINTI LAHURI</v>
      </c>
      <c r="J1577" t="str">
        <f t="shared" si="657"/>
        <v>MAYBANK / MAYBANK ISLAMIC</v>
      </c>
      <c r="K1577" t="str">
        <f>"101011546832"</f>
        <v>101011546832</v>
      </c>
      <c r="L1577" t="str">
        <f t="shared" si="660"/>
        <v>04-08-2020</v>
      </c>
      <c r="M1577" t="str">
        <f t="shared" si="660"/>
        <v>04-08-2020</v>
      </c>
      <c r="N1577" t="str">
        <f t="shared" si="642"/>
        <v>001105018356</v>
      </c>
      <c r="O1577" t="str">
        <f t="shared" si="643"/>
        <v>MYR</v>
      </c>
      <c r="P1577" t="str">
        <f t="shared" si="661"/>
        <v>NIL</v>
      </c>
      <c r="Q1577" t="str">
        <f t="shared" si="661"/>
        <v>NIL</v>
      </c>
      <c r="R1577" t="str">
        <f t="shared" si="644"/>
        <v>Accepted</v>
      </c>
      <c r="S1577" t="str">
        <f t="shared" si="645"/>
        <v>Approved</v>
      </c>
      <c r="T1577" t="str">
        <f t="shared" si="646"/>
        <v>10.20.8.188</v>
      </c>
      <c r="U1577" t="str">
        <f t="shared" si="647"/>
        <v>AZRAD UMAR BIN SHAARI</v>
      </c>
      <c r="V1577" t="str">
        <f t="shared" si="648"/>
        <v>FARHANA BINTI MUSTAPA</v>
      </c>
      <c r="W1577" t="str">
        <f t="shared" si="649"/>
        <v>04-08-2020</v>
      </c>
      <c r="X1577" t="str">
        <f t="shared" si="650"/>
        <v>RAZIMAH ANSAR AHMAD</v>
      </c>
      <c r="Y1577" t="str">
        <f t="shared" si="651"/>
        <v>04-08-2020</v>
      </c>
      <c r="Z1577" t="str">
        <f>"COS10200804 7577"</f>
        <v>COS10200804 7577</v>
      </c>
    </row>
    <row r="1578" spans="1:26" x14ac:dyDescent="0.25">
      <c r="A1578" t="str">
        <f t="shared" si="658"/>
        <v>04-08-2020 01:07:32</v>
      </c>
      <c r="B1578" t="str">
        <f>"0000809376"</f>
        <v>0000809376</v>
      </c>
      <c r="C1578" t="str">
        <f t="shared" si="659"/>
        <v>0000809200</v>
      </c>
      <c r="D1578" t="str">
        <f t="shared" si="639"/>
        <v>73185</v>
      </c>
      <c r="E1578" t="str">
        <f t="shared" si="640"/>
        <v>KFH-OPERATIONS DEPARTMENT</v>
      </c>
      <c r="F1578" t="str">
        <f t="shared" si="641"/>
        <v>IBG</v>
      </c>
      <c r="G1578" t="str">
        <f t="shared" si="656"/>
        <v>Refund COSHARE 10</v>
      </c>
      <c r="H1578" s="2">
        <v>176.3</v>
      </c>
      <c r="I1578" t="str">
        <f>"SITI ZAINE BINTI ZAINAL ABIDIN"</f>
        <v>SITI ZAINE BINTI ZAINAL ABIDIN</v>
      </c>
      <c r="J1578" t="str">
        <f t="shared" si="657"/>
        <v>MAYBANK / MAYBANK ISLAMIC</v>
      </c>
      <c r="K1578" t="str">
        <f>"162218328393"</f>
        <v>162218328393</v>
      </c>
      <c r="L1578" t="str">
        <f t="shared" si="660"/>
        <v>04-08-2020</v>
      </c>
      <c r="M1578" t="str">
        <f t="shared" si="660"/>
        <v>04-08-2020</v>
      </c>
      <c r="N1578" t="str">
        <f t="shared" si="642"/>
        <v>001105018356</v>
      </c>
      <c r="O1578" t="str">
        <f t="shared" si="643"/>
        <v>MYR</v>
      </c>
      <c r="P1578" t="str">
        <f t="shared" si="661"/>
        <v>NIL</v>
      </c>
      <c r="Q1578" t="str">
        <f t="shared" si="661"/>
        <v>NIL</v>
      </c>
      <c r="R1578" t="str">
        <f t="shared" si="644"/>
        <v>Accepted</v>
      </c>
      <c r="S1578" t="str">
        <f t="shared" si="645"/>
        <v>Approved</v>
      </c>
      <c r="T1578" t="str">
        <f t="shared" si="646"/>
        <v>10.20.8.188</v>
      </c>
      <c r="U1578" t="str">
        <f t="shared" si="647"/>
        <v>AZRAD UMAR BIN SHAARI</v>
      </c>
      <c r="V1578" t="str">
        <f t="shared" si="648"/>
        <v>FARHANA BINTI MUSTAPA</v>
      </c>
      <c r="W1578" t="str">
        <f t="shared" si="649"/>
        <v>04-08-2020</v>
      </c>
      <c r="X1578" t="str">
        <f t="shared" si="650"/>
        <v>RAZIMAH ANSAR AHMAD</v>
      </c>
      <c r="Y1578" t="str">
        <f t="shared" si="651"/>
        <v>04-08-2020</v>
      </c>
      <c r="Z1578" t="str">
        <f>"COS10200804 7576"</f>
        <v>COS10200804 7576</v>
      </c>
    </row>
    <row r="1579" spans="1:26" x14ac:dyDescent="0.25">
      <c r="A1579" t="str">
        <f t="shared" si="658"/>
        <v>04-08-2020 01:07:32</v>
      </c>
      <c r="B1579" t="str">
        <f>"0000809375"</f>
        <v>0000809375</v>
      </c>
      <c r="C1579" t="str">
        <f t="shared" si="659"/>
        <v>0000809200</v>
      </c>
      <c r="D1579" t="str">
        <f t="shared" si="639"/>
        <v>73185</v>
      </c>
      <c r="E1579" t="str">
        <f t="shared" si="640"/>
        <v>KFH-OPERATIONS DEPARTMENT</v>
      </c>
      <c r="F1579" t="str">
        <f t="shared" si="641"/>
        <v>IBG</v>
      </c>
      <c r="G1579" t="str">
        <f t="shared" si="656"/>
        <v>Refund COSHARE 10</v>
      </c>
      <c r="H1579" s="2">
        <v>1227.9000000000001</v>
      </c>
      <c r="I1579" t="str">
        <f>"SITI ZAIDAH BINTI LUBIN"</f>
        <v>SITI ZAIDAH BINTI LUBIN</v>
      </c>
      <c r="J1579" t="str">
        <f t="shared" si="657"/>
        <v>MAYBANK / MAYBANK ISLAMIC</v>
      </c>
      <c r="K1579" t="str">
        <f>"112184022942"</f>
        <v>112184022942</v>
      </c>
      <c r="L1579" t="str">
        <f t="shared" si="660"/>
        <v>04-08-2020</v>
      </c>
      <c r="M1579" t="str">
        <f t="shared" si="660"/>
        <v>04-08-2020</v>
      </c>
      <c r="N1579" t="str">
        <f t="shared" si="642"/>
        <v>001105018356</v>
      </c>
      <c r="O1579" t="str">
        <f t="shared" si="643"/>
        <v>MYR</v>
      </c>
      <c r="P1579" t="str">
        <f t="shared" si="661"/>
        <v>NIL</v>
      </c>
      <c r="Q1579" t="str">
        <f t="shared" si="661"/>
        <v>NIL</v>
      </c>
      <c r="R1579" t="str">
        <f t="shared" si="644"/>
        <v>Accepted</v>
      </c>
      <c r="S1579" t="str">
        <f t="shared" si="645"/>
        <v>Approved</v>
      </c>
      <c r="T1579" t="str">
        <f t="shared" si="646"/>
        <v>10.20.8.188</v>
      </c>
      <c r="U1579" t="str">
        <f t="shared" si="647"/>
        <v>AZRAD UMAR BIN SHAARI</v>
      </c>
      <c r="V1579" t="str">
        <f t="shared" si="648"/>
        <v>FARHANA BINTI MUSTAPA</v>
      </c>
      <c r="W1579" t="str">
        <f t="shared" si="649"/>
        <v>04-08-2020</v>
      </c>
      <c r="X1579" t="str">
        <f t="shared" si="650"/>
        <v>RAZIMAH ANSAR AHMAD</v>
      </c>
      <c r="Y1579" t="str">
        <f t="shared" si="651"/>
        <v>04-08-2020</v>
      </c>
      <c r="Z1579" t="str">
        <f>"COS10200804 7575"</f>
        <v>COS10200804 7575</v>
      </c>
    </row>
    <row r="1580" spans="1:26" x14ac:dyDescent="0.25">
      <c r="A1580" t="str">
        <f t="shared" si="658"/>
        <v>04-08-2020 01:07:32</v>
      </c>
      <c r="B1580" t="str">
        <f>"0000809374"</f>
        <v>0000809374</v>
      </c>
      <c r="C1580" t="str">
        <f t="shared" si="659"/>
        <v>0000809200</v>
      </c>
      <c r="D1580" t="str">
        <f t="shared" si="639"/>
        <v>73185</v>
      </c>
      <c r="E1580" t="str">
        <f t="shared" si="640"/>
        <v>KFH-OPERATIONS DEPARTMENT</v>
      </c>
      <c r="F1580" t="str">
        <f t="shared" si="641"/>
        <v>IBG</v>
      </c>
      <c r="G1580" t="str">
        <f t="shared" si="656"/>
        <v>Refund COSHARE 10</v>
      </c>
      <c r="H1580" s="2">
        <v>923.45</v>
      </c>
      <c r="I1580" t="str">
        <f>"SITI ZAHARAH BINTI ZAKARIA"</f>
        <v>SITI ZAHARAH BINTI ZAKARIA</v>
      </c>
      <c r="J1580" t="str">
        <f t="shared" si="657"/>
        <v>MAYBANK / MAYBANK ISLAMIC</v>
      </c>
      <c r="K1580" t="str">
        <f>"152023198596"</f>
        <v>152023198596</v>
      </c>
      <c r="L1580" t="str">
        <f t="shared" si="660"/>
        <v>04-08-2020</v>
      </c>
      <c r="M1580" t="str">
        <f t="shared" si="660"/>
        <v>04-08-2020</v>
      </c>
      <c r="N1580" t="str">
        <f t="shared" si="642"/>
        <v>001105018356</v>
      </c>
      <c r="O1580" t="str">
        <f t="shared" si="643"/>
        <v>MYR</v>
      </c>
      <c r="P1580" t="str">
        <f t="shared" si="661"/>
        <v>NIL</v>
      </c>
      <c r="Q1580" t="str">
        <f t="shared" si="661"/>
        <v>NIL</v>
      </c>
      <c r="R1580" t="str">
        <f t="shared" si="644"/>
        <v>Accepted</v>
      </c>
      <c r="S1580" t="str">
        <f t="shared" si="645"/>
        <v>Approved</v>
      </c>
      <c r="T1580" t="str">
        <f t="shared" si="646"/>
        <v>10.20.8.188</v>
      </c>
      <c r="U1580" t="str">
        <f t="shared" si="647"/>
        <v>AZRAD UMAR BIN SHAARI</v>
      </c>
      <c r="V1580" t="str">
        <f t="shared" si="648"/>
        <v>FARHANA BINTI MUSTAPA</v>
      </c>
      <c r="W1580" t="str">
        <f t="shared" si="649"/>
        <v>04-08-2020</v>
      </c>
      <c r="X1580" t="str">
        <f t="shared" si="650"/>
        <v>RAZIMAH ANSAR AHMAD</v>
      </c>
      <c r="Y1580" t="str">
        <f t="shared" si="651"/>
        <v>04-08-2020</v>
      </c>
      <c r="Z1580" t="str">
        <f>"COS10200804 7574"</f>
        <v>COS10200804 7574</v>
      </c>
    </row>
    <row r="1581" spans="1:26" x14ac:dyDescent="0.25">
      <c r="A1581" t="str">
        <f t="shared" si="658"/>
        <v>04-08-2020 01:07:32</v>
      </c>
      <c r="B1581" t="str">
        <f>"0000809373"</f>
        <v>0000809373</v>
      </c>
      <c r="C1581" t="str">
        <f t="shared" si="659"/>
        <v>0000809200</v>
      </c>
      <c r="D1581" t="str">
        <f t="shared" si="639"/>
        <v>73185</v>
      </c>
      <c r="E1581" t="str">
        <f t="shared" si="640"/>
        <v>KFH-OPERATIONS DEPARTMENT</v>
      </c>
      <c r="F1581" t="str">
        <f t="shared" si="641"/>
        <v>IBG</v>
      </c>
      <c r="G1581" t="str">
        <f t="shared" si="656"/>
        <v>Refund COSHARE 10</v>
      </c>
      <c r="H1581" s="2">
        <v>965.45</v>
      </c>
      <c r="I1581" t="str">
        <f>"SITI ZAHARAH BINTI MOHAMED ALIAS"</f>
        <v>SITI ZAHARAH BINTI MOHAMED ALIAS</v>
      </c>
      <c r="J1581" t="str">
        <f t="shared" si="657"/>
        <v>MAYBANK / MAYBANK ISLAMIC</v>
      </c>
      <c r="K1581" t="str">
        <f>"112204148965"</f>
        <v>112204148965</v>
      </c>
      <c r="L1581" t="str">
        <f t="shared" si="660"/>
        <v>04-08-2020</v>
      </c>
      <c r="M1581" t="str">
        <f t="shared" si="660"/>
        <v>04-08-2020</v>
      </c>
      <c r="N1581" t="str">
        <f t="shared" si="642"/>
        <v>001105018356</v>
      </c>
      <c r="O1581" t="str">
        <f t="shared" si="643"/>
        <v>MYR</v>
      </c>
      <c r="P1581" t="str">
        <f t="shared" si="661"/>
        <v>NIL</v>
      </c>
      <c r="Q1581" t="str">
        <f t="shared" si="661"/>
        <v>NIL</v>
      </c>
      <c r="R1581" t="str">
        <f t="shared" si="644"/>
        <v>Accepted</v>
      </c>
      <c r="S1581" t="str">
        <f t="shared" si="645"/>
        <v>Approved</v>
      </c>
      <c r="T1581" t="str">
        <f t="shared" si="646"/>
        <v>10.20.8.188</v>
      </c>
      <c r="U1581" t="str">
        <f t="shared" si="647"/>
        <v>AZRAD UMAR BIN SHAARI</v>
      </c>
      <c r="V1581" t="str">
        <f t="shared" si="648"/>
        <v>FARHANA BINTI MUSTAPA</v>
      </c>
      <c r="W1581" t="str">
        <f t="shared" si="649"/>
        <v>04-08-2020</v>
      </c>
      <c r="X1581" t="str">
        <f t="shared" si="650"/>
        <v>RAZIMAH ANSAR AHMAD</v>
      </c>
      <c r="Y1581" t="str">
        <f t="shared" si="651"/>
        <v>04-08-2020</v>
      </c>
      <c r="Z1581" t="str">
        <f>"COS10200804 7573"</f>
        <v>COS10200804 7573</v>
      </c>
    </row>
    <row r="1582" spans="1:26" x14ac:dyDescent="0.25">
      <c r="A1582" t="str">
        <f t="shared" si="658"/>
        <v>04-08-2020 01:07:32</v>
      </c>
      <c r="B1582" t="str">
        <f>"0000809372"</f>
        <v>0000809372</v>
      </c>
      <c r="C1582" t="str">
        <f t="shared" si="659"/>
        <v>0000809200</v>
      </c>
      <c r="D1582" t="str">
        <f t="shared" si="639"/>
        <v>73185</v>
      </c>
      <c r="E1582" t="str">
        <f t="shared" si="640"/>
        <v>KFH-OPERATIONS DEPARTMENT</v>
      </c>
      <c r="F1582" t="str">
        <f t="shared" si="641"/>
        <v>IBG</v>
      </c>
      <c r="G1582" t="str">
        <f t="shared" si="656"/>
        <v>Refund COSHARE 10</v>
      </c>
      <c r="H1582" s="2">
        <v>229</v>
      </c>
      <c r="I1582" t="str">
        <f>"SITI YAZLIN BINTI ZAHARI SHAM"</f>
        <v>SITI YAZLIN BINTI ZAHARI SHAM</v>
      </c>
      <c r="J1582" t="str">
        <f t="shared" si="657"/>
        <v>MAYBANK / MAYBANK ISLAMIC</v>
      </c>
      <c r="K1582" t="str">
        <f>"153010025605"</f>
        <v>153010025605</v>
      </c>
      <c r="L1582" t="str">
        <f t="shared" si="660"/>
        <v>04-08-2020</v>
      </c>
      <c r="M1582" t="str">
        <f t="shared" si="660"/>
        <v>04-08-2020</v>
      </c>
      <c r="N1582" t="str">
        <f t="shared" si="642"/>
        <v>001105018356</v>
      </c>
      <c r="O1582" t="str">
        <f t="shared" si="643"/>
        <v>MYR</v>
      </c>
      <c r="P1582" t="str">
        <f t="shared" si="661"/>
        <v>NIL</v>
      </c>
      <c r="Q1582" t="str">
        <f t="shared" si="661"/>
        <v>NIL</v>
      </c>
      <c r="R1582" t="str">
        <f t="shared" si="644"/>
        <v>Accepted</v>
      </c>
      <c r="S1582" t="str">
        <f t="shared" si="645"/>
        <v>Approved</v>
      </c>
      <c r="T1582" t="str">
        <f t="shared" si="646"/>
        <v>10.20.8.188</v>
      </c>
      <c r="U1582" t="str">
        <f t="shared" si="647"/>
        <v>AZRAD UMAR BIN SHAARI</v>
      </c>
      <c r="V1582" t="str">
        <f t="shared" si="648"/>
        <v>FARHANA BINTI MUSTAPA</v>
      </c>
      <c r="W1582" t="str">
        <f t="shared" si="649"/>
        <v>04-08-2020</v>
      </c>
      <c r="X1582" t="str">
        <f t="shared" si="650"/>
        <v>RAZIMAH ANSAR AHMAD</v>
      </c>
      <c r="Y1582" t="str">
        <f t="shared" si="651"/>
        <v>04-08-2020</v>
      </c>
      <c r="Z1582" t="str">
        <f>"COS10200804 7572"</f>
        <v>COS10200804 7572</v>
      </c>
    </row>
    <row r="1583" spans="1:26" x14ac:dyDescent="0.25">
      <c r="A1583" t="str">
        <f t="shared" si="658"/>
        <v>04-08-2020 01:07:32</v>
      </c>
      <c r="B1583" t="str">
        <f>"0000809371"</f>
        <v>0000809371</v>
      </c>
      <c r="C1583" t="str">
        <f t="shared" si="659"/>
        <v>0000809200</v>
      </c>
      <c r="D1583" t="str">
        <f t="shared" si="639"/>
        <v>73185</v>
      </c>
      <c r="E1583" t="str">
        <f t="shared" si="640"/>
        <v>KFH-OPERATIONS DEPARTMENT</v>
      </c>
      <c r="F1583" t="str">
        <f t="shared" si="641"/>
        <v>IBG</v>
      </c>
      <c r="G1583" t="str">
        <f t="shared" si="656"/>
        <v>Refund COSHARE 10</v>
      </c>
      <c r="H1583" s="2">
        <v>209</v>
      </c>
      <c r="I1583" t="str">
        <f>"SITI YAZLIN BINTI ZAHARI SHAM"</f>
        <v>SITI YAZLIN BINTI ZAHARI SHAM</v>
      </c>
      <c r="J1583" t="str">
        <f t="shared" si="657"/>
        <v>MAYBANK / MAYBANK ISLAMIC</v>
      </c>
      <c r="K1583" t="str">
        <f>"153010025605"</f>
        <v>153010025605</v>
      </c>
      <c r="L1583" t="str">
        <f t="shared" si="660"/>
        <v>04-08-2020</v>
      </c>
      <c r="M1583" t="str">
        <f t="shared" si="660"/>
        <v>04-08-2020</v>
      </c>
      <c r="N1583" t="str">
        <f t="shared" si="642"/>
        <v>001105018356</v>
      </c>
      <c r="O1583" t="str">
        <f t="shared" si="643"/>
        <v>MYR</v>
      </c>
      <c r="P1583" t="str">
        <f t="shared" si="661"/>
        <v>NIL</v>
      </c>
      <c r="Q1583" t="str">
        <f t="shared" si="661"/>
        <v>NIL</v>
      </c>
      <c r="R1583" t="str">
        <f t="shared" si="644"/>
        <v>Accepted</v>
      </c>
      <c r="S1583" t="str">
        <f t="shared" si="645"/>
        <v>Approved</v>
      </c>
      <c r="T1583" t="str">
        <f t="shared" si="646"/>
        <v>10.20.8.188</v>
      </c>
      <c r="U1583" t="str">
        <f t="shared" si="647"/>
        <v>AZRAD UMAR BIN SHAARI</v>
      </c>
      <c r="V1583" t="str">
        <f t="shared" si="648"/>
        <v>FARHANA BINTI MUSTAPA</v>
      </c>
      <c r="W1583" t="str">
        <f t="shared" si="649"/>
        <v>04-08-2020</v>
      </c>
      <c r="X1583" t="str">
        <f t="shared" si="650"/>
        <v>RAZIMAH ANSAR AHMAD</v>
      </c>
      <c r="Y1583" t="str">
        <f t="shared" si="651"/>
        <v>04-08-2020</v>
      </c>
      <c r="Z1583" t="str">
        <f>"COS10200804 7571"</f>
        <v>COS10200804 7571</v>
      </c>
    </row>
    <row r="1584" spans="1:26" x14ac:dyDescent="0.25">
      <c r="A1584" t="str">
        <f t="shared" si="658"/>
        <v>04-08-2020 01:07:32</v>
      </c>
      <c r="B1584" t="str">
        <f>"0000809370"</f>
        <v>0000809370</v>
      </c>
      <c r="C1584" t="str">
        <f t="shared" si="659"/>
        <v>0000809200</v>
      </c>
      <c r="D1584" t="str">
        <f t="shared" si="639"/>
        <v>73185</v>
      </c>
      <c r="E1584" t="str">
        <f t="shared" si="640"/>
        <v>KFH-OPERATIONS DEPARTMENT</v>
      </c>
      <c r="F1584" t="str">
        <f t="shared" si="641"/>
        <v>IBG</v>
      </c>
      <c r="G1584" t="str">
        <f t="shared" si="656"/>
        <v>Refund COSHARE 10</v>
      </c>
      <c r="H1584" s="2">
        <v>862</v>
      </c>
      <c r="I1584" t="str">
        <f>"SITI YAZLIN BINTI ZAHARI SHAM"</f>
        <v>SITI YAZLIN BINTI ZAHARI SHAM</v>
      </c>
      <c r="J1584" t="str">
        <f t="shared" si="657"/>
        <v>MAYBANK / MAYBANK ISLAMIC</v>
      </c>
      <c r="K1584" t="str">
        <f>"153010025605"</f>
        <v>153010025605</v>
      </c>
      <c r="L1584" t="str">
        <f t="shared" si="660"/>
        <v>04-08-2020</v>
      </c>
      <c r="M1584" t="str">
        <f t="shared" si="660"/>
        <v>04-08-2020</v>
      </c>
      <c r="N1584" t="str">
        <f t="shared" si="642"/>
        <v>001105018356</v>
      </c>
      <c r="O1584" t="str">
        <f t="shared" si="643"/>
        <v>MYR</v>
      </c>
      <c r="P1584" t="str">
        <f t="shared" si="661"/>
        <v>NIL</v>
      </c>
      <c r="Q1584" t="str">
        <f t="shared" si="661"/>
        <v>NIL</v>
      </c>
      <c r="R1584" t="str">
        <f t="shared" si="644"/>
        <v>Accepted</v>
      </c>
      <c r="S1584" t="str">
        <f t="shared" si="645"/>
        <v>Approved</v>
      </c>
      <c r="T1584" t="str">
        <f t="shared" si="646"/>
        <v>10.20.8.188</v>
      </c>
      <c r="U1584" t="str">
        <f t="shared" si="647"/>
        <v>AZRAD UMAR BIN SHAARI</v>
      </c>
      <c r="V1584" t="str">
        <f t="shared" si="648"/>
        <v>FARHANA BINTI MUSTAPA</v>
      </c>
      <c r="W1584" t="str">
        <f t="shared" si="649"/>
        <v>04-08-2020</v>
      </c>
      <c r="X1584" t="str">
        <f t="shared" si="650"/>
        <v>RAZIMAH ANSAR AHMAD</v>
      </c>
      <c r="Y1584" t="str">
        <f t="shared" si="651"/>
        <v>04-08-2020</v>
      </c>
      <c r="Z1584" t="str">
        <f>"COS10200804 7570"</f>
        <v>COS10200804 7570</v>
      </c>
    </row>
    <row r="1585" spans="1:26" x14ac:dyDescent="0.25">
      <c r="A1585" t="str">
        <f t="shared" si="658"/>
        <v>04-08-2020 01:07:32</v>
      </c>
      <c r="B1585" t="str">
        <f>"0000809369"</f>
        <v>0000809369</v>
      </c>
      <c r="C1585" t="str">
        <f t="shared" si="659"/>
        <v>0000809200</v>
      </c>
      <c r="D1585" t="str">
        <f t="shared" si="639"/>
        <v>73185</v>
      </c>
      <c r="E1585" t="str">
        <f t="shared" si="640"/>
        <v>KFH-OPERATIONS DEPARTMENT</v>
      </c>
      <c r="F1585" t="str">
        <f t="shared" si="641"/>
        <v>IBG</v>
      </c>
      <c r="G1585" t="str">
        <f t="shared" si="656"/>
        <v>Refund COSHARE 10</v>
      </c>
      <c r="H1585" s="2">
        <v>672</v>
      </c>
      <c r="I1585" t="str">
        <f>"SITI SYAHIDA BINTI CHE PI"</f>
        <v>SITI SYAHIDA BINTI CHE PI</v>
      </c>
      <c r="J1585" t="str">
        <f t="shared" si="657"/>
        <v>MAYBANK / MAYBANK ISLAMIC</v>
      </c>
      <c r="K1585" t="str">
        <f>"152068832874"</f>
        <v>152068832874</v>
      </c>
      <c r="L1585" t="str">
        <f t="shared" si="660"/>
        <v>04-08-2020</v>
      </c>
      <c r="M1585" t="str">
        <f t="shared" si="660"/>
        <v>04-08-2020</v>
      </c>
      <c r="N1585" t="str">
        <f t="shared" si="642"/>
        <v>001105018356</v>
      </c>
      <c r="O1585" t="str">
        <f t="shared" si="643"/>
        <v>MYR</v>
      </c>
      <c r="P1585" t="str">
        <f t="shared" si="661"/>
        <v>NIL</v>
      </c>
      <c r="Q1585" t="str">
        <f t="shared" si="661"/>
        <v>NIL</v>
      </c>
      <c r="R1585" t="str">
        <f t="shared" si="644"/>
        <v>Accepted</v>
      </c>
      <c r="S1585" t="str">
        <f t="shared" si="645"/>
        <v>Approved</v>
      </c>
      <c r="T1585" t="str">
        <f t="shared" si="646"/>
        <v>10.20.8.188</v>
      </c>
      <c r="U1585" t="str">
        <f t="shared" si="647"/>
        <v>AZRAD UMAR BIN SHAARI</v>
      </c>
      <c r="V1585" t="str">
        <f t="shared" si="648"/>
        <v>FARHANA BINTI MUSTAPA</v>
      </c>
      <c r="W1585" t="str">
        <f t="shared" si="649"/>
        <v>04-08-2020</v>
      </c>
      <c r="X1585" t="str">
        <f t="shared" si="650"/>
        <v>RAZIMAH ANSAR AHMAD</v>
      </c>
      <c r="Y1585" t="str">
        <f t="shared" si="651"/>
        <v>04-08-2020</v>
      </c>
      <c r="Z1585" t="str">
        <f>"COS10200804 7569"</f>
        <v>COS10200804 7569</v>
      </c>
    </row>
    <row r="1586" spans="1:26" x14ac:dyDescent="0.25">
      <c r="A1586" t="str">
        <f t="shared" ref="A1586:A1617" si="662">"04-08-2020 01:07:32"</f>
        <v>04-08-2020 01:07:32</v>
      </c>
      <c r="B1586" t="str">
        <f>"0000809368"</f>
        <v>0000809368</v>
      </c>
      <c r="C1586" t="str">
        <f t="shared" ref="C1586:C1617" si="663">"0000809200"</f>
        <v>0000809200</v>
      </c>
      <c r="D1586" t="str">
        <f t="shared" si="639"/>
        <v>73185</v>
      </c>
      <c r="E1586" t="str">
        <f t="shared" si="640"/>
        <v>KFH-OPERATIONS DEPARTMENT</v>
      </c>
      <c r="F1586" t="str">
        <f t="shared" si="641"/>
        <v>IBG</v>
      </c>
      <c r="G1586" t="str">
        <f t="shared" si="656"/>
        <v>Refund COSHARE 10</v>
      </c>
      <c r="H1586" s="2">
        <v>503.7</v>
      </c>
      <c r="I1586" t="str">
        <f>"SITI SURAYA BINTI MOHAMAD SALLEH"</f>
        <v>SITI SURAYA BINTI MOHAMAD SALLEH</v>
      </c>
      <c r="J1586" t="str">
        <f t="shared" si="657"/>
        <v>MAYBANK / MAYBANK ISLAMIC</v>
      </c>
      <c r="K1586" t="str">
        <f>"116015033906"</f>
        <v>116015033906</v>
      </c>
      <c r="L1586" t="str">
        <f t="shared" si="660"/>
        <v>04-08-2020</v>
      </c>
      <c r="M1586" t="str">
        <f t="shared" si="660"/>
        <v>04-08-2020</v>
      </c>
      <c r="N1586" t="str">
        <f t="shared" si="642"/>
        <v>001105018356</v>
      </c>
      <c r="O1586" t="str">
        <f t="shared" si="643"/>
        <v>MYR</v>
      </c>
      <c r="P1586" t="str">
        <f t="shared" si="661"/>
        <v>NIL</v>
      </c>
      <c r="Q1586" t="str">
        <f t="shared" si="661"/>
        <v>NIL</v>
      </c>
      <c r="R1586" t="str">
        <f t="shared" si="644"/>
        <v>Accepted</v>
      </c>
      <c r="S1586" t="str">
        <f t="shared" si="645"/>
        <v>Approved</v>
      </c>
      <c r="T1586" t="str">
        <f t="shared" si="646"/>
        <v>10.20.8.188</v>
      </c>
      <c r="U1586" t="str">
        <f t="shared" si="647"/>
        <v>AZRAD UMAR BIN SHAARI</v>
      </c>
      <c r="V1586" t="str">
        <f t="shared" si="648"/>
        <v>FARHANA BINTI MUSTAPA</v>
      </c>
      <c r="W1586" t="str">
        <f t="shared" si="649"/>
        <v>04-08-2020</v>
      </c>
      <c r="X1586" t="str">
        <f t="shared" si="650"/>
        <v>RAZIMAH ANSAR AHMAD</v>
      </c>
      <c r="Y1586" t="str">
        <f t="shared" si="651"/>
        <v>04-08-2020</v>
      </c>
      <c r="Z1586" t="str">
        <f>"COS10200804 7568"</f>
        <v>COS10200804 7568</v>
      </c>
    </row>
    <row r="1587" spans="1:26" x14ac:dyDescent="0.25">
      <c r="A1587" t="str">
        <f t="shared" si="662"/>
        <v>04-08-2020 01:07:32</v>
      </c>
      <c r="B1587" t="str">
        <f>"0000809367"</f>
        <v>0000809367</v>
      </c>
      <c r="C1587" t="str">
        <f t="shared" si="663"/>
        <v>0000809200</v>
      </c>
      <c r="D1587" t="str">
        <f t="shared" si="639"/>
        <v>73185</v>
      </c>
      <c r="E1587" t="str">
        <f t="shared" si="640"/>
        <v>KFH-OPERATIONS DEPARTMENT</v>
      </c>
      <c r="F1587" t="str">
        <f t="shared" si="641"/>
        <v>IBG</v>
      </c>
      <c r="G1587" t="str">
        <f t="shared" si="656"/>
        <v>Refund COSHARE 10</v>
      </c>
      <c r="H1587" s="2">
        <v>67.2</v>
      </c>
      <c r="I1587" t="str">
        <f>"SITI SUHANA BINTI SHUIB"</f>
        <v>SITI SUHANA BINTI SHUIB</v>
      </c>
      <c r="J1587" t="str">
        <f t="shared" si="657"/>
        <v>MAYBANK / MAYBANK ISLAMIC</v>
      </c>
      <c r="K1587" t="str">
        <f>"166010109412"</f>
        <v>166010109412</v>
      </c>
      <c r="L1587" t="str">
        <f t="shared" ref="L1587:M1606" si="664">"04-08-2020"</f>
        <v>04-08-2020</v>
      </c>
      <c r="M1587" t="str">
        <f t="shared" si="664"/>
        <v>04-08-2020</v>
      </c>
      <c r="N1587" t="str">
        <f t="shared" si="642"/>
        <v>001105018356</v>
      </c>
      <c r="O1587" t="str">
        <f t="shared" si="643"/>
        <v>MYR</v>
      </c>
      <c r="P1587" t="str">
        <f t="shared" ref="P1587:Q1606" si="665">"NIL"</f>
        <v>NIL</v>
      </c>
      <c r="Q1587" t="str">
        <f t="shared" si="665"/>
        <v>NIL</v>
      </c>
      <c r="R1587" t="str">
        <f t="shared" si="644"/>
        <v>Accepted</v>
      </c>
      <c r="S1587" t="str">
        <f t="shared" si="645"/>
        <v>Approved</v>
      </c>
      <c r="T1587" t="str">
        <f t="shared" si="646"/>
        <v>10.20.8.188</v>
      </c>
      <c r="U1587" t="str">
        <f t="shared" si="647"/>
        <v>AZRAD UMAR BIN SHAARI</v>
      </c>
      <c r="V1587" t="str">
        <f t="shared" si="648"/>
        <v>FARHANA BINTI MUSTAPA</v>
      </c>
      <c r="W1587" t="str">
        <f t="shared" si="649"/>
        <v>04-08-2020</v>
      </c>
      <c r="X1587" t="str">
        <f t="shared" si="650"/>
        <v>RAZIMAH ANSAR AHMAD</v>
      </c>
      <c r="Y1587" t="str">
        <f t="shared" si="651"/>
        <v>04-08-2020</v>
      </c>
      <c r="Z1587" t="str">
        <f>"COS10200804 7567"</f>
        <v>COS10200804 7567</v>
      </c>
    </row>
    <row r="1588" spans="1:26" x14ac:dyDescent="0.25">
      <c r="A1588" t="str">
        <f t="shared" si="662"/>
        <v>04-08-2020 01:07:32</v>
      </c>
      <c r="B1588" t="str">
        <f>"0000809366"</f>
        <v>0000809366</v>
      </c>
      <c r="C1588" t="str">
        <f t="shared" si="663"/>
        <v>0000809200</v>
      </c>
      <c r="D1588" t="str">
        <f t="shared" si="639"/>
        <v>73185</v>
      </c>
      <c r="E1588" t="str">
        <f t="shared" si="640"/>
        <v>KFH-OPERATIONS DEPARTMENT</v>
      </c>
      <c r="F1588" t="str">
        <f t="shared" si="641"/>
        <v>IBG</v>
      </c>
      <c r="G1588" t="str">
        <f t="shared" si="656"/>
        <v>Refund COSHARE 10</v>
      </c>
      <c r="H1588" s="2">
        <v>243</v>
      </c>
      <c r="I1588" t="str">
        <f>"SITI SHUHAILA BINTI MOHD RAWI"</f>
        <v>SITI SHUHAILA BINTI MOHD RAWI</v>
      </c>
      <c r="J1588" t="str">
        <f t="shared" si="657"/>
        <v>MAYBANK / MAYBANK ISLAMIC</v>
      </c>
      <c r="K1588" t="str">
        <f>"156132015662"</f>
        <v>156132015662</v>
      </c>
      <c r="L1588" t="str">
        <f t="shared" si="664"/>
        <v>04-08-2020</v>
      </c>
      <c r="M1588" t="str">
        <f t="shared" si="664"/>
        <v>04-08-2020</v>
      </c>
      <c r="N1588" t="str">
        <f t="shared" si="642"/>
        <v>001105018356</v>
      </c>
      <c r="O1588" t="str">
        <f t="shared" si="643"/>
        <v>MYR</v>
      </c>
      <c r="P1588" t="str">
        <f t="shared" si="665"/>
        <v>NIL</v>
      </c>
      <c r="Q1588" t="str">
        <f t="shared" si="665"/>
        <v>NIL</v>
      </c>
      <c r="R1588" t="str">
        <f t="shared" si="644"/>
        <v>Accepted</v>
      </c>
      <c r="S1588" t="str">
        <f t="shared" si="645"/>
        <v>Approved</v>
      </c>
      <c r="T1588" t="str">
        <f t="shared" si="646"/>
        <v>10.20.8.188</v>
      </c>
      <c r="U1588" t="str">
        <f t="shared" si="647"/>
        <v>AZRAD UMAR BIN SHAARI</v>
      </c>
      <c r="V1588" t="str">
        <f t="shared" si="648"/>
        <v>FARHANA BINTI MUSTAPA</v>
      </c>
      <c r="W1588" t="str">
        <f t="shared" si="649"/>
        <v>04-08-2020</v>
      </c>
      <c r="X1588" t="str">
        <f t="shared" si="650"/>
        <v>RAZIMAH ANSAR AHMAD</v>
      </c>
      <c r="Y1588" t="str">
        <f t="shared" si="651"/>
        <v>04-08-2020</v>
      </c>
      <c r="Z1588" t="str">
        <f>"COS10200804 7566"</f>
        <v>COS10200804 7566</v>
      </c>
    </row>
    <row r="1589" spans="1:26" x14ac:dyDescent="0.25">
      <c r="A1589" t="str">
        <f t="shared" si="662"/>
        <v>04-08-2020 01:07:32</v>
      </c>
      <c r="B1589" t="str">
        <f>"0000809365"</f>
        <v>0000809365</v>
      </c>
      <c r="C1589" t="str">
        <f t="shared" si="663"/>
        <v>0000809200</v>
      </c>
      <c r="D1589" t="str">
        <f t="shared" si="639"/>
        <v>73185</v>
      </c>
      <c r="E1589" t="str">
        <f t="shared" si="640"/>
        <v>KFH-OPERATIONS DEPARTMENT</v>
      </c>
      <c r="F1589" t="str">
        <f t="shared" si="641"/>
        <v>IBG</v>
      </c>
      <c r="G1589" t="str">
        <f t="shared" si="656"/>
        <v>Refund COSHARE 10</v>
      </c>
      <c r="H1589" s="2">
        <v>304</v>
      </c>
      <c r="I1589" t="str">
        <f>"SITI SHALMAH BINTI ABU BAKAR"</f>
        <v>SITI SHALMAH BINTI ABU BAKAR</v>
      </c>
      <c r="J1589" t="str">
        <f t="shared" si="657"/>
        <v>MAYBANK / MAYBANK ISLAMIC</v>
      </c>
      <c r="K1589" t="str">
        <f>"114160800369"</f>
        <v>114160800369</v>
      </c>
      <c r="L1589" t="str">
        <f t="shared" si="664"/>
        <v>04-08-2020</v>
      </c>
      <c r="M1589" t="str">
        <f t="shared" si="664"/>
        <v>04-08-2020</v>
      </c>
      <c r="N1589" t="str">
        <f t="shared" si="642"/>
        <v>001105018356</v>
      </c>
      <c r="O1589" t="str">
        <f t="shared" si="643"/>
        <v>MYR</v>
      </c>
      <c r="P1589" t="str">
        <f t="shared" si="665"/>
        <v>NIL</v>
      </c>
      <c r="Q1589" t="str">
        <f t="shared" si="665"/>
        <v>NIL</v>
      </c>
      <c r="R1589" t="str">
        <f t="shared" si="644"/>
        <v>Accepted</v>
      </c>
      <c r="S1589" t="str">
        <f t="shared" si="645"/>
        <v>Approved</v>
      </c>
      <c r="T1589" t="str">
        <f t="shared" si="646"/>
        <v>10.20.8.188</v>
      </c>
      <c r="U1589" t="str">
        <f t="shared" si="647"/>
        <v>AZRAD UMAR BIN SHAARI</v>
      </c>
      <c r="V1589" t="str">
        <f t="shared" si="648"/>
        <v>FARHANA BINTI MUSTAPA</v>
      </c>
      <c r="W1589" t="str">
        <f t="shared" si="649"/>
        <v>04-08-2020</v>
      </c>
      <c r="X1589" t="str">
        <f t="shared" si="650"/>
        <v>RAZIMAH ANSAR AHMAD</v>
      </c>
      <c r="Y1589" t="str">
        <f t="shared" si="651"/>
        <v>04-08-2020</v>
      </c>
      <c r="Z1589" t="str">
        <f>"COS10200804 7565"</f>
        <v>COS10200804 7565</v>
      </c>
    </row>
    <row r="1590" spans="1:26" x14ac:dyDescent="0.25">
      <c r="A1590" t="str">
        <f t="shared" si="662"/>
        <v>04-08-2020 01:07:32</v>
      </c>
      <c r="B1590" t="str">
        <f>"0000809364"</f>
        <v>0000809364</v>
      </c>
      <c r="C1590" t="str">
        <f t="shared" si="663"/>
        <v>0000809200</v>
      </c>
      <c r="D1590" t="str">
        <f t="shared" si="639"/>
        <v>73185</v>
      </c>
      <c r="E1590" t="str">
        <f t="shared" si="640"/>
        <v>KFH-OPERATIONS DEPARTMENT</v>
      </c>
      <c r="F1590" t="str">
        <f t="shared" si="641"/>
        <v>IBG</v>
      </c>
      <c r="G1590" t="str">
        <f t="shared" si="656"/>
        <v>Refund COSHARE 10</v>
      </c>
      <c r="H1590" s="2">
        <v>1049.4000000000001</v>
      </c>
      <c r="I1590" t="str">
        <f>"SITI SHAHEDAH BINTI NAIM"</f>
        <v>SITI SHAHEDAH BINTI NAIM</v>
      </c>
      <c r="J1590" t="str">
        <f t="shared" si="657"/>
        <v>MAYBANK / MAYBANK ISLAMIC</v>
      </c>
      <c r="K1590" t="str">
        <f>"154101124487"</f>
        <v>154101124487</v>
      </c>
      <c r="L1590" t="str">
        <f t="shared" si="664"/>
        <v>04-08-2020</v>
      </c>
      <c r="M1590" t="str">
        <f t="shared" si="664"/>
        <v>04-08-2020</v>
      </c>
      <c r="N1590" t="str">
        <f t="shared" si="642"/>
        <v>001105018356</v>
      </c>
      <c r="O1590" t="str">
        <f t="shared" si="643"/>
        <v>MYR</v>
      </c>
      <c r="P1590" t="str">
        <f t="shared" si="665"/>
        <v>NIL</v>
      </c>
      <c r="Q1590" t="str">
        <f t="shared" si="665"/>
        <v>NIL</v>
      </c>
      <c r="R1590" t="str">
        <f t="shared" si="644"/>
        <v>Accepted</v>
      </c>
      <c r="S1590" t="str">
        <f t="shared" si="645"/>
        <v>Approved</v>
      </c>
      <c r="T1590" t="str">
        <f t="shared" si="646"/>
        <v>10.20.8.188</v>
      </c>
      <c r="U1590" t="str">
        <f t="shared" si="647"/>
        <v>AZRAD UMAR BIN SHAARI</v>
      </c>
      <c r="V1590" t="str">
        <f t="shared" si="648"/>
        <v>FARHANA BINTI MUSTAPA</v>
      </c>
      <c r="W1590" t="str">
        <f t="shared" si="649"/>
        <v>04-08-2020</v>
      </c>
      <c r="X1590" t="str">
        <f t="shared" si="650"/>
        <v>RAZIMAH ANSAR AHMAD</v>
      </c>
      <c r="Y1590" t="str">
        <f t="shared" si="651"/>
        <v>04-08-2020</v>
      </c>
      <c r="Z1590" t="str">
        <f>"COS10200804 7564"</f>
        <v>COS10200804 7564</v>
      </c>
    </row>
    <row r="1591" spans="1:26" x14ac:dyDescent="0.25">
      <c r="A1591" t="str">
        <f t="shared" si="662"/>
        <v>04-08-2020 01:07:32</v>
      </c>
      <c r="B1591" t="str">
        <f>"0000809363"</f>
        <v>0000809363</v>
      </c>
      <c r="C1591" t="str">
        <f t="shared" si="663"/>
        <v>0000809200</v>
      </c>
      <c r="D1591" t="str">
        <f t="shared" si="639"/>
        <v>73185</v>
      </c>
      <c r="E1591" t="str">
        <f t="shared" si="640"/>
        <v>KFH-OPERATIONS DEPARTMENT</v>
      </c>
      <c r="F1591" t="str">
        <f t="shared" si="641"/>
        <v>IBG</v>
      </c>
      <c r="G1591" t="str">
        <f t="shared" si="656"/>
        <v>Refund COSHARE 10</v>
      </c>
      <c r="H1591" s="2">
        <v>151</v>
      </c>
      <c r="I1591" t="str">
        <f>"SITI SARIMAH BINTI NORHALIM"</f>
        <v>SITI SARIMAH BINTI NORHALIM</v>
      </c>
      <c r="J1591" t="str">
        <f t="shared" si="657"/>
        <v>MAYBANK / MAYBANK ISLAMIC</v>
      </c>
      <c r="K1591" t="str">
        <f>"162375660352"</f>
        <v>162375660352</v>
      </c>
      <c r="L1591" t="str">
        <f t="shared" si="664"/>
        <v>04-08-2020</v>
      </c>
      <c r="M1591" t="str">
        <f t="shared" si="664"/>
        <v>04-08-2020</v>
      </c>
      <c r="N1591" t="str">
        <f t="shared" si="642"/>
        <v>001105018356</v>
      </c>
      <c r="O1591" t="str">
        <f t="shared" si="643"/>
        <v>MYR</v>
      </c>
      <c r="P1591" t="str">
        <f t="shared" si="665"/>
        <v>NIL</v>
      </c>
      <c r="Q1591" t="str">
        <f t="shared" si="665"/>
        <v>NIL</v>
      </c>
      <c r="R1591" t="str">
        <f t="shared" si="644"/>
        <v>Accepted</v>
      </c>
      <c r="S1591" t="str">
        <f t="shared" si="645"/>
        <v>Approved</v>
      </c>
      <c r="T1591" t="str">
        <f t="shared" si="646"/>
        <v>10.20.8.188</v>
      </c>
      <c r="U1591" t="str">
        <f t="shared" si="647"/>
        <v>AZRAD UMAR BIN SHAARI</v>
      </c>
      <c r="V1591" t="str">
        <f t="shared" si="648"/>
        <v>FARHANA BINTI MUSTAPA</v>
      </c>
      <c r="W1591" t="str">
        <f t="shared" si="649"/>
        <v>04-08-2020</v>
      </c>
      <c r="X1591" t="str">
        <f t="shared" si="650"/>
        <v>RAZIMAH ANSAR AHMAD</v>
      </c>
      <c r="Y1591" t="str">
        <f t="shared" si="651"/>
        <v>04-08-2020</v>
      </c>
      <c r="Z1591" t="str">
        <f>"COS10200804 7563"</f>
        <v>COS10200804 7563</v>
      </c>
    </row>
    <row r="1592" spans="1:26" x14ac:dyDescent="0.25">
      <c r="A1592" t="str">
        <f t="shared" si="662"/>
        <v>04-08-2020 01:07:32</v>
      </c>
      <c r="B1592" t="str">
        <f>"0000809362"</f>
        <v>0000809362</v>
      </c>
      <c r="C1592" t="str">
        <f t="shared" si="663"/>
        <v>0000809200</v>
      </c>
      <c r="D1592" t="str">
        <f t="shared" si="639"/>
        <v>73185</v>
      </c>
      <c r="E1592" t="str">
        <f t="shared" si="640"/>
        <v>KFH-OPERATIONS DEPARTMENT</v>
      </c>
      <c r="F1592" t="str">
        <f t="shared" si="641"/>
        <v>IBG</v>
      </c>
      <c r="G1592" t="str">
        <f t="shared" si="656"/>
        <v>Refund COSHARE 10</v>
      </c>
      <c r="H1592" s="2">
        <v>629.65</v>
      </c>
      <c r="I1592" t="str">
        <f>"SITI SARAH BINTI MOHAMAD NASIR"</f>
        <v>SITI SARAH BINTI MOHAMAD NASIR</v>
      </c>
      <c r="J1592" t="str">
        <f t="shared" si="657"/>
        <v>MAYBANK / MAYBANK ISLAMIC</v>
      </c>
      <c r="K1592" t="str">
        <f>"151212771677"</f>
        <v>151212771677</v>
      </c>
      <c r="L1592" t="str">
        <f t="shared" si="664"/>
        <v>04-08-2020</v>
      </c>
      <c r="M1592" t="str">
        <f t="shared" si="664"/>
        <v>04-08-2020</v>
      </c>
      <c r="N1592" t="str">
        <f t="shared" si="642"/>
        <v>001105018356</v>
      </c>
      <c r="O1592" t="str">
        <f t="shared" si="643"/>
        <v>MYR</v>
      </c>
      <c r="P1592" t="str">
        <f t="shared" si="665"/>
        <v>NIL</v>
      </c>
      <c r="Q1592" t="str">
        <f t="shared" si="665"/>
        <v>NIL</v>
      </c>
      <c r="R1592" t="str">
        <f t="shared" si="644"/>
        <v>Accepted</v>
      </c>
      <c r="S1592" t="str">
        <f t="shared" si="645"/>
        <v>Approved</v>
      </c>
      <c r="T1592" t="str">
        <f t="shared" si="646"/>
        <v>10.20.8.188</v>
      </c>
      <c r="U1592" t="str">
        <f t="shared" si="647"/>
        <v>AZRAD UMAR BIN SHAARI</v>
      </c>
      <c r="V1592" t="str">
        <f t="shared" si="648"/>
        <v>FARHANA BINTI MUSTAPA</v>
      </c>
      <c r="W1592" t="str">
        <f t="shared" si="649"/>
        <v>04-08-2020</v>
      </c>
      <c r="X1592" t="str">
        <f t="shared" si="650"/>
        <v>RAZIMAH ANSAR AHMAD</v>
      </c>
      <c r="Y1592" t="str">
        <f t="shared" si="651"/>
        <v>04-08-2020</v>
      </c>
      <c r="Z1592" t="str">
        <f>"COS10200804 7562"</f>
        <v>COS10200804 7562</v>
      </c>
    </row>
    <row r="1593" spans="1:26" x14ac:dyDescent="0.25">
      <c r="A1593" t="str">
        <f t="shared" si="662"/>
        <v>04-08-2020 01:07:32</v>
      </c>
      <c r="B1593" t="str">
        <f>"0000809361"</f>
        <v>0000809361</v>
      </c>
      <c r="C1593" t="str">
        <f t="shared" si="663"/>
        <v>0000809200</v>
      </c>
      <c r="D1593" t="str">
        <f t="shared" si="639"/>
        <v>73185</v>
      </c>
      <c r="E1593" t="str">
        <f t="shared" si="640"/>
        <v>KFH-OPERATIONS DEPARTMENT</v>
      </c>
      <c r="F1593" t="str">
        <f t="shared" si="641"/>
        <v>IBG</v>
      </c>
      <c r="G1593" t="str">
        <f t="shared" si="656"/>
        <v>Refund COSHARE 10</v>
      </c>
      <c r="H1593" s="2">
        <v>251</v>
      </c>
      <c r="I1593" t="str">
        <f>"SITI SANNIRAH BINTI SAIMAN"</f>
        <v>SITI SANNIRAH BINTI SAIMAN</v>
      </c>
      <c r="J1593" t="str">
        <f t="shared" si="657"/>
        <v>MAYBANK / MAYBANK ISLAMIC</v>
      </c>
      <c r="K1593" t="str">
        <f>"160278007960"</f>
        <v>160278007960</v>
      </c>
      <c r="L1593" t="str">
        <f t="shared" si="664"/>
        <v>04-08-2020</v>
      </c>
      <c r="M1593" t="str">
        <f t="shared" si="664"/>
        <v>04-08-2020</v>
      </c>
      <c r="N1593" t="str">
        <f t="shared" si="642"/>
        <v>001105018356</v>
      </c>
      <c r="O1593" t="str">
        <f t="shared" si="643"/>
        <v>MYR</v>
      </c>
      <c r="P1593" t="str">
        <f t="shared" si="665"/>
        <v>NIL</v>
      </c>
      <c r="Q1593" t="str">
        <f t="shared" si="665"/>
        <v>NIL</v>
      </c>
      <c r="R1593" t="str">
        <f t="shared" si="644"/>
        <v>Accepted</v>
      </c>
      <c r="S1593" t="str">
        <f t="shared" si="645"/>
        <v>Approved</v>
      </c>
      <c r="T1593" t="str">
        <f t="shared" si="646"/>
        <v>10.20.8.188</v>
      </c>
      <c r="U1593" t="str">
        <f t="shared" si="647"/>
        <v>AZRAD UMAR BIN SHAARI</v>
      </c>
      <c r="V1593" t="str">
        <f t="shared" si="648"/>
        <v>FARHANA BINTI MUSTAPA</v>
      </c>
      <c r="W1593" t="str">
        <f t="shared" si="649"/>
        <v>04-08-2020</v>
      </c>
      <c r="X1593" t="str">
        <f t="shared" si="650"/>
        <v>RAZIMAH ANSAR AHMAD</v>
      </c>
      <c r="Y1593" t="str">
        <f t="shared" si="651"/>
        <v>04-08-2020</v>
      </c>
      <c r="Z1593" t="str">
        <f>"COS10200804 7561"</f>
        <v>COS10200804 7561</v>
      </c>
    </row>
    <row r="1594" spans="1:26" x14ac:dyDescent="0.25">
      <c r="A1594" t="str">
        <f t="shared" si="662"/>
        <v>04-08-2020 01:07:32</v>
      </c>
      <c r="B1594" t="str">
        <f>"0000809360"</f>
        <v>0000809360</v>
      </c>
      <c r="C1594" t="str">
        <f t="shared" si="663"/>
        <v>0000809200</v>
      </c>
      <c r="D1594" t="str">
        <f t="shared" si="639"/>
        <v>73185</v>
      </c>
      <c r="E1594" t="str">
        <f t="shared" si="640"/>
        <v>KFH-OPERATIONS DEPARTMENT</v>
      </c>
      <c r="F1594" t="str">
        <f t="shared" si="641"/>
        <v>IBG</v>
      </c>
      <c r="G1594" t="str">
        <f t="shared" si="656"/>
        <v>Refund COSHARE 10</v>
      </c>
      <c r="H1594" s="2">
        <v>887.05</v>
      </c>
      <c r="I1594" t="str">
        <f>"SITI SALWA BINTI HAJI GHAZALI"</f>
        <v>SITI SALWA BINTI HAJI GHAZALI</v>
      </c>
      <c r="J1594" t="str">
        <f t="shared" si="657"/>
        <v>MAYBANK / MAYBANK ISLAMIC</v>
      </c>
      <c r="K1594" t="str">
        <f>"162106309041"</f>
        <v>162106309041</v>
      </c>
      <c r="L1594" t="str">
        <f t="shared" si="664"/>
        <v>04-08-2020</v>
      </c>
      <c r="M1594" t="str">
        <f t="shared" si="664"/>
        <v>04-08-2020</v>
      </c>
      <c r="N1594" t="str">
        <f t="shared" si="642"/>
        <v>001105018356</v>
      </c>
      <c r="O1594" t="str">
        <f t="shared" si="643"/>
        <v>MYR</v>
      </c>
      <c r="P1594" t="str">
        <f t="shared" si="665"/>
        <v>NIL</v>
      </c>
      <c r="Q1594" t="str">
        <f t="shared" si="665"/>
        <v>NIL</v>
      </c>
      <c r="R1594" t="str">
        <f t="shared" si="644"/>
        <v>Accepted</v>
      </c>
      <c r="S1594" t="str">
        <f t="shared" si="645"/>
        <v>Approved</v>
      </c>
      <c r="T1594" t="str">
        <f t="shared" si="646"/>
        <v>10.20.8.188</v>
      </c>
      <c r="U1594" t="str">
        <f t="shared" si="647"/>
        <v>AZRAD UMAR BIN SHAARI</v>
      </c>
      <c r="V1594" t="str">
        <f t="shared" si="648"/>
        <v>FARHANA BINTI MUSTAPA</v>
      </c>
      <c r="W1594" t="str">
        <f t="shared" si="649"/>
        <v>04-08-2020</v>
      </c>
      <c r="X1594" t="str">
        <f t="shared" si="650"/>
        <v>RAZIMAH ANSAR AHMAD</v>
      </c>
      <c r="Y1594" t="str">
        <f t="shared" si="651"/>
        <v>04-08-2020</v>
      </c>
      <c r="Z1594" t="str">
        <f>"COS10200804 7560"</f>
        <v>COS10200804 7560</v>
      </c>
    </row>
    <row r="1595" spans="1:26" x14ac:dyDescent="0.25">
      <c r="A1595" t="str">
        <f t="shared" si="662"/>
        <v>04-08-2020 01:07:32</v>
      </c>
      <c r="B1595" t="str">
        <f>"0000809359"</f>
        <v>0000809359</v>
      </c>
      <c r="C1595" t="str">
        <f t="shared" si="663"/>
        <v>0000809200</v>
      </c>
      <c r="D1595" t="str">
        <f t="shared" si="639"/>
        <v>73185</v>
      </c>
      <c r="E1595" t="str">
        <f t="shared" si="640"/>
        <v>KFH-OPERATIONS DEPARTMENT</v>
      </c>
      <c r="F1595" t="str">
        <f t="shared" si="641"/>
        <v>IBG</v>
      </c>
      <c r="G1595" t="str">
        <f t="shared" si="656"/>
        <v>Refund COSHARE 10</v>
      </c>
      <c r="H1595" s="2">
        <v>75.599999999999994</v>
      </c>
      <c r="I1595" t="str">
        <f>"SITI SALMAH BINTI SHEIKH MAHMUD"</f>
        <v>SITI SALMAH BINTI SHEIKH MAHMUD</v>
      </c>
      <c r="J1595" t="str">
        <f t="shared" si="657"/>
        <v>MAYBANK / MAYBANK ISLAMIC</v>
      </c>
      <c r="K1595" t="str">
        <f>"105046609540"</f>
        <v>105046609540</v>
      </c>
      <c r="L1595" t="str">
        <f t="shared" si="664"/>
        <v>04-08-2020</v>
      </c>
      <c r="M1595" t="str">
        <f t="shared" si="664"/>
        <v>04-08-2020</v>
      </c>
      <c r="N1595" t="str">
        <f t="shared" si="642"/>
        <v>001105018356</v>
      </c>
      <c r="O1595" t="str">
        <f t="shared" si="643"/>
        <v>MYR</v>
      </c>
      <c r="P1595" t="str">
        <f t="shared" si="665"/>
        <v>NIL</v>
      </c>
      <c r="Q1595" t="str">
        <f t="shared" si="665"/>
        <v>NIL</v>
      </c>
      <c r="R1595" t="str">
        <f t="shared" si="644"/>
        <v>Accepted</v>
      </c>
      <c r="S1595" t="str">
        <f t="shared" si="645"/>
        <v>Approved</v>
      </c>
      <c r="T1595" t="str">
        <f t="shared" si="646"/>
        <v>10.20.8.188</v>
      </c>
      <c r="U1595" t="str">
        <f t="shared" si="647"/>
        <v>AZRAD UMAR BIN SHAARI</v>
      </c>
      <c r="V1595" t="str">
        <f t="shared" si="648"/>
        <v>FARHANA BINTI MUSTAPA</v>
      </c>
      <c r="W1595" t="str">
        <f t="shared" si="649"/>
        <v>04-08-2020</v>
      </c>
      <c r="X1595" t="str">
        <f t="shared" si="650"/>
        <v>RAZIMAH ANSAR AHMAD</v>
      </c>
      <c r="Y1595" t="str">
        <f t="shared" si="651"/>
        <v>04-08-2020</v>
      </c>
      <c r="Z1595" t="str">
        <f>"COS10200804 7559"</f>
        <v>COS10200804 7559</v>
      </c>
    </row>
    <row r="1596" spans="1:26" x14ac:dyDescent="0.25">
      <c r="A1596" t="str">
        <f t="shared" si="662"/>
        <v>04-08-2020 01:07:32</v>
      </c>
      <c r="B1596" t="str">
        <f>"0000809358"</f>
        <v>0000809358</v>
      </c>
      <c r="C1596" t="str">
        <f t="shared" si="663"/>
        <v>0000809200</v>
      </c>
      <c r="D1596" t="str">
        <f t="shared" si="639"/>
        <v>73185</v>
      </c>
      <c r="E1596" t="str">
        <f t="shared" si="640"/>
        <v>KFH-OPERATIONS DEPARTMENT</v>
      </c>
      <c r="F1596" t="str">
        <f t="shared" si="641"/>
        <v>IBG</v>
      </c>
      <c r="G1596" t="str">
        <f t="shared" si="656"/>
        <v>Refund COSHARE 10</v>
      </c>
      <c r="H1596" s="2">
        <v>117.55</v>
      </c>
      <c r="I1596" t="str">
        <f>"SITI SAKIMAH BINTI HUSSAIN"</f>
        <v>SITI SAKIMAH BINTI HUSSAIN</v>
      </c>
      <c r="J1596" t="str">
        <f t="shared" si="657"/>
        <v>MAYBANK / MAYBANK ISLAMIC</v>
      </c>
      <c r="K1596" t="str">
        <f>"162021392910"</f>
        <v>162021392910</v>
      </c>
      <c r="L1596" t="str">
        <f t="shared" si="664"/>
        <v>04-08-2020</v>
      </c>
      <c r="M1596" t="str">
        <f t="shared" si="664"/>
        <v>04-08-2020</v>
      </c>
      <c r="N1596" t="str">
        <f t="shared" si="642"/>
        <v>001105018356</v>
      </c>
      <c r="O1596" t="str">
        <f t="shared" si="643"/>
        <v>MYR</v>
      </c>
      <c r="P1596" t="str">
        <f t="shared" si="665"/>
        <v>NIL</v>
      </c>
      <c r="Q1596" t="str">
        <f t="shared" si="665"/>
        <v>NIL</v>
      </c>
      <c r="R1596" t="str">
        <f t="shared" si="644"/>
        <v>Accepted</v>
      </c>
      <c r="S1596" t="str">
        <f t="shared" si="645"/>
        <v>Approved</v>
      </c>
      <c r="T1596" t="str">
        <f t="shared" si="646"/>
        <v>10.20.8.188</v>
      </c>
      <c r="U1596" t="str">
        <f t="shared" si="647"/>
        <v>AZRAD UMAR BIN SHAARI</v>
      </c>
      <c r="V1596" t="str">
        <f t="shared" si="648"/>
        <v>FARHANA BINTI MUSTAPA</v>
      </c>
      <c r="W1596" t="str">
        <f t="shared" si="649"/>
        <v>04-08-2020</v>
      </c>
      <c r="X1596" t="str">
        <f t="shared" si="650"/>
        <v>RAZIMAH ANSAR AHMAD</v>
      </c>
      <c r="Y1596" t="str">
        <f t="shared" si="651"/>
        <v>04-08-2020</v>
      </c>
      <c r="Z1596" t="str">
        <f>"COS10200804 7558"</f>
        <v>COS10200804 7558</v>
      </c>
    </row>
    <row r="1597" spans="1:26" x14ac:dyDescent="0.25">
      <c r="A1597" t="str">
        <f t="shared" si="662"/>
        <v>04-08-2020 01:07:32</v>
      </c>
      <c r="B1597" t="str">
        <f>"0000809357"</f>
        <v>0000809357</v>
      </c>
      <c r="C1597" t="str">
        <f t="shared" si="663"/>
        <v>0000809200</v>
      </c>
      <c r="D1597" t="str">
        <f t="shared" si="639"/>
        <v>73185</v>
      </c>
      <c r="E1597" t="str">
        <f t="shared" si="640"/>
        <v>KFH-OPERATIONS DEPARTMENT</v>
      </c>
      <c r="F1597" t="str">
        <f t="shared" si="641"/>
        <v>IBG</v>
      </c>
      <c r="G1597" t="str">
        <f t="shared" si="656"/>
        <v>Refund COSHARE 10</v>
      </c>
      <c r="H1597" s="2">
        <v>1063</v>
      </c>
      <c r="I1597" t="str">
        <f>"SITI SAFIAH BINTI MOHD REDUAN"</f>
        <v>SITI SAFIAH BINTI MOHD REDUAN</v>
      </c>
      <c r="J1597" t="str">
        <f t="shared" si="657"/>
        <v>MAYBANK / MAYBANK ISLAMIC</v>
      </c>
      <c r="K1597" t="str">
        <f>"164490026539"</f>
        <v>164490026539</v>
      </c>
      <c r="L1597" t="str">
        <f t="shared" si="664"/>
        <v>04-08-2020</v>
      </c>
      <c r="M1597" t="str">
        <f t="shared" si="664"/>
        <v>04-08-2020</v>
      </c>
      <c r="N1597" t="str">
        <f t="shared" si="642"/>
        <v>001105018356</v>
      </c>
      <c r="O1597" t="str">
        <f t="shared" si="643"/>
        <v>MYR</v>
      </c>
      <c r="P1597" t="str">
        <f t="shared" si="665"/>
        <v>NIL</v>
      </c>
      <c r="Q1597" t="str">
        <f t="shared" si="665"/>
        <v>NIL</v>
      </c>
      <c r="R1597" t="str">
        <f t="shared" si="644"/>
        <v>Accepted</v>
      </c>
      <c r="S1597" t="str">
        <f t="shared" si="645"/>
        <v>Approved</v>
      </c>
      <c r="T1597" t="str">
        <f t="shared" si="646"/>
        <v>10.20.8.188</v>
      </c>
      <c r="U1597" t="str">
        <f t="shared" si="647"/>
        <v>AZRAD UMAR BIN SHAARI</v>
      </c>
      <c r="V1597" t="str">
        <f t="shared" si="648"/>
        <v>FARHANA BINTI MUSTAPA</v>
      </c>
      <c r="W1597" t="str">
        <f t="shared" si="649"/>
        <v>04-08-2020</v>
      </c>
      <c r="X1597" t="str">
        <f t="shared" si="650"/>
        <v>RAZIMAH ANSAR AHMAD</v>
      </c>
      <c r="Y1597" t="str">
        <f t="shared" si="651"/>
        <v>04-08-2020</v>
      </c>
      <c r="Z1597" t="str">
        <f>"COS10200804 7557"</f>
        <v>COS10200804 7557</v>
      </c>
    </row>
    <row r="1598" spans="1:26" x14ac:dyDescent="0.25">
      <c r="A1598" t="str">
        <f t="shared" si="662"/>
        <v>04-08-2020 01:07:32</v>
      </c>
      <c r="B1598" t="str">
        <f>"0000809356"</f>
        <v>0000809356</v>
      </c>
      <c r="C1598" t="str">
        <f t="shared" si="663"/>
        <v>0000809200</v>
      </c>
      <c r="D1598" t="str">
        <f t="shared" si="639"/>
        <v>73185</v>
      </c>
      <c r="E1598" t="str">
        <f t="shared" si="640"/>
        <v>KFH-OPERATIONS DEPARTMENT</v>
      </c>
      <c r="F1598" t="str">
        <f t="shared" si="641"/>
        <v>IBG</v>
      </c>
      <c r="G1598" t="str">
        <f t="shared" si="656"/>
        <v>Refund COSHARE 10</v>
      </c>
      <c r="H1598" s="2">
        <v>58.8</v>
      </c>
      <c r="I1598" t="str">
        <f>"SITI SABENA BINTI ABDUL HAMID"</f>
        <v>SITI SABENA BINTI ABDUL HAMID</v>
      </c>
      <c r="J1598" t="str">
        <f t="shared" si="657"/>
        <v>MAYBANK / MAYBANK ISLAMIC</v>
      </c>
      <c r="K1598" t="str">
        <f>"116015011166"</f>
        <v>116015011166</v>
      </c>
      <c r="L1598" t="str">
        <f t="shared" si="664"/>
        <v>04-08-2020</v>
      </c>
      <c r="M1598" t="str">
        <f t="shared" si="664"/>
        <v>04-08-2020</v>
      </c>
      <c r="N1598" t="str">
        <f t="shared" si="642"/>
        <v>001105018356</v>
      </c>
      <c r="O1598" t="str">
        <f t="shared" si="643"/>
        <v>MYR</v>
      </c>
      <c r="P1598" t="str">
        <f t="shared" si="665"/>
        <v>NIL</v>
      </c>
      <c r="Q1598" t="str">
        <f t="shared" si="665"/>
        <v>NIL</v>
      </c>
      <c r="R1598" t="str">
        <f t="shared" si="644"/>
        <v>Accepted</v>
      </c>
      <c r="S1598" t="str">
        <f t="shared" si="645"/>
        <v>Approved</v>
      </c>
      <c r="T1598" t="str">
        <f t="shared" si="646"/>
        <v>10.20.8.188</v>
      </c>
      <c r="U1598" t="str">
        <f t="shared" si="647"/>
        <v>AZRAD UMAR BIN SHAARI</v>
      </c>
      <c r="V1598" t="str">
        <f t="shared" si="648"/>
        <v>FARHANA BINTI MUSTAPA</v>
      </c>
      <c r="W1598" t="str">
        <f t="shared" si="649"/>
        <v>04-08-2020</v>
      </c>
      <c r="X1598" t="str">
        <f t="shared" si="650"/>
        <v>RAZIMAH ANSAR AHMAD</v>
      </c>
      <c r="Y1598" t="str">
        <f t="shared" si="651"/>
        <v>04-08-2020</v>
      </c>
      <c r="Z1598" t="str">
        <f>"COS10200804 7556"</f>
        <v>COS10200804 7556</v>
      </c>
    </row>
    <row r="1599" spans="1:26" x14ac:dyDescent="0.25">
      <c r="A1599" t="str">
        <f t="shared" si="662"/>
        <v>04-08-2020 01:07:32</v>
      </c>
      <c r="B1599" t="str">
        <f>"0000809355"</f>
        <v>0000809355</v>
      </c>
      <c r="C1599" t="str">
        <f t="shared" si="663"/>
        <v>0000809200</v>
      </c>
      <c r="D1599" t="str">
        <f t="shared" si="639"/>
        <v>73185</v>
      </c>
      <c r="E1599" t="str">
        <f t="shared" si="640"/>
        <v>KFH-OPERATIONS DEPARTMENT</v>
      </c>
      <c r="F1599" t="str">
        <f t="shared" si="641"/>
        <v>IBG</v>
      </c>
      <c r="G1599" t="str">
        <f t="shared" si="656"/>
        <v>Refund COSHARE 10</v>
      </c>
      <c r="H1599" s="2">
        <v>780.75</v>
      </c>
      <c r="I1599" t="str">
        <f>"SITI SABARIAH BINTI AHMAD"</f>
        <v>SITI SABARIAH BINTI AHMAD</v>
      </c>
      <c r="J1599" t="str">
        <f t="shared" si="657"/>
        <v>MAYBANK / MAYBANK ISLAMIC</v>
      </c>
      <c r="K1599" t="str">
        <f>"112193050297"</f>
        <v>112193050297</v>
      </c>
      <c r="L1599" t="str">
        <f t="shared" si="664"/>
        <v>04-08-2020</v>
      </c>
      <c r="M1599" t="str">
        <f t="shared" si="664"/>
        <v>04-08-2020</v>
      </c>
      <c r="N1599" t="str">
        <f t="shared" si="642"/>
        <v>001105018356</v>
      </c>
      <c r="O1599" t="str">
        <f t="shared" si="643"/>
        <v>MYR</v>
      </c>
      <c r="P1599" t="str">
        <f t="shared" si="665"/>
        <v>NIL</v>
      </c>
      <c r="Q1599" t="str">
        <f t="shared" si="665"/>
        <v>NIL</v>
      </c>
      <c r="R1599" t="str">
        <f t="shared" si="644"/>
        <v>Accepted</v>
      </c>
      <c r="S1599" t="str">
        <f t="shared" si="645"/>
        <v>Approved</v>
      </c>
      <c r="T1599" t="str">
        <f t="shared" si="646"/>
        <v>10.20.8.188</v>
      </c>
      <c r="U1599" t="str">
        <f t="shared" si="647"/>
        <v>AZRAD UMAR BIN SHAARI</v>
      </c>
      <c r="V1599" t="str">
        <f t="shared" si="648"/>
        <v>FARHANA BINTI MUSTAPA</v>
      </c>
      <c r="W1599" t="str">
        <f t="shared" si="649"/>
        <v>04-08-2020</v>
      </c>
      <c r="X1599" t="str">
        <f t="shared" si="650"/>
        <v>RAZIMAH ANSAR AHMAD</v>
      </c>
      <c r="Y1599" t="str">
        <f t="shared" si="651"/>
        <v>04-08-2020</v>
      </c>
      <c r="Z1599" t="str">
        <f>"COS10200804 7555"</f>
        <v>COS10200804 7555</v>
      </c>
    </row>
    <row r="1600" spans="1:26" x14ac:dyDescent="0.25">
      <c r="A1600" t="str">
        <f t="shared" si="662"/>
        <v>04-08-2020 01:07:32</v>
      </c>
      <c r="B1600" t="str">
        <f>"0000809354"</f>
        <v>0000809354</v>
      </c>
      <c r="C1600" t="str">
        <f t="shared" si="663"/>
        <v>0000809200</v>
      </c>
      <c r="D1600" t="str">
        <f t="shared" si="639"/>
        <v>73185</v>
      </c>
      <c r="E1600" t="str">
        <f t="shared" si="640"/>
        <v>KFH-OPERATIONS DEPARTMENT</v>
      </c>
      <c r="F1600" t="str">
        <f t="shared" si="641"/>
        <v>IBG</v>
      </c>
      <c r="G1600" t="str">
        <f t="shared" si="656"/>
        <v>Refund COSHARE 10</v>
      </c>
      <c r="H1600" s="2">
        <v>193.1</v>
      </c>
      <c r="I1600" t="str">
        <f>"SITI SAADAH BINTI MOHAMAD"</f>
        <v>SITI SAADAH BINTI MOHAMAD</v>
      </c>
      <c r="J1600" t="str">
        <f t="shared" si="657"/>
        <v>MAYBANK / MAYBANK ISLAMIC</v>
      </c>
      <c r="K1600" t="str">
        <f>"101302009838"</f>
        <v>101302009838</v>
      </c>
      <c r="L1600" t="str">
        <f t="shared" si="664"/>
        <v>04-08-2020</v>
      </c>
      <c r="M1600" t="str">
        <f t="shared" si="664"/>
        <v>04-08-2020</v>
      </c>
      <c r="N1600" t="str">
        <f t="shared" si="642"/>
        <v>001105018356</v>
      </c>
      <c r="O1600" t="str">
        <f t="shared" si="643"/>
        <v>MYR</v>
      </c>
      <c r="P1600" t="str">
        <f t="shared" si="665"/>
        <v>NIL</v>
      </c>
      <c r="Q1600" t="str">
        <f t="shared" si="665"/>
        <v>NIL</v>
      </c>
      <c r="R1600" t="str">
        <f t="shared" si="644"/>
        <v>Accepted</v>
      </c>
      <c r="S1600" t="str">
        <f t="shared" si="645"/>
        <v>Approved</v>
      </c>
      <c r="T1600" t="str">
        <f t="shared" si="646"/>
        <v>10.20.8.188</v>
      </c>
      <c r="U1600" t="str">
        <f t="shared" si="647"/>
        <v>AZRAD UMAR BIN SHAARI</v>
      </c>
      <c r="V1600" t="str">
        <f t="shared" si="648"/>
        <v>FARHANA BINTI MUSTAPA</v>
      </c>
      <c r="W1600" t="str">
        <f t="shared" si="649"/>
        <v>04-08-2020</v>
      </c>
      <c r="X1600" t="str">
        <f t="shared" si="650"/>
        <v>RAZIMAH ANSAR AHMAD</v>
      </c>
      <c r="Y1600" t="str">
        <f t="shared" si="651"/>
        <v>04-08-2020</v>
      </c>
      <c r="Z1600" t="str">
        <f>"COS10200804 7554"</f>
        <v>COS10200804 7554</v>
      </c>
    </row>
    <row r="1601" spans="1:26" x14ac:dyDescent="0.25">
      <c r="A1601" t="str">
        <f t="shared" si="662"/>
        <v>04-08-2020 01:07:32</v>
      </c>
      <c r="B1601" t="str">
        <f>"0000809353"</f>
        <v>0000809353</v>
      </c>
      <c r="C1601" t="str">
        <f t="shared" si="663"/>
        <v>0000809200</v>
      </c>
      <c r="D1601" t="str">
        <f t="shared" si="639"/>
        <v>73185</v>
      </c>
      <c r="E1601" t="str">
        <f t="shared" si="640"/>
        <v>KFH-OPERATIONS DEPARTMENT</v>
      </c>
      <c r="F1601" t="str">
        <f t="shared" si="641"/>
        <v>IBG</v>
      </c>
      <c r="G1601" t="str">
        <f t="shared" si="656"/>
        <v>Refund COSHARE 10</v>
      </c>
      <c r="H1601" s="2">
        <v>167.9</v>
      </c>
      <c r="I1601" t="str">
        <f>"SITI ROZILAH BINTI YAHYA"</f>
        <v>SITI ROZILAH BINTI YAHYA</v>
      </c>
      <c r="J1601" t="str">
        <f t="shared" si="657"/>
        <v>MAYBANK / MAYBANK ISLAMIC</v>
      </c>
      <c r="K1601" t="str">
        <f>"162348512452"</f>
        <v>162348512452</v>
      </c>
      <c r="L1601" t="str">
        <f t="shared" si="664"/>
        <v>04-08-2020</v>
      </c>
      <c r="M1601" t="str">
        <f t="shared" si="664"/>
        <v>04-08-2020</v>
      </c>
      <c r="N1601" t="str">
        <f t="shared" si="642"/>
        <v>001105018356</v>
      </c>
      <c r="O1601" t="str">
        <f t="shared" si="643"/>
        <v>MYR</v>
      </c>
      <c r="P1601" t="str">
        <f t="shared" si="665"/>
        <v>NIL</v>
      </c>
      <c r="Q1601" t="str">
        <f t="shared" si="665"/>
        <v>NIL</v>
      </c>
      <c r="R1601" t="str">
        <f t="shared" si="644"/>
        <v>Accepted</v>
      </c>
      <c r="S1601" t="str">
        <f t="shared" si="645"/>
        <v>Approved</v>
      </c>
      <c r="T1601" t="str">
        <f t="shared" si="646"/>
        <v>10.20.8.188</v>
      </c>
      <c r="U1601" t="str">
        <f t="shared" si="647"/>
        <v>AZRAD UMAR BIN SHAARI</v>
      </c>
      <c r="V1601" t="str">
        <f t="shared" si="648"/>
        <v>FARHANA BINTI MUSTAPA</v>
      </c>
      <c r="W1601" t="str">
        <f t="shared" si="649"/>
        <v>04-08-2020</v>
      </c>
      <c r="X1601" t="str">
        <f t="shared" si="650"/>
        <v>RAZIMAH ANSAR AHMAD</v>
      </c>
      <c r="Y1601" t="str">
        <f t="shared" si="651"/>
        <v>04-08-2020</v>
      </c>
      <c r="Z1601" t="str">
        <f>"COS10200804 7553"</f>
        <v>COS10200804 7553</v>
      </c>
    </row>
    <row r="1602" spans="1:26" x14ac:dyDescent="0.25">
      <c r="A1602" t="str">
        <f t="shared" si="662"/>
        <v>04-08-2020 01:07:32</v>
      </c>
      <c r="B1602" t="str">
        <f>"0000809352"</f>
        <v>0000809352</v>
      </c>
      <c r="C1602" t="str">
        <f t="shared" si="663"/>
        <v>0000809200</v>
      </c>
      <c r="D1602" t="str">
        <f t="shared" si="639"/>
        <v>73185</v>
      </c>
      <c r="E1602" t="str">
        <f t="shared" si="640"/>
        <v>KFH-OPERATIONS DEPARTMENT</v>
      </c>
      <c r="F1602" t="str">
        <f t="shared" si="641"/>
        <v>IBG</v>
      </c>
      <c r="G1602" t="str">
        <f t="shared" si="656"/>
        <v>Refund COSHARE 10</v>
      </c>
      <c r="H1602" s="2">
        <v>680</v>
      </c>
      <c r="I1602" t="str">
        <f>"SITI ROHASIKIN BINTI PARJAM"</f>
        <v>SITI ROHASIKIN BINTI PARJAM</v>
      </c>
      <c r="J1602" t="str">
        <f t="shared" si="657"/>
        <v>MAYBANK / MAYBANK ISLAMIC</v>
      </c>
      <c r="K1602" t="str">
        <f>"162777079522"</f>
        <v>162777079522</v>
      </c>
      <c r="L1602" t="str">
        <f t="shared" si="664"/>
        <v>04-08-2020</v>
      </c>
      <c r="M1602" t="str">
        <f t="shared" si="664"/>
        <v>04-08-2020</v>
      </c>
      <c r="N1602" t="str">
        <f t="shared" si="642"/>
        <v>001105018356</v>
      </c>
      <c r="O1602" t="str">
        <f t="shared" si="643"/>
        <v>MYR</v>
      </c>
      <c r="P1602" t="str">
        <f t="shared" si="665"/>
        <v>NIL</v>
      </c>
      <c r="Q1602" t="str">
        <f t="shared" si="665"/>
        <v>NIL</v>
      </c>
      <c r="R1602" t="str">
        <f t="shared" si="644"/>
        <v>Accepted</v>
      </c>
      <c r="S1602" t="str">
        <f t="shared" si="645"/>
        <v>Approved</v>
      </c>
      <c r="T1602" t="str">
        <f t="shared" si="646"/>
        <v>10.20.8.188</v>
      </c>
      <c r="U1602" t="str">
        <f t="shared" si="647"/>
        <v>AZRAD UMAR BIN SHAARI</v>
      </c>
      <c r="V1602" t="str">
        <f t="shared" si="648"/>
        <v>FARHANA BINTI MUSTAPA</v>
      </c>
      <c r="W1602" t="str">
        <f t="shared" si="649"/>
        <v>04-08-2020</v>
      </c>
      <c r="X1602" t="str">
        <f t="shared" si="650"/>
        <v>RAZIMAH ANSAR AHMAD</v>
      </c>
      <c r="Y1602" t="str">
        <f t="shared" si="651"/>
        <v>04-08-2020</v>
      </c>
      <c r="Z1602" t="str">
        <f>"COS10200804 7552"</f>
        <v>COS10200804 7552</v>
      </c>
    </row>
    <row r="1603" spans="1:26" x14ac:dyDescent="0.25">
      <c r="A1603" t="str">
        <f t="shared" si="662"/>
        <v>04-08-2020 01:07:32</v>
      </c>
      <c r="B1603" t="str">
        <f>"0000809351"</f>
        <v>0000809351</v>
      </c>
      <c r="C1603" t="str">
        <f t="shared" si="663"/>
        <v>0000809200</v>
      </c>
      <c r="D1603" t="str">
        <f t="shared" si="639"/>
        <v>73185</v>
      </c>
      <c r="E1603" t="str">
        <f t="shared" si="640"/>
        <v>KFH-OPERATIONS DEPARTMENT</v>
      </c>
      <c r="F1603" t="str">
        <f t="shared" si="641"/>
        <v>IBG</v>
      </c>
      <c r="G1603" t="str">
        <f t="shared" si="656"/>
        <v>Refund COSHARE 10</v>
      </c>
      <c r="H1603" s="2">
        <v>180</v>
      </c>
      <c r="I1603" t="str">
        <f>"SITI RASHIDAH BINTI ABDUL WAHAB"</f>
        <v>SITI RASHIDAH BINTI ABDUL WAHAB</v>
      </c>
      <c r="J1603" t="str">
        <f t="shared" si="657"/>
        <v>MAYBANK / MAYBANK ISLAMIC</v>
      </c>
      <c r="K1603" t="str">
        <f>"112026477040"</f>
        <v>112026477040</v>
      </c>
      <c r="L1603" t="str">
        <f t="shared" si="664"/>
        <v>04-08-2020</v>
      </c>
      <c r="M1603" t="str">
        <f t="shared" si="664"/>
        <v>04-08-2020</v>
      </c>
      <c r="N1603" t="str">
        <f t="shared" si="642"/>
        <v>001105018356</v>
      </c>
      <c r="O1603" t="str">
        <f t="shared" si="643"/>
        <v>MYR</v>
      </c>
      <c r="P1603" t="str">
        <f t="shared" si="665"/>
        <v>NIL</v>
      </c>
      <c r="Q1603" t="str">
        <f t="shared" si="665"/>
        <v>NIL</v>
      </c>
      <c r="R1603" t="str">
        <f t="shared" si="644"/>
        <v>Accepted</v>
      </c>
      <c r="S1603" t="str">
        <f t="shared" si="645"/>
        <v>Approved</v>
      </c>
      <c r="T1603" t="str">
        <f t="shared" si="646"/>
        <v>10.20.8.188</v>
      </c>
      <c r="U1603" t="str">
        <f t="shared" si="647"/>
        <v>AZRAD UMAR BIN SHAARI</v>
      </c>
      <c r="V1603" t="str">
        <f t="shared" si="648"/>
        <v>FARHANA BINTI MUSTAPA</v>
      </c>
      <c r="W1603" t="str">
        <f t="shared" si="649"/>
        <v>04-08-2020</v>
      </c>
      <c r="X1603" t="str">
        <f t="shared" si="650"/>
        <v>RAZIMAH ANSAR AHMAD</v>
      </c>
      <c r="Y1603" t="str">
        <f t="shared" si="651"/>
        <v>04-08-2020</v>
      </c>
      <c r="Z1603" t="str">
        <f>"COS10200804 7551"</f>
        <v>COS10200804 7551</v>
      </c>
    </row>
    <row r="1604" spans="1:26" x14ac:dyDescent="0.25">
      <c r="A1604" t="str">
        <f t="shared" si="662"/>
        <v>04-08-2020 01:07:32</v>
      </c>
      <c r="B1604" t="str">
        <f>"0000809350"</f>
        <v>0000809350</v>
      </c>
      <c r="C1604" t="str">
        <f t="shared" si="663"/>
        <v>0000809200</v>
      </c>
      <c r="D1604" t="str">
        <f t="shared" si="639"/>
        <v>73185</v>
      </c>
      <c r="E1604" t="str">
        <f t="shared" si="640"/>
        <v>KFH-OPERATIONS DEPARTMENT</v>
      </c>
      <c r="F1604" t="str">
        <f t="shared" si="641"/>
        <v>IBG</v>
      </c>
      <c r="G1604" t="str">
        <f t="shared" si="656"/>
        <v>Refund COSHARE 10</v>
      </c>
      <c r="H1604" s="2">
        <v>83.95</v>
      </c>
      <c r="I1604" t="str">
        <f>"SITI RAHIAH BINTI ABRAR"</f>
        <v>SITI RAHIAH BINTI ABRAR</v>
      </c>
      <c r="J1604" t="str">
        <f t="shared" si="657"/>
        <v>MAYBANK / MAYBANK ISLAMIC</v>
      </c>
      <c r="K1604" t="str">
        <f>"162143011292"</f>
        <v>162143011292</v>
      </c>
      <c r="L1604" t="str">
        <f t="shared" si="664"/>
        <v>04-08-2020</v>
      </c>
      <c r="M1604" t="str">
        <f t="shared" si="664"/>
        <v>04-08-2020</v>
      </c>
      <c r="N1604" t="str">
        <f t="shared" si="642"/>
        <v>001105018356</v>
      </c>
      <c r="O1604" t="str">
        <f t="shared" si="643"/>
        <v>MYR</v>
      </c>
      <c r="P1604" t="str">
        <f t="shared" si="665"/>
        <v>NIL</v>
      </c>
      <c r="Q1604" t="str">
        <f t="shared" si="665"/>
        <v>NIL</v>
      </c>
      <c r="R1604" t="str">
        <f t="shared" si="644"/>
        <v>Accepted</v>
      </c>
      <c r="S1604" t="str">
        <f t="shared" si="645"/>
        <v>Approved</v>
      </c>
      <c r="T1604" t="str">
        <f t="shared" si="646"/>
        <v>10.20.8.188</v>
      </c>
      <c r="U1604" t="str">
        <f t="shared" si="647"/>
        <v>AZRAD UMAR BIN SHAARI</v>
      </c>
      <c r="V1604" t="str">
        <f t="shared" si="648"/>
        <v>FARHANA BINTI MUSTAPA</v>
      </c>
      <c r="W1604" t="str">
        <f t="shared" si="649"/>
        <v>04-08-2020</v>
      </c>
      <c r="X1604" t="str">
        <f t="shared" si="650"/>
        <v>RAZIMAH ANSAR AHMAD</v>
      </c>
      <c r="Y1604" t="str">
        <f t="shared" si="651"/>
        <v>04-08-2020</v>
      </c>
      <c r="Z1604" t="str">
        <f>"COS10200804 7550"</f>
        <v>COS10200804 7550</v>
      </c>
    </row>
    <row r="1605" spans="1:26" x14ac:dyDescent="0.25">
      <c r="A1605" t="str">
        <f t="shared" si="662"/>
        <v>04-08-2020 01:07:32</v>
      </c>
      <c r="B1605" t="str">
        <f>"0000809349"</f>
        <v>0000809349</v>
      </c>
      <c r="C1605" t="str">
        <f t="shared" si="663"/>
        <v>0000809200</v>
      </c>
      <c r="D1605" t="str">
        <f t="shared" si="639"/>
        <v>73185</v>
      </c>
      <c r="E1605" t="str">
        <f t="shared" si="640"/>
        <v>KFH-OPERATIONS DEPARTMENT</v>
      </c>
      <c r="F1605" t="str">
        <f t="shared" si="641"/>
        <v>IBG</v>
      </c>
      <c r="G1605" t="str">
        <f t="shared" si="656"/>
        <v>Refund COSHARE 10</v>
      </c>
      <c r="H1605" s="2">
        <v>419.75</v>
      </c>
      <c r="I1605" t="str">
        <f>"SITI RAHAYU BINTI MOHAMMAD YOS"</f>
        <v>SITI RAHAYU BINTI MOHAMMAD YOS</v>
      </c>
      <c r="J1605" t="str">
        <f t="shared" si="657"/>
        <v>MAYBANK / MAYBANK ISLAMIC</v>
      </c>
      <c r="K1605" t="str">
        <f>"162058717899"</f>
        <v>162058717899</v>
      </c>
      <c r="L1605" t="str">
        <f t="shared" si="664"/>
        <v>04-08-2020</v>
      </c>
      <c r="M1605" t="str">
        <f t="shared" si="664"/>
        <v>04-08-2020</v>
      </c>
      <c r="N1605" t="str">
        <f t="shared" si="642"/>
        <v>001105018356</v>
      </c>
      <c r="O1605" t="str">
        <f t="shared" si="643"/>
        <v>MYR</v>
      </c>
      <c r="P1605" t="str">
        <f t="shared" si="665"/>
        <v>NIL</v>
      </c>
      <c r="Q1605" t="str">
        <f t="shared" si="665"/>
        <v>NIL</v>
      </c>
      <c r="R1605" t="str">
        <f t="shared" si="644"/>
        <v>Accepted</v>
      </c>
      <c r="S1605" t="str">
        <f t="shared" si="645"/>
        <v>Approved</v>
      </c>
      <c r="T1605" t="str">
        <f t="shared" si="646"/>
        <v>10.20.8.188</v>
      </c>
      <c r="U1605" t="str">
        <f t="shared" si="647"/>
        <v>AZRAD UMAR BIN SHAARI</v>
      </c>
      <c r="V1605" t="str">
        <f t="shared" si="648"/>
        <v>FARHANA BINTI MUSTAPA</v>
      </c>
      <c r="W1605" t="str">
        <f t="shared" si="649"/>
        <v>04-08-2020</v>
      </c>
      <c r="X1605" t="str">
        <f t="shared" si="650"/>
        <v>RAZIMAH ANSAR AHMAD</v>
      </c>
      <c r="Y1605" t="str">
        <f t="shared" si="651"/>
        <v>04-08-2020</v>
      </c>
      <c r="Z1605" t="str">
        <f>"COS10200804 7549"</f>
        <v>COS10200804 7549</v>
      </c>
    </row>
    <row r="1606" spans="1:26" x14ac:dyDescent="0.25">
      <c r="A1606" t="str">
        <f t="shared" si="662"/>
        <v>04-08-2020 01:07:32</v>
      </c>
      <c r="B1606" t="str">
        <f>"0000809348"</f>
        <v>0000809348</v>
      </c>
      <c r="C1606" t="str">
        <f t="shared" si="663"/>
        <v>0000809200</v>
      </c>
      <c r="D1606" t="str">
        <f t="shared" si="639"/>
        <v>73185</v>
      </c>
      <c r="E1606" t="str">
        <f t="shared" si="640"/>
        <v>KFH-OPERATIONS DEPARTMENT</v>
      </c>
      <c r="F1606" t="str">
        <f t="shared" si="641"/>
        <v>IBG</v>
      </c>
      <c r="G1606" t="str">
        <f t="shared" si="656"/>
        <v>Refund COSHARE 10</v>
      </c>
      <c r="H1606" s="2">
        <v>42</v>
      </c>
      <c r="I1606" t="str">
        <f>"SITI RAHANIAH BINTI JUSOH  MUDA"</f>
        <v>SITI RAHANIAH BINTI JUSOH  MUDA</v>
      </c>
      <c r="J1606" t="str">
        <f t="shared" si="657"/>
        <v>MAYBANK / MAYBANK ISLAMIC</v>
      </c>
      <c r="K1606" t="str">
        <f>"164100219135"</f>
        <v>164100219135</v>
      </c>
      <c r="L1606" t="str">
        <f t="shared" si="664"/>
        <v>04-08-2020</v>
      </c>
      <c r="M1606" t="str">
        <f t="shared" si="664"/>
        <v>04-08-2020</v>
      </c>
      <c r="N1606" t="str">
        <f t="shared" si="642"/>
        <v>001105018356</v>
      </c>
      <c r="O1606" t="str">
        <f t="shared" si="643"/>
        <v>MYR</v>
      </c>
      <c r="P1606" t="str">
        <f t="shared" si="665"/>
        <v>NIL</v>
      </c>
      <c r="Q1606" t="str">
        <f t="shared" si="665"/>
        <v>NIL</v>
      </c>
      <c r="R1606" t="str">
        <f t="shared" si="644"/>
        <v>Accepted</v>
      </c>
      <c r="S1606" t="str">
        <f t="shared" si="645"/>
        <v>Approved</v>
      </c>
      <c r="T1606" t="str">
        <f t="shared" si="646"/>
        <v>10.20.8.188</v>
      </c>
      <c r="U1606" t="str">
        <f t="shared" si="647"/>
        <v>AZRAD UMAR BIN SHAARI</v>
      </c>
      <c r="V1606" t="str">
        <f t="shared" si="648"/>
        <v>FARHANA BINTI MUSTAPA</v>
      </c>
      <c r="W1606" t="str">
        <f t="shared" si="649"/>
        <v>04-08-2020</v>
      </c>
      <c r="X1606" t="str">
        <f t="shared" si="650"/>
        <v>RAZIMAH ANSAR AHMAD</v>
      </c>
      <c r="Y1606" t="str">
        <f t="shared" si="651"/>
        <v>04-08-2020</v>
      </c>
      <c r="Z1606" t="str">
        <f>"COS10200804 7548"</f>
        <v>COS10200804 7548</v>
      </c>
    </row>
    <row r="1607" spans="1:26" x14ac:dyDescent="0.25">
      <c r="A1607" t="str">
        <f t="shared" si="662"/>
        <v>04-08-2020 01:07:32</v>
      </c>
      <c r="B1607" t="str">
        <f>"0000809347"</f>
        <v>0000809347</v>
      </c>
      <c r="C1607" t="str">
        <f t="shared" si="663"/>
        <v>0000809200</v>
      </c>
      <c r="D1607" t="str">
        <f t="shared" ref="D1607:D1670" si="666">"73185"</f>
        <v>73185</v>
      </c>
      <c r="E1607" t="str">
        <f t="shared" ref="E1607:E1670" si="667">"KFH-OPERATIONS DEPARTMENT"</f>
        <v>KFH-OPERATIONS DEPARTMENT</v>
      </c>
      <c r="F1607" t="str">
        <f t="shared" ref="F1607:F1670" si="668">"IBG"</f>
        <v>IBG</v>
      </c>
      <c r="G1607" t="str">
        <f t="shared" si="656"/>
        <v>Refund COSHARE 10</v>
      </c>
      <c r="H1607" s="2">
        <v>304</v>
      </c>
      <c r="I1607" t="str">
        <f>"SITI RAFIZAH BINTI YAAKOP"</f>
        <v>SITI RAFIZAH BINTI YAAKOP</v>
      </c>
      <c r="J1607" t="str">
        <f t="shared" si="657"/>
        <v>MAYBANK / MAYBANK ISLAMIC</v>
      </c>
      <c r="K1607" t="str">
        <f>"106138089136"</f>
        <v>106138089136</v>
      </c>
      <c r="L1607" t="str">
        <f t="shared" ref="L1607:M1626" si="669">"04-08-2020"</f>
        <v>04-08-2020</v>
      </c>
      <c r="M1607" t="str">
        <f t="shared" si="669"/>
        <v>04-08-2020</v>
      </c>
      <c r="N1607" t="str">
        <f t="shared" ref="N1607:N1670" si="670">"001105018356"</f>
        <v>001105018356</v>
      </c>
      <c r="O1607" t="str">
        <f t="shared" ref="O1607:O1670" si="671">"MYR"</f>
        <v>MYR</v>
      </c>
      <c r="P1607" t="str">
        <f t="shared" ref="P1607:Q1626" si="672">"NIL"</f>
        <v>NIL</v>
      </c>
      <c r="Q1607" t="str">
        <f t="shared" si="672"/>
        <v>NIL</v>
      </c>
      <c r="R1607" t="str">
        <f t="shared" ref="R1607:R1670" si="673">"Accepted"</f>
        <v>Accepted</v>
      </c>
      <c r="S1607" t="str">
        <f t="shared" ref="S1607:S1670" si="674">"Approved"</f>
        <v>Approved</v>
      </c>
      <c r="T1607" t="str">
        <f t="shared" ref="T1607:T1670" si="675">"10.20.8.188"</f>
        <v>10.20.8.188</v>
      </c>
      <c r="U1607" t="str">
        <f t="shared" ref="U1607:U1670" si="676">"AZRAD UMAR BIN SHAARI"</f>
        <v>AZRAD UMAR BIN SHAARI</v>
      </c>
      <c r="V1607" t="str">
        <f t="shared" ref="V1607:V1670" si="677">"FARHANA BINTI MUSTAPA"</f>
        <v>FARHANA BINTI MUSTAPA</v>
      </c>
      <c r="W1607" t="str">
        <f t="shared" ref="W1607:W1670" si="678">"04-08-2020"</f>
        <v>04-08-2020</v>
      </c>
      <c r="X1607" t="str">
        <f t="shared" ref="X1607:X1670" si="679">"RAZIMAH ANSAR AHMAD"</f>
        <v>RAZIMAH ANSAR AHMAD</v>
      </c>
      <c r="Y1607" t="str">
        <f t="shared" ref="Y1607:Y1670" si="680">"04-08-2020"</f>
        <v>04-08-2020</v>
      </c>
      <c r="Z1607" t="str">
        <f>"COS10200804 7547"</f>
        <v>COS10200804 7547</v>
      </c>
    </row>
    <row r="1608" spans="1:26" x14ac:dyDescent="0.25">
      <c r="A1608" t="str">
        <f t="shared" si="662"/>
        <v>04-08-2020 01:07:32</v>
      </c>
      <c r="B1608" t="str">
        <f>"0000809346"</f>
        <v>0000809346</v>
      </c>
      <c r="C1608" t="str">
        <f t="shared" si="663"/>
        <v>0000809200</v>
      </c>
      <c r="D1608" t="str">
        <f t="shared" si="666"/>
        <v>73185</v>
      </c>
      <c r="E1608" t="str">
        <f t="shared" si="667"/>
        <v>KFH-OPERATIONS DEPARTMENT</v>
      </c>
      <c r="F1608" t="str">
        <f t="shared" si="668"/>
        <v>IBG</v>
      </c>
      <c r="G1608" t="str">
        <f t="shared" si="656"/>
        <v>Refund COSHARE 10</v>
      </c>
      <c r="H1608" s="2">
        <v>304</v>
      </c>
      <c r="I1608" t="str">
        <f>"SITI RAFIZAH BINTI YAAKOP"</f>
        <v>SITI RAFIZAH BINTI YAAKOP</v>
      </c>
      <c r="J1608" t="str">
        <f t="shared" si="657"/>
        <v>MAYBANK / MAYBANK ISLAMIC</v>
      </c>
      <c r="K1608" t="str">
        <f>"106138089136"</f>
        <v>106138089136</v>
      </c>
      <c r="L1608" t="str">
        <f t="shared" si="669"/>
        <v>04-08-2020</v>
      </c>
      <c r="M1608" t="str">
        <f t="shared" si="669"/>
        <v>04-08-2020</v>
      </c>
      <c r="N1608" t="str">
        <f t="shared" si="670"/>
        <v>001105018356</v>
      </c>
      <c r="O1608" t="str">
        <f t="shared" si="671"/>
        <v>MYR</v>
      </c>
      <c r="P1608" t="str">
        <f t="shared" si="672"/>
        <v>NIL</v>
      </c>
      <c r="Q1608" t="str">
        <f t="shared" si="672"/>
        <v>NIL</v>
      </c>
      <c r="R1608" t="str">
        <f t="shared" si="673"/>
        <v>Accepted</v>
      </c>
      <c r="S1608" t="str">
        <f t="shared" si="674"/>
        <v>Approved</v>
      </c>
      <c r="T1608" t="str">
        <f t="shared" si="675"/>
        <v>10.20.8.188</v>
      </c>
      <c r="U1608" t="str">
        <f t="shared" si="676"/>
        <v>AZRAD UMAR BIN SHAARI</v>
      </c>
      <c r="V1608" t="str">
        <f t="shared" si="677"/>
        <v>FARHANA BINTI MUSTAPA</v>
      </c>
      <c r="W1608" t="str">
        <f t="shared" si="678"/>
        <v>04-08-2020</v>
      </c>
      <c r="X1608" t="str">
        <f t="shared" si="679"/>
        <v>RAZIMAH ANSAR AHMAD</v>
      </c>
      <c r="Y1608" t="str">
        <f t="shared" si="680"/>
        <v>04-08-2020</v>
      </c>
      <c r="Z1608" t="str">
        <f>"COS10200804 7546"</f>
        <v>COS10200804 7546</v>
      </c>
    </row>
    <row r="1609" spans="1:26" x14ac:dyDescent="0.25">
      <c r="A1609" t="str">
        <f t="shared" si="662"/>
        <v>04-08-2020 01:07:32</v>
      </c>
      <c r="B1609" t="str">
        <f>"0000809345"</f>
        <v>0000809345</v>
      </c>
      <c r="C1609" t="str">
        <f t="shared" si="663"/>
        <v>0000809200</v>
      </c>
      <c r="D1609" t="str">
        <f t="shared" si="666"/>
        <v>73185</v>
      </c>
      <c r="E1609" t="str">
        <f t="shared" si="667"/>
        <v>KFH-OPERATIONS DEPARTMENT</v>
      </c>
      <c r="F1609" t="str">
        <f t="shared" si="668"/>
        <v>IBG</v>
      </c>
      <c r="G1609" t="str">
        <f t="shared" si="656"/>
        <v>Refund COSHARE 10</v>
      </c>
      <c r="H1609" s="2">
        <v>1323</v>
      </c>
      <c r="I1609" t="str">
        <f>"SITI PAUZIAH BINTI ISMAIL"</f>
        <v>SITI PAUZIAH BINTI ISMAIL</v>
      </c>
      <c r="J1609" t="str">
        <f t="shared" si="657"/>
        <v>MAYBANK / MAYBANK ISLAMIC</v>
      </c>
      <c r="K1609" t="str">
        <f>"156039006951"</f>
        <v>156039006951</v>
      </c>
      <c r="L1609" t="str">
        <f t="shared" si="669"/>
        <v>04-08-2020</v>
      </c>
      <c r="M1609" t="str">
        <f t="shared" si="669"/>
        <v>04-08-2020</v>
      </c>
      <c r="N1609" t="str">
        <f t="shared" si="670"/>
        <v>001105018356</v>
      </c>
      <c r="O1609" t="str">
        <f t="shared" si="671"/>
        <v>MYR</v>
      </c>
      <c r="P1609" t="str">
        <f t="shared" si="672"/>
        <v>NIL</v>
      </c>
      <c r="Q1609" t="str">
        <f t="shared" si="672"/>
        <v>NIL</v>
      </c>
      <c r="R1609" t="str">
        <f t="shared" si="673"/>
        <v>Accepted</v>
      </c>
      <c r="S1609" t="str">
        <f t="shared" si="674"/>
        <v>Approved</v>
      </c>
      <c r="T1609" t="str">
        <f t="shared" si="675"/>
        <v>10.20.8.188</v>
      </c>
      <c r="U1609" t="str">
        <f t="shared" si="676"/>
        <v>AZRAD UMAR BIN SHAARI</v>
      </c>
      <c r="V1609" t="str">
        <f t="shared" si="677"/>
        <v>FARHANA BINTI MUSTAPA</v>
      </c>
      <c r="W1609" t="str">
        <f t="shared" si="678"/>
        <v>04-08-2020</v>
      </c>
      <c r="X1609" t="str">
        <f t="shared" si="679"/>
        <v>RAZIMAH ANSAR AHMAD</v>
      </c>
      <c r="Y1609" t="str">
        <f t="shared" si="680"/>
        <v>04-08-2020</v>
      </c>
      <c r="Z1609" t="str">
        <f>"COS10200804 7545"</f>
        <v>COS10200804 7545</v>
      </c>
    </row>
    <row r="1610" spans="1:26" x14ac:dyDescent="0.25">
      <c r="A1610" t="str">
        <f t="shared" si="662"/>
        <v>04-08-2020 01:07:32</v>
      </c>
      <c r="B1610" t="str">
        <f>"0000809344"</f>
        <v>0000809344</v>
      </c>
      <c r="C1610" t="str">
        <f t="shared" si="663"/>
        <v>0000809200</v>
      </c>
      <c r="D1610" t="str">
        <f t="shared" si="666"/>
        <v>73185</v>
      </c>
      <c r="E1610" t="str">
        <f t="shared" si="667"/>
        <v>KFH-OPERATIONS DEPARTMENT</v>
      </c>
      <c r="F1610" t="str">
        <f t="shared" si="668"/>
        <v>IBG</v>
      </c>
      <c r="G1610" t="str">
        <f t="shared" si="656"/>
        <v>Refund COSHARE 10</v>
      </c>
      <c r="H1610" s="2">
        <v>419.75</v>
      </c>
      <c r="I1610" t="str">
        <f>"SITI NURULAIN BINTI ABD JALIL"</f>
        <v>SITI NURULAIN BINTI ABD JALIL</v>
      </c>
      <c r="J1610" t="str">
        <f t="shared" si="657"/>
        <v>MAYBANK / MAYBANK ISLAMIC</v>
      </c>
      <c r="K1610" t="str">
        <f>"151101158012"</f>
        <v>151101158012</v>
      </c>
      <c r="L1610" t="str">
        <f t="shared" si="669"/>
        <v>04-08-2020</v>
      </c>
      <c r="M1610" t="str">
        <f t="shared" si="669"/>
        <v>04-08-2020</v>
      </c>
      <c r="N1610" t="str">
        <f t="shared" si="670"/>
        <v>001105018356</v>
      </c>
      <c r="O1610" t="str">
        <f t="shared" si="671"/>
        <v>MYR</v>
      </c>
      <c r="P1610" t="str">
        <f t="shared" si="672"/>
        <v>NIL</v>
      </c>
      <c r="Q1610" t="str">
        <f t="shared" si="672"/>
        <v>NIL</v>
      </c>
      <c r="R1610" t="str">
        <f t="shared" si="673"/>
        <v>Accepted</v>
      </c>
      <c r="S1610" t="str">
        <f t="shared" si="674"/>
        <v>Approved</v>
      </c>
      <c r="T1610" t="str">
        <f t="shared" si="675"/>
        <v>10.20.8.188</v>
      </c>
      <c r="U1610" t="str">
        <f t="shared" si="676"/>
        <v>AZRAD UMAR BIN SHAARI</v>
      </c>
      <c r="V1610" t="str">
        <f t="shared" si="677"/>
        <v>FARHANA BINTI MUSTAPA</v>
      </c>
      <c r="W1610" t="str">
        <f t="shared" si="678"/>
        <v>04-08-2020</v>
      </c>
      <c r="X1610" t="str">
        <f t="shared" si="679"/>
        <v>RAZIMAH ANSAR AHMAD</v>
      </c>
      <c r="Y1610" t="str">
        <f t="shared" si="680"/>
        <v>04-08-2020</v>
      </c>
      <c r="Z1610" t="str">
        <f>"COS10200804 7544"</f>
        <v>COS10200804 7544</v>
      </c>
    </row>
    <row r="1611" spans="1:26" x14ac:dyDescent="0.25">
      <c r="A1611" t="str">
        <f t="shared" si="662"/>
        <v>04-08-2020 01:07:32</v>
      </c>
      <c r="B1611" t="str">
        <f>"0000809343"</f>
        <v>0000809343</v>
      </c>
      <c r="C1611" t="str">
        <f t="shared" si="663"/>
        <v>0000809200</v>
      </c>
      <c r="D1611" t="str">
        <f t="shared" si="666"/>
        <v>73185</v>
      </c>
      <c r="E1611" t="str">
        <f t="shared" si="667"/>
        <v>KFH-OPERATIONS DEPARTMENT</v>
      </c>
      <c r="F1611" t="str">
        <f t="shared" si="668"/>
        <v>IBG</v>
      </c>
      <c r="G1611" t="str">
        <f t="shared" si="656"/>
        <v>Refund COSHARE 10</v>
      </c>
      <c r="H1611" s="2">
        <v>747.15</v>
      </c>
      <c r="I1611" t="str">
        <f>"SITI NURUL AIN BINTI ZAINAL ABIDIN"</f>
        <v>SITI NURUL AIN BINTI ZAINAL ABIDIN</v>
      </c>
      <c r="J1611" t="str">
        <f t="shared" si="657"/>
        <v>MAYBANK / MAYBANK ISLAMIC</v>
      </c>
      <c r="K1611" t="str">
        <f>"162414058909"</f>
        <v>162414058909</v>
      </c>
      <c r="L1611" t="str">
        <f t="shared" si="669"/>
        <v>04-08-2020</v>
      </c>
      <c r="M1611" t="str">
        <f t="shared" si="669"/>
        <v>04-08-2020</v>
      </c>
      <c r="N1611" t="str">
        <f t="shared" si="670"/>
        <v>001105018356</v>
      </c>
      <c r="O1611" t="str">
        <f t="shared" si="671"/>
        <v>MYR</v>
      </c>
      <c r="P1611" t="str">
        <f t="shared" si="672"/>
        <v>NIL</v>
      </c>
      <c r="Q1611" t="str">
        <f t="shared" si="672"/>
        <v>NIL</v>
      </c>
      <c r="R1611" t="str">
        <f t="shared" si="673"/>
        <v>Accepted</v>
      </c>
      <c r="S1611" t="str">
        <f t="shared" si="674"/>
        <v>Approved</v>
      </c>
      <c r="T1611" t="str">
        <f t="shared" si="675"/>
        <v>10.20.8.188</v>
      </c>
      <c r="U1611" t="str">
        <f t="shared" si="676"/>
        <v>AZRAD UMAR BIN SHAARI</v>
      </c>
      <c r="V1611" t="str">
        <f t="shared" si="677"/>
        <v>FARHANA BINTI MUSTAPA</v>
      </c>
      <c r="W1611" t="str">
        <f t="shared" si="678"/>
        <v>04-08-2020</v>
      </c>
      <c r="X1611" t="str">
        <f t="shared" si="679"/>
        <v>RAZIMAH ANSAR AHMAD</v>
      </c>
      <c r="Y1611" t="str">
        <f t="shared" si="680"/>
        <v>04-08-2020</v>
      </c>
      <c r="Z1611" t="str">
        <f>"COS10200804 7543"</f>
        <v>COS10200804 7543</v>
      </c>
    </row>
    <row r="1612" spans="1:26" x14ac:dyDescent="0.25">
      <c r="A1612" t="str">
        <f t="shared" si="662"/>
        <v>04-08-2020 01:07:32</v>
      </c>
      <c r="B1612" t="str">
        <f>"0000809342"</f>
        <v>0000809342</v>
      </c>
      <c r="C1612" t="str">
        <f t="shared" si="663"/>
        <v>0000809200</v>
      </c>
      <c r="D1612" t="str">
        <f t="shared" si="666"/>
        <v>73185</v>
      </c>
      <c r="E1612" t="str">
        <f t="shared" si="667"/>
        <v>KFH-OPERATIONS DEPARTMENT</v>
      </c>
      <c r="F1612" t="str">
        <f t="shared" si="668"/>
        <v>IBG</v>
      </c>
      <c r="G1612" t="str">
        <f t="shared" ref="G1612:G1675" si="681">"Refund COSHARE 10"</f>
        <v>Refund COSHARE 10</v>
      </c>
      <c r="H1612" s="2">
        <v>587.65</v>
      </c>
      <c r="I1612" t="str">
        <f>"SITI NURIN BINTI MOHD FARID"</f>
        <v>SITI NURIN BINTI MOHD FARID</v>
      </c>
      <c r="J1612" t="str">
        <f t="shared" si="657"/>
        <v>MAYBANK / MAYBANK ISLAMIC</v>
      </c>
      <c r="K1612" t="str">
        <f>"151137844254"</f>
        <v>151137844254</v>
      </c>
      <c r="L1612" t="str">
        <f t="shared" si="669"/>
        <v>04-08-2020</v>
      </c>
      <c r="M1612" t="str">
        <f t="shared" si="669"/>
        <v>04-08-2020</v>
      </c>
      <c r="N1612" t="str">
        <f t="shared" si="670"/>
        <v>001105018356</v>
      </c>
      <c r="O1612" t="str">
        <f t="shared" si="671"/>
        <v>MYR</v>
      </c>
      <c r="P1612" t="str">
        <f t="shared" si="672"/>
        <v>NIL</v>
      </c>
      <c r="Q1612" t="str">
        <f t="shared" si="672"/>
        <v>NIL</v>
      </c>
      <c r="R1612" t="str">
        <f t="shared" si="673"/>
        <v>Accepted</v>
      </c>
      <c r="S1612" t="str">
        <f t="shared" si="674"/>
        <v>Approved</v>
      </c>
      <c r="T1612" t="str">
        <f t="shared" si="675"/>
        <v>10.20.8.188</v>
      </c>
      <c r="U1612" t="str">
        <f t="shared" si="676"/>
        <v>AZRAD UMAR BIN SHAARI</v>
      </c>
      <c r="V1612" t="str">
        <f t="shared" si="677"/>
        <v>FARHANA BINTI MUSTAPA</v>
      </c>
      <c r="W1612" t="str">
        <f t="shared" si="678"/>
        <v>04-08-2020</v>
      </c>
      <c r="X1612" t="str">
        <f t="shared" si="679"/>
        <v>RAZIMAH ANSAR AHMAD</v>
      </c>
      <c r="Y1612" t="str">
        <f t="shared" si="680"/>
        <v>04-08-2020</v>
      </c>
      <c r="Z1612" t="str">
        <f>"COS10200804 7542"</f>
        <v>COS10200804 7542</v>
      </c>
    </row>
    <row r="1613" spans="1:26" x14ac:dyDescent="0.25">
      <c r="A1613" t="str">
        <f t="shared" si="662"/>
        <v>04-08-2020 01:07:32</v>
      </c>
      <c r="B1613" t="str">
        <f>"0000809341"</f>
        <v>0000809341</v>
      </c>
      <c r="C1613" t="str">
        <f t="shared" si="663"/>
        <v>0000809200</v>
      </c>
      <c r="D1613" t="str">
        <f t="shared" si="666"/>
        <v>73185</v>
      </c>
      <c r="E1613" t="str">
        <f t="shared" si="667"/>
        <v>KFH-OPERATIONS DEPARTMENT</v>
      </c>
      <c r="F1613" t="str">
        <f t="shared" si="668"/>
        <v>IBG</v>
      </c>
      <c r="G1613" t="str">
        <f t="shared" si="681"/>
        <v>Refund COSHARE 10</v>
      </c>
      <c r="H1613" s="2">
        <v>503.7</v>
      </c>
      <c r="I1613" t="str">
        <f>"SITI NURHAJAR BINTI YUSOFF"</f>
        <v>SITI NURHAJAR BINTI YUSOFF</v>
      </c>
      <c r="J1613" t="str">
        <f t="shared" si="657"/>
        <v>MAYBANK / MAYBANK ISLAMIC</v>
      </c>
      <c r="K1613" t="str">
        <f>"166010073490"</f>
        <v>166010073490</v>
      </c>
      <c r="L1613" t="str">
        <f t="shared" si="669"/>
        <v>04-08-2020</v>
      </c>
      <c r="M1613" t="str">
        <f t="shared" si="669"/>
        <v>04-08-2020</v>
      </c>
      <c r="N1613" t="str">
        <f t="shared" si="670"/>
        <v>001105018356</v>
      </c>
      <c r="O1613" t="str">
        <f t="shared" si="671"/>
        <v>MYR</v>
      </c>
      <c r="P1613" t="str">
        <f t="shared" si="672"/>
        <v>NIL</v>
      </c>
      <c r="Q1613" t="str">
        <f t="shared" si="672"/>
        <v>NIL</v>
      </c>
      <c r="R1613" t="str">
        <f t="shared" si="673"/>
        <v>Accepted</v>
      </c>
      <c r="S1613" t="str">
        <f t="shared" si="674"/>
        <v>Approved</v>
      </c>
      <c r="T1613" t="str">
        <f t="shared" si="675"/>
        <v>10.20.8.188</v>
      </c>
      <c r="U1613" t="str">
        <f t="shared" si="676"/>
        <v>AZRAD UMAR BIN SHAARI</v>
      </c>
      <c r="V1613" t="str">
        <f t="shared" si="677"/>
        <v>FARHANA BINTI MUSTAPA</v>
      </c>
      <c r="W1613" t="str">
        <f t="shared" si="678"/>
        <v>04-08-2020</v>
      </c>
      <c r="X1613" t="str">
        <f t="shared" si="679"/>
        <v>RAZIMAH ANSAR AHMAD</v>
      </c>
      <c r="Y1613" t="str">
        <f t="shared" si="680"/>
        <v>04-08-2020</v>
      </c>
      <c r="Z1613" t="str">
        <f>"COS10200804 7541"</f>
        <v>COS10200804 7541</v>
      </c>
    </row>
    <row r="1614" spans="1:26" x14ac:dyDescent="0.25">
      <c r="A1614" t="str">
        <f t="shared" si="662"/>
        <v>04-08-2020 01:07:32</v>
      </c>
      <c r="B1614" t="str">
        <f>"0000809340"</f>
        <v>0000809340</v>
      </c>
      <c r="C1614" t="str">
        <f t="shared" si="663"/>
        <v>0000809200</v>
      </c>
      <c r="D1614" t="str">
        <f t="shared" si="666"/>
        <v>73185</v>
      </c>
      <c r="E1614" t="str">
        <f t="shared" si="667"/>
        <v>KFH-OPERATIONS DEPARTMENT</v>
      </c>
      <c r="F1614" t="str">
        <f t="shared" si="668"/>
        <v>IBG</v>
      </c>
      <c r="G1614" t="str">
        <f t="shared" si="681"/>
        <v>Refund COSHARE 10</v>
      </c>
      <c r="H1614" s="2">
        <v>226.7</v>
      </c>
      <c r="I1614" t="str">
        <f>"SITI NURHAFIZOH BINTI AZIZAN"</f>
        <v>SITI NURHAFIZOH BINTI AZIZAN</v>
      </c>
      <c r="J1614" t="str">
        <f t="shared" si="657"/>
        <v>MAYBANK / MAYBANK ISLAMIC</v>
      </c>
      <c r="K1614" t="str">
        <f>"157091010251"</f>
        <v>157091010251</v>
      </c>
      <c r="L1614" t="str">
        <f t="shared" si="669"/>
        <v>04-08-2020</v>
      </c>
      <c r="M1614" t="str">
        <f t="shared" si="669"/>
        <v>04-08-2020</v>
      </c>
      <c r="N1614" t="str">
        <f t="shared" si="670"/>
        <v>001105018356</v>
      </c>
      <c r="O1614" t="str">
        <f t="shared" si="671"/>
        <v>MYR</v>
      </c>
      <c r="P1614" t="str">
        <f t="shared" si="672"/>
        <v>NIL</v>
      </c>
      <c r="Q1614" t="str">
        <f t="shared" si="672"/>
        <v>NIL</v>
      </c>
      <c r="R1614" t="str">
        <f t="shared" si="673"/>
        <v>Accepted</v>
      </c>
      <c r="S1614" t="str">
        <f t="shared" si="674"/>
        <v>Approved</v>
      </c>
      <c r="T1614" t="str">
        <f t="shared" si="675"/>
        <v>10.20.8.188</v>
      </c>
      <c r="U1614" t="str">
        <f t="shared" si="676"/>
        <v>AZRAD UMAR BIN SHAARI</v>
      </c>
      <c r="V1614" t="str">
        <f t="shared" si="677"/>
        <v>FARHANA BINTI MUSTAPA</v>
      </c>
      <c r="W1614" t="str">
        <f t="shared" si="678"/>
        <v>04-08-2020</v>
      </c>
      <c r="X1614" t="str">
        <f t="shared" si="679"/>
        <v>RAZIMAH ANSAR AHMAD</v>
      </c>
      <c r="Y1614" t="str">
        <f t="shared" si="680"/>
        <v>04-08-2020</v>
      </c>
      <c r="Z1614" t="str">
        <f>"COS10200804 7540"</f>
        <v>COS10200804 7540</v>
      </c>
    </row>
    <row r="1615" spans="1:26" x14ac:dyDescent="0.25">
      <c r="A1615" t="str">
        <f t="shared" si="662"/>
        <v>04-08-2020 01:07:32</v>
      </c>
      <c r="B1615" t="str">
        <f>"0000809339"</f>
        <v>0000809339</v>
      </c>
      <c r="C1615" t="str">
        <f t="shared" si="663"/>
        <v>0000809200</v>
      </c>
      <c r="D1615" t="str">
        <f t="shared" si="666"/>
        <v>73185</v>
      </c>
      <c r="E1615" t="str">
        <f t="shared" si="667"/>
        <v>KFH-OPERATIONS DEPARTMENT</v>
      </c>
      <c r="F1615" t="str">
        <f t="shared" si="668"/>
        <v>IBG</v>
      </c>
      <c r="G1615" t="str">
        <f t="shared" si="681"/>
        <v>Refund COSHARE 10</v>
      </c>
      <c r="H1615" s="2">
        <v>100.75</v>
      </c>
      <c r="I1615" t="str">
        <f>"SITI NUR AZNELAN BINTI ROSLI"</f>
        <v>SITI NUR AZNELAN BINTI ROSLI</v>
      </c>
      <c r="J1615" t="str">
        <f t="shared" si="657"/>
        <v>MAYBANK / MAYBANK ISLAMIC</v>
      </c>
      <c r="K1615" t="str">
        <f>"114263007206"</f>
        <v>114263007206</v>
      </c>
      <c r="L1615" t="str">
        <f t="shared" si="669"/>
        <v>04-08-2020</v>
      </c>
      <c r="M1615" t="str">
        <f t="shared" si="669"/>
        <v>04-08-2020</v>
      </c>
      <c r="N1615" t="str">
        <f t="shared" si="670"/>
        <v>001105018356</v>
      </c>
      <c r="O1615" t="str">
        <f t="shared" si="671"/>
        <v>MYR</v>
      </c>
      <c r="P1615" t="str">
        <f t="shared" si="672"/>
        <v>NIL</v>
      </c>
      <c r="Q1615" t="str">
        <f t="shared" si="672"/>
        <v>NIL</v>
      </c>
      <c r="R1615" t="str">
        <f t="shared" si="673"/>
        <v>Accepted</v>
      </c>
      <c r="S1615" t="str">
        <f t="shared" si="674"/>
        <v>Approved</v>
      </c>
      <c r="T1615" t="str">
        <f t="shared" si="675"/>
        <v>10.20.8.188</v>
      </c>
      <c r="U1615" t="str">
        <f t="shared" si="676"/>
        <v>AZRAD UMAR BIN SHAARI</v>
      </c>
      <c r="V1615" t="str">
        <f t="shared" si="677"/>
        <v>FARHANA BINTI MUSTAPA</v>
      </c>
      <c r="W1615" t="str">
        <f t="shared" si="678"/>
        <v>04-08-2020</v>
      </c>
      <c r="X1615" t="str">
        <f t="shared" si="679"/>
        <v>RAZIMAH ANSAR AHMAD</v>
      </c>
      <c r="Y1615" t="str">
        <f t="shared" si="680"/>
        <v>04-08-2020</v>
      </c>
      <c r="Z1615" t="str">
        <f>"COS10200804 7539"</f>
        <v>COS10200804 7539</v>
      </c>
    </row>
    <row r="1616" spans="1:26" x14ac:dyDescent="0.25">
      <c r="A1616" t="str">
        <f t="shared" si="662"/>
        <v>04-08-2020 01:07:32</v>
      </c>
      <c r="B1616" t="str">
        <f>"0000809338"</f>
        <v>0000809338</v>
      </c>
      <c r="C1616" t="str">
        <f t="shared" si="663"/>
        <v>0000809200</v>
      </c>
      <c r="D1616" t="str">
        <f t="shared" si="666"/>
        <v>73185</v>
      </c>
      <c r="E1616" t="str">
        <f t="shared" si="667"/>
        <v>KFH-OPERATIONS DEPARTMENT</v>
      </c>
      <c r="F1616" t="str">
        <f t="shared" si="668"/>
        <v>IBG</v>
      </c>
      <c r="G1616" t="str">
        <f t="shared" si="681"/>
        <v>Refund COSHARE 10</v>
      </c>
      <c r="H1616" s="2">
        <v>251.85</v>
      </c>
      <c r="I1616" t="str">
        <f>"SITI NUR ATIKAH BINTI MOHAMAD ANUAR"</f>
        <v>SITI NUR ATIKAH BINTI MOHAMAD ANUAR</v>
      </c>
      <c r="J1616" t="str">
        <f t="shared" si="657"/>
        <v>MAYBANK / MAYBANK ISLAMIC</v>
      </c>
      <c r="K1616" t="str">
        <f>"166010149252"</f>
        <v>166010149252</v>
      </c>
      <c r="L1616" t="str">
        <f t="shared" si="669"/>
        <v>04-08-2020</v>
      </c>
      <c r="M1616" t="str">
        <f t="shared" si="669"/>
        <v>04-08-2020</v>
      </c>
      <c r="N1616" t="str">
        <f t="shared" si="670"/>
        <v>001105018356</v>
      </c>
      <c r="O1616" t="str">
        <f t="shared" si="671"/>
        <v>MYR</v>
      </c>
      <c r="P1616" t="str">
        <f t="shared" si="672"/>
        <v>NIL</v>
      </c>
      <c r="Q1616" t="str">
        <f t="shared" si="672"/>
        <v>NIL</v>
      </c>
      <c r="R1616" t="str">
        <f t="shared" si="673"/>
        <v>Accepted</v>
      </c>
      <c r="S1616" t="str">
        <f t="shared" si="674"/>
        <v>Approved</v>
      </c>
      <c r="T1616" t="str">
        <f t="shared" si="675"/>
        <v>10.20.8.188</v>
      </c>
      <c r="U1616" t="str">
        <f t="shared" si="676"/>
        <v>AZRAD UMAR BIN SHAARI</v>
      </c>
      <c r="V1616" t="str">
        <f t="shared" si="677"/>
        <v>FARHANA BINTI MUSTAPA</v>
      </c>
      <c r="W1616" t="str">
        <f t="shared" si="678"/>
        <v>04-08-2020</v>
      </c>
      <c r="X1616" t="str">
        <f t="shared" si="679"/>
        <v>RAZIMAH ANSAR AHMAD</v>
      </c>
      <c r="Y1616" t="str">
        <f t="shared" si="680"/>
        <v>04-08-2020</v>
      </c>
      <c r="Z1616" t="str">
        <f>"COS10200804 7538"</f>
        <v>COS10200804 7538</v>
      </c>
    </row>
    <row r="1617" spans="1:26" x14ac:dyDescent="0.25">
      <c r="A1617" t="str">
        <f t="shared" si="662"/>
        <v>04-08-2020 01:07:32</v>
      </c>
      <c r="B1617" t="str">
        <f>"0000809337"</f>
        <v>0000809337</v>
      </c>
      <c r="C1617" t="str">
        <f t="shared" si="663"/>
        <v>0000809200</v>
      </c>
      <c r="D1617" t="str">
        <f t="shared" si="666"/>
        <v>73185</v>
      </c>
      <c r="E1617" t="str">
        <f t="shared" si="667"/>
        <v>KFH-OPERATIONS DEPARTMENT</v>
      </c>
      <c r="F1617" t="str">
        <f t="shared" si="668"/>
        <v>IBG</v>
      </c>
      <c r="G1617" t="str">
        <f t="shared" si="681"/>
        <v>Refund COSHARE 10</v>
      </c>
      <c r="H1617" s="2">
        <v>67.2</v>
      </c>
      <c r="I1617" t="str">
        <f>"SITI NUR AISYAH  CATHERINE ABDULLAH"</f>
        <v>SITI NUR AISYAH  CATHERINE ABDULLAH</v>
      </c>
      <c r="J1617" t="str">
        <f t="shared" ref="J1617:J1680" si="682">"MAYBANK / MAYBANK ISLAMIC"</f>
        <v>MAYBANK / MAYBANK ISLAMIC</v>
      </c>
      <c r="K1617" t="str">
        <f>"151203878658"</f>
        <v>151203878658</v>
      </c>
      <c r="L1617" t="str">
        <f t="shared" si="669"/>
        <v>04-08-2020</v>
      </c>
      <c r="M1617" t="str">
        <f t="shared" si="669"/>
        <v>04-08-2020</v>
      </c>
      <c r="N1617" t="str">
        <f t="shared" si="670"/>
        <v>001105018356</v>
      </c>
      <c r="O1617" t="str">
        <f t="shared" si="671"/>
        <v>MYR</v>
      </c>
      <c r="P1617" t="str">
        <f t="shared" si="672"/>
        <v>NIL</v>
      </c>
      <c r="Q1617" t="str">
        <f t="shared" si="672"/>
        <v>NIL</v>
      </c>
      <c r="R1617" t="str">
        <f t="shared" si="673"/>
        <v>Accepted</v>
      </c>
      <c r="S1617" t="str">
        <f t="shared" si="674"/>
        <v>Approved</v>
      </c>
      <c r="T1617" t="str">
        <f t="shared" si="675"/>
        <v>10.20.8.188</v>
      </c>
      <c r="U1617" t="str">
        <f t="shared" si="676"/>
        <v>AZRAD UMAR BIN SHAARI</v>
      </c>
      <c r="V1617" t="str">
        <f t="shared" si="677"/>
        <v>FARHANA BINTI MUSTAPA</v>
      </c>
      <c r="W1617" t="str">
        <f t="shared" si="678"/>
        <v>04-08-2020</v>
      </c>
      <c r="X1617" t="str">
        <f t="shared" si="679"/>
        <v>RAZIMAH ANSAR AHMAD</v>
      </c>
      <c r="Y1617" t="str">
        <f t="shared" si="680"/>
        <v>04-08-2020</v>
      </c>
      <c r="Z1617" t="str">
        <f>"COS10200804 7537"</f>
        <v>COS10200804 7537</v>
      </c>
    </row>
    <row r="1618" spans="1:26" x14ac:dyDescent="0.25">
      <c r="A1618" t="str">
        <f t="shared" ref="A1618:A1649" si="683">"04-08-2020 01:07:32"</f>
        <v>04-08-2020 01:07:32</v>
      </c>
      <c r="B1618" t="str">
        <f>"0000809336"</f>
        <v>0000809336</v>
      </c>
      <c r="C1618" t="str">
        <f t="shared" ref="C1618:C1649" si="684">"0000809200"</f>
        <v>0000809200</v>
      </c>
      <c r="D1618" t="str">
        <f t="shared" si="666"/>
        <v>73185</v>
      </c>
      <c r="E1618" t="str">
        <f t="shared" si="667"/>
        <v>KFH-OPERATIONS DEPARTMENT</v>
      </c>
      <c r="F1618" t="str">
        <f t="shared" si="668"/>
        <v>IBG</v>
      </c>
      <c r="G1618" t="str">
        <f t="shared" si="681"/>
        <v>Refund COSHARE 10</v>
      </c>
      <c r="H1618" s="2">
        <v>1893.05</v>
      </c>
      <c r="I1618" t="str">
        <f>"SITI NORZALILAH BINTI ABDUL MAJID"</f>
        <v>SITI NORZALILAH BINTI ABDUL MAJID</v>
      </c>
      <c r="J1618" t="str">
        <f t="shared" si="682"/>
        <v>MAYBANK / MAYBANK ISLAMIC</v>
      </c>
      <c r="K1618" t="str">
        <f>"114085050452"</f>
        <v>114085050452</v>
      </c>
      <c r="L1618" t="str">
        <f t="shared" si="669"/>
        <v>04-08-2020</v>
      </c>
      <c r="M1618" t="str">
        <f t="shared" si="669"/>
        <v>04-08-2020</v>
      </c>
      <c r="N1618" t="str">
        <f t="shared" si="670"/>
        <v>001105018356</v>
      </c>
      <c r="O1618" t="str">
        <f t="shared" si="671"/>
        <v>MYR</v>
      </c>
      <c r="P1618" t="str">
        <f t="shared" si="672"/>
        <v>NIL</v>
      </c>
      <c r="Q1618" t="str">
        <f t="shared" si="672"/>
        <v>NIL</v>
      </c>
      <c r="R1618" t="str">
        <f t="shared" si="673"/>
        <v>Accepted</v>
      </c>
      <c r="S1618" t="str">
        <f t="shared" si="674"/>
        <v>Approved</v>
      </c>
      <c r="T1618" t="str">
        <f t="shared" si="675"/>
        <v>10.20.8.188</v>
      </c>
      <c r="U1618" t="str">
        <f t="shared" si="676"/>
        <v>AZRAD UMAR BIN SHAARI</v>
      </c>
      <c r="V1618" t="str">
        <f t="shared" si="677"/>
        <v>FARHANA BINTI MUSTAPA</v>
      </c>
      <c r="W1618" t="str">
        <f t="shared" si="678"/>
        <v>04-08-2020</v>
      </c>
      <c r="X1618" t="str">
        <f t="shared" si="679"/>
        <v>RAZIMAH ANSAR AHMAD</v>
      </c>
      <c r="Y1618" t="str">
        <f t="shared" si="680"/>
        <v>04-08-2020</v>
      </c>
      <c r="Z1618" t="str">
        <f>"COS10200804 7536"</f>
        <v>COS10200804 7536</v>
      </c>
    </row>
    <row r="1619" spans="1:26" x14ac:dyDescent="0.25">
      <c r="A1619" t="str">
        <f t="shared" si="683"/>
        <v>04-08-2020 01:07:32</v>
      </c>
      <c r="B1619" t="str">
        <f>"0000809335"</f>
        <v>0000809335</v>
      </c>
      <c r="C1619" t="str">
        <f t="shared" si="684"/>
        <v>0000809200</v>
      </c>
      <c r="D1619" t="str">
        <f t="shared" si="666"/>
        <v>73185</v>
      </c>
      <c r="E1619" t="str">
        <f t="shared" si="667"/>
        <v>KFH-OPERATIONS DEPARTMENT</v>
      </c>
      <c r="F1619" t="str">
        <f t="shared" si="668"/>
        <v>IBG</v>
      </c>
      <c r="G1619" t="str">
        <f t="shared" si="681"/>
        <v>Refund COSHARE 10</v>
      </c>
      <c r="H1619" s="2">
        <v>167.9</v>
      </c>
      <c r="I1619" t="str">
        <f>"SITI NORZAIKIAH BT JAIMAN  JEESMAN"</f>
        <v>SITI NORZAIKIAH BT JAIMAN  JEESMAN</v>
      </c>
      <c r="J1619" t="str">
        <f t="shared" si="682"/>
        <v>MAYBANK / MAYBANK ISLAMIC</v>
      </c>
      <c r="K1619" t="str">
        <f>"110108125954"</f>
        <v>110108125954</v>
      </c>
      <c r="L1619" t="str">
        <f t="shared" si="669"/>
        <v>04-08-2020</v>
      </c>
      <c r="M1619" t="str">
        <f t="shared" si="669"/>
        <v>04-08-2020</v>
      </c>
      <c r="N1619" t="str">
        <f t="shared" si="670"/>
        <v>001105018356</v>
      </c>
      <c r="O1619" t="str">
        <f t="shared" si="671"/>
        <v>MYR</v>
      </c>
      <c r="P1619" t="str">
        <f t="shared" si="672"/>
        <v>NIL</v>
      </c>
      <c r="Q1619" t="str">
        <f t="shared" si="672"/>
        <v>NIL</v>
      </c>
      <c r="R1619" t="str">
        <f t="shared" si="673"/>
        <v>Accepted</v>
      </c>
      <c r="S1619" t="str">
        <f t="shared" si="674"/>
        <v>Approved</v>
      </c>
      <c r="T1619" t="str">
        <f t="shared" si="675"/>
        <v>10.20.8.188</v>
      </c>
      <c r="U1619" t="str">
        <f t="shared" si="676"/>
        <v>AZRAD UMAR BIN SHAARI</v>
      </c>
      <c r="V1619" t="str">
        <f t="shared" si="677"/>
        <v>FARHANA BINTI MUSTAPA</v>
      </c>
      <c r="W1619" t="str">
        <f t="shared" si="678"/>
        <v>04-08-2020</v>
      </c>
      <c r="X1619" t="str">
        <f t="shared" si="679"/>
        <v>RAZIMAH ANSAR AHMAD</v>
      </c>
      <c r="Y1619" t="str">
        <f t="shared" si="680"/>
        <v>04-08-2020</v>
      </c>
      <c r="Z1619" t="str">
        <f>"COS10200804 7535"</f>
        <v>COS10200804 7535</v>
      </c>
    </row>
    <row r="1620" spans="1:26" x14ac:dyDescent="0.25">
      <c r="A1620" t="str">
        <f t="shared" si="683"/>
        <v>04-08-2020 01:07:32</v>
      </c>
      <c r="B1620" t="str">
        <f>"0000809334"</f>
        <v>0000809334</v>
      </c>
      <c r="C1620" t="str">
        <f t="shared" si="684"/>
        <v>0000809200</v>
      </c>
      <c r="D1620" t="str">
        <f t="shared" si="666"/>
        <v>73185</v>
      </c>
      <c r="E1620" t="str">
        <f t="shared" si="667"/>
        <v>KFH-OPERATIONS DEPARTMENT</v>
      </c>
      <c r="F1620" t="str">
        <f t="shared" si="668"/>
        <v>IBG</v>
      </c>
      <c r="G1620" t="str">
        <f t="shared" si="681"/>
        <v>Refund COSHARE 10</v>
      </c>
      <c r="H1620" s="2">
        <v>107</v>
      </c>
      <c r="I1620" t="str">
        <f>"SITI NORZAIKIAH BT JAIMAN  JEESMAN"</f>
        <v>SITI NORZAIKIAH BT JAIMAN  JEESMAN</v>
      </c>
      <c r="J1620" t="str">
        <f t="shared" si="682"/>
        <v>MAYBANK / MAYBANK ISLAMIC</v>
      </c>
      <c r="K1620" t="str">
        <f>"110108125954"</f>
        <v>110108125954</v>
      </c>
      <c r="L1620" t="str">
        <f t="shared" si="669"/>
        <v>04-08-2020</v>
      </c>
      <c r="M1620" t="str">
        <f t="shared" si="669"/>
        <v>04-08-2020</v>
      </c>
      <c r="N1620" t="str">
        <f t="shared" si="670"/>
        <v>001105018356</v>
      </c>
      <c r="O1620" t="str">
        <f t="shared" si="671"/>
        <v>MYR</v>
      </c>
      <c r="P1620" t="str">
        <f t="shared" si="672"/>
        <v>NIL</v>
      </c>
      <c r="Q1620" t="str">
        <f t="shared" si="672"/>
        <v>NIL</v>
      </c>
      <c r="R1620" t="str">
        <f t="shared" si="673"/>
        <v>Accepted</v>
      </c>
      <c r="S1620" t="str">
        <f t="shared" si="674"/>
        <v>Approved</v>
      </c>
      <c r="T1620" t="str">
        <f t="shared" si="675"/>
        <v>10.20.8.188</v>
      </c>
      <c r="U1620" t="str">
        <f t="shared" si="676"/>
        <v>AZRAD UMAR BIN SHAARI</v>
      </c>
      <c r="V1620" t="str">
        <f t="shared" si="677"/>
        <v>FARHANA BINTI MUSTAPA</v>
      </c>
      <c r="W1620" t="str">
        <f t="shared" si="678"/>
        <v>04-08-2020</v>
      </c>
      <c r="X1620" t="str">
        <f t="shared" si="679"/>
        <v>RAZIMAH ANSAR AHMAD</v>
      </c>
      <c r="Y1620" t="str">
        <f t="shared" si="680"/>
        <v>04-08-2020</v>
      </c>
      <c r="Z1620" t="str">
        <f>"COS10200804 7534"</f>
        <v>COS10200804 7534</v>
      </c>
    </row>
    <row r="1621" spans="1:26" x14ac:dyDescent="0.25">
      <c r="A1621" t="str">
        <f t="shared" si="683"/>
        <v>04-08-2020 01:07:32</v>
      </c>
      <c r="B1621" t="str">
        <f>"0000809333"</f>
        <v>0000809333</v>
      </c>
      <c r="C1621" t="str">
        <f t="shared" si="684"/>
        <v>0000809200</v>
      </c>
      <c r="D1621" t="str">
        <f t="shared" si="666"/>
        <v>73185</v>
      </c>
      <c r="E1621" t="str">
        <f t="shared" si="667"/>
        <v>KFH-OPERATIONS DEPARTMENT</v>
      </c>
      <c r="F1621" t="str">
        <f t="shared" si="668"/>
        <v>IBG</v>
      </c>
      <c r="G1621" t="str">
        <f t="shared" si="681"/>
        <v>Refund COSHARE 10</v>
      </c>
      <c r="H1621" s="2">
        <v>42</v>
      </c>
      <c r="I1621" t="str">
        <f>"SITI NORLIZA BINTI MOHD YUSUF"</f>
        <v>SITI NORLIZA BINTI MOHD YUSUF</v>
      </c>
      <c r="J1621" t="str">
        <f t="shared" si="682"/>
        <v>MAYBANK / MAYBANK ISLAMIC</v>
      </c>
      <c r="K1621" t="str">
        <f>"112045933418"</f>
        <v>112045933418</v>
      </c>
      <c r="L1621" t="str">
        <f t="shared" si="669"/>
        <v>04-08-2020</v>
      </c>
      <c r="M1621" t="str">
        <f t="shared" si="669"/>
        <v>04-08-2020</v>
      </c>
      <c r="N1621" t="str">
        <f t="shared" si="670"/>
        <v>001105018356</v>
      </c>
      <c r="O1621" t="str">
        <f t="shared" si="671"/>
        <v>MYR</v>
      </c>
      <c r="P1621" t="str">
        <f t="shared" si="672"/>
        <v>NIL</v>
      </c>
      <c r="Q1621" t="str">
        <f t="shared" si="672"/>
        <v>NIL</v>
      </c>
      <c r="R1621" t="str">
        <f t="shared" si="673"/>
        <v>Accepted</v>
      </c>
      <c r="S1621" t="str">
        <f t="shared" si="674"/>
        <v>Approved</v>
      </c>
      <c r="T1621" t="str">
        <f t="shared" si="675"/>
        <v>10.20.8.188</v>
      </c>
      <c r="U1621" t="str">
        <f t="shared" si="676"/>
        <v>AZRAD UMAR BIN SHAARI</v>
      </c>
      <c r="V1621" t="str">
        <f t="shared" si="677"/>
        <v>FARHANA BINTI MUSTAPA</v>
      </c>
      <c r="W1621" t="str">
        <f t="shared" si="678"/>
        <v>04-08-2020</v>
      </c>
      <c r="X1621" t="str">
        <f t="shared" si="679"/>
        <v>RAZIMAH ANSAR AHMAD</v>
      </c>
      <c r="Y1621" t="str">
        <f t="shared" si="680"/>
        <v>04-08-2020</v>
      </c>
      <c r="Z1621" t="str">
        <f>"COS10200804 7533"</f>
        <v>COS10200804 7533</v>
      </c>
    </row>
    <row r="1622" spans="1:26" x14ac:dyDescent="0.25">
      <c r="A1622" t="str">
        <f t="shared" si="683"/>
        <v>04-08-2020 01:07:32</v>
      </c>
      <c r="B1622" t="str">
        <f>"0000809332"</f>
        <v>0000809332</v>
      </c>
      <c r="C1622" t="str">
        <f t="shared" si="684"/>
        <v>0000809200</v>
      </c>
      <c r="D1622" t="str">
        <f t="shared" si="666"/>
        <v>73185</v>
      </c>
      <c r="E1622" t="str">
        <f t="shared" si="667"/>
        <v>KFH-OPERATIONS DEPARTMENT</v>
      </c>
      <c r="F1622" t="str">
        <f t="shared" si="668"/>
        <v>IBG</v>
      </c>
      <c r="G1622" t="str">
        <f t="shared" si="681"/>
        <v>Refund COSHARE 10</v>
      </c>
      <c r="H1622" s="2">
        <v>494</v>
      </c>
      <c r="I1622" t="str">
        <f>"SITI NORHAFIZAH BINTI ROSLI"</f>
        <v>SITI NORHAFIZAH BINTI ROSLI</v>
      </c>
      <c r="J1622" t="str">
        <f t="shared" si="682"/>
        <v>MAYBANK / MAYBANK ISLAMIC</v>
      </c>
      <c r="K1622" t="str">
        <f>"114281095094"</f>
        <v>114281095094</v>
      </c>
      <c r="L1622" t="str">
        <f t="shared" si="669"/>
        <v>04-08-2020</v>
      </c>
      <c r="M1622" t="str">
        <f t="shared" si="669"/>
        <v>04-08-2020</v>
      </c>
      <c r="N1622" t="str">
        <f t="shared" si="670"/>
        <v>001105018356</v>
      </c>
      <c r="O1622" t="str">
        <f t="shared" si="671"/>
        <v>MYR</v>
      </c>
      <c r="P1622" t="str">
        <f t="shared" si="672"/>
        <v>NIL</v>
      </c>
      <c r="Q1622" t="str">
        <f t="shared" si="672"/>
        <v>NIL</v>
      </c>
      <c r="R1622" t="str">
        <f t="shared" si="673"/>
        <v>Accepted</v>
      </c>
      <c r="S1622" t="str">
        <f t="shared" si="674"/>
        <v>Approved</v>
      </c>
      <c r="T1622" t="str">
        <f t="shared" si="675"/>
        <v>10.20.8.188</v>
      </c>
      <c r="U1622" t="str">
        <f t="shared" si="676"/>
        <v>AZRAD UMAR BIN SHAARI</v>
      </c>
      <c r="V1622" t="str">
        <f t="shared" si="677"/>
        <v>FARHANA BINTI MUSTAPA</v>
      </c>
      <c r="W1622" t="str">
        <f t="shared" si="678"/>
        <v>04-08-2020</v>
      </c>
      <c r="X1622" t="str">
        <f t="shared" si="679"/>
        <v>RAZIMAH ANSAR AHMAD</v>
      </c>
      <c r="Y1622" t="str">
        <f t="shared" si="680"/>
        <v>04-08-2020</v>
      </c>
      <c r="Z1622" t="str">
        <f>"COS10200804 7532"</f>
        <v>COS10200804 7532</v>
      </c>
    </row>
    <row r="1623" spans="1:26" x14ac:dyDescent="0.25">
      <c r="A1623" t="str">
        <f t="shared" si="683"/>
        <v>04-08-2020 01:07:32</v>
      </c>
      <c r="B1623" t="str">
        <f>"0000809331"</f>
        <v>0000809331</v>
      </c>
      <c r="C1623" t="str">
        <f t="shared" si="684"/>
        <v>0000809200</v>
      </c>
      <c r="D1623" t="str">
        <f t="shared" si="666"/>
        <v>73185</v>
      </c>
      <c r="E1623" t="str">
        <f t="shared" si="667"/>
        <v>KFH-OPERATIONS DEPARTMENT</v>
      </c>
      <c r="F1623" t="str">
        <f t="shared" si="668"/>
        <v>IBG</v>
      </c>
      <c r="G1623" t="str">
        <f t="shared" si="681"/>
        <v>Refund COSHARE 10</v>
      </c>
      <c r="H1623" s="2">
        <v>587.65</v>
      </c>
      <c r="I1623" t="str">
        <f>"SITI NORHAFIZAH BINTI HASSAN"</f>
        <v>SITI NORHAFIZAH BINTI HASSAN</v>
      </c>
      <c r="J1623" t="str">
        <f t="shared" si="682"/>
        <v>MAYBANK / MAYBANK ISLAMIC</v>
      </c>
      <c r="K1623" t="str">
        <f>"151052064526"</f>
        <v>151052064526</v>
      </c>
      <c r="L1623" t="str">
        <f t="shared" si="669"/>
        <v>04-08-2020</v>
      </c>
      <c r="M1623" t="str">
        <f t="shared" si="669"/>
        <v>04-08-2020</v>
      </c>
      <c r="N1623" t="str">
        <f t="shared" si="670"/>
        <v>001105018356</v>
      </c>
      <c r="O1623" t="str">
        <f t="shared" si="671"/>
        <v>MYR</v>
      </c>
      <c r="P1623" t="str">
        <f t="shared" si="672"/>
        <v>NIL</v>
      </c>
      <c r="Q1623" t="str">
        <f t="shared" si="672"/>
        <v>NIL</v>
      </c>
      <c r="R1623" t="str">
        <f t="shared" si="673"/>
        <v>Accepted</v>
      </c>
      <c r="S1623" t="str">
        <f t="shared" si="674"/>
        <v>Approved</v>
      </c>
      <c r="T1623" t="str">
        <f t="shared" si="675"/>
        <v>10.20.8.188</v>
      </c>
      <c r="U1623" t="str">
        <f t="shared" si="676"/>
        <v>AZRAD UMAR BIN SHAARI</v>
      </c>
      <c r="V1623" t="str">
        <f t="shared" si="677"/>
        <v>FARHANA BINTI MUSTAPA</v>
      </c>
      <c r="W1623" t="str">
        <f t="shared" si="678"/>
        <v>04-08-2020</v>
      </c>
      <c r="X1623" t="str">
        <f t="shared" si="679"/>
        <v>RAZIMAH ANSAR AHMAD</v>
      </c>
      <c r="Y1623" t="str">
        <f t="shared" si="680"/>
        <v>04-08-2020</v>
      </c>
      <c r="Z1623" t="str">
        <f>"COS10200804 7531"</f>
        <v>COS10200804 7531</v>
      </c>
    </row>
    <row r="1624" spans="1:26" x14ac:dyDescent="0.25">
      <c r="A1624" t="str">
        <f t="shared" si="683"/>
        <v>04-08-2020 01:07:32</v>
      </c>
      <c r="B1624" t="str">
        <f>"0000809330"</f>
        <v>0000809330</v>
      </c>
      <c r="C1624" t="str">
        <f t="shared" si="684"/>
        <v>0000809200</v>
      </c>
      <c r="D1624" t="str">
        <f t="shared" si="666"/>
        <v>73185</v>
      </c>
      <c r="E1624" t="str">
        <f t="shared" si="667"/>
        <v>KFH-OPERATIONS DEPARTMENT</v>
      </c>
      <c r="F1624" t="str">
        <f t="shared" si="668"/>
        <v>IBG</v>
      </c>
      <c r="G1624" t="str">
        <f t="shared" si="681"/>
        <v>Refund COSHARE 10</v>
      </c>
      <c r="H1624" s="2">
        <v>1284.7</v>
      </c>
      <c r="I1624" t="str">
        <f>"SITI NORDINA BINTI AHMAD"</f>
        <v>SITI NORDINA BINTI AHMAD</v>
      </c>
      <c r="J1624" t="str">
        <f t="shared" si="682"/>
        <v>MAYBANK / MAYBANK ISLAMIC</v>
      </c>
      <c r="K1624" t="str">
        <f>"105046351136"</f>
        <v>105046351136</v>
      </c>
      <c r="L1624" t="str">
        <f t="shared" si="669"/>
        <v>04-08-2020</v>
      </c>
      <c r="M1624" t="str">
        <f t="shared" si="669"/>
        <v>04-08-2020</v>
      </c>
      <c r="N1624" t="str">
        <f t="shared" si="670"/>
        <v>001105018356</v>
      </c>
      <c r="O1624" t="str">
        <f t="shared" si="671"/>
        <v>MYR</v>
      </c>
      <c r="P1624" t="str">
        <f t="shared" si="672"/>
        <v>NIL</v>
      </c>
      <c r="Q1624" t="str">
        <f t="shared" si="672"/>
        <v>NIL</v>
      </c>
      <c r="R1624" t="str">
        <f t="shared" si="673"/>
        <v>Accepted</v>
      </c>
      <c r="S1624" t="str">
        <f t="shared" si="674"/>
        <v>Approved</v>
      </c>
      <c r="T1624" t="str">
        <f t="shared" si="675"/>
        <v>10.20.8.188</v>
      </c>
      <c r="U1624" t="str">
        <f t="shared" si="676"/>
        <v>AZRAD UMAR BIN SHAARI</v>
      </c>
      <c r="V1624" t="str">
        <f t="shared" si="677"/>
        <v>FARHANA BINTI MUSTAPA</v>
      </c>
      <c r="W1624" t="str">
        <f t="shared" si="678"/>
        <v>04-08-2020</v>
      </c>
      <c r="X1624" t="str">
        <f t="shared" si="679"/>
        <v>RAZIMAH ANSAR AHMAD</v>
      </c>
      <c r="Y1624" t="str">
        <f t="shared" si="680"/>
        <v>04-08-2020</v>
      </c>
      <c r="Z1624" t="str">
        <f>"COS10200804 7530"</f>
        <v>COS10200804 7530</v>
      </c>
    </row>
    <row r="1625" spans="1:26" x14ac:dyDescent="0.25">
      <c r="A1625" t="str">
        <f t="shared" si="683"/>
        <v>04-08-2020 01:07:32</v>
      </c>
      <c r="B1625" t="str">
        <f>"0000809329"</f>
        <v>0000809329</v>
      </c>
      <c r="C1625" t="str">
        <f t="shared" si="684"/>
        <v>0000809200</v>
      </c>
      <c r="D1625" t="str">
        <f t="shared" si="666"/>
        <v>73185</v>
      </c>
      <c r="E1625" t="str">
        <f t="shared" si="667"/>
        <v>KFH-OPERATIONS DEPARTMENT</v>
      </c>
      <c r="F1625" t="str">
        <f t="shared" si="668"/>
        <v>IBG</v>
      </c>
      <c r="G1625" t="str">
        <f t="shared" si="681"/>
        <v>Refund COSHARE 10</v>
      </c>
      <c r="H1625" s="2">
        <v>209.9</v>
      </c>
      <c r="I1625" t="str">
        <f>"SITI NORBAIYAH BINTI MD RAMDZAN"</f>
        <v>SITI NORBAIYAH BINTI MD RAMDZAN</v>
      </c>
      <c r="J1625" t="str">
        <f t="shared" si="682"/>
        <v>MAYBANK / MAYBANK ISLAMIC</v>
      </c>
      <c r="K1625" t="str">
        <f>"151016985902"</f>
        <v>151016985902</v>
      </c>
      <c r="L1625" t="str">
        <f t="shared" si="669"/>
        <v>04-08-2020</v>
      </c>
      <c r="M1625" t="str">
        <f t="shared" si="669"/>
        <v>04-08-2020</v>
      </c>
      <c r="N1625" t="str">
        <f t="shared" si="670"/>
        <v>001105018356</v>
      </c>
      <c r="O1625" t="str">
        <f t="shared" si="671"/>
        <v>MYR</v>
      </c>
      <c r="P1625" t="str">
        <f t="shared" si="672"/>
        <v>NIL</v>
      </c>
      <c r="Q1625" t="str">
        <f t="shared" si="672"/>
        <v>NIL</v>
      </c>
      <c r="R1625" t="str">
        <f t="shared" si="673"/>
        <v>Accepted</v>
      </c>
      <c r="S1625" t="str">
        <f t="shared" si="674"/>
        <v>Approved</v>
      </c>
      <c r="T1625" t="str">
        <f t="shared" si="675"/>
        <v>10.20.8.188</v>
      </c>
      <c r="U1625" t="str">
        <f t="shared" si="676"/>
        <v>AZRAD UMAR BIN SHAARI</v>
      </c>
      <c r="V1625" t="str">
        <f t="shared" si="677"/>
        <v>FARHANA BINTI MUSTAPA</v>
      </c>
      <c r="W1625" t="str">
        <f t="shared" si="678"/>
        <v>04-08-2020</v>
      </c>
      <c r="X1625" t="str">
        <f t="shared" si="679"/>
        <v>RAZIMAH ANSAR AHMAD</v>
      </c>
      <c r="Y1625" t="str">
        <f t="shared" si="680"/>
        <v>04-08-2020</v>
      </c>
      <c r="Z1625" t="str">
        <f>"COS10200804 7529"</f>
        <v>COS10200804 7529</v>
      </c>
    </row>
    <row r="1626" spans="1:26" x14ac:dyDescent="0.25">
      <c r="A1626" t="str">
        <f t="shared" si="683"/>
        <v>04-08-2020 01:07:32</v>
      </c>
      <c r="B1626" t="str">
        <f>"0000809328"</f>
        <v>0000809328</v>
      </c>
      <c r="C1626" t="str">
        <f t="shared" si="684"/>
        <v>0000809200</v>
      </c>
      <c r="D1626" t="str">
        <f t="shared" si="666"/>
        <v>73185</v>
      </c>
      <c r="E1626" t="str">
        <f t="shared" si="667"/>
        <v>KFH-OPERATIONS DEPARTMENT</v>
      </c>
      <c r="F1626" t="str">
        <f t="shared" si="668"/>
        <v>IBG</v>
      </c>
      <c r="G1626" t="str">
        <f t="shared" si="681"/>
        <v>Refund COSHARE 10</v>
      </c>
      <c r="H1626" s="2">
        <v>92.35</v>
      </c>
      <c r="I1626" t="str">
        <f>"SITI NORAZREEN BINTI YAZID"</f>
        <v>SITI NORAZREEN BINTI YAZID</v>
      </c>
      <c r="J1626" t="str">
        <f t="shared" si="682"/>
        <v>MAYBANK / MAYBANK ISLAMIC</v>
      </c>
      <c r="K1626" t="str">
        <f>"151593045475"</f>
        <v>151593045475</v>
      </c>
      <c r="L1626" t="str">
        <f t="shared" si="669"/>
        <v>04-08-2020</v>
      </c>
      <c r="M1626" t="str">
        <f t="shared" si="669"/>
        <v>04-08-2020</v>
      </c>
      <c r="N1626" t="str">
        <f t="shared" si="670"/>
        <v>001105018356</v>
      </c>
      <c r="O1626" t="str">
        <f t="shared" si="671"/>
        <v>MYR</v>
      </c>
      <c r="P1626" t="str">
        <f t="shared" si="672"/>
        <v>NIL</v>
      </c>
      <c r="Q1626" t="str">
        <f t="shared" si="672"/>
        <v>NIL</v>
      </c>
      <c r="R1626" t="str">
        <f t="shared" si="673"/>
        <v>Accepted</v>
      </c>
      <c r="S1626" t="str">
        <f t="shared" si="674"/>
        <v>Approved</v>
      </c>
      <c r="T1626" t="str">
        <f t="shared" si="675"/>
        <v>10.20.8.188</v>
      </c>
      <c r="U1626" t="str">
        <f t="shared" si="676"/>
        <v>AZRAD UMAR BIN SHAARI</v>
      </c>
      <c r="V1626" t="str">
        <f t="shared" si="677"/>
        <v>FARHANA BINTI MUSTAPA</v>
      </c>
      <c r="W1626" t="str">
        <f t="shared" si="678"/>
        <v>04-08-2020</v>
      </c>
      <c r="X1626" t="str">
        <f t="shared" si="679"/>
        <v>RAZIMAH ANSAR AHMAD</v>
      </c>
      <c r="Y1626" t="str">
        <f t="shared" si="680"/>
        <v>04-08-2020</v>
      </c>
      <c r="Z1626" t="str">
        <f>"COS10200804 7528"</f>
        <v>COS10200804 7528</v>
      </c>
    </row>
    <row r="1627" spans="1:26" x14ac:dyDescent="0.25">
      <c r="A1627" t="str">
        <f t="shared" si="683"/>
        <v>04-08-2020 01:07:32</v>
      </c>
      <c r="B1627" t="str">
        <f>"0000809327"</f>
        <v>0000809327</v>
      </c>
      <c r="C1627" t="str">
        <f t="shared" si="684"/>
        <v>0000809200</v>
      </c>
      <c r="D1627" t="str">
        <f t="shared" si="666"/>
        <v>73185</v>
      </c>
      <c r="E1627" t="str">
        <f t="shared" si="667"/>
        <v>KFH-OPERATIONS DEPARTMENT</v>
      </c>
      <c r="F1627" t="str">
        <f t="shared" si="668"/>
        <v>IBG</v>
      </c>
      <c r="G1627" t="str">
        <f t="shared" si="681"/>
        <v>Refund COSHARE 10</v>
      </c>
      <c r="H1627" s="2">
        <v>127.05</v>
      </c>
      <c r="I1627" t="str">
        <f>"SITI NORAZEAN BINTI ZAINAL ABIDIN"</f>
        <v>SITI NORAZEAN BINTI ZAINAL ABIDIN</v>
      </c>
      <c r="J1627" t="str">
        <f t="shared" si="682"/>
        <v>MAYBANK / MAYBANK ISLAMIC</v>
      </c>
      <c r="K1627" t="str">
        <f>"151164132798"</f>
        <v>151164132798</v>
      </c>
      <c r="L1627" t="str">
        <f t="shared" ref="L1627:M1646" si="685">"04-08-2020"</f>
        <v>04-08-2020</v>
      </c>
      <c r="M1627" t="str">
        <f t="shared" si="685"/>
        <v>04-08-2020</v>
      </c>
      <c r="N1627" t="str">
        <f t="shared" si="670"/>
        <v>001105018356</v>
      </c>
      <c r="O1627" t="str">
        <f t="shared" si="671"/>
        <v>MYR</v>
      </c>
      <c r="P1627" t="str">
        <f t="shared" ref="P1627:Q1646" si="686">"NIL"</f>
        <v>NIL</v>
      </c>
      <c r="Q1627" t="str">
        <f t="shared" si="686"/>
        <v>NIL</v>
      </c>
      <c r="R1627" t="str">
        <f t="shared" si="673"/>
        <v>Accepted</v>
      </c>
      <c r="S1627" t="str">
        <f t="shared" si="674"/>
        <v>Approved</v>
      </c>
      <c r="T1627" t="str">
        <f t="shared" si="675"/>
        <v>10.20.8.188</v>
      </c>
      <c r="U1627" t="str">
        <f t="shared" si="676"/>
        <v>AZRAD UMAR BIN SHAARI</v>
      </c>
      <c r="V1627" t="str">
        <f t="shared" si="677"/>
        <v>FARHANA BINTI MUSTAPA</v>
      </c>
      <c r="W1627" t="str">
        <f t="shared" si="678"/>
        <v>04-08-2020</v>
      </c>
      <c r="X1627" t="str">
        <f t="shared" si="679"/>
        <v>RAZIMAH ANSAR AHMAD</v>
      </c>
      <c r="Y1627" t="str">
        <f t="shared" si="680"/>
        <v>04-08-2020</v>
      </c>
      <c r="Z1627" t="str">
        <f>"COS10200804 7527"</f>
        <v>COS10200804 7527</v>
      </c>
    </row>
    <row r="1628" spans="1:26" x14ac:dyDescent="0.25">
      <c r="A1628" t="str">
        <f t="shared" si="683"/>
        <v>04-08-2020 01:07:32</v>
      </c>
      <c r="B1628" t="str">
        <f>"0000809326"</f>
        <v>0000809326</v>
      </c>
      <c r="C1628" t="str">
        <f t="shared" si="684"/>
        <v>0000809200</v>
      </c>
      <c r="D1628" t="str">
        <f t="shared" si="666"/>
        <v>73185</v>
      </c>
      <c r="E1628" t="str">
        <f t="shared" si="667"/>
        <v>KFH-OPERATIONS DEPARTMENT</v>
      </c>
      <c r="F1628" t="str">
        <f t="shared" si="668"/>
        <v>IBG</v>
      </c>
      <c r="G1628" t="str">
        <f t="shared" si="681"/>
        <v>Refund COSHARE 10</v>
      </c>
      <c r="H1628" s="2">
        <v>384.3</v>
      </c>
      <c r="I1628" t="str">
        <f>"SITI NORAIZAN BINTI BUANG"</f>
        <v>SITI NORAIZAN BINTI BUANG</v>
      </c>
      <c r="J1628" t="str">
        <f t="shared" si="682"/>
        <v>MAYBANK / MAYBANK ISLAMIC</v>
      </c>
      <c r="K1628" t="str">
        <f>"101049305743"</f>
        <v>101049305743</v>
      </c>
      <c r="L1628" t="str">
        <f t="shared" si="685"/>
        <v>04-08-2020</v>
      </c>
      <c r="M1628" t="str">
        <f t="shared" si="685"/>
        <v>04-08-2020</v>
      </c>
      <c r="N1628" t="str">
        <f t="shared" si="670"/>
        <v>001105018356</v>
      </c>
      <c r="O1628" t="str">
        <f t="shared" si="671"/>
        <v>MYR</v>
      </c>
      <c r="P1628" t="str">
        <f t="shared" si="686"/>
        <v>NIL</v>
      </c>
      <c r="Q1628" t="str">
        <f t="shared" si="686"/>
        <v>NIL</v>
      </c>
      <c r="R1628" t="str">
        <f t="shared" si="673"/>
        <v>Accepted</v>
      </c>
      <c r="S1628" t="str">
        <f t="shared" si="674"/>
        <v>Approved</v>
      </c>
      <c r="T1628" t="str">
        <f t="shared" si="675"/>
        <v>10.20.8.188</v>
      </c>
      <c r="U1628" t="str">
        <f t="shared" si="676"/>
        <v>AZRAD UMAR BIN SHAARI</v>
      </c>
      <c r="V1628" t="str">
        <f t="shared" si="677"/>
        <v>FARHANA BINTI MUSTAPA</v>
      </c>
      <c r="W1628" t="str">
        <f t="shared" si="678"/>
        <v>04-08-2020</v>
      </c>
      <c r="X1628" t="str">
        <f t="shared" si="679"/>
        <v>RAZIMAH ANSAR AHMAD</v>
      </c>
      <c r="Y1628" t="str">
        <f t="shared" si="680"/>
        <v>04-08-2020</v>
      </c>
      <c r="Z1628" t="str">
        <f>"COS10200804 7526"</f>
        <v>COS10200804 7526</v>
      </c>
    </row>
    <row r="1629" spans="1:26" x14ac:dyDescent="0.25">
      <c r="A1629" t="str">
        <f t="shared" si="683"/>
        <v>04-08-2020 01:07:32</v>
      </c>
      <c r="B1629" t="str">
        <f>"0000809325"</f>
        <v>0000809325</v>
      </c>
      <c r="C1629" t="str">
        <f t="shared" si="684"/>
        <v>0000809200</v>
      </c>
      <c r="D1629" t="str">
        <f t="shared" si="666"/>
        <v>73185</v>
      </c>
      <c r="E1629" t="str">
        <f t="shared" si="667"/>
        <v>KFH-OPERATIONS DEPARTMENT</v>
      </c>
      <c r="F1629" t="str">
        <f t="shared" si="668"/>
        <v>IBG</v>
      </c>
      <c r="G1629" t="str">
        <f t="shared" si="681"/>
        <v>Refund COSHARE 10</v>
      </c>
      <c r="H1629" s="2">
        <v>881.5</v>
      </c>
      <c r="I1629" t="str">
        <f>"SITI NORAIN BINTI JAMALI"</f>
        <v>SITI NORAIN BINTI JAMALI</v>
      </c>
      <c r="J1629" t="str">
        <f t="shared" si="682"/>
        <v>MAYBANK / MAYBANK ISLAMIC</v>
      </c>
      <c r="K1629" t="str">
        <f>"151212959397"</f>
        <v>151212959397</v>
      </c>
      <c r="L1629" t="str">
        <f t="shared" si="685"/>
        <v>04-08-2020</v>
      </c>
      <c r="M1629" t="str">
        <f t="shared" si="685"/>
        <v>04-08-2020</v>
      </c>
      <c r="N1629" t="str">
        <f t="shared" si="670"/>
        <v>001105018356</v>
      </c>
      <c r="O1629" t="str">
        <f t="shared" si="671"/>
        <v>MYR</v>
      </c>
      <c r="P1629" t="str">
        <f t="shared" si="686"/>
        <v>NIL</v>
      </c>
      <c r="Q1629" t="str">
        <f t="shared" si="686"/>
        <v>NIL</v>
      </c>
      <c r="R1629" t="str">
        <f t="shared" si="673"/>
        <v>Accepted</v>
      </c>
      <c r="S1629" t="str">
        <f t="shared" si="674"/>
        <v>Approved</v>
      </c>
      <c r="T1629" t="str">
        <f t="shared" si="675"/>
        <v>10.20.8.188</v>
      </c>
      <c r="U1629" t="str">
        <f t="shared" si="676"/>
        <v>AZRAD UMAR BIN SHAARI</v>
      </c>
      <c r="V1629" t="str">
        <f t="shared" si="677"/>
        <v>FARHANA BINTI MUSTAPA</v>
      </c>
      <c r="W1629" t="str">
        <f t="shared" si="678"/>
        <v>04-08-2020</v>
      </c>
      <c r="X1629" t="str">
        <f t="shared" si="679"/>
        <v>RAZIMAH ANSAR AHMAD</v>
      </c>
      <c r="Y1629" t="str">
        <f t="shared" si="680"/>
        <v>04-08-2020</v>
      </c>
      <c r="Z1629" t="str">
        <f>"COS10200804 7525"</f>
        <v>COS10200804 7525</v>
      </c>
    </row>
    <row r="1630" spans="1:26" x14ac:dyDescent="0.25">
      <c r="A1630" t="str">
        <f t="shared" si="683"/>
        <v>04-08-2020 01:07:32</v>
      </c>
      <c r="B1630" t="str">
        <f>"0000809324"</f>
        <v>0000809324</v>
      </c>
      <c r="C1630" t="str">
        <f t="shared" si="684"/>
        <v>0000809200</v>
      </c>
      <c r="D1630" t="str">
        <f t="shared" si="666"/>
        <v>73185</v>
      </c>
      <c r="E1630" t="str">
        <f t="shared" si="667"/>
        <v>KFH-OPERATIONS DEPARTMENT</v>
      </c>
      <c r="F1630" t="str">
        <f t="shared" si="668"/>
        <v>IBG</v>
      </c>
      <c r="G1630" t="str">
        <f t="shared" si="681"/>
        <v>Refund COSHARE 10</v>
      </c>
      <c r="H1630" s="2">
        <v>839.5</v>
      </c>
      <c r="I1630" t="str">
        <f>"SITI NORA BINTI YA"</f>
        <v>SITI NORA BINTI YA</v>
      </c>
      <c r="J1630" t="str">
        <f t="shared" si="682"/>
        <v>MAYBANK / MAYBANK ISLAMIC</v>
      </c>
      <c r="K1630" t="str">
        <f>"163082066797"</f>
        <v>163082066797</v>
      </c>
      <c r="L1630" t="str">
        <f t="shared" si="685"/>
        <v>04-08-2020</v>
      </c>
      <c r="M1630" t="str">
        <f t="shared" si="685"/>
        <v>04-08-2020</v>
      </c>
      <c r="N1630" t="str">
        <f t="shared" si="670"/>
        <v>001105018356</v>
      </c>
      <c r="O1630" t="str">
        <f t="shared" si="671"/>
        <v>MYR</v>
      </c>
      <c r="P1630" t="str">
        <f t="shared" si="686"/>
        <v>NIL</v>
      </c>
      <c r="Q1630" t="str">
        <f t="shared" si="686"/>
        <v>NIL</v>
      </c>
      <c r="R1630" t="str">
        <f t="shared" si="673"/>
        <v>Accepted</v>
      </c>
      <c r="S1630" t="str">
        <f t="shared" si="674"/>
        <v>Approved</v>
      </c>
      <c r="T1630" t="str">
        <f t="shared" si="675"/>
        <v>10.20.8.188</v>
      </c>
      <c r="U1630" t="str">
        <f t="shared" si="676"/>
        <v>AZRAD UMAR BIN SHAARI</v>
      </c>
      <c r="V1630" t="str">
        <f t="shared" si="677"/>
        <v>FARHANA BINTI MUSTAPA</v>
      </c>
      <c r="W1630" t="str">
        <f t="shared" si="678"/>
        <v>04-08-2020</v>
      </c>
      <c r="X1630" t="str">
        <f t="shared" si="679"/>
        <v>RAZIMAH ANSAR AHMAD</v>
      </c>
      <c r="Y1630" t="str">
        <f t="shared" si="680"/>
        <v>04-08-2020</v>
      </c>
      <c r="Z1630" t="str">
        <f>"COS10200804 7524"</f>
        <v>COS10200804 7524</v>
      </c>
    </row>
    <row r="1631" spans="1:26" x14ac:dyDescent="0.25">
      <c r="A1631" t="str">
        <f t="shared" si="683"/>
        <v>04-08-2020 01:07:32</v>
      </c>
      <c r="B1631" t="str">
        <f>"0000809323"</f>
        <v>0000809323</v>
      </c>
      <c r="C1631" t="str">
        <f t="shared" si="684"/>
        <v>0000809200</v>
      </c>
      <c r="D1631" t="str">
        <f t="shared" si="666"/>
        <v>73185</v>
      </c>
      <c r="E1631" t="str">
        <f t="shared" si="667"/>
        <v>KFH-OPERATIONS DEPARTMENT</v>
      </c>
      <c r="F1631" t="str">
        <f t="shared" si="668"/>
        <v>IBG</v>
      </c>
      <c r="G1631" t="str">
        <f t="shared" si="681"/>
        <v>Refund COSHARE 10</v>
      </c>
      <c r="H1631" s="2">
        <v>228</v>
      </c>
      <c r="I1631" t="str">
        <f>"SITI NOR SHAFIKAH BINTI ZAKARIA"</f>
        <v>SITI NOR SHAFIKAH BINTI ZAKARIA</v>
      </c>
      <c r="J1631" t="str">
        <f t="shared" si="682"/>
        <v>MAYBANK / MAYBANK ISLAMIC</v>
      </c>
      <c r="K1631" t="str">
        <f>"164762010480"</f>
        <v>164762010480</v>
      </c>
      <c r="L1631" t="str">
        <f t="shared" si="685"/>
        <v>04-08-2020</v>
      </c>
      <c r="M1631" t="str">
        <f t="shared" si="685"/>
        <v>04-08-2020</v>
      </c>
      <c r="N1631" t="str">
        <f t="shared" si="670"/>
        <v>001105018356</v>
      </c>
      <c r="O1631" t="str">
        <f t="shared" si="671"/>
        <v>MYR</v>
      </c>
      <c r="P1631" t="str">
        <f t="shared" si="686"/>
        <v>NIL</v>
      </c>
      <c r="Q1631" t="str">
        <f t="shared" si="686"/>
        <v>NIL</v>
      </c>
      <c r="R1631" t="str">
        <f t="shared" si="673"/>
        <v>Accepted</v>
      </c>
      <c r="S1631" t="str">
        <f t="shared" si="674"/>
        <v>Approved</v>
      </c>
      <c r="T1631" t="str">
        <f t="shared" si="675"/>
        <v>10.20.8.188</v>
      </c>
      <c r="U1631" t="str">
        <f t="shared" si="676"/>
        <v>AZRAD UMAR BIN SHAARI</v>
      </c>
      <c r="V1631" t="str">
        <f t="shared" si="677"/>
        <v>FARHANA BINTI MUSTAPA</v>
      </c>
      <c r="W1631" t="str">
        <f t="shared" si="678"/>
        <v>04-08-2020</v>
      </c>
      <c r="X1631" t="str">
        <f t="shared" si="679"/>
        <v>RAZIMAH ANSAR AHMAD</v>
      </c>
      <c r="Y1631" t="str">
        <f t="shared" si="680"/>
        <v>04-08-2020</v>
      </c>
      <c r="Z1631" t="str">
        <f>"COS10200804 7523"</f>
        <v>COS10200804 7523</v>
      </c>
    </row>
    <row r="1632" spans="1:26" x14ac:dyDescent="0.25">
      <c r="A1632" t="str">
        <f t="shared" si="683"/>
        <v>04-08-2020 01:07:32</v>
      </c>
      <c r="B1632" t="str">
        <f>"0000809322"</f>
        <v>0000809322</v>
      </c>
      <c r="C1632" t="str">
        <f t="shared" si="684"/>
        <v>0000809200</v>
      </c>
      <c r="D1632" t="str">
        <f t="shared" si="666"/>
        <v>73185</v>
      </c>
      <c r="E1632" t="str">
        <f t="shared" si="667"/>
        <v>KFH-OPERATIONS DEPARTMENT</v>
      </c>
      <c r="F1632" t="str">
        <f t="shared" si="668"/>
        <v>IBG</v>
      </c>
      <c r="G1632" t="str">
        <f t="shared" si="681"/>
        <v>Refund COSHARE 10</v>
      </c>
      <c r="H1632" s="2">
        <v>293.85000000000002</v>
      </c>
      <c r="I1632" t="str">
        <f>"SITI NOR HAFIZA BINTI GHAZALI"</f>
        <v>SITI NOR HAFIZA BINTI GHAZALI</v>
      </c>
      <c r="J1632" t="str">
        <f t="shared" si="682"/>
        <v>MAYBANK / MAYBANK ISLAMIC</v>
      </c>
      <c r="K1632" t="str">
        <f>"116015043432"</f>
        <v>116015043432</v>
      </c>
      <c r="L1632" t="str">
        <f t="shared" si="685"/>
        <v>04-08-2020</v>
      </c>
      <c r="M1632" t="str">
        <f t="shared" si="685"/>
        <v>04-08-2020</v>
      </c>
      <c r="N1632" t="str">
        <f t="shared" si="670"/>
        <v>001105018356</v>
      </c>
      <c r="O1632" t="str">
        <f t="shared" si="671"/>
        <v>MYR</v>
      </c>
      <c r="P1632" t="str">
        <f t="shared" si="686"/>
        <v>NIL</v>
      </c>
      <c r="Q1632" t="str">
        <f t="shared" si="686"/>
        <v>NIL</v>
      </c>
      <c r="R1632" t="str">
        <f t="shared" si="673"/>
        <v>Accepted</v>
      </c>
      <c r="S1632" t="str">
        <f t="shared" si="674"/>
        <v>Approved</v>
      </c>
      <c r="T1632" t="str">
        <f t="shared" si="675"/>
        <v>10.20.8.188</v>
      </c>
      <c r="U1632" t="str">
        <f t="shared" si="676"/>
        <v>AZRAD UMAR BIN SHAARI</v>
      </c>
      <c r="V1632" t="str">
        <f t="shared" si="677"/>
        <v>FARHANA BINTI MUSTAPA</v>
      </c>
      <c r="W1632" t="str">
        <f t="shared" si="678"/>
        <v>04-08-2020</v>
      </c>
      <c r="X1632" t="str">
        <f t="shared" si="679"/>
        <v>RAZIMAH ANSAR AHMAD</v>
      </c>
      <c r="Y1632" t="str">
        <f t="shared" si="680"/>
        <v>04-08-2020</v>
      </c>
      <c r="Z1632" t="str">
        <f>"COS10200804 7522"</f>
        <v>COS10200804 7522</v>
      </c>
    </row>
    <row r="1633" spans="1:26" x14ac:dyDescent="0.25">
      <c r="A1633" t="str">
        <f t="shared" si="683"/>
        <v>04-08-2020 01:07:32</v>
      </c>
      <c r="B1633" t="str">
        <f>"0000809321"</f>
        <v>0000809321</v>
      </c>
      <c r="C1633" t="str">
        <f t="shared" si="684"/>
        <v>0000809200</v>
      </c>
      <c r="D1633" t="str">
        <f t="shared" si="666"/>
        <v>73185</v>
      </c>
      <c r="E1633" t="str">
        <f t="shared" si="667"/>
        <v>KFH-OPERATIONS DEPARTMENT</v>
      </c>
      <c r="F1633" t="str">
        <f t="shared" si="668"/>
        <v>IBG</v>
      </c>
      <c r="G1633" t="str">
        <f t="shared" si="681"/>
        <v>Refund COSHARE 10</v>
      </c>
      <c r="H1633" s="2">
        <v>161</v>
      </c>
      <c r="I1633" t="str">
        <f>"SITI NOR AZIZAH BINTI MD MAHDI"</f>
        <v>SITI NOR AZIZAH BINTI MD MAHDI</v>
      </c>
      <c r="J1633" t="str">
        <f t="shared" si="682"/>
        <v>MAYBANK / MAYBANK ISLAMIC</v>
      </c>
      <c r="K1633" t="str">
        <f>"151034649246"</f>
        <v>151034649246</v>
      </c>
      <c r="L1633" t="str">
        <f t="shared" si="685"/>
        <v>04-08-2020</v>
      </c>
      <c r="M1633" t="str">
        <f t="shared" si="685"/>
        <v>04-08-2020</v>
      </c>
      <c r="N1633" t="str">
        <f t="shared" si="670"/>
        <v>001105018356</v>
      </c>
      <c r="O1633" t="str">
        <f t="shared" si="671"/>
        <v>MYR</v>
      </c>
      <c r="P1633" t="str">
        <f t="shared" si="686"/>
        <v>NIL</v>
      </c>
      <c r="Q1633" t="str">
        <f t="shared" si="686"/>
        <v>NIL</v>
      </c>
      <c r="R1633" t="str">
        <f t="shared" si="673"/>
        <v>Accepted</v>
      </c>
      <c r="S1633" t="str">
        <f t="shared" si="674"/>
        <v>Approved</v>
      </c>
      <c r="T1633" t="str">
        <f t="shared" si="675"/>
        <v>10.20.8.188</v>
      </c>
      <c r="U1633" t="str">
        <f t="shared" si="676"/>
        <v>AZRAD UMAR BIN SHAARI</v>
      </c>
      <c r="V1633" t="str">
        <f t="shared" si="677"/>
        <v>FARHANA BINTI MUSTAPA</v>
      </c>
      <c r="W1633" t="str">
        <f t="shared" si="678"/>
        <v>04-08-2020</v>
      </c>
      <c r="X1633" t="str">
        <f t="shared" si="679"/>
        <v>RAZIMAH ANSAR AHMAD</v>
      </c>
      <c r="Y1633" t="str">
        <f t="shared" si="680"/>
        <v>04-08-2020</v>
      </c>
      <c r="Z1633" t="str">
        <f>"COS10200804 7521"</f>
        <v>COS10200804 7521</v>
      </c>
    </row>
    <row r="1634" spans="1:26" x14ac:dyDescent="0.25">
      <c r="A1634" t="str">
        <f t="shared" si="683"/>
        <v>04-08-2020 01:07:32</v>
      </c>
      <c r="B1634" t="str">
        <f>"0000809320"</f>
        <v>0000809320</v>
      </c>
      <c r="C1634" t="str">
        <f t="shared" si="684"/>
        <v>0000809200</v>
      </c>
      <c r="D1634" t="str">
        <f t="shared" si="666"/>
        <v>73185</v>
      </c>
      <c r="E1634" t="str">
        <f t="shared" si="667"/>
        <v>KFH-OPERATIONS DEPARTMENT</v>
      </c>
      <c r="F1634" t="str">
        <f t="shared" si="668"/>
        <v>IBG</v>
      </c>
      <c r="G1634" t="str">
        <f t="shared" si="681"/>
        <v>Refund COSHARE 10</v>
      </c>
      <c r="H1634" s="2">
        <v>251.85</v>
      </c>
      <c r="I1634" t="str">
        <f>"SITI NOR AZIZAH BINTI MD MAHDI"</f>
        <v>SITI NOR AZIZAH BINTI MD MAHDI</v>
      </c>
      <c r="J1634" t="str">
        <f t="shared" si="682"/>
        <v>MAYBANK / MAYBANK ISLAMIC</v>
      </c>
      <c r="K1634" t="str">
        <f>"151034649246"</f>
        <v>151034649246</v>
      </c>
      <c r="L1634" t="str">
        <f t="shared" si="685"/>
        <v>04-08-2020</v>
      </c>
      <c r="M1634" t="str">
        <f t="shared" si="685"/>
        <v>04-08-2020</v>
      </c>
      <c r="N1634" t="str">
        <f t="shared" si="670"/>
        <v>001105018356</v>
      </c>
      <c r="O1634" t="str">
        <f t="shared" si="671"/>
        <v>MYR</v>
      </c>
      <c r="P1634" t="str">
        <f t="shared" si="686"/>
        <v>NIL</v>
      </c>
      <c r="Q1634" t="str">
        <f t="shared" si="686"/>
        <v>NIL</v>
      </c>
      <c r="R1634" t="str">
        <f t="shared" si="673"/>
        <v>Accepted</v>
      </c>
      <c r="S1634" t="str">
        <f t="shared" si="674"/>
        <v>Approved</v>
      </c>
      <c r="T1634" t="str">
        <f t="shared" si="675"/>
        <v>10.20.8.188</v>
      </c>
      <c r="U1634" t="str">
        <f t="shared" si="676"/>
        <v>AZRAD UMAR BIN SHAARI</v>
      </c>
      <c r="V1634" t="str">
        <f t="shared" si="677"/>
        <v>FARHANA BINTI MUSTAPA</v>
      </c>
      <c r="W1634" t="str">
        <f t="shared" si="678"/>
        <v>04-08-2020</v>
      </c>
      <c r="X1634" t="str">
        <f t="shared" si="679"/>
        <v>RAZIMAH ANSAR AHMAD</v>
      </c>
      <c r="Y1634" t="str">
        <f t="shared" si="680"/>
        <v>04-08-2020</v>
      </c>
      <c r="Z1634" t="str">
        <f>"COS10200804 7520"</f>
        <v>COS10200804 7520</v>
      </c>
    </row>
    <row r="1635" spans="1:26" x14ac:dyDescent="0.25">
      <c r="A1635" t="str">
        <f t="shared" si="683"/>
        <v>04-08-2020 01:07:32</v>
      </c>
      <c r="B1635" t="str">
        <f>"0000809319"</f>
        <v>0000809319</v>
      </c>
      <c r="C1635" t="str">
        <f t="shared" si="684"/>
        <v>0000809200</v>
      </c>
      <c r="D1635" t="str">
        <f t="shared" si="666"/>
        <v>73185</v>
      </c>
      <c r="E1635" t="str">
        <f t="shared" si="667"/>
        <v>KFH-OPERATIONS DEPARTMENT</v>
      </c>
      <c r="F1635" t="str">
        <f t="shared" si="668"/>
        <v>IBG</v>
      </c>
      <c r="G1635" t="str">
        <f t="shared" si="681"/>
        <v>Refund COSHARE 10</v>
      </c>
      <c r="H1635" s="2">
        <v>147.35</v>
      </c>
      <c r="I1635" t="str">
        <f>"SITI NOORAZLIN BINTI MOHAMMAD"</f>
        <v>SITI NOORAZLIN BINTI MOHAMMAD</v>
      </c>
      <c r="J1635" t="str">
        <f t="shared" si="682"/>
        <v>MAYBANK / MAYBANK ISLAMIC</v>
      </c>
      <c r="K1635" t="str">
        <f>"156114266244"</f>
        <v>156114266244</v>
      </c>
      <c r="L1635" t="str">
        <f t="shared" si="685"/>
        <v>04-08-2020</v>
      </c>
      <c r="M1635" t="str">
        <f t="shared" si="685"/>
        <v>04-08-2020</v>
      </c>
      <c r="N1635" t="str">
        <f t="shared" si="670"/>
        <v>001105018356</v>
      </c>
      <c r="O1635" t="str">
        <f t="shared" si="671"/>
        <v>MYR</v>
      </c>
      <c r="P1635" t="str">
        <f t="shared" si="686"/>
        <v>NIL</v>
      </c>
      <c r="Q1635" t="str">
        <f t="shared" si="686"/>
        <v>NIL</v>
      </c>
      <c r="R1635" t="str">
        <f t="shared" si="673"/>
        <v>Accepted</v>
      </c>
      <c r="S1635" t="str">
        <f t="shared" si="674"/>
        <v>Approved</v>
      </c>
      <c r="T1635" t="str">
        <f t="shared" si="675"/>
        <v>10.20.8.188</v>
      </c>
      <c r="U1635" t="str">
        <f t="shared" si="676"/>
        <v>AZRAD UMAR BIN SHAARI</v>
      </c>
      <c r="V1635" t="str">
        <f t="shared" si="677"/>
        <v>FARHANA BINTI MUSTAPA</v>
      </c>
      <c r="W1635" t="str">
        <f t="shared" si="678"/>
        <v>04-08-2020</v>
      </c>
      <c r="X1635" t="str">
        <f t="shared" si="679"/>
        <v>RAZIMAH ANSAR AHMAD</v>
      </c>
      <c r="Y1635" t="str">
        <f t="shared" si="680"/>
        <v>04-08-2020</v>
      </c>
      <c r="Z1635" t="str">
        <f>"COS10200804 7519"</f>
        <v>COS10200804 7519</v>
      </c>
    </row>
    <row r="1636" spans="1:26" x14ac:dyDescent="0.25">
      <c r="A1636" t="str">
        <f t="shared" si="683"/>
        <v>04-08-2020 01:07:32</v>
      </c>
      <c r="B1636" t="str">
        <f>"0000809318"</f>
        <v>0000809318</v>
      </c>
      <c r="C1636" t="str">
        <f t="shared" si="684"/>
        <v>0000809200</v>
      </c>
      <c r="D1636" t="str">
        <f t="shared" si="666"/>
        <v>73185</v>
      </c>
      <c r="E1636" t="str">
        <f t="shared" si="667"/>
        <v>KFH-OPERATIONS DEPARTMENT</v>
      </c>
      <c r="F1636" t="str">
        <f t="shared" si="668"/>
        <v>IBG</v>
      </c>
      <c r="G1636" t="str">
        <f t="shared" si="681"/>
        <v>Refund COSHARE 10</v>
      </c>
      <c r="H1636" s="2">
        <v>444.95</v>
      </c>
      <c r="I1636" t="str">
        <f>"SITI NOOR NATASYA BINTI ISMAIL"</f>
        <v>SITI NOOR NATASYA BINTI ISMAIL</v>
      </c>
      <c r="J1636" t="str">
        <f t="shared" si="682"/>
        <v>MAYBANK / MAYBANK ISLAMIC</v>
      </c>
      <c r="K1636" t="str">
        <f>"156169124592"</f>
        <v>156169124592</v>
      </c>
      <c r="L1636" t="str">
        <f t="shared" si="685"/>
        <v>04-08-2020</v>
      </c>
      <c r="M1636" t="str">
        <f t="shared" si="685"/>
        <v>04-08-2020</v>
      </c>
      <c r="N1636" t="str">
        <f t="shared" si="670"/>
        <v>001105018356</v>
      </c>
      <c r="O1636" t="str">
        <f t="shared" si="671"/>
        <v>MYR</v>
      </c>
      <c r="P1636" t="str">
        <f t="shared" si="686"/>
        <v>NIL</v>
      </c>
      <c r="Q1636" t="str">
        <f t="shared" si="686"/>
        <v>NIL</v>
      </c>
      <c r="R1636" t="str">
        <f t="shared" si="673"/>
        <v>Accepted</v>
      </c>
      <c r="S1636" t="str">
        <f t="shared" si="674"/>
        <v>Approved</v>
      </c>
      <c r="T1636" t="str">
        <f t="shared" si="675"/>
        <v>10.20.8.188</v>
      </c>
      <c r="U1636" t="str">
        <f t="shared" si="676"/>
        <v>AZRAD UMAR BIN SHAARI</v>
      </c>
      <c r="V1636" t="str">
        <f t="shared" si="677"/>
        <v>FARHANA BINTI MUSTAPA</v>
      </c>
      <c r="W1636" t="str">
        <f t="shared" si="678"/>
        <v>04-08-2020</v>
      </c>
      <c r="X1636" t="str">
        <f t="shared" si="679"/>
        <v>RAZIMAH ANSAR AHMAD</v>
      </c>
      <c r="Y1636" t="str">
        <f t="shared" si="680"/>
        <v>04-08-2020</v>
      </c>
      <c r="Z1636" t="str">
        <f>"COS10200804 7518"</f>
        <v>COS10200804 7518</v>
      </c>
    </row>
    <row r="1637" spans="1:26" x14ac:dyDescent="0.25">
      <c r="A1637" t="str">
        <f t="shared" si="683"/>
        <v>04-08-2020 01:07:32</v>
      </c>
      <c r="B1637" t="str">
        <f>"0000809317"</f>
        <v>0000809317</v>
      </c>
      <c r="C1637" t="str">
        <f t="shared" si="684"/>
        <v>0000809200</v>
      </c>
      <c r="D1637" t="str">
        <f t="shared" si="666"/>
        <v>73185</v>
      </c>
      <c r="E1637" t="str">
        <f t="shared" si="667"/>
        <v>KFH-OPERATIONS DEPARTMENT</v>
      </c>
      <c r="F1637" t="str">
        <f t="shared" si="668"/>
        <v>IBG</v>
      </c>
      <c r="G1637" t="str">
        <f t="shared" si="681"/>
        <v>Refund COSHARE 10</v>
      </c>
      <c r="H1637" s="2">
        <v>911</v>
      </c>
      <c r="I1637" t="str">
        <f>"SITI NOOR BINTI MOHD JABIR"</f>
        <v>SITI NOOR BINTI MOHD JABIR</v>
      </c>
      <c r="J1637" t="str">
        <f t="shared" si="682"/>
        <v>MAYBANK / MAYBANK ISLAMIC</v>
      </c>
      <c r="K1637" t="str">
        <f>"101311004573"</f>
        <v>101311004573</v>
      </c>
      <c r="L1637" t="str">
        <f t="shared" si="685"/>
        <v>04-08-2020</v>
      </c>
      <c r="M1637" t="str">
        <f t="shared" si="685"/>
        <v>04-08-2020</v>
      </c>
      <c r="N1637" t="str">
        <f t="shared" si="670"/>
        <v>001105018356</v>
      </c>
      <c r="O1637" t="str">
        <f t="shared" si="671"/>
        <v>MYR</v>
      </c>
      <c r="P1637" t="str">
        <f t="shared" si="686"/>
        <v>NIL</v>
      </c>
      <c r="Q1637" t="str">
        <f t="shared" si="686"/>
        <v>NIL</v>
      </c>
      <c r="R1637" t="str">
        <f t="shared" si="673"/>
        <v>Accepted</v>
      </c>
      <c r="S1637" t="str">
        <f t="shared" si="674"/>
        <v>Approved</v>
      </c>
      <c r="T1637" t="str">
        <f t="shared" si="675"/>
        <v>10.20.8.188</v>
      </c>
      <c r="U1637" t="str">
        <f t="shared" si="676"/>
        <v>AZRAD UMAR BIN SHAARI</v>
      </c>
      <c r="V1637" t="str">
        <f t="shared" si="677"/>
        <v>FARHANA BINTI MUSTAPA</v>
      </c>
      <c r="W1637" t="str">
        <f t="shared" si="678"/>
        <v>04-08-2020</v>
      </c>
      <c r="X1637" t="str">
        <f t="shared" si="679"/>
        <v>RAZIMAH ANSAR AHMAD</v>
      </c>
      <c r="Y1637" t="str">
        <f t="shared" si="680"/>
        <v>04-08-2020</v>
      </c>
      <c r="Z1637" t="str">
        <f>"COS10200804 7517"</f>
        <v>COS10200804 7517</v>
      </c>
    </row>
    <row r="1638" spans="1:26" x14ac:dyDescent="0.25">
      <c r="A1638" t="str">
        <f t="shared" si="683"/>
        <v>04-08-2020 01:07:32</v>
      </c>
      <c r="B1638" t="str">
        <f>"0000809316"</f>
        <v>0000809316</v>
      </c>
      <c r="C1638" t="str">
        <f t="shared" si="684"/>
        <v>0000809200</v>
      </c>
      <c r="D1638" t="str">
        <f t="shared" si="666"/>
        <v>73185</v>
      </c>
      <c r="E1638" t="str">
        <f t="shared" si="667"/>
        <v>KFH-OPERATIONS DEPARTMENT</v>
      </c>
      <c r="F1638" t="str">
        <f t="shared" si="668"/>
        <v>IBG</v>
      </c>
      <c r="G1638" t="str">
        <f t="shared" si="681"/>
        <v>Refund COSHARE 10</v>
      </c>
      <c r="H1638" s="2">
        <v>251.85</v>
      </c>
      <c r="I1638" t="str">
        <f>"SITI NOOR BINTI IBRAHIM"</f>
        <v>SITI NOOR BINTI IBRAHIM</v>
      </c>
      <c r="J1638" t="str">
        <f t="shared" si="682"/>
        <v>MAYBANK / MAYBANK ISLAMIC</v>
      </c>
      <c r="K1638" t="str">
        <f>"157296005101"</f>
        <v>157296005101</v>
      </c>
      <c r="L1638" t="str">
        <f t="shared" si="685"/>
        <v>04-08-2020</v>
      </c>
      <c r="M1638" t="str">
        <f t="shared" si="685"/>
        <v>04-08-2020</v>
      </c>
      <c r="N1638" t="str">
        <f t="shared" si="670"/>
        <v>001105018356</v>
      </c>
      <c r="O1638" t="str">
        <f t="shared" si="671"/>
        <v>MYR</v>
      </c>
      <c r="P1638" t="str">
        <f t="shared" si="686"/>
        <v>NIL</v>
      </c>
      <c r="Q1638" t="str">
        <f t="shared" si="686"/>
        <v>NIL</v>
      </c>
      <c r="R1638" t="str">
        <f t="shared" si="673"/>
        <v>Accepted</v>
      </c>
      <c r="S1638" t="str">
        <f t="shared" si="674"/>
        <v>Approved</v>
      </c>
      <c r="T1638" t="str">
        <f t="shared" si="675"/>
        <v>10.20.8.188</v>
      </c>
      <c r="U1638" t="str">
        <f t="shared" si="676"/>
        <v>AZRAD UMAR BIN SHAARI</v>
      </c>
      <c r="V1638" t="str">
        <f t="shared" si="677"/>
        <v>FARHANA BINTI MUSTAPA</v>
      </c>
      <c r="W1638" t="str">
        <f t="shared" si="678"/>
        <v>04-08-2020</v>
      </c>
      <c r="X1638" t="str">
        <f t="shared" si="679"/>
        <v>RAZIMAH ANSAR AHMAD</v>
      </c>
      <c r="Y1638" t="str">
        <f t="shared" si="680"/>
        <v>04-08-2020</v>
      </c>
      <c r="Z1638" t="str">
        <f>"COS10200804 7516"</f>
        <v>COS10200804 7516</v>
      </c>
    </row>
    <row r="1639" spans="1:26" x14ac:dyDescent="0.25">
      <c r="A1639" t="str">
        <f t="shared" si="683"/>
        <v>04-08-2020 01:07:32</v>
      </c>
      <c r="B1639" t="str">
        <f>"0000809315"</f>
        <v>0000809315</v>
      </c>
      <c r="C1639" t="str">
        <f t="shared" si="684"/>
        <v>0000809200</v>
      </c>
      <c r="D1639" t="str">
        <f t="shared" si="666"/>
        <v>73185</v>
      </c>
      <c r="E1639" t="str">
        <f t="shared" si="667"/>
        <v>KFH-OPERATIONS DEPARTMENT</v>
      </c>
      <c r="F1639" t="str">
        <f t="shared" si="668"/>
        <v>IBG</v>
      </c>
      <c r="G1639" t="str">
        <f t="shared" si="681"/>
        <v>Refund COSHARE 10</v>
      </c>
      <c r="H1639" s="2">
        <v>78.599999999999994</v>
      </c>
      <c r="I1639" t="str">
        <f>"SITI NAZLIN BINTI ROSMAN"</f>
        <v>SITI NAZLIN BINTI ROSMAN</v>
      </c>
      <c r="J1639" t="str">
        <f t="shared" si="682"/>
        <v>MAYBANK / MAYBANK ISLAMIC</v>
      </c>
      <c r="K1639" t="str">
        <f>"114187249457"</f>
        <v>114187249457</v>
      </c>
      <c r="L1639" t="str">
        <f t="shared" si="685"/>
        <v>04-08-2020</v>
      </c>
      <c r="M1639" t="str">
        <f t="shared" si="685"/>
        <v>04-08-2020</v>
      </c>
      <c r="N1639" t="str">
        <f t="shared" si="670"/>
        <v>001105018356</v>
      </c>
      <c r="O1639" t="str">
        <f t="shared" si="671"/>
        <v>MYR</v>
      </c>
      <c r="P1639" t="str">
        <f t="shared" si="686"/>
        <v>NIL</v>
      </c>
      <c r="Q1639" t="str">
        <f t="shared" si="686"/>
        <v>NIL</v>
      </c>
      <c r="R1639" t="str">
        <f t="shared" si="673"/>
        <v>Accepted</v>
      </c>
      <c r="S1639" t="str">
        <f t="shared" si="674"/>
        <v>Approved</v>
      </c>
      <c r="T1639" t="str">
        <f t="shared" si="675"/>
        <v>10.20.8.188</v>
      </c>
      <c r="U1639" t="str">
        <f t="shared" si="676"/>
        <v>AZRAD UMAR BIN SHAARI</v>
      </c>
      <c r="V1639" t="str">
        <f t="shared" si="677"/>
        <v>FARHANA BINTI MUSTAPA</v>
      </c>
      <c r="W1639" t="str">
        <f t="shared" si="678"/>
        <v>04-08-2020</v>
      </c>
      <c r="X1639" t="str">
        <f t="shared" si="679"/>
        <v>RAZIMAH ANSAR AHMAD</v>
      </c>
      <c r="Y1639" t="str">
        <f t="shared" si="680"/>
        <v>04-08-2020</v>
      </c>
      <c r="Z1639" t="str">
        <f>"COS10200804 7515"</f>
        <v>COS10200804 7515</v>
      </c>
    </row>
    <row r="1640" spans="1:26" x14ac:dyDescent="0.25">
      <c r="A1640" t="str">
        <f t="shared" si="683"/>
        <v>04-08-2020 01:07:32</v>
      </c>
      <c r="B1640" t="str">
        <f>"0000809314"</f>
        <v>0000809314</v>
      </c>
      <c r="C1640" t="str">
        <f t="shared" si="684"/>
        <v>0000809200</v>
      </c>
      <c r="D1640" t="str">
        <f t="shared" si="666"/>
        <v>73185</v>
      </c>
      <c r="E1640" t="str">
        <f t="shared" si="667"/>
        <v>KFH-OPERATIONS DEPARTMENT</v>
      </c>
      <c r="F1640" t="str">
        <f t="shared" si="668"/>
        <v>IBG</v>
      </c>
      <c r="G1640" t="str">
        <f t="shared" si="681"/>
        <v>Refund COSHARE 10</v>
      </c>
      <c r="H1640" s="2">
        <v>1284.45</v>
      </c>
      <c r="I1640" t="str">
        <f>"SITI MUHILDA BINTI ABDUL LATIF"</f>
        <v>SITI MUHILDA BINTI ABDUL LATIF</v>
      </c>
      <c r="J1640" t="str">
        <f t="shared" si="682"/>
        <v>MAYBANK / MAYBANK ISLAMIC</v>
      </c>
      <c r="K1640" t="str">
        <f>"162188014099"</f>
        <v>162188014099</v>
      </c>
      <c r="L1640" t="str">
        <f t="shared" si="685"/>
        <v>04-08-2020</v>
      </c>
      <c r="M1640" t="str">
        <f t="shared" si="685"/>
        <v>04-08-2020</v>
      </c>
      <c r="N1640" t="str">
        <f t="shared" si="670"/>
        <v>001105018356</v>
      </c>
      <c r="O1640" t="str">
        <f t="shared" si="671"/>
        <v>MYR</v>
      </c>
      <c r="P1640" t="str">
        <f t="shared" si="686"/>
        <v>NIL</v>
      </c>
      <c r="Q1640" t="str">
        <f t="shared" si="686"/>
        <v>NIL</v>
      </c>
      <c r="R1640" t="str">
        <f t="shared" si="673"/>
        <v>Accepted</v>
      </c>
      <c r="S1640" t="str">
        <f t="shared" si="674"/>
        <v>Approved</v>
      </c>
      <c r="T1640" t="str">
        <f t="shared" si="675"/>
        <v>10.20.8.188</v>
      </c>
      <c r="U1640" t="str">
        <f t="shared" si="676"/>
        <v>AZRAD UMAR BIN SHAARI</v>
      </c>
      <c r="V1640" t="str">
        <f t="shared" si="677"/>
        <v>FARHANA BINTI MUSTAPA</v>
      </c>
      <c r="W1640" t="str">
        <f t="shared" si="678"/>
        <v>04-08-2020</v>
      </c>
      <c r="X1640" t="str">
        <f t="shared" si="679"/>
        <v>RAZIMAH ANSAR AHMAD</v>
      </c>
      <c r="Y1640" t="str">
        <f t="shared" si="680"/>
        <v>04-08-2020</v>
      </c>
      <c r="Z1640" t="str">
        <f>"COS10200804 7514"</f>
        <v>COS10200804 7514</v>
      </c>
    </row>
    <row r="1641" spans="1:26" x14ac:dyDescent="0.25">
      <c r="A1641" t="str">
        <f t="shared" si="683"/>
        <v>04-08-2020 01:07:32</v>
      </c>
      <c r="B1641" t="str">
        <f>"0000809313"</f>
        <v>0000809313</v>
      </c>
      <c r="C1641" t="str">
        <f t="shared" si="684"/>
        <v>0000809200</v>
      </c>
      <c r="D1641" t="str">
        <f t="shared" si="666"/>
        <v>73185</v>
      </c>
      <c r="E1641" t="str">
        <f t="shared" si="667"/>
        <v>KFH-OPERATIONS DEPARTMENT</v>
      </c>
      <c r="F1641" t="str">
        <f t="shared" si="668"/>
        <v>IBG</v>
      </c>
      <c r="G1641" t="str">
        <f t="shared" si="681"/>
        <v>Refund COSHARE 10</v>
      </c>
      <c r="H1641" s="2">
        <v>839.5</v>
      </c>
      <c r="I1641" t="str">
        <f>"SITI MAZLINAWATI BINTI MAHADI"</f>
        <v>SITI MAZLINAWATI BINTI MAHADI</v>
      </c>
      <c r="J1641" t="str">
        <f t="shared" si="682"/>
        <v>MAYBANK / MAYBANK ISLAMIC</v>
      </c>
      <c r="K1641" t="str">
        <f>"101217590913"</f>
        <v>101217590913</v>
      </c>
      <c r="L1641" t="str">
        <f t="shared" si="685"/>
        <v>04-08-2020</v>
      </c>
      <c r="M1641" t="str">
        <f t="shared" si="685"/>
        <v>04-08-2020</v>
      </c>
      <c r="N1641" t="str">
        <f t="shared" si="670"/>
        <v>001105018356</v>
      </c>
      <c r="O1641" t="str">
        <f t="shared" si="671"/>
        <v>MYR</v>
      </c>
      <c r="P1641" t="str">
        <f t="shared" si="686"/>
        <v>NIL</v>
      </c>
      <c r="Q1641" t="str">
        <f t="shared" si="686"/>
        <v>NIL</v>
      </c>
      <c r="R1641" t="str">
        <f t="shared" si="673"/>
        <v>Accepted</v>
      </c>
      <c r="S1641" t="str">
        <f t="shared" si="674"/>
        <v>Approved</v>
      </c>
      <c r="T1641" t="str">
        <f t="shared" si="675"/>
        <v>10.20.8.188</v>
      </c>
      <c r="U1641" t="str">
        <f t="shared" si="676"/>
        <v>AZRAD UMAR BIN SHAARI</v>
      </c>
      <c r="V1641" t="str">
        <f t="shared" si="677"/>
        <v>FARHANA BINTI MUSTAPA</v>
      </c>
      <c r="W1641" t="str">
        <f t="shared" si="678"/>
        <v>04-08-2020</v>
      </c>
      <c r="X1641" t="str">
        <f t="shared" si="679"/>
        <v>RAZIMAH ANSAR AHMAD</v>
      </c>
      <c r="Y1641" t="str">
        <f t="shared" si="680"/>
        <v>04-08-2020</v>
      </c>
      <c r="Z1641" t="str">
        <f>"COS10200804 7513"</f>
        <v>COS10200804 7513</v>
      </c>
    </row>
    <row r="1642" spans="1:26" x14ac:dyDescent="0.25">
      <c r="A1642" t="str">
        <f t="shared" si="683"/>
        <v>04-08-2020 01:07:32</v>
      </c>
      <c r="B1642" t="str">
        <f>"0000809312"</f>
        <v>0000809312</v>
      </c>
      <c r="C1642" t="str">
        <f t="shared" si="684"/>
        <v>0000809200</v>
      </c>
      <c r="D1642" t="str">
        <f t="shared" si="666"/>
        <v>73185</v>
      </c>
      <c r="E1642" t="str">
        <f t="shared" si="667"/>
        <v>KFH-OPERATIONS DEPARTMENT</v>
      </c>
      <c r="F1642" t="str">
        <f t="shared" si="668"/>
        <v>IBG</v>
      </c>
      <c r="G1642" t="str">
        <f t="shared" si="681"/>
        <v>Refund COSHARE 10</v>
      </c>
      <c r="H1642" s="2">
        <v>67.2</v>
      </c>
      <c r="I1642" t="str">
        <f>"SITI MAZILAH BINTI CHE MAN"</f>
        <v>SITI MAZILAH BINTI CHE MAN</v>
      </c>
      <c r="J1642" t="str">
        <f t="shared" si="682"/>
        <v>MAYBANK / MAYBANK ISLAMIC</v>
      </c>
      <c r="K1642" t="str">
        <f>"162188334726"</f>
        <v>162188334726</v>
      </c>
      <c r="L1642" t="str">
        <f t="shared" si="685"/>
        <v>04-08-2020</v>
      </c>
      <c r="M1642" t="str">
        <f t="shared" si="685"/>
        <v>04-08-2020</v>
      </c>
      <c r="N1642" t="str">
        <f t="shared" si="670"/>
        <v>001105018356</v>
      </c>
      <c r="O1642" t="str">
        <f t="shared" si="671"/>
        <v>MYR</v>
      </c>
      <c r="P1642" t="str">
        <f t="shared" si="686"/>
        <v>NIL</v>
      </c>
      <c r="Q1642" t="str">
        <f t="shared" si="686"/>
        <v>NIL</v>
      </c>
      <c r="R1642" t="str">
        <f t="shared" si="673"/>
        <v>Accepted</v>
      </c>
      <c r="S1642" t="str">
        <f t="shared" si="674"/>
        <v>Approved</v>
      </c>
      <c r="T1642" t="str">
        <f t="shared" si="675"/>
        <v>10.20.8.188</v>
      </c>
      <c r="U1642" t="str">
        <f t="shared" si="676"/>
        <v>AZRAD UMAR BIN SHAARI</v>
      </c>
      <c r="V1642" t="str">
        <f t="shared" si="677"/>
        <v>FARHANA BINTI MUSTAPA</v>
      </c>
      <c r="W1642" t="str">
        <f t="shared" si="678"/>
        <v>04-08-2020</v>
      </c>
      <c r="X1642" t="str">
        <f t="shared" si="679"/>
        <v>RAZIMAH ANSAR AHMAD</v>
      </c>
      <c r="Y1642" t="str">
        <f t="shared" si="680"/>
        <v>04-08-2020</v>
      </c>
      <c r="Z1642" t="str">
        <f>"COS10200804 7512"</f>
        <v>COS10200804 7512</v>
      </c>
    </row>
    <row r="1643" spans="1:26" x14ac:dyDescent="0.25">
      <c r="A1643" t="str">
        <f t="shared" si="683"/>
        <v>04-08-2020 01:07:32</v>
      </c>
      <c r="B1643" t="str">
        <f>"0000809311"</f>
        <v>0000809311</v>
      </c>
      <c r="C1643" t="str">
        <f t="shared" si="684"/>
        <v>0000809200</v>
      </c>
      <c r="D1643" t="str">
        <f t="shared" si="666"/>
        <v>73185</v>
      </c>
      <c r="E1643" t="str">
        <f t="shared" si="667"/>
        <v>KFH-OPERATIONS DEPARTMENT</v>
      </c>
      <c r="F1643" t="str">
        <f t="shared" si="668"/>
        <v>IBG</v>
      </c>
      <c r="G1643" t="str">
        <f t="shared" si="681"/>
        <v>Refund COSHARE 10</v>
      </c>
      <c r="H1643" s="2">
        <v>335.8</v>
      </c>
      <c r="I1643" t="str">
        <f>"SITI MAYSARA BINTI ABD WAHAB"</f>
        <v>SITI MAYSARA BINTI ABD WAHAB</v>
      </c>
      <c r="J1643" t="str">
        <f t="shared" si="682"/>
        <v>MAYBANK / MAYBANK ISLAMIC</v>
      </c>
      <c r="K1643" t="str">
        <f>"105047171219"</f>
        <v>105047171219</v>
      </c>
      <c r="L1643" t="str">
        <f t="shared" si="685"/>
        <v>04-08-2020</v>
      </c>
      <c r="M1643" t="str">
        <f t="shared" si="685"/>
        <v>04-08-2020</v>
      </c>
      <c r="N1643" t="str">
        <f t="shared" si="670"/>
        <v>001105018356</v>
      </c>
      <c r="O1643" t="str">
        <f t="shared" si="671"/>
        <v>MYR</v>
      </c>
      <c r="P1643" t="str">
        <f t="shared" si="686"/>
        <v>NIL</v>
      </c>
      <c r="Q1643" t="str">
        <f t="shared" si="686"/>
        <v>NIL</v>
      </c>
      <c r="R1643" t="str">
        <f t="shared" si="673"/>
        <v>Accepted</v>
      </c>
      <c r="S1643" t="str">
        <f t="shared" si="674"/>
        <v>Approved</v>
      </c>
      <c r="T1643" t="str">
        <f t="shared" si="675"/>
        <v>10.20.8.188</v>
      </c>
      <c r="U1643" t="str">
        <f t="shared" si="676"/>
        <v>AZRAD UMAR BIN SHAARI</v>
      </c>
      <c r="V1643" t="str">
        <f t="shared" si="677"/>
        <v>FARHANA BINTI MUSTAPA</v>
      </c>
      <c r="W1643" t="str">
        <f t="shared" si="678"/>
        <v>04-08-2020</v>
      </c>
      <c r="X1643" t="str">
        <f t="shared" si="679"/>
        <v>RAZIMAH ANSAR AHMAD</v>
      </c>
      <c r="Y1643" t="str">
        <f t="shared" si="680"/>
        <v>04-08-2020</v>
      </c>
      <c r="Z1643" t="str">
        <f>"COS10200804 7511"</f>
        <v>COS10200804 7511</v>
      </c>
    </row>
    <row r="1644" spans="1:26" x14ac:dyDescent="0.25">
      <c r="A1644" t="str">
        <f t="shared" si="683"/>
        <v>04-08-2020 01:07:32</v>
      </c>
      <c r="B1644" t="str">
        <f>"0000809310"</f>
        <v>0000809310</v>
      </c>
      <c r="C1644" t="str">
        <f t="shared" si="684"/>
        <v>0000809200</v>
      </c>
      <c r="D1644" t="str">
        <f t="shared" si="666"/>
        <v>73185</v>
      </c>
      <c r="E1644" t="str">
        <f t="shared" si="667"/>
        <v>KFH-OPERATIONS DEPARTMENT</v>
      </c>
      <c r="F1644" t="str">
        <f t="shared" si="668"/>
        <v>IBG</v>
      </c>
      <c r="G1644" t="str">
        <f t="shared" si="681"/>
        <v>Refund COSHARE 10</v>
      </c>
      <c r="H1644" s="2">
        <v>254.1</v>
      </c>
      <c r="I1644" t="str">
        <f>"SITI MARYANI BINTI ZAKARIA"</f>
        <v>SITI MARYANI BINTI ZAKARIA</v>
      </c>
      <c r="J1644" t="str">
        <f t="shared" si="682"/>
        <v>MAYBANK / MAYBANK ISLAMIC</v>
      </c>
      <c r="K1644" t="str">
        <f>"164034278754"</f>
        <v>164034278754</v>
      </c>
      <c r="L1644" t="str">
        <f t="shared" si="685"/>
        <v>04-08-2020</v>
      </c>
      <c r="M1644" t="str">
        <f t="shared" si="685"/>
        <v>04-08-2020</v>
      </c>
      <c r="N1644" t="str">
        <f t="shared" si="670"/>
        <v>001105018356</v>
      </c>
      <c r="O1644" t="str">
        <f t="shared" si="671"/>
        <v>MYR</v>
      </c>
      <c r="P1644" t="str">
        <f t="shared" si="686"/>
        <v>NIL</v>
      </c>
      <c r="Q1644" t="str">
        <f t="shared" si="686"/>
        <v>NIL</v>
      </c>
      <c r="R1644" t="str">
        <f t="shared" si="673"/>
        <v>Accepted</v>
      </c>
      <c r="S1644" t="str">
        <f t="shared" si="674"/>
        <v>Approved</v>
      </c>
      <c r="T1644" t="str">
        <f t="shared" si="675"/>
        <v>10.20.8.188</v>
      </c>
      <c r="U1644" t="str">
        <f t="shared" si="676"/>
        <v>AZRAD UMAR BIN SHAARI</v>
      </c>
      <c r="V1644" t="str">
        <f t="shared" si="677"/>
        <v>FARHANA BINTI MUSTAPA</v>
      </c>
      <c r="W1644" t="str">
        <f t="shared" si="678"/>
        <v>04-08-2020</v>
      </c>
      <c r="X1644" t="str">
        <f t="shared" si="679"/>
        <v>RAZIMAH ANSAR AHMAD</v>
      </c>
      <c r="Y1644" t="str">
        <f t="shared" si="680"/>
        <v>04-08-2020</v>
      </c>
      <c r="Z1644" t="str">
        <f>"COS10200804 7510"</f>
        <v>COS10200804 7510</v>
      </c>
    </row>
    <row r="1645" spans="1:26" x14ac:dyDescent="0.25">
      <c r="A1645" t="str">
        <f t="shared" si="683"/>
        <v>04-08-2020 01:07:32</v>
      </c>
      <c r="B1645" t="str">
        <f>"0000809309"</f>
        <v>0000809309</v>
      </c>
      <c r="C1645" t="str">
        <f t="shared" si="684"/>
        <v>0000809200</v>
      </c>
      <c r="D1645" t="str">
        <f t="shared" si="666"/>
        <v>73185</v>
      </c>
      <c r="E1645" t="str">
        <f t="shared" si="667"/>
        <v>KFH-OPERATIONS DEPARTMENT</v>
      </c>
      <c r="F1645" t="str">
        <f t="shared" si="668"/>
        <v>IBG</v>
      </c>
      <c r="G1645" t="str">
        <f t="shared" si="681"/>
        <v>Refund COSHARE 10</v>
      </c>
      <c r="H1645" s="2">
        <v>204</v>
      </c>
      <c r="I1645" t="str">
        <f>"SITI MARIAM BINTI YAACOB"</f>
        <v>SITI MARIAM BINTI YAACOB</v>
      </c>
      <c r="J1645" t="str">
        <f t="shared" si="682"/>
        <v>MAYBANK / MAYBANK ISLAMIC</v>
      </c>
      <c r="K1645" t="str">
        <f>"101244126801"</f>
        <v>101244126801</v>
      </c>
      <c r="L1645" t="str">
        <f t="shared" si="685"/>
        <v>04-08-2020</v>
      </c>
      <c r="M1645" t="str">
        <f t="shared" si="685"/>
        <v>04-08-2020</v>
      </c>
      <c r="N1645" t="str">
        <f t="shared" si="670"/>
        <v>001105018356</v>
      </c>
      <c r="O1645" t="str">
        <f t="shared" si="671"/>
        <v>MYR</v>
      </c>
      <c r="P1645" t="str">
        <f t="shared" si="686"/>
        <v>NIL</v>
      </c>
      <c r="Q1645" t="str">
        <f t="shared" si="686"/>
        <v>NIL</v>
      </c>
      <c r="R1645" t="str">
        <f t="shared" si="673"/>
        <v>Accepted</v>
      </c>
      <c r="S1645" t="str">
        <f t="shared" si="674"/>
        <v>Approved</v>
      </c>
      <c r="T1645" t="str">
        <f t="shared" si="675"/>
        <v>10.20.8.188</v>
      </c>
      <c r="U1645" t="str">
        <f t="shared" si="676"/>
        <v>AZRAD UMAR BIN SHAARI</v>
      </c>
      <c r="V1645" t="str">
        <f t="shared" si="677"/>
        <v>FARHANA BINTI MUSTAPA</v>
      </c>
      <c r="W1645" t="str">
        <f t="shared" si="678"/>
        <v>04-08-2020</v>
      </c>
      <c r="X1645" t="str">
        <f t="shared" si="679"/>
        <v>RAZIMAH ANSAR AHMAD</v>
      </c>
      <c r="Y1645" t="str">
        <f t="shared" si="680"/>
        <v>04-08-2020</v>
      </c>
      <c r="Z1645" t="str">
        <f>"COS10200804 7509"</f>
        <v>COS10200804 7509</v>
      </c>
    </row>
    <row r="1646" spans="1:26" x14ac:dyDescent="0.25">
      <c r="A1646" t="str">
        <f t="shared" si="683"/>
        <v>04-08-2020 01:07:32</v>
      </c>
      <c r="B1646" t="str">
        <f>"0000809308"</f>
        <v>0000809308</v>
      </c>
      <c r="C1646" t="str">
        <f t="shared" si="684"/>
        <v>0000809200</v>
      </c>
      <c r="D1646" t="str">
        <f t="shared" si="666"/>
        <v>73185</v>
      </c>
      <c r="E1646" t="str">
        <f t="shared" si="667"/>
        <v>KFH-OPERATIONS DEPARTMENT</v>
      </c>
      <c r="F1646" t="str">
        <f t="shared" si="668"/>
        <v>IBG</v>
      </c>
      <c r="G1646" t="str">
        <f t="shared" si="681"/>
        <v>Refund COSHARE 10</v>
      </c>
      <c r="H1646" s="2">
        <v>357</v>
      </c>
      <c r="I1646" t="str">
        <f>"SITI MARIAH BINTI RAWI"</f>
        <v>SITI MARIAH BINTI RAWI</v>
      </c>
      <c r="J1646" t="str">
        <f t="shared" si="682"/>
        <v>MAYBANK / MAYBANK ISLAMIC</v>
      </c>
      <c r="K1646" t="str">
        <f>"153010470789"</f>
        <v>153010470789</v>
      </c>
      <c r="L1646" t="str">
        <f t="shared" si="685"/>
        <v>04-08-2020</v>
      </c>
      <c r="M1646" t="str">
        <f t="shared" si="685"/>
        <v>04-08-2020</v>
      </c>
      <c r="N1646" t="str">
        <f t="shared" si="670"/>
        <v>001105018356</v>
      </c>
      <c r="O1646" t="str">
        <f t="shared" si="671"/>
        <v>MYR</v>
      </c>
      <c r="P1646" t="str">
        <f t="shared" si="686"/>
        <v>NIL</v>
      </c>
      <c r="Q1646" t="str">
        <f t="shared" si="686"/>
        <v>NIL</v>
      </c>
      <c r="R1646" t="str">
        <f t="shared" si="673"/>
        <v>Accepted</v>
      </c>
      <c r="S1646" t="str">
        <f t="shared" si="674"/>
        <v>Approved</v>
      </c>
      <c r="T1646" t="str">
        <f t="shared" si="675"/>
        <v>10.20.8.188</v>
      </c>
      <c r="U1646" t="str">
        <f t="shared" si="676"/>
        <v>AZRAD UMAR BIN SHAARI</v>
      </c>
      <c r="V1646" t="str">
        <f t="shared" si="677"/>
        <v>FARHANA BINTI MUSTAPA</v>
      </c>
      <c r="W1646" t="str">
        <f t="shared" si="678"/>
        <v>04-08-2020</v>
      </c>
      <c r="X1646" t="str">
        <f t="shared" si="679"/>
        <v>RAZIMAH ANSAR AHMAD</v>
      </c>
      <c r="Y1646" t="str">
        <f t="shared" si="680"/>
        <v>04-08-2020</v>
      </c>
      <c r="Z1646" t="str">
        <f>"COS10200804 7508"</f>
        <v>COS10200804 7508</v>
      </c>
    </row>
    <row r="1647" spans="1:26" x14ac:dyDescent="0.25">
      <c r="A1647" t="str">
        <f t="shared" si="683"/>
        <v>04-08-2020 01:07:32</v>
      </c>
      <c r="B1647" t="str">
        <f>"0000809307"</f>
        <v>0000809307</v>
      </c>
      <c r="C1647" t="str">
        <f t="shared" si="684"/>
        <v>0000809200</v>
      </c>
      <c r="D1647" t="str">
        <f t="shared" si="666"/>
        <v>73185</v>
      </c>
      <c r="E1647" t="str">
        <f t="shared" si="667"/>
        <v>KFH-OPERATIONS DEPARTMENT</v>
      </c>
      <c r="F1647" t="str">
        <f t="shared" si="668"/>
        <v>IBG</v>
      </c>
      <c r="G1647" t="str">
        <f t="shared" si="681"/>
        <v>Refund COSHARE 10</v>
      </c>
      <c r="H1647" s="2">
        <v>125.95</v>
      </c>
      <c r="I1647" t="str">
        <f>"SITI MAISARA BINTI ROSLAN"</f>
        <v>SITI MAISARA BINTI ROSLAN</v>
      </c>
      <c r="J1647" t="str">
        <f t="shared" si="682"/>
        <v>MAYBANK / MAYBANK ISLAMIC</v>
      </c>
      <c r="K1647" t="str">
        <f>"164034281935"</f>
        <v>164034281935</v>
      </c>
      <c r="L1647" t="str">
        <f t="shared" ref="L1647:M1666" si="687">"04-08-2020"</f>
        <v>04-08-2020</v>
      </c>
      <c r="M1647" t="str">
        <f t="shared" si="687"/>
        <v>04-08-2020</v>
      </c>
      <c r="N1647" t="str">
        <f t="shared" si="670"/>
        <v>001105018356</v>
      </c>
      <c r="O1647" t="str">
        <f t="shared" si="671"/>
        <v>MYR</v>
      </c>
      <c r="P1647" t="str">
        <f t="shared" ref="P1647:Q1666" si="688">"NIL"</f>
        <v>NIL</v>
      </c>
      <c r="Q1647" t="str">
        <f t="shared" si="688"/>
        <v>NIL</v>
      </c>
      <c r="R1647" t="str">
        <f t="shared" si="673"/>
        <v>Accepted</v>
      </c>
      <c r="S1647" t="str">
        <f t="shared" si="674"/>
        <v>Approved</v>
      </c>
      <c r="T1647" t="str">
        <f t="shared" si="675"/>
        <v>10.20.8.188</v>
      </c>
      <c r="U1647" t="str">
        <f t="shared" si="676"/>
        <v>AZRAD UMAR BIN SHAARI</v>
      </c>
      <c r="V1647" t="str">
        <f t="shared" si="677"/>
        <v>FARHANA BINTI MUSTAPA</v>
      </c>
      <c r="W1647" t="str">
        <f t="shared" si="678"/>
        <v>04-08-2020</v>
      </c>
      <c r="X1647" t="str">
        <f t="shared" si="679"/>
        <v>RAZIMAH ANSAR AHMAD</v>
      </c>
      <c r="Y1647" t="str">
        <f t="shared" si="680"/>
        <v>04-08-2020</v>
      </c>
      <c r="Z1647" t="str">
        <f>"COS10200804 7507"</f>
        <v>COS10200804 7507</v>
      </c>
    </row>
    <row r="1648" spans="1:26" x14ac:dyDescent="0.25">
      <c r="A1648" t="str">
        <f t="shared" si="683"/>
        <v>04-08-2020 01:07:32</v>
      </c>
      <c r="B1648" t="str">
        <f>"0000809306"</f>
        <v>0000809306</v>
      </c>
      <c r="C1648" t="str">
        <f t="shared" si="684"/>
        <v>0000809200</v>
      </c>
      <c r="D1648" t="str">
        <f t="shared" si="666"/>
        <v>73185</v>
      </c>
      <c r="E1648" t="str">
        <f t="shared" si="667"/>
        <v>KFH-OPERATIONS DEPARTMENT</v>
      </c>
      <c r="F1648" t="str">
        <f t="shared" si="668"/>
        <v>IBG</v>
      </c>
      <c r="G1648" t="str">
        <f t="shared" si="681"/>
        <v>Refund COSHARE 10</v>
      </c>
      <c r="H1648" s="2">
        <v>160</v>
      </c>
      <c r="I1648" t="str">
        <f>"SITI MAHANUM BINTI ZULKEFLI"</f>
        <v>SITI MAHANUM BINTI ZULKEFLI</v>
      </c>
      <c r="J1648" t="str">
        <f t="shared" si="682"/>
        <v>MAYBANK / MAYBANK ISLAMIC</v>
      </c>
      <c r="K1648" t="str">
        <f>"162021287700"</f>
        <v>162021287700</v>
      </c>
      <c r="L1648" t="str">
        <f t="shared" si="687"/>
        <v>04-08-2020</v>
      </c>
      <c r="M1648" t="str">
        <f t="shared" si="687"/>
        <v>04-08-2020</v>
      </c>
      <c r="N1648" t="str">
        <f t="shared" si="670"/>
        <v>001105018356</v>
      </c>
      <c r="O1648" t="str">
        <f t="shared" si="671"/>
        <v>MYR</v>
      </c>
      <c r="P1648" t="str">
        <f t="shared" si="688"/>
        <v>NIL</v>
      </c>
      <c r="Q1648" t="str">
        <f t="shared" si="688"/>
        <v>NIL</v>
      </c>
      <c r="R1648" t="str">
        <f t="shared" si="673"/>
        <v>Accepted</v>
      </c>
      <c r="S1648" t="str">
        <f t="shared" si="674"/>
        <v>Approved</v>
      </c>
      <c r="T1648" t="str">
        <f t="shared" si="675"/>
        <v>10.20.8.188</v>
      </c>
      <c r="U1648" t="str">
        <f t="shared" si="676"/>
        <v>AZRAD UMAR BIN SHAARI</v>
      </c>
      <c r="V1648" t="str">
        <f t="shared" si="677"/>
        <v>FARHANA BINTI MUSTAPA</v>
      </c>
      <c r="W1648" t="str">
        <f t="shared" si="678"/>
        <v>04-08-2020</v>
      </c>
      <c r="X1648" t="str">
        <f t="shared" si="679"/>
        <v>RAZIMAH ANSAR AHMAD</v>
      </c>
      <c r="Y1648" t="str">
        <f t="shared" si="680"/>
        <v>04-08-2020</v>
      </c>
      <c r="Z1648" t="str">
        <f>"COS10200804 7506"</f>
        <v>COS10200804 7506</v>
      </c>
    </row>
    <row r="1649" spans="1:26" x14ac:dyDescent="0.25">
      <c r="A1649" t="str">
        <f t="shared" si="683"/>
        <v>04-08-2020 01:07:32</v>
      </c>
      <c r="B1649" t="str">
        <f>"0000809305"</f>
        <v>0000809305</v>
      </c>
      <c r="C1649" t="str">
        <f t="shared" si="684"/>
        <v>0000809200</v>
      </c>
      <c r="D1649" t="str">
        <f t="shared" si="666"/>
        <v>73185</v>
      </c>
      <c r="E1649" t="str">
        <f t="shared" si="667"/>
        <v>KFH-OPERATIONS DEPARTMENT</v>
      </c>
      <c r="F1649" t="str">
        <f t="shared" si="668"/>
        <v>IBG</v>
      </c>
      <c r="G1649" t="str">
        <f t="shared" si="681"/>
        <v>Refund COSHARE 10</v>
      </c>
      <c r="H1649" s="2">
        <v>762.2</v>
      </c>
      <c r="I1649" t="str">
        <f>"SITI KHAIRANI BINTI ALIAS"</f>
        <v>SITI KHAIRANI BINTI ALIAS</v>
      </c>
      <c r="J1649" t="str">
        <f t="shared" si="682"/>
        <v>MAYBANK / MAYBANK ISLAMIC</v>
      </c>
      <c r="K1649" t="str">
        <f>"162142006367"</f>
        <v>162142006367</v>
      </c>
      <c r="L1649" t="str">
        <f t="shared" si="687"/>
        <v>04-08-2020</v>
      </c>
      <c r="M1649" t="str">
        <f t="shared" si="687"/>
        <v>04-08-2020</v>
      </c>
      <c r="N1649" t="str">
        <f t="shared" si="670"/>
        <v>001105018356</v>
      </c>
      <c r="O1649" t="str">
        <f t="shared" si="671"/>
        <v>MYR</v>
      </c>
      <c r="P1649" t="str">
        <f t="shared" si="688"/>
        <v>NIL</v>
      </c>
      <c r="Q1649" t="str">
        <f t="shared" si="688"/>
        <v>NIL</v>
      </c>
      <c r="R1649" t="str">
        <f t="shared" si="673"/>
        <v>Accepted</v>
      </c>
      <c r="S1649" t="str">
        <f t="shared" si="674"/>
        <v>Approved</v>
      </c>
      <c r="T1649" t="str">
        <f t="shared" si="675"/>
        <v>10.20.8.188</v>
      </c>
      <c r="U1649" t="str">
        <f t="shared" si="676"/>
        <v>AZRAD UMAR BIN SHAARI</v>
      </c>
      <c r="V1649" t="str">
        <f t="shared" si="677"/>
        <v>FARHANA BINTI MUSTAPA</v>
      </c>
      <c r="W1649" t="str">
        <f t="shared" si="678"/>
        <v>04-08-2020</v>
      </c>
      <c r="X1649" t="str">
        <f t="shared" si="679"/>
        <v>RAZIMAH ANSAR AHMAD</v>
      </c>
      <c r="Y1649" t="str">
        <f t="shared" si="680"/>
        <v>04-08-2020</v>
      </c>
      <c r="Z1649" t="str">
        <f>"COS10200804 7505"</f>
        <v>COS10200804 7505</v>
      </c>
    </row>
    <row r="1650" spans="1:26" x14ac:dyDescent="0.25">
      <c r="A1650" t="str">
        <f t="shared" ref="A1650:A1681" si="689">"04-08-2020 01:07:32"</f>
        <v>04-08-2020 01:07:32</v>
      </c>
      <c r="B1650" t="str">
        <f>"0000809304"</f>
        <v>0000809304</v>
      </c>
      <c r="C1650" t="str">
        <f t="shared" ref="C1650:C1681" si="690">"0000809200"</f>
        <v>0000809200</v>
      </c>
      <c r="D1650" t="str">
        <f t="shared" si="666"/>
        <v>73185</v>
      </c>
      <c r="E1650" t="str">
        <f t="shared" si="667"/>
        <v>KFH-OPERATIONS DEPARTMENT</v>
      </c>
      <c r="F1650" t="str">
        <f t="shared" si="668"/>
        <v>IBG</v>
      </c>
      <c r="G1650" t="str">
        <f t="shared" si="681"/>
        <v>Refund COSHARE 10</v>
      </c>
      <c r="H1650" s="2">
        <v>209.9</v>
      </c>
      <c r="I1650" t="str">
        <f>"SITI HAWA BINTI MOHD NOOR"</f>
        <v>SITI HAWA BINTI MOHD NOOR</v>
      </c>
      <c r="J1650" t="str">
        <f t="shared" si="682"/>
        <v>MAYBANK / MAYBANK ISLAMIC</v>
      </c>
      <c r="K1650" t="str">
        <f>"155015023754"</f>
        <v>155015023754</v>
      </c>
      <c r="L1650" t="str">
        <f t="shared" si="687"/>
        <v>04-08-2020</v>
      </c>
      <c r="M1650" t="str">
        <f t="shared" si="687"/>
        <v>04-08-2020</v>
      </c>
      <c r="N1650" t="str">
        <f t="shared" si="670"/>
        <v>001105018356</v>
      </c>
      <c r="O1650" t="str">
        <f t="shared" si="671"/>
        <v>MYR</v>
      </c>
      <c r="P1650" t="str">
        <f t="shared" si="688"/>
        <v>NIL</v>
      </c>
      <c r="Q1650" t="str">
        <f t="shared" si="688"/>
        <v>NIL</v>
      </c>
      <c r="R1650" t="str">
        <f t="shared" si="673"/>
        <v>Accepted</v>
      </c>
      <c r="S1650" t="str">
        <f t="shared" si="674"/>
        <v>Approved</v>
      </c>
      <c r="T1650" t="str">
        <f t="shared" si="675"/>
        <v>10.20.8.188</v>
      </c>
      <c r="U1650" t="str">
        <f t="shared" si="676"/>
        <v>AZRAD UMAR BIN SHAARI</v>
      </c>
      <c r="V1650" t="str">
        <f t="shared" si="677"/>
        <v>FARHANA BINTI MUSTAPA</v>
      </c>
      <c r="W1650" t="str">
        <f t="shared" si="678"/>
        <v>04-08-2020</v>
      </c>
      <c r="X1650" t="str">
        <f t="shared" si="679"/>
        <v>RAZIMAH ANSAR AHMAD</v>
      </c>
      <c r="Y1650" t="str">
        <f t="shared" si="680"/>
        <v>04-08-2020</v>
      </c>
      <c r="Z1650" t="str">
        <f>"COS10200804 7504"</f>
        <v>COS10200804 7504</v>
      </c>
    </row>
    <row r="1651" spans="1:26" x14ac:dyDescent="0.25">
      <c r="A1651" t="str">
        <f t="shared" si="689"/>
        <v>04-08-2020 01:07:32</v>
      </c>
      <c r="B1651" t="str">
        <f>"0000809303"</f>
        <v>0000809303</v>
      </c>
      <c r="C1651" t="str">
        <f t="shared" si="690"/>
        <v>0000809200</v>
      </c>
      <c r="D1651" t="str">
        <f t="shared" si="666"/>
        <v>73185</v>
      </c>
      <c r="E1651" t="str">
        <f t="shared" si="667"/>
        <v>KFH-OPERATIONS DEPARTMENT</v>
      </c>
      <c r="F1651" t="str">
        <f t="shared" si="668"/>
        <v>IBG</v>
      </c>
      <c r="G1651" t="str">
        <f t="shared" si="681"/>
        <v>Refund COSHARE 10</v>
      </c>
      <c r="H1651" s="2">
        <v>53.55</v>
      </c>
      <c r="I1651" t="str">
        <f>"SITI HAWA BINTI BASRI"</f>
        <v>SITI HAWA BINTI BASRI</v>
      </c>
      <c r="J1651" t="str">
        <f t="shared" si="682"/>
        <v>MAYBANK / MAYBANK ISLAMIC</v>
      </c>
      <c r="K1651" t="str">
        <f>"154053350226"</f>
        <v>154053350226</v>
      </c>
      <c r="L1651" t="str">
        <f t="shared" si="687"/>
        <v>04-08-2020</v>
      </c>
      <c r="M1651" t="str">
        <f t="shared" si="687"/>
        <v>04-08-2020</v>
      </c>
      <c r="N1651" t="str">
        <f t="shared" si="670"/>
        <v>001105018356</v>
      </c>
      <c r="O1651" t="str">
        <f t="shared" si="671"/>
        <v>MYR</v>
      </c>
      <c r="P1651" t="str">
        <f t="shared" si="688"/>
        <v>NIL</v>
      </c>
      <c r="Q1651" t="str">
        <f t="shared" si="688"/>
        <v>NIL</v>
      </c>
      <c r="R1651" t="str">
        <f t="shared" si="673"/>
        <v>Accepted</v>
      </c>
      <c r="S1651" t="str">
        <f t="shared" si="674"/>
        <v>Approved</v>
      </c>
      <c r="T1651" t="str">
        <f t="shared" si="675"/>
        <v>10.20.8.188</v>
      </c>
      <c r="U1651" t="str">
        <f t="shared" si="676"/>
        <v>AZRAD UMAR BIN SHAARI</v>
      </c>
      <c r="V1651" t="str">
        <f t="shared" si="677"/>
        <v>FARHANA BINTI MUSTAPA</v>
      </c>
      <c r="W1651" t="str">
        <f t="shared" si="678"/>
        <v>04-08-2020</v>
      </c>
      <c r="X1651" t="str">
        <f t="shared" si="679"/>
        <v>RAZIMAH ANSAR AHMAD</v>
      </c>
      <c r="Y1651" t="str">
        <f t="shared" si="680"/>
        <v>04-08-2020</v>
      </c>
      <c r="Z1651" t="str">
        <f>"COS10200804 7503"</f>
        <v>COS10200804 7503</v>
      </c>
    </row>
    <row r="1652" spans="1:26" x14ac:dyDescent="0.25">
      <c r="A1652" t="str">
        <f t="shared" si="689"/>
        <v>04-08-2020 01:07:32</v>
      </c>
      <c r="B1652" t="str">
        <f>"0000809302"</f>
        <v>0000809302</v>
      </c>
      <c r="C1652" t="str">
        <f t="shared" si="690"/>
        <v>0000809200</v>
      </c>
      <c r="D1652" t="str">
        <f t="shared" si="666"/>
        <v>73185</v>
      </c>
      <c r="E1652" t="str">
        <f t="shared" si="667"/>
        <v>KFH-OPERATIONS DEPARTMENT</v>
      </c>
      <c r="F1652" t="str">
        <f t="shared" si="668"/>
        <v>IBG</v>
      </c>
      <c r="G1652" t="str">
        <f t="shared" si="681"/>
        <v>Refund COSHARE 10</v>
      </c>
      <c r="H1652" s="2">
        <v>1166.9000000000001</v>
      </c>
      <c r="I1652" t="str">
        <f>"SITI HASMAH BINTI MUSTAPHA"</f>
        <v>SITI HASMAH BINTI MUSTAPHA</v>
      </c>
      <c r="J1652" t="str">
        <f t="shared" si="682"/>
        <v>MAYBANK / MAYBANK ISLAMIC</v>
      </c>
      <c r="K1652" t="str">
        <f>"166010059193"</f>
        <v>166010059193</v>
      </c>
      <c r="L1652" t="str">
        <f t="shared" si="687"/>
        <v>04-08-2020</v>
      </c>
      <c r="M1652" t="str">
        <f t="shared" si="687"/>
        <v>04-08-2020</v>
      </c>
      <c r="N1652" t="str">
        <f t="shared" si="670"/>
        <v>001105018356</v>
      </c>
      <c r="O1652" t="str">
        <f t="shared" si="671"/>
        <v>MYR</v>
      </c>
      <c r="P1652" t="str">
        <f t="shared" si="688"/>
        <v>NIL</v>
      </c>
      <c r="Q1652" t="str">
        <f t="shared" si="688"/>
        <v>NIL</v>
      </c>
      <c r="R1652" t="str">
        <f t="shared" si="673"/>
        <v>Accepted</v>
      </c>
      <c r="S1652" t="str">
        <f t="shared" si="674"/>
        <v>Approved</v>
      </c>
      <c r="T1652" t="str">
        <f t="shared" si="675"/>
        <v>10.20.8.188</v>
      </c>
      <c r="U1652" t="str">
        <f t="shared" si="676"/>
        <v>AZRAD UMAR BIN SHAARI</v>
      </c>
      <c r="V1652" t="str">
        <f t="shared" si="677"/>
        <v>FARHANA BINTI MUSTAPA</v>
      </c>
      <c r="W1652" t="str">
        <f t="shared" si="678"/>
        <v>04-08-2020</v>
      </c>
      <c r="X1652" t="str">
        <f t="shared" si="679"/>
        <v>RAZIMAH ANSAR AHMAD</v>
      </c>
      <c r="Y1652" t="str">
        <f t="shared" si="680"/>
        <v>04-08-2020</v>
      </c>
      <c r="Z1652" t="str">
        <f>"COS10200804 7502"</f>
        <v>COS10200804 7502</v>
      </c>
    </row>
    <row r="1653" spans="1:26" x14ac:dyDescent="0.25">
      <c r="A1653" t="str">
        <f t="shared" si="689"/>
        <v>04-08-2020 01:07:32</v>
      </c>
      <c r="B1653" t="str">
        <f>"0000809301"</f>
        <v>0000809301</v>
      </c>
      <c r="C1653" t="str">
        <f t="shared" si="690"/>
        <v>0000809200</v>
      </c>
      <c r="D1653" t="str">
        <f t="shared" si="666"/>
        <v>73185</v>
      </c>
      <c r="E1653" t="str">
        <f t="shared" si="667"/>
        <v>KFH-OPERATIONS DEPARTMENT</v>
      </c>
      <c r="F1653" t="str">
        <f t="shared" si="668"/>
        <v>IBG</v>
      </c>
      <c r="G1653" t="str">
        <f t="shared" si="681"/>
        <v>Refund COSHARE 10</v>
      </c>
      <c r="H1653" s="2">
        <v>283</v>
      </c>
      <c r="I1653" t="str">
        <f>"SITI HAMISAH BINTI AHMAD"</f>
        <v>SITI HAMISAH BINTI AHMAD</v>
      </c>
      <c r="J1653" t="str">
        <f t="shared" si="682"/>
        <v>MAYBANK / MAYBANK ISLAMIC</v>
      </c>
      <c r="K1653" t="str">
        <f>"160139310852"</f>
        <v>160139310852</v>
      </c>
      <c r="L1653" t="str">
        <f t="shared" si="687"/>
        <v>04-08-2020</v>
      </c>
      <c r="M1653" t="str">
        <f t="shared" si="687"/>
        <v>04-08-2020</v>
      </c>
      <c r="N1653" t="str">
        <f t="shared" si="670"/>
        <v>001105018356</v>
      </c>
      <c r="O1653" t="str">
        <f t="shared" si="671"/>
        <v>MYR</v>
      </c>
      <c r="P1653" t="str">
        <f t="shared" si="688"/>
        <v>NIL</v>
      </c>
      <c r="Q1653" t="str">
        <f t="shared" si="688"/>
        <v>NIL</v>
      </c>
      <c r="R1653" t="str">
        <f t="shared" si="673"/>
        <v>Accepted</v>
      </c>
      <c r="S1653" t="str">
        <f t="shared" si="674"/>
        <v>Approved</v>
      </c>
      <c r="T1653" t="str">
        <f t="shared" si="675"/>
        <v>10.20.8.188</v>
      </c>
      <c r="U1653" t="str">
        <f t="shared" si="676"/>
        <v>AZRAD UMAR BIN SHAARI</v>
      </c>
      <c r="V1653" t="str">
        <f t="shared" si="677"/>
        <v>FARHANA BINTI MUSTAPA</v>
      </c>
      <c r="W1653" t="str">
        <f t="shared" si="678"/>
        <v>04-08-2020</v>
      </c>
      <c r="X1653" t="str">
        <f t="shared" si="679"/>
        <v>RAZIMAH ANSAR AHMAD</v>
      </c>
      <c r="Y1653" t="str">
        <f t="shared" si="680"/>
        <v>04-08-2020</v>
      </c>
      <c r="Z1653" t="str">
        <f>"COS10200804 7501"</f>
        <v>COS10200804 7501</v>
      </c>
    </row>
    <row r="1654" spans="1:26" x14ac:dyDescent="0.25">
      <c r="A1654" t="str">
        <f t="shared" si="689"/>
        <v>04-08-2020 01:07:32</v>
      </c>
      <c r="B1654" t="str">
        <f>"0000809300"</f>
        <v>0000809300</v>
      </c>
      <c r="C1654" t="str">
        <f t="shared" si="690"/>
        <v>0000809200</v>
      </c>
      <c r="D1654" t="str">
        <f t="shared" si="666"/>
        <v>73185</v>
      </c>
      <c r="E1654" t="str">
        <f t="shared" si="667"/>
        <v>KFH-OPERATIONS DEPARTMENT</v>
      </c>
      <c r="F1654" t="str">
        <f t="shared" si="668"/>
        <v>IBG</v>
      </c>
      <c r="G1654" t="str">
        <f t="shared" si="681"/>
        <v>Refund COSHARE 10</v>
      </c>
      <c r="H1654" s="2">
        <v>724.1</v>
      </c>
      <c r="I1654" t="str">
        <f>"SITI HALIZAH BINTI JURANI"</f>
        <v>SITI HALIZAH BINTI JURANI</v>
      </c>
      <c r="J1654" t="str">
        <f t="shared" si="682"/>
        <v>MAYBANK / MAYBANK ISLAMIC</v>
      </c>
      <c r="K1654" t="str">
        <f>"162133006001"</f>
        <v>162133006001</v>
      </c>
      <c r="L1654" t="str">
        <f t="shared" si="687"/>
        <v>04-08-2020</v>
      </c>
      <c r="M1654" t="str">
        <f t="shared" si="687"/>
        <v>04-08-2020</v>
      </c>
      <c r="N1654" t="str">
        <f t="shared" si="670"/>
        <v>001105018356</v>
      </c>
      <c r="O1654" t="str">
        <f t="shared" si="671"/>
        <v>MYR</v>
      </c>
      <c r="P1654" t="str">
        <f t="shared" si="688"/>
        <v>NIL</v>
      </c>
      <c r="Q1654" t="str">
        <f t="shared" si="688"/>
        <v>NIL</v>
      </c>
      <c r="R1654" t="str">
        <f t="shared" si="673"/>
        <v>Accepted</v>
      </c>
      <c r="S1654" t="str">
        <f t="shared" si="674"/>
        <v>Approved</v>
      </c>
      <c r="T1654" t="str">
        <f t="shared" si="675"/>
        <v>10.20.8.188</v>
      </c>
      <c r="U1654" t="str">
        <f t="shared" si="676"/>
        <v>AZRAD UMAR BIN SHAARI</v>
      </c>
      <c r="V1654" t="str">
        <f t="shared" si="677"/>
        <v>FARHANA BINTI MUSTAPA</v>
      </c>
      <c r="W1654" t="str">
        <f t="shared" si="678"/>
        <v>04-08-2020</v>
      </c>
      <c r="X1654" t="str">
        <f t="shared" si="679"/>
        <v>RAZIMAH ANSAR AHMAD</v>
      </c>
      <c r="Y1654" t="str">
        <f t="shared" si="680"/>
        <v>04-08-2020</v>
      </c>
      <c r="Z1654" t="str">
        <f>"COS10200804 7500"</f>
        <v>COS10200804 7500</v>
      </c>
    </row>
    <row r="1655" spans="1:26" x14ac:dyDescent="0.25">
      <c r="A1655" t="str">
        <f t="shared" si="689"/>
        <v>04-08-2020 01:07:32</v>
      </c>
      <c r="B1655" t="str">
        <f>"0000809299"</f>
        <v>0000809299</v>
      </c>
      <c r="C1655" t="str">
        <f t="shared" si="690"/>
        <v>0000809200</v>
      </c>
      <c r="D1655" t="str">
        <f t="shared" si="666"/>
        <v>73185</v>
      </c>
      <c r="E1655" t="str">
        <f t="shared" si="667"/>
        <v>KFH-OPERATIONS DEPARTMENT</v>
      </c>
      <c r="F1655" t="str">
        <f t="shared" si="668"/>
        <v>IBG</v>
      </c>
      <c r="G1655" t="str">
        <f t="shared" si="681"/>
        <v>Refund COSHARE 10</v>
      </c>
      <c r="H1655" s="2">
        <v>167.9</v>
      </c>
      <c r="I1655" t="str">
        <f>"SITI HALINA BINTI MAT ARSHAD"</f>
        <v>SITI HALINA BINTI MAT ARSHAD</v>
      </c>
      <c r="J1655" t="str">
        <f t="shared" si="682"/>
        <v>MAYBANK / MAYBANK ISLAMIC</v>
      </c>
      <c r="K1655" t="str">
        <f>"116015016732"</f>
        <v>116015016732</v>
      </c>
      <c r="L1655" t="str">
        <f t="shared" si="687"/>
        <v>04-08-2020</v>
      </c>
      <c r="M1655" t="str">
        <f t="shared" si="687"/>
        <v>04-08-2020</v>
      </c>
      <c r="N1655" t="str">
        <f t="shared" si="670"/>
        <v>001105018356</v>
      </c>
      <c r="O1655" t="str">
        <f t="shared" si="671"/>
        <v>MYR</v>
      </c>
      <c r="P1655" t="str">
        <f t="shared" si="688"/>
        <v>NIL</v>
      </c>
      <c r="Q1655" t="str">
        <f t="shared" si="688"/>
        <v>NIL</v>
      </c>
      <c r="R1655" t="str">
        <f t="shared" si="673"/>
        <v>Accepted</v>
      </c>
      <c r="S1655" t="str">
        <f t="shared" si="674"/>
        <v>Approved</v>
      </c>
      <c r="T1655" t="str">
        <f t="shared" si="675"/>
        <v>10.20.8.188</v>
      </c>
      <c r="U1655" t="str">
        <f t="shared" si="676"/>
        <v>AZRAD UMAR BIN SHAARI</v>
      </c>
      <c r="V1655" t="str">
        <f t="shared" si="677"/>
        <v>FARHANA BINTI MUSTAPA</v>
      </c>
      <c r="W1655" t="str">
        <f t="shared" si="678"/>
        <v>04-08-2020</v>
      </c>
      <c r="X1655" t="str">
        <f t="shared" si="679"/>
        <v>RAZIMAH ANSAR AHMAD</v>
      </c>
      <c r="Y1655" t="str">
        <f t="shared" si="680"/>
        <v>04-08-2020</v>
      </c>
      <c r="Z1655" t="str">
        <f>"COS10200804 7499"</f>
        <v>COS10200804 7499</v>
      </c>
    </row>
    <row r="1656" spans="1:26" x14ac:dyDescent="0.25">
      <c r="A1656" t="str">
        <f t="shared" si="689"/>
        <v>04-08-2020 01:07:32</v>
      </c>
      <c r="B1656" t="str">
        <f>"0000809298"</f>
        <v>0000809298</v>
      </c>
      <c r="C1656" t="str">
        <f t="shared" si="690"/>
        <v>0000809200</v>
      </c>
      <c r="D1656" t="str">
        <f t="shared" si="666"/>
        <v>73185</v>
      </c>
      <c r="E1656" t="str">
        <f t="shared" si="667"/>
        <v>KFH-OPERATIONS DEPARTMENT</v>
      </c>
      <c r="F1656" t="str">
        <f t="shared" si="668"/>
        <v>IBG</v>
      </c>
      <c r="G1656" t="str">
        <f t="shared" si="681"/>
        <v>Refund COSHARE 10</v>
      </c>
      <c r="H1656" s="2">
        <v>1480</v>
      </c>
      <c r="I1656" t="str">
        <f>"SITI HALIMATUS SA ADIAH BT SAMSUDIN"</f>
        <v>SITI HALIMATUS SA ADIAH BT SAMSUDIN</v>
      </c>
      <c r="J1656" t="str">
        <f t="shared" si="682"/>
        <v>MAYBANK / MAYBANK ISLAMIC</v>
      </c>
      <c r="K1656" t="str">
        <f>"151445089958"</f>
        <v>151445089958</v>
      </c>
      <c r="L1656" t="str">
        <f t="shared" si="687"/>
        <v>04-08-2020</v>
      </c>
      <c r="M1656" t="str">
        <f t="shared" si="687"/>
        <v>04-08-2020</v>
      </c>
      <c r="N1656" t="str">
        <f t="shared" si="670"/>
        <v>001105018356</v>
      </c>
      <c r="O1656" t="str">
        <f t="shared" si="671"/>
        <v>MYR</v>
      </c>
      <c r="P1656" t="str">
        <f t="shared" si="688"/>
        <v>NIL</v>
      </c>
      <c r="Q1656" t="str">
        <f t="shared" si="688"/>
        <v>NIL</v>
      </c>
      <c r="R1656" t="str">
        <f t="shared" si="673"/>
        <v>Accepted</v>
      </c>
      <c r="S1656" t="str">
        <f t="shared" si="674"/>
        <v>Approved</v>
      </c>
      <c r="T1656" t="str">
        <f t="shared" si="675"/>
        <v>10.20.8.188</v>
      </c>
      <c r="U1656" t="str">
        <f t="shared" si="676"/>
        <v>AZRAD UMAR BIN SHAARI</v>
      </c>
      <c r="V1656" t="str">
        <f t="shared" si="677"/>
        <v>FARHANA BINTI MUSTAPA</v>
      </c>
      <c r="W1656" t="str">
        <f t="shared" si="678"/>
        <v>04-08-2020</v>
      </c>
      <c r="X1656" t="str">
        <f t="shared" si="679"/>
        <v>RAZIMAH ANSAR AHMAD</v>
      </c>
      <c r="Y1656" t="str">
        <f t="shared" si="680"/>
        <v>04-08-2020</v>
      </c>
      <c r="Z1656" t="str">
        <f>"COS10200804 7498"</f>
        <v>COS10200804 7498</v>
      </c>
    </row>
    <row r="1657" spans="1:26" x14ac:dyDescent="0.25">
      <c r="A1657" t="str">
        <f t="shared" si="689"/>
        <v>04-08-2020 01:07:32</v>
      </c>
      <c r="B1657" t="str">
        <f>"0000809297"</f>
        <v>0000809297</v>
      </c>
      <c r="C1657" t="str">
        <f t="shared" si="690"/>
        <v>0000809200</v>
      </c>
      <c r="D1657" t="str">
        <f t="shared" si="666"/>
        <v>73185</v>
      </c>
      <c r="E1657" t="str">
        <f t="shared" si="667"/>
        <v>KFH-OPERATIONS DEPARTMENT</v>
      </c>
      <c r="F1657" t="str">
        <f t="shared" si="668"/>
        <v>IBG</v>
      </c>
      <c r="G1657" t="str">
        <f t="shared" si="681"/>
        <v>Refund COSHARE 10</v>
      </c>
      <c r="H1657" s="2">
        <v>409.3</v>
      </c>
      <c r="I1657" t="str">
        <f>"SITI HAJJAR BINTI SIDEK"</f>
        <v>SITI HAJJAR BINTI SIDEK</v>
      </c>
      <c r="J1657" t="str">
        <f t="shared" si="682"/>
        <v>MAYBANK / MAYBANK ISLAMIC</v>
      </c>
      <c r="K1657" t="str">
        <f>"162209908971"</f>
        <v>162209908971</v>
      </c>
      <c r="L1657" t="str">
        <f t="shared" si="687"/>
        <v>04-08-2020</v>
      </c>
      <c r="M1657" t="str">
        <f t="shared" si="687"/>
        <v>04-08-2020</v>
      </c>
      <c r="N1657" t="str">
        <f t="shared" si="670"/>
        <v>001105018356</v>
      </c>
      <c r="O1657" t="str">
        <f t="shared" si="671"/>
        <v>MYR</v>
      </c>
      <c r="P1657" t="str">
        <f t="shared" si="688"/>
        <v>NIL</v>
      </c>
      <c r="Q1657" t="str">
        <f t="shared" si="688"/>
        <v>NIL</v>
      </c>
      <c r="R1657" t="str">
        <f t="shared" si="673"/>
        <v>Accepted</v>
      </c>
      <c r="S1657" t="str">
        <f t="shared" si="674"/>
        <v>Approved</v>
      </c>
      <c r="T1657" t="str">
        <f t="shared" si="675"/>
        <v>10.20.8.188</v>
      </c>
      <c r="U1657" t="str">
        <f t="shared" si="676"/>
        <v>AZRAD UMAR BIN SHAARI</v>
      </c>
      <c r="V1657" t="str">
        <f t="shared" si="677"/>
        <v>FARHANA BINTI MUSTAPA</v>
      </c>
      <c r="W1657" t="str">
        <f t="shared" si="678"/>
        <v>04-08-2020</v>
      </c>
      <c r="X1657" t="str">
        <f t="shared" si="679"/>
        <v>RAZIMAH ANSAR AHMAD</v>
      </c>
      <c r="Y1657" t="str">
        <f t="shared" si="680"/>
        <v>04-08-2020</v>
      </c>
      <c r="Z1657" t="str">
        <f>"COS10200804 7497"</f>
        <v>COS10200804 7497</v>
      </c>
    </row>
    <row r="1658" spans="1:26" x14ac:dyDescent="0.25">
      <c r="A1658" t="str">
        <f t="shared" si="689"/>
        <v>04-08-2020 01:07:32</v>
      </c>
      <c r="B1658" t="str">
        <f>"0000809296"</f>
        <v>0000809296</v>
      </c>
      <c r="C1658" t="str">
        <f t="shared" si="690"/>
        <v>0000809200</v>
      </c>
      <c r="D1658" t="str">
        <f t="shared" si="666"/>
        <v>73185</v>
      </c>
      <c r="E1658" t="str">
        <f t="shared" si="667"/>
        <v>KFH-OPERATIONS DEPARTMENT</v>
      </c>
      <c r="F1658" t="str">
        <f t="shared" si="668"/>
        <v>IBG</v>
      </c>
      <c r="G1658" t="str">
        <f t="shared" si="681"/>
        <v>Refund COSHARE 10</v>
      </c>
      <c r="H1658" s="2">
        <v>167.9</v>
      </c>
      <c r="I1658" t="str">
        <f>"SITI HAJIJAH KALSUM BINTI HARRY"</f>
        <v>SITI HAJIJAH KALSUM BINTI HARRY</v>
      </c>
      <c r="J1658" t="str">
        <f t="shared" si="682"/>
        <v>MAYBANK / MAYBANK ISLAMIC</v>
      </c>
      <c r="K1658" t="str">
        <f>"111114070689"</f>
        <v>111114070689</v>
      </c>
      <c r="L1658" t="str">
        <f t="shared" si="687"/>
        <v>04-08-2020</v>
      </c>
      <c r="M1658" t="str">
        <f t="shared" si="687"/>
        <v>04-08-2020</v>
      </c>
      <c r="N1658" t="str">
        <f t="shared" si="670"/>
        <v>001105018356</v>
      </c>
      <c r="O1658" t="str">
        <f t="shared" si="671"/>
        <v>MYR</v>
      </c>
      <c r="P1658" t="str">
        <f t="shared" si="688"/>
        <v>NIL</v>
      </c>
      <c r="Q1658" t="str">
        <f t="shared" si="688"/>
        <v>NIL</v>
      </c>
      <c r="R1658" t="str">
        <f t="shared" si="673"/>
        <v>Accepted</v>
      </c>
      <c r="S1658" t="str">
        <f t="shared" si="674"/>
        <v>Approved</v>
      </c>
      <c r="T1658" t="str">
        <f t="shared" si="675"/>
        <v>10.20.8.188</v>
      </c>
      <c r="U1658" t="str">
        <f t="shared" si="676"/>
        <v>AZRAD UMAR BIN SHAARI</v>
      </c>
      <c r="V1658" t="str">
        <f t="shared" si="677"/>
        <v>FARHANA BINTI MUSTAPA</v>
      </c>
      <c r="W1658" t="str">
        <f t="shared" si="678"/>
        <v>04-08-2020</v>
      </c>
      <c r="X1658" t="str">
        <f t="shared" si="679"/>
        <v>RAZIMAH ANSAR AHMAD</v>
      </c>
      <c r="Y1658" t="str">
        <f t="shared" si="680"/>
        <v>04-08-2020</v>
      </c>
      <c r="Z1658" t="str">
        <f>"COS10200804 7496"</f>
        <v>COS10200804 7496</v>
      </c>
    </row>
    <row r="1659" spans="1:26" x14ac:dyDescent="0.25">
      <c r="A1659" t="str">
        <f t="shared" si="689"/>
        <v>04-08-2020 01:07:32</v>
      </c>
      <c r="B1659" t="str">
        <f>"0000809295"</f>
        <v>0000809295</v>
      </c>
      <c r="C1659" t="str">
        <f t="shared" si="690"/>
        <v>0000809200</v>
      </c>
      <c r="D1659" t="str">
        <f t="shared" si="666"/>
        <v>73185</v>
      </c>
      <c r="E1659" t="str">
        <f t="shared" si="667"/>
        <v>KFH-OPERATIONS DEPARTMENT</v>
      </c>
      <c r="F1659" t="str">
        <f t="shared" si="668"/>
        <v>IBG</v>
      </c>
      <c r="G1659" t="str">
        <f t="shared" si="681"/>
        <v>Refund COSHARE 10</v>
      </c>
      <c r="H1659" s="2">
        <v>251.85</v>
      </c>
      <c r="I1659" t="str">
        <f>"SITI HAJAR BINTI BAHROM"</f>
        <v>SITI HAJAR BINTI BAHROM</v>
      </c>
      <c r="J1659" t="str">
        <f t="shared" si="682"/>
        <v>MAYBANK / MAYBANK ISLAMIC</v>
      </c>
      <c r="K1659" t="str">
        <f>"151342027100"</f>
        <v>151342027100</v>
      </c>
      <c r="L1659" t="str">
        <f t="shared" si="687"/>
        <v>04-08-2020</v>
      </c>
      <c r="M1659" t="str">
        <f t="shared" si="687"/>
        <v>04-08-2020</v>
      </c>
      <c r="N1659" t="str">
        <f t="shared" si="670"/>
        <v>001105018356</v>
      </c>
      <c r="O1659" t="str">
        <f t="shared" si="671"/>
        <v>MYR</v>
      </c>
      <c r="P1659" t="str">
        <f t="shared" si="688"/>
        <v>NIL</v>
      </c>
      <c r="Q1659" t="str">
        <f t="shared" si="688"/>
        <v>NIL</v>
      </c>
      <c r="R1659" t="str">
        <f t="shared" si="673"/>
        <v>Accepted</v>
      </c>
      <c r="S1659" t="str">
        <f t="shared" si="674"/>
        <v>Approved</v>
      </c>
      <c r="T1659" t="str">
        <f t="shared" si="675"/>
        <v>10.20.8.188</v>
      </c>
      <c r="U1659" t="str">
        <f t="shared" si="676"/>
        <v>AZRAD UMAR BIN SHAARI</v>
      </c>
      <c r="V1659" t="str">
        <f t="shared" si="677"/>
        <v>FARHANA BINTI MUSTAPA</v>
      </c>
      <c r="W1659" t="str">
        <f t="shared" si="678"/>
        <v>04-08-2020</v>
      </c>
      <c r="X1659" t="str">
        <f t="shared" si="679"/>
        <v>RAZIMAH ANSAR AHMAD</v>
      </c>
      <c r="Y1659" t="str">
        <f t="shared" si="680"/>
        <v>04-08-2020</v>
      </c>
      <c r="Z1659" t="str">
        <f>"COS10200804 7495"</f>
        <v>COS10200804 7495</v>
      </c>
    </row>
    <row r="1660" spans="1:26" x14ac:dyDescent="0.25">
      <c r="A1660" t="str">
        <f t="shared" si="689"/>
        <v>04-08-2020 01:07:32</v>
      </c>
      <c r="B1660" t="str">
        <f>"0000809294"</f>
        <v>0000809294</v>
      </c>
      <c r="C1660" t="str">
        <f t="shared" si="690"/>
        <v>0000809200</v>
      </c>
      <c r="D1660" t="str">
        <f t="shared" si="666"/>
        <v>73185</v>
      </c>
      <c r="E1660" t="str">
        <f t="shared" si="667"/>
        <v>KFH-OPERATIONS DEPARTMENT</v>
      </c>
      <c r="F1660" t="str">
        <f t="shared" si="668"/>
        <v>IBG</v>
      </c>
      <c r="G1660" t="str">
        <f t="shared" si="681"/>
        <v>Refund COSHARE 10</v>
      </c>
      <c r="H1660" s="2">
        <v>327</v>
      </c>
      <c r="I1660" t="str">
        <f>"SITI HAFIZA BINTI YUSOFF"</f>
        <v>SITI HAFIZA BINTI YUSOFF</v>
      </c>
      <c r="J1660" t="str">
        <f t="shared" si="682"/>
        <v>MAYBANK / MAYBANK ISLAMIC</v>
      </c>
      <c r="K1660" t="str">
        <f>"164481037805"</f>
        <v>164481037805</v>
      </c>
      <c r="L1660" t="str">
        <f t="shared" si="687"/>
        <v>04-08-2020</v>
      </c>
      <c r="M1660" t="str">
        <f t="shared" si="687"/>
        <v>04-08-2020</v>
      </c>
      <c r="N1660" t="str">
        <f t="shared" si="670"/>
        <v>001105018356</v>
      </c>
      <c r="O1660" t="str">
        <f t="shared" si="671"/>
        <v>MYR</v>
      </c>
      <c r="P1660" t="str">
        <f t="shared" si="688"/>
        <v>NIL</v>
      </c>
      <c r="Q1660" t="str">
        <f t="shared" si="688"/>
        <v>NIL</v>
      </c>
      <c r="R1660" t="str">
        <f t="shared" si="673"/>
        <v>Accepted</v>
      </c>
      <c r="S1660" t="str">
        <f t="shared" si="674"/>
        <v>Approved</v>
      </c>
      <c r="T1660" t="str">
        <f t="shared" si="675"/>
        <v>10.20.8.188</v>
      </c>
      <c r="U1660" t="str">
        <f t="shared" si="676"/>
        <v>AZRAD UMAR BIN SHAARI</v>
      </c>
      <c r="V1660" t="str">
        <f t="shared" si="677"/>
        <v>FARHANA BINTI MUSTAPA</v>
      </c>
      <c r="W1660" t="str">
        <f t="shared" si="678"/>
        <v>04-08-2020</v>
      </c>
      <c r="X1660" t="str">
        <f t="shared" si="679"/>
        <v>RAZIMAH ANSAR AHMAD</v>
      </c>
      <c r="Y1660" t="str">
        <f t="shared" si="680"/>
        <v>04-08-2020</v>
      </c>
      <c r="Z1660" t="str">
        <f>"COS10200804 7494"</f>
        <v>COS10200804 7494</v>
      </c>
    </row>
    <row r="1661" spans="1:26" x14ac:dyDescent="0.25">
      <c r="A1661" t="str">
        <f t="shared" si="689"/>
        <v>04-08-2020 01:07:32</v>
      </c>
      <c r="B1661" t="str">
        <f>"0000809293"</f>
        <v>0000809293</v>
      </c>
      <c r="C1661" t="str">
        <f t="shared" si="690"/>
        <v>0000809200</v>
      </c>
      <c r="D1661" t="str">
        <f t="shared" si="666"/>
        <v>73185</v>
      </c>
      <c r="E1661" t="str">
        <f t="shared" si="667"/>
        <v>KFH-OPERATIONS DEPARTMENT</v>
      </c>
      <c r="F1661" t="str">
        <f t="shared" si="668"/>
        <v>IBG</v>
      </c>
      <c r="G1661" t="str">
        <f t="shared" si="681"/>
        <v>Refund COSHARE 10</v>
      </c>
      <c r="H1661" s="2">
        <v>1685.35</v>
      </c>
      <c r="I1661" t="str">
        <f>"SITI HABIBAH BINTI MOHD AMIN"</f>
        <v>SITI HABIBAH BINTI MOHD AMIN</v>
      </c>
      <c r="J1661" t="str">
        <f t="shared" si="682"/>
        <v>MAYBANK / MAYBANK ISLAMIC</v>
      </c>
      <c r="K1661" t="str">
        <f>"112101509331"</f>
        <v>112101509331</v>
      </c>
      <c r="L1661" t="str">
        <f t="shared" si="687"/>
        <v>04-08-2020</v>
      </c>
      <c r="M1661" t="str">
        <f t="shared" si="687"/>
        <v>04-08-2020</v>
      </c>
      <c r="N1661" t="str">
        <f t="shared" si="670"/>
        <v>001105018356</v>
      </c>
      <c r="O1661" t="str">
        <f t="shared" si="671"/>
        <v>MYR</v>
      </c>
      <c r="P1661" t="str">
        <f t="shared" si="688"/>
        <v>NIL</v>
      </c>
      <c r="Q1661" t="str">
        <f t="shared" si="688"/>
        <v>NIL</v>
      </c>
      <c r="R1661" t="str">
        <f t="shared" si="673"/>
        <v>Accepted</v>
      </c>
      <c r="S1661" t="str">
        <f t="shared" si="674"/>
        <v>Approved</v>
      </c>
      <c r="T1661" t="str">
        <f t="shared" si="675"/>
        <v>10.20.8.188</v>
      </c>
      <c r="U1661" t="str">
        <f t="shared" si="676"/>
        <v>AZRAD UMAR BIN SHAARI</v>
      </c>
      <c r="V1661" t="str">
        <f t="shared" si="677"/>
        <v>FARHANA BINTI MUSTAPA</v>
      </c>
      <c r="W1661" t="str">
        <f t="shared" si="678"/>
        <v>04-08-2020</v>
      </c>
      <c r="X1661" t="str">
        <f t="shared" si="679"/>
        <v>RAZIMAH ANSAR AHMAD</v>
      </c>
      <c r="Y1661" t="str">
        <f t="shared" si="680"/>
        <v>04-08-2020</v>
      </c>
      <c r="Z1661" t="str">
        <f>"COS10200804 7493"</f>
        <v>COS10200804 7493</v>
      </c>
    </row>
    <row r="1662" spans="1:26" x14ac:dyDescent="0.25">
      <c r="A1662" t="str">
        <f t="shared" si="689"/>
        <v>04-08-2020 01:07:32</v>
      </c>
      <c r="B1662" t="str">
        <f>"0000809292"</f>
        <v>0000809292</v>
      </c>
      <c r="C1662" t="str">
        <f t="shared" si="690"/>
        <v>0000809200</v>
      </c>
      <c r="D1662" t="str">
        <f t="shared" si="666"/>
        <v>73185</v>
      </c>
      <c r="E1662" t="str">
        <f t="shared" si="667"/>
        <v>KFH-OPERATIONS DEPARTMENT</v>
      </c>
      <c r="F1662" t="str">
        <f t="shared" si="668"/>
        <v>IBG</v>
      </c>
      <c r="G1662" t="str">
        <f t="shared" si="681"/>
        <v>Refund COSHARE 10</v>
      </c>
      <c r="H1662" s="2">
        <v>152</v>
      </c>
      <c r="I1662" t="str">
        <f>"SITI FERDA BINTI YEN"</f>
        <v>SITI FERDA BINTI YEN</v>
      </c>
      <c r="J1662" t="str">
        <f t="shared" si="682"/>
        <v>MAYBANK / MAYBANK ISLAMIC</v>
      </c>
      <c r="K1662" t="str">
        <f>"151061310274"</f>
        <v>151061310274</v>
      </c>
      <c r="L1662" t="str">
        <f t="shared" si="687"/>
        <v>04-08-2020</v>
      </c>
      <c r="M1662" t="str">
        <f t="shared" si="687"/>
        <v>04-08-2020</v>
      </c>
      <c r="N1662" t="str">
        <f t="shared" si="670"/>
        <v>001105018356</v>
      </c>
      <c r="O1662" t="str">
        <f t="shared" si="671"/>
        <v>MYR</v>
      </c>
      <c r="P1662" t="str">
        <f t="shared" si="688"/>
        <v>NIL</v>
      </c>
      <c r="Q1662" t="str">
        <f t="shared" si="688"/>
        <v>NIL</v>
      </c>
      <c r="R1662" t="str">
        <f t="shared" si="673"/>
        <v>Accepted</v>
      </c>
      <c r="S1662" t="str">
        <f t="shared" si="674"/>
        <v>Approved</v>
      </c>
      <c r="T1662" t="str">
        <f t="shared" si="675"/>
        <v>10.20.8.188</v>
      </c>
      <c r="U1662" t="str">
        <f t="shared" si="676"/>
        <v>AZRAD UMAR BIN SHAARI</v>
      </c>
      <c r="V1662" t="str">
        <f t="shared" si="677"/>
        <v>FARHANA BINTI MUSTAPA</v>
      </c>
      <c r="W1662" t="str">
        <f t="shared" si="678"/>
        <v>04-08-2020</v>
      </c>
      <c r="X1662" t="str">
        <f t="shared" si="679"/>
        <v>RAZIMAH ANSAR AHMAD</v>
      </c>
      <c r="Y1662" t="str">
        <f t="shared" si="680"/>
        <v>04-08-2020</v>
      </c>
      <c r="Z1662" t="str">
        <f>"COS10200804 7492"</f>
        <v>COS10200804 7492</v>
      </c>
    </row>
    <row r="1663" spans="1:26" x14ac:dyDescent="0.25">
      <c r="A1663" t="str">
        <f t="shared" si="689"/>
        <v>04-08-2020 01:07:32</v>
      </c>
      <c r="B1663" t="str">
        <f>"0000809291"</f>
        <v>0000809291</v>
      </c>
      <c r="C1663" t="str">
        <f t="shared" si="690"/>
        <v>0000809200</v>
      </c>
      <c r="D1663" t="str">
        <f t="shared" si="666"/>
        <v>73185</v>
      </c>
      <c r="E1663" t="str">
        <f t="shared" si="667"/>
        <v>KFH-OPERATIONS DEPARTMENT</v>
      </c>
      <c r="F1663" t="str">
        <f t="shared" si="668"/>
        <v>IBG</v>
      </c>
      <c r="G1663" t="str">
        <f t="shared" si="681"/>
        <v>Refund COSHARE 10</v>
      </c>
      <c r="H1663" s="2">
        <v>805.95</v>
      </c>
      <c r="I1663" t="str">
        <f>"SITI FAUZIAH BINTI ABD HAMID"</f>
        <v>SITI FAUZIAH BINTI ABD HAMID</v>
      </c>
      <c r="J1663" t="str">
        <f t="shared" si="682"/>
        <v>MAYBANK / MAYBANK ISLAMIC</v>
      </c>
      <c r="K1663" t="str">
        <f>"158396084589"</f>
        <v>158396084589</v>
      </c>
      <c r="L1663" t="str">
        <f t="shared" si="687"/>
        <v>04-08-2020</v>
      </c>
      <c r="M1663" t="str">
        <f t="shared" si="687"/>
        <v>04-08-2020</v>
      </c>
      <c r="N1663" t="str">
        <f t="shared" si="670"/>
        <v>001105018356</v>
      </c>
      <c r="O1663" t="str">
        <f t="shared" si="671"/>
        <v>MYR</v>
      </c>
      <c r="P1663" t="str">
        <f t="shared" si="688"/>
        <v>NIL</v>
      </c>
      <c r="Q1663" t="str">
        <f t="shared" si="688"/>
        <v>NIL</v>
      </c>
      <c r="R1663" t="str">
        <f t="shared" si="673"/>
        <v>Accepted</v>
      </c>
      <c r="S1663" t="str">
        <f t="shared" si="674"/>
        <v>Approved</v>
      </c>
      <c r="T1663" t="str">
        <f t="shared" si="675"/>
        <v>10.20.8.188</v>
      </c>
      <c r="U1663" t="str">
        <f t="shared" si="676"/>
        <v>AZRAD UMAR BIN SHAARI</v>
      </c>
      <c r="V1663" t="str">
        <f t="shared" si="677"/>
        <v>FARHANA BINTI MUSTAPA</v>
      </c>
      <c r="W1663" t="str">
        <f t="shared" si="678"/>
        <v>04-08-2020</v>
      </c>
      <c r="X1663" t="str">
        <f t="shared" si="679"/>
        <v>RAZIMAH ANSAR AHMAD</v>
      </c>
      <c r="Y1663" t="str">
        <f t="shared" si="680"/>
        <v>04-08-2020</v>
      </c>
      <c r="Z1663" t="str">
        <f>"COS10200804 7491"</f>
        <v>COS10200804 7491</v>
      </c>
    </row>
    <row r="1664" spans="1:26" x14ac:dyDescent="0.25">
      <c r="A1664" t="str">
        <f t="shared" si="689"/>
        <v>04-08-2020 01:07:32</v>
      </c>
      <c r="B1664" t="str">
        <f>"0000809290"</f>
        <v>0000809290</v>
      </c>
      <c r="C1664" t="str">
        <f t="shared" si="690"/>
        <v>0000809200</v>
      </c>
      <c r="D1664" t="str">
        <f t="shared" si="666"/>
        <v>73185</v>
      </c>
      <c r="E1664" t="str">
        <f t="shared" si="667"/>
        <v>KFH-OPERATIONS DEPARTMENT</v>
      </c>
      <c r="F1664" t="str">
        <f t="shared" si="668"/>
        <v>IBG</v>
      </c>
      <c r="G1664" t="str">
        <f t="shared" si="681"/>
        <v>Refund COSHARE 10</v>
      </c>
      <c r="H1664" s="2">
        <v>284.89999999999998</v>
      </c>
      <c r="I1664" t="str">
        <f>"SITI FATIMAH BINTI ZAINUDDIN"</f>
        <v>SITI FATIMAH BINTI ZAINUDDIN</v>
      </c>
      <c r="J1664" t="str">
        <f t="shared" si="682"/>
        <v>MAYBANK / MAYBANK ISLAMIC</v>
      </c>
      <c r="K1664" t="str">
        <f>"112268087851"</f>
        <v>112268087851</v>
      </c>
      <c r="L1664" t="str">
        <f t="shared" si="687"/>
        <v>04-08-2020</v>
      </c>
      <c r="M1664" t="str">
        <f t="shared" si="687"/>
        <v>04-08-2020</v>
      </c>
      <c r="N1664" t="str">
        <f t="shared" si="670"/>
        <v>001105018356</v>
      </c>
      <c r="O1664" t="str">
        <f t="shared" si="671"/>
        <v>MYR</v>
      </c>
      <c r="P1664" t="str">
        <f t="shared" si="688"/>
        <v>NIL</v>
      </c>
      <c r="Q1664" t="str">
        <f t="shared" si="688"/>
        <v>NIL</v>
      </c>
      <c r="R1664" t="str">
        <f t="shared" si="673"/>
        <v>Accepted</v>
      </c>
      <c r="S1664" t="str">
        <f t="shared" si="674"/>
        <v>Approved</v>
      </c>
      <c r="T1664" t="str">
        <f t="shared" si="675"/>
        <v>10.20.8.188</v>
      </c>
      <c r="U1664" t="str">
        <f t="shared" si="676"/>
        <v>AZRAD UMAR BIN SHAARI</v>
      </c>
      <c r="V1664" t="str">
        <f t="shared" si="677"/>
        <v>FARHANA BINTI MUSTAPA</v>
      </c>
      <c r="W1664" t="str">
        <f t="shared" si="678"/>
        <v>04-08-2020</v>
      </c>
      <c r="X1664" t="str">
        <f t="shared" si="679"/>
        <v>RAZIMAH ANSAR AHMAD</v>
      </c>
      <c r="Y1664" t="str">
        <f t="shared" si="680"/>
        <v>04-08-2020</v>
      </c>
      <c r="Z1664" t="str">
        <f>"COS10200804 7490"</f>
        <v>COS10200804 7490</v>
      </c>
    </row>
    <row r="1665" spans="1:26" x14ac:dyDescent="0.25">
      <c r="A1665" t="str">
        <f t="shared" si="689"/>
        <v>04-08-2020 01:07:32</v>
      </c>
      <c r="B1665" t="str">
        <f>"0000809289"</f>
        <v>0000809289</v>
      </c>
      <c r="C1665" t="str">
        <f t="shared" si="690"/>
        <v>0000809200</v>
      </c>
      <c r="D1665" t="str">
        <f t="shared" si="666"/>
        <v>73185</v>
      </c>
      <c r="E1665" t="str">
        <f t="shared" si="667"/>
        <v>KFH-OPERATIONS DEPARTMENT</v>
      </c>
      <c r="F1665" t="str">
        <f t="shared" si="668"/>
        <v>IBG</v>
      </c>
      <c r="G1665" t="str">
        <f t="shared" si="681"/>
        <v>Refund COSHARE 10</v>
      </c>
      <c r="H1665" s="2">
        <v>620.9</v>
      </c>
      <c r="I1665" t="str">
        <f>"SITI FATIMAH BINTI RASMIN"</f>
        <v>SITI FATIMAH BINTI RASMIN</v>
      </c>
      <c r="J1665" t="str">
        <f t="shared" si="682"/>
        <v>MAYBANK / MAYBANK ISLAMIC</v>
      </c>
      <c r="K1665" t="str">
        <f>"110014084547"</f>
        <v>110014084547</v>
      </c>
      <c r="L1665" t="str">
        <f t="shared" si="687"/>
        <v>04-08-2020</v>
      </c>
      <c r="M1665" t="str">
        <f t="shared" si="687"/>
        <v>04-08-2020</v>
      </c>
      <c r="N1665" t="str">
        <f t="shared" si="670"/>
        <v>001105018356</v>
      </c>
      <c r="O1665" t="str">
        <f t="shared" si="671"/>
        <v>MYR</v>
      </c>
      <c r="P1665" t="str">
        <f t="shared" si="688"/>
        <v>NIL</v>
      </c>
      <c r="Q1665" t="str">
        <f t="shared" si="688"/>
        <v>NIL</v>
      </c>
      <c r="R1665" t="str">
        <f t="shared" si="673"/>
        <v>Accepted</v>
      </c>
      <c r="S1665" t="str">
        <f t="shared" si="674"/>
        <v>Approved</v>
      </c>
      <c r="T1665" t="str">
        <f t="shared" si="675"/>
        <v>10.20.8.188</v>
      </c>
      <c r="U1665" t="str">
        <f t="shared" si="676"/>
        <v>AZRAD UMAR BIN SHAARI</v>
      </c>
      <c r="V1665" t="str">
        <f t="shared" si="677"/>
        <v>FARHANA BINTI MUSTAPA</v>
      </c>
      <c r="W1665" t="str">
        <f t="shared" si="678"/>
        <v>04-08-2020</v>
      </c>
      <c r="X1665" t="str">
        <f t="shared" si="679"/>
        <v>RAZIMAH ANSAR AHMAD</v>
      </c>
      <c r="Y1665" t="str">
        <f t="shared" si="680"/>
        <v>04-08-2020</v>
      </c>
      <c r="Z1665" t="str">
        <f>"COS10200804 7489"</f>
        <v>COS10200804 7489</v>
      </c>
    </row>
    <row r="1666" spans="1:26" x14ac:dyDescent="0.25">
      <c r="A1666" t="str">
        <f t="shared" si="689"/>
        <v>04-08-2020 01:07:32</v>
      </c>
      <c r="B1666" t="str">
        <f>"0000809288"</f>
        <v>0000809288</v>
      </c>
      <c r="C1666" t="str">
        <f t="shared" si="690"/>
        <v>0000809200</v>
      </c>
      <c r="D1666" t="str">
        <f t="shared" si="666"/>
        <v>73185</v>
      </c>
      <c r="E1666" t="str">
        <f t="shared" si="667"/>
        <v>KFH-OPERATIONS DEPARTMENT</v>
      </c>
      <c r="F1666" t="str">
        <f t="shared" si="668"/>
        <v>IBG</v>
      </c>
      <c r="G1666" t="str">
        <f t="shared" si="681"/>
        <v>Refund COSHARE 10</v>
      </c>
      <c r="H1666" s="2">
        <v>134.35</v>
      </c>
      <c r="I1666" t="str">
        <f>"SITI FATIMAH BINTI MOHD ISA"</f>
        <v>SITI FATIMAH BINTI MOHD ISA</v>
      </c>
      <c r="J1666" t="str">
        <f t="shared" si="682"/>
        <v>MAYBANK / MAYBANK ISLAMIC</v>
      </c>
      <c r="K1666" t="str">
        <f>"166010077407"</f>
        <v>166010077407</v>
      </c>
      <c r="L1666" t="str">
        <f t="shared" si="687"/>
        <v>04-08-2020</v>
      </c>
      <c r="M1666" t="str">
        <f t="shared" si="687"/>
        <v>04-08-2020</v>
      </c>
      <c r="N1666" t="str">
        <f t="shared" si="670"/>
        <v>001105018356</v>
      </c>
      <c r="O1666" t="str">
        <f t="shared" si="671"/>
        <v>MYR</v>
      </c>
      <c r="P1666" t="str">
        <f t="shared" si="688"/>
        <v>NIL</v>
      </c>
      <c r="Q1666" t="str">
        <f t="shared" si="688"/>
        <v>NIL</v>
      </c>
      <c r="R1666" t="str">
        <f t="shared" si="673"/>
        <v>Accepted</v>
      </c>
      <c r="S1666" t="str">
        <f t="shared" si="674"/>
        <v>Approved</v>
      </c>
      <c r="T1666" t="str">
        <f t="shared" si="675"/>
        <v>10.20.8.188</v>
      </c>
      <c r="U1666" t="str">
        <f t="shared" si="676"/>
        <v>AZRAD UMAR BIN SHAARI</v>
      </c>
      <c r="V1666" t="str">
        <f t="shared" si="677"/>
        <v>FARHANA BINTI MUSTAPA</v>
      </c>
      <c r="W1666" t="str">
        <f t="shared" si="678"/>
        <v>04-08-2020</v>
      </c>
      <c r="X1666" t="str">
        <f t="shared" si="679"/>
        <v>RAZIMAH ANSAR AHMAD</v>
      </c>
      <c r="Y1666" t="str">
        <f t="shared" si="680"/>
        <v>04-08-2020</v>
      </c>
      <c r="Z1666" t="str">
        <f>"COS10200804 7488"</f>
        <v>COS10200804 7488</v>
      </c>
    </row>
    <row r="1667" spans="1:26" x14ac:dyDescent="0.25">
      <c r="A1667" t="str">
        <f t="shared" si="689"/>
        <v>04-08-2020 01:07:32</v>
      </c>
      <c r="B1667" t="str">
        <f>"0000809287"</f>
        <v>0000809287</v>
      </c>
      <c r="C1667" t="str">
        <f t="shared" si="690"/>
        <v>0000809200</v>
      </c>
      <c r="D1667" t="str">
        <f t="shared" si="666"/>
        <v>73185</v>
      </c>
      <c r="E1667" t="str">
        <f t="shared" si="667"/>
        <v>KFH-OPERATIONS DEPARTMENT</v>
      </c>
      <c r="F1667" t="str">
        <f t="shared" si="668"/>
        <v>IBG</v>
      </c>
      <c r="G1667" t="str">
        <f t="shared" si="681"/>
        <v>Refund COSHARE 10</v>
      </c>
      <c r="H1667" s="2">
        <v>189.65</v>
      </c>
      <c r="I1667" t="str">
        <f>"SITI FATIMAH BINTI MD ZAHAR"</f>
        <v>SITI FATIMAH BINTI MD ZAHAR</v>
      </c>
      <c r="J1667" t="str">
        <f t="shared" si="682"/>
        <v>MAYBANK / MAYBANK ISLAMIC</v>
      </c>
      <c r="K1667" t="str">
        <f>"155087193842"</f>
        <v>155087193842</v>
      </c>
      <c r="L1667" t="str">
        <f t="shared" ref="L1667:M1686" si="691">"04-08-2020"</f>
        <v>04-08-2020</v>
      </c>
      <c r="M1667" t="str">
        <f t="shared" si="691"/>
        <v>04-08-2020</v>
      </c>
      <c r="N1667" t="str">
        <f t="shared" si="670"/>
        <v>001105018356</v>
      </c>
      <c r="O1667" t="str">
        <f t="shared" si="671"/>
        <v>MYR</v>
      </c>
      <c r="P1667" t="str">
        <f t="shared" ref="P1667:Q1686" si="692">"NIL"</f>
        <v>NIL</v>
      </c>
      <c r="Q1667" t="str">
        <f t="shared" si="692"/>
        <v>NIL</v>
      </c>
      <c r="R1667" t="str">
        <f t="shared" si="673"/>
        <v>Accepted</v>
      </c>
      <c r="S1667" t="str">
        <f t="shared" si="674"/>
        <v>Approved</v>
      </c>
      <c r="T1667" t="str">
        <f t="shared" si="675"/>
        <v>10.20.8.188</v>
      </c>
      <c r="U1667" t="str">
        <f t="shared" si="676"/>
        <v>AZRAD UMAR BIN SHAARI</v>
      </c>
      <c r="V1667" t="str">
        <f t="shared" si="677"/>
        <v>FARHANA BINTI MUSTAPA</v>
      </c>
      <c r="W1667" t="str">
        <f t="shared" si="678"/>
        <v>04-08-2020</v>
      </c>
      <c r="X1667" t="str">
        <f t="shared" si="679"/>
        <v>RAZIMAH ANSAR AHMAD</v>
      </c>
      <c r="Y1667" t="str">
        <f t="shared" si="680"/>
        <v>04-08-2020</v>
      </c>
      <c r="Z1667" t="str">
        <f>"COS10200804 7487"</f>
        <v>COS10200804 7487</v>
      </c>
    </row>
    <row r="1668" spans="1:26" x14ac:dyDescent="0.25">
      <c r="A1668" t="str">
        <f t="shared" si="689"/>
        <v>04-08-2020 01:07:32</v>
      </c>
      <c r="B1668" t="str">
        <f>"0000809286"</f>
        <v>0000809286</v>
      </c>
      <c r="C1668" t="str">
        <f t="shared" si="690"/>
        <v>0000809200</v>
      </c>
      <c r="D1668" t="str">
        <f t="shared" si="666"/>
        <v>73185</v>
      </c>
      <c r="E1668" t="str">
        <f t="shared" si="667"/>
        <v>KFH-OPERATIONS DEPARTMENT</v>
      </c>
      <c r="F1668" t="str">
        <f t="shared" si="668"/>
        <v>IBG</v>
      </c>
      <c r="G1668" t="str">
        <f t="shared" si="681"/>
        <v>Refund COSHARE 10</v>
      </c>
      <c r="H1668" s="2">
        <v>50.4</v>
      </c>
      <c r="I1668" t="str">
        <f>"SITI FATIMAH BINTI ARSHAD"</f>
        <v>SITI FATIMAH BINTI ARSHAD</v>
      </c>
      <c r="J1668" t="str">
        <f t="shared" si="682"/>
        <v>MAYBANK / MAYBANK ISLAMIC</v>
      </c>
      <c r="K1668" t="str">
        <f>"161024414081"</f>
        <v>161024414081</v>
      </c>
      <c r="L1668" t="str">
        <f t="shared" si="691"/>
        <v>04-08-2020</v>
      </c>
      <c r="M1668" t="str">
        <f t="shared" si="691"/>
        <v>04-08-2020</v>
      </c>
      <c r="N1668" t="str">
        <f t="shared" si="670"/>
        <v>001105018356</v>
      </c>
      <c r="O1668" t="str">
        <f t="shared" si="671"/>
        <v>MYR</v>
      </c>
      <c r="P1668" t="str">
        <f t="shared" si="692"/>
        <v>NIL</v>
      </c>
      <c r="Q1668" t="str">
        <f t="shared" si="692"/>
        <v>NIL</v>
      </c>
      <c r="R1668" t="str">
        <f t="shared" si="673"/>
        <v>Accepted</v>
      </c>
      <c r="S1668" t="str">
        <f t="shared" si="674"/>
        <v>Approved</v>
      </c>
      <c r="T1668" t="str">
        <f t="shared" si="675"/>
        <v>10.20.8.188</v>
      </c>
      <c r="U1668" t="str">
        <f t="shared" si="676"/>
        <v>AZRAD UMAR BIN SHAARI</v>
      </c>
      <c r="V1668" t="str">
        <f t="shared" si="677"/>
        <v>FARHANA BINTI MUSTAPA</v>
      </c>
      <c r="W1668" t="str">
        <f t="shared" si="678"/>
        <v>04-08-2020</v>
      </c>
      <c r="X1668" t="str">
        <f t="shared" si="679"/>
        <v>RAZIMAH ANSAR AHMAD</v>
      </c>
      <c r="Y1668" t="str">
        <f t="shared" si="680"/>
        <v>04-08-2020</v>
      </c>
      <c r="Z1668" t="str">
        <f>"COS10200804 7486"</f>
        <v>COS10200804 7486</v>
      </c>
    </row>
    <row r="1669" spans="1:26" x14ac:dyDescent="0.25">
      <c r="A1669" t="str">
        <f t="shared" si="689"/>
        <v>04-08-2020 01:07:32</v>
      </c>
      <c r="B1669" t="str">
        <f>"0000809285"</f>
        <v>0000809285</v>
      </c>
      <c r="C1669" t="str">
        <f t="shared" si="690"/>
        <v>0000809200</v>
      </c>
      <c r="D1669" t="str">
        <f t="shared" si="666"/>
        <v>73185</v>
      </c>
      <c r="E1669" t="str">
        <f t="shared" si="667"/>
        <v>KFH-OPERATIONS DEPARTMENT</v>
      </c>
      <c r="F1669" t="str">
        <f t="shared" si="668"/>
        <v>IBG</v>
      </c>
      <c r="G1669" t="str">
        <f t="shared" si="681"/>
        <v>Refund COSHARE 10</v>
      </c>
      <c r="H1669" s="2">
        <v>1351.6</v>
      </c>
      <c r="I1669" t="str">
        <f>"SITI FATIMAH BINTI ALI"</f>
        <v>SITI FATIMAH BINTI ALI</v>
      </c>
      <c r="J1669" t="str">
        <f t="shared" si="682"/>
        <v>MAYBANK / MAYBANK ISLAMIC</v>
      </c>
      <c r="K1669" t="str">
        <f>"162106713590"</f>
        <v>162106713590</v>
      </c>
      <c r="L1669" t="str">
        <f t="shared" si="691"/>
        <v>04-08-2020</v>
      </c>
      <c r="M1669" t="str">
        <f t="shared" si="691"/>
        <v>04-08-2020</v>
      </c>
      <c r="N1669" t="str">
        <f t="shared" si="670"/>
        <v>001105018356</v>
      </c>
      <c r="O1669" t="str">
        <f t="shared" si="671"/>
        <v>MYR</v>
      </c>
      <c r="P1669" t="str">
        <f t="shared" si="692"/>
        <v>NIL</v>
      </c>
      <c r="Q1669" t="str">
        <f t="shared" si="692"/>
        <v>NIL</v>
      </c>
      <c r="R1669" t="str">
        <f t="shared" si="673"/>
        <v>Accepted</v>
      </c>
      <c r="S1669" t="str">
        <f t="shared" si="674"/>
        <v>Approved</v>
      </c>
      <c r="T1669" t="str">
        <f t="shared" si="675"/>
        <v>10.20.8.188</v>
      </c>
      <c r="U1669" t="str">
        <f t="shared" si="676"/>
        <v>AZRAD UMAR BIN SHAARI</v>
      </c>
      <c r="V1669" t="str">
        <f t="shared" si="677"/>
        <v>FARHANA BINTI MUSTAPA</v>
      </c>
      <c r="W1669" t="str">
        <f t="shared" si="678"/>
        <v>04-08-2020</v>
      </c>
      <c r="X1669" t="str">
        <f t="shared" si="679"/>
        <v>RAZIMAH ANSAR AHMAD</v>
      </c>
      <c r="Y1669" t="str">
        <f t="shared" si="680"/>
        <v>04-08-2020</v>
      </c>
      <c r="Z1669" t="str">
        <f>"COS10200804 7485"</f>
        <v>COS10200804 7485</v>
      </c>
    </row>
    <row r="1670" spans="1:26" x14ac:dyDescent="0.25">
      <c r="A1670" t="str">
        <f t="shared" si="689"/>
        <v>04-08-2020 01:07:32</v>
      </c>
      <c r="B1670" t="str">
        <f>"0000809284"</f>
        <v>0000809284</v>
      </c>
      <c r="C1670" t="str">
        <f t="shared" si="690"/>
        <v>0000809200</v>
      </c>
      <c r="D1670" t="str">
        <f t="shared" si="666"/>
        <v>73185</v>
      </c>
      <c r="E1670" t="str">
        <f t="shared" si="667"/>
        <v>KFH-OPERATIONS DEPARTMENT</v>
      </c>
      <c r="F1670" t="str">
        <f t="shared" si="668"/>
        <v>IBG</v>
      </c>
      <c r="G1670" t="str">
        <f t="shared" si="681"/>
        <v>Refund COSHARE 10</v>
      </c>
      <c r="H1670" s="2">
        <v>42</v>
      </c>
      <c r="I1670" t="str">
        <f>"SITI FARIDAH BINTI SELAMAT"</f>
        <v>SITI FARIDAH BINTI SELAMAT</v>
      </c>
      <c r="J1670" t="str">
        <f t="shared" si="682"/>
        <v>MAYBANK / MAYBANK ISLAMIC</v>
      </c>
      <c r="K1670" t="str">
        <f>"151052169724"</f>
        <v>151052169724</v>
      </c>
      <c r="L1670" t="str">
        <f t="shared" si="691"/>
        <v>04-08-2020</v>
      </c>
      <c r="M1670" t="str">
        <f t="shared" si="691"/>
        <v>04-08-2020</v>
      </c>
      <c r="N1670" t="str">
        <f t="shared" si="670"/>
        <v>001105018356</v>
      </c>
      <c r="O1670" t="str">
        <f t="shared" si="671"/>
        <v>MYR</v>
      </c>
      <c r="P1670" t="str">
        <f t="shared" si="692"/>
        <v>NIL</v>
      </c>
      <c r="Q1670" t="str">
        <f t="shared" si="692"/>
        <v>NIL</v>
      </c>
      <c r="R1670" t="str">
        <f t="shared" si="673"/>
        <v>Accepted</v>
      </c>
      <c r="S1670" t="str">
        <f t="shared" si="674"/>
        <v>Approved</v>
      </c>
      <c r="T1670" t="str">
        <f t="shared" si="675"/>
        <v>10.20.8.188</v>
      </c>
      <c r="U1670" t="str">
        <f t="shared" si="676"/>
        <v>AZRAD UMAR BIN SHAARI</v>
      </c>
      <c r="V1670" t="str">
        <f t="shared" si="677"/>
        <v>FARHANA BINTI MUSTAPA</v>
      </c>
      <c r="W1670" t="str">
        <f t="shared" si="678"/>
        <v>04-08-2020</v>
      </c>
      <c r="X1670" t="str">
        <f t="shared" si="679"/>
        <v>RAZIMAH ANSAR AHMAD</v>
      </c>
      <c r="Y1670" t="str">
        <f t="shared" si="680"/>
        <v>04-08-2020</v>
      </c>
      <c r="Z1670" t="str">
        <f>"COS10200804 7484"</f>
        <v>COS10200804 7484</v>
      </c>
    </row>
    <row r="1671" spans="1:26" x14ac:dyDescent="0.25">
      <c r="A1671" t="str">
        <f t="shared" si="689"/>
        <v>04-08-2020 01:07:32</v>
      </c>
      <c r="B1671" t="str">
        <f>"0000809283"</f>
        <v>0000809283</v>
      </c>
      <c r="C1671" t="str">
        <f t="shared" si="690"/>
        <v>0000809200</v>
      </c>
      <c r="D1671" t="str">
        <f t="shared" ref="D1671:D1734" si="693">"73185"</f>
        <v>73185</v>
      </c>
      <c r="E1671" t="str">
        <f t="shared" ref="E1671:E1734" si="694">"KFH-OPERATIONS DEPARTMENT"</f>
        <v>KFH-OPERATIONS DEPARTMENT</v>
      </c>
      <c r="F1671" t="str">
        <f t="shared" ref="F1671:F1734" si="695">"IBG"</f>
        <v>IBG</v>
      </c>
      <c r="G1671" t="str">
        <f t="shared" si="681"/>
        <v>Refund COSHARE 10</v>
      </c>
      <c r="H1671" s="2">
        <v>587.65</v>
      </c>
      <c r="I1671" t="str">
        <f>"SITI FARHANA BINTI MOHDRAJI"</f>
        <v>SITI FARHANA BINTI MOHDRAJI</v>
      </c>
      <c r="J1671" t="str">
        <f t="shared" si="682"/>
        <v>MAYBANK / MAYBANK ISLAMIC</v>
      </c>
      <c r="K1671" t="str">
        <f>"162197313604"</f>
        <v>162197313604</v>
      </c>
      <c r="L1671" t="str">
        <f t="shared" si="691"/>
        <v>04-08-2020</v>
      </c>
      <c r="M1671" t="str">
        <f t="shared" si="691"/>
        <v>04-08-2020</v>
      </c>
      <c r="N1671" t="str">
        <f t="shared" ref="N1671:N1734" si="696">"001105018356"</f>
        <v>001105018356</v>
      </c>
      <c r="O1671" t="str">
        <f t="shared" ref="O1671:O1734" si="697">"MYR"</f>
        <v>MYR</v>
      </c>
      <c r="P1671" t="str">
        <f t="shared" si="692"/>
        <v>NIL</v>
      </c>
      <c r="Q1671" t="str">
        <f t="shared" si="692"/>
        <v>NIL</v>
      </c>
      <c r="R1671" t="str">
        <f t="shared" ref="R1671:R1734" si="698">"Accepted"</f>
        <v>Accepted</v>
      </c>
      <c r="S1671" t="str">
        <f t="shared" ref="S1671:S1734" si="699">"Approved"</f>
        <v>Approved</v>
      </c>
      <c r="T1671" t="str">
        <f t="shared" ref="T1671:T1734" si="700">"10.20.8.188"</f>
        <v>10.20.8.188</v>
      </c>
      <c r="U1671" t="str">
        <f t="shared" ref="U1671:U1734" si="701">"AZRAD UMAR BIN SHAARI"</f>
        <v>AZRAD UMAR BIN SHAARI</v>
      </c>
      <c r="V1671" t="str">
        <f t="shared" ref="V1671:V1734" si="702">"FARHANA BINTI MUSTAPA"</f>
        <v>FARHANA BINTI MUSTAPA</v>
      </c>
      <c r="W1671" t="str">
        <f t="shared" ref="W1671:W1734" si="703">"04-08-2020"</f>
        <v>04-08-2020</v>
      </c>
      <c r="X1671" t="str">
        <f t="shared" ref="X1671:X1734" si="704">"RAZIMAH ANSAR AHMAD"</f>
        <v>RAZIMAH ANSAR AHMAD</v>
      </c>
      <c r="Y1671" t="str">
        <f t="shared" ref="Y1671:Y1734" si="705">"04-08-2020"</f>
        <v>04-08-2020</v>
      </c>
      <c r="Z1671" t="str">
        <f>"COS10200804 7483"</f>
        <v>COS10200804 7483</v>
      </c>
    </row>
    <row r="1672" spans="1:26" x14ac:dyDescent="0.25">
      <c r="A1672" t="str">
        <f t="shared" si="689"/>
        <v>04-08-2020 01:07:32</v>
      </c>
      <c r="B1672" t="str">
        <f>"0000809282"</f>
        <v>0000809282</v>
      </c>
      <c r="C1672" t="str">
        <f t="shared" si="690"/>
        <v>0000809200</v>
      </c>
      <c r="D1672" t="str">
        <f t="shared" si="693"/>
        <v>73185</v>
      </c>
      <c r="E1672" t="str">
        <f t="shared" si="694"/>
        <v>KFH-OPERATIONS DEPARTMENT</v>
      </c>
      <c r="F1672" t="str">
        <f t="shared" si="695"/>
        <v>IBG</v>
      </c>
      <c r="G1672" t="str">
        <f t="shared" si="681"/>
        <v>Refund COSHARE 10</v>
      </c>
      <c r="H1672" s="2">
        <v>83.95</v>
      </c>
      <c r="I1672" t="str">
        <f>"SITI FAIRUZ BINTI KHALID"</f>
        <v>SITI FAIRUZ BINTI KHALID</v>
      </c>
      <c r="J1672" t="str">
        <f t="shared" si="682"/>
        <v>MAYBANK / MAYBANK ISLAMIC</v>
      </c>
      <c r="K1672" t="str">
        <f>"151025697178"</f>
        <v>151025697178</v>
      </c>
      <c r="L1672" t="str">
        <f t="shared" si="691"/>
        <v>04-08-2020</v>
      </c>
      <c r="M1672" t="str">
        <f t="shared" si="691"/>
        <v>04-08-2020</v>
      </c>
      <c r="N1672" t="str">
        <f t="shared" si="696"/>
        <v>001105018356</v>
      </c>
      <c r="O1672" t="str">
        <f t="shared" si="697"/>
        <v>MYR</v>
      </c>
      <c r="P1672" t="str">
        <f t="shared" si="692"/>
        <v>NIL</v>
      </c>
      <c r="Q1672" t="str">
        <f t="shared" si="692"/>
        <v>NIL</v>
      </c>
      <c r="R1672" t="str">
        <f t="shared" si="698"/>
        <v>Accepted</v>
      </c>
      <c r="S1672" t="str">
        <f t="shared" si="699"/>
        <v>Approved</v>
      </c>
      <c r="T1672" t="str">
        <f t="shared" si="700"/>
        <v>10.20.8.188</v>
      </c>
      <c r="U1672" t="str">
        <f t="shared" si="701"/>
        <v>AZRAD UMAR BIN SHAARI</v>
      </c>
      <c r="V1672" t="str">
        <f t="shared" si="702"/>
        <v>FARHANA BINTI MUSTAPA</v>
      </c>
      <c r="W1672" t="str">
        <f t="shared" si="703"/>
        <v>04-08-2020</v>
      </c>
      <c r="X1672" t="str">
        <f t="shared" si="704"/>
        <v>RAZIMAH ANSAR AHMAD</v>
      </c>
      <c r="Y1672" t="str">
        <f t="shared" si="705"/>
        <v>04-08-2020</v>
      </c>
      <c r="Z1672" t="str">
        <f>"COS10200804 7482"</f>
        <v>COS10200804 7482</v>
      </c>
    </row>
    <row r="1673" spans="1:26" x14ac:dyDescent="0.25">
      <c r="A1673" t="str">
        <f t="shared" si="689"/>
        <v>04-08-2020 01:07:32</v>
      </c>
      <c r="B1673" t="str">
        <f>"0000809281"</f>
        <v>0000809281</v>
      </c>
      <c r="C1673" t="str">
        <f t="shared" si="690"/>
        <v>0000809200</v>
      </c>
      <c r="D1673" t="str">
        <f t="shared" si="693"/>
        <v>73185</v>
      </c>
      <c r="E1673" t="str">
        <f t="shared" si="694"/>
        <v>KFH-OPERATIONS DEPARTMENT</v>
      </c>
      <c r="F1673" t="str">
        <f t="shared" si="695"/>
        <v>IBG</v>
      </c>
      <c r="G1673" t="str">
        <f t="shared" si="681"/>
        <v>Refund COSHARE 10</v>
      </c>
      <c r="H1673" s="2">
        <v>444</v>
      </c>
      <c r="I1673" t="str">
        <f>"SITI CITRAWANI BINTI HASSAN"</f>
        <v>SITI CITRAWANI BINTI HASSAN</v>
      </c>
      <c r="J1673" t="str">
        <f t="shared" si="682"/>
        <v>MAYBANK / MAYBANK ISLAMIC</v>
      </c>
      <c r="K1673" t="str">
        <f>"151173512678"</f>
        <v>151173512678</v>
      </c>
      <c r="L1673" t="str">
        <f t="shared" si="691"/>
        <v>04-08-2020</v>
      </c>
      <c r="M1673" t="str">
        <f t="shared" si="691"/>
        <v>04-08-2020</v>
      </c>
      <c r="N1673" t="str">
        <f t="shared" si="696"/>
        <v>001105018356</v>
      </c>
      <c r="O1673" t="str">
        <f t="shared" si="697"/>
        <v>MYR</v>
      </c>
      <c r="P1673" t="str">
        <f t="shared" si="692"/>
        <v>NIL</v>
      </c>
      <c r="Q1673" t="str">
        <f t="shared" si="692"/>
        <v>NIL</v>
      </c>
      <c r="R1673" t="str">
        <f t="shared" si="698"/>
        <v>Accepted</v>
      </c>
      <c r="S1673" t="str">
        <f t="shared" si="699"/>
        <v>Approved</v>
      </c>
      <c r="T1673" t="str">
        <f t="shared" si="700"/>
        <v>10.20.8.188</v>
      </c>
      <c r="U1673" t="str">
        <f t="shared" si="701"/>
        <v>AZRAD UMAR BIN SHAARI</v>
      </c>
      <c r="V1673" t="str">
        <f t="shared" si="702"/>
        <v>FARHANA BINTI MUSTAPA</v>
      </c>
      <c r="W1673" t="str">
        <f t="shared" si="703"/>
        <v>04-08-2020</v>
      </c>
      <c r="X1673" t="str">
        <f t="shared" si="704"/>
        <v>RAZIMAH ANSAR AHMAD</v>
      </c>
      <c r="Y1673" t="str">
        <f t="shared" si="705"/>
        <v>04-08-2020</v>
      </c>
      <c r="Z1673" t="str">
        <f>"COS10200804 7481"</f>
        <v>COS10200804 7481</v>
      </c>
    </row>
    <row r="1674" spans="1:26" x14ac:dyDescent="0.25">
      <c r="A1674" t="str">
        <f t="shared" si="689"/>
        <v>04-08-2020 01:07:32</v>
      </c>
      <c r="B1674" t="str">
        <f>"0000809280"</f>
        <v>0000809280</v>
      </c>
      <c r="C1674" t="str">
        <f t="shared" si="690"/>
        <v>0000809200</v>
      </c>
      <c r="D1674" t="str">
        <f t="shared" si="693"/>
        <v>73185</v>
      </c>
      <c r="E1674" t="str">
        <f t="shared" si="694"/>
        <v>KFH-OPERATIONS DEPARTMENT</v>
      </c>
      <c r="F1674" t="str">
        <f t="shared" si="695"/>
        <v>IBG</v>
      </c>
      <c r="G1674" t="str">
        <f t="shared" si="681"/>
        <v>Refund COSHARE 10</v>
      </c>
      <c r="H1674" s="2">
        <v>42</v>
      </c>
      <c r="I1674" t="str">
        <f>"SITI AZYYATI BT JAYA"</f>
        <v>SITI AZYYATI BT JAYA</v>
      </c>
      <c r="J1674" t="str">
        <f t="shared" si="682"/>
        <v>MAYBANK / MAYBANK ISLAMIC</v>
      </c>
      <c r="K1674" t="str">
        <f>"161275008331"</f>
        <v>161275008331</v>
      </c>
      <c r="L1674" t="str">
        <f t="shared" si="691"/>
        <v>04-08-2020</v>
      </c>
      <c r="M1674" t="str">
        <f t="shared" si="691"/>
        <v>04-08-2020</v>
      </c>
      <c r="N1674" t="str">
        <f t="shared" si="696"/>
        <v>001105018356</v>
      </c>
      <c r="O1674" t="str">
        <f t="shared" si="697"/>
        <v>MYR</v>
      </c>
      <c r="P1674" t="str">
        <f t="shared" si="692"/>
        <v>NIL</v>
      </c>
      <c r="Q1674" t="str">
        <f t="shared" si="692"/>
        <v>NIL</v>
      </c>
      <c r="R1674" t="str">
        <f t="shared" si="698"/>
        <v>Accepted</v>
      </c>
      <c r="S1674" t="str">
        <f t="shared" si="699"/>
        <v>Approved</v>
      </c>
      <c r="T1674" t="str">
        <f t="shared" si="700"/>
        <v>10.20.8.188</v>
      </c>
      <c r="U1674" t="str">
        <f t="shared" si="701"/>
        <v>AZRAD UMAR BIN SHAARI</v>
      </c>
      <c r="V1674" t="str">
        <f t="shared" si="702"/>
        <v>FARHANA BINTI MUSTAPA</v>
      </c>
      <c r="W1674" t="str">
        <f t="shared" si="703"/>
        <v>04-08-2020</v>
      </c>
      <c r="X1674" t="str">
        <f t="shared" si="704"/>
        <v>RAZIMAH ANSAR AHMAD</v>
      </c>
      <c r="Y1674" t="str">
        <f t="shared" si="705"/>
        <v>04-08-2020</v>
      </c>
      <c r="Z1674" t="str">
        <f>"COS10200804 7480"</f>
        <v>COS10200804 7480</v>
      </c>
    </row>
    <row r="1675" spans="1:26" x14ac:dyDescent="0.25">
      <c r="A1675" t="str">
        <f t="shared" si="689"/>
        <v>04-08-2020 01:07:32</v>
      </c>
      <c r="B1675" t="str">
        <f>"0000809279"</f>
        <v>0000809279</v>
      </c>
      <c r="C1675" t="str">
        <f t="shared" si="690"/>
        <v>0000809200</v>
      </c>
      <c r="D1675" t="str">
        <f t="shared" si="693"/>
        <v>73185</v>
      </c>
      <c r="E1675" t="str">
        <f t="shared" si="694"/>
        <v>KFH-OPERATIONS DEPARTMENT</v>
      </c>
      <c r="F1675" t="str">
        <f t="shared" si="695"/>
        <v>IBG</v>
      </c>
      <c r="G1675" t="str">
        <f t="shared" si="681"/>
        <v>Refund COSHARE 10</v>
      </c>
      <c r="H1675" s="2">
        <v>251.85</v>
      </c>
      <c r="I1675" t="str">
        <f>"SITI AZURA BINTI JUIH"</f>
        <v>SITI AZURA BINTI JUIH</v>
      </c>
      <c r="J1675" t="str">
        <f t="shared" si="682"/>
        <v>MAYBANK / MAYBANK ISLAMIC</v>
      </c>
      <c r="K1675" t="str">
        <f>"164164811670"</f>
        <v>164164811670</v>
      </c>
      <c r="L1675" t="str">
        <f t="shared" si="691"/>
        <v>04-08-2020</v>
      </c>
      <c r="M1675" t="str">
        <f t="shared" si="691"/>
        <v>04-08-2020</v>
      </c>
      <c r="N1675" t="str">
        <f t="shared" si="696"/>
        <v>001105018356</v>
      </c>
      <c r="O1675" t="str">
        <f t="shared" si="697"/>
        <v>MYR</v>
      </c>
      <c r="P1675" t="str">
        <f t="shared" si="692"/>
        <v>NIL</v>
      </c>
      <c r="Q1675" t="str">
        <f t="shared" si="692"/>
        <v>NIL</v>
      </c>
      <c r="R1675" t="str">
        <f t="shared" si="698"/>
        <v>Accepted</v>
      </c>
      <c r="S1675" t="str">
        <f t="shared" si="699"/>
        <v>Approved</v>
      </c>
      <c r="T1675" t="str">
        <f t="shared" si="700"/>
        <v>10.20.8.188</v>
      </c>
      <c r="U1675" t="str">
        <f t="shared" si="701"/>
        <v>AZRAD UMAR BIN SHAARI</v>
      </c>
      <c r="V1675" t="str">
        <f t="shared" si="702"/>
        <v>FARHANA BINTI MUSTAPA</v>
      </c>
      <c r="W1675" t="str">
        <f t="shared" si="703"/>
        <v>04-08-2020</v>
      </c>
      <c r="X1675" t="str">
        <f t="shared" si="704"/>
        <v>RAZIMAH ANSAR AHMAD</v>
      </c>
      <c r="Y1675" t="str">
        <f t="shared" si="705"/>
        <v>04-08-2020</v>
      </c>
      <c r="Z1675" t="str">
        <f>"COS10200804 7479"</f>
        <v>COS10200804 7479</v>
      </c>
    </row>
    <row r="1676" spans="1:26" x14ac:dyDescent="0.25">
      <c r="A1676" t="str">
        <f t="shared" si="689"/>
        <v>04-08-2020 01:07:32</v>
      </c>
      <c r="B1676" t="str">
        <f>"0000809278"</f>
        <v>0000809278</v>
      </c>
      <c r="C1676" t="str">
        <f t="shared" si="690"/>
        <v>0000809200</v>
      </c>
      <c r="D1676" t="str">
        <f t="shared" si="693"/>
        <v>73185</v>
      </c>
      <c r="E1676" t="str">
        <f t="shared" si="694"/>
        <v>KFH-OPERATIONS DEPARTMENT</v>
      </c>
      <c r="F1676" t="str">
        <f t="shared" si="695"/>
        <v>IBG</v>
      </c>
      <c r="G1676" t="str">
        <f t="shared" ref="G1676:G1739" si="706">"Refund COSHARE 10"</f>
        <v>Refund COSHARE 10</v>
      </c>
      <c r="H1676" s="2">
        <v>403</v>
      </c>
      <c r="I1676" t="str">
        <f>"SITI AZIBANUL HISHAM BINTI AZIZAN"</f>
        <v>SITI AZIBANUL HISHAM BINTI AZIZAN</v>
      </c>
      <c r="J1676" t="str">
        <f t="shared" si="682"/>
        <v>MAYBANK / MAYBANK ISLAMIC</v>
      </c>
      <c r="K1676" t="str">
        <f>"102063479987"</f>
        <v>102063479987</v>
      </c>
      <c r="L1676" t="str">
        <f t="shared" si="691"/>
        <v>04-08-2020</v>
      </c>
      <c r="M1676" t="str">
        <f t="shared" si="691"/>
        <v>04-08-2020</v>
      </c>
      <c r="N1676" t="str">
        <f t="shared" si="696"/>
        <v>001105018356</v>
      </c>
      <c r="O1676" t="str">
        <f t="shared" si="697"/>
        <v>MYR</v>
      </c>
      <c r="P1676" t="str">
        <f t="shared" si="692"/>
        <v>NIL</v>
      </c>
      <c r="Q1676" t="str">
        <f t="shared" si="692"/>
        <v>NIL</v>
      </c>
      <c r="R1676" t="str">
        <f t="shared" si="698"/>
        <v>Accepted</v>
      </c>
      <c r="S1676" t="str">
        <f t="shared" si="699"/>
        <v>Approved</v>
      </c>
      <c r="T1676" t="str">
        <f t="shared" si="700"/>
        <v>10.20.8.188</v>
      </c>
      <c r="U1676" t="str">
        <f t="shared" si="701"/>
        <v>AZRAD UMAR BIN SHAARI</v>
      </c>
      <c r="V1676" t="str">
        <f t="shared" si="702"/>
        <v>FARHANA BINTI MUSTAPA</v>
      </c>
      <c r="W1676" t="str">
        <f t="shared" si="703"/>
        <v>04-08-2020</v>
      </c>
      <c r="X1676" t="str">
        <f t="shared" si="704"/>
        <v>RAZIMAH ANSAR AHMAD</v>
      </c>
      <c r="Y1676" t="str">
        <f t="shared" si="705"/>
        <v>04-08-2020</v>
      </c>
      <c r="Z1676" t="str">
        <f>"COS10200804 7478"</f>
        <v>COS10200804 7478</v>
      </c>
    </row>
    <row r="1677" spans="1:26" x14ac:dyDescent="0.25">
      <c r="A1677" t="str">
        <f t="shared" si="689"/>
        <v>04-08-2020 01:07:32</v>
      </c>
      <c r="B1677" t="str">
        <f>"0000809277"</f>
        <v>0000809277</v>
      </c>
      <c r="C1677" t="str">
        <f t="shared" si="690"/>
        <v>0000809200</v>
      </c>
      <c r="D1677" t="str">
        <f t="shared" si="693"/>
        <v>73185</v>
      </c>
      <c r="E1677" t="str">
        <f t="shared" si="694"/>
        <v>KFH-OPERATIONS DEPARTMENT</v>
      </c>
      <c r="F1677" t="str">
        <f t="shared" si="695"/>
        <v>IBG</v>
      </c>
      <c r="G1677" t="str">
        <f t="shared" si="706"/>
        <v>Refund COSHARE 10</v>
      </c>
      <c r="H1677" s="2">
        <v>84</v>
      </c>
      <c r="I1677" t="str">
        <f>"SITI ASNOR RAIHAN BINTI AGUS SALAM"</f>
        <v>SITI ASNOR RAIHAN BINTI AGUS SALAM</v>
      </c>
      <c r="J1677" t="str">
        <f t="shared" si="682"/>
        <v>MAYBANK / MAYBANK ISLAMIC</v>
      </c>
      <c r="K1677" t="str">
        <f>"102072357785"</f>
        <v>102072357785</v>
      </c>
      <c r="L1677" t="str">
        <f t="shared" si="691"/>
        <v>04-08-2020</v>
      </c>
      <c r="M1677" t="str">
        <f t="shared" si="691"/>
        <v>04-08-2020</v>
      </c>
      <c r="N1677" t="str">
        <f t="shared" si="696"/>
        <v>001105018356</v>
      </c>
      <c r="O1677" t="str">
        <f t="shared" si="697"/>
        <v>MYR</v>
      </c>
      <c r="P1677" t="str">
        <f t="shared" si="692"/>
        <v>NIL</v>
      </c>
      <c r="Q1677" t="str">
        <f t="shared" si="692"/>
        <v>NIL</v>
      </c>
      <c r="R1677" t="str">
        <f t="shared" si="698"/>
        <v>Accepted</v>
      </c>
      <c r="S1677" t="str">
        <f t="shared" si="699"/>
        <v>Approved</v>
      </c>
      <c r="T1677" t="str">
        <f t="shared" si="700"/>
        <v>10.20.8.188</v>
      </c>
      <c r="U1677" t="str">
        <f t="shared" si="701"/>
        <v>AZRAD UMAR BIN SHAARI</v>
      </c>
      <c r="V1677" t="str">
        <f t="shared" si="702"/>
        <v>FARHANA BINTI MUSTAPA</v>
      </c>
      <c r="W1677" t="str">
        <f t="shared" si="703"/>
        <v>04-08-2020</v>
      </c>
      <c r="X1677" t="str">
        <f t="shared" si="704"/>
        <v>RAZIMAH ANSAR AHMAD</v>
      </c>
      <c r="Y1677" t="str">
        <f t="shared" si="705"/>
        <v>04-08-2020</v>
      </c>
      <c r="Z1677" t="str">
        <f>"COS10200804 7477"</f>
        <v>COS10200804 7477</v>
      </c>
    </row>
    <row r="1678" spans="1:26" x14ac:dyDescent="0.25">
      <c r="A1678" t="str">
        <f t="shared" si="689"/>
        <v>04-08-2020 01:07:32</v>
      </c>
      <c r="B1678" t="str">
        <f>"0000809276"</f>
        <v>0000809276</v>
      </c>
      <c r="C1678" t="str">
        <f t="shared" si="690"/>
        <v>0000809200</v>
      </c>
      <c r="D1678" t="str">
        <f t="shared" si="693"/>
        <v>73185</v>
      </c>
      <c r="E1678" t="str">
        <f t="shared" si="694"/>
        <v>KFH-OPERATIONS DEPARTMENT</v>
      </c>
      <c r="F1678" t="str">
        <f t="shared" si="695"/>
        <v>IBG</v>
      </c>
      <c r="G1678" t="str">
        <f t="shared" si="706"/>
        <v>Refund COSHARE 10</v>
      </c>
      <c r="H1678" s="2">
        <v>293.85000000000002</v>
      </c>
      <c r="I1678" t="str">
        <f>"SITI ASMA BINTI MOHAMAD NOR"</f>
        <v>SITI ASMA BINTI MOHAMAD NOR</v>
      </c>
      <c r="J1678" t="str">
        <f t="shared" si="682"/>
        <v>MAYBANK / MAYBANK ISLAMIC</v>
      </c>
      <c r="K1678" t="str">
        <f>"151306633039"</f>
        <v>151306633039</v>
      </c>
      <c r="L1678" t="str">
        <f t="shared" si="691"/>
        <v>04-08-2020</v>
      </c>
      <c r="M1678" t="str">
        <f t="shared" si="691"/>
        <v>04-08-2020</v>
      </c>
      <c r="N1678" t="str">
        <f t="shared" si="696"/>
        <v>001105018356</v>
      </c>
      <c r="O1678" t="str">
        <f t="shared" si="697"/>
        <v>MYR</v>
      </c>
      <c r="P1678" t="str">
        <f t="shared" si="692"/>
        <v>NIL</v>
      </c>
      <c r="Q1678" t="str">
        <f t="shared" si="692"/>
        <v>NIL</v>
      </c>
      <c r="R1678" t="str">
        <f t="shared" si="698"/>
        <v>Accepted</v>
      </c>
      <c r="S1678" t="str">
        <f t="shared" si="699"/>
        <v>Approved</v>
      </c>
      <c r="T1678" t="str">
        <f t="shared" si="700"/>
        <v>10.20.8.188</v>
      </c>
      <c r="U1678" t="str">
        <f t="shared" si="701"/>
        <v>AZRAD UMAR BIN SHAARI</v>
      </c>
      <c r="V1678" t="str">
        <f t="shared" si="702"/>
        <v>FARHANA BINTI MUSTAPA</v>
      </c>
      <c r="W1678" t="str">
        <f t="shared" si="703"/>
        <v>04-08-2020</v>
      </c>
      <c r="X1678" t="str">
        <f t="shared" si="704"/>
        <v>RAZIMAH ANSAR AHMAD</v>
      </c>
      <c r="Y1678" t="str">
        <f t="shared" si="705"/>
        <v>04-08-2020</v>
      </c>
      <c r="Z1678" t="str">
        <f>"COS10200804 7476"</f>
        <v>COS10200804 7476</v>
      </c>
    </row>
    <row r="1679" spans="1:26" x14ac:dyDescent="0.25">
      <c r="A1679" t="str">
        <f t="shared" si="689"/>
        <v>04-08-2020 01:07:32</v>
      </c>
      <c r="B1679" t="str">
        <f>"0000809275"</f>
        <v>0000809275</v>
      </c>
      <c r="C1679" t="str">
        <f t="shared" si="690"/>
        <v>0000809200</v>
      </c>
      <c r="D1679" t="str">
        <f t="shared" si="693"/>
        <v>73185</v>
      </c>
      <c r="E1679" t="str">
        <f t="shared" si="694"/>
        <v>KFH-OPERATIONS DEPARTMENT</v>
      </c>
      <c r="F1679" t="str">
        <f t="shared" si="695"/>
        <v>IBG</v>
      </c>
      <c r="G1679" t="str">
        <f t="shared" si="706"/>
        <v>Refund COSHARE 10</v>
      </c>
      <c r="H1679" s="2">
        <v>94.85</v>
      </c>
      <c r="I1679" t="str">
        <f>"SITI ASAH  SITI AISHAH BINTI OTHMAN"</f>
        <v>SITI ASAH  SITI AISHAH BINTI OTHMAN</v>
      </c>
      <c r="J1679" t="str">
        <f t="shared" si="682"/>
        <v>MAYBANK / MAYBANK ISLAMIC</v>
      </c>
      <c r="K1679" t="str">
        <f>"164155531924"</f>
        <v>164155531924</v>
      </c>
      <c r="L1679" t="str">
        <f t="shared" si="691"/>
        <v>04-08-2020</v>
      </c>
      <c r="M1679" t="str">
        <f t="shared" si="691"/>
        <v>04-08-2020</v>
      </c>
      <c r="N1679" t="str">
        <f t="shared" si="696"/>
        <v>001105018356</v>
      </c>
      <c r="O1679" t="str">
        <f t="shared" si="697"/>
        <v>MYR</v>
      </c>
      <c r="P1679" t="str">
        <f t="shared" si="692"/>
        <v>NIL</v>
      </c>
      <c r="Q1679" t="str">
        <f t="shared" si="692"/>
        <v>NIL</v>
      </c>
      <c r="R1679" t="str">
        <f t="shared" si="698"/>
        <v>Accepted</v>
      </c>
      <c r="S1679" t="str">
        <f t="shared" si="699"/>
        <v>Approved</v>
      </c>
      <c r="T1679" t="str">
        <f t="shared" si="700"/>
        <v>10.20.8.188</v>
      </c>
      <c r="U1679" t="str">
        <f t="shared" si="701"/>
        <v>AZRAD UMAR BIN SHAARI</v>
      </c>
      <c r="V1679" t="str">
        <f t="shared" si="702"/>
        <v>FARHANA BINTI MUSTAPA</v>
      </c>
      <c r="W1679" t="str">
        <f t="shared" si="703"/>
        <v>04-08-2020</v>
      </c>
      <c r="X1679" t="str">
        <f t="shared" si="704"/>
        <v>RAZIMAH ANSAR AHMAD</v>
      </c>
      <c r="Y1679" t="str">
        <f t="shared" si="705"/>
        <v>04-08-2020</v>
      </c>
      <c r="Z1679" t="str">
        <f>"COS10200804 7475"</f>
        <v>COS10200804 7475</v>
      </c>
    </row>
    <row r="1680" spans="1:26" x14ac:dyDescent="0.25">
      <c r="A1680" t="str">
        <f t="shared" si="689"/>
        <v>04-08-2020 01:07:32</v>
      </c>
      <c r="B1680" t="str">
        <f>"0000809274"</f>
        <v>0000809274</v>
      </c>
      <c r="C1680" t="str">
        <f t="shared" si="690"/>
        <v>0000809200</v>
      </c>
      <c r="D1680" t="str">
        <f t="shared" si="693"/>
        <v>73185</v>
      </c>
      <c r="E1680" t="str">
        <f t="shared" si="694"/>
        <v>KFH-OPERATIONS DEPARTMENT</v>
      </c>
      <c r="F1680" t="str">
        <f t="shared" si="695"/>
        <v>IBG</v>
      </c>
      <c r="G1680" t="str">
        <f t="shared" si="706"/>
        <v>Refund COSHARE 10</v>
      </c>
      <c r="H1680" s="2">
        <v>688.4</v>
      </c>
      <c r="I1680" t="str">
        <f>"SITI ARDIANA BINTI MOHD ARIFIN"</f>
        <v>SITI ARDIANA BINTI MOHD ARIFIN</v>
      </c>
      <c r="J1680" t="str">
        <f t="shared" si="682"/>
        <v>MAYBANK / MAYBANK ISLAMIC</v>
      </c>
      <c r="K1680" t="str">
        <f>"155015036692"</f>
        <v>155015036692</v>
      </c>
      <c r="L1680" t="str">
        <f t="shared" si="691"/>
        <v>04-08-2020</v>
      </c>
      <c r="M1680" t="str">
        <f t="shared" si="691"/>
        <v>04-08-2020</v>
      </c>
      <c r="N1680" t="str">
        <f t="shared" si="696"/>
        <v>001105018356</v>
      </c>
      <c r="O1680" t="str">
        <f t="shared" si="697"/>
        <v>MYR</v>
      </c>
      <c r="P1680" t="str">
        <f t="shared" si="692"/>
        <v>NIL</v>
      </c>
      <c r="Q1680" t="str">
        <f t="shared" si="692"/>
        <v>NIL</v>
      </c>
      <c r="R1680" t="str">
        <f t="shared" si="698"/>
        <v>Accepted</v>
      </c>
      <c r="S1680" t="str">
        <f t="shared" si="699"/>
        <v>Approved</v>
      </c>
      <c r="T1680" t="str">
        <f t="shared" si="700"/>
        <v>10.20.8.188</v>
      </c>
      <c r="U1680" t="str">
        <f t="shared" si="701"/>
        <v>AZRAD UMAR BIN SHAARI</v>
      </c>
      <c r="V1680" t="str">
        <f t="shared" si="702"/>
        <v>FARHANA BINTI MUSTAPA</v>
      </c>
      <c r="W1680" t="str">
        <f t="shared" si="703"/>
        <v>04-08-2020</v>
      </c>
      <c r="X1680" t="str">
        <f t="shared" si="704"/>
        <v>RAZIMAH ANSAR AHMAD</v>
      </c>
      <c r="Y1680" t="str">
        <f t="shared" si="705"/>
        <v>04-08-2020</v>
      </c>
      <c r="Z1680" t="str">
        <f>"COS10200804 7474"</f>
        <v>COS10200804 7474</v>
      </c>
    </row>
    <row r="1681" spans="1:26" x14ac:dyDescent="0.25">
      <c r="A1681" t="str">
        <f t="shared" si="689"/>
        <v>04-08-2020 01:07:32</v>
      </c>
      <c r="B1681" t="str">
        <f>"0000809273"</f>
        <v>0000809273</v>
      </c>
      <c r="C1681" t="str">
        <f t="shared" si="690"/>
        <v>0000809200</v>
      </c>
      <c r="D1681" t="str">
        <f t="shared" si="693"/>
        <v>73185</v>
      </c>
      <c r="E1681" t="str">
        <f t="shared" si="694"/>
        <v>KFH-OPERATIONS DEPARTMENT</v>
      </c>
      <c r="F1681" t="str">
        <f t="shared" si="695"/>
        <v>IBG</v>
      </c>
      <c r="G1681" t="str">
        <f t="shared" si="706"/>
        <v>Refund COSHARE 10</v>
      </c>
      <c r="H1681" s="2">
        <v>864.7</v>
      </c>
      <c r="I1681" t="str">
        <f>"SITI AMINAH BINTI ZAKARIA"</f>
        <v>SITI AMINAH BINTI ZAKARIA</v>
      </c>
      <c r="J1681" t="str">
        <f t="shared" ref="J1681:J1744" si="707">"MAYBANK / MAYBANK ISLAMIC"</f>
        <v>MAYBANK / MAYBANK ISLAMIC</v>
      </c>
      <c r="K1681" t="str">
        <f>"152040284512"</f>
        <v>152040284512</v>
      </c>
      <c r="L1681" t="str">
        <f t="shared" si="691"/>
        <v>04-08-2020</v>
      </c>
      <c r="M1681" t="str">
        <f t="shared" si="691"/>
        <v>04-08-2020</v>
      </c>
      <c r="N1681" t="str">
        <f t="shared" si="696"/>
        <v>001105018356</v>
      </c>
      <c r="O1681" t="str">
        <f t="shared" si="697"/>
        <v>MYR</v>
      </c>
      <c r="P1681" t="str">
        <f t="shared" si="692"/>
        <v>NIL</v>
      </c>
      <c r="Q1681" t="str">
        <f t="shared" si="692"/>
        <v>NIL</v>
      </c>
      <c r="R1681" t="str">
        <f t="shared" si="698"/>
        <v>Accepted</v>
      </c>
      <c r="S1681" t="str">
        <f t="shared" si="699"/>
        <v>Approved</v>
      </c>
      <c r="T1681" t="str">
        <f t="shared" si="700"/>
        <v>10.20.8.188</v>
      </c>
      <c r="U1681" t="str">
        <f t="shared" si="701"/>
        <v>AZRAD UMAR BIN SHAARI</v>
      </c>
      <c r="V1681" t="str">
        <f t="shared" si="702"/>
        <v>FARHANA BINTI MUSTAPA</v>
      </c>
      <c r="W1681" t="str">
        <f t="shared" si="703"/>
        <v>04-08-2020</v>
      </c>
      <c r="X1681" t="str">
        <f t="shared" si="704"/>
        <v>RAZIMAH ANSAR AHMAD</v>
      </c>
      <c r="Y1681" t="str">
        <f t="shared" si="705"/>
        <v>04-08-2020</v>
      </c>
      <c r="Z1681" t="str">
        <f>"COS10200804 7473"</f>
        <v>COS10200804 7473</v>
      </c>
    </row>
    <row r="1682" spans="1:26" x14ac:dyDescent="0.25">
      <c r="A1682" t="str">
        <f t="shared" ref="A1682:A1713" si="708">"04-08-2020 01:07:32"</f>
        <v>04-08-2020 01:07:32</v>
      </c>
      <c r="B1682" t="str">
        <f>"0000809272"</f>
        <v>0000809272</v>
      </c>
      <c r="C1682" t="str">
        <f t="shared" ref="C1682:C1713" si="709">"0000809200"</f>
        <v>0000809200</v>
      </c>
      <c r="D1682" t="str">
        <f t="shared" si="693"/>
        <v>73185</v>
      </c>
      <c r="E1682" t="str">
        <f t="shared" si="694"/>
        <v>KFH-OPERATIONS DEPARTMENT</v>
      </c>
      <c r="F1682" t="str">
        <f t="shared" si="695"/>
        <v>IBG</v>
      </c>
      <c r="G1682" t="str">
        <f t="shared" si="706"/>
        <v>Refund COSHARE 10</v>
      </c>
      <c r="H1682" s="2">
        <v>486.95</v>
      </c>
      <c r="I1682" t="str">
        <f>"SITI AISYAH BARIAH BINTI ABDULLAH"</f>
        <v>SITI AISYAH BARIAH BINTI ABDULLAH</v>
      </c>
      <c r="J1682" t="str">
        <f t="shared" si="707"/>
        <v>MAYBANK / MAYBANK ISLAMIC</v>
      </c>
      <c r="K1682" t="str">
        <f>"112103127312"</f>
        <v>112103127312</v>
      </c>
      <c r="L1682" t="str">
        <f t="shared" si="691"/>
        <v>04-08-2020</v>
      </c>
      <c r="M1682" t="str">
        <f t="shared" si="691"/>
        <v>04-08-2020</v>
      </c>
      <c r="N1682" t="str">
        <f t="shared" si="696"/>
        <v>001105018356</v>
      </c>
      <c r="O1682" t="str">
        <f t="shared" si="697"/>
        <v>MYR</v>
      </c>
      <c r="P1682" t="str">
        <f t="shared" si="692"/>
        <v>NIL</v>
      </c>
      <c r="Q1682" t="str">
        <f t="shared" si="692"/>
        <v>NIL</v>
      </c>
      <c r="R1682" t="str">
        <f t="shared" si="698"/>
        <v>Accepted</v>
      </c>
      <c r="S1682" t="str">
        <f t="shared" si="699"/>
        <v>Approved</v>
      </c>
      <c r="T1682" t="str">
        <f t="shared" si="700"/>
        <v>10.20.8.188</v>
      </c>
      <c r="U1682" t="str">
        <f t="shared" si="701"/>
        <v>AZRAD UMAR BIN SHAARI</v>
      </c>
      <c r="V1682" t="str">
        <f t="shared" si="702"/>
        <v>FARHANA BINTI MUSTAPA</v>
      </c>
      <c r="W1682" t="str">
        <f t="shared" si="703"/>
        <v>04-08-2020</v>
      </c>
      <c r="X1682" t="str">
        <f t="shared" si="704"/>
        <v>RAZIMAH ANSAR AHMAD</v>
      </c>
      <c r="Y1682" t="str">
        <f t="shared" si="705"/>
        <v>04-08-2020</v>
      </c>
      <c r="Z1682" t="str">
        <f>"COS10200804 7472"</f>
        <v>COS10200804 7472</v>
      </c>
    </row>
    <row r="1683" spans="1:26" x14ac:dyDescent="0.25">
      <c r="A1683" t="str">
        <f t="shared" si="708"/>
        <v>04-08-2020 01:07:32</v>
      </c>
      <c r="B1683" t="str">
        <f>"0000809271"</f>
        <v>0000809271</v>
      </c>
      <c r="C1683" t="str">
        <f t="shared" si="709"/>
        <v>0000809200</v>
      </c>
      <c r="D1683" t="str">
        <f t="shared" si="693"/>
        <v>73185</v>
      </c>
      <c r="E1683" t="str">
        <f t="shared" si="694"/>
        <v>KFH-OPERATIONS DEPARTMENT</v>
      </c>
      <c r="F1683" t="str">
        <f t="shared" si="695"/>
        <v>IBG</v>
      </c>
      <c r="G1683" t="str">
        <f t="shared" si="706"/>
        <v>Refund COSHARE 10</v>
      </c>
      <c r="H1683" s="2">
        <v>86.2</v>
      </c>
      <c r="I1683" t="str">
        <f>"SITI AISHAH BINTI SAAD"</f>
        <v>SITI AISHAH BINTI SAAD</v>
      </c>
      <c r="J1683" t="str">
        <f t="shared" si="707"/>
        <v>MAYBANK / MAYBANK ISLAMIC</v>
      </c>
      <c r="K1683" t="str">
        <f>"152022914994"</f>
        <v>152022914994</v>
      </c>
      <c r="L1683" t="str">
        <f t="shared" si="691"/>
        <v>04-08-2020</v>
      </c>
      <c r="M1683" t="str">
        <f t="shared" si="691"/>
        <v>04-08-2020</v>
      </c>
      <c r="N1683" t="str">
        <f t="shared" si="696"/>
        <v>001105018356</v>
      </c>
      <c r="O1683" t="str">
        <f t="shared" si="697"/>
        <v>MYR</v>
      </c>
      <c r="P1683" t="str">
        <f t="shared" si="692"/>
        <v>NIL</v>
      </c>
      <c r="Q1683" t="str">
        <f t="shared" si="692"/>
        <v>NIL</v>
      </c>
      <c r="R1683" t="str">
        <f t="shared" si="698"/>
        <v>Accepted</v>
      </c>
      <c r="S1683" t="str">
        <f t="shared" si="699"/>
        <v>Approved</v>
      </c>
      <c r="T1683" t="str">
        <f t="shared" si="700"/>
        <v>10.20.8.188</v>
      </c>
      <c r="U1683" t="str">
        <f t="shared" si="701"/>
        <v>AZRAD UMAR BIN SHAARI</v>
      </c>
      <c r="V1683" t="str">
        <f t="shared" si="702"/>
        <v>FARHANA BINTI MUSTAPA</v>
      </c>
      <c r="W1683" t="str">
        <f t="shared" si="703"/>
        <v>04-08-2020</v>
      </c>
      <c r="X1683" t="str">
        <f t="shared" si="704"/>
        <v>RAZIMAH ANSAR AHMAD</v>
      </c>
      <c r="Y1683" t="str">
        <f t="shared" si="705"/>
        <v>04-08-2020</v>
      </c>
      <c r="Z1683" t="str">
        <f>"COS10200804 7471"</f>
        <v>COS10200804 7471</v>
      </c>
    </row>
    <row r="1684" spans="1:26" x14ac:dyDescent="0.25">
      <c r="A1684" t="str">
        <f t="shared" si="708"/>
        <v>04-08-2020 01:07:32</v>
      </c>
      <c r="B1684" t="str">
        <f>"0000809270"</f>
        <v>0000809270</v>
      </c>
      <c r="C1684" t="str">
        <f t="shared" si="709"/>
        <v>0000809200</v>
      </c>
      <c r="D1684" t="str">
        <f t="shared" si="693"/>
        <v>73185</v>
      </c>
      <c r="E1684" t="str">
        <f t="shared" si="694"/>
        <v>KFH-OPERATIONS DEPARTMENT</v>
      </c>
      <c r="F1684" t="str">
        <f t="shared" si="695"/>
        <v>IBG</v>
      </c>
      <c r="G1684" t="str">
        <f t="shared" si="706"/>
        <v>Refund COSHARE 10</v>
      </c>
      <c r="H1684" s="2">
        <v>60.35</v>
      </c>
      <c r="I1684" t="str">
        <f>"SITI AISHAH BINTI DERAMAN"</f>
        <v>SITI AISHAH BINTI DERAMAN</v>
      </c>
      <c r="J1684" t="str">
        <f t="shared" si="707"/>
        <v>MAYBANK / MAYBANK ISLAMIC</v>
      </c>
      <c r="K1684" t="str">
        <f>"165125108503"</f>
        <v>165125108503</v>
      </c>
      <c r="L1684" t="str">
        <f t="shared" si="691"/>
        <v>04-08-2020</v>
      </c>
      <c r="M1684" t="str">
        <f t="shared" si="691"/>
        <v>04-08-2020</v>
      </c>
      <c r="N1684" t="str">
        <f t="shared" si="696"/>
        <v>001105018356</v>
      </c>
      <c r="O1684" t="str">
        <f t="shared" si="697"/>
        <v>MYR</v>
      </c>
      <c r="P1684" t="str">
        <f t="shared" si="692"/>
        <v>NIL</v>
      </c>
      <c r="Q1684" t="str">
        <f t="shared" si="692"/>
        <v>NIL</v>
      </c>
      <c r="R1684" t="str">
        <f t="shared" si="698"/>
        <v>Accepted</v>
      </c>
      <c r="S1684" t="str">
        <f t="shared" si="699"/>
        <v>Approved</v>
      </c>
      <c r="T1684" t="str">
        <f t="shared" si="700"/>
        <v>10.20.8.188</v>
      </c>
      <c r="U1684" t="str">
        <f t="shared" si="701"/>
        <v>AZRAD UMAR BIN SHAARI</v>
      </c>
      <c r="V1684" t="str">
        <f t="shared" si="702"/>
        <v>FARHANA BINTI MUSTAPA</v>
      </c>
      <c r="W1684" t="str">
        <f t="shared" si="703"/>
        <v>04-08-2020</v>
      </c>
      <c r="X1684" t="str">
        <f t="shared" si="704"/>
        <v>RAZIMAH ANSAR AHMAD</v>
      </c>
      <c r="Y1684" t="str">
        <f t="shared" si="705"/>
        <v>04-08-2020</v>
      </c>
      <c r="Z1684" t="str">
        <f>"COS10200804 7470"</f>
        <v>COS10200804 7470</v>
      </c>
    </row>
    <row r="1685" spans="1:26" x14ac:dyDescent="0.25">
      <c r="A1685" t="str">
        <f t="shared" si="708"/>
        <v>04-08-2020 01:07:32</v>
      </c>
      <c r="B1685" t="str">
        <f>"0000809269"</f>
        <v>0000809269</v>
      </c>
      <c r="C1685" t="str">
        <f t="shared" si="709"/>
        <v>0000809200</v>
      </c>
      <c r="D1685" t="str">
        <f t="shared" si="693"/>
        <v>73185</v>
      </c>
      <c r="E1685" t="str">
        <f t="shared" si="694"/>
        <v>KFH-OPERATIONS DEPARTMENT</v>
      </c>
      <c r="F1685" t="str">
        <f t="shared" si="695"/>
        <v>IBG</v>
      </c>
      <c r="G1685" t="str">
        <f t="shared" si="706"/>
        <v>Refund COSHARE 10</v>
      </c>
      <c r="H1685" s="2">
        <v>67.2</v>
      </c>
      <c r="I1685" t="str">
        <f>"SITI AISHAH BINTI ABD MANAP"</f>
        <v>SITI AISHAH BINTI ABD MANAP</v>
      </c>
      <c r="J1685" t="str">
        <f t="shared" si="707"/>
        <v>MAYBANK / MAYBANK ISLAMIC</v>
      </c>
      <c r="K1685" t="str">
        <f>"164230340848"</f>
        <v>164230340848</v>
      </c>
      <c r="L1685" t="str">
        <f t="shared" si="691"/>
        <v>04-08-2020</v>
      </c>
      <c r="M1685" t="str">
        <f t="shared" si="691"/>
        <v>04-08-2020</v>
      </c>
      <c r="N1685" t="str">
        <f t="shared" si="696"/>
        <v>001105018356</v>
      </c>
      <c r="O1685" t="str">
        <f t="shared" si="697"/>
        <v>MYR</v>
      </c>
      <c r="P1685" t="str">
        <f t="shared" si="692"/>
        <v>NIL</v>
      </c>
      <c r="Q1685" t="str">
        <f t="shared" si="692"/>
        <v>NIL</v>
      </c>
      <c r="R1685" t="str">
        <f t="shared" si="698"/>
        <v>Accepted</v>
      </c>
      <c r="S1685" t="str">
        <f t="shared" si="699"/>
        <v>Approved</v>
      </c>
      <c r="T1685" t="str">
        <f t="shared" si="700"/>
        <v>10.20.8.188</v>
      </c>
      <c r="U1685" t="str">
        <f t="shared" si="701"/>
        <v>AZRAD UMAR BIN SHAARI</v>
      </c>
      <c r="V1685" t="str">
        <f t="shared" si="702"/>
        <v>FARHANA BINTI MUSTAPA</v>
      </c>
      <c r="W1685" t="str">
        <f t="shared" si="703"/>
        <v>04-08-2020</v>
      </c>
      <c r="X1685" t="str">
        <f t="shared" si="704"/>
        <v>RAZIMAH ANSAR AHMAD</v>
      </c>
      <c r="Y1685" t="str">
        <f t="shared" si="705"/>
        <v>04-08-2020</v>
      </c>
      <c r="Z1685" t="str">
        <f>"COS10200804 7469"</f>
        <v>COS10200804 7469</v>
      </c>
    </row>
    <row r="1686" spans="1:26" x14ac:dyDescent="0.25">
      <c r="A1686" t="str">
        <f t="shared" si="708"/>
        <v>04-08-2020 01:07:32</v>
      </c>
      <c r="B1686" t="str">
        <f>"0000809268"</f>
        <v>0000809268</v>
      </c>
      <c r="C1686" t="str">
        <f t="shared" si="709"/>
        <v>0000809200</v>
      </c>
      <c r="D1686" t="str">
        <f t="shared" si="693"/>
        <v>73185</v>
      </c>
      <c r="E1686" t="str">
        <f t="shared" si="694"/>
        <v>KFH-OPERATIONS DEPARTMENT</v>
      </c>
      <c r="F1686" t="str">
        <f t="shared" si="695"/>
        <v>IBG</v>
      </c>
      <c r="G1686" t="str">
        <f t="shared" si="706"/>
        <v>Refund COSHARE 10</v>
      </c>
      <c r="H1686" s="2">
        <v>167.9</v>
      </c>
      <c r="I1686" t="str">
        <f>"SITI AISHAH BALQIS BINTI MASTUKI"</f>
        <v>SITI AISHAH BALQIS BINTI MASTUKI</v>
      </c>
      <c r="J1686" t="str">
        <f t="shared" si="707"/>
        <v>MAYBANK / MAYBANK ISLAMIC</v>
      </c>
      <c r="K1686" t="str">
        <f>"112781001057"</f>
        <v>112781001057</v>
      </c>
      <c r="L1686" t="str">
        <f t="shared" si="691"/>
        <v>04-08-2020</v>
      </c>
      <c r="M1686" t="str">
        <f t="shared" si="691"/>
        <v>04-08-2020</v>
      </c>
      <c r="N1686" t="str">
        <f t="shared" si="696"/>
        <v>001105018356</v>
      </c>
      <c r="O1686" t="str">
        <f t="shared" si="697"/>
        <v>MYR</v>
      </c>
      <c r="P1686" t="str">
        <f t="shared" si="692"/>
        <v>NIL</v>
      </c>
      <c r="Q1686" t="str">
        <f t="shared" si="692"/>
        <v>NIL</v>
      </c>
      <c r="R1686" t="str">
        <f t="shared" si="698"/>
        <v>Accepted</v>
      </c>
      <c r="S1686" t="str">
        <f t="shared" si="699"/>
        <v>Approved</v>
      </c>
      <c r="T1686" t="str">
        <f t="shared" si="700"/>
        <v>10.20.8.188</v>
      </c>
      <c r="U1686" t="str">
        <f t="shared" si="701"/>
        <v>AZRAD UMAR BIN SHAARI</v>
      </c>
      <c r="V1686" t="str">
        <f t="shared" si="702"/>
        <v>FARHANA BINTI MUSTAPA</v>
      </c>
      <c r="W1686" t="str">
        <f t="shared" si="703"/>
        <v>04-08-2020</v>
      </c>
      <c r="X1686" t="str">
        <f t="shared" si="704"/>
        <v>RAZIMAH ANSAR AHMAD</v>
      </c>
      <c r="Y1686" t="str">
        <f t="shared" si="705"/>
        <v>04-08-2020</v>
      </c>
      <c r="Z1686" t="str">
        <f>"COS10200804 7468"</f>
        <v>COS10200804 7468</v>
      </c>
    </row>
    <row r="1687" spans="1:26" x14ac:dyDescent="0.25">
      <c r="A1687" t="str">
        <f t="shared" si="708"/>
        <v>04-08-2020 01:07:32</v>
      </c>
      <c r="B1687" t="str">
        <f>"0000809267"</f>
        <v>0000809267</v>
      </c>
      <c r="C1687" t="str">
        <f t="shared" si="709"/>
        <v>0000809200</v>
      </c>
      <c r="D1687" t="str">
        <f t="shared" si="693"/>
        <v>73185</v>
      </c>
      <c r="E1687" t="str">
        <f t="shared" si="694"/>
        <v>KFH-OPERATIONS DEPARTMENT</v>
      </c>
      <c r="F1687" t="str">
        <f t="shared" si="695"/>
        <v>IBG</v>
      </c>
      <c r="G1687" t="str">
        <f t="shared" si="706"/>
        <v>Refund COSHARE 10</v>
      </c>
      <c r="H1687" s="2">
        <v>134.35</v>
      </c>
      <c r="I1687" t="str">
        <f>"SITI AISAH BINTI SULAIMAN"</f>
        <v>SITI AISAH BINTI SULAIMAN</v>
      </c>
      <c r="J1687" t="str">
        <f t="shared" si="707"/>
        <v>MAYBANK / MAYBANK ISLAMIC</v>
      </c>
      <c r="K1687" t="str">
        <f>"164221317105"</f>
        <v>164221317105</v>
      </c>
      <c r="L1687" t="str">
        <f t="shared" ref="L1687:M1706" si="710">"04-08-2020"</f>
        <v>04-08-2020</v>
      </c>
      <c r="M1687" t="str">
        <f t="shared" si="710"/>
        <v>04-08-2020</v>
      </c>
      <c r="N1687" t="str">
        <f t="shared" si="696"/>
        <v>001105018356</v>
      </c>
      <c r="O1687" t="str">
        <f t="shared" si="697"/>
        <v>MYR</v>
      </c>
      <c r="P1687" t="str">
        <f t="shared" ref="P1687:Q1706" si="711">"NIL"</f>
        <v>NIL</v>
      </c>
      <c r="Q1687" t="str">
        <f t="shared" si="711"/>
        <v>NIL</v>
      </c>
      <c r="R1687" t="str">
        <f t="shared" si="698"/>
        <v>Accepted</v>
      </c>
      <c r="S1687" t="str">
        <f t="shared" si="699"/>
        <v>Approved</v>
      </c>
      <c r="T1687" t="str">
        <f t="shared" si="700"/>
        <v>10.20.8.188</v>
      </c>
      <c r="U1687" t="str">
        <f t="shared" si="701"/>
        <v>AZRAD UMAR BIN SHAARI</v>
      </c>
      <c r="V1687" t="str">
        <f t="shared" si="702"/>
        <v>FARHANA BINTI MUSTAPA</v>
      </c>
      <c r="W1687" t="str">
        <f t="shared" si="703"/>
        <v>04-08-2020</v>
      </c>
      <c r="X1687" t="str">
        <f t="shared" si="704"/>
        <v>RAZIMAH ANSAR AHMAD</v>
      </c>
      <c r="Y1687" t="str">
        <f t="shared" si="705"/>
        <v>04-08-2020</v>
      </c>
      <c r="Z1687" t="str">
        <f>"COS10200804 7467"</f>
        <v>COS10200804 7467</v>
      </c>
    </row>
    <row r="1688" spans="1:26" x14ac:dyDescent="0.25">
      <c r="A1688" t="str">
        <f t="shared" si="708"/>
        <v>04-08-2020 01:07:32</v>
      </c>
      <c r="B1688" t="str">
        <f>"0000809266"</f>
        <v>0000809266</v>
      </c>
      <c r="C1688" t="str">
        <f t="shared" si="709"/>
        <v>0000809200</v>
      </c>
      <c r="D1688" t="str">
        <f t="shared" si="693"/>
        <v>73185</v>
      </c>
      <c r="E1688" t="str">
        <f t="shared" si="694"/>
        <v>KFH-OPERATIONS DEPARTMENT</v>
      </c>
      <c r="F1688" t="str">
        <f t="shared" si="695"/>
        <v>IBG</v>
      </c>
      <c r="G1688" t="str">
        <f t="shared" si="706"/>
        <v>Refund COSHARE 10</v>
      </c>
      <c r="H1688" s="2">
        <v>235.1</v>
      </c>
      <c r="I1688" t="str">
        <f>"SITI AISAH BINTI AB GANI"</f>
        <v>SITI AISAH BINTI AB GANI</v>
      </c>
      <c r="J1688" t="str">
        <f t="shared" si="707"/>
        <v>MAYBANK / MAYBANK ISLAMIC</v>
      </c>
      <c r="K1688" t="str">
        <f>"155015372218"</f>
        <v>155015372218</v>
      </c>
      <c r="L1688" t="str">
        <f t="shared" si="710"/>
        <v>04-08-2020</v>
      </c>
      <c r="M1688" t="str">
        <f t="shared" si="710"/>
        <v>04-08-2020</v>
      </c>
      <c r="N1688" t="str">
        <f t="shared" si="696"/>
        <v>001105018356</v>
      </c>
      <c r="O1688" t="str">
        <f t="shared" si="697"/>
        <v>MYR</v>
      </c>
      <c r="P1688" t="str">
        <f t="shared" si="711"/>
        <v>NIL</v>
      </c>
      <c r="Q1688" t="str">
        <f t="shared" si="711"/>
        <v>NIL</v>
      </c>
      <c r="R1688" t="str">
        <f t="shared" si="698"/>
        <v>Accepted</v>
      </c>
      <c r="S1688" t="str">
        <f t="shared" si="699"/>
        <v>Approved</v>
      </c>
      <c r="T1688" t="str">
        <f t="shared" si="700"/>
        <v>10.20.8.188</v>
      </c>
      <c r="U1688" t="str">
        <f t="shared" si="701"/>
        <v>AZRAD UMAR BIN SHAARI</v>
      </c>
      <c r="V1688" t="str">
        <f t="shared" si="702"/>
        <v>FARHANA BINTI MUSTAPA</v>
      </c>
      <c r="W1688" t="str">
        <f t="shared" si="703"/>
        <v>04-08-2020</v>
      </c>
      <c r="X1688" t="str">
        <f t="shared" si="704"/>
        <v>RAZIMAH ANSAR AHMAD</v>
      </c>
      <c r="Y1688" t="str">
        <f t="shared" si="705"/>
        <v>04-08-2020</v>
      </c>
      <c r="Z1688" t="str">
        <f>"COS10200804 7466"</f>
        <v>COS10200804 7466</v>
      </c>
    </row>
    <row r="1689" spans="1:26" x14ac:dyDescent="0.25">
      <c r="A1689" t="str">
        <f t="shared" si="708"/>
        <v>04-08-2020 01:07:32</v>
      </c>
      <c r="B1689" t="str">
        <f>"0000809265"</f>
        <v>0000809265</v>
      </c>
      <c r="C1689" t="str">
        <f t="shared" si="709"/>
        <v>0000809200</v>
      </c>
      <c r="D1689" t="str">
        <f t="shared" si="693"/>
        <v>73185</v>
      </c>
      <c r="E1689" t="str">
        <f t="shared" si="694"/>
        <v>KFH-OPERATIONS DEPARTMENT</v>
      </c>
      <c r="F1689" t="str">
        <f t="shared" si="695"/>
        <v>IBG</v>
      </c>
      <c r="G1689" t="str">
        <f t="shared" si="706"/>
        <v>Refund COSHARE 10</v>
      </c>
      <c r="H1689" s="2">
        <v>759</v>
      </c>
      <c r="I1689" t="str">
        <f>"SITI AINA BINTI MOKHTAR"</f>
        <v>SITI AINA BINTI MOKHTAR</v>
      </c>
      <c r="J1689" t="str">
        <f t="shared" si="707"/>
        <v>MAYBANK / MAYBANK ISLAMIC</v>
      </c>
      <c r="K1689" t="str">
        <f>"152040303863"</f>
        <v>152040303863</v>
      </c>
      <c r="L1689" t="str">
        <f t="shared" si="710"/>
        <v>04-08-2020</v>
      </c>
      <c r="M1689" t="str">
        <f t="shared" si="710"/>
        <v>04-08-2020</v>
      </c>
      <c r="N1689" t="str">
        <f t="shared" si="696"/>
        <v>001105018356</v>
      </c>
      <c r="O1689" t="str">
        <f t="shared" si="697"/>
        <v>MYR</v>
      </c>
      <c r="P1689" t="str">
        <f t="shared" si="711"/>
        <v>NIL</v>
      </c>
      <c r="Q1689" t="str">
        <f t="shared" si="711"/>
        <v>NIL</v>
      </c>
      <c r="R1689" t="str">
        <f t="shared" si="698"/>
        <v>Accepted</v>
      </c>
      <c r="S1689" t="str">
        <f t="shared" si="699"/>
        <v>Approved</v>
      </c>
      <c r="T1689" t="str">
        <f t="shared" si="700"/>
        <v>10.20.8.188</v>
      </c>
      <c r="U1689" t="str">
        <f t="shared" si="701"/>
        <v>AZRAD UMAR BIN SHAARI</v>
      </c>
      <c r="V1689" t="str">
        <f t="shared" si="702"/>
        <v>FARHANA BINTI MUSTAPA</v>
      </c>
      <c r="W1689" t="str">
        <f t="shared" si="703"/>
        <v>04-08-2020</v>
      </c>
      <c r="X1689" t="str">
        <f t="shared" si="704"/>
        <v>RAZIMAH ANSAR AHMAD</v>
      </c>
      <c r="Y1689" t="str">
        <f t="shared" si="705"/>
        <v>04-08-2020</v>
      </c>
      <c r="Z1689" t="str">
        <f>"COS10200804 7465"</f>
        <v>COS10200804 7465</v>
      </c>
    </row>
    <row r="1690" spans="1:26" x14ac:dyDescent="0.25">
      <c r="A1690" t="str">
        <f t="shared" si="708"/>
        <v>04-08-2020 01:07:32</v>
      </c>
      <c r="B1690" t="str">
        <f>"0000809264"</f>
        <v>0000809264</v>
      </c>
      <c r="C1690" t="str">
        <f t="shared" si="709"/>
        <v>0000809200</v>
      </c>
      <c r="D1690" t="str">
        <f t="shared" si="693"/>
        <v>73185</v>
      </c>
      <c r="E1690" t="str">
        <f t="shared" si="694"/>
        <v>KFH-OPERATIONS DEPARTMENT</v>
      </c>
      <c r="F1690" t="str">
        <f t="shared" si="695"/>
        <v>IBG</v>
      </c>
      <c r="G1690" t="str">
        <f t="shared" si="706"/>
        <v>Refund COSHARE 10</v>
      </c>
      <c r="H1690" s="2">
        <v>1292.8499999999999</v>
      </c>
      <c r="I1690" t="str">
        <f>"SITI AINA BINTI HUSSUIN"</f>
        <v>SITI AINA BINTI HUSSUIN</v>
      </c>
      <c r="J1690" t="str">
        <f t="shared" si="707"/>
        <v>MAYBANK / MAYBANK ISLAMIC</v>
      </c>
      <c r="K1690" t="str">
        <f>"162106785704"</f>
        <v>162106785704</v>
      </c>
      <c r="L1690" t="str">
        <f t="shared" si="710"/>
        <v>04-08-2020</v>
      </c>
      <c r="M1690" t="str">
        <f t="shared" si="710"/>
        <v>04-08-2020</v>
      </c>
      <c r="N1690" t="str">
        <f t="shared" si="696"/>
        <v>001105018356</v>
      </c>
      <c r="O1690" t="str">
        <f t="shared" si="697"/>
        <v>MYR</v>
      </c>
      <c r="P1690" t="str">
        <f t="shared" si="711"/>
        <v>NIL</v>
      </c>
      <c r="Q1690" t="str">
        <f t="shared" si="711"/>
        <v>NIL</v>
      </c>
      <c r="R1690" t="str">
        <f t="shared" si="698"/>
        <v>Accepted</v>
      </c>
      <c r="S1690" t="str">
        <f t="shared" si="699"/>
        <v>Approved</v>
      </c>
      <c r="T1690" t="str">
        <f t="shared" si="700"/>
        <v>10.20.8.188</v>
      </c>
      <c r="U1690" t="str">
        <f t="shared" si="701"/>
        <v>AZRAD UMAR BIN SHAARI</v>
      </c>
      <c r="V1690" t="str">
        <f t="shared" si="702"/>
        <v>FARHANA BINTI MUSTAPA</v>
      </c>
      <c r="W1690" t="str">
        <f t="shared" si="703"/>
        <v>04-08-2020</v>
      </c>
      <c r="X1690" t="str">
        <f t="shared" si="704"/>
        <v>RAZIMAH ANSAR AHMAD</v>
      </c>
      <c r="Y1690" t="str">
        <f t="shared" si="705"/>
        <v>04-08-2020</v>
      </c>
      <c r="Z1690" t="str">
        <f>"COS10200804 7464"</f>
        <v>COS10200804 7464</v>
      </c>
    </row>
    <row r="1691" spans="1:26" x14ac:dyDescent="0.25">
      <c r="A1691" t="str">
        <f t="shared" si="708"/>
        <v>04-08-2020 01:07:32</v>
      </c>
      <c r="B1691" t="str">
        <f>"0000809263"</f>
        <v>0000809263</v>
      </c>
      <c r="C1691" t="str">
        <f t="shared" si="709"/>
        <v>0000809200</v>
      </c>
      <c r="D1691" t="str">
        <f t="shared" si="693"/>
        <v>73185</v>
      </c>
      <c r="E1691" t="str">
        <f t="shared" si="694"/>
        <v>KFH-OPERATIONS DEPARTMENT</v>
      </c>
      <c r="F1691" t="str">
        <f t="shared" si="695"/>
        <v>IBG</v>
      </c>
      <c r="G1691" t="str">
        <f t="shared" si="706"/>
        <v>Refund COSHARE 10</v>
      </c>
      <c r="H1691" s="2">
        <v>92.35</v>
      </c>
      <c r="I1691" t="str">
        <f>"SITI AIDA BINTI AHMAD"</f>
        <v>SITI AIDA BINTI AHMAD</v>
      </c>
      <c r="J1691" t="str">
        <f t="shared" si="707"/>
        <v>MAYBANK / MAYBANK ISLAMIC</v>
      </c>
      <c r="K1691" t="str">
        <f>"109018085415"</f>
        <v>109018085415</v>
      </c>
      <c r="L1691" t="str">
        <f t="shared" si="710"/>
        <v>04-08-2020</v>
      </c>
      <c r="M1691" t="str">
        <f t="shared" si="710"/>
        <v>04-08-2020</v>
      </c>
      <c r="N1691" t="str">
        <f t="shared" si="696"/>
        <v>001105018356</v>
      </c>
      <c r="O1691" t="str">
        <f t="shared" si="697"/>
        <v>MYR</v>
      </c>
      <c r="P1691" t="str">
        <f t="shared" si="711"/>
        <v>NIL</v>
      </c>
      <c r="Q1691" t="str">
        <f t="shared" si="711"/>
        <v>NIL</v>
      </c>
      <c r="R1691" t="str">
        <f t="shared" si="698"/>
        <v>Accepted</v>
      </c>
      <c r="S1691" t="str">
        <f t="shared" si="699"/>
        <v>Approved</v>
      </c>
      <c r="T1691" t="str">
        <f t="shared" si="700"/>
        <v>10.20.8.188</v>
      </c>
      <c r="U1691" t="str">
        <f t="shared" si="701"/>
        <v>AZRAD UMAR BIN SHAARI</v>
      </c>
      <c r="V1691" t="str">
        <f t="shared" si="702"/>
        <v>FARHANA BINTI MUSTAPA</v>
      </c>
      <c r="W1691" t="str">
        <f t="shared" si="703"/>
        <v>04-08-2020</v>
      </c>
      <c r="X1691" t="str">
        <f t="shared" si="704"/>
        <v>RAZIMAH ANSAR AHMAD</v>
      </c>
      <c r="Y1691" t="str">
        <f t="shared" si="705"/>
        <v>04-08-2020</v>
      </c>
      <c r="Z1691" t="str">
        <f>"COS10200804 7463"</f>
        <v>COS10200804 7463</v>
      </c>
    </row>
    <row r="1692" spans="1:26" x14ac:dyDescent="0.25">
      <c r="A1692" t="str">
        <f t="shared" si="708"/>
        <v>04-08-2020 01:07:32</v>
      </c>
      <c r="B1692" t="str">
        <f>"0000809262"</f>
        <v>0000809262</v>
      </c>
      <c r="C1692" t="str">
        <f t="shared" si="709"/>
        <v>0000809200</v>
      </c>
      <c r="D1692" t="str">
        <f t="shared" si="693"/>
        <v>73185</v>
      </c>
      <c r="E1692" t="str">
        <f t="shared" si="694"/>
        <v>KFH-OPERATIONS DEPARTMENT</v>
      </c>
      <c r="F1692" t="str">
        <f t="shared" si="695"/>
        <v>IBG</v>
      </c>
      <c r="G1692" t="str">
        <f t="shared" si="706"/>
        <v>Refund COSHARE 10</v>
      </c>
      <c r="H1692" s="2">
        <v>411.75</v>
      </c>
      <c r="I1692" t="str">
        <f>"SITI AHSAH BINTI ALI"</f>
        <v>SITI AHSAH BINTI ALI</v>
      </c>
      <c r="J1692" t="str">
        <f t="shared" si="707"/>
        <v>MAYBANK / MAYBANK ISLAMIC</v>
      </c>
      <c r="K1692" t="str">
        <f>"156114009734"</f>
        <v>156114009734</v>
      </c>
      <c r="L1692" t="str">
        <f t="shared" si="710"/>
        <v>04-08-2020</v>
      </c>
      <c r="M1692" t="str">
        <f t="shared" si="710"/>
        <v>04-08-2020</v>
      </c>
      <c r="N1692" t="str">
        <f t="shared" si="696"/>
        <v>001105018356</v>
      </c>
      <c r="O1692" t="str">
        <f t="shared" si="697"/>
        <v>MYR</v>
      </c>
      <c r="P1692" t="str">
        <f t="shared" si="711"/>
        <v>NIL</v>
      </c>
      <c r="Q1692" t="str">
        <f t="shared" si="711"/>
        <v>NIL</v>
      </c>
      <c r="R1692" t="str">
        <f t="shared" si="698"/>
        <v>Accepted</v>
      </c>
      <c r="S1692" t="str">
        <f t="shared" si="699"/>
        <v>Approved</v>
      </c>
      <c r="T1692" t="str">
        <f t="shared" si="700"/>
        <v>10.20.8.188</v>
      </c>
      <c r="U1692" t="str">
        <f t="shared" si="701"/>
        <v>AZRAD UMAR BIN SHAARI</v>
      </c>
      <c r="V1692" t="str">
        <f t="shared" si="702"/>
        <v>FARHANA BINTI MUSTAPA</v>
      </c>
      <c r="W1692" t="str">
        <f t="shared" si="703"/>
        <v>04-08-2020</v>
      </c>
      <c r="X1692" t="str">
        <f t="shared" si="704"/>
        <v>RAZIMAH ANSAR AHMAD</v>
      </c>
      <c r="Y1692" t="str">
        <f t="shared" si="705"/>
        <v>04-08-2020</v>
      </c>
      <c r="Z1692" t="str">
        <f>"COS10200804 7462"</f>
        <v>COS10200804 7462</v>
      </c>
    </row>
    <row r="1693" spans="1:26" x14ac:dyDescent="0.25">
      <c r="A1693" t="str">
        <f t="shared" si="708"/>
        <v>04-08-2020 01:07:32</v>
      </c>
      <c r="B1693" t="str">
        <f>"0000809261"</f>
        <v>0000809261</v>
      </c>
      <c r="C1693" t="str">
        <f t="shared" si="709"/>
        <v>0000809200</v>
      </c>
      <c r="D1693" t="str">
        <f t="shared" si="693"/>
        <v>73185</v>
      </c>
      <c r="E1693" t="str">
        <f t="shared" si="694"/>
        <v>KFH-OPERATIONS DEPARTMENT</v>
      </c>
      <c r="F1693" t="str">
        <f t="shared" si="695"/>
        <v>IBG</v>
      </c>
      <c r="G1693" t="str">
        <f t="shared" si="706"/>
        <v>Refund COSHARE 10</v>
      </c>
      <c r="H1693" s="2">
        <v>117.55</v>
      </c>
      <c r="I1693" t="str">
        <f>"SITI ADAWIYAH BINTI ABDULLAH"</f>
        <v>SITI ADAWIYAH BINTI ABDULLAH</v>
      </c>
      <c r="J1693" t="str">
        <f t="shared" si="707"/>
        <v>MAYBANK / MAYBANK ISLAMIC</v>
      </c>
      <c r="K1693" t="str">
        <f>"162272049928"</f>
        <v>162272049928</v>
      </c>
      <c r="L1693" t="str">
        <f t="shared" si="710"/>
        <v>04-08-2020</v>
      </c>
      <c r="M1693" t="str">
        <f t="shared" si="710"/>
        <v>04-08-2020</v>
      </c>
      <c r="N1693" t="str">
        <f t="shared" si="696"/>
        <v>001105018356</v>
      </c>
      <c r="O1693" t="str">
        <f t="shared" si="697"/>
        <v>MYR</v>
      </c>
      <c r="P1693" t="str">
        <f t="shared" si="711"/>
        <v>NIL</v>
      </c>
      <c r="Q1693" t="str">
        <f t="shared" si="711"/>
        <v>NIL</v>
      </c>
      <c r="R1693" t="str">
        <f t="shared" si="698"/>
        <v>Accepted</v>
      </c>
      <c r="S1693" t="str">
        <f t="shared" si="699"/>
        <v>Approved</v>
      </c>
      <c r="T1693" t="str">
        <f t="shared" si="700"/>
        <v>10.20.8.188</v>
      </c>
      <c r="U1693" t="str">
        <f t="shared" si="701"/>
        <v>AZRAD UMAR BIN SHAARI</v>
      </c>
      <c r="V1693" t="str">
        <f t="shared" si="702"/>
        <v>FARHANA BINTI MUSTAPA</v>
      </c>
      <c r="W1693" t="str">
        <f t="shared" si="703"/>
        <v>04-08-2020</v>
      </c>
      <c r="X1693" t="str">
        <f t="shared" si="704"/>
        <v>RAZIMAH ANSAR AHMAD</v>
      </c>
      <c r="Y1693" t="str">
        <f t="shared" si="705"/>
        <v>04-08-2020</v>
      </c>
      <c r="Z1693" t="str">
        <f>"COS10200804 7461"</f>
        <v>COS10200804 7461</v>
      </c>
    </row>
    <row r="1694" spans="1:26" x14ac:dyDescent="0.25">
      <c r="A1694" t="str">
        <f t="shared" si="708"/>
        <v>04-08-2020 01:07:32</v>
      </c>
      <c r="B1694" t="str">
        <f>"0000809260"</f>
        <v>0000809260</v>
      </c>
      <c r="C1694" t="str">
        <f t="shared" si="709"/>
        <v>0000809200</v>
      </c>
      <c r="D1694" t="str">
        <f t="shared" si="693"/>
        <v>73185</v>
      </c>
      <c r="E1694" t="str">
        <f t="shared" si="694"/>
        <v>KFH-OPERATIONS DEPARTMENT</v>
      </c>
      <c r="F1694" t="str">
        <f t="shared" si="695"/>
        <v>IBG</v>
      </c>
      <c r="G1694" t="str">
        <f t="shared" si="706"/>
        <v>Refund COSHARE 10</v>
      </c>
      <c r="H1694" s="2">
        <v>1339.75</v>
      </c>
      <c r="I1694" t="str">
        <f>"SINNAMUTHU AL PERUMAL"</f>
        <v>SINNAMUTHU AL PERUMAL</v>
      </c>
      <c r="J1694" t="str">
        <f t="shared" si="707"/>
        <v>MAYBANK / MAYBANK ISLAMIC</v>
      </c>
      <c r="K1694" t="str">
        <f>"114169319660"</f>
        <v>114169319660</v>
      </c>
      <c r="L1694" t="str">
        <f t="shared" si="710"/>
        <v>04-08-2020</v>
      </c>
      <c r="M1694" t="str">
        <f t="shared" si="710"/>
        <v>04-08-2020</v>
      </c>
      <c r="N1694" t="str">
        <f t="shared" si="696"/>
        <v>001105018356</v>
      </c>
      <c r="O1694" t="str">
        <f t="shared" si="697"/>
        <v>MYR</v>
      </c>
      <c r="P1694" t="str">
        <f t="shared" si="711"/>
        <v>NIL</v>
      </c>
      <c r="Q1694" t="str">
        <f t="shared" si="711"/>
        <v>NIL</v>
      </c>
      <c r="R1694" t="str">
        <f t="shared" si="698"/>
        <v>Accepted</v>
      </c>
      <c r="S1694" t="str">
        <f t="shared" si="699"/>
        <v>Approved</v>
      </c>
      <c r="T1694" t="str">
        <f t="shared" si="700"/>
        <v>10.20.8.188</v>
      </c>
      <c r="U1694" t="str">
        <f t="shared" si="701"/>
        <v>AZRAD UMAR BIN SHAARI</v>
      </c>
      <c r="V1694" t="str">
        <f t="shared" si="702"/>
        <v>FARHANA BINTI MUSTAPA</v>
      </c>
      <c r="W1694" t="str">
        <f t="shared" si="703"/>
        <v>04-08-2020</v>
      </c>
      <c r="X1694" t="str">
        <f t="shared" si="704"/>
        <v>RAZIMAH ANSAR AHMAD</v>
      </c>
      <c r="Y1694" t="str">
        <f t="shared" si="705"/>
        <v>04-08-2020</v>
      </c>
      <c r="Z1694" t="str">
        <f>"COS10200804 7460"</f>
        <v>COS10200804 7460</v>
      </c>
    </row>
    <row r="1695" spans="1:26" x14ac:dyDescent="0.25">
      <c r="A1695" t="str">
        <f t="shared" si="708"/>
        <v>04-08-2020 01:07:32</v>
      </c>
      <c r="B1695" t="str">
        <f>"0000809259"</f>
        <v>0000809259</v>
      </c>
      <c r="C1695" t="str">
        <f t="shared" si="709"/>
        <v>0000809200</v>
      </c>
      <c r="D1695" t="str">
        <f t="shared" si="693"/>
        <v>73185</v>
      </c>
      <c r="E1695" t="str">
        <f t="shared" si="694"/>
        <v>KFH-OPERATIONS DEPARTMENT</v>
      </c>
      <c r="F1695" t="str">
        <f t="shared" si="695"/>
        <v>IBG</v>
      </c>
      <c r="G1695" t="str">
        <f t="shared" si="706"/>
        <v>Refund COSHARE 10</v>
      </c>
      <c r="H1695" s="2">
        <v>110</v>
      </c>
      <c r="I1695" t="str">
        <f>"SIKI ANAK ATUOK"</f>
        <v>SIKI ANAK ATUOK</v>
      </c>
      <c r="J1695" t="str">
        <f t="shared" si="707"/>
        <v>MAYBANK / MAYBANK ISLAMIC</v>
      </c>
      <c r="K1695" t="str">
        <f>"160027350140"</f>
        <v>160027350140</v>
      </c>
      <c r="L1695" t="str">
        <f t="shared" si="710"/>
        <v>04-08-2020</v>
      </c>
      <c r="M1695" t="str">
        <f t="shared" si="710"/>
        <v>04-08-2020</v>
      </c>
      <c r="N1695" t="str">
        <f t="shared" si="696"/>
        <v>001105018356</v>
      </c>
      <c r="O1695" t="str">
        <f t="shared" si="697"/>
        <v>MYR</v>
      </c>
      <c r="P1695" t="str">
        <f t="shared" si="711"/>
        <v>NIL</v>
      </c>
      <c r="Q1695" t="str">
        <f t="shared" si="711"/>
        <v>NIL</v>
      </c>
      <c r="R1695" t="str">
        <f t="shared" si="698"/>
        <v>Accepted</v>
      </c>
      <c r="S1695" t="str">
        <f t="shared" si="699"/>
        <v>Approved</v>
      </c>
      <c r="T1695" t="str">
        <f t="shared" si="700"/>
        <v>10.20.8.188</v>
      </c>
      <c r="U1695" t="str">
        <f t="shared" si="701"/>
        <v>AZRAD UMAR BIN SHAARI</v>
      </c>
      <c r="V1695" t="str">
        <f t="shared" si="702"/>
        <v>FARHANA BINTI MUSTAPA</v>
      </c>
      <c r="W1695" t="str">
        <f t="shared" si="703"/>
        <v>04-08-2020</v>
      </c>
      <c r="X1695" t="str">
        <f t="shared" si="704"/>
        <v>RAZIMAH ANSAR AHMAD</v>
      </c>
      <c r="Y1695" t="str">
        <f t="shared" si="705"/>
        <v>04-08-2020</v>
      </c>
      <c r="Z1695" t="str">
        <f>"COS10200804 7459"</f>
        <v>COS10200804 7459</v>
      </c>
    </row>
    <row r="1696" spans="1:26" x14ac:dyDescent="0.25">
      <c r="A1696" t="str">
        <f t="shared" si="708"/>
        <v>04-08-2020 01:07:32</v>
      </c>
      <c r="B1696" t="str">
        <f>"0000809258"</f>
        <v>0000809258</v>
      </c>
      <c r="C1696" t="str">
        <f t="shared" si="709"/>
        <v>0000809200</v>
      </c>
      <c r="D1696" t="str">
        <f t="shared" si="693"/>
        <v>73185</v>
      </c>
      <c r="E1696" t="str">
        <f t="shared" si="694"/>
        <v>KFH-OPERATIONS DEPARTMENT</v>
      </c>
      <c r="F1696" t="str">
        <f t="shared" si="695"/>
        <v>IBG</v>
      </c>
      <c r="G1696" t="str">
        <f t="shared" si="706"/>
        <v>Refund COSHARE 10</v>
      </c>
      <c r="H1696" s="2">
        <v>43.1</v>
      </c>
      <c r="I1696" t="str">
        <f>"SIKI ANAK ATUOK"</f>
        <v>SIKI ANAK ATUOK</v>
      </c>
      <c r="J1696" t="str">
        <f t="shared" si="707"/>
        <v>MAYBANK / MAYBANK ISLAMIC</v>
      </c>
      <c r="K1696" t="str">
        <f>"160027350140"</f>
        <v>160027350140</v>
      </c>
      <c r="L1696" t="str">
        <f t="shared" si="710"/>
        <v>04-08-2020</v>
      </c>
      <c r="M1696" t="str">
        <f t="shared" si="710"/>
        <v>04-08-2020</v>
      </c>
      <c r="N1696" t="str">
        <f t="shared" si="696"/>
        <v>001105018356</v>
      </c>
      <c r="O1696" t="str">
        <f t="shared" si="697"/>
        <v>MYR</v>
      </c>
      <c r="P1696" t="str">
        <f t="shared" si="711"/>
        <v>NIL</v>
      </c>
      <c r="Q1696" t="str">
        <f t="shared" si="711"/>
        <v>NIL</v>
      </c>
      <c r="R1696" t="str">
        <f t="shared" si="698"/>
        <v>Accepted</v>
      </c>
      <c r="S1696" t="str">
        <f t="shared" si="699"/>
        <v>Approved</v>
      </c>
      <c r="T1696" t="str">
        <f t="shared" si="700"/>
        <v>10.20.8.188</v>
      </c>
      <c r="U1696" t="str">
        <f t="shared" si="701"/>
        <v>AZRAD UMAR BIN SHAARI</v>
      </c>
      <c r="V1696" t="str">
        <f t="shared" si="702"/>
        <v>FARHANA BINTI MUSTAPA</v>
      </c>
      <c r="W1696" t="str">
        <f t="shared" si="703"/>
        <v>04-08-2020</v>
      </c>
      <c r="X1696" t="str">
        <f t="shared" si="704"/>
        <v>RAZIMAH ANSAR AHMAD</v>
      </c>
      <c r="Y1696" t="str">
        <f t="shared" si="705"/>
        <v>04-08-2020</v>
      </c>
      <c r="Z1696" t="str">
        <f>"COS10200804 7458"</f>
        <v>COS10200804 7458</v>
      </c>
    </row>
    <row r="1697" spans="1:26" x14ac:dyDescent="0.25">
      <c r="A1697" t="str">
        <f t="shared" si="708"/>
        <v>04-08-2020 01:07:32</v>
      </c>
      <c r="B1697" t="str">
        <f>"0000809257"</f>
        <v>0000809257</v>
      </c>
      <c r="C1697" t="str">
        <f t="shared" si="709"/>
        <v>0000809200</v>
      </c>
      <c r="D1697" t="str">
        <f t="shared" si="693"/>
        <v>73185</v>
      </c>
      <c r="E1697" t="str">
        <f t="shared" si="694"/>
        <v>KFH-OPERATIONS DEPARTMENT</v>
      </c>
      <c r="F1697" t="str">
        <f t="shared" si="695"/>
        <v>IBG</v>
      </c>
      <c r="G1697" t="str">
        <f t="shared" si="706"/>
        <v>Refund COSHARE 10</v>
      </c>
      <c r="H1697" s="2">
        <v>941</v>
      </c>
      <c r="I1697" t="str">
        <f>"SHYREN ANAK JULIN"</f>
        <v>SHYREN ANAK JULIN</v>
      </c>
      <c r="J1697" t="str">
        <f t="shared" si="707"/>
        <v>MAYBANK / MAYBANK ISLAMIC</v>
      </c>
      <c r="K1697" t="str">
        <f>"161211072568"</f>
        <v>161211072568</v>
      </c>
      <c r="L1697" t="str">
        <f t="shared" si="710"/>
        <v>04-08-2020</v>
      </c>
      <c r="M1697" t="str">
        <f t="shared" si="710"/>
        <v>04-08-2020</v>
      </c>
      <c r="N1697" t="str">
        <f t="shared" si="696"/>
        <v>001105018356</v>
      </c>
      <c r="O1697" t="str">
        <f t="shared" si="697"/>
        <v>MYR</v>
      </c>
      <c r="P1697" t="str">
        <f t="shared" si="711"/>
        <v>NIL</v>
      </c>
      <c r="Q1697" t="str">
        <f t="shared" si="711"/>
        <v>NIL</v>
      </c>
      <c r="R1697" t="str">
        <f t="shared" si="698"/>
        <v>Accepted</v>
      </c>
      <c r="S1697" t="str">
        <f t="shared" si="699"/>
        <v>Approved</v>
      </c>
      <c r="T1697" t="str">
        <f t="shared" si="700"/>
        <v>10.20.8.188</v>
      </c>
      <c r="U1697" t="str">
        <f t="shared" si="701"/>
        <v>AZRAD UMAR BIN SHAARI</v>
      </c>
      <c r="V1697" t="str">
        <f t="shared" si="702"/>
        <v>FARHANA BINTI MUSTAPA</v>
      </c>
      <c r="W1697" t="str">
        <f t="shared" si="703"/>
        <v>04-08-2020</v>
      </c>
      <c r="X1697" t="str">
        <f t="shared" si="704"/>
        <v>RAZIMAH ANSAR AHMAD</v>
      </c>
      <c r="Y1697" t="str">
        <f t="shared" si="705"/>
        <v>04-08-2020</v>
      </c>
      <c r="Z1697" t="str">
        <f>"COS10200804 7457"</f>
        <v>COS10200804 7457</v>
      </c>
    </row>
    <row r="1698" spans="1:26" x14ac:dyDescent="0.25">
      <c r="A1698" t="str">
        <f t="shared" si="708"/>
        <v>04-08-2020 01:07:32</v>
      </c>
      <c r="B1698" t="str">
        <f>"0000809256"</f>
        <v>0000809256</v>
      </c>
      <c r="C1698" t="str">
        <f t="shared" si="709"/>
        <v>0000809200</v>
      </c>
      <c r="D1698" t="str">
        <f t="shared" si="693"/>
        <v>73185</v>
      </c>
      <c r="E1698" t="str">
        <f t="shared" si="694"/>
        <v>KFH-OPERATIONS DEPARTMENT</v>
      </c>
      <c r="F1698" t="str">
        <f t="shared" si="695"/>
        <v>IBG</v>
      </c>
      <c r="G1698" t="str">
        <f t="shared" si="706"/>
        <v>Refund COSHARE 10</v>
      </c>
      <c r="H1698" s="2">
        <v>147.4</v>
      </c>
      <c r="I1698" t="str">
        <f>"SHUKRI BIN MOHD DAUD"</f>
        <v>SHUKRI BIN MOHD DAUD</v>
      </c>
      <c r="J1698" t="str">
        <f t="shared" si="707"/>
        <v>MAYBANK / MAYBANK ISLAMIC</v>
      </c>
      <c r="K1698" t="str">
        <f>"114049448123"</f>
        <v>114049448123</v>
      </c>
      <c r="L1698" t="str">
        <f t="shared" si="710"/>
        <v>04-08-2020</v>
      </c>
      <c r="M1698" t="str">
        <f t="shared" si="710"/>
        <v>04-08-2020</v>
      </c>
      <c r="N1698" t="str">
        <f t="shared" si="696"/>
        <v>001105018356</v>
      </c>
      <c r="O1698" t="str">
        <f t="shared" si="697"/>
        <v>MYR</v>
      </c>
      <c r="P1698" t="str">
        <f t="shared" si="711"/>
        <v>NIL</v>
      </c>
      <c r="Q1698" t="str">
        <f t="shared" si="711"/>
        <v>NIL</v>
      </c>
      <c r="R1698" t="str">
        <f t="shared" si="698"/>
        <v>Accepted</v>
      </c>
      <c r="S1698" t="str">
        <f t="shared" si="699"/>
        <v>Approved</v>
      </c>
      <c r="T1698" t="str">
        <f t="shared" si="700"/>
        <v>10.20.8.188</v>
      </c>
      <c r="U1698" t="str">
        <f t="shared" si="701"/>
        <v>AZRAD UMAR BIN SHAARI</v>
      </c>
      <c r="V1698" t="str">
        <f t="shared" si="702"/>
        <v>FARHANA BINTI MUSTAPA</v>
      </c>
      <c r="W1698" t="str">
        <f t="shared" si="703"/>
        <v>04-08-2020</v>
      </c>
      <c r="X1698" t="str">
        <f t="shared" si="704"/>
        <v>RAZIMAH ANSAR AHMAD</v>
      </c>
      <c r="Y1698" t="str">
        <f t="shared" si="705"/>
        <v>04-08-2020</v>
      </c>
      <c r="Z1698" t="str">
        <f>"COS10200804 7456"</f>
        <v>COS10200804 7456</v>
      </c>
    </row>
    <row r="1699" spans="1:26" x14ac:dyDescent="0.25">
      <c r="A1699" t="str">
        <f t="shared" si="708"/>
        <v>04-08-2020 01:07:32</v>
      </c>
      <c r="B1699" t="str">
        <f>"0000809255"</f>
        <v>0000809255</v>
      </c>
      <c r="C1699" t="str">
        <f t="shared" si="709"/>
        <v>0000809200</v>
      </c>
      <c r="D1699" t="str">
        <f t="shared" si="693"/>
        <v>73185</v>
      </c>
      <c r="E1699" t="str">
        <f t="shared" si="694"/>
        <v>KFH-OPERATIONS DEPARTMENT</v>
      </c>
      <c r="F1699" t="str">
        <f t="shared" si="695"/>
        <v>IBG</v>
      </c>
      <c r="G1699" t="str">
        <f t="shared" si="706"/>
        <v>Refund COSHARE 10</v>
      </c>
      <c r="H1699" s="2">
        <v>245.6</v>
      </c>
      <c r="I1699" t="str">
        <f>"SHUKRI BIN AHMAD"</f>
        <v>SHUKRI BIN AHMAD</v>
      </c>
      <c r="J1699" t="str">
        <f t="shared" si="707"/>
        <v>MAYBANK / MAYBANK ISLAMIC</v>
      </c>
      <c r="K1699" t="str">
        <f>"158051337775"</f>
        <v>158051337775</v>
      </c>
      <c r="L1699" t="str">
        <f t="shared" si="710"/>
        <v>04-08-2020</v>
      </c>
      <c r="M1699" t="str">
        <f t="shared" si="710"/>
        <v>04-08-2020</v>
      </c>
      <c r="N1699" t="str">
        <f t="shared" si="696"/>
        <v>001105018356</v>
      </c>
      <c r="O1699" t="str">
        <f t="shared" si="697"/>
        <v>MYR</v>
      </c>
      <c r="P1699" t="str">
        <f t="shared" si="711"/>
        <v>NIL</v>
      </c>
      <c r="Q1699" t="str">
        <f t="shared" si="711"/>
        <v>NIL</v>
      </c>
      <c r="R1699" t="str">
        <f t="shared" si="698"/>
        <v>Accepted</v>
      </c>
      <c r="S1699" t="str">
        <f t="shared" si="699"/>
        <v>Approved</v>
      </c>
      <c r="T1699" t="str">
        <f t="shared" si="700"/>
        <v>10.20.8.188</v>
      </c>
      <c r="U1699" t="str">
        <f t="shared" si="701"/>
        <v>AZRAD UMAR BIN SHAARI</v>
      </c>
      <c r="V1699" t="str">
        <f t="shared" si="702"/>
        <v>FARHANA BINTI MUSTAPA</v>
      </c>
      <c r="W1699" t="str">
        <f t="shared" si="703"/>
        <v>04-08-2020</v>
      </c>
      <c r="X1699" t="str">
        <f t="shared" si="704"/>
        <v>RAZIMAH ANSAR AHMAD</v>
      </c>
      <c r="Y1699" t="str">
        <f t="shared" si="705"/>
        <v>04-08-2020</v>
      </c>
      <c r="Z1699" t="str">
        <f>"COS10200804 7455"</f>
        <v>COS10200804 7455</v>
      </c>
    </row>
    <row r="1700" spans="1:26" x14ac:dyDescent="0.25">
      <c r="A1700" t="str">
        <f t="shared" si="708"/>
        <v>04-08-2020 01:07:32</v>
      </c>
      <c r="B1700" t="str">
        <f>"0000809254"</f>
        <v>0000809254</v>
      </c>
      <c r="C1700" t="str">
        <f t="shared" si="709"/>
        <v>0000809200</v>
      </c>
      <c r="D1700" t="str">
        <f t="shared" si="693"/>
        <v>73185</v>
      </c>
      <c r="E1700" t="str">
        <f t="shared" si="694"/>
        <v>KFH-OPERATIONS DEPARTMENT</v>
      </c>
      <c r="F1700" t="str">
        <f t="shared" si="695"/>
        <v>IBG</v>
      </c>
      <c r="G1700" t="str">
        <f t="shared" si="706"/>
        <v>Refund COSHARE 10</v>
      </c>
      <c r="H1700" s="2">
        <v>301.7</v>
      </c>
      <c r="I1700" t="str">
        <f>"SHUHAIDAH BINTI HAMZAH"</f>
        <v>SHUHAIDAH BINTI HAMZAH</v>
      </c>
      <c r="J1700" t="str">
        <f t="shared" si="707"/>
        <v>MAYBANK / MAYBANK ISLAMIC</v>
      </c>
      <c r="K1700" t="str">
        <f>"101244409992"</f>
        <v>101244409992</v>
      </c>
      <c r="L1700" t="str">
        <f t="shared" si="710"/>
        <v>04-08-2020</v>
      </c>
      <c r="M1700" t="str">
        <f t="shared" si="710"/>
        <v>04-08-2020</v>
      </c>
      <c r="N1700" t="str">
        <f t="shared" si="696"/>
        <v>001105018356</v>
      </c>
      <c r="O1700" t="str">
        <f t="shared" si="697"/>
        <v>MYR</v>
      </c>
      <c r="P1700" t="str">
        <f t="shared" si="711"/>
        <v>NIL</v>
      </c>
      <c r="Q1700" t="str">
        <f t="shared" si="711"/>
        <v>NIL</v>
      </c>
      <c r="R1700" t="str">
        <f t="shared" si="698"/>
        <v>Accepted</v>
      </c>
      <c r="S1700" t="str">
        <f t="shared" si="699"/>
        <v>Approved</v>
      </c>
      <c r="T1700" t="str">
        <f t="shared" si="700"/>
        <v>10.20.8.188</v>
      </c>
      <c r="U1700" t="str">
        <f t="shared" si="701"/>
        <v>AZRAD UMAR BIN SHAARI</v>
      </c>
      <c r="V1700" t="str">
        <f t="shared" si="702"/>
        <v>FARHANA BINTI MUSTAPA</v>
      </c>
      <c r="W1700" t="str">
        <f t="shared" si="703"/>
        <v>04-08-2020</v>
      </c>
      <c r="X1700" t="str">
        <f t="shared" si="704"/>
        <v>RAZIMAH ANSAR AHMAD</v>
      </c>
      <c r="Y1700" t="str">
        <f t="shared" si="705"/>
        <v>04-08-2020</v>
      </c>
      <c r="Z1700" t="str">
        <f>"COS10200804 7454"</f>
        <v>COS10200804 7454</v>
      </c>
    </row>
    <row r="1701" spans="1:26" x14ac:dyDescent="0.25">
      <c r="A1701" t="str">
        <f t="shared" si="708"/>
        <v>04-08-2020 01:07:32</v>
      </c>
      <c r="B1701" t="str">
        <f>"0000809253"</f>
        <v>0000809253</v>
      </c>
      <c r="C1701" t="str">
        <f t="shared" si="709"/>
        <v>0000809200</v>
      </c>
      <c r="D1701" t="str">
        <f t="shared" si="693"/>
        <v>73185</v>
      </c>
      <c r="E1701" t="str">
        <f t="shared" si="694"/>
        <v>KFH-OPERATIONS DEPARTMENT</v>
      </c>
      <c r="F1701" t="str">
        <f t="shared" si="695"/>
        <v>IBG</v>
      </c>
      <c r="G1701" t="str">
        <f t="shared" si="706"/>
        <v>Refund COSHARE 10</v>
      </c>
      <c r="H1701" s="2">
        <v>797.55</v>
      </c>
      <c r="I1701" t="str">
        <f>"SHUBASHINI AP P VINGADAS"</f>
        <v>SHUBASHINI AP P VINGADAS</v>
      </c>
      <c r="J1701" t="str">
        <f t="shared" si="707"/>
        <v>MAYBANK / MAYBANK ISLAMIC</v>
      </c>
      <c r="K1701" t="str">
        <f>"105122049893"</f>
        <v>105122049893</v>
      </c>
      <c r="L1701" t="str">
        <f t="shared" si="710"/>
        <v>04-08-2020</v>
      </c>
      <c r="M1701" t="str">
        <f t="shared" si="710"/>
        <v>04-08-2020</v>
      </c>
      <c r="N1701" t="str">
        <f t="shared" si="696"/>
        <v>001105018356</v>
      </c>
      <c r="O1701" t="str">
        <f t="shared" si="697"/>
        <v>MYR</v>
      </c>
      <c r="P1701" t="str">
        <f t="shared" si="711"/>
        <v>NIL</v>
      </c>
      <c r="Q1701" t="str">
        <f t="shared" si="711"/>
        <v>NIL</v>
      </c>
      <c r="R1701" t="str">
        <f t="shared" si="698"/>
        <v>Accepted</v>
      </c>
      <c r="S1701" t="str">
        <f t="shared" si="699"/>
        <v>Approved</v>
      </c>
      <c r="T1701" t="str">
        <f t="shared" si="700"/>
        <v>10.20.8.188</v>
      </c>
      <c r="U1701" t="str">
        <f t="shared" si="701"/>
        <v>AZRAD UMAR BIN SHAARI</v>
      </c>
      <c r="V1701" t="str">
        <f t="shared" si="702"/>
        <v>FARHANA BINTI MUSTAPA</v>
      </c>
      <c r="W1701" t="str">
        <f t="shared" si="703"/>
        <v>04-08-2020</v>
      </c>
      <c r="X1701" t="str">
        <f t="shared" si="704"/>
        <v>RAZIMAH ANSAR AHMAD</v>
      </c>
      <c r="Y1701" t="str">
        <f t="shared" si="705"/>
        <v>04-08-2020</v>
      </c>
      <c r="Z1701" t="str">
        <f>"COS10200804 7453"</f>
        <v>COS10200804 7453</v>
      </c>
    </row>
    <row r="1702" spans="1:26" x14ac:dyDescent="0.25">
      <c r="A1702" t="str">
        <f t="shared" si="708"/>
        <v>04-08-2020 01:07:32</v>
      </c>
      <c r="B1702" t="str">
        <f>"0000809252"</f>
        <v>0000809252</v>
      </c>
      <c r="C1702" t="str">
        <f t="shared" si="709"/>
        <v>0000809200</v>
      </c>
      <c r="D1702" t="str">
        <f t="shared" si="693"/>
        <v>73185</v>
      </c>
      <c r="E1702" t="str">
        <f t="shared" si="694"/>
        <v>KFH-OPERATIONS DEPARTMENT</v>
      </c>
      <c r="F1702" t="str">
        <f t="shared" si="695"/>
        <v>IBG</v>
      </c>
      <c r="G1702" t="str">
        <f t="shared" si="706"/>
        <v>Refund COSHARE 10</v>
      </c>
      <c r="H1702" s="2">
        <v>1683</v>
      </c>
      <c r="I1702" t="str">
        <f>"SHU LEE CHEEMELANSIA CHU"</f>
        <v>SHU LEE CHEEMELANSIA CHU</v>
      </c>
      <c r="J1702" t="str">
        <f t="shared" si="707"/>
        <v>MAYBANK / MAYBANK ISLAMIC</v>
      </c>
      <c r="K1702" t="str">
        <f>"160269040584"</f>
        <v>160269040584</v>
      </c>
      <c r="L1702" t="str">
        <f t="shared" si="710"/>
        <v>04-08-2020</v>
      </c>
      <c r="M1702" t="str">
        <f t="shared" si="710"/>
        <v>04-08-2020</v>
      </c>
      <c r="N1702" t="str">
        <f t="shared" si="696"/>
        <v>001105018356</v>
      </c>
      <c r="O1702" t="str">
        <f t="shared" si="697"/>
        <v>MYR</v>
      </c>
      <c r="P1702" t="str">
        <f t="shared" si="711"/>
        <v>NIL</v>
      </c>
      <c r="Q1702" t="str">
        <f t="shared" si="711"/>
        <v>NIL</v>
      </c>
      <c r="R1702" t="str">
        <f t="shared" si="698"/>
        <v>Accepted</v>
      </c>
      <c r="S1702" t="str">
        <f t="shared" si="699"/>
        <v>Approved</v>
      </c>
      <c r="T1702" t="str">
        <f t="shared" si="700"/>
        <v>10.20.8.188</v>
      </c>
      <c r="U1702" t="str">
        <f t="shared" si="701"/>
        <v>AZRAD UMAR BIN SHAARI</v>
      </c>
      <c r="V1702" t="str">
        <f t="shared" si="702"/>
        <v>FARHANA BINTI MUSTAPA</v>
      </c>
      <c r="W1702" t="str">
        <f t="shared" si="703"/>
        <v>04-08-2020</v>
      </c>
      <c r="X1702" t="str">
        <f t="shared" si="704"/>
        <v>RAZIMAH ANSAR AHMAD</v>
      </c>
      <c r="Y1702" t="str">
        <f t="shared" si="705"/>
        <v>04-08-2020</v>
      </c>
      <c r="Z1702" t="str">
        <f>"COS10200804 7452"</f>
        <v>COS10200804 7452</v>
      </c>
    </row>
    <row r="1703" spans="1:26" x14ac:dyDescent="0.25">
      <c r="A1703" t="str">
        <f t="shared" si="708"/>
        <v>04-08-2020 01:07:32</v>
      </c>
      <c r="B1703" t="str">
        <f>"0000809251"</f>
        <v>0000809251</v>
      </c>
      <c r="C1703" t="str">
        <f t="shared" si="709"/>
        <v>0000809200</v>
      </c>
      <c r="D1703" t="str">
        <f t="shared" si="693"/>
        <v>73185</v>
      </c>
      <c r="E1703" t="str">
        <f t="shared" si="694"/>
        <v>KFH-OPERATIONS DEPARTMENT</v>
      </c>
      <c r="F1703" t="str">
        <f t="shared" si="695"/>
        <v>IBG</v>
      </c>
      <c r="G1703" t="str">
        <f t="shared" si="706"/>
        <v>Refund COSHARE 10</v>
      </c>
      <c r="H1703" s="2">
        <v>266</v>
      </c>
      <c r="I1703" t="str">
        <f>"SHOUHAIMI BIN HARUN"</f>
        <v>SHOUHAIMI BIN HARUN</v>
      </c>
      <c r="J1703" t="str">
        <f t="shared" si="707"/>
        <v>MAYBANK / MAYBANK ISLAMIC</v>
      </c>
      <c r="K1703" t="str">
        <f>"158051578173"</f>
        <v>158051578173</v>
      </c>
      <c r="L1703" t="str">
        <f t="shared" si="710"/>
        <v>04-08-2020</v>
      </c>
      <c r="M1703" t="str">
        <f t="shared" si="710"/>
        <v>04-08-2020</v>
      </c>
      <c r="N1703" t="str">
        <f t="shared" si="696"/>
        <v>001105018356</v>
      </c>
      <c r="O1703" t="str">
        <f t="shared" si="697"/>
        <v>MYR</v>
      </c>
      <c r="P1703" t="str">
        <f t="shared" si="711"/>
        <v>NIL</v>
      </c>
      <c r="Q1703" t="str">
        <f t="shared" si="711"/>
        <v>NIL</v>
      </c>
      <c r="R1703" t="str">
        <f t="shared" si="698"/>
        <v>Accepted</v>
      </c>
      <c r="S1703" t="str">
        <f t="shared" si="699"/>
        <v>Approved</v>
      </c>
      <c r="T1703" t="str">
        <f t="shared" si="700"/>
        <v>10.20.8.188</v>
      </c>
      <c r="U1703" t="str">
        <f t="shared" si="701"/>
        <v>AZRAD UMAR BIN SHAARI</v>
      </c>
      <c r="V1703" t="str">
        <f t="shared" si="702"/>
        <v>FARHANA BINTI MUSTAPA</v>
      </c>
      <c r="W1703" t="str">
        <f t="shared" si="703"/>
        <v>04-08-2020</v>
      </c>
      <c r="X1703" t="str">
        <f t="shared" si="704"/>
        <v>RAZIMAH ANSAR AHMAD</v>
      </c>
      <c r="Y1703" t="str">
        <f t="shared" si="705"/>
        <v>04-08-2020</v>
      </c>
      <c r="Z1703" t="str">
        <f>"COS10200804 7451"</f>
        <v>COS10200804 7451</v>
      </c>
    </row>
    <row r="1704" spans="1:26" x14ac:dyDescent="0.25">
      <c r="A1704" t="str">
        <f t="shared" si="708"/>
        <v>04-08-2020 01:07:32</v>
      </c>
      <c r="B1704" t="str">
        <f>"0000809250"</f>
        <v>0000809250</v>
      </c>
      <c r="C1704" t="str">
        <f t="shared" si="709"/>
        <v>0000809200</v>
      </c>
      <c r="D1704" t="str">
        <f t="shared" si="693"/>
        <v>73185</v>
      </c>
      <c r="E1704" t="str">
        <f t="shared" si="694"/>
        <v>KFH-OPERATIONS DEPARTMENT</v>
      </c>
      <c r="F1704" t="str">
        <f t="shared" si="695"/>
        <v>IBG</v>
      </c>
      <c r="G1704" t="str">
        <f t="shared" si="706"/>
        <v>Refund COSHARE 10</v>
      </c>
      <c r="H1704" s="2">
        <v>83.95</v>
      </c>
      <c r="I1704" t="str">
        <f>"SHIRLEY DOROTHY USUN LOUIS"</f>
        <v>SHIRLEY DOROTHY USUN LOUIS</v>
      </c>
      <c r="J1704" t="str">
        <f t="shared" si="707"/>
        <v>MAYBANK / MAYBANK ISLAMIC</v>
      </c>
      <c r="K1704" t="str">
        <f>"160214058336"</f>
        <v>160214058336</v>
      </c>
      <c r="L1704" t="str">
        <f t="shared" si="710"/>
        <v>04-08-2020</v>
      </c>
      <c r="M1704" t="str">
        <f t="shared" si="710"/>
        <v>04-08-2020</v>
      </c>
      <c r="N1704" t="str">
        <f t="shared" si="696"/>
        <v>001105018356</v>
      </c>
      <c r="O1704" t="str">
        <f t="shared" si="697"/>
        <v>MYR</v>
      </c>
      <c r="P1704" t="str">
        <f t="shared" si="711"/>
        <v>NIL</v>
      </c>
      <c r="Q1704" t="str">
        <f t="shared" si="711"/>
        <v>NIL</v>
      </c>
      <c r="R1704" t="str">
        <f t="shared" si="698"/>
        <v>Accepted</v>
      </c>
      <c r="S1704" t="str">
        <f t="shared" si="699"/>
        <v>Approved</v>
      </c>
      <c r="T1704" t="str">
        <f t="shared" si="700"/>
        <v>10.20.8.188</v>
      </c>
      <c r="U1704" t="str">
        <f t="shared" si="701"/>
        <v>AZRAD UMAR BIN SHAARI</v>
      </c>
      <c r="V1704" t="str">
        <f t="shared" si="702"/>
        <v>FARHANA BINTI MUSTAPA</v>
      </c>
      <c r="W1704" t="str">
        <f t="shared" si="703"/>
        <v>04-08-2020</v>
      </c>
      <c r="X1704" t="str">
        <f t="shared" si="704"/>
        <v>RAZIMAH ANSAR AHMAD</v>
      </c>
      <c r="Y1704" t="str">
        <f t="shared" si="705"/>
        <v>04-08-2020</v>
      </c>
      <c r="Z1704" t="str">
        <f>"COS10200804 7450"</f>
        <v>COS10200804 7450</v>
      </c>
    </row>
    <row r="1705" spans="1:26" x14ac:dyDescent="0.25">
      <c r="A1705" t="str">
        <f t="shared" si="708"/>
        <v>04-08-2020 01:07:32</v>
      </c>
      <c r="B1705" t="str">
        <f>"0000809249"</f>
        <v>0000809249</v>
      </c>
      <c r="C1705" t="str">
        <f t="shared" si="709"/>
        <v>0000809200</v>
      </c>
      <c r="D1705" t="str">
        <f t="shared" si="693"/>
        <v>73185</v>
      </c>
      <c r="E1705" t="str">
        <f t="shared" si="694"/>
        <v>KFH-OPERATIONS DEPARTMENT</v>
      </c>
      <c r="F1705" t="str">
        <f t="shared" si="695"/>
        <v>IBG</v>
      </c>
      <c r="G1705" t="str">
        <f t="shared" si="706"/>
        <v>Refund COSHARE 10</v>
      </c>
      <c r="H1705" s="2">
        <v>251.85</v>
      </c>
      <c r="I1705" t="str">
        <f>"SHIREEN AIDA BINTI SHAMSUL KHALIL"</f>
        <v>SHIREEN AIDA BINTI SHAMSUL KHALIL</v>
      </c>
      <c r="J1705" t="str">
        <f t="shared" si="707"/>
        <v>MAYBANK / MAYBANK ISLAMIC</v>
      </c>
      <c r="K1705" t="str">
        <f>"164155544214"</f>
        <v>164155544214</v>
      </c>
      <c r="L1705" t="str">
        <f t="shared" si="710"/>
        <v>04-08-2020</v>
      </c>
      <c r="M1705" t="str">
        <f t="shared" si="710"/>
        <v>04-08-2020</v>
      </c>
      <c r="N1705" t="str">
        <f t="shared" si="696"/>
        <v>001105018356</v>
      </c>
      <c r="O1705" t="str">
        <f t="shared" si="697"/>
        <v>MYR</v>
      </c>
      <c r="P1705" t="str">
        <f t="shared" si="711"/>
        <v>NIL</v>
      </c>
      <c r="Q1705" t="str">
        <f t="shared" si="711"/>
        <v>NIL</v>
      </c>
      <c r="R1705" t="str">
        <f t="shared" si="698"/>
        <v>Accepted</v>
      </c>
      <c r="S1705" t="str">
        <f t="shared" si="699"/>
        <v>Approved</v>
      </c>
      <c r="T1705" t="str">
        <f t="shared" si="700"/>
        <v>10.20.8.188</v>
      </c>
      <c r="U1705" t="str">
        <f t="shared" si="701"/>
        <v>AZRAD UMAR BIN SHAARI</v>
      </c>
      <c r="V1705" t="str">
        <f t="shared" si="702"/>
        <v>FARHANA BINTI MUSTAPA</v>
      </c>
      <c r="W1705" t="str">
        <f t="shared" si="703"/>
        <v>04-08-2020</v>
      </c>
      <c r="X1705" t="str">
        <f t="shared" si="704"/>
        <v>RAZIMAH ANSAR AHMAD</v>
      </c>
      <c r="Y1705" t="str">
        <f t="shared" si="705"/>
        <v>04-08-2020</v>
      </c>
      <c r="Z1705" t="str">
        <f>"COS10200804 7449"</f>
        <v>COS10200804 7449</v>
      </c>
    </row>
    <row r="1706" spans="1:26" x14ac:dyDescent="0.25">
      <c r="A1706" t="str">
        <f t="shared" si="708"/>
        <v>04-08-2020 01:07:32</v>
      </c>
      <c r="B1706" t="str">
        <f>"0000809248"</f>
        <v>0000809248</v>
      </c>
      <c r="C1706" t="str">
        <f t="shared" si="709"/>
        <v>0000809200</v>
      </c>
      <c r="D1706" t="str">
        <f t="shared" si="693"/>
        <v>73185</v>
      </c>
      <c r="E1706" t="str">
        <f t="shared" si="694"/>
        <v>KFH-OPERATIONS DEPARTMENT</v>
      </c>
      <c r="F1706" t="str">
        <f t="shared" si="695"/>
        <v>IBG</v>
      </c>
      <c r="G1706" t="str">
        <f t="shared" si="706"/>
        <v>Refund COSHARE 10</v>
      </c>
      <c r="H1706" s="2">
        <v>167.9</v>
      </c>
      <c r="I1706" t="str">
        <f>"SHIREEN AIDA BINTI SHAMSUL KHALIL"</f>
        <v>SHIREEN AIDA BINTI SHAMSUL KHALIL</v>
      </c>
      <c r="J1706" t="str">
        <f t="shared" si="707"/>
        <v>MAYBANK / MAYBANK ISLAMIC</v>
      </c>
      <c r="K1706" t="str">
        <f>"164155544214"</f>
        <v>164155544214</v>
      </c>
      <c r="L1706" t="str">
        <f t="shared" si="710"/>
        <v>04-08-2020</v>
      </c>
      <c r="M1706" t="str">
        <f t="shared" si="710"/>
        <v>04-08-2020</v>
      </c>
      <c r="N1706" t="str">
        <f t="shared" si="696"/>
        <v>001105018356</v>
      </c>
      <c r="O1706" t="str">
        <f t="shared" si="697"/>
        <v>MYR</v>
      </c>
      <c r="P1706" t="str">
        <f t="shared" si="711"/>
        <v>NIL</v>
      </c>
      <c r="Q1706" t="str">
        <f t="shared" si="711"/>
        <v>NIL</v>
      </c>
      <c r="R1706" t="str">
        <f t="shared" si="698"/>
        <v>Accepted</v>
      </c>
      <c r="S1706" t="str">
        <f t="shared" si="699"/>
        <v>Approved</v>
      </c>
      <c r="T1706" t="str">
        <f t="shared" si="700"/>
        <v>10.20.8.188</v>
      </c>
      <c r="U1706" t="str">
        <f t="shared" si="701"/>
        <v>AZRAD UMAR BIN SHAARI</v>
      </c>
      <c r="V1706" t="str">
        <f t="shared" si="702"/>
        <v>FARHANA BINTI MUSTAPA</v>
      </c>
      <c r="W1706" t="str">
        <f t="shared" si="703"/>
        <v>04-08-2020</v>
      </c>
      <c r="X1706" t="str">
        <f t="shared" si="704"/>
        <v>RAZIMAH ANSAR AHMAD</v>
      </c>
      <c r="Y1706" t="str">
        <f t="shared" si="705"/>
        <v>04-08-2020</v>
      </c>
      <c r="Z1706" t="str">
        <f>"COS10200804 7448"</f>
        <v>COS10200804 7448</v>
      </c>
    </row>
    <row r="1707" spans="1:26" x14ac:dyDescent="0.25">
      <c r="A1707" t="str">
        <f t="shared" si="708"/>
        <v>04-08-2020 01:07:32</v>
      </c>
      <c r="B1707" t="str">
        <f>"0000809247"</f>
        <v>0000809247</v>
      </c>
      <c r="C1707" t="str">
        <f t="shared" si="709"/>
        <v>0000809200</v>
      </c>
      <c r="D1707" t="str">
        <f t="shared" si="693"/>
        <v>73185</v>
      </c>
      <c r="E1707" t="str">
        <f t="shared" si="694"/>
        <v>KFH-OPERATIONS DEPARTMENT</v>
      </c>
      <c r="F1707" t="str">
        <f t="shared" si="695"/>
        <v>IBG</v>
      </c>
      <c r="G1707" t="str">
        <f t="shared" si="706"/>
        <v>Refund COSHARE 10</v>
      </c>
      <c r="H1707" s="2">
        <v>587.65</v>
      </c>
      <c r="I1707" t="str">
        <f>"SHERWENA BINTI MUZZAWER"</f>
        <v>SHERWENA BINTI MUZZAWER</v>
      </c>
      <c r="J1707" t="str">
        <f t="shared" si="707"/>
        <v>MAYBANK / MAYBANK ISLAMIC</v>
      </c>
      <c r="K1707" t="str">
        <f>"160102281860"</f>
        <v>160102281860</v>
      </c>
      <c r="L1707" t="str">
        <f t="shared" ref="L1707:M1726" si="712">"04-08-2020"</f>
        <v>04-08-2020</v>
      </c>
      <c r="M1707" t="str">
        <f t="shared" si="712"/>
        <v>04-08-2020</v>
      </c>
      <c r="N1707" t="str">
        <f t="shared" si="696"/>
        <v>001105018356</v>
      </c>
      <c r="O1707" t="str">
        <f t="shared" si="697"/>
        <v>MYR</v>
      </c>
      <c r="P1707" t="str">
        <f t="shared" ref="P1707:Q1726" si="713">"NIL"</f>
        <v>NIL</v>
      </c>
      <c r="Q1707" t="str">
        <f t="shared" si="713"/>
        <v>NIL</v>
      </c>
      <c r="R1707" t="str">
        <f t="shared" si="698"/>
        <v>Accepted</v>
      </c>
      <c r="S1707" t="str">
        <f t="shared" si="699"/>
        <v>Approved</v>
      </c>
      <c r="T1707" t="str">
        <f t="shared" si="700"/>
        <v>10.20.8.188</v>
      </c>
      <c r="U1707" t="str">
        <f t="shared" si="701"/>
        <v>AZRAD UMAR BIN SHAARI</v>
      </c>
      <c r="V1707" t="str">
        <f t="shared" si="702"/>
        <v>FARHANA BINTI MUSTAPA</v>
      </c>
      <c r="W1707" t="str">
        <f t="shared" si="703"/>
        <v>04-08-2020</v>
      </c>
      <c r="X1707" t="str">
        <f t="shared" si="704"/>
        <v>RAZIMAH ANSAR AHMAD</v>
      </c>
      <c r="Y1707" t="str">
        <f t="shared" si="705"/>
        <v>04-08-2020</v>
      </c>
      <c r="Z1707" t="str">
        <f>"COS10200804 7447"</f>
        <v>COS10200804 7447</v>
      </c>
    </row>
    <row r="1708" spans="1:26" x14ac:dyDescent="0.25">
      <c r="A1708" t="str">
        <f t="shared" si="708"/>
        <v>04-08-2020 01:07:32</v>
      </c>
      <c r="B1708" t="str">
        <f>"0000809246"</f>
        <v>0000809246</v>
      </c>
      <c r="C1708" t="str">
        <f t="shared" si="709"/>
        <v>0000809200</v>
      </c>
      <c r="D1708" t="str">
        <f t="shared" si="693"/>
        <v>73185</v>
      </c>
      <c r="E1708" t="str">
        <f t="shared" si="694"/>
        <v>KFH-OPERATIONS DEPARTMENT</v>
      </c>
      <c r="F1708" t="str">
        <f t="shared" si="695"/>
        <v>IBG</v>
      </c>
      <c r="G1708" t="str">
        <f t="shared" si="706"/>
        <v>Refund COSHARE 10</v>
      </c>
      <c r="H1708" s="2">
        <v>622.20000000000005</v>
      </c>
      <c r="I1708" t="str">
        <f>"SHERRY JASMINE BINTI SHEARACK"</f>
        <v>SHERRY JASMINE BINTI SHEARACK</v>
      </c>
      <c r="J1708" t="str">
        <f t="shared" si="707"/>
        <v>MAYBANK / MAYBANK ISLAMIC</v>
      </c>
      <c r="K1708" t="str">
        <f>"101067899036"</f>
        <v>101067899036</v>
      </c>
      <c r="L1708" t="str">
        <f t="shared" si="712"/>
        <v>04-08-2020</v>
      </c>
      <c r="M1708" t="str">
        <f t="shared" si="712"/>
        <v>04-08-2020</v>
      </c>
      <c r="N1708" t="str">
        <f t="shared" si="696"/>
        <v>001105018356</v>
      </c>
      <c r="O1708" t="str">
        <f t="shared" si="697"/>
        <v>MYR</v>
      </c>
      <c r="P1708" t="str">
        <f t="shared" si="713"/>
        <v>NIL</v>
      </c>
      <c r="Q1708" t="str">
        <f t="shared" si="713"/>
        <v>NIL</v>
      </c>
      <c r="R1708" t="str">
        <f t="shared" si="698"/>
        <v>Accepted</v>
      </c>
      <c r="S1708" t="str">
        <f t="shared" si="699"/>
        <v>Approved</v>
      </c>
      <c r="T1708" t="str">
        <f t="shared" si="700"/>
        <v>10.20.8.188</v>
      </c>
      <c r="U1708" t="str">
        <f t="shared" si="701"/>
        <v>AZRAD UMAR BIN SHAARI</v>
      </c>
      <c r="V1708" t="str">
        <f t="shared" si="702"/>
        <v>FARHANA BINTI MUSTAPA</v>
      </c>
      <c r="W1708" t="str">
        <f t="shared" si="703"/>
        <v>04-08-2020</v>
      </c>
      <c r="X1708" t="str">
        <f t="shared" si="704"/>
        <v>RAZIMAH ANSAR AHMAD</v>
      </c>
      <c r="Y1708" t="str">
        <f t="shared" si="705"/>
        <v>04-08-2020</v>
      </c>
      <c r="Z1708" t="str">
        <f>"COS10200804 7446"</f>
        <v>COS10200804 7446</v>
      </c>
    </row>
    <row r="1709" spans="1:26" x14ac:dyDescent="0.25">
      <c r="A1709" t="str">
        <f t="shared" si="708"/>
        <v>04-08-2020 01:07:32</v>
      </c>
      <c r="B1709" t="str">
        <f>"0000809245"</f>
        <v>0000809245</v>
      </c>
      <c r="C1709" t="str">
        <f t="shared" si="709"/>
        <v>0000809200</v>
      </c>
      <c r="D1709" t="str">
        <f t="shared" si="693"/>
        <v>73185</v>
      </c>
      <c r="E1709" t="str">
        <f t="shared" si="694"/>
        <v>KFH-OPERATIONS DEPARTMENT</v>
      </c>
      <c r="F1709" t="str">
        <f t="shared" si="695"/>
        <v>IBG</v>
      </c>
      <c r="G1709" t="str">
        <f t="shared" si="706"/>
        <v>Refund COSHARE 10</v>
      </c>
      <c r="H1709" s="2">
        <v>184.7</v>
      </c>
      <c r="I1709" t="str">
        <f>"SHEIKH BUKHORI BIN SHEIKH GHADZI"</f>
        <v>SHEIKH BUKHORI BIN SHEIKH GHADZI</v>
      </c>
      <c r="J1709" t="str">
        <f t="shared" si="707"/>
        <v>MAYBANK / MAYBANK ISLAMIC</v>
      </c>
      <c r="K1709" t="str">
        <f>"151052136885"</f>
        <v>151052136885</v>
      </c>
      <c r="L1709" t="str">
        <f t="shared" si="712"/>
        <v>04-08-2020</v>
      </c>
      <c r="M1709" t="str">
        <f t="shared" si="712"/>
        <v>04-08-2020</v>
      </c>
      <c r="N1709" t="str">
        <f t="shared" si="696"/>
        <v>001105018356</v>
      </c>
      <c r="O1709" t="str">
        <f t="shared" si="697"/>
        <v>MYR</v>
      </c>
      <c r="P1709" t="str">
        <f t="shared" si="713"/>
        <v>NIL</v>
      </c>
      <c r="Q1709" t="str">
        <f t="shared" si="713"/>
        <v>NIL</v>
      </c>
      <c r="R1709" t="str">
        <f t="shared" si="698"/>
        <v>Accepted</v>
      </c>
      <c r="S1709" t="str">
        <f t="shared" si="699"/>
        <v>Approved</v>
      </c>
      <c r="T1709" t="str">
        <f t="shared" si="700"/>
        <v>10.20.8.188</v>
      </c>
      <c r="U1709" t="str">
        <f t="shared" si="701"/>
        <v>AZRAD UMAR BIN SHAARI</v>
      </c>
      <c r="V1709" t="str">
        <f t="shared" si="702"/>
        <v>FARHANA BINTI MUSTAPA</v>
      </c>
      <c r="W1709" t="str">
        <f t="shared" si="703"/>
        <v>04-08-2020</v>
      </c>
      <c r="X1709" t="str">
        <f t="shared" si="704"/>
        <v>RAZIMAH ANSAR AHMAD</v>
      </c>
      <c r="Y1709" t="str">
        <f t="shared" si="705"/>
        <v>04-08-2020</v>
      </c>
      <c r="Z1709" t="str">
        <f>"COS10200804 7445"</f>
        <v>COS10200804 7445</v>
      </c>
    </row>
    <row r="1710" spans="1:26" x14ac:dyDescent="0.25">
      <c r="A1710" t="str">
        <f t="shared" si="708"/>
        <v>04-08-2020 01:07:32</v>
      </c>
      <c r="B1710" t="str">
        <f>"0000809244"</f>
        <v>0000809244</v>
      </c>
      <c r="C1710" t="str">
        <f t="shared" si="709"/>
        <v>0000809200</v>
      </c>
      <c r="D1710" t="str">
        <f t="shared" si="693"/>
        <v>73185</v>
      </c>
      <c r="E1710" t="str">
        <f t="shared" si="694"/>
        <v>KFH-OPERATIONS DEPARTMENT</v>
      </c>
      <c r="F1710" t="str">
        <f t="shared" si="695"/>
        <v>IBG</v>
      </c>
      <c r="G1710" t="str">
        <f t="shared" si="706"/>
        <v>Refund COSHARE 10</v>
      </c>
      <c r="H1710" s="2">
        <v>747.15</v>
      </c>
      <c r="I1710" t="str">
        <f>"SHEH BAHAUDIN BIN HARUN"</f>
        <v>SHEH BAHAUDIN BIN HARUN</v>
      </c>
      <c r="J1710" t="str">
        <f t="shared" si="707"/>
        <v>MAYBANK / MAYBANK ISLAMIC</v>
      </c>
      <c r="K1710" t="str">
        <f>"158248339566"</f>
        <v>158248339566</v>
      </c>
      <c r="L1710" t="str">
        <f t="shared" si="712"/>
        <v>04-08-2020</v>
      </c>
      <c r="M1710" t="str">
        <f t="shared" si="712"/>
        <v>04-08-2020</v>
      </c>
      <c r="N1710" t="str">
        <f t="shared" si="696"/>
        <v>001105018356</v>
      </c>
      <c r="O1710" t="str">
        <f t="shared" si="697"/>
        <v>MYR</v>
      </c>
      <c r="P1710" t="str">
        <f t="shared" si="713"/>
        <v>NIL</v>
      </c>
      <c r="Q1710" t="str">
        <f t="shared" si="713"/>
        <v>NIL</v>
      </c>
      <c r="R1710" t="str">
        <f t="shared" si="698"/>
        <v>Accepted</v>
      </c>
      <c r="S1710" t="str">
        <f t="shared" si="699"/>
        <v>Approved</v>
      </c>
      <c r="T1710" t="str">
        <f t="shared" si="700"/>
        <v>10.20.8.188</v>
      </c>
      <c r="U1710" t="str">
        <f t="shared" si="701"/>
        <v>AZRAD UMAR BIN SHAARI</v>
      </c>
      <c r="V1710" t="str">
        <f t="shared" si="702"/>
        <v>FARHANA BINTI MUSTAPA</v>
      </c>
      <c r="W1710" t="str">
        <f t="shared" si="703"/>
        <v>04-08-2020</v>
      </c>
      <c r="X1710" t="str">
        <f t="shared" si="704"/>
        <v>RAZIMAH ANSAR AHMAD</v>
      </c>
      <c r="Y1710" t="str">
        <f t="shared" si="705"/>
        <v>04-08-2020</v>
      </c>
      <c r="Z1710" t="str">
        <f>"COS10200804 7444"</f>
        <v>COS10200804 7444</v>
      </c>
    </row>
    <row r="1711" spans="1:26" x14ac:dyDescent="0.25">
      <c r="A1711" t="str">
        <f t="shared" si="708"/>
        <v>04-08-2020 01:07:32</v>
      </c>
      <c r="B1711" t="str">
        <f>"0000809243"</f>
        <v>0000809243</v>
      </c>
      <c r="C1711" t="str">
        <f t="shared" si="709"/>
        <v>0000809200</v>
      </c>
      <c r="D1711" t="str">
        <f t="shared" si="693"/>
        <v>73185</v>
      </c>
      <c r="E1711" t="str">
        <f t="shared" si="694"/>
        <v>KFH-OPERATIONS DEPARTMENT</v>
      </c>
      <c r="F1711" t="str">
        <f t="shared" si="695"/>
        <v>IBG</v>
      </c>
      <c r="G1711" t="str">
        <f t="shared" si="706"/>
        <v>Refund COSHARE 10</v>
      </c>
      <c r="H1711" s="2">
        <v>122</v>
      </c>
      <c r="I1711" t="str">
        <f>"SHAZLINA BINTI KHALID"</f>
        <v>SHAZLINA BINTI KHALID</v>
      </c>
      <c r="J1711" t="str">
        <f t="shared" si="707"/>
        <v>MAYBANK / MAYBANK ISLAMIC</v>
      </c>
      <c r="K1711" t="str">
        <f>"114375013394"</f>
        <v>114375013394</v>
      </c>
      <c r="L1711" t="str">
        <f t="shared" si="712"/>
        <v>04-08-2020</v>
      </c>
      <c r="M1711" t="str">
        <f t="shared" si="712"/>
        <v>04-08-2020</v>
      </c>
      <c r="N1711" t="str">
        <f t="shared" si="696"/>
        <v>001105018356</v>
      </c>
      <c r="O1711" t="str">
        <f t="shared" si="697"/>
        <v>MYR</v>
      </c>
      <c r="P1711" t="str">
        <f t="shared" si="713"/>
        <v>NIL</v>
      </c>
      <c r="Q1711" t="str">
        <f t="shared" si="713"/>
        <v>NIL</v>
      </c>
      <c r="R1711" t="str">
        <f t="shared" si="698"/>
        <v>Accepted</v>
      </c>
      <c r="S1711" t="str">
        <f t="shared" si="699"/>
        <v>Approved</v>
      </c>
      <c r="T1711" t="str">
        <f t="shared" si="700"/>
        <v>10.20.8.188</v>
      </c>
      <c r="U1711" t="str">
        <f t="shared" si="701"/>
        <v>AZRAD UMAR BIN SHAARI</v>
      </c>
      <c r="V1711" t="str">
        <f t="shared" si="702"/>
        <v>FARHANA BINTI MUSTAPA</v>
      </c>
      <c r="W1711" t="str">
        <f t="shared" si="703"/>
        <v>04-08-2020</v>
      </c>
      <c r="X1711" t="str">
        <f t="shared" si="704"/>
        <v>RAZIMAH ANSAR AHMAD</v>
      </c>
      <c r="Y1711" t="str">
        <f t="shared" si="705"/>
        <v>04-08-2020</v>
      </c>
      <c r="Z1711" t="str">
        <f>"COS10200804 7443"</f>
        <v>COS10200804 7443</v>
      </c>
    </row>
    <row r="1712" spans="1:26" x14ac:dyDescent="0.25">
      <c r="A1712" t="str">
        <f t="shared" si="708"/>
        <v>04-08-2020 01:07:32</v>
      </c>
      <c r="B1712" t="str">
        <f>"0000809242"</f>
        <v>0000809242</v>
      </c>
      <c r="C1712" t="str">
        <f t="shared" si="709"/>
        <v>0000809200</v>
      </c>
      <c r="D1712" t="str">
        <f t="shared" si="693"/>
        <v>73185</v>
      </c>
      <c r="E1712" t="str">
        <f t="shared" si="694"/>
        <v>KFH-OPERATIONS DEPARTMENT</v>
      </c>
      <c r="F1712" t="str">
        <f t="shared" si="695"/>
        <v>IBG</v>
      </c>
      <c r="G1712" t="str">
        <f t="shared" si="706"/>
        <v>Refund COSHARE 10</v>
      </c>
      <c r="H1712" s="2">
        <v>125.95</v>
      </c>
      <c r="I1712" t="str">
        <f>"SHAUDAH BINTI MA AD"</f>
        <v>SHAUDAH BINTI MA AD</v>
      </c>
      <c r="J1712" t="str">
        <f t="shared" si="707"/>
        <v>MAYBANK / MAYBANK ISLAMIC</v>
      </c>
      <c r="K1712" t="str">
        <f>"108113458924"</f>
        <v>108113458924</v>
      </c>
      <c r="L1712" t="str">
        <f t="shared" si="712"/>
        <v>04-08-2020</v>
      </c>
      <c r="M1712" t="str">
        <f t="shared" si="712"/>
        <v>04-08-2020</v>
      </c>
      <c r="N1712" t="str">
        <f t="shared" si="696"/>
        <v>001105018356</v>
      </c>
      <c r="O1712" t="str">
        <f t="shared" si="697"/>
        <v>MYR</v>
      </c>
      <c r="P1712" t="str">
        <f t="shared" si="713"/>
        <v>NIL</v>
      </c>
      <c r="Q1712" t="str">
        <f t="shared" si="713"/>
        <v>NIL</v>
      </c>
      <c r="R1712" t="str">
        <f t="shared" si="698"/>
        <v>Accepted</v>
      </c>
      <c r="S1712" t="str">
        <f t="shared" si="699"/>
        <v>Approved</v>
      </c>
      <c r="T1712" t="str">
        <f t="shared" si="700"/>
        <v>10.20.8.188</v>
      </c>
      <c r="U1712" t="str">
        <f t="shared" si="701"/>
        <v>AZRAD UMAR BIN SHAARI</v>
      </c>
      <c r="V1712" t="str">
        <f t="shared" si="702"/>
        <v>FARHANA BINTI MUSTAPA</v>
      </c>
      <c r="W1712" t="str">
        <f t="shared" si="703"/>
        <v>04-08-2020</v>
      </c>
      <c r="X1712" t="str">
        <f t="shared" si="704"/>
        <v>RAZIMAH ANSAR AHMAD</v>
      </c>
      <c r="Y1712" t="str">
        <f t="shared" si="705"/>
        <v>04-08-2020</v>
      </c>
      <c r="Z1712" t="str">
        <f>"COS10200804 7442"</f>
        <v>COS10200804 7442</v>
      </c>
    </row>
    <row r="1713" spans="1:26" x14ac:dyDescent="0.25">
      <c r="A1713" t="str">
        <f t="shared" si="708"/>
        <v>04-08-2020 01:07:32</v>
      </c>
      <c r="B1713" t="str">
        <f>"0000809241"</f>
        <v>0000809241</v>
      </c>
      <c r="C1713" t="str">
        <f t="shared" si="709"/>
        <v>0000809200</v>
      </c>
      <c r="D1713" t="str">
        <f t="shared" si="693"/>
        <v>73185</v>
      </c>
      <c r="E1713" t="str">
        <f t="shared" si="694"/>
        <v>KFH-OPERATIONS DEPARTMENT</v>
      </c>
      <c r="F1713" t="str">
        <f t="shared" si="695"/>
        <v>IBG</v>
      </c>
      <c r="G1713" t="str">
        <f t="shared" si="706"/>
        <v>Refund COSHARE 10</v>
      </c>
      <c r="H1713" s="2">
        <v>68</v>
      </c>
      <c r="I1713" t="str">
        <f>"SHARUL RIZAL BIN OTHMAN"</f>
        <v>SHARUL RIZAL BIN OTHMAN</v>
      </c>
      <c r="J1713" t="str">
        <f t="shared" si="707"/>
        <v>MAYBANK / MAYBANK ISLAMIC</v>
      </c>
      <c r="K1713" t="str">
        <f>"164557205774"</f>
        <v>164557205774</v>
      </c>
      <c r="L1713" t="str">
        <f t="shared" si="712"/>
        <v>04-08-2020</v>
      </c>
      <c r="M1713" t="str">
        <f t="shared" si="712"/>
        <v>04-08-2020</v>
      </c>
      <c r="N1713" t="str">
        <f t="shared" si="696"/>
        <v>001105018356</v>
      </c>
      <c r="O1713" t="str">
        <f t="shared" si="697"/>
        <v>MYR</v>
      </c>
      <c r="P1713" t="str">
        <f t="shared" si="713"/>
        <v>NIL</v>
      </c>
      <c r="Q1713" t="str">
        <f t="shared" si="713"/>
        <v>NIL</v>
      </c>
      <c r="R1713" t="str">
        <f t="shared" si="698"/>
        <v>Accepted</v>
      </c>
      <c r="S1713" t="str">
        <f t="shared" si="699"/>
        <v>Approved</v>
      </c>
      <c r="T1713" t="str">
        <f t="shared" si="700"/>
        <v>10.20.8.188</v>
      </c>
      <c r="U1713" t="str">
        <f t="shared" si="701"/>
        <v>AZRAD UMAR BIN SHAARI</v>
      </c>
      <c r="V1713" t="str">
        <f t="shared" si="702"/>
        <v>FARHANA BINTI MUSTAPA</v>
      </c>
      <c r="W1713" t="str">
        <f t="shared" si="703"/>
        <v>04-08-2020</v>
      </c>
      <c r="X1713" t="str">
        <f t="shared" si="704"/>
        <v>RAZIMAH ANSAR AHMAD</v>
      </c>
      <c r="Y1713" t="str">
        <f t="shared" si="705"/>
        <v>04-08-2020</v>
      </c>
      <c r="Z1713" t="str">
        <f>"COS10200804 7441"</f>
        <v>COS10200804 7441</v>
      </c>
    </row>
    <row r="1714" spans="1:26" x14ac:dyDescent="0.25">
      <c r="A1714" t="str">
        <f t="shared" ref="A1714:A1745" si="714">"04-08-2020 01:07:32"</f>
        <v>04-08-2020 01:07:32</v>
      </c>
      <c r="B1714" t="str">
        <f>"0000809240"</f>
        <v>0000809240</v>
      </c>
      <c r="C1714" t="str">
        <f t="shared" ref="C1714:C1745" si="715">"0000809200"</f>
        <v>0000809200</v>
      </c>
      <c r="D1714" t="str">
        <f t="shared" si="693"/>
        <v>73185</v>
      </c>
      <c r="E1714" t="str">
        <f t="shared" si="694"/>
        <v>KFH-OPERATIONS DEPARTMENT</v>
      </c>
      <c r="F1714" t="str">
        <f t="shared" si="695"/>
        <v>IBG</v>
      </c>
      <c r="G1714" t="str">
        <f t="shared" si="706"/>
        <v>Refund COSHARE 10</v>
      </c>
      <c r="H1714" s="2">
        <v>710</v>
      </c>
      <c r="I1714" t="str">
        <f>"SHARUL LALLI BIN MASDUKI"</f>
        <v>SHARUL LALLI BIN MASDUKI</v>
      </c>
      <c r="J1714" t="str">
        <f t="shared" si="707"/>
        <v>MAYBANK / MAYBANK ISLAMIC</v>
      </c>
      <c r="K1714" t="str">
        <f>"106119013517"</f>
        <v>106119013517</v>
      </c>
      <c r="L1714" t="str">
        <f t="shared" si="712"/>
        <v>04-08-2020</v>
      </c>
      <c r="M1714" t="str">
        <f t="shared" si="712"/>
        <v>04-08-2020</v>
      </c>
      <c r="N1714" t="str">
        <f t="shared" si="696"/>
        <v>001105018356</v>
      </c>
      <c r="O1714" t="str">
        <f t="shared" si="697"/>
        <v>MYR</v>
      </c>
      <c r="P1714" t="str">
        <f t="shared" si="713"/>
        <v>NIL</v>
      </c>
      <c r="Q1714" t="str">
        <f t="shared" si="713"/>
        <v>NIL</v>
      </c>
      <c r="R1714" t="str">
        <f t="shared" si="698"/>
        <v>Accepted</v>
      </c>
      <c r="S1714" t="str">
        <f t="shared" si="699"/>
        <v>Approved</v>
      </c>
      <c r="T1714" t="str">
        <f t="shared" si="700"/>
        <v>10.20.8.188</v>
      </c>
      <c r="U1714" t="str">
        <f t="shared" si="701"/>
        <v>AZRAD UMAR BIN SHAARI</v>
      </c>
      <c r="V1714" t="str">
        <f t="shared" si="702"/>
        <v>FARHANA BINTI MUSTAPA</v>
      </c>
      <c r="W1714" t="str">
        <f t="shared" si="703"/>
        <v>04-08-2020</v>
      </c>
      <c r="X1714" t="str">
        <f t="shared" si="704"/>
        <v>RAZIMAH ANSAR AHMAD</v>
      </c>
      <c r="Y1714" t="str">
        <f t="shared" si="705"/>
        <v>04-08-2020</v>
      </c>
      <c r="Z1714" t="str">
        <f>"COS10200804 7440"</f>
        <v>COS10200804 7440</v>
      </c>
    </row>
    <row r="1715" spans="1:26" x14ac:dyDescent="0.25">
      <c r="A1715" t="str">
        <f t="shared" si="714"/>
        <v>04-08-2020 01:07:32</v>
      </c>
      <c r="B1715" t="str">
        <f>"0000809239"</f>
        <v>0000809239</v>
      </c>
      <c r="C1715" t="str">
        <f t="shared" si="715"/>
        <v>0000809200</v>
      </c>
      <c r="D1715" t="str">
        <f t="shared" si="693"/>
        <v>73185</v>
      </c>
      <c r="E1715" t="str">
        <f t="shared" si="694"/>
        <v>KFH-OPERATIONS DEPARTMENT</v>
      </c>
      <c r="F1715" t="str">
        <f t="shared" si="695"/>
        <v>IBG</v>
      </c>
      <c r="G1715" t="str">
        <f t="shared" si="706"/>
        <v>Refund COSHARE 10</v>
      </c>
      <c r="H1715" s="2">
        <v>1040</v>
      </c>
      <c r="I1715" t="str">
        <f>"SHARMILA BINTI TAWAKKAL"</f>
        <v>SHARMILA BINTI TAWAKKAL</v>
      </c>
      <c r="J1715" t="str">
        <f t="shared" si="707"/>
        <v>MAYBANK / MAYBANK ISLAMIC</v>
      </c>
      <c r="K1715" t="str">
        <f>"160072524704"</f>
        <v>160072524704</v>
      </c>
      <c r="L1715" t="str">
        <f t="shared" si="712"/>
        <v>04-08-2020</v>
      </c>
      <c r="M1715" t="str">
        <f t="shared" si="712"/>
        <v>04-08-2020</v>
      </c>
      <c r="N1715" t="str">
        <f t="shared" si="696"/>
        <v>001105018356</v>
      </c>
      <c r="O1715" t="str">
        <f t="shared" si="697"/>
        <v>MYR</v>
      </c>
      <c r="P1715" t="str">
        <f t="shared" si="713"/>
        <v>NIL</v>
      </c>
      <c r="Q1715" t="str">
        <f t="shared" si="713"/>
        <v>NIL</v>
      </c>
      <c r="R1715" t="str">
        <f t="shared" si="698"/>
        <v>Accepted</v>
      </c>
      <c r="S1715" t="str">
        <f t="shared" si="699"/>
        <v>Approved</v>
      </c>
      <c r="T1715" t="str">
        <f t="shared" si="700"/>
        <v>10.20.8.188</v>
      </c>
      <c r="U1715" t="str">
        <f t="shared" si="701"/>
        <v>AZRAD UMAR BIN SHAARI</v>
      </c>
      <c r="V1715" t="str">
        <f t="shared" si="702"/>
        <v>FARHANA BINTI MUSTAPA</v>
      </c>
      <c r="W1715" t="str">
        <f t="shared" si="703"/>
        <v>04-08-2020</v>
      </c>
      <c r="X1715" t="str">
        <f t="shared" si="704"/>
        <v>RAZIMAH ANSAR AHMAD</v>
      </c>
      <c r="Y1715" t="str">
        <f t="shared" si="705"/>
        <v>04-08-2020</v>
      </c>
      <c r="Z1715" t="str">
        <f>"COS10200804 7439"</f>
        <v>COS10200804 7439</v>
      </c>
    </row>
    <row r="1716" spans="1:26" x14ac:dyDescent="0.25">
      <c r="A1716" t="str">
        <f t="shared" si="714"/>
        <v>04-08-2020 01:07:32</v>
      </c>
      <c r="B1716" t="str">
        <f>"0000809238"</f>
        <v>0000809238</v>
      </c>
      <c r="C1716" t="str">
        <f t="shared" si="715"/>
        <v>0000809200</v>
      </c>
      <c r="D1716" t="str">
        <f t="shared" si="693"/>
        <v>73185</v>
      </c>
      <c r="E1716" t="str">
        <f t="shared" si="694"/>
        <v>KFH-OPERATIONS DEPARTMENT</v>
      </c>
      <c r="F1716" t="str">
        <f t="shared" si="695"/>
        <v>IBG</v>
      </c>
      <c r="G1716" t="str">
        <f t="shared" si="706"/>
        <v>Refund COSHARE 10</v>
      </c>
      <c r="H1716" s="2">
        <v>152</v>
      </c>
      <c r="I1716" t="str">
        <f>"SHARIZAN BINTI SAMSUDIN"</f>
        <v>SHARIZAN BINTI SAMSUDIN</v>
      </c>
      <c r="J1716" t="str">
        <f t="shared" si="707"/>
        <v>MAYBANK / MAYBANK ISLAMIC</v>
      </c>
      <c r="K1716" t="str">
        <f>"158088173758"</f>
        <v>158088173758</v>
      </c>
      <c r="L1716" t="str">
        <f t="shared" si="712"/>
        <v>04-08-2020</v>
      </c>
      <c r="M1716" t="str">
        <f t="shared" si="712"/>
        <v>04-08-2020</v>
      </c>
      <c r="N1716" t="str">
        <f t="shared" si="696"/>
        <v>001105018356</v>
      </c>
      <c r="O1716" t="str">
        <f t="shared" si="697"/>
        <v>MYR</v>
      </c>
      <c r="P1716" t="str">
        <f t="shared" si="713"/>
        <v>NIL</v>
      </c>
      <c r="Q1716" t="str">
        <f t="shared" si="713"/>
        <v>NIL</v>
      </c>
      <c r="R1716" t="str">
        <f t="shared" si="698"/>
        <v>Accepted</v>
      </c>
      <c r="S1716" t="str">
        <f t="shared" si="699"/>
        <v>Approved</v>
      </c>
      <c r="T1716" t="str">
        <f t="shared" si="700"/>
        <v>10.20.8.188</v>
      </c>
      <c r="U1716" t="str">
        <f t="shared" si="701"/>
        <v>AZRAD UMAR BIN SHAARI</v>
      </c>
      <c r="V1716" t="str">
        <f t="shared" si="702"/>
        <v>FARHANA BINTI MUSTAPA</v>
      </c>
      <c r="W1716" t="str">
        <f t="shared" si="703"/>
        <v>04-08-2020</v>
      </c>
      <c r="X1716" t="str">
        <f t="shared" si="704"/>
        <v>RAZIMAH ANSAR AHMAD</v>
      </c>
      <c r="Y1716" t="str">
        <f t="shared" si="705"/>
        <v>04-08-2020</v>
      </c>
      <c r="Z1716" t="str">
        <f>"COS10200804 7438"</f>
        <v>COS10200804 7438</v>
      </c>
    </row>
    <row r="1717" spans="1:26" x14ac:dyDescent="0.25">
      <c r="A1717" t="str">
        <f t="shared" si="714"/>
        <v>04-08-2020 01:07:32</v>
      </c>
      <c r="B1717" t="str">
        <f>"0000809237"</f>
        <v>0000809237</v>
      </c>
      <c r="C1717" t="str">
        <f t="shared" si="715"/>
        <v>0000809200</v>
      </c>
      <c r="D1717" t="str">
        <f t="shared" si="693"/>
        <v>73185</v>
      </c>
      <c r="E1717" t="str">
        <f t="shared" si="694"/>
        <v>KFH-OPERATIONS DEPARTMENT</v>
      </c>
      <c r="F1717" t="str">
        <f t="shared" si="695"/>
        <v>IBG</v>
      </c>
      <c r="G1717" t="str">
        <f t="shared" si="706"/>
        <v>Refund COSHARE 10</v>
      </c>
      <c r="H1717" s="2">
        <v>873.1</v>
      </c>
      <c r="I1717" t="str">
        <f>"SHARIZAL BIN CHE SAAD"</f>
        <v>SHARIZAL BIN CHE SAAD</v>
      </c>
      <c r="J1717" t="str">
        <f t="shared" si="707"/>
        <v>MAYBANK / MAYBANK ISLAMIC</v>
      </c>
      <c r="K1717" t="str">
        <f>"152107980397"</f>
        <v>152107980397</v>
      </c>
      <c r="L1717" t="str">
        <f t="shared" si="712"/>
        <v>04-08-2020</v>
      </c>
      <c r="M1717" t="str">
        <f t="shared" si="712"/>
        <v>04-08-2020</v>
      </c>
      <c r="N1717" t="str">
        <f t="shared" si="696"/>
        <v>001105018356</v>
      </c>
      <c r="O1717" t="str">
        <f t="shared" si="697"/>
        <v>MYR</v>
      </c>
      <c r="P1717" t="str">
        <f t="shared" si="713"/>
        <v>NIL</v>
      </c>
      <c r="Q1717" t="str">
        <f t="shared" si="713"/>
        <v>NIL</v>
      </c>
      <c r="R1717" t="str">
        <f t="shared" si="698"/>
        <v>Accepted</v>
      </c>
      <c r="S1717" t="str">
        <f t="shared" si="699"/>
        <v>Approved</v>
      </c>
      <c r="T1717" t="str">
        <f t="shared" si="700"/>
        <v>10.20.8.188</v>
      </c>
      <c r="U1717" t="str">
        <f t="shared" si="701"/>
        <v>AZRAD UMAR BIN SHAARI</v>
      </c>
      <c r="V1717" t="str">
        <f t="shared" si="702"/>
        <v>FARHANA BINTI MUSTAPA</v>
      </c>
      <c r="W1717" t="str">
        <f t="shared" si="703"/>
        <v>04-08-2020</v>
      </c>
      <c r="X1717" t="str">
        <f t="shared" si="704"/>
        <v>RAZIMAH ANSAR AHMAD</v>
      </c>
      <c r="Y1717" t="str">
        <f t="shared" si="705"/>
        <v>04-08-2020</v>
      </c>
      <c r="Z1717" t="str">
        <f>"COS10200804 7437"</f>
        <v>COS10200804 7437</v>
      </c>
    </row>
    <row r="1718" spans="1:26" x14ac:dyDescent="0.25">
      <c r="A1718" t="str">
        <f t="shared" si="714"/>
        <v>04-08-2020 01:07:32</v>
      </c>
      <c r="B1718" t="str">
        <f>"0000809236"</f>
        <v>0000809236</v>
      </c>
      <c r="C1718" t="str">
        <f t="shared" si="715"/>
        <v>0000809200</v>
      </c>
      <c r="D1718" t="str">
        <f t="shared" si="693"/>
        <v>73185</v>
      </c>
      <c r="E1718" t="str">
        <f t="shared" si="694"/>
        <v>KFH-OPERATIONS DEPARTMENT</v>
      </c>
      <c r="F1718" t="str">
        <f t="shared" si="695"/>
        <v>IBG</v>
      </c>
      <c r="G1718" t="str">
        <f t="shared" si="706"/>
        <v>Refund COSHARE 10</v>
      </c>
      <c r="H1718" s="2">
        <v>83.95</v>
      </c>
      <c r="I1718" t="str">
        <f>"SHARIZA BINTI AN"</f>
        <v>SHARIZA BINTI AN</v>
      </c>
      <c r="J1718" t="str">
        <f t="shared" si="707"/>
        <v>MAYBANK / MAYBANK ISLAMIC</v>
      </c>
      <c r="K1718" t="str">
        <f>"162375681450"</f>
        <v>162375681450</v>
      </c>
      <c r="L1718" t="str">
        <f t="shared" si="712"/>
        <v>04-08-2020</v>
      </c>
      <c r="M1718" t="str">
        <f t="shared" si="712"/>
        <v>04-08-2020</v>
      </c>
      <c r="N1718" t="str">
        <f t="shared" si="696"/>
        <v>001105018356</v>
      </c>
      <c r="O1718" t="str">
        <f t="shared" si="697"/>
        <v>MYR</v>
      </c>
      <c r="P1718" t="str">
        <f t="shared" si="713"/>
        <v>NIL</v>
      </c>
      <c r="Q1718" t="str">
        <f t="shared" si="713"/>
        <v>NIL</v>
      </c>
      <c r="R1718" t="str">
        <f t="shared" si="698"/>
        <v>Accepted</v>
      </c>
      <c r="S1718" t="str">
        <f t="shared" si="699"/>
        <v>Approved</v>
      </c>
      <c r="T1718" t="str">
        <f t="shared" si="700"/>
        <v>10.20.8.188</v>
      </c>
      <c r="U1718" t="str">
        <f t="shared" si="701"/>
        <v>AZRAD UMAR BIN SHAARI</v>
      </c>
      <c r="V1718" t="str">
        <f t="shared" si="702"/>
        <v>FARHANA BINTI MUSTAPA</v>
      </c>
      <c r="W1718" t="str">
        <f t="shared" si="703"/>
        <v>04-08-2020</v>
      </c>
      <c r="X1718" t="str">
        <f t="shared" si="704"/>
        <v>RAZIMAH ANSAR AHMAD</v>
      </c>
      <c r="Y1718" t="str">
        <f t="shared" si="705"/>
        <v>04-08-2020</v>
      </c>
      <c r="Z1718" t="str">
        <f>"COS10200804 7436"</f>
        <v>COS10200804 7436</v>
      </c>
    </row>
    <row r="1719" spans="1:26" x14ac:dyDescent="0.25">
      <c r="A1719" t="str">
        <f t="shared" si="714"/>
        <v>04-08-2020 01:07:32</v>
      </c>
      <c r="B1719" t="str">
        <f>"0000809235"</f>
        <v>0000809235</v>
      </c>
      <c r="C1719" t="str">
        <f t="shared" si="715"/>
        <v>0000809200</v>
      </c>
      <c r="D1719" t="str">
        <f t="shared" si="693"/>
        <v>73185</v>
      </c>
      <c r="E1719" t="str">
        <f t="shared" si="694"/>
        <v>KFH-OPERATIONS DEPARTMENT</v>
      </c>
      <c r="F1719" t="str">
        <f t="shared" si="695"/>
        <v>IBG</v>
      </c>
      <c r="G1719" t="str">
        <f t="shared" si="706"/>
        <v>Refund COSHARE 10</v>
      </c>
      <c r="H1719" s="2">
        <v>281</v>
      </c>
      <c r="I1719" t="str">
        <f>"SHARINA BINTI HASHIM"</f>
        <v>SHARINA BINTI HASHIM</v>
      </c>
      <c r="J1719" t="str">
        <f t="shared" si="707"/>
        <v>MAYBANK / MAYBANK ISLAMIC</v>
      </c>
      <c r="K1719" t="str">
        <f>"106089308976"</f>
        <v>106089308976</v>
      </c>
      <c r="L1719" t="str">
        <f t="shared" si="712"/>
        <v>04-08-2020</v>
      </c>
      <c r="M1719" t="str">
        <f t="shared" si="712"/>
        <v>04-08-2020</v>
      </c>
      <c r="N1719" t="str">
        <f t="shared" si="696"/>
        <v>001105018356</v>
      </c>
      <c r="O1719" t="str">
        <f t="shared" si="697"/>
        <v>MYR</v>
      </c>
      <c r="P1719" t="str">
        <f t="shared" si="713"/>
        <v>NIL</v>
      </c>
      <c r="Q1719" t="str">
        <f t="shared" si="713"/>
        <v>NIL</v>
      </c>
      <c r="R1719" t="str">
        <f t="shared" si="698"/>
        <v>Accepted</v>
      </c>
      <c r="S1719" t="str">
        <f t="shared" si="699"/>
        <v>Approved</v>
      </c>
      <c r="T1719" t="str">
        <f t="shared" si="700"/>
        <v>10.20.8.188</v>
      </c>
      <c r="U1719" t="str">
        <f t="shared" si="701"/>
        <v>AZRAD UMAR BIN SHAARI</v>
      </c>
      <c r="V1719" t="str">
        <f t="shared" si="702"/>
        <v>FARHANA BINTI MUSTAPA</v>
      </c>
      <c r="W1719" t="str">
        <f t="shared" si="703"/>
        <v>04-08-2020</v>
      </c>
      <c r="X1719" t="str">
        <f t="shared" si="704"/>
        <v>RAZIMAH ANSAR AHMAD</v>
      </c>
      <c r="Y1719" t="str">
        <f t="shared" si="705"/>
        <v>04-08-2020</v>
      </c>
      <c r="Z1719" t="str">
        <f>"COS10200804 7435"</f>
        <v>COS10200804 7435</v>
      </c>
    </row>
    <row r="1720" spans="1:26" x14ac:dyDescent="0.25">
      <c r="A1720" t="str">
        <f t="shared" si="714"/>
        <v>04-08-2020 01:07:32</v>
      </c>
      <c r="B1720" t="str">
        <f>"0000809234"</f>
        <v>0000809234</v>
      </c>
      <c r="C1720" t="str">
        <f t="shared" si="715"/>
        <v>0000809200</v>
      </c>
      <c r="D1720" t="str">
        <f t="shared" si="693"/>
        <v>73185</v>
      </c>
      <c r="E1720" t="str">
        <f t="shared" si="694"/>
        <v>KFH-OPERATIONS DEPARTMENT</v>
      </c>
      <c r="F1720" t="str">
        <f t="shared" si="695"/>
        <v>IBG</v>
      </c>
      <c r="G1720" t="str">
        <f t="shared" si="706"/>
        <v>Refund COSHARE 10</v>
      </c>
      <c r="H1720" s="2">
        <v>67.2</v>
      </c>
      <c r="I1720" t="str">
        <f>"SHARIFUDDIN BIN SULAIMAN"</f>
        <v>SHARIFUDDIN BIN SULAIMAN</v>
      </c>
      <c r="J1720" t="str">
        <f t="shared" si="707"/>
        <v>MAYBANK / MAYBANK ISLAMIC</v>
      </c>
      <c r="K1720" t="str">
        <f>"112205054650"</f>
        <v>112205054650</v>
      </c>
      <c r="L1720" t="str">
        <f t="shared" si="712"/>
        <v>04-08-2020</v>
      </c>
      <c r="M1720" t="str">
        <f t="shared" si="712"/>
        <v>04-08-2020</v>
      </c>
      <c r="N1720" t="str">
        <f t="shared" si="696"/>
        <v>001105018356</v>
      </c>
      <c r="O1720" t="str">
        <f t="shared" si="697"/>
        <v>MYR</v>
      </c>
      <c r="P1720" t="str">
        <f t="shared" si="713"/>
        <v>NIL</v>
      </c>
      <c r="Q1720" t="str">
        <f t="shared" si="713"/>
        <v>NIL</v>
      </c>
      <c r="R1720" t="str">
        <f t="shared" si="698"/>
        <v>Accepted</v>
      </c>
      <c r="S1720" t="str">
        <f t="shared" si="699"/>
        <v>Approved</v>
      </c>
      <c r="T1720" t="str">
        <f t="shared" si="700"/>
        <v>10.20.8.188</v>
      </c>
      <c r="U1720" t="str">
        <f t="shared" si="701"/>
        <v>AZRAD UMAR BIN SHAARI</v>
      </c>
      <c r="V1720" t="str">
        <f t="shared" si="702"/>
        <v>FARHANA BINTI MUSTAPA</v>
      </c>
      <c r="W1720" t="str">
        <f t="shared" si="703"/>
        <v>04-08-2020</v>
      </c>
      <c r="X1720" t="str">
        <f t="shared" si="704"/>
        <v>RAZIMAH ANSAR AHMAD</v>
      </c>
      <c r="Y1720" t="str">
        <f t="shared" si="705"/>
        <v>04-08-2020</v>
      </c>
      <c r="Z1720" t="str">
        <f>"COS10200804 7434"</f>
        <v>COS10200804 7434</v>
      </c>
    </row>
    <row r="1721" spans="1:26" x14ac:dyDescent="0.25">
      <c r="A1721" t="str">
        <f t="shared" si="714"/>
        <v>04-08-2020 01:07:32</v>
      </c>
      <c r="B1721" t="str">
        <f>"0000809233"</f>
        <v>0000809233</v>
      </c>
      <c r="C1721" t="str">
        <f t="shared" si="715"/>
        <v>0000809200</v>
      </c>
      <c r="D1721" t="str">
        <f t="shared" si="693"/>
        <v>73185</v>
      </c>
      <c r="E1721" t="str">
        <f t="shared" si="694"/>
        <v>KFH-OPERATIONS DEPARTMENT</v>
      </c>
      <c r="F1721" t="str">
        <f t="shared" si="695"/>
        <v>IBG</v>
      </c>
      <c r="G1721" t="str">
        <f t="shared" si="706"/>
        <v>Refund COSHARE 10</v>
      </c>
      <c r="H1721" s="2">
        <v>587.65</v>
      </c>
      <c r="I1721" t="str">
        <f>"SHARIFFUDIN BIN KADAM  ZAINUDIN"</f>
        <v>SHARIFFUDIN BIN KADAM  ZAINUDIN</v>
      </c>
      <c r="J1721" t="str">
        <f t="shared" si="707"/>
        <v>MAYBANK / MAYBANK ISLAMIC</v>
      </c>
      <c r="K1721" t="str">
        <f>"162375727316"</f>
        <v>162375727316</v>
      </c>
      <c r="L1721" t="str">
        <f t="shared" si="712"/>
        <v>04-08-2020</v>
      </c>
      <c r="M1721" t="str">
        <f t="shared" si="712"/>
        <v>04-08-2020</v>
      </c>
      <c r="N1721" t="str">
        <f t="shared" si="696"/>
        <v>001105018356</v>
      </c>
      <c r="O1721" t="str">
        <f t="shared" si="697"/>
        <v>MYR</v>
      </c>
      <c r="P1721" t="str">
        <f t="shared" si="713"/>
        <v>NIL</v>
      </c>
      <c r="Q1721" t="str">
        <f t="shared" si="713"/>
        <v>NIL</v>
      </c>
      <c r="R1721" t="str">
        <f t="shared" si="698"/>
        <v>Accepted</v>
      </c>
      <c r="S1721" t="str">
        <f t="shared" si="699"/>
        <v>Approved</v>
      </c>
      <c r="T1721" t="str">
        <f t="shared" si="700"/>
        <v>10.20.8.188</v>
      </c>
      <c r="U1721" t="str">
        <f t="shared" si="701"/>
        <v>AZRAD UMAR BIN SHAARI</v>
      </c>
      <c r="V1721" t="str">
        <f t="shared" si="702"/>
        <v>FARHANA BINTI MUSTAPA</v>
      </c>
      <c r="W1721" t="str">
        <f t="shared" si="703"/>
        <v>04-08-2020</v>
      </c>
      <c r="X1721" t="str">
        <f t="shared" si="704"/>
        <v>RAZIMAH ANSAR AHMAD</v>
      </c>
      <c r="Y1721" t="str">
        <f t="shared" si="705"/>
        <v>04-08-2020</v>
      </c>
      <c r="Z1721" t="str">
        <f>"COS10200804 7433"</f>
        <v>COS10200804 7433</v>
      </c>
    </row>
    <row r="1722" spans="1:26" x14ac:dyDescent="0.25">
      <c r="A1722" t="str">
        <f t="shared" si="714"/>
        <v>04-08-2020 01:07:32</v>
      </c>
      <c r="B1722" t="str">
        <f>"0000809232"</f>
        <v>0000809232</v>
      </c>
      <c r="C1722" t="str">
        <f t="shared" si="715"/>
        <v>0000809200</v>
      </c>
      <c r="D1722" t="str">
        <f t="shared" si="693"/>
        <v>73185</v>
      </c>
      <c r="E1722" t="str">
        <f t="shared" si="694"/>
        <v>KFH-OPERATIONS DEPARTMENT</v>
      </c>
      <c r="F1722" t="str">
        <f t="shared" si="695"/>
        <v>IBG</v>
      </c>
      <c r="G1722" t="str">
        <f t="shared" si="706"/>
        <v>Refund COSHARE 10</v>
      </c>
      <c r="H1722" s="2">
        <v>1094.75</v>
      </c>
      <c r="I1722" t="str">
        <f>"SHARIFAH NOORAINEI BINTI SAID AHMAD"</f>
        <v>SHARIFAH NOORAINEI BINTI SAID AHMAD</v>
      </c>
      <c r="J1722" t="str">
        <f t="shared" si="707"/>
        <v>MAYBANK / MAYBANK ISLAMIC</v>
      </c>
      <c r="K1722" t="str">
        <f>"164762139823"</f>
        <v>164762139823</v>
      </c>
      <c r="L1722" t="str">
        <f t="shared" si="712"/>
        <v>04-08-2020</v>
      </c>
      <c r="M1722" t="str">
        <f t="shared" si="712"/>
        <v>04-08-2020</v>
      </c>
      <c r="N1722" t="str">
        <f t="shared" si="696"/>
        <v>001105018356</v>
      </c>
      <c r="O1722" t="str">
        <f t="shared" si="697"/>
        <v>MYR</v>
      </c>
      <c r="P1722" t="str">
        <f t="shared" si="713"/>
        <v>NIL</v>
      </c>
      <c r="Q1722" t="str">
        <f t="shared" si="713"/>
        <v>NIL</v>
      </c>
      <c r="R1722" t="str">
        <f t="shared" si="698"/>
        <v>Accepted</v>
      </c>
      <c r="S1722" t="str">
        <f t="shared" si="699"/>
        <v>Approved</v>
      </c>
      <c r="T1722" t="str">
        <f t="shared" si="700"/>
        <v>10.20.8.188</v>
      </c>
      <c r="U1722" t="str">
        <f t="shared" si="701"/>
        <v>AZRAD UMAR BIN SHAARI</v>
      </c>
      <c r="V1722" t="str">
        <f t="shared" si="702"/>
        <v>FARHANA BINTI MUSTAPA</v>
      </c>
      <c r="W1722" t="str">
        <f t="shared" si="703"/>
        <v>04-08-2020</v>
      </c>
      <c r="X1722" t="str">
        <f t="shared" si="704"/>
        <v>RAZIMAH ANSAR AHMAD</v>
      </c>
      <c r="Y1722" t="str">
        <f t="shared" si="705"/>
        <v>04-08-2020</v>
      </c>
      <c r="Z1722" t="str">
        <f>"COS10200804 7432"</f>
        <v>COS10200804 7432</v>
      </c>
    </row>
    <row r="1723" spans="1:26" x14ac:dyDescent="0.25">
      <c r="A1723" t="str">
        <f t="shared" si="714"/>
        <v>04-08-2020 01:07:32</v>
      </c>
      <c r="B1723" t="str">
        <f>"0000809231"</f>
        <v>0000809231</v>
      </c>
      <c r="C1723" t="str">
        <f t="shared" si="715"/>
        <v>0000809200</v>
      </c>
      <c r="D1723" t="str">
        <f t="shared" si="693"/>
        <v>73185</v>
      </c>
      <c r="E1723" t="str">
        <f t="shared" si="694"/>
        <v>KFH-OPERATIONS DEPARTMENT</v>
      </c>
      <c r="F1723" t="str">
        <f t="shared" si="695"/>
        <v>IBG</v>
      </c>
      <c r="G1723" t="str">
        <f t="shared" si="706"/>
        <v>Refund COSHARE 10</v>
      </c>
      <c r="H1723" s="2">
        <v>641</v>
      </c>
      <c r="I1723" t="str">
        <f>"SHARIFAH MASLINA BT SYED MOHAMED NUR"</f>
        <v>SHARIFAH MASLINA BT SYED MOHAMED NUR</v>
      </c>
      <c r="J1723" t="str">
        <f t="shared" si="707"/>
        <v>MAYBANK / MAYBANK ISLAMIC</v>
      </c>
      <c r="K1723" t="str">
        <f>"101178152443"</f>
        <v>101178152443</v>
      </c>
      <c r="L1723" t="str">
        <f t="shared" si="712"/>
        <v>04-08-2020</v>
      </c>
      <c r="M1723" t="str">
        <f t="shared" si="712"/>
        <v>04-08-2020</v>
      </c>
      <c r="N1723" t="str">
        <f t="shared" si="696"/>
        <v>001105018356</v>
      </c>
      <c r="O1723" t="str">
        <f t="shared" si="697"/>
        <v>MYR</v>
      </c>
      <c r="P1723" t="str">
        <f t="shared" si="713"/>
        <v>NIL</v>
      </c>
      <c r="Q1723" t="str">
        <f t="shared" si="713"/>
        <v>NIL</v>
      </c>
      <c r="R1723" t="str">
        <f t="shared" si="698"/>
        <v>Accepted</v>
      </c>
      <c r="S1723" t="str">
        <f t="shared" si="699"/>
        <v>Approved</v>
      </c>
      <c r="T1723" t="str">
        <f t="shared" si="700"/>
        <v>10.20.8.188</v>
      </c>
      <c r="U1723" t="str">
        <f t="shared" si="701"/>
        <v>AZRAD UMAR BIN SHAARI</v>
      </c>
      <c r="V1723" t="str">
        <f t="shared" si="702"/>
        <v>FARHANA BINTI MUSTAPA</v>
      </c>
      <c r="W1723" t="str">
        <f t="shared" si="703"/>
        <v>04-08-2020</v>
      </c>
      <c r="X1723" t="str">
        <f t="shared" si="704"/>
        <v>RAZIMAH ANSAR AHMAD</v>
      </c>
      <c r="Y1723" t="str">
        <f t="shared" si="705"/>
        <v>04-08-2020</v>
      </c>
      <c r="Z1723" t="str">
        <f>"COS10200804 7431"</f>
        <v>COS10200804 7431</v>
      </c>
    </row>
    <row r="1724" spans="1:26" x14ac:dyDescent="0.25">
      <c r="A1724" t="str">
        <f t="shared" si="714"/>
        <v>04-08-2020 01:07:32</v>
      </c>
      <c r="B1724" t="str">
        <f>"0000809230"</f>
        <v>0000809230</v>
      </c>
      <c r="C1724" t="str">
        <f t="shared" si="715"/>
        <v>0000809200</v>
      </c>
      <c r="D1724" t="str">
        <f t="shared" si="693"/>
        <v>73185</v>
      </c>
      <c r="E1724" t="str">
        <f t="shared" si="694"/>
        <v>KFH-OPERATIONS DEPARTMENT</v>
      </c>
      <c r="F1724" t="str">
        <f t="shared" si="695"/>
        <v>IBG</v>
      </c>
      <c r="G1724" t="str">
        <f t="shared" si="706"/>
        <v>Refund COSHARE 10</v>
      </c>
      <c r="H1724" s="2">
        <v>789.15</v>
      </c>
      <c r="I1724" t="str">
        <f>"SHARIFAH KHAIRUN NASHIRA"</f>
        <v>SHARIFAH KHAIRUN NASHIRA</v>
      </c>
      <c r="J1724" t="str">
        <f t="shared" si="707"/>
        <v>MAYBANK / MAYBANK ISLAMIC</v>
      </c>
      <c r="K1724" t="str">
        <f>"164557154365"</f>
        <v>164557154365</v>
      </c>
      <c r="L1724" t="str">
        <f t="shared" si="712"/>
        <v>04-08-2020</v>
      </c>
      <c r="M1724" t="str">
        <f t="shared" si="712"/>
        <v>04-08-2020</v>
      </c>
      <c r="N1724" t="str">
        <f t="shared" si="696"/>
        <v>001105018356</v>
      </c>
      <c r="O1724" t="str">
        <f t="shared" si="697"/>
        <v>MYR</v>
      </c>
      <c r="P1724" t="str">
        <f t="shared" si="713"/>
        <v>NIL</v>
      </c>
      <c r="Q1724" t="str">
        <f t="shared" si="713"/>
        <v>NIL</v>
      </c>
      <c r="R1724" t="str">
        <f t="shared" si="698"/>
        <v>Accepted</v>
      </c>
      <c r="S1724" t="str">
        <f t="shared" si="699"/>
        <v>Approved</v>
      </c>
      <c r="T1724" t="str">
        <f t="shared" si="700"/>
        <v>10.20.8.188</v>
      </c>
      <c r="U1724" t="str">
        <f t="shared" si="701"/>
        <v>AZRAD UMAR BIN SHAARI</v>
      </c>
      <c r="V1724" t="str">
        <f t="shared" si="702"/>
        <v>FARHANA BINTI MUSTAPA</v>
      </c>
      <c r="W1724" t="str">
        <f t="shared" si="703"/>
        <v>04-08-2020</v>
      </c>
      <c r="X1724" t="str">
        <f t="shared" si="704"/>
        <v>RAZIMAH ANSAR AHMAD</v>
      </c>
      <c r="Y1724" t="str">
        <f t="shared" si="705"/>
        <v>04-08-2020</v>
      </c>
      <c r="Z1724" t="str">
        <f>"COS10200804 7430"</f>
        <v>COS10200804 7430</v>
      </c>
    </row>
    <row r="1725" spans="1:26" x14ac:dyDescent="0.25">
      <c r="A1725" t="str">
        <f t="shared" si="714"/>
        <v>04-08-2020 01:07:32</v>
      </c>
      <c r="B1725" t="str">
        <f>"0000809229"</f>
        <v>0000809229</v>
      </c>
      <c r="C1725" t="str">
        <f t="shared" si="715"/>
        <v>0000809200</v>
      </c>
      <c r="D1725" t="str">
        <f t="shared" si="693"/>
        <v>73185</v>
      </c>
      <c r="E1725" t="str">
        <f t="shared" si="694"/>
        <v>KFH-OPERATIONS DEPARTMENT</v>
      </c>
      <c r="F1725" t="str">
        <f t="shared" si="695"/>
        <v>IBG</v>
      </c>
      <c r="G1725" t="str">
        <f t="shared" si="706"/>
        <v>Refund COSHARE 10</v>
      </c>
      <c r="H1725" s="2">
        <v>1336</v>
      </c>
      <c r="I1725" t="str">
        <f>"SHARIFAH JALITA BINTI WAN ALI"</f>
        <v>SHARIFAH JALITA BINTI WAN ALI</v>
      </c>
      <c r="J1725" t="str">
        <f t="shared" si="707"/>
        <v>MAYBANK / MAYBANK ISLAMIC</v>
      </c>
      <c r="K1725" t="str">
        <f>"111083164199"</f>
        <v>111083164199</v>
      </c>
      <c r="L1725" t="str">
        <f t="shared" si="712"/>
        <v>04-08-2020</v>
      </c>
      <c r="M1725" t="str">
        <f t="shared" si="712"/>
        <v>04-08-2020</v>
      </c>
      <c r="N1725" t="str">
        <f t="shared" si="696"/>
        <v>001105018356</v>
      </c>
      <c r="O1725" t="str">
        <f t="shared" si="697"/>
        <v>MYR</v>
      </c>
      <c r="P1725" t="str">
        <f t="shared" si="713"/>
        <v>NIL</v>
      </c>
      <c r="Q1725" t="str">
        <f t="shared" si="713"/>
        <v>NIL</v>
      </c>
      <c r="R1725" t="str">
        <f t="shared" si="698"/>
        <v>Accepted</v>
      </c>
      <c r="S1725" t="str">
        <f t="shared" si="699"/>
        <v>Approved</v>
      </c>
      <c r="T1725" t="str">
        <f t="shared" si="700"/>
        <v>10.20.8.188</v>
      </c>
      <c r="U1725" t="str">
        <f t="shared" si="701"/>
        <v>AZRAD UMAR BIN SHAARI</v>
      </c>
      <c r="V1725" t="str">
        <f t="shared" si="702"/>
        <v>FARHANA BINTI MUSTAPA</v>
      </c>
      <c r="W1725" t="str">
        <f t="shared" si="703"/>
        <v>04-08-2020</v>
      </c>
      <c r="X1725" t="str">
        <f t="shared" si="704"/>
        <v>RAZIMAH ANSAR AHMAD</v>
      </c>
      <c r="Y1725" t="str">
        <f t="shared" si="705"/>
        <v>04-08-2020</v>
      </c>
      <c r="Z1725" t="str">
        <f>"COS10200804 7429"</f>
        <v>COS10200804 7429</v>
      </c>
    </row>
    <row r="1726" spans="1:26" x14ac:dyDescent="0.25">
      <c r="A1726" t="str">
        <f t="shared" si="714"/>
        <v>04-08-2020 01:07:32</v>
      </c>
      <c r="B1726" t="str">
        <f>"0000809228"</f>
        <v>0000809228</v>
      </c>
      <c r="C1726" t="str">
        <f t="shared" si="715"/>
        <v>0000809200</v>
      </c>
      <c r="D1726" t="str">
        <f t="shared" si="693"/>
        <v>73185</v>
      </c>
      <c r="E1726" t="str">
        <f t="shared" si="694"/>
        <v>KFH-OPERATIONS DEPARTMENT</v>
      </c>
      <c r="F1726" t="str">
        <f t="shared" si="695"/>
        <v>IBG</v>
      </c>
      <c r="G1726" t="str">
        <f t="shared" si="706"/>
        <v>Refund COSHARE 10</v>
      </c>
      <c r="H1726" s="2">
        <v>100.75</v>
      </c>
      <c r="I1726" t="str">
        <f>"SHARIFAH INTAN JULAIHA BINTI SYED AHMAD"</f>
        <v>SHARIFAH INTAN JULAIHA BINTI SYED AHMAD</v>
      </c>
      <c r="J1726" t="str">
        <f t="shared" si="707"/>
        <v>MAYBANK / MAYBANK ISLAMIC</v>
      </c>
      <c r="K1726" t="str">
        <f>"151173001223"</f>
        <v>151173001223</v>
      </c>
      <c r="L1726" t="str">
        <f t="shared" si="712"/>
        <v>04-08-2020</v>
      </c>
      <c r="M1726" t="str">
        <f t="shared" si="712"/>
        <v>04-08-2020</v>
      </c>
      <c r="N1726" t="str">
        <f t="shared" si="696"/>
        <v>001105018356</v>
      </c>
      <c r="O1726" t="str">
        <f t="shared" si="697"/>
        <v>MYR</v>
      </c>
      <c r="P1726" t="str">
        <f t="shared" si="713"/>
        <v>NIL</v>
      </c>
      <c r="Q1726" t="str">
        <f t="shared" si="713"/>
        <v>NIL</v>
      </c>
      <c r="R1726" t="str">
        <f t="shared" si="698"/>
        <v>Accepted</v>
      </c>
      <c r="S1726" t="str">
        <f t="shared" si="699"/>
        <v>Approved</v>
      </c>
      <c r="T1726" t="str">
        <f t="shared" si="700"/>
        <v>10.20.8.188</v>
      </c>
      <c r="U1726" t="str">
        <f t="shared" si="701"/>
        <v>AZRAD UMAR BIN SHAARI</v>
      </c>
      <c r="V1726" t="str">
        <f t="shared" si="702"/>
        <v>FARHANA BINTI MUSTAPA</v>
      </c>
      <c r="W1726" t="str">
        <f t="shared" si="703"/>
        <v>04-08-2020</v>
      </c>
      <c r="X1726" t="str">
        <f t="shared" si="704"/>
        <v>RAZIMAH ANSAR AHMAD</v>
      </c>
      <c r="Y1726" t="str">
        <f t="shared" si="705"/>
        <v>04-08-2020</v>
      </c>
      <c r="Z1726" t="str">
        <f>"COS10200804 7428"</f>
        <v>COS10200804 7428</v>
      </c>
    </row>
    <row r="1727" spans="1:26" x14ac:dyDescent="0.25">
      <c r="A1727" t="str">
        <f t="shared" si="714"/>
        <v>04-08-2020 01:07:32</v>
      </c>
      <c r="B1727" t="str">
        <f>"0000809227"</f>
        <v>0000809227</v>
      </c>
      <c r="C1727" t="str">
        <f t="shared" si="715"/>
        <v>0000809200</v>
      </c>
      <c r="D1727" t="str">
        <f t="shared" si="693"/>
        <v>73185</v>
      </c>
      <c r="E1727" t="str">
        <f t="shared" si="694"/>
        <v>KFH-OPERATIONS DEPARTMENT</v>
      </c>
      <c r="F1727" t="str">
        <f t="shared" si="695"/>
        <v>IBG</v>
      </c>
      <c r="G1727" t="str">
        <f t="shared" si="706"/>
        <v>Refund COSHARE 10</v>
      </c>
      <c r="H1727" s="2">
        <v>757.25</v>
      </c>
      <c r="I1727" t="str">
        <f>"SHARIFAH HATIJAH BINTI TENGKU ISMAIL"</f>
        <v>SHARIFAH HATIJAH BINTI TENGKU ISMAIL</v>
      </c>
      <c r="J1727" t="str">
        <f t="shared" si="707"/>
        <v>MAYBANK / MAYBANK ISLAMIC</v>
      </c>
      <c r="K1727" t="str">
        <f>"103015953729"</f>
        <v>103015953729</v>
      </c>
      <c r="L1727" t="str">
        <f t="shared" ref="L1727:M1746" si="716">"04-08-2020"</f>
        <v>04-08-2020</v>
      </c>
      <c r="M1727" t="str">
        <f t="shared" si="716"/>
        <v>04-08-2020</v>
      </c>
      <c r="N1727" t="str">
        <f t="shared" si="696"/>
        <v>001105018356</v>
      </c>
      <c r="O1727" t="str">
        <f t="shared" si="697"/>
        <v>MYR</v>
      </c>
      <c r="P1727" t="str">
        <f t="shared" ref="P1727:Q1746" si="717">"NIL"</f>
        <v>NIL</v>
      </c>
      <c r="Q1727" t="str">
        <f t="shared" si="717"/>
        <v>NIL</v>
      </c>
      <c r="R1727" t="str">
        <f t="shared" si="698"/>
        <v>Accepted</v>
      </c>
      <c r="S1727" t="str">
        <f t="shared" si="699"/>
        <v>Approved</v>
      </c>
      <c r="T1727" t="str">
        <f t="shared" si="700"/>
        <v>10.20.8.188</v>
      </c>
      <c r="U1727" t="str">
        <f t="shared" si="701"/>
        <v>AZRAD UMAR BIN SHAARI</v>
      </c>
      <c r="V1727" t="str">
        <f t="shared" si="702"/>
        <v>FARHANA BINTI MUSTAPA</v>
      </c>
      <c r="W1727" t="str">
        <f t="shared" si="703"/>
        <v>04-08-2020</v>
      </c>
      <c r="X1727" t="str">
        <f t="shared" si="704"/>
        <v>RAZIMAH ANSAR AHMAD</v>
      </c>
      <c r="Y1727" t="str">
        <f t="shared" si="705"/>
        <v>04-08-2020</v>
      </c>
      <c r="Z1727" t="str">
        <f>"COS10200804 7427"</f>
        <v>COS10200804 7427</v>
      </c>
    </row>
    <row r="1728" spans="1:26" x14ac:dyDescent="0.25">
      <c r="A1728" t="str">
        <f t="shared" si="714"/>
        <v>04-08-2020 01:07:32</v>
      </c>
      <c r="B1728" t="str">
        <f>"0000809226"</f>
        <v>0000809226</v>
      </c>
      <c r="C1728" t="str">
        <f t="shared" si="715"/>
        <v>0000809200</v>
      </c>
      <c r="D1728" t="str">
        <f t="shared" si="693"/>
        <v>73185</v>
      </c>
      <c r="E1728" t="str">
        <f t="shared" si="694"/>
        <v>KFH-OPERATIONS DEPARTMENT</v>
      </c>
      <c r="F1728" t="str">
        <f t="shared" si="695"/>
        <v>IBG</v>
      </c>
      <c r="G1728" t="str">
        <f t="shared" si="706"/>
        <v>Refund COSHARE 10</v>
      </c>
      <c r="H1728" s="2">
        <v>331</v>
      </c>
      <c r="I1728" t="str">
        <f>"SHARIFAH BINTI MOHD ALI"</f>
        <v>SHARIFAH BINTI MOHD ALI</v>
      </c>
      <c r="J1728" t="str">
        <f t="shared" si="707"/>
        <v>MAYBANK / MAYBANK ISLAMIC</v>
      </c>
      <c r="K1728" t="str">
        <f>"166010017699"</f>
        <v>166010017699</v>
      </c>
      <c r="L1728" t="str">
        <f t="shared" si="716"/>
        <v>04-08-2020</v>
      </c>
      <c r="M1728" t="str">
        <f t="shared" si="716"/>
        <v>04-08-2020</v>
      </c>
      <c r="N1728" t="str">
        <f t="shared" si="696"/>
        <v>001105018356</v>
      </c>
      <c r="O1728" t="str">
        <f t="shared" si="697"/>
        <v>MYR</v>
      </c>
      <c r="P1728" t="str">
        <f t="shared" si="717"/>
        <v>NIL</v>
      </c>
      <c r="Q1728" t="str">
        <f t="shared" si="717"/>
        <v>NIL</v>
      </c>
      <c r="R1728" t="str">
        <f t="shared" si="698"/>
        <v>Accepted</v>
      </c>
      <c r="S1728" t="str">
        <f t="shared" si="699"/>
        <v>Approved</v>
      </c>
      <c r="T1728" t="str">
        <f t="shared" si="700"/>
        <v>10.20.8.188</v>
      </c>
      <c r="U1728" t="str">
        <f t="shared" si="701"/>
        <v>AZRAD UMAR BIN SHAARI</v>
      </c>
      <c r="V1728" t="str">
        <f t="shared" si="702"/>
        <v>FARHANA BINTI MUSTAPA</v>
      </c>
      <c r="W1728" t="str">
        <f t="shared" si="703"/>
        <v>04-08-2020</v>
      </c>
      <c r="X1728" t="str">
        <f t="shared" si="704"/>
        <v>RAZIMAH ANSAR AHMAD</v>
      </c>
      <c r="Y1728" t="str">
        <f t="shared" si="705"/>
        <v>04-08-2020</v>
      </c>
      <c r="Z1728" t="str">
        <f>"COS10200804 7426"</f>
        <v>COS10200804 7426</v>
      </c>
    </row>
    <row r="1729" spans="1:26" x14ac:dyDescent="0.25">
      <c r="A1729" t="str">
        <f t="shared" si="714"/>
        <v>04-08-2020 01:07:32</v>
      </c>
      <c r="B1729" t="str">
        <f>"0000809225"</f>
        <v>0000809225</v>
      </c>
      <c r="C1729" t="str">
        <f t="shared" si="715"/>
        <v>0000809200</v>
      </c>
      <c r="D1729" t="str">
        <f t="shared" si="693"/>
        <v>73185</v>
      </c>
      <c r="E1729" t="str">
        <f t="shared" si="694"/>
        <v>KFH-OPERATIONS DEPARTMENT</v>
      </c>
      <c r="F1729" t="str">
        <f t="shared" si="695"/>
        <v>IBG</v>
      </c>
      <c r="G1729" t="str">
        <f t="shared" si="706"/>
        <v>Refund COSHARE 10</v>
      </c>
      <c r="H1729" s="2">
        <v>755.55</v>
      </c>
      <c r="I1729" t="str">
        <f>"SHARIFAH AZMONALINI BT SYED SHAHAZEMAN"</f>
        <v>SHARIFAH AZMONALINI BT SYED SHAHAZEMAN</v>
      </c>
      <c r="J1729" t="str">
        <f t="shared" si="707"/>
        <v>MAYBANK / MAYBANK ISLAMIC</v>
      </c>
      <c r="K1729" t="str">
        <f>"156011848345"</f>
        <v>156011848345</v>
      </c>
      <c r="L1729" t="str">
        <f t="shared" si="716"/>
        <v>04-08-2020</v>
      </c>
      <c r="M1729" t="str">
        <f t="shared" si="716"/>
        <v>04-08-2020</v>
      </c>
      <c r="N1729" t="str">
        <f t="shared" si="696"/>
        <v>001105018356</v>
      </c>
      <c r="O1729" t="str">
        <f t="shared" si="697"/>
        <v>MYR</v>
      </c>
      <c r="P1729" t="str">
        <f t="shared" si="717"/>
        <v>NIL</v>
      </c>
      <c r="Q1729" t="str">
        <f t="shared" si="717"/>
        <v>NIL</v>
      </c>
      <c r="R1729" t="str">
        <f t="shared" si="698"/>
        <v>Accepted</v>
      </c>
      <c r="S1729" t="str">
        <f t="shared" si="699"/>
        <v>Approved</v>
      </c>
      <c r="T1729" t="str">
        <f t="shared" si="700"/>
        <v>10.20.8.188</v>
      </c>
      <c r="U1729" t="str">
        <f t="shared" si="701"/>
        <v>AZRAD UMAR BIN SHAARI</v>
      </c>
      <c r="V1729" t="str">
        <f t="shared" si="702"/>
        <v>FARHANA BINTI MUSTAPA</v>
      </c>
      <c r="W1729" t="str">
        <f t="shared" si="703"/>
        <v>04-08-2020</v>
      </c>
      <c r="X1729" t="str">
        <f t="shared" si="704"/>
        <v>RAZIMAH ANSAR AHMAD</v>
      </c>
      <c r="Y1729" t="str">
        <f t="shared" si="705"/>
        <v>04-08-2020</v>
      </c>
      <c r="Z1729" t="str">
        <f>"COS10200804 7425"</f>
        <v>COS10200804 7425</v>
      </c>
    </row>
    <row r="1730" spans="1:26" x14ac:dyDescent="0.25">
      <c r="A1730" t="str">
        <f t="shared" si="714"/>
        <v>04-08-2020 01:07:32</v>
      </c>
      <c r="B1730" t="str">
        <f>"0000809224"</f>
        <v>0000809224</v>
      </c>
      <c r="C1730" t="str">
        <f t="shared" si="715"/>
        <v>0000809200</v>
      </c>
      <c r="D1730" t="str">
        <f t="shared" si="693"/>
        <v>73185</v>
      </c>
      <c r="E1730" t="str">
        <f t="shared" si="694"/>
        <v>KFH-OPERATIONS DEPARTMENT</v>
      </c>
      <c r="F1730" t="str">
        <f t="shared" si="695"/>
        <v>IBG</v>
      </c>
      <c r="G1730" t="str">
        <f t="shared" si="706"/>
        <v>Refund COSHARE 10</v>
      </c>
      <c r="H1730" s="2">
        <v>1245</v>
      </c>
      <c r="I1730" t="str">
        <f>"SHARIFAH AZLINDA BINTI SYED AHMAD"</f>
        <v>SHARIFAH AZLINDA BINTI SYED AHMAD</v>
      </c>
      <c r="J1730" t="str">
        <f t="shared" si="707"/>
        <v>MAYBANK / MAYBANK ISLAMIC</v>
      </c>
      <c r="K1730" t="str">
        <f>"157232003475"</f>
        <v>157232003475</v>
      </c>
      <c r="L1730" t="str">
        <f t="shared" si="716"/>
        <v>04-08-2020</v>
      </c>
      <c r="M1730" t="str">
        <f t="shared" si="716"/>
        <v>04-08-2020</v>
      </c>
      <c r="N1730" t="str">
        <f t="shared" si="696"/>
        <v>001105018356</v>
      </c>
      <c r="O1730" t="str">
        <f t="shared" si="697"/>
        <v>MYR</v>
      </c>
      <c r="P1730" t="str">
        <f t="shared" si="717"/>
        <v>NIL</v>
      </c>
      <c r="Q1730" t="str">
        <f t="shared" si="717"/>
        <v>NIL</v>
      </c>
      <c r="R1730" t="str">
        <f t="shared" si="698"/>
        <v>Accepted</v>
      </c>
      <c r="S1730" t="str">
        <f t="shared" si="699"/>
        <v>Approved</v>
      </c>
      <c r="T1730" t="str">
        <f t="shared" si="700"/>
        <v>10.20.8.188</v>
      </c>
      <c r="U1730" t="str">
        <f t="shared" si="701"/>
        <v>AZRAD UMAR BIN SHAARI</v>
      </c>
      <c r="V1730" t="str">
        <f t="shared" si="702"/>
        <v>FARHANA BINTI MUSTAPA</v>
      </c>
      <c r="W1730" t="str">
        <f t="shared" si="703"/>
        <v>04-08-2020</v>
      </c>
      <c r="X1730" t="str">
        <f t="shared" si="704"/>
        <v>RAZIMAH ANSAR AHMAD</v>
      </c>
      <c r="Y1730" t="str">
        <f t="shared" si="705"/>
        <v>04-08-2020</v>
      </c>
      <c r="Z1730" t="str">
        <f>"COS10200804 7424"</f>
        <v>COS10200804 7424</v>
      </c>
    </row>
    <row r="1731" spans="1:26" x14ac:dyDescent="0.25">
      <c r="A1731" t="str">
        <f t="shared" si="714"/>
        <v>04-08-2020 01:07:32</v>
      </c>
      <c r="B1731" t="str">
        <f>"0000809223"</f>
        <v>0000809223</v>
      </c>
      <c r="C1731" t="str">
        <f t="shared" si="715"/>
        <v>0000809200</v>
      </c>
      <c r="D1731" t="str">
        <f t="shared" si="693"/>
        <v>73185</v>
      </c>
      <c r="E1731" t="str">
        <f t="shared" si="694"/>
        <v>KFH-OPERATIONS DEPARTMENT</v>
      </c>
      <c r="F1731" t="str">
        <f t="shared" si="695"/>
        <v>IBG</v>
      </c>
      <c r="G1731" t="str">
        <f t="shared" si="706"/>
        <v>Refund COSHARE 10</v>
      </c>
      <c r="H1731" s="2">
        <v>186.3</v>
      </c>
      <c r="I1731" t="str">
        <f>"SHARIDAH BINTI MUSTAFA"</f>
        <v>SHARIDAH BINTI MUSTAFA</v>
      </c>
      <c r="J1731" t="str">
        <f t="shared" si="707"/>
        <v>MAYBANK / MAYBANK ISLAMIC</v>
      </c>
      <c r="K1731" t="str">
        <f>"155050010843"</f>
        <v>155050010843</v>
      </c>
      <c r="L1731" t="str">
        <f t="shared" si="716"/>
        <v>04-08-2020</v>
      </c>
      <c r="M1731" t="str">
        <f t="shared" si="716"/>
        <v>04-08-2020</v>
      </c>
      <c r="N1731" t="str">
        <f t="shared" si="696"/>
        <v>001105018356</v>
      </c>
      <c r="O1731" t="str">
        <f t="shared" si="697"/>
        <v>MYR</v>
      </c>
      <c r="P1731" t="str">
        <f t="shared" si="717"/>
        <v>NIL</v>
      </c>
      <c r="Q1731" t="str">
        <f t="shared" si="717"/>
        <v>NIL</v>
      </c>
      <c r="R1731" t="str">
        <f t="shared" si="698"/>
        <v>Accepted</v>
      </c>
      <c r="S1731" t="str">
        <f t="shared" si="699"/>
        <v>Approved</v>
      </c>
      <c r="T1731" t="str">
        <f t="shared" si="700"/>
        <v>10.20.8.188</v>
      </c>
      <c r="U1731" t="str">
        <f t="shared" si="701"/>
        <v>AZRAD UMAR BIN SHAARI</v>
      </c>
      <c r="V1731" t="str">
        <f t="shared" si="702"/>
        <v>FARHANA BINTI MUSTAPA</v>
      </c>
      <c r="W1731" t="str">
        <f t="shared" si="703"/>
        <v>04-08-2020</v>
      </c>
      <c r="X1731" t="str">
        <f t="shared" si="704"/>
        <v>RAZIMAH ANSAR AHMAD</v>
      </c>
      <c r="Y1731" t="str">
        <f t="shared" si="705"/>
        <v>04-08-2020</v>
      </c>
      <c r="Z1731" t="str">
        <f>"COS10200804 7423"</f>
        <v>COS10200804 7423</v>
      </c>
    </row>
    <row r="1732" spans="1:26" x14ac:dyDescent="0.25">
      <c r="A1732" t="str">
        <f t="shared" si="714"/>
        <v>04-08-2020 01:07:32</v>
      </c>
      <c r="B1732" t="str">
        <f>"0000809222"</f>
        <v>0000809222</v>
      </c>
      <c r="C1732" t="str">
        <f t="shared" si="715"/>
        <v>0000809200</v>
      </c>
      <c r="D1732" t="str">
        <f t="shared" si="693"/>
        <v>73185</v>
      </c>
      <c r="E1732" t="str">
        <f t="shared" si="694"/>
        <v>KFH-OPERATIONS DEPARTMENT</v>
      </c>
      <c r="F1732" t="str">
        <f t="shared" si="695"/>
        <v>IBG</v>
      </c>
      <c r="G1732" t="str">
        <f t="shared" si="706"/>
        <v>Refund COSHARE 10</v>
      </c>
      <c r="H1732" s="2">
        <v>839.5</v>
      </c>
      <c r="I1732" t="str">
        <f>"SHAREENA FATIHAH BINTI SHARIN"</f>
        <v>SHAREENA FATIHAH BINTI SHARIN</v>
      </c>
      <c r="J1732" t="str">
        <f t="shared" si="707"/>
        <v>MAYBANK / MAYBANK ISLAMIC</v>
      </c>
      <c r="K1732" t="str">
        <f>"164780054963"</f>
        <v>164780054963</v>
      </c>
      <c r="L1732" t="str">
        <f t="shared" si="716"/>
        <v>04-08-2020</v>
      </c>
      <c r="M1732" t="str">
        <f t="shared" si="716"/>
        <v>04-08-2020</v>
      </c>
      <c r="N1732" t="str">
        <f t="shared" si="696"/>
        <v>001105018356</v>
      </c>
      <c r="O1732" t="str">
        <f t="shared" si="697"/>
        <v>MYR</v>
      </c>
      <c r="P1732" t="str">
        <f t="shared" si="717"/>
        <v>NIL</v>
      </c>
      <c r="Q1732" t="str">
        <f t="shared" si="717"/>
        <v>NIL</v>
      </c>
      <c r="R1732" t="str">
        <f t="shared" si="698"/>
        <v>Accepted</v>
      </c>
      <c r="S1732" t="str">
        <f t="shared" si="699"/>
        <v>Approved</v>
      </c>
      <c r="T1732" t="str">
        <f t="shared" si="700"/>
        <v>10.20.8.188</v>
      </c>
      <c r="U1732" t="str">
        <f t="shared" si="701"/>
        <v>AZRAD UMAR BIN SHAARI</v>
      </c>
      <c r="V1732" t="str">
        <f t="shared" si="702"/>
        <v>FARHANA BINTI MUSTAPA</v>
      </c>
      <c r="W1732" t="str">
        <f t="shared" si="703"/>
        <v>04-08-2020</v>
      </c>
      <c r="X1732" t="str">
        <f t="shared" si="704"/>
        <v>RAZIMAH ANSAR AHMAD</v>
      </c>
      <c r="Y1732" t="str">
        <f t="shared" si="705"/>
        <v>04-08-2020</v>
      </c>
      <c r="Z1732" t="str">
        <f>"COS10200804 7422"</f>
        <v>COS10200804 7422</v>
      </c>
    </row>
    <row r="1733" spans="1:26" x14ac:dyDescent="0.25">
      <c r="A1733" t="str">
        <f t="shared" si="714"/>
        <v>04-08-2020 01:07:32</v>
      </c>
      <c r="B1733" t="str">
        <f>"0000809221"</f>
        <v>0000809221</v>
      </c>
      <c r="C1733" t="str">
        <f t="shared" si="715"/>
        <v>0000809200</v>
      </c>
      <c r="D1733" t="str">
        <f t="shared" si="693"/>
        <v>73185</v>
      </c>
      <c r="E1733" t="str">
        <f t="shared" si="694"/>
        <v>KFH-OPERATIONS DEPARTMENT</v>
      </c>
      <c r="F1733" t="str">
        <f t="shared" si="695"/>
        <v>IBG</v>
      </c>
      <c r="G1733" t="str">
        <f t="shared" si="706"/>
        <v>Refund COSHARE 10</v>
      </c>
      <c r="H1733" s="2">
        <v>168</v>
      </c>
      <c r="I1733" t="str">
        <f>"SHARDEE BIN BAIJURI"</f>
        <v>SHARDEE BIN BAIJURI</v>
      </c>
      <c r="J1733" t="str">
        <f t="shared" si="707"/>
        <v>MAYBANK / MAYBANK ISLAMIC</v>
      </c>
      <c r="K1733" t="str">
        <f>"158462016170"</f>
        <v>158462016170</v>
      </c>
      <c r="L1733" t="str">
        <f t="shared" si="716"/>
        <v>04-08-2020</v>
      </c>
      <c r="M1733" t="str">
        <f t="shared" si="716"/>
        <v>04-08-2020</v>
      </c>
      <c r="N1733" t="str">
        <f t="shared" si="696"/>
        <v>001105018356</v>
      </c>
      <c r="O1733" t="str">
        <f t="shared" si="697"/>
        <v>MYR</v>
      </c>
      <c r="P1733" t="str">
        <f t="shared" si="717"/>
        <v>NIL</v>
      </c>
      <c r="Q1733" t="str">
        <f t="shared" si="717"/>
        <v>NIL</v>
      </c>
      <c r="R1733" t="str">
        <f t="shared" si="698"/>
        <v>Accepted</v>
      </c>
      <c r="S1733" t="str">
        <f t="shared" si="699"/>
        <v>Approved</v>
      </c>
      <c r="T1733" t="str">
        <f t="shared" si="700"/>
        <v>10.20.8.188</v>
      </c>
      <c r="U1733" t="str">
        <f t="shared" si="701"/>
        <v>AZRAD UMAR BIN SHAARI</v>
      </c>
      <c r="V1733" t="str">
        <f t="shared" si="702"/>
        <v>FARHANA BINTI MUSTAPA</v>
      </c>
      <c r="W1733" t="str">
        <f t="shared" si="703"/>
        <v>04-08-2020</v>
      </c>
      <c r="X1733" t="str">
        <f t="shared" si="704"/>
        <v>RAZIMAH ANSAR AHMAD</v>
      </c>
      <c r="Y1733" t="str">
        <f t="shared" si="705"/>
        <v>04-08-2020</v>
      </c>
      <c r="Z1733" t="str">
        <f>"COS10200804 7421"</f>
        <v>COS10200804 7421</v>
      </c>
    </row>
    <row r="1734" spans="1:26" x14ac:dyDescent="0.25">
      <c r="A1734" t="str">
        <f t="shared" si="714"/>
        <v>04-08-2020 01:07:32</v>
      </c>
      <c r="B1734" t="str">
        <f>"0000809220"</f>
        <v>0000809220</v>
      </c>
      <c r="C1734" t="str">
        <f t="shared" si="715"/>
        <v>0000809200</v>
      </c>
      <c r="D1734" t="str">
        <f t="shared" si="693"/>
        <v>73185</v>
      </c>
      <c r="E1734" t="str">
        <f t="shared" si="694"/>
        <v>KFH-OPERATIONS DEPARTMENT</v>
      </c>
      <c r="F1734" t="str">
        <f t="shared" si="695"/>
        <v>IBG</v>
      </c>
      <c r="G1734" t="str">
        <f t="shared" si="706"/>
        <v>Refund COSHARE 10</v>
      </c>
      <c r="H1734" s="2">
        <v>335.8</v>
      </c>
      <c r="I1734" t="str">
        <f>"SHANE ANAK MICHAEL UGAS"</f>
        <v>SHANE ANAK MICHAEL UGAS</v>
      </c>
      <c r="J1734" t="str">
        <f t="shared" si="707"/>
        <v>MAYBANK / MAYBANK ISLAMIC</v>
      </c>
      <c r="K1734" t="str">
        <f>"111114344691"</f>
        <v>111114344691</v>
      </c>
      <c r="L1734" t="str">
        <f t="shared" si="716"/>
        <v>04-08-2020</v>
      </c>
      <c r="M1734" t="str">
        <f t="shared" si="716"/>
        <v>04-08-2020</v>
      </c>
      <c r="N1734" t="str">
        <f t="shared" si="696"/>
        <v>001105018356</v>
      </c>
      <c r="O1734" t="str">
        <f t="shared" si="697"/>
        <v>MYR</v>
      </c>
      <c r="P1734" t="str">
        <f t="shared" si="717"/>
        <v>NIL</v>
      </c>
      <c r="Q1734" t="str">
        <f t="shared" si="717"/>
        <v>NIL</v>
      </c>
      <c r="R1734" t="str">
        <f t="shared" si="698"/>
        <v>Accepted</v>
      </c>
      <c r="S1734" t="str">
        <f t="shared" si="699"/>
        <v>Approved</v>
      </c>
      <c r="T1734" t="str">
        <f t="shared" si="700"/>
        <v>10.20.8.188</v>
      </c>
      <c r="U1734" t="str">
        <f t="shared" si="701"/>
        <v>AZRAD UMAR BIN SHAARI</v>
      </c>
      <c r="V1734" t="str">
        <f t="shared" si="702"/>
        <v>FARHANA BINTI MUSTAPA</v>
      </c>
      <c r="W1734" t="str">
        <f t="shared" si="703"/>
        <v>04-08-2020</v>
      </c>
      <c r="X1734" t="str">
        <f t="shared" si="704"/>
        <v>RAZIMAH ANSAR AHMAD</v>
      </c>
      <c r="Y1734" t="str">
        <f t="shared" si="705"/>
        <v>04-08-2020</v>
      </c>
      <c r="Z1734" t="str">
        <f>"COS10200804 7420"</f>
        <v>COS10200804 7420</v>
      </c>
    </row>
    <row r="1735" spans="1:26" x14ac:dyDescent="0.25">
      <c r="A1735" t="str">
        <f t="shared" si="714"/>
        <v>04-08-2020 01:07:32</v>
      </c>
      <c r="B1735" t="str">
        <f>"0000809219"</f>
        <v>0000809219</v>
      </c>
      <c r="C1735" t="str">
        <f t="shared" si="715"/>
        <v>0000809200</v>
      </c>
      <c r="D1735" t="str">
        <f t="shared" ref="D1735:D1798" si="718">"73185"</f>
        <v>73185</v>
      </c>
      <c r="E1735" t="str">
        <f t="shared" ref="E1735:E1798" si="719">"KFH-OPERATIONS DEPARTMENT"</f>
        <v>KFH-OPERATIONS DEPARTMENT</v>
      </c>
      <c r="F1735" t="str">
        <f t="shared" ref="F1735:F1798" si="720">"IBG"</f>
        <v>IBG</v>
      </c>
      <c r="G1735" t="str">
        <f t="shared" si="706"/>
        <v>Refund COSHARE 10</v>
      </c>
      <c r="H1735" s="2">
        <v>1007.4</v>
      </c>
      <c r="I1735" t="str">
        <f>"SHANDIE ANAK EDI"</f>
        <v>SHANDIE ANAK EDI</v>
      </c>
      <c r="J1735" t="str">
        <f t="shared" si="707"/>
        <v>MAYBANK / MAYBANK ISLAMIC</v>
      </c>
      <c r="K1735" t="str">
        <f>"151043073890"</f>
        <v>151043073890</v>
      </c>
      <c r="L1735" t="str">
        <f t="shared" si="716"/>
        <v>04-08-2020</v>
      </c>
      <c r="M1735" t="str">
        <f t="shared" si="716"/>
        <v>04-08-2020</v>
      </c>
      <c r="N1735" t="str">
        <f t="shared" ref="N1735:N1798" si="721">"001105018356"</f>
        <v>001105018356</v>
      </c>
      <c r="O1735" t="str">
        <f t="shared" ref="O1735:O1798" si="722">"MYR"</f>
        <v>MYR</v>
      </c>
      <c r="P1735" t="str">
        <f t="shared" si="717"/>
        <v>NIL</v>
      </c>
      <c r="Q1735" t="str">
        <f t="shared" si="717"/>
        <v>NIL</v>
      </c>
      <c r="R1735" t="str">
        <f t="shared" ref="R1735:R1798" si="723">"Accepted"</f>
        <v>Accepted</v>
      </c>
      <c r="S1735" t="str">
        <f t="shared" ref="S1735:S1798" si="724">"Approved"</f>
        <v>Approved</v>
      </c>
      <c r="T1735" t="str">
        <f t="shared" ref="T1735:T1798" si="725">"10.20.8.188"</f>
        <v>10.20.8.188</v>
      </c>
      <c r="U1735" t="str">
        <f t="shared" ref="U1735:U1798" si="726">"AZRAD UMAR BIN SHAARI"</f>
        <v>AZRAD UMAR BIN SHAARI</v>
      </c>
      <c r="V1735" t="str">
        <f t="shared" ref="V1735:V1798" si="727">"FARHANA BINTI MUSTAPA"</f>
        <v>FARHANA BINTI MUSTAPA</v>
      </c>
      <c r="W1735" t="str">
        <f t="shared" ref="W1735:W1798" si="728">"04-08-2020"</f>
        <v>04-08-2020</v>
      </c>
      <c r="X1735" t="str">
        <f t="shared" ref="X1735:X1798" si="729">"RAZIMAH ANSAR AHMAD"</f>
        <v>RAZIMAH ANSAR AHMAD</v>
      </c>
      <c r="Y1735" t="str">
        <f t="shared" ref="Y1735:Y1798" si="730">"04-08-2020"</f>
        <v>04-08-2020</v>
      </c>
      <c r="Z1735" t="str">
        <f>"COS10200804 7419"</f>
        <v>COS10200804 7419</v>
      </c>
    </row>
    <row r="1736" spans="1:26" x14ac:dyDescent="0.25">
      <c r="A1736" t="str">
        <f t="shared" si="714"/>
        <v>04-08-2020 01:07:32</v>
      </c>
      <c r="B1736" t="str">
        <f>"0000809218"</f>
        <v>0000809218</v>
      </c>
      <c r="C1736" t="str">
        <f t="shared" si="715"/>
        <v>0000809200</v>
      </c>
      <c r="D1736" t="str">
        <f t="shared" si="718"/>
        <v>73185</v>
      </c>
      <c r="E1736" t="str">
        <f t="shared" si="719"/>
        <v>KFH-OPERATIONS DEPARTMENT</v>
      </c>
      <c r="F1736" t="str">
        <f t="shared" si="720"/>
        <v>IBG</v>
      </c>
      <c r="G1736" t="str">
        <f t="shared" si="706"/>
        <v>Refund COSHARE 10</v>
      </c>
      <c r="H1736" s="2">
        <v>209.9</v>
      </c>
      <c r="I1736" t="str">
        <f>"SHAMZALINA BINTI AZAHAR"</f>
        <v>SHAMZALINA BINTI AZAHAR</v>
      </c>
      <c r="J1736" t="str">
        <f t="shared" si="707"/>
        <v>MAYBANK / MAYBANK ISLAMIC</v>
      </c>
      <c r="K1736" t="str">
        <f>"108177711087"</f>
        <v>108177711087</v>
      </c>
      <c r="L1736" t="str">
        <f t="shared" si="716"/>
        <v>04-08-2020</v>
      </c>
      <c r="M1736" t="str">
        <f t="shared" si="716"/>
        <v>04-08-2020</v>
      </c>
      <c r="N1736" t="str">
        <f t="shared" si="721"/>
        <v>001105018356</v>
      </c>
      <c r="O1736" t="str">
        <f t="shared" si="722"/>
        <v>MYR</v>
      </c>
      <c r="P1736" t="str">
        <f t="shared" si="717"/>
        <v>NIL</v>
      </c>
      <c r="Q1736" t="str">
        <f t="shared" si="717"/>
        <v>NIL</v>
      </c>
      <c r="R1736" t="str">
        <f t="shared" si="723"/>
        <v>Accepted</v>
      </c>
      <c r="S1736" t="str">
        <f t="shared" si="724"/>
        <v>Approved</v>
      </c>
      <c r="T1736" t="str">
        <f t="shared" si="725"/>
        <v>10.20.8.188</v>
      </c>
      <c r="U1736" t="str">
        <f t="shared" si="726"/>
        <v>AZRAD UMAR BIN SHAARI</v>
      </c>
      <c r="V1736" t="str">
        <f t="shared" si="727"/>
        <v>FARHANA BINTI MUSTAPA</v>
      </c>
      <c r="W1736" t="str">
        <f t="shared" si="728"/>
        <v>04-08-2020</v>
      </c>
      <c r="X1736" t="str">
        <f t="shared" si="729"/>
        <v>RAZIMAH ANSAR AHMAD</v>
      </c>
      <c r="Y1736" t="str">
        <f t="shared" si="730"/>
        <v>04-08-2020</v>
      </c>
      <c r="Z1736" t="str">
        <f>"COS10200804 7418"</f>
        <v>COS10200804 7418</v>
      </c>
    </row>
    <row r="1737" spans="1:26" x14ac:dyDescent="0.25">
      <c r="A1737" t="str">
        <f t="shared" si="714"/>
        <v>04-08-2020 01:07:32</v>
      </c>
      <c r="B1737" t="str">
        <f>"0000809217"</f>
        <v>0000809217</v>
      </c>
      <c r="C1737" t="str">
        <f t="shared" si="715"/>
        <v>0000809200</v>
      </c>
      <c r="D1737" t="str">
        <f t="shared" si="718"/>
        <v>73185</v>
      </c>
      <c r="E1737" t="str">
        <f t="shared" si="719"/>
        <v>KFH-OPERATIONS DEPARTMENT</v>
      </c>
      <c r="F1737" t="str">
        <f t="shared" si="720"/>
        <v>IBG</v>
      </c>
      <c r="G1737" t="str">
        <f t="shared" si="706"/>
        <v>Refund COSHARE 10</v>
      </c>
      <c r="H1737" s="2">
        <v>797.55</v>
      </c>
      <c r="I1737" t="str">
        <f>"SHAMSUZANA BINTI ABD RAHMAN"</f>
        <v>SHAMSUZANA BINTI ABD RAHMAN</v>
      </c>
      <c r="J1737" t="str">
        <f t="shared" si="707"/>
        <v>MAYBANK / MAYBANK ISLAMIC</v>
      </c>
      <c r="K1737" t="str">
        <f>"107161336386"</f>
        <v>107161336386</v>
      </c>
      <c r="L1737" t="str">
        <f t="shared" si="716"/>
        <v>04-08-2020</v>
      </c>
      <c r="M1737" t="str">
        <f t="shared" si="716"/>
        <v>04-08-2020</v>
      </c>
      <c r="N1737" t="str">
        <f t="shared" si="721"/>
        <v>001105018356</v>
      </c>
      <c r="O1737" t="str">
        <f t="shared" si="722"/>
        <v>MYR</v>
      </c>
      <c r="P1737" t="str">
        <f t="shared" si="717"/>
        <v>NIL</v>
      </c>
      <c r="Q1737" t="str">
        <f t="shared" si="717"/>
        <v>NIL</v>
      </c>
      <c r="R1737" t="str">
        <f t="shared" si="723"/>
        <v>Accepted</v>
      </c>
      <c r="S1737" t="str">
        <f t="shared" si="724"/>
        <v>Approved</v>
      </c>
      <c r="T1737" t="str">
        <f t="shared" si="725"/>
        <v>10.20.8.188</v>
      </c>
      <c r="U1737" t="str">
        <f t="shared" si="726"/>
        <v>AZRAD UMAR BIN SHAARI</v>
      </c>
      <c r="V1737" t="str">
        <f t="shared" si="727"/>
        <v>FARHANA BINTI MUSTAPA</v>
      </c>
      <c r="W1737" t="str">
        <f t="shared" si="728"/>
        <v>04-08-2020</v>
      </c>
      <c r="X1737" t="str">
        <f t="shared" si="729"/>
        <v>RAZIMAH ANSAR AHMAD</v>
      </c>
      <c r="Y1737" t="str">
        <f t="shared" si="730"/>
        <v>04-08-2020</v>
      </c>
      <c r="Z1737" t="str">
        <f>"COS10200804 7417"</f>
        <v>COS10200804 7417</v>
      </c>
    </row>
    <row r="1738" spans="1:26" x14ac:dyDescent="0.25">
      <c r="A1738" t="str">
        <f t="shared" si="714"/>
        <v>04-08-2020 01:07:32</v>
      </c>
      <c r="B1738" t="str">
        <f>"0000809216"</f>
        <v>0000809216</v>
      </c>
      <c r="C1738" t="str">
        <f t="shared" si="715"/>
        <v>0000809200</v>
      </c>
      <c r="D1738" t="str">
        <f t="shared" si="718"/>
        <v>73185</v>
      </c>
      <c r="E1738" t="str">
        <f t="shared" si="719"/>
        <v>KFH-OPERATIONS DEPARTMENT</v>
      </c>
      <c r="F1738" t="str">
        <f t="shared" si="720"/>
        <v>IBG</v>
      </c>
      <c r="G1738" t="str">
        <f t="shared" si="706"/>
        <v>Refund COSHARE 10</v>
      </c>
      <c r="H1738" s="2">
        <v>1553.1</v>
      </c>
      <c r="I1738" t="str">
        <f>"SHAMSURIA BINTI SETAPA"</f>
        <v>SHAMSURIA BINTI SETAPA</v>
      </c>
      <c r="J1738" t="str">
        <f t="shared" si="707"/>
        <v>MAYBANK / MAYBANK ISLAMIC</v>
      </c>
      <c r="K1738" t="str">
        <f>"113015082728"</f>
        <v>113015082728</v>
      </c>
      <c r="L1738" t="str">
        <f t="shared" si="716"/>
        <v>04-08-2020</v>
      </c>
      <c r="M1738" t="str">
        <f t="shared" si="716"/>
        <v>04-08-2020</v>
      </c>
      <c r="N1738" t="str">
        <f t="shared" si="721"/>
        <v>001105018356</v>
      </c>
      <c r="O1738" t="str">
        <f t="shared" si="722"/>
        <v>MYR</v>
      </c>
      <c r="P1738" t="str">
        <f t="shared" si="717"/>
        <v>NIL</v>
      </c>
      <c r="Q1738" t="str">
        <f t="shared" si="717"/>
        <v>NIL</v>
      </c>
      <c r="R1738" t="str">
        <f t="shared" si="723"/>
        <v>Accepted</v>
      </c>
      <c r="S1738" t="str">
        <f t="shared" si="724"/>
        <v>Approved</v>
      </c>
      <c r="T1738" t="str">
        <f t="shared" si="725"/>
        <v>10.20.8.188</v>
      </c>
      <c r="U1738" t="str">
        <f t="shared" si="726"/>
        <v>AZRAD UMAR BIN SHAARI</v>
      </c>
      <c r="V1738" t="str">
        <f t="shared" si="727"/>
        <v>FARHANA BINTI MUSTAPA</v>
      </c>
      <c r="W1738" t="str">
        <f t="shared" si="728"/>
        <v>04-08-2020</v>
      </c>
      <c r="X1738" t="str">
        <f t="shared" si="729"/>
        <v>RAZIMAH ANSAR AHMAD</v>
      </c>
      <c r="Y1738" t="str">
        <f t="shared" si="730"/>
        <v>04-08-2020</v>
      </c>
      <c r="Z1738" t="str">
        <f>"COS10200804 7416"</f>
        <v>COS10200804 7416</v>
      </c>
    </row>
    <row r="1739" spans="1:26" x14ac:dyDescent="0.25">
      <c r="A1739" t="str">
        <f t="shared" si="714"/>
        <v>04-08-2020 01:07:32</v>
      </c>
      <c r="B1739" t="str">
        <f>"0000809215"</f>
        <v>0000809215</v>
      </c>
      <c r="C1739" t="str">
        <f t="shared" si="715"/>
        <v>0000809200</v>
      </c>
      <c r="D1739" t="str">
        <f t="shared" si="718"/>
        <v>73185</v>
      </c>
      <c r="E1739" t="str">
        <f t="shared" si="719"/>
        <v>KFH-OPERATIONS DEPARTMENT</v>
      </c>
      <c r="F1739" t="str">
        <f t="shared" si="720"/>
        <v>IBG</v>
      </c>
      <c r="G1739" t="str">
        <f t="shared" si="706"/>
        <v>Refund COSHARE 10</v>
      </c>
      <c r="H1739" s="2">
        <v>75.599999999999994</v>
      </c>
      <c r="I1739" t="str">
        <f>"SHAMSULASHADI BIN RAJAB"</f>
        <v>SHAMSULASHADI BIN RAJAB</v>
      </c>
      <c r="J1739" t="str">
        <f t="shared" si="707"/>
        <v>MAYBANK / MAYBANK ISLAMIC</v>
      </c>
      <c r="K1739" t="str">
        <f>"101049139993"</f>
        <v>101049139993</v>
      </c>
      <c r="L1739" t="str">
        <f t="shared" si="716"/>
        <v>04-08-2020</v>
      </c>
      <c r="M1739" t="str">
        <f t="shared" si="716"/>
        <v>04-08-2020</v>
      </c>
      <c r="N1739" t="str">
        <f t="shared" si="721"/>
        <v>001105018356</v>
      </c>
      <c r="O1739" t="str">
        <f t="shared" si="722"/>
        <v>MYR</v>
      </c>
      <c r="P1739" t="str">
        <f t="shared" si="717"/>
        <v>NIL</v>
      </c>
      <c r="Q1739" t="str">
        <f t="shared" si="717"/>
        <v>NIL</v>
      </c>
      <c r="R1739" t="str">
        <f t="shared" si="723"/>
        <v>Accepted</v>
      </c>
      <c r="S1739" t="str">
        <f t="shared" si="724"/>
        <v>Approved</v>
      </c>
      <c r="T1739" t="str">
        <f t="shared" si="725"/>
        <v>10.20.8.188</v>
      </c>
      <c r="U1739" t="str">
        <f t="shared" si="726"/>
        <v>AZRAD UMAR BIN SHAARI</v>
      </c>
      <c r="V1739" t="str">
        <f t="shared" si="727"/>
        <v>FARHANA BINTI MUSTAPA</v>
      </c>
      <c r="W1739" t="str">
        <f t="shared" si="728"/>
        <v>04-08-2020</v>
      </c>
      <c r="X1739" t="str">
        <f t="shared" si="729"/>
        <v>RAZIMAH ANSAR AHMAD</v>
      </c>
      <c r="Y1739" t="str">
        <f t="shared" si="730"/>
        <v>04-08-2020</v>
      </c>
      <c r="Z1739" t="str">
        <f>"COS10200804 7415"</f>
        <v>COS10200804 7415</v>
      </c>
    </row>
    <row r="1740" spans="1:26" x14ac:dyDescent="0.25">
      <c r="A1740" t="str">
        <f t="shared" si="714"/>
        <v>04-08-2020 01:07:32</v>
      </c>
      <c r="B1740" t="str">
        <f>"0000809214"</f>
        <v>0000809214</v>
      </c>
      <c r="C1740" t="str">
        <f t="shared" si="715"/>
        <v>0000809200</v>
      </c>
      <c r="D1740" t="str">
        <f t="shared" si="718"/>
        <v>73185</v>
      </c>
      <c r="E1740" t="str">
        <f t="shared" si="719"/>
        <v>KFH-OPERATIONS DEPARTMENT</v>
      </c>
      <c r="F1740" t="str">
        <f t="shared" si="720"/>
        <v>IBG</v>
      </c>
      <c r="G1740" t="str">
        <f t="shared" ref="G1740:G1803" si="731">"Refund COSHARE 10"</f>
        <v>Refund COSHARE 10</v>
      </c>
      <c r="H1740" s="2">
        <v>251</v>
      </c>
      <c r="I1740" t="str">
        <f>"SHAMSUL ZAMRI BIN JUMAIN"</f>
        <v>SHAMSUL ZAMRI BIN JUMAIN</v>
      </c>
      <c r="J1740" t="str">
        <f t="shared" si="707"/>
        <v>MAYBANK / MAYBANK ISLAMIC</v>
      </c>
      <c r="K1740" t="str">
        <f>"101244243994"</f>
        <v>101244243994</v>
      </c>
      <c r="L1740" t="str">
        <f t="shared" si="716"/>
        <v>04-08-2020</v>
      </c>
      <c r="M1740" t="str">
        <f t="shared" si="716"/>
        <v>04-08-2020</v>
      </c>
      <c r="N1740" t="str">
        <f t="shared" si="721"/>
        <v>001105018356</v>
      </c>
      <c r="O1740" t="str">
        <f t="shared" si="722"/>
        <v>MYR</v>
      </c>
      <c r="P1740" t="str">
        <f t="shared" si="717"/>
        <v>NIL</v>
      </c>
      <c r="Q1740" t="str">
        <f t="shared" si="717"/>
        <v>NIL</v>
      </c>
      <c r="R1740" t="str">
        <f t="shared" si="723"/>
        <v>Accepted</v>
      </c>
      <c r="S1740" t="str">
        <f t="shared" si="724"/>
        <v>Approved</v>
      </c>
      <c r="T1740" t="str">
        <f t="shared" si="725"/>
        <v>10.20.8.188</v>
      </c>
      <c r="U1740" t="str">
        <f t="shared" si="726"/>
        <v>AZRAD UMAR BIN SHAARI</v>
      </c>
      <c r="V1740" t="str">
        <f t="shared" si="727"/>
        <v>FARHANA BINTI MUSTAPA</v>
      </c>
      <c r="W1740" t="str">
        <f t="shared" si="728"/>
        <v>04-08-2020</v>
      </c>
      <c r="X1740" t="str">
        <f t="shared" si="729"/>
        <v>RAZIMAH ANSAR AHMAD</v>
      </c>
      <c r="Y1740" t="str">
        <f t="shared" si="730"/>
        <v>04-08-2020</v>
      </c>
      <c r="Z1740" t="str">
        <f>"COS10200804 7414"</f>
        <v>COS10200804 7414</v>
      </c>
    </row>
    <row r="1741" spans="1:26" x14ac:dyDescent="0.25">
      <c r="A1741" t="str">
        <f t="shared" si="714"/>
        <v>04-08-2020 01:07:32</v>
      </c>
      <c r="B1741" t="str">
        <f>"0000809213"</f>
        <v>0000809213</v>
      </c>
      <c r="C1741" t="str">
        <f t="shared" si="715"/>
        <v>0000809200</v>
      </c>
      <c r="D1741" t="str">
        <f t="shared" si="718"/>
        <v>73185</v>
      </c>
      <c r="E1741" t="str">
        <f t="shared" si="719"/>
        <v>KFH-OPERATIONS DEPARTMENT</v>
      </c>
      <c r="F1741" t="str">
        <f t="shared" si="720"/>
        <v>IBG</v>
      </c>
      <c r="G1741" t="str">
        <f t="shared" si="731"/>
        <v>Refund COSHARE 10</v>
      </c>
      <c r="H1741" s="2">
        <v>1015.8</v>
      </c>
      <c r="I1741" t="str">
        <f>"SHAMSUL RIZAL BIN MD SAMAN"</f>
        <v>SHAMSUL RIZAL BIN MD SAMAN</v>
      </c>
      <c r="J1741" t="str">
        <f t="shared" si="707"/>
        <v>MAYBANK / MAYBANK ISLAMIC</v>
      </c>
      <c r="K1741" t="str">
        <f>"164016940725"</f>
        <v>164016940725</v>
      </c>
      <c r="L1741" t="str">
        <f t="shared" si="716"/>
        <v>04-08-2020</v>
      </c>
      <c r="M1741" t="str">
        <f t="shared" si="716"/>
        <v>04-08-2020</v>
      </c>
      <c r="N1741" t="str">
        <f t="shared" si="721"/>
        <v>001105018356</v>
      </c>
      <c r="O1741" t="str">
        <f t="shared" si="722"/>
        <v>MYR</v>
      </c>
      <c r="P1741" t="str">
        <f t="shared" si="717"/>
        <v>NIL</v>
      </c>
      <c r="Q1741" t="str">
        <f t="shared" si="717"/>
        <v>NIL</v>
      </c>
      <c r="R1741" t="str">
        <f t="shared" si="723"/>
        <v>Accepted</v>
      </c>
      <c r="S1741" t="str">
        <f t="shared" si="724"/>
        <v>Approved</v>
      </c>
      <c r="T1741" t="str">
        <f t="shared" si="725"/>
        <v>10.20.8.188</v>
      </c>
      <c r="U1741" t="str">
        <f t="shared" si="726"/>
        <v>AZRAD UMAR BIN SHAARI</v>
      </c>
      <c r="V1741" t="str">
        <f t="shared" si="727"/>
        <v>FARHANA BINTI MUSTAPA</v>
      </c>
      <c r="W1741" t="str">
        <f t="shared" si="728"/>
        <v>04-08-2020</v>
      </c>
      <c r="X1741" t="str">
        <f t="shared" si="729"/>
        <v>RAZIMAH ANSAR AHMAD</v>
      </c>
      <c r="Y1741" t="str">
        <f t="shared" si="730"/>
        <v>04-08-2020</v>
      </c>
      <c r="Z1741" t="str">
        <f>"COS10200804 7413"</f>
        <v>COS10200804 7413</v>
      </c>
    </row>
    <row r="1742" spans="1:26" x14ac:dyDescent="0.25">
      <c r="A1742" t="str">
        <f t="shared" si="714"/>
        <v>04-08-2020 01:07:32</v>
      </c>
      <c r="B1742" t="str">
        <f>"0000809212"</f>
        <v>0000809212</v>
      </c>
      <c r="C1742" t="str">
        <f t="shared" si="715"/>
        <v>0000809200</v>
      </c>
      <c r="D1742" t="str">
        <f t="shared" si="718"/>
        <v>73185</v>
      </c>
      <c r="E1742" t="str">
        <f t="shared" si="719"/>
        <v>KFH-OPERATIONS DEPARTMENT</v>
      </c>
      <c r="F1742" t="str">
        <f t="shared" si="720"/>
        <v>IBG</v>
      </c>
      <c r="G1742" t="str">
        <f t="shared" si="731"/>
        <v>Refund COSHARE 10</v>
      </c>
      <c r="H1742" s="2">
        <v>1250.8499999999999</v>
      </c>
      <c r="I1742" t="str">
        <f>"SHAMSUL RIZA AMIN SHAH BIN MUHAMMAD"</f>
        <v>SHAMSUL RIZA AMIN SHAH BIN MUHAMMAD</v>
      </c>
      <c r="J1742" t="str">
        <f t="shared" si="707"/>
        <v>MAYBANK / MAYBANK ISLAMIC</v>
      </c>
      <c r="K1742" t="str">
        <f>"164490047376"</f>
        <v>164490047376</v>
      </c>
      <c r="L1742" t="str">
        <f t="shared" si="716"/>
        <v>04-08-2020</v>
      </c>
      <c r="M1742" t="str">
        <f t="shared" si="716"/>
        <v>04-08-2020</v>
      </c>
      <c r="N1742" t="str">
        <f t="shared" si="721"/>
        <v>001105018356</v>
      </c>
      <c r="O1742" t="str">
        <f t="shared" si="722"/>
        <v>MYR</v>
      </c>
      <c r="P1742" t="str">
        <f t="shared" si="717"/>
        <v>NIL</v>
      </c>
      <c r="Q1742" t="str">
        <f t="shared" si="717"/>
        <v>NIL</v>
      </c>
      <c r="R1742" t="str">
        <f t="shared" si="723"/>
        <v>Accepted</v>
      </c>
      <c r="S1742" t="str">
        <f t="shared" si="724"/>
        <v>Approved</v>
      </c>
      <c r="T1742" t="str">
        <f t="shared" si="725"/>
        <v>10.20.8.188</v>
      </c>
      <c r="U1742" t="str">
        <f t="shared" si="726"/>
        <v>AZRAD UMAR BIN SHAARI</v>
      </c>
      <c r="V1742" t="str">
        <f t="shared" si="727"/>
        <v>FARHANA BINTI MUSTAPA</v>
      </c>
      <c r="W1742" t="str">
        <f t="shared" si="728"/>
        <v>04-08-2020</v>
      </c>
      <c r="X1742" t="str">
        <f t="shared" si="729"/>
        <v>RAZIMAH ANSAR AHMAD</v>
      </c>
      <c r="Y1742" t="str">
        <f t="shared" si="730"/>
        <v>04-08-2020</v>
      </c>
      <c r="Z1742" t="str">
        <f>"COS10200804 7412"</f>
        <v>COS10200804 7412</v>
      </c>
    </row>
    <row r="1743" spans="1:26" x14ac:dyDescent="0.25">
      <c r="A1743" t="str">
        <f t="shared" si="714"/>
        <v>04-08-2020 01:07:32</v>
      </c>
      <c r="B1743" t="str">
        <f>"0000809211"</f>
        <v>0000809211</v>
      </c>
      <c r="C1743" t="str">
        <f t="shared" si="715"/>
        <v>0000809200</v>
      </c>
      <c r="D1743" t="str">
        <f t="shared" si="718"/>
        <v>73185</v>
      </c>
      <c r="E1743" t="str">
        <f t="shared" si="719"/>
        <v>KFH-OPERATIONS DEPARTMENT</v>
      </c>
      <c r="F1743" t="str">
        <f t="shared" si="720"/>
        <v>IBG</v>
      </c>
      <c r="G1743" t="str">
        <f t="shared" si="731"/>
        <v>Refund COSHARE 10</v>
      </c>
      <c r="H1743" s="2">
        <v>671.6</v>
      </c>
      <c r="I1743" t="str">
        <f>"SHAMSUL BIN JAMALUDIN"</f>
        <v>SHAMSUL BIN JAMALUDIN</v>
      </c>
      <c r="J1743" t="str">
        <f t="shared" si="707"/>
        <v>MAYBANK / MAYBANK ISLAMIC</v>
      </c>
      <c r="K1743" t="str">
        <f>"114169721288"</f>
        <v>114169721288</v>
      </c>
      <c r="L1743" t="str">
        <f t="shared" si="716"/>
        <v>04-08-2020</v>
      </c>
      <c r="M1743" t="str">
        <f t="shared" si="716"/>
        <v>04-08-2020</v>
      </c>
      <c r="N1743" t="str">
        <f t="shared" si="721"/>
        <v>001105018356</v>
      </c>
      <c r="O1743" t="str">
        <f t="shared" si="722"/>
        <v>MYR</v>
      </c>
      <c r="P1743" t="str">
        <f t="shared" si="717"/>
        <v>NIL</v>
      </c>
      <c r="Q1743" t="str">
        <f t="shared" si="717"/>
        <v>NIL</v>
      </c>
      <c r="R1743" t="str">
        <f t="shared" si="723"/>
        <v>Accepted</v>
      </c>
      <c r="S1743" t="str">
        <f t="shared" si="724"/>
        <v>Approved</v>
      </c>
      <c r="T1743" t="str">
        <f t="shared" si="725"/>
        <v>10.20.8.188</v>
      </c>
      <c r="U1743" t="str">
        <f t="shared" si="726"/>
        <v>AZRAD UMAR BIN SHAARI</v>
      </c>
      <c r="V1743" t="str">
        <f t="shared" si="727"/>
        <v>FARHANA BINTI MUSTAPA</v>
      </c>
      <c r="W1743" t="str">
        <f t="shared" si="728"/>
        <v>04-08-2020</v>
      </c>
      <c r="X1743" t="str">
        <f t="shared" si="729"/>
        <v>RAZIMAH ANSAR AHMAD</v>
      </c>
      <c r="Y1743" t="str">
        <f t="shared" si="730"/>
        <v>04-08-2020</v>
      </c>
      <c r="Z1743" t="str">
        <f>"COS10200804 7411"</f>
        <v>COS10200804 7411</v>
      </c>
    </row>
    <row r="1744" spans="1:26" x14ac:dyDescent="0.25">
      <c r="A1744" t="str">
        <f t="shared" si="714"/>
        <v>04-08-2020 01:07:32</v>
      </c>
      <c r="B1744" t="str">
        <f>"0000809210"</f>
        <v>0000809210</v>
      </c>
      <c r="C1744" t="str">
        <f t="shared" si="715"/>
        <v>0000809200</v>
      </c>
      <c r="D1744" t="str">
        <f t="shared" si="718"/>
        <v>73185</v>
      </c>
      <c r="E1744" t="str">
        <f t="shared" si="719"/>
        <v>KFH-OPERATIONS DEPARTMENT</v>
      </c>
      <c r="F1744" t="str">
        <f t="shared" si="720"/>
        <v>IBG</v>
      </c>
      <c r="G1744" t="str">
        <f t="shared" si="731"/>
        <v>Refund COSHARE 10</v>
      </c>
      <c r="H1744" s="2">
        <v>50.4</v>
      </c>
      <c r="I1744" t="str">
        <f>"SHAMSUL BIN ABIDIN"</f>
        <v>SHAMSUL BIN ABIDIN</v>
      </c>
      <c r="J1744" t="str">
        <f t="shared" si="707"/>
        <v>MAYBANK / MAYBANK ISLAMIC</v>
      </c>
      <c r="K1744" t="str">
        <f>"156011033863"</f>
        <v>156011033863</v>
      </c>
      <c r="L1744" t="str">
        <f t="shared" si="716"/>
        <v>04-08-2020</v>
      </c>
      <c r="M1744" t="str">
        <f t="shared" si="716"/>
        <v>04-08-2020</v>
      </c>
      <c r="N1744" t="str">
        <f t="shared" si="721"/>
        <v>001105018356</v>
      </c>
      <c r="O1744" t="str">
        <f t="shared" si="722"/>
        <v>MYR</v>
      </c>
      <c r="P1744" t="str">
        <f t="shared" si="717"/>
        <v>NIL</v>
      </c>
      <c r="Q1744" t="str">
        <f t="shared" si="717"/>
        <v>NIL</v>
      </c>
      <c r="R1744" t="str">
        <f t="shared" si="723"/>
        <v>Accepted</v>
      </c>
      <c r="S1744" t="str">
        <f t="shared" si="724"/>
        <v>Approved</v>
      </c>
      <c r="T1744" t="str">
        <f t="shared" si="725"/>
        <v>10.20.8.188</v>
      </c>
      <c r="U1744" t="str">
        <f t="shared" si="726"/>
        <v>AZRAD UMAR BIN SHAARI</v>
      </c>
      <c r="V1744" t="str">
        <f t="shared" si="727"/>
        <v>FARHANA BINTI MUSTAPA</v>
      </c>
      <c r="W1744" t="str">
        <f t="shared" si="728"/>
        <v>04-08-2020</v>
      </c>
      <c r="X1744" t="str">
        <f t="shared" si="729"/>
        <v>RAZIMAH ANSAR AHMAD</v>
      </c>
      <c r="Y1744" t="str">
        <f t="shared" si="730"/>
        <v>04-08-2020</v>
      </c>
      <c r="Z1744" t="str">
        <f>"COS10200804 7410"</f>
        <v>COS10200804 7410</v>
      </c>
    </row>
    <row r="1745" spans="1:26" x14ac:dyDescent="0.25">
      <c r="A1745" t="str">
        <f t="shared" si="714"/>
        <v>04-08-2020 01:07:32</v>
      </c>
      <c r="B1745" t="str">
        <f>"0000809209"</f>
        <v>0000809209</v>
      </c>
      <c r="C1745" t="str">
        <f t="shared" si="715"/>
        <v>0000809200</v>
      </c>
      <c r="D1745" t="str">
        <f t="shared" si="718"/>
        <v>73185</v>
      </c>
      <c r="E1745" t="str">
        <f t="shared" si="719"/>
        <v>KFH-OPERATIONS DEPARTMENT</v>
      </c>
      <c r="F1745" t="str">
        <f t="shared" si="720"/>
        <v>IBG</v>
      </c>
      <c r="G1745" t="str">
        <f t="shared" si="731"/>
        <v>Refund COSHARE 10</v>
      </c>
      <c r="H1745" s="2">
        <v>411.35</v>
      </c>
      <c r="I1745" t="str">
        <f>"SHAMSUL ANUAR BIN AHMAD TERMIZI"</f>
        <v>SHAMSUL ANUAR BIN AHMAD TERMIZI</v>
      </c>
      <c r="J1745" t="str">
        <f t="shared" ref="J1745:J1808" si="732">"MAYBANK / MAYBANK ISLAMIC"</f>
        <v>MAYBANK / MAYBANK ISLAMIC</v>
      </c>
      <c r="K1745" t="str">
        <f>"162777052174"</f>
        <v>162777052174</v>
      </c>
      <c r="L1745" t="str">
        <f t="shared" si="716"/>
        <v>04-08-2020</v>
      </c>
      <c r="M1745" t="str">
        <f t="shared" si="716"/>
        <v>04-08-2020</v>
      </c>
      <c r="N1745" t="str">
        <f t="shared" si="721"/>
        <v>001105018356</v>
      </c>
      <c r="O1745" t="str">
        <f t="shared" si="722"/>
        <v>MYR</v>
      </c>
      <c r="P1745" t="str">
        <f t="shared" si="717"/>
        <v>NIL</v>
      </c>
      <c r="Q1745" t="str">
        <f t="shared" si="717"/>
        <v>NIL</v>
      </c>
      <c r="R1745" t="str">
        <f t="shared" si="723"/>
        <v>Accepted</v>
      </c>
      <c r="S1745" t="str">
        <f t="shared" si="724"/>
        <v>Approved</v>
      </c>
      <c r="T1745" t="str">
        <f t="shared" si="725"/>
        <v>10.20.8.188</v>
      </c>
      <c r="U1745" t="str">
        <f t="shared" si="726"/>
        <v>AZRAD UMAR BIN SHAARI</v>
      </c>
      <c r="V1745" t="str">
        <f t="shared" si="727"/>
        <v>FARHANA BINTI MUSTAPA</v>
      </c>
      <c r="W1745" t="str">
        <f t="shared" si="728"/>
        <v>04-08-2020</v>
      </c>
      <c r="X1745" t="str">
        <f t="shared" si="729"/>
        <v>RAZIMAH ANSAR AHMAD</v>
      </c>
      <c r="Y1745" t="str">
        <f t="shared" si="730"/>
        <v>04-08-2020</v>
      </c>
      <c r="Z1745" t="str">
        <f>"COS10200804 7409"</f>
        <v>COS10200804 7409</v>
      </c>
    </row>
    <row r="1746" spans="1:26" x14ac:dyDescent="0.25">
      <c r="A1746" t="str">
        <f t="shared" ref="A1746:A1753" si="733">"04-08-2020 01:07:32"</f>
        <v>04-08-2020 01:07:32</v>
      </c>
      <c r="B1746" t="str">
        <f>"0000809208"</f>
        <v>0000809208</v>
      </c>
      <c r="C1746" t="str">
        <f t="shared" ref="C1746:C1753" si="734">"0000809200"</f>
        <v>0000809200</v>
      </c>
      <c r="D1746" t="str">
        <f t="shared" si="718"/>
        <v>73185</v>
      </c>
      <c r="E1746" t="str">
        <f t="shared" si="719"/>
        <v>KFH-OPERATIONS DEPARTMENT</v>
      </c>
      <c r="F1746" t="str">
        <f t="shared" si="720"/>
        <v>IBG</v>
      </c>
      <c r="G1746" t="str">
        <f t="shared" si="731"/>
        <v>Refund COSHARE 10</v>
      </c>
      <c r="H1746" s="2">
        <v>335.8</v>
      </c>
      <c r="I1746" t="str">
        <f>"SHAMSINA BINTI BADRIN"</f>
        <v>SHAMSINA BINTI BADRIN</v>
      </c>
      <c r="J1746" t="str">
        <f t="shared" si="732"/>
        <v>MAYBANK / MAYBANK ISLAMIC</v>
      </c>
      <c r="K1746" t="str">
        <f>"106110022262"</f>
        <v>106110022262</v>
      </c>
      <c r="L1746" t="str">
        <f t="shared" si="716"/>
        <v>04-08-2020</v>
      </c>
      <c r="M1746" t="str">
        <f t="shared" si="716"/>
        <v>04-08-2020</v>
      </c>
      <c r="N1746" t="str">
        <f t="shared" si="721"/>
        <v>001105018356</v>
      </c>
      <c r="O1746" t="str">
        <f t="shared" si="722"/>
        <v>MYR</v>
      </c>
      <c r="P1746" t="str">
        <f t="shared" si="717"/>
        <v>NIL</v>
      </c>
      <c r="Q1746" t="str">
        <f t="shared" si="717"/>
        <v>NIL</v>
      </c>
      <c r="R1746" t="str">
        <f t="shared" si="723"/>
        <v>Accepted</v>
      </c>
      <c r="S1746" t="str">
        <f t="shared" si="724"/>
        <v>Approved</v>
      </c>
      <c r="T1746" t="str">
        <f t="shared" si="725"/>
        <v>10.20.8.188</v>
      </c>
      <c r="U1746" t="str">
        <f t="shared" si="726"/>
        <v>AZRAD UMAR BIN SHAARI</v>
      </c>
      <c r="V1746" t="str">
        <f t="shared" si="727"/>
        <v>FARHANA BINTI MUSTAPA</v>
      </c>
      <c r="W1746" t="str">
        <f t="shared" si="728"/>
        <v>04-08-2020</v>
      </c>
      <c r="X1746" t="str">
        <f t="shared" si="729"/>
        <v>RAZIMAH ANSAR AHMAD</v>
      </c>
      <c r="Y1746" t="str">
        <f t="shared" si="730"/>
        <v>04-08-2020</v>
      </c>
      <c r="Z1746" t="str">
        <f>"COS10200804 7408"</f>
        <v>COS10200804 7408</v>
      </c>
    </row>
    <row r="1747" spans="1:26" x14ac:dyDescent="0.25">
      <c r="A1747" t="str">
        <f t="shared" si="733"/>
        <v>04-08-2020 01:07:32</v>
      </c>
      <c r="B1747" t="str">
        <f>"0000809207"</f>
        <v>0000809207</v>
      </c>
      <c r="C1747" t="str">
        <f t="shared" si="734"/>
        <v>0000809200</v>
      </c>
      <c r="D1747" t="str">
        <f t="shared" si="718"/>
        <v>73185</v>
      </c>
      <c r="E1747" t="str">
        <f t="shared" si="719"/>
        <v>KFH-OPERATIONS DEPARTMENT</v>
      </c>
      <c r="F1747" t="str">
        <f t="shared" si="720"/>
        <v>IBG</v>
      </c>
      <c r="G1747" t="str">
        <f t="shared" si="731"/>
        <v>Refund COSHARE 10</v>
      </c>
      <c r="H1747" s="2">
        <v>1259.25</v>
      </c>
      <c r="I1747" t="str">
        <f>"SHAMSIDAR BINTI ARSHAD"</f>
        <v>SHAMSIDAR BINTI ARSHAD</v>
      </c>
      <c r="J1747" t="str">
        <f t="shared" si="732"/>
        <v>MAYBANK / MAYBANK ISLAMIC</v>
      </c>
      <c r="K1747" t="str">
        <f>"156020002635"</f>
        <v>156020002635</v>
      </c>
      <c r="L1747" t="str">
        <f t="shared" ref="L1747:M1766" si="735">"04-08-2020"</f>
        <v>04-08-2020</v>
      </c>
      <c r="M1747" t="str">
        <f t="shared" si="735"/>
        <v>04-08-2020</v>
      </c>
      <c r="N1747" t="str">
        <f t="shared" si="721"/>
        <v>001105018356</v>
      </c>
      <c r="O1747" t="str">
        <f t="shared" si="722"/>
        <v>MYR</v>
      </c>
      <c r="P1747" t="str">
        <f t="shared" ref="P1747:Q1766" si="736">"NIL"</f>
        <v>NIL</v>
      </c>
      <c r="Q1747" t="str">
        <f t="shared" si="736"/>
        <v>NIL</v>
      </c>
      <c r="R1747" t="str">
        <f t="shared" si="723"/>
        <v>Accepted</v>
      </c>
      <c r="S1747" t="str">
        <f t="shared" si="724"/>
        <v>Approved</v>
      </c>
      <c r="T1747" t="str">
        <f t="shared" si="725"/>
        <v>10.20.8.188</v>
      </c>
      <c r="U1747" t="str">
        <f t="shared" si="726"/>
        <v>AZRAD UMAR BIN SHAARI</v>
      </c>
      <c r="V1747" t="str">
        <f t="shared" si="727"/>
        <v>FARHANA BINTI MUSTAPA</v>
      </c>
      <c r="W1747" t="str">
        <f t="shared" si="728"/>
        <v>04-08-2020</v>
      </c>
      <c r="X1747" t="str">
        <f t="shared" si="729"/>
        <v>RAZIMAH ANSAR AHMAD</v>
      </c>
      <c r="Y1747" t="str">
        <f t="shared" si="730"/>
        <v>04-08-2020</v>
      </c>
      <c r="Z1747" t="str">
        <f>"COS10200804 7407"</f>
        <v>COS10200804 7407</v>
      </c>
    </row>
    <row r="1748" spans="1:26" x14ac:dyDescent="0.25">
      <c r="A1748" t="str">
        <f t="shared" si="733"/>
        <v>04-08-2020 01:07:32</v>
      </c>
      <c r="B1748" t="str">
        <f>"0000809206"</f>
        <v>0000809206</v>
      </c>
      <c r="C1748" t="str">
        <f t="shared" si="734"/>
        <v>0000809200</v>
      </c>
      <c r="D1748" t="str">
        <f t="shared" si="718"/>
        <v>73185</v>
      </c>
      <c r="E1748" t="str">
        <f t="shared" si="719"/>
        <v>KFH-OPERATIONS DEPARTMENT</v>
      </c>
      <c r="F1748" t="str">
        <f t="shared" si="720"/>
        <v>IBG</v>
      </c>
      <c r="G1748" t="str">
        <f t="shared" si="731"/>
        <v>Refund COSHARE 10</v>
      </c>
      <c r="H1748" s="2">
        <v>805.95</v>
      </c>
      <c r="I1748" t="str">
        <f>"SHAMSIAH BINTI MOHAMAD  SHAMSUDDIN"</f>
        <v>SHAMSIAH BINTI MOHAMAD  SHAMSUDDIN</v>
      </c>
      <c r="J1748" t="str">
        <f t="shared" si="732"/>
        <v>MAYBANK / MAYBANK ISLAMIC</v>
      </c>
      <c r="K1748" t="str">
        <f>"153056166998"</f>
        <v>153056166998</v>
      </c>
      <c r="L1748" t="str">
        <f t="shared" si="735"/>
        <v>04-08-2020</v>
      </c>
      <c r="M1748" t="str">
        <f t="shared" si="735"/>
        <v>04-08-2020</v>
      </c>
      <c r="N1748" t="str">
        <f t="shared" si="721"/>
        <v>001105018356</v>
      </c>
      <c r="O1748" t="str">
        <f t="shared" si="722"/>
        <v>MYR</v>
      </c>
      <c r="P1748" t="str">
        <f t="shared" si="736"/>
        <v>NIL</v>
      </c>
      <c r="Q1748" t="str">
        <f t="shared" si="736"/>
        <v>NIL</v>
      </c>
      <c r="R1748" t="str">
        <f t="shared" si="723"/>
        <v>Accepted</v>
      </c>
      <c r="S1748" t="str">
        <f t="shared" si="724"/>
        <v>Approved</v>
      </c>
      <c r="T1748" t="str">
        <f t="shared" si="725"/>
        <v>10.20.8.188</v>
      </c>
      <c r="U1748" t="str">
        <f t="shared" si="726"/>
        <v>AZRAD UMAR BIN SHAARI</v>
      </c>
      <c r="V1748" t="str">
        <f t="shared" si="727"/>
        <v>FARHANA BINTI MUSTAPA</v>
      </c>
      <c r="W1748" t="str">
        <f t="shared" si="728"/>
        <v>04-08-2020</v>
      </c>
      <c r="X1748" t="str">
        <f t="shared" si="729"/>
        <v>RAZIMAH ANSAR AHMAD</v>
      </c>
      <c r="Y1748" t="str">
        <f t="shared" si="730"/>
        <v>04-08-2020</v>
      </c>
      <c r="Z1748" t="str">
        <f>"COS10200804 7406"</f>
        <v>COS10200804 7406</v>
      </c>
    </row>
    <row r="1749" spans="1:26" x14ac:dyDescent="0.25">
      <c r="A1749" t="str">
        <f t="shared" si="733"/>
        <v>04-08-2020 01:07:32</v>
      </c>
      <c r="B1749" t="str">
        <f>"0000809205"</f>
        <v>0000809205</v>
      </c>
      <c r="C1749" t="str">
        <f t="shared" si="734"/>
        <v>0000809200</v>
      </c>
      <c r="D1749" t="str">
        <f t="shared" si="718"/>
        <v>73185</v>
      </c>
      <c r="E1749" t="str">
        <f t="shared" si="719"/>
        <v>KFH-OPERATIONS DEPARTMENT</v>
      </c>
      <c r="F1749" t="str">
        <f t="shared" si="720"/>
        <v>IBG</v>
      </c>
      <c r="G1749" t="str">
        <f t="shared" si="731"/>
        <v>Refund COSHARE 10</v>
      </c>
      <c r="H1749" s="2">
        <v>343.85</v>
      </c>
      <c r="I1749" t="str">
        <f>"SHAMSIAH BINTI DAHLAN"</f>
        <v>SHAMSIAH BINTI DAHLAN</v>
      </c>
      <c r="J1749" t="str">
        <f t="shared" si="732"/>
        <v>MAYBANK / MAYBANK ISLAMIC</v>
      </c>
      <c r="K1749" t="str">
        <f>"112036016162"</f>
        <v>112036016162</v>
      </c>
      <c r="L1749" t="str">
        <f t="shared" si="735"/>
        <v>04-08-2020</v>
      </c>
      <c r="M1749" t="str">
        <f t="shared" si="735"/>
        <v>04-08-2020</v>
      </c>
      <c r="N1749" t="str">
        <f t="shared" si="721"/>
        <v>001105018356</v>
      </c>
      <c r="O1749" t="str">
        <f t="shared" si="722"/>
        <v>MYR</v>
      </c>
      <c r="P1749" t="str">
        <f t="shared" si="736"/>
        <v>NIL</v>
      </c>
      <c r="Q1749" t="str">
        <f t="shared" si="736"/>
        <v>NIL</v>
      </c>
      <c r="R1749" t="str">
        <f t="shared" si="723"/>
        <v>Accepted</v>
      </c>
      <c r="S1749" t="str">
        <f t="shared" si="724"/>
        <v>Approved</v>
      </c>
      <c r="T1749" t="str">
        <f t="shared" si="725"/>
        <v>10.20.8.188</v>
      </c>
      <c r="U1749" t="str">
        <f t="shared" si="726"/>
        <v>AZRAD UMAR BIN SHAARI</v>
      </c>
      <c r="V1749" t="str">
        <f t="shared" si="727"/>
        <v>FARHANA BINTI MUSTAPA</v>
      </c>
      <c r="W1749" t="str">
        <f t="shared" si="728"/>
        <v>04-08-2020</v>
      </c>
      <c r="X1749" t="str">
        <f t="shared" si="729"/>
        <v>RAZIMAH ANSAR AHMAD</v>
      </c>
      <c r="Y1749" t="str">
        <f t="shared" si="730"/>
        <v>04-08-2020</v>
      </c>
      <c r="Z1749" t="str">
        <f>"COS10200804 7405"</f>
        <v>COS10200804 7405</v>
      </c>
    </row>
    <row r="1750" spans="1:26" x14ac:dyDescent="0.25">
      <c r="A1750" t="str">
        <f t="shared" si="733"/>
        <v>04-08-2020 01:07:32</v>
      </c>
      <c r="B1750" t="str">
        <f>"0000809204"</f>
        <v>0000809204</v>
      </c>
      <c r="C1750" t="str">
        <f t="shared" si="734"/>
        <v>0000809200</v>
      </c>
      <c r="D1750" t="str">
        <f t="shared" si="718"/>
        <v>73185</v>
      </c>
      <c r="E1750" t="str">
        <f t="shared" si="719"/>
        <v>KFH-OPERATIONS DEPARTMENT</v>
      </c>
      <c r="F1750" t="str">
        <f t="shared" si="720"/>
        <v>IBG</v>
      </c>
      <c r="G1750" t="str">
        <f t="shared" si="731"/>
        <v>Refund COSHARE 10</v>
      </c>
      <c r="H1750" s="2">
        <v>1569.85</v>
      </c>
      <c r="I1750" t="str">
        <f>"SHAMSHUL ALIMIN BIN MOHAMAD"</f>
        <v>SHAMSHUL ALIMIN BIN MOHAMAD</v>
      </c>
      <c r="J1750" t="str">
        <f t="shared" si="732"/>
        <v>MAYBANK / MAYBANK ISLAMIC</v>
      </c>
      <c r="K1750" t="str">
        <f>"152189004165"</f>
        <v>152189004165</v>
      </c>
      <c r="L1750" t="str">
        <f t="shared" si="735"/>
        <v>04-08-2020</v>
      </c>
      <c r="M1750" t="str">
        <f t="shared" si="735"/>
        <v>04-08-2020</v>
      </c>
      <c r="N1750" t="str">
        <f t="shared" si="721"/>
        <v>001105018356</v>
      </c>
      <c r="O1750" t="str">
        <f t="shared" si="722"/>
        <v>MYR</v>
      </c>
      <c r="P1750" t="str">
        <f t="shared" si="736"/>
        <v>NIL</v>
      </c>
      <c r="Q1750" t="str">
        <f t="shared" si="736"/>
        <v>NIL</v>
      </c>
      <c r="R1750" t="str">
        <f t="shared" si="723"/>
        <v>Accepted</v>
      </c>
      <c r="S1750" t="str">
        <f t="shared" si="724"/>
        <v>Approved</v>
      </c>
      <c r="T1750" t="str">
        <f t="shared" si="725"/>
        <v>10.20.8.188</v>
      </c>
      <c r="U1750" t="str">
        <f t="shared" si="726"/>
        <v>AZRAD UMAR BIN SHAARI</v>
      </c>
      <c r="V1750" t="str">
        <f t="shared" si="727"/>
        <v>FARHANA BINTI MUSTAPA</v>
      </c>
      <c r="W1750" t="str">
        <f t="shared" si="728"/>
        <v>04-08-2020</v>
      </c>
      <c r="X1750" t="str">
        <f t="shared" si="729"/>
        <v>RAZIMAH ANSAR AHMAD</v>
      </c>
      <c r="Y1750" t="str">
        <f t="shared" si="730"/>
        <v>04-08-2020</v>
      </c>
      <c r="Z1750" t="str">
        <f>"COS10200804 7404"</f>
        <v>COS10200804 7404</v>
      </c>
    </row>
    <row r="1751" spans="1:26" x14ac:dyDescent="0.25">
      <c r="A1751" t="str">
        <f t="shared" si="733"/>
        <v>04-08-2020 01:07:32</v>
      </c>
      <c r="B1751" t="str">
        <f>"0000809203"</f>
        <v>0000809203</v>
      </c>
      <c r="C1751" t="str">
        <f t="shared" si="734"/>
        <v>0000809200</v>
      </c>
      <c r="D1751" t="str">
        <f t="shared" si="718"/>
        <v>73185</v>
      </c>
      <c r="E1751" t="str">
        <f t="shared" si="719"/>
        <v>KFH-OPERATIONS DEPARTMENT</v>
      </c>
      <c r="F1751" t="str">
        <f t="shared" si="720"/>
        <v>IBG</v>
      </c>
      <c r="G1751" t="str">
        <f t="shared" si="731"/>
        <v>Refund COSHARE 10</v>
      </c>
      <c r="H1751" s="2">
        <v>144</v>
      </c>
      <c r="I1751" t="str">
        <f>"SHAMSHAHIDA BINTI ABAS"</f>
        <v>SHAMSHAHIDA BINTI ABAS</v>
      </c>
      <c r="J1751" t="str">
        <f t="shared" si="732"/>
        <v>MAYBANK / MAYBANK ISLAMIC</v>
      </c>
      <c r="K1751" t="str">
        <f>"155108687193"</f>
        <v>155108687193</v>
      </c>
      <c r="L1751" t="str">
        <f t="shared" si="735"/>
        <v>04-08-2020</v>
      </c>
      <c r="M1751" t="str">
        <f t="shared" si="735"/>
        <v>04-08-2020</v>
      </c>
      <c r="N1751" t="str">
        <f t="shared" si="721"/>
        <v>001105018356</v>
      </c>
      <c r="O1751" t="str">
        <f t="shared" si="722"/>
        <v>MYR</v>
      </c>
      <c r="P1751" t="str">
        <f t="shared" si="736"/>
        <v>NIL</v>
      </c>
      <c r="Q1751" t="str">
        <f t="shared" si="736"/>
        <v>NIL</v>
      </c>
      <c r="R1751" t="str">
        <f t="shared" si="723"/>
        <v>Accepted</v>
      </c>
      <c r="S1751" t="str">
        <f t="shared" si="724"/>
        <v>Approved</v>
      </c>
      <c r="T1751" t="str">
        <f t="shared" si="725"/>
        <v>10.20.8.188</v>
      </c>
      <c r="U1751" t="str">
        <f t="shared" si="726"/>
        <v>AZRAD UMAR BIN SHAARI</v>
      </c>
      <c r="V1751" t="str">
        <f t="shared" si="727"/>
        <v>FARHANA BINTI MUSTAPA</v>
      </c>
      <c r="W1751" t="str">
        <f t="shared" si="728"/>
        <v>04-08-2020</v>
      </c>
      <c r="X1751" t="str">
        <f t="shared" si="729"/>
        <v>RAZIMAH ANSAR AHMAD</v>
      </c>
      <c r="Y1751" t="str">
        <f t="shared" si="730"/>
        <v>04-08-2020</v>
      </c>
      <c r="Z1751" t="str">
        <f>"COS10200804 7403"</f>
        <v>COS10200804 7403</v>
      </c>
    </row>
    <row r="1752" spans="1:26" x14ac:dyDescent="0.25">
      <c r="A1752" t="str">
        <f t="shared" si="733"/>
        <v>04-08-2020 01:07:32</v>
      </c>
      <c r="B1752" t="str">
        <f>"0000809202"</f>
        <v>0000809202</v>
      </c>
      <c r="C1752" t="str">
        <f t="shared" si="734"/>
        <v>0000809200</v>
      </c>
      <c r="D1752" t="str">
        <f t="shared" si="718"/>
        <v>73185</v>
      </c>
      <c r="E1752" t="str">
        <f t="shared" si="719"/>
        <v>KFH-OPERATIONS DEPARTMENT</v>
      </c>
      <c r="F1752" t="str">
        <f t="shared" si="720"/>
        <v>IBG</v>
      </c>
      <c r="G1752" t="str">
        <f t="shared" si="731"/>
        <v>Refund COSHARE 10</v>
      </c>
      <c r="H1752" s="2">
        <v>225.95</v>
      </c>
      <c r="I1752" t="str">
        <f>"SHAMRY BIN TAKIM"</f>
        <v>SHAMRY BIN TAKIM</v>
      </c>
      <c r="J1752" t="str">
        <f t="shared" si="732"/>
        <v>MAYBANK / MAYBANK ISLAMIC</v>
      </c>
      <c r="K1752" t="str">
        <f>"162106396174"</f>
        <v>162106396174</v>
      </c>
      <c r="L1752" t="str">
        <f t="shared" si="735"/>
        <v>04-08-2020</v>
      </c>
      <c r="M1752" t="str">
        <f t="shared" si="735"/>
        <v>04-08-2020</v>
      </c>
      <c r="N1752" t="str">
        <f t="shared" si="721"/>
        <v>001105018356</v>
      </c>
      <c r="O1752" t="str">
        <f t="shared" si="722"/>
        <v>MYR</v>
      </c>
      <c r="P1752" t="str">
        <f t="shared" si="736"/>
        <v>NIL</v>
      </c>
      <c r="Q1752" t="str">
        <f t="shared" si="736"/>
        <v>NIL</v>
      </c>
      <c r="R1752" t="str">
        <f t="shared" si="723"/>
        <v>Accepted</v>
      </c>
      <c r="S1752" t="str">
        <f t="shared" si="724"/>
        <v>Approved</v>
      </c>
      <c r="T1752" t="str">
        <f t="shared" si="725"/>
        <v>10.20.8.188</v>
      </c>
      <c r="U1752" t="str">
        <f t="shared" si="726"/>
        <v>AZRAD UMAR BIN SHAARI</v>
      </c>
      <c r="V1752" t="str">
        <f t="shared" si="727"/>
        <v>FARHANA BINTI MUSTAPA</v>
      </c>
      <c r="W1752" t="str">
        <f t="shared" si="728"/>
        <v>04-08-2020</v>
      </c>
      <c r="X1752" t="str">
        <f t="shared" si="729"/>
        <v>RAZIMAH ANSAR AHMAD</v>
      </c>
      <c r="Y1752" t="str">
        <f t="shared" si="730"/>
        <v>04-08-2020</v>
      </c>
      <c r="Z1752" t="str">
        <f>"COS10200804 7402"</f>
        <v>COS10200804 7402</v>
      </c>
    </row>
    <row r="1753" spans="1:26" x14ac:dyDescent="0.25">
      <c r="A1753" t="str">
        <f t="shared" si="733"/>
        <v>04-08-2020 01:07:32</v>
      </c>
      <c r="B1753" t="str">
        <f>"0000809201"</f>
        <v>0000809201</v>
      </c>
      <c r="C1753" t="str">
        <f t="shared" si="734"/>
        <v>0000809200</v>
      </c>
      <c r="D1753" t="str">
        <f t="shared" si="718"/>
        <v>73185</v>
      </c>
      <c r="E1753" t="str">
        <f t="shared" si="719"/>
        <v>KFH-OPERATIONS DEPARTMENT</v>
      </c>
      <c r="F1753" t="str">
        <f t="shared" si="720"/>
        <v>IBG</v>
      </c>
      <c r="G1753" t="str">
        <f t="shared" si="731"/>
        <v>Refund COSHARE 10</v>
      </c>
      <c r="H1753" s="2">
        <v>839.5</v>
      </c>
      <c r="I1753" t="str">
        <f>"SHAMLEY BIN JOHARI"</f>
        <v>SHAMLEY BIN JOHARI</v>
      </c>
      <c r="J1753" t="str">
        <f t="shared" si="732"/>
        <v>MAYBANK / MAYBANK ISLAMIC</v>
      </c>
      <c r="K1753" t="str">
        <f>"110023018861"</f>
        <v>110023018861</v>
      </c>
      <c r="L1753" t="str">
        <f t="shared" si="735"/>
        <v>04-08-2020</v>
      </c>
      <c r="M1753" t="str">
        <f t="shared" si="735"/>
        <v>04-08-2020</v>
      </c>
      <c r="N1753" t="str">
        <f t="shared" si="721"/>
        <v>001105018356</v>
      </c>
      <c r="O1753" t="str">
        <f t="shared" si="722"/>
        <v>MYR</v>
      </c>
      <c r="P1753" t="str">
        <f t="shared" si="736"/>
        <v>NIL</v>
      </c>
      <c r="Q1753" t="str">
        <f t="shared" si="736"/>
        <v>NIL</v>
      </c>
      <c r="R1753" t="str">
        <f t="shared" si="723"/>
        <v>Accepted</v>
      </c>
      <c r="S1753" t="str">
        <f t="shared" si="724"/>
        <v>Approved</v>
      </c>
      <c r="T1753" t="str">
        <f t="shared" si="725"/>
        <v>10.20.8.188</v>
      </c>
      <c r="U1753" t="str">
        <f t="shared" si="726"/>
        <v>AZRAD UMAR BIN SHAARI</v>
      </c>
      <c r="V1753" t="str">
        <f t="shared" si="727"/>
        <v>FARHANA BINTI MUSTAPA</v>
      </c>
      <c r="W1753" t="str">
        <f t="shared" si="728"/>
        <v>04-08-2020</v>
      </c>
      <c r="X1753" t="str">
        <f t="shared" si="729"/>
        <v>RAZIMAH ANSAR AHMAD</v>
      </c>
      <c r="Y1753" t="str">
        <f t="shared" si="730"/>
        <v>04-08-2020</v>
      </c>
      <c r="Z1753" t="str">
        <f>"COS10200804 7401"</f>
        <v>COS10200804 7401</v>
      </c>
    </row>
    <row r="1754" spans="1:26" x14ac:dyDescent="0.25">
      <c r="A1754" t="str">
        <f t="shared" ref="A1754:A1785" si="737">"04-08-2020 01:06:46"</f>
        <v>04-08-2020 01:06:46</v>
      </c>
      <c r="B1754" t="str">
        <f>"0000809199"</f>
        <v>0000809199</v>
      </c>
      <c r="C1754" t="str">
        <f t="shared" ref="C1754:C1785" si="738">"0000808999"</f>
        <v>0000808999</v>
      </c>
      <c r="D1754" t="str">
        <f t="shared" si="718"/>
        <v>73185</v>
      </c>
      <c r="E1754" t="str">
        <f t="shared" si="719"/>
        <v>KFH-OPERATIONS DEPARTMENT</v>
      </c>
      <c r="F1754" t="str">
        <f t="shared" si="720"/>
        <v>IBG</v>
      </c>
      <c r="G1754" t="str">
        <f t="shared" si="731"/>
        <v>Refund COSHARE 10</v>
      </c>
      <c r="H1754" s="2">
        <v>1376.8</v>
      </c>
      <c r="I1754" t="str">
        <f>"SHAMLAN HAMEDI BIN ALI KASSIM"</f>
        <v>SHAMLAN HAMEDI BIN ALI KASSIM</v>
      </c>
      <c r="J1754" t="str">
        <f t="shared" si="732"/>
        <v>MAYBANK / MAYBANK ISLAMIC</v>
      </c>
      <c r="K1754" t="str">
        <f>"160054305000"</f>
        <v>160054305000</v>
      </c>
      <c r="L1754" t="str">
        <f t="shared" si="735"/>
        <v>04-08-2020</v>
      </c>
      <c r="M1754" t="str">
        <f t="shared" si="735"/>
        <v>04-08-2020</v>
      </c>
      <c r="N1754" t="str">
        <f t="shared" si="721"/>
        <v>001105018356</v>
      </c>
      <c r="O1754" t="str">
        <f t="shared" si="722"/>
        <v>MYR</v>
      </c>
      <c r="P1754" t="str">
        <f t="shared" si="736"/>
        <v>NIL</v>
      </c>
      <c r="Q1754" t="str">
        <f t="shared" si="736"/>
        <v>NIL</v>
      </c>
      <c r="R1754" t="str">
        <f t="shared" si="723"/>
        <v>Accepted</v>
      </c>
      <c r="S1754" t="str">
        <f t="shared" si="724"/>
        <v>Approved</v>
      </c>
      <c r="T1754" t="str">
        <f t="shared" si="725"/>
        <v>10.20.8.188</v>
      </c>
      <c r="U1754" t="str">
        <f t="shared" si="726"/>
        <v>AZRAD UMAR BIN SHAARI</v>
      </c>
      <c r="V1754" t="str">
        <f t="shared" si="727"/>
        <v>FARHANA BINTI MUSTAPA</v>
      </c>
      <c r="W1754" t="str">
        <f t="shared" si="728"/>
        <v>04-08-2020</v>
      </c>
      <c r="X1754" t="str">
        <f t="shared" si="729"/>
        <v>RAZIMAH ANSAR AHMAD</v>
      </c>
      <c r="Y1754" t="str">
        <f t="shared" si="730"/>
        <v>04-08-2020</v>
      </c>
      <c r="Z1754" t="str">
        <f>"COS10200804 7400"</f>
        <v>COS10200804 7400</v>
      </c>
    </row>
    <row r="1755" spans="1:26" x14ac:dyDescent="0.25">
      <c r="A1755" t="str">
        <f t="shared" si="737"/>
        <v>04-08-2020 01:06:46</v>
      </c>
      <c r="B1755" t="str">
        <f>"0000809198"</f>
        <v>0000809198</v>
      </c>
      <c r="C1755" t="str">
        <f t="shared" si="738"/>
        <v>0000808999</v>
      </c>
      <c r="D1755" t="str">
        <f t="shared" si="718"/>
        <v>73185</v>
      </c>
      <c r="E1755" t="str">
        <f t="shared" si="719"/>
        <v>KFH-OPERATIONS DEPARTMENT</v>
      </c>
      <c r="F1755" t="str">
        <f t="shared" si="720"/>
        <v>IBG</v>
      </c>
      <c r="G1755" t="str">
        <f t="shared" si="731"/>
        <v>Refund COSHARE 10</v>
      </c>
      <c r="H1755" s="2">
        <v>1301.25</v>
      </c>
      <c r="I1755" t="str">
        <f>"SHAMDESWARI AP MUTHULINGAM"</f>
        <v>SHAMDESWARI AP MUTHULINGAM</v>
      </c>
      <c r="J1755" t="str">
        <f t="shared" si="732"/>
        <v>MAYBANK / MAYBANK ISLAMIC</v>
      </c>
      <c r="K1755" t="str">
        <f>"158060536260"</f>
        <v>158060536260</v>
      </c>
      <c r="L1755" t="str">
        <f t="shared" si="735"/>
        <v>04-08-2020</v>
      </c>
      <c r="M1755" t="str">
        <f t="shared" si="735"/>
        <v>04-08-2020</v>
      </c>
      <c r="N1755" t="str">
        <f t="shared" si="721"/>
        <v>001105018356</v>
      </c>
      <c r="O1755" t="str">
        <f t="shared" si="722"/>
        <v>MYR</v>
      </c>
      <c r="P1755" t="str">
        <f t="shared" si="736"/>
        <v>NIL</v>
      </c>
      <c r="Q1755" t="str">
        <f t="shared" si="736"/>
        <v>NIL</v>
      </c>
      <c r="R1755" t="str">
        <f t="shared" si="723"/>
        <v>Accepted</v>
      </c>
      <c r="S1755" t="str">
        <f t="shared" si="724"/>
        <v>Approved</v>
      </c>
      <c r="T1755" t="str">
        <f t="shared" si="725"/>
        <v>10.20.8.188</v>
      </c>
      <c r="U1755" t="str">
        <f t="shared" si="726"/>
        <v>AZRAD UMAR BIN SHAARI</v>
      </c>
      <c r="V1755" t="str">
        <f t="shared" si="727"/>
        <v>FARHANA BINTI MUSTAPA</v>
      </c>
      <c r="W1755" t="str">
        <f t="shared" si="728"/>
        <v>04-08-2020</v>
      </c>
      <c r="X1755" t="str">
        <f t="shared" si="729"/>
        <v>RAZIMAH ANSAR AHMAD</v>
      </c>
      <c r="Y1755" t="str">
        <f t="shared" si="730"/>
        <v>04-08-2020</v>
      </c>
      <c r="Z1755" t="str">
        <f>"COS10200804 7399"</f>
        <v>COS10200804 7399</v>
      </c>
    </row>
    <row r="1756" spans="1:26" x14ac:dyDescent="0.25">
      <c r="A1756" t="str">
        <f t="shared" si="737"/>
        <v>04-08-2020 01:06:46</v>
      </c>
      <c r="B1756" t="str">
        <f>"0000809197"</f>
        <v>0000809197</v>
      </c>
      <c r="C1756" t="str">
        <f t="shared" si="738"/>
        <v>0000808999</v>
      </c>
      <c r="D1756" t="str">
        <f t="shared" si="718"/>
        <v>73185</v>
      </c>
      <c r="E1756" t="str">
        <f t="shared" si="719"/>
        <v>KFH-OPERATIONS DEPARTMENT</v>
      </c>
      <c r="F1756" t="str">
        <f t="shared" si="720"/>
        <v>IBG</v>
      </c>
      <c r="G1756" t="str">
        <f t="shared" si="731"/>
        <v>Refund COSHARE 10</v>
      </c>
      <c r="H1756" s="2">
        <v>142.75</v>
      </c>
      <c r="I1756" t="str">
        <f>"SHAM BUDIN ASLIN BIN AHMAD"</f>
        <v>SHAM BUDIN ASLIN BIN AHMAD</v>
      </c>
      <c r="J1756" t="str">
        <f t="shared" si="732"/>
        <v>MAYBANK / MAYBANK ISLAMIC</v>
      </c>
      <c r="K1756" t="str">
        <f>"155014995051"</f>
        <v>155014995051</v>
      </c>
      <c r="L1756" t="str">
        <f t="shared" si="735"/>
        <v>04-08-2020</v>
      </c>
      <c r="M1756" t="str">
        <f t="shared" si="735"/>
        <v>04-08-2020</v>
      </c>
      <c r="N1756" t="str">
        <f t="shared" si="721"/>
        <v>001105018356</v>
      </c>
      <c r="O1756" t="str">
        <f t="shared" si="722"/>
        <v>MYR</v>
      </c>
      <c r="P1756" t="str">
        <f t="shared" si="736"/>
        <v>NIL</v>
      </c>
      <c r="Q1756" t="str">
        <f t="shared" si="736"/>
        <v>NIL</v>
      </c>
      <c r="R1756" t="str">
        <f t="shared" si="723"/>
        <v>Accepted</v>
      </c>
      <c r="S1756" t="str">
        <f t="shared" si="724"/>
        <v>Approved</v>
      </c>
      <c r="T1756" t="str">
        <f t="shared" si="725"/>
        <v>10.20.8.188</v>
      </c>
      <c r="U1756" t="str">
        <f t="shared" si="726"/>
        <v>AZRAD UMAR BIN SHAARI</v>
      </c>
      <c r="V1756" t="str">
        <f t="shared" si="727"/>
        <v>FARHANA BINTI MUSTAPA</v>
      </c>
      <c r="W1756" t="str">
        <f t="shared" si="728"/>
        <v>04-08-2020</v>
      </c>
      <c r="X1756" t="str">
        <f t="shared" si="729"/>
        <v>RAZIMAH ANSAR AHMAD</v>
      </c>
      <c r="Y1756" t="str">
        <f t="shared" si="730"/>
        <v>04-08-2020</v>
      </c>
      <c r="Z1756" t="str">
        <f>"COS10200804 7398"</f>
        <v>COS10200804 7398</v>
      </c>
    </row>
    <row r="1757" spans="1:26" x14ac:dyDescent="0.25">
      <c r="A1757" t="str">
        <f t="shared" si="737"/>
        <v>04-08-2020 01:06:46</v>
      </c>
      <c r="B1757" t="str">
        <f>"0000809196"</f>
        <v>0000809196</v>
      </c>
      <c r="C1757" t="str">
        <f t="shared" si="738"/>
        <v>0000808999</v>
      </c>
      <c r="D1757" t="str">
        <f t="shared" si="718"/>
        <v>73185</v>
      </c>
      <c r="E1757" t="str">
        <f t="shared" si="719"/>
        <v>KFH-OPERATIONS DEPARTMENT</v>
      </c>
      <c r="F1757" t="str">
        <f t="shared" si="720"/>
        <v>IBG</v>
      </c>
      <c r="G1757" t="str">
        <f t="shared" si="731"/>
        <v>Refund COSHARE 10</v>
      </c>
      <c r="H1757" s="2">
        <v>267.25</v>
      </c>
      <c r="I1757" t="str">
        <f>"SHAM BIN OTHMAN SHAH"</f>
        <v>SHAM BIN OTHMAN SHAH</v>
      </c>
      <c r="J1757" t="str">
        <f t="shared" si="732"/>
        <v>MAYBANK / MAYBANK ISLAMIC</v>
      </c>
      <c r="K1757" t="str">
        <f>"107116551053"</f>
        <v>107116551053</v>
      </c>
      <c r="L1757" t="str">
        <f t="shared" si="735"/>
        <v>04-08-2020</v>
      </c>
      <c r="M1757" t="str">
        <f t="shared" si="735"/>
        <v>04-08-2020</v>
      </c>
      <c r="N1757" t="str">
        <f t="shared" si="721"/>
        <v>001105018356</v>
      </c>
      <c r="O1757" t="str">
        <f t="shared" si="722"/>
        <v>MYR</v>
      </c>
      <c r="P1757" t="str">
        <f t="shared" si="736"/>
        <v>NIL</v>
      </c>
      <c r="Q1757" t="str">
        <f t="shared" si="736"/>
        <v>NIL</v>
      </c>
      <c r="R1757" t="str">
        <f t="shared" si="723"/>
        <v>Accepted</v>
      </c>
      <c r="S1757" t="str">
        <f t="shared" si="724"/>
        <v>Approved</v>
      </c>
      <c r="T1757" t="str">
        <f t="shared" si="725"/>
        <v>10.20.8.188</v>
      </c>
      <c r="U1757" t="str">
        <f t="shared" si="726"/>
        <v>AZRAD UMAR BIN SHAARI</v>
      </c>
      <c r="V1757" t="str">
        <f t="shared" si="727"/>
        <v>FARHANA BINTI MUSTAPA</v>
      </c>
      <c r="W1757" t="str">
        <f t="shared" si="728"/>
        <v>04-08-2020</v>
      </c>
      <c r="X1757" t="str">
        <f t="shared" si="729"/>
        <v>RAZIMAH ANSAR AHMAD</v>
      </c>
      <c r="Y1757" t="str">
        <f t="shared" si="730"/>
        <v>04-08-2020</v>
      </c>
      <c r="Z1757" t="str">
        <f>"COS10200804 7397"</f>
        <v>COS10200804 7397</v>
      </c>
    </row>
    <row r="1758" spans="1:26" x14ac:dyDescent="0.25">
      <c r="A1758" t="str">
        <f t="shared" si="737"/>
        <v>04-08-2020 01:06:46</v>
      </c>
      <c r="B1758" t="str">
        <f>"0000809195"</f>
        <v>0000809195</v>
      </c>
      <c r="C1758" t="str">
        <f t="shared" si="738"/>
        <v>0000808999</v>
      </c>
      <c r="D1758" t="str">
        <f t="shared" si="718"/>
        <v>73185</v>
      </c>
      <c r="E1758" t="str">
        <f t="shared" si="719"/>
        <v>KFH-OPERATIONS DEPARTMENT</v>
      </c>
      <c r="F1758" t="str">
        <f t="shared" si="720"/>
        <v>IBG</v>
      </c>
      <c r="G1758" t="str">
        <f t="shared" si="731"/>
        <v>Refund COSHARE 10</v>
      </c>
      <c r="H1758" s="2">
        <v>444.9</v>
      </c>
      <c r="I1758" t="str">
        <f>"SHAM BIN KAMSAH"</f>
        <v>SHAM BIN KAMSAH</v>
      </c>
      <c r="J1758" t="str">
        <f t="shared" si="732"/>
        <v>MAYBANK / MAYBANK ISLAMIC</v>
      </c>
      <c r="K1758" t="str">
        <f>"162106166915"</f>
        <v>162106166915</v>
      </c>
      <c r="L1758" t="str">
        <f t="shared" si="735"/>
        <v>04-08-2020</v>
      </c>
      <c r="M1758" t="str">
        <f t="shared" si="735"/>
        <v>04-08-2020</v>
      </c>
      <c r="N1758" t="str">
        <f t="shared" si="721"/>
        <v>001105018356</v>
      </c>
      <c r="O1758" t="str">
        <f t="shared" si="722"/>
        <v>MYR</v>
      </c>
      <c r="P1758" t="str">
        <f t="shared" si="736"/>
        <v>NIL</v>
      </c>
      <c r="Q1758" t="str">
        <f t="shared" si="736"/>
        <v>NIL</v>
      </c>
      <c r="R1758" t="str">
        <f t="shared" si="723"/>
        <v>Accepted</v>
      </c>
      <c r="S1758" t="str">
        <f t="shared" si="724"/>
        <v>Approved</v>
      </c>
      <c r="T1758" t="str">
        <f t="shared" si="725"/>
        <v>10.20.8.188</v>
      </c>
      <c r="U1758" t="str">
        <f t="shared" si="726"/>
        <v>AZRAD UMAR BIN SHAARI</v>
      </c>
      <c r="V1758" t="str">
        <f t="shared" si="727"/>
        <v>FARHANA BINTI MUSTAPA</v>
      </c>
      <c r="W1758" t="str">
        <f t="shared" si="728"/>
        <v>04-08-2020</v>
      </c>
      <c r="X1758" t="str">
        <f t="shared" si="729"/>
        <v>RAZIMAH ANSAR AHMAD</v>
      </c>
      <c r="Y1758" t="str">
        <f t="shared" si="730"/>
        <v>04-08-2020</v>
      </c>
      <c r="Z1758" t="str">
        <f>"COS10200804 7396"</f>
        <v>COS10200804 7396</v>
      </c>
    </row>
    <row r="1759" spans="1:26" x14ac:dyDescent="0.25">
      <c r="A1759" t="str">
        <f t="shared" si="737"/>
        <v>04-08-2020 01:06:46</v>
      </c>
      <c r="B1759" t="str">
        <f>"0000809194"</f>
        <v>0000809194</v>
      </c>
      <c r="C1759" t="str">
        <f t="shared" si="738"/>
        <v>0000808999</v>
      </c>
      <c r="D1759" t="str">
        <f t="shared" si="718"/>
        <v>73185</v>
      </c>
      <c r="E1759" t="str">
        <f t="shared" si="719"/>
        <v>KFH-OPERATIONS DEPARTMENT</v>
      </c>
      <c r="F1759" t="str">
        <f t="shared" si="720"/>
        <v>IBG</v>
      </c>
      <c r="G1759" t="str">
        <f t="shared" si="731"/>
        <v>Refund COSHARE 10</v>
      </c>
      <c r="H1759" s="2">
        <v>46</v>
      </c>
      <c r="I1759" t="str">
        <f>"SHALAHUDIN BIN SULAIMAN"</f>
        <v>SHALAHUDIN BIN SULAIMAN</v>
      </c>
      <c r="J1759" t="str">
        <f t="shared" si="732"/>
        <v>MAYBANK / MAYBANK ISLAMIC</v>
      </c>
      <c r="K1759" t="str">
        <f>"160054327446"</f>
        <v>160054327446</v>
      </c>
      <c r="L1759" t="str">
        <f t="shared" si="735"/>
        <v>04-08-2020</v>
      </c>
      <c r="M1759" t="str">
        <f t="shared" si="735"/>
        <v>04-08-2020</v>
      </c>
      <c r="N1759" t="str">
        <f t="shared" si="721"/>
        <v>001105018356</v>
      </c>
      <c r="O1759" t="str">
        <f t="shared" si="722"/>
        <v>MYR</v>
      </c>
      <c r="P1759" t="str">
        <f t="shared" si="736"/>
        <v>NIL</v>
      </c>
      <c r="Q1759" t="str">
        <f t="shared" si="736"/>
        <v>NIL</v>
      </c>
      <c r="R1759" t="str">
        <f t="shared" si="723"/>
        <v>Accepted</v>
      </c>
      <c r="S1759" t="str">
        <f t="shared" si="724"/>
        <v>Approved</v>
      </c>
      <c r="T1759" t="str">
        <f t="shared" si="725"/>
        <v>10.20.8.188</v>
      </c>
      <c r="U1759" t="str">
        <f t="shared" si="726"/>
        <v>AZRAD UMAR BIN SHAARI</v>
      </c>
      <c r="V1759" t="str">
        <f t="shared" si="727"/>
        <v>FARHANA BINTI MUSTAPA</v>
      </c>
      <c r="W1759" t="str">
        <f t="shared" si="728"/>
        <v>04-08-2020</v>
      </c>
      <c r="X1759" t="str">
        <f t="shared" si="729"/>
        <v>RAZIMAH ANSAR AHMAD</v>
      </c>
      <c r="Y1759" t="str">
        <f t="shared" si="730"/>
        <v>04-08-2020</v>
      </c>
      <c r="Z1759" t="str">
        <f>"COS10200804 7395"</f>
        <v>COS10200804 7395</v>
      </c>
    </row>
    <row r="1760" spans="1:26" x14ac:dyDescent="0.25">
      <c r="A1760" t="str">
        <f t="shared" si="737"/>
        <v>04-08-2020 01:06:46</v>
      </c>
      <c r="B1760" t="str">
        <f>"0000809193"</f>
        <v>0000809193</v>
      </c>
      <c r="C1760" t="str">
        <f t="shared" si="738"/>
        <v>0000808999</v>
      </c>
      <c r="D1760" t="str">
        <f t="shared" si="718"/>
        <v>73185</v>
      </c>
      <c r="E1760" t="str">
        <f t="shared" si="719"/>
        <v>KFH-OPERATIONS DEPARTMENT</v>
      </c>
      <c r="F1760" t="str">
        <f t="shared" si="720"/>
        <v>IBG</v>
      </c>
      <c r="G1760" t="str">
        <f t="shared" si="731"/>
        <v>Refund COSHARE 10</v>
      </c>
      <c r="H1760" s="2">
        <v>736</v>
      </c>
      <c r="I1760" t="str">
        <f>"SHAKIRA BINTI AHMAD YUSOF"</f>
        <v>SHAKIRA BINTI AHMAD YUSOF</v>
      </c>
      <c r="J1760" t="str">
        <f t="shared" si="732"/>
        <v>MAYBANK / MAYBANK ISLAMIC</v>
      </c>
      <c r="K1760" t="str">
        <f>"157102441882"</f>
        <v>157102441882</v>
      </c>
      <c r="L1760" t="str">
        <f t="shared" si="735"/>
        <v>04-08-2020</v>
      </c>
      <c r="M1760" t="str">
        <f t="shared" si="735"/>
        <v>04-08-2020</v>
      </c>
      <c r="N1760" t="str">
        <f t="shared" si="721"/>
        <v>001105018356</v>
      </c>
      <c r="O1760" t="str">
        <f t="shared" si="722"/>
        <v>MYR</v>
      </c>
      <c r="P1760" t="str">
        <f t="shared" si="736"/>
        <v>NIL</v>
      </c>
      <c r="Q1760" t="str">
        <f t="shared" si="736"/>
        <v>NIL</v>
      </c>
      <c r="R1760" t="str">
        <f t="shared" si="723"/>
        <v>Accepted</v>
      </c>
      <c r="S1760" t="str">
        <f t="shared" si="724"/>
        <v>Approved</v>
      </c>
      <c r="T1760" t="str">
        <f t="shared" si="725"/>
        <v>10.20.8.188</v>
      </c>
      <c r="U1760" t="str">
        <f t="shared" si="726"/>
        <v>AZRAD UMAR BIN SHAARI</v>
      </c>
      <c r="V1760" t="str">
        <f t="shared" si="727"/>
        <v>FARHANA BINTI MUSTAPA</v>
      </c>
      <c r="W1760" t="str">
        <f t="shared" si="728"/>
        <v>04-08-2020</v>
      </c>
      <c r="X1760" t="str">
        <f t="shared" si="729"/>
        <v>RAZIMAH ANSAR AHMAD</v>
      </c>
      <c r="Y1760" t="str">
        <f t="shared" si="730"/>
        <v>04-08-2020</v>
      </c>
      <c r="Z1760" t="str">
        <f>"COS10200804 7394"</f>
        <v>COS10200804 7394</v>
      </c>
    </row>
    <row r="1761" spans="1:26" x14ac:dyDescent="0.25">
      <c r="A1761" t="str">
        <f t="shared" si="737"/>
        <v>04-08-2020 01:06:46</v>
      </c>
      <c r="B1761" t="str">
        <f>"0000809192"</f>
        <v>0000809192</v>
      </c>
      <c r="C1761" t="str">
        <f t="shared" si="738"/>
        <v>0000808999</v>
      </c>
      <c r="D1761" t="str">
        <f t="shared" si="718"/>
        <v>73185</v>
      </c>
      <c r="E1761" t="str">
        <f t="shared" si="719"/>
        <v>KFH-OPERATIONS DEPARTMENT</v>
      </c>
      <c r="F1761" t="str">
        <f t="shared" si="720"/>
        <v>IBG</v>
      </c>
      <c r="G1761" t="str">
        <f t="shared" si="731"/>
        <v>Refund COSHARE 10</v>
      </c>
      <c r="H1761" s="2">
        <v>789.15</v>
      </c>
      <c r="I1761" t="str">
        <f>"SHAIYIDAH BT YASIN"</f>
        <v>SHAIYIDAH BT YASIN</v>
      </c>
      <c r="J1761" t="str">
        <f t="shared" si="732"/>
        <v>MAYBANK / MAYBANK ISLAMIC</v>
      </c>
      <c r="K1761" t="str">
        <f>"106034297979"</f>
        <v>106034297979</v>
      </c>
      <c r="L1761" t="str">
        <f t="shared" si="735"/>
        <v>04-08-2020</v>
      </c>
      <c r="M1761" t="str">
        <f t="shared" si="735"/>
        <v>04-08-2020</v>
      </c>
      <c r="N1761" t="str">
        <f t="shared" si="721"/>
        <v>001105018356</v>
      </c>
      <c r="O1761" t="str">
        <f t="shared" si="722"/>
        <v>MYR</v>
      </c>
      <c r="P1761" t="str">
        <f t="shared" si="736"/>
        <v>NIL</v>
      </c>
      <c r="Q1761" t="str">
        <f t="shared" si="736"/>
        <v>NIL</v>
      </c>
      <c r="R1761" t="str">
        <f t="shared" si="723"/>
        <v>Accepted</v>
      </c>
      <c r="S1761" t="str">
        <f t="shared" si="724"/>
        <v>Approved</v>
      </c>
      <c r="T1761" t="str">
        <f t="shared" si="725"/>
        <v>10.20.8.188</v>
      </c>
      <c r="U1761" t="str">
        <f t="shared" si="726"/>
        <v>AZRAD UMAR BIN SHAARI</v>
      </c>
      <c r="V1761" t="str">
        <f t="shared" si="727"/>
        <v>FARHANA BINTI MUSTAPA</v>
      </c>
      <c r="W1761" t="str">
        <f t="shared" si="728"/>
        <v>04-08-2020</v>
      </c>
      <c r="X1761" t="str">
        <f t="shared" si="729"/>
        <v>RAZIMAH ANSAR AHMAD</v>
      </c>
      <c r="Y1761" t="str">
        <f t="shared" si="730"/>
        <v>04-08-2020</v>
      </c>
      <c r="Z1761" t="str">
        <f>"COS10200804 7393"</f>
        <v>COS10200804 7393</v>
      </c>
    </row>
    <row r="1762" spans="1:26" x14ac:dyDescent="0.25">
      <c r="A1762" t="str">
        <f t="shared" si="737"/>
        <v>04-08-2020 01:06:46</v>
      </c>
      <c r="B1762" t="str">
        <f>"0000809191"</f>
        <v>0000809191</v>
      </c>
      <c r="C1762" t="str">
        <f t="shared" si="738"/>
        <v>0000808999</v>
      </c>
      <c r="D1762" t="str">
        <f t="shared" si="718"/>
        <v>73185</v>
      </c>
      <c r="E1762" t="str">
        <f t="shared" si="719"/>
        <v>KFH-OPERATIONS DEPARTMENT</v>
      </c>
      <c r="F1762" t="str">
        <f t="shared" si="720"/>
        <v>IBG</v>
      </c>
      <c r="G1762" t="str">
        <f t="shared" si="731"/>
        <v>Refund COSHARE 10</v>
      </c>
      <c r="H1762" s="2">
        <v>1049.4000000000001</v>
      </c>
      <c r="I1762" t="str">
        <f>"SHAIRUL NIDZAL BIN SAMAT"</f>
        <v>SHAIRUL NIDZAL BIN SAMAT</v>
      </c>
      <c r="J1762" t="str">
        <f t="shared" si="732"/>
        <v>MAYBANK / MAYBANK ISLAMIC</v>
      </c>
      <c r="K1762" t="str">
        <f>"158163010322"</f>
        <v>158163010322</v>
      </c>
      <c r="L1762" t="str">
        <f t="shared" si="735"/>
        <v>04-08-2020</v>
      </c>
      <c r="M1762" t="str">
        <f t="shared" si="735"/>
        <v>04-08-2020</v>
      </c>
      <c r="N1762" t="str">
        <f t="shared" si="721"/>
        <v>001105018356</v>
      </c>
      <c r="O1762" t="str">
        <f t="shared" si="722"/>
        <v>MYR</v>
      </c>
      <c r="P1762" t="str">
        <f t="shared" si="736"/>
        <v>NIL</v>
      </c>
      <c r="Q1762" t="str">
        <f t="shared" si="736"/>
        <v>NIL</v>
      </c>
      <c r="R1762" t="str">
        <f t="shared" si="723"/>
        <v>Accepted</v>
      </c>
      <c r="S1762" t="str">
        <f t="shared" si="724"/>
        <v>Approved</v>
      </c>
      <c r="T1762" t="str">
        <f t="shared" si="725"/>
        <v>10.20.8.188</v>
      </c>
      <c r="U1762" t="str">
        <f t="shared" si="726"/>
        <v>AZRAD UMAR BIN SHAARI</v>
      </c>
      <c r="V1762" t="str">
        <f t="shared" si="727"/>
        <v>FARHANA BINTI MUSTAPA</v>
      </c>
      <c r="W1762" t="str">
        <f t="shared" si="728"/>
        <v>04-08-2020</v>
      </c>
      <c r="X1762" t="str">
        <f t="shared" si="729"/>
        <v>RAZIMAH ANSAR AHMAD</v>
      </c>
      <c r="Y1762" t="str">
        <f t="shared" si="730"/>
        <v>04-08-2020</v>
      </c>
      <c r="Z1762" t="str">
        <f>"COS10200804 7392"</f>
        <v>COS10200804 7392</v>
      </c>
    </row>
    <row r="1763" spans="1:26" x14ac:dyDescent="0.25">
      <c r="A1763" t="str">
        <f t="shared" si="737"/>
        <v>04-08-2020 01:06:46</v>
      </c>
      <c r="B1763" t="str">
        <f>"0000809190"</f>
        <v>0000809190</v>
      </c>
      <c r="C1763" t="str">
        <f t="shared" si="738"/>
        <v>0000808999</v>
      </c>
      <c r="D1763" t="str">
        <f t="shared" si="718"/>
        <v>73185</v>
      </c>
      <c r="E1763" t="str">
        <f t="shared" si="719"/>
        <v>KFH-OPERATIONS DEPARTMENT</v>
      </c>
      <c r="F1763" t="str">
        <f t="shared" si="720"/>
        <v>IBG</v>
      </c>
      <c r="G1763" t="str">
        <f t="shared" si="731"/>
        <v>Refund COSHARE 10</v>
      </c>
      <c r="H1763" s="2">
        <v>235.1</v>
      </c>
      <c r="I1763" t="str">
        <f>"SHAIPUL NIZAM BIN ISHAK"</f>
        <v>SHAIPUL NIZAM BIN ISHAK</v>
      </c>
      <c r="J1763" t="str">
        <f t="shared" si="732"/>
        <v>MAYBANK / MAYBANK ISLAMIC</v>
      </c>
      <c r="K1763" t="str">
        <f>"102054849376"</f>
        <v>102054849376</v>
      </c>
      <c r="L1763" t="str">
        <f t="shared" si="735"/>
        <v>04-08-2020</v>
      </c>
      <c r="M1763" t="str">
        <f t="shared" si="735"/>
        <v>04-08-2020</v>
      </c>
      <c r="N1763" t="str">
        <f t="shared" si="721"/>
        <v>001105018356</v>
      </c>
      <c r="O1763" t="str">
        <f t="shared" si="722"/>
        <v>MYR</v>
      </c>
      <c r="P1763" t="str">
        <f t="shared" si="736"/>
        <v>NIL</v>
      </c>
      <c r="Q1763" t="str">
        <f t="shared" si="736"/>
        <v>NIL</v>
      </c>
      <c r="R1763" t="str">
        <f t="shared" si="723"/>
        <v>Accepted</v>
      </c>
      <c r="S1763" t="str">
        <f t="shared" si="724"/>
        <v>Approved</v>
      </c>
      <c r="T1763" t="str">
        <f t="shared" si="725"/>
        <v>10.20.8.188</v>
      </c>
      <c r="U1763" t="str">
        <f t="shared" si="726"/>
        <v>AZRAD UMAR BIN SHAARI</v>
      </c>
      <c r="V1763" t="str">
        <f t="shared" si="727"/>
        <v>FARHANA BINTI MUSTAPA</v>
      </c>
      <c r="W1763" t="str">
        <f t="shared" si="728"/>
        <v>04-08-2020</v>
      </c>
      <c r="X1763" t="str">
        <f t="shared" si="729"/>
        <v>RAZIMAH ANSAR AHMAD</v>
      </c>
      <c r="Y1763" t="str">
        <f t="shared" si="730"/>
        <v>04-08-2020</v>
      </c>
      <c r="Z1763" t="str">
        <f>"COS10200804 7391"</f>
        <v>COS10200804 7391</v>
      </c>
    </row>
    <row r="1764" spans="1:26" x14ac:dyDescent="0.25">
      <c r="A1764" t="str">
        <f t="shared" si="737"/>
        <v>04-08-2020 01:06:46</v>
      </c>
      <c r="B1764" t="str">
        <f>"0000809189"</f>
        <v>0000809189</v>
      </c>
      <c r="C1764" t="str">
        <f t="shared" si="738"/>
        <v>0000808999</v>
      </c>
      <c r="D1764" t="str">
        <f t="shared" si="718"/>
        <v>73185</v>
      </c>
      <c r="E1764" t="str">
        <f t="shared" si="719"/>
        <v>KFH-OPERATIONS DEPARTMENT</v>
      </c>
      <c r="F1764" t="str">
        <f t="shared" si="720"/>
        <v>IBG</v>
      </c>
      <c r="G1764" t="str">
        <f t="shared" si="731"/>
        <v>Refund COSHARE 10</v>
      </c>
      <c r="H1764" s="2">
        <v>1595.05</v>
      </c>
      <c r="I1764" t="str">
        <f>"SHAIKH FAIZAL BIN HUSSEIN MATTAR"</f>
        <v>SHAIKH FAIZAL BIN HUSSEIN MATTAR</v>
      </c>
      <c r="J1764" t="str">
        <f t="shared" si="732"/>
        <v>MAYBANK / MAYBANK ISLAMIC</v>
      </c>
      <c r="K1764" t="str">
        <f>"160027317179"</f>
        <v>160027317179</v>
      </c>
      <c r="L1764" t="str">
        <f t="shared" si="735"/>
        <v>04-08-2020</v>
      </c>
      <c r="M1764" t="str">
        <f t="shared" si="735"/>
        <v>04-08-2020</v>
      </c>
      <c r="N1764" t="str">
        <f t="shared" si="721"/>
        <v>001105018356</v>
      </c>
      <c r="O1764" t="str">
        <f t="shared" si="722"/>
        <v>MYR</v>
      </c>
      <c r="P1764" t="str">
        <f t="shared" si="736"/>
        <v>NIL</v>
      </c>
      <c r="Q1764" t="str">
        <f t="shared" si="736"/>
        <v>NIL</v>
      </c>
      <c r="R1764" t="str">
        <f t="shared" si="723"/>
        <v>Accepted</v>
      </c>
      <c r="S1764" t="str">
        <f t="shared" si="724"/>
        <v>Approved</v>
      </c>
      <c r="T1764" t="str">
        <f t="shared" si="725"/>
        <v>10.20.8.188</v>
      </c>
      <c r="U1764" t="str">
        <f t="shared" si="726"/>
        <v>AZRAD UMAR BIN SHAARI</v>
      </c>
      <c r="V1764" t="str">
        <f t="shared" si="727"/>
        <v>FARHANA BINTI MUSTAPA</v>
      </c>
      <c r="W1764" t="str">
        <f t="shared" si="728"/>
        <v>04-08-2020</v>
      </c>
      <c r="X1764" t="str">
        <f t="shared" si="729"/>
        <v>RAZIMAH ANSAR AHMAD</v>
      </c>
      <c r="Y1764" t="str">
        <f t="shared" si="730"/>
        <v>04-08-2020</v>
      </c>
      <c r="Z1764" t="str">
        <f>"COS10200804 7390"</f>
        <v>COS10200804 7390</v>
      </c>
    </row>
    <row r="1765" spans="1:26" x14ac:dyDescent="0.25">
      <c r="A1765" t="str">
        <f t="shared" si="737"/>
        <v>04-08-2020 01:06:46</v>
      </c>
      <c r="B1765" t="str">
        <f>"0000809188"</f>
        <v>0000809188</v>
      </c>
      <c r="C1765" t="str">
        <f t="shared" si="738"/>
        <v>0000808999</v>
      </c>
      <c r="D1765" t="str">
        <f t="shared" si="718"/>
        <v>73185</v>
      </c>
      <c r="E1765" t="str">
        <f t="shared" si="719"/>
        <v>KFH-OPERATIONS DEPARTMENT</v>
      </c>
      <c r="F1765" t="str">
        <f t="shared" si="720"/>
        <v>IBG</v>
      </c>
      <c r="G1765" t="str">
        <f t="shared" si="731"/>
        <v>Refund COSHARE 10</v>
      </c>
      <c r="H1765" s="2">
        <v>1049.4000000000001</v>
      </c>
      <c r="I1765" t="str">
        <f>"SHAIFUL RIZAL BIN MOHD SANI"</f>
        <v>SHAIFUL RIZAL BIN MOHD SANI</v>
      </c>
      <c r="J1765" t="str">
        <f t="shared" si="732"/>
        <v>MAYBANK / MAYBANK ISLAMIC</v>
      </c>
      <c r="K1765" t="str">
        <f>"162197021999"</f>
        <v>162197021999</v>
      </c>
      <c r="L1765" t="str">
        <f t="shared" si="735"/>
        <v>04-08-2020</v>
      </c>
      <c r="M1765" t="str">
        <f t="shared" si="735"/>
        <v>04-08-2020</v>
      </c>
      <c r="N1765" t="str">
        <f t="shared" si="721"/>
        <v>001105018356</v>
      </c>
      <c r="O1765" t="str">
        <f t="shared" si="722"/>
        <v>MYR</v>
      </c>
      <c r="P1765" t="str">
        <f t="shared" si="736"/>
        <v>NIL</v>
      </c>
      <c r="Q1765" t="str">
        <f t="shared" si="736"/>
        <v>NIL</v>
      </c>
      <c r="R1765" t="str">
        <f t="shared" si="723"/>
        <v>Accepted</v>
      </c>
      <c r="S1765" t="str">
        <f t="shared" si="724"/>
        <v>Approved</v>
      </c>
      <c r="T1765" t="str">
        <f t="shared" si="725"/>
        <v>10.20.8.188</v>
      </c>
      <c r="U1765" t="str">
        <f t="shared" si="726"/>
        <v>AZRAD UMAR BIN SHAARI</v>
      </c>
      <c r="V1765" t="str">
        <f t="shared" si="727"/>
        <v>FARHANA BINTI MUSTAPA</v>
      </c>
      <c r="W1765" t="str">
        <f t="shared" si="728"/>
        <v>04-08-2020</v>
      </c>
      <c r="X1765" t="str">
        <f t="shared" si="729"/>
        <v>RAZIMAH ANSAR AHMAD</v>
      </c>
      <c r="Y1765" t="str">
        <f t="shared" si="730"/>
        <v>04-08-2020</v>
      </c>
      <c r="Z1765" t="str">
        <f>"COS10200804 7389"</f>
        <v>COS10200804 7389</v>
      </c>
    </row>
    <row r="1766" spans="1:26" x14ac:dyDescent="0.25">
      <c r="A1766" t="str">
        <f t="shared" si="737"/>
        <v>04-08-2020 01:06:46</v>
      </c>
      <c r="B1766" t="str">
        <f>"0000809187"</f>
        <v>0000809187</v>
      </c>
      <c r="C1766" t="str">
        <f t="shared" si="738"/>
        <v>0000808999</v>
      </c>
      <c r="D1766" t="str">
        <f t="shared" si="718"/>
        <v>73185</v>
      </c>
      <c r="E1766" t="str">
        <f t="shared" si="719"/>
        <v>KFH-OPERATIONS DEPARTMENT</v>
      </c>
      <c r="F1766" t="str">
        <f t="shared" si="720"/>
        <v>IBG</v>
      </c>
      <c r="G1766" t="str">
        <f t="shared" si="731"/>
        <v>Refund COSHARE 10</v>
      </c>
      <c r="H1766" s="2">
        <v>622.20000000000005</v>
      </c>
      <c r="I1766" t="str">
        <f>"SHAHURAN AZLI BIN BIDIN"</f>
        <v>SHAHURAN AZLI BIN BIDIN</v>
      </c>
      <c r="J1766" t="str">
        <f t="shared" si="732"/>
        <v>MAYBANK / MAYBANK ISLAMIC</v>
      </c>
      <c r="K1766" t="str">
        <f>"158015179522"</f>
        <v>158015179522</v>
      </c>
      <c r="L1766" t="str">
        <f t="shared" si="735"/>
        <v>04-08-2020</v>
      </c>
      <c r="M1766" t="str">
        <f t="shared" si="735"/>
        <v>04-08-2020</v>
      </c>
      <c r="N1766" t="str">
        <f t="shared" si="721"/>
        <v>001105018356</v>
      </c>
      <c r="O1766" t="str">
        <f t="shared" si="722"/>
        <v>MYR</v>
      </c>
      <c r="P1766" t="str">
        <f t="shared" si="736"/>
        <v>NIL</v>
      </c>
      <c r="Q1766" t="str">
        <f t="shared" si="736"/>
        <v>NIL</v>
      </c>
      <c r="R1766" t="str">
        <f t="shared" si="723"/>
        <v>Accepted</v>
      </c>
      <c r="S1766" t="str">
        <f t="shared" si="724"/>
        <v>Approved</v>
      </c>
      <c r="T1766" t="str">
        <f t="shared" si="725"/>
        <v>10.20.8.188</v>
      </c>
      <c r="U1766" t="str">
        <f t="shared" si="726"/>
        <v>AZRAD UMAR BIN SHAARI</v>
      </c>
      <c r="V1766" t="str">
        <f t="shared" si="727"/>
        <v>FARHANA BINTI MUSTAPA</v>
      </c>
      <c r="W1766" t="str">
        <f t="shared" si="728"/>
        <v>04-08-2020</v>
      </c>
      <c r="X1766" t="str">
        <f t="shared" si="729"/>
        <v>RAZIMAH ANSAR AHMAD</v>
      </c>
      <c r="Y1766" t="str">
        <f t="shared" si="730"/>
        <v>04-08-2020</v>
      </c>
      <c r="Z1766" t="str">
        <f>"COS10200804 7388"</f>
        <v>COS10200804 7388</v>
      </c>
    </row>
    <row r="1767" spans="1:26" x14ac:dyDescent="0.25">
      <c r="A1767" t="str">
        <f t="shared" si="737"/>
        <v>04-08-2020 01:06:46</v>
      </c>
      <c r="B1767" t="str">
        <f>"0000809186"</f>
        <v>0000809186</v>
      </c>
      <c r="C1767" t="str">
        <f t="shared" si="738"/>
        <v>0000808999</v>
      </c>
      <c r="D1767" t="str">
        <f t="shared" si="718"/>
        <v>73185</v>
      </c>
      <c r="E1767" t="str">
        <f t="shared" si="719"/>
        <v>KFH-OPERATIONS DEPARTMENT</v>
      </c>
      <c r="F1767" t="str">
        <f t="shared" si="720"/>
        <v>IBG</v>
      </c>
      <c r="G1767" t="str">
        <f t="shared" si="731"/>
        <v>Refund COSHARE 10</v>
      </c>
      <c r="H1767" s="2">
        <v>452</v>
      </c>
      <c r="I1767" t="str">
        <f>"SHAHRULNIZAM BIN ZAABA  AHMAD"</f>
        <v>SHAHRULNIZAM BIN ZAABA  AHMAD</v>
      </c>
      <c r="J1767" t="str">
        <f t="shared" si="732"/>
        <v>MAYBANK / MAYBANK ISLAMIC</v>
      </c>
      <c r="K1767" t="str">
        <f>"159012664908"</f>
        <v>159012664908</v>
      </c>
      <c r="L1767" t="str">
        <f t="shared" ref="L1767:M1786" si="739">"04-08-2020"</f>
        <v>04-08-2020</v>
      </c>
      <c r="M1767" t="str">
        <f t="shared" si="739"/>
        <v>04-08-2020</v>
      </c>
      <c r="N1767" t="str">
        <f t="shared" si="721"/>
        <v>001105018356</v>
      </c>
      <c r="O1767" t="str">
        <f t="shared" si="722"/>
        <v>MYR</v>
      </c>
      <c r="P1767" t="str">
        <f t="shared" ref="P1767:Q1786" si="740">"NIL"</f>
        <v>NIL</v>
      </c>
      <c r="Q1767" t="str">
        <f t="shared" si="740"/>
        <v>NIL</v>
      </c>
      <c r="R1767" t="str">
        <f t="shared" si="723"/>
        <v>Accepted</v>
      </c>
      <c r="S1767" t="str">
        <f t="shared" si="724"/>
        <v>Approved</v>
      </c>
      <c r="T1767" t="str">
        <f t="shared" si="725"/>
        <v>10.20.8.188</v>
      </c>
      <c r="U1767" t="str">
        <f t="shared" si="726"/>
        <v>AZRAD UMAR BIN SHAARI</v>
      </c>
      <c r="V1767" t="str">
        <f t="shared" si="727"/>
        <v>FARHANA BINTI MUSTAPA</v>
      </c>
      <c r="W1767" t="str">
        <f t="shared" si="728"/>
        <v>04-08-2020</v>
      </c>
      <c r="X1767" t="str">
        <f t="shared" si="729"/>
        <v>RAZIMAH ANSAR AHMAD</v>
      </c>
      <c r="Y1767" t="str">
        <f t="shared" si="730"/>
        <v>04-08-2020</v>
      </c>
      <c r="Z1767" t="str">
        <f>"COS10200804 7387"</f>
        <v>COS10200804 7387</v>
      </c>
    </row>
    <row r="1768" spans="1:26" x14ac:dyDescent="0.25">
      <c r="A1768" t="str">
        <f t="shared" si="737"/>
        <v>04-08-2020 01:06:46</v>
      </c>
      <c r="B1768" t="str">
        <f>"0000809185"</f>
        <v>0000809185</v>
      </c>
      <c r="C1768" t="str">
        <f t="shared" si="738"/>
        <v>0000808999</v>
      </c>
      <c r="D1768" t="str">
        <f t="shared" si="718"/>
        <v>73185</v>
      </c>
      <c r="E1768" t="str">
        <f t="shared" si="719"/>
        <v>KFH-OPERATIONS DEPARTMENT</v>
      </c>
      <c r="F1768" t="str">
        <f t="shared" si="720"/>
        <v>IBG</v>
      </c>
      <c r="G1768" t="str">
        <f t="shared" si="731"/>
        <v>Refund COSHARE 10</v>
      </c>
      <c r="H1768" s="2">
        <v>251.85</v>
      </c>
      <c r="I1768" t="str">
        <f>"SHAHRULNIZAM BIN AWANG RAHMAN"</f>
        <v>SHAHRULNIZAM BIN AWANG RAHMAN</v>
      </c>
      <c r="J1768" t="str">
        <f t="shared" si="732"/>
        <v>MAYBANK / MAYBANK ISLAMIC</v>
      </c>
      <c r="K1768" t="str">
        <f>"164762074382"</f>
        <v>164762074382</v>
      </c>
      <c r="L1768" t="str">
        <f t="shared" si="739"/>
        <v>04-08-2020</v>
      </c>
      <c r="M1768" t="str">
        <f t="shared" si="739"/>
        <v>04-08-2020</v>
      </c>
      <c r="N1768" t="str">
        <f t="shared" si="721"/>
        <v>001105018356</v>
      </c>
      <c r="O1768" t="str">
        <f t="shared" si="722"/>
        <v>MYR</v>
      </c>
      <c r="P1768" t="str">
        <f t="shared" si="740"/>
        <v>NIL</v>
      </c>
      <c r="Q1768" t="str">
        <f t="shared" si="740"/>
        <v>NIL</v>
      </c>
      <c r="R1768" t="str">
        <f t="shared" si="723"/>
        <v>Accepted</v>
      </c>
      <c r="S1768" t="str">
        <f t="shared" si="724"/>
        <v>Approved</v>
      </c>
      <c r="T1768" t="str">
        <f t="shared" si="725"/>
        <v>10.20.8.188</v>
      </c>
      <c r="U1768" t="str">
        <f t="shared" si="726"/>
        <v>AZRAD UMAR BIN SHAARI</v>
      </c>
      <c r="V1768" t="str">
        <f t="shared" si="727"/>
        <v>FARHANA BINTI MUSTAPA</v>
      </c>
      <c r="W1768" t="str">
        <f t="shared" si="728"/>
        <v>04-08-2020</v>
      </c>
      <c r="X1768" t="str">
        <f t="shared" si="729"/>
        <v>RAZIMAH ANSAR AHMAD</v>
      </c>
      <c r="Y1768" t="str">
        <f t="shared" si="730"/>
        <v>04-08-2020</v>
      </c>
      <c r="Z1768" t="str">
        <f>"COS10200804 7386"</f>
        <v>COS10200804 7386</v>
      </c>
    </row>
    <row r="1769" spans="1:26" x14ac:dyDescent="0.25">
      <c r="A1769" t="str">
        <f t="shared" si="737"/>
        <v>04-08-2020 01:06:46</v>
      </c>
      <c r="B1769" t="str">
        <f>"0000809184"</f>
        <v>0000809184</v>
      </c>
      <c r="C1769" t="str">
        <f t="shared" si="738"/>
        <v>0000808999</v>
      </c>
      <c r="D1769" t="str">
        <f t="shared" si="718"/>
        <v>73185</v>
      </c>
      <c r="E1769" t="str">
        <f t="shared" si="719"/>
        <v>KFH-OPERATIONS DEPARTMENT</v>
      </c>
      <c r="F1769" t="str">
        <f t="shared" si="720"/>
        <v>IBG</v>
      </c>
      <c r="G1769" t="str">
        <f t="shared" si="731"/>
        <v>Refund COSHARE 10</v>
      </c>
      <c r="H1769" s="2">
        <v>1008</v>
      </c>
      <c r="I1769" t="str">
        <f>"SHAHRUL ZACHARY BIN NOR BASHA"</f>
        <v>SHAHRUL ZACHARY BIN NOR BASHA</v>
      </c>
      <c r="J1769" t="str">
        <f t="shared" si="732"/>
        <v>MAYBANK / MAYBANK ISLAMIC</v>
      </c>
      <c r="K1769" t="str">
        <f>"114160970395"</f>
        <v>114160970395</v>
      </c>
      <c r="L1769" t="str">
        <f t="shared" si="739"/>
        <v>04-08-2020</v>
      </c>
      <c r="M1769" t="str">
        <f t="shared" si="739"/>
        <v>04-08-2020</v>
      </c>
      <c r="N1769" t="str">
        <f t="shared" si="721"/>
        <v>001105018356</v>
      </c>
      <c r="O1769" t="str">
        <f t="shared" si="722"/>
        <v>MYR</v>
      </c>
      <c r="P1769" t="str">
        <f t="shared" si="740"/>
        <v>NIL</v>
      </c>
      <c r="Q1769" t="str">
        <f t="shared" si="740"/>
        <v>NIL</v>
      </c>
      <c r="R1769" t="str">
        <f t="shared" si="723"/>
        <v>Accepted</v>
      </c>
      <c r="S1769" t="str">
        <f t="shared" si="724"/>
        <v>Approved</v>
      </c>
      <c r="T1769" t="str">
        <f t="shared" si="725"/>
        <v>10.20.8.188</v>
      </c>
      <c r="U1769" t="str">
        <f t="shared" si="726"/>
        <v>AZRAD UMAR BIN SHAARI</v>
      </c>
      <c r="V1769" t="str">
        <f t="shared" si="727"/>
        <v>FARHANA BINTI MUSTAPA</v>
      </c>
      <c r="W1769" t="str">
        <f t="shared" si="728"/>
        <v>04-08-2020</v>
      </c>
      <c r="X1769" t="str">
        <f t="shared" si="729"/>
        <v>RAZIMAH ANSAR AHMAD</v>
      </c>
      <c r="Y1769" t="str">
        <f t="shared" si="730"/>
        <v>04-08-2020</v>
      </c>
      <c r="Z1769" t="str">
        <f>"COS10200804 7385"</f>
        <v>COS10200804 7385</v>
      </c>
    </row>
    <row r="1770" spans="1:26" x14ac:dyDescent="0.25">
      <c r="A1770" t="str">
        <f t="shared" si="737"/>
        <v>04-08-2020 01:06:46</v>
      </c>
      <c r="B1770" t="str">
        <f>"0000809183"</f>
        <v>0000809183</v>
      </c>
      <c r="C1770" t="str">
        <f t="shared" si="738"/>
        <v>0000808999</v>
      </c>
      <c r="D1770" t="str">
        <f t="shared" si="718"/>
        <v>73185</v>
      </c>
      <c r="E1770" t="str">
        <f t="shared" si="719"/>
        <v>KFH-OPERATIONS DEPARTMENT</v>
      </c>
      <c r="F1770" t="str">
        <f t="shared" si="720"/>
        <v>IBG</v>
      </c>
      <c r="G1770" t="str">
        <f t="shared" si="731"/>
        <v>Refund COSHARE 10</v>
      </c>
      <c r="H1770" s="2">
        <v>696.8</v>
      </c>
      <c r="I1770" t="str">
        <f>"SHAHRUL RIZAL BIN ABD MALEK"</f>
        <v>SHAHRUL RIZAL BIN ABD MALEK</v>
      </c>
      <c r="J1770" t="str">
        <f t="shared" si="732"/>
        <v>MAYBANK / MAYBANK ISLAMIC</v>
      </c>
      <c r="K1770" t="str">
        <f>"162263156068"</f>
        <v>162263156068</v>
      </c>
      <c r="L1770" t="str">
        <f t="shared" si="739"/>
        <v>04-08-2020</v>
      </c>
      <c r="M1770" t="str">
        <f t="shared" si="739"/>
        <v>04-08-2020</v>
      </c>
      <c r="N1770" t="str">
        <f t="shared" si="721"/>
        <v>001105018356</v>
      </c>
      <c r="O1770" t="str">
        <f t="shared" si="722"/>
        <v>MYR</v>
      </c>
      <c r="P1770" t="str">
        <f t="shared" si="740"/>
        <v>NIL</v>
      </c>
      <c r="Q1770" t="str">
        <f t="shared" si="740"/>
        <v>NIL</v>
      </c>
      <c r="R1770" t="str">
        <f t="shared" si="723"/>
        <v>Accepted</v>
      </c>
      <c r="S1770" t="str">
        <f t="shared" si="724"/>
        <v>Approved</v>
      </c>
      <c r="T1770" t="str">
        <f t="shared" si="725"/>
        <v>10.20.8.188</v>
      </c>
      <c r="U1770" t="str">
        <f t="shared" si="726"/>
        <v>AZRAD UMAR BIN SHAARI</v>
      </c>
      <c r="V1770" t="str">
        <f t="shared" si="727"/>
        <v>FARHANA BINTI MUSTAPA</v>
      </c>
      <c r="W1770" t="str">
        <f t="shared" si="728"/>
        <v>04-08-2020</v>
      </c>
      <c r="X1770" t="str">
        <f t="shared" si="729"/>
        <v>RAZIMAH ANSAR AHMAD</v>
      </c>
      <c r="Y1770" t="str">
        <f t="shared" si="730"/>
        <v>04-08-2020</v>
      </c>
      <c r="Z1770" t="str">
        <f>"COS10200804 7384"</f>
        <v>COS10200804 7384</v>
      </c>
    </row>
    <row r="1771" spans="1:26" x14ac:dyDescent="0.25">
      <c r="A1771" t="str">
        <f t="shared" si="737"/>
        <v>04-08-2020 01:06:46</v>
      </c>
      <c r="B1771" t="str">
        <f>"0000809182"</f>
        <v>0000809182</v>
      </c>
      <c r="C1771" t="str">
        <f t="shared" si="738"/>
        <v>0000808999</v>
      </c>
      <c r="D1771" t="str">
        <f t="shared" si="718"/>
        <v>73185</v>
      </c>
      <c r="E1771" t="str">
        <f t="shared" si="719"/>
        <v>KFH-OPERATIONS DEPARTMENT</v>
      </c>
      <c r="F1771" t="str">
        <f t="shared" si="720"/>
        <v>IBG</v>
      </c>
      <c r="G1771" t="str">
        <f t="shared" si="731"/>
        <v>Refund COSHARE 10</v>
      </c>
      <c r="H1771" s="2">
        <v>167.9</v>
      </c>
      <c r="I1771" t="str">
        <f>"SHAHRUL NIZAM BIN MOHD TAHIR"</f>
        <v>SHAHRUL NIZAM BIN MOHD TAHIR</v>
      </c>
      <c r="J1771" t="str">
        <f t="shared" si="732"/>
        <v>MAYBANK / MAYBANK ISLAMIC</v>
      </c>
      <c r="K1771" t="str">
        <f>"164017031256"</f>
        <v>164017031256</v>
      </c>
      <c r="L1771" t="str">
        <f t="shared" si="739"/>
        <v>04-08-2020</v>
      </c>
      <c r="M1771" t="str">
        <f t="shared" si="739"/>
        <v>04-08-2020</v>
      </c>
      <c r="N1771" t="str">
        <f t="shared" si="721"/>
        <v>001105018356</v>
      </c>
      <c r="O1771" t="str">
        <f t="shared" si="722"/>
        <v>MYR</v>
      </c>
      <c r="P1771" t="str">
        <f t="shared" si="740"/>
        <v>NIL</v>
      </c>
      <c r="Q1771" t="str">
        <f t="shared" si="740"/>
        <v>NIL</v>
      </c>
      <c r="R1771" t="str">
        <f t="shared" si="723"/>
        <v>Accepted</v>
      </c>
      <c r="S1771" t="str">
        <f t="shared" si="724"/>
        <v>Approved</v>
      </c>
      <c r="T1771" t="str">
        <f t="shared" si="725"/>
        <v>10.20.8.188</v>
      </c>
      <c r="U1771" t="str">
        <f t="shared" si="726"/>
        <v>AZRAD UMAR BIN SHAARI</v>
      </c>
      <c r="V1771" t="str">
        <f t="shared" si="727"/>
        <v>FARHANA BINTI MUSTAPA</v>
      </c>
      <c r="W1771" t="str">
        <f t="shared" si="728"/>
        <v>04-08-2020</v>
      </c>
      <c r="X1771" t="str">
        <f t="shared" si="729"/>
        <v>RAZIMAH ANSAR AHMAD</v>
      </c>
      <c r="Y1771" t="str">
        <f t="shared" si="730"/>
        <v>04-08-2020</v>
      </c>
      <c r="Z1771" t="str">
        <f>"COS10200804 7383"</f>
        <v>COS10200804 7383</v>
      </c>
    </row>
    <row r="1772" spans="1:26" x14ac:dyDescent="0.25">
      <c r="A1772" t="str">
        <f t="shared" si="737"/>
        <v>04-08-2020 01:06:46</v>
      </c>
      <c r="B1772" t="str">
        <f>"0000809181"</f>
        <v>0000809181</v>
      </c>
      <c r="C1772" t="str">
        <f t="shared" si="738"/>
        <v>0000808999</v>
      </c>
      <c r="D1772" t="str">
        <f t="shared" si="718"/>
        <v>73185</v>
      </c>
      <c r="E1772" t="str">
        <f t="shared" si="719"/>
        <v>KFH-OPERATIONS DEPARTMENT</v>
      </c>
      <c r="F1772" t="str">
        <f t="shared" si="720"/>
        <v>IBG</v>
      </c>
      <c r="G1772" t="str">
        <f t="shared" si="731"/>
        <v>Refund COSHARE 10</v>
      </c>
      <c r="H1772" s="2">
        <v>839.5</v>
      </c>
      <c r="I1772" t="str">
        <f>"SHAHRUL NIZAM BIN HARUN"</f>
        <v>SHAHRUL NIZAM BIN HARUN</v>
      </c>
      <c r="J1772" t="str">
        <f t="shared" si="732"/>
        <v>MAYBANK / MAYBANK ISLAMIC</v>
      </c>
      <c r="K1772" t="str">
        <f>"151043080385"</f>
        <v>151043080385</v>
      </c>
      <c r="L1772" t="str">
        <f t="shared" si="739"/>
        <v>04-08-2020</v>
      </c>
      <c r="M1772" t="str">
        <f t="shared" si="739"/>
        <v>04-08-2020</v>
      </c>
      <c r="N1772" t="str">
        <f t="shared" si="721"/>
        <v>001105018356</v>
      </c>
      <c r="O1772" t="str">
        <f t="shared" si="722"/>
        <v>MYR</v>
      </c>
      <c r="P1772" t="str">
        <f t="shared" si="740"/>
        <v>NIL</v>
      </c>
      <c r="Q1772" t="str">
        <f t="shared" si="740"/>
        <v>NIL</v>
      </c>
      <c r="R1772" t="str">
        <f t="shared" si="723"/>
        <v>Accepted</v>
      </c>
      <c r="S1772" t="str">
        <f t="shared" si="724"/>
        <v>Approved</v>
      </c>
      <c r="T1772" t="str">
        <f t="shared" si="725"/>
        <v>10.20.8.188</v>
      </c>
      <c r="U1772" t="str">
        <f t="shared" si="726"/>
        <v>AZRAD UMAR BIN SHAARI</v>
      </c>
      <c r="V1772" t="str">
        <f t="shared" si="727"/>
        <v>FARHANA BINTI MUSTAPA</v>
      </c>
      <c r="W1772" t="str">
        <f t="shared" si="728"/>
        <v>04-08-2020</v>
      </c>
      <c r="X1772" t="str">
        <f t="shared" si="729"/>
        <v>RAZIMAH ANSAR AHMAD</v>
      </c>
      <c r="Y1772" t="str">
        <f t="shared" si="730"/>
        <v>04-08-2020</v>
      </c>
      <c r="Z1772" t="str">
        <f>"COS10200804 7382"</f>
        <v>COS10200804 7382</v>
      </c>
    </row>
    <row r="1773" spans="1:26" x14ac:dyDescent="0.25">
      <c r="A1773" t="str">
        <f t="shared" si="737"/>
        <v>04-08-2020 01:06:46</v>
      </c>
      <c r="B1773" t="str">
        <f>"0000809180"</f>
        <v>0000809180</v>
      </c>
      <c r="C1773" t="str">
        <f t="shared" si="738"/>
        <v>0000808999</v>
      </c>
      <c r="D1773" t="str">
        <f t="shared" si="718"/>
        <v>73185</v>
      </c>
      <c r="E1773" t="str">
        <f t="shared" si="719"/>
        <v>KFH-OPERATIONS DEPARTMENT</v>
      </c>
      <c r="F1773" t="str">
        <f t="shared" si="720"/>
        <v>IBG</v>
      </c>
      <c r="G1773" t="str">
        <f t="shared" si="731"/>
        <v>Refund COSHARE 10</v>
      </c>
      <c r="H1773" s="2">
        <v>321.2</v>
      </c>
      <c r="I1773" t="str">
        <f>"SHAHRUL NEEZAM BIN SUPAAT"</f>
        <v>SHAHRUL NEEZAM BIN SUPAAT</v>
      </c>
      <c r="J1773" t="str">
        <f t="shared" si="732"/>
        <v>MAYBANK / MAYBANK ISLAMIC</v>
      </c>
      <c r="K1773" t="str">
        <f>"101067006048"</f>
        <v>101067006048</v>
      </c>
      <c r="L1773" t="str">
        <f t="shared" si="739"/>
        <v>04-08-2020</v>
      </c>
      <c r="M1773" t="str">
        <f t="shared" si="739"/>
        <v>04-08-2020</v>
      </c>
      <c r="N1773" t="str">
        <f t="shared" si="721"/>
        <v>001105018356</v>
      </c>
      <c r="O1773" t="str">
        <f t="shared" si="722"/>
        <v>MYR</v>
      </c>
      <c r="P1773" t="str">
        <f t="shared" si="740"/>
        <v>NIL</v>
      </c>
      <c r="Q1773" t="str">
        <f t="shared" si="740"/>
        <v>NIL</v>
      </c>
      <c r="R1773" t="str">
        <f t="shared" si="723"/>
        <v>Accepted</v>
      </c>
      <c r="S1773" t="str">
        <f t="shared" si="724"/>
        <v>Approved</v>
      </c>
      <c r="T1773" t="str">
        <f t="shared" si="725"/>
        <v>10.20.8.188</v>
      </c>
      <c r="U1773" t="str">
        <f t="shared" si="726"/>
        <v>AZRAD UMAR BIN SHAARI</v>
      </c>
      <c r="V1773" t="str">
        <f t="shared" si="727"/>
        <v>FARHANA BINTI MUSTAPA</v>
      </c>
      <c r="W1773" t="str">
        <f t="shared" si="728"/>
        <v>04-08-2020</v>
      </c>
      <c r="X1773" t="str">
        <f t="shared" si="729"/>
        <v>RAZIMAH ANSAR AHMAD</v>
      </c>
      <c r="Y1773" t="str">
        <f t="shared" si="730"/>
        <v>04-08-2020</v>
      </c>
      <c r="Z1773" t="str">
        <f>"COS10200804 7381"</f>
        <v>COS10200804 7381</v>
      </c>
    </row>
    <row r="1774" spans="1:26" x14ac:dyDescent="0.25">
      <c r="A1774" t="str">
        <f t="shared" si="737"/>
        <v>04-08-2020 01:06:46</v>
      </c>
      <c r="B1774" t="str">
        <f>"0000809179"</f>
        <v>0000809179</v>
      </c>
      <c r="C1774" t="str">
        <f t="shared" si="738"/>
        <v>0000808999</v>
      </c>
      <c r="D1774" t="str">
        <f t="shared" si="718"/>
        <v>73185</v>
      </c>
      <c r="E1774" t="str">
        <f t="shared" si="719"/>
        <v>KFH-OPERATIONS DEPARTMENT</v>
      </c>
      <c r="F1774" t="str">
        <f t="shared" si="720"/>
        <v>IBG</v>
      </c>
      <c r="G1774" t="str">
        <f t="shared" si="731"/>
        <v>Refund COSHARE 10</v>
      </c>
      <c r="H1774" s="2">
        <v>63.55</v>
      </c>
      <c r="I1774" t="str">
        <f>"SHAHRUL EEZAD BIN SAHARUDIN"</f>
        <v>SHAHRUL EEZAD BIN SAHARUDIN</v>
      </c>
      <c r="J1774" t="str">
        <f t="shared" si="732"/>
        <v>MAYBANK / MAYBANK ISLAMIC</v>
      </c>
      <c r="K1774" t="str">
        <f>"151100008655"</f>
        <v>151100008655</v>
      </c>
      <c r="L1774" t="str">
        <f t="shared" si="739"/>
        <v>04-08-2020</v>
      </c>
      <c r="M1774" t="str">
        <f t="shared" si="739"/>
        <v>04-08-2020</v>
      </c>
      <c r="N1774" t="str">
        <f t="shared" si="721"/>
        <v>001105018356</v>
      </c>
      <c r="O1774" t="str">
        <f t="shared" si="722"/>
        <v>MYR</v>
      </c>
      <c r="P1774" t="str">
        <f t="shared" si="740"/>
        <v>NIL</v>
      </c>
      <c r="Q1774" t="str">
        <f t="shared" si="740"/>
        <v>NIL</v>
      </c>
      <c r="R1774" t="str">
        <f t="shared" si="723"/>
        <v>Accepted</v>
      </c>
      <c r="S1774" t="str">
        <f t="shared" si="724"/>
        <v>Approved</v>
      </c>
      <c r="T1774" t="str">
        <f t="shared" si="725"/>
        <v>10.20.8.188</v>
      </c>
      <c r="U1774" t="str">
        <f t="shared" si="726"/>
        <v>AZRAD UMAR BIN SHAARI</v>
      </c>
      <c r="V1774" t="str">
        <f t="shared" si="727"/>
        <v>FARHANA BINTI MUSTAPA</v>
      </c>
      <c r="W1774" t="str">
        <f t="shared" si="728"/>
        <v>04-08-2020</v>
      </c>
      <c r="X1774" t="str">
        <f t="shared" si="729"/>
        <v>RAZIMAH ANSAR AHMAD</v>
      </c>
      <c r="Y1774" t="str">
        <f t="shared" si="730"/>
        <v>04-08-2020</v>
      </c>
      <c r="Z1774" t="str">
        <f>"COS10200804 7380"</f>
        <v>COS10200804 7380</v>
      </c>
    </row>
    <row r="1775" spans="1:26" x14ac:dyDescent="0.25">
      <c r="A1775" t="str">
        <f t="shared" si="737"/>
        <v>04-08-2020 01:06:46</v>
      </c>
      <c r="B1775" t="str">
        <f>"0000809178"</f>
        <v>0000809178</v>
      </c>
      <c r="C1775" t="str">
        <f t="shared" si="738"/>
        <v>0000808999</v>
      </c>
      <c r="D1775" t="str">
        <f t="shared" si="718"/>
        <v>73185</v>
      </c>
      <c r="E1775" t="str">
        <f t="shared" si="719"/>
        <v>KFH-OPERATIONS DEPARTMENT</v>
      </c>
      <c r="F1775" t="str">
        <f t="shared" si="720"/>
        <v>IBG</v>
      </c>
      <c r="G1775" t="str">
        <f t="shared" si="731"/>
        <v>Refund COSHARE 10</v>
      </c>
      <c r="H1775" s="2">
        <v>797.55</v>
      </c>
      <c r="I1775" t="str">
        <f>"SHAHROM BIN RUSLINE"</f>
        <v>SHAHROM BIN RUSLINE</v>
      </c>
      <c r="J1775" t="str">
        <f t="shared" si="732"/>
        <v>MAYBANK / MAYBANK ISLAMIC</v>
      </c>
      <c r="K1775" t="str">
        <f>"160102244958"</f>
        <v>160102244958</v>
      </c>
      <c r="L1775" t="str">
        <f t="shared" si="739"/>
        <v>04-08-2020</v>
      </c>
      <c r="M1775" t="str">
        <f t="shared" si="739"/>
        <v>04-08-2020</v>
      </c>
      <c r="N1775" t="str">
        <f t="shared" si="721"/>
        <v>001105018356</v>
      </c>
      <c r="O1775" t="str">
        <f t="shared" si="722"/>
        <v>MYR</v>
      </c>
      <c r="P1775" t="str">
        <f t="shared" si="740"/>
        <v>NIL</v>
      </c>
      <c r="Q1775" t="str">
        <f t="shared" si="740"/>
        <v>NIL</v>
      </c>
      <c r="R1775" t="str">
        <f t="shared" si="723"/>
        <v>Accepted</v>
      </c>
      <c r="S1775" t="str">
        <f t="shared" si="724"/>
        <v>Approved</v>
      </c>
      <c r="T1775" t="str">
        <f t="shared" si="725"/>
        <v>10.20.8.188</v>
      </c>
      <c r="U1775" t="str">
        <f t="shared" si="726"/>
        <v>AZRAD UMAR BIN SHAARI</v>
      </c>
      <c r="V1775" t="str">
        <f t="shared" si="727"/>
        <v>FARHANA BINTI MUSTAPA</v>
      </c>
      <c r="W1775" t="str">
        <f t="shared" si="728"/>
        <v>04-08-2020</v>
      </c>
      <c r="X1775" t="str">
        <f t="shared" si="729"/>
        <v>RAZIMAH ANSAR AHMAD</v>
      </c>
      <c r="Y1775" t="str">
        <f t="shared" si="730"/>
        <v>04-08-2020</v>
      </c>
      <c r="Z1775" t="str">
        <f>"COS10200804 7379"</f>
        <v>COS10200804 7379</v>
      </c>
    </row>
    <row r="1776" spans="1:26" x14ac:dyDescent="0.25">
      <c r="A1776" t="str">
        <f t="shared" si="737"/>
        <v>04-08-2020 01:06:46</v>
      </c>
      <c r="B1776" t="str">
        <f>"0000809177"</f>
        <v>0000809177</v>
      </c>
      <c r="C1776" t="str">
        <f t="shared" si="738"/>
        <v>0000808999</v>
      </c>
      <c r="D1776" t="str">
        <f t="shared" si="718"/>
        <v>73185</v>
      </c>
      <c r="E1776" t="str">
        <f t="shared" si="719"/>
        <v>KFH-OPERATIONS DEPARTMENT</v>
      </c>
      <c r="F1776" t="str">
        <f t="shared" si="720"/>
        <v>IBG</v>
      </c>
      <c r="G1776" t="str">
        <f t="shared" si="731"/>
        <v>Refund COSHARE 10</v>
      </c>
      <c r="H1776" s="2">
        <v>847.9</v>
      </c>
      <c r="I1776" t="str">
        <f>"SHAHROLNIZA BIN ISMAIL"</f>
        <v>SHAHROLNIZA BIN ISMAIL</v>
      </c>
      <c r="J1776" t="str">
        <f t="shared" si="732"/>
        <v>MAYBANK / MAYBANK ISLAMIC</v>
      </c>
      <c r="K1776" t="str">
        <f>"164025845055"</f>
        <v>164025845055</v>
      </c>
      <c r="L1776" t="str">
        <f t="shared" si="739"/>
        <v>04-08-2020</v>
      </c>
      <c r="M1776" t="str">
        <f t="shared" si="739"/>
        <v>04-08-2020</v>
      </c>
      <c r="N1776" t="str">
        <f t="shared" si="721"/>
        <v>001105018356</v>
      </c>
      <c r="O1776" t="str">
        <f t="shared" si="722"/>
        <v>MYR</v>
      </c>
      <c r="P1776" t="str">
        <f t="shared" si="740"/>
        <v>NIL</v>
      </c>
      <c r="Q1776" t="str">
        <f t="shared" si="740"/>
        <v>NIL</v>
      </c>
      <c r="R1776" t="str">
        <f t="shared" si="723"/>
        <v>Accepted</v>
      </c>
      <c r="S1776" t="str">
        <f t="shared" si="724"/>
        <v>Approved</v>
      </c>
      <c r="T1776" t="str">
        <f t="shared" si="725"/>
        <v>10.20.8.188</v>
      </c>
      <c r="U1776" t="str">
        <f t="shared" si="726"/>
        <v>AZRAD UMAR BIN SHAARI</v>
      </c>
      <c r="V1776" t="str">
        <f t="shared" si="727"/>
        <v>FARHANA BINTI MUSTAPA</v>
      </c>
      <c r="W1776" t="str">
        <f t="shared" si="728"/>
        <v>04-08-2020</v>
      </c>
      <c r="X1776" t="str">
        <f t="shared" si="729"/>
        <v>RAZIMAH ANSAR AHMAD</v>
      </c>
      <c r="Y1776" t="str">
        <f t="shared" si="730"/>
        <v>04-08-2020</v>
      </c>
      <c r="Z1776" t="str">
        <f>"COS10200804 7378"</f>
        <v>COS10200804 7378</v>
      </c>
    </row>
    <row r="1777" spans="1:26" x14ac:dyDescent="0.25">
      <c r="A1777" t="str">
        <f t="shared" si="737"/>
        <v>04-08-2020 01:06:46</v>
      </c>
      <c r="B1777" t="str">
        <f>"0000809176"</f>
        <v>0000809176</v>
      </c>
      <c r="C1777" t="str">
        <f t="shared" si="738"/>
        <v>0000808999</v>
      </c>
      <c r="D1777" t="str">
        <f t="shared" si="718"/>
        <v>73185</v>
      </c>
      <c r="E1777" t="str">
        <f t="shared" si="719"/>
        <v>KFH-OPERATIONS DEPARTMENT</v>
      </c>
      <c r="F1777" t="str">
        <f t="shared" si="720"/>
        <v>IBG</v>
      </c>
      <c r="G1777" t="str">
        <f t="shared" si="731"/>
        <v>Refund COSHARE 10</v>
      </c>
      <c r="H1777" s="2">
        <v>403</v>
      </c>
      <c r="I1777" t="str">
        <f>"SHAHRIZUL BIN ISMAIL"</f>
        <v>SHAHRIZUL BIN ISMAIL</v>
      </c>
      <c r="J1777" t="str">
        <f t="shared" si="732"/>
        <v>MAYBANK / MAYBANK ISLAMIC</v>
      </c>
      <c r="K1777" t="str">
        <f>"157167007654"</f>
        <v>157167007654</v>
      </c>
      <c r="L1777" t="str">
        <f t="shared" si="739"/>
        <v>04-08-2020</v>
      </c>
      <c r="M1777" t="str">
        <f t="shared" si="739"/>
        <v>04-08-2020</v>
      </c>
      <c r="N1777" t="str">
        <f t="shared" si="721"/>
        <v>001105018356</v>
      </c>
      <c r="O1777" t="str">
        <f t="shared" si="722"/>
        <v>MYR</v>
      </c>
      <c r="P1777" t="str">
        <f t="shared" si="740"/>
        <v>NIL</v>
      </c>
      <c r="Q1777" t="str">
        <f t="shared" si="740"/>
        <v>NIL</v>
      </c>
      <c r="R1777" t="str">
        <f t="shared" si="723"/>
        <v>Accepted</v>
      </c>
      <c r="S1777" t="str">
        <f t="shared" si="724"/>
        <v>Approved</v>
      </c>
      <c r="T1777" t="str">
        <f t="shared" si="725"/>
        <v>10.20.8.188</v>
      </c>
      <c r="U1777" t="str">
        <f t="shared" si="726"/>
        <v>AZRAD UMAR BIN SHAARI</v>
      </c>
      <c r="V1777" t="str">
        <f t="shared" si="727"/>
        <v>FARHANA BINTI MUSTAPA</v>
      </c>
      <c r="W1777" t="str">
        <f t="shared" si="728"/>
        <v>04-08-2020</v>
      </c>
      <c r="X1777" t="str">
        <f t="shared" si="729"/>
        <v>RAZIMAH ANSAR AHMAD</v>
      </c>
      <c r="Y1777" t="str">
        <f t="shared" si="730"/>
        <v>04-08-2020</v>
      </c>
      <c r="Z1777" t="str">
        <f>"COS10200804 7377"</f>
        <v>COS10200804 7377</v>
      </c>
    </row>
    <row r="1778" spans="1:26" x14ac:dyDescent="0.25">
      <c r="A1778" t="str">
        <f t="shared" si="737"/>
        <v>04-08-2020 01:06:46</v>
      </c>
      <c r="B1778" t="str">
        <f>"0000809175"</f>
        <v>0000809175</v>
      </c>
      <c r="C1778" t="str">
        <f t="shared" si="738"/>
        <v>0000808999</v>
      </c>
      <c r="D1778" t="str">
        <f t="shared" si="718"/>
        <v>73185</v>
      </c>
      <c r="E1778" t="str">
        <f t="shared" si="719"/>
        <v>KFH-OPERATIONS DEPARTMENT</v>
      </c>
      <c r="F1778" t="str">
        <f t="shared" si="720"/>
        <v>IBG</v>
      </c>
      <c r="G1778" t="str">
        <f t="shared" si="731"/>
        <v>Refund COSHARE 10</v>
      </c>
      <c r="H1778" s="2">
        <v>485</v>
      </c>
      <c r="I1778" t="str">
        <f>"SHAHRIZAN BIN SHAHRUDIN"</f>
        <v>SHAHRIZAN BIN SHAHRUDIN</v>
      </c>
      <c r="J1778" t="str">
        <f t="shared" si="732"/>
        <v>MAYBANK / MAYBANK ISLAMIC</v>
      </c>
      <c r="K1778" t="str">
        <f>"164388758565"</f>
        <v>164388758565</v>
      </c>
      <c r="L1778" t="str">
        <f t="shared" si="739"/>
        <v>04-08-2020</v>
      </c>
      <c r="M1778" t="str">
        <f t="shared" si="739"/>
        <v>04-08-2020</v>
      </c>
      <c r="N1778" t="str">
        <f t="shared" si="721"/>
        <v>001105018356</v>
      </c>
      <c r="O1778" t="str">
        <f t="shared" si="722"/>
        <v>MYR</v>
      </c>
      <c r="P1778" t="str">
        <f t="shared" si="740"/>
        <v>NIL</v>
      </c>
      <c r="Q1778" t="str">
        <f t="shared" si="740"/>
        <v>NIL</v>
      </c>
      <c r="R1778" t="str">
        <f t="shared" si="723"/>
        <v>Accepted</v>
      </c>
      <c r="S1778" t="str">
        <f t="shared" si="724"/>
        <v>Approved</v>
      </c>
      <c r="T1778" t="str">
        <f t="shared" si="725"/>
        <v>10.20.8.188</v>
      </c>
      <c r="U1778" t="str">
        <f t="shared" si="726"/>
        <v>AZRAD UMAR BIN SHAARI</v>
      </c>
      <c r="V1778" t="str">
        <f t="shared" si="727"/>
        <v>FARHANA BINTI MUSTAPA</v>
      </c>
      <c r="W1778" t="str">
        <f t="shared" si="728"/>
        <v>04-08-2020</v>
      </c>
      <c r="X1778" t="str">
        <f t="shared" si="729"/>
        <v>RAZIMAH ANSAR AHMAD</v>
      </c>
      <c r="Y1778" t="str">
        <f t="shared" si="730"/>
        <v>04-08-2020</v>
      </c>
      <c r="Z1778" t="str">
        <f>"COS10200804 7376"</f>
        <v>COS10200804 7376</v>
      </c>
    </row>
    <row r="1779" spans="1:26" x14ac:dyDescent="0.25">
      <c r="A1779" t="str">
        <f t="shared" si="737"/>
        <v>04-08-2020 01:06:46</v>
      </c>
      <c r="B1779" t="str">
        <f>"0000809174"</f>
        <v>0000809174</v>
      </c>
      <c r="C1779" t="str">
        <f t="shared" si="738"/>
        <v>0000808999</v>
      </c>
      <c r="D1779" t="str">
        <f t="shared" si="718"/>
        <v>73185</v>
      </c>
      <c r="E1779" t="str">
        <f t="shared" si="719"/>
        <v>KFH-OPERATIONS DEPARTMENT</v>
      </c>
      <c r="F1779" t="str">
        <f t="shared" si="720"/>
        <v>IBG</v>
      </c>
      <c r="G1779" t="str">
        <f t="shared" si="731"/>
        <v>Refund COSHARE 10</v>
      </c>
      <c r="H1779" s="2">
        <v>1175.3</v>
      </c>
      <c r="I1779" t="str">
        <f>"SHAHRIZAN BIN SHAHRUDIN"</f>
        <v>SHAHRIZAN BIN SHAHRUDIN</v>
      </c>
      <c r="J1779" t="str">
        <f t="shared" si="732"/>
        <v>MAYBANK / MAYBANK ISLAMIC</v>
      </c>
      <c r="K1779" t="str">
        <f>"164388758565"</f>
        <v>164388758565</v>
      </c>
      <c r="L1779" t="str">
        <f t="shared" si="739"/>
        <v>04-08-2020</v>
      </c>
      <c r="M1779" t="str">
        <f t="shared" si="739"/>
        <v>04-08-2020</v>
      </c>
      <c r="N1779" t="str">
        <f t="shared" si="721"/>
        <v>001105018356</v>
      </c>
      <c r="O1779" t="str">
        <f t="shared" si="722"/>
        <v>MYR</v>
      </c>
      <c r="P1779" t="str">
        <f t="shared" si="740"/>
        <v>NIL</v>
      </c>
      <c r="Q1779" t="str">
        <f t="shared" si="740"/>
        <v>NIL</v>
      </c>
      <c r="R1779" t="str">
        <f t="shared" si="723"/>
        <v>Accepted</v>
      </c>
      <c r="S1779" t="str">
        <f t="shared" si="724"/>
        <v>Approved</v>
      </c>
      <c r="T1779" t="str">
        <f t="shared" si="725"/>
        <v>10.20.8.188</v>
      </c>
      <c r="U1779" t="str">
        <f t="shared" si="726"/>
        <v>AZRAD UMAR BIN SHAARI</v>
      </c>
      <c r="V1779" t="str">
        <f t="shared" si="727"/>
        <v>FARHANA BINTI MUSTAPA</v>
      </c>
      <c r="W1779" t="str">
        <f t="shared" si="728"/>
        <v>04-08-2020</v>
      </c>
      <c r="X1779" t="str">
        <f t="shared" si="729"/>
        <v>RAZIMAH ANSAR AHMAD</v>
      </c>
      <c r="Y1779" t="str">
        <f t="shared" si="730"/>
        <v>04-08-2020</v>
      </c>
      <c r="Z1779" t="str">
        <f>"COS10200804 7375"</f>
        <v>COS10200804 7375</v>
      </c>
    </row>
    <row r="1780" spans="1:26" x14ac:dyDescent="0.25">
      <c r="A1780" t="str">
        <f t="shared" si="737"/>
        <v>04-08-2020 01:06:46</v>
      </c>
      <c r="B1780" t="str">
        <f>"0000809173"</f>
        <v>0000809173</v>
      </c>
      <c r="C1780" t="str">
        <f t="shared" si="738"/>
        <v>0000808999</v>
      </c>
      <c r="D1780" t="str">
        <f t="shared" si="718"/>
        <v>73185</v>
      </c>
      <c r="E1780" t="str">
        <f t="shared" si="719"/>
        <v>KFH-OPERATIONS DEPARTMENT</v>
      </c>
      <c r="F1780" t="str">
        <f t="shared" si="720"/>
        <v>IBG</v>
      </c>
      <c r="G1780" t="str">
        <f t="shared" si="731"/>
        <v>Refund COSHARE 10</v>
      </c>
      <c r="H1780" s="2">
        <v>251</v>
      </c>
      <c r="I1780" t="str">
        <f>"SHAHRIZAL BIN SAMAD"</f>
        <v>SHAHRIZAL BIN SAMAD</v>
      </c>
      <c r="J1780" t="str">
        <f t="shared" si="732"/>
        <v>MAYBANK / MAYBANK ISLAMIC</v>
      </c>
      <c r="K1780" t="str">
        <f>"162263182374"</f>
        <v>162263182374</v>
      </c>
      <c r="L1780" t="str">
        <f t="shared" si="739"/>
        <v>04-08-2020</v>
      </c>
      <c r="M1780" t="str">
        <f t="shared" si="739"/>
        <v>04-08-2020</v>
      </c>
      <c r="N1780" t="str">
        <f t="shared" si="721"/>
        <v>001105018356</v>
      </c>
      <c r="O1780" t="str">
        <f t="shared" si="722"/>
        <v>MYR</v>
      </c>
      <c r="P1780" t="str">
        <f t="shared" si="740"/>
        <v>NIL</v>
      </c>
      <c r="Q1780" t="str">
        <f t="shared" si="740"/>
        <v>NIL</v>
      </c>
      <c r="R1780" t="str">
        <f t="shared" si="723"/>
        <v>Accepted</v>
      </c>
      <c r="S1780" t="str">
        <f t="shared" si="724"/>
        <v>Approved</v>
      </c>
      <c r="T1780" t="str">
        <f t="shared" si="725"/>
        <v>10.20.8.188</v>
      </c>
      <c r="U1780" t="str">
        <f t="shared" si="726"/>
        <v>AZRAD UMAR BIN SHAARI</v>
      </c>
      <c r="V1780" t="str">
        <f t="shared" si="727"/>
        <v>FARHANA BINTI MUSTAPA</v>
      </c>
      <c r="W1780" t="str">
        <f t="shared" si="728"/>
        <v>04-08-2020</v>
      </c>
      <c r="X1780" t="str">
        <f t="shared" si="729"/>
        <v>RAZIMAH ANSAR AHMAD</v>
      </c>
      <c r="Y1780" t="str">
        <f t="shared" si="730"/>
        <v>04-08-2020</v>
      </c>
      <c r="Z1780" t="str">
        <f>"COS10200804 7374"</f>
        <v>COS10200804 7374</v>
      </c>
    </row>
    <row r="1781" spans="1:26" x14ac:dyDescent="0.25">
      <c r="A1781" t="str">
        <f t="shared" si="737"/>
        <v>04-08-2020 01:06:46</v>
      </c>
      <c r="B1781" t="str">
        <f>"0000809172"</f>
        <v>0000809172</v>
      </c>
      <c r="C1781" t="str">
        <f t="shared" si="738"/>
        <v>0000808999</v>
      </c>
      <c r="D1781" t="str">
        <f t="shared" si="718"/>
        <v>73185</v>
      </c>
      <c r="E1781" t="str">
        <f t="shared" si="719"/>
        <v>KFH-OPERATIONS DEPARTMENT</v>
      </c>
      <c r="F1781" t="str">
        <f t="shared" si="720"/>
        <v>IBG</v>
      </c>
      <c r="G1781" t="str">
        <f t="shared" si="731"/>
        <v>Refund COSHARE 10</v>
      </c>
      <c r="H1781" s="2">
        <v>293.85000000000002</v>
      </c>
      <c r="I1781" t="str">
        <f>"SHAHRIZAL BIN JAAFAR"</f>
        <v>SHAHRIZAL BIN JAAFAR</v>
      </c>
      <c r="J1781" t="str">
        <f t="shared" si="732"/>
        <v>MAYBANK / MAYBANK ISLAMIC</v>
      </c>
      <c r="K1781" t="str">
        <f>"155015050245"</f>
        <v>155015050245</v>
      </c>
      <c r="L1781" t="str">
        <f t="shared" si="739"/>
        <v>04-08-2020</v>
      </c>
      <c r="M1781" t="str">
        <f t="shared" si="739"/>
        <v>04-08-2020</v>
      </c>
      <c r="N1781" t="str">
        <f t="shared" si="721"/>
        <v>001105018356</v>
      </c>
      <c r="O1781" t="str">
        <f t="shared" si="722"/>
        <v>MYR</v>
      </c>
      <c r="P1781" t="str">
        <f t="shared" si="740"/>
        <v>NIL</v>
      </c>
      <c r="Q1781" t="str">
        <f t="shared" si="740"/>
        <v>NIL</v>
      </c>
      <c r="R1781" t="str">
        <f t="shared" si="723"/>
        <v>Accepted</v>
      </c>
      <c r="S1781" t="str">
        <f t="shared" si="724"/>
        <v>Approved</v>
      </c>
      <c r="T1781" t="str">
        <f t="shared" si="725"/>
        <v>10.20.8.188</v>
      </c>
      <c r="U1781" t="str">
        <f t="shared" si="726"/>
        <v>AZRAD UMAR BIN SHAARI</v>
      </c>
      <c r="V1781" t="str">
        <f t="shared" si="727"/>
        <v>FARHANA BINTI MUSTAPA</v>
      </c>
      <c r="W1781" t="str">
        <f t="shared" si="728"/>
        <v>04-08-2020</v>
      </c>
      <c r="X1781" t="str">
        <f t="shared" si="729"/>
        <v>RAZIMAH ANSAR AHMAD</v>
      </c>
      <c r="Y1781" t="str">
        <f t="shared" si="730"/>
        <v>04-08-2020</v>
      </c>
      <c r="Z1781" t="str">
        <f>"COS10200804 7373"</f>
        <v>COS10200804 7373</v>
      </c>
    </row>
    <row r="1782" spans="1:26" x14ac:dyDescent="0.25">
      <c r="A1782" t="str">
        <f t="shared" si="737"/>
        <v>04-08-2020 01:06:46</v>
      </c>
      <c r="B1782" t="str">
        <f>"0000809171"</f>
        <v>0000809171</v>
      </c>
      <c r="C1782" t="str">
        <f t="shared" si="738"/>
        <v>0000808999</v>
      </c>
      <c r="D1782" t="str">
        <f t="shared" si="718"/>
        <v>73185</v>
      </c>
      <c r="E1782" t="str">
        <f t="shared" si="719"/>
        <v>KFH-OPERATIONS DEPARTMENT</v>
      </c>
      <c r="F1782" t="str">
        <f t="shared" si="720"/>
        <v>IBG</v>
      </c>
      <c r="G1782" t="str">
        <f t="shared" si="731"/>
        <v>Refund COSHARE 10</v>
      </c>
      <c r="H1782" s="2">
        <v>100.75</v>
      </c>
      <c r="I1782" t="str">
        <f>"SHAHRIZAL BIN DUL MANAP"</f>
        <v>SHAHRIZAL BIN DUL MANAP</v>
      </c>
      <c r="J1782" t="str">
        <f t="shared" si="732"/>
        <v>MAYBANK / MAYBANK ISLAMIC</v>
      </c>
      <c r="K1782" t="str">
        <f>"151101050430"</f>
        <v>151101050430</v>
      </c>
      <c r="L1782" t="str">
        <f t="shared" si="739"/>
        <v>04-08-2020</v>
      </c>
      <c r="M1782" t="str">
        <f t="shared" si="739"/>
        <v>04-08-2020</v>
      </c>
      <c r="N1782" t="str">
        <f t="shared" si="721"/>
        <v>001105018356</v>
      </c>
      <c r="O1782" t="str">
        <f t="shared" si="722"/>
        <v>MYR</v>
      </c>
      <c r="P1782" t="str">
        <f t="shared" si="740"/>
        <v>NIL</v>
      </c>
      <c r="Q1782" t="str">
        <f t="shared" si="740"/>
        <v>NIL</v>
      </c>
      <c r="R1782" t="str">
        <f t="shared" si="723"/>
        <v>Accepted</v>
      </c>
      <c r="S1782" t="str">
        <f t="shared" si="724"/>
        <v>Approved</v>
      </c>
      <c r="T1782" t="str">
        <f t="shared" si="725"/>
        <v>10.20.8.188</v>
      </c>
      <c r="U1782" t="str">
        <f t="shared" si="726"/>
        <v>AZRAD UMAR BIN SHAARI</v>
      </c>
      <c r="V1782" t="str">
        <f t="shared" si="727"/>
        <v>FARHANA BINTI MUSTAPA</v>
      </c>
      <c r="W1782" t="str">
        <f t="shared" si="728"/>
        <v>04-08-2020</v>
      </c>
      <c r="X1782" t="str">
        <f t="shared" si="729"/>
        <v>RAZIMAH ANSAR AHMAD</v>
      </c>
      <c r="Y1782" t="str">
        <f t="shared" si="730"/>
        <v>04-08-2020</v>
      </c>
      <c r="Z1782" t="str">
        <f>"COS10200804 7372"</f>
        <v>COS10200804 7372</v>
      </c>
    </row>
    <row r="1783" spans="1:26" x14ac:dyDescent="0.25">
      <c r="A1783" t="str">
        <f t="shared" si="737"/>
        <v>04-08-2020 01:06:46</v>
      </c>
      <c r="B1783" t="str">
        <f>"0000809170"</f>
        <v>0000809170</v>
      </c>
      <c r="C1783" t="str">
        <f t="shared" si="738"/>
        <v>0000808999</v>
      </c>
      <c r="D1783" t="str">
        <f t="shared" si="718"/>
        <v>73185</v>
      </c>
      <c r="E1783" t="str">
        <f t="shared" si="719"/>
        <v>KFH-OPERATIONS DEPARTMENT</v>
      </c>
      <c r="F1783" t="str">
        <f t="shared" si="720"/>
        <v>IBG</v>
      </c>
      <c r="G1783" t="str">
        <f t="shared" si="731"/>
        <v>Refund COSHARE 10</v>
      </c>
      <c r="H1783" s="2">
        <v>83.95</v>
      </c>
      <c r="I1783" t="str">
        <f>"SHAHRIMEE BIN SAHARUDIN"</f>
        <v>SHAHRIMEE BIN SAHARUDIN</v>
      </c>
      <c r="J1783" t="str">
        <f t="shared" si="732"/>
        <v>MAYBANK / MAYBANK ISLAMIC</v>
      </c>
      <c r="K1783" t="str">
        <f>"114263036761"</f>
        <v>114263036761</v>
      </c>
      <c r="L1783" t="str">
        <f t="shared" si="739"/>
        <v>04-08-2020</v>
      </c>
      <c r="M1783" t="str">
        <f t="shared" si="739"/>
        <v>04-08-2020</v>
      </c>
      <c r="N1783" t="str">
        <f t="shared" si="721"/>
        <v>001105018356</v>
      </c>
      <c r="O1783" t="str">
        <f t="shared" si="722"/>
        <v>MYR</v>
      </c>
      <c r="P1783" t="str">
        <f t="shared" si="740"/>
        <v>NIL</v>
      </c>
      <c r="Q1783" t="str">
        <f t="shared" si="740"/>
        <v>NIL</v>
      </c>
      <c r="R1783" t="str">
        <f t="shared" si="723"/>
        <v>Accepted</v>
      </c>
      <c r="S1783" t="str">
        <f t="shared" si="724"/>
        <v>Approved</v>
      </c>
      <c r="T1783" t="str">
        <f t="shared" si="725"/>
        <v>10.20.8.188</v>
      </c>
      <c r="U1783" t="str">
        <f t="shared" si="726"/>
        <v>AZRAD UMAR BIN SHAARI</v>
      </c>
      <c r="V1783" t="str">
        <f t="shared" si="727"/>
        <v>FARHANA BINTI MUSTAPA</v>
      </c>
      <c r="W1783" t="str">
        <f t="shared" si="728"/>
        <v>04-08-2020</v>
      </c>
      <c r="X1783" t="str">
        <f t="shared" si="729"/>
        <v>RAZIMAH ANSAR AHMAD</v>
      </c>
      <c r="Y1783" t="str">
        <f t="shared" si="730"/>
        <v>04-08-2020</v>
      </c>
      <c r="Z1783" t="str">
        <f>"COS10200804 7371"</f>
        <v>COS10200804 7371</v>
      </c>
    </row>
    <row r="1784" spans="1:26" x14ac:dyDescent="0.25">
      <c r="A1784" t="str">
        <f t="shared" si="737"/>
        <v>04-08-2020 01:06:46</v>
      </c>
      <c r="B1784" t="str">
        <f>"0000809169"</f>
        <v>0000809169</v>
      </c>
      <c r="C1784" t="str">
        <f t="shared" si="738"/>
        <v>0000808999</v>
      </c>
      <c r="D1784" t="str">
        <f t="shared" si="718"/>
        <v>73185</v>
      </c>
      <c r="E1784" t="str">
        <f t="shared" si="719"/>
        <v>KFH-OPERATIONS DEPARTMENT</v>
      </c>
      <c r="F1784" t="str">
        <f t="shared" si="720"/>
        <v>IBG</v>
      </c>
      <c r="G1784" t="str">
        <f t="shared" si="731"/>
        <v>Refund COSHARE 10</v>
      </c>
      <c r="H1784" s="2">
        <v>109.15</v>
      </c>
      <c r="I1784" t="str">
        <f>"SHAHRIL FIRDAUS BIN NAIM"</f>
        <v>SHAHRIL FIRDAUS BIN NAIM</v>
      </c>
      <c r="J1784" t="str">
        <f t="shared" si="732"/>
        <v>MAYBANK / MAYBANK ISLAMIC</v>
      </c>
      <c r="K1784" t="str">
        <f>"162375651309"</f>
        <v>162375651309</v>
      </c>
      <c r="L1784" t="str">
        <f t="shared" si="739"/>
        <v>04-08-2020</v>
      </c>
      <c r="M1784" t="str">
        <f t="shared" si="739"/>
        <v>04-08-2020</v>
      </c>
      <c r="N1784" t="str">
        <f t="shared" si="721"/>
        <v>001105018356</v>
      </c>
      <c r="O1784" t="str">
        <f t="shared" si="722"/>
        <v>MYR</v>
      </c>
      <c r="P1784" t="str">
        <f t="shared" si="740"/>
        <v>NIL</v>
      </c>
      <c r="Q1784" t="str">
        <f t="shared" si="740"/>
        <v>NIL</v>
      </c>
      <c r="R1784" t="str">
        <f t="shared" si="723"/>
        <v>Accepted</v>
      </c>
      <c r="S1784" t="str">
        <f t="shared" si="724"/>
        <v>Approved</v>
      </c>
      <c r="T1784" t="str">
        <f t="shared" si="725"/>
        <v>10.20.8.188</v>
      </c>
      <c r="U1784" t="str">
        <f t="shared" si="726"/>
        <v>AZRAD UMAR BIN SHAARI</v>
      </c>
      <c r="V1784" t="str">
        <f t="shared" si="727"/>
        <v>FARHANA BINTI MUSTAPA</v>
      </c>
      <c r="W1784" t="str">
        <f t="shared" si="728"/>
        <v>04-08-2020</v>
      </c>
      <c r="X1784" t="str">
        <f t="shared" si="729"/>
        <v>RAZIMAH ANSAR AHMAD</v>
      </c>
      <c r="Y1784" t="str">
        <f t="shared" si="730"/>
        <v>04-08-2020</v>
      </c>
      <c r="Z1784" t="str">
        <f>"COS10200804 7370"</f>
        <v>COS10200804 7370</v>
      </c>
    </row>
    <row r="1785" spans="1:26" x14ac:dyDescent="0.25">
      <c r="A1785" t="str">
        <f t="shared" si="737"/>
        <v>04-08-2020 01:06:46</v>
      </c>
      <c r="B1785" t="str">
        <f>"0000809168"</f>
        <v>0000809168</v>
      </c>
      <c r="C1785" t="str">
        <f t="shared" si="738"/>
        <v>0000808999</v>
      </c>
      <c r="D1785" t="str">
        <f t="shared" si="718"/>
        <v>73185</v>
      </c>
      <c r="E1785" t="str">
        <f t="shared" si="719"/>
        <v>KFH-OPERATIONS DEPARTMENT</v>
      </c>
      <c r="F1785" t="str">
        <f t="shared" si="720"/>
        <v>IBG</v>
      </c>
      <c r="G1785" t="str">
        <f t="shared" si="731"/>
        <v>Refund COSHARE 10</v>
      </c>
      <c r="H1785" s="2">
        <v>144</v>
      </c>
      <c r="I1785" t="str">
        <f>"SHAHNOR FADHILAH BINTI ABDULLAH"</f>
        <v>SHAHNOR FADHILAH BINTI ABDULLAH</v>
      </c>
      <c r="J1785" t="str">
        <f t="shared" si="732"/>
        <v>MAYBANK / MAYBANK ISLAMIC</v>
      </c>
      <c r="K1785" t="str">
        <f>"102054722404"</f>
        <v>102054722404</v>
      </c>
      <c r="L1785" t="str">
        <f t="shared" si="739"/>
        <v>04-08-2020</v>
      </c>
      <c r="M1785" t="str">
        <f t="shared" si="739"/>
        <v>04-08-2020</v>
      </c>
      <c r="N1785" t="str">
        <f t="shared" si="721"/>
        <v>001105018356</v>
      </c>
      <c r="O1785" t="str">
        <f t="shared" si="722"/>
        <v>MYR</v>
      </c>
      <c r="P1785" t="str">
        <f t="shared" si="740"/>
        <v>NIL</v>
      </c>
      <c r="Q1785" t="str">
        <f t="shared" si="740"/>
        <v>NIL</v>
      </c>
      <c r="R1785" t="str">
        <f t="shared" si="723"/>
        <v>Accepted</v>
      </c>
      <c r="S1785" t="str">
        <f t="shared" si="724"/>
        <v>Approved</v>
      </c>
      <c r="T1785" t="str">
        <f t="shared" si="725"/>
        <v>10.20.8.188</v>
      </c>
      <c r="U1785" t="str">
        <f t="shared" si="726"/>
        <v>AZRAD UMAR BIN SHAARI</v>
      </c>
      <c r="V1785" t="str">
        <f t="shared" si="727"/>
        <v>FARHANA BINTI MUSTAPA</v>
      </c>
      <c r="W1785" t="str">
        <f t="shared" si="728"/>
        <v>04-08-2020</v>
      </c>
      <c r="X1785" t="str">
        <f t="shared" si="729"/>
        <v>RAZIMAH ANSAR AHMAD</v>
      </c>
      <c r="Y1785" t="str">
        <f t="shared" si="730"/>
        <v>04-08-2020</v>
      </c>
      <c r="Z1785" t="str">
        <f>"COS10200804 7369"</f>
        <v>COS10200804 7369</v>
      </c>
    </row>
    <row r="1786" spans="1:26" x14ac:dyDescent="0.25">
      <c r="A1786" t="str">
        <f t="shared" ref="A1786:A1817" si="741">"04-08-2020 01:06:46"</f>
        <v>04-08-2020 01:06:46</v>
      </c>
      <c r="B1786" t="str">
        <f>"0000809167"</f>
        <v>0000809167</v>
      </c>
      <c r="C1786" t="str">
        <f t="shared" ref="C1786:C1817" si="742">"0000808999"</f>
        <v>0000808999</v>
      </c>
      <c r="D1786" t="str">
        <f t="shared" si="718"/>
        <v>73185</v>
      </c>
      <c r="E1786" t="str">
        <f t="shared" si="719"/>
        <v>KFH-OPERATIONS DEPARTMENT</v>
      </c>
      <c r="F1786" t="str">
        <f t="shared" si="720"/>
        <v>IBG</v>
      </c>
      <c r="G1786" t="str">
        <f t="shared" si="731"/>
        <v>Refund COSHARE 10</v>
      </c>
      <c r="H1786" s="2">
        <v>277.05</v>
      </c>
      <c r="I1786" t="str">
        <f>"SHAHMARINA BINTI MOHD KASSIM"</f>
        <v>SHAHMARINA BINTI MOHD KASSIM</v>
      </c>
      <c r="J1786" t="str">
        <f t="shared" si="732"/>
        <v>MAYBANK / MAYBANK ISLAMIC</v>
      </c>
      <c r="K1786" t="str">
        <f>"162142902152"</f>
        <v>162142902152</v>
      </c>
      <c r="L1786" t="str">
        <f t="shared" si="739"/>
        <v>04-08-2020</v>
      </c>
      <c r="M1786" t="str">
        <f t="shared" si="739"/>
        <v>04-08-2020</v>
      </c>
      <c r="N1786" t="str">
        <f t="shared" si="721"/>
        <v>001105018356</v>
      </c>
      <c r="O1786" t="str">
        <f t="shared" si="722"/>
        <v>MYR</v>
      </c>
      <c r="P1786" t="str">
        <f t="shared" si="740"/>
        <v>NIL</v>
      </c>
      <c r="Q1786" t="str">
        <f t="shared" si="740"/>
        <v>NIL</v>
      </c>
      <c r="R1786" t="str">
        <f t="shared" si="723"/>
        <v>Accepted</v>
      </c>
      <c r="S1786" t="str">
        <f t="shared" si="724"/>
        <v>Approved</v>
      </c>
      <c r="T1786" t="str">
        <f t="shared" si="725"/>
        <v>10.20.8.188</v>
      </c>
      <c r="U1786" t="str">
        <f t="shared" si="726"/>
        <v>AZRAD UMAR BIN SHAARI</v>
      </c>
      <c r="V1786" t="str">
        <f t="shared" si="727"/>
        <v>FARHANA BINTI MUSTAPA</v>
      </c>
      <c r="W1786" t="str">
        <f t="shared" si="728"/>
        <v>04-08-2020</v>
      </c>
      <c r="X1786" t="str">
        <f t="shared" si="729"/>
        <v>RAZIMAH ANSAR AHMAD</v>
      </c>
      <c r="Y1786" t="str">
        <f t="shared" si="730"/>
        <v>04-08-2020</v>
      </c>
      <c r="Z1786" t="str">
        <f>"COS10200804 7368"</f>
        <v>COS10200804 7368</v>
      </c>
    </row>
    <row r="1787" spans="1:26" x14ac:dyDescent="0.25">
      <c r="A1787" t="str">
        <f t="shared" si="741"/>
        <v>04-08-2020 01:06:46</v>
      </c>
      <c r="B1787" t="str">
        <f>"0000809166"</f>
        <v>0000809166</v>
      </c>
      <c r="C1787" t="str">
        <f t="shared" si="742"/>
        <v>0000808999</v>
      </c>
      <c r="D1787" t="str">
        <f t="shared" si="718"/>
        <v>73185</v>
      </c>
      <c r="E1787" t="str">
        <f t="shared" si="719"/>
        <v>KFH-OPERATIONS DEPARTMENT</v>
      </c>
      <c r="F1787" t="str">
        <f t="shared" si="720"/>
        <v>IBG</v>
      </c>
      <c r="G1787" t="str">
        <f t="shared" si="731"/>
        <v>Refund COSHARE 10</v>
      </c>
      <c r="H1787" s="2">
        <v>252</v>
      </c>
      <c r="I1787" t="str">
        <f>"SHAHIRUL AZIRIN BIN ADNAN"</f>
        <v>SHAHIRUL AZIRIN BIN ADNAN</v>
      </c>
      <c r="J1787" t="str">
        <f t="shared" si="732"/>
        <v>MAYBANK / MAYBANK ISLAMIC</v>
      </c>
      <c r="K1787" t="str">
        <f>"101020431722"</f>
        <v>101020431722</v>
      </c>
      <c r="L1787" t="str">
        <f t="shared" ref="L1787:M1806" si="743">"04-08-2020"</f>
        <v>04-08-2020</v>
      </c>
      <c r="M1787" t="str">
        <f t="shared" si="743"/>
        <v>04-08-2020</v>
      </c>
      <c r="N1787" t="str">
        <f t="shared" si="721"/>
        <v>001105018356</v>
      </c>
      <c r="O1787" t="str">
        <f t="shared" si="722"/>
        <v>MYR</v>
      </c>
      <c r="P1787" t="str">
        <f t="shared" ref="P1787:Q1806" si="744">"NIL"</f>
        <v>NIL</v>
      </c>
      <c r="Q1787" t="str">
        <f t="shared" si="744"/>
        <v>NIL</v>
      </c>
      <c r="R1787" t="str">
        <f t="shared" si="723"/>
        <v>Accepted</v>
      </c>
      <c r="S1787" t="str">
        <f t="shared" si="724"/>
        <v>Approved</v>
      </c>
      <c r="T1787" t="str">
        <f t="shared" si="725"/>
        <v>10.20.8.188</v>
      </c>
      <c r="U1787" t="str">
        <f t="shared" si="726"/>
        <v>AZRAD UMAR BIN SHAARI</v>
      </c>
      <c r="V1787" t="str">
        <f t="shared" si="727"/>
        <v>FARHANA BINTI MUSTAPA</v>
      </c>
      <c r="W1787" t="str">
        <f t="shared" si="728"/>
        <v>04-08-2020</v>
      </c>
      <c r="X1787" t="str">
        <f t="shared" si="729"/>
        <v>RAZIMAH ANSAR AHMAD</v>
      </c>
      <c r="Y1787" t="str">
        <f t="shared" si="730"/>
        <v>04-08-2020</v>
      </c>
      <c r="Z1787" t="str">
        <f>"COS10200804 7367"</f>
        <v>COS10200804 7367</v>
      </c>
    </row>
    <row r="1788" spans="1:26" x14ac:dyDescent="0.25">
      <c r="A1788" t="str">
        <f t="shared" si="741"/>
        <v>04-08-2020 01:06:46</v>
      </c>
      <c r="B1788" t="str">
        <f>"0000809165"</f>
        <v>0000809165</v>
      </c>
      <c r="C1788" t="str">
        <f t="shared" si="742"/>
        <v>0000808999</v>
      </c>
      <c r="D1788" t="str">
        <f t="shared" si="718"/>
        <v>73185</v>
      </c>
      <c r="E1788" t="str">
        <f t="shared" si="719"/>
        <v>KFH-OPERATIONS DEPARTMENT</v>
      </c>
      <c r="F1788" t="str">
        <f t="shared" si="720"/>
        <v>IBG</v>
      </c>
      <c r="G1788" t="str">
        <f t="shared" si="731"/>
        <v>Refund COSHARE 10</v>
      </c>
      <c r="H1788" s="2">
        <v>50.4</v>
      </c>
      <c r="I1788" t="str">
        <f>"SHAHIRUL AZIRIN BIN ADNAN"</f>
        <v>SHAHIRUL AZIRIN BIN ADNAN</v>
      </c>
      <c r="J1788" t="str">
        <f t="shared" si="732"/>
        <v>MAYBANK / MAYBANK ISLAMIC</v>
      </c>
      <c r="K1788" t="str">
        <f>"101020431722"</f>
        <v>101020431722</v>
      </c>
      <c r="L1788" t="str">
        <f t="shared" si="743"/>
        <v>04-08-2020</v>
      </c>
      <c r="M1788" t="str">
        <f t="shared" si="743"/>
        <v>04-08-2020</v>
      </c>
      <c r="N1788" t="str">
        <f t="shared" si="721"/>
        <v>001105018356</v>
      </c>
      <c r="O1788" t="str">
        <f t="shared" si="722"/>
        <v>MYR</v>
      </c>
      <c r="P1788" t="str">
        <f t="shared" si="744"/>
        <v>NIL</v>
      </c>
      <c r="Q1788" t="str">
        <f t="shared" si="744"/>
        <v>NIL</v>
      </c>
      <c r="R1788" t="str">
        <f t="shared" si="723"/>
        <v>Accepted</v>
      </c>
      <c r="S1788" t="str">
        <f t="shared" si="724"/>
        <v>Approved</v>
      </c>
      <c r="T1788" t="str">
        <f t="shared" si="725"/>
        <v>10.20.8.188</v>
      </c>
      <c r="U1788" t="str">
        <f t="shared" si="726"/>
        <v>AZRAD UMAR BIN SHAARI</v>
      </c>
      <c r="V1788" t="str">
        <f t="shared" si="727"/>
        <v>FARHANA BINTI MUSTAPA</v>
      </c>
      <c r="W1788" t="str">
        <f t="shared" si="728"/>
        <v>04-08-2020</v>
      </c>
      <c r="X1788" t="str">
        <f t="shared" si="729"/>
        <v>RAZIMAH ANSAR AHMAD</v>
      </c>
      <c r="Y1788" t="str">
        <f t="shared" si="730"/>
        <v>04-08-2020</v>
      </c>
      <c r="Z1788" t="str">
        <f>"COS10200804 7366"</f>
        <v>COS10200804 7366</v>
      </c>
    </row>
    <row r="1789" spans="1:26" x14ac:dyDescent="0.25">
      <c r="A1789" t="str">
        <f t="shared" si="741"/>
        <v>04-08-2020 01:06:46</v>
      </c>
      <c r="B1789" t="str">
        <f>"0000809164"</f>
        <v>0000809164</v>
      </c>
      <c r="C1789" t="str">
        <f t="shared" si="742"/>
        <v>0000808999</v>
      </c>
      <c r="D1789" t="str">
        <f t="shared" si="718"/>
        <v>73185</v>
      </c>
      <c r="E1789" t="str">
        <f t="shared" si="719"/>
        <v>KFH-OPERATIONS DEPARTMENT</v>
      </c>
      <c r="F1789" t="str">
        <f t="shared" si="720"/>
        <v>IBG</v>
      </c>
      <c r="G1789" t="str">
        <f t="shared" si="731"/>
        <v>Refund COSHARE 10</v>
      </c>
      <c r="H1789" s="2">
        <v>512.1</v>
      </c>
      <c r="I1789" t="str">
        <f>"SHAHIROS AZLINA BINTI SHAHARUDDIN"</f>
        <v>SHAHIROS AZLINA BINTI SHAHARUDDIN</v>
      </c>
      <c r="J1789" t="str">
        <f t="shared" si="732"/>
        <v>MAYBANK / MAYBANK ISLAMIC</v>
      </c>
      <c r="K1789" t="str">
        <f>"158015098343"</f>
        <v>158015098343</v>
      </c>
      <c r="L1789" t="str">
        <f t="shared" si="743"/>
        <v>04-08-2020</v>
      </c>
      <c r="M1789" t="str">
        <f t="shared" si="743"/>
        <v>04-08-2020</v>
      </c>
      <c r="N1789" t="str">
        <f t="shared" si="721"/>
        <v>001105018356</v>
      </c>
      <c r="O1789" t="str">
        <f t="shared" si="722"/>
        <v>MYR</v>
      </c>
      <c r="P1789" t="str">
        <f t="shared" si="744"/>
        <v>NIL</v>
      </c>
      <c r="Q1789" t="str">
        <f t="shared" si="744"/>
        <v>NIL</v>
      </c>
      <c r="R1789" t="str">
        <f t="shared" si="723"/>
        <v>Accepted</v>
      </c>
      <c r="S1789" t="str">
        <f t="shared" si="724"/>
        <v>Approved</v>
      </c>
      <c r="T1789" t="str">
        <f t="shared" si="725"/>
        <v>10.20.8.188</v>
      </c>
      <c r="U1789" t="str">
        <f t="shared" si="726"/>
        <v>AZRAD UMAR BIN SHAARI</v>
      </c>
      <c r="V1789" t="str">
        <f t="shared" si="727"/>
        <v>FARHANA BINTI MUSTAPA</v>
      </c>
      <c r="W1789" t="str">
        <f t="shared" si="728"/>
        <v>04-08-2020</v>
      </c>
      <c r="X1789" t="str">
        <f t="shared" si="729"/>
        <v>RAZIMAH ANSAR AHMAD</v>
      </c>
      <c r="Y1789" t="str">
        <f t="shared" si="730"/>
        <v>04-08-2020</v>
      </c>
      <c r="Z1789" t="str">
        <f>"COS10200804 7365"</f>
        <v>COS10200804 7365</v>
      </c>
    </row>
    <row r="1790" spans="1:26" x14ac:dyDescent="0.25">
      <c r="A1790" t="str">
        <f t="shared" si="741"/>
        <v>04-08-2020 01:06:46</v>
      </c>
      <c r="B1790" t="str">
        <f>"0000809163"</f>
        <v>0000809163</v>
      </c>
      <c r="C1790" t="str">
        <f t="shared" si="742"/>
        <v>0000808999</v>
      </c>
      <c r="D1790" t="str">
        <f t="shared" si="718"/>
        <v>73185</v>
      </c>
      <c r="E1790" t="str">
        <f t="shared" si="719"/>
        <v>KFH-OPERATIONS DEPARTMENT</v>
      </c>
      <c r="F1790" t="str">
        <f t="shared" si="720"/>
        <v>IBG</v>
      </c>
      <c r="G1790" t="str">
        <f t="shared" si="731"/>
        <v>Refund COSHARE 10</v>
      </c>
      <c r="H1790" s="2">
        <v>629.65</v>
      </c>
      <c r="I1790" t="str">
        <f>"SHAHIDA BINTI AHMAD MOKHTAR"</f>
        <v>SHAHIDA BINTI AHMAD MOKHTAR</v>
      </c>
      <c r="J1790" t="str">
        <f t="shared" si="732"/>
        <v>MAYBANK / MAYBANK ISLAMIC</v>
      </c>
      <c r="K1790" t="str">
        <f>"164490083656"</f>
        <v>164490083656</v>
      </c>
      <c r="L1790" t="str">
        <f t="shared" si="743"/>
        <v>04-08-2020</v>
      </c>
      <c r="M1790" t="str">
        <f t="shared" si="743"/>
        <v>04-08-2020</v>
      </c>
      <c r="N1790" t="str">
        <f t="shared" si="721"/>
        <v>001105018356</v>
      </c>
      <c r="O1790" t="str">
        <f t="shared" si="722"/>
        <v>MYR</v>
      </c>
      <c r="P1790" t="str">
        <f t="shared" si="744"/>
        <v>NIL</v>
      </c>
      <c r="Q1790" t="str">
        <f t="shared" si="744"/>
        <v>NIL</v>
      </c>
      <c r="R1790" t="str">
        <f t="shared" si="723"/>
        <v>Accepted</v>
      </c>
      <c r="S1790" t="str">
        <f t="shared" si="724"/>
        <v>Approved</v>
      </c>
      <c r="T1790" t="str">
        <f t="shared" si="725"/>
        <v>10.20.8.188</v>
      </c>
      <c r="U1790" t="str">
        <f t="shared" si="726"/>
        <v>AZRAD UMAR BIN SHAARI</v>
      </c>
      <c r="V1790" t="str">
        <f t="shared" si="727"/>
        <v>FARHANA BINTI MUSTAPA</v>
      </c>
      <c r="W1790" t="str">
        <f t="shared" si="728"/>
        <v>04-08-2020</v>
      </c>
      <c r="X1790" t="str">
        <f t="shared" si="729"/>
        <v>RAZIMAH ANSAR AHMAD</v>
      </c>
      <c r="Y1790" t="str">
        <f t="shared" si="730"/>
        <v>04-08-2020</v>
      </c>
      <c r="Z1790" t="str">
        <f>"COS10200804 7364"</f>
        <v>COS10200804 7364</v>
      </c>
    </row>
    <row r="1791" spans="1:26" x14ac:dyDescent="0.25">
      <c r="A1791" t="str">
        <f t="shared" si="741"/>
        <v>04-08-2020 01:06:46</v>
      </c>
      <c r="B1791" t="str">
        <f>"0000809162"</f>
        <v>0000809162</v>
      </c>
      <c r="C1791" t="str">
        <f t="shared" si="742"/>
        <v>0000808999</v>
      </c>
      <c r="D1791" t="str">
        <f t="shared" si="718"/>
        <v>73185</v>
      </c>
      <c r="E1791" t="str">
        <f t="shared" si="719"/>
        <v>KFH-OPERATIONS DEPARTMENT</v>
      </c>
      <c r="F1791" t="str">
        <f t="shared" si="720"/>
        <v>IBG</v>
      </c>
      <c r="G1791" t="str">
        <f t="shared" si="731"/>
        <v>Refund COSHARE 10</v>
      </c>
      <c r="H1791" s="2">
        <v>55</v>
      </c>
      <c r="I1791" t="str">
        <f>"SHAHEZAN BIN ISMAIL"</f>
        <v>SHAHEZAN BIN ISMAIL</v>
      </c>
      <c r="J1791" t="str">
        <f t="shared" si="732"/>
        <v>MAYBANK / MAYBANK ISLAMIC</v>
      </c>
      <c r="K1791" t="str">
        <f>"151025781448"</f>
        <v>151025781448</v>
      </c>
      <c r="L1791" t="str">
        <f t="shared" si="743"/>
        <v>04-08-2020</v>
      </c>
      <c r="M1791" t="str">
        <f t="shared" si="743"/>
        <v>04-08-2020</v>
      </c>
      <c r="N1791" t="str">
        <f t="shared" si="721"/>
        <v>001105018356</v>
      </c>
      <c r="O1791" t="str">
        <f t="shared" si="722"/>
        <v>MYR</v>
      </c>
      <c r="P1791" t="str">
        <f t="shared" si="744"/>
        <v>NIL</v>
      </c>
      <c r="Q1791" t="str">
        <f t="shared" si="744"/>
        <v>NIL</v>
      </c>
      <c r="R1791" t="str">
        <f t="shared" si="723"/>
        <v>Accepted</v>
      </c>
      <c r="S1791" t="str">
        <f t="shared" si="724"/>
        <v>Approved</v>
      </c>
      <c r="T1791" t="str">
        <f t="shared" si="725"/>
        <v>10.20.8.188</v>
      </c>
      <c r="U1791" t="str">
        <f t="shared" si="726"/>
        <v>AZRAD UMAR BIN SHAARI</v>
      </c>
      <c r="V1791" t="str">
        <f t="shared" si="727"/>
        <v>FARHANA BINTI MUSTAPA</v>
      </c>
      <c r="W1791" t="str">
        <f t="shared" si="728"/>
        <v>04-08-2020</v>
      </c>
      <c r="X1791" t="str">
        <f t="shared" si="729"/>
        <v>RAZIMAH ANSAR AHMAD</v>
      </c>
      <c r="Y1791" t="str">
        <f t="shared" si="730"/>
        <v>04-08-2020</v>
      </c>
      <c r="Z1791" t="str">
        <f>"COS10200804 7363"</f>
        <v>COS10200804 7363</v>
      </c>
    </row>
    <row r="1792" spans="1:26" x14ac:dyDescent="0.25">
      <c r="A1792" t="str">
        <f t="shared" si="741"/>
        <v>04-08-2020 01:06:46</v>
      </c>
      <c r="B1792" t="str">
        <f>"0000809161"</f>
        <v>0000809161</v>
      </c>
      <c r="C1792" t="str">
        <f t="shared" si="742"/>
        <v>0000808999</v>
      </c>
      <c r="D1792" t="str">
        <f t="shared" si="718"/>
        <v>73185</v>
      </c>
      <c r="E1792" t="str">
        <f t="shared" si="719"/>
        <v>KFH-OPERATIONS DEPARTMENT</v>
      </c>
      <c r="F1792" t="str">
        <f t="shared" si="720"/>
        <v>IBG</v>
      </c>
      <c r="G1792" t="str">
        <f t="shared" si="731"/>
        <v>Refund COSHARE 10</v>
      </c>
      <c r="H1792" s="2">
        <v>109.15</v>
      </c>
      <c r="I1792" t="str">
        <f>"SHAHARUDDIN BIN ABDUL MANAF"</f>
        <v>SHAHARUDDIN BIN ABDUL MANAF</v>
      </c>
      <c r="J1792" t="str">
        <f t="shared" si="732"/>
        <v>MAYBANK / MAYBANK ISLAMIC</v>
      </c>
      <c r="K1792" t="str">
        <f>"156039388150"</f>
        <v>156039388150</v>
      </c>
      <c r="L1792" t="str">
        <f t="shared" si="743"/>
        <v>04-08-2020</v>
      </c>
      <c r="M1792" t="str">
        <f t="shared" si="743"/>
        <v>04-08-2020</v>
      </c>
      <c r="N1792" t="str">
        <f t="shared" si="721"/>
        <v>001105018356</v>
      </c>
      <c r="O1792" t="str">
        <f t="shared" si="722"/>
        <v>MYR</v>
      </c>
      <c r="P1792" t="str">
        <f t="shared" si="744"/>
        <v>NIL</v>
      </c>
      <c r="Q1792" t="str">
        <f t="shared" si="744"/>
        <v>NIL</v>
      </c>
      <c r="R1792" t="str">
        <f t="shared" si="723"/>
        <v>Accepted</v>
      </c>
      <c r="S1792" t="str">
        <f t="shared" si="724"/>
        <v>Approved</v>
      </c>
      <c r="T1792" t="str">
        <f t="shared" si="725"/>
        <v>10.20.8.188</v>
      </c>
      <c r="U1792" t="str">
        <f t="shared" si="726"/>
        <v>AZRAD UMAR BIN SHAARI</v>
      </c>
      <c r="V1792" t="str">
        <f t="shared" si="727"/>
        <v>FARHANA BINTI MUSTAPA</v>
      </c>
      <c r="W1792" t="str">
        <f t="shared" si="728"/>
        <v>04-08-2020</v>
      </c>
      <c r="X1792" t="str">
        <f t="shared" si="729"/>
        <v>RAZIMAH ANSAR AHMAD</v>
      </c>
      <c r="Y1792" t="str">
        <f t="shared" si="730"/>
        <v>04-08-2020</v>
      </c>
      <c r="Z1792" t="str">
        <f>"COS10200804 7362"</f>
        <v>COS10200804 7362</v>
      </c>
    </row>
    <row r="1793" spans="1:26" x14ac:dyDescent="0.25">
      <c r="A1793" t="str">
        <f t="shared" si="741"/>
        <v>04-08-2020 01:06:46</v>
      </c>
      <c r="B1793" t="str">
        <f>"0000809160"</f>
        <v>0000809160</v>
      </c>
      <c r="C1793" t="str">
        <f t="shared" si="742"/>
        <v>0000808999</v>
      </c>
      <c r="D1793" t="str">
        <f t="shared" si="718"/>
        <v>73185</v>
      </c>
      <c r="E1793" t="str">
        <f t="shared" si="719"/>
        <v>KFH-OPERATIONS DEPARTMENT</v>
      </c>
      <c r="F1793" t="str">
        <f t="shared" si="720"/>
        <v>IBG</v>
      </c>
      <c r="G1793" t="str">
        <f t="shared" si="731"/>
        <v>Refund COSHARE 10</v>
      </c>
      <c r="H1793" s="2">
        <v>1049.4000000000001</v>
      </c>
      <c r="I1793" t="str">
        <f>"SHAHARA BINTI NOLAI  NOLIA"</f>
        <v>SHAHARA BINTI NOLAI  NOLIA</v>
      </c>
      <c r="J1793" t="str">
        <f t="shared" si="732"/>
        <v>MAYBANK / MAYBANK ISLAMIC</v>
      </c>
      <c r="K1793" t="str">
        <f>"155144000336"</f>
        <v>155144000336</v>
      </c>
      <c r="L1793" t="str">
        <f t="shared" si="743"/>
        <v>04-08-2020</v>
      </c>
      <c r="M1793" t="str">
        <f t="shared" si="743"/>
        <v>04-08-2020</v>
      </c>
      <c r="N1793" t="str">
        <f t="shared" si="721"/>
        <v>001105018356</v>
      </c>
      <c r="O1793" t="str">
        <f t="shared" si="722"/>
        <v>MYR</v>
      </c>
      <c r="P1793" t="str">
        <f t="shared" si="744"/>
        <v>NIL</v>
      </c>
      <c r="Q1793" t="str">
        <f t="shared" si="744"/>
        <v>NIL</v>
      </c>
      <c r="R1793" t="str">
        <f t="shared" si="723"/>
        <v>Accepted</v>
      </c>
      <c r="S1793" t="str">
        <f t="shared" si="724"/>
        <v>Approved</v>
      </c>
      <c r="T1793" t="str">
        <f t="shared" si="725"/>
        <v>10.20.8.188</v>
      </c>
      <c r="U1793" t="str">
        <f t="shared" si="726"/>
        <v>AZRAD UMAR BIN SHAARI</v>
      </c>
      <c r="V1793" t="str">
        <f t="shared" si="727"/>
        <v>FARHANA BINTI MUSTAPA</v>
      </c>
      <c r="W1793" t="str">
        <f t="shared" si="728"/>
        <v>04-08-2020</v>
      </c>
      <c r="X1793" t="str">
        <f t="shared" si="729"/>
        <v>RAZIMAH ANSAR AHMAD</v>
      </c>
      <c r="Y1793" t="str">
        <f t="shared" si="730"/>
        <v>04-08-2020</v>
      </c>
      <c r="Z1793" t="str">
        <f>"COS10200804 7361"</f>
        <v>COS10200804 7361</v>
      </c>
    </row>
    <row r="1794" spans="1:26" x14ac:dyDescent="0.25">
      <c r="A1794" t="str">
        <f t="shared" si="741"/>
        <v>04-08-2020 01:06:46</v>
      </c>
      <c r="B1794" t="str">
        <f>"0000809159"</f>
        <v>0000809159</v>
      </c>
      <c r="C1794" t="str">
        <f t="shared" si="742"/>
        <v>0000808999</v>
      </c>
      <c r="D1794" t="str">
        <f t="shared" si="718"/>
        <v>73185</v>
      </c>
      <c r="E1794" t="str">
        <f t="shared" si="719"/>
        <v>KFH-OPERATIONS DEPARTMENT</v>
      </c>
      <c r="F1794" t="str">
        <f t="shared" si="720"/>
        <v>IBG</v>
      </c>
      <c r="G1794" t="str">
        <f t="shared" si="731"/>
        <v>Refund COSHARE 10</v>
      </c>
      <c r="H1794" s="2">
        <v>473.3</v>
      </c>
      <c r="I1794" t="str">
        <f>"SHAH RIZAL BIN SULAIMAN  MD SAAD"</f>
        <v>SHAH RIZAL BIN SULAIMAN  MD SAAD</v>
      </c>
      <c r="J1794" t="str">
        <f t="shared" si="732"/>
        <v>MAYBANK / MAYBANK ISLAMIC</v>
      </c>
      <c r="K1794" t="str">
        <f>"162067461059"</f>
        <v>162067461059</v>
      </c>
      <c r="L1794" t="str">
        <f t="shared" si="743"/>
        <v>04-08-2020</v>
      </c>
      <c r="M1794" t="str">
        <f t="shared" si="743"/>
        <v>04-08-2020</v>
      </c>
      <c r="N1794" t="str">
        <f t="shared" si="721"/>
        <v>001105018356</v>
      </c>
      <c r="O1794" t="str">
        <f t="shared" si="722"/>
        <v>MYR</v>
      </c>
      <c r="P1794" t="str">
        <f t="shared" si="744"/>
        <v>NIL</v>
      </c>
      <c r="Q1794" t="str">
        <f t="shared" si="744"/>
        <v>NIL</v>
      </c>
      <c r="R1794" t="str">
        <f t="shared" si="723"/>
        <v>Accepted</v>
      </c>
      <c r="S1794" t="str">
        <f t="shared" si="724"/>
        <v>Approved</v>
      </c>
      <c r="T1794" t="str">
        <f t="shared" si="725"/>
        <v>10.20.8.188</v>
      </c>
      <c r="U1794" t="str">
        <f t="shared" si="726"/>
        <v>AZRAD UMAR BIN SHAARI</v>
      </c>
      <c r="V1794" t="str">
        <f t="shared" si="727"/>
        <v>FARHANA BINTI MUSTAPA</v>
      </c>
      <c r="W1794" t="str">
        <f t="shared" si="728"/>
        <v>04-08-2020</v>
      </c>
      <c r="X1794" t="str">
        <f t="shared" si="729"/>
        <v>RAZIMAH ANSAR AHMAD</v>
      </c>
      <c r="Y1794" t="str">
        <f t="shared" si="730"/>
        <v>04-08-2020</v>
      </c>
      <c r="Z1794" t="str">
        <f>"COS10200804 7360"</f>
        <v>COS10200804 7360</v>
      </c>
    </row>
    <row r="1795" spans="1:26" x14ac:dyDescent="0.25">
      <c r="A1795" t="str">
        <f t="shared" si="741"/>
        <v>04-08-2020 01:06:46</v>
      </c>
      <c r="B1795" t="str">
        <f>"0000809158"</f>
        <v>0000809158</v>
      </c>
      <c r="C1795" t="str">
        <f t="shared" si="742"/>
        <v>0000808999</v>
      </c>
      <c r="D1795" t="str">
        <f t="shared" si="718"/>
        <v>73185</v>
      </c>
      <c r="E1795" t="str">
        <f t="shared" si="719"/>
        <v>KFH-OPERATIONS DEPARTMENT</v>
      </c>
      <c r="F1795" t="str">
        <f t="shared" si="720"/>
        <v>IBG</v>
      </c>
      <c r="G1795" t="str">
        <f t="shared" si="731"/>
        <v>Refund COSHARE 10</v>
      </c>
      <c r="H1795" s="2">
        <v>456</v>
      </c>
      <c r="I1795" t="str">
        <f>"SHAFRIZA NISHA BIN BASAH"</f>
        <v>SHAFRIZA NISHA BIN BASAH</v>
      </c>
      <c r="J1795" t="str">
        <f t="shared" si="732"/>
        <v>MAYBANK / MAYBANK ISLAMIC</v>
      </c>
      <c r="K1795" t="str">
        <f>"558118050069"</f>
        <v>558118050069</v>
      </c>
      <c r="L1795" t="str">
        <f t="shared" si="743"/>
        <v>04-08-2020</v>
      </c>
      <c r="M1795" t="str">
        <f t="shared" si="743"/>
        <v>04-08-2020</v>
      </c>
      <c r="N1795" t="str">
        <f t="shared" si="721"/>
        <v>001105018356</v>
      </c>
      <c r="O1795" t="str">
        <f t="shared" si="722"/>
        <v>MYR</v>
      </c>
      <c r="P1795" t="str">
        <f t="shared" si="744"/>
        <v>NIL</v>
      </c>
      <c r="Q1795" t="str">
        <f t="shared" si="744"/>
        <v>NIL</v>
      </c>
      <c r="R1795" t="str">
        <f t="shared" si="723"/>
        <v>Accepted</v>
      </c>
      <c r="S1795" t="str">
        <f t="shared" si="724"/>
        <v>Approved</v>
      </c>
      <c r="T1795" t="str">
        <f t="shared" si="725"/>
        <v>10.20.8.188</v>
      </c>
      <c r="U1795" t="str">
        <f t="shared" si="726"/>
        <v>AZRAD UMAR BIN SHAARI</v>
      </c>
      <c r="V1795" t="str">
        <f t="shared" si="727"/>
        <v>FARHANA BINTI MUSTAPA</v>
      </c>
      <c r="W1795" t="str">
        <f t="shared" si="728"/>
        <v>04-08-2020</v>
      </c>
      <c r="X1795" t="str">
        <f t="shared" si="729"/>
        <v>RAZIMAH ANSAR AHMAD</v>
      </c>
      <c r="Y1795" t="str">
        <f t="shared" si="730"/>
        <v>04-08-2020</v>
      </c>
      <c r="Z1795" t="str">
        <f>"COS10200804 7359"</f>
        <v>COS10200804 7359</v>
      </c>
    </row>
    <row r="1796" spans="1:26" x14ac:dyDescent="0.25">
      <c r="A1796" t="str">
        <f t="shared" si="741"/>
        <v>04-08-2020 01:06:46</v>
      </c>
      <c r="B1796" t="str">
        <f>"0000809157"</f>
        <v>0000809157</v>
      </c>
      <c r="C1796" t="str">
        <f t="shared" si="742"/>
        <v>0000808999</v>
      </c>
      <c r="D1796" t="str">
        <f t="shared" si="718"/>
        <v>73185</v>
      </c>
      <c r="E1796" t="str">
        <f t="shared" si="719"/>
        <v>KFH-OPERATIONS DEPARTMENT</v>
      </c>
      <c r="F1796" t="str">
        <f t="shared" si="720"/>
        <v>IBG</v>
      </c>
      <c r="G1796" t="str">
        <f t="shared" si="731"/>
        <v>Refund COSHARE 10</v>
      </c>
      <c r="H1796" s="2">
        <v>167.9</v>
      </c>
      <c r="I1796" t="str">
        <f>"SHAFINAR BINTI MOHD FADZIL"</f>
        <v>SHAFINAR BINTI MOHD FADZIL</v>
      </c>
      <c r="J1796" t="str">
        <f t="shared" si="732"/>
        <v>MAYBANK / MAYBANK ISLAMIC</v>
      </c>
      <c r="K1796" t="str">
        <f>"162263153243"</f>
        <v>162263153243</v>
      </c>
      <c r="L1796" t="str">
        <f t="shared" si="743"/>
        <v>04-08-2020</v>
      </c>
      <c r="M1796" t="str">
        <f t="shared" si="743"/>
        <v>04-08-2020</v>
      </c>
      <c r="N1796" t="str">
        <f t="shared" si="721"/>
        <v>001105018356</v>
      </c>
      <c r="O1796" t="str">
        <f t="shared" si="722"/>
        <v>MYR</v>
      </c>
      <c r="P1796" t="str">
        <f t="shared" si="744"/>
        <v>NIL</v>
      </c>
      <c r="Q1796" t="str">
        <f t="shared" si="744"/>
        <v>NIL</v>
      </c>
      <c r="R1796" t="str">
        <f t="shared" si="723"/>
        <v>Accepted</v>
      </c>
      <c r="S1796" t="str">
        <f t="shared" si="724"/>
        <v>Approved</v>
      </c>
      <c r="T1796" t="str">
        <f t="shared" si="725"/>
        <v>10.20.8.188</v>
      </c>
      <c r="U1796" t="str">
        <f t="shared" si="726"/>
        <v>AZRAD UMAR BIN SHAARI</v>
      </c>
      <c r="V1796" t="str">
        <f t="shared" si="727"/>
        <v>FARHANA BINTI MUSTAPA</v>
      </c>
      <c r="W1796" t="str">
        <f t="shared" si="728"/>
        <v>04-08-2020</v>
      </c>
      <c r="X1796" t="str">
        <f t="shared" si="729"/>
        <v>RAZIMAH ANSAR AHMAD</v>
      </c>
      <c r="Y1796" t="str">
        <f t="shared" si="730"/>
        <v>04-08-2020</v>
      </c>
      <c r="Z1796" t="str">
        <f>"COS10200804 7358"</f>
        <v>COS10200804 7358</v>
      </c>
    </row>
    <row r="1797" spans="1:26" x14ac:dyDescent="0.25">
      <c r="A1797" t="str">
        <f t="shared" si="741"/>
        <v>04-08-2020 01:06:46</v>
      </c>
      <c r="B1797" t="str">
        <f>"0000809156"</f>
        <v>0000809156</v>
      </c>
      <c r="C1797" t="str">
        <f t="shared" si="742"/>
        <v>0000808999</v>
      </c>
      <c r="D1797" t="str">
        <f t="shared" si="718"/>
        <v>73185</v>
      </c>
      <c r="E1797" t="str">
        <f t="shared" si="719"/>
        <v>KFH-OPERATIONS DEPARTMENT</v>
      </c>
      <c r="F1797" t="str">
        <f t="shared" si="720"/>
        <v>IBG</v>
      </c>
      <c r="G1797" t="str">
        <f t="shared" si="731"/>
        <v>Refund COSHARE 10</v>
      </c>
      <c r="H1797" s="2">
        <v>1500</v>
      </c>
      <c r="I1797" t="str">
        <f>"SHABARUDIN BIN OMAR"</f>
        <v>SHABARUDIN BIN OMAR</v>
      </c>
      <c r="J1797" t="str">
        <f t="shared" si="732"/>
        <v>MAYBANK / MAYBANK ISLAMIC</v>
      </c>
      <c r="K1797" t="str">
        <f>"102054841215"</f>
        <v>102054841215</v>
      </c>
      <c r="L1797" t="str">
        <f t="shared" si="743"/>
        <v>04-08-2020</v>
      </c>
      <c r="M1797" t="str">
        <f t="shared" si="743"/>
        <v>04-08-2020</v>
      </c>
      <c r="N1797" t="str">
        <f t="shared" si="721"/>
        <v>001105018356</v>
      </c>
      <c r="O1797" t="str">
        <f t="shared" si="722"/>
        <v>MYR</v>
      </c>
      <c r="P1797" t="str">
        <f t="shared" si="744"/>
        <v>NIL</v>
      </c>
      <c r="Q1797" t="str">
        <f t="shared" si="744"/>
        <v>NIL</v>
      </c>
      <c r="R1797" t="str">
        <f t="shared" si="723"/>
        <v>Accepted</v>
      </c>
      <c r="S1797" t="str">
        <f t="shared" si="724"/>
        <v>Approved</v>
      </c>
      <c r="T1797" t="str">
        <f t="shared" si="725"/>
        <v>10.20.8.188</v>
      </c>
      <c r="U1797" t="str">
        <f t="shared" si="726"/>
        <v>AZRAD UMAR BIN SHAARI</v>
      </c>
      <c r="V1797" t="str">
        <f t="shared" si="727"/>
        <v>FARHANA BINTI MUSTAPA</v>
      </c>
      <c r="W1797" t="str">
        <f t="shared" si="728"/>
        <v>04-08-2020</v>
      </c>
      <c r="X1797" t="str">
        <f t="shared" si="729"/>
        <v>RAZIMAH ANSAR AHMAD</v>
      </c>
      <c r="Y1797" t="str">
        <f t="shared" si="730"/>
        <v>04-08-2020</v>
      </c>
      <c r="Z1797" t="str">
        <f>"COS10200804 7357"</f>
        <v>COS10200804 7357</v>
      </c>
    </row>
    <row r="1798" spans="1:26" x14ac:dyDescent="0.25">
      <c r="A1798" t="str">
        <f t="shared" si="741"/>
        <v>04-08-2020 01:06:46</v>
      </c>
      <c r="B1798" t="str">
        <f>"0000809155"</f>
        <v>0000809155</v>
      </c>
      <c r="C1798" t="str">
        <f t="shared" si="742"/>
        <v>0000808999</v>
      </c>
      <c r="D1798" t="str">
        <f t="shared" si="718"/>
        <v>73185</v>
      </c>
      <c r="E1798" t="str">
        <f t="shared" si="719"/>
        <v>KFH-OPERATIONS DEPARTMENT</v>
      </c>
      <c r="F1798" t="str">
        <f t="shared" si="720"/>
        <v>IBG</v>
      </c>
      <c r="G1798" t="str">
        <f t="shared" si="731"/>
        <v>Refund COSHARE 10</v>
      </c>
      <c r="H1798" s="2">
        <v>827</v>
      </c>
      <c r="I1798" t="str">
        <f>"SHABANA BINTI HAMZAH"</f>
        <v>SHABANA BINTI HAMZAH</v>
      </c>
      <c r="J1798" t="str">
        <f t="shared" si="732"/>
        <v>MAYBANK / MAYBANK ISLAMIC</v>
      </c>
      <c r="K1798" t="str">
        <f>"152023129870"</f>
        <v>152023129870</v>
      </c>
      <c r="L1798" t="str">
        <f t="shared" si="743"/>
        <v>04-08-2020</v>
      </c>
      <c r="M1798" t="str">
        <f t="shared" si="743"/>
        <v>04-08-2020</v>
      </c>
      <c r="N1798" t="str">
        <f t="shared" si="721"/>
        <v>001105018356</v>
      </c>
      <c r="O1798" t="str">
        <f t="shared" si="722"/>
        <v>MYR</v>
      </c>
      <c r="P1798" t="str">
        <f t="shared" si="744"/>
        <v>NIL</v>
      </c>
      <c r="Q1798" t="str">
        <f t="shared" si="744"/>
        <v>NIL</v>
      </c>
      <c r="R1798" t="str">
        <f t="shared" si="723"/>
        <v>Accepted</v>
      </c>
      <c r="S1798" t="str">
        <f t="shared" si="724"/>
        <v>Approved</v>
      </c>
      <c r="T1798" t="str">
        <f t="shared" si="725"/>
        <v>10.20.8.188</v>
      </c>
      <c r="U1798" t="str">
        <f t="shared" si="726"/>
        <v>AZRAD UMAR BIN SHAARI</v>
      </c>
      <c r="V1798" t="str">
        <f t="shared" si="727"/>
        <v>FARHANA BINTI MUSTAPA</v>
      </c>
      <c r="W1798" t="str">
        <f t="shared" si="728"/>
        <v>04-08-2020</v>
      </c>
      <c r="X1798" t="str">
        <f t="shared" si="729"/>
        <v>RAZIMAH ANSAR AHMAD</v>
      </c>
      <c r="Y1798" t="str">
        <f t="shared" si="730"/>
        <v>04-08-2020</v>
      </c>
      <c r="Z1798" t="str">
        <f>"COS10200804 7356"</f>
        <v>COS10200804 7356</v>
      </c>
    </row>
    <row r="1799" spans="1:26" x14ac:dyDescent="0.25">
      <c r="A1799" t="str">
        <f t="shared" si="741"/>
        <v>04-08-2020 01:06:46</v>
      </c>
      <c r="B1799" t="str">
        <f>"0000809154"</f>
        <v>0000809154</v>
      </c>
      <c r="C1799" t="str">
        <f t="shared" si="742"/>
        <v>0000808999</v>
      </c>
      <c r="D1799" t="str">
        <f t="shared" ref="D1799:D1862" si="745">"73185"</f>
        <v>73185</v>
      </c>
      <c r="E1799" t="str">
        <f t="shared" ref="E1799:E1862" si="746">"KFH-OPERATIONS DEPARTMENT"</f>
        <v>KFH-OPERATIONS DEPARTMENT</v>
      </c>
      <c r="F1799" t="str">
        <f t="shared" ref="F1799:F1862" si="747">"IBG"</f>
        <v>IBG</v>
      </c>
      <c r="G1799" t="str">
        <f t="shared" si="731"/>
        <v>Refund COSHARE 10</v>
      </c>
      <c r="H1799" s="2">
        <v>67.2</v>
      </c>
      <c r="I1799" t="str">
        <f>"SHAARI BIN YAHAYA"</f>
        <v>SHAARI BIN YAHAYA</v>
      </c>
      <c r="J1799" t="str">
        <f t="shared" si="732"/>
        <v>MAYBANK / MAYBANK ISLAMIC</v>
      </c>
      <c r="K1799" t="str">
        <f>"155015151451"</f>
        <v>155015151451</v>
      </c>
      <c r="L1799" t="str">
        <f t="shared" si="743"/>
        <v>04-08-2020</v>
      </c>
      <c r="M1799" t="str">
        <f t="shared" si="743"/>
        <v>04-08-2020</v>
      </c>
      <c r="N1799" t="str">
        <f t="shared" ref="N1799:N1862" si="748">"001105018356"</f>
        <v>001105018356</v>
      </c>
      <c r="O1799" t="str">
        <f t="shared" ref="O1799:O1862" si="749">"MYR"</f>
        <v>MYR</v>
      </c>
      <c r="P1799" t="str">
        <f t="shared" si="744"/>
        <v>NIL</v>
      </c>
      <c r="Q1799" t="str">
        <f t="shared" si="744"/>
        <v>NIL</v>
      </c>
      <c r="R1799" t="str">
        <f t="shared" ref="R1799:R1862" si="750">"Accepted"</f>
        <v>Accepted</v>
      </c>
      <c r="S1799" t="str">
        <f t="shared" ref="S1799:S1862" si="751">"Approved"</f>
        <v>Approved</v>
      </c>
      <c r="T1799" t="str">
        <f t="shared" ref="T1799:T1862" si="752">"10.20.8.188"</f>
        <v>10.20.8.188</v>
      </c>
      <c r="U1799" t="str">
        <f t="shared" ref="U1799:U1862" si="753">"AZRAD UMAR BIN SHAARI"</f>
        <v>AZRAD UMAR BIN SHAARI</v>
      </c>
      <c r="V1799" t="str">
        <f t="shared" ref="V1799:V1862" si="754">"FARHANA BINTI MUSTAPA"</f>
        <v>FARHANA BINTI MUSTAPA</v>
      </c>
      <c r="W1799" t="str">
        <f t="shared" ref="W1799:W1862" si="755">"04-08-2020"</f>
        <v>04-08-2020</v>
      </c>
      <c r="X1799" t="str">
        <f t="shared" ref="X1799:X1862" si="756">"RAZIMAH ANSAR AHMAD"</f>
        <v>RAZIMAH ANSAR AHMAD</v>
      </c>
      <c r="Y1799" t="str">
        <f t="shared" ref="Y1799:Y1862" si="757">"04-08-2020"</f>
        <v>04-08-2020</v>
      </c>
      <c r="Z1799" t="str">
        <f>"COS10200804 7355"</f>
        <v>COS10200804 7355</v>
      </c>
    </row>
    <row r="1800" spans="1:26" x14ac:dyDescent="0.25">
      <c r="A1800" t="str">
        <f t="shared" si="741"/>
        <v>04-08-2020 01:06:46</v>
      </c>
      <c r="B1800" t="str">
        <f>"0000809153"</f>
        <v>0000809153</v>
      </c>
      <c r="C1800" t="str">
        <f t="shared" si="742"/>
        <v>0000808999</v>
      </c>
      <c r="D1800" t="str">
        <f t="shared" si="745"/>
        <v>73185</v>
      </c>
      <c r="E1800" t="str">
        <f t="shared" si="746"/>
        <v>KFH-OPERATIONS DEPARTMENT</v>
      </c>
      <c r="F1800" t="str">
        <f t="shared" si="747"/>
        <v>IBG</v>
      </c>
      <c r="G1800" t="str">
        <f t="shared" si="731"/>
        <v>Refund COSHARE 10</v>
      </c>
      <c r="H1800" s="2">
        <v>104.15</v>
      </c>
      <c r="I1800" t="str">
        <f>"SHAARI BIN ISMAIL"</f>
        <v>SHAARI BIN ISMAIL</v>
      </c>
      <c r="J1800" t="str">
        <f t="shared" si="732"/>
        <v>MAYBANK / MAYBANK ISLAMIC</v>
      </c>
      <c r="K1800" t="str">
        <f>"112080389327"</f>
        <v>112080389327</v>
      </c>
      <c r="L1800" t="str">
        <f t="shared" si="743"/>
        <v>04-08-2020</v>
      </c>
      <c r="M1800" t="str">
        <f t="shared" si="743"/>
        <v>04-08-2020</v>
      </c>
      <c r="N1800" t="str">
        <f t="shared" si="748"/>
        <v>001105018356</v>
      </c>
      <c r="O1800" t="str">
        <f t="shared" si="749"/>
        <v>MYR</v>
      </c>
      <c r="P1800" t="str">
        <f t="shared" si="744"/>
        <v>NIL</v>
      </c>
      <c r="Q1800" t="str">
        <f t="shared" si="744"/>
        <v>NIL</v>
      </c>
      <c r="R1800" t="str">
        <f t="shared" si="750"/>
        <v>Accepted</v>
      </c>
      <c r="S1800" t="str">
        <f t="shared" si="751"/>
        <v>Approved</v>
      </c>
      <c r="T1800" t="str">
        <f t="shared" si="752"/>
        <v>10.20.8.188</v>
      </c>
      <c r="U1800" t="str">
        <f t="shared" si="753"/>
        <v>AZRAD UMAR BIN SHAARI</v>
      </c>
      <c r="V1800" t="str">
        <f t="shared" si="754"/>
        <v>FARHANA BINTI MUSTAPA</v>
      </c>
      <c r="W1800" t="str">
        <f t="shared" si="755"/>
        <v>04-08-2020</v>
      </c>
      <c r="X1800" t="str">
        <f t="shared" si="756"/>
        <v>RAZIMAH ANSAR AHMAD</v>
      </c>
      <c r="Y1800" t="str">
        <f t="shared" si="757"/>
        <v>04-08-2020</v>
      </c>
      <c r="Z1800" t="str">
        <f>"COS10200804 7354"</f>
        <v>COS10200804 7354</v>
      </c>
    </row>
    <row r="1801" spans="1:26" x14ac:dyDescent="0.25">
      <c r="A1801" t="str">
        <f t="shared" si="741"/>
        <v>04-08-2020 01:06:46</v>
      </c>
      <c r="B1801" t="str">
        <f>"0000809152"</f>
        <v>0000809152</v>
      </c>
      <c r="C1801" t="str">
        <f t="shared" si="742"/>
        <v>0000808999</v>
      </c>
      <c r="D1801" t="str">
        <f t="shared" si="745"/>
        <v>73185</v>
      </c>
      <c r="E1801" t="str">
        <f t="shared" si="746"/>
        <v>KFH-OPERATIONS DEPARTMENT</v>
      </c>
      <c r="F1801" t="str">
        <f t="shared" si="747"/>
        <v>IBG</v>
      </c>
      <c r="G1801" t="str">
        <f t="shared" si="731"/>
        <v>Refund COSHARE 10</v>
      </c>
      <c r="H1801" s="2">
        <v>757.25</v>
      </c>
      <c r="I1801" t="str">
        <f>"SHA ADAH BINTI HASHIM"</f>
        <v>SHA ADAH BINTI HASHIM</v>
      </c>
      <c r="J1801" t="str">
        <f t="shared" si="732"/>
        <v>MAYBANK / MAYBANK ISLAMIC</v>
      </c>
      <c r="K1801" t="str">
        <f>"164164903624"</f>
        <v>164164903624</v>
      </c>
      <c r="L1801" t="str">
        <f t="shared" si="743"/>
        <v>04-08-2020</v>
      </c>
      <c r="M1801" t="str">
        <f t="shared" si="743"/>
        <v>04-08-2020</v>
      </c>
      <c r="N1801" t="str">
        <f t="shared" si="748"/>
        <v>001105018356</v>
      </c>
      <c r="O1801" t="str">
        <f t="shared" si="749"/>
        <v>MYR</v>
      </c>
      <c r="P1801" t="str">
        <f t="shared" si="744"/>
        <v>NIL</v>
      </c>
      <c r="Q1801" t="str">
        <f t="shared" si="744"/>
        <v>NIL</v>
      </c>
      <c r="R1801" t="str">
        <f t="shared" si="750"/>
        <v>Accepted</v>
      </c>
      <c r="S1801" t="str">
        <f t="shared" si="751"/>
        <v>Approved</v>
      </c>
      <c r="T1801" t="str">
        <f t="shared" si="752"/>
        <v>10.20.8.188</v>
      </c>
      <c r="U1801" t="str">
        <f t="shared" si="753"/>
        <v>AZRAD UMAR BIN SHAARI</v>
      </c>
      <c r="V1801" t="str">
        <f t="shared" si="754"/>
        <v>FARHANA BINTI MUSTAPA</v>
      </c>
      <c r="W1801" t="str">
        <f t="shared" si="755"/>
        <v>04-08-2020</v>
      </c>
      <c r="X1801" t="str">
        <f t="shared" si="756"/>
        <v>RAZIMAH ANSAR AHMAD</v>
      </c>
      <c r="Y1801" t="str">
        <f t="shared" si="757"/>
        <v>04-08-2020</v>
      </c>
      <c r="Z1801" t="str">
        <f>"COS10200804 7353"</f>
        <v>COS10200804 7353</v>
      </c>
    </row>
    <row r="1802" spans="1:26" x14ac:dyDescent="0.25">
      <c r="A1802" t="str">
        <f t="shared" si="741"/>
        <v>04-08-2020 01:06:46</v>
      </c>
      <c r="B1802" t="str">
        <f>"0000809151"</f>
        <v>0000809151</v>
      </c>
      <c r="C1802" t="str">
        <f t="shared" si="742"/>
        <v>0000808999</v>
      </c>
      <c r="D1802" t="str">
        <f t="shared" si="745"/>
        <v>73185</v>
      </c>
      <c r="E1802" t="str">
        <f t="shared" si="746"/>
        <v>KFH-OPERATIONS DEPARTMENT</v>
      </c>
      <c r="F1802" t="str">
        <f t="shared" si="747"/>
        <v>IBG</v>
      </c>
      <c r="G1802" t="str">
        <f t="shared" si="731"/>
        <v>Refund COSHARE 10</v>
      </c>
      <c r="H1802" s="2">
        <v>42</v>
      </c>
      <c r="I1802" t="str">
        <f>"SH NOREEN HAIFA BT SYED IZAN"</f>
        <v>SH NOREEN HAIFA BT SYED IZAN</v>
      </c>
      <c r="J1802" t="str">
        <f t="shared" si="732"/>
        <v>MAYBANK / MAYBANK ISLAMIC</v>
      </c>
      <c r="K1802" t="str">
        <f>"158462007573"</f>
        <v>158462007573</v>
      </c>
      <c r="L1802" t="str">
        <f t="shared" si="743"/>
        <v>04-08-2020</v>
      </c>
      <c r="M1802" t="str">
        <f t="shared" si="743"/>
        <v>04-08-2020</v>
      </c>
      <c r="N1802" t="str">
        <f t="shared" si="748"/>
        <v>001105018356</v>
      </c>
      <c r="O1802" t="str">
        <f t="shared" si="749"/>
        <v>MYR</v>
      </c>
      <c r="P1802" t="str">
        <f t="shared" si="744"/>
        <v>NIL</v>
      </c>
      <c r="Q1802" t="str">
        <f t="shared" si="744"/>
        <v>NIL</v>
      </c>
      <c r="R1802" t="str">
        <f t="shared" si="750"/>
        <v>Accepted</v>
      </c>
      <c r="S1802" t="str">
        <f t="shared" si="751"/>
        <v>Approved</v>
      </c>
      <c r="T1802" t="str">
        <f t="shared" si="752"/>
        <v>10.20.8.188</v>
      </c>
      <c r="U1802" t="str">
        <f t="shared" si="753"/>
        <v>AZRAD UMAR BIN SHAARI</v>
      </c>
      <c r="V1802" t="str">
        <f t="shared" si="754"/>
        <v>FARHANA BINTI MUSTAPA</v>
      </c>
      <c r="W1802" t="str">
        <f t="shared" si="755"/>
        <v>04-08-2020</v>
      </c>
      <c r="X1802" t="str">
        <f t="shared" si="756"/>
        <v>RAZIMAH ANSAR AHMAD</v>
      </c>
      <c r="Y1802" t="str">
        <f t="shared" si="757"/>
        <v>04-08-2020</v>
      </c>
      <c r="Z1802" t="str">
        <f>"COS10200804 7352"</f>
        <v>COS10200804 7352</v>
      </c>
    </row>
    <row r="1803" spans="1:26" x14ac:dyDescent="0.25">
      <c r="A1803" t="str">
        <f t="shared" si="741"/>
        <v>04-08-2020 01:06:46</v>
      </c>
      <c r="B1803" t="str">
        <f>"0000809150"</f>
        <v>0000809150</v>
      </c>
      <c r="C1803" t="str">
        <f t="shared" si="742"/>
        <v>0000808999</v>
      </c>
      <c r="D1803" t="str">
        <f t="shared" si="745"/>
        <v>73185</v>
      </c>
      <c r="E1803" t="str">
        <f t="shared" si="746"/>
        <v>KFH-OPERATIONS DEPARTMENT</v>
      </c>
      <c r="F1803" t="str">
        <f t="shared" si="747"/>
        <v>IBG</v>
      </c>
      <c r="G1803" t="str">
        <f t="shared" si="731"/>
        <v>Refund COSHARE 10</v>
      </c>
      <c r="H1803" s="2">
        <v>698.1</v>
      </c>
      <c r="I1803" t="str">
        <f>"SH NARIMAH BINTI SYED MAJID"</f>
        <v>SH NARIMAH BINTI SYED MAJID</v>
      </c>
      <c r="J1803" t="str">
        <f t="shared" si="732"/>
        <v>MAYBANK / MAYBANK ISLAMIC</v>
      </c>
      <c r="K1803" t="str">
        <f>"164025039512"</f>
        <v>164025039512</v>
      </c>
      <c r="L1803" t="str">
        <f t="shared" si="743"/>
        <v>04-08-2020</v>
      </c>
      <c r="M1803" t="str">
        <f t="shared" si="743"/>
        <v>04-08-2020</v>
      </c>
      <c r="N1803" t="str">
        <f t="shared" si="748"/>
        <v>001105018356</v>
      </c>
      <c r="O1803" t="str">
        <f t="shared" si="749"/>
        <v>MYR</v>
      </c>
      <c r="P1803" t="str">
        <f t="shared" si="744"/>
        <v>NIL</v>
      </c>
      <c r="Q1803" t="str">
        <f t="shared" si="744"/>
        <v>NIL</v>
      </c>
      <c r="R1803" t="str">
        <f t="shared" si="750"/>
        <v>Accepted</v>
      </c>
      <c r="S1803" t="str">
        <f t="shared" si="751"/>
        <v>Approved</v>
      </c>
      <c r="T1803" t="str">
        <f t="shared" si="752"/>
        <v>10.20.8.188</v>
      </c>
      <c r="U1803" t="str">
        <f t="shared" si="753"/>
        <v>AZRAD UMAR BIN SHAARI</v>
      </c>
      <c r="V1803" t="str">
        <f t="shared" si="754"/>
        <v>FARHANA BINTI MUSTAPA</v>
      </c>
      <c r="W1803" t="str">
        <f t="shared" si="755"/>
        <v>04-08-2020</v>
      </c>
      <c r="X1803" t="str">
        <f t="shared" si="756"/>
        <v>RAZIMAH ANSAR AHMAD</v>
      </c>
      <c r="Y1803" t="str">
        <f t="shared" si="757"/>
        <v>04-08-2020</v>
      </c>
      <c r="Z1803" t="str">
        <f>"COS10200804 7351"</f>
        <v>COS10200804 7351</v>
      </c>
    </row>
    <row r="1804" spans="1:26" x14ac:dyDescent="0.25">
      <c r="A1804" t="str">
        <f t="shared" si="741"/>
        <v>04-08-2020 01:06:46</v>
      </c>
      <c r="B1804" t="str">
        <f>"0000809149"</f>
        <v>0000809149</v>
      </c>
      <c r="C1804" t="str">
        <f t="shared" si="742"/>
        <v>0000808999</v>
      </c>
      <c r="D1804" t="str">
        <f t="shared" si="745"/>
        <v>73185</v>
      </c>
      <c r="E1804" t="str">
        <f t="shared" si="746"/>
        <v>KFH-OPERATIONS DEPARTMENT</v>
      </c>
      <c r="F1804" t="str">
        <f t="shared" si="747"/>
        <v>IBG</v>
      </c>
      <c r="G1804" t="str">
        <f t="shared" ref="G1804:G1867" si="758">"Refund COSHARE 10"</f>
        <v>Refund COSHARE 10</v>
      </c>
      <c r="H1804" s="2">
        <v>150.80000000000001</v>
      </c>
      <c r="I1804" t="str">
        <f>"SETIAN ANAK IKAU"</f>
        <v>SETIAN ANAK IKAU</v>
      </c>
      <c r="J1804" t="str">
        <f t="shared" si="732"/>
        <v>MAYBANK / MAYBANK ISLAMIC</v>
      </c>
      <c r="K1804" t="str">
        <f>"161051021413"</f>
        <v>161051021413</v>
      </c>
      <c r="L1804" t="str">
        <f t="shared" si="743"/>
        <v>04-08-2020</v>
      </c>
      <c r="M1804" t="str">
        <f t="shared" si="743"/>
        <v>04-08-2020</v>
      </c>
      <c r="N1804" t="str">
        <f t="shared" si="748"/>
        <v>001105018356</v>
      </c>
      <c r="O1804" t="str">
        <f t="shared" si="749"/>
        <v>MYR</v>
      </c>
      <c r="P1804" t="str">
        <f t="shared" si="744"/>
        <v>NIL</v>
      </c>
      <c r="Q1804" t="str">
        <f t="shared" si="744"/>
        <v>NIL</v>
      </c>
      <c r="R1804" t="str">
        <f t="shared" si="750"/>
        <v>Accepted</v>
      </c>
      <c r="S1804" t="str">
        <f t="shared" si="751"/>
        <v>Approved</v>
      </c>
      <c r="T1804" t="str">
        <f t="shared" si="752"/>
        <v>10.20.8.188</v>
      </c>
      <c r="U1804" t="str">
        <f t="shared" si="753"/>
        <v>AZRAD UMAR BIN SHAARI</v>
      </c>
      <c r="V1804" t="str">
        <f t="shared" si="754"/>
        <v>FARHANA BINTI MUSTAPA</v>
      </c>
      <c r="W1804" t="str">
        <f t="shared" si="755"/>
        <v>04-08-2020</v>
      </c>
      <c r="X1804" t="str">
        <f t="shared" si="756"/>
        <v>RAZIMAH ANSAR AHMAD</v>
      </c>
      <c r="Y1804" t="str">
        <f t="shared" si="757"/>
        <v>04-08-2020</v>
      </c>
      <c r="Z1804" t="str">
        <f>"COS10200804 7350"</f>
        <v>COS10200804 7350</v>
      </c>
    </row>
    <row r="1805" spans="1:26" x14ac:dyDescent="0.25">
      <c r="A1805" t="str">
        <f t="shared" si="741"/>
        <v>04-08-2020 01:06:46</v>
      </c>
      <c r="B1805" t="str">
        <f>"0000809148"</f>
        <v>0000809148</v>
      </c>
      <c r="C1805" t="str">
        <f t="shared" si="742"/>
        <v>0000808999</v>
      </c>
      <c r="D1805" t="str">
        <f t="shared" si="745"/>
        <v>73185</v>
      </c>
      <c r="E1805" t="str">
        <f t="shared" si="746"/>
        <v>KFH-OPERATIONS DEPARTMENT</v>
      </c>
      <c r="F1805" t="str">
        <f t="shared" si="747"/>
        <v>IBG</v>
      </c>
      <c r="G1805" t="str">
        <f t="shared" si="758"/>
        <v>Refund COSHARE 10</v>
      </c>
      <c r="H1805" s="2">
        <v>596.04999999999995</v>
      </c>
      <c r="I1805" t="str">
        <f>"SERIPAH SEPARINA BT WAN BUJANG SUINI"</f>
        <v>SERIPAH SEPARINA BT WAN BUJANG SUINI</v>
      </c>
      <c r="J1805" t="str">
        <f t="shared" si="732"/>
        <v>MAYBANK / MAYBANK ISLAMIC</v>
      </c>
      <c r="K1805" t="str">
        <f>"161284071780"</f>
        <v>161284071780</v>
      </c>
      <c r="L1805" t="str">
        <f t="shared" si="743"/>
        <v>04-08-2020</v>
      </c>
      <c r="M1805" t="str">
        <f t="shared" si="743"/>
        <v>04-08-2020</v>
      </c>
      <c r="N1805" t="str">
        <f t="shared" si="748"/>
        <v>001105018356</v>
      </c>
      <c r="O1805" t="str">
        <f t="shared" si="749"/>
        <v>MYR</v>
      </c>
      <c r="P1805" t="str">
        <f t="shared" si="744"/>
        <v>NIL</v>
      </c>
      <c r="Q1805" t="str">
        <f t="shared" si="744"/>
        <v>NIL</v>
      </c>
      <c r="R1805" t="str">
        <f t="shared" si="750"/>
        <v>Accepted</v>
      </c>
      <c r="S1805" t="str">
        <f t="shared" si="751"/>
        <v>Approved</v>
      </c>
      <c r="T1805" t="str">
        <f t="shared" si="752"/>
        <v>10.20.8.188</v>
      </c>
      <c r="U1805" t="str">
        <f t="shared" si="753"/>
        <v>AZRAD UMAR BIN SHAARI</v>
      </c>
      <c r="V1805" t="str">
        <f t="shared" si="754"/>
        <v>FARHANA BINTI MUSTAPA</v>
      </c>
      <c r="W1805" t="str">
        <f t="shared" si="755"/>
        <v>04-08-2020</v>
      </c>
      <c r="X1805" t="str">
        <f t="shared" si="756"/>
        <v>RAZIMAH ANSAR AHMAD</v>
      </c>
      <c r="Y1805" t="str">
        <f t="shared" si="757"/>
        <v>04-08-2020</v>
      </c>
      <c r="Z1805" t="str">
        <f>"COS10200804 7349"</f>
        <v>COS10200804 7349</v>
      </c>
    </row>
    <row r="1806" spans="1:26" x14ac:dyDescent="0.25">
      <c r="A1806" t="str">
        <f t="shared" si="741"/>
        <v>04-08-2020 01:06:46</v>
      </c>
      <c r="B1806" t="str">
        <f>"0000809147"</f>
        <v>0000809147</v>
      </c>
      <c r="C1806" t="str">
        <f t="shared" si="742"/>
        <v>0000808999</v>
      </c>
      <c r="D1806" t="str">
        <f t="shared" si="745"/>
        <v>73185</v>
      </c>
      <c r="E1806" t="str">
        <f t="shared" si="746"/>
        <v>KFH-OPERATIONS DEPARTMENT</v>
      </c>
      <c r="F1806" t="str">
        <f t="shared" si="747"/>
        <v>IBG</v>
      </c>
      <c r="G1806" t="str">
        <f t="shared" si="758"/>
        <v>Refund COSHARE 10</v>
      </c>
      <c r="H1806" s="2">
        <v>385.45</v>
      </c>
      <c r="I1806" t="str">
        <f>"SEPIEH  ZITA BINTI GUSOM"</f>
        <v>SEPIEH  ZITA BINTI GUSOM</v>
      </c>
      <c r="J1806" t="str">
        <f t="shared" si="732"/>
        <v>MAYBANK / MAYBANK ISLAMIC</v>
      </c>
      <c r="K1806" t="str">
        <f>"160027201674"</f>
        <v>160027201674</v>
      </c>
      <c r="L1806" t="str">
        <f t="shared" si="743"/>
        <v>04-08-2020</v>
      </c>
      <c r="M1806" t="str">
        <f t="shared" si="743"/>
        <v>04-08-2020</v>
      </c>
      <c r="N1806" t="str">
        <f t="shared" si="748"/>
        <v>001105018356</v>
      </c>
      <c r="O1806" t="str">
        <f t="shared" si="749"/>
        <v>MYR</v>
      </c>
      <c r="P1806" t="str">
        <f t="shared" si="744"/>
        <v>NIL</v>
      </c>
      <c r="Q1806" t="str">
        <f t="shared" si="744"/>
        <v>NIL</v>
      </c>
      <c r="R1806" t="str">
        <f t="shared" si="750"/>
        <v>Accepted</v>
      </c>
      <c r="S1806" t="str">
        <f t="shared" si="751"/>
        <v>Approved</v>
      </c>
      <c r="T1806" t="str">
        <f t="shared" si="752"/>
        <v>10.20.8.188</v>
      </c>
      <c r="U1806" t="str">
        <f t="shared" si="753"/>
        <v>AZRAD UMAR BIN SHAARI</v>
      </c>
      <c r="V1806" t="str">
        <f t="shared" si="754"/>
        <v>FARHANA BINTI MUSTAPA</v>
      </c>
      <c r="W1806" t="str">
        <f t="shared" si="755"/>
        <v>04-08-2020</v>
      </c>
      <c r="X1806" t="str">
        <f t="shared" si="756"/>
        <v>RAZIMAH ANSAR AHMAD</v>
      </c>
      <c r="Y1806" t="str">
        <f t="shared" si="757"/>
        <v>04-08-2020</v>
      </c>
      <c r="Z1806" t="str">
        <f>"COS10200804 7348"</f>
        <v>COS10200804 7348</v>
      </c>
    </row>
    <row r="1807" spans="1:26" x14ac:dyDescent="0.25">
      <c r="A1807" t="str">
        <f t="shared" si="741"/>
        <v>04-08-2020 01:06:46</v>
      </c>
      <c r="B1807" t="str">
        <f>"0000809146"</f>
        <v>0000809146</v>
      </c>
      <c r="C1807" t="str">
        <f t="shared" si="742"/>
        <v>0000808999</v>
      </c>
      <c r="D1807" t="str">
        <f t="shared" si="745"/>
        <v>73185</v>
      </c>
      <c r="E1807" t="str">
        <f t="shared" si="746"/>
        <v>KFH-OPERATIONS DEPARTMENT</v>
      </c>
      <c r="F1807" t="str">
        <f t="shared" si="747"/>
        <v>IBG</v>
      </c>
      <c r="G1807" t="str">
        <f t="shared" si="758"/>
        <v>Refund COSHARE 10</v>
      </c>
      <c r="H1807" s="2">
        <v>114</v>
      </c>
      <c r="I1807" t="str">
        <f>"SELVADURAI AL SINNASAMY"</f>
        <v>SELVADURAI AL SINNASAMY</v>
      </c>
      <c r="J1807" t="str">
        <f t="shared" si="732"/>
        <v>MAYBANK / MAYBANK ISLAMIC</v>
      </c>
      <c r="K1807" t="str">
        <f>"158060505903"</f>
        <v>158060505903</v>
      </c>
      <c r="L1807" t="str">
        <f t="shared" ref="L1807:M1826" si="759">"04-08-2020"</f>
        <v>04-08-2020</v>
      </c>
      <c r="M1807" t="str">
        <f t="shared" si="759"/>
        <v>04-08-2020</v>
      </c>
      <c r="N1807" t="str">
        <f t="shared" si="748"/>
        <v>001105018356</v>
      </c>
      <c r="O1807" t="str">
        <f t="shared" si="749"/>
        <v>MYR</v>
      </c>
      <c r="P1807" t="str">
        <f t="shared" ref="P1807:Q1826" si="760">"NIL"</f>
        <v>NIL</v>
      </c>
      <c r="Q1807" t="str">
        <f t="shared" si="760"/>
        <v>NIL</v>
      </c>
      <c r="R1807" t="str">
        <f t="shared" si="750"/>
        <v>Accepted</v>
      </c>
      <c r="S1807" t="str">
        <f t="shared" si="751"/>
        <v>Approved</v>
      </c>
      <c r="T1807" t="str">
        <f t="shared" si="752"/>
        <v>10.20.8.188</v>
      </c>
      <c r="U1807" t="str">
        <f t="shared" si="753"/>
        <v>AZRAD UMAR BIN SHAARI</v>
      </c>
      <c r="V1807" t="str">
        <f t="shared" si="754"/>
        <v>FARHANA BINTI MUSTAPA</v>
      </c>
      <c r="W1807" t="str">
        <f t="shared" si="755"/>
        <v>04-08-2020</v>
      </c>
      <c r="X1807" t="str">
        <f t="shared" si="756"/>
        <v>RAZIMAH ANSAR AHMAD</v>
      </c>
      <c r="Y1807" t="str">
        <f t="shared" si="757"/>
        <v>04-08-2020</v>
      </c>
      <c r="Z1807" t="str">
        <f>"COS10200804 7347"</f>
        <v>COS10200804 7347</v>
      </c>
    </row>
    <row r="1808" spans="1:26" x14ac:dyDescent="0.25">
      <c r="A1808" t="str">
        <f t="shared" si="741"/>
        <v>04-08-2020 01:06:46</v>
      </c>
      <c r="B1808" t="str">
        <f>"0000809145"</f>
        <v>0000809145</v>
      </c>
      <c r="C1808" t="str">
        <f t="shared" si="742"/>
        <v>0000808999</v>
      </c>
      <c r="D1808" t="str">
        <f t="shared" si="745"/>
        <v>73185</v>
      </c>
      <c r="E1808" t="str">
        <f t="shared" si="746"/>
        <v>KFH-OPERATIONS DEPARTMENT</v>
      </c>
      <c r="F1808" t="str">
        <f t="shared" si="747"/>
        <v>IBG</v>
      </c>
      <c r="G1808" t="str">
        <f t="shared" si="758"/>
        <v>Refund COSHARE 10</v>
      </c>
      <c r="H1808" s="2">
        <v>1290</v>
      </c>
      <c r="I1808" t="str">
        <f>"SELAMAT FAUZI BIN SAMSUNI"</f>
        <v>SELAMAT FAUZI BIN SAMSUNI</v>
      </c>
      <c r="J1808" t="str">
        <f t="shared" si="732"/>
        <v>MAYBANK / MAYBANK ISLAMIC</v>
      </c>
      <c r="K1808" t="str">
        <f>"114085050005"</f>
        <v>114085050005</v>
      </c>
      <c r="L1808" t="str">
        <f t="shared" si="759"/>
        <v>04-08-2020</v>
      </c>
      <c r="M1808" t="str">
        <f t="shared" si="759"/>
        <v>04-08-2020</v>
      </c>
      <c r="N1808" t="str">
        <f t="shared" si="748"/>
        <v>001105018356</v>
      </c>
      <c r="O1808" t="str">
        <f t="shared" si="749"/>
        <v>MYR</v>
      </c>
      <c r="P1808" t="str">
        <f t="shared" si="760"/>
        <v>NIL</v>
      </c>
      <c r="Q1808" t="str">
        <f t="shared" si="760"/>
        <v>NIL</v>
      </c>
      <c r="R1808" t="str">
        <f t="shared" si="750"/>
        <v>Accepted</v>
      </c>
      <c r="S1808" t="str">
        <f t="shared" si="751"/>
        <v>Approved</v>
      </c>
      <c r="T1808" t="str">
        <f t="shared" si="752"/>
        <v>10.20.8.188</v>
      </c>
      <c r="U1808" t="str">
        <f t="shared" si="753"/>
        <v>AZRAD UMAR BIN SHAARI</v>
      </c>
      <c r="V1808" t="str">
        <f t="shared" si="754"/>
        <v>FARHANA BINTI MUSTAPA</v>
      </c>
      <c r="W1808" t="str">
        <f t="shared" si="755"/>
        <v>04-08-2020</v>
      </c>
      <c r="X1808" t="str">
        <f t="shared" si="756"/>
        <v>RAZIMAH ANSAR AHMAD</v>
      </c>
      <c r="Y1808" t="str">
        <f t="shared" si="757"/>
        <v>04-08-2020</v>
      </c>
      <c r="Z1808" t="str">
        <f>"COS10200804 7346"</f>
        <v>COS10200804 7346</v>
      </c>
    </row>
    <row r="1809" spans="1:26" x14ac:dyDescent="0.25">
      <c r="A1809" t="str">
        <f t="shared" si="741"/>
        <v>04-08-2020 01:06:46</v>
      </c>
      <c r="B1809" t="str">
        <f>"0000809144"</f>
        <v>0000809144</v>
      </c>
      <c r="C1809" t="str">
        <f t="shared" si="742"/>
        <v>0000808999</v>
      </c>
      <c r="D1809" t="str">
        <f t="shared" si="745"/>
        <v>73185</v>
      </c>
      <c r="E1809" t="str">
        <f t="shared" si="746"/>
        <v>KFH-OPERATIONS DEPARTMENT</v>
      </c>
      <c r="F1809" t="str">
        <f t="shared" si="747"/>
        <v>IBG</v>
      </c>
      <c r="G1809" t="str">
        <f t="shared" si="758"/>
        <v>Refund COSHARE 10</v>
      </c>
      <c r="H1809" s="2">
        <v>83.95</v>
      </c>
      <c r="I1809" t="str">
        <f>"SEBESTILA ANAK EIYU"</f>
        <v>SEBESTILA ANAK EIYU</v>
      </c>
      <c r="J1809" t="str">
        <f t="shared" ref="J1809:J1872" si="761">"MAYBANK / MAYBANK ISLAMIC"</f>
        <v>MAYBANK / MAYBANK ISLAMIC</v>
      </c>
      <c r="K1809" t="str">
        <f>"161051482946"</f>
        <v>161051482946</v>
      </c>
      <c r="L1809" t="str">
        <f t="shared" si="759"/>
        <v>04-08-2020</v>
      </c>
      <c r="M1809" t="str">
        <f t="shared" si="759"/>
        <v>04-08-2020</v>
      </c>
      <c r="N1809" t="str">
        <f t="shared" si="748"/>
        <v>001105018356</v>
      </c>
      <c r="O1809" t="str">
        <f t="shared" si="749"/>
        <v>MYR</v>
      </c>
      <c r="P1809" t="str">
        <f t="shared" si="760"/>
        <v>NIL</v>
      </c>
      <c r="Q1809" t="str">
        <f t="shared" si="760"/>
        <v>NIL</v>
      </c>
      <c r="R1809" t="str">
        <f t="shared" si="750"/>
        <v>Accepted</v>
      </c>
      <c r="S1809" t="str">
        <f t="shared" si="751"/>
        <v>Approved</v>
      </c>
      <c r="T1809" t="str">
        <f t="shared" si="752"/>
        <v>10.20.8.188</v>
      </c>
      <c r="U1809" t="str">
        <f t="shared" si="753"/>
        <v>AZRAD UMAR BIN SHAARI</v>
      </c>
      <c r="V1809" t="str">
        <f t="shared" si="754"/>
        <v>FARHANA BINTI MUSTAPA</v>
      </c>
      <c r="W1809" t="str">
        <f t="shared" si="755"/>
        <v>04-08-2020</v>
      </c>
      <c r="X1809" t="str">
        <f t="shared" si="756"/>
        <v>RAZIMAH ANSAR AHMAD</v>
      </c>
      <c r="Y1809" t="str">
        <f t="shared" si="757"/>
        <v>04-08-2020</v>
      </c>
      <c r="Z1809" t="str">
        <f>"COS10200804 7345"</f>
        <v>COS10200804 7345</v>
      </c>
    </row>
    <row r="1810" spans="1:26" x14ac:dyDescent="0.25">
      <c r="A1810" t="str">
        <f t="shared" si="741"/>
        <v>04-08-2020 01:06:46</v>
      </c>
      <c r="B1810" t="str">
        <f>"0000809143"</f>
        <v>0000809143</v>
      </c>
      <c r="C1810" t="str">
        <f t="shared" si="742"/>
        <v>0000808999</v>
      </c>
      <c r="D1810" t="str">
        <f t="shared" si="745"/>
        <v>73185</v>
      </c>
      <c r="E1810" t="str">
        <f t="shared" si="746"/>
        <v>KFH-OPERATIONS DEPARTMENT</v>
      </c>
      <c r="F1810" t="str">
        <f t="shared" si="747"/>
        <v>IBG</v>
      </c>
      <c r="G1810" t="str">
        <f t="shared" si="758"/>
        <v>Refund COSHARE 10</v>
      </c>
      <c r="H1810" s="2">
        <v>1047</v>
      </c>
      <c r="I1810" t="str">
        <f>"SAZLINA BINTI MOHAMAD"</f>
        <v>SAZLINA BINTI MOHAMAD</v>
      </c>
      <c r="J1810" t="str">
        <f t="shared" si="761"/>
        <v>MAYBANK / MAYBANK ISLAMIC</v>
      </c>
      <c r="K1810" t="str">
        <f>"151061029412"</f>
        <v>151061029412</v>
      </c>
      <c r="L1810" t="str">
        <f t="shared" si="759"/>
        <v>04-08-2020</v>
      </c>
      <c r="M1810" t="str">
        <f t="shared" si="759"/>
        <v>04-08-2020</v>
      </c>
      <c r="N1810" t="str">
        <f t="shared" si="748"/>
        <v>001105018356</v>
      </c>
      <c r="O1810" t="str">
        <f t="shared" si="749"/>
        <v>MYR</v>
      </c>
      <c r="P1810" t="str">
        <f t="shared" si="760"/>
        <v>NIL</v>
      </c>
      <c r="Q1810" t="str">
        <f t="shared" si="760"/>
        <v>NIL</v>
      </c>
      <c r="R1810" t="str">
        <f t="shared" si="750"/>
        <v>Accepted</v>
      </c>
      <c r="S1810" t="str">
        <f t="shared" si="751"/>
        <v>Approved</v>
      </c>
      <c r="T1810" t="str">
        <f t="shared" si="752"/>
        <v>10.20.8.188</v>
      </c>
      <c r="U1810" t="str">
        <f t="shared" si="753"/>
        <v>AZRAD UMAR BIN SHAARI</v>
      </c>
      <c r="V1810" t="str">
        <f t="shared" si="754"/>
        <v>FARHANA BINTI MUSTAPA</v>
      </c>
      <c r="W1810" t="str">
        <f t="shared" si="755"/>
        <v>04-08-2020</v>
      </c>
      <c r="X1810" t="str">
        <f t="shared" si="756"/>
        <v>RAZIMAH ANSAR AHMAD</v>
      </c>
      <c r="Y1810" t="str">
        <f t="shared" si="757"/>
        <v>04-08-2020</v>
      </c>
      <c r="Z1810" t="str">
        <f>"COS10200804 7344"</f>
        <v>COS10200804 7344</v>
      </c>
    </row>
    <row r="1811" spans="1:26" x14ac:dyDescent="0.25">
      <c r="A1811" t="str">
        <f t="shared" si="741"/>
        <v>04-08-2020 01:06:46</v>
      </c>
      <c r="B1811" t="str">
        <f>"0000809142"</f>
        <v>0000809142</v>
      </c>
      <c r="C1811" t="str">
        <f t="shared" si="742"/>
        <v>0000808999</v>
      </c>
      <c r="D1811" t="str">
        <f t="shared" si="745"/>
        <v>73185</v>
      </c>
      <c r="E1811" t="str">
        <f t="shared" si="746"/>
        <v>KFH-OPERATIONS DEPARTMENT</v>
      </c>
      <c r="F1811" t="str">
        <f t="shared" si="747"/>
        <v>IBG</v>
      </c>
      <c r="G1811" t="str">
        <f t="shared" si="758"/>
        <v>Refund COSHARE 10</v>
      </c>
      <c r="H1811" s="2">
        <v>126</v>
      </c>
      <c r="I1811" t="str">
        <f>"SAZALIMI BIN MOHAMAD"</f>
        <v>SAZALIMI BIN MOHAMAD</v>
      </c>
      <c r="J1811" t="str">
        <f t="shared" si="761"/>
        <v>MAYBANK / MAYBANK ISLAMIC</v>
      </c>
      <c r="K1811" t="str">
        <f>"154017294593"</f>
        <v>154017294593</v>
      </c>
      <c r="L1811" t="str">
        <f t="shared" si="759"/>
        <v>04-08-2020</v>
      </c>
      <c r="M1811" t="str">
        <f t="shared" si="759"/>
        <v>04-08-2020</v>
      </c>
      <c r="N1811" t="str">
        <f t="shared" si="748"/>
        <v>001105018356</v>
      </c>
      <c r="O1811" t="str">
        <f t="shared" si="749"/>
        <v>MYR</v>
      </c>
      <c r="P1811" t="str">
        <f t="shared" si="760"/>
        <v>NIL</v>
      </c>
      <c r="Q1811" t="str">
        <f t="shared" si="760"/>
        <v>NIL</v>
      </c>
      <c r="R1811" t="str">
        <f t="shared" si="750"/>
        <v>Accepted</v>
      </c>
      <c r="S1811" t="str">
        <f t="shared" si="751"/>
        <v>Approved</v>
      </c>
      <c r="T1811" t="str">
        <f t="shared" si="752"/>
        <v>10.20.8.188</v>
      </c>
      <c r="U1811" t="str">
        <f t="shared" si="753"/>
        <v>AZRAD UMAR BIN SHAARI</v>
      </c>
      <c r="V1811" t="str">
        <f t="shared" si="754"/>
        <v>FARHANA BINTI MUSTAPA</v>
      </c>
      <c r="W1811" t="str">
        <f t="shared" si="755"/>
        <v>04-08-2020</v>
      </c>
      <c r="X1811" t="str">
        <f t="shared" si="756"/>
        <v>RAZIMAH ANSAR AHMAD</v>
      </c>
      <c r="Y1811" t="str">
        <f t="shared" si="757"/>
        <v>04-08-2020</v>
      </c>
      <c r="Z1811" t="str">
        <f>"COS10200804 7343"</f>
        <v>COS10200804 7343</v>
      </c>
    </row>
    <row r="1812" spans="1:26" x14ac:dyDescent="0.25">
      <c r="A1812" t="str">
        <f t="shared" si="741"/>
        <v>04-08-2020 01:06:46</v>
      </c>
      <c r="B1812" t="str">
        <f>"0000809141"</f>
        <v>0000809141</v>
      </c>
      <c r="C1812" t="str">
        <f t="shared" si="742"/>
        <v>0000808999</v>
      </c>
      <c r="D1812" t="str">
        <f t="shared" si="745"/>
        <v>73185</v>
      </c>
      <c r="E1812" t="str">
        <f t="shared" si="746"/>
        <v>KFH-OPERATIONS DEPARTMENT</v>
      </c>
      <c r="F1812" t="str">
        <f t="shared" si="747"/>
        <v>IBG</v>
      </c>
      <c r="G1812" t="str">
        <f t="shared" si="758"/>
        <v>Refund COSHARE 10</v>
      </c>
      <c r="H1812" s="2">
        <v>982</v>
      </c>
      <c r="I1812" t="str">
        <f>"SAYID MUHAMAD NAZARI BIN SAYID ISMAIL"</f>
        <v>SAYID MUHAMAD NAZARI BIN SAYID ISMAIL</v>
      </c>
      <c r="J1812" t="str">
        <f t="shared" si="761"/>
        <v>MAYBANK / MAYBANK ISLAMIC</v>
      </c>
      <c r="K1812" t="str">
        <f>"112148129123"</f>
        <v>112148129123</v>
      </c>
      <c r="L1812" t="str">
        <f t="shared" si="759"/>
        <v>04-08-2020</v>
      </c>
      <c r="M1812" t="str">
        <f t="shared" si="759"/>
        <v>04-08-2020</v>
      </c>
      <c r="N1812" t="str">
        <f t="shared" si="748"/>
        <v>001105018356</v>
      </c>
      <c r="O1812" t="str">
        <f t="shared" si="749"/>
        <v>MYR</v>
      </c>
      <c r="P1812" t="str">
        <f t="shared" si="760"/>
        <v>NIL</v>
      </c>
      <c r="Q1812" t="str">
        <f t="shared" si="760"/>
        <v>NIL</v>
      </c>
      <c r="R1812" t="str">
        <f t="shared" si="750"/>
        <v>Accepted</v>
      </c>
      <c r="S1812" t="str">
        <f t="shared" si="751"/>
        <v>Approved</v>
      </c>
      <c r="T1812" t="str">
        <f t="shared" si="752"/>
        <v>10.20.8.188</v>
      </c>
      <c r="U1812" t="str">
        <f t="shared" si="753"/>
        <v>AZRAD UMAR BIN SHAARI</v>
      </c>
      <c r="V1812" t="str">
        <f t="shared" si="754"/>
        <v>FARHANA BINTI MUSTAPA</v>
      </c>
      <c r="W1812" t="str">
        <f t="shared" si="755"/>
        <v>04-08-2020</v>
      </c>
      <c r="X1812" t="str">
        <f t="shared" si="756"/>
        <v>RAZIMAH ANSAR AHMAD</v>
      </c>
      <c r="Y1812" t="str">
        <f t="shared" si="757"/>
        <v>04-08-2020</v>
      </c>
      <c r="Z1812" t="str">
        <f>"COS10200804 7342"</f>
        <v>COS10200804 7342</v>
      </c>
    </row>
    <row r="1813" spans="1:26" x14ac:dyDescent="0.25">
      <c r="A1813" t="str">
        <f t="shared" si="741"/>
        <v>04-08-2020 01:06:46</v>
      </c>
      <c r="B1813" t="str">
        <f>"0000809140"</f>
        <v>0000809140</v>
      </c>
      <c r="C1813" t="str">
        <f t="shared" si="742"/>
        <v>0000808999</v>
      </c>
      <c r="D1813" t="str">
        <f t="shared" si="745"/>
        <v>73185</v>
      </c>
      <c r="E1813" t="str">
        <f t="shared" si="746"/>
        <v>KFH-OPERATIONS DEPARTMENT</v>
      </c>
      <c r="F1813" t="str">
        <f t="shared" si="747"/>
        <v>IBG</v>
      </c>
      <c r="G1813" t="str">
        <f t="shared" si="758"/>
        <v>Refund COSHARE 10</v>
      </c>
      <c r="H1813" s="2">
        <v>92.35</v>
      </c>
      <c r="I1813" t="str">
        <f>"SAYANG SUHANA BINTI ISMAIL"</f>
        <v>SAYANG SUHANA BINTI ISMAIL</v>
      </c>
      <c r="J1813" t="str">
        <f t="shared" si="761"/>
        <v>MAYBANK / MAYBANK ISLAMIC</v>
      </c>
      <c r="K1813" t="str">
        <f>"162647056480"</f>
        <v>162647056480</v>
      </c>
      <c r="L1813" t="str">
        <f t="shared" si="759"/>
        <v>04-08-2020</v>
      </c>
      <c r="M1813" t="str">
        <f t="shared" si="759"/>
        <v>04-08-2020</v>
      </c>
      <c r="N1813" t="str">
        <f t="shared" si="748"/>
        <v>001105018356</v>
      </c>
      <c r="O1813" t="str">
        <f t="shared" si="749"/>
        <v>MYR</v>
      </c>
      <c r="P1813" t="str">
        <f t="shared" si="760"/>
        <v>NIL</v>
      </c>
      <c r="Q1813" t="str">
        <f t="shared" si="760"/>
        <v>NIL</v>
      </c>
      <c r="R1813" t="str">
        <f t="shared" si="750"/>
        <v>Accepted</v>
      </c>
      <c r="S1813" t="str">
        <f t="shared" si="751"/>
        <v>Approved</v>
      </c>
      <c r="T1813" t="str">
        <f t="shared" si="752"/>
        <v>10.20.8.188</v>
      </c>
      <c r="U1813" t="str">
        <f t="shared" si="753"/>
        <v>AZRAD UMAR BIN SHAARI</v>
      </c>
      <c r="V1813" t="str">
        <f t="shared" si="754"/>
        <v>FARHANA BINTI MUSTAPA</v>
      </c>
      <c r="W1813" t="str">
        <f t="shared" si="755"/>
        <v>04-08-2020</v>
      </c>
      <c r="X1813" t="str">
        <f t="shared" si="756"/>
        <v>RAZIMAH ANSAR AHMAD</v>
      </c>
      <c r="Y1813" t="str">
        <f t="shared" si="757"/>
        <v>04-08-2020</v>
      </c>
      <c r="Z1813" t="str">
        <f>"COS10200804 7341"</f>
        <v>COS10200804 7341</v>
      </c>
    </row>
    <row r="1814" spans="1:26" x14ac:dyDescent="0.25">
      <c r="A1814" t="str">
        <f t="shared" si="741"/>
        <v>04-08-2020 01:06:46</v>
      </c>
      <c r="B1814" t="str">
        <f>"0000809139"</f>
        <v>0000809139</v>
      </c>
      <c r="C1814" t="str">
        <f t="shared" si="742"/>
        <v>0000808999</v>
      </c>
      <c r="D1814" t="str">
        <f t="shared" si="745"/>
        <v>73185</v>
      </c>
      <c r="E1814" t="str">
        <f t="shared" si="746"/>
        <v>KFH-OPERATIONS DEPARTMENT</v>
      </c>
      <c r="F1814" t="str">
        <f t="shared" si="747"/>
        <v>IBG</v>
      </c>
      <c r="G1814" t="str">
        <f t="shared" si="758"/>
        <v>Refund COSHARE 10</v>
      </c>
      <c r="H1814" s="2">
        <v>1518</v>
      </c>
      <c r="I1814" t="str">
        <f>"SAVIOUR ANAK ATANG"</f>
        <v>SAVIOUR ANAK ATANG</v>
      </c>
      <c r="J1814" t="str">
        <f t="shared" si="761"/>
        <v>MAYBANK / MAYBANK ISLAMIC</v>
      </c>
      <c r="K1814" t="str">
        <f>"161118905544"</f>
        <v>161118905544</v>
      </c>
      <c r="L1814" t="str">
        <f t="shared" si="759"/>
        <v>04-08-2020</v>
      </c>
      <c r="M1814" t="str">
        <f t="shared" si="759"/>
        <v>04-08-2020</v>
      </c>
      <c r="N1814" t="str">
        <f t="shared" si="748"/>
        <v>001105018356</v>
      </c>
      <c r="O1814" t="str">
        <f t="shared" si="749"/>
        <v>MYR</v>
      </c>
      <c r="P1814" t="str">
        <f t="shared" si="760"/>
        <v>NIL</v>
      </c>
      <c r="Q1814" t="str">
        <f t="shared" si="760"/>
        <v>NIL</v>
      </c>
      <c r="R1814" t="str">
        <f t="shared" si="750"/>
        <v>Accepted</v>
      </c>
      <c r="S1814" t="str">
        <f t="shared" si="751"/>
        <v>Approved</v>
      </c>
      <c r="T1814" t="str">
        <f t="shared" si="752"/>
        <v>10.20.8.188</v>
      </c>
      <c r="U1814" t="str">
        <f t="shared" si="753"/>
        <v>AZRAD UMAR BIN SHAARI</v>
      </c>
      <c r="V1814" t="str">
        <f t="shared" si="754"/>
        <v>FARHANA BINTI MUSTAPA</v>
      </c>
      <c r="W1814" t="str">
        <f t="shared" si="755"/>
        <v>04-08-2020</v>
      </c>
      <c r="X1814" t="str">
        <f t="shared" si="756"/>
        <v>RAZIMAH ANSAR AHMAD</v>
      </c>
      <c r="Y1814" t="str">
        <f t="shared" si="757"/>
        <v>04-08-2020</v>
      </c>
      <c r="Z1814" t="str">
        <f>"COS10200804 7340"</f>
        <v>COS10200804 7340</v>
      </c>
    </row>
    <row r="1815" spans="1:26" x14ac:dyDescent="0.25">
      <c r="A1815" t="str">
        <f t="shared" si="741"/>
        <v>04-08-2020 01:06:46</v>
      </c>
      <c r="B1815" t="str">
        <f>"0000809138"</f>
        <v>0000809138</v>
      </c>
      <c r="C1815" t="str">
        <f t="shared" si="742"/>
        <v>0000808999</v>
      </c>
      <c r="D1815" t="str">
        <f t="shared" si="745"/>
        <v>73185</v>
      </c>
      <c r="E1815" t="str">
        <f t="shared" si="746"/>
        <v>KFH-OPERATIONS DEPARTMENT</v>
      </c>
      <c r="F1815" t="str">
        <f t="shared" si="747"/>
        <v>IBG</v>
      </c>
      <c r="G1815" t="str">
        <f t="shared" si="758"/>
        <v>Refund COSHARE 10</v>
      </c>
      <c r="H1815" s="2">
        <v>63.55</v>
      </c>
      <c r="I1815" t="str">
        <f>"SAUGI BIN OMAR"</f>
        <v>SAUGI BIN OMAR</v>
      </c>
      <c r="J1815" t="str">
        <f t="shared" si="761"/>
        <v>MAYBANK / MAYBANK ISLAMIC</v>
      </c>
      <c r="K1815" t="str">
        <f>"101039594583"</f>
        <v>101039594583</v>
      </c>
      <c r="L1815" t="str">
        <f t="shared" si="759"/>
        <v>04-08-2020</v>
      </c>
      <c r="M1815" t="str">
        <f t="shared" si="759"/>
        <v>04-08-2020</v>
      </c>
      <c r="N1815" t="str">
        <f t="shared" si="748"/>
        <v>001105018356</v>
      </c>
      <c r="O1815" t="str">
        <f t="shared" si="749"/>
        <v>MYR</v>
      </c>
      <c r="P1815" t="str">
        <f t="shared" si="760"/>
        <v>NIL</v>
      </c>
      <c r="Q1815" t="str">
        <f t="shared" si="760"/>
        <v>NIL</v>
      </c>
      <c r="R1815" t="str">
        <f t="shared" si="750"/>
        <v>Accepted</v>
      </c>
      <c r="S1815" t="str">
        <f t="shared" si="751"/>
        <v>Approved</v>
      </c>
      <c r="T1815" t="str">
        <f t="shared" si="752"/>
        <v>10.20.8.188</v>
      </c>
      <c r="U1815" t="str">
        <f t="shared" si="753"/>
        <v>AZRAD UMAR BIN SHAARI</v>
      </c>
      <c r="V1815" t="str">
        <f t="shared" si="754"/>
        <v>FARHANA BINTI MUSTAPA</v>
      </c>
      <c r="W1815" t="str">
        <f t="shared" si="755"/>
        <v>04-08-2020</v>
      </c>
      <c r="X1815" t="str">
        <f t="shared" si="756"/>
        <v>RAZIMAH ANSAR AHMAD</v>
      </c>
      <c r="Y1815" t="str">
        <f t="shared" si="757"/>
        <v>04-08-2020</v>
      </c>
      <c r="Z1815" t="str">
        <f>"COS10200804 7339"</f>
        <v>COS10200804 7339</v>
      </c>
    </row>
    <row r="1816" spans="1:26" x14ac:dyDescent="0.25">
      <c r="A1816" t="str">
        <f t="shared" si="741"/>
        <v>04-08-2020 01:06:46</v>
      </c>
      <c r="B1816" t="str">
        <f>"0000809137"</f>
        <v>0000809137</v>
      </c>
      <c r="C1816" t="str">
        <f t="shared" si="742"/>
        <v>0000808999</v>
      </c>
      <c r="D1816" t="str">
        <f t="shared" si="745"/>
        <v>73185</v>
      </c>
      <c r="E1816" t="str">
        <f t="shared" si="746"/>
        <v>KFH-OPERATIONS DEPARTMENT</v>
      </c>
      <c r="F1816" t="str">
        <f t="shared" si="747"/>
        <v>IBG</v>
      </c>
      <c r="G1816" t="str">
        <f t="shared" si="758"/>
        <v>Refund COSHARE 10</v>
      </c>
      <c r="H1816" s="2">
        <v>823.5</v>
      </c>
      <c r="I1816" t="str">
        <f>"SAUDI BIN MOHD YUSOFF"</f>
        <v>SAUDI BIN MOHD YUSOFF</v>
      </c>
      <c r="J1816" t="str">
        <f t="shared" si="761"/>
        <v>MAYBANK / MAYBANK ISLAMIC</v>
      </c>
      <c r="K1816" t="str">
        <f>"107161140051"</f>
        <v>107161140051</v>
      </c>
      <c r="L1816" t="str">
        <f t="shared" si="759"/>
        <v>04-08-2020</v>
      </c>
      <c r="M1816" t="str">
        <f t="shared" si="759"/>
        <v>04-08-2020</v>
      </c>
      <c r="N1816" t="str">
        <f t="shared" si="748"/>
        <v>001105018356</v>
      </c>
      <c r="O1816" t="str">
        <f t="shared" si="749"/>
        <v>MYR</v>
      </c>
      <c r="P1816" t="str">
        <f t="shared" si="760"/>
        <v>NIL</v>
      </c>
      <c r="Q1816" t="str">
        <f t="shared" si="760"/>
        <v>NIL</v>
      </c>
      <c r="R1816" t="str">
        <f t="shared" si="750"/>
        <v>Accepted</v>
      </c>
      <c r="S1816" t="str">
        <f t="shared" si="751"/>
        <v>Approved</v>
      </c>
      <c r="T1816" t="str">
        <f t="shared" si="752"/>
        <v>10.20.8.188</v>
      </c>
      <c r="U1816" t="str">
        <f t="shared" si="753"/>
        <v>AZRAD UMAR BIN SHAARI</v>
      </c>
      <c r="V1816" t="str">
        <f t="shared" si="754"/>
        <v>FARHANA BINTI MUSTAPA</v>
      </c>
      <c r="W1816" t="str">
        <f t="shared" si="755"/>
        <v>04-08-2020</v>
      </c>
      <c r="X1816" t="str">
        <f t="shared" si="756"/>
        <v>RAZIMAH ANSAR AHMAD</v>
      </c>
      <c r="Y1816" t="str">
        <f t="shared" si="757"/>
        <v>04-08-2020</v>
      </c>
      <c r="Z1816" t="str">
        <f>"COS10200804 7338"</f>
        <v>COS10200804 7338</v>
      </c>
    </row>
    <row r="1817" spans="1:26" x14ac:dyDescent="0.25">
      <c r="A1817" t="str">
        <f t="shared" si="741"/>
        <v>04-08-2020 01:06:46</v>
      </c>
      <c r="B1817" t="str">
        <f>"0000809136"</f>
        <v>0000809136</v>
      </c>
      <c r="C1817" t="str">
        <f t="shared" si="742"/>
        <v>0000808999</v>
      </c>
      <c r="D1817" t="str">
        <f t="shared" si="745"/>
        <v>73185</v>
      </c>
      <c r="E1817" t="str">
        <f t="shared" si="746"/>
        <v>KFH-OPERATIONS DEPARTMENT</v>
      </c>
      <c r="F1817" t="str">
        <f t="shared" si="747"/>
        <v>IBG</v>
      </c>
      <c r="G1817" t="str">
        <f t="shared" si="758"/>
        <v>Refund COSHARE 10</v>
      </c>
      <c r="H1817" s="2">
        <v>76</v>
      </c>
      <c r="I1817" t="str">
        <f>"SASNI WATI BINTI AB WAHAB"</f>
        <v>SASNI WATI BINTI AB WAHAB</v>
      </c>
      <c r="J1817" t="str">
        <f t="shared" si="761"/>
        <v>MAYBANK / MAYBANK ISLAMIC</v>
      </c>
      <c r="K1817" t="str">
        <f>"164472226431"</f>
        <v>164472226431</v>
      </c>
      <c r="L1817" t="str">
        <f t="shared" si="759"/>
        <v>04-08-2020</v>
      </c>
      <c r="M1817" t="str">
        <f t="shared" si="759"/>
        <v>04-08-2020</v>
      </c>
      <c r="N1817" t="str">
        <f t="shared" si="748"/>
        <v>001105018356</v>
      </c>
      <c r="O1817" t="str">
        <f t="shared" si="749"/>
        <v>MYR</v>
      </c>
      <c r="P1817" t="str">
        <f t="shared" si="760"/>
        <v>NIL</v>
      </c>
      <c r="Q1817" t="str">
        <f t="shared" si="760"/>
        <v>NIL</v>
      </c>
      <c r="R1817" t="str">
        <f t="shared" si="750"/>
        <v>Accepted</v>
      </c>
      <c r="S1817" t="str">
        <f t="shared" si="751"/>
        <v>Approved</v>
      </c>
      <c r="T1817" t="str">
        <f t="shared" si="752"/>
        <v>10.20.8.188</v>
      </c>
      <c r="U1817" t="str">
        <f t="shared" si="753"/>
        <v>AZRAD UMAR BIN SHAARI</v>
      </c>
      <c r="V1817" t="str">
        <f t="shared" si="754"/>
        <v>FARHANA BINTI MUSTAPA</v>
      </c>
      <c r="W1817" t="str">
        <f t="shared" si="755"/>
        <v>04-08-2020</v>
      </c>
      <c r="X1817" t="str">
        <f t="shared" si="756"/>
        <v>RAZIMAH ANSAR AHMAD</v>
      </c>
      <c r="Y1817" t="str">
        <f t="shared" si="757"/>
        <v>04-08-2020</v>
      </c>
      <c r="Z1817" t="str">
        <f>"COS10200804 7337"</f>
        <v>COS10200804 7337</v>
      </c>
    </row>
    <row r="1818" spans="1:26" x14ac:dyDescent="0.25">
      <c r="A1818" t="str">
        <f t="shared" ref="A1818:A1849" si="762">"04-08-2020 01:06:46"</f>
        <v>04-08-2020 01:06:46</v>
      </c>
      <c r="B1818" t="str">
        <f>"0000809135"</f>
        <v>0000809135</v>
      </c>
      <c r="C1818" t="str">
        <f t="shared" ref="C1818:C1849" si="763">"0000808999"</f>
        <v>0000808999</v>
      </c>
      <c r="D1818" t="str">
        <f t="shared" si="745"/>
        <v>73185</v>
      </c>
      <c r="E1818" t="str">
        <f t="shared" si="746"/>
        <v>KFH-OPERATIONS DEPARTMENT</v>
      </c>
      <c r="F1818" t="str">
        <f t="shared" si="747"/>
        <v>IBG</v>
      </c>
      <c r="G1818" t="str">
        <f t="shared" si="758"/>
        <v>Refund COSHARE 10</v>
      </c>
      <c r="H1818" s="2">
        <v>114</v>
      </c>
      <c r="I1818" t="str">
        <f>"SARODIN BIN BOJENG"</f>
        <v>SARODIN BIN BOJENG</v>
      </c>
      <c r="J1818" t="str">
        <f t="shared" si="761"/>
        <v>MAYBANK / MAYBANK ISLAMIC</v>
      </c>
      <c r="K1818" t="str">
        <f>"111075114317"</f>
        <v>111075114317</v>
      </c>
      <c r="L1818" t="str">
        <f t="shared" si="759"/>
        <v>04-08-2020</v>
      </c>
      <c r="M1818" t="str">
        <f t="shared" si="759"/>
        <v>04-08-2020</v>
      </c>
      <c r="N1818" t="str">
        <f t="shared" si="748"/>
        <v>001105018356</v>
      </c>
      <c r="O1818" t="str">
        <f t="shared" si="749"/>
        <v>MYR</v>
      </c>
      <c r="P1818" t="str">
        <f t="shared" si="760"/>
        <v>NIL</v>
      </c>
      <c r="Q1818" t="str">
        <f t="shared" si="760"/>
        <v>NIL</v>
      </c>
      <c r="R1818" t="str">
        <f t="shared" si="750"/>
        <v>Accepted</v>
      </c>
      <c r="S1818" t="str">
        <f t="shared" si="751"/>
        <v>Approved</v>
      </c>
      <c r="T1818" t="str">
        <f t="shared" si="752"/>
        <v>10.20.8.188</v>
      </c>
      <c r="U1818" t="str">
        <f t="shared" si="753"/>
        <v>AZRAD UMAR BIN SHAARI</v>
      </c>
      <c r="V1818" t="str">
        <f t="shared" si="754"/>
        <v>FARHANA BINTI MUSTAPA</v>
      </c>
      <c r="W1818" t="str">
        <f t="shared" si="755"/>
        <v>04-08-2020</v>
      </c>
      <c r="X1818" t="str">
        <f t="shared" si="756"/>
        <v>RAZIMAH ANSAR AHMAD</v>
      </c>
      <c r="Y1818" t="str">
        <f t="shared" si="757"/>
        <v>04-08-2020</v>
      </c>
      <c r="Z1818" t="str">
        <f>"COS10200804 7336"</f>
        <v>COS10200804 7336</v>
      </c>
    </row>
    <row r="1819" spans="1:26" x14ac:dyDescent="0.25">
      <c r="A1819" t="str">
        <f t="shared" si="762"/>
        <v>04-08-2020 01:06:46</v>
      </c>
      <c r="B1819" t="str">
        <f>"0000809134"</f>
        <v>0000809134</v>
      </c>
      <c r="C1819" t="str">
        <f t="shared" si="763"/>
        <v>0000808999</v>
      </c>
      <c r="D1819" t="str">
        <f t="shared" si="745"/>
        <v>73185</v>
      </c>
      <c r="E1819" t="str">
        <f t="shared" si="746"/>
        <v>KFH-OPERATIONS DEPARTMENT</v>
      </c>
      <c r="F1819" t="str">
        <f t="shared" si="747"/>
        <v>IBG</v>
      </c>
      <c r="G1819" t="str">
        <f t="shared" si="758"/>
        <v>Refund COSHARE 10</v>
      </c>
      <c r="H1819" s="2">
        <v>419.75</v>
      </c>
      <c r="I1819" t="str">
        <f>"SARMIZA AZLIANA BINTI SULAIMAN"</f>
        <v>SARMIZA AZLIANA BINTI SULAIMAN</v>
      </c>
      <c r="J1819" t="str">
        <f t="shared" si="761"/>
        <v>MAYBANK / MAYBANK ISLAMIC</v>
      </c>
      <c r="K1819" t="str">
        <f>"156012088191"</f>
        <v>156012088191</v>
      </c>
      <c r="L1819" t="str">
        <f t="shared" si="759"/>
        <v>04-08-2020</v>
      </c>
      <c r="M1819" t="str">
        <f t="shared" si="759"/>
        <v>04-08-2020</v>
      </c>
      <c r="N1819" t="str">
        <f t="shared" si="748"/>
        <v>001105018356</v>
      </c>
      <c r="O1819" t="str">
        <f t="shared" si="749"/>
        <v>MYR</v>
      </c>
      <c r="P1819" t="str">
        <f t="shared" si="760"/>
        <v>NIL</v>
      </c>
      <c r="Q1819" t="str">
        <f t="shared" si="760"/>
        <v>NIL</v>
      </c>
      <c r="R1819" t="str">
        <f t="shared" si="750"/>
        <v>Accepted</v>
      </c>
      <c r="S1819" t="str">
        <f t="shared" si="751"/>
        <v>Approved</v>
      </c>
      <c r="T1819" t="str">
        <f t="shared" si="752"/>
        <v>10.20.8.188</v>
      </c>
      <c r="U1819" t="str">
        <f t="shared" si="753"/>
        <v>AZRAD UMAR BIN SHAARI</v>
      </c>
      <c r="V1819" t="str">
        <f t="shared" si="754"/>
        <v>FARHANA BINTI MUSTAPA</v>
      </c>
      <c r="W1819" t="str">
        <f t="shared" si="755"/>
        <v>04-08-2020</v>
      </c>
      <c r="X1819" t="str">
        <f t="shared" si="756"/>
        <v>RAZIMAH ANSAR AHMAD</v>
      </c>
      <c r="Y1819" t="str">
        <f t="shared" si="757"/>
        <v>04-08-2020</v>
      </c>
      <c r="Z1819" t="str">
        <f>"COS10200804 7335"</f>
        <v>COS10200804 7335</v>
      </c>
    </row>
    <row r="1820" spans="1:26" x14ac:dyDescent="0.25">
      <c r="A1820" t="str">
        <f t="shared" si="762"/>
        <v>04-08-2020 01:06:46</v>
      </c>
      <c r="B1820" t="str">
        <f>"0000809133"</f>
        <v>0000809133</v>
      </c>
      <c r="C1820" t="str">
        <f t="shared" si="763"/>
        <v>0000808999</v>
      </c>
      <c r="D1820" t="str">
        <f t="shared" si="745"/>
        <v>73185</v>
      </c>
      <c r="E1820" t="str">
        <f t="shared" si="746"/>
        <v>KFH-OPERATIONS DEPARTMENT</v>
      </c>
      <c r="F1820" t="str">
        <f t="shared" si="747"/>
        <v>IBG</v>
      </c>
      <c r="G1820" t="str">
        <f t="shared" si="758"/>
        <v>Refund COSHARE 10</v>
      </c>
      <c r="H1820" s="2">
        <v>142.75</v>
      </c>
      <c r="I1820" t="str">
        <f>"SARMILI BINTI MOHD SAIDIN"</f>
        <v>SARMILI BINTI MOHD SAIDIN</v>
      </c>
      <c r="J1820" t="str">
        <f t="shared" si="761"/>
        <v>MAYBANK / MAYBANK ISLAMIC</v>
      </c>
      <c r="K1820" t="str">
        <f>"110189044628"</f>
        <v>110189044628</v>
      </c>
      <c r="L1820" t="str">
        <f t="shared" si="759"/>
        <v>04-08-2020</v>
      </c>
      <c r="M1820" t="str">
        <f t="shared" si="759"/>
        <v>04-08-2020</v>
      </c>
      <c r="N1820" t="str">
        <f t="shared" si="748"/>
        <v>001105018356</v>
      </c>
      <c r="O1820" t="str">
        <f t="shared" si="749"/>
        <v>MYR</v>
      </c>
      <c r="P1820" t="str">
        <f t="shared" si="760"/>
        <v>NIL</v>
      </c>
      <c r="Q1820" t="str">
        <f t="shared" si="760"/>
        <v>NIL</v>
      </c>
      <c r="R1820" t="str">
        <f t="shared" si="750"/>
        <v>Accepted</v>
      </c>
      <c r="S1820" t="str">
        <f t="shared" si="751"/>
        <v>Approved</v>
      </c>
      <c r="T1820" t="str">
        <f t="shared" si="752"/>
        <v>10.20.8.188</v>
      </c>
      <c r="U1820" t="str">
        <f t="shared" si="753"/>
        <v>AZRAD UMAR BIN SHAARI</v>
      </c>
      <c r="V1820" t="str">
        <f t="shared" si="754"/>
        <v>FARHANA BINTI MUSTAPA</v>
      </c>
      <c r="W1820" t="str">
        <f t="shared" si="755"/>
        <v>04-08-2020</v>
      </c>
      <c r="X1820" t="str">
        <f t="shared" si="756"/>
        <v>RAZIMAH ANSAR AHMAD</v>
      </c>
      <c r="Y1820" t="str">
        <f t="shared" si="757"/>
        <v>04-08-2020</v>
      </c>
      <c r="Z1820" t="str">
        <f>"COS10200804 7334"</f>
        <v>COS10200804 7334</v>
      </c>
    </row>
    <row r="1821" spans="1:26" x14ac:dyDescent="0.25">
      <c r="A1821" t="str">
        <f t="shared" si="762"/>
        <v>04-08-2020 01:06:46</v>
      </c>
      <c r="B1821" t="str">
        <f>"0000809132"</f>
        <v>0000809132</v>
      </c>
      <c r="C1821" t="str">
        <f t="shared" si="763"/>
        <v>0000808999</v>
      </c>
      <c r="D1821" t="str">
        <f t="shared" si="745"/>
        <v>73185</v>
      </c>
      <c r="E1821" t="str">
        <f t="shared" si="746"/>
        <v>KFH-OPERATIONS DEPARTMENT</v>
      </c>
      <c r="F1821" t="str">
        <f t="shared" si="747"/>
        <v>IBG</v>
      </c>
      <c r="G1821" t="str">
        <f t="shared" si="758"/>
        <v>Refund COSHARE 10</v>
      </c>
      <c r="H1821" s="2">
        <v>671.6</v>
      </c>
      <c r="I1821" t="str">
        <f>"SARIZEIN BIN HASHIFUDIN"</f>
        <v>SARIZEIN BIN HASHIFUDIN</v>
      </c>
      <c r="J1821" t="str">
        <f t="shared" si="761"/>
        <v>MAYBANK / MAYBANK ISLAMIC</v>
      </c>
      <c r="K1821" t="str">
        <f>"156132019736"</f>
        <v>156132019736</v>
      </c>
      <c r="L1821" t="str">
        <f t="shared" si="759"/>
        <v>04-08-2020</v>
      </c>
      <c r="M1821" t="str">
        <f t="shared" si="759"/>
        <v>04-08-2020</v>
      </c>
      <c r="N1821" t="str">
        <f t="shared" si="748"/>
        <v>001105018356</v>
      </c>
      <c r="O1821" t="str">
        <f t="shared" si="749"/>
        <v>MYR</v>
      </c>
      <c r="P1821" t="str">
        <f t="shared" si="760"/>
        <v>NIL</v>
      </c>
      <c r="Q1821" t="str">
        <f t="shared" si="760"/>
        <v>NIL</v>
      </c>
      <c r="R1821" t="str">
        <f t="shared" si="750"/>
        <v>Accepted</v>
      </c>
      <c r="S1821" t="str">
        <f t="shared" si="751"/>
        <v>Approved</v>
      </c>
      <c r="T1821" t="str">
        <f t="shared" si="752"/>
        <v>10.20.8.188</v>
      </c>
      <c r="U1821" t="str">
        <f t="shared" si="753"/>
        <v>AZRAD UMAR BIN SHAARI</v>
      </c>
      <c r="V1821" t="str">
        <f t="shared" si="754"/>
        <v>FARHANA BINTI MUSTAPA</v>
      </c>
      <c r="W1821" t="str">
        <f t="shared" si="755"/>
        <v>04-08-2020</v>
      </c>
      <c r="X1821" t="str">
        <f t="shared" si="756"/>
        <v>RAZIMAH ANSAR AHMAD</v>
      </c>
      <c r="Y1821" t="str">
        <f t="shared" si="757"/>
        <v>04-08-2020</v>
      </c>
      <c r="Z1821" t="str">
        <f>"COS10200804 7333"</f>
        <v>COS10200804 7333</v>
      </c>
    </row>
    <row r="1822" spans="1:26" x14ac:dyDescent="0.25">
      <c r="A1822" t="str">
        <f t="shared" si="762"/>
        <v>04-08-2020 01:06:46</v>
      </c>
      <c r="B1822" t="str">
        <f>"0000809131"</f>
        <v>0000809131</v>
      </c>
      <c r="C1822" t="str">
        <f t="shared" si="763"/>
        <v>0000808999</v>
      </c>
      <c r="D1822" t="str">
        <f t="shared" si="745"/>
        <v>73185</v>
      </c>
      <c r="E1822" t="str">
        <f t="shared" si="746"/>
        <v>KFH-OPERATIONS DEPARTMENT</v>
      </c>
      <c r="F1822" t="str">
        <f t="shared" si="747"/>
        <v>IBG</v>
      </c>
      <c r="G1822" t="str">
        <f t="shared" si="758"/>
        <v>Refund COSHARE 10</v>
      </c>
      <c r="H1822" s="2">
        <v>209.9</v>
      </c>
      <c r="I1822" t="str">
        <f>"SARINA BINTI MUSTAFA"</f>
        <v>SARINA BINTI MUSTAFA</v>
      </c>
      <c r="J1822" t="str">
        <f t="shared" si="761"/>
        <v>MAYBANK / MAYBANK ISLAMIC</v>
      </c>
      <c r="K1822" t="str">
        <f>"162777133965"</f>
        <v>162777133965</v>
      </c>
      <c r="L1822" t="str">
        <f t="shared" si="759"/>
        <v>04-08-2020</v>
      </c>
      <c r="M1822" t="str">
        <f t="shared" si="759"/>
        <v>04-08-2020</v>
      </c>
      <c r="N1822" t="str">
        <f t="shared" si="748"/>
        <v>001105018356</v>
      </c>
      <c r="O1822" t="str">
        <f t="shared" si="749"/>
        <v>MYR</v>
      </c>
      <c r="P1822" t="str">
        <f t="shared" si="760"/>
        <v>NIL</v>
      </c>
      <c r="Q1822" t="str">
        <f t="shared" si="760"/>
        <v>NIL</v>
      </c>
      <c r="R1822" t="str">
        <f t="shared" si="750"/>
        <v>Accepted</v>
      </c>
      <c r="S1822" t="str">
        <f t="shared" si="751"/>
        <v>Approved</v>
      </c>
      <c r="T1822" t="str">
        <f t="shared" si="752"/>
        <v>10.20.8.188</v>
      </c>
      <c r="U1822" t="str">
        <f t="shared" si="753"/>
        <v>AZRAD UMAR BIN SHAARI</v>
      </c>
      <c r="V1822" t="str">
        <f t="shared" si="754"/>
        <v>FARHANA BINTI MUSTAPA</v>
      </c>
      <c r="W1822" t="str">
        <f t="shared" si="755"/>
        <v>04-08-2020</v>
      </c>
      <c r="X1822" t="str">
        <f t="shared" si="756"/>
        <v>RAZIMAH ANSAR AHMAD</v>
      </c>
      <c r="Y1822" t="str">
        <f t="shared" si="757"/>
        <v>04-08-2020</v>
      </c>
      <c r="Z1822" t="str">
        <f>"COS10200804 7332"</f>
        <v>COS10200804 7332</v>
      </c>
    </row>
    <row r="1823" spans="1:26" x14ac:dyDescent="0.25">
      <c r="A1823" t="str">
        <f t="shared" si="762"/>
        <v>04-08-2020 01:06:46</v>
      </c>
      <c r="B1823" t="str">
        <f>"0000809130"</f>
        <v>0000809130</v>
      </c>
      <c r="C1823" t="str">
        <f t="shared" si="763"/>
        <v>0000808999</v>
      </c>
      <c r="D1823" t="str">
        <f t="shared" si="745"/>
        <v>73185</v>
      </c>
      <c r="E1823" t="str">
        <f t="shared" si="746"/>
        <v>KFH-OPERATIONS DEPARTMENT</v>
      </c>
      <c r="F1823" t="str">
        <f t="shared" si="747"/>
        <v>IBG</v>
      </c>
      <c r="G1823" t="str">
        <f t="shared" si="758"/>
        <v>Refund COSHARE 10</v>
      </c>
      <c r="H1823" s="2">
        <v>125.95</v>
      </c>
      <c r="I1823" t="str">
        <f>"SARINA BINTI GHAZALI"</f>
        <v>SARINA BINTI GHAZALI</v>
      </c>
      <c r="J1823" t="str">
        <f t="shared" si="761"/>
        <v>MAYBANK / MAYBANK ISLAMIC</v>
      </c>
      <c r="K1823" t="str">
        <f>"158015090532"</f>
        <v>158015090532</v>
      </c>
      <c r="L1823" t="str">
        <f t="shared" si="759"/>
        <v>04-08-2020</v>
      </c>
      <c r="M1823" t="str">
        <f t="shared" si="759"/>
        <v>04-08-2020</v>
      </c>
      <c r="N1823" t="str">
        <f t="shared" si="748"/>
        <v>001105018356</v>
      </c>
      <c r="O1823" t="str">
        <f t="shared" si="749"/>
        <v>MYR</v>
      </c>
      <c r="P1823" t="str">
        <f t="shared" si="760"/>
        <v>NIL</v>
      </c>
      <c r="Q1823" t="str">
        <f t="shared" si="760"/>
        <v>NIL</v>
      </c>
      <c r="R1823" t="str">
        <f t="shared" si="750"/>
        <v>Accepted</v>
      </c>
      <c r="S1823" t="str">
        <f t="shared" si="751"/>
        <v>Approved</v>
      </c>
      <c r="T1823" t="str">
        <f t="shared" si="752"/>
        <v>10.20.8.188</v>
      </c>
      <c r="U1823" t="str">
        <f t="shared" si="753"/>
        <v>AZRAD UMAR BIN SHAARI</v>
      </c>
      <c r="V1823" t="str">
        <f t="shared" si="754"/>
        <v>FARHANA BINTI MUSTAPA</v>
      </c>
      <c r="W1823" t="str">
        <f t="shared" si="755"/>
        <v>04-08-2020</v>
      </c>
      <c r="X1823" t="str">
        <f t="shared" si="756"/>
        <v>RAZIMAH ANSAR AHMAD</v>
      </c>
      <c r="Y1823" t="str">
        <f t="shared" si="757"/>
        <v>04-08-2020</v>
      </c>
      <c r="Z1823" t="str">
        <f>"COS10200804 7331"</f>
        <v>COS10200804 7331</v>
      </c>
    </row>
    <row r="1824" spans="1:26" x14ac:dyDescent="0.25">
      <c r="A1824" t="str">
        <f t="shared" si="762"/>
        <v>04-08-2020 01:06:46</v>
      </c>
      <c r="B1824" t="str">
        <f>"0000809129"</f>
        <v>0000809129</v>
      </c>
      <c r="C1824" t="str">
        <f t="shared" si="763"/>
        <v>0000808999</v>
      </c>
      <c r="D1824" t="str">
        <f t="shared" si="745"/>
        <v>73185</v>
      </c>
      <c r="E1824" t="str">
        <f t="shared" si="746"/>
        <v>KFH-OPERATIONS DEPARTMENT</v>
      </c>
      <c r="F1824" t="str">
        <f t="shared" si="747"/>
        <v>IBG</v>
      </c>
      <c r="G1824" t="str">
        <f t="shared" si="758"/>
        <v>Refund COSHARE 10</v>
      </c>
      <c r="H1824" s="2">
        <v>923.45</v>
      </c>
      <c r="I1824" t="str">
        <f>"SARINA BINTI AWANG  MAT"</f>
        <v>SARINA BINTI AWANG  MAT</v>
      </c>
      <c r="J1824" t="str">
        <f t="shared" si="761"/>
        <v>MAYBANK / MAYBANK ISLAMIC</v>
      </c>
      <c r="K1824" t="str">
        <f>"156123623706"</f>
        <v>156123623706</v>
      </c>
      <c r="L1824" t="str">
        <f t="shared" si="759"/>
        <v>04-08-2020</v>
      </c>
      <c r="M1824" t="str">
        <f t="shared" si="759"/>
        <v>04-08-2020</v>
      </c>
      <c r="N1824" t="str">
        <f t="shared" si="748"/>
        <v>001105018356</v>
      </c>
      <c r="O1824" t="str">
        <f t="shared" si="749"/>
        <v>MYR</v>
      </c>
      <c r="P1824" t="str">
        <f t="shared" si="760"/>
        <v>NIL</v>
      </c>
      <c r="Q1824" t="str">
        <f t="shared" si="760"/>
        <v>NIL</v>
      </c>
      <c r="R1824" t="str">
        <f t="shared" si="750"/>
        <v>Accepted</v>
      </c>
      <c r="S1824" t="str">
        <f t="shared" si="751"/>
        <v>Approved</v>
      </c>
      <c r="T1824" t="str">
        <f t="shared" si="752"/>
        <v>10.20.8.188</v>
      </c>
      <c r="U1824" t="str">
        <f t="shared" si="753"/>
        <v>AZRAD UMAR BIN SHAARI</v>
      </c>
      <c r="V1824" t="str">
        <f t="shared" si="754"/>
        <v>FARHANA BINTI MUSTAPA</v>
      </c>
      <c r="W1824" t="str">
        <f t="shared" si="755"/>
        <v>04-08-2020</v>
      </c>
      <c r="X1824" t="str">
        <f t="shared" si="756"/>
        <v>RAZIMAH ANSAR AHMAD</v>
      </c>
      <c r="Y1824" t="str">
        <f t="shared" si="757"/>
        <v>04-08-2020</v>
      </c>
      <c r="Z1824" t="str">
        <f>"COS10200804 7330"</f>
        <v>COS10200804 7330</v>
      </c>
    </row>
    <row r="1825" spans="1:26" x14ac:dyDescent="0.25">
      <c r="A1825" t="str">
        <f t="shared" si="762"/>
        <v>04-08-2020 01:06:46</v>
      </c>
      <c r="B1825" t="str">
        <f>"0000809128"</f>
        <v>0000809128</v>
      </c>
      <c r="C1825" t="str">
        <f t="shared" si="763"/>
        <v>0000808999</v>
      </c>
      <c r="D1825" t="str">
        <f t="shared" si="745"/>
        <v>73185</v>
      </c>
      <c r="E1825" t="str">
        <f t="shared" si="746"/>
        <v>KFH-OPERATIONS DEPARTMENT</v>
      </c>
      <c r="F1825" t="str">
        <f t="shared" si="747"/>
        <v>IBG</v>
      </c>
      <c r="G1825" t="str">
        <f t="shared" si="758"/>
        <v>Refund COSHARE 10</v>
      </c>
      <c r="H1825" s="2">
        <v>1294.8</v>
      </c>
      <c r="I1825" t="str">
        <f>"SARINA BINTI ALI OTHMAN"</f>
        <v>SARINA BINTI ALI OTHMAN</v>
      </c>
      <c r="J1825" t="str">
        <f t="shared" si="761"/>
        <v>MAYBANK / MAYBANK ISLAMIC</v>
      </c>
      <c r="K1825" t="str">
        <f>"158118044004"</f>
        <v>158118044004</v>
      </c>
      <c r="L1825" t="str">
        <f t="shared" si="759"/>
        <v>04-08-2020</v>
      </c>
      <c r="M1825" t="str">
        <f t="shared" si="759"/>
        <v>04-08-2020</v>
      </c>
      <c r="N1825" t="str">
        <f t="shared" si="748"/>
        <v>001105018356</v>
      </c>
      <c r="O1825" t="str">
        <f t="shared" si="749"/>
        <v>MYR</v>
      </c>
      <c r="P1825" t="str">
        <f t="shared" si="760"/>
        <v>NIL</v>
      </c>
      <c r="Q1825" t="str">
        <f t="shared" si="760"/>
        <v>NIL</v>
      </c>
      <c r="R1825" t="str">
        <f t="shared" si="750"/>
        <v>Accepted</v>
      </c>
      <c r="S1825" t="str">
        <f t="shared" si="751"/>
        <v>Approved</v>
      </c>
      <c r="T1825" t="str">
        <f t="shared" si="752"/>
        <v>10.20.8.188</v>
      </c>
      <c r="U1825" t="str">
        <f t="shared" si="753"/>
        <v>AZRAD UMAR BIN SHAARI</v>
      </c>
      <c r="V1825" t="str">
        <f t="shared" si="754"/>
        <v>FARHANA BINTI MUSTAPA</v>
      </c>
      <c r="W1825" t="str">
        <f t="shared" si="755"/>
        <v>04-08-2020</v>
      </c>
      <c r="X1825" t="str">
        <f t="shared" si="756"/>
        <v>RAZIMAH ANSAR AHMAD</v>
      </c>
      <c r="Y1825" t="str">
        <f t="shared" si="757"/>
        <v>04-08-2020</v>
      </c>
      <c r="Z1825" t="str">
        <f>"COS10200804 7329"</f>
        <v>COS10200804 7329</v>
      </c>
    </row>
    <row r="1826" spans="1:26" x14ac:dyDescent="0.25">
      <c r="A1826" t="str">
        <f t="shared" si="762"/>
        <v>04-08-2020 01:06:46</v>
      </c>
      <c r="B1826" t="str">
        <f>"0000809127"</f>
        <v>0000809127</v>
      </c>
      <c r="C1826" t="str">
        <f t="shared" si="763"/>
        <v>0000808999</v>
      </c>
      <c r="D1826" t="str">
        <f t="shared" si="745"/>
        <v>73185</v>
      </c>
      <c r="E1826" t="str">
        <f t="shared" si="746"/>
        <v>KFH-OPERATIONS DEPARTMENT</v>
      </c>
      <c r="F1826" t="str">
        <f t="shared" si="747"/>
        <v>IBG</v>
      </c>
      <c r="G1826" t="str">
        <f t="shared" si="758"/>
        <v>Refund COSHARE 10</v>
      </c>
      <c r="H1826" s="2">
        <v>209.9</v>
      </c>
      <c r="I1826" t="str">
        <f>"SARINA BINTI AHMAD"</f>
        <v>SARINA BINTI AHMAD</v>
      </c>
      <c r="J1826" t="str">
        <f t="shared" si="761"/>
        <v>MAYBANK / MAYBANK ISLAMIC</v>
      </c>
      <c r="K1826" t="str">
        <f>"161119038717"</f>
        <v>161119038717</v>
      </c>
      <c r="L1826" t="str">
        <f t="shared" si="759"/>
        <v>04-08-2020</v>
      </c>
      <c r="M1826" t="str">
        <f t="shared" si="759"/>
        <v>04-08-2020</v>
      </c>
      <c r="N1826" t="str">
        <f t="shared" si="748"/>
        <v>001105018356</v>
      </c>
      <c r="O1826" t="str">
        <f t="shared" si="749"/>
        <v>MYR</v>
      </c>
      <c r="P1826" t="str">
        <f t="shared" si="760"/>
        <v>NIL</v>
      </c>
      <c r="Q1826" t="str">
        <f t="shared" si="760"/>
        <v>NIL</v>
      </c>
      <c r="R1826" t="str">
        <f t="shared" si="750"/>
        <v>Accepted</v>
      </c>
      <c r="S1826" t="str">
        <f t="shared" si="751"/>
        <v>Approved</v>
      </c>
      <c r="T1826" t="str">
        <f t="shared" si="752"/>
        <v>10.20.8.188</v>
      </c>
      <c r="U1826" t="str">
        <f t="shared" si="753"/>
        <v>AZRAD UMAR BIN SHAARI</v>
      </c>
      <c r="V1826" t="str">
        <f t="shared" si="754"/>
        <v>FARHANA BINTI MUSTAPA</v>
      </c>
      <c r="W1826" t="str">
        <f t="shared" si="755"/>
        <v>04-08-2020</v>
      </c>
      <c r="X1826" t="str">
        <f t="shared" si="756"/>
        <v>RAZIMAH ANSAR AHMAD</v>
      </c>
      <c r="Y1826" t="str">
        <f t="shared" si="757"/>
        <v>04-08-2020</v>
      </c>
      <c r="Z1826" t="str">
        <f>"COS10200804 7328"</f>
        <v>COS10200804 7328</v>
      </c>
    </row>
    <row r="1827" spans="1:26" x14ac:dyDescent="0.25">
      <c r="A1827" t="str">
        <f t="shared" si="762"/>
        <v>04-08-2020 01:06:46</v>
      </c>
      <c r="B1827" t="str">
        <f>"0000809126"</f>
        <v>0000809126</v>
      </c>
      <c r="C1827" t="str">
        <f t="shared" si="763"/>
        <v>0000808999</v>
      </c>
      <c r="D1827" t="str">
        <f t="shared" si="745"/>
        <v>73185</v>
      </c>
      <c r="E1827" t="str">
        <f t="shared" si="746"/>
        <v>KFH-OPERATIONS DEPARTMENT</v>
      </c>
      <c r="F1827" t="str">
        <f t="shared" si="747"/>
        <v>IBG</v>
      </c>
      <c r="G1827" t="str">
        <f t="shared" si="758"/>
        <v>Refund COSHARE 10</v>
      </c>
      <c r="H1827" s="2">
        <v>368</v>
      </c>
      <c r="I1827" t="str">
        <f>"SARIMAH BINTI ALIKAKBAR"</f>
        <v>SARIMAH BINTI ALIKAKBAR</v>
      </c>
      <c r="J1827" t="str">
        <f t="shared" si="761"/>
        <v>MAYBANK / MAYBANK ISLAMIC</v>
      </c>
      <c r="K1827" t="str">
        <f>"110059102639"</f>
        <v>110059102639</v>
      </c>
      <c r="L1827" t="str">
        <f t="shared" ref="L1827:M1846" si="764">"04-08-2020"</f>
        <v>04-08-2020</v>
      </c>
      <c r="M1827" t="str">
        <f t="shared" si="764"/>
        <v>04-08-2020</v>
      </c>
      <c r="N1827" t="str">
        <f t="shared" si="748"/>
        <v>001105018356</v>
      </c>
      <c r="O1827" t="str">
        <f t="shared" si="749"/>
        <v>MYR</v>
      </c>
      <c r="P1827" t="str">
        <f t="shared" ref="P1827:Q1846" si="765">"NIL"</f>
        <v>NIL</v>
      </c>
      <c r="Q1827" t="str">
        <f t="shared" si="765"/>
        <v>NIL</v>
      </c>
      <c r="R1827" t="str">
        <f t="shared" si="750"/>
        <v>Accepted</v>
      </c>
      <c r="S1827" t="str">
        <f t="shared" si="751"/>
        <v>Approved</v>
      </c>
      <c r="T1827" t="str">
        <f t="shared" si="752"/>
        <v>10.20.8.188</v>
      </c>
      <c r="U1827" t="str">
        <f t="shared" si="753"/>
        <v>AZRAD UMAR BIN SHAARI</v>
      </c>
      <c r="V1827" t="str">
        <f t="shared" si="754"/>
        <v>FARHANA BINTI MUSTAPA</v>
      </c>
      <c r="W1827" t="str">
        <f t="shared" si="755"/>
        <v>04-08-2020</v>
      </c>
      <c r="X1827" t="str">
        <f t="shared" si="756"/>
        <v>RAZIMAH ANSAR AHMAD</v>
      </c>
      <c r="Y1827" t="str">
        <f t="shared" si="757"/>
        <v>04-08-2020</v>
      </c>
      <c r="Z1827" t="str">
        <f>"COS10200804 7327"</f>
        <v>COS10200804 7327</v>
      </c>
    </row>
    <row r="1828" spans="1:26" x14ac:dyDescent="0.25">
      <c r="A1828" t="str">
        <f t="shared" si="762"/>
        <v>04-08-2020 01:06:46</v>
      </c>
      <c r="B1828" t="str">
        <f>"0000809125"</f>
        <v>0000809125</v>
      </c>
      <c r="C1828" t="str">
        <f t="shared" si="763"/>
        <v>0000808999</v>
      </c>
      <c r="D1828" t="str">
        <f t="shared" si="745"/>
        <v>73185</v>
      </c>
      <c r="E1828" t="str">
        <f t="shared" si="746"/>
        <v>KFH-OPERATIONS DEPARTMENT</v>
      </c>
      <c r="F1828" t="str">
        <f t="shared" si="747"/>
        <v>IBG</v>
      </c>
      <c r="G1828" t="str">
        <f t="shared" si="758"/>
        <v>Refund COSHARE 10</v>
      </c>
      <c r="H1828" s="2">
        <v>214.15</v>
      </c>
      <c r="I1828" t="str">
        <f>"SARIMAH BINTI ALIKAKBAR"</f>
        <v>SARIMAH BINTI ALIKAKBAR</v>
      </c>
      <c r="J1828" t="str">
        <f t="shared" si="761"/>
        <v>MAYBANK / MAYBANK ISLAMIC</v>
      </c>
      <c r="K1828" t="str">
        <f>"110059102639"</f>
        <v>110059102639</v>
      </c>
      <c r="L1828" t="str">
        <f t="shared" si="764"/>
        <v>04-08-2020</v>
      </c>
      <c r="M1828" t="str">
        <f t="shared" si="764"/>
        <v>04-08-2020</v>
      </c>
      <c r="N1828" t="str">
        <f t="shared" si="748"/>
        <v>001105018356</v>
      </c>
      <c r="O1828" t="str">
        <f t="shared" si="749"/>
        <v>MYR</v>
      </c>
      <c r="P1828" t="str">
        <f t="shared" si="765"/>
        <v>NIL</v>
      </c>
      <c r="Q1828" t="str">
        <f t="shared" si="765"/>
        <v>NIL</v>
      </c>
      <c r="R1828" t="str">
        <f t="shared" si="750"/>
        <v>Accepted</v>
      </c>
      <c r="S1828" t="str">
        <f t="shared" si="751"/>
        <v>Approved</v>
      </c>
      <c r="T1828" t="str">
        <f t="shared" si="752"/>
        <v>10.20.8.188</v>
      </c>
      <c r="U1828" t="str">
        <f t="shared" si="753"/>
        <v>AZRAD UMAR BIN SHAARI</v>
      </c>
      <c r="V1828" t="str">
        <f t="shared" si="754"/>
        <v>FARHANA BINTI MUSTAPA</v>
      </c>
      <c r="W1828" t="str">
        <f t="shared" si="755"/>
        <v>04-08-2020</v>
      </c>
      <c r="X1828" t="str">
        <f t="shared" si="756"/>
        <v>RAZIMAH ANSAR AHMAD</v>
      </c>
      <c r="Y1828" t="str">
        <f t="shared" si="757"/>
        <v>04-08-2020</v>
      </c>
      <c r="Z1828" t="str">
        <f>"COS10200804 7326"</f>
        <v>COS10200804 7326</v>
      </c>
    </row>
    <row r="1829" spans="1:26" x14ac:dyDescent="0.25">
      <c r="A1829" t="str">
        <f t="shared" si="762"/>
        <v>04-08-2020 01:06:46</v>
      </c>
      <c r="B1829" t="str">
        <f>"0000809124"</f>
        <v>0000809124</v>
      </c>
      <c r="C1829" t="str">
        <f t="shared" si="763"/>
        <v>0000808999</v>
      </c>
      <c r="D1829" t="str">
        <f t="shared" si="745"/>
        <v>73185</v>
      </c>
      <c r="E1829" t="str">
        <f t="shared" si="746"/>
        <v>KFH-OPERATIONS DEPARTMENT</v>
      </c>
      <c r="F1829" t="str">
        <f t="shared" si="747"/>
        <v>IBG</v>
      </c>
      <c r="G1829" t="str">
        <f t="shared" si="758"/>
        <v>Refund COSHARE 10</v>
      </c>
      <c r="H1829" s="2">
        <v>209.9</v>
      </c>
      <c r="I1829" t="str">
        <f>"SARIFUDIN BIN ABDUL RAHMAN"</f>
        <v>SARIFUDIN BIN ABDUL RAHMAN</v>
      </c>
      <c r="J1829" t="str">
        <f t="shared" si="761"/>
        <v>MAYBANK / MAYBANK ISLAMIC</v>
      </c>
      <c r="K1829" t="str">
        <f>"157401049099"</f>
        <v>157401049099</v>
      </c>
      <c r="L1829" t="str">
        <f t="shared" si="764"/>
        <v>04-08-2020</v>
      </c>
      <c r="M1829" t="str">
        <f t="shared" si="764"/>
        <v>04-08-2020</v>
      </c>
      <c r="N1829" t="str">
        <f t="shared" si="748"/>
        <v>001105018356</v>
      </c>
      <c r="O1829" t="str">
        <f t="shared" si="749"/>
        <v>MYR</v>
      </c>
      <c r="P1829" t="str">
        <f t="shared" si="765"/>
        <v>NIL</v>
      </c>
      <c r="Q1829" t="str">
        <f t="shared" si="765"/>
        <v>NIL</v>
      </c>
      <c r="R1829" t="str">
        <f t="shared" si="750"/>
        <v>Accepted</v>
      </c>
      <c r="S1829" t="str">
        <f t="shared" si="751"/>
        <v>Approved</v>
      </c>
      <c r="T1829" t="str">
        <f t="shared" si="752"/>
        <v>10.20.8.188</v>
      </c>
      <c r="U1829" t="str">
        <f t="shared" si="753"/>
        <v>AZRAD UMAR BIN SHAARI</v>
      </c>
      <c r="V1829" t="str">
        <f t="shared" si="754"/>
        <v>FARHANA BINTI MUSTAPA</v>
      </c>
      <c r="W1829" t="str">
        <f t="shared" si="755"/>
        <v>04-08-2020</v>
      </c>
      <c r="X1829" t="str">
        <f t="shared" si="756"/>
        <v>RAZIMAH ANSAR AHMAD</v>
      </c>
      <c r="Y1829" t="str">
        <f t="shared" si="757"/>
        <v>04-08-2020</v>
      </c>
      <c r="Z1829" t="str">
        <f>"COS10200804 7325"</f>
        <v>COS10200804 7325</v>
      </c>
    </row>
    <row r="1830" spans="1:26" x14ac:dyDescent="0.25">
      <c r="A1830" t="str">
        <f t="shared" si="762"/>
        <v>04-08-2020 01:06:46</v>
      </c>
      <c r="B1830" t="str">
        <f>"0000809123"</f>
        <v>0000809123</v>
      </c>
      <c r="C1830" t="str">
        <f t="shared" si="763"/>
        <v>0000808999</v>
      </c>
      <c r="D1830" t="str">
        <f t="shared" si="745"/>
        <v>73185</v>
      </c>
      <c r="E1830" t="str">
        <f t="shared" si="746"/>
        <v>KFH-OPERATIONS DEPARTMENT</v>
      </c>
      <c r="F1830" t="str">
        <f t="shared" si="747"/>
        <v>IBG</v>
      </c>
      <c r="G1830" t="str">
        <f t="shared" si="758"/>
        <v>Refund COSHARE 10</v>
      </c>
      <c r="H1830" s="2">
        <v>260.25</v>
      </c>
      <c r="I1830" t="str">
        <f>"SARIFFUDDIN BIN SULONG"</f>
        <v>SARIFFUDDIN BIN SULONG</v>
      </c>
      <c r="J1830" t="str">
        <f t="shared" si="761"/>
        <v>MAYBANK / MAYBANK ISLAMIC</v>
      </c>
      <c r="K1830" t="str">
        <f>"166010048649"</f>
        <v>166010048649</v>
      </c>
      <c r="L1830" t="str">
        <f t="shared" si="764"/>
        <v>04-08-2020</v>
      </c>
      <c r="M1830" t="str">
        <f t="shared" si="764"/>
        <v>04-08-2020</v>
      </c>
      <c r="N1830" t="str">
        <f t="shared" si="748"/>
        <v>001105018356</v>
      </c>
      <c r="O1830" t="str">
        <f t="shared" si="749"/>
        <v>MYR</v>
      </c>
      <c r="P1830" t="str">
        <f t="shared" si="765"/>
        <v>NIL</v>
      </c>
      <c r="Q1830" t="str">
        <f t="shared" si="765"/>
        <v>NIL</v>
      </c>
      <c r="R1830" t="str">
        <f t="shared" si="750"/>
        <v>Accepted</v>
      </c>
      <c r="S1830" t="str">
        <f t="shared" si="751"/>
        <v>Approved</v>
      </c>
      <c r="T1830" t="str">
        <f t="shared" si="752"/>
        <v>10.20.8.188</v>
      </c>
      <c r="U1830" t="str">
        <f t="shared" si="753"/>
        <v>AZRAD UMAR BIN SHAARI</v>
      </c>
      <c r="V1830" t="str">
        <f t="shared" si="754"/>
        <v>FARHANA BINTI MUSTAPA</v>
      </c>
      <c r="W1830" t="str">
        <f t="shared" si="755"/>
        <v>04-08-2020</v>
      </c>
      <c r="X1830" t="str">
        <f t="shared" si="756"/>
        <v>RAZIMAH ANSAR AHMAD</v>
      </c>
      <c r="Y1830" t="str">
        <f t="shared" si="757"/>
        <v>04-08-2020</v>
      </c>
      <c r="Z1830" t="str">
        <f>"COS10200804 7324"</f>
        <v>COS10200804 7324</v>
      </c>
    </row>
    <row r="1831" spans="1:26" x14ac:dyDescent="0.25">
      <c r="A1831" t="str">
        <f t="shared" si="762"/>
        <v>04-08-2020 01:06:46</v>
      </c>
      <c r="B1831" t="str">
        <f>"0000809122"</f>
        <v>0000809122</v>
      </c>
      <c r="C1831" t="str">
        <f t="shared" si="763"/>
        <v>0000808999</v>
      </c>
      <c r="D1831" t="str">
        <f t="shared" si="745"/>
        <v>73185</v>
      </c>
      <c r="E1831" t="str">
        <f t="shared" si="746"/>
        <v>KFH-OPERATIONS DEPARTMENT</v>
      </c>
      <c r="F1831" t="str">
        <f t="shared" si="747"/>
        <v>IBG</v>
      </c>
      <c r="G1831" t="str">
        <f t="shared" si="758"/>
        <v>Refund COSHARE 10</v>
      </c>
      <c r="H1831" s="2">
        <v>83.95</v>
      </c>
      <c r="I1831" t="str">
        <f>"SARIFAHAIDA BINTI JUMAN"</f>
        <v>SARIFAHAIDA BINTI JUMAN</v>
      </c>
      <c r="J1831" t="str">
        <f t="shared" si="761"/>
        <v>MAYBANK / MAYBANK ISLAMIC</v>
      </c>
      <c r="K1831" t="str">
        <f>"151119147745"</f>
        <v>151119147745</v>
      </c>
      <c r="L1831" t="str">
        <f t="shared" si="764"/>
        <v>04-08-2020</v>
      </c>
      <c r="M1831" t="str">
        <f t="shared" si="764"/>
        <v>04-08-2020</v>
      </c>
      <c r="N1831" t="str">
        <f t="shared" si="748"/>
        <v>001105018356</v>
      </c>
      <c r="O1831" t="str">
        <f t="shared" si="749"/>
        <v>MYR</v>
      </c>
      <c r="P1831" t="str">
        <f t="shared" si="765"/>
        <v>NIL</v>
      </c>
      <c r="Q1831" t="str">
        <f t="shared" si="765"/>
        <v>NIL</v>
      </c>
      <c r="R1831" t="str">
        <f t="shared" si="750"/>
        <v>Accepted</v>
      </c>
      <c r="S1831" t="str">
        <f t="shared" si="751"/>
        <v>Approved</v>
      </c>
      <c r="T1831" t="str">
        <f t="shared" si="752"/>
        <v>10.20.8.188</v>
      </c>
      <c r="U1831" t="str">
        <f t="shared" si="753"/>
        <v>AZRAD UMAR BIN SHAARI</v>
      </c>
      <c r="V1831" t="str">
        <f t="shared" si="754"/>
        <v>FARHANA BINTI MUSTAPA</v>
      </c>
      <c r="W1831" t="str">
        <f t="shared" si="755"/>
        <v>04-08-2020</v>
      </c>
      <c r="X1831" t="str">
        <f t="shared" si="756"/>
        <v>RAZIMAH ANSAR AHMAD</v>
      </c>
      <c r="Y1831" t="str">
        <f t="shared" si="757"/>
        <v>04-08-2020</v>
      </c>
      <c r="Z1831" t="str">
        <f>"COS10200804 7323"</f>
        <v>COS10200804 7323</v>
      </c>
    </row>
    <row r="1832" spans="1:26" x14ac:dyDescent="0.25">
      <c r="A1832" t="str">
        <f t="shared" si="762"/>
        <v>04-08-2020 01:06:46</v>
      </c>
      <c r="B1832" t="str">
        <f>"0000809121"</f>
        <v>0000809121</v>
      </c>
      <c r="C1832" t="str">
        <f t="shared" si="763"/>
        <v>0000808999</v>
      </c>
      <c r="D1832" t="str">
        <f t="shared" si="745"/>
        <v>73185</v>
      </c>
      <c r="E1832" t="str">
        <f t="shared" si="746"/>
        <v>KFH-OPERATIONS DEPARTMENT</v>
      </c>
      <c r="F1832" t="str">
        <f t="shared" si="747"/>
        <v>IBG</v>
      </c>
      <c r="G1832" t="str">
        <f t="shared" si="758"/>
        <v>Refund COSHARE 10</v>
      </c>
      <c r="H1832" s="2">
        <v>759</v>
      </c>
      <c r="I1832" t="str">
        <f>"SARIFAH IZURA BINTI SARIF MD ISA"</f>
        <v>SARIFAH IZURA BINTI SARIF MD ISA</v>
      </c>
      <c r="J1832" t="str">
        <f t="shared" si="761"/>
        <v>MAYBANK / MAYBANK ISLAMIC</v>
      </c>
      <c r="K1832" t="str">
        <f>"152068694073"</f>
        <v>152068694073</v>
      </c>
      <c r="L1832" t="str">
        <f t="shared" si="764"/>
        <v>04-08-2020</v>
      </c>
      <c r="M1832" t="str">
        <f t="shared" si="764"/>
        <v>04-08-2020</v>
      </c>
      <c r="N1832" t="str">
        <f t="shared" si="748"/>
        <v>001105018356</v>
      </c>
      <c r="O1832" t="str">
        <f t="shared" si="749"/>
        <v>MYR</v>
      </c>
      <c r="P1832" t="str">
        <f t="shared" si="765"/>
        <v>NIL</v>
      </c>
      <c r="Q1832" t="str">
        <f t="shared" si="765"/>
        <v>NIL</v>
      </c>
      <c r="R1832" t="str">
        <f t="shared" si="750"/>
        <v>Accepted</v>
      </c>
      <c r="S1832" t="str">
        <f t="shared" si="751"/>
        <v>Approved</v>
      </c>
      <c r="T1832" t="str">
        <f t="shared" si="752"/>
        <v>10.20.8.188</v>
      </c>
      <c r="U1832" t="str">
        <f t="shared" si="753"/>
        <v>AZRAD UMAR BIN SHAARI</v>
      </c>
      <c r="V1832" t="str">
        <f t="shared" si="754"/>
        <v>FARHANA BINTI MUSTAPA</v>
      </c>
      <c r="W1832" t="str">
        <f t="shared" si="755"/>
        <v>04-08-2020</v>
      </c>
      <c r="X1832" t="str">
        <f t="shared" si="756"/>
        <v>RAZIMAH ANSAR AHMAD</v>
      </c>
      <c r="Y1832" t="str">
        <f t="shared" si="757"/>
        <v>04-08-2020</v>
      </c>
      <c r="Z1832" t="str">
        <f>"COS10200804 7322"</f>
        <v>COS10200804 7322</v>
      </c>
    </row>
    <row r="1833" spans="1:26" x14ac:dyDescent="0.25">
      <c r="A1833" t="str">
        <f t="shared" si="762"/>
        <v>04-08-2020 01:06:46</v>
      </c>
      <c r="B1833" t="str">
        <f>"0000809120"</f>
        <v>0000809120</v>
      </c>
      <c r="C1833" t="str">
        <f t="shared" si="763"/>
        <v>0000808999</v>
      </c>
      <c r="D1833" t="str">
        <f t="shared" si="745"/>
        <v>73185</v>
      </c>
      <c r="E1833" t="str">
        <f t="shared" si="746"/>
        <v>KFH-OPERATIONS DEPARTMENT</v>
      </c>
      <c r="F1833" t="str">
        <f t="shared" si="747"/>
        <v>IBG</v>
      </c>
      <c r="G1833" t="str">
        <f t="shared" si="758"/>
        <v>Refund COSHARE 10</v>
      </c>
      <c r="H1833" s="2">
        <v>869.25</v>
      </c>
      <c r="I1833" t="str">
        <f>"SARIFAH BINTI RAMNAH"</f>
        <v>SARIFAH BINTI RAMNAH</v>
      </c>
      <c r="J1833" t="str">
        <f t="shared" si="761"/>
        <v>MAYBANK / MAYBANK ISLAMIC</v>
      </c>
      <c r="K1833" t="str">
        <f>"110068174269"</f>
        <v>110068174269</v>
      </c>
      <c r="L1833" t="str">
        <f t="shared" si="764"/>
        <v>04-08-2020</v>
      </c>
      <c r="M1833" t="str">
        <f t="shared" si="764"/>
        <v>04-08-2020</v>
      </c>
      <c r="N1833" t="str">
        <f t="shared" si="748"/>
        <v>001105018356</v>
      </c>
      <c r="O1833" t="str">
        <f t="shared" si="749"/>
        <v>MYR</v>
      </c>
      <c r="P1833" t="str">
        <f t="shared" si="765"/>
        <v>NIL</v>
      </c>
      <c r="Q1833" t="str">
        <f t="shared" si="765"/>
        <v>NIL</v>
      </c>
      <c r="R1833" t="str">
        <f t="shared" si="750"/>
        <v>Accepted</v>
      </c>
      <c r="S1833" t="str">
        <f t="shared" si="751"/>
        <v>Approved</v>
      </c>
      <c r="T1833" t="str">
        <f t="shared" si="752"/>
        <v>10.20.8.188</v>
      </c>
      <c r="U1833" t="str">
        <f t="shared" si="753"/>
        <v>AZRAD UMAR BIN SHAARI</v>
      </c>
      <c r="V1833" t="str">
        <f t="shared" si="754"/>
        <v>FARHANA BINTI MUSTAPA</v>
      </c>
      <c r="W1833" t="str">
        <f t="shared" si="755"/>
        <v>04-08-2020</v>
      </c>
      <c r="X1833" t="str">
        <f t="shared" si="756"/>
        <v>RAZIMAH ANSAR AHMAD</v>
      </c>
      <c r="Y1833" t="str">
        <f t="shared" si="757"/>
        <v>04-08-2020</v>
      </c>
      <c r="Z1833" t="str">
        <f>"COS10200804 7321"</f>
        <v>COS10200804 7321</v>
      </c>
    </row>
    <row r="1834" spans="1:26" x14ac:dyDescent="0.25">
      <c r="A1834" t="str">
        <f t="shared" si="762"/>
        <v>04-08-2020 01:06:46</v>
      </c>
      <c r="B1834" t="str">
        <f>"0000809119"</f>
        <v>0000809119</v>
      </c>
      <c r="C1834" t="str">
        <f t="shared" si="763"/>
        <v>0000808999</v>
      </c>
      <c r="D1834" t="str">
        <f t="shared" si="745"/>
        <v>73185</v>
      </c>
      <c r="E1834" t="str">
        <f t="shared" si="746"/>
        <v>KFH-OPERATIONS DEPARTMENT</v>
      </c>
      <c r="F1834" t="str">
        <f t="shared" si="747"/>
        <v>IBG</v>
      </c>
      <c r="G1834" t="str">
        <f t="shared" si="758"/>
        <v>Refund COSHARE 10</v>
      </c>
      <c r="H1834" s="2">
        <v>128.1</v>
      </c>
      <c r="I1834" t="str">
        <f>"SARIFAH BINTI ACHI  MOHD AJI"</f>
        <v>SARIFAH BINTI ACHI  MOHD AJI</v>
      </c>
      <c r="J1834" t="str">
        <f t="shared" si="761"/>
        <v>MAYBANK / MAYBANK ISLAMIC</v>
      </c>
      <c r="K1834" t="str">
        <f>"110068189229"</f>
        <v>110068189229</v>
      </c>
      <c r="L1834" t="str">
        <f t="shared" si="764"/>
        <v>04-08-2020</v>
      </c>
      <c r="M1834" t="str">
        <f t="shared" si="764"/>
        <v>04-08-2020</v>
      </c>
      <c r="N1834" t="str">
        <f t="shared" si="748"/>
        <v>001105018356</v>
      </c>
      <c r="O1834" t="str">
        <f t="shared" si="749"/>
        <v>MYR</v>
      </c>
      <c r="P1834" t="str">
        <f t="shared" si="765"/>
        <v>NIL</v>
      </c>
      <c r="Q1834" t="str">
        <f t="shared" si="765"/>
        <v>NIL</v>
      </c>
      <c r="R1834" t="str">
        <f t="shared" si="750"/>
        <v>Accepted</v>
      </c>
      <c r="S1834" t="str">
        <f t="shared" si="751"/>
        <v>Approved</v>
      </c>
      <c r="T1834" t="str">
        <f t="shared" si="752"/>
        <v>10.20.8.188</v>
      </c>
      <c r="U1834" t="str">
        <f t="shared" si="753"/>
        <v>AZRAD UMAR BIN SHAARI</v>
      </c>
      <c r="V1834" t="str">
        <f t="shared" si="754"/>
        <v>FARHANA BINTI MUSTAPA</v>
      </c>
      <c r="W1834" t="str">
        <f t="shared" si="755"/>
        <v>04-08-2020</v>
      </c>
      <c r="X1834" t="str">
        <f t="shared" si="756"/>
        <v>RAZIMAH ANSAR AHMAD</v>
      </c>
      <c r="Y1834" t="str">
        <f t="shared" si="757"/>
        <v>04-08-2020</v>
      </c>
      <c r="Z1834" t="str">
        <f>"COS10200804 7320"</f>
        <v>COS10200804 7320</v>
      </c>
    </row>
    <row r="1835" spans="1:26" x14ac:dyDescent="0.25">
      <c r="A1835" t="str">
        <f t="shared" si="762"/>
        <v>04-08-2020 01:06:46</v>
      </c>
      <c r="B1835" t="str">
        <f>"0000809118"</f>
        <v>0000809118</v>
      </c>
      <c r="C1835" t="str">
        <f t="shared" si="763"/>
        <v>0000808999</v>
      </c>
      <c r="D1835" t="str">
        <f t="shared" si="745"/>
        <v>73185</v>
      </c>
      <c r="E1835" t="str">
        <f t="shared" si="746"/>
        <v>KFH-OPERATIONS DEPARTMENT</v>
      </c>
      <c r="F1835" t="str">
        <f t="shared" si="747"/>
        <v>IBG</v>
      </c>
      <c r="G1835" t="str">
        <f t="shared" si="758"/>
        <v>Refund COSHARE 10</v>
      </c>
      <c r="H1835" s="2">
        <v>201.5</v>
      </c>
      <c r="I1835" t="str">
        <f>"SARIAH BINTI YUSOF"</f>
        <v>SARIAH BINTI YUSOF</v>
      </c>
      <c r="J1835" t="str">
        <f t="shared" si="761"/>
        <v>MAYBANK / MAYBANK ISLAMIC</v>
      </c>
      <c r="K1835" t="str">
        <f>"162143029366"</f>
        <v>162143029366</v>
      </c>
      <c r="L1835" t="str">
        <f t="shared" si="764"/>
        <v>04-08-2020</v>
      </c>
      <c r="M1835" t="str">
        <f t="shared" si="764"/>
        <v>04-08-2020</v>
      </c>
      <c r="N1835" t="str">
        <f t="shared" si="748"/>
        <v>001105018356</v>
      </c>
      <c r="O1835" t="str">
        <f t="shared" si="749"/>
        <v>MYR</v>
      </c>
      <c r="P1835" t="str">
        <f t="shared" si="765"/>
        <v>NIL</v>
      </c>
      <c r="Q1835" t="str">
        <f t="shared" si="765"/>
        <v>NIL</v>
      </c>
      <c r="R1835" t="str">
        <f t="shared" si="750"/>
        <v>Accepted</v>
      </c>
      <c r="S1835" t="str">
        <f t="shared" si="751"/>
        <v>Approved</v>
      </c>
      <c r="T1835" t="str">
        <f t="shared" si="752"/>
        <v>10.20.8.188</v>
      </c>
      <c r="U1835" t="str">
        <f t="shared" si="753"/>
        <v>AZRAD UMAR BIN SHAARI</v>
      </c>
      <c r="V1835" t="str">
        <f t="shared" si="754"/>
        <v>FARHANA BINTI MUSTAPA</v>
      </c>
      <c r="W1835" t="str">
        <f t="shared" si="755"/>
        <v>04-08-2020</v>
      </c>
      <c r="X1835" t="str">
        <f t="shared" si="756"/>
        <v>RAZIMAH ANSAR AHMAD</v>
      </c>
      <c r="Y1835" t="str">
        <f t="shared" si="757"/>
        <v>04-08-2020</v>
      </c>
      <c r="Z1835" t="str">
        <f>"COS10200804 7319"</f>
        <v>COS10200804 7319</v>
      </c>
    </row>
    <row r="1836" spans="1:26" x14ac:dyDescent="0.25">
      <c r="A1836" t="str">
        <f t="shared" si="762"/>
        <v>04-08-2020 01:06:46</v>
      </c>
      <c r="B1836" t="str">
        <f>"0000809117"</f>
        <v>0000809117</v>
      </c>
      <c r="C1836" t="str">
        <f t="shared" si="763"/>
        <v>0000808999</v>
      </c>
      <c r="D1836" t="str">
        <f t="shared" si="745"/>
        <v>73185</v>
      </c>
      <c r="E1836" t="str">
        <f t="shared" si="746"/>
        <v>KFH-OPERATIONS DEPARTMENT</v>
      </c>
      <c r="F1836" t="str">
        <f t="shared" si="747"/>
        <v>IBG</v>
      </c>
      <c r="G1836" t="str">
        <f t="shared" si="758"/>
        <v>Refund COSHARE 10</v>
      </c>
      <c r="H1836" s="2">
        <v>662.6</v>
      </c>
      <c r="I1836" t="str">
        <f>"SARIAH ASAMAT"</f>
        <v>SARIAH ASAMAT</v>
      </c>
      <c r="J1836" t="str">
        <f t="shared" si="761"/>
        <v>MAYBANK / MAYBANK ISLAMIC</v>
      </c>
      <c r="K1836" t="str">
        <f>"110108179579"</f>
        <v>110108179579</v>
      </c>
      <c r="L1836" t="str">
        <f t="shared" si="764"/>
        <v>04-08-2020</v>
      </c>
      <c r="M1836" t="str">
        <f t="shared" si="764"/>
        <v>04-08-2020</v>
      </c>
      <c r="N1836" t="str">
        <f t="shared" si="748"/>
        <v>001105018356</v>
      </c>
      <c r="O1836" t="str">
        <f t="shared" si="749"/>
        <v>MYR</v>
      </c>
      <c r="P1836" t="str">
        <f t="shared" si="765"/>
        <v>NIL</v>
      </c>
      <c r="Q1836" t="str">
        <f t="shared" si="765"/>
        <v>NIL</v>
      </c>
      <c r="R1836" t="str">
        <f t="shared" si="750"/>
        <v>Accepted</v>
      </c>
      <c r="S1836" t="str">
        <f t="shared" si="751"/>
        <v>Approved</v>
      </c>
      <c r="T1836" t="str">
        <f t="shared" si="752"/>
        <v>10.20.8.188</v>
      </c>
      <c r="U1836" t="str">
        <f t="shared" si="753"/>
        <v>AZRAD UMAR BIN SHAARI</v>
      </c>
      <c r="V1836" t="str">
        <f t="shared" si="754"/>
        <v>FARHANA BINTI MUSTAPA</v>
      </c>
      <c r="W1836" t="str">
        <f t="shared" si="755"/>
        <v>04-08-2020</v>
      </c>
      <c r="X1836" t="str">
        <f t="shared" si="756"/>
        <v>RAZIMAH ANSAR AHMAD</v>
      </c>
      <c r="Y1836" t="str">
        <f t="shared" si="757"/>
        <v>04-08-2020</v>
      </c>
      <c r="Z1836" t="str">
        <f>"COS10200804 7318"</f>
        <v>COS10200804 7318</v>
      </c>
    </row>
    <row r="1837" spans="1:26" x14ac:dyDescent="0.25">
      <c r="A1837" t="str">
        <f t="shared" si="762"/>
        <v>04-08-2020 01:06:46</v>
      </c>
      <c r="B1837" t="str">
        <f>"0000809116"</f>
        <v>0000809116</v>
      </c>
      <c r="C1837" t="str">
        <f t="shared" si="763"/>
        <v>0000808999</v>
      </c>
      <c r="D1837" t="str">
        <f t="shared" si="745"/>
        <v>73185</v>
      </c>
      <c r="E1837" t="str">
        <f t="shared" si="746"/>
        <v>KFH-OPERATIONS DEPARTMENT</v>
      </c>
      <c r="F1837" t="str">
        <f t="shared" si="747"/>
        <v>IBG</v>
      </c>
      <c r="G1837" t="str">
        <f t="shared" si="758"/>
        <v>Refund COSHARE 10</v>
      </c>
      <c r="H1837" s="2">
        <v>1252</v>
      </c>
      <c r="I1837" t="str">
        <f>"SARFINA BINTI DAUD"</f>
        <v>SARFINA BINTI DAUD</v>
      </c>
      <c r="J1837" t="str">
        <f t="shared" si="761"/>
        <v>MAYBANK / MAYBANK ISLAMIC</v>
      </c>
      <c r="K1837" t="str">
        <f>"160018599455"</f>
        <v>160018599455</v>
      </c>
      <c r="L1837" t="str">
        <f t="shared" si="764"/>
        <v>04-08-2020</v>
      </c>
      <c r="M1837" t="str">
        <f t="shared" si="764"/>
        <v>04-08-2020</v>
      </c>
      <c r="N1837" t="str">
        <f t="shared" si="748"/>
        <v>001105018356</v>
      </c>
      <c r="O1837" t="str">
        <f t="shared" si="749"/>
        <v>MYR</v>
      </c>
      <c r="P1837" t="str">
        <f t="shared" si="765"/>
        <v>NIL</v>
      </c>
      <c r="Q1837" t="str">
        <f t="shared" si="765"/>
        <v>NIL</v>
      </c>
      <c r="R1837" t="str">
        <f t="shared" si="750"/>
        <v>Accepted</v>
      </c>
      <c r="S1837" t="str">
        <f t="shared" si="751"/>
        <v>Approved</v>
      </c>
      <c r="T1837" t="str">
        <f t="shared" si="752"/>
        <v>10.20.8.188</v>
      </c>
      <c r="U1837" t="str">
        <f t="shared" si="753"/>
        <v>AZRAD UMAR BIN SHAARI</v>
      </c>
      <c r="V1837" t="str">
        <f t="shared" si="754"/>
        <v>FARHANA BINTI MUSTAPA</v>
      </c>
      <c r="W1837" t="str">
        <f t="shared" si="755"/>
        <v>04-08-2020</v>
      </c>
      <c r="X1837" t="str">
        <f t="shared" si="756"/>
        <v>RAZIMAH ANSAR AHMAD</v>
      </c>
      <c r="Y1837" t="str">
        <f t="shared" si="757"/>
        <v>04-08-2020</v>
      </c>
      <c r="Z1837" t="str">
        <f>"COS10200804 7317"</f>
        <v>COS10200804 7317</v>
      </c>
    </row>
    <row r="1838" spans="1:26" x14ac:dyDescent="0.25">
      <c r="A1838" t="str">
        <f t="shared" si="762"/>
        <v>04-08-2020 01:06:46</v>
      </c>
      <c r="B1838" t="str">
        <f>"0000809115"</f>
        <v>0000809115</v>
      </c>
      <c r="C1838" t="str">
        <f t="shared" si="763"/>
        <v>0000808999</v>
      </c>
      <c r="D1838" t="str">
        <f t="shared" si="745"/>
        <v>73185</v>
      </c>
      <c r="E1838" t="str">
        <f t="shared" si="746"/>
        <v>KFH-OPERATIONS DEPARTMENT</v>
      </c>
      <c r="F1838" t="str">
        <f t="shared" si="747"/>
        <v>IBG</v>
      </c>
      <c r="G1838" t="str">
        <f t="shared" si="758"/>
        <v>Refund COSHARE 10</v>
      </c>
      <c r="H1838" s="2">
        <v>142.75</v>
      </c>
      <c r="I1838" t="str">
        <f>"SARAVANAN AL GANASAN"</f>
        <v>SARAVANAN AL GANASAN</v>
      </c>
      <c r="J1838" t="str">
        <f t="shared" si="761"/>
        <v>MAYBANK / MAYBANK ISLAMIC</v>
      </c>
      <c r="K1838" t="str">
        <f>"107125465224"</f>
        <v>107125465224</v>
      </c>
      <c r="L1838" t="str">
        <f t="shared" si="764"/>
        <v>04-08-2020</v>
      </c>
      <c r="M1838" t="str">
        <f t="shared" si="764"/>
        <v>04-08-2020</v>
      </c>
      <c r="N1838" t="str">
        <f t="shared" si="748"/>
        <v>001105018356</v>
      </c>
      <c r="O1838" t="str">
        <f t="shared" si="749"/>
        <v>MYR</v>
      </c>
      <c r="P1838" t="str">
        <f t="shared" si="765"/>
        <v>NIL</v>
      </c>
      <c r="Q1838" t="str">
        <f t="shared" si="765"/>
        <v>NIL</v>
      </c>
      <c r="R1838" t="str">
        <f t="shared" si="750"/>
        <v>Accepted</v>
      </c>
      <c r="S1838" t="str">
        <f t="shared" si="751"/>
        <v>Approved</v>
      </c>
      <c r="T1838" t="str">
        <f t="shared" si="752"/>
        <v>10.20.8.188</v>
      </c>
      <c r="U1838" t="str">
        <f t="shared" si="753"/>
        <v>AZRAD UMAR BIN SHAARI</v>
      </c>
      <c r="V1838" t="str">
        <f t="shared" si="754"/>
        <v>FARHANA BINTI MUSTAPA</v>
      </c>
      <c r="W1838" t="str">
        <f t="shared" si="755"/>
        <v>04-08-2020</v>
      </c>
      <c r="X1838" t="str">
        <f t="shared" si="756"/>
        <v>RAZIMAH ANSAR AHMAD</v>
      </c>
      <c r="Y1838" t="str">
        <f t="shared" si="757"/>
        <v>04-08-2020</v>
      </c>
      <c r="Z1838" t="str">
        <f>"COS10200804 7316"</f>
        <v>COS10200804 7316</v>
      </c>
    </row>
    <row r="1839" spans="1:26" x14ac:dyDescent="0.25">
      <c r="A1839" t="str">
        <f t="shared" si="762"/>
        <v>04-08-2020 01:06:46</v>
      </c>
      <c r="B1839" t="str">
        <f>"0000809114"</f>
        <v>0000809114</v>
      </c>
      <c r="C1839" t="str">
        <f t="shared" si="763"/>
        <v>0000808999</v>
      </c>
      <c r="D1839" t="str">
        <f t="shared" si="745"/>
        <v>73185</v>
      </c>
      <c r="E1839" t="str">
        <f t="shared" si="746"/>
        <v>KFH-OPERATIONS DEPARTMENT</v>
      </c>
      <c r="F1839" t="str">
        <f t="shared" si="747"/>
        <v>IBG</v>
      </c>
      <c r="G1839" t="str">
        <f t="shared" si="758"/>
        <v>Refund COSHARE 10</v>
      </c>
      <c r="H1839" s="2">
        <v>1241.8499999999999</v>
      </c>
      <c r="I1839" t="str">
        <f>"SARAVANA KUMAR AL KUMARAVASAGAM"</f>
        <v>SARAVANA KUMAR AL KUMARAVASAGAM</v>
      </c>
      <c r="J1839" t="str">
        <f t="shared" si="761"/>
        <v>MAYBANK / MAYBANK ISLAMIC</v>
      </c>
      <c r="K1839" t="str">
        <f>"114106021427"</f>
        <v>114106021427</v>
      </c>
      <c r="L1839" t="str">
        <f t="shared" si="764"/>
        <v>04-08-2020</v>
      </c>
      <c r="M1839" t="str">
        <f t="shared" si="764"/>
        <v>04-08-2020</v>
      </c>
      <c r="N1839" t="str">
        <f t="shared" si="748"/>
        <v>001105018356</v>
      </c>
      <c r="O1839" t="str">
        <f t="shared" si="749"/>
        <v>MYR</v>
      </c>
      <c r="P1839" t="str">
        <f t="shared" si="765"/>
        <v>NIL</v>
      </c>
      <c r="Q1839" t="str">
        <f t="shared" si="765"/>
        <v>NIL</v>
      </c>
      <c r="R1839" t="str">
        <f t="shared" si="750"/>
        <v>Accepted</v>
      </c>
      <c r="S1839" t="str">
        <f t="shared" si="751"/>
        <v>Approved</v>
      </c>
      <c r="T1839" t="str">
        <f t="shared" si="752"/>
        <v>10.20.8.188</v>
      </c>
      <c r="U1839" t="str">
        <f t="shared" si="753"/>
        <v>AZRAD UMAR BIN SHAARI</v>
      </c>
      <c r="V1839" t="str">
        <f t="shared" si="754"/>
        <v>FARHANA BINTI MUSTAPA</v>
      </c>
      <c r="W1839" t="str">
        <f t="shared" si="755"/>
        <v>04-08-2020</v>
      </c>
      <c r="X1839" t="str">
        <f t="shared" si="756"/>
        <v>RAZIMAH ANSAR AHMAD</v>
      </c>
      <c r="Y1839" t="str">
        <f t="shared" si="757"/>
        <v>04-08-2020</v>
      </c>
      <c r="Z1839" t="str">
        <f>"COS10200804 7315"</f>
        <v>COS10200804 7315</v>
      </c>
    </row>
    <row r="1840" spans="1:26" x14ac:dyDescent="0.25">
      <c r="A1840" t="str">
        <f t="shared" si="762"/>
        <v>04-08-2020 01:06:46</v>
      </c>
      <c r="B1840" t="str">
        <f>"0000809113"</f>
        <v>0000809113</v>
      </c>
      <c r="C1840" t="str">
        <f t="shared" si="763"/>
        <v>0000808999</v>
      </c>
      <c r="D1840" t="str">
        <f t="shared" si="745"/>
        <v>73185</v>
      </c>
      <c r="E1840" t="str">
        <f t="shared" si="746"/>
        <v>KFH-OPERATIONS DEPARTMENT</v>
      </c>
      <c r="F1840" t="str">
        <f t="shared" si="747"/>
        <v>IBG</v>
      </c>
      <c r="G1840" t="str">
        <f t="shared" si="758"/>
        <v>Refund COSHARE 10</v>
      </c>
      <c r="H1840" s="2">
        <v>42</v>
      </c>
      <c r="I1840" t="str">
        <f>"SARASWATHY AP MANIAM"</f>
        <v>SARASWATHY AP MANIAM</v>
      </c>
      <c r="J1840" t="str">
        <f t="shared" si="761"/>
        <v>MAYBANK / MAYBANK ISLAMIC</v>
      </c>
      <c r="K1840" t="str">
        <f>"101302121387"</f>
        <v>101302121387</v>
      </c>
      <c r="L1840" t="str">
        <f t="shared" si="764"/>
        <v>04-08-2020</v>
      </c>
      <c r="M1840" t="str">
        <f t="shared" si="764"/>
        <v>04-08-2020</v>
      </c>
      <c r="N1840" t="str">
        <f t="shared" si="748"/>
        <v>001105018356</v>
      </c>
      <c r="O1840" t="str">
        <f t="shared" si="749"/>
        <v>MYR</v>
      </c>
      <c r="P1840" t="str">
        <f t="shared" si="765"/>
        <v>NIL</v>
      </c>
      <c r="Q1840" t="str">
        <f t="shared" si="765"/>
        <v>NIL</v>
      </c>
      <c r="R1840" t="str">
        <f t="shared" si="750"/>
        <v>Accepted</v>
      </c>
      <c r="S1840" t="str">
        <f t="shared" si="751"/>
        <v>Approved</v>
      </c>
      <c r="T1840" t="str">
        <f t="shared" si="752"/>
        <v>10.20.8.188</v>
      </c>
      <c r="U1840" t="str">
        <f t="shared" si="753"/>
        <v>AZRAD UMAR BIN SHAARI</v>
      </c>
      <c r="V1840" t="str">
        <f t="shared" si="754"/>
        <v>FARHANA BINTI MUSTAPA</v>
      </c>
      <c r="W1840" t="str">
        <f t="shared" si="755"/>
        <v>04-08-2020</v>
      </c>
      <c r="X1840" t="str">
        <f t="shared" si="756"/>
        <v>RAZIMAH ANSAR AHMAD</v>
      </c>
      <c r="Y1840" t="str">
        <f t="shared" si="757"/>
        <v>04-08-2020</v>
      </c>
      <c r="Z1840" t="str">
        <f>"COS10200804 7314"</f>
        <v>COS10200804 7314</v>
      </c>
    </row>
    <row r="1841" spans="1:26" x14ac:dyDescent="0.25">
      <c r="A1841" t="str">
        <f t="shared" si="762"/>
        <v>04-08-2020 01:06:46</v>
      </c>
      <c r="B1841" t="str">
        <f>"0000809112"</f>
        <v>0000809112</v>
      </c>
      <c r="C1841" t="str">
        <f t="shared" si="763"/>
        <v>0000808999</v>
      </c>
      <c r="D1841" t="str">
        <f t="shared" si="745"/>
        <v>73185</v>
      </c>
      <c r="E1841" t="str">
        <f t="shared" si="746"/>
        <v>KFH-OPERATIONS DEPARTMENT</v>
      </c>
      <c r="F1841" t="str">
        <f t="shared" si="747"/>
        <v>IBG</v>
      </c>
      <c r="G1841" t="str">
        <f t="shared" si="758"/>
        <v>Refund COSHARE 10</v>
      </c>
      <c r="H1841" s="2">
        <v>209.9</v>
      </c>
      <c r="I1841" t="str">
        <f>"SARASVATHY AP SUBRAMANIAM"</f>
        <v>SARASVATHY AP SUBRAMANIAM</v>
      </c>
      <c r="J1841" t="str">
        <f t="shared" si="761"/>
        <v>MAYBANK / MAYBANK ISLAMIC</v>
      </c>
      <c r="K1841" t="str">
        <f>"108177849227"</f>
        <v>108177849227</v>
      </c>
      <c r="L1841" t="str">
        <f t="shared" si="764"/>
        <v>04-08-2020</v>
      </c>
      <c r="M1841" t="str">
        <f t="shared" si="764"/>
        <v>04-08-2020</v>
      </c>
      <c r="N1841" t="str">
        <f t="shared" si="748"/>
        <v>001105018356</v>
      </c>
      <c r="O1841" t="str">
        <f t="shared" si="749"/>
        <v>MYR</v>
      </c>
      <c r="P1841" t="str">
        <f t="shared" si="765"/>
        <v>NIL</v>
      </c>
      <c r="Q1841" t="str">
        <f t="shared" si="765"/>
        <v>NIL</v>
      </c>
      <c r="R1841" t="str">
        <f t="shared" si="750"/>
        <v>Accepted</v>
      </c>
      <c r="S1841" t="str">
        <f t="shared" si="751"/>
        <v>Approved</v>
      </c>
      <c r="T1841" t="str">
        <f t="shared" si="752"/>
        <v>10.20.8.188</v>
      </c>
      <c r="U1841" t="str">
        <f t="shared" si="753"/>
        <v>AZRAD UMAR BIN SHAARI</v>
      </c>
      <c r="V1841" t="str">
        <f t="shared" si="754"/>
        <v>FARHANA BINTI MUSTAPA</v>
      </c>
      <c r="W1841" t="str">
        <f t="shared" si="755"/>
        <v>04-08-2020</v>
      </c>
      <c r="X1841" t="str">
        <f t="shared" si="756"/>
        <v>RAZIMAH ANSAR AHMAD</v>
      </c>
      <c r="Y1841" t="str">
        <f t="shared" si="757"/>
        <v>04-08-2020</v>
      </c>
      <c r="Z1841" t="str">
        <f>"COS10200804 7313"</f>
        <v>COS10200804 7313</v>
      </c>
    </row>
    <row r="1842" spans="1:26" x14ac:dyDescent="0.25">
      <c r="A1842" t="str">
        <f t="shared" si="762"/>
        <v>04-08-2020 01:06:46</v>
      </c>
      <c r="B1842" t="str">
        <f>"0000809111"</f>
        <v>0000809111</v>
      </c>
      <c r="C1842" t="str">
        <f t="shared" si="763"/>
        <v>0000808999</v>
      </c>
      <c r="D1842" t="str">
        <f t="shared" si="745"/>
        <v>73185</v>
      </c>
      <c r="E1842" t="str">
        <f t="shared" si="746"/>
        <v>KFH-OPERATIONS DEPARTMENT</v>
      </c>
      <c r="F1842" t="str">
        <f t="shared" si="747"/>
        <v>IBG</v>
      </c>
      <c r="G1842" t="str">
        <f t="shared" si="758"/>
        <v>Refund COSHARE 10</v>
      </c>
      <c r="H1842" s="2">
        <v>134.35</v>
      </c>
      <c r="I1842" t="str">
        <f>"SAPURA  SHALIEZA BINTI HASHIM"</f>
        <v>SAPURA  SHALIEZA BINTI HASHIM</v>
      </c>
      <c r="J1842" t="str">
        <f t="shared" si="761"/>
        <v>MAYBANK / MAYBANK ISLAMIC</v>
      </c>
      <c r="K1842" t="str">
        <f>"152116072987"</f>
        <v>152116072987</v>
      </c>
      <c r="L1842" t="str">
        <f t="shared" si="764"/>
        <v>04-08-2020</v>
      </c>
      <c r="M1842" t="str">
        <f t="shared" si="764"/>
        <v>04-08-2020</v>
      </c>
      <c r="N1842" t="str">
        <f t="shared" si="748"/>
        <v>001105018356</v>
      </c>
      <c r="O1842" t="str">
        <f t="shared" si="749"/>
        <v>MYR</v>
      </c>
      <c r="P1842" t="str">
        <f t="shared" si="765"/>
        <v>NIL</v>
      </c>
      <c r="Q1842" t="str">
        <f t="shared" si="765"/>
        <v>NIL</v>
      </c>
      <c r="R1842" t="str">
        <f t="shared" si="750"/>
        <v>Accepted</v>
      </c>
      <c r="S1842" t="str">
        <f t="shared" si="751"/>
        <v>Approved</v>
      </c>
      <c r="T1842" t="str">
        <f t="shared" si="752"/>
        <v>10.20.8.188</v>
      </c>
      <c r="U1842" t="str">
        <f t="shared" si="753"/>
        <v>AZRAD UMAR BIN SHAARI</v>
      </c>
      <c r="V1842" t="str">
        <f t="shared" si="754"/>
        <v>FARHANA BINTI MUSTAPA</v>
      </c>
      <c r="W1842" t="str">
        <f t="shared" si="755"/>
        <v>04-08-2020</v>
      </c>
      <c r="X1842" t="str">
        <f t="shared" si="756"/>
        <v>RAZIMAH ANSAR AHMAD</v>
      </c>
      <c r="Y1842" t="str">
        <f t="shared" si="757"/>
        <v>04-08-2020</v>
      </c>
      <c r="Z1842" t="str">
        <f>"COS10200804 7312"</f>
        <v>COS10200804 7312</v>
      </c>
    </row>
    <row r="1843" spans="1:26" x14ac:dyDescent="0.25">
      <c r="A1843" t="str">
        <f t="shared" si="762"/>
        <v>04-08-2020 01:06:46</v>
      </c>
      <c r="B1843" t="str">
        <f>"0000809110"</f>
        <v>0000809110</v>
      </c>
      <c r="C1843" t="str">
        <f t="shared" si="763"/>
        <v>0000808999</v>
      </c>
      <c r="D1843" t="str">
        <f t="shared" si="745"/>
        <v>73185</v>
      </c>
      <c r="E1843" t="str">
        <f t="shared" si="746"/>
        <v>KFH-OPERATIONS DEPARTMENT</v>
      </c>
      <c r="F1843" t="str">
        <f t="shared" si="747"/>
        <v>IBG</v>
      </c>
      <c r="G1843" t="str">
        <f t="shared" si="758"/>
        <v>Refund COSHARE 10</v>
      </c>
      <c r="H1843" s="2">
        <v>387</v>
      </c>
      <c r="I1843" t="str">
        <f>"SAPPARI BIN RABBIALIH"</f>
        <v>SAPPARI BIN RABBIALIH</v>
      </c>
      <c r="J1843" t="str">
        <f t="shared" si="761"/>
        <v>MAYBANK / MAYBANK ISLAMIC</v>
      </c>
      <c r="K1843" t="str">
        <f>"112277014182"</f>
        <v>112277014182</v>
      </c>
      <c r="L1843" t="str">
        <f t="shared" si="764"/>
        <v>04-08-2020</v>
      </c>
      <c r="M1843" t="str">
        <f t="shared" si="764"/>
        <v>04-08-2020</v>
      </c>
      <c r="N1843" t="str">
        <f t="shared" si="748"/>
        <v>001105018356</v>
      </c>
      <c r="O1843" t="str">
        <f t="shared" si="749"/>
        <v>MYR</v>
      </c>
      <c r="P1843" t="str">
        <f t="shared" si="765"/>
        <v>NIL</v>
      </c>
      <c r="Q1843" t="str">
        <f t="shared" si="765"/>
        <v>NIL</v>
      </c>
      <c r="R1843" t="str">
        <f t="shared" si="750"/>
        <v>Accepted</v>
      </c>
      <c r="S1843" t="str">
        <f t="shared" si="751"/>
        <v>Approved</v>
      </c>
      <c r="T1843" t="str">
        <f t="shared" si="752"/>
        <v>10.20.8.188</v>
      </c>
      <c r="U1843" t="str">
        <f t="shared" si="753"/>
        <v>AZRAD UMAR BIN SHAARI</v>
      </c>
      <c r="V1843" t="str">
        <f t="shared" si="754"/>
        <v>FARHANA BINTI MUSTAPA</v>
      </c>
      <c r="W1843" t="str">
        <f t="shared" si="755"/>
        <v>04-08-2020</v>
      </c>
      <c r="X1843" t="str">
        <f t="shared" si="756"/>
        <v>RAZIMAH ANSAR AHMAD</v>
      </c>
      <c r="Y1843" t="str">
        <f t="shared" si="757"/>
        <v>04-08-2020</v>
      </c>
      <c r="Z1843" t="str">
        <f>"COS10200804 7311"</f>
        <v>COS10200804 7311</v>
      </c>
    </row>
    <row r="1844" spans="1:26" x14ac:dyDescent="0.25">
      <c r="A1844" t="str">
        <f t="shared" si="762"/>
        <v>04-08-2020 01:06:46</v>
      </c>
      <c r="B1844" t="str">
        <f>"0000809109"</f>
        <v>0000809109</v>
      </c>
      <c r="C1844" t="str">
        <f t="shared" si="763"/>
        <v>0000808999</v>
      </c>
      <c r="D1844" t="str">
        <f t="shared" si="745"/>
        <v>73185</v>
      </c>
      <c r="E1844" t="str">
        <f t="shared" si="746"/>
        <v>KFH-OPERATIONS DEPARTMENT</v>
      </c>
      <c r="F1844" t="str">
        <f t="shared" si="747"/>
        <v>IBG</v>
      </c>
      <c r="G1844" t="str">
        <f t="shared" si="758"/>
        <v>Refund COSHARE 10</v>
      </c>
      <c r="H1844" s="2">
        <v>419.75</v>
      </c>
      <c r="I1844" t="str">
        <f>"SAPINAS BINTI SAINI"</f>
        <v>SAPINAS BINTI SAINI</v>
      </c>
      <c r="J1844" t="str">
        <f t="shared" si="761"/>
        <v>MAYBANK / MAYBANK ISLAMIC</v>
      </c>
      <c r="K1844" t="str">
        <f>"154026416106"</f>
        <v>154026416106</v>
      </c>
      <c r="L1844" t="str">
        <f t="shared" si="764"/>
        <v>04-08-2020</v>
      </c>
      <c r="M1844" t="str">
        <f t="shared" si="764"/>
        <v>04-08-2020</v>
      </c>
      <c r="N1844" t="str">
        <f t="shared" si="748"/>
        <v>001105018356</v>
      </c>
      <c r="O1844" t="str">
        <f t="shared" si="749"/>
        <v>MYR</v>
      </c>
      <c r="P1844" t="str">
        <f t="shared" si="765"/>
        <v>NIL</v>
      </c>
      <c r="Q1844" t="str">
        <f t="shared" si="765"/>
        <v>NIL</v>
      </c>
      <c r="R1844" t="str">
        <f t="shared" si="750"/>
        <v>Accepted</v>
      </c>
      <c r="S1844" t="str">
        <f t="shared" si="751"/>
        <v>Approved</v>
      </c>
      <c r="T1844" t="str">
        <f t="shared" si="752"/>
        <v>10.20.8.188</v>
      </c>
      <c r="U1844" t="str">
        <f t="shared" si="753"/>
        <v>AZRAD UMAR BIN SHAARI</v>
      </c>
      <c r="V1844" t="str">
        <f t="shared" si="754"/>
        <v>FARHANA BINTI MUSTAPA</v>
      </c>
      <c r="W1844" t="str">
        <f t="shared" si="755"/>
        <v>04-08-2020</v>
      </c>
      <c r="X1844" t="str">
        <f t="shared" si="756"/>
        <v>RAZIMAH ANSAR AHMAD</v>
      </c>
      <c r="Y1844" t="str">
        <f t="shared" si="757"/>
        <v>04-08-2020</v>
      </c>
      <c r="Z1844" t="str">
        <f>"COS10200804 7310"</f>
        <v>COS10200804 7310</v>
      </c>
    </row>
    <row r="1845" spans="1:26" x14ac:dyDescent="0.25">
      <c r="A1845" t="str">
        <f t="shared" si="762"/>
        <v>04-08-2020 01:06:46</v>
      </c>
      <c r="B1845" t="str">
        <f>"0000809108"</f>
        <v>0000809108</v>
      </c>
      <c r="C1845" t="str">
        <f t="shared" si="763"/>
        <v>0000808999</v>
      </c>
      <c r="D1845" t="str">
        <f t="shared" si="745"/>
        <v>73185</v>
      </c>
      <c r="E1845" t="str">
        <f t="shared" si="746"/>
        <v>KFH-OPERATIONS DEPARTMENT</v>
      </c>
      <c r="F1845" t="str">
        <f t="shared" si="747"/>
        <v>IBG</v>
      </c>
      <c r="G1845" t="str">
        <f t="shared" si="758"/>
        <v>Refund COSHARE 10</v>
      </c>
      <c r="H1845" s="2">
        <v>381.1</v>
      </c>
      <c r="I1845" t="str">
        <f>"SAODAH BINTI ISMAIL"</f>
        <v>SAODAH BINTI ISMAIL</v>
      </c>
      <c r="J1845" t="str">
        <f t="shared" si="761"/>
        <v>MAYBANK / MAYBANK ISLAMIC</v>
      </c>
      <c r="K1845" t="str">
        <f>"114209456643"</f>
        <v>114209456643</v>
      </c>
      <c r="L1845" t="str">
        <f t="shared" si="764"/>
        <v>04-08-2020</v>
      </c>
      <c r="M1845" t="str">
        <f t="shared" si="764"/>
        <v>04-08-2020</v>
      </c>
      <c r="N1845" t="str">
        <f t="shared" si="748"/>
        <v>001105018356</v>
      </c>
      <c r="O1845" t="str">
        <f t="shared" si="749"/>
        <v>MYR</v>
      </c>
      <c r="P1845" t="str">
        <f t="shared" si="765"/>
        <v>NIL</v>
      </c>
      <c r="Q1845" t="str">
        <f t="shared" si="765"/>
        <v>NIL</v>
      </c>
      <c r="R1845" t="str">
        <f t="shared" si="750"/>
        <v>Accepted</v>
      </c>
      <c r="S1845" t="str">
        <f t="shared" si="751"/>
        <v>Approved</v>
      </c>
      <c r="T1845" t="str">
        <f t="shared" si="752"/>
        <v>10.20.8.188</v>
      </c>
      <c r="U1845" t="str">
        <f t="shared" si="753"/>
        <v>AZRAD UMAR BIN SHAARI</v>
      </c>
      <c r="V1845" t="str">
        <f t="shared" si="754"/>
        <v>FARHANA BINTI MUSTAPA</v>
      </c>
      <c r="W1845" t="str">
        <f t="shared" si="755"/>
        <v>04-08-2020</v>
      </c>
      <c r="X1845" t="str">
        <f t="shared" si="756"/>
        <v>RAZIMAH ANSAR AHMAD</v>
      </c>
      <c r="Y1845" t="str">
        <f t="shared" si="757"/>
        <v>04-08-2020</v>
      </c>
      <c r="Z1845" t="str">
        <f>"COS10200804 7309"</f>
        <v>COS10200804 7309</v>
      </c>
    </row>
    <row r="1846" spans="1:26" x14ac:dyDescent="0.25">
      <c r="A1846" t="str">
        <f t="shared" si="762"/>
        <v>04-08-2020 01:06:46</v>
      </c>
      <c r="B1846" t="str">
        <f>"0000809107"</f>
        <v>0000809107</v>
      </c>
      <c r="C1846" t="str">
        <f t="shared" si="763"/>
        <v>0000808999</v>
      </c>
      <c r="D1846" t="str">
        <f t="shared" si="745"/>
        <v>73185</v>
      </c>
      <c r="E1846" t="str">
        <f t="shared" si="746"/>
        <v>KFH-OPERATIONS DEPARTMENT</v>
      </c>
      <c r="F1846" t="str">
        <f t="shared" si="747"/>
        <v>IBG</v>
      </c>
      <c r="G1846" t="str">
        <f t="shared" si="758"/>
        <v>Refund COSHARE 10</v>
      </c>
      <c r="H1846" s="2">
        <v>710</v>
      </c>
      <c r="I1846" t="str">
        <f>"SANTHANA KUMAR AL RAMASAMY"</f>
        <v>SANTHANA KUMAR AL RAMASAMY</v>
      </c>
      <c r="J1846" t="str">
        <f t="shared" si="761"/>
        <v>MAYBANK / MAYBANK ISLAMIC</v>
      </c>
      <c r="K1846" t="str">
        <f>"108011807766"</f>
        <v>108011807766</v>
      </c>
      <c r="L1846" t="str">
        <f t="shared" si="764"/>
        <v>04-08-2020</v>
      </c>
      <c r="M1846" t="str">
        <f t="shared" si="764"/>
        <v>04-08-2020</v>
      </c>
      <c r="N1846" t="str">
        <f t="shared" si="748"/>
        <v>001105018356</v>
      </c>
      <c r="O1846" t="str">
        <f t="shared" si="749"/>
        <v>MYR</v>
      </c>
      <c r="P1846" t="str">
        <f t="shared" si="765"/>
        <v>NIL</v>
      </c>
      <c r="Q1846" t="str">
        <f t="shared" si="765"/>
        <v>NIL</v>
      </c>
      <c r="R1846" t="str">
        <f t="shared" si="750"/>
        <v>Accepted</v>
      </c>
      <c r="S1846" t="str">
        <f t="shared" si="751"/>
        <v>Approved</v>
      </c>
      <c r="T1846" t="str">
        <f t="shared" si="752"/>
        <v>10.20.8.188</v>
      </c>
      <c r="U1846" t="str">
        <f t="shared" si="753"/>
        <v>AZRAD UMAR BIN SHAARI</v>
      </c>
      <c r="V1846" t="str">
        <f t="shared" si="754"/>
        <v>FARHANA BINTI MUSTAPA</v>
      </c>
      <c r="W1846" t="str">
        <f t="shared" si="755"/>
        <v>04-08-2020</v>
      </c>
      <c r="X1846" t="str">
        <f t="shared" si="756"/>
        <v>RAZIMAH ANSAR AHMAD</v>
      </c>
      <c r="Y1846" t="str">
        <f t="shared" si="757"/>
        <v>04-08-2020</v>
      </c>
      <c r="Z1846" t="str">
        <f>"COS10200804 7308"</f>
        <v>COS10200804 7308</v>
      </c>
    </row>
    <row r="1847" spans="1:26" x14ac:dyDescent="0.25">
      <c r="A1847" t="str">
        <f t="shared" si="762"/>
        <v>04-08-2020 01:06:46</v>
      </c>
      <c r="B1847" t="str">
        <f>"0000809106"</f>
        <v>0000809106</v>
      </c>
      <c r="C1847" t="str">
        <f t="shared" si="763"/>
        <v>0000808999</v>
      </c>
      <c r="D1847" t="str">
        <f t="shared" si="745"/>
        <v>73185</v>
      </c>
      <c r="E1847" t="str">
        <f t="shared" si="746"/>
        <v>KFH-OPERATIONS DEPARTMENT</v>
      </c>
      <c r="F1847" t="str">
        <f t="shared" si="747"/>
        <v>IBG</v>
      </c>
      <c r="G1847" t="str">
        <f t="shared" si="758"/>
        <v>Refund COSHARE 10</v>
      </c>
      <c r="H1847" s="2">
        <v>251.85</v>
      </c>
      <c r="I1847" t="str">
        <f>"SANIZA BINTI ABDULLAH SANI"</f>
        <v>SANIZA BINTI ABDULLAH SANI</v>
      </c>
      <c r="J1847" t="str">
        <f t="shared" si="761"/>
        <v>MAYBANK / MAYBANK ISLAMIC</v>
      </c>
      <c r="K1847" t="str">
        <f>"112102036541"</f>
        <v>112102036541</v>
      </c>
      <c r="L1847" t="str">
        <f t="shared" ref="L1847:M1866" si="766">"04-08-2020"</f>
        <v>04-08-2020</v>
      </c>
      <c r="M1847" t="str">
        <f t="shared" si="766"/>
        <v>04-08-2020</v>
      </c>
      <c r="N1847" t="str">
        <f t="shared" si="748"/>
        <v>001105018356</v>
      </c>
      <c r="O1847" t="str">
        <f t="shared" si="749"/>
        <v>MYR</v>
      </c>
      <c r="P1847" t="str">
        <f t="shared" ref="P1847:Q1866" si="767">"NIL"</f>
        <v>NIL</v>
      </c>
      <c r="Q1847" t="str">
        <f t="shared" si="767"/>
        <v>NIL</v>
      </c>
      <c r="R1847" t="str">
        <f t="shared" si="750"/>
        <v>Accepted</v>
      </c>
      <c r="S1847" t="str">
        <f t="shared" si="751"/>
        <v>Approved</v>
      </c>
      <c r="T1847" t="str">
        <f t="shared" si="752"/>
        <v>10.20.8.188</v>
      </c>
      <c r="U1847" t="str">
        <f t="shared" si="753"/>
        <v>AZRAD UMAR BIN SHAARI</v>
      </c>
      <c r="V1847" t="str">
        <f t="shared" si="754"/>
        <v>FARHANA BINTI MUSTAPA</v>
      </c>
      <c r="W1847" t="str">
        <f t="shared" si="755"/>
        <v>04-08-2020</v>
      </c>
      <c r="X1847" t="str">
        <f t="shared" si="756"/>
        <v>RAZIMAH ANSAR AHMAD</v>
      </c>
      <c r="Y1847" t="str">
        <f t="shared" si="757"/>
        <v>04-08-2020</v>
      </c>
      <c r="Z1847" t="str">
        <f>"COS10200804 7307"</f>
        <v>COS10200804 7307</v>
      </c>
    </row>
    <row r="1848" spans="1:26" x14ac:dyDescent="0.25">
      <c r="A1848" t="str">
        <f t="shared" si="762"/>
        <v>04-08-2020 01:06:46</v>
      </c>
      <c r="B1848" t="str">
        <f>"0000809105"</f>
        <v>0000809105</v>
      </c>
      <c r="C1848" t="str">
        <f t="shared" si="763"/>
        <v>0000808999</v>
      </c>
      <c r="D1848" t="str">
        <f t="shared" si="745"/>
        <v>73185</v>
      </c>
      <c r="E1848" t="str">
        <f t="shared" si="746"/>
        <v>KFH-OPERATIONS DEPARTMENT</v>
      </c>
      <c r="F1848" t="str">
        <f t="shared" si="747"/>
        <v>IBG</v>
      </c>
      <c r="G1848" t="str">
        <f t="shared" si="758"/>
        <v>Refund COSHARE 10</v>
      </c>
      <c r="H1848" s="2">
        <v>772.35</v>
      </c>
      <c r="I1848" t="str">
        <f>"SANISAH BINTI HASHIM"</f>
        <v>SANISAH BINTI HASHIM</v>
      </c>
      <c r="J1848" t="str">
        <f t="shared" si="761"/>
        <v>MAYBANK / MAYBANK ISLAMIC</v>
      </c>
      <c r="K1848" t="str">
        <f>"162254709521"</f>
        <v>162254709521</v>
      </c>
      <c r="L1848" t="str">
        <f t="shared" si="766"/>
        <v>04-08-2020</v>
      </c>
      <c r="M1848" t="str">
        <f t="shared" si="766"/>
        <v>04-08-2020</v>
      </c>
      <c r="N1848" t="str">
        <f t="shared" si="748"/>
        <v>001105018356</v>
      </c>
      <c r="O1848" t="str">
        <f t="shared" si="749"/>
        <v>MYR</v>
      </c>
      <c r="P1848" t="str">
        <f t="shared" si="767"/>
        <v>NIL</v>
      </c>
      <c r="Q1848" t="str">
        <f t="shared" si="767"/>
        <v>NIL</v>
      </c>
      <c r="R1848" t="str">
        <f t="shared" si="750"/>
        <v>Accepted</v>
      </c>
      <c r="S1848" t="str">
        <f t="shared" si="751"/>
        <v>Approved</v>
      </c>
      <c r="T1848" t="str">
        <f t="shared" si="752"/>
        <v>10.20.8.188</v>
      </c>
      <c r="U1848" t="str">
        <f t="shared" si="753"/>
        <v>AZRAD UMAR BIN SHAARI</v>
      </c>
      <c r="V1848" t="str">
        <f t="shared" si="754"/>
        <v>FARHANA BINTI MUSTAPA</v>
      </c>
      <c r="W1848" t="str">
        <f t="shared" si="755"/>
        <v>04-08-2020</v>
      </c>
      <c r="X1848" t="str">
        <f t="shared" si="756"/>
        <v>RAZIMAH ANSAR AHMAD</v>
      </c>
      <c r="Y1848" t="str">
        <f t="shared" si="757"/>
        <v>04-08-2020</v>
      </c>
      <c r="Z1848" t="str">
        <f>"COS10200804 7306"</f>
        <v>COS10200804 7306</v>
      </c>
    </row>
    <row r="1849" spans="1:26" x14ac:dyDescent="0.25">
      <c r="A1849" t="str">
        <f t="shared" si="762"/>
        <v>04-08-2020 01:06:46</v>
      </c>
      <c r="B1849" t="str">
        <f>"0000809104"</f>
        <v>0000809104</v>
      </c>
      <c r="C1849" t="str">
        <f t="shared" si="763"/>
        <v>0000808999</v>
      </c>
      <c r="D1849" t="str">
        <f t="shared" si="745"/>
        <v>73185</v>
      </c>
      <c r="E1849" t="str">
        <f t="shared" si="746"/>
        <v>KFH-OPERATIONS DEPARTMENT</v>
      </c>
      <c r="F1849" t="str">
        <f t="shared" si="747"/>
        <v>IBG</v>
      </c>
      <c r="G1849" t="str">
        <f t="shared" si="758"/>
        <v>Refund COSHARE 10</v>
      </c>
      <c r="H1849" s="2">
        <v>125.95</v>
      </c>
      <c r="I1849" t="str">
        <f>"SANISA BINTI ARIB"</f>
        <v>SANISA BINTI ARIB</v>
      </c>
      <c r="J1849" t="str">
        <f t="shared" si="761"/>
        <v>MAYBANK / MAYBANK ISLAMIC</v>
      </c>
      <c r="K1849" t="str">
        <f>"110078142548"</f>
        <v>110078142548</v>
      </c>
      <c r="L1849" t="str">
        <f t="shared" si="766"/>
        <v>04-08-2020</v>
      </c>
      <c r="M1849" t="str">
        <f t="shared" si="766"/>
        <v>04-08-2020</v>
      </c>
      <c r="N1849" t="str">
        <f t="shared" si="748"/>
        <v>001105018356</v>
      </c>
      <c r="O1849" t="str">
        <f t="shared" si="749"/>
        <v>MYR</v>
      </c>
      <c r="P1849" t="str">
        <f t="shared" si="767"/>
        <v>NIL</v>
      </c>
      <c r="Q1849" t="str">
        <f t="shared" si="767"/>
        <v>NIL</v>
      </c>
      <c r="R1849" t="str">
        <f t="shared" si="750"/>
        <v>Accepted</v>
      </c>
      <c r="S1849" t="str">
        <f t="shared" si="751"/>
        <v>Approved</v>
      </c>
      <c r="T1849" t="str">
        <f t="shared" si="752"/>
        <v>10.20.8.188</v>
      </c>
      <c r="U1849" t="str">
        <f t="shared" si="753"/>
        <v>AZRAD UMAR BIN SHAARI</v>
      </c>
      <c r="V1849" t="str">
        <f t="shared" si="754"/>
        <v>FARHANA BINTI MUSTAPA</v>
      </c>
      <c r="W1849" t="str">
        <f t="shared" si="755"/>
        <v>04-08-2020</v>
      </c>
      <c r="X1849" t="str">
        <f t="shared" si="756"/>
        <v>RAZIMAH ANSAR AHMAD</v>
      </c>
      <c r="Y1849" t="str">
        <f t="shared" si="757"/>
        <v>04-08-2020</v>
      </c>
      <c r="Z1849" t="str">
        <f>"COS10200804 7305"</f>
        <v>COS10200804 7305</v>
      </c>
    </row>
    <row r="1850" spans="1:26" x14ac:dyDescent="0.25">
      <c r="A1850" t="str">
        <f t="shared" ref="A1850:A1881" si="768">"04-08-2020 01:06:46"</f>
        <v>04-08-2020 01:06:46</v>
      </c>
      <c r="B1850" t="str">
        <f>"0000809103"</f>
        <v>0000809103</v>
      </c>
      <c r="C1850" t="str">
        <f t="shared" ref="C1850:C1881" si="769">"0000808999"</f>
        <v>0000808999</v>
      </c>
      <c r="D1850" t="str">
        <f t="shared" si="745"/>
        <v>73185</v>
      </c>
      <c r="E1850" t="str">
        <f t="shared" si="746"/>
        <v>KFH-OPERATIONS DEPARTMENT</v>
      </c>
      <c r="F1850" t="str">
        <f t="shared" si="747"/>
        <v>IBG</v>
      </c>
      <c r="G1850" t="str">
        <f t="shared" si="758"/>
        <v>Refund COSHARE 10</v>
      </c>
      <c r="H1850" s="2">
        <v>152</v>
      </c>
      <c r="I1850" t="str">
        <f>"SANIAH BINTI DAUD"</f>
        <v>SANIAH BINTI DAUD</v>
      </c>
      <c r="J1850" t="str">
        <f t="shared" si="761"/>
        <v>MAYBANK / MAYBANK ISLAMIC</v>
      </c>
      <c r="K1850" t="str">
        <f>"164548043715"</f>
        <v>164548043715</v>
      </c>
      <c r="L1850" t="str">
        <f t="shared" si="766"/>
        <v>04-08-2020</v>
      </c>
      <c r="M1850" t="str">
        <f t="shared" si="766"/>
        <v>04-08-2020</v>
      </c>
      <c r="N1850" t="str">
        <f t="shared" si="748"/>
        <v>001105018356</v>
      </c>
      <c r="O1850" t="str">
        <f t="shared" si="749"/>
        <v>MYR</v>
      </c>
      <c r="P1850" t="str">
        <f t="shared" si="767"/>
        <v>NIL</v>
      </c>
      <c r="Q1850" t="str">
        <f t="shared" si="767"/>
        <v>NIL</v>
      </c>
      <c r="R1850" t="str">
        <f t="shared" si="750"/>
        <v>Accepted</v>
      </c>
      <c r="S1850" t="str">
        <f t="shared" si="751"/>
        <v>Approved</v>
      </c>
      <c r="T1850" t="str">
        <f t="shared" si="752"/>
        <v>10.20.8.188</v>
      </c>
      <c r="U1850" t="str">
        <f t="shared" si="753"/>
        <v>AZRAD UMAR BIN SHAARI</v>
      </c>
      <c r="V1850" t="str">
        <f t="shared" si="754"/>
        <v>FARHANA BINTI MUSTAPA</v>
      </c>
      <c r="W1850" t="str">
        <f t="shared" si="755"/>
        <v>04-08-2020</v>
      </c>
      <c r="X1850" t="str">
        <f t="shared" si="756"/>
        <v>RAZIMAH ANSAR AHMAD</v>
      </c>
      <c r="Y1850" t="str">
        <f t="shared" si="757"/>
        <v>04-08-2020</v>
      </c>
      <c r="Z1850" t="str">
        <f>"COS10200804 7304"</f>
        <v>COS10200804 7304</v>
      </c>
    </row>
    <row r="1851" spans="1:26" x14ac:dyDescent="0.25">
      <c r="A1851" t="str">
        <f t="shared" si="768"/>
        <v>04-08-2020 01:06:46</v>
      </c>
      <c r="B1851" t="str">
        <f>"0000809102"</f>
        <v>0000809102</v>
      </c>
      <c r="C1851" t="str">
        <f t="shared" si="769"/>
        <v>0000808999</v>
      </c>
      <c r="D1851" t="str">
        <f t="shared" si="745"/>
        <v>73185</v>
      </c>
      <c r="E1851" t="str">
        <f t="shared" si="746"/>
        <v>KFH-OPERATIONS DEPARTMENT</v>
      </c>
      <c r="F1851" t="str">
        <f t="shared" si="747"/>
        <v>IBG</v>
      </c>
      <c r="G1851" t="str">
        <f t="shared" si="758"/>
        <v>Refund COSHARE 10</v>
      </c>
      <c r="H1851" s="2">
        <v>1224.0999999999999</v>
      </c>
      <c r="I1851" t="str">
        <f>"SANIAH BINTI ABDUL RAHIM"</f>
        <v>SANIAH BINTI ABDUL RAHIM</v>
      </c>
      <c r="J1851" t="str">
        <f t="shared" si="761"/>
        <v>MAYBANK / MAYBANK ISLAMIC</v>
      </c>
      <c r="K1851" t="str">
        <f>"164472287578"</f>
        <v>164472287578</v>
      </c>
      <c r="L1851" t="str">
        <f t="shared" si="766"/>
        <v>04-08-2020</v>
      </c>
      <c r="M1851" t="str">
        <f t="shared" si="766"/>
        <v>04-08-2020</v>
      </c>
      <c r="N1851" t="str">
        <f t="shared" si="748"/>
        <v>001105018356</v>
      </c>
      <c r="O1851" t="str">
        <f t="shared" si="749"/>
        <v>MYR</v>
      </c>
      <c r="P1851" t="str">
        <f t="shared" si="767"/>
        <v>NIL</v>
      </c>
      <c r="Q1851" t="str">
        <f t="shared" si="767"/>
        <v>NIL</v>
      </c>
      <c r="R1851" t="str">
        <f t="shared" si="750"/>
        <v>Accepted</v>
      </c>
      <c r="S1851" t="str">
        <f t="shared" si="751"/>
        <v>Approved</v>
      </c>
      <c r="T1851" t="str">
        <f t="shared" si="752"/>
        <v>10.20.8.188</v>
      </c>
      <c r="U1851" t="str">
        <f t="shared" si="753"/>
        <v>AZRAD UMAR BIN SHAARI</v>
      </c>
      <c r="V1851" t="str">
        <f t="shared" si="754"/>
        <v>FARHANA BINTI MUSTAPA</v>
      </c>
      <c r="W1851" t="str">
        <f t="shared" si="755"/>
        <v>04-08-2020</v>
      </c>
      <c r="X1851" t="str">
        <f t="shared" si="756"/>
        <v>RAZIMAH ANSAR AHMAD</v>
      </c>
      <c r="Y1851" t="str">
        <f t="shared" si="757"/>
        <v>04-08-2020</v>
      </c>
      <c r="Z1851" t="str">
        <f>"COS10200804 7303"</f>
        <v>COS10200804 7303</v>
      </c>
    </row>
    <row r="1852" spans="1:26" x14ac:dyDescent="0.25">
      <c r="A1852" t="str">
        <f t="shared" si="768"/>
        <v>04-08-2020 01:06:46</v>
      </c>
      <c r="B1852" t="str">
        <f>"0000809101"</f>
        <v>0000809101</v>
      </c>
      <c r="C1852" t="str">
        <f t="shared" si="769"/>
        <v>0000808999</v>
      </c>
      <c r="D1852" t="str">
        <f t="shared" si="745"/>
        <v>73185</v>
      </c>
      <c r="E1852" t="str">
        <f t="shared" si="746"/>
        <v>KFH-OPERATIONS DEPARTMENT</v>
      </c>
      <c r="F1852" t="str">
        <f t="shared" si="747"/>
        <v>IBG</v>
      </c>
      <c r="G1852" t="str">
        <f t="shared" si="758"/>
        <v>Refund COSHARE 10</v>
      </c>
      <c r="H1852" s="2">
        <v>410.15</v>
      </c>
      <c r="I1852" t="str">
        <f>"SANGADAH  SA ADAH BINTI SUMRAH"</f>
        <v>SANGADAH  SA ADAH BINTI SUMRAH</v>
      </c>
      <c r="J1852" t="str">
        <f t="shared" si="761"/>
        <v>MAYBANK / MAYBANK ISLAMIC</v>
      </c>
      <c r="K1852" t="str">
        <f>"101169107850"</f>
        <v>101169107850</v>
      </c>
      <c r="L1852" t="str">
        <f t="shared" si="766"/>
        <v>04-08-2020</v>
      </c>
      <c r="M1852" t="str">
        <f t="shared" si="766"/>
        <v>04-08-2020</v>
      </c>
      <c r="N1852" t="str">
        <f t="shared" si="748"/>
        <v>001105018356</v>
      </c>
      <c r="O1852" t="str">
        <f t="shared" si="749"/>
        <v>MYR</v>
      </c>
      <c r="P1852" t="str">
        <f t="shared" si="767"/>
        <v>NIL</v>
      </c>
      <c r="Q1852" t="str">
        <f t="shared" si="767"/>
        <v>NIL</v>
      </c>
      <c r="R1852" t="str">
        <f t="shared" si="750"/>
        <v>Accepted</v>
      </c>
      <c r="S1852" t="str">
        <f t="shared" si="751"/>
        <v>Approved</v>
      </c>
      <c r="T1852" t="str">
        <f t="shared" si="752"/>
        <v>10.20.8.188</v>
      </c>
      <c r="U1852" t="str">
        <f t="shared" si="753"/>
        <v>AZRAD UMAR BIN SHAARI</v>
      </c>
      <c r="V1852" t="str">
        <f t="shared" si="754"/>
        <v>FARHANA BINTI MUSTAPA</v>
      </c>
      <c r="W1852" t="str">
        <f t="shared" si="755"/>
        <v>04-08-2020</v>
      </c>
      <c r="X1852" t="str">
        <f t="shared" si="756"/>
        <v>RAZIMAH ANSAR AHMAD</v>
      </c>
      <c r="Y1852" t="str">
        <f t="shared" si="757"/>
        <v>04-08-2020</v>
      </c>
      <c r="Z1852" t="str">
        <f>"COS10200804 7302"</f>
        <v>COS10200804 7302</v>
      </c>
    </row>
    <row r="1853" spans="1:26" x14ac:dyDescent="0.25">
      <c r="A1853" t="str">
        <f t="shared" si="768"/>
        <v>04-08-2020 01:06:46</v>
      </c>
      <c r="B1853" t="str">
        <f>"0000809100"</f>
        <v>0000809100</v>
      </c>
      <c r="C1853" t="str">
        <f t="shared" si="769"/>
        <v>0000808999</v>
      </c>
      <c r="D1853" t="str">
        <f t="shared" si="745"/>
        <v>73185</v>
      </c>
      <c r="E1853" t="str">
        <f t="shared" si="746"/>
        <v>KFH-OPERATIONS DEPARTMENT</v>
      </c>
      <c r="F1853" t="str">
        <f t="shared" si="747"/>
        <v>IBG</v>
      </c>
      <c r="G1853" t="str">
        <f t="shared" si="758"/>
        <v>Refund COSHARE 10</v>
      </c>
      <c r="H1853" s="2">
        <v>100</v>
      </c>
      <c r="I1853" t="str">
        <f>"SANDRA TIMOTHY"</f>
        <v>SANDRA TIMOTHY</v>
      </c>
      <c r="J1853" t="str">
        <f t="shared" si="761"/>
        <v>MAYBANK / MAYBANK ISLAMIC</v>
      </c>
      <c r="K1853" t="str">
        <f>"114076045818"</f>
        <v>114076045818</v>
      </c>
      <c r="L1853" t="str">
        <f t="shared" si="766"/>
        <v>04-08-2020</v>
      </c>
      <c r="M1853" t="str">
        <f t="shared" si="766"/>
        <v>04-08-2020</v>
      </c>
      <c r="N1853" t="str">
        <f t="shared" si="748"/>
        <v>001105018356</v>
      </c>
      <c r="O1853" t="str">
        <f t="shared" si="749"/>
        <v>MYR</v>
      </c>
      <c r="P1853" t="str">
        <f t="shared" si="767"/>
        <v>NIL</v>
      </c>
      <c r="Q1853" t="str">
        <f t="shared" si="767"/>
        <v>NIL</v>
      </c>
      <c r="R1853" t="str">
        <f t="shared" si="750"/>
        <v>Accepted</v>
      </c>
      <c r="S1853" t="str">
        <f t="shared" si="751"/>
        <v>Approved</v>
      </c>
      <c r="T1853" t="str">
        <f t="shared" si="752"/>
        <v>10.20.8.188</v>
      </c>
      <c r="U1853" t="str">
        <f t="shared" si="753"/>
        <v>AZRAD UMAR BIN SHAARI</v>
      </c>
      <c r="V1853" t="str">
        <f t="shared" si="754"/>
        <v>FARHANA BINTI MUSTAPA</v>
      </c>
      <c r="W1853" t="str">
        <f t="shared" si="755"/>
        <v>04-08-2020</v>
      </c>
      <c r="X1853" t="str">
        <f t="shared" si="756"/>
        <v>RAZIMAH ANSAR AHMAD</v>
      </c>
      <c r="Y1853" t="str">
        <f t="shared" si="757"/>
        <v>04-08-2020</v>
      </c>
      <c r="Z1853" t="str">
        <f>"COS10200804 7301"</f>
        <v>COS10200804 7301</v>
      </c>
    </row>
    <row r="1854" spans="1:26" x14ac:dyDescent="0.25">
      <c r="A1854" t="str">
        <f t="shared" si="768"/>
        <v>04-08-2020 01:06:46</v>
      </c>
      <c r="B1854" t="str">
        <f>"0000809099"</f>
        <v>0000809099</v>
      </c>
      <c r="C1854" t="str">
        <f t="shared" si="769"/>
        <v>0000808999</v>
      </c>
      <c r="D1854" t="str">
        <f t="shared" si="745"/>
        <v>73185</v>
      </c>
      <c r="E1854" t="str">
        <f t="shared" si="746"/>
        <v>KFH-OPERATIONS DEPARTMENT</v>
      </c>
      <c r="F1854" t="str">
        <f t="shared" si="747"/>
        <v>IBG</v>
      </c>
      <c r="G1854" t="str">
        <f t="shared" si="758"/>
        <v>Refund COSHARE 10</v>
      </c>
      <c r="H1854" s="2">
        <v>137.55000000000001</v>
      </c>
      <c r="I1854" t="str">
        <f>"SANDERAN A L RAMAN"</f>
        <v>SANDERAN A L RAMAN</v>
      </c>
      <c r="J1854" t="str">
        <f t="shared" si="761"/>
        <v>MAYBANK / MAYBANK ISLAMIC</v>
      </c>
      <c r="K1854" t="str">
        <f>"112071299953"</f>
        <v>112071299953</v>
      </c>
      <c r="L1854" t="str">
        <f t="shared" si="766"/>
        <v>04-08-2020</v>
      </c>
      <c r="M1854" t="str">
        <f t="shared" si="766"/>
        <v>04-08-2020</v>
      </c>
      <c r="N1854" t="str">
        <f t="shared" si="748"/>
        <v>001105018356</v>
      </c>
      <c r="O1854" t="str">
        <f t="shared" si="749"/>
        <v>MYR</v>
      </c>
      <c r="P1854" t="str">
        <f t="shared" si="767"/>
        <v>NIL</v>
      </c>
      <c r="Q1854" t="str">
        <f t="shared" si="767"/>
        <v>NIL</v>
      </c>
      <c r="R1854" t="str">
        <f t="shared" si="750"/>
        <v>Accepted</v>
      </c>
      <c r="S1854" t="str">
        <f t="shared" si="751"/>
        <v>Approved</v>
      </c>
      <c r="T1854" t="str">
        <f t="shared" si="752"/>
        <v>10.20.8.188</v>
      </c>
      <c r="U1854" t="str">
        <f t="shared" si="753"/>
        <v>AZRAD UMAR BIN SHAARI</v>
      </c>
      <c r="V1854" t="str">
        <f t="shared" si="754"/>
        <v>FARHANA BINTI MUSTAPA</v>
      </c>
      <c r="W1854" t="str">
        <f t="shared" si="755"/>
        <v>04-08-2020</v>
      </c>
      <c r="X1854" t="str">
        <f t="shared" si="756"/>
        <v>RAZIMAH ANSAR AHMAD</v>
      </c>
      <c r="Y1854" t="str">
        <f t="shared" si="757"/>
        <v>04-08-2020</v>
      </c>
      <c r="Z1854" t="str">
        <f>"COS10200804 7300"</f>
        <v>COS10200804 7300</v>
      </c>
    </row>
    <row r="1855" spans="1:26" x14ac:dyDescent="0.25">
      <c r="A1855" t="str">
        <f t="shared" si="768"/>
        <v>04-08-2020 01:06:46</v>
      </c>
      <c r="B1855" t="str">
        <f>"0000809098"</f>
        <v>0000809098</v>
      </c>
      <c r="C1855" t="str">
        <f t="shared" si="769"/>
        <v>0000808999</v>
      </c>
      <c r="D1855" t="str">
        <f t="shared" si="745"/>
        <v>73185</v>
      </c>
      <c r="E1855" t="str">
        <f t="shared" si="746"/>
        <v>KFH-OPERATIONS DEPARTMENT</v>
      </c>
      <c r="F1855" t="str">
        <f t="shared" si="747"/>
        <v>IBG</v>
      </c>
      <c r="G1855" t="str">
        <f t="shared" si="758"/>
        <v>Refund COSHARE 10</v>
      </c>
      <c r="H1855" s="2">
        <v>274.5</v>
      </c>
      <c r="I1855" t="str">
        <f>"SAMUEL LUPING"</f>
        <v>SAMUEL LUPING</v>
      </c>
      <c r="J1855" t="str">
        <f t="shared" si="761"/>
        <v>MAYBANK / MAYBANK ISLAMIC</v>
      </c>
      <c r="K1855" t="str">
        <f>"111092104293"</f>
        <v>111092104293</v>
      </c>
      <c r="L1855" t="str">
        <f t="shared" si="766"/>
        <v>04-08-2020</v>
      </c>
      <c r="M1855" t="str">
        <f t="shared" si="766"/>
        <v>04-08-2020</v>
      </c>
      <c r="N1855" t="str">
        <f t="shared" si="748"/>
        <v>001105018356</v>
      </c>
      <c r="O1855" t="str">
        <f t="shared" si="749"/>
        <v>MYR</v>
      </c>
      <c r="P1855" t="str">
        <f t="shared" si="767"/>
        <v>NIL</v>
      </c>
      <c r="Q1855" t="str">
        <f t="shared" si="767"/>
        <v>NIL</v>
      </c>
      <c r="R1855" t="str">
        <f t="shared" si="750"/>
        <v>Accepted</v>
      </c>
      <c r="S1855" t="str">
        <f t="shared" si="751"/>
        <v>Approved</v>
      </c>
      <c r="T1855" t="str">
        <f t="shared" si="752"/>
        <v>10.20.8.188</v>
      </c>
      <c r="U1855" t="str">
        <f t="shared" si="753"/>
        <v>AZRAD UMAR BIN SHAARI</v>
      </c>
      <c r="V1855" t="str">
        <f t="shared" si="754"/>
        <v>FARHANA BINTI MUSTAPA</v>
      </c>
      <c r="W1855" t="str">
        <f t="shared" si="755"/>
        <v>04-08-2020</v>
      </c>
      <c r="X1855" t="str">
        <f t="shared" si="756"/>
        <v>RAZIMAH ANSAR AHMAD</v>
      </c>
      <c r="Y1855" t="str">
        <f t="shared" si="757"/>
        <v>04-08-2020</v>
      </c>
      <c r="Z1855" t="str">
        <f>"COS10200804 7299"</f>
        <v>COS10200804 7299</v>
      </c>
    </row>
    <row r="1856" spans="1:26" x14ac:dyDescent="0.25">
      <c r="A1856" t="str">
        <f t="shared" si="768"/>
        <v>04-08-2020 01:06:46</v>
      </c>
      <c r="B1856" t="str">
        <f>"0000809097"</f>
        <v>0000809097</v>
      </c>
      <c r="C1856" t="str">
        <f t="shared" si="769"/>
        <v>0000808999</v>
      </c>
      <c r="D1856" t="str">
        <f t="shared" si="745"/>
        <v>73185</v>
      </c>
      <c r="E1856" t="str">
        <f t="shared" si="746"/>
        <v>KFH-OPERATIONS DEPARTMENT</v>
      </c>
      <c r="F1856" t="str">
        <f t="shared" si="747"/>
        <v>IBG</v>
      </c>
      <c r="G1856" t="str">
        <f t="shared" si="758"/>
        <v>Refund COSHARE 10</v>
      </c>
      <c r="H1856" s="2">
        <v>744</v>
      </c>
      <c r="I1856" t="str">
        <f>"SAMUEL CHONG"</f>
        <v>SAMUEL CHONG</v>
      </c>
      <c r="J1856" t="str">
        <f t="shared" si="761"/>
        <v>MAYBANK / MAYBANK ISLAMIC</v>
      </c>
      <c r="K1856" t="str">
        <f>"110144271102"</f>
        <v>110144271102</v>
      </c>
      <c r="L1856" t="str">
        <f t="shared" si="766"/>
        <v>04-08-2020</v>
      </c>
      <c r="M1856" t="str">
        <f t="shared" si="766"/>
        <v>04-08-2020</v>
      </c>
      <c r="N1856" t="str">
        <f t="shared" si="748"/>
        <v>001105018356</v>
      </c>
      <c r="O1856" t="str">
        <f t="shared" si="749"/>
        <v>MYR</v>
      </c>
      <c r="P1856" t="str">
        <f t="shared" si="767"/>
        <v>NIL</v>
      </c>
      <c r="Q1856" t="str">
        <f t="shared" si="767"/>
        <v>NIL</v>
      </c>
      <c r="R1856" t="str">
        <f t="shared" si="750"/>
        <v>Accepted</v>
      </c>
      <c r="S1856" t="str">
        <f t="shared" si="751"/>
        <v>Approved</v>
      </c>
      <c r="T1856" t="str">
        <f t="shared" si="752"/>
        <v>10.20.8.188</v>
      </c>
      <c r="U1856" t="str">
        <f t="shared" si="753"/>
        <v>AZRAD UMAR BIN SHAARI</v>
      </c>
      <c r="V1856" t="str">
        <f t="shared" si="754"/>
        <v>FARHANA BINTI MUSTAPA</v>
      </c>
      <c r="W1856" t="str">
        <f t="shared" si="755"/>
        <v>04-08-2020</v>
      </c>
      <c r="X1856" t="str">
        <f t="shared" si="756"/>
        <v>RAZIMAH ANSAR AHMAD</v>
      </c>
      <c r="Y1856" t="str">
        <f t="shared" si="757"/>
        <v>04-08-2020</v>
      </c>
      <c r="Z1856" t="str">
        <f>"COS10200804 7298"</f>
        <v>COS10200804 7298</v>
      </c>
    </row>
    <row r="1857" spans="1:26" x14ac:dyDescent="0.25">
      <c r="A1857" t="str">
        <f t="shared" si="768"/>
        <v>04-08-2020 01:06:46</v>
      </c>
      <c r="B1857" t="str">
        <f>"0000809096"</f>
        <v>0000809096</v>
      </c>
      <c r="C1857" t="str">
        <f t="shared" si="769"/>
        <v>0000808999</v>
      </c>
      <c r="D1857" t="str">
        <f t="shared" si="745"/>
        <v>73185</v>
      </c>
      <c r="E1857" t="str">
        <f t="shared" si="746"/>
        <v>KFH-OPERATIONS DEPARTMENT</v>
      </c>
      <c r="F1857" t="str">
        <f t="shared" si="747"/>
        <v>IBG</v>
      </c>
      <c r="G1857" t="str">
        <f t="shared" si="758"/>
        <v>Refund COSHARE 10</v>
      </c>
      <c r="H1857" s="2">
        <v>206.3</v>
      </c>
      <c r="I1857" t="str">
        <f>"SAMSURI BIN JUHARI"</f>
        <v>SAMSURI BIN JUHARI</v>
      </c>
      <c r="J1857" t="str">
        <f t="shared" si="761"/>
        <v>MAYBANK / MAYBANK ISLAMIC</v>
      </c>
      <c r="K1857" t="str">
        <f>"164539002441"</f>
        <v>164539002441</v>
      </c>
      <c r="L1857" t="str">
        <f t="shared" si="766"/>
        <v>04-08-2020</v>
      </c>
      <c r="M1857" t="str">
        <f t="shared" si="766"/>
        <v>04-08-2020</v>
      </c>
      <c r="N1857" t="str">
        <f t="shared" si="748"/>
        <v>001105018356</v>
      </c>
      <c r="O1857" t="str">
        <f t="shared" si="749"/>
        <v>MYR</v>
      </c>
      <c r="P1857" t="str">
        <f t="shared" si="767"/>
        <v>NIL</v>
      </c>
      <c r="Q1857" t="str">
        <f t="shared" si="767"/>
        <v>NIL</v>
      </c>
      <c r="R1857" t="str">
        <f t="shared" si="750"/>
        <v>Accepted</v>
      </c>
      <c r="S1857" t="str">
        <f t="shared" si="751"/>
        <v>Approved</v>
      </c>
      <c r="T1857" t="str">
        <f t="shared" si="752"/>
        <v>10.20.8.188</v>
      </c>
      <c r="U1857" t="str">
        <f t="shared" si="753"/>
        <v>AZRAD UMAR BIN SHAARI</v>
      </c>
      <c r="V1857" t="str">
        <f t="shared" si="754"/>
        <v>FARHANA BINTI MUSTAPA</v>
      </c>
      <c r="W1857" t="str">
        <f t="shared" si="755"/>
        <v>04-08-2020</v>
      </c>
      <c r="X1857" t="str">
        <f t="shared" si="756"/>
        <v>RAZIMAH ANSAR AHMAD</v>
      </c>
      <c r="Y1857" t="str">
        <f t="shared" si="757"/>
        <v>04-08-2020</v>
      </c>
      <c r="Z1857" t="str">
        <f>"COS10200804 7297"</f>
        <v>COS10200804 7297</v>
      </c>
    </row>
    <row r="1858" spans="1:26" x14ac:dyDescent="0.25">
      <c r="A1858" t="str">
        <f t="shared" si="768"/>
        <v>04-08-2020 01:06:46</v>
      </c>
      <c r="B1858" t="str">
        <f>"0000809095"</f>
        <v>0000809095</v>
      </c>
      <c r="C1858" t="str">
        <f t="shared" si="769"/>
        <v>0000808999</v>
      </c>
      <c r="D1858" t="str">
        <f t="shared" si="745"/>
        <v>73185</v>
      </c>
      <c r="E1858" t="str">
        <f t="shared" si="746"/>
        <v>KFH-OPERATIONS DEPARTMENT</v>
      </c>
      <c r="F1858" t="str">
        <f t="shared" si="747"/>
        <v>IBG</v>
      </c>
      <c r="G1858" t="str">
        <f t="shared" si="758"/>
        <v>Refund COSHARE 10</v>
      </c>
      <c r="H1858" s="2">
        <v>142.75</v>
      </c>
      <c r="I1858" t="str">
        <f>"SAMSUL BIN ABDULLAH"</f>
        <v>SAMSUL BIN ABDULLAH</v>
      </c>
      <c r="J1858" t="str">
        <f t="shared" si="761"/>
        <v>MAYBANK / MAYBANK ISLAMIC</v>
      </c>
      <c r="K1858" t="str">
        <f>"114012212208"</f>
        <v>114012212208</v>
      </c>
      <c r="L1858" t="str">
        <f t="shared" si="766"/>
        <v>04-08-2020</v>
      </c>
      <c r="M1858" t="str">
        <f t="shared" si="766"/>
        <v>04-08-2020</v>
      </c>
      <c r="N1858" t="str">
        <f t="shared" si="748"/>
        <v>001105018356</v>
      </c>
      <c r="O1858" t="str">
        <f t="shared" si="749"/>
        <v>MYR</v>
      </c>
      <c r="P1858" t="str">
        <f t="shared" si="767"/>
        <v>NIL</v>
      </c>
      <c r="Q1858" t="str">
        <f t="shared" si="767"/>
        <v>NIL</v>
      </c>
      <c r="R1858" t="str">
        <f t="shared" si="750"/>
        <v>Accepted</v>
      </c>
      <c r="S1858" t="str">
        <f t="shared" si="751"/>
        <v>Approved</v>
      </c>
      <c r="T1858" t="str">
        <f t="shared" si="752"/>
        <v>10.20.8.188</v>
      </c>
      <c r="U1858" t="str">
        <f t="shared" si="753"/>
        <v>AZRAD UMAR BIN SHAARI</v>
      </c>
      <c r="V1858" t="str">
        <f t="shared" si="754"/>
        <v>FARHANA BINTI MUSTAPA</v>
      </c>
      <c r="W1858" t="str">
        <f t="shared" si="755"/>
        <v>04-08-2020</v>
      </c>
      <c r="X1858" t="str">
        <f t="shared" si="756"/>
        <v>RAZIMAH ANSAR AHMAD</v>
      </c>
      <c r="Y1858" t="str">
        <f t="shared" si="757"/>
        <v>04-08-2020</v>
      </c>
      <c r="Z1858" t="str">
        <f>"COS10200804 7296"</f>
        <v>COS10200804 7296</v>
      </c>
    </row>
    <row r="1859" spans="1:26" x14ac:dyDescent="0.25">
      <c r="A1859" t="str">
        <f t="shared" si="768"/>
        <v>04-08-2020 01:06:46</v>
      </c>
      <c r="B1859" t="str">
        <f>"0000809094"</f>
        <v>0000809094</v>
      </c>
      <c r="C1859" t="str">
        <f t="shared" si="769"/>
        <v>0000808999</v>
      </c>
      <c r="D1859" t="str">
        <f t="shared" si="745"/>
        <v>73185</v>
      </c>
      <c r="E1859" t="str">
        <f t="shared" si="746"/>
        <v>KFH-OPERATIONS DEPARTMENT</v>
      </c>
      <c r="F1859" t="str">
        <f t="shared" si="747"/>
        <v>IBG</v>
      </c>
      <c r="G1859" t="str">
        <f t="shared" si="758"/>
        <v>Refund COSHARE 10</v>
      </c>
      <c r="H1859" s="2">
        <v>1665.9</v>
      </c>
      <c r="I1859" t="str">
        <f>"SAMSUL BAHRI BIN TALIB"</f>
        <v>SAMSUL BAHRI BIN TALIB</v>
      </c>
      <c r="J1859" t="str">
        <f t="shared" si="761"/>
        <v>MAYBANK / MAYBANK ISLAMIC</v>
      </c>
      <c r="K1859" t="str">
        <f>"164182404720"</f>
        <v>164182404720</v>
      </c>
      <c r="L1859" t="str">
        <f t="shared" si="766"/>
        <v>04-08-2020</v>
      </c>
      <c r="M1859" t="str">
        <f t="shared" si="766"/>
        <v>04-08-2020</v>
      </c>
      <c r="N1859" t="str">
        <f t="shared" si="748"/>
        <v>001105018356</v>
      </c>
      <c r="O1859" t="str">
        <f t="shared" si="749"/>
        <v>MYR</v>
      </c>
      <c r="P1859" t="str">
        <f t="shared" si="767"/>
        <v>NIL</v>
      </c>
      <c r="Q1859" t="str">
        <f t="shared" si="767"/>
        <v>NIL</v>
      </c>
      <c r="R1859" t="str">
        <f t="shared" si="750"/>
        <v>Accepted</v>
      </c>
      <c r="S1859" t="str">
        <f t="shared" si="751"/>
        <v>Approved</v>
      </c>
      <c r="T1859" t="str">
        <f t="shared" si="752"/>
        <v>10.20.8.188</v>
      </c>
      <c r="U1859" t="str">
        <f t="shared" si="753"/>
        <v>AZRAD UMAR BIN SHAARI</v>
      </c>
      <c r="V1859" t="str">
        <f t="shared" si="754"/>
        <v>FARHANA BINTI MUSTAPA</v>
      </c>
      <c r="W1859" t="str">
        <f t="shared" si="755"/>
        <v>04-08-2020</v>
      </c>
      <c r="X1859" t="str">
        <f t="shared" si="756"/>
        <v>RAZIMAH ANSAR AHMAD</v>
      </c>
      <c r="Y1859" t="str">
        <f t="shared" si="757"/>
        <v>04-08-2020</v>
      </c>
      <c r="Z1859" t="str">
        <f>"COS10200804 7295"</f>
        <v>COS10200804 7295</v>
      </c>
    </row>
    <row r="1860" spans="1:26" x14ac:dyDescent="0.25">
      <c r="A1860" t="str">
        <f t="shared" si="768"/>
        <v>04-08-2020 01:06:46</v>
      </c>
      <c r="B1860" t="str">
        <f>"0000809093"</f>
        <v>0000809093</v>
      </c>
      <c r="C1860" t="str">
        <f t="shared" si="769"/>
        <v>0000808999</v>
      </c>
      <c r="D1860" t="str">
        <f t="shared" si="745"/>
        <v>73185</v>
      </c>
      <c r="E1860" t="str">
        <f t="shared" si="746"/>
        <v>KFH-OPERATIONS DEPARTMENT</v>
      </c>
      <c r="F1860" t="str">
        <f t="shared" si="747"/>
        <v>IBG</v>
      </c>
      <c r="G1860" t="str">
        <f t="shared" si="758"/>
        <v>Refund COSHARE 10</v>
      </c>
      <c r="H1860" s="2">
        <v>125.95</v>
      </c>
      <c r="I1860" t="str">
        <f>"SAMSUBAHRI BIN KADIR"</f>
        <v>SAMSUBAHRI BIN KADIR</v>
      </c>
      <c r="J1860" t="str">
        <f t="shared" si="761"/>
        <v>MAYBANK / MAYBANK ISLAMIC</v>
      </c>
      <c r="K1860" t="str">
        <f>"162263178094"</f>
        <v>162263178094</v>
      </c>
      <c r="L1860" t="str">
        <f t="shared" si="766"/>
        <v>04-08-2020</v>
      </c>
      <c r="M1860" t="str">
        <f t="shared" si="766"/>
        <v>04-08-2020</v>
      </c>
      <c r="N1860" t="str">
        <f t="shared" si="748"/>
        <v>001105018356</v>
      </c>
      <c r="O1860" t="str">
        <f t="shared" si="749"/>
        <v>MYR</v>
      </c>
      <c r="P1860" t="str">
        <f t="shared" si="767"/>
        <v>NIL</v>
      </c>
      <c r="Q1860" t="str">
        <f t="shared" si="767"/>
        <v>NIL</v>
      </c>
      <c r="R1860" t="str">
        <f t="shared" si="750"/>
        <v>Accepted</v>
      </c>
      <c r="S1860" t="str">
        <f t="shared" si="751"/>
        <v>Approved</v>
      </c>
      <c r="T1860" t="str">
        <f t="shared" si="752"/>
        <v>10.20.8.188</v>
      </c>
      <c r="U1860" t="str">
        <f t="shared" si="753"/>
        <v>AZRAD UMAR BIN SHAARI</v>
      </c>
      <c r="V1860" t="str">
        <f t="shared" si="754"/>
        <v>FARHANA BINTI MUSTAPA</v>
      </c>
      <c r="W1860" t="str">
        <f t="shared" si="755"/>
        <v>04-08-2020</v>
      </c>
      <c r="X1860" t="str">
        <f t="shared" si="756"/>
        <v>RAZIMAH ANSAR AHMAD</v>
      </c>
      <c r="Y1860" t="str">
        <f t="shared" si="757"/>
        <v>04-08-2020</v>
      </c>
      <c r="Z1860" t="str">
        <f>"COS10200804 7294"</f>
        <v>COS10200804 7294</v>
      </c>
    </row>
    <row r="1861" spans="1:26" x14ac:dyDescent="0.25">
      <c r="A1861" t="str">
        <f t="shared" si="768"/>
        <v>04-08-2020 01:06:46</v>
      </c>
      <c r="B1861" t="str">
        <f>"0000809092"</f>
        <v>0000809092</v>
      </c>
      <c r="C1861" t="str">
        <f t="shared" si="769"/>
        <v>0000808999</v>
      </c>
      <c r="D1861" t="str">
        <f t="shared" si="745"/>
        <v>73185</v>
      </c>
      <c r="E1861" t="str">
        <f t="shared" si="746"/>
        <v>KFH-OPERATIONS DEPARTMENT</v>
      </c>
      <c r="F1861" t="str">
        <f t="shared" si="747"/>
        <v>IBG</v>
      </c>
      <c r="G1861" t="str">
        <f t="shared" si="758"/>
        <v>Refund COSHARE 10</v>
      </c>
      <c r="H1861" s="2">
        <v>293.85000000000002</v>
      </c>
      <c r="I1861" t="str">
        <f>"SAMSON BIN MIDONI"</f>
        <v>SAMSON BIN MIDONI</v>
      </c>
      <c r="J1861" t="str">
        <f t="shared" si="761"/>
        <v>MAYBANK / MAYBANK ISLAMIC</v>
      </c>
      <c r="K1861" t="str">
        <f>"112028112463"</f>
        <v>112028112463</v>
      </c>
      <c r="L1861" t="str">
        <f t="shared" si="766"/>
        <v>04-08-2020</v>
      </c>
      <c r="M1861" t="str">
        <f t="shared" si="766"/>
        <v>04-08-2020</v>
      </c>
      <c r="N1861" t="str">
        <f t="shared" si="748"/>
        <v>001105018356</v>
      </c>
      <c r="O1861" t="str">
        <f t="shared" si="749"/>
        <v>MYR</v>
      </c>
      <c r="P1861" t="str">
        <f t="shared" si="767"/>
        <v>NIL</v>
      </c>
      <c r="Q1861" t="str">
        <f t="shared" si="767"/>
        <v>NIL</v>
      </c>
      <c r="R1861" t="str">
        <f t="shared" si="750"/>
        <v>Accepted</v>
      </c>
      <c r="S1861" t="str">
        <f t="shared" si="751"/>
        <v>Approved</v>
      </c>
      <c r="T1861" t="str">
        <f t="shared" si="752"/>
        <v>10.20.8.188</v>
      </c>
      <c r="U1861" t="str">
        <f t="shared" si="753"/>
        <v>AZRAD UMAR BIN SHAARI</v>
      </c>
      <c r="V1861" t="str">
        <f t="shared" si="754"/>
        <v>FARHANA BINTI MUSTAPA</v>
      </c>
      <c r="W1861" t="str">
        <f t="shared" si="755"/>
        <v>04-08-2020</v>
      </c>
      <c r="X1861" t="str">
        <f t="shared" si="756"/>
        <v>RAZIMAH ANSAR AHMAD</v>
      </c>
      <c r="Y1861" t="str">
        <f t="shared" si="757"/>
        <v>04-08-2020</v>
      </c>
      <c r="Z1861" t="str">
        <f>"COS10200804 7293"</f>
        <v>COS10200804 7293</v>
      </c>
    </row>
    <row r="1862" spans="1:26" x14ac:dyDescent="0.25">
      <c r="A1862" t="str">
        <f t="shared" si="768"/>
        <v>04-08-2020 01:06:46</v>
      </c>
      <c r="B1862" t="str">
        <f>"0000809091"</f>
        <v>0000809091</v>
      </c>
      <c r="C1862" t="str">
        <f t="shared" si="769"/>
        <v>0000808999</v>
      </c>
      <c r="D1862" t="str">
        <f t="shared" si="745"/>
        <v>73185</v>
      </c>
      <c r="E1862" t="str">
        <f t="shared" si="746"/>
        <v>KFH-OPERATIONS DEPARTMENT</v>
      </c>
      <c r="F1862" t="str">
        <f t="shared" si="747"/>
        <v>IBG</v>
      </c>
      <c r="G1862" t="str">
        <f t="shared" si="758"/>
        <v>Refund COSHARE 10</v>
      </c>
      <c r="H1862" s="2">
        <v>503.7</v>
      </c>
      <c r="I1862" t="str">
        <f>"SAMSINAR BINTI OTHMAN"</f>
        <v>SAMSINAR BINTI OTHMAN</v>
      </c>
      <c r="J1862" t="str">
        <f t="shared" si="761"/>
        <v>MAYBANK / MAYBANK ISLAMIC</v>
      </c>
      <c r="K1862" t="str">
        <f>"154101024170"</f>
        <v>154101024170</v>
      </c>
      <c r="L1862" t="str">
        <f t="shared" si="766"/>
        <v>04-08-2020</v>
      </c>
      <c r="M1862" t="str">
        <f t="shared" si="766"/>
        <v>04-08-2020</v>
      </c>
      <c r="N1862" t="str">
        <f t="shared" si="748"/>
        <v>001105018356</v>
      </c>
      <c r="O1862" t="str">
        <f t="shared" si="749"/>
        <v>MYR</v>
      </c>
      <c r="P1862" t="str">
        <f t="shared" si="767"/>
        <v>NIL</v>
      </c>
      <c r="Q1862" t="str">
        <f t="shared" si="767"/>
        <v>NIL</v>
      </c>
      <c r="R1862" t="str">
        <f t="shared" si="750"/>
        <v>Accepted</v>
      </c>
      <c r="S1862" t="str">
        <f t="shared" si="751"/>
        <v>Approved</v>
      </c>
      <c r="T1862" t="str">
        <f t="shared" si="752"/>
        <v>10.20.8.188</v>
      </c>
      <c r="U1862" t="str">
        <f t="shared" si="753"/>
        <v>AZRAD UMAR BIN SHAARI</v>
      </c>
      <c r="V1862" t="str">
        <f t="shared" si="754"/>
        <v>FARHANA BINTI MUSTAPA</v>
      </c>
      <c r="W1862" t="str">
        <f t="shared" si="755"/>
        <v>04-08-2020</v>
      </c>
      <c r="X1862" t="str">
        <f t="shared" si="756"/>
        <v>RAZIMAH ANSAR AHMAD</v>
      </c>
      <c r="Y1862" t="str">
        <f t="shared" si="757"/>
        <v>04-08-2020</v>
      </c>
      <c r="Z1862" t="str">
        <f>"COS10200804 7292"</f>
        <v>COS10200804 7292</v>
      </c>
    </row>
    <row r="1863" spans="1:26" x14ac:dyDescent="0.25">
      <c r="A1863" t="str">
        <f t="shared" si="768"/>
        <v>04-08-2020 01:06:46</v>
      </c>
      <c r="B1863" t="str">
        <f>"0000809090"</f>
        <v>0000809090</v>
      </c>
      <c r="C1863" t="str">
        <f t="shared" si="769"/>
        <v>0000808999</v>
      </c>
      <c r="D1863" t="str">
        <f t="shared" ref="D1863:D1926" si="770">"73185"</f>
        <v>73185</v>
      </c>
      <c r="E1863" t="str">
        <f t="shared" ref="E1863:E1926" si="771">"KFH-OPERATIONS DEPARTMENT"</f>
        <v>KFH-OPERATIONS DEPARTMENT</v>
      </c>
      <c r="F1863" t="str">
        <f t="shared" ref="F1863:F1926" si="772">"IBG"</f>
        <v>IBG</v>
      </c>
      <c r="G1863" t="str">
        <f t="shared" si="758"/>
        <v>Refund COSHARE 10</v>
      </c>
      <c r="H1863" s="2">
        <v>931.85</v>
      </c>
      <c r="I1863" t="str">
        <f>"SAMSINAR BINTI HANUAR"</f>
        <v>SAMSINAR BINTI HANUAR</v>
      </c>
      <c r="J1863" t="str">
        <f t="shared" si="761"/>
        <v>MAYBANK / MAYBANK ISLAMIC</v>
      </c>
      <c r="K1863" t="str">
        <f>"164472273820"</f>
        <v>164472273820</v>
      </c>
      <c r="L1863" t="str">
        <f t="shared" si="766"/>
        <v>04-08-2020</v>
      </c>
      <c r="M1863" t="str">
        <f t="shared" si="766"/>
        <v>04-08-2020</v>
      </c>
      <c r="N1863" t="str">
        <f t="shared" ref="N1863:N1926" si="773">"001105018356"</f>
        <v>001105018356</v>
      </c>
      <c r="O1863" t="str">
        <f t="shared" ref="O1863:O1926" si="774">"MYR"</f>
        <v>MYR</v>
      </c>
      <c r="P1863" t="str">
        <f t="shared" si="767"/>
        <v>NIL</v>
      </c>
      <c r="Q1863" t="str">
        <f t="shared" si="767"/>
        <v>NIL</v>
      </c>
      <c r="R1863" t="str">
        <f t="shared" ref="R1863:R1926" si="775">"Accepted"</f>
        <v>Accepted</v>
      </c>
      <c r="S1863" t="str">
        <f t="shared" ref="S1863:S1926" si="776">"Approved"</f>
        <v>Approved</v>
      </c>
      <c r="T1863" t="str">
        <f t="shared" ref="T1863:T1926" si="777">"10.20.8.188"</f>
        <v>10.20.8.188</v>
      </c>
      <c r="U1863" t="str">
        <f t="shared" ref="U1863:U1926" si="778">"AZRAD UMAR BIN SHAARI"</f>
        <v>AZRAD UMAR BIN SHAARI</v>
      </c>
      <c r="V1863" t="str">
        <f t="shared" ref="V1863:V1926" si="779">"FARHANA BINTI MUSTAPA"</f>
        <v>FARHANA BINTI MUSTAPA</v>
      </c>
      <c r="W1863" t="str">
        <f t="shared" ref="W1863:W1926" si="780">"04-08-2020"</f>
        <v>04-08-2020</v>
      </c>
      <c r="X1863" t="str">
        <f t="shared" ref="X1863:X1926" si="781">"RAZIMAH ANSAR AHMAD"</f>
        <v>RAZIMAH ANSAR AHMAD</v>
      </c>
      <c r="Y1863" t="str">
        <f t="shared" ref="Y1863:Y1926" si="782">"04-08-2020"</f>
        <v>04-08-2020</v>
      </c>
      <c r="Z1863" t="str">
        <f>"COS10200804 7291"</f>
        <v>COS10200804 7291</v>
      </c>
    </row>
    <row r="1864" spans="1:26" x14ac:dyDescent="0.25">
      <c r="A1864" t="str">
        <f t="shared" si="768"/>
        <v>04-08-2020 01:06:46</v>
      </c>
      <c r="B1864" t="str">
        <f>"0000809089"</f>
        <v>0000809089</v>
      </c>
      <c r="C1864" t="str">
        <f t="shared" si="769"/>
        <v>0000808999</v>
      </c>
      <c r="D1864" t="str">
        <f t="shared" si="770"/>
        <v>73185</v>
      </c>
      <c r="E1864" t="str">
        <f t="shared" si="771"/>
        <v>KFH-OPERATIONS DEPARTMENT</v>
      </c>
      <c r="F1864" t="str">
        <f t="shared" si="772"/>
        <v>IBG</v>
      </c>
      <c r="G1864" t="str">
        <f t="shared" si="758"/>
        <v>Refund COSHARE 10</v>
      </c>
      <c r="H1864" s="2">
        <v>109.15</v>
      </c>
      <c r="I1864" t="str">
        <f>"SAMIHAH BINTI YUSOFF"</f>
        <v>SAMIHAH BINTI YUSOFF</v>
      </c>
      <c r="J1864" t="str">
        <f t="shared" si="761"/>
        <v>MAYBANK / MAYBANK ISLAMIC</v>
      </c>
      <c r="K1864" t="str">
        <f>"106062089020"</f>
        <v>106062089020</v>
      </c>
      <c r="L1864" t="str">
        <f t="shared" si="766"/>
        <v>04-08-2020</v>
      </c>
      <c r="M1864" t="str">
        <f t="shared" si="766"/>
        <v>04-08-2020</v>
      </c>
      <c r="N1864" t="str">
        <f t="shared" si="773"/>
        <v>001105018356</v>
      </c>
      <c r="O1864" t="str">
        <f t="shared" si="774"/>
        <v>MYR</v>
      </c>
      <c r="P1864" t="str">
        <f t="shared" si="767"/>
        <v>NIL</v>
      </c>
      <c r="Q1864" t="str">
        <f t="shared" si="767"/>
        <v>NIL</v>
      </c>
      <c r="R1864" t="str">
        <f t="shared" si="775"/>
        <v>Accepted</v>
      </c>
      <c r="S1864" t="str">
        <f t="shared" si="776"/>
        <v>Approved</v>
      </c>
      <c r="T1864" t="str">
        <f t="shared" si="777"/>
        <v>10.20.8.188</v>
      </c>
      <c r="U1864" t="str">
        <f t="shared" si="778"/>
        <v>AZRAD UMAR BIN SHAARI</v>
      </c>
      <c r="V1864" t="str">
        <f t="shared" si="779"/>
        <v>FARHANA BINTI MUSTAPA</v>
      </c>
      <c r="W1864" t="str">
        <f t="shared" si="780"/>
        <v>04-08-2020</v>
      </c>
      <c r="X1864" t="str">
        <f t="shared" si="781"/>
        <v>RAZIMAH ANSAR AHMAD</v>
      </c>
      <c r="Y1864" t="str">
        <f t="shared" si="782"/>
        <v>04-08-2020</v>
      </c>
      <c r="Z1864" t="str">
        <f>"COS10200804 7290"</f>
        <v>COS10200804 7290</v>
      </c>
    </row>
    <row r="1865" spans="1:26" x14ac:dyDescent="0.25">
      <c r="A1865" t="str">
        <f t="shared" si="768"/>
        <v>04-08-2020 01:06:46</v>
      </c>
      <c r="B1865" t="str">
        <f>"0000809088"</f>
        <v>0000809088</v>
      </c>
      <c r="C1865" t="str">
        <f t="shared" si="769"/>
        <v>0000808999</v>
      </c>
      <c r="D1865" t="str">
        <f t="shared" si="770"/>
        <v>73185</v>
      </c>
      <c r="E1865" t="str">
        <f t="shared" si="771"/>
        <v>KFH-OPERATIONS DEPARTMENT</v>
      </c>
      <c r="F1865" t="str">
        <f t="shared" si="772"/>
        <v>IBG</v>
      </c>
      <c r="G1865" t="str">
        <f t="shared" si="758"/>
        <v>Refund COSHARE 10</v>
      </c>
      <c r="H1865" s="2">
        <v>1015.8</v>
      </c>
      <c r="I1865" t="str">
        <f>"SAMIHAH BINTI IBRAHIM"</f>
        <v>SAMIHAH BINTI IBRAHIM</v>
      </c>
      <c r="J1865" t="str">
        <f t="shared" si="761"/>
        <v>MAYBANK / MAYBANK ISLAMIC</v>
      </c>
      <c r="K1865" t="str">
        <f>"166010030046"</f>
        <v>166010030046</v>
      </c>
      <c r="L1865" t="str">
        <f t="shared" si="766"/>
        <v>04-08-2020</v>
      </c>
      <c r="M1865" t="str">
        <f t="shared" si="766"/>
        <v>04-08-2020</v>
      </c>
      <c r="N1865" t="str">
        <f t="shared" si="773"/>
        <v>001105018356</v>
      </c>
      <c r="O1865" t="str">
        <f t="shared" si="774"/>
        <v>MYR</v>
      </c>
      <c r="P1865" t="str">
        <f t="shared" si="767"/>
        <v>NIL</v>
      </c>
      <c r="Q1865" t="str">
        <f t="shared" si="767"/>
        <v>NIL</v>
      </c>
      <c r="R1865" t="str">
        <f t="shared" si="775"/>
        <v>Accepted</v>
      </c>
      <c r="S1865" t="str">
        <f t="shared" si="776"/>
        <v>Approved</v>
      </c>
      <c r="T1865" t="str">
        <f t="shared" si="777"/>
        <v>10.20.8.188</v>
      </c>
      <c r="U1865" t="str">
        <f t="shared" si="778"/>
        <v>AZRAD UMAR BIN SHAARI</v>
      </c>
      <c r="V1865" t="str">
        <f t="shared" si="779"/>
        <v>FARHANA BINTI MUSTAPA</v>
      </c>
      <c r="W1865" t="str">
        <f t="shared" si="780"/>
        <v>04-08-2020</v>
      </c>
      <c r="X1865" t="str">
        <f t="shared" si="781"/>
        <v>RAZIMAH ANSAR AHMAD</v>
      </c>
      <c r="Y1865" t="str">
        <f t="shared" si="782"/>
        <v>04-08-2020</v>
      </c>
      <c r="Z1865" t="str">
        <f>"COS10200804 7289"</f>
        <v>COS10200804 7289</v>
      </c>
    </row>
    <row r="1866" spans="1:26" x14ac:dyDescent="0.25">
      <c r="A1866" t="str">
        <f t="shared" si="768"/>
        <v>04-08-2020 01:06:46</v>
      </c>
      <c r="B1866" t="str">
        <f>"0000809087"</f>
        <v>0000809087</v>
      </c>
      <c r="C1866" t="str">
        <f t="shared" si="769"/>
        <v>0000808999</v>
      </c>
      <c r="D1866" t="str">
        <f t="shared" si="770"/>
        <v>73185</v>
      </c>
      <c r="E1866" t="str">
        <f t="shared" si="771"/>
        <v>KFH-OPERATIONS DEPARTMENT</v>
      </c>
      <c r="F1866" t="str">
        <f t="shared" si="772"/>
        <v>IBG</v>
      </c>
      <c r="G1866" t="str">
        <f t="shared" si="758"/>
        <v>Refund COSHARE 10</v>
      </c>
      <c r="H1866" s="2">
        <v>83.95</v>
      </c>
      <c r="I1866" t="str">
        <f>"SAMIAH BINTI SALAM"</f>
        <v>SAMIAH BINTI SALAM</v>
      </c>
      <c r="J1866" t="str">
        <f t="shared" si="761"/>
        <v>MAYBANK / MAYBANK ISLAMIC</v>
      </c>
      <c r="K1866" t="str">
        <f>"164052321092"</f>
        <v>164052321092</v>
      </c>
      <c r="L1866" t="str">
        <f t="shared" si="766"/>
        <v>04-08-2020</v>
      </c>
      <c r="M1866" t="str">
        <f t="shared" si="766"/>
        <v>04-08-2020</v>
      </c>
      <c r="N1866" t="str">
        <f t="shared" si="773"/>
        <v>001105018356</v>
      </c>
      <c r="O1866" t="str">
        <f t="shared" si="774"/>
        <v>MYR</v>
      </c>
      <c r="P1866" t="str">
        <f t="shared" si="767"/>
        <v>NIL</v>
      </c>
      <c r="Q1866" t="str">
        <f t="shared" si="767"/>
        <v>NIL</v>
      </c>
      <c r="R1866" t="str">
        <f t="shared" si="775"/>
        <v>Accepted</v>
      </c>
      <c r="S1866" t="str">
        <f t="shared" si="776"/>
        <v>Approved</v>
      </c>
      <c r="T1866" t="str">
        <f t="shared" si="777"/>
        <v>10.20.8.188</v>
      </c>
      <c r="U1866" t="str">
        <f t="shared" si="778"/>
        <v>AZRAD UMAR BIN SHAARI</v>
      </c>
      <c r="V1866" t="str">
        <f t="shared" si="779"/>
        <v>FARHANA BINTI MUSTAPA</v>
      </c>
      <c r="W1866" t="str">
        <f t="shared" si="780"/>
        <v>04-08-2020</v>
      </c>
      <c r="X1866" t="str">
        <f t="shared" si="781"/>
        <v>RAZIMAH ANSAR AHMAD</v>
      </c>
      <c r="Y1866" t="str">
        <f t="shared" si="782"/>
        <v>04-08-2020</v>
      </c>
      <c r="Z1866" t="str">
        <f>"COS10200804 7288"</f>
        <v>COS10200804 7288</v>
      </c>
    </row>
    <row r="1867" spans="1:26" x14ac:dyDescent="0.25">
      <c r="A1867" t="str">
        <f t="shared" si="768"/>
        <v>04-08-2020 01:06:46</v>
      </c>
      <c r="B1867" t="str">
        <f>"0000809086"</f>
        <v>0000809086</v>
      </c>
      <c r="C1867" t="str">
        <f t="shared" si="769"/>
        <v>0000808999</v>
      </c>
      <c r="D1867" t="str">
        <f t="shared" si="770"/>
        <v>73185</v>
      </c>
      <c r="E1867" t="str">
        <f t="shared" si="771"/>
        <v>KFH-OPERATIONS DEPARTMENT</v>
      </c>
      <c r="F1867" t="str">
        <f t="shared" si="772"/>
        <v>IBG</v>
      </c>
      <c r="G1867" t="str">
        <f t="shared" si="758"/>
        <v>Refund COSHARE 10</v>
      </c>
      <c r="H1867" s="2">
        <v>987</v>
      </c>
      <c r="I1867" t="str">
        <f>"SALWATIE BINTI MD KASSIM"</f>
        <v>SALWATIE BINTI MD KASSIM</v>
      </c>
      <c r="J1867" t="str">
        <f t="shared" si="761"/>
        <v>MAYBANK / MAYBANK ISLAMIC</v>
      </c>
      <c r="K1867" t="str">
        <f>"160102358504"</f>
        <v>160102358504</v>
      </c>
      <c r="L1867" t="str">
        <f t="shared" ref="L1867:M1886" si="783">"04-08-2020"</f>
        <v>04-08-2020</v>
      </c>
      <c r="M1867" t="str">
        <f t="shared" si="783"/>
        <v>04-08-2020</v>
      </c>
      <c r="N1867" t="str">
        <f t="shared" si="773"/>
        <v>001105018356</v>
      </c>
      <c r="O1867" t="str">
        <f t="shared" si="774"/>
        <v>MYR</v>
      </c>
      <c r="P1867" t="str">
        <f t="shared" ref="P1867:Q1886" si="784">"NIL"</f>
        <v>NIL</v>
      </c>
      <c r="Q1867" t="str">
        <f t="shared" si="784"/>
        <v>NIL</v>
      </c>
      <c r="R1867" t="str">
        <f t="shared" si="775"/>
        <v>Accepted</v>
      </c>
      <c r="S1867" t="str">
        <f t="shared" si="776"/>
        <v>Approved</v>
      </c>
      <c r="T1867" t="str">
        <f t="shared" si="777"/>
        <v>10.20.8.188</v>
      </c>
      <c r="U1867" t="str">
        <f t="shared" si="778"/>
        <v>AZRAD UMAR BIN SHAARI</v>
      </c>
      <c r="V1867" t="str">
        <f t="shared" si="779"/>
        <v>FARHANA BINTI MUSTAPA</v>
      </c>
      <c r="W1867" t="str">
        <f t="shared" si="780"/>
        <v>04-08-2020</v>
      </c>
      <c r="X1867" t="str">
        <f t="shared" si="781"/>
        <v>RAZIMAH ANSAR AHMAD</v>
      </c>
      <c r="Y1867" t="str">
        <f t="shared" si="782"/>
        <v>04-08-2020</v>
      </c>
      <c r="Z1867" t="str">
        <f>"COS10200804 7287"</f>
        <v>COS10200804 7287</v>
      </c>
    </row>
    <row r="1868" spans="1:26" x14ac:dyDescent="0.25">
      <c r="A1868" t="str">
        <f t="shared" si="768"/>
        <v>04-08-2020 01:06:46</v>
      </c>
      <c r="B1868" t="str">
        <f>"0000809085"</f>
        <v>0000809085</v>
      </c>
      <c r="C1868" t="str">
        <f t="shared" si="769"/>
        <v>0000808999</v>
      </c>
      <c r="D1868" t="str">
        <f t="shared" si="770"/>
        <v>73185</v>
      </c>
      <c r="E1868" t="str">
        <f t="shared" si="771"/>
        <v>KFH-OPERATIONS DEPARTMENT</v>
      </c>
      <c r="F1868" t="str">
        <f t="shared" si="772"/>
        <v>IBG</v>
      </c>
      <c r="G1868" t="str">
        <f t="shared" ref="G1868:G1931" si="785">"Refund COSHARE 10"</f>
        <v>Refund COSHARE 10</v>
      </c>
      <c r="H1868" s="2">
        <v>1888</v>
      </c>
      <c r="I1868" t="str">
        <f>"SALWATI BINTI BADRODDIN"</f>
        <v>SALWATI BINTI BADRODDIN</v>
      </c>
      <c r="J1868" t="str">
        <f t="shared" si="761"/>
        <v>MAYBANK / MAYBANK ISLAMIC</v>
      </c>
      <c r="K1868" t="str">
        <f>"164017077628"</f>
        <v>164017077628</v>
      </c>
      <c r="L1868" t="str">
        <f t="shared" si="783"/>
        <v>04-08-2020</v>
      </c>
      <c r="M1868" t="str">
        <f t="shared" si="783"/>
        <v>04-08-2020</v>
      </c>
      <c r="N1868" t="str">
        <f t="shared" si="773"/>
        <v>001105018356</v>
      </c>
      <c r="O1868" t="str">
        <f t="shared" si="774"/>
        <v>MYR</v>
      </c>
      <c r="P1868" t="str">
        <f t="shared" si="784"/>
        <v>NIL</v>
      </c>
      <c r="Q1868" t="str">
        <f t="shared" si="784"/>
        <v>NIL</v>
      </c>
      <c r="R1868" t="str">
        <f t="shared" si="775"/>
        <v>Accepted</v>
      </c>
      <c r="S1868" t="str">
        <f t="shared" si="776"/>
        <v>Approved</v>
      </c>
      <c r="T1868" t="str">
        <f t="shared" si="777"/>
        <v>10.20.8.188</v>
      </c>
      <c r="U1868" t="str">
        <f t="shared" si="778"/>
        <v>AZRAD UMAR BIN SHAARI</v>
      </c>
      <c r="V1868" t="str">
        <f t="shared" si="779"/>
        <v>FARHANA BINTI MUSTAPA</v>
      </c>
      <c r="W1868" t="str">
        <f t="shared" si="780"/>
        <v>04-08-2020</v>
      </c>
      <c r="X1868" t="str">
        <f t="shared" si="781"/>
        <v>RAZIMAH ANSAR AHMAD</v>
      </c>
      <c r="Y1868" t="str">
        <f t="shared" si="782"/>
        <v>04-08-2020</v>
      </c>
      <c r="Z1868" t="str">
        <f>"COS10200804 7286"</f>
        <v>COS10200804 7286</v>
      </c>
    </row>
    <row r="1869" spans="1:26" x14ac:dyDescent="0.25">
      <c r="A1869" t="str">
        <f t="shared" si="768"/>
        <v>04-08-2020 01:06:46</v>
      </c>
      <c r="B1869" t="str">
        <f>"0000809084"</f>
        <v>0000809084</v>
      </c>
      <c r="C1869" t="str">
        <f t="shared" si="769"/>
        <v>0000808999</v>
      </c>
      <c r="D1869" t="str">
        <f t="shared" si="770"/>
        <v>73185</v>
      </c>
      <c r="E1869" t="str">
        <f t="shared" si="771"/>
        <v>KFH-OPERATIONS DEPARTMENT</v>
      </c>
      <c r="F1869" t="str">
        <f t="shared" si="772"/>
        <v>IBG</v>
      </c>
      <c r="G1869" t="str">
        <f t="shared" si="785"/>
        <v>Refund COSHARE 10</v>
      </c>
      <c r="H1869" s="2">
        <v>183</v>
      </c>
      <c r="I1869" t="str">
        <f>"SALWANI HASMA BINTI MOHAMED"</f>
        <v>SALWANI HASMA BINTI MOHAMED</v>
      </c>
      <c r="J1869" t="str">
        <f t="shared" si="761"/>
        <v>MAYBANK / MAYBANK ISLAMIC</v>
      </c>
      <c r="K1869" t="str">
        <f>"106098358788"</f>
        <v>106098358788</v>
      </c>
      <c r="L1869" t="str">
        <f t="shared" si="783"/>
        <v>04-08-2020</v>
      </c>
      <c r="M1869" t="str">
        <f t="shared" si="783"/>
        <v>04-08-2020</v>
      </c>
      <c r="N1869" t="str">
        <f t="shared" si="773"/>
        <v>001105018356</v>
      </c>
      <c r="O1869" t="str">
        <f t="shared" si="774"/>
        <v>MYR</v>
      </c>
      <c r="P1869" t="str">
        <f t="shared" si="784"/>
        <v>NIL</v>
      </c>
      <c r="Q1869" t="str">
        <f t="shared" si="784"/>
        <v>NIL</v>
      </c>
      <c r="R1869" t="str">
        <f t="shared" si="775"/>
        <v>Accepted</v>
      </c>
      <c r="S1869" t="str">
        <f t="shared" si="776"/>
        <v>Approved</v>
      </c>
      <c r="T1869" t="str">
        <f t="shared" si="777"/>
        <v>10.20.8.188</v>
      </c>
      <c r="U1869" t="str">
        <f t="shared" si="778"/>
        <v>AZRAD UMAR BIN SHAARI</v>
      </c>
      <c r="V1869" t="str">
        <f t="shared" si="779"/>
        <v>FARHANA BINTI MUSTAPA</v>
      </c>
      <c r="W1869" t="str">
        <f t="shared" si="780"/>
        <v>04-08-2020</v>
      </c>
      <c r="X1869" t="str">
        <f t="shared" si="781"/>
        <v>RAZIMAH ANSAR AHMAD</v>
      </c>
      <c r="Y1869" t="str">
        <f t="shared" si="782"/>
        <v>04-08-2020</v>
      </c>
      <c r="Z1869" t="str">
        <f>"COS10200804 7285"</f>
        <v>COS10200804 7285</v>
      </c>
    </row>
    <row r="1870" spans="1:26" x14ac:dyDescent="0.25">
      <c r="A1870" t="str">
        <f t="shared" si="768"/>
        <v>04-08-2020 01:06:46</v>
      </c>
      <c r="B1870" t="str">
        <f>"0000809083"</f>
        <v>0000809083</v>
      </c>
      <c r="C1870" t="str">
        <f t="shared" si="769"/>
        <v>0000808999</v>
      </c>
      <c r="D1870" t="str">
        <f t="shared" si="770"/>
        <v>73185</v>
      </c>
      <c r="E1870" t="str">
        <f t="shared" si="771"/>
        <v>KFH-OPERATIONS DEPARTMENT</v>
      </c>
      <c r="F1870" t="str">
        <f t="shared" si="772"/>
        <v>IBG</v>
      </c>
      <c r="G1870" t="str">
        <f t="shared" si="785"/>
        <v>Refund COSHARE 10</v>
      </c>
      <c r="H1870" s="2">
        <v>127</v>
      </c>
      <c r="I1870" t="str">
        <f>"SALOMA BINTI ISMAIL"</f>
        <v>SALOMA BINTI ISMAIL</v>
      </c>
      <c r="J1870" t="str">
        <f t="shared" si="761"/>
        <v>MAYBANK / MAYBANK ISLAMIC</v>
      </c>
      <c r="K1870" t="str">
        <f>"153010041293"</f>
        <v>153010041293</v>
      </c>
      <c r="L1870" t="str">
        <f t="shared" si="783"/>
        <v>04-08-2020</v>
      </c>
      <c r="M1870" t="str">
        <f t="shared" si="783"/>
        <v>04-08-2020</v>
      </c>
      <c r="N1870" t="str">
        <f t="shared" si="773"/>
        <v>001105018356</v>
      </c>
      <c r="O1870" t="str">
        <f t="shared" si="774"/>
        <v>MYR</v>
      </c>
      <c r="P1870" t="str">
        <f t="shared" si="784"/>
        <v>NIL</v>
      </c>
      <c r="Q1870" t="str">
        <f t="shared" si="784"/>
        <v>NIL</v>
      </c>
      <c r="R1870" t="str">
        <f t="shared" si="775"/>
        <v>Accepted</v>
      </c>
      <c r="S1870" t="str">
        <f t="shared" si="776"/>
        <v>Approved</v>
      </c>
      <c r="T1870" t="str">
        <f t="shared" si="777"/>
        <v>10.20.8.188</v>
      </c>
      <c r="U1870" t="str">
        <f t="shared" si="778"/>
        <v>AZRAD UMAR BIN SHAARI</v>
      </c>
      <c r="V1870" t="str">
        <f t="shared" si="779"/>
        <v>FARHANA BINTI MUSTAPA</v>
      </c>
      <c r="W1870" t="str">
        <f t="shared" si="780"/>
        <v>04-08-2020</v>
      </c>
      <c r="X1870" t="str">
        <f t="shared" si="781"/>
        <v>RAZIMAH ANSAR AHMAD</v>
      </c>
      <c r="Y1870" t="str">
        <f t="shared" si="782"/>
        <v>04-08-2020</v>
      </c>
      <c r="Z1870" t="str">
        <f>"COS10200804 7284"</f>
        <v>COS10200804 7284</v>
      </c>
    </row>
    <row r="1871" spans="1:26" x14ac:dyDescent="0.25">
      <c r="A1871" t="str">
        <f t="shared" si="768"/>
        <v>04-08-2020 01:06:46</v>
      </c>
      <c r="B1871" t="str">
        <f>"0000809082"</f>
        <v>0000809082</v>
      </c>
      <c r="C1871" t="str">
        <f t="shared" si="769"/>
        <v>0000808999</v>
      </c>
      <c r="D1871" t="str">
        <f t="shared" si="770"/>
        <v>73185</v>
      </c>
      <c r="E1871" t="str">
        <f t="shared" si="771"/>
        <v>KFH-OPERATIONS DEPARTMENT</v>
      </c>
      <c r="F1871" t="str">
        <f t="shared" si="772"/>
        <v>IBG</v>
      </c>
      <c r="G1871" t="str">
        <f t="shared" si="785"/>
        <v>Refund COSHARE 10</v>
      </c>
      <c r="H1871" s="2">
        <v>1000.85</v>
      </c>
      <c r="I1871" t="str">
        <f>"SALOMA BINTI ISIB"</f>
        <v>SALOMA BINTI ISIB</v>
      </c>
      <c r="J1871" t="str">
        <f t="shared" si="761"/>
        <v>MAYBANK / MAYBANK ISLAMIC</v>
      </c>
      <c r="K1871" t="str">
        <f>"110059225290"</f>
        <v>110059225290</v>
      </c>
      <c r="L1871" t="str">
        <f t="shared" si="783"/>
        <v>04-08-2020</v>
      </c>
      <c r="M1871" t="str">
        <f t="shared" si="783"/>
        <v>04-08-2020</v>
      </c>
      <c r="N1871" t="str">
        <f t="shared" si="773"/>
        <v>001105018356</v>
      </c>
      <c r="O1871" t="str">
        <f t="shared" si="774"/>
        <v>MYR</v>
      </c>
      <c r="P1871" t="str">
        <f t="shared" si="784"/>
        <v>NIL</v>
      </c>
      <c r="Q1871" t="str">
        <f t="shared" si="784"/>
        <v>NIL</v>
      </c>
      <c r="R1871" t="str">
        <f t="shared" si="775"/>
        <v>Accepted</v>
      </c>
      <c r="S1871" t="str">
        <f t="shared" si="776"/>
        <v>Approved</v>
      </c>
      <c r="T1871" t="str">
        <f t="shared" si="777"/>
        <v>10.20.8.188</v>
      </c>
      <c r="U1871" t="str">
        <f t="shared" si="778"/>
        <v>AZRAD UMAR BIN SHAARI</v>
      </c>
      <c r="V1871" t="str">
        <f t="shared" si="779"/>
        <v>FARHANA BINTI MUSTAPA</v>
      </c>
      <c r="W1871" t="str">
        <f t="shared" si="780"/>
        <v>04-08-2020</v>
      </c>
      <c r="X1871" t="str">
        <f t="shared" si="781"/>
        <v>RAZIMAH ANSAR AHMAD</v>
      </c>
      <c r="Y1871" t="str">
        <f t="shared" si="782"/>
        <v>04-08-2020</v>
      </c>
      <c r="Z1871" t="str">
        <f>"COS10200804 7283"</f>
        <v>COS10200804 7283</v>
      </c>
    </row>
    <row r="1872" spans="1:26" x14ac:dyDescent="0.25">
      <c r="A1872" t="str">
        <f t="shared" si="768"/>
        <v>04-08-2020 01:06:46</v>
      </c>
      <c r="B1872" t="str">
        <f>"0000809081"</f>
        <v>0000809081</v>
      </c>
      <c r="C1872" t="str">
        <f t="shared" si="769"/>
        <v>0000808999</v>
      </c>
      <c r="D1872" t="str">
        <f t="shared" si="770"/>
        <v>73185</v>
      </c>
      <c r="E1872" t="str">
        <f t="shared" si="771"/>
        <v>KFH-OPERATIONS DEPARTMENT</v>
      </c>
      <c r="F1872" t="str">
        <f t="shared" si="772"/>
        <v>IBG</v>
      </c>
      <c r="G1872" t="str">
        <f t="shared" si="785"/>
        <v>Refund COSHARE 10</v>
      </c>
      <c r="H1872" s="2">
        <v>83.95</v>
      </c>
      <c r="I1872" t="str">
        <f>"SALMIAH BINTI SEDEK"</f>
        <v>SALMIAH BINTI SEDEK</v>
      </c>
      <c r="J1872" t="str">
        <f t="shared" si="761"/>
        <v>MAYBANK / MAYBANK ISLAMIC</v>
      </c>
      <c r="K1872" t="str">
        <f>"161109290957"</f>
        <v>161109290957</v>
      </c>
      <c r="L1872" t="str">
        <f t="shared" si="783"/>
        <v>04-08-2020</v>
      </c>
      <c r="M1872" t="str">
        <f t="shared" si="783"/>
        <v>04-08-2020</v>
      </c>
      <c r="N1872" t="str">
        <f t="shared" si="773"/>
        <v>001105018356</v>
      </c>
      <c r="O1872" t="str">
        <f t="shared" si="774"/>
        <v>MYR</v>
      </c>
      <c r="P1872" t="str">
        <f t="shared" si="784"/>
        <v>NIL</v>
      </c>
      <c r="Q1872" t="str">
        <f t="shared" si="784"/>
        <v>NIL</v>
      </c>
      <c r="R1872" t="str">
        <f t="shared" si="775"/>
        <v>Accepted</v>
      </c>
      <c r="S1872" t="str">
        <f t="shared" si="776"/>
        <v>Approved</v>
      </c>
      <c r="T1872" t="str">
        <f t="shared" si="777"/>
        <v>10.20.8.188</v>
      </c>
      <c r="U1872" t="str">
        <f t="shared" si="778"/>
        <v>AZRAD UMAR BIN SHAARI</v>
      </c>
      <c r="V1872" t="str">
        <f t="shared" si="779"/>
        <v>FARHANA BINTI MUSTAPA</v>
      </c>
      <c r="W1872" t="str">
        <f t="shared" si="780"/>
        <v>04-08-2020</v>
      </c>
      <c r="X1872" t="str">
        <f t="shared" si="781"/>
        <v>RAZIMAH ANSAR AHMAD</v>
      </c>
      <c r="Y1872" t="str">
        <f t="shared" si="782"/>
        <v>04-08-2020</v>
      </c>
      <c r="Z1872" t="str">
        <f>"COS10200804 7282"</f>
        <v>COS10200804 7282</v>
      </c>
    </row>
    <row r="1873" spans="1:26" x14ac:dyDescent="0.25">
      <c r="A1873" t="str">
        <f t="shared" si="768"/>
        <v>04-08-2020 01:06:46</v>
      </c>
      <c r="B1873" t="str">
        <f>"0000809080"</f>
        <v>0000809080</v>
      </c>
      <c r="C1873" t="str">
        <f t="shared" si="769"/>
        <v>0000808999</v>
      </c>
      <c r="D1873" t="str">
        <f t="shared" si="770"/>
        <v>73185</v>
      </c>
      <c r="E1873" t="str">
        <f t="shared" si="771"/>
        <v>KFH-OPERATIONS DEPARTMENT</v>
      </c>
      <c r="F1873" t="str">
        <f t="shared" si="772"/>
        <v>IBG</v>
      </c>
      <c r="G1873" t="str">
        <f t="shared" si="785"/>
        <v>Refund COSHARE 10</v>
      </c>
      <c r="H1873" s="2">
        <v>596.04999999999995</v>
      </c>
      <c r="I1873" t="str">
        <f>"SALMI BIN MAHAMAD HAMLI"</f>
        <v>SALMI BIN MAHAMAD HAMLI</v>
      </c>
      <c r="J1873" t="str">
        <f t="shared" ref="J1873:J1936" si="786">"MAYBANK / MAYBANK ISLAMIC"</f>
        <v>MAYBANK / MAYBANK ISLAMIC</v>
      </c>
      <c r="K1873" t="str">
        <f>"112269067317"</f>
        <v>112269067317</v>
      </c>
      <c r="L1873" t="str">
        <f t="shared" si="783"/>
        <v>04-08-2020</v>
      </c>
      <c r="M1873" t="str">
        <f t="shared" si="783"/>
        <v>04-08-2020</v>
      </c>
      <c r="N1873" t="str">
        <f t="shared" si="773"/>
        <v>001105018356</v>
      </c>
      <c r="O1873" t="str">
        <f t="shared" si="774"/>
        <v>MYR</v>
      </c>
      <c r="P1873" t="str">
        <f t="shared" si="784"/>
        <v>NIL</v>
      </c>
      <c r="Q1873" t="str">
        <f t="shared" si="784"/>
        <v>NIL</v>
      </c>
      <c r="R1873" t="str">
        <f t="shared" si="775"/>
        <v>Accepted</v>
      </c>
      <c r="S1873" t="str">
        <f t="shared" si="776"/>
        <v>Approved</v>
      </c>
      <c r="T1873" t="str">
        <f t="shared" si="777"/>
        <v>10.20.8.188</v>
      </c>
      <c r="U1873" t="str">
        <f t="shared" si="778"/>
        <v>AZRAD UMAR BIN SHAARI</v>
      </c>
      <c r="V1873" t="str">
        <f t="shared" si="779"/>
        <v>FARHANA BINTI MUSTAPA</v>
      </c>
      <c r="W1873" t="str">
        <f t="shared" si="780"/>
        <v>04-08-2020</v>
      </c>
      <c r="X1873" t="str">
        <f t="shared" si="781"/>
        <v>RAZIMAH ANSAR AHMAD</v>
      </c>
      <c r="Y1873" t="str">
        <f t="shared" si="782"/>
        <v>04-08-2020</v>
      </c>
      <c r="Z1873" t="str">
        <f>"COS10200804 7281"</f>
        <v>COS10200804 7281</v>
      </c>
    </row>
    <row r="1874" spans="1:26" x14ac:dyDescent="0.25">
      <c r="A1874" t="str">
        <f t="shared" si="768"/>
        <v>04-08-2020 01:06:46</v>
      </c>
      <c r="B1874" t="str">
        <f>"0000809079"</f>
        <v>0000809079</v>
      </c>
      <c r="C1874" t="str">
        <f t="shared" si="769"/>
        <v>0000808999</v>
      </c>
      <c r="D1874" t="str">
        <f t="shared" si="770"/>
        <v>73185</v>
      </c>
      <c r="E1874" t="str">
        <f t="shared" si="771"/>
        <v>KFH-OPERATIONS DEPARTMENT</v>
      </c>
      <c r="F1874" t="str">
        <f t="shared" si="772"/>
        <v>IBG</v>
      </c>
      <c r="G1874" t="str">
        <f t="shared" si="785"/>
        <v>Refund COSHARE 10</v>
      </c>
      <c r="H1874" s="2">
        <v>88.95</v>
      </c>
      <c r="I1874" t="str">
        <f>"SALMAN BIN IBRAHIM"</f>
        <v>SALMAN BIN IBRAHIM</v>
      </c>
      <c r="J1874" t="str">
        <f t="shared" si="786"/>
        <v>MAYBANK / MAYBANK ISLAMIC</v>
      </c>
      <c r="K1874" t="str">
        <f>"101011317423"</f>
        <v>101011317423</v>
      </c>
      <c r="L1874" t="str">
        <f t="shared" si="783"/>
        <v>04-08-2020</v>
      </c>
      <c r="M1874" t="str">
        <f t="shared" si="783"/>
        <v>04-08-2020</v>
      </c>
      <c r="N1874" t="str">
        <f t="shared" si="773"/>
        <v>001105018356</v>
      </c>
      <c r="O1874" t="str">
        <f t="shared" si="774"/>
        <v>MYR</v>
      </c>
      <c r="P1874" t="str">
        <f t="shared" si="784"/>
        <v>NIL</v>
      </c>
      <c r="Q1874" t="str">
        <f t="shared" si="784"/>
        <v>NIL</v>
      </c>
      <c r="R1874" t="str">
        <f t="shared" si="775"/>
        <v>Accepted</v>
      </c>
      <c r="S1874" t="str">
        <f t="shared" si="776"/>
        <v>Approved</v>
      </c>
      <c r="T1874" t="str">
        <f t="shared" si="777"/>
        <v>10.20.8.188</v>
      </c>
      <c r="U1874" t="str">
        <f t="shared" si="778"/>
        <v>AZRAD UMAR BIN SHAARI</v>
      </c>
      <c r="V1874" t="str">
        <f t="shared" si="779"/>
        <v>FARHANA BINTI MUSTAPA</v>
      </c>
      <c r="W1874" t="str">
        <f t="shared" si="780"/>
        <v>04-08-2020</v>
      </c>
      <c r="X1874" t="str">
        <f t="shared" si="781"/>
        <v>RAZIMAH ANSAR AHMAD</v>
      </c>
      <c r="Y1874" t="str">
        <f t="shared" si="782"/>
        <v>04-08-2020</v>
      </c>
      <c r="Z1874" t="str">
        <f>"COS10200804 7280"</f>
        <v>COS10200804 7280</v>
      </c>
    </row>
    <row r="1875" spans="1:26" x14ac:dyDescent="0.25">
      <c r="A1875" t="str">
        <f t="shared" si="768"/>
        <v>04-08-2020 01:06:46</v>
      </c>
      <c r="B1875" t="str">
        <f>"0000809078"</f>
        <v>0000809078</v>
      </c>
      <c r="C1875" t="str">
        <f t="shared" si="769"/>
        <v>0000808999</v>
      </c>
      <c r="D1875" t="str">
        <f t="shared" si="770"/>
        <v>73185</v>
      </c>
      <c r="E1875" t="str">
        <f t="shared" si="771"/>
        <v>KFH-OPERATIONS DEPARTMENT</v>
      </c>
      <c r="F1875" t="str">
        <f t="shared" si="772"/>
        <v>IBG</v>
      </c>
      <c r="G1875" t="str">
        <f t="shared" si="785"/>
        <v>Refund COSHARE 10</v>
      </c>
      <c r="H1875" s="2">
        <v>1277.3</v>
      </c>
      <c r="I1875" t="str">
        <f>"SALMA BINTI BIRAHIN"</f>
        <v>SALMA BINTI BIRAHIN</v>
      </c>
      <c r="J1875" t="str">
        <f t="shared" si="786"/>
        <v>MAYBANK / MAYBANK ISLAMIC</v>
      </c>
      <c r="K1875" t="str">
        <f>"164016038668"</f>
        <v>164016038668</v>
      </c>
      <c r="L1875" t="str">
        <f t="shared" si="783"/>
        <v>04-08-2020</v>
      </c>
      <c r="M1875" t="str">
        <f t="shared" si="783"/>
        <v>04-08-2020</v>
      </c>
      <c r="N1875" t="str">
        <f t="shared" si="773"/>
        <v>001105018356</v>
      </c>
      <c r="O1875" t="str">
        <f t="shared" si="774"/>
        <v>MYR</v>
      </c>
      <c r="P1875" t="str">
        <f t="shared" si="784"/>
        <v>NIL</v>
      </c>
      <c r="Q1875" t="str">
        <f t="shared" si="784"/>
        <v>NIL</v>
      </c>
      <c r="R1875" t="str">
        <f t="shared" si="775"/>
        <v>Accepted</v>
      </c>
      <c r="S1875" t="str">
        <f t="shared" si="776"/>
        <v>Approved</v>
      </c>
      <c r="T1875" t="str">
        <f t="shared" si="777"/>
        <v>10.20.8.188</v>
      </c>
      <c r="U1875" t="str">
        <f t="shared" si="778"/>
        <v>AZRAD UMAR BIN SHAARI</v>
      </c>
      <c r="V1875" t="str">
        <f t="shared" si="779"/>
        <v>FARHANA BINTI MUSTAPA</v>
      </c>
      <c r="W1875" t="str">
        <f t="shared" si="780"/>
        <v>04-08-2020</v>
      </c>
      <c r="X1875" t="str">
        <f t="shared" si="781"/>
        <v>RAZIMAH ANSAR AHMAD</v>
      </c>
      <c r="Y1875" t="str">
        <f t="shared" si="782"/>
        <v>04-08-2020</v>
      </c>
      <c r="Z1875" t="str">
        <f>"COS10200804 7279"</f>
        <v>COS10200804 7279</v>
      </c>
    </row>
    <row r="1876" spans="1:26" x14ac:dyDescent="0.25">
      <c r="A1876" t="str">
        <f t="shared" si="768"/>
        <v>04-08-2020 01:06:46</v>
      </c>
      <c r="B1876" t="str">
        <f>"0000809077"</f>
        <v>0000809077</v>
      </c>
      <c r="C1876" t="str">
        <f t="shared" si="769"/>
        <v>0000808999</v>
      </c>
      <c r="D1876" t="str">
        <f t="shared" si="770"/>
        <v>73185</v>
      </c>
      <c r="E1876" t="str">
        <f t="shared" si="771"/>
        <v>KFH-OPERATIONS DEPARTMENT</v>
      </c>
      <c r="F1876" t="str">
        <f t="shared" si="772"/>
        <v>IBG</v>
      </c>
      <c r="G1876" t="str">
        <f t="shared" si="785"/>
        <v>Refund COSHARE 10</v>
      </c>
      <c r="H1876" s="2">
        <v>228</v>
      </c>
      <c r="I1876" t="str">
        <f>"SALLEHUDDIN BIN ABDUL KARIM"</f>
        <v>SALLEHUDDIN BIN ABDUL KARIM</v>
      </c>
      <c r="J1876" t="str">
        <f t="shared" si="786"/>
        <v>MAYBANK / MAYBANK ISLAMIC</v>
      </c>
      <c r="K1876" t="str">
        <f>"106026124670"</f>
        <v>106026124670</v>
      </c>
      <c r="L1876" t="str">
        <f t="shared" si="783"/>
        <v>04-08-2020</v>
      </c>
      <c r="M1876" t="str">
        <f t="shared" si="783"/>
        <v>04-08-2020</v>
      </c>
      <c r="N1876" t="str">
        <f t="shared" si="773"/>
        <v>001105018356</v>
      </c>
      <c r="O1876" t="str">
        <f t="shared" si="774"/>
        <v>MYR</v>
      </c>
      <c r="P1876" t="str">
        <f t="shared" si="784"/>
        <v>NIL</v>
      </c>
      <c r="Q1876" t="str">
        <f t="shared" si="784"/>
        <v>NIL</v>
      </c>
      <c r="R1876" t="str">
        <f t="shared" si="775"/>
        <v>Accepted</v>
      </c>
      <c r="S1876" t="str">
        <f t="shared" si="776"/>
        <v>Approved</v>
      </c>
      <c r="T1876" t="str">
        <f t="shared" si="777"/>
        <v>10.20.8.188</v>
      </c>
      <c r="U1876" t="str">
        <f t="shared" si="778"/>
        <v>AZRAD UMAR BIN SHAARI</v>
      </c>
      <c r="V1876" t="str">
        <f t="shared" si="779"/>
        <v>FARHANA BINTI MUSTAPA</v>
      </c>
      <c r="W1876" t="str">
        <f t="shared" si="780"/>
        <v>04-08-2020</v>
      </c>
      <c r="X1876" t="str">
        <f t="shared" si="781"/>
        <v>RAZIMAH ANSAR AHMAD</v>
      </c>
      <c r="Y1876" t="str">
        <f t="shared" si="782"/>
        <v>04-08-2020</v>
      </c>
      <c r="Z1876" t="str">
        <f>"COS10200804 7278"</f>
        <v>COS10200804 7278</v>
      </c>
    </row>
    <row r="1877" spans="1:26" x14ac:dyDescent="0.25">
      <c r="A1877" t="str">
        <f t="shared" si="768"/>
        <v>04-08-2020 01:06:46</v>
      </c>
      <c r="B1877" t="str">
        <f>"0000809076"</f>
        <v>0000809076</v>
      </c>
      <c r="C1877" t="str">
        <f t="shared" si="769"/>
        <v>0000808999</v>
      </c>
      <c r="D1877" t="str">
        <f t="shared" si="770"/>
        <v>73185</v>
      </c>
      <c r="E1877" t="str">
        <f t="shared" si="771"/>
        <v>KFH-OPERATIONS DEPARTMENT</v>
      </c>
      <c r="F1877" t="str">
        <f t="shared" si="772"/>
        <v>IBG</v>
      </c>
      <c r="G1877" t="str">
        <f t="shared" si="785"/>
        <v>Refund COSHARE 10</v>
      </c>
      <c r="H1877" s="2">
        <v>228</v>
      </c>
      <c r="I1877" t="str">
        <f>"SALLEHUDDIN BIN ABDUL KARIM"</f>
        <v>SALLEHUDDIN BIN ABDUL KARIM</v>
      </c>
      <c r="J1877" t="str">
        <f t="shared" si="786"/>
        <v>MAYBANK / MAYBANK ISLAMIC</v>
      </c>
      <c r="K1877" t="str">
        <f>"106026124670"</f>
        <v>106026124670</v>
      </c>
      <c r="L1877" t="str">
        <f t="shared" si="783"/>
        <v>04-08-2020</v>
      </c>
      <c r="M1877" t="str">
        <f t="shared" si="783"/>
        <v>04-08-2020</v>
      </c>
      <c r="N1877" t="str">
        <f t="shared" si="773"/>
        <v>001105018356</v>
      </c>
      <c r="O1877" t="str">
        <f t="shared" si="774"/>
        <v>MYR</v>
      </c>
      <c r="P1877" t="str">
        <f t="shared" si="784"/>
        <v>NIL</v>
      </c>
      <c r="Q1877" t="str">
        <f t="shared" si="784"/>
        <v>NIL</v>
      </c>
      <c r="R1877" t="str">
        <f t="shared" si="775"/>
        <v>Accepted</v>
      </c>
      <c r="S1877" t="str">
        <f t="shared" si="776"/>
        <v>Approved</v>
      </c>
      <c r="T1877" t="str">
        <f t="shared" si="777"/>
        <v>10.20.8.188</v>
      </c>
      <c r="U1877" t="str">
        <f t="shared" si="778"/>
        <v>AZRAD UMAR BIN SHAARI</v>
      </c>
      <c r="V1877" t="str">
        <f t="shared" si="779"/>
        <v>FARHANA BINTI MUSTAPA</v>
      </c>
      <c r="W1877" t="str">
        <f t="shared" si="780"/>
        <v>04-08-2020</v>
      </c>
      <c r="X1877" t="str">
        <f t="shared" si="781"/>
        <v>RAZIMAH ANSAR AHMAD</v>
      </c>
      <c r="Y1877" t="str">
        <f t="shared" si="782"/>
        <v>04-08-2020</v>
      </c>
      <c r="Z1877" t="str">
        <f>"COS10200804 7277"</f>
        <v>COS10200804 7277</v>
      </c>
    </row>
    <row r="1878" spans="1:26" x14ac:dyDescent="0.25">
      <c r="A1878" t="str">
        <f t="shared" si="768"/>
        <v>04-08-2020 01:06:46</v>
      </c>
      <c r="B1878" t="str">
        <f>"0000809075"</f>
        <v>0000809075</v>
      </c>
      <c r="C1878" t="str">
        <f t="shared" si="769"/>
        <v>0000808999</v>
      </c>
      <c r="D1878" t="str">
        <f t="shared" si="770"/>
        <v>73185</v>
      </c>
      <c r="E1878" t="str">
        <f t="shared" si="771"/>
        <v>KFH-OPERATIONS DEPARTMENT</v>
      </c>
      <c r="F1878" t="str">
        <f t="shared" si="772"/>
        <v>IBG</v>
      </c>
      <c r="G1878" t="str">
        <f t="shared" si="785"/>
        <v>Refund COSHARE 10</v>
      </c>
      <c r="H1878" s="2">
        <v>366</v>
      </c>
      <c r="I1878" t="str">
        <f>"SALIZAWATI BINTI MOHAMED"</f>
        <v>SALIZAWATI BINTI MOHAMED</v>
      </c>
      <c r="J1878" t="str">
        <f t="shared" si="786"/>
        <v>MAYBANK / MAYBANK ISLAMIC</v>
      </c>
      <c r="K1878" t="str">
        <f>"151164016877"</f>
        <v>151164016877</v>
      </c>
      <c r="L1878" t="str">
        <f t="shared" si="783"/>
        <v>04-08-2020</v>
      </c>
      <c r="M1878" t="str">
        <f t="shared" si="783"/>
        <v>04-08-2020</v>
      </c>
      <c r="N1878" t="str">
        <f t="shared" si="773"/>
        <v>001105018356</v>
      </c>
      <c r="O1878" t="str">
        <f t="shared" si="774"/>
        <v>MYR</v>
      </c>
      <c r="P1878" t="str">
        <f t="shared" si="784"/>
        <v>NIL</v>
      </c>
      <c r="Q1878" t="str">
        <f t="shared" si="784"/>
        <v>NIL</v>
      </c>
      <c r="R1878" t="str">
        <f t="shared" si="775"/>
        <v>Accepted</v>
      </c>
      <c r="S1878" t="str">
        <f t="shared" si="776"/>
        <v>Approved</v>
      </c>
      <c r="T1878" t="str">
        <f t="shared" si="777"/>
        <v>10.20.8.188</v>
      </c>
      <c r="U1878" t="str">
        <f t="shared" si="778"/>
        <v>AZRAD UMAR BIN SHAARI</v>
      </c>
      <c r="V1878" t="str">
        <f t="shared" si="779"/>
        <v>FARHANA BINTI MUSTAPA</v>
      </c>
      <c r="W1878" t="str">
        <f t="shared" si="780"/>
        <v>04-08-2020</v>
      </c>
      <c r="X1878" t="str">
        <f t="shared" si="781"/>
        <v>RAZIMAH ANSAR AHMAD</v>
      </c>
      <c r="Y1878" t="str">
        <f t="shared" si="782"/>
        <v>04-08-2020</v>
      </c>
      <c r="Z1878" t="str">
        <f>"COS10200804 7276"</f>
        <v>COS10200804 7276</v>
      </c>
    </row>
    <row r="1879" spans="1:26" x14ac:dyDescent="0.25">
      <c r="A1879" t="str">
        <f t="shared" si="768"/>
        <v>04-08-2020 01:06:46</v>
      </c>
      <c r="B1879" t="str">
        <f>"0000809074"</f>
        <v>0000809074</v>
      </c>
      <c r="C1879" t="str">
        <f t="shared" si="769"/>
        <v>0000808999</v>
      </c>
      <c r="D1879" t="str">
        <f t="shared" si="770"/>
        <v>73185</v>
      </c>
      <c r="E1879" t="str">
        <f t="shared" si="771"/>
        <v>KFH-OPERATIONS DEPARTMENT</v>
      </c>
      <c r="F1879" t="str">
        <f t="shared" si="772"/>
        <v>IBG</v>
      </c>
      <c r="G1879" t="str">
        <f t="shared" si="785"/>
        <v>Refund COSHARE 10</v>
      </c>
      <c r="H1879" s="2">
        <v>125.95</v>
      </c>
      <c r="I1879" t="str">
        <f>"SALIZAM BIN MD DAUD"</f>
        <v>SALIZAM BIN MD DAUD</v>
      </c>
      <c r="J1879" t="str">
        <f t="shared" si="786"/>
        <v>MAYBANK / MAYBANK ISLAMIC</v>
      </c>
      <c r="K1879" t="str">
        <f>"152107021719"</f>
        <v>152107021719</v>
      </c>
      <c r="L1879" t="str">
        <f t="shared" si="783"/>
        <v>04-08-2020</v>
      </c>
      <c r="M1879" t="str">
        <f t="shared" si="783"/>
        <v>04-08-2020</v>
      </c>
      <c r="N1879" t="str">
        <f t="shared" si="773"/>
        <v>001105018356</v>
      </c>
      <c r="O1879" t="str">
        <f t="shared" si="774"/>
        <v>MYR</v>
      </c>
      <c r="P1879" t="str">
        <f t="shared" si="784"/>
        <v>NIL</v>
      </c>
      <c r="Q1879" t="str">
        <f t="shared" si="784"/>
        <v>NIL</v>
      </c>
      <c r="R1879" t="str">
        <f t="shared" si="775"/>
        <v>Accepted</v>
      </c>
      <c r="S1879" t="str">
        <f t="shared" si="776"/>
        <v>Approved</v>
      </c>
      <c r="T1879" t="str">
        <f t="shared" si="777"/>
        <v>10.20.8.188</v>
      </c>
      <c r="U1879" t="str">
        <f t="shared" si="778"/>
        <v>AZRAD UMAR BIN SHAARI</v>
      </c>
      <c r="V1879" t="str">
        <f t="shared" si="779"/>
        <v>FARHANA BINTI MUSTAPA</v>
      </c>
      <c r="W1879" t="str">
        <f t="shared" si="780"/>
        <v>04-08-2020</v>
      </c>
      <c r="X1879" t="str">
        <f t="shared" si="781"/>
        <v>RAZIMAH ANSAR AHMAD</v>
      </c>
      <c r="Y1879" t="str">
        <f t="shared" si="782"/>
        <v>04-08-2020</v>
      </c>
      <c r="Z1879" t="str">
        <f>"COS10200804 7275"</f>
        <v>COS10200804 7275</v>
      </c>
    </row>
    <row r="1880" spans="1:26" x14ac:dyDescent="0.25">
      <c r="A1880" t="str">
        <f t="shared" si="768"/>
        <v>04-08-2020 01:06:46</v>
      </c>
      <c r="B1880" t="str">
        <f>"0000809073"</f>
        <v>0000809073</v>
      </c>
      <c r="C1880" t="str">
        <f t="shared" si="769"/>
        <v>0000808999</v>
      </c>
      <c r="D1880" t="str">
        <f t="shared" si="770"/>
        <v>73185</v>
      </c>
      <c r="E1880" t="str">
        <f t="shared" si="771"/>
        <v>KFH-OPERATIONS DEPARTMENT</v>
      </c>
      <c r="F1880" t="str">
        <f t="shared" si="772"/>
        <v>IBG</v>
      </c>
      <c r="G1880" t="str">
        <f t="shared" si="785"/>
        <v>Refund COSHARE 10</v>
      </c>
      <c r="H1880" s="2">
        <v>1017.15</v>
      </c>
      <c r="I1880" t="str">
        <f>"SALIZA BINTI SALEH"</f>
        <v>SALIZA BINTI SALEH</v>
      </c>
      <c r="J1880" t="str">
        <f t="shared" si="786"/>
        <v>MAYBANK / MAYBANK ISLAMIC</v>
      </c>
      <c r="K1880" t="str">
        <f>"101011306879"</f>
        <v>101011306879</v>
      </c>
      <c r="L1880" t="str">
        <f t="shared" si="783"/>
        <v>04-08-2020</v>
      </c>
      <c r="M1880" t="str">
        <f t="shared" si="783"/>
        <v>04-08-2020</v>
      </c>
      <c r="N1880" t="str">
        <f t="shared" si="773"/>
        <v>001105018356</v>
      </c>
      <c r="O1880" t="str">
        <f t="shared" si="774"/>
        <v>MYR</v>
      </c>
      <c r="P1880" t="str">
        <f t="shared" si="784"/>
        <v>NIL</v>
      </c>
      <c r="Q1880" t="str">
        <f t="shared" si="784"/>
        <v>NIL</v>
      </c>
      <c r="R1880" t="str">
        <f t="shared" si="775"/>
        <v>Accepted</v>
      </c>
      <c r="S1880" t="str">
        <f t="shared" si="776"/>
        <v>Approved</v>
      </c>
      <c r="T1880" t="str">
        <f t="shared" si="777"/>
        <v>10.20.8.188</v>
      </c>
      <c r="U1880" t="str">
        <f t="shared" si="778"/>
        <v>AZRAD UMAR BIN SHAARI</v>
      </c>
      <c r="V1880" t="str">
        <f t="shared" si="779"/>
        <v>FARHANA BINTI MUSTAPA</v>
      </c>
      <c r="W1880" t="str">
        <f t="shared" si="780"/>
        <v>04-08-2020</v>
      </c>
      <c r="X1880" t="str">
        <f t="shared" si="781"/>
        <v>RAZIMAH ANSAR AHMAD</v>
      </c>
      <c r="Y1880" t="str">
        <f t="shared" si="782"/>
        <v>04-08-2020</v>
      </c>
      <c r="Z1880" t="str">
        <f>"COS10200804 7274"</f>
        <v>COS10200804 7274</v>
      </c>
    </row>
    <row r="1881" spans="1:26" x14ac:dyDescent="0.25">
      <c r="A1881" t="str">
        <f t="shared" si="768"/>
        <v>04-08-2020 01:06:46</v>
      </c>
      <c r="B1881" t="str">
        <f>"0000809072"</f>
        <v>0000809072</v>
      </c>
      <c r="C1881" t="str">
        <f t="shared" si="769"/>
        <v>0000808999</v>
      </c>
      <c r="D1881" t="str">
        <f t="shared" si="770"/>
        <v>73185</v>
      </c>
      <c r="E1881" t="str">
        <f t="shared" si="771"/>
        <v>KFH-OPERATIONS DEPARTMENT</v>
      </c>
      <c r="F1881" t="str">
        <f t="shared" si="772"/>
        <v>IBG</v>
      </c>
      <c r="G1881" t="str">
        <f t="shared" si="785"/>
        <v>Refund COSHARE 10</v>
      </c>
      <c r="H1881" s="2">
        <v>159.5</v>
      </c>
      <c r="I1881" t="str">
        <f>"SALINI BIN SULAIMAN"</f>
        <v>SALINI BIN SULAIMAN</v>
      </c>
      <c r="J1881" t="str">
        <f t="shared" si="786"/>
        <v>MAYBANK / MAYBANK ISLAMIC</v>
      </c>
      <c r="K1881" t="str">
        <f>"153047013735"</f>
        <v>153047013735</v>
      </c>
      <c r="L1881" t="str">
        <f t="shared" si="783"/>
        <v>04-08-2020</v>
      </c>
      <c r="M1881" t="str">
        <f t="shared" si="783"/>
        <v>04-08-2020</v>
      </c>
      <c r="N1881" t="str">
        <f t="shared" si="773"/>
        <v>001105018356</v>
      </c>
      <c r="O1881" t="str">
        <f t="shared" si="774"/>
        <v>MYR</v>
      </c>
      <c r="P1881" t="str">
        <f t="shared" si="784"/>
        <v>NIL</v>
      </c>
      <c r="Q1881" t="str">
        <f t="shared" si="784"/>
        <v>NIL</v>
      </c>
      <c r="R1881" t="str">
        <f t="shared" si="775"/>
        <v>Accepted</v>
      </c>
      <c r="S1881" t="str">
        <f t="shared" si="776"/>
        <v>Approved</v>
      </c>
      <c r="T1881" t="str">
        <f t="shared" si="777"/>
        <v>10.20.8.188</v>
      </c>
      <c r="U1881" t="str">
        <f t="shared" si="778"/>
        <v>AZRAD UMAR BIN SHAARI</v>
      </c>
      <c r="V1881" t="str">
        <f t="shared" si="779"/>
        <v>FARHANA BINTI MUSTAPA</v>
      </c>
      <c r="W1881" t="str">
        <f t="shared" si="780"/>
        <v>04-08-2020</v>
      </c>
      <c r="X1881" t="str">
        <f t="shared" si="781"/>
        <v>RAZIMAH ANSAR AHMAD</v>
      </c>
      <c r="Y1881" t="str">
        <f t="shared" si="782"/>
        <v>04-08-2020</v>
      </c>
      <c r="Z1881" t="str">
        <f>"COS10200804 7273"</f>
        <v>COS10200804 7273</v>
      </c>
    </row>
    <row r="1882" spans="1:26" x14ac:dyDescent="0.25">
      <c r="A1882" t="str">
        <f t="shared" ref="A1882:A1913" si="787">"04-08-2020 01:06:46"</f>
        <v>04-08-2020 01:06:46</v>
      </c>
      <c r="B1882" t="str">
        <f>"0000809071"</f>
        <v>0000809071</v>
      </c>
      <c r="C1882" t="str">
        <f t="shared" ref="C1882:C1913" si="788">"0000808999"</f>
        <v>0000808999</v>
      </c>
      <c r="D1882" t="str">
        <f t="shared" si="770"/>
        <v>73185</v>
      </c>
      <c r="E1882" t="str">
        <f t="shared" si="771"/>
        <v>KFH-OPERATIONS DEPARTMENT</v>
      </c>
      <c r="F1882" t="str">
        <f t="shared" si="772"/>
        <v>IBG</v>
      </c>
      <c r="G1882" t="str">
        <f t="shared" si="785"/>
        <v>Refund COSHARE 10</v>
      </c>
      <c r="H1882" s="2">
        <v>42</v>
      </c>
      <c r="I1882" t="str">
        <f>"SALINAH BINTI ABU"</f>
        <v>SALINAH BINTI ABU</v>
      </c>
      <c r="J1882" t="str">
        <f t="shared" si="786"/>
        <v>MAYBANK / MAYBANK ISLAMIC</v>
      </c>
      <c r="K1882" t="str">
        <f>"101413058445"</f>
        <v>101413058445</v>
      </c>
      <c r="L1882" t="str">
        <f t="shared" si="783"/>
        <v>04-08-2020</v>
      </c>
      <c r="M1882" t="str">
        <f t="shared" si="783"/>
        <v>04-08-2020</v>
      </c>
      <c r="N1882" t="str">
        <f t="shared" si="773"/>
        <v>001105018356</v>
      </c>
      <c r="O1882" t="str">
        <f t="shared" si="774"/>
        <v>MYR</v>
      </c>
      <c r="P1882" t="str">
        <f t="shared" si="784"/>
        <v>NIL</v>
      </c>
      <c r="Q1882" t="str">
        <f t="shared" si="784"/>
        <v>NIL</v>
      </c>
      <c r="R1882" t="str">
        <f t="shared" si="775"/>
        <v>Accepted</v>
      </c>
      <c r="S1882" t="str">
        <f t="shared" si="776"/>
        <v>Approved</v>
      </c>
      <c r="T1882" t="str">
        <f t="shared" si="777"/>
        <v>10.20.8.188</v>
      </c>
      <c r="U1882" t="str">
        <f t="shared" si="778"/>
        <v>AZRAD UMAR BIN SHAARI</v>
      </c>
      <c r="V1882" t="str">
        <f t="shared" si="779"/>
        <v>FARHANA BINTI MUSTAPA</v>
      </c>
      <c r="W1882" t="str">
        <f t="shared" si="780"/>
        <v>04-08-2020</v>
      </c>
      <c r="X1882" t="str">
        <f t="shared" si="781"/>
        <v>RAZIMAH ANSAR AHMAD</v>
      </c>
      <c r="Y1882" t="str">
        <f t="shared" si="782"/>
        <v>04-08-2020</v>
      </c>
      <c r="Z1882" t="str">
        <f>"COS10200804 7272"</f>
        <v>COS10200804 7272</v>
      </c>
    </row>
    <row r="1883" spans="1:26" x14ac:dyDescent="0.25">
      <c r="A1883" t="str">
        <f t="shared" si="787"/>
        <v>04-08-2020 01:06:46</v>
      </c>
      <c r="B1883" t="str">
        <f>"0000809070"</f>
        <v>0000809070</v>
      </c>
      <c r="C1883" t="str">
        <f t="shared" si="788"/>
        <v>0000808999</v>
      </c>
      <c r="D1883" t="str">
        <f t="shared" si="770"/>
        <v>73185</v>
      </c>
      <c r="E1883" t="str">
        <f t="shared" si="771"/>
        <v>KFH-OPERATIONS DEPARTMENT</v>
      </c>
      <c r="F1883" t="str">
        <f t="shared" si="772"/>
        <v>IBG</v>
      </c>
      <c r="G1883" t="str">
        <f t="shared" si="785"/>
        <v>Refund COSHARE 10</v>
      </c>
      <c r="H1883" s="2">
        <v>545.70000000000005</v>
      </c>
      <c r="I1883" t="str">
        <f>"SALINA BT MAMAT"</f>
        <v>SALINA BT MAMAT</v>
      </c>
      <c r="J1883" t="str">
        <f t="shared" si="786"/>
        <v>MAYBANK / MAYBANK ISLAMIC</v>
      </c>
      <c r="K1883" t="str">
        <f>"164548078539"</f>
        <v>164548078539</v>
      </c>
      <c r="L1883" t="str">
        <f t="shared" si="783"/>
        <v>04-08-2020</v>
      </c>
      <c r="M1883" t="str">
        <f t="shared" si="783"/>
        <v>04-08-2020</v>
      </c>
      <c r="N1883" t="str">
        <f t="shared" si="773"/>
        <v>001105018356</v>
      </c>
      <c r="O1883" t="str">
        <f t="shared" si="774"/>
        <v>MYR</v>
      </c>
      <c r="P1883" t="str">
        <f t="shared" si="784"/>
        <v>NIL</v>
      </c>
      <c r="Q1883" t="str">
        <f t="shared" si="784"/>
        <v>NIL</v>
      </c>
      <c r="R1883" t="str">
        <f t="shared" si="775"/>
        <v>Accepted</v>
      </c>
      <c r="S1883" t="str">
        <f t="shared" si="776"/>
        <v>Approved</v>
      </c>
      <c r="T1883" t="str">
        <f t="shared" si="777"/>
        <v>10.20.8.188</v>
      </c>
      <c r="U1883" t="str">
        <f t="shared" si="778"/>
        <v>AZRAD UMAR BIN SHAARI</v>
      </c>
      <c r="V1883" t="str">
        <f t="shared" si="779"/>
        <v>FARHANA BINTI MUSTAPA</v>
      </c>
      <c r="W1883" t="str">
        <f t="shared" si="780"/>
        <v>04-08-2020</v>
      </c>
      <c r="X1883" t="str">
        <f t="shared" si="781"/>
        <v>RAZIMAH ANSAR AHMAD</v>
      </c>
      <c r="Y1883" t="str">
        <f t="shared" si="782"/>
        <v>04-08-2020</v>
      </c>
      <c r="Z1883" t="str">
        <f>"COS10200804 7271"</f>
        <v>COS10200804 7271</v>
      </c>
    </row>
    <row r="1884" spans="1:26" x14ac:dyDescent="0.25">
      <c r="A1884" t="str">
        <f t="shared" si="787"/>
        <v>04-08-2020 01:06:46</v>
      </c>
      <c r="B1884" t="str">
        <f>"0000809069"</f>
        <v>0000809069</v>
      </c>
      <c r="C1884" t="str">
        <f t="shared" si="788"/>
        <v>0000808999</v>
      </c>
      <c r="D1884" t="str">
        <f t="shared" si="770"/>
        <v>73185</v>
      </c>
      <c r="E1884" t="str">
        <f t="shared" si="771"/>
        <v>KFH-OPERATIONS DEPARTMENT</v>
      </c>
      <c r="F1884" t="str">
        <f t="shared" si="772"/>
        <v>IBG</v>
      </c>
      <c r="G1884" t="str">
        <f t="shared" si="785"/>
        <v>Refund COSHARE 10</v>
      </c>
      <c r="H1884" s="2">
        <v>545.70000000000005</v>
      </c>
      <c r="I1884" t="str">
        <f>"SALINA BT MAMAT"</f>
        <v>SALINA BT MAMAT</v>
      </c>
      <c r="J1884" t="str">
        <f t="shared" si="786"/>
        <v>MAYBANK / MAYBANK ISLAMIC</v>
      </c>
      <c r="K1884" t="str">
        <f>"164548078539"</f>
        <v>164548078539</v>
      </c>
      <c r="L1884" t="str">
        <f t="shared" si="783"/>
        <v>04-08-2020</v>
      </c>
      <c r="M1884" t="str">
        <f t="shared" si="783"/>
        <v>04-08-2020</v>
      </c>
      <c r="N1884" t="str">
        <f t="shared" si="773"/>
        <v>001105018356</v>
      </c>
      <c r="O1884" t="str">
        <f t="shared" si="774"/>
        <v>MYR</v>
      </c>
      <c r="P1884" t="str">
        <f t="shared" si="784"/>
        <v>NIL</v>
      </c>
      <c r="Q1884" t="str">
        <f t="shared" si="784"/>
        <v>NIL</v>
      </c>
      <c r="R1884" t="str">
        <f t="shared" si="775"/>
        <v>Accepted</v>
      </c>
      <c r="S1884" t="str">
        <f t="shared" si="776"/>
        <v>Approved</v>
      </c>
      <c r="T1884" t="str">
        <f t="shared" si="777"/>
        <v>10.20.8.188</v>
      </c>
      <c r="U1884" t="str">
        <f t="shared" si="778"/>
        <v>AZRAD UMAR BIN SHAARI</v>
      </c>
      <c r="V1884" t="str">
        <f t="shared" si="779"/>
        <v>FARHANA BINTI MUSTAPA</v>
      </c>
      <c r="W1884" t="str">
        <f t="shared" si="780"/>
        <v>04-08-2020</v>
      </c>
      <c r="X1884" t="str">
        <f t="shared" si="781"/>
        <v>RAZIMAH ANSAR AHMAD</v>
      </c>
      <c r="Y1884" t="str">
        <f t="shared" si="782"/>
        <v>04-08-2020</v>
      </c>
      <c r="Z1884" t="str">
        <f>"COS10200804 7270"</f>
        <v>COS10200804 7270</v>
      </c>
    </row>
    <row r="1885" spans="1:26" x14ac:dyDescent="0.25">
      <c r="A1885" t="str">
        <f t="shared" si="787"/>
        <v>04-08-2020 01:06:46</v>
      </c>
      <c r="B1885" t="str">
        <f>"0000809068"</f>
        <v>0000809068</v>
      </c>
      <c r="C1885" t="str">
        <f t="shared" si="788"/>
        <v>0000808999</v>
      </c>
      <c r="D1885" t="str">
        <f t="shared" si="770"/>
        <v>73185</v>
      </c>
      <c r="E1885" t="str">
        <f t="shared" si="771"/>
        <v>KFH-OPERATIONS DEPARTMENT</v>
      </c>
      <c r="F1885" t="str">
        <f t="shared" si="772"/>
        <v>IBG</v>
      </c>
      <c r="G1885" t="str">
        <f t="shared" si="785"/>
        <v>Refund COSHARE 10</v>
      </c>
      <c r="H1885" s="2">
        <v>530.70000000000005</v>
      </c>
      <c r="I1885" t="str">
        <f>"SALINA BINTI SERUNAI"</f>
        <v>SALINA BINTI SERUNAI</v>
      </c>
      <c r="J1885" t="str">
        <f t="shared" si="786"/>
        <v>MAYBANK / MAYBANK ISLAMIC</v>
      </c>
      <c r="K1885" t="str">
        <f>"160148994628"</f>
        <v>160148994628</v>
      </c>
      <c r="L1885" t="str">
        <f t="shared" si="783"/>
        <v>04-08-2020</v>
      </c>
      <c r="M1885" t="str">
        <f t="shared" si="783"/>
        <v>04-08-2020</v>
      </c>
      <c r="N1885" t="str">
        <f t="shared" si="773"/>
        <v>001105018356</v>
      </c>
      <c r="O1885" t="str">
        <f t="shared" si="774"/>
        <v>MYR</v>
      </c>
      <c r="P1885" t="str">
        <f t="shared" si="784"/>
        <v>NIL</v>
      </c>
      <c r="Q1885" t="str">
        <f t="shared" si="784"/>
        <v>NIL</v>
      </c>
      <c r="R1885" t="str">
        <f t="shared" si="775"/>
        <v>Accepted</v>
      </c>
      <c r="S1885" t="str">
        <f t="shared" si="776"/>
        <v>Approved</v>
      </c>
      <c r="T1885" t="str">
        <f t="shared" si="777"/>
        <v>10.20.8.188</v>
      </c>
      <c r="U1885" t="str">
        <f t="shared" si="778"/>
        <v>AZRAD UMAR BIN SHAARI</v>
      </c>
      <c r="V1885" t="str">
        <f t="shared" si="779"/>
        <v>FARHANA BINTI MUSTAPA</v>
      </c>
      <c r="W1885" t="str">
        <f t="shared" si="780"/>
        <v>04-08-2020</v>
      </c>
      <c r="X1885" t="str">
        <f t="shared" si="781"/>
        <v>RAZIMAH ANSAR AHMAD</v>
      </c>
      <c r="Y1885" t="str">
        <f t="shared" si="782"/>
        <v>04-08-2020</v>
      </c>
      <c r="Z1885" t="str">
        <f>"COS10200804 7269"</f>
        <v>COS10200804 7269</v>
      </c>
    </row>
    <row r="1886" spans="1:26" x14ac:dyDescent="0.25">
      <c r="A1886" t="str">
        <f t="shared" si="787"/>
        <v>04-08-2020 01:06:46</v>
      </c>
      <c r="B1886" t="str">
        <f>"0000809067"</f>
        <v>0000809067</v>
      </c>
      <c r="C1886" t="str">
        <f t="shared" si="788"/>
        <v>0000808999</v>
      </c>
      <c r="D1886" t="str">
        <f t="shared" si="770"/>
        <v>73185</v>
      </c>
      <c r="E1886" t="str">
        <f t="shared" si="771"/>
        <v>KFH-OPERATIONS DEPARTMENT</v>
      </c>
      <c r="F1886" t="str">
        <f t="shared" si="772"/>
        <v>IBG</v>
      </c>
      <c r="G1886" t="str">
        <f t="shared" si="785"/>
        <v>Refund COSHARE 10</v>
      </c>
      <c r="H1886" s="2">
        <v>167.9</v>
      </c>
      <c r="I1886" t="str">
        <f>"SALINA BINTI MAT YUNUS"</f>
        <v>SALINA BINTI MAT YUNUS</v>
      </c>
      <c r="J1886" t="str">
        <f t="shared" si="786"/>
        <v>MAYBANK / MAYBANK ISLAMIC</v>
      </c>
      <c r="K1886" t="str">
        <f>"151017167064"</f>
        <v>151017167064</v>
      </c>
      <c r="L1886" t="str">
        <f t="shared" si="783"/>
        <v>04-08-2020</v>
      </c>
      <c r="M1886" t="str">
        <f t="shared" si="783"/>
        <v>04-08-2020</v>
      </c>
      <c r="N1886" t="str">
        <f t="shared" si="773"/>
        <v>001105018356</v>
      </c>
      <c r="O1886" t="str">
        <f t="shared" si="774"/>
        <v>MYR</v>
      </c>
      <c r="P1886" t="str">
        <f t="shared" si="784"/>
        <v>NIL</v>
      </c>
      <c r="Q1886" t="str">
        <f t="shared" si="784"/>
        <v>NIL</v>
      </c>
      <c r="R1886" t="str">
        <f t="shared" si="775"/>
        <v>Accepted</v>
      </c>
      <c r="S1886" t="str">
        <f t="shared" si="776"/>
        <v>Approved</v>
      </c>
      <c r="T1886" t="str">
        <f t="shared" si="777"/>
        <v>10.20.8.188</v>
      </c>
      <c r="U1886" t="str">
        <f t="shared" si="778"/>
        <v>AZRAD UMAR BIN SHAARI</v>
      </c>
      <c r="V1886" t="str">
        <f t="shared" si="779"/>
        <v>FARHANA BINTI MUSTAPA</v>
      </c>
      <c r="W1886" t="str">
        <f t="shared" si="780"/>
        <v>04-08-2020</v>
      </c>
      <c r="X1886" t="str">
        <f t="shared" si="781"/>
        <v>RAZIMAH ANSAR AHMAD</v>
      </c>
      <c r="Y1886" t="str">
        <f t="shared" si="782"/>
        <v>04-08-2020</v>
      </c>
      <c r="Z1886" t="str">
        <f>"COS10200804 7268"</f>
        <v>COS10200804 7268</v>
      </c>
    </row>
    <row r="1887" spans="1:26" x14ac:dyDescent="0.25">
      <c r="A1887" t="str">
        <f t="shared" si="787"/>
        <v>04-08-2020 01:06:46</v>
      </c>
      <c r="B1887" t="str">
        <f>"0000809066"</f>
        <v>0000809066</v>
      </c>
      <c r="C1887" t="str">
        <f t="shared" si="788"/>
        <v>0000808999</v>
      </c>
      <c r="D1887" t="str">
        <f t="shared" si="770"/>
        <v>73185</v>
      </c>
      <c r="E1887" t="str">
        <f t="shared" si="771"/>
        <v>KFH-OPERATIONS DEPARTMENT</v>
      </c>
      <c r="F1887" t="str">
        <f t="shared" si="772"/>
        <v>IBG</v>
      </c>
      <c r="G1887" t="str">
        <f t="shared" si="785"/>
        <v>Refund COSHARE 10</v>
      </c>
      <c r="H1887" s="2">
        <v>965.45</v>
      </c>
      <c r="I1887" t="str">
        <f>"SALINA BINTI ISMAIL"</f>
        <v>SALINA BINTI ISMAIL</v>
      </c>
      <c r="J1887" t="str">
        <f t="shared" si="786"/>
        <v>MAYBANK / MAYBANK ISLAMIC</v>
      </c>
      <c r="K1887" t="str">
        <f>"156039327789"</f>
        <v>156039327789</v>
      </c>
      <c r="L1887" t="str">
        <f t="shared" ref="L1887:M1906" si="789">"04-08-2020"</f>
        <v>04-08-2020</v>
      </c>
      <c r="M1887" t="str">
        <f t="shared" si="789"/>
        <v>04-08-2020</v>
      </c>
      <c r="N1887" t="str">
        <f t="shared" si="773"/>
        <v>001105018356</v>
      </c>
      <c r="O1887" t="str">
        <f t="shared" si="774"/>
        <v>MYR</v>
      </c>
      <c r="P1887" t="str">
        <f t="shared" ref="P1887:Q1906" si="790">"NIL"</f>
        <v>NIL</v>
      </c>
      <c r="Q1887" t="str">
        <f t="shared" si="790"/>
        <v>NIL</v>
      </c>
      <c r="R1887" t="str">
        <f t="shared" si="775"/>
        <v>Accepted</v>
      </c>
      <c r="S1887" t="str">
        <f t="shared" si="776"/>
        <v>Approved</v>
      </c>
      <c r="T1887" t="str">
        <f t="shared" si="777"/>
        <v>10.20.8.188</v>
      </c>
      <c r="U1887" t="str">
        <f t="shared" si="778"/>
        <v>AZRAD UMAR BIN SHAARI</v>
      </c>
      <c r="V1887" t="str">
        <f t="shared" si="779"/>
        <v>FARHANA BINTI MUSTAPA</v>
      </c>
      <c r="W1887" t="str">
        <f t="shared" si="780"/>
        <v>04-08-2020</v>
      </c>
      <c r="X1887" t="str">
        <f t="shared" si="781"/>
        <v>RAZIMAH ANSAR AHMAD</v>
      </c>
      <c r="Y1887" t="str">
        <f t="shared" si="782"/>
        <v>04-08-2020</v>
      </c>
      <c r="Z1887" t="str">
        <f>"COS10200804 7267"</f>
        <v>COS10200804 7267</v>
      </c>
    </row>
    <row r="1888" spans="1:26" x14ac:dyDescent="0.25">
      <c r="A1888" t="str">
        <f t="shared" si="787"/>
        <v>04-08-2020 01:06:46</v>
      </c>
      <c r="B1888" t="str">
        <f>"0000809065"</f>
        <v>0000809065</v>
      </c>
      <c r="C1888" t="str">
        <f t="shared" si="788"/>
        <v>0000808999</v>
      </c>
      <c r="D1888" t="str">
        <f t="shared" si="770"/>
        <v>73185</v>
      </c>
      <c r="E1888" t="str">
        <f t="shared" si="771"/>
        <v>KFH-OPERATIONS DEPARTMENT</v>
      </c>
      <c r="F1888" t="str">
        <f t="shared" si="772"/>
        <v>IBG</v>
      </c>
      <c r="G1888" t="str">
        <f t="shared" si="785"/>
        <v>Refund COSHARE 10</v>
      </c>
      <c r="H1888" s="2">
        <v>911</v>
      </c>
      <c r="I1888" t="str">
        <f>"SALIMIN BIN KASIMIN"</f>
        <v>SALIMIN BIN KASIMIN</v>
      </c>
      <c r="J1888" t="str">
        <f t="shared" si="786"/>
        <v>MAYBANK / MAYBANK ISLAMIC</v>
      </c>
      <c r="K1888" t="str">
        <f>"160111259537"</f>
        <v>160111259537</v>
      </c>
      <c r="L1888" t="str">
        <f t="shared" si="789"/>
        <v>04-08-2020</v>
      </c>
      <c r="M1888" t="str">
        <f t="shared" si="789"/>
        <v>04-08-2020</v>
      </c>
      <c r="N1888" t="str">
        <f t="shared" si="773"/>
        <v>001105018356</v>
      </c>
      <c r="O1888" t="str">
        <f t="shared" si="774"/>
        <v>MYR</v>
      </c>
      <c r="P1888" t="str">
        <f t="shared" si="790"/>
        <v>NIL</v>
      </c>
      <c r="Q1888" t="str">
        <f t="shared" si="790"/>
        <v>NIL</v>
      </c>
      <c r="R1888" t="str">
        <f t="shared" si="775"/>
        <v>Accepted</v>
      </c>
      <c r="S1888" t="str">
        <f t="shared" si="776"/>
        <v>Approved</v>
      </c>
      <c r="T1888" t="str">
        <f t="shared" si="777"/>
        <v>10.20.8.188</v>
      </c>
      <c r="U1888" t="str">
        <f t="shared" si="778"/>
        <v>AZRAD UMAR BIN SHAARI</v>
      </c>
      <c r="V1888" t="str">
        <f t="shared" si="779"/>
        <v>FARHANA BINTI MUSTAPA</v>
      </c>
      <c r="W1888" t="str">
        <f t="shared" si="780"/>
        <v>04-08-2020</v>
      </c>
      <c r="X1888" t="str">
        <f t="shared" si="781"/>
        <v>RAZIMAH ANSAR AHMAD</v>
      </c>
      <c r="Y1888" t="str">
        <f t="shared" si="782"/>
        <v>04-08-2020</v>
      </c>
      <c r="Z1888" t="str">
        <f>"COS10200804 7266"</f>
        <v>COS10200804 7266</v>
      </c>
    </row>
    <row r="1889" spans="1:26" x14ac:dyDescent="0.25">
      <c r="A1889" t="str">
        <f t="shared" si="787"/>
        <v>04-08-2020 01:06:46</v>
      </c>
      <c r="B1889" t="str">
        <f>"0000809064"</f>
        <v>0000809064</v>
      </c>
      <c r="C1889" t="str">
        <f t="shared" si="788"/>
        <v>0000808999</v>
      </c>
      <c r="D1889" t="str">
        <f t="shared" si="770"/>
        <v>73185</v>
      </c>
      <c r="E1889" t="str">
        <f t="shared" si="771"/>
        <v>KFH-OPERATIONS DEPARTMENT</v>
      </c>
      <c r="F1889" t="str">
        <f t="shared" si="772"/>
        <v>IBG</v>
      </c>
      <c r="G1889" t="str">
        <f t="shared" si="785"/>
        <v>Refund COSHARE 10</v>
      </c>
      <c r="H1889" s="2">
        <v>839.5</v>
      </c>
      <c r="I1889" t="str">
        <f>"SALIHATON BINTI HUSSIN"</f>
        <v>SALIHATON BINTI HUSSIN</v>
      </c>
      <c r="J1889" t="str">
        <f t="shared" si="786"/>
        <v>MAYBANK / MAYBANK ISLAMIC</v>
      </c>
      <c r="K1889" t="str">
        <f>"151306649946"</f>
        <v>151306649946</v>
      </c>
      <c r="L1889" t="str">
        <f t="shared" si="789"/>
        <v>04-08-2020</v>
      </c>
      <c r="M1889" t="str">
        <f t="shared" si="789"/>
        <v>04-08-2020</v>
      </c>
      <c r="N1889" t="str">
        <f t="shared" si="773"/>
        <v>001105018356</v>
      </c>
      <c r="O1889" t="str">
        <f t="shared" si="774"/>
        <v>MYR</v>
      </c>
      <c r="P1889" t="str">
        <f t="shared" si="790"/>
        <v>NIL</v>
      </c>
      <c r="Q1889" t="str">
        <f t="shared" si="790"/>
        <v>NIL</v>
      </c>
      <c r="R1889" t="str">
        <f t="shared" si="775"/>
        <v>Accepted</v>
      </c>
      <c r="S1889" t="str">
        <f t="shared" si="776"/>
        <v>Approved</v>
      </c>
      <c r="T1889" t="str">
        <f t="shared" si="777"/>
        <v>10.20.8.188</v>
      </c>
      <c r="U1889" t="str">
        <f t="shared" si="778"/>
        <v>AZRAD UMAR BIN SHAARI</v>
      </c>
      <c r="V1889" t="str">
        <f t="shared" si="779"/>
        <v>FARHANA BINTI MUSTAPA</v>
      </c>
      <c r="W1889" t="str">
        <f t="shared" si="780"/>
        <v>04-08-2020</v>
      </c>
      <c r="X1889" t="str">
        <f t="shared" si="781"/>
        <v>RAZIMAH ANSAR AHMAD</v>
      </c>
      <c r="Y1889" t="str">
        <f t="shared" si="782"/>
        <v>04-08-2020</v>
      </c>
      <c r="Z1889" t="str">
        <f>"COS10200804 7265"</f>
        <v>COS10200804 7265</v>
      </c>
    </row>
    <row r="1890" spans="1:26" x14ac:dyDescent="0.25">
      <c r="A1890" t="str">
        <f t="shared" si="787"/>
        <v>04-08-2020 01:06:46</v>
      </c>
      <c r="B1890" t="str">
        <f>"0000809063"</f>
        <v>0000809063</v>
      </c>
      <c r="C1890" t="str">
        <f t="shared" si="788"/>
        <v>0000808999</v>
      </c>
      <c r="D1890" t="str">
        <f t="shared" si="770"/>
        <v>73185</v>
      </c>
      <c r="E1890" t="str">
        <f t="shared" si="771"/>
        <v>KFH-OPERATIONS DEPARTMENT</v>
      </c>
      <c r="F1890" t="str">
        <f t="shared" si="772"/>
        <v>IBG</v>
      </c>
      <c r="G1890" t="str">
        <f t="shared" si="785"/>
        <v>Refund COSHARE 10</v>
      </c>
      <c r="H1890" s="2">
        <v>293.85000000000002</v>
      </c>
      <c r="I1890" t="str">
        <f>"SALFARINA BINTI MOHD SHARIF"</f>
        <v>SALFARINA BINTI MOHD SHARIF</v>
      </c>
      <c r="J1890" t="str">
        <f t="shared" si="786"/>
        <v>MAYBANK / MAYBANK ISLAMIC</v>
      </c>
      <c r="K1890" t="str">
        <f>"164182413855"</f>
        <v>164182413855</v>
      </c>
      <c r="L1890" t="str">
        <f t="shared" si="789"/>
        <v>04-08-2020</v>
      </c>
      <c r="M1890" t="str">
        <f t="shared" si="789"/>
        <v>04-08-2020</v>
      </c>
      <c r="N1890" t="str">
        <f t="shared" si="773"/>
        <v>001105018356</v>
      </c>
      <c r="O1890" t="str">
        <f t="shared" si="774"/>
        <v>MYR</v>
      </c>
      <c r="P1890" t="str">
        <f t="shared" si="790"/>
        <v>NIL</v>
      </c>
      <c r="Q1890" t="str">
        <f t="shared" si="790"/>
        <v>NIL</v>
      </c>
      <c r="R1890" t="str">
        <f t="shared" si="775"/>
        <v>Accepted</v>
      </c>
      <c r="S1890" t="str">
        <f t="shared" si="776"/>
        <v>Approved</v>
      </c>
      <c r="T1890" t="str">
        <f t="shared" si="777"/>
        <v>10.20.8.188</v>
      </c>
      <c r="U1890" t="str">
        <f t="shared" si="778"/>
        <v>AZRAD UMAR BIN SHAARI</v>
      </c>
      <c r="V1890" t="str">
        <f t="shared" si="779"/>
        <v>FARHANA BINTI MUSTAPA</v>
      </c>
      <c r="W1890" t="str">
        <f t="shared" si="780"/>
        <v>04-08-2020</v>
      </c>
      <c r="X1890" t="str">
        <f t="shared" si="781"/>
        <v>RAZIMAH ANSAR AHMAD</v>
      </c>
      <c r="Y1890" t="str">
        <f t="shared" si="782"/>
        <v>04-08-2020</v>
      </c>
      <c r="Z1890" t="str">
        <f>"COS10200804 7264"</f>
        <v>COS10200804 7264</v>
      </c>
    </row>
    <row r="1891" spans="1:26" x14ac:dyDescent="0.25">
      <c r="A1891" t="str">
        <f t="shared" si="787"/>
        <v>04-08-2020 01:06:46</v>
      </c>
      <c r="B1891" t="str">
        <f>"0000809062"</f>
        <v>0000809062</v>
      </c>
      <c r="C1891" t="str">
        <f t="shared" si="788"/>
        <v>0000808999</v>
      </c>
      <c r="D1891" t="str">
        <f t="shared" si="770"/>
        <v>73185</v>
      </c>
      <c r="E1891" t="str">
        <f t="shared" si="771"/>
        <v>KFH-OPERATIONS DEPARTMENT</v>
      </c>
      <c r="F1891" t="str">
        <f t="shared" si="772"/>
        <v>IBG</v>
      </c>
      <c r="G1891" t="str">
        <f t="shared" si="785"/>
        <v>Refund COSHARE 10</v>
      </c>
      <c r="H1891" s="2">
        <v>293.85000000000002</v>
      </c>
      <c r="I1891" t="str">
        <f>"SALFARINA BINTI MOHD SHARIF"</f>
        <v>SALFARINA BINTI MOHD SHARIF</v>
      </c>
      <c r="J1891" t="str">
        <f t="shared" si="786"/>
        <v>MAYBANK / MAYBANK ISLAMIC</v>
      </c>
      <c r="K1891" t="str">
        <f>"164182413855"</f>
        <v>164182413855</v>
      </c>
      <c r="L1891" t="str">
        <f t="shared" si="789"/>
        <v>04-08-2020</v>
      </c>
      <c r="M1891" t="str">
        <f t="shared" si="789"/>
        <v>04-08-2020</v>
      </c>
      <c r="N1891" t="str">
        <f t="shared" si="773"/>
        <v>001105018356</v>
      </c>
      <c r="O1891" t="str">
        <f t="shared" si="774"/>
        <v>MYR</v>
      </c>
      <c r="P1891" t="str">
        <f t="shared" si="790"/>
        <v>NIL</v>
      </c>
      <c r="Q1891" t="str">
        <f t="shared" si="790"/>
        <v>NIL</v>
      </c>
      <c r="R1891" t="str">
        <f t="shared" si="775"/>
        <v>Accepted</v>
      </c>
      <c r="S1891" t="str">
        <f t="shared" si="776"/>
        <v>Approved</v>
      </c>
      <c r="T1891" t="str">
        <f t="shared" si="777"/>
        <v>10.20.8.188</v>
      </c>
      <c r="U1891" t="str">
        <f t="shared" si="778"/>
        <v>AZRAD UMAR BIN SHAARI</v>
      </c>
      <c r="V1891" t="str">
        <f t="shared" si="779"/>
        <v>FARHANA BINTI MUSTAPA</v>
      </c>
      <c r="W1891" t="str">
        <f t="shared" si="780"/>
        <v>04-08-2020</v>
      </c>
      <c r="X1891" t="str">
        <f t="shared" si="781"/>
        <v>RAZIMAH ANSAR AHMAD</v>
      </c>
      <c r="Y1891" t="str">
        <f t="shared" si="782"/>
        <v>04-08-2020</v>
      </c>
      <c r="Z1891" t="str">
        <f>"COS10200804 7263"</f>
        <v>COS10200804 7263</v>
      </c>
    </row>
    <row r="1892" spans="1:26" x14ac:dyDescent="0.25">
      <c r="A1892" t="str">
        <f t="shared" si="787"/>
        <v>04-08-2020 01:06:46</v>
      </c>
      <c r="B1892" t="str">
        <f>"0000809061"</f>
        <v>0000809061</v>
      </c>
      <c r="C1892" t="str">
        <f t="shared" si="788"/>
        <v>0000808999</v>
      </c>
      <c r="D1892" t="str">
        <f t="shared" si="770"/>
        <v>73185</v>
      </c>
      <c r="E1892" t="str">
        <f t="shared" si="771"/>
        <v>KFH-OPERATIONS DEPARTMENT</v>
      </c>
      <c r="F1892" t="str">
        <f t="shared" si="772"/>
        <v>IBG</v>
      </c>
      <c r="G1892" t="str">
        <f t="shared" si="785"/>
        <v>Refund COSHARE 10</v>
      </c>
      <c r="H1892" s="2">
        <v>319</v>
      </c>
      <c r="I1892" t="str">
        <f>"SALEHUDDIN BIN RAMBZAN"</f>
        <v>SALEHUDDIN BIN RAMBZAN</v>
      </c>
      <c r="J1892" t="str">
        <f t="shared" si="786"/>
        <v>MAYBANK / MAYBANK ISLAMIC</v>
      </c>
      <c r="K1892" t="str">
        <f>"114160063596"</f>
        <v>114160063596</v>
      </c>
      <c r="L1892" t="str">
        <f t="shared" si="789"/>
        <v>04-08-2020</v>
      </c>
      <c r="M1892" t="str">
        <f t="shared" si="789"/>
        <v>04-08-2020</v>
      </c>
      <c r="N1892" t="str">
        <f t="shared" si="773"/>
        <v>001105018356</v>
      </c>
      <c r="O1892" t="str">
        <f t="shared" si="774"/>
        <v>MYR</v>
      </c>
      <c r="P1892" t="str">
        <f t="shared" si="790"/>
        <v>NIL</v>
      </c>
      <c r="Q1892" t="str">
        <f t="shared" si="790"/>
        <v>NIL</v>
      </c>
      <c r="R1892" t="str">
        <f t="shared" si="775"/>
        <v>Accepted</v>
      </c>
      <c r="S1892" t="str">
        <f t="shared" si="776"/>
        <v>Approved</v>
      </c>
      <c r="T1892" t="str">
        <f t="shared" si="777"/>
        <v>10.20.8.188</v>
      </c>
      <c r="U1892" t="str">
        <f t="shared" si="778"/>
        <v>AZRAD UMAR BIN SHAARI</v>
      </c>
      <c r="V1892" t="str">
        <f t="shared" si="779"/>
        <v>FARHANA BINTI MUSTAPA</v>
      </c>
      <c r="W1892" t="str">
        <f t="shared" si="780"/>
        <v>04-08-2020</v>
      </c>
      <c r="X1892" t="str">
        <f t="shared" si="781"/>
        <v>RAZIMAH ANSAR AHMAD</v>
      </c>
      <c r="Y1892" t="str">
        <f t="shared" si="782"/>
        <v>04-08-2020</v>
      </c>
      <c r="Z1892" t="str">
        <f>"COS10200804 7262"</f>
        <v>COS10200804 7262</v>
      </c>
    </row>
    <row r="1893" spans="1:26" x14ac:dyDescent="0.25">
      <c r="A1893" t="str">
        <f t="shared" si="787"/>
        <v>04-08-2020 01:06:46</v>
      </c>
      <c r="B1893" t="str">
        <f>"0000809060"</f>
        <v>0000809060</v>
      </c>
      <c r="C1893" t="str">
        <f t="shared" si="788"/>
        <v>0000808999</v>
      </c>
      <c r="D1893" t="str">
        <f t="shared" si="770"/>
        <v>73185</v>
      </c>
      <c r="E1893" t="str">
        <f t="shared" si="771"/>
        <v>KFH-OPERATIONS DEPARTMENT</v>
      </c>
      <c r="F1893" t="str">
        <f t="shared" si="772"/>
        <v>IBG</v>
      </c>
      <c r="G1893" t="str">
        <f t="shared" si="785"/>
        <v>Refund COSHARE 10</v>
      </c>
      <c r="H1893" s="2">
        <v>299.8</v>
      </c>
      <c r="I1893" t="str">
        <f>"SALEHAN BIN MARSIM"</f>
        <v>SALEHAN BIN MARSIM</v>
      </c>
      <c r="J1893" t="str">
        <f t="shared" si="786"/>
        <v>MAYBANK / MAYBANK ISLAMIC</v>
      </c>
      <c r="K1893" t="str">
        <f>"162106928061"</f>
        <v>162106928061</v>
      </c>
      <c r="L1893" t="str">
        <f t="shared" si="789"/>
        <v>04-08-2020</v>
      </c>
      <c r="M1893" t="str">
        <f t="shared" si="789"/>
        <v>04-08-2020</v>
      </c>
      <c r="N1893" t="str">
        <f t="shared" si="773"/>
        <v>001105018356</v>
      </c>
      <c r="O1893" t="str">
        <f t="shared" si="774"/>
        <v>MYR</v>
      </c>
      <c r="P1893" t="str">
        <f t="shared" si="790"/>
        <v>NIL</v>
      </c>
      <c r="Q1893" t="str">
        <f t="shared" si="790"/>
        <v>NIL</v>
      </c>
      <c r="R1893" t="str">
        <f t="shared" si="775"/>
        <v>Accepted</v>
      </c>
      <c r="S1893" t="str">
        <f t="shared" si="776"/>
        <v>Approved</v>
      </c>
      <c r="T1893" t="str">
        <f t="shared" si="777"/>
        <v>10.20.8.188</v>
      </c>
      <c r="U1893" t="str">
        <f t="shared" si="778"/>
        <v>AZRAD UMAR BIN SHAARI</v>
      </c>
      <c r="V1893" t="str">
        <f t="shared" si="779"/>
        <v>FARHANA BINTI MUSTAPA</v>
      </c>
      <c r="W1893" t="str">
        <f t="shared" si="780"/>
        <v>04-08-2020</v>
      </c>
      <c r="X1893" t="str">
        <f t="shared" si="781"/>
        <v>RAZIMAH ANSAR AHMAD</v>
      </c>
      <c r="Y1893" t="str">
        <f t="shared" si="782"/>
        <v>04-08-2020</v>
      </c>
      <c r="Z1893" t="str">
        <f>"COS10200804 7261"</f>
        <v>COS10200804 7261</v>
      </c>
    </row>
    <row r="1894" spans="1:26" x14ac:dyDescent="0.25">
      <c r="A1894" t="str">
        <f t="shared" si="787"/>
        <v>04-08-2020 01:06:46</v>
      </c>
      <c r="B1894" t="str">
        <f>"0000809059"</f>
        <v>0000809059</v>
      </c>
      <c r="C1894" t="str">
        <f t="shared" si="788"/>
        <v>0000808999</v>
      </c>
      <c r="D1894" t="str">
        <f t="shared" si="770"/>
        <v>73185</v>
      </c>
      <c r="E1894" t="str">
        <f t="shared" si="771"/>
        <v>KFH-OPERATIONS DEPARTMENT</v>
      </c>
      <c r="F1894" t="str">
        <f t="shared" si="772"/>
        <v>IBG</v>
      </c>
      <c r="G1894" t="str">
        <f t="shared" si="785"/>
        <v>Refund COSHARE 10</v>
      </c>
      <c r="H1894" s="2">
        <v>847</v>
      </c>
      <c r="I1894" t="str">
        <f>"SALEHAH BINTI ALI"</f>
        <v>SALEHAH BINTI ALI</v>
      </c>
      <c r="J1894" t="str">
        <f t="shared" si="786"/>
        <v>MAYBANK / MAYBANK ISLAMIC</v>
      </c>
      <c r="K1894" t="str">
        <f>"162209907030"</f>
        <v>162209907030</v>
      </c>
      <c r="L1894" t="str">
        <f t="shared" si="789"/>
        <v>04-08-2020</v>
      </c>
      <c r="M1894" t="str">
        <f t="shared" si="789"/>
        <v>04-08-2020</v>
      </c>
      <c r="N1894" t="str">
        <f t="shared" si="773"/>
        <v>001105018356</v>
      </c>
      <c r="O1894" t="str">
        <f t="shared" si="774"/>
        <v>MYR</v>
      </c>
      <c r="P1894" t="str">
        <f t="shared" si="790"/>
        <v>NIL</v>
      </c>
      <c r="Q1894" t="str">
        <f t="shared" si="790"/>
        <v>NIL</v>
      </c>
      <c r="R1894" t="str">
        <f t="shared" si="775"/>
        <v>Accepted</v>
      </c>
      <c r="S1894" t="str">
        <f t="shared" si="776"/>
        <v>Approved</v>
      </c>
      <c r="T1894" t="str">
        <f t="shared" si="777"/>
        <v>10.20.8.188</v>
      </c>
      <c r="U1894" t="str">
        <f t="shared" si="778"/>
        <v>AZRAD UMAR BIN SHAARI</v>
      </c>
      <c r="V1894" t="str">
        <f t="shared" si="779"/>
        <v>FARHANA BINTI MUSTAPA</v>
      </c>
      <c r="W1894" t="str">
        <f t="shared" si="780"/>
        <v>04-08-2020</v>
      </c>
      <c r="X1894" t="str">
        <f t="shared" si="781"/>
        <v>RAZIMAH ANSAR AHMAD</v>
      </c>
      <c r="Y1894" t="str">
        <f t="shared" si="782"/>
        <v>04-08-2020</v>
      </c>
      <c r="Z1894" t="str">
        <f>"COS10200804 7260"</f>
        <v>COS10200804 7260</v>
      </c>
    </row>
    <row r="1895" spans="1:26" x14ac:dyDescent="0.25">
      <c r="A1895" t="str">
        <f t="shared" si="787"/>
        <v>04-08-2020 01:06:46</v>
      </c>
      <c r="B1895" t="str">
        <f>"0000809058"</f>
        <v>0000809058</v>
      </c>
      <c r="C1895" t="str">
        <f t="shared" si="788"/>
        <v>0000808999</v>
      </c>
      <c r="D1895" t="str">
        <f t="shared" si="770"/>
        <v>73185</v>
      </c>
      <c r="E1895" t="str">
        <f t="shared" si="771"/>
        <v>KFH-OPERATIONS DEPARTMENT</v>
      </c>
      <c r="F1895" t="str">
        <f t="shared" si="772"/>
        <v>IBG</v>
      </c>
      <c r="G1895" t="str">
        <f t="shared" si="785"/>
        <v>Refund COSHARE 10</v>
      </c>
      <c r="H1895" s="2">
        <v>763.95</v>
      </c>
      <c r="I1895" t="str">
        <f>"SALEHA BINTI JAMIAN"</f>
        <v>SALEHA BINTI JAMIAN</v>
      </c>
      <c r="J1895" t="str">
        <f t="shared" si="786"/>
        <v>MAYBANK / MAYBANK ISLAMIC</v>
      </c>
      <c r="K1895" t="str">
        <f>"156094020127"</f>
        <v>156094020127</v>
      </c>
      <c r="L1895" t="str">
        <f t="shared" si="789"/>
        <v>04-08-2020</v>
      </c>
      <c r="M1895" t="str">
        <f t="shared" si="789"/>
        <v>04-08-2020</v>
      </c>
      <c r="N1895" t="str">
        <f t="shared" si="773"/>
        <v>001105018356</v>
      </c>
      <c r="O1895" t="str">
        <f t="shared" si="774"/>
        <v>MYR</v>
      </c>
      <c r="P1895" t="str">
        <f t="shared" si="790"/>
        <v>NIL</v>
      </c>
      <c r="Q1895" t="str">
        <f t="shared" si="790"/>
        <v>NIL</v>
      </c>
      <c r="R1895" t="str">
        <f t="shared" si="775"/>
        <v>Accepted</v>
      </c>
      <c r="S1895" t="str">
        <f t="shared" si="776"/>
        <v>Approved</v>
      </c>
      <c r="T1895" t="str">
        <f t="shared" si="777"/>
        <v>10.20.8.188</v>
      </c>
      <c r="U1895" t="str">
        <f t="shared" si="778"/>
        <v>AZRAD UMAR BIN SHAARI</v>
      </c>
      <c r="V1895" t="str">
        <f t="shared" si="779"/>
        <v>FARHANA BINTI MUSTAPA</v>
      </c>
      <c r="W1895" t="str">
        <f t="shared" si="780"/>
        <v>04-08-2020</v>
      </c>
      <c r="X1895" t="str">
        <f t="shared" si="781"/>
        <v>RAZIMAH ANSAR AHMAD</v>
      </c>
      <c r="Y1895" t="str">
        <f t="shared" si="782"/>
        <v>04-08-2020</v>
      </c>
      <c r="Z1895" t="str">
        <f>"COS10200804 7259"</f>
        <v>COS10200804 7259</v>
      </c>
    </row>
    <row r="1896" spans="1:26" x14ac:dyDescent="0.25">
      <c r="A1896" t="str">
        <f t="shared" si="787"/>
        <v>04-08-2020 01:06:46</v>
      </c>
      <c r="B1896" t="str">
        <f>"0000809057"</f>
        <v>0000809057</v>
      </c>
      <c r="C1896" t="str">
        <f t="shared" si="788"/>
        <v>0000808999</v>
      </c>
      <c r="D1896" t="str">
        <f t="shared" si="770"/>
        <v>73185</v>
      </c>
      <c r="E1896" t="str">
        <f t="shared" si="771"/>
        <v>KFH-OPERATIONS DEPARTMENT</v>
      </c>
      <c r="F1896" t="str">
        <f t="shared" si="772"/>
        <v>IBG</v>
      </c>
      <c r="G1896" t="str">
        <f t="shared" si="785"/>
        <v>Refund COSHARE 10</v>
      </c>
      <c r="H1896" s="2">
        <v>355.7</v>
      </c>
      <c r="I1896" t="str">
        <f>"SALEH BIN MOHAMED JAIS"</f>
        <v>SALEH BIN MOHAMED JAIS</v>
      </c>
      <c r="J1896" t="str">
        <f t="shared" si="786"/>
        <v>MAYBANK / MAYBANK ISLAMIC</v>
      </c>
      <c r="K1896" t="str">
        <f>"112101521421"</f>
        <v>112101521421</v>
      </c>
      <c r="L1896" t="str">
        <f t="shared" si="789"/>
        <v>04-08-2020</v>
      </c>
      <c r="M1896" t="str">
        <f t="shared" si="789"/>
        <v>04-08-2020</v>
      </c>
      <c r="N1896" t="str">
        <f t="shared" si="773"/>
        <v>001105018356</v>
      </c>
      <c r="O1896" t="str">
        <f t="shared" si="774"/>
        <v>MYR</v>
      </c>
      <c r="P1896" t="str">
        <f t="shared" si="790"/>
        <v>NIL</v>
      </c>
      <c r="Q1896" t="str">
        <f t="shared" si="790"/>
        <v>NIL</v>
      </c>
      <c r="R1896" t="str">
        <f t="shared" si="775"/>
        <v>Accepted</v>
      </c>
      <c r="S1896" t="str">
        <f t="shared" si="776"/>
        <v>Approved</v>
      </c>
      <c r="T1896" t="str">
        <f t="shared" si="777"/>
        <v>10.20.8.188</v>
      </c>
      <c r="U1896" t="str">
        <f t="shared" si="778"/>
        <v>AZRAD UMAR BIN SHAARI</v>
      </c>
      <c r="V1896" t="str">
        <f t="shared" si="779"/>
        <v>FARHANA BINTI MUSTAPA</v>
      </c>
      <c r="W1896" t="str">
        <f t="shared" si="780"/>
        <v>04-08-2020</v>
      </c>
      <c r="X1896" t="str">
        <f t="shared" si="781"/>
        <v>RAZIMAH ANSAR AHMAD</v>
      </c>
      <c r="Y1896" t="str">
        <f t="shared" si="782"/>
        <v>04-08-2020</v>
      </c>
      <c r="Z1896" t="str">
        <f>"COS10200804 7258"</f>
        <v>COS10200804 7258</v>
      </c>
    </row>
    <row r="1897" spans="1:26" x14ac:dyDescent="0.25">
      <c r="A1897" t="str">
        <f t="shared" si="787"/>
        <v>04-08-2020 01:06:46</v>
      </c>
      <c r="B1897" t="str">
        <f>"0000809056"</f>
        <v>0000809056</v>
      </c>
      <c r="C1897" t="str">
        <f t="shared" si="788"/>
        <v>0000808999</v>
      </c>
      <c r="D1897" t="str">
        <f t="shared" si="770"/>
        <v>73185</v>
      </c>
      <c r="E1897" t="str">
        <f t="shared" si="771"/>
        <v>KFH-OPERATIONS DEPARTMENT</v>
      </c>
      <c r="F1897" t="str">
        <f t="shared" si="772"/>
        <v>IBG</v>
      </c>
      <c r="G1897" t="str">
        <f t="shared" si="785"/>
        <v>Refund COSHARE 10</v>
      </c>
      <c r="H1897" s="2">
        <v>209.9</v>
      </c>
      <c r="I1897" t="str">
        <f>"SALAWATI BT MOHAMED RADZI"</f>
        <v>SALAWATI BT MOHAMED RADZI</v>
      </c>
      <c r="J1897" t="str">
        <f t="shared" si="786"/>
        <v>MAYBANK / MAYBANK ISLAMIC</v>
      </c>
      <c r="K1897" t="str">
        <f>"162012572813"</f>
        <v>162012572813</v>
      </c>
      <c r="L1897" t="str">
        <f t="shared" si="789"/>
        <v>04-08-2020</v>
      </c>
      <c r="M1897" t="str">
        <f t="shared" si="789"/>
        <v>04-08-2020</v>
      </c>
      <c r="N1897" t="str">
        <f t="shared" si="773"/>
        <v>001105018356</v>
      </c>
      <c r="O1897" t="str">
        <f t="shared" si="774"/>
        <v>MYR</v>
      </c>
      <c r="P1897" t="str">
        <f t="shared" si="790"/>
        <v>NIL</v>
      </c>
      <c r="Q1897" t="str">
        <f t="shared" si="790"/>
        <v>NIL</v>
      </c>
      <c r="R1897" t="str">
        <f t="shared" si="775"/>
        <v>Accepted</v>
      </c>
      <c r="S1897" t="str">
        <f t="shared" si="776"/>
        <v>Approved</v>
      </c>
      <c r="T1897" t="str">
        <f t="shared" si="777"/>
        <v>10.20.8.188</v>
      </c>
      <c r="U1897" t="str">
        <f t="shared" si="778"/>
        <v>AZRAD UMAR BIN SHAARI</v>
      </c>
      <c r="V1897" t="str">
        <f t="shared" si="779"/>
        <v>FARHANA BINTI MUSTAPA</v>
      </c>
      <c r="W1897" t="str">
        <f t="shared" si="780"/>
        <v>04-08-2020</v>
      </c>
      <c r="X1897" t="str">
        <f t="shared" si="781"/>
        <v>RAZIMAH ANSAR AHMAD</v>
      </c>
      <c r="Y1897" t="str">
        <f t="shared" si="782"/>
        <v>04-08-2020</v>
      </c>
      <c r="Z1897" t="str">
        <f>"COS10200804 7257"</f>
        <v>COS10200804 7257</v>
      </c>
    </row>
    <row r="1898" spans="1:26" x14ac:dyDescent="0.25">
      <c r="A1898" t="str">
        <f t="shared" si="787"/>
        <v>04-08-2020 01:06:46</v>
      </c>
      <c r="B1898" t="str">
        <f>"0000809055"</f>
        <v>0000809055</v>
      </c>
      <c r="C1898" t="str">
        <f t="shared" si="788"/>
        <v>0000808999</v>
      </c>
      <c r="D1898" t="str">
        <f t="shared" si="770"/>
        <v>73185</v>
      </c>
      <c r="E1898" t="str">
        <f t="shared" si="771"/>
        <v>KFH-OPERATIONS DEPARTMENT</v>
      </c>
      <c r="F1898" t="str">
        <f t="shared" si="772"/>
        <v>IBG</v>
      </c>
      <c r="G1898" t="str">
        <f t="shared" si="785"/>
        <v>Refund COSHARE 10</v>
      </c>
      <c r="H1898" s="2">
        <v>839.5</v>
      </c>
      <c r="I1898" t="str">
        <f>"SALATUKHAMSWAN BIN ABD LATIF"</f>
        <v>SALATUKHAMSWAN BIN ABD LATIF</v>
      </c>
      <c r="J1898" t="str">
        <f t="shared" si="786"/>
        <v>MAYBANK / MAYBANK ISLAMIC</v>
      </c>
      <c r="K1898" t="str">
        <f>"164146005920"</f>
        <v>164146005920</v>
      </c>
      <c r="L1898" t="str">
        <f t="shared" si="789"/>
        <v>04-08-2020</v>
      </c>
      <c r="M1898" t="str">
        <f t="shared" si="789"/>
        <v>04-08-2020</v>
      </c>
      <c r="N1898" t="str">
        <f t="shared" si="773"/>
        <v>001105018356</v>
      </c>
      <c r="O1898" t="str">
        <f t="shared" si="774"/>
        <v>MYR</v>
      </c>
      <c r="P1898" t="str">
        <f t="shared" si="790"/>
        <v>NIL</v>
      </c>
      <c r="Q1898" t="str">
        <f t="shared" si="790"/>
        <v>NIL</v>
      </c>
      <c r="R1898" t="str">
        <f t="shared" si="775"/>
        <v>Accepted</v>
      </c>
      <c r="S1898" t="str">
        <f t="shared" si="776"/>
        <v>Approved</v>
      </c>
      <c r="T1898" t="str">
        <f t="shared" si="777"/>
        <v>10.20.8.188</v>
      </c>
      <c r="U1898" t="str">
        <f t="shared" si="778"/>
        <v>AZRAD UMAR BIN SHAARI</v>
      </c>
      <c r="V1898" t="str">
        <f t="shared" si="779"/>
        <v>FARHANA BINTI MUSTAPA</v>
      </c>
      <c r="W1898" t="str">
        <f t="shared" si="780"/>
        <v>04-08-2020</v>
      </c>
      <c r="X1898" t="str">
        <f t="shared" si="781"/>
        <v>RAZIMAH ANSAR AHMAD</v>
      </c>
      <c r="Y1898" t="str">
        <f t="shared" si="782"/>
        <v>04-08-2020</v>
      </c>
      <c r="Z1898" t="str">
        <f>"COS10200804 7256"</f>
        <v>COS10200804 7256</v>
      </c>
    </row>
    <row r="1899" spans="1:26" x14ac:dyDescent="0.25">
      <c r="A1899" t="str">
        <f t="shared" si="787"/>
        <v>04-08-2020 01:06:46</v>
      </c>
      <c r="B1899" t="str">
        <f>"0000809054"</f>
        <v>0000809054</v>
      </c>
      <c r="C1899" t="str">
        <f t="shared" si="788"/>
        <v>0000808999</v>
      </c>
      <c r="D1899" t="str">
        <f t="shared" si="770"/>
        <v>73185</v>
      </c>
      <c r="E1899" t="str">
        <f t="shared" si="771"/>
        <v>KFH-OPERATIONS DEPARTMENT</v>
      </c>
      <c r="F1899" t="str">
        <f t="shared" si="772"/>
        <v>IBG</v>
      </c>
      <c r="G1899" t="str">
        <f t="shared" si="785"/>
        <v>Refund COSHARE 10</v>
      </c>
      <c r="H1899" s="2">
        <v>137</v>
      </c>
      <c r="I1899" t="str">
        <f>"SALASIAH BINTI SAMSUDIN"</f>
        <v>SALASIAH BINTI SAMSUDIN</v>
      </c>
      <c r="J1899" t="str">
        <f t="shared" si="786"/>
        <v>MAYBANK / MAYBANK ISLAMIC</v>
      </c>
      <c r="K1899" t="str">
        <f>"101280065693"</f>
        <v>101280065693</v>
      </c>
      <c r="L1899" t="str">
        <f t="shared" si="789"/>
        <v>04-08-2020</v>
      </c>
      <c r="M1899" t="str">
        <f t="shared" si="789"/>
        <v>04-08-2020</v>
      </c>
      <c r="N1899" t="str">
        <f t="shared" si="773"/>
        <v>001105018356</v>
      </c>
      <c r="O1899" t="str">
        <f t="shared" si="774"/>
        <v>MYR</v>
      </c>
      <c r="P1899" t="str">
        <f t="shared" si="790"/>
        <v>NIL</v>
      </c>
      <c r="Q1899" t="str">
        <f t="shared" si="790"/>
        <v>NIL</v>
      </c>
      <c r="R1899" t="str">
        <f t="shared" si="775"/>
        <v>Accepted</v>
      </c>
      <c r="S1899" t="str">
        <f t="shared" si="776"/>
        <v>Approved</v>
      </c>
      <c r="T1899" t="str">
        <f t="shared" si="777"/>
        <v>10.20.8.188</v>
      </c>
      <c r="U1899" t="str">
        <f t="shared" si="778"/>
        <v>AZRAD UMAR BIN SHAARI</v>
      </c>
      <c r="V1899" t="str">
        <f t="shared" si="779"/>
        <v>FARHANA BINTI MUSTAPA</v>
      </c>
      <c r="W1899" t="str">
        <f t="shared" si="780"/>
        <v>04-08-2020</v>
      </c>
      <c r="X1899" t="str">
        <f t="shared" si="781"/>
        <v>RAZIMAH ANSAR AHMAD</v>
      </c>
      <c r="Y1899" t="str">
        <f t="shared" si="782"/>
        <v>04-08-2020</v>
      </c>
      <c r="Z1899" t="str">
        <f>"COS10200804 7255"</f>
        <v>COS10200804 7255</v>
      </c>
    </row>
    <row r="1900" spans="1:26" x14ac:dyDescent="0.25">
      <c r="A1900" t="str">
        <f t="shared" si="787"/>
        <v>04-08-2020 01:06:46</v>
      </c>
      <c r="B1900" t="str">
        <f>"0000809053"</f>
        <v>0000809053</v>
      </c>
      <c r="C1900" t="str">
        <f t="shared" si="788"/>
        <v>0000808999</v>
      </c>
      <c r="D1900" t="str">
        <f t="shared" si="770"/>
        <v>73185</v>
      </c>
      <c r="E1900" t="str">
        <f t="shared" si="771"/>
        <v>KFH-OPERATIONS DEPARTMENT</v>
      </c>
      <c r="F1900" t="str">
        <f t="shared" si="772"/>
        <v>IBG</v>
      </c>
      <c r="G1900" t="str">
        <f t="shared" si="785"/>
        <v>Refund COSHARE 10</v>
      </c>
      <c r="H1900" s="2">
        <v>638.04999999999995</v>
      </c>
      <c r="I1900" t="str">
        <f>"SALAHUDDIN IKRAM BIN KHAMSIM"</f>
        <v>SALAHUDDIN IKRAM BIN KHAMSIM</v>
      </c>
      <c r="J1900" t="str">
        <f t="shared" si="786"/>
        <v>MAYBANK / MAYBANK ISLAMIC</v>
      </c>
      <c r="K1900" t="str">
        <f>"158417023056"</f>
        <v>158417023056</v>
      </c>
      <c r="L1900" t="str">
        <f t="shared" si="789"/>
        <v>04-08-2020</v>
      </c>
      <c r="M1900" t="str">
        <f t="shared" si="789"/>
        <v>04-08-2020</v>
      </c>
      <c r="N1900" t="str">
        <f t="shared" si="773"/>
        <v>001105018356</v>
      </c>
      <c r="O1900" t="str">
        <f t="shared" si="774"/>
        <v>MYR</v>
      </c>
      <c r="P1900" t="str">
        <f t="shared" si="790"/>
        <v>NIL</v>
      </c>
      <c r="Q1900" t="str">
        <f t="shared" si="790"/>
        <v>NIL</v>
      </c>
      <c r="R1900" t="str">
        <f t="shared" si="775"/>
        <v>Accepted</v>
      </c>
      <c r="S1900" t="str">
        <f t="shared" si="776"/>
        <v>Approved</v>
      </c>
      <c r="T1900" t="str">
        <f t="shared" si="777"/>
        <v>10.20.8.188</v>
      </c>
      <c r="U1900" t="str">
        <f t="shared" si="778"/>
        <v>AZRAD UMAR BIN SHAARI</v>
      </c>
      <c r="V1900" t="str">
        <f t="shared" si="779"/>
        <v>FARHANA BINTI MUSTAPA</v>
      </c>
      <c r="W1900" t="str">
        <f t="shared" si="780"/>
        <v>04-08-2020</v>
      </c>
      <c r="X1900" t="str">
        <f t="shared" si="781"/>
        <v>RAZIMAH ANSAR AHMAD</v>
      </c>
      <c r="Y1900" t="str">
        <f t="shared" si="782"/>
        <v>04-08-2020</v>
      </c>
      <c r="Z1900" t="str">
        <f>"COS10200804 7254"</f>
        <v>COS10200804 7254</v>
      </c>
    </row>
    <row r="1901" spans="1:26" x14ac:dyDescent="0.25">
      <c r="A1901" t="str">
        <f t="shared" si="787"/>
        <v>04-08-2020 01:06:46</v>
      </c>
      <c r="B1901" t="str">
        <f>"0000809052"</f>
        <v>0000809052</v>
      </c>
      <c r="C1901" t="str">
        <f t="shared" si="788"/>
        <v>0000808999</v>
      </c>
      <c r="D1901" t="str">
        <f t="shared" si="770"/>
        <v>73185</v>
      </c>
      <c r="E1901" t="str">
        <f t="shared" si="771"/>
        <v>KFH-OPERATIONS DEPARTMENT</v>
      </c>
      <c r="F1901" t="str">
        <f t="shared" si="772"/>
        <v>IBG</v>
      </c>
      <c r="G1901" t="str">
        <f t="shared" si="785"/>
        <v>Refund COSHARE 10</v>
      </c>
      <c r="H1901" s="2">
        <v>1133.3499999999999</v>
      </c>
      <c r="I1901" t="str">
        <f>"SAKINAH BINTI ISMAIL"</f>
        <v>SAKINAH BINTI ISMAIL</v>
      </c>
      <c r="J1901" t="str">
        <f t="shared" si="786"/>
        <v>MAYBANK / MAYBANK ISLAMIC</v>
      </c>
      <c r="K1901" t="str">
        <f>"158305197887"</f>
        <v>158305197887</v>
      </c>
      <c r="L1901" t="str">
        <f t="shared" si="789"/>
        <v>04-08-2020</v>
      </c>
      <c r="M1901" t="str">
        <f t="shared" si="789"/>
        <v>04-08-2020</v>
      </c>
      <c r="N1901" t="str">
        <f t="shared" si="773"/>
        <v>001105018356</v>
      </c>
      <c r="O1901" t="str">
        <f t="shared" si="774"/>
        <v>MYR</v>
      </c>
      <c r="P1901" t="str">
        <f t="shared" si="790"/>
        <v>NIL</v>
      </c>
      <c r="Q1901" t="str">
        <f t="shared" si="790"/>
        <v>NIL</v>
      </c>
      <c r="R1901" t="str">
        <f t="shared" si="775"/>
        <v>Accepted</v>
      </c>
      <c r="S1901" t="str">
        <f t="shared" si="776"/>
        <v>Approved</v>
      </c>
      <c r="T1901" t="str">
        <f t="shared" si="777"/>
        <v>10.20.8.188</v>
      </c>
      <c r="U1901" t="str">
        <f t="shared" si="778"/>
        <v>AZRAD UMAR BIN SHAARI</v>
      </c>
      <c r="V1901" t="str">
        <f t="shared" si="779"/>
        <v>FARHANA BINTI MUSTAPA</v>
      </c>
      <c r="W1901" t="str">
        <f t="shared" si="780"/>
        <v>04-08-2020</v>
      </c>
      <c r="X1901" t="str">
        <f t="shared" si="781"/>
        <v>RAZIMAH ANSAR AHMAD</v>
      </c>
      <c r="Y1901" t="str">
        <f t="shared" si="782"/>
        <v>04-08-2020</v>
      </c>
      <c r="Z1901" t="str">
        <f>"COS10200804 7253"</f>
        <v>COS10200804 7253</v>
      </c>
    </row>
    <row r="1902" spans="1:26" x14ac:dyDescent="0.25">
      <c r="A1902" t="str">
        <f t="shared" si="787"/>
        <v>04-08-2020 01:06:46</v>
      </c>
      <c r="B1902" t="str">
        <f>"0000809051"</f>
        <v>0000809051</v>
      </c>
      <c r="C1902" t="str">
        <f t="shared" si="788"/>
        <v>0000808999</v>
      </c>
      <c r="D1902" t="str">
        <f t="shared" si="770"/>
        <v>73185</v>
      </c>
      <c r="E1902" t="str">
        <f t="shared" si="771"/>
        <v>KFH-OPERATIONS DEPARTMENT</v>
      </c>
      <c r="F1902" t="str">
        <f t="shared" si="772"/>
        <v>IBG</v>
      </c>
      <c r="G1902" t="str">
        <f t="shared" si="785"/>
        <v>Refund COSHARE 10</v>
      </c>
      <c r="H1902" s="2">
        <v>680</v>
      </c>
      <c r="I1902" t="str">
        <f>"SAKINAH BINTI ABDUL RAHMAN"</f>
        <v>SAKINAH BINTI ABDUL RAHMAN</v>
      </c>
      <c r="J1902" t="str">
        <f t="shared" si="786"/>
        <v>MAYBANK / MAYBANK ISLAMIC</v>
      </c>
      <c r="K1902" t="str">
        <f>"111048020285"</f>
        <v>111048020285</v>
      </c>
      <c r="L1902" t="str">
        <f t="shared" si="789"/>
        <v>04-08-2020</v>
      </c>
      <c r="M1902" t="str">
        <f t="shared" si="789"/>
        <v>04-08-2020</v>
      </c>
      <c r="N1902" t="str">
        <f t="shared" si="773"/>
        <v>001105018356</v>
      </c>
      <c r="O1902" t="str">
        <f t="shared" si="774"/>
        <v>MYR</v>
      </c>
      <c r="P1902" t="str">
        <f t="shared" si="790"/>
        <v>NIL</v>
      </c>
      <c r="Q1902" t="str">
        <f t="shared" si="790"/>
        <v>NIL</v>
      </c>
      <c r="R1902" t="str">
        <f t="shared" si="775"/>
        <v>Accepted</v>
      </c>
      <c r="S1902" t="str">
        <f t="shared" si="776"/>
        <v>Approved</v>
      </c>
      <c r="T1902" t="str">
        <f t="shared" si="777"/>
        <v>10.20.8.188</v>
      </c>
      <c r="U1902" t="str">
        <f t="shared" si="778"/>
        <v>AZRAD UMAR BIN SHAARI</v>
      </c>
      <c r="V1902" t="str">
        <f t="shared" si="779"/>
        <v>FARHANA BINTI MUSTAPA</v>
      </c>
      <c r="W1902" t="str">
        <f t="shared" si="780"/>
        <v>04-08-2020</v>
      </c>
      <c r="X1902" t="str">
        <f t="shared" si="781"/>
        <v>RAZIMAH ANSAR AHMAD</v>
      </c>
      <c r="Y1902" t="str">
        <f t="shared" si="782"/>
        <v>04-08-2020</v>
      </c>
      <c r="Z1902" t="str">
        <f>"COS10200804 7252"</f>
        <v>COS10200804 7252</v>
      </c>
    </row>
    <row r="1903" spans="1:26" x14ac:dyDescent="0.25">
      <c r="A1903" t="str">
        <f t="shared" si="787"/>
        <v>04-08-2020 01:06:46</v>
      </c>
      <c r="B1903" t="str">
        <f>"0000809050"</f>
        <v>0000809050</v>
      </c>
      <c r="C1903" t="str">
        <f t="shared" si="788"/>
        <v>0000808999</v>
      </c>
      <c r="D1903" t="str">
        <f t="shared" si="770"/>
        <v>73185</v>
      </c>
      <c r="E1903" t="str">
        <f t="shared" si="771"/>
        <v>KFH-OPERATIONS DEPARTMENT</v>
      </c>
      <c r="F1903" t="str">
        <f t="shared" si="772"/>
        <v>IBG</v>
      </c>
      <c r="G1903" t="str">
        <f t="shared" si="785"/>
        <v>Refund COSHARE 10</v>
      </c>
      <c r="H1903" s="2">
        <v>721</v>
      </c>
      <c r="I1903" t="str">
        <f>"SAJLIANA BINTI MD SAPPERY"</f>
        <v>SAJLIANA BINTI MD SAPPERY</v>
      </c>
      <c r="J1903" t="str">
        <f t="shared" si="786"/>
        <v>MAYBANK / MAYBANK ISLAMIC</v>
      </c>
      <c r="K1903" t="str">
        <f>"166010357728"</f>
        <v>166010357728</v>
      </c>
      <c r="L1903" t="str">
        <f t="shared" si="789"/>
        <v>04-08-2020</v>
      </c>
      <c r="M1903" t="str">
        <f t="shared" si="789"/>
        <v>04-08-2020</v>
      </c>
      <c r="N1903" t="str">
        <f t="shared" si="773"/>
        <v>001105018356</v>
      </c>
      <c r="O1903" t="str">
        <f t="shared" si="774"/>
        <v>MYR</v>
      </c>
      <c r="P1903" t="str">
        <f t="shared" si="790"/>
        <v>NIL</v>
      </c>
      <c r="Q1903" t="str">
        <f t="shared" si="790"/>
        <v>NIL</v>
      </c>
      <c r="R1903" t="str">
        <f t="shared" si="775"/>
        <v>Accepted</v>
      </c>
      <c r="S1903" t="str">
        <f t="shared" si="776"/>
        <v>Approved</v>
      </c>
      <c r="T1903" t="str">
        <f t="shared" si="777"/>
        <v>10.20.8.188</v>
      </c>
      <c r="U1903" t="str">
        <f t="shared" si="778"/>
        <v>AZRAD UMAR BIN SHAARI</v>
      </c>
      <c r="V1903" t="str">
        <f t="shared" si="779"/>
        <v>FARHANA BINTI MUSTAPA</v>
      </c>
      <c r="W1903" t="str">
        <f t="shared" si="780"/>
        <v>04-08-2020</v>
      </c>
      <c r="X1903" t="str">
        <f t="shared" si="781"/>
        <v>RAZIMAH ANSAR AHMAD</v>
      </c>
      <c r="Y1903" t="str">
        <f t="shared" si="782"/>
        <v>04-08-2020</v>
      </c>
      <c r="Z1903" t="str">
        <f>"COS10200804 7251"</f>
        <v>COS10200804 7251</v>
      </c>
    </row>
    <row r="1904" spans="1:26" x14ac:dyDescent="0.25">
      <c r="A1904" t="str">
        <f t="shared" si="787"/>
        <v>04-08-2020 01:06:46</v>
      </c>
      <c r="B1904" t="str">
        <f>"0000809049"</f>
        <v>0000809049</v>
      </c>
      <c r="C1904" t="str">
        <f t="shared" si="788"/>
        <v>0000808999</v>
      </c>
      <c r="D1904" t="str">
        <f t="shared" si="770"/>
        <v>73185</v>
      </c>
      <c r="E1904" t="str">
        <f t="shared" si="771"/>
        <v>KFH-OPERATIONS DEPARTMENT</v>
      </c>
      <c r="F1904" t="str">
        <f t="shared" si="772"/>
        <v>IBG</v>
      </c>
      <c r="G1904" t="str">
        <f t="shared" si="785"/>
        <v>Refund COSHARE 10</v>
      </c>
      <c r="H1904" s="2">
        <v>860.1</v>
      </c>
      <c r="I1904" t="str">
        <f>"SAIZILARUNI BIN MOHD SIDEK"</f>
        <v>SAIZILARUNI BIN MOHD SIDEK</v>
      </c>
      <c r="J1904" t="str">
        <f t="shared" si="786"/>
        <v>MAYBANK / MAYBANK ISLAMIC</v>
      </c>
      <c r="K1904" t="str">
        <f>"156011890637"</f>
        <v>156011890637</v>
      </c>
      <c r="L1904" t="str">
        <f t="shared" si="789"/>
        <v>04-08-2020</v>
      </c>
      <c r="M1904" t="str">
        <f t="shared" si="789"/>
        <v>04-08-2020</v>
      </c>
      <c r="N1904" t="str">
        <f t="shared" si="773"/>
        <v>001105018356</v>
      </c>
      <c r="O1904" t="str">
        <f t="shared" si="774"/>
        <v>MYR</v>
      </c>
      <c r="P1904" t="str">
        <f t="shared" si="790"/>
        <v>NIL</v>
      </c>
      <c r="Q1904" t="str">
        <f t="shared" si="790"/>
        <v>NIL</v>
      </c>
      <c r="R1904" t="str">
        <f t="shared" si="775"/>
        <v>Accepted</v>
      </c>
      <c r="S1904" t="str">
        <f t="shared" si="776"/>
        <v>Approved</v>
      </c>
      <c r="T1904" t="str">
        <f t="shared" si="777"/>
        <v>10.20.8.188</v>
      </c>
      <c r="U1904" t="str">
        <f t="shared" si="778"/>
        <v>AZRAD UMAR BIN SHAARI</v>
      </c>
      <c r="V1904" t="str">
        <f t="shared" si="779"/>
        <v>FARHANA BINTI MUSTAPA</v>
      </c>
      <c r="W1904" t="str">
        <f t="shared" si="780"/>
        <v>04-08-2020</v>
      </c>
      <c r="X1904" t="str">
        <f t="shared" si="781"/>
        <v>RAZIMAH ANSAR AHMAD</v>
      </c>
      <c r="Y1904" t="str">
        <f t="shared" si="782"/>
        <v>04-08-2020</v>
      </c>
      <c r="Z1904" t="str">
        <f>"COS10200804 7250"</f>
        <v>COS10200804 7250</v>
      </c>
    </row>
    <row r="1905" spans="1:26" x14ac:dyDescent="0.25">
      <c r="A1905" t="str">
        <f t="shared" si="787"/>
        <v>04-08-2020 01:06:46</v>
      </c>
      <c r="B1905" t="str">
        <f>"0000809048"</f>
        <v>0000809048</v>
      </c>
      <c r="C1905" t="str">
        <f t="shared" si="788"/>
        <v>0000808999</v>
      </c>
      <c r="D1905" t="str">
        <f t="shared" si="770"/>
        <v>73185</v>
      </c>
      <c r="E1905" t="str">
        <f t="shared" si="771"/>
        <v>KFH-OPERATIONS DEPARTMENT</v>
      </c>
      <c r="F1905" t="str">
        <f t="shared" si="772"/>
        <v>IBG</v>
      </c>
      <c r="G1905" t="str">
        <f t="shared" si="785"/>
        <v>Refund COSHARE 10</v>
      </c>
      <c r="H1905" s="2">
        <v>839.5</v>
      </c>
      <c r="I1905" t="str">
        <f>"SAIPOL PAIZI BIN ZAINOL"</f>
        <v>SAIPOL PAIZI BIN ZAINOL</v>
      </c>
      <c r="J1905" t="str">
        <f t="shared" si="786"/>
        <v>MAYBANK / MAYBANK ISLAMIC</v>
      </c>
      <c r="K1905" t="str">
        <f>"157148107087"</f>
        <v>157148107087</v>
      </c>
      <c r="L1905" t="str">
        <f t="shared" si="789"/>
        <v>04-08-2020</v>
      </c>
      <c r="M1905" t="str">
        <f t="shared" si="789"/>
        <v>04-08-2020</v>
      </c>
      <c r="N1905" t="str">
        <f t="shared" si="773"/>
        <v>001105018356</v>
      </c>
      <c r="O1905" t="str">
        <f t="shared" si="774"/>
        <v>MYR</v>
      </c>
      <c r="P1905" t="str">
        <f t="shared" si="790"/>
        <v>NIL</v>
      </c>
      <c r="Q1905" t="str">
        <f t="shared" si="790"/>
        <v>NIL</v>
      </c>
      <c r="R1905" t="str">
        <f t="shared" si="775"/>
        <v>Accepted</v>
      </c>
      <c r="S1905" t="str">
        <f t="shared" si="776"/>
        <v>Approved</v>
      </c>
      <c r="T1905" t="str">
        <f t="shared" si="777"/>
        <v>10.20.8.188</v>
      </c>
      <c r="U1905" t="str">
        <f t="shared" si="778"/>
        <v>AZRAD UMAR BIN SHAARI</v>
      </c>
      <c r="V1905" t="str">
        <f t="shared" si="779"/>
        <v>FARHANA BINTI MUSTAPA</v>
      </c>
      <c r="W1905" t="str">
        <f t="shared" si="780"/>
        <v>04-08-2020</v>
      </c>
      <c r="X1905" t="str">
        <f t="shared" si="781"/>
        <v>RAZIMAH ANSAR AHMAD</v>
      </c>
      <c r="Y1905" t="str">
        <f t="shared" si="782"/>
        <v>04-08-2020</v>
      </c>
      <c r="Z1905" t="str">
        <f>"COS10200804 7249"</f>
        <v>COS10200804 7249</v>
      </c>
    </row>
    <row r="1906" spans="1:26" x14ac:dyDescent="0.25">
      <c r="A1906" t="str">
        <f t="shared" si="787"/>
        <v>04-08-2020 01:06:46</v>
      </c>
      <c r="B1906" t="str">
        <f>"0000809047"</f>
        <v>0000809047</v>
      </c>
      <c r="C1906" t="str">
        <f t="shared" si="788"/>
        <v>0000808999</v>
      </c>
      <c r="D1906" t="str">
        <f t="shared" si="770"/>
        <v>73185</v>
      </c>
      <c r="E1906" t="str">
        <f t="shared" si="771"/>
        <v>KFH-OPERATIONS DEPARTMENT</v>
      </c>
      <c r="F1906" t="str">
        <f t="shared" si="772"/>
        <v>IBG</v>
      </c>
      <c r="G1906" t="str">
        <f t="shared" si="785"/>
        <v>Refund COSHARE 10</v>
      </c>
      <c r="H1906" s="2">
        <v>62.1</v>
      </c>
      <c r="I1906" t="str">
        <f>"SAIPOL BIN IBRAHIM"</f>
        <v>SAIPOL BIN IBRAHIM</v>
      </c>
      <c r="J1906" t="str">
        <f t="shared" si="786"/>
        <v>MAYBANK / MAYBANK ISLAMIC</v>
      </c>
      <c r="K1906" t="str">
        <f>"151061007968"</f>
        <v>151061007968</v>
      </c>
      <c r="L1906" t="str">
        <f t="shared" si="789"/>
        <v>04-08-2020</v>
      </c>
      <c r="M1906" t="str">
        <f t="shared" si="789"/>
        <v>04-08-2020</v>
      </c>
      <c r="N1906" t="str">
        <f t="shared" si="773"/>
        <v>001105018356</v>
      </c>
      <c r="O1906" t="str">
        <f t="shared" si="774"/>
        <v>MYR</v>
      </c>
      <c r="P1906" t="str">
        <f t="shared" si="790"/>
        <v>NIL</v>
      </c>
      <c r="Q1906" t="str">
        <f t="shared" si="790"/>
        <v>NIL</v>
      </c>
      <c r="R1906" t="str">
        <f t="shared" si="775"/>
        <v>Accepted</v>
      </c>
      <c r="S1906" t="str">
        <f t="shared" si="776"/>
        <v>Approved</v>
      </c>
      <c r="T1906" t="str">
        <f t="shared" si="777"/>
        <v>10.20.8.188</v>
      </c>
      <c r="U1906" t="str">
        <f t="shared" si="778"/>
        <v>AZRAD UMAR BIN SHAARI</v>
      </c>
      <c r="V1906" t="str">
        <f t="shared" si="779"/>
        <v>FARHANA BINTI MUSTAPA</v>
      </c>
      <c r="W1906" t="str">
        <f t="shared" si="780"/>
        <v>04-08-2020</v>
      </c>
      <c r="X1906" t="str">
        <f t="shared" si="781"/>
        <v>RAZIMAH ANSAR AHMAD</v>
      </c>
      <c r="Y1906" t="str">
        <f t="shared" si="782"/>
        <v>04-08-2020</v>
      </c>
      <c r="Z1906" t="str">
        <f>"COS10200804 7248"</f>
        <v>COS10200804 7248</v>
      </c>
    </row>
    <row r="1907" spans="1:26" x14ac:dyDescent="0.25">
      <c r="A1907" t="str">
        <f t="shared" si="787"/>
        <v>04-08-2020 01:06:46</v>
      </c>
      <c r="B1907" t="str">
        <f>"0000809046"</f>
        <v>0000809046</v>
      </c>
      <c r="C1907" t="str">
        <f t="shared" si="788"/>
        <v>0000808999</v>
      </c>
      <c r="D1907" t="str">
        <f t="shared" si="770"/>
        <v>73185</v>
      </c>
      <c r="E1907" t="str">
        <f t="shared" si="771"/>
        <v>KFH-OPERATIONS DEPARTMENT</v>
      </c>
      <c r="F1907" t="str">
        <f t="shared" si="772"/>
        <v>IBG</v>
      </c>
      <c r="G1907" t="str">
        <f t="shared" si="785"/>
        <v>Refund COSHARE 10</v>
      </c>
      <c r="H1907" s="2">
        <v>589.4</v>
      </c>
      <c r="I1907" t="str">
        <f>"SAIMAH BINTI SYAMSUDIN"</f>
        <v>SAIMAH BINTI SYAMSUDIN</v>
      </c>
      <c r="J1907" t="str">
        <f t="shared" si="786"/>
        <v>MAYBANK / MAYBANK ISLAMIC</v>
      </c>
      <c r="K1907" t="str">
        <f>"166010172728"</f>
        <v>166010172728</v>
      </c>
      <c r="L1907" t="str">
        <f t="shared" ref="L1907:M1926" si="791">"04-08-2020"</f>
        <v>04-08-2020</v>
      </c>
      <c r="M1907" t="str">
        <f t="shared" si="791"/>
        <v>04-08-2020</v>
      </c>
      <c r="N1907" t="str">
        <f t="shared" si="773"/>
        <v>001105018356</v>
      </c>
      <c r="O1907" t="str">
        <f t="shared" si="774"/>
        <v>MYR</v>
      </c>
      <c r="P1907" t="str">
        <f t="shared" ref="P1907:Q1926" si="792">"NIL"</f>
        <v>NIL</v>
      </c>
      <c r="Q1907" t="str">
        <f t="shared" si="792"/>
        <v>NIL</v>
      </c>
      <c r="R1907" t="str">
        <f t="shared" si="775"/>
        <v>Accepted</v>
      </c>
      <c r="S1907" t="str">
        <f t="shared" si="776"/>
        <v>Approved</v>
      </c>
      <c r="T1907" t="str">
        <f t="shared" si="777"/>
        <v>10.20.8.188</v>
      </c>
      <c r="U1907" t="str">
        <f t="shared" si="778"/>
        <v>AZRAD UMAR BIN SHAARI</v>
      </c>
      <c r="V1907" t="str">
        <f t="shared" si="779"/>
        <v>FARHANA BINTI MUSTAPA</v>
      </c>
      <c r="W1907" t="str">
        <f t="shared" si="780"/>
        <v>04-08-2020</v>
      </c>
      <c r="X1907" t="str">
        <f t="shared" si="781"/>
        <v>RAZIMAH ANSAR AHMAD</v>
      </c>
      <c r="Y1907" t="str">
        <f t="shared" si="782"/>
        <v>04-08-2020</v>
      </c>
      <c r="Z1907" t="str">
        <f>"COS10200804 7247"</f>
        <v>COS10200804 7247</v>
      </c>
    </row>
    <row r="1908" spans="1:26" x14ac:dyDescent="0.25">
      <c r="A1908" t="str">
        <f t="shared" si="787"/>
        <v>04-08-2020 01:06:46</v>
      </c>
      <c r="B1908" t="str">
        <f>"0000809045"</f>
        <v>0000809045</v>
      </c>
      <c r="C1908" t="str">
        <f t="shared" si="788"/>
        <v>0000808999</v>
      </c>
      <c r="D1908" t="str">
        <f t="shared" si="770"/>
        <v>73185</v>
      </c>
      <c r="E1908" t="str">
        <f t="shared" si="771"/>
        <v>KFH-OPERATIONS DEPARTMENT</v>
      </c>
      <c r="F1908" t="str">
        <f t="shared" si="772"/>
        <v>IBG</v>
      </c>
      <c r="G1908" t="str">
        <f t="shared" si="785"/>
        <v>Refund COSHARE 10</v>
      </c>
      <c r="H1908" s="2">
        <v>66.25</v>
      </c>
      <c r="I1908" t="str">
        <f>"SAIFULLNIZAM BIN ABU BAKAR"</f>
        <v>SAIFULLNIZAM BIN ABU BAKAR</v>
      </c>
      <c r="J1908" t="str">
        <f t="shared" si="786"/>
        <v>MAYBANK / MAYBANK ISLAMIC</v>
      </c>
      <c r="K1908" t="str">
        <f>"155014927613"</f>
        <v>155014927613</v>
      </c>
      <c r="L1908" t="str">
        <f t="shared" si="791"/>
        <v>04-08-2020</v>
      </c>
      <c r="M1908" t="str">
        <f t="shared" si="791"/>
        <v>04-08-2020</v>
      </c>
      <c r="N1908" t="str">
        <f t="shared" si="773"/>
        <v>001105018356</v>
      </c>
      <c r="O1908" t="str">
        <f t="shared" si="774"/>
        <v>MYR</v>
      </c>
      <c r="P1908" t="str">
        <f t="shared" si="792"/>
        <v>NIL</v>
      </c>
      <c r="Q1908" t="str">
        <f t="shared" si="792"/>
        <v>NIL</v>
      </c>
      <c r="R1908" t="str">
        <f t="shared" si="775"/>
        <v>Accepted</v>
      </c>
      <c r="S1908" t="str">
        <f t="shared" si="776"/>
        <v>Approved</v>
      </c>
      <c r="T1908" t="str">
        <f t="shared" si="777"/>
        <v>10.20.8.188</v>
      </c>
      <c r="U1908" t="str">
        <f t="shared" si="778"/>
        <v>AZRAD UMAR BIN SHAARI</v>
      </c>
      <c r="V1908" t="str">
        <f t="shared" si="779"/>
        <v>FARHANA BINTI MUSTAPA</v>
      </c>
      <c r="W1908" t="str">
        <f t="shared" si="780"/>
        <v>04-08-2020</v>
      </c>
      <c r="X1908" t="str">
        <f t="shared" si="781"/>
        <v>RAZIMAH ANSAR AHMAD</v>
      </c>
      <c r="Y1908" t="str">
        <f t="shared" si="782"/>
        <v>04-08-2020</v>
      </c>
      <c r="Z1908" t="str">
        <f>"COS10200804 7246"</f>
        <v>COS10200804 7246</v>
      </c>
    </row>
    <row r="1909" spans="1:26" x14ac:dyDescent="0.25">
      <c r="A1909" t="str">
        <f t="shared" si="787"/>
        <v>04-08-2020 01:06:46</v>
      </c>
      <c r="B1909" t="str">
        <f>"0000809044"</f>
        <v>0000809044</v>
      </c>
      <c r="C1909" t="str">
        <f t="shared" si="788"/>
        <v>0000808999</v>
      </c>
      <c r="D1909" t="str">
        <f t="shared" si="770"/>
        <v>73185</v>
      </c>
      <c r="E1909" t="str">
        <f t="shared" si="771"/>
        <v>KFH-OPERATIONS DEPARTMENT</v>
      </c>
      <c r="F1909" t="str">
        <f t="shared" si="772"/>
        <v>IBG</v>
      </c>
      <c r="G1909" t="str">
        <f t="shared" si="785"/>
        <v>Refund COSHARE 10</v>
      </c>
      <c r="H1909" s="2">
        <v>412.6</v>
      </c>
      <c r="I1909" t="str">
        <f>"SAIFUL YUSNOR BIN MOHD YUSUF"</f>
        <v>SAIFUL YUSNOR BIN MOHD YUSUF</v>
      </c>
      <c r="J1909" t="str">
        <f t="shared" si="786"/>
        <v>MAYBANK / MAYBANK ISLAMIC</v>
      </c>
      <c r="K1909" t="str">
        <f>"512268207200"</f>
        <v>512268207200</v>
      </c>
      <c r="L1909" t="str">
        <f t="shared" si="791"/>
        <v>04-08-2020</v>
      </c>
      <c r="M1909" t="str">
        <f t="shared" si="791"/>
        <v>04-08-2020</v>
      </c>
      <c r="N1909" t="str">
        <f t="shared" si="773"/>
        <v>001105018356</v>
      </c>
      <c r="O1909" t="str">
        <f t="shared" si="774"/>
        <v>MYR</v>
      </c>
      <c r="P1909" t="str">
        <f t="shared" si="792"/>
        <v>NIL</v>
      </c>
      <c r="Q1909" t="str">
        <f t="shared" si="792"/>
        <v>NIL</v>
      </c>
      <c r="R1909" t="str">
        <f t="shared" si="775"/>
        <v>Accepted</v>
      </c>
      <c r="S1909" t="str">
        <f t="shared" si="776"/>
        <v>Approved</v>
      </c>
      <c r="T1909" t="str">
        <f t="shared" si="777"/>
        <v>10.20.8.188</v>
      </c>
      <c r="U1909" t="str">
        <f t="shared" si="778"/>
        <v>AZRAD UMAR BIN SHAARI</v>
      </c>
      <c r="V1909" t="str">
        <f t="shared" si="779"/>
        <v>FARHANA BINTI MUSTAPA</v>
      </c>
      <c r="W1909" t="str">
        <f t="shared" si="780"/>
        <v>04-08-2020</v>
      </c>
      <c r="X1909" t="str">
        <f t="shared" si="781"/>
        <v>RAZIMAH ANSAR AHMAD</v>
      </c>
      <c r="Y1909" t="str">
        <f t="shared" si="782"/>
        <v>04-08-2020</v>
      </c>
      <c r="Z1909" t="str">
        <f>"COS10200804 7245"</f>
        <v>COS10200804 7245</v>
      </c>
    </row>
    <row r="1910" spans="1:26" x14ac:dyDescent="0.25">
      <c r="A1910" t="str">
        <f t="shared" si="787"/>
        <v>04-08-2020 01:06:46</v>
      </c>
      <c r="B1910" t="str">
        <f>"0000809043"</f>
        <v>0000809043</v>
      </c>
      <c r="C1910" t="str">
        <f t="shared" si="788"/>
        <v>0000808999</v>
      </c>
      <c r="D1910" t="str">
        <f t="shared" si="770"/>
        <v>73185</v>
      </c>
      <c r="E1910" t="str">
        <f t="shared" si="771"/>
        <v>KFH-OPERATIONS DEPARTMENT</v>
      </c>
      <c r="F1910" t="str">
        <f t="shared" si="772"/>
        <v>IBG</v>
      </c>
      <c r="G1910" t="str">
        <f t="shared" si="785"/>
        <v>Refund COSHARE 10</v>
      </c>
      <c r="H1910" s="2">
        <v>109.15</v>
      </c>
      <c r="I1910" t="str">
        <f>"SAIFUL RAHMAN BIN SABRI"</f>
        <v>SAIFUL RAHMAN BIN SABRI</v>
      </c>
      <c r="J1910" t="str">
        <f t="shared" si="786"/>
        <v>MAYBANK / MAYBANK ISLAMIC</v>
      </c>
      <c r="K1910" t="str">
        <f>"164173665216"</f>
        <v>164173665216</v>
      </c>
      <c r="L1910" t="str">
        <f t="shared" si="791"/>
        <v>04-08-2020</v>
      </c>
      <c r="M1910" t="str">
        <f t="shared" si="791"/>
        <v>04-08-2020</v>
      </c>
      <c r="N1910" t="str">
        <f t="shared" si="773"/>
        <v>001105018356</v>
      </c>
      <c r="O1910" t="str">
        <f t="shared" si="774"/>
        <v>MYR</v>
      </c>
      <c r="P1910" t="str">
        <f t="shared" si="792"/>
        <v>NIL</v>
      </c>
      <c r="Q1910" t="str">
        <f t="shared" si="792"/>
        <v>NIL</v>
      </c>
      <c r="R1910" t="str">
        <f t="shared" si="775"/>
        <v>Accepted</v>
      </c>
      <c r="S1910" t="str">
        <f t="shared" si="776"/>
        <v>Approved</v>
      </c>
      <c r="T1910" t="str">
        <f t="shared" si="777"/>
        <v>10.20.8.188</v>
      </c>
      <c r="U1910" t="str">
        <f t="shared" si="778"/>
        <v>AZRAD UMAR BIN SHAARI</v>
      </c>
      <c r="V1910" t="str">
        <f t="shared" si="779"/>
        <v>FARHANA BINTI MUSTAPA</v>
      </c>
      <c r="W1910" t="str">
        <f t="shared" si="780"/>
        <v>04-08-2020</v>
      </c>
      <c r="X1910" t="str">
        <f t="shared" si="781"/>
        <v>RAZIMAH ANSAR AHMAD</v>
      </c>
      <c r="Y1910" t="str">
        <f t="shared" si="782"/>
        <v>04-08-2020</v>
      </c>
      <c r="Z1910" t="str">
        <f>"COS10200804 7244"</f>
        <v>COS10200804 7244</v>
      </c>
    </row>
    <row r="1911" spans="1:26" x14ac:dyDescent="0.25">
      <c r="A1911" t="str">
        <f t="shared" si="787"/>
        <v>04-08-2020 01:06:46</v>
      </c>
      <c r="B1911" t="str">
        <f>"0000809042"</f>
        <v>0000809042</v>
      </c>
      <c r="C1911" t="str">
        <f t="shared" si="788"/>
        <v>0000808999</v>
      </c>
      <c r="D1911" t="str">
        <f t="shared" si="770"/>
        <v>73185</v>
      </c>
      <c r="E1911" t="str">
        <f t="shared" si="771"/>
        <v>KFH-OPERATIONS DEPARTMENT</v>
      </c>
      <c r="F1911" t="str">
        <f t="shared" si="772"/>
        <v>IBG</v>
      </c>
      <c r="G1911" t="str">
        <f t="shared" si="785"/>
        <v>Refund COSHARE 10</v>
      </c>
      <c r="H1911" s="2">
        <v>42</v>
      </c>
      <c r="I1911" t="str">
        <f>"SAIFUL NIZAM BIN ZAINI"</f>
        <v>SAIFUL NIZAM BIN ZAINI</v>
      </c>
      <c r="J1911" t="str">
        <f t="shared" si="786"/>
        <v>MAYBANK / MAYBANK ISLAMIC</v>
      </c>
      <c r="K1911" t="str">
        <f>"166010098653"</f>
        <v>166010098653</v>
      </c>
      <c r="L1911" t="str">
        <f t="shared" si="791"/>
        <v>04-08-2020</v>
      </c>
      <c r="M1911" t="str">
        <f t="shared" si="791"/>
        <v>04-08-2020</v>
      </c>
      <c r="N1911" t="str">
        <f t="shared" si="773"/>
        <v>001105018356</v>
      </c>
      <c r="O1911" t="str">
        <f t="shared" si="774"/>
        <v>MYR</v>
      </c>
      <c r="P1911" t="str">
        <f t="shared" si="792"/>
        <v>NIL</v>
      </c>
      <c r="Q1911" t="str">
        <f t="shared" si="792"/>
        <v>NIL</v>
      </c>
      <c r="R1911" t="str">
        <f t="shared" si="775"/>
        <v>Accepted</v>
      </c>
      <c r="S1911" t="str">
        <f t="shared" si="776"/>
        <v>Approved</v>
      </c>
      <c r="T1911" t="str">
        <f t="shared" si="777"/>
        <v>10.20.8.188</v>
      </c>
      <c r="U1911" t="str">
        <f t="shared" si="778"/>
        <v>AZRAD UMAR BIN SHAARI</v>
      </c>
      <c r="V1911" t="str">
        <f t="shared" si="779"/>
        <v>FARHANA BINTI MUSTAPA</v>
      </c>
      <c r="W1911" t="str">
        <f t="shared" si="780"/>
        <v>04-08-2020</v>
      </c>
      <c r="X1911" t="str">
        <f t="shared" si="781"/>
        <v>RAZIMAH ANSAR AHMAD</v>
      </c>
      <c r="Y1911" t="str">
        <f t="shared" si="782"/>
        <v>04-08-2020</v>
      </c>
      <c r="Z1911" t="str">
        <f>"COS10200804 7243"</f>
        <v>COS10200804 7243</v>
      </c>
    </row>
    <row r="1912" spans="1:26" x14ac:dyDescent="0.25">
      <c r="A1912" t="str">
        <f t="shared" si="787"/>
        <v>04-08-2020 01:06:46</v>
      </c>
      <c r="B1912" t="str">
        <f>"0000809041"</f>
        <v>0000809041</v>
      </c>
      <c r="C1912" t="str">
        <f t="shared" si="788"/>
        <v>0000808999</v>
      </c>
      <c r="D1912" t="str">
        <f t="shared" si="770"/>
        <v>73185</v>
      </c>
      <c r="E1912" t="str">
        <f t="shared" si="771"/>
        <v>KFH-OPERATIONS DEPARTMENT</v>
      </c>
      <c r="F1912" t="str">
        <f t="shared" si="772"/>
        <v>IBG</v>
      </c>
      <c r="G1912" t="str">
        <f t="shared" si="785"/>
        <v>Refund COSHARE 10</v>
      </c>
      <c r="H1912" s="2">
        <v>545.70000000000005</v>
      </c>
      <c r="I1912" t="str">
        <f>"SAIFUL IFSHAM BIN ZAHARIMAN"</f>
        <v>SAIFUL IFSHAM BIN ZAHARIMAN</v>
      </c>
      <c r="J1912" t="str">
        <f t="shared" si="786"/>
        <v>MAYBANK / MAYBANK ISLAMIC</v>
      </c>
      <c r="K1912" t="str">
        <f>"164445024825"</f>
        <v>164445024825</v>
      </c>
      <c r="L1912" t="str">
        <f t="shared" si="791"/>
        <v>04-08-2020</v>
      </c>
      <c r="M1912" t="str">
        <f t="shared" si="791"/>
        <v>04-08-2020</v>
      </c>
      <c r="N1912" t="str">
        <f t="shared" si="773"/>
        <v>001105018356</v>
      </c>
      <c r="O1912" t="str">
        <f t="shared" si="774"/>
        <v>MYR</v>
      </c>
      <c r="P1912" t="str">
        <f t="shared" si="792"/>
        <v>NIL</v>
      </c>
      <c r="Q1912" t="str">
        <f t="shared" si="792"/>
        <v>NIL</v>
      </c>
      <c r="R1912" t="str">
        <f t="shared" si="775"/>
        <v>Accepted</v>
      </c>
      <c r="S1912" t="str">
        <f t="shared" si="776"/>
        <v>Approved</v>
      </c>
      <c r="T1912" t="str">
        <f t="shared" si="777"/>
        <v>10.20.8.188</v>
      </c>
      <c r="U1912" t="str">
        <f t="shared" si="778"/>
        <v>AZRAD UMAR BIN SHAARI</v>
      </c>
      <c r="V1912" t="str">
        <f t="shared" si="779"/>
        <v>FARHANA BINTI MUSTAPA</v>
      </c>
      <c r="W1912" t="str">
        <f t="shared" si="780"/>
        <v>04-08-2020</v>
      </c>
      <c r="X1912" t="str">
        <f t="shared" si="781"/>
        <v>RAZIMAH ANSAR AHMAD</v>
      </c>
      <c r="Y1912" t="str">
        <f t="shared" si="782"/>
        <v>04-08-2020</v>
      </c>
      <c r="Z1912" t="str">
        <f>"COS10200804 7242"</f>
        <v>COS10200804 7242</v>
      </c>
    </row>
    <row r="1913" spans="1:26" x14ac:dyDescent="0.25">
      <c r="A1913" t="str">
        <f t="shared" si="787"/>
        <v>04-08-2020 01:06:46</v>
      </c>
      <c r="B1913" t="str">
        <f>"0000809040"</f>
        <v>0000809040</v>
      </c>
      <c r="C1913" t="str">
        <f t="shared" si="788"/>
        <v>0000808999</v>
      </c>
      <c r="D1913" t="str">
        <f t="shared" si="770"/>
        <v>73185</v>
      </c>
      <c r="E1913" t="str">
        <f t="shared" si="771"/>
        <v>KFH-OPERATIONS DEPARTMENT</v>
      </c>
      <c r="F1913" t="str">
        <f t="shared" si="772"/>
        <v>IBG</v>
      </c>
      <c r="G1913" t="str">
        <f t="shared" si="785"/>
        <v>Refund COSHARE 10</v>
      </c>
      <c r="H1913" s="2">
        <v>587.65</v>
      </c>
      <c r="I1913" t="str">
        <f>"SAIFUL HAIDAR BIN SALLEH"</f>
        <v>SAIFUL HAIDAR BIN SALLEH</v>
      </c>
      <c r="J1913" t="str">
        <f t="shared" si="786"/>
        <v>MAYBANK / MAYBANK ISLAMIC</v>
      </c>
      <c r="K1913" t="str">
        <f>"107023008603"</f>
        <v>107023008603</v>
      </c>
      <c r="L1913" t="str">
        <f t="shared" si="791"/>
        <v>04-08-2020</v>
      </c>
      <c r="M1913" t="str">
        <f t="shared" si="791"/>
        <v>04-08-2020</v>
      </c>
      <c r="N1913" t="str">
        <f t="shared" si="773"/>
        <v>001105018356</v>
      </c>
      <c r="O1913" t="str">
        <f t="shared" si="774"/>
        <v>MYR</v>
      </c>
      <c r="P1913" t="str">
        <f t="shared" si="792"/>
        <v>NIL</v>
      </c>
      <c r="Q1913" t="str">
        <f t="shared" si="792"/>
        <v>NIL</v>
      </c>
      <c r="R1913" t="str">
        <f t="shared" si="775"/>
        <v>Accepted</v>
      </c>
      <c r="S1913" t="str">
        <f t="shared" si="776"/>
        <v>Approved</v>
      </c>
      <c r="T1913" t="str">
        <f t="shared" si="777"/>
        <v>10.20.8.188</v>
      </c>
      <c r="U1913" t="str">
        <f t="shared" si="778"/>
        <v>AZRAD UMAR BIN SHAARI</v>
      </c>
      <c r="V1913" t="str">
        <f t="shared" si="779"/>
        <v>FARHANA BINTI MUSTAPA</v>
      </c>
      <c r="W1913" t="str">
        <f t="shared" si="780"/>
        <v>04-08-2020</v>
      </c>
      <c r="X1913" t="str">
        <f t="shared" si="781"/>
        <v>RAZIMAH ANSAR AHMAD</v>
      </c>
      <c r="Y1913" t="str">
        <f t="shared" si="782"/>
        <v>04-08-2020</v>
      </c>
      <c r="Z1913" t="str">
        <f>"COS10200804 7241"</f>
        <v>COS10200804 7241</v>
      </c>
    </row>
    <row r="1914" spans="1:26" x14ac:dyDescent="0.25">
      <c r="A1914" t="str">
        <f t="shared" ref="A1914:A1945" si="793">"04-08-2020 01:06:46"</f>
        <v>04-08-2020 01:06:46</v>
      </c>
      <c r="B1914" t="str">
        <f>"0000809039"</f>
        <v>0000809039</v>
      </c>
      <c r="C1914" t="str">
        <f t="shared" ref="C1914:C1945" si="794">"0000808999"</f>
        <v>0000808999</v>
      </c>
      <c r="D1914" t="str">
        <f t="shared" si="770"/>
        <v>73185</v>
      </c>
      <c r="E1914" t="str">
        <f t="shared" si="771"/>
        <v>KFH-OPERATIONS DEPARTMENT</v>
      </c>
      <c r="F1914" t="str">
        <f t="shared" si="772"/>
        <v>IBG</v>
      </c>
      <c r="G1914" t="str">
        <f t="shared" si="785"/>
        <v>Refund COSHARE 10</v>
      </c>
      <c r="H1914" s="2">
        <v>327</v>
      </c>
      <c r="I1914" t="str">
        <f>"SAIFUL FADHLAN BIN MOHD NASHRUDDIN"</f>
        <v>SAIFUL FADHLAN BIN MOHD NASHRUDDIN</v>
      </c>
      <c r="J1914" t="str">
        <f t="shared" si="786"/>
        <v>MAYBANK / MAYBANK ISLAMIC</v>
      </c>
      <c r="K1914" t="str">
        <f>"107135108470"</f>
        <v>107135108470</v>
      </c>
      <c r="L1914" t="str">
        <f t="shared" si="791"/>
        <v>04-08-2020</v>
      </c>
      <c r="M1914" t="str">
        <f t="shared" si="791"/>
        <v>04-08-2020</v>
      </c>
      <c r="N1914" t="str">
        <f t="shared" si="773"/>
        <v>001105018356</v>
      </c>
      <c r="O1914" t="str">
        <f t="shared" si="774"/>
        <v>MYR</v>
      </c>
      <c r="P1914" t="str">
        <f t="shared" si="792"/>
        <v>NIL</v>
      </c>
      <c r="Q1914" t="str">
        <f t="shared" si="792"/>
        <v>NIL</v>
      </c>
      <c r="R1914" t="str">
        <f t="shared" si="775"/>
        <v>Accepted</v>
      </c>
      <c r="S1914" t="str">
        <f t="shared" si="776"/>
        <v>Approved</v>
      </c>
      <c r="T1914" t="str">
        <f t="shared" si="777"/>
        <v>10.20.8.188</v>
      </c>
      <c r="U1914" t="str">
        <f t="shared" si="778"/>
        <v>AZRAD UMAR BIN SHAARI</v>
      </c>
      <c r="V1914" t="str">
        <f t="shared" si="779"/>
        <v>FARHANA BINTI MUSTAPA</v>
      </c>
      <c r="W1914" t="str">
        <f t="shared" si="780"/>
        <v>04-08-2020</v>
      </c>
      <c r="X1914" t="str">
        <f t="shared" si="781"/>
        <v>RAZIMAH ANSAR AHMAD</v>
      </c>
      <c r="Y1914" t="str">
        <f t="shared" si="782"/>
        <v>04-08-2020</v>
      </c>
      <c r="Z1914" t="str">
        <f>"COS10200804 7240"</f>
        <v>COS10200804 7240</v>
      </c>
    </row>
    <row r="1915" spans="1:26" x14ac:dyDescent="0.25">
      <c r="A1915" t="str">
        <f t="shared" si="793"/>
        <v>04-08-2020 01:06:46</v>
      </c>
      <c r="B1915" t="str">
        <f>"0000809038"</f>
        <v>0000809038</v>
      </c>
      <c r="C1915" t="str">
        <f t="shared" si="794"/>
        <v>0000808999</v>
      </c>
      <c r="D1915" t="str">
        <f t="shared" si="770"/>
        <v>73185</v>
      </c>
      <c r="E1915" t="str">
        <f t="shared" si="771"/>
        <v>KFH-OPERATIONS DEPARTMENT</v>
      </c>
      <c r="F1915" t="str">
        <f t="shared" si="772"/>
        <v>IBG</v>
      </c>
      <c r="G1915" t="str">
        <f t="shared" si="785"/>
        <v>Refund COSHARE 10</v>
      </c>
      <c r="H1915" s="2">
        <v>152</v>
      </c>
      <c r="I1915" t="str">
        <f>"SAIFUL BIN HASBOLLAH"</f>
        <v>SAIFUL BIN HASBOLLAH</v>
      </c>
      <c r="J1915" t="str">
        <f t="shared" si="786"/>
        <v>MAYBANK / MAYBANK ISLAMIC</v>
      </c>
      <c r="K1915" t="str">
        <f>"155032369426"</f>
        <v>155032369426</v>
      </c>
      <c r="L1915" t="str">
        <f t="shared" si="791"/>
        <v>04-08-2020</v>
      </c>
      <c r="M1915" t="str">
        <f t="shared" si="791"/>
        <v>04-08-2020</v>
      </c>
      <c r="N1915" t="str">
        <f t="shared" si="773"/>
        <v>001105018356</v>
      </c>
      <c r="O1915" t="str">
        <f t="shared" si="774"/>
        <v>MYR</v>
      </c>
      <c r="P1915" t="str">
        <f t="shared" si="792"/>
        <v>NIL</v>
      </c>
      <c r="Q1915" t="str">
        <f t="shared" si="792"/>
        <v>NIL</v>
      </c>
      <c r="R1915" t="str">
        <f t="shared" si="775"/>
        <v>Accepted</v>
      </c>
      <c r="S1915" t="str">
        <f t="shared" si="776"/>
        <v>Approved</v>
      </c>
      <c r="T1915" t="str">
        <f t="shared" si="777"/>
        <v>10.20.8.188</v>
      </c>
      <c r="U1915" t="str">
        <f t="shared" si="778"/>
        <v>AZRAD UMAR BIN SHAARI</v>
      </c>
      <c r="V1915" t="str">
        <f t="shared" si="779"/>
        <v>FARHANA BINTI MUSTAPA</v>
      </c>
      <c r="W1915" t="str">
        <f t="shared" si="780"/>
        <v>04-08-2020</v>
      </c>
      <c r="X1915" t="str">
        <f t="shared" si="781"/>
        <v>RAZIMAH ANSAR AHMAD</v>
      </c>
      <c r="Y1915" t="str">
        <f t="shared" si="782"/>
        <v>04-08-2020</v>
      </c>
      <c r="Z1915" t="str">
        <f>"COS10200804 7239"</f>
        <v>COS10200804 7239</v>
      </c>
    </row>
    <row r="1916" spans="1:26" x14ac:dyDescent="0.25">
      <c r="A1916" t="str">
        <f t="shared" si="793"/>
        <v>04-08-2020 01:06:46</v>
      </c>
      <c r="B1916" t="str">
        <f>"0000809037"</f>
        <v>0000809037</v>
      </c>
      <c r="C1916" t="str">
        <f t="shared" si="794"/>
        <v>0000808999</v>
      </c>
      <c r="D1916" t="str">
        <f t="shared" si="770"/>
        <v>73185</v>
      </c>
      <c r="E1916" t="str">
        <f t="shared" si="771"/>
        <v>KFH-OPERATIONS DEPARTMENT</v>
      </c>
      <c r="F1916" t="str">
        <f t="shared" si="772"/>
        <v>IBG</v>
      </c>
      <c r="G1916" t="str">
        <f t="shared" si="785"/>
        <v>Refund COSHARE 10</v>
      </c>
      <c r="H1916" s="2">
        <v>1293</v>
      </c>
      <c r="I1916" t="str">
        <f>"SAIFUL BAHARI BIN ADZMI"</f>
        <v>SAIFUL BAHARI BIN ADZMI</v>
      </c>
      <c r="J1916" t="str">
        <f t="shared" si="786"/>
        <v>MAYBANK / MAYBANK ISLAMIC</v>
      </c>
      <c r="K1916" t="str">
        <f>"105038049096"</f>
        <v>105038049096</v>
      </c>
      <c r="L1916" t="str">
        <f t="shared" si="791"/>
        <v>04-08-2020</v>
      </c>
      <c r="M1916" t="str">
        <f t="shared" si="791"/>
        <v>04-08-2020</v>
      </c>
      <c r="N1916" t="str">
        <f t="shared" si="773"/>
        <v>001105018356</v>
      </c>
      <c r="O1916" t="str">
        <f t="shared" si="774"/>
        <v>MYR</v>
      </c>
      <c r="P1916" t="str">
        <f t="shared" si="792"/>
        <v>NIL</v>
      </c>
      <c r="Q1916" t="str">
        <f t="shared" si="792"/>
        <v>NIL</v>
      </c>
      <c r="R1916" t="str">
        <f t="shared" si="775"/>
        <v>Accepted</v>
      </c>
      <c r="S1916" t="str">
        <f t="shared" si="776"/>
        <v>Approved</v>
      </c>
      <c r="T1916" t="str">
        <f t="shared" si="777"/>
        <v>10.20.8.188</v>
      </c>
      <c r="U1916" t="str">
        <f t="shared" si="778"/>
        <v>AZRAD UMAR BIN SHAARI</v>
      </c>
      <c r="V1916" t="str">
        <f t="shared" si="779"/>
        <v>FARHANA BINTI MUSTAPA</v>
      </c>
      <c r="W1916" t="str">
        <f t="shared" si="780"/>
        <v>04-08-2020</v>
      </c>
      <c r="X1916" t="str">
        <f t="shared" si="781"/>
        <v>RAZIMAH ANSAR AHMAD</v>
      </c>
      <c r="Y1916" t="str">
        <f t="shared" si="782"/>
        <v>04-08-2020</v>
      </c>
      <c r="Z1916" t="str">
        <f>"COS10200804 7238"</f>
        <v>COS10200804 7238</v>
      </c>
    </row>
    <row r="1917" spans="1:26" x14ac:dyDescent="0.25">
      <c r="A1917" t="str">
        <f t="shared" si="793"/>
        <v>04-08-2020 01:06:46</v>
      </c>
      <c r="B1917" t="str">
        <f>"0000809036"</f>
        <v>0000809036</v>
      </c>
      <c r="C1917" t="str">
        <f t="shared" si="794"/>
        <v>0000808999</v>
      </c>
      <c r="D1917" t="str">
        <f t="shared" si="770"/>
        <v>73185</v>
      </c>
      <c r="E1917" t="str">
        <f t="shared" si="771"/>
        <v>KFH-OPERATIONS DEPARTMENT</v>
      </c>
      <c r="F1917" t="str">
        <f t="shared" si="772"/>
        <v>IBG</v>
      </c>
      <c r="G1917" t="str">
        <f t="shared" si="785"/>
        <v>Refund COSHARE 10</v>
      </c>
      <c r="H1917" s="2">
        <v>86.2</v>
      </c>
      <c r="I1917" t="str">
        <f>"SAIFUL AZIRA BIN MOHAMAD ALIAS"</f>
        <v>SAIFUL AZIRA BIN MOHAMAD ALIAS</v>
      </c>
      <c r="J1917" t="str">
        <f t="shared" si="786"/>
        <v>MAYBANK / MAYBANK ISLAMIC</v>
      </c>
      <c r="K1917" t="str">
        <f>"164016987038"</f>
        <v>164016987038</v>
      </c>
      <c r="L1917" t="str">
        <f t="shared" si="791"/>
        <v>04-08-2020</v>
      </c>
      <c r="M1917" t="str">
        <f t="shared" si="791"/>
        <v>04-08-2020</v>
      </c>
      <c r="N1917" t="str">
        <f t="shared" si="773"/>
        <v>001105018356</v>
      </c>
      <c r="O1917" t="str">
        <f t="shared" si="774"/>
        <v>MYR</v>
      </c>
      <c r="P1917" t="str">
        <f t="shared" si="792"/>
        <v>NIL</v>
      </c>
      <c r="Q1917" t="str">
        <f t="shared" si="792"/>
        <v>NIL</v>
      </c>
      <c r="R1917" t="str">
        <f t="shared" si="775"/>
        <v>Accepted</v>
      </c>
      <c r="S1917" t="str">
        <f t="shared" si="776"/>
        <v>Approved</v>
      </c>
      <c r="T1917" t="str">
        <f t="shared" si="777"/>
        <v>10.20.8.188</v>
      </c>
      <c r="U1917" t="str">
        <f t="shared" si="778"/>
        <v>AZRAD UMAR BIN SHAARI</v>
      </c>
      <c r="V1917" t="str">
        <f t="shared" si="779"/>
        <v>FARHANA BINTI MUSTAPA</v>
      </c>
      <c r="W1917" t="str">
        <f t="shared" si="780"/>
        <v>04-08-2020</v>
      </c>
      <c r="X1917" t="str">
        <f t="shared" si="781"/>
        <v>RAZIMAH ANSAR AHMAD</v>
      </c>
      <c r="Y1917" t="str">
        <f t="shared" si="782"/>
        <v>04-08-2020</v>
      </c>
      <c r="Z1917" t="str">
        <f>"COS10200804 7237"</f>
        <v>COS10200804 7237</v>
      </c>
    </row>
    <row r="1918" spans="1:26" x14ac:dyDescent="0.25">
      <c r="A1918" t="str">
        <f t="shared" si="793"/>
        <v>04-08-2020 01:06:46</v>
      </c>
      <c r="B1918" t="str">
        <f>"0000809035"</f>
        <v>0000809035</v>
      </c>
      <c r="C1918" t="str">
        <f t="shared" si="794"/>
        <v>0000808999</v>
      </c>
      <c r="D1918" t="str">
        <f t="shared" si="770"/>
        <v>73185</v>
      </c>
      <c r="E1918" t="str">
        <f t="shared" si="771"/>
        <v>KFH-OPERATIONS DEPARTMENT</v>
      </c>
      <c r="F1918" t="str">
        <f t="shared" si="772"/>
        <v>IBG</v>
      </c>
      <c r="G1918" t="str">
        <f t="shared" si="785"/>
        <v>Refund COSHARE 10</v>
      </c>
      <c r="H1918" s="2">
        <v>542</v>
      </c>
      <c r="I1918" t="str">
        <f>"SAIFUL ADNI BIN ABD LATIF"</f>
        <v>SAIFUL ADNI BIN ABD LATIF</v>
      </c>
      <c r="J1918" t="str">
        <f t="shared" si="786"/>
        <v>MAYBANK / MAYBANK ISLAMIC</v>
      </c>
      <c r="K1918" t="str">
        <f>"162227275862"</f>
        <v>162227275862</v>
      </c>
      <c r="L1918" t="str">
        <f t="shared" si="791"/>
        <v>04-08-2020</v>
      </c>
      <c r="M1918" t="str">
        <f t="shared" si="791"/>
        <v>04-08-2020</v>
      </c>
      <c r="N1918" t="str">
        <f t="shared" si="773"/>
        <v>001105018356</v>
      </c>
      <c r="O1918" t="str">
        <f t="shared" si="774"/>
        <v>MYR</v>
      </c>
      <c r="P1918" t="str">
        <f t="shared" si="792"/>
        <v>NIL</v>
      </c>
      <c r="Q1918" t="str">
        <f t="shared" si="792"/>
        <v>NIL</v>
      </c>
      <c r="R1918" t="str">
        <f t="shared" si="775"/>
        <v>Accepted</v>
      </c>
      <c r="S1918" t="str">
        <f t="shared" si="776"/>
        <v>Approved</v>
      </c>
      <c r="T1918" t="str">
        <f t="shared" si="777"/>
        <v>10.20.8.188</v>
      </c>
      <c r="U1918" t="str">
        <f t="shared" si="778"/>
        <v>AZRAD UMAR BIN SHAARI</v>
      </c>
      <c r="V1918" t="str">
        <f t="shared" si="779"/>
        <v>FARHANA BINTI MUSTAPA</v>
      </c>
      <c r="W1918" t="str">
        <f t="shared" si="780"/>
        <v>04-08-2020</v>
      </c>
      <c r="X1918" t="str">
        <f t="shared" si="781"/>
        <v>RAZIMAH ANSAR AHMAD</v>
      </c>
      <c r="Y1918" t="str">
        <f t="shared" si="782"/>
        <v>04-08-2020</v>
      </c>
      <c r="Z1918" t="str">
        <f>"COS10200804 7236"</f>
        <v>COS10200804 7236</v>
      </c>
    </row>
    <row r="1919" spans="1:26" x14ac:dyDescent="0.25">
      <c r="A1919" t="str">
        <f t="shared" si="793"/>
        <v>04-08-2020 01:06:46</v>
      </c>
      <c r="B1919" t="str">
        <f>"0000809034"</f>
        <v>0000809034</v>
      </c>
      <c r="C1919" t="str">
        <f t="shared" si="794"/>
        <v>0000808999</v>
      </c>
      <c r="D1919" t="str">
        <f t="shared" si="770"/>
        <v>73185</v>
      </c>
      <c r="E1919" t="str">
        <f t="shared" si="771"/>
        <v>KFH-OPERATIONS DEPARTMENT</v>
      </c>
      <c r="F1919" t="str">
        <f t="shared" si="772"/>
        <v>IBG</v>
      </c>
      <c r="G1919" t="str">
        <f t="shared" si="785"/>
        <v>Refund COSHARE 10</v>
      </c>
      <c r="H1919" s="2">
        <v>335.8</v>
      </c>
      <c r="I1919" t="str">
        <f>"SAIFUL ADLI BIN ABDULLAH"</f>
        <v>SAIFUL ADLI BIN ABDULLAH</v>
      </c>
      <c r="J1919" t="str">
        <f t="shared" si="786"/>
        <v>MAYBANK / MAYBANK ISLAMIC</v>
      </c>
      <c r="K1919" t="str">
        <f>"153038832738"</f>
        <v>153038832738</v>
      </c>
      <c r="L1919" t="str">
        <f t="shared" si="791"/>
        <v>04-08-2020</v>
      </c>
      <c r="M1919" t="str">
        <f t="shared" si="791"/>
        <v>04-08-2020</v>
      </c>
      <c r="N1919" t="str">
        <f t="shared" si="773"/>
        <v>001105018356</v>
      </c>
      <c r="O1919" t="str">
        <f t="shared" si="774"/>
        <v>MYR</v>
      </c>
      <c r="P1919" t="str">
        <f t="shared" si="792"/>
        <v>NIL</v>
      </c>
      <c r="Q1919" t="str">
        <f t="shared" si="792"/>
        <v>NIL</v>
      </c>
      <c r="R1919" t="str">
        <f t="shared" si="775"/>
        <v>Accepted</v>
      </c>
      <c r="S1919" t="str">
        <f t="shared" si="776"/>
        <v>Approved</v>
      </c>
      <c r="T1919" t="str">
        <f t="shared" si="777"/>
        <v>10.20.8.188</v>
      </c>
      <c r="U1919" t="str">
        <f t="shared" si="778"/>
        <v>AZRAD UMAR BIN SHAARI</v>
      </c>
      <c r="V1919" t="str">
        <f t="shared" si="779"/>
        <v>FARHANA BINTI MUSTAPA</v>
      </c>
      <c r="W1919" t="str">
        <f t="shared" si="780"/>
        <v>04-08-2020</v>
      </c>
      <c r="X1919" t="str">
        <f t="shared" si="781"/>
        <v>RAZIMAH ANSAR AHMAD</v>
      </c>
      <c r="Y1919" t="str">
        <f t="shared" si="782"/>
        <v>04-08-2020</v>
      </c>
      <c r="Z1919" t="str">
        <f>"COS10200804 7235"</f>
        <v>COS10200804 7235</v>
      </c>
    </row>
    <row r="1920" spans="1:26" x14ac:dyDescent="0.25">
      <c r="A1920" t="str">
        <f t="shared" si="793"/>
        <v>04-08-2020 01:06:46</v>
      </c>
      <c r="B1920" t="str">
        <f>"0000809033"</f>
        <v>0000809033</v>
      </c>
      <c r="C1920" t="str">
        <f t="shared" si="794"/>
        <v>0000808999</v>
      </c>
      <c r="D1920" t="str">
        <f t="shared" si="770"/>
        <v>73185</v>
      </c>
      <c r="E1920" t="str">
        <f t="shared" si="771"/>
        <v>KFH-OPERATIONS DEPARTMENT</v>
      </c>
      <c r="F1920" t="str">
        <f t="shared" si="772"/>
        <v>IBG</v>
      </c>
      <c r="G1920" t="str">
        <f t="shared" si="785"/>
        <v>Refund COSHARE 10</v>
      </c>
      <c r="H1920" s="2">
        <v>167.9</v>
      </c>
      <c r="I1920" t="str">
        <f>"SAIFUDDIN BIN ISMAIL"</f>
        <v>SAIFUDDIN BIN ISMAIL</v>
      </c>
      <c r="J1920" t="str">
        <f t="shared" si="786"/>
        <v>MAYBANK / MAYBANK ISLAMIC</v>
      </c>
      <c r="K1920" t="str">
        <f>"164221345671"</f>
        <v>164221345671</v>
      </c>
      <c r="L1920" t="str">
        <f t="shared" si="791"/>
        <v>04-08-2020</v>
      </c>
      <c r="M1920" t="str">
        <f t="shared" si="791"/>
        <v>04-08-2020</v>
      </c>
      <c r="N1920" t="str">
        <f t="shared" si="773"/>
        <v>001105018356</v>
      </c>
      <c r="O1920" t="str">
        <f t="shared" si="774"/>
        <v>MYR</v>
      </c>
      <c r="P1920" t="str">
        <f t="shared" si="792"/>
        <v>NIL</v>
      </c>
      <c r="Q1920" t="str">
        <f t="shared" si="792"/>
        <v>NIL</v>
      </c>
      <c r="R1920" t="str">
        <f t="shared" si="775"/>
        <v>Accepted</v>
      </c>
      <c r="S1920" t="str">
        <f t="shared" si="776"/>
        <v>Approved</v>
      </c>
      <c r="T1920" t="str">
        <f t="shared" si="777"/>
        <v>10.20.8.188</v>
      </c>
      <c r="U1920" t="str">
        <f t="shared" si="778"/>
        <v>AZRAD UMAR BIN SHAARI</v>
      </c>
      <c r="V1920" t="str">
        <f t="shared" si="779"/>
        <v>FARHANA BINTI MUSTAPA</v>
      </c>
      <c r="W1920" t="str">
        <f t="shared" si="780"/>
        <v>04-08-2020</v>
      </c>
      <c r="X1920" t="str">
        <f t="shared" si="781"/>
        <v>RAZIMAH ANSAR AHMAD</v>
      </c>
      <c r="Y1920" t="str">
        <f t="shared" si="782"/>
        <v>04-08-2020</v>
      </c>
      <c r="Z1920" t="str">
        <f>"COS10200804 7234"</f>
        <v>COS10200804 7234</v>
      </c>
    </row>
    <row r="1921" spans="1:26" x14ac:dyDescent="0.25">
      <c r="A1921" t="str">
        <f t="shared" si="793"/>
        <v>04-08-2020 01:06:46</v>
      </c>
      <c r="B1921" t="str">
        <f>"0000809032"</f>
        <v>0000809032</v>
      </c>
      <c r="C1921" t="str">
        <f t="shared" si="794"/>
        <v>0000808999</v>
      </c>
      <c r="D1921" t="str">
        <f t="shared" si="770"/>
        <v>73185</v>
      </c>
      <c r="E1921" t="str">
        <f t="shared" si="771"/>
        <v>KFH-OPERATIONS DEPARTMENT</v>
      </c>
      <c r="F1921" t="str">
        <f t="shared" si="772"/>
        <v>IBG</v>
      </c>
      <c r="G1921" t="str">
        <f t="shared" si="785"/>
        <v>Refund COSHARE 10</v>
      </c>
      <c r="H1921" s="2">
        <v>1289.3</v>
      </c>
      <c r="I1921" t="str">
        <f>"SAIFFUDDIN BIN HASAN  KASSIM"</f>
        <v>SAIFFUDDIN BIN HASAN  KASSIM</v>
      </c>
      <c r="J1921" t="str">
        <f t="shared" si="786"/>
        <v>MAYBANK / MAYBANK ISLAMIC</v>
      </c>
      <c r="K1921" t="str">
        <f>"152170023734"</f>
        <v>152170023734</v>
      </c>
      <c r="L1921" t="str">
        <f t="shared" si="791"/>
        <v>04-08-2020</v>
      </c>
      <c r="M1921" t="str">
        <f t="shared" si="791"/>
        <v>04-08-2020</v>
      </c>
      <c r="N1921" t="str">
        <f t="shared" si="773"/>
        <v>001105018356</v>
      </c>
      <c r="O1921" t="str">
        <f t="shared" si="774"/>
        <v>MYR</v>
      </c>
      <c r="P1921" t="str">
        <f t="shared" si="792"/>
        <v>NIL</v>
      </c>
      <c r="Q1921" t="str">
        <f t="shared" si="792"/>
        <v>NIL</v>
      </c>
      <c r="R1921" t="str">
        <f t="shared" si="775"/>
        <v>Accepted</v>
      </c>
      <c r="S1921" t="str">
        <f t="shared" si="776"/>
        <v>Approved</v>
      </c>
      <c r="T1921" t="str">
        <f t="shared" si="777"/>
        <v>10.20.8.188</v>
      </c>
      <c r="U1921" t="str">
        <f t="shared" si="778"/>
        <v>AZRAD UMAR BIN SHAARI</v>
      </c>
      <c r="V1921" t="str">
        <f t="shared" si="779"/>
        <v>FARHANA BINTI MUSTAPA</v>
      </c>
      <c r="W1921" t="str">
        <f t="shared" si="780"/>
        <v>04-08-2020</v>
      </c>
      <c r="X1921" t="str">
        <f t="shared" si="781"/>
        <v>RAZIMAH ANSAR AHMAD</v>
      </c>
      <c r="Y1921" t="str">
        <f t="shared" si="782"/>
        <v>04-08-2020</v>
      </c>
      <c r="Z1921" t="str">
        <f>"COS10200804 7233"</f>
        <v>COS10200804 7233</v>
      </c>
    </row>
    <row r="1922" spans="1:26" x14ac:dyDescent="0.25">
      <c r="A1922" t="str">
        <f t="shared" si="793"/>
        <v>04-08-2020 01:06:46</v>
      </c>
      <c r="B1922" t="str">
        <f>"0000809031"</f>
        <v>0000809031</v>
      </c>
      <c r="C1922" t="str">
        <f t="shared" si="794"/>
        <v>0000808999</v>
      </c>
      <c r="D1922" t="str">
        <f t="shared" si="770"/>
        <v>73185</v>
      </c>
      <c r="E1922" t="str">
        <f t="shared" si="771"/>
        <v>KFH-OPERATIONS DEPARTMENT</v>
      </c>
      <c r="F1922" t="str">
        <f t="shared" si="772"/>
        <v>IBG</v>
      </c>
      <c r="G1922" t="str">
        <f t="shared" si="785"/>
        <v>Refund COSHARE 10</v>
      </c>
      <c r="H1922" s="2">
        <v>470</v>
      </c>
      <c r="I1922" t="str">
        <f>"SAIDATUL AKMA BINTI MOHD ZAKI  MANSOR"</f>
        <v>SAIDATUL AKMA BINTI MOHD ZAKI  MANSOR</v>
      </c>
      <c r="J1922" t="str">
        <f t="shared" si="786"/>
        <v>MAYBANK / MAYBANK ISLAMIC</v>
      </c>
      <c r="K1922" t="str">
        <f>"113015158331"</f>
        <v>113015158331</v>
      </c>
      <c r="L1922" t="str">
        <f t="shared" si="791"/>
        <v>04-08-2020</v>
      </c>
      <c r="M1922" t="str">
        <f t="shared" si="791"/>
        <v>04-08-2020</v>
      </c>
      <c r="N1922" t="str">
        <f t="shared" si="773"/>
        <v>001105018356</v>
      </c>
      <c r="O1922" t="str">
        <f t="shared" si="774"/>
        <v>MYR</v>
      </c>
      <c r="P1922" t="str">
        <f t="shared" si="792"/>
        <v>NIL</v>
      </c>
      <c r="Q1922" t="str">
        <f t="shared" si="792"/>
        <v>NIL</v>
      </c>
      <c r="R1922" t="str">
        <f t="shared" si="775"/>
        <v>Accepted</v>
      </c>
      <c r="S1922" t="str">
        <f t="shared" si="776"/>
        <v>Approved</v>
      </c>
      <c r="T1922" t="str">
        <f t="shared" si="777"/>
        <v>10.20.8.188</v>
      </c>
      <c r="U1922" t="str">
        <f t="shared" si="778"/>
        <v>AZRAD UMAR BIN SHAARI</v>
      </c>
      <c r="V1922" t="str">
        <f t="shared" si="779"/>
        <v>FARHANA BINTI MUSTAPA</v>
      </c>
      <c r="W1922" t="str">
        <f t="shared" si="780"/>
        <v>04-08-2020</v>
      </c>
      <c r="X1922" t="str">
        <f t="shared" si="781"/>
        <v>RAZIMAH ANSAR AHMAD</v>
      </c>
      <c r="Y1922" t="str">
        <f t="shared" si="782"/>
        <v>04-08-2020</v>
      </c>
      <c r="Z1922" t="str">
        <f>"COS10200804 7232"</f>
        <v>COS10200804 7232</v>
      </c>
    </row>
    <row r="1923" spans="1:26" x14ac:dyDescent="0.25">
      <c r="A1923" t="str">
        <f t="shared" si="793"/>
        <v>04-08-2020 01:06:46</v>
      </c>
      <c r="B1923" t="str">
        <f>"0000809030"</f>
        <v>0000809030</v>
      </c>
      <c r="C1923" t="str">
        <f t="shared" si="794"/>
        <v>0000808999</v>
      </c>
      <c r="D1923" t="str">
        <f t="shared" si="770"/>
        <v>73185</v>
      </c>
      <c r="E1923" t="str">
        <f t="shared" si="771"/>
        <v>KFH-OPERATIONS DEPARTMENT</v>
      </c>
      <c r="F1923" t="str">
        <f t="shared" si="772"/>
        <v>IBG</v>
      </c>
      <c r="G1923" t="str">
        <f t="shared" si="785"/>
        <v>Refund COSHARE 10</v>
      </c>
      <c r="H1923" s="2">
        <v>738.7</v>
      </c>
      <c r="I1923" t="str">
        <f>"SAIDAH BINTI MAT MUNON"</f>
        <v>SAIDAH BINTI MAT MUNON</v>
      </c>
      <c r="J1923" t="str">
        <f t="shared" si="786"/>
        <v>MAYBANK / MAYBANK ISLAMIC</v>
      </c>
      <c r="K1923" t="str">
        <f>"101075441317"</f>
        <v>101075441317</v>
      </c>
      <c r="L1923" t="str">
        <f t="shared" si="791"/>
        <v>04-08-2020</v>
      </c>
      <c r="M1923" t="str">
        <f t="shared" si="791"/>
        <v>04-08-2020</v>
      </c>
      <c r="N1923" t="str">
        <f t="shared" si="773"/>
        <v>001105018356</v>
      </c>
      <c r="O1923" t="str">
        <f t="shared" si="774"/>
        <v>MYR</v>
      </c>
      <c r="P1923" t="str">
        <f t="shared" si="792"/>
        <v>NIL</v>
      </c>
      <c r="Q1923" t="str">
        <f t="shared" si="792"/>
        <v>NIL</v>
      </c>
      <c r="R1923" t="str">
        <f t="shared" si="775"/>
        <v>Accepted</v>
      </c>
      <c r="S1923" t="str">
        <f t="shared" si="776"/>
        <v>Approved</v>
      </c>
      <c r="T1923" t="str">
        <f t="shared" si="777"/>
        <v>10.20.8.188</v>
      </c>
      <c r="U1923" t="str">
        <f t="shared" si="778"/>
        <v>AZRAD UMAR BIN SHAARI</v>
      </c>
      <c r="V1923" t="str">
        <f t="shared" si="779"/>
        <v>FARHANA BINTI MUSTAPA</v>
      </c>
      <c r="W1923" t="str">
        <f t="shared" si="780"/>
        <v>04-08-2020</v>
      </c>
      <c r="X1923" t="str">
        <f t="shared" si="781"/>
        <v>RAZIMAH ANSAR AHMAD</v>
      </c>
      <c r="Y1923" t="str">
        <f t="shared" si="782"/>
        <v>04-08-2020</v>
      </c>
      <c r="Z1923" t="str">
        <f>"COS10200804 7231"</f>
        <v>COS10200804 7231</v>
      </c>
    </row>
    <row r="1924" spans="1:26" x14ac:dyDescent="0.25">
      <c r="A1924" t="str">
        <f t="shared" si="793"/>
        <v>04-08-2020 01:06:46</v>
      </c>
      <c r="B1924" t="str">
        <f>"0000809029"</f>
        <v>0000809029</v>
      </c>
      <c r="C1924" t="str">
        <f t="shared" si="794"/>
        <v>0000808999</v>
      </c>
      <c r="D1924" t="str">
        <f t="shared" si="770"/>
        <v>73185</v>
      </c>
      <c r="E1924" t="str">
        <f t="shared" si="771"/>
        <v>KFH-OPERATIONS DEPARTMENT</v>
      </c>
      <c r="F1924" t="str">
        <f t="shared" si="772"/>
        <v>IBG</v>
      </c>
      <c r="G1924" t="str">
        <f t="shared" si="785"/>
        <v>Refund COSHARE 10</v>
      </c>
      <c r="H1924" s="2">
        <v>94.65</v>
      </c>
      <c r="I1924" t="str">
        <f>"SAIBAH BINTI ISMAIL"</f>
        <v>SAIBAH BINTI ISMAIL</v>
      </c>
      <c r="J1924" t="str">
        <f t="shared" si="786"/>
        <v>MAYBANK / MAYBANK ISLAMIC</v>
      </c>
      <c r="K1924" t="str">
        <f>"114150431270"</f>
        <v>114150431270</v>
      </c>
      <c r="L1924" t="str">
        <f t="shared" si="791"/>
        <v>04-08-2020</v>
      </c>
      <c r="M1924" t="str">
        <f t="shared" si="791"/>
        <v>04-08-2020</v>
      </c>
      <c r="N1924" t="str">
        <f t="shared" si="773"/>
        <v>001105018356</v>
      </c>
      <c r="O1924" t="str">
        <f t="shared" si="774"/>
        <v>MYR</v>
      </c>
      <c r="P1924" t="str">
        <f t="shared" si="792"/>
        <v>NIL</v>
      </c>
      <c r="Q1924" t="str">
        <f t="shared" si="792"/>
        <v>NIL</v>
      </c>
      <c r="R1924" t="str">
        <f t="shared" si="775"/>
        <v>Accepted</v>
      </c>
      <c r="S1924" t="str">
        <f t="shared" si="776"/>
        <v>Approved</v>
      </c>
      <c r="T1924" t="str">
        <f t="shared" si="777"/>
        <v>10.20.8.188</v>
      </c>
      <c r="U1924" t="str">
        <f t="shared" si="778"/>
        <v>AZRAD UMAR BIN SHAARI</v>
      </c>
      <c r="V1924" t="str">
        <f t="shared" si="779"/>
        <v>FARHANA BINTI MUSTAPA</v>
      </c>
      <c r="W1924" t="str">
        <f t="shared" si="780"/>
        <v>04-08-2020</v>
      </c>
      <c r="X1924" t="str">
        <f t="shared" si="781"/>
        <v>RAZIMAH ANSAR AHMAD</v>
      </c>
      <c r="Y1924" t="str">
        <f t="shared" si="782"/>
        <v>04-08-2020</v>
      </c>
      <c r="Z1924" t="str">
        <f>"COS10200804 7230"</f>
        <v>COS10200804 7230</v>
      </c>
    </row>
    <row r="1925" spans="1:26" x14ac:dyDescent="0.25">
      <c r="A1925" t="str">
        <f t="shared" si="793"/>
        <v>04-08-2020 01:06:46</v>
      </c>
      <c r="B1925" t="str">
        <f>"0000809028"</f>
        <v>0000809028</v>
      </c>
      <c r="C1925" t="str">
        <f t="shared" si="794"/>
        <v>0000808999</v>
      </c>
      <c r="D1925" t="str">
        <f t="shared" si="770"/>
        <v>73185</v>
      </c>
      <c r="E1925" t="str">
        <f t="shared" si="771"/>
        <v>KFH-OPERATIONS DEPARTMENT</v>
      </c>
      <c r="F1925" t="str">
        <f t="shared" si="772"/>
        <v>IBG</v>
      </c>
      <c r="G1925" t="str">
        <f t="shared" si="785"/>
        <v>Refund COSHARE 10</v>
      </c>
      <c r="H1925" s="2">
        <v>177.75</v>
      </c>
      <c r="I1925" t="str">
        <f>"SAHROM BIN SABARI"</f>
        <v>SAHROM BIN SABARI</v>
      </c>
      <c r="J1925" t="str">
        <f t="shared" si="786"/>
        <v>MAYBANK / MAYBANK ISLAMIC</v>
      </c>
      <c r="K1925" t="str">
        <f>"164212270767"</f>
        <v>164212270767</v>
      </c>
      <c r="L1925" t="str">
        <f t="shared" si="791"/>
        <v>04-08-2020</v>
      </c>
      <c r="M1925" t="str">
        <f t="shared" si="791"/>
        <v>04-08-2020</v>
      </c>
      <c r="N1925" t="str">
        <f t="shared" si="773"/>
        <v>001105018356</v>
      </c>
      <c r="O1925" t="str">
        <f t="shared" si="774"/>
        <v>MYR</v>
      </c>
      <c r="P1925" t="str">
        <f t="shared" si="792"/>
        <v>NIL</v>
      </c>
      <c r="Q1925" t="str">
        <f t="shared" si="792"/>
        <v>NIL</v>
      </c>
      <c r="R1925" t="str">
        <f t="shared" si="775"/>
        <v>Accepted</v>
      </c>
      <c r="S1925" t="str">
        <f t="shared" si="776"/>
        <v>Approved</v>
      </c>
      <c r="T1925" t="str">
        <f t="shared" si="777"/>
        <v>10.20.8.188</v>
      </c>
      <c r="U1925" t="str">
        <f t="shared" si="778"/>
        <v>AZRAD UMAR BIN SHAARI</v>
      </c>
      <c r="V1925" t="str">
        <f t="shared" si="779"/>
        <v>FARHANA BINTI MUSTAPA</v>
      </c>
      <c r="W1925" t="str">
        <f t="shared" si="780"/>
        <v>04-08-2020</v>
      </c>
      <c r="X1925" t="str">
        <f t="shared" si="781"/>
        <v>RAZIMAH ANSAR AHMAD</v>
      </c>
      <c r="Y1925" t="str">
        <f t="shared" si="782"/>
        <v>04-08-2020</v>
      </c>
      <c r="Z1925" t="str">
        <f>"COS10200804 7229"</f>
        <v>COS10200804 7229</v>
      </c>
    </row>
    <row r="1926" spans="1:26" x14ac:dyDescent="0.25">
      <c r="A1926" t="str">
        <f t="shared" si="793"/>
        <v>04-08-2020 01:06:46</v>
      </c>
      <c r="B1926" t="str">
        <f>"0000809027"</f>
        <v>0000809027</v>
      </c>
      <c r="C1926" t="str">
        <f t="shared" si="794"/>
        <v>0000808999</v>
      </c>
      <c r="D1926" t="str">
        <f t="shared" si="770"/>
        <v>73185</v>
      </c>
      <c r="E1926" t="str">
        <f t="shared" si="771"/>
        <v>KFH-OPERATIONS DEPARTMENT</v>
      </c>
      <c r="F1926" t="str">
        <f t="shared" si="772"/>
        <v>IBG</v>
      </c>
      <c r="G1926" t="str">
        <f t="shared" si="785"/>
        <v>Refund COSHARE 10</v>
      </c>
      <c r="H1926" s="2">
        <v>675.55</v>
      </c>
      <c r="I1926" t="str">
        <f>"SAHRAN BIN NAPI"</f>
        <v>SAHRAN BIN NAPI</v>
      </c>
      <c r="J1926" t="str">
        <f t="shared" si="786"/>
        <v>MAYBANK / MAYBANK ISLAMIC</v>
      </c>
      <c r="K1926" t="str">
        <f>"111065107536"</f>
        <v>111065107536</v>
      </c>
      <c r="L1926" t="str">
        <f t="shared" si="791"/>
        <v>04-08-2020</v>
      </c>
      <c r="M1926" t="str">
        <f t="shared" si="791"/>
        <v>04-08-2020</v>
      </c>
      <c r="N1926" t="str">
        <f t="shared" si="773"/>
        <v>001105018356</v>
      </c>
      <c r="O1926" t="str">
        <f t="shared" si="774"/>
        <v>MYR</v>
      </c>
      <c r="P1926" t="str">
        <f t="shared" si="792"/>
        <v>NIL</v>
      </c>
      <c r="Q1926" t="str">
        <f t="shared" si="792"/>
        <v>NIL</v>
      </c>
      <c r="R1926" t="str">
        <f t="shared" si="775"/>
        <v>Accepted</v>
      </c>
      <c r="S1926" t="str">
        <f t="shared" si="776"/>
        <v>Approved</v>
      </c>
      <c r="T1926" t="str">
        <f t="shared" si="777"/>
        <v>10.20.8.188</v>
      </c>
      <c r="U1926" t="str">
        <f t="shared" si="778"/>
        <v>AZRAD UMAR BIN SHAARI</v>
      </c>
      <c r="V1926" t="str">
        <f t="shared" si="779"/>
        <v>FARHANA BINTI MUSTAPA</v>
      </c>
      <c r="W1926" t="str">
        <f t="shared" si="780"/>
        <v>04-08-2020</v>
      </c>
      <c r="X1926" t="str">
        <f t="shared" si="781"/>
        <v>RAZIMAH ANSAR AHMAD</v>
      </c>
      <c r="Y1926" t="str">
        <f t="shared" si="782"/>
        <v>04-08-2020</v>
      </c>
      <c r="Z1926" t="str">
        <f>"COS10200804 7228"</f>
        <v>COS10200804 7228</v>
      </c>
    </row>
    <row r="1927" spans="1:26" x14ac:dyDescent="0.25">
      <c r="A1927" t="str">
        <f t="shared" si="793"/>
        <v>04-08-2020 01:06:46</v>
      </c>
      <c r="B1927" t="str">
        <f>"0000809026"</f>
        <v>0000809026</v>
      </c>
      <c r="C1927" t="str">
        <f t="shared" si="794"/>
        <v>0000808999</v>
      </c>
      <c r="D1927" t="str">
        <f t="shared" ref="D1927:D1990" si="795">"73185"</f>
        <v>73185</v>
      </c>
      <c r="E1927" t="str">
        <f t="shared" ref="E1927:E1990" si="796">"KFH-OPERATIONS DEPARTMENT"</f>
        <v>KFH-OPERATIONS DEPARTMENT</v>
      </c>
      <c r="F1927" t="str">
        <f t="shared" ref="F1927:F1990" si="797">"IBG"</f>
        <v>IBG</v>
      </c>
      <c r="G1927" t="str">
        <f t="shared" si="785"/>
        <v>Refund COSHARE 10</v>
      </c>
      <c r="H1927" s="2">
        <v>239</v>
      </c>
      <c r="I1927" t="str">
        <f>"SAHDI BIN SULAIMAN"</f>
        <v>SAHDI BIN SULAIMAN</v>
      </c>
      <c r="J1927" t="str">
        <f t="shared" si="786"/>
        <v>MAYBANK / MAYBANK ISLAMIC</v>
      </c>
      <c r="K1927" t="str">
        <f>"111113368176"</f>
        <v>111113368176</v>
      </c>
      <c r="L1927" t="str">
        <f t="shared" ref="L1927:M1946" si="798">"04-08-2020"</f>
        <v>04-08-2020</v>
      </c>
      <c r="M1927" t="str">
        <f t="shared" si="798"/>
        <v>04-08-2020</v>
      </c>
      <c r="N1927" t="str">
        <f t="shared" ref="N1927:N1990" si="799">"001105018356"</f>
        <v>001105018356</v>
      </c>
      <c r="O1927" t="str">
        <f t="shared" ref="O1927:O1990" si="800">"MYR"</f>
        <v>MYR</v>
      </c>
      <c r="P1927" t="str">
        <f t="shared" ref="P1927:Q1946" si="801">"NIL"</f>
        <v>NIL</v>
      </c>
      <c r="Q1927" t="str">
        <f t="shared" si="801"/>
        <v>NIL</v>
      </c>
      <c r="R1927" t="str">
        <f t="shared" ref="R1927:R1990" si="802">"Accepted"</f>
        <v>Accepted</v>
      </c>
      <c r="S1927" t="str">
        <f t="shared" ref="S1927:S1990" si="803">"Approved"</f>
        <v>Approved</v>
      </c>
      <c r="T1927" t="str">
        <f t="shared" ref="T1927:T1990" si="804">"10.20.8.188"</f>
        <v>10.20.8.188</v>
      </c>
      <c r="U1927" t="str">
        <f t="shared" ref="U1927:U1990" si="805">"AZRAD UMAR BIN SHAARI"</f>
        <v>AZRAD UMAR BIN SHAARI</v>
      </c>
      <c r="V1927" t="str">
        <f t="shared" ref="V1927:V1990" si="806">"FARHANA BINTI MUSTAPA"</f>
        <v>FARHANA BINTI MUSTAPA</v>
      </c>
      <c r="W1927" t="str">
        <f t="shared" ref="W1927:W1990" si="807">"04-08-2020"</f>
        <v>04-08-2020</v>
      </c>
      <c r="X1927" t="str">
        <f t="shared" ref="X1927:X1990" si="808">"RAZIMAH ANSAR AHMAD"</f>
        <v>RAZIMAH ANSAR AHMAD</v>
      </c>
      <c r="Y1927" t="str">
        <f t="shared" ref="Y1927:Y1990" si="809">"04-08-2020"</f>
        <v>04-08-2020</v>
      </c>
      <c r="Z1927" t="str">
        <f>"COS10200804 7227"</f>
        <v>COS10200804 7227</v>
      </c>
    </row>
    <row r="1928" spans="1:26" x14ac:dyDescent="0.25">
      <c r="A1928" t="str">
        <f t="shared" si="793"/>
        <v>04-08-2020 01:06:46</v>
      </c>
      <c r="B1928" t="str">
        <f>"0000809025"</f>
        <v>0000809025</v>
      </c>
      <c r="C1928" t="str">
        <f t="shared" si="794"/>
        <v>0000808999</v>
      </c>
      <c r="D1928" t="str">
        <f t="shared" si="795"/>
        <v>73185</v>
      </c>
      <c r="E1928" t="str">
        <f t="shared" si="796"/>
        <v>KFH-OPERATIONS DEPARTMENT</v>
      </c>
      <c r="F1928" t="str">
        <f t="shared" si="797"/>
        <v>IBG</v>
      </c>
      <c r="G1928" t="str">
        <f t="shared" si="785"/>
        <v>Refund COSHARE 10</v>
      </c>
      <c r="H1928" s="2">
        <v>284.89999999999998</v>
      </c>
      <c r="I1928" t="str">
        <f>"SAHDI BIN SULAIMAN"</f>
        <v>SAHDI BIN SULAIMAN</v>
      </c>
      <c r="J1928" t="str">
        <f t="shared" si="786"/>
        <v>MAYBANK / MAYBANK ISLAMIC</v>
      </c>
      <c r="K1928" t="str">
        <f>"111113368176"</f>
        <v>111113368176</v>
      </c>
      <c r="L1928" t="str">
        <f t="shared" si="798"/>
        <v>04-08-2020</v>
      </c>
      <c r="M1928" t="str">
        <f t="shared" si="798"/>
        <v>04-08-2020</v>
      </c>
      <c r="N1928" t="str">
        <f t="shared" si="799"/>
        <v>001105018356</v>
      </c>
      <c r="O1928" t="str">
        <f t="shared" si="800"/>
        <v>MYR</v>
      </c>
      <c r="P1928" t="str">
        <f t="shared" si="801"/>
        <v>NIL</v>
      </c>
      <c r="Q1928" t="str">
        <f t="shared" si="801"/>
        <v>NIL</v>
      </c>
      <c r="R1928" t="str">
        <f t="shared" si="802"/>
        <v>Accepted</v>
      </c>
      <c r="S1928" t="str">
        <f t="shared" si="803"/>
        <v>Approved</v>
      </c>
      <c r="T1928" t="str">
        <f t="shared" si="804"/>
        <v>10.20.8.188</v>
      </c>
      <c r="U1928" t="str">
        <f t="shared" si="805"/>
        <v>AZRAD UMAR BIN SHAARI</v>
      </c>
      <c r="V1928" t="str">
        <f t="shared" si="806"/>
        <v>FARHANA BINTI MUSTAPA</v>
      </c>
      <c r="W1928" t="str">
        <f t="shared" si="807"/>
        <v>04-08-2020</v>
      </c>
      <c r="X1928" t="str">
        <f t="shared" si="808"/>
        <v>RAZIMAH ANSAR AHMAD</v>
      </c>
      <c r="Y1928" t="str">
        <f t="shared" si="809"/>
        <v>04-08-2020</v>
      </c>
      <c r="Z1928" t="str">
        <f>"COS10200804 7226"</f>
        <v>COS10200804 7226</v>
      </c>
    </row>
    <row r="1929" spans="1:26" x14ac:dyDescent="0.25">
      <c r="A1929" t="str">
        <f t="shared" si="793"/>
        <v>04-08-2020 01:06:46</v>
      </c>
      <c r="B1929" t="str">
        <f>"0000809024"</f>
        <v>0000809024</v>
      </c>
      <c r="C1929" t="str">
        <f t="shared" si="794"/>
        <v>0000808999</v>
      </c>
      <c r="D1929" t="str">
        <f t="shared" si="795"/>
        <v>73185</v>
      </c>
      <c r="E1929" t="str">
        <f t="shared" si="796"/>
        <v>KFH-OPERATIONS DEPARTMENT</v>
      </c>
      <c r="F1929" t="str">
        <f t="shared" si="797"/>
        <v>IBG</v>
      </c>
      <c r="G1929" t="str">
        <f t="shared" si="785"/>
        <v>Refund COSHARE 10</v>
      </c>
      <c r="H1929" s="2">
        <v>629.65</v>
      </c>
      <c r="I1929" t="str">
        <f>"SAHBARIN BIN AZIZAN"</f>
        <v>SAHBARIN BIN AZIZAN</v>
      </c>
      <c r="J1929" t="str">
        <f t="shared" si="786"/>
        <v>MAYBANK / MAYBANK ISLAMIC</v>
      </c>
      <c r="K1929" t="str">
        <f>"158015176097"</f>
        <v>158015176097</v>
      </c>
      <c r="L1929" t="str">
        <f t="shared" si="798"/>
        <v>04-08-2020</v>
      </c>
      <c r="M1929" t="str">
        <f t="shared" si="798"/>
        <v>04-08-2020</v>
      </c>
      <c r="N1929" t="str">
        <f t="shared" si="799"/>
        <v>001105018356</v>
      </c>
      <c r="O1929" t="str">
        <f t="shared" si="800"/>
        <v>MYR</v>
      </c>
      <c r="P1929" t="str">
        <f t="shared" si="801"/>
        <v>NIL</v>
      </c>
      <c r="Q1929" t="str">
        <f t="shared" si="801"/>
        <v>NIL</v>
      </c>
      <c r="R1929" t="str">
        <f t="shared" si="802"/>
        <v>Accepted</v>
      </c>
      <c r="S1929" t="str">
        <f t="shared" si="803"/>
        <v>Approved</v>
      </c>
      <c r="T1929" t="str">
        <f t="shared" si="804"/>
        <v>10.20.8.188</v>
      </c>
      <c r="U1929" t="str">
        <f t="shared" si="805"/>
        <v>AZRAD UMAR BIN SHAARI</v>
      </c>
      <c r="V1929" t="str">
        <f t="shared" si="806"/>
        <v>FARHANA BINTI MUSTAPA</v>
      </c>
      <c r="W1929" t="str">
        <f t="shared" si="807"/>
        <v>04-08-2020</v>
      </c>
      <c r="X1929" t="str">
        <f t="shared" si="808"/>
        <v>RAZIMAH ANSAR AHMAD</v>
      </c>
      <c r="Y1929" t="str">
        <f t="shared" si="809"/>
        <v>04-08-2020</v>
      </c>
      <c r="Z1929" t="str">
        <f>"COS10200804 7225"</f>
        <v>COS10200804 7225</v>
      </c>
    </row>
    <row r="1930" spans="1:26" x14ac:dyDescent="0.25">
      <c r="A1930" t="str">
        <f t="shared" si="793"/>
        <v>04-08-2020 01:06:46</v>
      </c>
      <c r="B1930" t="str">
        <f>"0000809023"</f>
        <v>0000809023</v>
      </c>
      <c r="C1930" t="str">
        <f t="shared" si="794"/>
        <v>0000808999</v>
      </c>
      <c r="D1930" t="str">
        <f t="shared" si="795"/>
        <v>73185</v>
      </c>
      <c r="E1930" t="str">
        <f t="shared" si="796"/>
        <v>KFH-OPERATIONS DEPARTMENT</v>
      </c>
      <c r="F1930" t="str">
        <f t="shared" si="797"/>
        <v>IBG</v>
      </c>
      <c r="G1930" t="str">
        <f t="shared" si="785"/>
        <v>Refund COSHARE 10</v>
      </c>
      <c r="H1930" s="2">
        <v>109.15</v>
      </c>
      <c r="I1930" t="str">
        <f>"SAHARULJOHARI BIN DONI"</f>
        <v>SAHARULJOHARI BIN DONI</v>
      </c>
      <c r="J1930" t="str">
        <f t="shared" si="786"/>
        <v>MAYBANK / MAYBANK ISLAMIC</v>
      </c>
      <c r="K1930" t="str">
        <f>"158145701717"</f>
        <v>158145701717</v>
      </c>
      <c r="L1930" t="str">
        <f t="shared" si="798"/>
        <v>04-08-2020</v>
      </c>
      <c r="M1930" t="str">
        <f t="shared" si="798"/>
        <v>04-08-2020</v>
      </c>
      <c r="N1930" t="str">
        <f t="shared" si="799"/>
        <v>001105018356</v>
      </c>
      <c r="O1930" t="str">
        <f t="shared" si="800"/>
        <v>MYR</v>
      </c>
      <c r="P1930" t="str">
        <f t="shared" si="801"/>
        <v>NIL</v>
      </c>
      <c r="Q1930" t="str">
        <f t="shared" si="801"/>
        <v>NIL</v>
      </c>
      <c r="R1930" t="str">
        <f t="shared" si="802"/>
        <v>Accepted</v>
      </c>
      <c r="S1930" t="str">
        <f t="shared" si="803"/>
        <v>Approved</v>
      </c>
      <c r="T1930" t="str">
        <f t="shared" si="804"/>
        <v>10.20.8.188</v>
      </c>
      <c r="U1930" t="str">
        <f t="shared" si="805"/>
        <v>AZRAD UMAR BIN SHAARI</v>
      </c>
      <c r="V1930" t="str">
        <f t="shared" si="806"/>
        <v>FARHANA BINTI MUSTAPA</v>
      </c>
      <c r="W1930" t="str">
        <f t="shared" si="807"/>
        <v>04-08-2020</v>
      </c>
      <c r="X1930" t="str">
        <f t="shared" si="808"/>
        <v>RAZIMAH ANSAR AHMAD</v>
      </c>
      <c r="Y1930" t="str">
        <f t="shared" si="809"/>
        <v>04-08-2020</v>
      </c>
      <c r="Z1930" t="str">
        <f>"COS10200804 7224"</f>
        <v>COS10200804 7224</v>
      </c>
    </row>
    <row r="1931" spans="1:26" x14ac:dyDescent="0.25">
      <c r="A1931" t="str">
        <f t="shared" si="793"/>
        <v>04-08-2020 01:06:46</v>
      </c>
      <c r="B1931" t="str">
        <f>"0000809022"</f>
        <v>0000809022</v>
      </c>
      <c r="C1931" t="str">
        <f t="shared" si="794"/>
        <v>0000808999</v>
      </c>
      <c r="D1931" t="str">
        <f t="shared" si="795"/>
        <v>73185</v>
      </c>
      <c r="E1931" t="str">
        <f t="shared" si="796"/>
        <v>KFH-OPERATIONS DEPARTMENT</v>
      </c>
      <c r="F1931" t="str">
        <f t="shared" si="797"/>
        <v>IBG</v>
      </c>
      <c r="G1931" t="str">
        <f t="shared" si="785"/>
        <v>Refund COSHARE 10</v>
      </c>
      <c r="H1931" s="2">
        <v>759</v>
      </c>
      <c r="I1931" t="str">
        <f>"SAHARUL NIZAM BIN ABD MUBIN"</f>
        <v>SAHARUL NIZAM BIN ABD MUBIN</v>
      </c>
      <c r="J1931" t="str">
        <f t="shared" si="786"/>
        <v>MAYBANK / MAYBANK ISLAMIC</v>
      </c>
      <c r="K1931" t="str">
        <f>"156057014976"</f>
        <v>156057014976</v>
      </c>
      <c r="L1931" t="str">
        <f t="shared" si="798"/>
        <v>04-08-2020</v>
      </c>
      <c r="M1931" t="str">
        <f t="shared" si="798"/>
        <v>04-08-2020</v>
      </c>
      <c r="N1931" t="str">
        <f t="shared" si="799"/>
        <v>001105018356</v>
      </c>
      <c r="O1931" t="str">
        <f t="shared" si="800"/>
        <v>MYR</v>
      </c>
      <c r="P1931" t="str">
        <f t="shared" si="801"/>
        <v>NIL</v>
      </c>
      <c r="Q1931" t="str">
        <f t="shared" si="801"/>
        <v>NIL</v>
      </c>
      <c r="R1931" t="str">
        <f t="shared" si="802"/>
        <v>Accepted</v>
      </c>
      <c r="S1931" t="str">
        <f t="shared" si="803"/>
        <v>Approved</v>
      </c>
      <c r="T1931" t="str">
        <f t="shared" si="804"/>
        <v>10.20.8.188</v>
      </c>
      <c r="U1931" t="str">
        <f t="shared" si="805"/>
        <v>AZRAD UMAR BIN SHAARI</v>
      </c>
      <c r="V1931" t="str">
        <f t="shared" si="806"/>
        <v>FARHANA BINTI MUSTAPA</v>
      </c>
      <c r="W1931" t="str">
        <f t="shared" si="807"/>
        <v>04-08-2020</v>
      </c>
      <c r="X1931" t="str">
        <f t="shared" si="808"/>
        <v>RAZIMAH ANSAR AHMAD</v>
      </c>
      <c r="Y1931" t="str">
        <f t="shared" si="809"/>
        <v>04-08-2020</v>
      </c>
      <c r="Z1931" t="str">
        <f>"COS10200804 7223"</f>
        <v>COS10200804 7223</v>
      </c>
    </row>
    <row r="1932" spans="1:26" x14ac:dyDescent="0.25">
      <c r="A1932" t="str">
        <f t="shared" si="793"/>
        <v>04-08-2020 01:06:46</v>
      </c>
      <c r="B1932" t="str">
        <f>"0000809021"</f>
        <v>0000809021</v>
      </c>
      <c r="C1932" t="str">
        <f t="shared" si="794"/>
        <v>0000808999</v>
      </c>
      <c r="D1932" t="str">
        <f t="shared" si="795"/>
        <v>73185</v>
      </c>
      <c r="E1932" t="str">
        <f t="shared" si="796"/>
        <v>KFH-OPERATIONS DEPARTMENT</v>
      </c>
      <c r="F1932" t="str">
        <f t="shared" si="797"/>
        <v>IBG</v>
      </c>
      <c r="G1932" t="str">
        <f t="shared" ref="G1932:G1995" si="810">"Refund COSHARE 10"</f>
        <v>Refund COSHARE 10</v>
      </c>
      <c r="H1932" s="2">
        <v>58.8</v>
      </c>
      <c r="I1932" t="str">
        <f>"SAHARUL AMRI BIN SHAHBUDIN"</f>
        <v>SAHARUL AMRI BIN SHAHBUDIN</v>
      </c>
      <c r="J1932" t="str">
        <f t="shared" si="786"/>
        <v>MAYBANK / MAYBANK ISLAMIC</v>
      </c>
      <c r="K1932" t="str">
        <f>"114011261820"</f>
        <v>114011261820</v>
      </c>
      <c r="L1932" t="str">
        <f t="shared" si="798"/>
        <v>04-08-2020</v>
      </c>
      <c r="M1932" t="str">
        <f t="shared" si="798"/>
        <v>04-08-2020</v>
      </c>
      <c r="N1932" t="str">
        <f t="shared" si="799"/>
        <v>001105018356</v>
      </c>
      <c r="O1932" t="str">
        <f t="shared" si="800"/>
        <v>MYR</v>
      </c>
      <c r="P1932" t="str">
        <f t="shared" si="801"/>
        <v>NIL</v>
      </c>
      <c r="Q1932" t="str">
        <f t="shared" si="801"/>
        <v>NIL</v>
      </c>
      <c r="R1932" t="str">
        <f t="shared" si="802"/>
        <v>Accepted</v>
      </c>
      <c r="S1932" t="str">
        <f t="shared" si="803"/>
        <v>Approved</v>
      </c>
      <c r="T1932" t="str">
        <f t="shared" si="804"/>
        <v>10.20.8.188</v>
      </c>
      <c r="U1932" t="str">
        <f t="shared" si="805"/>
        <v>AZRAD UMAR BIN SHAARI</v>
      </c>
      <c r="V1932" t="str">
        <f t="shared" si="806"/>
        <v>FARHANA BINTI MUSTAPA</v>
      </c>
      <c r="W1932" t="str">
        <f t="shared" si="807"/>
        <v>04-08-2020</v>
      </c>
      <c r="X1932" t="str">
        <f t="shared" si="808"/>
        <v>RAZIMAH ANSAR AHMAD</v>
      </c>
      <c r="Y1932" t="str">
        <f t="shared" si="809"/>
        <v>04-08-2020</v>
      </c>
      <c r="Z1932" t="str">
        <f>"COS10200804 7222"</f>
        <v>COS10200804 7222</v>
      </c>
    </row>
    <row r="1933" spans="1:26" x14ac:dyDescent="0.25">
      <c r="A1933" t="str">
        <f t="shared" si="793"/>
        <v>04-08-2020 01:06:46</v>
      </c>
      <c r="B1933" t="str">
        <f>"0000809020"</f>
        <v>0000809020</v>
      </c>
      <c r="C1933" t="str">
        <f t="shared" si="794"/>
        <v>0000808999</v>
      </c>
      <c r="D1933" t="str">
        <f t="shared" si="795"/>
        <v>73185</v>
      </c>
      <c r="E1933" t="str">
        <f t="shared" si="796"/>
        <v>KFH-OPERATIONS DEPARTMENT</v>
      </c>
      <c r="F1933" t="str">
        <f t="shared" si="797"/>
        <v>IBG</v>
      </c>
      <c r="G1933" t="str">
        <f t="shared" si="810"/>
        <v>Refund COSHARE 10</v>
      </c>
      <c r="H1933" s="2">
        <v>862</v>
      </c>
      <c r="I1933" t="str">
        <f>"SAHARUDIN BIN SJAMSU"</f>
        <v>SAHARUDIN BIN SJAMSU</v>
      </c>
      <c r="J1933" t="str">
        <f t="shared" si="786"/>
        <v>MAYBANK / MAYBANK ISLAMIC</v>
      </c>
      <c r="K1933" t="str">
        <f>"160111250849"</f>
        <v>160111250849</v>
      </c>
      <c r="L1933" t="str">
        <f t="shared" si="798"/>
        <v>04-08-2020</v>
      </c>
      <c r="M1933" t="str">
        <f t="shared" si="798"/>
        <v>04-08-2020</v>
      </c>
      <c r="N1933" t="str">
        <f t="shared" si="799"/>
        <v>001105018356</v>
      </c>
      <c r="O1933" t="str">
        <f t="shared" si="800"/>
        <v>MYR</v>
      </c>
      <c r="P1933" t="str">
        <f t="shared" si="801"/>
        <v>NIL</v>
      </c>
      <c r="Q1933" t="str">
        <f t="shared" si="801"/>
        <v>NIL</v>
      </c>
      <c r="R1933" t="str">
        <f t="shared" si="802"/>
        <v>Accepted</v>
      </c>
      <c r="S1933" t="str">
        <f t="shared" si="803"/>
        <v>Approved</v>
      </c>
      <c r="T1933" t="str">
        <f t="shared" si="804"/>
        <v>10.20.8.188</v>
      </c>
      <c r="U1933" t="str">
        <f t="shared" si="805"/>
        <v>AZRAD UMAR BIN SHAARI</v>
      </c>
      <c r="V1933" t="str">
        <f t="shared" si="806"/>
        <v>FARHANA BINTI MUSTAPA</v>
      </c>
      <c r="W1933" t="str">
        <f t="shared" si="807"/>
        <v>04-08-2020</v>
      </c>
      <c r="X1933" t="str">
        <f t="shared" si="808"/>
        <v>RAZIMAH ANSAR AHMAD</v>
      </c>
      <c r="Y1933" t="str">
        <f t="shared" si="809"/>
        <v>04-08-2020</v>
      </c>
      <c r="Z1933" t="str">
        <f>"COS10200804 7221"</f>
        <v>COS10200804 7221</v>
      </c>
    </row>
    <row r="1934" spans="1:26" x14ac:dyDescent="0.25">
      <c r="A1934" t="str">
        <f t="shared" si="793"/>
        <v>04-08-2020 01:06:46</v>
      </c>
      <c r="B1934" t="str">
        <f>"0000809019"</f>
        <v>0000809019</v>
      </c>
      <c r="C1934" t="str">
        <f t="shared" si="794"/>
        <v>0000808999</v>
      </c>
      <c r="D1934" t="str">
        <f t="shared" si="795"/>
        <v>73185</v>
      </c>
      <c r="E1934" t="str">
        <f t="shared" si="796"/>
        <v>KFH-OPERATIONS DEPARTMENT</v>
      </c>
      <c r="F1934" t="str">
        <f t="shared" si="797"/>
        <v>IBG</v>
      </c>
      <c r="G1934" t="str">
        <f t="shared" si="810"/>
        <v>Refund COSHARE 10</v>
      </c>
      <c r="H1934" s="2">
        <v>245.6</v>
      </c>
      <c r="I1934" t="str">
        <f>"SAHARUDDIN BIN JUSUF"</f>
        <v>SAHARUDDIN BIN JUSUF</v>
      </c>
      <c r="J1934" t="str">
        <f t="shared" si="786"/>
        <v>MAYBANK / MAYBANK ISLAMIC</v>
      </c>
      <c r="K1934" t="str">
        <f>"160036951005"</f>
        <v>160036951005</v>
      </c>
      <c r="L1934" t="str">
        <f t="shared" si="798"/>
        <v>04-08-2020</v>
      </c>
      <c r="M1934" t="str">
        <f t="shared" si="798"/>
        <v>04-08-2020</v>
      </c>
      <c r="N1934" t="str">
        <f t="shared" si="799"/>
        <v>001105018356</v>
      </c>
      <c r="O1934" t="str">
        <f t="shared" si="800"/>
        <v>MYR</v>
      </c>
      <c r="P1934" t="str">
        <f t="shared" si="801"/>
        <v>NIL</v>
      </c>
      <c r="Q1934" t="str">
        <f t="shared" si="801"/>
        <v>NIL</v>
      </c>
      <c r="R1934" t="str">
        <f t="shared" si="802"/>
        <v>Accepted</v>
      </c>
      <c r="S1934" t="str">
        <f t="shared" si="803"/>
        <v>Approved</v>
      </c>
      <c r="T1934" t="str">
        <f t="shared" si="804"/>
        <v>10.20.8.188</v>
      </c>
      <c r="U1934" t="str">
        <f t="shared" si="805"/>
        <v>AZRAD UMAR BIN SHAARI</v>
      </c>
      <c r="V1934" t="str">
        <f t="shared" si="806"/>
        <v>FARHANA BINTI MUSTAPA</v>
      </c>
      <c r="W1934" t="str">
        <f t="shared" si="807"/>
        <v>04-08-2020</v>
      </c>
      <c r="X1934" t="str">
        <f t="shared" si="808"/>
        <v>RAZIMAH ANSAR AHMAD</v>
      </c>
      <c r="Y1934" t="str">
        <f t="shared" si="809"/>
        <v>04-08-2020</v>
      </c>
      <c r="Z1934" t="str">
        <f>"COS10200804 7220"</f>
        <v>COS10200804 7220</v>
      </c>
    </row>
    <row r="1935" spans="1:26" x14ac:dyDescent="0.25">
      <c r="A1935" t="str">
        <f t="shared" si="793"/>
        <v>04-08-2020 01:06:46</v>
      </c>
      <c r="B1935" t="str">
        <f>"0000809018"</f>
        <v>0000809018</v>
      </c>
      <c r="C1935" t="str">
        <f t="shared" si="794"/>
        <v>0000808999</v>
      </c>
      <c r="D1935" t="str">
        <f t="shared" si="795"/>
        <v>73185</v>
      </c>
      <c r="E1935" t="str">
        <f t="shared" si="796"/>
        <v>KFH-OPERATIONS DEPARTMENT</v>
      </c>
      <c r="F1935" t="str">
        <f t="shared" si="797"/>
        <v>IBG</v>
      </c>
      <c r="G1935" t="str">
        <f t="shared" si="810"/>
        <v>Refund COSHARE 10</v>
      </c>
      <c r="H1935" s="2">
        <v>50.4</v>
      </c>
      <c r="I1935" t="str">
        <f>"SAHARIZAL BIN JALANI"</f>
        <v>SAHARIZAL BIN JALANI</v>
      </c>
      <c r="J1935" t="str">
        <f t="shared" si="786"/>
        <v>MAYBANK / MAYBANK ISLAMIC</v>
      </c>
      <c r="K1935" t="str">
        <f>"162106953217"</f>
        <v>162106953217</v>
      </c>
      <c r="L1935" t="str">
        <f t="shared" si="798"/>
        <v>04-08-2020</v>
      </c>
      <c r="M1935" t="str">
        <f t="shared" si="798"/>
        <v>04-08-2020</v>
      </c>
      <c r="N1935" t="str">
        <f t="shared" si="799"/>
        <v>001105018356</v>
      </c>
      <c r="O1935" t="str">
        <f t="shared" si="800"/>
        <v>MYR</v>
      </c>
      <c r="P1935" t="str">
        <f t="shared" si="801"/>
        <v>NIL</v>
      </c>
      <c r="Q1935" t="str">
        <f t="shared" si="801"/>
        <v>NIL</v>
      </c>
      <c r="R1935" t="str">
        <f t="shared" si="802"/>
        <v>Accepted</v>
      </c>
      <c r="S1935" t="str">
        <f t="shared" si="803"/>
        <v>Approved</v>
      </c>
      <c r="T1935" t="str">
        <f t="shared" si="804"/>
        <v>10.20.8.188</v>
      </c>
      <c r="U1935" t="str">
        <f t="shared" si="805"/>
        <v>AZRAD UMAR BIN SHAARI</v>
      </c>
      <c r="V1935" t="str">
        <f t="shared" si="806"/>
        <v>FARHANA BINTI MUSTAPA</v>
      </c>
      <c r="W1935" t="str">
        <f t="shared" si="807"/>
        <v>04-08-2020</v>
      </c>
      <c r="X1935" t="str">
        <f t="shared" si="808"/>
        <v>RAZIMAH ANSAR AHMAD</v>
      </c>
      <c r="Y1935" t="str">
        <f t="shared" si="809"/>
        <v>04-08-2020</v>
      </c>
      <c r="Z1935" t="str">
        <f>"COS10200804 7219"</f>
        <v>COS10200804 7219</v>
      </c>
    </row>
    <row r="1936" spans="1:26" x14ac:dyDescent="0.25">
      <c r="A1936" t="str">
        <f t="shared" si="793"/>
        <v>04-08-2020 01:06:46</v>
      </c>
      <c r="B1936" t="str">
        <f>"0000809017"</f>
        <v>0000809017</v>
      </c>
      <c r="C1936" t="str">
        <f t="shared" si="794"/>
        <v>0000808999</v>
      </c>
      <c r="D1936" t="str">
        <f t="shared" si="795"/>
        <v>73185</v>
      </c>
      <c r="E1936" t="str">
        <f t="shared" si="796"/>
        <v>KFH-OPERATIONS DEPARTMENT</v>
      </c>
      <c r="F1936" t="str">
        <f t="shared" si="797"/>
        <v>IBG</v>
      </c>
      <c r="G1936" t="str">
        <f t="shared" si="810"/>
        <v>Refund COSHARE 10</v>
      </c>
      <c r="H1936" s="2">
        <v>159.5</v>
      </c>
      <c r="I1936" t="str">
        <f>"SAFURA BINTI MAHMOOD"</f>
        <v>SAFURA BINTI MAHMOOD</v>
      </c>
      <c r="J1936" t="str">
        <f t="shared" si="786"/>
        <v>MAYBANK / MAYBANK ISLAMIC</v>
      </c>
      <c r="K1936" t="str">
        <f>"151098307217"</f>
        <v>151098307217</v>
      </c>
      <c r="L1936" t="str">
        <f t="shared" si="798"/>
        <v>04-08-2020</v>
      </c>
      <c r="M1936" t="str">
        <f t="shared" si="798"/>
        <v>04-08-2020</v>
      </c>
      <c r="N1936" t="str">
        <f t="shared" si="799"/>
        <v>001105018356</v>
      </c>
      <c r="O1936" t="str">
        <f t="shared" si="800"/>
        <v>MYR</v>
      </c>
      <c r="P1936" t="str">
        <f t="shared" si="801"/>
        <v>NIL</v>
      </c>
      <c r="Q1936" t="str">
        <f t="shared" si="801"/>
        <v>NIL</v>
      </c>
      <c r="R1936" t="str">
        <f t="shared" si="802"/>
        <v>Accepted</v>
      </c>
      <c r="S1936" t="str">
        <f t="shared" si="803"/>
        <v>Approved</v>
      </c>
      <c r="T1936" t="str">
        <f t="shared" si="804"/>
        <v>10.20.8.188</v>
      </c>
      <c r="U1936" t="str">
        <f t="shared" si="805"/>
        <v>AZRAD UMAR BIN SHAARI</v>
      </c>
      <c r="V1936" t="str">
        <f t="shared" si="806"/>
        <v>FARHANA BINTI MUSTAPA</v>
      </c>
      <c r="W1936" t="str">
        <f t="shared" si="807"/>
        <v>04-08-2020</v>
      </c>
      <c r="X1936" t="str">
        <f t="shared" si="808"/>
        <v>RAZIMAH ANSAR AHMAD</v>
      </c>
      <c r="Y1936" t="str">
        <f t="shared" si="809"/>
        <v>04-08-2020</v>
      </c>
      <c r="Z1936" t="str">
        <f>"COS10200804 7218"</f>
        <v>COS10200804 7218</v>
      </c>
    </row>
    <row r="1937" spans="1:26" x14ac:dyDescent="0.25">
      <c r="A1937" t="str">
        <f t="shared" si="793"/>
        <v>04-08-2020 01:06:46</v>
      </c>
      <c r="B1937" t="str">
        <f>"0000809016"</f>
        <v>0000809016</v>
      </c>
      <c r="C1937" t="str">
        <f t="shared" si="794"/>
        <v>0000808999</v>
      </c>
      <c r="D1937" t="str">
        <f t="shared" si="795"/>
        <v>73185</v>
      </c>
      <c r="E1937" t="str">
        <f t="shared" si="796"/>
        <v>KFH-OPERATIONS DEPARTMENT</v>
      </c>
      <c r="F1937" t="str">
        <f t="shared" si="797"/>
        <v>IBG</v>
      </c>
      <c r="G1937" t="str">
        <f t="shared" si="810"/>
        <v>Refund COSHARE 10</v>
      </c>
      <c r="H1937" s="2">
        <v>293.85000000000002</v>
      </c>
      <c r="I1937" t="str">
        <f>"SAFURA AZELA BINTI ABD AZIZ"</f>
        <v>SAFURA AZELA BINTI ABD AZIZ</v>
      </c>
      <c r="J1937" t="str">
        <f t="shared" ref="J1937:J2000" si="811">"MAYBANK / MAYBANK ISLAMIC"</f>
        <v>MAYBANK / MAYBANK ISLAMIC</v>
      </c>
      <c r="K1937" t="str">
        <f>"156012061706"</f>
        <v>156012061706</v>
      </c>
      <c r="L1937" t="str">
        <f t="shared" si="798"/>
        <v>04-08-2020</v>
      </c>
      <c r="M1937" t="str">
        <f t="shared" si="798"/>
        <v>04-08-2020</v>
      </c>
      <c r="N1937" t="str">
        <f t="shared" si="799"/>
        <v>001105018356</v>
      </c>
      <c r="O1937" t="str">
        <f t="shared" si="800"/>
        <v>MYR</v>
      </c>
      <c r="P1937" t="str">
        <f t="shared" si="801"/>
        <v>NIL</v>
      </c>
      <c r="Q1937" t="str">
        <f t="shared" si="801"/>
        <v>NIL</v>
      </c>
      <c r="R1937" t="str">
        <f t="shared" si="802"/>
        <v>Accepted</v>
      </c>
      <c r="S1937" t="str">
        <f t="shared" si="803"/>
        <v>Approved</v>
      </c>
      <c r="T1937" t="str">
        <f t="shared" si="804"/>
        <v>10.20.8.188</v>
      </c>
      <c r="U1937" t="str">
        <f t="shared" si="805"/>
        <v>AZRAD UMAR BIN SHAARI</v>
      </c>
      <c r="V1937" t="str">
        <f t="shared" si="806"/>
        <v>FARHANA BINTI MUSTAPA</v>
      </c>
      <c r="W1937" t="str">
        <f t="shared" si="807"/>
        <v>04-08-2020</v>
      </c>
      <c r="X1937" t="str">
        <f t="shared" si="808"/>
        <v>RAZIMAH ANSAR AHMAD</v>
      </c>
      <c r="Y1937" t="str">
        <f t="shared" si="809"/>
        <v>04-08-2020</v>
      </c>
      <c r="Z1937" t="str">
        <f>"COS10200804 7217"</f>
        <v>COS10200804 7217</v>
      </c>
    </row>
    <row r="1938" spans="1:26" x14ac:dyDescent="0.25">
      <c r="A1938" t="str">
        <f t="shared" si="793"/>
        <v>04-08-2020 01:06:46</v>
      </c>
      <c r="B1938" t="str">
        <f>"0000809015"</f>
        <v>0000809015</v>
      </c>
      <c r="C1938" t="str">
        <f t="shared" si="794"/>
        <v>0000808999</v>
      </c>
      <c r="D1938" t="str">
        <f t="shared" si="795"/>
        <v>73185</v>
      </c>
      <c r="E1938" t="str">
        <f t="shared" si="796"/>
        <v>KFH-OPERATIONS DEPARTMENT</v>
      </c>
      <c r="F1938" t="str">
        <f t="shared" si="797"/>
        <v>IBG</v>
      </c>
      <c r="G1938" t="str">
        <f t="shared" si="810"/>
        <v>Refund COSHARE 10</v>
      </c>
      <c r="H1938" s="2">
        <v>1007.4</v>
      </c>
      <c r="I1938" t="str">
        <f>"SAFUAN KHAIRI BIN BAKHORI"</f>
        <v>SAFUAN KHAIRI BIN BAKHORI</v>
      </c>
      <c r="J1938" t="str">
        <f t="shared" si="811"/>
        <v>MAYBANK / MAYBANK ISLAMIC</v>
      </c>
      <c r="K1938" t="str">
        <f>"107117255171"</f>
        <v>107117255171</v>
      </c>
      <c r="L1938" t="str">
        <f t="shared" si="798"/>
        <v>04-08-2020</v>
      </c>
      <c r="M1938" t="str">
        <f t="shared" si="798"/>
        <v>04-08-2020</v>
      </c>
      <c r="N1938" t="str">
        <f t="shared" si="799"/>
        <v>001105018356</v>
      </c>
      <c r="O1938" t="str">
        <f t="shared" si="800"/>
        <v>MYR</v>
      </c>
      <c r="P1938" t="str">
        <f t="shared" si="801"/>
        <v>NIL</v>
      </c>
      <c r="Q1938" t="str">
        <f t="shared" si="801"/>
        <v>NIL</v>
      </c>
      <c r="R1938" t="str">
        <f t="shared" si="802"/>
        <v>Accepted</v>
      </c>
      <c r="S1938" t="str">
        <f t="shared" si="803"/>
        <v>Approved</v>
      </c>
      <c r="T1938" t="str">
        <f t="shared" si="804"/>
        <v>10.20.8.188</v>
      </c>
      <c r="U1938" t="str">
        <f t="shared" si="805"/>
        <v>AZRAD UMAR BIN SHAARI</v>
      </c>
      <c r="V1938" t="str">
        <f t="shared" si="806"/>
        <v>FARHANA BINTI MUSTAPA</v>
      </c>
      <c r="W1938" t="str">
        <f t="shared" si="807"/>
        <v>04-08-2020</v>
      </c>
      <c r="X1938" t="str">
        <f t="shared" si="808"/>
        <v>RAZIMAH ANSAR AHMAD</v>
      </c>
      <c r="Y1938" t="str">
        <f t="shared" si="809"/>
        <v>04-08-2020</v>
      </c>
      <c r="Z1938" t="str">
        <f>"COS10200804 7216"</f>
        <v>COS10200804 7216</v>
      </c>
    </row>
    <row r="1939" spans="1:26" x14ac:dyDescent="0.25">
      <c r="A1939" t="str">
        <f t="shared" si="793"/>
        <v>04-08-2020 01:06:46</v>
      </c>
      <c r="B1939" t="str">
        <f>"0000809014"</f>
        <v>0000809014</v>
      </c>
      <c r="C1939" t="str">
        <f t="shared" si="794"/>
        <v>0000808999</v>
      </c>
      <c r="D1939" t="str">
        <f t="shared" si="795"/>
        <v>73185</v>
      </c>
      <c r="E1939" t="str">
        <f t="shared" si="796"/>
        <v>KFH-OPERATIONS DEPARTMENT</v>
      </c>
      <c r="F1939" t="str">
        <f t="shared" si="797"/>
        <v>IBG</v>
      </c>
      <c r="G1939" t="str">
        <f t="shared" si="810"/>
        <v>Refund COSHARE 10</v>
      </c>
      <c r="H1939" s="2">
        <v>671.6</v>
      </c>
      <c r="I1939" t="str">
        <f>"SAFRINA BINTI ALI"</f>
        <v>SAFRINA BINTI ALI</v>
      </c>
      <c r="J1939" t="str">
        <f t="shared" si="811"/>
        <v>MAYBANK / MAYBANK ISLAMIC</v>
      </c>
      <c r="K1939" t="str">
        <f>"111020058232"</f>
        <v>111020058232</v>
      </c>
      <c r="L1939" t="str">
        <f t="shared" si="798"/>
        <v>04-08-2020</v>
      </c>
      <c r="M1939" t="str">
        <f t="shared" si="798"/>
        <v>04-08-2020</v>
      </c>
      <c r="N1939" t="str">
        <f t="shared" si="799"/>
        <v>001105018356</v>
      </c>
      <c r="O1939" t="str">
        <f t="shared" si="800"/>
        <v>MYR</v>
      </c>
      <c r="P1939" t="str">
        <f t="shared" si="801"/>
        <v>NIL</v>
      </c>
      <c r="Q1939" t="str">
        <f t="shared" si="801"/>
        <v>NIL</v>
      </c>
      <c r="R1939" t="str">
        <f t="shared" si="802"/>
        <v>Accepted</v>
      </c>
      <c r="S1939" t="str">
        <f t="shared" si="803"/>
        <v>Approved</v>
      </c>
      <c r="T1939" t="str">
        <f t="shared" si="804"/>
        <v>10.20.8.188</v>
      </c>
      <c r="U1939" t="str">
        <f t="shared" si="805"/>
        <v>AZRAD UMAR BIN SHAARI</v>
      </c>
      <c r="V1939" t="str">
        <f t="shared" si="806"/>
        <v>FARHANA BINTI MUSTAPA</v>
      </c>
      <c r="W1939" t="str">
        <f t="shared" si="807"/>
        <v>04-08-2020</v>
      </c>
      <c r="X1939" t="str">
        <f t="shared" si="808"/>
        <v>RAZIMAH ANSAR AHMAD</v>
      </c>
      <c r="Y1939" t="str">
        <f t="shared" si="809"/>
        <v>04-08-2020</v>
      </c>
      <c r="Z1939" t="str">
        <f>"COS10200804 7215"</f>
        <v>COS10200804 7215</v>
      </c>
    </row>
    <row r="1940" spans="1:26" x14ac:dyDescent="0.25">
      <c r="A1940" t="str">
        <f t="shared" si="793"/>
        <v>04-08-2020 01:06:46</v>
      </c>
      <c r="B1940" t="str">
        <f>"0000809013"</f>
        <v>0000809013</v>
      </c>
      <c r="C1940" t="str">
        <f t="shared" si="794"/>
        <v>0000808999</v>
      </c>
      <c r="D1940" t="str">
        <f t="shared" si="795"/>
        <v>73185</v>
      </c>
      <c r="E1940" t="str">
        <f t="shared" si="796"/>
        <v>KFH-OPERATIONS DEPARTMENT</v>
      </c>
      <c r="F1940" t="str">
        <f t="shared" si="797"/>
        <v>IBG</v>
      </c>
      <c r="G1940" t="str">
        <f t="shared" si="810"/>
        <v>Refund COSHARE 10</v>
      </c>
      <c r="H1940" s="2">
        <v>1670.6</v>
      </c>
      <c r="I1940" t="str">
        <f>"SAFRIN BIN PAMIDI"</f>
        <v>SAFRIN BIN PAMIDI</v>
      </c>
      <c r="J1940" t="str">
        <f t="shared" si="811"/>
        <v>MAYBANK / MAYBANK ISLAMIC</v>
      </c>
      <c r="K1940" t="str">
        <f>"162058997704"</f>
        <v>162058997704</v>
      </c>
      <c r="L1940" t="str">
        <f t="shared" si="798"/>
        <v>04-08-2020</v>
      </c>
      <c r="M1940" t="str">
        <f t="shared" si="798"/>
        <v>04-08-2020</v>
      </c>
      <c r="N1940" t="str">
        <f t="shared" si="799"/>
        <v>001105018356</v>
      </c>
      <c r="O1940" t="str">
        <f t="shared" si="800"/>
        <v>MYR</v>
      </c>
      <c r="P1940" t="str">
        <f t="shared" si="801"/>
        <v>NIL</v>
      </c>
      <c r="Q1940" t="str">
        <f t="shared" si="801"/>
        <v>NIL</v>
      </c>
      <c r="R1940" t="str">
        <f t="shared" si="802"/>
        <v>Accepted</v>
      </c>
      <c r="S1940" t="str">
        <f t="shared" si="803"/>
        <v>Approved</v>
      </c>
      <c r="T1940" t="str">
        <f t="shared" si="804"/>
        <v>10.20.8.188</v>
      </c>
      <c r="U1940" t="str">
        <f t="shared" si="805"/>
        <v>AZRAD UMAR BIN SHAARI</v>
      </c>
      <c r="V1940" t="str">
        <f t="shared" si="806"/>
        <v>FARHANA BINTI MUSTAPA</v>
      </c>
      <c r="W1940" t="str">
        <f t="shared" si="807"/>
        <v>04-08-2020</v>
      </c>
      <c r="X1940" t="str">
        <f t="shared" si="808"/>
        <v>RAZIMAH ANSAR AHMAD</v>
      </c>
      <c r="Y1940" t="str">
        <f t="shared" si="809"/>
        <v>04-08-2020</v>
      </c>
      <c r="Z1940" t="str">
        <f>"COS10200804 7214"</f>
        <v>COS10200804 7214</v>
      </c>
    </row>
    <row r="1941" spans="1:26" x14ac:dyDescent="0.25">
      <c r="A1941" t="str">
        <f t="shared" si="793"/>
        <v>04-08-2020 01:06:46</v>
      </c>
      <c r="B1941" t="str">
        <f>"0000809012"</f>
        <v>0000809012</v>
      </c>
      <c r="C1941" t="str">
        <f t="shared" si="794"/>
        <v>0000808999</v>
      </c>
      <c r="D1941" t="str">
        <f t="shared" si="795"/>
        <v>73185</v>
      </c>
      <c r="E1941" t="str">
        <f t="shared" si="796"/>
        <v>KFH-OPERATIONS DEPARTMENT</v>
      </c>
      <c r="F1941" t="str">
        <f t="shared" si="797"/>
        <v>IBG</v>
      </c>
      <c r="G1941" t="str">
        <f t="shared" si="810"/>
        <v>Refund COSHARE 10</v>
      </c>
      <c r="H1941" s="2">
        <v>1237</v>
      </c>
      <c r="I1941" t="str">
        <f>"SAFRI SHAH BIN SHAHRAMAN"</f>
        <v>SAFRI SHAH BIN SHAHRAMAN</v>
      </c>
      <c r="J1941" t="str">
        <f t="shared" si="811"/>
        <v>MAYBANK / MAYBANK ISLAMIC</v>
      </c>
      <c r="K1941" t="str">
        <f>"163019455595"</f>
        <v>163019455595</v>
      </c>
      <c r="L1941" t="str">
        <f t="shared" si="798"/>
        <v>04-08-2020</v>
      </c>
      <c r="M1941" t="str">
        <f t="shared" si="798"/>
        <v>04-08-2020</v>
      </c>
      <c r="N1941" t="str">
        <f t="shared" si="799"/>
        <v>001105018356</v>
      </c>
      <c r="O1941" t="str">
        <f t="shared" si="800"/>
        <v>MYR</v>
      </c>
      <c r="P1941" t="str">
        <f t="shared" si="801"/>
        <v>NIL</v>
      </c>
      <c r="Q1941" t="str">
        <f t="shared" si="801"/>
        <v>NIL</v>
      </c>
      <c r="R1941" t="str">
        <f t="shared" si="802"/>
        <v>Accepted</v>
      </c>
      <c r="S1941" t="str">
        <f t="shared" si="803"/>
        <v>Approved</v>
      </c>
      <c r="T1941" t="str">
        <f t="shared" si="804"/>
        <v>10.20.8.188</v>
      </c>
      <c r="U1941" t="str">
        <f t="shared" si="805"/>
        <v>AZRAD UMAR BIN SHAARI</v>
      </c>
      <c r="V1941" t="str">
        <f t="shared" si="806"/>
        <v>FARHANA BINTI MUSTAPA</v>
      </c>
      <c r="W1941" t="str">
        <f t="shared" si="807"/>
        <v>04-08-2020</v>
      </c>
      <c r="X1941" t="str">
        <f t="shared" si="808"/>
        <v>RAZIMAH ANSAR AHMAD</v>
      </c>
      <c r="Y1941" t="str">
        <f t="shared" si="809"/>
        <v>04-08-2020</v>
      </c>
      <c r="Z1941" t="str">
        <f>"COS10200804 7213"</f>
        <v>COS10200804 7213</v>
      </c>
    </row>
    <row r="1942" spans="1:26" x14ac:dyDescent="0.25">
      <c r="A1942" t="str">
        <f t="shared" si="793"/>
        <v>04-08-2020 01:06:46</v>
      </c>
      <c r="B1942" t="str">
        <f>"0000809011"</f>
        <v>0000809011</v>
      </c>
      <c r="C1942" t="str">
        <f t="shared" si="794"/>
        <v>0000808999</v>
      </c>
      <c r="D1942" t="str">
        <f t="shared" si="795"/>
        <v>73185</v>
      </c>
      <c r="E1942" t="str">
        <f t="shared" si="796"/>
        <v>KFH-OPERATIONS DEPARTMENT</v>
      </c>
      <c r="F1942" t="str">
        <f t="shared" si="797"/>
        <v>IBG</v>
      </c>
      <c r="G1942" t="str">
        <f t="shared" si="810"/>
        <v>Refund COSHARE 10</v>
      </c>
      <c r="H1942" s="2">
        <v>100.65</v>
      </c>
      <c r="I1942" t="str">
        <f>"SAFRI BIN ABU"</f>
        <v>SAFRI BIN ABU</v>
      </c>
      <c r="J1942" t="str">
        <f t="shared" si="811"/>
        <v>MAYBANK / MAYBANK ISLAMIC</v>
      </c>
      <c r="K1942" t="str">
        <f>"154053396748"</f>
        <v>154053396748</v>
      </c>
      <c r="L1942" t="str">
        <f t="shared" si="798"/>
        <v>04-08-2020</v>
      </c>
      <c r="M1942" t="str">
        <f t="shared" si="798"/>
        <v>04-08-2020</v>
      </c>
      <c r="N1942" t="str">
        <f t="shared" si="799"/>
        <v>001105018356</v>
      </c>
      <c r="O1942" t="str">
        <f t="shared" si="800"/>
        <v>MYR</v>
      </c>
      <c r="P1942" t="str">
        <f t="shared" si="801"/>
        <v>NIL</v>
      </c>
      <c r="Q1942" t="str">
        <f t="shared" si="801"/>
        <v>NIL</v>
      </c>
      <c r="R1942" t="str">
        <f t="shared" si="802"/>
        <v>Accepted</v>
      </c>
      <c r="S1942" t="str">
        <f t="shared" si="803"/>
        <v>Approved</v>
      </c>
      <c r="T1942" t="str">
        <f t="shared" si="804"/>
        <v>10.20.8.188</v>
      </c>
      <c r="U1942" t="str">
        <f t="shared" si="805"/>
        <v>AZRAD UMAR BIN SHAARI</v>
      </c>
      <c r="V1942" t="str">
        <f t="shared" si="806"/>
        <v>FARHANA BINTI MUSTAPA</v>
      </c>
      <c r="W1942" t="str">
        <f t="shared" si="807"/>
        <v>04-08-2020</v>
      </c>
      <c r="X1942" t="str">
        <f t="shared" si="808"/>
        <v>RAZIMAH ANSAR AHMAD</v>
      </c>
      <c r="Y1942" t="str">
        <f t="shared" si="809"/>
        <v>04-08-2020</v>
      </c>
      <c r="Z1942" t="str">
        <f>"COS10200804 7212"</f>
        <v>COS10200804 7212</v>
      </c>
    </row>
    <row r="1943" spans="1:26" x14ac:dyDescent="0.25">
      <c r="A1943" t="str">
        <f t="shared" si="793"/>
        <v>04-08-2020 01:06:46</v>
      </c>
      <c r="B1943" t="str">
        <f>"0000809010"</f>
        <v>0000809010</v>
      </c>
      <c r="C1943" t="str">
        <f t="shared" si="794"/>
        <v>0000808999</v>
      </c>
      <c r="D1943" t="str">
        <f t="shared" si="795"/>
        <v>73185</v>
      </c>
      <c r="E1943" t="str">
        <f t="shared" si="796"/>
        <v>KFH-OPERATIONS DEPARTMENT</v>
      </c>
      <c r="F1943" t="str">
        <f t="shared" si="797"/>
        <v>IBG</v>
      </c>
      <c r="G1943" t="str">
        <f t="shared" si="810"/>
        <v>Refund COSHARE 10</v>
      </c>
      <c r="H1943" s="2">
        <v>675.55</v>
      </c>
      <c r="I1943" t="str">
        <f>"SAFFRI BIN NOORDIN"</f>
        <v>SAFFRI BIN NOORDIN</v>
      </c>
      <c r="J1943" t="str">
        <f t="shared" si="811"/>
        <v>MAYBANK / MAYBANK ISLAMIC</v>
      </c>
      <c r="K1943" t="str">
        <f>"114329073326"</f>
        <v>114329073326</v>
      </c>
      <c r="L1943" t="str">
        <f t="shared" si="798"/>
        <v>04-08-2020</v>
      </c>
      <c r="M1943" t="str">
        <f t="shared" si="798"/>
        <v>04-08-2020</v>
      </c>
      <c r="N1943" t="str">
        <f t="shared" si="799"/>
        <v>001105018356</v>
      </c>
      <c r="O1943" t="str">
        <f t="shared" si="800"/>
        <v>MYR</v>
      </c>
      <c r="P1943" t="str">
        <f t="shared" si="801"/>
        <v>NIL</v>
      </c>
      <c r="Q1943" t="str">
        <f t="shared" si="801"/>
        <v>NIL</v>
      </c>
      <c r="R1943" t="str">
        <f t="shared" si="802"/>
        <v>Accepted</v>
      </c>
      <c r="S1943" t="str">
        <f t="shared" si="803"/>
        <v>Approved</v>
      </c>
      <c r="T1943" t="str">
        <f t="shared" si="804"/>
        <v>10.20.8.188</v>
      </c>
      <c r="U1943" t="str">
        <f t="shared" si="805"/>
        <v>AZRAD UMAR BIN SHAARI</v>
      </c>
      <c r="V1943" t="str">
        <f t="shared" si="806"/>
        <v>FARHANA BINTI MUSTAPA</v>
      </c>
      <c r="W1943" t="str">
        <f t="shared" si="807"/>
        <v>04-08-2020</v>
      </c>
      <c r="X1943" t="str">
        <f t="shared" si="808"/>
        <v>RAZIMAH ANSAR AHMAD</v>
      </c>
      <c r="Y1943" t="str">
        <f t="shared" si="809"/>
        <v>04-08-2020</v>
      </c>
      <c r="Z1943" t="str">
        <f>"COS10200804 7211"</f>
        <v>COS10200804 7211</v>
      </c>
    </row>
    <row r="1944" spans="1:26" x14ac:dyDescent="0.25">
      <c r="A1944" t="str">
        <f t="shared" si="793"/>
        <v>04-08-2020 01:06:46</v>
      </c>
      <c r="B1944" t="str">
        <f>"0000809009"</f>
        <v>0000809009</v>
      </c>
      <c r="C1944" t="str">
        <f t="shared" si="794"/>
        <v>0000808999</v>
      </c>
      <c r="D1944" t="str">
        <f t="shared" si="795"/>
        <v>73185</v>
      </c>
      <c r="E1944" t="str">
        <f t="shared" si="796"/>
        <v>KFH-OPERATIONS DEPARTMENT</v>
      </c>
      <c r="F1944" t="str">
        <f t="shared" si="797"/>
        <v>IBG</v>
      </c>
      <c r="G1944" t="str">
        <f t="shared" si="810"/>
        <v>Refund COSHARE 10</v>
      </c>
      <c r="H1944" s="2">
        <v>134.35</v>
      </c>
      <c r="I1944" t="str">
        <f>"SAFARDI BIN BUJANG"</f>
        <v>SAFARDI BIN BUJANG</v>
      </c>
      <c r="J1944" t="str">
        <f t="shared" si="811"/>
        <v>MAYBANK / MAYBANK ISLAMIC</v>
      </c>
      <c r="K1944" t="str">
        <f>"111195016538"</f>
        <v>111195016538</v>
      </c>
      <c r="L1944" t="str">
        <f t="shared" si="798"/>
        <v>04-08-2020</v>
      </c>
      <c r="M1944" t="str">
        <f t="shared" si="798"/>
        <v>04-08-2020</v>
      </c>
      <c r="N1944" t="str">
        <f t="shared" si="799"/>
        <v>001105018356</v>
      </c>
      <c r="O1944" t="str">
        <f t="shared" si="800"/>
        <v>MYR</v>
      </c>
      <c r="P1944" t="str">
        <f t="shared" si="801"/>
        <v>NIL</v>
      </c>
      <c r="Q1944" t="str">
        <f t="shared" si="801"/>
        <v>NIL</v>
      </c>
      <c r="R1944" t="str">
        <f t="shared" si="802"/>
        <v>Accepted</v>
      </c>
      <c r="S1944" t="str">
        <f t="shared" si="803"/>
        <v>Approved</v>
      </c>
      <c r="T1944" t="str">
        <f t="shared" si="804"/>
        <v>10.20.8.188</v>
      </c>
      <c r="U1944" t="str">
        <f t="shared" si="805"/>
        <v>AZRAD UMAR BIN SHAARI</v>
      </c>
      <c r="V1944" t="str">
        <f t="shared" si="806"/>
        <v>FARHANA BINTI MUSTAPA</v>
      </c>
      <c r="W1944" t="str">
        <f t="shared" si="807"/>
        <v>04-08-2020</v>
      </c>
      <c r="X1944" t="str">
        <f t="shared" si="808"/>
        <v>RAZIMAH ANSAR AHMAD</v>
      </c>
      <c r="Y1944" t="str">
        <f t="shared" si="809"/>
        <v>04-08-2020</v>
      </c>
      <c r="Z1944" t="str">
        <f>"COS10200804 7210"</f>
        <v>COS10200804 7210</v>
      </c>
    </row>
    <row r="1945" spans="1:26" x14ac:dyDescent="0.25">
      <c r="A1945" t="str">
        <f t="shared" si="793"/>
        <v>04-08-2020 01:06:46</v>
      </c>
      <c r="B1945" t="str">
        <f>"0000809008"</f>
        <v>0000809008</v>
      </c>
      <c r="C1945" t="str">
        <f t="shared" si="794"/>
        <v>0000808999</v>
      </c>
      <c r="D1945" t="str">
        <f t="shared" si="795"/>
        <v>73185</v>
      </c>
      <c r="E1945" t="str">
        <f t="shared" si="796"/>
        <v>KFH-OPERATIONS DEPARTMENT</v>
      </c>
      <c r="F1945" t="str">
        <f t="shared" si="797"/>
        <v>IBG</v>
      </c>
      <c r="G1945" t="str">
        <f t="shared" si="810"/>
        <v>Refund COSHARE 10</v>
      </c>
      <c r="H1945" s="2">
        <v>1208.25</v>
      </c>
      <c r="I1945" t="str">
        <f>"SAERAH BINTI KARIN"</f>
        <v>SAERAH BINTI KARIN</v>
      </c>
      <c r="J1945" t="str">
        <f t="shared" si="811"/>
        <v>MAYBANK / MAYBANK ISLAMIC</v>
      </c>
      <c r="K1945" t="str">
        <f>"105082215752"</f>
        <v>105082215752</v>
      </c>
      <c r="L1945" t="str">
        <f t="shared" si="798"/>
        <v>04-08-2020</v>
      </c>
      <c r="M1945" t="str">
        <f t="shared" si="798"/>
        <v>04-08-2020</v>
      </c>
      <c r="N1945" t="str">
        <f t="shared" si="799"/>
        <v>001105018356</v>
      </c>
      <c r="O1945" t="str">
        <f t="shared" si="800"/>
        <v>MYR</v>
      </c>
      <c r="P1945" t="str">
        <f t="shared" si="801"/>
        <v>NIL</v>
      </c>
      <c r="Q1945" t="str">
        <f t="shared" si="801"/>
        <v>NIL</v>
      </c>
      <c r="R1945" t="str">
        <f t="shared" si="802"/>
        <v>Accepted</v>
      </c>
      <c r="S1945" t="str">
        <f t="shared" si="803"/>
        <v>Approved</v>
      </c>
      <c r="T1945" t="str">
        <f t="shared" si="804"/>
        <v>10.20.8.188</v>
      </c>
      <c r="U1945" t="str">
        <f t="shared" si="805"/>
        <v>AZRAD UMAR BIN SHAARI</v>
      </c>
      <c r="V1945" t="str">
        <f t="shared" si="806"/>
        <v>FARHANA BINTI MUSTAPA</v>
      </c>
      <c r="W1945" t="str">
        <f t="shared" si="807"/>
        <v>04-08-2020</v>
      </c>
      <c r="X1945" t="str">
        <f t="shared" si="808"/>
        <v>RAZIMAH ANSAR AHMAD</v>
      </c>
      <c r="Y1945" t="str">
        <f t="shared" si="809"/>
        <v>04-08-2020</v>
      </c>
      <c r="Z1945" t="str">
        <f>"COS10200804 7209"</f>
        <v>COS10200804 7209</v>
      </c>
    </row>
    <row r="1946" spans="1:26" x14ac:dyDescent="0.25">
      <c r="A1946" t="str">
        <f t="shared" ref="A1946:A1953" si="812">"04-08-2020 01:06:46"</f>
        <v>04-08-2020 01:06:46</v>
      </c>
      <c r="B1946" t="str">
        <f>"0000809007"</f>
        <v>0000809007</v>
      </c>
      <c r="C1946" t="str">
        <f t="shared" ref="C1946:C1953" si="813">"0000808999"</f>
        <v>0000808999</v>
      </c>
      <c r="D1946" t="str">
        <f t="shared" si="795"/>
        <v>73185</v>
      </c>
      <c r="E1946" t="str">
        <f t="shared" si="796"/>
        <v>KFH-OPERATIONS DEPARTMENT</v>
      </c>
      <c r="F1946" t="str">
        <f t="shared" si="797"/>
        <v>IBG</v>
      </c>
      <c r="G1946" t="str">
        <f t="shared" si="810"/>
        <v>Refund COSHARE 10</v>
      </c>
      <c r="H1946" s="2">
        <v>209.9</v>
      </c>
      <c r="I1946" t="str">
        <f>"SAERAH BINTI BADIR"</f>
        <v>SAERAH BINTI BADIR</v>
      </c>
      <c r="J1946" t="str">
        <f t="shared" si="811"/>
        <v>MAYBANK / MAYBANK ISLAMIC</v>
      </c>
      <c r="K1946" t="str">
        <f>"106071044678"</f>
        <v>106071044678</v>
      </c>
      <c r="L1946" t="str">
        <f t="shared" si="798"/>
        <v>04-08-2020</v>
      </c>
      <c r="M1946" t="str">
        <f t="shared" si="798"/>
        <v>04-08-2020</v>
      </c>
      <c r="N1946" t="str">
        <f t="shared" si="799"/>
        <v>001105018356</v>
      </c>
      <c r="O1946" t="str">
        <f t="shared" si="800"/>
        <v>MYR</v>
      </c>
      <c r="P1946" t="str">
        <f t="shared" si="801"/>
        <v>NIL</v>
      </c>
      <c r="Q1946" t="str">
        <f t="shared" si="801"/>
        <v>NIL</v>
      </c>
      <c r="R1946" t="str">
        <f t="shared" si="802"/>
        <v>Accepted</v>
      </c>
      <c r="S1946" t="str">
        <f t="shared" si="803"/>
        <v>Approved</v>
      </c>
      <c r="T1946" t="str">
        <f t="shared" si="804"/>
        <v>10.20.8.188</v>
      </c>
      <c r="U1946" t="str">
        <f t="shared" si="805"/>
        <v>AZRAD UMAR BIN SHAARI</v>
      </c>
      <c r="V1946" t="str">
        <f t="shared" si="806"/>
        <v>FARHANA BINTI MUSTAPA</v>
      </c>
      <c r="W1946" t="str">
        <f t="shared" si="807"/>
        <v>04-08-2020</v>
      </c>
      <c r="X1946" t="str">
        <f t="shared" si="808"/>
        <v>RAZIMAH ANSAR AHMAD</v>
      </c>
      <c r="Y1946" t="str">
        <f t="shared" si="809"/>
        <v>04-08-2020</v>
      </c>
      <c r="Z1946" t="str">
        <f>"COS10200804 7208"</f>
        <v>COS10200804 7208</v>
      </c>
    </row>
    <row r="1947" spans="1:26" x14ac:dyDescent="0.25">
      <c r="A1947" t="str">
        <f t="shared" si="812"/>
        <v>04-08-2020 01:06:46</v>
      </c>
      <c r="B1947" t="str">
        <f>"0000809006"</f>
        <v>0000809006</v>
      </c>
      <c r="C1947" t="str">
        <f t="shared" si="813"/>
        <v>0000808999</v>
      </c>
      <c r="D1947" t="str">
        <f t="shared" si="795"/>
        <v>73185</v>
      </c>
      <c r="E1947" t="str">
        <f t="shared" si="796"/>
        <v>KFH-OPERATIONS DEPARTMENT</v>
      </c>
      <c r="F1947" t="str">
        <f t="shared" si="797"/>
        <v>IBG</v>
      </c>
      <c r="G1947" t="str">
        <f t="shared" si="810"/>
        <v>Refund COSHARE 10</v>
      </c>
      <c r="H1947" s="2">
        <v>334</v>
      </c>
      <c r="I1947" t="str">
        <f>"SABTU BIN SARIMAN"</f>
        <v>SABTU BIN SARIMAN</v>
      </c>
      <c r="J1947" t="str">
        <f t="shared" si="811"/>
        <v>MAYBANK / MAYBANK ISLAMIC</v>
      </c>
      <c r="K1947" t="str">
        <f>"160027106094"</f>
        <v>160027106094</v>
      </c>
      <c r="L1947" t="str">
        <f t="shared" ref="L1947:M1966" si="814">"04-08-2020"</f>
        <v>04-08-2020</v>
      </c>
      <c r="M1947" t="str">
        <f t="shared" si="814"/>
        <v>04-08-2020</v>
      </c>
      <c r="N1947" t="str">
        <f t="shared" si="799"/>
        <v>001105018356</v>
      </c>
      <c r="O1947" t="str">
        <f t="shared" si="800"/>
        <v>MYR</v>
      </c>
      <c r="P1947" t="str">
        <f t="shared" ref="P1947:Q1966" si="815">"NIL"</f>
        <v>NIL</v>
      </c>
      <c r="Q1947" t="str">
        <f t="shared" si="815"/>
        <v>NIL</v>
      </c>
      <c r="R1947" t="str">
        <f t="shared" si="802"/>
        <v>Accepted</v>
      </c>
      <c r="S1947" t="str">
        <f t="shared" si="803"/>
        <v>Approved</v>
      </c>
      <c r="T1947" t="str">
        <f t="shared" si="804"/>
        <v>10.20.8.188</v>
      </c>
      <c r="U1947" t="str">
        <f t="shared" si="805"/>
        <v>AZRAD UMAR BIN SHAARI</v>
      </c>
      <c r="V1947" t="str">
        <f t="shared" si="806"/>
        <v>FARHANA BINTI MUSTAPA</v>
      </c>
      <c r="W1947" t="str">
        <f t="shared" si="807"/>
        <v>04-08-2020</v>
      </c>
      <c r="X1947" t="str">
        <f t="shared" si="808"/>
        <v>RAZIMAH ANSAR AHMAD</v>
      </c>
      <c r="Y1947" t="str">
        <f t="shared" si="809"/>
        <v>04-08-2020</v>
      </c>
      <c r="Z1947" t="str">
        <f>"COS10200804 7207"</f>
        <v>COS10200804 7207</v>
      </c>
    </row>
    <row r="1948" spans="1:26" x14ac:dyDescent="0.25">
      <c r="A1948" t="str">
        <f t="shared" si="812"/>
        <v>04-08-2020 01:06:46</v>
      </c>
      <c r="B1948" t="str">
        <f>"0000809005"</f>
        <v>0000809005</v>
      </c>
      <c r="C1948" t="str">
        <f t="shared" si="813"/>
        <v>0000808999</v>
      </c>
      <c r="D1948" t="str">
        <f t="shared" si="795"/>
        <v>73185</v>
      </c>
      <c r="E1948" t="str">
        <f t="shared" si="796"/>
        <v>KFH-OPERATIONS DEPARTMENT</v>
      </c>
      <c r="F1948" t="str">
        <f t="shared" si="797"/>
        <v>IBG</v>
      </c>
      <c r="G1948" t="str">
        <f t="shared" si="810"/>
        <v>Refund COSHARE 10</v>
      </c>
      <c r="H1948" s="2">
        <v>386.2</v>
      </c>
      <c r="I1948" t="str">
        <f>"SABTU BIN SARIMAN"</f>
        <v>SABTU BIN SARIMAN</v>
      </c>
      <c r="J1948" t="str">
        <f t="shared" si="811"/>
        <v>MAYBANK / MAYBANK ISLAMIC</v>
      </c>
      <c r="K1948" t="str">
        <f>"160027106094"</f>
        <v>160027106094</v>
      </c>
      <c r="L1948" t="str">
        <f t="shared" si="814"/>
        <v>04-08-2020</v>
      </c>
      <c r="M1948" t="str">
        <f t="shared" si="814"/>
        <v>04-08-2020</v>
      </c>
      <c r="N1948" t="str">
        <f t="shared" si="799"/>
        <v>001105018356</v>
      </c>
      <c r="O1948" t="str">
        <f t="shared" si="800"/>
        <v>MYR</v>
      </c>
      <c r="P1948" t="str">
        <f t="shared" si="815"/>
        <v>NIL</v>
      </c>
      <c r="Q1948" t="str">
        <f t="shared" si="815"/>
        <v>NIL</v>
      </c>
      <c r="R1948" t="str">
        <f t="shared" si="802"/>
        <v>Accepted</v>
      </c>
      <c r="S1948" t="str">
        <f t="shared" si="803"/>
        <v>Approved</v>
      </c>
      <c r="T1948" t="str">
        <f t="shared" si="804"/>
        <v>10.20.8.188</v>
      </c>
      <c r="U1948" t="str">
        <f t="shared" si="805"/>
        <v>AZRAD UMAR BIN SHAARI</v>
      </c>
      <c r="V1948" t="str">
        <f t="shared" si="806"/>
        <v>FARHANA BINTI MUSTAPA</v>
      </c>
      <c r="W1948" t="str">
        <f t="shared" si="807"/>
        <v>04-08-2020</v>
      </c>
      <c r="X1948" t="str">
        <f t="shared" si="808"/>
        <v>RAZIMAH ANSAR AHMAD</v>
      </c>
      <c r="Y1948" t="str">
        <f t="shared" si="809"/>
        <v>04-08-2020</v>
      </c>
      <c r="Z1948" t="str">
        <f>"COS10200804 7206"</f>
        <v>COS10200804 7206</v>
      </c>
    </row>
    <row r="1949" spans="1:26" x14ac:dyDescent="0.25">
      <c r="A1949" t="str">
        <f t="shared" si="812"/>
        <v>04-08-2020 01:06:46</v>
      </c>
      <c r="B1949" t="str">
        <f>"0000809004"</f>
        <v>0000809004</v>
      </c>
      <c r="C1949" t="str">
        <f t="shared" si="813"/>
        <v>0000808999</v>
      </c>
      <c r="D1949" t="str">
        <f t="shared" si="795"/>
        <v>73185</v>
      </c>
      <c r="E1949" t="str">
        <f t="shared" si="796"/>
        <v>KFH-OPERATIONS DEPARTMENT</v>
      </c>
      <c r="F1949" t="str">
        <f t="shared" si="797"/>
        <v>IBG</v>
      </c>
      <c r="G1949" t="str">
        <f t="shared" si="810"/>
        <v>Refund COSHARE 10</v>
      </c>
      <c r="H1949" s="2">
        <v>965.45</v>
      </c>
      <c r="I1949" t="str">
        <f>"SABRINA FOSSILLIAN"</f>
        <v>SABRINA FOSSILLIAN</v>
      </c>
      <c r="J1949" t="str">
        <f t="shared" si="811"/>
        <v>MAYBANK / MAYBANK ISLAMIC</v>
      </c>
      <c r="K1949" t="str">
        <f>"116015003735"</f>
        <v>116015003735</v>
      </c>
      <c r="L1949" t="str">
        <f t="shared" si="814"/>
        <v>04-08-2020</v>
      </c>
      <c r="M1949" t="str">
        <f t="shared" si="814"/>
        <v>04-08-2020</v>
      </c>
      <c r="N1949" t="str">
        <f t="shared" si="799"/>
        <v>001105018356</v>
      </c>
      <c r="O1949" t="str">
        <f t="shared" si="800"/>
        <v>MYR</v>
      </c>
      <c r="P1949" t="str">
        <f t="shared" si="815"/>
        <v>NIL</v>
      </c>
      <c r="Q1949" t="str">
        <f t="shared" si="815"/>
        <v>NIL</v>
      </c>
      <c r="R1949" t="str">
        <f t="shared" si="802"/>
        <v>Accepted</v>
      </c>
      <c r="S1949" t="str">
        <f t="shared" si="803"/>
        <v>Approved</v>
      </c>
      <c r="T1949" t="str">
        <f t="shared" si="804"/>
        <v>10.20.8.188</v>
      </c>
      <c r="U1949" t="str">
        <f t="shared" si="805"/>
        <v>AZRAD UMAR BIN SHAARI</v>
      </c>
      <c r="V1949" t="str">
        <f t="shared" si="806"/>
        <v>FARHANA BINTI MUSTAPA</v>
      </c>
      <c r="W1949" t="str">
        <f t="shared" si="807"/>
        <v>04-08-2020</v>
      </c>
      <c r="X1949" t="str">
        <f t="shared" si="808"/>
        <v>RAZIMAH ANSAR AHMAD</v>
      </c>
      <c r="Y1949" t="str">
        <f t="shared" si="809"/>
        <v>04-08-2020</v>
      </c>
      <c r="Z1949" t="str">
        <f>"COS10200804 7205"</f>
        <v>COS10200804 7205</v>
      </c>
    </row>
    <row r="1950" spans="1:26" x14ac:dyDescent="0.25">
      <c r="A1950" t="str">
        <f t="shared" si="812"/>
        <v>04-08-2020 01:06:46</v>
      </c>
      <c r="B1950" t="str">
        <f>"0000809003"</f>
        <v>0000809003</v>
      </c>
      <c r="C1950" t="str">
        <f t="shared" si="813"/>
        <v>0000808999</v>
      </c>
      <c r="D1950" t="str">
        <f t="shared" si="795"/>
        <v>73185</v>
      </c>
      <c r="E1950" t="str">
        <f t="shared" si="796"/>
        <v>KFH-OPERATIONS DEPARTMENT</v>
      </c>
      <c r="F1950" t="str">
        <f t="shared" si="797"/>
        <v>IBG</v>
      </c>
      <c r="G1950" t="str">
        <f t="shared" si="810"/>
        <v>Refund COSHARE 10</v>
      </c>
      <c r="H1950" s="2">
        <v>839.5</v>
      </c>
      <c r="I1950" t="str">
        <f>"SABRINA BINTI ABDUL RAHIM"</f>
        <v>SABRINA BINTI ABDUL RAHIM</v>
      </c>
      <c r="J1950" t="str">
        <f t="shared" si="811"/>
        <v>MAYBANK / MAYBANK ISLAMIC</v>
      </c>
      <c r="K1950" t="str">
        <f>"157018643563"</f>
        <v>157018643563</v>
      </c>
      <c r="L1950" t="str">
        <f t="shared" si="814"/>
        <v>04-08-2020</v>
      </c>
      <c r="M1950" t="str">
        <f t="shared" si="814"/>
        <v>04-08-2020</v>
      </c>
      <c r="N1950" t="str">
        <f t="shared" si="799"/>
        <v>001105018356</v>
      </c>
      <c r="O1950" t="str">
        <f t="shared" si="800"/>
        <v>MYR</v>
      </c>
      <c r="P1950" t="str">
        <f t="shared" si="815"/>
        <v>NIL</v>
      </c>
      <c r="Q1950" t="str">
        <f t="shared" si="815"/>
        <v>NIL</v>
      </c>
      <c r="R1950" t="str">
        <f t="shared" si="802"/>
        <v>Accepted</v>
      </c>
      <c r="S1950" t="str">
        <f t="shared" si="803"/>
        <v>Approved</v>
      </c>
      <c r="T1950" t="str">
        <f t="shared" si="804"/>
        <v>10.20.8.188</v>
      </c>
      <c r="U1950" t="str">
        <f t="shared" si="805"/>
        <v>AZRAD UMAR BIN SHAARI</v>
      </c>
      <c r="V1950" t="str">
        <f t="shared" si="806"/>
        <v>FARHANA BINTI MUSTAPA</v>
      </c>
      <c r="W1950" t="str">
        <f t="shared" si="807"/>
        <v>04-08-2020</v>
      </c>
      <c r="X1950" t="str">
        <f t="shared" si="808"/>
        <v>RAZIMAH ANSAR AHMAD</v>
      </c>
      <c r="Y1950" t="str">
        <f t="shared" si="809"/>
        <v>04-08-2020</v>
      </c>
      <c r="Z1950" t="str">
        <f>"COS10200804 7204"</f>
        <v>COS10200804 7204</v>
      </c>
    </row>
    <row r="1951" spans="1:26" x14ac:dyDescent="0.25">
      <c r="A1951" t="str">
        <f t="shared" si="812"/>
        <v>04-08-2020 01:06:46</v>
      </c>
      <c r="B1951" t="str">
        <f>"0000809002"</f>
        <v>0000809002</v>
      </c>
      <c r="C1951" t="str">
        <f t="shared" si="813"/>
        <v>0000808999</v>
      </c>
      <c r="D1951" t="str">
        <f t="shared" si="795"/>
        <v>73185</v>
      </c>
      <c r="E1951" t="str">
        <f t="shared" si="796"/>
        <v>KFH-OPERATIONS DEPARTMENT</v>
      </c>
      <c r="F1951" t="str">
        <f t="shared" si="797"/>
        <v>IBG</v>
      </c>
      <c r="G1951" t="str">
        <f t="shared" si="810"/>
        <v>Refund COSHARE 10</v>
      </c>
      <c r="H1951" s="2">
        <v>915</v>
      </c>
      <c r="I1951" t="str">
        <f>"SABRI BIN MUDA"</f>
        <v>SABRI BIN MUDA</v>
      </c>
      <c r="J1951" t="str">
        <f t="shared" si="811"/>
        <v>MAYBANK / MAYBANK ISLAMIC</v>
      </c>
      <c r="K1951" t="str">
        <f>"162115821907"</f>
        <v>162115821907</v>
      </c>
      <c r="L1951" t="str">
        <f t="shared" si="814"/>
        <v>04-08-2020</v>
      </c>
      <c r="M1951" t="str">
        <f t="shared" si="814"/>
        <v>04-08-2020</v>
      </c>
      <c r="N1951" t="str">
        <f t="shared" si="799"/>
        <v>001105018356</v>
      </c>
      <c r="O1951" t="str">
        <f t="shared" si="800"/>
        <v>MYR</v>
      </c>
      <c r="P1951" t="str">
        <f t="shared" si="815"/>
        <v>NIL</v>
      </c>
      <c r="Q1951" t="str">
        <f t="shared" si="815"/>
        <v>NIL</v>
      </c>
      <c r="R1951" t="str">
        <f t="shared" si="802"/>
        <v>Accepted</v>
      </c>
      <c r="S1951" t="str">
        <f t="shared" si="803"/>
        <v>Approved</v>
      </c>
      <c r="T1951" t="str">
        <f t="shared" si="804"/>
        <v>10.20.8.188</v>
      </c>
      <c r="U1951" t="str">
        <f t="shared" si="805"/>
        <v>AZRAD UMAR BIN SHAARI</v>
      </c>
      <c r="V1951" t="str">
        <f t="shared" si="806"/>
        <v>FARHANA BINTI MUSTAPA</v>
      </c>
      <c r="W1951" t="str">
        <f t="shared" si="807"/>
        <v>04-08-2020</v>
      </c>
      <c r="X1951" t="str">
        <f t="shared" si="808"/>
        <v>RAZIMAH ANSAR AHMAD</v>
      </c>
      <c r="Y1951" t="str">
        <f t="shared" si="809"/>
        <v>04-08-2020</v>
      </c>
      <c r="Z1951" t="str">
        <f>"COS10200804 7203"</f>
        <v>COS10200804 7203</v>
      </c>
    </row>
    <row r="1952" spans="1:26" x14ac:dyDescent="0.25">
      <c r="A1952" t="str">
        <f t="shared" si="812"/>
        <v>04-08-2020 01:06:46</v>
      </c>
      <c r="B1952" t="str">
        <f>"0000809001"</f>
        <v>0000809001</v>
      </c>
      <c r="C1952" t="str">
        <f t="shared" si="813"/>
        <v>0000808999</v>
      </c>
      <c r="D1952" t="str">
        <f t="shared" si="795"/>
        <v>73185</v>
      </c>
      <c r="E1952" t="str">
        <f t="shared" si="796"/>
        <v>KFH-OPERATIONS DEPARTMENT</v>
      </c>
      <c r="F1952" t="str">
        <f t="shared" si="797"/>
        <v>IBG</v>
      </c>
      <c r="G1952" t="str">
        <f t="shared" si="810"/>
        <v>Refund COSHARE 10</v>
      </c>
      <c r="H1952" s="2">
        <v>293.85000000000002</v>
      </c>
      <c r="I1952" t="str">
        <f>"SABRI  DIN BIN ABDUL WAHID"</f>
        <v>SABRI  DIN BIN ABDUL WAHID</v>
      </c>
      <c r="J1952" t="str">
        <f t="shared" si="811"/>
        <v>MAYBANK / MAYBANK ISLAMIC</v>
      </c>
      <c r="K1952" t="str">
        <f>"160193010924"</f>
        <v>160193010924</v>
      </c>
      <c r="L1952" t="str">
        <f t="shared" si="814"/>
        <v>04-08-2020</v>
      </c>
      <c r="M1952" t="str">
        <f t="shared" si="814"/>
        <v>04-08-2020</v>
      </c>
      <c r="N1952" t="str">
        <f t="shared" si="799"/>
        <v>001105018356</v>
      </c>
      <c r="O1952" t="str">
        <f t="shared" si="800"/>
        <v>MYR</v>
      </c>
      <c r="P1952" t="str">
        <f t="shared" si="815"/>
        <v>NIL</v>
      </c>
      <c r="Q1952" t="str">
        <f t="shared" si="815"/>
        <v>NIL</v>
      </c>
      <c r="R1952" t="str">
        <f t="shared" si="802"/>
        <v>Accepted</v>
      </c>
      <c r="S1952" t="str">
        <f t="shared" si="803"/>
        <v>Approved</v>
      </c>
      <c r="T1952" t="str">
        <f t="shared" si="804"/>
        <v>10.20.8.188</v>
      </c>
      <c r="U1952" t="str">
        <f t="shared" si="805"/>
        <v>AZRAD UMAR BIN SHAARI</v>
      </c>
      <c r="V1952" t="str">
        <f t="shared" si="806"/>
        <v>FARHANA BINTI MUSTAPA</v>
      </c>
      <c r="W1952" t="str">
        <f t="shared" si="807"/>
        <v>04-08-2020</v>
      </c>
      <c r="X1952" t="str">
        <f t="shared" si="808"/>
        <v>RAZIMAH ANSAR AHMAD</v>
      </c>
      <c r="Y1952" t="str">
        <f t="shared" si="809"/>
        <v>04-08-2020</v>
      </c>
      <c r="Z1952" t="str">
        <f>"COS10200804 7202"</f>
        <v>COS10200804 7202</v>
      </c>
    </row>
    <row r="1953" spans="1:26" x14ac:dyDescent="0.25">
      <c r="A1953" t="str">
        <f t="shared" si="812"/>
        <v>04-08-2020 01:06:46</v>
      </c>
      <c r="B1953" t="str">
        <f>"0000809000"</f>
        <v>0000809000</v>
      </c>
      <c r="C1953" t="str">
        <f t="shared" si="813"/>
        <v>0000808999</v>
      </c>
      <c r="D1953" t="str">
        <f t="shared" si="795"/>
        <v>73185</v>
      </c>
      <c r="E1953" t="str">
        <f t="shared" si="796"/>
        <v>KFH-OPERATIONS DEPARTMENT</v>
      </c>
      <c r="F1953" t="str">
        <f t="shared" si="797"/>
        <v>IBG</v>
      </c>
      <c r="G1953" t="str">
        <f t="shared" si="810"/>
        <v>Refund COSHARE 10</v>
      </c>
      <c r="H1953" s="2">
        <v>198</v>
      </c>
      <c r="I1953" t="str">
        <f>"SABARINA BINTI OTHMAN"</f>
        <v>SABARINA BINTI OTHMAN</v>
      </c>
      <c r="J1953" t="str">
        <f t="shared" si="811"/>
        <v>MAYBANK / MAYBANK ISLAMIC</v>
      </c>
      <c r="K1953" t="str">
        <f>"157081295183"</f>
        <v>157081295183</v>
      </c>
      <c r="L1953" t="str">
        <f t="shared" si="814"/>
        <v>04-08-2020</v>
      </c>
      <c r="M1953" t="str">
        <f t="shared" si="814"/>
        <v>04-08-2020</v>
      </c>
      <c r="N1953" t="str">
        <f t="shared" si="799"/>
        <v>001105018356</v>
      </c>
      <c r="O1953" t="str">
        <f t="shared" si="800"/>
        <v>MYR</v>
      </c>
      <c r="P1953" t="str">
        <f t="shared" si="815"/>
        <v>NIL</v>
      </c>
      <c r="Q1953" t="str">
        <f t="shared" si="815"/>
        <v>NIL</v>
      </c>
      <c r="R1953" t="str">
        <f t="shared" si="802"/>
        <v>Accepted</v>
      </c>
      <c r="S1953" t="str">
        <f t="shared" si="803"/>
        <v>Approved</v>
      </c>
      <c r="T1953" t="str">
        <f t="shared" si="804"/>
        <v>10.20.8.188</v>
      </c>
      <c r="U1953" t="str">
        <f t="shared" si="805"/>
        <v>AZRAD UMAR BIN SHAARI</v>
      </c>
      <c r="V1953" t="str">
        <f t="shared" si="806"/>
        <v>FARHANA BINTI MUSTAPA</v>
      </c>
      <c r="W1953" t="str">
        <f t="shared" si="807"/>
        <v>04-08-2020</v>
      </c>
      <c r="X1953" t="str">
        <f t="shared" si="808"/>
        <v>RAZIMAH ANSAR AHMAD</v>
      </c>
      <c r="Y1953" t="str">
        <f t="shared" si="809"/>
        <v>04-08-2020</v>
      </c>
      <c r="Z1953" t="str">
        <f>"COS10200804 7201"</f>
        <v>COS10200804 7201</v>
      </c>
    </row>
    <row r="1954" spans="1:26" x14ac:dyDescent="0.25">
      <c r="A1954" t="str">
        <f t="shared" ref="A1954:A1985" si="816">"04-08-2020 01:05:33"</f>
        <v>04-08-2020 01:05:33</v>
      </c>
      <c r="B1954" t="str">
        <f>"0000808998"</f>
        <v>0000808998</v>
      </c>
      <c r="C1954" t="str">
        <f t="shared" ref="C1954:C1985" si="817">"0000808798"</f>
        <v>0000808798</v>
      </c>
      <c r="D1954" t="str">
        <f t="shared" si="795"/>
        <v>73185</v>
      </c>
      <c r="E1954" t="str">
        <f t="shared" si="796"/>
        <v>KFH-OPERATIONS DEPARTMENT</v>
      </c>
      <c r="F1954" t="str">
        <f t="shared" si="797"/>
        <v>IBG</v>
      </c>
      <c r="G1954" t="str">
        <f t="shared" si="810"/>
        <v>Refund COSHARE 10</v>
      </c>
      <c r="H1954" s="2">
        <v>556.70000000000005</v>
      </c>
      <c r="I1954" t="str">
        <f>"SABARIAH BINTI ABDUL RAHMAN"</f>
        <v>SABARIAH BINTI ABDUL RAHMAN</v>
      </c>
      <c r="J1954" t="str">
        <f t="shared" si="811"/>
        <v>MAYBANK / MAYBANK ISLAMIC</v>
      </c>
      <c r="K1954" t="str">
        <f>"161109309206"</f>
        <v>161109309206</v>
      </c>
      <c r="L1954" t="str">
        <f t="shared" si="814"/>
        <v>04-08-2020</v>
      </c>
      <c r="M1954" t="str">
        <f t="shared" si="814"/>
        <v>04-08-2020</v>
      </c>
      <c r="N1954" t="str">
        <f t="shared" si="799"/>
        <v>001105018356</v>
      </c>
      <c r="O1954" t="str">
        <f t="shared" si="800"/>
        <v>MYR</v>
      </c>
      <c r="P1954" t="str">
        <f t="shared" si="815"/>
        <v>NIL</v>
      </c>
      <c r="Q1954" t="str">
        <f t="shared" si="815"/>
        <v>NIL</v>
      </c>
      <c r="R1954" t="str">
        <f t="shared" si="802"/>
        <v>Accepted</v>
      </c>
      <c r="S1954" t="str">
        <f t="shared" si="803"/>
        <v>Approved</v>
      </c>
      <c r="T1954" t="str">
        <f t="shared" si="804"/>
        <v>10.20.8.188</v>
      </c>
      <c r="U1954" t="str">
        <f t="shared" si="805"/>
        <v>AZRAD UMAR BIN SHAARI</v>
      </c>
      <c r="V1954" t="str">
        <f t="shared" si="806"/>
        <v>FARHANA BINTI MUSTAPA</v>
      </c>
      <c r="W1954" t="str">
        <f t="shared" si="807"/>
        <v>04-08-2020</v>
      </c>
      <c r="X1954" t="str">
        <f t="shared" si="808"/>
        <v>RAZIMAH ANSAR AHMAD</v>
      </c>
      <c r="Y1954" t="str">
        <f t="shared" si="809"/>
        <v>04-08-2020</v>
      </c>
      <c r="Z1954" t="str">
        <f>"COS10200804 7200"</f>
        <v>COS10200804 7200</v>
      </c>
    </row>
    <row r="1955" spans="1:26" x14ac:dyDescent="0.25">
      <c r="A1955" t="str">
        <f t="shared" si="816"/>
        <v>04-08-2020 01:05:33</v>
      </c>
      <c r="B1955" t="str">
        <f>"0000808997"</f>
        <v>0000808997</v>
      </c>
      <c r="C1955" t="str">
        <f t="shared" si="817"/>
        <v>0000808798</v>
      </c>
      <c r="D1955" t="str">
        <f t="shared" si="795"/>
        <v>73185</v>
      </c>
      <c r="E1955" t="str">
        <f t="shared" si="796"/>
        <v>KFH-OPERATIONS DEPARTMENT</v>
      </c>
      <c r="F1955" t="str">
        <f t="shared" si="797"/>
        <v>IBG</v>
      </c>
      <c r="G1955" t="str">
        <f t="shared" si="810"/>
        <v>Refund COSHARE 10</v>
      </c>
      <c r="H1955" s="2">
        <v>167.9</v>
      </c>
      <c r="I1955" t="str">
        <f>"SAADIAH BINTI ALI"</f>
        <v>SAADIAH BINTI ALI</v>
      </c>
      <c r="J1955" t="str">
        <f t="shared" si="811"/>
        <v>MAYBANK / MAYBANK ISLAMIC</v>
      </c>
      <c r="K1955" t="str">
        <f>"160027282623"</f>
        <v>160027282623</v>
      </c>
      <c r="L1955" t="str">
        <f t="shared" si="814"/>
        <v>04-08-2020</v>
      </c>
      <c r="M1955" t="str">
        <f t="shared" si="814"/>
        <v>04-08-2020</v>
      </c>
      <c r="N1955" t="str">
        <f t="shared" si="799"/>
        <v>001105018356</v>
      </c>
      <c r="O1955" t="str">
        <f t="shared" si="800"/>
        <v>MYR</v>
      </c>
      <c r="P1955" t="str">
        <f t="shared" si="815"/>
        <v>NIL</v>
      </c>
      <c r="Q1955" t="str">
        <f t="shared" si="815"/>
        <v>NIL</v>
      </c>
      <c r="R1955" t="str">
        <f t="shared" si="802"/>
        <v>Accepted</v>
      </c>
      <c r="S1955" t="str">
        <f t="shared" si="803"/>
        <v>Approved</v>
      </c>
      <c r="T1955" t="str">
        <f t="shared" si="804"/>
        <v>10.20.8.188</v>
      </c>
      <c r="U1955" t="str">
        <f t="shared" si="805"/>
        <v>AZRAD UMAR BIN SHAARI</v>
      </c>
      <c r="V1955" t="str">
        <f t="shared" si="806"/>
        <v>FARHANA BINTI MUSTAPA</v>
      </c>
      <c r="W1955" t="str">
        <f t="shared" si="807"/>
        <v>04-08-2020</v>
      </c>
      <c r="X1955" t="str">
        <f t="shared" si="808"/>
        <v>RAZIMAH ANSAR AHMAD</v>
      </c>
      <c r="Y1955" t="str">
        <f t="shared" si="809"/>
        <v>04-08-2020</v>
      </c>
      <c r="Z1955" t="str">
        <f>"COS10200804 7199"</f>
        <v>COS10200804 7199</v>
      </c>
    </row>
    <row r="1956" spans="1:26" x14ac:dyDescent="0.25">
      <c r="A1956" t="str">
        <f t="shared" si="816"/>
        <v>04-08-2020 01:05:33</v>
      </c>
      <c r="B1956" t="str">
        <f>"0000808996"</f>
        <v>0000808996</v>
      </c>
      <c r="C1956" t="str">
        <f t="shared" si="817"/>
        <v>0000808798</v>
      </c>
      <c r="D1956" t="str">
        <f t="shared" si="795"/>
        <v>73185</v>
      </c>
      <c r="E1956" t="str">
        <f t="shared" si="796"/>
        <v>KFH-OPERATIONS DEPARTMENT</v>
      </c>
      <c r="F1956" t="str">
        <f t="shared" si="797"/>
        <v>IBG</v>
      </c>
      <c r="G1956" t="str">
        <f t="shared" si="810"/>
        <v>Refund COSHARE 10</v>
      </c>
      <c r="H1956" s="2">
        <v>189.3</v>
      </c>
      <c r="I1956" t="str">
        <f>"SA ODAH BINTI CHE NGAH"</f>
        <v>SA ODAH BINTI CHE NGAH</v>
      </c>
      <c r="J1956" t="str">
        <f t="shared" si="811"/>
        <v>MAYBANK / MAYBANK ISLAMIC</v>
      </c>
      <c r="K1956" t="str">
        <f>"114178682442"</f>
        <v>114178682442</v>
      </c>
      <c r="L1956" t="str">
        <f t="shared" si="814"/>
        <v>04-08-2020</v>
      </c>
      <c r="M1956" t="str">
        <f t="shared" si="814"/>
        <v>04-08-2020</v>
      </c>
      <c r="N1956" t="str">
        <f t="shared" si="799"/>
        <v>001105018356</v>
      </c>
      <c r="O1956" t="str">
        <f t="shared" si="800"/>
        <v>MYR</v>
      </c>
      <c r="P1956" t="str">
        <f t="shared" si="815"/>
        <v>NIL</v>
      </c>
      <c r="Q1956" t="str">
        <f t="shared" si="815"/>
        <v>NIL</v>
      </c>
      <c r="R1956" t="str">
        <f t="shared" si="802"/>
        <v>Accepted</v>
      </c>
      <c r="S1956" t="str">
        <f t="shared" si="803"/>
        <v>Approved</v>
      </c>
      <c r="T1956" t="str">
        <f t="shared" si="804"/>
        <v>10.20.8.188</v>
      </c>
      <c r="U1956" t="str">
        <f t="shared" si="805"/>
        <v>AZRAD UMAR BIN SHAARI</v>
      </c>
      <c r="V1956" t="str">
        <f t="shared" si="806"/>
        <v>FARHANA BINTI MUSTAPA</v>
      </c>
      <c r="W1956" t="str">
        <f t="shared" si="807"/>
        <v>04-08-2020</v>
      </c>
      <c r="X1956" t="str">
        <f t="shared" si="808"/>
        <v>RAZIMAH ANSAR AHMAD</v>
      </c>
      <c r="Y1956" t="str">
        <f t="shared" si="809"/>
        <v>04-08-2020</v>
      </c>
      <c r="Z1956" t="str">
        <f>"COS10200804 7198"</f>
        <v>COS10200804 7198</v>
      </c>
    </row>
    <row r="1957" spans="1:26" x14ac:dyDescent="0.25">
      <c r="A1957" t="str">
        <f t="shared" si="816"/>
        <v>04-08-2020 01:05:33</v>
      </c>
      <c r="B1957" t="str">
        <f>"0000808995"</f>
        <v>0000808995</v>
      </c>
      <c r="C1957" t="str">
        <f t="shared" si="817"/>
        <v>0000808798</v>
      </c>
      <c r="D1957" t="str">
        <f t="shared" si="795"/>
        <v>73185</v>
      </c>
      <c r="E1957" t="str">
        <f t="shared" si="796"/>
        <v>KFH-OPERATIONS DEPARTMENT</v>
      </c>
      <c r="F1957" t="str">
        <f t="shared" si="797"/>
        <v>IBG</v>
      </c>
      <c r="G1957" t="str">
        <f t="shared" si="810"/>
        <v>Refund COSHARE 10</v>
      </c>
      <c r="H1957" s="2">
        <v>241.4</v>
      </c>
      <c r="I1957" t="str">
        <f>"S MANOGARAN AL SUBRAMANIAM"</f>
        <v>S MANOGARAN AL SUBRAMANIAM</v>
      </c>
      <c r="J1957" t="str">
        <f t="shared" si="811"/>
        <v>MAYBANK / MAYBANK ISLAMIC</v>
      </c>
      <c r="K1957" t="str">
        <f>"108011855734"</f>
        <v>108011855734</v>
      </c>
      <c r="L1957" t="str">
        <f t="shared" si="814"/>
        <v>04-08-2020</v>
      </c>
      <c r="M1957" t="str">
        <f t="shared" si="814"/>
        <v>04-08-2020</v>
      </c>
      <c r="N1957" t="str">
        <f t="shared" si="799"/>
        <v>001105018356</v>
      </c>
      <c r="O1957" t="str">
        <f t="shared" si="800"/>
        <v>MYR</v>
      </c>
      <c r="P1957" t="str">
        <f t="shared" si="815"/>
        <v>NIL</v>
      </c>
      <c r="Q1957" t="str">
        <f t="shared" si="815"/>
        <v>NIL</v>
      </c>
      <c r="R1957" t="str">
        <f t="shared" si="802"/>
        <v>Accepted</v>
      </c>
      <c r="S1957" t="str">
        <f t="shared" si="803"/>
        <v>Approved</v>
      </c>
      <c r="T1957" t="str">
        <f t="shared" si="804"/>
        <v>10.20.8.188</v>
      </c>
      <c r="U1957" t="str">
        <f t="shared" si="805"/>
        <v>AZRAD UMAR BIN SHAARI</v>
      </c>
      <c r="V1957" t="str">
        <f t="shared" si="806"/>
        <v>FARHANA BINTI MUSTAPA</v>
      </c>
      <c r="W1957" t="str">
        <f t="shared" si="807"/>
        <v>04-08-2020</v>
      </c>
      <c r="X1957" t="str">
        <f t="shared" si="808"/>
        <v>RAZIMAH ANSAR AHMAD</v>
      </c>
      <c r="Y1957" t="str">
        <f t="shared" si="809"/>
        <v>04-08-2020</v>
      </c>
      <c r="Z1957" t="str">
        <f>"COS10200804 7197"</f>
        <v>COS10200804 7197</v>
      </c>
    </row>
    <row r="1958" spans="1:26" x14ac:dyDescent="0.25">
      <c r="A1958" t="str">
        <f t="shared" si="816"/>
        <v>04-08-2020 01:05:33</v>
      </c>
      <c r="B1958" t="str">
        <f>"0000808994"</f>
        <v>0000808994</v>
      </c>
      <c r="C1958" t="str">
        <f t="shared" si="817"/>
        <v>0000808798</v>
      </c>
      <c r="D1958" t="str">
        <f t="shared" si="795"/>
        <v>73185</v>
      </c>
      <c r="E1958" t="str">
        <f t="shared" si="796"/>
        <v>KFH-OPERATIONS DEPARTMENT</v>
      </c>
      <c r="F1958" t="str">
        <f t="shared" si="797"/>
        <v>IBG</v>
      </c>
      <c r="G1958" t="str">
        <f t="shared" si="810"/>
        <v>Refund COSHARE 10</v>
      </c>
      <c r="H1958" s="2">
        <v>27.35</v>
      </c>
      <c r="I1958" t="str">
        <f>"S OSMAN BIN ABU BAKAR"</f>
        <v>S OSMAN BIN ABU BAKAR</v>
      </c>
      <c r="J1958" t="str">
        <f t="shared" si="811"/>
        <v>MAYBANK / MAYBANK ISLAMIC</v>
      </c>
      <c r="K1958" t="str">
        <f>"101039184538"</f>
        <v>101039184538</v>
      </c>
      <c r="L1958" t="str">
        <f t="shared" si="814"/>
        <v>04-08-2020</v>
      </c>
      <c r="M1958" t="str">
        <f t="shared" si="814"/>
        <v>04-08-2020</v>
      </c>
      <c r="N1958" t="str">
        <f t="shared" si="799"/>
        <v>001105018356</v>
      </c>
      <c r="O1958" t="str">
        <f t="shared" si="800"/>
        <v>MYR</v>
      </c>
      <c r="P1958" t="str">
        <f t="shared" si="815"/>
        <v>NIL</v>
      </c>
      <c r="Q1958" t="str">
        <f t="shared" si="815"/>
        <v>NIL</v>
      </c>
      <c r="R1958" t="str">
        <f t="shared" si="802"/>
        <v>Accepted</v>
      </c>
      <c r="S1958" t="str">
        <f t="shared" si="803"/>
        <v>Approved</v>
      </c>
      <c r="T1958" t="str">
        <f t="shared" si="804"/>
        <v>10.20.8.188</v>
      </c>
      <c r="U1958" t="str">
        <f t="shared" si="805"/>
        <v>AZRAD UMAR BIN SHAARI</v>
      </c>
      <c r="V1958" t="str">
        <f t="shared" si="806"/>
        <v>FARHANA BINTI MUSTAPA</v>
      </c>
      <c r="W1958" t="str">
        <f t="shared" si="807"/>
        <v>04-08-2020</v>
      </c>
      <c r="X1958" t="str">
        <f t="shared" si="808"/>
        <v>RAZIMAH ANSAR AHMAD</v>
      </c>
      <c r="Y1958" t="str">
        <f t="shared" si="809"/>
        <v>04-08-2020</v>
      </c>
      <c r="Z1958" t="str">
        <f>"COS10200804 7196"</f>
        <v>COS10200804 7196</v>
      </c>
    </row>
    <row r="1959" spans="1:26" x14ac:dyDescent="0.25">
      <c r="A1959" t="str">
        <f t="shared" si="816"/>
        <v>04-08-2020 01:05:33</v>
      </c>
      <c r="B1959" t="str">
        <f>"0000808993"</f>
        <v>0000808993</v>
      </c>
      <c r="C1959" t="str">
        <f t="shared" si="817"/>
        <v>0000808798</v>
      </c>
      <c r="D1959" t="str">
        <f t="shared" si="795"/>
        <v>73185</v>
      </c>
      <c r="E1959" t="str">
        <f t="shared" si="796"/>
        <v>KFH-OPERATIONS DEPARTMENT</v>
      </c>
      <c r="F1959" t="str">
        <f t="shared" si="797"/>
        <v>IBG</v>
      </c>
      <c r="G1959" t="str">
        <f t="shared" si="810"/>
        <v>Refund COSHARE 10</v>
      </c>
      <c r="H1959" s="2">
        <v>973.85</v>
      </c>
      <c r="I1959" t="str">
        <f>"S MAZLAN BIN SUFAR"</f>
        <v>S MAZLAN BIN SUFAR</v>
      </c>
      <c r="J1959" t="str">
        <f t="shared" si="811"/>
        <v>MAYBANK / MAYBANK ISLAMIC</v>
      </c>
      <c r="K1959" t="str">
        <f>"151016215168"</f>
        <v>151016215168</v>
      </c>
      <c r="L1959" t="str">
        <f t="shared" si="814"/>
        <v>04-08-2020</v>
      </c>
      <c r="M1959" t="str">
        <f t="shared" si="814"/>
        <v>04-08-2020</v>
      </c>
      <c r="N1959" t="str">
        <f t="shared" si="799"/>
        <v>001105018356</v>
      </c>
      <c r="O1959" t="str">
        <f t="shared" si="800"/>
        <v>MYR</v>
      </c>
      <c r="P1959" t="str">
        <f t="shared" si="815"/>
        <v>NIL</v>
      </c>
      <c r="Q1959" t="str">
        <f t="shared" si="815"/>
        <v>NIL</v>
      </c>
      <c r="R1959" t="str">
        <f t="shared" si="802"/>
        <v>Accepted</v>
      </c>
      <c r="S1959" t="str">
        <f t="shared" si="803"/>
        <v>Approved</v>
      </c>
      <c r="T1959" t="str">
        <f t="shared" si="804"/>
        <v>10.20.8.188</v>
      </c>
      <c r="U1959" t="str">
        <f t="shared" si="805"/>
        <v>AZRAD UMAR BIN SHAARI</v>
      </c>
      <c r="V1959" t="str">
        <f t="shared" si="806"/>
        <v>FARHANA BINTI MUSTAPA</v>
      </c>
      <c r="W1959" t="str">
        <f t="shared" si="807"/>
        <v>04-08-2020</v>
      </c>
      <c r="X1959" t="str">
        <f t="shared" si="808"/>
        <v>RAZIMAH ANSAR AHMAD</v>
      </c>
      <c r="Y1959" t="str">
        <f t="shared" si="809"/>
        <v>04-08-2020</v>
      </c>
      <c r="Z1959" t="str">
        <f>"COS10200804 7195"</f>
        <v>COS10200804 7195</v>
      </c>
    </row>
    <row r="1960" spans="1:26" x14ac:dyDescent="0.25">
      <c r="A1960" t="str">
        <f t="shared" si="816"/>
        <v>04-08-2020 01:05:33</v>
      </c>
      <c r="B1960" t="str">
        <f>"0000808992"</f>
        <v>0000808992</v>
      </c>
      <c r="C1960" t="str">
        <f t="shared" si="817"/>
        <v>0000808798</v>
      </c>
      <c r="D1960" t="str">
        <f t="shared" si="795"/>
        <v>73185</v>
      </c>
      <c r="E1960" t="str">
        <f t="shared" si="796"/>
        <v>KFH-OPERATIONS DEPARTMENT</v>
      </c>
      <c r="F1960" t="str">
        <f t="shared" si="797"/>
        <v>IBG</v>
      </c>
      <c r="G1960" t="str">
        <f t="shared" si="810"/>
        <v>Refund COSHARE 10</v>
      </c>
      <c r="H1960" s="2">
        <v>1091.3499999999999</v>
      </c>
      <c r="I1960" t="str">
        <f>"S ALEH BIN OSMAN"</f>
        <v>S ALEH BIN OSMAN</v>
      </c>
      <c r="J1960" t="str">
        <f t="shared" si="811"/>
        <v>MAYBANK / MAYBANK ISLAMIC</v>
      </c>
      <c r="K1960" t="str">
        <f>"158097644619"</f>
        <v>158097644619</v>
      </c>
      <c r="L1960" t="str">
        <f t="shared" si="814"/>
        <v>04-08-2020</v>
      </c>
      <c r="M1960" t="str">
        <f t="shared" si="814"/>
        <v>04-08-2020</v>
      </c>
      <c r="N1960" t="str">
        <f t="shared" si="799"/>
        <v>001105018356</v>
      </c>
      <c r="O1960" t="str">
        <f t="shared" si="800"/>
        <v>MYR</v>
      </c>
      <c r="P1960" t="str">
        <f t="shared" si="815"/>
        <v>NIL</v>
      </c>
      <c r="Q1960" t="str">
        <f t="shared" si="815"/>
        <v>NIL</v>
      </c>
      <c r="R1960" t="str">
        <f t="shared" si="802"/>
        <v>Accepted</v>
      </c>
      <c r="S1960" t="str">
        <f t="shared" si="803"/>
        <v>Approved</v>
      </c>
      <c r="T1960" t="str">
        <f t="shared" si="804"/>
        <v>10.20.8.188</v>
      </c>
      <c r="U1960" t="str">
        <f t="shared" si="805"/>
        <v>AZRAD UMAR BIN SHAARI</v>
      </c>
      <c r="V1960" t="str">
        <f t="shared" si="806"/>
        <v>FARHANA BINTI MUSTAPA</v>
      </c>
      <c r="W1960" t="str">
        <f t="shared" si="807"/>
        <v>04-08-2020</v>
      </c>
      <c r="X1960" t="str">
        <f t="shared" si="808"/>
        <v>RAZIMAH ANSAR AHMAD</v>
      </c>
      <c r="Y1960" t="str">
        <f t="shared" si="809"/>
        <v>04-08-2020</v>
      </c>
      <c r="Z1960" t="str">
        <f>"COS10200804 7194"</f>
        <v>COS10200804 7194</v>
      </c>
    </row>
    <row r="1961" spans="1:26" x14ac:dyDescent="0.25">
      <c r="A1961" t="str">
        <f t="shared" si="816"/>
        <v>04-08-2020 01:05:33</v>
      </c>
      <c r="B1961" t="str">
        <f>"0000808991"</f>
        <v>0000808991</v>
      </c>
      <c r="C1961" t="str">
        <f t="shared" si="817"/>
        <v>0000808798</v>
      </c>
      <c r="D1961" t="str">
        <f t="shared" si="795"/>
        <v>73185</v>
      </c>
      <c r="E1961" t="str">
        <f t="shared" si="796"/>
        <v>KFH-OPERATIONS DEPARTMENT</v>
      </c>
      <c r="F1961" t="str">
        <f t="shared" si="797"/>
        <v>IBG</v>
      </c>
      <c r="G1961" t="str">
        <f t="shared" si="810"/>
        <v>Refund COSHARE 10</v>
      </c>
      <c r="H1961" s="2">
        <v>42</v>
      </c>
      <c r="I1961" t="str">
        <f>"RUZMAN BIN CHE HUSSAIN"</f>
        <v>RUZMAN BIN CHE HUSSAIN</v>
      </c>
      <c r="J1961" t="str">
        <f t="shared" si="811"/>
        <v>MAYBANK / MAYBANK ISLAMIC</v>
      </c>
      <c r="K1961" t="str">
        <f>"162272537361"</f>
        <v>162272537361</v>
      </c>
      <c r="L1961" t="str">
        <f t="shared" si="814"/>
        <v>04-08-2020</v>
      </c>
      <c r="M1961" t="str">
        <f t="shared" si="814"/>
        <v>04-08-2020</v>
      </c>
      <c r="N1961" t="str">
        <f t="shared" si="799"/>
        <v>001105018356</v>
      </c>
      <c r="O1961" t="str">
        <f t="shared" si="800"/>
        <v>MYR</v>
      </c>
      <c r="P1961" t="str">
        <f t="shared" si="815"/>
        <v>NIL</v>
      </c>
      <c r="Q1961" t="str">
        <f t="shared" si="815"/>
        <v>NIL</v>
      </c>
      <c r="R1961" t="str">
        <f t="shared" si="802"/>
        <v>Accepted</v>
      </c>
      <c r="S1961" t="str">
        <f t="shared" si="803"/>
        <v>Approved</v>
      </c>
      <c r="T1961" t="str">
        <f t="shared" si="804"/>
        <v>10.20.8.188</v>
      </c>
      <c r="U1961" t="str">
        <f t="shared" si="805"/>
        <v>AZRAD UMAR BIN SHAARI</v>
      </c>
      <c r="V1961" t="str">
        <f t="shared" si="806"/>
        <v>FARHANA BINTI MUSTAPA</v>
      </c>
      <c r="W1961" t="str">
        <f t="shared" si="807"/>
        <v>04-08-2020</v>
      </c>
      <c r="X1961" t="str">
        <f t="shared" si="808"/>
        <v>RAZIMAH ANSAR AHMAD</v>
      </c>
      <c r="Y1961" t="str">
        <f t="shared" si="809"/>
        <v>04-08-2020</v>
      </c>
      <c r="Z1961" t="str">
        <f>"COS10200804 7193"</f>
        <v>COS10200804 7193</v>
      </c>
    </row>
    <row r="1962" spans="1:26" x14ac:dyDescent="0.25">
      <c r="A1962" t="str">
        <f t="shared" si="816"/>
        <v>04-08-2020 01:05:33</v>
      </c>
      <c r="B1962" t="str">
        <f>"0000808990"</f>
        <v>0000808990</v>
      </c>
      <c r="C1962" t="str">
        <f t="shared" si="817"/>
        <v>0000808798</v>
      </c>
      <c r="D1962" t="str">
        <f t="shared" si="795"/>
        <v>73185</v>
      </c>
      <c r="E1962" t="str">
        <f t="shared" si="796"/>
        <v>KFH-OPERATIONS DEPARTMENT</v>
      </c>
      <c r="F1962" t="str">
        <f t="shared" si="797"/>
        <v>IBG</v>
      </c>
      <c r="G1962" t="str">
        <f t="shared" si="810"/>
        <v>Refund COSHARE 10</v>
      </c>
      <c r="H1962" s="2">
        <v>75.599999999999994</v>
      </c>
      <c r="I1962" t="str">
        <f>"RUZITA BINTI BISTAMAM"</f>
        <v>RUZITA BINTI BISTAMAM</v>
      </c>
      <c r="J1962" t="str">
        <f t="shared" si="811"/>
        <v>MAYBANK / MAYBANK ISLAMIC</v>
      </c>
      <c r="K1962" t="str">
        <f>"162076550595"</f>
        <v>162076550595</v>
      </c>
      <c r="L1962" t="str">
        <f t="shared" si="814"/>
        <v>04-08-2020</v>
      </c>
      <c r="M1962" t="str">
        <f t="shared" si="814"/>
        <v>04-08-2020</v>
      </c>
      <c r="N1962" t="str">
        <f t="shared" si="799"/>
        <v>001105018356</v>
      </c>
      <c r="O1962" t="str">
        <f t="shared" si="800"/>
        <v>MYR</v>
      </c>
      <c r="P1962" t="str">
        <f t="shared" si="815"/>
        <v>NIL</v>
      </c>
      <c r="Q1962" t="str">
        <f t="shared" si="815"/>
        <v>NIL</v>
      </c>
      <c r="R1962" t="str">
        <f t="shared" si="802"/>
        <v>Accepted</v>
      </c>
      <c r="S1962" t="str">
        <f t="shared" si="803"/>
        <v>Approved</v>
      </c>
      <c r="T1962" t="str">
        <f t="shared" si="804"/>
        <v>10.20.8.188</v>
      </c>
      <c r="U1962" t="str">
        <f t="shared" si="805"/>
        <v>AZRAD UMAR BIN SHAARI</v>
      </c>
      <c r="V1962" t="str">
        <f t="shared" si="806"/>
        <v>FARHANA BINTI MUSTAPA</v>
      </c>
      <c r="W1962" t="str">
        <f t="shared" si="807"/>
        <v>04-08-2020</v>
      </c>
      <c r="X1962" t="str">
        <f t="shared" si="808"/>
        <v>RAZIMAH ANSAR AHMAD</v>
      </c>
      <c r="Y1962" t="str">
        <f t="shared" si="809"/>
        <v>04-08-2020</v>
      </c>
      <c r="Z1962" t="str">
        <f>"COS10200804 7192"</f>
        <v>COS10200804 7192</v>
      </c>
    </row>
    <row r="1963" spans="1:26" x14ac:dyDescent="0.25">
      <c r="A1963" t="str">
        <f t="shared" si="816"/>
        <v>04-08-2020 01:05:33</v>
      </c>
      <c r="B1963" t="str">
        <f>"0000808989"</f>
        <v>0000808989</v>
      </c>
      <c r="C1963" t="str">
        <f t="shared" si="817"/>
        <v>0000808798</v>
      </c>
      <c r="D1963" t="str">
        <f t="shared" si="795"/>
        <v>73185</v>
      </c>
      <c r="E1963" t="str">
        <f t="shared" si="796"/>
        <v>KFH-OPERATIONS DEPARTMENT</v>
      </c>
      <c r="F1963" t="str">
        <f t="shared" si="797"/>
        <v>IBG</v>
      </c>
      <c r="G1963" t="str">
        <f t="shared" si="810"/>
        <v>Refund COSHARE 10</v>
      </c>
      <c r="H1963" s="2">
        <v>587.65</v>
      </c>
      <c r="I1963" t="str">
        <f>"RUZI BINTI TUMIN"</f>
        <v>RUZI BINTI TUMIN</v>
      </c>
      <c r="J1963" t="str">
        <f t="shared" si="811"/>
        <v>MAYBANK / MAYBANK ISLAMIC</v>
      </c>
      <c r="K1963" t="str">
        <f>"155078335996"</f>
        <v>155078335996</v>
      </c>
      <c r="L1963" t="str">
        <f t="shared" si="814"/>
        <v>04-08-2020</v>
      </c>
      <c r="M1963" t="str">
        <f t="shared" si="814"/>
        <v>04-08-2020</v>
      </c>
      <c r="N1963" t="str">
        <f t="shared" si="799"/>
        <v>001105018356</v>
      </c>
      <c r="O1963" t="str">
        <f t="shared" si="800"/>
        <v>MYR</v>
      </c>
      <c r="P1963" t="str">
        <f t="shared" si="815"/>
        <v>NIL</v>
      </c>
      <c r="Q1963" t="str">
        <f t="shared" si="815"/>
        <v>NIL</v>
      </c>
      <c r="R1963" t="str">
        <f t="shared" si="802"/>
        <v>Accepted</v>
      </c>
      <c r="S1963" t="str">
        <f t="shared" si="803"/>
        <v>Approved</v>
      </c>
      <c r="T1963" t="str">
        <f t="shared" si="804"/>
        <v>10.20.8.188</v>
      </c>
      <c r="U1963" t="str">
        <f t="shared" si="805"/>
        <v>AZRAD UMAR BIN SHAARI</v>
      </c>
      <c r="V1963" t="str">
        <f t="shared" si="806"/>
        <v>FARHANA BINTI MUSTAPA</v>
      </c>
      <c r="W1963" t="str">
        <f t="shared" si="807"/>
        <v>04-08-2020</v>
      </c>
      <c r="X1963" t="str">
        <f t="shared" si="808"/>
        <v>RAZIMAH ANSAR AHMAD</v>
      </c>
      <c r="Y1963" t="str">
        <f t="shared" si="809"/>
        <v>04-08-2020</v>
      </c>
      <c r="Z1963" t="str">
        <f>"COS10200804 7191"</f>
        <v>COS10200804 7191</v>
      </c>
    </row>
    <row r="1964" spans="1:26" x14ac:dyDescent="0.25">
      <c r="A1964" t="str">
        <f t="shared" si="816"/>
        <v>04-08-2020 01:05:33</v>
      </c>
      <c r="B1964" t="str">
        <f>"0000808988"</f>
        <v>0000808988</v>
      </c>
      <c r="C1964" t="str">
        <f t="shared" si="817"/>
        <v>0000808798</v>
      </c>
      <c r="D1964" t="str">
        <f t="shared" si="795"/>
        <v>73185</v>
      </c>
      <c r="E1964" t="str">
        <f t="shared" si="796"/>
        <v>KFH-OPERATIONS DEPARTMENT</v>
      </c>
      <c r="F1964" t="str">
        <f t="shared" si="797"/>
        <v>IBG</v>
      </c>
      <c r="G1964" t="str">
        <f t="shared" si="810"/>
        <v>Refund COSHARE 10</v>
      </c>
      <c r="H1964" s="2">
        <v>456</v>
      </c>
      <c r="I1964" t="str">
        <f>"RUZANA ASMA BINTI RAMLI"</f>
        <v>RUZANA ASMA BINTI RAMLI</v>
      </c>
      <c r="J1964" t="str">
        <f t="shared" si="811"/>
        <v>MAYBANK / MAYBANK ISLAMIC</v>
      </c>
      <c r="K1964" t="str">
        <f>"156141261581"</f>
        <v>156141261581</v>
      </c>
      <c r="L1964" t="str">
        <f t="shared" si="814"/>
        <v>04-08-2020</v>
      </c>
      <c r="M1964" t="str">
        <f t="shared" si="814"/>
        <v>04-08-2020</v>
      </c>
      <c r="N1964" t="str">
        <f t="shared" si="799"/>
        <v>001105018356</v>
      </c>
      <c r="O1964" t="str">
        <f t="shared" si="800"/>
        <v>MYR</v>
      </c>
      <c r="P1964" t="str">
        <f t="shared" si="815"/>
        <v>NIL</v>
      </c>
      <c r="Q1964" t="str">
        <f t="shared" si="815"/>
        <v>NIL</v>
      </c>
      <c r="R1964" t="str">
        <f t="shared" si="802"/>
        <v>Accepted</v>
      </c>
      <c r="S1964" t="str">
        <f t="shared" si="803"/>
        <v>Approved</v>
      </c>
      <c r="T1964" t="str">
        <f t="shared" si="804"/>
        <v>10.20.8.188</v>
      </c>
      <c r="U1964" t="str">
        <f t="shared" si="805"/>
        <v>AZRAD UMAR BIN SHAARI</v>
      </c>
      <c r="V1964" t="str">
        <f t="shared" si="806"/>
        <v>FARHANA BINTI MUSTAPA</v>
      </c>
      <c r="W1964" t="str">
        <f t="shared" si="807"/>
        <v>04-08-2020</v>
      </c>
      <c r="X1964" t="str">
        <f t="shared" si="808"/>
        <v>RAZIMAH ANSAR AHMAD</v>
      </c>
      <c r="Y1964" t="str">
        <f t="shared" si="809"/>
        <v>04-08-2020</v>
      </c>
      <c r="Z1964" t="str">
        <f>"COS10200804 7190"</f>
        <v>COS10200804 7190</v>
      </c>
    </row>
    <row r="1965" spans="1:26" x14ac:dyDescent="0.25">
      <c r="A1965" t="str">
        <f t="shared" si="816"/>
        <v>04-08-2020 01:05:33</v>
      </c>
      <c r="B1965" t="str">
        <f>"0000808987"</f>
        <v>0000808987</v>
      </c>
      <c r="C1965" t="str">
        <f t="shared" si="817"/>
        <v>0000808798</v>
      </c>
      <c r="D1965" t="str">
        <f t="shared" si="795"/>
        <v>73185</v>
      </c>
      <c r="E1965" t="str">
        <f t="shared" si="796"/>
        <v>KFH-OPERATIONS DEPARTMENT</v>
      </c>
      <c r="F1965" t="str">
        <f t="shared" si="797"/>
        <v>IBG</v>
      </c>
      <c r="G1965" t="str">
        <f t="shared" si="810"/>
        <v>Refund COSHARE 10</v>
      </c>
      <c r="H1965" s="2">
        <v>503.7</v>
      </c>
      <c r="I1965" t="str">
        <f>"RUZAIYANAH BINTI MOHD ZAIDI JAIR BANDAN"</f>
        <v>RUZAIYANAH BINTI MOHD ZAIDI JAIR BANDAN</v>
      </c>
      <c r="J1965" t="str">
        <f t="shared" si="811"/>
        <v>MAYBANK / MAYBANK ISLAMIC</v>
      </c>
      <c r="K1965" t="str">
        <f>"160036922159"</f>
        <v>160036922159</v>
      </c>
      <c r="L1965" t="str">
        <f t="shared" si="814"/>
        <v>04-08-2020</v>
      </c>
      <c r="M1965" t="str">
        <f t="shared" si="814"/>
        <v>04-08-2020</v>
      </c>
      <c r="N1965" t="str">
        <f t="shared" si="799"/>
        <v>001105018356</v>
      </c>
      <c r="O1965" t="str">
        <f t="shared" si="800"/>
        <v>MYR</v>
      </c>
      <c r="P1965" t="str">
        <f t="shared" si="815"/>
        <v>NIL</v>
      </c>
      <c r="Q1965" t="str">
        <f t="shared" si="815"/>
        <v>NIL</v>
      </c>
      <c r="R1965" t="str">
        <f t="shared" si="802"/>
        <v>Accepted</v>
      </c>
      <c r="S1965" t="str">
        <f t="shared" si="803"/>
        <v>Approved</v>
      </c>
      <c r="T1965" t="str">
        <f t="shared" si="804"/>
        <v>10.20.8.188</v>
      </c>
      <c r="U1965" t="str">
        <f t="shared" si="805"/>
        <v>AZRAD UMAR BIN SHAARI</v>
      </c>
      <c r="V1965" t="str">
        <f t="shared" si="806"/>
        <v>FARHANA BINTI MUSTAPA</v>
      </c>
      <c r="W1965" t="str">
        <f t="shared" si="807"/>
        <v>04-08-2020</v>
      </c>
      <c r="X1965" t="str">
        <f t="shared" si="808"/>
        <v>RAZIMAH ANSAR AHMAD</v>
      </c>
      <c r="Y1965" t="str">
        <f t="shared" si="809"/>
        <v>04-08-2020</v>
      </c>
      <c r="Z1965" t="str">
        <f>"COS10200804 7189"</f>
        <v>COS10200804 7189</v>
      </c>
    </row>
    <row r="1966" spans="1:26" x14ac:dyDescent="0.25">
      <c r="A1966" t="str">
        <f t="shared" si="816"/>
        <v>04-08-2020 01:05:33</v>
      </c>
      <c r="B1966" t="str">
        <f>"0000808986"</f>
        <v>0000808986</v>
      </c>
      <c r="C1966" t="str">
        <f t="shared" si="817"/>
        <v>0000808798</v>
      </c>
      <c r="D1966" t="str">
        <f t="shared" si="795"/>
        <v>73185</v>
      </c>
      <c r="E1966" t="str">
        <f t="shared" si="796"/>
        <v>KFH-OPERATIONS DEPARTMENT</v>
      </c>
      <c r="F1966" t="str">
        <f t="shared" si="797"/>
        <v>IBG</v>
      </c>
      <c r="G1966" t="str">
        <f t="shared" si="810"/>
        <v>Refund COSHARE 10</v>
      </c>
      <c r="H1966" s="2">
        <v>314.35000000000002</v>
      </c>
      <c r="I1966" t="str">
        <f>"RUZAIMI BIN ABDULLAH"</f>
        <v>RUZAIMI BIN ABDULLAH</v>
      </c>
      <c r="J1966" t="str">
        <f t="shared" si="811"/>
        <v>MAYBANK / MAYBANK ISLAMIC</v>
      </c>
      <c r="K1966" t="str">
        <f>"151016952968"</f>
        <v>151016952968</v>
      </c>
      <c r="L1966" t="str">
        <f t="shared" si="814"/>
        <v>04-08-2020</v>
      </c>
      <c r="M1966" t="str">
        <f t="shared" si="814"/>
        <v>04-08-2020</v>
      </c>
      <c r="N1966" t="str">
        <f t="shared" si="799"/>
        <v>001105018356</v>
      </c>
      <c r="O1966" t="str">
        <f t="shared" si="800"/>
        <v>MYR</v>
      </c>
      <c r="P1966" t="str">
        <f t="shared" si="815"/>
        <v>NIL</v>
      </c>
      <c r="Q1966" t="str">
        <f t="shared" si="815"/>
        <v>NIL</v>
      </c>
      <c r="R1966" t="str">
        <f t="shared" si="802"/>
        <v>Accepted</v>
      </c>
      <c r="S1966" t="str">
        <f t="shared" si="803"/>
        <v>Approved</v>
      </c>
      <c r="T1966" t="str">
        <f t="shared" si="804"/>
        <v>10.20.8.188</v>
      </c>
      <c r="U1966" t="str">
        <f t="shared" si="805"/>
        <v>AZRAD UMAR BIN SHAARI</v>
      </c>
      <c r="V1966" t="str">
        <f t="shared" si="806"/>
        <v>FARHANA BINTI MUSTAPA</v>
      </c>
      <c r="W1966" t="str">
        <f t="shared" si="807"/>
        <v>04-08-2020</v>
      </c>
      <c r="X1966" t="str">
        <f t="shared" si="808"/>
        <v>RAZIMAH ANSAR AHMAD</v>
      </c>
      <c r="Y1966" t="str">
        <f t="shared" si="809"/>
        <v>04-08-2020</v>
      </c>
      <c r="Z1966" t="str">
        <f>"COS10200804 7188"</f>
        <v>COS10200804 7188</v>
      </c>
    </row>
    <row r="1967" spans="1:26" x14ac:dyDescent="0.25">
      <c r="A1967" t="str">
        <f t="shared" si="816"/>
        <v>04-08-2020 01:05:33</v>
      </c>
      <c r="B1967" t="str">
        <f>"0000808985"</f>
        <v>0000808985</v>
      </c>
      <c r="C1967" t="str">
        <f t="shared" si="817"/>
        <v>0000808798</v>
      </c>
      <c r="D1967" t="str">
        <f t="shared" si="795"/>
        <v>73185</v>
      </c>
      <c r="E1967" t="str">
        <f t="shared" si="796"/>
        <v>KFH-OPERATIONS DEPARTMENT</v>
      </c>
      <c r="F1967" t="str">
        <f t="shared" si="797"/>
        <v>IBG</v>
      </c>
      <c r="G1967" t="str">
        <f t="shared" si="810"/>
        <v>Refund COSHARE 10</v>
      </c>
      <c r="H1967" s="2">
        <v>587.65</v>
      </c>
      <c r="I1967" t="str">
        <f>"RUZAIMAH BINTI SORIADI"</f>
        <v>RUZAIMAH BINTI SORIADI</v>
      </c>
      <c r="J1967" t="str">
        <f t="shared" si="811"/>
        <v>MAYBANK / MAYBANK ISLAMIC</v>
      </c>
      <c r="K1967" t="str">
        <f>"162106436816"</f>
        <v>162106436816</v>
      </c>
      <c r="L1967" t="str">
        <f t="shared" ref="L1967:M1986" si="818">"04-08-2020"</f>
        <v>04-08-2020</v>
      </c>
      <c r="M1967" t="str">
        <f t="shared" si="818"/>
        <v>04-08-2020</v>
      </c>
      <c r="N1967" t="str">
        <f t="shared" si="799"/>
        <v>001105018356</v>
      </c>
      <c r="O1967" t="str">
        <f t="shared" si="800"/>
        <v>MYR</v>
      </c>
      <c r="P1967" t="str">
        <f t="shared" ref="P1967:Q1986" si="819">"NIL"</f>
        <v>NIL</v>
      </c>
      <c r="Q1967" t="str">
        <f t="shared" si="819"/>
        <v>NIL</v>
      </c>
      <c r="R1967" t="str">
        <f t="shared" si="802"/>
        <v>Accepted</v>
      </c>
      <c r="S1967" t="str">
        <f t="shared" si="803"/>
        <v>Approved</v>
      </c>
      <c r="T1967" t="str">
        <f t="shared" si="804"/>
        <v>10.20.8.188</v>
      </c>
      <c r="U1967" t="str">
        <f t="shared" si="805"/>
        <v>AZRAD UMAR BIN SHAARI</v>
      </c>
      <c r="V1967" t="str">
        <f t="shared" si="806"/>
        <v>FARHANA BINTI MUSTAPA</v>
      </c>
      <c r="W1967" t="str">
        <f t="shared" si="807"/>
        <v>04-08-2020</v>
      </c>
      <c r="X1967" t="str">
        <f t="shared" si="808"/>
        <v>RAZIMAH ANSAR AHMAD</v>
      </c>
      <c r="Y1967" t="str">
        <f t="shared" si="809"/>
        <v>04-08-2020</v>
      </c>
      <c r="Z1967" t="str">
        <f>"COS10200804 7187"</f>
        <v>COS10200804 7187</v>
      </c>
    </row>
    <row r="1968" spans="1:26" x14ac:dyDescent="0.25">
      <c r="A1968" t="str">
        <f t="shared" si="816"/>
        <v>04-08-2020 01:05:33</v>
      </c>
      <c r="B1968" t="str">
        <f>"0000808984"</f>
        <v>0000808984</v>
      </c>
      <c r="C1968" t="str">
        <f t="shared" si="817"/>
        <v>0000808798</v>
      </c>
      <c r="D1968" t="str">
        <f t="shared" si="795"/>
        <v>73185</v>
      </c>
      <c r="E1968" t="str">
        <f t="shared" si="796"/>
        <v>KFH-OPERATIONS DEPARTMENT</v>
      </c>
      <c r="F1968" t="str">
        <f t="shared" si="797"/>
        <v>IBG</v>
      </c>
      <c r="G1968" t="str">
        <f t="shared" si="810"/>
        <v>Refund COSHARE 10</v>
      </c>
      <c r="H1968" s="2">
        <v>114.35</v>
      </c>
      <c r="I1968" t="str">
        <f>"RUSULAN BIN RAHABAN"</f>
        <v>RUSULAN BIN RAHABAN</v>
      </c>
      <c r="J1968" t="str">
        <f t="shared" si="811"/>
        <v>MAYBANK / MAYBANK ISLAMIC</v>
      </c>
      <c r="K1968" t="str">
        <f>"110068069764"</f>
        <v>110068069764</v>
      </c>
      <c r="L1968" t="str">
        <f t="shared" si="818"/>
        <v>04-08-2020</v>
      </c>
      <c r="M1968" t="str">
        <f t="shared" si="818"/>
        <v>04-08-2020</v>
      </c>
      <c r="N1968" t="str">
        <f t="shared" si="799"/>
        <v>001105018356</v>
      </c>
      <c r="O1968" t="str">
        <f t="shared" si="800"/>
        <v>MYR</v>
      </c>
      <c r="P1968" t="str">
        <f t="shared" si="819"/>
        <v>NIL</v>
      </c>
      <c r="Q1968" t="str">
        <f t="shared" si="819"/>
        <v>NIL</v>
      </c>
      <c r="R1968" t="str">
        <f t="shared" si="802"/>
        <v>Accepted</v>
      </c>
      <c r="S1968" t="str">
        <f t="shared" si="803"/>
        <v>Approved</v>
      </c>
      <c r="T1968" t="str">
        <f t="shared" si="804"/>
        <v>10.20.8.188</v>
      </c>
      <c r="U1968" t="str">
        <f t="shared" si="805"/>
        <v>AZRAD UMAR BIN SHAARI</v>
      </c>
      <c r="V1968" t="str">
        <f t="shared" si="806"/>
        <v>FARHANA BINTI MUSTAPA</v>
      </c>
      <c r="W1968" t="str">
        <f t="shared" si="807"/>
        <v>04-08-2020</v>
      </c>
      <c r="X1968" t="str">
        <f t="shared" si="808"/>
        <v>RAZIMAH ANSAR AHMAD</v>
      </c>
      <c r="Y1968" t="str">
        <f t="shared" si="809"/>
        <v>04-08-2020</v>
      </c>
      <c r="Z1968" t="str">
        <f>"COS10200804 7186"</f>
        <v>COS10200804 7186</v>
      </c>
    </row>
    <row r="1969" spans="1:26" x14ac:dyDescent="0.25">
      <c r="A1969" t="str">
        <f t="shared" si="816"/>
        <v>04-08-2020 01:05:33</v>
      </c>
      <c r="B1969" t="str">
        <f>"0000808983"</f>
        <v>0000808983</v>
      </c>
      <c r="C1969" t="str">
        <f t="shared" si="817"/>
        <v>0000808798</v>
      </c>
      <c r="D1969" t="str">
        <f t="shared" si="795"/>
        <v>73185</v>
      </c>
      <c r="E1969" t="str">
        <f t="shared" si="796"/>
        <v>KFH-OPERATIONS DEPARTMENT</v>
      </c>
      <c r="F1969" t="str">
        <f t="shared" si="797"/>
        <v>IBG</v>
      </c>
      <c r="G1969" t="str">
        <f t="shared" si="810"/>
        <v>Refund COSHARE 10</v>
      </c>
      <c r="H1969" s="2">
        <v>239</v>
      </c>
      <c r="I1969" t="str">
        <f>"RUSSYAIDI BIN RUSSLEE"</f>
        <v>RUSSYAIDI BIN RUSSLEE</v>
      </c>
      <c r="J1969" t="str">
        <f t="shared" si="811"/>
        <v>MAYBANK / MAYBANK ISLAMIC</v>
      </c>
      <c r="K1969" t="str">
        <f>"162106546493"</f>
        <v>162106546493</v>
      </c>
      <c r="L1969" t="str">
        <f t="shared" si="818"/>
        <v>04-08-2020</v>
      </c>
      <c r="M1969" t="str">
        <f t="shared" si="818"/>
        <v>04-08-2020</v>
      </c>
      <c r="N1969" t="str">
        <f t="shared" si="799"/>
        <v>001105018356</v>
      </c>
      <c r="O1969" t="str">
        <f t="shared" si="800"/>
        <v>MYR</v>
      </c>
      <c r="P1969" t="str">
        <f t="shared" si="819"/>
        <v>NIL</v>
      </c>
      <c r="Q1969" t="str">
        <f t="shared" si="819"/>
        <v>NIL</v>
      </c>
      <c r="R1969" t="str">
        <f t="shared" si="802"/>
        <v>Accepted</v>
      </c>
      <c r="S1969" t="str">
        <f t="shared" si="803"/>
        <v>Approved</v>
      </c>
      <c r="T1969" t="str">
        <f t="shared" si="804"/>
        <v>10.20.8.188</v>
      </c>
      <c r="U1969" t="str">
        <f t="shared" si="805"/>
        <v>AZRAD UMAR BIN SHAARI</v>
      </c>
      <c r="V1969" t="str">
        <f t="shared" si="806"/>
        <v>FARHANA BINTI MUSTAPA</v>
      </c>
      <c r="W1969" t="str">
        <f t="shared" si="807"/>
        <v>04-08-2020</v>
      </c>
      <c r="X1969" t="str">
        <f t="shared" si="808"/>
        <v>RAZIMAH ANSAR AHMAD</v>
      </c>
      <c r="Y1969" t="str">
        <f t="shared" si="809"/>
        <v>04-08-2020</v>
      </c>
      <c r="Z1969" t="str">
        <f>"COS10200804 7185"</f>
        <v>COS10200804 7185</v>
      </c>
    </row>
    <row r="1970" spans="1:26" x14ac:dyDescent="0.25">
      <c r="A1970" t="str">
        <f t="shared" si="816"/>
        <v>04-08-2020 01:05:33</v>
      </c>
      <c r="B1970" t="str">
        <f>"0000808982"</f>
        <v>0000808982</v>
      </c>
      <c r="C1970" t="str">
        <f t="shared" si="817"/>
        <v>0000808798</v>
      </c>
      <c r="D1970" t="str">
        <f t="shared" si="795"/>
        <v>73185</v>
      </c>
      <c r="E1970" t="str">
        <f t="shared" si="796"/>
        <v>KFH-OPERATIONS DEPARTMENT</v>
      </c>
      <c r="F1970" t="str">
        <f t="shared" si="797"/>
        <v>IBG</v>
      </c>
      <c r="G1970" t="str">
        <f t="shared" si="810"/>
        <v>Refund COSHARE 10</v>
      </c>
      <c r="H1970" s="2">
        <v>125.95</v>
      </c>
      <c r="I1970" t="str">
        <f>"RUSSELL ANAK STETSON JUNNER"</f>
        <v>RUSSELL ANAK STETSON JUNNER</v>
      </c>
      <c r="J1970" t="str">
        <f t="shared" si="811"/>
        <v>MAYBANK / MAYBANK ISLAMIC</v>
      </c>
      <c r="K1970" t="str">
        <f>"110069027715"</f>
        <v>110069027715</v>
      </c>
      <c r="L1970" t="str">
        <f t="shared" si="818"/>
        <v>04-08-2020</v>
      </c>
      <c r="M1970" t="str">
        <f t="shared" si="818"/>
        <v>04-08-2020</v>
      </c>
      <c r="N1970" t="str">
        <f t="shared" si="799"/>
        <v>001105018356</v>
      </c>
      <c r="O1970" t="str">
        <f t="shared" si="800"/>
        <v>MYR</v>
      </c>
      <c r="P1970" t="str">
        <f t="shared" si="819"/>
        <v>NIL</v>
      </c>
      <c r="Q1970" t="str">
        <f t="shared" si="819"/>
        <v>NIL</v>
      </c>
      <c r="R1970" t="str">
        <f t="shared" si="802"/>
        <v>Accepted</v>
      </c>
      <c r="S1970" t="str">
        <f t="shared" si="803"/>
        <v>Approved</v>
      </c>
      <c r="T1970" t="str">
        <f t="shared" si="804"/>
        <v>10.20.8.188</v>
      </c>
      <c r="U1970" t="str">
        <f t="shared" si="805"/>
        <v>AZRAD UMAR BIN SHAARI</v>
      </c>
      <c r="V1970" t="str">
        <f t="shared" si="806"/>
        <v>FARHANA BINTI MUSTAPA</v>
      </c>
      <c r="W1970" t="str">
        <f t="shared" si="807"/>
        <v>04-08-2020</v>
      </c>
      <c r="X1970" t="str">
        <f t="shared" si="808"/>
        <v>RAZIMAH ANSAR AHMAD</v>
      </c>
      <c r="Y1970" t="str">
        <f t="shared" si="809"/>
        <v>04-08-2020</v>
      </c>
      <c r="Z1970" t="str">
        <f>"COS10200804 7184"</f>
        <v>COS10200804 7184</v>
      </c>
    </row>
    <row r="1971" spans="1:26" x14ac:dyDescent="0.25">
      <c r="A1971" t="str">
        <f t="shared" si="816"/>
        <v>04-08-2020 01:05:33</v>
      </c>
      <c r="B1971" t="str">
        <f>"0000808981"</f>
        <v>0000808981</v>
      </c>
      <c r="C1971" t="str">
        <f t="shared" si="817"/>
        <v>0000808798</v>
      </c>
      <c r="D1971" t="str">
        <f t="shared" si="795"/>
        <v>73185</v>
      </c>
      <c r="E1971" t="str">
        <f t="shared" si="796"/>
        <v>KFH-OPERATIONS DEPARTMENT</v>
      </c>
      <c r="F1971" t="str">
        <f t="shared" si="797"/>
        <v>IBG</v>
      </c>
      <c r="G1971" t="str">
        <f t="shared" si="810"/>
        <v>Refund COSHARE 10</v>
      </c>
      <c r="H1971" s="2">
        <v>285.45</v>
      </c>
      <c r="I1971" t="str">
        <f>"RUSNISHAM BINTI RUSLI"</f>
        <v>RUSNISHAM BINTI RUSLI</v>
      </c>
      <c r="J1971" t="str">
        <f t="shared" si="811"/>
        <v>MAYBANK / MAYBANK ISLAMIC</v>
      </c>
      <c r="K1971" t="str">
        <f>"114133075698"</f>
        <v>114133075698</v>
      </c>
      <c r="L1971" t="str">
        <f t="shared" si="818"/>
        <v>04-08-2020</v>
      </c>
      <c r="M1971" t="str">
        <f t="shared" si="818"/>
        <v>04-08-2020</v>
      </c>
      <c r="N1971" t="str">
        <f t="shared" si="799"/>
        <v>001105018356</v>
      </c>
      <c r="O1971" t="str">
        <f t="shared" si="800"/>
        <v>MYR</v>
      </c>
      <c r="P1971" t="str">
        <f t="shared" si="819"/>
        <v>NIL</v>
      </c>
      <c r="Q1971" t="str">
        <f t="shared" si="819"/>
        <v>NIL</v>
      </c>
      <c r="R1971" t="str">
        <f t="shared" si="802"/>
        <v>Accepted</v>
      </c>
      <c r="S1971" t="str">
        <f t="shared" si="803"/>
        <v>Approved</v>
      </c>
      <c r="T1971" t="str">
        <f t="shared" si="804"/>
        <v>10.20.8.188</v>
      </c>
      <c r="U1971" t="str">
        <f t="shared" si="805"/>
        <v>AZRAD UMAR BIN SHAARI</v>
      </c>
      <c r="V1971" t="str">
        <f t="shared" si="806"/>
        <v>FARHANA BINTI MUSTAPA</v>
      </c>
      <c r="W1971" t="str">
        <f t="shared" si="807"/>
        <v>04-08-2020</v>
      </c>
      <c r="X1971" t="str">
        <f t="shared" si="808"/>
        <v>RAZIMAH ANSAR AHMAD</v>
      </c>
      <c r="Y1971" t="str">
        <f t="shared" si="809"/>
        <v>04-08-2020</v>
      </c>
      <c r="Z1971" t="str">
        <f>"COS10200804 7183"</f>
        <v>COS10200804 7183</v>
      </c>
    </row>
    <row r="1972" spans="1:26" x14ac:dyDescent="0.25">
      <c r="A1972" t="str">
        <f t="shared" si="816"/>
        <v>04-08-2020 01:05:33</v>
      </c>
      <c r="B1972" t="str">
        <f>"0000808980"</f>
        <v>0000808980</v>
      </c>
      <c r="C1972" t="str">
        <f t="shared" si="817"/>
        <v>0000808798</v>
      </c>
      <c r="D1972" t="str">
        <f t="shared" si="795"/>
        <v>73185</v>
      </c>
      <c r="E1972" t="str">
        <f t="shared" si="796"/>
        <v>KFH-OPERATIONS DEPARTMENT</v>
      </c>
      <c r="F1972" t="str">
        <f t="shared" si="797"/>
        <v>IBG</v>
      </c>
      <c r="G1972" t="str">
        <f t="shared" si="810"/>
        <v>Refund COSHARE 10</v>
      </c>
      <c r="H1972" s="2">
        <v>159.5</v>
      </c>
      <c r="I1972" t="str">
        <f>"RUSMUNA BINTI DESA"</f>
        <v>RUSMUNA BINTI DESA</v>
      </c>
      <c r="J1972" t="str">
        <f t="shared" si="811"/>
        <v>MAYBANK / MAYBANK ISLAMIC</v>
      </c>
      <c r="K1972" t="str">
        <f>"107013704234"</f>
        <v>107013704234</v>
      </c>
      <c r="L1972" t="str">
        <f t="shared" si="818"/>
        <v>04-08-2020</v>
      </c>
      <c r="M1972" t="str">
        <f t="shared" si="818"/>
        <v>04-08-2020</v>
      </c>
      <c r="N1972" t="str">
        <f t="shared" si="799"/>
        <v>001105018356</v>
      </c>
      <c r="O1972" t="str">
        <f t="shared" si="800"/>
        <v>MYR</v>
      </c>
      <c r="P1972" t="str">
        <f t="shared" si="819"/>
        <v>NIL</v>
      </c>
      <c r="Q1972" t="str">
        <f t="shared" si="819"/>
        <v>NIL</v>
      </c>
      <c r="R1972" t="str">
        <f t="shared" si="802"/>
        <v>Accepted</v>
      </c>
      <c r="S1972" t="str">
        <f t="shared" si="803"/>
        <v>Approved</v>
      </c>
      <c r="T1972" t="str">
        <f t="shared" si="804"/>
        <v>10.20.8.188</v>
      </c>
      <c r="U1972" t="str">
        <f t="shared" si="805"/>
        <v>AZRAD UMAR BIN SHAARI</v>
      </c>
      <c r="V1972" t="str">
        <f t="shared" si="806"/>
        <v>FARHANA BINTI MUSTAPA</v>
      </c>
      <c r="W1972" t="str">
        <f t="shared" si="807"/>
        <v>04-08-2020</v>
      </c>
      <c r="X1972" t="str">
        <f t="shared" si="808"/>
        <v>RAZIMAH ANSAR AHMAD</v>
      </c>
      <c r="Y1972" t="str">
        <f t="shared" si="809"/>
        <v>04-08-2020</v>
      </c>
      <c r="Z1972" t="str">
        <f>"COS10200804 7182"</f>
        <v>COS10200804 7182</v>
      </c>
    </row>
    <row r="1973" spans="1:26" x14ac:dyDescent="0.25">
      <c r="A1973" t="str">
        <f t="shared" si="816"/>
        <v>04-08-2020 01:05:33</v>
      </c>
      <c r="B1973" t="str">
        <f>"0000808979"</f>
        <v>0000808979</v>
      </c>
      <c r="C1973" t="str">
        <f t="shared" si="817"/>
        <v>0000808798</v>
      </c>
      <c r="D1973" t="str">
        <f t="shared" si="795"/>
        <v>73185</v>
      </c>
      <c r="E1973" t="str">
        <f t="shared" si="796"/>
        <v>KFH-OPERATIONS DEPARTMENT</v>
      </c>
      <c r="F1973" t="str">
        <f t="shared" si="797"/>
        <v>IBG</v>
      </c>
      <c r="G1973" t="str">
        <f t="shared" si="810"/>
        <v>Refund COSHARE 10</v>
      </c>
      <c r="H1973" s="2">
        <v>279</v>
      </c>
      <c r="I1973" t="str">
        <f>"RUSLINA BINTI SAID"</f>
        <v>RUSLINA BINTI SAID</v>
      </c>
      <c r="J1973" t="str">
        <f t="shared" si="811"/>
        <v>MAYBANK / MAYBANK ISLAMIC</v>
      </c>
      <c r="K1973" t="str">
        <f>"152189086036"</f>
        <v>152189086036</v>
      </c>
      <c r="L1973" t="str">
        <f t="shared" si="818"/>
        <v>04-08-2020</v>
      </c>
      <c r="M1973" t="str">
        <f t="shared" si="818"/>
        <v>04-08-2020</v>
      </c>
      <c r="N1973" t="str">
        <f t="shared" si="799"/>
        <v>001105018356</v>
      </c>
      <c r="O1973" t="str">
        <f t="shared" si="800"/>
        <v>MYR</v>
      </c>
      <c r="P1973" t="str">
        <f t="shared" si="819"/>
        <v>NIL</v>
      </c>
      <c r="Q1973" t="str">
        <f t="shared" si="819"/>
        <v>NIL</v>
      </c>
      <c r="R1973" t="str">
        <f t="shared" si="802"/>
        <v>Accepted</v>
      </c>
      <c r="S1973" t="str">
        <f t="shared" si="803"/>
        <v>Approved</v>
      </c>
      <c r="T1973" t="str">
        <f t="shared" si="804"/>
        <v>10.20.8.188</v>
      </c>
      <c r="U1973" t="str">
        <f t="shared" si="805"/>
        <v>AZRAD UMAR BIN SHAARI</v>
      </c>
      <c r="V1973" t="str">
        <f t="shared" si="806"/>
        <v>FARHANA BINTI MUSTAPA</v>
      </c>
      <c r="W1973" t="str">
        <f t="shared" si="807"/>
        <v>04-08-2020</v>
      </c>
      <c r="X1973" t="str">
        <f t="shared" si="808"/>
        <v>RAZIMAH ANSAR AHMAD</v>
      </c>
      <c r="Y1973" t="str">
        <f t="shared" si="809"/>
        <v>04-08-2020</v>
      </c>
      <c r="Z1973" t="str">
        <f>"COS10200804 7181"</f>
        <v>COS10200804 7181</v>
      </c>
    </row>
    <row r="1974" spans="1:26" x14ac:dyDescent="0.25">
      <c r="A1974" t="str">
        <f t="shared" si="816"/>
        <v>04-08-2020 01:05:33</v>
      </c>
      <c r="B1974" t="str">
        <f>"0000808978"</f>
        <v>0000808978</v>
      </c>
      <c r="C1974" t="str">
        <f t="shared" si="817"/>
        <v>0000808798</v>
      </c>
      <c r="D1974" t="str">
        <f t="shared" si="795"/>
        <v>73185</v>
      </c>
      <c r="E1974" t="str">
        <f t="shared" si="796"/>
        <v>KFH-OPERATIONS DEPARTMENT</v>
      </c>
      <c r="F1974" t="str">
        <f t="shared" si="797"/>
        <v>IBG</v>
      </c>
      <c r="G1974" t="str">
        <f t="shared" si="810"/>
        <v>Refund COSHARE 10</v>
      </c>
      <c r="H1974" s="2">
        <v>1350.7</v>
      </c>
      <c r="I1974" t="str">
        <f>"RUSLIB BIN SAHILAN"</f>
        <v>RUSLIB BIN SAHILAN</v>
      </c>
      <c r="J1974" t="str">
        <f t="shared" si="811"/>
        <v>MAYBANK / MAYBANK ISLAMIC</v>
      </c>
      <c r="K1974" t="str">
        <f>"160111255091"</f>
        <v>160111255091</v>
      </c>
      <c r="L1974" t="str">
        <f t="shared" si="818"/>
        <v>04-08-2020</v>
      </c>
      <c r="M1974" t="str">
        <f t="shared" si="818"/>
        <v>04-08-2020</v>
      </c>
      <c r="N1974" t="str">
        <f t="shared" si="799"/>
        <v>001105018356</v>
      </c>
      <c r="O1974" t="str">
        <f t="shared" si="800"/>
        <v>MYR</v>
      </c>
      <c r="P1974" t="str">
        <f t="shared" si="819"/>
        <v>NIL</v>
      </c>
      <c r="Q1974" t="str">
        <f t="shared" si="819"/>
        <v>NIL</v>
      </c>
      <c r="R1974" t="str">
        <f t="shared" si="802"/>
        <v>Accepted</v>
      </c>
      <c r="S1974" t="str">
        <f t="shared" si="803"/>
        <v>Approved</v>
      </c>
      <c r="T1974" t="str">
        <f t="shared" si="804"/>
        <v>10.20.8.188</v>
      </c>
      <c r="U1974" t="str">
        <f t="shared" si="805"/>
        <v>AZRAD UMAR BIN SHAARI</v>
      </c>
      <c r="V1974" t="str">
        <f t="shared" si="806"/>
        <v>FARHANA BINTI MUSTAPA</v>
      </c>
      <c r="W1974" t="str">
        <f t="shared" si="807"/>
        <v>04-08-2020</v>
      </c>
      <c r="X1974" t="str">
        <f t="shared" si="808"/>
        <v>RAZIMAH ANSAR AHMAD</v>
      </c>
      <c r="Y1974" t="str">
        <f t="shared" si="809"/>
        <v>04-08-2020</v>
      </c>
      <c r="Z1974" t="str">
        <f>"COS10200804 7180"</f>
        <v>COS10200804 7180</v>
      </c>
    </row>
    <row r="1975" spans="1:26" x14ac:dyDescent="0.25">
      <c r="A1975" t="str">
        <f t="shared" si="816"/>
        <v>04-08-2020 01:05:33</v>
      </c>
      <c r="B1975" t="str">
        <f>"0000808977"</f>
        <v>0000808977</v>
      </c>
      <c r="C1975" t="str">
        <f t="shared" si="817"/>
        <v>0000808798</v>
      </c>
      <c r="D1975" t="str">
        <f t="shared" si="795"/>
        <v>73185</v>
      </c>
      <c r="E1975" t="str">
        <f t="shared" si="796"/>
        <v>KFH-OPERATIONS DEPARTMENT</v>
      </c>
      <c r="F1975" t="str">
        <f t="shared" si="797"/>
        <v>IBG</v>
      </c>
      <c r="G1975" t="str">
        <f t="shared" si="810"/>
        <v>Refund COSHARE 10</v>
      </c>
      <c r="H1975" s="2">
        <v>293.45</v>
      </c>
      <c r="I1975" t="str">
        <f>"RUSLAINI BINTI ABDULLAH"</f>
        <v>RUSLAINI BINTI ABDULLAH</v>
      </c>
      <c r="J1975" t="str">
        <f t="shared" si="811"/>
        <v>MAYBANK / MAYBANK ISLAMIC</v>
      </c>
      <c r="K1975" t="str">
        <f>"114244413728"</f>
        <v>114244413728</v>
      </c>
      <c r="L1975" t="str">
        <f t="shared" si="818"/>
        <v>04-08-2020</v>
      </c>
      <c r="M1975" t="str">
        <f t="shared" si="818"/>
        <v>04-08-2020</v>
      </c>
      <c r="N1975" t="str">
        <f t="shared" si="799"/>
        <v>001105018356</v>
      </c>
      <c r="O1975" t="str">
        <f t="shared" si="800"/>
        <v>MYR</v>
      </c>
      <c r="P1975" t="str">
        <f t="shared" si="819"/>
        <v>NIL</v>
      </c>
      <c r="Q1975" t="str">
        <f t="shared" si="819"/>
        <v>NIL</v>
      </c>
      <c r="R1975" t="str">
        <f t="shared" si="802"/>
        <v>Accepted</v>
      </c>
      <c r="S1975" t="str">
        <f t="shared" si="803"/>
        <v>Approved</v>
      </c>
      <c r="T1975" t="str">
        <f t="shared" si="804"/>
        <v>10.20.8.188</v>
      </c>
      <c r="U1975" t="str">
        <f t="shared" si="805"/>
        <v>AZRAD UMAR BIN SHAARI</v>
      </c>
      <c r="V1975" t="str">
        <f t="shared" si="806"/>
        <v>FARHANA BINTI MUSTAPA</v>
      </c>
      <c r="W1975" t="str">
        <f t="shared" si="807"/>
        <v>04-08-2020</v>
      </c>
      <c r="X1975" t="str">
        <f t="shared" si="808"/>
        <v>RAZIMAH ANSAR AHMAD</v>
      </c>
      <c r="Y1975" t="str">
        <f t="shared" si="809"/>
        <v>04-08-2020</v>
      </c>
      <c r="Z1975" t="str">
        <f>"COS10200804 7179"</f>
        <v>COS10200804 7179</v>
      </c>
    </row>
    <row r="1976" spans="1:26" x14ac:dyDescent="0.25">
      <c r="A1976" t="str">
        <f t="shared" si="816"/>
        <v>04-08-2020 01:05:33</v>
      </c>
      <c r="B1976" t="str">
        <f>"0000808976"</f>
        <v>0000808976</v>
      </c>
      <c r="C1976" t="str">
        <f t="shared" si="817"/>
        <v>0000808798</v>
      </c>
      <c r="D1976" t="str">
        <f t="shared" si="795"/>
        <v>73185</v>
      </c>
      <c r="E1976" t="str">
        <f t="shared" si="796"/>
        <v>KFH-OPERATIONS DEPARTMENT</v>
      </c>
      <c r="F1976" t="str">
        <f t="shared" si="797"/>
        <v>IBG</v>
      </c>
      <c r="G1976" t="str">
        <f t="shared" si="810"/>
        <v>Refund COSHARE 10</v>
      </c>
      <c r="H1976" s="2">
        <v>931.85</v>
      </c>
      <c r="I1976" t="str">
        <f>"RUSIMAWATI BINTI AHAMAD"</f>
        <v>RUSIMAWATI BINTI AHAMAD</v>
      </c>
      <c r="J1976" t="str">
        <f t="shared" si="811"/>
        <v>MAYBANK / MAYBANK ISLAMIC</v>
      </c>
      <c r="K1976" t="str">
        <f>"151052113801"</f>
        <v>151052113801</v>
      </c>
      <c r="L1976" t="str">
        <f t="shared" si="818"/>
        <v>04-08-2020</v>
      </c>
      <c r="M1976" t="str">
        <f t="shared" si="818"/>
        <v>04-08-2020</v>
      </c>
      <c r="N1976" t="str">
        <f t="shared" si="799"/>
        <v>001105018356</v>
      </c>
      <c r="O1976" t="str">
        <f t="shared" si="800"/>
        <v>MYR</v>
      </c>
      <c r="P1976" t="str">
        <f t="shared" si="819"/>
        <v>NIL</v>
      </c>
      <c r="Q1976" t="str">
        <f t="shared" si="819"/>
        <v>NIL</v>
      </c>
      <c r="R1976" t="str">
        <f t="shared" si="802"/>
        <v>Accepted</v>
      </c>
      <c r="S1976" t="str">
        <f t="shared" si="803"/>
        <v>Approved</v>
      </c>
      <c r="T1976" t="str">
        <f t="shared" si="804"/>
        <v>10.20.8.188</v>
      </c>
      <c r="U1976" t="str">
        <f t="shared" si="805"/>
        <v>AZRAD UMAR BIN SHAARI</v>
      </c>
      <c r="V1976" t="str">
        <f t="shared" si="806"/>
        <v>FARHANA BINTI MUSTAPA</v>
      </c>
      <c r="W1976" t="str">
        <f t="shared" si="807"/>
        <v>04-08-2020</v>
      </c>
      <c r="X1976" t="str">
        <f t="shared" si="808"/>
        <v>RAZIMAH ANSAR AHMAD</v>
      </c>
      <c r="Y1976" t="str">
        <f t="shared" si="809"/>
        <v>04-08-2020</v>
      </c>
      <c r="Z1976" t="str">
        <f>"COS10200804 7178"</f>
        <v>COS10200804 7178</v>
      </c>
    </row>
    <row r="1977" spans="1:26" x14ac:dyDescent="0.25">
      <c r="A1977" t="str">
        <f t="shared" si="816"/>
        <v>04-08-2020 01:05:33</v>
      </c>
      <c r="B1977" t="str">
        <f>"0000808975"</f>
        <v>0000808975</v>
      </c>
      <c r="C1977" t="str">
        <f t="shared" si="817"/>
        <v>0000808798</v>
      </c>
      <c r="D1977" t="str">
        <f t="shared" si="795"/>
        <v>73185</v>
      </c>
      <c r="E1977" t="str">
        <f t="shared" si="796"/>
        <v>KFH-OPERATIONS DEPARTMENT</v>
      </c>
      <c r="F1977" t="str">
        <f t="shared" si="797"/>
        <v>IBG</v>
      </c>
      <c r="G1977" t="str">
        <f t="shared" si="810"/>
        <v>Refund COSHARE 10</v>
      </c>
      <c r="H1977" s="2">
        <v>380</v>
      </c>
      <c r="I1977" t="str">
        <f>"RUSILAWATI BINTI WIN"</f>
        <v>RUSILAWATI BINTI WIN</v>
      </c>
      <c r="J1977" t="str">
        <f t="shared" si="811"/>
        <v>MAYBANK / MAYBANK ISLAMIC</v>
      </c>
      <c r="K1977" t="str">
        <f>"111075036490"</f>
        <v>111075036490</v>
      </c>
      <c r="L1977" t="str">
        <f t="shared" si="818"/>
        <v>04-08-2020</v>
      </c>
      <c r="M1977" t="str">
        <f t="shared" si="818"/>
        <v>04-08-2020</v>
      </c>
      <c r="N1977" t="str">
        <f t="shared" si="799"/>
        <v>001105018356</v>
      </c>
      <c r="O1977" t="str">
        <f t="shared" si="800"/>
        <v>MYR</v>
      </c>
      <c r="P1977" t="str">
        <f t="shared" si="819"/>
        <v>NIL</v>
      </c>
      <c r="Q1977" t="str">
        <f t="shared" si="819"/>
        <v>NIL</v>
      </c>
      <c r="R1977" t="str">
        <f t="shared" si="802"/>
        <v>Accepted</v>
      </c>
      <c r="S1977" t="str">
        <f t="shared" si="803"/>
        <v>Approved</v>
      </c>
      <c r="T1977" t="str">
        <f t="shared" si="804"/>
        <v>10.20.8.188</v>
      </c>
      <c r="U1977" t="str">
        <f t="shared" si="805"/>
        <v>AZRAD UMAR BIN SHAARI</v>
      </c>
      <c r="V1977" t="str">
        <f t="shared" si="806"/>
        <v>FARHANA BINTI MUSTAPA</v>
      </c>
      <c r="W1977" t="str">
        <f t="shared" si="807"/>
        <v>04-08-2020</v>
      </c>
      <c r="X1977" t="str">
        <f t="shared" si="808"/>
        <v>RAZIMAH ANSAR AHMAD</v>
      </c>
      <c r="Y1977" t="str">
        <f t="shared" si="809"/>
        <v>04-08-2020</v>
      </c>
      <c r="Z1977" t="str">
        <f>"COS10200804 7177"</f>
        <v>COS10200804 7177</v>
      </c>
    </row>
    <row r="1978" spans="1:26" x14ac:dyDescent="0.25">
      <c r="A1978" t="str">
        <f t="shared" si="816"/>
        <v>04-08-2020 01:05:33</v>
      </c>
      <c r="B1978" t="str">
        <f>"0000808974"</f>
        <v>0000808974</v>
      </c>
      <c r="C1978" t="str">
        <f t="shared" si="817"/>
        <v>0000808798</v>
      </c>
      <c r="D1978" t="str">
        <f t="shared" si="795"/>
        <v>73185</v>
      </c>
      <c r="E1978" t="str">
        <f t="shared" si="796"/>
        <v>KFH-OPERATIONS DEPARTMENT</v>
      </c>
      <c r="F1978" t="str">
        <f t="shared" si="797"/>
        <v>IBG</v>
      </c>
      <c r="G1978" t="str">
        <f t="shared" si="810"/>
        <v>Refund COSHARE 10</v>
      </c>
      <c r="H1978" s="2">
        <v>100.75</v>
      </c>
      <c r="I1978" t="str">
        <f>"RUSHIDAYAT BIN ROSLI"</f>
        <v>RUSHIDAYAT BIN ROSLI</v>
      </c>
      <c r="J1978" t="str">
        <f t="shared" si="811"/>
        <v>MAYBANK / MAYBANK ISLAMIC</v>
      </c>
      <c r="K1978" t="str">
        <f>"161211319104"</f>
        <v>161211319104</v>
      </c>
      <c r="L1978" t="str">
        <f t="shared" si="818"/>
        <v>04-08-2020</v>
      </c>
      <c r="M1978" t="str">
        <f t="shared" si="818"/>
        <v>04-08-2020</v>
      </c>
      <c r="N1978" t="str">
        <f t="shared" si="799"/>
        <v>001105018356</v>
      </c>
      <c r="O1978" t="str">
        <f t="shared" si="800"/>
        <v>MYR</v>
      </c>
      <c r="P1978" t="str">
        <f t="shared" si="819"/>
        <v>NIL</v>
      </c>
      <c r="Q1978" t="str">
        <f t="shared" si="819"/>
        <v>NIL</v>
      </c>
      <c r="R1978" t="str">
        <f t="shared" si="802"/>
        <v>Accepted</v>
      </c>
      <c r="S1978" t="str">
        <f t="shared" si="803"/>
        <v>Approved</v>
      </c>
      <c r="T1978" t="str">
        <f t="shared" si="804"/>
        <v>10.20.8.188</v>
      </c>
      <c r="U1978" t="str">
        <f t="shared" si="805"/>
        <v>AZRAD UMAR BIN SHAARI</v>
      </c>
      <c r="V1978" t="str">
        <f t="shared" si="806"/>
        <v>FARHANA BINTI MUSTAPA</v>
      </c>
      <c r="W1978" t="str">
        <f t="shared" si="807"/>
        <v>04-08-2020</v>
      </c>
      <c r="X1978" t="str">
        <f t="shared" si="808"/>
        <v>RAZIMAH ANSAR AHMAD</v>
      </c>
      <c r="Y1978" t="str">
        <f t="shared" si="809"/>
        <v>04-08-2020</v>
      </c>
      <c r="Z1978" t="str">
        <f>"COS10200804 7176"</f>
        <v>COS10200804 7176</v>
      </c>
    </row>
    <row r="1979" spans="1:26" x14ac:dyDescent="0.25">
      <c r="A1979" t="str">
        <f t="shared" si="816"/>
        <v>04-08-2020 01:05:33</v>
      </c>
      <c r="B1979" t="str">
        <f>"0000808973"</f>
        <v>0000808973</v>
      </c>
      <c r="C1979" t="str">
        <f t="shared" si="817"/>
        <v>0000808798</v>
      </c>
      <c r="D1979" t="str">
        <f t="shared" si="795"/>
        <v>73185</v>
      </c>
      <c r="E1979" t="str">
        <f t="shared" si="796"/>
        <v>KFH-OPERATIONS DEPARTMENT</v>
      </c>
      <c r="F1979" t="str">
        <f t="shared" si="797"/>
        <v>IBG</v>
      </c>
      <c r="G1979" t="str">
        <f t="shared" si="810"/>
        <v>Refund COSHARE 10</v>
      </c>
      <c r="H1979" s="2">
        <v>117.55</v>
      </c>
      <c r="I1979" t="str">
        <f>"RUSHIDAYAT BIN ROSLI"</f>
        <v>RUSHIDAYAT BIN ROSLI</v>
      </c>
      <c r="J1979" t="str">
        <f t="shared" si="811"/>
        <v>MAYBANK / MAYBANK ISLAMIC</v>
      </c>
      <c r="K1979" t="str">
        <f>"161211319104"</f>
        <v>161211319104</v>
      </c>
      <c r="L1979" t="str">
        <f t="shared" si="818"/>
        <v>04-08-2020</v>
      </c>
      <c r="M1979" t="str">
        <f t="shared" si="818"/>
        <v>04-08-2020</v>
      </c>
      <c r="N1979" t="str">
        <f t="shared" si="799"/>
        <v>001105018356</v>
      </c>
      <c r="O1979" t="str">
        <f t="shared" si="800"/>
        <v>MYR</v>
      </c>
      <c r="P1979" t="str">
        <f t="shared" si="819"/>
        <v>NIL</v>
      </c>
      <c r="Q1979" t="str">
        <f t="shared" si="819"/>
        <v>NIL</v>
      </c>
      <c r="R1979" t="str">
        <f t="shared" si="802"/>
        <v>Accepted</v>
      </c>
      <c r="S1979" t="str">
        <f t="shared" si="803"/>
        <v>Approved</v>
      </c>
      <c r="T1979" t="str">
        <f t="shared" si="804"/>
        <v>10.20.8.188</v>
      </c>
      <c r="U1979" t="str">
        <f t="shared" si="805"/>
        <v>AZRAD UMAR BIN SHAARI</v>
      </c>
      <c r="V1979" t="str">
        <f t="shared" si="806"/>
        <v>FARHANA BINTI MUSTAPA</v>
      </c>
      <c r="W1979" t="str">
        <f t="shared" si="807"/>
        <v>04-08-2020</v>
      </c>
      <c r="X1979" t="str">
        <f t="shared" si="808"/>
        <v>RAZIMAH ANSAR AHMAD</v>
      </c>
      <c r="Y1979" t="str">
        <f t="shared" si="809"/>
        <v>04-08-2020</v>
      </c>
      <c r="Z1979" t="str">
        <f>"COS10200804 7175"</f>
        <v>COS10200804 7175</v>
      </c>
    </row>
    <row r="1980" spans="1:26" x14ac:dyDescent="0.25">
      <c r="A1980" t="str">
        <f t="shared" si="816"/>
        <v>04-08-2020 01:05:33</v>
      </c>
      <c r="B1980" t="str">
        <f>"0000808972"</f>
        <v>0000808972</v>
      </c>
      <c r="C1980" t="str">
        <f t="shared" si="817"/>
        <v>0000808798</v>
      </c>
      <c r="D1980" t="str">
        <f t="shared" si="795"/>
        <v>73185</v>
      </c>
      <c r="E1980" t="str">
        <f t="shared" si="796"/>
        <v>KFH-OPERATIONS DEPARTMENT</v>
      </c>
      <c r="F1980" t="str">
        <f t="shared" si="797"/>
        <v>IBG</v>
      </c>
      <c r="G1980" t="str">
        <f t="shared" si="810"/>
        <v>Refund COSHARE 10</v>
      </c>
      <c r="H1980" s="2">
        <v>153.5</v>
      </c>
      <c r="I1980" t="str">
        <f>"RUSHASNAN BIN ABDHAMID"</f>
        <v>RUSHASNAN BIN ABDHAMID</v>
      </c>
      <c r="J1980" t="str">
        <f t="shared" si="811"/>
        <v>MAYBANK / MAYBANK ISLAMIC</v>
      </c>
      <c r="K1980" t="str">
        <f>"113041144926"</f>
        <v>113041144926</v>
      </c>
      <c r="L1980" t="str">
        <f t="shared" si="818"/>
        <v>04-08-2020</v>
      </c>
      <c r="M1980" t="str">
        <f t="shared" si="818"/>
        <v>04-08-2020</v>
      </c>
      <c r="N1980" t="str">
        <f t="shared" si="799"/>
        <v>001105018356</v>
      </c>
      <c r="O1980" t="str">
        <f t="shared" si="800"/>
        <v>MYR</v>
      </c>
      <c r="P1980" t="str">
        <f t="shared" si="819"/>
        <v>NIL</v>
      </c>
      <c r="Q1980" t="str">
        <f t="shared" si="819"/>
        <v>NIL</v>
      </c>
      <c r="R1980" t="str">
        <f t="shared" si="802"/>
        <v>Accepted</v>
      </c>
      <c r="S1980" t="str">
        <f t="shared" si="803"/>
        <v>Approved</v>
      </c>
      <c r="T1980" t="str">
        <f t="shared" si="804"/>
        <v>10.20.8.188</v>
      </c>
      <c r="U1980" t="str">
        <f t="shared" si="805"/>
        <v>AZRAD UMAR BIN SHAARI</v>
      </c>
      <c r="V1980" t="str">
        <f t="shared" si="806"/>
        <v>FARHANA BINTI MUSTAPA</v>
      </c>
      <c r="W1980" t="str">
        <f t="shared" si="807"/>
        <v>04-08-2020</v>
      </c>
      <c r="X1980" t="str">
        <f t="shared" si="808"/>
        <v>RAZIMAH ANSAR AHMAD</v>
      </c>
      <c r="Y1980" t="str">
        <f t="shared" si="809"/>
        <v>04-08-2020</v>
      </c>
      <c r="Z1980" t="str">
        <f>"COS10200804 7174"</f>
        <v>COS10200804 7174</v>
      </c>
    </row>
    <row r="1981" spans="1:26" x14ac:dyDescent="0.25">
      <c r="A1981" t="str">
        <f t="shared" si="816"/>
        <v>04-08-2020 01:05:33</v>
      </c>
      <c r="B1981" t="str">
        <f>"0000808971"</f>
        <v>0000808971</v>
      </c>
      <c r="C1981" t="str">
        <f t="shared" si="817"/>
        <v>0000808798</v>
      </c>
      <c r="D1981" t="str">
        <f t="shared" si="795"/>
        <v>73185</v>
      </c>
      <c r="E1981" t="str">
        <f t="shared" si="796"/>
        <v>KFH-OPERATIONS DEPARTMENT</v>
      </c>
      <c r="F1981" t="str">
        <f t="shared" si="797"/>
        <v>IBG</v>
      </c>
      <c r="G1981" t="str">
        <f t="shared" si="810"/>
        <v>Refund COSHARE 10</v>
      </c>
      <c r="H1981" s="2">
        <v>1518</v>
      </c>
      <c r="I1981" t="str">
        <f>"RUSHAFIZI BIN INDRUS"</f>
        <v>RUSHAFIZI BIN INDRUS</v>
      </c>
      <c r="J1981" t="str">
        <f t="shared" si="811"/>
        <v>MAYBANK / MAYBANK ISLAMIC</v>
      </c>
      <c r="K1981" t="str">
        <f>"104085220149"</f>
        <v>104085220149</v>
      </c>
      <c r="L1981" t="str">
        <f t="shared" si="818"/>
        <v>04-08-2020</v>
      </c>
      <c r="M1981" t="str">
        <f t="shared" si="818"/>
        <v>04-08-2020</v>
      </c>
      <c r="N1981" t="str">
        <f t="shared" si="799"/>
        <v>001105018356</v>
      </c>
      <c r="O1981" t="str">
        <f t="shared" si="800"/>
        <v>MYR</v>
      </c>
      <c r="P1981" t="str">
        <f t="shared" si="819"/>
        <v>NIL</v>
      </c>
      <c r="Q1981" t="str">
        <f t="shared" si="819"/>
        <v>NIL</v>
      </c>
      <c r="R1981" t="str">
        <f t="shared" si="802"/>
        <v>Accepted</v>
      </c>
      <c r="S1981" t="str">
        <f t="shared" si="803"/>
        <v>Approved</v>
      </c>
      <c r="T1981" t="str">
        <f t="shared" si="804"/>
        <v>10.20.8.188</v>
      </c>
      <c r="U1981" t="str">
        <f t="shared" si="805"/>
        <v>AZRAD UMAR BIN SHAARI</v>
      </c>
      <c r="V1981" t="str">
        <f t="shared" si="806"/>
        <v>FARHANA BINTI MUSTAPA</v>
      </c>
      <c r="W1981" t="str">
        <f t="shared" si="807"/>
        <v>04-08-2020</v>
      </c>
      <c r="X1981" t="str">
        <f t="shared" si="808"/>
        <v>RAZIMAH ANSAR AHMAD</v>
      </c>
      <c r="Y1981" t="str">
        <f t="shared" si="809"/>
        <v>04-08-2020</v>
      </c>
      <c r="Z1981" t="str">
        <f>"COS10200804 7173"</f>
        <v>COS10200804 7173</v>
      </c>
    </row>
    <row r="1982" spans="1:26" x14ac:dyDescent="0.25">
      <c r="A1982" t="str">
        <f t="shared" si="816"/>
        <v>04-08-2020 01:05:33</v>
      </c>
      <c r="B1982" t="str">
        <f>"0000808970"</f>
        <v>0000808970</v>
      </c>
      <c r="C1982" t="str">
        <f t="shared" si="817"/>
        <v>0000808798</v>
      </c>
      <c r="D1982" t="str">
        <f t="shared" si="795"/>
        <v>73185</v>
      </c>
      <c r="E1982" t="str">
        <f t="shared" si="796"/>
        <v>KFH-OPERATIONS DEPARTMENT</v>
      </c>
      <c r="F1982" t="str">
        <f t="shared" si="797"/>
        <v>IBG</v>
      </c>
      <c r="G1982" t="str">
        <f t="shared" si="810"/>
        <v>Refund COSHARE 10</v>
      </c>
      <c r="H1982" s="2">
        <v>125.95</v>
      </c>
      <c r="I1982" t="str">
        <f>"RUSDI BIN MUHAMMED"</f>
        <v>RUSDI BIN MUHAMMED</v>
      </c>
      <c r="J1982" t="str">
        <f t="shared" si="811"/>
        <v>MAYBANK / MAYBANK ISLAMIC</v>
      </c>
      <c r="K1982" t="str">
        <f>"153029204258"</f>
        <v>153029204258</v>
      </c>
      <c r="L1982" t="str">
        <f t="shared" si="818"/>
        <v>04-08-2020</v>
      </c>
      <c r="M1982" t="str">
        <f t="shared" si="818"/>
        <v>04-08-2020</v>
      </c>
      <c r="N1982" t="str">
        <f t="shared" si="799"/>
        <v>001105018356</v>
      </c>
      <c r="O1982" t="str">
        <f t="shared" si="800"/>
        <v>MYR</v>
      </c>
      <c r="P1982" t="str">
        <f t="shared" si="819"/>
        <v>NIL</v>
      </c>
      <c r="Q1982" t="str">
        <f t="shared" si="819"/>
        <v>NIL</v>
      </c>
      <c r="R1982" t="str">
        <f t="shared" si="802"/>
        <v>Accepted</v>
      </c>
      <c r="S1982" t="str">
        <f t="shared" si="803"/>
        <v>Approved</v>
      </c>
      <c r="T1982" t="str">
        <f t="shared" si="804"/>
        <v>10.20.8.188</v>
      </c>
      <c r="U1982" t="str">
        <f t="shared" si="805"/>
        <v>AZRAD UMAR BIN SHAARI</v>
      </c>
      <c r="V1982" t="str">
        <f t="shared" si="806"/>
        <v>FARHANA BINTI MUSTAPA</v>
      </c>
      <c r="W1982" t="str">
        <f t="shared" si="807"/>
        <v>04-08-2020</v>
      </c>
      <c r="X1982" t="str">
        <f t="shared" si="808"/>
        <v>RAZIMAH ANSAR AHMAD</v>
      </c>
      <c r="Y1982" t="str">
        <f t="shared" si="809"/>
        <v>04-08-2020</v>
      </c>
      <c r="Z1982" t="str">
        <f>"COS10200804 7172"</f>
        <v>COS10200804 7172</v>
      </c>
    </row>
    <row r="1983" spans="1:26" x14ac:dyDescent="0.25">
      <c r="A1983" t="str">
        <f t="shared" si="816"/>
        <v>04-08-2020 01:05:33</v>
      </c>
      <c r="B1983" t="str">
        <f>"0000808969"</f>
        <v>0000808969</v>
      </c>
      <c r="C1983" t="str">
        <f t="shared" si="817"/>
        <v>0000808798</v>
      </c>
      <c r="D1983" t="str">
        <f t="shared" si="795"/>
        <v>73185</v>
      </c>
      <c r="E1983" t="str">
        <f t="shared" si="796"/>
        <v>KFH-OPERATIONS DEPARTMENT</v>
      </c>
      <c r="F1983" t="str">
        <f t="shared" si="797"/>
        <v>IBG</v>
      </c>
      <c r="G1983" t="str">
        <f t="shared" si="810"/>
        <v>Refund COSHARE 10</v>
      </c>
      <c r="H1983" s="2">
        <v>1469.1</v>
      </c>
      <c r="I1983" t="str">
        <f>"RUSDI BIN HASSAN"</f>
        <v>RUSDI BIN HASSAN</v>
      </c>
      <c r="J1983" t="str">
        <f t="shared" si="811"/>
        <v>MAYBANK / MAYBANK ISLAMIC</v>
      </c>
      <c r="K1983" t="str">
        <f>"155108870066"</f>
        <v>155108870066</v>
      </c>
      <c r="L1983" t="str">
        <f t="shared" si="818"/>
        <v>04-08-2020</v>
      </c>
      <c r="M1983" t="str">
        <f t="shared" si="818"/>
        <v>04-08-2020</v>
      </c>
      <c r="N1983" t="str">
        <f t="shared" si="799"/>
        <v>001105018356</v>
      </c>
      <c r="O1983" t="str">
        <f t="shared" si="800"/>
        <v>MYR</v>
      </c>
      <c r="P1983" t="str">
        <f t="shared" si="819"/>
        <v>NIL</v>
      </c>
      <c r="Q1983" t="str">
        <f t="shared" si="819"/>
        <v>NIL</v>
      </c>
      <c r="R1983" t="str">
        <f t="shared" si="802"/>
        <v>Accepted</v>
      </c>
      <c r="S1983" t="str">
        <f t="shared" si="803"/>
        <v>Approved</v>
      </c>
      <c r="T1983" t="str">
        <f t="shared" si="804"/>
        <v>10.20.8.188</v>
      </c>
      <c r="U1983" t="str">
        <f t="shared" si="805"/>
        <v>AZRAD UMAR BIN SHAARI</v>
      </c>
      <c r="V1983" t="str">
        <f t="shared" si="806"/>
        <v>FARHANA BINTI MUSTAPA</v>
      </c>
      <c r="W1983" t="str">
        <f t="shared" si="807"/>
        <v>04-08-2020</v>
      </c>
      <c r="X1983" t="str">
        <f t="shared" si="808"/>
        <v>RAZIMAH ANSAR AHMAD</v>
      </c>
      <c r="Y1983" t="str">
        <f t="shared" si="809"/>
        <v>04-08-2020</v>
      </c>
      <c r="Z1983" t="str">
        <f>"COS10200804 7171"</f>
        <v>COS10200804 7171</v>
      </c>
    </row>
    <row r="1984" spans="1:26" x14ac:dyDescent="0.25">
      <c r="A1984" t="str">
        <f t="shared" si="816"/>
        <v>04-08-2020 01:05:33</v>
      </c>
      <c r="B1984" t="str">
        <f>"0000808968"</f>
        <v>0000808968</v>
      </c>
      <c r="C1984" t="str">
        <f t="shared" si="817"/>
        <v>0000808798</v>
      </c>
      <c r="D1984" t="str">
        <f t="shared" si="795"/>
        <v>73185</v>
      </c>
      <c r="E1984" t="str">
        <f t="shared" si="796"/>
        <v>KFH-OPERATIONS DEPARTMENT</v>
      </c>
      <c r="F1984" t="str">
        <f t="shared" si="797"/>
        <v>IBG</v>
      </c>
      <c r="G1984" t="str">
        <f t="shared" si="810"/>
        <v>Refund COSHARE 10</v>
      </c>
      <c r="H1984" s="2">
        <v>503.7</v>
      </c>
      <c r="I1984" t="str">
        <f>"RUS MARINA BINTI MOHD YUSOF"</f>
        <v>RUS MARINA BINTI MOHD YUSOF</v>
      </c>
      <c r="J1984" t="str">
        <f t="shared" si="811"/>
        <v>MAYBANK / MAYBANK ISLAMIC</v>
      </c>
      <c r="K1984" t="str">
        <f>"153104133457"</f>
        <v>153104133457</v>
      </c>
      <c r="L1984" t="str">
        <f t="shared" si="818"/>
        <v>04-08-2020</v>
      </c>
      <c r="M1984" t="str">
        <f t="shared" si="818"/>
        <v>04-08-2020</v>
      </c>
      <c r="N1984" t="str">
        <f t="shared" si="799"/>
        <v>001105018356</v>
      </c>
      <c r="O1984" t="str">
        <f t="shared" si="800"/>
        <v>MYR</v>
      </c>
      <c r="P1984" t="str">
        <f t="shared" si="819"/>
        <v>NIL</v>
      </c>
      <c r="Q1984" t="str">
        <f t="shared" si="819"/>
        <v>NIL</v>
      </c>
      <c r="R1984" t="str">
        <f t="shared" si="802"/>
        <v>Accepted</v>
      </c>
      <c r="S1984" t="str">
        <f t="shared" si="803"/>
        <v>Approved</v>
      </c>
      <c r="T1984" t="str">
        <f t="shared" si="804"/>
        <v>10.20.8.188</v>
      </c>
      <c r="U1984" t="str">
        <f t="shared" si="805"/>
        <v>AZRAD UMAR BIN SHAARI</v>
      </c>
      <c r="V1984" t="str">
        <f t="shared" si="806"/>
        <v>FARHANA BINTI MUSTAPA</v>
      </c>
      <c r="W1984" t="str">
        <f t="shared" si="807"/>
        <v>04-08-2020</v>
      </c>
      <c r="X1984" t="str">
        <f t="shared" si="808"/>
        <v>RAZIMAH ANSAR AHMAD</v>
      </c>
      <c r="Y1984" t="str">
        <f t="shared" si="809"/>
        <v>04-08-2020</v>
      </c>
      <c r="Z1984" t="str">
        <f>"COS10200804 7170"</f>
        <v>COS10200804 7170</v>
      </c>
    </row>
    <row r="1985" spans="1:26" x14ac:dyDescent="0.25">
      <c r="A1985" t="str">
        <f t="shared" si="816"/>
        <v>04-08-2020 01:05:33</v>
      </c>
      <c r="B1985" t="str">
        <f>"0000808967"</f>
        <v>0000808967</v>
      </c>
      <c r="C1985" t="str">
        <f t="shared" si="817"/>
        <v>0000808798</v>
      </c>
      <c r="D1985" t="str">
        <f t="shared" si="795"/>
        <v>73185</v>
      </c>
      <c r="E1985" t="str">
        <f t="shared" si="796"/>
        <v>KFH-OPERATIONS DEPARTMENT</v>
      </c>
      <c r="F1985" t="str">
        <f t="shared" si="797"/>
        <v>IBG</v>
      </c>
      <c r="G1985" t="str">
        <f t="shared" si="810"/>
        <v>Refund COSHARE 10</v>
      </c>
      <c r="H1985" s="2">
        <v>42</v>
      </c>
      <c r="I1985" t="str">
        <f>"RUMIDAH BINTI ALNASIR"</f>
        <v>RUMIDAH BINTI ALNASIR</v>
      </c>
      <c r="J1985" t="str">
        <f t="shared" si="811"/>
        <v>MAYBANK / MAYBANK ISLAMIC</v>
      </c>
      <c r="K1985" t="str">
        <f>"160111271255"</f>
        <v>160111271255</v>
      </c>
      <c r="L1985" t="str">
        <f t="shared" si="818"/>
        <v>04-08-2020</v>
      </c>
      <c r="M1985" t="str">
        <f t="shared" si="818"/>
        <v>04-08-2020</v>
      </c>
      <c r="N1985" t="str">
        <f t="shared" si="799"/>
        <v>001105018356</v>
      </c>
      <c r="O1985" t="str">
        <f t="shared" si="800"/>
        <v>MYR</v>
      </c>
      <c r="P1985" t="str">
        <f t="shared" si="819"/>
        <v>NIL</v>
      </c>
      <c r="Q1985" t="str">
        <f t="shared" si="819"/>
        <v>NIL</v>
      </c>
      <c r="R1985" t="str">
        <f t="shared" si="802"/>
        <v>Accepted</v>
      </c>
      <c r="S1985" t="str">
        <f t="shared" si="803"/>
        <v>Approved</v>
      </c>
      <c r="T1985" t="str">
        <f t="shared" si="804"/>
        <v>10.20.8.188</v>
      </c>
      <c r="U1985" t="str">
        <f t="shared" si="805"/>
        <v>AZRAD UMAR BIN SHAARI</v>
      </c>
      <c r="V1985" t="str">
        <f t="shared" si="806"/>
        <v>FARHANA BINTI MUSTAPA</v>
      </c>
      <c r="W1985" t="str">
        <f t="shared" si="807"/>
        <v>04-08-2020</v>
      </c>
      <c r="X1985" t="str">
        <f t="shared" si="808"/>
        <v>RAZIMAH ANSAR AHMAD</v>
      </c>
      <c r="Y1985" t="str">
        <f t="shared" si="809"/>
        <v>04-08-2020</v>
      </c>
      <c r="Z1985" t="str">
        <f>"COS10200804 7169"</f>
        <v>COS10200804 7169</v>
      </c>
    </row>
    <row r="1986" spans="1:26" x14ac:dyDescent="0.25">
      <c r="A1986" t="str">
        <f t="shared" ref="A1986:A2017" si="820">"04-08-2020 01:05:33"</f>
        <v>04-08-2020 01:05:33</v>
      </c>
      <c r="B1986" t="str">
        <f>"0000808966"</f>
        <v>0000808966</v>
      </c>
      <c r="C1986" t="str">
        <f t="shared" ref="C1986:C2017" si="821">"0000808798"</f>
        <v>0000808798</v>
      </c>
      <c r="D1986" t="str">
        <f t="shared" si="795"/>
        <v>73185</v>
      </c>
      <c r="E1986" t="str">
        <f t="shared" si="796"/>
        <v>KFH-OPERATIONS DEPARTMENT</v>
      </c>
      <c r="F1986" t="str">
        <f t="shared" si="797"/>
        <v>IBG</v>
      </c>
      <c r="G1986" t="str">
        <f t="shared" si="810"/>
        <v>Refund COSHARE 10</v>
      </c>
      <c r="H1986" s="2">
        <v>180.15</v>
      </c>
      <c r="I1986" t="str">
        <f>"RUKIMAN BIN KATIRAN"</f>
        <v>RUKIMAN BIN KATIRAN</v>
      </c>
      <c r="J1986" t="str">
        <f t="shared" si="811"/>
        <v>MAYBANK / MAYBANK ISLAMIC</v>
      </c>
      <c r="K1986" t="str">
        <f>"111047129101"</f>
        <v>111047129101</v>
      </c>
      <c r="L1986" t="str">
        <f t="shared" si="818"/>
        <v>04-08-2020</v>
      </c>
      <c r="M1986" t="str">
        <f t="shared" si="818"/>
        <v>04-08-2020</v>
      </c>
      <c r="N1986" t="str">
        <f t="shared" si="799"/>
        <v>001105018356</v>
      </c>
      <c r="O1986" t="str">
        <f t="shared" si="800"/>
        <v>MYR</v>
      </c>
      <c r="P1986" t="str">
        <f t="shared" si="819"/>
        <v>NIL</v>
      </c>
      <c r="Q1986" t="str">
        <f t="shared" si="819"/>
        <v>NIL</v>
      </c>
      <c r="R1986" t="str">
        <f t="shared" si="802"/>
        <v>Accepted</v>
      </c>
      <c r="S1986" t="str">
        <f t="shared" si="803"/>
        <v>Approved</v>
      </c>
      <c r="T1986" t="str">
        <f t="shared" si="804"/>
        <v>10.20.8.188</v>
      </c>
      <c r="U1986" t="str">
        <f t="shared" si="805"/>
        <v>AZRAD UMAR BIN SHAARI</v>
      </c>
      <c r="V1986" t="str">
        <f t="shared" si="806"/>
        <v>FARHANA BINTI MUSTAPA</v>
      </c>
      <c r="W1986" t="str">
        <f t="shared" si="807"/>
        <v>04-08-2020</v>
      </c>
      <c r="X1986" t="str">
        <f t="shared" si="808"/>
        <v>RAZIMAH ANSAR AHMAD</v>
      </c>
      <c r="Y1986" t="str">
        <f t="shared" si="809"/>
        <v>04-08-2020</v>
      </c>
      <c r="Z1986" t="str">
        <f>"COS10200804 7168"</f>
        <v>COS10200804 7168</v>
      </c>
    </row>
    <row r="1987" spans="1:26" x14ac:dyDescent="0.25">
      <c r="A1987" t="str">
        <f t="shared" si="820"/>
        <v>04-08-2020 01:05:33</v>
      </c>
      <c r="B1987" t="str">
        <f>"0000808965"</f>
        <v>0000808965</v>
      </c>
      <c r="C1987" t="str">
        <f t="shared" si="821"/>
        <v>0000808798</v>
      </c>
      <c r="D1987" t="str">
        <f t="shared" si="795"/>
        <v>73185</v>
      </c>
      <c r="E1987" t="str">
        <f t="shared" si="796"/>
        <v>KFH-OPERATIONS DEPARTMENT</v>
      </c>
      <c r="F1987" t="str">
        <f t="shared" si="797"/>
        <v>IBG</v>
      </c>
      <c r="G1987" t="str">
        <f t="shared" si="810"/>
        <v>Refund COSHARE 10</v>
      </c>
      <c r="H1987" s="2">
        <v>59.6</v>
      </c>
      <c r="I1987" t="str">
        <f>"RUKIAH BINTI MOHD ALI"</f>
        <v>RUKIAH BINTI MOHD ALI</v>
      </c>
      <c r="J1987" t="str">
        <f t="shared" si="811"/>
        <v>MAYBANK / MAYBANK ISLAMIC</v>
      </c>
      <c r="K1987" t="str">
        <f>"166010104568"</f>
        <v>166010104568</v>
      </c>
      <c r="L1987" t="str">
        <f t="shared" ref="L1987:M2006" si="822">"04-08-2020"</f>
        <v>04-08-2020</v>
      </c>
      <c r="M1987" t="str">
        <f t="shared" si="822"/>
        <v>04-08-2020</v>
      </c>
      <c r="N1987" t="str">
        <f t="shared" si="799"/>
        <v>001105018356</v>
      </c>
      <c r="O1987" t="str">
        <f t="shared" si="800"/>
        <v>MYR</v>
      </c>
      <c r="P1987" t="str">
        <f t="shared" ref="P1987:Q2006" si="823">"NIL"</f>
        <v>NIL</v>
      </c>
      <c r="Q1987" t="str">
        <f t="shared" si="823"/>
        <v>NIL</v>
      </c>
      <c r="R1987" t="str">
        <f t="shared" si="802"/>
        <v>Accepted</v>
      </c>
      <c r="S1987" t="str">
        <f t="shared" si="803"/>
        <v>Approved</v>
      </c>
      <c r="T1987" t="str">
        <f t="shared" si="804"/>
        <v>10.20.8.188</v>
      </c>
      <c r="U1987" t="str">
        <f t="shared" si="805"/>
        <v>AZRAD UMAR BIN SHAARI</v>
      </c>
      <c r="V1987" t="str">
        <f t="shared" si="806"/>
        <v>FARHANA BINTI MUSTAPA</v>
      </c>
      <c r="W1987" t="str">
        <f t="shared" si="807"/>
        <v>04-08-2020</v>
      </c>
      <c r="X1987" t="str">
        <f t="shared" si="808"/>
        <v>RAZIMAH ANSAR AHMAD</v>
      </c>
      <c r="Y1987" t="str">
        <f t="shared" si="809"/>
        <v>04-08-2020</v>
      </c>
      <c r="Z1987" t="str">
        <f>"COS10200804 7167"</f>
        <v>COS10200804 7167</v>
      </c>
    </row>
    <row r="1988" spans="1:26" x14ac:dyDescent="0.25">
      <c r="A1988" t="str">
        <f t="shared" si="820"/>
        <v>04-08-2020 01:05:33</v>
      </c>
      <c r="B1988" t="str">
        <f>"0000808964"</f>
        <v>0000808964</v>
      </c>
      <c r="C1988" t="str">
        <f t="shared" si="821"/>
        <v>0000808798</v>
      </c>
      <c r="D1988" t="str">
        <f t="shared" si="795"/>
        <v>73185</v>
      </c>
      <c r="E1988" t="str">
        <f t="shared" si="796"/>
        <v>KFH-OPERATIONS DEPARTMENT</v>
      </c>
      <c r="F1988" t="str">
        <f t="shared" si="797"/>
        <v>IBG</v>
      </c>
      <c r="G1988" t="str">
        <f t="shared" si="810"/>
        <v>Refund COSHARE 10</v>
      </c>
      <c r="H1988" s="2">
        <v>92.35</v>
      </c>
      <c r="I1988" t="str">
        <f>"RUJIANA BINTI IBRAHIM"</f>
        <v>RUJIANA BINTI IBRAHIM</v>
      </c>
      <c r="J1988" t="str">
        <f t="shared" si="811"/>
        <v>MAYBANK / MAYBANK ISLAMIC</v>
      </c>
      <c r="K1988" t="str">
        <f>"161033052091"</f>
        <v>161033052091</v>
      </c>
      <c r="L1988" t="str">
        <f t="shared" si="822"/>
        <v>04-08-2020</v>
      </c>
      <c r="M1988" t="str">
        <f t="shared" si="822"/>
        <v>04-08-2020</v>
      </c>
      <c r="N1988" t="str">
        <f t="shared" si="799"/>
        <v>001105018356</v>
      </c>
      <c r="O1988" t="str">
        <f t="shared" si="800"/>
        <v>MYR</v>
      </c>
      <c r="P1988" t="str">
        <f t="shared" si="823"/>
        <v>NIL</v>
      </c>
      <c r="Q1988" t="str">
        <f t="shared" si="823"/>
        <v>NIL</v>
      </c>
      <c r="R1988" t="str">
        <f t="shared" si="802"/>
        <v>Accepted</v>
      </c>
      <c r="S1988" t="str">
        <f t="shared" si="803"/>
        <v>Approved</v>
      </c>
      <c r="T1988" t="str">
        <f t="shared" si="804"/>
        <v>10.20.8.188</v>
      </c>
      <c r="U1988" t="str">
        <f t="shared" si="805"/>
        <v>AZRAD UMAR BIN SHAARI</v>
      </c>
      <c r="V1988" t="str">
        <f t="shared" si="806"/>
        <v>FARHANA BINTI MUSTAPA</v>
      </c>
      <c r="W1988" t="str">
        <f t="shared" si="807"/>
        <v>04-08-2020</v>
      </c>
      <c r="X1988" t="str">
        <f t="shared" si="808"/>
        <v>RAZIMAH ANSAR AHMAD</v>
      </c>
      <c r="Y1988" t="str">
        <f t="shared" si="809"/>
        <v>04-08-2020</v>
      </c>
      <c r="Z1988" t="str">
        <f>"COS10200804 7166"</f>
        <v>COS10200804 7166</v>
      </c>
    </row>
    <row r="1989" spans="1:26" x14ac:dyDescent="0.25">
      <c r="A1989" t="str">
        <f t="shared" si="820"/>
        <v>04-08-2020 01:05:33</v>
      </c>
      <c r="B1989" t="str">
        <f>"0000808963"</f>
        <v>0000808963</v>
      </c>
      <c r="C1989" t="str">
        <f t="shared" si="821"/>
        <v>0000808798</v>
      </c>
      <c r="D1989" t="str">
        <f t="shared" si="795"/>
        <v>73185</v>
      </c>
      <c r="E1989" t="str">
        <f t="shared" si="796"/>
        <v>KFH-OPERATIONS DEPARTMENT</v>
      </c>
      <c r="F1989" t="str">
        <f t="shared" si="797"/>
        <v>IBG</v>
      </c>
      <c r="G1989" t="str">
        <f t="shared" si="810"/>
        <v>Refund COSHARE 10</v>
      </c>
      <c r="H1989" s="2">
        <v>74.95</v>
      </c>
      <c r="I1989" t="str">
        <f>"RUHANI BINTI SAID"</f>
        <v>RUHANI BINTI SAID</v>
      </c>
      <c r="J1989" t="str">
        <f t="shared" si="811"/>
        <v>MAYBANK / MAYBANK ISLAMIC</v>
      </c>
      <c r="K1989" t="str">
        <f>"153083144021"</f>
        <v>153083144021</v>
      </c>
      <c r="L1989" t="str">
        <f t="shared" si="822"/>
        <v>04-08-2020</v>
      </c>
      <c r="M1989" t="str">
        <f t="shared" si="822"/>
        <v>04-08-2020</v>
      </c>
      <c r="N1989" t="str">
        <f t="shared" si="799"/>
        <v>001105018356</v>
      </c>
      <c r="O1989" t="str">
        <f t="shared" si="800"/>
        <v>MYR</v>
      </c>
      <c r="P1989" t="str">
        <f t="shared" si="823"/>
        <v>NIL</v>
      </c>
      <c r="Q1989" t="str">
        <f t="shared" si="823"/>
        <v>NIL</v>
      </c>
      <c r="R1989" t="str">
        <f t="shared" si="802"/>
        <v>Accepted</v>
      </c>
      <c r="S1989" t="str">
        <f t="shared" si="803"/>
        <v>Approved</v>
      </c>
      <c r="T1989" t="str">
        <f t="shared" si="804"/>
        <v>10.20.8.188</v>
      </c>
      <c r="U1989" t="str">
        <f t="shared" si="805"/>
        <v>AZRAD UMAR BIN SHAARI</v>
      </c>
      <c r="V1989" t="str">
        <f t="shared" si="806"/>
        <v>FARHANA BINTI MUSTAPA</v>
      </c>
      <c r="W1989" t="str">
        <f t="shared" si="807"/>
        <v>04-08-2020</v>
      </c>
      <c r="X1989" t="str">
        <f t="shared" si="808"/>
        <v>RAZIMAH ANSAR AHMAD</v>
      </c>
      <c r="Y1989" t="str">
        <f t="shared" si="809"/>
        <v>04-08-2020</v>
      </c>
      <c r="Z1989" t="str">
        <f>"COS10200804 7165"</f>
        <v>COS10200804 7165</v>
      </c>
    </row>
    <row r="1990" spans="1:26" x14ac:dyDescent="0.25">
      <c r="A1990" t="str">
        <f t="shared" si="820"/>
        <v>04-08-2020 01:05:33</v>
      </c>
      <c r="B1990" t="str">
        <f>"0000808962"</f>
        <v>0000808962</v>
      </c>
      <c r="C1990" t="str">
        <f t="shared" si="821"/>
        <v>0000808798</v>
      </c>
      <c r="D1990" t="str">
        <f t="shared" si="795"/>
        <v>73185</v>
      </c>
      <c r="E1990" t="str">
        <f t="shared" si="796"/>
        <v>KFH-OPERATIONS DEPARTMENT</v>
      </c>
      <c r="F1990" t="str">
        <f t="shared" si="797"/>
        <v>IBG</v>
      </c>
      <c r="G1990" t="str">
        <f t="shared" si="810"/>
        <v>Refund COSHARE 10</v>
      </c>
      <c r="H1990" s="2">
        <v>74.95</v>
      </c>
      <c r="I1990" t="str">
        <f>"RUHANI BINTI SAID"</f>
        <v>RUHANI BINTI SAID</v>
      </c>
      <c r="J1990" t="str">
        <f t="shared" si="811"/>
        <v>MAYBANK / MAYBANK ISLAMIC</v>
      </c>
      <c r="K1990" t="str">
        <f>"153083144021"</f>
        <v>153083144021</v>
      </c>
      <c r="L1990" t="str">
        <f t="shared" si="822"/>
        <v>04-08-2020</v>
      </c>
      <c r="M1990" t="str">
        <f t="shared" si="822"/>
        <v>04-08-2020</v>
      </c>
      <c r="N1990" t="str">
        <f t="shared" si="799"/>
        <v>001105018356</v>
      </c>
      <c r="O1990" t="str">
        <f t="shared" si="800"/>
        <v>MYR</v>
      </c>
      <c r="P1990" t="str">
        <f t="shared" si="823"/>
        <v>NIL</v>
      </c>
      <c r="Q1990" t="str">
        <f t="shared" si="823"/>
        <v>NIL</v>
      </c>
      <c r="R1990" t="str">
        <f t="shared" si="802"/>
        <v>Accepted</v>
      </c>
      <c r="S1990" t="str">
        <f t="shared" si="803"/>
        <v>Approved</v>
      </c>
      <c r="T1990" t="str">
        <f t="shared" si="804"/>
        <v>10.20.8.188</v>
      </c>
      <c r="U1990" t="str">
        <f t="shared" si="805"/>
        <v>AZRAD UMAR BIN SHAARI</v>
      </c>
      <c r="V1990" t="str">
        <f t="shared" si="806"/>
        <v>FARHANA BINTI MUSTAPA</v>
      </c>
      <c r="W1990" t="str">
        <f t="shared" si="807"/>
        <v>04-08-2020</v>
      </c>
      <c r="X1990" t="str">
        <f t="shared" si="808"/>
        <v>RAZIMAH ANSAR AHMAD</v>
      </c>
      <c r="Y1990" t="str">
        <f t="shared" si="809"/>
        <v>04-08-2020</v>
      </c>
      <c r="Z1990" t="str">
        <f>"COS10200804 7164"</f>
        <v>COS10200804 7164</v>
      </c>
    </row>
    <row r="1991" spans="1:26" x14ac:dyDescent="0.25">
      <c r="A1991" t="str">
        <f t="shared" si="820"/>
        <v>04-08-2020 01:05:33</v>
      </c>
      <c r="B1991" t="str">
        <f>"0000808961"</f>
        <v>0000808961</v>
      </c>
      <c r="C1991" t="str">
        <f t="shared" si="821"/>
        <v>0000808798</v>
      </c>
      <c r="D1991" t="str">
        <f t="shared" ref="D1991:D2054" si="824">"73185"</f>
        <v>73185</v>
      </c>
      <c r="E1991" t="str">
        <f t="shared" ref="E1991:E2054" si="825">"KFH-OPERATIONS DEPARTMENT"</f>
        <v>KFH-OPERATIONS DEPARTMENT</v>
      </c>
      <c r="F1991" t="str">
        <f t="shared" ref="F1991:F2054" si="826">"IBG"</f>
        <v>IBG</v>
      </c>
      <c r="G1991" t="str">
        <f t="shared" si="810"/>
        <v>Refund COSHARE 10</v>
      </c>
      <c r="H1991" s="2">
        <v>337.8</v>
      </c>
      <c r="I1991" t="str">
        <f>"RUHADI BIN YUSOFF"</f>
        <v>RUHADI BIN YUSOFF</v>
      </c>
      <c r="J1991" t="str">
        <f t="shared" si="811"/>
        <v>MAYBANK / MAYBANK ISLAMIC</v>
      </c>
      <c r="K1991" t="str">
        <f>"106016779885"</f>
        <v>106016779885</v>
      </c>
      <c r="L1991" t="str">
        <f t="shared" si="822"/>
        <v>04-08-2020</v>
      </c>
      <c r="M1991" t="str">
        <f t="shared" si="822"/>
        <v>04-08-2020</v>
      </c>
      <c r="N1991" t="str">
        <f t="shared" ref="N1991:N2054" si="827">"001105018356"</f>
        <v>001105018356</v>
      </c>
      <c r="O1991" t="str">
        <f t="shared" ref="O1991:O2054" si="828">"MYR"</f>
        <v>MYR</v>
      </c>
      <c r="P1991" t="str">
        <f t="shared" si="823"/>
        <v>NIL</v>
      </c>
      <c r="Q1991" t="str">
        <f t="shared" si="823"/>
        <v>NIL</v>
      </c>
      <c r="R1991" t="str">
        <f t="shared" ref="R1991:R2054" si="829">"Accepted"</f>
        <v>Accepted</v>
      </c>
      <c r="S1991" t="str">
        <f t="shared" ref="S1991:S2054" si="830">"Approved"</f>
        <v>Approved</v>
      </c>
      <c r="T1991" t="str">
        <f t="shared" ref="T1991:T2054" si="831">"10.20.8.188"</f>
        <v>10.20.8.188</v>
      </c>
      <c r="U1991" t="str">
        <f t="shared" ref="U1991:U2054" si="832">"AZRAD UMAR BIN SHAARI"</f>
        <v>AZRAD UMAR BIN SHAARI</v>
      </c>
      <c r="V1991" t="str">
        <f t="shared" ref="V1991:V2054" si="833">"FARHANA BINTI MUSTAPA"</f>
        <v>FARHANA BINTI MUSTAPA</v>
      </c>
      <c r="W1991" t="str">
        <f t="shared" ref="W1991:W2054" si="834">"04-08-2020"</f>
        <v>04-08-2020</v>
      </c>
      <c r="X1991" t="str">
        <f t="shared" ref="X1991:X2054" si="835">"RAZIMAH ANSAR AHMAD"</f>
        <v>RAZIMAH ANSAR AHMAD</v>
      </c>
      <c r="Y1991" t="str">
        <f t="shared" ref="Y1991:Y2054" si="836">"04-08-2020"</f>
        <v>04-08-2020</v>
      </c>
      <c r="Z1991" t="str">
        <f>"COS10200804 7163"</f>
        <v>COS10200804 7163</v>
      </c>
    </row>
    <row r="1992" spans="1:26" x14ac:dyDescent="0.25">
      <c r="A1992" t="str">
        <f t="shared" si="820"/>
        <v>04-08-2020 01:05:33</v>
      </c>
      <c r="B1992" t="str">
        <f>"0000808960"</f>
        <v>0000808960</v>
      </c>
      <c r="C1992" t="str">
        <f t="shared" si="821"/>
        <v>0000808798</v>
      </c>
      <c r="D1992" t="str">
        <f t="shared" si="824"/>
        <v>73185</v>
      </c>
      <c r="E1992" t="str">
        <f t="shared" si="825"/>
        <v>KFH-OPERATIONS DEPARTMENT</v>
      </c>
      <c r="F1992" t="str">
        <f t="shared" si="826"/>
        <v>IBG</v>
      </c>
      <c r="G1992" t="str">
        <f t="shared" si="810"/>
        <v>Refund COSHARE 10</v>
      </c>
      <c r="H1992" s="2">
        <v>839.5</v>
      </c>
      <c r="I1992" t="str">
        <f>"RUFIZAH BINTI ISHAK"</f>
        <v>RUFIZAH BINTI ISHAK</v>
      </c>
      <c r="J1992" t="str">
        <f t="shared" si="811"/>
        <v>MAYBANK / MAYBANK ISLAMIC</v>
      </c>
      <c r="K1992" t="str">
        <f>"162021319157"</f>
        <v>162021319157</v>
      </c>
      <c r="L1992" t="str">
        <f t="shared" si="822"/>
        <v>04-08-2020</v>
      </c>
      <c r="M1992" t="str">
        <f t="shared" si="822"/>
        <v>04-08-2020</v>
      </c>
      <c r="N1992" t="str">
        <f t="shared" si="827"/>
        <v>001105018356</v>
      </c>
      <c r="O1992" t="str">
        <f t="shared" si="828"/>
        <v>MYR</v>
      </c>
      <c r="P1992" t="str">
        <f t="shared" si="823"/>
        <v>NIL</v>
      </c>
      <c r="Q1992" t="str">
        <f t="shared" si="823"/>
        <v>NIL</v>
      </c>
      <c r="R1992" t="str">
        <f t="shared" si="829"/>
        <v>Accepted</v>
      </c>
      <c r="S1992" t="str">
        <f t="shared" si="830"/>
        <v>Approved</v>
      </c>
      <c r="T1992" t="str">
        <f t="shared" si="831"/>
        <v>10.20.8.188</v>
      </c>
      <c r="U1992" t="str">
        <f t="shared" si="832"/>
        <v>AZRAD UMAR BIN SHAARI</v>
      </c>
      <c r="V1992" t="str">
        <f t="shared" si="833"/>
        <v>FARHANA BINTI MUSTAPA</v>
      </c>
      <c r="W1992" t="str">
        <f t="shared" si="834"/>
        <v>04-08-2020</v>
      </c>
      <c r="X1992" t="str">
        <f t="shared" si="835"/>
        <v>RAZIMAH ANSAR AHMAD</v>
      </c>
      <c r="Y1992" t="str">
        <f t="shared" si="836"/>
        <v>04-08-2020</v>
      </c>
      <c r="Z1992" t="str">
        <f>"COS10200804 7162"</f>
        <v>COS10200804 7162</v>
      </c>
    </row>
    <row r="1993" spans="1:26" x14ac:dyDescent="0.25">
      <c r="A1993" t="str">
        <f t="shared" si="820"/>
        <v>04-08-2020 01:05:33</v>
      </c>
      <c r="B1993" t="str">
        <f>"0000808959"</f>
        <v>0000808959</v>
      </c>
      <c r="C1993" t="str">
        <f t="shared" si="821"/>
        <v>0000808798</v>
      </c>
      <c r="D1993" t="str">
        <f t="shared" si="824"/>
        <v>73185</v>
      </c>
      <c r="E1993" t="str">
        <f t="shared" si="825"/>
        <v>KFH-OPERATIONS DEPARTMENT</v>
      </c>
      <c r="F1993" t="str">
        <f t="shared" si="826"/>
        <v>IBG</v>
      </c>
      <c r="G1993" t="str">
        <f t="shared" si="810"/>
        <v>Refund COSHARE 10</v>
      </c>
      <c r="H1993" s="2">
        <v>344.2</v>
      </c>
      <c r="I1993" t="str">
        <f>"RUBY SHARMAYANTI BINTI SAMARUDIN"</f>
        <v>RUBY SHARMAYANTI BINTI SAMARUDIN</v>
      </c>
      <c r="J1993" t="str">
        <f t="shared" si="811"/>
        <v>MAYBANK / MAYBANK ISLAMIC</v>
      </c>
      <c r="K1993" t="str">
        <f>"164212255330"</f>
        <v>164212255330</v>
      </c>
      <c r="L1993" t="str">
        <f t="shared" si="822"/>
        <v>04-08-2020</v>
      </c>
      <c r="M1993" t="str">
        <f t="shared" si="822"/>
        <v>04-08-2020</v>
      </c>
      <c r="N1993" t="str">
        <f t="shared" si="827"/>
        <v>001105018356</v>
      </c>
      <c r="O1993" t="str">
        <f t="shared" si="828"/>
        <v>MYR</v>
      </c>
      <c r="P1993" t="str">
        <f t="shared" si="823"/>
        <v>NIL</v>
      </c>
      <c r="Q1993" t="str">
        <f t="shared" si="823"/>
        <v>NIL</v>
      </c>
      <c r="R1993" t="str">
        <f t="shared" si="829"/>
        <v>Accepted</v>
      </c>
      <c r="S1993" t="str">
        <f t="shared" si="830"/>
        <v>Approved</v>
      </c>
      <c r="T1993" t="str">
        <f t="shared" si="831"/>
        <v>10.20.8.188</v>
      </c>
      <c r="U1993" t="str">
        <f t="shared" si="832"/>
        <v>AZRAD UMAR BIN SHAARI</v>
      </c>
      <c r="V1993" t="str">
        <f t="shared" si="833"/>
        <v>FARHANA BINTI MUSTAPA</v>
      </c>
      <c r="W1993" t="str">
        <f t="shared" si="834"/>
        <v>04-08-2020</v>
      </c>
      <c r="X1993" t="str">
        <f t="shared" si="835"/>
        <v>RAZIMAH ANSAR AHMAD</v>
      </c>
      <c r="Y1993" t="str">
        <f t="shared" si="836"/>
        <v>04-08-2020</v>
      </c>
      <c r="Z1993" t="str">
        <f>"COS10200804 7161"</f>
        <v>COS10200804 7161</v>
      </c>
    </row>
    <row r="1994" spans="1:26" x14ac:dyDescent="0.25">
      <c r="A1994" t="str">
        <f t="shared" si="820"/>
        <v>04-08-2020 01:05:33</v>
      </c>
      <c r="B1994" t="str">
        <f>"0000808958"</f>
        <v>0000808958</v>
      </c>
      <c r="C1994" t="str">
        <f t="shared" si="821"/>
        <v>0000808798</v>
      </c>
      <c r="D1994" t="str">
        <f t="shared" si="824"/>
        <v>73185</v>
      </c>
      <c r="E1994" t="str">
        <f t="shared" si="825"/>
        <v>KFH-OPERATIONS DEPARTMENT</v>
      </c>
      <c r="F1994" t="str">
        <f t="shared" si="826"/>
        <v>IBG</v>
      </c>
      <c r="G1994" t="str">
        <f t="shared" si="810"/>
        <v>Refund COSHARE 10</v>
      </c>
      <c r="H1994" s="2">
        <v>781</v>
      </c>
      <c r="I1994" t="str">
        <f>"RUBIAH BINTI MIDAN"</f>
        <v>RUBIAH BINTI MIDAN</v>
      </c>
      <c r="J1994" t="str">
        <f t="shared" si="811"/>
        <v>MAYBANK / MAYBANK ISLAMIC</v>
      </c>
      <c r="K1994" t="str">
        <f>"160184153872"</f>
        <v>160184153872</v>
      </c>
      <c r="L1994" t="str">
        <f t="shared" si="822"/>
        <v>04-08-2020</v>
      </c>
      <c r="M1994" t="str">
        <f t="shared" si="822"/>
        <v>04-08-2020</v>
      </c>
      <c r="N1994" t="str">
        <f t="shared" si="827"/>
        <v>001105018356</v>
      </c>
      <c r="O1994" t="str">
        <f t="shared" si="828"/>
        <v>MYR</v>
      </c>
      <c r="P1994" t="str">
        <f t="shared" si="823"/>
        <v>NIL</v>
      </c>
      <c r="Q1994" t="str">
        <f t="shared" si="823"/>
        <v>NIL</v>
      </c>
      <c r="R1994" t="str">
        <f t="shared" si="829"/>
        <v>Accepted</v>
      </c>
      <c r="S1994" t="str">
        <f t="shared" si="830"/>
        <v>Approved</v>
      </c>
      <c r="T1994" t="str">
        <f t="shared" si="831"/>
        <v>10.20.8.188</v>
      </c>
      <c r="U1994" t="str">
        <f t="shared" si="832"/>
        <v>AZRAD UMAR BIN SHAARI</v>
      </c>
      <c r="V1994" t="str">
        <f t="shared" si="833"/>
        <v>FARHANA BINTI MUSTAPA</v>
      </c>
      <c r="W1994" t="str">
        <f t="shared" si="834"/>
        <v>04-08-2020</v>
      </c>
      <c r="X1994" t="str">
        <f t="shared" si="835"/>
        <v>RAZIMAH ANSAR AHMAD</v>
      </c>
      <c r="Y1994" t="str">
        <f t="shared" si="836"/>
        <v>04-08-2020</v>
      </c>
      <c r="Z1994" t="str">
        <f>"COS10200804 7160"</f>
        <v>COS10200804 7160</v>
      </c>
    </row>
    <row r="1995" spans="1:26" x14ac:dyDescent="0.25">
      <c r="A1995" t="str">
        <f t="shared" si="820"/>
        <v>04-08-2020 01:05:33</v>
      </c>
      <c r="B1995" t="str">
        <f>"0000808957"</f>
        <v>0000808957</v>
      </c>
      <c r="C1995" t="str">
        <f t="shared" si="821"/>
        <v>0000808798</v>
      </c>
      <c r="D1995" t="str">
        <f t="shared" si="824"/>
        <v>73185</v>
      </c>
      <c r="E1995" t="str">
        <f t="shared" si="825"/>
        <v>KFH-OPERATIONS DEPARTMENT</v>
      </c>
      <c r="F1995" t="str">
        <f t="shared" si="826"/>
        <v>IBG</v>
      </c>
      <c r="G1995" t="str">
        <f t="shared" si="810"/>
        <v>Refund COSHARE 10</v>
      </c>
      <c r="H1995" s="2">
        <v>1360</v>
      </c>
      <c r="I1995" t="str">
        <f>"ROZMALIZA BINTI ABDUL AZIZ"</f>
        <v>ROZMALIZA BINTI ABDUL AZIZ</v>
      </c>
      <c r="J1995" t="str">
        <f t="shared" si="811"/>
        <v>MAYBANK / MAYBANK ISLAMIC</v>
      </c>
      <c r="K1995" t="str">
        <f>"164173668202"</f>
        <v>164173668202</v>
      </c>
      <c r="L1995" t="str">
        <f t="shared" si="822"/>
        <v>04-08-2020</v>
      </c>
      <c r="M1995" t="str">
        <f t="shared" si="822"/>
        <v>04-08-2020</v>
      </c>
      <c r="N1995" t="str">
        <f t="shared" si="827"/>
        <v>001105018356</v>
      </c>
      <c r="O1995" t="str">
        <f t="shared" si="828"/>
        <v>MYR</v>
      </c>
      <c r="P1995" t="str">
        <f t="shared" si="823"/>
        <v>NIL</v>
      </c>
      <c r="Q1995" t="str">
        <f t="shared" si="823"/>
        <v>NIL</v>
      </c>
      <c r="R1995" t="str">
        <f t="shared" si="829"/>
        <v>Accepted</v>
      </c>
      <c r="S1995" t="str">
        <f t="shared" si="830"/>
        <v>Approved</v>
      </c>
      <c r="T1995" t="str">
        <f t="shared" si="831"/>
        <v>10.20.8.188</v>
      </c>
      <c r="U1995" t="str">
        <f t="shared" si="832"/>
        <v>AZRAD UMAR BIN SHAARI</v>
      </c>
      <c r="V1995" t="str">
        <f t="shared" si="833"/>
        <v>FARHANA BINTI MUSTAPA</v>
      </c>
      <c r="W1995" t="str">
        <f t="shared" si="834"/>
        <v>04-08-2020</v>
      </c>
      <c r="X1995" t="str">
        <f t="shared" si="835"/>
        <v>RAZIMAH ANSAR AHMAD</v>
      </c>
      <c r="Y1995" t="str">
        <f t="shared" si="836"/>
        <v>04-08-2020</v>
      </c>
      <c r="Z1995" t="str">
        <f>"COS10200804 7159"</f>
        <v>COS10200804 7159</v>
      </c>
    </row>
    <row r="1996" spans="1:26" x14ac:dyDescent="0.25">
      <c r="A1996" t="str">
        <f t="shared" si="820"/>
        <v>04-08-2020 01:05:33</v>
      </c>
      <c r="B1996" t="str">
        <f>"0000808956"</f>
        <v>0000808956</v>
      </c>
      <c r="C1996" t="str">
        <f t="shared" si="821"/>
        <v>0000808798</v>
      </c>
      <c r="D1996" t="str">
        <f t="shared" si="824"/>
        <v>73185</v>
      </c>
      <c r="E1996" t="str">
        <f t="shared" si="825"/>
        <v>KFH-OPERATIONS DEPARTMENT</v>
      </c>
      <c r="F1996" t="str">
        <f t="shared" si="826"/>
        <v>IBG</v>
      </c>
      <c r="G1996" t="str">
        <f t="shared" ref="G1996:G2059" si="837">"Refund COSHARE 10"</f>
        <v>Refund COSHARE 10</v>
      </c>
      <c r="H1996" s="2">
        <v>219</v>
      </c>
      <c r="I1996" t="str">
        <f>"ROZLIAH BINTI MOHD GHAZALI"</f>
        <v>ROZLIAH BINTI MOHD GHAZALI</v>
      </c>
      <c r="J1996" t="str">
        <f t="shared" si="811"/>
        <v>MAYBANK / MAYBANK ISLAMIC</v>
      </c>
      <c r="K1996" t="str">
        <f>"110077182397"</f>
        <v>110077182397</v>
      </c>
      <c r="L1996" t="str">
        <f t="shared" si="822"/>
        <v>04-08-2020</v>
      </c>
      <c r="M1996" t="str">
        <f t="shared" si="822"/>
        <v>04-08-2020</v>
      </c>
      <c r="N1996" t="str">
        <f t="shared" si="827"/>
        <v>001105018356</v>
      </c>
      <c r="O1996" t="str">
        <f t="shared" si="828"/>
        <v>MYR</v>
      </c>
      <c r="P1996" t="str">
        <f t="shared" si="823"/>
        <v>NIL</v>
      </c>
      <c r="Q1996" t="str">
        <f t="shared" si="823"/>
        <v>NIL</v>
      </c>
      <c r="R1996" t="str">
        <f t="shared" si="829"/>
        <v>Accepted</v>
      </c>
      <c r="S1996" t="str">
        <f t="shared" si="830"/>
        <v>Approved</v>
      </c>
      <c r="T1996" t="str">
        <f t="shared" si="831"/>
        <v>10.20.8.188</v>
      </c>
      <c r="U1996" t="str">
        <f t="shared" si="832"/>
        <v>AZRAD UMAR BIN SHAARI</v>
      </c>
      <c r="V1996" t="str">
        <f t="shared" si="833"/>
        <v>FARHANA BINTI MUSTAPA</v>
      </c>
      <c r="W1996" t="str">
        <f t="shared" si="834"/>
        <v>04-08-2020</v>
      </c>
      <c r="X1996" t="str">
        <f t="shared" si="835"/>
        <v>RAZIMAH ANSAR AHMAD</v>
      </c>
      <c r="Y1996" t="str">
        <f t="shared" si="836"/>
        <v>04-08-2020</v>
      </c>
      <c r="Z1996" t="str">
        <f>"COS10200804 7158"</f>
        <v>COS10200804 7158</v>
      </c>
    </row>
    <row r="1997" spans="1:26" x14ac:dyDescent="0.25">
      <c r="A1997" t="str">
        <f t="shared" si="820"/>
        <v>04-08-2020 01:05:33</v>
      </c>
      <c r="B1997" t="str">
        <f>"0000808955"</f>
        <v>0000808955</v>
      </c>
      <c r="C1997" t="str">
        <f t="shared" si="821"/>
        <v>0000808798</v>
      </c>
      <c r="D1997" t="str">
        <f t="shared" si="824"/>
        <v>73185</v>
      </c>
      <c r="E1997" t="str">
        <f t="shared" si="825"/>
        <v>KFH-OPERATIONS DEPARTMENT</v>
      </c>
      <c r="F1997" t="str">
        <f t="shared" si="826"/>
        <v>IBG</v>
      </c>
      <c r="G1997" t="str">
        <f t="shared" si="837"/>
        <v>Refund COSHARE 10</v>
      </c>
      <c r="H1997" s="2">
        <v>190</v>
      </c>
      <c r="I1997" t="str">
        <f>"ROZLAN BIN ZAHARI"</f>
        <v>ROZLAN BIN ZAHARI</v>
      </c>
      <c r="J1997" t="str">
        <f t="shared" si="811"/>
        <v>MAYBANK / MAYBANK ISLAMIC</v>
      </c>
      <c r="K1997" t="str">
        <f>"153104137284"</f>
        <v>153104137284</v>
      </c>
      <c r="L1997" t="str">
        <f t="shared" si="822"/>
        <v>04-08-2020</v>
      </c>
      <c r="M1997" t="str">
        <f t="shared" si="822"/>
        <v>04-08-2020</v>
      </c>
      <c r="N1997" t="str">
        <f t="shared" si="827"/>
        <v>001105018356</v>
      </c>
      <c r="O1997" t="str">
        <f t="shared" si="828"/>
        <v>MYR</v>
      </c>
      <c r="P1997" t="str">
        <f t="shared" si="823"/>
        <v>NIL</v>
      </c>
      <c r="Q1997" t="str">
        <f t="shared" si="823"/>
        <v>NIL</v>
      </c>
      <c r="R1997" t="str">
        <f t="shared" si="829"/>
        <v>Accepted</v>
      </c>
      <c r="S1997" t="str">
        <f t="shared" si="830"/>
        <v>Approved</v>
      </c>
      <c r="T1997" t="str">
        <f t="shared" si="831"/>
        <v>10.20.8.188</v>
      </c>
      <c r="U1997" t="str">
        <f t="shared" si="832"/>
        <v>AZRAD UMAR BIN SHAARI</v>
      </c>
      <c r="V1997" t="str">
        <f t="shared" si="833"/>
        <v>FARHANA BINTI MUSTAPA</v>
      </c>
      <c r="W1997" t="str">
        <f t="shared" si="834"/>
        <v>04-08-2020</v>
      </c>
      <c r="X1997" t="str">
        <f t="shared" si="835"/>
        <v>RAZIMAH ANSAR AHMAD</v>
      </c>
      <c r="Y1997" t="str">
        <f t="shared" si="836"/>
        <v>04-08-2020</v>
      </c>
      <c r="Z1997" t="str">
        <f>"COS10200804 7157"</f>
        <v>COS10200804 7157</v>
      </c>
    </row>
    <row r="1998" spans="1:26" x14ac:dyDescent="0.25">
      <c r="A1998" t="str">
        <f t="shared" si="820"/>
        <v>04-08-2020 01:05:33</v>
      </c>
      <c r="B1998" t="str">
        <f>"0000808954"</f>
        <v>0000808954</v>
      </c>
      <c r="C1998" t="str">
        <f t="shared" si="821"/>
        <v>0000808798</v>
      </c>
      <c r="D1998" t="str">
        <f t="shared" si="824"/>
        <v>73185</v>
      </c>
      <c r="E1998" t="str">
        <f t="shared" si="825"/>
        <v>KFH-OPERATIONS DEPARTMENT</v>
      </c>
      <c r="F1998" t="str">
        <f t="shared" si="826"/>
        <v>IBG</v>
      </c>
      <c r="G1998" t="str">
        <f t="shared" si="837"/>
        <v>Refund COSHARE 10</v>
      </c>
      <c r="H1998" s="2">
        <v>1544.8</v>
      </c>
      <c r="I1998" t="str">
        <f>"ROZIYAH BINTI ABDULLAH"</f>
        <v>ROZIYAH BINTI ABDULLAH</v>
      </c>
      <c r="J1998" t="str">
        <f t="shared" si="811"/>
        <v>MAYBANK / MAYBANK ISLAMIC</v>
      </c>
      <c r="K1998" t="str">
        <f>"112344375907"</f>
        <v>112344375907</v>
      </c>
      <c r="L1998" t="str">
        <f t="shared" si="822"/>
        <v>04-08-2020</v>
      </c>
      <c r="M1998" t="str">
        <f t="shared" si="822"/>
        <v>04-08-2020</v>
      </c>
      <c r="N1998" t="str">
        <f t="shared" si="827"/>
        <v>001105018356</v>
      </c>
      <c r="O1998" t="str">
        <f t="shared" si="828"/>
        <v>MYR</v>
      </c>
      <c r="P1998" t="str">
        <f t="shared" si="823"/>
        <v>NIL</v>
      </c>
      <c r="Q1998" t="str">
        <f t="shared" si="823"/>
        <v>NIL</v>
      </c>
      <c r="R1998" t="str">
        <f t="shared" si="829"/>
        <v>Accepted</v>
      </c>
      <c r="S1998" t="str">
        <f t="shared" si="830"/>
        <v>Approved</v>
      </c>
      <c r="T1998" t="str">
        <f t="shared" si="831"/>
        <v>10.20.8.188</v>
      </c>
      <c r="U1998" t="str">
        <f t="shared" si="832"/>
        <v>AZRAD UMAR BIN SHAARI</v>
      </c>
      <c r="V1998" t="str">
        <f t="shared" si="833"/>
        <v>FARHANA BINTI MUSTAPA</v>
      </c>
      <c r="W1998" t="str">
        <f t="shared" si="834"/>
        <v>04-08-2020</v>
      </c>
      <c r="X1998" t="str">
        <f t="shared" si="835"/>
        <v>RAZIMAH ANSAR AHMAD</v>
      </c>
      <c r="Y1998" t="str">
        <f t="shared" si="836"/>
        <v>04-08-2020</v>
      </c>
      <c r="Z1998" t="str">
        <f>"COS10200804 7156"</f>
        <v>COS10200804 7156</v>
      </c>
    </row>
    <row r="1999" spans="1:26" x14ac:dyDescent="0.25">
      <c r="A1999" t="str">
        <f t="shared" si="820"/>
        <v>04-08-2020 01:05:33</v>
      </c>
      <c r="B1999" t="str">
        <f>"0000808953"</f>
        <v>0000808953</v>
      </c>
      <c r="C1999" t="str">
        <f t="shared" si="821"/>
        <v>0000808798</v>
      </c>
      <c r="D1999" t="str">
        <f t="shared" si="824"/>
        <v>73185</v>
      </c>
      <c r="E1999" t="str">
        <f t="shared" si="825"/>
        <v>KFH-OPERATIONS DEPARTMENT</v>
      </c>
      <c r="F1999" t="str">
        <f t="shared" si="826"/>
        <v>IBG</v>
      </c>
      <c r="G1999" t="str">
        <f t="shared" si="837"/>
        <v>Refund COSHARE 10</v>
      </c>
      <c r="H1999" s="2">
        <v>118.95</v>
      </c>
      <c r="I1999" t="str">
        <f>"ROZITAH BINTI KHALID"</f>
        <v>ROZITAH BINTI KHALID</v>
      </c>
      <c r="J1999" t="str">
        <f t="shared" si="811"/>
        <v>MAYBANK / MAYBANK ISLAMIC</v>
      </c>
      <c r="K1999" t="str">
        <f>"106137094993"</f>
        <v>106137094993</v>
      </c>
      <c r="L1999" t="str">
        <f t="shared" si="822"/>
        <v>04-08-2020</v>
      </c>
      <c r="M1999" t="str">
        <f t="shared" si="822"/>
        <v>04-08-2020</v>
      </c>
      <c r="N1999" t="str">
        <f t="shared" si="827"/>
        <v>001105018356</v>
      </c>
      <c r="O1999" t="str">
        <f t="shared" si="828"/>
        <v>MYR</v>
      </c>
      <c r="P1999" t="str">
        <f t="shared" si="823"/>
        <v>NIL</v>
      </c>
      <c r="Q1999" t="str">
        <f t="shared" si="823"/>
        <v>NIL</v>
      </c>
      <c r="R1999" t="str">
        <f t="shared" si="829"/>
        <v>Accepted</v>
      </c>
      <c r="S1999" t="str">
        <f t="shared" si="830"/>
        <v>Approved</v>
      </c>
      <c r="T1999" t="str">
        <f t="shared" si="831"/>
        <v>10.20.8.188</v>
      </c>
      <c r="U1999" t="str">
        <f t="shared" si="832"/>
        <v>AZRAD UMAR BIN SHAARI</v>
      </c>
      <c r="V1999" t="str">
        <f t="shared" si="833"/>
        <v>FARHANA BINTI MUSTAPA</v>
      </c>
      <c r="W1999" t="str">
        <f t="shared" si="834"/>
        <v>04-08-2020</v>
      </c>
      <c r="X1999" t="str">
        <f t="shared" si="835"/>
        <v>RAZIMAH ANSAR AHMAD</v>
      </c>
      <c r="Y1999" t="str">
        <f t="shared" si="836"/>
        <v>04-08-2020</v>
      </c>
      <c r="Z1999" t="str">
        <f>"COS10200804 7155"</f>
        <v>COS10200804 7155</v>
      </c>
    </row>
    <row r="2000" spans="1:26" x14ac:dyDescent="0.25">
      <c r="A2000" t="str">
        <f t="shared" si="820"/>
        <v>04-08-2020 01:05:33</v>
      </c>
      <c r="B2000" t="str">
        <f>"0000808952"</f>
        <v>0000808952</v>
      </c>
      <c r="C2000" t="str">
        <f t="shared" si="821"/>
        <v>0000808798</v>
      </c>
      <c r="D2000" t="str">
        <f t="shared" si="824"/>
        <v>73185</v>
      </c>
      <c r="E2000" t="str">
        <f t="shared" si="825"/>
        <v>KFH-OPERATIONS DEPARTMENT</v>
      </c>
      <c r="F2000" t="str">
        <f t="shared" si="826"/>
        <v>IBG</v>
      </c>
      <c r="G2000" t="str">
        <f t="shared" si="837"/>
        <v>Refund COSHARE 10</v>
      </c>
      <c r="H2000" s="2">
        <v>59.6</v>
      </c>
      <c r="I2000" t="str">
        <f>"ROZITA BINTI ABDULLAH"</f>
        <v>ROZITA BINTI ABDULLAH</v>
      </c>
      <c r="J2000" t="str">
        <f t="shared" si="811"/>
        <v>MAYBANK / MAYBANK ISLAMIC</v>
      </c>
      <c r="K2000" t="str">
        <f>"114011176237"</f>
        <v>114011176237</v>
      </c>
      <c r="L2000" t="str">
        <f t="shared" si="822"/>
        <v>04-08-2020</v>
      </c>
      <c r="M2000" t="str">
        <f t="shared" si="822"/>
        <v>04-08-2020</v>
      </c>
      <c r="N2000" t="str">
        <f t="shared" si="827"/>
        <v>001105018356</v>
      </c>
      <c r="O2000" t="str">
        <f t="shared" si="828"/>
        <v>MYR</v>
      </c>
      <c r="P2000" t="str">
        <f t="shared" si="823"/>
        <v>NIL</v>
      </c>
      <c r="Q2000" t="str">
        <f t="shared" si="823"/>
        <v>NIL</v>
      </c>
      <c r="R2000" t="str">
        <f t="shared" si="829"/>
        <v>Accepted</v>
      </c>
      <c r="S2000" t="str">
        <f t="shared" si="830"/>
        <v>Approved</v>
      </c>
      <c r="T2000" t="str">
        <f t="shared" si="831"/>
        <v>10.20.8.188</v>
      </c>
      <c r="U2000" t="str">
        <f t="shared" si="832"/>
        <v>AZRAD UMAR BIN SHAARI</v>
      </c>
      <c r="V2000" t="str">
        <f t="shared" si="833"/>
        <v>FARHANA BINTI MUSTAPA</v>
      </c>
      <c r="W2000" t="str">
        <f t="shared" si="834"/>
        <v>04-08-2020</v>
      </c>
      <c r="X2000" t="str">
        <f t="shared" si="835"/>
        <v>RAZIMAH ANSAR AHMAD</v>
      </c>
      <c r="Y2000" t="str">
        <f t="shared" si="836"/>
        <v>04-08-2020</v>
      </c>
      <c r="Z2000" t="str">
        <f>"COS10200804 7154"</f>
        <v>COS10200804 7154</v>
      </c>
    </row>
    <row r="2001" spans="1:26" x14ac:dyDescent="0.25">
      <c r="A2001" t="str">
        <f t="shared" si="820"/>
        <v>04-08-2020 01:05:33</v>
      </c>
      <c r="B2001" t="str">
        <f>"0000808951"</f>
        <v>0000808951</v>
      </c>
      <c r="C2001" t="str">
        <f t="shared" si="821"/>
        <v>0000808798</v>
      </c>
      <c r="D2001" t="str">
        <f t="shared" si="824"/>
        <v>73185</v>
      </c>
      <c r="E2001" t="str">
        <f t="shared" si="825"/>
        <v>KFH-OPERATIONS DEPARTMENT</v>
      </c>
      <c r="F2001" t="str">
        <f t="shared" si="826"/>
        <v>IBG</v>
      </c>
      <c r="G2001" t="str">
        <f t="shared" si="837"/>
        <v>Refund COSHARE 10</v>
      </c>
      <c r="H2001" s="2">
        <v>453.35</v>
      </c>
      <c r="I2001" t="str">
        <f>"ROZIMAWATI BINTI AB RAHMAN"</f>
        <v>ROZIMAWATI BINTI AB RAHMAN</v>
      </c>
      <c r="J2001" t="str">
        <f t="shared" ref="J2001:J2064" si="838">"MAYBANK / MAYBANK ISLAMIC"</f>
        <v>MAYBANK / MAYBANK ISLAMIC</v>
      </c>
      <c r="K2001" t="str">
        <f>"164221302383"</f>
        <v>164221302383</v>
      </c>
      <c r="L2001" t="str">
        <f t="shared" si="822"/>
        <v>04-08-2020</v>
      </c>
      <c r="M2001" t="str">
        <f t="shared" si="822"/>
        <v>04-08-2020</v>
      </c>
      <c r="N2001" t="str">
        <f t="shared" si="827"/>
        <v>001105018356</v>
      </c>
      <c r="O2001" t="str">
        <f t="shared" si="828"/>
        <v>MYR</v>
      </c>
      <c r="P2001" t="str">
        <f t="shared" si="823"/>
        <v>NIL</v>
      </c>
      <c r="Q2001" t="str">
        <f t="shared" si="823"/>
        <v>NIL</v>
      </c>
      <c r="R2001" t="str">
        <f t="shared" si="829"/>
        <v>Accepted</v>
      </c>
      <c r="S2001" t="str">
        <f t="shared" si="830"/>
        <v>Approved</v>
      </c>
      <c r="T2001" t="str">
        <f t="shared" si="831"/>
        <v>10.20.8.188</v>
      </c>
      <c r="U2001" t="str">
        <f t="shared" si="832"/>
        <v>AZRAD UMAR BIN SHAARI</v>
      </c>
      <c r="V2001" t="str">
        <f t="shared" si="833"/>
        <v>FARHANA BINTI MUSTAPA</v>
      </c>
      <c r="W2001" t="str">
        <f t="shared" si="834"/>
        <v>04-08-2020</v>
      </c>
      <c r="X2001" t="str">
        <f t="shared" si="835"/>
        <v>RAZIMAH ANSAR AHMAD</v>
      </c>
      <c r="Y2001" t="str">
        <f t="shared" si="836"/>
        <v>04-08-2020</v>
      </c>
      <c r="Z2001" t="str">
        <f>"COS10200804 7153"</f>
        <v>COS10200804 7153</v>
      </c>
    </row>
    <row r="2002" spans="1:26" x14ac:dyDescent="0.25">
      <c r="A2002" t="str">
        <f t="shared" si="820"/>
        <v>04-08-2020 01:05:33</v>
      </c>
      <c r="B2002" t="str">
        <f>"0000808950"</f>
        <v>0000808950</v>
      </c>
      <c r="C2002" t="str">
        <f t="shared" si="821"/>
        <v>0000808798</v>
      </c>
      <c r="D2002" t="str">
        <f t="shared" si="824"/>
        <v>73185</v>
      </c>
      <c r="E2002" t="str">
        <f t="shared" si="825"/>
        <v>KFH-OPERATIONS DEPARTMENT</v>
      </c>
      <c r="F2002" t="str">
        <f t="shared" si="826"/>
        <v>IBG</v>
      </c>
      <c r="G2002" t="str">
        <f t="shared" si="837"/>
        <v>Refund COSHARE 10</v>
      </c>
      <c r="H2002" s="2">
        <v>167.9</v>
      </c>
      <c r="I2002" t="str">
        <f>"ROZILAWATI BINTI ABDUL GAPPAR"</f>
        <v>ROZILAWATI BINTI ABDUL GAPPAR</v>
      </c>
      <c r="J2002" t="str">
        <f t="shared" si="838"/>
        <v>MAYBANK / MAYBANK ISLAMIC</v>
      </c>
      <c r="K2002" t="str">
        <f>"151137905672"</f>
        <v>151137905672</v>
      </c>
      <c r="L2002" t="str">
        <f t="shared" si="822"/>
        <v>04-08-2020</v>
      </c>
      <c r="M2002" t="str">
        <f t="shared" si="822"/>
        <v>04-08-2020</v>
      </c>
      <c r="N2002" t="str">
        <f t="shared" si="827"/>
        <v>001105018356</v>
      </c>
      <c r="O2002" t="str">
        <f t="shared" si="828"/>
        <v>MYR</v>
      </c>
      <c r="P2002" t="str">
        <f t="shared" si="823"/>
        <v>NIL</v>
      </c>
      <c r="Q2002" t="str">
        <f t="shared" si="823"/>
        <v>NIL</v>
      </c>
      <c r="R2002" t="str">
        <f t="shared" si="829"/>
        <v>Accepted</v>
      </c>
      <c r="S2002" t="str">
        <f t="shared" si="830"/>
        <v>Approved</v>
      </c>
      <c r="T2002" t="str">
        <f t="shared" si="831"/>
        <v>10.20.8.188</v>
      </c>
      <c r="U2002" t="str">
        <f t="shared" si="832"/>
        <v>AZRAD UMAR BIN SHAARI</v>
      </c>
      <c r="V2002" t="str">
        <f t="shared" si="833"/>
        <v>FARHANA BINTI MUSTAPA</v>
      </c>
      <c r="W2002" t="str">
        <f t="shared" si="834"/>
        <v>04-08-2020</v>
      </c>
      <c r="X2002" t="str">
        <f t="shared" si="835"/>
        <v>RAZIMAH ANSAR AHMAD</v>
      </c>
      <c r="Y2002" t="str">
        <f t="shared" si="836"/>
        <v>04-08-2020</v>
      </c>
      <c r="Z2002" t="str">
        <f>"COS10200804 7152"</f>
        <v>COS10200804 7152</v>
      </c>
    </row>
    <row r="2003" spans="1:26" x14ac:dyDescent="0.25">
      <c r="A2003" t="str">
        <f t="shared" si="820"/>
        <v>04-08-2020 01:05:33</v>
      </c>
      <c r="B2003" t="str">
        <f>"0000808949"</f>
        <v>0000808949</v>
      </c>
      <c r="C2003" t="str">
        <f t="shared" si="821"/>
        <v>0000808798</v>
      </c>
      <c r="D2003" t="str">
        <f t="shared" si="824"/>
        <v>73185</v>
      </c>
      <c r="E2003" t="str">
        <f t="shared" si="825"/>
        <v>KFH-OPERATIONS DEPARTMENT</v>
      </c>
      <c r="F2003" t="str">
        <f t="shared" si="826"/>
        <v>IBG</v>
      </c>
      <c r="G2003" t="str">
        <f t="shared" si="837"/>
        <v>Refund COSHARE 10</v>
      </c>
      <c r="H2003" s="2">
        <v>61</v>
      </c>
      <c r="I2003" t="str">
        <f>"ROZILAWANI BINTI RAZAK"</f>
        <v>ROZILAWANI BINTI RAZAK</v>
      </c>
      <c r="J2003" t="str">
        <f t="shared" si="838"/>
        <v>MAYBANK / MAYBANK ISLAMIC</v>
      </c>
      <c r="K2003" t="str">
        <f>"151061143408"</f>
        <v>151061143408</v>
      </c>
      <c r="L2003" t="str">
        <f t="shared" si="822"/>
        <v>04-08-2020</v>
      </c>
      <c r="M2003" t="str">
        <f t="shared" si="822"/>
        <v>04-08-2020</v>
      </c>
      <c r="N2003" t="str">
        <f t="shared" si="827"/>
        <v>001105018356</v>
      </c>
      <c r="O2003" t="str">
        <f t="shared" si="828"/>
        <v>MYR</v>
      </c>
      <c r="P2003" t="str">
        <f t="shared" si="823"/>
        <v>NIL</v>
      </c>
      <c r="Q2003" t="str">
        <f t="shared" si="823"/>
        <v>NIL</v>
      </c>
      <c r="R2003" t="str">
        <f t="shared" si="829"/>
        <v>Accepted</v>
      </c>
      <c r="S2003" t="str">
        <f t="shared" si="830"/>
        <v>Approved</v>
      </c>
      <c r="T2003" t="str">
        <f t="shared" si="831"/>
        <v>10.20.8.188</v>
      </c>
      <c r="U2003" t="str">
        <f t="shared" si="832"/>
        <v>AZRAD UMAR BIN SHAARI</v>
      </c>
      <c r="V2003" t="str">
        <f t="shared" si="833"/>
        <v>FARHANA BINTI MUSTAPA</v>
      </c>
      <c r="W2003" t="str">
        <f t="shared" si="834"/>
        <v>04-08-2020</v>
      </c>
      <c r="X2003" t="str">
        <f t="shared" si="835"/>
        <v>RAZIMAH ANSAR AHMAD</v>
      </c>
      <c r="Y2003" t="str">
        <f t="shared" si="836"/>
        <v>04-08-2020</v>
      </c>
      <c r="Z2003" t="str">
        <f>"COS10200804 7151"</f>
        <v>COS10200804 7151</v>
      </c>
    </row>
    <row r="2004" spans="1:26" x14ac:dyDescent="0.25">
      <c r="A2004" t="str">
        <f t="shared" si="820"/>
        <v>04-08-2020 01:05:33</v>
      </c>
      <c r="B2004" t="str">
        <f>"0000808948"</f>
        <v>0000808948</v>
      </c>
      <c r="C2004" t="str">
        <f t="shared" si="821"/>
        <v>0000808798</v>
      </c>
      <c r="D2004" t="str">
        <f t="shared" si="824"/>
        <v>73185</v>
      </c>
      <c r="E2004" t="str">
        <f t="shared" si="825"/>
        <v>KFH-OPERATIONS DEPARTMENT</v>
      </c>
      <c r="F2004" t="str">
        <f t="shared" si="826"/>
        <v>IBG</v>
      </c>
      <c r="G2004" t="str">
        <f t="shared" si="837"/>
        <v>Refund COSHARE 10</v>
      </c>
      <c r="H2004" s="2">
        <v>201</v>
      </c>
      <c r="I2004" t="str">
        <f>"ROZILAH BINTI KASWATI"</f>
        <v>ROZILAH BINTI KASWATI</v>
      </c>
      <c r="J2004" t="str">
        <f t="shared" si="838"/>
        <v>MAYBANK / MAYBANK ISLAMIC</v>
      </c>
      <c r="K2004" t="str">
        <f>"162115029875"</f>
        <v>162115029875</v>
      </c>
      <c r="L2004" t="str">
        <f t="shared" si="822"/>
        <v>04-08-2020</v>
      </c>
      <c r="M2004" t="str">
        <f t="shared" si="822"/>
        <v>04-08-2020</v>
      </c>
      <c r="N2004" t="str">
        <f t="shared" si="827"/>
        <v>001105018356</v>
      </c>
      <c r="O2004" t="str">
        <f t="shared" si="828"/>
        <v>MYR</v>
      </c>
      <c r="P2004" t="str">
        <f t="shared" si="823"/>
        <v>NIL</v>
      </c>
      <c r="Q2004" t="str">
        <f t="shared" si="823"/>
        <v>NIL</v>
      </c>
      <c r="R2004" t="str">
        <f t="shared" si="829"/>
        <v>Accepted</v>
      </c>
      <c r="S2004" t="str">
        <f t="shared" si="830"/>
        <v>Approved</v>
      </c>
      <c r="T2004" t="str">
        <f t="shared" si="831"/>
        <v>10.20.8.188</v>
      </c>
      <c r="U2004" t="str">
        <f t="shared" si="832"/>
        <v>AZRAD UMAR BIN SHAARI</v>
      </c>
      <c r="V2004" t="str">
        <f t="shared" si="833"/>
        <v>FARHANA BINTI MUSTAPA</v>
      </c>
      <c r="W2004" t="str">
        <f t="shared" si="834"/>
        <v>04-08-2020</v>
      </c>
      <c r="X2004" t="str">
        <f t="shared" si="835"/>
        <v>RAZIMAH ANSAR AHMAD</v>
      </c>
      <c r="Y2004" t="str">
        <f t="shared" si="836"/>
        <v>04-08-2020</v>
      </c>
      <c r="Z2004" t="str">
        <f>"COS10200804 7150"</f>
        <v>COS10200804 7150</v>
      </c>
    </row>
    <row r="2005" spans="1:26" x14ac:dyDescent="0.25">
      <c r="A2005" t="str">
        <f t="shared" si="820"/>
        <v>04-08-2020 01:05:33</v>
      </c>
      <c r="B2005" t="str">
        <f>"0000808947"</f>
        <v>0000808947</v>
      </c>
      <c r="C2005" t="str">
        <f t="shared" si="821"/>
        <v>0000808798</v>
      </c>
      <c r="D2005" t="str">
        <f t="shared" si="824"/>
        <v>73185</v>
      </c>
      <c r="E2005" t="str">
        <f t="shared" si="825"/>
        <v>KFH-OPERATIONS DEPARTMENT</v>
      </c>
      <c r="F2005" t="str">
        <f t="shared" si="826"/>
        <v>IBG</v>
      </c>
      <c r="G2005" t="str">
        <f t="shared" si="837"/>
        <v>Refund COSHARE 10</v>
      </c>
      <c r="H2005" s="2">
        <v>67.2</v>
      </c>
      <c r="I2005" t="str">
        <f>"ROZIEMARHAYANIE BINTI RUSLAN"</f>
        <v>ROZIEMARHAYANIE BINTI RUSLAN</v>
      </c>
      <c r="J2005" t="str">
        <f t="shared" si="838"/>
        <v>MAYBANK / MAYBANK ISLAMIC</v>
      </c>
      <c r="K2005" t="str">
        <f>"156093965999"</f>
        <v>156093965999</v>
      </c>
      <c r="L2005" t="str">
        <f t="shared" si="822"/>
        <v>04-08-2020</v>
      </c>
      <c r="M2005" t="str">
        <f t="shared" si="822"/>
        <v>04-08-2020</v>
      </c>
      <c r="N2005" t="str">
        <f t="shared" si="827"/>
        <v>001105018356</v>
      </c>
      <c r="O2005" t="str">
        <f t="shared" si="828"/>
        <v>MYR</v>
      </c>
      <c r="P2005" t="str">
        <f t="shared" si="823"/>
        <v>NIL</v>
      </c>
      <c r="Q2005" t="str">
        <f t="shared" si="823"/>
        <v>NIL</v>
      </c>
      <c r="R2005" t="str">
        <f t="shared" si="829"/>
        <v>Accepted</v>
      </c>
      <c r="S2005" t="str">
        <f t="shared" si="830"/>
        <v>Approved</v>
      </c>
      <c r="T2005" t="str">
        <f t="shared" si="831"/>
        <v>10.20.8.188</v>
      </c>
      <c r="U2005" t="str">
        <f t="shared" si="832"/>
        <v>AZRAD UMAR BIN SHAARI</v>
      </c>
      <c r="V2005" t="str">
        <f t="shared" si="833"/>
        <v>FARHANA BINTI MUSTAPA</v>
      </c>
      <c r="W2005" t="str">
        <f t="shared" si="834"/>
        <v>04-08-2020</v>
      </c>
      <c r="X2005" t="str">
        <f t="shared" si="835"/>
        <v>RAZIMAH ANSAR AHMAD</v>
      </c>
      <c r="Y2005" t="str">
        <f t="shared" si="836"/>
        <v>04-08-2020</v>
      </c>
      <c r="Z2005" t="str">
        <f>"COS10200804 7149"</f>
        <v>COS10200804 7149</v>
      </c>
    </row>
    <row r="2006" spans="1:26" x14ac:dyDescent="0.25">
      <c r="A2006" t="str">
        <f t="shared" si="820"/>
        <v>04-08-2020 01:05:33</v>
      </c>
      <c r="B2006" t="str">
        <f>"0000808946"</f>
        <v>0000808946</v>
      </c>
      <c r="C2006" t="str">
        <f t="shared" si="821"/>
        <v>0000808798</v>
      </c>
      <c r="D2006" t="str">
        <f t="shared" si="824"/>
        <v>73185</v>
      </c>
      <c r="E2006" t="str">
        <f t="shared" si="825"/>
        <v>KFH-OPERATIONS DEPARTMENT</v>
      </c>
      <c r="F2006" t="str">
        <f t="shared" si="826"/>
        <v>IBG</v>
      </c>
      <c r="G2006" t="str">
        <f t="shared" si="837"/>
        <v>Refund COSHARE 10</v>
      </c>
      <c r="H2006" s="2">
        <v>159.5</v>
      </c>
      <c r="I2006" t="str">
        <f>"ROZIEMARHAYANIE BINTI RUSLAN"</f>
        <v>ROZIEMARHAYANIE BINTI RUSLAN</v>
      </c>
      <c r="J2006" t="str">
        <f t="shared" si="838"/>
        <v>MAYBANK / MAYBANK ISLAMIC</v>
      </c>
      <c r="K2006" t="str">
        <f>"156093965999"</f>
        <v>156093965999</v>
      </c>
      <c r="L2006" t="str">
        <f t="shared" si="822"/>
        <v>04-08-2020</v>
      </c>
      <c r="M2006" t="str">
        <f t="shared" si="822"/>
        <v>04-08-2020</v>
      </c>
      <c r="N2006" t="str">
        <f t="shared" si="827"/>
        <v>001105018356</v>
      </c>
      <c r="O2006" t="str">
        <f t="shared" si="828"/>
        <v>MYR</v>
      </c>
      <c r="P2006" t="str">
        <f t="shared" si="823"/>
        <v>NIL</v>
      </c>
      <c r="Q2006" t="str">
        <f t="shared" si="823"/>
        <v>NIL</v>
      </c>
      <c r="R2006" t="str">
        <f t="shared" si="829"/>
        <v>Accepted</v>
      </c>
      <c r="S2006" t="str">
        <f t="shared" si="830"/>
        <v>Approved</v>
      </c>
      <c r="T2006" t="str">
        <f t="shared" si="831"/>
        <v>10.20.8.188</v>
      </c>
      <c r="U2006" t="str">
        <f t="shared" si="832"/>
        <v>AZRAD UMAR BIN SHAARI</v>
      </c>
      <c r="V2006" t="str">
        <f t="shared" si="833"/>
        <v>FARHANA BINTI MUSTAPA</v>
      </c>
      <c r="W2006" t="str">
        <f t="shared" si="834"/>
        <v>04-08-2020</v>
      </c>
      <c r="X2006" t="str">
        <f t="shared" si="835"/>
        <v>RAZIMAH ANSAR AHMAD</v>
      </c>
      <c r="Y2006" t="str">
        <f t="shared" si="836"/>
        <v>04-08-2020</v>
      </c>
      <c r="Z2006" t="str">
        <f>"COS10200804 7148"</f>
        <v>COS10200804 7148</v>
      </c>
    </row>
    <row r="2007" spans="1:26" x14ac:dyDescent="0.25">
      <c r="A2007" t="str">
        <f t="shared" si="820"/>
        <v>04-08-2020 01:05:33</v>
      </c>
      <c r="B2007" t="str">
        <f>"0000808945"</f>
        <v>0000808945</v>
      </c>
      <c r="C2007" t="str">
        <f t="shared" si="821"/>
        <v>0000808798</v>
      </c>
      <c r="D2007" t="str">
        <f t="shared" si="824"/>
        <v>73185</v>
      </c>
      <c r="E2007" t="str">
        <f t="shared" si="825"/>
        <v>KFH-OPERATIONS DEPARTMENT</v>
      </c>
      <c r="F2007" t="str">
        <f t="shared" si="826"/>
        <v>IBG</v>
      </c>
      <c r="G2007" t="str">
        <f t="shared" si="837"/>
        <v>Refund COSHARE 10</v>
      </c>
      <c r="H2007" s="2">
        <v>380</v>
      </c>
      <c r="I2007" t="str">
        <f>"ROZIANA BINTI RAMLEE"</f>
        <v>ROZIANA BINTI RAMLEE</v>
      </c>
      <c r="J2007" t="str">
        <f t="shared" si="838"/>
        <v>MAYBANK / MAYBANK ISLAMIC</v>
      </c>
      <c r="K2007" t="str">
        <f>"156039314478"</f>
        <v>156039314478</v>
      </c>
      <c r="L2007" t="str">
        <f t="shared" ref="L2007:M2026" si="839">"04-08-2020"</f>
        <v>04-08-2020</v>
      </c>
      <c r="M2007" t="str">
        <f t="shared" si="839"/>
        <v>04-08-2020</v>
      </c>
      <c r="N2007" t="str">
        <f t="shared" si="827"/>
        <v>001105018356</v>
      </c>
      <c r="O2007" t="str">
        <f t="shared" si="828"/>
        <v>MYR</v>
      </c>
      <c r="P2007" t="str">
        <f t="shared" ref="P2007:Q2026" si="840">"NIL"</f>
        <v>NIL</v>
      </c>
      <c r="Q2007" t="str">
        <f t="shared" si="840"/>
        <v>NIL</v>
      </c>
      <c r="R2007" t="str">
        <f t="shared" si="829"/>
        <v>Accepted</v>
      </c>
      <c r="S2007" t="str">
        <f t="shared" si="830"/>
        <v>Approved</v>
      </c>
      <c r="T2007" t="str">
        <f t="shared" si="831"/>
        <v>10.20.8.188</v>
      </c>
      <c r="U2007" t="str">
        <f t="shared" si="832"/>
        <v>AZRAD UMAR BIN SHAARI</v>
      </c>
      <c r="V2007" t="str">
        <f t="shared" si="833"/>
        <v>FARHANA BINTI MUSTAPA</v>
      </c>
      <c r="W2007" t="str">
        <f t="shared" si="834"/>
        <v>04-08-2020</v>
      </c>
      <c r="X2007" t="str">
        <f t="shared" si="835"/>
        <v>RAZIMAH ANSAR AHMAD</v>
      </c>
      <c r="Y2007" t="str">
        <f t="shared" si="836"/>
        <v>04-08-2020</v>
      </c>
      <c r="Z2007" t="str">
        <f>"COS10200804 7147"</f>
        <v>COS10200804 7147</v>
      </c>
    </row>
    <row r="2008" spans="1:26" x14ac:dyDescent="0.25">
      <c r="A2008" t="str">
        <f t="shared" si="820"/>
        <v>04-08-2020 01:05:33</v>
      </c>
      <c r="B2008" t="str">
        <f>"0000808944"</f>
        <v>0000808944</v>
      </c>
      <c r="C2008" t="str">
        <f t="shared" si="821"/>
        <v>0000808798</v>
      </c>
      <c r="D2008" t="str">
        <f t="shared" si="824"/>
        <v>73185</v>
      </c>
      <c r="E2008" t="str">
        <f t="shared" si="825"/>
        <v>KFH-OPERATIONS DEPARTMENT</v>
      </c>
      <c r="F2008" t="str">
        <f t="shared" si="826"/>
        <v>IBG</v>
      </c>
      <c r="G2008" t="str">
        <f t="shared" si="837"/>
        <v>Refund COSHARE 10</v>
      </c>
      <c r="H2008" s="2">
        <v>109.8</v>
      </c>
      <c r="I2008" t="str">
        <f>"ROZIAH KELANI"</f>
        <v>ROZIAH KELANI</v>
      </c>
      <c r="J2008" t="str">
        <f t="shared" si="838"/>
        <v>MAYBANK / MAYBANK ISLAMIC</v>
      </c>
      <c r="K2008" t="str">
        <f>"111114018335"</f>
        <v>111114018335</v>
      </c>
      <c r="L2008" t="str">
        <f t="shared" si="839"/>
        <v>04-08-2020</v>
      </c>
      <c r="M2008" t="str">
        <f t="shared" si="839"/>
        <v>04-08-2020</v>
      </c>
      <c r="N2008" t="str">
        <f t="shared" si="827"/>
        <v>001105018356</v>
      </c>
      <c r="O2008" t="str">
        <f t="shared" si="828"/>
        <v>MYR</v>
      </c>
      <c r="P2008" t="str">
        <f t="shared" si="840"/>
        <v>NIL</v>
      </c>
      <c r="Q2008" t="str">
        <f t="shared" si="840"/>
        <v>NIL</v>
      </c>
      <c r="R2008" t="str">
        <f t="shared" si="829"/>
        <v>Accepted</v>
      </c>
      <c r="S2008" t="str">
        <f t="shared" si="830"/>
        <v>Approved</v>
      </c>
      <c r="T2008" t="str">
        <f t="shared" si="831"/>
        <v>10.20.8.188</v>
      </c>
      <c r="U2008" t="str">
        <f t="shared" si="832"/>
        <v>AZRAD UMAR BIN SHAARI</v>
      </c>
      <c r="V2008" t="str">
        <f t="shared" si="833"/>
        <v>FARHANA BINTI MUSTAPA</v>
      </c>
      <c r="W2008" t="str">
        <f t="shared" si="834"/>
        <v>04-08-2020</v>
      </c>
      <c r="X2008" t="str">
        <f t="shared" si="835"/>
        <v>RAZIMAH ANSAR AHMAD</v>
      </c>
      <c r="Y2008" t="str">
        <f t="shared" si="836"/>
        <v>04-08-2020</v>
      </c>
      <c r="Z2008" t="str">
        <f>"COS10200804 7146"</f>
        <v>COS10200804 7146</v>
      </c>
    </row>
    <row r="2009" spans="1:26" x14ac:dyDescent="0.25">
      <c r="A2009" t="str">
        <f t="shared" si="820"/>
        <v>04-08-2020 01:05:33</v>
      </c>
      <c r="B2009" t="str">
        <f>"0000808943"</f>
        <v>0000808943</v>
      </c>
      <c r="C2009" t="str">
        <f t="shared" si="821"/>
        <v>0000808798</v>
      </c>
      <c r="D2009" t="str">
        <f t="shared" si="824"/>
        <v>73185</v>
      </c>
      <c r="E2009" t="str">
        <f t="shared" si="825"/>
        <v>KFH-OPERATIONS DEPARTMENT</v>
      </c>
      <c r="F2009" t="str">
        <f t="shared" si="826"/>
        <v>IBG</v>
      </c>
      <c r="G2009" t="str">
        <f t="shared" si="837"/>
        <v>Refund COSHARE 10</v>
      </c>
      <c r="H2009" s="2">
        <v>419.8</v>
      </c>
      <c r="I2009" t="str">
        <f>"ROZIAH BINTI IBRAHIM"</f>
        <v>ROZIAH BINTI IBRAHIM</v>
      </c>
      <c r="J2009" t="str">
        <f t="shared" si="838"/>
        <v>MAYBANK / MAYBANK ISLAMIC</v>
      </c>
      <c r="K2009" t="str">
        <f>"155041644498"</f>
        <v>155041644498</v>
      </c>
      <c r="L2009" t="str">
        <f t="shared" si="839"/>
        <v>04-08-2020</v>
      </c>
      <c r="M2009" t="str">
        <f t="shared" si="839"/>
        <v>04-08-2020</v>
      </c>
      <c r="N2009" t="str">
        <f t="shared" si="827"/>
        <v>001105018356</v>
      </c>
      <c r="O2009" t="str">
        <f t="shared" si="828"/>
        <v>MYR</v>
      </c>
      <c r="P2009" t="str">
        <f t="shared" si="840"/>
        <v>NIL</v>
      </c>
      <c r="Q2009" t="str">
        <f t="shared" si="840"/>
        <v>NIL</v>
      </c>
      <c r="R2009" t="str">
        <f t="shared" si="829"/>
        <v>Accepted</v>
      </c>
      <c r="S2009" t="str">
        <f t="shared" si="830"/>
        <v>Approved</v>
      </c>
      <c r="T2009" t="str">
        <f t="shared" si="831"/>
        <v>10.20.8.188</v>
      </c>
      <c r="U2009" t="str">
        <f t="shared" si="832"/>
        <v>AZRAD UMAR BIN SHAARI</v>
      </c>
      <c r="V2009" t="str">
        <f t="shared" si="833"/>
        <v>FARHANA BINTI MUSTAPA</v>
      </c>
      <c r="W2009" t="str">
        <f t="shared" si="834"/>
        <v>04-08-2020</v>
      </c>
      <c r="X2009" t="str">
        <f t="shared" si="835"/>
        <v>RAZIMAH ANSAR AHMAD</v>
      </c>
      <c r="Y2009" t="str">
        <f t="shared" si="836"/>
        <v>04-08-2020</v>
      </c>
      <c r="Z2009" t="str">
        <f>"COS10200804 7145"</f>
        <v>COS10200804 7145</v>
      </c>
    </row>
    <row r="2010" spans="1:26" x14ac:dyDescent="0.25">
      <c r="A2010" t="str">
        <f t="shared" si="820"/>
        <v>04-08-2020 01:05:33</v>
      </c>
      <c r="B2010" t="str">
        <f>"0000808942"</f>
        <v>0000808942</v>
      </c>
      <c r="C2010" t="str">
        <f t="shared" si="821"/>
        <v>0000808798</v>
      </c>
      <c r="D2010" t="str">
        <f t="shared" si="824"/>
        <v>73185</v>
      </c>
      <c r="E2010" t="str">
        <f t="shared" si="825"/>
        <v>KFH-OPERATIONS DEPARTMENT</v>
      </c>
      <c r="F2010" t="str">
        <f t="shared" si="826"/>
        <v>IBG</v>
      </c>
      <c r="G2010" t="str">
        <f t="shared" si="837"/>
        <v>Refund COSHARE 10</v>
      </c>
      <c r="H2010" s="2">
        <v>117.55</v>
      </c>
      <c r="I2010" t="str">
        <f>"ROZIAH BINTI ABDUL RAZAK"</f>
        <v>ROZIAH BINTI ABDUL RAZAK</v>
      </c>
      <c r="J2010" t="str">
        <f t="shared" si="838"/>
        <v>MAYBANK / MAYBANK ISLAMIC</v>
      </c>
      <c r="K2010" t="str">
        <f>"114094018580"</f>
        <v>114094018580</v>
      </c>
      <c r="L2010" t="str">
        <f t="shared" si="839"/>
        <v>04-08-2020</v>
      </c>
      <c r="M2010" t="str">
        <f t="shared" si="839"/>
        <v>04-08-2020</v>
      </c>
      <c r="N2010" t="str">
        <f t="shared" si="827"/>
        <v>001105018356</v>
      </c>
      <c r="O2010" t="str">
        <f t="shared" si="828"/>
        <v>MYR</v>
      </c>
      <c r="P2010" t="str">
        <f t="shared" si="840"/>
        <v>NIL</v>
      </c>
      <c r="Q2010" t="str">
        <f t="shared" si="840"/>
        <v>NIL</v>
      </c>
      <c r="R2010" t="str">
        <f t="shared" si="829"/>
        <v>Accepted</v>
      </c>
      <c r="S2010" t="str">
        <f t="shared" si="830"/>
        <v>Approved</v>
      </c>
      <c r="T2010" t="str">
        <f t="shared" si="831"/>
        <v>10.20.8.188</v>
      </c>
      <c r="U2010" t="str">
        <f t="shared" si="832"/>
        <v>AZRAD UMAR BIN SHAARI</v>
      </c>
      <c r="V2010" t="str">
        <f t="shared" si="833"/>
        <v>FARHANA BINTI MUSTAPA</v>
      </c>
      <c r="W2010" t="str">
        <f t="shared" si="834"/>
        <v>04-08-2020</v>
      </c>
      <c r="X2010" t="str">
        <f t="shared" si="835"/>
        <v>RAZIMAH ANSAR AHMAD</v>
      </c>
      <c r="Y2010" t="str">
        <f t="shared" si="836"/>
        <v>04-08-2020</v>
      </c>
      <c r="Z2010" t="str">
        <f>"COS10200804 7144"</f>
        <v>COS10200804 7144</v>
      </c>
    </row>
    <row r="2011" spans="1:26" x14ac:dyDescent="0.25">
      <c r="A2011" t="str">
        <f t="shared" si="820"/>
        <v>04-08-2020 01:05:33</v>
      </c>
      <c r="B2011" t="str">
        <f>"0000808941"</f>
        <v>0000808941</v>
      </c>
      <c r="C2011" t="str">
        <f t="shared" si="821"/>
        <v>0000808798</v>
      </c>
      <c r="D2011" t="str">
        <f t="shared" si="824"/>
        <v>73185</v>
      </c>
      <c r="E2011" t="str">
        <f t="shared" si="825"/>
        <v>KFH-OPERATIONS DEPARTMENT</v>
      </c>
      <c r="F2011" t="str">
        <f t="shared" si="826"/>
        <v>IBG</v>
      </c>
      <c r="G2011" t="str">
        <f t="shared" si="837"/>
        <v>Refund COSHARE 10</v>
      </c>
      <c r="H2011" s="2">
        <v>58.8</v>
      </c>
      <c r="I2011" t="str">
        <f>"ROZI BIN SAAD"</f>
        <v>ROZI BIN SAAD</v>
      </c>
      <c r="J2011" t="str">
        <f t="shared" si="838"/>
        <v>MAYBANK / MAYBANK ISLAMIC</v>
      </c>
      <c r="K2011" t="str">
        <f>"166010061533"</f>
        <v>166010061533</v>
      </c>
      <c r="L2011" t="str">
        <f t="shared" si="839"/>
        <v>04-08-2020</v>
      </c>
      <c r="M2011" t="str">
        <f t="shared" si="839"/>
        <v>04-08-2020</v>
      </c>
      <c r="N2011" t="str">
        <f t="shared" si="827"/>
        <v>001105018356</v>
      </c>
      <c r="O2011" t="str">
        <f t="shared" si="828"/>
        <v>MYR</v>
      </c>
      <c r="P2011" t="str">
        <f t="shared" si="840"/>
        <v>NIL</v>
      </c>
      <c r="Q2011" t="str">
        <f t="shared" si="840"/>
        <v>NIL</v>
      </c>
      <c r="R2011" t="str">
        <f t="shared" si="829"/>
        <v>Accepted</v>
      </c>
      <c r="S2011" t="str">
        <f t="shared" si="830"/>
        <v>Approved</v>
      </c>
      <c r="T2011" t="str">
        <f t="shared" si="831"/>
        <v>10.20.8.188</v>
      </c>
      <c r="U2011" t="str">
        <f t="shared" si="832"/>
        <v>AZRAD UMAR BIN SHAARI</v>
      </c>
      <c r="V2011" t="str">
        <f t="shared" si="833"/>
        <v>FARHANA BINTI MUSTAPA</v>
      </c>
      <c r="W2011" t="str">
        <f t="shared" si="834"/>
        <v>04-08-2020</v>
      </c>
      <c r="X2011" t="str">
        <f t="shared" si="835"/>
        <v>RAZIMAH ANSAR AHMAD</v>
      </c>
      <c r="Y2011" t="str">
        <f t="shared" si="836"/>
        <v>04-08-2020</v>
      </c>
      <c r="Z2011" t="str">
        <f>"COS10200804 7143"</f>
        <v>COS10200804 7143</v>
      </c>
    </row>
    <row r="2012" spans="1:26" x14ac:dyDescent="0.25">
      <c r="A2012" t="str">
        <f t="shared" si="820"/>
        <v>04-08-2020 01:05:33</v>
      </c>
      <c r="B2012" t="str">
        <f>"0000808940"</f>
        <v>0000808940</v>
      </c>
      <c r="C2012" t="str">
        <f t="shared" si="821"/>
        <v>0000808798</v>
      </c>
      <c r="D2012" t="str">
        <f t="shared" si="824"/>
        <v>73185</v>
      </c>
      <c r="E2012" t="str">
        <f t="shared" si="825"/>
        <v>KFH-OPERATIONS DEPARTMENT</v>
      </c>
      <c r="F2012" t="str">
        <f t="shared" si="826"/>
        <v>IBG</v>
      </c>
      <c r="G2012" t="str">
        <f t="shared" si="837"/>
        <v>Refund COSHARE 10</v>
      </c>
      <c r="H2012" s="2">
        <v>1679</v>
      </c>
      <c r="I2012" t="str">
        <f>"ROZE YANI BINTI IDRIS"</f>
        <v>ROZE YANI BINTI IDRIS</v>
      </c>
      <c r="J2012" t="str">
        <f t="shared" si="838"/>
        <v>MAYBANK / MAYBANK ISLAMIC</v>
      </c>
      <c r="K2012" t="str">
        <f>"113087018351"</f>
        <v>113087018351</v>
      </c>
      <c r="L2012" t="str">
        <f t="shared" si="839"/>
        <v>04-08-2020</v>
      </c>
      <c r="M2012" t="str">
        <f t="shared" si="839"/>
        <v>04-08-2020</v>
      </c>
      <c r="N2012" t="str">
        <f t="shared" si="827"/>
        <v>001105018356</v>
      </c>
      <c r="O2012" t="str">
        <f t="shared" si="828"/>
        <v>MYR</v>
      </c>
      <c r="P2012" t="str">
        <f t="shared" si="840"/>
        <v>NIL</v>
      </c>
      <c r="Q2012" t="str">
        <f t="shared" si="840"/>
        <v>NIL</v>
      </c>
      <c r="R2012" t="str">
        <f t="shared" si="829"/>
        <v>Accepted</v>
      </c>
      <c r="S2012" t="str">
        <f t="shared" si="830"/>
        <v>Approved</v>
      </c>
      <c r="T2012" t="str">
        <f t="shared" si="831"/>
        <v>10.20.8.188</v>
      </c>
      <c r="U2012" t="str">
        <f t="shared" si="832"/>
        <v>AZRAD UMAR BIN SHAARI</v>
      </c>
      <c r="V2012" t="str">
        <f t="shared" si="833"/>
        <v>FARHANA BINTI MUSTAPA</v>
      </c>
      <c r="W2012" t="str">
        <f t="shared" si="834"/>
        <v>04-08-2020</v>
      </c>
      <c r="X2012" t="str">
        <f t="shared" si="835"/>
        <v>RAZIMAH ANSAR AHMAD</v>
      </c>
      <c r="Y2012" t="str">
        <f t="shared" si="836"/>
        <v>04-08-2020</v>
      </c>
      <c r="Z2012" t="str">
        <f>"COS10200804 7142"</f>
        <v>COS10200804 7142</v>
      </c>
    </row>
    <row r="2013" spans="1:26" x14ac:dyDescent="0.25">
      <c r="A2013" t="str">
        <f t="shared" si="820"/>
        <v>04-08-2020 01:05:33</v>
      </c>
      <c r="B2013" t="str">
        <f>"0000808939"</f>
        <v>0000808939</v>
      </c>
      <c r="C2013" t="str">
        <f t="shared" si="821"/>
        <v>0000808798</v>
      </c>
      <c r="D2013" t="str">
        <f t="shared" si="824"/>
        <v>73185</v>
      </c>
      <c r="E2013" t="str">
        <f t="shared" si="825"/>
        <v>KFH-OPERATIONS DEPARTMENT</v>
      </c>
      <c r="F2013" t="str">
        <f t="shared" si="826"/>
        <v>IBG</v>
      </c>
      <c r="G2013" t="str">
        <f t="shared" si="837"/>
        <v>Refund COSHARE 10</v>
      </c>
      <c r="H2013" s="2">
        <v>58.8</v>
      </c>
      <c r="I2013" t="str">
        <f>"ROZAYMIE BIN YAHAYA"</f>
        <v>ROZAYMIE BIN YAHAYA</v>
      </c>
      <c r="J2013" t="str">
        <f t="shared" si="838"/>
        <v>MAYBANK / MAYBANK ISLAMIC</v>
      </c>
      <c r="K2013" t="str">
        <f>"105122095490"</f>
        <v>105122095490</v>
      </c>
      <c r="L2013" t="str">
        <f t="shared" si="839"/>
        <v>04-08-2020</v>
      </c>
      <c r="M2013" t="str">
        <f t="shared" si="839"/>
        <v>04-08-2020</v>
      </c>
      <c r="N2013" t="str">
        <f t="shared" si="827"/>
        <v>001105018356</v>
      </c>
      <c r="O2013" t="str">
        <f t="shared" si="828"/>
        <v>MYR</v>
      </c>
      <c r="P2013" t="str">
        <f t="shared" si="840"/>
        <v>NIL</v>
      </c>
      <c r="Q2013" t="str">
        <f t="shared" si="840"/>
        <v>NIL</v>
      </c>
      <c r="R2013" t="str">
        <f t="shared" si="829"/>
        <v>Accepted</v>
      </c>
      <c r="S2013" t="str">
        <f t="shared" si="830"/>
        <v>Approved</v>
      </c>
      <c r="T2013" t="str">
        <f t="shared" si="831"/>
        <v>10.20.8.188</v>
      </c>
      <c r="U2013" t="str">
        <f t="shared" si="832"/>
        <v>AZRAD UMAR BIN SHAARI</v>
      </c>
      <c r="V2013" t="str">
        <f t="shared" si="833"/>
        <v>FARHANA BINTI MUSTAPA</v>
      </c>
      <c r="W2013" t="str">
        <f t="shared" si="834"/>
        <v>04-08-2020</v>
      </c>
      <c r="X2013" t="str">
        <f t="shared" si="835"/>
        <v>RAZIMAH ANSAR AHMAD</v>
      </c>
      <c r="Y2013" t="str">
        <f t="shared" si="836"/>
        <v>04-08-2020</v>
      </c>
      <c r="Z2013" t="str">
        <f>"COS10200804 7141"</f>
        <v>COS10200804 7141</v>
      </c>
    </row>
    <row r="2014" spans="1:26" x14ac:dyDescent="0.25">
      <c r="A2014" t="str">
        <f t="shared" si="820"/>
        <v>04-08-2020 01:05:33</v>
      </c>
      <c r="B2014" t="str">
        <f>"0000808938"</f>
        <v>0000808938</v>
      </c>
      <c r="C2014" t="str">
        <f t="shared" si="821"/>
        <v>0000808798</v>
      </c>
      <c r="D2014" t="str">
        <f t="shared" si="824"/>
        <v>73185</v>
      </c>
      <c r="E2014" t="str">
        <f t="shared" si="825"/>
        <v>KFH-OPERATIONS DEPARTMENT</v>
      </c>
      <c r="F2014" t="str">
        <f t="shared" si="826"/>
        <v>IBG</v>
      </c>
      <c r="G2014" t="str">
        <f t="shared" si="837"/>
        <v>Refund COSHARE 10</v>
      </c>
      <c r="H2014" s="2">
        <v>67.2</v>
      </c>
      <c r="I2014" t="str">
        <f>"ROZANA BINTI RAHIM"</f>
        <v>ROZANA BINTI RAHIM</v>
      </c>
      <c r="J2014" t="str">
        <f t="shared" si="838"/>
        <v>MAYBANK / MAYBANK ISLAMIC</v>
      </c>
      <c r="K2014" t="str">
        <f>"155015048984"</f>
        <v>155015048984</v>
      </c>
      <c r="L2014" t="str">
        <f t="shared" si="839"/>
        <v>04-08-2020</v>
      </c>
      <c r="M2014" t="str">
        <f t="shared" si="839"/>
        <v>04-08-2020</v>
      </c>
      <c r="N2014" t="str">
        <f t="shared" si="827"/>
        <v>001105018356</v>
      </c>
      <c r="O2014" t="str">
        <f t="shared" si="828"/>
        <v>MYR</v>
      </c>
      <c r="P2014" t="str">
        <f t="shared" si="840"/>
        <v>NIL</v>
      </c>
      <c r="Q2014" t="str">
        <f t="shared" si="840"/>
        <v>NIL</v>
      </c>
      <c r="R2014" t="str">
        <f t="shared" si="829"/>
        <v>Accepted</v>
      </c>
      <c r="S2014" t="str">
        <f t="shared" si="830"/>
        <v>Approved</v>
      </c>
      <c r="T2014" t="str">
        <f t="shared" si="831"/>
        <v>10.20.8.188</v>
      </c>
      <c r="U2014" t="str">
        <f t="shared" si="832"/>
        <v>AZRAD UMAR BIN SHAARI</v>
      </c>
      <c r="V2014" t="str">
        <f t="shared" si="833"/>
        <v>FARHANA BINTI MUSTAPA</v>
      </c>
      <c r="W2014" t="str">
        <f t="shared" si="834"/>
        <v>04-08-2020</v>
      </c>
      <c r="X2014" t="str">
        <f t="shared" si="835"/>
        <v>RAZIMAH ANSAR AHMAD</v>
      </c>
      <c r="Y2014" t="str">
        <f t="shared" si="836"/>
        <v>04-08-2020</v>
      </c>
      <c r="Z2014" t="str">
        <f>"COS10200804 7140"</f>
        <v>COS10200804 7140</v>
      </c>
    </row>
    <row r="2015" spans="1:26" x14ac:dyDescent="0.25">
      <c r="A2015" t="str">
        <f t="shared" si="820"/>
        <v>04-08-2020 01:05:33</v>
      </c>
      <c r="B2015" t="str">
        <f>"0000808937"</f>
        <v>0000808937</v>
      </c>
      <c r="C2015" t="str">
        <f t="shared" si="821"/>
        <v>0000808798</v>
      </c>
      <c r="D2015" t="str">
        <f t="shared" si="824"/>
        <v>73185</v>
      </c>
      <c r="E2015" t="str">
        <f t="shared" si="825"/>
        <v>KFH-OPERATIONS DEPARTMENT</v>
      </c>
      <c r="F2015" t="str">
        <f t="shared" si="826"/>
        <v>IBG</v>
      </c>
      <c r="G2015" t="str">
        <f t="shared" si="837"/>
        <v>Refund COSHARE 10</v>
      </c>
      <c r="H2015" s="2">
        <v>418</v>
      </c>
      <c r="I2015" t="str">
        <f>"ROZANA BINTI MIOR YAACOB"</f>
        <v>ROZANA BINTI MIOR YAACOB</v>
      </c>
      <c r="J2015" t="str">
        <f t="shared" si="838"/>
        <v>MAYBANK / MAYBANK ISLAMIC</v>
      </c>
      <c r="K2015" t="str">
        <f>"158042605097"</f>
        <v>158042605097</v>
      </c>
      <c r="L2015" t="str">
        <f t="shared" si="839"/>
        <v>04-08-2020</v>
      </c>
      <c r="M2015" t="str">
        <f t="shared" si="839"/>
        <v>04-08-2020</v>
      </c>
      <c r="N2015" t="str">
        <f t="shared" si="827"/>
        <v>001105018356</v>
      </c>
      <c r="O2015" t="str">
        <f t="shared" si="828"/>
        <v>MYR</v>
      </c>
      <c r="P2015" t="str">
        <f t="shared" si="840"/>
        <v>NIL</v>
      </c>
      <c r="Q2015" t="str">
        <f t="shared" si="840"/>
        <v>NIL</v>
      </c>
      <c r="R2015" t="str">
        <f t="shared" si="829"/>
        <v>Accepted</v>
      </c>
      <c r="S2015" t="str">
        <f t="shared" si="830"/>
        <v>Approved</v>
      </c>
      <c r="T2015" t="str">
        <f t="shared" si="831"/>
        <v>10.20.8.188</v>
      </c>
      <c r="U2015" t="str">
        <f t="shared" si="832"/>
        <v>AZRAD UMAR BIN SHAARI</v>
      </c>
      <c r="V2015" t="str">
        <f t="shared" si="833"/>
        <v>FARHANA BINTI MUSTAPA</v>
      </c>
      <c r="W2015" t="str">
        <f t="shared" si="834"/>
        <v>04-08-2020</v>
      </c>
      <c r="X2015" t="str">
        <f t="shared" si="835"/>
        <v>RAZIMAH ANSAR AHMAD</v>
      </c>
      <c r="Y2015" t="str">
        <f t="shared" si="836"/>
        <v>04-08-2020</v>
      </c>
      <c r="Z2015" t="str">
        <f>"COS10200804 7139"</f>
        <v>COS10200804 7139</v>
      </c>
    </row>
    <row r="2016" spans="1:26" x14ac:dyDescent="0.25">
      <c r="A2016" t="str">
        <f t="shared" si="820"/>
        <v>04-08-2020 01:05:33</v>
      </c>
      <c r="B2016" t="str">
        <f>"0000808936"</f>
        <v>0000808936</v>
      </c>
      <c r="C2016" t="str">
        <f t="shared" si="821"/>
        <v>0000808798</v>
      </c>
      <c r="D2016" t="str">
        <f t="shared" si="824"/>
        <v>73185</v>
      </c>
      <c r="E2016" t="str">
        <f t="shared" si="825"/>
        <v>KFH-OPERATIONS DEPARTMENT</v>
      </c>
      <c r="F2016" t="str">
        <f t="shared" si="826"/>
        <v>IBG</v>
      </c>
      <c r="G2016" t="str">
        <f t="shared" si="837"/>
        <v>Refund COSHARE 10</v>
      </c>
      <c r="H2016" s="2">
        <v>1404</v>
      </c>
      <c r="I2016" t="str">
        <f>"ROZALYNDA BINTI ARIFFIN"</f>
        <v>ROZALYNDA BINTI ARIFFIN</v>
      </c>
      <c r="J2016" t="str">
        <f t="shared" si="838"/>
        <v>MAYBANK / MAYBANK ISLAMIC</v>
      </c>
      <c r="K2016" t="str">
        <f>"158088149352"</f>
        <v>158088149352</v>
      </c>
      <c r="L2016" t="str">
        <f t="shared" si="839"/>
        <v>04-08-2020</v>
      </c>
      <c r="M2016" t="str">
        <f t="shared" si="839"/>
        <v>04-08-2020</v>
      </c>
      <c r="N2016" t="str">
        <f t="shared" si="827"/>
        <v>001105018356</v>
      </c>
      <c r="O2016" t="str">
        <f t="shared" si="828"/>
        <v>MYR</v>
      </c>
      <c r="P2016" t="str">
        <f t="shared" si="840"/>
        <v>NIL</v>
      </c>
      <c r="Q2016" t="str">
        <f t="shared" si="840"/>
        <v>NIL</v>
      </c>
      <c r="R2016" t="str">
        <f t="shared" si="829"/>
        <v>Accepted</v>
      </c>
      <c r="S2016" t="str">
        <f t="shared" si="830"/>
        <v>Approved</v>
      </c>
      <c r="T2016" t="str">
        <f t="shared" si="831"/>
        <v>10.20.8.188</v>
      </c>
      <c r="U2016" t="str">
        <f t="shared" si="832"/>
        <v>AZRAD UMAR BIN SHAARI</v>
      </c>
      <c r="V2016" t="str">
        <f t="shared" si="833"/>
        <v>FARHANA BINTI MUSTAPA</v>
      </c>
      <c r="W2016" t="str">
        <f t="shared" si="834"/>
        <v>04-08-2020</v>
      </c>
      <c r="X2016" t="str">
        <f t="shared" si="835"/>
        <v>RAZIMAH ANSAR AHMAD</v>
      </c>
      <c r="Y2016" t="str">
        <f t="shared" si="836"/>
        <v>04-08-2020</v>
      </c>
      <c r="Z2016" t="str">
        <f>"COS10200804 7138"</f>
        <v>COS10200804 7138</v>
      </c>
    </row>
    <row r="2017" spans="1:26" x14ac:dyDescent="0.25">
      <c r="A2017" t="str">
        <f t="shared" si="820"/>
        <v>04-08-2020 01:05:33</v>
      </c>
      <c r="B2017" t="str">
        <f>"0000808935"</f>
        <v>0000808935</v>
      </c>
      <c r="C2017" t="str">
        <f t="shared" si="821"/>
        <v>0000808798</v>
      </c>
      <c r="D2017" t="str">
        <f t="shared" si="824"/>
        <v>73185</v>
      </c>
      <c r="E2017" t="str">
        <f t="shared" si="825"/>
        <v>KFH-OPERATIONS DEPARTMENT</v>
      </c>
      <c r="F2017" t="str">
        <f t="shared" si="826"/>
        <v>IBG</v>
      </c>
      <c r="G2017" t="str">
        <f t="shared" si="837"/>
        <v>Refund COSHARE 10</v>
      </c>
      <c r="H2017" s="2">
        <v>361</v>
      </c>
      <c r="I2017" t="str">
        <f>"ROZAINI BINTI SAHIDAN"</f>
        <v>ROZAINI BINTI SAHIDAN</v>
      </c>
      <c r="J2017" t="str">
        <f t="shared" si="838"/>
        <v>MAYBANK / MAYBANK ISLAMIC</v>
      </c>
      <c r="K2017" t="str">
        <f>"157223091052"</f>
        <v>157223091052</v>
      </c>
      <c r="L2017" t="str">
        <f t="shared" si="839"/>
        <v>04-08-2020</v>
      </c>
      <c r="M2017" t="str">
        <f t="shared" si="839"/>
        <v>04-08-2020</v>
      </c>
      <c r="N2017" t="str">
        <f t="shared" si="827"/>
        <v>001105018356</v>
      </c>
      <c r="O2017" t="str">
        <f t="shared" si="828"/>
        <v>MYR</v>
      </c>
      <c r="P2017" t="str">
        <f t="shared" si="840"/>
        <v>NIL</v>
      </c>
      <c r="Q2017" t="str">
        <f t="shared" si="840"/>
        <v>NIL</v>
      </c>
      <c r="R2017" t="str">
        <f t="shared" si="829"/>
        <v>Accepted</v>
      </c>
      <c r="S2017" t="str">
        <f t="shared" si="830"/>
        <v>Approved</v>
      </c>
      <c r="T2017" t="str">
        <f t="shared" si="831"/>
        <v>10.20.8.188</v>
      </c>
      <c r="U2017" t="str">
        <f t="shared" si="832"/>
        <v>AZRAD UMAR BIN SHAARI</v>
      </c>
      <c r="V2017" t="str">
        <f t="shared" si="833"/>
        <v>FARHANA BINTI MUSTAPA</v>
      </c>
      <c r="W2017" t="str">
        <f t="shared" si="834"/>
        <v>04-08-2020</v>
      </c>
      <c r="X2017" t="str">
        <f t="shared" si="835"/>
        <v>RAZIMAH ANSAR AHMAD</v>
      </c>
      <c r="Y2017" t="str">
        <f t="shared" si="836"/>
        <v>04-08-2020</v>
      </c>
      <c r="Z2017" t="str">
        <f>"COS10200804 7137"</f>
        <v>COS10200804 7137</v>
      </c>
    </row>
    <row r="2018" spans="1:26" x14ac:dyDescent="0.25">
      <c r="A2018" t="str">
        <f t="shared" ref="A2018:A2049" si="841">"04-08-2020 01:05:33"</f>
        <v>04-08-2020 01:05:33</v>
      </c>
      <c r="B2018" t="str">
        <f>"0000808934"</f>
        <v>0000808934</v>
      </c>
      <c r="C2018" t="str">
        <f t="shared" ref="C2018:C2049" si="842">"0000808798"</f>
        <v>0000808798</v>
      </c>
      <c r="D2018" t="str">
        <f t="shared" si="824"/>
        <v>73185</v>
      </c>
      <c r="E2018" t="str">
        <f t="shared" si="825"/>
        <v>KFH-OPERATIONS DEPARTMENT</v>
      </c>
      <c r="F2018" t="str">
        <f t="shared" si="826"/>
        <v>IBG</v>
      </c>
      <c r="G2018" t="str">
        <f t="shared" si="837"/>
        <v>Refund COSHARE 10</v>
      </c>
      <c r="H2018" s="2">
        <v>411.35</v>
      </c>
      <c r="I2018" t="str">
        <f>"ROZAIMAN BIN MOHAMED"</f>
        <v>ROZAIMAN BIN MOHAMED</v>
      </c>
      <c r="J2018" t="str">
        <f t="shared" si="838"/>
        <v>MAYBANK / MAYBANK ISLAMIC</v>
      </c>
      <c r="K2018" t="str">
        <f>"164052325723"</f>
        <v>164052325723</v>
      </c>
      <c r="L2018" t="str">
        <f t="shared" si="839"/>
        <v>04-08-2020</v>
      </c>
      <c r="M2018" t="str">
        <f t="shared" si="839"/>
        <v>04-08-2020</v>
      </c>
      <c r="N2018" t="str">
        <f t="shared" si="827"/>
        <v>001105018356</v>
      </c>
      <c r="O2018" t="str">
        <f t="shared" si="828"/>
        <v>MYR</v>
      </c>
      <c r="P2018" t="str">
        <f t="shared" si="840"/>
        <v>NIL</v>
      </c>
      <c r="Q2018" t="str">
        <f t="shared" si="840"/>
        <v>NIL</v>
      </c>
      <c r="R2018" t="str">
        <f t="shared" si="829"/>
        <v>Accepted</v>
      </c>
      <c r="S2018" t="str">
        <f t="shared" si="830"/>
        <v>Approved</v>
      </c>
      <c r="T2018" t="str">
        <f t="shared" si="831"/>
        <v>10.20.8.188</v>
      </c>
      <c r="U2018" t="str">
        <f t="shared" si="832"/>
        <v>AZRAD UMAR BIN SHAARI</v>
      </c>
      <c r="V2018" t="str">
        <f t="shared" si="833"/>
        <v>FARHANA BINTI MUSTAPA</v>
      </c>
      <c r="W2018" t="str">
        <f t="shared" si="834"/>
        <v>04-08-2020</v>
      </c>
      <c r="X2018" t="str">
        <f t="shared" si="835"/>
        <v>RAZIMAH ANSAR AHMAD</v>
      </c>
      <c r="Y2018" t="str">
        <f t="shared" si="836"/>
        <v>04-08-2020</v>
      </c>
      <c r="Z2018" t="str">
        <f>"COS10200804 7136"</f>
        <v>COS10200804 7136</v>
      </c>
    </row>
    <row r="2019" spans="1:26" x14ac:dyDescent="0.25">
      <c r="A2019" t="str">
        <f t="shared" si="841"/>
        <v>04-08-2020 01:05:33</v>
      </c>
      <c r="B2019" t="str">
        <f>"0000808933"</f>
        <v>0000808933</v>
      </c>
      <c r="C2019" t="str">
        <f t="shared" si="842"/>
        <v>0000808798</v>
      </c>
      <c r="D2019" t="str">
        <f t="shared" si="824"/>
        <v>73185</v>
      </c>
      <c r="E2019" t="str">
        <f t="shared" si="825"/>
        <v>KFH-OPERATIONS DEPARTMENT</v>
      </c>
      <c r="F2019" t="str">
        <f t="shared" si="826"/>
        <v>IBG</v>
      </c>
      <c r="G2019" t="str">
        <f t="shared" si="837"/>
        <v>Refund COSHARE 10</v>
      </c>
      <c r="H2019" s="2">
        <v>1175.3</v>
      </c>
      <c r="I2019" t="str">
        <f>"ROZAIDI BIN HASHIM"</f>
        <v>ROZAIDI BIN HASHIM</v>
      </c>
      <c r="J2019" t="str">
        <f t="shared" si="838"/>
        <v>MAYBANK / MAYBANK ISLAMIC</v>
      </c>
      <c r="K2019" t="str">
        <f>"166010173804"</f>
        <v>166010173804</v>
      </c>
      <c r="L2019" t="str">
        <f t="shared" si="839"/>
        <v>04-08-2020</v>
      </c>
      <c r="M2019" t="str">
        <f t="shared" si="839"/>
        <v>04-08-2020</v>
      </c>
      <c r="N2019" t="str">
        <f t="shared" si="827"/>
        <v>001105018356</v>
      </c>
      <c r="O2019" t="str">
        <f t="shared" si="828"/>
        <v>MYR</v>
      </c>
      <c r="P2019" t="str">
        <f t="shared" si="840"/>
        <v>NIL</v>
      </c>
      <c r="Q2019" t="str">
        <f t="shared" si="840"/>
        <v>NIL</v>
      </c>
      <c r="R2019" t="str">
        <f t="shared" si="829"/>
        <v>Accepted</v>
      </c>
      <c r="S2019" t="str">
        <f t="shared" si="830"/>
        <v>Approved</v>
      </c>
      <c r="T2019" t="str">
        <f t="shared" si="831"/>
        <v>10.20.8.188</v>
      </c>
      <c r="U2019" t="str">
        <f t="shared" si="832"/>
        <v>AZRAD UMAR BIN SHAARI</v>
      </c>
      <c r="V2019" t="str">
        <f t="shared" si="833"/>
        <v>FARHANA BINTI MUSTAPA</v>
      </c>
      <c r="W2019" t="str">
        <f t="shared" si="834"/>
        <v>04-08-2020</v>
      </c>
      <c r="X2019" t="str">
        <f t="shared" si="835"/>
        <v>RAZIMAH ANSAR AHMAD</v>
      </c>
      <c r="Y2019" t="str">
        <f t="shared" si="836"/>
        <v>04-08-2020</v>
      </c>
      <c r="Z2019" t="str">
        <f>"COS10200804 7135"</f>
        <v>COS10200804 7135</v>
      </c>
    </row>
    <row r="2020" spans="1:26" x14ac:dyDescent="0.25">
      <c r="A2020" t="str">
        <f t="shared" si="841"/>
        <v>04-08-2020 01:05:33</v>
      </c>
      <c r="B2020" t="str">
        <f>"0000808932"</f>
        <v>0000808932</v>
      </c>
      <c r="C2020" t="str">
        <f t="shared" si="842"/>
        <v>0000808798</v>
      </c>
      <c r="D2020" t="str">
        <f t="shared" si="824"/>
        <v>73185</v>
      </c>
      <c r="E2020" t="str">
        <f t="shared" si="825"/>
        <v>KFH-OPERATIONS DEPARTMENT</v>
      </c>
      <c r="F2020" t="str">
        <f t="shared" si="826"/>
        <v>IBG</v>
      </c>
      <c r="G2020" t="str">
        <f t="shared" si="837"/>
        <v>Refund COSHARE 10</v>
      </c>
      <c r="H2020" s="2">
        <v>83.95</v>
      </c>
      <c r="I2020" t="str">
        <f>"ROZAIDA BINTI AHMAD"</f>
        <v>ROZAIDA BINTI AHMAD</v>
      </c>
      <c r="J2020" t="str">
        <f t="shared" si="838"/>
        <v>MAYBANK / MAYBANK ISLAMIC</v>
      </c>
      <c r="K2020" t="str">
        <f>"164409529193"</f>
        <v>164409529193</v>
      </c>
      <c r="L2020" t="str">
        <f t="shared" si="839"/>
        <v>04-08-2020</v>
      </c>
      <c r="M2020" t="str">
        <f t="shared" si="839"/>
        <v>04-08-2020</v>
      </c>
      <c r="N2020" t="str">
        <f t="shared" si="827"/>
        <v>001105018356</v>
      </c>
      <c r="O2020" t="str">
        <f t="shared" si="828"/>
        <v>MYR</v>
      </c>
      <c r="P2020" t="str">
        <f t="shared" si="840"/>
        <v>NIL</v>
      </c>
      <c r="Q2020" t="str">
        <f t="shared" si="840"/>
        <v>NIL</v>
      </c>
      <c r="R2020" t="str">
        <f t="shared" si="829"/>
        <v>Accepted</v>
      </c>
      <c r="S2020" t="str">
        <f t="shared" si="830"/>
        <v>Approved</v>
      </c>
      <c r="T2020" t="str">
        <f t="shared" si="831"/>
        <v>10.20.8.188</v>
      </c>
      <c r="U2020" t="str">
        <f t="shared" si="832"/>
        <v>AZRAD UMAR BIN SHAARI</v>
      </c>
      <c r="V2020" t="str">
        <f t="shared" si="833"/>
        <v>FARHANA BINTI MUSTAPA</v>
      </c>
      <c r="W2020" t="str">
        <f t="shared" si="834"/>
        <v>04-08-2020</v>
      </c>
      <c r="X2020" t="str">
        <f t="shared" si="835"/>
        <v>RAZIMAH ANSAR AHMAD</v>
      </c>
      <c r="Y2020" t="str">
        <f t="shared" si="836"/>
        <v>04-08-2020</v>
      </c>
      <c r="Z2020" t="str">
        <f>"COS10200804 7134"</f>
        <v>COS10200804 7134</v>
      </c>
    </row>
    <row r="2021" spans="1:26" x14ac:dyDescent="0.25">
      <c r="A2021" t="str">
        <f t="shared" si="841"/>
        <v>04-08-2020 01:05:33</v>
      </c>
      <c r="B2021" t="str">
        <f>"0000808931"</f>
        <v>0000808931</v>
      </c>
      <c r="C2021" t="str">
        <f t="shared" si="842"/>
        <v>0000808798</v>
      </c>
      <c r="D2021" t="str">
        <f t="shared" si="824"/>
        <v>73185</v>
      </c>
      <c r="E2021" t="str">
        <f t="shared" si="825"/>
        <v>KFH-OPERATIONS DEPARTMENT</v>
      </c>
      <c r="F2021" t="str">
        <f t="shared" si="826"/>
        <v>IBG</v>
      </c>
      <c r="G2021" t="str">
        <f t="shared" si="837"/>
        <v>Refund COSHARE 10</v>
      </c>
      <c r="H2021" s="2">
        <v>1041</v>
      </c>
      <c r="I2021" t="str">
        <f>"ROY BIN EDUARDO"</f>
        <v>ROY BIN EDUARDO</v>
      </c>
      <c r="J2021" t="str">
        <f t="shared" si="838"/>
        <v>MAYBANK / MAYBANK ISLAMIC</v>
      </c>
      <c r="K2021" t="str">
        <f>"110144246158"</f>
        <v>110144246158</v>
      </c>
      <c r="L2021" t="str">
        <f t="shared" si="839"/>
        <v>04-08-2020</v>
      </c>
      <c r="M2021" t="str">
        <f t="shared" si="839"/>
        <v>04-08-2020</v>
      </c>
      <c r="N2021" t="str">
        <f t="shared" si="827"/>
        <v>001105018356</v>
      </c>
      <c r="O2021" t="str">
        <f t="shared" si="828"/>
        <v>MYR</v>
      </c>
      <c r="P2021" t="str">
        <f t="shared" si="840"/>
        <v>NIL</v>
      </c>
      <c r="Q2021" t="str">
        <f t="shared" si="840"/>
        <v>NIL</v>
      </c>
      <c r="R2021" t="str">
        <f t="shared" si="829"/>
        <v>Accepted</v>
      </c>
      <c r="S2021" t="str">
        <f t="shared" si="830"/>
        <v>Approved</v>
      </c>
      <c r="T2021" t="str">
        <f t="shared" si="831"/>
        <v>10.20.8.188</v>
      </c>
      <c r="U2021" t="str">
        <f t="shared" si="832"/>
        <v>AZRAD UMAR BIN SHAARI</v>
      </c>
      <c r="V2021" t="str">
        <f t="shared" si="833"/>
        <v>FARHANA BINTI MUSTAPA</v>
      </c>
      <c r="W2021" t="str">
        <f t="shared" si="834"/>
        <v>04-08-2020</v>
      </c>
      <c r="X2021" t="str">
        <f t="shared" si="835"/>
        <v>RAZIMAH ANSAR AHMAD</v>
      </c>
      <c r="Y2021" t="str">
        <f t="shared" si="836"/>
        <v>04-08-2020</v>
      </c>
      <c r="Z2021" t="str">
        <f>"COS10200804 7133"</f>
        <v>COS10200804 7133</v>
      </c>
    </row>
    <row r="2022" spans="1:26" x14ac:dyDescent="0.25">
      <c r="A2022" t="str">
        <f t="shared" si="841"/>
        <v>04-08-2020 01:05:33</v>
      </c>
      <c r="B2022" t="str">
        <f>"0000808930"</f>
        <v>0000808930</v>
      </c>
      <c r="C2022" t="str">
        <f t="shared" si="842"/>
        <v>0000808798</v>
      </c>
      <c r="D2022" t="str">
        <f t="shared" si="824"/>
        <v>73185</v>
      </c>
      <c r="E2022" t="str">
        <f t="shared" si="825"/>
        <v>KFH-OPERATIONS DEPARTMENT</v>
      </c>
      <c r="F2022" t="str">
        <f t="shared" si="826"/>
        <v>IBG</v>
      </c>
      <c r="G2022" t="str">
        <f t="shared" si="837"/>
        <v>Refund COSHARE 10</v>
      </c>
      <c r="H2022" s="2">
        <v>511.65</v>
      </c>
      <c r="I2022" t="str">
        <f>"ROWATI  NURHAKIMAH BINTI ABDUL WAHAB"</f>
        <v>ROWATI  NURHAKIMAH BINTI ABDUL WAHAB</v>
      </c>
      <c r="J2022" t="str">
        <f t="shared" si="838"/>
        <v>MAYBANK / MAYBANK ISLAMIC</v>
      </c>
      <c r="K2022" t="str">
        <f>"162263024729"</f>
        <v>162263024729</v>
      </c>
      <c r="L2022" t="str">
        <f t="shared" si="839"/>
        <v>04-08-2020</v>
      </c>
      <c r="M2022" t="str">
        <f t="shared" si="839"/>
        <v>04-08-2020</v>
      </c>
      <c r="N2022" t="str">
        <f t="shared" si="827"/>
        <v>001105018356</v>
      </c>
      <c r="O2022" t="str">
        <f t="shared" si="828"/>
        <v>MYR</v>
      </c>
      <c r="P2022" t="str">
        <f t="shared" si="840"/>
        <v>NIL</v>
      </c>
      <c r="Q2022" t="str">
        <f t="shared" si="840"/>
        <v>NIL</v>
      </c>
      <c r="R2022" t="str">
        <f t="shared" si="829"/>
        <v>Accepted</v>
      </c>
      <c r="S2022" t="str">
        <f t="shared" si="830"/>
        <v>Approved</v>
      </c>
      <c r="T2022" t="str">
        <f t="shared" si="831"/>
        <v>10.20.8.188</v>
      </c>
      <c r="U2022" t="str">
        <f t="shared" si="832"/>
        <v>AZRAD UMAR BIN SHAARI</v>
      </c>
      <c r="V2022" t="str">
        <f t="shared" si="833"/>
        <v>FARHANA BINTI MUSTAPA</v>
      </c>
      <c r="W2022" t="str">
        <f t="shared" si="834"/>
        <v>04-08-2020</v>
      </c>
      <c r="X2022" t="str">
        <f t="shared" si="835"/>
        <v>RAZIMAH ANSAR AHMAD</v>
      </c>
      <c r="Y2022" t="str">
        <f t="shared" si="836"/>
        <v>04-08-2020</v>
      </c>
      <c r="Z2022" t="str">
        <f>"COS10200804 7132"</f>
        <v>COS10200804 7132</v>
      </c>
    </row>
    <row r="2023" spans="1:26" x14ac:dyDescent="0.25">
      <c r="A2023" t="str">
        <f t="shared" si="841"/>
        <v>04-08-2020 01:05:33</v>
      </c>
      <c r="B2023" t="str">
        <f>"0000808929"</f>
        <v>0000808929</v>
      </c>
      <c r="C2023" t="str">
        <f t="shared" si="842"/>
        <v>0000808798</v>
      </c>
      <c r="D2023" t="str">
        <f t="shared" si="824"/>
        <v>73185</v>
      </c>
      <c r="E2023" t="str">
        <f t="shared" si="825"/>
        <v>KFH-OPERATIONS DEPARTMENT</v>
      </c>
      <c r="F2023" t="str">
        <f t="shared" si="826"/>
        <v>IBG</v>
      </c>
      <c r="G2023" t="str">
        <f t="shared" si="837"/>
        <v>Refund COSHARE 10</v>
      </c>
      <c r="H2023" s="2">
        <v>1611.85</v>
      </c>
      <c r="I2023" t="str">
        <f>"ROTHIAH BINTI ABDUL KARIM"</f>
        <v>ROTHIAH BINTI ABDUL KARIM</v>
      </c>
      <c r="J2023" t="str">
        <f t="shared" si="838"/>
        <v>MAYBANK / MAYBANK ISLAMIC</v>
      </c>
      <c r="K2023" t="str">
        <f>"158033270695"</f>
        <v>158033270695</v>
      </c>
      <c r="L2023" t="str">
        <f t="shared" si="839"/>
        <v>04-08-2020</v>
      </c>
      <c r="M2023" t="str">
        <f t="shared" si="839"/>
        <v>04-08-2020</v>
      </c>
      <c r="N2023" t="str">
        <f t="shared" si="827"/>
        <v>001105018356</v>
      </c>
      <c r="O2023" t="str">
        <f t="shared" si="828"/>
        <v>MYR</v>
      </c>
      <c r="P2023" t="str">
        <f t="shared" si="840"/>
        <v>NIL</v>
      </c>
      <c r="Q2023" t="str">
        <f t="shared" si="840"/>
        <v>NIL</v>
      </c>
      <c r="R2023" t="str">
        <f t="shared" si="829"/>
        <v>Accepted</v>
      </c>
      <c r="S2023" t="str">
        <f t="shared" si="830"/>
        <v>Approved</v>
      </c>
      <c r="T2023" t="str">
        <f t="shared" si="831"/>
        <v>10.20.8.188</v>
      </c>
      <c r="U2023" t="str">
        <f t="shared" si="832"/>
        <v>AZRAD UMAR BIN SHAARI</v>
      </c>
      <c r="V2023" t="str">
        <f t="shared" si="833"/>
        <v>FARHANA BINTI MUSTAPA</v>
      </c>
      <c r="W2023" t="str">
        <f t="shared" si="834"/>
        <v>04-08-2020</v>
      </c>
      <c r="X2023" t="str">
        <f t="shared" si="835"/>
        <v>RAZIMAH ANSAR AHMAD</v>
      </c>
      <c r="Y2023" t="str">
        <f t="shared" si="836"/>
        <v>04-08-2020</v>
      </c>
      <c r="Z2023" t="str">
        <f>"COS10200804 7131"</f>
        <v>COS10200804 7131</v>
      </c>
    </row>
    <row r="2024" spans="1:26" x14ac:dyDescent="0.25">
      <c r="A2024" t="str">
        <f t="shared" si="841"/>
        <v>04-08-2020 01:05:33</v>
      </c>
      <c r="B2024" t="str">
        <f>"0000808928"</f>
        <v>0000808928</v>
      </c>
      <c r="C2024" t="str">
        <f t="shared" si="842"/>
        <v>0000808798</v>
      </c>
      <c r="D2024" t="str">
        <f t="shared" si="824"/>
        <v>73185</v>
      </c>
      <c r="E2024" t="str">
        <f t="shared" si="825"/>
        <v>KFH-OPERATIONS DEPARTMENT</v>
      </c>
      <c r="F2024" t="str">
        <f t="shared" si="826"/>
        <v>IBG</v>
      </c>
      <c r="G2024" t="str">
        <f t="shared" si="837"/>
        <v>Refund COSHARE 10</v>
      </c>
      <c r="H2024" s="2">
        <v>1049.4000000000001</v>
      </c>
      <c r="I2024" t="str">
        <f>"ROSZITA BINTI MOHD SALLEH"</f>
        <v>ROSZITA BINTI MOHD SALLEH</v>
      </c>
      <c r="J2024" t="str">
        <f t="shared" si="838"/>
        <v>MAYBANK / MAYBANK ISLAMIC</v>
      </c>
      <c r="K2024" t="str">
        <f>"158060576374"</f>
        <v>158060576374</v>
      </c>
      <c r="L2024" t="str">
        <f t="shared" si="839"/>
        <v>04-08-2020</v>
      </c>
      <c r="M2024" t="str">
        <f t="shared" si="839"/>
        <v>04-08-2020</v>
      </c>
      <c r="N2024" t="str">
        <f t="shared" si="827"/>
        <v>001105018356</v>
      </c>
      <c r="O2024" t="str">
        <f t="shared" si="828"/>
        <v>MYR</v>
      </c>
      <c r="P2024" t="str">
        <f t="shared" si="840"/>
        <v>NIL</v>
      </c>
      <c r="Q2024" t="str">
        <f t="shared" si="840"/>
        <v>NIL</v>
      </c>
      <c r="R2024" t="str">
        <f t="shared" si="829"/>
        <v>Accepted</v>
      </c>
      <c r="S2024" t="str">
        <f t="shared" si="830"/>
        <v>Approved</v>
      </c>
      <c r="T2024" t="str">
        <f t="shared" si="831"/>
        <v>10.20.8.188</v>
      </c>
      <c r="U2024" t="str">
        <f t="shared" si="832"/>
        <v>AZRAD UMAR BIN SHAARI</v>
      </c>
      <c r="V2024" t="str">
        <f t="shared" si="833"/>
        <v>FARHANA BINTI MUSTAPA</v>
      </c>
      <c r="W2024" t="str">
        <f t="shared" si="834"/>
        <v>04-08-2020</v>
      </c>
      <c r="X2024" t="str">
        <f t="shared" si="835"/>
        <v>RAZIMAH ANSAR AHMAD</v>
      </c>
      <c r="Y2024" t="str">
        <f t="shared" si="836"/>
        <v>04-08-2020</v>
      </c>
      <c r="Z2024" t="str">
        <f>"COS10200804 7130"</f>
        <v>COS10200804 7130</v>
      </c>
    </row>
    <row r="2025" spans="1:26" x14ac:dyDescent="0.25">
      <c r="A2025" t="str">
        <f t="shared" si="841"/>
        <v>04-08-2020 01:05:33</v>
      </c>
      <c r="B2025" t="str">
        <f>"0000808927"</f>
        <v>0000808927</v>
      </c>
      <c r="C2025" t="str">
        <f t="shared" si="842"/>
        <v>0000808798</v>
      </c>
      <c r="D2025" t="str">
        <f t="shared" si="824"/>
        <v>73185</v>
      </c>
      <c r="E2025" t="str">
        <f t="shared" si="825"/>
        <v>KFH-OPERATIONS DEPARTMENT</v>
      </c>
      <c r="F2025" t="str">
        <f t="shared" si="826"/>
        <v>IBG</v>
      </c>
      <c r="G2025" t="str">
        <f t="shared" si="837"/>
        <v>Refund COSHARE 10</v>
      </c>
      <c r="H2025" s="2">
        <v>51.75</v>
      </c>
      <c r="I2025" t="str">
        <f>"ROSZINA BINTI SANI"</f>
        <v>ROSZINA BINTI SANI</v>
      </c>
      <c r="J2025" t="str">
        <f t="shared" si="838"/>
        <v>MAYBANK / MAYBANK ISLAMIC</v>
      </c>
      <c r="K2025" t="str">
        <f>"111075167758"</f>
        <v>111075167758</v>
      </c>
      <c r="L2025" t="str">
        <f t="shared" si="839"/>
        <v>04-08-2020</v>
      </c>
      <c r="M2025" t="str">
        <f t="shared" si="839"/>
        <v>04-08-2020</v>
      </c>
      <c r="N2025" t="str">
        <f t="shared" si="827"/>
        <v>001105018356</v>
      </c>
      <c r="O2025" t="str">
        <f t="shared" si="828"/>
        <v>MYR</v>
      </c>
      <c r="P2025" t="str">
        <f t="shared" si="840"/>
        <v>NIL</v>
      </c>
      <c r="Q2025" t="str">
        <f t="shared" si="840"/>
        <v>NIL</v>
      </c>
      <c r="R2025" t="str">
        <f t="shared" si="829"/>
        <v>Accepted</v>
      </c>
      <c r="S2025" t="str">
        <f t="shared" si="830"/>
        <v>Approved</v>
      </c>
      <c r="T2025" t="str">
        <f t="shared" si="831"/>
        <v>10.20.8.188</v>
      </c>
      <c r="U2025" t="str">
        <f t="shared" si="832"/>
        <v>AZRAD UMAR BIN SHAARI</v>
      </c>
      <c r="V2025" t="str">
        <f t="shared" si="833"/>
        <v>FARHANA BINTI MUSTAPA</v>
      </c>
      <c r="W2025" t="str">
        <f t="shared" si="834"/>
        <v>04-08-2020</v>
      </c>
      <c r="X2025" t="str">
        <f t="shared" si="835"/>
        <v>RAZIMAH ANSAR AHMAD</v>
      </c>
      <c r="Y2025" t="str">
        <f t="shared" si="836"/>
        <v>04-08-2020</v>
      </c>
      <c r="Z2025" t="str">
        <f>"COS10200804 7129"</f>
        <v>COS10200804 7129</v>
      </c>
    </row>
    <row r="2026" spans="1:26" x14ac:dyDescent="0.25">
      <c r="A2026" t="str">
        <f t="shared" si="841"/>
        <v>04-08-2020 01:05:33</v>
      </c>
      <c r="B2026" t="str">
        <f>"0000808926"</f>
        <v>0000808926</v>
      </c>
      <c r="C2026" t="str">
        <f t="shared" si="842"/>
        <v>0000808798</v>
      </c>
      <c r="D2026" t="str">
        <f t="shared" si="824"/>
        <v>73185</v>
      </c>
      <c r="E2026" t="str">
        <f t="shared" si="825"/>
        <v>KFH-OPERATIONS DEPARTMENT</v>
      </c>
      <c r="F2026" t="str">
        <f t="shared" si="826"/>
        <v>IBG</v>
      </c>
      <c r="G2026" t="str">
        <f t="shared" si="837"/>
        <v>Refund COSHARE 10</v>
      </c>
      <c r="H2026" s="2">
        <v>213</v>
      </c>
      <c r="I2026" t="str">
        <f>"ROSZINA BINTI SANI"</f>
        <v>ROSZINA BINTI SANI</v>
      </c>
      <c r="J2026" t="str">
        <f t="shared" si="838"/>
        <v>MAYBANK / MAYBANK ISLAMIC</v>
      </c>
      <c r="K2026" t="str">
        <f>"111075167758"</f>
        <v>111075167758</v>
      </c>
      <c r="L2026" t="str">
        <f t="shared" si="839"/>
        <v>04-08-2020</v>
      </c>
      <c r="M2026" t="str">
        <f t="shared" si="839"/>
        <v>04-08-2020</v>
      </c>
      <c r="N2026" t="str">
        <f t="shared" si="827"/>
        <v>001105018356</v>
      </c>
      <c r="O2026" t="str">
        <f t="shared" si="828"/>
        <v>MYR</v>
      </c>
      <c r="P2026" t="str">
        <f t="shared" si="840"/>
        <v>NIL</v>
      </c>
      <c r="Q2026" t="str">
        <f t="shared" si="840"/>
        <v>NIL</v>
      </c>
      <c r="R2026" t="str">
        <f t="shared" si="829"/>
        <v>Accepted</v>
      </c>
      <c r="S2026" t="str">
        <f t="shared" si="830"/>
        <v>Approved</v>
      </c>
      <c r="T2026" t="str">
        <f t="shared" si="831"/>
        <v>10.20.8.188</v>
      </c>
      <c r="U2026" t="str">
        <f t="shared" si="832"/>
        <v>AZRAD UMAR BIN SHAARI</v>
      </c>
      <c r="V2026" t="str">
        <f t="shared" si="833"/>
        <v>FARHANA BINTI MUSTAPA</v>
      </c>
      <c r="W2026" t="str">
        <f t="shared" si="834"/>
        <v>04-08-2020</v>
      </c>
      <c r="X2026" t="str">
        <f t="shared" si="835"/>
        <v>RAZIMAH ANSAR AHMAD</v>
      </c>
      <c r="Y2026" t="str">
        <f t="shared" si="836"/>
        <v>04-08-2020</v>
      </c>
      <c r="Z2026" t="str">
        <f>"COS10200804 7128"</f>
        <v>COS10200804 7128</v>
      </c>
    </row>
    <row r="2027" spans="1:26" x14ac:dyDescent="0.25">
      <c r="A2027" t="str">
        <f t="shared" si="841"/>
        <v>04-08-2020 01:05:33</v>
      </c>
      <c r="B2027" t="str">
        <f>"0000808925"</f>
        <v>0000808925</v>
      </c>
      <c r="C2027" t="str">
        <f t="shared" si="842"/>
        <v>0000808798</v>
      </c>
      <c r="D2027" t="str">
        <f t="shared" si="824"/>
        <v>73185</v>
      </c>
      <c r="E2027" t="str">
        <f t="shared" si="825"/>
        <v>KFH-OPERATIONS DEPARTMENT</v>
      </c>
      <c r="F2027" t="str">
        <f t="shared" si="826"/>
        <v>IBG</v>
      </c>
      <c r="G2027" t="str">
        <f t="shared" si="837"/>
        <v>Refund COSHARE 10</v>
      </c>
      <c r="H2027" s="2">
        <v>224</v>
      </c>
      <c r="I2027" t="str">
        <f>"ROSZINA BINTI SANI"</f>
        <v>ROSZINA BINTI SANI</v>
      </c>
      <c r="J2027" t="str">
        <f t="shared" si="838"/>
        <v>MAYBANK / MAYBANK ISLAMIC</v>
      </c>
      <c r="K2027" t="str">
        <f>"111075167758"</f>
        <v>111075167758</v>
      </c>
      <c r="L2027" t="str">
        <f t="shared" ref="L2027:M2046" si="843">"04-08-2020"</f>
        <v>04-08-2020</v>
      </c>
      <c r="M2027" t="str">
        <f t="shared" si="843"/>
        <v>04-08-2020</v>
      </c>
      <c r="N2027" t="str">
        <f t="shared" si="827"/>
        <v>001105018356</v>
      </c>
      <c r="O2027" t="str">
        <f t="shared" si="828"/>
        <v>MYR</v>
      </c>
      <c r="P2027" t="str">
        <f t="shared" ref="P2027:Q2046" si="844">"NIL"</f>
        <v>NIL</v>
      </c>
      <c r="Q2027" t="str">
        <f t="shared" si="844"/>
        <v>NIL</v>
      </c>
      <c r="R2027" t="str">
        <f t="shared" si="829"/>
        <v>Accepted</v>
      </c>
      <c r="S2027" t="str">
        <f t="shared" si="830"/>
        <v>Approved</v>
      </c>
      <c r="T2027" t="str">
        <f t="shared" si="831"/>
        <v>10.20.8.188</v>
      </c>
      <c r="U2027" t="str">
        <f t="shared" si="832"/>
        <v>AZRAD UMAR BIN SHAARI</v>
      </c>
      <c r="V2027" t="str">
        <f t="shared" si="833"/>
        <v>FARHANA BINTI MUSTAPA</v>
      </c>
      <c r="W2027" t="str">
        <f t="shared" si="834"/>
        <v>04-08-2020</v>
      </c>
      <c r="X2027" t="str">
        <f t="shared" si="835"/>
        <v>RAZIMAH ANSAR AHMAD</v>
      </c>
      <c r="Y2027" t="str">
        <f t="shared" si="836"/>
        <v>04-08-2020</v>
      </c>
      <c r="Z2027" t="str">
        <f>"COS10200804 7127"</f>
        <v>COS10200804 7127</v>
      </c>
    </row>
    <row r="2028" spans="1:26" x14ac:dyDescent="0.25">
      <c r="A2028" t="str">
        <f t="shared" si="841"/>
        <v>04-08-2020 01:05:33</v>
      </c>
      <c r="B2028" t="str">
        <f>"0000808924"</f>
        <v>0000808924</v>
      </c>
      <c r="C2028" t="str">
        <f t="shared" si="842"/>
        <v>0000808798</v>
      </c>
      <c r="D2028" t="str">
        <f t="shared" si="824"/>
        <v>73185</v>
      </c>
      <c r="E2028" t="str">
        <f t="shared" si="825"/>
        <v>KFH-OPERATIONS DEPARTMENT</v>
      </c>
      <c r="F2028" t="str">
        <f t="shared" si="826"/>
        <v>IBG</v>
      </c>
      <c r="G2028" t="str">
        <f t="shared" si="837"/>
        <v>Refund COSHARE 10</v>
      </c>
      <c r="H2028" s="2">
        <v>167.9</v>
      </c>
      <c r="I2028" t="str">
        <f>"ROSZILA BINTI SABRRAN"</f>
        <v>ROSZILA BINTI SABRRAN</v>
      </c>
      <c r="J2028" t="str">
        <f t="shared" si="838"/>
        <v>MAYBANK / MAYBANK ISLAMIC</v>
      </c>
      <c r="K2028" t="str">
        <f>"158202136268"</f>
        <v>158202136268</v>
      </c>
      <c r="L2028" t="str">
        <f t="shared" si="843"/>
        <v>04-08-2020</v>
      </c>
      <c r="M2028" t="str">
        <f t="shared" si="843"/>
        <v>04-08-2020</v>
      </c>
      <c r="N2028" t="str">
        <f t="shared" si="827"/>
        <v>001105018356</v>
      </c>
      <c r="O2028" t="str">
        <f t="shared" si="828"/>
        <v>MYR</v>
      </c>
      <c r="P2028" t="str">
        <f t="shared" si="844"/>
        <v>NIL</v>
      </c>
      <c r="Q2028" t="str">
        <f t="shared" si="844"/>
        <v>NIL</v>
      </c>
      <c r="R2028" t="str">
        <f t="shared" si="829"/>
        <v>Accepted</v>
      </c>
      <c r="S2028" t="str">
        <f t="shared" si="830"/>
        <v>Approved</v>
      </c>
      <c r="T2028" t="str">
        <f t="shared" si="831"/>
        <v>10.20.8.188</v>
      </c>
      <c r="U2028" t="str">
        <f t="shared" si="832"/>
        <v>AZRAD UMAR BIN SHAARI</v>
      </c>
      <c r="V2028" t="str">
        <f t="shared" si="833"/>
        <v>FARHANA BINTI MUSTAPA</v>
      </c>
      <c r="W2028" t="str">
        <f t="shared" si="834"/>
        <v>04-08-2020</v>
      </c>
      <c r="X2028" t="str">
        <f t="shared" si="835"/>
        <v>RAZIMAH ANSAR AHMAD</v>
      </c>
      <c r="Y2028" t="str">
        <f t="shared" si="836"/>
        <v>04-08-2020</v>
      </c>
      <c r="Z2028" t="str">
        <f>"COS10200804 7126"</f>
        <v>COS10200804 7126</v>
      </c>
    </row>
    <row r="2029" spans="1:26" x14ac:dyDescent="0.25">
      <c r="A2029" t="str">
        <f t="shared" si="841"/>
        <v>04-08-2020 01:05:33</v>
      </c>
      <c r="B2029" t="str">
        <f>"0000808923"</f>
        <v>0000808923</v>
      </c>
      <c r="C2029" t="str">
        <f t="shared" si="842"/>
        <v>0000808798</v>
      </c>
      <c r="D2029" t="str">
        <f t="shared" si="824"/>
        <v>73185</v>
      </c>
      <c r="E2029" t="str">
        <f t="shared" si="825"/>
        <v>KFH-OPERATIONS DEPARTMENT</v>
      </c>
      <c r="F2029" t="str">
        <f t="shared" si="826"/>
        <v>IBG</v>
      </c>
      <c r="G2029" t="str">
        <f t="shared" si="837"/>
        <v>Refund COSHARE 10</v>
      </c>
      <c r="H2029" s="2">
        <v>159.5</v>
      </c>
      <c r="I2029" t="str">
        <f>"ROSZIANAH BINTI ABD RAHMAN"</f>
        <v>ROSZIANAH BINTI ABD RAHMAN</v>
      </c>
      <c r="J2029" t="str">
        <f t="shared" si="838"/>
        <v>MAYBANK / MAYBANK ISLAMIC</v>
      </c>
      <c r="K2029" t="str">
        <f>"165125223235"</f>
        <v>165125223235</v>
      </c>
      <c r="L2029" t="str">
        <f t="shared" si="843"/>
        <v>04-08-2020</v>
      </c>
      <c r="M2029" t="str">
        <f t="shared" si="843"/>
        <v>04-08-2020</v>
      </c>
      <c r="N2029" t="str">
        <f t="shared" si="827"/>
        <v>001105018356</v>
      </c>
      <c r="O2029" t="str">
        <f t="shared" si="828"/>
        <v>MYR</v>
      </c>
      <c r="P2029" t="str">
        <f t="shared" si="844"/>
        <v>NIL</v>
      </c>
      <c r="Q2029" t="str">
        <f t="shared" si="844"/>
        <v>NIL</v>
      </c>
      <c r="R2029" t="str">
        <f t="shared" si="829"/>
        <v>Accepted</v>
      </c>
      <c r="S2029" t="str">
        <f t="shared" si="830"/>
        <v>Approved</v>
      </c>
      <c r="T2029" t="str">
        <f t="shared" si="831"/>
        <v>10.20.8.188</v>
      </c>
      <c r="U2029" t="str">
        <f t="shared" si="832"/>
        <v>AZRAD UMAR BIN SHAARI</v>
      </c>
      <c r="V2029" t="str">
        <f t="shared" si="833"/>
        <v>FARHANA BINTI MUSTAPA</v>
      </c>
      <c r="W2029" t="str">
        <f t="shared" si="834"/>
        <v>04-08-2020</v>
      </c>
      <c r="X2029" t="str">
        <f t="shared" si="835"/>
        <v>RAZIMAH ANSAR AHMAD</v>
      </c>
      <c r="Y2029" t="str">
        <f t="shared" si="836"/>
        <v>04-08-2020</v>
      </c>
      <c r="Z2029" t="str">
        <f>"COS10200804 7125"</f>
        <v>COS10200804 7125</v>
      </c>
    </row>
    <row r="2030" spans="1:26" x14ac:dyDescent="0.25">
      <c r="A2030" t="str">
        <f t="shared" si="841"/>
        <v>04-08-2020 01:05:33</v>
      </c>
      <c r="B2030" t="str">
        <f>"0000808922"</f>
        <v>0000808922</v>
      </c>
      <c r="C2030" t="str">
        <f t="shared" si="842"/>
        <v>0000808798</v>
      </c>
      <c r="D2030" t="str">
        <f t="shared" si="824"/>
        <v>73185</v>
      </c>
      <c r="E2030" t="str">
        <f t="shared" si="825"/>
        <v>KFH-OPERATIONS DEPARTMENT</v>
      </c>
      <c r="F2030" t="str">
        <f t="shared" si="826"/>
        <v>IBG</v>
      </c>
      <c r="G2030" t="str">
        <f t="shared" si="837"/>
        <v>Refund COSHARE 10</v>
      </c>
      <c r="H2030" s="2">
        <v>209.9</v>
      </c>
      <c r="I2030" t="str">
        <f>"ROSYARHAN BIN AZIZAN"</f>
        <v>ROSYARHAN BIN AZIZAN</v>
      </c>
      <c r="J2030" t="str">
        <f t="shared" si="838"/>
        <v>MAYBANK / MAYBANK ISLAMIC</v>
      </c>
      <c r="K2030" t="str">
        <f>"162272602873"</f>
        <v>162272602873</v>
      </c>
      <c r="L2030" t="str">
        <f t="shared" si="843"/>
        <v>04-08-2020</v>
      </c>
      <c r="M2030" t="str">
        <f t="shared" si="843"/>
        <v>04-08-2020</v>
      </c>
      <c r="N2030" t="str">
        <f t="shared" si="827"/>
        <v>001105018356</v>
      </c>
      <c r="O2030" t="str">
        <f t="shared" si="828"/>
        <v>MYR</v>
      </c>
      <c r="P2030" t="str">
        <f t="shared" si="844"/>
        <v>NIL</v>
      </c>
      <c r="Q2030" t="str">
        <f t="shared" si="844"/>
        <v>NIL</v>
      </c>
      <c r="R2030" t="str">
        <f t="shared" si="829"/>
        <v>Accepted</v>
      </c>
      <c r="S2030" t="str">
        <f t="shared" si="830"/>
        <v>Approved</v>
      </c>
      <c r="T2030" t="str">
        <f t="shared" si="831"/>
        <v>10.20.8.188</v>
      </c>
      <c r="U2030" t="str">
        <f t="shared" si="832"/>
        <v>AZRAD UMAR BIN SHAARI</v>
      </c>
      <c r="V2030" t="str">
        <f t="shared" si="833"/>
        <v>FARHANA BINTI MUSTAPA</v>
      </c>
      <c r="W2030" t="str">
        <f t="shared" si="834"/>
        <v>04-08-2020</v>
      </c>
      <c r="X2030" t="str">
        <f t="shared" si="835"/>
        <v>RAZIMAH ANSAR AHMAD</v>
      </c>
      <c r="Y2030" t="str">
        <f t="shared" si="836"/>
        <v>04-08-2020</v>
      </c>
      <c r="Z2030" t="str">
        <f>"COS10200804 7124"</f>
        <v>COS10200804 7124</v>
      </c>
    </row>
    <row r="2031" spans="1:26" x14ac:dyDescent="0.25">
      <c r="A2031" t="str">
        <f t="shared" si="841"/>
        <v>04-08-2020 01:05:33</v>
      </c>
      <c r="B2031" t="str">
        <f>"0000808921"</f>
        <v>0000808921</v>
      </c>
      <c r="C2031" t="str">
        <f t="shared" si="842"/>
        <v>0000808798</v>
      </c>
      <c r="D2031" t="str">
        <f t="shared" si="824"/>
        <v>73185</v>
      </c>
      <c r="E2031" t="str">
        <f t="shared" si="825"/>
        <v>KFH-OPERATIONS DEPARTMENT</v>
      </c>
      <c r="F2031" t="str">
        <f t="shared" si="826"/>
        <v>IBG</v>
      </c>
      <c r="G2031" t="str">
        <f t="shared" si="837"/>
        <v>Refund COSHARE 10</v>
      </c>
      <c r="H2031" s="2">
        <v>982</v>
      </c>
      <c r="I2031" t="str">
        <f>"ROSYANTI BINTI SUPARDI"</f>
        <v>ROSYANTI BINTI SUPARDI</v>
      </c>
      <c r="J2031" t="str">
        <f t="shared" si="838"/>
        <v>MAYBANK / MAYBANK ISLAMIC</v>
      </c>
      <c r="K2031" t="str">
        <f>"151306642416"</f>
        <v>151306642416</v>
      </c>
      <c r="L2031" t="str">
        <f t="shared" si="843"/>
        <v>04-08-2020</v>
      </c>
      <c r="M2031" t="str">
        <f t="shared" si="843"/>
        <v>04-08-2020</v>
      </c>
      <c r="N2031" t="str">
        <f t="shared" si="827"/>
        <v>001105018356</v>
      </c>
      <c r="O2031" t="str">
        <f t="shared" si="828"/>
        <v>MYR</v>
      </c>
      <c r="P2031" t="str">
        <f t="shared" si="844"/>
        <v>NIL</v>
      </c>
      <c r="Q2031" t="str">
        <f t="shared" si="844"/>
        <v>NIL</v>
      </c>
      <c r="R2031" t="str">
        <f t="shared" si="829"/>
        <v>Accepted</v>
      </c>
      <c r="S2031" t="str">
        <f t="shared" si="830"/>
        <v>Approved</v>
      </c>
      <c r="T2031" t="str">
        <f t="shared" si="831"/>
        <v>10.20.8.188</v>
      </c>
      <c r="U2031" t="str">
        <f t="shared" si="832"/>
        <v>AZRAD UMAR BIN SHAARI</v>
      </c>
      <c r="V2031" t="str">
        <f t="shared" si="833"/>
        <v>FARHANA BINTI MUSTAPA</v>
      </c>
      <c r="W2031" t="str">
        <f t="shared" si="834"/>
        <v>04-08-2020</v>
      </c>
      <c r="X2031" t="str">
        <f t="shared" si="835"/>
        <v>RAZIMAH ANSAR AHMAD</v>
      </c>
      <c r="Y2031" t="str">
        <f t="shared" si="836"/>
        <v>04-08-2020</v>
      </c>
      <c r="Z2031" t="str">
        <f>"COS10200804 7123"</f>
        <v>COS10200804 7123</v>
      </c>
    </row>
    <row r="2032" spans="1:26" x14ac:dyDescent="0.25">
      <c r="A2032" t="str">
        <f t="shared" si="841"/>
        <v>04-08-2020 01:05:33</v>
      </c>
      <c r="B2032" t="str">
        <f>"0000808920"</f>
        <v>0000808920</v>
      </c>
      <c r="C2032" t="str">
        <f t="shared" si="842"/>
        <v>0000808798</v>
      </c>
      <c r="D2032" t="str">
        <f t="shared" si="824"/>
        <v>73185</v>
      </c>
      <c r="E2032" t="str">
        <f t="shared" si="825"/>
        <v>KFH-OPERATIONS DEPARTMENT</v>
      </c>
      <c r="F2032" t="str">
        <f t="shared" si="826"/>
        <v>IBG</v>
      </c>
      <c r="G2032" t="str">
        <f t="shared" si="837"/>
        <v>Refund COSHARE 10</v>
      </c>
      <c r="H2032" s="2">
        <v>952.8</v>
      </c>
      <c r="I2032" t="str">
        <f>"ROSSIAH BINTI ISHAK"</f>
        <v>ROSSIAH BINTI ISHAK</v>
      </c>
      <c r="J2032" t="str">
        <f t="shared" si="838"/>
        <v>MAYBANK / MAYBANK ISLAMIC</v>
      </c>
      <c r="K2032" t="str">
        <f>"114011335471"</f>
        <v>114011335471</v>
      </c>
      <c r="L2032" t="str">
        <f t="shared" si="843"/>
        <v>04-08-2020</v>
      </c>
      <c r="M2032" t="str">
        <f t="shared" si="843"/>
        <v>04-08-2020</v>
      </c>
      <c r="N2032" t="str">
        <f t="shared" si="827"/>
        <v>001105018356</v>
      </c>
      <c r="O2032" t="str">
        <f t="shared" si="828"/>
        <v>MYR</v>
      </c>
      <c r="P2032" t="str">
        <f t="shared" si="844"/>
        <v>NIL</v>
      </c>
      <c r="Q2032" t="str">
        <f t="shared" si="844"/>
        <v>NIL</v>
      </c>
      <c r="R2032" t="str">
        <f t="shared" si="829"/>
        <v>Accepted</v>
      </c>
      <c r="S2032" t="str">
        <f t="shared" si="830"/>
        <v>Approved</v>
      </c>
      <c r="T2032" t="str">
        <f t="shared" si="831"/>
        <v>10.20.8.188</v>
      </c>
      <c r="U2032" t="str">
        <f t="shared" si="832"/>
        <v>AZRAD UMAR BIN SHAARI</v>
      </c>
      <c r="V2032" t="str">
        <f t="shared" si="833"/>
        <v>FARHANA BINTI MUSTAPA</v>
      </c>
      <c r="W2032" t="str">
        <f t="shared" si="834"/>
        <v>04-08-2020</v>
      </c>
      <c r="X2032" t="str">
        <f t="shared" si="835"/>
        <v>RAZIMAH ANSAR AHMAD</v>
      </c>
      <c r="Y2032" t="str">
        <f t="shared" si="836"/>
        <v>04-08-2020</v>
      </c>
      <c r="Z2032" t="str">
        <f>"COS10200804 7122"</f>
        <v>COS10200804 7122</v>
      </c>
    </row>
    <row r="2033" spans="1:26" x14ac:dyDescent="0.25">
      <c r="A2033" t="str">
        <f t="shared" si="841"/>
        <v>04-08-2020 01:05:33</v>
      </c>
      <c r="B2033" t="str">
        <f>"0000808919"</f>
        <v>0000808919</v>
      </c>
      <c r="C2033" t="str">
        <f t="shared" si="842"/>
        <v>0000808798</v>
      </c>
      <c r="D2033" t="str">
        <f t="shared" si="824"/>
        <v>73185</v>
      </c>
      <c r="E2033" t="str">
        <f t="shared" si="825"/>
        <v>KFH-OPERATIONS DEPARTMENT</v>
      </c>
      <c r="F2033" t="str">
        <f t="shared" si="826"/>
        <v>IBG</v>
      </c>
      <c r="G2033" t="str">
        <f t="shared" si="837"/>
        <v>Refund COSHARE 10</v>
      </c>
      <c r="H2033" s="2">
        <v>50.4</v>
      </c>
      <c r="I2033" t="str">
        <f>"ROSSHIMAH BINTI MAT RASHID"</f>
        <v>ROSSHIMAH BINTI MAT RASHID</v>
      </c>
      <c r="J2033" t="str">
        <f t="shared" si="838"/>
        <v>MAYBANK / MAYBANK ISLAMIC</v>
      </c>
      <c r="K2033" t="str">
        <f>"158060591072"</f>
        <v>158060591072</v>
      </c>
      <c r="L2033" t="str">
        <f t="shared" si="843"/>
        <v>04-08-2020</v>
      </c>
      <c r="M2033" t="str">
        <f t="shared" si="843"/>
        <v>04-08-2020</v>
      </c>
      <c r="N2033" t="str">
        <f t="shared" si="827"/>
        <v>001105018356</v>
      </c>
      <c r="O2033" t="str">
        <f t="shared" si="828"/>
        <v>MYR</v>
      </c>
      <c r="P2033" t="str">
        <f t="shared" si="844"/>
        <v>NIL</v>
      </c>
      <c r="Q2033" t="str">
        <f t="shared" si="844"/>
        <v>NIL</v>
      </c>
      <c r="R2033" t="str">
        <f t="shared" si="829"/>
        <v>Accepted</v>
      </c>
      <c r="S2033" t="str">
        <f t="shared" si="830"/>
        <v>Approved</v>
      </c>
      <c r="T2033" t="str">
        <f t="shared" si="831"/>
        <v>10.20.8.188</v>
      </c>
      <c r="U2033" t="str">
        <f t="shared" si="832"/>
        <v>AZRAD UMAR BIN SHAARI</v>
      </c>
      <c r="V2033" t="str">
        <f t="shared" si="833"/>
        <v>FARHANA BINTI MUSTAPA</v>
      </c>
      <c r="W2033" t="str">
        <f t="shared" si="834"/>
        <v>04-08-2020</v>
      </c>
      <c r="X2033" t="str">
        <f t="shared" si="835"/>
        <v>RAZIMAH ANSAR AHMAD</v>
      </c>
      <c r="Y2033" t="str">
        <f t="shared" si="836"/>
        <v>04-08-2020</v>
      </c>
      <c r="Z2033" t="str">
        <f>"COS10200804 7121"</f>
        <v>COS10200804 7121</v>
      </c>
    </row>
    <row r="2034" spans="1:26" x14ac:dyDescent="0.25">
      <c r="A2034" t="str">
        <f t="shared" si="841"/>
        <v>04-08-2020 01:05:33</v>
      </c>
      <c r="B2034" t="str">
        <f>"0000808918"</f>
        <v>0000808918</v>
      </c>
      <c r="C2034" t="str">
        <f t="shared" si="842"/>
        <v>0000808798</v>
      </c>
      <c r="D2034" t="str">
        <f t="shared" si="824"/>
        <v>73185</v>
      </c>
      <c r="E2034" t="str">
        <f t="shared" si="825"/>
        <v>KFH-OPERATIONS DEPARTMENT</v>
      </c>
      <c r="F2034" t="str">
        <f t="shared" si="826"/>
        <v>IBG</v>
      </c>
      <c r="G2034" t="str">
        <f t="shared" si="837"/>
        <v>Refund COSHARE 10</v>
      </c>
      <c r="H2034" s="2">
        <v>411.35</v>
      </c>
      <c r="I2034" t="str">
        <f>"ROSNIZAFAZITA BINTI DAUD"</f>
        <v>ROSNIZAFAZITA BINTI DAUD</v>
      </c>
      <c r="J2034" t="str">
        <f t="shared" si="838"/>
        <v>MAYBANK / MAYBANK ISLAMIC</v>
      </c>
      <c r="K2034" t="str">
        <f>"163037031017"</f>
        <v>163037031017</v>
      </c>
      <c r="L2034" t="str">
        <f t="shared" si="843"/>
        <v>04-08-2020</v>
      </c>
      <c r="M2034" t="str">
        <f t="shared" si="843"/>
        <v>04-08-2020</v>
      </c>
      <c r="N2034" t="str">
        <f t="shared" si="827"/>
        <v>001105018356</v>
      </c>
      <c r="O2034" t="str">
        <f t="shared" si="828"/>
        <v>MYR</v>
      </c>
      <c r="P2034" t="str">
        <f t="shared" si="844"/>
        <v>NIL</v>
      </c>
      <c r="Q2034" t="str">
        <f t="shared" si="844"/>
        <v>NIL</v>
      </c>
      <c r="R2034" t="str">
        <f t="shared" si="829"/>
        <v>Accepted</v>
      </c>
      <c r="S2034" t="str">
        <f t="shared" si="830"/>
        <v>Approved</v>
      </c>
      <c r="T2034" t="str">
        <f t="shared" si="831"/>
        <v>10.20.8.188</v>
      </c>
      <c r="U2034" t="str">
        <f t="shared" si="832"/>
        <v>AZRAD UMAR BIN SHAARI</v>
      </c>
      <c r="V2034" t="str">
        <f t="shared" si="833"/>
        <v>FARHANA BINTI MUSTAPA</v>
      </c>
      <c r="W2034" t="str">
        <f t="shared" si="834"/>
        <v>04-08-2020</v>
      </c>
      <c r="X2034" t="str">
        <f t="shared" si="835"/>
        <v>RAZIMAH ANSAR AHMAD</v>
      </c>
      <c r="Y2034" t="str">
        <f t="shared" si="836"/>
        <v>04-08-2020</v>
      </c>
      <c r="Z2034" t="str">
        <f>"COS10200804 7120"</f>
        <v>COS10200804 7120</v>
      </c>
    </row>
    <row r="2035" spans="1:26" x14ac:dyDescent="0.25">
      <c r="A2035" t="str">
        <f t="shared" si="841"/>
        <v>04-08-2020 01:05:33</v>
      </c>
      <c r="B2035" t="str">
        <f>"0000808917"</f>
        <v>0000808917</v>
      </c>
      <c r="C2035" t="str">
        <f t="shared" si="842"/>
        <v>0000808798</v>
      </c>
      <c r="D2035" t="str">
        <f t="shared" si="824"/>
        <v>73185</v>
      </c>
      <c r="E2035" t="str">
        <f t="shared" si="825"/>
        <v>KFH-OPERATIONS DEPARTMENT</v>
      </c>
      <c r="F2035" t="str">
        <f t="shared" si="826"/>
        <v>IBG</v>
      </c>
      <c r="G2035" t="str">
        <f t="shared" si="837"/>
        <v>Refund COSHARE 10</v>
      </c>
      <c r="H2035" s="2">
        <v>157</v>
      </c>
      <c r="I2035" t="str">
        <f>"ROSNIZA BINTI BAHAROM"</f>
        <v>ROSNIZA BINTI BAHAROM</v>
      </c>
      <c r="J2035" t="str">
        <f t="shared" si="838"/>
        <v>MAYBANK / MAYBANK ISLAMIC</v>
      </c>
      <c r="K2035" t="str">
        <f>"158033502964"</f>
        <v>158033502964</v>
      </c>
      <c r="L2035" t="str">
        <f t="shared" si="843"/>
        <v>04-08-2020</v>
      </c>
      <c r="M2035" t="str">
        <f t="shared" si="843"/>
        <v>04-08-2020</v>
      </c>
      <c r="N2035" t="str">
        <f t="shared" si="827"/>
        <v>001105018356</v>
      </c>
      <c r="O2035" t="str">
        <f t="shared" si="828"/>
        <v>MYR</v>
      </c>
      <c r="P2035" t="str">
        <f t="shared" si="844"/>
        <v>NIL</v>
      </c>
      <c r="Q2035" t="str">
        <f t="shared" si="844"/>
        <v>NIL</v>
      </c>
      <c r="R2035" t="str">
        <f t="shared" si="829"/>
        <v>Accepted</v>
      </c>
      <c r="S2035" t="str">
        <f t="shared" si="830"/>
        <v>Approved</v>
      </c>
      <c r="T2035" t="str">
        <f t="shared" si="831"/>
        <v>10.20.8.188</v>
      </c>
      <c r="U2035" t="str">
        <f t="shared" si="832"/>
        <v>AZRAD UMAR BIN SHAARI</v>
      </c>
      <c r="V2035" t="str">
        <f t="shared" si="833"/>
        <v>FARHANA BINTI MUSTAPA</v>
      </c>
      <c r="W2035" t="str">
        <f t="shared" si="834"/>
        <v>04-08-2020</v>
      </c>
      <c r="X2035" t="str">
        <f t="shared" si="835"/>
        <v>RAZIMAH ANSAR AHMAD</v>
      </c>
      <c r="Y2035" t="str">
        <f t="shared" si="836"/>
        <v>04-08-2020</v>
      </c>
      <c r="Z2035" t="str">
        <f>"COS10200804 7119"</f>
        <v>COS10200804 7119</v>
      </c>
    </row>
    <row r="2036" spans="1:26" x14ac:dyDescent="0.25">
      <c r="A2036" t="str">
        <f t="shared" si="841"/>
        <v>04-08-2020 01:05:33</v>
      </c>
      <c r="B2036" t="str">
        <f>"0000808916"</f>
        <v>0000808916</v>
      </c>
      <c r="C2036" t="str">
        <f t="shared" si="842"/>
        <v>0000808798</v>
      </c>
      <c r="D2036" t="str">
        <f t="shared" si="824"/>
        <v>73185</v>
      </c>
      <c r="E2036" t="str">
        <f t="shared" si="825"/>
        <v>KFH-OPERATIONS DEPARTMENT</v>
      </c>
      <c r="F2036" t="str">
        <f t="shared" si="826"/>
        <v>IBG</v>
      </c>
      <c r="G2036" t="str">
        <f t="shared" si="837"/>
        <v>Refund COSHARE 10</v>
      </c>
      <c r="H2036" s="2">
        <v>258.60000000000002</v>
      </c>
      <c r="I2036" t="str">
        <f>"ROSNIZA BINTI AB GHANI"</f>
        <v>ROSNIZA BINTI AB GHANI</v>
      </c>
      <c r="J2036" t="str">
        <f t="shared" si="838"/>
        <v>MAYBANK / MAYBANK ISLAMIC</v>
      </c>
      <c r="K2036" t="str">
        <f>"101011109276"</f>
        <v>101011109276</v>
      </c>
      <c r="L2036" t="str">
        <f t="shared" si="843"/>
        <v>04-08-2020</v>
      </c>
      <c r="M2036" t="str">
        <f t="shared" si="843"/>
        <v>04-08-2020</v>
      </c>
      <c r="N2036" t="str">
        <f t="shared" si="827"/>
        <v>001105018356</v>
      </c>
      <c r="O2036" t="str">
        <f t="shared" si="828"/>
        <v>MYR</v>
      </c>
      <c r="P2036" t="str">
        <f t="shared" si="844"/>
        <v>NIL</v>
      </c>
      <c r="Q2036" t="str">
        <f t="shared" si="844"/>
        <v>NIL</v>
      </c>
      <c r="R2036" t="str">
        <f t="shared" si="829"/>
        <v>Accepted</v>
      </c>
      <c r="S2036" t="str">
        <f t="shared" si="830"/>
        <v>Approved</v>
      </c>
      <c r="T2036" t="str">
        <f t="shared" si="831"/>
        <v>10.20.8.188</v>
      </c>
      <c r="U2036" t="str">
        <f t="shared" si="832"/>
        <v>AZRAD UMAR BIN SHAARI</v>
      </c>
      <c r="V2036" t="str">
        <f t="shared" si="833"/>
        <v>FARHANA BINTI MUSTAPA</v>
      </c>
      <c r="W2036" t="str">
        <f t="shared" si="834"/>
        <v>04-08-2020</v>
      </c>
      <c r="X2036" t="str">
        <f t="shared" si="835"/>
        <v>RAZIMAH ANSAR AHMAD</v>
      </c>
      <c r="Y2036" t="str">
        <f t="shared" si="836"/>
        <v>04-08-2020</v>
      </c>
      <c r="Z2036" t="str">
        <f>"COS10200804 7118"</f>
        <v>COS10200804 7118</v>
      </c>
    </row>
    <row r="2037" spans="1:26" x14ac:dyDescent="0.25">
      <c r="A2037" t="str">
        <f t="shared" si="841"/>
        <v>04-08-2020 01:05:33</v>
      </c>
      <c r="B2037" t="str">
        <f>"0000808915"</f>
        <v>0000808915</v>
      </c>
      <c r="C2037" t="str">
        <f t="shared" si="842"/>
        <v>0000808798</v>
      </c>
      <c r="D2037" t="str">
        <f t="shared" si="824"/>
        <v>73185</v>
      </c>
      <c r="E2037" t="str">
        <f t="shared" si="825"/>
        <v>KFH-OPERATIONS DEPARTMENT</v>
      </c>
      <c r="F2037" t="str">
        <f t="shared" si="826"/>
        <v>IBG</v>
      </c>
      <c r="G2037" t="str">
        <f t="shared" si="837"/>
        <v>Refund COSHARE 10</v>
      </c>
      <c r="H2037" s="2">
        <v>317.60000000000002</v>
      </c>
      <c r="I2037" t="str">
        <f>"ROSNIWATI BT MOHD HAMZAH"</f>
        <v>ROSNIWATI BT MOHD HAMZAH</v>
      </c>
      <c r="J2037" t="str">
        <f t="shared" si="838"/>
        <v>MAYBANK / MAYBANK ISLAMIC</v>
      </c>
      <c r="K2037" t="str">
        <f>"112072041165"</f>
        <v>112072041165</v>
      </c>
      <c r="L2037" t="str">
        <f t="shared" si="843"/>
        <v>04-08-2020</v>
      </c>
      <c r="M2037" t="str">
        <f t="shared" si="843"/>
        <v>04-08-2020</v>
      </c>
      <c r="N2037" t="str">
        <f t="shared" si="827"/>
        <v>001105018356</v>
      </c>
      <c r="O2037" t="str">
        <f t="shared" si="828"/>
        <v>MYR</v>
      </c>
      <c r="P2037" t="str">
        <f t="shared" si="844"/>
        <v>NIL</v>
      </c>
      <c r="Q2037" t="str">
        <f t="shared" si="844"/>
        <v>NIL</v>
      </c>
      <c r="R2037" t="str">
        <f t="shared" si="829"/>
        <v>Accepted</v>
      </c>
      <c r="S2037" t="str">
        <f t="shared" si="830"/>
        <v>Approved</v>
      </c>
      <c r="T2037" t="str">
        <f t="shared" si="831"/>
        <v>10.20.8.188</v>
      </c>
      <c r="U2037" t="str">
        <f t="shared" si="832"/>
        <v>AZRAD UMAR BIN SHAARI</v>
      </c>
      <c r="V2037" t="str">
        <f t="shared" si="833"/>
        <v>FARHANA BINTI MUSTAPA</v>
      </c>
      <c r="W2037" t="str">
        <f t="shared" si="834"/>
        <v>04-08-2020</v>
      </c>
      <c r="X2037" t="str">
        <f t="shared" si="835"/>
        <v>RAZIMAH ANSAR AHMAD</v>
      </c>
      <c r="Y2037" t="str">
        <f t="shared" si="836"/>
        <v>04-08-2020</v>
      </c>
      <c r="Z2037" t="str">
        <f>"COS10200804 7117"</f>
        <v>COS10200804 7117</v>
      </c>
    </row>
    <row r="2038" spans="1:26" x14ac:dyDescent="0.25">
      <c r="A2038" t="str">
        <f t="shared" si="841"/>
        <v>04-08-2020 01:05:33</v>
      </c>
      <c r="B2038" t="str">
        <f>"0000808914"</f>
        <v>0000808914</v>
      </c>
      <c r="C2038" t="str">
        <f t="shared" si="842"/>
        <v>0000808798</v>
      </c>
      <c r="D2038" t="str">
        <f t="shared" si="824"/>
        <v>73185</v>
      </c>
      <c r="E2038" t="str">
        <f t="shared" si="825"/>
        <v>KFH-OPERATIONS DEPARTMENT</v>
      </c>
      <c r="F2038" t="str">
        <f t="shared" si="826"/>
        <v>IBG</v>
      </c>
      <c r="G2038" t="str">
        <f t="shared" si="837"/>
        <v>Refund COSHARE 10</v>
      </c>
      <c r="H2038" s="2">
        <v>1007.4</v>
      </c>
      <c r="I2038" t="str">
        <f>"ROSNITA BINTI ZAKARIA"</f>
        <v>ROSNITA BINTI ZAKARIA</v>
      </c>
      <c r="J2038" t="str">
        <f t="shared" si="838"/>
        <v>MAYBANK / MAYBANK ISLAMIC</v>
      </c>
      <c r="K2038" t="str">
        <f>"164856034768"</f>
        <v>164856034768</v>
      </c>
      <c r="L2038" t="str">
        <f t="shared" si="843"/>
        <v>04-08-2020</v>
      </c>
      <c r="M2038" t="str">
        <f t="shared" si="843"/>
        <v>04-08-2020</v>
      </c>
      <c r="N2038" t="str">
        <f t="shared" si="827"/>
        <v>001105018356</v>
      </c>
      <c r="O2038" t="str">
        <f t="shared" si="828"/>
        <v>MYR</v>
      </c>
      <c r="P2038" t="str">
        <f t="shared" si="844"/>
        <v>NIL</v>
      </c>
      <c r="Q2038" t="str">
        <f t="shared" si="844"/>
        <v>NIL</v>
      </c>
      <c r="R2038" t="str">
        <f t="shared" si="829"/>
        <v>Accepted</v>
      </c>
      <c r="S2038" t="str">
        <f t="shared" si="830"/>
        <v>Approved</v>
      </c>
      <c r="T2038" t="str">
        <f t="shared" si="831"/>
        <v>10.20.8.188</v>
      </c>
      <c r="U2038" t="str">
        <f t="shared" si="832"/>
        <v>AZRAD UMAR BIN SHAARI</v>
      </c>
      <c r="V2038" t="str">
        <f t="shared" si="833"/>
        <v>FARHANA BINTI MUSTAPA</v>
      </c>
      <c r="W2038" t="str">
        <f t="shared" si="834"/>
        <v>04-08-2020</v>
      </c>
      <c r="X2038" t="str">
        <f t="shared" si="835"/>
        <v>RAZIMAH ANSAR AHMAD</v>
      </c>
      <c r="Y2038" t="str">
        <f t="shared" si="836"/>
        <v>04-08-2020</v>
      </c>
      <c r="Z2038" t="str">
        <f>"COS10200804 7116"</f>
        <v>COS10200804 7116</v>
      </c>
    </row>
    <row r="2039" spans="1:26" x14ac:dyDescent="0.25">
      <c r="A2039" t="str">
        <f t="shared" si="841"/>
        <v>04-08-2020 01:05:33</v>
      </c>
      <c r="B2039" t="str">
        <f>"0000808913"</f>
        <v>0000808913</v>
      </c>
      <c r="C2039" t="str">
        <f t="shared" si="842"/>
        <v>0000808798</v>
      </c>
      <c r="D2039" t="str">
        <f t="shared" si="824"/>
        <v>73185</v>
      </c>
      <c r="E2039" t="str">
        <f t="shared" si="825"/>
        <v>KFH-OPERATIONS DEPARTMENT</v>
      </c>
      <c r="F2039" t="str">
        <f t="shared" si="826"/>
        <v>IBG</v>
      </c>
      <c r="G2039" t="str">
        <f t="shared" si="837"/>
        <v>Refund COSHARE 10</v>
      </c>
      <c r="H2039" s="2">
        <v>98.25</v>
      </c>
      <c r="I2039" t="str">
        <f>"ROSNIE BINTI ALPAH"</f>
        <v>ROSNIE BINTI ALPAH</v>
      </c>
      <c r="J2039" t="str">
        <f t="shared" si="838"/>
        <v>MAYBANK / MAYBANK ISLAMIC</v>
      </c>
      <c r="K2039" t="str">
        <f>"160027279190"</f>
        <v>160027279190</v>
      </c>
      <c r="L2039" t="str">
        <f t="shared" si="843"/>
        <v>04-08-2020</v>
      </c>
      <c r="M2039" t="str">
        <f t="shared" si="843"/>
        <v>04-08-2020</v>
      </c>
      <c r="N2039" t="str">
        <f t="shared" si="827"/>
        <v>001105018356</v>
      </c>
      <c r="O2039" t="str">
        <f t="shared" si="828"/>
        <v>MYR</v>
      </c>
      <c r="P2039" t="str">
        <f t="shared" si="844"/>
        <v>NIL</v>
      </c>
      <c r="Q2039" t="str">
        <f t="shared" si="844"/>
        <v>NIL</v>
      </c>
      <c r="R2039" t="str">
        <f t="shared" si="829"/>
        <v>Accepted</v>
      </c>
      <c r="S2039" t="str">
        <f t="shared" si="830"/>
        <v>Approved</v>
      </c>
      <c r="T2039" t="str">
        <f t="shared" si="831"/>
        <v>10.20.8.188</v>
      </c>
      <c r="U2039" t="str">
        <f t="shared" si="832"/>
        <v>AZRAD UMAR BIN SHAARI</v>
      </c>
      <c r="V2039" t="str">
        <f t="shared" si="833"/>
        <v>FARHANA BINTI MUSTAPA</v>
      </c>
      <c r="W2039" t="str">
        <f t="shared" si="834"/>
        <v>04-08-2020</v>
      </c>
      <c r="X2039" t="str">
        <f t="shared" si="835"/>
        <v>RAZIMAH ANSAR AHMAD</v>
      </c>
      <c r="Y2039" t="str">
        <f t="shared" si="836"/>
        <v>04-08-2020</v>
      </c>
      <c r="Z2039" t="str">
        <f>"COS10200804 7115"</f>
        <v>COS10200804 7115</v>
      </c>
    </row>
    <row r="2040" spans="1:26" x14ac:dyDescent="0.25">
      <c r="A2040" t="str">
        <f t="shared" si="841"/>
        <v>04-08-2020 01:05:33</v>
      </c>
      <c r="B2040" t="str">
        <f>"0000808912"</f>
        <v>0000808912</v>
      </c>
      <c r="C2040" t="str">
        <f t="shared" si="842"/>
        <v>0000808798</v>
      </c>
      <c r="D2040" t="str">
        <f t="shared" si="824"/>
        <v>73185</v>
      </c>
      <c r="E2040" t="str">
        <f t="shared" si="825"/>
        <v>KFH-OPERATIONS DEPARTMENT</v>
      </c>
      <c r="F2040" t="str">
        <f t="shared" si="826"/>
        <v>IBG</v>
      </c>
      <c r="G2040" t="str">
        <f t="shared" si="837"/>
        <v>Refund COSHARE 10</v>
      </c>
      <c r="H2040" s="2">
        <v>75.599999999999994</v>
      </c>
      <c r="I2040" t="str">
        <f>"ROSNIDAH BINTI ABD RAHMAN"</f>
        <v>ROSNIDAH BINTI ABD RAHMAN</v>
      </c>
      <c r="J2040" t="str">
        <f t="shared" si="838"/>
        <v>MAYBANK / MAYBANK ISLAMIC</v>
      </c>
      <c r="K2040" t="str">
        <f>"112102089751"</f>
        <v>112102089751</v>
      </c>
      <c r="L2040" t="str">
        <f t="shared" si="843"/>
        <v>04-08-2020</v>
      </c>
      <c r="M2040" t="str">
        <f t="shared" si="843"/>
        <v>04-08-2020</v>
      </c>
      <c r="N2040" t="str">
        <f t="shared" si="827"/>
        <v>001105018356</v>
      </c>
      <c r="O2040" t="str">
        <f t="shared" si="828"/>
        <v>MYR</v>
      </c>
      <c r="P2040" t="str">
        <f t="shared" si="844"/>
        <v>NIL</v>
      </c>
      <c r="Q2040" t="str">
        <f t="shared" si="844"/>
        <v>NIL</v>
      </c>
      <c r="R2040" t="str">
        <f t="shared" si="829"/>
        <v>Accepted</v>
      </c>
      <c r="S2040" t="str">
        <f t="shared" si="830"/>
        <v>Approved</v>
      </c>
      <c r="T2040" t="str">
        <f t="shared" si="831"/>
        <v>10.20.8.188</v>
      </c>
      <c r="U2040" t="str">
        <f t="shared" si="832"/>
        <v>AZRAD UMAR BIN SHAARI</v>
      </c>
      <c r="V2040" t="str">
        <f t="shared" si="833"/>
        <v>FARHANA BINTI MUSTAPA</v>
      </c>
      <c r="W2040" t="str">
        <f t="shared" si="834"/>
        <v>04-08-2020</v>
      </c>
      <c r="X2040" t="str">
        <f t="shared" si="835"/>
        <v>RAZIMAH ANSAR AHMAD</v>
      </c>
      <c r="Y2040" t="str">
        <f t="shared" si="836"/>
        <v>04-08-2020</v>
      </c>
      <c r="Z2040" t="str">
        <f>"COS10200804 7114"</f>
        <v>COS10200804 7114</v>
      </c>
    </row>
    <row r="2041" spans="1:26" x14ac:dyDescent="0.25">
      <c r="A2041" t="str">
        <f t="shared" si="841"/>
        <v>04-08-2020 01:05:33</v>
      </c>
      <c r="B2041" t="str">
        <f>"0000808911"</f>
        <v>0000808911</v>
      </c>
      <c r="C2041" t="str">
        <f t="shared" si="842"/>
        <v>0000808798</v>
      </c>
      <c r="D2041" t="str">
        <f t="shared" si="824"/>
        <v>73185</v>
      </c>
      <c r="E2041" t="str">
        <f t="shared" si="825"/>
        <v>KFH-OPERATIONS DEPARTMENT</v>
      </c>
      <c r="F2041" t="str">
        <f t="shared" si="826"/>
        <v>IBG</v>
      </c>
      <c r="G2041" t="str">
        <f t="shared" si="837"/>
        <v>Refund COSHARE 10</v>
      </c>
      <c r="H2041" s="2">
        <v>58.95</v>
      </c>
      <c r="I2041" t="str">
        <f>"ROSNI BINTI MOHAMED  AHMAD"</f>
        <v>ROSNI BINTI MOHAMED  AHMAD</v>
      </c>
      <c r="J2041" t="str">
        <f t="shared" si="838"/>
        <v>MAYBANK / MAYBANK ISLAMIC</v>
      </c>
      <c r="K2041" t="str">
        <f>"103051207595"</f>
        <v>103051207595</v>
      </c>
      <c r="L2041" t="str">
        <f t="shared" si="843"/>
        <v>04-08-2020</v>
      </c>
      <c r="M2041" t="str">
        <f t="shared" si="843"/>
        <v>04-08-2020</v>
      </c>
      <c r="N2041" t="str">
        <f t="shared" si="827"/>
        <v>001105018356</v>
      </c>
      <c r="O2041" t="str">
        <f t="shared" si="828"/>
        <v>MYR</v>
      </c>
      <c r="P2041" t="str">
        <f t="shared" si="844"/>
        <v>NIL</v>
      </c>
      <c r="Q2041" t="str">
        <f t="shared" si="844"/>
        <v>NIL</v>
      </c>
      <c r="R2041" t="str">
        <f t="shared" si="829"/>
        <v>Accepted</v>
      </c>
      <c r="S2041" t="str">
        <f t="shared" si="830"/>
        <v>Approved</v>
      </c>
      <c r="T2041" t="str">
        <f t="shared" si="831"/>
        <v>10.20.8.188</v>
      </c>
      <c r="U2041" t="str">
        <f t="shared" si="832"/>
        <v>AZRAD UMAR BIN SHAARI</v>
      </c>
      <c r="V2041" t="str">
        <f t="shared" si="833"/>
        <v>FARHANA BINTI MUSTAPA</v>
      </c>
      <c r="W2041" t="str">
        <f t="shared" si="834"/>
        <v>04-08-2020</v>
      </c>
      <c r="X2041" t="str">
        <f t="shared" si="835"/>
        <v>RAZIMAH ANSAR AHMAD</v>
      </c>
      <c r="Y2041" t="str">
        <f t="shared" si="836"/>
        <v>04-08-2020</v>
      </c>
      <c r="Z2041" t="str">
        <f>"COS10200804 7113"</f>
        <v>COS10200804 7113</v>
      </c>
    </row>
    <row r="2042" spans="1:26" x14ac:dyDescent="0.25">
      <c r="A2042" t="str">
        <f t="shared" si="841"/>
        <v>04-08-2020 01:05:33</v>
      </c>
      <c r="B2042" t="str">
        <f>"0000808910"</f>
        <v>0000808910</v>
      </c>
      <c r="C2042" t="str">
        <f t="shared" si="842"/>
        <v>0000808798</v>
      </c>
      <c r="D2042" t="str">
        <f t="shared" si="824"/>
        <v>73185</v>
      </c>
      <c r="E2042" t="str">
        <f t="shared" si="825"/>
        <v>KFH-OPERATIONS DEPARTMENT</v>
      </c>
      <c r="F2042" t="str">
        <f t="shared" si="826"/>
        <v>IBG</v>
      </c>
      <c r="G2042" t="str">
        <f t="shared" si="837"/>
        <v>Refund COSHARE 10</v>
      </c>
      <c r="H2042" s="2">
        <v>982</v>
      </c>
      <c r="I2042" t="str">
        <f>"ROSNI ANAK GIAK"</f>
        <v>ROSNI ANAK GIAK</v>
      </c>
      <c r="J2042" t="str">
        <f t="shared" si="838"/>
        <v>MAYBANK / MAYBANK ISLAMIC</v>
      </c>
      <c r="K2042" t="str">
        <f>"166010215286"</f>
        <v>166010215286</v>
      </c>
      <c r="L2042" t="str">
        <f t="shared" si="843"/>
        <v>04-08-2020</v>
      </c>
      <c r="M2042" t="str">
        <f t="shared" si="843"/>
        <v>04-08-2020</v>
      </c>
      <c r="N2042" t="str">
        <f t="shared" si="827"/>
        <v>001105018356</v>
      </c>
      <c r="O2042" t="str">
        <f t="shared" si="828"/>
        <v>MYR</v>
      </c>
      <c r="P2042" t="str">
        <f t="shared" si="844"/>
        <v>NIL</v>
      </c>
      <c r="Q2042" t="str">
        <f t="shared" si="844"/>
        <v>NIL</v>
      </c>
      <c r="R2042" t="str">
        <f t="shared" si="829"/>
        <v>Accepted</v>
      </c>
      <c r="S2042" t="str">
        <f t="shared" si="830"/>
        <v>Approved</v>
      </c>
      <c r="T2042" t="str">
        <f t="shared" si="831"/>
        <v>10.20.8.188</v>
      </c>
      <c r="U2042" t="str">
        <f t="shared" si="832"/>
        <v>AZRAD UMAR BIN SHAARI</v>
      </c>
      <c r="V2042" t="str">
        <f t="shared" si="833"/>
        <v>FARHANA BINTI MUSTAPA</v>
      </c>
      <c r="W2042" t="str">
        <f t="shared" si="834"/>
        <v>04-08-2020</v>
      </c>
      <c r="X2042" t="str">
        <f t="shared" si="835"/>
        <v>RAZIMAH ANSAR AHMAD</v>
      </c>
      <c r="Y2042" t="str">
        <f t="shared" si="836"/>
        <v>04-08-2020</v>
      </c>
      <c r="Z2042" t="str">
        <f>"COS10200804 7112"</f>
        <v>COS10200804 7112</v>
      </c>
    </row>
    <row r="2043" spans="1:26" x14ac:dyDescent="0.25">
      <c r="A2043" t="str">
        <f t="shared" si="841"/>
        <v>04-08-2020 01:05:33</v>
      </c>
      <c r="B2043" t="str">
        <f>"0000808909"</f>
        <v>0000808909</v>
      </c>
      <c r="C2043" t="str">
        <f t="shared" si="842"/>
        <v>0000808798</v>
      </c>
      <c r="D2043" t="str">
        <f t="shared" si="824"/>
        <v>73185</v>
      </c>
      <c r="E2043" t="str">
        <f t="shared" si="825"/>
        <v>KFH-OPERATIONS DEPARTMENT</v>
      </c>
      <c r="F2043" t="str">
        <f t="shared" si="826"/>
        <v>IBG</v>
      </c>
      <c r="G2043" t="str">
        <f t="shared" si="837"/>
        <v>Refund COSHARE 10</v>
      </c>
      <c r="H2043" s="2">
        <v>1679</v>
      </c>
      <c r="I2043" t="str">
        <f>"ROSNANI BINTI MAT TAIB  MAT AMIN"</f>
        <v>ROSNANI BINTI MAT TAIB  MAT AMIN</v>
      </c>
      <c r="J2043" t="str">
        <f t="shared" si="838"/>
        <v>MAYBANK / MAYBANK ISLAMIC</v>
      </c>
      <c r="K2043" t="str">
        <f>"162151685215"</f>
        <v>162151685215</v>
      </c>
      <c r="L2043" t="str">
        <f t="shared" si="843"/>
        <v>04-08-2020</v>
      </c>
      <c r="M2043" t="str">
        <f t="shared" si="843"/>
        <v>04-08-2020</v>
      </c>
      <c r="N2043" t="str">
        <f t="shared" si="827"/>
        <v>001105018356</v>
      </c>
      <c r="O2043" t="str">
        <f t="shared" si="828"/>
        <v>MYR</v>
      </c>
      <c r="P2043" t="str">
        <f t="shared" si="844"/>
        <v>NIL</v>
      </c>
      <c r="Q2043" t="str">
        <f t="shared" si="844"/>
        <v>NIL</v>
      </c>
      <c r="R2043" t="str">
        <f t="shared" si="829"/>
        <v>Accepted</v>
      </c>
      <c r="S2043" t="str">
        <f t="shared" si="830"/>
        <v>Approved</v>
      </c>
      <c r="T2043" t="str">
        <f t="shared" si="831"/>
        <v>10.20.8.188</v>
      </c>
      <c r="U2043" t="str">
        <f t="shared" si="832"/>
        <v>AZRAD UMAR BIN SHAARI</v>
      </c>
      <c r="V2043" t="str">
        <f t="shared" si="833"/>
        <v>FARHANA BINTI MUSTAPA</v>
      </c>
      <c r="W2043" t="str">
        <f t="shared" si="834"/>
        <v>04-08-2020</v>
      </c>
      <c r="X2043" t="str">
        <f t="shared" si="835"/>
        <v>RAZIMAH ANSAR AHMAD</v>
      </c>
      <c r="Y2043" t="str">
        <f t="shared" si="836"/>
        <v>04-08-2020</v>
      </c>
      <c r="Z2043" t="str">
        <f>"COS10200804 7111"</f>
        <v>COS10200804 7111</v>
      </c>
    </row>
    <row r="2044" spans="1:26" x14ac:dyDescent="0.25">
      <c r="A2044" t="str">
        <f t="shared" si="841"/>
        <v>04-08-2020 01:05:33</v>
      </c>
      <c r="B2044" t="str">
        <f>"0000808908"</f>
        <v>0000808908</v>
      </c>
      <c r="C2044" t="str">
        <f t="shared" si="842"/>
        <v>0000808798</v>
      </c>
      <c r="D2044" t="str">
        <f t="shared" si="824"/>
        <v>73185</v>
      </c>
      <c r="E2044" t="str">
        <f t="shared" si="825"/>
        <v>KFH-OPERATIONS DEPARTMENT</v>
      </c>
      <c r="F2044" t="str">
        <f t="shared" si="826"/>
        <v>IBG</v>
      </c>
      <c r="G2044" t="str">
        <f t="shared" si="837"/>
        <v>Refund COSHARE 10</v>
      </c>
      <c r="H2044" s="2">
        <v>448</v>
      </c>
      <c r="I2044" t="str">
        <f>"ROSNAH BINTI MOHD IDRIS"</f>
        <v>ROSNAH BINTI MOHD IDRIS</v>
      </c>
      <c r="J2044" t="str">
        <f t="shared" si="838"/>
        <v>MAYBANK / MAYBANK ISLAMIC</v>
      </c>
      <c r="K2044" t="str">
        <f>"109018013547"</f>
        <v>109018013547</v>
      </c>
      <c r="L2044" t="str">
        <f t="shared" si="843"/>
        <v>04-08-2020</v>
      </c>
      <c r="M2044" t="str">
        <f t="shared" si="843"/>
        <v>04-08-2020</v>
      </c>
      <c r="N2044" t="str">
        <f t="shared" si="827"/>
        <v>001105018356</v>
      </c>
      <c r="O2044" t="str">
        <f t="shared" si="828"/>
        <v>MYR</v>
      </c>
      <c r="P2044" t="str">
        <f t="shared" si="844"/>
        <v>NIL</v>
      </c>
      <c r="Q2044" t="str">
        <f t="shared" si="844"/>
        <v>NIL</v>
      </c>
      <c r="R2044" t="str">
        <f t="shared" si="829"/>
        <v>Accepted</v>
      </c>
      <c r="S2044" t="str">
        <f t="shared" si="830"/>
        <v>Approved</v>
      </c>
      <c r="T2044" t="str">
        <f t="shared" si="831"/>
        <v>10.20.8.188</v>
      </c>
      <c r="U2044" t="str">
        <f t="shared" si="832"/>
        <v>AZRAD UMAR BIN SHAARI</v>
      </c>
      <c r="V2044" t="str">
        <f t="shared" si="833"/>
        <v>FARHANA BINTI MUSTAPA</v>
      </c>
      <c r="W2044" t="str">
        <f t="shared" si="834"/>
        <v>04-08-2020</v>
      </c>
      <c r="X2044" t="str">
        <f t="shared" si="835"/>
        <v>RAZIMAH ANSAR AHMAD</v>
      </c>
      <c r="Y2044" t="str">
        <f t="shared" si="836"/>
        <v>04-08-2020</v>
      </c>
      <c r="Z2044" t="str">
        <f>"COS10200804 7110"</f>
        <v>COS10200804 7110</v>
      </c>
    </row>
    <row r="2045" spans="1:26" x14ac:dyDescent="0.25">
      <c r="A2045" t="str">
        <f t="shared" si="841"/>
        <v>04-08-2020 01:05:33</v>
      </c>
      <c r="B2045" t="str">
        <f>"0000808907"</f>
        <v>0000808907</v>
      </c>
      <c r="C2045" t="str">
        <f t="shared" si="842"/>
        <v>0000808798</v>
      </c>
      <c r="D2045" t="str">
        <f t="shared" si="824"/>
        <v>73185</v>
      </c>
      <c r="E2045" t="str">
        <f t="shared" si="825"/>
        <v>KFH-OPERATIONS DEPARTMENT</v>
      </c>
      <c r="F2045" t="str">
        <f t="shared" si="826"/>
        <v>IBG</v>
      </c>
      <c r="G2045" t="str">
        <f t="shared" si="837"/>
        <v>Refund COSHARE 10</v>
      </c>
      <c r="H2045" s="2">
        <v>585</v>
      </c>
      <c r="I2045" t="str">
        <f>"ROSNAH BINTI MOHAMAD AMIN"</f>
        <v>ROSNAH BINTI MOHAMAD AMIN</v>
      </c>
      <c r="J2045" t="str">
        <f t="shared" si="838"/>
        <v>MAYBANK / MAYBANK ISLAMIC</v>
      </c>
      <c r="K2045" t="str">
        <f>"158154285809"</f>
        <v>158154285809</v>
      </c>
      <c r="L2045" t="str">
        <f t="shared" si="843"/>
        <v>04-08-2020</v>
      </c>
      <c r="M2045" t="str">
        <f t="shared" si="843"/>
        <v>04-08-2020</v>
      </c>
      <c r="N2045" t="str">
        <f t="shared" si="827"/>
        <v>001105018356</v>
      </c>
      <c r="O2045" t="str">
        <f t="shared" si="828"/>
        <v>MYR</v>
      </c>
      <c r="P2045" t="str">
        <f t="shared" si="844"/>
        <v>NIL</v>
      </c>
      <c r="Q2045" t="str">
        <f t="shared" si="844"/>
        <v>NIL</v>
      </c>
      <c r="R2045" t="str">
        <f t="shared" si="829"/>
        <v>Accepted</v>
      </c>
      <c r="S2045" t="str">
        <f t="shared" si="830"/>
        <v>Approved</v>
      </c>
      <c r="T2045" t="str">
        <f t="shared" si="831"/>
        <v>10.20.8.188</v>
      </c>
      <c r="U2045" t="str">
        <f t="shared" si="832"/>
        <v>AZRAD UMAR BIN SHAARI</v>
      </c>
      <c r="V2045" t="str">
        <f t="shared" si="833"/>
        <v>FARHANA BINTI MUSTAPA</v>
      </c>
      <c r="W2045" t="str">
        <f t="shared" si="834"/>
        <v>04-08-2020</v>
      </c>
      <c r="X2045" t="str">
        <f t="shared" si="835"/>
        <v>RAZIMAH ANSAR AHMAD</v>
      </c>
      <c r="Y2045" t="str">
        <f t="shared" si="836"/>
        <v>04-08-2020</v>
      </c>
      <c r="Z2045" t="str">
        <f>"COS10200804 7109"</f>
        <v>COS10200804 7109</v>
      </c>
    </row>
    <row r="2046" spans="1:26" x14ac:dyDescent="0.25">
      <c r="A2046" t="str">
        <f t="shared" si="841"/>
        <v>04-08-2020 01:05:33</v>
      </c>
      <c r="B2046" t="str">
        <f>"0000808906"</f>
        <v>0000808906</v>
      </c>
      <c r="C2046" t="str">
        <f t="shared" si="842"/>
        <v>0000808798</v>
      </c>
      <c r="D2046" t="str">
        <f t="shared" si="824"/>
        <v>73185</v>
      </c>
      <c r="E2046" t="str">
        <f t="shared" si="825"/>
        <v>KFH-OPERATIONS DEPARTMENT</v>
      </c>
      <c r="F2046" t="str">
        <f t="shared" si="826"/>
        <v>IBG</v>
      </c>
      <c r="G2046" t="str">
        <f t="shared" si="837"/>
        <v>Refund COSHARE 10</v>
      </c>
      <c r="H2046" s="2">
        <v>839.5</v>
      </c>
      <c r="I2046" t="str">
        <f>"ROSNAH BINTI HARUN"</f>
        <v>ROSNAH BINTI HARUN</v>
      </c>
      <c r="J2046" t="str">
        <f t="shared" si="838"/>
        <v>MAYBANK / MAYBANK ISLAMIC</v>
      </c>
      <c r="K2046" t="str">
        <f>"160090293185"</f>
        <v>160090293185</v>
      </c>
      <c r="L2046" t="str">
        <f t="shared" si="843"/>
        <v>04-08-2020</v>
      </c>
      <c r="M2046" t="str">
        <f t="shared" si="843"/>
        <v>04-08-2020</v>
      </c>
      <c r="N2046" t="str">
        <f t="shared" si="827"/>
        <v>001105018356</v>
      </c>
      <c r="O2046" t="str">
        <f t="shared" si="828"/>
        <v>MYR</v>
      </c>
      <c r="P2046" t="str">
        <f t="shared" si="844"/>
        <v>NIL</v>
      </c>
      <c r="Q2046" t="str">
        <f t="shared" si="844"/>
        <v>NIL</v>
      </c>
      <c r="R2046" t="str">
        <f t="shared" si="829"/>
        <v>Accepted</v>
      </c>
      <c r="S2046" t="str">
        <f t="shared" si="830"/>
        <v>Approved</v>
      </c>
      <c r="T2046" t="str">
        <f t="shared" si="831"/>
        <v>10.20.8.188</v>
      </c>
      <c r="U2046" t="str">
        <f t="shared" si="832"/>
        <v>AZRAD UMAR BIN SHAARI</v>
      </c>
      <c r="V2046" t="str">
        <f t="shared" si="833"/>
        <v>FARHANA BINTI MUSTAPA</v>
      </c>
      <c r="W2046" t="str">
        <f t="shared" si="834"/>
        <v>04-08-2020</v>
      </c>
      <c r="X2046" t="str">
        <f t="shared" si="835"/>
        <v>RAZIMAH ANSAR AHMAD</v>
      </c>
      <c r="Y2046" t="str">
        <f t="shared" si="836"/>
        <v>04-08-2020</v>
      </c>
      <c r="Z2046" t="str">
        <f>"COS10200804 7108"</f>
        <v>COS10200804 7108</v>
      </c>
    </row>
    <row r="2047" spans="1:26" x14ac:dyDescent="0.25">
      <c r="A2047" t="str">
        <f t="shared" si="841"/>
        <v>04-08-2020 01:05:33</v>
      </c>
      <c r="B2047" t="str">
        <f>"0000808905"</f>
        <v>0000808905</v>
      </c>
      <c r="C2047" t="str">
        <f t="shared" si="842"/>
        <v>0000808798</v>
      </c>
      <c r="D2047" t="str">
        <f t="shared" si="824"/>
        <v>73185</v>
      </c>
      <c r="E2047" t="str">
        <f t="shared" si="825"/>
        <v>KFH-OPERATIONS DEPARTMENT</v>
      </c>
      <c r="F2047" t="str">
        <f t="shared" si="826"/>
        <v>IBG</v>
      </c>
      <c r="G2047" t="str">
        <f t="shared" si="837"/>
        <v>Refund COSHARE 10</v>
      </c>
      <c r="H2047" s="2">
        <v>125.95</v>
      </c>
      <c r="I2047" t="str">
        <f>"ROSMIZAN BIN MOHAMAD"</f>
        <v>ROSMIZAN BIN MOHAMAD</v>
      </c>
      <c r="J2047" t="str">
        <f t="shared" si="838"/>
        <v>MAYBANK / MAYBANK ISLAMIC</v>
      </c>
      <c r="K2047" t="str">
        <f>"162666005870"</f>
        <v>162666005870</v>
      </c>
      <c r="L2047" t="str">
        <f t="shared" ref="L2047:M2066" si="845">"04-08-2020"</f>
        <v>04-08-2020</v>
      </c>
      <c r="M2047" t="str">
        <f t="shared" si="845"/>
        <v>04-08-2020</v>
      </c>
      <c r="N2047" t="str">
        <f t="shared" si="827"/>
        <v>001105018356</v>
      </c>
      <c r="O2047" t="str">
        <f t="shared" si="828"/>
        <v>MYR</v>
      </c>
      <c r="P2047" t="str">
        <f t="shared" ref="P2047:Q2066" si="846">"NIL"</f>
        <v>NIL</v>
      </c>
      <c r="Q2047" t="str">
        <f t="shared" si="846"/>
        <v>NIL</v>
      </c>
      <c r="R2047" t="str">
        <f t="shared" si="829"/>
        <v>Accepted</v>
      </c>
      <c r="S2047" t="str">
        <f t="shared" si="830"/>
        <v>Approved</v>
      </c>
      <c r="T2047" t="str">
        <f t="shared" si="831"/>
        <v>10.20.8.188</v>
      </c>
      <c r="U2047" t="str">
        <f t="shared" si="832"/>
        <v>AZRAD UMAR BIN SHAARI</v>
      </c>
      <c r="V2047" t="str">
        <f t="shared" si="833"/>
        <v>FARHANA BINTI MUSTAPA</v>
      </c>
      <c r="W2047" t="str">
        <f t="shared" si="834"/>
        <v>04-08-2020</v>
      </c>
      <c r="X2047" t="str">
        <f t="shared" si="835"/>
        <v>RAZIMAH ANSAR AHMAD</v>
      </c>
      <c r="Y2047" t="str">
        <f t="shared" si="836"/>
        <v>04-08-2020</v>
      </c>
      <c r="Z2047" t="str">
        <f>"COS10200804 7107"</f>
        <v>COS10200804 7107</v>
      </c>
    </row>
    <row r="2048" spans="1:26" x14ac:dyDescent="0.25">
      <c r="A2048" t="str">
        <f t="shared" si="841"/>
        <v>04-08-2020 01:05:33</v>
      </c>
      <c r="B2048" t="str">
        <f>"0000808904"</f>
        <v>0000808904</v>
      </c>
      <c r="C2048" t="str">
        <f t="shared" si="842"/>
        <v>0000808798</v>
      </c>
      <c r="D2048" t="str">
        <f t="shared" si="824"/>
        <v>73185</v>
      </c>
      <c r="E2048" t="str">
        <f t="shared" si="825"/>
        <v>KFH-OPERATIONS DEPARTMENT</v>
      </c>
      <c r="F2048" t="str">
        <f t="shared" si="826"/>
        <v>IBG</v>
      </c>
      <c r="G2048" t="str">
        <f t="shared" si="837"/>
        <v>Refund COSHARE 10</v>
      </c>
      <c r="H2048" s="2">
        <v>1518</v>
      </c>
      <c r="I2048" t="str">
        <f>"ROSMIYATI BINTI SAKIBI"</f>
        <v>ROSMIYATI BINTI SAKIBI</v>
      </c>
      <c r="J2048" t="str">
        <f t="shared" si="838"/>
        <v>MAYBANK / MAYBANK ISLAMIC</v>
      </c>
      <c r="K2048" t="str">
        <f>"160036013671"</f>
        <v>160036013671</v>
      </c>
      <c r="L2048" t="str">
        <f t="shared" si="845"/>
        <v>04-08-2020</v>
      </c>
      <c r="M2048" t="str">
        <f t="shared" si="845"/>
        <v>04-08-2020</v>
      </c>
      <c r="N2048" t="str">
        <f t="shared" si="827"/>
        <v>001105018356</v>
      </c>
      <c r="O2048" t="str">
        <f t="shared" si="828"/>
        <v>MYR</v>
      </c>
      <c r="P2048" t="str">
        <f t="shared" si="846"/>
        <v>NIL</v>
      </c>
      <c r="Q2048" t="str">
        <f t="shared" si="846"/>
        <v>NIL</v>
      </c>
      <c r="R2048" t="str">
        <f t="shared" si="829"/>
        <v>Accepted</v>
      </c>
      <c r="S2048" t="str">
        <f t="shared" si="830"/>
        <v>Approved</v>
      </c>
      <c r="T2048" t="str">
        <f t="shared" si="831"/>
        <v>10.20.8.188</v>
      </c>
      <c r="U2048" t="str">
        <f t="shared" si="832"/>
        <v>AZRAD UMAR BIN SHAARI</v>
      </c>
      <c r="V2048" t="str">
        <f t="shared" si="833"/>
        <v>FARHANA BINTI MUSTAPA</v>
      </c>
      <c r="W2048" t="str">
        <f t="shared" si="834"/>
        <v>04-08-2020</v>
      </c>
      <c r="X2048" t="str">
        <f t="shared" si="835"/>
        <v>RAZIMAH ANSAR AHMAD</v>
      </c>
      <c r="Y2048" t="str">
        <f t="shared" si="836"/>
        <v>04-08-2020</v>
      </c>
      <c r="Z2048" t="str">
        <f>"COS10200804 7106"</f>
        <v>COS10200804 7106</v>
      </c>
    </row>
    <row r="2049" spans="1:26" x14ac:dyDescent="0.25">
      <c r="A2049" t="str">
        <f t="shared" si="841"/>
        <v>04-08-2020 01:05:33</v>
      </c>
      <c r="B2049" t="str">
        <f>"0000808903"</f>
        <v>0000808903</v>
      </c>
      <c r="C2049" t="str">
        <f t="shared" si="842"/>
        <v>0000808798</v>
      </c>
      <c r="D2049" t="str">
        <f t="shared" si="824"/>
        <v>73185</v>
      </c>
      <c r="E2049" t="str">
        <f t="shared" si="825"/>
        <v>KFH-OPERATIONS DEPARTMENT</v>
      </c>
      <c r="F2049" t="str">
        <f t="shared" si="826"/>
        <v>IBG</v>
      </c>
      <c r="G2049" t="str">
        <f t="shared" si="837"/>
        <v>Refund COSHARE 10</v>
      </c>
      <c r="H2049" s="2">
        <v>83.95</v>
      </c>
      <c r="I2049" t="str">
        <f>"ROSMAWATY BINTI DAHARIDARIH"</f>
        <v>ROSMAWATY BINTI DAHARIDARIH</v>
      </c>
      <c r="J2049" t="str">
        <f t="shared" si="838"/>
        <v>MAYBANK / MAYBANK ISLAMIC</v>
      </c>
      <c r="K2049" t="str">
        <f>"160027240786"</f>
        <v>160027240786</v>
      </c>
      <c r="L2049" t="str">
        <f t="shared" si="845"/>
        <v>04-08-2020</v>
      </c>
      <c r="M2049" t="str">
        <f t="shared" si="845"/>
        <v>04-08-2020</v>
      </c>
      <c r="N2049" t="str">
        <f t="shared" si="827"/>
        <v>001105018356</v>
      </c>
      <c r="O2049" t="str">
        <f t="shared" si="828"/>
        <v>MYR</v>
      </c>
      <c r="P2049" t="str">
        <f t="shared" si="846"/>
        <v>NIL</v>
      </c>
      <c r="Q2049" t="str">
        <f t="shared" si="846"/>
        <v>NIL</v>
      </c>
      <c r="R2049" t="str">
        <f t="shared" si="829"/>
        <v>Accepted</v>
      </c>
      <c r="S2049" t="str">
        <f t="shared" si="830"/>
        <v>Approved</v>
      </c>
      <c r="T2049" t="str">
        <f t="shared" si="831"/>
        <v>10.20.8.188</v>
      </c>
      <c r="U2049" t="str">
        <f t="shared" si="832"/>
        <v>AZRAD UMAR BIN SHAARI</v>
      </c>
      <c r="V2049" t="str">
        <f t="shared" si="833"/>
        <v>FARHANA BINTI MUSTAPA</v>
      </c>
      <c r="W2049" t="str">
        <f t="shared" si="834"/>
        <v>04-08-2020</v>
      </c>
      <c r="X2049" t="str">
        <f t="shared" si="835"/>
        <v>RAZIMAH ANSAR AHMAD</v>
      </c>
      <c r="Y2049" t="str">
        <f t="shared" si="836"/>
        <v>04-08-2020</v>
      </c>
      <c r="Z2049" t="str">
        <f>"COS10200804 7105"</f>
        <v>COS10200804 7105</v>
      </c>
    </row>
    <row r="2050" spans="1:26" x14ac:dyDescent="0.25">
      <c r="A2050" t="str">
        <f t="shared" ref="A2050:A2081" si="847">"04-08-2020 01:05:33"</f>
        <v>04-08-2020 01:05:33</v>
      </c>
      <c r="B2050" t="str">
        <f>"0000808902"</f>
        <v>0000808902</v>
      </c>
      <c r="C2050" t="str">
        <f t="shared" ref="C2050:C2081" si="848">"0000808798"</f>
        <v>0000808798</v>
      </c>
      <c r="D2050" t="str">
        <f t="shared" si="824"/>
        <v>73185</v>
      </c>
      <c r="E2050" t="str">
        <f t="shared" si="825"/>
        <v>KFH-OPERATIONS DEPARTMENT</v>
      </c>
      <c r="F2050" t="str">
        <f t="shared" si="826"/>
        <v>IBG</v>
      </c>
      <c r="G2050" t="str">
        <f t="shared" si="837"/>
        <v>Refund COSHARE 10</v>
      </c>
      <c r="H2050" s="2">
        <v>235.1</v>
      </c>
      <c r="I2050" t="str">
        <f>"ROSMAWATI BINTI SALEHUDDIN"</f>
        <v>ROSMAWATI BINTI SALEHUDDIN</v>
      </c>
      <c r="J2050" t="str">
        <f t="shared" si="838"/>
        <v>MAYBANK / MAYBANK ISLAMIC</v>
      </c>
      <c r="K2050" t="str">
        <f>"114013087617"</f>
        <v>114013087617</v>
      </c>
      <c r="L2050" t="str">
        <f t="shared" si="845"/>
        <v>04-08-2020</v>
      </c>
      <c r="M2050" t="str">
        <f t="shared" si="845"/>
        <v>04-08-2020</v>
      </c>
      <c r="N2050" t="str">
        <f t="shared" si="827"/>
        <v>001105018356</v>
      </c>
      <c r="O2050" t="str">
        <f t="shared" si="828"/>
        <v>MYR</v>
      </c>
      <c r="P2050" t="str">
        <f t="shared" si="846"/>
        <v>NIL</v>
      </c>
      <c r="Q2050" t="str">
        <f t="shared" si="846"/>
        <v>NIL</v>
      </c>
      <c r="R2050" t="str">
        <f t="shared" si="829"/>
        <v>Accepted</v>
      </c>
      <c r="S2050" t="str">
        <f t="shared" si="830"/>
        <v>Approved</v>
      </c>
      <c r="T2050" t="str">
        <f t="shared" si="831"/>
        <v>10.20.8.188</v>
      </c>
      <c r="U2050" t="str">
        <f t="shared" si="832"/>
        <v>AZRAD UMAR BIN SHAARI</v>
      </c>
      <c r="V2050" t="str">
        <f t="shared" si="833"/>
        <v>FARHANA BINTI MUSTAPA</v>
      </c>
      <c r="W2050" t="str">
        <f t="shared" si="834"/>
        <v>04-08-2020</v>
      </c>
      <c r="X2050" t="str">
        <f t="shared" si="835"/>
        <v>RAZIMAH ANSAR AHMAD</v>
      </c>
      <c r="Y2050" t="str">
        <f t="shared" si="836"/>
        <v>04-08-2020</v>
      </c>
      <c r="Z2050" t="str">
        <f>"COS10200804 7104"</f>
        <v>COS10200804 7104</v>
      </c>
    </row>
    <row r="2051" spans="1:26" x14ac:dyDescent="0.25">
      <c r="A2051" t="str">
        <f t="shared" si="847"/>
        <v>04-08-2020 01:05:33</v>
      </c>
      <c r="B2051" t="str">
        <f>"0000808901"</f>
        <v>0000808901</v>
      </c>
      <c r="C2051" t="str">
        <f t="shared" si="848"/>
        <v>0000808798</v>
      </c>
      <c r="D2051" t="str">
        <f t="shared" si="824"/>
        <v>73185</v>
      </c>
      <c r="E2051" t="str">
        <f t="shared" si="825"/>
        <v>KFH-OPERATIONS DEPARTMENT</v>
      </c>
      <c r="F2051" t="str">
        <f t="shared" si="826"/>
        <v>IBG</v>
      </c>
      <c r="G2051" t="str">
        <f t="shared" si="837"/>
        <v>Refund COSHARE 10</v>
      </c>
      <c r="H2051" s="2">
        <v>469</v>
      </c>
      <c r="I2051" t="str">
        <f>"ROSMAWATI BINTI SAAD"</f>
        <v>ROSMAWATI BINTI SAAD</v>
      </c>
      <c r="J2051" t="str">
        <f t="shared" si="838"/>
        <v>MAYBANK / MAYBANK ISLAMIC</v>
      </c>
      <c r="K2051" t="str">
        <f>"153010236414"</f>
        <v>153010236414</v>
      </c>
      <c r="L2051" t="str">
        <f t="shared" si="845"/>
        <v>04-08-2020</v>
      </c>
      <c r="M2051" t="str">
        <f t="shared" si="845"/>
        <v>04-08-2020</v>
      </c>
      <c r="N2051" t="str">
        <f t="shared" si="827"/>
        <v>001105018356</v>
      </c>
      <c r="O2051" t="str">
        <f t="shared" si="828"/>
        <v>MYR</v>
      </c>
      <c r="P2051" t="str">
        <f t="shared" si="846"/>
        <v>NIL</v>
      </c>
      <c r="Q2051" t="str">
        <f t="shared" si="846"/>
        <v>NIL</v>
      </c>
      <c r="R2051" t="str">
        <f t="shared" si="829"/>
        <v>Accepted</v>
      </c>
      <c r="S2051" t="str">
        <f t="shared" si="830"/>
        <v>Approved</v>
      </c>
      <c r="T2051" t="str">
        <f t="shared" si="831"/>
        <v>10.20.8.188</v>
      </c>
      <c r="U2051" t="str">
        <f t="shared" si="832"/>
        <v>AZRAD UMAR BIN SHAARI</v>
      </c>
      <c r="V2051" t="str">
        <f t="shared" si="833"/>
        <v>FARHANA BINTI MUSTAPA</v>
      </c>
      <c r="W2051" t="str">
        <f t="shared" si="834"/>
        <v>04-08-2020</v>
      </c>
      <c r="X2051" t="str">
        <f t="shared" si="835"/>
        <v>RAZIMAH ANSAR AHMAD</v>
      </c>
      <c r="Y2051" t="str">
        <f t="shared" si="836"/>
        <v>04-08-2020</v>
      </c>
      <c r="Z2051" t="str">
        <f>"COS10200804 7103"</f>
        <v>COS10200804 7103</v>
      </c>
    </row>
    <row r="2052" spans="1:26" x14ac:dyDescent="0.25">
      <c r="A2052" t="str">
        <f t="shared" si="847"/>
        <v>04-08-2020 01:05:33</v>
      </c>
      <c r="B2052" t="str">
        <f>"0000808900"</f>
        <v>0000808900</v>
      </c>
      <c r="C2052" t="str">
        <f t="shared" si="848"/>
        <v>0000808798</v>
      </c>
      <c r="D2052" t="str">
        <f t="shared" si="824"/>
        <v>73185</v>
      </c>
      <c r="E2052" t="str">
        <f t="shared" si="825"/>
        <v>KFH-OPERATIONS DEPARTMENT</v>
      </c>
      <c r="F2052" t="str">
        <f t="shared" si="826"/>
        <v>IBG</v>
      </c>
      <c r="G2052" t="str">
        <f t="shared" si="837"/>
        <v>Refund COSHARE 10</v>
      </c>
      <c r="H2052" s="2">
        <v>152</v>
      </c>
      <c r="I2052" t="str">
        <f>"ROSMAWATI BINTI JAMALUDDIN"</f>
        <v>ROSMAWATI BINTI JAMALUDDIN</v>
      </c>
      <c r="J2052" t="str">
        <f t="shared" si="838"/>
        <v>MAYBANK / MAYBANK ISLAMIC</v>
      </c>
      <c r="K2052" t="str">
        <f>"164258500971"</f>
        <v>164258500971</v>
      </c>
      <c r="L2052" t="str">
        <f t="shared" si="845"/>
        <v>04-08-2020</v>
      </c>
      <c r="M2052" t="str">
        <f t="shared" si="845"/>
        <v>04-08-2020</v>
      </c>
      <c r="N2052" t="str">
        <f t="shared" si="827"/>
        <v>001105018356</v>
      </c>
      <c r="O2052" t="str">
        <f t="shared" si="828"/>
        <v>MYR</v>
      </c>
      <c r="P2052" t="str">
        <f t="shared" si="846"/>
        <v>NIL</v>
      </c>
      <c r="Q2052" t="str">
        <f t="shared" si="846"/>
        <v>NIL</v>
      </c>
      <c r="R2052" t="str">
        <f t="shared" si="829"/>
        <v>Accepted</v>
      </c>
      <c r="S2052" t="str">
        <f t="shared" si="830"/>
        <v>Approved</v>
      </c>
      <c r="T2052" t="str">
        <f t="shared" si="831"/>
        <v>10.20.8.188</v>
      </c>
      <c r="U2052" t="str">
        <f t="shared" si="832"/>
        <v>AZRAD UMAR BIN SHAARI</v>
      </c>
      <c r="V2052" t="str">
        <f t="shared" si="833"/>
        <v>FARHANA BINTI MUSTAPA</v>
      </c>
      <c r="W2052" t="str">
        <f t="shared" si="834"/>
        <v>04-08-2020</v>
      </c>
      <c r="X2052" t="str">
        <f t="shared" si="835"/>
        <v>RAZIMAH ANSAR AHMAD</v>
      </c>
      <c r="Y2052" t="str">
        <f t="shared" si="836"/>
        <v>04-08-2020</v>
      </c>
      <c r="Z2052" t="str">
        <f>"COS10200804 7102"</f>
        <v>COS10200804 7102</v>
      </c>
    </row>
    <row r="2053" spans="1:26" x14ac:dyDescent="0.25">
      <c r="A2053" t="str">
        <f t="shared" si="847"/>
        <v>04-08-2020 01:05:33</v>
      </c>
      <c r="B2053" t="str">
        <f>"0000808899"</f>
        <v>0000808899</v>
      </c>
      <c r="C2053" t="str">
        <f t="shared" si="848"/>
        <v>0000808798</v>
      </c>
      <c r="D2053" t="str">
        <f t="shared" si="824"/>
        <v>73185</v>
      </c>
      <c r="E2053" t="str">
        <f t="shared" si="825"/>
        <v>KFH-OPERATIONS DEPARTMENT</v>
      </c>
      <c r="F2053" t="str">
        <f t="shared" si="826"/>
        <v>IBG</v>
      </c>
      <c r="G2053" t="str">
        <f t="shared" si="837"/>
        <v>Refund COSHARE 10</v>
      </c>
      <c r="H2053" s="2">
        <v>101.35</v>
      </c>
      <c r="I2053" t="str">
        <f>"ROSMAWATI BINTI DAINI"</f>
        <v>ROSMAWATI BINTI DAINI</v>
      </c>
      <c r="J2053" t="str">
        <f t="shared" si="838"/>
        <v>MAYBANK / MAYBANK ISLAMIC</v>
      </c>
      <c r="K2053" t="str">
        <f>"162012028598"</f>
        <v>162012028598</v>
      </c>
      <c r="L2053" t="str">
        <f t="shared" si="845"/>
        <v>04-08-2020</v>
      </c>
      <c r="M2053" t="str">
        <f t="shared" si="845"/>
        <v>04-08-2020</v>
      </c>
      <c r="N2053" t="str">
        <f t="shared" si="827"/>
        <v>001105018356</v>
      </c>
      <c r="O2053" t="str">
        <f t="shared" si="828"/>
        <v>MYR</v>
      </c>
      <c r="P2053" t="str">
        <f t="shared" si="846"/>
        <v>NIL</v>
      </c>
      <c r="Q2053" t="str">
        <f t="shared" si="846"/>
        <v>NIL</v>
      </c>
      <c r="R2053" t="str">
        <f t="shared" si="829"/>
        <v>Accepted</v>
      </c>
      <c r="S2053" t="str">
        <f t="shared" si="830"/>
        <v>Approved</v>
      </c>
      <c r="T2053" t="str">
        <f t="shared" si="831"/>
        <v>10.20.8.188</v>
      </c>
      <c r="U2053" t="str">
        <f t="shared" si="832"/>
        <v>AZRAD UMAR BIN SHAARI</v>
      </c>
      <c r="V2053" t="str">
        <f t="shared" si="833"/>
        <v>FARHANA BINTI MUSTAPA</v>
      </c>
      <c r="W2053" t="str">
        <f t="shared" si="834"/>
        <v>04-08-2020</v>
      </c>
      <c r="X2053" t="str">
        <f t="shared" si="835"/>
        <v>RAZIMAH ANSAR AHMAD</v>
      </c>
      <c r="Y2053" t="str">
        <f t="shared" si="836"/>
        <v>04-08-2020</v>
      </c>
      <c r="Z2053" t="str">
        <f>"COS10200804 7101"</f>
        <v>COS10200804 7101</v>
      </c>
    </row>
    <row r="2054" spans="1:26" x14ac:dyDescent="0.25">
      <c r="A2054" t="str">
        <f t="shared" si="847"/>
        <v>04-08-2020 01:05:33</v>
      </c>
      <c r="B2054" t="str">
        <f>"0000808898"</f>
        <v>0000808898</v>
      </c>
      <c r="C2054" t="str">
        <f t="shared" si="848"/>
        <v>0000808798</v>
      </c>
      <c r="D2054" t="str">
        <f t="shared" si="824"/>
        <v>73185</v>
      </c>
      <c r="E2054" t="str">
        <f t="shared" si="825"/>
        <v>KFH-OPERATIONS DEPARTMENT</v>
      </c>
      <c r="F2054" t="str">
        <f t="shared" si="826"/>
        <v>IBG</v>
      </c>
      <c r="G2054" t="str">
        <f t="shared" si="837"/>
        <v>Refund COSHARE 10</v>
      </c>
      <c r="H2054" s="2">
        <v>545.70000000000005</v>
      </c>
      <c r="I2054" t="str">
        <f>"ROSMARUDI BIN MUSTAFA"</f>
        <v>ROSMARUDI BIN MUSTAFA</v>
      </c>
      <c r="J2054" t="str">
        <f t="shared" si="838"/>
        <v>MAYBANK / MAYBANK ISLAMIC</v>
      </c>
      <c r="K2054" t="str">
        <f>"164221284969"</f>
        <v>164221284969</v>
      </c>
      <c r="L2054" t="str">
        <f t="shared" si="845"/>
        <v>04-08-2020</v>
      </c>
      <c r="M2054" t="str">
        <f t="shared" si="845"/>
        <v>04-08-2020</v>
      </c>
      <c r="N2054" t="str">
        <f t="shared" si="827"/>
        <v>001105018356</v>
      </c>
      <c r="O2054" t="str">
        <f t="shared" si="828"/>
        <v>MYR</v>
      </c>
      <c r="P2054" t="str">
        <f t="shared" si="846"/>
        <v>NIL</v>
      </c>
      <c r="Q2054" t="str">
        <f t="shared" si="846"/>
        <v>NIL</v>
      </c>
      <c r="R2054" t="str">
        <f t="shared" si="829"/>
        <v>Accepted</v>
      </c>
      <c r="S2054" t="str">
        <f t="shared" si="830"/>
        <v>Approved</v>
      </c>
      <c r="T2054" t="str">
        <f t="shared" si="831"/>
        <v>10.20.8.188</v>
      </c>
      <c r="U2054" t="str">
        <f t="shared" si="832"/>
        <v>AZRAD UMAR BIN SHAARI</v>
      </c>
      <c r="V2054" t="str">
        <f t="shared" si="833"/>
        <v>FARHANA BINTI MUSTAPA</v>
      </c>
      <c r="W2054" t="str">
        <f t="shared" si="834"/>
        <v>04-08-2020</v>
      </c>
      <c r="X2054" t="str">
        <f t="shared" si="835"/>
        <v>RAZIMAH ANSAR AHMAD</v>
      </c>
      <c r="Y2054" t="str">
        <f t="shared" si="836"/>
        <v>04-08-2020</v>
      </c>
      <c r="Z2054" t="str">
        <f>"COS10200804 7100"</f>
        <v>COS10200804 7100</v>
      </c>
    </row>
    <row r="2055" spans="1:26" x14ac:dyDescent="0.25">
      <c r="A2055" t="str">
        <f t="shared" si="847"/>
        <v>04-08-2020 01:05:33</v>
      </c>
      <c r="B2055" t="str">
        <f>"0000808897"</f>
        <v>0000808897</v>
      </c>
      <c r="C2055" t="str">
        <f t="shared" si="848"/>
        <v>0000808798</v>
      </c>
      <c r="D2055" t="str">
        <f t="shared" ref="D2055:D2118" si="849">"73185"</f>
        <v>73185</v>
      </c>
      <c r="E2055" t="str">
        <f t="shared" ref="E2055:E2118" si="850">"KFH-OPERATIONS DEPARTMENT"</f>
        <v>KFH-OPERATIONS DEPARTMENT</v>
      </c>
      <c r="F2055" t="str">
        <f t="shared" ref="F2055:F2118" si="851">"IBG"</f>
        <v>IBG</v>
      </c>
      <c r="G2055" t="str">
        <f t="shared" si="837"/>
        <v>Refund COSHARE 10</v>
      </c>
      <c r="H2055" s="2">
        <v>705.2</v>
      </c>
      <c r="I2055" t="str">
        <f>"ROSMARLINDA BINTI ROSLI"</f>
        <v>ROSMARLINDA BINTI ROSLI</v>
      </c>
      <c r="J2055" t="str">
        <f t="shared" si="838"/>
        <v>MAYBANK / MAYBANK ISLAMIC</v>
      </c>
      <c r="K2055" t="str">
        <f>"162740016339"</f>
        <v>162740016339</v>
      </c>
      <c r="L2055" t="str">
        <f t="shared" si="845"/>
        <v>04-08-2020</v>
      </c>
      <c r="M2055" t="str">
        <f t="shared" si="845"/>
        <v>04-08-2020</v>
      </c>
      <c r="N2055" t="str">
        <f t="shared" ref="N2055:N2118" si="852">"001105018356"</f>
        <v>001105018356</v>
      </c>
      <c r="O2055" t="str">
        <f t="shared" ref="O2055:O2118" si="853">"MYR"</f>
        <v>MYR</v>
      </c>
      <c r="P2055" t="str">
        <f t="shared" si="846"/>
        <v>NIL</v>
      </c>
      <c r="Q2055" t="str">
        <f t="shared" si="846"/>
        <v>NIL</v>
      </c>
      <c r="R2055" t="str">
        <f t="shared" ref="R2055:R2118" si="854">"Accepted"</f>
        <v>Accepted</v>
      </c>
      <c r="S2055" t="str">
        <f t="shared" ref="S2055:S2118" si="855">"Approved"</f>
        <v>Approved</v>
      </c>
      <c r="T2055" t="str">
        <f t="shared" ref="T2055:T2118" si="856">"10.20.8.188"</f>
        <v>10.20.8.188</v>
      </c>
      <c r="U2055" t="str">
        <f t="shared" ref="U2055:U2118" si="857">"AZRAD UMAR BIN SHAARI"</f>
        <v>AZRAD UMAR BIN SHAARI</v>
      </c>
      <c r="V2055" t="str">
        <f t="shared" ref="V2055:V2118" si="858">"FARHANA BINTI MUSTAPA"</f>
        <v>FARHANA BINTI MUSTAPA</v>
      </c>
      <c r="W2055" t="str">
        <f t="shared" ref="W2055:W2118" si="859">"04-08-2020"</f>
        <v>04-08-2020</v>
      </c>
      <c r="X2055" t="str">
        <f t="shared" ref="X2055:X2118" si="860">"RAZIMAH ANSAR AHMAD"</f>
        <v>RAZIMAH ANSAR AHMAD</v>
      </c>
      <c r="Y2055" t="str">
        <f t="shared" ref="Y2055:Y2118" si="861">"04-08-2020"</f>
        <v>04-08-2020</v>
      </c>
      <c r="Z2055" t="str">
        <f>"COS10200804 7099"</f>
        <v>COS10200804 7099</v>
      </c>
    </row>
    <row r="2056" spans="1:26" x14ac:dyDescent="0.25">
      <c r="A2056" t="str">
        <f t="shared" si="847"/>
        <v>04-08-2020 01:05:33</v>
      </c>
      <c r="B2056" t="str">
        <f>"0000808896"</f>
        <v>0000808896</v>
      </c>
      <c r="C2056" t="str">
        <f t="shared" si="848"/>
        <v>0000808798</v>
      </c>
      <c r="D2056" t="str">
        <f t="shared" si="849"/>
        <v>73185</v>
      </c>
      <c r="E2056" t="str">
        <f t="shared" si="850"/>
        <v>KFH-OPERATIONS DEPARTMENT</v>
      </c>
      <c r="F2056" t="str">
        <f t="shared" si="851"/>
        <v>IBG</v>
      </c>
      <c r="G2056" t="str">
        <f t="shared" si="837"/>
        <v>Refund COSHARE 10</v>
      </c>
      <c r="H2056" s="2">
        <v>134.35</v>
      </c>
      <c r="I2056" t="str">
        <f>"ROSMARINI BINTI AB RAHMAN"</f>
        <v>ROSMARINI BINTI AB RAHMAN</v>
      </c>
      <c r="J2056" t="str">
        <f t="shared" si="838"/>
        <v>MAYBANK / MAYBANK ISLAMIC</v>
      </c>
      <c r="K2056" t="str">
        <f>"151061143452"</f>
        <v>151061143452</v>
      </c>
      <c r="L2056" t="str">
        <f t="shared" si="845"/>
        <v>04-08-2020</v>
      </c>
      <c r="M2056" t="str">
        <f t="shared" si="845"/>
        <v>04-08-2020</v>
      </c>
      <c r="N2056" t="str">
        <f t="shared" si="852"/>
        <v>001105018356</v>
      </c>
      <c r="O2056" t="str">
        <f t="shared" si="853"/>
        <v>MYR</v>
      </c>
      <c r="P2056" t="str">
        <f t="shared" si="846"/>
        <v>NIL</v>
      </c>
      <c r="Q2056" t="str">
        <f t="shared" si="846"/>
        <v>NIL</v>
      </c>
      <c r="R2056" t="str">
        <f t="shared" si="854"/>
        <v>Accepted</v>
      </c>
      <c r="S2056" t="str">
        <f t="shared" si="855"/>
        <v>Approved</v>
      </c>
      <c r="T2056" t="str">
        <f t="shared" si="856"/>
        <v>10.20.8.188</v>
      </c>
      <c r="U2056" t="str">
        <f t="shared" si="857"/>
        <v>AZRAD UMAR BIN SHAARI</v>
      </c>
      <c r="V2056" t="str">
        <f t="shared" si="858"/>
        <v>FARHANA BINTI MUSTAPA</v>
      </c>
      <c r="W2056" t="str">
        <f t="shared" si="859"/>
        <v>04-08-2020</v>
      </c>
      <c r="X2056" t="str">
        <f t="shared" si="860"/>
        <v>RAZIMAH ANSAR AHMAD</v>
      </c>
      <c r="Y2056" t="str">
        <f t="shared" si="861"/>
        <v>04-08-2020</v>
      </c>
      <c r="Z2056" t="str">
        <f>"COS10200804 7098"</f>
        <v>COS10200804 7098</v>
      </c>
    </row>
    <row r="2057" spans="1:26" x14ac:dyDescent="0.25">
      <c r="A2057" t="str">
        <f t="shared" si="847"/>
        <v>04-08-2020 01:05:33</v>
      </c>
      <c r="B2057" t="str">
        <f>"0000808895"</f>
        <v>0000808895</v>
      </c>
      <c r="C2057" t="str">
        <f t="shared" si="848"/>
        <v>0000808798</v>
      </c>
      <c r="D2057" t="str">
        <f t="shared" si="849"/>
        <v>73185</v>
      </c>
      <c r="E2057" t="str">
        <f t="shared" si="850"/>
        <v>KFH-OPERATIONS DEPARTMENT</v>
      </c>
      <c r="F2057" t="str">
        <f t="shared" si="851"/>
        <v>IBG</v>
      </c>
      <c r="G2057" t="str">
        <f t="shared" si="837"/>
        <v>Refund COSHARE 10</v>
      </c>
      <c r="H2057" s="2">
        <v>92.35</v>
      </c>
      <c r="I2057" t="str">
        <f>"ROSMANWATI BINTI ABDUL MANAF"</f>
        <v>ROSMANWATI BINTI ABDUL MANAF</v>
      </c>
      <c r="J2057" t="str">
        <f t="shared" si="838"/>
        <v>MAYBANK / MAYBANK ISLAMIC</v>
      </c>
      <c r="K2057" t="str">
        <f>"166010293188"</f>
        <v>166010293188</v>
      </c>
      <c r="L2057" t="str">
        <f t="shared" si="845"/>
        <v>04-08-2020</v>
      </c>
      <c r="M2057" t="str">
        <f t="shared" si="845"/>
        <v>04-08-2020</v>
      </c>
      <c r="N2057" t="str">
        <f t="shared" si="852"/>
        <v>001105018356</v>
      </c>
      <c r="O2057" t="str">
        <f t="shared" si="853"/>
        <v>MYR</v>
      </c>
      <c r="P2057" t="str">
        <f t="shared" si="846"/>
        <v>NIL</v>
      </c>
      <c r="Q2057" t="str">
        <f t="shared" si="846"/>
        <v>NIL</v>
      </c>
      <c r="R2057" t="str">
        <f t="shared" si="854"/>
        <v>Accepted</v>
      </c>
      <c r="S2057" t="str">
        <f t="shared" si="855"/>
        <v>Approved</v>
      </c>
      <c r="T2057" t="str">
        <f t="shared" si="856"/>
        <v>10.20.8.188</v>
      </c>
      <c r="U2057" t="str">
        <f t="shared" si="857"/>
        <v>AZRAD UMAR BIN SHAARI</v>
      </c>
      <c r="V2057" t="str">
        <f t="shared" si="858"/>
        <v>FARHANA BINTI MUSTAPA</v>
      </c>
      <c r="W2057" t="str">
        <f t="shared" si="859"/>
        <v>04-08-2020</v>
      </c>
      <c r="X2057" t="str">
        <f t="shared" si="860"/>
        <v>RAZIMAH ANSAR AHMAD</v>
      </c>
      <c r="Y2057" t="str">
        <f t="shared" si="861"/>
        <v>04-08-2020</v>
      </c>
      <c r="Z2057" t="str">
        <f>"COS10200804 7097"</f>
        <v>COS10200804 7097</v>
      </c>
    </row>
    <row r="2058" spans="1:26" x14ac:dyDescent="0.25">
      <c r="A2058" t="str">
        <f t="shared" si="847"/>
        <v>04-08-2020 01:05:33</v>
      </c>
      <c r="B2058" t="str">
        <f>"0000808894"</f>
        <v>0000808894</v>
      </c>
      <c r="C2058" t="str">
        <f t="shared" si="848"/>
        <v>0000808798</v>
      </c>
      <c r="D2058" t="str">
        <f t="shared" si="849"/>
        <v>73185</v>
      </c>
      <c r="E2058" t="str">
        <f t="shared" si="850"/>
        <v>KFH-OPERATIONS DEPARTMENT</v>
      </c>
      <c r="F2058" t="str">
        <f t="shared" si="851"/>
        <v>IBG</v>
      </c>
      <c r="G2058" t="str">
        <f t="shared" si="837"/>
        <v>Refund COSHARE 10</v>
      </c>
      <c r="H2058" s="2">
        <v>1679</v>
      </c>
      <c r="I2058" t="str">
        <f>"ROSMANIZA BINTI IBRAHIM"</f>
        <v>ROSMANIZA BINTI IBRAHIM</v>
      </c>
      <c r="J2058" t="str">
        <f t="shared" si="838"/>
        <v>MAYBANK / MAYBANK ISLAMIC</v>
      </c>
      <c r="K2058" t="str">
        <f>"152219008268"</f>
        <v>152219008268</v>
      </c>
      <c r="L2058" t="str">
        <f t="shared" si="845"/>
        <v>04-08-2020</v>
      </c>
      <c r="M2058" t="str">
        <f t="shared" si="845"/>
        <v>04-08-2020</v>
      </c>
      <c r="N2058" t="str">
        <f t="shared" si="852"/>
        <v>001105018356</v>
      </c>
      <c r="O2058" t="str">
        <f t="shared" si="853"/>
        <v>MYR</v>
      </c>
      <c r="P2058" t="str">
        <f t="shared" si="846"/>
        <v>NIL</v>
      </c>
      <c r="Q2058" t="str">
        <f t="shared" si="846"/>
        <v>NIL</v>
      </c>
      <c r="R2058" t="str">
        <f t="shared" si="854"/>
        <v>Accepted</v>
      </c>
      <c r="S2058" t="str">
        <f t="shared" si="855"/>
        <v>Approved</v>
      </c>
      <c r="T2058" t="str">
        <f t="shared" si="856"/>
        <v>10.20.8.188</v>
      </c>
      <c r="U2058" t="str">
        <f t="shared" si="857"/>
        <v>AZRAD UMAR BIN SHAARI</v>
      </c>
      <c r="V2058" t="str">
        <f t="shared" si="858"/>
        <v>FARHANA BINTI MUSTAPA</v>
      </c>
      <c r="W2058" t="str">
        <f t="shared" si="859"/>
        <v>04-08-2020</v>
      </c>
      <c r="X2058" t="str">
        <f t="shared" si="860"/>
        <v>RAZIMAH ANSAR AHMAD</v>
      </c>
      <c r="Y2058" t="str">
        <f t="shared" si="861"/>
        <v>04-08-2020</v>
      </c>
      <c r="Z2058" t="str">
        <f>"COS10200804 7096"</f>
        <v>COS10200804 7096</v>
      </c>
    </row>
    <row r="2059" spans="1:26" x14ac:dyDescent="0.25">
      <c r="A2059" t="str">
        <f t="shared" si="847"/>
        <v>04-08-2020 01:05:33</v>
      </c>
      <c r="B2059" t="str">
        <f>"0000808893"</f>
        <v>0000808893</v>
      </c>
      <c r="C2059" t="str">
        <f t="shared" si="848"/>
        <v>0000808798</v>
      </c>
      <c r="D2059" t="str">
        <f t="shared" si="849"/>
        <v>73185</v>
      </c>
      <c r="E2059" t="str">
        <f t="shared" si="850"/>
        <v>KFH-OPERATIONS DEPARTMENT</v>
      </c>
      <c r="F2059" t="str">
        <f t="shared" si="851"/>
        <v>IBG</v>
      </c>
      <c r="G2059" t="str">
        <f t="shared" si="837"/>
        <v>Refund COSHARE 10</v>
      </c>
      <c r="H2059" s="2">
        <v>823.5</v>
      </c>
      <c r="I2059" t="str">
        <f>"ROSMANI BINTI MAJID"</f>
        <v>ROSMANI BINTI MAJID</v>
      </c>
      <c r="J2059" t="str">
        <f t="shared" si="838"/>
        <v>MAYBANK / MAYBANK ISLAMIC</v>
      </c>
      <c r="K2059" t="str">
        <f>"103088061167"</f>
        <v>103088061167</v>
      </c>
      <c r="L2059" t="str">
        <f t="shared" si="845"/>
        <v>04-08-2020</v>
      </c>
      <c r="M2059" t="str">
        <f t="shared" si="845"/>
        <v>04-08-2020</v>
      </c>
      <c r="N2059" t="str">
        <f t="shared" si="852"/>
        <v>001105018356</v>
      </c>
      <c r="O2059" t="str">
        <f t="shared" si="853"/>
        <v>MYR</v>
      </c>
      <c r="P2059" t="str">
        <f t="shared" si="846"/>
        <v>NIL</v>
      </c>
      <c r="Q2059" t="str">
        <f t="shared" si="846"/>
        <v>NIL</v>
      </c>
      <c r="R2059" t="str">
        <f t="shared" si="854"/>
        <v>Accepted</v>
      </c>
      <c r="S2059" t="str">
        <f t="shared" si="855"/>
        <v>Approved</v>
      </c>
      <c r="T2059" t="str">
        <f t="shared" si="856"/>
        <v>10.20.8.188</v>
      </c>
      <c r="U2059" t="str">
        <f t="shared" si="857"/>
        <v>AZRAD UMAR BIN SHAARI</v>
      </c>
      <c r="V2059" t="str">
        <f t="shared" si="858"/>
        <v>FARHANA BINTI MUSTAPA</v>
      </c>
      <c r="W2059" t="str">
        <f t="shared" si="859"/>
        <v>04-08-2020</v>
      </c>
      <c r="X2059" t="str">
        <f t="shared" si="860"/>
        <v>RAZIMAH ANSAR AHMAD</v>
      </c>
      <c r="Y2059" t="str">
        <f t="shared" si="861"/>
        <v>04-08-2020</v>
      </c>
      <c r="Z2059" t="str">
        <f>"COS10200804 7095"</f>
        <v>COS10200804 7095</v>
      </c>
    </row>
    <row r="2060" spans="1:26" x14ac:dyDescent="0.25">
      <c r="A2060" t="str">
        <f t="shared" si="847"/>
        <v>04-08-2020 01:05:33</v>
      </c>
      <c r="B2060" t="str">
        <f>"0000808892"</f>
        <v>0000808892</v>
      </c>
      <c r="C2060" t="str">
        <f t="shared" si="848"/>
        <v>0000808798</v>
      </c>
      <c r="D2060" t="str">
        <f t="shared" si="849"/>
        <v>73185</v>
      </c>
      <c r="E2060" t="str">
        <f t="shared" si="850"/>
        <v>KFH-OPERATIONS DEPARTMENT</v>
      </c>
      <c r="F2060" t="str">
        <f t="shared" si="851"/>
        <v>IBG</v>
      </c>
      <c r="G2060" t="str">
        <f t="shared" ref="G2060:G2123" si="862">"Refund COSHARE 10"</f>
        <v>Refund COSHARE 10</v>
      </c>
      <c r="H2060" s="2">
        <v>56.8</v>
      </c>
      <c r="I2060" t="str">
        <f>"ROSMAN BIN SHAMSUDIN"</f>
        <v>ROSMAN BIN SHAMSUDIN</v>
      </c>
      <c r="J2060" t="str">
        <f t="shared" si="838"/>
        <v>MAYBANK / MAYBANK ISLAMIC</v>
      </c>
      <c r="K2060" t="str">
        <f>"158088010388"</f>
        <v>158088010388</v>
      </c>
      <c r="L2060" t="str">
        <f t="shared" si="845"/>
        <v>04-08-2020</v>
      </c>
      <c r="M2060" t="str">
        <f t="shared" si="845"/>
        <v>04-08-2020</v>
      </c>
      <c r="N2060" t="str">
        <f t="shared" si="852"/>
        <v>001105018356</v>
      </c>
      <c r="O2060" t="str">
        <f t="shared" si="853"/>
        <v>MYR</v>
      </c>
      <c r="P2060" t="str">
        <f t="shared" si="846"/>
        <v>NIL</v>
      </c>
      <c r="Q2060" t="str">
        <f t="shared" si="846"/>
        <v>NIL</v>
      </c>
      <c r="R2060" t="str">
        <f t="shared" si="854"/>
        <v>Accepted</v>
      </c>
      <c r="S2060" t="str">
        <f t="shared" si="855"/>
        <v>Approved</v>
      </c>
      <c r="T2060" t="str">
        <f t="shared" si="856"/>
        <v>10.20.8.188</v>
      </c>
      <c r="U2060" t="str">
        <f t="shared" si="857"/>
        <v>AZRAD UMAR BIN SHAARI</v>
      </c>
      <c r="V2060" t="str">
        <f t="shared" si="858"/>
        <v>FARHANA BINTI MUSTAPA</v>
      </c>
      <c r="W2060" t="str">
        <f t="shared" si="859"/>
        <v>04-08-2020</v>
      </c>
      <c r="X2060" t="str">
        <f t="shared" si="860"/>
        <v>RAZIMAH ANSAR AHMAD</v>
      </c>
      <c r="Y2060" t="str">
        <f t="shared" si="861"/>
        <v>04-08-2020</v>
      </c>
      <c r="Z2060" t="str">
        <f>"COS10200804 7094"</f>
        <v>COS10200804 7094</v>
      </c>
    </row>
    <row r="2061" spans="1:26" x14ac:dyDescent="0.25">
      <c r="A2061" t="str">
        <f t="shared" si="847"/>
        <v>04-08-2020 01:05:33</v>
      </c>
      <c r="B2061" t="str">
        <f>"0000808891"</f>
        <v>0000808891</v>
      </c>
      <c r="C2061" t="str">
        <f t="shared" si="848"/>
        <v>0000808798</v>
      </c>
      <c r="D2061" t="str">
        <f t="shared" si="849"/>
        <v>73185</v>
      </c>
      <c r="E2061" t="str">
        <f t="shared" si="850"/>
        <v>KFH-OPERATIONS DEPARTMENT</v>
      </c>
      <c r="F2061" t="str">
        <f t="shared" si="851"/>
        <v>IBG</v>
      </c>
      <c r="G2061" t="str">
        <f t="shared" si="862"/>
        <v>Refund COSHARE 10</v>
      </c>
      <c r="H2061" s="2">
        <v>905.85</v>
      </c>
      <c r="I2061" t="str">
        <f>"ROSMAN BIN JONET"</f>
        <v>ROSMAN BIN JONET</v>
      </c>
      <c r="J2061" t="str">
        <f t="shared" si="838"/>
        <v>MAYBANK / MAYBANK ISLAMIC</v>
      </c>
      <c r="K2061" t="str">
        <f>"154101088037"</f>
        <v>154101088037</v>
      </c>
      <c r="L2061" t="str">
        <f t="shared" si="845"/>
        <v>04-08-2020</v>
      </c>
      <c r="M2061" t="str">
        <f t="shared" si="845"/>
        <v>04-08-2020</v>
      </c>
      <c r="N2061" t="str">
        <f t="shared" si="852"/>
        <v>001105018356</v>
      </c>
      <c r="O2061" t="str">
        <f t="shared" si="853"/>
        <v>MYR</v>
      </c>
      <c r="P2061" t="str">
        <f t="shared" si="846"/>
        <v>NIL</v>
      </c>
      <c r="Q2061" t="str">
        <f t="shared" si="846"/>
        <v>NIL</v>
      </c>
      <c r="R2061" t="str">
        <f t="shared" si="854"/>
        <v>Accepted</v>
      </c>
      <c r="S2061" t="str">
        <f t="shared" si="855"/>
        <v>Approved</v>
      </c>
      <c r="T2061" t="str">
        <f t="shared" si="856"/>
        <v>10.20.8.188</v>
      </c>
      <c r="U2061" t="str">
        <f t="shared" si="857"/>
        <v>AZRAD UMAR BIN SHAARI</v>
      </c>
      <c r="V2061" t="str">
        <f t="shared" si="858"/>
        <v>FARHANA BINTI MUSTAPA</v>
      </c>
      <c r="W2061" t="str">
        <f t="shared" si="859"/>
        <v>04-08-2020</v>
      </c>
      <c r="X2061" t="str">
        <f t="shared" si="860"/>
        <v>RAZIMAH ANSAR AHMAD</v>
      </c>
      <c r="Y2061" t="str">
        <f t="shared" si="861"/>
        <v>04-08-2020</v>
      </c>
      <c r="Z2061" t="str">
        <f>"COS10200804 7093"</f>
        <v>COS10200804 7093</v>
      </c>
    </row>
    <row r="2062" spans="1:26" x14ac:dyDescent="0.25">
      <c r="A2062" t="str">
        <f t="shared" si="847"/>
        <v>04-08-2020 01:05:33</v>
      </c>
      <c r="B2062" t="str">
        <f>"0000808890"</f>
        <v>0000808890</v>
      </c>
      <c r="C2062" t="str">
        <f t="shared" si="848"/>
        <v>0000808798</v>
      </c>
      <c r="D2062" t="str">
        <f t="shared" si="849"/>
        <v>73185</v>
      </c>
      <c r="E2062" t="str">
        <f t="shared" si="850"/>
        <v>KFH-OPERATIONS DEPARTMENT</v>
      </c>
      <c r="F2062" t="str">
        <f t="shared" si="851"/>
        <v>IBG</v>
      </c>
      <c r="G2062" t="str">
        <f t="shared" si="862"/>
        <v>Refund COSHARE 10</v>
      </c>
      <c r="H2062" s="2">
        <v>92.35</v>
      </c>
      <c r="I2062" t="str">
        <f>"ROSMALY BINTI MAT DAUD"</f>
        <v>ROSMALY BINTI MAT DAUD</v>
      </c>
      <c r="J2062" t="str">
        <f t="shared" si="838"/>
        <v>MAYBANK / MAYBANK ISLAMIC</v>
      </c>
      <c r="K2062" t="str">
        <f>"153056371495"</f>
        <v>153056371495</v>
      </c>
      <c r="L2062" t="str">
        <f t="shared" si="845"/>
        <v>04-08-2020</v>
      </c>
      <c r="M2062" t="str">
        <f t="shared" si="845"/>
        <v>04-08-2020</v>
      </c>
      <c r="N2062" t="str">
        <f t="shared" si="852"/>
        <v>001105018356</v>
      </c>
      <c r="O2062" t="str">
        <f t="shared" si="853"/>
        <v>MYR</v>
      </c>
      <c r="P2062" t="str">
        <f t="shared" si="846"/>
        <v>NIL</v>
      </c>
      <c r="Q2062" t="str">
        <f t="shared" si="846"/>
        <v>NIL</v>
      </c>
      <c r="R2062" t="str">
        <f t="shared" si="854"/>
        <v>Accepted</v>
      </c>
      <c r="S2062" t="str">
        <f t="shared" si="855"/>
        <v>Approved</v>
      </c>
      <c r="T2062" t="str">
        <f t="shared" si="856"/>
        <v>10.20.8.188</v>
      </c>
      <c r="U2062" t="str">
        <f t="shared" si="857"/>
        <v>AZRAD UMAR BIN SHAARI</v>
      </c>
      <c r="V2062" t="str">
        <f t="shared" si="858"/>
        <v>FARHANA BINTI MUSTAPA</v>
      </c>
      <c r="W2062" t="str">
        <f t="shared" si="859"/>
        <v>04-08-2020</v>
      </c>
      <c r="X2062" t="str">
        <f t="shared" si="860"/>
        <v>RAZIMAH ANSAR AHMAD</v>
      </c>
      <c r="Y2062" t="str">
        <f t="shared" si="861"/>
        <v>04-08-2020</v>
      </c>
      <c r="Z2062" t="str">
        <f>"COS10200804 7092"</f>
        <v>COS10200804 7092</v>
      </c>
    </row>
    <row r="2063" spans="1:26" x14ac:dyDescent="0.25">
      <c r="A2063" t="str">
        <f t="shared" si="847"/>
        <v>04-08-2020 01:05:33</v>
      </c>
      <c r="B2063" t="str">
        <f>"0000808889"</f>
        <v>0000808889</v>
      </c>
      <c r="C2063" t="str">
        <f t="shared" si="848"/>
        <v>0000808798</v>
      </c>
      <c r="D2063" t="str">
        <f t="shared" si="849"/>
        <v>73185</v>
      </c>
      <c r="E2063" t="str">
        <f t="shared" si="850"/>
        <v>KFH-OPERATIONS DEPARTMENT</v>
      </c>
      <c r="F2063" t="str">
        <f t="shared" si="851"/>
        <v>IBG</v>
      </c>
      <c r="G2063" t="str">
        <f t="shared" si="862"/>
        <v>Refund COSHARE 10</v>
      </c>
      <c r="H2063" s="2">
        <v>587.65</v>
      </c>
      <c r="I2063" t="str">
        <f>"ROSMALIZA BINTI RAZALI"</f>
        <v>ROSMALIZA BINTI RAZALI</v>
      </c>
      <c r="J2063" t="str">
        <f t="shared" si="838"/>
        <v>MAYBANK / MAYBANK ISLAMIC</v>
      </c>
      <c r="K2063" t="str">
        <f>"162302529020"</f>
        <v>162302529020</v>
      </c>
      <c r="L2063" t="str">
        <f t="shared" si="845"/>
        <v>04-08-2020</v>
      </c>
      <c r="M2063" t="str">
        <f t="shared" si="845"/>
        <v>04-08-2020</v>
      </c>
      <c r="N2063" t="str">
        <f t="shared" si="852"/>
        <v>001105018356</v>
      </c>
      <c r="O2063" t="str">
        <f t="shared" si="853"/>
        <v>MYR</v>
      </c>
      <c r="P2063" t="str">
        <f t="shared" si="846"/>
        <v>NIL</v>
      </c>
      <c r="Q2063" t="str">
        <f t="shared" si="846"/>
        <v>NIL</v>
      </c>
      <c r="R2063" t="str">
        <f t="shared" si="854"/>
        <v>Accepted</v>
      </c>
      <c r="S2063" t="str">
        <f t="shared" si="855"/>
        <v>Approved</v>
      </c>
      <c r="T2063" t="str">
        <f t="shared" si="856"/>
        <v>10.20.8.188</v>
      </c>
      <c r="U2063" t="str">
        <f t="shared" si="857"/>
        <v>AZRAD UMAR BIN SHAARI</v>
      </c>
      <c r="V2063" t="str">
        <f t="shared" si="858"/>
        <v>FARHANA BINTI MUSTAPA</v>
      </c>
      <c r="W2063" t="str">
        <f t="shared" si="859"/>
        <v>04-08-2020</v>
      </c>
      <c r="X2063" t="str">
        <f t="shared" si="860"/>
        <v>RAZIMAH ANSAR AHMAD</v>
      </c>
      <c r="Y2063" t="str">
        <f t="shared" si="861"/>
        <v>04-08-2020</v>
      </c>
      <c r="Z2063" t="str">
        <f>"COS10200804 7091"</f>
        <v>COS10200804 7091</v>
      </c>
    </row>
    <row r="2064" spans="1:26" x14ac:dyDescent="0.25">
      <c r="A2064" t="str">
        <f t="shared" si="847"/>
        <v>04-08-2020 01:05:33</v>
      </c>
      <c r="B2064" t="str">
        <f>"0000808888"</f>
        <v>0000808888</v>
      </c>
      <c r="C2064" t="str">
        <f t="shared" si="848"/>
        <v>0000808798</v>
      </c>
      <c r="D2064" t="str">
        <f t="shared" si="849"/>
        <v>73185</v>
      </c>
      <c r="E2064" t="str">
        <f t="shared" si="850"/>
        <v>KFH-OPERATIONS DEPARTMENT</v>
      </c>
      <c r="F2064" t="str">
        <f t="shared" si="851"/>
        <v>IBG</v>
      </c>
      <c r="G2064" t="str">
        <f t="shared" si="862"/>
        <v>Refund COSHARE 10</v>
      </c>
      <c r="H2064" s="2">
        <v>595.75</v>
      </c>
      <c r="I2064" t="str">
        <f>"ROSMAINIE BIN ABD ROHIM"</f>
        <v>ROSMAINIE BIN ABD ROHIM</v>
      </c>
      <c r="J2064" t="str">
        <f t="shared" si="838"/>
        <v>MAYBANK / MAYBANK ISLAMIC</v>
      </c>
      <c r="K2064" t="str">
        <f>"162786220334"</f>
        <v>162786220334</v>
      </c>
      <c r="L2064" t="str">
        <f t="shared" si="845"/>
        <v>04-08-2020</v>
      </c>
      <c r="M2064" t="str">
        <f t="shared" si="845"/>
        <v>04-08-2020</v>
      </c>
      <c r="N2064" t="str">
        <f t="shared" si="852"/>
        <v>001105018356</v>
      </c>
      <c r="O2064" t="str">
        <f t="shared" si="853"/>
        <v>MYR</v>
      </c>
      <c r="P2064" t="str">
        <f t="shared" si="846"/>
        <v>NIL</v>
      </c>
      <c r="Q2064" t="str">
        <f t="shared" si="846"/>
        <v>NIL</v>
      </c>
      <c r="R2064" t="str">
        <f t="shared" si="854"/>
        <v>Accepted</v>
      </c>
      <c r="S2064" t="str">
        <f t="shared" si="855"/>
        <v>Approved</v>
      </c>
      <c r="T2064" t="str">
        <f t="shared" si="856"/>
        <v>10.20.8.188</v>
      </c>
      <c r="U2064" t="str">
        <f t="shared" si="857"/>
        <v>AZRAD UMAR BIN SHAARI</v>
      </c>
      <c r="V2064" t="str">
        <f t="shared" si="858"/>
        <v>FARHANA BINTI MUSTAPA</v>
      </c>
      <c r="W2064" t="str">
        <f t="shared" si="859"/>
        <v>04-08-2020</v>
      </c>
      <c r="X2064" t="str">
        <f t="shared" si="860"/>
        <v>RAZIMAH ANSAR AHMAD</v>
      </c>
      <c r="Y2064" t="str">
        <f t="shared" si="861"/>
        <v>04-08-2020</v>
      </c>
      <c r="Z2064" t="str">
        <f>"COS10200804 7090"</f>
        <v>COS10200804 7090</v>
      </c>
    </row>
    <row r="2065" spans="1:26" x14ac:dyDescent="0.25">
      <c r="A2065" t="str">
        <f t="shared" si="847"/>
        <v>04-08-2020 01:05:33</v>
      </c>
      <c r="B2065" t="str">
        <f>"0000808887"</f>
        <v>0000808887</v>
      </c>
      <c r="C2065" t="str">
        <f t="shared" si="848"/>
        <v>0000808798</v>
      </c>
      <c r="D2065" t="str">
        <f t="shared" si="849"/>
        <v>73185</v>
      </c>
      <c r="E2065" t="str">
        <f t="shared" si="850"/>
        <v>KFH-OPERATIONS DEPARTMENT</v>
      </c>
      <c r="F2065" t="str">
        <f t="shared" si="851"/>
        <v>IBG</v>
      </c>
      <c r="G2065" t="str">
        <f t="shared" si="862"/>
        <v>Refund COSHARE 10</v>
      </c>
      <c r="H2065" s="2">
        <v>982.25</v>
      </c>
      <c r="I2065" t="str">
        <f>"ROSMAINI BT DOLLAH"</f>
        <v>ROSMAINI BT DOLLAH</v>
      </c>
      <c r="J2065" t="str">
        <f t="shared" ref="J2065:J2128" si="863">"MAYBANK / MAYBANK ISLAMIC"</f>
        <v>MAYBANK / MAYBANK ISLAMIC</v>
      </c>
      <c r="K2065" t="str">
        <f>"154017318103"</f>
        <v>154017318103</v>
      </c>
      <c r="L2065" t="str">
        <f t="shared" si="845"/>
        <v>04-08-2020</v>
      </c>
      <c r="M2065" t="str">
        <f t="shared" si="845"/>
        <v>04-08-2020</v>
      </c>
      <c r="N2065" t="str">
        <f t="shared" si="852"/>
        <v>001105018356</v>
      </c>
      <c r="O2065" t="str">
        <f t="shared" si="853"/>
        <v>MYR</v>
      </c>
      <c r="P2065" t="str">
        <f t="shared" si="846"/>
        <v>NIL</v>
      </c>
      <c r="Q2065" t="str">
        <f t="shared" si="846"/>
        <v>NIL</v>
      </c>
      <c r="R2065" t="str">
        <f t="shared" si="854"/>
        <v>Accepted</v>
      </c>
      <c r="S2065" t="str">
        <f t="shared" si="855"/>
        <v>Approved</v>
      </c>
      <c r="T2065" t="str">
        <f t="shared" si="856"/>
        <v>10.20.8.188</v>
      </c>
      <c r="U2065" t="str">
        <f t="shared" si="857"/>
        <v>AZRAD UMAR BIN SHAARI</v>
      </c>
      <c r="V2065" t="str">
        <f t="shared" si="858"/>
        <v>FARHANA BINTI MUSTAPA</v>
      </c>
      <c r="W2065" t="str">
        <f t="shared" si="859"/>
        <v>04-08-2020</v>
      </c>
      <c r="X2065" t="str">
        <f t="shared" si="860"/>
        <v>RAZIMAH ANSAR AHMAD</v>
      </c>
      <c r="Y2065" t="str">
        <f t="shared" si="861"/>
        <v>04-08-2020</v>
      </c>
      <c r="Z2065" t="str">
        <f>"COS10200804 7089"</f>
        <v>COS10200804 7089</v>
      </c>
    </row>
    <row r="2066" spans="1:26" x14ac:dyDescent="0.25">
      <c r="A2066" t="str">
        <f t="shared" si="847"/>
        <v>04-08-2020 01:05:33</v>
      </c>
      <c r="B2066" t="str">
        <f>"0000808886"</f>
        <v>0000808886</v>
      </c>
      <c r="C2066" t="str">
        <f t="shared" si="848"/>
        <v>0000808798</v>
      </c>
      <c r="D2066" t="str">
        <f t="shared" si="849"/>
        <v>73185</v>
      </c>
      <c r="E2066" t="str">
        <f t="shared" si="850"/>
        <v>KFH-OPERATIONS DEPARTMENT</v>
      </c>
      <c r="F2066" t="str">
        <f t="shared" si="851"/>
        <v>IBG</v>
      </c>
      <c r="G2066" t="str">
        <f t="shared" si="862"/>
        <v>Refund COSHARE 10</v>
      </c>
      <c r="H2066" s="2">
        <v>839.5</v>
      </c>
      <c r="I2066" t="str">
        <f>"ROSMAIHAN BINTI ISMAIL"</f>
        <v>ROSMAIHAN BINTI ISMAIL</v>
      </c>
      <c r="J2066" t="str">
        <f t="shared" si="863"/>
        <v>MAYBANK / MAYBANK ISLAMIC</v>
      </c>
      <c r="K2066" t="str">
        <f>"164388787116"</f>
        <v>164388787116</v>
      </c>
      <c r="L2066" t="str">
        <f t="shared" si="845"/>
        <v>04-08-2020</v>
      </c>
      <c r="M2066" t="str">
        <f t="shared" si="845"/>
        <v>04-08-2020</v>
      </c>
      <c r="N2066" t="str">
        <f t="shared" si="852"/>
        <v>001105018356</v>
      </c>
      <c r="O2066" t="str">
        <f t="shared" si="853"/>
        <v>MYR</v>
      </c>
      <c r="P2066" t="str">
        <f t="shared" si="846"/>
        <v>NIL</v>
      </c>
      <c r="Q2066" t="str">
        <f t="shared" si="846"/>
        <v>NIL</v>
      </c>
      <c r="R2066" t="str">
        <f t="shared" si="854"/>
        <v>Accepted</v>
      </c>
      <c r="S2066" t="str">
        <f t="shared" si="855"/>
        <v>Approved</v>
      </c>
      <c r="T2066" t="str">
        <f t="shared" si="856"/>
        <v>10.20.8.188</v>
      </c>
      <c r="U2066" t="str">
        <f t="shared" si="857"/>
        <v>AZRAD UMAR BIN SHAARI</v>
      </c>
      <c r="V2066" t="str">
        <f t="shared" si="858"/>
        <v>FARHANA BINTI MUSTAPA</v>
      </c>
      <c r="W2066" t="str">
        <f t="shared" si="859"/>
        <v>04-08-2020</v>
      </c>
      <c r="X2066" t="str">
        <f t="shared" si="860"/>
        <v>RAZIMAH ANSAR AHMAD</v>
      </c>
      <c r="Y2066" t="str">
        <f t="shared" si="861"/>
        <v>04-08-2020</v>
      </c>
      <c r="Z2066" t="str">
        <f>"COS10200804 7088"</f>
        <v>COS10200804 7088</v>
      </c>
    </row>
    <row r="2067" spans="1:26" x14ac:dyDescent="0.25">
      <c r="A2067" t="str">
        <f t="shared" si="847"/>
        <v>04-08-2020 01:05:33</v>
      </c>
      <c r="B2067" t="str">
        <f>"0000808885"</f>
        <v>0000808885</v>
      </c>
      <c r="C2067" t="str">
        <f t="shared" si="848"/>
        <v>0000808798</v>
      </c>
      <c r="D2067" t="str">
        <f t="shared" si="849"/>
        <v>73185</v>
      </c>
      <c r="E2067" t="str">
        <f t="shared" si="850"/>
        <v>KFH-OPERATIONS DEPARTMENT</v>
      </c>
      <c r="F2067" t="str">
        <f t="shared" si="851"/>
        <v>IBG</v>
      </c>
      <c r="G2067" t="str">
        <f t="shared" si="862"/>
        <v>Refund COSHARE 10</v>
      </c>
      <c r="H2067" s="2">
        <v>994</v>
      </c>
      <c r="I2067" t="str">
        <f>"ROSMA BINTI ELIAS"</f>
        <v>ROSMA BINTI ELIAS</v>
      </c>
      <c r="J2067" t="str">
        <f t="shared" si="863"/>
        <v>MAYBANK / MAYBANK ISLAMIC</v>
      </c>
      <c r="K2067" t="str">
        <f>"102036556767"</f>
        <v>102036556767</v>
      </c>
      <c r="L2067" t="str">
        <f t="shared" ref="L2067:M2086" si="864">"04-08-2020"</f>
        <v>04-08-2020</v>
      </c>
      <c r="M2067" t="str">
        <f t="shared" si="864"/>
        <v>04-08-2020</v>
      </c>
      <c r="N2067" t="str">
        <f t="shared" si="852"/>
        <v>001105018356</v>
      </c>
      <c r="O2067" t="str">
        <f t="shared" si="853"/>
        <v>MYR</v>
      </c>
      <c r="P2067" t="str">
        <f t="shared" ref="P2067:Q2086" si="865">"NIL"</f>
        <v>NIL</v>
      </c>
      <c r="Q2067" t="str">
        <f t="shared" si="865"/>
        <v>NIL</v>
      </c>
      <c r="R2067" t="str">
        <f t="shared" si="854"/>
        <v>Accepted</v>
      </c>
      <c r="S2067" t="str">
        <f t="shared" si="855"/>
        <v>Approved</v>
      </c>
      <c r="T2067" t="str">
        <f t="shared" si="856"/>
        <v>10.20.8.188</v>
      </c>
      <c r="U2067" t="str">
        <f t="shared" si="857"/>
        <v>AZRAD UMAR BIN SHAARI</v>
      </c>
      <c r="V2067" t="str">
        <f t="shared" si="858"/>
        <v>FARHANA BINTI MUSTAPA</v>
      </c>
      <c r="W2067" t="str">
        <f t="shared" si="859"/>
        <v>04-08-2020</v>
      </c>
      <c r="X2067" t="str">
        <f t="shared" si="860"/>
        <v>RAZIMAH ANSAR AHMAD</v>
      </c>
      <c r="Y2067" t="str">
        <f t="shared" si="861"/>
        <v>04-08-2020</v>
      </c>
      <c r="Z2067" t="str">
        <f>"COS10200804 7087"</f>
        <v>COS10200804 7087</v>
      </c>
    </row>
    <row r="2068" spans="1:26" x14ac:dyDescent="0.25">
      <c r="A2068" t="str">
        <f t="shared" si="847"/>
        <v>04-08-2020 01:05:33</v>
      </c>
      <c r="B2068" t="str">
        <f>"0000808884"</f>
        <v>0000808884</v>
      </c>
      <c r="C2068" t="str">
        <f t="shared" si="848"/>
        <v>0000808798</v>
      </c>
      <c r="D2068" t="str">
        <f t="shared" si="849"/>
        <v>73185</v>
      </c>
      <c r="E2068" t="str">
        <f t="shared" si="850"/>
        <v>KFH-OPERATIONS DEPARTMENT</v>
      </c>
      <c r="F2068" t="str">
        <f t="shared" si="851"/>
        <v>IBG</v>
      </c>
      <c r="G2068" t="str">
        <f t="shared" si="862"/>
        <v>Refund COSHARE 10</v>
      </c>
      <c r="H2068" s="2">
        <v>731.85</v>
      </c>
      <c r="I2068" t="str">
        <f>"ROSLIZA BINTI SALLEH"</f>
        <v>ROSLIZA BINTI SALLEH</v>
      </c>
      <c r="J2068" t="str">
        <f t="shared" si="863"/>
        <v>MAYBANK / MAYBANK ISLAMIC</v>
      </c>
      <c r="K2068" t="str">
        <f>"111093061668"</f>
        <v>111093061668</v>
      </c>
      <c r="L2068" t="str">
        <f t="shared" si="864"/>
        <v>04-08-2020</v>
      </c>
      <c r="M2068" t="str">
        <f t="shared" si="864"/>
        <v>04-08-2020</v>
      </c>
      <c r="N2068" t="str">
        <f t="shared" si="852"/>
        <v>001105018356</v>
      </c>
      <c r="O2068" t="str">
        <f t="shared" si="853"/>
        <v>MYR</v>
      </c>
      <c r="P2068" t="str">
        <f t="shared" si="865"/>
        <v>NIL</v>
      </c>
      <c r="Q2068" t="str">
        <f t="shared" si="865"/>
        <v>NIL</v>
      </c>
      <c r="R2068" t="str">
        <f t="shared" si="854"/>
        <v>Accepted</v>
      </c>
      <c r="S2068" t="str">
        <f t="shared" si="855"/>
        <v>Approved</v>
      </c>
      <c r="T2068" t="str">
        <f t="shared" si="856"/>
        <v>10.20.8.188</v>
      </c>
      <c r="U2068" t="str">
        <f t="shared" si="857"/>
        <v>AZRAD UMAR BIN SHAARI</v>
      </c>
      <c r="V2068" t="str">
        <f t="shared" si="858"/>
        <v>FARHANA BINTI MUSTAPA</v>
      </c>
      <c r="W2068" t="str">
        <f t="shared" si="859"/>
        <v>04-08-2020</v>
      </c>
      <c r="X2068" t="str">
        <f t="shared" si="860"/>
        <v>RAZIMAH ANSAR AHMAD</v>
      </c>
      <c r="Y2068" t="str">
        <f t="shared" si="861"/>
        <v>04-08-2020</v>
      </c>
      <c r="Z2068" t="str">
        <f>"COS10200804 7086"</f>
        <v>COS10200804 7086</v>
      </c>
    </row>
    <row r="2069" spans="1:26" x14ac:dyDescent="0.25">
      <c r="A2069" t="str">
        <f t="shared" si="847"/>
        <v>04-08-2020 01:05:33</v>
      </c>
      <c r="B2069" t="str">
        <f>"0000808883"</f>
        <v>0000808883</v>
      </c>
      <c r="C2069" t="str">
        <f t="shared" si="848"/>
        <v>0000808798</v>
      </c>
      <c r="D2069" t="str">
        <f t="shared" si="849"/>
        <v>73185</v>
      </c>
      <c r="E2069" t="str">
        <f t="shared" si="850"/>
        <v>KFH-OPERATIONS DEPARTMENT</v>
      </c>
      <c r="F2069" t="str">
        <f t="shared" si="851"/>
        <v>IBG</v>
      </c>
      <c r="G2069" t="str">
        <f t="shared" si="862"/>
        <v>Refund COSHARE 10</v>
      </c>
      <c r="H2069" s="2">
        <v>529</v>
      </c>
      <c r="I2069" t="str">
        <f>"ROSLIZA BINTI MOHAMAD AMIN"</f>
        <v>ROSLIZA BINTI MOHAMAD AMIN</v>
      </c>
      <c r="J2069" t="str">
        <f t="shared" si="863"/>
        <v>MAYBANK / MAYBANK ISLAMIC</v>
      </c>
      <c r="K2069" t="str">
        <f>"111075002781"</f>
        <v>111075002781</v>
      </c>
      <c r="L2069" t="str">
        <f t="shared" si="864"/>
        <v>04-08-2020</v>
      </c>
      <c r="M2069" t="str">
        <f t="shared" si="864"/>
        <v>04-08-2020</v>
      </c>
      <c r="N2069" t="str">
        <f t="shared" si="852"/>
        <v>001105018356</v>
      </c>
      <c r="O2069" t="str">
        <f t="shared" si="853"/>
        <v>MYR</v>
      </c>
      <c r="P2069" t="str">
        <f t="shared" si="865"/>
        <v>NIL</v>
      </c>
      <c r="Q2069" t="str">
        <f t="shared" si="865"/>
        <v>NIL</v>
      </c>
      <c r="R2069" t="str">
        <f t="shared" si="854"/>
        <v>Accepted</v>
      </c>
      <c r="S2069" t="str">
        <f t="shared" si="855"/>
        <v>Approved</v>
      </c>
      <c r="T2069" t="str">
        <f t="shared" si="856"/>
        <v>10.20.8.188</v>
      </c>
      <c r="U2069" t="str">
        <f t="shared" si="857"/>
        <v>AZRAD UMAR BIN SHAARI</v>
      </c>
      <c r="V2069" t="str">
        <f t="shared" si="858"/>
        <v>FARHANA BINTI MUSTAPA</v>
      </c>
      <c r="W2069" t="str">
        <f t="shared" si="859"/>
        <v>04-08-2020</v>
      </c>
      <c r="X2069" t="str">
        <f t="shared" si="860"/>
        <v>RAZIMAH ANSAR AHMAD</v>
      </c>
      <c r="Y2069" t="str">
        <f t="shared" si="861"/>
        <v>04-08-2020</v>
      </c>
      <c r="Z2069" t="str">
        <f>"COS10200804 7085"</f>
        <v>COS10200804 7085</v>
      </c>
    </row>
    <row r="2070" spans="1:26" x14ac:dyDescent="0.25">
      <c r="A2070" t="str">
        <f t="shared" si="847"/>
        <v>04-08-2020 01:05:33</v>
      </c>
      <c r="B2070" t="str">
        <f>"0000808882"</f>
        <v>0000808882</v>
      </c>
      <c r="C2070" t="str">
        <f t="shared" si="848"/>
        <v>0000808798</v>
      </c>
      <c r="D2070" t="str">
        <f t="shared" si="849"/>
        <v>73185</v>
      </c>
      <c r="E2070" t="str">
        <f t="shared" si="850"/>
        <v>KFH-OPERATIONS DEPARTMENT</v>
      </c>
      <c r="F2070" t="str">
        <f t="shared" si="851"/>
        <v>IBG</v>
      </c>
      <c r="G2070" t="str">
        <f t="shared" si="862"/>
        <v>Refund COSHARE 10</v>
      </c>
      <c r="H2070" s="2">
        <v>1235.25</v>
      </c>
      <c r="I2070" t="str">
        <f>"ROSLIZA BINTI MOHAMAD AMIN"</f>
        <v>ROSLIZA BINTI MOHAMAD AMIN</v>
      </c>
      <c r="J2070" t="str">
        <f t="shared" si="863"/>
        <v>MAYBANK / MAYBANK ISLAMIC</v>
      </c>
      <c r="K2070" t="str">
        <f>"111075002781"</f>
        <v>111075002781</v>
      </c>
      <c r="L2070" t="str">
        <f t="shared" si="864"/>
        <v>04-08-2020</v>
      </c>
      <c r="M2070" t="str">
        <f t="shared" si="864"/>
        <v>04-08-2020</v>
      </c>
      <c r="N2070" t="str">
        <f t="shared" si="852"/>
        <v>001105018356</v>
      </c>
      <c r="O2070" t="str">
        <f t="shared" si="853"/>
        <v>MYR</v>
      </c>
      <c r="P2070" t="str">
        <f t="shared" si="865"/>
        <v>NIL</v>
      </c>
      <c r="Q2070" t="str">
        <f t="shared" si="865"/>
        <v>NIL</v>
      </c>
      <c r="R2070" t="str">
        <f t="shared" si="854"/>
        <v>Accepted</v>
      </c>
      <c r="S2070" t="str">
        <f t="shared" si="855"/>
        <v>Approved</v>
      </c>
      <c r="T2070" t="str">
        <f t="shared" si="856"/>
        <v>10.20.8.188</v>
      </c>
      <c r="U2070" t="str">
        <f t="shared" si="857"/>
        <v>AZRAD UMAR BIN SHAARI</v>
      </c>
      <c r="V2070" t="str">
        <f t="shared" si="858"/>
        <v>FARHANA BINTI MUSTAPA</v>
      </c>
      <c r="W2070" t="str">
        <f t="shared" si="859"/>
        <v>04-08-2020</v>
      </c>
      <c r="X2070" t="str">
        <f t="shared" si="860"/>
        <v>RAZIMAH ANSAR AHMAD</v>
      </c>
      <c r="Y2070" t="str">
        <f t="shared" si="861"/>
        <v>04-08-2020</v>
      </c>
      <c r="Z2070" t="str">
        <f>"COS10200804 7084"</f>
        <v>COS10200804 7084</v>
      </c>
    </row>
    <row r="2071" spans="1:26" x14ac:dyDescent="0.25">
      <c r="A2071" t="str">
        <f t="shared" si="847"/>
        <v>04-08-2020 01:05:33</v>
      </c>
      <c r="B2071" t="str">
        <f>"0000808881"</f>
        <v>0000808881</v>
      </c>
      <c r="C2071" t="str">
        <f t="shared" si="848"/>
        <v>0000808798</v>
      </c>
      <c r="D2071" t="str">
        <f t="shared" si="849"/>
        <v>73185</v>
      </c>
      <c r="E2071" t="str">
        <f t="shared" si="850"/>
        <v>KFH-OPERATIONS DEPARTMENT</v>
      </c>
      <c r="F2071" t="str">
        <f t="shared" si="851"/>
        <v>IBG</v>
      </c>
      <c r="G2071" t="str">
        <f t="shared" si="862"/>
        <v>Refund COSHARE 10</v>
      </c>
      <c r="H2071" s="2">
        <v>822.7</v>
      </c>
      <c r="I2071" t="str">
        <f>"ROSLIZA BINTI ISMAIL"</f>
        <v>ROSLIZA BINTI ISMAIL</v>
      </c>
      <c r="J2071" t="str">
        <f t="shared" si="863"/>
        <v>MAYBANK / MAYBANK ISLAMIC</v>
      </c>
      <c r="K2071" t="str">
        <f>"151258526427"</f>
        <v>151258526427</v>
      </c>
      <c r="L2071" t="str">
        <f t="shared" si="864"/>
        <v>04-08-2020</v>
      </c>
      <c r="M2071" t="str">
        <f t="shared" si="864"/>
        <v>04-08-2020</v>
      </c>
      <c r="N2071" t="str">
        <f t="shared" si="852"/>
        <v>001105018356</v>
      </c>
      <c r="O2071" t="str">
        <f t="shared" si="853"/>
        <v>MYR</v>
      </c>
      <c r="P2071" t="str">
        <f t="shared" si="865"/>
        <v>NIL</v>
      </c>
      <c r="Q2071" t="str">
        <f t="shared" si="865"/>
        <v>NIL</v>
      </c>
      <c r="R2071" t="str">
        <f t="shared" si="854"/>
        <v>Accepted</v>
      </c>
      <c r="S2071" t="str">
        <f t="shared" si="855"/>
        <v>Approved</v>
      </c>
      <c r="T2071" t="str">
        <f t="shared" si="856"/>
        <v>10.20.8.188</v>
      </c>
      <c r="U2071" t="str">
        <f t="shared" si="857"/>
        <v>AZRAD UMAR BIN SHAARI</v>
      </c>
      <c r="V2071" t="str">
        <f t="shared" si="858"/>
        <v>FARHANA BINTI MUSTAPA</v>
      </c>
      <c r="W2071" t="str">
        <f t="shared" si="859"/>
        <v>04-08-2020</v>
      </c>
      <c r="X2071" t="str">
        <f t="shared" si="860"/>
        <v>RAZIMAH ANSAR AHMAD</v>
      </c>
      <c r="Y2071" t="str">
        <f t="shared" si="861"/>
        <v>04-08-2020</v>
      </c>
      <c r="Z2071" t="str">
        <f>"COS10200804 7083"</f>
        <v>COS10200804 7083</v>
      </c>
    </row>
    <row r="2072" spans="1:26" x14ac:dyDescent="0.25">
      <c r="A2072" t="str">
        <f t="shared" si="847"/>
        <v>04-08-2020 01:05:33</v>
      </c>
      <c r="B2072" t="str">
        <f>"0000808880"</f>
        <v>0000808880</v>
      </c>
      <c r="C2072" t="str">
        <f t="shared" si="848"/>
        <v>0000808798</v>
      </c>
      <c r="D2072" t="str">
        <f t="shared" si="849"/>
        <v>73185</v>
      </c>
      <c r="E2072" t="str">
        <f t="shared" si="850"/>
        <v>KFH-OPERATIONS DEPARTMENT</v>
      </c>
      <c r="F2072" t="str">
        <f t="shared" si="851"/>
        <v>IBG</v>
      </c>
      <c r="G2072" t="str">
        <f t="shared" si="862"/>
        <v>Refund COSHARE 10</v>
      </c>
      <c r="H2072" s="2">
        <v>484.15</v>
      </c>
      <c r="I2072" t="str">
        <f>"ROSLIZA BINTI AB RAHIM"</f>
        <v>ROSLIZA BINTI AB RAHIM</v>
      </c>
      <c r="J2072" t="str">
        <f t="shared" si="863"/>
        <v>MAYBANK / MAYBANK ISLAMIC</v>
      </c>
      <c r="K2072" t="str">
        <f>"153010067213"</f>
        <v>153010067213</v>
      </c>
      <c r="L2072" t="str">
        <f t="shared" si="864"/>
        <v>04-08-2020</v>
      </c>
      <c r="M2072" t="str">
        <f t="shared" si="864"/>
        <v>04-08-2020</v>
      </c>
      <c r="N2072" t="str">
        <f t="shared" si="852"/>
        <v>001105018356</v>
      </c>
      <c r="O2072" t="str">
        <f t="shared" si="853"/>
        <v>MYR</v>
      </c>
      <c r="P2072" t="str">
        <f t="shared" si="865"/>
        <v>NIL</v>
      </c>
      <c r="Q2072" t="str">
        <f t="shared" si="865"/>
        <v>NIL</v>
      </c>
      <c r="R2072" t="str">
        <f t="shared" si="854"/>
        <v>Accepted</v>
      </c>
      <c r="S2072" t="str">
        <f t="shared" si="855"/>
        <v>Approved</v>
      </c>
      <c r="T2072" t="str">
        <f t="shared" si="856"/>
        <v>10.20.8.188</v>
      </c>
      <c r="U2072" t="str">
        <f t="shared" si="857"/>
        <v>AZRAD UMAR BIN SHAARI</v>
      </c>
      <c r="V2072" t="str">
        <f t="shared" si="858"/>
        <v>FARHANA BINTI MUSTAPA</v>
      </c>
      <c r="W2072" t="str">
        <f t="shared" si="859"/>
        <v>04-08-2020</v>
      </c>
      <c r="X2072" t="str">
        <f t="shared" si="860"/>
        <v>RAZIMAH ANSAR AHMAD</v>
      </c>
      <c r="Y2072" t="str">
        <f t="shared" si="861"/>
        <v>04-08-2020</v>
      </c>
      <c r="Z2072" t="str">
        <f>"COS10200804 7082"</f>
        <v>COS10200804 7082</v>
      </c>
    </row>
    <row r="2073" spans="1:26" x14ac:dyDescent="0.25">
      <c r="A2073" t="str">
        <f t="shared" si="847"/>
        <v>04-08-2020 01:05:33</v>
      </c>
      <c r="B2073" t="str">
        <f>"0000808879"</f>
        <v>0000808879</v>
      </c>
      <c r="C2073" t="str">
        <f t="shared" si="848"/>
        <v>0000808798</v>
      </c>
      <c r="D2073" t="str">
        <f t="shared" si="849"/>
        <v>73185</v>
      </c>
      <c r="E2073" t="str">
        <f t="shared" si="850"/>
        <v>KFH-OPERATIONS DEPARTMENT</v>
      </c>
      <c r="F2073" t="str">
        <f t="shared" si="851"/>
        <v>IBG</v>
      </c>
      <c r="G2073" t="str">
        <f t="shared" si="862"/>
        <v>Refund COSHARE 10</v>
      </c>
      <c r="H2073" s="2">
        <v>461.75</v>
      </c>
      <c r="I2073" t="str">
        <f>"ROSLIYAWATI BINTI SHAARI"</f>
        <v>ROSLIYAWATI BINTI SHAARI</v>
      </c>
      <c r="J2073" t="str">
        <f t="shared" si="863"/>
        <v>MAYBANK / MAYBANK ISLAMIC</v>
      </c>
      <c r="K2073" t="str">
        <f>"114244422459"</f>
        <v>114244422459</v>
      </c>
      <c r="L2073" t="str">
        <f t="shared" si="864"/>
        <v>04-08-2020</v>
      </c>
      <c r="M2073" t="str">
        <f t="shared" si="864"/>
        <v>04-08-2020</v>
      </c>
      <c r="N2073" t="str">
        <f t="shared" si="852"/>
        <v>001105018356</v>
      </c>
      <c r="O2073" t="str">
        <f t="shared" si="853"/>
        <v>MYR</v>
      </c>
      <c r="P2073" t="str">
        <f t="shared" si="865"/>
        <v>NIL</v>
      </c>
      <c r="Q2073" t="str">
        <f t="shared" si="865"/>
        <v>NIL</v>
      </c>
      <c r="R2073" t="str">
        <f t="shared" si="854"/>
        <v>Accepted</v>
      </c>
      <c r="S2073" t="str">
        <f t="shared" si="855"/>
        <v>Approved</v>
      </c>
      <c r="T2073" t="str">
        <f t="shared" si="856"/>
        <v>10.20.8.188</v>
      </c>
      <c r="U2073" t="str">
        <f t="shared" si="857"/>
        <v>AZRAD UMAR BIN SHAARI</v>
      </c>
      <c r="V2073" t="str">
        <f t="shared" si="858"/>
        <v>FARHANA BINTI MUSTAPA</v>
      </c>
      <c r="W2073" t="str">
        <f t="shared" si="859"/>
        <v>04-08-2020</v>
      </c>
      <c r="X2073" t="str">
        <f t="shared" si="860"/>
        <v>RAZIMAH ANSAR AHMAD</v>
      </c>
      <c r="Y2073" t="str">
        <f t="shared" si="861"/>
        <v>04-08-2020</v>
      </c>
      <c r="Z2073" t="str">
        <f>"COS10200804 7081"</f>
        <v>COS10200804 7081</v>
      </c>
    </row>
    <row r="2074" spans="1:26" x14ac:dyDescent="0.25">
      <c r="A2074" t="str">
        <f t="shared" si="847"/>
        <v>04-08-2020 01:05:33</v>
      </c>
      <c r="B2074" t="str">
        <f>"0000808878"</f>
        <v>0000808878</v>
      </c>
      <c r="C2074" t="str">
        <f t="shared" si="848"/>
        <v>0000808798</v>
      </c>
      <c r="D2074" t="str">
        <f t="shared" si="849"/>
        <v>73185</v>
      </c>
      <c r="E2074" t="str">
        <f t="shared" si="850"/>
        <v>KFH-OPERATIONS DEPARTMENT</v>
      </c>
      <c r="F2074" t="str">
        <f t="shared" si="851"/>
        <v>IBG</v>
      </c>
      <c r="G2074" t="str">
        <f t="shared" si="862"/>
        <v>Refund COSHARE 10</v>
      </c>
      <c r="H2074" s="2">
        <v>125.95</v>
      </c>
      <c r="I2074" t="str">
        <f>"ROSLINDA BINTI SABDAN"</f>
        <v>ROSLINDA BINTI SABDAN</v>
      </c>
      <c r="J2074" t="str">
        <f t="shared" si="863"/>
        <v>MAYBANK / MAYBANK ISLAMIC</v>
      </c>
      <c r="K2074" t="str">
        <f>"160166113248"</f>
        <v>160166113248</v>
      </c>
      <c r="L2074" t="str">
        <f t="shared" si="864"/>
        <v>04-08-2020</v>
      </c>
      <c r="M2074" t="str">
        <f t="shared" si="864"/>
        <v>04-08-2020</v>
      </c>
      <c r="N2074" t="str">
        <f t="shared" si="852"/>
        <v>001105018356</v>
      </c>
      <c r="O2074" t="str">
        <f t="shared" si="853"/>
        <v>MYR</v>
      </c>
      <c r="P2074" t="str">
        <f t="shared" si="865"/>
        <v>NIL</v>
      </c>
      <c r="Q2074" t="str">
        <f t="shared" si="865"/>
        <v>NIL</v>
      </c>
      <c r="R2074" t="str">
        <f t="shared" si="854"/>
        <v>Accepted</v>
      </c>
      <c r="S2074" t="str">
        <f t="shared" si="855"/>
        <v>Approved</v>
      </c>
      <c r="T2074" t="str">
        <f t="shared" si="856"/>
        <v>10.20.8.188</v>
      </c>
      <c r="U2074" t="str">
        <f t="shared" si="857"/>
        <v>AZRAD UMAR BIN SHAARI</v>
      </c>
      <c r="V2074" t="str">
        <f t="shared" si="858"/>
        <v>FARHANA BINTI MUSTAPA</v>
      </c>
      <c r="W2074" t="str">
        <f t="shared" si="859"/>
        <v>04-08-2020</v>
      </c>
      <c r="X2074" t="str">
        <f t="shared" si="860"/>
        <v>RAZIMAH ANSAR AHMAD</v>
      </c>
      <c r="Y2074" t="str">
        <f t="shared" si="861"/>
        <v>04-08-2020</v>
      </c>
      <c r="Z2074" t="str">
        <f>"COS10200804 7080"</f>
        <v>COS10200804 7080</v>
      </c>
    </row>
    <row r="2075" spans="1:26" x14ac:dyDescent="0.25">
      <c r="A2075" t="str">
        <f t="shared" si="847"/>
        <v>04-08-2020 01:05:33</v>
      </c>
      <c r="B2075" t="str">
        <f>"0000808877"</f>
        <v>0000808877</v>
      </c>
      <c r="C2075" t="str">
        <f t="shared" si="848"/>
        <v>0000808798</v>
      </c>
      <c r="D2075" t="str">
        <f t="shared" si="849"/>
        <v>73185</v>
      </c>
      <c r="E2075" t="str">
        <f t="shared" si="850"/>
        <v>KFH-OPERATIONS DEPARTMENT</v>
      </c>
      <c r="F2075" t="str">
        <f t="shared" si="851"/>
        <v>IBG</v>
      </c>
      <c r="G2075" t="str">
        <f t="shared" si="862"/>
        <v>Refund COSHARE 10</v>
      </c>
      <c r="H2075" s="2">
        <v>649.65</v>
      </c>
      <c r="I2075" t="str">
        <f>"ROSLINDA BINTI ABDULLAH"</f>
        <v>ROSLINDA BINTI ABDULLAH</v>
      </c>
      <c r="J2075" t="str">
        <f t="shared" si="863"/>
        <v>MAYBANK / MAYBANK ISLAMIC</v>
      </c>
      <c r="K2075" t="str">
        <f>"155050006972"</f>
        <v>155050006972</v>
      </c>
      <c r="L2075" t="str">
        <f t="shared" si="864"/>
        <v>04-08-2020</v>
      </c>
      <c r="M2075" t="str">
        <f t="shared" si="864"/>
        <v>04-08-2020</v>
      </c>
      <c r="N2075" t="str">
        <f t="shared" si="852"/>
        <v>001105018356</v>
      </c>
      <c r="O2075" t="str">
        <f t="shared" si="853"/>
        <v>MYR</v>
      </c>
      <c r="P2075" t="str">
        <f t="shared" si="865"/>
        <v>NIL</v>
      </c>
      <c r="Q2075" t="str">
        <f t="shared" si="865"/>
        <v>NIL</v>
      </c>
      <c r="R2075" t="str">
        <f t="shared" si="854"/>
        <v>Accepted</v>
      </c>
      <c r="S2075" t="str">
        <f t="shared" si="855"/>
        <v>Approved</v>
      </c>
      <c r="T2075" t="str">
        <f t="shared" si="856"/>
        <v>10.20.8.188</v>
      </c>
      <c r="U2075" t="str">
        <f t="shared" si="857"/>
        <v>AZRAD UMAR BIN SHAARI</v>
      </c>
      <c r="V2075" t="str">
        <f t="shared" si="858"/>
        <v>FARHANA BINTI MUSTAPA</v>
      </c>
      <c r="W2075" t="str">
        <f t="shared" si="859"/>
        <v>04-08-2020</v>
      </c>
      <c r="X2075" t="str">
        <f t="shared" si="860"/>
        <v>RAZIMAH ANSAR AHMAD</v>
      </c>
      <c r="Y2075" t="str">
        <f t="shared" si="861"/>
        <v>04-08-2020</v>
      </c>
      <c r="Z2075" t="str">
        <f>"COS10200804 7079"</f>
        <v>COS10200804 7079</v>
      </c>
    </row>
    <row r="2076" spans="1:26" x14ac:dyDescent="0.25">
      <c r="A2076" t="str">
        <f t="shared" si="847"/>
        <v>04-08-2020 01:05:33</v>
      </c>
      <c r="B2076" t="str">
        <f>"0000808876"</f>
        <v>0000808876</v>
      </c>
      <c r="C2076" t="str">
        <f t="shared" si="848"/>
        <v>0000808798</v>
      </c>
      <c r="D2076" t="str">
        <f t="shared" si="849"/>
        <v>73185</v>
      </c>
      <c r="E2076" t="str">
        <f t="shared" si="850"/>
        <v>KFH-OPERATIONS DEPARTMENT</v>
      </c>
      <c r="F2076" t="str">
        <f t="shared" si="851"/>
        <v>IBG</v>
      </c>
      <c r="G2076" t="str">
        <f t="shared" si="862"/>
        <v>Refund COSHARE 10</v>
      </c>
      <c r="H2076" s="2">
        <v>798</v>
      </c>
      <c r="I2076" t="str">
        <f>"ROSLINDA BINTI AB RAZAK"</f>
        <v>ROSLINDA BINTI AB RAZAK</v>
      </c>
      <c r="J2076" t="str">
        <f t="shared" si="863"/>
        <v>MAYBANK / MAYBANK ISLAMIC</v>
      </c>
      <c r="K2076" t="str">
        <f>"158154007978"</f>
        <v>158154007978</v>
      </c>
      <c r="L2076" t="str">
        <f t="shared" si="864"/>
        <v>04-08-2020</v>
      </c>
      <c r="M2076" t="str">
        <f t="shared" si="864"/>
        <v>04-08-2020</v>
      </c>
      <c r="N2076" t="str">
        <f t="shared" si="852"/>
        <v>001105018356</v>
      </c>
      <c r="O2076" t="str">
        <f t="shared" si="853"/>
        <v>MYR</v>
      </c>
      <c r="P2076" t="str">
        <f t="shared" si="865"/>
        <v>NIL</v>
      </c>
      <c r="Q2076" t="str">
        <f t="shared" si="865"/>
        <v>NIL</v>
      </c>
      <c r="R2076" t="str">
        <f t="shared" si="854"/>
        <v>Accepted</v>
      </c>
      <c r="S2076" t="str">
        <f t="shared" si="855"/>
        <v>Approved</v>
      </c>
      <c r="T2076" t="str">
        <f t="shared" si="856"/>
        <v>10.20.8.188</v>
      </c>
      <c r="U2076" t="str">
        <f t="shared" si="857"/>
        <v>AZRAD UMAR BIN SHAARI</v>
      </c>
      <c r="V2076" t="str">
        <f t="shared" si="858"/>
        <v>FARHANA BINTI MUSTAPA</v>
      </c>
      <c r="W2076" t="str">
        <f t="shared" si="859"/>
        <v>04-08-2020</v>
      </c>
      <c r="X2076" t="str">
        <f t="shared" si="860"/>
        <v>RAZIMAH ANSAR AHMAD</v>
      </c>
      <c r="Y2076" t="str">
        <f t="shared" si="861"/>
        <v>04-08-2020</v>
      </c>
      <c r="Z2076" t="str">
        <f>"COS10200804 7078"</f>
        <v>COS10200804 7078</v>
      </c>
    </row>
    <row r="2077" spans="1:26" x14ac:dyDescent="0.25">
      <c r="A2077" t="str">
        <f t="shared" si="847"/>
        <v>04-08-2020 01:05:33</v>
      </c>
      <c r="B2077" t="str">
        <f>"0000808875"</f>
        <v>0000808875</v>
      </c>
      <c r="C2077" t="str">
        <f t="shared" si="848"/>
        <v>0000808798</v>
      </c>
      <c r="D2077" t="str">
        <f t="shared" si="849"/>
        <v>73185</v>
      </c>
      <c r="E2077" t="str">
        <f t="shared" si="850"/>
        <v>KFH-OPERATIONS DEPARTMENT</v>
      </c>
      <c r="F2077" t="str">
        <f t="shared" si="851"/>
        <v>IBG</v>
      </c>
      <c r="G2077" t="str">
        <f t="shared" si="862"/>
        <v>Refund COSHARE 10</v>
      </c>
      <c r="H2077" s="2">
        <v>798</v>
      </c>
      <c r="I2077" t="str">
        <f>"ROSLINDA BINTI AB RAZAK"</f>
        <v>ROSLINDA BINTI AB RAZAK</v>
      </c>
      <c r="J2077" t="str">
        <f t="shared" si="863"/>
        <v>MAYBANK / MAYBANK ISLAMIC</v>
      </c>
      <c r="K2077" t="str">
        <f>"158154007978"</f>
        <v>158154007978</v>
      </c>
      <c r="L2077" t="str">
        <f t="shared" si="864"/>
        <v>04-08-2020</v>
      </c>
      <c r="M2077" t="str">
        <f t="shared" si="864"/>
        <v>04-08-2020</v>
      </c>
      <c r="N2077" t="str">
        <f t="shared" si="852"/>
        <v>001105018356</v>
      </c>
      <c r="O2077" t="str">
        <f t="shared" si="853"/>
        <v>MYR</v>
      </c>
      <c r="P2077" t="str">
        <f t="shared" si="865"/>
        <v>NIL</v>
      </c>
      <c r="Q2077" t="str">
        <f t="shared" si="865"/>
        <v>NIL</v>
      </c>
      <c r="R2077" t="str">
        <f t="shared" si="854"/>
        <v>Accepted</v>
      </c>
      <c r="S2077" t="str">
        <f t="shared" si="855"/>
        <v>Approved</v>
      </c>
      <c r="T2077" t="str">
        <f t="shared" si="856"/>
        <v>10.20.8.188</v>
      </c>
      <c r="U2077" t="str">
        <f t="shared" si="857"/>
        <v>AZRAD UMAR BIN SHAARI</v>
      </c>
      <c r="V2077" t="str">
        <f t="shared" si="858"/>
        <v>FARHANA BINTI MUSTAPA</v>
      </c>
      <c r="W2077" t="str">
        <f t="shared" si="859"/>
        <v>04-08-2020</v>
      </c>
      <c r="X2077" t="str">
        <f t="shared" si="860"/>
        <v>RAZIMAH ANSAR AHMAD</v>
      </c>
      <c r="Y2077" t="str">
        <f t="shared" si="861"/>
        <v>04-08-2020</v>
      </c>
      <c r="Z2077" t="str">
        <f>"COS10200804 7077"</f>
        <v>COS10200804 7077</v>
      </c>
    </row>
    <row r="2078" spans="1:26" x14ac:dyDescent="0.25">
      <c r="A2078" t="str">
        <f t="shared" si="847"/>
        <v>04-08-2020 01:05:33</v>
      </c>
      <c r="B2078" t="str">
        <f>"0000808874"</f>
        <v>0000808874</v>
      </c>
      <c r="C2078" t="str">
        <f t="shared" si="848"/>
        <v>0000808798</v>
      </c>
      <c r="D2078" t="str">
        <f t="shared" si="849"/>
        <v>73185</v>
      </c>
      <c r="E2078" t="str">
        <f t="shared" si="850"/>
        <v>KFH-OPERATIONS DEPARTMENT</v>
      </c>
      <c r="F2078" t="str">
        <f t="shared" si="851"/>
        <v>IBG</v>
      </c>
      <c r="G2078" t="str">
        <f t="shared" si="862"/>
        <v>Refund COSHARE 10</v>
      </c>
      <c r="H2078" s="2">
        <v>915</v>
      </c>
      <c r="I2078" t="str">
        <f>"ROSLINA BINTI RAMLI"</f>
        <v>ROSLINA BINTI RAMLI</v>
      </c>
      <c r="J2078" t="str">
        <f t="shared" si="863"/>
        <v>MAYBANK / MAYBANK ISLAMIC</v>
      </c>
      <c r="K2078" t="str">
        <f>"153010749638"</f>
        <v>153010749638</v>
      </c>
      <c r="L2078" t="str">
        <f t="shared" si="864"/>
        <v>04-08-2020</v>
      </c>
      <c r="M2078" t="str">
        <f t="shared" si="864"/>
        <v>04-08-2020</v>
      </c>
      <c r="N2078" t="str">
        <f t="shared" si="852"/>
        <v>001105018356</v>
      </c>
      <c r="O2078" t="str">
        <f t="shared" si="853"/>
        <v>MYR</v>
      </c>
      <c r="P2078" t="str">
        <f t="shared" si="865"/>
        <v>NIL</v>
      </c>
      <c r="Q2078" t="str">
        <f t="shared" si="865"/>
        <v>NIL</v>
      </c>
      <c r="R2078" t="str">
        <f t="shared" si="854"/>
        <v>Accepted</v>
      </c>
      <c r="S2078" t="str">
        <f t="shared" si="855"/>
        <v>Approved</v>
      </c>
      <c r="T2078" t="str">
        <f t="shared" si="856"/>
        <v>10.20.8.188</v>
      </c>
      <c r="U2078" t="str">
        <f t="shared" si="857"/>
        <v>AZRAD UMAR BIN SHAARI</v>
      </c>
      <c r="V2078" t="str">
        <f t="shared" si="858"/>
        <v>FARHANA BINTI MUSTAPA</v>
      </c>
      <c r="W2078" t="str">
        <f t="shared" si="859"/>
        <v>04-08-2020</v>
      </c>
      <c r="X2078" t="str">
        <f t="shared" si="860"/>
        <v>RAZIMAH ANSAR AHMAD</v>
      </c>
      <c r="Y2078" t="str">
        <f t="shared" si="861"/>
        <v>04-08-2020</v>
      </c>
      <c r="Z2078" t="str">
        <f>"COS10200804 7076"</f>
        <v>COS10200804 7076</v>
      </c>
    </row>
    <row r="2079" spans="1:26" x14ac:dyDescent="0.25">
      <c r="A2079" t="str">
        <f t="shared" si="847"/>
        <v>04-08-2020 01:05:33</v>
      </c>
      <c r="B2079" t="str">
        <f>"0000808873"</f>
        <v>0000808873</v>
      </c>
      <c r="C2079" t="str">
        <f t="shared" si="848"/>
        <v>0000808798</v>
      </c>
      <c r="D2079" t="str">
        <f t="shared" si="849"/>
        <v>73185</v>
      </c>
      <c r="E2079" t="str">
        <f t="shared" si="850"/>
        <v>KFH-OPERATIONS DEPARTMENT</v>
      </c>
      <c r="F2079" t="str">
        <f t="shared" si="851"/>
        <v>IBG</v>
      </c>
      <c r="G2079" t="str">
        <f t="shared" si="862"/>
        <v>Refund COSHARE 10</v>
      </c>
      <c r="H2079" s="2">
        <v>1259.25</v>
      </c>
      <c r="I2079" t="str">
        <f>"ROSLINA BINTI OMAR"</f>
        <v>ROSLINA BINTI OMAR</v>
      </c>
      <c r="J2079" t="str">
        <f t="shared" si="863"/>
        <v>MAYBANK / MAYBANK ISLAMIC</v>
      </c>
      <c r="K2079" t="str">
        <f>"158060463353"</f>
        <v>158060463353</v>
      </c>
      <c r="L2079" t="str">
        <f t="shared" si="864"/>
        <v>04-08-2020</v>
      </c>
      <c r="M2079" t="str">
        <f t="shared" si="864"/>
        <v>04-08-2020</v>
      </c>
      <c r="N2079" t="str">
        <f t="shared" si="852"/>
        <v>001105018356</v>
      </c>
      <c r="O2079" t="str">
        <f t="shared" si="853"/>
        <v>MYR</v>
      </c>
      <c r="P2079" t="str">
        <f t="shared" si="865"/>
        <v>NIL</v>
      </c>
      <c r="Q2079" t="str">
        <f t="shared" si="865"/>
        <v>NIL</v>
      </c>
      <c r="R2079" t="str">
        <f t="shared" si="854"/>
        <v>Accepted</v>
      </c>
      <c r="S2079" t="str">
        <f t="shared" si="855"/>
        <v>Approved</v>
      </c>
      <c r="T2079" t="str">
        <f t="shared" si="856"/>
        <v>10.20.8.188</v>
      </c>
      <c r="U2079" t="str">
        <f t="shared" si="857"/>
        <v>AZRAD UMAR BIN SHAARI</v>
      </c>
      <c r="V2079" t="str">
        <f t="shared" si="858"/>
        <v>FARHANA BINTI MUSTAPA</v>
      </c>
      <c r="W2079" t="str">
        <f t="shared" si="859"/>
        <v>04-08-2020</v>
      </c>
      <c r="X2079" t="str">
        <f t="shared" si="860"/>
        <v>RAZIMAH ANSAR AHMAD</v>
      </c>
      <c r="Y2079" t="str">
        <f t="shared" si="861"/>
        <v>04-08-2020</v>
      </c>
      <c r="Z2079" t="str">
        <f>"COS10200804 7075"</f>
        <v>COS10200804 7075</v>
      </c>
    </row>
    <row r="2080" spans="1:26" x14ac:dyDescent="0.25">
      <c r="A2080" t="str">
        <f t="shared" si="847"/>
        <v>04-08-2020 01:05:33</v>
      </c>
      <c r="B2080" t="str">
        <f>"0000808872"</f>
        <v>0000808872</v>
      </c>
      <c r="C2080" t="str">
        <f t="shared" si="848"/>
        <v>0000808798</v>
      </c>
      <c r="D2080" t="str">
        <f t="shared" si="849"/>
        <v>73185</v>
      </c>
      <c r="E2080" t="str">
        <f t="shared" si="850"/>
        <v>KFH-OPERATIONS DEPARTMENT</v>
      </c>
      <c r="F2080" t="str">
        <f t="shared" si="851"/>
        <v>IBG</v>
      </c>
      <c r="G2080" t="str">
        <f t="shared" si="862"/>
        <v>Refund COSHARE 10</v>
      </c>
      <c r="H2080" s="2">
        <v>987</v>
      </c>
      <c r="I2080" t="str">
        <f>"ROSLINA BINTI ABDULLAH"</f>
        <v>ROSLINA BINTI ABDULLAH</v>
      </c>
      <c r="J2080" t="str">
        <f t="shared" si="863"/>
        <v>MAYBANK / MAYBANK ISLAMIC</v>
      </c>
      <c r="K2080" t="str">
        <f>"164427426983"</f>
        <v>164427426983</v>
      </c>
      <c r="L2080" t="str">
        <f t="shared" si="864"/>
        <v>04-08-2020</v>
      </c>
      <c r="M2080" t="str">
        <f t="shared" si="864"/>
        <v>04-08-2020</v>
      </c>
      <c r="N2080" t="str">
        <f t="shared" si="852"/>
        <v>001105018356</v>
      </c>
      <c r="O2080" t="str">
        <f t="shared" si="853"/>
        <v>MYR</v>
      </c>
      <c r="P2080" t="str">
        <f t="shared" si="865"/>
        <v>NIL</v>
      </c>
      <c r="Q2080" t="str">
        <f t="shared" si="865"/>
        <v>NIL</v>
      </c>
      <c r="R2080" t="str">
        <f t="shared" si="854"/>
        <v>Accepted</v>
      </c>
      <c r="S2080" t="str">
        <f t="shared" si="855"/>
        <v>Approved</v>
      </c>
      <c r="T2080" t="str">
        <f t="shared" si="856"/>
        <v>10.20.8.188</v>
      </c>
      <c r="U2080" t="str">
        <f t="shared" si="857"/>
        <v>AZRAD UMAR BIN SHAARI</v>
      </c>
      <c r="V2080" t="str">
        <f t="shared" si="858"/>
        <v>FARHANA BINTI MUSTAPA</v>
      </c>
      <c r="W2080" t="str">
        <f t="shared" si="859"/>
        <v>04-08-2020</v>
      </c>
      <c r="X2080" t="str">
        <f t="shared" si="860"/>
        <v>RAZIMAH ANSAR AHMAD</v>
      </c>
      <c r="Y2080" t="str">
        <f t="shared" si="861"/>
        <v>04-08-2020</v>
      </c>
      <c r="Z2080" t="str">
        <f>"COS10200804 7074"</f>
        <v>COS10200804 7074</v>
      </c>
    </row>
    <row r="2081" spans="1:26" x14ac:dyDescent="0.25">
      <c r="A2081" t="str">
        <f t="shared" si="847"/>
        <v>04-08-2020 01:05:33</v>
      </c>
      <c r="B2081" t="str">
        <f>"0000808871"</f>
        <v>0000808871</v>
      </c>
      <c r="C2081" t="str">
        <f t="shared" si="848"/>
        <v>0000808798</v>
      </c>
      <c r="D2081" t="str">
        <f t="shared" si="849"/>
        <v>73185</v>
      </c>
      <c r="E2081" t="str">
        <f t="shared" si="850"/>
        <v>KFH-OPERATIONS DEPARTMENT</v>
      </c>
      <c r="F2081" t="str">
        <f t="shared" si="851"/>
        <v>IBG</v>
      </c>
      <c r="G2081" t="str">
        <f t="shared" si="862"/>
        <v>Refund COSHARE 10</v>
      </c>
      <c r="H2081" s="2">
        <v>84</v>
      </c>
      <c r="I2081" t="str">
        <f>"ROSLIHA BINTI IBRAHIM"</f>
        <v>ROSLIHA BINTI IBRAHIM</v>
      </c>
      <c r="J2081" t="str">
        <f t="shared" si="863"/>
        <v>MAYBANK / MAYBANK ISLAMIC</v>
      </c>
      <c r="K2081" t="str">
        <f>"107135129987"</f>
        <v>107135129987</v>
      </c>
      <c r="L2081" t="str">
        <f t="shared" si="864"/>
        <v>04-08-2020</v>
      </c>
      <c r="M2081" t="str">
        <f t="shared" si="864"/>
        <v>04-08-2020</v>
      </c>
      <c r="N2081" t="str">
        <f t="shared" si="852"/>
        <v>001105018356</v>
      </c>
      <c r="O2081" t="str">
        <f t="shared" si="853"/>
        <v>MYR</v>
      </c>
      <c r="P2081" t="str">
        <f t="shared" si="865"/>
        <v>NIL</v>
      </c>
      <c r="Q2081" t="str">
        <f t="shared" si="865"/>
        <v>NIL</v>
      </c>
      <c r="R2081" t="str">
        <f t="shared" si="854"/>
        <v>Accepted</v>
      </c>
      <c r="S2081" t="str">
        <f t="shared" si="855"/>
        <v>Approved</v>
      </c>
      <c r="T2081" t="str">
        <f t="shared" si="856"/>
        <v>10.20.8.188</v>
      </c>
      <c r="U2081" t="str">
        <f t="shared" si="857"/>
        <v>AZRAD UMAR BIN SHAARI</v>
      </c>
      <c r="V2081" t="str">
        <f t="shared" si="858"/>
        <v>FARHANA BINTI MUSTAPA</v>
      </c>
      <c r="W2081" t="str">
        <f t="shared" si="859"/>
        <v>04-08-2020</v>
      </c>
      <c r="X2081" t="str">
        <f t="shared" si="860"/>
        <v>RAZIMAH ANSAR AHMAD</v>
      </c>
      <c r="Y2081" t="str">
        <f t="shared" si="861"/>
        <v>04-08-2020</v>
      </c>
      <c r="Z2081" t="str">
        <f>"COS10200804 7073"</f>
        <v>COS10200804 7073</v>
      </c>
    </row>
    <row r="2082" spans="1:26" x14ac:dyDescent="0.25">
      <c r="A2082" t="str">
        <f t="shared" ref="A2082:A2113" si="866">"04-08-2020 01:05:33"</f>
        <v>04-08-2020 01:05:33</v>
      </c>
      <c r="B2082" t="str">
        <f>"0000808870"</f>
        <v>0000808870</v>
      </c>
      <c r="C2082" t="str">
        <f t="shared" ref="C2082:C2113" si="867">"0000808798"</f>
        <v>0000808798</v>
      </c>
      <c r="D2082" t="str">
        <f t="shared" si="849"/>
        <v>73185</v>
      </c>
      <c r="E2082" t="str">
        <f t="shared" si="850"/>
        <v>KFH-OPERATIONS DEPARTMENT</v>
      </c>
      <c r="F2082" t="str">
        <f t="shared" si="851"/>
        <v>IBG</v>
      </c>
      <c r="G2082" t="str">
        <f t="shared" si="862"/>
        <v>Refund COSHARE 10</v>
      </c>
      <c r="H2082" s="2">
        <v>1552.4</v>
      </c>
      <c r="I2082" t="str">
        <f>"ROSLI BIN SULAIMAN"</f>
        <v>ROSLI BIN SULAIMAN</v>
      </c>
      <c r="J2082" t="str">
        <f t="shared" si="863"/>
        <v>MAYBANK / MAYBANK ISLAMIC</v>
      </c>
      <c r="K2082" t="str">
        <f>"112101597943"</f>
        <v>112101597943</v>
      </c>
      <c r="L2082" t="str">
        <f t="shared" si="864"/>
        <v>04-08-2020</v>
      </c>
      <c r="M2082" t="str">
        <f t="shared" si="864"/>
        <v>04-08-2020</v>
      </c>
      <c r="N2082" t="str">
        <f t="shared" si="852"/>
        <v>001105018356</v>
      </c>
      <c r="O2082" t="str">
        <f t="shared" si="853"/>
        <v>MYR</v>
      </c>
      <c r="P2082" t="str">
        <f t="shared" si="865"/>
        <v>NIL</v>
      </c>
      <c r="Q2082" t="str">
        <f t="shared" si="865"/>
        <v>NIL</v>
      </c>
      <c r="R2082" t="str">
        <f t="shared" si="854"/>
        <v>Accepted</v>
      </c>
      <c r="S2082" t="str">
        <f t="shared" si="855"/>
        <v>Approved</v>
      </c>
      <c r="T2082" t="str">
        <f t="shared" si="856"/>
        <v>10.20.8.188</v>
      </c>
      <c r="U2082" t="str">
        <f t="shared" si="857"/>
        <v>AZRAD UMAR BIN SHAARI</v>
      </c>
      <c r="V2082" t="str">
        <f t="shared" si="858"/>
        <v>FARHANA BINTI MUSTAPA</v>
      </c>
      <c r="W2082" t="str">
        <f t="shared" si="859"/>
        <v>04-08-2020</v>
      </c>
      <c r="X2082" t="str">
        <f t="shared" si="860"/>
        <v>RAZIMAH ANSAR AHMAD</v>
      </c>
      <c r="Y2082" t="str">
        <f t="shared" si="861"/>
        <v>04-08-2020</v>
      </c>
      <c r="Z2082" t="str">
        <f>"COS10200804 7072"</f>
        <v>COS10200804 7072</v>
      </c>
    </row>
    <row r="2083" spans="1:26" x14ac:dyDescent="0.25">
      <c r="A2083" t="str">
        <f t="shared" si="866"/>
        <v>04-08-2020 01:05:33</v>
      </c>
      <c r="B2083" t="str">
        <f>"0000808869"</f>
        <v>0000808869</v>
      </c>
      <c r="C2083" t="str">
        <f t="shared" si="867"/>
        <v>0000808798</v>
      </c>
      <c r="D2083" t="str">
        <f t="shared" si="849"/>
        <v>73185</v>
      </c>
      <c r="E2083" t="str">
        <f t="shared" si="850"/>
        <v>KFH-OPERATIONS DEPARTMENT</v>
      </c>
      <c r="F2083" t="str">
        <f t="shared" si="851"/>
        <v>IBG</v>
      </c>
      <c r="G2083" t="str">
        <f t="shared" si="862"/>
        <v>Refund COSHARE 10</v>
      </c>
      <c r="H2083" s="2">
        <v>224</v>
      </c>
      <c r="I2083" t="str">
        <f>"ROSLI BIN RAIS"</f>
        <v>ROSLI BIN RAIS</v>
      </c>
      <c r="J2083" t="str">
        <f t="shared" si="863"/>
        <v>MAYBANK / MAYBANK ISLAMIC</v>
      </c>
      <c r="K2083" t="str">
        <f>"158305183194"</f>
        <v>158305183194</v>
      </c>
      <c r="L2083" t="str">
        <f t="shared" si="864"/>
        <v>04-08-2020</v>
      </c>
      <c r="M2083" t="str">
        <f t="shared" si="864"/>
        <v>04-08-2020</v>
      </c>
      <c r="N2083" t="str">
        <f t="shared" si="852"/>
        <v>001105018356</v>
      </c>
      <c r="O2083" t="str">
        <f t="shared" si="853"/>
        <v>MYR</v>
      </c>
      <c r="P2083" t="str">
        <f t="shared" si="865"/>
        <v>NIL</v>
      </c>
      <c r="Q2083" t="str">
        <f t="shared" si="865"/>
        <v>NIL</v>
      </c>
      <c r="R2083" t="str">
        <f t="shared" si="854"/>
        <v>Accepted</v>
      </c>
      <c r="S2083" t="str">
        <f t="shared" si="855"/>
        <v>Approved</v>
      </c>
      <c r="T2083" t="str">
        <f t="shared" si="856"/>
        <v>10.20.8.188</v>
      </c>
      <c r="U2083" t="str">
        <f t="shared" si="857"/>
        <v>AZRAD UMAR BIN SHAARI</v>
      </c>
      <c r="V2083" t="str">
        <f t="shared" si="858"/>
        <v>FARHANA BINTI MUSTAPA</v>
      </c>
      <c r="W2083" t="str">
        <f t="shared" si="859"/>
        <v>04-08-2020</v>
      </c>
      <c r="X2083" t="str">
        <f t="shared" si="860"/>
        <v>RAZIMAH ANSAR AHMAD</v>
      </c>
      <c r="Y2083" t="str">
        <f t="shared" si="861"/>
        <v>04-08-2020</v>
      </c>
      <c r="Z2083" t="str">
        <f>"COS10200804 7071"</f>
        <v>COS10200804 7071</v>
      </c>
    </row>
    <row r="2084" spans="1:26" x14ac:dyDescent="0.25">
      <c r="A2084" t="str">
        <f t="shared" si="866"/>
        <v>04-08-2020 01:05:33</v>
      </c>
      <c r="B2084" t="str">
        <f>"0000808868"</f>
        <v>0000808868</v>
      </c>
      <c r="C2084" t="str">
        <f t="shared" si="867"/>
        <v>0000808798</v>
      </c>
      <c r="D2084" t="str">
        <f t="shared" si="849"/>
        <v>73185</v>
      </c>
      <c r="E2084" t="str">
        <f t="shared" si="850"/>
        <v>KFH-OPERATIONS DEPARTMENT</v>
      </c>
      <c r="F2084" t="str">
        <f t="shared" si="851"/>
        <v>IBG</v>
      </c>
      <c r="G2084" t="str">
        <f t="shared" si="862"/>
        <v>Refund COSHARE 10</v>
      </c>
      <c r="H2084" s="2">
        <v>123</v>
      </c>
      <c r="I2084" t="str">
        <f>"ROSLI BIN MOHAMED"</f>
        <v>ROSLI BIN MOHAMED</v>
      </c>
      <c r="J2084" t="str">
        <f t="shared" si="863"/>
        <v>MAYBANK / MAYBANK ISLAMIC</v>
      </c>
      <c r="K2084" t="str">
        <f>"105037398186"</f>
        <v>105037398186</v>
      </c>
      <c r="L2084" t="str">
        <f t="shared" si="864"/>
        <v>04-08-2020</v>
      </c>
      <c r="M2084" t="str">
        <f t="shared" si="864"/>
        <v>04-08-2020</v>
      </c>
      <c r="N2084" t="str">
        <f t="shared" si="852"/>
        <v>001105018356</v>
      </c>
      <c r="O2084" t="str">
        <f t="shared" si="853"/>
        <v>MYR</v>
      </c>
      <c r="P2084" t="str">
        <f t="shared" si="865"/>
        <v>NIL</v>
      </c>
      <c r="Q2084" t="str">
        <f t="shared" si="865"/>
        <v>NIL</v>
      </c>
      <c r="R2084" t="str">
        <f t="shared" si="854"/>
        <v>Accepted</v>
      </c>
      <c r="S2084" t="str">
        <f t="shared" si="855"/>
        <v>Approved</v>
      </c>
      <c r="T2084" t="str">
        <f t="shared" si="856"/>
        <v>10.20.8.188</v>
      </c>
      <c r="U2084" t="str">
        <f t="shared" si="857"/>
        <v>AZRAD UMAR BIN SHAARI</v>
      </c>
      <c r="V2084" t="str">
        <f t="shared" si="858"/>
        <v>FARHANA BINTI MUSTAPA</v>
      </c>
      <c r="W2084" t="str">
        <f t="shared" si="859"/>
        <v>04-08-2020</v>
      </c>
      <c r="X2084" t="str">
        <f t="shared" si="860"/>
        <v>RAZIMAH ANSAR AHMAD</v>
      </c>
      <c r="Y2084" t="str">
        <f t="shared" si="861"/>
        <v>04-08-2020</v>
      </c>
      <c r="Z2084" t="str">
        <f>"COS10200804 7070"</f>
        <v>COS10200804 7070</v>
      </c>
    </row>
    <row r="2085" spans="1:26" x14ac:dyDescent="0.25">
      <c r="A2085" t="str">
        <f t="shared" si="866"/>
        <v>04-08-2020 01:05:33</v>
      </c>
      <c r="B2085" t="str">
        <f>"0000808867"</f>
        <v>0000808867</v>
      </c>
      <c r="C2085" t="str">
        <f t="shared" si="867"/>
        <v>0000808798</v>
      </c>
      <c r="D2085" t="str">
        <f t="shared" si="849"/>
        <v>73185</v>
      </c>
      <c r="E2085" t="str">
        <f t="shared" si="850"/>
        <v>KFH-OPERATIONS DEPARTMENT</v>
      </c>
      <c r="F2085" t="str">
        <f t="shared" si="851"/>
        <v>IBG</v>
      </c>
      <c r="G2085" t="str">
        <f t="shared" si="862"/>
        <v>Refund COSHARE 10</v>
      </c>
      <c r="H2085" s="2">
        <v>952.85</v>
      </c>
      <c r="I2085" t="str">
        <f>"ROSLI BIN MOHAMAD DARUS"</f>
        <v>ROSLI BIN MOHAMAD DARUS</v>
      </c>
      <c r="J2085" t="str">
        <f t="shared" si="863"/>
        <v>MAYBANK / MAYBANK ISLAMIC</v>
      </c>
      <c r="K2085" t="str">
        <f>"114208725655"</f>
        <v>114208725655</v>
      </c>
      <c r="L2085" t="str">
        <f t="shared" si="864"/>
        <v>04-08-2020</v>
      </c>
      <c r="M2085" t="str">
        <f t="shared" si="864"/>
        <v>04-08-2020</v>
      </c>
      <c r="N2085" t="str">
        <f t="shared" si="852"/>
        <v>001105018356</v>
      </c>
      <c r="O2085" t="str">
        <f t="shared" si="853"/>
        <v>MYR</v>
      </c>
      <c r="P2085" t="str">
        <f t="shared" si="865"/>
        <v>NIL</v>
      </c>
      <c r="Q2085" t="str">
        <f t="shared" si="865"/>
        <v>NIL</v>
      </c>
      <c r="R2085" t="str">
        <f t="shared" si="854"/>
        <v>Accepted</v>
      </c>
      <c r="S2085" t="str">
        <f t="shared" si="855"/>
        <v>Approved</v>
      </c>
      <c r="T2085" t="str">
        <f t="shared" si="856"/>
        <v>10.20.8.188</v>
      </c>
      <c r="U2085" t="str">
        <f t="shared" si="857"/>
        <v>AZRAD UMAR BIN SHAARI</v>
      </c>
      <c r="V2085" t="str">
        <f t="shared" si="858"/>
        <v>FARHANA BINTI MUSTAPA</v>
      </c>
      <c r="W2085" t="str">
        <f t="shared" si="859"/>
        <v>04-08-2020</v>
      </c>
      <c r="X2085" t="str">
        <f t="shared" si="860"/>
        <v>RAZIMAH ANSAR AHMAD</v>
      </c>
      <c r="Y2085" t="str">
        <f t="shared" si="861"/>
        <v>04-08-2020</v>
      </c>
      <c r="Z2085" t="str">
        <f>"COS10200804 7069"</f>
        <v>COS10200804 7069</v>
      </c>
    </row>
    <row r="2086" spans="1:26" x14ac:dyDescent="0.25">
      <c r="A2086" t="str">
        <f t="shared" si="866"/>
        <v>04-08-2020 01:05:33</v>
      </c>
      <c r="B2086" t="str">
        <f>"0000808866"</f>
        <v>0000808866</v>
      </c>
      <c r="C2086" t="str">
        <f t="shared" si="867"/>
        <v>0000808798</v>
      </c>
      <c r="D2086" t="str">
        <f t="shared" si="849"/>
        <v>73185</v>
      </c>
      <c r="E2086" t="str">
        <f t="shared" si="850"/>
        <v>KFH-OPERATIONS DEPARTMENT</v>
      </c>
      <c r="F2086" t="str">
        <f t="shared" si="851"/>
        <v>IBG</v>
      </c>
      <c r="G2086" t="str">
        <f t="shared" si="862"/>
        <v>Refund COSHARE 10</v>
      </c>
      <c r="H2086" s="2">
        <v>109.8</v>
      </c>
      <c r="I2086" t="str">
        <f>"ROSLI BIN MANSOR"</f>
        <v>ROSLI BIN MANSOR</v>
      </c>
      <c r="J2086" t="str">
        <f t="shared" si="863"/>
        <v>MAYBANK / MAYBANK ISLAMIC</v>
      </c>
      <c r="K2086" t="str">
        <f>"114281105920"</f>
        <v>114281105920</v>
      </c>
      <c r="L2086" t="str">
        <f t="shared" si="864"/>
        <v>04-08-2020</v>
      </c>
      <c r="M2086" t="str">
        <f t="shared" si="864"/>
        <v>04-08-2020</v>
      </c>
      <c r="N2086" t="str">
        <f t="shared" si="852"/>
        <v>001105018356</v>
      </c>
      <c r="O2086" t="str">
        <f t="shared" si="853"/>
        <v>MYR</v>
      </c>
      <c r="P2086" t="str">
        <f t="shared" si="865"/>
        <v>NIL</v>
      </c>
      <c r="Q2086" t="str">
        <f t="shared" si="865"/>
        <v>NIL</v>
      </c>
      <c r="R2086" t="str">
        <f t="shared" si="854"/>
        <v>Accepted</v>
      </c>
      <c r="S2086" t="str">
        <f t="shared" si="855"/>
        <v>Approved</v>
      </c>
      <c r="T2086" t="str">
        <f t="shared" si="856"/>
        <v>10.20.8.188</v>
      </c>
      <c r="U2086" t="str">
        <f t="shared" si="857"/>
        <v>AZRAD UMAR BIN SHAARI</v>
      </c>
      <c r="V2086" t="str">
        <f t="shared" si="858"/>
        <v>FARHANA BINTI MUSTAPA</v>
      </c>
      <c r="W2086" t="str">
        <f t="shared" si="859"/>
        <v>04-08-2020</v>
      </c>
      <c r="X2086" t="str">
        <f t="shared" si="860"/>
        <v>RAZIMAH ANSAR AHMAD</v>
      </c>
      <c r="Y2086" t="str">
        <f t="shared" si="861"/>
        <v>04-08-2020</v>
      </c>
      <c r="Z2086" t="str">
        <f>"COS10200804 7068"</f>
        <v>COS10200804 7068</v>
      </c>
    </row>
    <row r="2087" spans="1:26" x14ac:dyDescent="0.25">
      <c r="A2087" t="str">
        <f t="shared" si="866"/>
        <v>04-08-2020 01:05:33</v>
      </c>
      <c r="B2087" t="str">
        <f>"0000808865"</f>
        <v>0000808865</v>
      </c>
      <c r="C2087" t="str">
        <f t="shared" si="867"/>
        <v>0000808798</v>
      </c>
      <c r="D2087" t="str">
        <f t="shared" si="849"/>
        <v>73185</v>
      </c>
      <c r="E2087" t="str">
        <f t="shared" si="850"/>
        <v>KFH-OPERATIONS DEPARTMENT</v>
      </c>
      <c r="F2087" t="str">
        <f t="shared" si="851"/>
        <v>IBG</v>
      </c>
      <c r="G2087" t="str">
        <f t="shared" si="862"/>
        <v>Refund COSHARE 10</v>
      </c>
      <c r="H2087" s="2">
        <v>654.85</v>
      </c>
      <c r="I2087" t="str">
        <f>"ROSLI BIN MAHAT"</f>
        <v>ROSLI BIN MAHAT</v>
      </c>
      <c r="J2087" t="str">
        <f t="shared" si="863"/>
        <v>MAYBANK / MAYBANK ISLAMIC</v>
      </c>
      <c r="K2087" t="str">
        <f>"154044643634"</f>
        <v>154044643634</v>
      </c>
      <c r="L2087" t="str">
        <f t="shared" ref="L2087:M2106" si="868">"04-08-2020"</f>
        <v>04-08-2020</v>
      </c>
      <c r="M2087" t="str">
        <f t="shared" si="868"/>
        <v>04-08-2020</v>
      </c>
      <c r="N2087" t="str">
        <f t="shared" si="852"/>
        <v>001105018356</v>
      </c>
      <c r="O2087" t="str">
        <f t="shared" si="853"/>
        <v>MYR</v>
      </c>
      <c r="P2087" t="str">
        <f t="shared" ref="P2087:Q2106" si="869">"NIL"</f>
        <v>NIL</v>
      </c>
      <c r="Q2087" t="str">
        <f t="shared" si="869"/>
        <v>NIL</v>
      </c>
      <c r="R2087" t="str">
        <f t="shared" si="854"/>
        <v>Accepted</v>
      </c>
      <c r="S2087" t="str">
        <f t="shared" si="855"/>
        <v>Approved</v>
      </c>
      <c r="T2087" t="str">
        <f t="shared" si="856"/>
        <v>10.20.8.188</v>
      </c>
      <c r="U2087" t="str">
        <f t="shared" si="857"/>
        <v>AZRAD UMAR BIN SHAARI</v>
      </c>
      <c r="V2087" t="str">
        <f t="shared" si="858"/>
        <v>FARHANA BINTI MUSTAPA</v>
      </c>
      <c r="W2087" t="str">
        <f t="shared" si="859"/>
        <v>04-08-2020</v>
      </c>
      <c r="X2087" t="str">
        <f t="shared" si="860"/>
        <v>RAZIMAH ANSAR AHMAD</v>
      </c>
      <c r="Y2087" t="str">
        <f t="shared" si="861"/>
        <v>04-08-2020</v>
      </c>
      <c r="Z2087" t="str">
        <f>"COS10200804 7067"</f>
        <v>COS10200804 7067</v>
      </c>
    </row>
    <row r="2088" spans="1:26" x14ac:dyDescent="0.25">
      <c r="A2088" t="str">
        <f t="shared" si="866"/>
        <v>04-08-2020 01:05:33</v>
      </c>
      <c r="B2088" t="str">
        <f>"0000808864"</f>
        <v>0000808864</v>
      </c>
      <c r="C2088" t="str">
        <f t="shared" si="867"/>
        <v>0000808798</v>
      </c>
      <c r="D2088" t="str">
        <f t="shared" si="849"/>
        <v>73185</v>
      </c>
      <c r="E2088" t="str">
        <f t="shared" si="850"/>
        <v>KFH-OPERATIONS DEPARTMENT</v>
      </c>
      <c r="F2088" t="str">
        <f t="shared" si="851"/>
        <v>IBG</v>
      </c>
      <c r="G2088" t="str">
        <f t="shared" si="862"/>
        <v>Refund COSHARE 10</v>
      </c>
      <c r="H2088" s="2">
        <v>444.9</v>
      </c>
      <c r="I2088" t="str">
        <f>"ROSLI BIN HARUN"</f>
        <v>ROSLI BIN HARUN</v>
      </c>
      <c r="J2088" t="str">
        <f t="shared" si="863"/>
        <v>MAYBANK / MAYBANK ISLAMIC</v>
      </c>
      <c r="K2088" t="str">
        <f>"158202160923"</f>
        <v>158202160923</v>
      </c>
      <c r="L2088" t="str">
        <f t="shared" si="868"/>
        <v>04-08-2020</v>
      </c>
      <c r="M2088" t="str">
        <f t="shared" si="868"/>
        <v>04-08-2020</v>
      </c>
      <c r="N2088" t="str">
        <f t="shared" si="852"/>
        <v>001105018356</v>
      </c>
      <c r="O2088" t="str">
        <f t="shared" si="853"/>
        <v>MYR</v>
      </c>
      <c r="P2088" t="str">
        <f t="shared" si="869"/>
        <v>NIL</v>
      </c>
      <c r="Q2088" t="str">
        <f t="shared" si="869"/>
        <v>NIL</v>
      </c>
      <c r="R2088" t="str">
        <f t="shared" si="854"/>
        <v>Accepted</v>
      </c>
      <c r="S2088" t="str">
        <f t="shared" si="855"/>
        <v>Approved</v>
      </c>
      <c r="T2088" t="str">
        <f t="shared" si="856"/>
        <v>10.20.8.188</v>
      </c>
      <c r="U2088" t="str">
        <f t="shared" si="857"/>
        <v>AZRAD UMAR BIN SHAARI</v>
      </c>
      <c r="V2088" t="str">
        <f t="shared" si="858"/>
        <v>FARHANA BINTI MUSTAPA</v>
      </c>
      <c r="W2088" t="str">
        <f t="shared" si="859"/>
        <v>04-08-2020</v>
      </c>
      <c r="X2088" t="str">
        <f t="shared" si="860"/>
        <v>RAZIMAH ANSAR AHMAD</v>
      </c>
      <c r="Y2088" t="str">
        <f t="shared" si="861"/>
        <v>04-08-2020</v>
      </c>
      <c r="Z2088" t="str">
        <f>"COS10200804 7066"</f>
        <v>COS10200804 7066</v>
      </c>
    </row>
    <row r="2089" spans="1:26" x14ac:dyDescent="0.25">
      <c r="A2089" t="str">
        <f t="shared" si="866"/>
        <v>04-08-2020 01:05:33</v>
      </c>
      <c r="B2089" t="str">
        <f>"0000808863"</f>
        <v>0000808863</v>
      </c>
      <c r="C2089" t="str">
        <f t="shared" si="867"/>
        <v>0000808798</v>
      </c>
      <c r="D2089" t="str">
        <f t="shared" si="849"/>
        <v>73185</v>
      </c>
      <c r="E2089" t="str">
        <f t="shared" si="850"/>
        <v>KFH-OPERATIONS DEPARTMENT</v>
      </c>
      <c r="F2089" t="str">
        <f t="shared" si="851"/>
        <v>IBG</v>
      </c>
      <c r="G2089" t="str">
        <f t="shared" si="862"/>
        <v>Refund COSHARE 10</v>
      </c>
      <c r="H2089" s="2">
        <v>713.6</v>
      </c>
      <c r="I2089" t="str">
        <f>"ROSLI BIN AZUL SHAH"</f>
        <v>ROSLI BIN AZUL SHAH</v>
      </c>
      <c r="J2089" t="str">
        <f t="shared" si="863"/>
        <v>MAYBANK / MAYBANK ISLAMIC</v>
      </c>
      <c r="K2089" t="str">
        <f>"108168273561"</f>
        <v>108168273561</v>
      </c>
      <c r="L2089" t="str">
        <f t="shared" si="868"/>
        <v>04-08-2020</v>
      </c>
      <c r="M2089" t="str">
        <f t="shared" si="868"/>
        <v>04-08-2020</v>
      </c>
      <c r="N2089" t="str">
        <f t="shared" si="852"/>
        <v>001105018356</v>
      </c>
      <c r="O2089" t="str">
        <f t="shared" si="853"/>
        <v>MYR</v>
      </c>
      <c r="P2089" t="str">
        <f t="shared" si="869"/>
        <v>NIL</v>
      </c>
      <c r="Q2089" t="str">
        <f t="shared" si="869"/>
        <v>NIL</v>
      </c>
      <c r="R2089" t="str">
        <f t="shared" si="854"/>
        <v>Accepted</v>
      </c>
      <c r="S2089" t="str">
        <f t="shared" si="855"/>
        <v>Approved</v>
      </c>
      <c r="T2089" t="str">
        <f t="shared" si="856"/>
        <v>10.20.8.188</v>
      </c>
      <c r="U2089" t="str">
        <f t="shared" si="857"/>
        <v>AZRAD UMAR BIN SHAARI</v>
      </c>
      <c r="V2089" t="str">
        <f t="shared" si="858"/>
        <v>FARHANA BINTI MUSTAPA</v>
      </c>
      <c r="W2089" t="str">
        <f t="shared" si="859"/>
        <v>04-08-2020</v>
      </c>
      <c r="X2089" t="str">
        <f t="shared" si="860"/>
        <v>RAZIMAH ANSAR AHMAD</v>
      </c>
      <c r="Y2089" t="str">
        <f t="shared" si="861"/>
        <v>04-08-2020</v>
      </c>
      <c r="Z2089" t="str">
        <f>"COS10200804 7065"</f>
        <v>COS10200804 7065</v>
      </c>
    </row>
    <row r="2090" spans="1:26" x14ac:dyDescent="0.25">
      <c r="A2090" t="str">
        <f t="shared" si="866"/>
        <v>04-08-2020 01:05:33</v>
      </c>
      <c r="B2090" t="str">
        <f>"0000808862"</f>
        <v>0000808862</v>
      </c>
      <c r="C2090" t="str">
        <f t="shared" si="867"/>
        <v>0000808798</v>
      </c>
      <c r="D2090" t="str">
        <f t="shared" si="849"/>
        <v>73185</v>
      </c>
      <c r="E2090" t="str">
        <f t="shared" si="850"/>
        <v>KFH-OPERATIONS DEPARTMENT</v>
      </c>
      <c r="F2090" t="str">
        <f t="shared" si="851"/>
        <v>IBG</v>
      </c>
      <c r="G2090" t="str">
        <f t="shared" si="862"/>
        <v>Refund COSHARE 10</v>
      </c>
      <c r="H2090" s="2">
        <v>1092.1500000000001</v>
      </c>
      <c r="I2090" t="str">
        <f>"ROSLI BIN AMAN"</f>
        <v>ROSLI BIN AMAN</v>
      </c>
      <c r="J2090" t="str">
        <f t="shared" si="863"/>
        <v>MAYBANK / MAYBANK ISLAMIC</v>
      </c>
      <c r="K2090" t="str">
        <f>"106138285282"</f>
        <v>106138285282</v>
      </c>
      <c r="L2090" t="str">
        <f t="shared" si="868"/>
        <v>04-08-2020</v>
      </c>
      <c r="M2090" t="str">
        <f t="shared" si="868"/>
        <v>04-08-2020</v>
      </c>
      <c r="N2090" t="str">
        <f t="shared" si="852"/>
        <v>001105018356</v>
      </c>
      <c r="O2090" t="str">
        <f t="shared" si="853"/>
        <v>MYR</v>
      </c>
      <c r="P2090" t="str">
        <f t="shared" si="869"/>
        <v>NIL</v>
      </c>
      <c r="Q2090" t="str">
        <f t="shared" si="869"/>
        <v>NIL</v>
      </c>
      <c r="R2090" t="str">
        <f t="shared" si="854"/>
        <v>Accepted</v>
      </c>
      <c r="S2090" t="str">
        <f t="shared" si="855"/>
        <v>Approved</v>
      </c>
      <c r="T2090" t="str">
        <f t="shared" si="856"/>
        <v>10.20.8.188</v>
      </c>
      <c r="U2090" t="str">
        <f t="shared" si="857"/>
        <v>AZRAD UMAR BIN SHAARI</v>
      </c>
      <c r="V2090" t="str">
        <f t="shared" si="858"/>
        <v>FARHANA BINTI MUSTAPA</v>
      </c>
      <c r="W2090" t="str">
        <f t="shared" si="859"/>
        <v>04-08-2020</v>
      </c>
      <c r="X2090" t="str">
        <f t="shared" si="860"/>
        <v>RAZIMAH ANSAR AHMAD</v>
      </c>
      <c r="Y2090" t="str">
        <f t="shared" si="861"/>
        <v>04-08-2020</v>
      </c>
      <c r="Z2090" t="str">
        <f>"COS10200804 7064"</f>
        <v>COS10200804 7064</v>
      </c>
    </row>
    <row r="2091" spans="1:26" x14ac:dyDescent="0.25">
      <c r="A2091" t="str">
        <f t="shared" si="866"/>
        <v>04-08-2020 01:05:33</v>
      </c>
      <c r="B2091" t="str">
        <f>"0000808861"</f>
        <v>0000808861</v>
      </c>
      <c r="C2091" t="str">
        <f t="shared" si="867"/>
        <v>0000808798</v>
      </c>
      <c r="D2091" t="str">
        <f t="shared" si="849"/>
        <v>73185</v>
      </c>
      <c r="E2091" t="str">
        <f t="shared" si="850"/>
        <v>KFH-OPERATIONS DEPARTMENT</v>
      </c>
      <c r="F2091" t="str">
        <f t="shared" si="851"/>
        <v>IBG</v>
      </c>
      <c r="G2091" t="str">
        <f t="shared" si="862"/>
        <v>Refund COSHARE 10</v>
      </c>
      <c r="H2091" s="2">
        <v>782</v>
      </c>
      <c r="I2091" t="str">
        <f>"ROSLI BIN AG LAMPOH"</f>
        <v>ROSLI BIN AG LAMPOH</v>
      </c>
      <c r="J2091" t="str">
        <f t="shared" si="863"/>
        <v>MAYBANK / MAYBANK ISLAMIC</v>
      </c>
      <c r="K2091" t="str">
        <f>"160232096873"</f>
        <v>160232096873</v>
      </c>
      <c r="L2091" t="str">
        <f t="shared" si="868"/>
        <v>04-08-2020</v>
      </c>
      <c r="M2091" t="str">
        <f t="shared" si="868"/>
        <v>04-08-2020</v>
      </c>
      <c r="N2091" t="str">
        <f t="shared" si="852"/>
        <v>001105018356</v>
      </c>
      <c r="O2091" t="str">
        <f t="shared" si="853"/>
        <v>MYR</v>
      </c>
      <c r="P2091" t="str">
        <f t="shared" si="869"/>
        <v>NIL</v>
      </c>
      <c r="Q2091" t="str">
        <f t="shared" si="869"/>
        <v>NIL</v>
      </c>
      <c r="R2091" t="str">
        <f t="shared" si="854"/>
        <v>Accepted</v>
      </c>
      <c r="S2091" t="str">
        <f t="shared" si="855"/>
        <v>Approved</v>
      </c>
      <c r="T2091" t="str">
        <f t="shared" si="856"/>
        <v>10.20.8.188</v>
      </c>
      <c r="U2091" t="str">
        <f t="shared" si="857"/>
        <v>AZRAD UMAR BIN SHAARI</v>
      </c>
      <c r="V2091" t="str">
        <f t="shared" si="858"/>
        <v>FARHANA BINTI MUSTAPA</v>
      </c>
      <c r="W2091" t="str">
        <f t="shared" si="859"/>
        <v>04-08-2020</v>
      </c>
      <c r="X2091" t="str">
        <f t="shared" si="860"/>
        <v>RAZIMAH ANSAR AHMAD</v>
      </c>
      <c r="Y2091" t="str">
        <f t="shared" si="861"/>
        <v>04-08-2020</v>
      </c>
      <c r="Z2091" t="str">
        <f>"COS10200804 7063"</f>
        <v>COS10200804 7063</v>
      </c>
    </row>
    <row r="2092" spans="1:26" x14ac:dyDescent="0.25">
      <c r="A2092" t="str">
        <f t="shared" si="866"/>
        <v>04-08-2020 01:05:33</v>
      </c>
      <c r="B2092" t="str">
        <f>"0000808860"</f>
        <v>0000808860</v>
      </c>
      <c r="C2092" t="str">
        <f t="shared" si="867"/>
        <v>0000808798</v>
      </c>
      <c r="D2092" t="str">
        <f t="shared" si="849"/>
        <v>73185</v>
      </c>
      <c r="E2092" t="str">
        <f t="shared" si="850"/>
        <v>KFH-OPERATIONS DEPARTMENT</v>
      </c>
      <c r="F2092" t="str">
        <f t="shared" si="851"/>
        <v>IBG</v>
      </c>
      <c r="G2092" t="str">
        <f t="shared" si="862"/>
        <v>Refund COSHARE 10</v>
      </c>
      <c r="H2092" s="2">
        <v>443</v>
      </c>
      <c r="I2092" t="str">
        <f>"ROSLI BIN A RAHMAN"</f>
        <v>ROSLI BIN A RAHMAN</v>
      </c>
      <c r="J2092" t="str">
        <f t="shared" si="863"/>
        <v>MAYBANK / MAYBANK ISLAMIC</v>
      </c>
      <c r="K2092" t="str">
        <f>"155014013611"</f>
        <v>155014013611</v>
      </c>
      <c r="L2092" t="str">
        <f t="shared" si="868"/>
        <v>04-08-2020</v>
      </c>
      <c r="M2092" t="str">
        <f t="shared" si="868"/>
        <v>04-08-2020</v>
      </c>
      <c r="N2092" t="str">
        <f t="shared" si="852"/>
        <v>001105018356</v>
      </c>
      <c r="O2092" t="str">
        <f t="shared" si="853"/>
        <v>MYR</v>
      </c>
      <c r="P2092" t="str">
        <f t="shared" si="869"/>
        <v>NIL</v>
      </c>
      <c r="Q2092" t="str">
        <f t="shared" si="869"/>
        <v>NIL</v>
      </c>
      <c r="R2092" t="str">
        <f t="shared" si="854"/>
        <v>Accepted</v>
      </c>
      <c r="S2092" t="str">
        <f t="shared" si="855"/>
        <v>Approved</v>
      </c>
      <c r="T2092" t="str">
        <f t="shared" si="856"/>
        <v>10.20.8.188</v>
      </c>
      <c r="U2092" t="str">
        <f t="shared" si="857"/>
        <v>AZRAD UMAR BIN SHAARI</v>
      </c>
      <c r="V2092" t="str">
        <f t="shared" si="858"/>
        <v>FARHANA BINTI MUSTAPA</v>
      </c>
      <c r="W2092" t="str">
        <f t="shared" si="859"/>
        <v>04-08-2020</v>
      </c>
      <c r="X2092" t="str">
        <f t="shared" si="860"/>
        <v>RAZIMAH ANSAR AHMAD</v>
      </c>
      <c r="Y2092" t="str">
        <f t="shared" si="861"/>
        <v>04-08-2020</v>
      </c>
      <c r="Z2092" t="str">
        <f>"COS10200804 7062"</f>
        <v>COS10200804 7062</v>
      </c>
    </row>
    <row r="2093" spans="1:26" x14ac:dyDescent="0.25">
      <c r="A2093" t="str">
        <f t="shared" si="866"/>
        <v>04-08-2020 01:05:33</v>
      </c>
      <c r="B2093" t="str">
        <f>"0000808859"</f>
        <v>0000808859</v>
      </c>
      <c r="C2093" t="str">
        <f t="shared" si="867"/>
        <v>0000808798</v>
      </c>
      <c r="D2093" t="str">
        <f t="shared" si="849"/>
        <v>73185</v>
      </c>
      <c r="E2093" t="str">
        <f t="shared" si="850"/>
        <v>KFH-OPERATIONS DEPARTMENT</v>
      </c>
      <c r="F2093" t="str">
        <f t="shared" si="851"/>
        <v>IBG</v>
      </c>
      <c r="G2093" t="str">
        <f t="shared" si="862"/>
        <v>Refund COSHARE 10</v>
      </c>
      <c r="H2093" s="2">
        <v>75.599999999999994</v>
      </c>
      <c r="I2093" t="str">
        <f>"ROSLEY BIN HASSAN"</f>
        <v>ROSLEY BIN HASSAN</v>
      </c>
      <c r="J2093" t="str">
        <f t="shared" si="863"/>
        <v>MAYBANK / MAYBANK ISLAMIC</v>
      </c>
      <c r="K2093" t="str">
        <f>"110050120369"</f>
        <v>110050120369</v>
      </c>
      <c r="L2093" t="str">
        <f t="shared" si="868"/>
        <v>04-08-2020</v>
      </c>
      <c r="M2093" t="str">
        <f t="shared" si="868"/>
        <v>04-08-2020</v>
      </c>
      <c r="N2093" t="str">
        <f t="shared" si="852"/>
        <v>001105018356</v>
      </c>
      <c r="O2093" t="str">
        <f t="shared" si="853"/>
        <v>MYR</v>
      </c>
      <c r="P2093" t="str">
        <f t="shared" si="869"/>
        <v>NIL</v>
      </c>
      <c r="Q2093" t="str">
        <f t="shared" si="869"/>
        <v>NIL</v>
      </c>
      <c r="R2093" t="str">
        <f t="shared" si="854"/>
        <v>Accepted</v>
      </c>
      <c r="S2093" t="str">
        <f t="shared" si="855"/>
        <v>Approved</v>
      </c>
      <c r="T2093" t="str">
        <f t="shared" si="856"/>
        <v>10.20.8.188</v>
      </c>
      <c r="U2093" t="str">
        <f t="shared" si="857"/>
        <v>AZRAD UMAR BIN SHAARI</v>
      </c>
      <c r="V2093" t="str">
        <f t="shared" si="858"/>
        <v>FARHANA BINTI MUSTAPA</v>
      </c>
      <c r="W2093" t="str">
        <f t="shared" si="859"/>
        <v>04-08-2020</v>
      </c>
      <c r="X2093" t="str">
        <f t="shared" si="860"/>
        <v>RAZIMAH ANSAR AHMAD</v>
      </c>
      <c r="Y2093" t="str">
        <f t="shared" si="861"/>
        <v>04-08-2020</v>
      </c>
      <c r="Z2093" t="str">
        <f>"COS10200804 7061"</f>
        <v>COS10200804 7061</v>
      </c>
    </row>
    <row r="2094" spans="1:26" x14ac:dyDescent="0.25">
      <c r="A2094" t="str">
        <f t="shared" si="866"/>
        <v>04-08-2020 01:05:33</v>
      </c>
      <c r="B2094" t="str">
        <f>"0000808858"</f>
        <v>0000808858</v>
      </c>
      <c r="C2094" t="str">
        <f t="shared" si="867"/>
        <v>0000808798</v>
      </c>
      <c r="D2094" t="str">
        <f t="shared" si="849"/>
        <v>73185</v>
      </c>
      <c r="E2094" t="str">
        <f t="shared" si="850"/>
        <v>KFH-OPERATIONS DEPARTMENT</v>
      </c>
      <c r="F2094" t="str">
        <f t="shared" si="851"/>
        <v>IBG</v>
      </c>
      <c r="G2094" t="str">
        <f t="shared" si="862"/>
        <v>Refund COSHARE 10</v>
      </c>
      <c r="H2094" s="2">
        <v>321.2</v>
      </c>
      <c r="I2094" t="str">
        <f>"ROSLEEN BINTI SALLEH"</f>
        <v>ROSLEEN BINTI SALLEH</v>
      </c>
      <c r="J2094" t="str">
        <f t="shared" si="863"/>
        <v>MAYBANK / MAYBANK ISLAMIC</v>
      </c>
      <c r="K2094" t="str">
        <f>"101067071242"</f>
        <v>101067071242</v>
      </c>
      <c r="L2094" t="str">
        <f t="shared" si="868"/>
        <v>04-08-2020</v>
      </c>
      <c r="M2094" t="str">
        <f t="shared" si="868"/>
        <v>04-08-2020</v>
      </c>
      <c r="N2094" t="str">
        <f t="shared" si="852"/>
        <v>001105018356</v>
      </c>
      <c r="O2094" t="str">
        <f t="shared" si="853"/>
        <v>MYR</v>
      </c>
      <c r="P2094" t="str">
        <f t="shared" si="869"/>
        <v>NIL</v>
      </c>
      <c r="Q2094" t="str">
        <f t="shared" si="869"/>
        <v>NIL</v>
      </c>
      <c r="R2094" t="str">
        <f t="shared" si="854"/>
        <v>Accepted</v>
      </c>
      <c r="S2094" t="str">
        <f t="shared" si="855"/>
        <v>Approved</v>
      </c>
      <c r="T2094" t="str">
        <f t="shared" si="856"/>
        <v>10.20.8.188</v>
      </c>
      <c r="U2094" t="str">
        <f t="shared" si="857"/>
        <v>AZRAD UMAR BIN SHAARI</v>
      </c>
      <c r="V2094" t="str">
        <f t="shared" si="858"/>
        <v>FARHANA BINTI MUSTAPA</v>
      </c>
      <c r="W2094" t="str">
        <f t="shared" si="859"/>
        <v>04-08-2020</v>
      </c>
      <c r="X2094" t="str">
        <f t="shared" si="860"/>
        <v>RAZIMAH ANSAR AHMAD</v>
      </c>
      <c r="Y2094" t="str">
        <f t="shared" si="861"/>
        <v>04-08-2020</v>
      </c>
      <c r="Z2094" t="str">
        <f>"COS10200804 7060"</f>
        <v>COS10200804 7060</v>
      </c>
    </row>
    <row r="2095" spans="1:26" x14ac:dyDescent="0.25">
      <c r="A2095" t="str">
        <f t="shared" si="866"/>
        <v>04-08-2020 01:05:33</v>
      </c>
      <c r="B2095" t="str">
        <f>"0000808857"</f>
        <v>0000808857</v>
      </c>
      <c r="C2095" t="str">
        <f t="shared" si="867"/>
        <v>0000808798</v>
      </c>
      <c r="D2095" t="str">
        <f t="shared" si="849"/>
        <v>73185</v>
      </c>
      <c r="E2095" t="str">
        <f t="shared" si="850"/>
        <v>KFH-OPERATIONS DEPARTMENT</v>
      </c>
      <c r="F2095" t="str">
        <f t="shared" si="851"/>
        <v>IBG</v>
      </c>
      <c r="G2095" t="str">
        <f t="shared" si="862"/>
        <v>Refund COSHARE 10</v>
      </c>
      <c r="H2095" s="2">
        <v>428.25</v>
      </c>
      <c r="I2095" t="str">
        <f>"ROSLEE BIN ABDULMOHD"</f>
        <v>ROSLEE BIN ABDULMOHD</v>
      </c>
      <c r="J2095" t="str">
        <f t="shared" si="863"/>
        <v>MAYBANK / MAYBANK ISLAMIC</v>
      </c>
      <c r="K2095" t="str">
        <f>"101066756371"</f>
        <v>101066756371</v>
      </c>
      <c r="L2095" t="str">
        <f t="shared" si="868"/>
        <v>04-08-2020</v>
      </c>
      <c r="M2095" t="str">
        <f t="shared" si="868"/>
        <v>04-08-2020</v>
      </c>
      <c r="N2095" t="str">
        <f t="shared" si="852"/>
        <v>001105018356</v>
      </c>
      <c r="O2095" t="str">
        <f t="shared" si="853"/>
        <v>MYR</v>
      </c>
      <c r="P2095" t="str">
        <f t="shared" si="869"/>
        <v>NIL</v>
      </c>
      <c r="Q2095" t="str">
        <f t="shared" si="869"/>
        <v>NIL</v>
      </c>
      <c r="R2095" t="str">
        <f t="shared" si="854"/>
        <v>Accepted</v>
      </c>
      <c r="S2095" t="str">
        <f t="shared" si="855"/>
        <v>Approved</v>
      </c>
      <c r="T2095" t="str">
        <f t="shared" si="856"/>
        <v>10.20.8.188</v>
      </c>
      <c r="U2095" t="str">
        <f t="shared" si="857"/>
        <v>AZRAD UMAR BIN SHAARI</v>
      </c>
      <c r="V2095" t="str">
        <f t="shared" si="858"/>
        <v>FARHANA BINTI MUSTAPA</v>
      </c>
      <c r="W2095" t="str">
        <f t="shared" si="859"/>
        <v>04-08-2020</v>
      </c>
      <c r="X2095" t="str">
        <f t="shared" si="860"/>
        <v>RAZIMAH ANSAR AHMAD</v>
      </c>
      <c r="Y2095" t="str">
        <f t="shared" si="861"/>
        <v>04-08-2020</v>
      </c>
      <c r="Z2095" t="str">
        <f>"COS10200804 7059"</f>
        <v>COS10200804 7059</v>
      </c>
    </row>
    <row r="2096" spans="1:26" x14ac:dyDescent="0.25">
      <c r="A2096" t="str">
        <f t="shared" si="866"/>
        <v>04-08-2020 01:05:33</v>
      </c>
      <c r="B2096" t="str">
        <f>"0000808856"</f>
        <v>0000808856</v>
      </c>
      <c r="C2096" t="str">
        <f t="shared" si="867"/>
        <v>0000808798</v>
      </c>
      <c r="D2096" t="str">
        <f t="shared" si="849"/>
        <v>73185</v>
      </c>
      <c r="E2096" t="str">
        <f t="shared" si="850"/>
        <v>KFH-OPERATIONS DEPARTMENT</v>
      </c>
      <c r="F2096" t="str">
        <f t="shared" si="851"/>
        <v>IBG</v>
      </c>
      <c r="G2096" t="str">
        <f t="shared" si="862"/>
        <v>Refund COSHARE 10</v>
      </c>
      <c r="H2096" s="2">
        <v>1487</v>
      </c>
      <c r="I2096" t="str">
        <f>"ROSLAN BIN YUSOF"</f>
        <v>ROSLAN BIN YUSOF</v>
      </c>
      <c r="J2096" t="str">
        <f t="shared" si="863"/>
        <v>MAYBANK / MAYBANK ISLAMIC</v>
      </c>
      <c r="K2096" t="str">
        <f>"162384734821"</f>
        <v>162384734821</v>
      </c>
      <c r="L2096" t="str">
        <f t="shared" si="868"/>
        <v>04-08-2020</v>
      </c>
      <c r="M2096" t="str">
        <f t="shared" si="868"/>
        <v>04-08-2020</v>
      </c>
      <c r="N2096" t="str">
        <f t="shared" si="852"/>
        <v>001105018356</v>
      </c>
      <c r="O2096" t="str">
        <f t="shared" si="853"/>
        <v>MYR</v>
      </c>
      <c r="P2096" t="str">
        <f t="shared" si="869"/>
        <v>NIL</v>
      </c>
      <c r="Q2096" t="str">
        <f t="shared" si="869"/>
        <v>NIL</v>
      </c>
      <c r="R2096" t="str">
        <f t="shared" si="854"/>
        <v>Accepted</v>
      </c>
      <c r="S2096" t="str">
        <f t="shared" si="855"/>
        <v>Approved</v>
      </c>
      <c r="T2096" t="str">
        <f t="shared" si="856"/>
        <v>10.20.8.188</v>
      </c>
      <c r="U2096" t="str">
        <f t="shared" si="857"/>
        <v>AZRAD UMAR BIN SHAARI</v>
      </c>
      <c r="V2096" t="str">
        <f t="shared" si="858"/>
        <v>FARHANA BINTI MUSTAPA</v>
      </c>
      <c r="W2096" t="str">
        <f t="shared" si="859"/>
        <v>04-08-2020</v>
      </c>
      <c r="X2096" t="str">
        <f t="shared" si="860"/>
        <v>RAZIMAH ANSAR AHMAD</v>
      </c>
      <c r="Y2096" t="str">
        <f t="shared" si="861"/>
        <v>04-08-2020</v>
      </c>
      <c r="Z2096" t="str">
        <f>"COS10200804 7058"</f>
        <v>COS10200804 7058</v>
      </c>
    </row>
    <row r="2097" spans="1:26" x14ac:dyDescent="0.25">
      <c r="A2097" t="str">
        <f t="shared" si="866"/>
        <v>04-08-2020 01:05:33</v>
      </c>
      <c r="B2097" t="str">
        <f>"0000808855"</f>
        <v>0000808855</v>
      </c>
      <c r="C2097" t="str">
        <f t="shared" si="867"/>
        <v>0000808798</v>
      </c>
      <c r="D2097" t="str">
        <f t="shared" si="849"/>
        <v>73185</v>
      </c>
      <c r="E2097" t="str">
        <f t="shared" si="850"/>
        <v>KFH-OPERATIONS DEPARTMENT</v>
      </c>
      <c r="F2097" t="str">
        <f t="shared" si="851"/>
        <v>IBG</v>
      </c>
      <c r="G2097" t="str">
        <f t="shared" si="862"/>
        <v>Refund COSHARE 10</v>
      </c>
      <c r="H2097" s="2">
        <v>889.9</v>
      </c>
      <c r="I2097" t="str">
        <f>"ROSLAN BIN SHARIFF"</f>
        <v>ROSLAN BIN SHARIFF</v>
      </c>
      <c r="J2097" t="str">
        <f t="shared" si="863"/>
        <v>MAYBANK / MAYBANK ISLAMIC</v>
      </c>
      <c r="K2097" t="str">
        <f>"155023298116"</f>
        <v>155023298116</v>
      </c>
      <c r="L2097" t="str">
        <f t="shared" si="868"/>
        <v>04-08-2020</v>
      </c>
      <c r="M2097" t="str">
        <f t="shared" si="868"/>
        <v>04-08-2020</v>
      </c>
      <c r="N2097" t="str">
        <f t="shared" si="852"/>
        <v>001105018356</v>
      </c>
      <c r="O2097" t="str">
        <f t="shared" si="853"/>
        <v>MYR</v>
      </c>
      <c r="P2097" t="str">
        <f t="shared" si="869"/>
        <v>NIL</v>
      </c>
      <c r="Q2097" t="str">
        <f t="shared" si="869"/>
        <v>NIL</v>
      </c>
      <c r="R2097" t="str">
        <f t="shared" si="854"/>
        <v>Accepted</v>
      </c>
      <c r="S2097" t="str">
        <f t="shared" si="855"/>
        <v>Approved</v>
      </c>
      <c r="T2097" t="str">
        <f t="shared" si="856"/>
        <v>10.20.8.188</v>
      </c>
      <c r="U2097" t="str">
        <f t="shared" si="857"/>
        <v>AZRAD UMAR BIN SHAARI</v>
      </c>
      <c r="V2097" t="str">
        <f t="shared" si="858"/>
        <v>FARHANA BINTI MUSTAPA</v>
      </c>
      <c r="W2097" t="str">
        <f t="shared" si="859"/>
        <v>04-08-2020</v>
      </c>
      <c r="X2097" t="str">
        <f t="shared" si="860"/>
        <v>RAZIMAH ANSAR AHMAD</v>
      </c>
      <c r="Y2097" t="str">
        <f t="shared" si="861"/>
        <v>04-08-2020</v>
      </c>
      <c r="Z2097" t="str">
        <f>"COS10200804 7057"</f>
        <v>COS10200804 7057</v>
      </c>
    </row>
    <row r="2098" spans="1:26" x14ac:dyDescent="0.25">
      <c r="A2098" t="str">
        <f t="shared" si="866"/>
        <v>04-08-2020 01:05:33</v>
      </c>
      <c r="B2098" t="str">
        <f>"0000808854"</f>
        <v>0000808854</v>
      </c>
      <c r="C2098" t="str">
        <f t="shared" si="867"/>
        <v>0000808798</v>
      </c>
      <c r="D2098" t="str">
        <f t="shared" si="849"/>
        <v>73185</v>
      </c>
      <c r="E2098" t="str">
        <f t="shared" si="850"/>
        <v>KFH-OPERATIONS DEPARTMENT</v>
      </c>
      <c r="F2098" t="str">
        <f t="shared" si="851"/>
        <v>IBG</v>
      </c>
      <c r="G2098" t="str">
        <f t="shared" si="862"/>
        <v>Refund COSHARE 10</v>
      </c>
      <c r="H2098" s="2">
        <v>1380</v>
      </c>
      <c r="I2098" t="str">
        <f>"ROSLAN BIN SHAFIEE"</f>
        <v>ROSLAN BIN SHAFIEE</v>
      </c>
      <c r="J2098" t="str">
        <f t="shared" si="863"/>
        <v>MAYBANK / MAYBANK ISLAMIC</v>
      </c>
      <c r="K2098" t="str">
        <f>"111113019816"</f>
        <v>111113019816</v>
      </c>
      <c r="L2098" t="str">
        <f t="shared" si="868"/>
        <v>04-08-2020</v>
      </c>
      <c r="M2098" t="str">
        <f t="shared" si="868"/>
        <v>04-08-2020</v>
      </c>
      <c r="N2098" t="str">
        <f t="shared" si="852"/>
        <v>001105018356</v>
      </c>
      <c r="O2098" t="str">
        <f t="shared" si="853"/>
        <v>MYR</v>
      </c>
      <c r="P2098" t="str">
        <f t="shared" si="869"/>
        <v>NIL</v>
      </c>
      <c r="Q2098" t="str">
        <f t="shared" si="869"/>
        <v>NIL</v>
      </c>
      <c r="R2098" t="str">
        <f t="shared" si="854"/>
        <v>Accepted</v>
      </c>
      <c r="S2098" t="str">
        <f t="shared" si="855"/>
        <v>Approved</v>
      </c>
      <c r="T2098" t="str">
        <f t="shared" si="856"/>
        <v>10.20.8.188</v>
      </c>
      <c r="U2098" t="str">
        <f t="shared" si="857"/>
        <v>AZRAD UMAR BIN SHAARI</v>
      </c>
      <c r="V2098" t="str">
        <f t="shared" si="858"/>
        <v>FARHANA BINTI MUSTAPA</v>
      </c>
      <c r="W2098" t="str">
        <f t="shared" si="859"/>
        <v>04-08-2020</v>
      </c>
      <c r="X2098" t="str">
        <f t="shared" si="860"/>
        <v>RAZIMAH ANSAR AHMAD</v>
      </c>
      <c r="Y2098" t="str">
        <f t="shared" si="861"/>
        <v>04-08-2020</v>
      </c>
      <c r="Z2098" t="str">
        <f>"COS10200804 7056"</f>
        <v>COS10200804 7056</v>
      </c>
    </row>
    <row r="2099" spans="1:26" x14ac:dyDescent="0.25">
      <c r="A2099" t="str">
        <f t="shared" si="866"/>
        <v>04-08-2020 01:05:33</v>
      </c>
      <c r="B2099" t="str">
        <f>"0000808853"</f>
        <v>0000808853</v>
      </c>
      <c r="C2099" t="str">
        <f t="shared" si="867"/>
        <v>0000808798</v>
      </c>
      <c r="D2099" t="str">
        <f t="shared" si="849"/>
        <v>73185</v>
      </c>
      <c r="E2099" t="str">
        <f t="shared" si="850"/>
        <v>KFH-OPERATIONS DEPARTMENT</v>
      </c>
      <c r="F2099" t="str">
        <f t="shared" si="851"/>
        <v>IBG</v>
      </c>
      <c r="G2099" t="str">
        <f t="shared" si="862"/>
        <v>Refund COSHARE 10</v>
      </c>
      <c r="H2099" s="2">
        <v>457.35</v>
      </c>
      <c r="I2099" t="str">
        <f>"ROSLAN BIN SARIP"</f>
        <v>ROSLAN BIN SARIP</v>
      </c>
      <c r="J2099" t="str">
        <f t="shared" si="863"/>
        <v>MAYBANK / MAYBANK ISLAMIC</v>
      </c>
      <c r="K2099" t="str">
        <f>"108074252402"</f>
        <v>108074252402</v>
      </c>
      <c r="L2099" t="str">
        <f t="shared" si="868"/>
        <v>04-08-2020</v>
      </c>
      <c r="M2099" t="str">
        <f t="shared" si="868"/>
        <v>04-08-2020</v>
      </c>
      <c r="N2099" t="str">
        <f t="shared" si="852"/>
        <v>001105018356</v>
      </c>
      <c r="O2099" t="str">
        <f t="shared" si="853"/>
        <v>MYR</v>
      </c>
      <c r="P2099" t="str">
        <f t="shared" si="869"/>
        <v>NIL</v>
      </c>
      <c r="Q2099" t="str">
        <f t="shared" si="869"/>
        <v>NIL</v>
      </c>
      <c r="R2099" t="str">
        <f t="shared" si="854"/>
        <v>Accepted</v>
      </c>
      <c r="S2099" t="str">
        <f t="shared" si="855"/>
        <v>Approved</v>
      </c>
      <c r="T2099" t="str">
        <f t="shared" si="856"/>
        <v>10.20.8.188</v>
      </c>
      <c r="U2099" t="str">
        <f t="shared" si="857"/>
        <v>AZRAD UMAR BIN SHAARI</v>
      </c>
      <c r="V2099" t="str">
        <f t="shared" si="858"/>
        <v>FARHANA BINTI MUSTAPA</v>
      </c>
      <c r="W2099" t="str">
        <f t="shared" si="859"/>
        <v>04-08-2020</v>
      </c>
      <c r="X2099" t="str">
        <f t="shared" si="860"/>
        <v>RAZIMAH ANSAR AHMAD</v>
      </c>
      <c r="Y2099" t="str">
        <f t="shared" si="861"/>
        <v>04-08-2020</v>
      </c>
      <c r="Z2099" t="str">
        <f>"COS10200804 7055"</f>
        <v>COS10200804 7055</v>
      </c>
    </row>
    <row r="2100" spans="1:26" x14ac:dyDescent="0.25">
      <c r="A2100" t="str">
        <f t="shared" si="866"/>
        <v>04-08-2020 01:05:33</v>
      </c>
      <c r="B2100" t="str">
        <f>"0000808852"</f>
        <v>0000808852</v>
      </c>
      <c r="C2100" t="str">
        <f t="shared" si="867"/>
        <v>0000808798</v>
      </c>
      <c r="D2100" t="str">
        <f t="shared" si="849"/>
        <v>73185</v>
      </c>
      <c r="E2100" t="str">
        <f t="shared" si="850"/>
        <v>KFH-OPERATIONS DEPARTMENT</v>
      </c>
      <c r="F2100" t="str">
        <f t="shared" si="851"/>
        <v>IBG</v>
      </c>
      <c r="G2100" t="str">
        <f t="shared" si="862"/>
        <v>Refund COSHARE 10</v>
      </c>
      <c r="H2100" s="2">
        <v>58.8</v>
      </c>
      <c r="I2100" t="str">
        <f>"ROSLAN BIN OBOI"</f>
        <v>ROSLAN BIN OBOI</v>
      </c>
      <c r="J2100" t="str">
        <f t="shared" si="863"/>
        <v>MAYBANK / MAYBANK ISLAMIC</v>
      </c>
      <c r="K2100" t="str">
        <f>"111234042665"</f>
        <v>111234042665</v>
      </c>
      <c r="L2100" t="str">
        <f t="shared" si="868"/>
        <v>04-08-2020</v>
      </c>
      <c r="M2100" t="str">
        <f t="shared" si="868"/>
        <v>04-08-2020</v>
      </c>
      <c r="N2100" t="str">
        <f t="shared" si="852"/>
        <v>001105018356</v>
      </c>
      <c r="O2100" t="str">
        <f t="shared" si="853"/>
        <v>MYR</v>
      </c>
      <c r="P2100" t="str">
        <f t="shared" si="869"/>
        <v>NIL</v>
      </c>
      <c r="Q2100" t="str">
        <f t="shared" si="869"/>
        <v>NIL</v>
      </c>
      <c r="R2100" t="str">
        <f t="shared" si="854"/>
        <v>Accepted</v>
      </c>
      <c r="S2100" t="str">
        <f t="shared" si="855"/>
        <v>Approved</v>
      </c>
      <c r="T2100" t="str">
        <f t="shared" si="856"/>
        <v>10.20.8.188</v>
      </c>
      <c r="U2100" t="str">
        <f t="shared" si="857"/>
        <v>AZRAD UMAR BIN SHAARI</v>
      </c>
      <c r="V2100" t="str">
        <f t="shared" si="858"/>
        <v>FARHANA BINTI MUSTAPA</v>
      </c>
      <c r="W2100" t="str">
        <f t="shared" si="859"/>
        <v>04-08-2020</v>
      </c>
      <c r="X2100" t="str">
        <f t="shared" si="860"/>
        <v>RAZIMAH ANSAR AHMAD</v>
      </c>
      <c r="Y2100" t="str">
        <f t="shared" si="861"/>
        <v>04-08-2020</v>
      </c>
      <c r="Z2100" t="str">
        <f>"COS10200804 7054"</f>
        <v>COS10200804 7054</v>
      </c>
    </row>
    <row r="2101" spans="1:26" x14ac:dyDescent="0.25">
      <c r="A2101" t="str">
        <f t="shared" si="866"/>
        <v>04-08-2020 01:05:33</v>
      </c>
      <c r="B2101" t="str">
        <f>"0000808851"</f>
        <v>0000808851</v>
      </c>
      <c r="C2101" t="str">
        <f t="shared" si="867"/>
        <v>0000808798</v>
      </c>
      <c r="D2101" t="str">
        <f t="shared" si="849"/>
        <v>73185</v>
      </c>
      <c r="E2101" t="str">
        <f t="shared" si="850"/>
        <v>KFH-OPERATIONS DEPARTMENT</v>
      </c>
      <c r="F2101" t="str">
        <f t="shared" si="851"/>
        <v>IBG</v>
      </c>
      <c r="G2101" t="str">
        <f t="shared" si="862"/>
        <v>Refund COSHARE 10</v>
      </c>
      <c r="H2101" s="2">
        <v>1787.2</v>
      </c>
      <c r="I2101" t="str">
        <f>"ROSLAN BIN MOHD SUKI"</f>
        <v>ROSLAN BIN MOHD SUKI</v>
      </c>
      <c r="J2101" t="str">
        <f t="shared" si="863"/>
        <v>MAYBANK / MAYBANK ISLAMIC</v>
      </c>
      <c r="K2101" t="str">
        <f>"158293904271"</f>
        <v>158293904271</v>
      </c>
      <c r="L2101" t="str">
        <f t="shared" si="868"/>
        <v>04-08-2020</v>
      </c>
      <c r="M2101" t="str">
        <f t="shared" si="868"/>
        <v>04-08-2020</v>
      </c>
      <c r="N2101" t="str">
        <f t="shared" si="852"/>
        <v>001105018356</v>
      </c>
      <c r="O2101" t="str">
        <f t="shared" si="853"/>
        <v>MYR</v>
      </c>
      <c r="P2101" t="str">
        <f t="shared" si="869"/>
        <v>NIL</v>
      </c>
      <c r="Q2101" t="str">
        <f t="shared" si="869"/>
        <v>NIL</v>
      </c>
      <c r="R2101" t="str">
        <f t="shared" si="854"/>
        <v>Accepted</v>
      </c>
      <c r="S2101" t="str">
        <f t="shared" si="855"/>
        <v>Approved</v>
      </c>
      <c r="T2101" t="str">
        <f t="shared" si="856"/>
        <v>10.20.8.188</v>
      </c>
      <c r="U2101" t="str">
        <f t="shared" si="857"/>
        <v>AZRAD UMAR BIN SHAARI</v>
      </c>
      <c r="V2101" t="str">
        <f t="shared" si="858"/>
        <v>FARHANA BINTI MUSTAPA</v>
      </c>
      <c r="W2101" t="str">
        <f t="shared" si="859"/>
        <v>04-08-2020</v>
      </c>
      <c r="X2101" t="str">
        <f t="shared" si="860"/>
        <v>RAZIMAH ANSAR AHMAD</v>
      </c>
      <c r="Y2101" t="str">
        <f t="shared" si="861"/>
        <v>04-08-2020</v>
      </c>
      <c r="Z2101" t="str">
        <f>"COS10200804 7053"</f>
        <v>COS10200804 7053</v>
      </c>
    </row>
    <row r="2102" spans="1:26" x14ac:dyDescent="0.25">
      <c r="A2102" t="str">
        <f t="shared" si="866"/>
        <v>04-08-2020 01:05:33</v>
      </c>
      <c r="B2102" t="str">
        <f>"0000808850"</f>
        <v>0000808850</v>
      </c>
      <c r="C2102" t="str">
        <f t="shared" si="867"/>
        <v>0000808798</v>
      </c>
      <c r="D2102" t="str">
        <f t="shared" si="849"/>
        <v>73185</v>
      </c>
      <c r="E2102" t="str">
        <f t="shared" si="850"/>
        <v>KFH-OPERATIONS DEPARTMENT</v>
      </c>
      <c r="F2102" t="str">
        <f t="shared" si="851"/>
        <v>IBG</v>
      </c>
      <c r="G2102" t="str">
        <f t="shared" si="862"/>
        <v>Refund COSHARE 10</v>
      </c>
      <c r="H2102" s="2">
        <v>160.6</v>
      </c>
      <c r="I2102" t="str">
        <f>"ROSLAN BIN MOHD SAID"</f>
        <v>ROSLAN BIN MOHD SAID</v>
      </c>
      <c r="J2102" t="str">
        <f t="shared" si="863"/>
        <v>MAYBANK / MAYBANK ISLAMIC</v>
      </c>
      <c r="K2102" t="str">
        <f>"112156165641"</f>
        <v>112156165641</v>
      </c>
      <c r="L2102" t="str">
        <f t="shared" si="868"/>
        <v>04-08-2020</v>
      </c>
      <c r="M2102" t="str">
        <f t="shared" si="868"/>
        <v>04-08-2020</v>
      </c>
      <c r="N2102" t="str">
        <f t="shared" si="852"/>
        <v>001105018356</v>
      </c>
      <c r="O2102" t="str">
        <f t="shared" si="853"/>
        <v>MYR</v>
      </c>
      <c r="P2102" t="str">
        <f t="shared" si="869"/>
        <v>NIL</v>
      </c>
      <c r="Q2102" t="str">
        <f t="shared" si="869"/>
        <v>NIL</v>
      </c>
      <c r="R2102" t="str">
        <f t="shared" si="854"/>
        <v>Accepted</v>
      </c>
      <c r="S2102" t="str">
        <f t="shared" si="855"/>
        <v>Approved</v>
      </c>
      <c r="T2102" t="str">
        <f t="shared" si="856"/>
        <v>10.20.8.188</v>
      </c>
      <c r="U2102" t="str">
        <f t="shared" si="857"/>
        <v>AZRAD UMAR BIN SHAARI</v>
      </c>
      <c r="V2102" t="str">
        <f t="shared" si="858"/>
        <v>FARHANA BINTI MUSTAPA</v>
      </c>
      <c r="W2102" t="str">
        <f t="shared" si="859"/>
        <v>04-08-2020</v>
      </c>
      <c r="X2102" t="str">
        <f t="shared" si="860"/>
        <v>RAZIMAH ANSAR AHMAD</v>
      </c>
      <c r="Y2102" t="str">
        <f t="shared" si="861"/>
        <v>04-08-2020</v>
      </c>
      <c r="Z2102" t="str">
        <f>"COS10200804 7052"</f>
        <v>COS10200804 7052</v>
      </c>
    </row>
    <row r="2103" spans="1:26" x14ac:dyDescent="0.25">
      <c r="A2103" t="str">
        <f t="shared" si="866"/>
        <v>04-08-2020 01:05:33</v>
      </c>
      <c r="B2103" t="str">
        <f>"0000808849"</f>
        <v>0000808849</v>
      </c>
      <c r="C2103" t="str">
        <f t="shared" si="867"/>
        <v>0000808798</v>
      </c>
      <c r="D2103" t="str">
        <f t="shared" si="849"/>
        <v>73185</v>
      </c>
      <c r="E2103" t="str">
        <f t="shared" si="850"/>
        <v>KFH-OPERATIONS DEPARTMENT</v>
      </c>
      <c r="F2103" t="str">
        <f t="shared" si="851"/>
        <v>IBG</v>
      </c>
      <c r="G2103" t="str">
        <f t="shared" si="862"/>
        <v>Refund COSHARE 10</v>
      </c>
      <c r="H2103" s="2">
        <v>756</v>
      </c>
      <c r="I2103" t="str">
        <f>"ROSLAN BIN MAT SAPRI"</f>
        <v>ROSLAN BIN MAT SAPRI</v>
      </c>
      <c r="J2103" t="str">
        <f t="shared" si="863"/>
        <v>MAYBANK / MAYBANK ISLAMIC</v>
      </c>
      <c r="K2103" t="str">
        <f>"112174242790"</f>
        <v>112174242790</v>
      </c>
      <c r="L2103" t="str">
        <f t="shared" si="868"/>
        <v>04-08-2020</v>
      </c>
      <c r="M2103" t="str">
        <f t="shared" si="868"/>
        <v>04-08-2020</v>
      </c>
      <c r="N2103" t="str">
        <f t="shared" si="852"/>
        <v>001105018356</v>
      </c>
      <c r="O2103" t="str">
        <f t="shared" si="853"/>
        <v>MYR</v>
      </c>
      <c r="P2103" t="str">
        <f t="shared" si="869"/>
        <v>NIL</v>
      </c>
      <c r="Q2103" t="str">
        <f t="shared" si="869"/>
        <v>NIL</v>
      </c>
      <c r="R2103" t="str">
        <f t="shared" si="854"/>
        <v>Accepted</v>
      </c>
      <c r="S2103" t="str">
        <f t="shared" si="855"/>
        <v>Approved</v>
      </c>
      <c r="T2103" t="str">
        <f t="shared" si="856"/>
        <v>10.20.8.188</v>
      </c>
      <c r="U2103" t="str">
        <f t="shared" si="857"/>
        <v>AZRAD UMAR BIN SHAARI</v>
      </c>
      <c r="V2103" t="str">
        <f t="shared" si="858"/>
        <v>FARHANA BINTI MUSTAPA</v>
      </c>
      <c r="W2103" t="str">
        <f t="shared" si="859"/>
        <v>04-08-2020</v>
      </c>
      <c r="X2103" t="str">
        <f t="shared" si="860"/>
        <v>RAZIMAH ANSAR AHMAD</v>
      </c>
      <c r="Y2103" t="str">
        <f t="shared" si="861"/>
        <v>04-08-2020</v>
      </c>
      <c r="Z2103" t="str">
        <f>"COS10200804 7051"</f>
        <v>COS10200804 7051</v>
      </c>
    </row>
    <row r="2104" spans="1:26" x14ac:dyDescent="0.25">
      <c r="A2104" t="str">
        <f t="shared" si="866"/>
        <v>04-08-2020 01:05:33</v>
      </c>
      <c r="B2104" t="str">
        <f>"0000808848"</f>
        <v>0000808848</v>
      </c>
      <c r="C2104" t="str">
        <f t="shared" si="867"/>
        <v>0000808798</v>
      </c>
      <c r="D2104" t="str">
        <f t="shared" si="849"/>
        <v>73185</v>
      </c>
      <c r="E2104" t="str">
        <f t="shared" si="850"/>
        <v>KFH-OPERATIONS DEPARTMENT</v>
      </c>
      <c r="F2104" t="str">
        <f t="shared" si="851"/>
        <v>IBG</v>
      </c>
      <c r="G2104" t="str">
        <f t="shared" si="862"/>
        <v>Refund COSHARE 10</v>
      </c>
      <c r="H2104" s="2">
        <v>1055</v>
      </c>
      <c r="I2104" t="str">
        <f>"ROSLAN BIN ARIFFIN"</f>
        <v>ROSLAN BIN ARIFFIN</v>
      </c>
      <c r="J2104" t="str">
        <f t="shared" si="863"/>
        <v>MAYBANK / MAYBANK ISLAMIC</v>
      </c>
      <c r="K2104" t="str">
        <f>"164016941743"</f>
        <v>164016941743</v>
      </c>
      <c r="L2104" t="str">
        <f t="shared" si="868"/>
        <v>04-08-2020</v>
      </c>
      <c r="M2104" t="str">
        <f t="shared" si="868"/>
        <v>04-08-2020</v>
      </c>
      <c r="N2104" t="str">
        <f t="shared" si="852"/>
        <v>001105018356</v>
      </c>
      <c r="O2104" t="str">
        <f t="shared" si="853"/>
        <v>MYR</v>
      </c>
      <c r="P2104" t="str">
        <f t="shared" si="869"/>
        <v>NIL</v>
      </c>
      <c r="Q2104" t="str">
        <f t="shared" si="869"/>
        <v>NIL</v>
      </c>
      <c r="R2104" t="str">
        <f t="shared" si="854"/>
        <v>Accepted</v>
      </c>
      <c r="S2104" t="str">
        <f t="shared" si="855"/>
        <v>Approved</v>
      </c>
      <c r="T2104" t="str">
        <f t="shared" si="856"/>
        <v>10.20.8.188</v>
      </c>
      <c r="U2104" t="str">
        <f t="shared" si="857"/>
        <v>AZRAD UMAR BIN SHAARI</v>
      </c>
      <c r="V2104" t="str">
        <f t="shared" si="858"/>
        <v>FARHANA BINTI MUSTAPA</v>
      </c>
      <c r="W2104" t="str">
        <f t="shared" si="859"/>
        <v>04-08-2020</v>
      </c>
      <c r="X2104" t="str">
        <f t="shared" si="860"/>
        <v>RAZIMAH ANSAR AHMAD</v>
      </c>
      <c r="Y2104" t="str">
        <f t="shared" si="861"/>
        <v>04-08-2020</v>
      </c>
      <c r="Z2104" t="str">
        <f>"COS10200804 7050"</f>
        <v>COS10200804 7050</v>
      </c>
    </row>
    <row r="2105" spans="1:26" x14ac:dyDescent="0.25">
      <c r="A2105" t="str">
        <f t="shared" si="866"/>
        <v>04-08-2020 01:05:33</v>
      </c>
      <c r="B2105" t="str">
        <f>"0000808847"</f>
        <v>0000808847</v>
      </c>
      <c r="C2105" t="str">
        <f t="shared" si="867"/>
        <v>0000808798</v>
      </c>
      <c r="D2105" t="str">
        <f t="shared" si="849"/>
        <v>73185</v>
      </c>
      <c r="E2105" t="str">
        <f t="shared" si="850"/>
        <v>KFH-OPERATIONS DEPARTMENT</v>
      </c>
      <c r="F2105" t="str">
        <f t="shared" si="851"/>
        <v>IBG</v>
      </c>
      <c r="G2105" t="str">
        <f t="shared" si="862"/>
        <v>Refund COSHARE 10</v>
      </c>
      <c r="H2105" s="2">
        <v>562.5</v>
      </c>
      <c r="I2105" t="str">
        <f>"ROSLAN BIN AMRI"</f>
        <v>ROSLAN BIN AMRI</v>
      </c>
      <c r="J2105" t="str">
        <f t="shared" si="863"/>
        <v>MAYBANK / MAYBANK ISLAMIC</v>
      </c>
      <c r="K2105" t="str">
        <f>"164285525090"</f>
        <v>164285525090</v>
      </c>
      <c r="L2105" t="str">
        <f t="shared" si="868"/>
        <v>04-08-2020</v>
      </c>
      <c r="M2105" t="str">
        <f t="shared" si="868"/>
        <v>04-08-2020</v>
      </c>
      <c r="N2105" t="str">
        <f t="shared" si="852"/>
        <v>001105018356</v>
      </c>
      <c r="O2105" t="str">
        <f t="shared" si="853"/>
        <v>MYR</v>
      </c>
      <c r="P2105" t="str">
        <f t="shared" si="869"/>
        <v>NIL</v>
      </c>
      <c r="Q2105" t="str">
        <f t="shared" si="869"/>
        <v>NIL</v>
      </c>
      <c r="R2105" t="str">
        <f t="shared" si="854"/>
        <v>Accepted</v>
      </c>
      <c r="S2105" t="str">
        <f t="shared" si="855"/>
        <v>Approved</v>
      </c>
      <c r="T2105" t="str">
        <f t="shared" si="856"/>
        <v>10.20.8.188</v>
      </c>
      <c r="U2105" t="str">
        <f t="shared" si="857"/>
        <v>AZRAD UMAR BIN SHAARI</v>
      </c>
      <c r="V2105" t="str">
        <f t="shared" si="858"/>
        <v>FARHANA BINTI MUSTAPA</v>
      </c>
      <c r="W2105" t="str">
        <f t="shared" si="859"/>
        <v>04-08-2020</v>
      </c>
      <c r="X2105" t="str">
        <f t="shared" si="860"/>
        <v>RAZIMAH ANSAR AHMAD</v>
      </c>
      <c r="Y2105" t="str">
        <f t="shared" si="861"/>
        <v>04-08-2020</v>
      </c>
      <c r="Z2105" t="str">
        <f>"COS10200804 7049"</f>
        <v>COS10200804 7049</v>
      </c>
    </row>
    <row r="2106" spans="1:26" x14ac:dyDescent="0.25">
      <c r="A2106" t="str">
        <f t="shared" si="866"/>
        <v>04-08-2020 01:05:33</v>
      </c>
      <c r="B2106" t="str">
        <f>"0000808846"</f>
        <v>0000808846</v>
      </c>
      <c r="C2106" t="str">
        <f t="shared" si="867"/>
        <v>0000808798</v>
      </c>
      <c r="D2106" t="str">
        <f t="shared" si="849"/>
        <v>73185</v>
      </c>
      <c r="E2106" t="str">
        <f t="shared" si="850"/>
        <v>KFH-OPERATIONS DEPARTMENT</v>
      </c>
      <c r="F2106" t="str">
        <f t="shared" si="851"/>
        <v>IBG</v>
      </c>
      <c r="G2106" t="str">
        <f t="shared" si="862"/>
        <v>Refund COSHARE 10</v>
      </c>
      <c r="H2106" s="2">
        <v>546</v>
      </c>
      <c r="I2106" t="str">
        <f>"ROSIMAH BINTI MAT NOOR"</f>
        <v>ROSIMAH BINTI MAT NOOR</v>
      </c>
      <c r="J2106" t="str">
        <f t="shared" si="863"/>
        <v>MAYBANK / MAYBANK ISLAMIC</v>
      </c>
      <c r="K2106" t="str">
        <f>"157223002843"</f>
        <v>157223002843</v>
      </c>
      <c r="L2106" t="str">
        <f t="shared" si="868"/>
        <v>04-08-2020</v>
      </c>
      <c r="M2106" t="str">
        <f t="shared" si="868"/>
        <v>04-08-2020</v>
      </c>
      <c r="N2106" t="str">
        <f t="shared" si="852"/>
        <v>001105018356</v>
      </c>
      <c r="O2106" t="str">
        <f t="shared" si="853"/>
        <v>MYR</v>
      </c>
      <c r="P2106" t="str">
        <f t="shared" si="869"/>
        <v>NIL</v>
      </c>
      <c r="Q2106" t="str">
        <f t="shared" si="869"/>
        <v>NIL</v>
      </c>
      <c r="R2106" t="str">
        <f t="shared" si="854"/>
        <v>Accepted</v>
      </c>
      <c r="S2106" t="str">
        <f t="shared" si="855"/>
        <v>Approved</v>
      </c>
      <c r="T2106" t="str">
        <f t="shared" si="856"/>
        <v>10.20.8.188</v>
      </c>
      <c r="U2106" t="str">
        <f t="shared" si="857"/>
        <v>AZRAD UMAR BIN SHAARI</v>
      </c>
      <c r="V2106" t="str">
        <f t="shared" si="858"/>
        <v>FARHANA BINTI MUSTAPA</v>
      </c>
      <c r="W2106" t="str">
        <f t="shared" si="859"/>
        <v>04-08-2020</v>
      </c>
      <c r="X2106" t="str">
        <f t="shared" si="860"/>
        <v>RAZIMAH ANSAR AHMAD</v>
      </c>
      <c r="Y2106" t="str">
        <f t="shared" si="861"/>
        <v>04-08-2020</v>
      </c>
      <c r="Z2106" t="str">
        <f>"COS10200804 7048"</f>
        <v>COS10200804 7048</v>
      </c>
    </row>
    <row r="2107" spans="1:26" x14ac:dyDescent="0.25">
      <c r="A2107" t="str">
        <f t="shared" si="866"/>
        <v>04-08-2020 01:05:33</v>
      </c>
      <c r="B2107" t="str">
        <f>"0000808845"</f>
        <v>0000808845</v>
      </c>
      <c r="C2107" t="str">
        <f t="shared" si="867"/>
        <v>0000808798</v>
      </c>
      <c r="D2107" t="str">
        <f t="shared" si="849"/>
        <v>73185</v>
      </c>
      <c r="E2107" t="str">
        <f t="shared" si="850"/>
        <v>KFH-OPERATIONS DEPARTMENT</v>
      </c>
      <c r="F2107" t="str">
        <f t="shared" si="851"/>
        <v>IBG</v>
      </c>
      <c r="G2107" t="str">
        <f t="shared" si="862"/>
        <v>Refund COSHARE 10</v>
      </c>
      <c r="H2107" s="2">
        <v>95.35</v>
      </c>
      <c r="I2107" t="str">
        <f>"ROSILA BINTI MOHAMED"</f>
        <v>ROSILA BINTI MOHAMED</v>
      </c>
      <c r="J2107" t="str">
        <f t="shared" si="863"/>
        <v>MAYBANK / MAYBANK ISLAMIC</v>
      </c>
      <c r="K2107" t="str">
        <f>"104076079918"</f>
        <v>104076079918</v>
      </c>
      <c r="L2107" t="str">
        <f t="shared" ref="L2107:M2126" si="870">"04-08-2020"</f>
        <v>04-08-2020</v>
      </c>
      <c r="M2107" t="str">
        <f t="shared" si="870"/>
        <v>04-08-2020</v>
      </c>
      <c r="N2107" t="str">
        <f t="shared" si="852"/>
        <v>001105018356</v>
      </c>
      <c r="O2107" t="str">
        <f t="shared" si="853"/>
        <v>MYR</v>
      </c>
      <c r="P2107" t="str">
        <f t="shared" ref="P2107:Q2126" si="871">"NIL"</f>
        <v>NIL</v>
      </c>
      <c r="Q2107" t="str">
        <f t="shared" si="871"/>
        <v>NIL</v>
      </c>
      <c r="R2107" t="str">
        <f t="shared" si="854"/>
        <v>Accepted</v>
      </c>
      <c r="S2107" t="str">
        <f t="shared" si="855"/>
        <v>Approved</v>
      </c>
      <c r="T2107" t="str">
        <f t="shared" si="856"/>
        <v>10.20.8.188</v>
      </c>
      <c r="U2107" t="str">
        <f t="shared" si="857"/>
        <v>AZRAD UMAR BIN SHAARI</v>
      </c>
      <c r="V2107" t="str">
        <f t="shared" si="858"/>
        <v>FARHANA BINTI MUSTAPA</v>
      </c>
      <c r="W2107" t="str">
        <f t="shared" si="859"/>
        <v>04-08-2020</v>
      </c>
      <c r="X2107" t="str">
        <f t="shared" si="860"/>
        <v>RAZIMAH ANSAR AHMAD</v>
      </c>
      <c r="Y2107" t="str">
        <f t="shared" si="861"/>
        <v>04-08-2020</v>
      </c>
      <c r="Z2107" t="str">
        <f>"COS10200804 7047"</f>
        <v>COS10200804 7047</v>
      </c>
    </row>
    <row r="2108" spans="1:26" x14ac:dyDescent="0.25">
      <c r="A2108" t="str">
        <f t="shared" si="866"/>
        <v>04-08-2020 01:05:33</v>
      </c>
      <c r="B2108" t="str">
        <f>"0000808844"</f>
        <v>0000808844</v>
      </c>
      <c r="C2108" t="str">
        <f t="shared" si="867"/>
        <v>0000808798</v>
      </c>
      <c r="D2108" t="str">
        <f t="shared" si="849"/>
        <v>73185</v>
      </c>
      <c r="E2108" t="str">
        <f t="shared" si="850"/>
        <v>KFH-OPERATIONS DEPARTMENT</v>
      </c>
      <c r="F2108" t="str">
        <f t="shared" si="851"/>
        <v>IBG</v>
      </c>
      <c r="G2108" t="str">
        <f t="shared" si="862"/>
        <v>Refund COSHARE 10</v>
      </c>
      <c r="H2108" s="2">
        <v>293.45</v>
      </c>
      <c r="I2108" t="str">
        <f>"ROSIAH BINTI OTHMAN"</f>
        <v>ROSIAH BINTI OTHMAN</v>
      </c>
      <c r="J2108" t="str">
        <f t="shared" si="863"/>
        <v>MAYBANK / MAYBANK ISLAMIC</v>
      </c>
      <c r="K2108" t="str">
        <f>"108159262950"</f>
        <v>108159262950</v>
      </c>
      <c r="L2108" t="str">
        <f t="shared" si="870"/>
        <v>04-08-2020</v>
      </c>
      <c r="M2108" t="str">
        <f t="shared" si="870"/>
        <v>04-08-2020</v>
      </c>
      <c r="N2108" t="str">
        <f t="shared" si="852"/>
        <v>001105018356</v>
      </c>
      <c r="O2108" t="str">
        <f t="shared" si="853"/>
        <v>MYR</v>
      </c>
      <c r="P2108" t="str">
        <f t="shared" si="871"/>
        <v>NIL</v>
      </c>
      <c r="Q2108" t="str">
        <f t="shared" si="871"/>
        <v>NIL</v>
      </c>
      <c r="R2108" t="str">
        <f t="shared" si="854"/>
        <v>Accepted</v>
      </c>
      <c r="S2108" t="str">
        <f t="shared" si="855"/>
        <v>Approved</v>
      </c>
      <c r="T2108" t="str">
        <f t="shared" si="856"/>
        <v>10.20.8.188</v>
      </c>
      <c r="U2108" t="str">
        <f t="shared" si="857"/>
        <v>AZRAD UMAR BIN SHAARI</v>
      </c>
      <c r="V2108" t="str">
        <f t="shared" si="858"/>
        <v>FARHANA BINTI MUSTAPA</v>
      </c>
      <c r="W2108" t="str">
        <f t="shared" si="859"/>
        <v>04-08-2020</v>
      </c>
      <c r="X2108" t="str">
        <f t="shared" si="860"/>
        <v>RAZIMAH ANSAR AHMAD</v>
      </c>
      <c r="Y2108" t="str">
        <f t="shared" si="861"/>
        <v>04-08-2020</v>
      </c>
      <c r="Z2108" t="str">
        <f>"COS10200804 7046"</f>
        <v>COS10200804 7046</v>
      </c>
    </row>
    <row r="2109" spans="1:26" x14ac:dyDescent="0.25">
      <c r="A2109" t="str">
        <f t="shared" si="866"/>
        <v>04-08-2020 01:05:33</v>
      </c>
      <c r="B2109" t="str">
        <f>"0000808843"</f>
        <v>0000808843</v>
      </c>
      <c r="C2109" t="str">
        <f t="shared" si="867"/>
        <v>0000808798</v>
      </c>
      <c r="D2109" t="str">
        <f t="shared" si="849"/>
        <v>73185</v>
      </c>
      <c r="E2109" t="str">
        <f t="shared" si="850"/>
        <v>KFH-OPERATIONS DEPARTMENT</v>
      </c>
      <c r="F2109" t="str">
        <f t="shared" si="851"/>
        <v>IBG</v>
      </c>
      <c r="G2109" t="str">
        <f t="shared" si="862"/>
        <v>Refund COSHARE 10</v>
      </c>
      <c r="H2109" s="2">
        <v>196.5</v>
      </c>
      <c r="I2109" t="str">
        <f>"ROSIAH BINTI MURAD"</f>
        <v>ROSIAH BINTI MURAD</v>
      </c>
      <c r="J2109" t="str">
        <f t="shared" si="863"/>
        <v>MAYBANK / MAYBANK ISLAMIC</v>
      </c>
      <c r="K2109" t="str">
        <f>"102054220918"</f>
        <v>102054220918</v>
      </c>
      <c r="L2109" t="str">
        <f t="shared" si="870"/>
        <v>04-08-2020</v>
      </c>
      <c r="M2109" t="str">
        <f t="shared" si="870"/>
        <v>04-08-2020</v>
      </c>
      <c r="N2109" t="str">
        <f t="shared" si="852"/>
        <v>001105018356</v>
      </c>
      <c r="O2109" t="str">
        <f t="shared" si="853"/>
        <v>MYR</v>
      </c>
      <c r="P2109" t="str">
        <f t="shared" si="871"/>
        <v>NIL</v>
      </c>
      <c r="Q2109" t="str">
        <f t="shared" si="871"/>
        <v>NIL</v>
      </c>
      <c r="R2109" t="str">
        <f t="shared" si="854"/>
        <v>Accepted</v>
      </c>
      <c r="S2109" t="str">
        <f t="shared" si="855"/>
        <v>Approved</v>
      </c>
      <c r="T2109" t="str">
        <f t="shared" si="856"/>
        <v>10.20.8.188</v>
      </c>
      <c r="U2109" t="str">
        <f t="shared" si="857"/>
        <v>AZRAD UMAR BIN SHAARI</v>
      </c>
      <c r="V2109" t="str">
        <f t="shared" si="858"/>
        <v>FARHANA BINTI MUSTAPA</v>
      </c>
      <c r="W2109" t="str">
        <f t="shared" si="859"/>
        <v>04-08-2020</v>
      </c>
      <c r="X2109" t="str">
        <f t="shared" si="860"/>
        <v>RAZIMAH ANSAR AHMAD</v>
      </c>
      <c r="Y2109" t="str">
        <f t="shared" si="861"/>
        <v>04-08-2020</v>
      </c>
      <c r="Z2109" t="str">
        <f>"COS10200804 7045"</f>
        <v>COS10200804 7045</v>
      </c>
    </row>
    <row r="2110" spans="1:26" x14ac:dyDescent="0.25">
      <c r="A2110" t="str">
        <f t="shared" si="866"/>
        <v>04-08-2020 01:05:33</v>
      </c>
      <c r="B2110" t="str">
        <f>"0000808842"</f>
        <v>0000808842</v>
      </c>
      <c r="C2110" t="str">
        <f t="shared" si="867"/>
        <v>0000808798</v>
      </c>
      <c r="D2110" t="str">
        <f t="shared" si="849"/>
        <v>73185</v>
      </c>
      <c r="E2110" t="str">
        <f t="shared" si="850"/>
        <v>KFH-OPERATIONS DEPARTMENT</v>
      </c>
      <c r="F2110" t="str">
        <f t="shared" si="851"/>
        <v>IBG</v>
      </c>
      <c r="G2110" t="str">
        <f t="shared" si="862"/>
        <v>Refund COSHARE 10</v>
      </c>
      <c r="H2110" s="2">
        <v>911</v>
      </c>
      <c r="I2110" t="str">
        <f>"ROSHIRDAYU BINTI RODZI"</f>
        <v>ROSHIRDAYU BINTI RODZI</v>
      </c>
      <c r="J2110" t="str">
        <f t="shared" si="863"/>
        <v>MAYBANK / MAYBANK ISLAMIC</v>
      </c>
      <c r="K2110" t="str">
        <f>"159012762642"</f>
        <v>159012762642</v>
      </c>
      <c r="L2110" t="str">
        <f t="shared" si="870"/>
        <v>04-08-2020</v>
      </c>
      <c r="M2110" t="str">
        <f t="shared" si="870"/>
        <v>04-08-2020</v>
      </c>
      <c r="N2110" t="str">
        <f t="shared" si="852"/>
        <v>001105018356</v>
      </c>
      <c r="O2110" t="str">
        <f t="shared" si="853"/>
        <v>MYR</v>
      </c>
      <c r="P2110" t="str">
        <f t="shared" si="871"/>
        <v>NIL</v>
      </c>
      <c r="Q2110" t="str">
        <f t="shared" si="871"/>
        <v>NIL</v>
      </c>
      <c r="R2110" t="str">
        <f t="shared" si="854"/>
        <v>Accepted</v>
      </c>
      <c r="S2110" t="str">
        <f t="shared" si="855"/>
        <v>Approved</v>
      </c>
      <c r="T2110" t="str">
        <f t="shared" si="856"/>
        <v>10.20.8.188</v>
      </c>
      <c r="U2110" t="str">
        <f t="shared" si="857"/>
        <v>AZRAD UMAR BIN SHAARI</v>
      </c>
      <c r="V2110" t="str">
        <f t="shared" si="858"/>
        <v>FARHANA BINTI MUSTAPA</v>
      </c>
      <c r="W2110" t="str">
        <f t="shared" si="859"/>
        <v>04-08-2020</v>
      </c>
      <c r="X2110" t="str">
        <f t="shared" si="860"/>
        <v>RAZIMAH ANSAR AHMAD</v>
      </c>
      <c r="Y2110" t="str">
        <f t="shared" si="861"/>
        <v>04-08-2020</v>
      </c>
      <c r="Z2110" t="str">
        <f>"COS10200804 7044"</f>
        <v>COS10200804 7044</v>
      </c>
    </row>
    <row r="2111" spans="1:26" x14ac:dyDescent="0.25">
      <c r="A2111" t="str">
        <f t="shared" si="866"/>
        <v>04-08-2020 01:05:33</v>
      </c>
      <c r="B2111" t="str">
        <f>"0000808841"</f>
        <v>0000808841</v>
      </c>
      <c r="C2111" t="str">
        <f t="shared" si="867"/>
        <v>0000808798</v>
      </c>
      <c r="D2111" t="str">
        <f t="shared" si="849"/>
        <v>73185</v>
      </c>
      <c r="E2111" t="str">
        <f t="shared" si="850"/>
        <v>KFH-OPERATIONS DEPARTMENT</v>
      </c>
      <c r="F2111" t="str">
        <f t="shared" si="851"/>
        <v>IBG</v>
      </c>
      <c r="G2111" t="str">
        <f t="shared" si="862"/>
        <v>Refund COSHARE 10</v>
      </c>
      <c r="H2111" s="2">
        <v>714.9</v>
      </c>
      <c r="I2111" t="str">
        <f>"ROSHDI BIN ARIFFIN"</f>
        <v>ROSHDI BIN ARIFFIN</v>
      </c>
      <c r="J2111" t="str">
        <f t="shared" si="863"/>
        <v>MAYBANK / MAYBANK ISLAMIC</v>
      </c>
      <c r="K2111" t="str">
        <f>"108010607360"</f>
        <v>108010607360</v>
      </c>
      <c r="L2111" t="str">
        <f t="shared" si="870"/>
        <v>04-08-2020</v>
      </c>
      <c r="M2111" t="str">
        <f t="shared" si="870"/>
        <v>04-08-2020</v>
      </c>
      <c r="N2111" t="str">
        <f t="shared" si="852"/>
        <v>001105018356</v>
      </c>
      <c r="O2111" t="str">
        <f t="shared" si="853"/>
        <v>MYR</v>
      </c>
      <c r="P2111" t="str">
        <f t="shared" si="871"/>
        <v>NIL</v>
      </c>
      <c r="Q2111" t="str">
        <f t="shared" si="871"/>
        <v>NIL</v>
      </c>
      <c r="R2111" t="str">
        <f t="shared" si="854"/>
        <v>Accepted</v>
      </c>
      <c r="S2111" t="str">
        <f t="shared" si="855"/>
        <v>Approved</v>
      </c>
      <c r="T2111" t="str">
        <f t="shared" si="856"/>
        <v>10.20.8.188</v>
      </c>
      <c r="U2111" t="str">
        <f t="shared" si="857"/>
        <v>AZRAD UMAR BIN SHAARI</v>
      </c>
      <c r="V2111" t="str">
        <f t="shared" si="858"/>
        <v>FARHANA BINTI MUSTAPA</v>
      </c>
      <c r="W2111" t="str">
        <f t="shared" si="859"/>
        <v>04-08-2020</v>
      </c>
      <c r="X2111" t="str">
        <f t="shared" si="860"/>
        <v>RAZIMAH ANSAR AHMAD</v>
      </c>
      <c r="Y2111" t="str">
        <f t="shared" si="861"/>
        <v>04-08-2020</v>
      </c>
      <c r="Z2111" t="str">
        <f>"COS10200804 7043"</f>
        <v>COS10200804 7043</v>
      </c>
    </row>
    <row r="2112" spans="1:26" x14ac:dyDescent="0.25">
      <c r="A2112" t="str">
        <f t="shared" si="866"/>
        <v>04-08-2020 01:05:33</v>
      </c>
      <c r="B2112" t="str">
        <f>"0000808840"</f>
        <v>0000808840</v>
      </c>
      <c r="C2112" t="str">
        <f t="shared" si="867"/>
        <v>0000808798</v>
      </c>
      <c r="D2112" t="str">
        <f t="shared" si="849"/>
        <v>73185</v>
      </c>
      <c r="E2112" t="str">
        <f t="shared" si="850"/>
        <v>KFH-OPERATIONS DEPARTMENT</v>
      </c>
      <c r="F2112" t="str">
        <f t="shared" si="851"/>
        <v>IBG</v>
      </c>
      <c r="G2112" t="str">
        <f t="shared" si="862"/>
        <v>Refund COSHARE 10</v>
      </c>
      <c r="H2112" s="2">
        <v>125.95</v>
      </c>
      <c r="I2112" t="str">
        <f>"ROSHANIZAI BINTI ZULKIFLI"</f>
        <v>ROSHANIZAI BINTI ZULKIFLI</v>
      </c>
      <c r="J2112" t="str">
        <f t="shared" si="863"/>
        <v>MAYBANK / MAYBANK ISLAMIC</v>
      </c>
      <c r="K2112" t="str">
        <f>"153104160654"</f>
        <v>153104160654</v>
      </c>
      <c r="L2112" t="str">
        <f t="shared" si="870"/>
        <v>04-08-2020</v>
      </c>
      <c r="M2112" t="str">
        <f t="shared" si="870"/>
        <v>04-08-2020</v>
      </c>
      <c r="N2112" t="str">
        <f t="shared" si="852"/>
        <v>001105018356</v>
      </c>
      <c r="O2112" t="str">
        <f t="shared" si="853"/>
        <v>MYR</v>
      </c>
      <c r="P2112" t="str">
        <f t="shared" si="871"/>
        <v>NIL</v>
      </c>
      <c r="Q2112" t="str">
        <f t="shared" si="871"/>
        <v>NIL</v>
      </c>
      <c r="R2112" t="str">
        <f t="shared" si="854"/>
        <v>Accepted</v>
      </c>
      <c r="S2112" t="str">
        <f t="shared" si="855"/>
        <v>Approved</v>
      </c>
      <c r="T2112" t="str">
        <f t="shared" si="856"/>
        <v>10.20.8.188</v>
      </c>
      <c r="U2112" t="str">
        <f t="shared" si="857"/>
        <v>AZRAD UMAR BIN SHAARI</v>
      </c>
      <c r="V2112" t="str">
        <f t="shared" si="858"/>
        <v>FARHANA BINTI MUSTAPA</v>
      </c>
      <c r="W2112" t="str">
        <f t="shared" si="859"/>
        <v>04-08-2020</v>
      </c>
      <c r="X2112" t="str">
        <f t="shared" si="860"/>
        <v>RAZIMAH ANSAR AHMAD</v>
      </c>
      <c r="Y2112" t="str">
        <f t="shared" si="861"/>
        <v>04-08-2020</v>
      </c>
      <c r="Z2112" t="str">
        <f>"COS10200804 7042"</f>
        <v>COS10200804 7042</v>
      </c>
    </row>
    <row r="2113" spans="1:26" x14ac:dyDescent="0.25">
      <c r="A2113" t="str">
        <f t="shared" si="866"/>
        <v>04-08-2020 01:05:33</v>
      </c>
      <c r="B2113" t="str">
        <f>"0000808839"</f>
        <v>0000808839</v>
      </c>
      <c r="C2113" t="str">
        <f t="shared" si="867"/>
        <v>0000808798</v>
      </c>
      <c r="D2113" t="str">
        <f t="shared" si="849"/>
        <v>73185</v>
      </c>
      <c r="E2113" t="str">
        <f t="shared" si="850"/>
        <v>KFH-OPERATIONS DEPARTMENT</v>
      </c>
      <c r="F2113" t="str">
        <f t="shared" si="851"/>
        <v>IBG</v>
      </c>
      <c r="G2113" t="str">
        <f t="shared" si="862"/>
        <v>Refund COSHARE 10</v>
      </c>
      <c r="H2113" s="2">
        <v>402.75</v>
      </c>
      <c r="I2113" t="str">
        <f>"ROSETINA BT RICHARD  DORIS BT RICHARD"</f>
        <v>ROSETINA BT RICHARD  DORIS BT RICHARD</v>
      </c>
      <c r="J2113" t="str">
        <f t="shared" si="863"/>
        <v>MAYBANK / MAYBANK ISLAMIC</v>
      </c>
      <c r="K2113" t="str">
        <f>"110022466729"</f>
        <v>110022466729</v>
      </c>
      <c r="L2113" t="str">
        <f t="shared" si="870"/>
        <v>04-08-2020</v>
      </c>
      <c r="M2113" t="str">
        <f t="shared" si="870"/>
        <v>04-08-2020</v>
      </c>
      <c r="N2113" t="str">
        <f t="shared" si="852"/>
        <v>001105018356</v>
      </c>
      <c r="O2113" t="str">
        <f t="shared" si="853"/>
        <v>MYR</v>
      </c>
      <c r="P2113" t="str">
        <f t="shared" si="871"/>
        <v>NIL</v>
      </c>
      <c r="Q2113" t="str">
        <f t="shared" si="871"/>
        <v>NIL</v>
      </c>
      <c r="R2113" t="str">
        <f t="shared" si="854"/>
        <v>Accepted</v>
      </c>
      <c r="S2113" t="str">
        <f t="shared" si="855"/>
        <v>Approved</v>
      </c>
      <c r="T2113" t="str">
        <f t="shared" si="856"/>
        <v>10.20.8.188</v>
      </c>
      <c r="U2113" t="str">
        <f t="shared" si="857"/>
        <v>AZRAD UMAR BIN SHAARI</v>
      </c>
      <c r="V2113" t="str">
        <f t="shared" si="858"/>
        <v>FARHANA BINTI MUSTAPA</v>
      </c>
      <c r="W2113" t="str">
        <f t="shared" si="859"/>
        <v>04-08-2020</v>
      </c>
      <c r="X2113" t="str">
        <f t="shared" si="860"/>
        <v>RAZIMAH ANSAR AHMAD</v>
      </c>
      <c r="Y2113" t="str">
        <f t="shared" si="861"/>
        <v>04-08-2020</v>
      </c>
      <c r="Z2113" t="str">
        <f>"COS10200804 7041"</f>
        <v>COS10200804 7041</v>
      </c>
    </row>
    <row r="2114" spans="1:26" x14ac:dyDescent="0.25">
      <c r="A2114" t="str">
        <f t="shared" ref="A2114:A2145" si="872">"04-08-2020 01:05:33"</f>
        <v>04-08-2020 01:05:33</v>
      </c>
      <c r="B2114" t="str">
        <f>"0000808838"</f>
        <v>0000808838</v>
      </c>
      <c r="C2114" t="str">
        <f t="shared" ref="C2114:C2145" si="873">"0000808798"</f>
        <v>0000808798</v>
      </c>
      <c r="D2114" t="str">
        <f t="shared" si="849"/>
        <v>73185</v>
      </c>
      <c r="E2114" t="str">
        <f t="shared" si="850"/>
        <v>KFH-OPERATIONS DEPARTMENT</v>
      </c>
      <c r="F2114" t="str">
        <f t="shared" si="851"/>
        <v>IBG</v>
      </c>
      <c r="G2114" t="str">
        <f t="shared" si="862"/>
        <v>Refund COSHARE 10</v>
      </c>
      <c r="H2114" s="2">
        <v>1645.45</v>
      </c>
      <c r="I2114" t="str">
        <f>"ROSEMAWATI BINTI ISMAIL"</f>
        <v>ROSEMAWATI BINTI ISMAIL</v>
      </c>
      <c r="J2114" t="str">
        <f t="shared" si="863"/>
        <v>MAYBANK / MAYBANK ISLAMIC</v>
      </c>
      <c r="K2114" t="str">
        <f>"111114258736"</f>
        <v>111114258736</v>
      </c>
      <c r="L2114" t="str">
        <f t="shared" si="870"/>
        <v>04-08-2020</v>
      </c>
      <c r="M2114" t="str">
        <f t="shared" si="870"/>
        <v>04-08-2020</v>
      </c>
      <c r="N2114" t="str">
        <f t="shared" si="852"/>
        <v>001105018356</v>
      </c>
      <c r="O2114" t="str">
        <f t="shared" si="853"/>
        <v>MYR</v>
      </c>
      <c r="P2114" t="str">
        <f t="shared" si="871"/>
        <v>NIL</v>
      </c>
      <c r="Q2114" t="str">
        <f t="shared" si="871"/>
        <v>NIL</v>
      </c>
      <c r="R2114" t="str">
        <f t="shared" si="854"/>
        <v>Accepted</v>
      </c>
      <c r="S2114" t="str">
        <f t="shared" si="855"/>
        <v>Approved</v>
      </c>
      <c r="T2114" t="str">
        <f t="shared" si="856"/>
        <v>10.20.8.188</v>
      </c>
      <c r="U2114" t="str">
        <f t="shared" si="857"/>
        <v>AZRAD UMAR BIN SHAARI</v>
      </c>
      <c r="V2114" t="str">
        <f t="shared" si="858"/>
        <v>FARHANA BINTI MUSTAPA</v>
      </c>
      <c r="W2114" t="str">
        <f t="shared" si="859"/>
        <v>04-08-2020</v>
      </c>
      <c r="X2114" t="str">
        <f t="shared" si="860"/>
        <v>RAZIMAH ANSAR AHMAD</v>
      </c>
      <c r="Y2114" t="str">
        <f t="shared" si="861"/>
        <v>04-08-2020</v>
      </c>
      <c r="Z2114" t="str">
        <f>"COS10200804 7040"</f>
        <v>COS10200804 7040</v>
      </c>
    </row>
    <row r="2115" spans="1:26" x14ac:dyDescent="0.25">
      <c r="A2115" t="str">
        <f t="shared" si="872"/>
        <v>04-08-2020 01:05:33</v>
      </c>
      <c r="B2115" t="str">
        <f>"0000808837"</f>
        <v>0000808837</v>
      </c>
      <c r="C2115" t="str">
        <f t="shared" si="873"/>
        <v>0000808798</v>
      </c>
      <c r="D2115" t="str">
        <f t="shared" si="849"/>
        <v>73185</v>
      </c>
      <c r="E2115" t="str">
        <f t="shared" si="850"/>
        <v>KFH-OPERATIONS DEPARTMENT</v>
      </c>
      <c r="F2115" t="str">
        <f t="shared" si="851"/>
        <v>IBG</v>
      </c>
      <c r="G2115" t="str">
        <f t="shared" si="862"/>
        <v>Refund COSHARE 10</v>
      </c>
      <c r="H2115" s="2">
        <v>214.15</v>
      </c>
      <c r="I2115" t="str">
        <f>"ROSELIND ANAK LENGGANG"</f>
        <v>ROSELIND ANAK LENGGANG</v>
      </c>
      <c r="J2115" t="str">
        <f t="shared" si="863"/>
        <v>MAYBANK / MAYBANK ISLAMIC</v>
      </c>
      <c r="K2115" t="str">
        <f>"161097026285"</f>
        <v>161097026285</v>
      </c>
      <c r="L2115" t="str">
        <f t="shared" si="870"/>
        <v>04-08-2020</v>
      </c>
      <c r="M2115" t="str">
        <f t="shared" si="870"/>
        <v>04-08-2020</v>
      </c>
      <c r="N2115" t="str">
        <f t="shared" si="852"/>
        <v>001105018356</v>
      </c>
      <c r="O2115" t="str">
        <f t="shared" si="853"/>
        <v>MYR</v>
      </c>
      <c r="P2115" t="str">
        <f t="shared" si="871"/>
        <v>NIL</v>
      </c>
      <c r="Q2115" t="str">
        <f t="shared" si="871"/>
        <v>NIL</v>
      </c>
      <c r="R2115" t="str">
        <f t="shared" si="854"/>
        <v>Accepted</v>
      </c>
      <c r="S2115" t="str">
        <f t="shared" si="855"/>
        <v>Approved</v>
      </c>
      <c r="T2115" t="str">
        <f t="shared" si="856"/>
        <v>10.20.8.188</v>
      </c>
      <c r="U2115" t="str">
        <f t="shared" si="857"/>
        <v>AZRAD UMAR BIN SHAARI</v>
      </c>
      <c r="V2115" t="str">
        <f t="shared" si="858"/>
        <v>FARHANA BINTI MUSTAPA</v>
      </c>
      <c r="W2115" t="str">
        <f t="shared" si="859"/>
        <v>04-08-2020</v>
      </c>
      <c r="X2115" t="str">
        <f t="shared" si="860"/>
        <v>RAZIMAH ANSAR AHMAD</v>
      </c>
      <c r="Y2115" t="str">
        <f t="shared" si="861"/>
        <v>04-08-2020</v>
      </c>
      <c r="Z2115" t="str">
        <f>"COS10200804 7039"</f>
        <v>COS10200804 7039</v>
      </c>
    </row>
    <row r="2116" spans="1:26" x14ac:dyDescent="0.25">
      <c r="A2116" t="str">
        <f t="shared" si="872"/>
        <v>04-08-2020 01:05:33</v>
      </c>
      <c r="B2116" t="str">
        <f>"0000808836"</f>
        <v>0000808836</v>
      </c>
      <c r="C2116" t="str">
        <f t="shared" si="873"/>
        <v>0000808798</v>
      </c>
      <c r="D2116" t="str">
        <f t="shared" si="849"/>
        <v>73185</v>
      </c>
      <c r="E2116" t="str">
        <f t="shared" si="850"/>
        <v>KFH-OPERATIONS DEPARTMENT</v>
      </c>
      <c r="F2116" t="str">
        <f t="shared" si="851"/>
        <v>IBG</v>
      </c>
      <c r="G2116" t="str">
        <f t="shared" si="862"/>
        <v>Refund COSHARE 10</v>
      </c>
      <c r="H2116" s="2">
        <v>119</v>
      </c>
      <c r="I2116" t="str">
        <f>"ROSELINA BINTI DARUS"</f>
        <v>ROSELINA BINTI DARUS</v>
      </c>
      <c r="J2116" t="str">
        <f t="shared" si="863"/>
        <v>MAYBANK / MAYBANK ISLAMIC</v>
      </c>
      <c r="K2116" t="str">
        <f>"159012662573"</f>
        <v>159012662573</v>
      </c>
      <c r="L2116" t="str">
        <f t="shared" si="870"/>
        <v>04-08-2020</v>
      </c>
      <c r="M2116" t="str">
        <f t="shared" si="870"/>
        <v>04-08-2020</v>
      </c>
      <c r="N2116" t="str">
        <f t="shared" si="852"/>
        <v>001105018356</v>
      </c>
      <c r="O2116" t="str">
        <f t="shared" si="853"/>
        <v>MYR</v>
      </c>
      <c r="P2116" t="str">
        <f t="shared" si="871"/>
        <v>NIL</v>
      </c>
      <c r="Q2116" t="str">
        <f t="shared" si="871"/>
        <v>NIL</v>
      </c>
      <c r="R2116" t="str">
        <f t="shared" si="854"/>
        <v>Accepted</v>
      </c>
      <c r="S2116" t="str">
        <f t="shared" si="855"/>
        <v>Approved</v>
      </c>
      <c r="T2116" t="str">
        <f t="shared" si="856"/>
        <v>10.20.8.188</v>
      </c>
      <c r="U2116" t="str">
        <f t="shared" si="857"/>
        <v>AZRAD UMAR BIN SHAARI</v>
      </c>
      <c r="V2116" t="str">
        <f t="shared" si="858"/>
        <v>FARHANA BINTI MUSTAPA</v>
      </c>
      <c r="W2116" t="str">
        <f t="shared" si="859"/>
        <v>04-08-2020</v>
      </c>
      <c r="X2116" t="str">
        <f t="shared" si="860"/>
        <v>RAZIMAH ANSAR AHMAD</v>
      </c>
      <c r="Y2116" t="str">
        <f t="shared" si="861"/>
        <v>04-08-2020</v>
      </c>
      <c r="Z2116" t="str">
        <f>"COS10200804 7038"</f>
        <v>COS10200804 7038</v>
      </c>
    </row>
    <row r="2117" spans="1:26" x14ac:dyDescent="0.25">
      <c r="A2117" t="str">
        <f t="shared" si="872"/>
        <v>04-08-2020 01:05:33</v>
      </c>
      <c r="B2117" t="str">
        <f>"0000808835"</f>
        <v>0000808835</v>
      </c>
      <c r="C2117" t="str">
        <f t="shared" si="873"/>
        <v>0000808798</v>
      </c>
      <c r="D2117" t="str">
        <f t="shared" si="849"/>
        <v>73185</v>
      </c>
      <c r="E2117" t="str">
        <f t="shared" si="850"/>
        <v>KFH-OPERATIONS DEPARTMENT</v>
      </c>
      <c r="F2117" t="str">
        <f t="shared" si="851"/>
        <v>IBG</v>
      </c>
      <c r="G2117" t="str">
        <f t="shared" si="862"/>
        <v>Refund COSHARE 10</v>
      </c>
      <c r="H2117" s="2">
        <v>189.3</v>
      </c>
      <c r="I2117" t="str">
        <f>"ROSEHAYATI LONG PANG IDRIS"</f>
        <v>ROSEHAYATI LONG PANG IDRIS</v>
      </c>
      <c r="J2117" t="str">
        <f t="shared" si="863"/>
        <v>MAYBANK / MAYBANK ISLAMIC</v>
      </c>
      <c r="K2117" t="str">
        <f>"110031361804"</f>
        <v>110031361804</v>
      </c>
      <c r="L2117" t="str">
        <f t="shared" si="870"/>
        <v>04-08-2020</v>
      </c>
      <c r="M2117" t="str">
        <f t="shared" si="870"/>
        <v>04-08-2020</v>
      </c>
      <c r="N2117" t="str">
        <f t="shared" si="852"/>
        <v>001105018356</v>
      </c>
      <c r="O2117" t="str">
        <f t="shared" si="853"/>
        <v>MYR</v>
      </c>
      <c r="P2117" t="str">
        <f t="shared" si="871"/>
        <v>NIL</v>
      </c>
      <c r="Q2117" t="str">
        <f t="shared" si="871"/>
        <v>NIL</v>
      </c>
      <c r="R2117" t="str">
        <f t="shared" si="854"/>
        <v>Accepted</v>
      </c>
      <c r="S2117" t="str">
        <f t="shared" si="855"/>
        <v>Approved</v>
      </c>
      <c r="T2117" t="str">
        <f t="shared" si="856"/>
        <v>10.20.8.188</v>
      </c>
      <c r="U2117" t="str">
        <f t="shared" si="857"/>
        <v>AZRAD UMAR BIN SHAARI</v>
      </c>
      <c r="V2117" t="str">
        <f t="shared" si="858"/>
        <v>FARHANA BINTI MUSTAPA</v>
      </c>
      <c r="W2117" t="str">
        <f t="shared" si="859"/>
        <v>04-08-2020</v>
      </c>
      <c r="X2117" t="str">
        <f t="shared" si="860"/>
        <v>RAZIMAH ANSAR AHMAD</v>
      </c>
      <c r="Y2117" t="str">
        <f t="shared" si="861"/>
        <v>04-08-2020</v>
      </c>
      <c r="Z2117" t="str">
        <f>"COS10200804 7037"</f>
        <v>COS10200804 7037</v>
      </c>
    </row>
    <row r="2118" spans="1:26" x14ac:dyDescent="0.25">
      <c r="A2118" t="str">
        <f t="shared" si="872"/>
        <v>04-08-2020 01:05:33</v>
      </c>
      <c r="B2118" t="str">
        <f>"0000808834"</f>
        <v>0000808834</v>
      </c>
      <c r="C2118" t="str">
        <f t="shared" si="873"/>
        <v>0000808798</v>
      </c>
      <c r="D2118" t="str">
        <f t="shared" si="849"/>
        <v>73185</v>
      </c>
      <c r="E2118" t="str">
        <f t="shared" si="850"/>
        <v>KFH-OPERATIONS DEPARTMENT</v>
      </c>
      <c r="F2118" t="str">
        <f t="shared" si="851"/>
        <v>IBG</v>
      </c>
      <c r="G2118" t="str">
        <f t="shared" si="862"/>
        <v>Refund COSHARE 10</v>
      </c>
      <c r="H2118" s="2">
        <v>155</v>
      </c>
      <c r="I2118" t="str">
        <f>"ROSEHAYATI LONG PANG IDRIS"</f>
        <v>ROSEHAYATI LONG PANG IDRIS</v>
      </c>
      <c r="J2118" t="str">
        <f t="shared" si="863"/>
        <v>MAYBANK / MAYBANK ISLAMIC</v>
      </c>
      <c r="K2118" t="str">
        <f>"110031361804"</f>
        <v>110031361804</v>
      </c>
      <c r="L2118" t="str">
        <f t="shared" si="870"/>
        <v>04-08-2020</v>
      </c>
      <c r="M2118" t="str">
        <f t="shared" si="870"/>
        <v>04-08-2020</v>
      </c>
      <c r="N2118" t="str">
        <f t="shared" si="852"/>
        <v>001105018356</v>
      </c>
      <c r="O2118" t="str">
        <f t="shared" si="853"/>
        <v>MYR</v>
      </c>
      <c r="P2118" t="str">
        <f t="shared" si="871"/>
        <v>NIL</v>
      </c>
      <c r="Q2118" t="str">
        <f t="shared" si="871"/>
        <v>NIL</v>
      </c>
      <c r="R2118" t="str">
        <f t="shared" si="854"/>
        <v>Accepted</v>
      </c>
      <c r="S2118" t="str">
        <f t="shared" si="855"/>
        <v>Approved</v>
      </c>
      <c r="T2118" t="str">
        <f t="shared" si="856"/>
        <v>10.20.8.188</v>
      </c>
      <c r="U2118" t="str">
        <f t="shared" si="857"/>
        <v>AZRAD UMAR BIN SHAARI</v>
      </c>
      <c r="V2118" t="str">
        <f t="shared" si="858"/>
        <v>FARHANA BINTI MUSTAPA</v>
      </c>
      <c r="W2118" t="str">
        <f t="shared" si="859"/>
        <v>04-08-2020</v>
      </c>
      <c r="X2118" t="str">
        <f t="shared" si="860"/>
        <v>RAZIMAH ANSAR AHMAD</v>
      </c>
      <c r="Y2118" t="str">
        <f t="shared" si="861"/>
        <v>04-08-2020</v>
      </c>
      <c r="Z2118" t="str">
        <f>"COS10200804 7036"</f>
        <v>COS10200804 7036</v>
      </c>
    </row>
    <row r="2119" spans="1:26" x14ac:dyDescent="0.25">
      <c r="A2119" t="str">
        <f t="shared" si="872"/>
        <v>04-08-2020 01:05:33</v>
      </c>
      <c r="B2119" t="str">
        <f>"0000808833"</f>
        <v>0000808833</v>
      </c>
      <c r="C2119" t="str">
        <f t="shared" si="873"/>
        <v>0000808798</v>
      </c>
      <c r="D2119" t="str">
        <f t="shared" ref="D2119:D2182" si="874">"73185"</f>
        <v>73185</v>
      </c>
      <c r="E2119" t="str">
        <f t="shared" ref="E2119:E2182" si="875">"KFH-OPERATIONS DEPARTMENT"</f>
        <v>KFH-OPERATIONS DEPARTMENT</v>
      </c>
      <c r="F2119" t="str">
        <f t="shared" ref="F2119:F2182" si="876">"IBG"</f>
        <v>IBG</v>
      </c>
      <c r="G2119" t="str">
        <f t="shared" si="862"/>
        <v>Refund COSHARE 10</v>
      </c>
      <c r="H2119" s="2">
        <v>1427.15</v>
      </c>
      <c r="I2119" t="str">
        <f>"ROSEFADZILAH BINTI ABDUL HAMID"</f>
        <v>ROSEFADZILAH BINTI ABDUL HAMID</v>
      </c>
      <c r="J2119" t="str">
        <f t="shared" si="863"/>
        <v>MAYBANK / MAYBANK ISLAMIC</v>
      </c>
      <c r="K2119" t="str">
        <f>"114012056330"</f>
        <v>114012056330</v>
      </c>
      <c r="L2119" t="str">
        <f t="shared" si="870"/>
        <v>04-08-2020</v>
      </c>
      <c r="M2119" t="str">
        <f t="shared" si="870"/>
        <v>04-08-2020</v>
      </c>
      <c r="N2119" t="str">
        <f t="shared" ref="N2119:N2182" si="877">"001105018356"</f>
        <v>001105018356</v>
      </c>
      <c r="O2119" t="str">
        <f t="shared" ref="O2119:O2182" si="878">"MYR"</f>
        <v>MYR</v>
      </c>
      <c r="P2119" t="str">
        <f t="shared" si="871"/>
        <v>NIL</v>
      </c>
      <c r="Q2119" t="str">
        <f t="shared" si="871"/>
        <v>NIL</v>
      </c>
      <c r="R2119" t="str">
        <f t="shared" ref="R2119:R2182" si="879">"Accepted"</f>
        <v>Accepted</v>
      </c>
      <c r="S2119" t="str">
        <f t="shared" ref="S2119:S2182" si="880">"Approved"</f>
        <v>Approved</v>
      </c>
      <c r="T2119" t="str">
        <f t="shared" ref="T2119:T2182" si="881">"10.20.8.188"</f>
        <v>10.20.8.188</v>
      </c>
      <c r="U2119" t="str">
        <f t="shared" ref="U2119:U2182" si="882">"AZRAD UMAR BIN SHAARI"</f>
        <v>AZRAD UMAR BIN SHAARI</v>
      </c>
      <c r="V2119" t="str">
        <f t="shared" ref="V2119:V2182" si="883">"FARHANA BINTI MUSTAPA"</f>
        <v>FARHANA BINTI MUSTAPA</v>
      </c>
      <c r="W2119" t="str">
        <f t="shared" ref="W2119:W2182" si="884">"04-08-2020"</f>
        <v>04-08-2020</v>
      </c>
      <c r="X2119" t="str">
        <f t="shared" ref="X2119:X2182" si="885">"RAZIMAH ANSAR AHMAD"</f>
        <v>RAZIMAH ANSAR AHMAD</v>
      </c>
      <c r="Y2119" t="str">
        <f t="shared" ref="Y2119:Y2182" si="886">"04-08-2020"</f>
        <v>04-08-2020</v>
      </c>
      <c r="Z2119" t="str">
        <f>"COS10200804 7035"</f>
        <v>COS10200804 7035</v>
      </c>
    </row>
    <row r="2120" spans="1:26" x14ac:dyDescent="0.25">
      <c r="A2120" t="str">
        <f t="shared" si="872"/>
        <v>04-08-2020 01:05:33</v>
      </c>
      <c r="B2120" t="str">
        <f>"0000808832"</f>
        <v>0000808832</v>
      </c>
      <c r="C2120" t="str">
        <f t="shared" si="873"/>
        <v>0000808798</v>
      </c>
      <c r="D2120" t="str">
        <f t="shared" si="874"/>
        <v>73185</v>
      </c>
      <c r="E2120" t="str">
        <f t="shared" si="875"/>
        <v>KFH-OPERATIONS DEPARTMENT</v>
      </c>
      <c r="F2120" t="str">
        <f t="shared" si="876"/>
        <v>IBG</v>
      </c>
      <c r="G2120" t="str">
        <f t="shared" si="862"/>
        <v>Refund COSHARE 10</v>
      </c>
      <c r="H2120" s="2">
        <v>125.95</v>
      </c>
      <c r="I2120" t="str">
        <f>"ROSDI BIN SELAMAT"</f>
        <v>ROSDI BIN SELAMAT</v>
      </c>
      <c r="J2120" t="str">
        <f t="shared" si="863"/>
        <v>MAYBANK / MAYBANK ISLAMIC</v>
      </c>
      <c r="K2120" t="str">
        <f>"161211195034"</f>
        <v>161211195034</v>
      </c>
      <c r="L2120" t="str">
        <f t="shared" si="870"/>
        <v>04-08-2020</v>
      </c>
      <c r="M2120" t="str">
        <f t="shared" si="870"/>
        <v>04-08-2020</v>
      </c>
      <c r="N2120" t="str">
        <f t="shared" si="877"/>
        <v>001105018356</v>
      </c>
      <c r="O2120" t="str">
        <f t="shared" si="878"/>
        <v>MYR</v>
      </c>
      <c r="P2120" t="str">
        <f t="shared" si="871"/>
        <v>NIL</v>
      </c>
      <c r="Q2120" t="str">
        <f t="shared" si="871"/>
        <v>NIL</v>
      </c>
      <c r="R2120" t="str">
        <f t="shared" si="879"/>
        <v>Accepted</v>
      </c>
      <c r="S2120" t="str">
        <f t="shared" si="880"/>
        <v>Approved</v>
      </c>
      <c r="T2120" t="str">
        <f t="shared" si="881"/>
        <v>10.20.8.188</v>
      </c>
      <c r="U2120" t="str">
        <f t="shared" si="882"/>
        <v>AZRAD UMAR BIN SHAARI</v>
      </c>
      <c r="V2120" t="str">
        <f t="shared" si="883"/>
        <v>FARHANA BINTI MUSTAPA</v>
      </c>
      <c r="W2120" t="str">
        <f t="shared" si="884"/>
        <v>04-08-2020</v>
      </c>
      <c r="X2120" t="str">
        <f t="shared" si="885"/>
        <v>RAZIMAH ANSAR AHMAD</v>
      </c>
      <c r="Y2120" t="str">
        <f t="shared" si="886"/>
        <v>04-08-2020</v>
      </c>
      <c r="Z2120" t="str">
        <f>"COS10200804 7034"</f>
        <v>COS10200804 7034</v>
      </c>
    </row>
    <row r="2121" spans="1:26" x14ac:dyDescent="0.25">
      <c r="A2121" t="str">
        <f t="shared" si="872"/>
        <v>04-08-2020 01:05:33</v>
      </c>
      <c r="B2121" t="str">
        <f>"0000808831"</f>
        <v>0000808831</v>
      </c>
      <c r="C2121" t="str">
        <f t="shared" si="873"/>
        <v>0000808798</v>
      </c>
      <c r="D2121" t="str">
        <f t="shared" si="874"/>
        <v>73185</v>
      </c>
      <c r="E2121" t="str">
        <f t="shared" si="875"/>
        <v>KFH-OPERATIONS DEPARTMENT</v>
      </c>
      <c r="F2121" t="str">
        <f t="shared" si="876"/>
        <v>IBG</v>
      </c>
      <c r="G2121" t="str">
        <f t="shared" si="862"/>
        <v>Refund COSHARE 10</v>
      </c>
      <c r="H2121" s="2">
        <v>537.29999999999995</v>
      </c>
      <c r="I2121" t="str">
        <f>"ROSAINI BINTI BAHAROM"</f>
        <v>ROSAINI BINTI BAHAROM</v>
      </c>
      <c r="J2121" t="str">
        <f t="shared" si="863"/>
        <v>MAYBANK / MAYBANK ISLAMIC</v>
      </c>
      <c r="K2121" t="str">
        <f>"162272050967"</f>
        <v>162272050967</v>
      </c>
      <c r="L2121" t="str">
        <f t="shared" si="870"/>
        <v>04-08-2020</v>
      </c>
      <c r="M2121" t="str">
        <f t="shared" si="870"/>
        <v>04-08-2020</v>
      </c>
      <c r="N2121" t="str">
        <f t="shared" si="877"/>
        <v>001105018356</v>
      </c>
      <c r="O2121" t="str">
        <f t="shared" si="878"/>
        <v>MYR</v>
      </c>
      <c r="P2121" t="str">
        <f t="shared" si="871"/>
        <v>NIL</v>
      </c>
      <c r="Q2121" t="str">
        <f t="shared" si="871"/>
        <v>NIL</v>
      </c>
      <c r="R2121" t="str">
        <f t="shared" si="879"/>
        <v>Accepted</v>
      </c>
      <c r="S2121" t="str">
        <f t="shared" si="880"/>
        <v>Approved</v>
      </c>
      <c r="T2121" t="str">
        <f t="shared" si="881"/>
        <v>10.20.8.188</v>
      </c>
      <c r="U2121" t="str">
        <f t="shared" si="882"/>
        <v>AZRAD UMAR BIN SHAARI</v>
      </c>
      <c r="V2121" t="str">
        <f t="shared" si="883"/>
        <v>FARHANA BINTI MUSTAPA</v>
      </c>
      <c r="W2121" t="str">
        <f t="shared" si="884"/>
        <v>04-08-2020</v>
      </c>
      <c r="X2121" t="str">
        <f t="shared" si="885"/>
        <v>RAZIMAH ANSAR AHMAD</v>
      </c>
      <c r="Y2121" t="str">
        <f t="shared" si="886"/>
        <v>04-08-2020</v>
      </c>
      <c r="Z2121" t="str">
        <f>"COS10200804 7033"</f>
        <v>COS10200804 7033</v>
      </c>
    </row>
    <row r="2122" spans="1:26" x14ac:dyDescent="0.25">
      <c r="A2122" t="str">
        <f t="shared" si="872"/>
        <v>04-08-2020 01:05:33</v>
      </c>
      <c r="B2122" t="str">
        <f>"0000808830"</f>
        <v>0000808830</v>
      </c>
      <c r="C2122" t="str">
        <f t="shared" si="873"/>
        <v>0000808798</v>
      </c>
      <c r="D2122" t="str">
        <f t="shared" si="874"/>
        <v>73185</v>
      </c>
      <c r="E2122" t="str">
        <f t="shared" si="875"/>
        <v>KFH-OPERATIONS DEPARTMENT</v>
      </c>
      <c r="F2122" t="str">
        <f t="shared" si="876"/>
        <v>IBG</v>
      </c>
      <c r="G2122" t="str">
        <f t="shared" si="862"/>
        <v>Refund COSHARE 10</v>
      </c>
      <c r="H2122" s="2">
        <v>190</v>
      </c>
      <c r="I2122" t="str">
        <f>"ROS LIZA BINTI MD YUSSOF"</f>
        <v>ROS LIZA BINTI MD YUSSOF</v>
      </c>
      <c r="J2122" t="str">
        <f t="shared" si="863"/>
        <v>MAYBANK / MAYBANK ISLAMIC</v>
      </c>
      <c r="K2122" t="str">
        <f>"157344036453"</f>
        <v>157344036453</v>
      </c>
      <c r="L2122" t="str">
        <f t="shared" si="870"/>
        <v>04-08-2020</v>
      </c>
      <c r="M2122" t="str">
        <f t="shared" si="870"/>
        <v>04-08-2020</v>
      </c>
      <c r="N2122" t="str">
        <f t="shared" si="877"/>
        <v>001105018356</v>
      </c>
      <c r="O2122" t="str">
        <f t="shared" si="878"/>
        <v>MYR</v>
      </c>
      <c r="P2122" t="str">
        <f t="shared" si="871"/>
        <v>NIL</v>
      </c>
      <c r="Q2122" t="str">
        <f t="shared" si="871"/>
        <v>NIL</v>
      </c>
      <c r="R2122" t="str">
        <f t="shared" si="879"/>
        <v>Accepted</v>
      </c>
      <c r="S2122" t="str">
        <f t="shared" si="880"/>
        <v>Approved</v>
      </c>
      <c r="T2122" t="str">
        <f t="shared" si="881"/>
        <v>10.20.8.188</v>
      </c>
      <c r="U2122" t="str">
        <f t="shared" si="882"/>
        <v>AZRAD UMAR BIN SHAARI</v>
      </c>
      <c r="V2122" t="str">
        <f t="shared" si="883"/>
        <v>FARHANA BINTI MUSTAPA</v>
      </c>
      <c r="W2122" t="str">
        <f t="shared" si="884"/>
        <v>04-08-2020</v>
      </c>
      <c r="X2122" t="str">
        <f t="shared" si="885"/>
        <v>RAZIMAH ANSAR AHMAD</v>
      </c>
      <c r="Y2122" t="str">
        <f t="shared" si="886"/>
        <v>04-08-2020</v>
      </c>
      <c r="Z2122" t="str">
        <f>"COS10200804 7032"</f>
        <v>COS10200804 7032</v>
      </c>
    </row>
    <row r="2123" spans="1:26" x14ac:dyDescent="0.25">
      <c r="A2123" t="str">
        <f t="shared" si="872"/>
        <v>04-08-2020 01:05:33</v>
      </c>
      <c r="B2123" t="str">
        <f>"0000808829"</f>
        <v>0000808829</v>
      </c>
      <c r="C2123" t="str">
        <f t="shared" si="873"/>
        <v>0000808798</v>
      </c>
      <c r="D2123" t="str">
        <f t="shared" si="874"/>
        <v>73185</v>
      </c>
      <c r="E2123" t="str">
        <f t="shared" si="875"/>
        <v>KFH-OPERATIONS DEPARTMENT</v>
      </c>
      <c r="F2123" t="str">
        <f t="shared" si="876"/>
        <v>IBG</v>
      </c>
      <c r="G2123" t="str">
        <f t="shared" si="862"/>
        <v>Refund COSHARE 10</v>
      </c>
      <c r="H2123" s="2">
        <v>109.15</v>
      </c>
      <c r="I2123" t="str">
        <f>"RONNIE BIN BAHARI"</f>
        <v>RONNIE BIN BAHARI</v>
      </c>
      <c r="J2123" t="str">
        <f t="shared" si="863"/>
        <v>MAYBANK / MAYBANK ISLAMIC</v>
      </c>
      <c r="K2123" t="str">
        <f>"106061450097"</f>
        <v>106061450097</v>
      </c>
      <c r="L2123" t="str">
        <f t="shared" si="870"/>
        <v>04-08-2020</v>
      </c>
      <c r="M2123" t="str">
        <f t="shared" si="870"/>
        <v>04-08-2020</v>
      </c>
      <c r="N2123" t="str">
        <f t="shared" si="877"/>
        <v>001105018356</v>
      </c>
      <c r="O2123" t="str">
        <f t="shared" si="878"/>
        <v>MYR</v>
      </c>
      <c r="P2123" t="str">
        <f t="shared" si="871"/>
        <v>NIL</v>
      </c>
      <c r="Q2123" t="str">
        <f t="shared" si="871"/>
        <v>NIL</v>
      </c>
      <c r="R2123" t="str">
        <f t="shared" si="879"/>
        <v>Accepted</v>
      </c>
      <c r="S2123" t="str">
        <f t="shared" si="880"/>
        <v>Approved</v>
      </c>
      <c r="T2123" t="str">
        <f t="shared" si="881"/>
        <v>10.20.8.188</v>
      </c>
      <c r="U2123" t="str">
        <f t="shared" si="882"/>
        <v>AZRAD UMAR BIN SHAARI</v>
      </c>
      <c r="V2123" t="str">
        <f t="shared" si="883"/>
        <v>FARHANA BINTI MUSTAPA</v>
      </c>
      <c r="W2123" t="str">
        <f t="shared" si="884"/>
        <v>04-08-2020</v>
      </c>
      <c r="X2123" t="str">
        <f t="shared" si="885"/>
        <v>RAZIMAH ANSAR AHMAD</v>
      </c>
      <c r="Y2123" t="str">
        <f t="shared" si="886"/>
        <v>04-08-2020</v>
      </c>
      <c r="Z2123" t="str">
        <f>"COS10200804 7031"</f>
        <v>COS10200804 7031</v>
      </c>
    </row>
    <row r="2124" spans="1:26" x14ac:dyDescent="0.25">
      <c r="A2124" t="str">
        <f t="shared" si="872"/>
        <v>04-08-2020 01:05:33</v>
      </c>
      <c r="B2124" t="str">
        <f>"0000808828"</f>
        <v>0000808828</v>
      </c>
      <c r="C2124" t="str">
        <f t="shared" si="873"/>
        <v>0000808798</v>
      </c>
      <c r="D2124" t="str">
        <f t="shared" si="874"/>
        <v>73185</v>
      </c>
      <c r="E2124" t="str">
        <f t="shared" si="875"/>
        <v>KFH-OPERATIONS DEPARTMENT</v>
      </c>
      <c r="F2124" t="str">
        <f t="shared" si="876"/>
        <v>IBG</v>
      </c>
      <c r="G2124" t="str">
        <f t="shared" ref="G2124:G2187" si="887">"Refund COSHARE 10"</f>
        <v>Refund COSHARE 10</v>
      </c>
      <c r="H2124" s="2">
        <v>670</v>
      </c>
      <c r="I2124" t="str">
        <f>"ROMINZIE BIN RASU"</f>
        <v>ROMINZIE BIN RASU</v>
      </c>
      <c r="J2124" t="str">
        <f t="shared" si="863"/>
        <v>MAYBANK / MAYBANK ISLAMIC</v>
      </c>
      <c r="K2124" t="str">
        <f>"106052137409"</f>
        <v>106052137409</v>
      </c>
      <c r="L2124" t="str">
        <f t="shared" si="870"/>
        <v>04-08-2020</v>
      </c>
      <c r="M2124" t="str">
        <f t="shared" si="870"/>
        <v>04-08-2020</v>
      </c>
      <c r="N2124" t="str">
        <f t="shared" si="877"/>
        <v>001105018356</v>
      </c>
      <c r="O2124" t="str">
        <f t="shared" si="878"/>
        <v>MYR</v>
      </c>
      <c r="P2124" t="str">
        <f t="shared" si="871"/>
        <v>NIL</v>
      </c>
      <c r="Q2124" t="str">
        <f t="shared" si="871"/>
        <v>NIL</v>
      </c>
      <c r="R2124" t="str">
        <f t="shared" si="879"/>
        <v>Accepted</v>
      </c>
      <c r="S2124" t="str">
        <f t="shared" si="880"/>
        <v>Approved</v>
      </c>
      <c r="T2124" t="str">
        <f t="shared" si="881"/>
        <v>10.20.8.188</v>
      </c>
      <c r="U2124" t="str">
        <f t="shared" si="882"/>
        <v>AZRAD UMAR BIN SHAARI</v>
      </c>
      <c r="V2124" t="str">
        <f t="shared" si="883"/>
        <v>FARHANA BINTI MUSTAPA</v>
      </c>
      <c r="W2124" t="str">
        <f t="shared" si="884"/>
        <v>04-08-2020</v>
      </c>
      <c r="X2124" t="str">
        <f t="shared" si="885"/>
        <v>RAZIMAH ANSAR AHMAD</v>
      </c>
      <c r="Y2124" t="str">
        <f t="shared" si="886"/>
        <v>04-08-2020</v>
      </c>
      <c r="Z2124" t="str">
        <f>"COS10200804 7030"</f>
        <v>COS10200804 7030</v>
      </c>
    </row>
    <row r="2125" spans="1:26" x14ac:dyDescent="0.25">
      <c r="A2125" t="str">
        <f t="shared" si="872"/>
        <v>04-08-2020 01:05:33</v>
      </c>
      <c r="B2125" t="str">
        <f>"0000808827"</f>
        <v>0000808827</v>
      </c>
      <c r="C2125" t="str">
        <f t="shared" si="873"/>
        <v>0000808798</v>
      </c>
      <c r="D2125" t="str">
        <f t="shared" si="874"/>
        <v>73185</v>
      </c>
      <c r="E2125" t="str">
        <f t="shared" si="875"/>
        <v>KFH-OPERATIONS DEPARTMENT</v>
      </c>
      <c r="F2125" t="str">
        <f t="shared" si="876"/>
        <v>IBG</v>
      </c>
      <c r="G2125" t="str">
        <f t="shared" si="887"/>
        <v>Refund COSHARE 10</v>
      </c>
      <c r="H2125" s="2">
        <v>533.15</v>
      </c>
      <c r="I2125" t="str">
        <f>"ROLIMAH BINTI EMBONG"</f>
        <v>ROLIMAH BINTI EMBONG</v>
      </c>
      <c r="J2125" t="str">
        <f t="shared" si="863"/>
        <v>MAYBANK / MAYBANK ISLAMIC</v>
      </c>
      <c r="K2125" t="str">
        <f>"113032065169"</f>
        <v>113032065169</v>
      </c>
      <c r="L2125" t="str">
        <f t="shared" si="870"/>
        <v>04-08-2020</v>
      </c>
      <c r="M2125" t="str">
        <f t="shared" si="870"/>
        <v>04-08-2020</v>
      </c>
      <c r="N2125" t="str">
        <f t="shared" si="877"/>
        <v>001105018356</v>
      </c>
      <c r="O2125" t="str">
        <f t="shared" si="878"/>
        <v>MYR</v>
      </c>
      <c r="P2125" t="str">
        <f t="shared" si="871"/>
        <v>NIL</v>
      </c>
      <c r="Q2125" t="str">
        <f t="shared" si="871"/>
        <v>NIL</v>
      </c>
      <c r="R2125" t="str">
        <f t="shared" si="879"/>
        <v>Accepted</v>
      </c>
      <c r="S2125" t="str">
        <f t="shared" si="880"/>
        <v>Approved</v>
      </c>
      <c r="T2125" t="str">
        <f t="shared" si="881"/>
        <v>10.20.8.188</v>
      </c>
      <c r="U2125" t="str">
        <f t="shared" si="882"/>
        <v>AZRAD UMAR BIN SHAARI</v>
      </c>
      <c r="V2125" t="str">
        <f t="shared" si="883"/>
        <v>FARHANA BINTI MUSTAPA</v>
      </c>
      <c r="W2125" t="str">
        <f t="shared" si="884"/>
        <v>04-08-2020</v>
      </c>
      <c r="X2125" t="str">
        <f t="shared" si="885"/>
        <v>RAZIMAH ANSAR AHMAD</v>
      </c>
      <c r="Y2125" t="str">
        <f t="shared" si="886"/>
        <v>04-08-2020</v>
      </c>
      <c r="Z2125" t="str">
        <f>"COS10200804 7029"</f>
        <v>COS10200804 7029</v>
      </c>
    </row>
    <row r="2126" spans="1:26" x14ac:dyDescent="0.25">
      <c r="A2126" t="str">
        <f t="shared" si="872"/>
        <v>04-08-2020 01:05:33</v>
      </c>
      <c r="B2126" t="str">
        <f>"0000808826"</f>
        <v>0000808826</v>
      </c>
      <c r="C2126" t="str">
        <f t="shared" si="873"/>
        <v>0000808798</v>
      </c>
      <c r="D2126" t="str">
        <f t="shared" si="874"/>
        <v>73185</v>
      </c>
      <c r="E2126" t="str">
        <f t="shared" si="875"/>
        <v>KFH-OPERATIONS DEPARTMENT</v>
      </c>
      <c r="F2126" t="str">
        <f t="shared" si="876"/>
        <v>IBG</v>
      </c>
      <c r="G2126" t="str">
        <f t="shared" si="887"/>
        <v>Refund COSHARE 10</v>
      </c>
      <c r="H2126" s="2">
        <v>176.3</v>
      </c>
      <c r="I2126" t="str">
        <f>"ROLAND BIN MAHARI"</f>
        <v>ROLAND BIN MAHARI</v>
      </c>
      <c r="J2126" t="str">
        <f t="shared" si="863"/>
        <v>MAYBANK / MAYBANK ISLAMIC</v>
      </c>
      <c r="K2126" t="str">
        <f>"164472235454"</f>
        <v>164472235454</v>
      </c>
      <c r="L2126" t="str">
        <f t="shared" si="870"/>
        <v>04-08-2020</v>
      </c>
      <c r="M2126" t="str">
        <f t="shared" si="870"/>
        <v>04-08-2020</v>
      </c>
      <c r="N2126" t="str">
        <f t="shared" si="877"/>
        <v>001105018356</v>
      </c>
      <c r="O2126" t="str">
        <f t="shared" si="878"/>
        <v>MYR</v>
      </c>
      <c r="P2126" t="str">
        <f t="shared" si="871"/>
        <v>NIL</v>
      </c>
      <c r="Q2126" t="str">
        <f t="shared" si="871"/>
        <v>NIL</v>
      </c>
      <c r="R2126" t="str">
        <f t="shared" si="879"/>
        <v>Accepted</v>
      </c>
      <c r="S2126" t="str">
        <f t="shared" si="880"/>
        <v>Approved</v>
      </c>
      <c r="T2126" t="str">
        <f t="shared" si="881"/>
        <v>10.20.8.188</v>
      </c>
      <c r="U2126" t="str">
        <f t="shared" si="882"/>
        <v>AZRAD UMAR BIN SHAARI</v>
      </c>
      <c r="V2126" t="str">
        <f t="shared" si="883"/>
        <v>FARHANA BINTI MUSTAPA</v>
      </c>
      <c r="W2126" t="str">
        <f t="shared" si="884"/>
        <v>04-08-2020</v>
      </c>
      <c r="X2126" t="str">
        <f t="shared" si="885"/>
        <v>RAZIMAH ANSAR AHMAD</v>
      </c>
      <c r="Y2126" t="str">
        <f t="shared" si="886"/>
        <v>04-08-2020</v>
      </c>
      <c r="Z2126" t="str">
        <f>"COS10200804 7028"</f>
        <v>COS10200804 7028</v>
      </c>
    </row>
    <row r="2127" spans="1:26" x14ac:dyDescent="0.25">
      <c r="A2127" t="str">
        <f t="shared" si="872"/>
        <v>04-08-2020 01:05:33</v>
      </c>
      <c r="B2127" t="str">
        <f>"0000808825"</f>
        <v>0000808825</v>
      </c>
      <c r="C2127" t="str">
        <f t="shared" si="873"/>
        <v>0000808798</v>
      </c>
      <c r="D2127" t="str">
        <f t="shared" si="874"/>
        <v>73185</v>
      </c>
      <c r="E2127" t="str">
        <f t="shared" si="875"/>
        <v>KFH-OPERATIONS DEPARTMENT</v>
      </c>
      <c r="F2127" t="str">
        <f t="shared" si="876"/>
        <v>IBG</v>
      </c>
      <c r="G2127" t="str">
        <f t="shared" si="887"/>
        <v>Refund COSHARE 10</v>
      </c>
      <c r="H2127" s="2">
        <v>521</v>
      </c>
      <c r="I2127" t="str">
        <f>"ROKIAH BINTI MOHAMED ALI"</f>
        <v>ROKIAH BINTI MOHAMED ALI</v>
      </c>
      <c r="J2127" t="str">
        <f t="shared" si="863"/>
        <v>MAYBANK / MAYBANK ISLAMIC</v>
      </c>
      <c r="K2127" t="str">
        <f>"101066792869"</f>
        <v>101066792869</v>
      </c>
      <c r="L2127" t="str">
        <f t="shared" ref="L2127:M2146" si="888">"04-08-2020"</f>
        <v>04-08-2020</v>
      </c>
      <c r="M2127" t="str">
        <f t="shared" si="888"/>
        <v>04-08-2020</v>
      </c>
      <c r="N2127" t="str">
        <f t="shared" si="877"/>
        <v>001105018356</v>
      </c>
      <c r="O2127" t="str">
        <f t="shared" si="878"/>
        <v>MYR</v>
      </c>
      <c r="P2127" t="str">
        <f t="shared" ref="P2127:Q2146" si="889">"NIL"</f>
        <v>NIL</v>
      </c>
      <c r="Q2127" t="str">
        <f t="shared" si="889"/>
        <v>NIL</v>
      </c>
      <c r="R2127" t="str">
        <f t="shared" si="879"/>
        <v>Accepted</v>
      </c>
      <c r="S2127" t="str">
        <f t="shared" si="880"/>
        <v>Approved</v>
      </c>
      <c r="T2127" t="str">
        <f t="shared" si="881"/>
        <v>10.20.8.188</v>
      </c>
      <c r="U2127" t="str">
        <f t="shared" si="882"/>
        <v>AZRAD UMAR BIN SHAARI</v>
      </c>
      <c r="V2127" t="str">
        <f t="shared" si="883"/>
        <v>FARHANA BINTI MUSTAPA</v>
      </c>
      <c r="W2127" t="str">
        <f t="shared" si="884"/>
        <v>04-08-2020</v>
      </c>
      <c r="X2127" t="str">
        <f t="shared" si="885"/>
        <v>RAZIMAH ANSAR AHMAD</v>
      </c>
      <c r="Y2127" t="str">
        <f t="shared" si="886"/>
        <v>04-08-2020</v>
      </c>
      <c r="Z2127" t="str">
        <f>"COS10200804 7027"</f>
        <v>COS10200804 7027</v>
      </c>
    </row>
    <row r="2128" spans="1:26" x14ac:dyDescent="0.25">
      <c r="A2128" t="str">
        <f t="shared" si="872"/>
        <v>04-08-2020 01:05:33</v>
      </c>
      <c r="B2128" t="str">
        <f>"0000808824"</f>
        <v>0000808824</v>
      </c>
      <c r="C2128" t="str">
        <f t="shared" si="873"/>
        <v>0000808798</v>
      </c>
      <c r="D2128" t="str">
        <f t="shared" si="874"/>
        <v>73185</v>
      </c>
      <c r="E2128" t="str">
        <f t="shared" si="875"/>
        <v>KFH-OPERATIONS DEPARTMENT</v>
      </c>
      <c r="F2128" t="str">
        <f t="shared" si="876"/>
        <v>IBG</v>
      </c>
      <c r="G2128" t="str">
        <f t="shared" si="887"/>
        <v>Refund COSHARE 10</v>
      </c>
      <c r="H2128" s="2">
        <v>491.15</v>
      </c>
      <c r="I2128" t="str">
        <f>"ROKIAH BINTI AHMAD"</f>
        <v>ROKIAH BINTI AHMAD</v>
      </c>
      <c r="J2128" t="str">
        <f t="shared" si="863"/>
        <v>MAYBANK / MAYBANK ISLAMIC</v>
      </c>
      <c r="K2128" t="str">
        <f>"111047179056"</f>
        <v>111047179056</v>
      </c>
      <c r="L2128" t="str">
        <f t="shared" si="888"/>
        <v>04-08-2020</v>
      </c>
      <c r="M2128" t="str">
        <f t="shared" si="888"/>
        <v>04-08-2020</v>
      </c>
      <c r="N2128" t="str">
        <f t="shared" si="877"/>
        <v>001105018356</v>
      </c>
      <c r="O2128" t="str">
        <f t="shared" si="878"/>
        <v>MYR</v>
      </c>
      <c r="P2128" t="str">
        <f t="shared" si="889"/>
        <v>NIL</v>
      </c>
      <c r="Q2128" t="str">
        <f t="shared" si="889"/>
        <v>NIL</v>
      </c>
      <c r="R2128" t="str">
        <f t="shared" si="879"/>
        <v>Accepted</v>
      </c>
      <c r="S2128" t="str">
        <f t="shared" si="880"/>
        <v>Approved</v>
      </c>
      <c r="T2128" t="str">
        <f t="shared" si="881"/>
        <v>10.20.8.188</v>
      </c>
      <c r="U2128" t="str">
        <f t="shared" si="882"/>
        <v>AZRAD UMAR BIN SHAARI</v>
      </c>
      <c r="V2128" t="str">
        <f t="shared" si="883"/>
        <v>FARHANA BINTI MUSTAPA</v>
      </c>
      <c r="W2128" t="str">
        <f t="shared" si="884"/>
        <v>04-08-2020</v>
      </c>
      <c r="X2128" t="str">
        <f t="shared" si="885"/>
        <v>RAZIMAH ANSAR AHMAD</v>
      </c>
      <c r="Y2128" t="str">
        <f t="shared" si="886"/>
        <v>04-08-2020</v>
      </c>
      <c r="Z2128" t="str">
        <f>"COS10200804 7026"</f>
        <v>COS10200804 7026</v>
      </c>
    </row>
    <row r="2129" spans="1:26" x14ac:dyDescent="0.25">
      <c r="A2129" t="str">
        <f t="shared" si="872"/>
        <v>04-08-2020 01:05:33</v>
      </c>
      <c r="B2129" t="str">
        <f>"0000808823"</f>
        <v>0000808823</v>
      </c>
      <c r="C2129" t="str">
        <f t="shared" si="873"/>
        <v>0000808798</v>
      </c>
      <c r="D2129" t="str">
        <f t="shared" si="874"/>
        <v>73185</v>
      </c>
      <c r="E2129" t="str">
        <f t="shared" si="875"/>
        <v>KFH-OPERATIONS DEPARTMENT</v>
      </c>
      <c r="F2129" t="str">
        <f t="shared" si="876"/>
        <v>IBG</v>
      </c>
      <c r="G2129" t="str">
        <f t="shared" si="887"/>
        <v>Refund COSHARE 10</v>
      </c>
      <c r="H2129" s="2">
        <v>1270</v>
      </c>
      <c r="I2129" t="str">
        <f>"ROHIMI BIN YUSOF"</f>
        <v>ROHIMI BIN YUSOF</v>
      </c>
      <c r="J2129" t="str">
        <f t="shared" ref="J2129:J2192" si="890">"MAYBANK / MAYBANK ISLAMIC"</f>
        <v>MAYBANK / MAYBANK ISLAMIC</v>
      </c>
      <c r="K2129" t="str">
        <f>"158024752192"</f>
        <v>158024752192</v>
      </c>
      <c r="L2129" t="str">
        <f t="shared" si="888"/>
        <v>04-08-2020</v>
      </c>
      <c r="M2129" t="str">
        <f t="shared" si="888"/>
        <v>04-08-2020</v>
      </c>
      <c r="N2129" t="str">
        <f t="shared" si="877"/>
        <v>001105018356</v>
      </c>
      <c r="O2129" t="str">
        <f t="shared" si="878"/>
        <v>MYR</v>
      </c>
      <c r="P2129" t="str">
        <f t="shared" si="889"/>
        <v>NIL</v>
      </c>
      <c r="Q2129" t="str">
        <f t="shared" si="889"/>
        <v>NIL</v>
      </c>
      <c r="R2129" t="str">
        <f t="shared" si="879"/>
        <v>Accepted</v>
      </c>
      <c r="S2129" t="str">
        <f t="shared" si="880"/>
        <v>Approved</v>
      </c>
      <c r="T2129" t="str">
        <f t="shared" si="881"/>
        <v>10.20.8.188</v>
      </c>
      <c r="U2129" t="str">
        <f t="shared" si="882"/>
        <v>AZRAD UMAR BIN SHAARI</v>
      </c>
      <c r="V2129" t="str">
        <f t="shared" si="883"/>
        <v>FARHANA BINTI MUSTAPA</v>
      </c>
      <c r="W2129" t="str">
        <f t="shared" si="884"/>
        <v>04-08-2020</v>
      </c>
      <c r="X2129" t="str">
        <f t="shared" si="885"/>
        <v>RAZIMAH ANSAR AHMAD</v>
      </c>
      <c r="Y2129" t="str">
        <f t="shared" si="886"/>
        <v>04-08-2020</v>
      </c>
      <c r="Z2129" t="str">
        <f>"COS10200804 7025"</f>
        <v>COS10200804 7025</v>
      </c>
    </row>
    <row r="2130" spans="1:26" x14ac:dyDescent="0.25">
      <c r="A2130" t="str">
        <f t="shared" si="872"/>
        <v>04-08-2020 01:05:33</v>
      </c>
      <c r="B2130" t="str">
        <f>"0000808822"</f>
        <v>0000808822</v>
      </c>
      <c r="C2130" t="str">
        <f t="shared" si="873"/>
        <v>0000808798</v>
      </c>
      <c r="D2130" t="str">
        <f t="shared" si="874"/>
        <v>73185</v>
      </c>
      <c r="E2130" t="str">
        <f t="shared" si="875"/>
        <v>KFH-OPERATIONS DEPARTMENT</v>
      </c>
      <c r="F2130" t="str">
        <f t="shared" si="876"/>
        <v>IBG</v>
      </c>
      <c r="G2130" t="str">
        <f t="shared" si="887"/>
        <v>Refund COSHARE 10</v>
      </c>
      <c r="H2130" s="2">
        <v>67.2</v>
      </c>
      <c r="I2130" t="str">
        <f>"ROHHANNIE BINTI DIWA"</f>
        <v>ROHHANNIE BINTI DIWA</v>
      </c>
      <c r="J2130" t="str">
        <f t="shared" si="890"/>
        <v>MAYBANK / MAYBANK ISLAMIC</v>
      </c>
      <c r="K2130" t="str">
        <f>"155171000876"</f>
        <v>155171000876</v>
      </c>
      <c r="L2130" t="str">
        <f t="shared" si="888"/>
        <v>04-08-2020</v>
      </c>
      <c r="M2130" t="str">
        <f t="shared" si="888"/>
        <v>04-08-2020</v>
      </c>
      <c r="N2130" t="str">
        <f t="shared" si="877"/>
        <v>001105018356</v>
      </c>
      <c r="O2130" t="str">
        <f t="shared" si="878"/>
        <v>MYR</v>
      </c>
      <c r="P2130" t="str">
        <f t="shared" si="889"/>
        <v>NIL</v>
      </c>
      <c r="Q2130" t="str">
        <f t="shared" si="889"/>
        <v>NIL</v>
      </c>
      <c r="R2130" t="str">
        <f t="shared" si="879"/>
        <v>Accepted</v>
      </c>
      <c r="S2130" t="str">
        <f t="shared" si="880"/>
        <v>Approved</v>
      </c>
      <c r="T2130" t="str">
        <f t="shared" si="881"/>
        <v>10.20.8.188</v>
      </c>
      <c r="U2130" t="str">
        <f t="shared" si="882"/>
        <v>AZRAD UMAR BIN SHAARI</v>
      </c>
      <c r="V2130" t="str">
        <f t="shared" si="883"/>
        <v>FARHANA BINTI MUSTAPA</v>
      </c>
      <c r="W2130" t="str">
        <f t="shared" si="884"/>
        <v>04-08-2020</v>
      </c>
      <c r="X2130" t="str">
        <f t="shared" si="885"/>
        <v>RAZIMAH ANSAR AHMAD</v>
      </c>
      <c r="Y2130" t="str">
        <f t="shared" si="886"/>
        <v>04-08-2020</v>
      </c>
      <c r="Z2130" t="str">
        <f>"COS10200804 7024"</f>
        <v>COS10200804 7024</v>
      </c>
    </row>
    <row r="2131" spans="1:26" x14ac:dyDescent="0.25">
      <c r="A2131" t="str">
        <f t="shared" si="872"/>
        <v>04-08-2020 01:05:33</v>
      </c>
      <c r="B2131" t="str">
        <f>"0000808821"</f>
        <v>0000808821</v>
      </c>
      <c r="C2131" t="str">
        <f t="shared" si="873"/>
        <v>0000808798</v>
      </c>
      <c r="D2131" t="str">
        <f t="shared" si="874"/>
        <v>73185</v>
      </c>
      <c r="E2131" t="str">
        <f t="shared" si="875"/>
        <v>KFH-OPERATIONS DEPARTMENT</v>
      </c>
      <c r="F2131" t="str">
        <f t="shared" si="876"/>
        <v>IBG</v>
      </c>
      <c r="G2131" t="str">
        <f t="shared" si="887"/>
        <v>Refund COSHARE 10</v>
      </c>
      <c r="H2131" s="2">
        <v>979.05</v>
      </c>
      <c r="I2131" t="str">
        <f>"ROHAYUDALILA BINTI YUSOP"</f>
        <v>ROHAYUDALILA BINTI YUSOP</v>
      </c>
      <c r="J2131" t="str">
        <f t="shared" si="890"/>
        <v>MAYBANK / MAYBANK ISLAMIC</v>
      </c>
      <c r="K2131" t="str">
        <f>"154035314283"</f>
        <v>154035314283</v>
      </c>
      <c r="L2131" t="str">
        <f t="shared" si="888"/>
        <v>04-08-2020</v>
      </c>
      <c r="M2131" t="str">
        <f t="shared" si="888"/>
        <v>04-08-2020</v>
      </c>
      <c r="N2131" t="str">
        <f t="shared" si="877"/>
        <v>001105018356</v>
      </c>
      <c r="O2131" t="str">
        <f t="shared" si="878"/>
        <v>MYR</v>
      </c>
      <c r="P2131" t="str">
        <f t="shared" si="889"/>
        <v>NIL</v>
      </c>
      <c r="Q2131" t="str">
        <f t="shared" si="889"/>
        <v>NIL</v>
      </c>
      <c r="R2131" t="str">
        <f t="shared" si="879"/>
        <v>Accepted</v>
      </c>
      <c r="S2131" t="str">
        <f t="shared" si="880"/>
        <v>Approved</v>
      </c>
      <c r="T2131" t="str">
        <f t="shared" si="881"/>
        <v>10.20.8.188</v>
      </c>
      <c r="U2131" t="str">
        <f t="shared" si="882"/>
        <v>AZRAD UMAR BIN SHAARI</v>
      </c>
      <c r="V2131" t="str">
        <f t="shared" si="883"/>
        <v>FARHANA BINTI MUSTAPA</v>
      </c>
      <c r="W2131" t="str">
        <f t="shared" si="884"/>
        <v>04-08-2020</v>
      </c>
      <c r="X2131" t="str">
        <f t="shared" si="885"/>
        <v>RAZIMAH ANSAR AHMAD</v>
      </c>
      <c r="Y2131" t="str">
        <f t="shared" si="886"/>
        <v>04-08-2020</v>
      </c>
      <c r="Z2131" t="str">
        <f>"COS10200804 7023"</f>
        <v>COS10200804 7023</v>
      </c>
    </row>
    <row r="2132" spans="1:26" x14ac:dyDescent="0.25">
      <c r="A2132" t="str">
        <f t="shared" si="872"/>
        <v>04-08-2020 01:05:33</v>
      </c>
      <c r="B2132" t="str">
        <f>"0000808820"</f>
        <v>0000808820</v>
      </c>
      <c r="C2132" t="str">
        <f t="shared" si="873"/>
        <v>0000808798</v>
      </c>
      <c r="D2132" t="str">
        <f t="shared" si="874"/>
        <v>73185</v>
      </c>
      <c r="E2132" t="str">
        <f t="shared" si="875"/>
        <v>KFH-OPERATIONS DEPARTMENT</v>
      </c>
      <c r="F2132" t="str">
        <f t="shared" si="876"/>
        <v>IBG</v>
      </c>
      <c r="G2132" t="str">
        <f t="shared" si="887"/>
        <v>Refund COSHARE 10</v>
      </c>
      <c r="H2132" s="2">
        <v>142.75</v>
      </c>
      <c r="I2132" t="str">
        <f>"ROHAYU BINTI JAUHARI"</f>
        <v>ROHAYU BINTI JAUHARI</v>
      </c>
      <c r="J2132" t="str">
        <f t="shared" si="890"/>
        <v>MAYBANK / MAYBANK ISLAMIC</v>
      </c>
      <c r="K2132" t="str">
        <f>"152125144995"</f>
        <v>152125144995</v>
      </c>
      <c r="L2132" t="str">
        <f t="shared" si="888"/>
        <v>04-08-2020</v>
      </c>
      <c r="M2132" t="str">
        <f t="shared" si="888"/>
        <v>04-08-2020</v>
      </c>
      <c r="N2132" t="str">
        <f t="shared" si="877"/>
        <v>001105018356</v>
      </c>
      <c r="O2132" t="str">
        <f t="shared" si="878"/>
        <v>MYR</v>
      </c>
      <c r="P2132" t="str">
        <f t="shared" si="889"/>
        <v>NIL</v>
      </c>
      <c r="Q2132" t="str">
        <f t="shared" si="889"/>
        <v>NIL</v>
      </c>
      <c r="R2132" t="str">
        <f t="shared" si="879"/>
        <v>Accepted</v>
      </c>
      <c r="S2132" t="str">
        <f t="shared" si="880"/>
        <v>Approved</v>
      </c>
      <c r="T2132" t="str">
        <f t="shared" si="881"/>
        <v>10.20.8.188</v>
      </c>
      <c r="U2132" t="str">
        <f t="shared" si="882"/>
        <v>AZRAD UMAR BIN SHAARI</v>
      </c>
      <c r="V2132" t="str">
        <f t="shared" si="883"/>
        <v>FARHANA BINTI MUSTAPA</v>
      </c>
      <c r="W2132" t="str">
        <f t="shared" si="884"/>
        <v>04-08-2020</v>
      </c>
      <c r="X2132" t="str">
        <f t="shared" si="885"/>
        <v>RAZIMAH ANSAR AHMAD</v>
      </c>
      <c r="Y2132" t="str">
        <f t="shared" si="886"/>
        <v>04-08-2020</v>
      </c>
      <c r="Z2132" t="str">
        <f>"COS10200804 7022"</f>
        <v>COS10200804 7022</v>
      </c>
    </row>
    <row r="2133" spans="1:26" x14ac:dyDescent="0.25">
      <c r="A2133" t="str">
        <f t="shared" si="872"/>
        <v>04-08-2020 01:05:33</v>
      </c>
      <c r="B2133" t="str">
        <f>"0000808819"</f>
        <v>0000808819</v>
      </c>
      <c r="C2133" t="str">
        <f t="shared" si="873"/>
        <v>0000808798</v>
      </c>
      <c r="D2133" t="str">
        <f t="shared" si="874"/>
        <v>73185</v>
      </c>
      <c r="E2133" t="str">
        <f t="shared" si="875"/>
        <v>KFH-OPERATIONS DEPARTMENT</v>
      </c>
      <c r="F2133" t="str">
        <f t="shared" si="876"/>
        <v>IBG</v>
      </c>
      <c r="G2133" t="str">
        <f t="shared" si="887"/>
        <v>Refund COSHARE 10</v>
      </c>
      <c r="H2133" s="2">
        <v>218.75</v>
      </c>
      <c r="I2133" t="str">
        <f>"ROHAYAH BINTI KAHAR"</f>
        <v>ROHAYAH BINTI KAHAR</v>
      </c>
      <c r="J2133" t="str">
        <f t="shared" si="890"/>
        <v>MAYBANK / MAYBANK ISLAMIC</v>
      </c>
      <c r="K2133" t="str">
        <f>"114011153206"</f>
        <v>114011153206</v>
      </c>
      <c r="L2133" t="str">
        <f t="shared" si="888"/>
        <v>04-08-2020</v>
      </c>
      <c r="M2133" t="str">
        <f t="shared" si="888"/>
        <v>04-08-2020</v>
      </c>
      <c r="N2133" t="str">
        <f t="shared" si="877"/>
        <v>001105018356</v>
      </c>
      <c r="O2133" t="str">
        <f t="shared" si="878"/>
        <v>MYR</v>
      </c>
      <c r="P2133" t="str">
        <f t="shared" si="889"/>
        <v>NIL</v>
      </c>
      <c r="Q2133" t="str">
        <f t="shared" si="889"/>
        <v>NIL</v>
      </c>
      <c r="R2133" t="str">
        <f t="shared" si="879"/>
        <v>Accepted</v>
      </c>
      <c r="S2133" t="str">
        <f t="shared" si="880"/>
        <v>Approved</v>
      </c>
      <c r="T2133" t="str">
        <f t="shared" si="881"/>
        <v>10.20.8.188</v>
      </c>
      <c r="U2133" t="str">
        <f t="shared" si="882"/>
        <v>AZRAD UMAR BIN SHAARI</v>
      </c>
      <c r="V2133" t="str">
        <f t="shared" si="883"/>
        <v>FARHANA BINTI MUSTAPA</v>
      </c>
      <c r="W2133" t="str">
        <f t="shared" si="884"/>
        <v>04-08-2020</v>
      </c>
      <c r="X2133" t="str">
        <f t="shared" si="885"/>
        <v>RAZIMAH ANSAR AHMAD</v>
      </c>
      <c r="Y2133" t="str">
        <f t="shared" si="886"/>
        <v>04-08-2020</v>
      </c>
      <c r="Z2133" t="str">
        <f>"COS10200804 7021"</f>
        <v>COS10200804 7021</v>
      </c>
    </row>
    <row r="2134" spans="1:26" x14ac:dyDescent="0.25">
      <c r="A2134" t="str">
        <f t="shared" si="872"/>
        <v>04-08-2020 01:05:33</v>
      </c>
      <c r="B2134" t="str">
        <f>"0000808818"</f>
        <v>0000808818</v>
      </c>
      <c r="C2134" t="str">
        <f t="shared" si="873"/>
        <v>0000808798</v>
      </c>
      <c r="D2134" t="str">
        <f t="shared" si="874"/>
        <v>73185</v>
      </c>
      <c r="E2134" t="str">
        <f t="shared" si="875"/>
        <v>KFH-OPERATIONS DEPARTMENT</v>
      </c>
      <c r="F2134" t="str">
        <f t="shared" si="876"/>
        <v>IBG</v>
      </c>
      <c r="G2134" t="str">
        <f t="shared" si="887"/>
        <v>Refund COSHARE 10</v>
      </c>
      <c r="H2134" s="2">
        <v>147</v>
      </c>
      <c r="I2134" t="str">
        <f>"ROHAYA BT CHE MORAT"</f>
        <v>ROHAYA BT CHE MORAT</v>
      </c>
      <c r="J2134" t="str">
        <f t="shared" si="890"/>
        <v>MAYBANK / MAYBANK ISLAMIC</v>
      </c>
      <c r="K2134" t="str">
        <f>"162106570591"</f>
        <v>162106570591</v>
      </c>
      <c r="L2134" t="str">
        <f t="shared" si="888"/>
        <v>04-08-2020</v>
      </c>
      <c r="M2134" t="str">
        <f t="shared" si="888"/>
        <v>04-08-2020</v>
      </c>
      <c r="N2134" t="str">
        <f t="shared" si="877"/>
        <v>001105018356</v>
      </c>
      <c r="O2134" t="str">
        <f t="shared" si="878"/>
        <v>MYR</v>
      </c>
      <c r="P2134" t="str">
        <f t="shared" si="889"/>
        <v>NIL</v>
      </c>
      <c r="Q2134" t="str">
        <f t="shared" si="889"/>
        <v>NIL</v>
      </c>
      <c r="R2134" t="str">
        <f t="shared" si="879"/>
        <v>Accepted</v>
      </c>
      <c r="S2134" t="str">
        <f t="shared" si="880"/>
        <v>Approved</v>
      </c>
      <c r="T2134" t="str">
        <f t="shared" si="881"/>
        <v>10.20.8.188</v>
      </c>
      <c r="U2134" t="str">
        <f t="shared" si="882"/>
        <v>AZRAD UMAR BIN SHAARI</v>
      </c>
      <c r="V2134" t="str">
        <f t="shared" si="883"/>
        <v>FARHANA BINTI MUSTAPA</v>
      </c>
      <c r="W2134" t="str">
        <f t="shared" si="884"/>
        <v>04-08-2020</v>
      </c>
      <c r="X2134" t="str">
        <f t="shared" si="885"/>
        <v>RAZIMAH ANSAR AHMAD</v>
      </c>
      <c r="Y2134" t="str">
        <f t="shared" si="886"/>
        <v>04-08-2020</v>
      </c>
      <c r="Z2134" t="str">
        <f>"COS10200804 7020"</f>
        <v>COS10200804 7020</v>
      </c>
    </row>
    <row r="2135" spans="1:26" x14ac:dyDescent="0.25">
      <c r="A2135" t="str">
        <f t="shared" si="872"/>
        <v>04-08-2020 01:05:33</v>
      </c>
      <c r="B2135" t="str">
        <f>"0000808817"</f>
        <v>0000808817</v>
      </c>
      <c r="C2135" t="str">
        <f t="shared" si="873"/>
        <v>0000808798</v>
      </c>
      <c r="D2135" t="str">
        <f t="shared" si="874"/>
        <v>73185</v>
      </c>
      <c r="E2135" t="str">
        <f t="shared" si="875"/>
        <v>KFH-OPERATIONS DEPARTMENT</v>
      </c>
      <c r="F2135" t="str">
        <f t="shared" si="876"/>
        <v>IBG</v>
      </c>
      <c r="G2135" t="str">
        <f t="shared" si="887"/>
        <v>Refund COSHARE 10</v>
      </c>
      <c r="H2135" s="2">
        <v>780.75</v>
      </c>
      <c r="I2135" t="str">
        <f>"ROHAYA BINTI CHE LAH"</f>
        <v>ROHAYA BINTI CHE LAH</v>
      </c>
      <c r="J2135" t="str">
        <f t="shared" si="890"/>
        <v>MAYBANK / MAYBANK ISLAMIC</v>
      </c>
      <c r="K2135" t="str">
        <f>"114329171433"</f>
        <v>114329171433</v>
      </c>
      <c r="L2135" t="str">
        <f t="shared" si="888"/>
        <v>04-08-2020</v>
      </c>
      <c r="M2135" t="str">
        <f t="shared" si="888"/>
        <v>04-08-2020</v>
      </c>
      <c r="N2135" t="str">
        <f t="shared" si="877"/>
        <v>001105018356</v>
      </c>
      <c r="O2135" t="str">
        <f t="shared" si="878"/>
        <v>MYR</v>
      </c>
      <c r="P2135" t="str">
        <f t="shared" si="889"/>
        <v>NIL</v>
      </c>
      <c r="Q2135" t="str">
        <f t="shared" si="889"/>
        <v>NIL</v>
      </c>
      <c r="R2135" t="str">
        <f t="shared" si="879"/>
        <v>Accepted</v>
      </c>
      <c r="S2135" t="str">
        <f t="shared" si="880"/>
        <v>Approved</v>
      </c>
      <c r="T2135" t="str">
        <f t="shared" si="881"/>
        <v>10.20.8.188</v>
      </c>
      <c r="U2135" t="str">
        <f t="shared" si="882"/>
        <v>AZRAD UMAR BIN SHAARI</v>
      </c>
      <c r="V2135" t="str">
        <f t="shared" si="883"/>
        <v>FARHANA BINTI MUSTAPA</v>
      </c>
      <c r="W2135" t="str">
        <f t="shared" si="884"/>
        <v>04-08-2020</v>
      </c>
      <c r="X2135" t="str">
        <f t="shared" si="885"/>
        <v>RAZIMAH ANSAR AHMAD</v>
      </c>
      <c r="Y2135" t="str">
        <f t="shared" si="886"/>
        <v>04-08-2020</v>
      </c>
      <c r="Z2135" t="str">
        <f>"COS10200804 7019"</f>
        <v>COS10200804 7019</v>
      </c>
    </row>
    <row r="2136" spans="1:26" x14ac:dyDescent="0.25">
      <c r="A2136" t="str">
        <f t="shared" si="872"/>
        <v>04-08-2020 01:05:33</v>
      </c>
      <c r="B2136" t="str">
        <f>"0000808816"</f>
        <v>0000808816</v>
      </c>
      <c r="C2136" t="str">
        <f t="shared" si="873"/>
        <v>0000808798</v>
      </c>
      <c r="D2136" t="str">
        <f t="shared" si="874"/>
        <v>73185</v>
      </c>
      <c r="E2136" t="str">
        <f t="shared" si="875"/>
        <v>KFH-OPERATIONS DEPARTMENT</v>
      </c>
      <c r="F2136" t="str">
        <f t="shared" si="876"/>
        <v>IBG</v>
      </c>
      <c r="G2136" t="str">
        <f t="shared" si="887"/>
        <v>Refund COSHARE 10</v>
      </c>
      <c r="H2136" s="2">
        <v>1676.45</v>
      </c>
      <c r="I2136" t="str">
        <f>"ROHAYA BINTI ABDUL MANAN"</f>
        <v>ROHAYA BINTI ABDUL MANAN</v>
      </c>
      <c r="J2136" t="str">
        <f t="shared" si="890"/>
        <v>MAYBANK / MAYBANK ISLAMIC</v>
      </c>
      <c r="K2136" t="str">
        <f>"156011845200"</f>
        <v>156011845200</v>
      </c>
      <c r="L2136" t="str">
        <f t="shared" si="888"/>
        <v>04-08-2020</v>
      </c>
      <c r="M2136" t="str">
        <f t="shared" si="888"/>
        <v>04-08-2020</v>
      </c>
      <c r="N2136" t="str">
        <f t="shared" si="877"/>
        <v>001105018356</v>
      </c>
      <c r="O2136" t="str">
        <f t="shared" si="878"/>
        <v>MYR</v>
      </c>
      <c r="P2136" t="str">
        <f t="shared" si="889"/>
        <v>NIL</v>
      </c>
      <c r="Q2136" t="str">
        <f t="shared" si="889"/>
        <v>NIL</v>
      </c>
      <c r="R2136" t="str">
        <f t="shared" si="879"/>
        <v>Accepted</v>
      </c>
      <c r="S2136" t="str">
        <f t="shared" si="880"/>
        <v>Approved</v>
      </c>
      <c r="T2136" t="str">
        <f t="shared" si="881"/>
        <v>10.20.8.188</v>
      </c>
      <c r="U2136" t="str">
        <f t="shared" si="882"/>
        <v>AZRAD UMAR BIN SHAARI</v>
      </c>
      <c r="V2136" t="str">
        <f t="shared" si="883"/>
        <v>FARHANA BINTI MUSTAPA</v>
      </c>
      <c r="W2136" t="str">
        <f t="shared" si="884"/>
        <v>04-08-2020</v>
      </c>
      <c r="X2136" t="str">
        <f t="shared" si="885"/>
        <v>RAZIMAH ANSAR AHMAD</v>
      </c>
      <c r="Y2136" t="str">
        <f t="shared" si="886"/>
        <v>04-08-2020</v>
      </c>
      <c r="Z2136" t="str">
        <f>"COS10200804 7018"</f>
        <v>COS10200804 7018</v>
      </c>
    </row>
    <row r="2137" spans="1:26" x14ac:dyDescent="0.25">
      <c r="A2137" t="str">
        <f t="shared" si="872"/>
        <v>04-08-2020 01:05:33</v>
      </c>
      <c r="B2137" t="str">
        <f>"0000808815"</f>
        <v>0000808815</v>
      </c>
      <c r="C2137" t="str">
        <f t="shared" si="873"/>
        <v>0000808798</v>
      </c>
      <c r="D2137" t="str">
        <f t="shared" si="874"/>
        <v>73185</v>
      </c>
      <c r="E2137" t="str">
        <f t="shared" si="875"/>
        <v>KFH-OPERATIONS DEPARTMENT</v>
      </c>
      <c r="F2137" t="str">
        <f t="shared" si="876"/>
        <v>IBG</v>
      </c>
      <c r="G2137" t="str">
        <f t="shared" si="887"/>
        <v>Refund COSHARE 10</v>
      </c>
      <c r="H2137" s="2">
        <v>1091.3499999999999</v>
      </c>
      <c r="I2137" t="str">
        <f>"ROHASMAWATI BINTI ABD RAHMAN"</f>
        <v>ROHASMAWATI BINTI ABD RAHMAN</v>
      </c>
      <c r="J2137" t="str">
        <f t="shared" si="890"/>
        <v>MAYBANK / MAYBANK ISLAMIC</v>
      </c>
      <c r="K2137" t="str">
        <f>"101133210052"</f>
        <v>101133210052</v>
      </c>
      <c r="L2137" t="str">
        <f t="shared" si="888"/>
        <v>04-08-2020</v>
      </c>
      <c r="M2137" t="str">
        <f t="shared" si="888"/>
        <v>04-08-2020</v>
      </c>
      <c r="N2137" t="str">
        <f t="shared" si="877"/>
        <v>001105018356</v>
      </c>
      <c r="O2137" t="str">
        <f t="shared" si="878"/>
        <v>MYR</v>
      </c>
      <c r="P2137" t="str">
        <f t="shared" si="889"/>
        <v>NIL</v>
      </c>
      <c r="Q2137" t="str">
        <f t="shared" si="889"/>
        <v>NIL</v>
      </c>
      <c r="R2137" t="str">
        <f t="shared" si="879"/>
        <v>Accepted</v>
      </c>
      <c r="S2137" t="str">
        <f t="shared" si="880"/>
        <v>Approved</v>
      </c>
      <c r="T2137" t="str">
        <f t="shared" si="881"/>
        <v>10.20.8.188</v>
      </c>
      <c r="U2137" t="str">
        <f t="shared" si="882"/>
        <v>AZRAD UMAR BIN SHAARI</v>
      </c>
      <c r="V2137" t="str">
        <f t="shared" si="883"/>
        <v>FARHANA BINTI MUSTAPA</v>
      </c>
      <c r="W2137" t="str">
        <f t="shared" si="884"/>
        <v>04-08-2020</v>
      </c>
      <c r="X2137" t="str">
        <f t="shared" si="885"/>
        <v>RAZIMAH ANSAR AHMAD</v>
      </c>
      <c r="Y2137" t="str">
        <f t="shared" si="886"/>
        <v>04-08-2020</v>
      </c>
      <c r="Z2137" t="str">
        <f>"COS10200804 7017"</f>
        <v>COS10200804 7017</v>
      </c>
    </row>
    <row r="2138" spans="1:26" x14ac:dyDescent="0.25">
      <c r="A2138" t="str">
        <f t="shared" si="872"/>
        <v>04-08-2020 01:05:33</v>
      </c>
      <c r="B2138" t="str">
        <f>"0000808814"</f>
        <v>0000808814</v>
      </c>
      <c r="C2138" t="str">
        <f t="shared" si="873"/>
        <v>0000808798</v>
      </c>
      <c r="D2138" t="str">
        <f t="shared" si="874"/>
        <v>73185</v>
      </c>
      <c r="E2138" t="str">
        <f t="shared" si="875"/>
        <v>KFH-OPERATIONS DEPARTMENT</v>
      </c>
      <c r="F2138" t="str">
        <f t="shared" si="876"/>
        <v>IBG</v>
      </c>
      <c r="G2138" t="str">
        <f t="shared" si="887"/>
        <v>Refund COSHARE 10</v>
      </c>
      <c r="H2138" s="2">
        <v>1070</v>
      </c>
      <c r="I2138" t="str">
        <f>"ROHANIAH BINTI ABDULLAH"</f>
        <v>ROHANIAH BINTI ABDULLAH</v>
      </c>
      <c r="J2138" t="str">
        <f t="shared" si="890"/>
        <v>MAYBANK / MAYBANK ISLAMIC</v>
      </c>
      <c r="K2138" t="str">
        <f>"101011138971"</f>
        <v>101011138971</v>
      </c>
      <c r="L2138" t="str">
        <f t="shared" si="888"/>
        <v>04-08-2020</v>
      </c>
      <c r="M2138" t="str">
        <f t="shared" si="888"/>
        <v>04-08-2020</v>
      </c>
      <c r="N2138" t="str">
        <f t="shared" si="877"/>
        <v>001105018356</v>
      </c>
      <c r="O2138" t="str">
        <f t="shared" si="878"/>
        <v>MYR</v>
      </c>
      <c r="P2138" t="str">
        <f t="shared" si="889"/>
        <v>NIL</v>
      </c>
      <c r="Q2138" t="str">
        <f t="shared" si="889"/>
        <v>NIL</v>
      </c>
      <c r="R2138" t="str">
        <f t="shared" si="879"/>
        <v>Accepted</v>
      </c>
      <c r="S2138" t="str">
        <f t="shared" si="880"/>
        <v>Approved</v>
      </c>
      <c r="T2138" t="str">
        <f t="shared" si="881"/>
        <v>10.20.8.188</v>
      </c>
      <c r="U2138" t="str">
        <f t="shared" si="882"/>
        <v>AZRAD UMAR BIN SHAARI</v>
      </c>
      <c r="V2138" t="str">
        <f t="shared" si="883"/>
        <v>FARHANA BINTI MUSTAPA</v>
      </c>
      <c r="W2138" t="str">
        <f t="shared" si="884"/>
        <v>04-08-2020</v>
      </c>
      <c r="X2138" t="str">
        <f t="shared" si="885"/>
        <v>RAZIMAH ANSAR AHMAD</v>
      </c>
      <c r="Y2138" t="str">
        <f t="shared" si="886"/>
        <v>04-08-2020</v>
      </c>
      <c r="Z2138" t="str">
        <f>"COS10200804 7016"</f>
        <v>COS10200804 7016</v>
      </c>
    </row>
    <row r="2139" spans="1:26" x14ac:dyDescent="0.25">
      <c r="A2139" t="str">
        <f t="shared" si="872"/>
        <v>04-08-2020 01:05:33</v>
      </c>
      <c r="B2139" t="str">
        <f>"0000808813"</f>
        <v>0000808813</v>
      </c>
      <c r="C2139" t="str">
        <f t="shared" si="873"/>
        <v>0000808798</v>
      </c>
      <c r="D2139" t="str">
        <f t="shared" si="874"/>
        <v>73185</v>
      </c>
      <c r="E2139" t="str">
        <f t="shared" si="875"/>
        <v>KFH-OPERATIONS DEPARTMENT</v>
      </c>
      <c r="F2139" t="str">
        <f t="shared" si="876"/>
        <v>IBG</v>
      </c>
      <c r="G2139" t="str">
        <f t="shared" si="887"/>
        <v>Refund COSHARE 10</v>
      </c>
      <c r="H2139" s="2">
        <v>792.25</v>
      </c>
      <c r="I2139" t="str">
        <f>"ROHANI BT MOHD DIN"</f>
        <v>ROHANI BT MOHD DIN</v>
      </c>
      <c r="J2139" t="str">
        <f t="shared" si="890"/>
        <v>MAYBANK / MAYBANK ISLAMIC</v>
      </c>
      <c r="K2139" t="str">
        <f>"108225110138"</f>
        <v>108225110138</v>
      </c>
      <c r="L2139" t="str">
        <f t="shared" si="888"/>
        <v>04-08-2020</v>
      </c>
      <c r="M2139" t="str">
        <f t="shared" si="888"/>
        <v>04-08-2020</v>
      </c>
      <c r="N2139" t="str">
        <f t="shared" si="877"/>
        <v>001105018356</v>
      </c>
      <c r="O2139" t="str">
        <f t="shared" si="878"/>
        <v>MYR</v>
      </c>
      <c r="P2139" t="str">
        <f t="shared" si="889"/>
        <v>NIL</v>
      </c>
      <c r="Q2139" t="str">
        <f t="shared" si="889"/>
        <v>NIL</v>
      </c>
      <c r="R2139" t="str">
        <f t="shared" si="879"/>
        <v>Accepted</v>
      </c>
      <c r="S2139" t="str">
        <f t="shared" si="880"/>
        <v>Approved</v>
      </c>
      <c r="T2139" t="str">
        <f t="shared" si="881"/>
        <v>10.20.8.188</v>
      </c>
      <c r="U2139" t="str">
        <f t="shared" si="882"/>
        <v>AZRAD UMAR BIN SHAARI</v>
      </c>
      <c r="V2139" t="str">
        <f t="shared" si="883"/>
        <v>FARHANA BINTI MUSTAPA</v>
      </c>
      <c r="W2139" t="str">
        <f t="shared" si="884"/>
        <v>04-08-2020</v>
      </c>
      <c r="X2139" t="str">
        <f t="shared" si="885"/>
        <v>RAZIMAH ANSAR AHMAD</v>
      </c>
      <c r="Y2139" t="str">
        <f t="shared" si="886"/>
        <v>04-08-2020</v>
      </c>
      <c r="Z2139" t="str">
        <f>"COS10200804 7015"</f>
        <v>COS10200804 7015</v>
      </c>
    </row>
    <row r="2140" spans="1:26" x14ac:dyDescent="0.25">
      <c r="A2140" t="str">
        <f t="shared" si="872"/>
        <v>04-08-2020 01:05:33</v>
      </c>
      <c r="B2140" t="str">
        <f>"0000808812"</f>
        <v>0000808812</v>
      </c>
      <c r="C2140" t="str">
        <f t="shared" si="873"/>
        <v>0000808798</v>
      </c>
      <c r="D2140" t="str">
        <f t="shared" si="874"/>
        <v>73185</v>
      </c>
      <c r="E2140" t="str">
        <f t="shared" si="875"/>
        <v>KFH-OPERATIONS DEPARTMENT</v>
      </c>
      <c r="F2140" t="str">
        <f t="shared" si="876"/>
        <v>IBG</v>
      </c>
      <c r="G2140" t="str">
        <f t="shared" si="887"/>
        <v>Refund COSHARE 10</v>
      </c>
      <c r="H2140" s="2">
        <v>671.6</v>
      </c>
      <c r="I2140" t="str">
        <f>"ROHANI BINTI RAZALI"</f>
        <v>ROHANI BINTI RAZALI</v>
      </c>
      <c r="J2140" t="str">
        <f t="shared" si="890"/>
        <v>MAYBANK / MAYBANK ISLAMIC</v>
      </c>
      <c r="K2140" t="str">
        <f>"114160971295"</f>
        <v>114160971295</v>
      </c>
      <c r="L2140" t="str">
        <f t="shared" si="888"/>
        <v>04-08-2020</v>
      </c>
      <c r="M2140" t="str">
        <f t="shared" si="888"/>
        <v>04-08-2020</v>
      </c>
      <c r="N2140" t="str">
        <f t="shared" si="877"/>
        <v>001105018356</v>
      </c>
      <c r="O2140" t="str">
        <f t="shared" si="878"/>
        <v>MYR</v>
      </c>
      <c r="P2140" t="str">
        <f t="shared" si="889"/>
        <v>NIL</v>
      </c>
      <c r="Q2140" t="str">
        <f t="shared" si="889"/>
        <v>NIL</v>
      </c>
      <c r="R2140" t="str">
        <f t="shared" si="879"/>
        <v>Accepted</v>
      </c>
      <c r="S2140" t="str">
        <f t="shared" si="880"/>
        <v>Approved</v>
      </c>
      <c r="T2140" t="str">
        <f t="shared" si="881"/>
        <v>10.20.8.188</v>
      </c>
      <c r="U2140" t="str">
        <f t="shared" si="882"/>
        <v>AZRAD UMAR BIN SHAARI</v>
      </c>
      <c r="V2140" t="str">
        <f t="shared" si="883"/>
        <v>FARHANA BINTI MUSTAPA</v>
      </c>
      <c r="W2140" t="str">
        <f t="shared" si="884"/>
        <v>04-08-2020</v>
      </c>
      <c r="X2140" t="str">
        <f t="shared" si="885"/>
        <v>RAZIMAH ANSAR AHMAD</v>
      </c>
      <c r="Y2140" t="str">
        <f t="shared" si="886"/>
        <v>04-08-2020</v>
      </c>
      <c r="Z2140" t="str">
        <f>"COS10200804 7014"</f>
        <v>COS10200804 7014</v>
      </c>
    </row>
    <row r="2141" spans="1:26" x14ac:dyDescent="0.25">
      <c r="A2141" t="str">
        <f t="shared" si="872"/>
        <v>04-08-2020 01:05:33</v>
      </c>
      <c r="B2141" t="str">
        <f>"0000808811"</f>
        <v>0000808811</v>
      </c>
      <c r="C2141" t="str">
        <f t="shared" si="873"/>
        <v>0000808798</v>
      </c>
      <c r="D2141" t="str">
        <f t="shared" si="874"/>
        <v>73185</v>
      </c>
      <c r="E2141" t="str">
        <f t="shared" si="875"/>
        <v>KFH-OPERATIONS DEPARTMENT</v>
      </c>
      <c r="F2141" t="str">
        <f t="shared" si="876"/>
        <v>IBG</v>
      </c>
      <c r="G2141" t="str">
        <f t="shared" si="887"/>
        <v>Refund COSHARE 10</v>
      </c>
      <c r="H2141" s="2">
        <v>1807</v>
      </c>
      <c r="I2141" t="str">
        <f>"ROHANI BINTI ABU BAKAR"</f>
        <v>ROHANI BINTI ABU BAKAR</v>
      </c>
      <c r="J2141" t="str">
        <f t="shared" si="890"/>
        <v>MAYBANK / MAYBANK ISLAMIC</v>
      </c>
      <c r="K2141" t="str">
        <f>"163019058961"</f>
        <v>163019058961</v>
      </c>
      <c r="L2141" t="str">
        <f t="shared" si="888"/>
        <v>04-08-2020</v>
      </c>
      <c r="M2141" t="str">
        <f t="shared" si="888"/>
        <v>04-08-2020</v>
      </c>
      <c r="N2141" t="str">
        <f t="shared" si="877"/>
        <v>001105018356</v>
      </c>
      <c r="O2141" t="str">
        <f t="shared" si="878"/>
        <v>MYR</v>
      </c>
      <c r="P2141" t="str">
        <f t="shared" si="889"/>
        <v>NIL</v>
      </c>
      <c r="Q2141" t="str">
        <f t="shared" si="889"/>
        <v>NIL</v>
      </c>
      <c r="R2141" t="str">
        <f t="shared" si="879"/>
        <v>Accepted</v>
      </c>
      <c r="S2141" t="str">
        <f t="shared" si="880"/>
        <v>Approved</v>
      </c>
      <c r="T2141" t="str">
        <f t="shared" si="881"/>
        <v>10.20.8.188</v>
      </c>
      <c r="U2141" t="str">
        <f t="shared" si="882"/>
        <v>AZRAD UMAR BIN SHAARI</v>
      </c>
      <c r="V2141" t="str">
        <f t="shared" si="883"/>
        <v>FARHANA BINTI MUSTAPA</v>
      </c>
      <c r="W2141" t="str">
        <f t="shared" si="884"/>
        <v>04-08-2020</v>
      </c>
      <c r="X2141" t="str">
        <f t="shared" si="885"/>
        <v>RAZIMAH ANSAR AHMAD</v>
      </c>
      <c r="Y2141" t="str">
        <f t="shared" si="886"/>
        <v>04-08-2020</v>
      </c>
      <c r="Z2141" t="str">
        <f>"COS10200804 7013"</f>
        <v>COS10200804 7013</v>
      </c>
    </row>
    <row r="2142" spans="1:26" x14ac:dyDescent="0.25">
      <c r="A2142" t="str">
        <f t="shared" si="872"/>
        <v>04-08-2020 01:05:33</v>
      </c>
      <c r="B2142" t="str">
        <f>"0000808810"</f>
        <v>0000808810</v>
      </c>
      <c r="C2142" t="str">
        <f t="shared" si="873"/>
        <v>0000808798</v>
      </c>
      <c r="D2142" t="str">
        <f t="shared" si="874"/>
        <v>73185</v>
      </c>
      <c r="E2142" t="str">
        <f t="shared" si="875"/>
        <v>KFH-OPERATIONS DEPARTMENT</v>
      </c>
      <c r="F2142" t="str">
        <f t="shared" si="876"/>
        <v>IBG</v>
      </c>
      <c r="G2142" t="str">
        <f t="shared" si="887"/>
        <v>Refund COSHARE 10</v>
      </c>
      <c r="H2142" s="2">
        <v>1326.4</v>
      </c>
      <c r="I2142" t="str">
        <f>"ROHANI BINTI ABD RAZAK"</f>
        <v>ROHANI BINTI ABD RAZAK</v>
      </c>
      <c r="J2142" t="str">
        <f t="shared" si="890"/>
        <v>MAYBANK / MAYBANK ISLAMIC</v>
      </c>
      <c r="K2142" t="str">
        <f>"164100245918"</f>
        <v>164100245918</v>
      </c>
      <c r="L2142" t="str">
        <f t="shared" si="888"/>
        <v>04-08-2020</v>
      </c>
      <c r="M2142" t="str">
        <f t="shared" si="888"/>
        <v>04-08-2020</v>
      </c>
      <c r="N2142" t="str">
        <f t="shared" si="877"/>
        <v>001105018356</v>
      </c>
      <c r="O2142" t="str">
        <f t="shared" si="878"/>
        <v>MYR</v>
      </c>
      <c r="P2142" t="str">
        <f t="shared" si="889"/>
        <v>NIL</v>
      </c>
      <c r="Q2142" t="str">
        <f t="shared" si="889"/>
        <v>NIL</v>
      </c>
      <c r="R2142" t="str">
        <f t="shared" si="879"/>
        <v>Accepted</v>
      </c>
      <c r="S2142" t="str">
        <f t="shared" si="880"/>
        <v>Approved</v>
      </c>
      <c r="T2142" t="str">
        <f t="shared" si="881"/>
        <v>10.20.8.188</v>
      </c>
      <c r="U2142" t="str">
        <f t="shared" si="882"/>
        <v>AZRAD UMAR BIN SHAARI</v>
      </c>
      <c r="V2142" t="str">
        <f t="shared" si="883"/>
        <v>FARHANA BINTI MUSTAPA</v>
      </c>
      <c r="W2142" t="str">
        <f t="shared" si="884"/>
        <v>04-08-2020</v>
      </c>
      <c r="X2142" t="str">
        <f t="shared" si="885"/>
        <v>RAZIMAH ANSAR AHMAD</v>
      </c>
      <c r="Y2142" t="str">
        <f t="shared" si="886"/>
        <v>04-08-2020</v>
      </c>
      <c r="Z2142" t="str">
        <f>"COS10200804 7012"</f>
        <v>COS10200804 7012</v>
      </c>
    </row>
    <row r="2143" spans="1:26" x14ac:dyDescent="0.25">
      <c r="A2143" t="str">
        <f t="shared" si="872"/>
        <v>04-08-2020 01:05:33</v>
      </c>
      <c r="B2143" t="str">
        <f>"0000808809"</f>
        <v>0000808809</v>
      </c>
      <c r="C2143" t="str">
        <f t="shared" si="873"/>
        <v>0000808798</v>
      </c>
      <c r="D2143" t="str">
        <f t="shared" si="874"/>
        <v>73185</v>
      </c>
      <c r="E2143" t="str">
        <f t="shared" si="875"/>
        <v>KFH-OPERATIONS DEPARTMENT</v>
      </c>
      <c r="F2143" t="str">
        <f t="shared" si="876"/>
        <v>IBG</v>
      </c>
      <c r="G2143" t="str">
        <f t="shared" si="887"/>
        <v>Refund COSHARE 10</v>
      </c>
      <c r="H2143" s="2">
        <v>228</v>
      </c>
      <c r="I2143" t="str">
        <f>"ROHANI BINTI ABD RAZAK"</f>
        <v>ROHANI BINTI ABD RAZAK</v>
      </c>
      <c r="J2143" t="str">
        <f t="shared" si="890"/>
        <v>MAYBANK / MAYBANK ISLAMIC</v>
      </c>
      <c r="K2143" t="str">
        <f>"164100245918"</f>
        <v>164100245918</v>
      </c>
      <c r="L2143" t="str">
        <f t="shared" si="888"/>
        <v>04-08-2020</v>
      </c>
      <c r="M2143" t="str">
        <f t="shared" si="888"/>
        <v>04-08-2020</v>
      </c>
      <c r="N2143" t="str">
        <f t="shared" si="877"/>
        <v>001105018356</v>
      </c>
      <c r="O2143" t="str">
        <f t="shared" si="878"/>
        <v>MYR</v>
      </c>
      <c r="P2143" t="str">
        <f t="shared" si="889"/>
        <v>NIL</v>
      </c>
      <c r="Q2143" t="str">
        <f t="shared" si="889"/>
        <v>NIL</v>
      </c>
      <c r="R2143" t="str">
        <f t="shared" si="879"/>
        <v>Accepted</v>
      </c>
      <c r="S2143" t="str">
        <f t="shared" si="880"/>
        <v>Approved</v>
      </c>
      <c r="T2143" t="str">
        <f t="shared" si="881"/>
        <v>10.20.8.188</v>
      </c>
      <c r="U2143" t="str">
        <f t="shared" si="882"/>
        <v>AZRAD UMAR BIN SHAARI</v>
      </c>
      <c r="V2143" t="str">
        <f t="shared" si="883"/>
        <v>FARHANA BINTI MUSTAPA</v>
      </c>
      <c r="W2143" t="str">
        <f t="shared" si="884"/>
        <v>04-08-2020</v>
      </c>
      <c r="X2143" t="str">
        <f t="shared" si="885"/>
        <v>RAZIMAH ANSAR AHMAD</v>
      </c>
      <c r="Y2143" t="str">
        <f t="shared" si="886"/>
        <v>04-08-2020</v>
      </c>
      <c r="Z2143" t="str">
        <f>"COS10200804 7011"</f>
        <v>COS10200804 7011</v>
      </c>
    </row>
    <row r="2144" spans="1:26" x14ac:dyDescent="0.25">
      <c r="A2144" t="str">
        <f t="shared" si="872"/>
        <v>04-08-2020 01:05:33</v>
      </c>
      <c r="B2144" t="str">
        <f>"0000808808"</f>
        <v>0000808808</v>
      </c>
      <c r="C2144" t="str">
        <f t="shared" si="873"/>
        <v>0000808798</v>
      </c>
      <c r="D2144" t="str">
        <f t="shared" si="874"/>
        <v>73185</v>
      </c>
      <c r="E2144" t="str">
        <f t="shared" si="875"/>
        <v>KFH-OPERATIONS DEPARTMENT</v>
      </c>
      <c r="F2144" t="str">
        <f t="shared" si="876"/>
        <v>IBG</v>
      </c>
      <c r="G2144" t="str">
        <f t="shared" si="887"/>
        <v>Refund COSHARE 10</v>
      </c>
      <c r="H2144" s="2">
        <v>832.65</v>
      </c>
      <c r="I2144" t="str">
        <f>"ROHANI BIN SELAMAT"</f>
        <v>ROHANI BIN SELAMAT</v>
      </c>
      <c r="J2144" t="str">
        <f t="shared" si="890"/>
        <v>MAYBANK / MAYBANK ISLAMIC</v>
      </c>
      <c r="K2144" t="str">
        <f>"101114248739"</f>
        <v>101114248739</v>
      </c>
      <c r="L2144" t="str">
        <f t="shared" si="888"/>
        <v>04-08-2020</v>
      </c>
      <c r="M2144" t="str">
        <f t="shared" si="888"/>
        <v>04-08-2020</v>
      </c>
      <c r="N2144" t="str">
        <f t="shared" si="877"/>
        <v>001105018356</v>
      </c>
      <c r="O2144" t="str">
        <f t="shared" si="878"/>
        <v>MYR</v>
      </c>
      <c r="P2144" t="str">
        <f t="shared" si="889"/>
        <v>NIL</v>
      </c>
      <c r="Q2144" t="str">
        <f t="shared" si="889"/>
        <v>NIL</v>
      </c>
      <c r="R2144" t="str">
        <f t="shared" si="879"/>
        <v>Accepted</v>
      </c>
      <c r="S2144" t="str">
        <f t="shared" si="880"/>
        <v>Approved</v>
      </c>
      <c r="T2144" t="str">
        <f t="shared" si="881"/>
        <v>10.20.8.188</v>
      </c>
      <c r="U2144" t="str">
        <f t="shared" si="882"/>
        <v>AZRAD UMAR BIN SHAARI</v>
      </c>
      <c r="V2144" t="str">
        <f t="shared" si="883"/>
        <v>FARHANA BINTI MUSTAPA</v>
      </c>
      <c r="W2144" t="str">
        <f t="shared" si="884"/>
        <v>04-08-2020</v>
      </c>
      <c r="X2144" t="str">
        <f t="shared" si="885"/>
        <v>RAZIMAH ANSAR AHMAD</v>
      </c>
      <c r="Y2144" t="str">
        <f t="shared" si="886"/>
        <v>04-08-2020</v>
      </c>
      <c r="Z2144" t="str">
        <f>"COS10200804 7010"</f>
        <v>COS10200804 7010</v>
      </c>
    </row>
    <row r="2145" spans="1:26" x14ac:dyDescent="0.25">
      <c r="A2145" t="str">
        <f t="shared" si="872"/>
        <v>04-08-2020 01:05:33</v>
      </c>
      <c r="B2145" t="str">
        <f>"0000808807"</f>
        <v>0000808807</v>
      </c>
      <c r="C2145" t="str">
        <f t="shared" si="873"/>
        <v>0000808798</v>
      </c>
      <c r="D2145" t="str">
        <f t="shared" si="874"/>
        <v>73185</v>
      </c>
      <c r="E2145" t="str">
        <f t="shared" si="875"/>
        <v>KFH-OPERATIONS DEPARTMENT</v>
      </c>
      <c r="F2145" t="str">
        <f t="shared" si="876"/>
        <v>IBG</v>
      </c>
      <c r="G2145" t="str">
        <f t="shared" si="887"/>
        <v>Refund COSHARE 10</v>
      </c>
      <c r="H2145" s="2">
        <v>754</v>
      </c>
      <c r="I2145" t="str">
        <f>"ROHANA BINTI ZAKARIA"</f>
        <v>ROHANA BINTI ZAKARIA</v>
      </c>
      <c r="J2145" t="str">
        <f t="shared" si="890"/>
        <v>MAYBANK / MAYBANK ISLAMIC</v>
      </c>
      <c r="K2145" t="str">
        <f>"162375652037"</f>
        <v>162375652037</v>
      </c>
      <c r="L2145" t="str">
        <f t="shared" si="888"/>
        <v>04-08-2020</v>
      </c>
      <c r="M2145" t="str">
        <f t="shared" si="888"/>
        <v>04-08-2020</v>
      </c>
      <c r="N2145" t="str">
        <f t="shared" si="877"/>
        <v>001105018356</v>
      </c>
      <c r="O2145" t="str">
        <f t="shared" si="878"/>
        <v>MYR</v>
      </c>
      <c r="P2145" t="str">
        <f t="shared" si="889"/>
        <v>NIL</v>
      </c>
      <c r="Q2145" t="str">
        <f t="shared" si="889"/>
        <v>NIL</v>
      </c>
      <c r="R2145" t="str">
        <f t="shared" si="879"/>
        <v>Accepted</v>
      </c>
      <c r="S2145" t="str">
        <f t="shared" si="880"/>
        <v>Approved</v>
      </c>
      <c r="T2145" t="str">
        <f t="shared" si="881"/>
        <v>10.20.8.188</v>
      </c>
      <c r="U2145" t="str">
        <f t="shared" si="882"/>
        <v>AZRAD UMAR BIN SHAARI</v>
      </c>
      <c r="V2145" t="str">
        <f t="shared" si="883"/>
        <v>FARHANA BINTI MUSTAPA</v>
      </c>
      <c r="W2145" t="str">
        <f t="shared" si="884"/>
        <v>04-08-2020</v>
      </c>
      <c r="X2145" t="str">
        <f t="shared" si="885"/>
        <v>RAZIMAH ANSAR AHMAD</v>
      </c>
      <c r="Y2145" t="str">
        <f t="shared" si="886"/>
        <v>04-08-2020</v>
      </c>
      <c r="Z2145" t="str">
        <f>"COS10200804 7009"</f>
        <v>COS10200804 7009</v>
      </c>
    </row>
    <row r="2146" spans="1:26" x14ac:dyDescent="0.25">
      <c r="A2146" t="str">
        <f t="shared" ref="A2146:A2153" si="891">"04-08-2020 01:05:33"</f>
        <v>04-08-2020 01:05:33</v>
      </c>
      <c r="B2146" t="str">
        <f>"0000808806"</f>
        <v>0000808806</v>
      </c>
      <c r="C2146" t="str">
        <f t="shared" ref="C2146:C2153" si="892">"0000808798"</f>
        <v>0000808798</v>
      </c>
      <c r="D2146" t="str">
        <f t="shared" si="874"/>
        <v>73185</v>
      </c>
      <c r="E2146" t="str">
        <f t="shared" si="875"/>
        <v>KFH-OPERATIONS DEPARTMENT</v>
      </c>
      <c r="F2146" t="str">
        <f t="shared" si="876"/>
        <v>IBG</v>
      </c>
      <c r="G2146" t="str">
        <f t="shared" si="887"/>
        <v>Refund COSHARE 10</v>
      </c>
      <c r="H2146" s="2">
        <v>196.5</v>
      </c>
      <c r="I2146" t="str">
        <f>"ROHANA BINTI SEMAAIL  ISMAIL"</f>
        <v>ROHANA BINTI SEMAAIL  ISMAIL</v>
      </c>
      <c r="J2146" t="str">
        <f t="shared" si="890"/>
        <v>MAYBANK / MAYBANK ISLAMIC</v>
      </c>
      <c r="K2146" t="str">
        <f>"114310141689"</f>
        <v>114310141689</v>
      </c>
      <c r="L2146" t="str">
        <f t="shared" si="888"/>
        <v>04-08-2020</v>
      </c>
      <c r="M2146" t="str">
        <f t="shared" si="888"/>
        <v>04-08-2020</v>
      </c>
      <c r="N2146" t="str">
        <f t="shared" si="877"/>
        <v>001105018356</v>
      </c>
      <c r="O2146" t="str">
        <f t="shared" si="878"/>
        <v>MYR</v>
      </c>
      <c r="P2146" t="str">
        <f t="shared" si="889"/>
        <v>NIL</v>
      </c>
      <c r="Q2146" t="str">
        <f t="shared" si="889"/>
        <v>NIL</v>
      </c>
      <c r="R2146" t="str">
        <f t="shared" si="879"/>
        <v>Accepted</v>
      </c>
      <c r="S2146" t="str">
        <f t="shared" si="880"/>
        <v>Approved</v>
      </c>
      <c r="T2146" t="str">
        <f t="shared" si="881"/>
        <v>10.20.8.188</v>
      </c>
      <c r="U2146" t="str">
        <f t="shared" si="882"/>
        <v>AZRAD UMAR BIN SHAARI</v>
      </c>
      <c r="V2146" t="str">
        <f t="shared" si="883"/>
        <v>FARHANA BINTI MUSTAPA</v>
      </c>
      <c r="W2146" t="str">
        <f t="shared" si="884"/>
        <v>04-08-2020</v>
      </c>
      <c r="X2146" t="str">
        <f t="shared" si="885"/>
        <v>RAZIMAH ANSAR AHMAD</v>
      </c>
      <c r="Y2146" t="str">
        <f t="shared" si="886"/>
        <v>04-08-2020</v>
      </c>
      <c r="Z2146" t="str">
        <f>"COS10200804 7008"</f>
        <v>COS10200804 7008</v>
      </c>
    </row>
    <row r="2147" spans="1:26" x14ac:dyDescent="0.25">
      <c r="A2147" t="str">
        <f t="shared" si="891"/>
        <v>04-08-2020 01:05:33</v>
      </c>
      <c r="B2147" t="str">
        <f>"0000808805"</f>
        <v>0000808805</v>
      </c>
      <c r="C2147" t="str">
        <f t="shared" si="892"/>
        <v>0000808798</v>
      </c>
      <c r="D2147" t="str">
        <f t="shared" si="874"/>
        <v>73185</v>
      </c>
      <c r="E2147" t="str">
        <f t="shared" si="875"/>
        <v>KFH-OPERATIONS DEPARTMENT</v>
      </c>
      <c r="F2147" t="str">
        <f t="shared" si="876"/>
        <v>IBG</v>
      </c>
      <c r="G2147" t="str">
        <f t="shared" si="887"/>
        <v>Refund COSHARE 10</v>
      </c>
      <c r="H2147" s="2">
        <v>827</v>
      </c>
      <c r="I2147" t="str">
        <f>"ROHANA BINTI MOHAMAD"</f>
        <v>ROHANA BINTI MOHAMAD</v>
      </c>
      <c r="J2147" t="str">
        <f t="shared" si="890"/>
        <v>MAYBANK / MAYBANK ISLAMIC</v>
      </c>
      <c r="K2147" t="str">
        <f>"159012655128"</f>
        <v>159012655128</v>
      </c>
      <c r="L2147" t="str">
        <f t="shared" ref="L2147:M2166" si="893">"04-08-2020"</f>
        <v>04-08-2020</v>
      </c>
      <c r="M2147" t="str">
        <f t="shared" si="893"/>
        <v>04-08-2020</v>
      </c>
      <c r="N2147" t="str">
        <f t="shared" si="877"/>
        <v>001105018356</v>
      </c>
      <c r="O2147" t="str">
        <f t="shared" si="878"/>
        <v>MYR</v>
      </c>
      <c r="P2147" t="str">
        <f t="shared" ref="P2147:Q2166" si="894">"NIL"</f>
        <v>NIL</v>
      </c>
      <c r="Q2147" t="str">
        <f t="shared" si="894"/>
        <v>NIL</v>
      </c>
      <c r="R2147" t="str">
        <f t="shared" si="879"/>
        <v>Accepted</v>
      </c>
      <c r="S2147" t="str">
        <f t="shared" si="880"/>
        <v>Approved</v>
      </c>
      <c r="T2147" t="str">
        <f t="shared" si="881"/>
        <v>10.20.8.188</v>
      </c>
      <c r="U2147" t="str">
        <f t="shared" si="882"/>
        <v>AZRAD UMAR BIN SHAARI</v>
      </c>
      <c r="V2147" t="str">
        <f t="shared" si="883"/>
        <v>FARHANA BINTI MUSTAPA</v>
      </c>
      <c r="W2147" t="str">
        <f t="shared" si="884"/>
        <v>04-08-2020</v>
      </c>
      <c r="X2147" t="str">
        <f t="shared" si="885"/>
        <v>RAZIMAH ANSAR AHMAD</v>
      </c>
      <c r="Y2147" t="str">
        <f t="shared" si="886"/>
        <v>04-08-2020</v>
      </c>
      <c r="Z2147" t="str">
        <f>"COS10200804 7007"</f>
        <v>COS10200804 7007</v>
      </c>
    </row>
    <row r="2148" spans="1:26" x14ac:dyDescent="0.25">
      <c r="A2148" t="str">
        <f t="shared" si="891"/>
        <v>04-08-2020 01:05:33</v>
      </c>
      <c r="B2148" t="str">
        <f>"0000808804"</f>
        <v>0000808804</v>
      </c>
      <c r="C2148" t="str">
        <f t="shared" si="892"/>
        <v>0000808798</v>
      </c>
      <c r="D2148" t="str">
        <f t="shared" si="874"/>
        <v>73185</v>
      </c>
      <c r="E2148" t="str">
        <f t="shared" si="875"/>
        <v>KFH-OPERATIONS DEPARTMENT</v>
      </c>
      <c r="F2148" t="str">
        <f t="shared" si="876"/>
        <v>IBG</v>
      </c>
      <c r="G2148" t="str">
        <f t="shared" si="887"/>
        <v>Refund COSHARE 10</v>
      </c>
      <c r="H2148" s="2">
        <v>545.70000000000005</v>
      </c>
      <c r="I2148" t="str">
        <f>"ROHANA BINTI JALIL"</f>
        <v>ROHANA BINTI JALIL</v>
      </c>
      <c r="J2148" t="str">
        <f t="shared" si="890"/>
        <v>MAYBANK / MAYBANK ISLAMIC</v>
      </c>
      <c r="K2148" t="str">
        <f>"166010012718"</f>
        <v>166010012718</v>
      </c>
      <c r="L2148" t="str">
        <f t="shared" si="893"/>
        <v>04-08-2020</v>
      </c>
      <c r="M2148" t="str">
        <f t="shared" si="893"/>
        <v>04-08-2020</v>
      </c>
      <c r="N2148" t="str">
        <f t="shared" si="877"/>
        <v>001105018356</v>
      </c>
      <c r="O2148" t="str">
        <f t="shared" si="878"/>
        <v>MYR</v>
      </c>
      <c r="P2148" t="str">
        <f t="shared" si="894"/>
        <v>NIL</v>
      </c>
      <c r="Q2148" t="str">
        <f t="shared" si="894"/>
        <v>NIL</v>
      </c>
      <c r="R2148" t="str">
        <f t="shared" si="879"/>
        <v>Accepted</v>
      </c>
      <c r="S2148" t="str">
        <f t="shared" si="880"/>
        <v>Approved</v>
      </c>
      <c r="T2148" t="str">
        <f t="shared" si="881"/>
        <v>10.20.8.188</v>
      </c>
      <c r="U2148" t="str">
        <f t="shared" si="882"/>
        <v>AZRAD UMAR BIN SHAARI</v>
      </c>
      <c r="V2148" t="str">
        <f t="shared" si="883"/>
        <v>FARHANA BINTI MUSTAPA</v>
      </c>
      <c r="W2148" t="str">
        <f t="shared" si="884"/>
        <v>04-08-2020</v>
      </c>
      <c r="X2148" t="str">
        <f t="shared" si="885"/>
        <v>RAZIMAH ANSAR AHMAD</v>
      </c>
      <c r="Y2148" t="str">
        <f t="shared" si="886"/>
        <v>04-08-2020</v>
      </c>
      <c r="Z2148" t="str">
        <f>"COS10200804 7006"</f>
        <v>COS10200804 7006</v>
      </c>
    </row>
    <row r="2149" spans="1:26" x14ac:dyDescent="0.25">
      <c r="A2149" t="str">
        <f t="shared" si="891"/>
        <v>04-08-2020 01:05:33</v>
      </c>
      <c r="B2149" t="str">
        <f>"0000808803"</f>
        <v>0000808803</v>
      </c>
      <c r="C2149" t="str">
        <f t="shared" si="892"/>
        <v>0000808798</v>
      </c>
      <c r="D2149" t="str">
        <f t="shared" si="874"/>
        <v>73185</v>
      </c>
      <c r="E2149" t="str">
        <f t="shared" si="875"/>
        <v>KFH-OPERATIONS DEPARTMENT</v>
      </c>
      <c r="F2149" t="str">
        <f t="shared" si="876"/>
        <v>IBG</v>
      </c>
      <c r="G2149" t="str">
        <f t="shared" si="887"/>
        <v>Refund COSHARE 10</v>
      </c>
      <c r="H2149" s="2">
        <v>436.55</v>
      </c>
      <c r="I2149" t="str">
        <f>"ROHANA BINTI ISMAIL"</f>
        <v>ROHANA BINTI ISMAIL</v>
      </c>
      <c r="J2149" t="str">
        <f t="shared" si="890"/>
        <v>MAYBANK / MAYBANK ISLAMIC</v>
      </c>
      <c r="K2149" t="str">
        <f>"102054885291"</f>
        <v>102054885291</v>
      </c>
      <c r="L2149" t="str">
        <f t="shared" si="893"/>
        <v>04-08-2020</v>
      </c>
      <c r="M2149" t="str">
        <f t="shared" si="893"/>
        <v>04-08-2020</v>
      </c>
      <c r="N2149" t="str">
        <f t="shared" si="877"/>
        <v>001105018356</v>
      </c>
      <c r="O2149" t="str">
        <f t="shared" si="878"/>
        <v>MYR</v>
      </c>
      <c r="P2149" t="str">
        <f t="shared" si="894"/>
        <v>NIL</v>
      </c>
      <c r="Q2149" t="str">
        <f t="shared" si="894"/>
        <v>NIL</v>
      </c>
      <c r="R2149" t="str">
        <f t="shared" si="879"/>
        <v>Accepted</v>
      </c>
      <c r="S2149" t="str">
        <f t="shared" si="880"/>
        <v>Approved</v>
      </c>
      <c r="T2149" t="str">
        <f t="shared" si="881"/>
        <v>10.20.8.188</v>
      </c>
      <c r="U2149" t="str">
        <f t="shared" si="882"/>
        <v>AZRAD UMAR BIN SHAARI</v>
      </c>
      <c r="V2149" t="str">
        <f t="shared" si="883"/>
        <v>FARHANA BINTI MUSTAPA</v>
      </c>
      <c r="W2149" t="str">
        <f t="shared" si="884"/>
        <v>04-08-2020</v>
      </c>
      <c r="X2149" t="str">
        <f t="shared" si="885"/>
        <v>RAZIMAH ANSAR AHMAD</v>
      </c>
      <c r="Y2149" t="str">
        <f t="shared" si="886"/>
        <v>04-08-2020</v>
      </c>
      <c r="Z2149" t="str">
        <f>"COS10200804 7005"</f>
        <v>COS10200804 7005</v>
      </c>
    </row>
    <row r="2150" spans="1:26" x14ac:dyDescent="0.25">
      <c r="A2150" t="str">
        <f t="shared" si="891"/>
        <v>04-08-2020 01:05:33</v>
      </c>
      <c r="B2150" t="str">
        <f>"0000808802"</f>
        <v>0000808802</v>
      </c>
      <c r="C2150" t="str">
        <f t="shared" si="892"/>
        <v>0000808798</v>
      </c>
      <c r="D2150" t="str">
        <f t="shared" si="874"/>
        <v>73185</v>
      </c>
      <c r="E2150" t="str">
        <f t="shared" si="875"/>
        <v>KFH-OPERATIONS DEPARTMENT</v>
      </c>
      <c r="F2150" t="str">
        <f t="shared" si="876"/>
        <v>IBG</v>
      </c>
      <c r="G2150" t="str">
        <f t="shared" si="887"/>
        <v>Refund COSHARE 10</v>
      </c>
      <c r="H2150" s="2">
        <v>152</v>
      </c>
      <c r="I2150" t="str">
        <f>"ROHANA BINTI IBOI"</f>
        <v>ROHANA BINTI IBOI</v>
      </c>
      <c r="J2150" t="str">
        <f t="shared" si="890"/>
        <v>MAYBANK / MAYBANK ISLAMIC</v>
      </c>
      <c r="K2150" t="str">
        <f>"111084130793"</f>
        <v>111084130793</v>
      </c>
      <c r="L2150" t="str">
        <f t="shared" si="893"/>
        <v>04-08-2020</v>
      </c>
      <c r="M2150" t="str">
        <f t="shared" si="893"/>
        <v>04-08-2020</v>
      </c>
      <c r="N2150" t="str">
        <f t="shared" si="877"/>
        <v>001105018356</v>
      </c>
      <c r="O2150" t="str">
        <f t="shared" si="878"/>
        <v>MYR</v>
      </c>
      <c r="P2150" t="str">
        <f t="shared" si="894"/>
        <v>NIL</v>
      </c>
      <c r="Q2150" t="str">
        <f t="shared" si="894"/>
        <v>NIL</v>
      </c>
      <c r="R2150" t="str">
        <f t="shared" si="879"/>
        <v>Accepted</v>
      </c>
      <c r="S2150" t="str">
        <f t="shared" si="880"/>
        <v>Approved</v>
      </c>
      <c r="T2150" t="str">
        <f t="shared" si="881"/>
        <v>10.20.8.188</v>
      </c>
      <c r="U2150" t="str">
        <f t="shared" si="882"/>
        <v>AZRAD UMAR BIN SHAARI</v>
      </c>
      <c r="V2150" t="str">
        <f t="shared" si="883"/>
        <v>FARHANA BINTI MUSTAPA</v>
      </c>
      <c r="W2150" t="str">
        <f t="shared" si="884"/>
        <v>04-08-2020</v>
      </c>
      <c r="X2150" t="str">
        <f t="shared" si="885"/>
        <v>RAZIMAH ANSAR AHMAD</v>
      </c>
      <c r="Y2150" t="str">
        <f t="shared" si="886"/>
        <v>04-08-2020</v>
      </c>
      <c r="Z2150" t="str">
        <f>"COS10200804 7004"</f>
        <v>COS10200804 7004</v>
      </c>
    </row>
    <row r="2151" spans="1:26" x14ac:dyDescent="0.25">
      <c r="A2151" t="str">
        <f t="shared" si="891"/>
        <v>04-08-2020 01:05:33</v>
      </c>
      <c r="B2151" t="str">
        <f>"0000808801"</f>
        <v>0000808801</v>
      </c>
      <c r="C2151" t="str">
        <f t="shared" si="892"/>
        <v>0000808798</v>
      </c>
      <c r="D2151" t="str">
        <f t="shared" si="874"/>
        <v>73185</v>
      </c>
      <c r="E2151" t="str">
        <f t="shared" si="875"/>
        <v>KFH-OPERATIONS DEPARTMENT</v>
      </c>
      <c r="F2151" t="str">
        <f t="shared" si="876"/>
        <v>IBG</v>
      </c>
      <c r="G2151" t="str">
        <f t="shared" si="887"/>
        <v>Refund COSHARE 10</v>
      </c>
      <c r="H2151" s="2">
        <v>42</v>
      </c>
      <c r="I2151" t="str">
        <f>"ROHANA BINTI BASAR"</f>
        <v>ROHANA BINTI BASAR</v>
      </c>
      <c r="J2151" t="str">
        <f t="shared" si="890"/>
        <v>MAYBANK / MAYBANK ISLAMIC</v>
      </c>
      <c r="K2151" t="str">
        <f>"151445070052"</f>
        <v>151445070052</v>
      </c>
      <c r="L2151" t="str">
        <f t="shared" si="893"/>
        <v>04-08-2020</v>
      </c>
      <c r="M2151" t="str">
        <f t="shared" si="893"/>
        <v>04-08-2020</v>
      </c>
      <c r="N2151" t="str">
        <f t="shared" si="877"/>
        <v>001105018356</v>
      </c>
      <c r="O2151" t="str">
        <f t="shared" si="878"/>
        <v>MYR</v>
      </c>
      <c r="P2151" t="str">
        <f t="shared" si="894"/>
        <v>NIL</v>
      </c>
      <c r="Q2151" t="str">
        <f t="shared" si="894"/>
        <v>NIL</v>
      </c>
      <c r="R2151" t="str">
        <f t="shared" si="879"/>
        <v>Accepted</v>
      </c>
      <c r="S2151" t="str">
        <f t="shared" si="880"/>
        <v>Approved</v>
      </c>
      <c r="T2151" t="str">
        <f t="shared" si="881"/>
        <v>10.20.8.188</v>
      </c>
      <c r="U2151" t="str">
        <f t="shared" si="882"/>
        <v>AZRAD UMAR BIN SHAARI</v>
      </c>
      <c r="V2151" t="str">
        <f t="shared" si="883"/>
        <v>FARHANA BINTI MUSTAPA</v>
      </c>
      <c r="W2151" t="str">
        <f t="shared" si="884"/>
        <v>04-08-2020</v>
      </c>
      <c r="X2151" t="str">
        <f t="shared" si="885"/>
        <v>RAZIMAH ANSAR AHMAD</v>
      </c>
      <c r="Y2151" t="str">
        <f t="shared" si="886"/>
        <v>04-08-2020</v>
      </c>
      <c r="Z2151" t="str">
        <f>"COS10200804 7003"</f>
        <v>COS10200804 7003</v>
      </c>
    </row>
    <row r="2152" spans="1:26" x14ac:dyDescent="0.25">
      <c r="A2152" t="str">
        <f t="shared" si="891"/>
        <v>04-08-2020 01:05:33</v>
      </c>
      <c r="B2152" t="str">
        <f>"0000808800"</f>
        <v>0000808800</v>
      </c>
      <c r="C2152" t="str">
        <f t="shared" si="892"/>
        <v>0000808798</v>
      </c>
      <c r="D2152" t="str">
        <f t="shared" si="874"/>
        <v>73185</v>
      </c>
      <c r="E2152" t="str">
        <f t="shared" si="875"/>
        <v>KFH-OPERATIONS DEPARTMENT</v>
      </c>
      <c r="F2152" t="str">
        <f t="shared" si="876"/>
        <v>IBG</v>
      </c>
      <c r="G2152" t="str">
        <f t="shared" si="887"/>
        <v>Refund COSHARE 10</v>
      </c>
      <c r="H2152" s="2">
        <v>42</v>
      </c>
      <c r="I2152" t="str">
        <f>"ROHAIZAD BIN MAHUSSIN"</f>
        <v>ROHAIZAD BIN MAHUSSIN</v>
      </c>
      <c r="J2152" t="str">
        <f t="shared" si="890"/>
        <v>MAYBANK / MAYBANK ISLAMIC</v>
      </c>
      <c r="K2152" t="str">
        <f>"156011896753"</f>
        <v>156011896753</v>
      </c>
      <c r="L2152" t="str">
        <f t="shared" si="893"/>
        <v>04-08-2020</v>
      </c>
      <c r="M2152" t="str">
        <f t="shared" si="893"/>
        <v>04-08-2020</v>
      </c>
      <c r="N2152" t="str">
        <f t="shared" si="877"/>
        <v>001105018356</v>
      </c>
      <c r="O2152" t="str">
        <f t="shared" si="878"/>
        <v>MYR</v>
      </c>
      <c r="P2152" t="str">
        <f t="shared" si="894"/>
        <v>NIL</v>
      </c>
      <c r="Q2152" t="str">
        <f t="shared" si="894"/>
        <v>NIL</v>
      </c>
      <c r="R2152" t="str">
        <f t="shared" si="879"/>
        <v>Accepted</v>
      </c>
      <c r="S2152" t="str">
        <f t="shared" si="880"/>
        <v>Approved</v>
      </c>
      <c r="T2152" t="str">
        <f t="shared" si="881"/>
        <v>10.20.8.188</v>
      </c>
      <c r="U2152" t="str">
        <f t="shared" si="882"/>
        <v>AZRAD UMAR BIN SHAARI</v>
      </c>
      <c r="V2152" t="str">
        <f t="shared" si="883"/>
        <v>FARHANA BINTI MUSTAPA</v>
      </c>
      <c r="W2152" t="str">
        <f t="shared" si="884"/>
        <v>04-08-2020</v>
      </c>
      <c r="X2152" t="str">
        <f t="shared" si="885"/>
        <v>RAZIMAH ANSAR AHMAD</v>
      </c>
      <c r="Y2152" t="str">
        <f t="shared" si="886"/>
        <v>04-08-2020</v>
      </c>
      <c r="Z2152" t="str">
        <f>"COS10200804 7002"</f>
        <v>COS10200804 7002</v>
      </c>
    </row>
    <row r="2153" spans="1:26" x14ac:dyDescent="0.25">
      <c r="A2153" t="str">
        <f t="shared" si="891"/>
        <v>04-08-2020 01:05:33</v>
      </c>
      <c r="B2153" t="str">
        <f>"0000808799"</f>
        <v>0000808799</v>
      </c>
      <c r="C2153" t="str">
        <f t="shared" si="892"/>
        <v>0000808798</v>
      </c>
      <c r="D2153" t="str">
        <f t="shared" si="874"/>
        <v>73185</v>
      </c>
      <c r="E2153" t="str">
        <f t="shared" si="875"/>
        <v>KFH-OPERATIONS DEPARTMENT</v>
      </c>
      <c r="F2153" t="str">
        <f t="shared" si="876"/>
        <v>IBG</v>
      </c>
      <c r="G2153" t="str">
        <f t="shared" si="887"/>
        <v>Refund COSHARE 10</v>
      </c>
      <c r="H2153" s="2">
        <v>335.8</v>
      </c>
      <c r="I2153" t="str">
        <f>"ROHAIZA BINTI MANAB"</f>
        <v>ROHAIZA BINTI MANAB</v>
      </c>
      <c r="J2153" t="str">
        <f t="shared" si="890"/>
        <v>MAYBANK / MAYBANK ISLAMIC</v>
      </c>
      <c r="K2153" t="str">
        <f>"155108745006"</f>
        <v>155108745006</v>
      </c>
      <c r="L2153" t="str">
        <f t="shared" si="893"/>
        <v>04-08-2020</v>
      </c>
      <c r="M2153" t="str">
        <f t="shared" si="893"/>
        <v>04-08-2020</v>
      </c>
      <c r="N2153" t="str">
        <f t="shared" si="877"/>
        <v>001105018356</v>
      </c>
      <c r="O2153" t="str">
        <f t="shared" si="878"/>
        <v>MYR</v>
      </c>
      <c r="P2153" t="str">
        <f t="shared" si="894"/>
        <v>NIL</v>
      </c>
      <c r="Q2153" t="str">
        <f t="shared" si="894"/>
        <v>NIL</v>
      </c>
      <c r="R2153" t="str">
        <f t="shared" si="879"/>
        <v>Accepted</v>
      </c>
      <c r="S2153" t="str">
        <f t="shared" si="880"/>
        <v>Approved</v>
      </c>
      <c r="T2153" t="str">
        <f t="shared" si="881"/>
        <v>10.20.8.188</v>
      </c>
      <c r="U2153" t="str">
        <f t="shared" si="882"/>
        <v>AZRAD UMAR BIN SHAARI</v>
      </c>
      <c r="V2153" t="str">
        <f t="shared" si="883"/>
        <v>FARHANA BINTI MUSTAPA</v>
      </c>
      <c r="W2153" t="str">
        <f t="shared" si="884"/>
        <v>04-08-2020</v>
      </c>
      <c r="X2153" t="str">
        <f t="shared" si="885"/>
        <v>RAZIMAH ANSAR AHMAD</v>
      </c>
      <c r="Y2153" t="str">
        <f t="shared" si="886"/>
        <v>04-08-2020</v>
      </c>
      <c r="Z2153" t="str">
        <f>"COS10200804 7001"</f>
        <v>COS10200804 7001</v>
      </c>
    </row>
    <row r="2154" spans="1:26" x14ac:dyDescent="0.25">
      <c r="A2154" t="str">
        <f t="shared" ref="A2154:A2185" si="895">"04-08-2020 01:04:59"</f>
        <v>04-08-2020 01:04:59</v>
      </c>
      <c r="B2154" t="str">
        <f>"0000808797"</f>
        <v>0000808797</v>
      </c>
      <c r="C2154" t="str">
        <f t="shared" ref="C2154:C2185" si="896">"0000808597"</f>
        <v>0000808597</v>
      </c>
      <c r="D2154" t="str">
        <f t="shared" si="874"/>
        <v>73185</v>
      </c>
      <c r="E2154" t="str">
        <f t="shared" si="875"/>
        <v>KFH-OPERATIONS DEPARTMENT</v>
      </c>
      <c r="F2154" t="str">
        <f t="shared" si="876"/>
        <v>IBG</v>
      </c>
      <c r="G2154" t="str">
        <f t="shared" si="887"/>
        <v>Refund COSHARE 10</v>
      </c>
      <c r="H2154" s="2">
        <v>198</v>
      </c>
      <c r="I2154" t="str">
        <f>"ROHAIZA BINTI ABDUL HAMID"</f>
        <v>ROHAIZA BINTI ABDUL HAMID</v>
      </c>
      <c r="J2154" t="str">
        <f t="shared" si="890"/>
        <v>MAYBANK / MAYBANK ISLAMIC</v>
      </c>
      <c r="K2154" t="str">
        <f>"164025830066"</f>
        <v>164025830066</v>
      </c>
      <c r="L2154" t="str">
        <f t="shared" si="893"/>
        <v>04-08-2020</v>
      </c>
      <c r="M2154" t="str">
        <f t="shared" si="893"/>
        <v>04-08-2020</v>
      </c>
      <c r="N2154" t="str">
        <f t="shared" si="877"/>
        <v>001105018356</v>
      </c>
      <c r="O2154" t="str">
        <f t="shared" si="878"/>
        <v>MYR</v>
      </c>
      <c r="P2154" t="str">
        <f t="shared" si="894"/>
        <v>NIL</v>
      </c>
      <c r="Q2154" t="str">
        <f t="shared" si="894"/>
        <v>NIL</v>
      </c>
      <c r="R2154" t="str">
        <f t="shared" si="879"/>
        <v>Accepted</v>
      </c>
      <c r="S2154" t="str">
        <f t="shared" si="880"/>
        <v>Approved</v>
      </c>
      <c r="T2154" t="str">
        <f t="shared" si="881"/>
        <v>10.20.8.188</v>
      </c>
      <c r="U2154" t="str">
        <f t="shared" si="882"/>
        <v>AZRAD UMAR BIN SHAARI</v>
      </c>
      <c r="V2154" t="str">
        <f t="shared" si="883"/>
        <v>FARHANA BINTI MUSTAPA</v>
      </c>
      <c r="W2154" t="str">
        <f t="shared" si="884"/>
        <v>04-08-2020</v>
      </c>
      <c r="X2154" t="str">
        <f t="shared" si="885"/>
        <v>RAZIMAH ANSAR AHMAD</v>
      </c>
      <c r="Y2154" t="str">
        <f t="shared" si="886"/>
        <v>04-08-2020</v>
      </c>
      <c r="Z2154" t="str">
        <f>"COS10200804 7000"</f>
        <v>COS10200804 7000</v>
      </c>
    </row>
    <row r="2155" spans="1:26" x14ac:dyDescent="0.25">
      <c r="A2155" t="str">
        <f t="shared" si="895"/>
        <v>04-08-2020 01:04:59</v>
      </c>
      <c r="B2155" t="str">
        <f>"0000808796"</f>
        <v>0000808796</v>
      </c>
      <c r="C2155" t="str">
        <f t="shared" si="896"/>
        <v>0000808597</v>
      </c>
      <c r="D2155" t="str">
        <f t="shared" si="874"/>
        <v>73185</v>
      </c>
      <c r="E2155" t="str">
        <f t="shared" si="875"/>
        <v>KFH-OPERATIONS DEPARTMENT</v>
      </c>
      <c r="F2155" t="str">
        <f t="shared" si="876"/>
        <v>IBG</v>
      </c>
      <c r="G2155" t="str">
        <f t="shared" si="887"/>
        <v>Refund COSHARE 10</v>
      </c>
      <c r="H2155" s="2">
        <v>671.6</v>
      </c>
      <c r="I2155" t="str">
        <f>"ROHAINI BINTI MAT DAUD"</f>
        <v>ROHAINI BINTI MAT DAUD</v>
      </c>
      <c r="J2155" t="str">
        <f t="shared" si="890"/>
        <v>MAYBANK / MAYBANK ISLAMIC</v>
      </c>
      <c r="K2155" t="str">
        <f>"162209991300"</f>
        <v>162209991300</v>
      </c>
      <c r="L2155" t="str">
        <f t="shared" si="893"/>
        <v>04-08-2020</v>
      </c>
      <c r="M2155" t="str">
        <f t="shared" si="893"/>
        <v>04-08-2020</v>
      </c>
      <c r="N2155" t="str">
        <f t="shared" si="877"/>
        <v>001105018356</v>
      </c>
      <c r="O2155" t="str">
        <f t="shared" si="878"/>
        <v>MYR</v>
      </c>
      <c r="P2155" t="str">
        <f t="shared" si="894"/>
        <v>NIL</v>
      </c>
      <c r="Q2155" t="str">
        <f t="shared" si="894"/>
        <v>NIL</v>
      </c>
      <c r="R2155" t="str">
        <f t="shared" si="879"/>
        <v>Accepted</v>
      </c>
      <c r="S2155" t="str">
        <f t="shared" si="880"/>
        <v>Approved</v>
      </c>
      <c r="T2155" t="str">
        <f t="shared" si="881"/>
        <v>10.20.8.188</v>
      </c>
      <c r="U2155" t="str">
        <f t="shared" si="882"/>
        <v>AZRAD UMAR BIN SHAARI</v>
      </c>
      <c r="V2155" t="str">
        <f t="shared" si="883"/>
        <v>FARHANA BINTI MUSTAPA</v>
      </c>
      <c r="W2155" t="str">
        <f t="shared" si="884"/>
        <v>04-08-2020</v>
      </c>
      <c r="X2155" t="str">
        <f t="shared" si="885"/>
        <v>RAZIMAH ANSAR AHMAD</v>
      </c>
      <c r="Y2155" t="str">
        <f t="shared" si="886"/>
        <v>04-08-2020</v>
      </c>
      <c r="Z2155" t="str">
        <f>"COS10200804 6999"</f>
        <v>COS10200804 6999</v>
      </c>
    </row>
    <row r="2156" spans="1:26" x14ac:dyDescent="0.25">
      <c r="A2156" t="str">
        <f t="shared" si="895"/>
        <v>04-08-2020 01:04:59</v>
      </c>
      <c r="B2156" t="str">
        <f>"0000808795"</f>
        <v>0000808795</v>
      </c>
      <c r="C2156" t="str">
        <f t="shared" si="896"/>
        <v>0000808597</v>
      </c>
      <c r="D2156" t="str">
        <f t="shared" si="874"/>
        <v>73185</v>
      </c>
      <c r="E2156" t="str">
        <f t="shared" si="875"/>
        <v>KFH-OPERATIONS DEPARTMENT</v>
      </c>
      <c r="F2156" t="str">
        <f t="shared" si="876"/>
        <v>IBG</v>
      </c>
      <c r="G2156" t="str">
        <f t="shared" si="887"/>
        <v>Refund COSHARE 10</v>
      </c>
      <c r="H2156" s="2">
        <v>167.9</v>
      </c>
      <c r="I2156" t="str">
        <f>"ROHAIDA BT SALLEH"</f>
        <v>ROHAIDA BT SALLEH</v>
      </c>
      <c r="J2156" t="str">
        <f t="shared" si="890"/>
        <v>MAYBANK / MAYBANK ISLAMIC</v>
      </c>
      <c r="K2156" t="str">
        <f>"164164819510"</f>
        <v>164164819510</v>
      </c>
      <c r="L2156" t="str">
        <f t="shared" si="893"/>
        <v>04-08-2020</v>
      </c>
      <c r="M2156" t="str">
        <f t="shared" si="893"/>
        <v>04-08-2020</v>
      </c>
      <c r="N2156" t="str">
        <f t="shared" si="877"/>
        <v>001105018356</v>
      </c>
      <c r="O2156" t="str">
        <f t="shared" si="878"/>
        <v>MYR</v>
      </c>
      <c r="P2156" t="str">
        <f t="shared" si="894"/>
        <v>NIL</v>
      </c>
      <c r="Q2156" t="str">
        <f t="shared" si="894"/>
        <v>NIL</v>
      </c>
      <c r="R2156" t="str">
        <f t="shared" si="879"/>
        <v>Accepted</v>
      </c>
      <c r="S2156" t="str">
        <f t="shared" si="880"/>
        <v>Approved</v>
      </c>
      <c r="T2156" t="str">
        <f t="shared" si="881"/>
        <v>10.20.8.188</v>
      </c>
      <c r="U2156" t="str">
        <f t="shared" si="882"/>
        <v>AZRAD UMAR BIN SHAARI</v>
      </c>
      <c r="V2156" t="str">
        <f t="shared" si="883"/>
        <v>FARHANA BINTI MUSTAPA</v>
      </c>
      <c r="W2156" t="str">
        <f t="shared" si="884"/>
        <v>04-08-2020</v>
      </c>
      <c r="X2156" t="str">
        <f t="shared" si="885"/>
        <v>RAZIMAH ANSAR AHMAD</v>
      </c>
      <c r="Y2156" t="str">
        <f t="shared" si="886"/>
        <v>04-08-2020</v>
      </c>
      <c r="Z2156" t="str">
        <f>"COS10200804 6998"</f>
        <v>COS10200804 6998</v>
      </c>
    </row>
    <row r="2157" spans="1:26" x14ac:dyDescent="0.25">
      <c r="A2157" t="str">
        <f t="shared" si="895"/>
        <v>04-08-2020 01:04:59</v>
      </c>
      <c r="B2157" t="str">
        <f>"0000808794"</f>
        <v>0000808794</v>
      </c>
      <c r="C2157" t="str">
        <f t="shared" si="896"/>
        <v>0000808597</v>
      </c>
      <c r="D2157" t="str">
        <f t="shared" si="874"/>
        <v>73185</v>
      </c>
      <c r="E2157" t="str">
        <f t="shared" si="875"/>
        <v>KFH-OPERATIONS DEPARTMENT</v>
      </c>
      <c r="F2157" t="str">
        <f t="shared" si="876"/>
        <v>IBG</v>
      </c>
      <c r="G2157" t="str">
        <f t="shared" si="887"/>
        <v>Refund COSHARE 10</v>
      </c>
      <c r="H2157" s="2">
        <v>50.4</v>
      </c>
      <c r="I2157" t="str">
        <f>"ROHAIDA BINTI RAHMAD"</f>
        <v>ROHAIDA BINTI RAHMAD</v>
      </c>
      <c r="J2157" t="str">
        <f t="shared" si="890"/>
        <v>MAYBANK / MAYBANK ISLAMIC</v>
      </c>
      <c r="K2157" t="str">
        <f>"155069179808"</f>
        <v>155069179808</v>
      </c>
      <c r="L2157" t="str">
        <f t="shared" si="893"/>
        <v>04-08-2020</v>
      </c>
      <c r="M2157" t="str">
        <f t="shared" si="893"/>
        <v>04-08-2020</v>
      </c>
      <c r="N2157" t="str">
        <f t="shared" si="877"/>
        <v>001105018356</v>
      </c>
      <c r="O2157" t="str">
        <f t="shared" si="878"/>
        <v>MYR</v>
      </c>
      <c r="P2157" t="str">
        <f t="shared" si="894"/>
        <v>NIL</v>
      </c>
      <c r="Q2157" t="str">
        <f t="shared" si="894"/>
        <v>NIL</v>
      </c>
      <c r="R2157" t="str">
        <f t="shared" si="879"/>
        <v>Accepted</v>
      </c>
      <c r="S2157" t="str">
        <f t="shared" si="880"/>
        <v>Approved</v>
      </c>
      <c r="T2157" t="str">
        <f t="shared" si="881"/>
        <v>10.20.8.188</v>
      </c>
      <c r="U2157" t="str">
        <f t="shared" si="882"/>
        <v>AZRAD UMAR BIN SHAARI</v>
      </c>
      <c r="V2157" t="str">
        <f t="shared" si="883"/>
        <v>FARHANA BINTI MUSTAPA</v>
      </c>
      <c r="W2157" t="str">
        <f t="shared" si="884"/>
        <v>04-08-2020</v>
      </c>
      <c r="X2157" t="str">
        <f t="shared" si="885"/>
        <v>RAZIMAH ANSAR AHMAD</v>
      </c>
      <c r="Y2157" t="str">
        <f t="shared" si="886"/>
        <v>04-08-2020</v>
      </c>
      <c r="Z2157" t="str">
        <f>"COS10200804 6997"</f>
        <v>COS10200804 6997</v>
      </c>
    </row>
    <row r="2158" spans="1:26" x14ac:dyDescent="0.25">
      <c r="A2158" t="str">
        <f t="shared" si="895"/>
        <v>04-08-2020 01:04:59</v>
      </c>
      <c r="B2158" t="str">
        <f>"0000808793"</f>
        <v>0000808793</v>
      </c>
      <c r="C2158" t="str">
        <f t="shared" si="896"/>
        <v>0000808597</v>
      </c>
      <c r="D2158" t="str">
        <f t="shared" si="874"/>
        <v>73185</v>
      </c>
      <c r="E2158" t="str">
        <f t="shared" si="875"/>
        <v>KFH-OPERATIONS DEPARTMENT</v>
      </c>
      <c r="F2158" t="str">
        <f t="shared" si="876"/>
        <v>IBG</v>
      </c>
      <c r="G2158" t="str">
        <f t="shared" si="887"/>
        <v>Refund COSHARE 10</v>
      </c>
      <c r="H2158" s="2">
        <v>835</v>
      </c>
      <c r="I2158" t="str">
        <f>"ROHAIDA BINTI MOHAMMED DAWAM"</f>
        <v>ROHAIDA BINTI MOHAMMED DAWAM</v>
      </c>
      <c r="J2158" t="str">
        <f t="shared" si="890"/>
        <v>MAYBANK / MAYBANK ISLAMIC</v>
      </c>
      <c r="K2158" t="str">
        <f>"151043765512"</f>
        <v>151043765512</v>
      </c>
      <c r="L2158" t="str">
        <f t="shared" si="893"/>
        <v>04-08-2020</v>
      </c>
      <c r="M2158" t="str">
        <f t="shared" si="893"/>
        <v>04-08-2020</v>
      </c>
      <c r="N2158" t="str">
        <f t="shared" si="877"/>
        <v>001105018356</v>
      </c>
      <c r="O2158" t="str">
        <f t="shared" si="878"/>
        <v>MYR</v>
      </c>
      <c r="P2158" t="str">
        <f t="shared" si="894"/>
        <v>NIL</v>
      </c>
      <c r="Q2158" t="str">
        <f t="shared" si="894"/>
        <v>NIL</v>
      </c>
      <c r="R2158" t="str">
        <f t="shared" si="879"/>
        <v>Accepted</v>
      </c>
      <c r="S2158" t="str">
        <f t="shared" si="880"/>
        <v>Approved</v>
      </c>
      <c r="T2158" t="str">
        <f t="shared" si="881"/>
        <v>10.20.8.188</v>
      </c>
      <c r="U2158" t="str">
        <f t="shared" si="882"/>
        <v>AZRAD UMAR BIN SHAARI</v>
      </c>
      <c r="V2158" t="str">
        <f t="shared" si="883"/>
        <v>FARHANA BINTI MUSTAPA</v>
      </c>
      <c r="W2158" t="str">
        <f t="shared" si="884"/>
        <v>04-08-2020</v>
      </c>
      <c r="X2158" t="str">
        <f t="shared" si="885"/>
        <v>RAZIMAH ANSAR AHMAD</v>
      </c>
      <c r="Y2158" t="str">
        <f t="shared" si="886"/>
        <v>04-08-2020</v>
      </c>
      <c r="Z2158" t="str">
        <f>"COS10200804 6996"</f>
        <v>COS10200804 6996</v>
      </c>
    </row>
    <row r="2159" spans="1:26" x14ac:dyDescent="0.25">
      <c r="A2159" t="str">
        <f t="shared" si="895"/>
        <v>04-08-2020 01:04:59</v>
      </c>
      <c r="B2159" t="str">
        <f>"0000808792"</f>
        <v>0000808792</v>
      </c>
      <c r="C2159" t="str">
        <f t="shared" si="896"/>
        <v>0000808597</v>
      </c>
      <c r="D2159" t="str">
        <f t="shared" si="874"/>
        <v>73185</v>
      </c>
      <c r="E2159" t="str">
        <f t="shared" si="875"/>
        <v>KFH-OPERATIONS DEPARTMENT</v>
      </c>
      <c r="F2159" t="str">
        <f t="shared" si="876"/>
        <v>IBG</v>
      </c>
      <c r="G2159" t="str">
        <f t="shared" si="887"/>
        <v>Refund COSHARE 10</v>
      </c>
      <c r="H2159" s="2">
        <v>629.65</v>
      </c>
      <c r="I2159" t="str">
        <f>"ROHAIDA BINTI AMAT MUSHIM"</f>
        <v>ROHAIDA BINTI AMAT MUSHIM</v>
      </c>
      <c r="J2159" t="str">
        <f t="shared" si="890"/>
        <v>MAYBANK / MAYBANK ISLAMIC</v>
      </c>
      <c r="K2159" t="str">
        <f>"151017067866"</f>
        <v>151017067866</v>
      </c>
      <c r="L2159" t="str">
        <f t="shared" si="893"/>
        <v>04-08-2020</v>
      </c>
      <c r="M2159" t="str">
        <f t="shared" si="893"/>
        <v>04-08-2020</v>
      </c>
      <c r="N2159" t="str">
        <f t="shared" si="877"/>
        <v>001105018356</v>
      </c>
      <c r="O2159" t="str">
        <f t="shared" si="878"/>
        <v>MYR</v>
      </c>
      <c r="P2159" t="str">
        <f t="shared" si="894"/>
        <v>NIL</v>
      </c>
      <c r="Q2159" t="str">
        <f t="shared" si="894"/>
        <v>NIL</v>
      </c>
      <c r="R2159" t="str">
        <f t="shared" si="879"/>
        <v>Accepted</v>
      </c>
      <c r="S2159" t="str">
        <f t="shared" si="880"/>
        <v>Approved</v>
      </c>
      <c r="T2159" t="str">
        <f t="shared" si="881"/>
        <v>10.20.8.188</v>
      </c>
      <c r="U2159" t="str">
        <f t="shared" si="882"/>
        <v>AZRAD UMAR BIN SHAARI</v>
      </c>
      <c r="V2159" t="str">
        <f t="shared" si="883"/>
        <v>FARHANA BINTI MUSTAPA</v>
      </c>
      <c r="W2159" t="str">
        <f t="shared" si="884"/>
        <v>04-08-2020</v>
      </c>
      <c r="X2159" t="str">
        <f t="shared" si="885"/>
        <v>RAZIMAH ANSAR AHMAD</v>
      </c>
      <c r="Y2159" t="str">
        <f t="shared" si="886"/>
        <v>04-08-2020</v>
      </c>
      <c r="Z2159" t="str">
        <f>"COS10200804 6995"</f>
        <v>COS10200804 6995</v>
      </c>
    </row>
    <row r="2160" spans="1:26" x14ac:dyDescent="0.25">
      <c r="A2160" t="str">
        <f t="shared" si="895"/>
        <v>04-08-2020 01:04:59</v>
      </c>
      <c r="B2160" t="str">
        <f>"0000808791"</f>
        <v>0000808791</v>
      </c>
      <c r="C2160" t="str">
        <f t="shared" si="896"/>
        <v>0000808597</v>
      </c>
      <c r="D2160" t="str">
        <f t="shared" si="874"/>
        <v>73185</v>
      </c>
      <c r="E2160" t="str">
        <f t="shared" si="875"/>
        <v>KFH-OPERATIONS DEPARTMENT</v>
      </c>
      <c r="F2160" t="str">
        <f t="shared" si="876"/>
        <v>IBG</v>
      </c>
      <c r="G2160" t="str">
        <f t="shared" si="887"/>
        <v>Refund COSHARE 10</v>
      </c>
      <c r="H2160" s="2">
        <v>1321</v>
      </c>
      <c r="I2160" t="str">
        <f>"ROHA BINTI ABDUL SAMAD"</f>
        <v>ROHA BINTI ABDUL SAMAD</v>
      </c>
      <c r="J2160" t="str">
        <f t="shared" si="890"/>
        <v>MAYBANK / MAYBANK ISLAMIC</v>
      </c>
      <c r="K2160" t="str">
        <f>"151017182103"</f>
        <v>151017182103</v>
      </c>
      <c r="L2160" t="str">
        <f t="shared" si="893"/>
        <v>04-08-2020</v>
      </c>
      <c r="M2160" t="str">
        <f t="shared" si="893"/>
        <v>04-08-2020</v>
      </c>
      <c r="N2160" t="str">
        <f t="shared" si="877"/>
        <v>001105018356</v>
      </c>
      <c r="O2160" t="str">
        <f t="shared" si="878"/>
        <v>MYR</v>
      </c>
      <c r="P2160" t="str">
        <f t="shared" si="894"/>
        <v>NIL</v>
      </c>
      <c r="Q2160" t="str">
        <f t="shared" si="894"/>
        <v>NIL</v>
      </c>
      <c r="R2160" t="str">
        <f t="shared" si="879"/>
        <v>Accepted</v>
      </c>
      <c r="S2160" t="str">
        <f t="shared" si="880"/>
        <v>Approved</v>
      </c>
      <c r="T2160" t="str">
        <f t="shared" si="881"/>
        <v>10.20.8.188</v>
      </c>
      <c r="U2160" t="str">
        <f t="shared" si="882"/>
        <v>AZRAD UMAR BIN SHAARI</v>
      </c>
      <c r="V2160" t="str">
        <f t="shared" si="883"/>
        <v>FARHANA BINTI MUSTAPA</v>
      </c>
      <c r="W2160" t="str">
        <f t="shared" si="884"/>
        <v>04-08-2020</v>
      </c>
      <c r="X2160" t="str">
        <f t="shared" si="885"/>
        <v>RAZIMAH ANSAR AHMAD</v>
      </c>
      <c r="Y2160" t="str">
        <f t="shared" si="886"/>
        <v>04-08-2020</v>
      </c>
      <c r="Z2160" t="str">
        <f>"COS10200804 6994"</f>
        <v>COS10200804 6994</v>
      </c>
    </row>
    <row r="2161" spans="1:26" x14ac:dyDescent="0.25">
      <c r="A2161" t="str">
        <f t="shared" si="895"/>
        <v>04-08-2020 01:04:59</v>
      </c>
      <c r="B2161" t="str">
        <f>"0000808790"</f>
        <v>0000808790</v>
      </c>
      <c r="C2161" t="str">
        <f t="shared" si="896"/>
        <v>0000808597</v>
      </c>
      <c r="D2161" t="str">
        <f t="shared" si="874"/>
        <v>73185</v>
      </c>
      <c r="E2161" t="str">
        <f t="shared" si="875"/>
        <v>KFH-OPERATIONS DEPARTMENT</v>
      </c>
      <c r="F2161" t="str">
        <f t="shared" si="876"/>
        <v>IBG</v>
      </c>
      <c r="G2161" t="str">
        <f t="shared" si="887"/>
        <v>Refund COSHARE 10</v>
      </c>
      <c r="H2161" s="2">
        <v>931.85</v>
      </c>
      <c r="I2161" t="str">
        <f>"ROFIZAH BINTI RAHAMAN"</f>
        <v>ROFIZAH BINTI RAHAMAN</v>
      </c>
      <c r="J2161" t="str">
        <f t="shared" si="890"/>
        <v>MAYBANK / MAYBANK ISLAMIC</v>
      </c>
      <c r="K2161" t="str">
        <f>"151043817530"</f>
        <v>151043817530</v>
      </c>
      <c r="L2161" t="str">
        <f t="shared" si="893"/>
        <v>04-08-2020</v>
      </c>
      <c r="M2161" t="str">
        <f t="shared" si="893"/>
        <v>04-08-2020</v>
      </c>
      <c r="N2161" t="str">
        <f t="shared" si="877"/>
        <v>001105018356</v>
      </c>
      <c r="O2161" t="str">
        <f t="shared" si="878"/>
        <v>MYR</v>
      </c>
      <c r="P2161" t="str">
        <f t="shared" si="894"/>
        <v>NIL</v>
      </c>
      <c r="Q2161" t="str">
        <f t="shared" si="894"/>
        <v>NIL</v>
      </c>
      <c r="R2161" t="str">
        <f t="shared" si="879"/>
        <v>Accepted</v>
      </c>
      <c r="S2161" t="str">
        <f t="shared" si="880"/>
        <v>Approved</v>
      </c>
      <c r="T2161" t="str">
        <f t="shared" si="881"/>
        <v>10.20.8.188</v>
      </c>
      <c r="U2161" t="str">
        <f t="shared" si="882"/>
        <v>AZRAD UMAR BIN SHAARI</v>
      </c>
      <c r="V2161" t="str">
        <f t="shared" si="883"/>
        <v>FARHANA BINTI MUSTAPA</v>
      </c>
      <c r="W2161" t="str">
        <f t="shared" si="884"/>
        <v>04-08-2020</v>
      </c>
      <c r="X2161" t="str">
        <f t="shared" si="885"/>
        <v>RAZIMAH ANSAR AHMAD</v>
      </c>
      <c r="Y2161" t="str">
        <f t="shared" si="886"/>
        <v>04-08-2020</v>
      </c>
      <c r="Z2161" t="str">
        <f>"COS10200804 6993"</f>
        <v>COS10200804 6993</v>
      </c>
    </row>
    <row r="2162" spans="1:26" x14ac:dyDescent="0.25">
      <c r="A2162" t="str">
        <f t="shared" si="895"/>
        <v>04-08-2020 01:04:59</v>
      </c>
      <c r="B2162" t="str">
        <f>"0000808789"</f>
        <v>0000808789</v>
      </c>
      <c r="C2162" t="str">
        <f t="shared" si="896"/>
        <v>0000808597</v>
      </c>
      <c r="D2162" t="str">
        <f t="shared" si="874"/>
        <v>73185</v>
      </c>
      <c r="E2162" t="str">
        <f t="shared" si="875"/>
        <v>KFH-OPERATIONS DEPARTMENT</v>
      </c>
      <c r="F2162" t="str">
        <f t="shared" si="876"/>
        <v>IBG</v>
      </c>
      <c r="G2162" t="str">
        <f t="shared" si="887"/>
        <v>Refund COSHARE 10</v>
      </c>
      <c r="H2162" s="2">
        <v>731.85</v>
      </c>
      <c r="I2162" t="str">
        <f>"RODIAH BINTI OTHMAN"</f>
        <v>RODIAH BINTI OTHMAN</v>
      </c>
      <c r="J2162" t="str">
        <f t="shared" si="890"/>
        <v>MAYBANK / MAYBANK ISLAMIC</v>
      </c>
      <c r="K2162" t="str">
        <f>"107059474002"</f>
        <v>107059474002</v>
      </c>
      <c r="L2162" t="str">
        <f t="shared" si="893"/>
        <v>04-08-2020</v>
      </c>
      <c r="M2162" t="str">
        <f t="shared" si="893"/>
        <v>04-08-2020</v>
      </c>
      <c r="N2162" t="str">
        <f t="shared" si="877"/>
        <v>001105018356</v>
      </c>
      <c r="O2162" t="str">
        <f t="shared" si="878"/>
        <v>MYR</v>
      </c>
      <c r="P2162" t="str">
        <f t="shared" si="894"/>
        <v>NIL</v>
      </c>
      <c r="Q2162" t="str">
        <f t="shared" si="894"/>
        <v>NIL</v>
      </c>
      <c r="R2162" t="str">
        <f t="shared" si="879"/>
        <v>Accepted</v>
      </c>
      <c r="S2162" t="str">
        <f t="shared" si="880"/>
        <v>Approved</v>
      </c>
      <c r="T2162" t="str">
        <f t="shared" si="881"/>
        <v>10.20.8.188</v>
      </c>
      <c r="U2162" t="str">
        <f t="shared" si="882"/>
        <v>AZRAD UMAR BIN SHAARI</v>
      </c>
      <c r="V2162" t="str">
        <f t="shared" si="883"/>
        <v>FARHANA BINTI MUSTAPA</v>
      </c>
      <c r="W2162" t="str">
        <f t="shared" si="884"/>
        <v>04-08-2020</v>
      </c>
      <c r="X2162" t="str">
        <f t="shared" si="885"/>
        <v>RAZIMAH ANSAR AHMAD</v>
      </c>
      <c r="Y2162" t="str">
        <f t="shared" si="886"/>
        <v>04-08-2020</v>
      </c>
      <c r="Z2162" t="str">
        <f>"COS10200804 6992"</f>
        <v>COS10200804 6992</v>
      </c>
    </row>
    <row r="2163" spans="1:26" x14ac:dyDescent="0.25">
      <c r="A2163" t="str">
        <f t="shared" si="895"/>
        <v>04-08-2020 01:04:59</v>
      </c>
      <c r="B2163" t="str">
        <f>"0000808788"</f>
        <v>0000808788</v>
      </c>
      <c r="C2163" t="str">
        <f t="shared" si="896"/>
        <v>0000808597</v>
      </c>
      <c r="D2163" t="str">
        <f t="shared" si="874"/>
        <v>73185</v>
      </c>
      <c r="E2163" t="str">
        <f t="shared" si="875"/>
        <v>KFH-OPERATIONS DEPARTMENT</v>
      </c>
      <c r="F2163" t="str">
        <f t="shared" si="876"/>
        <v>IBG</v>
      </c>
      <c r="G2163" t="str">
        <f t="shared" si="887"/>
        <v>Refund COSHARE 10</v>
      </c>
      <c r="H2163" s="2">
        <v>150.4</v>
      </c>
      <c r="I2163" t="str">
        <f>"RODIAH BINTI ABDUL AZIZ"</f>
        <v>RODIAH BINTI ABDUL AZIZ</v>
      </c>
      <c r="J2163" t="str">
        <f t="shared" si="890"/>
        <v>MAYBANK / MAYBANK ISLAMIC</v>
      </c>
      <c r="K2163" t="str">
        <f>"158015058884"</f>
        <v>158015058884</v>
      </c>
      <c r="L2163" t="str">
        <f t="shared" si="893"/>
        <v>04-08-2020</v>
      </c>
      <c r="M2163" t="str">
        <f t="shared" si="893"/>
        <v>04-08-2020</v>
      </c>
      <c r="N2163" t="str">
        <f t="shared" si="877"/>
        <v>001105018356</v>
      </c>
      <c r="O2163" t="str">
        <f t="shared" si="878"/>
        <v>MYR</v>
      </c>
      <c r="P2163" t="str">
        <f t="shared" si="894"/>
        <v>NIL</v>
      </c>
      <c r="Q2163" t="str">
        <f t="shared" si="894"/>
        <v>NIL</v>
      </c>
      <c r="R2163" t="str">
        <f t="shared" si="879"/>
        <v>Accepted</v>
      </c>
      <c r="S2163" t="str">
        <f t="shared" si="880"/>
        <v>Approved</v>
      </c>
      <c r="T2163" t="str">
        <f t="shared" si="881"/>
        <v>10.20.8.188</v>
      </c>
      <c r="U2163" t="str">
        <f t="shared" si="882"/>
        <v>AZRAD UMAR BIN SHAARI</v>
      </c>
      <c r="V2163" t="str">
        <f t="shared" si="883"/>
        <v>FARHANA BINTI MUSTAPA</v>
      </c>
      <c r="W2163" t="str">
        <f t="shared" si="884"/>
        <v>04-08-2020</v>
      </c>
      <c r="X2163" t="str">
        <f t="shared" si="885"/>
        <v>RAZIMAH ANSAR AHMAD</v>
      </c>
      <c r="Y2163" t="str">
        <f t="shared" si="886"/>
        <v>04-08-2020</v>
      </c>
      <c r="Z2163" t="str">
        <f>"COS10200804 6991"</f>
        <v>COS10200804 6991</v>
      </c>
    </row>
    <row r="2164" spans="1:26" x14ac:dyDescent="0.25">
      <c r="A2164" t="str">
        <f t="shared" si="895"/>
        <v>04-08-2020 01:04:59</v>
      </c>
      <c r="B2164" t="str">
        <f>"0000808787"</f>
        <v>0000808787</v>
      </c>
      <c r="C2164" t="str">
        <f t="shared" si="896"/>
        <v>0000808597</v>
      </c>
      <c r="D2164" t="str">
        <f t="shared" si="874"/>
        <v>73185</v>
      </c>
      <c r="E2164" t="str">
        <f t="shared" si="875"/>
        <v>KFH-OPERATIONS DEPARTMENT</v>
      </c>
      <c r="F2164" t="str">
        <f t="shared" si="876"/>
        <v>IBG</v>
      </c>
      <c r="G2164" t="str">
        <f t="shared" si="887"/>
        <v>Refund COSHARE 10</v>
      </c>
      <c r="H2164" s="2">
        <v>1290</v>
      </c>
      <c r="I2164" t="str">
        <f>"RIZALSHARINAN BIN YAHAYA"</f>
        <v>RIZALSHARINAN BIN YAHAYA</v>
      </c>
      <c r="J2164" t="str">
        <f t="shared" si="890"/>
        <v>MAYBANK / MAYBANK ISLAMIC</v>
      </c>
      <c r="K2164" t="str">
        <f>"166010127761"</f>
        <v>166010127761</v>
      </c>
      <c r="L2164" t="str">
        <f t="shared" si="893"/>
        <v>04-08-2020</v>
      </c>
      <c r="M2164" t="str">
        <f t="shared" si="893"/>
        <v>04-08-2020</v>
      </c>
      <c r="N2164" t="str">
        <f t="shared" si="877"/>
        <v>001105018356</v>
      </c>
      <c r="O2164" t="str">
        <f t="shared" si="878"/>
        <v>MYR</v>
      </c>
      <c r="P2164" t="str">
        <f t="shared" si="894"/>
        <v>NIL</v>
      </c>
      <c r="Q2164" t="str">
        <f t="shared" si="894"/>
        <v>NIL</v>
      </c>
      <c r="R2164" t="str">
        <f t="shared" si="879"/>
        <v>Accepted</v>
      </c>
      <c r="S2164" t="str">
        <f t="shared" si="880"/>
        <v>Approved</v>
      </c>
      <c r="T2164" t="str">
        <f t="shared" si="881"/>
        <v>10.20.8.188</v>
      </c>
      <c r="U2164" t="str">
        <f t="shared" si="882"/>
        <v>AZRAD UMAR BIN SHAARI</v>
      </c>
      <c r="V2164" t="str">
        <f t="shared" si="883"/>
        <v>FARHANA BINTI MUSTAPA</v>
      </c>
      <c r="W2164" t="str">
        <f t="shared" si="884"/>
        <v>04-08-2020</v>
      </c>
      <c r="X2164" t="str">
        <f t="shared" si="885"/>
        <v>RAZIMAH ANSAR AHMAD</v>
      </c>
      <c r="Y2164" t="str">
        <f t="shared" si="886"/>
        <v>04-08-2020</v>
      </c>
      <c r="Z2164" t="str">
        <f>"COS10200804 6990"</f>
        <v>COS10200804 6990</v>
      </c>
    </row>
    <row r="2165" spans="1:26" x14ac:dyDescent="0.25">
      <c r="A2165" t="str">
        <f t="shared" si="895"/>
        <v>04-08-2020 01:04:59</v>
      </c>
      <c r="B2165" t="str">
        <f>"0000808786"</f>
        <v>0000808786</v>
      </c>
      <c r="C2165" t="str">
        <f t="shared" si="896"/>
        <v>0000808597</v>
      </c>
      <c r="D2165" t="str">
        <f t="shared" si="874"/>
        <v>73185</v>
      </c>
      <c r="E2165" t="str">
        <f t="shared" si="875"/>
        <v>KFH-OPERATIONS DEPARTMENT</v>
      </c>
      <c r="F2165" t="str">
        <f t="shared" si="876"/>
        <v>IBG</v>
      </c>
      <c r="G2165" t="str">
        <f t="shared" si="887"/>
        <v>Refund COSHARE 10</v>
      </c>
      <c r="H2165" s="2">
        <v>444.95</v>
      </c>
      <c r="I2165" t="str">
        <f>"RIZALI AMIER BIN RAZAK"</f>
        <v>RIZALI AMIER BIN RAZAK</v>
      </c>
      <c r="J2165" t="str">
        <f t="shared" si="890"/>
        <v>MAYBANK / MAYBANK ISLAMIC</v>
      </c>
      <c r="K2165" t="str">
        <f>"152170050218"</f>
        <v>152170050218</v>
      </c>
      <c r="L2165" t="str">
        <f t="shared" si="893"/>
        <v>04-08-2020</v>
      </c>
      <c r="M2165" t="str">
        <f t="shared" si="893"/>
        <v>04-08-2020</v>
      </c>
      <c r="N2165" t="str">
        <f t="shared" si="877"/>
        <v>001105018356</v>
      </c>
      <c r="O2165" t="str">
        <f t="shared" si="878"/>
        <v>MYR</v>
      </c>
      <c r="P2165" t="str">
        <f t="shared" si="894"/>
        <v>NIL</v>
      </c>
      <c r="Q2165" t="str">
        <f t="shared" si="894"/>
        <v>NIL</v>
      </c>
      <c r="R2165" t="str">
        <f t="shared" si="879"/>
        <v>Accepted</v>
      </c>
      <c r="S2165" t="str">
        <f t="shared" si="880"/>
        <v>Approved</v>
      </c>
      <c r="T2165" t="str">
        <f t="shared" si="881"/>
        <v>10.20.8.188</v>
      </c>
      <c r="U2165" t="str">
        <f t="shared" si="882"/>
        <v>AZRAD UMAR BIN SHAARI</v>
      </c>
      <c r="V2165" t="str">
        <f t="shared" si="883"/>
        <v>FARHANA BINTI MUSTAPA</v>
      </c>
      <c r="W2165" t="str">
        <f t="shared" si="884"/>
        <v>04-08-2020</v>
      </c>
      <c r="X2165" t="str">
        <f t="shared" si="885"/>
        <v>RAZIMAH ANSAR AHMAD</v>
      </c>
      <c r="Y2165" t="str">
        <f t="shared" si="886"/>
        <v>04-08-2020</v>
      </c>
      <c r="Z2165" t="str">
        <f>"COS10200804 6989"</f>
        <v>COS10200804 6989</v>
      </c>
    </row>
    <row r="2166" spans="1:26" x14ac:dyDescent="0.25">
      <c r="A2166" t="str">
        <f t="shared" si="895"/>
        <v>04-08-2020 01:04:59</v>
      </c>
      <c r="B2166" t="str">
        <f>"0000808785"</f>
        <v>0000808785</v>
      </c>
      <c r="C2166" t="str">
        <f t="shared" si="896"/>
        <v>0000808597</v>
      </c>
      <c r="D2166" t="str">
        <f t="shared" si="874"/>
        <v>73185</v>
      </c>
      <c r="E2166" t="str">
        <f t="shared" si="875"/>
        <v>KFH-OPERATIONS DEPARTMENT</v>
      </c>
      <c r="F2166" t="str">
        <f t="shared" si="876"/>
        <v>IBG</v>
      </c>
      <c r="G2166" t="str">
        <f t="shared" si="887"/>
        <v>Refund COSHARE 10</v>
      </c>
      <c r="H2166" s="2">
        <v>671.6</v>
      </c>
      <c r="I2166" t="str">
        <f>"RIZA HAZRIQ BIN MOHD NORAIN"</f>
        <v>RIZA HAZRIQ BIN MOHD NORAIN</v>
      </c>
      <c r="J2166" t="str">
        <f t="shared" si="890"/>
        <v>MAYBANK / MAYBANK ISLAMIC</v>
      </c>
      <c r="K2166" t="str">
        <f>"162218396279"</f>
        <v>162218396279</v>
      </c>
      <c r="L2166" t="str">
        <f t="shared" si="893"/>
        <v>04-08-2020</v>
      </c>
      <c r="M2166" t="str">
        <f t="shared" si="893"/>
        <v>04-08-2020</v>
      </c>
      <c r="N2166" t="str">
        <f t="shared" si="877"/>
        <v>001105018356</v>
      </c>
      <c r="O2166" t="str">
        <f t="shared" si="878"/>
        <v>MYR</v>
      </c>
      <c r="P2166" t="str">
        <f t="shared" si="894"/>
        <v>NIL</v>
      </c>
      <c r="Q2166" t="str">
        <f t="shared" si="894"/>
        <v>NIL</v>
      </c>
      <c r="R2166" t="str">
        <f t="shared" si="879"/>
        <v>Accepted</v>
      </c>
      <c r="S2166" t="str">
        <f t="shared" si="880"/>
        <v>Approved</v>
      </c>
      <c r="T2166" t="str">
        <f t="shared" si="881"/>
        <v>10.20.8.188</v>
      </c>
      <c r="U2166" t="str">
        <f t="shared" si="882"/>
        <v>AZRAD UMAR BIN SHAARI</v>
      </c>
      <c r="V2166" t="str">
        <f t="shared" si="883"/>
        <v>FARHANA BINTI MUSTAPA</v>
      </c>
      <c r="W2166" t="str">
        <f t="shared" si="884"/>
        <v>04-08-2020</v>
      </c>
      <c r="X2166" t="str">
        <f t="shared" si="885"/>
        <v>RAZIMAH ANSAR AHMAD</v>
      </c>
      <c r="Y2166" t="str">
        <f t="shared" si="886"/>
        <v>04-08-2020</v>
      </c>
      <c r="Z2166" t="str">
        <f>"COS10200804 6988"</f>
        <v>COS10200804 6988</v>
      </c>
    </row>
    <row r="2167" spans="1:26" x14ac:dyDescent="0.25">
      <c r="A2167" t="str">
        <f t="shared" si="895"/>
        <v>04-08-2020 01:04:59</v>
      </c>
      <c r="B2167" t="str">
        <f>"0000808784"</f>
        <v>0000808784</v>
      </c>
      <c r="C2167" t="str">
        <f t="shared" si="896"/>
        <v>0000808597</v>
      </c>
      <c r="D2167" t="str">
        <f t="shared" si="874"/>
        <v>73185</v>
      </c>
      <c r="E2167" t="str">
        <f t="shared" si="875"/>
        <v>KFH-OPERATIONS DEPARTMENT</v>
      </c>
      <c r="F2167" t="str">
        <f t="shared" si="876"/>
        <v>IBG</v>
      </c>
      <c r="G2167" t="str">
        <f t="shared" si="887"/>
        <v>Refund COSHARE 10</v>
      </c>
      <c r="H2167" s="2">
        <v>822.7</v>
      </c>
      <c r="I2167" t="str">
        <f>"RINI PERAIT"</f>
        <v>RINI PERAIT</v>
      </c>
      <c r="J2167" t="str">
        <f t="shared" si="890"/>
        <v>MAYBANK / MAYBANK ISLAMIC</v>
      </c>
      <c r="K2167" t="str">
        <f>"111020018528"</f>
        <v>111020018528</v>
      </c>
      <c r="L2167" t="str">
        <f t="shared" ref="L2167:M2186" si="897">"04-08-2020"</f>
        <v>04-08-2020</v>
      </c>
      <c r="M2167" t="str">
        <f t="shared" si="897"/>
        <v>04-08-2020</v>
      </c>
      <c r="N2167" t="str">
        <f t="shared" si="877"/>
        <v>001105018356</v>
      </c>
      <c r="O2167" t="str">
        <f t="shared" si="878"/>
        <v>MYR</v>
      </c>
      <c r="P2167" t="str">
        <f t="shared" ref="P2167:Q2186" si="898">"NIL"</f>
        <v>NIL</v>
      </c>
      <c r="Q2167" t="str">
        <f t="shared" si="898"/>
        <v>NIL</v>
      </c>
      <c r="R2167" t="str">
        <f t="shared" si="879"/>
        <v>Accepted</v>
      </c>
      <c r="S2167" t="str">
        <f t="shared" si="880"/>
        <v>Approved</v>
      </c>
      <c r="T2167" t="str">
        <f t="shared" si="881"/>
        <v>10.20.8.188</v>
      </c>
      <c r="U2167" t="str">
        <f t="shared" si="882"/>
        <v>AZRAD UMAR BIN SHAARI</v>
      </c>
      <c r="V2167" t="str">
        <f t="shared" si="883"/>
        <v>FARHANA BINTI MUSTAPA</v>
      </c>
      <c r="W2167" t="str">
        <f t="shared" si="884"/>
        <v>04-08-2020</v>
      </c>
      <c r="X2167" t="str">
        <f t="shared" si="885"/>
        <v>RAZIMAH ANSAR AHMAD</v>
      </c>
      <c r="Y2167" t="str">
        <f t="shared" si="886"/>
        <v>04-08-2020</v>
      </c>
      <c r="Z2167" t="str">
        <f>"COS10200804 6987"</f>
        <v>COS10200804 6987</v>
      </c>
    </row>
    <row r="2168" spans="1:26" x14ac:dyDescent="0.25">
      <c r="A2168" t="str">
        <f t="shared" si="895"/>
        <v>04-08-2020 01:04:59</v>
      </c>
      <c r="B2168" t="str">
        <f>"0000808783"</f>
        <v>0000808783</v>
      </c>
      <c r="C2168" t="str">
        <f t="shared" si="896"/>
        <v>0000808597</v>
      </c>
      <c r="D2168" t="str">
        <f t="shared" si="874"/>
        <v>73185</v>
      </c>
      <c r="E2168" t="str">
        <f t="shared" si="875"/>
        <v>KFH-OPERATIONS DEPARTMENT</v>
      </c>
      <c r="F2168" t="str">
        <f t="shared" si="876"/>
        <v>IBG</v>
      </c>
      <c r="G2168" t="str">
        <f t="shared" si="887"/>
        <v>Refund COSHARE 10</v>
      </c>
      <c r="H2168" s="2">
        <v>697.45</v>
      </c>
      <c r="I2168" t="str">
        <f>"RINAI  NURUL AKMAL BINTI O K K MULOK"</f>
        <v>RINAI  NURUL AKMAL BINTI O K K MULOK</v>
      </c>
      <c r="J2168" t="str">
        <f t="shared" si="890"/>
        <v>MAYBANK / MAYBANK ISLAMIC</v>
      </c>
      <c r="K2168" t="str">
        <f>"110032107871"</f>
        <v>110032107871</v>
      </c>
      <c r="L2168" t="str">
        <f t="shared" si="897"/>
        <v>04-08-2020</v>
      </c>
      <c r="M2168" t="str">
        <f t="shared" si="897"/>
        <v>04-08-2020</v>
      </c>
      <c r="N2168" t="str">
        <f t="shared" si="877"/>
        <v>001105018356</v>
      </c>
      <c r="O2168" t="str">
        <f t="shared" si="878"/>
        <v>MYR</v>
      </c>
      <c r="P2168" t="str">
        <f t="shared" si="898"/>
        <v>NIL</v>
      </c>
      <c r="Q2168" t="str">
        <f t="shared" si="898"/>
        <v>NIL</v>
      </c>
      <c r="R2168" t="str">
        <f t="shared" si="879"/>
        <v>Accepted</v>
      </c>
      <c r="S2168" t="str">
        <f t="shared" si="880"/>
        <v>Approved</v>
      </c>
      <c r="T2168" t="str">
        <f t="shared" si="881"/>
        <v>10.20.8.188</v>
      </c>
      <c r="U2168" t="str">
        <f t="shared" si="882"/>
        <v>AZRAD UMAR BIN SHAARI</v>
      </c>
      <c r="V2168" t="str">
        <f t="shared" si="883"/>
        <v>FARHANA BINTI MUSTAPA</v>
      </c>
      <c r="W2168" t="str">
        <f t="shared" si="884"/>
        <v>04-08-2020</v>
      </c>
      <c r="X2168" t="str">
        <f t="shared" si="885"/>
        <v>RAZIMAH ANSAR AHMAD</v>
      </c>
      <c r="Y2168" t="str">
        <f t="shared" si="886"/>
        <v>04-08-2020</v>
      </c>
      <c r="Z2168" t="str">
        <f>"COS10200804 6986"</f>
        <v>COS10200804 6986</v>
      </c>
    </row>
    <row r="2169" spans="1:26" x14ac:dyDescent="0.25">
      <c r="A2169" t="str">
        <f t="shared" si="895"/>
        <v>04-08-2020 01:04:59</v>
      </c>
      <c r="B2169" t="str">
        <f>"0000808782"</f>
        <v>0000808782</v>
      </c>
      <c r="C2169" t="str">
        <f t="shared" si="896"/>
        <v>0000808597</v>
      </c>
      <c r="D2169" t="str">
        <f t="shared" si="874"/>
        <v>73185</v>
      </c>
      <c r="E2169" t="str">
        <f t="shared" si="875"/>
        <v>KFH-OPERATIONS DEPARTMENT</v>
      </c>
      <c r="F2169" t="str">
        <f t="shared" si="876"/>
        <v>IBG</v>
      </c>
      <c r="G2169" t="str">
        <f t="shared" si="887"/>
        <v>Refund COSHARE 10</v>
      </c>
      <c r="H2169" s="2">
        <v>763.95</v>
      </c>
      <c r="I2169" t="str">
        <f>"RINA LAILY BINTI SAPARI"</f>
        <v>RINA LAILY BINTI SAPARI</v>
      </c>
      <c r="J2169" t="str">
        <f t="shared" si="890"/>
        <v>MAYBANK / MAYBANK ISLAMIC</v>
      </c>
      <c r="K2169" t="str">
        <f>"151294759623"</f>
        <v>151294759623</v>
      </c>
      <c r="L2169" t="str">
        <f t="shared" si="897"/>
        <v>04-08-2020</v>
      </c>
      <c r="M2169" t="str">
        <f t="shared" si="897"/>
        <v>04-08-2020</v>
      </c>
      <c r="N2169" t="str">
        <f t="shared" si="877"/>
        <v>001105018356</v>
      </c>
      <c r="O2169" t="str">
        <f t="shared" si="878"/>
        <v>MYR</v>
      </c>
      <c r="P2169" t="str">
        <f t="shared" si="898"/>
        <v>NIL</v>
      </c>
      <c r="Q2169" t="str">
        <f t="shared" si="898"/>
        <v>NIL</v>
      </c>
      <c r="R2169" t="str">
        <f t="shared" si="879"/>
        <v>Accepted</v>
      </c>
      <c r="S2169" t="str">
        <f t="shared" si="880"/>
        <v>Approved</v>
      </c>
      <c r="T2169" t="str">
        <f t="shared" si="881"/>
        <v>10.20.8.188</v>
      </c>
      <c r="U2169" t="str">
        <f t="shared" si="882"/>
        <v>AZRAD UMAR BIN SHAARI</v>
      </c>
      <c r="V2169" t="str">
        <f t="shared" si="883"/>
        <v>FARHANA BINTI MUSTAPA</v>
      </c>
      <c r="W2169" t="str">
        <f t="shared" si="884"/>
        <v>04-08-2020</v>
      </c>
      <c r="X2169" t="str">
        <f t="shared" si="885"/>
        <v>RAZIMAH ANSAR AHMAD</v>
      </c>
      <c r="Y2169" t="str">
        <f t="shared" si="886"/>
        <v>04-08-2020</v>
      </c>
      <c r="Z2169" t="str">
        <f>"COS10200804 6985"</f>
        <v>COS10200804 6985</v>
      </c>
    </row>
    <row r="2170" spans="1:26" x14ac:dyDescent="0.25">
      <c r="A2170" t="str">
        <f t="shared" si="895"/>
        <v>04-08-2020 01:04:59</v>
      </c>
      <c r="B2170" t="str">
        <f>"0000808781"</f>
        <v>0000808781</v>
      </c>
      <c r="C2170" t="str">
        <f t="shared" si="896"/>
        <v>0000808597</v>
      </c>
      <c r="D2170" t="str">
        <f t="shared" si="874"/>
        <v>73185</v>
      </c>
      <c r="E2170" t="str">
        <f t="shared" si="875"/>
        <v>KFH-OPERATIONS DEPARTMENT</v>
      </c>
      <c r="F2170" t="str">
        <f t="shared" si="876"/>
        <v>IBG</v>
      </c>
      <c r="G2170" t="str">
        <f t="shared" si="887"/>
        <v>Refund COSHARE 10</v>
      </c>
      <c r="H2170" s="2">
        <v>243</v>
      </c>
      <c r="I2170" t="str">
        <f>"RIDZUAN BIN RADZI"</f>
        <v>RIDZUAN BIN RADZI</v>
      </c>
      <c r="J2170" t="str">
        <f t="shared" si="890"/>
        <v>MAYBANK / MAYBANK ISLAMIC</v>
      </c>
      <c r="K2170" t="str">
        <f>"106061228216"</f>
        <v>106061228216</v>
      </c>
      <c r="L2170" t="str">
        <f t="shared" si="897"/>
        <v>04-08-2020</v>
      </c>
      <c r="M2170" t="str">
        <f t="shared" si="897"/>
        <v>04-08-2020</v>
      </c>
      <c r="N2170" t="str">
        <f t="shared" si="877"/>
        <v>001105018356</v>
      </c>
      <c r="O2170" t="str">
        <f t="shared" si="878"/>
        <v>MYR</v>
      </c>
      <c r="P2170" t="str">
        <f t="shared" si="898"/>
        <v>NIL</v>
      </c>
      <c r="Q2170" t="str">
        <f t="shared" si="898"/>
        <v>NIL</v>
      </c>
      <c r="R2170" t="str">
        <f t="shared" si="879"/>
        <v>Accepted</v>
      </c>
      <c r="S2170" t="str">
        <f t="shared" si="880"/>
        <v>Approved</v>
      </c>
      <c r="T2170" t="str">
        <f t="shared" si="881"/>
        <v>10.20.8.188</v>
      </c>
      <c r="U2170" t="str">
        <f t="shared" si="882"/>
        <v>AZRAD UMAR BIN SHAARI</v>
      </c>
      <c r="V2170" t="str">
        <f t="shared" si="883"/>
        <v>FARHANA BINTI MUSTAPA</v>
      </c>
      <c r="W2170" t="str">
        <f t="shared" si="884"/>
        <v>04-08-2020</v>
      </c>
      <c r="X2170" t="str">
        <f t="shared" si="885"/>
        <v>RAZIMAH ANSAR AHMAD</v>
      </c>
      <c r="Y2170" t="str">
        <f t="shared" si="886"/>
        <v>04-08-2020</v>
      </c>
      <c r="Z2170" t="str">
        <f>"COS10200804 6984"</f>
        <v>COS10200804 6984</v>
      </c>
    </row>
    <row r="2171" spans="1:26" x14ac:dyDescent="0.25">
      <c r="A2171" t="str">
        <f t="shared" si="895"/>
        <v>04-08-2020 01:04:59</v>
      </c>
      <c r="B2171" t="str">
        <f>"0000808780"</f>
        <v>0000808780</v>
      </c>
      <c r="C2171" t="str">
        <f t="shared" si="896"/>
        <v>0000808597</v>
      </c>
      <c r="D2171" t="str">
        <f t="shared" si="874"/>
        <v>73185</v>
      </c>
      <c r="E2171" t="str">
        <f t="shared" si="875"/>
        <v>KFH-OPERATIONS DEPARTMENT</v>
      </c>
      <c r="F2171" t="str">
        <f t="shared" si="876"/>
        <v>IBG</v>
      </c>
      <c r="G2171" t="str">
        <f t="shared" si="887"/>
        <v>Refund COSHARE 10</v>
      </c>
      <c r="H2171" s="2">
        <v>671.6</v>
      </c>
      <c r="I2171" t="str">
        <f>"RIDZUAN BIN KOMING"</f>
        <v>RIDZUAN BIN KOMING</v>
      </c>
      <c r="J2171" t="str">
        <f t="shared" si="890"/>
        <v>MAYBANK / MAYBANK ISLAMIC</v>
      </c>
      <c r="K2171" t="str">
        <f>"162740023792"</f>
        <v>162740023792</v>
      </c>
      <c r="L2171" t="str">
        <f t="shared" si="897"/>
        <v>04-08-2020</v>
      </c>
      <c r="M2171" t="str">
        <f t="shared" si="897"/>
        <v>04-08-2020</v>
      </c>
      <c r="N2171" t="str">
        <f t="shared" si="877"/>
        <v>001105018356</v>
      </c>
      <c r="O2171" t="str">
        <f t="shared" si="878"/>
        <v>MYR</v>
      </c>
      <c r="P2171" t="str">
        <f t="shared" si="898"/>
        <v>NIL</v>
      </c>
      <c r="Q2171" t="str">
        <f t="shared" si="898"/>
        <v>NIL</v>
      </c>
      <c r="R2171" t="str">
        <f t="shared" si="879"/>
        <v>Accepted</v>
      </c>
      <c r="S2171" t="str">
        <f t="shared" si="880"/>
        <v>Approved</v>
      </c>
      <c r="T2171" t="str">
        <f t="shared" si="881"/>
        <v>10.20.8.188</v>
      </c>
      <c r="U2171" t="str">
        <f t="shared" si="882"/>
        <v>AZRAD UMAR BIN SHAARI</v>
      </c>
      <c r="V2171" t="str">
        <f t="shared" si="883"/>
        <v>FARHANA BINTI MUSTAPA</v>
      </c>
      <c r="W2171" t="str">
        <f t="shared" si="884"/>
        <v>04-08-2020</v>
      </c>
      <c r="X2171" t="str">
        <f t="shared" si="885"/>
        <v>RAZIMAH ANSAR AHMAD</v>
      </c>
      <c r="Y2171" t="str">
        <f t="shared" si="886"/>
        <v>04-08-2020</v>
      </c>
      <c r="Z2171" t="str">
        <f>"COS10200804 6983"</f>
        <v>COS10200804 6983</v>
      </c>
    </row>
    <row r="2172" spans="1:26" x14ac:dyDescent="0.25">
      <c r="A2172" t="str">
        <f t="shared" si="895"/>
        <v>04-08-2020 01:04:59</v>
      </c>
      <c r="B2172" t="str">
        <f>"0000808779"</f>
        <v>0000808779</v>
      </c>
      <c r="C2172" t="str">
        <f t="shared" si="896"/>
        <v>0000808597</v>
      </c>
      <c r="D2172" t="str">
        <f t="shared" si="874"/>
        <v>73185</v>
      </c>
      <c r="E2172" t="str">
        <f t="shared" si="875"/>
        <v>KFH-OPERATIONS DEPARTMENT</v>
      </c>
      <c r="F2172" t="str">
        <f t="shared" si="876"/>
        <v>IBG</v>
      </c>
      <c r="G2172" t="str">
        <f t="shared" si="887"/>
        <v>Refund COSHARE 10</v>
      </c>
      <c r="H2172" s="2">
        <v>814.35</v>
      </c>
      <c r="I2172" t="str">
        <f>"RIDWAN BIN RAMLI"</f>
        <v>RIDWAN BIN RAMLI</v>
      </c>
      <c r="J2172" t="str">
        <f t="shared" si="890"/>
        <v>MAYBANK / MAYBANK ISLAMIC</v>
      </c>
      <c r="K2172" t="str">
        <f>"162076547967"</f>
        <v>162076547967</v>
      </c>
      <c r="L2172" t="str">
        <f t="shared" si="897"/>
        <v>04-08-2020</v>
      </c>
      <c r="M2172" t="str">
        <f t="shared" si="897"/>
        <v>04-08-2020</v>
      </c>
      <c r="N2172" t="str">
        <f t="shared" si="877"/>
        <v>001105018356</v>
      </c>
      <c r="O2172" t="str">
        <f t="shared" si="878"/>
        <v>MYR</v>
      </c>
      <c r="P2172" t="str">
        <f t="shared" si="898"/>
        <v>NIL</v>
      </c>
      <c r="Q2172" t="str">
        <f t="shared" si="898"/>
        <v>NIL</v>
      </c>
      <c r="R2172" t="str">
        <f t="shared" si="879"/>
        <v>Accepted</v>
      </c>
      <c r="S2172" t="str">
        <f t="shared" si="880"/>
        <v>Approved</v>
      </c>
      <c r="T2172" t="str">
        <f t="shared" si="881"/>
        <v>10.20.8.188</v>
      </c>
      <c r="U2172" t="str">
        <f t="shared" si="882"/>
        <v>AZRAD UMAR BIN SHAARI</v>
      </c>
      <c r="V2172" t="str">
        <f t="shared" si="883"/>
        <v>FARHANA BINTI MUSTAPA</v>
      </c>
      <c r="W2172" t="str">
        <f t="shared" si="884"/>
        <v>04-08-2020</v>
      </c>
      <c r="X2172" t="str">
        <f t="shared" si="885"/>
        <v>RAZIMAH ANSAR AHMAD</v>
      </c>
      <c r="Y2172" t="str">
        <f t="shared" si="886"/>
        <v>04-08-2020</v>
      </c>
      <c r="Z2172" t="str">
        <f>"COS10200804 6982"</f>
        <v>COS10200804 6982</v>
      </c>
    </row>
    <row r="2173" spans="1:26" x14ac:dyDescent="0.25">
      <c r="A2173" t="str">
        <f t="shared" si="895"/>
        <v>04-08-2020 01:04:59</v>
      </c>
      <c r="B2173" t="str">
        <f>"0000808778"</f>
        <v>0000808778</v>
      </c>
      <c r="C2173" t="str">
        <f t="shared" si="896"/>
        <v>0000808597</v>
      </c>
      <c r="D2173" t="str">
        <f t="shared" si="874"/>
        <v>73185</v>
      </c>
      <c r="E2173" t="str">
        <f t="shared" si="875"/>
        <v>KFH-OPERATIONS DEPARTMENT</v>
      </c>
      <c r="F2173" t="str">
        <f t="shared" si="876"/>
        <v>IBG</v>
      </c>
      <c r="G2173" t="str">
        <f t="shared" si="887"/>
        <v>Refund COSHARE 10</v>
      </c>
      <c r="H2173" s="2">
        <v>646.45000000000005</v>
      </c>
      <c r="I2173" t="str">
        <f>"RIDUAN BIN MUHAMAD"</f>
        <v>RIDUAN BIN MUHAMAD</v>
      </c>
      <c r="J2173" t="str">
        <f t="shared" si="890"/>
        <v>MAYBANK / MAYBANK ISLAMIC</v>
      </c>
      <c r="K2173" t="str">
        <f>"111114313145"</f>
        <v>111114313145</v>
      </c>
      <c r="L2173" t="str">
        <f t="shared" si="897"/>
        <v>04-08-2020</v>
      </c>
      <c r="M2173" t="str">
        <f t="shared" si="897"/>
        <v>04-08-2020</v>
      </c>
      <c r="N2173" t="str">
        <f t="shared" si="877"/>
        <v>001105018356</v>
      </c>
      <c r="O2173" t="str">
        <f t="shared" si="878"/>
        <v>MYR</v>
      </c>
      <c r="P2173" t="str">
        <f t="shared" si="898"/>
        <v>NIL</v>
      </c>
      <c r="Q2173" t="str">
        <f t="shared" si="898"/>
        <v>NIL</v>
      </c>
      <c r="R2173" t="str">
        <f t="shared" si="879"/>
        <v>Accepted</v>
      </c>
      <c r="S2173" t="str">
        <f t="shared" si="880"/>
        <v>Approved</v>
      </c>
      <c r="T2173" t="str">
        <f t="shared" si="881"/>
        <v>10.20.8.188</v>
      </c>
      <c r="U2173" t="str">
        <f t="shared" si="882"/>
        <v>AZRAD UMAR BIN SHAARI</v>
      </c>
      <c r="V2173" t="str">
        <f t="shared" si="883"/>
        <v>FARHANA BINTI MUSTAPA</v>
      </c>
      <c r="W2173" t="str">
        <f t="shared" si="884"/>
        <v>04-08-2020</v>
      </c>
      <c r="X2173" t="str">
        <f t="shared" si="885"/>
        <v>RAZIMAH ANSAR AHMAD</v>
      </c>
      <c r="Y2173" t="str">
        <f t="shared" si="886"/>
        <v>04-08-2020</v>
      </c>
      <c r="Z2173" t="str">
        <f>"COS10200804 6981"</f>
        <v>COS10200804 6981</v>
      </c>
    </row>
    <row r="2174" spans="1:26" x14ac:dyDescent="0.25">
      <c r="A2174" t="str">
        <f t="shared" si="895"/>
        <v>04-08-2020 01:04:59</v>
      </c>
      <c r="B2174" t="str">
        <f>"0000808777"</f>
        <v>0000808777</v>
      </c>
      <c r="C2174" t="str">
        <f t="shared" si="896"/>
        <v>0000808597</v>
      </c>
      <c r="D2174" t="str">
        <f t="shared" si="874"/>
        <v>73185</v>
      </c>
      <c r="E2174" t="str">
        <f t="shared" si="875"/>
        <v>KFH-OPERATIONS DEPARTMENT</v>
      </c>
      <c r="F2174" t="str">
        <f t="shared" si="876"/>
        <v>IBG</v>
      </c>
      <c r="G2174" t="str">
        <f t="shared" si="887"/>
        <v>Refund COSHARE 10</v>
      </c>
      <c r="H2174" s="2">
        <v>100.75</v>
      </c>
      <c r="I2174" t="str">
        <f>"RIDUAN BIN MD SAWI"</f>
        <v>RIDUAN BIN MD SAWI</v>
      </c>
      <c r="J2174" t="str">
        <f t="shared" si="890"/>
        <v>MAYBANK / MAYBANK ISLAMIC</v>
      </c>
      <c r="K2174" t="str">
        <f>"162076558561"</f>
        <v>162076558561</v>
      </c>
      <c r="L2174" t="str">
        <f t="shared" si="897"/>
        <v>04-08-2020</v>
      </c>
      <c r="M2174" t="str">
        <f t="shared" si="897"/>
        <v>04-08-2020</v>
      </c>
      <c r="N2174" t="str">
        <f t="shared" si="877"/>
        <v>001105018356</v>
      </c>
      <c r="O2174" t="str">
        <f t="shared" si="878"/>
        <v>MYR</v>
      </c>
      <c r="P2174" t="str">
        <f t="shared" si="898"/>
        <v>NIL</v>
      </c>
      <c r="Q2174" t="str">
        <f t="shared" si="898"/>
        <v>NIL</v>
      </c>
      <c r="R2174" t="str">
        <f t="shared" si="879"/>
        <v>Accepted</v>
      </c>
      <c r="S2174" t="str">
        <f t="shared" si="880"/>
        <v>Approved</v>
      </c>
      <c r="T2174" t="str">
        <f t="shared" si="881"/>
        <v>10.20.8.188</v>
      </c>
      <c r="U2174" t="str">
        <f t="shared" si="882"/>
        <v>AZRAD UMAR BIN SHAARI</v>
      </c>
      <c r="V2174" t="str">
        <f t="shared" si="883"/>
        <v>FARHANA BINTI MUSTAPA</v>
      </c>
      <c r="W2174" t="str">
        <f t="shared" si="884"/>
        <v>04-08-2020</v>
      </c>
      <c r="X2174" t="str">
        <f t="shared" si="885"/>
        <v>RAZIMAH ANSAR AHMAD</v>
      </c>
      <c r="Y2174" t="str">
        <f t="shared" si="886"/>
        <v>04-08-2020</v>
      </c>
      <c r="Z2174" t="str">
        <f>"COS10200804 6980"</f>
        <v>COS10200804 6980</v>
      </c>
    </row>
    <row r="2175" spans="1:26" x14ac:dyDescent="0.25">
      <c r="A2175" t="str">
        <f t="shared" si="895"/>
        <v>04-08-2020 01:04:59</v>
      </c>
      <c r="B2175" t="str">
        <f>"0000808776"</f>
        <v>0000808776</v>
      </c>
      <c r="C2175" t="str">
        <f t="shared" si="896"/>
        <v>0000808597</v>
      </c>
      <c r="D2175" t="str">
        <f t="shared" si="874"/>
        <v>73185</v>
      </c>
      <c r="E2175" t="str">
        <f t="shared" si="875"/>
        <v>KFH-OPERATIONS DEPARTMENT</v>
      </c>
      <c r="F2175" t="str">
        <f t="shared" si="876"/>
        <v>IBG</v>
      </c>
      <c r="G2175" t="str">
        <f t="shared" si="887"/>
        <v>Refund COSHARE 10</v>
      </c>
      <c r="H2175" s="2">
        <v>839.5</v>
      </c>
      <c r="I2175" t="str">
        <f>"RIDHWAH BINTI SAPINGI  SHAFIE"</f>
        <v>RIDHWAH BINTI SAPINGI  SHAFIE</v>
      </c>
      <c r="J2175" t="str">
        <f t="shared" si="890"/>
        <v>MAYBANK / MAYBANK ISLAMIC</v>
      </c>
      <c r="K2175" t="str">
        <f>"162263546229"</f>
        <v>162263546229</v>
      </c>
      <c r="L2175" t="str">
        <f t="shared" si="897"/>
        <v>04-08-2020</v>
      </c>
      <c r="M2175" t="str">
        <f t="shared" si="897"/>
        <v>04-08-2020</v>
      </c>
      <c r="N2175" t="str">
        <f t="shared" si="877"/>
        <v>001105018356</v>
      </c>
      <c r="O2175" t="str">
        <f t="shared" si="878"/>
        <v>MYR</v>
      </c>
      <c r="P2175" t="str">
        <f t="shared" si="898"/>
        <v>NIL</v>
      </c>
      <c r="Q2175" t="str">
        <f t="shared" si="898"/>
        <v>NIL</v>
      </c>
      <c r="R2175" t="str">
        <f t="shared" si="879"/>
        <v>Accepted</v>
      </c>
      <c r="S2175" t="str">
        <f t="shared" si="880"/>
        <v>Approved</v>
      </c>
      <c r="T2175" t="str">
        <f t="shared" si="881"/>
        <v>10.20.8.188</v>
      </c>
      <c r="U2175" t="str">
        <f t="shared" si="882"/>
        <v>AZRAD UMAR BIN SHAARI</v>
      </c>
      <c r="V2175" t="str">
        <f t="shared" si="883"/>
        <v>FARHANA BINTI MUSTAPA</v>
      </c>
      <c r="W2175" t="str">
        <f t="shared" si="884"/>
        <v>04-08-2020</v>
      </c>
      <c r="X2175" t="str">
        <f t="shared" si="885"/>
        <v>RAZIMAH ANSAR AHMAD</v>
      </c>
      <c r="Y2175" t="str">
        <f t="shared" si="886"/>
        <v>04-08-2020</v>
      </c>
      <c r="Z2175" t="str">
        <f>"COS10200804 6979"</f>
        <v>COS10200804 6979</v>
      </c>
    </row>
    <row r="2176" spans="1:26" x14ac:dyDescent="0.25">
      <c r="A2176" t="str">
        <f t="shared" si="895"/>
        <v>04-08-2020 01:04:59</v>
      </c>
      <c r="B2176" t="str">
        <f>"0000808775"</f>
        <v>0000808775</v>
      </c>
      <c r="C2176" t="str">
        <f t="shared" si="896"/>
        <v>0000808597</v>
      </c>
      <c r="D2176" t="str">
        <f t="shared" si="874"/>
        <v>73185</v>
      </c>
      <c r="E2176" t="str">
        <f t="shared" si="875"/>
        <v>KFH-OPERATIONS DEPARTMENT</v>
      </c>
      <c r="F2176" t="str">
        <f t="shared" si="876"/>
        <v>IBG</v>
      </c>
      <c r="G2176" t="str">
        <f t="shared" si="887"/>
        <v>Refund COSHARE 10</v>
      </c>
      <c r="H2176" s="2">
        <v>377.8</v>
      </c>
      <c r="I2176" t="str">
        <f>"RICKY KAMPULIN"</f>
        <v>RICKY KAMPULIN</v>
      </c>
      <c r="J2176" t="str">
        <f t="shared" si="890"/>
        <v>MAYBANK / MAYBANK ISLAMIC</v>
      </c>
      <c r="K2176" t="str">
        <f>"160037100727"</f>
        <v>160037100727</v>
      </c>
      <c r="L2176" t="str">
        <f t="shared" si="897"/>
        <v>04-08-2020</v>
      </c>
      <c r="M2176" t="str">
        <f t="shared" si="897"/>
        <v>04-08-2020</v>
      </c>
      <c r="N2176" t="str">
        <f t="shared" si="877"/>
        <v>001105018356</v>
      </c>
      <c r="O2176" t="str">
        <f t="shared" si="878"/>
        <v>MYR</v>
      </c>
      <c r="P2176" t="str">
        <f t="shared" si="898"/>
        <v>NIL</v>
      </c>
      <c r="Q2176" t="str">
        <f t="shared" si="898"/>
        <v>NIL</v>
      </c>
      <c r="R2176" t="str">
        <f t="shared" si="879"/>
        <v>Accepted</v>
      </c>
      <c r="S2176" t="str">
        <f t="shared" si="880"/>
        <v>Approved</v>
      </c>
      <c r="T2176" t="str">
        <f t="shared" si="881"/>
        <v>10.20.8.188</v>
      </c>
      <c r="U2176" t="str">
        <f t="shared" si="882"/>
        <v>AZRAD UMAR BIN SHAARI</v>
      </c>
      <c r="V2176" t="str">
        <f t="shared" si="883"/>
        <v>FARHANA BINTI MUSTAPA</v>
      </c>
      <c r="W2176" t="str">
        <f t="shared" si="884"/>
        <v>04-08-2020</v>
      </c>
      <c r="X2176" t="str">
        <f t="shared" si="885"/>
        <v>RAZIMAH ANSAR AHMAD</v>
      </c>
      <c r="Y2176" t="str">
        <f t="shared" si="886"/>
        <v>04-08-2020</v>
      </c>
      <c r="Z2176" t="str">
        <f>"COS10200804 6978"</f>
        <v>COS10200804 6978</v>
      </c>
    </row>
    <row r="2177" spans="1:26" x14ac:dyDescent="0.25">
      <c r="A2177" t="str">
        <f t="shared" si="895"/>
        <v>04-08-2020 01:04:59</v>
      </c>
      <c r="B2177" t="str">
        <f>"0000808774"</f>
        <v>0000808774</v>
      </c>
      <c r="C2177" t="str">
        <f t="shared" si="896"/>
        <v>0000808597</v>
      </c>
      <c r="D2177" t="str">
        <f t="shared" si="874"/>
        <v>73185</v>
      </c>
      <c r="E2177" t="str">
        <f t="shared" si="875"/>
        <v>KFH-OPERATIONS DEPARTMENT</v>
      </c>
      <c r="F2177" t="str">
        <f t="shared" si="876"/>
        <v>IBG</v>
      </c>
      <c r="G2177" t="str">
        <f t="shared" si="887"/>
        <v>Refund COSHARE 10</v>
      </c>
      <c r="H2177" s="2">
        <v>100.65</v>
      </c>
      <c r="I2177" t="str">
        <f>"RICKY ADON CHUAT"</f>
        <v>RICKY ADON CHUAT</v>
      </c>
      <c r="J2177" t="str">
        <f t="shared" si="890"/>
        <v>MAYBANK / MAYBANK ISLAMIC</v>
      </c>
      <c r="K2177" t="str">
        <f>"161136245281"</f>
        <v>161136245281</v>
      </c>
      <c r="L2177" t="str">
        <f t="shared" si="897"/>
        <v>04-08-2020</v>
      </c>
      <c r="M2177" t="str">
        <f t="shared" si="897"/>
        <v>04-08-2020</v>
      </c>
      <c r="N2177" t="str">
        <f t="shared" si="877"/>
        <v>001105018356</v>
      </c>
      <c r="O2177" t="str">
        <f t="shared" si="878"/>
        <v>MYR</v>
      </c>
      <c r="P2177" t="str">
        <f t="shared" si="898"/>
        <v>NIL</v>
      </c>
      <c r="Q2177" t="str">
        <f t="shared" si="898"/>
        <v>NIL</v>
      </c>
      <c r="R2177" t="str">
        <f t="shared" si="879"/>
        <v>Accepted</v>
      </c>
      <c r="S2177" t="str">
        <f t="shared" si="880"/>
        <v>Approved</v>
      </c>
      <c r="T2177" t="str">
        <f t="shared" si="881"/>
        <v>10.20.8.188</v>
      </c>
      <c r="U2177" t="str">
        <f t="shared" si="882"/>
        <v>AZRAD UMAR BIN SHAARI</v>
      </c>
      <c r="V2177" t="str">
        <f t="shared" si="883"/>
        <v>FARHANA BINTI MUSTAPA</v>
      </c>
      <c r="W2177" t="str">
        <f t="shared" si="884"/>
        <v>04-08-2020</v>
      </c>
      <c r="X2177" t="str">
        <f t="shared" si="885"/>
        <v>RAZIMAH ANSAR AHMAD</v>
      </c>
      <c r="Y2177" t="str">
        <f t="shared" si="886"/>
        <v>04-08-2020</v>
      </c>
      <c r="Z2177" t="str">
        <f>"COS10200804 6977"</f>
        <v>COS10200804 6977</v>
      </c>
    </row>
    <row r="2178" spans="1:26" x14ac:dyDescent="0.25">
      <c r="A2178" t="str">
        <f t="shared" si="895"/>
        <v>04-08-2020 01:04:59</v>
      </c>
      <c r="B2178" t="str">
        <f>"0000808773"</f>
        <v>0000808773</v>
      </c>
      <c r="C2178" t="str">
        <f t="shared" si="896"/>
        <v>0000808597</v>
      </c>
      <c r="D2178" t="str">
        <f t="shared" si="874"/>
        <v>73185</v>
      </c>
      <c r="E2178" t="str">
        <f t="shared" si="875"/>
        <v>KFH-OPERATIONS DEPARTMENT</v>
      </c>
      <c r="F2178" t="str">
        <f t="shared" si="876"/>
        <v>IBG</v>
      </c>
      <c r="G2178" t="str">
        <f t="shared" si="887"/>
        <v>Refund COSHARE 10</v>
      </c>
      <c r="H2178" s="2">
        <v>979</v>
      </c>
      <c r="I2178" t="str">
        <f>"RICHARD TAKOR"</f>
        <v>RICHARD TAKOR</v>
      </c>
      <c r="J2178" t="str">
        <f t="shared" si="890"/>
        <v>MAYBANK / MAYBANK ISLAMIC</v>
      </c>
      <c r="K2178" t="str">
        <f>"161024419368"</f>
        <v>161024419368</v>
      </c>
      <c r="L2178" t="str">
        <f t="shared" si="897"/>
        <v>04-08-2020</v>
      </c>
      <c r="M2178" t="str">
        <f t="shared" si="897"/>
        <v>04-08-2020</v>
      </c>
      <c r="N2178" t="str">
        <f t="shared" si="877"/>
        <v>001105018356</v>
      </c>
      <c r="O2178" t="str">
        <f t="shared" si="878"/>
        <v>MYR</v>
      </c>
      <c r="P2178" t="str">
        <f t="shared" si="898"/>
        <v>NIL</v>
      </c>
      <c r="Q2178" t="str">
        <f t="shared" si="898"/>
        <v>NIL</v>
      </c>
      <c r="R2178" t="str">
        <f t="shared" si="879"/>
        <v>Accepted</v>
      </c>
      <c r="S2178" t="str">
        <f t="shared" si="880"/>
        <v>Approved</v>
      </c>
      <c r="T2178" t="str">
        <f t="shared" si="881"/>
        <v>10.20.8.188</v>
      </c>
      <c r="U2178" t="str">
        <f t="shared" si="882"/>
        <v>AZRAD UMAR BIN SHAARI</v>
      </c>
      <c r="V2178" t="str">
        <f t="shared" si="883"/>
        <v>FARHANA BINTI MUSTAPA</v>
      </c>
      <c r="W2178" t="str">
        <f t="shared" si="884"/>
        <v>04-08-2020</v>
      </c>
      <c r="X2178" t="str">
        <f t="shared" si="885"/>
        <v>RAZIMAH ANSAR AHMAD</v>
      </c>
      <c r="Y2178" t="str">
        <f t="shared" si="886"/>
        <v>04-08-2020</v>
      </c>
      <c r="Z2178" t="str">
        <f>"COS10200804 6976"</f>
        <v>COS10200804 6976</v>
      </c>
    </row>
    <row r="2179" spans="1:26" x14ac:dyDescent="0.25">
      <c r="A2179" t="str">
        <f t="shared" si="895"/>
        <v>04-08-2020 01:04:59</v>
      </c>
      <c r="B2179" t="str">
        <f>"0000808772"</f>
        <v>0000808772</v>
      </c>
      <c r="C2179" t="str">
        <f t="shared" si="896"/>
        <v>0000808597</v>
      </c>
      <c r="D2179" t="str">
        <f t="shared" si="874"/>
        <v>73185</v>
      </c>
      <c r="E2179" t="str">
        <f t="shared" si="875"/>
        <v>KFH-OPERATIONS DEPARTMENT</v>
      </c>
      <c r="F2179" t="str">
        <f t="shared" si="876"/>
        <v>IBG</v>
      </c>
      <c r="G2179" t="str">
        <f t="shared" si="887"/>
        <v>Refund COSHARE 10</v>
      </c>
      <c r="H2179" s="2">
        <v>321.2</v>
      </c>
      <c r="I2179" t="str">
        <f>"REZKI AFRINA BINTI MUHAMMAD NASIR"</f>
        <v>REZKI AFRINA BINTI MUHAMMAD NASIR</v>
      </c>
      <c r="J2179" t="str">
        <f t="shared" si="890"/>
        <v>MAYBANK / MAYBANK ISLAMIC</v>
      </c>
      <c r="K2179" t="str">
        <f>"162021344771"</f>
        <v>162021344771</v>
      </c>
      <c r="L2179" t="str">
        <f t="shared" si="897"/>
        <v>04-08-2020</v>
      </c>
      <c r="M2179" t="str">
        <f t="shared" si="897"/>
        <v>04-08-2020</v>
      </c>
      <c r="N2179" t="str">
        <f t="shared" si="877"/>
        <v>001105018356</v>
      </c>
      <c r="O2179" t="str">
        <f t="shared" si="878"/>
        <v>MYR</v>
      </c>
      <c r="P2179" t="str">
        <f t="shared" si="898"/>
        <v>NIL</v>
      </c>
      <c r="Q2179" t="str">
        <f t="shared" si="898"/>
        <v>NIL</v>
      </c>
      <c r="R2179" t="str">
        <f t="shared" si="879"/>
        <v>Accepted</v>
      </c>
      <c r="S2179" t="str">
        <f t="shared" si="880"/>
        <v>Approved</v>
      </c>
      <c r="T2179" t="str">
        <f t="shared" si="881"/>
        <v>10.20.8.188</v>
      </c>
      <c r="U2179" t="str">
        <f t="shared" si="882"/>
        <v>AZRAD UMAR BIN SHAARI</v>
      </c>
      <c r="V2179" t="str">
        <f t="shared" si="883"/>
        <v>FARHANA BINTI MUSTAPA</v>
      </c>
      <c r="W2179" t="str">
        <f t="shared" si="884"/>
        <v>04-08-2020</v>
      </c>
      <c r="X2179" t="str">
        <f t="shared" si="885"/>
        <v>RAZIMAH ANSAR AHMAD</v>
      </c>
      <c r="Y2179" t="str">
        <f t="shared" si="886"/>
        <v>04-08-2020</v>
      </c>
      <c r="Z2179" t="str">
        <f>"COS10200804 6975"</f>
        <v>COS10200804 6975</v>
      </c>
    </row>
    <row r="2180" spans="1:26" x14ac:dyDescent="0.25">
      <c r="A2180" t="str">
        <f t="shared" si="895"/>
        <v>04-08-2020 01:04:59</v>
      </c>
      <c r="B2180" t="str">
        <f>"0000808771"</f>
        <v>0000808771</v>
      </c>
      <c r="C2180" t="str">
        <f t="shared" si="896"/>
        <v>0000808597</v>
      </c>
      <c r="D2180" t="str">
        <f t="shared" si="874"/>
        <v>73185</v>
      </c>
      <c r="E2180" t="str">
        <f t="shared" si="875"/>
        <v>KFH-OPERATIONS DEPARTMENT</v>
      </c>
      <c r="F2180" t="str">
        <f t="shared" si="876"/>
        <v>IBG</v>
      </c>
      <c r="G2180" t="str">
        <f t="shared" si="887"/>
        <v>Refund COSHARE 10</v>
      </c>
      <c r="H2180" s="2">
        <v>254.1</v>
      </c>
      <c r="I2180" t="str">
        <f>"REZINA BINTI MALIK"</f>
        <v>REZINA BINTI MALIK</v>
      </c>
      <c r="J2180" t="str">
        <f t="shared" si="890"/>
        <v>MAYBANK / MAYBANK ISLAMIC</v>
      </c>
      <c r="K2180" t="str">
        <f>"161016050263"</f>
        <v>161016050263</v>
      </c>
      <c r="L2180" t="str">
        <f t="shared" si="897"/>
        <v>04-08-2020</v>
      </c>
      <c r="M2180" t="str">
        <f t="shared" si="897"/>
        <v>04-08-2020</v>
      </c>
      <c r="N2180" t="str">
        <f t="shared" si="877"/>
        <v>001105018356</v>
      </c>
      <c r="O2180" t="str">
        <f t="shared" si="878"/>
        <v>MYR</v>
      </c>
      <c r="P2180" t="str">
        <f t="shared" si="898"/>
        <v>NIL</v>
      </c>
      <c r="Q2180" t="str">
        <f t="shared" si="898"/>
        <v>NIL</v>
      </c>
      <c r="R2180" t="str">
        <f t="shared" si="879"/>
        <v>Accepted</v>
      </c>
      <c r="S2180" t="str">
        <f t="shared" si="880"/>
        <v>Approved</v>
      </c>
      <c r="T2180" t="str">
        <f t="shared" si="881"/>
        <v>10.20.8.188</v>
      </c>
      <c r="U2180" t="str">
        <f t="shared" si="882"/>
        <v>AZRAD UMAR BIN SHAARI</v>
      </c>
      <c r="V2180" t="str">
        <f t="shared" si="883"/>
        <v>FARHANA BINTI MUSTAPA</v>
      </c>
      <c r="W2180" t="str">
        <f t="shared" si="884"/>
        <v>04-08-2020</v>
      </c>
      <c r="X2180" t="str">
        <f t="shared" si="885"/>
        <v>RAZIMAH ANSAR AHMAD</v>
      </c>
      <c r="Y2180" t="str">
        <f t="shared" si="886"/>
        <v>04-08-2020</v>
      </c>
      <c r="Z2180" t="str">
        <f>"COS10200804 6974"</f>
        <v>COS10200804 6974</v>
      </c>
    </row>
    <row r="2181" spans="1:26" x14ac:dyDescent="0.25">
      <c r="A2181" t="str">
        <f t="shared" si="895"/>
        <v>04-08-2020 01:04:59</v>
      </c>
      <c r="B2181" t="str">
        <f>"0000808770"</f>
        <v>0000808770</v>
      </c>
      <c r="C2181" t="str">
        <f t="shared" si="896"/>
        <v>0000808597</v>
      </c>
      <c r="D2181" t="str">
        <f t="shared" si="874"/>
        <v>73185</v>
      </c>
      <c r="E2181" t="str">
        <f t="shared" si="875"/>
        <v>KFH-OPERATIONS DEPARTMENT</v>
      </c>
      <c r="F2181" t="str">
        <f t="shared" si="876"/>
        <v>IBG</v>
      </c>
      <c r="G2181" t="str">
        <f t="shared" si="887"/>
        <v>Refund COSHARE 10</v>
      </c>
      <c r="H2181" s="2">
        <v>1192</v>
      </c>
      <c r="I2181" t="str">
        <f>"REZAL BIN ABDUL RAPA"</f>
        <v>REZAL BIN ABDUL RAPA</v>
      </c>
      <c r="J2181" t="str">
        <f t="shared" si="890"/>
        <v>MAYBANK / MAYBANK ISLAMIC</v>
      </c>
      <c r="K2181" t="str">
        <f>"153104057203"</f>
        <v>153104057203</v>
      </c>
      <c r="L2181" t="str">
        <f t="shared" si="897"/>
        <v>04-08-2020</v>
      </c>
      <c r="M2181" t="str">
        <f t="shared" si="897"/>
        <v>04-08-2020</v>
      </c>
      <c r="N2181" t="str">
        <f t="shared" si="877"/>
        <v>001105018356</v>
      </c>
      <c r="O2181" t="str">
        <f t="shared" si="878"/>
        <v>MYR</v>
      </c>
      <c r="P2181" t="str">
        <f t="shared" si="898"/>
        <v>NIL</v>
      </c>
      <c r="Q2181" t="str">
        <f t="shared" si="898"/>
        <v>NIL</v>
      </c>
      <c r="R2181" t="str">
        <f t="shared" si="879"/>
        <v>Accepted</v>
      </c>
      <c r="S2181" t="str">
        <f t="shared" si="880"/>
        <v>Approved</v>
      </c>
      <c r="T2181" t="str">
        <f t="shared" si="881"/>
        <v>10.20.8.188</v>
      </c>
      <c r="U2181" t="str">
        <f t="shared" si="882"/>
        <v>AZRAD UMAR BIN SHAARI</v>
      </c>
      <c r="V2181" t="str">
        <f t="shared" si="883"/>
        <v>FARHANA BINTI MUSTAPA</v>
      </c>
      <c r="W2181" t="str">
        <f t="shared" si="884"/>
        <v>04-08-2020</v>
      </c>
      <c r="X2181" t="str">
        <f t="shared" si="885"/>
        <v>RAZIMAH ANSAR AHMAD</v>
      </c>
      <c r="Y2181" t="str">
        <f t="shared" si="886"/>
        <v>04-08-2020</v>
      </c>
      <c r="Z2181" t="str">
        <f>"COS10200804 6973"</f>
        <v>COS10200804 6973</v>
      </c>
    </row>
    <row r="2182" spans="1:26" x14ac:dyDescent="0.25">
      <c r="A2182" t="str">
        <f t="shared" si="895"/>
        <v>04-08-2020 01:04:59</v>
      </c>
      <c r="B2182" t="str">
        <f>"0000808769"</f>
        <v>0000808769</v>
      </c>
      <c r="C2182" t="str">
        <f t="shared" si="896"/>
        <v>0000808597</v>
      </c>
      <c r="D2182" t="str">
        <f t="shared" si="874"/>
        <v>73185</v>
      </c>
      <c r="E2182" t="str">
        <f t="shared" si="875"/>
        <v>KFH-OPERATIONS DEPARTMENT</v>
      </c>
      <c r="F2182" t="str">
        <f t="shared" si="876"/>
        <v>IBG</v>
      </c>
      <c r="G2182" t="str">
        <f t="shared" si="887"/>
        <v>Refund COSHARE 10</v>
      </c>
      <c r="H2182" s="2">
        <v>114</v>
      </c>
      <c r="I2182" t="str">
        <f>"REO ANAK GREGORY"</f>
        <v>REO ANAK GREGORY</v>
      </c>
      <c r="J2182" t="str">
        <f t="shared" si="890"/>
        <v>MAYBANK / MAYBANK ISLAMIC</v>
      </c>
      <c r="K2182" t="str">
        <f>"161051531343"</f>
        <v>161051531343</v>
      </c>
      <c r="L2182" t="str">
        <f t="shared" si="897"/>
        <v>04-08-2020</v>
      </c>
      <c r="M2182" t="str">
        <f t="shared" si="897"/>
        <v>04-08-2020</v>
      </c>
      <c r="N2182" t="str">
        <f t="shared" si="877"/>
        <v>001105018356</v>
      </c>
      <c r="O2182" t="str">
        <f t="shared" si="878"/>
        <v>MYR</v>
      </c>
      <c r="P2182" t="str">
        <f t="shared" si="898"/>
        <v>NIL</v>
      </c>
      <c r="Q2182" t="str">
        <f t="shared" si="898"/>
        <v>NIL</v>
      </c>
      <c r="R2182" t="str">
        <f t="shared" si="879"/>
        <v>Accepted</v>
      </c>
      <c r="S2182" t="str">
        <f t="shared" si="880"/>
        <v>Approved</v>
      </c>
      <c r="T2182" t="str">
        <f t="shared" si="881"/>
        <v>10.20.8.188</v>
      </c>
      <c r="U2182" t="str">
        <f t="shared" si="882"/>
        <v>AZRAD UMAR BIN SHAARI</v>
      </c>
      <c r="V2182" t="str">
        <f t="shared" si="883"/>
        <v>FARHANA BINTI MUSTAPA</v>
      </c>
      <c r="W2182" t="str">
        <f t="shared" si="884"/>
        <v>04-08-2020</v>
      </c>
      <c r="X2182" t="str">
        <f t="shared" si="885"/>
        <v>RAZIMAH ANSAR AHMAD</v>
      </c>
      <c r="Y2182" t="str">
        <f t="shared" si="886"/>
        <v>04-08-2020</v>
      </c>
      <c r="Z2182" t="str">
        <f>"COS10200804 6972"</f>
        <v>COS10200804 6972</v>
      </c>
    </row>
    <row r="2183" spans="1:26" x14ac:dyDescent="0.25">
      <c r="A2183" t="str">
        <f t="shared" si="895"/>
        <v>04-08-2020 01:04:59</v>
      </c>
      <c r="B2183" t="str">
        <f>"0000808768"</f>
        <v>0000808768</v>
      </c>
      <c r="C2183" t="str">
        <f t="shared" si="896"/>
        <v>0000808597</v>
      </c>
      <c r="D2183" t="str">
        <f t="shared" ref="D2183:D2246" si="899">"73185"</f>
        <v>73185</v>
      </c>
      <c r="E2183" t="str">
        <f t="shared" ref="E2183:E2246" si="900">"KFH-OPERATIONS DEPARTMENT"</f>
        <v>KFH-OPERATIONS DEPARTMENT</v>
      </c>
      <c r="F2183" t="str">
        <f t="shared" ref="F2183:F2246" si="901">"IBG"</f>
        <v>IBG</v>
      </c>
      <c r="G2183" t="str">
        <f t="shared" si="887"/>
        <v>Refund COSHARE 10</v>
      </c>
      <c r="H2183" s="2">
        <v>1199</v>
      </c>
      <c r="I2183" t="str">
        <f>"REMAIDI BIN RERAH"</f>
        <v>REMAIDI BIN RERAH</v>
      </c>
      <c r="J2183" t="str">
        <f t="shared" si="890"/>
        <v>MAYBANK / MAYBANK ISLAMIC</v>
      </c>
      <c r="K2183" t="str">
        <f>"156141442897"</f>
        <v>156141442897</v>
      </c>
      <c r="L2183" t="str">
        <f t="shared" si="897"/>
        <v>04-08-2020</v>
      </c>
      <c r="M2183" t="str">
        <f t="shared" si="897"/>
        <v>04-08-2020</v>
      </c>
      <c r="N2183" t="str">
        <f t="shared" ref="N2183:N2246" si="902">"001105018356"</f>
        <v>001105018356</v>
      </c>
      <c r="O2183" t="str">
        <f t="shared" ref="O2183:O2246" si="903">"MYR"</f>
        <v>MYR</v>
      </c>
      <c r="P2183" t="str">
        <f t="shared" si="898"/>
        <v>NIL</v>
      </c>
      <c r="Q2183" t="str">
        <f t="shared" si="898"/>
        <v>NIL</v>
      </c>
      <c r="R2183" t="str">
        <f t="shared" ref="R2183:R2246" si="904">"Accepted"</f>
        <v>Accepted</v>
      </c>
      <c r="S2183" t="str">
        <f t="shared" ref="S2183:S2246" si="905">"Approved"</f>
        <v>Approved</v>
      </c>
      <c r="T2183" t="str">
        <f t="shared" ref="T2183:T2246" si="906">"10.20.8.188"</f>
        <v>10.20.8.188</v>
      </c>
      <c r="U2183" t="str">
        <f t="shared" ref="U2183:U2246" si="907">"AZRAD UMAR BIN SHAARI"</f>
        <v>AZRAD UMAR BIN SHAARI</v>
      </c>
      <c r="V2183" t="str">
        <f t="shared" ref="V2183:V2246" si="908">"FARHANA BINTI MUSTAPA"</f>
        <v>FARHANA BINTI MUSTAPA</v>
      </c>
      <c r="W2183" t="str">
        <f t="shared" ref="W2183:W2246" si="909">"04-08-2020"</f>
        <v>04-08-2020</v>
      </c>
      <c r="X2183" t="str">
        <f t="shared" ref="X2183:X2246" si="910">"RAZIMAH ANSAR AHMAD"</f>
        <v>RAZIMAH ANSAR AHMAD</v>
      </c>
      <c r="Y2183" t="str">
        <f t="shared" ref="Y2183:Y2246" si="911">"04-08-2020"</f>
        <v>04-08-2020</v>
      </c>
      <c r="Z2183" t="str">
        <f>"COS10200804 6971"</f>
        <v>COS10200804 6971</v>
      </c>
    </row>
    <row r="2184" spans="1:26" x14ac:dyDescent="0.25">
      <c r="A2184" t="str">
        <f t="shared" si="895"/>
        <v>04-08-2020 01:04:59</v>
      </c>
      <c r="B2184" t="str">
        <f>"0000808767"</f>
        <v>0000808767</v>
      </c>
      <c r="C2184" t="str">
        <f t="shared" si="896"/>
        <v>0000808597</v>
      </c>
      <c r="D2184" t="str">
        <f t="shared" si="899"/>
        <v>73185</v>
      </c>
      <c r="E2184" t="str">
        <f t="shared" si="900"/>
        <v>KFH-OPERATIONS DEPARTMENT</v>
      </c>
      <c r="F2184" t="str">
        <f t="shared" si="901"/>
        <v>IBG</v>
      </c>
      <c r="G2184" t="str">
        <f t="shared" si="887"/>
        <v>Refund COSHARE 10</v>
      </c>
      <c r="H2184" s="2">
        <v>1536.3</v>
      </c>
      <c r="I2184" t="str">
        <f>"RELA BIN MAJID"</f>
        <v>RELA BIN MAJID</v>
      </c>
      <c r="J2184" t="str">
        <f t="shared" si="890"/>
        <v>MAYBANK / MAYBANK ISLAMIC</v>
      </c>
      <c r="K2184" t="str">
        <f>"160148839151"</f>
        <v>160148839151</v>
      </c>
      <c r="L2184" t="str">
        <f t="shared" si="897"/>
        <v>04-08-2020</v>
      </c>
      <c r="M2184" t="str">
        <f t="shared" si="897"/>
        <v>04-08-2020</v>
      </c>
      <c r="N2184" t="str">
        <f t="shared" si="902"/>
        <v>001105018356</v>
      </c>
      <c r="O2184" t="str">
        <f t="shared" si="903"/>
        <v>MYR</v>
      </c>
      <c r="P2184" t="str">
        <f t="shared" si="898"/>
        <v>NIL</v>
      </c>
      <c r="Q2184" t="str">
        <f t="shared" si="898"/>
        <v>NIL</v>
      </c>
      <c r="R2184" t="str">
        <f t="shared" si="904"/>
        <v>Accepted</v>
      </c>
      <c r="S2184" t="str">
        <f t="shared" si="905"/>
        <v>Approved</v>
      </c>
      <c r="T2184" t="str">
        <f t="shared" si="906"/>
        <v>10.20.8.188</v>
      </c>
      <c r="U2184" t="str">
        <f t="shared" si="907"/>
        <v>AZRAD UMAR BIN SHAARI</v>
      </c>
      <c r="V2184" t="str">
        <f t="shared" si="908"/>
        <v>FARHANA BINTI MUSTAPA</v>
      </c>
      <c r="W2184" t="str">
        <f t="shared" si="909"/>
        <v>04-08-2020</v>
      </c>
      <c r="X2184" t="str">
        <f t="shared" si="910"/>
        <v>RAZIMAH ANSAR AHMAD</v>
      </c>
      <c r="Y2184" t="str">
        <f t="shared" si="911"/>
        <v>04-08-2020</v>
      </c>
      <c r="Z2184" t="str">
        <f>"COS10200804 6970"</f>
        <v>COS10200804 6970</v>
      </c>
    </row>
    <row r="2185" spans="1:26" x14ac:dyDescent="0.25">
      <c r="A2185" t="str">
        <f t="shared" si="895"/>
        <v>04-08-2020 01:04:59</v>
      </c>
      <c r="B2185" t="str">
        <f>"0000808766"</f>
        <v>0000808766</v>
      </c>
      <c r="C2185" t="str">
        <f t="shared" si="896"/>
        <v>0000808597</v>
      </c>
      <c r="D2185" t="str">
        <f t="shared" si="899"/>
        <v>73185</v>
      </c>
      <c r="E2185" t="str">
        <f t="shared" si="900"/>
        <v>KFH-OPERATIONS DEPARTMENT</v>
      </c>
      <c r="F2185" t="str">
        <f t="shared" si="901"/>
        <v>IBG</v>
      </c>
      <c r="G2185" t="str">
        <f t="shared" si="887"/>
        <v>Refund COSHARE 10</v>
      </c>
      <c r="H2185" s="2">
        <v>503.7</v>
      </c>
      <c r="I2185" t="str">
        <f>"REEZLIN BIN ABD RAHMAN"</f>
        <v>REEZLIN BIN ABD RAHMAN</v>
      </c>
      <c r="J2185" t="str">
        <f t="shared" si="890"/>
        <v>MAYBANK / MAYBANK ISLAMIC</v>
      </c>
      <c r="K2185" t="str">
        <f>"112317062238"</f>
        <v>112317062238</v>
      </c>
      <c r="L2185" t="str">
        <f t="shared" si="897"/>
        <v>04-08-2020</v>
      </c>
      <c r="M2185" t="str">
        <f t="shared" si="897"/>
        <v>04-08-2020</v>
      </c>
      <c r="N2185" t="str">
        <f t="shared" si="902"/>
        <v>001105018356</v>
      </c>
      <c r="O2185" t="str">
        <f t="shared" si="903"/>
        <v>MYR</v>
      </c>
      <c r="P2185" t="str">
        <f t="shared" si="898"/>
        <v>NIL</v>
      </c>
      <c r="Q2185" t="str">
        <f t="shared" si="898"/>
        <v>NIL</v>
      </c>
      <c r="R2185" t="str">
        <f t="shared" si="904"/>
        <v>Accepted</v>
      </c>
      <c r="S2185" t="str">
        <f t="shared" si="905"/>
        <v>Approved</v>
      </c>
      <c r="T2185" t="str">
        <f t="shared" si="906"/>
        <v>10.20.8.188</v>
      </c>
      <c r="U2185" t="str">
        <f t="shared" si="907"/>
        <v>AZRAD UMAR BIN SHAARI</v>
      </c>
      <c r="V2185" t="str">
        <f t="shared" si="908"/>
        <v>FARHANA BINTI MUSTAPA</v>
      </c>
      <c r="W2185" t="str">
        <f t="shared" si="909"/>
        <v>04-08-2020</v>
      </c>
      <c r="X2185" t="str">
        <f t="shared" si="910"/>
        <v>RAZIMAH ANSAR AHMAD</v>
      </c>
      <c r="Y2185" t="str">
        <f t="shared" si="911"/>
        <v>04-08-2020</v>
      </c>
      <c r="Z2185" t="str">
        <f>"COS10200804 6969"</f>
        <v>COS10200804 6969</v>
      </c>
    </row>
    <row r="2186" spans="1:26" x14ac:dyDescent="0.25">
      <c r="A2186" t="str">
        <f t="shared" ref="A2186:A2217" si="912">"04-08-2020 01:04:59"</f>
        <v>04-08-2020 01:04:59</v>
      </c>
      <c r="B2186" t="str">
        <f>"0000808765"</f>
        <v>0000808765</v>
      </c>
      <c r="C2186" t="str">
        <f t="shared" ref="C2186:C2217" si="913">"0000808597"</f>
        <v>0000808597</v>
      </c>
      <c r="D2186" t="str">
        <f t="shared" si="899"/>
        <v>73185</v>
      </c>
      <c r="E2186" t="str">
        <f t="shared" si="900"/>
        <v>KFH-OPERATIONS DEPARTMENT</v>
      </c>
      <c r="F2186" t="str">
        <f t="shared" si="901"/>
        <v>IBG</v>
      </c>
      <c r="G2186" t="str">
        <f t="shared" si="887"/>
        <v>Refund COSHARE 10</v>
      </c>
      <c r="H2186" s="2">
        <v>167.9</v>
      </c>
      <c r="I2186" t="str">
        <f>"REDZANEY BINTI MOHD REDZUAN"</f>
        <v>REDZANEY BINTI MOHD REDZUAN</v>
      </c>
      <c r="J2186" t="str">
        <f t="shared" si="890"/>
        <v>MAYBANK / MAYBANK ISLAMIC</v>
      </c>
      <c r="K2186" t="str">
        <f>"164472244185"</f>
        <v>164472244185</v>
      </c>
      <c r="L2186" t="str">
        <f t="shared" si="897"/>
        <v>04-08-2020</v>
      </c>
      <c r="M2186" t="str">
        <f t="shared" si="897"/>
        <v>04-08-2020</v>
      </c>
      <c r="N2186" t="str">
        <f t="shared" si="902"/>
        <v>001105018356</v>
      </c>
      <c r="O2186" t="str">
        <f t="shared" si="903"/>
        <v>MYR</v>
      </c>
      <c r="P2186" t="str">
        <f t="shared" si="898"/>
        <v>NIL</v>
      </c>
      <c r="Q2186" t="str">
        <f t="shared" si="898"/>
        <v>NIL</v>
      </c>
      <c r="R2186" t="str">
        <f t="shared" si="904"/>
        <v>Accepted</v>
      </c>
      <c r="S2186" t="str">
        <f t="shared" si="905"/>
        <v>Approved</v>
      </c>
      <c r="T2186" t="str">
        <f t="shared" si="906"/>
        <v>10.20.8.188</v>
      </c>
      <c r="U2186" t="str">
        <f t="shared" si="907"/>
        <v>AZRAD UMAR BIN SHAARI</v>
      </c>
      <c r="V2186" t="str">
        <f t="shared" si="908"/>
        <v>FARHANA BINTI MUSTAPA</v>
      </c>
      <c r="W2186" t="str">
        <f t="shared" si="909"/>
        <v>04-08-2020</v>
      </c>
      <c r="X2186" t="str">
        <f t="shared" si="910"/>
        <v>RAZIMAH ANSAR AHMAD</v>
      </c>
      <c r="Y2186" t="str">
        <f t="shared" si="911"/>
        <v>04-08-2020</v>
      </c>
      <c r="Z2186" t="str">
        <f>"COS10200804 6968"</f>
        <v>COS10200804 6968</v>
      </c>
    </row>
    <row r="2187" spans="1:26" x14ac:dyDescent="0.25">
      <c r="A2187" t="str">
        <f t="shared" si="912"/>
        <v>04-08-2020 01:04:59</v>
      </c>
      <c r="B2187" t="str">
        <f>"0000808764"</f>
        <v>0000808764</v>
      </c>
      <c r="C2187" t="str">
        <f t="shared" si="913"/>
        <v>0000808597</v>
      </c>
      <c r="D2187" t="str">
        <f t="shared" si="899"/>
        <v>73185</v>
      </c>
      <c r="E2187" t="str">
        <f t="shared" si="900"/>
        <v>KFH-OPERATIONS DEPARTMENT</v>
      </c>
      <c r="F2187" t="str">
        <f t="shared" si="901"/>
        <v>IBG</v>
      </c>
      <c r="G2187" t="str">
        <f t="shared" si="887"/>
        <v>Refund COSHARE 10</v>
      </c>
      <c r="H2187" s="2">
        <v>607</v>
      </c>
      <c r="I2187" t="str">
        <f>"REDUWAN BIN SALLEH"</f>
        <v>REDUWAN BIN SALLEH</v>
      </c>
      <c r="J2187" t="str">
        <f t="shared" si="890"/>
        <v>MAYBANK / MAYBANK ISLAMIC</v>
      </c>
      <c r="K2187" t="str">
        <f>"162263199623"</f>
        <v>162263199623</v>
      </c>
      <c r="L2187" t="str">
        <f t="shared" ref="L2187:M2206" si="914">"04-08-2020"</f>
        <v>04-08-2020</v>
      </c>
      <c r="M2187" t="str">
        <f t="shared" si="914"/>
        <v>04-08-2020</v>
      </c>
      <c r="N2187" t="str">
        <f t="shared" si="902"/>
        <v>001105018356</v>
      </c>
      <c r="O2187" t="str">
        <f t="shared" si="903"/>
        <v>MYR</v>
      </c>
      <c r="P2187" t="str">
        <f t="shared" ref="P2187:Q2206" si="915">"NIL"</f>
        <v>NIL</v>
      </c>
      <c r="Q2187" t="str">
        <f t="shared" si="915"/>
        <v>NIL</v>
      </c>
      <c r="R2187" t="str">
        <f t="shared" si="904"/>
        <v>Accepted</v>
      </c>
      <c r="S2187" t="str">
        <f t="shared" si="905"/>
        <v>Approved</v>
      </c>
      <c r="T2187" t="str">
        <f t="shared" si="906"/>
        <v>10.20.8.188</v>
      </c>
      <c r="U2187" t="str">
        <f t="shared" si="907"/>
        <v>AZRAD UMAR BIN SHAARI</v>
      </c>
      <c r="V2187" t="str">
        <f t="shared" si="908"/>
        <v>FARHANA BINTI MUSTAPA</v>
      </c>
      <c r="W2187" t="str">
        <f t="shared" si="909"/>
        <v>04-08-2020</v>
      </c>
      <c r="X2187" t="str">
        <f t="shared" si="910"/>
        <v>RAZIMAH ANSAR AHMAD</v>
      </c>
      <c r="Y2187" t="str">
        <f t="shared" si="911"/>
        <v>04-08-2020</v>
      </c>
      <c r="Z2187" t="str">
        <f>"COS10200804 6967"</f>
        <v>COS10200804 6967</v>
      </c>
    </row>
    <row r="2188" spans="1:26" x14ac:dyDescent="0.25">
      <c r="A2188" t="str">
        <f t="shared" si="912"/>
        <v>04-08-2020 01:04:59</v>
      </c>
      <c r="B2188" t="str">
        <f>"0000808763"</f>
        <v>0000808763</v>
      </c>
      <c r="C2188" t="str">
        <f t="shared" si="913"/>
        <v>0000808597</v>
      </c>
      <c r="D2188" t="str">
        <f t="shared" si="899"/>
        <v>73185</v>
      </c>
      <c r="E2188" t="str">
        <f t="shared" si="900"/>
        <v>KFH-OPERATIONS DEPARTMENT</v>
      </c>
      <c r="F2188" t="str">
        <f t="shared" si="901"/>
        <v>IBG</v>
      </c>
      <c r="G2188" t="str">
        <f t="shared" ref="G2188:G2251" si="916">"Refund COSHARE 10"</f>
        <v>Refund COSHARE 10</v>
      </c>
      <c r="H2188" s="2">
        <v>92.35</v>
      </c>
      <c r="I2188" t="str">
        <f>"REBEKAHRAJ AP BALAJESEE"</f>
        <v>REBEKAHRAJ AP BALAJESEE</v>
      </c>
      <c r="J2188" t="str">
        <f t="shared" si="890"/>
        <v>MAYBANK / MAYBANK ISLAMIC</v>
      </c>
      <c r="K2188" t="str">
        <f>"106164165446"</f>
        <v>106164165446</v>
      </c>
      <c r="L2188" t="str">
        <f t="shared" si="914"/>
        <v>04-08-2020</v>
      </c>
      <c r="M2188" t="str">
        <f t="shared" si="914"/>
        <v>04-08-2020</v>
      </c>
      <c r="N2188" t="str">
        <f t="shared" si="902"/>
        <v>001105018356</v>
      </c>
      <c r="O2188" t="str">
        <f t="shared" si="903"/>
        <v>MYR</v>
      </c>
      <c r="P2188" t="str">
        <f t="shared" si="915"/>
        <v>NIL</v>
      </c>
      <c r="Q2188" t="str">
        <f t="shared" si="915"/>
        <v>NIL</v>
      </c>
      <c r="R2188" t="str">
        <f t="shared" si="904"/>
        <v>Accepted</v>
      </c>
      <c r="S2188" t="str">
        <f t="shared" si="905"/>
        <v>Approved</v>
      </c>
      <c r="T2188" t="str">
        <f t="shared" si="906"/>
        <v>10.20.8.188</v>
      </c>
      <c r="U2188" t="str">
        <f t="shared" si="907"/>
        <v>AZRAD UMAR BIN SHAARI</v>
      </c>
      <c r="V2188" t="str">
        <f t="shared" si="908"/>
        <v>FARHANA BINTI MUSTAPA</v>
      </c>
      <c r="W2188" t="str">
        <f t="shared" si="909"/>
        <v>04-08-2020</v>
      </c>
      <c r="X2188" t="str">
        <f t="shared" si="910"/>
        <v>RAZIMAH ANSAR AHMAD</v>
      </c>
      <c r="Y2188" t="str">
        <f t="shared" si="911"/>
        <v>04-08-2020</v>
      </c>
      <c r="Z2188" t="str">
        <f>"COS10200804 6966"</f>
        <v>COS10200804 6966</v>
      </c>
    </row>
    <row r="2189" spans="1:26" x14ac:dyDescent="0.25">
      <c r="A2189" t="str">
        <f t="shared" si="912"/>
        <v>04-08-2020 01:04:59</v>
      </c>
      <c r="B2189" t="str">
        <f>"0000808762"</f>
        <v>0000808762</v>
      </c>
      <c r="C2189" t="str">
        <f t="shared" si="913"/>
        <v>0000808597</v>
      </c>
      <c r="D2189" t="str">
        <f t="shared" si="899"/>
        <v>73185</v>
      </c>
      <c r="E2189" t="str">
        <f t="shared" si="900"/>
        <v>KFH-OPERATIONS DEPARTMENT</v>
      </c>
      <c r="F2189" t="str">
        <f t="shared" si="901"/>
        <v>IBG</v>
      </c>
      <c r="G2189" t="str">
        <f t="shared" si="916"/>
        <v>Refund COSHARE 10</v>
      </c>
      <c r="H2189" s="2">
        <v>83.95</v>
      </c>
      <c r="I2189" t="str">
        <f>"RAZMAWI BIN SA ADI"</f>
        <v>RAZMAWI BIN SA ADI</v>
      </c>
      <c r="J2189" t="str">
        <f t="shared" si="890"/>
        <v>MAYBANK / MAYBANK ISLAMIC</v>
      </c>
      <c r="K2189" t="str">
        <f>"153010981705"</f>
        <v>153010981705</v>
      </c>
      <c r="L2189" t="str">
        <f t="shared" si="914"/>
        <v>04-08-2020</v>
      </c>
      <c r="M2189" t="str">
        <f t="shared" si="914"/>
        <v>04-08-2020</v>
      </c>
      <c r="N2189" t="str">
        <f t="shared" si="902"/>
        <v>001105018356</v>
      </c>
      <c r="O2189" t="str">
        <f t="shared" si="903"/>
        <v>MYR</v>
      </c>
      <c r="P2189" t="str">
        <f t="shared" si="915"/>
        <v>NIL</v>
      </c>
      <c r="Q2189" t="str">
        <f t="shared" si="915"/>
        <v>NIL</v>
      </c>
      <c r="R2189" t="str">
        <f t="shared" si="904"/>
        <v>Accepted</v>
      </c>
      <c r="S2189" t="str">
        <f t="shared" si="905"/>
        <v>Approved</v>
      </c>
      <c r="T2189" t="str">
        <f t="shared" si="906"/>
        <v>10.20.8.188</v>
      </c>
      <c r="U2189" t="str">
        <f t="shared" si="907"/>
        <v>AZRAD UMAR BIN SHAARI</v>
      </c>
      <c r="V2189" t="str">
        <f t="shared" si="908"/>
        <v>FARHANA BINTI MUSTAPA</v>
      </c>
      <c r="W2189" t="str">
        <f t="shared" si="909"/>
        <v>04-08-2020</v>
      </c>
      <c r="X2189" t="str">
        <f t="shared" si="910"/>
        <v>RAZIMAH ANSAR AHMAD</v>
      </c>
      <c r="Y2189" t="str">
        <f t="shared" si="911"/>
        <v>04-08-2020</v>
      </c>
      <c r="Z2189" t="str">
        <f>"COS10200804 6965"</f>
        <v>COS10200804 6965</v>
      </c>
    </row>
    <row r="2190" spans="1:26" x14ac:dyDescent="0.25">
      <c r="A2190" t="str">
        <f t="shared" si="912"/>
        <v>04-08-2020 01:04:59</v>
      </c>
      <c r="B2190" t="str">
        <f>"0000808761"</f>
        <v>0000808761</v>
      </c>
      <c r="C2190" t="str">
        <f t="shared" si="913"/>
        <v>0000808597</v>
      </c>
      <c r="D2190" t="str">
        <f t="shared" si="899"/>
        <v>73185</v>
      </c>
      <c r="E2190" t="str">
        <f t="shared" si="900"/>
        <v>KFH-OPERATIONS DEPARTMENT</v>
      </c>
      <c r="F2190" t="str">
        <f t="shared" si="901"/>
        <v>IBG</v>
      </c>
      <c r="G2190" t="str">
        <f t="shared" si="916"/>
        <v>Refund COSHARE 10</v>
      </c>
      <c r="H2190" s="2">
        <v>1460.75</v>
      </c>
      <c r="I2190" t="str">
        <f>"RAZLINA BINTI ABD RAHIM"</f>
        <v>RAZLINA BINTI ABD RAHIM</v>
      </c>
      <c r="J2190" t="str">
        <f t="shared" si="890"/>
        <v>MAYBANK / MAYBANK ISLAMIC</v>
      </c>
      <c r="K2190" t="str">
        <f>"157072341174"</f>
        <v>157072341174</v>
      </c>
      <c r="L2190" t="str">
        <f t="shared" si="914"/>
        <v>04-08-2020</v>
      </c>
      <c r="M2190" t="str">
        <f t="shared" si="914"/>
        <v>04-08-2020</v>
      </c>
      <c r="N2190" t="str">
        <f t="shared" si="902"/>
        <v>001105018356</v>
      </c>
      <c r="O2190" t="str">
        <f t="shared" si="903"/>
        <v>MYR</v>
      </c>
      <c r="P2190" t="str">
        <f t="shared" si="915"/>
        <v>NIL</v>
      </c>
      <c r="Q2190" t="str">
        <f t="shared" si="915"/>
        <v>NIL</v>
      </c>
      <c r="R2190" t="str">
        <f t="shared" si="904"/>
        <v>Accepted</v>
      </c>
      <c r="S2190" t="str">
        <f t="shared" si="905"/>
        <v>Approved</v>
      </c>
      <c r="T2190" t="str">
        <f t="shared" si="906"/>
        <v>10.20.8.188</v>
      </c>
      <c r="U2190" t="str">
        <f t="shared" si="907"/>
        <v>AZRAD UMAR BIN SHAARI</v>
      </c>
      <c r="V2190" t="str">
        <f t="shared" si="908"/>
        <v>FARHANA BINTI MUSTAPA</v>
      </c>
      <c r="W2190" t="str">
        <f t="shared" si="909"/>
        <v>04-08-2020</v>
      </c>
      <c r="X2190" t="str">
        <f t="shared" si="910"/>
        <v>RAZIMAH ANSAR AHMAD</v>
      </c>
      <c r="Y2190" t="str">
        <f t="shared" si="911"/>
        <v>04-08-2020</v>
      </c>
      <c r="Z2190" t="str">
        <f>"COS10200804 6964"</f>
        <v>COS10200804 6964</v>
      </c>
    </row>
    <row r="2191" spans="1:26" x14ac:dyDescent="0.25">
      <c r="A2191" t="str">
        <f t="shared" si="912"/>
        <v>04-08-2020 01:04:59</v>
      </c>
      <c r="B2191" t="str">
        <f>"0000808760"</f>
        <v>0000808760</v>
      </c>
      <c r="C2191" t="str">
        <f t="shared" si="913"/>
        <v>0000808597</v>
      </c>
      <c r="D2191" t="str">
        <f t="shared" si="899"/>
        <v>73185</v>
      </c>
      <c r="E2191" t="str">
        <f t="shared" si="900"/>
        <v>KFH-OPERATIONS DEPARTMENT</v>
      </c>
      <c r="F2191" t="str">
        <f t="shared" si="901"/>
        <v>IBG</v>
      </c>
      <c r="G2191" t="str">
        <f t="shared" si="916"/>
        <v>Refund COSHARE 10</v>
      </c>
      <c r="H2191" s="2">
        <v>705.2</v>
      </c>
      <c r="I2191" t="str">
        <f>"RAZILAH BINTI RADZAK"</f>
        <v>RAZILAH BINTI RADZAK</v>
      </c>
      <c r="J2191" t="str">
        <f t="shared" si="890"/>
        <v>MAYBANK / MAYBANK ISLAMIC</v>
      </c>
      <c r="K2191" t="str">
        <f>"101011185774"</f>
        <v>101011185774</v>
      </c>
      <c r="L2191" t="str">
        <f t="shared" si="914"/>
        <v>04-08-2020</v>
      </c>
      <c r="M2191" t="str">
        <f t="shared" si="914"/>
        <v>04-08-2020</v>
      </c>
      <c r="N2191" t="str">
        <f t="shared" si="902"/>
        <v>001105018356</v>
      </c>
      <c r="O2191" t="str">
        <f t="shared" si="903"/>
        <v>MYR</v>
      </c>
      <c r="P2191" t="str">
        <f t="shared" si="915"/>
        <v>NIL</v>
      </c>
      <c r="Q2191" t="str">
        <f t="shared" si="915"/>
        <v>NIL</v>
      </c>
      <c r="R2191" t="str">
        <f t="shared" si="904"/>
        <v>Accepted</v>
      </c>
      <c r="S2191" t="str">
        <f t="shared" si="905"/>
        <v>Approved</v>
      </c>
      <c r="T2191" t="str">
        <f t="shared" si="906"/>
        <v>10.20.8.188</v>
      </c>
      <c r="U2191" t="str">
        <f t="shared" si="907"/>
        <v>AZRAD UMAR BIN SHAARI</v>
      </c>
      <c r="V2191" t="str">
        <f t="shared" si="908"/>
        <v>FARHANA BINTI MUSTAPA</v>
      </c>
      <c r="W2191" t="str">
        <f t="shared" si="909"/>
        <v>04-08-2020</v>
      </c>
      <c r="X2191" t="str">
        <f t="shared" si="910"/>
        <v>RAZIMAH ANSAR AHMAD</v>
      </c>
      <c r="Y2191" t="str">
        <f t="shared" si="911"/>
        <v>04-08-2020</v>
      </c>
      <c r="Z2191" t="str">
        <f>"COS10200804 6963"</f>
        <v>COS10200804 6963</v>
      </c>
    </row>
    <row r="2192" spans="1:26" x14ac:dyDescent="0.25">
      <c r="A2192" t="str">
        <f t="shared" si="912"/>
        <v>04-08-2020 01:04:59</v>
      </c>
      <c r="B2192" t="str">
        <f>"0000808759"</f>
        <v>0000808759</v>
      </c>
      <c r="C2192" t="str">
        <f t="shared" si="913"/>
        <v>0000808597</v>
      </c>
      <c r="D2192" t="str">
        <f t="shared" si="899"/>
        <v>73185</v>
      </c>
      <c r="E2192" t="str">
        <f t="shared" si="900"/>
        <v>KFH-OPERATIONS DEPARTMENT</v>
      </c>
      <c r="F2192" t="str">
        <f t="shared" si="901"/>
        <v>IBG</v>
      </c>
      <c r="G2192" t="str">
        <f t="shared" si="916"/>
        <v>Refund COSHARE 10</v>
      </c>
      <c r="H2192" s="2">
        <v>88.7</v>
      </c>
      <c r="I2192" t="str">
        <f>"RAZIF BIN MD RASHID"</f>
        <v>RAZIF BIN MD RASHID</v>
      </c>
      <c r="J2192" t="str">
        <f t="shared" si="890"/>
        <v>MAYBANK / MAYBANK ISLAMIC</v>
      </c>
      <c r="K2192" t="str">
        <f>"152077291309"</f>
        <v>152077291309</v>
      </c>
      <c r="L2192" t="str">
        <f t="shared" si="914"/>
        <v>04-08-2020</v>
      </c>
      <c r="M2192" t="str">
        <f t="shared" si="914"/>
        <v>04-08-2020</v>
      </c>
      <c r="N2192" t="str">
        <f t="shared" si="902"/>
        <v>001105018356</v>
      </c>
      <c r="O2192" t="str">
        <f t="shared" si="903"/>
        <v>MYR</v>
      </c>
      <c r="P2192" t="str">
        <f t="shared" si="915"/>
        <v>NIL</v>
      </c>
      <c r="Q2192" t="str">
        <f t="shared" si="915"/>
        <v>NIL</v>
      </c>
      <c r="R2192" t="str">
        <f t="shared" si="904"/>
        <v>Accepted</v>
      </c>
      <c r="S2192" t="str">
        <f t="shared" si="905"/>
        <v>Approved</v>
      </c>
      <c r="T2192" t="str">
        <f t="shared" si="906"/>
        <v>10.20.8.188</v>
      </c>
      <c r="U2192" t="str">
        <f t="shared" si="907"/>
        <v>AZRAD UMAR BIN SHAARI</v>
      </c>
      <c r="V2192" t="str">
        <f t="shared" si="908"/>
        <v>FARHANA BINTI MUSTAPA</v>
      </c>
      <c r="W2192" t="str">
        <f t="shared" si="909"/>
        <v>04-08-2020</v>
      </c>
      <c r="X2192" t="str">
        <f t="shared" si="910"/>
        <v>RAZIMAH ANSAR AHMAD</v>
      </c>
      <c r="Y2192" t="str">
        <f t="shared" si="911"/>
        <v>04-08-2020</v>
      </c>
      <c r="Z2192" t="str">
        <f>"COS10200804 6962"</f>
        <v>COS10200804 6962</v>
      </c>
    </row>
    <row r="2193" spans="1:26" x14ac:dyDescent="0.25">
      <c r="A2193" t="str">
        <f t="shared" si="912"/>
        <v>04-08-2020 01:04:59</v>
      </c>
      <c r="B2193" t="str">
        <f>"0000808758"</f>
        <v>0000808758</v>
      </c>
      <c r="C2193" t="str">
        <f t="shared" si="913"/>
        <v>0000808597</v>
      </c>
      <c r="D2193" t="str">
        <f t="shared" si="899"/>
        <v>73185</v>
      </c>
      <c r="E2193" t="str">
        <f t="shared" si="900"/>
        <v>KFH-OPERATIONS DEPARTMENT</v>
      </c>
      <c r="F2193" t="str">
        <f t="shared" si="901"/>
        <v>IBG</v>
      </c>
      <c r="G2193" t="str">
        <f t="shared" si="916"/>
        <v>Refund COSHARE 10</v>
      </c>
      <c r="H2193" s="2">
        <v>293.10000000000002</v>
      </c>
      <c r="I2193" t="str">
        <f>"RAZIF BIN MD RASHID"</f>
        <v>RAZIF BIN MD RASHID</v>
      </c>
      <c r="J2193" t="str">
        <f t="shared" ref="J2193:J2256" si="917">"MAYBANK / MAYBANK ISLAMIC"</f>
        <v>MAYBANK / MAYBANK ISLAMIC</v>
      </c>
      <c r="K2193" t="str">
        <f>"152077291309"</f>
        <v>152077291309</v>
      </c>
      <c r="L2193" t="str">
        <f t="shared" si="914"/>
        <v>04-08-2020</v>
      </c>
      <c r="M2193" t="str">
        <f t="shared" si="914"/>
        <v>04-08-2020</v>
      </c>
      <c r="N2193" t="str">
        <f t="shared" si="902"/>
        <v>001105018356</v>
      </c>
      <c r="O2193" t="str">
        <f t="shared" si="903"/>
        <v>MYR</v>
      </c>
      <c r="P2193" t="str">
        <f t="shared" si="915"/>
        <v>NIL</v>
      </c>
      <c r="Q2193" t="str">
        <f t="shared" si="915"/>
        <v>NIL</v>
      </c>
      <c r="R2193" t="str">
        <f t="shared" si="904"/>
        <v>Accepted</v>
      </c>
      <c r="S2193" t="str">
        <f t="shared" si="905"/>
        <v>Approved</v>
      </c>
      <c r="T2193" t="str">
        <f t="shared" si="906"/>
        <v>10.20.8.188</v>
      </c>
      <c r="U2193" t="str">
        <f t="shared" si="907"/>
        <v>AZRAD UMAR BIN SHAARI</v>
      </c>
      <c r="V2193" t="str">
        <f t="shared" si="908"/>
        <v>FARHANA BINTI MUSTAPA</v>
      </c>
      <c r="W2193" t="str">
        <f t="shared" si="909"/>
        <v>04-08-2020</v>
      </c>
      <c r="X2193" t="str">
        <f t="shared" si="910"/>
        <v>RAZIMAH ANSAR AHMAD</v>
      </c>
      <c r="Y2193" t="str">
        <f t="shared" si="911"/>
        <v>04-08-2020</v>
      </c>
      <c r="Z2193" t="str">
        <f>"COS10200804 6961"</f>
        <v>COS10200804 6961</v>
      </c>
    </row>
    <row r="2194" spans="1:26" x14ac:dyDescent="0.25">
      <c r="A2194" t="str">
        <f t="shared" si="912"/>
        <v>04-08-2020 01:04:59</v>
      </c>
      <c r="B2194" t="str">
        <f>"0000808757"</f>
        <v>0000808757</v>
      </c>
      <c r="C2194" t="str">
        <f t="shared" si="913"/>
        <v>0000808597</v>
      </c>
      <c r="D2194" t="str">
        <f t="shared" si="899"/>
        <v>73185</v>
      </c>
      <c r="E2194" t="str">
        <f t="shared" si="900"/>
        <v>KFH-OPERATIONS DEPARTMENT</v>
      </c>
      <c r="F2194" t="str">
        <f t="shared" si="901"/>
        <v>IBG</v>
      </c>
      <c r="G2194" t="str">
        <f t="shared" si="916"/>
        <v>Refund COSHARE 10</v>
      </c>
      <c r="H2194" s="2">
        <v>209.9</v>
      </c>
      <c r="I2194" t="str">
        <f>"RAZIF BIN BASRI"</f>
        <v>RAZIF BIN BASRI</v>
      </c>
      <c r="J2194" t="str">
        <f t="shared" si="917"/>
        <v>MAYBANK / MAYBANK ISLAMIC</v>
      </c>
      <c r="K2194" t="str">
        <f>"101021091743"</f>
        <v>101021091743</v>
      </c>
      <c r="L2194" t="str">
        <f t="shared" si="914"/>
        <v>04-08-2020</v>
      </c>
      <c r="M2194" t="str">
        <f t="shared" si="914"/>
        <v>04-08-2020</v>
      </c>
      <c r="N2194" t="str">
        <f t="shared" si="902"/>
        <v>001105018356</v>
      </c>
      <c r="O2194" t="str">
        <f t="shared" si="903"/>
        <v>MYR</v>
      </c>
      <c r="P2194" t="str">
        <f t="shared" si="915"/>
        <v>NIL</v>
      </c>
      <c r="Q2194" t="str">
        <f t="shared" si="915"/>
        <v>NIL</v>
      </c>
      <c r="R2194" t="str">
        <f t="shared" si="904"/>
        <v>Accepted</v>
      </c>
      <c r="S2194" t="str">
        <f t="shared" si="905"/>
        <v>Approved</v>
      </c>
      <c r="T2194" t="str">
        <f t="shared" si="906"/>
        <v>10.20.8.188</v>
      </c>
      <c r="U2194" t="str">
        <f t="shared" si="907"/>
        <v>AZRAD UMAR BIN SHAARI</v>
      </c>
      <c r="V2194" t="str">
        <f t="shared" si="908"/>
        <v>FARHANA BINTI MUSTAPA</v>
      </c>
      <c r="W2194" t="str">
        <f t="shared" si="909"/>
        <v>04-08-2020</v>
      </c>
      <c r="X2194" t="str">
        <f t="shared" si="910"/>
        <v>RAZIMAH ANSAR AHMAD</v>
      </c>
      <c r="Y2194" t="str">
        <f t="shared" si="911"/>
        <v>04-08-2020</v>
      </c>
      <c r="Z2194" t="str">
        <f>"COS10200804 6960"</f>
        <v>COS10200804 6960</v>
      </c>
    </row>
    <row r="2195" spans="1:26" x14ac:dyDescent="0.25">
      <c r="A2195" t="str">
        <f t="shared" si="912"/>
        <v>04-08-2020 01:04:59</v>
      </c>
      <c r="B2195" t="str">
        <f>"0000808756"</f>
        <v>0000808756</v>
      </c>
      <c r="C2195" t="str">
        <f t="shared" si="913"/>
        <v>0000808597</v>
      </c>
      <c r="D2195" t="str">
        <f t="shared" si="899"/>
        <v>73185</v>
      </c>
      <c r="E2195" t="str">
        <f t="shared" si="900"/>
        <v>KFH-OPERATIONS DEPARTMENT</v>
      </c>
      <c r="F2195" t="str">
        <f t="shared" si="901"/>
        <v>IBG</v>
      </c>
      <c r="G2195" t="str">
        <f t="shared" si="916"/>
        <v>Refund COSHARE 10</v>
      </c>
      <c r="H2195" s="2">
        <v>201.5</v>
      </c>
      <c r="I2195" t="str">
        <f>"RAZIDAH BT MAT DAIN"</f>
        <v>RAZIDAH BT MAT DAIN</v>
      </c>
      <c r="J2195" t="str">
        <f t="shared" si="917"/>
        <v>MAYBANK / MAYBANK ISLAMIC</v>
      </c>
      <c r="K2195" t="str">
        <f>"162012544219"</f>
        <v>162012544219</v>
      </c>
      <c r="L2195" t="str">
        <f t="shared" si="914"/>
        <v>04-08-2020</v>
      </c>
      <c r="M2195" t="str">
        <f t="shared" si="914"/>
        <v>04-08-2020</v>
      </c>
      <c r="N2195" t="str">
        <f t="shared" si="902"/>
        <v>001105018356</v>
      </c>
      <c r="O2195" t="str">
        <f t="shared" si="903"/>
        <v>MYR</v>
      </c>
      <c r="P2195" t="str">
        <f t="shared" si="915"/>
        <v>NIL</v>
      </c>
      <c r="Q2195" t="str">
        <f t="shared" si="915"/>
        <v>NIL</v>
      </c>
      <c r="R2195" t="str">
        <f t="shared" si="904"/>
        <v>Accepted</v>
      </c>
      <c r="S2195" t="str">
        <f t="shared" si="905"/>
        <v>Approved</v>
      </c>
      <c r="T2195" t="str">
        <f t="shared" si="906"/>
        <v>10.20.8.188</v>
      </c>
      <c r="U2195" t="str">
        <f t="shared" si="907"/>
        <v>AZRAD UMAR BIN SHAARI</v>
      </c>
      <c r="V2195" t="str">
        <f t="shared" si="908"/>
        <v>FARHANA BINTI MUSTAPA</v>
      </c>
      <c r="W2195" t="str">
        <f t="shared" si="909"/>
        <v>04-08-2020</v>
      </c>
      <c r="X2195" t="str">
        <f t="shared" si="910"/>
        <v>RAZIMAH ANSAR AHMAD</v>
      </c>
      <c r="Y2195" t="str">
        <f t="shared" si="911"/>
        <v>04-08-2020</v>
      </c>
      <c r="Z2195" t="str">
        <f>"COS10200804 6959"</f>
        <v>COS10200804 6959</v>
      </c>
    </row>
    <row r="2196" spans="1:26" x14ac:dyDescent="0.25">
      <c r="A2196" t="str">
        <f t="shared" si="912"/>
        <v>04-08-2020 01:04:59</v>
      </c>
      <c r="B2196" t="str">
        <f>"0000808755"</f>
        <v>0000808755</v>
      </c>
      <c r="C2196" t="str">
        <f t="shared" si="913"/>
        <v>0000808597</v>
      </c>
      <c r="D2196" t="str">
        <f t="shared" si="899"/>
        <v>73185</v>
      </c>
      <c r="E2196" t="str">
        <f t="shared" si="900"/>
        <v>KFH-OPERATIONS DEPARTMENT</v>
      </c>
      <c r="F2196" t="str">
        <f t="shared" si="901"/>
        <v>IBG</v>
      </c>
      <c r="G2196" t="str">
        <f t="shared" si="916"/>
        <v>Refund COSHARE 10</v>
      </c>
      <c r="H2196" s="2">
        <v>453.35</v>
      </c>
      <c r="I2196" t="str">
        <f>"RAZIATUL AKMAR BINTI MOHD ROSLI"</f>
        <v>RAZIATUL AKMAR BINTI MOHD ROSLI</v>
      </c>
      <c r="J2196" t="str">
        <f t="shared" si="917"/>
        <v>MAYBANK / MAYBANK ISLAMIC</v>
      </c>
      <c r="K2196" t="str">
        <f>"158163126035"</f>
        <v>158163126035</v>
      </c>
      <c r="L2196" t="str">
        <f t="shared" si="914"/>
        <v>04-08-2020</v>
      </c>
      <c r="M2196" t="str">
        <f t="shared" si="914"/>
        <v>04-08-2020</v>
      </c>
      <c r="N2196" t="str">
        <f t="shared" si="902"/>
        <v>001105018356</v>
      </c>
      <c r="O2196" t="str">
        <f t="shared" si="903"/>
        <v>MYR</v>
      </c>
      <c r="P2196" t="str">
        <f t="shared" si="915"/>
        <v>NIL</v>
      </c>
      <c r="Q2196" t="str">
        <f t="shared" si="915"/>
        <v>NIL</v>
      </c>
      <c r="R2196" t="str">
        <f t="shared" si="904"/>
        <v>Accepted</v>
      </c>
      <c r="S2196" t="str">
        <f t="shared" si="905"/>
        <v>Approved</v>
      </c>
      <c r="T2196" t="str">
        <f t="shared" si="906"/>
        <v>10.20.8.188</v>
      </c>
      <c r="U2196" t="str">
        <f t="shared" si="907"/>
        <v>AZRAD UMAR BIN SHAARI</v>
      </c>
      <c r="V2196" t="str">
        <f t="shared" si="908"/>
        <v>FARHANA BINTI MUSTAPA</v>
      </c>
      <c r="W2196" t="str">
        <f t="shared" si="909"/>
        <v>04-08-2020</v>
      </c>
      <c r="X2196" t="str">
        <f t="shared" si="910"/>
        <v>RAZIMAH ANSAR AHMAD</v>
      </c>
      <c r="Y2196" t="str">
        <f t="shared" si="911"/>
        <v>04-08-2020</v>
      </c>
      <c r="Z2196" t="str">
        <f>"COS10200804 6958"</f>
        <v>COS10200804 6958</v>
      </c>
    </row>
    <row r="2197" spans="1:26" x14ac:dyDescent="0.25">
      <c r="A2197" t="str">
        <f t="shared" si="912"/>
        <v>04-08-2020 01:04:59</v>
      </c>
      <c r="B2197" t="str">
        <f>"0000808754"</f>
        <v>0000808754</v>
      </c>
      <c r="C2197" t="str">
        <f t="shared" si="913"/>
        <v>0000808597</v>
      </c>
      <c r="D2197" t="str">
        <f t="shared" si="899"/>
        <v>73185</v>
      </c>
      <c r="E2197" t="str">
        <f t="shared" si="900"/>
        <v>KFH-OPERATIONS DEPARTMENT</v>
      </c>
      <c r="F2197" t="str">
        <f t="shared" si="901"/>
        <v>IBG</v>
      </c>
      <c r="G2197" t="str">
        <f t="shared" si="916"/>
        <v>Refund COSHARE 10</v>
      </c>
      <c r="H2197" s="2">
        <v>653</v>
      </c>
      <c r="I2197" t="str">
        <f>"RAZEFF BIN AB RAHIM"</f>
        <v>RAZEFF BIN AB RAHIM</v>
      </c>
      <c r="J2197" t="str">
        <f t="shared" si="917"/>
        <v>MAYBANK / MAYBANK ISLAMIC</v>
      </c>
      <c r="K2197" t="str">
        <f>"151071143546"</f>
        <v>151071143546</v>
      </c>
      <c r="L2197" t="str">
        <f t="shared" si="914"/>
        <v>04-08-2020</v>
      </c>
      <c r="M2197" t="str">
        <f t="shared" si="914"/>
        <v>04-08-2020</v>
      </c>
      <c r="N2197" t="str">
        <f t="shared" si="902"/>
        <v>001105018356</v>
      </c>
      <c r="O2197" t="str">
        <f t="shared" si="903"/>
        <v>MYR</v>
      </c>
      <c r="P2197" t="str">
        <f t="shared" si="915"/>
        <v>NIL</v>
      </c>
      <c r="Q2197" t="str">
        <f t="shared" si="915"/>
        <v>NIL</v>
      </c>
      <c r="R2197" t="str">
        <f t="shared" si="904"/>
        <v>Accepted</v>
      </c>
      <c r="S2197" t="str">
        <f t="shared" si="905"/>
        <v>Approved</v>
      </c>
      <c r="T2197" t="str">
        <f t="shared" si="906"/>
        <v>10.20.8.188</v>
      </c>
      <c r="U2197" t="str">
        <f t="shared" si="907"/>
        <v>AZRAD UMAR BIN SHAARI</v>
      </c>
      <c r="V2197" t="str">
        <f t="shared" si="908"/>
        <v>FARHANA BINTI MUSTAPA</v>
      </c>
      <c r="W2197" t="str">
        <f t="shared" si="909"/>
        <v>04-08-2020</v>
      </c>
      <c r="X2197" t="str">
        <f t="shared" si="910"/>
        <v>RAZIMAH ANSAR AHMAD</v>
      </c>
      <c r="Y2197" t="str">
        <f t="shared" si="911"/>
        <v>04-08-2020</v>
      </c>
      <c r="Z2197" t="str">
        <f>"COS10200804 6957"</f>
        <v>COS10200804 6957</v>
      </c>
    </row>
    <row r="2198" spans="1:26" x14ac:dyDescent="0.25">
      <c r="A2198" t="str">
        <f t="shared" si="912"/>
        <v>04-08-2020 01:04:59</v>
      </c>
      <c r="B2198" t="str">
        <f>"0000808753"</f>
        <v>0000808753</v>
      </c>
      <c r="C2198" t="str">
        <f t="shared" si="913"/>
        <v>0000808597</v>
      </c>
      <c r="D2198" t="str">
        <f t="shared" si="899"/>
        <v>73185</v>
      </c>
      <c r="E2198" t="str">
        <f t="shared" si="900"/>
        <v>KFH-OPERATIONS DEPARTMENT</v>
      </c>
      <c r="F2198" t="str">
        <f t="shared" si="901"/>
        <v>IBG</v>
      </c>
      <c r="G2198" t="str">
        <f t="shared" si="916"/>
        <v>Refund COSHARE 10</v>
      </c>
      <c r="H2198" s="2">
        <v>344.2</v>
      </c>
      <c r="I2198" t="str">
        <f>"RAZALI BIN YUSOF"</f>
        <v>RAZALI BIN YUSOF</v>
      </c>
      <c r="J2198" t="str">
        <f t="shared" si="917"/>
        <v>MAYBANK / MAYBANK ISLAMIC</v>
      </c>
      <c r="K2198" t="str">
        <f>"164258369842"</f>
        <v>164258369842</v>
      </c>
      <c r="L2198" t="str">
        <f t="shared" si="914"/>
        <v>04-08-2020</v>
      </c>
      <c r="M2198" t="str">
        <f t="shared" si="914"/>
        <v>04-08-2020</v>
      </c>
      <c r="N2198" t="str">
        <f t="shared" si="902"/>
        <v>001105018356</v>
      </c>
      <c r="O2198" t="str">
        <f t="shared" si="903"/>
        <v>MYR</v>
      </c>
      <c r="P2198" t="str">
        <f t="shared" si="915"/>
        <v>NIL</v>
      </c>
      <c r="Q2198" t="str">
        <f t="shared" si="915"/>
        <v>NIL</v>
      </c>
      <c r="R2198" t="str">
        <f t="shared" si="904"/>
        <v>Accepted</v>
      </c>
      <c r="S2198" t="str">
        <f t="shared" si="905"/>
        <v>Approved</v>
      </c>
      <c r="T2198" t="str">
        <f t="shared" si="906"/>
        <v>10.20.8.188</v>
      </c>
      <c r="U2198" t="str">
        <f t="shared" si="907"/>
        <v>AZRAD UMAR BIN SHAARI</v>
      </c>
      <c r="V2198" t="str">
        <f t="shared" si="908"/>
        <v>FARHANA BINTI MUSTAPA</v>
      </c>
      <c r="W2198" t="str">
        <f t="shared" si="909"/>
        <v>04-08-2020</v>
      </c>
      <c r="X2198" t="str">
        <f t="shared" si="910"/>
        <v>RAZIMAH ANSAR AHMAD</v>
      </c>
      <c r="Y2198" t="str">
        <f t="shared" si="911"/>
        <v>04-08-2020</v>
      </c>
      <c r="Z2198" t="str">
        <f>"COS10200804 6956"</f>
        <v>COS10200804 6956</v>
      </c>
    </row>
    <row r="2199" spans="1:26" x14ac:dyDescent="0.25">
      <c r="A2199" t="str">
        <f t="shared" si="912"/>
        <v>04-08-2020 01:04:59</v>
      </c>
      <c r="B2199" t="str">
        <f>"0000808752"</f>
        <v>0000808752</v>
      </c>
      <c r="C2199" t="str">
        <f t="shared" si="913"/>
        <v>0000808597</v>
      </c>
      <c r="D2199" t="str">
        <f t="shared" si="899"/>
        <v>73185</v>
      </c>
      <c r="E2199" t="str">
        <f t="shared" si="900"/>
        <v>KFH-OPERATIONS DEPARTMENT</v>
      </c>
      <c r="F2199" t="str">
        <f t="shared" si="901"/>
        <v>IBG</v>
      </c>
      <c r="G2199" t="str">
        <f t="shared" si="916"/>
        <v>Refund COSHARE 10</v>
      </c>
      <c r="H2199" s="2">
        <v>228</v>
      </c>
      <c r="I2199" t="str">
        <f>"RAZALI BIN SEPAWI"</f>
        <v>RAZALI BIN SEPAWI</v>
      </c>
      <c r="J2199" t="str">
        <f t="shared" si="917"/>
        <v>MAYBANK / MAYBANK ISLAMIC</v>
      </c>
      <c r="K2199" t="str">
        <f>"161033252766"</f>
        <v>161033252766</v>
      </c>
      <c r="L2199" t="str">
        <f t="shared" si="914"/>
        <v>04-08-2020</v>
      </c>
      <c r="M2199" t="str">
        <f t="shared" si="914"/>
        <v>04-08-2020</v>
      </c>
      <c r="N2199" t="str">
        <f t="shared" si="902"/>
        <v>001105018356</v>
      </c>
      <c r="O2199" t="str">
        <f t="shared" si="903"/>
        <v>MYR</v>
      </c>
      <c r="P2199" t="str">
        <f t="shared" si="915"/>
        <v>NIL</v>
      </c>
      <c r="Q2199" t="str">
        <f t="shared" si="915"/>
        <v>NIL</v>
      </c>
      <c r="R2199" t="str">
        <f t="shared" si="904"/>
        <v>Accepted</v>
      </c>
      <c r="S2199" t="str">
        <f t="shared" si="905"/>
        <v>Approved</v>
      </c>
      <c r="T2199" t="str">
        <f t="shared" si="906"/>
        <v>10.20.8.188</v>
      </c>
      <c r="U2199" t="str">
        <f t="shared" si="907"/>
        <v>AZRAD UMAR BIN SHAARI</v>
      </c>
      <c r="V2199" t="str">
        <f t="shared" si="908"/>
        <v>FARHANA BINTI MUSTAPA</v>
      </c>
      <c r="W2199" t="str">
        <f t="shared" si="909"/>
        <v>04-08-2020</v>
      </c>
      <c r="X2199" t="str">
        <f t="shared" si="910"/>
        <v>RAZIMAH ANSAR AHMAD</v>
      </c>
      <c r="Y2199" t="str">
        <f t="shared" si="911"/>
        <v>04-08-2020</v>
      </c>
      <c r="Z2199" t="str">
        <f>"COS10200804 6955"</f>
        <v>COS10200804 6955</v>
      </c>
    </row>
    <row r="2200" spans="1:26" x14ac:dyDescent="0.25">
      <c r="A2200" t="str">
        <f t="shared" si="912"/>
        <v>04-08-2020 01:04:59</v>
      </c>
      <c r="B2200" t="str">
        <f>"0000808751"</f>
        <v>0000808751</v>
      </c>
      <c r="C2200" t="str">
        <f t="shared" si="913"/>
        <v>0000808597</v>
      </c>
      <c r="D2200" t="str">
        <f t="shared" si="899"/>
        <v>73185</v>
      </c>
      <c r="E2200" t="str">
        <f t="shared" si="900"/>
        <v>KFH-OPERATIONS DEPARTMENT</v>
      </c>
      <c r="F2200" t="str">
        <f t="shared" si="901"/>
        <v>IBG</v>
      </c>
      <c r="G2200" t="str">
        <f t="shared" si="916"/>
        <v>Refund COSHARE 10</v>
      </c>
      <c r="H2200" s="2">
        <v>107</v>
      </c>
      <c r="I2200" t="str">
        <f>"RAZALI BIN JUSOH"</f>
        <v>RAZALI BIN JUSOH</v>
      </c>
      <c r="J2200" t="str">
        <f t="shared" si="917"/>
        <v>MAYBANK / MAYBANK ISLAMIC</v>
      </c>
      <c r="K2200" t="str">
        <f>"103015960943"</f>
        <v>103015960943</v>
      </c>
      <c r="L2200" t="str">
        <f t="shared" si="914"/>
        <v>04-08-2020</v>
      </c>
      <c r="M2200" t="str">
        <f t="shared" si="914"/>
        <v>04-08-2020</v>
      </c>
      <c r="N2200" t="str">
        <f t="shared" si="902"/>
        <v>001105018356</v>
      </c>
      <c r="O2200" t="str">
        <f t="shared" si="903"/>
        <v>MYR</v>
      </c>
      <c r="P2200" t="str">
        <f t="shared" si="915"/>
        <v>NIL</v>
      </c>
      <c r="Q2200" t="str">
        <f t="shared" si="915"/>
        <v>NIL</v>
      </c>
      <c r="R2200" t="str">
        <f t="shared" si="904"/>
        <v>Accepted</v>
      </c>
      <c r="S2200" t="str">
        <f t="shared" si="905"/>
        <v>Approved</v>
      </c>
      <c r="T2200" t="str">
        <f t="shared" si="906"/>
        <v>10.20.8.188</v>
      </c>
      <c r="U2200" t="str">
        <f t="shared" si="907"/>
        <v>AZRAD UMAR BIN SHAARI</v>
      </c>
      <c r="V2200" t="str">
        <f t="shared" si="908"/>
        <v>FARHANA BINTI MUSTAPA</v>
      </c>
      <c r="W2200" t="str">
        <f t="shared" si="909"/>
        <v>04-08-2020</v>
      </c>
      <c r="X2200" t="str">
        <f t="shared" si="910"/>
        <v>RAZIMAH ANSAR AHMAD</v>
      </c>
      <c r="Y2200" t="str">
        <f t="shared" si="911"/>
        <v>04-08-2020</v>
      </c>
      <c r="Z2200" t="str">
        <f>"COS10200804 6954"</f>
        <v>COS10200804 6954</v>
      </c>
    </row>
    <row r="2201" spans="1:26" x14ac:dyDescent="0.25">
      <c r="A2201" t="str">
        <f t="shared" si="912"/>
        <v>04-08-2020 01:04:59</v>
      </c>
      <c r="B2201" t="str">
        <f>"0000808750"</f>
        <v>0000808750</v>
      </c>
      <c r="C2201" t="str">
        <f t="shared" si="913"/>
        <v>0000808597</v>
      </c>
      <c r="D2201" t="str">
        <f t="shared" si="899"/>
        <v>73185</v>
      </c>
      <c r="E2201" t="str">
        <f t="shared" si="900"/>
        <v>KFH-OPERATIONS DEPARTMENT</v>
      </c>
      <c r="F2201" t="str">
        <f t="shared" si="901"/>
        <v>IBG</v>
      </c>
      <c r="G2201" t="str">
        <f t="shared" si="916"/>
        <v>Refund COSHARE 10</v>
      </c>
      <c r="H2201" s="2">
        <v>50.4</v>
      </c>
      <c r="I2201" t="str">
        <f>"RAZALI BIN JUMADIL"</f>
        <v>RAZALI BIN JUMADIL</v>
      </c>
      <c r="J2201" t="str">
        <f t="shared" si="917"/>
        <v>MAYBANK / MAYBANK ISLAMIC</v>
      </c>
      <c r="K2201" t="str">
        <f>"165125192112"</f>
        <v>165125192112</v>
      </c>
      <c r="L2201" t="str">
        <f t="shared" si="914"/>
        <v>04-08-2020</v>
      </c>
      <c r="M2201" t="str">
        <f t="shared" si="914"/>
        <v>04-08-2020</v>
      </c>
      <c r="N2201" t="str">
        <f t="shared" si="902"/>
        <v>001105018356</v>
      </c>
      <c r="O2201" t="str">
        <f t="shared" si="903"/>
        <v>MYR</v>
      </c>
      <c r="P2201" t="str">
        <f t="shared" si="915"/>
        <v>NIL</v>
      </c>
      <c r="Q2201" t="str">
        <f t="shared" si="915"/>
        <v>NIL</v>
      </c>
      <c r="R2201" t="str">
        <f t="shared" si="904"/>
        <v>Accepted</v>
      </c>
      <c r="S2201" t="str">
        <f t="shared" si="905"/>
        <v>Approved</v>
      </c>
      <c r="T2201" t="str">
        <f t="shared" si="906"/>
        <v>10.20.8.188</v>
      </c>
      <c r="U2201" t="str">
        <f t="shared" si="907"/>
        <v>AZRAD UMAR BIN SHAARI</v>
      </c>
      <c r="V2201" t="str">
        <f t="shared" si="908"/>
        <v>FARHANA BINTI MUSTAPA</v>
      </c>
      <c r="W2201" t="str">
        <f t="shared" si="909"/>
        <v>04-08-2020</v>
      </c>
      <c r="X2201" t="str">
        <f t="shared" si="910"/>
        <v>RAZIMAH ANSAR AHMAD</v>
      </c>
      <c r="Y2201" t="str">
        <f t="shared" si="911"/>
        <v>04-08-2020</v>
      </c>
      <c r="Z2201" t="str">
        <f>"COS10200804 6953"</f>
        <v>COS10200804 6953</v>
      </c>
    </row>
    <row r="2202" spans="1:26" x14ac:dyDescent="0.25">
      <c r="A2202" t="str">
        <f t="shared" si="912"/>
        <v>04-08-2020 01:04:59</v>
      </c>
      <c r="B2202" t="str">
        <f>"0000808749"</f>
        <v>0000808749</v>
      </c>
      <c r="C2202" t="str">
        <f t="shared" si="913"/>
        <v>0000808597</v>
      </c>
      <c r="D2202" t="str">
        <f t="shared" si="899"/>
        <v>73185</v>
      </c>
      <c r="E2202" t="str">
        <f t="shared" si="900"/>
        <v>KFH-OPERATIONS DEPARTMENT</v>
      </c>
      <c r="F2202" t="str">
        <f t="shared" si="901"/>
        <v>IBG</v>
      </c>
      <c r="G2202" t="str">
        <f t="shared" si="916"/>
        <v>Refund COSHARE 10</v>
      </c>
      <c r="H2202" s="2">
        <v>168</v>
      </c>
      <c r="I2202" t="str">
        <f>"RAZALI BIN JUMADIL"</f>
        <v>RAZALI BIN JUMADIL</v>
      </c>
      <c r="J2202" t="str">
        <f t="shared" si="917"/>
        <v>MAYBANK / MAYBANK ISLAMIC</v>
      </c>
      <c r="K2202" t="str">
        <f>"165125192112"</f>
        <v>165125192112</v>
      </c>
      <c r="L2202" t="str">
        <f t="shared" si="914"/>
        <v>04-08-2020</v>
      </c>
      <c r="M2202" t="str">
        <f t="shared" si="914"/>
        <v>04-08-2020</v>
      </c>
      <c r="N2202" t="str">
        <f t="shared" si="902"/>
        <v>001105018356</v>
      </c>
      <c r="O2202" t="str">
        <f t="shared" si="903"/>
        <v>MYR</v>
      </c>
      <c r="P2202" t="str">
        <f t="shared" si="915"/>
        <v>NIL</v>
      </c>
      <c r="Q2202" t="str">
        <f t="shared" si="915"/>
        <v>NIL</v>
      </c>
      <c r="R2202" t="str">
        <f t="shared" si="904"/>
        <v>Accepted</v>
      </c>
      <c r="S2202" t="str">
        <f t="shared" si="905"/>
        <v>Approved</v>
      </c>
      <c r="T2202" t="str">
        <f t="shared" si="906"/>
        <v>10.20.8.188</v>
      </c>
      <c r="U2202" t="str">
        <f t="shared" si="907"/>
        <v>AZRAD UMAR BIN SHAARI</v>
      </c>
      <c r="V2202" t="str">
        <f t="shared" si="908"/>
        <v>FARHANA BINTI MUSTAPA</v>
      </c>
      <c r="W2202" t="str">
        <f t="shared" si="909"/>
        <v>04-08-2020</v>
      </c>
      <c r="X2202" t="str">
        <f t="shared" si="910"/>
        <v>RAZIMAH ANSAR AHMAD</v>
      </c>
      <c r="Y2202" t="str">
        <f t="shared" si="911"/>
        <v>04-08-2020</v>
      </c>
      <c r="Z2202" t="str">
        <f>"COS10200804 6952"</f>
        <v>COS10200804 6952</v>
      </c>
    </row>
    <row r="2203" spans="1:26" x14ac:dyDescent="0.25">
      <c r="A2203" t="str">
        <f t="shared" si="912"/>
        <v>04-08-2020 01:04:59</v>
      </c>
      <c r="B2203" t="str">
        <f>"0000808748"</f>
        <v>0000808748</v>
      </c>
      <c r="C2203" t="str">
        <f t="shared" si="913"/>
        <v>0000808597</v>
      </c>
      <c r="D2203" t="str">
        <f t="shared" si="899"/>
        <v>73185</v>
      </c>
      <c r="E2203" t="str">
        <f t="shared" si="900"/>
        <v>KFH-OPERATIONS DEPARTMENT</v>
      </c>
      <c r="F2203" t="str">
        <f t="shared" si="901"/>
        <v>IBG</v>
      </c>
      <c r="G2203" t="str">
        <f t="shared" si="916"/>
        <v>Refund COSHARE 10</v>
      </c>
      <c r="H2203" s="2">
        <v>185</v>
      </c>
      <c r="I2203" t="str">
        <f>"RAZALI BIN JAMANI"</f>
        <v>RAZALI BIN JAMANI</v>
      </c>
      <c r="J2203" t="str">
        <f t="shared" si="917"/>
        <v>MAYBANK / MAYBANK ISLAMIC</v>
      </c>
      <c r="K2203" t="str">
        <f>"160054325781"</f>
        <v>160054325781</v>
      </c>
      <c r="L2203" t="str">
        <f t="shared" si="914"/>
        <v>04-08-2020</v>
      </c>
      <c r="M2203" t="str">
        <f t="shared" si="914"/>
        <v>04-08-2020</v>
      </c>
      <c r="N2203" t="str">
        <f t="shared" si="902"/>
        <v>001105018356</v>
      </c>
      <c r="O2203" t="str">
        <f t="shared" si="903"/>
        <v>MYR</v>
      </c>
      <c r="P2203" t="str">
        <f t="shared" si="915"/>
        <v>NIL</v>
      </c>
      <c r="Q2203" t="str">
        <f t="shared" si="915"/>
        <v>NIL</v>
      </c>
      <c r="R2203" t="str">
        <f t="shared" si="904"/>
        <v>Accepted</v>
      </c>
      <c r="S2203" t="str">
        <f t="shared" si="905"/>
        <v>Approved</v>
      </c>
      <c r="T2203" t="str">
        <f t="shared" si="906"/>
        <v>10.20.8.188</v>
      </c>
      <c r="U2203" t="str">
        <f t="shared" si="907"/>
        <v>AZRAD UMAR BIN SHAARI</v>
      </c>
      <c r="V2203" t="str">
        <f t="shared" si="908"/>
        <v>FARHANA BINTI MUSTAPA</v>
      </c>
      <c r="W2203" t="str">
        <f t="shared" si="909"/>
        <v>04-08-2020</v>
      </c>
      <c r="X2203" t="str">
        <f t="shared" si="910"/>
        <v>RAZIMAH ANSAR AHMAD</v>
      </c>
      <c r="Y2203" t="str">
        <f t="shared" si="911"/>
        <v>04-08-2020</v>
      </c>
      <c r="Z2203" t="str">
        <f>"COS10200804 6951"</f>
        <v>COS10200804 6951</v>
      </c>
    </row>
    <row r="2204" spans="1:26" x14ac:dyDescent="0.25">
      <c r="A2204" t="str">
        <f t="shared" si="912"/>
        <v>04-08-2020 01:04:59</v>
      </c>
      <c r="B2204" t="str">
        <f>"0000808747"</f>
        <v>0000808747</v>
      </c>
      <c r="C2204" t="str">
        <f t="shared" si="913"/>
        <v>0000808597</v>
      </c>
      <c r="D2204" t="str">
        <f t="shared" si="899"/>
        <v>73185</v>
      </c>
      <c r="E2204" t="str">
        <f t="shared" si="900"/>
        <v>KFH-OPERATIONS DEPARTMENT</v>
      </c>
      <c r="F2204" t="str">
        <f t="shared" si="901"/>
        <v>IBG</v>
      </c>
      <c r="G2204" t="str">
        <f t="shared" si="916"/>
        <v>Refund COSHARE 10</v>
      </c>
      <c r="H2204" s="2">
        <v>109.15</v>
      </c>
      <c r="I2204" t="str">
        <f>"RAZALI BIN ASIT"</f>
        <v>RAZALI BIN ASIT</v>
      </c>
      <c r="J2204" t="str">
        <f t="shared" si="917"/>
        <v>MAYBANK / MAYBANK ISLAMIC</v>
      </c>
      <c r="K2204" t="str">
        <f>"151017034647"</f>
        <v>151017034647</v>
      </c>
      <c r="L2204" t="str">
        <f t="shared" si="914"/>
        <v>04-08-2020</v>
      </c>
      <c r="M2204" t="str">
        <f t="shared" si="914"/>
        <v>04-08-2020</v>
      </c>
      <c r="N2204" t="str">
        <f t="shared" si="902"/>
        <v>001105018356</v>
      </c>
      <c r="O2204" t="str">
        <f t="shared" si="903"/>
        <v>MYR</v>
      </c>
      <c r="P2204" t="str">
        <f t="shared" si="915"/>
        <v>NIL</v>
      </c>
      <c r="Q2204" t="str">
        <f t="shared" si="915"/>
        <v>NIL</v>
      </c>
      <c r="R2204" t="str">
        <f t="shared" si="904"/>
        <v>Accepted</v>
      </c>
      <c r="S2204" t="str">
        <f t="shared" si="905"/>
        <v>Approved</v>
      </c>
      <c r="T2204" t="str">
        <f t="shared" si="906"/>
        <v>10.20.8.188</v>
      </c>
      <c r="U2204" t="str">
        <f t="shared" si="907"/>
        <v>AZRAD UMAR BIN SHAARI</v>
      </c>
      <c r="V2204" t="str">
        <f t="shared" si="908"/>
        <v>FARHANA BINTI MUSTAPA</v>
      </c>
      <c r="W2204" t="str">
        <f t="shared" si="909"/>
        <v>04-08-2020</v>
      </c>
      <c r="X2204" t="str">
        <f t="shared" si="910"/>
        <v>RAZIMAH ANSAR AHMAD</v>
      </c>
      <c r="Y2204" t="str">
        <f t="shared" si="911"/>
        <v>04-08-2020</v>
      </c>
      <c r="Z2204" t="str">
        <f>"COS10200804 6950"</f>
        <v>COS10200804 6950</v>
      </c>
    </row>
    <row r="2205" spans="1:26" x14ac:dyDescent="0.25">
      <c r="A2205" t="str">
        <f t="shared" si="912"/>
        <v>04-08-2020 01:04:59</v>
      </c>
      <c r="B2205" t="str">
        <f>"0000808746"</f>
        <v>0000808746</v>
      </c>
      <c r="C2205" t="str">
        <f t="shared" si="913"/>
        <v>0000808597</v>
      </c>
      <c r="D2205" t="str">
        <f t="shared" si="899"/>
        <v>73185</v>
      </c>
      <c r="E2205" t="str">
        <f t="shared" si="900"/>
        <v>KFH-OPERATIONS DEPARTMENT</v>
      </c>
      <c r="F2205" t="str">
        <f t="shared" si="901"/>
        <v>IBG</v>
      </c>
      <c r="G2205" t="str">
        <f t="shared" si="916"/>
        <v>Refund COSHARE 10</v>
      </c>
      <c r="H2205" s="2">
        <v>69</v>
      </c>
      <c r="I2205" t="str">
        <f>"RAZALI BIN ASIT"</f>
        <v>RAZALI BIN ASIT</v>
      </c>
      <c r="J2205" t="str">
        <f t="shared" si="917"/>
        <v>MAYBANK / MAYBANK ISLAMIC</v>
      </c>
      <c r="K2205" t="str">
        <f>"151017034647"</f>
        <v>151017034647</v>
      </c>
      <c r="L2205" t="str">
        <f t="shared" si="914"/>
        <v>04-08-2020</v>
      </c>
      <c r="M2205" t="str">
        <f t="shared" si="914"/>
        <v>04-08-2020</v>
      </c>
      <c r="N2205" t="str">
        <f t="shared" si="902"/>
        <v>001105018356</v>
      </c>
      <c r="O2205" t="str">
        <f t="shared" si="903"/>
        <v>MYR</v>
      </c>
      <c r="P2205" t="str">
        <f t="shared" si="915"/>
        <v>NIL</v>
      </c>
      <c r="Q2205" t="str">
        <f t="shared" si="915"/>
        <v>NIL</v>
      </c>
      <c r="R2205" t="str">
        <f t="shared" si="904"/>
        <v>Accepted</v>
      </c>
      <c r="S2205" t="str">
        <f t="shared" si="905"/>
        <v>Approved</v>
      </c>
      <c r="T2205" t="str">
        <f t="shared" si="906"/>
        <v>10.20.8.188</v>
      </c>
      <c r="U2205" t="str">
        <f t="shared" si="907"/>
        <v>AZRAD UMAR BIN SHAARI</v>
      </c>
      <c r="V2205" t="str">
        <f t="shared" si="908"/>
        <v>FARHANA BINTI MUSTAPA</v>
      </c>
      <c r="W2205" t="str">
        <f t="shared" si="909"/>
        <v>04-08-2020</v>
      </c>
      <c r="X2205" t="str">
        <f t="shared" si="910"/>
        <v>RAZIMAH ANSAR AHMAD</v>
      </c>
      <c r="Y2205" t="str">
        <f t="shared" si="911"/>
        <v>04-08-2020</v>
      </c>
      <c r="Z2205" t="str">
        <f>"COS10200804 6949"</f>
        <v>COS10200804 6949</v>
      </c>
    </row>
    <row r="2206" spans="1:26" x14ac:dyDescent="0.25">
      <c r="A2206" t="str">
        <f t="shared" si="912"/>
        <v>04-08-2020 01:04:59</v>
      </c>
      <c r="B2206" t="str">
        <f>"0000808745"</f>
        <v>0000808745</v>
      </c>
      <c r="C2206" t="str">
        <f t="shared" si="913"/>
        <v>0000808597</v>
      </c>
      <c r="D2206" t="str">
        <f t="shared" si="899"/>
        <v>73185</v>
      </c>
      <c r="E2206" t="str">
        <f t="shared" si="900"/>
        <v>KFH-OPERATIONS DEPARTMENT</v>
      </c>
      <c r="F2206" t="str">
        <f t="shared" si="901"/>
        <v>IBG</v>
      </c>
      <c r="G2206" t="str">
        <f t="shared" si="916"/>
        <v>Refund COSHARE 10</v>
      </c>
      <c r="H2206" s="2">
        <v>330.3</v>
      </c>
      <c r="I2206" t="str">
        <f>"RAVI AL RENGASAMY"</f>
        <v>RAVI AL RENGASAMY</v>
      </c>
      <c r="J2206" t="str">
        <f t="shared" si="917"/>
        <v>MAYBANK / MAYBANK ISLAMIC</v>
      </c>
      <c r="K2206" t="str">
        <f>"158024795473"</f>
        <v>158024795473</v>
      </c>
      <c r="L2206" t="str">
        <f t="shared" si="914"/>
        <v>04-08-2020</v>
      </c>
      <c r="M2206" t="str">
        <f t="shared" si="914"/>
        <v>04-08-2020</v>
      </c>
      <c r="N2206" t="str">
        <f t="shared" si="902"/>
        <v>001105018356</v>
      </c>
      <c r="O2206" t="str">
        <f t="shared" si="903"/>
        <v>MYR</v>
      </c>
      <c r="P2206" t="str">
        <f t="shared" si="915"/>
        <v>NIL</v>
      </c>
      <c r="Q2206" t="str">
        <f t="shared" si="915"/>
        <v>NIL</v>
      </c>
      <c r="R2206" t="str">
        <f t="shared" si="904"/>
        <v>Accepted</v>
      </c>
      <c r="S2206" t="str">
        <f t="shared" si="905"/>
        <v>Approved</v>
      </c>
      <c r="T2206" t="str">
        <f t="shared" si="906"/>
        <v>10.20.8.188</v>
      </c>
      <c r="U2206" t="str">
        <f t="shared" si="907"/>
        <v>AZRAD UMAR BIN SHAARI</v>
      </c>
      <c r="V2206" t="str">
        <f t="shared" si="908"/>
        <v>FARHANA BINTI MUSTAPA</v>
      </c>
      <c r="W2206" t="str">
        <f t="shared" si="909"/>
        <v>04-08-2020</v>
      </c>
      <c r="X2206" t="str">
        <f t="shared" si="910"/>
        <v>RAZIMAH ANSAR AHMAD</v>
      </c>
      <c r="Y2206" t="str">
        <f t="shared" si="911"/>
        <v>04-08-2020</v>
      </c>
      <c r="Z2206" t="str">
        <f>"COS10200804 6948"</f>
        <v>COS10200804 6948</v>
      </c>
    </row>
    <row r="2207" spans="1:26" x14ac:dyDescent="0.25">
      <c r="A2207" t="str">
        <f t="shared" si="912"/>
        <v>04-08-2020 01:04:59</v>
      </c>
      <c r="B2207" t="str">
        <f>"0000808744"</f>
        <v>0000808744</v>
      </c>
      <c r="C2207" t="str">
        <f t="shared" si="913"/>
        <v>0000808597</v>
      </c>
      <c r="D2207" t="str">
        <f t="shared" si="899"/>
        <v>73185</v>
      </c>
      <c r="E2207" t="str">
        <f t="shared" si="900"/>
        <v>KFH-OPERATIONS DEPARTMENT</v>
      </c>
      <c r="F2207" t="str">
        <f t="shared" si="901"/>
        <v>IBG</v>
      </c>
      <c r="G2207" t="str">
        <f t="shared" si="916"/>
        <v>Refund COSHARE 10</v>
      </c>
      <c r="H2207" s="2">
        <v>419.75</v>
      </c>
      <c r="I2207" t="str">
        <f>"RAUDZIEWATI  FATIN NABILA WAINSING"</f>
        <v>RAUDZIEWATI  FATIN NABILA WAINSING</v>
      </c>
      <c r="J2207" t="str">
        <f t="shared" si="917"/>
        <v>MAYBANK / MAYBANK ISLAMIC</v>
      </c>
      <c r="K2207" t="str">
        <f>"160045320332"</f>
        <v>160045320332</v>
      </c>
      <c r="L2207" t="str">
        <f t="shared" ref="L2207:M2226" si="918">"04-08-2020"</f>
        <v>04-08-2020</v>
      </c>
      <c r="M2207" t="str">
        <f t="shared" si="918"/>
        <v>04-08-2020</v>
      </c>
      <c r="N2207" t="str">
        <f t="shared" si="902"/>
        <v>001105018356</v>
      </c>
      <c r="O2207" t="str">
        <f t="shared" si="903"/>
        <v>MYR</v>
      </c>
      <c r="P2207" t="str">
        <f t="shared" ref="P2207:Q2226" si="919">"NIL"</f>
        <v>NIL</v>
      </c>
      <c r="Q2207" t="str">
        <f t="shared" si="919"/>
        <v>NIL</v>
      </c>
      <c r="R2207" t="str">
        <f t="shared" si="904"/>
        <v>Accepted</v>
      </c>
      <c r="S2207" t="str">
        <f t="shared" si="905"/>
        <v>Approved</v>
      </c>
      <c r="T2207" t="str">
        <f t="shared" si="906"/>
        <v>10.20.8.188</v>
      </c>
      <c r="U2207" t="str">
        <f t="shared" si="907"/>
        <v>AZRAD UMAR BIN SHAARI</v>
      </c>
      <c r="V2207" t="str">
        <f t="shared" si="908"/>
        <v>FARHANA BINTI MUSTAPA</v>
      </c>
      <c r="W2207" t="str">
        <f t="shared" si="909"/>
        <v>04-08-2020</v>
      </c>
      <c r="X2207" t="str">
        <f t="shared" si="910"/>
        <v>RAZIMAH ANSAR AHMAD</v>
      </c>
      <c r="Y2207" t="str">
        <f t="shared" si="911"/>
        <v>04-08-2020</v>
      </c>
      <c r="Z2207" t="str">
        <f>"COS10200804 6947"</f>
        <v>COS10200804 6947</v>
      </c>
    </row>
    <row r="2208" spans="1:26" x14ac:dyDescent="0.25">
      <c r="A2208" t="str">
        <f t="shared" si="912"/>
        <v>04-08-2020 01:04:59</v>
      </c>
      <c r="B2208" t="str">
        <f>"0000808743"</f>
        <v>0000808743</v>
      </c>
      <c r="C2208" t="str">
        <f t="shared" si="913"/>
        <v>0000808597</v>
      </c>
      <c r="D2208" t="str">
        <f t="shared" si="899"/>
        <v>73185</v>
      </c>
      <c r="E2208" t="str">
        <f t="shared" si="900"/>
        <v>KFH-OPERATIONS DEPARTMENT</v>
      </c>
      <c r="F2208" t="str">
        <f t="shared" si="901"/>
        <v>IBG</v>
      </c>
      <c r="G2208" t="str">
        <f t="shared" si="916"/>
        <v>Refund COSHARE 10</v>
      </c>
      <c r="H2208" s="2">
        <v>209.9</v>
      </c>
      <c r="I2208" t="str">
        <f>"RAUDAH BINTI ZULKIFLY"</f>
        <v>RAUDAH BINTI ZULKIFLY</v>
      </c>
      <c r="J2208" t="str">
        <f t="shared" si="917"/>
        <v>MAYBANK / MAYBANK ISLAMIC</v>
      </c>
      <c r="K2208" t="str">
        <f>"166010000803"</f>
        <v>166010000803</v>
      </c>
      <c r="L2208" t="str">
        <f t="shared" si="918"/>
        <v>04-08-2020</v>
      </c>
      <c r="M2208" t="str">
        <f t="shared" si="918"/>
        <v>04-08-2020</v>
      </c>
      <c r="N2208" t="str">
        <f t="shared" si="902"/>
        <v>001105018356</v>
      </c>
      <c r="O2208" t="str">
        <f t="shared" si="903"/>
        <v>MYR</v>
      </c>
      <c r="P2208" t="str">
        <f t="shared" si="919"/>
        <v>NIL</v>
      </c>
      <c r="Q2208" t="str">
        <f t="shared" si="919"/>
        <v>NIL</v>
      </c>
      <c r="R2208" t="str">
        <f t="shared" si="904"/>
        <v>Accepted</v>
      </c>
      <c r="S2208" t="str">
        <f t="shared" si="905"/>
        <v>Approved</v>
      </c>
      <c r="T2208" t="str">
        <f t="shared" si="906"/>
        <v>10.20.8.188</v>
      </c>
      <c r="U2208" t="str">
        <f t="shared" si="907"/>
        <v>AZRAD UMAR BIN SHAARI</v>
      </c>
      <c r="V2208" t="str">
        <f t="shared" si="908"/>
        <v>FARHANA BINTI MUSTAPA</v>
      </c>
      <c r="W2208" t="str">
        <f t="shared" si="909"/>
        <v>04-08-2020</v>
      </c>
      <c r="X2208" t="str">
        <f t="shared" si="910"/>
        <v>RAZIMAH ANSAR AHMAD</v>
      </c>
      <c r="Y2208" t="str">
        <f t="shared" si="911"/>
        <v>04-08-2020</v>
      </c>
      <c r="Z2208" t="str">
        <f>"COS10200804 6946"</f>
        <v>COS10200804 6946</v>
      </c>
    </row>
    <row r="2209" spans="1:26" x14ac:dyDescent="0.25">
      <c r="A2209" t="str">
        <f t="shared" si="912"/>
        <v>04-08-2020 01:04:59</v>
      </c>
      <c r="B2209" t="str">
        <f>"0000808742"</f>
        <v>0000808742</v>
      </c>
      <c r="C2209" t="str">
        <f t="shared" si="913"/>
        <v>0000808597</v>
      </c>
      <c r="D2209" t="str">
        <f t="shared" si="899"/>
        <v>73185</v>
      </c>
      <c r="E2209" t="str">
        <f t="shared" si="900"/>
        <v>KFH-OPERATIONS DEPARTMENT</v>
      </c>
      <c r="F2209" t="str">
        <f t="shared" si="901"/>
        <v>IBG</v>
      </c>
      <c r="G2209" t="str">
        <f t="shared" si="916"/>
        <v>Refund COSHARE 10</v>
      </c>
      <c r="H2209" s="2">
        <v>1277</v>
      </c>
      <c r="I2209" t="str">
        <f>"RAUB BIN SELAMAT"</f>
        <v>RAUB BIN SELAMAT</v>
      </c>
      <c r="J2209" t="str">
        <f t="shared" si="917"/>
        <v>MAYBANK / MAYBANK ISLAMIC</v>
      </c>
      <c r="K2209" t="str">
        <f>"162535012758"</f>
        <v>162535012758</v>
      </c>
      <c r="L2209" t="str">
        <f t="shared" si="918"/>
        <v>04-08-2020</v>
      </c>
      <c r="M2209" t="str">
        <f t="shared" si="918"/>
        <v>04-08-2020</v>
      </c>
      <c r="N2209" t="str">
        <f t="shared" si="902"/>
        <v>001105018356</v>
      </c>
      <c r="O2209" t="str">
        <f t="shared" si="903"/>
        <v>MYR</v>
      </c>
      <c r="P2209" t="str">
        <f t="shared" si="919"/>
        <v>NIL</v>
      </c>
      <c r="Q2209" t="str">
        <f t="shared" si="919"/>
        <v>NIL</v>
      </c>
      <c r="R2209" t="str">
        <f t="shared" si="904"/>
        <v>Accepted</v>
      </c>
      <c r="S2209" t="str">
        <f t="shared" si="905"/>
        <v>Approved</v>
      </c>
      <c r="T2209" t="str">
        <f t="shared" si="906"/>
        <v>10.20.8.188</v>
      </c>
      <c r="U2209" t="str">
        <f t="shared" si="907"/>
        <v>AZRAD UMAR BIN SHAARI</v>
      </c>
      <c r="V2209" t="str">
        <f t="shared" si="908"/>
        <v>FARHANA BINTI MUSTAPA</v>
      </c>
      <c r="W2209" t="str">
        <f t="shared" si="909"/>
        <v>04-08-2020</v>
      </c>
      <c r="X2209" t="str">
        <f t="shared" si="910"/>
        <v>RAZIMAH ANSAR AHMAD</v>
      </c>
      <c r="Y2209" t="str">
        <f t="shared" si="911"/>
        <v>04-08-2020</v>
      </c>
      <c r="Z2209" t="str">
        <f>"COS10200804 6945"</f>
        <v>COS10200804 6945</v>
      </c>
    </row>
    <row r="2210" spans="1:26" x14ac:dyDescent="0.25">
      <c r="A2210" t="str">
        <f t="shared" si="912"/>
        <v>04-08-2020 01:04:59</v>
      </c>
      <c r="B2210" t="str">
        <f>"0000808741"</f>
        <v>0000808741</v>
      </c>
      <c r="C2210" t="str">
        <f t="shared" si="913"/>
        <v>0000808597</v>
      </c>
      <c r="D2210" t="str">
        <f t="shared" si="899"/>
        <v>73185</v>
      </c>
      <c r="E2210" t="str">
        <f t="shared" si="900"/>
        <v>KFH-OPERATIONS DEPARTMENT</v>
      </c>
      <c r="F2210" t="str">
        <f t="shared" si="901"/>
        <v>IBG</v>
      </c>
      <c r="G2210" t="str">
        <f t="shared" si="916"/>
        <v>Refund COSHARE 10</v>
      </c>
      <c r="H2210" s="2">
        <v>1510</v>
      </c>
      <c r="I2210" t="str">
        <f>"RATHIKA AP NARAYANAN"</f>
        <v>RATHIKA AP NARAYANAN</v>
      </c>
      <c r="J2210" t="str">
        <f t="shared" si="917"/>
        <v>MAYBANK / MAYBANK ISLAMIC</v>
      </c>
      <c r="K2210" t="str">
        <f>"110059189451"</f>
        <v>110059189451</v>
      </c>
      <c r="L2210" t="str">
        <f t="shared" si="918"/>
        <v>04-08-2020</v>
      </c>
      <c r="M2210" t="str">
        <f t="shared" si="918"/>
        <v>04-08-2020</v>
      </c>
      <c r="N2210" t="str">
        <f t="shared" si="902"/>
        <v>001105018356</v>
      </c>
      <c r="O2210" t="str">
        <f t="shared" si="903"/>
        <v>MYR</v>
      </c>
      <c r="P2210" t="str">
        <f t="shared" si="919"/>
        <v>NIL</v>
      </c>
      <c r="Q2210" t="str">
        <f t="shared" si="919"/>
        <v>NIL</v>
      </c>
      <c r="R2210" t="str">
        <f t="shared" si="904"/>
        <v>Accepted</v>
      </c>
      <c r="S2210" t="str">
        <f t="shared" si="905"/>
        <v>Approved</v>
      </c>
      <c r="T2210" t="str">
        <f t="shared" si="906"/>
        <v>10.20.8.188</v>
      </c>
      <c r="U2210" t="str">
        <f t="shared" si="907"/>
        <v>AZRAD UMAR BIN SHAARI</v>
      </c>
      <c r="V2210" t="str">
        <f t="shared" si="908"/>
        <v>FARHANA BINTI MUSTAPA</v>
      </c>
      <c r="W2210" t="str">
        <f t="shared" si="909"/>
        <v>04-08-2020</v>
      </c>
      <c r="X2210" t="str">
        <f t="shared" si="910"/>
        <v>RAZIMAH ANSAR AHMAD</v>
      </c>
      <c r="Y2210" t="str">
        <f t="shared" si="911"/>
        <v>04-08-2020</v>
      </c>
      <c r="Z2210" t="str">
        <f>"COS10200804 6944"</f>
        <v>COS10200804 6944</v>
      </c>
    </row>
    <row r="2211" spans="1:26" x14ac:dyDescent="0.25">
      <c r="A2211" t="str">
        <f t="shared" si="912"/>
        <v>04-08-2020 01:04:59</v>
      </c>
      <c r="B2211" t="str">
        <f>"0000808740"</f>
        <v>0000808740</v>
      </c>
      <c r="C2211" t="str">
        <f t="shared" si="913"/>
        <v>0000808597</v>
      </c>
      <c r="D2211" t="str">
        <f t="shared" si="899"/>
        <v>73185</v>
      </c>
      <c r="E2211" t="str">
        <f t="shared" si="900"/>
        <v>KFH-OPERATIONS DEPARTMENT</v>
      </c>
      <c r="F2211" t="str">
        <f t="shared" si="901"/>
        <v>IBG</v>
      </c>
      <c r="G2211" t="str">
        <f t="shared" si="916"/>
        <v>Refund COSHARE 10</v>
      </c>
      <c r="H2211" s="2">
        <v>1091.3499999999999</v>
      </c>
      <c r="I2211" t="str">
        <f>"RASYIDA BINTI ABD RAHMAN"</f>
        <v>RASYIDA BINTI ABD RAHMAN</v>
      </c>
      <c r="J2211" t="str">
        <f t="shared" si="917"/>
        <v>MAYBANK / MAYBANK ISLAMIC</v>
      </c>
      <c r="K2211" t="str">
        <f>"105104004360"</f>
        <v>105104004360</v>
      </c>
      <c r="L2211" t="str">
        <f t="shared" si="918"/>
        <v>04-08-2020</v>
      </c>
      <c r="M2211" t="str">
        <f t="shared" si="918"/>
        <v>04-08-2020</v>
      </c>
      <c r="N2211" t="str">
        <f t="shared" si="902"/>
        <v>001105018356</v>
      </c>
      <c r="O2211" t="str">
        <f t="shared" si="903"/>
        <v>MYR</v>
      </c>
      <c r="P2211" t="str">
        <f t="shared" si="919"/>
        <v>NIL</v>
      </c>
      <c r="Q2211" t="str">
        <f t="shared" si="919"/>
        <v>NIL</v>
      </c>
      <c r="R2211" t="str">
        <f t="shared" si="904"/>
        <v>Accepted</v>
      </c>
      <c r="S2211" t="str">
        <f t="shared" si="905"/>
        <v>Approved</v>
      </c>
      <c r="T2211" t="str">
        <f t="shared" si="906"/>
        <v>10.20.8.188</v>
      </c>
      <c r="U2211" t="str">
        <f t="shared" si="907"/>
        <v>AZRAD UMAR BIN SHAARI</v>
      </c>
      <c r="V2211" t="str">
        <f t="shared" si="908"/>
        <v>FARHANA BINTI MUSTAPA</v>
      </c>
      <c r="W2211" t="str">
        <f t="shared" si="909"/>
        <v>04-08-2020</v>
      </c>
      <c r="X2211" t="str">
        <f t="shared" si="910"/>
        <v>RAZIMAH ANSAR AHMAD</v>
      </c>
      <c r="Y2211" t="str">
        <f t="shared" si="911"/>
        <v>04-08-2020</v>
      </c>
      <c r="Z2211" t="str">
        <f>"COS10200804 6943"</f>
        <v>COS10200804 6943</v>
      </c>
    </row>
    <row r="2212" spans="1:26" x14ac:dyDescent="0.25">
      <c r="A2212" t="str">
        <f t="shared" si="912"/>
        <v>04-08-2020 01:04:59</v>
      </c>
      <c r="B2212" t="str">
        <f>"0000808739"</f>
        <v>0000808739</v>
      </c>
      <c r="C2212" t="str">
        <f t="shared" si="913"/>
        <v>0000808597</v>
      </c>
      <c r="D2212" t="str">
        <f t="shared" si="899"/>
        <v>73185</v>
      </c>
      <c r="E2212" t="str">
        <f t="shared" si="900"/>
        <v>KFH-OPERATIONS DEPARTMENT</v>
      </c>
      <c r="F2212" t="str">
        <f t="shared" si="901"/>
        <v>IBG</v>
      </c>
      <c r="G2212" t="str">
        <f t="shared" si="916"/>
        <v>Refund COSHARE 10</v>
      </c>
      <c r="H2212" s="2">
        <v>984.95</v>
      </c>
      <c r="I2212" t="str">
        <f>"RASMONA BINTI ABU BAKAR"</f>
        <v>RASMONA BINTI ABU BAKAR</v>
      </c>
      <c r="J2212" t="str">
        <f t="shared" si="917"/>
        <v>MAYBANK / MAYBANK ISLAMIC</v>
      </c>
      <c r="K2212" t="str">
        <f>"114253091820"</f>
        <v>114253091820</v>
      </c>
      <c r="L2212" t="str">
        <f t="shared" si="918"/>
        <v>04-08-2020</v>
      </c>
      <c r="M2212" t="str">
        <f t="shared" si="918"/>
        <v>04-08-2020</v>
      </c>
      <c r="N2212" t="str">
        <f t="shared" si="902"/>
        <v>001105018356</v>
      </c>
      <c r="O2212" t="str">
        <f t="shared" si="903"/>
        <v>MYR</v>
      </c>
      <c r="P2212" t="str">
        <f t="shared" si="919"/>
        <v>NIL</v>
      </c>
      <c r="Q2212" t="str">
        <f t="shared" si="919"/>
        <v>NIL</v>
      </c>
      <c r="R2212" t="str">
        <f t="shared" si="904"/>
        <v>Accepted</v>
      </c>
      <c r="S2212" t="str">
        <f t="shared" si="905"/>
        <v>Approved</v>
      </c>
      <c r="T2212" t="str">
        <f t="shared" si="906"/>
        <v>10.20.8.188</v>
      </c>
      <c r="U2212" t="str">
        <f t="shared" si="907"/>
        <v>AZRAD UMAR BIN SHAARI</v>
      </c>
      <c r="V2212" t="str">
        <f t="shared" si="908"/>
        <v>FARHANA BINTI MUSTAPA</v>
      </c>
      <c r="W2212" t="str">
        <f t="shared" si="909"/>
        <v>04-08-2020</v>
      </c>
      <c r="X2212" t="str">
        <f t="shared" si="910"/>
        <v>RAZIMAH ANSAR AHMAD</v>
      </c>
      <c r="Y2212" t="str">
        <f t="shared" si="911"/>
        <v>04-08-2020</v>
      </c>
      <c r="Z2212" t="str">
        <f>"COS10200804 6942"</f>
        <v>COS10200804 6942</v>
      </c>
    </row>
    <row r="2213" spans="1:26" x14ac:dyDescent="0.25">
      <c r="A2213" t="str">
        <f t="shared" si="912"/>
        <v>04-08-2020 01:04:59</v>
      </c>
      <c r="B2213" t="str">
        <f>"0000808738"</f>
        <v>0000808738</v>
      </c>
      <c r="C2213" t="str">
        <f t="shared" si="913"/>
        <v>0000808597</v>
      </c>
      <c r="D2213" t="str">
        <f t="shared" si="899"/>
        <v>73185</v>
      </c>
      <c r="E2213" t="str">
        <f t="shared" si="900"/>
        <v>KFH-OPERATIONS DEPARTMENT</v>
      </c>
      <c r="F2213" t="str">
        <f t="shared" si="901"/>
        <v>IBG</v>
      </c>
      <c r="G2213" t="str">
        <f t="shared" si="916"/>
        <v>Refund COSHARE 10</v>
      </c>
      <c r="H2213" s="2">
        <v>136.75</v>
      </c>
      <c r="I2213" t="str">
        <f>"RASINAH BINTI SAAD"</f>
        <v>RASINAH BINTI SAAD</v>
      </c>
      <c r="J2213" t="str">
        <f t="shared" si="917"/>
        <v>MAYBANK / MAYBANK ISLAMIC</v>
      </c>
      <c r="K2213" t="str">
        <f>"102055306598"</f>
        <v>102055306598</v>
      </c>
      <c r="L2213" t="str">
        <f t="shared" si="918"/>
        <v>04-08-2020</v>
      </c>
      <c r="M2213" t="str">
        <f t="shared" si="918"/>
        <v>04-08-2020</v>
      </c>
      <c r="N2213" t="str">
        <f t="shared" si="902"/>
        <v>001105018356</v>
      </c>
      <c r="O2213" t="str">
        <f t="shared" si="903"/>
        <v>MYR</v>
      </c>
      <c r="P2213" t="str">
        <f t="shared" si="919"/>
        <v>NIL</v>
      </c>
      <c r="Q2213" t="str">
        <f t="shared" si="919"/>
        <v>NIL</v>
      </c>
      <c r="R2213" t="str">
        <f t="shared" si="904"/>
        <v>Accepted</v>
      </c>
      <c r="S2213" t="str">
        <f t="shared" si="905"/>
        <v>Approved</v>
      </c>
      <c r="T2213" t="str">
        <f t="shared" si="906"/>
        <v>10.20.8.188</v>
      </c>
      <c r="U2213" t="str">
        <f t="shared" si="907"/>
        <v>AZRAD UMAR BIN SHAARI</v>
      </c>
      <c r="V2213" t="str">
        <f t="shared" si="908"/>
        <v>FARHANA BINTI MUSTAPA</v>
      </c>
      <c r="W2213" t="str">
        <f t="shared" si="909"/>
        <v>04-08-2020</v>
      </c>
      <c r="X2213" t="str">
        <f t="shared" si="910"/>
        <v>RAZIMAH ANSAR AHMAD</v>
      </c>
      <c r="Y2213" t="str">
        <f t="shared" si="911"/>
        <v>04-08-2020</v>
      </c>
      <c r="Z2213" t="str">
        <f>"COS10200804 6941"</f>
        <v>COS10200804 6941</v>
      </c>
    </row>
    <row r="2214" spans="1:26" x14ac:dyDescent="0.25">
      <c r="A2214" t="str">
        <f t="shared" si="912"/>
        <v>04-08-2020 01:04:59</v>
      </c>
      <c r="B2214" t="str">
        <f>"0000808737"</f>
        <v>0000808737</v>
      </c>
      <c r="C2214" t="str">
        <f t="shared" si="913"/>
        <v>0000808597</v>
      </c>
      <c r="D2214" t="str">
        <f t="shared" si="899"/>
        <v>73185</v>
      </c>
      <c r="E2214" t="str">
        <f t="shared" si="900"/>
        <v>KFH-OPERATIONS DEPARTMENT</v>
      </c>
      <c r="F2214" t="str">
        <f t="shared" si="901"/>
        <v>IBG</v>
      </c>
      <c r="G2214" t="str">
        <f t="shared" si="916"/>
        <v>Refund COSHARE 10</v>
      </c>
      <c r="H2214" s="2">
        <v>1247.55</v>
      </c>
      <c r="I2214" t="str">
        <f>"RASIDI BIN SENIN"</f>
        <v>RASIDI BIN SENIN</v>
      </c>
      <c r="J2214" t="str">
        <f t="shared" si="917"/>
        <v>MAYBANK / MAYBANK ISLAMIC</v>
      </c>
      <c r="K2214" t="str">
        <f>"154017398220"</f>
        <v>154017398220</v>
      </c>
      <c r="L2214" t="str">
        <f t="shared" si="918"/>
        <v>04-08-2020</v>
      </c>
      <c r="M2214" t="str">
        <f t="shared" si="918"/>
        <v>04-08-2020</v>
      </c>
      <c r="N2214" t="str">
        <f t="shared" si="902"/>
        <v>001105018356</v>
      </c>
      <c r="O2214" t="str">
        <f t="shared" si="903"/>
        <v>MYR</v>
      </c>
      <c r="P2214" t="str">
        <f t="shared" si="919"/>
        <v>NIL</v>
      </c>
      <c r="Q2214" t="str">
        <f t="shared" si="919"/>
        <v>NIL</v>
      </c>
      <c r="R2214" t="str">
        <f t="shared" si="904"/>
        <v>Accepted</v>
      </c>
      <c r="S2214" t="str">
        <f t="shared" si="905"/>
        <v>Approved</v>
      </c>
      <c r="T2214" t="str">
        <f t="shared" si="906"/>
        <v>10.20.8.188</v>
      </c>
      <c r="U2214" t="str">
        <f t="shared" si="907"/>
        <v>AZRAD UMAR BIN SHAARI</v>
      </c>
      <c r="V2214" t="str">
        <f t="shared" si="908"/>
        <v>FARHANA BINTI MUSTAPA</v>
      </c>
      <c r="W2214" t="str">
        <f t="shared" si="909"/>
        <v>04-08-2020</v>
      </c>
      <c r="X2214" t="str">
        <f t="shared" si="910"/>
        <v>RAZIMAH ANSAR AHMAD</v>
      </c>
      <c r="Y2214" t="str">
        <f t="shared" si="911"/>
        <v>04-08-2020</v>
      </c>
      <c r="Z2214" t="str">
        <f>"COS10200804 6940"</f>
        <v>COS10200804 6940</v>
      </c>
    </row>
    <row r="2215" spans="1:26" x14ac:dyDescent="0.25">
      <c r="A2215" t="str">
        <f t="shared" si="912"/>
        <v>04-08-2020 01:04:59</v>
      </c>
      <c r="B2215" t="str">
        <f>"0000808736"</f>
        <v>0000808736</v>
      </c>
      <c r="C2215" t="str">
        <f t="shared" si="913"/>
        <v>0000808597</v>
      </c>
      <c r="D2215" t="str">
        <f t="shared" si="899"/>
        <v>73185</v>
      </c>
      <c r="E2215" t="str">
        <f t="shared" si="900"/>
        <v>KFH-OPERATIONS DEPARTMENT</v>
      </c>
      <c r="F2215" t="str">
        <f t="shared" si="901"/>
        <v>IBG</v>
      </c>
      <c r="G2215" t="str">
        <f t="shared" si="916"/>
        <v>Refund COSHARE 10</v>
      </c>
      <c r="H2215" s="2">
        <v>155</v>
      </c>
      <c r="I2215" t="str">
        <f>"RASIDI BIN MOHAMED ZAIN  YUSOF"</f>
        <v>RASIDI BIN MOHAMED ZAIN  YUSOF</v>
      </c>
      <c r="J2215" t="str">
        <f t="shared" si="917"/>
        <v>MAYBANK / MAYBANK ISLAMIC</v>
      </c>
      <c r="K2215" t="str">
        <f>"105037447128"</f>
        <v>105037447128</v>
      </c>
      <c r="L2215" t="str">
        <f t="shared" si="918"/>
        <v>04-08-2020</v>
      </c>
      <c r="M2215" t="str">
        <f t="shared" si="918"/>
        <v>04-08-2020</v>
      </c>
      <c r="N2215" t="str">
        <f t="shared" si="902"/>
        <v>001105018356</v>
      </c>
      <c r="O2215" t="str">
        <f t="shared" si="903"/>
        <v>MYR</v>
      </c>
      <c r="P2215" t="str">
        <f t="shared" si="919"/>
        <v>NIL</v>
      </c>
      <c r="Q2215" t="str">
        <f t="shared" si="919"/>
        <v>NIL</v>
      </c>
      <c r="R2215" t="str">
        <f t="shared" si="904"/>
        <v>Accepted</v>
      </c>
      <c r="S2215" t="str">
        <f t="shared" si="905"/>
        <v>Approved</v>
      </c>
      <c r="T2215" t="str">
        <f t="shared" si="906"/>
        <v>10.20.8.188</v>
      </c>
      <c r="U2215" t="str">
        <f t="shared" si="907"/>
        <v>AZRAD UMAR BIN SHAARI</v>
      </c>
      <c r="V2215" t="str">
        <f t="shared" si="908"/>
        <v>FARHANA BINTI MUSTAPA</v>
      </c>
      <c r="W2215" t="str">
        <f t="shared" si="909"/>
        <v>04-08-2020</v>
      </c>
      <c r="X2215" t="str">
        <f t="shared" si="910"/>
        <v>RAZIMAH ANSAR AHMAD</v>
      </c>
      <c r="Y2215" t="str">
        <f t="shared" si="911"/>
        <v>04-08-2020</v>
      </c>
      <c r="Z2215" t="str">
        <f>"COS10200804 6939"</f>
        <v>COS10200804 6939</v>
      </c>
    </row>
    <row r="2216" spans="1:26" x14ac:dyDescent="0.25">
      <c r="A2216" t="str">
        <f t="shared" si="912"/>
        <v>04-08-2020 01:04:59</v>
      </c>
      <c r="B2216" t="str">
        <f>"0000808735"</f>
        <v>0000808735</v>
      </c>
      <c r="C2216" t="str">
        <f t="shared" si="913"/>
        <v>0000808597</v>
      </c>
      <c r="D2216" t="str">
        <f t="shared" si="899"/>
        <v>73185</v>
      </c>
      <c r="E2216" t="str">
        <f t="shared" si="900"/>
        <v>KFH-OPERATIONS DEPARTMENT</v>
      </c>
      <c r="F2216" t="str">
        <f t="shared" si="901"/>
        <v>IBG</v>
      </c>
      <c r="G2216" t="str">
        <f t="shared" si="916"/>
        <v>Refund COSHARE 10</v>
      </c>
      <c r="H2216" s="2">
        <v>122</v>
      </c>
      <c r="I2216" t="str">
        <f>"RASIDAH BINTI SAHRAN"</f>
        <v>RASIDAH BINTI SAHRAN</v>
      </c>
      <c r="J2216" t="str">
        <f t="shared" si="917"/>
        <v>MAYBANK / MAYBANK ISLAMIC</v>
      </c>
      <c r="K2216" t="str">
        <f>"151427037641"</f>
        <v>151427037641</v>
      </c>
      <c r="L2216" t="str">
        <f t="shared" si="918"/>
        <v>04-08-2020</v>
      </c>
      <c r="M2216" t="str">
        <f t="shared" si="918"/>
        <v>04-08-2020</v>
      </c>
      <c r="N2216" t="str">
        <f t="shared" si="902"/>
        <v>001105018356</v>
      </c>
      <c r="O2216" t="str">
        <f t="shared" si="903"/>
        <v>MYR</v>
      </c>
      <c r="P2216" t="str">
        <f t="shared" si="919"/>
        <v>NIL</v>
      </c>
      <c r="Q2216" t="str">
        <f t="shared" si="919"/>
        <v>NIL</v>
      </c>
      <c r="R2216" t="str">
        <f t="shared" si="904"/>
        <v>Accepted</v>
      </c>
      <c r="S2216" t="str">
        <f t="shared" si="905"/>
        <v>Approved</v>
      </c>
      <c r="T2216" t="str">
        <f t="shared" si="906"/>
        <v>10.20.8.188</v>
      </c>
      <c r="U2216" t="str">
        <f t="shared" si="907"/>
        <v>AZRAD UMAR BIN SHAARI</v>
      </c>
      <c r="V2216" t="str">
        <f t="shared" si="908"/>
        <v>FARHANA BINTI MUSTAPA</v>
      </c>
      <c r="W2216" t="str">
        <f t="shared" si="909"/>
        <v>04-08-2020</v>
      </c>
      <c r="X2216" t="str">
        <f t="shared" si="910"/>
        <v>RAZIMAH ANSAR AHMAD</v>
      </c>
      <c r="Y2216" t="str">
        <f t="shared" si="911"/>
        <v>04-08-2020</v>
      </c>
      <c r="Z2216" t="str">
        <f>"COS10200804 6938"</f>
        <v>COS10200804 6938</v>
      </c>
    </row>
    <row r="2217" spans="1:26" x14ac:dyDescent="0.25">
      <c r="A2217" t="str">
        <f t="shared" si="912"/>
        <v>04-08-2020 01:04:59</v>
      </c>
      <c r="B2217" t="str">
        <f>"0000808734"</f>
        <v>0000808734</v>
      </c>
      <c r="C2217" t="str">
        <f t="shared" si="913"/>
        <v>0000808597</v>
      </c>
      <c r="D2217" t="str">
        <f t="shared" si="899"/>
        <v>73185</v>
      </c>
      <c r="E2217" t="str">
        <f t="shared" si="900"/>
        <v>KFH-OPERATIONS DEPARTMENT</v>
      </c>
      <c r="F2217" t="str">
        <f t="shared" si="901"/>
        <v>IBG</v>
      </c>
      <c r="G2217" t="str">
        <f t="shared" si="916"/>
        <v>Refund COSHARE 10</v>
      </c>
      <c r="H2217" s="2">
        <v>291</v>
      </c>
      <c r="I2217" t="str">
        <f>"RASIDAH BINTI RAHIM"</f>
        <v>RASIDAH BINTI RAHIM</v>
      </c>
      <c r="J2217" t="str">
        <f t="shared" si="917"/>
        <v>MAYBANK / MAYBANK ISLAMIC</v>
      </c>
      <c r="K2217" t="str">
        <f>"158118074533"</f>
        <v>158118074533</v>
      </c>
      <c r="L2217" t="str">
        <f t="shared" si="918"/>
        <v>04-08-2020</v>
      </c>
      <c r="M2217" t="str">
        <f t="shared" si="918"/>
        <v>04-08-2020</v>
      </c>
      <c r="N2217" t="str">
        <f t="shared" si="902"/>
        <v>001105018356</v>
      </c>
      <c r="O2217" t="str">
        <f t="shared" si="903"/>
        <v>MYR</v>
      </c>
      <c r="P2217" t="str">
        <f t="shared" si="919"/>
        <v>NIL</v>
      </c>
      <c r="Q2217" t="str">
        <f t="shared" si="919"/>
        <v>NIL</v>
      </c>
      <c r="R2217" t="str">
        <f t="shared" si="904"/>
        <v>Accepted</v>
      </c>
      <c r="S2217" t="str">
        <f t="shared" si="905"/>
        <v>Approved</v>
      </c>
      <c r="T2217" t="str">
        <f t="shared" si="906"/>
        <v>10.20.8.188</v>
      </c>
      <c r="U2217" t="str">
        <f t="shared" si="907"/>
        <v>AZRAD UMAR BIN SHAARI</v>
      </c>
      <c r="V2217" t="str">
        <f t="shared" si="908"/>
        <v>FARHANA BINTI MUSTAPA</v>
      </c>
      <c r="W2217" t="str">
        <f t="shared" si="909"/>
        <v>04-08-2020</v>
      </c>
      <c r="X2217" t="str">
        <f t="shared" si="910"/>
        <v>RAZIMAH ANSAR AHMAD</v>
      </c>
      <c r="Y2217" t="str">
        <f t="shared" si="911"/>
        <v>04-08-2020</v>
      </c>
      <c r="Z2217" t="str">
        <f>"COS10200804 6937"</f>
        <v>COS10200804 6937</v>
      </c>
    </row>
    <row r="2218" spans="1:26" x14ac:dyDescent="0.25">
      <c r="A2218" t="str">
        <f t="shared" ref="A2218:A2249" si="920">"04-08-2020 01:04:59"</f>
        <v>04-08-2020 01:04:59</v>
      </c>
      <c r="B2218" t="str">
        <f>"0000808733"</f>
        <v>0000808733</v>
      </c>
      <c r="C2218" t="str">
        <f t="shared" ref="C2218:C2249" si="921">"0000808597"</f>
        <v>0000808597</v>
      </c>
      <c r="D2218" t="str">
        <f t="shared" si="899"/>
        <v>73185</v>
      </c>
      <c r="E2218" t="str">
        <f t="shared" si="900"/>
        <v>KFH-OPERATIONS DEPARTMENT</v>
      </c>
      <c r="F2218" t="str">
        <f t="shared" si="901"/>
        <v>IBG</v>
      </c>
      <c r="G2218" t="str">
        <f t="shared" si="916"/>
        <v>Refund COSHARE 10</v>
      </c>
      <c r="H2218" s="2">
        <v>923.45</v>
      </c>
      <c r="I2218" t="str">
        <f>"RASIDAH BINTI PAIMAN"</f>
        <v>RASIDAH BINTI PAIMAN</v>
      </c>
      <c r="J2218" t="str">
        <f t="shared" si="917"/>
        <v>MAYBANK / MAYBANK ISLAMIC</v>
      </c>
      <c r="K2218" t="str">
        <f>"101115041105"</f>
        <v>101115041105</v>
      </c>
      <c r="L2218" t="str">
        <f t="shared" si="918"/>
        <v>04-08-2020</v>
      </c>
      <c r="M2218" t="str">
        <f t="shared" si="918"/>
        <v>04-08-2020</v>
      </c>
      <c r="N2218" t="str">
        <f t="shared" si="902"/>
        <v>001105018356</v>
      </c>
      <c r="O2218" t="str">
        <f t="shared" si="903"/>
        <v>MYR</v>
      </c>
      <c r="P2218" t="str">
        <f t="shared" si="919"/>
        <v>NIL</v>
      </c>
      <c r="Q2218" t="str">
        <f t="shared" si="919"/>
        <v>NIL</v>
      </c>
      <c r="R2218" t="str">
        <f t="shared" si="904"/>
        <v>Accepted</v>
      </c>
      <c r="S2218" t="str">
        <f t="shared" si="905"/>
        <v>Approved</v>
      </c>
      <c r="T2218" t="str">
        <f t="shared" si="906"/>
        <v>10.20.8.188</v>
      </c>
      <c r="U2218" t="str">
        <f t="shared" si="907"/>
        <v>AZRAD UMAR BIN SHAARI</v>
      </c>
      <c r="V2218" t="str">
        <f t="shared" si="908"/>
        <v>FARHANA BINTI MUSTAPA</v>
      </c>
      <c r="W2218" t="str">
        <f t="shared" si="909"/>
        <v>04-08-2020</v>
      </c>
      <c r="X2218" t="str">
        <f t="shared" si="910"/>
        <v>RAZIMAH ANSAR AHMAD</v>
      </c>
      <c r="Y2218" t="str">
        <f t="shared" si="911"/>
        <v>04-08-2020</v>
      </c>
      <c r="Z2218" t="str">
        <f>"COS10200804 6936"</f>
        <v>COS10200804 6936</v>
      </c>
    </row>
    <row r="2219" spans="1:26" x14ac:dyDescent="0.25">
      <c r="A2219" t="str">
        <f t="shared" si="920"/>
        <v>04-08-2020 01:04:59</v>
      </c>
      <c r="B2219" t="str">
        <f>"0000808732"</f>
        <v>0000808732</v>
      </c>
      <c r="C2219" t="str">
        <f t="shared" si="921"/>
        <v>0000808597</v>
      </c>
      <c r="D2219" t="str">
        <f t="shared" si="899"/>
        <v>73185</v>
      </c>
      <c r="E2219" t="str">
        <f t="shared" si="900"/>
        <v>KFH-OPERATIONS DEPARTMENT</v>
      </c>
      <c r="F2219" t="str">
        <f t="shared" si="901"/>
        <v>IBG</v>
      </c>
      <c r="G2219" t="str">
        <f t="shared" si="916"/>
        <v>Refund COSHARE 10</v>
      </c>
      <c r="H2219" s="2">
        <v>100.75</v>
      </c>
      <c r="I2219" t="str">
        <f>"RASID  ABD RASYID BIN TAMBUTU"</f>
        <v>RASID  ABD RASYID BIN TAMBUTU</v>
      </c>
      <c r="J2219" t="str">
        <f t="shared" si="917"/>
        <v>MAYBANK / MAYBANK ISLAMIC</v>
      </c>
      <c r="K2219" t="str">
        <f>"160036823940"</f>
        <v>160036823940</v>
      </c>
      <c r="L2219" t="str">
        <f t="shared" si="918"/>
        <v>04-08-2020</v>
      </c>
      <c r="M2219" t="str">
        <f t="shared" si="918"/>
        <v>04-08-2020</v>
      </c>
      <c r="N2219" t="str">
        <f t="shared" si="902"/>
        <v>001105018356</v>
      </c>
      <c r="O2219" t="str">
        <f t="shared" si="903"/>
        <v>MYR</v>
      </c>
      <c r="P2219" t="str">
        <f t="shared" si="919"/>
        <v>NIL</v>
      </c>
      <c r="Q2219" t="str">
        <f t="shared" si="919"/>
        <v>NIL</v>
      </c>
      <c r="R2219" t="str">
        <f t="shared" si="904"/>
        <v>Accepted</v>
      </c>
      <c r="S2219" t="str">
        <f t="shared" si="905"/>
        <v>Approved</v>
      </c>
      <c r="T2219" t="str">
        <f t="shared" si="906"/>
        <v>10.20.8.188</v>
      </c>
      <c r="U2219" t="str">
        <f t="shared" si="907"/>
        <v>AZRAD UMAR BIN SHAARI</v>
      </c>
      <c r="V2219" t="str">
        <f t="shared" si="908"/>
        <v>FARHANA BINTI MUSTAPA</v>
      </c>
      <c r="W2219" t="str">
        <f t="shared" si="909"/>
        <v>04-08-2020</v>
      </c>
      <c r="X2219" t="str">
        <f t="shared" si="910"/>
        <v>RAZIMAH ANSAR AHMAD</v>
      </c>
      <c r="Y2219" t="str">
        <f t="shared" si="911"/>
        <v>04-08-2020</v>
      </c>
      <c r="Z2219" t="str">
        <f>"COS10200804 6935"</f>
        <v>COS10200804 6935</v>
      </c>
    </row>
    <row r="2220" spans="1:26" x14ac:dyDescent="0.25">
      <c r="A2220" t="str">
        <f t="shared" si="920"/>
        <v>04-08-2020 01:04:59</v>
      </c>
      <c r="B2220" t="str">
        <f>"0000808731"</f>
        <v>0000808731</v>
      </c>
      <c r="C2220" t="str">
        <f t="shared" si="921"/>
        <v>0000808597</v>
      </c>
      <c r="D2220" t="str">
        <f t="shared" si="899"/>
        <v>73185</v>
      </c>
      <c r="E2220" t="str">
        <f t="shared" si="900"/>
        <v>KFH-OPERATIONS DEPARTMENT</v>
      </c>
      <c r="F2220" t="str">
        <f t="shared" si="901"/>
        <v>IBG</v>
      </c>
      <c r="G2220" t="str">
        <f t="shared" si="916"/>
        <v>Refund COSHARE 10</v>
      </c>
      <c r="H2220" s="2">
        <v>363.7</v>
      </c>
      <c r="I2220" t="str">
        <f>"RASHIDI BIN ISMAIL"</f>
        <v>RASHIDI BIN ISMAIL</v>
      </c>
      <c r="J2220" t="str">
        <f t="shared" si="917"/>
        <v>MAYBANK / MAYBANK ISLAMIC</v>
      </c>
      <c r="K2220" t="str">
        <f>"164155560131"</f>
        <v>164155560131</v>
      </c>
      <c r="L2220" t="str">
        <f t="shared" si="918"/>
        <v>04-08-2020</v>
      </c>
      <c r="M2220" t="str">
        <f t="shared" si="918"/>
        <v>04-08-2020</v>
      </c>
      <c r="N2220" t="str">
        <f t="shared" si="902"/>
        <v>001105018356</v>
      </c>
      <c r="O2220" t="str">
        <f t="shared" si="903"/>
        <v>MYR</v>
      </c>
      <c r="P2220" t="str">
        <f t="shared" si="919"/>
        <v>NIL</v>
      </c>
      <c r="Q2220" t="str">
        <f t="shared" si="919"/>
        <v>NIL</v>
      </c>
      <c r="R2220" t="str">
        <f t="shared" si="904"/>
        <v>Accepted</v>
      </c>
      <c r="S2220" t="str">
        <f t="shared" si="905"/>
        <v>Approved</v>
      </c>
      <c r="T2220" t="str">
        <f t="shared" si="906"/>
        <v>10.20.8.188</v>
      </c>
      <c r="U2220" t="str">
        <f t="shared" si="907"/>
        <v>AZRAD UMAR BIN SHAARI</v>
      </c>
      <c r="V2220" t="str">
        <f t="shared" si="908"/>
        <v>FARHANA BINTI MUSTAPA</v>
      </c>
      <c r="W2220" t="str">
        <f t="shared" si="909"/>
        <v>04-08-2020</v>
      </c>
      <c r="X2220" t="str">
        <f t="shared" si="910"/>
        <v>RAZIMAH ANSAR AHMAD</v>
      </c>
      <c r="Y2220" t="str">
        <f t="shared" si="911"/>
        <v>04-08-2020</v>
      </c>
      <c r="Z2220" t="str">
        <f>"COS10200804 6934"</f>
        <v>COS10200804 6934</v>
      </c>
    </row>
    <row r="2221" spans="1:26" x14ac:dyDescent="0.25">
      <c r="A2221" t="str">
        <f t="shared" si="920"/>
        <v>04-08-2020 01:04:59</v>
      </c>
      <c r="B2221" t="str">
        <f>"0000808730"</f>
        <v>0000808730</v>
      </c>
      <c r="C2221" t="str">
        <f t="shared" si="921"/>
        <v>0000808597</v>
      </c>
      <c r="D2221" t="str">
        <f t="shared" si="899"/>
        <v>73185</v>
      </c>
      <c r="E2221" t="str">
        <f t="shared" si="900"/>
        <v>KFH-OPERATIONS DEPARTMENT</v>
      </c>
      <c r="F2221" t="str">
        <f t="shared" si="901"/>
        <v>IBG</v>
      </c>
      <c r="G2221" t="str">
        <f t="shared" si="916"/>
        <v>Refund COSHARE 10</v>
      </c>
      <c r="H2221" s="2">
        <v>363.7</v>
      </c>
      <c r="I2221" t="str">
        <f>"RASHIDI BIN ISMAIL"</f>
        <v>RASHIDI BIN ISMAIL</v>
      </c>
      <c r="J2221" t="str">
        <f t="shared" si="917"/>
        <v>MAYBANK / MAYBANK ISLAMIC</v>
      </c>
      <c r="K2221" t="str">
        <f>"164155560131"</f>
        <v>164155560131</v>
      </c>
      <c r="L2221" t="str">
        <f t="shared" si="918"/>
        <v>04-08-2020</v>
      </c>
      <c r="M2221" t="str">
        <f t="shared" si="918"/>
        <v>04-08-2020</v>
      </c>
      <c r="N2221" t="str">
        <f t="shared" si="902"/>
        <v>001105018356</v>
      </c>
      <c r="O2221" t="str">
        <f t="shared" si="903"/>
        <v>MYR</v>
      </c>
      <c r="P2221" t="str">
        <f t="shared" si="919"/>
        <v>NIL</v>
      </c>
      <c r="Q2221" t="str">
        <f t="shared" si="919"/>
        <v>NIL</v>
      </c>
      <c r="R2221" t="str">
        <f t="shared" si="904"/>
        <v>Accepted</v>
      </c>
      <c r="S2221" t="str">
        <f t="shared" si="905"/>
        <v>Approved</v>
      </c>
      <c r="T2221" t="str">
        <f t="shared" si="906"/>
        <v>10.20.8.188</v>
      </c>
      <c r="U2221" t="str">
        <f t="shared" si="907"/>
        <v>AZRAD UMAR BIN SHAARI</v>
      </c>
      <c r="V2221" t="str">
        <f t="shared" si="908"/>
        <v>FARHANA BINTI MUSTAPA</v>
      </c>
      <c r="W2221" t="str">
        <f t="shared" si="909"/>
        <v>04-08-2020</v>
      </c>
      <c r="X2221" t="str">
        <f t="shared" si="910"/>
        <v>RAZIMAH ANSAR AHMAD</v>
      </c>
      <c r="Y2221" t="str">
        <f t="shared" si="911"/>
        <v>04-08-2020</v>
      </c>
      <c r="Z2221" t="str">
        <f>"COS10200804 6933"</f>
        <v>COS10200804 6933</v>
      </c>
    </row>
    <row r="2222" spans="1:26" x14ac:dyDescent="0.25">
      <c r="A2222" t="str">
        <f t="shared" si="920"/>
        <v>04-08-2020 01:04:59</v>
      </c>
      <c r="B2222" t="str">
        <f>"0000808729"</f>
        <v>0000808729</v>
      </c>
      <c r="C2222" t="str">
        <f t="shared" si="921"/>
        <v>0000808597</v>
      </c>
      <c r="D2222" t="str">
        <f t="shared" si="899"/>
        <v>73185</v>
      </c>
      <c r="E2222" t="str">
        <f t="shared" si="900"/>
        <v>KFH-OPERATIONS DEPARTMENT</v>
      </c>
      <c r="F2222" t="str">
        <f t="shared" si="901"/>
        <v>IBG</v>
      </c>
      <c r="G2222" t="str">
        <f t="shared" si="916"/>
        <v>Refund COSHARE 10</v>
      </c>
      <c r="H2222" s="2">
        <v>930.95</v>
      </c>
      <c r="I2222" t="str">
        <f>"RASHIDAH BINTI IDRIS"</f>
        <v>RASHIDAH BINTI IDRIS</v>
      </c>
      <c r="J2222" t="str">
        <f t="shared" si="917"/>
        <v>MAYBANK / MAYBANK ISLAMIC</v>
      </c>
      <c r="K2222" t="str">
        <f>"158024003476"</f>
        <v>158024003476</v>
      </c>
      <c r="L2222" t="str">
        <f t="shared" si="918"/>
        <v>04-08-2020</v>
      </c>
      <c r="M2222" t="str">
        <f t="shared" si="918"/>
        <v>04-08-2020</v>
      </c>
      <c r="N2222" t="str">
        <f t="shared" si="902"/>
        <v>001105018356</v>
      </c>
      <c r="O2222" t="str">
        <f t="shared" si="903"/>
        <v>MYR</v>
      </c>
      <c r="P2222" t="str">
        <f t="shared" si="919"/>
        <v>NIL</v>
      </c>
      <c r="Q2222" t="str">
        <f t="shared" si="919"/>
        <v>NIL</v>
      </c>
      <c r="R2222" t="str">
        <f t="shared" si="904"/>
        <v>Accepted</v>
      </c>
      <c r="S2222" t="str">
        <f t="shared" si="905"/>
        <v>Approved</v>
      </c>
      <c r="T2222" t="str">
        <f t="shared" si="906"/>
        <v>10.20.8.188</v>
      </c>
      <c r="U2222" t="str">
        <f t="shared" si="907"/>
        <v>AZRAD UMAR BIN SHAARI</v>
      </c>
      <c r="V2222" t="str">
        <f t="shared" si="908"/>
        <v>FARHANA BINTI MUSTAPA</v>
      </c>
      <c r="W2222" t="str">
        <f t="shared" si="909"/>
        <v>04-08-2020</v>
      </c>
      <c r="X2222" t="str">
        <f t="shared" si="910"/>
        <v>RAZIMAH ANSAR AHMAD</v>
      </c>
      <c r="Y2222" t="str">
        <f t="shared" si="911"/>
        <v>04-08-2020</v>
      </c>
      <c r="Z2222" t="str">
        <f>"COS10200804 6932"</f>
        <v>COS10200804 6932</v>
      </c>
    </row>
    <row r="2223" spans="1:26" x14ac:dyDescent="0.25">
      <c r="A2223" t="str">
        <f t="shared" si="920"/>
        <v>04-08-2020 01:04:59</v>
      </c>
      <c r="B2223" t="str">
        <f>"0000808728"</f>
        <v>0000808728</v>
      </c>
      <c r="C2223" t="str">
        <f t="shared" si="921"/>
        <v>0000808597</v>
      </c>
      <c r="D2223" t="str">
        <f t="shared" si="899"/>
        <v>73185</v>
      </c>
      <c r="E2223" t="str">
        <f t="shared" si="900"/>
        <v>KFH-OPERATIONS DEPARTMENT</v>
      </c>
      <c r="F2223" t="str">
        <f t="shared" si="901"/>
        <v>IBG</v>
      </c>
      <c r="G2223" t="str">
        <f t="shared" si="916"/>
        <v>Refund COSHARE 10</v>
      </c>
      <c r="H2223" s="2">
        <v>1679</v>
      </c>
      <c r="I2223" t="str">
        <f>"RASHIDAH BINTI ABDUL GHANI"</f>
        <v>RASHIDAH BINTI ABDUL GHANI</v>
      </c>
      <c r="J2223" t="str">
        <f t="shared" si="917"/>
        <v>MAYBANK / MAYBANK ISLAMIC</v>
      </c>
      <c r="K2223" t="str">
        <f>"111114271257"</f>
        <v>111114271257</v>
      </c>
      <c r="L2223" t="str">
        <f t="shared" si="918"/>
        <v>04-08-2020</v>
      </c>
      <c r="M2223" t="str">
        <f t="shared" si="918"/>
        <v>04-08-2020</v>
      </c>
      <c r="N2223" t="str">
        <f t="shared" si="902"/>
        <v>001105018356</v>
      </c>
      <c r="O2223" t="str">
        <f t="shared" si="903"/>
        <v>MYR</v>
      </c>
      <c r="P2223" t="str">
        <f t="shared" si="919"/>
        <v>NIL</v>
      </c>
      <c r="Q2223" t="str">
        <f t="shared" si="919"/>
        <v>NIL</v>
      </c>
      <c r="R2223" t="str">
        <f t="shared" si="904"/>
        <v>Accepted</v>
      </c>
      <c r="S2223" t="str">
        <f t="shared" si="905"/>
        <v>Approved</v>
      </c>
      <c r="T2223" t="str">
        <f t="shared" si="906"/>
        <v>10.20.8.188</v>
      </c>
      <c r="U2223" t="str">
        <f t="shared" si="907"/>
        <v>AZRAD UMAR BIN SHAARI</v>
      </c>
      <c r="V2223" t="str">
        <f t="shared" si="908"/>
        <v>FARHANA BINTI MUSTAPA</v>
      </c>
      <c r="W2223" t="str">
        <f t="shared" si="909"/>
        <v>04-08-2020</v>
      </c>
      <c r="X2223" t="str">
        <f t="shared" si="910"/>
        <v>RAZIMAH ANSAR AHMAD</v>
      </c>
      <c r="Y2223" t="str">
        <f t="shared" si="911"/>
        <v>04-08-2020</v>
      </c>
      <c r="Z2223" t="str">
        <f>"COS10200804 6931"</f>
        <v>COS10200804 6931</v>
      </c>
    </row>
    <row r="2224" spans="1:26" x14ac:dyDescent="0.25">
      <c r="A2224" t="str">
        <f t="shared" si="920"/>
        <v>04-08-2020 01:04:59</v>
      </c>
      <c r="B2224" t="str">
        <f>"0000808727"</f>
        <v>0000808727</v>
      </c>
      <c r="C2224" t="str">
        <f t="shared" si="921"/>
        <v>0000808597</v>
      </c>
      <c r="D2224" t="str">
        <f t="shared" si="899"/>
        <v>73185</v>
      </c>
      <c r="E2224" t="str">
        <f t="shared" si="900"/>
        <v>KFH-OPERATIONS DEPARTMENT</v>
      </c>
      <c r="F2224" t="str">
        <f t="shared" si="901"/>
        <v>IBG</v>
      </c>
      <c r="G2224" t="str">
        <f t="shared" si="916"/>
        <v>Refund COSHARE 10</v>
      </c>
      <c r="H2224" s="2">
        <v>646.45000000000005</v>
      </c>
      <c r="I2224" t="str">
        <f>"RASHIDAH BINTI A RASHID"</f>
        <v>RASHIDAH BINTI A RASHID</v>
      </c>
      <c r="J2224" t="str">
        <f t="shared" si="917"/>
        <v>MAYBANK / MAYBANK ISLAMIC</v>
      </c>
      <c r="K2224" t="str">
        <f>"157091086825"</f>
        <v>157091086825</v>
      </c>
      <c r="L2224" t="str">
        <f t="shared" si="918"/>
        <v>04-08-2020</v>
      </c>
      <c r="M2224" t="str">
        <f t="shared" si="918"/>
        <v>04-08-2020</v>
      </c>
      <c r="N2224" t="str">
        <f t="shared" si="902"/>
        <v>001105018356</v>
      </c>
      <c r="O2224" t="str">
        <f t="shared" si="903"/>
        <v>MYR</v>
      </c>
      <c r="P2224" t="str">
        <f t="shared" si="919"/>
        <v>NIL</v>
      </c>
      <c r="Q2224" t="str">
        <f t="shared" si="919"/>
        <v>NIL</v>
      </c>
      <c r="R2224" t="str">
        <f t="shared" si="904"/>
        <v>Accepted</v>
      </c>
      <c r="S2224" t="str">
        <f t="shared" si="905"/>
        <v>Approved</v>
      </c>
      <c r="T2224" t="str">
        <f t="shared" si="906"/>
        <v>10.20.8.188</v>
      </c>
      <c r="U2224" t="str">
        <f t="shared" si="907"/>
        <v>AZRAD UMAR BIN SHAARI</v>
      </c>
      <c r="V2224" t="str">
        <f t="shared" si="908"/>
        <v>FARHANA BINTI MUSTAPA</v>
      </c>
      <c r="W2224" t="str">
        <f t="shared" si="909"/>
        <v>04-08-2020</v>
      </c>
      <c r="X2224" t="str">
        <f t="shared" si="910"/>
        <v>RAZIMAH ANSAR AHMAD</v>
      </c>
      <c r="Y2224" t="str">
        <f t="shared" si="911"/>
        <v>04-08-2020</v>
      </c>
      <c r="Z2224" t="str">
        <f>"COS10200804 6930"</f>
        <v>COS10200804 6930</v>
      </c>
    </row>
    <row r="2225" spans="1:26" x14ac:dyDescent="0.25">
      <c r="A2225" t="str">
        <f t="shared" si="920"/>
        <v>04-08-2020 01:04:59</v>
      </c>
      <c r="B2225" t="str">
        <f>"0000808726"</f>
        <v>0000808726</v>
      </c>
      <c r="C2225" t="str">
        <f t="shared" si="921"/>
        <v>0000808597</v>
      </c>
      <c r="D2225" t="str">
        <f t="shared" si="899"/>
        <v>73185</v>
      </c>
      <c r="E2225" t="str">
        <f t="shared" si="900"/>
        <v>KFH-OPERATIONS DEPARTMENT</v>
      </c>
      <c r="F2225" t="str">
        <f t="shared" si="901"/>
        <v>IBG</v>
      </c>
      <c r="G2225" t="str">
        <f t="shared" si="916"/>
        <v>Refund COSHARE 10</v>
      </c>
      <c r="H2225" s="2">
        <v>199</v>
      </c>
      <c r="I2225" t="str">
        <f>"RASAKI BIN YASIM"</f>
        <v>RASAKI BIN YASIM</v>
      </c>
      <c r="J2225" t="str">
        <f t="shared" si="917"/>
        <v>MAYBANK / MAYBANK ISLAMIC</v>
      </c>
      <c r="K2225" t="str">
        <f>"161079810700"</f>
        <v>161079810700</v>
      </c>
      <c r="L2225" t="str">
        <f t="shared" si="918"/>
        <v>04-08-2020</v>
      </c>
      <c r="M2225" t="str">
        <f t="shared" si="918"/>
        <v>04-08-2020</v>
      </c>
      <c r="N2225" t="str">
        <f t="shared" si="902"/>
        <v>001105018356</v>
      </c>
      <c r="O2225" t="str">
        <f t="shared" si="903"/>
        <v>MYR</v>
      </c>
      <c r="P2225" t="str">
        <f t="shared" si="919"/>
        <v>NIL</v>
      </c>
      <c r="Q2225" t="str">
        <f t="shared" si="919"/>
        <v>NIL</v>
      </c>
      <c r="R2225" t="str">
        <f t="shared" si="904"/>
        <v>Accepted</v>
      </c>
      <c r="S2225" t="str">
        <f t="shared" si="905"/>
        <v>Approved</v>
      </c>
      <c r="T2225" t="str">
        <f t="shared" si="906"/>
        <v>10.20.8.188</v>
      </c>
      <c r="U2225" t="str">
        <f t="shared" si="907"/>
        <v>AZRAD UMAR BIN SHAARI</v>
      </c>
      <c r="V2225" t="str">
        <f t="shared" si="908"/>
        <v>FARHANA BINTI MUSTAPA</v>
      </c>
      <c r="W2225" t="str">
        <f t="shared" si="909"/>
        <v>04-08-2020</v>
      </c>
      <c r="X2225" t="str">
        <f t="shared" si="910"/>
        <v>RAZIMAH ANSAR AHMAD</v>
      </c>
      <c r="Y2225" t="str">
        <f t="shared" si="911"/>
        <v>04-08-2020</v>
      </c>
      <c r="Z2225" t="str">
        <f>"COS10200804 6929"</f>
        <v>COS10200804 6929</v>
      </c>
    </row>
    <row r="2226" spans="1:26" x14ac:dyDescent="0.25">
      <c r="A2226" t="str">
        <f t="shared" si="920"/>
        <v>04-08-2020 01:04:59</v>
      </c>
      <c r="B2226" t="str">
        <f>"0000808725"</f>
        <v>0000808725</v>
      </c>
      <c r="C2226" t="str">
        <f t="shared" si="921"/>
        <v>0000808597</v>
      </c>
      <c r="D2226" t="str">
        <f t="shared" si="899"/>
        <v>73185</v>
      </c>
      <c r="E2226" t="str">
        <f t="shared" si="900"/>
        <v>KFH-OPERATIONS DEPARTMENT</v>
      </c>
      <c r="F2226" t="str">
        <f t="shared" si="901"/>
        <v>IBG</v>
      </c>
      <c r="G2226" t="str">
        <f t="shared" si="916"/>
        <v>Refund COSHARE 10</v>
      </c>
      <c r="H2226" s="2">
        <v>62.1</v>
      </c>
      <c r="I2226" t="str">
        <f>"RARY ANAK BINJIE"</f>
        <v>RARY ANAK BINJIE</v>
      </c>
      <c r="J2226" t="str">
        <f t="shared" si="917"/>
        <v>MAYBANK / MAYBANK ISLAMIC</v>
      </c>
      <c r="K2226" t="str">
        <f>"161024415241"</f>
        <v>161024415241</v>
      </c>
      <c r="L2226" t="str">
        <f t="shared" si="918"/>
        <v>04-08-2020</v>
      </c>
      <c r="M2226" t="str">
        <f t="shared" si="918"/>
        <v>04-08-2020</v>
      </c>
      <c r="N2226" t="str">
        <f t="shared" si="902"/>
        <v>001105018356</v>
      </c>
      <c r="O2226" t="str">
        <f t="shared" si="903"/>
        <v>MYR</v>
      </c>
      <c r="P2226" t="str">
        <f t="shared" si="919"/>
        <v>NIL</v>
      </c>
      <c r="Q2226" t="str">
        <f t="shared" si="919"/>
        <v>NIL</v>
      </c>
      <c r="R2226" t="str">
        <f t="shared" si="904"/>
        <v>Accepted</v>
      </c>
      <c r="S2226" t="str">
        <f t="shared" si="905"/>
        <v>Approved</v>
      </c>
      <c r="T2226" t="str">
        <f t="shared" si="906"/>
        <v>10.20.8.188</v>
      </c>
      <c r="U2226" t="str">
        <f t="shared" si="907"/>
        <v>AZRAD UMAR BIN SHAARI</v>
      </c>
      <c r="V2226" t="str">
        <f t="shared" si="908"/>
        <v>FARHANA BINTI MUSTAPA</v>
      </c>
      <c r="W2226" t="str">
        <f t="shared" si="909"/>
        <v>04-08-2020</v>
      </c>
      <c r="X2226" t="str">
        <f t="shared" si="910"/>
        <v>RAZIMAH ANSAR AHMAD</v>
      </c>
      <c r="Y2226" t="str">
        <f t="shared" si="911"/>
        <v>04-08-2020</v>
      </c>
      <c r="Z2226" t="str">
        <f>"COS10200804 6928"</f>
        <v>COS10200804 6928</v>
      </c>
    </row>
    <row r="2227" spans="1:26" x14ac:dyDescent="0.25">
      <c r="A2227" t="str">
        <f t="shared" si="920"/>
        <v>04-08-2020 01:04:59</v>
      </c>
      <c r="B2227" t="str">
        <f>"0000808724"</f>
        <v>0000808724</v>
      </c>
      <c r="C2227" t="str">
        <f t="shared" si="921"/>
        <v>0000808597</v>
      </c>
      <c r="D2227" t="str">
        <f t="shared" si="899"/>
        <v>73185</v>
      </c>
      <c r="E2227" t="str">
        <f t="shared" si="900"/>
        <v>KFH-OPERATIONS DEPARTMENT</v>
      </c>
      <c r="F2227" t="str">
        <f t="shared" si="901"/>
        <v>IBG</v>
      </c>
      <c r="G2227" t="str">
        <f t="shared" si="916"/>
        <v>Refund COSHARE 10</v>
      </c>
      <c r="H2227" s="2">
        <v>42</v>
      </c>
      <c r="I2227" t="str">
        <f>"RANO BIN MARSONO"</f>
        <v>RANO BIN MARSONO</v>
      </c>
      <c r="J2227" t="str">
        <f t="shared" si="917"/>
        <v>MAYBANK / MAYBANK ISLAMIC</v>
      </c>
      <c r="K2227" t="str">
        <f>"101076038603"</f>
        <v>101076038603</v>
      </c>
      <c r="L2227" t="str">
        <f t="shared" ref="L2227:M2246" si="922">"04-08-2020"</f>
        <v>04-08-2020</v>
      </c>
      <c r="M2227" t="str">
        <f t="shared" si="922"/>
        <v>04-08-2020</v>
      </c>
      <c r="N2227" t="str">
        <f t="shared" si="902"/>
        <v>001105018356</v>
      </c>
      <c r="O2227" t="str">
        <f t="shared" si="903"/>
        <v>MYR</v>
      </c>
      <c r="P2227" t="str">
        <f t="shared" ref="P2227:Q2246" si="923">"NIL"</f>
        <v>NIL</v>
      </c>
      <c r="Q2227" t="str">
        <f t="shared" si="923"/>
        <v>NIL</v>
      </c>
      <c r="R2227" t="str">
        <f t="shared" si="904"/>
        <v>Accepted</v>
      </c>
      <c r="S2227" t="str">
        <f t="shared" si="905"/>
        <v>Approved</v>
      </c>
      <c r="T2227" t="str">
        <f t="shared" si="906"/>
        <v>10.20.8.188</v>
      </c>
      <c r="U2227" t="str">
        <f t="shared" si="907"/>
        <v>AZRAD UMAR BIN SHAARI</v>
      </c>
      <c r="V2227" t="str">
        <f t="shared" si="908"/>
        <v>FARHANA BINTI MUSTAPA</v>
      </c>
      <c r="W2227" t="str">
        <f t="shared" si="909"/>
        <v>04-08-2020</v>
      </c>
      <c r="X2227" t="str">
        <f t="shared" si="910"/>
        <v>RAZIMAH ANSAR AHMAD</v>
      </c>
      <c r="Y2227" t="str">
        <f t="shared" si="911"/>
        <v>04-08-2020</v>
      </c>
      <c r="Z2227" t="str">
        <f>"COS10200804 6927"</f>
        <v>COS10200804 6927</v>
      </c>
    </row>
    <row r="2228" spans="1:26" x14ac:dyDescent="0.25">
      <c r="A2228" t="str">
        <f t="shared" si="920"/>
        <v>04-08-2020 01:04:59</v>
      </c>
      <c r="B2228" t="str">
        <f>"0000808723"</f>
        <v>0000808723</v>
      </c>
      <c r="C2228" t="str">
        <f t="shared" si="921"/>
        <v>0000808597</v>
      </c>
      <c r="D2228" t="str">
        <f t="shared" si="899"/>
        <v>73185</v>
      </c>
      <c r="E2228" t="str">
        <f t="shared" si="900"/>
        <v>KFH-OPERATIONS DEPARTMENT</v>
      </c>
      <c r="F2228" t="str">
        <f t="shared" si="901"/>
        <v>IBG</v>
      </c>
      <c r="G2228" t="str">
        <f t="shared" si="916"/>
        <v>Refund COSHARE 10</v>
      </c>
      <c r="H2228" s="2">
        <v>889.9</v>
      </c>
      <c r="I2228" t="str">
        <f>"RAMULIANTO BIN MOHRAM"</f>
        <v>RAMULIANTO BIN MOHRAM</v>
      </c>
      <c r="J2228" t="str">
        <f t="shared" si="917"/>
        <v>MAYBANK / MAYBANK ISLAMIC</v>
      </c>
      <c r="K2228" t="str">
        <f>"161015849828"</f>
        <v>161015849828</v>
      </c>
      <c r="L2228" t="str">
        <f t="shared" si="922"/>
        <v>04-08-2020</v>
      </c>
      <c r="M2228" t="str">
        <f t="shared" si="922"/>
        <v>04-08-2020</v>
      </c>
      <c r="N2228" t="str">
        <f t="shared" si="902"/>
        <v>001105018356</v>
      </c>
      <c r="O2228" t="str">
        <f t="shared" si="903"/>
        <v>MYR</v>
      </c>
      <c r="P2228" t="str">
        <f t="shared" si="923"/>
        <v>NIL</v>
      </c>
      <c r="Q2228" t="str">
        <f t="shared" si="923"/>
        <v>NIL</v>
      </c>
      <c r="R2228" t="str">
        <f t="shared" si="904"/>
        <v>Accepted</v>
      </c>
      <c r="S2228" t="str">
        <f t="shared" si="905"/>
        <v>Approved</v>
      </c>
      <c r="T2228" t="str">
        <f t="shared" si="906"/>
        <v>10.20.8.188</v>
      </c>
      <c r="U2228" t="str">
        <f t="shared" si="907"/>
        <v>AZRAD UMAR BIN SHAARI</v>
      </c>
      <c r="V2228" t="str">
        <f t="shared" si="908"/>
        <v>FARHANA BINTI MUSTAPA</v>
      </c>
      <c r="W2228" t="str">
        <f t="shared" si="909"/>
        <v>04-08-2020</v>
      </c>
      <c r="X2228" t="str">
        <f t="shared" si="910"/>
        <v>RAZIMAH ANSAR AHMAD</v>
      </c>
      <c r="Y2228" t="str">
        <f t="shared" si="911"/>
        <v>04-08-2020</v>
      </c>
      <c r="Z2228" t="str">
        <f>"COS10200804 6926"</f>
        <v>COS10200804 6926</v>
      </c>
    </row>
    <row r="2229" spans="1:26" x14ac:dyDescent="0.25">
      <c r="A2229" t="str">
        <f t="shared" si="920"/>
        <v>04-08-2020 01:04:59</v>
      </c>
      <c r="B2229" t="str">
        <f>"0000808722"</f>
        <v>0000808722</v>
      </c>
      <c r="C2229" t="str">
        <f t="shared" si="921"/>
        <v>0000808597</v>
      </c>
      <c r="D2229" t="str">
        <f t="shared" si="899"/>
        <v>73185</v>
      </c>
      <c r="E2229" t="str">
        <f t="shared" si="900"/>
        <v>KFH-OPERATIONS DEPARTMENT</v>
      </c>
      <c r="F2229" t="str">
        <f t="shared" si="901"/>
        <v>IBG</v>
      </c>
      <c r="G2229" t="str">
        <f t="shared" si="916"/>
        <v>Refund COSHARE 10</v>
      </c>
      <c r="H2229" s="2">
        <v>491.15</v>
      </c>
      <c r="I2229" t="str">
        <f>"RAMLIE BIN SHARI"</f>
        <v>RAMLIE BIN SHARI</v>
      </c>
      <c r="J2229" t="str">
        <f t="shared" si="917"/>
        <v>MAYBANK / MAYBANK ISLAMIC</v>
      </c>
      <c r="K2229" t="str">
        <f>"111132095046"</f>
        <v>111132095046</v>
      </c>
      <c r="L2229" t="str">
        <f t="shared" si="922"/>
        <v>04-08-2020</v>
      </c>
      <c r="M2229" t="str">
        <f t="shared" si="922"/>
        <v>04-08-2020</v>
      </c>
      <c r="N2229" t="str">
        <f t="shared" si="902"/>
        <v>001105018356</v>
      </c>
      <c r="O2229" t="str">
        <f t="shared" si="903"/>
        <v>MYR</v>
      </c>
      <c r="P2229" t="str">
        <f t="shared" si="923"/>
        <v>NIL</v>
      </c>
      <c r="Q2229" t="str">
        <f t="shared" si="923"/>
        <v>NIL</v>
      </c>
      <c r="R2229" t="str">
        <f t="shared" si="904"/>
        <v>Accepted</v>
      </c>
      <c r="S2229" t="str">
        <f t="shared" si="905"/>
        <v>Approved</v>
      </c>
      <c r="T2229" t="str">
        <f t="shared" si="906"/>
        <v>10.20.8.188</v>
      </c>
      <c r="U2229" t="str">
        <f t="shared" si="907"/>
        <v>AZRAD UMAR BIN SHAARI</v>
      </c>
      <c r="V2229" t="str">
        <f t="shared" si="908"/>
        <v>FARHANA BINTI MUSTAPA</v>
      </c>
      <c r="W2229" t="str">
        <f t="shared" si="909"/>
        <v>04-08-2020</v>
      </c>
      <c r="X2229" t="str">
        <f t="shared" si="910"/>
        <v>RAZIMAH ANSAR AHMAD</v>
      </c>
      <c r="Y2229" t="str">
        <f t="shared" si="911"/>
        <v>04-08-2020</v>
      </c>
      <c r="Z2229" t="str">
        <f>"COS10200804 6925"</f>
        <v>COS10200804 6925</v>
      </c>
    </row>
    <row r="2230" spans="1:26" x14ac:dyDescent="0.25">
      <c r="A2230" t="str">
        <f t="shared" si="920"/>
        <v>04-08-2020 01:04:59</v>
      </c>
      <c r="B2230" t="str">
        <f>"0000808721"</f>
        <v>0000808721</v>
      </c>
      <c r="C2230" t="str">
        <f t="shared" si="921"/>
        <v>0000808597</v>
      </c>
      <c r="D2230" t="str">
        <f t="shared" si="899"/>
        <v>73185</v>
      </c>
      <c r="E2230" t="str">
        <f t="shared" si="900"/>
        <v>KFH-OPERATIONS DEPARTMENT</v>
      </c>
      <c r="F2230" t="str">
        <f t="shared" si="901"/>
        <v>IBG</v>
      </c>
      <c r="G2230" t="str">
        <f t="shared" si="916"/>
        <v>Refund COSHARE 10</v>
      </c>
      <c r="H2230" s="2">
        <v>501</v>
      </c>
      <c r="I2230" t="str">
        <f>"RAMLI BIN HASHIM"</f>
        <v>RAMLI BIN HASHIM</v>
      </c>
      <c r="J2230" t="str">
        <f t="shared" si="917"/>
        <v>MAYBANK / MAYBANK ISLAMIC</v>
      </c>
      <c r="K2230" t="str">
        <f>"162151643242"</f>
        <v>162151643242</v>
      </c>
      <c r="L2230" t="str">
        <f t="shared" si="922"/>
        <v>04-08-2020</v>
      </c>
      <c r="M2230" t="str">
        <f t="shared" si="922"/>
        <v>04-08-2020</v>
      </c>
      <c r="N2230" t="str">
        <f t="shared" si="902"/>
        <v>001105018356</v>
      </c>
      <c r="O2230" t="str">
        <f t="shared" si="903"/>
        <v>MYR</v>
      </c>
      <c r="P2230" t="str">
        <f t="shared" si="923"/>
        <v>NIL</v>
      </c>
      <c r="Q2230" t="str">
        <f t="shared" si="923"/>
        <v>NIL</v>
      </c>
      <c r="R2230" t="str">
        <f t="shared" si="904"/>
        <v>Accepted</v>
      </c>
      <c r="S2230" t="str">
        <f t="shared" si="905"/>
        <v>Approved</v>
      </c>
      <c r="T2230" t="str">
        <f t="shared" si="906"/>
        <v>10.20.8.188</v>
      </c>
      <c r="U2230" t="str">
        <f t="shared" si="907"/>
        <v>AZRAD UMAR BIN SHAARI</v>
      </c>
      <c r="V2230" t="str">
        <f t="shared" si="908"/>
        <v>FARHANA BINTI MUSTAPA</v>
      </c>
      <c r="W2230" t="str">
        <f t="shared" si="909"/>
        <v>04-08-2020</v>
      </c>
      <c r="X2230" t="str">
        <f t="shared" si="910"/>
        <v>RAZIMAH ANSAR AHMAD</v>
      </c>
      <c r="Y2230" t="str">
        <f t="shared" si="911"/>
        <v>04-08-2020</v>
      </c>
      <c r="Z2230" t="str">
        <f>"COS10200804 6924"</f>
        <v>COS10200804 6924</v>
      </c>
    </row>
    <row r="2231" spans="1:26" x14ac:dyDescent="0.25">
      <c r="A2231" t="str">
        <f t="shared" si="920"/>
        <v>04-08-2020 01:04:59</v>
      </c>
      <c r="B2231" t="str">
        <f>"0000808720"</f>
        <v>0000808720</v>
      </c>
      <c r="C2231" t="str">
        <f t="shared" si="921"/>
        <v>0000808597</v>
      </c>
      <c r="D2231" t="str">
        <f t="shared" si="899"/>
        <v>73185</v>
      </c>
      <c r="E2231" t="str">
        <f t="shared" si="900"/>
        <v>KFH-OPERATIONS DEPARTMENT</v>
      </c>
      <c r="F2231" t="str">
        <f t="shared" si="901"/>
        <v>IBG</v>
      </c>
      <c r="G2231" t="str">
        <f t="shared" si="916"/>
        <v>Refund COSHARE 10</v>
      </c>
      <c r="H2231" s="2">
        <v>1586.65</v>
      </c>
      <c r="I2231" t="str">
        <f>"RAMLAH BINTI TAHANG"</f>
        <v>RAMLAH BINTI TAHANG</v>
      </c>
      <c r="J2231" t="str">
        <f t="shared" si="917"/>
        <v>MAYBANK / MAYBANK ISLAMIC</v>
      </c>
      <c r="K2231" t="str">
        <f>"160111250798"</f>
        <v>160111250798</v>
      </c>
      <c r="L2231" t="str">
        <f t="shared" si="922"/>
        <v>04-08-2020</v>
      </c>
      <c r="M2231" t="str">
        <f t="shared" si="922"/>
        <v>04-08-2020</v>
      </c>
      <c r="N2231" t="str">
        <f t="shared" si="902"/>
        <v>001105018356</v>
      </c>
      <c r="O2231" t="str">
        <f t="shared" si="903"/>
        <v>MYR</v>
      </c>
      <c r="P2231" t="str">
        <f t="shared" si="923"/>
        <v>NIL</v>
      </c>
      <c r="Q2231" t="str">
        <f t="shared" si="923"/>
        <v>NIL</v>
      </c>
      <c r="R2231" t="str">
        <f t="shared" si="904"/>
        <v>Accepted</v>
      </c>
      <c r="S2231" t="str">
        <f t="shared" si="905"/>
        <v>Approved</v>
      </c>
      <c r="T2231" t="str">
        <f t="shared" si="906"/>
        <v>10.20.8.188</v>
      </c>
      <c r="U2231" t="str">
        <f t="shared" si="907"/>
        <v>AZRAD UMAR BIN SHAARI</v>
      </c>
      <c r="V2231" t="str">
        <f t="shared" si="908"/>
        <v>FARHANA BINTI MUSTAPA</v>
      </c>
      <c r="W2231" t="str">
        <f t="shared" si="909"/>
        <v>04-08-2020</v>
      </c>
      <c r="X2231" t="str">
        <f t="shared" si="910"/>
        <v>RAZIMAH ANSAR AHMAD</v>
      </c>
      <c r="Y2231" t="str">
        <f t="shared" si="911"/>
        <v>04-08-2020</v>
      </c>
      <c r="Z2231" t="str">
        <f>"COS10200804 6923"</f>
        <v>COS10200804 6923</v>
      </c>
    </row>
    <row r="2232" spans="1:26" x14ac:dyDescent="0.25">
      <c r="A2232" t="str">
        <f t="shared" si="920"/>
        <v>04-08-2020 01:04:59</v>
      </c>
      <c r="B2232" t="str">
        <f>"0000808719"</f>
        <v>0000808719</v>
      </c>
      <c r="C2232" t="str">
        <f t="shared" si="921"/>
        <v>0000808597</v>
      </c>
      <c r="D2232" t="str">
        <f t="shared" si="899"/>
        <v>73185</v>
      </c>
      <c r="E2232" t="str">
        <f t="shared" si="900"/>
        <v>KFH-OPERATIONS DEPARTMENT</v>
      </c>
      <c r="F2232" t="str">
        <f t="shared" si="901"/>
        <v>IBG</v>
      </c>
      <c r="G2232" t="str">
        <f t="shared" si="916"/>
        <v>Refund COSHARE 10</v>
      </c>
      <c r="H2232" s="2">
        <v>297</v>
      </c>
      <c r="I2232" t="str">
        <f>"RAMLAH BINTI OMAR"</f>
        <v>RAMLAH BINTI OMAR</v>
      </c>
      <c r="J2232" t="str">
        <f t="shared" si="917"/>
        <v>MAYBANK / MAYBANK ISLAMIC</v>
      </c>
      <c r="K2232" t="str">
        <f>"111114063964"</f>
        <v>111114063964</v>
      </c>
      <c r="L2232" t="str">
        <f t="shared" si="922"/>
        <v>04-08-2020</v>
      </c>
      <c r="M2232" t="str">
        <f t="shared" si="922"/>
        <v>04-08-2020</v>
      </c>
      <c r="N2232" t="str">
        <f t="shared" si="902"/>
        <v>001105018356</v>
      </c>
      <c r="O2232" t="str">
        <f t="shared" si="903"/>
        <v>MYR</v>
      </c>
      <c r="P2232" t="str">
        <f t="shared" si="923"/>
        <v>NIL</v>
      </c>
      <c r="Q2232" t="str">
        <f t="shared" si="923"/>
        <v>NIL</v>
      </c>
      <c r="R2232" t="str">
        <f t="shared" si="904"/>
        <v>Accepted</v>
      </c>
      <c r="S2232" t="str">
        <f t="shared" si="905"/>
        <v>Approved</v>
      </c>
      <c r="T2232" t="str">
        <f t="shared" si="906"/>
        <v>10.20.8.188</v>
      </c>
      <c r="U2232" t="str">
        <f t="shared" si="907"/>
        <v>AZRAD UMAR BIN SHAARI</v>
      </c>
      <c r="V2232" t="str">
        <f t="shared" si="908"/>
        <v>FARHANA BINTI MUSTAPA</v>
      </c>
      <c r="W2232" t="str">
        <f t="shared" si="909"/>
        <v>04-08-2020</v>
      </c>
      <c r="X2232" t="str">
        <f t="shared" si="910"/>
        <v>RAZIMAH ANSAR AHMAD</v>
      </c>
      <c r="Y2232" t="str">
        <f t="shared" si="911"/>
        <v>04-08-2020</v>
      </c>
      <c r="Z2232" t="str">
        <f>"COS10200804 6922"</f>
        <v>COS10200804 6922</v>
      </c>
    </row>
    <row r="2233" spans="1:26" x14ac:dyDescent="0.25">
      <c r="A2233" t="str">
        <f t="shared" si="920"/>
        <v>04-08-2020 01:04:59</v>
      </c>
      <c r="B2233" t="str">
        <f>"0000808718"</f>
        <v>0000808718</v>
      </c>
      <c r="C2233" t="str">
        <f t="shared" si="921"/>
        <v>0000808597</v>
      </c>
      <c r="D2233" t="str">
        <f t="shared" si="899"/>
        <v>73185</v>
      </c>
      <c r="E2233" t="str">
        <f t="shared" si="900"/>
        <v>KFH-OPERATIONS DEPARTMENT</v>
      </c>
      <c r="F2233" t="str">
        <f t="shared" si="901"/>
        <v>IBG</v>
      </c>
      <c r="G2233" t="str">
        <f t="shared" si="916"/>
        <v>Refund COSHARE 10</v>
      </c>
      <c r="H2233" s="2">
        <v>713.6</v>
      </c>
      <c r="I2233" t="str">
        <f>"RAMESH AL SANASI"</f>
        <v>RAMESH AL SANASI</v>
      </c>
      <c r="J2233" t="str">
        <f t="shared" si="917"/>
        <v>MAYBANK / MAYBANK ISLAMIC</v>
      </c>
      <c r="K2233" t="str">
        <f>"160102256534"</f>
        <v>160102256534</v>
      </c>
      <c r="L2233" t="str">
        <f t="shared" si="922"/>
        <v>04-08-2020</v>
      </c>
      <c r="M2233" t="str">
        <f t="shared" si="922"/>
        <v>04-08-2020</v>
      </c>
      <c r="N2233" t="str">
        <f t="shared" si="902"/>
        <v>001105018356</v>
      </c>
      <c r="O2233" t="str">
        <f t="shared" si="903"/>
        <v>MYR</v>
      </c>
      <c r="P2233" t="str">
        <f t="shared" si="923"/>
        <v>NIL</v>
      </c>
      <c r="Q2233" t="str">
        <f t="shared" si="923"/>
        <v>NIL</v>
      </c>
      <c r="R2233" t="str">
        <f t="shared" si="904"/>
        <v>Accepted</v>
      </c>
      <c r="S2233" t="str">
        <f t="shared" si="905"/>
        <v>Approved</v>
      </c>
      <c r="T2233" t="str">
        <f t="shared" si="906"/>
        <v>10.20.8.188</v>
      </c>
      <c r="U2233" t="str">
        <f t="shared" si="907"/>
        <v>AZRAD UMAR BIN SHAARI</v>
      </c>
      <c r="V2233" t="str">
        <f t="shared" si="908"/>
        <v>FARHANA BINTI MUSTAPA</v>
      </c>
      <c r="W2233" t="str">
        <f t="shared" si="909"/>
        <v>04-08-2020</v>
      </c>
      <c r="X2233" t="str">
        <f t="shared" si="910"/>
        <v>RAZIMAH ANSAR AHMAD</v>
      </c>
      <c r="Y2233" t="str">
        <f t="shared" si="911"/>
        <v>04-08-2020</v>
      </c>
      <c r="Z2233" t="str">
        <f>"COS10200804 6921"</f>
        <v>COS10200804 6921</v>
      </c>
    </row>
    <row r="2234" spans="1:26" x14ac:dyDescent="0.25">
      <c r="A2234" t="str">
        <f t="shared" si="920"/>
        <v>04-08-2020 01:04:59</v>
      </c>
      <c r="B2234" t="str">
        <f>"0000808717"</f>
        <v>0000808717</v>
      </c>
      <c r="C2234" t="str">
        <f t="shared" si="921"/>
        <v>0000808597</v>
      </c>
      <c r="D2234" t="str">
        <f t="shared" si="899"/>
        <v>73185</v>
      </c>
      <c r="E2234" t="str">
        <f t="shared" si="900"/>
        <v>KFH-OPERATIONS DEPARTMENT</v>
      </c>
      <c r="F2234" t="str">
        <f t="shared" si="901"/>
        <v>IBG</v>
      </c>
      <c r="G2234" t="str">
        <f t="shared" si="916"/>
        <v>Refund COSHARE 10</v>
      </c>
      <c r="H2234" s="2">
        <v>42</v>
      </c>
      <c r="I2234" t="str">
        <f>"RAMBLIE BIN AMIT"</f>
        <v>RAMBLIE BIN AMIT</v>
      </c>
      <c r="J2234" t="str">
        <f t="shared" si="917"/>
        <v>MAYBANK / MAYBANK ISLAMIC</v>
      </c>
      <c r="K2234" t="str">
        <f>"161024413911"</f>
        <v>161024413911</v>
      </c>
      <c r="L2234" t="str">
        <f t="shared" si="922"/>
        <v>04-08-2020</v>
      </c>
      <c r="M2234" t="str">
        <f t="shared" si="922"/>
        <v>04-08-2020</v>
      </c>
      <c r="N2234" t="str">
        <f t="shared" si="902"/>
        <v>001105018356</v>
      </c>
      <c r="O2234" t="str">
        <f t="shared" si="903"/>
        <v>MYR</v>
      </c>
      <c r="P2234" t="str">
        <f t="shared" si="923"/>
        <v>NIL</v>
      </c>
      <c r="Q2234" t="str">
        <f t="shared" si="923"/>
        <v>NIL</v>
      </c>
      <c r="R2234" t="str">
        <f t="shared" si="904"/>
        <v>Accepted</v>
      </c>
      <c r="S2234" t="str">
        <f t="shared" si="905"/>
        <v>Approved</v>
      </c>
      <c r="T2234" t="str">
        <f t="shared" si="906"/>
        <v>10.20.8.188</v>
      </c>
      <c r="U2234" t="str">
        <f t="shared" si="907"/>
        <v>AZRAD UMAR BIN SHAARI</v>
      </c>
      <c r="V2234" t="str">
        <f t="shared" si="908"/>
        <v>FARHANA BINTI MUSTAPA</v>
      </c>
      <c r="W2234" t="str">
        <f t="shared" si="909"/>
        <v>04-08-2020</v>
      </c>
      <c r="X2234" t="str">
        <f t="shared" si="910"/>
        <v>RAZIMAH ANSAR AHMAD</v>
      </c>
      <c r="Y2234" t="str">
        <f t="shared" si="911"/>
        <v>04-08-2020</v>
      </c>
      <c r="Z2234" t="str">
        <f>"COS10200804 6920"</f>
        <v>COS10200804 6920</v>
      </c>
    </row>
    <row r="2235" spans="1:26" x14ac:dyDescent="0.25">
      <c r="A2235" t="str">
        <f t="shared" si="920"/>
        <v>04-08-2020 01:04:59</v>
      </c>
      <c r="B2235" t="str">
        <f>"0000808716"</f>
        <v>0000808716</v>
      </c>
      <c r="C2235" t="str">
        <f t="shared" si="921"/>
        <v>0000808597</v>
      </c>
      <c r="D2235" t="str">
        <f t="shared" si="899"/>
        <v>73185</v>
      </c>
      <c r="E2235" t="str">
        <f t="shared" si="900"/>
        <v>KFH-OPERATIONS DEPARTMENT</v>
      </c>
      <c r="F2235" t="str">
        <f t="shared" si="901"/>
        <v>IBG</v>
      </c>
      <c r="G2235" t="str">
        <f t="shared" si="916"/>
        <v>Refund COSHARE 10</v>
      </c>
      <c r="H2235" s="2">
        <v>403</v>
      </c>
      <c r="I2235" t="str">
        <f>"RALS BIN BENJAMIN YAKOD"</f>
        <v>RALS BIN BENJAMIN YAKOD</v>
      </c>
      <c r="J2235" t="str">
        <f t="shared" si="917"/>
        <v>MAYBANK / MAYBANK ISLAMIC</v>
      </c>
      <c r="K2235" t="str">
        <f>"110050091648"</f>
        <v>110050091648</v>
      </c>
      <c r="L2235" t="str">
        <f t="shared" si="922"/>
        <v>04-08-2020</v>
      </c>
      <c r="M2235" t="str">
        <f t="shared" si="922"/>
        <v>04-08-2020</v>
      </c>
      <c r="N2235" t="str">
        <f t="shared" si="902"/>
        <v>001105018356</v>
      </c>
      <c r="O2235" t="str">
        <f t="shared" si="903"/>
        <v>MYR</v>
      </c>
      <c r="P2235" t="str">
        <f t="shared" si="923"/>
        <v>NIL</v>
      </c>
      <c r="Q2235" t="str">
        <f t="shared" si="923"/>
        <v>NIL</v>
      </c>
      <c r="R2235" t="str">
        <f t="shared" si="904"/>
        <v>Accepted</v>
      </c>
      <c r="S2235" t="str">
        <f t="shared" si="905"/>
        <v>Approved</v>
      </c>
      <c r="T2235" t="str">
        <f t="shared" si="906"/>
        <v>10.20.8.188</v>
      </c>
      <c r="U2235" t="str">
        <f t="shared" si="907"/>
        <v>AZRAD UMAR BIN SHAARI</v>
      </c>
      <c r="V2235" t="str">
        <f t="shared" si="908"/>
        <v>FARHANA BINTI MUSTAPA</v>
      </c>
      <c r="W2235" t="str">
        <f t="shared" si="909"/>
        <v>04-08-2020</v>
      </c>
      <c r="X2235" t="str">
        <f t="shared" si="910"/>
        <v>RAZIMAH ANSAR AHMAD</v>
      </c>
      <c r="Y2235" t="str">
        <f t="shared" si="911"/>
        <v>04-08-2020</v>
      </c>
      <c r="Z2235" t="str">
        <f>"COS10200804 6919"</f>
        <v>COS10200804 6919</v>
      </c>
    </row>
    <row r="2236" spans="1:26" x14ac:dyDescent="0.25">
      <c r="A2236" t="str">
        <f t="shared" si="920"/>
        <v>04-08-2020 01:04:59</v>
      </c>
      <c r="B2236" t="str">
        <f>"0000808715"</f>
        <v>0000808715</v>
      </c>
      <c r="C2236" t="str">
        <f t="shared" si="921"/>
        <v>0000808597</v>
      </c>
      <c r="D2236" t="str">
        <f t="shared" si="899"/>
        <v>73185</v>
      </c>
      <c r="E2236" t="str">
        <f t="shared" si="900"/>
        <v>KFH-OPERATIONS DEPARTMENT</v>
      </c>
      <c r="F2236" t="str">
        <f t="shared" si="901"/>
        <v>IBG</v>
      </c>
      <c r="G2236" t="str">
        <f t="shared" si="916"/>
        <v>Refund COSHARE 10</v>
      </c>
      <c r="H2236" s="2">
        <v>168</v>
      </c>
      <c r="I2236" t="str">
        <f>"RALS BIN BENJAMIN YAKOD"</f>
        <v>RALS BIN BENJAMIN YAKOD</v>
      </c>
      <c r="J2236" t="str">
        <f t="shared" si="917"/>
        <v>MAYBANK / MAYBANK ISLAMIC</v>
      </c>
      <c r="K2236" t="str">
        <f>"110050091648"</f>
        <v>110050091648</v>
      </c>
      <c r="L2236" t="str">
        <f t="shared" si="922"/>
        <v>04-08-2020</v>
      </c>
      <c r="M2236" t="str">
        <f t="shared" si="922"/>
        <v>04-08-2020</v>
      </c>
      <c r="N2236" t="str">
        <f t="shared" si="902"/>
        <v>001105018356</v>
      </c>
      <c r="O2236" t="str">
        <f t="shared" si="903"/>
        <v>MYR</v>
      </c>
      <c r="P2236" t="str">
        <f t="shared" si="923"/>
        <v>NIL</v>
      </c>
      <c r="Q2236" t="str">
        <f t="shared" si="923"/>
        <v>NIL</v>
      </c>
      <c r="R2236" t="str">
        <f t="shared" si="904"/>
        <v>Accepted</v>
      </c>
      <c r="S2236" t="str">
        <f t="shared" si="905"/>
        <v>Approved</v>
      </c>
      <c r="T2236" t="str">
        <f t="shared" si="906"/>
        <v>10.20.8.188</v>
      </c>
      <c r="U2236" t="str">
        <f t="shared" si="907"/>
        <v>AZRAD UMAR BIN SHAARI</v>
      </c>
      <c r="V2236" t="str">
        <f t="shared" si="908"/>
        <v>FARHANA BINTI MUSTAPA</v>
      </c>
      <c r="W2236" t="str">
        <f t="shared" si="909"/>
        <v>04-08-2020</v>
      </c>
      <c r="X2236" t="str">
        <f t="shared" si="910"/>
        <v>RAZIMAH ANSAR AHMAD</v>
      </c>
      <c r="Y2236" t="str">
        <f t="shared" si="911"/>
        <v>04-08-2020</v>
      </c>
      <c r="Z2236" t="str">
        <f>"COS10200804 6918"</f>
        <v>COS10200804 6918</v>
      </c>
    </row>
    <row r="2237" spans="1:26" x14ac:dyDescent="0.25">
      <c r="A2237" t="str">
        <f t="shared" si="920"/>
        <v>04-08-2020 01:04:59</v>
      </c>
      <c r="B2237" t="str">
        <f>"0000808714"</f>
        <v>0000808714</v>
      </c>
      <c r="C2237" t="str">
        <f t="shared" si="921"/>
        <v>0000808597</v>
      </c>
      <c r="D2237" t="str">
        <f t="shared" si="899"/>
        <v>73185</v>
      </c>
      <c r="E2237" t="str">
        <f t="shared" si="900"/>
        <v>KFH-OPERATIONS DEPARTMENT</v>
      </c>
      <c r="F2237" t="str">
        <f t="shared" si="901"/>
        <v>IBG</v>
      </c>
      <c r="G2237" t="str">
        <f t="shared" si="916"/>
        <v>Refund COSHARE 10</v>
      </c>
      <c r="H2237" s="2">
        <v>134.35</v>
      </c>
      <c r="I2237" t="str">
        <f>"RAJU AL MUNIANDY"</f>
        <v>RAJU AL MUNIANDY</v>
      </c>
      <c r="J2237" t="str">
        <f t="shared" si="917"/>
        <v>MAYBANK / MAYBANK ISLAMIC</v>
      </c>
      <c r="K2237" t="str">
        <f>"155023277940"</f>
        <v>155023277940</v>
      </c>
      <c r="L2237" t="str">
        <f t="shared" si="922"/>
        <v>04-08-2020</v>
      </c>
      <c r="M2237" t="str">
        <f t="shared" si="922"/>
        <v>04-08-2020</v>
      </c>
      <c r="N2237" t="str">
        <f t="shared" si="902"/>
        <v>001105018356</v>
      </c>
      <c r="O2237" t="str">
        <f t="shared" si="903"/>
        <v>MYR</v>
      </c>
      <c r="P2237" t="str">
        <f t="shared" si="923"/>
        <v>NIL</v>
      </c>
      <c r="Q2237" t="str">
        <f t="shared" si="923"/>
        <v>NIL</v>
      </c>
      <c r="R2237" t="str">
        <f t="shared" si="904"/>
        <v>Accepted</v>
      </c>
      <c r="S2237" t="str">
        <f t="shared" si="905"/>
        <v>Approved</v>
      </c>
      <c r="T2237" t="str">
        <f t="shared" si="906"/>
        <v>10.20.8.188</v>
      </c>
      <c r="U2237" t="str">
        <f t="shared" si="907"/>
        <v>AZRAD UMAR BIN SHAARI</v>
      </c>
      <c r="V2237" t="str">
        <f t="shared" si="908"/>
        <v>FARHANA BINTI MUSTAPA</v>
      </c>
      <c r="W2237" t="str">
        <f t="shared" si="909"/>
        <v>04-08-2020</v>
      </c>
      <c r="X2237" t="str">
        <f t="shared" si="910"/>
        <v>RAZIMAH ANSAR AHMAD</v>
      </c>
      <c r="Y2237" t="str">
        <f t="shared" si="911"/>
        <v>04-08-2020</v>
      </c>
      <c r="Z2237" t="str">
        <f>"COS10200804 6917"</f>
        <v>COS10200804 6917</v>
      </c>
    </row>
    <row r="2238" spans="1:26" x14ac:dyDescent="0.25">
      <c r="A2238" t="str">
        <f t="shared" si="920"/>
        <v>04-08-2020 01:04:59</v>
      </c>
      <c r="B2238" t="str">
        <f>"0000808713"</f>
        <v>0000808713</v>
      </c>
      <c r="C2238" t="str">
        <f t="shared" si="921"/>
        <v>0000808597</v>
      </c>
      <c r="D2238" t="str">
        <f t="shared" si="899"/>
        <v>73185</v>
      </c>
      <c r="E2238" t="str">
        <f t="shared" si="900"/>
        <v>KFH-OPERATIONS DEPARTMENT</v>
      </c>
      <c r="F2238" t="str">
        <f t="shared" si="901"/>
        <v>IBG</v>
      </c>
      <c r="G2238" t="str">
        <f t="shared" si="916"/>
        <v>Refund COSHARE 10</v>
      </c>
      <c r="H2238" s="2">
        <v>587.65</v>
      </c>
      <c r="I2238" t="str">
        <f>"RAJESWARI AP THANGARAJU"</f>
        <v>RAJESWARI AP THANGARAJU</v>
      </c>
      <c r="J2238" t="str">
        <f t="shared" si="917"/>
        <v>MAYBANK / MAYBANK ISLAMIC</v>
      </c>
      <c r="K2238" t="str">
        <f>"101094034338"</f>
        <v>101094034338</v>
      </c>
      <c r="L2238" t="str">
        <f t="shared" si="922"/>
        <v>04-08-2020</v>
      </c>
      <c r="M2238" t="str">
        <f t="shared" si="922"/>
        <v>04-08-2020</v>
      </c>
      <c r="N2238" t="str">
        <f t="shared" si="902"/>
        <v>001105018356</v>
      </c>
      <c r="O2238" t="str">
        <f t="shared" si="903"/>
        <v>MYR</v>
      </c>
      <c r="P2238" t="str">
        <f t="shared" si="923"/>
        <v>NIL</v>
      </c>
      <c r="Q2238" t="str">
        <f t="shared" si="923"/>
        <v>NIL</v>
      </c>
      <c r="R2238" t="str">
        <f t="shared" si="904"/>
        <v>Accepted</v>
      </c>
      <c r="S2238" t="str">
        <f t="shared" si="905"/>
        <v>Approved</v>
      </c>
      <c r="T2238" t="str">
        <f t="shared" si="906"/>
        <v>10.20.8.188</v>
      </c>
      <c r="U2238" t="str">
        <f t="shared" si="907"/>
        <v>AZRAD UMAR BIN SHAARI</v>
      </c>
      <c r="V2238" t="str">
        <f t="shared" si="908"/>
        <v>FARHANA BINTI MUSTAPA</v>
      </c>
      <c r="W2238" t="str">
        <f t="shared" si="909"/>
        <v>04-08-2020</v>
      </c>
      <c r="X2238" t="str">
        <f t="shared" si="910"/>
        <v>RAZIMAH ANSAR AHMAD</v>
      </c>
      <c r="Y2238" t="str">
        <f t="shared" si="911"/>
        <v>04-08-2020</v>
      </c>
      <c r="Z2238" t="str">
        <f>"COS10200804 6916"</f>
        <v>COS10200804 6916</v>
      </c>
    </row>
    <row r="2239" spans="1:26" x14ac:dyDescent="0.25">
      <c r="A2239" t="str">
        <f t="shared" si="920"/>
        <v>04-08-2020 01:04:59</v>
      </c>
      <c r="B2239" t="str">
        <f>"0000808712"</f>
        <v>0000808712</v>
      </c>
      <c r="C2239" t="str">
        <f t="shared" si="921"/>
        <v>0000808597</v>
      </c>
      <c r="D2239" t="str">
        <f t="shared" si="899"/>
        <v>73185</v>
      </c>
      <c r="E2239" t="str">
        <f t="shared" si="900"/>
        <v>KFH-OPERATIONS DEPARTMENT</v>
      </c>
      <c r="F2239" t="str">
        <f t="shared" si="901"/>
        <v>IBG</v>
      </c>
      <c r="G2239" t="str">
        <f t="shared" si="916"/>
        <v>Refund COSHARE 10</v>
      </c>
      <c r="H2239" s="2">
        <v>647.9</v>
      </c>
      <c r="I2239" t="str">
        <f>"RAJENDRAN AL MANIAM"</f>
        <v>RAJENDRAN AL MANIAM</v>
      </c>
      <c r="J2239" t="str">
        <f t="shared" si="917"/>
        <v>MAYBANK / MAYBANK ISLAMIC</v>
      </c>
      <c r="K2239" t="str">
        <f>"108011816846"</f>
        <v>108011816846</v>
      </c>
      <c r="L2239" t="str">
        <f t="shared" si="922"/>
        <v>04-08-2020</v>
      </c>
      <c r="M2239" t="str">
        <f t="shared" si="922"/>
        <v>04-08-2020</v>
      </c>
      <c r="N2239" t="str">
        <f t="shared" si="902"/>
        <v>001105018356</v>
      </c>
      <c r="O2239" t="str">
        <f t="shared" si="903"/>
        <v>MYR</v>
      </c>
      <c r="P2239" t="str">
        <f t="shared" si="923"/>
        <v>NIL</v>
      </c>
      <c r="Q2239" t="str">
        <f t="shared" si="923"/>
        <v>NIL</v>
      </c>
      <c r="R2239" t="str">
        <f t="shared" si="904"/>
        <v>Accepted</v>
      </c>
      <c r="S2239" t="str">
        <f t="shared" si="905"/>
        <v>Approved</v>
      </c>
      <c r="T2239" t="str">
        <f t="shared" si="906"/>
        <v>10.20.8.188</v>
      </c>
      <c r="U2239" t="str">
        <f t="shared" si="907"/>
        <v>AZRAD UMAR BIN SHAARI</v>
      </c>
      <c r="V2239" t="str">
        <f t="shared" si="908"/>
        <v>FARHANA BINTI MUSTAPA</v>
      </c>
      <c r="W2239" t="str">
        <f t="shared" si="909"/>
        <v>04-08-2020</v>
      </c>
      <c r="X2239" t="str">
        <f t="shared" si="910"/>
        <v>RAZIMAH ANSAR AHMAD</v>
      </c>
      <c r="Y2239" t="str">
        <f t="shared" si="911"/>
        <v>04-08-2020</v>
      </c>
      <c r="Z2239" t="str">
        <f>"COS10200804 6915"</f>
        <v>COS10200804 6915</v>
      </c>
    </row>
    <row r="2240" spans="1:26" x14ac:dyDescent="0.25">
      <c r="A2240" t="str">
        <f t="shared" si="920"/>
        <v>04-08-2020 01:04:59</v>
      </c>
      <c r="B2240" t="str">
        <f>"0000808711"</f>
        <v>0000808711</v>
      </c>
      <c r="C2240" t="str">
        <f t="shared" si="921"/>
        <v>0000808597</v>
      </c>
      <c r="D2240" t="str">
        <f t="shared" si="899"/>
        <v>73185</v>
      </c>
      <c r="E2240" t="str">
        <f t="shared" si="900"/>
        <v>KFH-OPERATIONS DEPARTMENT</v>
      </c>
      <c r="F2240" t="str">
        <f t="shared" si="901"/>
        <v>IBG</v>
      </c>
      <c r="G2240" t="str">
        <f t="shared" si="916"/>
        <v>Refund COSHARE 10</v>
      </c>
      <c r="H2240" s="2">
        <v>109.15</v>
      </c>
      <c r="I2240" t="str">
        <f>"RAJANI KANTH AL RATHA KRISHNAN"</f>
        <v>RAJANI KANTH AL RATHA KRISHNAN</v>
      </c>
      <c r="J2240" t="str">
        <f t="shared" si="917"/>
        <v>MAYBANK / MAYBANK ISLAMIC</v>
      </c>
      <c r="K2240" t="str">
        <f>"105056007924"</f>
        <v>105056007924</v>
      </c>
      <c r="L2240" t="str">
        <f t="shared" si="922"/>
        <v>04-08-2020</v>
      </c>
      <c r="M2240" t="str">
        <f t="shared" si="922"/>
        <v>04-08-2020</v>
      </c>
      <c r="N2240" t="str">
        <f t="shared" si="902"/>
        <v>001105018356</v>
      </c>
      <c r="O2240" t="str">
        <f t="shared" si="903"/>
        <v>MYR</v>
      </c>
      <c r="P2240" t="str">
        <f t="shared" si="923"/>
        <v>NIL</v>
      </c>
      <c r="Q2240" t="str">
        <f t="shared" si="923"/>
        <v>NIL</v>
      </c>
      <c r="R2240" t="str">
        <f t="shared" si="904"/>
        <v>Accepted</v>
      </c>
      <c r="S2240" t="str">
        <f t="shared" si="905"/>
        <v>Approved</v>
      </c>
      <c r="T2240" t="str">
        <f t="shared" si="906"/>
        <v>10.20.8.188</v>
      </c>
      <c r="U2240" t="str">
        <f t="shared" si="907"/>
        <v>AZRAD UMAR BIN SHAARI</v>
      </c>
      <c r="V2240" t="str">
        <f t="shared" si="908"/>
        <v>FARHANA BINTI MUSTAPA</v>
      </c>
      <c r="W2240" t="str">
        <f t="shared" si="909"/>
        <v>04-08-2020</v>
      </c>
      <c r="X2240" t="str">
        <f t="shared" si="910"/>
        <v>RAZIMAH ANSAR AHMAD</v>
      </c>
      <c r="Y2240" t="str">
        <f t="shared" si="911"/>
        <v>04-08-2020</v>
      </c>
      <c r="Z2240" t="str">
        <f>"COS10200804 6914"</f>
        <v>COS10200804 6914</v>
      </c>
    </row>
    <row r="2241" spans="1:26" x14ac:dyDescent="0.25">
      <c r="A2241" t="str">
        <f t="shared" si="920"/>
        <v>04-08-2020 01:04:59</v>
      </c>
      <c r="B2241" t="str">
        <f>"0000808710"</f>
        <v>0000808710</v>
      </c>
      <c r="C2241" t="str">
        <f t="shared" si="921"/>
        <v>0000808597</v>
      </c>
      <c r="D2241" t="str">
        <f t="shared" si="899"/>
        <v>73185</v>
      </c>
      <c r="E2241" t="str">
        <f t="shared" si="900"/>
        <v>KFH-OPERATIONS DEPARTMENT</v>
      </c>
      <c r="F2241" t="str">
        <f t="shared" si="901"/>
        <v>IBG</v>
      </c>
      <c r="G2241" t="str">
        <f t="shared" si="916"/>
        <v>Refund COSHARE 10</v>
      </c>
      <c r="H2241" s="2">
        <v>100.75</v>
      </c>
      <c r="I2241" t="str">
        <f>"RAJA ZULMUAWIAH BIN RAJA HASSAN"</f>
        <v>RAJA ZULMUAWIAH BIN RAJA HASSAN</v>
      </c>
      <c r="J2241" t="str">
        <f t="shared" si="917"/>
        <v>MAYBANK / MAYBANK ISLAMIC</v>
      </c>
      <c r="K2241" t="str">
        <f>"114263068598"</f>
        <v>114263068598</v>
      </c>
      <c r="L2241" t="str">
        <f t="shared" si="922"/>
        <v>04-08-2020</v>
      </c>
      <c r="M2241" t="str">
        <f t="shared" si="922"/>
        <v>04-08-2020</v>
      </c>
      <c r="N2241" t="str">
        <f t="shared" si="902"/>
        <v>001105018356</v>
      </c>
      <c r="O2241" t="str">
        <f t="shared" si="903"/>
        <v>MYR</v>
      </c>
      <c r="P2241" t="str">
        <f t="shared" si="923"/>
        <v>NIL</v>
      </c>
      <c r="Q2241" t="str">
        <f t="shared" si="923"/>
        <v>NIL</v>
      </c>
      <c r="R2241" t="str">
        <f t="shared" si="904"/>
        <v>Accepted</v>
      </c>
      <c r="S2241" t="str">
        <f t="shared" si="905"/>
        <v>Approved</v>
      </c>
      <c r="T2241" t="str">
        <f t="shared" si="906"/>
        <v>10.20.8.188</v>
      </c>
      <c r="U2241" t="str">
        <f t="shared" si="907"/>
        <v>AZRAD UMAR BIN SHAARI</v>
      </c>
      <c r="V2241" t="str">
        <f t="shared" si="908"/>
        <v>FARHANA BINTI MUSTAPA</v>
      </c>
      <c r="W2241" t="str">
        <f t="shared" si="909"/>
        <v>04-08-2020</v>
      </c>
      <c r="X2241" t="str">
        <f t="shared" si="910"/>
        <v>RAZIMAH ANSAR AHMAD</v>
      </c>
      <c r="Y2241" t="str">
        <f t="shared" si="911"/>
        <v>04-08-2020</v>
      </c>
      <c r="Z2241" t="str">
        <f>"COS10200804 6913"</f>
        <v>COS10200804 6913</v>
      </c>
    </row>
    <row r="2242" spans="1:26" x14ac:dyDescent="0.25">
      <c r="A2242" t="str">
        <f t="shared" si="920"/>
        <v>04-08-2020 01:04:59</v>
      </c>
      <c r="B2242" t="str">
        <f>"0000808709"</f>
        <v>0000808709</v>
      </c>
      <c r="C2242" t="str">
        <f t="shared" si="921"/>
        <v>0000808597</v>
      </c>
      <c r="D2242" t="str">
        <f t="shared" si="899"/>
        <v>73185</v>
      </c>
      <c r="E2242" t="str">
        <f t="shared" si="900"/>
        <v>KFH-OPERATIONS DEPARTMENT</v>
      </c>
      <c r="F2242" t="str">
        <f t="shared" si="901"/>
        <v>IBG</v>
      </c>
      <c r="G2242" t="str">
        <f t="shared" si="916"/>
        <v>Refund COSHARE 10</v>
      </c>
      <c r="H2242" s="2">
        <v>1511.1</v>
      </c>
      <c r="I2242" t="str">
        <f>"RAJA ZUBAIDAH BINTI RAJA MOHD RASI"</f>
        <v>RAJA ZUBAIDAH BINTI RAJA MOHD RASI</v>
      </c>
      <c r="J2242" t="str">
        <f t="shared" si="917"/>
        <v>MAYBANK / MAYBANK ISLAMIC</v>
      </c>
      <c r="K2242" t="str">
        <f>"101013143955"</f>
        <v>101013143955</v>
      </c>
      <c r="L2242" t="str">
        <f t="shared" si="922"/>
        <v>04-08-2020</v>
      </c>
      <c r="M2242" t="str">
        <f t="shared" si="922"/>
        <v>04-08-2020</v>
      </c>
      <c r="N2242" t="str">
        <f t="shared" si="902"/>
        <v>001105018356</v>
      </c>
      <c r="O2242" t="str">
        <f t="shared" si="903"/>
        <v>MYR</v>
      </c>
      <c r="P2242" t="str">
        <f t="shared" si="923"/>
        <v>NIL</v>
      </c>
      <c r="Q2242" t="str">
        <f t="shared" si="923"/>
        <v>NIL</v>
      </c>
      <c r="R2242" t="str">
        <f t="shared" si="904"/>
        <v>Accepted</v>
      </c>
      <c r="S2242" t="str">
        <f t="shared" si="905"/>
        <v>Approved</v>
      </c>
      <c r="T2242" t="str">
        <f t="shared" si="906"/>
        <v>10.20.8.188</v>
      </c>
      <c r="U2242" t="str">
        <f t="shared" si="907"/>
        <v>AZRAD UMAR BIN SHAARI</v>
      </c>
      <c r="V2242" t="str">
        <f t="shared" si="908"/>
        <v>FARHANA BINTI MUSTAPA</v>
      </c>
      <c r="W2242" t="str">
        <f t="shared" si="909"/>
        <v>04-08-2020</v>
      </c>
      <c r="X2242" t="str">
        <f t="shared" si="910"/>
        <v>RAZIMAH ANSAR AHMAD</v>
      </c>
      <c r="Y2242" t="str">
        <f t="shared" si="911"/>
        <v>04-08-2020</v>
      </c>
      <c r="Z2242" t="str">
        <f>"COS10200804 6912"</f>
        <v>COS10200804 6912</v>
      </c>
    </row>
    <row r="2243" spans="1:26" x14ac:dyDescent="0.25">
      <c r="A2243" t="str">
        <f t="shared" si="920"/>
        <v>04-08-2020 01:04:59</v>
      </c>
      <c r="B2243" t="str">
        <f>"0000808708"</f>
        <v>0000808708</v>
      </c>
      <c r="C2243" t="str">
        <f t="shared" si="921"/>
        <v>0000808597</v>
      </c>
      <c r="D2243" t="str">
        <f t="shared" si="899"/>
        <v>73185</v>
      </c>
      <c r="E2243" t="str">
        <f t="shared" si="900"/>
        <v>KFH-OPERATIONS DEPARTMENT</v>
      </c>
      <c r="F2243" t="str">
        <f t="shared" si="901"/>
        <v>IBG</v>
      </c>
      <c r="G2243" t="str">
        <f t="shared" si="916"/>
        <v>Refund COSHARE 10</v>
      </c>
      <c r="H2243" s="2">
        <v>184.7</v>
      </c>
      <c r="I2243" t="str">
        <f>"RAJA NURHAYATI BINTI RAJA ZAINAL"</f>
        <v>RAJA NURHAYATI BINTI RAJA ZAINAL</v>
      </c>
      <c r="J2243" t="str">
        <f t="shared" si="917"/>
        <v>MAYBANK / MAYBANK ISLAMIC</v>
      </c>
      <c r="K2243" t="str">
        <f>"101012867153"</f>
        <v>101012867153</v>
      </c>
      <c r="L2243" t="str">
        <f t="shared" si="922"/>
        <v>04-08-2020</v>
      </c>
      <c r="M2243" t="str">
        <f t="shared" si="922"/>
        <v>04-08-2020</v>
      </c>
      <c r="N2243" t="str">
        <f t="shared" si="902"/>
        <v>001105018356</v>
      </c>
      <c r="O2243" t="str">
        <f t="shared" si="903"/>
        <v>MYR</v>
      </c>
      <c r="P2243" t="str">
        <f t="shared" si="923"/>
        <v>NIL</v>
      </c>
      <c r="Q2243" t="str">
        <f t="shared" si="923"/>
        <v>NIL</v>
      </c>
      <c r="R2243" t="str">
        <f t="shared" si="904"/>
        <v>Accepted</v>
      </c>
      <c r="S2243" t="str">
        <f t="shared" si="905"/>
        <v>Approved</v>
      </c>
      <c r="T2243" t="str">
        <f t="shared" si="906"/>
        <v>10.20.8.188</v>
      </c>
      <c r="U2243" t="str">
        <f t="shared" si="907"/>
        <v>AZRAD UMAR BIN SHAARI</v>
      </c>
      <c r="V2243" t="str">
        <f t="shared" si="908"/>
        <v>FARHANA BINTI MUSTAPA</v>
      </c>
      <c r="W2243" t="str">
        <f t="shared" si="909"/>
        <v>04-08-2020</v>
      </c>
      <c r="X2243" t="str">
        <f t="shared" si="910"/>
        <v>RAZIMAH ANSAR AHMAD</v>
      </c>
      <c r="Y2243" t="str">
        <f t="shared" si="911"/>
        <v>04-08-2020</v>
      </c>
      <c r="Z2243" t="str">
        <f>"COS10200804 6911"</f>
        <v>COS10200804 6911</v>
      </c>
    </row>
    <row r="2244" spans="1:26" x14ac:dyDescent="0.25">
      <c r="A2244" t="str">
        <f t="shared" si="920"/>
        <v>04-08-2020 01:04:59</v>
      </c>
      <c r="B2244" t="str">
        <f>"0000808707"</f>
        <v>0000808707</v>
      </c>
      <c r="C2244" t="str">
        <f t="shared" si="921"/>
        <v>0000808597</v>
      </c>
      <c r="D2244" t="str">
        <f t="shared" si="899"/>
        <v>73185</v>
      </c>
      <c r="E2244" t="str">
        <f t="shared" si="900"/>
        <v>KFH-OPERATIONS DEPARTMENT</v>
      </c>
      <c r="F2244" t="str">
        <f t="shared" si="901"/>
        <v>IBG</v>
      </c>
      <c r="G2244" t="str">
        <f t="shared" si="916"/>
        <v>Refund COSHARE 10</v>
      </c>
      <c r="H2244" s="2">
        <v>906.65</v>
      </c>
      <c r="I2244" t="str">
        <f>"RAJA NORZURAILI BINTI RAJA MUSTAFA"</f>
        <v>RAJA NORZURAILI BINTI RAJA MUSTAFA</v>
      </c>
      <c r="J2244" t="str">
        <f t="shared" si="917"/>
        <v>MAYBANK / MAYBANK ISLAMIC</v>
      </c>
      <c r="K2244" t="str">
        <f>"164801025967"</f>
        <v>164801025967</v>
      </c>
      <c r="L2244" t="str">
        <f t="shared" si="922"/>
        <v>04-08-2020</v>
      </c>
      <c r="M2244" t="str">
        <f t="shared" si="922"/>
        <v>04-08-2020</v>
      </c>
      <c r="N2244" t="str">
        <f t="shared" si="902"/>
        <v>001105018356</v>
      </c>
      <c r="O2244" t="str">
        <f t="shared" si="903"/>
        <v>MYR</v>
      </c>
      <c r="P2244" t="str">
        <f t="shared" si="923"/>
        <v>NIL</v>
      </c>
      <c r="Q2244" t="str">
        <f t="shared" si="923"/>
        <v>NIL</v>
      </c>
      <c r="R2244" t="str">
        <f t="shared" si="904"/>
        <v>Accepted</v>
      </c>
      <c r="S2244" t="str">
        <f t="shared" si="905"/>
        <v>Approved</v>
      </c>
      <c r="T2244" t="str">
        <f t="shared" si="906"/>
        <v>10.20.8.188</v>
      </c>
      <c r="U2244" t="str">
        <f t="shared" si="907"/>
        <v>AZRAD UMAR BIN SHAARI</v>
      </c>
      <c r="V2244" t="str">
        <f t="shared" si="908"/>
        <v>FARHANA BINTI MUSTAPA</v>
      </c>
      <c r="W2244" t="str">
        <f t="shared" si="909"/>
        <v>04-08-2020</v>
      </c>
      <c r="X2244" t="str">
        <f t="shared" si="910"/>
        <v>RAZIMAH ANSAR AHMAD</v>
      </c>
      <c r="Y2244" t="str">
        <f t="shared" si="911"/>
        <v>04-08-2020</v>
      </c>
      <c r="Z2244" t="str">
        <f>"COS10200804 6910"</f>
        <v>COS10200804 6910</v>
      </c>
    </row>
    <row r="2245" spans="1:26" x14ac:dyDescent="0.25">
      <c r="A2245" t="str">
        <f t="shared" si="920"/>
        <v>04-08-2020 01:04:59</v>
      </c>
      <c r="B2245" t="str">
        <f>"0000808706"</f>
        <v>0000808706</v>
      </c>
      <c r="C2245" t="str">
        <f t="shared" si="921"/>
        <v>0000808597</v>
      </c>
      <c r="D2245" t="str">
        <f t="shared" si="899"/>
        <v>73185</v>
      </c>
      <c r="E2245" t="str">
        <f t="shared" si="900"/>
        <v>KFH-OPERATIONS DEPARTMENT</v>
      </c>
      <c r="F2245" t="str">
        <f t="shared" si="901"/>
        <v>IBG</v>
      </c>
      <c r="G2245" t="str">
        <f t="shared" si="916"/>
        <v>Refund COSHARE 10</v>
      </c>
      <c r="H2245" s="2">
        <v>1679</v>
      </c>
      <c r="I2245" t="str">
        <f>"RAJA MUHIDAYAH BINTI RAJA BANIAMIN"</f>
        <v>RAJA MUHIDAYAH BINTI RAJA BANIAMIN</v>
      </c>
      <c r="J2245" t="str">
        <f t="shared" si="917"/>
        <v>MAYBANK / MAYBANK ISLAMIC</v>
      </c>
      <c r="K2245" t="str">
        <f>"108029575869"</f>
        <v>108029575869</v>
      </c>
      <c r="L2245" t="str">
        <f t="shared" si="922"/>
        <v>04-08-2020</v>
      </c>
      <c r="M2245" t="str">
        <f t="shared" si="922"/>
        <v>04-08-2020</v>
      </c>
      <c r="N2245" t="str">
        <f t="shared" si="902"/>
        <v>001105018356</v>
      </c>
      <c r="O2245" t="str">
        <f t="shared" si="903"/>
        <v>MYR</v>
      </c>
      <c r="P2245" t="str">
        <f t="shared" si="923"/>
        <v>NIL</v>
      </c>
      <c r="Q2245" t="str">
        <f t="shared" si="923"/>
        <v>NIL</v>
      </c>
      <c r="R2245" t="str">
        <f t="shared" si="904"/>
        <v>Accepted</v>
      </c>
      <c r="S2245" t="str">
        <f t="shared" si="905"/>
        <v>Approved</v>
      </c>
      <c r="T2245" t="str">
        <f t="shared" si="906"/>
        <v>10.20.8.188</v>
      </c>
      <c r="U2245" t="str">
        <f t="shared" si="907"/>
        <v>AZRAD UMAR BIN SHAARI</v>
      </c>
      <c r="V2245" t="str">
        <f t="shared" si="908"/>
        <v>FARHANA BINTI MUSTAPA</v>
      </c>
      <c r="W2245" t="str">
        <f t="shared" si="909"/>
        <v>04-08-2020</v>
      </c>
      <c r="X2245" t="str">
        <f t="shared" si="910"/>
        <v>RAZIMAH ANSAR AHMAD</v>
      </c>
      <c r="Y2245" t="str">
        <f t="shared" si="911"/>
        <v>04-08-2020</v>
      </c>
      <c r="Z2245" t="str">
        <f>"COS10200804 6909"</f>
        <v>COS10200804 6909</v>
      </c>
    </row>
    <row r="2246" spans="1:26" x14ac:dyDescent="0.25">
      <c r="A2246" t="str">
        <f t="shared" si="920"/>
        <v>04-08-2020 01:04:59</v>
      </c>
      <c r="B2246" t="str">
        <f>"0000808705"</f>
        <v>0000808705</v>
      </c>
      <c r="C2246" t="str">
        <f t="shared" si="921"/>
        <v>0000808597</v>
      </c>
      <c r="D2246" t="str">
        <f t="shared" si="899"/>
        <v>73185</v>
      </c>
      <c r="E2246" t="str">
        <f t="shared" si="900"/>
        <v>KFH-OPERATIONS DEPARTMENT</v>
      </c>
      <c r="F2246" t="str">
        <f t="shared" si="901"/>
        <v>IBG</v>
      </c>
      <c r="G2246" t="str">
        <f t="shared" si="916"/>
        <v>Refund COSHARE 10</v>
      </c>
      <c r="H2246" s="2">
        <v>1352</v>
      </c>
      <c r="I2246" t="str">
        <f>"RAJA MOHD NIZAM BIN RAJA KAMARULBAHRIN"</f>
        <v>RAJA MOHD NIZAM BIN RAJA KAMARULBAHRIN</v>
      </c>
      <c r="J2246" t="str">
        <f t="shared" si="917"/>
        <v>MAYBANK / MAYBANK ISLAMIC</v>
      </c>
      <c r="K2246" t="str">
        <f>"164052297731"</f>
        <v>164052297731</v>
      </c>
      <c r="L2246" t="str">
        <f t="shared" si="922"/>
        <v>04-08-2020</v>
      </c>
      <c r="M2246" t="str">
        <f t="shared" si="922"/>
        <v>04-08-2020</v>
      </c>
      <c r="N2246" t="str">
        <f t="shared" si="902"/>
        <v>001105018356</v>
      </c>
      <c r="O2246" t="str">
        <f t="shared" si="903"/>
        <v>MYR</v>
      </c>
      <c r="P2246" t="str">
        <f t="shared" si="923"/>
        <v>NIL</v>
      </c>
      <c r="Q2246" t="str">
        <f t="shared" si="923"/>
        <v>NIL</v>
      </c>
      <c r="R2246" t="str">
        <f t="shared" si="904"/>
        <v>Accepted</v>
      </c>
      <c r="S2246" t="str">
        <f t="shared" si="905"/>
        <v>Approved</v>
      </c>
      <c r="T2246" t="str">
        <f t="shared" si="906"/>
        <v>10.20.8.188</v>
      </c>
      <c r="U2246" t="str">
        <f t="shared" si="907"/>
        <v>AZRAD UMAR BIN SHAARI</v>
      </c>
      <c r="V2246" t="str">
        <f t="shared" si="908"/>
        <v>FARHANA BINTI MUSTAPA</v>
      </c>
      <c r="W2246" t="str">
        <f t="shared" si="909"/>
        <v>04-08-2020</v>
      </c>
      <c r="X2246" t="str">
        <f t="shared" si="910"/>
        <v>RAZIMAH ANSAR AHMAD</v>
      </c>
      <c r="Y2246" t="str">
        <f t="shared" si="911"/>
        <v>04-08-2020</v>
      </c>
      <c r="Z2246" t="str">
        <f>"COS10200804 6908"</f>
        <v>COS10200804 6908</v>
      </c>
    </row>
    <row r="2247" spans="1:26" x14ac:dyDescent="0.25">
      <c r="A2247" t="str">
        <f t="shared" si="920"/>
        <v>04-08-2020 01:04:59</v>
      </c>
      <c r="B2247" t="str">
        <f>"0000808704"</f>
        <v>0000808704</v>
      </c>
      <c r="C2247" t="str">
        <f t="shared" si="921"/>
        <v>0000808597</v>
      </c>
      <c r="D2247" t="str">
        <f t="shared" ref="D2247:D2310" si="924">"73185"</f>
        <v>73185</v>
      </c>
      <c r="E2247" t="str">
        <f t="shared" ref="E2247:E2310" si="925">"KFH-OPERATIONS DEPARTMENT"</f>
        <v>KFH-OPERATIONS DEPARTMENT</v>
      </c>
      <c r="F2247" t="str">
        <f t="shared" ref="F2247:F2310" si="926">"IBG"</f>
        <v>IBG</v>
      </c>
      <c r="G2247" t="str">
        <f t="shared" si="916"/>
        <v>Refund COSHARE 10</v>
      </c>
      <c r="H2247" s="2">
        <v>354</v>
      </c>
      <c r="I2247" t="str">
        <f>"RAJA JALALLUDIN BIN TENGKU AZLAN"</f>
        <v>RAJA JALALLUDIN BIN TENGKU AZLAN</v>
      </c>
      <c r="J2247" t="str">
        <f t="shared" si="917"/>
        <v>MAYBANK / MAYBANK ISLAMIC</v>
      </c>
      <c r="K2247" t="str">
        <f>"162115854603"</f>
        <v>162115854603</v>
      </c>
      <c r="L2247" t="str">
        <f t="shared" ref="L2247:M2266" si="927">"04-08-2020"</f>
        <v>04-08-2020</v>
      </c>
      <c r="M2247" t="str">
        <f t="shared" si="927"/>
        <v>04-08-2020</v>
      </c>
      <c r="N2247" t="str">
        <f t="shared" ref="N2247:N2310" si="928">"001105018356"</f>
        <v>001105018356</v>
      </c>
      <c r="O2247" t="str">
        <f t="shared" ref="O2247:O2310" si="929">"MYR"</f>
        <v>MYR</v>
      </c>
      <c r="P2247" t="str">
        <f t="shared" ref="P2247:Q2266" si="930">"NIL"</f>
        <v>NIL</v>
      </c>
      <c r="Q2247" t="str">
        <f t="shared" si="930"/>
        <v>NIL</v>
      </c>
      <c r="R2247" t="str">
        <f t="shared" ref="R2247:R2310" si="931">"Accepted"</f>
        <v>Accepted</v>
      </c>
      <c r="S2247" t="str">
        <f t="shared" ref="S2247:S2310" si="932">"Approved"</f>
        <v>Approved</v>
      </c>
      <c r="T2247" t="str">
        <f t="shared" ref="T2247:T2310" si="933">"10.20.8.188"</f>
        <v>10.20.8.188</v>
      </c>
      <c r="U2247" t="str">
        <f t="shared" ref="U2247:U2310" si="934">"AZRAD UMAR BIN SHAARI"</f>
        <v>AZRAD UMAR BIN SHAARI</v>
      </c>
      <c r="V2247" t="str">
        <f t="shared" ref="V2247:V2310" si="935">"FARHANA BINTI MUSTAPA"</f>
        <v>FARHANA BINTI MUSTAPA</v>
      </c>
      <c r="W2247" t="str">
        <f t="shared" ref="W2247:W2310" si="936">"04-08-2020"</f>
        <v>04-08-2020</v>
      </c>
      <c r="X2247" t="str">
        <f t="shared" ref="X2247:X2310" si="937">"RAZIMAH ANSAR AHMAD"</f>
        <v>RAZIMAH ANSAR AHMAD</v>
      </c>
      <c r="Y2247" t="str">
        <f t="shared" ref="Y2247:Y2310" si="938">"04-08-2020"</f>
        <v>04-08-2020</v>
      </c>
      <c r="Z2247" t="str">
        <f>"COS10200804 6907"</f>
        <v>COS10200804 6907</v>
      </c>
    </row>
    <row r="2248" spans="1:26" x14ac:dyDescent="0.25">
      <c r="A2248" t="str">
        <f t="shared" si="920"/>
        <v>04-08-2020 01:04:59</v>
      </c>
      <c r="B2248" t="str">
        <f>"0000808703"</f>
        <v>0000808703</v>
      </c>
      <c r="C2248" t="str">
        <f t="shared" si="921"/>
        <v>0000808597</v>
      </c>
      <c r="D2248" t="str">
        <f t="shared" si="924"/>
        <v>73185</v>
      </c>
      <c r="E2248" t="str">
        <f t="shared" si="925"/>
        <v>KFH-OPERATIONS DEPARTMENT</v>
      </c>
      <c r="F2248" t="str">
        <f t="shared" si="926"/>
        <v>IBG</v>
      </c>
      <c r="G2248" t="str">
        <f t="shared" si="916"/>
        <v>Refund COSHARE 10</v>
      </c>
      <c r="H2248" s="2">
        <v>640.5</v>
      </c>
      <c r="I2248" t="str">
        <f>"RAJA INTAN SUFINAZ BINTI RAJA JAMALUDIN"</f>
        <v>RAJA INTAN SUFINAZ BINTI RAJA JAMALUDIN</v>
      </c>
      <c r="J2248" t="str">
        <f t="shared" si="917"/>
        <v>MAYBANK / MAYBANK ISLAMIC</v>
      </c>
      <c r="K2248" t="str">
        <f>"162021460394"</f>
        <v>162021460394</v>
      </c>
      <c r="L2248" t="str">
        <f t="shared" si="927"/>
        <v>04-08-2020</v>
      </c>
      <c r="M2248" t="str">
        <f t="shared" si="927"/>
        <v>04-08-2020</v>
      </c>
      <c r="N2248" t="str">
        <f t="shared" si="928"/>
        <v>001105018356</v>
      </c>
      <c r="O2248" t="str">
        <f t="shared" si="929"/>
        <v>MYR</v>
      </c>
      <c r="P2248" t="str">
        <f t="shared" si="930"/>
        <v>NIL</v>
      </c>
      <c r="Q2248" t="str">
        <f t="shared" si="930"/>
        <v>NIL</v>
      </c>
      <c r="R2248" t="str">
        <f t="shared" si="931"/>
        <v>Accepted</v>
      </c>
      <c r="S2248" t="str">
        <f t="shared" si="932"/>
        <v>Approved</v>
      </c>
      <c r="T2248" t="str">
        <f t="shared" si="933"/>
        <v>10.20.8.188</v>
      </c>
      <c r="U2248" t="str">
        <f t="shared" si="934"/>
        <v>AZRAD UMAR BIN SHAARI</v>
      </c>
      <c r="V2248" t="str">
        <f t="shared" si="935"/>
        <v>FARHANA BINTI MUSTAPA</v>
      </c>
      <c r="W2248" t="str">
        <f t="shared" si="936"/>
        <v>04-08-2020</v>
      </c>
      <c r="X2248" t="str">
        <f t="shared" si="937"/>
        <v>RAZIMAH ANSAR AHMAD</v>
      </c>
      <c r="Y2248" t="str">
        <f t="shared" si="938"/>
        <v>04-08-2020</v>
      </c>
      <c r="Z2248" t="str">
        <f>"COS10200804 6906"</f>
        <v>COS10200804 6906</v>
      </c>
    </row>
    <row r="2249" spans="1:26" x14ac:dyDescent="0.25">
      <c r="A2249" t="str">
        <f t="shared" si="920"/>
        <v>04-08-2020 01:04:59</v>
      </c>
      <c r="B2249" t="str">
        <f>"0000808702"</f>
        <v>0000808702</v>
      </c>
      <c r="C2249" t="str">
        <f t="shared" si="921"/>
        <v>0000808597</v>
      </c>
      <c r="D2249" t="str">
        <f t="shared" si="924"/>
        <v>73185</v>
      </c>
      <c r="E2249" t="str">
        <f t="shared" si="925"/>
        <v>KFH-OPERATIONS DEPARTMENT</v>
      </c>
      <c r="F2249" t="str">
        <f t="shared" si="926"/>
        <v>IBG</v>
      </c>
      <c r="G2249" t="str">
        <f t="shared" si="916"/>
        <v>Refund COSHARE 10</v>
      </c>
      <c r="H2249" s="2">
        <v>129</v>
      </c>
      <c r="I2249" t="str">
        <f>"RAJA AZLAN SHAH BIN RAJA OTHMAN"</f>
        <v>RAJA AZLAN SHAH BIN RAJA OTHMAN</v>
      </c>
      <c r="J2249" t="str">
        <f t="shared" si="917"/>
        <v>MAYBANK / MAYBANK ISLAMIC</v>
      </c>
      <c r="K2249" t="str">
        <f>"151017162173"</f>
        <v>151017162173</v>
      </c>
      <c r="L2249" t="str">
        <f t="shared" si="927"/>
        <v>04-08-2020</v>
      </c>
      <c r="M2249" t="str">
        <f t="shared" si="927"/>
        <v>04-08-2020</v>
      </c>
      <c r="N2249" t="str">
        <f t="shared" si="928"/>
        <v>001105018356</v>
      </c>
      <c r="O2249" t="str">
        <f t="shared" si="929"/>
        <v>MYR</v>
      </c>
      <c r="P2249" t="str">
        <f t="shared" si="930"/>
        <v>NIL</v>
      </c>
      <c r="Q2249" t="str">
        <f t="shared" si="930"/>
        <v>NIL</v>
      </c>
      <c r="R2249" t="str">
        <f t="shared" si="931"/>
        <v>Accepted</v>
      </c>
      <c r="S2249" t="str">
        <f t="shared" si="932"/>
        <v>Approved</v>
      </c>
      <c r="T2249" t="str">
        <f t="shared" si="933"/>
        <v>10.20.8.188</v>
      </c>
      <c r="U2249" t="str">
        <f t="shared" si="934"/>
        <v>AZRAD UMAR BIN SHAARI</v>
      </c>
      <c r="V2249" t="str">
        <f t="shared" si="935"/>
        <v>FARHANA BINTI MUSTAPA</v>
      </c>
      <c r="W2249" t="str">
        <f t="shared" si="936"/>
        <v>04-08-2020</v>
      </c>
      <c r="X2249" t="str">
        <f t="shared" si="937"/>
        <v>RAZIMAH ANSAR AHMAD</v>
      </c>
      <c r="Y2249" t="str">
        <f t="shared" si="938"/>
        <v>04-08-2020</v>
      </c>
      <c r="Z2249" t="str">
        <f>"COS10200804 6905"</f>
        <v>COS10200804 6905</v>
      </c>
    </row>
    <row r="2250" spans="1:26" x14ac:dyDescent="0.25">
      <c r="A2250" t="str">
        <f t="shared" ref="A2250:A2281" si="939">"04-08-2020 01:04:59"</f>
        <v>04-08-2020 01:04:59</v>
      </c>
      <c r="B2250" t="str">
        <f>"0000808701"</f>
        <v>0000808701</v>
      </c>
      <c r="C2250" t="str">
        <f t="shared" ref="C2250:C2281" si="940">"0000808597"</f>
        <v>0000808597</v>
      </c>
      <c r="D2250" t="str">
        <f t="shared" si="924"/>
        <v>73185</v>
      </c>
      <c r="E2250" t="str">
        <f t="shared" si="925"/>
        <v>KFH-OPERATIONS DEPARTMENT</v>
      </c>
      <c r="F2250" t="str">
        <f t="shared" si="926"/>
        <v>IBG</v>
      </c>
      <c r="G2250" t="str">
        <f t="shared" si="916"/>
        <v>Refund COSHARE 10</v>
      </c>
      <c r="H2250" s="2">
        <v>1284.45</v>
      </c>
      <c r="I2250" t="str">
        <f>"RAIMON ANAK DUNCAN"</f>
        <v>RAIMON ANAK DUNCAN</v>
      </c>
      <c r="J2250" t="str">
        <f t="shared" si="917"/>
        <v>MAYBANK / MAYBANK ISLAMIC</v>
      </c>
      <c r="K2250" t="str">
        <f>"110023162960"</f>
        <v>110023162960</v>
      </c>
      <c r="L2250" t="str">
        <f t="shared" si="927"/>
        <v>04-08-2020</v>
      </c>
      <c r="M2250" t="str">
        <f t="shared" si="927"/>
        <v>04-08-2020</v>
      </c>
      <c r="N2250" t="str">
        <f t="shared" si="928"/>
        <v>001105018356</v>
      </c>
      <c r="O2250" t="str">
        <f t="shared" si="929"/>
        <v>MYR</v>
      </c>
      <c r="P2250" t="str">
        <f t="shared" si="930"/>
        <v>NIL</v>
      </c>
      <c r="Q2250" t="str">
        <f t="shared" si="930"/>
        <v>NIL</v>
      </c>
      <c r="R2250" t="str">
        <f t="shared" si="931"/>
        <v>Accepted</v>
      </c>
      <c r="S2250" t="str">
        <f t="shared" si="932"/>
        <v>Approved</v>
      </c>
      <c r="T2250" t="str">
        <f t="shared" si="933"/>
        <v>10.20.8.188</v>
      </c>
      <c r="U2250" t="str">
        <f t="shared" si="934"/>
        <v>AZRAD UMAR BIN SHAARI</v>
      </c>
      <c r="V2250" t="str">
        <f t="shared" si="935"/>
        <v>FARHANA BINTI MUSTAPA</v>
      </c>
      <c r="W2250" t="str">
        <f t="shared" si="936"/>
        <v>04-08-2020</v>
      </c>
      <c r="X2250" t="str">
        <f t="shared" si="937"/>
        <v>RAZIMAH ANSAR AHMAD</v>
      </c>
      <c r="Y2250" t="str">
        <f t="shared" si="938"/>
        <v>04-08-2020</v>
      </c>
      <c r="Z2250" t="str">
        <f>"COS10200804 6904"</f>
        <v>COS10200804 6904</v>
      </c>
    </row>
    <row r="2251" spans="1:26" x14ac:dyDescent="0.25">
      <c r="A2251" t="str">
        <f t="shared" si="939"/>
        <v>04-08-2020 01:04:59</v>
      </c>
      <c r="B2251" t="str">
        <f>"0000808700"</f>
        <v>0000808700</v>
      </c>
      <c r="C2251" t="str">
        <f t="shared" si="940"/>
        <v>0000808597</v>
      </c>
      <c r="D2251" t="str">
        <f t="shared" si="924"/>
        <v>73185</v>
      </c>
      <c r="E2251" t="str">
        <f t="shared" si="925"/>
        <v>KFH-OPERATIONS DEPARTMENT</v>
      </c>
      <c r="F2251" t="str">
        <f t="shared" si="926"/>
        <v>IBG</v>
      </c>
      <c r="G2251" t="str">
        <f t="shared" si="916"/>
        <v>Refund COSHARE 10</v>
      </c>
      <c r="H2251" s="2">
        <v>1679</v>
      </c>
      <c r="I2251" t="str">
        <f>"RAIDAHWATI BINTI JALALIN"</f>
        <v>RAIDAHWATI BINTI JALALIN</v>
      </c>
      <c r="J2251" t="str">
        <f t="shared" si="917"/>
        <v>MAYBANK / MAYBANK ISLAMIC</v>
      </c>
      <c r="K2251" t="str">
        <f>"164016993442"</f>
        <v>164016993442</v>
      </c>
      <c r="L2251" t="str">
        <f t="shared" si="927"/>
        <v>04-08-2020</v>
      </c>
      <c r="M2251" t="str">
        <f t="shared" si="927"/>
        <v>04-08-2020</v>
      </c>
      <c r="N2251" t="str">
        <f t="shared" si="928"/>
        <v>001105018356</v>
      </c>
      <c r="O2251" t="str">
        <f t="shared" si="929"/>
        <v>MYR</v>
      </c>
      <c r="P2251" t="str">
        <f t="shared" si="930"/>
        <v>NIL</v>
      </c>
      <c r="Q2251" t="str">
        <f t="shared" si="930"/>
        <v>NIL</v>
      </c>
      <c r="R2251" t="str">
        <f t="shared" si="931"/>
        <v>Accepted</v>
      </c>
      <c r="S2251" t="str">
        <f t="shared" si="932"/>
        <v>Approved</v>
      </c>
      <c r="T2251" t="str">
        <f t="shared" si="933"/>
        <v>10.20.8.188</v>
      </c>
      <c r="U2251" t="str">
        <f t="shared" si="934"/>
        <v>AZRAD UMAR BIN SHAARI</v>
      </c>
      <c r="V2251" t="str">
        <f t="shared" si="935"/>
        <v>FARHANA BINTI MUSTAPA</v>
      </c>
      <c r="W2251" t="str">
        <f t="shared" si="936"/>
        <v>04-08-2020</v>
      </c>
      <c r="X2251" t="str">
        <f t="shared" si="937"/>
        <v>RAZIMAH ANSAR AHMAD</v>
      </c>
      <c r="Y2251" t="str">
        <f t="shared" si="938"/>
        <v>04-08-2020</v>
      </c>
      <c r="Z2251" t="str">
        <f>"COS10200804 6903"</f>
        <v>COS10200804 6903</v>
      </c>
    </row>
    <row r="2252" spans="1:26" x14ac:dyDescent="0.25">
      <c r="A2252" t="str">
        <f t="shared" si="939"/>
        <v>04-08-2020 01:04:59</v>
      </c>
      <c r="B2252" t="str">
        <f>"0000808699"</f>
        <v>0000808699</v>
      </c>
      <c r="C2252" t="str">
        <f t="shared" si="940"/>
        <v>0000808597</v>
      </c>
      <c r="D2252" t="str">
        <f t="shared" si="924"/>
        <v>73185</v>
      </c>
      <c r="E2252" t="str">
        <f t="shared" si="925"/>
        <v>KFH-OPERATIONS DEPARTMENT</v>
      </c>
      <c r="F2252" t="str">
        <f t="shared" si="926"/>
        <v>IBG</v>
      </c>
      <c r="G2252" t="str">
        <f t="shared" ref="G2252:G2315" si="941">"Refund COSHARE 10"</f>
        <v>Refund COSHARE 10</v>
      </c>
      <c r="H2252" s="2">
        <v>125.95</v>
      </c>
      <c r="I2252" t="str">
        <f>"RAHMATIA BINTI TAHIR"</f>
        <v>RAHMATIA BINTI TAHIR</v>
      </c>
      <c r="J2252" t="str">
        <f t="shared" si="917"/>
        <v>MAYBANK / MAYBANK ISLAMIC</v>
      </c>
      <c r="K2252" t="str">
        <f>"160036012789"</f>
        <v>160036012789</v>
      </c>
      <c r="L2252" t="str">
        <f t="shared" si="927"/>
        <v>04-08-2020</v>
      </c>
      <c r="M2252" t="str">
        <f t="shared" si="927"/>
        <v>04-08-2020</v>
      </c>
      <c r="N2252" t="str">
        <f t="shared" si="928"/>
        <v>001105018356</v>
      </c>
      <c r="O2252" t="str">
        <f t="shared" si="929"/>
        <v>MYR</v>
      </c>
      <c r="P2252" t="str">
        <f t="shared" si="930"/>
        <v>NIL</v>
      </c>
      <c r="Q2252" t="str">
        <f t="shared" si="930"/>
        <v>NIL</v>
      </c>
      <c r="R2252" t="str">
        <f t="shared" si="931"/>
        <v>Accepted</v>
      </c>
      <c r="S2252" t="str">
        <f t="shared" si="932"/>
        <v>Approved</v>
      </c>
      <c r="T2252" t="str">
        <f t="shared" si="933"/>
        <v>10.20.8.188</v>
      </c>
      <c r="U2252" t="str">
        <f t="shared" si="934"/>
        <v>AZRAD UMAR BIN SHAARI</v>
      </c>
      <c r="V2252" t="str">
        <f t="shared" si="935"/>
        <v>FARHANA BINTI MUSTAPA</v>
      </c>
      <c r="W2252" t="str">
        <f t="shared" si="936"/>
        <v>04-08-2020</v>
      </c>
      <c r="X2252" t="str">
        <f t="shared" si="937"/>
        <v>RAZIMAH ANSAR AHMAD</v>
      </c>
      <c r="Y2252" t="str">
        <f t="shared" si="938"/>
        <v>04-08-2020</v>
      </c>
      <c r="Z2252" t="str">
        <f>"COS10200804 6902"</f>
        <v>COS10200804 6902</v>
      </c>
    </row>
    <row r="2253" spans="1:26" x14ac:dyDescent="0.25">
      <c r="A2253" t="str">
        <f t="shared" si="939"/>
        <v>04-08-2020 01:04:59</v>
      </c>
      <c r="B2253" t="str">
        <f>"0000808698"</f>
        <v>0000808698</v>
      </c>
      <c r="C2253" t="str">
        <f t="shared" si="940"/>
        <v>0000808597</v>
      </c>
      <c r="D2253" t="str">
        <f t="shared" si="924"/>
        <v>73185</v>
      </c>
      <c r="E2253" t="str">
        <f t="shared" si="925"/>
        <v>KFH-OPERATIONS DEPARTMENT</v>
      </c>
      <c r="F2253" t="str">
        <f t="shared" si="926"/>
        <v>IBG</v>
      </c>
      <c r="G2253" t="str">
        <f t="shared" si="941"/>
        <v>Refund COSHARE 10</v>
      </c>
      <c r="H2253" s="2">
        <v>814</v>
      </c>
      <c r="I2253" t="str">
        <f>"RAHMAN BIN SHUINI"</f>
        <v>RAHMAN BIN SHUINI</v>
      </c>
      <c r="J2253" t="str">
        <f t="shared" si="917"/>
        <v>MAYBANK / MAYBANK ISLAMIC</v>
      </c>
      <c r="K2253" t="str">
        <f>"111093023782"</f>
        <v>111093023782</v>
      </c>
      <c r="L2253" t="str">
        <f t="shared" si="927"/>
        <v>04-08-2020</v>
      </c>
      <c r="M2253" t="str">
        <f t="shared" si="927"/>
        <v>04-08-2020</v>
      </c>
      <c r="N2253" t="str">
        <f t="shared" si="928"/>
        <v>001105018356</v>
      </c>
      <c r="O2253" t="str">
        <f t="shared" si="929"/>
        <v>MYR</v>
      </c>
      <c r="P2253" t="str">
        <f t="shared" si="930"/>
        <v>NIL</v>
      </c>
      <c r="Q2253" t="str">
        <f t="shared" si="930"/>
        <v>NIL</v>
      </c>
      <c r="R2253" t="str">
        <f t="shared" si="931"/>
        <v>Accepted</v>
      </c>
      <c r="S2253" t="str">
        <f t="shared" si="932"/>
        <v>Approved</v>
      </c>
      <c r="T2253" t="str">
        <f t="shared" si="933"/>
        <v>10.20.8.188</v>
      </c>
      <c r="U2253" t="str">
        <f t="shared" si="934"/>
        <v>AZRAD UMAR BIN SHAARI</v>
      </c>
      <c r="V2253" t="str">
        <f t="shared" si="935"/>
        <v>FARHANA BINTI MUSTAPA</v>
      </c>
      <c r="W2253" t="str">
        <f t="shared" si="936"/>
        <v>04-08-2020</v>
      </c>
      <c r="X2253" t="str">
        <f t="shared" si="937"/>
        <v>RAZIMAH ANSAR AHMAD</v>
      </c>
      <c r="Y2253" t="str">
        <f t="shared" si="938"/>
        <v>04-08-2020</v>
      </c>
      <c r="Z2253" t="str">
        <f>"COS10200804 6901"</f>
        <v>COS10200804 6901</v>
      </c>
    </row>
    <row r="2254" spans="1:26" x14ac:dyDescent="0.25">
      <c r="A2254" t="str">
        <f t="shared" si="939"/>
        <v>04-08-2020 01:04:59</v>
      </c>
      <c r="B2254" t="str">
        <f>"0000808697"</f>
        <v>0000808697</v>
      </c>
      <c r="C2254" t="str">
        <f t="shared" si="940"/>
        <v>0000808597</v>
      </c>
      <c r="D2254" t="str">
        <f t="shared" si="924"/>
        <v>73185</v>
      </c>
      <c r="E2254" t="str">
        <f t="shared" si="925"/>
        <v>KFH-OPERATIONS DEPARTMENT</v>
      </c>
      <c r="F2254" t="str">
        <f t="shared" si="926"/>
        <v>IBG</v>
      </c>
      <c r="G2254" t="str">
        <f t="shared" si="941"/>
        <v>Refund COSHARE 10</v>
      </c>
      <c r="H2254" s="2">
        <v>167</v>
      </c>
      <c r="I2254" t="str">
        <f>"RAHMAH BINTI RAHMAT"</f>
        <v>RAHMAH BINTI RAHMAT</v>
      </c>
      <c r="J2254" t="str">
        <f t="shared" si="917"/>
        <v>MAYBANK / MAYBANK ISLAMIC</v>
      </c>
      <c r="K2254" t="str">
        <f>"160214085951"</f>
        <v>160214085951</v>
      </c>
      <c r="L2254" t="str">
        <f t="shared" si="927"/>
        <v>04-08-2020</v>
      </c>
      <c r="M2254" t="str">
        <f t="shared" si="927"/>
        <v>04-08-2020</v>
      </c>
      <c r="N2254" t="str">
        <f t="shared" si="928"/>
        <v>001105018356</v>
      </c>
      <c r="O2254" t="str">
        <f t="shared" si="929"/>
        <v>MYR</v>
      </c>
      <c r="P2254" t="str">
        <f t="shared" si="930"/>
        <v>NIL</v>
      </c>
      <c r="Q2254" t="str">
        <f t="shared" si="930"/>
        <v>NIL</v>
      </c>
      <c r="R2254" t="str">
        <f t="shared" si="931"/>
        <v>Accepted</v>
      </c>
      <c r="S2254" t="str">
        <f t="shared" si="932"/>
        <v>Approved</v>
      </c>
      <c r="T2254" t="str">
        <f t="shared" si="933"/>
        <v>10.20.8.188</v>
      </c>
      <c r="U2254" t="str">
        <f t="shared" si="934"/>
        <v>AZRAD UMAR BIN SHAARI</v>
      </c>
      <c r="V2254" t="str">
        <f t="shared" si="935"/>
        <v>FARHANA BINTI MUSTAPA</v>
      </c>
      <c r="W2254" t="str">
        <f t="shared" si="936"/>
        <v>04-08-2020</v>
      </c>
      <c r="X2254" t="str">
        <f t="shared" si="937"/>
        <v>RAZIMAH ANSAR AHMAD</v>
      </c>
      <c r="Y2254" t="str">
        <f t="shared" si="938"/>
        <v>04-08-2020</v>
      </c>
      <c r="Z2254" t="str">
        <f>"COS10200804 6900"</f>
        <v>COS10200804 6900</v>
      </c>
    </row>
    <row r="2255" spans="1:26" x14ac:dyDescent="0.25">
      <c r="A2255" t="str">
        <f t="shared" si="939"/>
        <v>04-08-2020 01:04:59</v>
      </c>
      <c r="B2255" t="str">
        <f>"0000808696"</f>
        <v>0000808696</v>
      </c>
      <c r="C2255" t="str">
        <f t="shared" si="940"/>
        <v>0000808597</v>
      </c>
      <c r="D2255" t="str">
        <f t="shared" si="924"/>
        <v>73185</v>
      </c>
      <c r="E2255" t="str">
        <f t="shared" si="925"/>
        <v>KFH-OPERATIONS DEPARTMENT</v>
      </c>
      <c r="F2255" t="str">
        <f t="shared" si="926"/>
        <v>IBG</v>
      </c>
      <c r="G2255" t="str">
        <f t="shared" si="941"/>
        <v>Refund COSHARE 10</v>
      </c>
      <c r="H2255" s="2">
        <v>251.85</v>
      </c>
      <c r="I2255" t="str">
        <f>"RAHMAH BINTI DAHALAN"</f>
        <v>RAHMAH BINTI DAHALAN</v>
      </c>
      <c r="J2255" t="str">
        <f t="shared" si="917"/>
        <v>MAYBANK / MAYBANK ISLAMIC</v>
      </c>
      <c r="K2255" t="str">
        <f>"162384873229"</f>
        <v>162384873229</v>
      </c>
      <c r="L2255" t="str">
        <f t="shared" si="927"/>
        <v>04-08-2020</v>
      </c>
      <c r="M2255" t="str">
        <f t="shared" si="927"/>
        <v>04-08-2020</v>
      </c>
      <c r="N2255" t="str">
        <f t="shared" si="928"/>
        <v>001105018356</v>
      </c>
      <c r="O2255" t="str">
        <f t="shared" si="929"/>
        <v>MYR</v>
      </c>
      <c r="P2255" t="str">
        <f t="shared" si="930"/>
        <v>NIL</v>
      </c>
      <c r="Q2255" t="str">
        <f t="shared" si="930"/>
        <v>NIL</v>
      </c>
      <c r="R2255" t="str">
        <f t="shared" si="931"/>
        <v>Accepted</v>
      </c>
      <c r="S2255" t="str">
        <f t="shared" si="932"/>
        <v>Approved</v>
      </c>
      <c r="T2255" t="str">
        <f t="shared" si="933"/>
        <v>10.20.8.188</v>
      </c>
      <c r="U2255" t="str">
        <f t="shared" si="934"/>
        <v>AZRAD UMAR BIN SHAARI</v>
      </c>
      <c r="V2255" t="str">
        <f t="shared" si="935"/>
        <v>FARHANA BINTI MUSTAPA</v>
      </c>
      <c r="W2255" t="str">
        <f t="shared" si="936"/>
        <v>04-08-2020</v>
      </c>
      <c r="X2255" t="str">
        <f t="shared" si="937"/>
        <v>RAZIMAH ANSAR AHMAD</v>
      </c>
      <c r="Y2255" t="str">
        <f t="shared" si="938"/>
        <v>04-08-2020</v>
      </c>
      <c r="Z2255" t="str">
        <f>"COS10200804 6899"</f>
        <v>COS10200804 6899</v>
      </c>
    </row>
    <row r="2256" spans="1:26" x14ac:dyDescent="0.25">
      <c r="A2256" t="str">
        <f t="shared" si="939"/>
        <v>04-08-2020 01:04:59</v>
      </c>
      <c r="B2256" t="str">
        <f>"0000808695"</f>
        <v>0000808695</v>
      </c>
      <c r="C2256" t="str">
        <f t="shared" si="940"/>
        <v>0000808597</v>
      </c>
      <c r="D2256" t="str">
        <f t="shared" si="924"/>
        <v>73185</v>
      </c>
      <c r="E2256" t="str">
        <f t="shared" si="925"/>
        <v>KFH-OPERATIONS DEPARTMENT</v>
      </c>
      <c r="F2256" t="str">
        <f t="shared" si="926"/>
        <v>IBG</v>
      </c>
      <c r="G2256" t="str">
        <f t="shared" si="941"/>
        <v>Refund COSHARE 10</v>
      </c>
      <c r="H2256" s="2">
        <v>1207</v>
      </c>
      <c r="I2256" t="str">
        <f>"RAHIMAH BINTI JAMALI"</f>
        <v>RAHIMAH BINTI JAMALI</v>
      </c>
      <c r="J2256" t="str">
        <f t="shared" si="917"/>
        <v>MAYBANK / MAYBANK ISLAMIC</v>
      </c>
      <c r="K2256" t="str">
        <f>"161190026978"</f>
        <v>161190026978</v>
      </c>
      <c r="L2256" t="str">
        <f t="shared" si="927"/>
        <v>04-08-2020</v>
      </c>
      <c r="M2256" t="str">
        <f t="shared" si="927"/>
        <v>04-08-2020</v>
      </c>
      <c r="N2256" t="str">
        <f t="shared" si="928"/>
        <v>001105018356</v>
      </c>
      <c r="O2256" t="str">
        <f t="shared" si="929"/>
        <v>MYR</v>
      </c>
      <c r="P2256" t="str">
        <f t="shared" si="930"/>
        <v>NIL</v>
      </c>
      <c r="Q2256" t="str">
        <f t="shared" si="930"/>
        <v>NIL</v>
      </c>
      <c r="R2256" t="str">
        <f t="shared" si="931"/>
        <v>Accepted</v>
      </c>
      <c r="S2256" t="str">
        <f t="shared" si="932"/>
        <v>Approved</v>
      </c>
      <c r="T2256" t="str">
        <f t="shared" si="933"/>
        <v>10.20.8.188</v>
      </c>
      <c r="U2256" t="str">
        <f t="shared" si="934"/>
        <v>AZRAD UMAR BIN SHAARI</v>
      </c>
      <c r="V2256" t="str">
        <f t="shared" si="935"/>
        <v>FARHANA BINTI MUSTAPA</v>
      </c>
      <c r="W2256" t="str">
        <f t="shared" si="936"/>
        <v>04-08-2020</v>
      </c>
      <c r="X2256" t="str">
        <f t="shared" si="937"/>
        <v>RAZIMAH ANSAR AHMAD</v>
      </c>
      <c r="Y2256" t="str">
        <f t="shared" si="938"/>
        <v>04-08-2020</v>
      </c>
      <c r="Z2256" t="str">
        <f>"COS10200804 6898"</f>
        <v>COS10200804 6898</v>
      </c>
    </row>
    <row r="2257" spans="1:26" x14ac:dyDescent="0.25">
      <c r="A2257" t="str">
        <f t="shared" si="939"/>
        <v>04-08-2020 01:04:59</v>
      </c>
      <c r="B2257" t="str">
        <f>"0000808694"</f>
        <v>0000808694</v>
      </c>
      <c r="C2257" t="str">
        <f t="shared" si="940"/>
        <v>0000808597</v>
      </c>
      <c r="D2257" t="str">
        <f t="shared" si="924"/>
        <v>73185</v>
      </c>
      <c r="E2257" t="str">
        <f t="shared" si="925"/>
        <v>KFH-OPERATIONS DEPARTMENT</v>
      </c>
      <c r="F2257" t="str">
        <f t="shared" si="926"/>
        <v>IBG</v>
      </c>
      <c r="G2257" t="str">
        <f t="shared" si="941"/>
        <v>Refund COSHARE 10</v>
      </c>
      <c r="H2257" s="2">
        <v>537.29999999999995</v>
      </c>
      <c r="I2257" t="str">
        <f>"RAHIMAH BINTI JAAPAR"</f>
        <v>RAHIMAH BINTI JAAPAR</v>
      </c>
      <c r="J2257" t="str">
        <f t="shared" ref="J2257:J2320" si="942">"MAYBANK / MAYBANK ISLAMIC"</f>
        <v>MAYBANK / MAYBANK ISLAMIC</v>
      </c>
      <c r="K2257" t="str">
        <f>"151119016344"</f>
        <v>151119016344</v>
      </c>
      <c r="L2257" t="str">
        <f t="shared" si="927"/>
        <v>04-08-2020</v>
      </c>
      <c r="M2257" t="str">
        <f t="shared" si="927"/>
        <v>04-08-2020</v>
      </c>
      <c r="N2257" t="str">
        <f t="shared" si="928"/>
        <v>001105018356</v>
      </c>
      <c r="O2257" t="str">
        <f t="shared" si="929"/>
        <v>MYR</v>
      </c>
      <c r="P2257" t="str">
        <f t="shared" si="930"/>
        <v>NIL</v>
      </c>
      <c r="Q2257" t="str">
        <f t="shared" si="930"/>
        <v>NIL</v>
      </c>
      <c r="R2257" t="str">
        <f t="shared" si="931"/>
        <v>Accepted</v>
      </c>
      <c r="S2257" t="str">
        <f t="shared" si="932"/>
        <v>Approved</v>
      </c>
      <c r="T2257" t="str">
        <f t="shared" si="933"/>
        <v>10.20.8.188</v>
      </c>
      <c r="U2257" t="str">
        <f t="shared" si="934"/>
        <v>AZRAD UMAR BIN SHAARI</v>
      </c>
      <c r="V2257" t="str">
        <f t="shared" si="935"/>
        <v>FARHANA BINTI MUSTAPA</v>
      </c>
      <c r="W2257" t="str">
        <f t="shared" si="936"/>
        <v>04-08-2020</v>
      </c>
      <c r="X2257" t="str">
        <f t="shared" si="937"/>
        <v>RAZIMAH ANSAR AHMAD</v>
      </c>
      <c r="Y2257" t="str">
        <f t="shared" si="938"/>
        <v>04-08-2020</v>
      </c>
      <c r="Z2257" t="str">
        <f>"COS10200804 6897"</f>
        <v>COS10200804 6897</v>
      </c>
    </row>
    <row r="2258" spans="1:26" x14ac:dyDescent="0.25">
      <c r="A2258" t="str">
        <f t="shared" si="939"/>
        <v>04-08-2020 01:04:59</v>
      </c>
      <c r="B2258" t="str">
        <f>"0000808693"</f>
        <v>0000808693</v>
      </c>
      <c r="C2258" t="str">
        <f t="shared" si="940"/>
        <v>0000808597</v>
      </c>
      <c r="D2258" t="str">
        <f t="shared" si="924"/>
        <v>73185</v>
      </c>
      <c r="E2258" t="str">
        <f t="shared" si="925"/>
        <v>KFH-OPERATIONS DEPARTMENT</v>
      </c>
      <c r="F2258" t="str">
        <f t="shared" si="926"/>
        <v>IBG</v>
      </c>
      <c r="G2258" t="str">
        <f t="shared" si="941"/>
        <v>Refund COSHARE 10</v>
      </c>
      <c r="H2258" s="2">
        <v>1074.5999999999999</v>
      </c>
      <c r="I2258" t="str">
        <f>"RAHIJAL ASWANDI BIN RAHIM"</f>
        <v>RAHIJAL ASWANDI BIN RAHIM</v>
      </c>
      <c r="J2258" t="str">
        <f t="shared" si="942"/>
        <v>MAYBANK / MAYBANK ISLAMIC</v>
      </c>
      <c r="K2258" t="str">
        <f>"151342045063"</f>
        <v>151342045063</v>
      </c>
      <c r="L2258" t="str">
        <f t="shared" si="927"/>
        <v>04-08-2020</v>
      </c>
      <c r="M2258" t="str">
        <f t="shared" si="927"/>
        <v>04-08-2020</v>
      </c>
      <c r="N2258" t="str">
        <f t="shared" si="928"/>
        <v>001105018356</v>
      </c>
      <c r="O2258" t="str">
        <f t="shared" si="929"/>
        <v>MYR</v>
      </c>
      <c r="P2258" t="str">
        <f t="shared" si="930"/>
        <v>NIL</v>
      </c>
      <c r="Q2258" t="str">
        <f t="shared" si="930"/>
        <v>NIL</v>
      </c>
      <c r="R2258" t="str">
        <f t="shared" si="931"/>
        <v>Accepted</v>
      </c>
      <c r="S2258" t="str">
        <f t="shared" si="932"/>
        <v>Approved</v>
      </c>
      <c r="T2258" t="str">
        <f t="shared" si="933"/>
        <v>10.20.8.188</v>
      </c>
      <c r="U2258" t="str">
        <f t="shared" si="934"/>
        <v>AZRAD UMAR BIN SHAARI</v>
      </c>
      <c r="V2258" t="str">
        <f t="shared" si="935"/>
        <v>FARHANA BINTI MUSTAPA</v>
      </c>
      <c r="W2258" t="str">
        <f t="shared" si="936"/>
        <v>04-08-2020</v>
      </c>
      <c r="X2258" t="str">
        <f t="shared" si="937"/>
        <v>RAZIMAH ANSAR AHMAD</v>
      </c>
      <c r="Y2258" t="str">
        <f t="shared" si="938"/>
        <v>04-08-2020</v>
      </c>
      <c r="Z2258" t="str">
        <f>"COS10200804 6896"</f>
        <v>COS10200804 6896</v>
      </c>
    </row>
    <row r="2259" spans="1:26" x14ac:dyDescent="0.25">
      <c r="A2259" t="str">
        <f t="shared" si="939"/>
        <v>04-08-2020 01:04:59</v>
      </c>
      <c r="B2259" t="str">
        <f>"0000808692"</f>
        <v>0000808692</v>
      </c>
      <c r="C2259" t="str">
        <f t="shared" si="940"/>
        <v>0000808597</v>
      </c>
      <c r="D2259" t="str">
        <f t="shared" si="924"/>
        <v>73185</v>
      </c>
      <c r="E2259" t="str">
        <f t="shared" si="925"/>
        <v>KFH-OPERATIONS DEPARTMENT</v>
      </c>
      <c r="F2259" t="str">
        <f t="shared" si="926"/>
        <v>IBG</v>
      </c>
      <c r="G2259" t="str">
        <f t="shared" si="941"/>
        <v>Refund COSHARE 10</v>
      </c>
      <c r="H2259" s="2">
        <v>755.55</v>
      </c>
      <c r="I2259" t="str">
        <f>"RAHAYU BINTI PUASA"</f>
        <v>RAHAYU BINTI PUASA</v>
      </c>
      <c r="J2259" t="str">
        <f t="shared" si="942"/>
        <v>MAYBANK / MAYBANK ISLAMIC</v>
      </c>
      <c r="K2259" t="str">
        <f>"101076018531"</f>
        <v>101076018531</v>
      </c>
      <c r="L2259" t="str">
        <f t="shared" si="927"/>
        <v>04-08-2020</v>
      </c>
      <c r="M2259" t="str">
        <f t="shared" si="927"/>
        <v>04-08-2020</v>
      </c>
      <c r="N2259" t="str">
        <f t="shared" si="928"/>
        <v>001105018356</v>
      </c>
      <c r="O2259" t="str">
        <f t="shared" si="929"/>
        <v>MYR</v>
      </c>
      <c r="P2259" t="str">
        <f t="shared" si="930"/>
        <v>NIL</v>
      </c>
      <c r="Q2259" t="str">
        <f t="shared" si="930"/>
        <v>NIL</v>
      </c>
      <c r="R2259" t="str">
        <f t="shared" si="931"/>
        <v>Accepted</v>
      </c>
      <c r="S2259" t="str">
        <f t="shared" si="932"/>
        <v>Approved</v>
      </c>
      <c r="T2259" t="str">
        <f t="shared" si="933"/>
        <v>10.20.8.188</v>
      </c>
      <c r="U2259" t="str">
        <f t="shared" si="934"/>
        <v>AZRAD UMAR BIN SHAARI</v>
      </c>
      <c r="V2259" t="str">
        <f t="shared" si="935"/>
        <v>FARHANA BINTI MUSTAPA</v>
      </c>
      <c r="W2259" t="str">
        <f t="shared" si="936"/>
        <v>04-08-2020</v>
      </c>
      <c r="X2259" t="str">
        <f t="shared" si="937"/>
        <v>RAZIMAH ANSAR AHMAD</v>
      </c>
      <c r="Y2259" t="str">
        <f t="shared" si="938"/>
        <v>04-08-2020</v>
      </c>
      <c r="Z2259" t="str">
        <f>"COS10200804 6895"</f>
        <v>COS10200804 6895</v>
      </c>
    </row>
    <row r="2260" spans="1:26" x14ac:dyDescent="0.25">
      <c r="A2260" t="str">
        <f t="shared" si="939"/>
        <v>04-08-2020 01:04:59</v>
      </c>
      <c r="B2260" t="str">
        <f>"0000808691"</f>
        <v>0000808691</v>
      </c>
      <c r="C2260" t="str">
        <f t="shared" si="940"/>
        <v>0000808597</v>
      </c>
      <c r="D2260" t="str">
        <f t="shared" si="924"/>
        <v>73185</v>
      </c>
      <c r="E2260" t="str">
        <f t="shared" si="925"/>
        <v>KFH-OPERATIONS DEPARTMENT</v>
      </c>
      <c r="F2260" t="str">
        <f t="shared" si="926"/>
        <v>IBG</v>
      </c>
      <c r="G2260" t="str">
        <f t="shared" si="941"/>
        <v>Refund COSHARE 10</v>
      </c>
      <c r="H2260" s="2">
        <v>655</v>
      </c>
      <c r="I2260" t="str">
        <f>"RAHAYU BINTI ABDOL RGANI"</f>
        <v>RAHAYU BINTI ABDOL RGANI</v>
      </c>
      <c r="J2260" t="str">
        <f t="shared" si="942"/>
        <v>MAYBANK / MAYBANK ISLAMIC</v>
      </c>
      <c r="K2260" t="str">
        <f>"164548116004"</f>
        <v>164548116004</v>
      </c>
      <c r="L2260" t="str">
        <f t="shared" si="927"/>
        <v>04-08-2020</v>
      </c>
      <c r="M2260" t="str">
        <f t="shared" si="927"/>
        <v>04-08-2020</v>
      </c>
      <c r="N2260" t="str">
        <f t="shared" si="928"/>
        <v>001105018356</v>
      </c>
      <c r="O2260" t="str">
        <f t="shared" si="929"/>
        <v>MYR</v>
      </c>
      <c r="P2260" t="str">
        <f t="shared" si="930"/>
        <v>NIL</v>
      </c>
      <c r="Q2260" t="str">
        <f t="shared" si="930"/>
        <v>NIL</v>
      </c>
      <c r="R2260" t="str">
        <f t="shared" si="931"/>
        <v>Accepted</v>
      </c>
      <c r="S2260" t="str">
        <f t="shared" si="932"/>
        <v>Approved</v>
      </c>
      <c r="T2260" t="str">
        <f t="shared" si="933"/>
        <v>10.20.8.188</v>
      </c>
      <c r="U2260" t="str">
        <f t="shared" si="934"/>
        <v>AZRAD UMAR BIN SHAARI</v>
      </c>
      <c r="V2260" t="str">
        <f t="shared" si="935"/>
        <v>FARHANA BINTI MUSTAPA</v>
      </c>
      <c r="W2260" t="str">
        <f t="shared" si="936"/>
        <v>04-08-2020</v>
      </c>
      <c r="X2260" t="str">
        <f t="shared" si="937"/>
        <v>RAZIMAH ANSAR AHMAD</v>
      </c>
      <c r="Y2260" t="str">
        <f t="shared" si="938"/>
        <v>04-08-2020</v>
      </c>
      <c r="Z2260" t="str">
        <f>"COS10200804 6894"</f>
        <v>COS10200804 6894</v>
      </c>
    </row>
    <row r="2261" spans="1:26" x14ac:dyDescent="0.25">
      <c r="A2261" t="str">
        <f t="shared" si="939"/>
        <v>04-08-2020 01:04:59</v>
      </c>
      <c r="B2261" t="str">
        <f>"0000808690"</f>
        <v>0000808690</v>
      </c>
      <c r="C2261" t="str">
        <f t="shared" si="940"/>
        <v>0000808597</v>
      </c>
      <c r="D2261" t="str">
        <f t="shared" si="924"/>
        <v>73185</v>
      </c>
      <c r="E2261" t="str">
        <f t="shared" si="925"/>
        <v>KFH-OPERATIONS DEPARTMENT</v>
      </c>
      <c r="F2261" t="str">
        <f t="shared" si="926"/>
        <v>IBG</v>
      </c>
      <c r="G2261" t="str">
        <f t="shared" si="941"/>
        <v>Refund COSHARE 10</v>
      </c>
      <c r="H2261" s="2">
        <v>254.1</v>
      </c>
      <c r="I2261" t="str">
        <f>"RAHANIZA BINTI ABDUL RAHMAN"</f>
        <v>RAHANIZA BINTI ABDUL RAHMAN</v>
      </c>
      <c r="J2261" t="str">
        <f t="shared" si="942"/>
        <v>MAYBANK / MAYBANK ISLAMIC</v>
      </c>
      <c r="K2261" t="str">
        <f>"103042191858"</f>
        <v>103042191858</v>
      </c>
      <c r="L2261" t="str">
        <f t="shared" si="927"/>
        <v>04-08-2020</v>
      </c>
      <c r="M2261" t="str">
        <f t="shared" si="927"/>
        <v>04-08-2020</v>
      </c>
      <c r="N2261" t="str">
        <f t="shared" si="928"/>
        <v>001105018356</v>
      </c>
      <c r="O2261" t="str">
        <f t="shared" si="929"/>
        <v>MYR</v>
      </c>
      <c r="P2261" t="str">
        <f t="shared" si="930"/>
        <v>NIL</v>
      </c>
      <c r="Q2261" t="str">
        <f t="shared" si="930"/>
        <v>NIL</v>
      </c>
      <c r="R2261" t="str">
        <f t="shared" si="931"/>
        <v>Accepted</v>
      </c>
      <c r="S2261" t="str">
        <f t="shared" si="932"/>
        <v>Approved</v>
      </c>
      <c r="T2261" t="str">
        <f t="shared" si="933"/>
        <v>10.20.8.188</v>
      </c>
      <c r="U2261" t="str">
        <f t="shared" si="934"/>
        <v>AZRAD UMAR BIN SHAARI</v>
      </c>
      <c r="V2261" t="str">
        <f t="shared" si="935"/>
        <v>FARHANA BINTI MUSTAPA</v>
      </c>
      <c r="W2261" t="str">
        <f t="shared" si="936"/>
        <v>04-08-2020</v>
      </c>
      <c r="X2261" t="str">
        <f t="shared" si="937"/>
        <v>RAZIMAH ANSAR AHMAD</v>
      </c>
      <c r="Y2261" t="str">
        <f t="shared" si="938"/>
        <v>04-08-2020</v>
      </c>
      <c r="Z2261" t="str">
        <f>"COS10200804 6893"</f>
        <v>COS10200804 6893</v>
      </c>
    </row>
    <row r="2262" spans="1:26" x14ac:dyDescent="0.25">
      <c r="A2262" t="str">
        <f t="shared" si="939"/>
        <v>04-08-2020 01:04:59</v>
      </c>
      <c r="B2262" t="str">
        <f>"0000808689"</f>
        <v>0000808689</v>
      </c>
      <c r="C2262" t="str">
        <f t="shared" si="940"/>
        <v>0000808597</v>
      </c>
      <c r="D2262" t="str">
        <f t="shared" si="924"/>
        <v>73185</v>
      </c>
      <c r="E2262" t="str">
        <f t="shared" si="925"/>
        <v>KFH-OPERATIONS DEPARTMENT</v>
      </c>
      <c r="F2262" t="str">
        <f t="shared" si="926"/>
        <v>IBG</v>
      </c>
      <c r="G2262" t="str">
        <f t="shared" si="941"/>
        <v>Refund COSHARE 10</v>
      </c>
      <c r="H2262" s="2">
        <v>54.9</v>
      </c>
      <c r="I2262" t="str">
        <f>"RAHA RAHAYU BINTI MOHD NOR"</f>
        <v>RAHA RAHAYU BINTI MOHD NOR</v>
      </c>
      <c r="J2262" t="str">
        <f t="shared" si="942"/>
        <v>MAYBANK / MAYBANK ISLAMIC</v>
      </c>
      <c r="K2262" t="str">
        <f>"154035305492"</f>
        <v>154035305492</v>
      </c>
      <c r="L2262" t="str">
        <f t="shared" si="927"/>
        <v>04-08-2020</v>
      </c>
      <c r="M2262" t="str">
        <f t="shared" si="927"/>
        <v>04-08-2020</v>
      </c>
      <c r="N2262" t="str">
        <f t="shared" si="928"/>
        <v>001105018356</v>
      </c>
      <c r="O2262" t="str">
        <f t="shared" si="929"/>
        <v>MYR</v>
      </c>
      <c r="P2262" t="str">
        <f t="shared" si="930"/>
        <v>NIL</v>
      </c>
      <c r="Q2262" t="str">
        <f t="shared" si="930"/>
        <v>NIL</v>
      </c>
      <c r="R2262" t="str">
        <f t="shared" si="931"/>
        <v>Accepted</v>
      </c>
      <c r="S2262" t="str">
        <f t="shared" si="932"/>
        <v>Approved</v>
      </c>
      <c r="T2262" t="str">
        <f t="shared" si="933"/>
        <v>10.20.8.188</v>
      </c>
      <c r="U2262" t="str">
        <f t="shared" si="934"/>
        <v>AZRAD UMAR BIN SHAARI</v>
      </c>
      <c r="V2262" t="str">
        <f t="shared" si="935"/>
        <v>FARHANA BINTI MUSTAPA</v>
      </c>
      <c r="W2262" t="str">
        <f t="shared" si="936"/>
        <v>04-08-2020</v>
      </c>
      <c r="X2262" t="str">
        <f t="shared" si="937"/>
        <v>RAZIMAH ANSAR AHMAD</v>
      </c>
      <c r="Y2262" t="str">
        <f t="shared" si="938"/>
        <v>04-08-2020</v>
      </c>
      <c r="Z2262" t="str">
        <f>"COS10200804 6892"</f>
        <v>COS10200804 6892</v>
      </c>
    </row>
    <row r="2263" spans="1:26" x14ac:dyDescent="0.25">
      <c r="A2263" t="str">
        <f t="shared" si="939"/>
        <v>04-08-2020 01:04:59</v>
      </c>
      <c r="B2263" t="str">
        <f>"0000808688"</f>
        <v>0000808688</v>
      </c>
      <c r="C2263" t="str">
        <f t="shared" si="940"/>
        <v>0000808597</v>
      </c>
      <c r="D2263" t="str">
        <f t="shared" si="924"/>
        <v>73185</v>
      </c>
      <c r="E2263" t="str">
        <f t="shared" si="925"/>
        <v>KFH-OPERATIONS DEPARTMENT</v>
      </c>
      <c r="F2263" t="str">
        <f t="shared" si="926"/>
        <v>IBG</v>
      </c>
      <c r="G2263" t="str">
        <f t="shared" si="941"/>
        <v>Refund COSHARE 10</v>
      </c>
      <c r="H2263" s="2">
        <v>1301.25</v>
      </c>
      <c r="I2263" t="str">
        <f>"RAFIZRIN BIN RAFLI"</f>
        <v>RAFIZRIN BIN RAFLI</v>
      </c>
      <c r="J2263" t="str">
        <f t="shared" si="942"/>
        <v>MAYBANK / MAYBANK ISLAMIC</v>
      </c>
      <c r="K2263" t="str">
        <f>"162021311963"</f>
        <v>162021311963</v>
      </c>
      <c r="L2263" t="str">
        <f t="shared" si="927"/>
        <v>04-08-2020</v>
      </c>
      <c r="M2263" t="str">
        <f t="shared" si="927"/>
        <v>04-08-2020</v>
      </c>
      <c r="N2263" t="str">
        <f t="shared" si="928"/>
        <v>001105018356</v>
      </c>
      <c r="O2263" t="str">
        <f t="shared" si="929"/>
        <v>MYR</v>
      </c>
      <c r="P2263" t="str">
        <f t="shared" si="930"/>
        <v>NIL</v>
      </c>
      <c r="Q2263" t="str">
        <f t="shared" si="930"/>
        <v>NIL</v>
      </c>
      <c r="R2263" t="str">
        <f t="shared" si="931"/>
        <v>Accepted</v>
      </c>
      <c r="S2263" t="str">
        <f t="shared" si="932"/>
        <v>Approved</v>
      </c>
      <c r="T2263" t="str">
        <f t="shared" si="933"/>
        <v>10.20.8.188</v>
      </c>
      <c r="U2263" t="str">
        <f t="shared" si="934"/>
        <v>AZRAD UMAR BIN SHAARI</v>
      </c>
      <c r="V2263" t="str">
        <f t="shared" si="935"/>
        <v>FARHANA BINTI MUSTAPA</v>
      </c>
      <c r="W2263" t="str">
        <f t="shared" si="936"/>
        <v>04-08-2020</v>
      </c>
      <c r="X2263" t="str">
        <f t="shared" si="937"/>
        <v>RAZIMAH ANSAR AHMAD</v>
      </c>
      <c r="Y2263" t="str">
        <f t="shared" si="938"/>
        <v>04-08-2020</v>
      </c>
      <c r="Z2263" t="str">
        <f>"COS10200804 6891"</f>
        <v>COS10200804 6891</v>
      </c>
    </row>
    <row r="2264" spans="1:26" x14ac:dyDescent="0.25">
      <c r="A2264" t="str">
        <f t="shared" si="939"/>
        <v>04-08-2020 01:04:59</v>
      </c>
      <c r="B2264" t="str">
        <f>"0000808687"</f>
        <v>0000808687</v>
      </c>
      <c r="C2264" t="str">
        <f t="shared" si="940"/>
        <v>0000808597</v>
      </c>
      <c r="D2264" t="str">
        <f t="shared" si="924"/>
        <v>73185</v>
      </c>
      <c r="E2264" t="str">
        <f t="shared" si="925"/>
        <v>KFH-OPERATIONS DEPARTMENT</v>
      </c>
      <c r="F2264" t="str">
        <f t="shared" si="926"/>
        <v>IBG</v>
      </c>
      <c r="G2264" t="str">
        <f t="shared" si="941"/>
        <v>Refund COSHARE 10</v>
      </c>
      <c r="H2264" s="2">
        <v>84</v>
      </c>
      <c r="I2264" t="str">
        <f>"RAFIZA BINTI RAHMAT"</f>
        <v>RAFIZA BINTI RAHMAT</v>
      </c>
      <c r="J2264" t="str">
        <f t="shared" si="942"/>
        <v>MAYBANK / MAYBANK ISLAMIC</v>
      </c>
      <c r="K2264" t="str">
        <f>"162133014624"</f>
        <v>162133014624</v>
      </c>
      <c r="L2264" t="str">
        <f t="shared" si="927"/>
        <v>04-08-2020</v>
      </c>
      <c r="M2264" t="str">
        <f t="shared" si="927"/>
        <v>04-08-2020</v>
      </c>
      <c r="N2264" t="str">
        <f t="shared" si="928"/>
        <v>001105018356</v>
      </c>
      <c r="O2264" t="str">
        <f t="shared" si="929"/>
        <v>MYR</v>
      </c>
      <c r="P2264" t="str">
        <f t="shared" si="930"/>
        <v>NIL</v>
      </c>
      <c r="Q2264" t="str">
        <f t="shared" si="930"/>
        <v>NIL</v>
      </c>
      <c r="R2264" t="str">
        <f t="shared" si="931"/>
        <v>Accepted</v>
      </c>
      <c r="S2264" t="str">
        <f t="shared" si="932"/>
        <v>Approved</v>
      </c>
      <c r="T2264" t="str">
        <f t="shared" si="933"/>
        <v>10.20.8.188</v>
      </c>
      <c r="U2264" t="str">
        <f t="shared" si="934"/>
        <v>AZRAD UMAR BIN SHAARI</v>
      </c>
      <c r="V2264" t="str">
        <f t="shared" si="935"/>
        <v>FARHANA BINTI MUSTAPA</v>
      </c>
      <c r="W2264" t="str">
        <f t="shared" si="936"/>
        <v>04-08-2020</v>
      </c>
      <c r="X2264" t="str">
        <f t="shared" si="937"/>
        <v>RAZIMAH ANSAR AHMAD</v>
      </c>
      <c r="Y2264" t="str">
        <f t="shared" si="938"/>
        <v>04-08-2020</v>
      </c>
      <c r="Z2264" t="str">
        <f>"COS10200804 6890"</f>
        <v>COS10200804 6890</v>
      </c>
    </row>
    <row r="2265" spans="1:26" x14ac:dyDescent="0.25">
      <c r="A2265" t="str">
        <f t="shared" si="939"/>
        <v>04-08-2020 01:04:59</v>
      </c>
      <c r="B2265" t="str">
        <f>"0000808686"</f>
        <v>0000808686</v>
      </c>
      <c r="C2265" t="str">
        <f t="shared" si="940"/>
        <v>0000808597</v>
      </c>
      <c r="D2265" t="str">
        <f t="shared" si="924"/>
        <v>73185</v>
      </c>
      <c r="E2265" t="str">
        <f t="shared" si="925"/>
        <v>KFH-OPERATIONS DEPARTMENT</v>
      </c>
      <c r="F2265" t="str">
        <f t="shared" si="926"/>
        <v>IBG</v>
      </c>
      <c r="G2265" t="str">
        <f t="shared" si="941"/>
        <v>Refund COSHARE 10</v>
      </c>
      <c r="H2265" s="2">
        <v>167.9</v>
      </c>
      <c r="I2265" t="str">
        <f>"RAFIDAH BT SALEHAN"</f>
        <v>RAFIDAH BT SALEHAN</v>
      </c>
      <c r="J2265" t="str">
        <f t="shared" si="942"/>
        <v>MAYBANK / MAYBANK ISLAMIC</v>
      </c>
      <c r="K2265" t="str">
        <f>"151017140267"</f>
        <v>151017140267</v>
      </c>
      <c r="L2265" t="str">
        <f t="shared" si="927"/>
        <v>04-08-2020</v>
      </c>
      <c r="M2265" t="str">
        <f t="shared" si="927"/>
        <v>04-08-2020</v>
      </c>
      <c r="N2265" t="str">
        <f t="shared" si="928"/>
        <v>001105018356</v>
      </c>
      <c r="O2265" t="str">
        <f t="shared" si="929"/>
        <v>MYR</v>
      </c>
      <c r="P2265" t="str">
        <f t="shared" si="930"/>
        <v>NIL</v>
      </c>
      <c r="Q2265" t="str">
        <f t="shared" si="930"/>
        <v>NIL</v>
      </c>
      <c r="R2265" t="str">
        <f t="shared" si="931"/>
        <v>Accepted</v>
      </c>
      <c r="S2265" t="str">
        <f t="shared" si="932"/>
        <v>Approved</v>
      </c>
      <c r="T2265" t="str">
        <f t="shared" si="933"/>
        <v>10.20.8.188</v>
      </c>
      <c r="U2265" t="str">
        <f t="shared" si="934"/>
        <v>AZRAD UMAR BIN SHAARI</v>
      </c>
      <c r="V2265" t="str">
        <f t="shared" si="935"/>
        <v>FARHANA BINTI MUSTAPA</v>
      </c>
      <c r="W2265" t="str">
        <f t="shared" si="936"/>
        <v>04-08-2020</v>
      </c>
      <c r="X2265" t="str">
        <f t="shared" si="937"/>
        <v>RAZIMAH ANSAR AHMAD</v>
      </c>
      <c r="Y2265" t="str">
        <f t="shared" si="938"/>
        <v>04-08-2020</v>
      </c>
      <c r="Z2265" t="str">
        <f>"COS10200804 6889"</f>
        <v>COS10200804 6889</v>
      </c>
    </row>
    <row r="2266" spans="1:26" x14ac:dyDescent="0.25">
      <c r="A2266" t="str">
        <f t="shared" si="939"/>
        <v>04-08-2020 01:04:59</v>
      </c>
      <c r="B2266" t="str">
        <f>"0000808685"</f>
        <v>0000808685</v>
      </c>
      <c r="C2266" t="str">
        <f t="shared" si="940"/>
        <v>0000808597</v>
      </c>
      <c r="D2266" t="str">
        <f t="shared" si="924"/>
        <v>73185</v>
      </c>
      <c r="E2266" t="str">
        <f t="shared" si="925"/>
        <v>KFH-OPERATIONS DEPARTMENT</v>
      </c>
      <c r="F2266" t="str">
        <f t="shared" si="926"/>
        <v>IBG</v>
      </c>
      <c r="G2266" t="str">
        <f t="shared" si="941"/>
        <v>Refund COSHARE 10</v>
      </c>
      <c r="H2266" s="2">
        <v>722</v>
      </c>
      <c r="I2266" t="str">
        <f>"RAFIDAH BINTI SHAMSUDDIN"</f>
        <v>RAFIDAH BINTI SHAMSUDDIN</v>
      </c>
      <c r="J2266" t="str">
        <f t="shared" si="942"/>
        <v>MAYBANK / MAYBANK ISLAMIC</v>
      </c>
      <c r="K2266" t="str">
        <f>"112370005681"</f>
        <v>112370005681</v>
      </c>
      <c r="L2266" t="str">
        <f t="shared" si="927"/>
        <v>04-08-2020</v>
      </c>
      <c r="M2266" t="str">
        <f t="shared" si="927"/>
        <v>04-08-2020</v>
      </c>
      <c r="N2266" t="str">
        <f t="shared" si="928"/>
        <v>001105018356</v>
      </c>
      <c r="O2266" t="str">
        <f t="shared" si="929"/>
        <v>MYR</v>
      </c>
      <c r="P2266" t="str">
        <f t="shared" si="930"/>
        <v>NIL</v>
      </c>
      <c r="Q2266" t="str">
        <f t="shared" si="930"/>
        <v>NIL</v>
      </c>
      <c r="R2266" t="str">
        <f t="shared" si="931"/>
        <v>Accepted</v>
      </c>
      <c r="S2266" t="str">
        <f t="shared" si="932"/>
        <v>Approved</v>
      </c>
      <c r="T2266" t="str">
        <f t="shared" si="933"/>
        <v>10.20.8.188</v>
      </c>
      <c r="U2266" t="str">
        <f t="shared" si="934"/>
        <v>AZRAD UMAR BIN SHAARI</v>
      </c>
      <c r="V2266" t="str">
        <f t="shared" si="935"/>
        <v>FARHANA BINTI MUSTAPA</v>
      </c>
      <c r="W2266" t="str">
        <f t="shared" si="936"/>
        <v>04-08-2020</v>
      </c>
      <c r="X2266" t="str">
        <f t="shared" si="937"/>
        <v>RAZIMAH ANSAR AHMAD</v>
      </c>
      <c r="Y2266" t="str">
        <f t="shared" si="938"/>
        <v>04-08-2020</v>
      </c>
      <c r="Z2266" t="str">
        <f>"COS10200804 6888"</f>
        <v>COS10200804 6888</v>
      </c>
    </row>
    <row r="2267" spans="1:26" x14ac:dyDescent="0.25">
      <c r="A2267" t="str">
        <f t="shared" si="939"/>
        <v>04-08-2020 01:04:59</v>
      </c>
      <c r="B2267" t="str">
        <f>"0000808684"</f>
        <v>0000808684</v>
      </c>
      <c r="C2267" t="str">
        <f t="shared" si="940"/>
        <v>0000808597</v>
      </c>
      <c r="D2267" t="str">
        <f t="shared" si="924"/>
        <v>73185</v>
      </c>
      <c r="E2267" t="str">
        <f t="shared" si="925"/>
        <v>KFH-OPERATIONS DEPARTMENT</v>
      </c>
      <c r="F2267" t="str">
        <f t="shared" si="926"/>
        <v>IBG</v>
      </c>
      <c r="G2267" t="str">
        <f t="shared" si="941"/>
        <v>Refund COSHARE 10</v>
      </c>
      <c r="H2267" s="2">
        <v>390.3</v>
      </c>
      <c r="I2267" t="str">
        <f>"RAFIDAH BINTI SA ALI"</f>
        <v>RAFIDAH BINTI SA ALI</v>
      </c>
      <c r="J2267" t="str">
        <f t="shared" si="942"/>
        <v>MAYBANK / MAYBANK ISLAMIC</v>
      </c>
      <c r="K2267" t="str">
        <f>"101133261777"</f>
        <v>101133261777</v>
      </c>
      <c r="L2267" t="str">
        <f t="shared" ref="L2267:M2286" si="943">"04-08-2020"</f>
        <v>04-08-2020</v>
      </c>
      <c r="M2267" t="str">
        <f t="shared" si="943"/>
        <v>04-08-2020</v>
      </c>
      <c r="N2267" t="str">
        <f t="shared" si="928"/>
        <v>001105018356</v>
      </c>
      <c r="O2267" t="str">
        <f t="shared" si="929"/>
        <v>MYR</v>
      </c>
      <c r="P2267" t="str">
        <f t="shared" ref="P2267:Q2286" si="944">"NIL"</f>
        <v>NIL</v>
      </c>
      <c r="Q2267" t="str">
        <f t="shared" si="944"/>
        <v>NIL</v>
      </c>
      <c r="R2267" t="str">
        <f t="shared" si="931"/>
        <v>Accepted</v>
      </c>
      <c r="S2267" t="str">
        <f t="shared" si="932"/>
        <v>Approved</v>
      </c>
      <c r="T2267" t="str">
        <f t="shared" si="933"/>
        <v>10.20.8.188</v>
      </c>
      <c r="U2267" t="str">
        <f t="shared" si="934"/>
        <v>AZRAD UMAR BIN SHAARI</v>
      </c>
      <c r="V2267" t="str">
        <f t="shared" si="935"/>
        <v>FARHANA BINTI MUSTAPA</v>
      </c>
      <c r="W2267" t="str">
        <f t="shared" si="936"/>
        <v>04-08-2020</v>
      </c>
      <c r="X2267" t="str">
        <f t="shared" si="937"/>
        <v>RAZIMAH ANSAR AHMAD</v>
      </c>
      <c r="Y2267" t="str">
        <f t="shared" si="938"/>
        <v>04-08-2020</v>
      </c>
      <c r="Z2267" t="str">
        <f>"COS10200804 6887"</f>
        <v>COS10200804 6887</v>
      </c>
    </row>
    <row r="2268" spans="1:26" x14ac:dyDescent="0.25">
      <c r="A2268" t="str">
        <f t="shared" si="939"/>
        <v>04-08-2020 01:04:59</v>
      </c>
      <c r="B2268" t="str">
        <f>"0000808683"</f>
        <v>0000808683</v>
      </c>
      <c r="C2268" t="str">
        <f t="shared" si="940"/>
        <v>0000808597</v>
      </c>
      <c r="D2268" t="str">
        <f t="shared" si="924"/>
        <v>73185</v>
      </c>
      <c r="E2268" t="str">
        <f t="shared" si="925"/>
        <v>KFH-OPERATIONS DEPARTMENT</v>
      </c>
      <c r="F2268" t="str">
        <f t="shared" si="926"/>
        <v>IBG</v>
      </c>
      <c r="G2268" t="str">
        <f t="shared" si="941"/>
        <v>Refund COSHARE 10</v>
      </c>
      <c r="H2268" s="2">
        <v>50.85</v>
      </c>
      <c r="I2268" t="str">
        <f>"RAFIDAH BINTI MAHAMUD"</f>
        <v>RAFIDAH BINTI MAHAMUD</v>
      </c>
      <c r="J2268" t="str">
        <f t="shared" si="942"/>
        <v>MAYBANK / MAYBANK ISLAMIC</v>
      </c>
      <c r="K2268" t="str">
        <f>"107134552637"</f>
        <v>107134552637</v>
      </c>
      <c r="L2268" t="str">
        <f t="shared" si="943"/>
        <v>04-08-2020</v>
      </c>
      <c r="M2268" t="str">
        <f t="shared" si="943"/>
        <v>04-08-2020</v>
      </c>
      <c r="N2268" t="str">
        <f t="shared" si="928"/>
        <v>001105018356</v>
      </c>
      <c r="O2268" t="str">
        <f t="shared" si="929"/>
        <v>MYR</v>
      </c>
      <c r="P2268" t="str">
        <f t="shared" si="944"/>
        <v>NIL</v>
      </c>
      <c r="Q2268" t="str">
        <f t="shared" si="944"/>
        <v>NIL</v>
      </c>
      <c r="R2268" t="str">
        <f t="shared" si="931"/>
        <v>Accepted</v>
      </c>
      <c r="S2268" t="str">
        <f t="shared" si="932"/>
        <v>Approved</v>
      </c>
      <c r="T2268" t="str">
        <f t="shared" si="933"/>
        <v>10.20.8.188</v>
      </c>
      <c r="U2268" t="str">
        <f t="shared" si="934"/>
        <v>AZRAD UMAR BIN SHAARI</v>
      </c>
      <c r="V2268" t="str">
        <f t="shared" si="935"/>
        <v>FARHANA BINTI MUSTAPA</v>
      </c>
      <c r="W2268" t="str">
        <f t="shared" si="936"/>
        <v>04-08-2020</v>
      </c>
      <c r="X2268" t="str">
        <f t="shared" si="937"/>
        <v>RAZIMAH ANSAR AHMAD</v>
      </c>
      <c r="Y2268" t="str">
        <f t="shared" si="938"/>
        <v>04-08-2020</v>
      </c>
      <c r="Z2268" t="str">
        <f>"COS10200804 6886"</f>
        <v>COS10200804 6886</v>
      </c>
    </row>
    <row r="2269" spans="1:26" x14ac:dyDescent="0.25">
      <c r="A2269" t="str">
        <f t="shared" si="939"/>
        <v>04-08-2020 01:04:59</v>
      </c>
      <c r="B2269" t="str">
        <f>"0000808682"</f>
        <v>0000808682</v>
      </c>
      <c r="C2269" t="str">
        <f t="shared" si="940"/>
        <v>0000808597</v>
      </c>
      <c r="D2269" t="str">
        <f t="shared" si="924"/>
        <v>73185</v>
      </c>
      <c r="E2269" t="str">
        <f t="shared" si="925"/>
        <v>KFH-OPERATIONS DEPARTMENT</v>
      </c>
      <c r="F2269" t="str">
        <f t="shared" si="926"/>
        <v>IBG</v>
      </c>
      <c r="G2269" t="str">
        <f t="shared" si="941"/>
        <v>Refund COSHARE 10</v>
      </c>
      <c r="H2269" s="2">
        <v>839.5</v>
      </c>
      <c r="I2269" t="str">
        <f>"RAFIDAH BINTI KAMIS"</f>
        <v>RAFIDAH BINTI KAMIS</v>
      </c>
      <c r="J2269" t="str">
        <f t="shared" si="942"/>
        <v>MAYBANK / MAYBANK ISLAMIC</v>
      </c>
      <c r="K2269" t="str">
        <f>"157018654018"</f>
        <v>157018654018</v>
      </c>
      <c r="L2269" t="str">
        <f t="shared" si="943"/>
        <v>04-08-2020</v>
      </c>
      <c r="M2269" t="str">
        <f t="shared" si="943"/>
        <v>04-08-2020</v>
      </c>
      <c r="N2269" t="str">
        <f t="shared" si="928"/>
        <v>001105018356</v>
      </c>
      <c r="O2269" t="str">
        <f t="shared" si="929"/>
        <v>MYR</v>
      </c>
      <c r="P2269" t="str">
        <f t="shared" si="944"/>
        <v>NIL</v>
      </c>
      <c r="Q2269" t="str">
        <f t="shared" si="944"/>
        <v>NIL</v>
      </c>
      <c r="R2269" t="str">
        <f t="shared" si="931"/>
        <v>Accepted</v>
      </c>
      <c r="S2269" t="str">
        <f t="shared" si="932"/>
        <v>Approved</v>
      </c>
      <c r="T2269" t="str">
        <f t="shared" si="933"/>
        <v>10.20.8.188</v>
      </c>
      <c r="U2269" t="str">
        <f t="shared" si="934"/>
        <v>AZRAD UMAR BIN SHAARI</v>
      </c>
      <c r="V2269" t="str">
        <f t="shared" si="935"/>
        <v>FARHANA BINTI MUSTAPA</v>
      </c>
      <c r="W2269" t="str">
        <f t="shared" si="936"/>
        <v>04-08-2020</v>
      </c>
      <c r="X2269" t="str">
        <f t="shared" si="937"/>
        <v>RAZIMAH ANSAR AHMAD</v>
      </c>
      <c r="Y2269" t="str">
        <f t="shared" si="938"/>
        <v>04-08-2020</v>
      </c>
      <c r="Z2269" t="str">
        <f>"COS10200804 6885"</f>
        <v>COS10200804 6885</v>
      </c>
    </row>
    <row r="2270" spans="1:26" x14ac:dyDescent="0.25">
      <c r="A2270" t="str">
        <f t="shared" si="939"/>
        <v>04-08-2020 01:04:59</v>
      </c>
      <c r="B2270" t="str">
        <f>"0000808681"</f>
        <v>0000808681</v>
      </c>
      <c r="C2270" t="str">
        <f t="shared" si="940"/>
        <v>0000808597</v>
      </c>
      <c r="D2270" t="str">
        <f t="shared" si="924"/>
        <v>73185</v>
      </c>
      <c r="E2270" t="str">
        <f t="shared" si="925"/>
        <v>KFH-OPERATIONS DEPARTMENT</v>
      </c>
      <c r="F2270" t="str">
        <f t="shared" si="926"/>
        <v>IBG</v>
      </c>
      <c r="G2270" t="str">
        <f t="shared" si="941"/>
        <v>Refund COSHARE 10</v>
      </c>
      <c r="H2270" s="2">
        <v>1528.05</v>
      </c>
      <c r="I2270" t="str">
        <f>"RAFIDAH BINTI ALI"</f>
        <v>RAFIDAH BINTI ALI</v>
      </c>
      <c r="J2270" t="str">
        <f t="shared" si="942"/>
        <v>MAYBANK / MAYBANK ISLAMIC</v>
      </c>
      <c r="K2270" t="str">
        <f>"156141219649"</f>
        <v>156141219649</v>
      </c>
      <c r="L2270" t="str">
        <f t="shared" si="943"/>
        <v>04-08-2020</v>
      </c>
      <c r="M2270" t="str">
        <f t="shared" si="943"/>
        <v>04-08-2020</v>
      </c>
      <c r="N2270" t="str">
        <f t="shared" si="928"/>
        <v>001105018356</v>
      </c>
      <c r="O2270" t="str">
        <f t="shared" si="929"/>
        <v>MYR</v>
      </c>
      <c r="P2270" t="str">
        <f t="shared" si="944"/>
        <v>NIL</v>
      </c>
      <c r="Q2270" t="str">
        <f t="shared" si="944"/>
        <v>NIL</v>
      </c>
      <c r="R2270" t="str">
        <f t="shared" si="931"/>
        <v>Accepted</v>
      </c>
      <c r="S2270" t="str">
        <f t="shared" si="932"/>
        <v>Approved</v>
      </c>
      <c r="T2270" t="str">
        <f t="shared" si="933"/>
        <v>10.20.8.188</v>
      </c>
      <c r="U2270" t="str">
        <f t="shared" si="934"/>
        <v>AZRAD UMAR BIN SHAARI</v>
      </c>
      <c r="V2270" t="str">
        <f t="shared" si="935"/>
        <v>FARHANA BINTI MUSTAPA</v>
      </c>
      <c r="W2270" t="str">
        <f t="shared" si="936"/>
        <v>04-08-2020</v>
      </c>
      <c r="X2270" t="str">
        <f t="shared" si="937"/>
        <v>RAZIMAH ANSAR AHMAD</v>
      </c>
      <c r="Y2270" t="str">
        <f t="shared" si="938"/>
        <v>04-08-2020</v>
      </c>
      <c r="Z2270" t="str">
        <f>"COS10200804 6884"</f>
        <v>COS10200804 6884</v>
      </c>
    </row>
    <row r="2271" spans="1:26" x14ac:dyDescent="0.25">
      <c r="A2271" t="str">
        <f t="shared" si="939"/>
        <v>04-08-2020 01:04:59</v>
      </c>
      <c r="B2271" t="str">
        <f>"0000808680"</f>
        <v>0000808680</v>
      </c>
      <c r="C2271" t="str">
        <f t="shared" si="940"/>
        <v>0000808597</v>
      </c>
      <c r="D2271" t="str">
        <f t="shared" si="924"/>
        <v>73185</v>
      </c>
      <c r="E2271" t="str">
        <f t="shared" si="925"/>
        <v>KFH-OPERATIONS DEPARTMENT</v>
      </c>
      <c r="F2271" t="str">
        <f t="shared" si="926"/>
        <v>IBG</v>
      </c>
      <c r="G2271" t="str">
        <f t="shared" si="941"/>
        <v>Refund COSHARE 10</v>
      </c>
      <c r="H2271" s="2">
        <v>671.6</v>
      </c>
      <c r="I2271" t="str">
        <f>"RAFIDAH BINTI ABU BAKAR"</f>
        <v>RAFIDAH BINTI ABU BAKAR</v>
      </c>
      <c r="J2271" t="str">
        <f t="shared" si="942"/>
        <v>MAYBANK / MAYBANK ISLAMIC</v>
      </c>
      <c r="K2271" t="str">
        <f>"162469183757"</f>
        <v>162469183757</v>
      </c>
      <c r="L2271" t="str">
        <f t="shared" si="943"/>
        <v>04-08-2020</v>
      </c>
      <c r="M2271" t="str">
        <f t="shared" si="943"/>
        <v>04-08-2020</v>
      </c>
      <c r="N2271" t="str">
        <f t="shared" si="928"/>
        <v>001105018356</v>
      </c>
      <c r="O2271" t="str">
        <f t="shared" si="929"/>
        <v>MYR</v>
      </c>
      <c r="P2271" t="str">
        <f t="shared" si="944"/>
        <v>NIL</v>
      </c>
      <c r="Q2271" t="str">
        <f t="shared" si="944"/>
        <v>NIL</v>
      </c>
      <c r="R2271" t="str">
        <f t="shared" si="931"/>
        <v>Accepted</v>
      </c>
      <c r="S2271" t="str">
        <f t="shared" si="932"/>
        <v>Approved</v>
      </c>
      <c r="T2271" t="str">
        <f t="shared" si="933"/>
        <v>10.20.8.188</v>
      </c>
      <c r="U2271" t="str">
        <f t="shared" si="934"/>
        <v>AZRAD UMAR BIN SHAARI</v>
      </c>
      <c r="V2271" t="str">
        <f t="shared" si="935"/>
        <v>FARHANA BINTI MUSTAPA</v>
      </c>
      <c r="W2271" t="str">
        <f t="shared" si="936"/>
        <v>04-08-2020</v>
      </c>
      <c r="X2271" t="str">
        <f t="shared" si="937"/>
        <v>RAZIMAH ANSAR AHMAD</v>
      </c>
      <c r="Y2271" t="str">
        <f t="shared" si="938"/>
        <v>04-08-2020</v>
      </c>
      <c r="Z2271" t="str">
        <f>"COS10200804 6883"</f>
        <v>COS10200804 6883</v>
      </c>
    </row>
    <row r="2272" spans="1:26" x14ac:dyDescent="0.25">
      <c r="A2272" t="str">
        <f t="shared" si="939"/>
        <v>04-08-2020 01:04:59</v>
      </c>
      <c r="B2272" t="str">
        <f>"0000808679"</f>
        <v>0000808679</v>
      </c>
      <c r="C2272" t="str">
        <f t="shared" si="940"/>
        <v>0000808597</v>
      </c>
      <c r="D2272" t="str">
        <f t="shared" si="924"/>
        <v>73185</v>
      </c>
      <c r="E2272" t="str">
        <f t="shared" si="925"/>
        <v>KFH-OPERATIONS DEPARTMENT</v>
      </c>
      <c r="F2272" t="str">
        <f t="shared" si="926"/>
        <v>IBG</v>
      </c>
      <c r="G2272" t="str">
        <f t="shared" si="941"/>
        <v>Refund COSHARE 10</v>
      </c>
      <c r="H2272" s="2">
        <v>898.3</v>
      </c>
      <c r="I2272" t="str">
        <f>"RAFELA BINTI RAZAK"</f>
        <v>RAFELA BINTI RAZAK</v>
      </c>
      <c r="J2272" t="str">
        <f t="shared" si="942"/>
        <v>MAYBANK / MAYBANK ISLAMIC</v>
      </c>
      <c r="K2272" t="str">
        <f>"164388888746"</f>
        <v>164388888746</v>
      </c>
      <c r="L2272" t="str">
        <f t="shared" si="943"/>
        <v>04-08-2020</v>
      </c>
      <c r="M2272" t="str">
        <f t="shared" si="943"/>
        <v>04-08-2020</v>
      </c>
      <c r="N2272" t="str">
        <f t="shared" si="928"/>
        <v>001105018356</v>
      </c>
      <c r="O2272" t="str">
        <f t="shared" si="929"/>
        <v>MYR</v>
      </c>
      <c r="P2272" t="str">
        <f t="shared" si="944"/>
        <v>NIL</v>
      </c>
      <c r="Q2272" t="str">
        <f t="shared" si="944"/>
        <v>NIL</v>
      </c>
      <c r="R2272" t="str">
        <f t="shared" si="931"/>
        <v>Accepted</v>
      </c>
      <c r="S2272" t="str">
        <f t="shared" si="932"/>
        <v>Approved</v>
      </c>
      <c r="T2272" t="str">
        <f t="shared" si="933"/>
        <v>10.20.8.188</v>
      </c>
      <c r="U2272" t="str">
        <f t="shared" si="934"/>
        <v>AZRAD UMAR BIN SHAARI</v>
      </c>
      <c r="V2272" t="str">
        <f t="shared" si="935"/>
        <v>FARHANA BINTI MUSTAPA</v>
      </c>
      <c r="W2272" t="str">
        <f t="shared" si="936"/>
        <v>04-08-2020</v>
      </c>
      <c r="X2272" t="str">
        <f t="shared" si="937"/>
        <v>RAZIMAH ANSAR AHMAD</v>
      </c>
      <c r="Y2272" t="str">
        <f t="shared" si="938"/>
        <v>04-08-2020</v>
      </c>
      <c r="Z2272" t="str">
        <f>"COS10200804 6882"</f>
        <v>COS10200804 6882</v>
      </c>
    </row>
    <row r="2273" spans="1:26" x14ac:dyDescent="0.25">
      <c r="A2273" t="str">
        <f t="shared" si="939"/>
        <v>04-08-2020 01:04:59</v>
      </c>
      <c r="B2273" t="str">
        <f>"0000808678"</f>
        <v>0000808678</v>
      </c>
      <c r="C2273" t="str">
        <f t="shared" si="940"/>
        <v>0000808597</v>
      </c>
      <c r="D2273" t="str">
        <f t="shared" si="924"/>
        <v>73185</v>
      </c>
      <c r="E2273" t="str">
        <f t="shared" si="925"/>
        <v>KFH-OPERATIONS DEPARTMENT</v>
      </c>
      <c r="F2273" t="str">
        <f t="shared" si="926"/>
        <v>IBG</v>
      </c>
      <c r="G2273" t="str">
        <f t="shared" si="941"/>
        <v>Refund COSHARE 10</v>
      </c>
      <c r="H2273" s="2">
        <v>66.25</v>
      </c>
      <c r="I2273" t="str">
        <f>"RAFEEDAH BINTI SULAIMAN"</f>
        <v>RAFEEDAH BINTI SULAIMAN</v>
      </c>
      <c r="J2273" t="str">
        <f t="shared" si="942"/>
        <v>MAYBANK / MAYBANK ISLAMIC</v>
      </c>
      <c r="K2273" t="str">
        <f>"101057301189"</f>
        <v>101057301189</v>
      </c>
      <c r="L2273" t="str">
        <f t="shared" si="943"/>
        <v>04-08-2020</v>
      </c>
      <c r="M2273" t="str">
        <f t="shared" si="943"/>
        <v>04-08-2020</v>
      </c>
      <c r="N2273" t="str">
        <f t="shared" si="928"/>
        <v>001105018356</v>
      </c>
      <c r="O2273" t="str">
        <f t="shared" si="929"/>
        <v>MYR</v>
      </c>
      <c r="P2273" t="str">
        <f t="shared" si="944"/>
        <v>NIL</v>
      </c>
      <c r="Q2273" t="str">
        <f t="shared" si="944"/>
        <v>NIL</v>
      </c>
      <c r="R2273" t="str">
        <f t="shared" si="931"/>
        <v>Accepted</v>
      </c>
      <c r="S2273" t="str">
        <f t="shared" si="932"/>
        <v>Approved</v>
      </c>
      <c r="T2273" t="str">
        <f t="shared" si="933"/>
        <v>10.20.8.188</v>
      </c>
      <c r="U2273" t="str">
        <f t="shared" si="934"/>
        <v>AZRAD UMAR BIN SHAARI</v>
      </c>
      <c r="V2273" t="str">
        <f t="shared" si="935"/>
        <v>FARHANA BINTI MUSTAPA</v>
      </c>
      <c r="W2273" t="str">
        <f t="shared" si="936"/>
        <v>04-08-2020</v>
      </c>
      <c r="X2273" t="str">
        <f t="shared" si="937"/>
        <v>RAZIMAH ANSAR AHMAD</v>
      </c>
      <c r="Y2273" t="str">
        <f t="shared" si="938"/>
        <v>04-08-2020</v>
      </c>
      <c r="Z2273" t="str">
        <f>"COS10200804 6881"</f>
        <v>COS10200804 6881</v>
      </c>
    </row>
    <row r="2274" spans="1:26" x14ac:dyDescent="0.25">
      <c r="A2274" t="str">
        <f t="shared" si="939"/>
        <v>04-08-2020 01:04:59</v>
      </c>
      <c r="B2274" t="str">
        <f>"0000808677"</f>
        <v>0000808677</v>
      </c>
      <c r="C2274" t="str">
        <f t="shared" si="940"/>
        <v>0000808597</v>
      </c>
      <c r="D2274" t="str">
        <f t="shared" si="924"/>
        <v>73185</v>
      </c>
      <c r="E2274" t="str">
        <f t="shared" si="925"/>
        <v>KFH-OPERATIONS DEPARTMENT</v>
      </c>
      <c r="F2274" t="str">
        <f t="shared" si="926"/>
        <v>IBG</v>
      </c>
      <c r="G2274" t="str">
        <f t="shared" si="941"/>
        <v>Refund COSHARE 10</v>
      </c>
      <c r="H2274" s="2">
        <v>508.15</v>
      </c>
      <c r="I2274" t="str">
        <f>"RAFEDAH BINTI SOHID"</f>
        <v>RAFEDAH BINTI SOHID</v>
      </c>
      <c r="J2274" t="str">
        <f t="shared" si="942"/>
        <v>MAYBANK / MAYBANK ISLAMIC</v>
      </c>
      <c r="K2274" t="str">
        <f>"156084016846"</f>
        <v>156084016846</v>
      </c>
      <c r="L2274" t="str">
        <f t="shared" si="943"/>
        <v>04-08-2020</v>
      </c>
      <c r="M2274" t="str">
        <f t="shared" si="943"/>
        <v>04-08-2020</v>
      </c>
      <c r="N2274" t="str">
        <f t="shared" si="928"/>
        <v>001105018356</v>
      </c>
      <c r="O2274" t="str">
        <f t="shared" si="929"/>
        <v>MYR</v>
      </c>
      <c r="P2274" t="str">
        <f t="shared" si="944"/>
        <v>NIL</v>
      </c>
      <c r="Q2274" t="str">
        <f t="shared" si="944"/>
        <v>NIL</v>
      </c>
      <c r="R2274" t="str">
        <f t="shared" si="931"/>
        <v>Accepted</v>
      </c>
      <c r="S2274" t="str">
        <f t="shared" si="932"/>
        <v>Approved</v>
      </c>
      <c r="T2274" t="str">
        <f t="shared" si="933"/>
        <v>10.20.8.188</v>
      </c>
      <c r="U2274" t="str">
        <f t="shared" si="934"/>
        <v>AZRAD UMAR BIN SHAARI</v>
      </c>
      <c r="V2274" t="str">
        <f t="shared" si="935"/>
        <v>FARHANA BINTI MUSTAPA</v>
      </c>
      <c r="W2274" t="str">
        <f t="shared" si="936"/>
        <v>04-08-2020</v>
      </c>
      <c r="X2274" t="str">
        <f t="shared" si="937"/>
        <v>RAZIMAH ANSAR AHMAD</v>
      </c>
      <c r="Y2274" t="str">
        <f t="shared" si="938"/>
        <v>04-08-2020</v>
      </c>
      <c r="Z2274" t="str">
        <f>"COS10200804 6880"</f>
        <v>COS10200804 6880</v>
      </c>
    </row>
    <row r="2275" spans="1:26" x14ac:dyDescent="0.25">
      <c r="A2275" t="str">
        <f t="shared" si="939"/>
        <v>04-08-2020 01:04:59</v>
      </c>
      <c r="B2275" t="str">
        <f>"0000808676"</f>
        <v>0000808676</v>
      </c>
      <c r="C2275" t="str">
        <f t="shared" si="940"/>
        <v>0000808597</v>
      </c>
      <c r="D2275" t="str">
        <f t="shared" si="924"/>
        <v>73185</v>
      </c>
      <c r="E2275" t="str">
        <f t="shared" si="925"/>
        <v>KFH-OPERATIONS DEPARTMENT</v>
      </c>
      <c r="F2275" t="str">
        <f t="shared" si="926"/>
        <v>IBG</v>
      </c>
      <c r="G2275" t="str">
        <f t="shared" si="941"/>
        <v>Refund COSHARE 10</v>
      </c>
      <c r="H2275" s="2">
        <v>107.1</v>
      </c>
      <c r="I2275" t="str">
        <f>"RAFEAH BINTI ABD MALEK"</f>
        <v>RAFEAH BINTI ABD MALEK</v>
      </c>
      <c r="J2275" t="str">
        <f t="shared" si="942"/>
        <v>MAYBANK / MAYBANK ISLAMIC</v>
      </c>
      <c r="K2275" t="str">
        <f>"154035357385"</f>
        <v>154035357385</v>
      </c>
      <c r="L2275" t="str">
        <f t="shared" si="943"/>
        <v>04-08-2020</v>
      </c>
      <c r="M2275" t="str">
        <f t="shared" si="943"/>
        <v>04-08-2020</v>
      </c>
      <c r="N2275" t="str">
        <f t="shared" si="928"/>
        <v>001105018356</v>
      </c>
      <c r="O2275" t="str">
        <f t="shared" si="929"/>
        <v>MYR</v>
      </c>
      <c r="P2275" t="str">
        <f t="shared" si="944"/>
        <v>NIL</v>
      </c>
      <c r="Q2275" t="str">
        <f t="shared" si="944"/>
        <v>NIL</v>
      </c>
      <c r="R2275" t="str">
        <f t="shared" si="931"/>
        <v>Accepted</v>
      </c>
      <c r="S2275" t="str">
        <f t="shared" si="932"/>
        <v>Approved</v>
      </c>
      <c r="T2275" t="str">
        <f t="shared" si="933"/>
        <v>10.20.8.188</v>
      </c>
      <c r="U2275" t="str">
        <f t="shared" si="934"/>
        <v>AZRAD UMAR BIN SHAARI</v>
      </c>
      <c r="V2275" t="str">
        <f t="shared" si="935"/>
        <v>FARHANA BINTI MUSTAPA</v>
      </c>
      <c r="W2275" t="str">
        <f t="shared" si="936"/>
        <v>04-08-2020</v>
      </c>
      <c r="X2275" t="str">
        <f t="shared" si="937"/>
        <v>RAZIMAH ANSAR AHMAD</v>
      </c>
      <c r="Y2275" t="str">
        <f t="shared" si="938"/>
        <v>04-08-2020</v>
      </c>
      <c r="Z2275" t="str">
        <f>"COS10200804 6879"</f>
        <v>COS10200804 6879</v>
      </c>
    </row>
    <row r="2276" spans="1:26" x14ac:dyDescent="0.25">
      <c r="A2276" t="str">
        <f t="shared" si="939"/>
        <v>04-08-2020 01:04:59</v>
      </c>
      <c r="B2276" t="str">
        <f>"0000808675"</f>
        <v>0000808675</v>
      </c>
      <c r="C2276" t="str">
        <f t="shared" si="940"/>
        <v>0000808597</v>
      </c>
      <c r="D2276" t="str">
        <f t="shared" si="924"/>
        <v>73185</v>
      </c>
      <c r="E2276" t="str">
        <f t="shared" si="925"/>
        <v>KFH-OPERATIONS DEPARTMENT</v>
      </c>
      <c r="F2276" t="str">
        <f t="shared" si="926"/>
        <v>IBG</v>
      </c>
      <c r="G2276" t="str">
        <f t="shared" si="941"/>
        <v>Refund COSHARE 10</v>
      </c>
      <c r="H2276" s="2">
        <v>1343.2</v>
      </c>
      <c r="I2276" t="str">
        <f>"RADZRANI BIN ABD RADZAK"</f>
        <v>RADZRANI BIN ABD RADZAK</v>
      </c>
      <c r="J2276" t="str">
        <f t="shared" si="942"/>
        <v>MAYBANK / MAYBANK ISLAMIC</v>
      </c>
      <c r="K2276" t="str">
        <f>"111048011339"</f>
        <v>111048011339</v>
      </c>
      <c r="L2276" t="str">
        <f t="shared" si="943"/>
        <v>04-08-2020</v>
      </c>
      <c r="M2276" t="str">
        <f t="shared" si="943"/>
        <v>04-08-2020</v>
      </c>
      <c r="N2276" t="str">
        <f t="shared" si="928"/>
        <v>001105018356</v>
      </c>
      <c r="O2276" t="str">
        <f t="shared" si="929"/>
        <v>MYR</v>
      </c>
      <c r="P2276" t="str">
        <f t="shared" si="944"/>
        <v>NIL</v>
      </c>
      <c r="Q2276" t="str">
        <f t="shared" si="944"/>
        <v>NIL</v>
      </c>
      <c r="R2276" t="str">
        <f t="shared" si="931"/>
        <v>Accepted</v>
      </c>
      <c r="S2276" t="str">
        <f t="shared" si="932"/>
        <v>Approved</v>
      </c>
      <c r="T2276" t="str">
        <f t="shared" si="933"/>
        <v>10.20.8.188</v>
      </c>
      <c r="U2276" t="str">
        <f t="shared" si="934"/>
        <v>AZRAD UMAR BIN SHAARI</v>
      </c>
      <c r="V2276" t="str">
        <f t="shared" si="935"/>
        <v>FARHANA BINTI MUSTAPA</v>
      </c>
      <c r="W2276" t="str">
        <f t="shared" si="936"/>
        <v>04-08-2020</v>
      </c>
      <c r="X2276" t="str">
        <f t="shared" si="937"/>
        <v>RAZIMAH ANSAR AHMAD</v>
      </c>
      <c r="Y2276" t="str">
        <f t="shared" si="938"/>
        <v>04-08-2020</v>
      </c>
      <c r="Z2276" t="str">
        <f>"COS10200804 6878"</f>
        <v>COS10200804 6878</v>
      </c>
    </row>
    <row r="2277" spans="1:26" x14ac:dyDescent="0.25">
      <c r="A2277" t="str">
        <f t="shared" si="939"/>
        <v>04-08-2020 01:04:59</v>
      </c>
      <c r="B2277" t="str">
        <f>"0000808674"</f>
        <v>0000808674</v>
      </c>
      <c r="C2277" t="str">
        <f t="shared" si="940"/>
        <v>0000808597</v>
      </c>
      <c r="D2277" t="str">
        <f t="shared" si="924"/>
        <v>73185</v>
      </c>
      <c r="E2277" t="str">
        <f t="shared" si="925"/>
        <v>KFH-OPERATIONS DEPARTMENT</v>
      </c>
      <c r="F2277" t="str">
        <f t="shared" si="926"/>
        <v>IBG</v>
      </c>
      <c r="G2277" t="str">
        <f t="shared" si="941"/>
        <v>Refund COSHARE 10</v>
      </c>
      <c r="H2277" s="2">
        <v>1774.05</v>
      </c>
      <c r="I2277" t="str">
        <f>"RADIYAH BINTI YAHYA"</f>
        <v>RADIYAH BINTI YAHYA</v>
      </c>
      <c r="J2277" t="str">
        <f t="shared" si="942"/>
        <v>MAYBANK / MAYBANK ISLAMIC</v>
      </c>
      <c r="K2277" t="str">
        <f>"151071050365"</f>
        <v>151071050365</v>
      </c>
      <c r="L2277" t="str">
        <f t="shared" si="943"/>
        <v>04-08-2020</v>
      </c>
      <c r="M2277" t="str">
        <f t="shared" si="943"/>
        <v>04-08-2020</v>
      </c>
      <c r="N2277" t="str">
        <f t="shared" si="928"/>
        <v>001105018356</v>
      </c>
      <c r="O2277" t="str">
        <f t="shared" si="929"/>
        <v>MYR</v>
      </c>
      <c r="P2277" t="str">
        <f t="shared" si="944"/>
        <v>NIL</v>
      </c>
      <c r="Q2277" t="str">
        <f t="shared" si="944"/>
        <v>NIL</v>
      </c>
      <c r="R2277" t="str">
        <f t="shared" si="931"/>
        <v>Accepted</v>
      </c>
      <c r="S2277" t="str">
        <f t="shared" si="932"/>
        <v>Approved</v>
      </c>
      <c r="T2277" t="str">
        <f t="shared" si="933"/>
        <v>10.20.8.188</v>
      </c>
      <c r="U2277" t="str">
        <f t="shared" si="934"/>
        <v>AZRAD UMAR BIN SHAARI</v>
      </c>
      <c r="V2277" t="str">
        <f t="shared" si="935"/>
        <v>FARHANA BINTI MUSTAPA</v>
      </c>
      <c r="W2277" t="str">
        <f t="shared" si="936"/>
        <v>04-08-2020</v>
      </c>
      <c r="X2277" t="str">
        <f t="shared" si="937"/>
        <v>RAZIMAH ANSAR AHMAD</v>
      </c>
      <c r="Y2277" t="str">
        <f t="shared" si="938"/>
        <v>04-08-2020</v>
      </c>
      <c r="Z2277" t="str">
        <f>"COS10200804 6877"</f>
        <v>COS10200804 6877</v>
      </c>
    </row>
    <row r="2278" spans="1:26" x14ac:dyDescent="0.25">
      <c r="A2278" t="str">
        <f t="shared" si="939"/>
        <v>04-08-2020 01:04:59</v>
      </c>
      <c r="B2278" t="str">
        <f>"0000808673"</f>
        <v>0000808673</v>
      </c>
      <c r="C2278" t="str">
        <f t="shared" si="940"/>
        <v>0000808597</v>
      </c>
      <c r="D2278" t="str">
        <f t="shared" si="924"/>
        <v>73185</v>
      </c>
      <c r="E2278" t="str">
        <f t="shared" si="925"/>
        <v>KFH-OPERATIONS DEPARTMENT</v>
      </c>
      <c r="F2278" t="str">
        <f t="shared" si="926"/>
        <v>IBG</v>
      </c>
      <c r="G2278" t="str">
        <f t="shared" si="941"/>
        <v>Refund COSHARE 10</v>
      </c>
      <c r="H2278" s="2">
        <v>1259</v>
      </c>
      <c r="I2278" t="str">
        <f>"RADIN HAZLEN BIN RADIN  HARUN"</f>
        <v>RADIN HAZLEN BIN RADIN  HARUN</v>
      </c>
      <c r="J2278" t="str">
        <f t="shared" si="942"/>
        <v>MAYBANK / MAYBANK ISLAMIC</v>
      </c>
      <c r="K2278" t="str">
        <f>"110040143729"</f>
        <v>110040143729</v>
      </c>
      <c r="L2278" t="str">
        <f t="shared" si="943"/>
        <v>04-08-2020</v>
      </c>
      <c r="M2278" t="str">
        <f t="shared" si="943"/>
        <v>04-08-2020</v>
      </c>
      <c r="N2278" t="str">
        <f t="shared" si="928"/>
        <v>001105018356</v>
      </c>
      <c r="O2278" t="str">
        <f t="shared" si="929"/>
        <v>MYR</v>
      </c>
      <c r="P2278" t="str">
        <f t="shared" si="944"/>
        <v>NIL</v>
      </c>
      <c r="Q2278" t="str">
        <f t="shared" si="944"/>
        <v>NIL</v>
      </c>
      <c r="R2278" t="str">
        <f t="shared" si="931"/>
        <v>Accepted</v>
      </c>
      <c r="S2278" t="str">
        <f t="shared" si="932"/>
        <v>Approved</v>
      </c>
      <c r="T2278" t="str">
        <f t="shared" si="933"/>
        <v>10.20.8.188</v>
      </c>
      <c r="U2278" t="str">
        <f t="shared" si="934"/>
        <v>AZRAD UMAR BIN SHAARI</v>
      </c>
      <c r="V2278" t="str">
        <f t="shared" si="935"/>
        <v>FARHANA BINTI MUSTAPA</v>
      </c>
      <c r="W2278" t="str">
        <f t="shared" si="936"/>
        <v>04-08-2020</v>
      </c>
      <c r="X2278" t="str">
        <f t="shared" si="937"/>
        <v>RAZIMAH ANSAR AHMAD</v>
      </c>
      <c r="Y2278" t="str">
        <f t="shared" si="938"/>
        <v>04-08-2020</v>
      </c>
      <c r="Z2278" t="str">
        <f>"COS10200804 6876"</f>
        <v>COS10200804 6876</v>
      </c>
    </row>
    <row r="2279" spans="1:26" x14ac:dyDescent="0.25">
      <c r="A2279" t="str">
        <f t="shared" si="939"/>
        <v>04-08-2020 01:04:59</v>
      </c>
      <c r="B2279" t="str">
        <f>"0000808672"</f>
        <v>0000808672</v>
      </c>
      <c r="C2279" t="str">
        <f t="shared" si="940"/>
        <v>0000808597</v>
      </c>
      <c r="D2279" t="str">
        <f t="shared" si="924"/>
        <v>73185</v>
      </c>
      <c r="E2279" t="str">
        <f t="shared" si="925"/>
        <v>KFH-OPERATIONS DEPARTMENT</v>
      </c>
      <c r="F2279" t="str">
        <f t="shared" si="926"/>
        <v>IBG</v>
      </c>
      <c r="G2279" t="str">
        <f t="shared" si="941"/>
        <v>Refund COSHARE 10</v>
      </c>
      <c r="H2279" s="2">
        <v>337</v>
      </c>
      <c r="I2279" t="str">
        <f>"RADIAH BINTI ABDUL RAHMAN"</f>
        <v>RADIAH BINTI ABDUL RAHMAN</v>
      </c>
      <c r="J2279" t="str">
        <f t="shared" si="942"/>
        <v>MAYBANK / MAYBANK ISLAMIC</v>
      </c>
      <c r="K2279" t="str">
        <f>"105029010683"</f>
        <v>105029010683</v>
      </c>
      <c r="L2279" t="str">
        <f t="shared" si="943"/>
        <v>04-08-2020</v>
      </c>
      <c r="M2279" t="str">
        <f t="shared" si="943"/>
        <v>04-08-2020</v>
      </c>
      <c r="N2279" t="str">
        <f t="shared" si="928"/>
        <v>001105018356</v>
      </c>
      <c r="O2279" t="str">
        <f t="shared" si="929"/>
        <v>MYR</v>
      </c>
      <c r="P2279" t="str">
        <f t="shared" si="944"/>
        <v>NIL</v>
      </c>
      <c r="Q2279" t="str">
        <f t="shared" si="944"/>
        <v>NIL</v>
      </c>
      <c r="R2279" t="str">
        <f t="shared" si="931"/>
        <v>Accepted</v>
      </c>
      <c r="S2279" t="str">
        <f t="shared" si="932"/>
        <v>Approved</v>
      </c>
      <c r="T2279" t="str">
        <f t="shared" si="933"/>
        <v>10.20.8.188</v>
      </c>
      <c r="U2279" t="str">
        <f t="shared" si="934"/>
        <v>AZRAD UMAR BIN SHAARI</v>
      </c>
      <c r="V2279" t="str">
        <f t="shared" si="935"/>
        <v>FARHANA BINTI MUSTAPA</v>
      </c>
      <c r="W2279" t="str">
        <f t="shared" si="936"/>
        <v>04-08-2020</v>
      </c>
      <c r="X2279" t="str">
        <f t="shared" si="937"/>
        <v>RAZIMAH ANSAR AHMAD</v>
      </c>
      <c r="Y2279" t="str">
        <f t="shared" si="938"/>
        <v>04-08-2020</v>
      </c>
      <c r="Z2279" t="str">
        <f>"COS10200804 6875"</f>
        <v>COS10200804 6875</v>
      </c>
    </row>
    <row r="2280" spans="1:26" x14ac:dyDescent="0.25">
      <c r="A2280" t="str">
        <f t="shared" si="939"/>
        <v>04-08-2020 01:04:59</v>
      </c>
      <c r="B2280" t="str">
        <f>"0000808671"</f>
        <v>0000808671</v>
      </c>
      <c r="C2280" t="str">
        <f t="shared" si="940"/>
        <v>0000808597</v>
      </c>
      <c r="D2280" t="str">
        <f t="shared" si="924"/>
        <v>73185</v>
      </c>
      <c r="E2280" t="str">
        <f t="shared" si="925"/>
        <v>KFH-OPERATIONS DEPARTMENT</v>
      </c>
      <c r="F2280" t="str">
        <f t="shared" si="926"/>
        <v>IBG</v>
      </c>
      <c r="G2280" t="str">
        <f t="shared" si="941"/>
        <v>Refund COSHARE 10</v>
      </c>
      <c r="H2280" s="2">
        <v>487.9</v>
      </c>
      <c r="I2280" t="str">
        <f>"RADDUAIN BIN MAT JUNOH"</f>
        <v>RADDUAIN BIN MAT JUNOH</v>
      </c>
      <c r="J2280" t="str">
        <f t="shared" si="942"/>
        <v>MAYBANK / MAYBANK ISLAMIC</v>
      </c>
      <c r="K2280" t="str">
        <f>"103024315260"</f>
        <v>103024315260</v>
      </c>
      <c r="L2280" t="str">
        <f t="shared" si="943"/>
        <v>04-08-2020</v>
      </c>
      <c r="M2280" t="str">
        <f t="shared" si="943"/>
        <v>04-08-2020</v>
      </c>
      <c r="N2280" t="str">
        <f t="shared" si="928"/>
        <v>001105018356</v>
      </c>
      <c r="O2280" t="str">
        <f t="shared" si="929"/>
        <v>MYR</v>
      </c>
      <c r="P2280" t="str">
        <f t="shared" si="944"/>
        <v>NIL</v>
      </c>
      <c r="Q2280" t="str">
        <f t="shared" si="944"/>
        <v>NIL</v>
      </c>
      <c r="R2280" t="str">
        <f t="shared" si="931"/>
        <v>Accepted</v>
      </c>
      <c r="S2280" t="str">
        <f t="shared" si="932"/>
        <v>Approved</v>
      </c>
      <c r="T2280" t="str">
        <f t="shared" si="933"/>
        <v>10.20.8.188</v>
      </c>
      <c r="U2280" t="str">
        <f t="shared" si="934"/>
        <v>AZRAD UMAR BIN SHAARI</v>
      </c>
      <c r="V2280" t="str">
        <f t="shared" si="935"/>
        <v>FARHANA BINTI MUSTAPA</v>
      </c>
      <c r="W2280" t="str">
        <f t="shared" si="936"/>
        <v>04-08-2020</v>
      </c>
      <c r="X2280" t="str">
        <f t="shared" si="937"/>
        <v>RAZIMAH ANSAR AHMAD</v>
      </c>
      <c r="Y2280" t="str">
        <f t="shared" si="938"/>
        <v>04-08-2020</v>
      </c>
      <c r="Z2280" t="str">
        <f>"COS10200804 6874"</f>
        <v>COS10200804 6874</v>
      </c>
    </row>
    <row r="2281" spans="1:26" x14ac:dyDescent="0.25">
      <c r="A2281" t="str">
        <f t="shared" si="939"/>
        <v>04-08-2020 01:04:59</v>
      </c>
      <c r="B2281" t="str">
        <f>"0000808670"</f>
        <v>0000808670</v>
      </c>
      <c r="C2281" t="str">
        <f t="shared" si="940"/>
        <v>0000808597</v>
      </c>
      <c r="D2281" t="str">
        <f t="shared" si="924"/>
        <v>73185</v>
      </c>
      <c r="E2281" t="str">
        <f t="shared" si="925"/>
        <v>KFH-OPERATIONS DEPARTMENT</v>
      </c>
      <c r="F2281" t="str">
        <f t="shared" si="926"/>
        <v>IBG</v>
      </c>
      <c r="G2281" t="str">
        <f t="shared" si="941"/>
        <v>Refund COSHARE 10</v>
      </c>
      <c r="H2281" s="2">
        <v>151.15</v>
      </c>
      <c r="I2281" t="str">
        <f>"RABIZAH BINTI HAMZAH"</f>
        <v>RABIZAH BINTI HAMZAH</v>
      </c>
      <c r="J2281" t="str">
        <f t="shared" si="942"/>
        <v>MAYBANK / MAYBANK ISLAMIC</v>
      </c>
      <c r="K2281" t="str">
        <f>"161015890185"</f>
        <v>161015890185</v>
      </c>
      <c r="L2281" t="str">
        <f t="shared" si="943"/>
        <v>04-08-2020</v>
      </c>
      <c r="M2281" t="str">
        <f t="shared" si="943"/>
        <v>04-08-2020</v>
      </c>
      <c r="N2281" t="str">
        <f t="shared" si="928"/>
        <v>001105018356</v>
      </c>
      <c r="O2281" t="str">
        <f t="shared" si="929"/>
        <v>MYR</v>
      </c>
      <c r="P2281" t="str">
        <f t="shared" si="944"/>
        <v>NIL</v>
      </c>
      <c r="Q2281" t="str">
        <f t="shared" si="944"/>
        <v>NIL</v>
      </c>
      <c r="R2281" t="str">
        <f t="shared" si="931"/>
        <v>Accepted</v>
      </c>
      <c r="S2281" t="str">
        <f t="shared" si="932"/>
        <v>Approved</v>
      </c>
      <c r="T2281" t="str">
        <f t="shared" si="933"/>
        <v>10.20.8.188</v>
      </c>
      <c r="U2281" t="str">
        <f t="shared" si="934"/>
        <v>AZRAD UMAR BIN SHAARI</v>
      </c>
      <c r="V2281" t="str">
        <f t="shared" si="935"/>
        <v>FARHANA BINTI MUSTAPA</v>
      </c>
      <c r="W2281" t="str">
        <f t="shared" si="936"/>
        <v>04-08-2020</v>
      </c>
      <c r="X2281" t="str">
        <f t="shared" si="937"/>
        <v>RAZIMAH ANSAR AHMAD</v>
      </c>
      <c r="Y2281" t="str">
        <f t="shared" si="938"/>
        <v>04-08-2020</v>
      </c>
      <c r="Z2281" t="str">
        <f>"COS10200804 6873"</f>
        <v>COS10200804 6873</v>
      </c>
    </row>
    <row r="2282" spans="1:26" x14ac:dyDescent="0.25">
      <c r="A2282" t="str">
        <f t="shared" ref="A2282:A2313" si="945">"04-08-2020 01:04:59"</f>
        <v>04-08-2020 01:04:59</v>
      </c>
      <c r="B2282" t="str">
        <f>"0000808669"</f>
        <v>0000808669</v>
      </c>
      <c r="C2282" t="str">
        <f t="shared" ref="C2282:C2313" si="946">"0000808597"</f>
        <v>0000808597</v>
      </c>
      <c r="D2282" t="str">
        <f t="shared" si="924"/>
        <v>73185</v>
      </c>
      <c r="E2282" t="str">
        <f t="shared" si="925"/>
        <v>KFH-OPERATIONS DEPARTMENT</v>
      </c>
      <c r="F2282" t="str">
        <f t="shared" si="926"/>
        <v>IBG</v>
      </c>
      <c r="G2282" t="str">
        <f t="shared" si="941"/>
        <v>Refund COSHARE 10</v>
      </c>
      <c r="H2282" s="2">
        <v>403</v>
      </c>
      <c r="I2282" t="str">
        <f>"RABIHAH BINTI AHMAD"</f>
        <v>RABIHAH BINTI AHMAD</v>
      </c>
      <c r="J2282" t="str">
        <f t="shared" si="942"/>
        <v>MAYBANK / MAYBANK ISLAMIC</v>
      </c>
      <c r="K2282" t="str">
        <f>"116015015721"</f>
        <v>116015015721</v>
      </c>
      <c r="L2282" t="str">
        <f t="shared" si="943"/>
        <v>04-08-2020</v>
      </c>
      <c r="M2282" t="str">
        <f t="shared" si="943"/>
        <v>04-08-2020</v>
      </c>
      <c r="N2282" t="str">
        <f t="shared" si="928"/>
        <v>001105018356</v>
      </c>
      <c r="O2282" t="str">
        <f t="shared" si="929"/>
        <v>MYR</v>
      </c>
      <c r="P2282" t="str">
        <f t="shared" si="944"/>
        <v>NIL</v>
      </c>
      <c r="Q2282" t="str">
        <f t="shared" si="944"/>
        <v>NIL</v>
      </c>
      <c r="R2282" t="str">
        <f t="shared" si="931"/>
        <v>Accepted</v>
      </c>
      <c r="S2282" t="str">
        <f t="shared" si="932"/>
        <v>Approved</v>
      </c>
      <c r="T2282" t="str">
        <f t="shared" si="933"/>
        <v>10.20.8.188</v>
      </c>
      <c r="U2282" t="str">
        <f t="shared" si="934"/>
        <v>AZRAD UMAR BIN SHAARI</v>
      </c>
      <c r="V2282" t="str">
        <f t="shared" si="935"/>
        <v>FARHANA BINTI MUSTAPA</v>
      </c>
      <c r="W2282" t="str">
        <f t="shared" si="936"/>
        <v>04-08-2020</v>
      </c>
      <c r="X2282" t="str">
        <f t="shared" si="937"/>
        <v>RAZIMAH ANSAR AHMAD</v>
      </c>
      <c r="Y2282" t="str">
        <f t="shared" si="938"/>
        <v>04-08-2020</v>
      </c>
      <c r="Z2282" t="str">
        <f>"COS10200804 6872"</f>
        <v>COS10200804 6872</v>
      </c>
    </row>
    <row r="2283" spans="1:26" x14ac:dyDescent="0.25">
      <c r="A2283" t="str">
        <f t="shared" si="945"/>
        <v>04-08-2020 01:04:59</v>
      </c>
      <c r="B2283" t="str">
        <f>"0000808668"</f>
        <v>0000808668</v>
      </c>
      <c r="C2283" t="str">
        <f t="shared" si="946"/>
        <v>0000808597</v>
      </c>
      <c r="D2283" t="str">
        <f t="shared" si="924"/>
        <v>73185</v>
      </c>
      <c r="E2283" t="str">
        <f t="shared" si="925"/>
        <v>KFH-OPERATIONS DEPARTMENT</v>
      </c>
      <c r="F2283" t="str">
        <f t="shared" si="926"/>
        <v>IBG</v>
      </c>
      <c r="G2283" t="str">
        <f t="shared" si="941"/>
        <v>Refund COSHARE 10</v>
      </c>
      <c r="H2283" s="2">
        <v>152</v>
      </c>
      <c r="I2283" t="str">
        <f>"RABIHAH BINTI AHMAD"</f>
        <v>RABIHAH BINTI AHMAD</v>
      </c>
      <c r="J2283" t="str">
        <f t="shared" si="942"/>
        <v>MAYBANK / MAYBANK ISLAMIC</v>
      </c>
      <c r="K2283" t="str">
        <f>"116015015721"</f>
        <v>116015015721</v>
      </c>
      <c r="L2283" t="str">
        <f t="shared" si="943"/>
        <v>04-08-2020</v>
      </c>
      <c r="M2283" t="str">
        <f t="shared" si="943"/>
        <v>04-08-2020</v>
      </c>
      <c r="N2283" t="str">
        <f t="shared" si="928"/>
        <v>001105018356</v>
      </c>
      <c r="O2283" t="str">
        <f t="shared" si="929"/>
        <v>MYR</v>
      </c>
      <c r="P2283" t="str">
        <f t="shared" si="944"/>
        <v>NIL</v>
      </c>
      <c r="Q2283" t="str">
        <f t="shared" si="944"/>
        <v>NIL</v>
      </c>
      <c r="R2283" t="str">
        <f t="shared" si="931"/>
        <v>Accepted</v>
      </c>
      <c r="S2283" t="str">
        <f t="shared" si="932"/>
        <v>Approved</v>
      </c>
      <c r="T2283" t="str">
        <f t="shared" si="933"/>
        <v>10.20.8.188</v>
      </c>
      <c r="U2283" t="str">
        <f t="shared" si="934"/>
        <v>AZRAD UMAR BIN SHAARI</v>
      </c>
      <c r="V2283" t="str">
        <f t="shared" si="935"/>
        <v>FARHANA BINTI MUSTAPA</v>
      </c>
      <c r="W2283" t="str">
        <f t="shared" si="936"/>
        <v>04-08-2020</v>
      </c>
      <c r="X2283" t="str">
        <f t="shared" si="937"/>
        <v>RAZIMAH ANSAR AHMAD</v>
      </c>
      <c r="Y2283" t="str">
        <f t="shared" si="938"/>
        <v>04-08-2020</v>
      </c>
      <c r="Z2283" t="str">
        <f>"COS10200804 6871"</f>
        <v>COS10200804 6871</v>
      </c>
    </row>
    <row r="2284" spans="1:26" x14ac:dyDescent="0.25">
      <c r="A2284" t="str">
        <f t="shared" si="945"/>
        <v>04-08-2020 01:04:59</v>
      </c>
      <c r="B2284" t="str">
        <f>"0000808667"</f>
        <v>0000808667</v>
      </c>
      <c r="C2284" t="str">
        <f t="shared" si="946"/>
        <v>0000808597</v>
      </c>
      <c r="D2284" t="str">
        <f t="shared" si="924"/>
        <v>73185</v>
      </c>
      <c r="E2284" t="str">
        <f t="shared" si="925"/>
        <v>KFH-OPERATIONS DEPARTMENT</v>
      </c>
      <c r="F2284" t="str">
        <f t="shared" si="926"/>
        <v>IBG</v>
      </c>
      <c r="G2284" t="str">
        <f t="shared" si="941"/>
        <v>Refund COSHARE 10</v>
      </c>
      <c r="H2284" s="2">
        <v>839.5</v>
      </c>
      <c r="I2284" t="str">
        <f>"RABIATUL ADAWIYAH BINTI YUSOF"</f>
        <v>RABIATUL ADAWIYAH BINTI YUSOF</v>
      </c>
      <c r="J2284" t="str">
        <f t="shared" si="942"/>
        <v>MAYBANK / MAYBANK ISLAMIC</v>
      </c>
      <c r="K2284" t="str">
        <f>"158154024770"</f>
        <v>158154024770</v>
      </c>
      <c r="L2284" t="str">
        <f t="shared" si="943"/>
        <v>04-08-2020</v>
      </c>
      <c r="M2284" t="str">
        <f t="shared" si="943"/>
        <v>04-08-2020</v>
      </c>
      <c r="N2284" t="str">
        <f t="shared" si="928"/>
        <v>001105018356</v>
      </c>
      <c r="O2284" t="str">
        <f t="shared" si="929"/>
        <v>MYR</v>
      </c>
      <c r="P2284" t="str">
        <f t="shared" si="944"/>
        <v>NIL</v>
      </c>
      <c r="Q2284" t="str">
        <f t="shared" si="944"/>
        <v>NIL</v>
      </c>
      <c r="R2284" t="str">
        <f t="shared" si="931"/>
        <v>Accepted</v>
      </c>
      <c r="S2284" t="str">
        <f t="shared" si="932"/>
        <v>Approved</v>
      </c>
      <c r="T2284" t="str">
        <f t="shared" si="933"/>
        <v>10.20.8.188</v>
      </c>
      <c r="U2284" t="str">
        <f t="shared" si="934"/>
        <v>AZRAD UMAR BIN SHAARI</v>
      </c>
      <c r="V2284" t="str">
        <f t="shared" si="935"/>
        <v>FARHANA BINTI MUSTAPA</v>
      </c>
      <c r="W2284" t="str">
        <f t="shared" si="936"/>
        <v>04-08-2020</v>
      </c>
      <c r="X2284" t="str">
        <f t="shared" si="937"/>
        <v>RAZIMAH ANSAR AHMAD</v>
      </c>
      <c r="Y2284" t="str">
        <f t="shared" si="938"/>
        <v>04-08-2020</v>
      </c>
      <c r="Z2284" t="str">
        <f>"COS10200804 6870"</f>
        <v>COS10200804 6870</v>
      </c>
    </row>
    <row r="2285" spans="1:26" x14ac:dyDescent="0.25">
      <c r="A2285" t="str">
        <f t="shared" si="945"/>
        <v>04-08-2020 01:04:59</v>
      </c>
      <c r="B2285" t="str">
        <f>"0000808666"</f>
        <v>0000808666</v>
      </c>
      <c r="C2285" t="str">
        <f t="shared" si="946"/>
        <v>0000808597</v>
      </c>
      <c r="D2285" t="str">
        <f t="shared" si="924"/>
        <v>73185</v>
      </c>
      <c r="E2285" t="str">
        <f t="shared" si="925"/>
        <v>KFH-OPERATIONS DEPARTMENT</v>
      </c>
      <c r="F2285" t="str">
        <f t="shared" si="926"/>
        <v>IBG</v>
      </c>
      <c r="G2285" t="str">
        <f t="shared" si="941"/>
        <v>Refund COSHARE 10</v>
      </c>
      <c r="H2285" s="2">
        <v>98.25</v>
      </c>
      <c r="I2285" t="str">
        <f>"RABIAH BINTI MUDA"</f>
        <v>RABIAH BINTI MUDA</v>
      </c>
      <c r="J2285" t="str">
        <f t="shared" si="942"/>
        <v>MAYBANK / MAYBANK ISLAMIC</v>
      </c>
      <c r="K2285" t="str">
        <f>"101141236228"</f>
        <v>101141236228</v>
      </c>
      <c r="L2285" t="str">
        <f t="shared" si="943"/>
        <v>04-08-2020</v>
      </c>
      <c r="M2285" t="str">
        <f t="shared" si="943"/>
        <v>04-08-2020</v>
      </c>
      <c r="N2285" t="str">
        <f t="shared" si="928"/>
        <v>001105018356</v>
      </c>
      <c r="O2285" t="str">
        <f t="shared" si="929"/>
        <v>MYR</v>
      </c>
      <c r="P2285" t="str">
        <f t="shared" si="944"/>
        <v>NIL</v>
      </c>
      <c r="Q2285" t="str">
        <f t="shared" si="944"/>
        <v>NIL</v>
      </c>
      <c r="R2285" t="str">
        <f t="shared" si="931"/>
        <v>Accepted</v>
      </c>
      <c r="S2285" t="str">
        <f t="shared" si="932"/>
        <v>Approved</v>
      </c>
      <c r="T2285" t="str">
        <f t="shared" si="933"/>
        <v>10.20.8.188</v>
      </c>
      <c r="U2285" t="str">
        <f t="shared" si="934"/>
        <v>AZRAD UMAR BIN SHAARI</v>
      </c>
      <c r="V2285" t="str">
        <f t="shared" si="935"/>
        <v>FARHANA BINTI MUSTAPA</v>
      </c>
      <c r="W2285" t="str">
        <f t="shared" si="936"/>
        <v>04-08-2020</v>
      </c>
      <c r="X2285" t="str">
        <f t="shared" si="937"/>
        <v>RAZIMAH ANSAR AHMAD</v>
      </c>
      <c r="Y2285" t="str">
        <f t="shared" si="938"/>
        <v>04-08-2020</v>
      </c>
      <c r="Z2285" t="str">
        <f>"COS10200804 6869"</f>
        <v>COS10200804 6869</v>
      </c>
    </row>
    <row r="2286" spans="1:26" x14ac:dyDescent="0.25">
      <c r="A2286" t="str">
        <f t="shared" si="945"/>
        <v>04-08-2020 01:04:59</v>
      </c>
      <c r="B2286" t="str">
        <f>"0000808665"</f>
        <v>0000808665</v>
      </c>
      <c r="C2286" t="str">
        <f t="shared" si="946"/>
        <v>0000808597</v>
      </c>
      <c r="D2286" t="str">
        <f t="shared" si="924"/>
        <v>73185</v>
      </c>
      <c r="E2286" t="str">
        <f t="shared" si="925"/>
        <v>KFH-OPERATIONS DEPARTMENT</v>
      </c>
      <c r="F2286" t="str">
        <f t="shared" si="926"/>
        <v>IBG</v>
      </c>
      <c r="G2286" t="str">
        <f t="shared" si="941"/>
        <v>Refund COSHARE 10</v>
      </c>
      <c r="H2286" s="2">
        <v>284.5</v>
      </c>
      <c r="I2286" t="str">
        <f>"RABIAH BINTI KATMAN"</f>
        <v>RABIAH BINTI KATMAN</v>
      </c>
      <c r="J2286" t="str">
        <f t="shared" si="942"/>
        <v>MAYBANK / MAYBANK ISLAMIC</v>
      </c>
      <c r="K2286" t="str">
        <f>"162106268870"</f>
        <v>162106268870</v>
      </c>
      <c r="L2286" t="str">
        <f t="shared" si="943"/>
        <v>04-08-2020</v>
      </c>
      <c r="M2286" t="str">
        <f t="shared" si="943"/>
        <v>04-08-2020</v>
      </c>
      <c r="N2286" t="str">
        <f t="shared" si="928"/>
        <v>001105018356</v>
      </c>
      <c r="O2286" t="str">
        <f t="shared" si="929"/>
        <v>MYR</v>
      </c>
      <c r="P2286" t="str">
        <f t="shared" si="944"/>
        <v>NIL</v>
      </c>
      <c r="Q2286" t="str">
        <f t="shared" si="944"/>
        <v>NIL</v>
      </c>
      <c r="R2286" t="str">
        <f t="shared" si="931"/>
        <v>Accepted</v>
      </c>
      <c r="S2286" t="str">
        <f t="shared" si="932"/>
        <v>Approved</v>
      </c>
      <c r="T2286" t="str">
        <f t="shared" si="933"/>
        <v>10.20.8.188</v>
      </c>
      <c r="U2286" t="str">
        <f t="shared" si="934"/>
        <v>AZRAD UMAR BIN SHAARI</v>
      </c>
      <c r="V2286" t="str">
        <f t="shared" si="935"/>
        <v>FARHANA BINTI MUSTAPA</v>
      </c>
      <c r="W2286" t="str">
        <f t="shared" si="936"/>
        <v>04-08-2020</v>
      </c>
      <c r="X2286" t="str">
        <f t="shared" si="937"/>
        <v>RAZIMAH ANSAR AHMAD</v>
      </c>
      <c r="Y2286" t="str">
        <f t="shared" si="938"/>
        <v>04-08-2020</v>
      </c>
      <c r="Z2286" t="str">
        <f>"COS10200804 6868"</f>
        <v>COS10200804 6868</v>
      </c>
    </row>
    <row r="2287" spans="1:26" x14ac:dyDescent="0.25">
      <c r="A2287" t="str">
        <f t="shared" si="945"/>
        <v>04-08-2020 01:04:59</v>
      </c>
      <c r="B2287" t="str">
        <f>"0000808664"</f>
        <v>0000808664</v>
      </c>
      <c r="C2287" t="str">
        <f t="shared" si="946"/>
        <v>0000808597</v>
      </c>
      <c r="D2287" t="str">
        <f t="shared" si="924"/>
        <v>73185</v>
      </c>
      <c r="E2287" t="str">
        <f t="shared" si="925"/>
        <v>KFH-OPERATIONS DEPARTMENT</v>
      </c>
      <c r="F2287" t="str">
        <f t="shared" si="926"/>
        <v>IBG</v>
      </c>
      <c r="G2287" t="str">
        <f t="shared" si="941"/>
        <v>Refund COSHARE 10</v>
      </c>
      <c r="H2287" s="2">
        <v>410.15</v>
      </c>
      <c r="I2287" t="str">
        <f>"RABEDAH BINTI ABDUL AHMAD"</f>
        <v>RABEDAH BINTI ABDUL AHMAD</v>
      </c>
      <c r="J2287" t="str">
        <f t="shared" si="942"/>
        <v>MAYBANK / MAYBANK ISLAMIC</v>
      </c>
      <c r="K2287" t="str">
        <f>"160166107384"</f>
        <v>160166107384</v>
      </c>
      <c r="L2287" t="str">
        <f t="shared" ref="L2287:M2306" si="947">"04-08-2020"</f>
        <v>04-08-2020</v>
      </c>
      <c r="M2287" t="str">
        <f t="shared" si="947"/>
        <v>04-08-2020</v>
      </c>
      <c r="N2287" t="str">
        <f t="shared" si="928"/>
        <v>001105018356</v>
      </c>
      <c r="O2287" t="str">
        <f t="shared" si="929"/>
        <v>MYR</v>
      </c>
      <c r="P2287" t="str">
        <f t="shared" ref="P2287:Q2306" si="948">"NIL"</f>
        <v>NIL</v>
      </c>
      <c r="Q2287" t="str">
        <f t="shared" si="948"/>
        <v>NIL</v>
      </c>
      <c r="R2287" t="str">
        <f t="shared" si="931"/>
        <v>Accepted</v>
      </c>
      <c r="S2287" t="str">
        <f t="shared" si="932"/>
        <v>Approved</v>
      </c>
      <c r="T2287" t="str">
        <f t="shared" si="933"/>
        <v>10.20.8.188</v>
      </c>
      <c r="U2287" t="str">
        <f t="shared" si="934"/>
        <v>AZRAD UMAR BIN SHAARI</v>
      </c>
      <c r="V2287" t="str">
        <f t="shared" si="935"/>
        <v>FARHANA BINTI MUSTAPA</v>
      </c>
      <c r="W2287" t="str">
        <f t="shared" si="936"/>
        <v>04-08-2020</v>
      </c>
      <c r="X2287" t="str">
        <f t="shared" si="937"/>
        <v>RAZIMAH ANSAR AHMAD</v>
      </c>
      <c r="Y2287" t="str">
        <f t="shared" si="938"/>
        <v>04-08-2020</v>
      </c>
      <c r="Z2287" t="str">
        <f>"COS10200804 6867"</f>
        <v>COS10200804 6867</v>
      </c>
    </row>
    <row r="2288" spans="1:26" x14ac:dyDescent="0.25">
      <c r="A2288" t="str">
        <f t="shared" si="945"/>
        <v>04-08-2020 01:04:59</v>
      </c>
      <c r="B2288" t="str">
        <f>"0000808663"</f>
        <v>0000808663</v>
      </c>
      <c r="C2288" t="str">
        <f t="shared" si="946"/>
        <v>0000808597</v>
      </c>
      <c r="D2288" t="str">
        <f t="shared" si="924"/>
        <v>73185</v>
      </c>
      <c r="E2288" t="str">
        <f t="shared" si="925"/>
        <v>KFH-OPERATIONS DEPARTMENT</v>
      </c>
      <c r="F2288" t="str">
        <f t="shared" si="926"/>
        <v>IBG</v>
      </c>
      <c r="G2288" t="str">
        <f t="shared" si="941"/>
        <v>Refund COSHARE 10</v>
      </c>
      <c r="H2288" s="2">
        <v>609.04999999999995</v>
      </c>
      <c r="I2288" t="str">
        <f>"RPUNITHA AP RAJENDRAN"</f>
        <v>RPUNITHA AP RAJENDRAN</v>
      </c>
      <c r="J2288" t="str">
        <f t="shared" si="942"/>
        <v>MAYBANK / MAYBANK ISLAMIC</v>
      </c>
      <c r="K2288" t="str">
        <f>"112745012950"</f>
        <v>112745012950</v>
      </c>
      <c r="L2288" t="str">
        <f t="shared" si="947"/>
        <v>04-08-2020</v>
      </c>
      <c r="M2288" t="str">
        <f t="shared" si="947"/>
        <v>04-08-2020</v>
      </c>
      <c r="N2288" t="str">
        <f t="shared" si="928"/>
        <v>001105018356</v>
      </c>
      <c r="O2288" t="str">
        <f t="shared" si="929"/>
        <v>MYR</v>
      </c>
      <c r="P2288" t="str">
        <f t="shared" si="948"/>
        <v>NIL</v>
      </c>
      <c r="Q2288" t="str">
        <f t="shared" si="948"/>
        <v>NIL</v>
      </c>
      <c r="R2288" t="str">
        <f t="shared" si="931"/>
        <v>Accepted</v>
      </c>
      <c r="S2288" t="str">
        <f t="shared" si="932"/>
        <v>Approved</v>
      </c>
      <c r="T2288" t="str">
        <f t="shared" si="933"/>
        <v>10.20.8.188</v>
      </c>
      <c r="U2288" t="str">
        <f t="shared" si="934"/>
        <v>AZRAD UMAR BIN SHAARI</v>
      </c>
      <c r="V2288" t="str">
        <f t="shared" si="935"/>
        <v>FARHANA BINTI MUSTAPA</v>
      </c>
      <c r="W2288" t="str">
        <f t="shared" si="936"/>
        <v>04-08-2020</v>
      </c>
      <c r="X2288" t="str">
        <f t="shared" si="937"/>
        <v>RAZIMAH ANSAR AHMAD</v>
      </c>
      <c r="Y2288" t="str">
        <f t="shared" si="938"/>
        <v>04-08-2020</v>
      </c>
      <c r="Z2288" t="str">
        <f>"COS10200804 6866"</f>
        <v>COS10200804 6866</v>
      </c>
    </row>
    <row r="2289" spans="1:26" x14ac:dyDescent="0.25">
      <c r="A2289" t="str">
        <f t="shared" si="945"/>
        <v>04-08-2020 01:04:59</v>
      </c>
      <c r="B2289" t="str">
        <f>"0000808662"</f>
        <v>0000808662</v>
      </c>
      <c r="C2289" t="str">
        <f t="shared" si="946"/>
        <v>0000808597</v>
      </c>
      <c r="D2289" t="str">
        <f t="shared" si="924"/>
        <v>73185</v>
      </c>
      <c r="E2289" t="str">
        <f t="shared" si="925"/>
        <v>KFH-OPERATIONS DEPARTMENT</v>
      </c>
      <c r="F2289" t="str">
        <f t="shared" si="926"/>
        <v>IBG</v>
      </c>
      <c r="G2289" t="str">
        <f t="shared" si="941"/>
        <v>Refund COSHARE 10</v>
      </c>
      <c r="H2289" s="2">
        <v>184.7</v>
      </c>
      <c r="I2289" t="str">
        <f>"QUSAIRI BIN IBRAHIM"</f>
        <v>QUSAIRI BIN IBRAHIM</v>
      </c>
      <c r="J2289" t="str">
        <f t="shared" si="942"/>
        <v>MAYBANK / MAYBANK ISLAMIC</v>
      </c>
      <c r="K2289" t="str">
        <f>"164098495249"</f>
        <v>164098495249</v>
      </c>
      <c r="L2289" t="str">
        <f t="shared" si="947"/>
        <v>04-08-2020</v>
      </c>
      <c r="M2289" t="str">
        <f t="shared" si="947"/>
        <v>04-08-2020</v>
      </c>
      <c r="N2289" t="str">
        <f t="shared" si="928"/>
        <v>001105018356</v>
      </c>
      <c r="O2289" t="str">
        <f t="shared" si="929"/>
        <v>MYR</v>
      </c>
      <c r="P2289" t="str">
        <f t="shared" si="948"/>
        <v>NIL</v>
      </c>
      <c r="Q2289" t="str">
        <f t="shared" si="948"/>
        <v>NIL</v>
      </c>
      <c r="R2289" t="str">
        <f t="shared" si="931"/>
        <v>Accepted</v>
      </c>
      <c r="S2289" t="str">
        <f t="shared" si="932"/>
        <v>Approved</v>
      </c>
      <c r="T2289" t="str">
        <f t="shared" si="933"/>
        <v>10.20.8.188</v>
      </c>
      <c r="U2289" t="str">
        <f t="shared" si="934"/>
        <v>AZRAD UMAR BIN SHAARI</v>
      </c>
      <c r="V2289" t="str">
        <f t="shared" si="935"/>
        <v>FARHANA BINTI MUSTAPA</v>
      </c>
      <c r="W2289" t="str">
        <f t="shared" si="936"/>
        <v>04-08-2020</v>
      </c>
      <c r="X2289" t="str">
        <f t="shared" si="937"/>
        <v>RAZIMAH ANSAR AHMAD</v>
      </c>
      <c r="Y2289" t="str">
        <f t="shared" si="938"/>
        <v>04-08-2020</v>
      </c>
      <c r="Z2289" t="str">
        <f>"COS10200804 6865"</f>
        <v>COS10200804 6865</v>
      </c>
    </row>
    <row r="2290" spans="1:26" x14ac:dyDescent="0.25">
      <c r="A2290" t="str">
        <f t="shared" si="945"/>
        <v>04-08-2020 01:04:59</v>
      </c>
      <c r="B2290" t="str">
        <f>"0000808661"</f>
        <v>0000808661</v>
      </c>
      <c r="C2290" t="str">
        <f t="shared" si="946"/>
        <v>0000808597</v>
      </c>
      <c r="D2290" t="str">
        <f t="shared" si="924"/>
        <v>73185</v>
      </c>
      <c r="E2290" t="str">
        <f t="shared" si="925"/>
        <v>KFH-OPERATIONS DEPARTMENT</v>
      </c>
      <c r="F2290" t="str">
        <f t="shared" si="926"/>
        <v>IBG</v>
      </c>
      <c r="G2290" t="str">
        <f t="shared" si="941"/>
        <v>Refund COSHARE 10</v>
      </c>
      <c r="H2290" s="2">
        <v>1703.75</v>
      </c>
      <c r="I2290" t="str">
        <f>"QALAM A ZAD BIN ROSLE"</f>
        <v>QALAM A ZAD BIN ROSLE</v>
      </c>
      <c r="J2290" t="str">
        <f t="shared" si="942"/>
        <v>MAYBANK / MAYBANK ISLAMIC</v>
      </c>
      <c r="K2290" t="str">
        <f>"164472222367"</f>
        <v>164472222367</v>
      </c>
      <c r="L2290" t="str">
        <f t="shared" si="947"/>
        <v>04-08-2020</v>
      </c>
      <c r="M2290" t="str">
        <f t="shared" si="947"/>
        <v>04-08-2020</v>
      </c>
      <c r="N2290" t="str">
        <f t="shared" si="928"/>
        <v>001105018356</v>
      </c>
      <c r="O2290" t="str">
        <f t="shared" si="929"/>
        <v>MYR</v>
      </c>
      <c r="P2290" t="str">
        <f t="shared" si="948"/>
        <v>NIL</v>
      </c>
      <c r="Q2290" t="str">
        <f t="shared" si="948"/>
        <v>NIL</v>
      </c>
      <c r="R2290" t="str">
        <f t="shared" si="931"/>
        <v>Accepted</v>
      </c>
      <c r="S2290" t="str">
        <f t="shared" si="932"/>
        <v>Approved</v>
      </c>
      <c r="T2290" t="str">
        <f t="shared" si="933"/>
        <v>10.20.8.188</v>
      </c>
      <c r="U2290" t="str">
        <f t="shared" si="934"/>
        <v>AZRAD UMAR BIN SHAARI</v>
      </c>
      <c r="V2290" t="str">
        <f t="shared" si="935"/>
        <v>FARHANA BINTI MUSTAPA</v>
      </c>
      <c r="W2290" t="str">
        <f t="shared" si="936"/>
        <v>04-08-2020</v>
      </c>
      <c r="X2290" t="str">
        <f t="shared" si="937"/>
        <v>RAZIMAH ANSAR AHMAD</v>
      </c>
      <c r="Y2290" t="str">
        <f t="shared" si="938"/>
        <v>04-08-2020</v>
      </c>
      <c r="Z2290" t="str">
        <f>"COS10200804 6864"</f>
        <v>COS10200804 6864</v>
      </c>
    </row>
    <row r="2291" spans="1:26" x14ac:dyDescent="0.25">
      <c r="A2291" t="str">
        <f t="shared" si="945"/>
        <v>04-08-2020 01:04:59</v>
      </c>
      <c r="B2291" t="str">
        <f>"0000808660"</f>
        <v>0000808660</v>
      </c>
      <c r="C2291" t="str">
        <f t="shared" si="946"/>
        <v>0000808597</v>
      </c>
      <c r="D2291" t="str">
        <f t="shared" si="924"/>
        <v>73185</v>
      </c>
      <c r="E2291" t="str">
        <f t="shared" si="925"/>
        <v>KFH-OPERATIONS DEPARTMENT</v>
      </c>
      <c r="F2291" t="str">
        <f t="shared" si="926"/>
        <v>IBG</v>
      </c>
      <c r="G2291" t="str">
        <f t="shared" si="941"/>
        <v>Refund COSHARE 10</v>
      </c>
      <c r="H2291" s="2">
        <v>671.6</v>
      </c>
      <c r="I2291" t="str">
        <f>"PUVANESWARI AP RAMIAH"</f>
        <v>PUVANESWARI AP RAMIAH</v>
      </c>
      <c r="J2291" t="str">
        <f t="shared" si="942"/>
        <v>MAYBANK / MAYBANK ISLAMIC</v>
      </c>
      <c r="K2291" t="str">
        <f>"112214080302"</f>
        <v>112214080302</v>
      </c>
      <c r="L2291" t="str">
        <f t="shared" si="947"/>
        <v>04-08-2020</v>
      </c>
      <c r="M2291" t="str">
        <f t="shared" si="947"/>
        <v>04-08-2020</v>
      </c>
      <c r="N2291" t="str">
        <f t="shared" si="928"/>
        <v>001105018356</v>
      </c>
      <c r="O2291" t="str">
        <f t="shared" si="929"/>
        <v>MYR</v>
      </c>
      <c r="P2291" t="str">
        <f t="shared" si="948"/>
        <v>NIL</v>
      </c>
      <c r="Q2291" t="str">
        <f t="shared" si="948"/>
        <v>NIL</v>
      </c>
      <c r="R2291" t="str">
        <f t="shared" si="931"/>
        <v>Accepted</v>
      </c>
      <c r="S2291" t="str">
        <f t="shared" si="932"/>
        <v>Approved</v>
      </c>
      <c r="T2291" t="str">
        <f t="shared" si="933"/>
        <v>10.20.8.188</v>
      </c>
      <c r="U2291" t="str">
        <f t="shared" si="934"/>
        <v>AZRAD UMAR BIN SHAARI</v>
      </c>
      <c r="V2291" t="str">
        <f t="shared" si="935"/>
        <v>FARHANA BINTI MUSTAPA</v>
      </c>
      <c r="W2291" t="str">
        <f t="shared" si="936"/>
        <v>04-08-2020</v>
      </c>
      <c r="X2291" t="str">
        <f t="shared" si="937"/>
        <v>RAZIMAH ANSAR AHMAD</v>
      </c>
      <c r="Y2291" t="str">
        <f t="shared" si="938"/>
        <v>04-08-2020</v>
      </c>
      <c r="Z2291" t="str">
        <f>"COS10200804 6863"</f>
        <v>COS10200804 6863</v>
      </c>
    </row>
    <row r="2292" spans="1:26" x14ac:dyDescent="0.25">
      <c r="A2292" t="str">
        <f t="shared" si="945"/>
        <v>04-08-2020 01:04:59</v>
      </c>
      <c r="B2292" t="str">
        <f>"0000808659"</f>
        <v>0000808659</v>
      </c>
      <c r="C2292" t="str">
        <f t="shared" si="946"/>
        <v>0000808597</v>
      </c>
      <c r="D2292" t="str">
        <f t="shared" si="924"/>
        <v>73185</v>
      </c>
      <c r="E2292" t="str">
        <f t="shared" si="925"/>
        <v>KFH-OPERATIONS DEPARTMENT</v>
      </c>
      <c r="F2292" t="str">
        <f t="shared" si="926"/>
        <v>IBG</v>
      </c>
      <c r="G2292" t="str">
        <f t="shared" si="941"/>
        <v>Refund COSHARE 10</v>
      </c>
      <c r="H2292" s="2">
        <v>125.95</v>
      </c>
      <c r="I2292" t="str">
        <f>"PUTERI EZA FAZLINA BT MEGAT NURUDDIN"</f>
        <v>PUTERI EZA FAZLINA BT MEGAT NURUDDIN</v>
      </c>
      <c r="J2292" t="str">
        <f t="shared" si="942"/>
        <v>MAYBANK / MAYBANK ISLAMIC</v>
      </c>
      <c r="K2292" t="str">
        <f>"158172645156"</f>
        <v>158172645156</v>
      </c>
      <c r="L2292" t="str">
        <f t="shared" si="947"/>
        <v>04-08-2020</v>
      </c>
      <c r="M2292" t="str">
        <f t="shared" si="947"/>
        <v>04-08-2020</v>
      </c>
      <c r="N2292" t="str">
        <f t="shared" si="928"/>
        <v>001105018356</v>
      </c>
      <c r="O2292" t="str">
        <f t="shared" si="929"/>
        <v>MYR</v>
      </c>
      <c r="P2292" t="str">
        <f t="shared" si="948"/>
        <v>NIL</v>
      </c>
      <c r="Q2292" t="str">
        <f t="shared" si="948"/>
        <v>NIL</v>
      </c>
      <c r="R2292" t="str">
        <f t="shared" si="931"/>
        <v>Accepted</v>
      </c>
      <c r="S2292" t="str">
        <f t="shared" si="932"/>
        <v>Approved</v>
      </c>
      <c r="T2292" t="str">
        <f t="shared" si="933"/>
        <v>10.20.8.188</v>
      </c>
      <c r="U2292" t="str">
        <f t="shared" si="934"/>
        <v>AZRAD UMAR BIN SHAARI</v>
      </c>
      <c r="V2292" t="str">
        <f t="shared" si="935"/>
        <v>FARHANA BINTI MUSTAPA</v>
      </c>
      <c r="W2292" t="str">
        <f t="shared" si="936"/>
        <v>04-08-2020</v>
      </c>
      <c r="X2292" t="str">
        <f t="shared" si="937"/>
        <v>RAZIMAH ANSAR AHMAD</v>
      </c>
      <c r="Y2292" t="str">
        <f t="shared" si="938"/>
        <v>04-08-2020</v>
      </c>
      <c r="Z2292" t="str">
        <f>"COS10200804 6862"</f>
        <v>COS10200804 6862</v>
      </c>
    </row>
    <row r="2293" spans="1:26" x14ac:dyDescent="0.25">
      <c r="A2293" t="str">
        <f t="shared" si="945"/>
        <v>04-08-2020 01:04:59</v>
      </c>
      <c r="B2293" t="str">
        <f>"0000808658"</f>
        <v>0000808658</v>
      </c>
      <c r="C2293" t="str">
        <f t="shared" si="946"/>
        <v>0000808597</v>
      </c>
      <c r="D2293" t="str">
        <f t="shared" si="924"/>
        <v>73185</v>
      </c>
      <c r="E2293" t="str">
        <f t="shared" si="925"/>
        <v>KFH-OPERATIONS DEPARTMENT</v>
      </c>
      <c r="F2293" t="str">
        <f t="shared" si="926"/>
        <v>IBG</v>
      </c>
      <c r="G2293" t="str">
        <f t="shared" si="941"/>
        <v>Refund COSHARE 10</v>
      </c>
      <c r="H2293" s="2">
        <v>145</v>
      </c>
      <c r="I2293" t="str">
        <f>"PUTERI AZNIDA BINTI MEGAT ABDUL GHANI"</f>
        <v>PUTERI AZNIDA BINTI MEGAT ABDUL GHANI</v>
      </c>
      <c r="J2293" t="str">
        <f t="shared" si="942"/>
        <v>MAYBANK / MAYBANK ISLAMIC</v>
      </c>
      <c r="K2293" t="str">
        <f>"151249964557"</f>
        <v>151249964557</v>
      </c>
      <c r="L2293" t="str">
        <f t="shared" si="947"/>
        <v>04-08-2020</v>
      </c>
      <c r="M2293" t="str">
        <f t="shared" si="947"/>
        <v>04-08-2020</v>
      </c>
      <c r="N2293" t="str">
        <f t="shared" si="928"/>
        <v>001105018356</v>
      </c>
      <c r="O2293" t="str">
        <f t="shared" si="929"/>
        <v>MYR</v>
      </c>
      <c r="P2293" t="str">
        <f t="shared" si="948"/>
        <v>NIL</v>
      </c>
      <c r="Q2293" t="str">
        <f t="shared" si="948"/>
        <v>NIL</v>
      </c>
      <c r="R2293" t="str">
        <f t="shared" si="931"/>
        <v>Accepted</v>
      </c>
      <c r="S2293" t="str">
        <f t="shared" si="932"/>
        <v>Approved</v>
      </c>
      <c r="T2293" t="str">
        <f t="shared" si="933"/>
        <v>10.20.8.188</v>
      </c>
      <c r="U2293" t="str">
        <f t="shared" si="934"/>
        <v>AZRAD UMAR BIN SHAARI</v>
      </c>
      <c r="V2293" t="str">
        <f t="shared" si="935"/>
        <v>FARHANA BINTI MUSTAPA</v>
      </c>
      <c r="W2293" t="str">
        <f t="shared" si="936"/>
        <v>04-08-2020</v>
      </c>
      <c r="X2293" t="str">
        <f t="shared" si="937"/>
        <v>RAZIMAH ANSAR AHMAD</v>
      </c>
      <c r="Y2293" t="str">
        <f t="shared" si="938"/>
        <v>04-08-2020</v>
      </c>
      <c r="Z2293" t="str">
        <f>"COS10200804 6861"</f>
        <v>COS10200804 6861</v>
      </c>
    </row>
    <row r="2294" spans="1:26" x14ac:dyDescent="0.25">
      <c r="A2294" t="str">
        <f t="shared" si="945"/>
        <v>04-08-2020 01:04:59</v>
      </c>
      <c r="B2294" t="str">
        <f>"0000808657"</f>
        <v>0000808657</v>
      </c>
      <c r="C2294" t="str">
        <f t="shared" si="946"/>
        <v>0000808597</v>
      </c>
      <c r="D2294" t="str">
        <f t="shared" si="924"/>
        <v>73185</v>
      </c>
      <c r="E2294" t="str">
        <f t="shared" si="925"/>
        <v>KFH-OPERATIONS DEPARTMENT</v>
      </c>
      <c r="F2294" t="str">
        <f t="shared" si="926"/>
        <v>IBG</v>
      </c>
      <c r="G2294" t="str">
        <f t="shared" si="941"/>
        <v>Refund COSHARE 10</v>
      </c>
      <c r="H2294" s="2">
        <v>589.4</v>
      </c>
      <c r="I2294" t="str">
        <f>"PUTERI AZLINA BINTI MEGAT RAMLI"</f>
        <v>PUTERI AZLINA BINTI MEGAT RAMLI</v>
      </c>
      <c r="J2294" t="str">
        <f t="shared" si="942"/>
        <v>MAYBANK / MAYBANK ISLAMIC</v>
      </c>
      <c r="K2294" t="str">
        <f>"164155465415"</f>
        <v>164155465415</v>
      </c>
      <c r="L2294" t="str">
        <f t="shared" si="947"/>
        <v>04-08-2020</v>
      </c>
      <c r="M2294" t="str">
        <f t="shared" si="947"/>
        <v>04-08-2020</v>
      </c>
      <c r="N2294" t="str">
        <f t="shared" si="928"/>
        <v>001105018356</v>
      </c>
      <c r="O2294" t="str">
        <f t="shared" si="929"/>
        <v>MYR</v>
      </c>
      <c r="P2294" t="str">
        <f t="shared" si="948"/>
        <v>NIL</v>
      </c>
      <c r="Q2294" t="str">
        <f t="shared" si="948"/>
        <v>NIL</v>
      </c>
      <c r="R2294" t="str">
        <f t="shared" si="931"/>
        <v>Accepted</v>
      </c>
      <c r="S2294" t="str">
        <f t="shared" si="932"/>
        <v>Approved</v>
      </c>
      <c r="T2294" t="str">
        <f t="shared" si="933"/>
        <v>10.20.8.188</v>
      </c>
      <c r="U2294" t="str">
        <f t="shared" si="934"/>
        <v>AZRAD UMAR BIN SHAARI</v>
      </c>
      <c r="V2294" t="str">
        <f t="shared" si="935"/>
        <v>FARHANA BINTI MUSTAPA</v>
      </c>
      <c r="W2294" t="str">
        <f t="shared" si="936"/>
        <v>04-08-2020</v>
      </c>
      <c r="X2294" t="str">
        <f t="shared" si="937"/>
        <v>RAZIMAH ANSAR AHMAD</v>
      </c>
      <c r="Y2294" t="str">
        <f t="shared" si="938"/>
        <v>04-08-2020</v>
      </c>
      <c r="Z2294" t="str">
        <f>"COS10200804 6860"</f>
        <v>COS10200804 6860</v>
      </c>
    </row>
    <row r="2295" spans="1:26" x14ac:dyDescent="0.25">
      <c r="A2295" t="str">
        <f t="shared" si="945"/>
        <v>04-08-2020 01:04:59</v>
      </c>
      <c r="B2295" t="str">
        <f>"0000808656"</f>
        <v>0000808656</v>
      </c>
      <c r="C2295" t="str">
        <f t="shared" si="946"/>
        <v>0000808597</v>
      </c>
      <c r="D2295" t="str">
        <f t="shared" si="924"/>
        <v>73185</v>
      </c>
      <c r="E2295" t="str">
        <f t="shared" si="925"/>
        <v>KFH-OPERATIONS DEPARTMENT</v>
      </c>
      <c r="F2295" t="str">
        <f t="shared" si="926"/>
        <v>IBG</v>
      </c>
      <c r="G2295" t="str">
        <f t="shared" si="941"/>
        <v>Refund COSHARE 10</v>
      </c>
      <c r="H2295" s="2">
        <v>292.75</v>
      </c>
      <c r="I2295" t="str">
        <f>"PUSPARANEY AP ANTHONYSAMY"</f>
        <v>PUSPARANEY AP ANTHONYSAMY</v>
      </c>
      <c r="J2295" t="str">
        <f t="shared" si="942"/>
        <v>MAYBANK / MAYBANK ISLAMIC</v>
      </c>
      <c r="K2295" t="str">
        <f>"108011856157"</f>
        <v>108011856157</v>
      </c>
      <c r="L2295" t="str">
        <f t="shared" si="947"/>
        <v>04-08-2020</v>
      </c>
      <c r="M2295" t="str">
        <f t="shared" si="947"/>
        <v>04-08-2020</v>
      </c>
      <c r="N2295" t="str">
        <f t="shared" si="928"/>
        <v>001105018356</v>
      </c>
      <c r="O2295" t="str">
        <f t="shared" si="929"/>
        <v>MYR</v>
      </c>
      <c r="P2295" t="str">
        <f t="shared" si="948"/>
        <v>NIL</v>
      </c>
      <c r="Q2295" t="str">
        <f t="shared" si="948"/>
        <v>NIL</v>
      </c>
      <c r="R2295" t="str">
        <f t="shared" si="931"/>
        <v>Accepted</v>
      </c>
      <c r="S2295" t="str">
        <f t="shared" si="932"/>
        <v>Approved</v>
      </c>
      <c r="T2295" t="str">
        <f t="shared" si="933"/>
        <v>10.20.8.188</v>
      </c>
      <c r="U2295" t="str">
        <f t="shared" si="934"/>
        <v>AZRAD UMAR BIN SHAARI</v>
      </c>
      <c r="V2295" t="str">
        <f t="shared" si="935"/>
        <v>FARHANA BINTI MUSTAPA</v>
      </c>
      <c r="W2295" t="str">
        <f t="shared" si="936"/>
        <v>04-08-2020</v>
      </c>
      <c r="X2295" t="str">
        <f t="shared" si="937"/>
        <v>RAZIMAH ANSAR AHMAD</v>
      </c>
      <c r="Y2295" t="str">
        <f t="shared" si="938"/>
        <v>04-08-2020</v>
      </c>
      <c r="Z2295" t="str">
        <f>"COS10200804 6859"</f>
        <v>COS10200804 6859</v>
      </c>
    </row>
    <row r="2296" spans="1:26" x14ac:dyDescent="0.25">
      <c r="A2296" t="str">
        <f t="shared" si="945"/>
        <v>04-08-2020 01:04:59</v>
      </c>
      <c r="B2296" t="str">
        <f>"0000808655"</f>
        <v>0000808655</v>
      </c>
      <c r="C2296" t="str">
        <f t="shared" si="946"/>
        <v>0000808597</v>
      </c>
      <c r="D2296" t="str">
        <f t="shared" si="924"/>
        <v>73185</v>
      </c>
      <c r="E2296" t="str">
        <f t="shared" si="925"/>
        <v>KFH-OPERATIONS DEPARTMENT</v>
      </c>
      <c r="F2296" t="str">
        <f t="shared" si="926"/>
        <v>IBG</v>
      </c>
      <c r="G2296" t="str">
        <f t="shared" si="941"/>
        <v>Refund COSHARE 10</v>
      </c>
      <c r="H2296" s="2">
        <v>421</v>
      </c>
      <c r="I2296" t="str">
        <f>"PUSHPA AP D RAMAN"</f>
        <v>PUSHPA AP D RAMAN</v>
      </c>
      <c r="J2296" t="str">
        <f t="shared" si="942"/>
        <v>MAYBANK / MAYBANK ISLAMIC</v>
      </c>
      <c r="K2296" t="str">
        <f>"112447114571"</f>
        <v>112447114571</v>
      </c>
      <c r="L2296" t="str">
        <f t="shared" si="947"/>
        <v>04-08-2020</v>
      </c>
      <c r="M2296" t="str">
        <f t="shared" si="947"/>
        <v>04-08-2020</v>
      </c>
      <c r="N2296" t="str">
        <f t="shared" si="928"/>
        <v>001105018356</v>
      </c>
      <c r="O2296" t="str">
        <f t="shared" si="929"/>
        <v>MYR</v>
      </c>
      <c r="P2296" t="str">
        <f t="shared" si="948"/>
        <v>NIL</v>
      </c>
      <c r="Q2296" t="str">
        <f t="shared" si="948"/>
        <v>NIL</v>
      </c>
      <c r="R2296" t="str">
        <f t="shared" si="931"/>
        <v>Accepted</v>
      </c>
      <c r="S2296" t="str">
        <f t="shared" si="932"/>
        <v>Approved</v>
      </c>
      <c r="T2296" t="str">
        <f t="shared" si="933"/>
        <v>10.20.8.188</v>
      </c>
      <c r="U2296" t="str">
        <f t="shared" si="934"/>
        <v>AZRAD UMAR BIN SHAARI</v>
      </c>
      <c r="V2296" t="str">
        <f t="shared" si="935"/>
        <v>FARHANA BINTI MUSTAPA</v>
      </c>
      <c r="W2296" t="str">
        <f t="shared" si="936"/>
        <v>04-08-2020</v>
      </c>
      <c r="X2296" t="str">
        <f t="shared" si="937"/>
        <v>RAZIMAH ANSAR AHMAD</v>
      </c>
      <c r="Y2296" t="str">
        <f t="shared" si="938"/>
        <v>04-08-2020</v>
      </c>
      <c r="Z2296" t="str">
        <f>"COS10200804 6858"</f>
        <v>COS10200804 6858</v>
      </c>
    </row>
    <row r="2297" spans="1:26" x14ac:dyDescent="0.25">
      <c r="A2297" t="str">
        <f t="shared" si="945"/>
        <v>04-08-2020 01:04:59</v>
      </c>
      <c r="B2297" t="str">
        <f>"0000808654"</f>
        <v>0000808654</v>
      </c>
      <c r="C2297" t="str">
        <f t="shared" si="946"/>
        <v>0000808597</v>
      </c>
      <c r="D2297" t="str">
        <f t="shared" si="924"/>
        <v>73185</v>
      </c>
      <c r="E2297" t="str">
        <f t="shared" si="925"/>
        <v>KFH-OPERATIONS DEPARTMENT</v>
      </c>
      <c r="F2297" t="str">
        <f t="shared" si="926"/>
        <v>IBG</v>
      </c>
      <c r="G2297" t="str">
        <f t="shared" si="941"/>
        <v>Refund COSHARE 10</v>
      </c>
      <c r="H2297" s="2">
        <v>1330.55</v>
      </c>
      <c r="I2297" t="str">
        <f>"PUNITHA AP SILIVARAJOO"</f>
        <v>PUNITHA AP SILIVARAJOO</v>
      </c>
      <c r="J2297" t="str">
        <f t="shared" si="942"/>
        <v>MAYBANK / MAYBANK ISLAMIC</v>
      </c>
      <c r="K2297" t="str">
        <f>"101012203150"</f>
        <v>101012203150</v>
      </c>
      <c r="L2297" t="str">
        <f t="shared" si="947"/>
        <v>04-08-2020</v>
      </c>
      <c r="M2297" t="str">
        <f t="shared" si="947"/>
        <v>04-08-2020</v>
      </c>
      <c r="N2297" t="str">
        <f t="shared" si="928"/>
        <v>001105018356</v>
      </c>
      <c r="O2297" t="str">
        <f t="shared" si="929"/>
        <v>MYR</v>
      </c>
      <c r="P2297" t="str">
        <f t="shared" si="948"/>
        <v>NIL</v>
      </c>
      <c r="Q2297" t="str">
        <f t="shared" si="948"/>
        <v>NIL</v>
      </c>
      <c r="R2297" t="str">
        <f t="shared" si="931"/>
        <v>Accepted</v>
      </c>
      <c r="S2297" t="str">
        <f t="shared" si="932"/>
        <v>Approved</v>
      </c>
      <c r="T2297" t="str">
        <f t="shared" si="933"/>
        <v>10.20.8.188</v>
      </c>
      <c r="U2297" t="str">
        <f t="shared" si="934"/>
        <v>AZRAD UMAR BIN SHAARI</v>
      </c>
      <c r="V2297" t="str">
        <f t="shared" si="935"/>
        <v>FARHANA BINTI MUSTAPA</v>
      </c>
      <c r="W2297" t="str">
        <f t="shared" si="936"/>
        <v>04-08-2020</v>
      </c>
      <c r="X2297" t="str">
        <f t="shared" si="937"/>
        <v>RAZIMAH ANSAR AHMAD</v>
      </c>
      <c r="Y2297" t="str">
        <f t="shared" si="938"/>
        <v>04-08-2020</v>
      </c>
      <c r="Z2297" t="str">
        <f>"COS10200804 6857"</f>
        <v>COS10200804 6857</v>
      </c>
    </row>
    <row r="2298" spans="1:26" x14ac:dyDescent="0.25">
      <c r="A2298" t="str">
        <f t="shared" si="945"/>
        <v>04-08-2020 01:04:59</v>
      </c>
      <c r="B2298" t="str">
        <f>"0000808653"</f>
        <v>0000808653</v>
      </c>
      <c r="C2298" t="str">
        <f t="shared" si="946"/>
        <v>0000808597</v>
      </c>
      <c r="D2298" t="str">
        <f t="shared" si="924"/>
        <v>73185</v>
      </c>
      <c r="E2298" t="str">
        <f t="shared" si="925"/>
        <v>KFH-OPERATIONS DEPARTMENT</v>
      </c>
      <c r="F2298" t="str">
        <f t="shared" si="926"/>
        <v>IBG</v>
      </c>
      <c r="G2298" t="str">
        <f t="shared" si="941"/>
        <v>Refund COSHARE 10</v>
      </c>
      <c r="H2298" s="2">
        <v>215.5</v>
      </c>
      <c r="I2298" t="str">
        <f>"PUNITHA AP ARUMUGAM"</f>
        <v>PUNITHA AP ARUMUGAM</v>
      </c>
      <c r="J2298" t="str">
        <f t="shared" si="942"/>
        <v>MAYBANK / MAYBANK ISLAMIC</v>
      </c>
      <c r="K2298" t="str">
        <f>"108010684968"</f>
        <v>108010684968</v>
      </c>
      <c r="L2298" t="str">
        <f t="shared" si="947"/>
        <v>04-08-2020</v>
      </c>
      <c r="M2298" t="str">
        <f t="shared" si="947"/>
        <v>04-08-2020</v>
      </c>
      <c r="N2298" t="str">
        <f t="shared" si="928"/>
        <v>001105018356</v>
      </c>
      <c r="O2298" t="str">
        <f t="shared" si="929"/>
        <v>MYR</v>
      </c>
      <c r="P2298" t="str">
        <f t="shared" si="948"/>
        <v>NIL</v>
      </c>
      <c r="Q2298" t="str">
        <f t="shared" si="948"/>
        <v>NIL</v>
      </c>
      <c r="R2298" t="str">
        <f t="shared" si="931"/>
        <v>Accepted</v>
      </c>
      <c r="S2298" t="str">
        <f t="shared" si="932"/>
        <v>Approved</v>
      </c>
      <c r="T2298" t="str">
        <f t="shared" si="933"/>
        <v>10.20.8.188</v>
      </c>
      <c r="U2298" t="str">
        <f t="shared" si="934"/>
        <v>AZRAD UMAR BIN SHAARI</v>
      </c>
      <c r="V2298" t="str">
        <f t="shared" si="935"/>
        <v>FARHANA BINTI MUSTAPA</v>
      </c>
      <c r="W2298" t="str">
        <f t="shared" si="936"/>
        <v>04-08-2020</v>
      </c>
      <c r="X2298" t="str">
        <f t="shared" si="937"/>
        <v>RAZIMAH ANSAR AHMAD</v>
      </c>
      <c r="Y2298" t="str">
        <f t="shared" si="938"/>
        <v>04-08-2020</v>
      </c>
      <c r="Z2298" t="str">
        <f>"COS10200804 6856"</f>
        <v>COS10200804 6856</v>
      </c>
    </row>
    <row r="2299" spans="1:26" x14ac:dyDescent="0.25">
      <c r="A2299" t="str">
        <f t="shared" si="945"/>
        <v>04-08-2020 01:04:59</v>
      </c>
      <c r="B2299" t="str">
        <f>"0000808652"</f>
        <v>0000808652</v>
      </c>
      <c r="C2299" t="str">
        <f t="shared" si="946"/>
        <v>0000808597</v>
      </c>
      <c r="D2299" t="str">
        <f t="shared" si="924"/>
        <v>73185</v>
      </c>
      <c r="E2299" t="str">
        <f t="shared" si="925"/>
        <v>KFH-OPERATIONS DEPARTMENT</v>
      </c>
      <c r="F2299" t="str">
        <f t="shared" si="926"/>
        <v>IBG</v>
      </c>
      <c r="G2299" t="str">
        <f t="shared" si="941"/>
        <v>Refund COSHARE 10</v>
      </c>
      <c r="H2299" s="2">
        <v>1108</v>
      </c>
      <c r="I2299" t="str">
        <f>"PUNESWARISINGAM AP KERISNAN"</f>
        <v>PUNESWARISINGAM AP KERISNAN</v>
      </c>
      <c r="J2299" t="str">
        <f t="shared" si="942"/>
        <v>MAYBANK / MAYBANK ISLAMIC</v>
      </c>
      <c r="K2299" t="str">
        <f>"102103150561"</f>
        <v>102103150561</v>
      </c>
      <c r="L2299" t="str">
        <f t="shared" si="947"/>
        <v>04-08-2020</v>
      </c>
      <c r="M2299" t="str">
        <f t="shared" si="947"/>
        <v>04-08-2020</v>
      </c>
      <c r="N2299" t="str">
        <f t="shared" si="928"/>
        <v>001105018356</v>
      </c>
      <c r="O2299" t="str">
        <f t="shared" si="929"/>
        <v>MYR</v>
      </c>
      <c r="P2299" t="str">
        <f t="shared" si="948"/>
        <v>NIL</v>
      </c>
      <c r="Q2299" t="str">
        <f t="shared" si="948"/>
        <v>NIL</v>
      </c>
      <c r="R2299" t="str">
        <f t="shared" si="931"/>
        <v>Accepted</v>
      </c>
      <c r="S2299" t="str">
        <f t="shared" si="932"/>
        <v>Approved</v>
      </c>
      <c r="T2299" t="str">
        <f t="shared" si="933"/>
        <v>10.20.8.188</v>
      </c>
      <c r="U2299" t="str">
        <f t="shared" si="934"/>
        <v>AZRAD UMAR BIN SHAARI</v>
      </c>
      <c r="V2299" t="str">
        <f t="shared" si="935"/>
        <v>FARHANA BINTI MUSTAPA</v>
      </c>
      <c r="W2299" t="str">
        <f t="shared" si="936"/>
        <v>04-08-2020</v>
      </c>
      <c r="X2299" t="str">
        <f t="shared" si="937"/>
        <v>RAZIMAH ANSAR AHMAD</v>
      </c>
      <c r="Y2299" t="str">
        <f t="shared" si="938"/>
        <v>04-08-2020</v>
      </c>
      <c r="Z2299" t="str">
        <f>"COS10200804 6855"</f>
        <v>COS10200804 6855</v>
      </c>
    </row>
    <row r="2300" spans="1:26" x14ac:dyDescent="0.25">
      <c r="A2300" t="str">
        <f t="shared" si="945"/>
        <v>04-08-2020 01:04:59</v>
      </c>
      <c r="B2300" t="str">
        <f>"0000808651"</f>
        <v>0000808651</v>
      </c>
      <c r="C2300" t="str">
        <f t="shared" si="946"/>
        <v>0000808597</v>
      </c>
      <c r="D2300" t="str">
        <f t="shared" si="924"/>
        <v>73185</v>
      </c>
      <c r="E2300" t="str">
        <f t="shared" si="925"/>
        <v>KFH-OPERATIONS DEPARTMENT</v>
      </c>
      <c r="F2300" t="str">
        <f t="shared" si="926"/>
        <v>IBG</v>
      </c>
      <c r="G2300" t="str">
        <f t="shared" si="941"/>
        <v>Refund COSHARE 10</v>
      </c>
      <c r="H2300" s="2">
        <v>336.2</v>
      </c>
      <c r="I2300" t="str">
        <f>"PUGANESWARI AP JEYABALAN"</f>
        <v>PUGANESWARI AP JEYABALAN</v>
      </c>
      <c r="J2300" t="str">
        <f t="shared" si="942"/>
        <v>MAYBANK / MAYBANK ISLAMIC</v>
      </c>
      <c r="K2300" t="str">
        <f>"108113419629"</f>
        <v>108113419629</v>
      </c>
      <c r="L2300" t="str">
        <f t="shared" si="947"/>
        <v>04-08-2020</v>
      </c>
      <c r="M2300" t="str">
        <f t="shared" si="947"/>
        <v>04-08-2020</v>
      </c>
      <c r="N2300" t="str">
        <f t="shared" si="928"/>
        <v>001105018356</v>
      </c>
      <c r="O2300" t="str">
        <f t="shared" si="929"/>
        <v>MYR</v>
      </c>
      <c r="P2300" t="str">
        <f t="shared" si="948"/>
        <v>NIL</v>
      </c>
      <c r="Q2300" t="str">
        <f t="shared" si="948"/>
        <v>NIL</v>
      </c>
      <c r="R2300" t="str">
        <f t="shared" si="931"/>
        <v>Accepted</v>
      </c>
      <c r="S2300" t="str">
        <f t="shared" si="932"/>
        <v>Approved</v>
      </c>
      <c r="T2300" t="str">
        <f t="shared" si="933"/>
        <v>10.20.8.188</v>
      </c>
      <c r="U2300" t="str">
        <f t="shared" si="934"/>
        <v>AZRAD UMAR BIN SHAARI</v>
      </c>
      <c r="V2300" t="str">
        <f t="shared" si="935"/>
        <v>FARHANA BINTI MUSTAPA</v>
      </c>
      <c r="W2300" t="str">
        <f t="shared" si="936"/>
        <v>04-08-2020</v>
      </c>
      <c r="X2300" t="str">
        <f t="shared" si="937"/>
        <v>RAZIMAH ANSAR AHMAD</v>
      </c>
      <c r="Y2300" t="str">
        <f t="shared" si="938"/>
        <v>04-08-2020</v>
      </c>
      <c r="Z2300" t="str">
        <f>"COS10200804 6854"</f>
        <v>COS10200804 6854</v>
      </c>
    </row>
    <row r="2301" spans="1:26" x14ac:dyDescent="0.25">
      <c r="A2301" t="str">
        <f t="shared" si="945"/>
        <v>04-08-2020 01:04:59</v>
      </c>
      <c r="B2301" t="str">
        <f>"0000808650"</f>
        <v>0000808650</v>
      </c>
      <c r="C2301" t="str">
        <f t="shared" si="946"/>
        <v>0000808597</v>
      </c>
      <c r="D2301" t="str">
        <f t="shared" si="924"/>
        <v>73185</v>
      </c>
      <c r="E2301" t="str">
        <f t="shared" si="925"/>
        <v>KFH-OPERATIONS DEPARTMENT</v>
      </c>
      <c r="F2301" t="str">
        <f t="shared" si="926"/>
        <v>IBG</v>
      </c>
      <c r="G2301" t="str">
        <f t="shared" si="941"/>
        <v>Refund COSHARE 10</v>
      </c>
      <c r="H2301" s="2">
        <v>450.4</v>
      </c>
      <c r="I2301" t="str">
        <f>"PRETHIBA AP KRISHNAN"</f>
        <v>PRETHIBA AP KRISHNAN</v>
      </c>
      <c r="J2301" t="str">
        <f t="shared" si="942"/>
        <v>MAYBANK / MAYBANK ISLAMIC</v>
      </c>
      <c r="K2301" t="str">
        <f>"157157727027"</f>
        <v>157157727027</v>
      </c>
      <c r="L2301" t="str">
        <f t="shared" si="947"/>
        <v>04-08-2020</v>
      </c>
      <c r="M2301" t="str">
        <f t="shared" si="947"/>
        <v>04-08-2020</v>
      </c>
      <c r="N2301" t="str">
        <f t="shared" si="928"/>
        <v>001105018356</v>
      </c>
      <c r="O2301" t="str">
        <f t="shared" si="929"/>
        <v>MYR</v>
      </c>
      <c r="P2301" t="str">
        <f t="shared" si="948"/>
        <v>NIL</v>
      </c>
      <c r="Q2301" t="str">
        <f t="shared" si="948"/>
        <v>NIL</v>
      </c>
      <c r="R2301" t="str">
        <f t="shared" si="931"/>
        <v>Accepted</v>
      </c>
      <c r="S2301" t="str">
        <f t="shared" si="932"/>
        <v>Approved</v>
      </c>
      <c r="T2301" t="str">
        <f t="shared" si="933"/>
        <v>10.20.8.188</v>
      </c>
      <c r="U2301" t="str">
        <f t="shared" si="934"/>
        <v>AZRAD UMAR BIN SHAARI</v>
      </c>
      <c r="V2301" t="str">
        <f t="shared" si="935"/>
        <v>FARHANA BINTI MUSTAPA</v>
      </c>
      <c r="W2301" t="str">
        <f t="shared" si="936"/>
        <v>04-08-2020</v>
      </c>
      <c r="X2301" t="str">
        <f t="shared" si="937"/>
        <v>RAZIMAH ANSAR AHMAD</v>
      </c>
      <c r="Y2301" t="str">
        <f t="shared" si="938"/>
        <v>04-08-2020</v>
      </c>
      <c r="Z2301" t="str">
        <f>"COS10200804 6853"</f>
        <v>COS10200804 6853</v>
      </c>
    </row>
    <row r="2302" spans="1:26" x14ac:dyDescent="0.25">
      <c r="A2302" t="str">
        <f t="shared" si="945"/>
        <v>04-08-2020 01:04:59</v>
      </c>
      <c r="B2302" t="str">
        <f>"0000808649"</f>
        <v>0000808649</v>
      </c>
      <c r="C2302" t="str">
        <f t="shared" si="946"/>
        <v>0000808597</v>
      </c>
      <c r="D2302" t="str">
        <f t="shared" si="924"/>
        <v>73185</v>
      </c>
      <c r="E2302" t="str">
        <f t="shared" si="925"/>
        <v>KFH-OPERATIONS DEPARTMENT</v>
      </c>
      <c r="F2302" t="str">
        <f t="shared" si="926"/>
        <v>IBG</v>
      </c>
      <c r="G2302" t="str">
        <f t="shared" si="941"/>
        <v>Refund COSHARE 10</v>
      </c>
      <c r="H2302" s="2">
        <v>1774.05</v>
      </c>
      <c r="I2302" t="str">
        <f>"PREMA AP MAHAMANEY"</f>
        <v>PREMA AP MAHAMANEY</v>
      </c>
      <c r="J2302" t="str">
        <f t="shared" si="942"/>
        <v>MAYBANK / MAYBANK ISLAMIC</v>
      </c>
      <c r="K2302" t="str">
        <f>"112080336408"</f>
        <v>112080336408</v>
      </c>
      <c r="L2302" t="str">
        <f t="shared" si="947"/>
        <v>04-08-2020</v>
      </c>
      <c r="M2302" t="str">
        <f t="shared" si="947"/>
        <v>04-08-2020</v>
      </c>
      <c r="N2302" t="str">
        <f t="shared" si="928"/>
        <v>001105018356</v>
      </c>
      <c r="O2302" t="str">
        <f t="shared" si="929"/>
        <v>MYR</v>
      </c>
      <c r="P2302" t="str">
        <f t="shared" si="948"/>
        <v>NIL</v>
      </c>
      <c r="Q2302" t="str">
        <f t="shared" si="948"/>
        <v>NIL</v>
      </c>
      <c r="R2302" t="str">
        <f t="shared" si="931"/>
        <v>Accepted</v>
      </c>
      <c r="S2302" t="str">
        <f t="shared" si="932"/>
        <v>Approved</v>
      </c>
      <c r="T2302" t="str">
        <f t="shared" si="933"/>
        <v>10.20.8.188</v>
      </c>
      <c r="U2302" t="str">
        <f t="shared" si="934"/>
        <v>AZRAD UMAR BIN SHAARI</v>
      </c>
      <c r="V2302" t="str">
        <f t="shared" si="935"/>
        <v>FARHANA BINTI MUSTAPA</v>
      </c>
      <c r="W2302" t="str">
        <f t="shared" si="936"/>
        <v>04-08-2020</v>
      </c>
      <c r="X2302" t="str">
        <f t="shared" si="937"/>
        <v>RAZIMAH ANSAR AHMAD</v>
      </c>
      <c r="Y2302" t="str">
        <f t="shared" si="938"/>
        <v>04-08-2020</v>
      </c>
      <c r="Z2302" t="str">
        <f>"COS10200804 6852"</f>
        <v>COS10200804 6852</v>
      </c>
    </row>
    <row r="2303" spans="1:26" x14ac:dyDescent="0.25">
      <c r="A2303" t="str">
        <f t="shared" si="945"/>
        <v>04-08-2020 01:04:59</v>
      </c>
      <c r="B2303" t="str">
        <f>"0000808648"</f>
        <v>0000808648</v>
      </c>
      <c r="C2303" t="str">
        <f t="shared" si="946"/>
        <v>0000808597</v>
      </c>
      <c r="D2303" t="str">
        <f t="shared" si="924"/>
        <v>73185</v>
      </c>
      <c r="E2303" t="str">
        <f t="shared" si="925"/>
        <v>KFH-OPERATIONS DEPARTMENT</v>
      </c>
      <c r="F2303" t="str">
        <f t="shared" si="926"/>
        <v>IBG</v>
      </c>
      <c r="G2303" t="str">
        <f t="shared" si="941"/>
        <v>Refund COSHARE 10</v>
      </c>
      <c r="H2303" s="2">
        <v>1893.05</v>
      </c>
      <c r="I2303" t="str">
        <f>"PRABAKARAN AL POOPALAN"</f>
        <v>PRABAKARAN AL POOPALAN</v>
      </c>
      <c r="J2303" t="str">
        <f t="shared" si="942"/>
        <v>MAYBANK / MAYBANK ISLAMIC</v>
      </c>
      <c r="K2303" t="str">
        <f>"159012945667"</f>
        <v>159012945667</v>
      </c>
      <c r="L2303" t="str">
        <f t="shared" si="947"/>
        <v>04-08-2020</v>
      </c>
      <c r="M2303" t="str">
        <f t="shared" si="947"/>
        <v>04-08-2020</v>
      </c>
      <c r="N2303" t="str">
        <f t="shared" si="928"/>
        <v>001105018356</v>
      </c>
      <c r="O2303" t="str">
        <f t="shared" si="929"/>
        <v>MYR</v>
      </c>
      <c r="P2303" t="str">
        <f t="shared" si="948"/>
        <v>NIL</v>
      </c>
      <c r="Q2303" t="str">
        <f t="shared" si="948"/>
        <v>NIL</v>
      </c>
      <c r="R2303" t="str">
        <f t="shared" si="931"/>
        <v>Accepted</v>
      </c>
      <c r="S2303" t="str">
        <f t="shared" si="932"/>
        <v>Approved</v>
      </c>
      <c r="T2303" t="str">
        <f t="shared" si="933"/>
        <v>10.20.8.188</v>
      </c>
      <c r="U2303" t="str">
        <f t="shared" si="934"/>
        <v>AZRAD UMAR BIN SHAARI</v>
      </c>
      <c r="V2303" t="str">
        <f t="shared" si="935"/>
        <v>FARHANA BINTI MUSTAPA</v>
      </c>
      <c r="W2303" t="str">
        <f t="shared" si="936"/>
        <v>04-08-2020</v>
      </c>
      <c r="X2303" t="str">
        <f t="shared" si="937"/>
        <v>RAZIMAH ANSAR AHMAD</v>
      </c>
      <c r="Y2303" t="str">
        <f t="shared" si="938"/>
        <v>04-08-2020</v>
      </c>
      <c r="Z2303" t="str">
        <f>"COS10200804 6851"</f>
        <v>COS10200804 6851</v>
      </c>
    </row>
    <row r="2304" spans="1:26" x14ac:dyDescent="0.25">
      <c r="A2304" t="str">
        <f t="shared" si="945"/>
        <v>04-08-2020 01:04:59</v>
      </c>
      <c r="B2304" t="str">
        <f>"0000808647"</f>
        <v>0000808647</v>
      </c>
      <c r="C2304" t="str">
        <f t="shared" si="946"/>
        <v>0000808597</v>
      </c>
      <c r="D2304" t="str">
        <f t="shared" si="924"/>
        <v>73185</v>
      </c>
      <c r="E2304" t="str">
        <f t="shared" si="925"/>
        <v>KFH-OPERATIONS DEPARTMENT</v>
      </c>
      <c r="F2304" t="str">
        <f t="shared" si="926"/>
        <v>IBG</v>
      </c>
      <c r="G2304" t="str">
        <f t="shared" si="941"/>
        <v>Refund COSHARE 10</v>
      </c>
      <c r="H2304" s="2">
        <v>369.4</v>
      </c>
      <c r="I2304" t="str">
        <f>"PHYLLISIA BINTI JEMIS"</f>
        <v>PHYLLISIA BINTI JEMIS</v>
      </c>
      <c r="J2304" t="str">
        <f t="shared" si="942"/>
        <v>MAYBANK / MAYBANK ISLAMIC</v>
      </c>
      <c r="K2304" t="str">
        <f>"164155577350"</f>
        <v>164155577350</v>
      </c>
      <c r="L2304" t="str">
        <f t="shared" si="947"/>
        <v>04-08-2020</v>
      </c>
      <c r="M2304" t="str">
        <f t="shared" si="947"/>
        <v>04-08-2020</v>
      </c>
      <c r="N2304" t="str">
        <f t="shared" si="928"/>
        <v>001105018356</v>
      </c>
      <c r="O2304" t="str">
        <f t="shared" si="929"/>
        <v>MYR</v>
      </c>
      <c r="P2304" t="str">
        <f t="shared" si="948"/>
        <v>NIL</v>
      </c>
      <c r="Q2304" t="str">
        <f t="shared" si="948"/>
        <v>NIL</v>
      </c>
      <c r="R2304" t="str">
        <f t="shared" si="931"/>
        <v>Accepted</v>
      </c>
      <c r="S2304" t="str">
        <f t="shared" si="932"/>
        <v>Approved</v>
      </c>
      <c r="T2304" t="str">
        <f t="shared" si="933"/>
        <v>10.20.8.188</v>
      </c>
      <c r="U2304" t="str">
        <f t="shared" si="934"/>
        <v>AZRAD UMAR BIN SHAARI</v>
      </c>
      <c r="V2304" t="str">
        <f t="shared" si="935"/>
        <v>FARHANA BINTI MUSTAPA</v>
      </c>
      <c r="W2304" t="str">
        <f t="shared" si="936"/>
        <v>04-08-2020</v>
      </c>
      <c r="X2304" t="str">
        <f t="shared" si="937"/>
        <v>RAZIMAH ANSAR AHMAD</v>
      </c>
      <c r="Y2304" t="str">
        <f t="shared" si="938"/>
        <v>04-08-2020</v>
      </c>
      <c r="Z2304" t="str">
        <f>"COS10200804 6850"</f>
        <v>COS10200804 6850</v>
      </c>
    </row>
    <row r="2305" spans="1:26" x14ac:dyDescent="0.25">
      <c r="A2305" t="str">
        <f t="shared" si="945"/>
        <v>04-08-2020 01:04:59</v>
      </c>
      <c r="B2305" t="str">
        <f>"0000808646"</f>
        <v>0000808646</v>
      </c>
      <c r="C2305" t="str">
        <f t="shared" si="946"/>
        <v>0000808597</v>
      </c>
      <c r="D2305" t="str">
        <f t="shared" si="924"/>
        <v>73185</v>
      </c>
      <c r="E2305" t="str">
        <f t="shared" si="925"/>
        <v>KFH-OPERATIONS DEPARTMENT</v>
      </c>
      <c r="F2305" t="str">
        <f t="shared" si="926"/>
        <v>IBG</v>
      </c>
      <c r="G2305" t="str">
        <f t="shared" si="941"/>
        <v>Refund COSHARE 10</v>
      </c>
      <c r="H2305" s="2">
        <v>193.1</v>
      </c>
      <c r="I2305" t="str">
        <f>"PETERNODIS ANAK KODOH"</f>
        <v>PETERNODIS ANAK KODOH</v>
      </c>
      <c r="J2305" t="str">
        <f t="shared" si="942"/>
        <v>MAYBANK / MAYBANK ISLAMIC</v>
      </c>
      <c r="K2305" t="str">
        <f>"154017465533"</f>
        <v>154017465533</v>
      </c>
      <c r="L2305" t="str">
        <f t="shared" si="947"/>
        <v>04-08-2020</v>
      </c>
      <c r="M2305" t="str">
        <f t="shared" si="947"/>
        <v>04-08-2020</v>
      </c>
      <c r="N2305" t="str">
        <f t="shared" si="928"/>
        <v>001105018356</v>
      </c>
      <c r="O2305" t="str">
        <f t="shared" si="929"/>
        <v>MYR</v>
      </c>
      <c r="P2305" t="str">
        <f t="shared" si="948"/>
        <v>NIL</v>
      </c>
      <c r="Q2305" t="str">
        <f t="shared" si="948"/>
        <v>NIL</v>
      </c>
      <c r="R2305" t="str">
        <f t="shared" si="931"/>
        <v>Accepted</v>
      </c>
      <c r="S2305" t="str">
        <f t="shared" si="932"/>
        <v>Approved</v>
      </c>
      <c r="T2305" t="str">
        <f t="shared" si="933"/>
        <v>10.20.8.188</v>
      </c>
      <c r="U2305" t="str">
        <f t="shared" si="934"/>
        <v>AZRAD UMAR BIN SHAARI</v>
      </c>
      <c r="V2305" t="str">
        <f t="shared" si="935"/>
        <v>FARHANA BINTI MUSTAPA</v>
      </c>
      <c r="W2305" t="str">
        <f t="shared" si="936"/>
        <v>04-08-2020</v>
      </c>
      <c r="X2305" t="str">
        <f t="shared" si="937"/>
        <v>RAZIMAH ANSAR AHMAD</v>
      </c>
      <c r="Y2305" t="str">
        <f t="shared" si="938"/>
        <v>04-08-2020</v>
      </c>
      <c r="Z2305" t="str">
        <f>"COS10200804 6849"</f>
        <v>COS10200804 6849</v>
      </c>
    </row>
    <row r="2306" spans="1:26" x14ac:dyDescent="0.25">
      <c r="A2306" t="str">
        <f t="shared" si="945"/>
        <v>04-08-2020 01:04:59</v>
      </c>
      <c r="B2306" t="str">
        <f>"0000808645"</f>
        <v>0000808645</v>
      </c>
      <c r="C2306" t="str">
        <f t="shared" si="946"/>
        <v>0000808597</v>
      </c>
      <c r="D2306" t="str">
        <f t="shared" si="924"/>
        <v>73185</v>
      </c>
      <c r="E2306" t="str">
        <f t="shared" si="925"/>
        <v>KFH-OPERATIONS DEPARTMENT</v>
      </c>
      <c r="F2306" t="str">
        <f t="shared" si="926"/>
        <v>IBG</v>
      </c>
      <c r="G2306" t="str">
        <f t="shared" si="941"/>
        <v>Refund COSHARE 10</v>
      </c>
      <c r="H2306" s="2">
        <v>357.45</v>
      </c>
      <c r="I2306" t="str">
        <f>"PERIASAMY AL PALANIMUTHU"</f>
        <v>PERIASAMY AL PALANIMUTHU</v>
      </c>
      <c r="J2306" t="str">
        <f t="shared" si="942"/>
        <v>MAYBANK / MAYBANK ISLAMIC</v>
      </c>
      <c r="K2306" t="str">
        <f>"110189015005"</f>
        <v>110189015005</v>
      </c>
      <c r="L2306" t="str">
        <f t="shared" si="947"/>
        <v>04-08-2020</v>
      </c>
      <c r="M2306" t="str">
        <f t="shared" si="947"/>
        <v>04-08-2020</v>
      </c>
      <c r="N2306" t="str">
        <f t="shared" si="928"/>
        <v>001105018356</v>
      </c>
      <c r="O2306" t="str">
        <f t="shared" si="929"/>
        <v>MYR</v>
      </c>
      <c r="P2306" t="str">
        <f t="shared" si="948"/>
        <v>NIL</v>
      </c>
      <c r="Q2306" t="str">
        <f t="shared" si="948"/>
        <v>NIL</v>
      </c>
      <c r="R2306" t="str">
        <f t="shared" si="931"/>
        <v>Accepted</v>
      </c>
      <c r="S2306" t="str">
        <f t="shared" si="932"/>
        <v>Approved</v>
      </c>
      <c r="T2306" t="str">
        <f t="shared" si="933"/>
        <v>10.20.8.188</v>
      </c>
      <c r="U2306" t="str">
        <f t="shared" si="934"/>
        <v>AZRAD UMAR BIN SHAARI</v>
      </c>
      <c r="V2306" t="str">
        <f t="shared" si="935"/>
        <v>FARHANA BINTI MUSTAPA</v>
      </c>
      <c r="W2306" t="str">
        <f t="shared" si="936"/>
        <v>04-08-2020</v>
      </c>
      <c r="X2306" t="str">
        <f t="shared" si="937"/>
        <v>RAZIMAH ANSAR AHMAD</v>
      </c>
      <c r="Y2306" t="str">
        <f t="shared" si="938"/>
        <v>04-08-2020</v>
      </c>
      <c r="Z2306" t="str">
        <f>"COS10200804 6848"</f>
        <v>COS10200804 6848</v>
      </c>
    </row>
    <row r="2307" spans="1:26" x14ac:dyDescent="0.25">
      <c r="A2307" t="str">
        <f t="shared" si="945"/>
        <v>04-08-2020 01:04:59</v>
      </c>
      <c r="B2307" t="str">
        <f>"0000808644"</f>
        <v>0000808644</v>
      </c>
      <c r="C2307" t="str">
        <f t="shared" si="946"/>
        <v>0000808597</v>
      </c>
      <c r="D2307" t="str">
        <f t="shared" si="924"/>
        <v>73185</v>
      </c>
      <c r="E2307" t="str">
        <f t="shared" si="925"/>
        <v>KFH-OPERATIONS DEPARTMENT</v>
      </c>
      <c r="F2307" t="str">
        <f t="shared" si="926"/>
        <v>IBG</v>
      </c>
      <c r="G2307" t="str">
        <f t="shared" si="941"/>
        <v>Refund COSHARE 10</v>
      </c>
      <c r="H2307" s="2">
        <v>176.3</v>
      </c>
      <c r="I2307" t="str">
        <f>"PENNY METIUS"</f>
        <v>PENNY METIUS</v>
      </c>
      <c r="J2307" t="str">
        <f t="shared" si="942"/>
        <v>MAYBANK / MAYBANK ISLAMIC</v>
      </c>
      <c r="K2307" t="str">
        <f>"161024406763"</f>
        <v>161024406763</v>
      </c>
      <c r="L2307" t="str">
        <f t="shared" ref="L2307:M2326" si="949">"04-08-2020"</f>
        <v>04-08-2020</v>
      </c>
      <c r="M2307" t="str">
        <f t="shared" si="949"/>
        <v>04-08-2020</v>
      </c>
      <c r="N2307" t="str">
        <f t="shared" si="928"/>
        <v>001105018356</v>
      </c>
      <c r="O2307" t="str">
        <f t="shared" si="929"/>
        <v>MYR</v>
      </c>
      <c r="P2307" t="str">
        <f t="shared" ref="P2307:Q2326" si="950">"NIL"</f>
        <v>NIL</v>
      </c>
      <c r="Q2307" t="str">
        <f t="shared" si="950"/>
        <v>NIL</v>
      </c>
      <c r="R2307" t="str">
        <f t="shared" si="931"/>
        <v>Accepted</v>
      </c>
      <c r="S2307" t="str">
        <f t="shared" si="932"/>
        <v>Approved</v>
      </c>
      <c r="T2307" t="str">
        <f t="shared" si="933"/>
        <v>10.20.8.188</v>
      </c>
      <c r="U2307" t="str">
        <f t="shared" si="934"/>
        <v>AZRAD UMAR BIN SHAARI</v>
      </c>
      <c r="V2307" t="str">
        <f t="shared" si="935"/>
        <v>FARHANA BINTI MUSTAPA</v>
      </c>
      <c r="W2307" t="str">
        <f t="shared" si="936"/>
        <v>04-08-2020</v>
      </c>
      <c r="X2307" t="str">
        <f t="shared" si="937"/>
        <v>RAZIMAH ANSAR AHMAD</v>
      </c>
      <c r="Y2307" t="str">
        <f t="shared" si="938"/>
        <v>04-08-2020</v>
      </c>
      <c r="Z2307" t="str">
        <f>"COS10200804 6847"</f>
        <v>COS10200804 6847</v>
      </c>
    </row>
    <row r="2308" spans="1:26" x14ac:dyDescent="0.25">
      <c r="A2308" t="str">
        <f t="shared" si="945"/>
        <v>04-08-2020 01:04:59</v>
      </c>
      <c r="B2308" t="str">
        <f>"0000808643"</f>
        <v>0000808643</v>
      </c>
      <c r="C2308" t="str">
        <f t="shared" si="946"/>
        <v>0000808597</v>
      </c>
      <c r="D2308" t="str">
        <f t="shared" si="924"/>
        <v>73185</v>
      </c>
      <c r="E2308" t="str">
        <f t="shared" si="925"/>
        <v>KFH-OPERATIONS DEPARTMENT</v>
      </c>
      <c r="F2308" t="str">
        <f t="shared" si="926"/>
        <v>IBG</v>
      </c>
      <c r="G2308" t="str">
        <f t="shared" si="941"/>
        <v>Refund COSHARE 10</v>
      </c>
      <c r="H2308" s="2">
        <v>755.55</v>
      </c>
      <c r="I2308" t="str">
        <f>"PEATRICE AP EARTHIAM"</f>
        <v>PEATRICE AP EARTHIAM</v>
      </c>
      <c r="J2308" t="str">
        <f t="shared" si="942"/>
        <v>MAYBANK / MAYBANK ISLAMIC</v>
      </c>
      <c r="K2308" t="str">
        <f>"158220491141"</f>
        <v>158220491141</v>
      </c>
      <c r="L2308" t="str">
        <f t="shared" si="949"/>
        <v>04-08-2020</v>
      </c>
      <c r="M2308" t="str">
        <f t="shared" si="949"/>
        <v>04-08-2020</v>
      </c>
      <c r="N2308" t="str">
        <f t="shared" si="928"/>
        <v>001105018356</v>
      </c>
      <c r="O2308" t="str">
        <f t="shared" si="929"/>
        <v>MYR</v>
      </c>
      <c r="P2308" t="str">
        <f t="shared" si="950"/>
        <v>NIL</v>
      </c>
      <c r="Q2308" t="str">
        <f t="shared" si="950"/>
        <v>NIL</v>
      </c>
      <c r="R2308" t="str">
        <f t="shared" si="931"/>
        <v>Accepted</v>
      </c>
      <c r="S2308" t="str">
        <f t="shared" si="932"/>
        <v>Approved</v>
      </c>
      <c r="T2308" t="str">
        <f t="shared" si="933"/>
        <v>10.20.8.188</v>
      </c>
      <c r="U2308" t="str">
        <f t="shared" si="934"/>
        <v>AZRAD UMAR BIN SHAARI</v>
      </c>
      <c r="V2308" t="str">
        <f t="shared" si="935"/>
        <v>FARHANA BINTI MUSTAPA</v>
      </c>
      <c r="W2308" t="str">
        <f t="shared" si="936"/>
        <v>04-08-2020</v>
      </c>
      <c r="X2308" t="str">
        <f t="shared" si="937"/>
        <v>RAZIMAH ANSAR AHMAD</v>
      </c>
      <c r="Y2308" t="str">
        <f t="shared" si="938"/>
        <v>04-08-2020</v>
      </c>
      <c r="Z2308" t="str">
        <f>"COS10200804 6846"</f>
        <v>COS10200804 6846</v>
      </c>
    </row>
    <row r="2309" spans="1:26" x14ac:dyDescent="0.25">
      <c r="A2309" t="str">
        <f t="shared" si="945"/>
        <v>04-08-2020 01:04:59</v>
      </c>
      <c r="B2309" t="str">
        <f>"0000808642"</f>
        <v>0000808642</v>
      </c>
      <c r="C2309" t="str">
        <f t="shared" si="946"/>
        <v>0000808597</v>
      </c>
      <c r="D2309" t="str">
        <f t="shared" si="924"/>
        <v>73185</v>
      </c>
      <c r="E2309" t="str">
        <f t="shared" si="925"/>
        <v>KFH-OPERATIONS DEPARTMENT</v>
      </c>
      <c r="F2309" t="str">
        <f t="shared" si="926"/>
        <v>IBG</v>
      </c>
      <c r="G2309" t="str">
        <f t="shared" si="941"/>
        <v>Refund COSHARE 10</v>
      </c>
      <c r="H2309" s="2">
        <v>251.85</v>
      </c>
      <c r="I2309" t="str">
        <f>"PAZLINA BINTI MAT ALI"</f>
        <v>PAZLINA BINTI MAT ALI</v>
      </c>
      <c r="J2309" t="str">
        <f t="shared" si="942"/>
        <v>MAYBANK / MAYBANK ISLAMIC</v>
      </c>
      <c r="K2309" t="str">
        <f>"163091048632"</f>
        <v>163091048632</v>
      </c>
      <c r="L2309" t="str">
        <f t="shared" si="949"/>
        <v>04-08-2020</v>
      </c>
      <c r="M2309" t="str">
        <f t="shared" si="949"/>
        <v>04-08-2020</v>
      </c>
      <c r="N2309" t="str">
        <f t="shared" si="928"/>
        <v>001105018356</v>
      </c>
      <c r="O2309" t="str">
        <f t="shared" si="929"/>
        <v>MYR</v>
      </c>
      <c r="P2309" t="str">
        <f t="shared" si="950"/>
        <v>NIL</v>
      </c>
      <c r="Q2309" t="str">
        <f t="shared" si="950"/>
        <v>NIL</v>
      </c>
      <c r="R2309" t="str">
        <f t="shared" si="931"/>
        <v>Accepted</v>
      </c>
      <c r="S2309" t="str">
        <f t="shared" si="932"/>
        <v>Approved</v>
      </c>
      <c r="T2309" t="str">
        <f t="shared" si="933"/>
        <v>10.20.8.188</v>
      </c>
      <c r="U2309" t="str">
        <f t="shared" si="934"/>
        <v>AZRAD UMAR BIN SHAARI</v>
      </c>
      <c r="V2309" t="str">
        <f t="shared" si="935"/>
        <v>FARHANA BINTI MUSTAPA</v>
      </c>
      <c r="W2309" t="str">
        <f t="shared" si="936"/>
        <v>04-08-2020</v>
      </c>
      <c r="X2309" t="str">
        <f t="shared" si="937"/>
        <v>RAZIMAH ANSAR AHMAD</v>
      </c>
      <c r="Y2309" t="str">
        <f t="shared" si="938"/>
        <v>04-08-2020</v>
      </c>
      <c r="Z2309" t="str">
        <f>"COS10200804 6845"</f>
        <v>COS10200804 6845</v>
      </c>
    </row>
    <row r="2310" spans="1:26" x14ac:dyDescent="0.25">
      <c r="A2310" t="str">
        <f t="shared" si="945"/>
        <v>04-08-2020 01:04:59</v>
      </c>
      <c r="B2310" t="str">
        <f>"0000808641"</f>
        <v>0000808641</v>
      </c>
      <c r="C2310" t="str">
        <f t="shared" si="946"/>
        <v>0000808597</v>
      </c>
      <c r="D2310" t="str">
        <f t="shared" si="924"/>
        <v>73185</v>
      </c>
      <c r="E2310" t="str">
        <f t="shared" si="925"/>
        <v>KFH-OPERATIONS DEPARTMENT</v>
      </c>
      <c r="F2310" t="str">
        <f t="shared" si="926"/>
        <v>IBG</v>
      </c>
      <c r="G2310" t="str">
        <f t="shared" si="941"/>
        <v>Refund COSHARE 10</v>
      </c>
      <c r="H2310" s="2">
        <v>98.25</v>
      </c>
      <c r="I2310" t="str">
        <f>"PAZIATON BT PERMAN  PAIMAN"</f>
        <v>PAZIATON BT PERMAN  PAIMAN</v>
      </c>
      <c r="J2310" t="str">
        <f t="shared" si="942"/>
        <v>MAYBANK / MAYBANK ISLAMIC</v>
      </c>
      <c r="K2310" t="str">
        <f>"151258497290"</f>
        <v>151258497290</v>
      </c>
      <c r="L2310" t="str">
        <f t="shared" si="949"/>
        <v>04-08-2020</v>
      </c>
      <c r="M2310" t="str">
        <f t="shared" si="949"/>
        <v>04-08-2020</v>
      </c>
      <c r="N2310" t="str">
        <f t="shared" si="928"/>
        <v>001105018356</v>
      </c>
      <c r="O2310" t="str">
        <f t="shared" si="929"/>
        <v>MYR</v>
      </c>
      <c r="P2310" t="str">
        <f t="shared" si="950"/>
        <v>NIL</v>
      </c>
      <c r="Q2310" t="str">
        <f t="shared" si="950"/>
        <v>NIL</v>
      </c>
      <c r="R2310" t="str">
        <f t="shared" si="931"/>
        <v>Accepted</v>
      </c>
      <c r="S2310" t="str">
        <f t="shared" si="932"/>
        <v>Approved</v>
      </c>
      <c r="T2310" t="str">
        <f t="shared" si="933"/>
        <v>10.20.8.188</v>
      </c>
      <c r="U2310" t="str">
        <f t="shared" si="934"/>
        <v>AZRAD UMAR BIN SHAARI</v>
      </c>
      <c r="V2310" t="str">
        <f t="shared" si="935"/>
        <v>FARHANA BINTI MUSTAPA</v>
      </c>
      <c r="W2310" t="str">
        <f t="shared" si="936"/>
        <v>04-08-2020</v>
      </c>
      <c r="X2310" t="str">
        <f t="shared" si="937"/>
        <v>RAZIMAH ANSAR AHMAD</v>
      </c>
      <c r="Y2310" t="str">
        <f t="shared" si="938"/>
        <v>04-08-2020</v>
      </c>
      <c r="Z2310" t="str">
        <f>"COS10200804 6844"</f>
        <v>COS10200804 6844</v>
      </c>
    </row>
    <row r="2311" spans="1:26" x14ac:dyDescent="0.25">
      <c r="A2311" t="str">
        <f t="shared" si="945"/>
        <v>04-08-2020 01:04:59</v>
      </c>
      <c r="B2311" t="str">
        <f>"0000808640"</f>
        <v>0000808640</v>
      </c>
      <c r="C2311" t="str">
        <f t="shared" si="946"/>
        <v>0000808597</v>
      </c>
      <c r="D2311" t="str">
        <f t="shared" ref="D2311:D2374" si="951">"73185"</f>
        <v>73185</v>
      </c>
      <c r="E2311" t="str">
        <f t="shared" ref="E2311:E2374" si="952">"KFH-OPERATIONS DEPARTMENT"</f>
        <v>KFH-OPERATIONS DEPARTMENT</v>
      </c>
      <c r="F2311" t="str">
        <f t="shared" ref="F2311:F2374" si="953">"IBG"</f>
        <v>IBG</v>
      </c>
      <c r="G2311" t="str">
        <f t="shared" si="941"/>
        <v>Refund COSHARE 10</v>
      </c>
      <c r="H2311" s="2">
        <v>302.25</v>
      </c>
      <c r="I2311" t="str">
        <f>"PAWASIA BINTI BAHA"</f>
        <v>PAWASIA BINTI BAHA</v>
      </c>
      <c r="J2311" t="str">
        <f t="shared" si="942"/>
        <v>MAYBANK / MAYBANK ISLAMIC</v>
      </c>
      <c r="K2311" t="str">
        <f>"110032101175"</f>
        <v>110032101175</v>
      </c>
      <c r="L2311" t="str">
        <f t="shared" si="949"/>
        <v>04-08-2020</v>
      </c>
      <c r="M2311" t="str">
        <f t="shared" si="949"/>
        <v>04-08-2020</v>
      </c>
      <c r="N2311" t="str">
        <f t="shared" ref="N2311:N2374" si="954">"001105018356"</f>
        <v>001105018356</v>
      </c>
      <c r="O2311" t="str">
        <f t="shared" ref="O2311:O2374" si="955">"MYR"</f>
        <v>MYR</v>
      </c>
      <c r="P2311" t="str">
        <f t="shared" si="950"/>
        <v>NIL</v>
      </c>
      <c r="Q2311" t="str">
        <f t="shared" si="950"/>
        <v>NIL</v>
      </c>
      <c r="R2311" t="str">
        <f t="shared" ref="R2311:R2374" si="956">"Accepted"</f>
        <v>Accepted</v>
      </c>
      <c r="S2311" t="str">
        <f t="shared" ref="S2311:S2374" si="957">"Approved"</f>
        <v>Approved</v>
      </c>
      <c r="T2311" t="str">
        <f t="shared" ref="T2311:T2374" si="958">"10.20.8.188"</f>
        <v>10.20.8.188</v>
      </c>
      <c r="U2311" t="str">
        <f t="shared" ref="U2311:U2374" si="959">"AZRAD UMAR BIN SHAARI"</f>
        <v>AZRAD UMAR BIN SHAARI</v>
      </c>
      <c r="V2311" t="str">
        <f t="shared" ref="V2311:V2374" si="960">"FARHANA BINTI MUSTAPA"</f>
        <v>FARHANA BINTI MUSTAPA</v>
      </c>
      <c r="W2311" t="str">
        <f t="shared" ref="W2311:W2374" si="961">"04-08-2020"</f>
        <v>04-08-2020</v>
      </c>
      <c r="X2311" t="str">
        <f t="shared" ref="X2311:X2374" si="962">"RAZIMAH ANSAR AHMAD"</f>
        <v>RAZIMAH ANSAR AHMAD</v>
      </c>
      <c r="Y2311" t="str">
        <f t="shared" ref="Y2311:Y2374" si="963">"04-08-2020"</f>
        <v>04-08-2020</v>
      </c>
      <c r="Z2311" t="str">
        <f>"COS10200804 6843"</f>
        <v>COS10200804 6843</v>
      </c>
    </row>
    <row r="2312" spans="1:26" x14ac:dyDescent="0.25">
      <c r="A2312" t="str">
        <f t="shared" si="945"/>
        <v>04-08-2020 01:04:59</v>
      </c>
      <c r="B2312" t="str">
        <f>"0000808639"</f>
        <v>0000808639</v>
      </c>
      <c r="C2312" t="str">
        <f t="shared" si="946"/>
        <v>0000808597</v>
      </c>
      <c r="D2312" t="str">
        <f t="shared" si="951"/>
        <v>73185</v>
      </c>
      <c r="E2312" t="str">
        <f t="shared" si="952"/>
        <v>KFH-OPERATIONS DEPARTMENT</v>
      </c>
      <c r="F2312" t="str">
        <f t="shared" si="953"/>
        <v>IBG</v>
      </c>
      <c r="G2312" t="str">
        <f t="shared" si="941"/>
        <v>Refund COSHARE 10</v>
      </c>
      <c r="H2312" s="2">
        <v>1295</v>
      </c>
      <c r="I2312" t="str">
        <f>"PAVIN KAUR BAL AP BALDEV SINGH"</f>
        <v>PAVIN KAUR BAL AP BALDEV SINGH</v>
      </c>
      <c r="J2312" t="str">
        <f t="shared" si="942"/>
        <v>MAYBANK / MAYBANK ISLAMIC</v>
      </c>
      <c r="K2312" t="str">
        <f>"162553073388"</f>
        <v>162553073388</v>
      </c>
      <c r="L2312" t="str">
        <f t="shared" si="949"/>
        <v>04-08-2020</v>
      </c>
      <c r="M2312" t="str">
        <f t="shared" si="949"/>
        <v>04-08-2020</v>
      </c>
      <c r="N2312" t="str">
        <f t="shared" si="954"/>
        <v>001105018356</v>
      </c>
      <c r="O2312" t="str">
        <f t="shared" si="955"/>
        <v>MYR</v>
      </c>
      <c r="P2312" t="str">
        <f t="shared" si="950"/>
        <v>NIL</v>
      </c>
      <c r="Q2312" t="str">
        <f t="shared" si="950"/>
        <v>NIL</v>
      </c>
      <c r="R2312" t="str">
        <f t="shared" si="956"/>
        <v>Accepted</v>
      </c>
      <c r="S2312" t="str">
        <f t="shared" si="957"/>
        <v>Approved</v>
      </c>
      <c r="T2312" t="str">
        <f t="shared" si="958"/>
        <v>10.20.8.188</v>
      </c>
      <c r="U2312" t="str">
        <f t="shared" si="959"/>
        <v>AZRAD UMAR BIN SHAARI</v>
      </c>
      <c r="V2312" t="str">
        <f t="shared" si="960"/>
        <v>FARHANA BINTI MUSTAPA</v>
      </c>
      <c r="W2312" t="str">
        <f t="shared" si="961"/>
        <v>04-08-2020</v>
      </c>
      <c r="X2312" t="str">
        <f t="shared" si="962"/>
        <v>RAZIMAH ANSAR AHMAD</v>
      </c>
      <c r="Y2312" t="str">
        <f t="shared" si="963"/>
        <v>04-08-2020</v>
      </c>
      <c r="Z2312" t="str">
        <f>"COS10200804 6842"</f>
        <v>COS10200804 6842</v>
      </c>
    </row>
    <row r="2313" spans="1:26" x14ac:dyDescent="0.25">
      <c r="A2313" t="str">
        <f t="shared" si="945"/>
        <v>04-08-2020 01:04:59</v>
      </c>
      <c r="B2313" t="str">
        <f>"0000808638"</f>
        <v>0000808638</v>
      </c>
      <c r="C2313" t="str">
        <f t="shared" si="946"/>
        <v>0000808597</v>
      </c>
      <c r="D2313" t="str">
        <f t="shared" si="951"/>
        <v>73185</v>
      </c>
      <c r="E2313" t="str">
        <f t="shared" si="952"/>
        <v>KFH-OPERATIONS DEPARTMENT</v>
      </c>
      <c r="F2313" t="str">
        <f t="shared" si="953"/>
        <v>IBG</v>
      </c>
      <c r="G2313" t="str">
        <f t="shared" si="941"/>
        <v>Refund COSHARE 10</v>
      </c>
      <c r="H2313" s="2">
        <v>344.8</v>
      </c>
      <c r="I2313" t="str">
        <f>"PAUZI BIN AWANG SU"</f>
        <v>PAUZI BIN AWANG SU</v>
      </c>
      <c r="J2313" t="str">
        <f t="shared" si="942"/>
        <v>MAYBANK / MAYBANK ISLAMIC</v>
      </c>
      <c r="K2313" t="str">
        <f>"162142013494"</f>
        <v>162142013494</v>
      </c>
      <c r="L2313" t="str">
        <f t="shared" si="949"/>
        <v>04-08-2020</v>
      </c>
      <c r="M2313" t="str">
        <f t="shared" si="949"/>
        <v>04-08-2020</v>
      </c>
      <c r="N2313" t="str">
        <f t="shared" si="954"/>
        <v>001105018356</v>
      </c>
      <c r="O2313" t="str">
        <f t="shared" si="955"/>
        <v>MYR</v>
      </c>
      <c r="P2313" t="str">
        <f t="shared" si="950"/>
        <v>NIL</v>
      </c>
      <c r="Q2313" t="str">
        <f t="shared" si="950"/>
        <v>NIL</v>
      </c>
      <c r="R2313" t="str">
        <f t="shared" si="956"/>
        <v>Accepted</v>
      </c>
      <c r="S2313" t="str">
        <f t="shared" si="957"/>
        <v>Approved</v>
      </c>
      <c r="T2313" t="str">
        <f t="shared" si="958"/>
        <v>10.20.8.188</v>
      </c>
      <c r="U2313" t="str">
        <f t="shared" si="959"/>
        <v>AZRAD UMAR BIN SHAARI</v>
      </c>
      <c r="V2313" t="str">
        <f t="shared" si="960"/>
        <v>FARHANA BINTI MUSTAPA</v>
      </c>
      <c r="W2313" t="str">
        <f t="shared" si="961"/>
        <v>04-08-2020</v>
      </c>
      <c r="X2313" t="str">
        <f t="shared" si="962"/>
        <v>RAZIMAH ANSAR AHMAD</v>
      </c>
      <c r="Y2313" t="str">
        <f t="shared" si="963"/>
        <v>04-08-2020</v>
      </c>
      <c r="Z2313" t="str">
        <f>"COS10200804 6841"</f>
        <v>COS10200804 6841</v>
      </c>
    </row>
    <row r="2314" spans="1:26" x14ac:dyDescent="0.25">
      <c r="A2314" t="str">
        <f t="shared" ref="A2314:A2345" si="964">"04-08-2020 01:04:59"</f>
        <v>04-08-2020 01:04:59</v>
      </c>
      <c r="B2314" t="str">
        <f>"0000808637"</f>
        <v>0000808637</v>
      </c>
      <c r="C2314" t="str">
        <f t="shared" ref="C2314:C2345" si="965">"0000808597"</f>
        <v>0000808597</v>
      </c>
      <c r="D2314" t="str">
        <f t="shared" si="951"/>
        <v>73185</v>
      </c>
      <c r="E2314" t="str">
        <f t="shared" si="952"/>
        <v>KFH-OPERATIONS DEPARTMENT</v>
      </c>
      <c r="F2314" t="str">
        <f t="shared" si="953"/>
        <v>IBG</v>
      </c>
      <c r="G2314" t="str">
        <f t="shared" si="941"/>
        <v>Refund COSHARE 10</v>
      </c>
      <c r="H2314" s="2">
        <v>987</v>
      </c>
      <c r="I2314" t="str">
        <f>"PAUL ANAK SAHIRI"</f>
        <v>PAUL ANAK SAHIRI</v>
      </c>
      <c r="J2314" t="str">
        <f t="shared" si="942"/>
        <v>MAYBANK / MAYBANK ISLAMIC</v>
      </c>
      <c r="K2314" t="str">
        <f>"111075180009"</f>
        <v>111075180009</v>
      </c>
      <c r="L2314" t="str">
        <f t="shared" si="949"/>
        <v>04-08-2020</v>
      </c>
      <c r="M2314" t="str">
        <f t="shared" si="949"/>
        <v>04-08-2020</v>
      </c>
      <c r="N2314" t="str">
        <f t="shared" si="954"/>
        <v>001105018356</v>
      </c>
      <c r="O2314" t="str">
        <f t="shared" si="955"/>
        <v>MYR</v>
      </c>
      <c r="P2314" t="str">
        <f t="shared" si="950"/>
        <v>NIL</v>
      </c>
      <c r="Q2314" t="str">
        <f t="shared" si="950"/>
        <v>NIL</v>
      </c>
      <c r="R2314" t="str">
        <f t="shared" si="956"/>
        <v>Accepted</v>
      </c>
      <c r="S2314" t="str">
        <f t="shared" si="957"/>
        <v>Approved</v>
      </c>
      <c r="T2314" t="str">
        <f t="shared" si="958"/>
        <v>10.20.8.188</v>
      </c>
      <c r="U2314" t="str">
        <f t="shared" si="959"/>
        <v>AZRAD UMAR BIN SHAARI</v>
      </c>
      <c r="V2314" t="str">
        <f t="shared" si="960"/>
        <v>FARHANA BINTI MUSTAPA</v>
      </c>
      <c r="W2314" t="str">
        <f t="shared" si="961"/>
        <v>04-08-2020</v>
      </c>
      <c r="X2314" t="str">
        <f t="shared" si="962"/>
        <v>RAZIMAH ANSAR AHMAD</v>
      </c>
      <c r="Y2314" t="str">
        <f t="shared" si="963"/>
        <v>04-08-2020</v>
      </c>
      <c r="Z2314" t="str">
        <f>"COS10200804 6840"</f>
        <v>COS10200804 6840</v>
      </c>
    </row>
    <row r="2315" spans="1:26" x14ac:dyDescent="0.25">
      <c r="A2315" t="str">
        <f t="shared" si="964"/>
        <v>04-08-2020 01:04:59</v>
      </c>
      <c r="B2315" t="str">
        <f>"0000808636"</f>
        <v>0000808636</v>
      </c>
      <c r="C2315" t="str">
        <f t="shared" si="965"/>
        <v>0000808597</v>
      </c>
      <c r="D2315" t="str">
        <f t="shared" si="951"/>
        <v>73185</v>
      </c>
      <c r="E2315" t="str">
        <f t="shared" si="952"/>
        <v>KFH-OPERATIONS DEPARTMENT</v>
      </c>
      <c r="F2315" t="str">
        <f t="shared" si="953"/>
        <v>IBG</v>
      </c>
      <c r="G2315" t="str">
        <f t="shared" si="941"/>
        <v>Refund COSHARE 10</v>
      </c>
      <c r="H2315" s="2">
        <v>142</v>
      </c>
      <c r="I2315" t="str">
        <f>"PASKALIS BIN ALBAN AKIM  JEROME BAKIM"</f>
        <v>PASKALIS BIN ALBAN AKIM  JEROME BAKIM</v>
      </c>
      <c r="J2315" t="str">
        <f t="shared" si="942"/>
        <v>MAYBANK / MAYBANK ISLAMIC</v>
      </c>
      <c r="K2315" t="str">
        <f>"110013249520"</f>
        <v>110013249520</v>
      </c>
      <c r="L2315" t="str">
        <f t="shared" si="949"/>
        <v>04-08-2020</v>
      </c>
      <c r="M2315" t="str">
        <f t="shared" si="949"/>
        <v>04-08-2020</v>
      </c>
      <c r="N2315" t="str">
        <f t="shared" si="954"/>
        <v>001105018356</v>
      </c>
      <c r="O2315" t="str">
        <f t="shared" si="955"/>
        <v>MYR</v>
      </c>
      <c r="P2315" t="str">
        <f t="shared" si="950"/>
        <v>NIL</v>
      </c>
      <c r="Q2315" t="str">
        <f t="shared" si="950"/>
        <v>NIL</v>
      </c>
      <c r="R2315" t="str">
        <f t="shared" si="956"/>
        <v>Accepted</v>
      </c>
      <c r="S2315" t="str">
        <f t="shared" si="957"/>
        <v>Approved</v>
      </c>
      <c r="T2315" t="str">
        <f t="shared" si="958"/>
        <v>10.20.8.188</v>
      </c>
      <c r="U2315" t="str">
        <f t="shared" si="959"/>
        <v>AZRAD UMAR BIN SHAARI</v>
      </c>
      <c r="V2315" t="str">
        <f t="shared" si="960"/>
        <v>FARHANA BINTI MUSTAPA</v>
      </c>
      <c r="W2315" t="str">
        <f t="shared" si="961"/>
        <v>04-08-2020</v>
      </c>
      <c r="X2315" t="str">
        <f t="shared" si="962"/>
        <v>RAZIMAH ANSAR AHMAD</v>
      </c>
      <c r="Y2315" t="str">
        <f t="shared" si="963"/>
        <v>04-08-2020</v>
      </c>
      <c r="Z2315" t="str">
        <f>"COS10200804 6839"</f>
        <v>COS10200804 6839</v>
      </c>
    </row>
    <row r="2316" spans="1:26" x14ac:dyDescent="0.25">
      <c r="A2316" t="str">
        <f t="shared" si="964"/>
        <v>04-08-2020 01:04:59</v>
      </c>
      <c r="B2316" t="str">
        <f>"0000808635"</f>
        <v>0000808635</v>
      </c>
      <c r="C2316" t="str">
        <f t="shared" si="965"/>
        <v>0000808597</v>
      </c>
      <c r="D2316" t="str">
        <f t="shared" si="951"/>
        <v>73185</v>
      </c>
      <c r="E2316" t="str">
        <f t="shared" si="952"/>
        <v>KFH-OPERATIONS DEPARTMENT</v>
      </c>
      <c r="F2316" t="str">
        <f t="shared" si="953"/>
        <v>IBG</v>
      </c>
      <c r="G2316" t="str">
        <f t="shared" ref="G2316:G2379" si="966">"Refund COSHARE 10"</f>
        <v>Refund COSHARE 10</v>
      </c>
      <c r="H2316" s="2">
        <v>76.25</v>
      </c>
      <c r="I2316" t="str">
        <f>"PANJANG BIN ITAM KATONG"</f>
        <v>PANJANG BIN ITAM KATONG</v>
      </c>
      <c r="J2316" t="str">
        <f t="shared" si="942"/>
        <v>MAYBANK / MAYBANK ISLAMIC</v>
      </c>
      <c r="K2316" t="str">
        <f>"114226055520"</f>
        <v>114226055520</v>
      </c>
      <c r="L2316" t="str">
        <f t="shared" si="949"/>
        <v>04-08-2020</v>
      </c>
      <c r="M2316" t="str">
        <f t="shared" si="949"/>
        <v>04-08-2020</v>
      </c>
      <c r="N2316" t="str">
        <f t="shared" si="954"/>
        <v>001105018356</v>
      </c>
      <c r="O2316" t="str">
        <f t="shared" si="955"/>
        <v>MYR</v>
      </c>
      <c r="P2316" t="str">
        <f t="shared" si="950"/>
        <v>NIL</v>
      </c>
      <c r="Q2316" t="str">
        <f t="shared" si="950"/>
        <v>NIL</v>
      </c>
      <c r="R2316" t="str">
        <f t="shared" si="956"/>
        <v>Accepted</v>
      </c>
      <c r="S2316" t="str">
        <f t="shared" si="957"/>
        <v>Approved</v>
      </c>
      <c r="T2316" t="str">
        <f t="shared" si="958"/>
        <v>10.20.8.188</v>
      </c>
      <c r="U2316" t="str">
        <f t="shared" si="959"/>
        <v>AZRAD UMAR BIN SHAARI</v>
      </c>
      <c r="V2316" t="str">
        <f t="shared" si="960"/>
        <v>FARHANA BINTI MUSTAPA</v>
      </c>
      <c r="W2316" t="str">
        <f t="shared" si="961"/>
        <v>04-08-2020</v>
      </c>
      <c r="X2316" t="str">
        <f t="shared" si="962"/>
        <v>RAZIMAH ANSAR AHMAD</v>
      </c>
      <c r="Y2316" t="str">
        <f t="shared" si="963"/>
        <v>04-08-2020</v>
      </c>
      <c r="Z2316" t="str">
        <f>"COS10200804 6838"</f>
        <v>COS10200804 6838</v>
      </c>
    </row>
    <row r="2317" spans="1:26" x14ac:dyDescent="0.25">
      <c r="A2317" t="str">
        <f t="shared" si="964"/>
        <v>04-08-2020 01:04:59</v>
      </c>
      <c r="B2317" t="str">
        <f>"0000808634"</f>
        <v>0000808634</v>
      </c>
      <c r="C2317" t="str">
        <f t="shared" si="965"/>
        <v>0000808597</v>
      </c>
      <c r="D2317" t="str">
        <f t="shared" si="951"/>
        <v>73185</v>
      </c>
      <c r="E2317" t="str">
        <f t="shared" si="952"/>
        <v>KFH-OPERATIONS DEPARTMENT</v>
      </c>
      <c r="F2317" t="str">
        <f t="shared" si="953"/>
        <v>IBG</v>
      </c>
      <c r="G2317" t="str">
        <f t="shared" si="966"/>
        <v>Refund COSHARE 10</v>
      </c>
      <c r="H2317" s="2">
        <v>377.8</v>
      </c>
      <c r="I2317" t="str">
        <f>"PALANITEWAN AL PANDYTEWAN"</f>
        <v>PALANITEWAN AL PANDYTEWAN</v>
      </c>
      <c r="J2317" t="str">
        <f t="shared" si="942"/>
        <v>MAYBANK / MAYBANK ISLAMIC</v>
      </c>
      <c r="K2317" t="str">
        <f>"158109133956"</f>
        <v>158109133956</v>
      </c>
      <c r="L2317" t="str">
        <f t="shared" si="949"/>
        <v>04-08-2020</v>
      </c>
      <c r="M2317" t="str">
        <f t="shared" si="949"/>
        <v>04-08-2020</v>
      </c>
      <c r="N2317" t="str">
        <f t="shared" si="954"/>
        <v>001105018356</v>
      </c>
      <c r="O2317" t="str">
        <f t="shared" si="955"/>
        <v>MYR</v>
      </c>
      <c r="P2317" t="str">
        <f t="shared" si="950"/>
        <v>NIL</v>
      </c>
      <c r="Q2317" t="str">
        <f t="shared" si="950"/>
        <v>NIL</v>
      </c>
      <c r="R2317" t="str">
        <f t="shared" si="956"/>
        <v>Accepted</v>
      </c>
      <c r="S2317" t="str">
        <f t="shared" si="957"/>
        <v>Approved</v>
      </c>
      <c r="T2317" t="str">
        <f t="shared" si="958"/>
        <v>10.20.8.188</v>
      </c>
      <c r="U2317" t="str">
        <f t="shared" si="959"/>
        <v>AZRAD UMAR BIN SHAARI</v>
      </c>
      <c r="V2317" t="str">
        <f t="shared" si="960"/>
        <v>FARHANA BINTI MUSTAPA</v>
      </c>
      <c r="W2317" t="str">
        <f t="shared" si="961"/>
        <v>04-08-2020</v>
      </c>
      <c r="X2317" t="str">
        <f t="shared" si="962"/>
        <v>RAZIMAH ANSAR AHMAD</v>
      </c>
      <c r="Y2317" t="str">
        <f t="shared" si="963"/>
        <v>04-08-2020</v>
      </c>
      <c r="Z2317" t="str">
        <f>"COS10200804 6837"</f>
        <v>COS10200804 6837</v>
      </c>
    </row>
    <row r="2318" spans="1:26" x14ac:dyDescent="0.25">
      <c r="A2318" t="str">
        <f t="shared" si="964"/>
        <v>04-08-2020 01:04:59</v>
      </c>
      <c r="B2318" t="str">
        <f>"0000808633"</f>
        <v>0000808633</v>
      </c>
      <c r="C2318" t="str">
        <f t="shared" si="965"/>
        <v>0000808597</v>
      </c>
      <c r="D2318" t="str">
        <f t="shared" si="951"/>
        <v>73185</v>
      </c>
      <c r="E2318" t="str">
        <f t="shared" si="952"/>
        <v>KFH-OPERATIONS DEPARTMENT</v>
      </c>
      <c r="F2318" t="str">
        <f t="shared" si="953"/>
        <v>IBG</v>
      </c>
      <c r="G2318" t="str">
        <f t="shared" si="966"/>
        <v>Refund COSHARE 10</v>
      </c>
      <c r="H2318" s="2">
        <v>953</v>
      </c>
      <c r="I2318" t="str">
        <f>"PALANIAMMAL AP KANNIAPPAN"</f>
        <v>PALANIAMMAL AP KANNIAPPAN</v>
      </c>
      <c r="J2318" t="str">
        <f t="shared" si="942"/>
        <v>MAYBANK / MAYBANK ISLAMIC</v>
      </c>
      <c r="K2318" t="str">
        <f>"108011848324"</f>
        <v>108011848324</v>
      </c>
      <c r="L2318" t="str">
        <f t="shared" si="949"/>
        <v>04-08-2020</v>
      </c>
      <c r="M2318" t="str">
        <f t="shared" si="949"/>
        <v>04-08-2020</v>
      </c>
      <c r="N2318" t="str">
        <f t="shared" si="954"/>
        <v>001105018356</v>
      </c>
      <c r="O2318" t="str">
        <f t="shared" si="955"/>
        <v>MYR</v>
      </c>
      <c r="P2318" t="str">
        <f t="shared" si="950"/>
        <v>NIL</v>
      </c>
      <c r="Q2318" t="str">
        <f t="shared" si="950"/>
        <v>NIL</v>
      </c>
      <c r="R2318" t="str">
        <f t="shared" si="956"/>
        <v>Accepted</v>
      </c>
      <c r="S2318" t="str">
        <f t="shared" si="957"/>
        <v>Approved</v>
      </c>
      <c r="T2318" t="str">
        <f t="shared" si="958"/>
        <v>10.20.8.188</v>
      </c>
      <c r="U2318" t="str">
        <f t="shared" si="959"/>
        <v>AZRAD UMAR BIN SHAARI</v>
      </c>
      <c r="V2318" t="str">
        <f t="shared" si="960"/>
        <v>FARHANA BINTI MUSTAPA</v>
      </c>
      <c r="W2318" t="str">
        <f t="shared" si="961"/>
        <v>04-08-2020</v>
      </c>
      <c r="X2318" t="str">
        <f t="shared" si="962"/>
        <v>RAZIMAH ANSAR AHMAD</v>
      </c>
      <c r="Y2318" t="str">
        <f t="shared" si="963"/>
        <v>04-08-2020</v>
      </c>
      <c r="Z2318" t="str">
        <f>"COS10200804 6836"</f>
        <v>COS10200804 6836</v>
      </c>
    </row>
    <row r="2319" spans="1:26" x14ac:dyDescent="0.25">
      <c r="A2319" t="str">
        <f t="shared" si="964"/>
        <v>04-08-2020 01:04:59</v>
      </c>
      <c r="B2319" t="str">
        <f>"0000808632"</f>
        <v>0000808632</v>
      </c>
      <c r="C2319" t="str">
        <f t="shared" si="965"/>
        <v>0000808597</v>
      </c>
      <c r="D2319" t="str">
        <f t="shared" si="951"/>
        <v>73185</v>
      </c>
      <c r="E2319" t="str">
        <f t="shared" si="952"/>
        <v>KFH-OPERATIONS DEPARTMENT</v>
      </c>
      <c r="F2319" t="str">
        <f t="shared" si="953"/>
        <v>IBG</v>
      </c>
      <c r="G2319" t="str">
        <f t="shared" si="966"/>
        <v>Refund COSHARE 10</v>
      </c>
      <c r="H2319" s="2">
        <v>463</v>
      </c>
      <c r="I2319" t="str">
        <f>"PAISOON BIN BIBIT"</f>
        <v>PAISOON BIN BIBIT</v>
      </c>
      <c r="J2319" t="str">
        <f t="shared" si="942"/>
        <v>MAYBANK / MAYBANK ISLAMIC</v>
      </c>
      <c r="K2319" t="str">
        <f>"160102006176"</f>
        <v>160102006176</v>
      </c>
      <c r="L2319" t="str">
        <f t="shared" si="949"/>
        <v>04-08-2020</v>
      </c>
      <c r="M2319" t="str">
        <f t="shared" si="949"/>
        <v>04-08-2020</v>
      </c>
      <c r="N2319" t="str">
        <f t="shared" si="954"/>
        <v>001105018356</v>
      </c>
      <c r="O2319" t="str">
        <f t="shared" si="955"/>
        <v>MYR</v>
      </c>
      <c r="P2319" t="str">
        <f t="shared" si="950"/>
        <v>NIL</v>
      </c>
      <c r="Q2319" t="str">
        <f t="shared" si="950"/>
        <v>NIL</v>
      </c>
      <c r="R2319" t="str">
        <f t="shared" si="956"/>
        <v>Accepted</v>
      </c>
      <c r="S2319" t="str">
        <f t="shared" si="957"/>
        <v>Approved</v>
      </c>
      <c r="T2319" t="str">
        <f t="shared" si="958"/>
        <v>10.20.8.188</v>
      </c>
      <c r="U2319" t="str">
        <f t="shared" si="959"/>
        <v>AZRAD UMAR BIN SHAARI</v>
      </c>
      <c r="V2319" t="str">
        <f t="shared" si="960"/>
        <v>FARHANA BINTI MUSTAPA</v>
      </c>
      <c r="W2319" t="str">
        <f t="shared" si="961"/>
        <v>04-08-2020</v>
      </c>
      <c r="X2319" t="str">
        <f t="shared" si="962"/>
        <v>RAZIMAH ANSAR AHMAD</v>
      </c>
      <c r="Y2319" t="str">
        <f t="shared" si="963"/>
        <v>04-08-2020</v>
      </c>
      <c r="Z2319" t="str">
        <f>"COS10200804 6835"</f>
        <v>COS10200804 6835</v>
      </c>
    </row>
    <row r="2320" spans="1:26" x14ac:dyDescent="0.25">
      <c r="A2320" t="str">
        <f t="shared" si="964"/>
        <v>04-08-2020 01:04:59</v>
      </c>
      <c r="B2320" t="str">
        <f>"0000808631"</f>
        <v>0000808631</v>
      </c>
      <c r="C2320" t="str">
        <f t="shared" si="965"/>
        <v>0000808597</v>
      </c>
      <c r="D2320" t="str">
        <f t="shared" si="951"/>
        <v>73185</v>
      </c>
      <c r="E2320" t="str">
        <f t="shared" si="952"/>
        <v>KFH-OPERATIONS DEPARTMENT</v>
      </c>
      <c r="F2320" t="str">
        <f t="shared" si="953"/>
        <v>IBG</v>
      </c>
      <c r="G2320" t="str">
        <f t="shared" si="966"/>
        <v>Refund COSHARE 10</v>
      </c>
      <c r="H2320" s="2">
        <v>571</v>
      </c>
      <c r="I2320" t="str">
        <f>"PAI EE BIN BAKRI"</f>
        <v>PAI EE BIN BAKRI</v>
      </c>
      <c r="J2320" t="str">
        <f t="shared" si="942"/>
        <v>MAYBANK / MAYBANK ISLAMIC</v>
      </c>
      <c r="K2320" t="str">
        <f>"111113322115"</f>
        <v>111113322115</v>
      </c>
      <c r="L2320" t="str">
        <f t="shared" si="949"/>
        <v>04-08-2020</v>
      </c>
      <c r="M2320" t="str">
        <f t="shared" si="949"/>
        <v>04-08-2020</v>
      </c>
      <c r="N2320" t="str">
        <f t="shared" si="954"/>
        <v>001105018356</v>
      </c>
      <c r="O2320" t="str">
        <f t="shared" si="955"/>
        <v>MYR</v>
      </c>
      <c r="P2320" t="str">
        <f t="shared" si="950"/>
        <v>NIL</v>
      </c>
      <c r="Q2320" t="str">
        <f t="shared" si="950"/>
        <v>NIL</v>
      </c>
      <c r="R2320" t="str">
        <f t="shared" si="956"/>
        <v>Accepted</v>
      </c>
      <c r="S2320" t="str">
        <f t="shared" si="957"/>
        <v>Approved</v>
      </c>
      <c r="T2320" t="str">
        <f t="shared" si="958"/>
        <v>10.20.8.188</v>
      </c>
      <c r="U2320" t="str">
        <f t="shared" si="959"/>
        <v>AZRAD UMAR BIN SHAARI</v>
      </c>
      <c r="V2320" t="str">
        <f t="shared" si="960"/>
        <v>FARHANA BINTI MUSTAPA</v>
      </c>
      <c r="W2320" t="str">
        <f t="shared" si="961"/>
        <v>04-08-2020</v>
      </c>
      <c r="X2320" t="str">
        <f t="shared" si="962"/>
        <v>RAZIMAH ANSAR AHMAD</v>
      </c>
      <c r="Y2320" t="str">
        <f t="shared" si="963"/>
        <v>04-08-2020</v>
      </c>
      <c r="Z2320" t="str">
        <f>"COS10200804 6834"</f>
        <v>COS10200804 6834</v>
      </c>
    </row>
    <row r="2321" spans="1:26" x14ac:dyDescent="0.25">
      <c r="A2321" t="str">
        <f t="shared" si="964"/>
        <v>04-08-2020 01:04:59</v>
      </c>
      <c r="B2321" t="str">
        <f>"0000808630"</f>
        <v>0000808630</v>
      </c>
      <c r="C2321" t="str">
        <f t="shared" si="965"/>
        <v>0000808597</v>
      </c>
      <c r="D2321" t="str">
        <f t="shared" si="951"/>
        <v>73185</v>
      </c>
      <c r="E2321" t="str">
        <f t="shared" si="952"/>
        <v>KFH-OPERATIONS DEPARTMENT</v>
      </c>
      <c r="F2321" t="str">
        <f t="shared" si="953"/>
        <v>IBG</v>
      </c>
      <c r="G2321" t="str">
        <f t="shared" si="966"/>
        <v>Refund COSHARE 10</v>
      </c>
      <c r="H2321" s="2">
        <v>503.7</v>
      </c>
      <c r="I2321" t="str">
        <f>"OTHMAN BIN OMAR"</f>
        <v>OTHMAN BIN OMAR</v>
      </c>
      <c r="J2321" t="str">
        <f t="shared" ref="J2321:J2384" si="967">"MAYBANK / MAYBANK ISLAMIC"</f>
        <v>MAYBANK / MAYBANK ISLAMIC</v>
      </c>
      <c r="K2321" t="str">
        <f>"162339069280"</f>
        <v>162339069280</v>
      </c>
      <c r="L2321" t="str">
        <f t="shared" si="949"/>
        <v>04-08-2020</v>
      </c>
      <c r="M2321" t="str">
        <f t="shared" si="949"/>
        <v>04-08-2020</v>
      </c>
      <c r="N2321" t="str">
        <f t="shared" si="954"/>
        <v>001105018356</v>
      </c>
      <c r="O2321" t="str">
        <f t="shared" si="955"/>
        <v>MYR</v>
      </c>
      <c r="P2321" t="str">
        <f t="shared" si="950"/>
        <v>NIL</v>
      </c>
      <c r="Q2321" t="str">
        <f t="shared" si="950"/>
        <v>NIL</v>
      </c>
      <c r="R2321" t="str">
        <f t="shared" si="956"/>
        <v>Accepted</v>
      </c>
      <c r="S2321" t="str">
        <f t="shared" si="957"/>
        <v>Approved</v>
      </c>
      <c r="T2321" t="str">
        <f t="shared" si="958"/>
        <v>10.20.8.188</v>
      </c>
      <c r="U2321" t="str">
        <f t="shared" si="959"/>
        <v>AZRAD UMAR BIN SHAARI</v>
      </c>
      <c r="V2321" t="str">
        <f t="shared" si="960"/>
        <v>FARHANA BINTI MUSTAPA</v>
      </c>
      <c r="W2321" t="str">
        <f t="shared" si="961"/>
        <v>04-08-2020</v>
      </c>
      <c r="X2321" t="str">
        <f t="shared" si="962"/>
        <v>RAZIMAH ANSAR AHMAD</v>
      </c>
      <c r="Y2321" t="str">
        <f t="shared" si="963"/>
        <v>04-08-2020</v>
      </c>
      <c r="Z2321" t="str">
        <f>"COS10200804 6833"</f>
        <v>COS10200804 6833</v>
      </c>
    </row>
    <row r="2322" spans="1:26" x14ac:dyDescent="0.25">
      <c r="A2322" t="str">
        <f t="shared" si="964"/>
        <v>04-08-2020 01:04:59</v>
      </c>
      <c r="B2322" t="str">
        <f>"0000808629"</f>
        <v>0000808629</v>
      </c>
      <c r="C2322" t="str">
        <f t="shared" si="965"/>
        <v>0000808597</v>
      </c>
      <c r="D2322" t="str">
        <f t="shared" si="951"/>
        <v>73185</v>
      </c>
      <c r="E2322" t="str">
        <f t="shared" si="952"/>
        <v>KFH-OPERATIONS DEPARTMENT</v>
      </c>
      <c r="F2322" t="str">
        <f t="shared" si="953"/>
        <v>IBG</v>
      </c>
      <c r="G2322" t="str">
        <f t="shared" si="966"/>
        <v>Refund COSHARE 10</v>
      </c>
      <c r="H2322" s="2">
        <v>486.95</v>
      </c>
      <c r="I2322" t="str">
        <f>"OSMAN BIN ABD SALAM"</f>
        <v>OSMAN BIN ABD SALAM</v>
      </c>
      <c r="J2322" t="str">
        <f t="shared" si="967"/>
        <v>MAYBANK / MAYBANK ISLAMIC</v>
      </c>
      <c r="K2322" t="str">
        <f>"163046278589"</f>
        <v>163046278589</v>
      </c>
      <c r="L2322" t="str">
        <f t="shared" si="949"/>
        <v>04-08-2020</v>
      </c>
      <c r="M2322" t="str">
        <f t="shared" si="949"/>
        <v>04-08-2020</v>
      </c>
      <c r="N2322" t="str">
        <f t="shared" si="954"/>
        <v>001105018356</v>
      </c>
      <c r="O2322" t="str">
        <f t="shared" si="955"/>
        <v>MYR</v>
      </c>
      <c r="P2322" t="str">
        <f t="shared" si="950"/>
        <v>NIL</v>
      </c>
      <c r="Q2322" t="str">
        <f t="shared" si="950"/>
        <v>NIL</v>
      </c>
      <c r="R2322" t="str">
        <f t="shared" si="956"/>
        <v>Accepted</v>
      </c>
      <c r="S2322" t="str">
        <f t="shared" si="957"/>
        <v>Approved</v>
      </c>
      <c r="T2322" t="str">
        <f t="shared" si="958"/>
        <v>10.20.8.188</v>
      </c>
      <c r="U2322" t="str">
        <f t="shared" si="959"/>
        <v>AZRAD UMAR BIN SHAARI</v>
      </c>
      <c r="V2322" t="str">
        <f t="shared" si="960"/>
        <v>FARHANA BINTI MUSTAPA</v>
      </c>
      <c r="W2322" t="str">
        <f t="shared" si="961"/>
        <v>04-08-2020</v>
      </c>
      <c r="X2322" t="str">
        <f t="shared" si="962"/>
        <v>RAZIMAH ANSAR AHMAD</v>
      </c>
      <c r="Y2322" t="str">
        <f t="shared" si="963"/>
        <v>04-08-2020</v>
      </c>
      <c r="Z2322" t="str">
        <f>"COS10200804 6832"</f>
        <v>COS10200804 6832</v>
      </c>
    </row>
    <row r="2323" spans="1:26" x14ac:dyDescent="0.25">
      <c r="A2323" t="str">
        <f t="shared" si="964"/>
        <v>04-08-2020 01:04:59</v>
      </c>
      <c r="B2323" t="str">
        <f>"0000808628"</f>
        <v>0000808628</v>
      </c>
      <c r="C2323" t="str">
        <f t="shared" si="965"/>
        <v>0000808597</v>
      </c>
      <c r="D2323" t="str">
        <f t="shared" si="951"/>
        <v>73185</v>
      </c>
      <c r="E2323" t="str">
        <f t="shared" si="952"/>
        <v>KFH-OPERATIONS DEPARTMENT</v>
      </c>
      <c r="F2323" t="str">
        <f t="shared" si="953"/>
        <v>IBG</v>
      </c>
      <c r="G2323" t="str">
        <f t="shared" si="966"/>
        <v>Refund COSHARE 10</v>
      </c>
      <c r="H2323" s="2">
        <v>83.95</v>
      </c>
      <c r="I2323" t="str">
        <f>"OSDAH RIZAM BIN OTHMAN"</f>
        <v>OSDAH RIZAM BIN OTHMAN</v>
      </c>
      <c r="J2323" t="str">
        <f t="shared" si="967"/>
        <v>MAYBANK / MAYBANK ISLAMIC</v>
      </c>
      <c r="K2323" t="str">
        <f>"155014053467"</f>
        <v>155014053467</v>
      </c>
      <c r="L2323" t="str">
        <f t="shared" si="949"/>
        <v>04-08-2020</v>
      </c>
      <c r="M2323" t="str">
        <f t="shared" si="949"/>
        <v>04-08-2020</v>
      </c>
      <c r="N2323" t="str">
        <f t="shared" si="954"/>
        <v>001105018356</v>
      </c>
      <c r="O2323" t="str">
        <f t="shared" si="955"/>
        <v>MYR</v>
      </c>
      <c r="P2323" t="str">
        <f t="shared" si="950"/>
        <v>NIL</v>
      </c>
      <c r="Q2323" t="str">
        <f t="shared" si="950"/>
        <v>NIL</v>
      </c>
      <c r="R2323" t="str">
        <f t="shared" si="956"/>
        <v>Accepted</v>
      </c>
      <c r="S2323" t="str">
        <f t="shared" si="957"/>
        <v>Approved</v>
      </c>
      <c r="T2323" t="str">
        <f t="shared" si="958"/>
        <v>10.20.8.188</v>
      </c>
      <c r="U2323" t="str">
        <f t="shared" si="959"/>
        <v>AZRAD UMAR BIN SHAARI</v>
      </c>
      <c r="V2323" t="str">
        <f t="shared" si="960"/>
        <v>FARHANA BINTI MUSTAPA</v>
      </c>
      <c r="W2323" t="str">
        <f t="shared" si="961"/>
        <v>04-08-2020</v>
      </c>
      <c r="X2323" t="str">
        <f t="shared" si="962"/>
        <v>RAZIMAH ANSAR AHMAD</v>
      </c>
      <c r="Y2323" t="str">
        <f t="shared" si="963"/>
        <v>04-08-2020</v>
      </c>
      <c r="Z2323" t="str">
        <f>"COS10200804 6831"</f>
        <v>COS10200804 6831</v>
      </c>
    </row>
    <row r="2324" spans="1:26" x14ac:dyDescent="0.25">
      <c r="A2324" t="str">
        <f t="shared" si="964"/>
        <v>04-08-2020 01:04:59</v>
      </c>
      <c r="B2324" t="str">
        <f>"0000808627"</f>
        <v>0000808627</v>
      </c>
      <c r="C2324" t="str">
        <f t="shared" si="965"/>
        <v>0000808597</v>
      </c>
      <c r="D2324" t="str">
        <f t="shared" si="951"/>
        <v>73185</v>
      </c>
      <c r="E2324" t="str">
        <f t="shared" si="952"/>
        <v>KFH-OPERATIONS DEPARTMENT</v>
      </c>
      <c r="F2324" t="str">
        <f t="shared" si="953"/>
        <v>IBG</v>
      </c>
      <c r="G2324" t="str">
        <f t="shared" si="966"/>
        <v>Refund COSHARE 10</v>
      </c>
      <c r="H2324" s="2">
        <v>587.65</v>
      </c>
      <c r="I2324" t="str">
        <f>"OOI SEE HOOI"</f>
        <v>OOI SEE HOOI</v>
      </c>
      <c r="J2324" t="str">
        <f t="shared" si="967"/>
        <v>MAYBANK / MAYBANK ISLAMIC</v>
      </c>
      <c r="K2324" t="str">
        <f>"107059723827"</f>
        <v>107059723827</v>
      </c>
      <c r="L2324" t="str">
        <f t="shared" si="949"/>
        <v>04-08-2020</v>
      </c>
      <c r="M2324" t="str">
        <f t="shared" si="949"/>
        <v>04-08-2020</v>
      </c>
      <c r="N2324" t="str">
        <f t="shared" si="954"/>
        <v>001105018356</v>
      </c>
      <c r="O2324" t="str">
        <f t="shared" si="955"/>
        <v>MYR</v>
      </c>
      <c r="P2324" t="str">
        <f t="shared" si="950"/>
        <v>NIL</v>
      </c>
      <c r="Q2324" t="str">
        <f t="shared" si="950"/>
        <v>NIL</v>
      </c>
      <c r="R2324" t="str">
        <f t="shared" si="956"/>
        <v>Accepted</v>
      </c>
      <c r="S2324" t="str">
        <f t="shared" si="957"/>
        <v>Approved</v>
      </c>
      <c r="T2324" t="str">
        <f t="shared" si="958"/>
        <v>10.20.8.188</v>
      </c>
      <c r="U2324" t="str">
        <f t="shared" si="959"/>
        <v>AZRAD UMAR BIN SHAARI</v>
      </c>
      <c r="V2324" t="str">
        <f t="shared" si="960"/>
        <v>FARHANA BINTI MUSTAPA</v>
      </c>
      <c r="W2324" t="str">
        <f t="shared" si="961"/>
        <v>04-08-2020</v>
      </c>
      <c r="X2324" t="str">
        <f t="shared" si="962"/>
        <v>RAZIMAH ANSAR AHMAD</v>
      </c>
      <c r="Y2324" t="str">
        <f t="shared" si="963"/>
        <v>04-08-2020</v>
      </c>
      <c r="Z2324" t="str">
        <f>"COS10200804 6830"</f>
        <v>COS10200804 6830</v>
      </c>
    </row>
    <row r="2325" spans="1:26" x14ac:dyDescent="0.25">
      <c r="A2325" t="str">
        <f t="shared" si="964"/>
        <v>04-08-2020 01:04:59</v>
      </c>
      <c r="B2325" t="str">
        <f>"0000808626"</f>
        <v>0000808626</v>
      </c>
      <c r="C2325" t="str">
        <f t="shared" si="965"/>
        <v>0000808597</v>
      </c>
      <c r="D2325" t="str">
        <f t="shared" si="951"/>
        <v>73185</v>
      </c>
      <c r="E2325" t="str">
        <f t="shared" si="952"/>
        <v>KFH-OPERATIONS DEPARTMENT</v>
      </c>
      <c r="F2325" t="str">
        <f t="shared" si="953"/>
        <v>IBG</v>
      </c>
      <c r="G2325" t="str">
        <f t="shared" si="966"/>
        <v>Refund COSHARE 10</v>
      </c>
      <c r="H2325" s="2">
        <v>1674.45</v>
      </c>
      <c r="I2325" t="str">
        <f>"ONG HUI CHING"</f>
        <v>ONG HUI CHING</v>
      </c>
      <c r="J2325" t="str">
        <f t="shared" si="967"/>
        <v>MAYBANK / MAYBANK ISLAMIC</v>
      </c>
      <c r="K2325" t="str">
        <f>"106164029685"</f>
        <v>106164029685</v>
      </c>
      <c r="L2325" t="str">
        <f t="shared" si="949"/>
        <v>04-08-2020</v>
      </c>
      <c r="M2325" t="str">
        <f t="shared" si="949"/>
        <v>04-08-2020</v>
      </c>
      <c r="N2325" t="str">
        <f t="shared" si="954"/>
        <v>001105018356</v>
      </c>
      <c r="O2325" t="str">
        <f t="shared" si="955"/>
        <v>MYR</v>
      </c>
      <c r="P2325" t="str">
        <f t="shared" si="950"/>
        <v>NIL</v>
      </c>
      <c r="Q2325" t="str">
        <f t="shared" si="950"/>
        <v>NIL</v>
      </c>
      <c r="R2325" t="str">
        <f t="shared" si="956"/>
        <v>Accepted</v>
      </c>
      <c r="S2325" t="str">
        <f t="shared" si="957"/>
        <v>Approved</v>
      </c>
      <c r="T2325" t="str">
        <f t="shared" si="958"/>
        <v>10.20.8.188</v>
      </c>
      <c r="U2325" t="str">
        <f t="shared" si="959"/>
        <v>AZRAD UMAR BIN SHAARI</v>
      </c>
      <c r="V2325" t="str">
        <f t="shared" si="960"/>
        <v>FARHANA BINTI MUSTAPA</v>
      </c>
      <c r="W2325" t="str">
        <f t="shared" si="961"/>
        <v>04-08-2020</v>
      </c>
      <c r="X2325" t="str">
        <f t="shared" si="962"/>
        <v>RAZIMAH ANSAR AHMAD</v>
      </c>
      <c r="Y2325" t="str">
        <f t="shared" si="963"/>
        <v>04-08-2020</v>
      </c>
      <c r="Z2325" t="str">
        <f>"COS10200804 6829"</f>
        <v>COS10200804 6829</v>
      </c>
    </row>
    <row r="2326" spans="1:26" x14ac:dyDescent="0.25">
      <c r="A2326" t="str">
        <f t="shared" si="964"/>
        <v>04-08-2020 01:04:59</v>
      </c>
      <c r="B2326" t="str">
        <f>"0000808625"</f>
        <v>0000808625</v>
      </c>
      <c r="C2326" t="str">
        <f t="shared" si="965"/>
        <v>0000808597</v>
      </c>
      <c r="D2326" t="str">
        <f t="shared" si="951"/>
        <v>73185</v>
      </c>
      <c r="E2326" t="str">
        <f t="shared" si="952"/>
        <v>KFH-OPERATIONS DEPARTMENT</v>
      </c>
      <c r="F2326" t="str">
        <f t="shared" si="953"/>
        <v>IBG</v>
      </c>
      <c r="G2326" t="str">
        <f t="shared" si="966"/>
        <v>Refund COSHARE 10</v>
      </c>
      <c r="H2326" s="2">
        <v>1271.4000000000001</v>
      </c>
      <c r="I2326" t="str">
        <f>"ONG CHUNG YIN"</f>
        <v>ONG CHUNG YIN</v>
      </c>
      <c r="J2326" t="str">
        <f t="shared" si="967"/>
        <v>MAYBANK / MAYBANK ISLAMIC</v>
      </c>
      <c r="K2326" t="str">
        <f>"110031486666"</f>
        <v>110031486666</v>
      </c>
      <c r="L2326" t="str">
        <f t="shared" si="949"/>
        <v>04-08-2020</v>
      </c>
      <c r="M2326" t="str">
        <f t="shared" si="949"/>
        <v>04-08-2020</v>
      </c>
      <c r="N2326" t="str">
        <f t="shared" si="954"/>
        <v>001105018356</v>
      </c>
      <c r="O2326" t="str">
        <f t="shared" si="955"/>
        <v>MYR</v>
      </c>
      <c r="P2326" t="str">
        <f t="shared" si="950"/>
        <v>NIL</v>
      </c>
      <c r="Q2326" t="str">
        <f t="shared" si="950"/>
        <v>NIL</v>
      </c>
      <c r="R2326" t="str">
        <f t="shared" si="956"/>
        <v>Accepted</v>
      </c>
      <c r="S2326" t="str">
        <f t="shared" si="957"/>
        <v>Approved</v>
      </c>
      <c r="T2326" t="str">
        <f t="shared" si="958"/>
        <v>10.20.8.188</v>
      </c>
      <c r="U2326" t="str">
        <f t="shared" si="959"/>
        <v>AZRAD UMAR BIN SHAARI</v>
      </c>
      <c r="V2326" t="str">
        <f t="shared" si="960"/>
        <v>FARHANA BINTI MUSTAPA</v>
      </c>
      <c r="W2326" t="str">
        <f t="shared" si="961"/>
        <v>04-08-2020</v>
      </c>
      <c r="X2326" t="str">
        <f t="shared" si="962"/>
        <v>RAZIMAH ANSAR AHMAD</v>
      </c>
      <c r="Y2326" t="str">
        <f t="shared" si="963"/>
        <v>04-08-2020</v>
      </c>
      <c r="Z2326" t="str">
        <f>"COS10200804 6828"</f>
        <v>COS10200804 6828</v>
      </c>
    </row>
    <row r="2327" spans="1:26" x14ac:dyDescent="0.25">
      <c r="A2327" t="str">
        <f t="shared" si="964"/>
        <v>04-08-2020 01:04:59</v>
      </c>
      <c r="B2327" t="str">
        <f>"0000808624"</f>
        <v>0000808624</v>
      </c>
      <c r="C2327" t="str">
        <f t="shared" si="965"/>
        <v>0000808597</v>
      </c>
      <c r="D2327" t="str">
        <f t="shared" si="951"/>
        <v>73185</v>
      </c>
      <c r="E2327" t="str">
        <f t="shared" si="952"/>
        <v>KFH-OPERATIONS DEPARTMENT</v>
      </c>
      <c r="F2327" t="str">
        <f t="shared" si="953"/>
        <v>IBG</v>
      </c>
      <c r="G2327" t="str">
        <f t="shared" si="966"/>
        <v>Refund COSHARE 10</v>
      </c>
      <c r="H2327" s="2">
        <v>1259.25</v>
      </c>
      <c r="I2327" t="str">
        <f>"OMAR SHARAFY BIN MOHD YUSSOF"</f>
        <v>OMAR SHARAFY BIN MOHD YUSSOF</v>
      </c>
      <c r="J2327" t="str">
        <f t="shared" si="967"/>
        <v>MAYBANK / MAYBANK ISLAMIC</v>
      </c>
      <c r="K2327" t="str">
        <f>"162508052700"</f>
        <v>162508052700</v>
      </c>
      <c r="L2327" t="str">
        <f t="shared" ref="L2327:M2346" si="968">"04-08-2020"</f>
        <v>04-08-2020</v>
      </c>
      <c r="M2327" t="str">
        <f t="shared" si="968"/>
        <v>04-08-2020</v>
      </c>
      <c r="N2327" t="str">
        <f t="shared" si="954"/>
        <v>001105018356</v>
      </c>
      <c r="O2327" t="str">
        <f t="shared" si="955"/>
        <v>MYR</v>
      </c>
      <c r="P2327" t="str">
        <f t="shared" ref="P2327:Q2346" si="969">"NIL"</f>
        <v>NIL</v>
      </c>
      <c r="Q2327" t="str">
        <f t="shared" si="969"/>
        <v>NIL</v>
      </c>
      <c r="R2327" t="str">
        <f t="shared" si="956"/>
        <v>Accepted</v>
      </c>
      <c r="S2327" t="str">
        <f t="shared" si="957"/>
        <v>Approved</v>
      </c>
      <c r="T2327" t="str">
        <f t="shared" si="958"/>
        <v>10.20.8.188</v>
      </c>
      <c r="U2327" t="str">
        <f t="shared" si="959"/>
        <v>AZRAD UMAR BIN SHAARI</v>
      </c>
      <c r="V2327" t="str">
        <f t="shared" si="960"/>
        <v>FARHANA BINTI MUSTAPA</v>
      </c>
      <c r="W2327" t="str">
        <f t="shared" si="961"/>
        <v>04-08-2020</v>
      </c>
      <c r="X2327" t="str">
        <f t="shared" si="962"/>
        <v>RAZIMAH ANSAR AHMAD</v>
      </c>
      <c r="Y2327" t="str">
        <f t="shared" si="963"/>
        <v>04-08-2020</v>
      </c>
      <c r="Z2327" t="str">
        <f>"COS10200804 6827"</f>
        <v>COS10200804 6827</v>
      </c>
    </row>
    <row r="2328" spans="1:26" x14ac:dyDescent="0.25">
      <c r="A2328" t="str">
        <f t="shared" si="964"/>
        <v>04-08-2020 01:04:59</v>
      </c>
      <c r="B2328" t="str">
        <f>"0000808623"</f>
        <v>0000808623</v>
      </c>
      <c r="C2328" t="str">
        <f t="shared" si="965"/>
        <v>0000808597</v>
      </c>
      <c r="D2328" t="str">
        <f t="shared" si="951"/>
        <v>73185</v>
      </c>
      <c r="E2328" t="str">
        <f t="shared" si="952"/>
        <v>KFH-OPERATIONS DEPARTMENT</v>
      </c>
      <c r="F2328" t="str">
        <f t="shared" si="953"/>
        <v>IBG</v>
      </c>
      <c r="G2328" t="str">
        <f t="shared" si="966"/>
        <v>Refund COSHARE 10</v>
      </c>
      <c r="H2328" s="2">
        <v>839.5</v>
      </c>
      <c r="I2328" t="str">
        <f>"OLIVIA JEROME LINGKAYAN"</f>
        <v>OLIVIA JEROME LINGKAYAN</v>
      </c>
      <c r="J2328" t="str">
        <f t="shared" si="967"/>
        <v>MAYBANK / MAYBANK ISLAMIC</v>
      </c>
      <c r="K2328" t="str">
        <f>"160102361753"</f>
        <v>160102361753</v>
      </c>
      <c r="L2328" t="str">
        <f t="shared" si="968"/>
        <v>04-08-2020</v>
      </c>
      <c r="M2328" t="str">
        <f t="shared" si="968"/>
        <v>04-08-2020</v>
      </c>
      <c r="N2328" t="str">
        <f t="shared" si="954"/>
        <v>001105018356</v>
      </c>
      <c r="O2328" t="str">
        <f t="shared" si="955"/>
        <v>MYR</v>
      </c>
      <c r="P2328" t="str">
        <f t="shared" si="969"/>
        <v>NIL</v>
      </c>
      <c r="Q2328" t="str">
        <f t="shared" si="969"/>
        <v>NIL</v>
      </c>
      <c r="R2328" t="str">
        <f t="shared" si="956"/>
        <v>Accepted</v>
      </c>
      <c r="S2328" t="str">
        <f t="shared" si="957"/>
        <v>Approved</v>
      </c>
      <c r="T2328" t="str">
        <f t="shared" si="958"/>
        <v>10.20.8.188</v>
      </c>
      <c r="U2328" t="str">
        <f t="shared" si="959"/>
        <v>AZRAD UMAR BIN SHAARI</v>
      </c>
      <c r="V2328" t="str">
        <f t="shared" si="960"/>
        <v>FARHANA BINTI MUSTAPA</v>
      </c>
      <c r="W2328" t="str">
        <f t="shared" si="961"/>
        <v>04-08-2020</v>
      </c>
      <c r="X2328" t="str">
        <f t="shared" si="962"/>
        <v>RAZIMAH ANSAR AHMAD</v>
      </c>
      <c r="Y2328" t="str">
        <f t="shared" si="963"/>
        <v>04-08-2020</v>
      </c>
      <c r="Z2328" t="str">
        <f>"COS10200804 6826"</f>
        <v>COS10200804 6826</v>
      </c>
    </row>
    <row r="2329" spans="1:26" x14ac:dyDescent="0.25">
      <c r="A2329" t="str">
        <f t="shared" si="964"/>
        <v>04-08-2020 01:04:59</v>
      </c>
      <c r="B2329" t="str">
        <f>"0000808622"</f>
        <v>0000808622</v>
      </c>
      <c r="C2329" t="str">
        <f t="shared" si="965"/>
        <v>0000808597</v>
      </c>
      <c r="D2329" t="str">
        <f t="shared" si="951"/>
        <v>73185</v>
      </c>
      <c r="E2329" t="str">
        <f t="shared" si="952"/>
        <v>KFH-OPERATIONS DEPARTMENT</v>
      </c>
      <c r="F2329" t="str">
        <f t="shared" si="953"/>
        <v>IBG</v>
      </c>
      <c r="G2329" t="str">
        <f t="shared" si="966"/>
        <v>Refund COSHARE 10</v>
      </c>
      <c r="H2329" s="2">
        <v>615</v>
      </c>
      <c r="I2329" t="str">
        <f>"OLIVIA JEROME LINGKAYAN"</f>
        <v>OLIVIA JEROME LINGKAYAN</v>
      </c>
      <c r="J2329" t="str">
        <f t="shared" si="967"/>
        <v>MAYBANK / MAYBANK ISLAMIC</v>
      </c>
      <c r="K2329" t="str">
        <f>"160102361753"</f>
        <v>160102361753</v>
      </c>
      <c r="L2329" t="str">
        <f t="shared" si="968"/>
        <v>04-08-2020</v>
      </c>
      <c r="M2329" t="str">
        <f t="shared" si="968"/>
        <v>04-08-2020</v>
      </c>
      <c r="N2329" t="str">
        <f t="shared" si="954"/>
        <v>001105018356</v>
      </c>
      <c r="O2329" t="str">
        <f t="shared" si="955"/>
        <v>MYR</v>
      </c>
      <c r="P2329" t="str">
        <f t="shared" si="969"/>
        <v>NIL</v>
      </c>
      <c r="Q2329" t="str">
        <f t="shared" si="969"/>
        <v>NIL</v>
      </c>
      <c r="R2329" t="str">
        <f t="shared" si="956"/>
        <v>Accepted</v>
      </c>
      <c r="S2329" t="str">
        <f t="shared" si="957"/>
        <v>Approved</v>
      </c>
      <c r="T2329" t="str">
        <f t="shared" si="958"/>
        <v>10.20.8.188</v>
      </c>
      <c r="U2329" t="str">
        <f t="shared" si="959"/>
        <v>AZRAD UMAR BIN SHAARI</v>
      </c>
      <c r="V2329" t="str">
        <f t="shared" si="960"/>
        <v>FARHANA BINTI MUSTAPA</v>
      </c>
      <c r="W2329" t="str">
        <f t="shared" si="961"/>
        <v>04-08-2020</v>
      </c>
      <c r="X2329" t="str">
        <f t="shared" si="962"/>
        <v>RAZIMAH ANSAR AHMAD</v>
      </c>
      <c r="Y2329" t="str">
        <f t="shared" si="963"/>
        <v>04-08-2020</v>
      </c>
      <c r="Z2329" t="str">
        <f>"COS10200804 6825"</f>
        <v>COS10200804 6825</v>
      </c>
    </row>
    <row r="2330" spans="1:26" x14ac:dyDescent="0.25">
      <c r="A2330" t="str">
        <f t="shared" si="964"/>
        <v>04-08-2020 01:04:59</v>
      </c>
      <c r="B2330" t="str">
        <f>"0000808621"</f>
        <v>0000808621</v>
      </c>
      <c r="C2330" t="str">
        <f t="shared" si="965"/>
        <v>0000808597</v>
      </c>
      <c r="D2330" t="str">
        <f t="shared" si="951"/>
        <v>73185</v>
      </c>
      <c r="E2330" t="str">
        <f t="shared" si="952"/>
        <v>KFH-OPERATIONS DEPARTMENT</v>
      </c>
      <c r="F2330" t="str">
        <f t="shared" si="953"/>
        <v>IBG</v>
      </c>
      <c r="G2330" t="str">
        <f t="shared" si="966"/>
        <v>Refund COSHARE 10</v>
      </c>
      <c r="H2330" s="2">
        <v>491</v>
      </c>
      <c r="I2330" t="str">
        <f>"NYORDIN ANAK AJIB"</f>
        <v>NYORDIN ANAK AJIB</v>
      </c>
      <c r="J2330" t="str">
        <f t="shared" si="967"/>
        <v>MAYBANK / MAYBANK ISLAMIC</v>
      </c>
      <c r="K2330" t="str">
        <f>"161079809170"</f>
        <v>161079809170</v>
      </c>
      <c r="L2330" t="str">
        <f t="shared" si="968"/>
        <v>04-08-2020</v>
      </c>
      <c r="M2330" t="str">
        <f t="shared" si="968"/>
        <v>04-08-2020</v>
      </c>
      <c r="N2330" t="str">
        <f t="shared" si="954"/>
        <v>001105018356</v>
      </c>
      <c r="O2330" t="str">
        <f t="shared" si="955"/>
        <v>MYR</v>
      </c>
      <c r="P2330" t="str">
        <f t="shared" si="969"/>
        <v>NIL</v>
      </c>
      <c r="Q2330" t="str">
        <f t="shared" si="969"/>
        <v>NIL</v>
      </c>
      <c r="R2330" t="str">
        <f t="shared" si="956"/>
        <v>Accepted</v>
      </c>
      <c r="S2330" t="str">
        <f t="shared" si="957"/>
        <v>Approved</v>
      </c>
      <c r="T2330" t="str">
        <f t="shared" si="958"/>
        <v>10.20.8.188</v>
      </c>
      <c r="U2330" t="str">
        <f t="shared" si="959"/>
        <v>AZRAD UMAR BIN SHAARI</v>
      </c>
      <c r="V2330" t="str">
        <f t="shared" si="960"/>
        <v>FARHANA BINTI MUSTAPA</v>
      </c>
      <c r="W2330" t="str">
        <f t="shared" si="961"/>
        <v>04-08-2020</v>
      </c>
      <c r="X2330" t="str">
        <f t="shared" si="962"/>
        <v>RAZIMAH ANSAR AHMAD</v>
      </c>
      <c r="Y2330" t="str">
        <f t="shared" si="963"/>
        <v>04-08-2020</v>
      </c>
      <c r="Z2330" t="str">
        <f>"COS10200804 6824"</f>
        <v>COS10200804 6824</v>
      </c>
    </row>
    <row r="2331" spans="1:26" x14ac:dyDescent="0.25">
      <c r="A2331" t="str">
        <f t="shared" si="964"/>
        <v>04-08-2020 01:04:59</v>
      </c>
      <c r="B2331" t="str">
        <f>"0000808620"</f>
        <v>0000808620</v>
      </c>
      <c r="C2331" t="str">
        <f t="shared" si="965"/>
        <v>0000808597</v>
      </c>
      <c r="D2331" t="str">
        <f t="shared" si="951"/>
        <v>73185</v>
      </c>
      <c r="E2331" t="str">
        <f t="shared" si="952"/>
        <v>KFH-OPERATIONS DEPARTMENT</v>
      </c>
      <c r="F2331" t="str">
        <f t="shared" si="953"/>
        <v>IBG</v>
      </c>
      <c r="G2331" t="str">
        <f t="shared" si="966"/>
        <v>Refund COSHARE 10</v>
      </c>
      <c r="H2331" s="2">
        <v>335.8</v>
      </c>
      <c r="I2331" t="str">
        <f>"NURZAHIDA BINTI BAHARUDDIN"</f>
        <v>NURZAHIDA BINTI BAHARUDDIN</v>
      </c>
      <c r="J2331" t="str">
        <f t="shared" si="967"/>
        <v>MAYBANK / MAYBANK ISLAMIC</v>
      </c>
      <c r="K2331" t="str">
        <f>"112399097597"</f>
        <v>112399097597</v>
      </c>
      <c r="L2331" t="str">
        <f t="shared" si="968"/>
        <v>04-08-2020</v>
      </c>
      <c r="M2331" t="str">
        <f t="shared" si="968"/>
        <v>04-08-2020</v>
      </c>
      <c r="N2331" t="str">
        <f t="shared" si="954"/>
        <v>001105018356</v>
      </c>
      <c r="O2331" t="str">
        <f t="shared" si="955"/>
        <v>MYR</v>
      </c>
      <c r="P2331" t="str">
        <f t="shared" si="969"/>
        <v>NIL</v>
      </c>
      <c r="Q2331" t="str">
        <f t="shared" si="969"/>
        <v>NIL</v>
      </c>
      <c r="R2331" t="str">
        <f t="shared" si="956"/>
        <v>Accepted</v>
      </c>
      <c r="S2331" t="str">
        <f t="shared" si="957"/>
        <v>Approved</v>
      </c>
      <c r="T2331" t="str">
        <f t="shared" si="958"/>
        <v>10.20.8.188</v>
      </c>
      <c r="U2331" t="str">
        <f t="shared" si="959"/>
        <v>AZRAD UMAR BIN SHAARI</v>
      </c>
      <c r="V2331" t="str">
        <f t="shared" si="960"/>
        <v>FARHANA BINTI MUSTAPA</v>
      </c>
      <c r="W2331" t="str">
        <f t="shared" si="961"/>
        <v>04-08-2020</v>
      </c>
      <c r="X2331" t="str">
        <f t="shared" si="962"/>
        <v>RAZIMAH ANSAR AHMAD</v>
      </c>
      <c r="Y2331" t="str">
        <f t="shared" si="963"/>
        <v>04-08-2020</v>
      </c>
      <c r="Z2331" t="str">
        <f>"COS10200804 6823"</f>
        <v>COS10200804 6823</v>
      </c>
    </row>
    <row r="2332" spans="1:26" x14ac:dyDescent="0.25">
      <c r="A2332" t="str">
        <f t="shared" si="964"/>
        <v>04-08-2020 01:04:59</v>
      </c>
      <c r="B2332" t="str">
        <f>"0000808619"</f>
        <v>0000808619</v>
      </c>
      <c r="C2332" t="str">
        <f t="shared" si="965"/>
        <v>0000808597</v>
      </c>
      <c r="D2332" t="str">
        <f t="shared" si="951"/>
        <v>73185</v>
      </c>
      <c r="E2332" t="str">
        <f t="shared" si="952"/>
        <v>KFH-OPERATIONS DEPARTMENT</v>
      </c>
      <c r="F2332" t="str">
        <f t="shared" si="953"/>
        <v>IBG</v>
      </c>
      <c r="G2332" t="str">
        <f t="shared" si="966"/>
        <v>Refund COSHARE 10</v>
      </c>
      <c r="H2332" s="2">
        <v>198</v>
      </c>
      <c r="I2332" t="str">
        <f>"NURYASMIN BINTI SULIMAN"</f>
        <v>NURYASMIN BINTI SULIMAN</v>
      </c>
      <c r="J2332" t="str">
        <f t="shared" si="967"/>
        <v>MAYBANK / MAYBANK ISLAMIC</v>
      </c>
      <c r="K2332" t="str">
        <f>"151017193557"</f>
        <v>151017193557</v>
      </c>
      <c r="L2332" t="str">
        <f t="shared" si="968"/>
        <v>04-08-2020</v>
      </c>
      <c r="M2332" t="str">
        <f t="shared" si="968"/>
        <v>04-08-2020</v>
      </c>
      <c r="N2332" t="str">
        <f t="shared" si="954"/>
        <v>001105018356</v>
      </c>
      <c r="O2332" t="str">
        <f t="shared" si="955"/>
        <v>MYR</v>
      </c>
      <c r="P2332" t="str">
        <f t="shared" si="969"/>
        <v>NIL</v>
      </c>
      <c r="Q2332" t="str">
        <f t="shared" si="969"/>
        <v>NIL</v>
      </c>
      <c r="R2332" t="str">
        <f t="shared" si="956"/>
        <v>Accepted</v>
      </c>
      <c r="S2332" t="str">
        <f t="shared" si="957"/>
        <v>Approved</v>
      </c>
      <c r="T2332" t="str">
        <f t="shared" si="958"/>
        <v>10.20.8.188</v>
      </c>
      <c r="U2332" t="str">
        <f t="shared" si="959"/>
        <v>AZRAD UMAR BIN SHAARI</v>
      </c>
      <c r="V2332" t="str">
        <f t="shared" si="960"/>
        <v>FARHANA BINTI MUSTAPA</v>
      </c>
      <c r="W2332" t="str">
        <f t="shared" si="961"/>
        <v>04-08-2020</v>
      </c>
      <c r="X2332" t="str">
        <f t="shared" si="962"/>
        <v>RAZIMAH ANSAR AHMAD</v>
      </c>
      <c r="Y2332" t="str">
        <f t="shared" si="963"/>
        <v>04-08-2020</v>
      </c>
      <c r="Z2332" t="str">
        <f>"COS10200804 6822"</f>
        <v>COS10200804 6822</v>
      </c>
    </row>
    <row r="2333" spans="1:26" x14ac:dyDescent="0.25">
      <c r="A2333" t="str">
        <f t="shared" si="964"/>
        <v>04-08-2020 01:04:59</v>
      </c>
      <c r="B2333" t="str">
        <f>"0000808618"</f>
        <v>0000808618</v>
      </c>
      <c r="C2333" t="str">
        <f t="shared" si="965"/>
        <v>0000808597</v>
      </c>
      <c r="D2333" t="str">
        <f t="shared" si="951"/>
        <v>73185</v>
      </c>
      <c r="E2333" t="str">
        <f t="shared" si="952"/>
        <v>KFH-OPERATIONS DEPARTMENT</v>
      </c>
      <c r="F2333" t="str">
        <f t="shared" si="953"/>
        <v>IBG</v>
      </c>
      <c r="G2333" t="str">
        <f t="shared" si="966"/>
        <v>Refund COSHARE 10</v>
      </c>
      <c r="H2333" s="2">
        <v>671.6</v>
      </c>
      <c r="I2333" t="str">
        <f>"NURULWAHIDA BINTI SAIDIL BASRI"</f>
        <v>NURULWAHIDA BINTI SAIDIL BASRI</v>
      </c>
      <c r="J2333" t="str">
        <f t="shared" si="967"/>
        <v>MAYBANK / MAYBANK ISLAMIC</v>
      </c>
      <c r="K2333" t="str">
        <f>"162272535468"</f>
        <v>162272535468</v>
      </c>
      <c r="L2333" t="str">
        <f t="shared" si="968"/>
        <v>04-08-2020</v>
      </c>
      <c r="M2333" t="str">
        <f t="shared" si="968"/>
        <v>04-08-2020</v>
      </c>
      <c r="N2333" t="str">
        <f t="shared" si="954"/>
        <v>001105018356</v>
      </c>
      <c r="O2333" t="str">
        <f t="shared" si="955"/>
        <v>MYR</v>
      </c>
      <c r="P2333" t="str">
        <f t="shared" si="969"/>
        <v>NIL</v>
      </c>
      <c r="Q2333" t="str">
        <f t="shared" si="969"/>
        <v>NIL</v>
      </c>
      <c r="R2333" t="str">
        <f t="shared" si="956"/>
        <v>Accepted</v>
      </c>
      <c r="S2333" t="str">
        <f t="shared" si="957"/>
        <v>Approved</v>
      </c>
      <c r="T2333" t="str">
        <f t="shared" si="958"/>
        <v>10.20.8.188</v>
      </c>
      <c r="U2333" t="str">
        <f t="shared" si="959"/>
        <v>AZRAD UMAR BIN SHAARI</v>
      </c>
      <c r="V2333" t="str">
        <f t="shared" si="960"/>
        <v>FARHANA BINTI MUSTAPA</v>
      </c>
      <c r="W2333" t="str">
        <f t="shared" si="961"/>
        <v>04-08-2020</v>
      </c>
      <c r="X2333" t="str">
        <f t="shared" si="962"/>
        <v>RAZIMAH ANSAR AHMAD</v>
      </c>
      <c r="Y2333" t="str">
        <f t="shared" si="963"/>
        <v>04-08-2020</v>
      </c>
      <c r="Z2333" t="str">
        <f>"COS10200804 6821"</f>
        <v>COS10200804 6821</v>
      </c>
    </row>
    <row r="2334" spans="1:26" x14ac:dyDescent="0.25">
      <c r="A2334" t="str">
        <f t="shared" si="964"/>
        <v>04-08-2020 01:04:59</v>
      </c>
      <c r="B2334" t="str">
        <f>"0000808617"</f>
        <v>0000808617</v>
      </c>
      <c r="C2334" t="str">
        <f t="shared" si="965"/>
        <v>0000808597</v>
      </c>
      <c r="D2334" t="str">
        <f t="shared" si="951"/>
        <v>73185</v>
      </c>
      <c r="E2334" t="str">
        <f t="shared" si="952"/>
        <v>KFH-OPERATIONS DEPARTMENT</v>
      </c>
      <c r="F2334" t="str">
        <f t="shared" si="953"/>
        <v>IBG</v>
      </c>
      <c r="G2334" t="str">
        <f t="shared" si="966"/>
        <v>Refund COSHARE 10</v>
      </c>
      <c r="H2334" s="2">
        <v>50.4</v>
      </c>
      <c r="I2334" t="str">
        <f>"NURULLINDA BINTI ABU BAKAR AL SIDEK"</f>
        <v>NURULLINDA BINTI ABU BAKAR AL SIDEK</v>
      </c>
      <c r="J2334" t="str">
        <f t="shared" si="967"/>
        <v>MAYBANK / MAYBANK ISLAMIC</v>
      </c>
      <c r="K2334" t="str">
        <f>"104085045612"</f>
        <v>104085045612</v>
      </c>
      <c r="L2334" t="str">
        <f t="shared" si="968"/>
        <v>04-08-2020</v>
      </c>
      <c r="M2334" t="str">
        <f t="shared" si="968"/>
        <v>04-08-2020</v>
      </c>
      <c r="N2334" t="str">
        <f t="shared" si="954"/>
        <v>001105018356</v>
      </c>
      <c r="O2334" t="str">
        <f t="shared" si="955"/>
        <v>MYR</v>
      </c>
      <c r="P2334" t="str">
        <f t="shared" si="969"/>
        <v>NIL</v>
      </c>
      <c r="Q2334" t="str">
        <f t="shared" si="969"/>
        <v>NIL</v>
      </c>
      <c r="R2334" t="str">
        <f t="shared" si="956"/>
        <v>Accepted</v>
      </c>
      <c r="S2334" t="str">
        <f t="shared" si="957"/>
        <v>Approved</v>
      </c>
      <c r="T2334" t="str">
        <f t="shared" si="958"/>
        <v>10.20.8.188</v>
      </c>
      <c r="U2334" t="str">
        <f t="shared" si="959"/>
        <v>AZRAD UMAR BIN SHAARI</v>
      </c>
      <c r="V2334" t="str">
        <f t="shared" si="960"/>
        <v>FARHANA BINTI MUSTAPA</v>
      </c>
      <c r="W2334" t="str">
        <f t="shared" si="961"/>
        <v>04-08-2020</v>
      </c>
      <c r="X2334" t="str">
        <f t="shared" si="962"/>
        <v>RAZIMAH ANSAR AHMAD</v>
      </c>
      <c r="Y2334" t="str">
        <f t="shared" si="963"/>
        <v>04-08-2020</v>
      </c>
      <c r="Z2334" t="str">
        <f>"COS10200804 6820"</f>
        <v>COS10200804 6820</v>
      </c>
    </row>
    <row r="2335" spans="1:26" x14ac:dyDescent="0.25">
      <c r="A2335" t="str">
        <f t="shared" si="964"/>
        <v>04-08-2020 01:04:59</v>
      </c>
      <c r="B2335" t="str">
        <f>"0000808616"</f>
        <v>0000808616</v>
      </c>
      <c r="C2335" t="str">
        <f t="shared" si="965"/>
        <v>0000808597</v>
      </c>
      <c r="D2335" t="str">
        <f t="shared" si="951"/>
        <v>73185</v>
      </c>
      <c r="E2335" t="str">
        <f t="shared" si="952"/>
        <v>KFH-OPERATIONS DEPARTMENT</v>
      </c>
      <c r="F2335" t="str">
        <f t="shared" si="953"/>
        <v>IBG</v>
      </c>
      <c r="G2335" t="str">
        <f t="shared" si="966"/>
        <v>Refund COSHARE 10</v>
      </c>
      <c r="H2335" s="2">
        <v>839.5</v>
      </c>
      <c r="I2335" t="str">
        <f>"NURULIDAYU BINTI MAMAT"</f>
        <v>NURULIDAYU BINTI MAMAT</v>
      </c>
      <c r="J2335" t="str">
        <f t="shared" si="967"/>
        <v>MAYBANK / MAYBANK ISLAMIC</v>
      </c>
      <c r="K2335" t="str">
        <f>"166010004825"</f>
        <v>166010004825</v>
      </c>
      <c r="L2335" t="str">
        <f t="shared" si="968"/>
        <v>04-08-2020</v>
      </c>
      <c r="M2335" t="str">
        <f t="shared" si="968"/>
        <v>04-08-2020</v>
      </c>
      <c r="N2335" t="str">
        <f t="shared" si="954"/>
        <v>001105018356</v>
      </c>
      <c r="O2335" t="str">
        <f t="shared" si="955"/>
        <v>MYR</v>
      </c>
      <c r="P2335" t="str">
        <f t="shared" si="969"/>
        <v>NIL</v>
      </c>
      <c r="Q2335" t="str">
        <f t="shared" si="969"/>
        <v>NIL</v>
      </c>
      <c r="R2335" t="str">
        <f t="shared" si="956"/>
        <v>Accepted</v>
      </c>
      <c r="S2335" t="str">
        <f t="shared" si="957"/>
        <v>Approved</v>
      </c>
      <c r="T2335" t="str">
        <f t="shared" si="958"/>
        <v>10.20.8.188</v>
      </c>
      <c r="U2335" t="str">
        <f t="shared" si="959"/>
        <v>AZRAD UMAR BIN SHAARI</v>
      </c>
      <c r="V2335" t="str">
        <f t="shared" si="960"/>
        <v>FARHANA BINTI MUSTAPA</v>
      </c>
      <c r="W2335" t="str">
        <f t="shared" si="961"/>
        <v>04-08-2020</v>
      </c>
      <c r="X2335" t="str">
        <f t="shared" si="962"/>
        <v>RAZIMAH ANSAR AHMAD</v>
      </c>
      <c r="Y2335" t="str">
        <f t="shared" si="963"/>
        <v>04-08-2020</v>
      </c>
      <c r="Z2335" t="str">
        <f>"COS10200804 6819"</f>
        <v>COS10200804 6819</v>
      </c>
    </row>
    <row r="2336" spans="1:26" x14ac:dyDescent="0.25">
      <c r="A2336" t="str">
        <f t="shared" si="964"/>
        <v>04-08-2020 01:04:59</v>
      </c>
      <c r="B2336" t="str">
        <f>"0000808615"</f>
        <v>0000808615</v>
      </c>
      <c r="C2336" t="str">
        <f t="shared" si="965"/>
        <v>0000808597</v>
      </c>
      <c r="D2336" t="str">
        <f t="shared" si="951"/>
        <v>73185</v>
      </c>
      <c r="E2336" t="str">
        <f t="shared" si="952"/>
        <v>KFH-OPERATIONS DEPARTMENT</v>
      </c>
      <c r="F2336" t="str">
        <f t="shared" si="953"/>
        <v>IBG</v>
      </c>
      <c r="G2336" t="str">
        <f t="shared" si="966"/>
        <v>Refund COSHARE 10</v>
      </c>
      <c r="H2336" s="2">
        <v>839.5</v>
      </c>
      <c r="I2336" t="str">
        <f>"NURULHUDA BINTI DAGANG"</f>
        <v>NURULHUDA BINTI DAGANG</v>
      </c>
      <c r="J2336" t="str">
        <f t="shared" si="967"/>
        <v>MAYBANK / MAYBANK ISLAMIC</v>
      </c>
      <c r="K2336" t="str">
        <f>"164230346518"</f>
        <v>164230346518</v>
      </c>
      <c r="L2336" t="str">
        <f t="shared" si="968"/>
        <v>04-08-2020</v>
      </c>
      <c r="M2336" t="str">
        <f t="shared" si="968"/>
        <v>04-08-2020</v>
      </c>
      <c r="N2336" t="str">
        <f t="shared" si="954"/>
        <v>001105018356</v>
      </c>
      <c r="O2336" t="str">
        <f t="shared" si="955"/>
        <v>MYR</v>
      </c>
      <c r="P2336" t="str">
        <f t="shared" si="969"/>
        <v>NIL</v>
      </c>
      <c r="Q2336" t="str">
        <f t="shared" si="969"/>
        <v>NIL</v>
      </c>
      <c r="R2336" t="str">
        <f t="shared" si="956"/>
        <v>Accepted</v>
      </c>
      <c r="S2336" t="str">
        <f t="shared" si="957"/>
        <v>Approved</v>
      </c>
      <c r="T2336" t="str">
        <f t="shared" si="958"/>
        <v>10.20.8.188</v>
      </c>
      <c r="U2336" t="str">
        <f t="shared" si="959"/>
        <v>AZRAD UMAR BIN SHAARI</v>
      </c>
      <c r="V2336" t="str">
        <f t="shared" si="960"/>
        <v>FARHANA BINTI MUSTAPA</v>
      </c>
      <c r="W2336" t="str">
        <f t="shared" si="961"/>
        <v>04-08-2020</v>
      </c>
      <c r="X2336" t="str">
        <f t="shared" si="962"/>
        <v>RAZIMAH ANSAR AHMAD</v>
      </c>
      <c r="Y2336" t="str">
        <f t="shared" si="963"/>
        <v>04-08-2020</v>
      </c>
      <c r="Z2336" t="str">
        <f>"COS10200804 6818"</f>
        <v>COS10200804 6818</v>
      </c>
    </row>
    <row r="2337" spans="1:26" x14ac:dyDescent="0.25">
      <c r="A2337" t="str">
        <f t="shared" si="964"/>
        <v>04-08-2020 01:04:59</v>
      </c>
      <c r="B2337" t="str">
        <f>"0000808614"</f>
        <v>0000808614</v>
      </c>
      <c r="C2337" t="str">
        <f t="shared" si="965"/>
        <v>0000808597</v>
      </c>
      <c r="D2337" t="str">
        <f t="shared" si="951"/>
        <v>73185</v>
      </c>
      <c r="E2337" t="str">
        <f t="shared" si="952"/>
        <v>KFH-OPERATIONS DEPARTMENT</v>
      </c>
      <c r="F2337" t="str">
        <f t="shared" si="953"/>
        <v>IBG</v>
      </c>
      <c r="G2337" t="str">
        <f t="shared" si="966"/>
        <v>Refund COSHARE 10</v>
      </c>
      <c r="H2337" s="2">
        <v>125.95</v>
      </c>
      <c r="I2337" t="str">
        <f>"NURULHUDA BINTI ABDUL RAHIM"</f>
        <v>NURULHUDA BINTI ABDUL RAHIM</v>
      </c>
      <c r="J2337" t="str">
        <f t="shared" si="967"/>
        <v>MAYBANK / MAYBANK ISLAMIC</v>
      </c>
      <c r="K2337" t="str">
        <f>"101468194328"</f>
        <v>101468194328</v>
      </c>
      <c r="L2337" t="str">
        <f t="shared" si="968"/>
        <v>04-08-2020</v>
      </c>
      <c r="M2337" t="str">
        <f t="shared" si="968"/>
        <v>04-08-2020</v>
      </c>
      <c r="N2337" t="str">
        <f t="shared" si="954"/>
        <v>001105018356</v>
      </c>
      <c r="O2337" t="str">
        <f t="shared" si="955"/>
        <v>MYR</v>
      </c>
      <c r="P2337" t="str">
        <f t="shared" si="969"/>
        <v>NIL</v>
      </c>
      <c r="Q2337" t="str">
        <f t="shared" si="969"/>
        <v>NIL</v>
      </c>
      <c r="R2337" t="str">
        <f t="shared" si="956"/>
        <v>Accepted</v>
      </c>
      <c r="S2337" t="str">
        <f t="shared" si="957"/>
        <v>Approved</v>
      </c>
      <c r="T2337" t="str">
        <f t="shared" si="958"/>
        <v>10.20.8.188</v>
      </c>
      <c r="U2337" t="str">
        <f t="shared" si="959"/>
        <v>AZRAD UMAR BIN SHAARI</v>
      </c>
      <c r="V2337" t="str">
        <f t="shared" si="960"/>
        <v>FARHANA BINTI MUSTAPA</v>
      </c>
      <c r="W2337" t="str">
        <f t="shared" si="961"/>
        <v>04-08-2020</v>
      </c>
      <c r="X2337" t="str">
        <f t="shared" si="962"/>
        <v>RAZIMAH ANSAR AHMAD</v>
      </c>
      <c r="Y2337" t="str">
        <f t="shared" si="963"/>
        <v>04-08-2020</v>
      </c>
      <c r="Z2337" t="str">
        <f>"COS10200804 6817"</f>
        <v>COS10200804 6817</v>
      </c>
    </row>
    <row r="2338" spans="1:26" x14ac:dyDescent="0.25">
      <c r="A2338" t="str">
        <f t="shared" si="964"/>
        <v>04-08-2020 01:04:59</v>
      </c>
      <c r="B2338" t="str">
        <f>"0000808613"</f>
        <v>0000808613</v>
      </c>
      <c r="C2338" t="str">
        <f t="shared" si="965"/>
        <v>0000808597</v>
      </c>
      <c r="D2338" t="str">
        <f t="shared" si="951"/>
        <v>73185</v>
      </c>
      <c r="E2338" t="str">
        <f t="shared" si="952"/>
        <v>KFH-OPERATIONS DEPARTMENT</v>
      </c>
      <c r="F2338" t="str">
        <f t="shared" si="953"/>
        <v>IBG</v>
      </c>
      <c r="G2338" t="str">
        <f t="shared" si="966"/>
        <v>Refund COSHARE 10</v>
      </c>
      <c r="H2338" s="2">
        <v>501</v>
      </c>
      <c r="I2338" t="str">
        <f>"NURULHUDA BIN AHMAT MARZUKI"</f>
        <v>NURULHUDA BIN AHMAT MARZUKI</v>
      </c>
      <c r="J2338" t="str">
        <f t="shared" si="967"/>
        <v>MAYBANK / MAYBANK ISLAMIC</v>
      </c>
      <c r="K2338" t="str">
        <f>"158172609314"</f>
        <v>158172609314</v>
      </c>
      <c r="L2338" t="str">
        <f t="shared" si="968"/>
        <v>04-08-2020</v>
      </c>
      <c r="M2338" t="str">
        <f t="shared" si="968"/>
        <v>04-08-2020</v>
      </c>
      <c r="N2338" t="str">
        <f t="shared" si="954"/>
        <v>001105018356</v>
      </c>
      <c r="O2338" t="str">
        <f t="shared" si="955"/>
        <v>MYR</v>
      </c>
      <c r="P2338" t="str">
        <f t="shared" si="969"/>
        <v>NIL</v>
      </c>
      <c r="Q2338" t="str">
        <f t="shared" si="969"/>
        <v>NIL</v>
      </c>
      <c r="R2338" t="str">
        <f t="shared" si="956"/>
        <v>Accepted</v>
      </c>
      <c r="S2338" t="str">
        <f t="shared" si="957"/>
        <v>Approved</v>
      </c>
      <c r="T2338" t="str">
        <f t="shared" si="958"/>
        <v>10.20.8.188</v>
      </c>
      <c r="U2338" t="str">
        <f t="shared" si="959"/>
        <v>AZRAD UMAR BIN SHAARI</v>
      </c>
      <c r="V2338" t="str">
        <f t="shared" si="960"/>
        <v>FARHANA BINTI MUSTAPA</v>
      </c>
      <c r="W2338" t="str">
        <f t="shared" si="961"/>
        <v>04-08-2020</v>
      </c>
      <c r="X2338" t="str">
        <f t="shared" si="962"/>
        <v>RAZIMAH ANSAR AHMAD</v>
      </c>
      <c r="Y2338" t="str">
        <f t="shared" si="963"/>
        <v>04-08-2020</v>
      </c>
      <c r="Z2338" t="str">
        <f>"COS10200804 6816"</f>
        <v>COS10200804 6816</v>
      </c>
    </row>
    <row r="2339" spans="1:26" x14ac:dyDescent="0.25">
      <c r="A2339" t="str">
        <f t="shared" si="964"/>
        <v>04-08-2020 01:04:59</v>
      </c>
      <c r="B2339" t="str">
        <f>"0000808612"</f>
        <v>0000808612</v>
      </c>
      <c r="C2339" t="str">
        <f t="shared" si="965"/>
        <v>0000808597</v>
      </c>
      <c r="D2339" t="str">
        <f t="shared" si="951"/>
        <v>73185</v>
      </c>
      <c r="E2339" t="str">
        <f t="shared" si="952"/>
        <v>KFH-OPERATIONS DEPARTMENT</v>
      </c>
      <c r="F2339" t="str">
        <f t="shared" si="953"/>
        <v>IBG</v>
      </c>
      <c r="G2339" t="str">
        <f t="shared" si="966"/>
        <v>Refund COSHARE 10</v>
      </c>
      <c r="H2339" s="2">
        <v>503.7</v>
      </c>
      <c r="I2339" t="str">
        <f>"NURULHAFIZAH BINTI MD ESA"</f>
        <v>NURULHAFIZAH BINTI MD ESA</v>
      </c>
      <c r="J2339" t="str">
        <f t="shared" si="967"/>
        <v>MAYBANK / MAYBANK ISLAMIC</v>
      </c>
      <c r="K2339" t="str">
        <f>"151306707366"</f>
        <v>151306707366</v>
      </c>
      <c r="L2339" t="str">
        <f t="shared" si="968"/>
        <v>04-08-2020</v>
      </c>
      <c r="M2339" t="str">
        <f t="shared" si="968"/>
        <v>04-08-2020</v>
      </c>
      <c r="N2339" t="str">
        <f t="shared" si="954"/>
        <v>001105018356</v>
      </c>
      <c r="O2339" t="str">
        <f t="shared" si="955"/>
        <v>MYR</v>
      </c>
      <c r="P2339" t="str">
        <f t="shared" si="969"/>
        <v>NIL</v>
      </c>
      <c r="Q2339" t="str">
        <f t="shared" si="969"/>
        <v>NIL</v>
      </c>
      <c r="R2339" t="str">
        <f t="shared" si="956"/>
        <v>Accepted</v>
      </c>
      <c r="S2339" t="str">
        <f t="shared" si="957"/>
        <v>Approved</v>
      </c>
      <c r="T2339" t="str">
        <f t="shared" si="958"/>
        <v>10.20.8.188</v>
      </c>
      <c r="U2339" t="str">
        <f t="shared" si="959"/>
        <v>AZRAD UMAR BIN SHAARI</v>
      </c>
      <c r="V2339" t="str">
        <f t="shared" si="960"/>
        <v>FARHANA BINTI MUSTAPA</v>
      </c>
      <c r="W2339" t="str">
        <f t="shared" si="961"/>
        <v>04-08-2020</v>
      </c>
      <c r="X2339" t="str">
        <f t="shared" si="962"/>
        <v>RAZIMAH ANSAR AHMAD</v>
      </c>
      <c r="Y2339" t="str">
        <f t="shared" si="963"/>
        <v>04-08-2020</v>
      </c>
      <c r="Z2339" t="str">
        <f>"COS10200804 6815"</f>
        <v>COS10200804 6815</v>
      </c>
    </row>
    <row r="2340" spans="1:26" x14ac:dyDescent="0.25">
      <c r="A2340" t="str">
        <f t="shared" si="964"/>
        <v>04-08-2020 01:04:59</v>
      </c>
      <c r="B2340" t="str">
        <f>"0000808611"</f>
        <v>0000808611</v>
      </c>
      <c r="C2340" t="str">
        <f t="shared" si="965"/>
        <v>0000808597</v>
      </c>
      <c r="D2340" t="str">
        <f t="shared" si="951"/>
        <v>73185</v>
      </c>
      <c r="E2340" t="str">
        <f t="shared" si="952"/>
        <v>KFH-OPERATIONS DEPARTMENT</v>
      </c>
      <c r="F2340" t="str">
        <f t="shared" si="953"/>
        <v>IBG</v>
      </c>
      <c r="G2340" t="str">
        <f t="shared" si="966"/>
        <v>Refund COSHARE 10</v>
      </c>
      <c r="H2340" s="2">
        <v>377.8</v>
      </c>
      <c r="I2340" t="str">
        <f>"NURUL ZAWANI BINTI JAMALUDIN"</f>
        <v>NURUL ZAWANI BINTI JAMALUDIN</v>
      </c>
      <c r="J2340" t="str">
        <f t="shared" si="967"/>
        <v>MAYBANK / MAYBANK ISLAMIC</v>
      </c>
      <c r="K2340" t="str">
        <f>"156066195650"</f>
        <v>156066195650</v>
      </c>
      <c r="L2340" t="str">
        <f t="shared" si="968"/>
        <v>04-08-2020</v>
      </c>
      <c r="M2340" t="str">
        <f t="shared" si="968"/>
        <v>04-08-2020</v>
      </c>
      <c r="N2340" t="str">
        <f t="shared" si="954"/>
        <v>001105018356</v>
      </c>
      <c r="O2340" t="str">
        <f t="shared" si="955"/>
        <v>MYR</v>
      </c>
      <c r="P2340" t="str">
        <f t="shared" si="969"/>
        <v>NIL</v>
      </c>
      <c r="Q2340" t="str">
        <f t="shared" si="969"/>
        <v>NIL</v>
      </c>
      <c r="R2340" t="str">
        <f t="shared" si="956"/>
        <v>Accepted</v>
      </c>
      <c r="S2340" t="str">
        <f t="shared" si="957"/>
        <v>Approved</v>
      </c>
      <c r="T2340" t="str">
        <f t="shared" si="958"/>
        <v>10.20.8.188</v>
      </c>
      <c r="U2340" t="str">
        <f t="shared" si="959"/>
        <v>AZRAD UMAR BIN SHAARI</v>
      </c>
      <c r="V2340" t="str">
        <f t="shared" si="960"/>
        <v>FARHANA BINTI MUSTAPA</v>
      </c>
      <c r="W2340" t="str">
        <f t="shared" si="961"/>
        <v>04-08-2020</v>
      </c>
      <c r="X2340" t="str">
        <f t="shared" si="962"/>
        <v>RAZIMAH ANSAR AHMAD</v>
      </c>
      <c r="Y2340" t="str">
        <f t="shared" si="963"/>
        <v>04-08-2020</v>
      </c>
      <c r="Z2340" t="str">
        <f>"COS10200804 6814"</f>
        <v>COS10200804 6814</v>
      </c>
    </row>
    <row r="2341" spans="1:26" x14ac:dyDescent="0.25">
      <c r="A2341" t="str">
        <f t="shared" si="964"/>
        <v>04-08-2020 01:04:59</v>
      </c>
      <c r="B2341" t="str">
        <f>"0000808610"</f>
        <v>0000808610</v>
      </c>
      <c r="C2341" t="str">
        <f t="shared" si="965"/>
        <v>0000808597</v>
      </c>
      <c r="D2341" t="str">
        <f t="shared" si="951"/>
        <v>73185</v>
      </c>
      <c r="E2341" t="str">
        <f t="shared" si="952"/>
        <v>KFH-OPERATIONS DEPARTMENT</v>
      </c>
      <c r="F2341" t="str">
        <f t="shared" si="953"/>
        <v>IBG</v>
      </c>
      <c r="G2341" t="str">
        <f t="shared" si="966"/>
        <v>Refund COSHARE 10</v>
      </c>
      <c r="H2341" s="2">
        <v>839.5</v>
      </c>
      <c r="I2341" t="str">
        <f>"NURUL WAZNA BINTI MOHAMAD ZUKI"</f>
        <v>NURUL WAZNA BINTI MOHAMAD ZUKI</v>
      </c>
      <c r="J2341" t="str">
        <f t="shared" si="967"/>
        <v>MAYBANK / MAYBANK ISLAMIC</v>
      </c>
      <c r="K2341" t="str">
        <f>"157157752398"</f>
        <v>157157752398</v>
      </c>
      <c r="L2341" t="str">
        <f t="shared" si="968"/>
        <v>04-08-2020</v>
      </c>
      <c r="M2341" t="str">
        <f t="shared" si="968"/>
        <v>04-08-2020</v>
      </c>
      <c r="N2341" t="str">
        <f t="shared" si="954"/>
        <v>001105018356</v>
      </c>
      <c r="O2341" t="str">
        <f t="shared" si="955"/>
        <v>MYR</v>
      </c>
      <c r="P2341" t="str">
        <f t="shared" si="969"/>
        <v>NIL</v>
      </c>
      <c r="Q2341" t="str">
        <f t="shared" si="969"/>
        <v>NIL</v>
      </c>
      <c r="R2341" t="str">
        <f t="shared" si="956"/>
        <v>Accepted</v>
      </c>
      <c r="S2341" t="str">
        <f t="shared" si="957"/>
        <v>Approved</v>
      </c>
      <c r="T2341" t="str">
        <f t="shared" si="958"/>
        <v>10.20.8.188</v>
      </c>
      <c r="U2341" t="str">
        <f t="shared" si="959"/>
        <v>AZRAD UMAR BIN SHAARI</v>
      </c>
      <c r="V2341" t="str">
        <f t="shared" si="960"/>
        <v>FARHANA BINTI MUSTAPA</v>
      </c>
      <c r="W2341" t="str">
        <f t="shared" si="961"/>
        <v>04-08-2020</v>
      </c>
      <c r="X2341" t="str">
        <f t="shared" si="962"/>
        <v>RAZIMAH ANSAR AHMAD</v>
      </c>
      <c r="Y2341" t="str">
        <f t="shared" si="963"/>
        <v>04-08-2020</v>
      </c>
      <c r="Z2341" t="str">
        <f>"COS10200804 6813"</f>
        <v>COS10200804 6813</v>
      </c>
    </row>
    <row r="2342" spans="1:26" x14ac:dyDescent="0.25">
      <c r="A2342" t="str">
        <f t="shared" si="964"/>
        <v>04-08-2020 01:04:59</v>
      </c>
      <c r="B2342" t="str">
        <f>"0000808609"</f>
        <v>0000808609</v>
      </c>
      <c r="C2342" t="str">
        <f t="shared" si="965"/>
        <v>0000808597</v>
      </c>
      <c r="D2342" t="str">
        <f t="shared" si="951"/>
        <v>73185</v>
      </c>
      <c r="E2342" t="str">
        <f t="shared" si="952"/>
        <v>KFH-OPERATIONS DEPARTMENT</v>
      </c>
      <c r="F2342" t="str">
        <f t="shared" si="953"/>
        <v>IBG</v>
      </c>
      <c r="G2342" t="str">
        <f t="shared" si="966"/>
        <v>Refund COSHARE 10</v>
      </c>
      <c r="H2342" s="2">
        <v>683</v>
      </c>
      <c r="I2342" t="str">
        <f>"NURUL UMI SYAFINA BINTI RUSLI"</f>
        <v>NURUL UMI SYAFINA BINTI RUSLI</v>
      </c>
      <c r="J2342" t="str">
        <f t="shared" si="967"/>
        <v>MAYBANK / MAYBANK ISLAMIC</v>
      </c>
      <c r="K2342" t="str">
        <f>"157139789387"</f>
        <v>157139789387</v>
      </c>
      <c r="L2342" t="str">
        <f t="shared" si="968"/>
        <v>04-08-2020</v>
      </c>
      <c r="M2342" t="str">
        <f t="shared" si="968"/>
        <v>04-08-2020</v>
      </c>
      <c r="N2342" t="str">
        <f t="shared" si="954"/>
        <v>001105018356</v>
      </c>
      <c r="O2342" t="str">
        <f t="shared" si="955"/>
        <v>MYR</v>
      </c>
      <c r="P2342" t="str">
        <f t="shared" si="969"/>
        <v>NIL</v>
      </c>
      <c r="Q2342" t="str">
        <f t="shared" si="969"/>
        <v>NIL</v>
      </c>
      <c r="R2342" t="str">
        <f t="shared" si="956"/>
        <v>Accepted</v>
      </c>
      <c r="S2342" t="str">
        <f t="shared" si="957"/>
        <v>Approved</v>
      </c>
      <c r="T2342" t="str">
        <f t="shared" si="958"/>
        <v>10.20.8.188</v>
      </c>
      <c r="U2342" t="str">
        <f t="shared" si="959"/>
        <v>AZRAD UMAR BIN SHAARI</v>
      </c>
      <c r="V2342" t="str">
        <f t="shared" si="960"/>
        <v>FARHANA BINTI MUSTAPA</v>
      </c>
      <c r="W2342" t="str">
        <f t="shared" si="961"/>
        <v>04-08-2020</v>
      </c>
      <c r="X2342" t="str">
        <f t="shared" si="962"/>
        <v>RAZIMAH ANSAR AHMAD</v>
      </c>
      <c r="Y2342" t="str">
        <f t="shared" si="963"/>
        <v>04-08-2020</v>
      </c>
      <c r="Z2342" t="str">
        <f>"COS10200804 6812"</f>
        <v>COS10200804 6812</v>
      </c>
    </row>
    <row r="2343" spans="1:26" x14ac:dyDescent="0.25">
      <c r="A2343" t="str">
        <f t="shared" si="964"/>
        <v>04-08-2020 01:04:59</v>
      </c>
      <c r="B2343" t="str">
        <f>"0000808608"</f>
        <v>0000808608</v>
      </c>
      <c r="C2343" t="str">
        <f t="shared" si="965"/>
        <v>0000808597</v>
      </c>
      <c r="D2343" t="str">
        <f t="shared" si="951"/>
        <v>73185</v>
      </c>
      <c r="E2343" t="str">
        <f t="shared" si="952"/>
        <v>KFH-OPERATIONS DEPARTMENT</v>
      </c>
      <c r="F2343" t="str">
        <f t="shared" si="953"/>
        <v>IBG</v>
      </c>
      <c r="G2343" t="str">
        <f t="shared" si="966"/>
        <v>Refund COSHARE 10</v>
      </c>
      <c r="H2343" s="2">
        <v>293.85000000000002</v>
      </c>
      <c r="I2343" t="str">
        <f>"NURUL SUHAILA BINTI MUSTAFFA"</f>
        <v>NURUL SUHAILA BINTI MUSTAFFA</v>
      </c>
      <c r="J2343" t="str">
        <f t="shared" si="967"/>
        <v>MAYBANK / MAYBANK ISLAMIC</v>
      </c>
      <c r="K2343" t="str">
        <f>"155032327885"</f>
        <v>155032327885</v>
      </c>
      <c r="L2343" t="str">
        <f t="shared" si="968"/>
        <v>04-08-2020</v>
      </c>
      <c r="M2343" t="str">
        <f t="shared" si="968"/>
        <v>04-08-2020</v>
      </c>
      <c r="N2343" t="str">
        <f t="shared" si="954"/>
        <v>001105018356</v>
      </c>
      <c r="O2343" t="str">
        <f t="shared" si="955"/>
        <v>MYR</v>
      </c>
      <c r="P2343" t="str">
        <f t="shared" si="969"/>
        <v>NIL</v>
      </c>
      <c r="Q2343" t="str">
        <f t="shared" si="969"/>
        <v>NIL</v>
      </c>
      <c r="R2343" t="str">
        <f t="shared" si="956"/>
        <v>Accepted</v>
      </c>
      <c r="S2343" t="str">
        <f t="shared" si="957"/>
        <v>Approved</v>
      </c>
      <c r="T2343" t="str">
        <f t="shared" si="958"/>
        <v>10.20.8.188</v>
      </c>
      <c r="U2343" t="str">
        <f t="shared" si="959"/>
        <v>AZRAD UMAR BIN SHAARI</v>
      </c>
      <c r="V2343" t="str">
        <f t="shared" si="960"/>
        <v>FARHANA BINTI MUSTAPA</v>
      </c>
      <c r="W2343" t="str">
        <f t="shared" si="961"/>
        <v>04-08-2020</v>
      </c>
      <c r="X2343" t="str">
        <f t="shared" si="962"/>
        <v>RAZIMAH ANSAR AHMAD</v>
      </c>
      <c r="Y2343" t="str">
        <f t="shared" si="963"/>
        <v>04-08-2020</v>
      </c>
      <c r="Z2343" t="str">
        <f>"COS10200804 6811"</f>
        <v>COS10200804 6811</v>
      </c>
    </row>
    <row r="2344" spans="1:26" x14ac:dyDescent="0.25">
      <c r="A2344" t="str">
        <f t="shared" si="964"/>
        <v>04-08-2020 01:04:59</v>
      </c>
      <c r="B2344" t="str">
        <f>"0000808607"</f>
        <v>0000808607</v>
      </c>
      <c r="C2344" t="str">
        <f t="shared" si="965"/>
        <v>0000808597</v>
      </c>
      <c r="D2344" t="str">
        <f t="shared" si="951"/>
        <v>73185</v>
      </c>
      <c r="E2344" t="str">
        <f t="shared" si="952"/>
        <v>KFH-OPERATIONS DEPARTMENT</v>
      </c>
      <c r="F2344" t="str">
        <f t="shared" si="953"/>
        <v>IBG</v>
      </c>
      <c r="G2344" t="str">
        <f t="shared" si="966"/>
        <v>Refund COSHARE 10</v>
      </c>
      <c r="H2344" s="2">
        <v>125.95</v>
      </c>
      <c r="I2344" t="str">
        <f>"NURUL SHAWANI BINTI MOHD NASIR"</f>
        <v>NURUL SHAWANI BINTI MOHD NASIR</v>
      </c>
      <c r="J2344" t="str">
        <f t="shared" si="967"/>
        <v>MAYBANK / MAYBANK ISLAMIC</v>
      </c>
      <c r="K2344" t="str">
        <f>"164351080900"</f>
        <v>164351080900</v>
      </c>
      <c r="L2344" t="str">
        <f t="shared" si="968"/>
        <v>04-08-2020</v>
      </c>
      <c r="M2344" t="str">
        <f t="shared" si="968"/>
        <v>04-08-2020</v>
      </c>
      <c r="N2344" t="str">
        <f t="shared" si="954"/>
        <v>001105018356</v>
      </c>
      <c r="O2344" t="str">
        <f t="shared" si="955"/>
        <v>MYR</v>
      </c>
      <c r="P2344" t="str">
        <f t="shared" si="969"/>
        <v>NIL</v>
      </c>
      <c r="Q2344" t="str">
        <f t="shared" si="969"/>
        <v>NIL</v>
      </c>
      <c r="R2344" t="str">
        <f t="shared" si="956"/>
        <v>Accepted</v>
      </c>
      <c r="S2344" t="str">
        <f t="shared" si="957"/>
        <v>Approved</v>
      </c>
      <c r="T2344" t="str">
        <f t="shared" si="958"/>
        <v>10.20.8.188</v>
      </c>
      <c r="U2344" t="str">
        <f t="shared" si="959"/>
        <v>AZRAD UMAR BIN SHAARI</v>
      </c>
      <c r="V2344" t="str">
        <f t="shared" si="960"/>
        <v>FARHANA BINTI MUSTAPA</v>
      </c>
      <c r="W2344" t="str">
        <f t="shared" si="961"/>
        <v>04-08-2020</v>
      </c>
      <c r="X2344" t="str">
        <f t="shared" si="962"/>
        <v>RAZIMAH ANSAR AHMAD</v>
      </c>
      <c r="Y2344" t="str">
        <f t="shared" si="963"/>
        <v>04-08-2020</v>
      </c>
      <c r="Z2344" t="str">
        <f>"COS10200804 6810"</f>
        <v>COS10200804 6810</v>
      </c>
    </row>
    <row r="2345" spans="1:26" x14ac:dyDescent="0.25">
      <c r="A2345" t="str">
        <f t="shared" si="964"/>
        <v>04-08-2020 01:04:59</v>
      </c>
      <c r="B2345" t="str">
        <f>"0000808606"</f>
        <v>0000808606</v>
      </c>
      <c r="C2345" t="str">
        <f t="shared" si="965"/>
        <v>0000808597</v>
      </c>
      <c r="D2345" t="str">
        <f t="shared" si="951"/>
        <v>73185</v>
      </c>
      <c r="E2345" t="str">
        <f t="shared" si="952"/>
        <v>KFH-OPERATIONS DEPARTMENT</v>
      </c>
      <c r="F2345" t="str">
        <f t="shared" si="953"/>
        <v>IBG</v>
      </c>
      <c r="G2345" t="str">
        <f t="shared" si="966"/>
        <v>Refund COSHARE 10</v>
      </c>
      <c r="H2345" s="2">
        <v>730.4</v>
      </c>
      <c r="I2345" t="str">
        <f>"NURUL NAZIRAH BINTI ALI"</f>
        <v>NURUL NAZIRAH BINTI ALI</v>
      </c>
      <c r="J2345" t="str">
        <f t="shared" si="967"/>
        <v>MAYBANK / MAYBANK ISLAMIC</v>
      </c>
      <c r="K2345" t="str">
        <f>"157112062062"</f>
        <v>157112062062</v>
      </c>
      <c r="L2345" t="str">
        <f t="shared" si="968"/>
        <v>04-08-2020</v>
      </c>
      <c r="M2345" t="str">
        <f t="shared" si="968"/>
        <v>04-08-2020</v>
      </c>
      <c r="N2345" t="str">
        <f t="shared" si="954"/>
        <v>001105018356</v>
      </c>
      <c r="O2345" t="str">
        <f t="shared" si="955"/>
        <v>MYR</v>
      </c>
      <c r="P2345" t="str">
        <f t="shared" si="969"/>
        <v>NIL</v>
      </c>
      <c r="Q2345" t="str">
        <f t="shared" si="969"/>
        <v>NIL</v>
      </c>
      <c r="R2345" t="str">
        <f t="shared" si="956"/>
        <v>Accepted</v>
      </c>
      <c r="S2345" t="str">
        <f t="shared" si="957"/>
        <v>Approved</v>
      </c>
      <c r="T2345" t="str">
        <f t="shared" si="958"/>
        <v>10.20.8.188</v>
      </c>
      <c r="U2345" t="str">
        <f t="shared" si="959"/>
        <v>AZRAD UMAR BIN SHAARI</v>
      </c>
      <c r="V2345" t="str">
        <f t="shared" si="960"/>
        <v>FARHANA BINTI MUSTAPA</v>
      </c>
      <c r="W2345" t="str">
        <f t="shared" si="961"/>
        <v>04-08-2020</v>
      </c>
      <c r="X2345" t="str">
        <f t="shared" si="962"/>
        <v>RAZIMAH ANSAR AHMAD</v>
      </c>
      <c r="Y2345" t="str">
        <f t="shared" si="963"/>
        <v>04-08-2020</v>
      </c>
      <c r="Z2345" t="str">
        <f>"COS10200804 6809"</f>
        <v>COS10200804 6809</v>
      </c>
    </row>
    <row r="2346" spans="1:26" x14ac:dyDescent="0.25">
      <c r="A2346" t="str">
        <f t="shared" ref="A2346:A2353" si="970">"04-08-2020 01:04:59"</f>
        <v>04-08-2020 01:04:59</v>
      </c>
      <c r="B2346" t="str">
        <f>"0000808605"</f>
        <v>0000808605</v>
      </c>
      <c r="C2346" t="str">
        <f t="shared" ref="C2346:C2353" si="971">"0000808597"</f>
        <v>0000808597</v>
      </c>
      <c r="D2346" t="str">
        <f t="shared" si="951"/>
        <v>73185</v>
      </c>
      <c r="E2346" t="str">
        <f t="shared" si="952"/>
        <v>KFH-OPERATIONS DEPARTMENT</v>
      </c>
      <c r="F2346" t="str">
        <f t="shared" si="953"/>
        <v>IBG</v>
      </c>
      <c r="G2346" t="str">
        <f t="shared" si="966"/>
        <v>Refund COSHARE 10</v>
      </c>
      <c r="H2346" s="2">
        <v>205</v>
      </c>
      <c r="I2346" t="str">
        <f>"NURUL NAJIHAH BINTI AHMAD"</f>
        <v>NURUL NAJIHAH BINTI AHMAD</v>
      </c>
      <c r="J2346" t="str">
        <f t="shared" si="967"/>
        <v>MAYBANK / MAYBANK ISLAMIC</v>
      </c>
      <c r="K2346" t="str">
        <f>"158088301884"</f>
        <v>158088301884</v>
      </c>
      <c r="L2346" t="str">
        <f t="shared" si="968"/>
        <v>04-08-2020</v>
      </c>
      <c r="M2346" t="str">
        <f t="shared" si="968"/>
        <v>04-08-2020</v>
      </c>
      <c r="N2346" t="str">
        <f t="shared" si="954"/>
        <v>001105018356</v>
      </c>
      <c r="O2346" t="str">
        <f t="shared" si="955"/>
        <v>MYR</v>
      </c>
      <c r="P2346" t="str">
        <f t="shared" si="969"/>
        <v>NIL</v>
      </c>
      <c r="Q2346" t="str">
        <f t="shared" si="969"/>
        <v>NIL</v>
      </c>
      <c r="R2346" t="str">
        <f t="shared" si="956"/>
        <v>Accepted</v>
      </c>
      <c r="S2346" t="str">
        <f t="shared" si="957"/>
        <v>Approved</v>
      </c>
      <c r="T2346" t="str">
        <f t="shared" si="958"/>
        <v>10.20.8.188</v>
      </c>
      <c r="U2346" t="str">
        <f t="shared" si="959"/>
        <v>AZRAD UMAR BIN SHAARI</v>
      </c>
      <c r="V2346" t="str">
        <f t="shared" si="960"/>
        <v>FARHANA BINTI MUSTAPA</v>
      </c>
      <c r="W2346" t="str">
        <f t="shared" si="961"/>
        <v>04-08-2020</v>
      </c>
      <c r="X2346" t="str">
        <f t="shared" si="962"/>
        <v>RAZIMAH ANSAR AHMAD</v>
      </c>
      <c r="Y2346" t="str">
        <f t="shared" si="963"/>
        <v>04-08-2020</v>
      </c>
      <c r="Z2346" t="str">
        <f>"COS10200804 6808"</f>
        <v>COS10200804 6808</v>
      </c>
    </row>
    <row r="2347" spans="1:26" x14ac:dyDescent="0.25">
      <c r="A2347" t="str">
        <f t="shared" si="970"/>
        <v>04-08-2020 01:04:59</v>
      </c>
      <c r="B2347" t="str">
        <f>"0000808604"</f>
        <v>0000808604</v>
      </c>
      <c r="C2347" t="str">
        <f t="shared" si="971"/>
        <v>0000808597</v>
      </c>
      <c r="D2347" t="str">
        <f t="shared" si="951"/>
        <v>73185</v>
      </c>
      <c r="E2347" t="str">
        <f t="shared" si="952"/>
        <v>KFH-OPERATIONS DEPARTMENT</v>
      </c>
      <c r="F2347" t="str">
        <f t="shared" si="953"/>
        <v>IBG</v>
      </c>
      <c r="G2347" t="str">
        <f t="shared" si="966"/>
        <v>Refund COSHARE 10</v>
      </c>
      <c r="H2347" s="2">
        <v>84</v>
      </c>
      <c r="I2347" t="str">
        <f>"NURUL NADIAH BINTI MADJAN"</f>
        <v>NURUL NADIAH BINTI MADJAN</v>
      </c>
      <c r="J2347" t="str">
        <f t="shared" si="967"/>
        <v>MAYBANK / MAYBANK ISLAMIC</v>
      </c>
      <c r="K2347" t="str">
        <f>"160232043488"</f>
        <v>160232043488</v>
      </c>
      <c r="L2347" t="str">
        <f t="shared" ref="L2347:M2366" si="972">"04-08-2020"</f>
        <v>04-08-2020</v>
      </c>
      <c r="M2347" t="str">
        <f t="shared" si="972"/>
        <v>04-08-2020</v>
      </c>
      <c r="N2347" t="str">
        <f t="shared" si="954"/>
        <v>001105018356</v>
      </c>
      <c r="O2347" t="str">
        <f t="shared" si="955"/>
        <v>MYR</v>
      </c>
      <c r="P2347" t="str">
        <f t="shared" ref="P2347:Q2366" si="973">"NIL"</f>
        <v>NIL</v>
      </c>
      <c r="Q2347" t="str">
        <f t="shared" si="973"/>
        <v>NIL</v>
      </c>
      <c r="R2347" t="str">
        <f t="shared" si="956"/>
        <v>Accepted</v>
      </c>
      <c r="S2347" t="str">
        <f t="shared" si="957"/>
        <v>Approved</v>
      </c>
      <c r="T2347" t="str">
        <f t="shared" si="958"/>
        <v>10.20.8.188</v>
      </c>
      <c r="U2347" t="str">
        <f t="shared" si="959"/>
        <v>AZRAD UMAR BIN SHAARI</v>
      </c>
      <c r="V2347" t="str">
        <f t="shared" si="960"/>
        <v>FARHANA BINTI MUSTAPA</v>
      </c>
      <c r="W2347" t="str">
        <f t="shared" si="961"/>
        <v>04-08-2020</v>
      </c>
      <c r="X2347" t="str">
        <f t="shared" si="962"/>
        <v>RAZIMAH ANSAR AHMAD</v>
      </c>
      <c r="Y2347" t="str">
        <f t="shared" si="963"/>
        <v>04-08-2020</v>
      </c>
      <c r="Z2347" t="str">
        <f>"COS10200804 6807"</f>
        <v>COS10200804 6807</v>
      </c>
    </row>
    <row r="2348" spans="1:26" x14ac:dyDescent="0.25">
      <c r="A2348" t="str">
        <f t="shared" si="970"/>
        <v>04-08-2020 01:04:59</v>
      </c>
      <c r="B2348" t="str">
        <f>"0000808603"</f>
        <v>0000808603</v>
      </c>
      <c r="C2348" t="str">
        <f t="shared" si="971"/>
        <v>0000808597</v>
      </c>
      <c r="D2348" t="str">
        <f t="shared" si="951"/>
        <v>73185</v>
      </c>
      <c r="E2348" t="str">
        <f t="shared" si="952"/>
        <v>KFH-OPERATIONS DEPARTMENT</v>
      </c>
      <c r="F2348" t="str">
        <f t="shared" si="953"/>
        <v>IBG</v>
      </c>
      <c r="G2348" t="str">
        <f t="shared" si="966"/>
        <v>Refund COSHARE 10</v>
      </c>
      <c r="H2348" s="2">
        <v>160</v>
      </c>
      <c r="I2348" t="str">
        <f>"NURUL IZZAH BINTI HAMIDUN"</f>
        <v>NURUL IZZAH BINTI HAMIDUN</v>
      </c>
      <c r="J2348" t="str">
        <f t="shared" si="967"/>
        <v>MAYBANK / MAYBANK ISLAMIC</v>
      </c>
      <c r="K2348" t="str">
        <f>"158136718335"</f>
        <v>158136718335</v>
      </c>
      <c r="L2348" t="str">
        <f t="shared" si="972"/>
        <v>04-08-2020</v>
      </c>
      <c r="M2348" t="str">
        <f t="shared" si="972"/>
        <v>04-08-2020</v>
      </c>
      <c r="N2348" t="str">
        <f t="shared" si="954"/>
        <v>001105018356</v>
      </c>
      <c r="O2348" t="str">
        <f t="shared" si="955"/>
        <v>MYR</v>
      </c>
      <c r="P2348" t="str">
        <f t="shared" si="973"/>
        <v>NIL</v>
      </c>
      <c r="Q2348" t="str">
        <f t="shared" si="973"/>
        <v>NIL</v>
      </c>
      <c r="R2348" t="str">
        <f t="shared" si="956"/>
        <v>Accepted</v>
      </c>
      <c r="S2348" t="str">
        <f t="shared" si="957"/>
        <v>Approved</v>
      </c>
      <c r="T2348" t="str">
        <f t="shared" si="958"/>
        <v>10.20.8.188</v>
      </c>
      <c r="U2348" t="str">
        <f t="shared" si="959"/>
        <v>AZRAD UMAR BIN SHAARI</v>
      </c>
      <c r="V2348" t="str">
        <f t="shared" si="960"/>
        <v>FARHANA BINTI MUSTAPA</v>
      </c>
      <c r="W2348" t="str">
        <f t="shared" si="961"/>
        <v>04-08-2020</v>
      </c>
      <c r="X2348" t="str">
        <f t="shared" si="962"/>
        <v>RAZIMAH ANSAR AHMAD</v>
      </c>
      <c r="Y2348" t="str">
        <f t="shared" si="963"/>
        <v>04-08-2020</v>
      </c>
      <c r="Z2348" t="str">
        <f>"COS10200804 6806"</f>
        <v>COS10200804 6806</v>
      </c>
    </row>
    <row r="2349" spans="1:26" x14ac:dyDescent="0.25">
      <c r="A2349" t="str">
        <f t="shared" si="970"/>
        <v>04-08-2020 01:04:59</v>
      </c>
      <c r="B2349" t="str">
        <f>"0000808602"</f>
        <v>0000808602</v>
      </c>
      <c r="C2349" t="str">
        <f t="shared" si="971"/>
        <v>0000808597</v>
      </c>
      <c r="D2349" t="str">
        <f t="shared" si="951"/>
        <v>73185</v>
      </c>
      <c r="E2349" t="str">
        <f t="shared" si="952"/>
        <v>KFH-OPERATIONS DEPARTMENT</v>
      </c>
      <c r="F2349" t="str">
        <f t="shared" si="953"/>
        <v>IBG</v>
      </c>
      <c r="G2349" t="str">
        <f t="shared" si="966"/>
        <v>Refund COSHARE 10</v>
      </c>
      <c r="H2349" s="2">
        <v>486.95</v>
      </c>
      <c r="I2349" t="str">
        <f>"NURUL IZZA BINTI MAHMUD"</f>
        <v>NURUL IZZA BINTI MAHMUD</v>
      </c>
      <c r="J2349" t="str">
        <f t="shared" si="967"/>
        <v>MAYBANK / MAYBANK ISLAMIC</v>
      </c>
      <c r="K2349" t="str">
        <f>"158314103716"</f>
        <v>158314103716</v>
      </c>
      <c r="L2349" t="str">
        <f t="shared" si="972"/>
        <v>04-08-2020</v>
      </c>
      <c r="M2349" t="str">
        <f t="shared" si="972"/>
        <v>04-08-2020</v>
      </c>
      <c r="N2349" t="str">
        <f t="shared" si="954"/>
        <v>001105018356</v>
      </c>
      <c r="O2349" t="str">
        <f t="shared" si="955"/>
        <v>MYR</v>
      </c>
      <c r="P2349" t="str">
        <f t="shared" si="973"/>
        <v>NIL</v>
      </c>
      <c r="Q2349" t="str">
        <f t="shared" si="973"/>
        <v>NIL</v>
      </c>
      <c r="R2349" t="str">
        <f t="shared" si="956"/>
        <v>Accepted</v>
      </c>
      <c r="S2349" t="str">
        <f t="shared" si="957"/>
        <v>Approved</v>
      </c>
      <c r="T2349" t="str">
        <f t="shared" si="958"/>
        <v>10.20.8.188</v>
      </c>
      <c r="U2349" t="str">
        <f t="shared" si="959"/>
        <v>AZRAD UMAR BIN SHAARI</v>
      </c>
      <c r="V2349" t="str">
        <f t="shared" si="960"/>
        <v>FARHANA BINTI MUSTAPA</v>
      </c>
      <c r="W2349" t="str">
        <f t="shared" si="961"/>
        <v>04-08-2020</v>
      </c>
      <c r="X2349" t="str">
        <f t="shared" si="962"/>
        <v>RAZIMAH ANSAR AHMAD</v>
      </c>
      <c r="Y2349" t="str">
        <f t="shared" si="963"/>
        <v>04-08-2020</v>
      </c>
      <c r="Z2349" t="str">
        <f>"COS10200804 6805"</f>
        <v>COS10200804 6805</v>
      </c>
    </row>
    <row r="2350" spans="1:26" x14ac:dyDescent="0.25">
      <c r="A2350" t="str">
        <f t="shared" si="970"/>
        <v>04-08-2020 01:04:59</v>
      </c>
      <c r="B2350" t="str">
        <f>"0000808601"</f>
        <v>0000808601</v>
      </c>
      <c r="C2350" t="str">
        <f t="shared" si="971"/>
        <v>0000808597</v>
      </c>
      <c r="D2350" t="str">
        <f t="shared" si="951"/>
        <v>73185</v>
      </c>
      <c r="E2350" t="str">
        <f t="shared" si="952"/>
        <v>KFH-OPERATIONS DEPARTMENT</v>
      </c>
      <c r="F2350" t="str">
        <f t="shared" si="953"/>
        <v>IBG</v>
      </c>
      <c r="G2350" t="str">
        <f t="shared" si="966"/>
        <v>Refund COSHARE 10</v>
      </c>
      <c r="H2350" s="2">
        <v>1376.8</v>
      </c>
      <c r="I2350" t="str">
        <f>"NURUL IZWAN BIN HARUN ALRASHID"</f>
        <v>NURUL IZWAN BIN HARUN ALRASHID</v>
      </c>
      <c r="J2350" t="str">
        <f t="shared" si="967"/>
        <v>MAYBANK / MAYBANK ISLAMIC</v>
      </c>
      <c r="K2350" t="str">
        <f>"164294003435"</f>
        <v>164294003435</v>
      </c>
      <c r="L2350" t="str">
        <f t="shared" si="972"/>
        <v>04-08-2020</v>
      </c>
      <c r="M2350" t="str">
        <f t="shared" si="972"/>
        <v>04-08-2020</v>
      </c>
      <c r="N2350" t="str">
        <f t="shared" si="954"/>
        <v>001105018356</v>
      </c>
      <c r="O2350" t="str">
        <f t="shared" si="955"/>
        <v>MYR</v>
      </c>
      <c r="P2350" t="str">
        <f t="shared" si="973"/>
        <v>NIL</v>
      </c>
      <c r="Q2350" t="str">
        <f t="shared" si="973"/>
        <v>NIL</v>
      </c>
      <c r="R2350" t="str">
        <f t="shared" si="956"/>
        <v>Accepted</v>
      </c>
      <c r="S2350" t="str">
        <f t="shared" si="957"/>
        <v>Approved</v>
      </c>
      <c r="T2350" t="str">
        <f t="shared" si="958"/>
        <v>10.20.8.188</v>
      </c>
      <c r="U2350" t="str">
        <f t="shared" si="959"/>
        <v>AZRAD UMAR BIN SHAARI</v>
      </c>
      <c r="V2350" t="str">
        <f t="shared" si="960"/>
        <v>FARHANA BINTI MUSTAPA</v>
      </c>
      <c r="W2350" t="str">
        <f t="shared" si="961"/>
        <v>04-08-2020</v>
      </c>
      <c r="X2350" t="str">
        <f t="shared" si="962"/>
        <v>RAZIMAH ANSAR AHMAD</v>
      </c>
      <c r="Y2350" t="str">
        <f t="shared" si="963"/>
        <v>04-08-2020</v>
      </c>
      <c r="Z2350" t="str">
        <f>"COS10200804 6804"</f>
        <v>COS10200804 6804</v>
      </c>
    </row>
    <row r="2351" spans="1:26" x14ac:dyDescent="0.25">
      <c r="A2351" t="str">
        <f t="shared" si="970"/>
        <v>04-08-2020 01:04:59</v>
      </c>
      <c r="B2351" t="str">
        <f>"0000808600"</f>
        <v>0000808600</v>
      </c>
      <c r="C2351" t="str">
        <f t="shared" si="971"/>
        <v>0000808597</v>
      </c>
      <c r="D2351" t="str">
        <f t="shared" si="951"/>
        <v>73185</v>
      </c>
      <c r="E2351" t="str">
        <f t="shared" si="952"/>
        <v>KFH-OPERATIONS DEPARTMENT</v>
      </c>
      <c r="F2351" t="str">
        <f t="shared" si="953"/>
        <v>IBG</v>
      </c>
      <c r="G2351" t="str">
        <f t="shared" si="966"/>
        <v>Refund COSHARE 10</v>
      </c>
      <c r="H2351" s="2">
        <v>1175.3</v>
      </c>
      <c r="I2351" t="str">
        <f>"NURUL IZA BINTI LEMAN"</f>
        <v>NURUL IZA BINTI LEMAN</v>
      </c>
      <c r="J2351" t="str">
        <f t="shared" si="967"/>
        <v>MAYBANK / MAYBANK ISLAMIC</v>
      </c>
      <c r="K2351" t="str">
        <f>"154053334288"</f>
        <v>154053334288</v>
      </c>
      <c r="L2351" t="str">
        <f t="shared" si="972"/>
        <v>04-08-2020</v>
      </c>
      <c r="M2351" t="str">
        <f t="shared" si="972"/>
        <v>04-08-2020</v>
      </c>
      <c r="N2351" t="str">
        <f t="shared" si="954"/>
        <v>001105018356</v>
      </c>
      <c r="O2351" t="str">
        <f t="shared" si="955"/>
        <v>MYR</v>
      </c>
      <c r="P2351" t="str">
        <f t="shared" si="973"/>
        <v>NIL</v>
      </c>
      <c r="Q2351" t="str">
        <f t="shared" si="973"/>
        <v>NIL</v>
      </c>
      <c r="R2351" t="str">
        <f t="shared" si="956"/>
        <v>Accepted</v>
      </c>
      <c r="S2351" t="str">
        <f t="shared" si="957"/>
        <v>Approved</v>
      </c>
      <c r="T2351" t="str">
        <f t="shared" si="958"/>
        <v>10.20.8.188</v>
      </c>
      <c r="U2351" t="str">
        <f t="shared" si="959"/>
        <v>AZRAD UMAR BIN SHAARI</v>
      </c>
      <c r="V2351" t="str">
        <f t="shared" si="960"/>
        <v>FARHANA BINTI MUSTAPA</v>
      </c>
      <c r="W2351" t="str">
        <f t="shared" si="961"/>
        <v>04-08-2020</v>
      </c>
      <c r="X2351" t="str">
        <f t="shared" si="962"/>
        <v>RAZIMAH ANSAR AHMAD</v>
      </c>
      <c r="Y2351" t="str">
        <f t="shared" si="963"/>
        <v>04-08-2020</v>
      </c>
      <c r="Z2351" t="str">
        <f>"COS10200804 6803"</f>
        <v>COS10200804 6803</v>
      </c>
    </row>
    <row r="2352" spans="1:26" x14ac:dyDescent="0.25">
      <c r="A2352" t="str">
        <f t="shared" si="970"/>
        <v>04-08-2020 01:04:59</v>
      </c>
      <c r="B2352" t="str">
        <f>"0000808599"</f>
        <v>0000808599</v>
      </c>
      <c r="C2352" t="str">
        <f t="shared" si="971"/>
        <v>0000808597</v>
      </c>
      <c r="D2352" t="str">
        <f t="shared" si="951"/>
        <v>73185</v>
      </c>
      <c r="E2352" t="str">
        <f t="shared" si="952"/>
        <v>KFH-OPERATIONS DEPARTMENT</v>
      </c>
      <c r="F2352" t="str">
        <f t="shared" si="953"/>
        <v>IBG</v>
      </c>
      <c r="G2352" t="str">
        <f t="shared" si="966"/>
        <v>Refund COSHARE 10</v>
      </c>
      <c r="H2352" s="2">
        <v>1125</v>
      </c>
      <c r="I2352" t="str">
        <f>"NURUL HUDA BT MOHD ABD MALEK"</f>
        <v>NURUL HUDA BT MOHD ABD MALEK</v>
      </c>
      <c r="J2352" t="str">
        <f t="shared" si="967"/>
        <v>MAYBANK / MAYBANK ISLAMIC</v>
      </c>
      <c r="K2352" t="str">
        <f>"162133294329"</f>
        <v>162133294329</v>
      </c>
      <c r="L2352" t="str">
        <f t="shared" si="972"/>
        <v>04-08-2020</v>
      </c>
      <c r="M2352" t="str">
        <f t="shared" si="972"/>
        <v>04-08-2020</v>
      </c>
      <c r="N2352" t="str">
        <f t="shared" si="954"/>
        <v>001105018356</v>
      </c>
      <c r="O2352" t="str">
        <f t="shared" si="955"/>
        <v>MYR</v>
      </c>
      <c r="P2352" t="str">
        <f t="shared" si="973"/>
        <v>NIL</v>
      </c>
      <c r="Q2352" t="str">
        <f t="shared" si="973"/>
        <v>NIL</v>
      </c>
      <c r="R2352" t="str">
        <f t="shared" si="956"/>
        <v>Accepted</v>
      </c>
      <c r="S2352" t="str">
        <f t="shared" si="957"/>
        <v>Approved</v>
      </c>
      <c r="T2352" t="str">
        <f t="shared" si="958"/>
        <v>10.20.8.188</v>
      </c>
      <c r="U2352" t="str">
        <f t="shared" si="959"/>
        <v>AZRAD UMAR BIN SHAARI</v>
      </c>
      <c r="V2352" t="str">
        <f t="shared" si="960"/>
        <v>FARHANA BINTI MUSTAPA</v>
      </c>
      <c r="W2352" t="str">
        <f t="shared" si="961"/>
        <v>04-08-2020</v>
      </c>
      <c r="X2352" t="str">
        <f t="shared" si="962"/>
        <v>RAZIMAH ANSAR AHMAD</v>
      </c>
      <c r="Y2352" t="str">
        <f t="shared" si="963"/>
        <v>04-08-2020</v>
      </c>
      <c r="Z2352" t="str">
        <f>"COS10200804 6802"</f>
        <v>COS10200804 6802</v>
      </c>
    </row>
    <row r="2353" spans="1:26" x14ac:dyDescent="0.25">
      <c r="A2353" t="str">
        <f t="shared" si="970"/>
        <v>04-08-2020 01:04:59</v>
      </c>
      <c r="B2353" t="str">
        <f>"0000808598"</f>
        <v>0000808598</v>
      </c>
      <c r="C2353" t="str">
        <f t="shared" si="971"/>
        <v>0000808597</v>
      </c>
      <c r="D2353" t="str">
        <f t="shared" si="951"/>
        <v>73185</v>
      </c>
      <c r="E2353" t="str">
        <f t="shared" si="952"/>
        <v>KFH-OPERATIONS DEPARTMENT</v>
      </c>
      <c r="F2353" t="str">
        <f t="shared" si="953"/>
        <v>IBG</v>
      </c>
      <c r="G2353" t="str">
        <f t="shared" si="966"/>
        <v>Refund COSHARE 10</v>
      </c>
      <c r="H2353" s="2">
        <v>84</v>
      </c>
      <c r="I2353" t="str">
        <f>"NURUL HUDA BINTI ZAKARIA"</f>
        <v>NURUL HUDA BINTI ZAKARIA</v>
      </c>
      <c r="J2353" t="str">
        <f t="shared" si="967"/>
        <v>MAYBANK / MAYBANK ISLAMIC</v>
      </c>
      <c r="K2353" t="str">
        <f>"151017164426"</f>
        <v>151017164426</v>
      </c>
      <c r="L2353" t="str">
        <f t="shared" si="972"/>
        <v>04-08-2020</v>
      </c>
      <c r="M2353" t="str">
        <f t="shared" si="972"/>
        <v>04-08-2020</v>
      </c>
      <c r="N2353" t="str">
        <f t="shared" si="954"/>
        <v>001105018356</v>
      </c>
      <c r="O2353" t="str">
        <f t="shared" si="955"/>
        <v>MYR</v>
      </c>
      <c r="P2353" t="str">
        <f t="shared" si="973"/>
        <v>NIL</v>
      </c>
      <c r="Q2353" t="str">
        <f t="shared" si="973"/>
        <v>NIL</v>
      </c>
      <c r="R2353" t="str">
        <f t="shared" si="956"/>
        <v>Accepted</v>
      </c>
      <c r="S2353" t="str">
        <f t="shared" si="957"/>
        <v>Approved</v>
      </c>
      <c r="T2353" t="str">
        <f t="shared" si="958"/>
        <v>10.20.8.188</v>
      </c>
      <c r="U2353" t="str">
        <f t="shared" si="959"/>
        <v>AZRAD UMAR BIN SHAARI</v>
      </c>
      <c r="V2353" t="str">
        <f t="shared" si="960"/>
        <v>FARHANA BINTI MUSTAPA</v>
      </c>
      <c r="W2353" t="str">
        <f t="shared" si="961"/>
        <v>04-08-2020</v>
      </c>
      <c r="X2353" t="str">
        <f t="shared" si="962"/>
        <v>RAZIMAH ANSAR AHMAD</v>
      </c>
      <c r="Y2353" t="str">
        <f t="shared" si="963"/>
        <v>04-08-2020</v>
      </c>
      <c r="Z2353" t="str">
        <f>"COS10200804 6801"</f>
        <v>COS10200804 6801</v>
      </c>
    </row>
    <row r="2354" spans="1:26" x14ac:dyDescent="0.25">
      <c r="A2354" t="str">
        <f t="shared" ref="A2354:A2385" si="974">"04-08-2020 01:04:24"</f>
        <v>04-08-2020 01:04:24</v>
      </c>
      <c r="B2354" t="str">
        <f>"0000808596"</f>
        <v>0000808596</v>
      </c>
      <c r="C2354" t="str">
        <f t="shared" ref="C2354:C2385" si="975">"0000808396"</f>
        <v>0000808396</v>
      </c>
      <c r="D2354" t="str">
        <f t="shared" si="951"/>
        <v>73185</v>
      </c>
      <c r="E2354" t="str">
        <f t="shared" si="952"/>
        <v>KFH-OPERATIONS DEPARTMENT</v>
      </c>
      <c r="F2354" t="str">
        <f t="shared" si="953"/>
        <v>IBG</v>
      </c>
      <c r="G2354" t="str">
        <f t="shared" si="966"/>
        <v>Refund COSHARE 10</v>
      </c>
      <c r="H2354" s="2">
        <v>587.65</v>
      </c>
      <c r="I2354" t="str">
        <f>"NURUL HUDA BINTI TASLIM"</f>
        <v>NURUL HUDA BINTI TASLIM</v>
      </c>
      <c r="J2354" t="str">
        <f t="shared" si="967"/>
        <v>MAYBANK / MAYBANK ISLAMIC</v>
      </c>
      <c r="K2354" t="str">
        <f>"162030615012"</f>
        <v>162030615012</v>
      </c>
      <c r="L2354" t="str">
        <f t="shared" si="972"/>
        <v>04-08-2020</v>
      </c>
      <c r="M2354" t="str">
        <f t="shared" si="972"/>
        <v>04-08-2020</v>
      </c>
      <c r="N2354" t="str">
        <f t="shared" si="954"/>
        <v>001105018356</v>
      </c>
      <c r="O2354" t="str">
        <f t="shared" si="955"/>
        <v>MYR</v>
      </c>
      <c r="P2354" t="str">
        <f t="shared" si="973"/>
        <v>NIL</v>
      </c>
      <c r="Q2354" t="str">
        <f t="shared" si="973"/>
        <v>NIL</v>
      </c>
      <c r="R2354" t="str">
        <f t="shared" si="956"/>
        <v>Accepted</v>
      </c>
      <c r="S2354" t="str">
        <f t="shared" si="957"/>
        <v>Approved</v>
      </c>
      <c r="T2354" t="str">
        <f t="shared" si="958"/>
        <v>10.20.8.188</v>
      </c>
      <c r="U2354" t="str">
        <f t="shared" si="959"/>
        <v>AZRAD UMAR BIN SHAARI</v>
      </c>
      <c r="V2354" t="str">
        <f t="shared" si="960"/>
        <v>FARHANA BINTI MUSTAPA</v>
      </c>
      <c r="W2354" t="str">
        <f t="shared" si="961"/>
        <v>04-08-2020</v>
      </c>
      <c r="X2354" t="str">
        <f t="shared" si="962"/>
        <v>RAZIMAH ANSAR AHMAD</v>
      </c>
      <c r="Y2354" t="str">
        <f t="shared" si="963"/>
        <v>04-08-2020</v>
      </c>
      <c r="Z2354" t="str">
        <f>"COS10200804 6800"</f>
        <v>COS10200804 6800</v>
      </c>
    </row>
    <row r="2355" spans="1:26" x14ac:dyDescent="0.25">
      <c r="A2355" t="str">
        <f t="shared" si="974"/>
        <v>04-08-2020 01:04:24</v>
      </c>
      <c r="B2355" t="str">
        <f>"0000808595"</f>
        <v>0000808595</v>
      </c>
      <c r="C2355" t="str">
        <f t="shared" si="975"/>
        <v>0000808396</v>
      </c>
      <c r="D2355" t="str">
        <f t="shared" si="951"/>
        <v>73185</v>
      </c>
      <c r="E2355" t="str">
        <f t="shared" si="952"/>
        <v>KFH-OPERATIONS DEPARTMENT</v>
      </c>
      <c r="F2355" t="str">
        <f t="shared" si="953"/>
        <v>IBG</v>
      </c>
      <c r="G2355" t="str">
        <f t="shared" si="966"/>
        <v>Refund COSHARE 10</v>
      </c>
      <c r="H2355" s="2">
        <v>1469.15</v>
      </c>
      <c r="I2355" t="str">
        <f>"NURUL HUDA BINTI ISMAIL"</f>
        <v>NURUL HUDA BINTI ISMAIL</v>
      </c>
      <c r="J2355" t="str">
        <f t="shared" si="967"/>
        <v>MAYBANK / MAYBANK ISLAMIC</v>
      </c>
      <c r="K2355" t="str">
        <f>"514020615433"</f>
        <v>514020615433</v>
      </c>
      <c r="L2355" t="str">
        <f t="shared" si="972"/>
        <v>04-08-2020</v>
      </c>
      <c r="M2355" t="str">
        <f t="shared" si="972"/>
        <v>04-08-2020</v>
      </c>
      <c r="N2355" t="str">
        <f t="shared" si="954"/>
        <v>001105018356</v>
      </c>
      <c r="O2355" t="str">
        <f t="shared" si="955"/>
        <v>MYR</v>
      </c>
      <c r="P2355" t="str">
        <f t="shared" si="973"/>
        <v>NIL</v>
      </c>
      <c r="Q2355" t="str">
        <f t="shared" si="973"/>
        <v>NIL</v>
      </c>
      <c r="R2355" t="str">
        <f t="shared" si="956"/>
        <v>Accepted</v>
      </c>
      <c r="S2355" t="str">
        <f t="shared" si="957"/>
        <v>Approved</v>
      </c>
      <c r="T2355" t="str">
        <f t="shared" si="958"/>
        <v>10.20.8.188</v>
      </c>
      <c r="U2355" t="str">
        <f t="shared" si="959"/>
        <v>AZRAD UMAR BIN SHAARI</v>
      </c>
      <c r="V2355" t="str">
        <f t="shared" si="960"/>
        <v>FARHANA BINTI MUSTAPA</v>
      </c>
      <c r="W2355" t="str">
        <f t="shared" si="961"/>
        <v>04-08-2020</v>
      </c>
      <c r="X2355" t="str">
        <f t="shared" si="962"/>
        <v>RAZIMAH ANSAR AHMAD</v>
      </c>
      <c r="Y2355" t="str">
        <f t="shared" si="963"/>
        <v>04-08-2020</v>
      </c>
      <c r="Z2355" t="str">
        <f>"COS10200804 6799"</f>
        <v>COS10200804 6799</v>
      </c>
    </row>
    <row r="2356" spans="1:26" x14ac:dyDescent="0.25">
      <c r="A2356" t="str">
        <f t="shared" si="974"/>
        <v>04-08-2020 01:04:24</v>
      </c>
      <c r="B2356" t="str">
        <f>"0000808594"</f>
        <v>0000808594</v>
      </c>
      <c r="C2356" t="str">
        <f t="shared" si="975"/>
        <v>0000808396</v>
      </c>
      <c r="D2356" t="str">
        <f t="shared" si="951"/>
        <v>73185</v>
      </c>
      <c r="E2356" t="str">
        <f t="shared" si="952"/>
        <v>KFH-OPERATIONS DEPARTMENT</v>
      </c>
      <c r="F2356" t="str">
        <f t="shared" si="953"/>
        <v>IBG</v>
      </c>
      <c r="G2356" t="str">
        <f t="shared" si="966"/>
        <v>Refund COSHARE 10</v>
      </c>
      <c r="H2356" s="2">
        <v>252</v>
      </c>
      <c r="I2356" t="str">
        <f>"NURUL HUDA BINTI ABD RAHIM"</f>
        <v>NURUL HUDA BINTI ABD RAHIM</v>
      </c>
      <c r="J2356" t="str">
        <f t="shared" si="967"/>
        <v>MAYBANK / MAYBANK ISLAMIC</v>
      </c>
      <c r="K2356" t="str">
        <f>"158163202411"</f>
        <v>158163202411</v>
      </c>
      <c r="L2356" t="str">
        <f t="shared" si="972"/>
        <v>04-08-2020</v>
      </c>
      <c r="M2356" t="str">
        <f t="shared" si="972"/>
        <v>04-08-2020</v>
      </c>
      <c r="N2356" t="str">
        <f t="shared" si="954"/>
        <v>001105018356</v>
      </c>
      <c r="O2356" t="str">
        <f t="shared" si="955"/>
        <v>MYR</v>
      </c>
      <c r="P2356" t="str">
        <f t="shared" si="973"/>
        <v>NIL</v>
      </c>
      <c r="Q2356" t="str">
        <f t="shared" si="973"/>
        <v>NIL</v>
      </c>
      <c r="R2356" t="str">
        <f t="shared" si="956"/>
        <v>Accepted</v>
      </c>
      <c r="S2356" t="str">
        <f t="shared" si="957"/>
        <v>Approved</v>
      </c>
      <c r="T2356" t="str">
        <f t="shared" si="958"/>
        <v>10.20.8.188</v>
      </c>
      <c r="U2356" t="str">
        <f t="shared" si="959"/>
        <v>AZRAD UMAR BIN SHAARI</v>
      </c>
      <c r="V2356" t="str">
        <f t="shared" si="960"/>
        <v>FARHANA BINTI MUSTAPA</v>
      </c>
      <c r="W2356" t="str">
        <f t="shared" si="961"/>
        <v>04-08-2020</v>
      </c>
      <c r="X2356" t="str">
        <f t="shared" si="962"/>
        <v>RAZIMAH ANSAR AHMAD</v>
      </c>
      <c r="Y2356" t="str">
        <f t="shared" si="963"/>
        <v>04-08-2020</v>
      </c>
      <c r="Z2356" t="str">
        <f>"COS10200804 6798"</f>
        <v>COS10200804 6798</v>
      </c>
    </row>
    <row r="2357" spans="1:26" x14ac:dyDescent="0.25">
      <c r="A2357" t="str">
        <f t="shared" si="974"/>
        <v>04-08-2020 01:04:24</v>
      </c>
      <c r="B2357" t="str">
        <f>"0000808593"</f>
        <v>0000808593</v>
      </c>
      <c r="C2357" t="str">
        <f t="shared" si="975"/>
        <v>0000808396</v>
      </c>
      <c r="D2357" t="str">
        <f t="shared" si="951"/>
        <v>73185</v>
      </c>
      <c r="E2357" t="str">
        <f t="shared" si="952"/>
        <v>KFH-OPERATIONS DEPARTMENT</v>
      </c>
      <c r="F2357" t="str">
        <f t="shared" si="953"/>
        <v>IBG</v>
      </c>
      <c r="G2357" t="str">
        <f t="shared" si="966"/>
        <v>Refund COSHARE 10</v>
      </c>
      <c r="H2357" s="2">
        <v>209.9</v>
      </c>
      <c r="I2357" t="str">
        <f>"NURUL HISHAM BINTI MAT ROSIDI"</f>
        <v>NURUL HISHAM BINTI MAT ROSIDI</v>
      </c>
      <c r="J2357" t="str">
        <f t="shared" si="967"/>
        <v>MAYBANK / MAYBANK ISLAMIC</v>
      </c>
      <c r="K2357" t="str">
        <f>"164128586033"</f>
        <v>164128586033</v>
      </c>
      <c r="L2357" t="str">
        <f t="shared" si="972"/>
        <v>04-08-2020</v>
      </c>
      <c r="M2357" t="str">
        <f t="shared" si="972"/>
        <v>04-08-2020</v>
      </c>
      <c r="N2357" t="str">
        <f t="shared" si="954"/>
        <v>001105018356</v>
      </c>
      <c r="O2357" t="str">
        <f t="shared" si="955"/>
        <v>MYR</v>
      </c>
      <c r="P2357" t="str">
        <f t="shared" si="973"/>
        <v>NIL</v>
      </c>
      <c r="Q2357" t="str">
        <f t="shared" si="973"/>
        <v>NIL</v>
      </c>
      <c r="R2357" t="str">
        <f t="shared" si="956"/>
        <v>Accepted</v>
      </c>
      <c r="S2357" t="str">
        <f t="shared" si="957"/>
        <v>Approved</v>
      </c>
      <c r="T2357" t="str">
        <f t="shared" si="958"/>
        <v>10.20.8.188</v>
      </c>
      <c r="U2357" t="str">
        <f t="shared" si="959"/>
        <v>AZRAD UMAR BIN SHAARI</v>
      </c>
      <c r="V2357" t="str">
        <f t="shared" si="960"/>
        <v>FARHANA BINTI MUSTAPA</v>
      </c>
      <c r="W2357" t="str">
        <f t="shared" si="961"/>
        <v>04-08-2020</v>
      </c>
      <c r="X2357" t="str">
        <f t="shared" si="962"/>
        <v>RAZIMAH ANSAR AHMAD</v>
      </c>
      <c r="Y2357" t="str">
        <f t="shared" si="963"/>
        <v>04-08-2020</v>
      </c>
      <c r="Z2357" t="str">
        <f>"COS10200804 6797"</f>
        <v>COS10200804 6797</v>
      </c>
    </row>
    <row r="2358" spans="1:26" x14ac:dyDescent="0.25">
      <c r="A2358" t="str">
        <f t="shared" si="974"/>
        <v>04-08-2020 01:04:24</v>
      </c>
      <c r="B2358" t="str">
        <f>"0000808592"</f>
        <v>0000808592</v>
      </c>
      <c r="C2358" t="str">
        <f t="shared" si="975"/>
        <v>0000808396</v>
      </c>
      <c r="D2358" t="str">
        <f t="shared" si="951"/>
        <v>73185</v>
      </c>
      <c r="E2358" t="str">
        <f t="shared" si="952"/>
        <v>KFH-OPERATIONS DEPARTMENT</v>
      </c>
      <c r="F2358" t="str">
        <f t="shared" si="953"/>
        <v>IBG</v>
      </c>
      <c r="G2358" t="str">
        <f t="shared" si="966"/>
        <v>Refund COSHARE 10</v>
      </c>
      <c r="H2358" s="2">
        <v>117.55</v>
      </c>
      <c r="I2358" t="str">
        <f>"NURUL HIDAYAH BINTI ABDULLAH"</f>
        <v>NURUL HIDAYAH BINTI ABDULLAH</v>
      </c>
      <c r="J2358" t="str">
        <f t="shared" si="967"/>
        <v>MAYBANK / MAYBANK ISLAMIC</v>
      </c>
      <c r="K2358" t="str">
        <f>"166010066460"</f>
        <v>166010066460</v>
      </c>
      <c r="L2358" t="str">
        <f t="shared" si="972"/>
        <v>04-08-2020</v>
      </c>
      <c r="M2358" t="str">
        <f t="shared" si="972"/>
        <v>04-08-2020</v>
      </c>
      <c r="N2358" t="str">
        <f t="shared" si="954"/>
        <v>001105018356</v>
      </c>
      <c r="O2358" t="str">
        <f t="shared" si="955"/>
        <v>MYR</v>
      </c>
      <c r="P2358" t="str">
        <f t="shared" si="973"/>
        <v>NIL</v>
      </c>
      <c r="Q2358" t="str">
        <f t="shared" si="973"/>
        <v>NIL</v>
      </c>
      <c r="R2358" t="str">
        <f t="shared" si="956"/>
        <v>Accepted</v>
      </c>
      <c r="S2358" t="str">
        <f t="shared" si="957"/>
        <v>Approved</v>
      </c>
      <c r="T2358" t="str">
        <f t="shared" si="958"/>
        <v>10.20.8.188</v>
      </c>
      <c r="U2358" t="str">
        <f t="shared" si="959"/>
        <v>AZRAD UMAR BIN SHAARI</v>
      </c>
      <c r="V2358" t="str">
        <f t="shared" si="960"/>
        <v>FARHANA BINTI MUSTAPA</v>
      </c>
      <c r="W2358" t="str">
        <f t="shared" si="961"/>
        <v>04-08-2020</v>
      </c>
      <c r="X2358" t="str">
        <f t="shared" si="962"/>
        <v>RAZIMAH ANSAR AHMAD</v>
      </c>
      <c r="Y2358" t="str">
        <f t="shared" si="963"/>
        <v>04-08-2020</v>
      </c>
      <c r="Z2358" t="str">
        <f>"COS10200804 6796"</f>
        <v>COS10200804 6796</v>
      </c>
    </row>
    <row r="2359" spans="1:26" x14ac:dyDescent="0.25">
      <c r="A2359" t="str">
        <f t="shared" si="974"/>
        <v>04-08-2020 01:04:24</v>
      </c>
      <c r="B2359" t="str">
        <f>"0000808591"</f>
        <v>0000808591</v>
      </c>
      <c r="C2359" t="str">
        <f t="shared" si="975"/>
        <v>0000808396</v>
      </c>
      <c r="D2359" t="str">
        <f t="shared" si="951"/>
        <v>73185</v>
      </c>
      <c r="E2359" t="str">
        <f t="shared" si="952"/>
        <v>KFH-OPERATIONS DEPARTMENT</v>
      </c>
      <c r="F2359" t="str">
        <f t="shared" si="953"/>
        <v>IBG</v>
      </c>
      <c r="G2359" t="str">
        <f t="shared" si="966"/>
        <v>Refund COSHARE 10</v>
      </c>
      <c r="H2359" s="2">
        <v>596.04999999999995</v>
      </c>
      <c r="I2359" t="str">
        <f>"NURUL HASNI BINTI FADZILLAH"</f>
        <v>NURUL HASNI BINTI FADZILLAH</v>
      </c>
      <c r="J2359" t="str">
        <f t="shared" si="967"/>
        <v>MAYBANK / MAYBANK ISLAMIC</v>
      </c>
      <c r="K2359" t="str">
        <f>"152095912757"</f>
        <v>152095912757</v>
      </c>
      <c r="L2359" t="str">
        <f t="shared" si="972"/>
        <v>04-08-2020</v>
      </c>
      <c r="M2359" t="str">
        <f t="shared" si="972"/>
        <v>04-08-2020</v>
      </c>
      <c r="N2359" t="str">
        <f t="shared" si="954"/>
        <v>001105018356</v>
      </c>
      <c r="O2359" t="str">
        <f t="shared" si="955"/>
        <v>MYR</v>
      </c>
      <c r="P2359" t="str">
        <f t="shared" si="973"/>
        <v>NIL</v>
      </c>
      <c r="Q2359" t="str">
        <f t="shared" si="973"/>
        <v>NIL</v>
      </c>
      <c r="R2359" t="str">
        <f t="shared" si="956"/>
        <v>Accepted</v>
      </c>
      <c r="S2359" t="str">
        <f t="shared" si="957"/>
        <v>Approved</v>
      </c>
      <c r="T2359" t="str">
        <f t="shared" si="958"/>
        <v>10.20.8.188</v>
      </c>
      <c r="U2359" t="str">
        <f t="shared" si="959"/>
        <v>AZRAD UMAR BIN SHAARI</v>
      </c>
      <c r="V2359" t="str">
        <f t="shared" si="960"/>
        <v>FARHANA BINTI MUSTAPA</v>
      </c>
      <c r="W2359" t="str">
        <f t="shared" si="961"/>
        <v>04-08-2020</v>
      </c>
      <c r="X2359" t="str">
        <f t="shared" si="962"/>
        <v>RAZIMAH ANSAR AHMAD</v>
      </c>
      <c r="Y2359" t="str">
        <f t="shared" si="963"/>
        <v>04-08-2020</v>
      </c>
      <c r="Z2359" t="str">
        <f>"COS10200804 6795"</f>
        <v>COS10200804 6795</v>
      </c>
    </row>
    <row r="2360" spans="1:26" x14ac:dyDescent="0.25">
      <c r="A2360" t="str">
        <f t="shared" si="974"/>
        <v>04-08-2020 01:04:24</v>
      </c>
      <c r="B2360" t="str">
        <f>"0000808590"</f>
        <v>0000808590</v>
      </c>
      <c r="C2360" t="str">
        <f t="shared" si="975"/>
        <v>0000808396</v>
      </c>
      <c r="D2360" t="str">
        <f t="shared" si="951"/>
        <v>73185</v>
      </c>
      <c r="E2360" t="str">
        <f t="shared" si="952"/>
        <v>KFH-OPERATIONS DEPARTMENT</v>
      </c>
      <c r="F2360" t="str">
        <f t="shared" si="953"/>
        <v>IBG</v>
      </c>
      <c r="G2360" t="str">
        <f t="shared" si="966"/>
        <v>Refund COSHARE 10</v>
      </c>
      <c r="H2360" s="2">
        <v>858</v>
      </c>
      <c r="I2360" t="str">
        <f>"NURUL HASMIZA BINTI HASAN"</f>
        <v>NURUL HASMIZA BINTI HASAN</v>
      </c>
      <c r="J2360" t="str">
        <f t="shared" si="967"/>
        <v>MAYBANK / MAYBANK ISLAMIC</v>
      </c>
      <c r="K2360" t="str">
        <f>"112447037890"</f>
        <v>112447037890</v>
      </c>
      <c r="L2360" t="str">
        <f t="shared" si="972"/>
        <v>04-08-2020</v>
      </c>
      <c r="M2360" t="str">
        <f t="shared" si="972"/>
        <v>04-08-2020</v>
      </c>
      <c r="N2360" t="str">
        <f t="shared" si="954"/>
        <v>001105018356</v>
      </c>
      <c r="O2360" t="str">
        <f t="shared" si="955"/>
        <v>MYR</v>
      </c>
      <c r="P2360" t="str">
        <f t="shared" si="973"/>
        <v>NIL</v>
      </c>
      <c r="Q2360" t="str">
        <f t="shared" si="973"/>
        <v>NIL</v>
      </c>
      <c r="R2360" t="str">
        <f t="shared" si="956"/>
        <v>Accepted</v>
      </c>
      <c r="S2360" t="str">
        <f t="shared" si="957"/>
        <v>Approved</v>
      </c>
      <c r="T2360" t="str">
        <f t="shared" si="958"/>
        <v>10.20.8.188</v>
      </c>
      <c r="U2360" t="str">
        <f t="shared" si="959"/>
        <v>AZRAD UMAR BIN SHAARI</v>
      </c>
      <c r="V2360" t="str">
        <f t="shared" si="960"/>
        <v>FARHANA BINTI MUSTAPA</v>
      </c>
      <c r="W2360" t="str">
        <f t="shared" si="961"/>
        <v>04-08-2020</v>
      </c>
      <c r="X2360" t="str">
        <f t="shared" si="962"/>
        <v>RAZIMAH ANSAR AHMAD</v>
      </c>
      <c r="Y2360" t="str">
        <f t="shared" si="963"/>
        <v>04-08-2020</v>
      </c>
      <c r="Z2360" t="str">
        <f>"COS10200804 6794"</f>
        <v>COS10200804 6794</v>
      </c>
    </row>
    <row r="2361" spans="1:26" x14ac:dyDescent="0.25">
      <c r="A2361" t="str">
        <f t="shared" si="974"/>
        <v>04-08-2020 01:04:24</v>
      </c>
      <c r="B2361" t="str">
        <f>"0000808589"</f>
        <v>0000808589</v>
      </c>
      <c r="C2361" t="str">
        <f t="shared" si="975"/>
        <v>0000808396</v>
      </c>
      <c r="D2361" t="str">
        <f t="shared" si="951"/>
        <v>73185</v>
      </c>
      <c r="E2361" t="str">
        <f t="shared" si="952"/>
        <v>KFH-OPERATIONS DEPARTMENT</v>
      </c>
      <c r="F2361" t="str">
        <f t="shared" si="953"/>
        <v>IBG</v>
      </c>
      <c r="G2361" t="str">
        <f t="shared" si="966"/>
        <v>Refund COSHARE 10</v>
      </c>
      <c r="H2361" s="2">
        <v>209.9</v>
      </c>
      <c r="I2361" t="str">
        <f>"NURUL HANA BINTI MOHD NAZRI"</f>
        <v>NURUL HANA BINTI MOHD NAZRI</v>
      </c>
      <c r="J2361" t="str">
        <f t="shared" si="967"/>
        <v>MAYBANK / MAYBANK ISLAMIC</v>
      </c>
      <c r="K2361" t="str">
        <f>"157157752403"</f>
        <v>157157752403</v>
      </c>
      <c r="L2361" t="str">
        <f t="shared" si="972"/>
        <v>04-08-2020</v>
      </c>
      <c r="M2361" t="str">
        <f t="shared" si="972"/>
        <v>04-08-2020</v>
      </c>
      <c r="N2361" t="str">
        <f t="shared" si="954"/>
        <v>001105018356</v>
      </c>
      <c r="O2361" t="str">
        <f t="shared" si="955"/>
        <v>MYR</v>
      </c>
      <c r="P2361" t="str">
        <f t="shared" si="973"/>
        <v>NIL</v>
      </c>
      <c r="Q2361" t="str">
        <f t="shared" si="973"/>
        <v>NIL</v>
      </c>
      <c r="R2361" t="str">
        <f t="shared" si="956"/>
        <v>Accepted</v>
      </c>
      <c r="S2361" t="str">
        <f t="shared" si="957"/>
        <v>Approved</v>
      </c>
      <c r="T2361" t="str">
        <f t="shared" si="958"/>
        <v>10.20.8.188</v>
      </c>
      <c r="U2361" t="str">
        <f t="shared" si="959"/>
        <v>AZRAD UMAR BIN SHAARI</v>
      </c>
      <c r="V2361" t="str">
        <f t="shared" si="960"/>
        <v>FARHANA BINTI MUSTAPA</v>
      </c>
      <c r="W2361" t="str">
        <f t="shared" si="961"/>
        <v>04-08-2020</v>
      </c>
      <c r="X2361" t="str">
        <f t="shared" si="962"/>
        <v>RAZIMAH ANSAR AHMAD</v>
      </c>
      <c r="Y2361" t="str">
        <f t="shared" si="963"/>
        <v>04-08-2020</v>
      </c>
      <c r="Z2361" t="str">
        <f>"COS10200804 6793"</f>
        <v>COS10200804 6793</v>
      </c>
    </row>
    <row r="2362" spans="1:26" x14ac:dyDescent="0.25">
      <c r="A2362" t="str">
        <f t="shared" si="974"/>
        <v>04-08-2020 01:04:24</v>
      </c>
      <c r="B2362" t="str">
        <f>"0000808588"</f>
        <v>0000808588</v>
      </c>
      <c r="C2362" t="str">
        <f t="shared" si="975"/>
        <v>0000808396</v>
      </c>
      <c r="D2362" t="str">
        <f t="shared" si="951"/>
        <v>73185</v>
      </c>
      <c r="E2362" t="str">
        <f t="shared" si="952"/>
        <v>KFH-OPERATIONS DEPARTMENT</v>
      </c>
      <c r="F2362" t="str">
        <f t="shared" si="953"/>
        <v>IBG</v>
      </c>
      <c r="G2362" t="str">
        <f t="shared" si="966"/>
        <v>Refund COSHARE 10</v>
      </c>
      <c r="H2362" s="2">
        <v>109.15</v>
      </c>
      <c r="I2362" t="str">
        <f>"NURUL HAIDA BINTI HAMID"</f>
        <v>NURUL HAIDA BINTI HAMID</v>
      </c>
      <c r="J2362" t="str">
        <f t="shared" si="967"/>
        <v>MAYBANK / MAYBANK ISLAMIC</v>
      </c>
      <c r="K2362" t="str">
        <f>"155015116109"</f>
        <v>155015116109</v>
      </c>
      <c r="L2362" t="str">
        <f t="shared" si="972"/>
        <v>04-08-2020</v>
      </c>
      <c r="M2362" t="str">
        <f t="shared" si="972"/>
        <v>04-08-2020</v>
      </c>
      <c r="N2362" t="str">
        <f t="shared" si="954"/>
        <v>001105018356</v>
      </c>
      <c r="O2362" t="str">
        <f t="shared" si="955"/>
        <v>MYR</v>
      </c>
      <c r="P2362" t="str">
        <f t="shared" si="973"/>
        <v>NIL</v>
      </c>
      <c r="Q2362" t="str">
        <f t="shared" si="973"/>
        <v>NIL</v>
      </c>
      <c r="R2362" t="str">
        <f t="shared" si="956"/>
        <v>Accepted</v>
      </c>
      <c r="S2362" t="str">
        <f t="shared" si="957"/>
        <v>Approved</v>
      </c>
      <c r="T2362" t="str">
        <f t="shared" si="958"/>
        <v>10.20.8.188</v>
      </c>
      <c r="U2362" t="str">
        <f t="shared" si="959"/>
        <v>AZRAD UMAR BIN SHAARI</v>
      </c>
      <c r="V2362" t="str">
        <f t="shared" si="960"/>
        <v>FARHANA BINTI MUSTAPA</v>
      </c>
      <c r="W2362" t="str">
        <f t="shared" si="961"/>
        <v>04-08-2020</v>
      </c>
      <c r="X2362" t="str">
        <f t="shared" si="962"/>
        <v>RAZIMAH ANSAR AHMAD</v>
      </c>
      <c r="Y2362" t="str">
        <f t="shared" si="963"/>
        <v>04-08-2020</v>
      </c>
      <c r="Z2362" t="str">
        <f>"COS10200804 6792"</f>
        <v>COS10200804 6792</v>
      </c>
    </row>
    <row r="2363" spans="1:26" x14ac:dyDescent="0.25">
      <c r="A2363" t="str">
        <f t="shared" si="974"/>
        <v>04-08-2020 01:04:24</v>
      </c>
      <c r="B2363" t="str">
        <f>"0000808587"</f>
        <v>0000808587</v>
      </c>
      <c r="C2363" t="str">
        <f t="shared" si="975"/>
        <v>0000808396</v>
      </c>
      <c r="D2363" t="str">
        <f t="shared" si="951"/>
        <v>73185</v>
      </c>
      <c r="E2363" t="str">
        <f t="shared" si="952"/>
        <v>KFH-OPERATIONS DEPARTMENT</v>
      </c>
      <c r="F2363" t="str">
        <f t="shared" si="953"/>
        <v>IBG</v>
      </c>
      <c r="G2363" t="str">
        <f t="shared" si="966"/>
        <v>Refund COSHARE 10</v>
      </c>
      <c r="H2363" s="2">
        <v>92.35</v>
      </c>
      <c r="I2363" t="str">
        <f>"NURUL HAIDA BINTI HAMID"</f>
        <v>NURUL HAIDA BINTI HAMID</v>
      </c>
      <c r="J2363" t="str">
        <f t="shared" si="967"/>
        <v>MAYBANK / MAYBANK ISLAMIC</v>
      </c>
      <c r="K2363" t="str">
        <f>"155015116109"</f>
        <v>155015116109</v>
      </c>
      <c r="L2363" t="str">
        <f t="shared" si="972"/>
        <v>04-08-2020</v>
      </c>
      <c r="M2363" t="str">
        <f t="shared" si="972"/>
        <v>04-08-2020</v>
      </c>
      <c r="N2363" t="str">
        <f t="shared" si="954"/>
        <v>001105018356</v>
      </c>
      <c r="O2363" t="str">
        <f t="shared" si="955"/>
        <v>MYR</v>
      </c>
      <c r="P2363" t="str">
        <f t="shared" si="973"/>
        <v>NIL</v>
      </c>
      <c r="Q2363" t="str">
        <f t="shared" si="973"/>
        <v>NIL</v>
      </c>
      <c r="R2363" t="str">
        <f t="shared" si="956"/>
        <v>Accepted</v>
      </c>
      <c r="S2363" t="str">
        <f t="shared" si="957"/>
        <v>Approved</v>
      </c>
      <c r="T2363" t="str">
        <f t="shared" si="958"/>
        <v>10.20.8.188</v>
      </c>
      <c r="U2363" t="str">
        <f t="shared" si="959"/>
        <v>AZRAD UMAR BIN SHAARI</v>
      </c>
      <c r="V2363" t="str">
        <f t="shared" si="960"/>
        <v>FARHANA BINTI MUSTAPA</v>
      </c>
      <c r="W2363" t="str">
        <f t="shared" si="961"/>
        <v>04-08-2020</v>
      </c>
      <c r="X2363" t="str">
        <f t="shared" si="962"/>
        <v>RAZIMAH ANSAR AHMAD</v>
      </c>
      <c r="Y2363" t="str">
        <f t="shared" si="963"/>
        <v>04-08-2020</v>
      </c>
      <c r="Z2363" t="str">
        <f>"COS10200804 6791"</f>
        <v>COS10200804 6791</v>
      </c>
    </row>
    <row r="2364" spans="1:26" x14ac:dyDescent="0.25">
      <c r="A2364" t="str">
        <f t="shared" si="974"/>
        <v>04-08-2020 01:04:24</v>
      </c>
      <c r="B2364" t="str">
        <f>"0000808586"</f>
        <v>0000808586</v>
      </c>
      <c r="C2364" t="str">
        <f t="shared" si="975"/>
        <v>0000808396</v>
      </c>
      <c r="D2364" t="str">
        <f t="shared" si="951"/>
        <v>73185</v>
      </c>
      <c r="E2364" t="str">
        <f t="shared" si="952"/>
        <v>KFH-OPERATIONS DEPARTMENT</v>
      </c>
      <c r="F2364" t="str">
        <f t="shared" si="953"/>
        <v>IBG</v>
      </c>
      <c r="G2364" t="str">
        <f t="shared" si="966"/>
        <v>Refund COSHARE 10</v>
      </c>
      <c r="H2364" s="2">
        <v>589.4</v>
      </c>
      <c r="I2364" t="str">
        <f>"NURUL HAFIDZ BIN MOHD DERUS"</f>
        <v>NURUL HAFIDZ BIN MOHD DERUS</v>
      </c>
      <c r="J2364" t="str">
        <f t="shared" si="967"/>
        <v>MAYBANK / MAYBANK ISLAMIC</v>
      </c>
      <c r="K2364" t="str">
        <f>"112157010005"</f>
        <v>112157010005</v>
      </c>
      <c r="L2364" t="str">
        <f t="shared" si="972"/>
        <v>04-08-2020</v>
      </c>
      <c r="M2364" t="str">
        <f t="shared" si="972"/>
        <v>04-08-2020</v>
      </c>
      <c r="N2364" t="str">
        <f t="shared" si="954"/>
        <v>001105018356</v>
      </c>
      <c r="O2364" t="str">
        <f t="shared" si="955"/>
        <v>MYR</v>
      </c>
      <c r="P2364" t="str">
        <f t="shared" si="973"/>
        <v>NIL</v>
      </c>
      <c r="Q2364" t="str">
        <f t="shared" si="973"/>
        <v>NIL</v>
      </c>
      <c r="R2364" t="str">
        <f t="shared" si="956"/>
        <v>Accepted</v>
      </c>
      <c r="S2364" t="str">
        <f t="shared" si="957"/>
        <v>Approved</v>
      </c>
      <c r="T2364" t="str">
        <f t="shared" si="958"/>
        <v>10.20.8.188</v>
      </c>
      <c r="U2364" t="str">
        <f t="shared" si="959"/>
        <v>AZRAD UMAR BIN SHAARI</v>
      </c>
      <c r="V2364" t="str">
        <f t="shared" si="960"/>
        <v>FARHANA BINTI MUSTAPA</v>
      </c>
      <c r="W2364" t="str">
        <f t="shared" si="961"/>
        <v>04-08-2020</v>
      </c>
      <c r="X2364" t="str">
        <f t="shared" si="962"/>
        <v>RAZIMAH ANSAR AHMAD</v>
      </c>
      <c r="Y2364" t="str">
        <f t="shared" si="963"/>
        <v>04-08-2020</v>
      </c>
      <c r="Z2364" t="str">
        <f>"COS10200804 6790"</f>
        <v>COS10200804 6790</v>
      </c>
    </row>
    <row r="2365" spans="1:26" x14ac:dyDescent="0.25">
      <c r="A2365" t="str">
        <f t="shared" si="974"/>
        <v>04-08-2020 01:04:24</v>
      </c>
      <c r="B2365" t="str">
        <f>"0000808585"</f>
        <v>0000808585</v>
      </c>
      <c r="C2365" t="str">
        <f t="shared" si="975"/>
        <v>0000808396</v>
      </c>
      <c r="D2365" t="str">
        <f t="shared" si="951"/>
        <v>73185</v>
      </c>
      <c r="E2365" t="str">
        <f t="shared" si="952"/>
        <v>KFH-OPERATIONS DEPARTMENT</v>
      </c>
      <c r="F2365" t="str">
        <f t="shared" si="953"/>
        <v>IBG</v>
      </c>
      <c r="G2365" t="str">
        <f t="shared" si="966"/>
        <v>Refund COSHARE 10</v>
      </c>
      <c r="H2365" s="2">
        <v>587.65</v>
      </c>
      <c r="I2365" t="str">
        <f>"NURUL FAUZIYAH BINTI MOHD CHOLIL RAHMAN"</f>
        <v>NURUL FAUZIYAH BINTI MOHD CHOLIL RAHMAN</v>
      </c>
      <c r="J2365" t="str">
        <f t="shared" si="967"/>
        <v>MAYBANK / MAYBANK ISLAMIC</v>
      </c>
      <c r="K2365" t="str">
        <f>"160036939005"</f>
        <v>160036939005</v>
      </c>
      <c r="L2365" t="str">
        <f t="shared" si="972"/>
        <v>04-08-2020</v>
      </c>
      <c r="M2365" t="str">
        <f t="shared" si="972"/>
        <v>04-08-2020</v>
      </c>
      <c r="N2365" t="str">
        <f t="shared" si="954"/>
        <v>001105018356</v>
      </c>
      <c r="O2365" t="str">
        <f t="shared" si="955"/>
        <v>MYR</v>
      </c>
      <c r="P2365" t="str">
        <f t="shared" si="973"/>
        <v>NIL</v>
      </c>
      <c r="Q2365" t="str">
        <f t="shared" si="973"/>
        <v>NIL</v>
      </c>
      <c r="R2365" t="str">
        <f t="shared" si="956"/>
        <v>Accepted</v>
      </c>
      <c r="S2365" t="str">
        <f t="shared" si="957"/>
        <v>Approved</v>
      </c>
      <c r="T2365" t="str">
        <f t="shared" si="958"/>
        <v>10.20.8.188</v>
      </c>
      <c r="U2365" t="str">
        <f t="shared" si="959"/>
        <v>AZRAD UMAR BIN SHAARI</v>
      </c>
      <c r="V2365" t="str">
        <f t="shared" si="960"/>
        <v>FARHANA BINTI MUSTAPA</v>
      </c>
      <c r="W2365" t="str">
        <f t="shared" si="961"/>
        <v>04-08-2020</v>
      </c>
      <c r="X2365" t="str">
        <f t="shared" si="962"/>
        <v>RAZIMAH ANSAR AHMAD</v>
      </c>
      <c r="Y2365" t="str">
        <f t="shared" si="963"/>
        <v>04-08-2020</v>
      </c>
      <c r="Z2365" t="str">
        <f>"COS10200804 6789"</f>
        <v>COS10200804 6789</v>
      </c>
    </row>
    <row r="2366" spans="1:26" x14ac:dyDescent="0.25">
      <c r="A2366" t="str">
        <f t="shared" si="974"/>
        <v>04-08-2020 01:04:24</v>
      </c>
      <c r="B2366" t="str">
        <f>"0000808584"</f>
        <v>0000808584</v>
      </c>
      <c r="C2366" t="str">
        <f t="shared" si="975"/>
        <v>0000808396</v>
      </c>
      <c r="D2366" t="str">
        <f t="shared" si="951"/>
        <v>73185</v>
      </c>
      <c r="E2366" t="str">
        <f t="shared" si="952"/>
        <v>KFH-OPERATIONS DEPARTMENT</v>
      </c>
      <c r="F2366" t="str">
        <f t="shared" si="953"/>
        <v>IBG</v>
      </c>
      <c r="G2366" t="str">
        <f t="shared" si="966"/>
        <v>Refund COSHARE 10</v>
      </c>
      <c r="H2366" s="2">
        <v>304</v>
      </c>
      <c r="I2366" t="str">
        <f>"NURUL FATHIN SHAHERA BINTI MUHAMMAD FADZIL"</f>
        <v>NURUL FATHIN SHAHERA BINTI MUHAMMAD FADZIL</v>
      </c>
      <c r="J2366" t="str">
        <f t="shared" si="967"/>
        <v>MAYBANK / MAYBANK ISLAMIC</v>
      </c>
      <c r="K2366" t="str">
        <f>"151061399651"</f>
        <v>151061399651</v>
      </c>
      <c r="L2366" t="str">
        <f t="shared" si="972"/>
        <v>04-08-2020</v>
      </c>
      <c r="M2366" t="str">
        <f t="shared" si="972"/>
        <v>04-08-2020</v>
      </c>
      <c r="N2366" t="str">
        <f t="shared" si="954"/>
        <v>001105018356</v>
      </c>
      <c r="O2366" t="str">
        <f t="shared" si="955"/>
        <v>MYR</v>
      </c>
      <c r="P2366" t="str">
        <f t="shared" si="973"/>
        <v>NIL</v>
      </c>
      <c r="Q2366" t="str">
        <f t="shared" si="973"/>
        <v>NIL</v>
      </c>
      <c r="R2366" t="str">
        <f t="shared" si="956"/>
        <v>Accepted</v>
      </c>
      <c r="S2366" t="str">
        <f t="shared" si="957"/>
        <v>Approved</v>
      </c>
      <c r="T2366" t="str">
        <f t="shared" si="958"/>
        <v>10.20.8.188</v>
      </c>
      <c r="U2366" t="str">
        <f t="shared" si="959"/>
        <v>AZRAD UMAR BIN SHAARI</v>
      </c>
      <c r="V2366" t="str">
        <f t="shared" si="960"/>
        <v>FARHANA BINTI MUSTAPA</v>
      </c>
      <c r="W2366" t="str">
        <f t="shared" si="961"/>
        <v>04-08-2020</v>
      </c>
      <c r="X2366" t="str">
        <f t="shared" si="962"/>
        <v>RAZIMAH ANSAR AHMAD</v>
      </c>
      <c r="Y2366" t="str">
        <f t="shared" si="963"/>
        <v>04-08-2020</v>
      </c>
      <c r="Z2366" t="str">
        <f>"COS10200804 6788"</f>
        <v>COS10200804 6788</v>
      </c>
    </row>
    <row r="2367" spans="1:26" x14ac:dyDescent="0.25">
      <c r="A2367" t="str">
        <f t="shared" si="974"/>
        <v>04-08-2020 01:04:24</v>
      </c>
      <c r="B2367" t="str">
        <f>"0000808583"</f>
        <v>0000808583</v>
      </c>
      <c r="C2367" t="str">
        <f t="shared" si="975"/>
        <v>0000808396</v>
      </c>
      <c r="D2367" t="str">
        <f t="shared" si="951"/>
        <v>73185</v>
      </c>
      <c r="E2367" t="str">
        <f t="shared" si="952"/>
        <v>KFH-OPERATIONS DEPARTMENT</v>
      </c>
      <c r="F2367" t="str">
        <f t="shared" si="953"/>
        <v>IBG</v>
      </c>
      <c r="G2367" t="str">
        <f t="shared" si="966"/>
        <v>Refund COSHARE 10</v>
      </c>
      <c r="H2367" s="2">
        <v>528.9</v>
      </c>
      <c r="I2367" t="str">
        <f>"NURUL FARIHAN BINTI AREFIN"</f>
        <v>NURUL FARIHAN BINTI AREFIN</v>
      </c>
      <c r="J2367" t="str">
        <f t="shared" si="967"/>
        <v>MAYBANK / MAYBANK ISLAMIC</v>
      </c>
      <c r="K2367" t="str">
        <f>"153029155591"</f>
        <v>153029155591</v>
      </c>
      <c r="L2367" t="str">
        <f t="shared" ref="L2367:M2386" si="976">"04-08-2020"</f>
        <v>04-08-2020</v>
      </c>
      <c r="M2367" t="str">
        <f t="shared" si="976"/>
        <v>04-08-2020</v>
      </c>
      <c r="N2367" t="str">
        <f t="shared" si="954"/>
        <v>001105018356</v>
      </c>
      <c r="O2367" t="str">
        <f t="shared" si="955"/>
        <v>MYR</v>
      </c>
      <c r="P2367" t="str">
        <f t="shared" ref="P2367:Q2386" si="977">"NIL"</f>
        <v>NIL</v>
      </c>
      <c r="Q2367" t="str">
        <f t="shared" si="977"/>
        <v>NIL</v>
      </c>
      <c r="R2367" t="str">
        <f t="shared" si="956"/>
        <v>Accepted</v>
      </c>
      <c r="S2367" t="str">
        <f t="shared" si="957"/>
        <v>Approved</v>
      </c>
      <c r="T2367" t="str">
        <f t="shared" si="958"/>
        <v>10.20.8.188</v>
      </c>
      <c r="U2367" t="str">
        <f t="shared" si="959"/>
        <v>AZRAD UMAR BIN SHAARI</v>
      </c>
      <c r="V2367" t="str">
        <f t="shared" si="960"/>
        <v>FARHANA BINTI MUSTAPA</v>
      </c>
      <c r="W2367" t="str">
        <f t="shared" si="961"/>
        <v>04-08-2020</v>
      </c>
      <c r="X2367" t="str">
        <f t="shared" si="962"/>
        <v>RAZIMAH ANSAR AHMAD</v>
      </c>
      <c r="Y2367" t="str">
        <f t="shared" si="963"/>
        <v>04-08-2020</v>
      </c>
      <c r="Z2367" t="str">
        <f>"COS10200804 6787"</f>
        <v>COS10200804 6787</v>
      </c>
    </row>
    <row r="2368" spans="1:26" x14ac:dyDescent="0.25">
      <c r="A2368" t="str">
        <f t="shared" si="974"/>
        <v>04-08-2020 01:04:24</v>
      </c>
      <c r="B2368" t="str">
        <f>"0000808582"</f>
        <v>0000808582</v>
      </c>
      <c r="C2368" t="str">
        <f t="shared" si="975"/>
        <v>0000808396</v>
      </c>
      <c r="D2368" t="str">
        <f t="shared" si="951"/>
        <v>73185</v>
      </c>
      <c r="E2368" t="str">
        <f t="shared" si="952"/>
        <v>KFH-OPERATIONS DEPARTMENT</v>
      </c>
      <c r="F2368" t="str">
        <f t="shared" si="953"/>
        <v>IBG</v>
      </c>
      <c r="G2368" t="str">
        <f t="shared" si="966"/>
        <v>Refund COSHARE 10</v>
      </c>
      <c r="H2368" s="2">
        <v>713.6</v>
      </c>
      <c r="I2368" t="str">
        <f>"NURUL EZNEY MARZILA BINTI JAHIDDIN"</f>
        <v>NURUL EZNEY MARZILA BINTI JAHIDDIN</v>
      </c>
      <c r="J2368" t="str">
        <f t="shared" si="967"/>
        <v>MAYBANK / MAYBANK ISLAMIC</v>
      </c>
      <c r="K2368" t="str">
        <f>"162245657765"</f>
        <v>162245657765</v>
      </c>
      <c r="L2368" t="str">
        <f t="shared" si="976"/>
        <v>04-08-2020</v>
      </c>
      <c r="M2368" t="str">
        <f t="shared" si="976"/>
        <v>04-08-2020</v>
      </c>
      <c r="N2368" t="str">
        <f t="shared" si="954"/>
        <v>001105018356</v>
      </c>
      <c r="O2368" t="str">
        <f t="shared" si="955"/>
        <v>MYR</v>
      </c>
      <c r="P2368" t="str">
        <f t="shared" si="977"/>
        <v>NIL</v>
      </c>
      <c r="Q2368" t="str">
        <f t="shared" si="977"/>
        <v>NIL</v>
      </c>
      <c r="R2368" t="str">
        <f t="shared" si="956"/>
        <v>Accepted</v>
      </c>
      <c r="S2368" t="str">
        <f t="shared" si="957"/>
        <v>Approved</v>
      </c>
      <c r="T2368" t="str">
        <f t="shared" si="958"/>
        <v>10.20.8.188</v>
      </c>
      <c r="U2368" t="str">
        <f t="shared" si="959"/>
        <v>AZRAD UMAR BIN SHAARI</v>
      </c>
      <c r="V2368" t="str">
        <f t="shared" si="960"/>
        <v>FARHANA BINTI MUSTAPA</v>
      </c>
      <c r="W2368" t="str">
        <f t="shared" si="961"/>
        <v>04-08-2020</v>
      </c>
      <c r="X2368" t="str">
        <f t="shared" si="962"/>
        <v>RAZIMAH ANSAR AHMAD</v>
      </c>
      <c r="Y2368" t="str">
        <f t="shared" si="963"/>
        <v>04-08-2020</v>
      </c>
      <c r="Z2368" t="str">
        <f>"COS10200804 6786"</f>
        <v>COS10200804 6786</v>
      </c>
    </row>
    <row r="2369" spans="1:26" x14ac:dyDescent="0.25">
      <c r="A2369" t="str">
        <f t="shared" si="974"/>
        <v>04-08-2020 01:04:24</v>
      </c>
      <c r="B2369" t="str">
        <f>"0000808581"</f>
        <v>0000808581</v>
      </c>
      <c r="C2369" t="str">
        <f t="shared" si="975"/>
        <v>0000808396</v>
      </c>
      <c r="D2369" t="str">
        <f t="shared" si="951"/>
        <v>73185</v>
      </c>
      <c r="E2369" t="str">
        <f t="shared" si="952"/>
        <v>KFH-OPERATIONS DEPARTMENT</v>
      </c>
      <c r="F2369" t="str">
        <f t="shared" si="953"/>
        <v>IBG</v>
      </c>
      <c r="G2369" t="str">
        <f t="shared" si="966"/>
        <v>Refund COSHARE 10</v>
      </c>
      <c r="H2369" s="2">
        <v>419.75</v>
      </c>
      <c r="I2369" t="str">
        <f>"NURUL DAYANA BINTI NORDIN"</f>
        <v>NURUL DAYANA BINTI NORDIN</v>
      </c>
      <c r="J2369" t="str">
        <f t="shared" si="967"/>
        <v>MAYBANK / MAYBANK ISLAMIC</v>
      </c>
      <c r="K2369" t="str">
        <f>"154053336471"</f>
        <v>154053336471</v>
      </c>
      <c r="L2369" t="str">
        <f t="shared" si="976"/>
        <v>04-08-2020</v>
      </c>
      <c r="M2369" t="str">
        <f t="shared" si="976"/>
        <v>04-08-2020</v>
      </c>
      <c r="N2369" t="str">
        <f t="shared" si="954"/>
        <v>001105018356</v>
      </c>
      <c r="O2369" t="str">
        <f t="shared" si="955"/>
        <v>MYR</v>
      </c>
      <c r="P2369" t="str">
        <f t="shared" si="977"/>
        <v>NIL</v>
      </c>
      <c r="Q2369" t="str">
        <f t="shared" si="977"/>
        <v>NIL</v>
      </c>
      <c r="R2369" t="str">
        <f t="shared" si="956"/>
        <v>Accepted</v>
      </c>
      <c r="S2369" t="str">
        <f t="shared" si="957"/>
        <v>Approved</v>
      </c>
      <c r="T2369" t="str">
        <f t="shared" si="958"/>
        <v>10.20.8.188</v>
      </c>
      <c r="U2369" t="str">
        <f t="shared" si="959"/>
        <v>AZRAD UMAR BIN SHAARI</v>
      </c>
      <c r="V2369" t="str">
        <f t="shared" si="960"/>
        <v>FARHANA BINTI MUSTAPA</v>
      </c>
      <c r="W2369" t="str">
        <f t="shared" si="961"/>
        <v>04-08-2020</v>
      </c>
      <c r="X2369" t="str">
        <f t="shared" si="962"/>
        <v>RAZIMAH ANSAR AHMAD</v>
      </c>
      <c r="Y2369" t="str">
        <f t="shared" si="963"/>
        <v>04-08-2020</v>
      </c>
      <c r="Z2369" t="str">
        <f>"COS10200804 6785"</f>
        <v>COS10200804 6785</v>
      </c>
    </row>
    <row r="2370" spans="1:26" x14ac:dyDescent="0.25">
      <c r="A2370" t="str">
        <f t="shared" si="974"/>
        <v>04-08-2020 01:04:24</v>
      </c>
      <c r="B2370" t="str">
        <f>"0000808580"</f>
        <v>0000808580</v>
      </c>
      <c r="C2370" t="str">
        <f t="shared" si="975"/>
        <v>0000808396</v>
      </c>
      <c r="D2370" t="str">
        <f t="shared" si="951"/>
        <v>73185</v>
      </c>
      <c r="E2370" t="str">
        <f t="shared" si="952"/>
        <v>KFH-OPERATIONS DEPARTMENT</v>
      </c>
      <c r="F2370" t="str">
        <f t="shared" si="953"/>
        <v>IBG</v>
      </c>
      <c r="G2370" t="str">
        <f t="shared" si="966"/>
        <v>Refund COSHARE 10</v>
      </c>
      <c r="H2370" s="2">
        <v>243</v>
      </c>
      <c r="I2370" t="str">
        <f>"NURUL AZRI BIN MAT REJAB  MD REJAB"</f>
        <v>NURUL AZRI BIN MAT REJAB  MD REJAB</v>
      </c>
      <c r="J2370" t="str">
        <f t="shared" si="967"/>
        <v>MAYBANK / MAYBANK ISLAMIC</v>
      </c>
      <c r="K2370" t="str">
        <f>"102055328214"</f>
        <v>102055328214</v>
      </c>
      <c r="L2370" t="str">
        <f t="shared" si="976"/>
        <v>04-08-2020</v>
      </c>
      <c r="M2370" t="str">
        <f t="shared" si="976"/>
        <v>04-08-2020</v>
      </c>
      <c r="N2370" t="str">
        <f t="shared" si="954"/>
        <v>001105018356</v>
      </c>
      <c r="O2370" t="str">
        <f t="shared" si="955"/>
        <v>MYR</v>
      </c>
      <c r="P2370" t="str">
        <f t="shared" si="977"/>
        <v>NIL</v>
      </c>
      <c r="Q2370" t="str">
        <f t="shared" si="977"/>
        <v>NIL</v>
      </c>
      <c r="R2370" t="str">
        <f t="shared" si="956"/>
        <v>Accepted</v>
      </c>
      <c r="S2370" t="str">
        <f t="shared" si="957"/>
        <v>Approved</v>
      </c>
      <c r="T2370" t="str">
        <f t="shared" si="958"/>
        <v>10.20.8.188</v>
      </c>
      <c r="U2370" t="str">
        <f t="shared" si="959"/>
        <v>AZRAD UMAR BIN SHAARI</v>
      </c>
      <c r="V2370" t="str">
        <f t="shared" si="960"/>
        <v>FARHANA BINTI MUSTAPA</v>
      </c>
      <c r="W2370" t="str">
        <f t="shared" si="961"/>
        <v>04-08-2020</v>
      </c>
      <c r="X2370" t="str">
        <f t="shared" si="962"/>
        <v>RAZIMAH ANSAR AHMAD</v>
      </c>
      <c r="Y2370" t="str">
        <f t="shared" si="963"/>
        <v>04-08-2020</v>
      </c>
      <c r="Z2370" t="str">
        <f>"COS10200804 6784"</f>
        <v>COS10200804 6784</v>
      </c>
    </row>
    <row r="2371" spans="1:26" x14ac:dyDescent="0.25">
      <c r="A2371" t="str">
        <f t="shared" si="974"/>
        <v>04-08-2020 01:04:24</v>
      </c>
      <c r="B2371" t="str">
        <f>"0000808579"</f>
        <v>0000808579</v>
      </c>
      <c r="C2371" t="str">
        <f t="shared" si="975"/>
        <v>0000808396</v>
      </c>
      <c r="D2371" t="str">
        <f t="shared" si="951"/>
        <v>73185</v>
      </c>
      <c r="E2371" t="str">
        <f t="shared" si="952"/>
        <v>KFH-OPERATIONS DEPARTMENT</v>
      </c>
      <c r="F2371" t="str">
        <f t="shared" si="953"/>
        <v>IBG</v>
      </c>
      <c r="G2371" t="str">
        <f t="shared" si="966"/>
        <v>Refund COSHARE 10</v>
      </c>
      <c r="H2371" s="2">
        <v>380</v>
      </c>
      <c r="I2371" t="str">
        <f>"NURUL AZIRAH BINTI KAMARUDDIN"</f>
        <v>NURUL AZIRAH BINTI KAMARUDDIN</v>
      </c>
      <c r="J2371" t="str">
        <f t="shared" si="967"/>
        <v>MAYBANK / MAYBANK ISLAMIC</v>
      </c>
      <c r="K2371" t="str">
        <f>"114209584998"</f>
        <v>114209584998</v>
      </c>
      <c r="L2371" t="str">
        <f t="shared" si="976"/>
        <v>04-08-2020</v>
      </c>
      <c r="M2371" t="str">
        <f t="shared" si="976"/>
        <v>04-08-2020</v>
      </c>
      <c r="N2371" t="str">
        <f t="shared" si="954"/>
        <v>001105018356</v>
      </c>
      <c r="O2371" t="str">
        <f t="shared" si="955"/>
        <v>MYR</v>
      </c>
      <c r="P2371" t="str">
        <f t="shared" si="977"/>
        <v>NIL</v>
      </c>
      <c r="Q2371" t="str">
        <f t="shared" si="977"/>
        <v>NIL</v>
      </c>
      <c r="R2371" t="str">
        <f t="shared" si="956"/>
        <v>Accepted</v>
      </c>
      <c r="S2371" t="str">
        <f t="shared" si="957"/>
        <v>Approved</v>
      </c>
      <c r="T2371" t="str">
        <f t="shared" si="958"/>
        <v>10.20.8.188</v>
      </c>
      <c r="U2371" t="str">
        <f t="shared" si="959"/>
        <v>AZRAD UMAR BIN SHAARI</v>
      </c>
      <c r="V2371" t="str">
        <f t="shared" si="960"/>
        <v>FARHANA BINTI MUSTAPA</v>
      </c>
      <c r="W2371" t="str">
        <f t="shared" si="961"/>
        <v>04-08-2020</v>
      </c>
      <c r="X2371" t="str">
        <f t="shared" si="962"/>
        <v>RAZIMAH ANSAR AHMAD</v>
      </c>
      <c r="Y2371" t="str">
        <f t="shared" si="963"/>
        <v>04-08-2020</v>
      </c>
      <c r="Z2371" t="str">
        <f>"COS10200804 6783"</f>
        <v>COS10200804 6783</v>
      </c>
    </row>
    <row r="2372" spans="1:26" x14ac:dyDescent="0.25">
      <c r="A2372" t="str">
        <f t="shared" si="974"/>
        <v>04-08-2020 01:04:24</v>
      </c>
      <c r="B2372" t="str">
        <f>"0000808578"</f>
        <v>0000808578</v>
      </c>
      <c r="C2372" t="str">
        <f t="shared" si="975"/>
        <v>0000808396</v>
      </c>
      <c r="D2372" t="str">
        <f t="shared" si="951"/>
        <v>73185</v>
      </c>
      <c r="E2372" t="str">
        <f t="shared" si="952"/>
        <v>KFH-OPERATIONS DEPARTMENT</v>
      </c>
      <c r="F2372" t="str">
        <f t="shared" si="953"/>
        <v>IBG</v>
      </c>
      <c r="G2372" t="str">
        <f t="shared" si="966"/>
        <v>Refund COSHARE 10</v>
      </c>
      <c r="H2372" s="2">
        <v>266</v>
      </c>
      <c r="I2372" t="str">
        <f>"NURUL AZAWIYAH BINTI AZIZ"</f>
        <v>NURUL AZAWIYAH BINTI AZIZ</v>
      </c>
      <c r="J2372" t="str">
        <f t="shared" si="967"/>
        <v>MAYBANK / MAYBANK ISLAMIC</v>
      </c>
      <c r="K2372" t="str">
        <f>"114384010459"</f>
        <v>114384010459</v>
      </c>
      <c r="L2372" t="str">
        <f t="shared" si="976"/>
        <v>04-08-2020</v>
      </c>
      <c r="M2372" t="str">
        <f t="shared" si="976"/>
        <v>04-08-2020</v>
      </c>
      <c r="N2372" t="str">
        <f t="shared" si="954"/>
        <v>001105018356</v>
      </c>
      <c r="O2372" t="str">
        <f t="shared" si="955"/>
        <v>MYR</v>
      </c>
      <c r="P2372" t="str">
        <f t="shared" si="977"/>
        <v>NIL</v>
      </c>
      <c r="Q2372" t="str">
        <f t="shared" si="977"/>
        <v>NIL</v>
      </c>
      <c r="R2372" t="str">
        <f t="shared" si="956"/>
        <v>Accepted</v>
      </c>
      <c r="S2372" t="str">
        <f t="shared" si="957"/>
        <v>Approved</v>
      </c>
      <c r="T2372" t="str">
        <f t="shared" si="958"/>
        <v>10.20.8.188</v>
      </c>
      <c r="U2372" t="str">
        <f t="shared" si="959"/>
        <v>AZRAD UMAR BIN SHAARI</v>
      </c>
      <c r="V2372" t="str">
        <f t="shared" si="960"/>
        <v>FARHANA BINTI MUSTAPA</v>
      </c>
      <c r="W2372" t="str">
        <f t="shared" si="961"/>
        <v>04-08-2020</v>
      </c>
      <c r="X2372" t="str">
        <f t="shared" si="962"/>
        <v>RAZIMAH ANSAR AHMAD</v>
      </c>
      <c r="Y2372" t="str">
        <f t="shared" si="963"/>
        <v>04-08-2020</v>
      </c>
      <c r="Z2372" t="str">
        <f>"COS10200804 6782"</f>
        <v>COS10200804 6782</v>
      </c>
    </row>
    <row r="2373" spans="1:26" x14ac:dyDescent="0.25">
      <c r="A2373" t="str">
        <f t="shared" si="974"/>
        <v>04-08-2020 01:04:24</v>
      </c>
      <c r="B2373" t="str">
        <f>"0000808577"</f>
        <v>0000808577</v>
      </c>
      <c r="C2373" t="str">
        <f t="shared" si="975"/>
        <v>0000808396</v>
      </c>
      <c r="D2373" t="str">
        <f t="shared" si="951"/>
        <v>73185</v>
      </c>
      <c r="E2373" t="str">
        <f t="shared" si="952"/>
        <v>KFH-OPERATIONS DEPARTMENT</v>
      </c>
      <c r="F2373" t="str">
        <f t="shared" si="953"/>
        <v>IBG</v>
      </c>
      <c r="G2373" t="str">
        <f t="shared" si="966"/>
        <v>Refund COSHARE 10</v>
      </c>
      <c r="H2373" s="2">
        <v>152</v>
      </c>
      <c r="I2373" t="str">
        <f>"NURUL AZAMIAH BINTI UMAR"</f>
        <v>NURUL AZAMIAH BINTI UMAR</v>
      </c>
      <c r="J2373" t="str">
        <f t="shared" si="967"/>
        <v>MAYBANK / MAYBANK ISLAMIC</v>
      </c>
      <c r="K2373" t="str">
        <f>"162405003828"</f>
        <v>162405003828</v>
      </c>
      <c r="L2373" t="str">
        <f t="shared" si="976"/>
        <v>04-08-2020</v>
      </c>
      <c r="M2373" t="str">
        <f t="shared" si="976"/>
        <v>04-08-2020</v>
      </c>
      <c r="N2373" t="str">
        <f t="shared" si="954"/>
        <v>001105018356</v>
      </c>
      <c r="O2373" t="str">
        <f t="shared" si="955"/>
        <v>MYR</v>
      </c>
      <c r="P2373" t="str">
        <f t="shared" si="977"/>
        <v>NIL</v>
      </c>
      <c r="Q2373" t="str">
        <f t="shared" si="977"/>
        <v>NIL</v>
      </c>
      <c r="R2373" t="str">
        <f t="shared" si="956"/>
        <v>Accepted</v>
      </c>
      <c r="S2373" t="str">
        <f t="shared" si="957"/>
        <v>Approved</v>
      </c>
      <c r="T2373" t="str">
        <f t="shared" si="958"/>
        <v>10.20.8.188</v>
      </c>
      <c r="U2373" t="str">
        <f t="shared" si="959"/>
        <v>AZRAD UMAR BIN SHAARI</v>
      </c>
      <c r="V2373" t="str">
        <f t="shared" si="960"/>
        <v>FARHANA BINTI MUSTAPA</v>
      </c>
      <c r="W2373" t="str">
        <f t="shared" si="961"/>
        <v>04-08-2020</v>
      </c>
      <c r="X2373" t="str">
        <f t="shared" si="962"/>
        <v>RAZIMAH ANSAR AHMAD</v>
      </c>
      <c r="Y2373" t="str">
        <f t="shared" si="963"/>
        <v>04-08-2020</v>
      </c>
      <c r="Z2373" t="str">
        <f>"COS10200804 6781"</f>
        <v>COS10200804 6781</v>
      </c>
    </row>
    <row r="2374" spans="1:26" x14ac:dyDescent="0.25">
      <c r="A2374" t="str">
        <f t="shared" si="974"/>
        <v>04-08-2020 01:04:24</v>
      </c>
      <c r="B2374" t="str">
        <f>"0000808576"</f>
        <v>0000808576</v>
      </c>
      <c r="C2374" t="str">
        <f t="shared" si="975"/>
        <v>0000808396</v>
      </c>
      <c r="D2374" t="str">
        <f t="shared" si="951"/>
        <v>73185</v>
      </c>
      <c r="E2374" t="str">
        <f t="shared" si="952"/>
        <v>KFH-OPERATIONS DEPARTMENT</v>
      </c>
      <c r="F2374" t="str">
        <f t="shared" si="953"/>
        <v>IBG</v>
      </c>
      <c r="G2374" t="str">
        <f t="shared" si="966"/>
        <v>Refund COSHARE 10</v>
      </c>
      <c r="H2374" s="2">
        <v>425</v>
      </c>
      <c r="I2374" t="str">
        <f>"NURUL ASYKIN BINTI MD NOR"</f>
        <v>NURUL ASYKIN BINTI MD NOR</v>
      </c>
      <c r="J2374" t="str">
        <f t="shared" si="967"/>
        <v>MAYBANK / MAYBANK ISLAMIC</v>
      </c>
      <c r="K2374" t="str">
        <f>"152108038564"</f>
        <v>152108038564</v>
      </c>
      <c r="L2374" t="str">
        <f t="shared" si="976"/>
        <v>04-08-2020</v>
      </c>
      <c r="M2374" t="str">
        <f t="shared" si="976"/>
        <v>04-08-2020</v>
      </c>
      <c r="N2374" t="str">
        <f t="shared" si="954"/>
        <v>001105018356</v>
      </c>
      <c r="O2374" t="str">
        <f t="shared" si="955"/>
        <v>MYR</v>
      </c>
      <c r="P2374" t="str">
        <f t="shared" si="977"/>
        <v>NIL</v>
      </c>
      <c r="Q2374" t="str">
        <f t="shared" si="977"/>
        <v>NIL</v>
      </c>
      <c r="R2374" t="str">
        <f t="shared" si="956"/>
        <v>Accepted</v>
      </c>
      <c r="S2374" t="str">
        <f t="shared" si="957"/>
        <v>Approved</v>
      </c>
      <c r="T2374" t="str">
        <f t="shared" si="958"/>
        <v>10.20.8.188</v>
      </c>
      <c r="U2374" t="str">
        <f t="shared" si="959"/>
        <v>AZRAD UMAR BIN SHAARI</v>
      </c>
      <c r="V2374" t="str">
        <f t="shared" si="960"/>
        <v>FARHANA BINTI MUSTAPA</v>
      </c>
      <c r="W2374" t="str">
        <f t="shared" si="961"/>
        <v>04-08-2020</v>
      </c>
      <c r="X2374" t="str">
        <f t="shared" si="962"/>
        <v>RAZIMAH ANSAR AHMAD</v>
      </c>
      <c r="Y2374" t="str">
        <f t="shared" si="963"/>
        <v>04-08-2020</v>
      </c>
      <c r="Z2374" t="str">
        <f>"COS10200804 6780"</f>
        <v>COS10200804 6780</v>
      </c>
    </row>
    <row r="2375" spans="1:26" x14ac:dyDescent="0.25">
      <c r="A2375" t="str">
        <f t="shared" si="974"/>
        <v>04-08-2020 01:04:24</v>
      </c>
      <c r="B2375" t="str">
        <f>"0000808575"</f>
        <v>0000808575</v>
      </c>
      <c r="C2375" t="str">
        <f t="shared" si="975"/>
        <v>0000808396</v>
      </c>
      <c r="D2375" t="str">
        <f t="shared" ref="D2375:D2438" si="978">"73185"</f>
        <v>73185</v>
      </c>
      <c r="E2375" t="str">
        <f t="shared" ref="E2375:E2438" si="979">"KFH-OPERATIONS DEPARTMENT"</f>
        <v>KFH-OPERATIONS DEPARTMENT</v>
      </c>
      <c r="F2375" t="str">
        <f t="shared" ref="F2375:F2438" si="980">"IBG"</f>
        <v>IBG</v>
      </c>
      <c r="G2375" t="str">
        <f t="shared" si="966"/>
        <v>Refund COSHARE 10</v>
      </c>
      <c r="H2375" s="2">
        <v>1326</v>
      </c>
      <c r="I2375" t="str">
        <f>"NURUL ASYIKIN BINTI ABDUL WAHID"</f>
        <v>NURUL ASYIKIN BINTI ABDUL WAHID</v>
      </c>
      <c r="J2375" t="str">
        <f t="shared" si="967"/>
        <v>MAYBANK / MAYBANK ISLAMIC</v>
      </c>
      <c r="K2375" t="str">
        <f>"158088226496"</f>
        <v>158088226496</v>
      </c>
      <c r="L2375" t="str">
        <f t="shared" si="976"/>
        <v>04-08-2020</v>
      </c>
      <c r="M2375" t="str">
        <f t="shared" si="976"/>
        <v>04-08-2020</v>
      </c>
      <c r="N2375" t="str">
        <f t="shared" ref="N2375:N2438" si="981">"001105018356"</f>
        <v>001105018356</v>
      </c>
      <c r="O2375" t="str">
        <f t="shared" ref="O2375:O2438" si="982">"MYR"</f>
        <v>MYR</v>
      </c>
      <c r="P2375" t="str">
        <f t="shared" si="977"/>
        <v>NIL</v>
      </c>
      <c r="Q2375" t="str">
        <f t="shared" si="977"/>
        <v>NIL</v>
      </c>
      <c r="R2375" t="str">
        <f t="shared" ref="R2375:R2438" si="983">"Accepted"</f>
        <v>Accepted</v>
      </c>
      <c r="S2375" t="str">
        <f t="shared" ref="S2375:S2438" si="984">"Approved"</f>
        <v>Approved</v>
      </c>
      <c r="T2375" t="str">
        <f t="shared" ref="T2375:T2438" si="985">"10.20.8.188"</f>
        <v>10.20.8.188</v>
      </c>
      <c r="U2375" t="str">
        <f t="shared" ref="U2375:U2438" si="986">"AZRAD UMAR BIN SHAARI"</f>
        <v>AZRAD UMAR BIN SHAARI</v>
      </c>
      <c r="V2375" t="str">
        <f t="shared" ref="V2375:V2438" si="987">"FARHANA BINTI MUSTAPA"</f>
        <v>FARHANA BINTI MUSTAPA</v>
      </c>
      <c r="W2375" t="str">
        <f t="shared" ref="W2375:W2438" si="988">"04-08-2020"</f>
        <v>04-08-2020</v>
      </c>
      <c r="X2375" t="str">
        <f t="shared" ref="X2375:X2438" si="989">"RAZIMAH ANSAR AHMAD"</f>
        <v>RAZIMAH ANSAR AHMAD</v>
      </c>
      <c r="Y2375" t="str">
        <f t="shared" ref="Y2375:Y2438" si="990">"04-08-2020"</f>
        <v>04-08-2020</v>
      </c>
      <c r="Z2375" t="str">
        <f>"COS10200804 6779"</f>
        <v>COS10200804 6779</v>
      </c>
    </row>
    <row r="2376" spans="1:26" x14ac:dyDescent="0.25">
      <c r="A2376" t="str">
        <f t="shared" si="974"/>
        <v>04-08-2020 01:04:24</v>
      </c>
      <c r="B2376" t="str">
        <f>"0000808574"</f>
        <v>0000808574</v>
      </c>
      <c r="C2376" t="str">
        <f t="shared" si="975"/>
        <v>0000808396</v>
      </c>
      <c r="D2376" t="str">
        <f t="shared" si="978"/>
        <v>73185</v>
      </c>
      <c r="E2376" t="str">
        <f t="shared" si="979"/>
        <v>KFH-OPERATIONS DEPARTMENT</v>
      </c>
      <c r="F2376" t="str">
        <f t="shared" si="980"/>
        <v>IBG</v>
      </c>
      <c r="G2376" t="str">
        <f t="shared" si="966"/>
        <v>Refund COSHARE 10</v>
      </c>
      <c r="H2376" s="2">
        <v>570.85</v>
      </c>
      <c r="I2376" t="str">
        <f>"NURUL ANIRAH BINTI MOHD YATIM"</f>
        <v>NURUL ANIRAH BINTI MOHD YATIM</v>
      </c>
      <c r="J2376" t="str">
        <f t="shared" si="967"/>
        <v>MAYBANK / MAYBANK ISLAMIC</v>
      </c>
      <c r="K2376" t="str">
        <f>"154101133695"</f>
        <v>154101133695</v>
      </c>
      <c r="L2376" t="str">
        <f t="shared" si="976"/>
        <v>04-08-2020</v>
      </c>
      <c r="M2376" t="str">
        <f t="shared" si="976"/>
        <v>04-08-2020</v>
      </c>
      <c r="N2376" t="str">
        <f t="shared" si="981"/>
        <v>001105018356</v>
      </c>
      <c r="O2376" t="str">
        <f t="shared" si="982"/>
        <v>MYR</v>
      </c>
      <c r="P2376" t="str">
        <f t="shared" si="977"/>
        <v>NIL</v>
      </c>
      <c r="Q2376" t="str">
        <f t="shared" si="977"/>
        <v>NIL</v>
      </c>
      <c r="R2376" t="str">
        <f t="shared" si="983"/>
        <v>Accepted</v>
      </c>
      <c r="S2376" t="str">
        <f t="shared" si="984"/>
        <v>Approved</v>
      </c>
      <c r="T2376" t="str">
        <f t="shared" si="985"/>
        <v>10.20.8.188</v>
      </c>
      <c r="U2376" t="str">
        <f t="shared" si="986"/>
        <v>AZRAD UMAR BIN SHAARI</v>
      </c>
      <c r="V2376" t="str">
        <f t="shared" si="987"/>
        <v>FARHANA BINTI MUSTAPA</v>
      </c>
      <c r="W2376" t="str">
        <f t="shared" si="988"/>
        <v>04-08-2020</v>
      </c>
      <c r="X2376" t="str">
        <f t="shared" si="989"/>
        <v>RAZIMAH ANSAR AHMAD</v>
      </c>
      <c r="Y2376" t="str">
        <f t="shared" si="990"/>
        <v>04-08-2020</v>
      </c>
      <c r="Z2376" t="str">
        <f>"COS10200804 6778"</f>
        <v>COS10200804 6778</v>
      </c>
    </row>
    <row r="2377" spans="1:26" x14ac:dyDescent="0.25">
      <c r="A2377" t="str">
        <f t="shared" si="974"/>
        <v>04-08-2020 01:04:24</v>
      </c>
      <c r="B2377" t="str">
        <f>"0000808573"</f>
        <v>0000808573</v>
      </c>
      <c r="C2377" t="str">
        <f t="shared" si="975"/>
        <v>0000808396</v>
      </c>
      <c r="D2377" t="str">
        <f t="shared" si="978"/>
        <v>73185</v>
      </c>
      <c r="E2377" t="str">
        <f t="shared" si="979"/>
        <v>KFH-OPERATIONS DEPARTMENT</v>
      </c>
      <c r="F2377" t="str">
        <f t="shared" si="980"/>
        <v>IBG</v>
      </c>
      <c r="G2377" t="str">
        <f t="shared" si="966"/>
        <v>Refund COSHARE 10</v>
      </c>
      <c r="H2377" s="2">
        <v>67.2</v>
      </c>
      <c r="I2377" t="str">
        <f>"NURUL AKMA BINTI MOHD IDIN"</f>
        <v>NURUL AKMA BINTI MOHD IDIN</v>
      </c>
      <c r="J2377" t="str">
        <f t="shared" si="967"/>
        <v>MAYBANK / MAYBANK ISLAMIC</v>
      </c>
      <c r="K2377" t="str">
        <f>"108319032704"</f>
        <v>108319032704</v>
      </c>
      <c r="L2377" t="str">
        <f t="shared" si="976"/>
        <v>04-08-2020</v>
      </c>
      <c r="M2377" t="str">
        <f t="shared" si="976"/>
        <v>04-08-2020</v>
      </c>
      <c r="N2377" t="str">
        <f t="shared" si="981"/>
        <v>001105018356</v>
      </c>
      <c r="O2377" t="str">
        <f t="shared" si="982"/>
        <v>MYR</v>
      </c>
      <c r="P2377" t="str">
        <f t="shared" si="977"/>
        <v>NIL</v>
      </c>
      <c r="Q2377" t="str">
        <f t="shared" si="977"/>
        <v>NIL</v>
      </c>
      <c r="R2377" t="str">
        <f t="shared" si="983"/>
        <v>Accepted</v>
      </c>
      <c r="S2377" t="str">
        <f t="shared" si="984"/>
        <v>Approved</v>
      </c>
      <c r="T2377" t="str">
        <f t="shared" si="985"/>
        <v>10.20.8.188</v>
      </c>
      <c r="U2377" t="str">
        <f t="shared" si="986"/>
        <v>AZRAD UMAR BIN SHAARI</v>
      </c>
      <c r="V2377" t="str">
        <f t="shared" si="987"/>
        <v>FARHANA BINTI MUSTAPA</v>
      </c>
      <c r="W2377" t="str">
        <f t="shared" si="988"/>
        <v>04-08-2020</v>
      </c>
      <c r="X2377" t="str">
        <f t="shared" si="989"/>
        <v>RAZIMAH ANSAR AHMAD</v>
      </c>
      <c r="Y2377" t="str">
        <f t="shared" si="990"/>
        <v>04-08-2020</v>
      </c>
      <c r="Z2377" t="str">
        <f>"COS10200804 6777"</f>
        <v>COS10200804 6777</v>
      </c>
    </row>
    <row r="2378" spans="1:26" x14ac:dyDescent="0.25">
      <c r="A2378" t="str">
        <f t="shared" si="974"/>
        <v>04-08-2020 01:04:24</v>
      </c>
      <c r="B2378" t="str">
        <f>"0000808572"</f>
        <v>0000808572</v>
      </c>
      <c r="C2378" t="str">
        <f t="shared" si="975"/>
        <v>0000808396</v>
      </c>
      <c r="D2378" t="str">
        <f t="shared" si="978"/>
        <v>73185</v>
      </c>
      <c r="E2378" t="str">
        <f t="shared" si="979"/>
        <v>KFH-OPERATIONS DEPARTMENT</v>
      </c>
      <c r="F2378" t="str">
        <f t="shared" si="980"/>
        <v>IBG</v>
      </c>
      <c r="G2378" t="str">
        <f t="shared" si="966"/>
        <v>Refund COSHARE 10</v>
      </c>
      <c r="H2378" s="2">
        <v>134.35</v>
      </c>
      <c r="I2378" t="str">
        <f>"NURUL AIZAM BIN MOHD TERMIZI"</f>
        <v>NURUL AIZAM BIN MOHD TERMIZI</v>
      </c>
      <c r="J2378" t="str">
        <f t="shared" si="967"/>
        <v>MAYBANK / MAYBANK ISLAMIC</v>
      </c>
      <c r="K2378" t="str">
        <f>"162647047736"</f>
        <v>162647047736</v>
      </c>
      <c r="L2378" t="str">
        <f t="shared" si="976"/>
        <v>04-08-2020</v>
      </c>
      <c r="M2378" t="str">
        <f t="shared" si="976"/>
        <v>04-08-2020</v>
      </c>
      <c r="N2378" t="str">
        <f t="shared" si="981"/>
        <v>001105018356</v>
      </c>
      <c r="O2378" t="str">
        <f t="shared" si="982"/>
        <v>MYR</v>
      </c>
      <c r="P2378" t="str">
        <f t="shared" si="977"/>
        <v>NIL</v>
      </c>
      <c r="Q2378" t="str">
        <f t="shared" si="977"/>
        <v>NIL</v>
      </c>
      <c r="R2378" t="str">
        <f t="shared" si="983"/>
        <v>Accepted</v>
      </c>
      <c r="S2378" t="str">
        <f t="shared" si="984"/>
        <v>Approved</v>
      </c>
      <c r="T2378" t="str">
        <f t="shared" si="985"/>
        <v>10.20.8.188</v>
      </c>
      <c r="U2378" t="str">
        <f t="shared" si="986"/>
        <v>AZRAD UMAR BIN SHAARI</v>
      </c>
      <c r="V2378" t="str">
        <f t="shared" si="987"/>
        <v>FARHANA BINTI MUSTAPA</v>
      </c>
      <c r="W2378" t="str">
        <f t="shared" si="988"/>
        <v>04-08-2020</v>
      </c>
      <c r="X2378" t="str">
        <f t="shared" si="989"/>
        <v>RAZIMAH ANSAR AHMAD</v>
      </c>
      <c r="Y2378" t="str">
        <f t="shared" si="990"/>
        <v>04-08-2020</v>
      </c>
      <c r="Z2378" t="str">
        <f>"COS10200804 6776"</f>
        <v>COS10200804 6776</v>
      </c>
    </row>
    <row r="2379" spans="1:26" x14ac:dyDescent="0.25">
      <c r="A2379" t="str">
        <f t="shared" si="974"/>
        <v>04-08-2020 01:04:24</v>
      </c>
      <c r="B2379" t="str">
        <f>"0000808571"</f>
        <v>0000808571</v>
      </c>
      <c r="C2379" t="str">
        <f t="shared" si="975"/>
        <v>0000808396</v>
      </c>
      <c r="D2379" t="str">
        <f t="shared" si="978"/>
        <v>73185</v>
      </c>
      <c r="E2379" t="str">
        <f t="shared" si="979"/>
        <v>KFH-OPERATIONS DEPARTMENT</v>
      </c>
      <c r="F2379" t="str">
        <f t="shared" si="980"/>
        <v>IBG</v>
      </c>
      <c r="G2379" t="str">
        <f t="shared" si="966"/>
        <v>Refund COSHARE 10</v>
      </c>
      <c r="H2379" s="2">
        <v>176.3</v>
      </c>
      <c r="I2379" t="str">
        <f>"NURUL AINI BINTI SHABUDIN"</f>
        <v>NURUL AINI BINTI SHABUDIN</v>
      </c>
      <c r="J2379" t="str">
        <f t="shared" si="967"/>
        <v>MAYBANK / MAYBANK ISLAMIC</v>
      </c>
      <c r="K2379" t="str">
        <f>"158220671155"</f>
        <v>158220671155</v>
      </c>
      <c r="L2379" t="str">
        <f t="shared" si="976"/>
        <v>04-08-2020</v>
      </c>
      <c r="M2379" t="str">
        <f t="shared" si="976"/>
        <v>04-08-2020</v>
      </c>
      <c r="N2379" t="str">
        <f t="shared" si="981"/>
        <v>001105018356</v>
      </c>
      <c r="O2379" t="str">
        <f t="shared" si="982"/>
        <v>MYR</v>
      </c>
      <c r="P2379" t="str">
        <f t="shared" si="977"/>
        <v>NIL</v>
      </c>
      <c r="Q2379" t="str">
        <f t="shared" si="977"/>
        <v>NIL</v>
      </c>
      <c r="R2379" t="str">
        <f t="shared" si="983"/>
        <v>Accepted</v>
      </c>
      <c r="S2379" t="str">
        <f t="shared" si="984"/>
        <v>Approved</v>
      </c>
      <c r="T2379" t="str">
        <f t="shared" si="985"/>
        <v>10.20.8.188</v>
      </c>
      <c r="U2379" t="str">
        <f t="shared" si="986"/>
        <v>AZRAD UMAR BIN SHAARI</v>
      </c>
      <c r="V2379" t="str">
        <f t="shared" si="987"/>
        <v>FARHANA BINTI MUSTAPA</v>
      </c>
      <c r="W2379" t="str">
        <f t="shared" si="988"/>
        <v>04-08-2020</v>
      </c>
      <c r="X2379" t="str">
        <f t="shared" si="989"/>
        <v>RAZIMAH ANSAR AHMAD</v>
      </c>
      <c r="Y2379" t="str">
        <f t="shared" si="990"/>
        <v>04-08-2020</v>
      </c>
      <c r="Z2379" t="str">
        <f>"COS10200804 6775"</f>
        <v>COS10200804 6775</v>
      </c>
    </row>
    <row r="2380" spans="1:26" x14ac:dyDescent="0.25">
      <c r="A2380" t="str">
        <f t="shared" si="974"/>
        <v>04-08-2020 01:04:24</v>
      </c>
      <c r="B2380" t="str">
        <f>"0000808570"</f>
        <v>0000808570</v>
      </c>
      <c r="C2380" t="str">
        <f t="shared" si="975"/>
        <v>0000808396</v>
      </c>
      <c r="D2380" t="str">
        <f t="shared" si="978"/>
        <v>73185</v>
      </c>
      <c r="E2380" t="str">
        <f t="shared" si="979"/>
        <v>KFH-OPERATIONS DEPARTMENT</v>
      </c>
      <c r="F2380" t="str">
        <f t="shared" si="980"/>
        <v>IBG</v>
      </c>
      <c r="G2380" t="str">
        <f t="shared" ref="G2380:G2443" si="991">"Refund COSHARE 10"</f>
        <v>Refund COSHARE 10</v>
      </c>
      <c r="H2380" s="2">
        <v>209.9</v>
      </c>
      <c r="I2380" t="str">
        <f>"NURUL AIN BINTI MOHAMED FADZIL"</f>
        <v>NURUL AIN BINTI MOHAMED FADZIL</v>
      </c>
      <c r="J2380" t="str">
        <f t="shared" si="967"/>
        <v>MAYBANK / MAYBANK ISLAMIC</v>
      </c>
      <c r="K2380" t="str">
        <f>"151240087905"</f>
        <v>151240087905</v>
      </c>
      <c r="L2380" t="str">
        <f t="shared" si="976"/>
        <v>04-08-2020</v>
      </c>
      <c r="M2380" t="str">
        <f t="shared" si="976"/>
        <v>04-08-2020</v>
      </c>
      <c r="N2380" t="str">
        <f t="shared" si="981"/>
        <v>001105018356</v>
      </c>
      <c r="O2380" t="str">
        <f t="shared" si="982"/>
        <v>MYR</v>
      </c>
      <c r="P2380" t="str">
        <f t="shared" si="977"/>
        <v>NIL</v>
      </c>
      <c r="Q2380" t="str">
        <f t="shared" si="977"/>
        <v>NIL</v>
      </c>
      <c r="R2380" t="str">
        <f t="shared" si="983"/>
        <v>Accepted</v>
      </c>
      <c r="S2380" t="str">
        <f t="shared" si="984"/>
        <v>Approved</v>
      </c>
      <c r="T2380" t="str">
        <f t="shared" si="985"/>
        <v>10.20.8.188</v>
      </c>
      <c r="U2380" t="str">
        <f t="shared" si="986"/>
        <v>AZRAD UMAR BIN SHAARI</v>
      </c>
      <c r="V2380" t="str">
        <f t="shared" si="987"/>
        <v>FARHANA BINTI MUSTAPA</v>
      </c>
      <c r="W2380" t="str">
        <f t="shared" si="988"/>
        <v>04-08-2020</v>
      </c>
      <c r="X2380" t="str">
        <f t="shared" si="989"/>
        <v>RAZIMAH ANSAR AHMAD</v>
      </c>
      <c r="Y2380" t="str">
        <f t="shared" si="990"/>
        <v>04-08-2020</v>
      </c>
      <c r="Z2380" t="str">
        <f>"COS10200804 6774"</f>
        <v>COS10200804 6774</v>
      </c>
    </row>
    <row r="2381" spans="1:26" x14ac:dyDescent="0.25">
      <c r="A2381" t="str">
        <f t="shared" si="974"/>
        <v>04-08-2020 01:04:24</v>
      </c>
      <c r="B2381" t="str">
        <f>"0000808569"</f>
        <v>0000808569</v>
      </c>
      <c r="C2381" t="str">
        <f t="shared" si="975"/>
        <v>0000808396</v>
      </c>
      <c r="D2381" t="str">
        <f t="shared" si="978"/>
        <v>73185</v>
      </c>
      <c r="E2381" t="str">
        <f t="shared" si="979"/>
        <v>KFH-OPERATIONS DEPARTMENT</v>
      </c>
      <c r="F2381" t="str">
        <f t="shared" si="980"/>
        <v>IBG</v>
      </c>
      <c r="G2381" t="str">
        <f t="shared" si="991"/>
        <v>Refund COSHARE 10</v>
      </c>
      <c r="H2381" s="2">
        <v>160</v>
      </c>
      <c r="I2381" t="str">
        <f>"NURUL AIN BINTI ISMAIL"</f>
        <v>NURUL AIN BINTI ISMAIL</v>
      </c>
      <c r="J2381" t="str">
        <f t="shared" si="967"/>
        <v>MAYBANK / MAYBANK ISLAMIC</v>
      </c>
      <c r="K2381" t="str">
        <f>"107108051282"</f>
        <v>107108051282</v>
      </c>
      <c r="L2381" t="str">
        <f t="shared" si="976"/>
        <v>04-08-2020</v>
      </c>
      <c r="M2381" t="str">
        <f t="shared" si="976"/>
        <v>04-08-2020</v>
      </c>
      <c r="N2381" t="str">
        <f t="shared" si="981"/>
        <v>001105018356</v>
      </c>
      <c r="O2381" t="str">
        <f t="shared" si="982"/>
        <v>MYR</v>
      </c>
      <c r="P2381" t="str">
        <f t="shared" si="977"/>
        <v>NIL</v>
      </c>
      <c r="Q2381" t="str">
        <f t="shared" si="977"/>
        <v>NIL</v>
      </c>
      <c r="R2381" t="str">
        <f t="shared" si="983"/>
        <v>Accepted</v>
      </c>
      <c r="S2381" t="str">
        <f t="shared" si="984"/>
        <v>Approved</v>
      </c>
      <c r="T2381" t="str">
        <f t="shared" si="985"/>
        <v>10.20.8.188</v>
      </c>
      <c r="U2381" t="str">
        <f t="shared" si="986"/>
        <v>AZRAD UMAR BIN SHAARI</v>
      </c>
      <c r="V2381" t="str">
        <f t="shared" si="987"/>
        <v>FARHANA BINTI MUSTAPA</v>
      </c>
      <c r="W2381" t="str">
        <f t="shared" si="988"/>
        <v>04-08-2020</v>
      </c>
      <c r="X2381" t="str">
        <f t="shared" si="989"/>
        <v>RAZIMAH ANSAR AHMAD</v>
      </c>
      <c r="Y2381" t="str">
        <f t="shared" si="990"/>
        <v>04-08-2020</v>
      </c>
      <c r="Z2381" t="str">
        <f>"COS10200804 6773"</f>
        <v>COS10200804 6773</v>
      </c>
    </row>
    <row r="2382" spans="1:26" x14ac:dyDescent="0.25">
      <c r="A2382" t="str">
        <f t="shared" si="974"/>
        <v>04-08-2020 01:04:24</v>
      </c>
      <c r="B2382" t="str">
        <f>"0000808568"</f>
        <v>0000808568</v>
      </c>
      <c r="C2382" t="str">
        <f t="shared" si="975"/>
        <v>0000808396</v>
      </c>
      <c r="D2382" t="str">
        <f t="shared" si="978"/>
        <v>73185</v>
      </c>
      <c r="E2382" t="str">
        <f t="shared" si="979"/>
        <v>KFH-OPERATIONS DEPARTMENT</v>
      </c>
      <c r="F2382" t="str">
        <f t="shared" si="980"/>
        <v>IBG</v>
      </c>
      <c r="G2382" t="str">
        <f t="shared" si="991"/>
        <v>Refund COSHARE 10</v>
      </c>
      <c r="H2382" s="2">
        <v>512.1</v>
      </c>
      <c r="I2382" t="str">
        <f>"NURUL AIN BINTI AZMI"</f>
        <v>NURUL AIN BINTI AZMI</v>
      </c>
      <c r="J2382" t="str">
        <f t="shared" si="967"/>
        <v>MAYBANK / MAYBANK ISLAMIC</v>
      </c>
      <c r="K2382" t="str">
        <f>"112103191363"</f>
        <v>112103191363</v>
      </c>
      <c r="L2382" t="str">
        <f t="shared" si="976"/>
        <v>04-08-2020</v>
      </c>
      <c r="M2382" t="str">
        <f t="shared" si="976"/>
        <v>04-08-2020</v>
      </c>
      <c r="N2382" t="str">
        <f t="shared" si="981"/>
        <v>001105018356</v>
      </c>
      <c r="O2382" t="str">
        <f t="shared" si="982"/>
        <v>MYR</v>
      </c>
      <c r="P2382" t="str">
        <f t="shared" si="977"/>
        <v>NIL</v>
      </c>
      <c r="Q2382" t="str">
        <f t="shared" si="977"/>
        <v>NIL</v>
      </c>
      <c r="R2382" t="str">
        <f t="shared" si="983"/>
        <v>Accepted</v>
      </c>
      <c r="S2382" t="str">
        <f t="shared" si="984"/>
        <v>Approved</v>
      </c>
      <c r="T2382" t="str">
        <f t="shared" si="985"/>
        <v>10.20.8.188</v>
      </c>
      <c r="U2382" t="str">
        <f t="shared" si="986"/>
        <v>AZRAD UMAR BIN SHAARI</v>
      </c>
      <c r="V2382" t="str">
        <f t="shared" si="987"/>
        <v>FARHANA BINTI MUSTAPA</v>
      </c>
      <c r="W2382" t="str">
        <f t="shared" si="988"/>
        <v>04-08-2020</v>
      </c>
      <c r="X2382" t="str">
        <f t="shared" si="989"/>
        <v>RAZIMAH ANSAR AHMAD</v>
      </c>
      <c r="Y2382" t="str">
        <f t="shared" si="990"/>
        <v>04-08-2020</v>
      </c>
      <c r="Z2382" t="str">
        <f>"COS10200804 6772"</f>
        <v>COS10200804 6772</v>
      </c>
    </row>
    <row r="2383" spans="1:26" x14ac:dyDescent="0.25">
      <c r="A2383" t="str">
        <f t="shared" si="974"/>
        <v>04-08-2020 01:04:24</v>
      </c>
      <c r="B2383" t="str">
        <f>"0000808567"</f>
        <v>0000808567</v>
      </c>
      <c r="C2383" t="str">
        <f t="shared" si="975"/>
        <v>0000808396</v>
      </c>
      <c r="D2383" t="str">
        <f t="shared" si="978"/>
        <v>73185</v>
      </c>
      <c r="E2383" t="str">
        <f t="shared" si="979"/>
        <v>KFH-OPERATIONS DEPARTMENT</v>
      </c>
      <c r="F2383" t="str">
        <f t="shared" si="980"/>
        <v>IBG</v>
      </c>
      <c r="G2383" t="str">
        <f t="shared" si="991"/>
        <v>Refund COSHARE 10</v>
      </c>
      <c r="H2383" s="2">
        <v>251.85</v>
      </c>
      <c r="I2383" t="str">
        <f>"NURSYAZWANI BINTI SHAFFIE"</f>
        <v>NURSYAZWANI BINTI SHAFFIE</v>
      </c>
      <c r="J2383" t="str">
        <f t="shared" si="967"/>
        <v>MAYBANK / MAYBANK ISLAMIC</v>
      </c>
      <c r="K2383" t="str">
        <f>"151333004920"</f>
        <v>151333004920</v>
      </c>
      <c r="L2383" t="str">
        <f t="shared" si="976"/>
        <v>04-08-2020</v>
      </c>
      <c r="M2383" t="str">
        <f t="shared" si="976"/>
        <v>04-08-2020</v>
      </c>
      <c r="N2383" t="str">
        <f t="shared" si="981"/>
        <v>001105018356</v>
      </c>
      <c r="O2383" t="str">
        <f t="shared" si="982"/>
        <v>MYR</v>
      </c>
      <c r="P2383" t="str">
        <f t="shared" si="977"/>
        <v>NIL</v>
      </c>
      <c r="Q2383" t="str">
        <f t="shared" si="977"/>
        <v>NIL</v>
      </c>
      <c r="R2383" t="str">
        <f t="shared" si="983"/>
        <v>Accepted</v>
      </c>
      <c r="S2383" t="str">
        <f t="shared" si="984"/>
        <v>Approved</v>
      </c>
      <c r="T2383" t="str">
        <f t="shared" si="985"/>
        <v>10.20.8.188</v>
      </c>
      <c r="U2383" t="str">
        <f t="shared" si="986"/>
        <v>AZRAD UMAR BIN SHAARI</v>
      </c>
      <c r="V2383" t="str">
        <f t="shared" si="987"/>
        <v>FARHANA BINTI MUSTAPA</v>
      </c>
      <c r="W2383" t="str">
        <f t="shared" si="988"/>
        <v>04-08-2020</v>
      </c>
      <c r="X2383" t="str">
        <f t="shared" si="989"/>
        <v>RAZIMAH ANSAR AHMAD</v>
      </c>
      <c r="Y2383" t="str">
        <f t="shared" si="990"/>
        <v>04-08-2020</v>
      </c>
      <c r="Z2383" t="str">
        <f>"COS10200804 6771"</f>
        <v>COS10200804 6771</v>
      </c>
    </row>
    <row r="2384" spans="1:26" x14ac:dyDescent="0.25">
      <c r="A2384" t="str">
        <f t="shared" si="974"/>
        <v>04-08-2020 01:04:24</v>
      </c>
      <c r="B2384" t="str">
        <f>"0000808566"</f>
        <v>0000808566</v>
      </c>
      <c r="C2384" t="str">
        <f t="shared" si="975"/>
        <v>0000808396</v>
      </c>
      <c r="D2384" t="str">
        <f t="shared" si="978"/>
        <v>73185</v>
      </c>
      <c r="E2384" t="str">
        <f t="shared" si="979"/>
        <v>KFH-OPERATIONS DEPARTMENT</v>
      </c>
      <c r="F2384" t="str">
        <f t="shared" si="980"/>
        <v>IBG</v>
      </c>
      <c r="G2384" t="str">
        <f t="shared" si="991"/>
        <v>Refund COSHARE 10</v>
      </c>
      <c r="H2384" s="2">
        <v>587.65</v>
      </c>
      <c r="I2384" t="str">
        <f>"NURSYAWANI BINTI MUHAMMAD"</f>
        <v>NURSYAWANI BINTI MUHAMMAD</v>
      </c>
      <c r="J2384" t="str">
        <f t="shared" si="967"/>
        <v>MAYBANK / MAYBANK ISLAMIC</v>
      </c>
      <c r="K2384" t="str">
        <f>"164490027884"</f>
        <v>164490027884</v>
      </c>
      <c r="L2384" t="str">
        <f t="shared" si="976"/>
        <v>04-08-2020</v>
      </c>
      <c r="M2384" t="str">
        <f t="shared" si="976"/>
        <v>04-08-2020</v>
      </c>
      <c r="N2384" t="str">
        <f t="shared" si="981"/>
        <v>001105018356</v>
      </c>
      <c r="O2384" t="str">
        <f t="shared" si="982"/>
        <v>MYR</v>
      </c>
      <c r="P2384" t="str">
        <f t="shared" si="977"/>
        <v>NIL</v>
      </c>
      <c r="Q2384" t="str">
        <f t="shared" si="977"/>
        <v>NIL</v>
      </c>
      <c r="R2384" t="str">
        <f t="shared" si="983"/>
        <v>Accepted</v>
      </c>
      <c r="S2384" t="str">
        <f t="shared" si="984"/>
        <v>Approved</v>
      </c>
      <c r="T2384" t="str">
        <f t="shared" si="985"/>
        <v>10.20.8.188</v>
      </c>
      <c r="U2384" t="str">
        <f t="shared" si="986"/>
        <v>AZRAD UMAR BIN SHAARI</v>
      </c>
      <c r="V2384" t="str">
        <f t="shared" si="987"/>
        <v>FARHANA BINTI MUSTAPA</v>
      </c>
      <c r="W2384" t="str">
        <f t="shared" si="988"/>
        <v>04-08-2020</v>
      </c>
      <c r="X2384" t="str">
        <f t="shared" si="989"/>
        <v>RAZIMAH ANSAR AHMAD</v>
      </c>
      <c r="Y2384" t="str">
        <f t="shared" si="990"/>
        <v>04-08-2020</v>
      </c>
      <c r="Z2384" t="str">
        <f>"COS10200804 6770"</f>
        <v>COS10200804 6770</v>
      </c>
    </row>
    <row r="2385" spans="1:26" x14ac:dyDescent="0.25">
      <c r="A2385" t="str">
        <f t="shared" si="974"/>
        <v>04-08-2020 01:04:24</v>
      </c>
      <c r="B2385" t="str">
        <f>"0000808565"</f>
        <v>0000808565</v>
      </c>
      <c r="C2385" t="str">
        <f t="shared" si="975"/>
        <v>0000808396</v>
      </c>
      <c r="D2385" t="str">
        <f t="shared" si="978"/>
        <v>73185</v>
      </c>
      <c r="E2385" t="str">
        <f t="shared" si="979"/>
        <v>KFH-OPERATIONS DEPARTMENT</v>
      </c>
      <c r="F2385" t="str">
        <f t="shared" si="980"/>
        <v>IBG</v>
      </c>
      <c r="G2385" t="str">
        <f t="shared" si="991"/>
        <v>Refund COSHARE 10</v>
      </c>
      <c r="H2385" s="2">
        <v>596.04999999999995</v>
      </c>
      <c r="I2385" t="str">
        <f>"NURSYAHIRAH BINTI HAZAIRIN"</f>
        <v>NURSYAHIRAH BINTI HAZAIRIN</v>
      </c>
      <c r="J2385" t="str">
        <f t="shared" ref="J2385:J2448" si="992">"MAYBANK / MAYBANK ISLAMIC"</f>
        <v>MAYBANK / MAYBANK ISLAMIC</v>
      </c>
      <c r="K2385" t="str">
        <f>"164043660916"</f>
        <v>164043660916</v>
      </c>
      <c r="L2385" t="str">
        <f t="shared" si="976"/>
        <v>04-08-2020</v>
      </c>
      <c r="M2385" t="str">
        <f t="shared" si="976"/>
        <v>04-08-2020</v>
      </c>
      <c r="N2385" t="str">
        <f t="shared" si="981"/>
        <v>001105018356</v>
      </c>
      <c r="O2385" t="str">
        <f t="shared" si="982"/>
        <v>MYR</v>
      </c>
      <c r="P2385" t="str">
        <f t="shared" si="977"/>
        <v>NIL</v>
      </c>
      <c r="Q2385" t="str">
        <f t="shared" si="977"/>
        <v>NIL</v>
      </c>
      <c r="R2385" t="str">
        <f t="shared" si="983"/>
        <v>Accepted</v>
      </c>
      <c r="S2385" t="str">
        <f t="shared" si="984"/>
        <v>Approved</v>
      </c>
      <c r="T2385" t="str">
        <f t="shared" si="985"/>
        <v>10.20.8.188</v>
      </c>
      <c r="U2385" t="str">
        <f t="shared" si="986"/>
        <v>AZRAD UMAR BIN SHAARI</v>
      </c>
      <c r="V2385" t="str">
        <f t="shared" si="987"/>
        <v>FARHANA BINTI MUSTAPA</v>
      </c>
      <c r="W2385" t="str">
        <f t="shared" si="988"/>
        <v>04-08-2020</v>
      </c>
      <c r="X2385" t="str">
        <f t="shared" si="989"/>
        <v>RAZIMAH ANSAR AHMAD</v>
      </c>
      <c r="Y2385" t="str">
        <f t="shared" si="990"/>
        <v>04-08-2020</v>
      </c>
      <c r="Z2385" t="str">
        <f>"COS10200804 6769"</f>
        <v>COS10200804 6769</v>
      </c>
    </row>
    <row r="2386" spans="1:26" x14ac:dyDescent="0.25">
      <c r="A2386" t="str">
        <f t="shared" ref="A2386:A2417" si="993">"04-08-2020 01:04:24"</f>
        <v>04-08-2020 01:04:24</v>
      </c>
      <c r="B2386" t="str">
        <f>"0000808564"</f>
        <v>0000808564</v>
      </c>
      <c r="C2386" t="str">
        <f t="shared" ref="C2386:C2417" si="994">"0000808396"</f>
        <v>0000808396</v>
      </c>
      <c r="D2386" t="str">
        <f t="shared" si="978"/>
        <v>73185</v>
      </c>
      <c r="E2386" t="str">
        <f t="shared" si="979"/>
        <v>KFH-OPERATIONS DEPARTMENT</v>
      </c>
      <c r="F2386" t="str">
        <f t="shared" si="980"/>
        <v>IBG</v>
      </c>
      <c r="G2386" t="str">
        <f t="shared" si="991"/>
        <v>Refund COSHARE 10</v>
      </c>
      <c r="H2386" s="2">
        <v>304</v>
      </c>
      <c r="I2386" t="str">
        <f>"NURSYAFIQAH FATHIAH BINTI OMAR"</f>
        <v>NURSYAFIQAH FATHIAH BINTI OMAR</v>
      </c>
      <c r="J2386" t="str">
        <f t="shared" si="992"/>
        <v>MAYBANK / MAYBANK ISLAMIC</v>
      </c>
      <c r="K2386" t="str">
        <f>"166010087946"</f>
        <v>166010087946</v>
      </c>
      <c r="L2386" t="str">
        <f t="shared" si="976"/>
        <v>04-08-2020</v>
      </c>
      <c r="M2386" t="str">
        <f t="shared" si="976"/>
        <v>04-08-2020</v>
      </c>
      <c r="N2386" t="str">
        <f t="shared" si="981"/>
        <v>001105018356</v>
      </c>
      <c r="O2386" t="str">
        <f t="shared" si="982"/>
        <v>MYR</v>
      </c>
      <c r="P2386" t="str">
        <f t="shared" si="977"/>
        <v>NIL</v>
      </c>
      <c r="Q2386" t="str">
        <f t="shared" si="977"/>
        <v>NIL</v>
      </c>
      <c r="R2386" t="str">
        <f t="shared" si="983"/>
        <v>Accepted</v>
      </c>
      <c r="S2386" t="str">
        <f t="shared" si="984"/>
        <v>Approved</v>
      </c>
      <c r="T2386" t="str">
        <f t="shared" si="985"/>
        <v>10.20.8.188</v>
      </c>
      <c r="U2386" t="str">
        <f t="shared" si="986"/>
        <v>AZRAD UMAR BIN SHAARI</v>
      </c>
      <c r="V2386" t="str">
        <f t="shared" si="987"/>
        <v>FARHANA BINTI MUSTAPA</v>
      </c>
      <c r="W2386" t="str">
        <f t="shared" si="988"/>
        <v>04-08-2020</v>
      </c>
      <c r="X2386" t="str">
        <f t="shared" si="989"/>
        <v>RAZIMAH ANSAR AHMAD</v>
      </c>
      <c r="Y2386" t="str">
        <f t="shared" si="990"/>
        <v>04-08-2020</v>
      </c>
      <c r="Z2386" t="str">
        <f>"COS10200804 6768"</f>
        <v>COS10200804 6768</v>
      </c>
    </row>
    <row r="2387" spans="1:26" x14ac:dyDescent="0.25">
      <c r="A2387" t="str">
        <f t="shared" si="993"/>
        <v>04-08-2020 01:04:24</v>
      </c>
      <c r="B2387" t="str">
        <f>"0000808563"</f>
        <v>0000808563</v>
      </c>
      <c r="C2387" t="str">
        <f t="shared" si="994"/>
        <v>0000808396</v>
      </c>
      <c r="D2387" t="str">
        <f t="shared" si="978"/>
        <v>73185</v>
      </c>
      <c r="E2387" t="str">
        <f t="shared" si="979"/>
        <v>KFH-OPERATIONS DEPARTMENT</v>
      </c>
      <c r="F2387" t="str">
        <f t="shared" si="980"/>
        <v>IBG</v>
      </c>
      <c r="G2387" t="str">
        <f t="shared" si="991"/>
        <v>Refund COSHARE 10</v>
      </c>
      <c r="H2387" s="2">
        <v>226.65</v>
      </c>
      <c r="I2387" t="str">
        <f>"NURSURYANI BINTI OTHMAN"</f>
        <v>NURSURYANI BINTI OTHMAN</v>
      </c>
      <c r="J2387" t="str">
        <f t="shared" si="992"/>
        <v>MAYBANK / MAYBANK ISLAMIC</v>
      </c>
      <c r="K2387" t="str">
        <f>"157054031615"</f>
        <v>157054031615</v>
      </c>
      <c r="L2387" t="str">
        <f t="shared" ref="L2387:M2406" si="995">"04-08-2020"</f>
        <v>04-08-2020</v>
      </c>
      <c r="M2387" t="str">
        <f t="shared" si="995"/>
        <v>04-08-2020</v>
      </c>
      <c r="N2387" t="str">
        <f t="shared" si="981"/>
        <v>001105018356</v>
      </c>
      <c r="O2387" t="str">
        <f t="shared" si="982"/>
        <v>MYR</v>
      </c>
      <c r="P2387" t="str">
        <f t="shared" ref="P2387:Q2406" si="996">"NIL"</f>
        <v>NIL</v>
      </c>
      <c r="Q2387" t="str">
        <f t="shared" si="996"/>
        <v>NIL</v>
      </c>
      <c r="R2387" t="str">
        <f t="shared" si="983"/>
        <v>Accepted</v>
      </c>
      <c r="S2387" t="str">
        <f t="shared" si="984"/>
        <v>Approved</v>
      </c>
      <c r="T2387" t="str">
        <f t="shared" si="985"/>
        <v>10.20.8.188</v>
      </c>
      <c r="U2387" t="str">
        <f t="shared" si="986"/>
        <v>AZRAD UMAR BIN SHAARI</v>
      </c>
      <c r="V2387" t="str">
        <f t="shared" si="987"/>
        <v>FARHANA BINTI MUSTAPA</v>
      </c>
      <c r="W2387" t="str">
        <f t="shared" si="988"/>
        <v>04-08-2020</v>
      </c>
      <c r="X2387" t="str">
        <f t="shared" si="989"/>
        <v>RAZIMAH ANSAR AHMAD</v>
      </c>
      <c r="Y2387" t="str">
        <f t="shared" si="990"/>
        <v>04-08-2020</v>
      </c>
      <c r="Z2387" t="str">
        <f>"COS10200804 6767"</f>
        <v>COS10200804 6767</v>
      </c>
    </row>
    <row r="2388" spans="1:26" x14ac:dyDescent="0.25">
      <c r="A2388" t="str">
        <f t="shared" si="993"/>
        <v>04-08-2020 01:04:24</v>
      </c>
      <c r="B2388" t="str">
        <f>"0000808562"</f>
        <v>0000808562</v>
      </c>
      <c r="C2388" t="str">
        <f t="shared" si="994"/>
        <v>0000808396</v>
      </c>
      <c r="D2388" t="str">
        <f t="shared" si="978"/>
        <v>73185</v>
      </c>
      <c r="E2388" t="str">
        <f t="shared" si="979"/>
        <v>KFH-OPERATIONS DEPARTMENT</v>
      </c>
      <c r="F2388" t="str">
        <f t="shared" si="980"/>
        <v>IBG</v>
      </c>
      <c r="G2388" t="str">
        <f t="shared" si="991"/>
        <v>Refund COSHARE 10</v>
      </c>
      <c r="H2388" s="2">
        <v>738.8</v>
      </c>
      <c r="I2388" t="str">
        <f>"NURSHIDA BINTI MOHAMED"</f>
        <v>NURSHIDA BINTI MOHAMED</v>
      </c>
      <c r="J2388" t="str">
        <f t="shared" si="992"/>
        <v>MAYBANK / MAYBANK ISLAMIC</v>
      </c>
      <c r="K2388" t="str">
        <f>"156012166121"</f>
        <v>156012166121</v>
      </c>
      <c r="L2388" t="str">
        <f t="shared" si="995"/>
        <v>04-08-2020</v>
      </c>
      <c r="M2388" t="str">
        <f t="shared" si="995"/>
        <v>04-08-2020</v>
      </c>
      <c r="N2388" t="str">
        <f t="shared" si="981"/>
        <v>001105018356</v>
      </c>
      <c r="O2388" t="str">
        <f t="shared" si="982"/>
        <v>MYR</v>
      </c>
      <c r="P2388" t="str">
        <f t="shared" si="996"/>
        <v>NIL</v>
      </c>
      <c r="Q2388" t="str">
        <f t="shared" si="996"/>
        <v>NIL</v>
      </c>
      <c r="R2388" t="str">
        <f t="shared" si="983"/>
        <v>Accepted</v>
      </c>
      <c r="S2388" t="str">
        <f t="shared" si="984"/>
        <v>Approved</v>
      </c>
      <c r="T2388" t="str">
        <f t="shared" si="985"/>
        <v>10.20.8.188</v>
      </c>
      <c r="U2388" t="str">
        <f t="shared" si="986"/>
        <v>AZRAD UMAR BIN SHAARI</v>
      </c>
      <c r="V2388" t="str">
        <f t="shared" si="987"/>
        <v>FARHANA BINTI MUSTAPA</v>
      </c>
      <c r="W2388" t="str">
        <f t="shared" si="988"/>
        <v>04-08-2020</v>
      </c>
      <c r="X2388" t="str">
        <f t="shared" si="989"/>
        <v>RAZIMAH ANSAR AHMAD</v>
      </c>
      <c r="Y2388" t="str">
        <f t="shared" si="990"/>
        <v>04-08-2020</v>
      </c>
      <c r="Z2388" t="str">
        <f>"COS10200804 6766"</f>
        <v>COS10200804 6766</v>
      </c>
    </row>
    <row r="2389" spans="1:26" x14ac:dyDescent="0.25">
      <c r="A2389" t="str">
        <f t="shared" si="993"/>
        <v>04-08-2020 01:04:24</v>
      </c>
      <c r="B2389" t="str">
        <f>"0000808561"</f>
        <v>0000808561</v>
      </c>
      <c r="C2389" t="str">
        <f t="shared" si="994"/>
        <v>0000808396</v>
      </c>
      <c r="D2389" t="str">
        <f t="shared" si="978"/>
        <v>73185</v>
      </c>
      <c r="E2389" t="str">
        <f t="shared" si="979"/>
        <v>KFH-OPERATIONS DEPARTMENT</v>
      </c>
      <c r="F2389" t="str">
        <f t="shared" si="980"/>
        <v>IBG</v>
      </c>
      <c r="G2389" t="str">
        <f t="shared" si="991"/>
        <v>Refund COSHARE 10</v>
      </c>
      <c r="H2389" s="2">
        <v>503.7</v>
      </c>
      <c r="I2389" t="str">
        <f>"NURSALISARINAWATI BINTI MOHD YUSOF"</f>
        <v>NURSALISARINAWATI BINTI MOHD YUSOF</v>
      </c>
      <c r="J2389" t="str">
        <f t="shared" si="992"/>
        <v>MAYBANK / MAYBANK ISLAMIC</v>
      </c>
      <c r="K2389" t="str">
        <f>"155069002883"</f>
        <v>155069002883</v>
      </c>
      <c r="L2389" t="str">
        <f t="shared" si="995"/>
        <v>04-08-2020</v>
      </c>
      <c r="M2389" t="str">
        <f t="shared" si="995"/>
        <v>04-08-2020</v>
      </c>
      <c r="N2389" t="str">
        <f t="shared" si="981"/>
        <v>001105018356</v>
      </c>
      <c r="O2389" t="str">
        <f t="shared" si="982"/>
        <v>MYR</v>
      </c>
      <c r="P2389" t="str">
        <f t="shared" si="996"/>
        <v>NIL</v>
      </c>
      <c r="Q2389" t="str">
        <f t="shared" si="996"/>
        <v>NIL</v>
      </c>
      <c r="R2389" t="str">
        <f t="shared" si="983"/>
        <v>Accepted</v>
      </c>
      <c r="S2389" t="str">
        <f t="shared" si="984"/>
        <v>Approved</v>
      </c>
      <c r="T2389" t="str">
        <f t="shared" si="985"/>
        <v>10.20.8.188</v>
      </c>
      <c r="U2389" t="str">
        <f t="shared" si="986"/>
        <v>AZRAD UMAR BIN SHAARI</v>
      </c>
      <c r="V2389" t="str">
        <f t="shared" si="987"/>
        <v>FARHANA BINTI MUSTAPA</v>
      </c>
      <c r="W2389" t="str">
        <f t="shared" si="988"/>
        <v>04-08-2020</v>
      </c>
      <c r="X2389" t="str">
        <f t="shared" si="989"/>
        <v>RAZIMAH ANSAR AHMAD</v>
      </c>
      <c r="Y2389" t="str">
        <f t="shared" si="990"/>
        <v>04-08-2020</v>
      </c>
      <c r="Z2389" t="str">
        <f>"COS10200804 6765"</f>
        <v>COS10200804 6765</v>
      </c>
    </row>
    <row r="2390" spans="1:26" x14ac:dyDescent="0.25">
      <c r="A2390" t="str">
        <f t="shared" si="993"/>
        <v>04-08-2020 01:04:24</v>
      </c>
      <c r="B2390" t="str">
        <f>"0000808560"</f>
        <v>0000808560</v>
      </c>
      <c r="C2390" t="str">
        <f t="shared" si="994"/>
        <v>0000808396</v>
      </c>
      <c r="D2390" t="str">
        <f t="shared" si="978"/>
        <v>73185</v>
      </c>
      <c r="E2390" t="str">
        <f t="shared" si="979"/>
        <v>KFH-OPERATIONS DEPARTMENT</v>
      </c>
      <c r="F2390" t="str">
        <f t="shared" si="980"/>
        <v>IBG</v>
      </c>
      <c r="G2390" t="str">
        <f t="shared" si="991"/>
        <v>Refund COSHARE 10</v>
      </c>
      <c r="H2390" s="2">
        <v>209.9</v>
      </c>
      <c r="I2390" t="str">
        <f>"NURRULHUDA BINTI MOHD HAMSIN"</f>
        <v>NURRULHUDA BINTI MOHD HAMSIN</v>
      </c>
      <c r="J2390" t="str">
        <f t="shared" si="992"/>
        <v>MAYBANK / MAYBANK ISLAMIC</v>
      </c>
      <c r="K2390" t="str">
        <f>"164164893452"</f>
        <v>164164893452</v>
      </c>
      <c r="L2390" t="str">
        <f t="shared" si="995"/>
        <v>04-08-2020</v>
      </c>
      <c r="M2390" t="str">
        <f t="shared" si="995"/>
        <v>04-08-2020</v>
      </c>
      <c r="N2390" t="str">
        <f t="shared" si="981"/>
        <v>001105018356</v>
      </c>
      <c r="O2390" t="str">
        <f t="shared" si="982"/>
        <v>MYR</v>
      </c>
      <c r="P2390" t="str">
        <f t="shared" si="996"/>
        <v>NIL</v>
      </c>
      <c r="Q2390" t="str">
        <f t="shared" si="996"/>
        <v>NIL</v>
      </c>
      <c r="R2390" t="str">
        <f t="shared" si="983"/>
        <v>Accepted</v>
      </c>
      <c r="S2390" t="str">
        <f t="shared" si="984"/>
        <v>Approved</v>
      </c>
      <c r="T2390" t="str">
        <f t="shared" si="985"/>
        <v>10.20.8.188</v>
      </c>
      <c r="U2390" t="str">
        <f t="shared" si="986"/>
        <v>AZRAD UMAR BIN SHAARI</v>
      </c>
      <c r="V2390" t="str">
        <f t="shared" si="987"/>
        <v>FARHANA BINTI MUSTAPA</v>
      </c>
      <c r="W2390" t="str">
        <f t="shared" si="988"/>
        <v>04-08-2020</v>
      </c>
      <c r="X2390" t="str">
        <f t="shared" si="989"/>
        <v>RAZIMAH ANSAR AHMAD</v>
      </c>
      <c r="Y2390" t="str">
        <f t="shared" si="990"/>
        <v>04-08-2020</v>
      </c>
      <c r="Z2390" t="str">
        <f>"COS10200804 6764"</f>
        <v>COS10200804 6764</v>
      </c>
    </row>
    <row r="2391" spans="1:26" x14ac:dyDescent="0.25">
      <c r="A2391" t="str">
        <f t="shared" si="993"/>
        <v>04-08-2020 01:04:24</v>
      </c>
      <c r="B2391" t="str">
        <f>"0000808559"</f>
        <v>0000808559</v>
      </c>
      <c r="C2391" t="str">
        <f t="shared" si="994"/>
        <v>0000808396</v>
      </c>
      <c r="D2391" t="str">
        <f t="shared" si="978"/>
        <v>73185</v>
      </c>
      <c r="E2391" t="str">
        <f t="shared" si="979"/>
        <v>KFH-OPERATIONS DEPARTMENT</v>
      </c>
      <c r="F2391" t="str">
        <f t="shared" si="980"/>
        <v>IBG</v>
      </c>
      <c r="G2391" t="str">
        <f t="shared" si="991"/>
        <v>Refund COSHARE 10</v>
      </c>
      <c r="H2391" s="2">
        <v>361</v>
      </c>
      <c r="I2391" t="str">
        <f>"NURNADA BINTI ABDULLAH"</f>
        <v>NURNADA BINTI ABDULLAH</v>
      </c>
      <c r="J2391" t="str">
        <f t="shared" si="992"/>
        <v>MAYBANK / MAYBANK ISLAMIC</v>
      </c>
      <c r="K2391" t="str">
        <f>"166010116182"</f>
        <v>166010116182</v>
      </c>
      <c r="L2391" t="str">
        <f t="shared" si="995"/>
        <v>04-08-2020</v>
      </c>
      <c r="M2391" t="str">
        <f t="shared" si="995"/>
        <v>04-08-2020</v>
      </c>
      <c r="N2391" t="str">
        <f t="shared" si="981"/>
        <v>001105018356</v>
      </c>
      <c r="O2391" t="str">
        <f t="shared" si="982"/>
        <v>MYR</v>
      </c>
      <c r="P2391" t="str">
        <f t="shared" si="996"/>
        <v>NIL</v>
      </c>
      <c r="Q2391" t="str">
        <f t="shared" si="996"/>
        <v>NIL</v>
      </c>
      <c r="R2391" t="str">
        <f t="shared" si="983"/>
        <v>Accepted</v>
      </c>
      <c r="S2391" t="str">
        <f t="shared" si="984"/>
        <v>Approved</v>
      </c>
      <c r="T2391" t="str">
        <f t="shared" si="985"/>
        <v>10.20.8.188</v>
      </c>
      <c r="U2391" t="str">
        <f t="shared" si="986"/>
        <v>AZRAD UMAR BIN SHAARI</v>
      </c>
      <c r="V2391" t="str">
        <f t="shared" si="987"/>
        <v>FARHANA BINTI MUSTAPA</v>
      </c>
      <c r="W2391" t="str">
        <f t="shared" si="988"/>
        <v>04-08-2020</v>
      </c>
      <c r="X2391" t="str">
        <f t="shared" si="989"/>
        <v>RAZIMAH ANSAR AHMAD</v>
      </c>
      <c r="Y2391" t="str">
        <f t="shared" si="990"/>
        <v>04-08-2020</v>
      </c>
      <c r="Z2391" t="str">
        <f>"COS10200804 6763"</f>
        <v>COS10200804 6763</v>
      </c>
    </row>
    <row r="2392" spans="1:26" x14ac:dyDescent="0.25">
      <c r="A2392" t="str">
        <f t="shared" si="993"/>
        <v>04-08-2020 01:04:24</v>
      </c>
      <c r="B2392" t="str">
        <f>"0000808558"</f>
        <v>0000808558</v>
      </c>
      <c r="C2392" t="str">
        <f t="shared" si="994"/>
        <v>0000808396</v>
      </c>
      <c r="D2392" t="str">
        <f t="shared" si="978"/>
        <v>73185</v>
      </c>
      <c r="E2392" t="str">
        <f t="shared" si="979"/>
        <v>KFH-OPERATIONS DEPARTMENT</v>
      </c>
      <c r="F2392" t="str">
        <f t="shared" si="980"/>
        <v>IBG</v>
      </c>
      <c r="G2392" t="str">
        <f t="shared" si="991"/>
        <v>Refund COSHARE 10</v>
      </c>
      <c r="H2392" s="2">
        <v>418</v>
      </c>
      <c r="I2392" t="str">
        <f>"NURMAZLIANA BINTI ABDULLAH"</f>
        <v>NURMAZLIANA BINTI ABDULLAH</v>
      </c>
      <c r="J2392" t="str">
        <f t="shared" si="992"/>
        <v>MAYBANK / MAYBANK ISLAMIC</v>
      </c>
      <c r="K2392" t="str">
        <f>"157045512740"</f>
        <v>157045512740</v>
      </c>
      <c r="L2392" t="str">
        <f t="shared" si="995"/>
        <v>04-08-2020</v>
      </c>
      <c r="M2392" t="str">
        <f t="shared" si="995"/>
        <v>04-08-2020</v>
      </c>
      <c r="N2392" t="str">
        <f t="shared" si="981"/>
        <v>001105018356</v>
      </c>
      <c r="O2392" t="str">
        <f t="shared" si="982"/>
        <v>MYR</v>
      </c>
      <c r="P2392" t="str">
        <f t="shared" si="996"/>
        <v>NIL</v>
      </c>
      <c r="Q2392" t="str">
        <f t="shared" si="996"/>
        <v>NIL</v>
      </c>
      <c r="R2392" t="str">
        <f t="shared" si="983"/>
        <v>Accepted</v>
      </c>
      <c r="S2392" t="str">
        <f t="shared" si="984"/>
        <v>Approved</v>
      </c>
      <c r="T2392" t="str">
        <f t="shared" si="985"/>
        <v>10.20.8.188</v>
      </c>
      <c r="U2392" t="str">
        <f t="shared" si="986"/>
        <v>AZRAD UMAR BIN SHAARI</v>
      </c>
      <c r="V2392" t="str">
        <f t="shared" si="987"/>
        <v>FARHANA BINTI MUSTAPA</v>
      </c>
      <c r="W2392" t="str">
        <f t="shared" si="988"/>
        <v>04-08-2020</v>
      </c>
      <c r="X2392" t="str">
        <f t="shared" si="989"/>
        <v>RAZIMAH ANSAR AHMAD</v>
      </c>
      <c r="Y2392" t="str">
        <f t="shared" si="990"/>
        <v>04-08-2020</v>
      </c>
      <c r="Z2392" t="str">
        <f>"COS10200804 6762"</f>
        <v>COS10200804 6762</v>
      </c>
    </row>
    <row r="2393" spans="1:26" x14ac:dyDescent="0.25">
      <c r="A2393" t="str">
        <f t="shared" si="993"/>
        <v>04-08-2020 01:04:24</v>
      </c>
      <c r="B2393" t="str">
        <f>"0000808557"</f>
        <v>0000808557</v>
      </c>
      <c r="C2393" t="str">
        <f t="shared" si="994"/>
        <v>0000808396</v>
      </c>
      <c r="D2393" t="str">
        <f t="shared" si="978"/>
        <v>73185</v>
      </c>
      <c r="E2393" t="str">
        <f t="shared" si="979"/>
        <v>KFH-OPERATIONS DEPARTMENT</v>
      </c>
      <c r="F2393" t="str">
        <f t="shared" si="980"/>
        <v>IBG</v>
      </c>
      <c r="G2393" t="str">
        <f t="shared" si="991"/>
        <v>Refund COSHARE 10</v>
      </c>
      <c r="H2393" s="2">
        <v>50.4</v>
      </c>
      <c r="I2393" t="str">
        <f>"NURLIN BINTI KAMARUDIN"</f>
        <v>NURLIN BINTI KAMARUDIN</v>
      </c>
      <c r="J2393" t="str">
        <f t="shared" si="992"/>
        <v>MAYBANK / MAYBANK ISLAMIC</v>
      </c>
      <c r="K2393" t="str">
        <f>"164324297935"</f>
        <v>164324297935</v>
      </c>
      <c r="L2393" t="str">
        <f t="shared" si="995"/>
        <v>04-08-2020</v>
      </c>
      <c r="M2393" t="str">
        <f t="shared" si="995"/>
        <v>04-08-2020</v>
      </c>
      <c r="N2393" t="str">
        <f t="shared" si="981"/>
        <v>001105018356</v>
      </c>
      <c r="O2393" t="str">
        <f t="shared" si="982"/>
        <v>MYR</v>
      </c>
      <c r="P2393" t="str">
        <f t="shared" si="996"/>
        <v>NIL</v>
      </c>
      <c r="Q2393" t="str">
        <f t="shared" si="996"/>
        <v>NIL</v>
      </c>
      <c r="R2393" t="str">
        <f t="shared" si="983"/>
        <v>Accepted</v>
      </c>
      <c r="S2393" t="str">
        <f t="shared" si="984"/>
        <v>Approved</v>
      </c>
      <c r="T2393" t="str">
        <f t="shared" si="985"/>
        <v>10.20.8.188</v>
      </c>
      <c r="U2393" t="str">
        <f t="shared" si="986"/>
        <v>AZRAD UMAR BIN SHAARI</v>
      </c>
      <c r="V2393" t="str">
        <f t="shared" si="987"/>
        <v>FARHANA BINTI MUSTAPA</v>
      </c>
      <c r="W2393" t="str">
        <f t="shared" si="988"/>
        <v>04-08-2020</v>
      </c>
      <c r="X2393" t="str">
        <f t="shared" si="989"/>
        <v>RAZIMAH ANSAR AHMAD</v>
      </c>
      <c r="Y2393" t="str">
        <f t="shared" si="990"/>
        <v>04-08-2020</v>
      </c>
      <c r="Z2393" t="str">
        <f>"COS10200804 6761"</f>
        <v>COS10200804 6761</v>
      </c>
    </row>
    <row r="2394" spans="1:26" x14ac:dyDescent="0.25">
      <c r="A2394" t="str">
        <f t="shared" si="993"/>
        <v>04-08-2020 01:04:24</v>
      </c>
      <c r="B2394" t="str">
        <f>"0000808556"</f>
        <v>0000808556</v>
      </c>
      <c r="C2394" t="str">
        <f t="shared" si="994"/>
        <v>0000808396</v>
      </c>
      <c r="D2394" t="str">
        <f t="shared" si="978"/>
        <v>73185</v>
      </c>
      <c r="E2394" t="str">
        <f t="shared" si="979"/>
        <v>KFH-OPERATIONS DEPARTMENT</v>
      </c>
      <c r="F2394" t="str">
        <f t="shared" si="980"/>
        <v>IBG</v>
      </c>
      <c r="G2394" t="str">
        <f t="shared" si="991"/>
        <v>Refund COSHARE 10</v>
      </c>
      <c r="H2394" s="2">
        <v>494</v>
      </c>
      <c r="I2394" t="str">
        <f>"NURIMAN BIN SAMAWAI"</f>
        <v>NURIMAN BIN SAMAWAI</v>
      </c>
      <c r="J2394" t="str">
        <f t="shared" si="992"/>
        <v>MAYBANK / MAYBANK ISLAMIC</v>
      </c>
      <c r="K2394" t="str">
        <f>"164182441692"</f>
        <v>164182441692</v>
      </c>
      <c r="L2394" t="str">
        <f t="shared" si="995"/>
        <v>04-08-2020</v>
      </c>
      <c r="M2394" t="str">
        <f t="shared" si="995"/>
        <v>04-08-2020</v>
      </c>
      <c r="N2394" t="str">
        <f t="shared" si="981"/>
        <v>001105018356</v>
      </c>
      <c r="O2394" t="str">
        <f t="shared" si="982"/>
        <v>MYR</v>
      </c>
      <c r="P2394" t="str">
        <f t="shared" si="996"/>
        <v>NIL</v>
      </c>
      <c r="Q2394" t="str">
        <f t="shared" si="996"/>
        <v>NIL</v>
      </c>
      <c r="R2394" t="str">
        <f t="shared" si="983"/>
        <v>Accepted</v>
      </c>
      <c r="S2394" t="str">
        <f t="shared" si="984"/>
        <v>Approved</v>
      </c>
      <c r="T2394" t="str">
        <f t="shared" si="985"/>
        <v>10.20.8.188</v>
      </c>
      <c r="U2394" t="str">
        <f t="shared" si="986"/>
        <v>AZRAD UMAR BIN SHAARI</v>
      </c>
      <c r="V2394" t="str">
        <f t="shared" si="987"/>
        <v>FARHANA BINTI MUSTAPA</v>
      </c>
      <c r="W2394" t="str">
        <f t="shared" si="988"/>
        <v>04-08-2020</v>
      </c>
      <c r="X2394" t="str">
        <f t="shared" si="989"/>
        <v>RAZIMAH ANSAR AHMAD</v>
      </c>
      <c r="Y2394" t="str">
        <f t="shared" si="990"/>
        <v>04-08-2020</v>
      </c>
      <c r="Z2394" t="str">
        <f>"COS10200804 6760"</f>
        <v>COS10200804 6760</v>
      </c>
    </row>
    <row r="2395" spans="1:26" x14ac:dyDescent="0.25">
      <c r="A2395" t="str">
        <f t="shared" si="993"/>
        <v>04-08-2020 01:04:24</v>
      </c>
      <c r="B2395" t="str">
        <f>"0000808555"</f>
        <v>0000808555</v>
      </c>
      <c r="C2395" t="str">
        <f t="shared" si="994"/>
        <v>0000808396</v>
      </c>
      <c r="D2395" t="str">
        <f t="shared" si="978"/>
        <v>73185</v>
      </c>
      <c r="E2395" t="str">
        <f t="shared" si="979"/>
        <v>KFH-OPERATIONS DEPARTMENT</v>
      </c>
      <c r="F2395" t="str">
        <f t="shared" si="980"/>
        <v>IBG</v>
      </c>
      <c r="G2395" t="str">
        <f t="shared" si="991"/>
        <v>Refund COSHARE 10</v>
      </c>
      <c r="H2395" s="2">
        <v>56.3</v>
      </c>
      <c r="I2395" t="str">
        <f>"NURIAH BINTI ABD HALIM"</f>
        <v>NURIAH BINTI ABD HALIM</v>
      </c>
      <c r="J2395" t="str">
        <f t="shared" si="992"/>
        <v>MAYBANK / MAYBANK ISLAMIC</v>
      </c>
      <c r="K2395" t="str">
        <f>"113032099077"</f>
        <v>113032099077</v>
      </c>
      <c r="L2395" t="str">
        <f t="shared" si="995"/>
        <v>04-08-2020</v>
      </c>
      <c r="M2395" t="str">
        <f t="shared" si="995"/>
        <v>04-08-2020</v>
      </c>
      <c r="N2395" t="str">
        <f t="shared" si="981"/>
        <v>001105018356</v>
      </c>
      <c r="O2395" t="str">
        <f t="shared" si="982"/>
        <v>MYR</v>
      </c>
      <c r="P2395" t="str">
        <f t="shared" si="996"/>
        <v>NIL</v>
      </c>
      <c r="Q2395" t="str">
        <f t="shared" si="996"/>
        <v>NIL</v>
      </c>
      <c r="R2395" t="str">
        <f t="shared" si="983"/>
        <v>Accepted</v>
      </c>
      <c r="S2395" t="str">
        <f t="shared" si="984"/>
        <v>Approved</v>
      </c>
      <c r="T2395" t="str">
        <f t="shared" si="985"/>
        <v>10.20.8.188</v>
      </c>
      <c r="U2395" t="str">
        <f t="shared" si="986"/>
        <v>AZRAD UMAR BIN SHAARI</v>
      </c>
      <c r="V2395" t="str">
        <f t="shared" si="987"/>
        <v>FARHANA BINTI MUSTAPA</v>
      </c>
      <c r="W2395" t="str">
        <f t="shared" si="988"/>
        <v>04-08-2020</v>
      </c>
      <c r="X2395" t="str">
        <f t="shared" si="989"/>
        <v>RAZIMAH ANSAR AHMAD</v>
      </c>
      <c r="Y2395" t="str">
        <f t="shared" si="990"/>
        <v>04-08-2020</v>
      </c>
      <c r="Z2395" t="str">
        <f>"COS10200804 6759"</f>
        <v>COS10200804 6759</v>
      </c>
    </row>
    <row r="2396" spans="1:26" x14ac:dyDescent="0.25">
      <c r="A2396" t="str">
        <f t="shared" si="993"/>
        <v>04-08-2020 01:04:24</v>
      </c>
      <c r="B2396" t="str">
        <f>"0000808554"</f>
        <v>0000808554</v>
      </c>
      <c r="C2396" t="str">
        <f t="shared" si="994"/>
        <v>0000808396</v>
      </c>
      <c r="D2396" t="str">
        <f t="shared" si="978"/>
        <v>73185</v>
      </c>
      <c r="E2396" t="str">
        <f t="shared" si="979"/>
        <v>KFH-OPERATIONS DEPARTMENT</v>
      </c>
      <c r="F2396" t="str">
        <f t="shared" si="980"/>
        <v>IBG</v>
      </c>
      <c r="G2396" t="str">
        <f t="shared" si="991"/>
        <v>Refund COSHARE 10</v>
      </c>
      <c r="H2396" s="2">
        <v>44.35</v>
      </c>
      <c r="I2396" t="str">
        <f>"NURI  NORA BINTI BANGAR"</f>
        <v>NURI  NORA BINTI BANGAR</v>
      </c>
      <c r="J2396" t="str">
        <f t="shared" si="992"/>
        <v>MAYBANK / MAYBANK ISLAMIC</v>
      </c>
      <c r="K2396" t="str">
        <f>"160027240108"</f>
        <v>160027240108</v>
      </c>
      <c r="L2396" t="str">
        <f t="shared" si="995"/>
        <v>04-08-2020</v>
      </c>
      <c r="M2396" t="str">
        <f t="shared" si="995"/>
        <v>04-08-2020</v>
      </c>
      <c r="N2396" t="str">
        <f t="shared" si="981"/>
        <v>001105018356</v>
      </c>
      <c r="O2396" t="str">
        <f t="shared" si="982"/>
        <v>MYR</v>
      </c>
      <c r="P2396" t="str">
        <f t="shared" si="996"/>
        <v>NIL</v>
      </c>
      <c r="Q2396" t="str">
        <f t="shared" si="996"/>
        <v>NIL</v>
      </c>
      <c r="R2396" t="str">
        <f t="shared" si="983"/>
        <v>Accepted</v>
      </c>
      <c r="S2396" t="str">
        <f t="shared" si="984"/>
        <v>Approved</v>
      </c>
      <c r="T2396" t="str">
        <f t="shared" si="985"/>
        <v>10.20.8.188</v>
      </c>
      <c r="U2396" t="str">
        <f t="shared" si="986"/>
        <v>AZRAD UMAR BIN SHAARI</v>
      </c>
      <c r="V2396" t="str">
        <f t="shared" si="987"/>
        <v>FARHANA BINTI MUSTAPA</v>
      </c>
      <c r="W2396" t="str">
        <f t="shared" si="988"/>
        <v>04-08-2020</v>
      </c>
      <c r="X2396" t="str">
        <f t="shared" si="989"/>
        <v>RAZIMAH ANSAR AHMAD</v>
      </c>
      <c r="Y2396" t="str">
        <f t="shared" si="990"/>
        <v>04-08-2020</v>
      </c>
      <c r="Z2396" t="str">
        <f>"COS10200804 6758"</f>
        <v>COS10200804 6758</v>
      </c>
    </row>
    <row r="2397" spans="1:26" x14ac:dyDescent="0.25">
      <c r="A2397" t="str">
        <f t="shared" si="993"/>
        <v>04-08-2020 01:04:24</v>
      </c>
      <c r="B2397" t="str">
        <f>"0000808553"</f>
        <v>0000808553</v>
      </c>
      <c r="C2397" t="str">
        <f t="shared" si="994"/>
        <v>0000808396</v>
      </c>
      <c r="D2397" t="str">
        <f t="shared" si="978"/>
        <v>73185</v>
      </c>
      <c r="E2397" t="str">
        <f t="shared" si="979"/>
        <v>KFH-OPERATIONS DEPARTMENT</v>
      </c>
      <c r="F2397" t="str">
        <f t="shared" si="980"/>
        <v>IBG</v>
      </c>
      <c r="G2397" t="str">
        <f t="shared" si="991"/>
        <v>Refund COSHARE 10</v>
      </c>
      <c r="H2397" s="2">
        <v>84</v>
      </c>
      <c r="I2397" t="str">
        <f>"NURHIDAYU BINTI MAMAT"</f>
        <v>NURHIDAYU BINTI MAMAT</v>
      </c>
      <c r="J2397" t="str">
        <f t="shared" si="992"/>
        <v>MAYBANK / MAYBANK ISLAMIC</v>
      </c>
      <c r="K2397" t="str">
        <f>"154026426010"</f>
        <v>154026426010</v>
      </c>
      <c r="L2397" t="str">
        <f t="shared" si="995"/>
        <v>04-08-2020</v>
      </c>
      <c r="M2397" t="str">
        <f t="shared" si="995"/>
        <v>04-08-2020</v>
      </c>
      <c r="N2397" t="str">
        <f t="shared" si="981"/>
        <v>001105018356</v>
      </c>
      <c r="O2397" t="str">
        <f t="shared" si="982"/>
        <v>MYR</v>
      </c>
      <c r="P2397" t="str">
        <f t="shared" si="996"/>
        <v>NIL</v>
      </c>
      <c r="Q2397" t="str">
        <f t="shared" si="996"/>
        <v>NIL</v>
      </c>
      <c r="R2397" t="str">
        <f t="shared" si="983"/>
        <v>Accepted</v>
      </c>
      <c r="S2397" t="str">
        <f t="shared" si="984"/>
        <v>Approved</v>
      </c>
      <c r="T2397" t="str">
        <f t="shared" si="985"/>
        <v>10.20.8.188</v>
      </c>
      <c r="U2397" t="str">
        <f t="shared" si="986"/>
        <v>AZRAD UMAR BIN SHAARI</v>
      </c>
      <c r="V2397" t="str">
        <f t="shared" si="987"/>
        <v>FARHANA BINTI MUSTAPA</v>
      </c>
      <c r="W2397" t="str">
        <f t="shared" si="988"/>
        <v>04-08-2020</v>
      </c>
      <c r="X2397" t="str">
        <f t="shared" si="989"/>
        <v>RAZIMAH ANSAR AHMAD</v>
      </c>
      <c r="Y2397" t="str">
        <f t="shared" si="990"/>
        <v>04-08-2020</v>
      </c>
      <c r="Z2397" t="str">
        <f>"COS10200804 6757"</f>
        <v>COS10200804 6757</v>
      </c>
    </row>
    <row r="2398" spans="1:26" x14ac:dyDescent="0.25">
      <c r="A2398" t="str">
        <f t="shared" si="993"/>
        <v>04-08-2020 01:04:24</v>
      </c>
      <c r="B2398" t="str">
        <f>"0000808552"</f>
        <v>0000808552</v>
      </c>
      <c r="C2398" t="str">
        <f t="shared" si="994"/>
        <v>0000808396</v>
      </c>
      <c r="D2398" t="str">
        <f t="shared" si="978"/>
        <v>73185</v>
      </c>
      <c r="E2398" t="str">
        <f t="shared" si="979"/>
        <v>KFH-OPERATIONS DEPARTMENT</v>
      </c>
      <c r="F2398" t="str">
        <f t="shared" si="980"/>
        <v>IBG</v>
      </c>
      <c r="G2398" t="str">
        <f t="shared" si="991"/>
        <v>Refund COSHARE 10</v>
      </c>
      <c r="H2398" s="2">
        <v>520.65</v>
      </c>
      <c r="I2398" t="str">
        <f>"NURHIDAYAH BINTI ZULKIPLI"</f>
        <v>NURHIDAYAH BINTI ZULKIPLI</v>
      </c>
      <c r="J2398" t="str">
        <f t="shared" si="992"/>
        <v>MAYBANK / MAYBANK ISLAMIC</v>
      </c>
      <c r="K2398" t="str">
        <f>"158042640365"</f>
        <v>158042640365</v>
      </c>
      <c r="L2398" t="str">
        <f t="shared" si="995"/>
        <v>04-08-2020</v>
      </c>
      <c r="M2398" t="str">
        <f t="shared" si="995"/>
        <v>04-08-2020</v>
      </c>
      <c r="N2398" t="str">
        <f t="shared" si="981"/>
        <v>001105018356</v>
      </c>
      <c r="O2398" t="str">
        <f t="shared" si="982"/>
        <v>MYR</v>
      </c>
      <c r="P2398" t="str">
        <f t="shared" si="996"/>
        <v>NIL</v>
      </c>
      <c r="Q2398" t="str">
        <f t="shared" si="996"/>
        <v>NIL</v>
      </c>
      <c r="R2398" t="str">
        <f t="shared" si="983"/>
        <v>Accepted</v>
      </c>
      <c r="S2398" t="str">
        <f t="shared" si="984"/>
        <v>Approved</v>
      </c>
      <c r="T2398" t="str">
        <f t="shared" si="985"/>
        <v>10.20.8.188</v>
      </c>
      <c r="U2398" t="str">
        <f t="shared" si="986"/>
        <v>AZRAD UMAR BIN SHAARI</v>
      </c>
      <c r="V2398" t="str">
        <f t="shared" si="987"/>
        <v>FARHANA BINTI MUSTAPA</v>
      </c>
      <c r="W2398" t="str">
        <f t="shared" si="988"/>
        <v>04-08-2020</v>
      </c>
      <c r="X2398" t="str">
        <f t="shared" si="989"/>
        <v>RAZIMAH ANSAR AHMAD</v>
      </c>
      <c r="Y2398" t="str">
        <f t="shared" si="990"/>
        <v>04-08-2020</v>
      </c>
      <c r="Z2398" t="str">
        <f>"COS10200804 6756"</f>
        <v>COS10200804 6756</v>
      </c>
    </row>
    <row r="2399" spans="1:26" x14ac:dyDescent="0.25">
      <c r="A2399" t="str">
        <f t="shared" si="993"/>
        <v>04-08-2020 01:04:24</v>
      </c>
      <c r="B2399" t="str">
        <f>"0000808551"</f>
        <v>0000808551</v>
      </c>
      <c r="C2399" t="str">
        <f t="shared" si="994"/>
        <v>0000808396</v>
      </c>
      <c r="D2399" t="str">
        <f t="shared" si="978"/>
        <v>73185</v>
      </c>
      <c r="E2399" t="str">
        <f t="shared" si="979"/>
        <v>KFH-OPERATIONS DEPARTMENT</v>
      </c>
      <c r="F2399" t="str">
        <f t="shared" si="980"/>
        <v>IBG</v>
      </c>
      <c r="G2399" t="str">
        <f t="shared" si="991"/>
        <v>Refund COSHARE 10</v>
      </c>
      <c r="H2399" s="2">
        <v>1620.25</v>
      </c>
      <c r="I2399" t="str">
        <f>"NURHAZLINDA  AZLIN BT MD ARIS"</f>
        <v>NURHAZLINDA  AZLIN BT MD ARIS</v>
      </c>
      <c r="J2399" t="str">
        <f t="shared" si="992"/>
        <v>MAYBANK / MAYBANK ISLAMIC</v>
      </c>
      <c r="K2399" t="str">
        <f>"164221306120"</f>
        <v>164221306120</v>
      </c>
      <c r="L2399" t="str">
        <f t="shared" si="995"/>
        <v>04-08-2020</v>
      </c>
      <c r="M2399" t="str">
        <f t="shared" si="995"/>
        <v>04-08-2020</v>
      </c>
      <c r="N2399" t="str">
        <f t="shared" si="981"/>
        <v>001105018356</v>
      </c>
      <c r="O2399" t="str">
        <f t="shared" si="982"/>
        <v>MYR</v>
      </c>
      <c r="P2399" t="str">
        <f t="shared" si="996"/>
        <v>NIL</v>
      </c>
      <c r="Q2399" t="str">
        <f t="shared" si="996"/>
        <v>NIL</v>
      </c>
      <c r="R2399" t="str">
        <f t="shared" si="983"/>
        <v>Accepted</v>
      </c>
      <c r="S2399" t="str">
        <f t="shared" si="984"/>
        <v>Approved</v>
      </c>
      <c r="T2399" t="str">
        <f t="shared" si="985"/>
        <v>10.20.8.188</v>
      </c>
      <c r="U2399" t="str">
        <f t="shared" si="986"/>
        <v>AZRAD UMAR BIN SHAARI</v>
      </c>
      <c r="V2399" t="str">
        <f t="shared" si="987"/>
        <v>FARHANA BINTI MUSTAPA</v>
      </c>
      <c r="W2399" t="str">
        <f t="shared" si="988"/>
        <v>04-08-2020</v>
      </c>
      <c r="X2399" t="str">
        <f t="shared" si="989"/>
        <v>RAZIMAH ANSAR AHMAD</v>
      </c>
      <c r="Y2399" t="str">
        <f t="shared" si="990"/>
        <v>04-08-2020</v>
      </c>
      <c r="Z2399" t="str">
        <f>"COS10200804 6755"</f>
        <v>COS10200804 6755</v>
      </c>
    </row>
    <row r="2400" spans="1:26" x14ac:dyDescent="0.25">
      <c r="A2400" t="str">
        <f t="shared" si="993"/>
        <v>04-08-2020 01:04:24</v>
      </c>
      <c r="B2400" t="str">
        <f>"0000808550"</f>
        <v>0000808550</v>
      </c>
      <c r="C2400" t="str">
        <f t="shared" si="994"/>
        <v>0000808396</v>
      </c>
      <c r="D2400" t="str">
        <f t="shared" si="978"/>
        <v>73185</v>
      </c>
      <c r="E2400" t="str">
        <f t="shared" si="979"/>
        <v>KFH-OPERATIONS DEPARTMENT</v>
      </c>
      <c r="F2400" t="str">
        <f t="shared" si="980"/>
        <v>IBG</v>
      </c>
      <c r="G2400" t="str">
        <f t="shared" si="991"/>
        <v>Refund COSHARE 10</v>
      </c>
      <c r="H2400" s="2">
        <v>923.45</v>
      </c>
      <c r="I2400" t="str">
        <f>"NURHAZLINA BINTI HASSAN"</f>
        <v>NURHAZLINA BINTI HASSAN</v>
      </c>
      <c r="J2400" t="str">
        <f t="shared" si="992"/>
        <v>MAYBANK / MAYBANK ISLAMIC</v>
      </c>
      <c r="K2400" t="str">
        <f>"151119135215"</f>
        <v>151119135215</v>
      </c>
      <c r="L2400" t="str">
        <f t="shared" si="995"/>
        <v>04-08-2020</v>
      </c>
      <c r="M2400" t="str">
        <f t="shared" si="995"/>
        <v>04-08-2020</v>
      </c>
      <c r="N2400" t="str">
        <f t="shared" si="981"/>
        <v>001105018356</v>
      </c>
      <c r="O2400" t="str">
        <f t="shared" si="982"/>
        <v>MYR</v>
      </c>
      <c r="P2400" t="str">
        <f t="shared" si="996"/>
        <v>NIL</v>
      </c>
      <c r="Q2400" t="str">
        <f t="shared" si="996"/>
        <v>NIL</v>
      </c>
      <c r="R2400" t="str">
        <f t="shared" si="983"/>
        <v>Accepted</v>
      </c>
      <c r="S2400" t="str">
        <f t="shared" si="984"/>
        <v>Approved</v>
      </c>
      <c r="T2400" t="str">
        <f t="shared" si="985"/>
        <v>10.20.8.188</v>
      </c>
      <c r="U2400" t="str">
        <f t="shared" si="986"/>
        <v>AZRAD UMAR BIN SHAARI</v>
      </c>
      <c r="V2400" t="str">
        <f t="shared" si="987"/>
        <v>FARHANA BINTI MUSTAPA</v>
      </c>
      <c r="W2400" t="str">
        <f t="shared" si="988"/>
        <v>04-08-2020</v>
      </c>
      <c r="X2400" t="str">
        <f t="shared" si="989"/>
        <v>RAZIMAH ANSAR AHMAD</v>
      </c>
      <c r="Y2400" t="str">
        <f t="shared" si="990"/>
        <v>04-08-2020</v>
      </c>
      <c r="Z2400" t="str">
        <f>"COS10200804 6754"</f>
        <v>COS10200804 6754</v>
      </c>
    </row>
    <row r="2401" spans="1:26" x14ac:dyDescent="0.25">
      <c r="A2401" t="str">
        <f t="shared" si="993"/>
        <v>04-08-2020 01:04:24</v>
      </c>
      <c r="B2401" t="str">
        <f>"0000808549"</f>
        <v>0000808549</v>
      </c>
      <c r="C2401" t="str">
        <f t="shared" si="994"/>
        <v>0000808396</v>
      </c>
      <c r="D2401" t="str">
        <f t="shared" si="978"/>
        <v>73185</v>
      </c>
      <c r="E2401" t="str">
        <f t="shared" si="979"/>
        <v>KFH-OPERATIONS DEPARTMENT</v>
      </c>
      <c r="F2401" t="str">
        <f t="shared" si="980"/>
        <v>IBG</v>
      </c>
      <c r="G2401" t="str">
        <f t="shared" si="991"/>
        <v>Refund COSHARE 10</v>
      </c>
      <c r="H2401" s="2">
        <v>380</v>
      </c>
      <c r="I2401" t="str">
        <f>"NURHAZIMAH BINTI OTHMAN"</f>
        <v>NURHAZIMAH BINTI OTHMAN</v>
      </c>
      <c r="J2401" t="str">
        <f t="shared" si="992"/>
        <v>MAYBANK / MAYBANK ISLAMIC</v>
      </c>
      <c r="K2401" t="str">
        <f>"164016056470"</f>
        <v>164016056470</v>
      </c>
      <c r="L2401" t="str">
        <f t="shared" si="995"/>
        <v>04-08-2020</v>
      </c>
      <c r="M2401" t="str">
        <f t="shared" si="995"/>
        <v>04-08-2020</v>
      </c>
      <c r="N2401" t="str">
        <f t="shared" si="981"/>
        <v>001105018356</v>
      </c>
      <c r="O2401" t="str">
        <f t="shared" si="982"/>
        <v>MYR</v>
      </c>
      <c r="P2401" t="str">
        <f t="shared" si="996"/>
        <v>NIL</v>
      </c>
      <c r="Q2401" t="str">
        <f t="shared" si="996"/>
        <v>NIL</v>
      </c>
      <c r="R2401" t="str">
        <f t="shared" si="983"/>
        <v>Accepted</v>
      </c>
      <c r="S2401" t="str">
        <f t="shared" si="984"/>
        <v>Approved</v>
      </c>
      <c r="T2401" t="str">
        <f t="shared" si="985"/>
        <v>10.20.8.188</v>
      </c>
      <c r="U2401" t="str">
        <f t="shared" si="986"/>
        <v>AZRAD UMAR BIN SHAARI</v>
      </c>
      <c r="V2401" t="str">
        <f t="shared" si="987"/>
        <v>FARHANA BINTI MUSTAPA</v>
      </c>
      <c r="W2401" t="str">
        <f t="shared" si="988"/>
        <v>04-08-2020</v>
      </c>
      <c r="X2401" t="str">
        <f t="shared" si="989"/>
        <v>RAZIMAH ANSAR AHMAD</v>
      </c>
      <c r="Y2401" t="str">
        <f t="shared" si="990"/>
        <v>04-08-2020</v>
      </c>
      <c r="Z2401" t="str">
        <f>"COS10200804 6753"</f>
        <v>COS10200804 6753</v>
      </c>
    </row>
    <row r="2402" spans="1:26" x14ac:dyDescent="0.25">
      <c r="A2402" t="str">
        <f t="shared" si="993"/>
        <v>04-08-2020 01:04:24</v>
      </c>
      <c r="B2402" t="str">
        <f>"0000808548"</f>
        <v>0000808548</v>
      </c>
      <c r="C2402" t="str">
        <f t="shared" si="994"/>
        <v>0000808396</v>
      </c>
      <c r="D2402" t="str">
        <f t="shared" si="978"/>
        <v>73185</v>
      </c>
      <c r="E2402" t="str">
        <f t="shared" si="979"/>
        <v>KFH-OPERATIONS DEPARTMENT</v>
      </c>
      <c r="F2402" t="str">
        <f t="shared" si="980"/>
        <v>IBG</v>
      </c>
      <c r="G2402" t="str">
        <f t="shared" si="991"/>
        <v>Refund COSHARE 10</v>
      </c>
      <c r="H2402" s="2">
        <v>1217.3</v>
      </c>
      <c r="I2402" t="str">
        <f>"NURHASLINDA BINTI HASAN"</f>
        <v>NURHASLINDA BINTI HASAN</v>
      </c>
      <c r="J2402" t="str">
        <f t="shared" si="992"/>
        <v>MAYBANK / MAYBANK ISLAMIC</v>
      </c>
      <c r="K2402" t="str">
        <f>"162263043284"</f>
        <v>162263043284</v>
      </c>
      <c r="L2402" t="str">
        <f t="shared" si="995"/>
        <v>04-08-2020</v>
      </c>
      <c r="M2402" t="str">
        <f t="shared" si="995"/>
        <v>04-08-2020</v>
      </c>
      <c r="N2402" t="str">
        <f t="shared" si="981"/>
        <v>001105018356</v>
      </c>
      <c r="O2402" t="str">
        <f t="shared" si="982"/>
        <v>MYR</v>
      </c>
      <c r="P2402" t="str">
        <f t="shared" si="996"/>
        <v>NIL</v>
      </c>
      <c r="Q2402" t="str">
        <f t="shared" si="996"/>
        <v>NIL</v>
      </c>
      <c r="R2402" t="str">
        <f t="shared" si="983"/>
        <v>Accepted</v>
      </c>
      <c r="S2402" t="str">
        <f t="shared" si="984"/>
        <v>Approved</v>
      </c>
      <c r="T2402" t="str">
        <f t="shared" si="985"/>
        <v>10.20.8.188</v>
      </c>
      <c r="U2402" t="str">
        <f t="shared" si="986"/>
        <v>AZRAD UMAR BIN SHAARI</v>
      </c>
      <c r="V2402" t="str">
        <f t="shared" si="987"/>
        <v>FARHANA BINTI MUSTAPA</v>
      </c>
      <c r="W2402" t="str">
        <f t="shared" si="988"/>
        <v>04-08-2020</v>
      </c>
      <c r="X2402" t="str">
        <f t="shared" si="989"/>
        <v>RAZIMAH ANSAR AHMAD</v>
      </c>
      <c r="Y2402" t="str">
        <f t="shared" si="990"/>
        <v>04-08-2020</v>
      </c>
      <c r="Z2402" t="str">
        <f>"COS10200804 6752"</f>
        <v>COS10200804 6752</v>
      </c>
    </row>
    <row r="2403" spans="1:26" x14ac:dyDescent="0.25">
      <c r="A2403" t="str">
        <f t="shared" si="993"/>
        <v>04-08-2020 01:04:24</v>
      </c>
      <c r="B2403" t="str">
        <f>"0000808547"</f>
        <v>0000808547</v>
      </c>
      <c r="C2403" t="str">
        <f t="shared" si="994"/>
        <v>0000808396</v>
      </c>
      <c r="D2403" t="str">
        <f t="shared" si="978"/>
        <v>73185</v>
      </c>
      <c r="E2403" t="str">
        <f t="shared" si="979"/>
        <v>KFH-OPERATIONS DEPARTMENT</v>
      </c>
      <c r="F2403" t="str">
        <f t="shared" si="980"/>
        <v>IBG</v>
      </c>
      <c r="G2403" t="str">
        <f t="shared" si="991"/>
        <v>Refund COSHARE 10</v>
      </c>
      <c r="H2403" s="2">
        <v>58.8</v>
      </c>
      <c r="I2403" t="str">
        <f>"NURHAIDA ILYANI BINTI ABD HADI"</f>
        <v>NURHAIDA ILYANI BINTI ABD HADI</v>
      </c>
      <c r="J2403" t="str">
        <f t="shared" si="992"/>
        <v>MAYBANK / MAYBANK ISLAMIC</v>
      </c>
      <c r="K2403" t="str">
        <f>"156169057297"</f>
        <v>156169057297</v>
      </c>
      <c r="L2403" t="str">
        <f t="shared" si="995"/>
        <v>04-08-2020</v>
      </c>
      <c r="M2403" t="str">
        <f t="shared" si="995"/>
        <v>04-08-2020</v>
      </c>
      <c r="N2403" t="str">
        <f t="shared" si="981"/>
        <v>001105018356</v>
      </c>
      <c r="O2403" t="str">
        <f t="shared" si="982"/>
        <v>MYR</v>
      </c>
      <c r="P2403" t="str">
        <f t="shared" si="996"/>
        <v>NIL</v>
      </c>
      <c r="Q2403" t="str">
        <f t="shared" si="996"/>
        <v>NIL</v>
      </c>
      <c r="R2403" t="str">
        <f t="shared" si="983"/>
        <v>Accepted</v>
      </c>
      <c r="S2403" t="str">
        <f t="shared" si="984"/>
        <v>Approved</v>
      </c>
      <c r="T2403" t="str">
        <f t="shared" si="985"/>
        <v>10.20.8.188</v>
      </c>
      <c r="U2403" t="str">
        <f t="shared" si="986"/>
        <v>AZRAD UMAR BIN SHAARI</v>
      </c>
      <c r="V2403" t="str">
        <f t="shared" si="987"/>
        <v>FARHANA BINTI MUSTAPA</v>
      </c>
      <c r="W2403" t="str">
        <f t="shared" si="988"/>
        <v>04-08-2020</v>
      </c>
      <c r="X2403" t="str">
        <f t="shared" si="989"/>
        <v>RAZIMAH ANSAR AHMAD</v>
      </c>
      <c r="Y2403" t="str">
        <f t="shared" si="990"/>
        <v>04-08-2020</v>
      </c>
      <c r="Z2403" t="str">
        <f>"COS10200804 6751"</f>
        <v>COS10200804 6751</v>
      </c>
    </row>
    <row r="2404" spans="1:26" x14ac:dyDescent="0.25">
      <c r="A2404" t="str">
        <f t="shared" si="993"/>
        <v>04-08-2020 01:04:24</v>
      </c>
      <c r="B2404" t="str">
        <f>"0000808546"</f>
        <v>0000808546</v>
      </c>
      <c r="C2404" t="str">
        <f t="shared" si="994"/>
        <v>0000808396</v>
      </c>
      <c r="D2404" t="str">
        <f t="shared" si="978"/>
        <v>73185</v>
      </c>
      <c r="E2404" t="str">
        <f t="shared" si="979"/>
        <v>KFH-OPERATIONS DEPARTMENT</v>
      </c>
      <c r="F2404" t="str">
        <f t="shared" si="980"/>
        <v>IBG</v>
      </c>
      <c r="G2404" t="str">
        <f t="shared" si="991"/>
        <v>Refund COSHARE 10</v>
      </c>
      <c r="H2404" s="2">
        <v>1120.5999999999999</v>
      </c>
      <c r="I2404" t="str">
        <f>"NURHAFIZAH BINTI MOHAMAD NOR"</f>
        <v>NURHAFIZAH BINTI MOHAMAD NOR</v>
      </c>
      <c r="J2404" t="str">
        <f t="shared" si="992"/>
        <v>MAYBANK / MAYBANK ISLAMIC</v>
      </c>
      <c r="K2404" t="str">
        <f>"114160727715"</f>
        <v>114160727715</v>
      </c>
      <c r="L2404" t="str">
        <f t="shared" si="995"/>
        <v>04-08-2020</v>
      </c>
      <c r="M2404" t="str">
        <f t="shared" si="995"/>
        <v>04-08-2020</v>
      </c>
      <c r="N2404" t="str">
        <f t="shared" si="981"/>
        <v>001105018356</v>
      </c>
      <c r="O2404" t="str">
        <f t="shared" si="982"/>
        <v>MYR</v>
      </c>
      <c r="P2404" t="str">
        <f t="shared" si="996"/>
        <v>NIL</v>
      </c>
      <c r="Q2404" t="str">
        <f t="shared" si="996"/>
        <v>NIL</v>
      </c>
      <c r="R2404" t="str">
        <f t="shared" si="983"/>
        <v>Accepted</v>
      </c>
      <c r="S2404" t="str">
        <f t="shared" si="984"/>
        <v>Approved</v>
      </c>
      <c r="T2404" t="str">
        <f t="shared" si="985"/>
        <v>10.20.8.188</v>
      </c>
      <c r="U2404" t="str">
        <f t="shared" si="986"/>
        <v>AZRAD UMAR BIN SHAARI</v>
      </c>
      <c r="V2404" t="str">
        <f t="shared" si="987"/>
        <v>FARHANA BINTI MUSTAPA</v>
      </c>
      <c r="W2404" t="str">
        <f t="shared" si="988"/>
        <v>04-08-2020</v>
      </c>
      <c r="X2404" t="str">
        <f t="shared" si="989"/>
        <v>RAZIMAH ANSAR AHMAD</v>
      </c>
      <c r="Y2404" t="str">
        <f t="shared" si="990"/>
        <v>04-08-2020</v>
      </c>
      <c r="Z2404" t="str">
        <f>"COS10200804 6750"</f>
        <v>COS10200804 6750</v>
      </c>
    </row>
    <row r="2405" spans="1:26" x14ac:dyDescent="0.25">
      <c r="A2405" t="str">
        <f t="shared" si="993"/>
        <v>04-08-2020 01:04:24</v>
      </c>
      <c r="B2405" t="str">
        <f>"0000808545"</f>
        <v>0000808545</v>
      </c>
      <c r="C2405" t="str">
        <f t="shared" si="994"/>
        <v>0000808396</v>
      </c>
      <c r="D2405" t="str">
        <f t="shared" si="978"/>
        <v>73185</v>
      </c>
      <c r="E2405" t="str">
        <f t="shared" si="979"/>
        <v>KFH-OPERATIONS DEPARTMENT</v>
      </c>
      <c r="F2405" t="str">
        <f t="shared" si="980"/>
        <v>IBG</v>
      </c>
      <c r="G2405" t="str">
        <f t="shared" si="991"/>
        <v>Refund COSHARE 10</v>
      </c>
      <c r="H2405" s="2">
        <v>159.5</v>
      </c>
      <c r="I2405" t="str">
        <f>"NURHAFILAH AKMAR BINTI SUID"</f>
        <v>NURHAFILAH AKMAR BINTI SUID</v>
      </c>
      <c r="J2405" t="str">
        <f t="shared" si="992"/>
        <v>MAYBANK / MAYBANK ISLAMIC</v>
      </c>
      <c r="K2405" t="str">
        <f>"157139853106"</f>
        <v>157139853106</v>
      </c>
      <c r="L2405" t="str">
        <f t="shared" si="995"/>
        <v>04-08-2020</v>
      </c>
      <c r="M2405" t="str">
        <f t="shared" si="995"/>
        <v>04-08-2020</v>
      </c>
      <c r="N2405" t="str">
        <f t="shared" si="981"/>
        <v>001105018356</v>
      </c>
      <c r="O2405" t="str">
        <f t="shared" si="982"/>
        <v>MYR</v>
      </c>
      <c r="P2405" t="str">
        <f t="shared" si="996"/>
        <v>NIL</v>
      </c>
      <c r="Q2405" t="str">
        <f t="shared" si="996"/>
        <v>NIL</v>
      </c>
      <c r="R2405" t="str">
        <f t="shared" si="983"/>
        <v>Accepted</v>
      </c>
      <c r="S2405" t="str">
        <f t="shared" si="984"/>
        <v>Approved</v>
      </c>
      <c r="T2405" t="str">
        <f t="shared" si="985"/>
        <v>10.20.8.188</v>
      </c>
      <c r="U2405" t="str">
        <f t="shared" si="986"/>
        <v>AZRAD UMAR BIN SHAARI</v>
      </c>
      <c r="V2405" t="str">
        <f t="shared" si="987"/>
        <v>FARHANA BINTI MUSTAPA</v>
      </c>
      <c r="W2405" t="str">
        <f t="shared" si="988"/>
        <v>04-08-2020</v>
      </c>
      <c r="X2405" t="str">
        <f t="shared" si="989"/>
        <v>RAZIMAH ANSAR AHMAD</v>
      </c>
      <c r="Y2405" t="str">
        <f t="shared" si="990"/>
        <v>04-08-2020</v>
      </c>
      <c r="Z2405" t="str">
        <f>"COS10200804 6749"</f>
        <v>COS10200804 6749</v>
      </c>
    </row>
    <row r="2406" spans="1:26" x14ac:dyDescent="0.25">
      <c r="A2406" t="str">
        <f t="shared" si="993"/>
        <v>04-08-2020 01:04:24</v>
      </c>
      <c r="B2406" t="str">
        <f>"0000808544"</f>
        <v>0000808544</v>
      </c>
      <c r="C2406" t="str">
        <f t="shared" si="994"/>
        <v>0000808396</v>
      </c>
      <c r="D2406" t="str">
        <f t="shared" si="978"/>
        <v>73185</v>
      </c>
      <c r="E2406" t="str">
        <f t="shared" si="979"/>
        <v>KFH-OPERATIONS DEPARTMENT</v>
      </c>
      <c r="F2406" t="str">
        <f t="shared" si="980"/>
        <v>IBG</v>
      </c>
      <c r="G2406" t="str">
        <f t="shared" si="991"/>
        <v>Refund COSHARE 10</v>
      </c>
      <c r="H2406" s="2">
        <v>100.75</v>
      </c>
      <c r="I2406" t="str">
        <f>"NURHADAYAH BINTI MOHAMAD ZALI"</f>
        <v>NURHADAYAH BINTI MOHAMAD ZALI</v>
      </c>
      <c r="J2406" t="str">
        <f t="shared" si="992"/>
        <v>MAYBANK / MAYBANK ISLAMIC</v>
      </c>
      <c r="K2406" t="str">
        <f>"108300044803"</f>
        <v>108300044803</v>
      </c>
      <c r="L2406" t="str">
        <f t="shared" si="995"/>
        <v>04-08-2020</v>
      </c>
      <c r="M2406" t="str">
        <f t="shared" si="995"/>
        <v>04-08-2020</v>
      </c>
      <c r="N2406" t="str">
        <f t="shared" si="981"/>
        <v>001105018356</v>
      </c>
      <c r="O2406" t="str">
        <f t="shared" si="982"/>
        <v>MYR</v>
      </c>
      <c r="P2406" t="str">
        <f t="shared" si="996"/>
        <v>NIL</v>
      </c>
      <c r="Q2406" t="str">
        <f t="shared" si="996"/>
        <v>NIL</v>
      </c>
      <c r="R2406" t="str">
        <f t="shared" si="983"/>
        <v>Accepted</v>
      </c>
      <c r="S2406" t="str">
        <f t="shared" si="984"/>
        <v>Approved</v>
      </c>
      <c r="T2406" t="str">
        <f t="shared" si="985"/>
        <v>10.20.8.188</v>
      </c>
      <c r="U2406" t="str">
        <f t="shared" si="986"/>
        <v>AZRAD UMAR BIN SHAARI</v>
      </c>
      <c r="V2406" t="str">
        <f t="shared" si="987"/>
        <v>FARHANA BINTI MUSTAPA</v>
      </c>
      <c r="W2406" t="str">
        <f t="shared" si="988"/>
        <v>04-08-2020</v>
      </c>
      <c r="X2406" t="str">
        <f t="shared" si="989"/>
        <v>RAZIMAH ANSAR AHMAD</v>
      </c>
      <c r="Y2406" t="str">
        <f t="shared" si="990"/>
        <v>04-08-2020</v>
      </c>
      <c r="Z2406" t="str">
        <f>"COS10200804 6748"</f>
        <v>COS10200804 6748</v>
      </c>
    </row>
    <row r="2407" spans="1:26" x14ac:dyDescent="0.25">
      <c r="A2407" t="str">
        <f t="shared" si="993"/>
        <v>04-08-2020 01:04:24</v>
      </c>
      <c r="B2407" t="str">
        <f>"0000808543"</f>
        <v>0000808543</v>
      </c>
      <c r="C2407" t="str">
        <f t="shared" si="994"/>
        <v>0000808396</v>
      </c>
      <c r="D2407" t="str">
        <f t="shared" si="978"/>
        <v>73185</v>
      </c>
      <c r="E2407" t="str">
        <f t="shared" si="979"/>
        <v>KFH-OPERATIONS DEPARTMENT</v>
      </c>
      <c r="F2407" t="str">
        <f t="shared" si="980"/>
        <v>IBG</v>
      </c>
      <c r="G2407" t="str">
        <f t="shared" si="991"/>
        <v>Refund COSHARE 10</v>
      </c>
      <c r="H2407" s="2">
        <v>294</v>
      </c>
      <c r="I2407" t="str">
        <f>"NURFATIN BINTI ZAILAN ASMADI"</f>
        <v>NURFATIN BINTI ZAILAN ASMADI</v>
      </c>
      <c r="J2407" t="str">
        <f t="shared" si="992"/>
        <v>MAYBANK / MAYBANK ISLAMIC</v>
      </c>
      <c r="K2407" t="str">
        <f>"153010457293"</f>
        <v>153010457293</v>
      </c>
      <c r="L2407" t="str">
        <f t="shared" ref="L2407:M2426" si="997">"04-08-2020"</f>
        <v>04-08-2020</v>
      </c>
      <c r="M2407" t="str">
        <f t="shared" si="997"/>
        <v>04-08-2020</v>
      </c>
      <c r="N2407" t="str">
        <f t="shared" si="981"/>
        <v>001105018356</v>
      </c>
      <c r="O2407" t="str">
        <f t="shared" si="982"/>
        <v>MYR</v>
      </c>
      <c r="P2407" t="str">
        <f t="shared" ref="P2407:Q2426" si="998">"NIL"</f>
        <v>NIL</v>
      </c>
      <c r="Q2407" t="str">
        <f t="shared" si="998"/>
        <v>NIL</v>
      </c>
      <c r="R2407" t="str">
        <f t="shared" si="983"/>
        <v>Accepted</v>
      </c>
      <c r="S2407" t="str">
        <f t="shared" si="984"/>
        <v>Approved</v>
      </c>
      <c r="T2407" t="str">
        <f t="shared" si="985"/>
        <v>10.20.8.188</v>
      </c>
      <c r="U2407" t="str">
        <f t="shared" si="986"/>
        <v>AZRAD UMAR BIN SHAARI</v>
      </c>
      <c r="V2407" t="str">
        <f t="shared" si="987"/>
        <v>FARHANA BINTI MUSTAPA</v>
      </c>
      <c r="W2407" t="str">
        <f t="shared" si="988"/>
        <v>04-08-2020</v>
      </c>
      <c r="X2407" t="str">
        <f t="shared" si="989"/>
        <v>RAZIMAH ANSAR AHMAD</v>
      </c>
      <c r="Y2407" t="str">
        <f t="shared" si="990"/>
        <v>04-08-2020</v>
      </c>
      <c r="Z2407" t="str">
        <f>"COS10200804 6747"</f>
        <v>COS10200804 6747</v>
      </c>
    </row>
    <row r="2408" spans="1:26" x14ac:dyDescent="0.25">
      <c r="A2408" t="str">
        <f t="shared" si="993"/>
        <v>04-08-2020 01:04:24</v>
      </c>
      <c r="B2408" t="str">
        <f>"0000808542"</f>
        <v>0000808542</v>
      </c>
      <c r="C2408" t="str">
        <f t="shared" si="994"/>
        <v>0000808396</v>
      </c>
      <c r="D2408" t="str">
        <f t="shared" si="978"/>
        <v>73185</v>
      </c>
      <c r="E2408" t="str">
        <f t="shared" si="979"/>
        <v>KFH-OPERATIONS DEPARTMENT</v>
      </c>
      <c r="F2408" t="str">
        <f t="shared" si="980"/>
        <v>IBG</v>
      </c>
      <c r="G2408" t="str">
        <f t="shared" si="991"/>
        <v>Refund COSHARE 10</v>
      </c>
      <c r="H2408" s="2">
        <v>646.45000000000005</v>
      </c>
      <c r="I2408" t="str">
        <f>"NURFADILAH BINTI MOHD ALI  SHAZALI"</f>
        <v>NURFADILAH BINTI MOHD ALI  SHAZALI</v>
      </c>
      <c r="J2408" t="str">
        <f t="shared" si="992"/>
        <v>MAYBANK / MAYBANK ISLAMIC</v>
      </c>
      <c r="K2408" t="str">
        <f>"158118079536"</f>
        <v>158118079536</v>
      </c>
      <c r="L2408" t="str">
        <f t="shared" si="997"/>
        <v>04-08-2020</v>
      </c>
      <c r="M2408" t="str">
        <f t="shared" si="997"/>
        <v>04-08-2020</v>
      </c>
      <c r="N2408" t="str">
        <f t="shared" si="981"/>
        <v>001105018356</v>
      </c>
      <c r="O2408" t="str">
        <f t="shared" si="982"/>
        <v>MYR</v>
      </c>
      <c r="P2408" t="str">
        <f t="shared" si="998"/>
        <v>NIL</v>
      </c>
      <c r="Q2408" t="str">
        <f t="shared" si="998"/>
        <v>NIL</v>
      </c>
      <c r="R2408" t="str">
        <f t="shared" si="983"/>
        <v>Accepted</v>
      </c>
      <c r="S2408" t="str">
        <f t="shared" si="984"/>
        <v>Approved</v>
      </c>
      <c r="T2408" t="str">
        <f t="shared" si="985"/>
        <v>10.20.8.188</v>
      </c>
      <c r="U2408" t="str">
        <f t="shared" si="986"/>
        <v>AZRAD UMAR BIN SHAARI</v>
      </c>
      <c r="V2408" t="str">
        <f t="shared" si="987"/>
        <v>FARHANA BINTI MUSTAPA</v>
      </c>
      <c r="W2408" t="str">
        <f t="shared" si="988"/>
        <v>04-08-2020</v>
      </c>
      <c r="X2408" t="str">
        <f t="shared" si="989"/>
        <v>RAZIMAH ANSAR AHMAD</v>
      </c>
      <c r="Y2408" t="str">
        <f t="shared" si="990"/>
        <v>04-08-2020</v>
      </c>
      <c r="Z2408" t="str">
        <f>"COS10200804 6746"</f>
        <v>COS10200804 6746</v>
      </c>
    </row>
    <row r="2409" spans="1:26" x14ac:dyDescent="0.25">
      <c r="A2409" t="str">
        <f t="shared" si="993"/>
        <v>04-08-2020 01:04:24</v>
      </c>
      <c r="B2409" t="str">
        <f>"0000808541"</f>
        <v>0000808541</v>
      </c>
      <c r="C2409" t="str">
        <f t="shared" si="994"/>
        <v>0000808396</v>
      </c>
      <c r="D2409" t="str">
        <f t="shared" si="978"/>
        <v>73185</v>
      </c>
      <c r="E2409" t="str">
        <f t="shared" si="979"/>
        <v>KFH-OPERATIONS DEPARTMENT</v>
      </c>
      <c r="F2409" t="str">
        <f t="shared" si="980"/>
        <v>IBG</v>
      </c>
      <c r="G2409" t="str">
        <f t="shared" si="991"/>
        <v>Refund COSHARE 10</v>
      </c>
      <c r="H2409" s="2">
        <v>562.5</v>
      </c>
      <c r="I2409" t="str">
        <f>"NUREEN SYUIDA BINTI OTHMAN"</f>
        <v>NUREEN SYUIDA BINTI OTHMAN</v>
      </c>
      <c r="J2409" t="str">
        <f t="shared" si="992"/>
        <v>MAYBANK / MAYBANK ISLAMIC</v>
      </c>
      <c r="K2409" t="str">
        <f>"155050298320"</f>
        <v>155050298320</v>
      </c>
      <c r="L2409" t="str">
        <f t="shared" si="997"/>
        <v>04-08-2020</v>
      </c>
      <c r="M2409" t="str">
        <f t="shared" si="997"/>
        <v>04-08-2020</v>
      </c>
      <c r="N2409" t="str">
        <f t="shared" si="981"/>
        <v>001105018356</v>
      </c>
      <c r="O2409" t="str">
        <f t="shared" si="982"/>
        <v>MYR</v>
      </c>
      <c r="P2409" t="str">
        <f t="shared" si="998"/>
        <v>NIL</v>
      </c>
      <c r="Q2409" t="str">
        <f t="shared" si="998"/>
        <v>NIL</v>
      </c>
      <c r="R2409" t="str">
        <f t="shared" si="983"/>
        <v>Accepted</v>
      </c>
      <c r="S2409" t="str">
        <f t="shared" si="984"/>
        <v>Approved</v>
      </c>
      <c r="T2409" t="str">
        <f t="shared" si="985"/>
        <v>10.20.8.188</v>
      </c>
      <c r="U2409" t="str">
        <f t="shared" si="986"/>
        <v>AZRAD UMAR BIN SHAARI</v>
      </c>
      <c r="V2409" t="str">
        <f t="shared" si="987"/>
        <v>FARHANA BINTI MUSTAPA</v>
      </c>
      <c r="W2409" t="str">
        <f t="shared" si="988"/>
        <v>04-08-2020</v>
      </c>
      <c r="X2409" t="str">
        <f t="shared" si="989"/>
        <v>RAZIMAH ANSAR AHMAD</v>
      </c>
      <c r="Y2409" t="str">
        <f t="shared" si="990"/>
        <v>04-08-2020</v>
      </c>
      <c r="Z2409" t="str">
        <f>"COS10200804 6745"</f>
        <v>COS10200804 6745</v>
      </c>
    </row>
    <row r="2410" spans="1:26" x14ac:dyDescent="0.25">
      <c r="A2410" t="str">
        <f t="shared" si="993"/>
        <v>04-08-2020 01:04:24</v>
      </c>
      <c r="B2410" t="str">
        <f>"0000808540"</f>
        <v>0000808540</v>
      </c>
      <c r="C2410" t="str">
        <f t="shared" si="994"/>
        <v>0000808396</v>
      </c>
      <c r="D2410" t="str">
        <f t="shared" si="978"/>
        <v>73185</v>
      </c>
      <c r="E2410" t="str">
        <f t="shared" si="979"/>
        <v>KFH-OPERATIONS DEPARTMENT</v>
      </c>
      <c r="F2410" t="str">
        <f t="shared" si="980"/>
        <v>IBG</v>
      </c>
      <c r="G2410" t="str">
        <f t="shared" si="991"/>
        <v>Refund COSHARE 10</v>
      </c>
      <c r="H2410" s="2">
        <v>147</v>
      </c>
      <c r="I2410" t="str">
        <f>"NURDIANA BINTI KASSIM"</f>
        <v>NURDIANA BINTI KASSIM</v>
      </c>
      <c r="J2410" t="str">
        <f t="shared" si="992"/>
        <v>MAYBANK / MAYBANK ISLAMIC</v>
      </c>
      <c r="K2410" t="str">
        <f>"151203886356"</f>
        <v>151203886356</v>
      </c>
      <c r="L2410" t="str">
        <f t="shared" si="997"/>
        <v>04-08-2020</v>
      </c>
      <c r="M2410" t="str">
        <f t="shared" si="997"/>
        <v>04-08-2020</v>
      </c>
      <c r="N2410" t="str">
        <f t="shared" si="981"/>
        <v>001105018356</v>
      </c>
      <c r="O2410" t="str">
        <f t="shared" si="982"/>
        <v>MYR</v>
      </c>
      <c r="P2410" t="str">
        <f t="shared" si="998"/>
        <v>NIL</v>
      </c>
      <c r="Q2410" t="str">
        <f t="shared" si="998"/>
        <v>NIL</v>
      </c>
      <c r="R2410" t="str">
        <f t="shared" si="983"/>
        <v>Accepted</v>
      </c>
      <c r="S2410" t="str">
        <f t="shared" si="984"/>
        <v>Approved</v>
      </c>
      <c r="T2410" t="str">
        <f t="shared" si="985"/>
        <v>10.20.8.188</v>
      </c>
      <c r="U2410" t="str">
        <f t="shared" si="986"/>
        <v>AZRAD UMAR BIN SHAARI</v>
      </c>
      <c r="V2410" t="str">
        <f t="shared" si="987"/>
        <v>FARHANA BINTI MUSTAPA</v>
      </c>
      <c r="W2410" t="str">
        <f t="shared" si="988"/>
        <v>04-08-2020</v>
      </c>
      <c r="X2410" t="str">
        <f t="shared" si="989"/>
        <v>RAZIMAH ANSAR AHMAD</v>
      </c>
      <c r="Y2410" t="str">
        <f t="shared" si="990"/>
        <v>04-08-2020</v>
      </c>
      <c r="Z2410" t="str">
        <f>"COS10200804 6744"</f>
        <v>COS10200804 6744</v>
      </c>
    </row>
    <row r="2411" spans="1:26" x14ac:dyDescent="0.25">
      <c r="A2411" t="str">
        <f t="shared" si="993"/>
        <v>04-08-2020 01:04:24</v>
      </c>
      <c r="B2411" t="str">
        <f>"0000808539"</f>
        <v>0000808539</v>
      </c>
      <c r="C2411" t="str">
        <f t="shared" si="994"/>
        <v>0000808396</v>
      </c>
      <c r="D2411" t="str">
        <f t="shared" si="978"/>
        <v>73185</v>
      </c>
      <c r="E2411" t="str">
        <f t="shared" si="979"/>
        <v>KFH-OPERATIONS DEPARTMENT</v>
      </c>
      <c r="F2411" t="str">
        <f t="shared" si="980"/>
        <v>IBG</v>
      </c>
      <c r="G2411" t="str">
        <f t="shared" si="991"/>
        <v>Refund COSHARE 10</v>
      </c>
      <c r="H2411" s="2">
        <v>479</v>
      </c>
      <c r="I2411" t="str">
        <f>"NURAZLINDA BINTI IBRAHIM"</f>
        <v>NURAZLINDA BINTI IBRAHIM</v>
      </c>
      <c r="J2411" t="str">
        <f t="shared" si="992"/>
        <v>MAYBANK / MAYBANK ISLAMIC</v>
      </c>
      <c r="K2411" t="str">
        <f>"164324308597"</f>
        <v>164324308597</v>
      </c>
      <c r="L2411" t="str">
        <f t="shared" si="997"/>
        <v>04-08-2020</v>
      </c>
      <c r="M2411" t="str">
        <f t="shared" si="997"/>
        <v>04-08-2020</v>
      </c>
      <c r="N2411" t="str">
        <f t="shared" si="981"/>
        <v>001105018356</v>
      </c>
      <c r="O2411" t="str">
        <f t="shared" si="982"/>
        <v>MYR</v>
      </c>
      <c r="P2411" t="str">
        <f t="shared" si="998"/>
        <v>NIL</v>
      </c>
      <c r="Q2411" t="str">
        <f t="shared" si="998"/>
        <v>NIL</v>
      </c>
      <c r="R2411" t="str">
        <f t="shared" si="983"/>
        <v>Accepted</v>
      </c>
      <c r="S2411" t="str">
        <f t="shared" si="984"/>
        <v>Approved</v>
      </c>
      <c r="T2411" t="str">
        <f t="shared" si="985"/>
        <v>10.20.8.188</v>
      </c>
      <c r="U2411" t="str">
        <f t="shared" si="986"/>
        <v>AZRAD UMAR BIN SHAARI</v>
      </c>
      <c r="V2411" t="str">
        <f t="shared" si="987"/>
        <v>FARHANA BINTI MUSTAPA</v>
      </c>
      <c r="W2411" t="str">
        <f t="shared" si="988"/>
        <v>04-08-2020</v>
      </c>
      <c r="X2411" t="str">
        <f t="shared" si="989"/>
        <v>RAZIMAH ANSAR AHMAD</v>
      </c>
      <c r="Y2411" t="str">
        <f t="shared" si="990"/>
        <v>04-08-2020</v>
      </c>
      <c r="Z2411" t="str">
        <f>"COS10200804 6743"</f>
        <v>COS10200804 6743</v>
      </c>
    </row>
    <row r="2412" spans="1:26" x14ac:dyDescent="0.25">
      <c r="A2412" t="str">
        <f t="shared" si="993"/>
        <v>04-08-2020 01:04:24</v>
      </c>
      <c r="B2412" t="str">
        <f>"0000808538"</f>
        <v>0000808538</v>
      </c>
      <c r="C2412" t="str">
        <f t="shared" si="994"/>
        <v>0000808396</v>
      </c>
      <c r="D2412" t="str">
        <f t="shared" si="978"/>
        <v>73185</v>
      </c>
      <c r="E2412" t="str">
        <f t="shared" si="979"/>
        <v>KFH-OPERATIONS DEPARTMENT</v>
      </c>
      <c r="F2412" t="str">
        <f t="shared" si="980"/>
        <v>IBG</v>
      </c>
      <c r="G2412" t="str">
        <f t="shared" si="991"/>
        <v>Refund COSHARE 10</v>
      </c>
      <c r="H2412" s="2">
        <v>982</v>
      </c>
      <c r="I2412" t="str">
        <f>"NURAZLINA BINTI ZAMRAN"</f>
        <v>NURAZLINA BINTI ZAMRAN</v>
      </c>
      <c r="J2412" t="str">
        <f t="shared" si="992"/>
        <v>MAYBANK / MAYBANK ISLAMIC</v>
      </c>
      <c r="K2412" t="str">
        <f>"154017334511"</f>
        <v>154017334511</v>
      </c>
      <c r="L2412" t="str">
        <f t="shared" si="997"/>
        <v>04-08-2020</v>
      </c>
      <c r="M2412" t="str">
        <f t="shared" si="997"/>
        <v>04-08-2020</v>
      </c>
      <c r="N2412" t="str">
        <f t="shared" si="981"/>
        <v>001105018356</v>
      </c>
      <c r="O2412" t="str">
        <f t="shared" si="982"/>
        <v>MYR</v>
      </c>
      <c r="P2412" t="str">
        <f t="shared" si="998"/>
        <v>NIL</v>
      </c>
      <c r="Q2412" t="str">
        <f t="shared" si="998"/>
        <v>NIL</v>
      </c>
      <c r="R2412" t="str">
        <f t="shared" si="983"/>
        <v>Accepted</v>
      </c>
      <c r="S2412" t="str">
        <f t="shared" si="984"/>
        <v>Approved</v>
      </c>
      <c r="T2412" t="str">
        <f t="shared" si="985"/>
        <v>10.20.8.188</v>
      </c>
      <c r="U2412" t="str">
        <f t="shared" si="986"/>
        <v>AZRAD UMAR BIN SHAARI</v>
      </c>
      <c r="V2412" t="str">
        <f t="shared" si="987"/>
        <v>FARHANA BINTI MUSTAPA</v>
      </c>
      <c r="W2412" t="str">
        <f t="shared" si="988"/>
        <v>04-08-2020</v>
      </c>
      <c r="X2412" t="str">
        <f t="shared" si="989"/>
        <v>RAZIMAH ANSAR AHMAD</v>
      </c>
      <c r="Y2412" t="str">
        <f t="shared" si="990"/>
        <v>04-08-2020</v>
      </c>
      <c r="Z2412" t="str">
        <f>"COS10200804 6742"</f>
        <v>COS10200804 6742</v>
      </c>
    </row>
    <row r="2413" spans="1:26" x14ac:dyDescent="0.25">
      <c r="A2413" t="str">
        <f t="shared" si="993"/>
        <v>04-08-2020 01:04:24</v>
      </c>
      <c r="B2413" t="str">
        <f>"0000808537"</f>
        <v>0000808537</v>
      </c>
      <c r="C2413" t="str">
        <f t="shared" si="994"/>
        <v>0000808396</v>
      </c>
      <c r="D2413" t="str">
        <f t="shared" si="978"/>
        <v>73185</v>
      </c>
      <c r="E2413" t="str">
        <f t="shared" si="979"/>
        <v>KFH-OPERATIONS DEPARTMENT</v>
      </c>
      <c r="F2413" t="str">
        <f t="shared" si="980"/>
        <v>IBG</v>
      </c>
      <c r="G2413" t="str">
        <f t="shared" si="991"/>
        <v>Refund COSHARE 10</v>
      </c>
      <c r="H2413" s="2">
        <v>713.6</v>
      </c>
      <c r="I2413" t="str">
        <f>"NURAZFA BINTI AMIN"</f>
        <v>NURAZFA BINTI AMIN</v>
      </c>
      <c r="J2413" t="str">
        <f t="shared" si="992"/>
        <v>MAYBANK / MAYBANK ISLAMIC</v>
      </c>
      <c r="K2413" t="str">
        <f>"162218351996"</f>
        <v>162218351996</v>
      </c>
      <c r="L2413" t="str">
        <f t="shared" si="997"/>
        <v>04-08-2020</v>
      </c>
      <c r="M2413" t="str">
        <f t="shared" si="997"/>
        <v>04-08-2020</v>
      </c>
      <c r="N2413" t="str">
        <f t="shared" si="981"/>
        <v>001105018356</v>
      </c>
      <c r="O2413" t="str">
        <f t="shared" si="982"/>
        <v>MYR</v>
      </c>
      <c r="P2413" t="str">
        <f t="shared" si="998"/>
        <v>NIL</v>
      </c>
      <c r="Q2413" t="str">
        <f t="shared" si="998"/>
        <v>NIL</v>
      </c>
      <c r="R2413" t="str">
        <f t="shared" si="983"/>
        <v>Accepted</v>
      </c>
      <c r="S2413" t="str">
        <f t="shared" si="984"/>
        <v>Approved</v>
      </c>
      <c r="T2413" t="str">
        <f t="shared" si="985"/>
        <v>10.20.8.188</v>
      </c>
      <c r="U2413" t="str">
        <f t="shared" si="986"/>
        <v>AZRAD UMAR BIN SHAARI</v>
      </c>
      <c r="V2413" t="str">
        <f t="shared" si="987"/>
        <v>FARHANA BINTI MUSTAPA</v>
      </c>
      <c r="W2413" t="str">
        <f t="shared" si="988"/>
        <v>04-08-2020</v>
      </c>
      <c r="X2413" t="str">
        <f t="shared" si="989"/>
        <v>RAZIMAH ANSAR AHMAD</v>
      </c>
      <c r="Y2413" t="str">
        <f t="shared" si="990"/>
        <v>04-08-2020</v>
      </c>
      <c r="Z2413" t="str">
        <f>"COS10200804 6741"</f>
        <v>COS10200804 6741</v>
      </c>
    </row>
    <row r="2414" spans="1:26" x14ac:dyDescent="0.25">
      <c r="A2414" t="str">
        <f t="shared" si="993"/>
        <v>04-08-2020 01:04:24</v>
      </c>
      <c r="B2414" t="str">
        <f>"0000808536"</f>
        <v>0000808536</v>
      </c>
      <c r="C2414" t="str">
        <f t="shared" si="994"/>
        <v>0000808396</v>
      </c>
      <c r="D2414" t="str">
        <f t="shared" si="978"/>
        <v>73185</v>
      </c>
      <c r="E2414" t="str">
        <f t="shared" si="979"/>
        <v>KFH-OPERATIONS DEPARTMENT</v>
      </c>
      <c r="F2414" t="str">
        <f t="shared" si="980"/>
        <v>IBG</v>
      </c>
      <c r="G2414" t="str">
        <f t="shared" si="991"/>
        <v>Refund COSHARE 10</v>
      </c>
      <c r="H2414" s="2">
        <v>671.6</v>
      </c>
      <c r="I2414" t="str">
        <f>"NURASYIKEEN BINTI AB SHUKOR"</f>
        <v>NURASYIKEEN BINTI AB SHUKOR</v>
      </c>
      <c r="J2414" t="str">
        <f t="shared" si="992"/>
        <v>MAYBANK / MAYBANK ISLAMIC</v>
      </c>
      <c r="K2414" t="str">
        <f>"162263188982"</f>
        <v>162263188982</v>
      </c>
      <c r="L2414" t="str">
        <f t="shared" si="997"/>
        <v>04-08-2020</v>
      </c>
      <c r="M2414" t="str">
        <f t="shared" si="997"/>
        <v>04-08-2020</v>
      </c>
      <c r="N2414" t="str">
        <f t="shared" si="981"/>
        <v>001105018356</v>
      </c>
      <c r="O2414" t="str">
        <f t="shared" si="982"/>
        <v>MYR</v>
      </c>
      <c r="P2414" t="str">
        <f t="shared" si="998"/>
        <v>NIL</v>
      </c>
      <c r="Q2414" t="str">
        <f t="shared" si="998"/>
        <v>NIL</v>
      </c>
      <c r="R2414" t="str">
        <f t="shared" si="983"/>
        <v>Accepted</v>
      </c>
      <c r="S2414" t="str">
        <f t="shared" si="984"/>
        <v>Approved</v>
      </c>
      <c r="T2414" t="str">
        <f t="shared" si="985"/>
        <v>10.20.8.188</v>
      </c>
      <c r="U2414" t="str">
        <f t="shared" si="986"/>
        <v>AZRAD UMAR BIN SHAARI</v>
      </c>
      <c r="V2414" t="str">
        <f t="shared" si="987"/>
        <v>FARHANA BINTI MUSTAPA</v>
      </c>
      <c r="W2414" t="str">
        <f t="shared" si="988"/>
        <v>04-08-2020</v>
      </c>
      <c r="X2414" t="str">
        <f t="shared" si="989"/>
        <v>RAZIMAH ANSAR AHMAD</v>
      </c>
      <c r="Y2414" t="str">
        <f t="shared" si="990"/>
        <v>04-08-2020</v>
      </c>
      <c r="Z2414" t="str">
        <f>"COS10200804 6740"</f>
        <v>COS10200804 6740</v>
      </c>
    </row>
    <row r="2415" spans="1:26" x14ac:dyDescent="0.25">
      <c r="A2415" t="str">
        <f t="shared" si="993"/>
        <v>04-08-2020 01:04:24</v>
      </c>
      <c r="B2415" t="str">
        <f>"0000808535"</f>
        <v>0000808535</v>
      </c>
      <c r="C2415" t="str">
        <f t="shared" si="994"/>
        <v>0000808396</v>
      </c>
      <c r="D2415" t="str">
        <f t="shared" si="978"/>
        <v>73185</v>
      </c>
      <c r="E2415" t="str">
        <f t="shared" si="979"/>
        <v>KFH-OPERATIONS DEPARTMENT</v>
      </c>
      <c r="F2415" t="str">
        <f t="shared" si="980"/>
        <v>IBG</v>
      </c>
      <c r="G2415" t="str">
        <f t="shared" si="991"/>
        <v>Refund COSHARE 10</v>
      </c>
      <c r="H2415" s="2">
        <v>1070</v>
      </c>
      <c r="I2415" t="str">
        <f>"NURASNIZA BINTI MD ZAIN"</f>
        <v>NURASNIZA BINTI MD ZAIN</v>
      </c>
      <c r="J2415" t="str">
        <f t="shared" si="992"/>
        <v>MAYBANK / MAYBANK ISLAMIC</v>
      </c>
      <c r="K2415" t="str">
        <f>"157166965949"</f>
        <v>157166965949</v>
      </c>
      <c r="L2415" t="str">
        <f t="shared" si="997"/>
        <v>04-08-2020</v>
      </c>
      <c r="M2415" t="str">
        <f t="shared" si="997"/>
        <v>04-08-2020</v>
      </c>
      <c r="N2415" t="str">
        <f t="shared" si="981"/>
        <v>001105018356</v>
      </c>
      <c r="O2415" t="str">
        <f t="shared" si="982"/>
        <v>MYR</v>
      </c>
      <c r="P2415" t="str">
        <f t="shared" si="998"/>
        <v>NIL</v>
      </c>
      <c r="Q2415" t="str">
        <f t="shared" si="998"/>
        <v>NIL</v>
      </c>
      <c r="R2415" t="str">
        <f t="shared" si="983"/>
        <v>Accepted</v>
      </c>
      <c r="S2415" t="str">
        <f t="shared" si="984"/>
        <v>Approved</v>
      </c>
      <c r="T2415" t="str">
        <f t="shared" si="985"/>
        <v>10.20.8.188</v>
      </c>
      <c r="U2415" t="str">
        <f t="shared" si="986"/>
        <v>AZRAD UMAR BIN SHAARI</v>
      </c>
      <c r="V2415" t="str">
        <f t="shared" si="987"/>
        <v>FARHANA BINTI MUSTAPA</v>
      </c>
      <c r="W2415" t="str">
        <f t="shared" si="988"/>
        <v>04-08-2020</v>
      </c>
      <c r="X2415" t="str">
        <f t="shared" si="989"/>
        <v>RAZIMAH ANSAR AHMAD</v>
      </c>
      <c r="Y2415" t="str">
        <f t="shared" si="990"/>
        <v>04-08-2020</v>
      </c>
      <c r="Z2415" t="str">
        <f>"COS10200804 6739"</f>
        <v>COS10200804 6739</v>
      </c>
    </row>
    <row r="2416" spans="1:26" x14ac:dyDescent="0.25">
      <c r="A2416" t="str">
        <f t="shared" si="993"/>
        <v>04-08-2020 01:04:24</v>
      </c>
      <c r="B2416" t="str">
        <f>"0000808534"</f>
        <v>0000808534</v>
      </c>
      <c r="C2416" t="str">
        <f t="shared" si="994"/>
        <v>0000808396</v>
      </c>
      <c r="D2416" t="str">
        <f t="shared" si="978"/>
        <v>73185</v>
      </c>
      <c r="E2416" t="str">
        <f t="shared" si="979"/>
        <v>KFH-OPERATIONS DEPARTMENT</v>
      </c>
      <c r="F2416" t="str">
        <f t="shared" si="980"/>
        <v>IBG</v>
      </c>
      <c r="G2416" t="str">
        <f t="shared" si="991"/>
        <v>Refund COSHARE 10</v>
      </c>
      <c r="H2416" s="2">
        <v>142.75</v>
      </c>
      <c r="I2416" t="str">
        <f>"NURASIKIN BINTI BUJANG"</f>
        <v>NURASIKIN BINTI BUJANG</v>
      </c>
      <c r="J2416" t="str">
        <f t="shared" si="992"/>
        <v>MAYBANK / MAYBANK ISLAMIC</v>
      </c>
      <c r="K2416" t="str">
        <f>"161127507708"</f>
        <v>161127507708</v>
      </c>
      <c r="L2416" t="str">
        <f t="shared" si="997"/>
        <v>04-08-2020</v>
      </c>
      <c r="M2416" t="str">
        <f t="shared" si="997"/>
        <v>04-08-2020</v>
      </c>
      <c r="N2416" t="str">
        <f t="shared" si="981"/>
        <v>001105018356</v>
      </c>
      <c r="O2416" t="str">
        <f t="shared" si="982"/>
        <v>MYR</v>
      </c>
      <c r="P2416" t="str">
        <f t="shared" si="998"/>
        <v>NIL</v>
      </c>
      <c r="Q2416" t="str">
        <f t="shared" si="998"/>
        <v>NIL</v>
      </c>
      <c r="R2416" t="str">
        <f t="shared" si="983"/>
        <v>Accepted</v>
      </c>
      <c r="S2416" t="str">
        <f t="shared" si="984"/>
        <v>Approved</v>
      </c>
      <c r="T2416" t="str">
        <f t="shared" si="985"/>
        <v>10.20.8.188</v>
      </c>
      <c r="U2416" t="str">
        <f t="shared" si="986"/>
        <v>AZRAD UMAR BIN SHAARI</v>
      </c>
      <c r="V2416" t="str">
        <f t="shared" si="987"/>
        <v>FARHANA BINTI MUSTAPA</v>
      </c>
      <c r="W2416" t="str">
        <f t="shared" si="988"/>
        <v>04-08-2020</v>
      </c>
      <c r="X2416" t="str">
        <f t="shared" si="989"/>
        <v>RAZIMAH ANSAR AHMAD</v>
      </c>
      <c r="Y2416" t="str">
        <f t="shared" si="990"/>
        <v>04-08-2020</v>
      </c>
      <c r="Z2416" t="str">
        <f>"COS10200804 6738"</f>
        <v>COS10200804 6738</v>
      </c>
    </row>
    <row r="2417" spans="1:26" x14ac:dyDescent="0.25">
      <c r="A2417" t="str">
        <f t="shared" si="993"/>
        <v>04-08-2020 01:04:24</v>
      </c>
      <c r="B2417" t="str">
        <f>"0000808533"</f>
        <v>0000808533</v>
      </c>
      <c r="C2417" t="str">
        <f t="shared" si="994"/>
        <v>0000808396</v>
      </c>
      <c r="D2417" t="str">
        <f t="shared" si="978"/>
        <v>73185</v>
      </c>
      <c r="E2417" t="str">
        <f t="shared" si="979"/>
        <v>KFH-OPERATIONS DEPARTMENT</v>
      </c>
      <c r="F2417" t="str">
        <f t="shared" si="980"/>
        <v>IBG</v>
      </c>
      <c r="G2417" t="str">
        <f t="shared" si="991"/>
        <v>Refund COSHARE 10</v>
      </c>
      <c r="H2417" s="2">
        <v>757.25</v>
      </c>
      <c r="I2417" t="str">
        <f>"NURASHIKIN BINTI ZAINAL ABIDIN"</f>
        <v>NURASHIKIN BINTI ZAINAL ABIDIN</v>
      </c>
      <c r="J2417" t="str">
        <f t="shared" si="992"/>
        <v>MAYBANK / MAYBANK ISLAMIC</v>
      </c>
      <c r="K2417" t="str">
        <f>"112103135815"</f>
        <v>112103135815</v>
      </c>
      <c r="L2417" t="str">
        <f t="shared" si="997"/>
        <v>04-08-2020</v>
      </c>
      <c r="M2417" t="str">
        <f t="shared" si="997"/>
        <v>04-08-2020</v>
      </c>
      <c r="N2417" t="str">
        <f t="shared" si="981"/>
        <v>001105018356</v>
      </c>
      <c r="O2417" t="str">
        <f t="shared" si="982"/>
        <v>MYR</v>
      </c>
      <c r="P2417" t="str">
        <f t="shared" si="998"/>
        <v>NIL</v>
      </c>
      <c r="Q2417" t="str">
        <f t="shared" si="998"/>
        <v>NIL</v>
      </c>
      <c r="R2417" t="str">
        <f t="shared" si="983"/>
        <v>Accepted</v>
      </c>
      <c r="S2417" t="str">
        <f t="shared" si="984"/>
        <v>Approved</v>
      </c>
      <c r="T2417" t="str">
        <f t="shared" si="985"/>
        <v>10.20.8.188</v>
      </c>
      <c r="U2417" t="str">
        <f t="shared" si="986"/>
        <v>AZRAD UMAR BIN SHAARI</v>
      </c>
      <c r="V2417" t="str">
        <f t="shared" si="987"/>
        <v>FARHANA BINTI MUSTAPA</v>
      </c>
      <c r="W2417" t="str">
        <f t="shared" si="988"/>
        <v>04-08-2020</v>
      </c>
      <c r="X2417" t="str">
        <f t="shared" si="989"/>
        <v>RAZIMAH ANSAR AHMAD</v>
      </c>
      <c r="Y2417" t="str">
        <f t="shared" si="990"/>
        <v>04-08-2020</v>
      </c>
      <c r="Z2417" t="str">
        <f>"COS10200804 6737"</f>
        <v>COS10200804 6737</v>
      </c>
    </row>
    <row r="2418" spans="1:26" x14ac:dyDescent="0.25">
      <c r="A2418" t="str">
        <f t="shared" ref="A2418:A2449" si="999">"04-08-2020 01:04:24"</f>
        <v>04-08-2020 01:04:24</v>
      </c>
      <c r="B2418" t="str">
        <f>"0000808532"</f>
        <v>0000808532</v>
      </c>
      <c r="C2418" t="str">
        <f t="shared" ref="C2418:C2449" si="1000">"0000808396"</f>
        <v>0000808396</v>
      </c>
      <c r="D2418" t="str">
        <f t="shared" si="978"/>
        <v>73185</v>
      </c>
      <c r="E2418" t="str">
        <f t="shared" si="979"/>
        <v>KFH-OPERATIONS DEPARTMENT</v>
      </c>
      <c r="F2418" t="str">
        <f t="shared" si="980"/>
        <v>IBG</v>
      </c>
      <c r="G2418" t="str">
        <f t="shared" si="991"/>
        <v>Refund COSHARE 10</v>
      </c>
      <c r="H2418" s="2">
        <v>1679</v>
      </c>
      <c r="I2418" t="str">
        <f>"NURAKMAL FIRDAUZ BIN AHMAD"</f>
        <v>NURAKMAL FIRDAUZ BIN AHMAD</v>
      </c>
      <c r="J2418" t="str">
        <f t="shared" si="992"/>
        <v>MAYBANK / MAYBANK ISLAMIC</v>
      </c>
      <c r="K2418" t="str">
        <f>"112148078429"</f>
        <v>112148078429</v>
      </c>
      <c r="L2418" t="str">
        <f t="shared" si="997"/>
        <v>04-08-2020</v>
      </c>
      <c r="M2418" t="str">
        <f t="shared" si="997"/>
        <v>04-08-2020</v>
      </c>
      <c r="N2418" t="str">
        <f t="shared" si="981"/>
        <v>001105018356</v>
      </c>
      <c r="O2418" t="str">
        <f t="shared" si="982"/>
        <v>MYR</v>
      </c>
      <c r="P2418" t="str">
        <f t="shared" si="998"/>
        <v>NIL</v>
      </c>
      <c r="Q2418" t="str">
        <f t="shared" si="998"/>
        <v>NIL</v>
      </c>
      <c r="R2418" t="str">
        <f t="shared" si="983"/>
        <v>Accepted</v>
      </c>
      <c r="S2418" t="str">
        <f t="shared" si="984"/>
        <v>Approved</v>
      </c>
      <c r="T2418" t="str">
        <f t="shared" si="985"/>
        <v>10.20.8.188</v>
      </c>
      <c r="U2418" t="str">
        <f t="shared" si="986"/>
        <v>AZRAD UMAR BIN SHAARI</v>
      </c>
      <c r="V2418" t="str">
        <f t="shared" si="987"/>
        <v>FARHANA BINTI MUSTAPA</v>
      </c>
      <c r="W2418" t="str">
        <f t="shared" si="988"/>
        <v>04-08-2020</v>
      </c>
      <c r="X2418" t="str">
        <f t="shared" si="989"/>
        <v>RAZIMAH ANSAR AHMAD</v>
      </c>
      <c r="Y2418" t="str">
        <f t="shared" si="990"/>
        <v>04-08-2020</v>
      </c>
      <c r="Z2418" t="str">
        <f>"COS10200804 6736"</f>
        <v>COS10200804 6736</v>
      </c>
    </row>
    <row r="2419" spans="1:26" x14ac:dyDescent="0.25">
      <c r="A2419" t="str">
        <f t="shared" si="999"/>
        <v>04-08-2020 01:04:24</v>
      </c>
      <c r="B2419" t="str">
        <f>"0000808531"</f>
        <v>0000808531</v>
      </c>
      <c r="C2419" t="str">
        <f t="shared" si="1000"/>
        <v>0000808396</v>
      </c>
      <c r="D2419" t="str">
        <f t="shared" si="978"/>
        <v>73185</v>
      </c>
      <c r="E2419" t="str">
        <f t="shared" si="979"/>
        <v>KFH-OPERATIONS DEPARTMENT</v>
      </c>
      <c r="F2419" t="str">
        <f t="shared" si="980"/>
        <v>IBG</v>
      </c>
      <c r="G2419" t="str">
        <f t="shared" si="991"/>
        <v>Refund COSHARE 10</v>
      </c>
      <c r="H2419" s="2">
        <v>151.15</v>
      </c>
      <c r="I2419" t="str">
        <f>"NURAIN BINTI YAHYA"</f>
        <v>NURAIN BINTI YAHYA</v>
      </c>
      <c r="J2419" t="str">
        <f t="shared" si="992"/>
        <v>MAYBANK / MAYBANK ISLAMIC</v>
      </c>
      <c r="K2419" t="str">
        <f>"157250009687"</f>
        <v>157250009687</v>
      </c>
      <c r="L2419" t="str">
        <f t="shared" si="997"/>
        <v>04-08-2020</v>
      </c>
      <c r="M2419" t="str">
        <f t="shared" si="997"/>
        <v>04-08-2020</v>
      </c>
      <c r="N2419" t="str">
        <f t="shared" si="981"/>
        <v>001105018356</v>
      </c>
      <c r="O2419" t="str">
        <f t="shared" si="982"/>
        <v>MYR</v>
      </c>
      <c r="P2419" t="str">
        <f t="shared" si="998"/>
        <v>NIL</v>
      </c>
      <c r="Q2419" t="str">
        <f t="shared" si="998"/>
        <v>NIL</v>
      </c>
      <c r="R2419" t="str">
        <f t="shared" si="983"/>
        <v>Accepted</v>
      </c>
      <c r="S2419" t="str">
        <f t="shared" si="984"/>
        <v>Approved</v>
      </c>
      <c r="T2419" t="str">
        <f t="shared" si="985"/>
        <v>10.20.8.188</v>
      </c>
      <c r="U2419" t="str">
        <f t="shared" si="986"/>
        <v>AZRAD UMAR BIN SHAARI</v>
      </c>
      <c r="V2419" t="str">
        <f t="shared" si="987"/>
        <v>FARHANA BINTI MUSTAPA</v>
      </c>
      <c r="W2419" t="str">
        <f t="shared" si="988"/>
        <v>04-08-2020</v>
      </c>
      <c r="X2419" t="str">
        <f t="shared" si="989"/>
        <v>RAZIMAH ANSAR AHMAD</v>
      </c>
      <c r="Y2419" t="str">
        <f t="shared" si="990"/>
        <v>04-08-2020</v>
      </c>
      <c r="Z2419" t="str">
        <f>"COS10200804 6735"</f>
        <v>COS10200804 6735</v>
      </c>
    </row>
    <row r="2420" spans="1:26" x14ac:dyDescent="0.25">
      <c r="A2420" t="str">
        <f t="shared" si="999"/>
        <v>04-08-2020 01:04:24</v>
      </c>
      <c r="B2420" t="str">
        <f>"0000808530"</f>
        <v>0000808530</v>
      </c>
      <c r="C2420" t="str">
        <f t="shared" si="1000"/>
        <v>0000808396</v>
      </c>
      <c r="D2420" t="str">
        <f t="shared" si="978"/>
        <v>73185</v>
      </c>
      <c r="E2420" t="str">
        <f t="shared" si="979"/>
        <v>KFH-OPERATIONS DEPARTMENT</v>
      </c>
      <c r="F2420" t="str">
        <f t="shared" si="980"/>
        <v>IBG</v>
      </c>
      <c r="G2420" t="str">
        <f t="shared" si="991"/>
        <v>Refund COSHARE 10</v>
      </c>
      <c r="H2420" s="2">
        <v>58.8</v>
      </c>
      <c r="I2420" t="str">
        <f>"NURAIN BINTI ABDUL KARIM"</f>
        <v>NURAIN BINTI ABDUL KARIM</v>
      </c>
      <c r="J2420" t="str">
        <f t="shared" si="992"/>
        <v>MAYBANK / MAYBANK ISLAMIC</v>
      </c>
      <c r="K2420" t="str">
        <f>"164017099252"</f>
        <v>164017099252</v>
      </c>
      <c r="L2420" t="str">
        <f t="shared" si="997"/>
        <v>04-08-2020</v>
      </c>
      <c r="M2420" t="str">
        <f t="shared" si="997"/>
        <v>04-08-2020</v>
      </c>
      <c r="N2420" t="str">
        <f t="shared" si="981"/>
        <v>001105018356</v>
      </c>
      <c r="O2420" t="str">
        <f t="shared" si="982"/>
        <v>MYR</v>
      </c>
      <c r="P2420" t="str">
        <f t="shared" si="998"/>
        <v>NIL</v>
      </c>
      <c r="Q2420" t="str">
        <f t="shared" si="998"/>
        <v>NIL</v>
      </c>
      <c r="R2420" t="str">
        <f t="shared" si="983"/>
        <v>Accepted</v>
      </c>
      <c r="S2420" t="str">
        <f t="shared" si="984"/>
        <v>Approved</v>
      </c>
      <c r="T2420" t="str">
        <f t="shared" si="985"/>
        <v>10.20.8.188</v>
      </c>
      <c r="U2420" t="str">
        <f t="shared" si="986"/>
        <v>AZRAD UMAR BIN SHAARI</v>
      </c>
      <c r="V2420" t="str">
        <f t="shared" si="987"/>
        <v>FARHANA BINTI MUSTAPA</v>
      </c>
      <c r="W2420" t="str">
        <f t="shared" si="988"/>
        <v>04-08-2020</v>
      </c>
      <c r="X2420" t="str">
        <f t="shared" si="989"/>
        <v>RAZIMAH ANSAR AHMAD</v>
      </c>
      <c r="Y2420" t="str">
        <f t="shared" si="990"/>
        <v>04-08-2020</v>
      </c>
      <c r="Z2420" t="str">
        <f>"COS10200804 6734"</f>
        <v>COS10200804 6734</v>
      </c>
    </row>
    <row r="2421" spans="1:26" x14ac:dyDescent="0.25">
      <c r="A2421" t="str">
        <f t="shared" si="999"/>
        <v>04-08-2020 01:04:24</v>
      </c>
      <c r="B2421" t="str">
        <f>"0000808529"</f>
        <v>0000808529</v>
      </c>
      <c r="C2421" t="str">
        <f t="shared" si="1000"/>
        <v>0000808396</v>
      </c>
      <c r="D2421" t="str">
        <f t="shared" si="978"/>
        <v>73185</v>
      </c>
      <c r="E2421" t="str">
        <f t="shared" si="979"/>
        <v>KFH-OPERATIONS DEPARTMENT</v>
      </c>
      <c r="F2421" t="str">
        <f t="shared" si="980"/>
        <v>IBG</v>
      </c>
      <c r="G2421" t="str">
        <f t="shared" si="991"/>
        <v>Refund COSHARE 10</v>
      </c>
      <c r="H2421" s="2">
        <v>266</v>
      </c>
      <c r="I2421" t="str">
        <f>"NURAIDA BINTI IDRIS"</f>
        <v>NURAIDA BINTI IDRIS</v>
      </c>
      <c r="J2421" t="str">
        <f t="shared" si="992"/>
        <v>MAYBANK / MAYBANK ISLAMIC</v>
      </c>
      <c r="K2421" t="str">
        <f>"164221334821"</f>
        <v>164221334821</v>
      </c>
      <c r="L2421" t="str">
        <f t="shared" si="997"/>
        <v>04-08-2020</v>
      </c>
      <c r="M2421" t="str">
        <f t="shared" si="997"/>
        <v>04-08-2020</v>
      </c>
      <c r="N2421" t="str">
        <f t="shared" si="981"/>
        <v>001105018356</v>
      </c>
      <c r="O2421" t="str">
        <f t="shared" si="982"/>
        <v>MYR</v>
      </c>
      <c r="P2421" t="str">
        <f t="shared" si="998"/>
        <v>NIL</v>
      </c>
      <c r="Q2421" t="str">
        <f t="shared" si="998"/>
        <v>NIL</v>
      </c>
      <c r="R2421" t="str">
        <f t="shared" si="983"/>
        <v>Accepted</v>
      </c>
      <c r="S2421" t="str">
        <f t="shared" si="984"/>
        <v>Approved</v>
      </c>
      <c r="T2421" t="str">
        <f t="shared" si="985"/>
        <v>10.20.8.188</v>
      </c>
      <c r="U2421" t="str">
        <f t="shared" si="986"/>
        <v>AZRAD UMAR BIN SHAARI</v>
      </c>
      <c r="V2421" t="str">
        <f t="shared" si="987"/>
        <v>FARHANA BINTI MUSTAPA</v>
      </c>
      <c r="W2421" t="str">
        <f t="shared" si="988"/>
        <v>04-08-2020</v>
      </c>
      <c r="X2421" t="str">
        <f t="shared" si="989"/>
        <v>RAZIMAH ANSAR AHMAD</v>
      </c>
      <c r="Y2421" t="str">
        <f t="shared" si="990"/>
        <v>04-08-2020</v>
      </c>
      <c r="Z2421" t="str">
        <f>"COS10200804 6733"</f>
        <v>COS10200804 6733</v>
      </c>
    </row>
    <row r="2422" spans="1:26" x14ac:dyDescent="0.25">
      <c r="A2422" t="str">
        <f t="shared" si="999"/>
        <v>04-08-2020 01:04:24</v>
      </c>
      <c r="B2422" t="str">
        <f>"0000808528"</f>
        <v>0000808528</v>
      </c>
      <c r="C2422" t="str">
        <f t="shared" si="1000"/>
        <v>0000808396</v>
      </c>
      <c r="D2422" t="str">
        <f t="shared" si="978"/>
        <v>73185</v>
      </c>
      <c r="E2422" t="str">
        <f t="shared" si="979"/>
        <v>KFH-OPERATIONS DEPARTMENT</v>
      </c>
      <c r="F2422" t="str">
        <f t="shared" si="980"/>
        <v>IBG</v>
      </c>
      <c r="G2422" t="str">
        <f t="shared" si="991"/>
        <v>Refund COSHARE 10</v>
      </c>
      <c r="H2422" s="2">
        <v>696.8</v>
      </c>
      <c r="I2422" t="str">
        <f>"NURAFIZAN BINTI AHMAD LATFI"</f>
        <v>NURAFIZAN BINTI AHMAD LATFI</v>
      </c>
      <c r="J2422" t="str">
        <f t="shared" si="992"/>
        <v>MAYBANK / MAYBANK ISLAMIC</v>
      </c>
      <c r="K2422" t="str">
        <f>"114405032768"</f>
        <v>114405032768</v>
      </c>
      <c r="L2422" t="str">
        <f t="shared" si="997"/>
        <v>04-08-2020</v>
      </c>
      <c r="M2422" t="str">
        <f t="shared" si="997"/>
        <v>04-08-2020</v>
      </c>
      <c r="N2422" t="str">
        <f t="shared" si="981"/>
        <v>001105018356</v>
      </c>
      <c r="O2422" t="str">
        <f t="shared" si="982"/>
        <v>MYR</v>
      </c>
      <c r="P2422" t="str">
        <f t="shared" si="998"/>
        <v>NIL</v>
      </c>
      <c r="Q2422" t="str">
        <f t="shared" si="998"/>
        <v>NIL</v>
      </c>
      <c r="R2422" t="str">
        <f t="shared" si="983"/>
        <v>Accepted</v>
      </c>
      <c r="S2422" t="str">
        <f t="shared" si="984"/>
        <v>Approved</v>
      </c>
      <c r="T2422" t="str">
        <f t="shared" si="985"/>
        <v>10.20.8.188</v>
      </c>
      <c r="U2422" t="str">
        <f t="shared" si="986"/>
        <v>AZRAD UMAR BIN SHAARI</v>
      </c>
      <c r="V2422" t="str">
        <f t="shared" si="987"/>
        <v>FARHANA BINTI MUSTAPA</v>
      </c>
      <c r="W2422" t="str">
        <f t="shared" si="988"/>
        <v>04-08-2020</v>
      </c>
      <c r="X2422" t="str">
        <f t="shared" si="989"/>
        <v>RAZIMAH ANSAR AHMAD</v>
      </c>
      <c r="Y2422" t="str">
        <f t="shared" si="990"/>
        <v>04-08-2020</v>
      </c>
      <c r="Z2422" t="str">
        <f>"COS10200804 6732"</f>
        <v>COS10200804 6732</v>
      </c>
    </row>
    <row r="2423" spans="1:26" x14ac:dyDescent="0.25">
      <c r="A2423" t="str">
        <f t="shared" si="999"/>
        <v>04-08-2020 01:04:24</v>
      </c>
      <c r="B2423" t="str">
        <f>"0000808527"</f>
        <v>0000808527</v>
      </c>
      <c r="C2423" t="str">
        <f t="shared" si="1000"/>
        <v>0000808396</v>
      </c>
      <c r="D2423" t="str">
        <f t="shared" si="978"/>
        <v>73185</v>
      </c>
      <c r="E2423" t="str">
        <f t="shared" si="979"/>
        <v>KFH-OPERATIONS DEPARTMENT</v>
      </c>
      <c r="F2423" t="str">
        <f t="shared" si="980"/>
        <v>IBG</v>
      </c>
      <c r="G2423" t="str">
        <f t="shared" si="991"/>
        <v>Refund COSHARE 10</v>
      </c>
      <c r="H2423" s="2">
        <v>1318</v>
      </c>
      <c r="I2423" t="str">
        <f>"NURA HIDAYATI BINTI MOKHTAR"</f>
        <v>NURA HIDAYATI BINTI MOKHTAR</v>
      </c>
      <c r="J2423" t="str">
        <f t="shared" si="992"/>
        <v>MAYBANK / MAYBANK ISLAMIC</v>
      </c>
      <c r="K2423" t="str">
        <f>"155023263986"</f>
        <v>155023263986</v>
      </c>
      <c r="L2423" t="str">
        <f t="shared" si="997"/>
        <v>04-08-2020</v>
      </c>
      <c r="M2423" t="str">
        <f t="shared" si="997"/>
        <v>04-08-2020</v>
      </c>
      <c r="N2423" t="str">
        <f t="shared" si="981"/>
        <v>001105018356</v>
      </c>
      <c r="O2423" t="str">
        <f t="shared" si="982"/>
        <v>MYR</v>
      </c>
      <c r="P2423" t="str">
        <f t="shared" si="998"/>
        <v>NIL</v>
      </c>
      <c r="Q2423" t="str">
        <f t="shared" si="998"/>
        <v>NIL</v>
      </c>
      <c r="R2423" t="str">
        <f t="shared" si="983"/>
        <v>Accepted</v>
      </c>
      <c r="S2423" t="str">
        <f t="shared" si="984"/>
        <v>Approved</v>
      </c>
      <c r="T2423" t="str">
        <f t="shared" si="985"/>
        <v>10.20.8.188</v>
      </c>
      <c r="U2423" t="str">
        <f t="shared" si="986"/>
        <v>AZRAD UMAR BIN SHAARI</v>
      </c>
      <c r="V2423" t="str">
        <f t="shared" si="987"/>
        <v>FARHANA BINTI MUSTAPA</v>
      </c>
      <c r="W2423" t="str">
        <f t="shared" si="988"/>
        <v>04-08-2020</v>
      </c>
      <c r="X2423" t="str">
        <f t="shared" si="989"/>
        <v>RAZIMAH ANSAR AHMAD</v>
      </c>
      <c r="Y2423" t="str">
        <f t="shared" si="990"/>
        <v>04-08-2020</v>
      </c>
      <c r="Z2423" t="str">
        <f>"COS10200804 6731"</f>
        <v>COS10200804 6731</v>
      </c>
    </row>
    <row r="2424" spans="1:26" x14ac:dyDescent="0.25">
      <c r="A2424" t="str">
        <f t="shared" si="999"/>
        <v>04-08-2020 01:04:24</v>
      </c>
      <c r="B2424" t="str">
        <f>"0000808526"</f>
        <v>0000808526</v>
      </c>
      <c r="C2424" t="str">
        <f t="shared" si="1000"/>
        <v>0000808396</v>
      </c>
      <c r="D2424" t="str">
        <f t="shared" si="978"/>
        <v>73185</v>
      </c>
      <c r="E2424" t="str">
        <f t="shared" si="979"/>
        <v>KFH-OPERATIONS DEPARTMENT</v>
      </c>
      <c r="F2424" t="str">
        <f t="shared" si="980"/>
        <v>IBG</v>
      </c>
      <c r="G2424" t="str">
        <f t="shared" si="991"/>
        <v>Refund COSHARE 10</v>
      </c>
      <c r="H2424" s="2">
        <v>260.25</v>
      </c>
      <c r="I2424" t="str">
        <f>"NUR ZARINA BINTI AHMAD ZAINI"</f>
        <v>NUR ZARINA BINTI AHMAD ZAINI</v>
      </c>
      <c r="J2424" t="str">
        <f t="shared" si="992"/>
        <v>MAYBANK / MAYBANK ISLAMIC</v>
      </c>
      <c r="K2424" t="str">
        <f>"164221349649"</f>
        <v>164221349649</v>
      </c>
      <c r="L2424" t="str">
        <f t="shared" si="997"/>
        <v>04-08-2020</v>
      </c>
      <c r="M2424" t="str">
        <f t="shared" si="997"/>
        <v>04-08-2020</v>
      </c>
      <c r="N2424" t="str">
        <f t="shared" si="981"/>
        <v>001105018356</v>
      </c>
      <c r="O2424" t="str">
        <f t="shared" si="982"/>
        <v>MYR</v>
      </c>
      <c r="P2424" t="str">
        <f t="shared" si="998"/>
        <v>NIL</v>
      </c>
      <c r="Q2424" t="str">
        <f t="shared" si="998"/>
        <v>NIL</v>
      </c>
      <c r="R2424" t="str">
        <f t="shared" si="983"/>
        <v>Accepted</v>
      </c>
      <c r="S2424" t="str">
        <f t="shared" si="984"/>
        <v>Approved</v>
      </c>
      <c r="T2424" t="str">
        <f t="shared" si="985"/>
        <v>10.20.8.188</v>
      </c>
      <c r="U2424" t="str">
        <f t="shared" si="986"/>
        <v>AZRAD UMAR BIN SHAARI</v>
      </c>
      <c r="V2424" t="str">
        <f t="shared" si="987"/>
        <v>FARHANA BINTI MUSTAPA</v>
      </c>
      <c r="W2424" t="str">
        <f t="shared" si="988"/>
        <v>04-08-2020</v>
      </c>
      <c r="X2424" t="str">
        <f t="shared" si="989"/>
        <v>RAZIMAH ANSAR AHMAD</v>
      </c>
      <c r="Y2424" t="str">
        <f t="shared" si="990"/>
        <v>04-08-2020</v>
      </c>
      <c r="Z2424" t="str">
        <f>"COS10200804 6730"</f>
        <v>COS10200804 6730</v>
      </c>
    </row>
    <row r="2425" spans="1:26" x14ac:dyDescent="0.25">
      <c r="A2425" t="str">
        <f t="shared" si="999"/>
        <v>04-08-2020 01:04:24</v>
      </c>
      <c r="B2425" t="str">
        <f>"0000808525"</f>
        <v>0000808525</v>
      </c>
      <c r="C2425" t="str">
        <f t="shared" si="1000"/>
        <v>0000808396</v>
      </c>
      <c r="D2425" t="str">
        <f t="shared" si="978"/>
        <v>73185</v>
      </c>
      <c r="E2425" t="str">
        <f t="shared" si="979"/>
        <v>KFH-OPERATIONS DEPARTMENT</v>
      </c>
      <c r="F2425" t="str">
        <f t="shared" si="980"/>
        <v>IBG</v>
      </c>
      <c r="G2425" t="str">
        <f t="shared" si="991"/>
        <v>Refund COSHARE 10</v>
      </c>
      <c r="H2425" s="2">
        <v>386</v>
      </c>
      <c r="I2425" t="str">
        <f>"NUR WAHIDAH BINTI ZAINI"</f>
        <v>NUR WAHIDAH BINTI ZAINI</v>
      </c>
      <c r="J2425" t="str">
        <f t="shared" si="992"/>
        <v>MAYBANK / MAYBANK ISLAMIC</v>
      </c>
      <c r="K2425" t="str">
        <f>"164409560060"</f>
        <v>164409560060</v>
      </c>
      <c r="L2425" t="str">
        <f t="shared" si="997"/>
        <v>04-08-2020</v>
      </c>
      <c r="M2425" t="str">
        <f t="shared" si="997"/>
        <v>04-08-2020</v>
      </c>
      <c r="N2425" t="str">
        <f t="shared" si="981"/>
        <v>001105018356</v>
      </c>
      <c r="O2425" t="str">
        <f t="shared" si="982"/>
        <v>MYR</v>
      </c>
      <c r="P2425" t="str">
        <f t="shared" si="998"/>
        <v>NIL</v>
      </c>
      <c r="Q2425" t="str">
        <f t="shared" si="998"/>
        <v>NIL</v>
      </c>
      <c r="R2425" t="str">
        <f t="shared" si="983"/>
        <v>Accepted</v>
      </c>
      <c r="S2425" t="str">
        <f t="shared" si="984"/>
        <v>Approved</v>
      </c>
      <c r="T2425" t="str">
        <f t="shared" si="985"/>
        <v>10.20.8.188</v>
      </c>
      <c r="U2425" t="str">
        <f t="shared" si="986"/>
        <v>AZRAD UMAR BIN SHAARI</v>
      </c>
      <c r="V2425" t="str">
        <f t="shared" si="987"/>
        <v>FARHANA BINTI MUSTAPA</v>
      </c>
      <c r="W2425" t="str">
        <f t="shared" si="988"/>
        <v>04-08-2020</v>
      </c>
      <c r="X2425" t="str">
        <f t="shared" si="989"/>
        <v>RAZIMAH ANSAR AHMAD</v>
      </c>
      <c r="Y2425" t="str">
        <f t="shared" si="990"/>
        <v>04-08-2020</v>
      </c>
      <c r="Z2425" t="str">
        <f>"COS10200804 6729"</f>
        <v>COS10200804 6729</v>
      </c>
    </row>
    <row r="2426" spans="1:26" x14ac:dyDescent="0.25">
      <c r="A2426" t="str">
        <f t="shared" si="999"/>
        <v>04-08-2020 01:04:24</v>
      </c>
      <c r="B2426" t="str">
        <f>"0000808524"</f>
        <v>0000808524</v>
      </c>
      <c r="C2426" t="str">
        <f t="shared" si="1000"/>
        <v>0000808396</v>
      </c>
      <c r="D2426" t="str">
        <f t="shared" si="978"/>
        <v>73185</v>
      </c>
      <c r="E2426" t="str">
        <f t="shared" si="979"/>
        <v>KFH-OPERATIONS DEPARTMENT</v>
      </c>
      <c r="F2426" t="str">
        <f t="shared" si="980"/>
        <v>IBG</v>
      </c>
      <c r="G2426" t="str">
        <f t="shared" si="991"/>
        <v>Refund COSHARE 10</v>
      </c>
      <c r="H2426" s="2">
        <v>1343.2</v>
      </c>
      <c r="I2426" t="str">
        <f>"NUR SURIANI BINTI ABDULLAH  ZAKARIA"</f>
        <v>NUR SURIANI BINTI ABDULLAH  ZAKARIA</v>
      </c>
      <c r="J2426" t="str">
        <f t="shared" si="992"/>
        <v>MAYBANK / MAYBANK ISLAMIC</v>
      </c>
      <c r="K2426" t="str">
        <f>"158088246112"</f>
        <v>158088246112</v>
      </c>
      <c r="L2426" t="str">
        <f t="shared" si="997"/>
        <v>04-08-2020</v>
      </c>
      <c r="M2426" t="str">
        <f t="shared" si="997"/>
        <v>04-08-2020</v>
      </c>
      <c r="N2426" t="str">
        <f t="shared" si="981"/>
        <v>001105018356</v>
      </c>
      <c r="O2426" t="str">
        <f t="shared" si="982"/>
        <v>MYR</v>
      </c>
      <c r="P2426" t="str">
        <f t="shared" si="998"/>
        <v>NIL</v>
      </c>
      <c r="Q2426" t="str">
        <f t="shared" si="998"/>
        <v>NIL</v>
      </c>
      <c r="R2426" t="str">
        <f t="shared" si="983"/>
        <v>Accepted</v>
      </c>
      <c r="S2426" t="str">
        <f t="shared" si="984"/>
        <v>Approved</v>
      </c>
      <c r="T2426" t="str">
        <f t="shared" si="985"/>
        <v>10.20.8.188</v>
      </c>
      <c r="U2426" t="str">
        <f t="shared" si="986"/>
        <v>AZRAD UMAR BIN SHAARI</v>
      </c>
      <c r="V2426" t="str">
        <f t="shared" si="987"/>
        <v>FARHANA BINTI MUSTAPA</v>
      </c>
      <c r="W2426" t="str">
        <f t="shared" si="988"/>
        <v>04-08-2020</v>
      </c>
      <c r="X2426" t="str">
        <f t="shared" si="989"/>
        <v>RAZIMAH ANSAR AHMAD</v>
      </c>
      <c r="Y2426" t="str">
        <f t="shared" si="990"/>
        <v>04-08-2020</v>
      </c>
      <c r="Z2426" t="str">
        <f>"COS10200804 6728"</f>
        <v>COS10200804 6728</v>
      </c>
    </row>
    <row r="2427" spans="1:26" x14ac:dyDescent="0.25">
      <c r="A2427" t="str">
        <f t="shared" si="999"/>
        <v>04-08-2020 01:04:24</v>
      </c>
      <c r="B2427" t="str">
        <f>"0000808523"</f>
        <v>0000808523</v>
      </c>
      <c r="C2427" t="str">
        <f t="shared" si="1000"/>
        <v>0000808396</v>
      </c>
      <c r="D2427" t="str">
        <f t="shared" si="978"/>
        <v>73185</v>
      </c>
      <c r="E2427" t="str">
        <f t="shared" si="979"/>
        <v>KFH-OPERATIONS DEPARTMENT</v>
      </c>
      <c r="F2427" t="str">
        <f t="shared" si="980"/>
        <v>IBG</v>
      </c>
      <c r="G2427" t="str">
        <f t="shared" si="991"/>
        <v>Refund COSHARE 10</v>
      </c>
      <c r="H2427" s="2">
        <v>491.2</v>
      </c>
      <c r="I2427" t="str">
        <f>"NUR SULRIANY BINTI SULAIMAN"</f>
        <v>NUR SULRIANY BINTI SULAIMAN</v>
      </c>
      <c r="J2427" t="str">
        <f t="shared" si="992"/>
        <v>MAYBANK / MAYBANK ISLAMIC</v>
      </c>
      <c r="K2427" t="str">
        <f>"162106822850"</f>
        <v>162106822850</v>
      </c>
      <c r="L2427" t="str">
        <f t="shared" ref="L2427:M2446" si="1001">"04-08-2020"</f>
        <v>04-08-2020</v>
      </c>
      <c r="M2427" t="str">
        <f t="shared" si="1001"/>
        <v>04-08-2020</v>
      </c>
      <c r="N2427" t="str">
        <f t="shared" si="981"/>
        <v>001105018356</v>
      </c>
      <c r="O2427" t="str">
        <f t="shared" si="982"/>
        <v>MYR</v>
      </c>
      <c r="P2427" t="str">
        <f t="shared" ref="P2427:Q2446" si="1002">"NIL"</f>
        <v>NIL</v>
      </c>
      <c r="Q2427" t="str">
        <f t="shared" si="1002"/>
        <v>NIL</v>
      </c>
      <c r="R2427" t="str">
        <f t="shared" si="983"/>
        <v>Accepted</v>
      </c>
      <c r="S2427" t="str">
        <f t="shared" si="984"/>
        <v>Approved</v>
      </c>
      <c r="T2427" t="str">
        <f t="shared" si="985"/>
        <v>10.20.8.188</v>
      </c>
      <c r="U2427" t="str">
        <f t="shared" si="986"/>
        <v>AZRAD UMAR BIN SHAARI</v>
      </c>
      <c r="V2427" t="str">
        <f t="shared" si="987"/>
        <v>FARHANA BINTI MUSTAPA</v>
      </c>
      <c r="W2427" t="str">
        <f t="shared" si="988"/>
        <v>04-08-2020</v>
      </c>
      <c r="X2427" t="str">
        <f t="shared" si="989"/>
        <v>RAZIMAH ANSAR AHMAD</v>
      </c>
      <c r="Y2427" t="str">
        <f t="shared" si="990"/>
        <v>04-08-2020</v>
      </c>
      <c r="Z2427" t="str">
        <f>"COS10200804 6727"</f>
        <v>COS10200804 6727</v>
      </c>
    </row>
    <row r="2428" spans="1:26" x14ac:dyDescent="0.25">
      <c r="A2428" t="str">
        <f t="shared" si="999"/>
        <v>04-08-2020 01:04:24</v>
      </c>
      <c r="B2428" t="str">
        <f>"0000808522"</f>
        <v>0000808522</v>
      </c>
      <c r="C2428" t="str">
        <f t="shared" si="1000"/>
        <v>0000808396</v>
      </c>
      <c r="D2428" t="str">
        <f t="shared" si="978"/>
        <v>73185</v>
      </c>
      <c r="E2428" t="str">
        <f t="shared" si="979"/>
        <v>KFH-OPERATIONS DEPARTMENT</v>
      </c>
      <c r="F2428" t="str">
        <f t="shared" si="980"/>
        <v>IBG</v>
      </c>
      <c r="G2428" t="str">
        <f t="shared" si="991"/>
        <v>Refund COSHARE 10</v>
      </c>
      <c r="H2428" s="2">
        <v>42</v>
      </c>
      <c r="I2428" t="str">
        <f>"NUR SUHARZIANI BINTI MOHD AZHAR"</f>
        <v>NUR SUHARZIANI BINTI MOHD AZHAR</v>
      </c>
      <c r="J2428" t="str">
        <f t="shared" si="992"/>
        <v>MAYBANK / MAYBANK ISLAMIC</v>
      </c>
      <c r="K2428" t="str">
        <f>"157081274411"</f>
        <v>157081274411</v>
      </c>
      <c r="L2428" t="str">
        <f t="shared" si="1001"/>
        <v>04-08-2020</v>
      </c>
      <c r="M2428" t="str">
        <f t="shared" si="1001"/>
        <v>04-08-2020</v>
      </c>
      <c r="N2428" t="str">
        <f t="shared" si="981"/>
        <v>001105018356</v>
      </c>
      <c r="O2428" t="str">
        <f t="shared" si="982"/>
        <v>MYR</v>
      </c>
      <c r="P2428" t="str">
        <f t="shared" si="1002"/>
        <v>NIL</v>
      </c>
      <c r="Q2428" t="str">
        <f t="shared" si="1002"/>
        <v>NIL</v>
      </c>
      <c r="R2428" t="str">
        <f t="shared" si="983"/>
        <v>Accepted</v>
      </c>
      <c r="S2428" t="str">
        <f t="shared" si="984"/>
        <v>Approved</v>
      </c>
      <c r="T2428" t="str">
        <f t="shared" si="985"/>
        <v>10.20.8.188</v>
      </c>
      <c r="U2428" t="str">
        <f t="shared" si="986"/>
        <v>AZRAD UMAR BIN SHAARI</v>
      </c>
      <c r="V2428" t="str">
        <f t="shared" si="987"/>
        <v>FARHANA BINTI MUSTAPA</v>
      </c>
      <c r="W2428" t="str">
        <f t="shared" si="988"/>
        <v>04-08-2020</v>
      </c>
      <c r="X2428" t="str">
        <f t="shared" si="989"/>
        <v>RAZIMAH ANSAR AHMAD</v>
      </c>
      <c r="Y2428" t="str">
        <f t="shared" si="990"/>
        <v>04-08-2020</v>
      </c>
      <c r="Z2428" t="str">
        <f>"COS10200804 6726"</f>
        <v>COS10200804 6726</v>
      </c>
    </row>
    <row r="2429" spans="1:26" x14ac:dyDescent="0.25">
      <c r="A2429" t="str">
        <f t="shared" si="999"/>
        <v>04-08-2020 01:04:24</v>
      </c>
      <c r="B2429" t="str">
        <f>"0000808521"</f>
        <v>0000808521</v>
      </c>
      <c r="C2429" t="str">
        <f t="shared" si="1000"/>
        <v>0000808396</v>
      </c>
      <c r="D2429" t="str">
        <f t="shared" si="978"/>
        <v>73185</v>
      </c>
      <c r="E2429" t="str">
        <f t="shared" si="979"/>
        <v>KFH-OPERATIONS DEPARTMENT</v>
      </c>
      <c r="F2429" t="str">
        <f t="shared" si="980"/>
        <v>IBG</v>
      </c>
      <c r="G2429" t="str">
        <f t="shared" si="991"/>
        <v>Refund COSHARE 10</v>
      </c>
      <c r="H2429" s="2">
        <v>42</v>
      </c>
      <c r="I2429" t="str">
        <f>"NUR SHUHADA BINTI AZMI"</f>
        <v>NUR SHUHADA BINTI AZMI</v>
      </c>
      <c r="J2429" t="str">
        <f t="shared" si="992"/>
        <v>MAYBANK / MAYBANK ISLAMIC</v>
      </c>
      <c r="K2429" t="str">
        <f>"152095608053"</f>
        <v>152095608053</v>
      </c>
      <c r="L2429" t="str">
        <f t="shared" si="1001"/>
        <v>04-08-2020</v>
      </c>
      <c r="M2429" t="str">
        <f t="shared" si="1001"/>
        <v>04-08-2020</v>
      </c>
      <c r="N2429" t="str">
        <f t="shared" si="981"/>
        <v>001105018356</v>
      </c>
      <c r="O2429" t="str">
        <f t="shared" si="982"/>
        <v>MYR</v>
      </c>
      <c r="P2429" t="str">
        <f t="shared" si="1002"/>
        <v>NIL</v>
      </c>
      <c r="Q2429" t="str">
        <f t="shared" si="1002"/>
        <v>NIL</v>
      </c>
      <c r="R2429" t="str">
        <f t="shared" si="983"/>
        <v>Accepted</v>
      </c>
      <c r="S2429" t="str">
        <f t="shared" si="984"/>
        <v>Approved</v>
      </c>
      <c r="T2429" t="str">
        <f t="shared" si="985"/>
        <v>10.20.8.188</v>
      </c>
      <c r="U2429" t="str">
        <f t="shared" si="986"/>
        <v>AZRAD UMAR BIN SHAARI</v>
      </c>
      <c r="V2429" t="str">
        <f t="shared" si="987"/>
        <v>FARHANA BINTI MUSTAPA</v>
      </c>
      <c r="W2429" t="str">
        <f t="shared" si="988"/>
        <v>04-08-2020</v>
      </c>
      <c r="X2429" t="str">
        <f t="shared" si="989"/>
        <v>RAZIMAH ANSAR AHMAD</v>
      </c>
      <c r="Y2429" t="str">
        <f t="shared" si="990"/>
        <v>04-08-2020</v>
      </c>
      <c r="Z2429" t="str">
        <f>"COS10200804 6725"</f>
        <v>COS10200804 6725</v>
      </c>
    </row>
    <row r="2430" spans="1:26" x14ac:dyDescent="0.25">
      <c r="A2430" t="str">
        <f t="shared" si="999"/>
        <v>04-08-2020 01:04:24</v>
      </c>
      <c r="B2430" t="str">
        <f>"0000808520"</f>
        <v>0000808520</v>
      </c>
      <c r="C2430" t="str">
        <f t="shared" si="1000"/>
        <v>0000808396</v>
      </c>
      <c r="D2430" t="str">
        <f t="shared" si="978"/>
        <v>73185</v>
      </c>
      <c r="E2430" t="str">
        <f t="shared" si="979"/>
        <v>KFH-OPERATIONS DEPARTMENT</v>
      </c>
      <c r="F2430" t="str">
        <f t="shared" si="980"/>
        <v>IBG</v>
      </c>
      <c r="G2430" t="str">
        <f t="shared" si="991"/>
        <v>Refund COSHARE 10</v>
      </c>
      <c r="H2430" s="2">
        <v>755.6</v>
      </c>
      <c r="I2430" t="str">
        <f>"NUR SHAREZAL BIN ROSLAN"</f>
        <v>NUR SHAREZAL BIN ROSLAN</v>
      </c>
      <c r="J2430" t="str">
        <f t="shared" si="992"/>
        <v>MAYBANK / MAYBANK ISLAMIC</v>
      </c>
      <c r="K2430" t="str">
        <f>"166010066767"</f>
        <v>166010066767</v>
      </c>
      <c r="L2430" t="str">
        <f t="shared" si="1001"/>
        <v>04-08-2020</v>
      </c>
      <c r="M2430" t="str">
        <f t="shared" si="1001"/>
        <v>04-08-2020</v>
      </c>
      <c r="N2430" t="str">
        <f t="shared" si="981"/>
        <v>001105018356</v>
      </c>
      <c r="O2430" t="str">
        <f t="shared" si="982"/>
        <v>MYR</v>
      </c>
      <c r="P2430" t="str">
        <f t="shared" si="1002"/>
        <v>NIL</v>
      </c>
      <c r="Q2430" t="str">
        <f t="shared" si="1002"/>
        <v>NIL</v>
      </c>
      <c r="R2430" t="str">
        <f t="shared" si="983"/>
        <v>Accepted</v>
      </c>
      <c r="S2430" t="str">
        <f t="shared" si="984"/>
        <v>Approved</v>
      </c>
      <c r="T2430" t="str">
        <f t="shared" si="985"/>
        <v>10.20.8.188</v>
      </c>
      <c r="U2430" t="str">
        <f t="shared" si="986"/>
        <v>AZRAD UMAR BIN SHAARI</v>
      </c>
      <c r="V2430" t="str">
        <f t="shared" si="987"/>
        <v>FARHANA BINTI MUSTAPA</v>
      </c>
      <c r="W2430" t="str">
        <f t="shared" si="988"/>
        <v>04-08-2020</v>
      </c>
      <c r="X2430" t="str">
        <f t="shared" si="989"/>
        <v>RAZIMAH ANSAR AHMAD</v>
      </c>
      <c r="Y2430" t="str">
        <f t="shared" si="990"/>
        <v>04-08-2020</v>
      </c>
      <c r="Z2430" t="str">
        <f>"COS10200804 6724"</f>
        <v>COS10200804 6724</v>
      </c>
    </row>
    <row r="2431" spans="1:26" x14ac:dyDescent="0.25">
      <c r="A2431" t="str">
        <f t="shared" si="999"/>
        <v>04-08-2020 01:04:24</v>
      </c>
      <c r="B2431" t="str">
        <f>"0000808519"</f>
        <v>0000808519</v>
      </c>
      <c r="C2431" t="str">
        <f t="shared" si="1000"/>
        <v>0000808396</v>
      </c>
      <c r="D2431" t="str">
        <f t="shared" si="978"/>
        <v>73185</v>
      </c>
      <c r="E2431" t="str">
        <f t="shared" si="979"/>
        <v>KFH-OPERATIONS DEPARTMENT</v>
      </c>
      <c r="F2431" t="str">
        <f t="shared" si="980"/>
        <v>IBG</v>
      </c>
      <c r="G2431" t="str">
        <f t="shared" si="991"/>
        <v>Refund COSHARE 10</v>
      </c>
      <c r="H2431" s="2">
        <v>335.8</v>
      </c>
      <c r="I2431" t="str">
        <f>"NUR SHAFAWATI BINTI ISMAIL"</f>
        <v>NUR SHAFAWATI BINTI ISMAIL</v>
      </c>
      <c r="J2431" t="str">
        <f t="shared" si="992"/>
        <v>MAYBANK / MAYBANK ISLAMIC</v>
      </c>
      <c r="K2431" t="str">
        <f>"152116230439"</f>
        <v>152116230439</v>
      </c>
      <c r="L2431" t="str">
        <f t="shared" si="1001"/>
        <v>04-08-2020</v>
      </c>
      <c r="M2431" t="str">
        <f t="shared" si="1001"/>
        <v>04-08-2020</v>
      </c>
      <c r="N2431" t="str">
        <f t="shared" si="981"/>
        <v>001105018356</v>
      </c>
      <c r="O2431" t="str">
        <f t="shared" si="982"/>
        <v>MYR</v>
      </c>
      <c r="P2431" t="str">
        <f t="shared" si="1002"/>
        <v>NIL</v>
      </c>
      <c r="Q2431" t="str">
        <f t="shared" si="1002"/>
        <v>NIL</v>
      </c>
      <c r="R2431" t="str">
        <f t="shared" si="983"/>
        <v>Accepted</v>
      </c>
      <c r="S2431" t="str">
        <f t="shared" si="984"/>
        <v>Approved</v>
      </c>
      <c r="T2431" t="str">
        <f t="shared" si="985"/>
        <v>10.20.8.188</v>
      </c>
      <c r="U2431" t="str">
        <f t="shared" si="986"/>
        <v>AZRAD UMAR BIN SHAARI</v>
      </c>
      <c r="V2431" t="str">
        <f t="shared" si="987"/>
        <v>FARHANA BINTI MUSTAPA</v>
      </c>
      <c r="W2431" t="str">
        <f t="shared" si="988"/>
        <v>04-08-2020</v>
      </c>
      <c r="X2431" t="str">
        <f t="shared" si="989"/>
        <v>RAZIMAH ANSAR AHMAD</v>
      </c>
      <c r="Y2431" t="str">
        <f t="shared" si="990"/>
        <v>04-08-2020</v>
      </c>
      <c r="Z2431" t="str">
        <f>"COS10200804 6723"</f>
        <v>COS10200804 6723</v>
      </c>
    </row>
    <row r="2432" spans="1:26" x14ac:dyDescent="0.25">
      <c r="A2432" t="str">
        <f t="shared" si="999"/>
        <v>04-08-2020 01:04:24</v>
      </c>
      <c r="B2432" t="str">
        <f>"0000808518"</f>
        <v>0000808518</v>
      </c>
      <c r="C2432" t="str">
        <f t="shared" si="1000"/>
        <v>0000808396</v>
      </c>
      <c r="D2432" t="str">
        <f t="shared" si="978"/>
        <v>73185</v>
      </c>
      <c r="E2432" t="str">
        <f t="shared" si="979"/>
        <v>KFH-OPERATIONS DEPARTMENT</v>
      </c>
      <c r="F2432" t="str">
        <f t="shared" si="980"/>
        <v>IBG</v>
      </c>
      <c r="G2432" t="str">
        <f t="shared" si="991"/>
        <v>Refund COSHARE 10</v>
      </c>
      <c r="H2432" s="2">
        <v>532</v>
      </c>
      <c r="I2432" t="str">
        <f>"NUR SALEENA FAZAL BINTI MOHAMED ANWAR"</f>
        <v>NUR SALEENA FAZAL BINTI MOHAMED ANWAR</v>
      </c>
      <c r="J2432" t="str">
        <f t="shared" si="992"/>
        <v>MAYBANK / MAYBANK ISLAMIC</v>
      </c>
      <c r="K2432" t="str">
        <f>"102046000334"</f>
        <v>102046000334</v>
      </c>
      <c r="L2432" t="str">
        <f t="shared" si="1001"/>
        <v>04-08-2020</v>
      </c>
      <c r="M2432" t="str">
        <f t="shared" si="1001"/>
        <v>04-08-2020</v>
      </c>
      <c r="N2432" t="str">
        <f t="shared" si="981"/>
        <v>001105018356</v>
      </c>
      <c r="O2432" t="str">
        <f t="shared" si="982"/>
        <v>MYR</v>
      </c>
      <c r="P2432" t="str">
        <f t="shared" si="1002"/>
        <v>NIL</v>
      </c>
      <c r="Q2432" t="str">
        <f t="shared" si="1002"/>
        <v>NIL</v>
      </c>
      <c r="R2432" t="str">
        <f t="shared" si="983"/>
        <v>Accepted</v>
      </c>
      <c r="S2432" t="str">
        <f t="shared" si="984"/>
        <v>Approved</v>
      </c>
      <c r="T2432" t="str">
        <f t="shared" si="985"/>
        <v>10.20.8.188</v>
      </c>
      <c r="U2432" t="str">
        <f t="shared" si="986"/>
        <v>AZRAD UMAR BIN SHAARI</v>
      </c>
      <c r="V2432" t="str">
        <f t="shared" si="987"/>
        <v>FARHANA BINTI MUSTAPA</v>
      </c>
      <c r="W2432" t="str">
        <f t="shared" si="988"/>
        <v>04-08-2020</v>
      </c>
      <c r="X2432" t="str">
        <f t="shared" si="989"/>
        <v>RAZIMAH ANSAR AHMAD</v>
      </c>
      <c r="Y2432" t="str">
        <f t="shared" si="990"/>
        <v>04-08-2020</v>
      </c>
      <c r="Z2432" t="str">
        <f>"COS10200804 6722"</f>
        <v>COS10200804 6722</v>
      </c>
    </row>
    <row r="2433" spans="1:26" x14ac:dyDescent="0.25">
      <c r="A2433" t="str">
        <f t="shared" si="999"/>
        <v>04-08-2020 01:04:24</v>
      </c>
      <c r="B2433" t="str">
        <f>"0000808517"</f>
        <v>0000808517</v>
      </c>
      <c r="C2433" t="str">
        <f t="shared" si="1000"/>
        <v>0000808396</v>
      </c>
      <c r="D2433" t="str">
        <f t="shared" si="978"/>
        <v>73185</v>
      </c>
      <c r="E2433" t="str">
        <f t="shared" si="979"/>
        <v>KFH-OPERATIONS DEPARTMENT</v>
      </c>
      <c r="F2433" t="str">
        <f t="shared" si="980"/>
        <v>IBG</v>
      </c>
      <c r="G2433" t="str">
        <f t="shared" si="991"/>
        <v>Refund COSHARE 10</v>
      </c>
      <c r="H2433" s="2">
        <v>503.7</v>
      </c>
      <c r="I2433" t="str">
        <f>"NUR RISYAH BINTI MUSA"</f>
        <v>NUR RISYAH BINTI MUSA</v>
      </c>
      <c r="J2433" t="str">
        <f t="shared" si="992"/>
        <v>MAYBANK / MAYBANK ISLAMIC</v>
      </c>
      <c r="K2433" t="str">
        <f>"112214012091"</f>
        <v>112214012091</v>
      </c>
      <c r="L2433" t="str">
        <f t="shared" si="1001"/>
        <v>04-08-2020</v>
      </c>
      <c r="M2433" t="str">
        <f t="shared" si="1001"/>
        <v>04-08-2020</v>
      </c>
      <c r="N2433" t="str">
        <f t="shared" si="981"/>
        <v>001105018356</v>
      </c>
      <c r="O2433" t="str">
        <f t="shared" si="982"/>
        <v>MYR</v>
      </c>
      <c r="P2433" t="str">
        <f t="shared" si="1002"/>
        <v>NIL</v>
      </c>
      <c r="Q2433" t="str">
        <f t="shared" si="1002"/>
        <v>NIL</v>
      </c>
      <c r="R2433" t="str">
        <f t="shared" si="983"/>
        <v>Accepted</v>
      </c>
      <c r="S2433" t="str">
        <f t="shared" si="984"/>
        <v>Approved</v>
      </c>
      <c r="T2433" t="str">
        <f t="shared" si="985"/>
        <v>10.20.8.188</v>
      </c>
      <c r="U2433" t="str">
        <f t="shared" si="986"/>
        <v>AZRAD UMAR BIN SHAARI</v>
      </c>
      <c r="V2433" t="str">
        <f t="shared" si="987"/>
        <v>FARHANA BINTI MUSTAPA</v>
      </c>
      <c r="W2433" t="str">
        <f t="shared" si="988"/>
        <v>04-08-2020</v>
      </c>
      <c r="X2433" t="str">
        <f t="shared" si="989"/>
        <v>RAZIMAH ANSAR AHMAD</v>
      </c>
      <c r="Y2433" t="str">
        <f t="shared" si="990"/>
        <v>04-08-2020</v>
      </c>
      <c r="Z2433" t="str">
        <f>"COS10200804 6721"</f>
        <v>COS10200804 6721</v>
      </c>
    </row>
    <row r="2434" spans="1:26" x14ac:dyDescent="0.25">
      <c r="A2434" t="str">
        <f t="shared" si="999"/>
        <v>04-08-2020 01:04:24</v>
      </c>
      <c r="B2434" t="str">
        <f>"0000808516"</f>
        <v>0000808516</v>
      </c>
      <c r="C2434" t="str">
        <f t="shared" si="1000"/>
        <v>0000808396</v>
      </c>
      <c r="D2434" t="str">
        <f t="shared" si="978"/>
        <v>73185</v>
      </c>
      <c r="E2434" t="str">
        <f t="shared" si="979"/>
        <v>KFH-OPERATIONS DEPARTMENT</v>
      </c>
      <c r="F2434" t="str">
        <f t="shared" si="980"/>
        <v>IBG</v>
      </c>
      <c r="G2434" t="str">
        <f t="shared" si="991"/>
        <v>Refund COSHARE 10</v>
      </c>
      <c r="H2434" s="2">
        <v>532</v>
      </c>
      <c r="I2434" t="str">
        <f>"NUR REBECCA BINTI AZIMI"</f>
        <v>NUR REBECCA BINTI AZIMI</v>
      </c>
      <c r="J2434" t="str">
        <f t="shared" si="992"/>
        <v>MAYBANK / MAYBANK ISLAMIC</v>
      </c>
      <c r="K2434" t="str">
        <f>"151593003472"</f>
        <v>151593003472</v>
      </c>
      <c r="L2434" t="str">
        <f t="shared" si="1001"/>
        <v>04-08-2020</v>
      </c>
      <c r="M2434" t="str">
        <f t="shared" si="1001"/>
        <v>04-08-2020</v>
      </c>
      <c r="N2434" t="str">
        <f t="shared" si="981"/>
        <v>001105018356</v>
      </c>
      <c r="O2434" t="str">
        <f t="shared" si="982"/>
        <v>MYR</v>
      </c>
      <c r="P2434" t="str">
        <f t="shared" si="1002"/>
        <v>NIL</v>
      </c>
      <c r="Q2434" t="str">
        <f t="shared" si="1002"/>
        <v>NIL</v>
      </c>
      <c r="R2434" t="str">
        <f t="shared" si="983"/>
        <v>Accepted</v>
      </c>
      <c r="S2434" t="str">
        <f t="shared" si="984"/>
        <v>Approved</v>
      </c>
      <c r="T2434" t="str">
        <f t="shared" si="985"/>
        <v>10.20.8.188</v>
      </c>
      <c r="U2434" t="str">
        <f t="shared" si="986"/>
        <v>AZRAD UMAR BIN SHAARI</v>
      </c>
      <c r="V2434" t="str">
        <f t="shared" si="987"/>
        <v>FARHANA BINTI MUSTAPA</v>
      </c>
      <c r="W2434" t="str">
        <f t="shared" si="988"/>
        <v>04-08-2020</v>
      </c>
      <c r="X2434" t="str">
        <f t="shared" si="989"/>
        <v>RAZIMAH ANSAR AHMAD</v>
      </c>
      <c r="Y2434" t="str">
        <f t="shared" si="990"/>
        <v>04-08-2020</v>
      </c>
      <c r="Z2434" t="str">
        <f>"COS10200804 6720"</f>
        <v>COS10200804 6720</v>
      </c>
    </row>
    <row r="2435" spans="1:26" x14ac:dyDescent="0.25">
      <c r="A2435" t="str">
        <f t="shared" si="999"/>
        <v>04-08-2020 01:04:24</v>
      </c>
      <c r="B2435" t="str">
        <f>"0000808515"</f>
        <v>0000808515</v>
      </c>
      <c r="C2435" t="str">
        <f t="shared" si="1000"/>
        <v>0000808396</v>
      </c>
      <c r="D2435" t="str">
        <f t="shared" si="978"/>
        <v>73185</v>
      </c>
      <c r="E2435" t="str">
        <f t="shared" si="979"/>
        <v>KFH-OPERATIONS DEPARTMENT</v>
      </c>
      <c r="F2435" t="str">
        <f t="shared" si="980"/>
        <v>IBG</v>
      </c>
      <c r="G2435" t="str">
        <f t="shared" si="991"/>
        <v>Refund COSHARE 10</v>
      </c>
      <c r="H2435" s="2">
        <v>209.9</v>
      </c>
      <c r="I2435" t="str">
        <f>"NUR RAIYANI BINTI AB HALIM"</f>
        <v>NUR RAIYANI BINTI AB HALIM</v>
      </c>
      <c r="J2435" t="str">
        <f t="shared" si="992"/>
        <v>MAYBANK / MAYBANK ISLAMIC</v>
      </c>
      <c r="K2435" t="str">
        <f>"162188374072"</f>
        <v>162188374072</v>
      </c>
      <c r="L2435" t="str">
        <f t="shared" si="1001"/>
        <v>04-08-2020</v>
      </c>
      <c r="M2435" t="str">
        <f t="shared" si="1001"/>
        <v>04-08-2020</v>
      </c>
      <c r="N2435" t="str">
        <f t="shared" si="981"/>
        <v>001105018356</v>
      </c>
      <c r="O2435" t="str">
        <f t="shared" si="982"/>
        <v>MYR</v>
      </c>
      <c r="P2435" t="str">
        <f t="shared" si="1002"/>
        <v>NIL</v>
      </c>
      <c r="Q2435" t="str">
        <f t="shared" si="1002"/>
        <v>NIL</v>
      </c>
      <c r="R2435" t="str">
        <f t="shared" si="983"/>
        <v>Accepted</v>
      </c>
      <c r="S2435" t="str">
        <f t="shared" si="984"/>
        <v>Approved</v>
      </c>
      <c r="T2435" t="str">
        <f t="shared" si="985"/>
        <v>10.20.8.188</v>
      </c>
      <c r="U2435" t="str">
        <f t="shared" si="986"/>
        <v>AZRAD UMAR BIN SHAARI</v>
      </c>
      <c r="V2435" t="str">
        <f t="shared" si="987"/>
        <v>FARHANA BINTI MUSTAPA</v>
      </c>
      <c r="W2435" t="str">
        <f t="shared" si="988"/>
        <v>04-08-2020</v>
      </c>
      <c r="X2435" t="str">
        <f t="shared" si="989"/>
        <v>RAZIMAH ANSAR AHMAD</v>
      </c>
      <c r="Y2435" t="str">
        <f t="shared" si="990"/>
        <v>04-08-2020</v>
      </c>
      <c r="Z2435" t="str">
        <f>"COS10200804 6719"</f>
        <v>COS10200804 6719</v>
      </c>
    </row>
    <row r="2436" spans="1:26" x14ac:dyDescent="0.25">
      <c r="A2436" t="str">
        <f t="shared" si="999"/>
        <v>04-08-2020 01:04:24</v>
      </c>
      <c r="B2436" t="str">
        <f>"0000808514"</f>
        <v>0000808514</v>
      </c>
      <c r="C2436" t="str">
        <f t="shared" si="1000"/>
        <v>0000808396</v>
      </c>
      <c r="D2436" t="str">
        <f t="shared" si="978"/>
        <v>73185</v>
      </c>
      <c r="E2436" t="str">
        <f t="shared" si="979"/>
        <v>KFH-OPERATIONS DEPARTMENT</v>
      </c>
      <c r="F2436" t="str">
        <f t="shared" si="980"/>
        <v>IBG</v>
      </c>
      <c r="G2436" t="str">
        <f t="shared" si="991"/>
        <v>Refund COSHARE 10</v>
      </c>
      <c r="H2436" s="2">
        <v>635.20000000000005</v>
      </c>
      <c r="I2436" t="str">
        <f>"NUR NADIA BINTI ZUBIR"</f>
        <v>NUR NADIA BINTI ZUBIR</v>
      </c>
      <c r="J2436" t="str">
        <f t="shared" si="992"/>
        <v>MAYBANK / MAYBANK ISLAMIC</v>
      </c>
      <c r="K2436" t="str">
        <f>"162647051979"</f>
        <v>162647051979</v>
      </c>
      <c r="L2436" t="str">
        <f t="shared" si="1001"/>
        <v>04-08-2020</v>
      </c>
      <c r="M2436" t="str">
        <f t="shared" si="1001"/>
        <v>04-08-2020</v>
      </c>
      <c r="N2436" t="str">
        <f t="shared" si="981"/>
        <v>001105018356</v>
      </c>
      <c r="O2436" t="str">
        <f t="shared" si="982"/>
        <v>MYR</v>
      </c>
      <c r="P2436" t="str">
        <f t="shared" si="1002"/>
        <v>NIL</v>
      </c>
      <c r="Q2436" t="str">
        <f t="shared" si="1002"/>
        <v>NIL</v>
      </c>
      <c r="R2436" t="str">
        <f t="shared" si="983"/>
        <v>Accepted</v>
      </c>
      <c r="S2436" t="str">
        <f t="shared" si="984"/>
        <v>Approved</v>
      </c>
      <c r="T2436" t="str">
        <f t="shared" si="985"/>
        <v>10.20.8.188</v>
      </c>
      <c r="U2436" t="str">
        <f t="shared" si="986"/>
        <v>AZRAD UMAR BIN SHAARI</v>
      </c>
      <c r="V2436" t="str">
        <f t="shared" si="987"/>
        <v>FARHANA BINTI MUSTAPA</v>
      </c>
      <c r="W2436" t="str">
        <f t="shared" si="988"/>
        <v>04-08-2020</v>
      </c>
      <c r="X2436" t="str">
        <f t="shared" si="989"/>
        <v>RAZIMAH ANSAR AHMAD</v>
      </c>
      <c r="Y2436" t="str">
        <f t="shared" si="990"/>
        <v>04-08-2020</v>
      </c>
      <c r="Z2436" t="str">
        <f>"COS10200804 6718"</f>
        <v>COS10200804 6718</v>
      </c>
    </row>
    <row r="2437" spans="1:26" x14ac:dyDescent="0.25">
      <c r="A2437" t="str">
        <f t="shared" si="999"/>
        <v>04-08-2020 01:04:24</v>
      </c>
      <c r="B2437" t="str">
        <f>"0000808513"</f>
        <v>0000808513</v>
      </c>
      <c r="C2437" t="str">
        <f t="shared" si="1000"/>
        <v>0000808396</v>
      </c>
      <c r="D2437" t="str">
        <f t="shared" si="978"/>
        <v>73185</v>
      </c>
      <c r="E2437" t="str">
        <f t="shared" si="979"/>
        <v>KFH-OPERATIONS DEPARTMENT</v>
      </c>
      <c r="F2437" t="str">
        <f t="shared" si="980"/>
        <v>IBG</v>
      </c>
      <c r="G2437" t="str">
        <f t="shared" si="991"/>
        <v>Refund COSHARE 10</v>
      </c>
      <c r="H2437" s="2">
        <v>443</v>
      </c>
      <c r="I2437" t="str">
        <f>"NUR NABILA BINTI SUHAIMI"</f>
        <v>NUR NABILA BINTI SUHAIMI</v>
      </c>
      <c r="J2437" t="str">
        <f t="shared" si="992"/>
        <v>MAYBANK / MAYBANK ISLAMIC</v>
      </c>
      <c r="K2437" t="str">
        <f>"161033267330"</f>
        <v>161033267330</v>
      </c>
      <c r="L2437" t="str">
        <f t="shared" si="1001"/>
        <v>04-08-2020</v>
      </c>
      <c r="M2437" t="str">
        <f t="shared" si="1001"/>
        <v>04-08-2020</v>
      </c>
      <c r="N2437" t="str">
        <f t="shared" si="981"/>
        <v>001105018356</v>
      </c>
      <c r="O2437" t="str">
        <f t="shared" si="982"/>
        <v>MYR</v>
      </c>
      <c r="P2437" t="str">
        <f t="shared" si="1002"/>
        <v>NIL</v>
      </c>
      <c r="Q2437" t="str">
        <f t="shared" si="1002"/>
        <v>NIL</v>
      </c>
      <c r="R2437" t="str">
        <f t="shared" si="983"/>
        <v>Accepted</v>
      </c>
      <c r="S2437" t="str">
        <f t="shared" si="984"/>
        <v>Approved</v>
      </c>
      <c r="T2437" t="str">
        <f t="shared" si="985"/>
        <v>10.20.8.188</v>
      </c>
      <c r="U2437" t="str">
        <f t="shared" si="986"/>
        <v>AZRAD UMAR BIN SHAARI</v>
      </c>
      <c r="V2437" t="str">
        <f t="shared" si="987"/>
        <v>FARHANA BINTI MUSTAPA</v>
      </c>
      <c r="W2437" t="str">
        <f t="shared" si="988"/>
        <v>04-08-2020</v>
      </c>
      <c r="X2437" t="str">
        <f t="shared" si="989"/>
        <v>RAZIMAH ANSAR AHMAD</v>
      </c>
      <c r="Y2437" t="str">
        <f t="shared" si="990"/>
        <v>04-08-2020</v>
      </c>
      <c r="Z2437" t="str">
        <f>"COS10200804 6717"</f>
        <v>COS10200804 6717</v>
      </c>
    </row>
    <row r="2438" spans="1:26" x14ac:dyDescent="0.25">
      <c r="A2438" t="str">
        <f t="shared" si="999"/>
        <v>04-08-2020 01:04:24</v>
      </c>
      <c r="B2438" t="str">
        <f>"0000808512"</f>
        <v>0000808512</v>
      </c>
      <c r="C2438" t="str">
        <f t="shared" si="1000"/>
        <v>0000808396</v>
      </c>
      <c r="D2438" t="str">
        <f t="shared" si="978"/>
        <v>73185</v>
      </c>
      <c r="E2438" t="str">
        <f t="shared" si="979"/>
        <v>KFH-OPERATIONS DEPARTMENT</v>
      </c>
      <c r="F2438" t="str">
        <f t="shared" si="980"/>
        <v>IBG</v>
      </c>
      <c r="G2438" t="str">
        <f t="shared" si="991"/>
        <v>Refund COSHARE 10</v>
      </c>
      <c r="H2438" s="2">
        <v>1041</v>
      </c>
      <c r="I2438" t="str">
        <f>"NUR JUNITA BINTI ABDUL LATIFF"</f>
        <v>NUR JUNITA BINTI ABDUL LATIFF</v>
      </c>
      <c r="J2438" t="str">
        <f t="shared" si="992"/>
        <v>MAYBANK / MAYBANK ISLAMIC</v>
      </c>
      <c r="K2438" t="str">
        <f>"164801024403"</f>
        <v>164801024403</v>
      </c>
      <c r="L2438" t="str">
        <f t="shared" si="1001"/>
        <v>04-08-2020</v>
      </c>
      <c r="M2438" t="str">
        <f t="shared" si="1001"/>
        <v>04-08-2020</v>
      </c>
      <c r="N2438" t="str">
        <f t="shared" si="981"/>
        <v>001105018356</v>
      </c>
      <c r="O2438" t="str">
        <f t="shared" si="982"/>
        <v>MYR</v>
      </c>
      <c r="P2438" t="str">
        <f t="shared" si="1002"/>
        <v>NIL</v>
      </c>
      <c r="Q2438" t="str">
        <f t="shared" si="1002"/>
        <v>NIL</v>
      </c>
      <c r="R2438" t="str">
        <f t="shared" si="983"/>
        <v>Accepted</v>
      </c>
      <c r="S2438" t="str">
        <f t="shared" si="984"/>
        <v>Approved</v>
      </c>
      <c r="T2438" t="str">
        <f t="shared" si="985"/>
        <v>10.20.8.188</v>
      </c>
      <c r="U2438" t="str">
        <f t="shared" si="986"/>
        <v>AZRAD UMAR BIN SHAARI</v>
      </c>
      <c r="V2438" t="str">
        <f t="shared" si="987"/>
        <v>FARHANA BINTI MUSTAPA</v>
      </c>
      <c r="W2438" t="str">
        <f t="shared" si="988"/>
        <v>04-08-2020</v>
      </c>
      <c r="X2438" t="str">
        <f t="shared" si="989"/>
        <v>RAZIMAH ANSAR AHMAD</v>
      </c>
      <c r="Y2438" t="str">
        <f t="shared" si="990"/>
        <v>04-08-2020</v>
      </c>
      <c r="Z2438" t="str">
        <f>"COS10200804 6716"</f>
        <v>COS10200804 6716</v>
      </c>
    </row>
    <row r="2439" spans="1:26" x14ac:dyDescent="0.25">
      <c r="A2439" t="str">
        <f t="shared" si="999"/>
        <v>04-08-2020 01:04:24</v>
      </c>
      <c r="B2439" t="str">
        <f>"0000808511"</f>
        <v>0000808511</v>
      </c>
      <c r="C2439" t="str">
        <f t="shared" si="1000"/>
        <v>0000808396</v>
      </c>
      <c r="D2439" t="str">
        <f t="shared" ref="D2439:D2502" si="1003">"73185"</f>
        <v>73185</v>
      </c>
      <c r="E2439" t="str">
        <f t="shared" ref="E2439:E2502" si="1004">"KFH-OPERATIONS DEPARTMENT"</f>
        <v>KFH-OPERATIONS DEPARTMENT</v>
      </c>
      <c r="F2439" t="str">
        <f t="shared" ref="F2439:F2502" si="1005">"IBG"</f>
        <v>IBG</v>
      </c>
      <c r="G2439" t="str">
        <f t="shared" si="991"/>
        <v>Refund COSHARE 10</v>
      </c>
      <c r="H2439" s="2">
        <v>592</v>
      </c>
      <c r="I2439" t="str">
        <f>"NUR HIDAYAH BINTI SARKAM"</f>
        <v>NUR HIDAYAH BINTI SARKAM</v>
      </c>
      <c r="J2439" t="str">
        <f t="shared" si="992"/>
        <v>MAYBANK / MAYBANK ISLAMIC</v>
      </c>
      <c r="K2439" t="str">
        <f>"151212705494"</f>
        <v>151212705494</v>
      </c>
      <c r="L2439" t="str">
        <f t="shared" si="1001"/>
        <v>04-08-2020</v>
      </c>
      <c r="M2439" t="str">
        <f t="shared" si="1001"/>
        <v>04-08-2020</v>
      </c>
      <c r="N2439" t="str">
        <f t="shared" ref="N2439:N2502" si="1006">"001105018356"</f>
        <v>001105018356</v>
      </c>
      <c r="O2439" t="str">
        <f t="shared" ref="O2439:O2502" si="1007">"MYR"</f>
        <v>MYR</v>
      </c>
      <c r="P2439" t="str">
        <f t="shared" si="1002"/>
        <v>NIL</v>
      </c>
      <c r="Q2439" t="str">
        <f t="shared" si="1002"/>
        <v>NIL</v>
      </c>
      <c r="R2439" t="str">
        <f t="shared" ref="R2439:R2502" si="1008">"Accepted"</f>
        <v>Accepted</v>
      </c>
      <c r="S2439" t="str">
        <f t="shared" ref="S2439:S2502" si="1009">"Approved"</f>
        <v>Approved</v>
      </c>
      <c r="T2439" t="str">
        <f t="shared" ref="T2439:T2502" si="1010">"10.20.8.188"</f>
        <v>10.20.8.188</v>
      </c>
      <c r="U2439" t="str">
        <f t="shared" ref="U2439:U2502" si="1011">"AZRAD UMAR BIN SHAARI"</f>
        <v>AZRAD UMAR BIN SHAARI</v>
      </c>
      <c r="V2439" t="str">
        <f t="shared" ref="V2439:V2502" si="1012">"FARHANA BINTI MUSTAPA"</f>
        <v>FARHANA BINTI MUSTAPA</v>
      </c>
      <c r="W2439" t="str">
        <f t="shared" ref="W2439:W2502" si="1013">"04-08-2020"</f>
        <v>04-08-2020</v>
      </c>
      <c r="X2439" t="str">
        <f t="shared" ref="X2439:X2502" si="1014">"RAZIMAH ANSAR AHMAD"</f>
        <v>RAZIMAH ANSAR AHMAD</v>
      </c>
      <c r="Y2439" t="str">
        <f t="shared" ref="Y2439:Y2502" si="1015">"04-08-2020"</f>
        <v>04-08-2020</v>
      </c>
      <c r="Z2439" t="str">
        <f>"COS10200804 6715"</f>
        <v>COS10200804 6715</v>
      </c>
    </row>
    <row r="2440" spans="1:26" x14ac:dyDescent="0.25">
      <c r="A2440" t="str">
        <f t="shared" si="999"/>
        <v>04-08-2020 01:04:24</v>
      </c>
      <c r="B2440" t="str">
        <f>"0000808510"</f>
        <v>0000808510</v>
      </c>
      <c r="C2440" t="str">
        <f t="shared" si="1000"/>
        <v>0000808396</v>
      </c>
      <c r="D2440" t="str">
        <f t="shared" si="1003"/>
        <v>73185</v>
      </c>
      <c r="E2440" t="str">
        <f t="shared" si="1004"/>
        <v>KFH-OPERATIONS DEPARTMENT</v>
      </c>
      <c r="F2440" t="str">
        <f t="shared" si="1005"/>
        <v>IBG</v>
      </c>
      <c r="G2440" t="str">
        <f t="shared" si="991"/>
        <v>Refund COSHARE 10</v>
      </c>
      <c r="H2440" s="2">
        <v>142.75</v>
      </c>
      <c r="I2440" t="str">
        <f>"NUR HAZRIN BINTI ARSHAD"</f>
        <v>NUR HAZRIN BINTI ARSHAD</v>
      </c>
      <c r="J2440" t="str">
        <f t="shared" si="992"/>
        <v>MAYBANK / MAYBANK ISLAMIC</v>
      </c>
      <c r="K2440" t="str">
        <f>"101076007220"</f>
        <v>101076007220</v>
      </c>
      <c r="L2440" t="str">
        <f t="shared" si="1001"/>
        <v>04-08-2020</v>
      </c>
      <c r="M2440" t="str">
        <f t="shared" si="1001"/>
        <v>04-08-2020</v>
      </c>
      <c r="N2440" t="str">
        <f t="shared" si="1006"/>
        <v>001105018356</v>
      </c>
      <c r="O2440" t="str">
        <f t="shared" si="1007"/>
        <v>MYR</v>
      </c>
      <c r="P2440" t="str">
        <f t="shared" si="1002"/>
        <v>NIL</v>
      </c>
      <c r="Q2440" t="str">
        <f t="shared" si="1002"/>
        <v>NIL</v>
      </c>
      <c r="R2440" t="str">
        <f t="shared" si="1008"/>
        <v>Accepted</v>
      </c>
      <c r="S2440" t="str">
        <f t="shared" si="1009"/>
        <v>Approved</v>
      </c>
      <c r="T2440" t="str">
        <f t="shared" si="1010"/>
        <v>10.20.8.188</v>
      </c>
      <c r="U2440" t="str">
        <f t="shared" si="1011"/>
        <v>AZRAD UMAR BIN SHAARI</v>
      </c>
      <c r="V2440" t="str">
        <f t="shared" si="1012"/>
        <v>FARHANA BINTI MUSTAPA</v>
      </c>
      <c r="W2440" t="str">
        <f t="shared" si="1013"/>
        <v>04-08-2020</v>
      </c>
      <c r="X2440" t="str">
        <f t="shared" si="1014"/>
        <v>RAZIMAH ANSAR AHMAD</v>
      </c>
      <c r="Y2440" t="str">
        <f t="shared" si="1015"/>
        <v>04-08-2020</v>
      </c>
      <c r="Z2440" t="str">
        <f>"COS10200804 6714"</f>
        <v>COS10200804 6714</v>
      </c>
    </row>
    <row r="2441" spans="1:26" x14ac:dyDescent="0.25">
      <c r="A2441" t="str">
        <f t="shared" si="999"/>
        <v>04-08-2020 01:04:24</v>
      </c>
      <c r="B2441" t="str">
        <f>"0000808509"</f>
        <v>0000808509</v>
      </c>
      <c r="C2441" t="str">
        <f t="shared" si="1000"/>
        <v>0000808396</v>
      </c>
      <c r="D2441" t="str">
        <f t="shared" si="1003"/>
        <v>73185</v>
      </c>
      <c r="E2441" t="str">
        <f t="shared" si="1004"/>
        <v>KFH-OPERATIONS DEPARTMENT</v>
      </c>
      <c r="F2441" t="str">
        <f t="shared" si="1005"/>
        <v>IBG</v>
      </c>
      <c r="G2441" t="str">
        <f t="shared" si="991"/>
        <v>Refund COSHARE 10</v>
      </c>
      <c r="H2441" s="2">
        <v>129</v>
      </c>
      <c r="I2441" t="str">
        <f>"NUR HAZIRAH BINTI JOHARI"</f>
        <v>NUR HAZIRAH BINTI JOHARI</v>
      </c>
      <c r="J2441" t="str">
        <f t="shared" si="992"/>
        <v>MAYBANK / MAYBANK ISLAMIC</v>
      </c>
      <c r="K2441" t="str">
        <f>"162143108521"</f>
        <v>162143108521</v>
      </c>
      <c r="L2441" t="str">
        <f t="shared" si="1001"/>
        <v>04-08-2020</v>
      </c>
      <c r="M2441" t="str">
        <f t="shared" si="1001"/>
        <v>04-08-2020</v>
      </c>
      <c r="N2441" t="str">
        <f t="shared" si="1006"/>
        <v>001105018356</v>
      </c>
      <c r="O2441" t="str">
        <f t="shared" si="1007"/>
        <v>MYR</v>
      </c>
      <c r="P2441" t="str">
        <f t="shared" si="1002"/>
        <v>NIL</v>
      </c>
      <c r="Q2441" t="str">
        <f t="shared" si="1002"/>
        <v>NIL</v>
      </c>
      <c r="R2441" t="str">
        <f t="shared" si="1008"/>
        <v>Accepted</v>
      </c>
      <c r="S2441" t="str">
        <f t="shared" si="1009"/>
        <v>Approved</v>
      </c>
      <c r="T2441" t="str">
        <f t="shared" si="1010"/>
        <v>10.20.8.188</v>
      </c>
      <c r="U2441" t="str">
        <f t="shared" si="1011"/>
        <v>AZRAD UMAR BIN SHAARI</v>
      </c>
      <c r="V2441" t="str">
        <f t="shared" si="1012"/>
        <v>FARHANA BINTI MUSTAPA</v>
      </c>
      <c r="W2441" t="str">
        <f t="shared" si="1013"/>
        <v>04-08-2020</v>
      </c>
      <c r="X2441" t="str">
        <f t="shared" si="1014"/>
        <v>RAZIMAH ANSAR AHMAD</v>
      </c>
      <c r="Y2441" t="str">
        <f t="shared" si="1015"/>
        <v>04-08-2020</v>
      </c>
      <c r="Z2441" t="str">
        <f>"COS10200804 6713"</f>
        <v>COS10200804 6713</v>
      </c>
    </row>
    <row r="2442" spans="1:26" x14ac:dyDescent="0.25">
      <c r="A2442" t="str">
        <f t="shared" si="999"/>
        <v>04-08-2020 01:04:24</v>
      </c>
      <c r="B2442" t="str">
        <f>"0000808508"</f>
        <v>0000808508</v>
      </c>
      <c r="C2442" t="str">
        <f t="shared" si="1000"/>
        <v>0000808396</v>
      </c>
      <c r="D2442" t="str">
        <f t="shared" si="1003"/>
        <v>73185</v>
      </c>
      <c r="E2442" t="str">
        <f t="shared" si="1004"/>
        <v>KFH-OPERATIONS DEPARTMENT</v>
      </c>
      <c r="F2442" t="str">
        <f t="shared" si="1005"/>
        <v>IBG</v>
      </c>
      <c r="G2442" t="str">
        <f t="shared" si="991"/>
        <v>Refund COSHARE 10</v>
      </c>
      <c r="H2442" s="2">
        <v>759</v>
      </c>
      <c r="I2442" t="str">
        <f>"NUR HAYATI BINTI SAPARI"</f>
        <v>NUR HAYATI BINTI SAPARI</v>
      </c>
      <c r="J2442" t="str">
        <f t="shared" si="992"/>
        <v>MAYBANK / MAYBANK ISLAMIC</v>
      </c>
      <c r="K2442" t="str">
        <f>"160184002831"</f>
        <v>160184002831</v>
      </c>
      <c r="L2442" t="str">
        <f t="shared" si="1001"/>
        <v>04-08-2020</v>
      </c>
      <c r="M2442" t="str">
        <f t="shared" si="1001"/>
        <v>04-08-2020</v>
      </c>
      <c r="N2442" t="str">
        <f t="shared" si="1006"/>
        <v>001105018356</v>
      </c>
      <c r="O2442" t="str">
        <f t="shared" si="1007"/>
        <v>MYR</v>
      </c>
      <c r="P2442" t="str">
        <f t="shared" si="1002"/>
        <v>NIL</v>
      </c>
      <c r="Q2442" t="str">
        <f t="shared" si="1002"/>
        <v>NIL</v>
      </c>
      <c r="R2442" t="str">
        <f t="shared" si="1008"/>
        <v>Accepted</v>
      </c>
      <c r="S2442" t="str">
        <f t="shared" si="1009"/>
        <v>Approved</v>
      </c>
      <c r="T2442" t="str">
        <f t="shared" si="1010"/>
        <v>10.20.8.188</v>
      </c>
      <c r="U2442" t="str">
        <f t="shared" si="1011"/>
        <v>AZRAD UMAR BIN SHAARI</v>
      </c>
      <c r="V2442" t="str">
        <f t="shared" si="1012"/>
        <v>FARHANA BINTI MUSTAPA</v>
      </c>
      <c r="W2442" t="str">
        <f t="shared" si="1013"/>
        <v>04-08-2020</v>
      </c>
      <c r="X2442" t="str">
        <f t="shared" si="1014"/>
        <v>RAZIMAH ANSAR AHMAD</v>
      </c>
      <c r="Y2442" t="str">
        <f t="shared" si="1015"/>
        <v>04-08-2020</v>
      </c>
      <c r="Z2442" t="str">
        <f>"COS10200804 6712"</f>
        <v>COS10200804 6712</v>
      </c>
    </row>
    <row r="2443" spans="1:26" x14ac:dyDescent="0.25">
      <c r="A2443" t="str">
        <f t="shared" si="999"/>
        <v>04-08-2020 01:04:24</v>
      </c>
      <c r="B2443" t="str">
        <f>"0000808507"</f>
        <v>0000808507</v>
      </c>
      <c r="C2443" t="str">
        <f t="shared" si="1000"/>
        <v>0000808396</v>
      </c>
      <c r="D2443" t="str">
        <f t="shared" si="1003"/>
        <v>73185</v>
      </c>
      <c r="E2443" t="str">
        <f t="shared" si="1004"/>
        <v>KFH-OPERATIONS DEPARTMENT</v>
      </c>
      <c r="F2443" t="str">
        <f t="shared" si="1005"/>
        <v>IBG</v>
      </c>
      <c r="G2443" t="str">
        <f t="shared" si="991"/>
        <v>Refund COSHARE 10</v>
      </c>
      <c r="H2443" s="2">
        <v>419.75</v>
      </c>
      <c r="I2443" t="str">
        <f>"NUR HAWILIN BINTI ABDUL AZIZ"</f>
        <v>NUR HAWILIN BINTI ABDUL AZIZ</v>
      </c>
      <c r="J2443" t="str">
        <f t="shared" si="992"/>
        <v>MAYBANK / MAYBANK ISLAMIC</v>
      </c>
      <c r="K2443" t="str">
        <f>"162348345407"</f>
        <v>162348345407</v>
      </c>
      <c r="L2443" t="str">
        <f t="shared" si="1001"/>
        <v>04-08-2020</v>
      </c>
      <c r="M2443" t="str">
        <f t="shared" si="1001"/>
        <v>04-08-2020</v>
      </c>
      <c r="N2443" t="str">
        <f t="shared" si="1006"/>
        <v>001105018356</v>
      </c>
      <c r="O2443" t="str">
        <f t="shared" si="1007"/>
        <v>MYR</v>
      </c>
      <c r="P2443" t="str">
        <f t="shared" si="1002"/>
        <v>NIL</v>
      </c>
      <c r="Q2443" t="str">
        <f t="shared" si="1002"/>
        <v>NIL</v>
      </c>
      <c r="R2443" t="str">
        <f t="shared" si="1008"/>
        <v>Accepted</v>
      </c>
      <c r="S2443" t="str">
        <f t="shared" si="1009"/>
        <v>Approved</v>
      </c>
      <c r="T2443" t="str">
        <f t="shared" si="1010"/>
        <v>10.20.8.188</v>
      </c>
      <c r="U2443" t="str">
        <f t="shared" si="1011"/>
        <v>AZRAD UMAR BIN SHAARI</v>
      </c>
      <c r="V2443" t="str">
        <f t="shared" si="1012"/>
        <v>FARHANA BINTI MUSTAPA</v>
      </c>
      <c r="W2443" t="str">
        <f t="shared" si="1013"/>
        <v>04-08-2020</v>
      </c>
      <c r="X2443" t="str">
        <f t="shared" si="1014"/>
        <v>RAZIMAH ANSAR AHMAD</v>
      </c>
      <c r="Y2443" t="str">
        <f t="shared" si="1015"/>
        <v>04-08-2020</v>
      </c>
      <c r="Z2443" t="str">
        <f>"COS10200804 6711"</f>
        <v>COS10200804 6711</v>
      </c>
    </row>
    <row r="2444" spans="1:26" x14ac:dyDescent="0.25">
      <c r="A2444" t="str">
        <f t="shared" si="999"/>
        <v>04-08-2020 01:04:24</v>
      </c>
      <c r="B2444" t="str">
        <f>"0000808506"</f>
        <v>0000808506</v>
      </c>
      <c r="C2444" t="str">
        <f t="shared" si="1000"/>
        <v>0000808396</v>
      </c>
      <c r="D2444" t="str">
        <f t="shared" si="1003"/>
        <v>73185</v>
      </c>
      <c r="E2444" t="str">
        <f t="shared" si="1004"/>
        <v>KFH-OPERATIONS DEPARTMENT</v>
      </c>
      <c r="F2444" t="str">
        <f t="shared" si="1005"/>
        <v>IBG</v>
      </c>
      <c r="G2444" t="str">
        <f t="shared" ref="G2444:G2507" si="1016">"Refund COSHARE 10"</f>
        <v>Refund COSHARE 10</v>
      </c>
      <c r="H2444" s="2">
        <v>748</v>
      </c>
      <c r="I2444" t="str">
        <f>"NUR HANANI BINTI MOHAMMAD LATIF"</f>
        <v>NUR HANANI BINTI MOHAMMAD LATIF</v>
      </c>
      <c r="J2444" t="str">
        <f t="shared" si="992"/>
        <v>MAYBANK / MAYBANK ISLAMIC</v>
      </c>
      <c r="K2444" t="str">
        <f>"112438024418"</f>
        <v>112438024418</v>
      </c>
      <c r="L2444" t="str">
        <f t="shared" si="1001"/>
        <v>04-08-2020</v>
      </c>
      <c r="M2444" t="str">
        <f t="shared" si="1001"/>
        <v>04-08-2020</v>
      </c>
      <c r="N2444" t="str">
        <f t="shared" si="1006"/>
        <v>001105018356</v>
      </c>
      <c r="O2444" t="str">
        <f t="shared" si="1007"/>
        <v>MYR</v>
      </c>
      <c r="P2444" t="str">
        <f t="shared" si="1002"/>
        <v>NIL</v>
      </c>
      <c r="Q2444" t="str">
        <f t="shared" si="1002"/>
        <v>NIL</v>
      </c>
      <c r="R2444" t="str">
        <f t="shared" si="1008"/>
        <v>Accepted</v>
      </c>
      <c r="S2444" t="str">
        <f t="shared" si="1009"/>
        <v>Approved</v>
      </c>
      <c r="T2444" t="str">
        <f t="shared" si="1010"/>
        <v>10.20.8.188</v>
      </c>
      <c r="U2444" t="str">
        <f t="shared" si="1011"/>
        <v>AZRAD UMAR BIN SHAARI</v>
      </c>
      <c r="V2444" t="str">
        <f t="shared" si="1012"/>
        <v>FARHANA BINTI MUSTAPA</v>
      </c>
      <c r="W2444" t="str">
        <f t="shared" si="1013"/>
        <v>04-08-2020</v>
      </c>
      <c r="X2444" t="str">
        <f t="shared" si="1014"/>
        <v>RAZIMAH ANSAR AHMAD</v>
      </c>
      <c r="Y2444" t="str">
        <f t="shared" si="1015"/>
        <v>04-08-2020</v>
      </c>
      <c r="Z2444" t="str">
        <f>"COS10200804 6710"</f>
        <v>COS10200804 6710</v>
      </c>
    </row>
    <row r="2445" spans="1:26" x14ac:dyDescent="0.25">
      <c r="A2445" t="str">
        <f t="shared" si="999"/>
        <v>04-08-2020 01:04:24</v>
      </c>
      <c r="B2445" t="str">
        <f>"0000808505"</f>
        <v>0000808505</v>
      </c>
      <c r="C2445" t="str">
        <f t="shared" si="1000"/>
        <v>0000808396</v>
      </c>
      <c r="D2445" t="str">
        <f t="shared" si="1003"/>
        <v>73185</v>
      </c>
      <c r="E2445" t="str">
        <f t="shared" si="1004"/>
        <v>KFH-OPERATIONS DEPARTMENT</v>
      </c>
      <c r="F2445" t="str">
        <f t="shared" si="1005"/>
        <v>IBG</v>
      </c>
      <c r="G2445" t="str">
        <f t="shared" si="1016"/>
        <v>Refund COSHARE 10</v>
      </c>
      <c r="H2445" s="2">
        <v>1326.4</v>
      </c>
      <c r="I2445" t="str">
        <f>"NUR HANANI BINTI MD NAFI"</f>
        <v>NUR HANANI BINTI MD NAFI</v>
      </c>
      <c r="J2445" t="str">
        <f t="shared" si="992"/>
        <v>MAYBANK / MAYBANK ISLAMIC</v>
      </c>
      <c r="K2445" t="str">
        <f>"162526394217"</f>
        <v>162526394217</v>
      </c>
      <c r="L2445" t="str">
        <f t="shared" si="1001"/>
        <v>04-08-2020</v>
      </c>
      <c r="M2445" t="str">
        <f t="shared" si="1001"/>
        <v>04-08-2020</v>
      </c>
      <c r="N2445" t="str">
        <f t="shared" si="1006"/>
        <v>001105018356</v>
      </c>
      <c r="O2445" t="str">
        <f t="shared" si="1007"/>
        <v>MYR</v>
      </c>
      <c r="P2445" t="str">
        <f t="shared" si="1002"/>
        <v>NIL</v>
      </c>
      <c r="Q2445" t="str">
        <f t="shared" si="1002"/>
        <v>NIL</v>
      </c>
      <c r="R2445" t="str">
        <f t="shared" si="1008"/>
        <v>Accepted</v>
      </c>
      <c r="S2445" t="str">
        <f t="shared" si="1009"/>
        <v>Approved</v>
      </c>
      <c r="T2445" t="str">
        <f t="shared" si="1010"/>
        <v>10.20.8.188</v>
      </c>
      <c r="U2445" t="str">
        <f t="shared" si="1011"/>
        <v>AZRAD UMAR BIN SHAARI</v>
      </c>
      <c r="V2445" t="str">
        <f t="shared" si="1012"/>
        <v>FARHANA BINTI MUSTAPA</v>
      </c>
      <c r="W2445" t="str">
        <f t="shared" si="1013"/>
        <v>04-08-2020</v>
      </c>
      <c r="X2445" t="str">
        <f t="shared" si="1014"/>
        <v>RAZIMAH ANSAR AHMAD</v>
      </c>
      <c r="Y2445" t="str">
        <f t="shared" si="1015"/>
        <v>04-08-2020</v>
      </c>
      <c r="Z2445" t="str">
        <f>"COS10200804 6709"</f>
        <v>COS10200804 6709</v>
      </c>
    </row>
    <row r="2446" spans="1:26" x14ac:dyDescent="0.25">
      <c r="A2446" t="str">
        <f t="shared" si="999"/>
        <v>04-08-2020 01:04:24</v>
      </c>
      <c r="B2446" t="str">
        <f>"0000808504"</f>
        <v>0000808504</v>
      </c>
      <c r="C2446" t="str">
        <f t="shared" si="1000"/>
        <v>0000808396</v>
      </c>
      <c r="D2446" t="str">
        <f t="shared" si="1003"/>
        <v>73185</v>
      </c>
      <c r="E2446" t="str">
        <f t="shared" si="1004"/>
        <v>KFH-OPERATIONS DEPARTMENT</v>
      </c>
      <c r="F2446" t="str">
        <f t="shared" si="1005"/>
        <v>IBG</v>
      </c>
      <c r="G2446" t="str">
        <f t="shared" si="1016"/>
        <v>Refund COSHARE 10</v>
      </c>
      <c r="H2446" s="2">
        <v>245.55</v>
      </c>
      <c r="I2446" t="str">
        <f>"NUR HAMIZAH PARAMESVATHI BT ABDULLAH"</f>
        <v>NUR HAMIZAH PARAMESVATHI BT ABDULLAH</v>
      </c>
      <c r="J2446" t="str">
        <f t="shared" si="992"/>
        <v>MAYBANK / MAYBANK ISLAMIC</v>
      </c>
      <c r="K2446" t="str">
        <f>"114020990590"</f>
        <v>114020990590</v>
      </c>
      <c r="L2446" t="str">
        <f t="shared" si="1001"/>
        <v>04-08-2020</v>
      </c>
      <c r="M2446" t="str">
        <f t="shared" si="1001"/>
        <v>04-08-2020</v>
      </c>
      <c r="N2446" t="str">
        <f t="shared" si="1006"/>
        <v>001105018356</v>
      </c>
      <c r="O2446" t="str">
        <f t="shared" si="1007"/>
        <v>MYR</v>
      </c>
      <c r="P2446" t="str">
        <f t="shared" si="1002"/>
        <v>NIL</v>
      </c>
      <c r="Q2446" t="str">
        <f t="shared" si="1002"/>
        <v>NIL</v>
      </c>
      <c r="R2446" t="str">
        <f t="shared" si="1008"/>
        <v>Accepted</v>
      </c>
      <c r="S2446" t="str">
        <f t="shared" si="1009"/>
        <v>Approved</v>
      </c>
      <c r="T2446" t="str">
        <f t="shared" si="1010"/>
        <v>10.20.8.188</v>
      </c>
      <c r="U2446" t="str">
        <f t="shared" si="1011"/>
        <v>AZRAD UMAR BIN SHAARI</v>
      </c>
      <c r="V2446" t="str">
        <f t="shared" si="1012"/>
        <v>FARHANA BINTI MUSTAPA</v>
      </c>
      <c r="W2446" t="str">
        <f t="shared" si="1013"/>
        <v>04-08-2020</v>
      </c>
      <c r="X2446" t="str">
        <f t="shared" si="1014"/>
        <v>RAZIMAH ANSAR AHMAD</v>
      </c>
      <c r="Y2446" t="str">
        <f t="shared" si="1015"/>
        <v>04-08-2020</v>
      </c>
      <c r="Z2446" t="str">
        <f>"COS10200804 6708"</f>
        <v>COS10200804 6708</v>
      </c>
    </row>
    <row r="2447" spans="1:26" x14ac:dyDescent="0.25">
      <c r="A2447" t="str">
        <f t="shared" si="999"/>
        <v>04-08-2020 01:04:24</v>
      </c>
      <c r="B2447" t="str">
        <f>"0000808503"</f>
        <v>0000808503</v>
      </c>
      <c r="C2447" t="str">
        <f t="shared" si="1000"/>
        <v>0000808396</v>
      </c>
      <c r="D2447" t="str">
        <f t="shared" si="1003"/>
        <v>73185</v>
      </c>
      <c r="E2447" t="str">
        <f t="shared" si="1004"/>
        <v>KFH-OPERATIONS DEPARTMENT</v>
      </c>
      <c r="F2447" t="str">
        <f t="shared" si="1005"/>
        <v>IBG</v>
      </c>
      <c r="G2447" t="str">
        <f t="shared" si="1016"/>
        <v>Refund COSHARE 10</v>
      </c>
      <c r="H2447" s="2">
        <v>713.6</v>
      </c>
      <c r="I2447" t="str">
        <f>"NUR HAMIZAH BINTI AZIZAN"</f>
        <v>NUR HAMIZAH BINTI AZIZAN</v>
      </c>
      <c r="J2447" t="str">
        <f t="shared" si="992"/>
        <v>MAYBANK / MAYBANK ISLAMIC</v>
      </c>
      <c r="K2447" t="str">
        <f>"159012811033"</f>
        <v>159012811033</v>
      </c>
      <c r="L2447" t="str">
        <f t="shared" ref="L2447:M2466" si="1017">"04-08-2020"</f>
        <v>04-08-2020</v>
      </c>
      <c r="M2447" t="str">
        <f t="shared" si="1017"/>
        <v>04-08-2020</v>
      </c>
      <c r="N2447" t="str">
        <f t="shared" si="1006"/>
        <v>001105018356</v>
      </c>
      <c r="O2447" t="str">
        <f t="shared" si="1007"/>
        <v>MYR</v>
      </c>
      <c r="P2447" t="str">
        <f t="shared" ref="P2447:Q2466" si="1018">"NIL"</f>
        <v>NIL</v>
      </c>
      <c r="Q2447" t="str">
        <f t="shared" si="1018"/>
        <v>NIL</v>
      </c>
      <c r="R2447" t="str">
        <f t="shared" si="1008"/>
        <v>Accepted</v>
      </c>
      <c r="S2447" t="str">
        <f t="shared" si="1009"/>
        <v>Approved</v>
      </c>
      <c r="T2447" t="str">
        <f t="shared" si="1010"/>
        <v>10.20.8.188</v>
      </c>
      <c r="U2447" t="str">
        <f t="shared" si="1011"/>
        <v>AZRAD UMAR BIN SHAARI</v>
      </c>
      <c r="V2447" t="str">
        <f t="shared" si="1012"/>
        <v>FARHANA BINTI MUSTAPA</v>
      </c>
      <c r="W2447" t="str">
        <f t="shared" si="1013"/>
        <v>04-08-2020</v>
      </c>
      <c r="X2447" t="str">
        <f t="shared" si="1014"/>
        <v>RAZIMAH ANSAR AHMAD</v>
      </c>
      <c r="Y2447" t="str">
        <f t="shared" si="1015"/>
        <v>04-08-2020</v>
      </c>
      <c r="Z2447" t="str">
        <f>"COS10200804 6707"</f>
        <v>COS10200804 6707</v>
      </c>
    </row>
    <row r="2448" spans="1:26" x14ac:dyDescent="0.25">
      <c r="A2448" t="str">
        <f t="shared" si="999"/>
        <v>04-08-2020 01:04:24</v>
      </c>
      <c r="B2448" t="str">
        <f>"0000808502"</f>
        <v>0000808502</v>
      </c>
      <c r="C2448" t="str">
        <f t="shared" si="1000"/>
        <v>0000808396</v>
      </c>
      <c r="D2448" t="str">
        <f t="shared" si="1003"/>
        <v>73185</v>
      </c>
      <c r="E2448" t="str">
        <f t="shared" si="1004"/>
        <v>KFH-OPERATIONS DEPARTMENT</v>
      </c>
      <c r="F2448" t="str">
        <f t="shared" si="1005"/>
        <v>IBG</v>
      </c>
      <c r="G2448" t="str">
        <f t="shared" si="1016"/>
        <v>Refund COSHARE 10</v>
      </c>
      <c r="H2448" s="2">
        <v>461.75</v>
      </c>
      <c r="I2448" t="str">
        <f>"NUR HAMIMAH BINTI IBRAHIM"</f>
        <v>NUR HAMIMAH BINTI IBRAHIM</v>
      </c>
      <c r="J2448" t="str">
        <f t="shared" si="992"/>
        <v>MAYBANK / MAYBANK ISLAMIC</v>
      </c>
      <c r="K2448" t="str">
        <f>"162106535265"</f>
        <v>162106535265</v>
      </c>
      <c r="L2448" t="str">
        <f t="shared" si="1017"/>
        <v>04-08-2020</v>
      </c>
      <c r="M2448" t="str">
        <f t="shared" si="1017"/>
        <v>04-08-2020</v>
      </c>
      <c r="N2448" t="str">
        <f t="shared" si="1006"/>
        <v>001105018356</v>
      </c>
      <c r="O2448" t="str">
        <f t="shared" si="1007"/>
        <v>MYR</v>
      </c>
      <c r="P2448" t="str">
        <f t="shared" si="1018"/>
        <v>NIL</v>
      </c>
      <c r="Q2448" t="str">
        <f t="shared" si="1018"/>
        <v>NIL</v>
      </c>
      <c r="R2448" t="str">
        <f t="shared" si="1008"/>
        <v>Accepted</v>
      </c>
      <c r="S2448" t="str">
        <f t="shared" si="1009"/>
        <v>Approved</v>
      </c>
      <c r="T2448" t="str">
        <f t="shared" si="1010"/>
        <v>10.20.8.188</v>
      </c>
      <c r="U2448" t="str">
        <f t="shared" si="1011"/>
        <v>AZRAD UMAR BIN SHAARI</v>
      </c>
      <c r="V2448" t="str">
        <f t="shared" si="1012"/>
        <v>FARHANA BINTI MUSTAPA</v>
      </c>
      <c r="W2448" t="str">
        <f t="shared" si="1013"/>
        <v>04-08-2020</v>
      </c>
      <c r="X2448" t="str">
        <f t="shared" si="1014"/>
        <v>RAZIMAH ANSAR AHMAD</v>
      </c>
      <c r="Y2448" t="str">
        <f t="shared" si="1015"/>
        <v>04-08-2020</v>
      </c>
      <c r="Z2448" t="str">
        <f>"COS10200804 6706"</f>
        <v>COS10200804 6706</v>
      </c>
    </row>
    <row r="2449" spans="1:26" x14ac:dyDescent="0.25">
      <c r="A2449" t="str">
        <f t="shared" si="999"/>
        <v>04-08-2020 01:04:24</v>
      </c>
      <c r="B2449" t="str">
        <f>"0000808501"</f>
        <v>0000808501</v>
      </c>
      <c r="C2449" t="str">
        <f t="shared" si="1000"/>
        <v>0000808396</v>
      </c>
      <c r="D2449" t="str">
        <f t="shared" si="1003"/>
        <v>73185</v>
      </c>
      <c r="E2449" t="str">
        <f t="shared" si="1004"/>
        <v>KFH-OPERATIONS DEPARTMENT</v>
      </c>
      <c r="F2449" t="str">
        <f t="shared" si="1005"/>
        <v>IBG</v>
      </c>
      <c r="G2449" t="str">
        <f t="shared" si="1016"/>
        <v>Refund COSHARE 10</v>
      </c>
      <c r="H2449" s="2">
        <v>167.9</v>
      </c>
      <c r="I2449" t="str">
        <f>"NUR FATIHAH BINTI ISMAIL"</f>
        <v>NUR FATIHAH BINTI ISMAIL</v>
      </c>
      <c r="J2449" t="str">
        <f t="shared" ref="J2449:J2512" si="1019">"MAYBANK / MAYBANK ISLAMIC"</f>
        <v>MAYBANK / MAYBANK ISLAMIC</v>
      </c>
      <c r="K2449" t="str">
        <f>"155144012748"</f>
        <v>155144012748</v>
      </c>
      <c r="L2449" t="str">
        <f t="shared" si="1017"/>
        <v>04-08-2020</v>
      </c>
      <c r="M2449" t="str">
        <f t="shared" si="1017"/>
        <v>04-08-2020</v>
      </c>
      <c r="N2449" t="str">
        <f t="shared" si="1006"/>
        <v>001105018356</v>
      </c>
      <c r="O2449" t="str">
        <f t="shared" si="1007"/>
        <v>MYR</v>
      </c>
      <c r="P2449" t="str">
        <f t="shared" si="1018"/>
        <v>NIL</v>
      </c>
      <c r="Q2449" t="str">
        <f t="shared" si="1018"/>
        <v>NIL</v>
      </c>
      <c r="R2449" t="str">
        <f t="shared" si="1008"/>
        <v>Accepted</v>
      </c>
      <c r="S2449" t="str">
        <f t="shared" si="1009"/>
        <v>Approved</v>
      </c>
      <c r="T2449" t="str">
        <f t="shared" si="1010"/>
        <v>10.20.8.188</v>
      </c>
      <c r="U2449" t="str">
        <f t="shared" si="1011"/>
        <v>AZRAD UMAR BIN SHAARI</v>
      </c>
      <c r="V2449" t="str">
        <f t="shared" si="1012"/>
        <v>FARHANA BINTI MUSTAPA</v>
      </c>
      <c r="W2449" t="str">
        <f t="shared" si="1013"/>
        <v>04-08-2020</v>
      </c>
      <c r="X2449" t="str">
        <f t="shared" si="1014"/>
        <v>RAZIMAH ANSAR AHMAD</v>
      </c>
      <c r="Y2449" t="str">
        <f t="shared" si="1015"/>
        <v>04-08-2020</v>
      </c>
      <c r="Z2449" t="str">
        <f>"COS10200804 6705"</f>
        <v>COS10200804 6705</v>
      </c>
    </row>
    <row r="2450" spans="1:26" x14ac:dyDescent="0.25">
      <c r="A2450" t="str">
        <f t="shared" ref="A2450:A2481" si="1020">"04-08-2020 01:04:24"</f>
        <v>04-08-2020 01:04:24</v>
      </c>
      <c r="B2450" t="str">
        <f>"0000808500"</f>
        <v>0000808500</v>
      </c>
      <c r="C2450" t="str">
        <f t="shared" ref="C2450:C2481" si="1021">"0000808396"</f>
        <v>0000808396</v>
      </c>
      <c r="D2450" t="str">
        <f t="shared" si="1003"/>
        <v>73185</v>
      </c>
      <c r="E2450" t="str">
        <f t="shared" si="1004"/>
        <v>KFH-OPERATIONS DEPARTMENT</v>
      </c>
      <c r="F2450" t="str">
        <f t="shared" si="1005"/>
        <v>IBG</v>
      </c>
      <c r="G2450" t="str">
        <f t="shared" si="1016"/>
        <v>Refund COSHARE 10</v>
      </c>
      <c r="H2450" s="2">
        <v>42</v>
      </c>
      <c r="I2450" t="str">
        <f>"NUR FADHILAH BINTI BUJANG"</f>
        <v>NUR FADHILAH BINTI BUJANG</v>
      </c>
      <c r="J2450" t="str">
        <f t="shared" si="1019"/>
        <v>MAYBANK / MAYBANK ISLAMIC</v>
      </c>
      <c r="K2450" t="str">
        <f>"154026406661"</f>
        <v>154026406661</v>
      </c>
      <c r="L2450" t="str">
        <f t="shared" si="1017"/>
        <v>04-08-2020</v>
      </c>
      <c r="M2450" t="str">
        <f t="shared" si="1017"/>
        <v>04-08-2020</v>
      </c>
      <c r="N2450" t="str">
        <f t="shared" si="1006"/>
        <v>001105018356</v>
      </c>
      <c r="O2450" t="str">
        <f t="shared" si="1007"/>
        <v>MYR</v>
      </c>
      <c r="P2450" t="str">
        <f t="shared" si="1018"/>
        <v>NIL</v>
      </c>
      <c r="Q2450" t="str">
        <f t="shared" si="1018"/>
        <v>NIL</v>
      </c>
      <c r="R2450" t="str">
        <f t="shared" si="1008"/>
        <v>Accepted</v>
      </c>
      <c r="S2450" t="str">
        <f t="shared" si="1009"/>
        <v>Approved</v>
      </c>
      <c r="T2450" t="str">
        <f t="shared" si="1010"/>
        <v>10.20.8.188</v>
      </c>
      <c r="U2450" t="str">
        <f t="shared" si="1011"/>
        <v>AZRAD UMAR BIN SHAARI</v>
      </c>
      <c r="V2450" t="str">
        <f t="shared" si="1012"/>
        <v>FARHANA BINTI MUSTAPA</v>
      </c>
      <c r="W2450" t="str">
        <f t="shared" si="1013"/>
        <v>04-08-2020</v>
      </c>
      <c r="X2450" t="str">
        <f t="shared" si="1014"/>
        <v>RAZIMAH ANSAR AHMAD</v>
      </c>
      <c r="Y2450" t="str">
        <f t="shared" si="1015"/>
        <v>04-08-2020</v>
      </c>
      <c r="Z2450" t="str">
        <f>"COS10200804 6704"</f>
        <v>COS10200804 6704</v>
      </c>
    </row>
    <row r="2451" spans="1:26" x14ac:dyDescent="0.25">
      <c r="A2451" t="str">
        <f t="shared" si="1020"/>
        <v>04-08-2020 01:04:24</v>
      </c>
      <c r="B2451" t="str">
        <f>"0000808499"</f>
        <v>0000808499</v>
      </c>
      <c r="C2451" t="str">
        <f t="shared" si="1021"/>
        <v>0000808396</v>
      </c>
      <c r="D2451" t="str">
        <f t="shared" si="1003"/>
        <v>73185</v>
      </c>
      <c r="E2451" t="str">
        <f t="shared" si="1004"/>
        <v>KFH-OPERATIONS DEPARTMENT</v>
      </c>
      <c r="F2451" t="str">
        <f t="shared" si="1005"/>
        <v>IBG</v>
      </c>
      <c r="G2451" t="str">
        <f t="shared" si="1016"/>
        <v>Refund COSHARE 10</v>
      </c>
      <c r="H2451" s="2">
        <v>357</v>
      </c>
      <c r="I2451" t="str">
        <f>"NUR EMMY BINTI ALI"</f>
        <v>NUR EMMY BINTI ALI</v>
      </c>
      <c r="J2451" t="str">
        <f t="shared" si="1019"/>
        <v>MAYBANK / MAYBANK ISLAMIC</v>
      </c>
      <c r="K2451" t="str">
        <f>"151285063891"</f>
        <v>151285063891</v>
      </c>
      <c r="L2451" t="str">
        <f t="shared" si="1017"/>
        <v>04-08-2020</v>
      </c>
      <c r="M2451" t="str">
        <f t="shared" si="1017"/>
        <v>04-08-2020</v>
      </c>
      <c r="N2451" t="str">
        <f t="shared" si="1006"/>
        <v>001105018356</v>
      </c>
      <c r="O2451" t="str">
        <f t="shared" si="1007"/>
        <v>MYR</v>
      </c>
      <c r="P2451" t="str">
        <f t="shared" si="1018"/>
        <v>NIL</v>
      </c>
      <c r="Q2451" t="str">
        <f t="shared" si="1018"/>
        <v>NIL</v>
      </c>
      <c r="R2451" t="str">
        <f t="shared" si="1008"/>
        <v>Accepted</v>
      </c>
      <c r="S2451" t="str">
        <f t="shared" si="1009"/>
        <v>Approved</v>
      </c>
      <c r="T2451" t="str">
        <f t="shared" si="1010"/>
        <v>10.20.8.188</v>
      </c>
      <c r="U2451" t="str">
        <f t="shared" si="1011"/>
        <v>AZRAD UMAR BIN SHAARI</v>
      </c>
      <c r="V2451" t="str">
        <f t="shared" si="1012"/>
        <v>FARHANA BINTI MUSTAPA</v>
      </c>
      <c r="W2451" t="str">
        <f t="shared" si="1013"/>
        <v>04-08-2020</v>
      </c>
      <c r="X2451" t="str">
        <f t="shared" si="1014"/>
        <v>RAZIMAH ANSAR AHMAD</v>
      </c>
      <c r="Y2451" t="str">
        <f t="shared" si="1015"/>
        <v>04-08-2020</v>
      </c>
      <c r="Z2451" t="str">
        <f>"COS10200804 6703"</f>
        <v>COS10200804 6703</v>
      </c>
    </row>
    <row r="2452" spans="1:26" x14ac:dyDescent="0.25">
      <c r="A2452" t="str">
        <f t="shared" si="1020"/>
        <v>04-08-2020 01:04:24</v>
      </c>
      <c r="B2452" t="str">
        <f>"0000808498"</f>
        <v>0000808498</v>
      </c>
      <c r="C2452" t="str">
        <f t="shared" si="1021"/>
        <v>0000808396</v>
      </c>
      <c r="D2452" t="str">
        <f t="shared" si="1003"/>
        <v>73185</v>
      </c>
      <c r="E2452" t="str">
        <f t="shared" si="1004"/>
        <v>KFH-OPERATIONS DEPARTMENT</v>
      </c>
      <c r="F2452" t="str">
        <f t="shared" si="1005"/>
        <v>IBG</v>
      </c>
      <c r="G2452" t="str">
        <f t="shared" si="1016"/>
        <v>Refund COSHARE 10</v>
      </c>
      <c r="H2452" s="2">
        <v>193.1</v>
      </c>
      <c r="I2452" t="str">
        <f>"NUR ELAN SYAFAWATI ABDULLAH"</f>
        <v>NUR ELAN SYAFAWATI ABDULLAH</v>
      </c>
      <c r="J2452" t="str">
        <f t="shared" si="1019"/>
        <v>MAYBANK / MAYBANK ISLAMIC</v>
      </c>
      <c r="K2452" t="str">
        <f>"161109329465"</f>
        <v>161109329465</v>
      </c>
      <c r="L2452" t="str">
        <f t="shared" si="1017"/>
        <v>04-08-2020</v>
      </c>
      <c r="M2452" t="str">
        <f t="shared" si="1017"/>
        <v>04-08-2020</v>
      </c>
      <c r="N2452" t="str">
        <f t="shared" si="1006"/>
        <v>001105018356</v>
      </c>
      <c r="O2452" t="str">
        <f t="shared" si="1007"/>
        <v>MYR</v>
      </c>
      <c r="P2452" t="str">
        <f t="shared" si="1018"/>
        <v>NIL</v>
      </c>
      <c r="Q2452" t="str">
        <f t="shared" si="1018"/>
        <v>NIL</v>
      </c>
      <c r="R2452" t="str">
        <f t="shared" si="1008"/>
        <v>Accepted</v>
      </c>
      <c r="S2452" t="str">
        <f t="shared" si="1009"/>
        <v>Approved</v>
      </c>
      <c r="T2452" t="str">
        <f t="shared" si="1010"/>
        <v>10.20.8.188</v>
      </c>
      <c r="U2452" t="str">
        <f t="shared" si="1011"/>
        <v>AZRAD UMAR BIN SHAARI</v>
      </c>
      <c r="V2452" t="str">
        <f t="shared" si="1012"/>
        <v>FARHANA BINTI MUSTAPA</v>
      </c>
      <c r="W2452" t="str">
        <f t="shared" si="1013"/>
        <v>04-08-2020</v>
      </c>
      <c r="X2452" t="str">
        <f t="shared" si="1014"/>
        <v>RAZIMAH ANSAR AHMAD</v>
      </c>
      <c r="Y2452" t="str">
        <f t="shared" si="1015"/>
        <v>04-08-2020</v>
      </c>
      <c r="Z2452" t="str">
        <f>"COS10200804 6702"</f>
        <v>COS10200804 6702</v>
      </c>
    </row>
    <row r="2453" spans="1:26" x14ac:dyDescent="0.25">
      <c r="A2453" t="str">
        <f t="shared" si="1020"/>
        <v>04-08-2020 01:04:24</v>
      </c>
      <c r="B2453" t="str">
        <f>"0000808497"</f>
        <v>0000808497</v>
      </c>
      <c r="C2453" t="str">
        <f t="shared" si="1021"/>
        <v>0000808396</v>
      </c>
      <c r="D2453" t="str">
        <f t="shared" si="1003"/>
        <v>73185</v>
      </c>
      <c r="E2453" t="str">
        <f t="shared" si="1004"/>
        <v>KFH-OPERATIONS DEPARTMENT</v>
      </c>
      <c r="F2453" t="str">
        <f t="shared" si="1005"/>
        <v>IBG</v>
      </c>
      <c r="G2453" t="str">
        <f t="shared" si="1016"/>
        <v>Refund COSHARE 10</v>
      </c>
      <c r="H2453" s="2">
        <v>1150.1500000000001</v>
      </c>
      <c r="I2453" t="str">
        <f>"NUR DIANA BINTI NORDIN"</f>
        <v>NUR DIANA BINTI NORDIN</v>
      </c>
      <c r="J2453" t="str">
        <f t="shared" si="1019"/>
        <v>MAYBANK / MAYBANK ISLAMIC</v>
      </c>
      <c r="K2453" t="str">
        <f>"101094035540"</f>
        <v>101094035540</v>
      </c>
      <c r="L2453" t="str">
        <f t="shared" si="1017"/>
        <v>04-08-2020</v>
      </c>
      <c r="M2453" t="str">
        <f t="shared" si="1017"/>
        <v>04-08-2020</v>
      </c>
      <c r="N2453" t="str">
        <f t="shared" si="1006"/>
        <v>001105018356</v>
      </c>
      <c r="O2453" t="str">
        <f t="shared" si="1007"/>
        <v>MYR</v>
      </c>
      <c r="P2453" t="str">
        <f t="shared" si="1018"/>
        <v>NIL</v>
      </c>
      <c r="Q2453" t="str">
        <f t="shared" si="1018"/>
        <v>NIL</v>
      </c>
      <c r="R2453" t="str">
        <f t="shared" si="1008"/>
        <v>Accepted</v>
      </c>
      <c r="S2453" t="str">
        <f t="shared" si="1009"/>
        <v>Approved</v>
      </c>
      <c r="T2453" t="str">
        <f t="shared" si="1010"/>
        <v>10.20.8.188</v>
      </c>
      <c r="U2453" t="str">
        <f t="shared" si="1011"/>
        <v>AZRAD UMAR BIN SHAARI</v>
      </c>
      <c r="V2453" t="str">
        <f t="shared" si="1012"/>
        <v>FARHANA BINTI MUSTAPA</v>
      </c>
      <c r="W2453" t="str">
        <f t="shared" si="1013"/>
        <v>04-08-2020</v>
      </c>
      <c r="X2453" t="str">
        <f t="shared" si="1014"/>
        <v>RAZIMAH ANSAR AHMAD</v>
      </c>
      <c r="Y2453" t="str">
        <f t="shared" si="1015"/>
        <v>04-08-2020</v>
      </c>
      <c r="Z2453" t="str">
        <f>"COS10200804 6701"</f>
        <v>COS10200804 6701</v>
      </c>
    </row>
    <row r="2454" spans="1:26" x14ac:dyDescent="0.25">
      <c r="A2454" t="str">
        <f t="shared" si="1020"/>
        <v>04-08-2020 01:04:24</v>
      </c>
      <c r="B2454" t="str">
        <f>"0000808496"</f>
        <v>0000808496</v>
      </c>
      <c r="C2454" t="str">
        <f t="shared" si="1021"/>
        <v>0000808396</v>
      </c>
      <c r="D2454" t="str">
        <f t="shared" si="1003"/>
        <v>73185</v>
      </c>
      <c r="E2454" t="str">
        <f t="shared" si="1004"/>
        <v>KFH-OPERATIONS DEPARTMENT</v>
      </c>
      <c r="F2454" t="str">
        <f t="shared" si="1005"/>
        <v>IBG</v>
      </c>
      <c r="G2454" t="str">
        <f t="shared" si="1016"/>
        <v>Refund COSHARE 10</v>
      </c>
      <c r="H2454" s="2">
        <v>159.5</v>
      </c>
      <c r="I2454" t="str">
        <f>"NUR CAMYLA BINTI ROSLANY"</f>
        <v>NUR CAMYLA BINTI ROSLANY</v>
      </c>
      <c r="J2454" t="str">
        <f t="shared" si="1019"/>
        <v>MAYBANK / MAYBANK ISLAMIC</v>
      </c>
      <c r="K2454" t="str">
        <f>"162450179312"</f>
        <v>162450179312</v>
      </c>
      <c r="L2454" t="str">
        <f t="shared" si="1017"/>
        <v>04-08-2020</v>
      </c>
      <c r="M2454" t="str">
        <f t="shared" si="1017"/>
        <v>04-08-2020</v>
      </c>
      <c r="N2454" t="str">
        <f t="shared" si="1006"/>
        <v>001105018356</v>
      </c>
      <c r="O2454" t="str">
        <f t="shared" si="1007"/>
        <v>MYR</v>
      </c>
      <c r="P2454" t="str">
        <f t="shared" si="1018"/>
        <v>NIL</v>
      </c>
      <c r="Q2454" t="str">
        <f t="shared" si="1018"/>
        <v>NIL</v>
      </c>
      <c r="R2454" t="str">
        <f t="shared" si="1008"/>
        <v>Accepted</v>
      </c>
      <c r="S2454" t="str">
        <f t="shared" si="1009"/>
        <v>Approved</v>
      </c>
      <c r="T2454" t="str">
        <f t="shared" si="1010"/>
        <v>10.20.8.188</v>
      </c>
      <c r="U2454" t="str">
        <f t="shared" si="1011"/>
        <v>AZRAD UMAR BIN SHAARI</v>
      </c>
      <c r="V2454" t="str">
        <f t="shared" si="1012"/>
        <v>FARHANA BINTI MUSTAPA</v>
      </c>
      <c r="W2454" t="str">
        <f t="shared" si="1013"/>
        <v>04-08-2020</v>
      </c>
      <c r="X2454" t="str">
        <f t="shared" si="1014"/>
        <v>RAZIMAH ANSAR AHMAD</v>
      </c>
      <c r="Y2454" t="str">
        <f t="shared" si="1015"/>
        <v>04-08-2020</v>
      </c>
      <c r="Z2454" t="str">
        <f>"COS10200804 6700"</f>
        <v>COS10200804 6700</v>
      </c>
    </row>
    <row r="2455" spans="1:26" x14ac:dyDescent="0.25">
      <c r="A2455" t="str">
        <f t="shared" si="1020"/>
        <v>04-08-2020 01:04:24</v>
      </c>
      <c r="B2455" t="str">
        <f>"0000808495"</f>
        <v>0000808495</v>
      </c>
      <c r="C2455" t="str">
        <f t="shared" si="1021"/>
        <v>0000808396</v>
      </c>
      <c r="D2455" t="str">
        <f t="shared" si="1003"/>
        <v>73185</v>
      </c>
      <c r="E2455" t="str">
        <f t="shared" si="1004"/>
        <v>KFH-OPERATIONS DEPARTMENT</v>
      </c>
      <c r="F2455" t="str">
        <f t="shared" si="1005"/>
        <v>IBG</v>
      </c>
      <c r="G2455" t="str">
        <f t="shared" si="1016"/>
        <v>Refund COSHARE 10</v>
      </c>
      <c r="H2455" s="2">
        <v>604.45000000000005</v>
      </c>
      <c r="I2455" t="str">
        <f>"NUR BAIDURA BINTI BAKERI"</f>
        <v>NUR BAIDURA BINTI BAKERI</v>
      </c>
      <c r="J2455" t="str">
        <f t="shared" si="1019"/>
        <v>MAYBANK / MAYBANK ISLAMIC</v>
      </c>
      <c r="K2455" t="str">
        <f>"101311012497"</f>
        <v>101311012497</v>
      </c>
      <c r="L2455" t="str">
        <f t="shared" si="1017"/>
        <v>04-08-2020</v>
      </c>
      <c r="M2455" t="str">
        <f t="shared" si="1017"/>
        <v>04-08-2020</v>
      </c>
      <c r="N2455" t="str">
        <f t="shared" si="1006"/>
        <v>001105018356</v>
      </c>
      <c r="O2455" t="str">
        <f t="shared" si="1007"/>
        <v>MYR</v>
      </c>
      <c r="P2455" t="str">
        <f t="shared" si="1018"/>
        <v>NIL</v>
      </c>
      <c r="Q2455" t="str">
        <f t="shared" si="1018"/>
        <v>NIL</v>
      </c>
      <c r="R2455" t="str">
        <f t="shared" si="1008"/>
        <v>Accepted</v>
      </c>
      <c r="S2455" t="str">
        <f t="shared" si="1009"/>
        <v>Approved</v>
      </c>
      <c r="T2455" t="str">
        <f t="shared" si="1010"/>
        <v>10.20.8.188</v>
      </c>
      <c r="U2455" t="str">
        <f t="shared" si="1011"/>
        <v>AZRAD UMAR BIN SHAARI</v>
      </c>
      <c r="V2455" t="str">
        <f t="shared" si="1012"/>
        <v>FARHANA BINTI MUSTAPA</v>
      </c>
      <c r="W2455" t="str">
        <f t="shared" si="1013"/>
        <v>04-08-2020</v>
      </c>
      <c r="X2455" t="str">
        <f t="shared" si="1014"/>
        <v>RAZIMAH ANSAR AHMAD</v>
      </c>
      <c r="Y2455" t="str">
        <f t="shared" si="1015"/>
        <v>04-08-2020</v>
      </c>
      <c r="Z2455" t="str">
        <f>"COS10200804 6699"</f>
        <v>COS10200804 6699</v>
      </c>
    </row>
    <row r="2456" spans="1:26" x14ac:dyDescent="0.25">
      <c r="A2456" t="str">
        <f t="shared" si="1020"/>
        <v>04-08-2020 01:04:24</v>
      </c>
      <c r="B2456" t="str">
        <f>"0000808494"</f>
        <v>0000808494</v>
      </c>
      <c r="C2456" t="str">
        <f t="shared" si="1021"/>
        <v>0000808396</v>
      </c>
      <c r="D2456" t="str">
        <f t="shared" si="1003"/>
        <v>73185</v>
      </c>
      <c r="E2456" t="str">
        <f t="shared" si="1004"/>
        <v>KFH-OPERATIONS DEPARTMENT</v>
      </c>
      <c r="F2456" t="str">
        <f t="shared" si="1005"/>
        <v>IBG</v>
      </c>
      <c r="G2456" t="str">
        <f t="shared" si="1016"/>
        <v>Refund COSHARE 10</v>
      </c>
      <c r="H2456" s="2">
        <v>83.95</v>
      </c>
      <c r="I2456" t="str">
        <f>"NUR AZURA BINTI MOHDISA"</f>
        <v>NUR AZURA BINTI MOHDISA</v>
      </c>
      <c r="J2456" t="str">
        <f t="shared" si="1019"/>
        <v>MAYBANK / MAYBANK ISLAMIC</v>
      </c>
      <c r="K2456" t="str">
        <f>"158172839476"</f>
        <v>158172839476</v>
      </c>
      <c r="L2456" t="str">
        <f t="shared" si="1017"/>
        <v>04-08-2020</v>
      </c>
      <c r="M2456" t="str">
        <f t="shared" si="1017"/>
        <v>04-08-2020</v>
      </c>
      <c r="N2456" t="str">
        <f t="shared" si="1006"/>
        <v>001105018356</v>
      </c>
      <c r="O2456" t="str">
        <f t="shared" si="1007"/>
        <v>MYR</v>
      </c>
      <c r="P2456" t="str">
        <f t="shared" si="1018"/>
        <v>NIL</v>
      </c>
      <c r="Q2456" t="str">
        <f t="shared" si="1018"/>
        <v>NIL</v>
      </c>
      <c r="R2456" t="str">
        <f t="shared" si="1008"/>
        <v>Accepted</v>
      </c>
      <c r="S2456" t="str">
        <f t="shared" si="1009"/>
        <v>Approved</v>
      </c>
      <c r="T2456" t="str">
        <f t="shared" si="1010"/>
        <v>10.20.8.188</v>
      </c>
      <c r="U2456" t="str">
        <f t="shared" si="1011"/>
        <v>AZRAD UMAR BIN SHAARI</v>
      </c>
      <c r="V2456" t="str">
        <f t="shared" si="1012"/>
        <v>FARHANA BINTI MUSTAPA</v>
      </c>
      <c r="W2456" t="str">
        <f t="shared" si="1013"/>
        <v>04-08-2020</v>
      </c>
      <c r="X2456" t="str">
        <f t="shared" si="1014"/>
        <v>RAZIMAH ANSAR AHMAD</v>
      </c>
      <c r="Y2456" t="str">
        <f t="shared" si="1015"/>
        <v>04-08-2020</v>
      </c>
      <c r="Z2456" t="str">
        <f>"COS10200804 6698"</f>
        <v>COS10200804 6698</v>
      </c>
    </row>
    <row r="2457" spans="1:26" x14ac:dyDescent="0.25">
      <c r="A2457" t="str">
        <f t="shared" si="1020"/>
        <v>04-08-2020 01:04:24</v>
      </c>
      <c r="B2457" t="str">
        <f>"0000808493"</f>
        <v>0000808493</v>
      </c>
      <c r="C2457" t="str">
        <f t="shared" si="1021"/>
        <v>0000808396</v>
      </c>
      <c r="D2457" t="str">
        <f t="shared" si="1003"/>
        <v>73185</v>
      </c>
      <c r="E2457" t="str">
        <f t="shared" si="1004"/>
        <v>KFH-OPERATIONS DEPARTMENT</v>
      </c>
      <c r="F2457" t="str">
        <f t="shared" si="1005"/>
        <v>IBG</v>
      </c>
      <c r="G2457" t="str">
        <f t="shared" si="1016"/>
        <v>Refund COSHARE 10</v>
      </c>
      <c r="H2457" s="2">
        <v>542.35</v>
      </c>
      <c r="I2457" t="str">
        <f>"NUR AZREENAH BINTI AMIR  OSMAN"</f>
        <v>NUR AZREENAH BINTI AMIR  OSMAN</v>
      </c>
      <c r="J2457" t="str">
        <f t="shared" si="1019"/>
        <v>MAYBANK / MAYBANK ISLAMIC</v>
      </c>
      <c r="K2457" t="str">
        <f>"160166135125"</f>
        <v>160166135125</v>
      </c>
      <c r="L2457" t="str">
        <f t="shared" si="1017"/>
        <v>04-08-2020</v>
      </c>
      <c r="M2457" t="str">
        <f t="shared" si="1017"/>
        <v>04-08-2020</v>
      </c>
      <c r="N2457" t="str">
        <f t="shared" si="1006"/>
        <v>001105018356</v>
      </c>
      <c r="O2457" t="str">
        <f t="shared" si="1007"/>
        <v>MYR</v>
      </c>
      <c r="P2457" t="str">
        <f t="shared" si="1018"/>
        <v>NIL</v>
      </c>
      <c r="Q2457" t="str">
        <f t="shared" si="1018"/>
        <v>NIL</v>
      </c>
      <c r="R2457" t="str">
        <f t="shared" si="1008"/>
        <v>Accepted</v>
      </c>
      <c r="S2457" t="str">
        <f t="shared" si="1009"/>
        <v>Approved</v>
      </c>
      <c r="T2457" t="str">
        <f t="shared" si="1010"/>
        <v>10.20.8.188</v>
      </c>
      <c r="U2457" t="str">
        <f t="shared" si="1011"/>
        <v>AZRAD UMAR BIN SHAARI</v>
      </c>
      <c r="V2457" t="str">
        <f t="shared" si="1012"/>
        <v>FARHANA BINTI MUSTAPA</v>
      </c>
      <c r="W2457" t="str">
        <f t="shared" si="1013"/>
        <v>04-08-2020</v>
      </c>
      <c r="X2457" t="str">
        <f t="shared" si="1014"/>
        <v>RAZIMAH ANSAR AHMAD</v>
      </c>
      <c r="Y2457" t="str">
        <f t="shared" si="1015"/>
        <v>04-08-2020</v>
      </c>
      <c r="Z2457" t="str">
        <f>"COS10200804 6697"</f>
        <v>COS10200804 6697</v>
      </c>
    </row>
    <row r="2458" spans="1:26" x14ac:dyDescent="0.25">
      <c r="A2458" t="str">
        <f t="shared" si="1020"/>
        <v>04-08-2020 01:04:24</v>
      </c>
      <c r="B2458" t="str">
        <f>"0000808492"</f>
        <v>0000808492</v>
      </c>
      <c r="C2458" t="str">
        <f t="shared" si="1021"/>
        <v>0000808396</v>
      </c>
      <c r="D2458" t="str">
        <f t="shared" si="1003"/>
        <v>73185</v>
      </c>
      <c r="E2458" t="str">
        <f t="shared" si="1004"/>
        <v>KFH-OPERATIONS DEPARTMENT</v>
      </c>
      <c r="F2458" t="str">
        <f t="shared" si="1005"/>
        <v>IBG</v>
      </c>
      <c r="G2458" t="str">
        <f t="shared" si="1016"/>
        <v>Refund COSHARE 10</v>
      </c>
      <c r="H2458" s="2">
        <v>159.5</v>
      </c>
      <c r="I2458" t="str">
        <f>"NUR AZMIZA BINTI ABDUL LATIP"</f>
        <v>NUR AZMIZA BINTI ABDUL LATIP</v>
      </c>
      <c r="J2458" t="str">
        <f t="shared" si="1019"/>
        <v>MAYBANK / MAYBANK ISLAMIC</v>
      </c>
      <c r="K2458" t="str">
        <f>"156235016829"</f>
        <v>156235016829</v>
      </c>
      <c r="L2458" t="str">
        <f t="shared" si="1017"/>
        <v>04-08-2020</v>
      </c>
      <c r="M2458" t="str">
        <f t="shared" si="1017"/>
        <v>04-08-2020</v>
      </c>
      <c r="N2458" t="str">
        <f t="shared" si="1006"/>
        <v>001105018356</v>
      </c>
      <c r="O2458" t="str">
        <f t="shared" si="1007"/>
        <v>MYR</v>
      </c>
      <c r="P2458" t="str">
        <f t="shared" si="1018"/>
        <v>NIL</v>
      </c>
      <c r="Q2458" t="str">
        <f t="shared" si="1018"/>
        <v>NIL</v>
      </c>
      <c r="R2458" t="str">
        <f t="shared" si="1008"/>
        <v>Accepted</v>
      </c>
      <c r="S2458" t="str">
        <f t="shared" si="1009"/>
        <v>Approved</v>
      </c>
      <c r="T2458" t="str">
        <f t="shared" si="1010"/>
        <v>10.20.8.188</v>
      </c>
      <c r="U2458" t="str">
        <f t="shared" si="1011"/>
        <v>AZRAD UMAR BIN SHAARI</v>
      </c>
      <c r="V2458" t="str">
        <f t="shared" si="1012"/>
        <v>FARHANA BINTI MUSTAPA</v>
      </c>
      <c r="W2458" t="str">
        <f t="shared" si="1013"/>
        <v>04-08-2020</v>
      </c>
      <c r="X2458" t="str">
        <f t="shared" si="1014"/>
        <v>RAZIMAH ANSAR AHMAD</v>
      </c>
      <c r="Y2458" t="str">
        <f t="shared" si="1015"/>
        <v>04-08-2020</v>
      </c>
      <c r="Z2458" t="str">
        <f>"COS10200804 6696"</f>
        <v>COS10200804 6696</v>
      </c>
    </row>
    <row r="2459" spans="1:26" x14ac:dyDescent="0.25">
      <c r="A2459" t="str">
        <f t="shared" si="1020"/>
        <v>04-08-2020 01:04:24</v>
      </c>
      <c r="B2459" t="str">
        <f>"0000808491"</f>
        <v>0000808491</v>
      </c>
      <c r="C2459" t="str">
        <f t="shared" si="1021"/>
        <v>0000808396</v>
      </c>
      <c r="D2459" t="str">
        <f t="shared" si="1003"/>
        <v>73185</v>
      </c>
      <c r="E2459" t="str">
        <f t="shared" si="1004"/>
        <v>KFH-OPERATIONS DEPARTMENT</v>
      </c>
      <c r="F2459" t="str">
        <f t="shared" si="1005"/>
        <v>IBG</v>
      </c>
      <c r="G2459" t="str">
        <f t="shared" si="1016"/>
        <v>Refund COSHARE 10</v>
      </c>
      <c r="H2459" s="2">
        <v>275.85000000000002</v>
      </c>
      <c r="I2459" t="str">
        <f>"NUR AZMAH BINTI ARIFFIN"</f>
        <v>NUR AZMAH BINTI ARIFFIN</v>
      </c>
      <c r="J2459" t="str">
        <f t="shared" si="1019"/>
        <v>MAYBANK / MAYBANK ISLAMIC</v>
      </c>
      <c r="K2459" t="str">
        <f>"107059601610"</f>
        <v>107059601610</v>
      </c>
      <c r="L2459" t="str">
        <f t="shared" si="1017"/>
        <v>04-08-2020</v>
      </c>
      <c r="M2459" t="str">
        <f t="shared" si="1017"/>
        <v>04-08-2020</v>
      </c>
      <c r="N2459" t="str">
        <f t="shared" si="1006"/>
        <v>001105018356</v>
      </c>
      <c r="O2459" t="str">
        <f t="shared" si="1007"/>
        <v>MYR</v>
      </c>
      <c r="P2459" t="str">
        <f t="shared" si="1018"/>
        <v>NIL</v>
      </c>
      <c r="Q2459" t="str">
        <f t="shared" si="1018"/>
        <v>NIL</v>
      </c>
      <c r="R2459" t="str">
        <f t="shared" si="1008"/>
        <v>Accepted</v>
      </c>
      <c r="S2459" t="str">
        <f t="shared" si="1009"/>
        <v>Approved</v>
      </c>
      <c r="T2459" t="str">
        <f t="shared" si="1010"/>
        <v>10.20.8.188</v>
      </c>
      <c r="U2459" t="str">
        <f t="shared" si="1011"/>
        <v>AZRAD UMAR BIN SHAARI</v>
      </c>
      <c r="V2459" t="str">
        <f t="shared" si="1012"/>
        <v>FARHANA BINTI MUSTAPA</v>
      </c>
      <c r="W2459" t="str">
        <f t="shared" si="1013"/>
        <v>04-08-2020</v>
      </c>
      <c r="X2459" t="str">
        <f t="shared" si="1014"/>
        <v>RAZIMAH ANSAR AHMAD</v>
      </c>
      <c r="Y2459" t="str">
        <f t="shared" si="1015"/>
        <v>04-08-2020</v>
      </c>
      <c r="Z2459" t="str">
        <f>"COS10200804 6695"</f>
        <v>COS10200804 6695</v>
      </c>
    </row>
    <row r="2460" spans="1:26" x14ac:dyDescent="0.25">
      <c r="A2460" t="str">
        <f t="shared" si="1020"/>
        <v>04-08-2020 01:04:24</v>
      </c>
      <c r="B2460" t="str">
        <f>"0000808490"</f>
        <v>0000808490</v>
      </c>
      <c r="C2460" t="str">
        <f t="shared" si="1021"/>
        <v>0000808396</v>
      </c>
      <c r="D2460" t="str">
        <f t="shared" si="1003"/>
        <v>73185</v>
      </c>
      <c r="E2460" t="str">
        <f t="shared" si="1004"/>
        <v>KFH-OPERATIONS DEPARTMENT</v>
      </c>
      <c r="F2460" t="str">
        <f t="shared" si="1005"/>
        <v>IBG</v>
      </c>
      <c r="G2460" t="str">
        <f t="shared" si="1016"/>
        <v>Refund COSHARE 10</v>
      </c>
      <c r="H2460" s="2">
        <v>335.8</v>
      </c>
      <c r="I2460" t="str">
        <f>"NUR AZLINDA BINTI RODZI"</f>
        <v>NUR AZLINDA BINTI RODZI</v>
      </c>
      <c r="J2460" t="str">
        <f t="shared" si="1019"/>
        <v>MAYBANK / MAYBANK ISLAMIC</v>
      </c>
      <c r="K2460" t="str">
        <f>"158293638348"</f>
        <v>158293638348</v>
      </c>
      <c r="L2460" t="str">
        <f t="shared" si="1017"/>
        <v>04-08-2020</v>
      </c>
      <c r="M2460" t="str">
        <f t="shared" si="1017"/>
        <v>04-08-2020</v>
      </c>
      <c r="N2460" t="str">
        <f t="shared" si="1006"/>
        <v>001105018356</v>
      </c>
      <c r="O2460" t="str">
        <f t="shared" si="1007"/>
        <v>MYR</v>
      </c>
      <c r="P2460" t="str">
        <f t="shared" si="1018"/>
        <v>NIL</v>
      </c>
      <c r="Q2460" t="str">
        <f t="shared" si="1018"/>
        <v>NIL</v>
      </c>
      <c r="R2460" t="str">
        <f t="shared" si="1008"/>
        <v>Accepted</v>
      </c>
      <c r="S2460" t="str">
        <f t="shared" si="1009"/>
        <v>Approved</v>
      </c>
      <c r="T2460" t="str">
        <f t="shared" si="1010"/>
        <v>10.20.8.188</v>
      </c>
      <c r="U2460" t="str">
        <f t="shared" si="1011"/>
        <v>AZRAD UMAR BIN SHAARI</v>
      </c>
      <c r="V2460" t="str">
        <f t="shared" si="1012"/>
        <v>FARHANA BINTI MUSTAPA</v>
      </c>
      <c r="W2460" t="str">
        <f t="shared" si="1013"/>
        <v>04-08-2020</v>
      </c>
      <c r="X2460" t="str">
        <f t="shared" si="1014"/>
        <v>RAZIMAH ANSAR AHMAD</v>
      </c>
      <c r="Y2460" t="str">
        <f t="shared" si="1015"/>
        <v>04-08-2020</v>
      </c>
      <c r="Z2460" t="str">
        <f>"COS10200804 6694"</f>
        <v>COS10200804 6694</v>
      </c>
    </row>
    <row r="2461" spans="1:26" x14ac:dyDescent="0.25">
      <c r="A2461" t="str">
        <f t="shared" si="1020"/>
        <v>04-08-2020 01:04:24</v>
      </c>
      <c r="B2461" t="str">
        <f>"0000808489"</f>
        <v>0000808489</v>
      </c>
      <c r="C2461" t="str">
        <f t="shared" si="1021"/>
        <v>0000808396</v>
      </c>
      <c r="D2461" t="str">
        <f t="shared" si="1003"/>
        <v>73185</v>
      </c>
      <c r="E2461" t="str">
        <f t="shared" si="1004"/>
        <v>KFH-OPERATIONS DEPARTMENT</v>
      </c>
      <c r="F2461" t="str">
        <f t="shared" si="1005"/>
        <v>IBG</v>
      </c>
      <c r="G2461" t="str">
        <f t="shared" si="1016"/>
        <v>Refund COSHARE 10</v>
      </c>
      <c r="H2461" s="2">
        <v>587.65</v>
      </c>
      <c r="I2461" t="str">
        <f>"NUR AZLIN BINTI AYUB"</f>
        <v>NUR AZLIN BINTI AYUB</v>
      </c>
      <c r="J2461" t="str">
        <f t="shared" si="1019"/>
        <v>MAYBANK / MAYBANK ISLAMIC</v>
      </c>
      <c r="K2461" t="str">
        <f>"156066075033"</f>
        <v>156066075033</v>
      </c>
      <c r="L2461" t="str">
        <f t="shared" si="1017"/>
        <v>04-08-2020</v>
      </c>
      <c r="M2461" t="str">
        <f t="shared" si="1017"/>
        <v>04-08-2020</v>
      </c>
      <c r="N2461" t="str">
        <f t="shared" si="1006"/>
        <v>001105018356</v>
      </c>
      <c r="O2461" t="str">
        <f t="shared" si="1007"/>
        <v>MYR</v>
      </c>
      <c r="P2461" t="str">
        <f t="shared" si="1018"/>
        <v>NIL</v>
      </c>
      <c r="Q2461" t="str">
        <f t="shared" si="1018"/>
        <v>NIL</v>
      </c>
      <c r="R2461" t="str">
        <f t="shared" si="1008"/>
        <v>Accepted</v>
      </c>
      <c r="S2461" t="str">
        <f t="shared" si="1009"/>
        <v>Approved</v>
      </c>
      <c r="T2461" t="str">
        <f t="shared" si="1010"/>
        <v>10.20.8.188</v>
      </c>
      <c r="U2461" t="str">
        <f t="shared" si="1011"/>
        <v>AZRAD UMAR BIN SHAARI</v>
      </c>
      <c r="V2461" t="str">
        <f t="shared" si="1012"/>
        <v>FARHANA BINTI MUSTAPA</v>
      </c>
      <c r="W2461" t="str">
        <f t="shared" si="1013"/>
        <v>04-08-2020</v>
      </c>
      <c r="X2461" t="str">
        <f t="shared" si="1014"/>
        <v>RAZIMAH ANSAR AHMAD</v>
      </c>
      <c r="Y2461" t="str">
        <f t="shared" si="1015"/>
        <v>04-08-2020</v>
      </c>
      <c r="Z2461" t="str">
        <f>"COS10200804 6693"</f>
        <v>COS10200804 6693</v>
      </c>
    </row>
    <row r="2462" spans="1:26" x14ac:dyDescent="0.25">
      <c r="A2462" t="str">
        <f t="shared" si="1020"/>
        <v>04-08-2020 01:04:24</v>
      </c>
      <c r="B2462" t="str">
        <f>"0000808488"</f>
        <v>0000808488</v>
      </c>
      <c r="C2462" t="str">
        <f t="shared" si="1021"/>
        <v>0000808396</v>
      </c>
      <c r="D2462" t="str">
        <f t="shared" si="1003"/>
        <v>73185</v>
      </c>
      <c r="E2462" t="str">
        <f t="shared" si="1004"/>
        <v>KFH-OPERATIONS DEPARTMENT</v>
      </c>
      <c r="F2462" t="str">
        <f t="shared" si="1005"/>
        <v>IBG</v>
      </c>
      <c r="G2462" t="str">
        <f t="shared" si="1016"/>
        <v>Refund COSHARE 10</v>
      </c>
      <c r="H2462" s="2">
        <v>1679</v>
      </c>
      <c r="I2462" t="str">
        <f>"NUR AZIERA BINTI ABDUL AZIZ"</f>
        <v>NUR AZIERA BINTI ABDUL AZIZ</v>
      </c>
      <c r="J2462" t="str">
        <f t="shared" si="1019"/>
        <v>MAYBANK / MAYBANK ISLAMIC</v>
      </c>
      <c r="K2462" t="str">
        <f>"153104326034"</f>
        <v>153104326034</v>
      </c>
      <c r="L2462" t="str">
        <f t="shared" si="1017"/>
        <v>04-08-2020</v>
      </c>
      <c r="M2462" t="str">
        <f t="shared" si="1017"/>
        <v>04-08-2020</v>
      </c>
      <c r="N2462" t="str">
        <f t="shared" si="1006"/>
        <v>001105018356</v>
      </c>
      <c r="O2462" t="str">
        <f t="shared" si="1007"/>
        <v>MYR</v>
      </c>
      <c r="P2462" t="str">
        <f t="shared" si="1018"/>
        <v>NIL</v>
      </c>
      <c r="Q2462" t="str">
        <f t="shared" si="1018"/>
        <v>NIL</v>
      </c>
      <c r="R2462" t="str">
        <f t="shared" si="1008"/>
        <v>Accepted</v>
      </c>
      <c r="S2462" t="str">
        <f t="shared" si="1009"/>
        <v>Approved</v>
      </c>
      <c r="T2462" t="str">
        <f t="shared" si="1010"/>
        <v>10.20.8.188</v>
      </c>
      <c r="U2462" t="str">
        <f t="shared" si="1011"/>
        <v>AZRAD UMAR BIN SHAARI</v>
      </c>
      <c r="V2462" t="str">
        <f t="shared" si="1012"/>
        <v>FARHANA BINTI MUSTAPA</v>
      </c>
      <c r="W2462" t="str">
        <f t="shared" si="1013"/>
        <v>04-08-2020</v>
      </c>
      <c r="X2462" t="str">
        <f t="shared" si="1014"/>
        <v>RAZIMAH ANSAR AHMAD</v>
      </c>
      <c r="Y2462" t="str">
        <f t="shared" si="1015"/>
        <v>04-08-2020</v>
      </c>
      <c r="Z2462" t="str">
        <f>"COS10200804 6692"</f>
        <v>COS10200804 6692</v>
      </c>
    </row>
    <row r="2463" spans="1:26" x14ac:dyDescent="0.25">
      <c r="A2463" t="str">
        <f t="shared" si="1020"/>
        <v>04-08-2020 01:04:24</v>
      </c>
      <c r="B2463" t="str">
        <f>"0000808487"</f>
        <v>0000808487</v>
      </c>
      <c r="C2463" t="str">
        <f t="shared" si="1021"/>
        <v>0000808396</v>
      </c>
      <c r="D2463" t="str">
        <f t="shared" si="1003"/>
        <v>73185</v>
      </c>
      <c r="E2463" t="str">
        <f t="shared" si="1004"/>
        <v>KFH-OPERATIONS DEPARTMENT</v>
      </c>
      <c r="F2463" t="str">
        <f t="shared" si="1005"/>
        <v>IBG</v>
      </c>
      <c r="G2463" t="str">
        <f t="shared" si="1016"/>
        <v>Refund COSHARE 10</v>
      </c>
      <c r="H2463" s="2">
        <v>42</v>
      </c>
      <c r="I2463" t="str">
        <f>"NUR AZELA BINTI ANWAR"</f>
        <v>NUR AZELA BINTI ANWAR</v>
      </c>
      <c r="J2463" t="str">
        <f t="shared" si="1019"/>
        <v>MAYBANK / MAYBANK ISLAMIC</v>
      </c>
      <c r="K2463" t="str">
        <f>"162740039577"</f>
        <v>162740039577</v>
      </c>
      <c r="L2463" t="str">
        <f t="shared" si="1017"/>
        <v>04-08-2020</v>
      </c>
      <c r="M2463" t="str">
        <f t="shared" si="1017"/>
        <v>04-08-2020</v>
      </c>
      <c r="N2463" t="str">
        <f t="shared" si="1006"/>
        <v>001105018356</v>
      </c>
      <c r="O2463" t="str">
        <f t="shared" si="1007"/>
        <v>MYR</v>
      </c>
      <c r="P2463" t="str">
        <f t="shared" si="1018"/>
        <v>NIL</v>
      </c>
      <c r="Q2463" t="str">
        <f t="shared" si="1018"/>
        <v>NIL</v>
      </c>
      <c r="R2463" t="str">
        <f t="shared" si="1008"/>
        <v>Accepted</v>
      </c>
      <c r="S2463" t="str">
        <f t="shared" si="1009"/>
        <v>Approved</v>
      </c>
      <c r="T2463" t="str">
        <f t="shared" si="1010"/>
        <v>10.20.8.188</v>
      </c>
      <c r="U2463" t="str">
        <f t="shared" si="1011"/>
        <v>AZRAD UMAR BIN SHAARI</v>
      </c>
      <c r="V2463" t="str">
        <f t="shared" si="1012"/>
        <v>FARHANA BINTI MUSTAPA</v>
      </c>
      <c r="W2463" t="str">
        <f t="shared" si="1013"/>
        <v>04-08-2020</v>
      </c>
      <c r="X2463" t="str">
        <f t="shared" si="1014"/>
        <v>RAZIMAH ANSAR AHMAD</v>
      </c>
      <c r="Y2463" t="str">
        <f t="shared" si="1015"/>
        <v>04-08-2020</v>
      </c>
      <c r="Z2463" t="str">
        <f>"COS10200804 6691"</f>
        <v>COS10200804 6691</v>
      </c>
    </row>
    <row r="2464" spans="1:26" x14ac:dyDescent="0.25">
      <c r="A2464" t="str">
        <f t="shared" si="1020"/>
        <v>04-08-2020 01:04:24</v>
      </c>
      <c r="B2464" t="str">
        <f>"0000808486"</f>
        <v>0000808486</v>
      </c>
      <c r="C2464" t="str">
        <f t="shared" si="1021"/>
        <v>0000808396</v>
      </c>
      <c r="D2464" t="str">
        <f t="shared" si="1003"/>
        <v>73185</v>
      </c>
      <c r="E2464" t="str">
        <f t="shared" si="1004"/>
        <v>KFH-OPERATIONS DEPARTMENT</v>
      </c>
      <c r="F2464" t="str">
        <f t="shared" si="1005"/>
        <v>IBG</v>
      </c>
      <c r="G2464" t="str">
        <f t="shared" si="1016"/>
        <v>Refund COSHARE 10</v>
      </c>
      <c r="H2464" s="2">
        <v>92.35</v>
      </c>
      <c r="I2464" t="str">
        <f>"NUR AYUNI BINTI HAFAS"</f>
        <v>NUR AYUNI BINTI HAFAS</v>
      </c>
      <c r="J2464" t="str">
        <f t="shared" si="1019"/>
        <v>MAYBANK / MAYBANK ISLAMIC</v>
      </c>
      <c r="K2464" t="str">
        <f>"151128085954"</f>
        <v>151128085954</v>
      </c>
      <c r="L2464" t="str">
        <f t="shared" si="1017"/>
        <v>04-08-2020</v>
      </c>
      <c r="M2464" t="str">
        <f t="shared" si="1017"/>
        <v>04-08-2020</v>
      </c>
      <c r="N2464" t="str">
        <f t="shared" si="1006"/>
        <v>001105018356</v>
      </c>
      <c r="O2464" t="str">
        <f t="shared" si="1007"/>
        <v>MYR</v>
      </c>
      <c r="P2464" t="str">
        <f t="shared" si="1018"/>
        <v>NIL</v>
      </c>
      <c r="Q2464" t="str">
        <f t="shared" si="1018"/>
        <v>NIL</v>
      </c>
      <c r="R2464" t="str">
        <f t="shared" si="1008"/>
        <v>Accepted</v>
      </c>
      <c r="S2464" t="str">
        <f t="shared" si="1009"/>
        <v>Approved</v>
      </c>
      <c r="T2464" t="str">
        <f t="shared" si="1010"/>
        <v>10.20.8.188</v>
      </c>
      <c r="U2464" t="str">
        <f t="shared" si="1011"/>
        <v>AZRAD UMAR BIN SHAARI</v>
      </c>
      <c r="V2464" t="str">
        <f t="shared" si="1012"/>
        <v>FARHANA BINTI MUSTAPA</v>
      </c>
      <c r="W2464" t="str">
        <f t="shared" si="1013"/>
        <v>04-08-2020</v>
      </c>
      <c r="X2464" t="str">
        <f t="shared" si="1014"/>
        <v>RAZIMAH ANSAR AHMAD</v>
      </c>
      <c r="Y2464" t="str">
        <f t="shared" si="1015"/>
        <v>04-08-2020</v>
      </c>
      <c r="Z2464" t="str">
        <f>"COS10200804 6690"</f>
        <v>COS10200804 6690</v>
      </c>
    </row>
    <row r="2465" spans="1:26" x14ac:dyDescent="0.25">
      <c r="A2465" t="str">
        <f t="shared" si="1020"/>
        <v>04-08-2020 01:04:24</v>
      </c>
      <c r="B2465" t="str">
        <f>"0000808485"</f>
        <v>0000808485</v>
      </c>
      <c r="C2465" t="str">
        <f t="shared" si="1021"/>
        <v>0000808396</v>
      </c>
      <c r="D2465" t="str">
        <f t="shared" si="1003"/>
        <v>73185</v>
      </c>
      <c r="E2465" t="str">
        <f t="shared" si="1004"/>
        <v>KFH-OPERATIONS DEPARTMENT</v>
      </c>
      <c r="F2465" t="str">
        <f t="shared" si="1005"/>
        <v>IBG</v>
      </c>
      <c r="G2465" t="str">
        <f t="shared" si="1016"/>
        <v>Refund COSHARE 10</v>
      </c>
      <c r="H2465" s="2">
        <v>304</v>
      </c>
      <c r="I2465" t="str">
        <f>"NUR ATIQAH HAIZAD BINTI SURADI"</f>
        <v>NUR ATIQAH HAIZAD BINTI SURADI</v>
      </c>
      <c r="J2465" t="str">
        <f t="shared" si="1019"/>
        <v>MAYBANK / MAYBANK ISLAMIC</v>
      </c>
      <c r="K2465" t="str">
        <f>"156012060963"</f>
        <v>156012060963</v>
      </c>
      <c r="L2465" t="str">
        <f t="shared" si="1017"/>
        <v>04-08-2020</v>
      </c>
      <c r="M2465" t="str">
        <f t="shared" si="1017"/>
        <v>04-08-2020</v>
      </c>
      <c r="N2465" t="str">
        <f t="shared" si="1006"/>
        <v>001105018356</v>
      </c>
      <c r="O2465" t="str">
        <f t="shared" si="1007"/>
        <v>MYR</v>
      </c>
      <c r="P2465" t="str">
        <f t="shared" si="1018"/>
        <v>NIL</v>
      </c>
      <c r="Q2465" t="str">
        <f t="shared" si="1018"/>
        <v>NIL</v>
      </c>
      <c r="R2465" t="str">
        <f t="shared" si="1008"/>
        <v>Accepted</v>
      </c>
      <c r="S2465" t="str">
        <f t="shared" si="1009"/>
        <v>Approved</v>
      </c>
      <c r="T2465" t="str">
        <f t="shared" si="1010"/>
        <v>10.20.8.188</v>
      </c>
      <c r="U2465" t="str">
        <f t="shared" si="1011"/>
        <v>AZRAD UMAR BIN SHAARI</v>
      </c>
      <c r="V2465" t="str">
        <f t="shared" si="1012"/>
        <v>FARHANA BINTI MUSTAPA</v>
      </c>
      <c r="W2465" t="str">
        <f t="shared" si="1013"/>
        <v>04-08-2020</v>
      </c>
      <c r="X2465" t="str">
        <f t="shared" si="1014"/>
        <v>RAZIMAH ANSAR AHMAD</v>
      </c>
      <c r="Y2465" t="str">
        <f t="shared" si="1015"/>
        <v>04-08-2020</v>
      </c>
      <c r="Z2465" t="str">
        <f>"COS10200804 6689"</f>
        <v>COS10200804 6689</v>
      </c>
    </row>
    <row r="2466" spans="1:26" x14ac:dyDescent="0.25">
      <c r="A2466" t="str">
        <f t="shared" si="1020"/>
        <v>04-08-2020 01:04:24</v>
      </c>
      <c r="B2466" t="str">
        <f>"0000808484"</f>
        <v>0000808484</v>
      </c>
      <c r="C2466" t="str">
        <f t="shared" si="1021"/>
        <v>0000808396</v>
      </c>
      <c r="D2466" t="str">
        <f t="shared" si="1003"/>
        <v>73185</v>
      </c>
      <c r="E2466" t="str">
        <f t="shared" si="1004"/>
        <v>KFH-OPERATIONS DEPARTMENT</v>
      </c>
      <c r="F2466" t="str">
        <f t="shared" si="1005"/>
        <v>IBG</v>
      </c>
      <c r="G2466" t="str">
        <f t="shared" si="1016"/>
        <v>Refund COSHARE 10</v>
      </c>
      <c r="H2466" s="2">
        <v>235.1</v>
      </c>
      <c r="I2466" t="str">
        <f>"NUR ATAILLAH BINTI MOHD FAUZI"</f>
        <v>NUR ATAILLAH BINTI MOHD FAUZI</v>
      </c>
      <c r="J2466" t="str">
        <f t="shared" si="1019"/>
        <v>MAYBANK / MAYBANK ISLAMIC</v>
      </c>
      <c r="K2466" t="str">
        <f>"164315283934"</f>
        <v>164315283934</v>
      </c>
      <c r="L2466" t="str">
        <f t="shared" si="1017"/>
        <v>04-08-2020</v>
      </c>
      <c r="M2466" t="str">
        <f t="shared" si="1017"/>
        <v>04-08-2020</v>
      </c>
      <c r="N2466" t="str">
        <f t="shared" si="1006"/>
        <v>001105018356</v>
      </c>
      <c r="O2466" t="str">
        <f t="shared" si="1007"/>
        <v>MYR</v>
      </c>
      <c r="P2466" t="str">
        <f t="shared" si="1018"/>
        <v>NIL</v>
      </c>
      <c r="Q2466" t="str">
        <f t="shared" si="1018"/>
        <v>NIL</v>
      </c>
      <c r="R2466" t="str">
        <f t="shared" si="1008"/>
        <v>Accepted</v>
      </c>
      <c r="S2466" t="str">
        <f t="shared" si="1009"/>
        <v>Approved</v>
      </c>
      <c r="T2466" t="str">
        <f t="shared" si="1010"/>
        <v>10.20.8.188</v>
      </c>
      <c r="U2466" t="str">
        <f t="shared" si="1011"/>
        <v>AZRAD UMAR BIN SHAARI</v>
      </c>
      <c r="V2466" t="str">
        <f t="shared" si="1012"/>
        <v>FARHANA BINTI MUSTAPA</v>
      </c>
      <c r="W2466" t="str">
        <f t="shared" si="1013"/>
        <v>04-08-2020</v>
      </c>
      <c r="X2466" t="str">
        <f t="shared" si="1014"/>
        <v>RAZIMAH ANSAR AHMAD</v>
      </c>
      <c r="Y2466" t="str">
        <f t="shared" si="1015"/>
        <v>04-08-2020</v>
      </c>
      <c r="Z2466" t="str">
        <f>"COS10200804 6688"</f>
        <v>COS10200804 6688</v>
      </c>
    </row>
    <row r="2467" spans="1:26" x14ac:dyDescent="0.25">
      <c r="A2467" t="str">
        <f t="shared" si="1020"/>
        <v>04-08-2020 01:04:24</v>
      </c>
      <c r="B2467" t="str">
        <f>"0000808483"</f>
        <v>0000808483</v>
      </c>
      <c r="C2467" t="str">
        <f t="shared" si="1021"/>
        <v>0000808396</v>
      </c>
      <c r="D2467" t="str">
        <f t="shared" si="1003"/>
        <v>73185</v>
      </c>
      <c r="E2467" t="str">
        <f t="shared" si="1004"/>
        <v>KFH-OPERATIONS DEPARTMENT</v>
      </c>
      <c r="F2467" t="str">
        <f t="shared" si="1005"/>
        <v>IBG</v>
      </c>
      <c r="G2467" t="str">
        <f t="shared" si="1016"/>
        <v>Refund COSHARE 10</v>
      </c>
      <c r="H2467" s="2">
        <v>491.15</v>
      </c>
      <c r="I2467" t="str">
        <f>"NUR ASYIKIN BINTI MOHD YUSOFF"</f>
        <v>NUR ASYIKIN BINTI MOHD YUSOFF</v>
      </c>
      <c r="J2467" t="str">
        <f t="shared" si="1019"/>
        <v>MAYBANK / MAYBANK ISLAMIC</v>
      </c>
      <c r="K2467" t="str">
        <f>"151164119122"</f>
        <v>151164119122</v>
      </c>
      <c r="L2467" t="str">
        <f t="shared" ref="L2467:M2486" si="1022">"04-08-2020"</f>
        <v>04-08-2020</v>
      </c>
      <c r="M2467" t="str">
        <f t="shared" si="1022"/>
        <v>04-08-2020</v>
      </c>
      <c r="N2467" t="str">
        <f t="shared" si="1006"/>
        <v>001105018356</v>
      </c>
      <c r="O2467" t="str">
        <f t="shared" si="1007"/>
        <v>MYR</v>
      </c>
      <c r="P2467" t="str">
        <f t="shared" ref="P2467:Q2486" si="1023">"NIL"</f>
        <v>NIL</v>
      </c>
      <c r="Q2467" t="str">
        <f t="shared" si="1023"/>
        <v>NIL</v>
      </c>
      <c r="R2467" t="str">
        <f t="shared" si="1008"/>
        <v>Accepted</v>
      </c>
      <c r="S2467" t="str">
        <f t="shared" si="1009"/>
        <v>Approved</v>
      </c>
      <c r="T2467" t="str">
        <f t="shared" si="1010"/>
        <v>10.20.8.188</v>
      </c>
      <c r="U2467" t="str">
        <f t="shared" si="1011"/>
        <v>AZRAD UMAR BIN SHAARI</v>
      </c>
      <c r="V2467" t="str">
        <f t="shared" si="1012"/>
        <v>FARHANA BINTI MUSTAPA</v>
      </c>
      <c r="W2467" t="str">
        <f t="shared" si="1013"/>
        <v>04-08-2020</v>
      </c>
      <c r="X2467" t="str">
        <f t="shared" si="1014"/>
        <v>RAZIMAH ANSAR AHMAD</v>
      </c>
      <c r="Y2467" t="str">
        <f t="shared" si="1015"/>
        <v>04-08-2020</v>
      </c>
      <c r="Z2467" t="str">
        <f>"COS10200804 6687"</f>
        <v>COS10200804 6687</v>
      </c>
    </row>
    <row r="2468" spans="1:26" x14ac:dyDescent="0.25">
      <c r="A2468" t="str">
        <f t="shared" si="1020"/>
        <v>04-08-2020 01:04:24</v>
      </c>
      <c r="B2468" t="str">
        <f>"0000808482"</f>
        <v>0000808482</v>
      </c>
      <c r="C2468" t="str">
        <f t="shared" si="1021"/>
        <v>0000808396</v>
      </c>
      <c r="D2468" t="str">
        <f t="shared" si="1003"/>
        <v>73185</v>
      </c>
      <c r="E2468" t="str">
        <f t="shared" si="1004"/>
        <v>KFH-OPERATIONS DEPARTMENT</v>
      </c>
      <c r="F2468" t="str">
        <f t="shared" si="1005"/>
        <v>IBG</v>
      </c>
      <c r="G2468" t="str">
        <f t="shared" si="1016"/>
        <v>Refund COSHARE 10</v>
      </c>
      <c r="H2468" s="2">
        <v>671.6</v>
      </c>
      <c r="I2468" t="str">
        <f>"NUR ASHIDAH BINTI ABDUL HAMID"</f>
        <v>NUR ASHIDAH BINTI ABDUL HAMID</v>
      </c>
      <c r="J2468" t="str">
        <f t="shared" si="1019"/>
        <v>MAYBANK / MAYBANK ISLAMIC</v>
      </c>
      <c r="K2468" t="str">
        <f>"164017094822"</f>
        <v>164017094822</v>
      </c>
      <c r="L2468" t="str">
        <f t="shared" si="1022"/>
        <v>04-08-2020</v>
      </c>
      <c r="M2468" t="str">
        <f t="shared" si="1022"/>
        <v>04-08-2020</v>
      </c>
      <c r="N2468" t="str">
        <f t="shared" si="1006"/>
        <v>001105018356</v>
      </c>
      <c r="O2468" t="str">
        <f t="shared" si="1007"/>
        <v>MYR</v>
      </c>
      <c r="P2468" t="str">
        <f t="shared" si="1023"/>
        <v>NIL</v>
      </c>
      <c r="Q2468" t="str">
        <f t="shared" si="1023"/>
        <v>NIL</v>
      </c>
      <c r="R2468" t="str">
        <f t="shared" si="1008"/>
        <v>Accepted</v>
      </c>
      <c r="S2468" t="str">
        <f t="shared" si="1009"/>
        <v>Approved</v>
      </c>
      <c r="T2468" t="str">
        <f t="shared" si="1010"/>
        <v>10.20.8.188</v>
      </c>
      <c r="U2468" t="str">
        <f t="shared" si="1011"/>
        <v>AZRAD UMAR BIN SHAARI</v>
      </c>
      <c r="V2468" t="str">
        <f t="shared" si="1012"/>
        <v>FARHANA BINTI MUSTAPA</v>
      </c>
      <c r="W2468" t="str">
        <f t="shared" si="1013"/>
        <v>04-08-2020</v>
      </c>
      <c r="X2468" t="str">
        <f t="shared" si="1014"/>
        <v>RAZIMAH ANSAR AHMAD</v>
      </c>
      <c r="Y2468" t="str">
        <f t="shared" si="1015"/>
        <v>04-08-2020</v>
      </c>
      <c r="Z2468" t="str">
        <f>"COS10200804 6686"</f>
        <v>COS10200804 6686</v>
      </c>
    </row>
    <row r="2469" spans="1:26" x14ac:dyDescent="0.25">
      <c r="A2469" t="str">
        <f t="shared" si="1020"/>
        <v>04-08-2020 01:04:24</v>
      </c>
      <c r="B2469" t="str">
        <f>"0000808481"</f>
        <v>0000808481</v>
      </c>
      <c r="C2469" t="str">
        <f t="shared" si="1021"/>
        <v>0000808396</v>
      </c>
      <c r="D2469" t="str">
        <f t="shared" si="1003"/>
        <v>73185</v>
      </c>
      <c r="E2469" t="str">
        <f t="shared" si="1004"/>
        <v>KFH-OPERATIONS DEPARTMENT</v>
      </c>
      <c r="F2469" t="str">
        <f t="shared" si="1005"/>
        <v>IBG</v>
      </c>
      <c r="G2469" t="str">
        <f t="shared" si="1016"/>
        <v>Refund COSHARE 10</v>
      </c>
      <c r="H2469" s="2">
        <v>362</v>
      </c>
      <c r="I2469" t="str">
        <f>"NUR AMIRAH BINTI AHMAD MARZUKI"</f>
        <v>NUR AMIRAH BINTI AHMAD MARZUKI</v>
      </c>
      <c r="J2469" t="str">
        <f t="shared" si="1019"/>
        <v>MAYBANK / MAYBANK ISLAMIC</v>
      </c>
      <c r="K2469" t="str">
        <f>"156094155875"</f>
        <v>156094155875</v>
      </c>
      <c r="L2469" t="str">
        <f t="shared" si="1022"/>
        <v>04-08-2020</v>
      </c>
      <c r="M2469" t="str">
        <f t="shared" si="1022"/>
        <v>04-08-2020</v>
      </c>
      <c r="N2469" t="str">
        <f t="shared" si="1006"/>
        <v>001105018356</v>
      </c>
      <c r="O2469" t="str">
        <f t="shared" si="1007"/>
        <v>MYR</v>
      </c>
      <c r="P2469" t="str">
        <f t="shared" si="1023"/>
        <v>NIL</v>
      </c>
      <c r="Q2469" t="str">
        <f t="shared" si="1023"/>
        <v>NIL</v>
      </c>
      <c r="R2469" t="str">
        <f t="shared" si="1008"/>
        <v>Accepted</v>
      </c>
      <c r="S2469" t="str">
        <f t="shared" si="1009"/>
        <v>Approved</v>
      </c>
      <c r="T2469" t="str">
        <f t="shared" si="1010"/>
        <v>10.20.8.188</v>
      </c>
      <c r="U2469" t="str">
        <f t="shared" si="1011"/>
        <v>AZRAD UMAR BIN SHAARI</v>
      </c>
      <c r="V2469" t="str">
        <f t="shared" si="1012"/>
        <v>FARHANA BINTI MUSTAPA</v>
      </c>
      <c r="W2469" t="str">
        <f t="shared" si="1013"/>
        <v>04-08-2020</v>
      </c>
      <c r="X2469" t="str">
        <f t="shared" si="1014"/>
        <v>RAZIMAH ANSAR AHMAD</v>
      </c>
      <c r="Y2469" t="str">
        <f t="shared" si="1015"/>
        <v>04-08-2020</v>
      </c>
      <c r="Z2469" t="str">
        <f>"COS10200804 6685"</f>
        <v>COS10200804 6685</v>
      </c>
    </row>
    <row r="2470" spans="1:26" x14ac:dyDescent="0.25">
      <c r="A2470" t="str">
        <f t="shared" si="1020"/>
        <v>04-08-2020 01:04:24</v>
      </c>
      <c r="B2470" t="str">
        <f>"0000808480"</f>
        <v>0000808480</v>
      </c>
      <c r="C2470" t="str">
        <f t="shared" si="1021"/>
        <v>0000808396</v>
      </c>
      <c r="D2470" t="str">
        <f t="shared" si="1003"/>
        <v>73185</v>
      </c>
      <c r="E2470" t="str">
        <f t="shared" si="1004"/>
        <v>KFH-OPERATIONS DEPARTMENT</v>
      </c>
      <c r="F2470" t="str">
        <f t="shared" si="1005"/>
        <v>IBG</v>
      </c>
      <c r="G2470" t="str">
        <f t="shared" si="1016"/>
        <v>Refund COSHARE 10</v>
      </c>
      <c r="H2470" s="2">
        <v>535.29999999999995</v>
      </c>
      <c r="I2470" t="str">
        <f>"NUR AMAYLIAH ONG BINTI ABDULLAH"</f>
        <v>NUR AMAYLIAH ONG BINTI ABDULLAH</v>
      </c>
      <c r="J2470" t="str">
        <f t="shared" si="1019"/>
        <v>MAYBANK / MAYBANK ISLAMIC</v>
      </c>
      <c r="K2470" t="str">
        <f>"153083161107"</f>
        <v>153083161107</v>
      </c>
      <c r="L2470" t="str">
        <f t="shared" si="1022"/>
        <v>04-08-2020</v>
      </c>
      <c r="M2470" t="str">
        <f t="shared" si="1022"/>
        <v>04-08-2020</v>
      </c>
      <c r="N2470" t="str">
        <f t="shared" si="1006"/>
        <v>001105018356</v>
      </c>
      <c r="O2470" t="str">
        <f t="shared" si="1007"/>
        <v>MYR</v>
      </c>
      <c r="P2470" t="str">
        <f t="shared" si="1023"/>
        <v>NIL</v>
      </c>
      <c r="Q2470" t="str">
        <f t="shared" si="1023"/>
        <v>NIL</v>
      </c>
      <c r="R2470" t="str">
        <f t="shared" si="1008"/>
        <v>Accepted</v>
      </c>
      <c r="S2470" t="str">
        <f t="shared" si="1009"/>
        <v>Approved</v>
      </c>
      <c r="T2470" t="str">
        <f t="shared" si="1010"/>
        <v>10.20.8.188</v>
      </c>
      <c r="U2470" t="str">
        <f t="shared" si="1011"/>
        <v>AZRAD UMAR BIN SHAARI</v>
      </c>
      <c r="V2470" t="str">
        <f t="shared" si="1012"/>
        <v>FARHANA BINTI MUSTAPA</v>
      </c>
      <c r="W2470" t="str">
        <f t="shared" si="1013"/>
        <v>04-08-2020</v>
      </c>
      <c r="X2470" t="str">
        <f t="shared" si="1014"/>
        <v>RAZIMAH ANSAR AHMAD</v>
      </c>
      <c r="Y2470" t="str">
        <f t="shared" si="1015"/>
        <v>04-08-2020</v>
      </c>
      <c r="Z2470" t="str">
        <f>"COS10200804 6684"</f>
        <v>COS10200804 6684</v>
      </c>
    </row>
    <row r="2471" spans="1:26" x14ac:dyDescent="0.25">
      <c r="A2471" t="str">
        <f t="shared" si="1020"/>
        <v>04-08-2020 01:04:24</v>
      </c>
      <c r="B2471" t="str">
        <f>"0000808479"</f>
        <v>0000808479</v>
      </c>
      <c r="C2471" t="str">
        <f t="shared" si="1021"/>
        <v>0000808396</v>
      </c>
      <c r="D2471" t="str">
        <f t="shared" si="1003"/>
        <v>73185</v>
      </c>
      <c r="E2471" t="str">
        <f t="shared" si="1004"/>
        <v>KFH-OPERATIONS DEPARTMENT</v>
      </c>
      <c r="F2471" t="str">
        <f t="shared" si="1005"/>
        <v>IBG</v>
      </c>
      <c r="G2471" t="str">
        <f t="shared" si="1016"/>
        <v>Refund COSHARE 10</v>
      </c>
      <c r="H2471" s="2">
        <v>189.3</v>
      </c>
      <c r="I2471" t="str">
        <f>"NUR AIN BINTI  MOHD DAUD"</f>
        <v>NUR AIN BINTI  MOHD DAUD</v>
      </c>
      <c r="J2471" t="str">
        <f t="shared" si="1019"/>
        <v>MAYBANK / MAYBANK ISLAMIC</v>
      </c>
      <c r="K2471" t="str">
        <f>"164137494681"</f>
        <v>164137494681</v>
      </c>
      <c r="L2471" t="str">
        <f t="shared" si="1022"/>
        <v>04-08-2020</v>
      </c>
      <c r="M2471" t="str">
        <f t="shared" si="1022"/>
        <v>04-08-2020</v>
      </c>
      <c r="N2471" t="str">
        <f t="shared" si="1006"/>
        <v>001105018356</v>
      </c>
      <c r="O2471" t="str">
        <f t="shared" si="1007"/>
        <v>MYR</v>
      </c>
      <c r="P2471" t="str">
        <f t="shared" si="1023"/>
        <v>NIL</v>
      </c>
      <c r="Q2471" t="str">
        <f t="shared" si="1023"/>
        <v>NIL</v>
      </c>
      <c r="R2471" t="str">
        <f t="shared" si="1008"/>
        <v>Accepted</v>
      </c>
      <c r="S2471" t="str">
        <f t="shared" si="1009"/>
        <v>Approved</v>
      </c>
      <c r="T2471" t="str">
        <f t="shared" si="1010"/>
        <v>10.20.8.188</v>
      </c>
      <c r="U2471" t="str">
        <f t="shared" si="1011"/>
        <v>AZRAD UMAR BIN SHAARI</v>
      </c>
      <c r="V2471" t="str">
        <f t="shared" si="1012"/>
        <v>FARHANA BINTI MUSTAPA</v>
      </c>
      <c r="W2471" t="str">
        <f t="shared" si="1013"/>
        <v>04-08-2020</v>
      </c>
      <c r="X2471" t="str">
        <f t="shared" si="1014"/>
        <v>RAZIMAH ANSAR AHMAD</v>
      </c>
      <c r="Y2471" t="str">
        <f t="shared" si="1015"/>
        <v>04-08-2020</v>
      </c>
      <c r="Z2471" t="str">
        <f>"COS10200804 6683"</f>
        <v>COS10200804 6683</v>
      </c>
    </row>
    <row r="2472" spans="1:26" x14ac:dyDescent="0.25">
      <c r="A2472" t="str">
        <f t="shared" si="1020"/>
        <v>04-08-2020 01:04:24</v>
      </c>
      <c r="B2472" t="str">
        <f>"0000808478"</f>
        <v>0000808478</v>
      </c>
      <c r="C2472" t="str">
        <f t="shared" si="1021"/>
        <v>0000808396</v>
      </c>
      <c r="D2472" t="str">
        <f t="shared" si="1003"/>
        <v>73185</v>
      </c>
      <c r="E2472" t="str">
        <f t="shared" si="1004"/>
        <v>KFH-OPERATIONS DEPARTMENT</v>
      </c>
      <c r="F2472" t="str">
        <f t="shared" si="1005"/>
        <v>IBG</v>
      </c>
      <c r="G2472" t="str">
        <f t="shared" si="1016"/>
        <v>Refund COSHARE 10</v>
      </c>
      <c r="H2472" s="2">
        <v>183</v>
      </c>
      <c r="I2472" t="str">
        <f>"NUR AFIQQ BINTI RAHMAN"</f>
        <v>NUR AFIQQ BINTI RAHMAN</v>
      </c>
      <c r="J2472" t="str">
        <f t="shared" si="1019"/>
        <v>MAYBANK / MAYBANK ISLAMIC</v>
      </c>
      <c r="K2472" t="str">
        <f>"158060666657"</f>
        <v>158060666657</v>
      </c>
      <c r="L2472" t="str">
        <f t="shared" si="1022"/>
        <v>04-08-2020</v>
      </c>
      <c r="M2472" t="str">
        <f t="shared" si="1022"/>
        <v>04-08-2020</v>
      </c>
      <c r="N2472" t="str">
        <f t="shared" si="1006"/>
        <v>001105018356</v>
      </c>
      <c r="O2472" t="str">
        <f t="shared" si="1007"/>
        <v>MYR</v>
      </c>
      <c r="P2472" t="str">
        <f t="shared" si="1023"/>
        <v>NIL</v>
      </c>
      <c r="Q2472" t="str">
        <f t="shared" si="1023"/>
        <v>NIL</v>
      </c>
      <c r="R2472" t="str">
        <f t="shared" si="1008"/>
        <v>Accepted</v>
      </c>
      <c r="S2472" t="str">
        <f t="shared" si="1009"/>
        <v>Approved</v>
      </c>
      <c r="T2472" t="str">
        <f t="shared" si="1010"/>
        <v>10.20.8.188</v>
      </c>
      <c r="U2472" t="str">
        <f t="shared" si="1011"/>
        <v>AZRAD UMAR BIN SHAARI</v>
      </c>
      <c r="V2472" t="str">
        <f t="shared" si="1012"/>
        <v>FARHANA BINTI MUSTAPA</v>
      </c>
      <c r="W2472" t="str">
        <f t="shared" si="1013"/>
        <v>04-08-2020</v>
      </c>
      <c r="X2472" t="str">
        <f t="shared" si="1014"/>
        <v>RAZIMAH ANSAR AHMAD</v>
      </c>
      <c r="Y2472" t="str">
        <f t="shared" si="1015"/>
        <v>04-08-2020</v>
      </c>
      <c r="Z2472" t="str">
        <f>"COS10200804 6682"</f>
        <v>COS10200804 6682</v>
      </c>
    </row>
    <row r="2473" spans="1:26" x14ac:dyDescent="0.25">
      <c r="A2473" t="str">
        <f t="shared" si="1020"/>
        <v>04-08-2020 01:04:24</v>
      </c>
      <c r="B2473" t="str">
        <f>"0000808477"</f>
        <v>0000808477</v>
      </c>
      <c r="C2473" t="str">
        <f t="shared" si="1021"/>
        <v>0000808396</v>
      </c>
      <c r="D2473" t="str">
        <f t="shared" si="1003"/>
        <v>73185</v>
      </c>
      <c r="E2473" t="str">
        <f t="shared" si="1004"/>
        <v>KFH-OPERATIONS DEPARTMENT</v>
      </c>
      <c r="F2473" t="str">
        <f t="shared" si="1005"/>
        <v>IBG</v>
      </c>
      <c r="G2473" t="str">
        <f t="shared" si="1016"/>
        <v>Refund COSHARE 10</v>
      </c>
      <c r="H2473" s="2">
        <v>537.29999999999995</v>
      </c>
      <c r="I2473" t="str">
        <f>"NUKMAN BIN YUNOS"</f>
        <v>NUKMAN BIN YUNOS</v>
      </c>
      <c r="J2473" t="str">
        <f t="shared" si="1019"/>
        <v>MAYBANK / MAYBANK ISLAMIC</v>
      </c>
      <c r="K2473" t="str">
        <f>"160148868737"</f>
        <v>160148868737</v>
      </c>
      <c r="L2473" t="str">
        <f t="shared" si="1022"/>
        <v>04-08-2020</v>
      </c>
      <c r="M2473" t="str">
        <f t="shared" si="1022"/>
        <v>04-08-2020</v>
      </c>
      <c r="N2473" t="str">
        <f t="shared" si="1006"/>
        <v>001105018356</v>
      </c>
      <c r="O2473" t="str">
        <f t="shared" si="1007"/>
        <v>MYR</v>
      </c>
      <c r="P2473" t="str">
        <f t="shared" si="1023"/>
        <v>NIL</v>
      </c>
      <c r="Q2473" t="str">
        <f t="shared" si="1023"/>
        <v>NIL</v>
      </c>
      <c r="R2473" t="str">
        <f t="shared" si="1008"/>
        <v>Accepted</v>
      </c>
      <c r="S2473" t="str">
        <f t="shared" si="1009"/>
        <v>Approved</v>
      </c>
      <c r="T2473" t="str">
        <f t="shared" si="1010"/>
        <v>10.20.8.188</v>
      </c>
      <c r="U2473" t="str">
        <f t="shared" si="1011"/>
        <v>AZRAD UMAR BIN SHAARI</v>
      </c>
      <c r="V2473" t="str">
        <f t="shared" si="1012"/>
        <v>FARHANA BINTI MUSTAPA</v>
      </c>
      <c r="W2473" t="str">
        <f t="shared" si="1013"/>
        <v>04-08-2020</v>
      </c>
      <c r="X2473" t="str">
        <f t="shared" si="1014"/>
        <v>RAZIMAH ANSAR AHMAD</v>
      </c>
      <c r="Y2473" t="str">
        <f t="shared" si="1015"/>
        <v>04-08-2020</v>
      </c>
      <c r="Z2473" t="str">
        <f>"COS10200804 6681"</f>
        <v>COS10200804 6681</v>
      </c>
    </row>
    <row r="2474" spans="1:26" x14ac:dyDescent="0.25">
      <c r="A2474" t="str">
        <f t="shared" si="1020"/>
        <v>04-08-2020 01:04:24</v>
      </c>
      <c r="B2474" t="str">
        <f>"0000808476"</f>
        <v>0000808476</v>
      </c>
      <c r="C2474" t="str">
        <f t="shared" si="1021"/>
        <v>0000808396</v>
      </c>
      <c r="D2474" t="str">
        <f t="shared" si="1003"/>
        <v>73185</v>
      </c>
      <c r="E2474" t="str">
        <f t="shared" si="1004"/>
        <v>KFH-OPERATIONS DEPARTMENT</v>
      </c>
      <c r="F2474" t="str">
        <f t="shared" si="1005"/>
        <v>IBG</v>
      </c>
      <c r="G2474" t="str">
        <f t="shared" si="1016"/>
        <v>Refund COSHARE 10</v>
      </c>
      <c r="H2474" s="2">
        <v>436.55</v>
      </c>
      <c r="I2474" t="str">
        <f>"NUHA BINTI MOHD FADHLULLAH"</f>
        <v>NUHA BINTI MOHD FADHLULLAH</v>
      </c>
      <c r="J2474" t="str">
        <f t="shared" si="1019"/>
        <v>MAYBANK / MAYBANK ISLAMIC</v>
      </c>
      <c r="K2474" t="str">
        <f>"154101035617"</f>
        <v>154101035617</v>
      </c>
      <c r="L2474" t="str">
        <f t="shared" si="1022"/>
        <v>04-08-2020</v>
      </c>
      <c r="M2474" t="str">
        <f t="shared" si="1022"/>
        <v>04-08-2020</v>
      </c>
      <c r="N2474" t="str">
        <f t="shared" si="1006"/>
        <v>001105018356</v>
      </c>
      <c r="O2474" t="str">
        <f t="shared" si="1007"/>
        <v>MYR</v>
      </c>
      <c r="P2474" t="str">
        <f t="shared" si="1023"/>
        <v>NIL</v>
      </c>
      <c r="Q2474" t="str">
        <f t="shared" si="1023"/>
        <v>NIL</v>
      </c>
      <c r="R2474" t="str">
        <f t="shared" si="1008"/>
        <v>Accepted</v>
      </c>
      <c r="S2474" t="str">
        <f t="shared" si="1009"/>
        <v>Approved</v>
      </c>
      <c r="T2474" t="str">
        <f t="shared" si="1010"/>
        <v>10.20.8.188</v>
      </c>
      <c r="U2474" t="str">
        <f t="shared" si="1011"/>
        <v>AZRAD UMAR BIN SHAARI</v>
      </c>
      <c r="V2474" t="str">
        <f t="shared" si="1012"/>
        <v>FARHANA BINTI MUSTAPA</v>
      </c>
      <c r="W2474" t="str">
        <f t="shared" si="1013"/>
        <v>04-08-2020</v>
      </c>
      <c r="X2474" t="str">
        <f t="shared" si="1014"/>
        <v>RAZIMAH ANSAR AHMAD</v>
      </c>
      <c r="Y2474" t="str">
        <f t="shared" si="1015"/>
        <v>04-08-2020</v>
      </c>
      <c r="Z2474" t="str">
        <f>"COS10200804 6680"</f>
        <v>COS10200804 6680</v>
      </c>
    </row>
    <row r="2475" spans="1:26" x14ac:dyDescent="0.25">
      <c r="A2475" t="str">
        <f t="shared" si="1020"/>
        <v>04-08-2020 01:04:24</v>
      </c>
      <c r="B2475" t="str">
        <f>"0000808475"</f>
        <v>0000808475</v>
      </c>
      <c r="C2475" t="str">
        <f t="shared" si="1021"/>
        <v>0000808396</v>
      </c>
      <c r="D2475" t="str">
        <f t="shared" si="1003"/>
        <v>73185</v>
      </c>
      <c r="E2475" t="str">
        <f t="shared" si="1004"/>
        <v>KFH-OPERATIONS DEPARTMENT</v>
      </c>
      <c r="F2475" t="str">
        <f t="shared" si="1005"/>
        <v>IBG</v>
      </c>
      <c r="G2475" t="str">
        <f t="shared" si="1016"/>
        <v>Refund COSHARE 10</v>
      </c>
      <c r="H2475" s="2">
        <v>801.65</v>
      </c>
      <c r="I2475" t="str">
        <f>"NORZUNITA BINTI ABDUL LATIF"</f>
        <v>NORZUNITA BINTI ABDUL LATIF</v>
      </c>
      <c r="J2475" t="str">
        <f t="shared" si="1019"/>
        <v>MAYBANK / MAYBANK ISLAMIC</v>
      </c>
      <c r="K2475" t="str">
        <f>"112268031633"</f>
        <v>112268031633</v>
      </c>
      <c r="L2475" t="str">
        <f t="shared" si="1022"/>
        <v>04-08-2020</v>
      </c>
      <c r="M2475" t="str">
        <f t="shared" si="1022"/>
        <v>04-08-2020</v>
      </c>
      <c r="N2475" t="str">
        <f t="shared" si="1006"/>
        <v>001105018356</v>
      </c>
      <c r="O2475" t="str">
        <f t="shared" si="1007"/>
        <v>MYR</v>
      </c>
      <c r="P2475" t="str">
        <f t="shared" si="1023"/>
        <v>NIL</v>
      </c>
      <c r="Q2475" t="str">
        <f t="shared" si="1023"/>
        <v>NIL</v>
      </c>
      <c r="R2475" t="str">
        <f t="shared" si="1008"/>
        <v>Accepted</v>
      </c>
      <c r="S2475" t="str">
        <f t="shared" si="1009"/>
        <v>Approved</v>
      </c>
      <c r="T2475" t="str">
        <f t="shared" si="1010"/>
        <v>10.20.8.188</v>
      </c>
      <c r="U2475" t="str">
        <f t="shared" si="1011"/>
        <v>AZRAD UMAR BIN SHAARI</v>
      </c>
      <c r="V2475" t="str">
        <f t="shared" si="1012"/>
        <v>FARHANA BINTI MUSTAPA</v>
      </c>
      <c r="W2475" t="str">
        <f t="shared" si="1013"/>
        <v>04-08-2020</v>
      </c>
      <c r="X2475" t="str">
        <f t="shared" si="1014"/>
        <v>RAZIMAH ANSAR AHMAD</v>
      </c>
      <c r="Y2475" t="str">
        <f t="shared" si="1015"/>
        <v>04-08-2020</v>
      </c>
      <c r="Z2475" t="str">
        <f>"COS10200804 6679"</f>
        <v>COS10200804 6679</v>
      </c>
    </row>
    <row r="2476" spans="1:26" x14ac:dyDescent="0.25">
      <c r="A2476" t="str">
        <f t="shared" si="1020"/>
        <v>04-08-2020 01:04:24</v>
      </c>
      <c r="B2476" t="str">
        <f>"0000808474"</f>
        <v>0000808474</v>
      </c>
      <c r="C2476" t="str">
        <f t="shared" si="1021"/>
        <v>0000808396</v>
      </c>
      <c r="D2476" t="str">
        <f t="shared" si="1003"/>
        <v>73185</v>
      </c>
      <c r="E2476" t="str">
        <f t="shared" si="1004"/>
        <v>KFH-OPERATIONS DEPARTMENT</v>
      </c>
      <c r="F2476" t="str">
        <f t="shared" si="1005"/>
        <v>IBG</v>
      </c>
      <c r="G2476" t="str">
        <f t="shared" si="1016"/>
        <v>Refund COSHARE 10</v>
      </c>
      <c r="H2476" s="2">
        <v>142.75</v>
      </c>
      <c r="I2476" t="str">
        <f>"NORZILAWATI BINTI BISTAMAN"</f>
        <v>NORZILAWATI BINTI BISTAMAN</v>
      </c>
      <c r="J2476" t="str">
        <f t="shared" si="1019"/>
        <v>MAYBANK / MAYBANK ISLAMIC</v>
      </c>
      <c r="K2476" t="str">
        <f>"166010063852"</f>
        <v>166010063852</v>
      </c>
      <c r="L2476" t="str">
        <f t="shared" si="1022"/>
        <v>04-08-2020</v>
      </c>
      <c r="M2476" t="str">
        <f t="shared" si="1022"/>
        <v>04-08-2020</v>
      </c>
      <c r="N2476" t="str">
        <f t="shared" si="1006"/>
        <v>001105018356</v>
      </c>
      <c r="O2476" t="str">
        <f t="shared" si="1007"/>
        <v>MYR</v>
      </c>
      <c r="P2476" t="str">
        <f t="shared" si="1023"/>
        <v>NIL</v>
      </c>
      <c r="Q2476" t="str">
        <f t="shared" si="1023"/>
        <v>NIL</v>
      </c>
      <c r="R2476" t="str">
        <f t="shared" si="1008"/>
        <v>Accepted</v>
      </c>
      <c r="S2476" t="str">
        <f t="shared" si="1009"/>
        <v>Approved</v>
      </c>
      <c r="T2476" t="str">
        <f t="shared" si="1010"/>
        <v>10.20.8.188</v>
      </c>
      <c r="U2476" t="str">
        <f t="shared" si="1011"/>
        <v>AZRAD UMAR BIN SHAARI</v>
      </c>
      <c r="V2476" t="str">
        <f t="shared" si="1012"/>
        <v>FARHANA BINTI MUSTAPA</v>
      </c>
      <c r="W2476" t="str">
        <f t="shared" si="1013"/>
        <v>04-08-2020</v>
      </c>
      <c r="X2476" t="str">
        <f t="shared" si="1014"/>
        <v>RAZIMAH ANSAR AHMAD</v>
      </c>
      <c r="Y2476" t="str">
        <f t="shared" si="1015"/>
        <v>04-08-2020</v>
      </c>
      <c r="Z2476" t="str">
        <f>"COS10200804 6678"</f>
        <v>COS10200804 6678</v>
      </c>
    </row>
    <row r="2477" spans="1:26" x14ac:dyDescent="0.25">
      <c r="A2477" t="str">
        <f t="shared" si="1020"/>
        <v>04-08-2020 01:04:24</v>
      </c>
      <c r="B2477" t="str">
        <f>"0000808473"</f>
        <v>0000808473</v>
      </c>
      <c r="C2477" t="str">
        <f t="shared" si="1021"/>
        <v>0000808396</v>
      </c>
      <c r="D2477" t="str">
        <f t="shared" si="1003"/>
        <v>73185</v>
      </c>
      <c r="E2477" t="str">
        <f t="shared" si="1004"/>
        <v>KFH-OPERATIONS DEPARTMENT</v>
      </c>
      <c r="F2477" t="str">
        <f t="shared" si="1005"/>
        <v>IBG</v>
      </c>
      <c r="G2477" t="str">
        <f t="shared" si="1016"/>
        <v>Refund COSHARE 10</v>
      </c>
      <c r="H2477" s="2">
        <v>738.8</v>
      </c>
      <c r="I2477" t="str">
        <f>"NORZILA BINTI MOHAMED ROSLY"</f>
        <v>NORZILA BINTI MOHAMED ROSLY</v>
      </c>
      <c r="J2477" t="str">
        <f t="shared" si="1019"/>
        <v>MAYBANK / MAYBANK ISLAMIC</v>
      </c>
      <c r="K2477" t="str">
        <f>"162218354044"</f>
        <v>162218354044</v>
      </c>
      <c r="L2477" t="str">
        <f t="shared" si="1022"/>
        <v>04-08-2020</v>
      </c>
      <c r="M2477" t="str">
        <f t="shared" si="1022"/>
        <v>04-08-2020</v>
      </c>
      <c r="N2477" t="str">
        <f t="shared" si="1006"/>
        <v>001105018356</v>
      </c>
      <c r="O2477" t="str">
        <f t="shared" si="1007"/>
        <v>MYR</v>
      </c>
      <c r="P2477" t="str">
        <f t="shared" si="1023"/>
        <v>NIL</v>
      </c>
      <c r="Q2477" t="str">
        <f t="shared" si="1023"/>
        <v>NIL</v>
      </c>
      <c r="R2477" t="str">
        <f t="shared" si="1008"/>
        <v>Accepted</v>
      </c>
      <c r="S2477" t="str">
        <f t="shared" si="1009"/>
        <v>Approved</v>
      </c>
      <c r="T2477" t="str">
        <f t="shared" si="1010"/>
        <v>10.20.8.188</v>
      </c>
      <c r="U2477" t="str">
        <f t="shared" si="1011"/>
        <v>AZRAD UMAR BIN SHAARI</v>
      </c>
      <c r="V2477" t="str">
        <f t="shared" si="1012"/>
        <v>FARHANA BINTI MUSTAPA</v>
      </c>
      <c r="W2477" t="str">
        <f t="shared" si="1013"/>
        <v>04-08-2020</v>
      </c>
      <c r="X2477" t="str">
        <f t="shared" si="1014"/>
        <v>RAZIMAH ANSAR AHMAD</v>
      </c>
      <c r="Y2477" t="str">
        <f t="shared" si="1015"/>
        <v>04-08-2020</v>
      </c>
      <c r="Z2477" t="str">
        <f>"COS10200804 6677"</f>
        <v>COS10200804 6677</v>
      </c>
    </row>
    <row r="2478" spans="1:26" x14ac:dyDescent="0.25">
      <c r="A2478" t="str">
        <f t="shared" si="1020"/>
        <v>04-08-2020 01:04:24</v>
      </c>
      <c r="B2478" t="str">
        <f>"0000808472"</f>
        <v>0000808472</v>
      </c>
      <c r="C2478" t="str">
        <f t="shared" si="1021"/>
        <v>0000808396</v>
      </c>
      <c r="D2478" t="str">
        <f t="shared" si="1003"/>
        <v>73185</v>
      </c>
      <c r="E2478" t="str">
        <f t="shared" si="1004"/>
        <v>KFH-OPERATIONS DEPARTMENT</v>
      </c>
      <c r="F2478" t="str">
        <f t="shared" si="1005"/>
        <v>IBG</v>
      </c>
      <c r="G2478" t="str">
        <f t="shared" si="1016"/>
        <v>Refund COSHARE 10</v>
      </c>
      <c r="H2478" s="2">
        <v>157.65</v>
      </c>
      <c r="I2478" t="str">
        <f>"NORZILA BINTI HANAFI"</f>
        <v>NORZILA BINTI HANAFI</v>
      </c>
      <c r="J2478" t="str">
        <f t="shared" si="1019"/>
        <v>MAYBANK / MAYBANK ISLAMIC</v>
      </c>
      <c r="K2478" t="str">
        <f>"108382016311"</f>
        <v>108382016311</v>
      </c>
      <c r="L2478" t="str">
        <f t="shared" si="1022"/>
        <v>04-08-2020</v>
      </c>
      <c r="M2478" t="str">
        <f t="shared" si="1022"/>
        <v>04-08-2020</v>
      </c>
      <c r="N2478" t="str">
        <f t="shared" si="1006"/>
        <v>001105018356</v>
      </c>
      <c r="O2478" t="str">
        <f t="shared" si="1007"/>
        <v>MYR</v>
      </c>
      <c r="P2478" t="str">
        <f t="shared" si="1023"/>
        <v>NIL</v>
      </c>
      <c r="Q2478" t="str">
        <f t="shared" si="1023"/>
        <v>NIL</v>
      </c>
      <c r="R2478" t="str">
        <f t="shared" si="1008"/>
        <v>Accepted</v>
      </c>
      <c r="S2478" t="str">
        <f t="shared" si="1009"/>
        <v>Approved</v>
      </c>
      <c r="T2478" t="str">
        <f t="shared" si="1010"/>
        <v>10.20.8.188</v>
      </c>
      <c r="U2478" t="str">
        <f t="shared" si="1011"/>
        <v>AZRAD UMAR BIN SHAARI</v>
      </c>
      <c r="V2478" t="str">
        <f t="shared" si="1012"/>
        <v>FARHANA BINTI MUSTAPA</v>
      </c>
      <c r="W2478" t="str">
        <f t="shared" si="1013"/>
        <v>04-08-2020</v>
      </c>
      <c r="X2478" t="str">
        <f t="shared" si="1014"/>
        <v>RAZIMAH ANSAR AHMAD</v>
      </c>
      <c r="Y2478" t="str">
        <f t="shared" si="1015"/>
        <v>04-08-2020</v>
      </c>
      <c r="Z2478" t="str">
        <f>"COS10200804 6676"</f>
        <v>COS10200804 6676</v>
      </c>
    </row>
    <row r="2479" spans="1:26" x14ac:dyDescent="0.25">
      <c r="A2479" t="str">
        <f t="shared" si="1020"/>
        <v>04-08-2020 01:04:24</v>
      </c>
      <c r="B2479" t="str">
        <f>"0000808471"</f>
        <v>0000808471</v>
      </c>
      <c r="C2479" t="str">
        <f t="shared" si="1021"/>
        <v>0000808396</v>
      </c>
      <c r="D2479" t="str">
        <f t="shared" si="1003"/>
        <v>73185</v>
      </c>
      <c r="E2479" t="str">
        <f t="shared" si="1004"/>
        <v>KFH-OPERATIONS DEPARTMENT</v>
      </c>
      <c r="F2479" t="str">
        <f t="shared" si="1005"/>
        <v>IBG</v>
      </c>
      <c r="G2479" t="str">
        <f t="shared" si="1016"/>
        <v>Refund COSHARE 10</v>
      </c>
      <c r="H2479" s="2">
        <v>147</v>
      </c>
      <c r="I2479" t="str">
        <f>"NORZILA BINTI ADAM"</f>
        <v>NORZILA BINTI ADAM</v>
      </c>
      <c r="J2479" t="str">
        <f t="shared" si="1019"/>
        <v>MAYBANK / MAYBANK ISLAMIC</v>
      </c>
      <c r="K2479" t="str">
        <f>"151098379820"</f>
        <v>151098379820</v>
      </c>
      <c r="L2479" t="str">
        <f t="shared" si="1022"/>
        <v>04-08-2020</v>
      </c>
      <c r="M2479" t="str">
        <f t="shared" si="1022"/>
        <v>04-08-2020</v>
      </c>
      <c r="N2479" t="str">
        <f t="shared" si="1006"/>
        <v>001105018356</v>
      </c>
      <c r="O2479" t="str">
        <f t="shared" si="1007"/>
        <v>MYR</v>
      </c>
      <c r="P2479" t="str">
        <f t="shared" si="1023"/>
        <v>NIL</v>
      </c>
      <c r="Q2479" t="str">
        <f t="shared" si="1023"/>
        <v>NIL</v>
      </c>
      <c r="R2479" t="str">
        <f t="shared" si="1008"/>
        <v>Accepted</v>
      </c>
      <c r="S2479" t="str">
        <f t="shared" si="1009"/>
        <v>Approved</v>
      </c>
      <c r="T2479" t="str">
        <f t="shared" si="1010"/>
        <v>10.20.8.188</v>
      </c>
      <c r="U2479" t="str">
        <f t="shared" si="1011"/>
        <v>AZRAD UMAR BIN SHAARI</v>
      </c>
      <c r="V2479" t="str">
        <f t="shared" si="1012"/>
        <v>FARHANA BINTI MUSTAPA</v>
      </c>
      <c r="W2479" t="str">
        <f t="shared" si="1013"/>
        <v>04-08-2020</v>
      </c>
      <c r="X2479" t="str">
        <f t="shared" si="1014"/>
        <v>RAZIMAH ANSAR AHMAD</v>
      </c>
      <c r="Y2479" t="str">
        <f t="shared" si="1015"/>
        <v>04-08-2020</v>
      </c>
      <c r="Z2479" t="str">
        <f>"COS10200804 6675"</f>
        <v>COS10200804 6675</v>
      </c>
    </row>
    <row r="2480" spans="1:26" x14ac:dyDescent="0.25">
      <c r="A2480" t="str">
        <f t="shared" si="1020"/>
        <v>04-08-2020 01:04:24</v>
      </c>
      <c r="B2480" t="str">
        <f>"0000808470"</f>
        <v>0000808470</v>
      </c>
      <c r="C2480" t="str">
        <f t="shared" si="1021"/>
        <v>0000808396</v>
      </c>
      <c r="D2480" t="str">
        <f t="shared" si="1003"/>
        <v>73185</v>
      </c>
      <c r="E2480" t="str">
        <f t="shared" si="1004"/>
        <v>KFH-OPERATIONS DEPARTMENT</v>
      </c>
      <c r="F2480" t="str">
        <f t="shared" si="1005"/>
        <v>IBG</v>
      </c>
      <c r="G2480" t="str">
        <f t="shared" si="1016"/>
        <v>Refund COSHARE 10</v>
      </c>
      <c r="H2480" s="2">
        <v>1679</v>
      </c>
      <c r="I2480" t="str">
        <f>"NORZIE BINTI MD SHAH"</f>
        <v>NORZIE BINTI MD SHAH</v>
      </c>
      <c r="J2480" t="str">
        <f t="shared" si="1019"/>
        <v>MAYBANK / MAYBANK ISLAMIC</v>
      </c>
      <c r="K2480" t="str">
        <f>"108187037253"</f>
        <v>108187037253</v>
      </c>
      <c r="L2480" t="str">
        <f t="shared" si="1022"/>
        <v>04-08-2020</v>
      </c>
      <c r="M2480" t="str">
        <f t="shared" si="1022"/>
        <v>04-08-2020</v>
      </c>
      <c r="N2480" t="str">
        <f t="shared" si="1006"/>
        <v>001105018356</v>
      </c>
      <c r="O2480" t="str">
        <f t="shared" si="1007"/>
        <v>MYR</v>
      </c>
      <c r="P2480" t="str">
        <f t="shared" si="1023"/>
        <v>NIL</v>
      </c>
      <c r="Q2480" t="str">
        <f t="shared" si="1023"/>
        <v>NIL</v>
      </c>
      <c r="R2480" t="str">
        <f t="shared" si="1008"/>
        <v>Accepted</v>
      </c>
      <c r="S2480" t="str">
        <f t="shared" si="1009"/>
        <v>Approved</v>
      </c>
      <c r="T2480" t="str">
        <f t="shared" si="1010"/>
        <v>10.20.8.188</v>
      </c>
      <c r="U2480" t="str">
        <f t="shared" si="1011"/>
        <v>AZRAD UMAR BIN SHAARI</v>
      </c>
      <c r="V2480" t="str">
        <f t="shared" si="1012"/>
        <v>FARHANA BINTI MUSTAPA</v>
      </c>
      <c r="W2480" t="str">
        <f t="shared" si="1013"/>
        <v>04-08-2020</v>
      </c>
      <c r="X2480" t="str">
        <f t="shared" si="1014"/>
        <v>RAZIMAH ANSAR AHMAD</v>
      </c>
      <c r="Y2480" t="str">
        <f t="shared" si="1015"/>
        <v>04-08-2020</v>
      </c>
      <c r="Z2480" t="str">
        <f>"COS10200804 6674"</f>
        <v>COS10200804 6674</v>
      </c>
    </row>
    <row r="2481" spans="1:26" x14ac:dyDescent="0.25">
      <c r="A2481" t="str">
        <f t="shared" si="1020"/>
        <v>04-08-2020 01:04:24</v>
      </c>
      <c r="B2481" t="str">
        <f>"0000808469"</f>
        <v>0000808469</v>
      </c>
      <c r="C2481" t="str">
        <f t="shared" si="1021"/>
        <v>0000808396</v>
      </c>
      <c r="D2481" t="str">
        <f t="shared" si="1003"/>
        <v>73185</v>
      </c>
      <c r="E2481" t="str">
        <f t="shared" si="1004"/>
        <v>KFH-OPERATIONS DEPARTMENT</v>
      </c>
      <c r="F2481" t="str">
        <f t="shared" si="1005"/>
        <v>IBG</v>
      </c>
      <c r="G2481" t="str">
        <f t="shared" si="1016"/>
        <v>Refund COSHARE 10</v>
      </c>
      <c r="H2481" s="2">
        <v>495.3</v>
      </c>
      <c r="I2481" t="str">
        <f>"NORZIE ARZAM BIN AB LOH"</f>
        <v>NORZIE ARZAM BIN AB LOH</v>
      </c>
      <c r="J2481" t="str">
        <f t="shared" si="1019"/>
        <v>MAYBANK / MAYBANK ISLAMIC</v>
      </c>
      <c r="K2481" t="str">
        <f>"164285512258"</f>
        <v>164285512258</v>
      </c>
      <c r="L2481" t="str">
        <f t="shared" si="1022"/>
        <v>04-08-2020</v>
      </c>
      <c r="M2481" t="str">
        <f t="shared" si="1022"/>
        <v>04-08-2020</v>
      </c>
      <c r="N2481" t="str">
        <f t="shared" si="1006"/>
        <v>001105018356</v>
      </c>
      <c r="O2481" t="str">
        <f t="shared" si="1007"/>
        <v>MYR</v>
      </c>
      <c r="P2481" t="str">
        <f t="shared" si="1023"/>
        <v>NIL</v>
      </c>
      <c r="Q2481" t="str">
        <f t="shared" si="1023"/>
        <v>NIL</v>
      </c>
      <c r="R2481" t="str">
        <f t="shared" si="1008"/>
        <v>Accepted</v>
      </c>
      <c r="S2481" t="str">
        <f t="shared" si="1009"/>
        <v>Approved</v>
      </c>
      <c r="T2481" t="str">
        <f t="shared" si="1010"/>
        <v>10.20.8.188</v>
      </c>
      <c r="U2481" t="str">
        <f t="shared" si="1011"/>
        <v>AZRAD UMAR BIN SHAARI</v>
      </c>
      <c r="V2481" t="str">
        <f t="shared" si="1012"/>
        <v>FARHANA BINTI MUSTAPA</v>
      </c>
      <c r="W2481" t="str">
        <f t="shared" si="1013"/>
        <v>04-08-2020</v>
      </c>
      <c r="X2481" t="str">
        <f t="shared" si="1014"/>
        <v>RAZIMAH ANSAR AHMAD</v>
      </c>
      <c r="Y2481" t="str">
        <f t="shared" si="1015"/>
        <v>04-08-2020</v>
      </c>
      <c r="Z2481" t="str">
        <f>"COS10200804 6673"</f>
        <v>COS10200804 6673</v>
      </c>
    </row>
    <row r="2482" spans="1:26" x14ac:dyDescent="0.25">
      <c r="A2482" t="str">
        <f t="shared" ref="A2482:A2513" si="1024">"04-08-2020 01:04:24"</f>
        <v>04-08-2020 01:04:24</v>
      </c>
      <c r="B2482" t="str">
        <f>"0000808468"</f>
        <v>0000808468</v>
      </c>
      <c r="C2482" t="str">
        <f t="shared" ref="C2482:C2513" si="1025">"0000808396"</f>
        <v>0000808396</v>
      </c>
      <c r="D2482" t="str">
        <f t="shared" si="1003"/>
        <v>73185</v>
      </c>
      <c r="E2482" t="str">
        <f t="shared" si="1004"/>
        <v>KFH-OPERATIONS DEPARTMENT</v>
      </c>
      <c r="F2482" t="str">
        <f t="shared" si="1005"/>
        <v>IBG</v>
      </c>
      <c r="G2482" t="str">
        <f t="shared" si="1016"/>
        <v>Refund COSHARE 10</v>
      </c>
      <c r="H2482" s="2">
        <v>76</v>
      </c>
      <c r="I2482" t="str">
        <f>"NORZIANI BINTI MOHD POTRI"</f>
        <v>NORZIANI BINTI MOHD POTRI</v>
      </c>
      <c r="J2482" t="str">
        <f t="shared" si="1019"/>
        <v>MAYBANK / MAYBANK ISLAMIC</v>
      </c>
      <c r="K2482" t="str">
        <f>"164043637539"</f>
        <v>164043637539</v>
      </c>
      <c r="L2482" t="str">
        <f t="shared" si="1022"/>
        <v>04-08-2020</v>
      </c>
      <c r="M2482" t="str">
        <f t="shared" si="1022"/>
        <v>04-08-2020</v>
      </c>
      <c r="N2482" t="str">
        <f t="shared" si="1006"/>
        <v>001105018356</v>
      </c>
      <c r="O2482" t="str">
        <f t="shared" si="1007"/>
        <v>MYR</v>
      </c>
      <c r="P2482" t="str">
        <f t="shared" si="1023"/>
        <v>NIL</v>
      </c>
      <c r="Q2482" t="str">
        <f t="shared" si="1023"/>
        <v>NIL</v>
      </c>
      <c r="R2482" t="str">
        <f t="shared" si="1008"/>
        <v>Accepted</v>
      </c>
      <c r="S2482" t="str">
        <f t="shared" si="1009"/>
        <v>Approved</v>
      </c>
      <c r="T2482" t="str">
        <f t="shared" si="1010"/>
        <v>10.20.8.188</v>
      </c>
      <c r="U2482" t="str">
        <f t="shared" si="1011"/>
        <v>AZRAD UMAR BIN SHAARI</v>
      </c>
      <c r="V2482" t="str">
        <f t="shared" si="1012"/>
        <v>FARHANA BINTI MUSTAPA</v>
      </c>
      <c r="W2482" t="str">
        <f t="shared" si="1013"/>
        <v>04-08-2020</v>
      </c>
      <c r="X2482" t="str">
        <f t="shared" si="1014"/>
        <v>RAZIMAH ANSAR AHMAD</v>
      </c>
      <c r="Y2482" t="str">
        <f t="shared" si="1015"/>
        <v>04-08-2020</v>
      </c>
      <c r="Z2482" t="str">
        <f>"COS10200804 6672"</f>
        <v>COS10200804 6672</v>
      </c>
    </row>
    <row r="2483" spans="1:26" x14ac:dyDescent="0.25">
      <c r="A2483" t="str">
        <f t="shared" si="1024"/>
        <v>04-08-2020 01:04:24</v>
      </c>
      <c r="B2483" t="str">
        <f>"0000808467"</f>
        <v>0000808467</v>
      </c>
      <c r="C2483" t="str">
        <f t="shared" si="1025"/>
        <v>0000808396</v>
      </c>
      <c r="D2483" t="str">
        <f t="shared" si="1003"/>
        <v>73185</v>
      </c>
      <c r="E2483" t="str">
        <f t="shared" si="1004"/>
        <v>KFH-OPERATIONS DEPARTMENT</v>
      </c>
      <c r="F2483" t="str">
        <f t="shared" si="1005"/>
        <v>IBG</v>
      </c>
      <c r="G2483" t="str">
        <f t="shared" si="1016"/>
        <v>Refund COSHARE 10</v>
      </c>
      <c r="H2483" s="2">
        <v>923.45</v>
      </c>
      <c r="I2483" t="str">
        <f>"NORZIA ANITA BINTI MOHAMAD HATIM"</f>
        <v>NORZIA ANITA BINTI MOHAMAD HATIM</v>
      </c>
      <c r="J2483" t="str">
        <f t="shared" si="1019"/>
        <v>MAYBANK / MAYBANK ISLAMIC</v>
      </c>
      <c r="K2483" t="str">
        <f>"152077470861"</f>
        <v>152077470861</v>
      </c>
      <c r="L2483" t="str">
        <f t="shared" si="1022"/>
        <v>04-08-2020</v>
      </c>
      <c r="M2483" t="str">
        <f t="shared" si="1022"/>
        <v>04-08-2020</v>
      </c>
      <c r="N2483" t="str">
        <f t="shared" si="1006"/>
        <v>001105018356</v>
      </c>
      <c r="O2483" t="str">
        <f t="shared" si="1007"/>
        <v>MYR</v>
      </c>
      <c r="P2483" t="str">
        <f t="shared" si="1023"/>
        <v>NIL</v>
      </c>
      <c r="Q2483" t="str">
        <f t="shared" si="1023"/>
        <v>NIL</v>
      </c>
      <c r="R2483" t="str">
        <f t="shared" si="1008"/>
        <v>Accepted</v>
      </c>
      <c r="S2483" t="str">
        <f t="shared" si="1009"/>
        <v>Approved</v>
      </c>
      <c r="T2483" t="str">
        <f t="shared" si="1010"/>
        <v>10.20.8.188</v>
      </c>
      <c r="U2483" t="str">
        <f t="shared" si="1011"/>
        <v>AZRAD UMAR BIN SHAARI</v>
      </c>
      <c r="V2483" t="str">
        <f t="shared" si="1012"/>
        <v>FARHANA BINTI MUSTAPA</v>
      </c>
      <c r="W2483" t="str">
        <f t="shared" si="1013"/>
        <v>04-08-2020</v>
      </c>
      <c r="X2483" t="str">
        <f t="shared" si="1014"/>
        <v>RAZIMAH ANSAR AHMAD</v>
      </c>
      <c r="Y2483" t="str">
        <f t="shared" si="1015"/>
        <v>04-08-2020</v>
      </c>
      <c r="Z2483" t="str">
        <f>"COS10200804 6671"</f>
        <v>COS10200804 6671</v>
      </c>
    </row>
    <row r="2484" spans="1:26" x14ac:dyDescent="0.25">
      <c r="A2484" t="str">
        <f t="shared" si="1024"/>
        <v>04-08-2020 01:04:24</v>
      </c>
      <c r="B2484" t="str">
        <f>"0000808466"</f>
        <v>0000808466</v>
      </c>
      <c r="C2484" t="str">
        <f t="shared" si="1025"/>
        <v>0000808396</v>
      </c>
      <c r="D2484" t="str">
        <f t="shared" si="1003"/>
        <v>73185</v>
      </c>
      <c r="E2484" t="str">
        <f t="shared" si="1004"/>
        <v>KFH-OPERATIONS DEPARTMENT</v>
      </c>
      <c r="F2484" t="str">
        <f t="shared" si="1005"/>
        <v>IBG</v>
      </c>
      <c r="G2484" t="str">
        <f t="shared" si="1016"/>
        <v>Refund COSHARE 10</v>
      </c>
      <c r="H2484" s="2">
        <v>76.25</v>
      </c>
      <c r="I2484" t="str">
        <f>"NORZELAN BIN ABU BAKAR"</f>
        <v>NORZELAN BIN ABU BAKAR</v>
      </c>
      <c r="J2484" t="str">
        <f t="shared" si="1019"/>
        <v>MAYBANK / MAYBANK ISLAMIC</v>
      </c>
      <c r="K2484" t="str">
        <f>"156084805251"</f>
        <v>156084805251</v>
      </c>
      <c r="L2484" t="str">
        <f t="shared" si="1022"/>
        <v>04-08-2020</v>
      </c>
      <c r="M2484" t="str">
        <f t="shared" si="1022"/>
        <v>04-08-2020</v>
      </c>
      <c r="N2484" t="str">
        <f t="shared" si="1006"/>
        <v>001105018356</v>
      </c>
      <c r="O2484" t="str">
        <f t="shared" si="1007"/>
        <v>MYR</v>
      </c>
      <c r="P2484" t="str">
        <f t="shared" si="1023"/>
        <v>NIL</v>
      </c>
      <c r="Q2484" t="str">
        <f t="shared" si="1023"/>
        <v>NIL</v>
      </c>
      <c r="R2484" t="str">
        <f t="shared" si="1008"/>
        <v>Accepted</v>
      </c>
      <c r="S2484" t="str">
        <f t="shared" si="1009"/>
        <v>Approved</v>
      </c>
      <c r="T2484" t="str">
        <f t="shared" si="1010"/>
        <v>10.20.8.188</v>
      </c>
      <c r="U2484" t="str">
        <f t="shared" si="1011"/>
        <v>AZRAD UMAR BIN SHAARI</v>
      </c>
      <c r="V2484" t="str">
        <f t="shared" si="1012"/>
        <v>FARHANA BINTI MUSTAPA</v>
      </c>
      <c r="W2484" t="str">
        <f t="shared" si="1013"/>
        <v>04-08-2020</v>
      </c>
      <c r="X2484" t="str">
        <f t="shared" si="1014"/>
        <v>RAZIMAH ANSAR AHMAD</v>
      </c>
      <c r="Y2484" t="str">
        <f t="shared" si="1015"/>
        <v>04-08-2020</v>
      </c>
      <c r="Z2484" t="str">
        <f>"COS10200804 6670"</f>
        <v>COS10200804 6670</v>
      </c>
    </row>
    <row r="2485" spans="1:26" x14ac:dyDescent="0.25">
      <c r="A2485" t="str">
        <f t="shared" si="1024"/>
        <v>04-08-2020 01:04:24</v>
      </c>
      <c r="B2485" t="str">
        <f>"0000808465"</f>
        <v>0000808465</v>
      </c>
      <c r="C2485" t="str">
        <f t="shared" si="1025"/>
        <v>0000808396</v>
      </c>
      <c r="D2485" t="str">
        <f t="shared" si="1003"/>
        <v>73185</v>
      </c>
      <c r="E2485" t="str">
        <f t="shared" si="1004"/>
        <v>KFH-OPERATIONS DEPARTMENT</v>
      </c>
      <c r="F2485" t="str">
        <f t="shared" si="1005"/>
        <v>IBG</v>
      </c>
      <c r="G2485" t="str">
        <f t="shared" si="1016"/>
        <v>Refund COSHARE 10</v>
      </c>
      <c r="H2485" s="2">
        <v>915.05</v>
      </c>
      <c r="I2485" t="str">
        <f>"NORZARILAWATI BT ISA"</f>
        <v>NORZARILAWATI BT ISA</v>
      </c>
      <c r="J2485" t="str">
        <f t="shared" si="1019"/>
        <v>MAYBANK / MAYBANK ISLAMIC</v>
      </c>
      <c r="K2485" t="str">
        <f>"162030640405"</f>
        <v>162030640405</v>
      </c>
      <c r="L2485" t="str">
        <f t="shared" si="1022"/>
        <v>04-08-2020</v>
      </c>
      <c r="M2485" t="str">
        <f t="shared" si="1022"/>
        <v>04-08-2020</v>
      </c>
      <c r="N2485" t="str">
        <f t="shared" si="1006"/>
        <v>001105018356</v>
      </c>
      <c r="O2485" t="str">
        <f t="shared" si="1007"/>
        <v>MYR</v>
      </c>
      <c r="P2485" t="str">
        <f t="shared" si="1023"/>
        <v>NIL</v>
      </c>
      <c r="Q2485" t="str">
        <f t="shared" si="1023"/>
        <v>NIL</v>
      </c>
      <c r="R2485" t="str">
        <f t="shared" si="1008"/>
        <v>Accepted</v>
      </c>
      <c r="S2485" t="str">
        <f t="shared" si="1009"/>
        <v>Approved</v>
      </c>
      <c r="T2485" t="str">
        <f t="shared" si="1010"/>
        <v>10.20.8.188</v>
      </c>
      <c r="U2485" t="str">
        <f t="shared" si="1011"/>
        <v>AZRAD UMAR BIN SHAARI</v>
      </c>
      <c r="V2485" t="str">
        <f t="shared" si="1012"/>
        <v>FARHANA BINTI MUSTAPA</v>
      </c>
      <c r="W2485" t="str">
        <f t="shared" si="1013"/>
        <v>04-08-2020</v>
      </c>
      <c r="X2485" t="str">
        <f t="shared" si="1014"/>
        <v>RAZIMAH ANSAR AHMAD</v>
      </c>
      <c r="Y2485" t="str">
        <f t="shared" si="1015"/>
        <v>04-08-2020</v>
      </c>
      <c r="Z2485" t="str">
        <f>"COS10200804 6669"</f>
        <v>COS10200804 6669</v>
      </c>
    </row>
    <row r="2486" spans="1:26" x14ac:dyDescent="0.25">
      <c r="A2486" t="str">
        <f t="shared" si="1024"/>
        <v>04-08-2020 01:04:24</v>
      </c>
      <c r="B2486" t="str">
        <f>"0000808464"</f>
        <v>0000808464</v>
      </c>
      <c r="C2486" t="str">
        <f t="shared" si="1025"/>
        <v>0000808396</v>
      </c>
      <c r="D2486" t="str">
        <f t="shared" si="1003"/>
        <v>73185</v>
      </c>
      <c r="E2486" t="str">
        <f t="shared" si="1004"/>
        <v>KFH-OPERATIONS DEPARTMENT</v>
      </c>
      <c r="F2486" t="str">
        <f t="shared" si="1005"/>
        <v>IBG</v>
      </c>
      <c r="G2486" t="str">
        <f t="shared" si="1016"/>
        <v>Refund COSHARE 10</v>
      </c>
      <c r="H2486" s="2">
        <v>243</v>
      </c>
      <c r="I2486" t="str">
        <f>"NORZARENA BINTI MOHAMED IKBAL"</f>
        <v>NORZARENA BINTI MOHAMED IKBAL</v>
      </c>
      <c r="J2486" t="str">
        <f t="shared" si="1019"/>
        <v>MAYBANK / MAYBANK ISLAMIC</v>
      </c>
      <c r="K2486" t="str">
        <f>"114375003115"</f>
        <v>114375003115</v>
      </c>
      <c r="L2486" t="str">
        <f t="shared" si="1022"/>
        <v>04-08-2020</v>
      </c>
      <c r="M2486" t="str">
        <f t="shared" si="1022"/>
        <v>04-08-2020</v>
      </c>
      <c r="N2486" t="str">
        <f t="shared" si="1006"/>
        <v>001105018356</v>
      </c>
      <c r="O2486" t="str">
        <f t="shared" si="1007"/>
        <v>MYR</v>
      </c>
      <c r="P2486" t="str">
        <f t="shared" si="1023"/>
        <v>NIL</v>
      </c>
      <c r="Q2486" t="str">
        <f t="shared" si="1023"/>
        <v>NIL</v>
      </c>
      <c r="R2486" t="str">
        <f t="shared" si="1008"/>
        <v>Accepted</v>
      </c>
      <c r="S2486" t="str">
        <f t="shared" si="1009"/>
        <v>Approved</v>
      </c>
      <c r="T2486" t="str">
        <f t="shared" si="1010"/>
        <v>10.20.8.188</v>
      </c>
      <c r="U2486" t="str">
        <f t="shared" si="1011"/>
        <v>AZRAD UMAR BIN SHAARI</v>
      </c>
      <c r="V2486" t="str">
        <f t="shared" si="1012"/>
        <v>FARHANA BINTI MUSTAPA</v>
      </c>
      <c r="W2486" t="str">
        <f t="shared" si="1013"/>
        <v>04-08-2020</v>
      </c>
      <c r="X2486" t="str">
        <f t="shared" si="1014"/>
        <v>RAZIMAH ANSAR AHMAD</v>
      </c>
      <c r="Y2486" t="str">
        <f t="shared" si="1015"/>
        <v>04-08-2020</v>
      </c>
      <c r="Z2486" t="str">
        <f>"COS10200804 6668"</f>
        <v>COS10200804 6668</v>
      </c>
    </row>
    <row r="2487" spans="1:26" x14ac:dyDescent="0.25">
      <c r="A2487" t="str">
        <f t="shared" si="1024"/>
        <v>04-08-2020 01:04:24</v>
      </c>
      <c r="B2487" t="str">
        <f>"0000808463"</f>
        <v>0000808463</v>
      </c>
      <c r="C2487" t="str">
        <f t="shared" si="1025"/>
        <v>0000808396</v>
      </c>
      <c r="D2487" t="str">
        <f t="shared" si="1003"/>
        <v>73185</v>
      </c>
      <c r="E2487" t="str">
        <f t="shared" si="1004"/>
        <v>KFH-OPERATIONS DEPARTMENT</v>
      </c>
      <c r="F2487" t="str">
        <f t="shared" si="1005"/>
        <v>IBG</v>
      </c>
      <c r="G2487" t="str">
        <f t="shared" si="1016"/>
        <v>Refund COSHARE 10</v>
      </c>
      <c r="H2487" s="2">
        <v>152</v>
      </c>
      <c r="I2487" t="str">
        <f>"NORZANAWATI BINTI ZAKARIA"</f>
        <v>NORZANAWATI BINTI ZAKARIA</v>
      </c>
      <c r="J2487" t="str">
        <f t="shared" si="1019"/>
        <v>MAYBANK / MAYBANK ISLAMIC</v>
      </c>
      <c r="K2487" t="str">
        <f>"157250050029"</f>
        <v>157250050029</v>
      </c>
      <c r="L2487" t="str">
        <f t="shared" ref="L2487:M2506" si="1026">"04-08-2020"</f>
        <v>04-08-2020</v>
      </c>
      <c r="M2487" t="str">
        <f t="shared" si="1026"/>
        <v>04-08-2020</v>
      </c>
      <c r="N2487" t="str">
        <f t="shared" si="1006"/>
        <v>001105018356</v>
      </c>
      <c r="O2487" t="str">
        <f t="shared" si="1007"/>
        <v>MYR</v>
      </c>
      <c r="P2487" t="str">
        <f t="shared" ref="P2487:Q2506" si="1027">"NIL"</f>
        <v>NIL</v>
      </c>
      <c r="Q2487" t="str">
        <f t="shared" si="1027"/>
        <v>NIL</v>
      </c>
      <c r="R2487" t="str">
        <f t="shared" si="1008"/>
        <v>Accepted</v>
      </c>
      <c r="S2487" t="str">
        <f t="shared" si="1009"/>
        <v>Approved</v>
      </c>
      <c r="T2487" t="str">
        <f t="shared" si="1010"/>
        <v>10.20.8.188</v>
      </c>
      <c r="U2487" t="str">
        <f t="shared" si="1011"/>
        <v>AZRAD UMAR BIN SHAARI</v>
      </c>
      <c r="V2487" t="str">
        <f t="shared" si="1012"/>
        <v>FARHANA BINTI MUSTAPA</v>
      </c>
      <c r="W2487" t="str">
        <f t="shared" si="1013"/>
        <v>04-08-2020</v>
      </c>
      <c r="X2487" t="str">
        <f t="shared" si="1014"/>
        <v>RAZIMAH ANSAR AHMAD</v>
      </c>
      <c r="Y2487" t="str">
        <f t="shared" si="1015"/>
        <v>04-08-2020</v>
      </c>
      <c r="Z2487" t="str">
        <f>"COS10200804 6667"</f>
        <v>COS10200804 6667</v>
      </c>
    </row>
    <row r="2488" spans="1:26" x14ac:dyDescent="0.25">
      <c r="A2488" t="str">
        <f t="shared" si="1024"/>
        <v>04-08-2020 01:04:24</v>
      </c>
      <c r="B2488" t="str">
        <f>"0000808462"</f>
        <v>0000808462</v>
      </c>
      <c r="C2488" t="str">
        <f t="shared" si="1025"/>
        <v>0000808396</v>
      </c>
      <c r="D2488" t="str">
        <f t="shared" si="1003"/>
        <v>73185</v>
      </c>
      <c r="E2488" t="str">
        <f t="shared" si="1004"/>
        <v>KFH-OPERATIONS DEPARTMENT</v>
      </c>
      <c r="F2488" t="str">
        <f t="shared" si="1005"/>
        <v>IBG</v>
      </c>
      <c r="G2488" t="str">
        <f t="shared" si="1016"/>
        <v>Refund COSHARE 10</v>
      </c>
      <c r="H2488" s="2">
        <v>1543</v>
      </c>
      <c r="I2488" t="str">
        <f>"NORZAMRI BIN ABD RAHMAN"</f>
        <v>NORZAMRI BIN ABD RAHMAN</v>
      </c>
      <c r="J2488" t="str">
        <f t="shared" si="1019"/>
        <v>MAYBANK / MAYBANK ISLAMIC</v>
      </c>
      <c r="K2488" t="str">
        <f>"112184030433"</f>
        <v>112184030433</v>
      </c>
      <c r="L2488" t="str">
        <f t="shared" si="1026"/>
        <v>04-08-2020</v>
      </c>
      <c r="M2488" t="str">
        <f t="shared" si="1026"/>
        <v>04-08-2020</v>
      </c>
      <c r="N2488" t="str">
        <f t="shared" si="1006"/>
        <v>001105018356</v>
      </c>
      <c r="O2488" t="str">
        <f t="shared" si="1007"/>
        <v>MYR</v>
      </c>
      <c r="P2488" t="str">
        <f t="shared" si="1027"/>
        <v>NIL</v>
      </c>
      <c r="Q2488" t="str">
        <f t="shared" si="1027"/>
        <v>NIL</v>
      </c>
      <c r="R2488" t="str">
        <f t="shared" si="1008"/>
        <v>Accepted</v>
      </c>
      <c r="S2488" t="str">
        <f t="shared" si="1009"/>
        <v>Approved</v>
      </c>
      <c r="T2488" t="str">
        <f t="shared" si="1010"/>
        <v>10.20.8.188</v>
      </c>
      <c r="U2488" t="str">
        <f t="shared" si="1011"/>
        <v>AZRAD UMAR BIN SHAARI</v>
      </c>
      <c r="V2488" t="str">
        <f t="shared" si="1012"/>
        <v>FARHANA BINTI MUSTAPA</v>
      </c>
      <c r="W2488" t="str">
        <f t="shared" si="1013"/>
        <v>04-08-2020</v>
      </c>
      <c r="X2488" t="str">
        <f t="shared" si="1014"/>
        <v>RAZIMAH ANSAR AHMAD</v>
      </c>
      <c r="Y2488" t="str">
        <f t="shared" si="1015"/>
        <v>04-08-2020</v>
      </c>
      <c r="Z2488" t="str">
        <f>"COS10200804 6666"</f>
        <v>COS10200804 6666</v>
      </c>
    </row>
    <row r="2489" spans="1:26" x14ac:dyDescent="0.25">
      <c r="A2489" t="str">
        <f t="shared" si="1024"/>
        <v>04-08-2020 01:04:24</v>
      </c>
      <c r="B2489" t="str">
        <f>"0000808461"</f>
        <v>0000808461</v>
      </c>
      <c r="C2489" t="str">
        <f t="shared" si="1025"/>
        <v>0000808396</v>
      </c>
      <c r="D2489" t="str">
        <f t="shared" si="1003"/>
        <v>73185</v>
      </c>
      <c r="E2489" t="str">
        <f t="shared" si="1004"/>
        <v>KFH-OPERATIONS DEPARTMENT</v>
      </c>
      <c r="F2489" t="str">
        <f t="shared" si="1005"/>
        <v>IBG</v>
      </c>
      <c r="G2489" t="str">
        <f t="shared" si="1016"/>
        <v>Refund COSHARE 10</v>
      </c>
      <c r="H2489" s="2">
        <v>335.8</v>
      </c>
      <c r="I2489" t="str">
        <f>"NORZALINA BT KHAMIS  HJ MOHAMED GHAZALI"</f>
        <v>NORZALINA BT KHAMIS  HJ MOHAMED GHAZALI</v>
      </c>
      <c r="J2489" t="str">
        <f t="shared" si="1019"/>
        <v>MAYBANK / MAYBANK ISLAMIC</v>
      </c>
      <c r="K2489" t="str">
        <f>"151017031160"</f>
        <v>151017031160</v>
      </c>
      <c r="L2489" t="str">
        <f t="shared" si="1026"/>
        <v>04-08-2020</v>
      </c>
      <c r="M2489" t="str">
        <f t="shared" si="1026"/>
        <v>04-08-2020</v>
      </c>
      <c r="N2489" t="str">
        <f t="shared" si="1006"/>
        <v>001105018356</v>
      </c>
      <c r="O2489" t="str">
        <f t="shared" si="1007"/>
        <v>MYR</v>
      </c>
      <c r="P2489" t="str">
        <f t="shared" si="1027"/>
        <v>NIL</v>
      </c>
      <c r="Q2489" t="str">
        <f t="shared" si="1027"/>
        <v>NIL</v>
      </c>
      <c r="R2489" t="str">
        <f t="shared" si="1008"/>
        <v>Accepted</v>
      </c>
      <c r="S2489" t="str">
        <f t="shared" si="1009"/>
        <v>Approved</v>
      </c>
      <c r="T2489" t="str">
        <f t="shared" si="1010"/>
        <v>10.20.8.188</v>
      </c>
      <c r="U2489" t="str">
        <f t="shared" si="1011"/>
        <v>AZRAD UMAR BIN SHAARI</v>
      </c>
      <c r="V2489" t="str">
        <f t="shared" si="1012"/>
        <v>FARHANA BINTI MUSTAPA</v>
      </c>
      <c r="W2489" t="str">
        <f t="shared" si="1013"/>
        <v>04-08-2020</v>
      </c>
      <c r="X2489" t="str">
        <f t="shared" si="1014"/>
        <v>RAZIMAH ANSAR AHMAD</v>
      </c>
      <c r="Y2489" t="str">
        <f t="shared" si="1015"/>
        <v>04-08-2020</v>
      </c>
      <c r="Z2489" t="str">
        <f>"COS10200804 6665"</f>
        <v>COS10200804 6665</v>
      </c>
    </row>
    <row r="2490" spans="1:26" x14ac:dyDescent="0.25">
      <c r="A2490" t="str">
        <f t="shared" si="1024"/>
        <v>04-08-2020 01:04:24</v>
      </c>
      <c r="B2490" t="str">
        <f>"0000808460"</f>
        <v>0000808460</v>
      </c>
      <c r="C2490" t="str">
        <f t="shared" si="1025"/>
        <v>0000808396</v>
      </c>
      <c r="D2490" t="str">
        <f t="shared" si="1003"/>
        <v>73185</v>
      </c>
      <c r="E2490" t="str">
        <f t="shared" si="1004"/>
        <v>KFH-OPERATIONS DEPARTMENT</v>
      </c>
      <c r="F2490" t="str">
        <f t="shared" si="1005"/>
        <v>IBG</v>
      </c>
      <c r="G2490" t="str">
        <f t="shared" si="1016"/>
        <v>Refund COSHARE 10</v>
      </c>
      <c r="H2490" s="2">
        <v>635.15</v>
      </c>
      <c r="I2490" t="str">
        <f>"NORZAIRIN BINTI NORDIN"</f>
        <v>NORZAIRIN BINTI NORDIN</v>
      </c>
      <c r="J2490" t="str">
        <f t="shared" si="1019"/>
        <v>MAYBANK / MAYBANK ISLAMIC</v>
      </c>
      <c r="K2490" t="str">
        <f>"112223010427"</f>
        <v>112223010427</v>
      </c>
      <c r="L2490" t="str">
        <f t="shared" si="1026"/>
        <v>04-08-2020</v>
      </c>
      <c r="M2490" t="str">
        <f t="shared" si="1026"/>
        <v>04-08-2020</v>
      </c>
      <c r="N2490" t="str">
        <f t="shared" si="1006"/>
        <v>001105018356</v>
      </c>
      <c r="O2490" t="str">
        <f t="shared" si="1007"/>
        <v>MYR</v>
      </c>
      <c r="P2490" t="str">
        <f t="shared" si="1027"/>
        <v>NIL</v>
      </c>
      <c r="Q2490" t="str">
        <f t="shared" si="1027"/>
        <v>NIL</v>
      </c>
      <c r="R2490" t="str">
        <f t="shared" si="1008"/>
        <v>Accepted</v>
      </c>
      <c r="S2490" t="str">
        <f t="shared" si="1009"/>
        <v>Approved</v>
      </c>
      <c r="T2490" t="str">
        <f t="shared" si="1010"/>
        <v>10.20.8.188</v>
      </c>
      <c r="U2490" t="str">
        <f t="shared" si="1011"/>
        <v>AZRAD UMAR BIN SHAARI</v>
      </c>
      <c r="V2490" t="str">
        <f t="shared" si="1012"/>
        <v>FARHANA BINTI MUSTAPA</v>
      </c>
      <c r="W2490" t="str">
        <f t="shared" si="1013"/>
        <v>04-08-2020</v>
      </c>
      <c r="X2490" t="str">
        <f t="shared" si="1014"/>
        <v>RAZIMAH ANSAR AHMAD</v>
      </c>
      <c r="Y2490" t="str">
        <f t="shared" si="1015"/>
        <v>04-08-2020</v>
      </c>
      <c r="Z2490" t="str">
        <f>"COS10200804 6664"</f>
        <v>COS10200804 6664</v>
      </c>
    </row>
    <row r="2491" spans="1:26" x14ac:dyDescent="0.25">
      <c r="A2491" t="str">
        <f t="shared" si="1024"/>
        <v>04-08-2020 01:04:24</v>
      </c>
      <c r="B2491" t="str">
        <f>"0000808459"</f>
        <v>0000808459</v>
      </c>
      <c r="C2491" t="str">
        <f t="shared" si="1025"/>
        <v>0000808396</v>
      </c>
      <c r="D2491" t="str">
        <f t="shared" si="1003"/>
        <v>73185</v>
      </c>
      <c r="E2491" t="str">
        <f t="shared" si="1004"/>
        <v>KFH-OPERATIONS DEPARTMENT</v>
      </c>
      <c r="F2491" t="str">
        <f t="shared" si="1005"/>
        <v>IBG</v>
      </c>
      <c r="G2491" t="str">
        <f t="shared" si="1016"/>
        <v>Refund COSHARE 10</v>
      </c>
      <c r="H2491" s="2">
        <v>251.85</v>
      </c>
      <c r="I2491" t="str">
        <f>"NORZAINURA BINTI MUSTAHAL"</f>
        <v>NORZAINURA BINTI MUSTAHAL</v>
      </c>
      <c r="J2491" t="str">
        <f t="shared" si="1019"/>
        <v>MAYBANK / MAYBANK ISLAMIC</v>
      </c>
      <c r="K2491" t="str">
        <f>"162236568881"</f>
        <v>162236568881</v>
      </c>
      <c r="L2491" t="str">
        <f t="shared" si="1026"/>
        <v>04-08-2020</v>
      </c>
      <c r="M2491" t="str">
        <f t="shared" si="1026"/>
        <v>04-08-2020</v>
      </c>
      <c r="N2491" t="str">
        <f t="shared" si="1006"/>
        <v>001105018356</v>
      </c>
      <c r="O2491" t="str">
        <f t="shared" si="1007"/>
        <v>MYR</v>
      </c>
      <c r="P2491" t="str">
        <f t="shared" si="1027"/>
        <v>NIL</v>
      </c>
      <c r="Q2491" t="str">
        <f t="shared" si="1027"/>
        <v>NIL</v>
      </c>
      <c r="R2491" t="str">
        <f t="shared" si="1008"/>
        <v>Accepted</v>
      </c>
      <c r="S2491" t="str">
        <f t="shared" si="1009"/>
        <v>Approved</v>
      </c>
      <c r="T2491" t="str">
        <f t="shared" si="1010"/>
        <v>10.20.8.188</v>
      </c>
      <c r="U2491" t="str">
        <f t="shared" si="1011"/>
        <v>AZRAD UMAR BIN SHAARI</v>
      </c>
      <c r="V2491" t="str">
        <f t="shared" si="1012"/>
        <v>FARHANA BINTI MUSTAPA</v>
      </c>
      <c r="W2491" t="str">
        <f t="shared" si="1013"/>
        <v>04-08-2020</v>
      </c>
      <c r="X2491" t="str">
        <f t="shared" si="1014"/>
        <v>RAZIMAH ANSAR AHMAD</v>
      </c>
      <c r="Y2491" t="str">
        <f t="shared" si="1015"/>
        <v>04-08-2020</v>
      </c>
      <c r="Z2491" t="str">
        <f>"COS10200804 6663"</f>
        <v>COS10200804 6663</v>
      </c>
    </row>
    <row r="2492" spans="1:26" x14ac:dyDescent="0.25">
      <c r="A2492" t="str">
        <f t="shared" si="1024"/>
        <v>04-08-2020 01:04:24</v>
      </c>
      <c r="B2492" t="str">
        <f>"0000808458"</f>
        <v>0000808458</v>
      </c>
      <c r="C2492" t="str">
        <f t="shared" si="1025"/>
        <v>0000808396</v>
      </c>
      <c r="D2492" t="str">
        <f t="shared" si="1003"/>
        <v>73185</v>
      </c>
      <c r="E2492" t="str">
        <f t="shared" si="1004"/>
        <v>KFH-OPERATIONS DEPARTMENT</v>
      </c>
      <c r="F2492" t="str">
        <f t="shared" si="1005"/>
        <v>IBG</v>
      </c>
      <c r="G2492" t="str">
        <f t="shared" si="1016"/>
        <v>Refund COSHARE 10</v>
      </c>
      <c r="H2492" s="2">
        <v>83.95</v>
      </c>
      <c r="I2492" t="str">
        <f>"NORZAHIDI BIN KAMALUDDIN"</f>
        <v>NORZAHIDI BIN KAMALUDDIN</v>
      </c>
      <c r="J2492" t="str">
        <f t="shared" si="1019"/>
        <v>MAYBANK / MAYBANK ISLAMIC</v>
      </c>
      <c r="K2492" t="str">
        <f>"114013031265"</f>
        <v>114013031265</v>
      </c>
      <c r="L2492" t="str">
        <f t="shared" si="1026"/>
        <v>04-08-2020</v>
      </c>
      <c r="M2492" t="str">
        <f t="shared" si="1026"/>
        <v>04-08-2020</v>
      </c>
      <c r="N2492" t="str">
        <f t="shared" si="1006"/>
        <v>001105018356</v>
      </c>
      <c r="O2492" t="str">
        <f t="shared" si="1007"/>
        <v>MYR</v>
      </c>
      <c r="P2492" t="str">
        <f t="shared" si="1027"/>
        <v>NIL</v>
      </c>
      <c r="Q2492" t="str">
        <f t="shared" si="1027"/>
        <v>NIL</v>
      </c>
      <c r="R2492" t="str">
        <f t="shared" si="1008"/>
        <v>Accepted</v>
      </c>
      <c r="S2492" t="str">
        <f t="shared" si="1009"/>
        <v>Approved</v>
      </c>
      <c r="T2492" t="str">
        <f t="shared" si="1010"/>
        <v>10.20.8.188</v>
      </c>
      <c r="U2492" t="str">
        <f t="shared" si="1011"/>
        <v>AZRAD UMAR BIN SHAARI</v>
      </c>
      <c r="V2492" t="str">
        <f t="shared" si="1012"/>
        <v>FARHANA BINTI MUSTAPA</v>
      </c>
      <c r="W2492" t="str">
        <f t="shared" si="1013"/>
        <v>04-08-2020</v>
      </c>
      <c r="X2492" t="str">
        <f t="shared" si="1014"/>
        <v>RAZIMAH ANSAR AHMAD</v>
      </c>
      <c r="Y2492" t="str">
        <f t="shared" si="1015"/>
        <v>04-08-2020</v>
      </c>
      <c r="Z2492" t="str">
        <f>"COS10200804 6662"</f>
        <v>COS10200804 6662</v>
      </c>
    </row>
    <row r="2493" spans="1:26" x14ac:dyDescent="0.25">
      <c r="A2493" t="str">
        <f t="shared" si="1024"/>
        <v>04-08-2020 01:04:24</v>
      </c>
      <c r="B2493" t="str">
        <f>"0000808457"</f>
        <v>0000808457</v>
      </c>
      <c r="C2493" t="str">
        <f t="shared" si="1025"/>
        <v>0000808396</v>
      </c>
      <c r="D2493" t="str">
        <f t="shared" si="1003"/>
        <v>73185</v>
      </c>
      <c r="E2493" t="str">
        <f t="shared" si="1004"/>
        <v>KFH-OPERATIONS DEPARTMENT</v>
      </c>
      <c r="F2493" t="str">
        <f t="shared" si="1005"/>
        <v>IBG</v>
      </c>
      <c r="G2493" t="str">
        <f t="shared" si="1016"/>
        <v>Refund COSHARE 10</v>
      </c>
      <c r="H2493" s="2">
        <v>84</v>
      </c>
      <c r="I2493" t="str">
        <f>"NORZAHIDI BIN KAMALUDDIN"</f>
        <v>NORZAHIDI BIN KAMALUDDIN</v>
      </c>
      <c r="J2493" t="str">
        <f t="shared" si="1019"/>
        <v>MAYBANK / MAYBANK ISLAMIC</v>
      </c>
      <c r="K2493" t="str">
        <f>"114013031265"</f>
        <v>114013031265</v>
      </c>
      <c r="L2493" t="str">
        <f t="shared" si="1026"/>
        <v>04-08-2020</v>
      </c>
      <c r="M2493" t="str">
        <f t="shared" si="1026"/>
        <v>04-08-2020</v>
      </c>
      <c r="N2493" t="str">
        <f t="shared" si="1006"/>
        <v>001105018356</v>
      </c>
      <c r="O2493" t="str">
        <f t="shared" si="1007"/>
        <v>MYR</v>
      </c>
      <c r="P2493" t="str">
        <f t="shared" si="1027"/>
        <v>NIL</v>
      </c>
      <c r="Q2493" t="str">
        <f t="shared" si="1027"/>
        <v>NIL</v>
      </c>
      <c r="R2493" t="str">
        <f t="shared" si="1008"/>
        <v>Accepted</v>
      </c>
      <c r="S2493" t="str">
        <f t="shared" si="1009"/>
        <v>Approved</v>
      </c>
      <c r="T2493" t="str">
        <f t="shared" si="1010"/>
        <v>10.20.8.188</v>
      </c>
      <c r="U2493" t="str">
        <f t="shared" si="1011"/>
        <v>AZRAD UMAR BIN SHAARI</v>
      </c>
      <c r="V2493" t="str">
        <f t="shared" si="1012"/>
        <v>FARHANA BINTI MUSTAPA</v>
      </c>
      <c r="W2493" t="str">
        <f t="shared" si="1013"/>
        <v>04-08-2020</v>
      </c>
      <c r="X2493" t="str">
        <f t="shared" si="1014"/>
        <v>RAZIMAH ANSAR AHMAD</v>
      </c>
      <c r="Y2493" t="str">
        <f t="shared" si="1015"/>
        <v>04-08-2020</v>
      </c>
      <c r="Z2493" t="str">
        <f>"COS10200804 6661"</f>
        <v>COS10200804 6661</v>
      </c>
    </row>
    <row r="2494" spans="1:26" x14ac:dyDescent="0.25">
      <c r="A2494" t="str">
        <f t="shared" si="1024"/>
        <v>04-08-2020 01:04:24</v>
      </c>
      <c r="B2494" t="str">
        <f>"0000808456"</f>
        <v>0000808456</v>
      </c>
      <c r="C2494" t="str">
        <f t="shared" si="1025"/>
        <v>0000808396</v>
      </c>
      <c r="D2494" t="str">
        <f t="shared" si="1003"/>
        <v>73185</v>
      </c>
      <c r="E2494" t="str">
        <f t="shared" si="1004"/>
        <v>KFH-OPERATIONS DEPARTMENT</v>
      </c>
      <c r="F2494" t="str">
        <f t="shared" si="1005"/>
        <v>IBG</v>
      </c>
      <c r="G2494" t="str">
        <f t="shared" si="1016"/>
        <v>Refund COSHARE 10</v>
      </c>
      <c r="H2494" s="2">
        <v>193.1</v>
      </c>
      <c r="I2494" t="str">
        <f>"NORYANTI BINTI JAMALUDDIN"</f>
        <v>NORYANTI BINTI JAMALUDDIN</v>
      </c>
      <c r="J2494" t="str">
        <f t="shared" si="1019"/>
        <v>MAYBANK / MAYBANK ISLAMIC</v>
      </c>
      <c r="K2494" t="str">
        <f>"158109142521"</f>
        <v>158109142521</v>
      </c>
      <c r="L2494" t="str">
        <f t="shared" si="1026"/>
        <v>04-08-2020</v>
      </c>
      <c r="M2494" t="str">
        <f t="shared" si="1026"/>
        <v>04-08-2020</v>
      </c>
      <c r="N2494" t="str">
        <f t="shared" si="1006"/>
        <v>001105018356</v>
      </c>
      <c r="O2494" t="str">
        <f t="shared" si="1007"/>
        <v>MYR</v>
      </c>
      <c r="P2494" t="str">
        <f t="shared" si="1027"/>
        <v>NIL</v>
      </c>
      <c r="Q2494" t="str">
        <f t="shared" si="1027"/>
        <v>NIL</v>
      </c>
      <c r="R2494" t="str">
        <f t="shared" si="1008"/>
        <v>Accepted</v>
      </c>
      <c r="S2494" t="str">
        <f t="shared" si="1009"/>
        <v>Approved</v>
      </c>
      <c r="T2494" t="str">
        <f t="shared" si="1010"/>
        <v>10.20.8.188</v>
      </c>
      <c r="U2494" t="str">
        <f t="shared" si="1011"/>
        <v>AZRAD UMAR BIN SHAARI</v>
      </c>
      <c r="V2494" t="str">
        <f t="shared" si="1012"/>
        <v>FARHANA BINTI MUSTAPA</v>
      </c>
      <c r="W2494" t="str">
        <f t="shared" si="1013"/>
        <v>04-08-2020</v>
      </c>
      <c r="X2494" t="str">
        <f t="shared" si="1014"/>
        <v>RAZIMAH ANSAR AHMAD</v>
      </c>
      <c r="Y2494" t="str">
        <f t="shared" si="1015"/>
        <v>04-08-2020</v>
      </c>
      <c r="Z2494" t="str">
        <f>"COS10200804 6660"</f>
        <v>COS10200804 6660</v>
      </c>
    </row>
    <row r="2495" spans="1:26" x14ac:dyDescent="0.25">
      <c r="A2495" t="str">
        <f t="shared" si="1024"/>
        <v>04-08-2020 01:04:24</v>
      </c>
      <c r="B2495" t="str">
        <f>"0000808455"</f>
        <v>0000808455</v>
      </c>
      <c r="C2495" t="str">
        <f t="shared" si="1025"/>
        <v>0000808396</v>
      </c>
      <c r="D2495" t="str">
        <f t="shared" si="1003"/>
        <v>73185</v>
      </c>
      <c r="E2495" t="str">
        <f t="shared" si="1004"/>
        <v>KFH-OPERATIONS DEPARTMENT</v>
      </c>
      <c r="F2495" t="str">
        <f t="shared" si="1005"/>
        <v>IBG</v>
      </c>
      <c r="G2495" t="str">
        <f t="shared" si="1016"/>
        <v>Refund COSHARE 10</v>
      </c>
      <c r="H2495" s="2">
        <v>134.35</v>
      </c>
      <c r="I2495" t="str">
        <f>"NORWIHAMI BINTI HAMIYUDDIN"</f>
        <v>NORWIHAMI BINTI HAMIYUDDIN</v>
      </c>
      <c r="J2495" t="str">
        <f t="shared" si="1019"/>
        <v>MAYBANK / MAYBANK ISLAMIC</v>
      </c>
      <c r="K2495" t="str">
        <f>"101106032659"</f>
        <v>101106032659</v>
      </c>
      <c r="L2495" t="str">
        <f t="shared" si="1026"/>
        <v>04-08-2020</v>
      </c>
      <c r="M2495" t="str">
        <f t="shared" si="1026"/>
        <v>04-08-2020</v>
      </c>
      <c r="N2495" t="str">
        <f t="shared" si="1006"/>
        <v>001105018356</v>
      </c>
      <c r="O2495" t="str">
        <f t="shared" si="1007"/>
        <v>MYR</v>
      </c>
      <c r="P2495" t="str">
        <f t="shared" si="1027"/>
        <v>NIL</v>
      </c>
      <c r="Q2495" t="str">
        <f t="shared" si="1027"/>
        <v>NIL</v>
      </c>
      <c r="R2495" t="str">
        <f t="shared" si="1008"/>
        <v>Accepted</v>
      </c>
      <c r="S2495" t="str">
        <f t="shared" si="1009"/>
        <v>Approved</v>
      </c>
      <c r="T2495" t="str">
        <f t="shared" si="1010"/>
        <v>10.20.8.188</v>
      </c>
      <c r="U2495" t="str">
        <f t="shared" si="1011"/>
        <v>AZRAD UMAR BIN SHAARI</v>
      </c>
      <c r="V2495" t="str">
        <f t="shared" si="1012"/>
        <v>FARHANA BINTI MUSTAPA</v>
      </c>
      <c r="W2495" t="str">
        <f t="shared" si="1013"/>
        <v>04-08-2020</v>
      </c>
      <c r="X2495" t="str">
        <f t="shared" si="1014"/>
        <v>RAZIMAH ANSAR AHMAD</v>
      </c>
      <c r="Y2495" t="str">
        <f t="shared" si="1015"/>
        <v>04-08-2020</v>
      </c>
      <c r="Z2495" t="str">
        <f>"COS10200804 6659"</f>
        <v>COS10200804 6659</v>
      </c>
    </row>
    <row r="2496" spans="1:26" x14ac:dyDescent="0.25">
      <c r="A2496" t="str">
        <f t="shared" si="1024"/>
        <v>04-08-2020 01:04:24</v>
      </c>
      <c r="B2496" t="str">
        <f>"0000808454"</f>
        <v>0000808454</v>
      </c>
      <c r="C2496" t="str">
        <f t="shared" si="1025"/>
        <v>0000808396</v>
      </c>
      <c r="D2496" t="str">
        <f t="shared" si="1003"/>
        <v>73185</v>
      </c>
      <c r="E2496" t="str">
        <f t="shared" si="1004"/>
        <v>KFH-OPERATIONS DEPARTMENT</v>
      </c>
      <c r="F2496" t="str">
        <f t="shared" si="1005"/>
        <v>IBG</v>
      </c>
      <c r="G2496" t="str">
        <f t="shared" si="1016"/>
        <v>Refund COSHARE 10</v>
      </c>
      <c r="H2496" s="2">
        <v>73.2</v>
      </c>
      <c r="I2496" t="str">
        <f>"NORWATI BINTI AB RAHMAN"</f>
        <v>NORWATI BINTI AB RAHMAN</v>
      </c>
      <c r="J2496" t="str">
        <f t="shared" si="1019"/>
        <v>MAYBANK / MAYBANK ISLAMIC</v>
      </c>
      <c r="K2496" t="str">
        <f>"101076027085"</f>
        <v>101076027085</v>
      </c>
      <c r="L2496" t="str">
        <f t="shared" si="1026"/>
        <v>04-08-2020</v>
      </c>
      <c r="M2496" t="str">
        <f t="shared" si="1026"/>
        <v>04-08-2020</v>
      </c>
      <c r="N2496" t="str">
        <f t="shared" si="1006"/>
        <v>001105018356</v>
      </c>
      <c r="O2496" t="str">
        <f t="shared" si="1007"/>
        <v>MYR</v>
      </c>
      <c r="P2496" t="str">
        <f t="shared" si="1027"/>
        <v>NIL</v>
      </c>
      <c r="Q2496" t="str">
        <f t="shared" si="1027"/>
        <v>NIL</v>
      </c>
      <c r="R2496" t="str">
        <f t="shared" si="1008"/>
        <v>Accepted</v>
      </c>
      <c r="S2496" t="str">
        <f t="shared" si="1009"/>
        <v>Approved</v>
      </c>
      <c r="T2496" t="str">
        <f t="shared" si="1010"/>
        <v>10.20.8.188</v>
      </c>
      <c r="U2496" t="str">
        <f t="shared" si="1011"/>
        <v>AZRAD UMAR BIN SHAARI</v>
      </c>
      <c r="V2496" t="str">
        <f t="shared" si="1012"/>
        <v>FARHANA BINTI MUSTAPA</v>
      </c>
      <c r="W2496" t="str">
        <f t="shared" si="1013"/>
        <v>04-08-2020</v>
      </c>
      <c r="X2496" t="str">
        <f t="shared" si="1014"/>
        <v>RAZIMAH ANSAR AHMAD</v>
      </c>
      <c r="Y2496" t="str">
        <f t="shared" si="1015"/>
        <v>04-08-2020</v>
      </c>
      <c r="Z2496" t="str">
        <f>"COS10200804 6658"</f>
        <v>COS10200804 6658</v>
      </c>
    </row>
    <row r="2497" spans="1:26" x14ac:dyDescent="0.25">
      <c r="A2497" t="str">
        <f t="shared" si="1024"/>
        <v>04-08-2020 01:04:24</v>
      </c>
      <c r="B2497" t="str">
        <f>"0000808453"</f>
        <v>0000808453</v>
      </c>
      <c r="C2497" t="str">
        <f t="shared" si="1025"/>
        <v>0000808396</v>
      </c>
      <c r="D2497" t="str">
        <f t="shared" si="1003"/>
        <v>73185</v>
      </c>
      <c r="E2497" t="str">
        <f t="shared" si="1004"/>
        <v>KFH-OPERATIONS DEPARTMENT</v>
      </c>
      <c r="F2497" t="str">
        <f t="shared" si="1005"/>
        <v>IBG</v>
      </c>
      <c r="G2497" t="str">
        <f t="shared" si="1016"/>
        <v>Refund COSHARE 10</v>
      </c>
      <c r="H2497" s="2">
        <v>1158.5</v>
      </c>
      <c r="I2497" t="str">
        <f>"NORULAZLINA BINTI AMD YUSOF"</f>
        <v>NORULAZLINA BINTI AMD YUSOF</v>
      </c>
      <c r="J2497" t="str">
        <f t="shared" si="1019"/>
        <v>MAYBANK / MAYBANK ISLAMIC</v>
      </c>
      <c r="K2497" t="str">
        <f>"108113515072"</f>
        <v>108113515072</v>
      </c>
      <c r="L2497" t="str">
        <f t="shared" si="1026"/>
        <v>04-08-2020</v>
      </c>
      <c r="M2497" t="str">
        <f t="shared" si="1026"/>
        <v>04-08-2020</v>
      </c>
      <c r="N2497" t="str">
        <f t="shared" si="1006"/>
        <v>001105018356</v>
      </c>
      <c r="O2497" t="str">
        <f t="shared" si="1007"/>
        <v>MYR</v>
      </c>
      <c r="P2497" t="str">
        <f t="shared" si="1027"/>
        <v>NIL</v>
      </c>
      <c r="Q2497" t="str">
        <f t="shared" si="1027"/>
        <v>NIL</v>
      </c>
      <c r="R2497" t="str">
        <f t="shared" si="1008"/>
        <v>Accepted</v>
      </c>
      <c r="S2497" t="str">
        <f t="shared" si="1009"/>
        <v>Approved</v>
      </c>
      <c r="T2497" t="str">
        <f t="shared" si="1010"/>
        <v>10.20.8.188</v>
      </c>
      <c r="U2497" t="str">
        <f t="shared" si="1011"/>
        <v>AZRAD UMAR BIN SHAARI</v>
      </c>
      <c r="V2497" t="str">
        <f t="shared" si="1012"/>
        <v>FARHANA BINTI MUSTAPA</v>
      </c>
      <c r="W2497" t="str">
        <f t="shared" si="1013"/>
        <v>04-08-2020</v>
      </c>
      <c r="X2497" t="str">
        <f t="shared" si="1014"/>
        <v>RAZIMAH ANSAR AHMAD</v>
      </c>
      <c r="Y2497" t="str">
        <f t="shared" si="1015"/>
        <v>04-08-2020</v>
      </c>
      <c r="Z2497" t="str">
        <f>"COS10200804 6657"</f>
        <v>COS10200804 6657</v>
      </c>
    </row>
    <row r="2498" spans="1:26" x14ac:dyDescent="0.25">
      <c r="A2498" t="str">
        <f t="shared" si="1024"/>
        <v>04-08-2020 01:04:24</v>
      </c>
      <c r="B2498" t="str">
        <f>"0000808452"</f>
        <v>0000808452</v>
      </c>
      <c r="C2498" t="str">
        <f t="shared" si="1025"/>
        <v>0000808396</v>
      </c>
      <c r="D2498" t="str">
        <f t="shared" si="1003"/>
        <v>73185</v>
      </c>
      <c r="E2498" t="str">
        <f t="shared" si="1004"/>
        <v>KFH-OPERATIONS DEPARTMENT</v>
      </c>
      <c r="F2498" t="str">
        <f t="shared" si="1005"/>
        <v>IBG</v>
      </c>
      <c r="G2498" t="str">
        <f t="shared" si="1016"/>
        <v>Refund COSHARE 10</v>
      </c>
      <c r="H2498" s="2">
        <v>251.85</v>
      </c>
      <c r="I2498" t="str">
        <f>"NORSYAZAIMAN BIN SAMSUDEN"</f>
        <v>NORSYAZAIMAN BIN SAMSUDEN</v>
      </c>
      <c r="J2498" t="str">
        <f t="shared" si="1019"/>
        <v>MAYBANK / MAYBANK ISLAMIC</v>
      </c>
      <c r="K2498" t="str">
        <f>"164409533928"</f>
        <v>164409533928</v>
      </c>
      <c r="L2498" t="str">
        <f t="shared" si="1026"/>
        <v>04-08-2020</v>
      </c>
      <c r="M2498" t="str">
        <f t="shared" si="1026"/>
        <v>04-08-2020</v>
      </c>
      <c r="N2498" t="str">
        <f t="shared" si="1006"/>
        <v>001105018356</v>
      </c>
      <c r="O2498" t="str">
        <f t="shared" si="1007"/>
        <v>MYR</v>
      </c>
      <c r="P2498" t="str">
        <f t="shared" si="1027"/>
        <v>NIL</v>
      </c>
      <c r="Q2498" t="str">
        <f t="shared" si="1027"/>
        <v>NIL</v>
      </c>
      <c r="R2498" t="str">
        <f t="shared" si="1008"/>
        <v>Accepted</v>
      </c>
      <c r="S2498" t="str">
        <f t="shared" si="1009"/>
        <v>Approved</v>
      </c>
      <c r="T2498" t="str">
        <f t="shared" si="1010"/>
        <v>10.20.8.188</v>
      </c>
      <c r="U2498" t="str">
        <f t="shared" si="1011"/>
        <v>AZRAD UMAR BIN SHAARI</v>
      </c>
      <c r="V2498" t="str">
        <f t="shared" si="1012"/>
        <v>FARHANA BINTI MUSTAPA</v>
      </c>
      <c r="W2498" t="str">
        <f t="shared" si="1013"/>
        <v>04-08-2020</v>
      </c>
      <c r="X2498" t="str">
        <f t="shared" si="1014"/>
        <v>RAZIMAH ANSAR AHMAD</v>
      </c>
      <c r="Y2498" t="str">
        <f t="shared" si="1015"/>
        <v>04-08-2020</v>
      </c>
      <c r="Z2498" t="str">
        <f>"COS10200804 6656"</f>
        <v>COS10200804 6656</v>
      </c>
    </row>
    <row r="2499" spans="1:26" x14ac:dyDescent="0.25">
      <c r="A2499" t="str">
        <f t="shared" si="1024"/>
        <v>04-08-2020 01:04:24</v>
      </c>
      <c r="B2499" t="str">
        <f>"0000808451"</f>
        <v>0000808451</v>
      </c>
      <c r="C2499" t="str">
        <f t="shared" si="1025"/>
        <v>0000808396</v>
      </c>
      <c r="D2499" t="str">
        <f t="shared" si="1003"/>
        <v>73185</v>
      </c>
      <c r="E2499" t="str">
        <f t="shared" si="1004"/>
        <v>KFH-OPERATIONS DEPARTMENT</v>
      </c>
      <c r="F2499" t="str">
        <f t="shared" si="1005"/>
        <v>IBG</v>
      </c>
      <c r="G2499" t="str">
        <f t="shared" si="1016"/>
        <v>Refund COSHARE 10</v>
      </c>
      <c r="H2499" s="2">
        <v>151.15</v>
      </c>
      <c r="I2499" t="str">
        <f>"NORSYAMSIAH BINTI ZULKIFLE"</f>
        <v>NORSYAMSIAH BINTI ZULKIFLE</v>
      </c>
      <c r="J2499" t="str">
        <f t="shared" si="1019"/>
        <v>MAYBANK / MAYBANK ISLAMIC</v>
      </c>
      <c r="K2499" t="str">
        <f>"162179547499"</f>
        <v>162179547499</v>
      </c>
      <c r="L2499" t="str">
        <f t="shared" si="1026"/>
        <v>04-08-2020</v>
      </c>
      <c r="M2499" t="str">
        <f t="shared" si="1026"/>
        <v>04-08-2020</v>
      </c>
      <c r="N2499" t="str">
        <f t="shared" si="1006"/>
        <v>001105018356</v>
      </c>
      <c r="O2499" t="str">
        <f t="shared" si="1007"/>
        <v>MYR</v>
      </c>
      <c r="P2499" t="str">
        <f t="shared" si="1027"/>
        <v>NIL</v>
      </c>
      <c r="Q2499" t="str">
        <f t="shared" si="1027"/>
        <v>NIL</v>
      </c>
      <c r="R2499" t="str">
        <f t="shared" si="1008"/>
        <v>Accepted</v>
      </c>
      <c r="S2499" t="str">
        <f t="shared" si="1009"/>
        <v>Approved</v>
      </c>
      <c r="T2499" t="str">
        <f t="shared" si="1010"/>
        <v>10.20.8.188</v>
      </c>
      <c r="U2499" t="str">
        <f t="shared" si="1011"/>
        <v>AZRAD UMAR BIN SHAARI</v>
      </c>
      <c r="V2499" t="str">
        <f t="shared" si="1012"/>
        <v>FARHANA BINTI MUSTAPA</v>
      </c>
      <c r="W2499" t="str">
        <f t="shared" si="1013"/>
        <v>04-08-2020</v>
      </c>
      <c r="X2499" t="str">
        <f t="shared" si="1014"/>
        <v>RAZIMAH ANSAR AHMAD</v>
      </c>
      <c r="Y2499" t="str">
        <f t="shared" si="1015"/>
        <v>04-08-2020</v>
      </c>
      <c r="Z2499" t="str">
        <f>"COS10200804 6655"</f>
        <v>COS10200804 6655</v>
      </c>
    </row>
    <row r="2500" spans="1:26" x14ac:dyDescent="0.25">
      <c r="A2500" t="str">
        <f t="shared" si="1024"/>
        <v>04-08-2020 01:04:24</v>
      </c>
      <c r="B2500" t="str">
        <f>"0000808450"</f>
        <v>0000808450</v>
      </c>
      <c r="C2500" t="str">
        <f t="shared" si="1025"/>
        <v>0000808396</v>
      </c>
      <c r="D2500" t="str">
        <f t="shared" si="1003"/>
        <v>73185</v>
      </c>
      <c r="E2500" t="str">
        <f t="shared" si="1004"/>
        <v>KFH-OPERATIONS DEPARTMENT</v>
      </c>
      <c r="F2500" t="str">
        <f t="shared" si="1005"/>
        <v>IBG</v>
      </c>
      <c r="G2500" t="str">
        <f t="shared" si="1016"/>
        <v>Refund COSHARE 10</v>
      </c>
      <c r="H2500" s="2">
        <v>117.55</v>
      </c>
      <c r="I2500" t="str">
        <f>"NORSYALEELAWATI BT MANSOR MUTULILI"</f>
        <v>NORSYALEELAWATI BT MANSOR MUTULILI</v>
      </c>
      <c r="J2500" t="str">
        <f t="shared" si="1019"/>
        <v>MAYBANK / MAYBANK ISLAMIC</v>
      </c>
      <c r="K2500" t="str">
        <f>"157027222673"</f>
        <v>157027222673</v>
      </c>
      <c r="L2500" t="str">
        <f t="shared" si="1026"/>
        <v>04-08-2020</v>
      </c>
      <c r="M2500" t="str">
        <f t="shared" si="1026"/>
        <v>04-08-2020</v>
      </c>
      <c r="N2500" t="str">
        <f t="shared" si="1006"/>
        <v>001105018356</v>
      </c>
      <c r="O2500" t="str">
        <f t="shared" si="1007"/>
        <v>MYR</v>
      </c>
      <c r="P2500" t="str">
        <f t="shared" si="1027"/>
        <v>NIL</v>
      </c>
      <c r="Q2500" t="str">
        <f t="shared" si="1027"/>
        <v>NIL</v>
      </c>
      <c r="R2500" t="str">
        <f t="shared" si="1008"/>
        <v>Accepted</v>
      </c>
      <c r="S2500" t="str">
        <f t="shared" si="1009"/>
        <v>Approved</v>
      </c>
      <c r="T2500" t="str">
        <f t="shared" si="1010"/>
        <v>10.20.8.188</v>
      </c>
      <c r="U2500" t="str">
        <f t="shared" si="1011"/>
        <v>AZRAD UMAR BIN SHAARI</v>
      </c>
      <c r="V2500" t="str">
        <f t="shared" si="1012"/>
        <v>FARHANA BINTI MUSTAPA</v>
      </c>
      <c r="W2500" t="str">
        <f t="shared" si="1013"/>
        <v>04-08-2020</v>
      </c>
      <c r="X2500" t="str">
        <f t="shared" si="1014"/>
        <v>RAZIMAH ANSAR AHMAD</v>
      </c>
      <c r="Y2500" t="str">
        <f t="shared" si="1015"/>
        <v>04-08-2020</v>
      </c>
      <c r="Z2500" t="str">
        <f>"COS10200804 6654"</f>
        <v>COS10200804 6654</v>
      </c>
    </row>
    <row r="2501" spans="1:26" x14ac:dyDescent="0.25">
      <c r="A2501" t="str">
        <f t="shared" si="1024"/>
        <v>04-08-2020 01:04:24</v>
      </c>
      <c r="B2501" t="str">
        <f>"0000808449"</f>
        <v>0000808449</v>
      </c>
      <c r="C2501" t="str">
        <f t="shared" si="1025"/>
        <v>0000808396</v>
      </c>
      <c r="D2501" t="str">
        <f t="shared" si="1003"/>
        <v>73185</v>
      </c>
      <c r="E2501" t="str">
        <f t="shared" si="1004"/>
        <v>KFH-OPERATIONS DEPARTMENT</v>
      </c>
      <c r="F2501" t="str">
        <f t="shared" si="1005"/>
        <v>IBG</v>
      </c>
      <c r="G2501" t="str">
        <f t="shared" si="1016"/>
        <v>Refund COSHARE 10</v>
      </c>
      <c r="H2501" s="2">
        <v>713.6</v>
      </c>
      <c r="I2501" t="str">
        <f>"NORSYAHRULSERI BINTI MANSOR"</f>
        <v>NORSYAHRULSERI BINTI MANSOR</v>
      </c>
      <c r="J2501" t="str">
        <f t="shared" si="1019"/>
        <v>MAYBANK / MAYBANK ISLAMIC</v>
      </c>
      <c r="K2501" t="str">
        <f>"164342257067"</f>
        <v>164342257067</v>
      </c>
      <c r="L2501" t="str">
        <f t="shared" si="1026"/>
        <v>04-08-2020</v>
      </c>
      <c r="M2501" t="str">
        <f t="shared" si="1026"/>
        <v>04-08-2020</v>
      </c>
      <c r="N2501" t="str">
        <f t="shared" si="1006"/>
        <v>001105018356</v>
      </c>
      <c r="O2501" t="str">
        <f t="shared" si="1007"/>
        <v>MYR</v>
      </c>
      <c r="P2501" t="str">
        <f t="shared" si="1027"/>
        <v>NIL</v>
      </c>
      <c r="Q2501" t="str">
        <f t="shared" si="1027"/>
        <v>NIL</v>
      </c>
      <c r="R2501" t="str">
        <f t="shared" si="1008"/>
        <v>Accepted</v>
      </c>
      <c r="S2501" t="str">
        <f t="shared" si="1009"/>
        <v>Approved</v>
      </c>
      <c r="T2501" t="str">
        <f t="shared" si="1010"/>
        <v>10.20.8.188</v>
      </c>
      <c r="U2501" t="str">
        <f t="shared" si="1011"/>
        <v>AZRAD UMAR BIN SHAARI</v>
      </c>
      <c r="V2501" t="str">
        <f t="shared" si="1012"/>
        <v>FARHANA BINTI MUSTAPA</v>
      </c>
      <c r="W2501" t="str">
        <f t="shared" si="1013"/>
        <v>04-08-2020</v>
      </c>
      <c r="X2501" t="str">
        <f t="shared" si="1014"/>
        <v>RAZIMAH ANSAR AHMAD</v>
      </c>
      <c r="Y2501" t="str">
        <f t="shared" si="1015"/>
        <v>04-08-2020</v>
      </c>
      <c r="Z2501" t="str">
        <f>"COS10200804 6653"</f>
        <v>COS10200804 6653</v>
      </c>
    </row>
    <row r="2502" spans="1:26" x14ac:dyDescent="0.25">
      <c r="A2502" t="str">
        <f t="shared" si="1024"/>
        <v>04-08-2020 01:04:24</v>
      </c>
      <c r="B2502" t="str">
        <f>"0000808448"</f>
        <v>0000808448</v>
      </c>
      <c r="C2502" t="str">
        <f t="shared" si="1025"/>
        <v>0000808396</v>
      </c>
      <c r="D2502" t="str">
        <f t="shared" si="1003"/>
        <v>73185</v>
      </c>
      <c r="E2502" t="str">
        <f t="shared" si="1004"/>
        <v>KFH-OPERATIONS DEPARTMENT</v>
      </c>
      <c r="F2502" t="str">
        <f t="shared" si="1005"/>
        <v>IBG</v>
      </c>
      <c r="G2502" t="str">
        <f t="shared" si="1016"/>
        <v>Refund COSHARE 10</v>
      </c>
      <c r="H2502" s="2">
        <v>1485.95</v>
      </c>
      <c r="I2502" t="str">
        <f>"NORSUHANA BINTI NORDIN"</f>
        <v>NORSUHANA BINTI NORDIN</v>
      </c>
      <c r="J2502" t="str">
        <f t="shared" si="1019"/>
        <v>MAYBANK / MAYBANK ISLAMIC</v>
      </c>
      <c r="K2502" t="str">
        <f>"153010192206"</f>
        <v>153010192206</v>
      </c>
      <c r="L2502" t="str">
        <f t="shared" si="1026"/>
        <v>04-08-2020</v>
      </c>
      <c r="M2502" t="str">
        <f t="shared" si="1026"/>
        <v>04-08-2020</v>
      </c>
      <c r="N2502" t="str">
        <f t="shared" si="1006"/>
        <v>001105018356</v>
      </c>
      <c r="O2502" t="str">
        <f t="shared" si="1007"/>
        <v>MYR</v>
      </c>
      <c r="P2502" t="str">
        <f t="shared" si="1027"/>
        <v>NIL</v>
      </c>
      <c r="Q2502" t="str">
        <f t="shared" si="1027"/>
        <v>NIL</v>
      </c>
      <c r="R2502" t="str">
        <f t="shared" si="1008"/>
        <v>Accepted</v>
      </c>
      <c r="S2502" t="str">
        <f t="shared" si="1009"/>
        <v>Approved</v>
      </c>
      <c r="T2502" t="str">
        <f t="shared" si="1010"/>
        <v>10.20.8.188</v>
      </c>
      <c r="U2502" t="str">
        <f t="shared" si="1011"/>
        <v>AZRAD UMAR BIN SHAARI</v>
      </c>
      <c r="V2502" t="str">
        <f t="shared" si="1012"/>
        <v>FARHANA BINTI MUSTAPA</v>
      </c>
      <c r="W2502" t="str">
        <f t="shared" si="1013"/>
        <v>04-08-2020</v>
      </c>
      <c r="X2502" t="str">
        <f t="shared" si="1014"/>
        <v>RAZIMAH ANSAR AHMAD</v>
      </c>
      <c r="Y2502" t="str">
        <f t="shared" si="1015"/>
        <v>04-08-2020</v>
      </c>
      <c r="Z2502" t="str">
        <f>"COS10200804 6652"</f>
        <v>COS10200804 6652</v>
      </c>
    </row>
    <row r="2503" spans="1:26" x14ac:dyDescent="0.25">
      <c r="A2503" t="str">
        <f t="shared" si="1024"/>
        <v>04-08-2020 01:04:24</v>
      </c>
      <c r="B2503" t="str">
        <f>"0000808447"</f>
        <v>0000808447</v>
      </c>
      <c r="C2503" t="str">
        <f t="shared" si="1025"/>
        <v>0000808396</v>
      </c>
      <c r="D2503" t="str">
        <f t="shared" ref="D2503:D2566" si="1028">"73185"</f>
        <v>73185</v>
      </c>
      <c r="E2503" t="str">
        <f t="shared" ref="E2503:E2566" si="1029">"KFH-OPERATIONS DEPARTMENT"</f>
        <v>KFH-OPERATIONS DEPARTMENT</v>
      </c>
      <c r="F2503" t="str">
        <f t="shared" ref="F2503:F2566" si="1030">"IBG"</f>
        <v>IBG</v>
      </c>
      <c r="G2503" t="str">
        <f t="shared" si="1016"/>
        <v>Refund COSHARE 10</v>
      </c>
      <c r="H2503" s="2">
        <v>873.1</v>
      </c>
      <c r="I2503" t="str">
        <f>"NORSILAWATI BINTI JAMAL LADIN"</f>
        <v>NORSILAWATI BINTI JAMAL LADIN</v>
      </c>
      <c r="J2503" t="str">
        <f t="shared" si="1019"/>
        <v>MAYBANK / MAYBANK ISLAMIC</v>
      </c>
      <c r="K2503" t="str">
        <f>"157410085480"</f>
        <v>157410085480</v>
      </c>
      <c r="L2503" t="str">
        <f t="shared" si="1026"/>
        <v>04-08-2020</v>
      </c>
      <c r="M2503" t="str">
        <f t="shared" si="1026"/>
        <v>04-08-2020</v>
      </c>
      <c r="N2503" t="str">
        <f t="shared" ref="N2503:N2566" si="1031">"001105018356"</f>
        <v>001105018356</v>
      </c>
      <c r="O2503" t="str">
        <f t="shared" ref="O2503:O2566" si="1032">"MYR"</f>
        <v>MYR</v>
      </c>
      <c r="P2503" t="str">
        <f t="shared" si="1027"/>
        <v>NIL</v>
      </c>
      <c r="Q2503" t="str">
        <f t="shared" si="1027"/>
        <v>NIL</v>
      </c>
      <c r="R2503" t="str">
        <f t="shared" ref="R2503:R2566" si="1033">"Accepted"</f>
        <v>Accepted</v>
      </c>
      <c r="S2503" t="str">
        <f t="shared" ref="S2503:S2566" si="1034">"Approved"</f>
        <v>Approved</v>
      </c>
      <c r="T2503" t="str">
        <f t="shared" ref="T2503:T2566" si="1035">"10.20.8.188"</f>
        <v>10.20.8.188</v>
      </c>
      <c r="U2503" t="str">
        <f t="shared" ref="U2503:U2566" si="1036">"AZRAD UMAR BIN SHAARI"</f>
        <v>AZRAD UMAR BIN SHAARI</v>
      </c>
      <c r="V2503" t="str">
        <f t="shared" ref="V2503:V2566" si="1037">"FARHANA BINTI MUSTAPA"</f>
        <v>FARHANA BINTI MUSTAPA</v>
      </c>
      <c r="W2503" t="str">
        <f t="shared" ref="W2503:W2566" si="1038">"04-08-2020"</f>
        <v>04-08-2020</v>
      </c>
      <c r="X2503" t="str">
        <f t="shared" ref="X2503:X2566" si="1039">"RAZIMAH ANSAR AHMAD"</f>
        <v>RAZIMAH ANSAR AHMAD</v>
      </c>
      <c r="Y2503" t="str">
        <f t="shared" ref="Y2503:Y2566" si="1040">"04-08-2020"</f>
        <v>04-08-2020</v>
      </c>
      <c r="Z2503" t="str">
        <f>"COS10200804 6651"</f>
        <v>COS10200804 6651</v>
      </c>
    </row>
    <row r="2504" spans="1:26" x14ac:dyDescent="0.25">
      <c r="A2504" t="str">
        <f t="shared" si="1024"/>
        <v>04-08-2020 01:04:24</v>
      </c>
      <c r="B2504" t="str">
        <f>"0000808446"</f>
        <v>0000808446</v>
      </c>
      <c r="C2504" t="str">
        <f t="shared" si="1025"/>
        <v>0000808396</v>
      </c>
      <c r="D2504" t="str">
        <f t="shared" si="1028"/>
        <v>73185</v>
      </c>
      <c r="E2504" t="str">
        <f t="shared" si="1029"/>
        <v>KFH-OPERATIONS DEPARTMENT</v>
      </c>
      <c r="F2504" t="str">
        <f t="shared" si="1030"/>
        <v>IBG</v>
      </c>
      <c r="G2504" t="str">
        <f t="shared" si="1016"/>
        <v>Refund COSHARE 10</v>
      </c>
      <c r="H2504" s="2">
        <v>419.75</v>
      </c>
      <c r="I2504" t="str">
        <f>"NORSHUHADA BINTI MANSOR"</f>
        <v>NORSHUHADA BINTI MANSOR</v>
      </c>
      <c r="J2504" t="str">
        <f t="shared" si="1019"/>
        <v>MAYBANK / MAYBANK ISLAMIC</v>
      </c>
      <c r="K2504" t="str">
        <f>"151146552467"</f>
        <v>151146552467</v>
      </c>
      <c r="L2504" t="str">
        <f t="shared" si="1026"/>
        <v>04-08-2020</v>
      </c>
      <c r="M2504" t="str">
        <f t="shared" si="1026"/>
        <v>04-08-2020</v>
      </c>
      <c r="N2504" t="str">
        <f t="shared" si="1031"/>
        <v>001105018356</v>
      </c>
      <c r="O2504" t="str">
        <f t="shared" si="1032"/>
        <v>MYR</v>
      </c>
      <c r="P2504" t="str">
        <f t="shared" si="1027"/>
        <v>NIL</v>
      </c>
      <c r="Q2504" t="str">
        <f t="shared" si="1027"/>
        <v>NIL</v>
      </c>
      <c r="R2504" t="str">
        <f t="shared" si="1033"/>
        <v>Accepted</v>
      </c>
      <c r="S2504" t="str">
        <f t="shared" si="1034"/>
        <v>Approved</v>
      </c>
      <c r="T2504" t="str">
        <f t="shared" si="1035"/>
        <v>10.20.8.188</v>
      </c>
      <c r="U2504" t="str">
        <f t="shared" si="1036"/>
        <v>AZRAD UMAR BIN SHAARI</v>
      </c>
      <c r="V2504" t="str">
        <f t="shared" si="1037"/>
        <v>FARHANA BINTI MUSTAPA</v>
      </c>
      <c r="W2504" t="str">
        <f t="shared" si="1038"/>
        <v>04-08-2020</v>
      </c>
      <c r="X2504" t="str">
        <f t="shared" si="1039"/>
        <v>RAZIMAH ANSAR AHMAD</v>
      </c>
      <c r="Y2504" t="str">
        <f t="shared" si="1040"/>
        <v>04-08-2020</v>
      </c>
      <c r="Z2504" t="str">
        <f>"COS10200804 6650"</f>
        <v>COS10200804 6650</v>
      </c>
    </row>
    <row r="2505" spans="1:26" x14ac:dyDescent="0.25">
      <c r="A2505" t="str">
        <f t="shared" si="1024"/>
        <v>04-08-2020 01:04:24</v>
      </c>
      <c r="B2505" t="str">
        <f>"0000808445"</f>
        <v>0000808445</v>
      </c>
      <c r="C2505" t="str">
        <f t="shared" si="1025"/>
        <v>0000808396</v>
      </c>
      <c r="D2505" t="str">
        <f t="shared" si="1028"/>
        <v>73185</v>
      </c>
      <c r="E2505" t="str">
        <f t="shared" si="1029"/>
        <v>KFH-OPERATIONS DEPARTMENT</v>
      </c>
      <c r="F2505" t="str">
        <f t="shared" si="1030"/>
        <v>IBG</v>
      </c>
      <c r="G2505" t="str">
        <f t="shared" si="1016"/>
        <v>Refund COSHARE 10</v>
      </c>
      <c r="H2505" s="2">
        <v>767</v>
      </c>
      <c r="I2505" t="str">
        <f>"NORSHUHADA BINTI HASHIM"</f>
        <v>NORSHUHADA BINTI HASHIM</v>
      </c>
      <c r="J2505" t="str">
        <f t="shared" si="1019"/>
        <v>MAYBANK / MAYBANK ISLAMIC</v>
      </c>
      <c r="K2505" t="str">
        <f>"152023016857"</f>
        <v>152023016857</v>
      </c>
      <c r="L2505" t="str">
        <f t="shared" si="1026"/>
        <v>04-08-2020</v>
      </c>
      <c r="M2505" t="str">
        <f t="shared" si="1026"/>
        <v>04-08-2020</v>
      </c>
      <c r="N2505" t="str">
        <f t="shared" si="1031"/>
        <v>001105018356</v>
      </c>
      <c r="O2505" t="str">
        <f t="shared" si="1032"/>
        <v>MYR</v>
      </c>
      <c r="P2505" t="str">
        <f t="shared" si="1027"/>
        <v>NIL</v>
      </c>
      <c r="Q2505" t="str">
        <f t="shared" si="1027"/>
        <v>NIL</v>
      </c>
      <c r="R2505" t="str">
        <f t="shared" si="1033"/>
        <v>Accepted</v>
      </c>
      <c r="S2505" t="str">
        <f t="shared" si="1034"/>
        <v>Approved</v>
      </c>
      <c r="T2505" t="str">
        <f t="shared" si="1035"/>
        <v>10.20.8.188</v>
      </c>
      <c r="U2505" t="str">
        <f t="shared" si="1036"/>
        <v>AZRAD UMAR BIN SHAARI</v>
      </c>
      <c r="V2505" t="str">
        <f t="shared" si="1037"/>
        <v>FARHANA BINTI MUSTAPA</v>
      </c>
      <c r="W2505" t="str">
        <f t="shared" si="1038"/>
        <v>04-08-2020</v>
      </c>
      <c r="X2505" t="str">
        <f t="shared" si="1039"/>
        <v>RAZIMAH ANSAR AHMAD</v>
      </c>
      <c r="Y2505" t="str">
        <f t="shared" si="1040"/>
        <v>04-08-2020</v>
      </c>
      <c r="Z2505" t="str">
        <f>"COS10200804 6649"</f>
        <v>COS10200804 6649</v>
      </c>
    </row>
    <row r="2506" spans="1:26" x14ac:dyDescent="0.25">
      <c r="A2506" t="str">
        <f t="shared" si="1024"/>
        <v>04-08-2020 01:04:24</v>
      </c>
      <c r="B2506" t="str">
        <f>"0000808444"</f>
        <v>0000808444</v>
      </c>
      <c r="C2506" t="str">
        <f t="shared" si="1025"/>
        <v>0000808396</v>
      </c>
      <c r="D2506" t="str">
        <f t="shared" si="1028"/>
        <v>73185</v>
      </c>
      <c r="E2506" t="str">
        <f t="shared" si="1029"/>
        <v>KFH-OPERATIONS DEPARTMENT</v>
      </c>
      <c r="F2506" t="str">
        <f t="shared" si="1030"/>
        <v>IBG</v>
      </c>
      <c r="G2506" t="str">
        <f t="shared" si="1016"/>
        <v>Refund COSHARE 10</v>
      </c>
      <c r="H2506" s="2">
        <v>109.15</v>
      </c>
      <c r="I2506" t="str">
        <f>"NORSHARINA BINTI MIN"</f>
        <v>NORSHARINA BINTI MIN</v>
      </c>
      <c r="J2506" t="str">
        <f t="shared" si="1019"/>
        <v>MAYBANK / MAYBANK ISLAMIC</v>
      </c>
      <c r="K2506" t="str">
        <f>"106062093733"</f>
        <v>106062093733</v>
      </c>
      <c r="L2506" t="str">
        <f t="shared" si="1026"/>
        <v>04-08-2020</v>
      </c>
      <c r="M2506" t="str">
        <f t="shared" si="1026"/>
        <v>04-08-2020</v>
      </c>
      <c r="N2506" t="str">
        <f t="shared" si="1031"/>
        <v>001105018356</v>
      </c>
      <c r="O2506" t="str">
        <f t="shared" si="1032"/>
        <v>MYR</v>
      </c>
      <c r="P2506" t="str">
        <f t="shared" si="1027"/>
        <v>NIL</v>
      </c>
      <c r="Q2506" t="str">
        <f t="shared" si="1027"/>
        <v>NIL</v>
      </c>
      <c r="R2506" t="str">
        <f t="shared" si="1033"/>
        <v>Accepted</v>
      </c>
      <c r="S2506" t="str">
        <f t="shared" si="1034"/>
        <v>Approved</v>
      </c>
      <c r="T2506" t="str">
        <f t="shared" si="1035"/>
        <v>10.20.8.188</v>
      </c>
      <c r="U2506" t="str">
        <f t="shared" si="1036"/>
        <v>AZRAD UMAR BIN SHAARI</v>
      </c>
      <c r="V2506" t="str">
        <f t="shared" si="1037"/>
        <v>FARHANA BINTI MUSTAPA</v>
      </c>
      <c r="W2506" t="str">
        <f t="shared" si="1038"/>
        <v>04-08-2020</v>
      </c>
      <c r="X2506" t="str">
        <f t="shared" si="1039"/>
        <v>RAZIMAH ANSAR AHMAD</v>
      </c>
      <c r="Y2506" t="str">
        <f t="shared" si="1040"/>
        <v>04-08-2020</v>
      </c>
      <c r="Z2506" t="str">
        <f>"COS10200804 6648"</f>
        <v>COS10200804 6648</v>
      </c>
    </row>
    <row r="2507" spans="1:26" x14ac:dyDescent="0.25">
      <c r="A2507" t="str">
        <f t="shared" si="1024"/>
        <v>04-08-2020 01:04:24</v>
      </c>
      <c r="B2507" t="str">
        <f>"0000808443"</f>
        <v>0000808443</v>
      </c>
      <c r="C2507" t="str">
        <f t="shared" si="1025"/>
        <v>0000808396</v>
      </c>
      <c r="D2507" t="str">
        <f t="shared" si="1028"/>
        <v>73185</v>
      </c>
      <c r="E2507" t="str">
        <f t="shared" si="1029"/>
        <v>KFH-OPERATIONS DEPARTMENT</v>
      </c>
      <c r="F2507" t="str">
        <f t="shared" si="1030"/>
        <v>IBG</v>
      </c>
      <c r="G2507" t="str">
        <f t="shared" si="1016"/>
        <v>Refund COSHARE 10</v>
      </c>
      <c r="H2507" s="2">
        <v>1375.25</v>
      </c>
      <c r="I2507" t="str">
        <f>"NORSHAM BINTI HASAN"</f>
        <v>NORSHAM BINTI HASAN</v>
      </c>
      <c r="J2507" t="str">
        <f t="shared" si="1019"/>
        <v>MAYBANK / MAYBANK ISLAMIC</v>
      </c>
      <c r="K2507" t="str">
        <f>"154026490717"</f>
        <v>154026490717</v>
      </c>
      <c r="L2507" t="str">
        <f t="shared" ref="L2507:M2526" si="1041">"04-08-2020"</f>
        <v>04-08-2020</v>
      </c>
      <c r="M2507" t="str">
        <f t="shared" si="1041"/>
        <v>04-08-2020</v>
      </c>
      <c r="N2507" t="str">
        <f t="shared" si="1031"/>
        <v>001105018356</v>
      </c>
      <c r="O2507" t="str">
        <f t="shared" si="1032"/>
        <v>MYR</v>
      </c>
      <c r="P2507" t="str">
        <f t="shared" ref="P2507:Q2526" si="1042">"NIL"</f>
        <v>NIL</v>
      </c>
      <c r="Q2507" t="str">
        <f t="shared" si="1042"/>
        <v>NIL</v>
      </c>
      <c r="R2507" t="str">
        <f t="shared" si="1033"/>
        <v>Accepted</v>
      </c>
      <c r="S2507" t="str">
        <f t="shared" si="1034"/>
        <v>Approved</v>
      </c>
      <c r="T2507" t="str">
        <f t="shared" si="1035"/>
        <v>10.20.8.188</v>
      </c>
      <c r="U2507" t="str">
        <f t="shared" si="1036"/>
        <v>AZRAD UMAR BIN SHAARI</v>
      </c>
      <c r="V2507" t="str">
        <f t="shared" si="1037"/>
        <v>FARHANA BINTI MUSTAPA</v>
      </c>
      <c r="W2507" t="str">
        <f t="shared" si="1038"/>
        <v>04-08-2020</v>
      </c>
      <c r="X2507" t="str">
        <f t="shared" si="1039"/>
        <v>RAZIMAH ANSAR AHMAD</v>
      </c>
      <c r="Y2507" t="str">
        <f t="shared" si="1040"/>
        <v>04-08-2020</v>
      </c>
      <c r="Z2507" t="str">
        <f>"COS10200804 6647"</f>
        <v>COS10200804 6647</v>
      </c>
    </row>
    <row r="2508" spans="1:26" x14ac:dyDescent="0.25">
      <c r="A2508" t="str">
        <f t="shared" si="1024"/>
        <v>04-08-2020 01:04:24</v>
      </c>
      <c r="B2508" t="str">
        <f>"0000808442"</f>
        <v>0000808442</v>
      </c>
      <c r="C2508" t="str">
        <f t="shared" si="1025"/>
        <v>0000808396</v>
      </c>
      <c r="D2508" t="str">
        <f t="shared" si="1028"/>
        <v>73185</v>
      </c>
      <c r="E2508" t="str">
        <f t="shared" si="1029"/>
        <v>KFH-OPERATIONS DEPARTMENT</v>
      </c>
      <c r="F2508" t="str">
        <f t="shared" si="1030"/>
        <v>IBG</v>
      </c>
      <c r="G2508" t="str">
        <f t="shared" ref="G2508:G2571" si="1043">"Refund COSHARE 10"</f>
        <v>Refund COSHARE 10</v>
      </c>
      <c r="H2508" s="2">
        <v>117.55</v>
      </c>
      <c r="I2508" t="str">
        <f>"NORSHALIZA BINTI ABU BAKAR"</f>
        <v>NORSHALIZA BINTI ABU BAKAR</v>
      </c>
      <c r="J2508" t="str">
        <f t="shared" si="1019"/>
        <v>MAYBANK / MAYBANK ISLAMIC</v>
      </c>
      <c r="K2508" t="str">
        <f>"157091381092"</f>
        <v>157091381092</v>
      </c>
      <c r="L2508" t="str">
        <f t="shared" si="1041"/>
        <v>04-08-2020</v>
      </c>
      <c r="M2508" t="str">
        <f t="shared" si="1041"/>
        <v>04-08-2020</v>
      </c>
      <c r="N2508" t="str">
        <f t="shared" si="1031"/>
        <v>001105018356</v>
      </c>
      <c r="O2508" t="str">
        <f t="shared" si="1032"/>
        <v>MYR</v>
      </c>
      <c r="P2508" t="str">
        <f t="shared" si="1042"/>
        <v>NIL</v>
      </c>
      <c r="Q2508" t="str">
        <f t="shared" si="1042"/>
        <v>NIL</v>
      </c>
      <c r="R2508" t="str">
        <f t="shared" si="1033"/>
        <v>Accepted</v>
      </c>
      <c r="S2508" t="str">
        <f t="shared" si="1034"/>
        <v>Approved</v>
      </c>
      <c r="T2508" t="str">
        <f t="shared" si="1035"/>
        <v>10.20.8.188</v>
      </c>
      <c r="U2508" t="str">
        <f t="shared" si="1036"/>
        <v>AZRAD UMAR BIN SHAARI</v>
      </c>
      <c r="V2508" t="str">
        <f t="shared" si="1037"/>
        <v>FARHANA BINTI MUSTAPA</v>
      </c>
      <c r="W2508" t="str">
        <f t="shared" si="1038"/>
        <v>04-08-2020</v>
      </c>
      <c r="X2508" t="str">
        <f t="shared" si="1039"/>
        <v>RAZIMAH ANSAR AHMAD</v>
      </c>
      <c r="Y2508" t="str">
        <f t="shared" si="1040"/>
        <v>04-08-2020</v>
      </c>
      <c r="Z2508" t="str">
        <f>"COS10200804 6646"</f>
        <v>COS10200804 6646</v>
      </c>
    </row>
    <row r="2509" spans="1:26" x14ac:dyDescent="0.25">
      <c r="A2509" t="str">
        <f t="shared" si="1024"/>
        <v>04-08-2020 01:04:24</v>
      </c>
      <c r="B2509" t="str">
        <f>"0000808441"</f>
        <v>0000808441</v>
      </c>
      <c r="C2509" t="str">
        <f t="shared" si="1025"/>
        <v>0000808396</v>
      </c>
      <c r="D2509" t="str">
        <f t="shared" si="1028"/>
        <v>73185</v>
      </c>
      <c r="E2509" t="str">
        <f t="shared" si="1029"/>
        <v>KFH-OPERATIONS DEPARTMENT</v>
      </c>
      <c r="F2509" t="str">
        <f t="shared" si="1030"/>
        <v>IBG</v>
      </c>
      <c r="G2509" t="str">
        <f t="shared" si="1043"/>
        <v>Refund COSHARE 10</v>
      </c>
      <c r="H2509" s="2">
        <v>646.5</v>
      </c>
      <c r="I2509" t="str">
        <f>"NORSHAKINA BINTI MAHAMAD  MAHAMUD"</f>
        <v>NORSHAKINA BINTI MAHAMAD  MAHAMUD</v>
      </c>
      <c r="J2509" t="str">
        <f t="shared" si="1019"/>
        <v>MAYBANK / MAYBANK ISLAMIC</v>
      </c>
      <c r="K2509" t="str">
        <f>"166010180136"</f>
        <v>166010180136</v>
      </c>
      <c r="L2509" t="str">
        <f t="shared" si="1041"/>
        <v>04-08-2020</v>
      </c>
      <c r="M2509" t="str">
        <f t="shared" si="1041"/>
        <v>04-08-2020</v>
      </c>
      <c r="N2509" t="str">
        <f t="shared" si="1031"/>
        <v>001105018356</v>
      </c>
      <c r="O2509" t="str">
        <f t="shared" si="1032"/>
        <v>MYR</v>
      </c>
      <c r="P2509" t="str">
        <f t="shared" si="1042"/>
        <v>NIL</v>
      </c>
      <c r="Q2509" t="str">
        <f t="shared" si="1042"/>
        <v>NIL</v>
      </c>
      <c r="R2509" t="str">
        <f t="shared" si="1033"/>
        <v>Accepted</v>
      </c>
      <c r="S2509" t="str">
        <f t="shared" si="1034"/>
        <v>Approved</v>
      </c>
      <c r="T2509" t="str">
        <f t="shared" si="1035"/>
        <v>10.20.8.188</v>
      </c>
      <c r="U2509" t="str">
        <f t="shared" si="1036"/>
        <v>AZRAD UMAR BIN SHAARI</v>
      </c>
      <c r="V2509" t="str">
        <f t="shared" si="1037"/>
        <v>FARHANA BINTI MUSTAPA</v>
      </c>
      <c r="W2509" t="str">
        <f t="shared" si="1038"/>
        <v>04-08-2020</v>
      </c>
      <c r="X2509" t="str">
        <f t="shared" si="1039"/>
        <v>RAZIMAH ANSAR AHMAD</v>
      </c>
      <c r="Y2509" t="str">
        <f t="shared" si="1040"/>
        <v>04-08-2020</v>
      </c>
      <c r="Z2509" t="str">
        <f>"COS10200804 6645"</f>
        <v>COS10200804 6645</v>
      </c>
    </row>
    <row r="2510" spans="1:26" x14ac:dyDescent="0.25">
      <c r="A2510" t="str">
        <f t="shared" si="1024"/>
        <v>04-08-2020 01:04:24</v>
      </c>
      <c r="B2510" t="str">
        <f>"0000808440"</f>
        <v>0000808440</v>
      </c>
      <c r="C2510" t="str">
        <f t="shared" si="1025"/>
        <v>0000808396</v>
      </c>
      <c r="D2510" t="str">
        <f t="shared" si="1028"/>
        <v>73185</v>
      </c>
      <c r="E2510" t="str">
        <f t="shared" si="1029"/>
        <v>KFH-OPERATIONS DEPARTMENT</v>
      </c>
      <c r="F2510" t="str">
        <f t="shared" si="1030"/>
        <v>IBG</v>
      </c>
      <c r="G2510" t="str">
        <f t="shared" si="1043"/>
        <v>Refund COSHARE 10</v>
      </c>
      <c r="H2510" s="2">
        <v>1679</v>
      </c>
      <c r="I2510" t="str">
        <f>"NORSHAHRIZAN BINTI MOHD SHAH"</f>
        <v>NORSHAHRIZAN BINTI MOHD SHAH</v>
      </c>
      <c r="J2510" t="str">
        <f t="shared" si="1019"/>
        <v>MAYBANK / MAYBANK ISLAMIC</v>
      </c>
      <c r="K2510" t="str">
        <f>"112174509267"</f>
        <v>112174509267</v>
      </c>
      <c r="L2510" t="str">
        <f t="shared" si="1041"/>
        <v>04-08-2020</v>
      </c>
      <c r="M2510" t="str">
        <f t="shared" si="1041"/>
        <v>04-08-2020</v>
      </c>
      <c r="N2510" t="str">
        <f t="shared" si="1031"/>
        <v>001105018356</v>
      </c>
      <c r="O2510" t="str">
        <f t="shared" si="1032"/>
        <v>MYR</v>
      </c>
      <c r="P2510" t="str">
        <f t="shared" si="1042"/>
        <v>NIL</v>
      </c>
      <c r="Q2510" t="str">
        <f t="shared" si="1042"/>
        <v>NIL</v>
      </c>
      <c r="R2510" t="str">
        <f t="shared" si="1033"/>
        <v>Accepted</v>
      </c>
      <c r="S2510" t="str">
        <f t="shared" si="1034"/>
        <v>Approved</v>
      </c>
      <c r="T2510" t="str">
        <f t="shared" si="1035"/>
        <v>10.20.8.188</v>
      </c>
      <c r="U2510" t="str">
        <f t="shared" si="1036"/>
        <v>AZRAD UMAR BIN SHAARI</v>
      </c>
      <c r="V2510" t="str">
        <f t="shared" si="1037"/>
        <v>FARHANA BINTI MUSTAPA</v>
      </c>
      <c r="W2510" t="str">
        <f t="shared" si="1038"/>
        <v>04-08-2020</v>
      </c>
      <c r="X2510" t="str">
        <f t="shared" si="1039"/>
        <v>RAZIMAH ANSAR AHMAD</v>
      </c>
      <c r="Y2510" t="str">
        <f t="shared" si="1040"/>
        <v>04-08-2020</v>
      </c>
      <c r="Z2510" t="str">
        <f>"COS10200804 6644"</f>
        <v>COS10200804 6644</v>
      </c>
    </row>
    <row r="2511" spans="1:26" x14ac:dyDescent="0.25">
      <c r="A2511" t="str">
        <f t="shared" si="1024"/>
        <v>04-08-2020 01:04:24</v>
      </c>
      <c r="B2511" t="str">
        <f>"0000808439"</f>
        <v>0000808439</v>
      </c>
      <c r="C2511" t="str">
        <f t="shared" si="1025"/>
        <v>0000808396</v>
      </c>
      <c r="D2511" t="str">
        <f t="shared" si="1028"/>
        <v>73185</v>
      </c>
      <c r="E2511" t="str">
        <f t="shared" si="1029"/>
        <v>KFH-OPERATIONS DEPARTMENT</v>
      </c>
      <c r="F2511" t="str">
        <f t="shared" si="1030"/>
        <v>IBG</v>
      </c>
      <c r="G2511" t="str">
        <f t="shared" si="1043"/>
        <v>Refund COSHARE 10</v>
      </c>
      <c r="H2511" s="2">
        <v>1175.3</v>
      </c>
      <c r="I2511" t="str">
        <f>"NORSHAHADAH BINTI ABD RAHMAN"</f>
        <v>NORSHAHADAH BINTI ABD RAHMAN</v>
      </c>
      <c r="J2511" t="str">
        <f t="shared" si="1019"/>
        <v>MAYBANK / MAYBANK ISLAMIC</v>
      </c>
      <c r="K2511" t="str">
        <f>"156048231602"</f>
        <v>156048231602</v>
      </c>
      <c r="L2511" t="str">
        <f t="shared" si="1041"/>
        <v>04-08-2020</v>
      </c>
      <c r="M2511" t="str">
        <f t="shared" si="1041"/>
        <v>04-08-2020</v>
      </c>
      <c r="N2511" t="str">
        <f t="shared" si="1031"/>
        <v>001105018356</v>
      </c>
      <c r="O2511" t="str">
        <f t="shared" si="1032"/>
        <v>MYR</v>
      </c>
      <c r="P2511" t="str">
        <f t="shared" si="1042"/>
        <v>NIL</v>
      </c>
      <c r="Q2511" t="str">
        <f t="shared" si="1042"/>
        <v>NIL</v>
      </c>
      <c r="R2511" t="str">
        <f t="shared" si="1033"/>
        <v>Accepted</v>
      </c>
      <c r="S2511" t="str">
        <f t="shared" si="1034"/>
        <v>Approved</v>
      </c>
      <c r="T2511" t="str">
        <f t="shared" si="1035"/>
        <v>10.20.8.188</v>
      </c>
      <c r="U2511" t="str">
        <f t="shared" si="1036"/>
        <v>AZRAD UMAR BIN SHAARI</v>
      </c>
      <c r="V2511" t="str">
        <f t="shared" si="1037"/>
        <v>FARHANA BINTI MUSTAPA</v>
      </c>
      <c r="W2511" t="str">
        <f t="shared" si="1038"/>
        <v>04-08-2020</v>
      </c>
      <c r="X2511" t="str">
        <f t="shared" si="1039"/>
        <v>RAZIMAH ANSAR AHMAD</v>
      </c>
      <c r="Y2511" t="str">
        <f t="shared" si="1040"/>
        <v>04-08-2020</v>
      </c>
      <c r="Z2511" t="str">
        <f>"COS10200804 6643"</f>
        <v>COS10200804 6643</v>
      </c>
    </row>
    <row r="2512" spans="1:26" x14ac:dyDescent="0.25">
      <c r="A2512" t="str">
        <f t="shared" si="1024"/>
        <v>04-08-2020 01:04:24</v>
      </c>
      <c r="B2512" t="str">
        <f>"0000808438"</f>
        <v>0000808438</v>
      </c>
      <c r="C2512" t="str">
        <f t="shared" si="1025"/>
        <v>0000808396</v>
      </c>
      <c r="D2512" t="str">
        <f t="shared" si="1028"/>
        <v>73185</v>
      </c>
      <c r="E2512" t="str">
        <f t="shared" si="1029"/>
        <v>KFH-OPERATIONS DEPARTMENT</v>
      </c>
      <c r="F2512" t="str">
        <f t="shared" si="1030"/>
        <v>IBG</v>
      </c>
      <c r="G2512" t="str">
        <f t="shared" si="1043"/>
        <v>Refund COSHARE 10</v>
      </c>
      <c r="H2512" s="2">
        <v>125.95</v>
      </c>
      <c r="I2512" t="str">
        <f>"NORSHADIANA BINTI SHAHARIN"</f>
        <v>NORSHADIANA BINTI SHAHARIN</v>
      </c>
      <c r="J2512" t="str">
        <f t="shared" si="1019"/>
        <v>MAYBANK / MAYBANK ISLAMIC</v>
      </c>
      <c r="K2512" t="str">
        <f>"151204133781"</f>
        <v>151204133781</v>
      </c>
      <c r="L2512" t="str">
        <f t="shared" si="1041"/>
        <v>04-08-2020</v>
      </c>
      <c r="M2512" t="str">
        <f t="shared" si="1041"/>
        <v>04-08-2020</v>
      </c>
      <c r="N2512" t="str">
        <f t="shared" si="1031"/>
        <v>001105018356</v>
      </c>
      <c r="O2512" t="str">
        <f t="shared" si="1032"/>
        <v>MYR</v>
      </c>
      <c r="P2512" t="str">
        <f t="shared" si="1042"/>
        <v>NIL</v>
      </c>
      <c r="Q2512" t="str">
        <f t="shared" si="1042"/>
        <v>NIL</v>
      </c>
      <c r="R2512" t="str">
        <f t="shared" si="1033"/>
        <v>Accepted</v>
      </c>
      <c r="S2512" t="str">
        <f t="shared" si="1034"/>
        <v>Approved</v>
      </c>
      <c r="T2512" t="str">
        <f t="shared" si="1035"/>
        <v>10.20.8.188</v>
      </c>
      <c r="U2512" t="str">
        <f t="shared" si="1036"/>
        <v>AZRAD UMAR BIN SHAARI</v>
      </c>
      <c r="V2512" t="str">
        <f t="shared" si="1037"/>
        <v>FARHANA BINTI MUSTAPA</v>
      </c>
      <c r="W2512" t="str">
        <f t="shared" si="1038"/>
        <v>04-08-2020</v>
      </c>
      <c r="X2512" t="str">
        <f t="shared" si="1039"/>
        <v>RAZIMAH ANSAR AHMAD</v>
      </c>
      <c r="Y2512" t="str">
        <f t="shared" si="1040"/>
        <v>04-08-2020</v>
      </c>
      <c r="Z2512" t="str">
        <f>"COS10200804 6642"</f>
        <v>COS10200804 6642</v>
      </c>
    </row>
    <row r="2513" spans="1:26" x14ac:dyDescent="0.25">
      <c r="A2513" t="str">
        <f t="shared" si="1024"/>
        <v>04-08-2020 01:04:24</v>
      </c>
      <c r="B2513" t="str">
        <f>"0000808437"</f>
        <v>0000808437</v>
      </c>
      <c r="C2513" t="str">
        <f t="shared" si="1025"/>
        <v>0000808396</v>
      </c>
      <c r="D2513" t="str">
        <f t="shared" si="1028"/>
        <v>73185</v>
      </c>
      <c r="E2513" t="str">
        <f t="shared" si="1029"/>
        <v>KFH-OPERATIONS DEPARTMENT</v>
      </c>
      <c r="F2513" t="str">
        <f t="shared" si="1030"/>
        <v>IBG</v>
      </c>
      <c r="G2513" t="str">
        <f t="shared" si="1043"/>
        <v>Refund COSHARE 10</v>
      </c>
      <c r="H2513" s="2">
        <v>1034.4000000000001</v>
      </c>
      <c r="I2513" t="str">
        <f>"NORSAMIRA BT SAMSUDIN"</f>
        <v>NORSAMIRA BT SAMSUDIN</v>
      </c>
      <c r="J2513" t="str">
        <f t="shared" ref="J2513:J2576" si="1044">"MAYBANK / MAYBANK ISLAMIC"</f>
        <v>MAYBANK / MAYBANK ISLAMIC</v>
      </c>
      <c r="K2513" t="str">
        <f>"159012618284"</f>
        <v>159012618284</v>
      </c>
      <c r="L2513" t="str">
        <f t="shared" si="1041"/>
        <v>04-08-2020</v>
      </c>
      <c r="M2513" t="str">
        <f t="shared" si="1041"/>
        <v>04-08-2020</v>
      </c>
      <c r="N2513" t="str">
        <f t="shared" si="1031"/>
        <v>001105018356</v>
      </c>
      <c r="O2513" t="str">
        <f t="shared" si="1032"/>
        <v>MYR</v>
      </c>
      <c r="P2513" t="str">
        <f t="shared" si="1042"/>
        <v>NIL</v>
      </c>
      <c r="Q2513" t="str">
        <f t="shared" si="1042"/>
        <v>NIL</v>
      </c>
      <c r="R2513" t="str">
        <f t="shared" si="1033"/>
        <v>Accepted</v>
      </c>
      <c r="S2513" t="str">
        <f t="shared" si="1034"/>
        <v>Approved</v>
      </c>
      <c r="T2513" t="str">
        <f t="shared" si="1035"/>
        <v>10.20.8.188</v>
      </c>
      <c r="U2513" t="str">
        <f t="shared" si="1036"/>
        <v>AZRAD UMAR BIN SHAARI</v>
      </c>
      <c r="V2513" t="str">
        <f t="shared" si="1037"/>
        <v>FARHANA BINTI MUSTAPA</v>
      </c>
      <c r="W2513" t="str">
        <f t="shared" si="1038"/>
        <v>04-08-2020</v>
      </c>
      <c r="X2513" t="str">
        <f t="shared" si="1039"/>
        <v>RAZIMAH ANSAR AHMAD</v>
      </c>
      <c r="Y2513" t="str">
        <f t="shared" si="1040"/>
        <v>04-08-2020</v>
      </c>
      <c r="Z2513" t="str">
        <f>"COS10200804 6641"</f>
        <v>COS10200804 6641</v>
      </c>
    </row>
    <row r="2514" spans="1:26" x14ac:dyDescent="0.25">
      <c r="A2514" t="str">
        <f t="shared" ref="A2514:A2545" si="1045">"04-08-2020 01:04:24"</f>
        <v>04-08-2020 01:04:24</v>
      </c>
      <c r="B2514" t="str">
        <f>"0000808436"</f>
        <v>0000808436</v>
      </c>
      <c r="C2514" t="str">
        <f t="shared" ref="C2514:C2545" si="1046">"0000808396"</f>
        <v>0000808396</v>
      </c>
      <c r="D2514" t="str">
        <f t="shared" si="1028"/>
        <v>73185</v>
      </c>
      <c r="E2514" t="str">
        <f t="shared" si="1029"/>
        <v>KFH-OPERATIONS DEPARTMENT</v>
      </c>
      <c r="F2514" t="str">
        <f t="shared" si="1030"/>
        <v>IBG</v>
      </c>
      <c r="G2514" t="str">
        <f t="shared" si="1043"/>
        <v>Refund COSHARE 10</v>
      </c>
      <c r="H2514" s="2">
        <v>1259.25</v>
      </c>
      <c r="I2514" t="str">
        <f>"NORSALMIZA BINTI SABTO"</f>
        <v>NORSALMIZA BINTI SABTO</v>
      </c>
      <c r="J2514" t="str">
        <f t="shared" si="1044"/>
        <v>MAYBANK / MAYBANK ISLAMIC</v>
      </c>
      <c r="K2514" t="str">
        <f>"151061174900"</f>
        <v>151061174900</v>
      </c>
      <c r="L2514" t="str">
        <f t="shared" si="1041"/>
        <v>04-08-2020</v>
      </c>
      <c r="M2514" t="str">
        <f t="shared" si="1041"/>
        <v>04-08-2020</v>
      </c>
      <c r="N2514" t="str">
        <f t="shared" si="1031"/>
        <v>001105018356</v>
      </c>
      <c r="O2514" t="str">
        <f t="shared" si="1032"/>
        <v>MYR</v>
      </c>
      <c r="P2514" t="str">
        <f t="shared" si="1042"/>
        <v>NIL</v>
      </c>
      <c r="Q2514" t="str">
        <f t="shared" si="1042"/>
        <v>NIL</v>
      </c>
      <c r="R2514" t="str">
        <f t="shared" si="1033"/>
        <v>Accepted</v>
      </c>
      <c r="S2514" t="str">
        <f t="shared" si="1034"/>
        <v>Approved</v>
      </c>
      <c r="T2514" t="str">
        <f t="shared" si="1035"/>
        <v>10.20.8.188</v>
      </c>
      <c r="U2514" t="str">
        <f t="shared" si="1036"/>
        <v>AZRAD UMAR BIN SHAARI</v>
      </c>
      <c r="V2514" t="str">
        <f t="shared" si="1037"/>
        <v>FARHANA BINTI MUSTAPA</v>
      </c>
      <c r="W2514" t="str">
        <f t="shared" si="1038"/>
        <v>04-08-2020</v>
      </c>
      <c r="X2514" t="str">
        <f t="shared" si="1039"/>
        <v>RAZIMAH ANSAR AHMAD</v>
      </c>
      <c r="Y2514" t="str">
        <f t="shared" si="1040"/>
        <v>04-08-2020</v>
      </c>
      <c r="Z2514" t="str">
        <f>"COS10200804 6640"</f>
        <v>COS10200804 6640</v>
      </c>
    </row>
    <row r="2515" spans="1:26" x14ac:dyDescent="0.25">
      <c r="A2515" t="str">
        <f t="shared" si="1045"/>
        <v>04-08-2020 01:04:24</v>
      </c>
      <c r="B2515" t="str">
        <f>"0000808435"</f>
        <v>0000808435</v>
      </c>
      <c r="C2515" t="str">
        <f t="shared" si="1046"/>
        <v>0000808396</v>
      </c>
      <c r="D2515" t="str">
        <f t="shared" si="1028"/>
        <v>73185</v>
      </c>
      <c r="E2515" t="str">
        <f t="shared" si="1029"/>
        <v>KFH-OPERATIONS DEPARTMENT</v>
      </c>
      <c r="F2515" t="str">
        <f t="shared" si="1030"/>
        <v>IBG</v>
      </c>
      <c r="G2515" t="str">
        <f t="shared" si="1043"/>
        <v>Refund COSHARE 10</v>
      </c>
      <c r="H2515" s="2">
        <v>209.9</v>
      </c>
      <c r="I2515" t="str">
        <f>"NORSALIZA BINTI MAT ZIN"</f>
        <v>NORSALIZA BINTI MAT ZIN</v>
      </c>
      <c r="J2515" t="str">
        <f t="shared" si="1044"/>
        <v>MAYBANK / MAYBANK ISLAMIC</v>
      </c>
      <c r="K2515" t="str">
        <f>"162263238390"</f>
        <v>162263238390</v>
      </c>
      <c r="L2515" t="str">
        <f t="shared" si="1041"/>
        <v>04-08-2020</v>
      </c>
      <c r="M2515" t="str">
        <f t="shared" si="1041"/>
        <v>04-08-2020</v>
      </c>
      <c r="N2515" t="str">
        <f t="shared" si="1031"/>
        <v>001105018356</v>
      </c>
      <c r="O2515" t="str">
        <f t="shared" si="1032"/>
        <v>MYR</v>
      </c>
      <c r="P2515" t="str">
        <f t="shared" si="1042"/>
        <v>NIL</v>
      </c>
      <c r="Q2515" t="str">
        <f t="shared" si="1042"/>
        <v>NIL</v>
      </c>
      <c r="R2515" t="str">
        <f t="shared" si="1033"/>
        <v>Accepted</v>
      </c>
      <c r="S2515" t="str">
        <f t="shared" si="1034"/>
        <v>Approved</v>
      </c>
      <c r="T2515" t="str">
        <f t="shared" si="1035"/>
        <v>10.20.8.188</v>
      </c>
      <c r="U2515" t="str">
        <f t="shared" si="1036"/>
        <v>AZRAD UMAR BIN SHAARI</v>
      </c>
      <c r="V2515" t="str">
        <f t="shared" si="1037"/>
        <v>FARHANA BINTI MUSTAPA</v>
      </c>
      <c r="W2515" t="str">
        <f t="shared" si="1038"/>
        <v>04-08-2020</v>
      </c>
      <c r="X2515" t="str">
        <f t="shared" si="1039"/>
        <v>RAZIMAH ANSAR AHMAD</v>
      </c>
      <c r="Y2515" t="str">
        <f t="shared" si="1040"/>
        <v>04-08-2020</v>
      </c>
      <c r="Z2515" t="str">
        <f>"COS10200804 6639"</f>
        <v>COS10200804 6639</v>
      </c>
    </row>
    <row r="2516" spans="1:26" x14ac:dyDescent="0.25">
      <c r="A2516" t="str">
        <f t="shared" si="1045"/>
        <v>04-08-2020 01:04:24</v>
      </c>
      <c r="B2516" t="str">
        <f>"0000808434"</f>
        <v>0000808434</v>
      </c>
      <c r="C2516" t="str">
        <f t="shared" si="1046"/>
        <v>0000808396</v>
      </c>
      <c r="D2516" t="str">
        <f t="shared" si="1028"/>
        <v>73185</v>
      </c>
      <c r="E2516" t="str">
        <f t="shared" si="1029"/>
        <v>KFH-OPERATIONS DEPARTMENT</v>
      </c>
      <c r="F2516" t="str">
        <f t="shared" si="1030"/>
        <v>IBG</v>
      </c>
      <c r="G2516" t="str">
        <f t="shared" si="1043"/>
        <v>Refund COSHARE 10</v>
      </c>
      <c r="H2516" s="2">
        <v>109</v>
      </c>
      <c r="I2516" t="str">
        <f>"NORSALIDA BINTI OTHMAN"</f>
        <v>NORSALIDA BINTI OTHMAN</v>
      </c>
      <c r="J2516" t="str">
        <f t="shared" si="1044"/>
        <v>MAYBANK / MAYBANK ISLAMIC</v>
      </c>
      <c r="K2516" t="str">
        <f>"166010129129"</f>
        <v>166010129129</v>
      </c>
      <c r="L2516" t="str">
        <f t="shared" si="1041"/>
        <v>04-08-2020</v>
      </c>
      <c r="M2516" t="str">
        <f t="shared" si="1041"/>
        <v>04-08-2020</v>
      </c>
      <c r="N2516" t="str">
        <f t="shared" si="1031"/>
        <v>001105018356</v>
      </c>
      <c r="O2516" t="str">
        <f t="shared" si="1032"/>
        <v>MYR</v>
      </c>
      <c r="P2516" t="str">
        <f t="shared" si="1042"/>
        <v>NIL</v>
      </c>
      <c r="Q2516" t="str">
        <f t="shared" si="1042"/>
        <v>NIL</v>
      </c>
      <c r="R2516" t="str">
        <f t="shared" si="1033"/>
        <v>Accepted</v>
      </c>
      <c r="S2516" t="str">
        <f t="shared" si="1034"/>
        <v>Approved</v>
      </c>
      <c r="T2516" t="str">
        <f t="shared" si="1035"/>
        <v>10.20.8.188</v>
      </c>
      <c r="U2516" t="str">
        <f t="shared" si="1036"/>
        <v>AZRAD UMAR BIN SHAARI</v>
      </c>
      <c r="V2516" t="str">
        <f t="shared" si="1037"/>
        <v>FARHANA BINTI MUSTAPA</v>
      </c>
      <c r="W2516" t="str">
        <f t="shared" si="1038"/>
        <v>04-08-2020</v>
      </c>
      <c r="X2516" t="str">
        <f t="shared" si="1039"/>
        <v>RAZIMAH ANSAR AHMAD</v>
      </c>
      <c r="Y2516" t="str">
        <f t="shared" si="1040"/>
        <v>04-08-2020</v>
      </c>
      <c r="Z2516" t="str">
        <f>"COS10200804 6638"</f>
        <v>COS10200804 6638</v>
      </c>
    </row>
    <row r="2517" spans="1:26" x14ac:dyDescent="0.25">
      <c r="A2517" t="str">
        <f t="shared" si="1045"/>
        <v>04-08-2020 01:04:24</v>
      </c>
      <c r="B2517" t="str">
        <f>"0000808433"</f>
        <v>0000808433</v>
      </c>
      <c r="C2517" t="str">
        <f t="shared" si="1046"/>
        <v>0000808396</v>
      </c>
      <c r="D2517" t="str">
        <f t="shared" si="1028"/>
        <v>73185</v>
      </c>
      <c r="E2517" t="str">
        <f t="shared" si="1029"/>
        <v>KFH-OPERATIONS DEPARTMENT</v>
      </c>
      <c r="F2517" t="str">
        <f t="shared" si="1030"/>
        <v>IBG</v>
      </c>
      <c r="G2517" t="str">
        <f t="shared" si="1043"/>
        <v>Refund COSHARE 10</v>
      </c>
      <c r="H2517" s="2">
        <v>251.85</v>
      </c>
      <c r="I2517" t="str">
        <f>"NORSAHIRA BINTI SALLEH"</f>
        <v>NORSAHIRA BINTI SALLEH</v>
      </c>
      <c r="J2517" t="str">
        <f t="shared" si="1044"/>
        <v>MAYBANK / MAYBANK ISLAMIC</v>
      </c>
      <c r="K2517" t="str">
        <f>"162263332454"</f>
        <v>162263332454</v>
      </c>
      <c r="L2517" t="str">
        <f t="shared" si="1041"/>
        <v>04-08-2020</v>
      </c>
      <c r="M2517" t="str">
        <f t="shared" si="1041"/>
        <v>04-08-2020</v>
      </c>
      <c r="N2517" t="str">
        <f t="shared" si="1031"/>
        <v>001105018356</v>
      </c>
      <c r="O2517" t="str">
        <f t="shared" si="1032"/>
        <v>MYR</v>
      </c>
      <c r="P2517" t="str">
        <f t="shared" si="1042"/>
        <v>NIL</v>
      </c>
      <c r="Q2517" t="str">
        <f t="shared" si="1042"/>
        <v>NIL</v>
      </c>
      <c r="R2517" t="str">
        <f t="shared" si="1033"/>
        <v>Accepted</v>
      </c>
      <c r="S2517" t="str">
        <f t="shared" si="1034"/>
        <v>Approved</v>
      </c>
      <c r="T2517" t="str">
        <f t="shared" si="1035"/>
        <v>10.20.8.188</v>
      </c>
      <c r="U2517" t="str">
        <f t="shared" si="1036"/>
        <v>AZRAD UMAR BIN SHAARI</v>
      </c>
      <c r="V2517" t="str">
        <f t="shared" si="1037"/>
        <v>FARHANA BINTI MUSTAPA</v>
      </c>
      <c r="W2517" t="str">
        <f t="shared" si="1038"/>
        <v>04-08-2020</v>
      </c>
      <c r="X2517" t="str">
        <f t="shared" si="1039"/>
        <v>RAZIMAH ANSAR AHMAD</v>
      </c>
      <c r="Y2517" t="str">
        <f t="shared" si="1040"/>
        <v>04-08-2020</v>
      </c>
      <c r="Z2517" t="str">
        <f>"COS10200804 6637"</f>
        <v>COS10200804 6637</v>
      </c>
    </row>
    <row r="2518" spans="1:26" x14ac:dyDescent="0.25">
      <c r="A2518" t="str">
        <f t="shared" si="1045"/>
        <v>04-08-2020 01:04:24</v>
      </c>
      <c r="B2518" t="str">
        <f>"0000808432"</f>
        <v>0000808432</v>
      </c>
      <c r="C2518" t="str">
        <f t="shared" si="1046"/>
        <v>0000808396</v>
      </c>
      <c r="D2518" t="str">
        <f t="shared" si="1028"/>
        <v>73185</v>
      </c>
      <c r="E2518" t="str">
        <f t="shared" si="1029"/>
        <v>KFH-OPERATIONS DEPARTMENT</v>
      </c>
      <c r="F2518" t="str">
        <f t="shared" si="1030"/>
        <v>IBG</v>
      </c>
      <c r="G2518" t="str">
        <f t="shared" si="1043"/>
        <v>Refund COSHARE 10</v>
      </c>
      <c r="H2518" s="2">
        <v>119</v>
      </c>
      <c r="I2518" t="str">
        <f>"NORROL ANUAR BIN ROSLAN"</f>
        <v>NORROL ANUAR BIN ROSLAN</v>
      </c>
      <c r="J2518" t="str">
        <f t="shared" si="1044"/>
        <v>MAYBANK / MAYBANK ISLAMIC</v>
      </c>
      <c r="K2518" t="str">
        <f>"151306623996"</f>
        <v>151306623996</v>
      </c>
      <c r="L2518" t="str">
        <f t="shared" si="1041"/>
        <v>04-08-2020</v>
      </c>
      <c r="M2518" t="str">
        <f t="shared" si="1041"/>
        <v>04-08-2020</v>
      </c>
      <c r="N2518" t="str">
        <f t="shared" si="1031"/>
        <v>001105018356</v>
      </c>
      <c r="O2518" t="str">
        <f t="shared" si="1032"/>
        <v>MYR</v>
      </c>
      <c r="P2518" t="str">
        <f t="shared" si="1042"/>
        <v>NIL</v>
      </c>
      <c r="Q2518" t="str">
        <f t="shared" si="1042"/>
        <v>NIL</v>
      </c>
      <c r="R2518" t="str">
        <f t="shared" si="1033"/>
        <v>Accepted</v>
      </c>
      <c r="S2518" t="str">
        <f t="shared" si="1034"/>
        <v>Approved</v>
      </c>
      <c r="T2518" t="str">
        <f t="shared" si="1035"/>
        <v>10.20.8.188</v>
      </c>
      <c r="U2518" t="str">
        <f t="shared" si="1036"/>
        <v>AZRAD UMAR BIN SHAARI</v>
      </c>
      <c r="V2518" t="str">
        <f t="shared" si="1037"/>
        <v>FARHANA BINTI MUSTAPA</v>
      </c>
      <c r="W2518" t="str">
        <f t="shared" si="1038"/>
        <v>04-08-2020</v>
      </c>
      <c r="X2518" t="str">
        <f t="shared" si="1039"/>
        <v>RAZIMAH ANSAR AHMAD</v>
      </c>
      <c r="Y2518" t="str">
        <f t="shared" si="1040"/>
        <v>04-08-2020</v>
      </c>
      <c r="Z2518" t="str">
        <f>"COS10200804 6636"</f>
        <v>COS10200804 6636</v>
      </c>
    </row>
    <row r="2519" spans="1:26" x14ac:dyDescent="0.25">
      <c r="A2519" t="str">
        <f t="shared" si="1045"/>
        <v>04-08-2020 01:04:24</v>
      </c>
      <c r="B2519" t="str">
        <f>"0000808431"</f>
        <v>0000808431</v>
      </c>
      <c r="C2519" t="str">
        <f t="shared" si="1046"/>
        <v>0000808396</v>
      </c>
      <c r="D2519" t="str">
        <f t="shared" si="1028"/>
        <v>73185</v>
      </c>
      <c r="E2519" t="str">
        <f t="shared" si="1029"/>
        <v>KFH-OPERATIONS DEPARTMENT</v>
      </c>
      <c r="F2519" t="str">
        <f t="shared" si="1030"/>
        <v>IBG</v>
      </c>
      <c r="G2519" t="str">
        <f t="shared" si="1043"/>
        <v>Refund COSHARE 10</v>
      </c>
      <c r="H2519" s="2">
        <v>436.55</v>
      </c>
      <c r="I2519" t="str">
        <f>"NORRIZAH BINTI IBRAHIM"</f>
        <v>NORRIZAH BINTI IBRAHIM</v>
      </c>
      <c r="J2519" t="str">
        <f t="shared" si="1044"/>
        <v>MAYBANK / MAYBANK ISLAMIC</v>
      </c>
      <c r="K2519" t="str">
        <f>"162311713202"</f>
        <v>162311713202</v>
      </c>
      <c r="L2519" t="str">
        <f t="shared" si="1041"/>
        <v>04-08-2020</v>
      </c>
      <c r="M2519" t="str">
        <f t="shared" si="1041"/>
        <v>04-08-2020</v>
      </c>
      <c r="N2519" t="str">
        <f t="shared" si="1031"/>
        <v>001105018356</v>
      </c>
      <c r="O2519" t="str">
        <f t="shared" si="1032"/>
        <v>MYR</v>
      </c>
      <c r="P2519" t="str">
        <f t="shared" si="1042"/>
        <v>NIL</v>
      </c>
      <c r="Q2519" t="str">
        <f t="shared" si="1042"/>
        <v>NIL</v>
      </c>
      <c r="R2519" t="str">
        <f t="shared" si="1033"/>
        <v>Accepted</v>
      </c>
      <c r="S2519" t="str">
        <f t="shared" si="1034"/>
        <v>Approved</v>
      </c>
      <c r="T2519" t="str">
        <f t="shared" si="1035"/>
        <v>10.20.8.188</v>
      </c>
      <c r="U2519" t="str">
        <f t="shared" si="1036"/>
        <v>AZRAD UMAR BIN SHAARI</v>
      </c>
      <c r="V2519" t="str">
        <f t="shared" si="1037"/>
        <v>FARHANA BINTI MUSTAPA</v>
      </c>
      <c r="W2519" t="str">
        <f t="shared" si="1038"/>
        <v>04-08-2020</v>
      </c>
      <c r="X2519" t="str">
        <f t="shared" si="1039"/>
        <v>RAZIMAH ANSAR AHMAD</v>
      </c>
      <c r="Y2519" t="str">
        <f t="shared" si="1040"/>
        <v>04-08-2020</v>
      </c>
      <c r="Z2519" t="str">
        <f>"COS10200804 6635"</f>
        <v>COS10200804 6635</v>
      </c>
    </row>
    <row r="2520" spans="1:26" x14ac:dyDescent="0.25">
      <c r="A2520" t="str">
        <f t="shared" si="1045"/>
        <v>04-08-2020 01:04:24</v>
      </c>
      <c r="B2520" t="str">
        <f>"0000808430"</f>
        <v>0000808430</v>
      </c>
      <c r="C2520" t="str">
        <f t="shared" si="1046"/>
        <v>0000808396</v>
      </c>
      <c r="D2520" t="str">
        <f t="shared" si="1028"/>
        <v>73185</v>
      </c>
      <c r="E2520" t="str">
        <f t="shared" si="1029"/>
        <v>KFH-OPERATIONS DEPARTMENT</v>
      </c>
      <c r="F2520" t="str">
        <f t="shared" si="1030"/>
        <v>IBG</v>
      </c>
      <c r="G2520" t="str">
        <f t="shared" si="1043"/>
        <v>Refund COSHARE 10</v>
      </c>
      <c r="H2520" s="2">
        <v>587.65</v>
      </c>
      <c r="I2520" t="str">
        <f>"NORRASIRA BINTI ZUKI"</f>
        <v>NORRASIRA BINTI ZUKI</v>
      </c>
      <c r="J2520" t="str">
        <f t="shared" si="1044"/>
        <v>MAYBANK / MAYBANK ISLAMIC</v>
      </c>
      <c r="K2520" t="str">
        <f>"164164889603"</f>
        <v>164164889603</v>
      </c>
      <c r="L2520" t="str">
        <f t="shared" si="1041"/>
        <v>04-08-2020</v>
      </c>
      <c r="M2520" t="str">
        <f t="shared" si="1041"/>
        <v>04-08-2020</v>
      </c>
      <c r="N2520" t="str">
        <f t="shared" si="1031"/>
        <v>001105018356</v>
      </c>
      <c r="O2520" t="str">
        <f t="shared" si="1032"/>
        <v>MYR</v>
      </c>
      <c r="P2520" t="str">
        <f t="shared" si="1042"/>
        <v>NIL</v>
      </c>
      <c r="Q2520" t="str">
        <f t="shared" si="1042"/>
        <v>NIL</v>
      </c>
      <c r="R2520" t="str">
        <f t="shared" si="1033"/>
        <v>Accepted</v>
      </c>
      <c r="S2520" t="str">
        <f t="shared" si="1034"/>
        <v>Approved</v>
      </c>
      <c r="T2520" t="str">
        <f t="shared" si="1035"/>
        <v>10.20.8.188</v>
      </c>
      <c r="U2520" t="str">
        <f t="shared" si="1036"/>
        <v>AZRAD UMAR BIN SHAARI</v>
      </c>
      <c r="V2520" t="str">
        <f t="shared" si="1037"/>
        <v>FARHANA BINTI MUSTAPA</v>
      </c>
      <c r="W2520" t="str">
        <f t="shared" si="1038"/>
        <v>04-08-2020</v>
      </c>
      <c r="X2520" t="str">
        <f t="shared" si="1039"/>
        <v>RAZIMAH ANSAR AHMAD</v>
      </c>
      <c r="Y2520" t="str">
        <f t="shared" si="1040"/>
        <v>04-08-2020</v>
      </c>
      <c r="Z2520" t="str">
        <f>"COS10200804 6634"</f>
        <v>COS10200804 6634</v>
      </c>
    </row>
    <row r="2521" spans="1:26" x14ac:dyDescent="0.25">
      <c r="A2521" t="str">
        <f t="shared" si="1045"/>
        <v>04-08-2020 01:04:24</v>
      </c>
      <c r="B2521" t="str">
        <f>"0000808429"</f>
        <v>0000808429</v>
      </c>
      <c r="C2521" t="str">
        <f t="shared" si="1046"/>
        <v>0000808396</v>
      </c>
      <c r="D2521" t="str">
        <f t="shared" si="1028"/>
        <v>73185</v>
      </c>
      <c r="E2521" t="str">
        <f t="shared" si="1029"/>
        <v>KFH-OPERATIONS DEPARTMENT</v>
      </c>
      <c r="F2521" t="str">
        <f t="shared" si="1030"/>
        <v>IBG</v>
      </c>
      <c r="G2521" t="str">
        <f t="shared" si="1043"/>
        <v>Refund COSHARE 10</v>
      </c>
      <c r="H2521" s="2">
        <v>503.7</v>
      </c>
      <c r="I2521" t="str">
        <f>"NORRAINI BINTI MD NOR"</f>
        <v>NORRAINI BINTI MD NOR</v>
      </c>
      <c r="J2521" t="str">
        <f t="shared" si="1044"/>
        <v>MAYBANK / MAYBANK ISLAMIC</v>
      </c>
      <c r="K2521" t="str">
        <f>"155050216347"</f>
        <v>155050216347</v>
      </c>
      <c r="L2521" t="str">
        <f t="shared" si="1041"/>
        <v>04-08-2020</v>
      </c>
      <c r="M2521" t="str">
        <f t="shared" si="1041"/>
        <v>04-08-2020</v>
      </c>
      <c r="N2521" t="str">
        <f t="shared" si="1031"/>
        <v>001105018356</v>
      </c>
      <c r="O2521" t="str">
        <f t="shared" si="1032"/>
        <v>MYR</v>
      </c>
      <c r="P2521" t="str">
        <f t="shared" si="1042"/>
        <v>NIL</v>
      </c>
      <c r="Q2521" t="str">
        <f t="shared" si="1042"/>
        <v>NIL</v>
      </c>
      <c r="R2521" t="str">
        <f t="shared" si="1033"/>
        <v>Accepted</v>
      </c>
      <c r="S2521" t="str">
        <f t="shared" si="1034"/>
        <v>Approved</v>
      </c>
      <c r="T2521" t="str">
        <f t="shared" si="1035"/>
        <v>10.20.8.188</v>
      </c>
      <c r="U2521" t="str">
        <f t="shared" si="1036"/>
        <v>AZRAD UMAR BIN SHAARI</v>
      </c>
      <c r="V2521" t="str">
        <f t="shared" si="1037"/>
        <v>FARHANA BINTI MUSTAPA</v>
      </c>
      <c r="W2521" t="str">
        <f t="shared" si="1038"/>
        <v>04-08-2020</v>
      </c>
      <c r="X2521" t="str">
        <f t="shared" si="1039"/>
        <v>RAZIMAH ANSAR AHMAD</v>
      </c>
      <c r="Y2521" t="str">
        <f t="shared" si="1040"/>
        <v>04-08-2020</v>
      </c>
      <c r="Z2521" t="str">
        <f>"COS10200804 6633"</f>
        <v>COS10200804 6633</v>
      </c>
    </row>
    <row r="2522" spans="1:26" x14ac:dyDescent="0.25">
      <c r="A2522" t="str">
        <f t="shared" si="1045"/>
        <v>04-08-2020 01:04:24</v>
      </c>
      <c r="B2522" t="str">
        <f>"0000808428"</f>
        <v>0000808428</v>
      </c>
      <c r="C2522" t="str">
        <f t="shared" si="1046"/>
        <v>0000808396</v>
      </c>
      <c r="D2522" t="str">
        <f t="shared" si="1028"/>
        <v>73185</v>
      </c>
      <c r="E2522" t="str">
        <f t="shared" si="1029"/>
        <v>KFH-OPERATIONS DEPARTMENT</v>
      </c>
      <c r="F2522" t="str">
        <f t="shared" si="1030"/>
        <v>IBG</v>
      </c>
      <c r="G2522" t="str">
        <f t="shared" si="1043"/>
        <v>Refund COSHARE 10</v>
      </c>
      <c r="H2522" s="2">
        <v>125.95</v>
      </c>
      <c r="I2522" t="str">
        <f>"NORRAIDA BINTI AMZAH"</f>
        <v>NORRAIDA BINTI AMZAH</v>
      </c>
      <c r="J2522" t="str">
        <f t="shared" si="1044"/>
        <v>MAYBANK / MAYBANK ISLAMIC</v>
      </c>
      <c r="K2522" t="str">
        <f>"164191971417"</f>
        <v>164191971417</v>
      </c>
      <c r="L2522" t="str">
        <f t="shared" si="1041"/>
        <v>04-08-2020</v>
      </c>
      <c r="M2522" t="str">
        <f t="shared" si="1041"/>
        <v>04-08-2020</v>
      </c>
      <c r="N2522" t="str">
        <f t="shared" si="1031"/>
        <v>001105018356</v>
      </c>
      <c r="O2522" t="str">
        <f t="shared" si="1032"/>
        <v>MYR</v>
      </c>
      <c r="P2522" t="str">
        <f t="shared" si="1042"/>
        <v>NIL</v>
      </c>
      <c r="Q2522" t="str">
        <f t="shared" si="1042"/>
        <v>NIL</v>
      </c>
      <c r="R2522" t="str">
        <f t="shared" si="1033"/>
        <v>Accepted</v>
      </c>
      <c r="S2522" t="str">
        <f t="shared" si="1034"/>
        <v>Approved</v>
      </c>
      <c r="T2522" t="str">
        <f t="shared" si="1035"/>
        <v>10.20.8.188</v>
      </c>
      <c r="U2522" t="str">
        <f t="shared" si="1036"/>
        <v>AZRAD UMAR BIN SHAARI</v>
      </c>
      <c r="V2522" t="str">
        <f t="shared" si="1037"/>
        <v>FARHANA BINTI MUSTAPA</v>
      </c>
      <c r="W2522" t="str">
        <f t="shared" si="1038"/>
        <v>04-08-2020</v>
      </c>
      <c r="X2522" t="str">
        <f t="shared" si="1039"/>
        <v>RAZIMAH ANSAR AHMAD</v>
      </c>
      <c r="Y2522" t="str">
        <f t="shared" si="1040"/>
        <v>04-08-2020</v>
      </c>
      <c r="Z2522" t="str">
        <f>"COS10200804 6632"</f>
        <v>COS10200804 6632</v>
      </c>
    </row>
    <row r="2523" spans="1:26" x14ac:dyDescent="0.25">
      <c r="A2523" t="str">
        <f t="shared" si="1045"/>
        <v>04-08-2020 01:04:24</v>
      </c>
      <c r="B2523" t="str">
        <f>"0000808427"</f>
        <v>0000808427</v>
      </c>
      <c r="C2523" t="str">
        <f t="shared" si="1046"/>
        <v>0000808396</v>
      </c>
      <c r="D2523" t="str">
        <f t="shared" si="1028"/>
        <v>73185</v>
      </c>
      <c r="E2523" t="str">
        <f t="shared" si="1029"/>
        <v>KFH-OPERATIONS DEPARTMENT</v>
      </c>
      <c r="F2523" t="str">
        <f t="shared" si="1030"/>
        <v>IBG</v>
      </c>
      <c r="G2523" t="str">
        <f t="shared" si="1043"/>
        <v>Refund COSHARE 10</v>
      </c>
      <c r="H2523" s="2">
        <v>68.8</v>
      </c>
      <c r="I2523" t="str">
        <f>"NORRADIN BIN ARSHID  MUNABI"</f>
        <v>NORRADIN BIN ARSHID  MUNABI</v>
      </c>
      <c r="J2523" t="str">
        <f t="shared" si="1044"/>
        <v>MAYBANK / MAYBANK ISLAMIC</v>
      </c>
      <c r="K2523" t="str">
        <f>"114178854238"</f>
        <v>114178854238</v>
      </c>
      <c r="L2523" t="str">
        <f t="shared" si="1041"/>
        <v>04-08-2020</v>
      </c>
      <c r="M2523" t="str">
        <f t="shared" si="1041"/>
        <v>04-08-2020</v>
      </c>
      <c r="N2523" t="str">
        <f t="shared" si="1031"/>
        <v>001105018356</v>
      </c>
      <c r="O2523" t="str">
        <f t="shared" si="1032"/>
        <v>MYR</v>
      </c>
      <c r="P2523" t="str">
        <f t="shared" si="1042"/>
        <v>NIL</v>
      </c>
      <c r="Q2523" t="str">
        <f t="shared" si="1042"/>
        <v>NIL</v>
      </c>
      <c r="R2523" t="str">
        <f t="shared" si="1033"/>
        <v>Accepted</v>
      </c>
      <c r="S2523" t="str">
        <f t="shared" si="1034"/>
        <v>Approved</v>
      </c>
      <c r="T2523" t="str">
        <f t="shared" si="1035"/>
        <v>10.20.8.188</v>
      </c>
      <c r="U2523" t="str">
        <f t="shared" si="1036"/>
        <v>AZRAD UMAR BIN SHAARI</v>
      </c>
      <c r="V2523" t="str">
        <f t="shared" si="1037"/>
        <v>FARHANA BINTI MUSTAPA</v>
      </c>
      <c r="W2523" t="str">
        <f t="shared" si="1038"/>
        <v>04-08-2020</v>
      </c>
      <c r="X2523" t="str">
        <f t="shared" si="1039"/>
        <v>RAZIMAH ANSAR AHMAD</v>
      </c>
      <c r="Y2523" t="str">
        <f t="shared" si="1040"/>
        <v>04-08-2020</v>
      </c>
      <c r="Z2523" t="str">
        <f>"COS10200804 6631"</f>
        <v>COS10200804 6631</v>
      </c>
    </row>
    <row r="2524" spans="1:26" x14ac:dyDescent="0.25">
      <c r="A2524" t="str">
        <f t="shared" si="1045"/>
        <v>04-08-2020 01:04:24</v>
      </c>
      <c r="B2524" t="str">
        <f>"0000808426"</f>
        <v>0000808426</v>
      </c>
      <c r="C2524" t="str">
        <f t="shared" si="1046"/>
        <v>0000808396</v>
      </c>
      <c r="D2524" t="str">
        <f t="shared" si="1028"/>
        <v>73185</v>
      </c>
      <c r="E2524" t="str">
        <f t="shared" si="1029"/>
        <v>KFH-OPERATIONS DEPARTMENT</v>
      </c>
      <c r="F2524" t="str">
        <f t="shared" si="1030"/>
        <v>IBG</v>
      </c>
      <c r="G2524" t="str">
        <f t="shared" si="1043"/>
        <v>Refund COSHARE 10</v>
      </c>
      <c r="H2524" s="2">
        <v>461.75</v>
      </c>
      <c r="I2524" t="str">
        <f>"NOROSMAHWATI BINTI GHAZALI"</f>
        <v>NOROSMAHWATI BINTI GHAZALI</v>
      </c>
      <c r="J2524" t="str">
        <f t="shared" si="1044"/>
        <v>MAYBANK / MAYBANK ISLAMIC</v>
      </c>
      <c r="K2524" t="str">
        <f>"154044685353"</f>
        <v>154044685353</v>
      </c>
      <c r="L2524" t="str">
        <f t="shared" si="1041"/>
        <v>04-08-2020</v>
      </c>
      <c r="M2524" t="str">
        <f t="shared" si="1041"/>
        <v>04-08-2020</v>
      </c>
      <c r="N2524" t="str">
        <f t="shared" si="1031"/>
        <v>001105018356</v>
      </c>
      <c r="O2524" t="str">
        <f t="shared" si="1032"/>
        <v>MYR</v>
      </c>
      <c r="P2524" t="str">
        <f t="shared" si="1042"/>
        <v>NIL</v>
      </c>
      <c r="Q2524" t="str">
        <f t="shared" si="1042"/>
        <v>NIL</v>
      </c>
      <c r="R2524" t="str">
        <f t="shared" si="1033"/>
        <v>Accepted</v>
      </c>
      <c r="S2524" t="str">
        <f t="shared" si="1034"/>
        <v>Approved</v>
      </c>
      <c r="T2524" t="str">
        <f t="shared" si="1035"/>
        <v>10.20.8.188</v>
      </c>
      <c r="U2524" t="str">
        <f t="shared" si="1036"/>
        <v>AZRAD UMAR BIN SHAARI</v>
      </c>
      <c r="V2524" t="str">
        <f t="shared" si="1037"/>
        <v>FARHANA BINTI MUSTAPA</v>
      </c>
      <c r="W2524" t="str">
        <f t="shared" si="1038"/>
        <v>04-08-2020</v>
      </c>
      <c r="X2524" t="str">
        <f t="shared" si="1039"/>
        <v>RAZIMAH ANSAR AHMAD</v>
      </c>
      <c r="Y2524" t="str">
        <f t="shared" si="1040"/>
        <v>04-08-2020</v>
      </c>
      <c r="Z2524" t="str">
        <f>"COS10200804 6630"</f>
        <v>COS10200804 6630</v>
      </c>
    </row>
    <row r="2525" spans="1:26" x14ac:dyDescent="0.25">
      <c r="A2525" t="str">
        <f t="shared" si="1045"/>
        <v>04-08-2020 01:04:24</v>
      </c>
      <c r="B2525" t="str">
        <f>"0000808425"</f>
        <v>0000808425</v>
      </c>
      <c r="C2525" t="str">
        <f t="shared" si="1046"/>
        <v>0000808396</v>
      </c>
      <c r="D2525" t="str">
        <f t="shared" si="1028"/>
        <v>73185</v>
      </c>
      <c r="E2525" t="str">
        <f t="shared" si="1029"/>
        <v>KFH-OPERATIONS DEPARTMENT</v>
      </c>
      <c r="F2525" t="str">
        <f t="shared" si="1030"/>
        <v>IBG</v>
      </c>
      <c r="G2525" t="str">
        <f t="shared" si="1043"/>
        <v>Refund COSHARE 10</v>
      </c>
      <c r="H2525" s="2">
        <v>671.6</v>
      </c>
      <c r="I2525" t="str">
        <f>"NORNADHIRAH BINTI NURDIN"</f>
        <v>NORNADHIRAH BINTI NURDIN</v>
      </c>
      <c r="J2525" t="str">
        <f t="shared" si="1044"/>
        <v>MAYBANK / MAYBANK ISLAMIC</v>
      </c>
      <c r="K2525" t="str">
        <f>"164155576088"</f>
        <v>164155576088</v>
      </c>
      <c r="L2525" t="str">
        <f t="shared" si="1041"/>
        <v>04-08-2020</v>
      </c>
      <c r="M2525" t="str">
        <f t="shared" si="1041"/>
        <v>04-08-2020</v>
      </c>
      <c r="N2525" t="str">
        <f t="shared" si="1031"/>
        <v>001105018356</v>
      </c>
      <c r="O2525" t="str">
        <f t="shared" si="1032"/>
        <v>MYR</v>
      </c>
      <c r="P2525" t="str">
        <f t="shared" si="1042"/>
        <v>NIL</v>
      </c>
      <c r="Q2525" t="str">
        <f t="shared" si="1042"/>
        <v>NIL</v>
      </c>
      <c r="R2525" t="str">
        <f t="shared" si="1033"/>
        <v>Accepted</v>
      </c>
      <c r="S2525" t="str">
        <f t="shared" si="1034"/>
        <v>Approved</v>
      </c>
      <c r="T2525" t="str">
        <f t="shared" si="1035"/>
        <v>10.20.8.188</v>
      </c>
      <c r="U2525" t="str">
        <f t="shared" si="1036"/>
        <v>AZRAD UMAR BIN SHAARI</v>
      </c>
      <c r="V2525" t="str">
        <f t="shared" si="1037"/>
        <v>FARHANA BINTI MUSTAPA</v>
      </c>
      <c r="W2525" t="str">
        <f t="shared" si="1038"/>
        <v>04-08-2020</v>
      </c>
      <c r="X2525" t="str">
        <f t="shared" si="1039"/>
        <v>RAZIMAH ANSAR AHMAD</v>
      </c>
      <c r="Y2525" t="str">
        <f t="shared" si="1040"/>
        <v>04-08-2020</v>
      </c>
      <c r="Z2525" t="str">
        <f>"COS10200804 6629"</f>
        <v>COS10200804 6629</v>
      </c>
    </row>
    <row r="2526" spans="1:26" x14ac:dyDescent="0.25">
      <c r="A2526" t="str">
        <f t="shared" si="1045"/>
        <v>04-08-2020 01:04:24</v>
      </c>
      <c r="B2526" t="str">
        <f>"0000808424"</f>
        <v>0000808424</v>
      </c>
      <c r="C2526" t="str">
        <f t="shared" si="1046"/>
        <v>0000808396</v>
      </c>
      <c r="D2526" t="str">
        <f t="shared" si="1028"/>
        <v>73185</v>
      </c>
      <c r="E2526" t="str">
        <f t="shared" si="1029"/>
        <v>KFH-OPERATIONS DEPARTMENT</v>
      </c>
      <c r="F2526" t="str">
        <f t="shared" si="1030"/>
        <v>IBG</v>
      </c>
      <c r="G2526" t="str">
        <f t="shared" si="1043"/>
        <v>Refund COSHARE 10</v>
      </c>
      <c r="H2526" s="2">
        <v>864.7</v>
      </c>
      <c r="I2526" t="str">
        <f>"NORMAZHATUL BINTI ALI"</f>
        <v>NORMAZHATUL BINTI ALI</v>
      </c>
      <c r="J2526" t="str">
        <f t="shared" si="1044"/>
        <v>MAYBANK / MAYBANK ISLAMIC</v>
      </c>
      <c r="K2526" t="str">
        <f>"102063606597"</f>
        <v>102063606597</v>
      </c>
      <c r="L2526" t="str">
        <f t="shared" si="1041"/>
        <v>04-08-2020</v>
      </c>
      <c r="M2526" t="str">
        <f t="shared" si="1041"/>
        <v>04-08-2020</v>
      </c>
      <c r="N2526" t="str">
        <f t="shared" si="1031"/>
        <v>001105018356</v>
      </c>
      <c r="O2526" t="str">
        <f t="shared" si="1032"/>
        <v>MYR</v>
      </c>
      <c r="P2526" t="str">
        <f t="shared" si="1042"/>
        <v>NIL</v>
      </c>
      <c r="Q2526" t="str">
        <f t="shared" si="1042"/>
        <v>NIL</v>
      </c>
      <c r="R2526" t="str">
        <f t="shared" si="1033"/>
        <v>Accepted</v>
      </c>
      <c r="S2526" t="str">
        <f t="shared" si="1034"/>
        <v>Approved</v>
      </c>
      <c r="T2526" t="str">
        <f t="shared" si="1035"/>
        <v>10.20.8.188</v>
      </c>
      <c r="U2526" t="str">
        <f t="shared" si="1036"/>
        <v>AZRAD UMAR BIN SHAARI</v>
      </c>
      <c r="V2526" t="str">
        <f t="shared" si="1037"/>
        <v>FARHANA BINTI MUSTAPA</v>
      </c>
      <c r="W2526" t="str">
        <f t="shared" si="1038"/>
        <v>04-08-2020</v>
      </c>
      <c r="X2526" t="str">
        <f t="shared" si="1039"/>
        <v>RAZIMAH ANSAR AHMAD</v>
      </c>
      <c r="Y2526" t="str">
        <f t="shared" si="1040"/>
        <v>04-08-2020</v>
      </c>
      <c r="Z2526" t="str">
        <f>"COS10200804 6628"</f>
        <v>COS10200804 6628</v>
      </c>
    </row>
    <row r="2527" spans="1:26" x14ac:dyDescent="0.25">
      <c r="A2527" t="str">
        <f t="shared" si="1045"/>
        <v>04-08-2020 01:04:24</v>
      </c>
      <c r="B2527" t="str">
        <f>"0000808423"</f>
        <v>0000808423</v>
      </c>
      <c r="C2527" t="str">
        <f t="shared" si="1046"/>
        <v>0000808396</v>
      </c>
      <c r="D2527" t="str">
        <f t="shared" si="1028"/>
        <v>73185</v>
      </c>
      <c r="E2527" t="str">
        <f t="shared" si="1029"/>
        <v>KFH-OPERATIONS DEPARTMENT</v>
      </c>
      <c r="F2527" t="str">
        <f t="shared" si="1030"/>
        <v>IBG</v>
      </c>
      <c r="G2527" t="str">
        <f t="shared" si="1043"/>
        <v>Refund COSHARE 10</v>
      </c>
      <c r="H2527" s="2">
        <v>931.85</v>
      </c>
      <c r="I2527" t="str">
        <f>"NORMASITAH BINTI MAT NOR"</f>
        <v>NORMASITAH BINTI MAT NOR</v>
      </c>
      <c r="J2527" t="str">
        <f t="shared" si="1044"/>
        <v>MAYBANK / MAYBANK ISLAMIC</v>
      </c>
      <c r="K2527" t="str">
        <f>"164128513408"</f>
        <v>164128513408</v>
      </c>
      <c r="L2527" t="str">
        <f t="shared" ref="L2527:M2546" si="1047">"04-08-2020"</f>
        <v>04-08-2020</v>
      </c>
      <c r="M2527" t="str">
        <f t="shared" si="1047"/>
        <v>04-08-2020</v>
      </c>
      <c r="N2527" t="str">
        <f t="shared" si="1031"/>
        <v>001105018356</v>
      </c>
      <c r="O2527" t="str">
        <f t="shared" si="1032"/>
        <v>MYR</v>
      </c>
      <c r="P2527" t="str">
        <f t="shared" ref="P2527:Q2546" si="1048">"NIL"</f>
        <v>NIL</v>
      </c>
      <c r="Q2527" t="str">
        <f t="shared" si="1048"/>
        <v>NIL</v>
      </c>
      <c r="R2527" t="str">
        <f t="shared" si="1033"/>
        <v>Accepted</v>
      </c>
      <c r="S2527" t="str">
        <f t="shared" si="1034"/>
        <v>Approved</v>
      </c>
      <c r="T2527" t="str">
        <f t="shared" si="1035"/>
        <v>10.20.8.188</v>
      </c>
      <c r="U2527" t="str">
        <f t="shared" si="1036"/>
        <v>AZRAD UMAR BIN SHAARI</v>
      </c>
      <c r="V2527" t="str">
        <f t="shared" si="1037"/>
        <v>FARHANA BINTI MUSTAPA</v>
      </c>
      <c r="W2527" t="str">
        <f t="shared" si="1038"/>
        <v>04-08-2020</v>
      </c>
      <c r="X2527" t="str">
        <f t="shared" si="1039"/>
        <v>RAZIMAH ANSAR AHMAD</v>
      </c>
      <c r="Y2527" t="str">
        <f t="shared" si="1040"/>
        <v>04-08-2020</v>
      </c>
      <c r="Z2527" t="str">
        <f>"COS10200804 6627"</f>
        <v>COS10200804 6627</v>
      </c>
    </row>
    <row r="2528" spans="1:26" x14ac:dyDescent="0.25">
      <c r="A2528" t="str">
        <f t="shared" si="1045"/>
        <v>04-08-2020 01:04:24</v>
      </c>
      <c r="B2528" t="str">
        <f>"0000808422"</f>
        <v>0000808422</v>
      </c>
      <c r="C2528" t="str">
        <f t="shared" si="1046"/>
        <v>0000808396</v>
      </c>
      <c r="D2528" t="str">
        <f t="shared" si="1028"/>
        <v>73185</v>
      </c>
      <c r="E2528" t="str">
        <f t="shared" si="1029"/>
        <v>KFH-OPERATIONS DEPARTMENT</v>
      </c>
      <c r="F2528" t="str">
        <f t="shared" si="1030"/>
        <v>IBG</v>
      </c>
      <c r="G2528" t="str">
        <f t="shared" si="1043"/>
        <v>Refund COSHARE 10</v>
      </c>
      <c r="H2528" s="2">
        <v>377.8</v>
      </c>
      <c r="I2528" t="str">
        <f>"NORMAN EZHAM BIN OTHMAN"</f>
        <v>NORMAN EZHAM BIN OTHMAN</v>
      </c>
      <c r="J2528" t="str">
        <f t="shared" si="1044"/>
        <v>MAYBANK / MAYBANK ISLAMIC</v>
      </c>
      <c r="K2528" t="str">
        <f>"112148055763"</f>
        <v>112148055763</v>
      </c>
      <c r="L2528" t="str">
        <f t="shared" si="1047"/>
        <v>04-08-2020</v>
      </c>
      <c r="M2528" t="str">
        <f t="shared" si="1047"/>
        <v>04-08-2020</v>
      </c>
      <c r="N2528" t="str">
        <f t="shared" si="1031"/>
        <v>001105018356</v>
      </c>
      <c r="O2528" t="str">
        <f t="shared" si="1032"/>
        <v>MYR</v>
      </c>
      <c r="P2528" t="str">
        <f t="shared" si="1048"/>
        <v>NIL</v>
      </c>
      <c r="Q2528" t="str">
        <f t="shared" si="1048"/>
        <v>NIL</v>
      </c>
      <c r="R2528" t="str">
        <f t="shared" si="1033"/>
        <v>Accepted</v>
      </c>
      <c r="S2528" t="str">
        <f t="shared" si="1034"/>
        <v>Approved</v>
      </c>
      <c r="T2528" t="str">
        <f t="shared" si="1035"/>
        <v>10.20.8.188</v>
      </c>
      <c r="U2528" t="str">
        <f t="shared" si="1036"/>
        <v>AZRAD UMAR BIN SHAARI</v>
      </c>
      <c r="V2528" t="str">
        <f t="shared" si="1037"/>
        <v>FARHANA BINTI MUSTAPA</v>
      </c>
      <c r="W2528" t="str">
        <f t="shared" si="1038"/>
        <v>04-08-2020</v>
      </c>
      <c r="X2528" t="str">
        <f t="shared" si="1039"/>
        <v>RAZIMAH ANSAR AHMAD</v>
      </c>
      <c r="Y2528" t="str">
        <f t="shared" si="1040"/>
        <v>04-08-2020</v>
      </c>
      <c r="Z2528" t="str">
        <f>"COS10200804 6626"</f>
        <v>COS10200804 6626</v>
      </c>
    </row>
    <row r="2529" spans="1:26" x14ac:dyDescent="0.25">
      <c r="A2529" t="str">
        <f t="shared" si="1045"/>
        <v>04-08-2020 01:04:24</v>
      </c>
      <c r="B2529" t="str">
        <f>"0000808421"</f>
        <v>0000808421</v>
      </c>
      <c r="C2529" t="str">
        <f t="shared" si="1046"/>
        <v>0000808396</v>
      </c>
      <c r="D2529" t="str">
        <f t="shared" si="1028"/>
        <v>73185</v>
      </c>
      <c r="E2529" t="str">
        <f t="shared" si="1029"/>
        <v>KFH-OPERATIONS DEPARTMENT</v>
      </c>
      <c r="F2529" t="str">
        <f t="shared" si="1030"/>
        <v>IBG</v>
      </c>
      <c r="G2529" t="str">
        <f t="shared" si="1043"/>
        <v>Refund COSHARE 10</v>
      </c>
      <c r="H2529" s="2">
        <v>266</v>
      </c>
      <c r="I2529" t="str">
        <f>"NORMAN BIN OMAR"</f>
        <v>NORMAN BIN OMAR</v>
      </c>
      <c r="J2529" t="str">
        <f t="shared" si="1044"/>
        <v>MAYBANK / MAYBANK ISLAMIC</v>
      </c>
      <c r="K2529" t="str">
        <f>"157112127146"</f>
        <v>157112127146</v>
      </c>
      <c r="L2529" t="str">
        <f t="shared" si="1047"/>
        <v>04-08-2020</v>
      </c>
      <c r="M2529" t="str">
        <f t="shared" si="1047"/>
        <v>04-08-2020</v>
      </c>
      <c r="N2529" t="str">
        <f t="shared" si="1031"/>
        <v>001105018356</v>
      </c>
      <c r="O2529" t="str">
        <f t="shared" si="1032"/>
        <v>MYR</v>
      </c>
      <c r="P2529" t="str">
        <f t="shared" si="1048"/>
        <v>NIL</v>
      </c>
      <c r="Q2529" t="str">
        <f t="shared" si="1048"/>
        <v>NIL</v>
      </c>
      <c r="R2529" t="str">
        <f t="shared" si="1033"/>
        <v>Accepted</v>
      </c>
      <c r="S2529" t="str">
        <f t="shared" si="1034"/>
        <v>Approved</v>
      </c>
      <c r="T2529" t="str">
        <f t="shared" si="1035"/>
        <v>10.20.8.188</v>
      </c>
      <c r="U2529" t="str">
        <f t="shared" si="1036"/>
        <v>AZRAD UMAR BIN SHAARI</v>
      </c>
      <c r="V2529" t="str">
        <f t="shared" si="1037"/>
        <v>FARHANA BINTI MUSTAPA</v>
      </c>
      <c r="W2529" t="str">
        <f t="shared" si="1038"/>
        <v>04-08-2020</v>
      </c>
      <c r="X2529" t="str">
        <f t="shared" si="1039"/>
        <v>RAZIMAH ANSAR AHMAD</v>
      </c>
      <c r="Y2529" t="str">
        <f t="shared" si="1040"/>
        <v>04-08-2020</v>
      </c>
      <c r="Z2529" t="str">
        <f>"COS10200804 6625"</f>
        <v>COS10200804 6625</v>
      </c>
    </row>
    <row r="2530" spans="1:26" x14ac:dyDescent="0.25">
      <c r="A2530" t="str">
        <f t="shared" si="1045"/>
        <v>04-08-2020 01:04:24</v>
      </c>
      <c r="B2530" t="str">
        <f>"0000808420"</f>
        <v>0000808420</v>
      </c>
      <c r="C2530" t="str">
        <f t="shared" si="1046"/>
        <v>0000808396</v>
      </c>
      <c r="D2530" t="str">
        <f t="shared" si="1028"/>
        <v>73185</v>
      </c>
      <c r="E2530" t="str">
        <f t="shared" si="1029"/>
        <v>KFH-OPERATIONS DEPARTMENT</v>
      </c>
      <c r="F2530" t="str">
        <f t="shared" si="1030"/>
        <v>IBG</v>
      </c>
      <c r="G2530" t="str">
        <f t="shared" si="1043"/>
        <v>Refund COSHARE 10</v>
      </c>
      <c r="H2530" s="2">
        <v>100.75</v>
      </c>
      <c r="I2530" t="str">
        <f>"NORMAN BIN JAAPAR"</f>
        <v>NORMAN BIN JAAPAR</v>
      </c>
      <c r="J2530" t="str">
        <f t="shared" si="1044"/>
        <v>MAYBANK / MAYBANK ISLAMIC</v>
      </c>
      <c r="K2530" t="str">
        <f>"112045953280"</f>
        <v>112045953280</v>
      </c>
      <c r="L2530" t="str">
        <f t="shared" si="1047"/>
        <v>04-08-2020</v>
      </c>
      <c r="M2530" t="str">
        <f t="shared" si="1047"/>
        <v>04-08-2020</v>
      </c>
      <c r="N2530" t="str">
        <f t="shared" si="1031"/>
        <v>001105018356</v>
      </c>
      <c r="O2530" t="str">
        <f t="shared" si="1032"/>
        <v>MYR</v>
      </c>
      <c r="P2530" t="str">
        <f t="shared" si="1048"/>
        <v>NIL</v>
      </c>
      <c r="Q2530" t="str">
        <f t="shared" si="1048"/>
        <v>NIL</v>
      </c>
      <c r="R2530" t="str">
        <f t="shared" si="1033"/>
        <v>Accepted</v>
      </c>
      <c r="S2530" t="str">
        <f t="shared" si="1034"/>
        <v>Approved</v>
      </c>
      <c r="T2530" t="str">
        <f t="shared" si="1035"/>
        <v>10.20.8.188</v>
      </c>
      <c r="U2530" t="str">
        <f t="shared" si="1036"/>
        <v>AZRAD UMAR BIN SHAARI</v>
      </c>
      <c r="V2530" t="str">
        <f t="shared" si="1037"/>
        <v>FARHANA BINTI MUSTAPA</v>
      </c>
      <c r="W2530" t="str">
        <f t="shared" si="1038"/>
        <v>04-08-2020</v>
      </c>
      <c r="X2530" t="str">
        <f t="shared" si="1039"/>
        <v>RAZIMAH ANSAR AHMAD</v>
      </c>
      <c r="Y2530" t="str">
        <f t="shared" si="1040"/>
        <v>04-08-2020</v>
      </c>
      <c r="Z2530" t="str">
        <f>"COS10200804 6624"</f>
        <v>COS10200804 6624</v>
      </c>
    </row>
    <row r="2531" spans="1:26" x14ac:dyDescent="0.25">
      <c r="A2531" t="str">
        <f t="shared" si="1045"/>
        <v>04-08-2020 01:04:24</v>
      </c>
      <c r="B2531" t="str">
        <f>"0000808419"</f>
        <v>0000808419</v>
      </c>
      <c r="C2531" t="str">
        <f t="shared" si="1046"/>
        <v>0000808396</v>
      </c>
      <c r="D2531" t="str">
        <f t="shared" si="1028"/>
        <v>73185</v>
      </c>
      <c r="E2531" t="str">
        <f t="shared" si="1029"/>
        <v>KFH-OPERATIONS DEPARTMENT</v>
      </c>
      <c r="F2531" t="str">
        <f t="shared" si="1030"/>
        <v>IBG</v>
      </c>
      <c r="G2531" t="str">
        <f t="shared" si="1043"/>
        <v>Refund COSHARE 10</v>
      </c>
      <c r="H2531" s="2">
        <v>1259.25</v>
      </c>
      <c r="I2531" t="str">
        <f>"NORMAN BIN ABDUL RAHMAN"</f>
        <v>NORMAN BIN ABDUL RAHMAN</v>
      </c>
      <c r="J2531" t="str">
        <f t="shared" si="1044"/>
        <v>MAYBANK / MAYBANK ISLAMIC</v>
      </c>
      <c r="K2531" t="str">
        <f>"162142998665"</f>
        <v>162142998665</v>
      </c>
      <c r="L2531" t="str">
        <f t="shared" si="1047"/>
        <v>04-08-2020</v>
      </c>
      <c r="M2531" t="str">
        <f t="shared" si="1047"/>
        <v>04-08-2020</v>
      </c>
      <c r="N2531" t="str">
        <f t="shared" si="1031"/>
        <v>001105018356</v>
      </c>
      <c r="O2531" t="str">
        <f t="shared" si="1032"/>
        <v>MYR</v>
      </c>
      <c r="P2531" t="str">
        <f t="shared" si="1048"/>
        <v>NIL</v>
      </c>
      <c r="Q2531" t="str">
        <f t="shared" si="1048"/>
        <v>NIL</v>
      </c>
      <c r="R2531" t="str">
        <f t="shared" si="1033"/>
        <v>Accepted</v>
      </c>
      <c r="S2531" t="str">
        <f t="shared" si="1034"/>
        <v>Approved</v>
      </c>
      <c r="T2531" t="str">
        <f t="shared" si="1035"/>
        <v>10.20.8.188</v>
      </c>
      <c r="U2531" t="str">
        <f t="shared" si="1036"/>
        <v>AZRAD UMAR BIN SHAARI</v>
      </c>
      <c r="V2531" t="str">
        <f t="shared" si="1037"/>
        <v>FARHANA BINTI MUSTAPA</v>
      </c>
      <c r="W2531" t="str">
        <f t="shared" si="1038"/>
        <v>04-08-2020</v>
      </c>
      <c r="X2531" t="str">
        <f t="shared" si="1039"/>
        <v>RAZIMAH ANSAR AHMAD</v>
      </c>
      <c r="Y2531" t="str">
        <f t="shared" si="1040"/>
        <v>04-08-2020</v>
      </c>
      <c r="Z2531" t="str">
        <f>"COS10200804 6623"</f>
        <v>COS10200804 6623</v>
      </c>
    </row>
    <row r="2532" spans="1:26" x14ac:dyDescent="0.25">
      <c r="A2532" t="str">
        <f t="shared" si="1045"/>
        <v>04-08-2020 01:04:24</v>
      </c>
      <c r="B2532" t="str">
        <f>"0000808418"</f>
        <v>0000808418</v>
      </c>
      <c r="C2532" t="str">
        <f t="shared" si="1046"/>
        <v>0000808396</v>
      </c>
      <c r="D2532" t="str">
        <f t="shared" si="1028"/>
        <v>73185</v>
      </c>
      <c r="E2532" t="str">
        <f t="shared" si="1029"/>
        <v>KFH-OPERATIONS DEPARTMENT</v>
      </c>
      <c r="F2532" t="str">
        <f t="shared" si="1030"/>
        <v>IBG</v>
      </c>
      <c r="G2532" t="str">
        <f t="shared" si="1043"/>
        <v>Refund COSHARE 10</v>
      </c>
      <c r="H2532" s="2">
        <v>198</v>
      </c>
      <c r="I2532" t="str">
        <f>"NORMALIZAWATI BINTI MATRAH"</f>
        <v>NORMALIZAWATI BINTI MATRAH</v>
      </c>
      <c r="J2532" t="str">
        <f t="shared" si="1044"/>
        <v>MAYBANK / MAYBANK ISLAMIC</v>
      </c>
      <c r="K2532" t="str">
        <f>"160027286995"</f>
        <v>160027286995</v>
      </c>
      <c r="L2532" t="str">
        <f t="shared" si="1047"/>
        <v>04-08-2020</v>
      </c>
      <c r="M2532" t="str">
        <f t="shared" si="1047"/>
        <v>04-08-2020</v>
      </c>
      <c r="N2532" t="str">
        <f t="shared" si="1031"/>
        <v>001105018356</v>
      </c>
      <c r="O2532" t="str">
        <f t="shared" si="1032"/>
        <v>MYR</v>
      </c>
      <c r="P2532" t="str">
        <f t="shared" si="1048"/>
        <v>NIL</v>
      </c>
      <c r="Q2532" t="str">
        <f t="shared" si="1048"/>
        <v>NIL</v>
      </c>
      <c r="R2532" t="str">
        <f t="shared" si="1033"/>
        <v>Accepted</v>
      </c>
      <c r="S2532" t="str">
        <f t="shared" si="1034"/>
        <v>Approved</v>
      </c>
      <c r="T2532" t="str">
        <f t="shared" si="1035"/>
        <v>10.20.8.188</v>
      </c>
      <c r="U2532" t="str">
        <f t="shared" si="1036"/>
        <v>AZRAD UMAR BIN SHAARI</v>
      </c>
      <c r="V2532" t="str">
        <f t="shared" si="1037"/>
        <v>FARHANA BINTI MUSTAPA</v>
      </c>
      <c r="W2532" t="str">
        <f t="shared" si="1038"/>
        <v>04-08-2020</v>
      </c>
      <c r="X2532" t="str">
        <f t="shared" si="1039"/>
        <v>RAZIMAH ANSAR AHMAD</v>
      </c>
      <c r="Y2532" t="str">
        <f t="shared" si="1040"/>
        <v>04-08-2020</v>
      </c>
      <c r="Z2532" t="str">
        <f>"COS10200804 6622"</f>
        <v>COS10200804 6622</v>
      </c>
    </row>
    <row r="2533" spans="1:26" x14ac:dyDescent="0.25">
      <c r="A2533" t="str">
        <f t="shared" si="1045"/>
        <v>04-08-2020 01:04:24</v>
      </c>
      <c r="B2533" t="str">
        <f>"0000808417"</f>
        <v>0000808417</v>
      </c>
      <c r="C2533" t="str">
        <f t="shared" si="1046"/>
        <v>0000808396</v>
      </c>
      <c r="D2533" t="str">
        <f t="shared" si="1028"/>
        <v>73185</v>
      </c>
      <c r="E2533" t="str">
        <f t="shared" si="1029"/>
        <v>KFH-OPERATIONS DEPARTMENT</v>
      </c>
      <c r="F2533" t="str">
        <f t="shared" si="1030"/>
        <v>IBG</v>
      </c>
      <c r="G2533" t="str">
        <f t="shared" si="1043"/>
        <v>Refund COSHARE 10</v>
      </c>
      <c r="H2533" s="2">
        <v>629.65</v>
      </c>
      <c r="I2533" t="str">
        <f>"NORMALAWATI BINTI ABDUL MALEK"</f>
        <v>NORMALAWATI BINTI ABDUL MALEK</v>
      </c>
      <c r="J2533" t="str">
        <f t="shared" si="1044"/>
        <v>MAYBANK / MAYBANK ISLAMIC</v>
      </c>
      <c r="K2533" t="str">
        <f>"164557224493"</f>
        <v>164557224493</v>
      </c>
      <c r="L2533" t="str">
        <f t="shared" si="1047"/>
        <v>04-08-2020</v>
      </c>
      <c r="M2533" t="str">
        <f t="shared" si="1047"/>
        <v>04-08-2020</v>
      </c>
      <c r="N2533" t="str">
        <f t="shared" si="1031"/>
        <v>001105018356</v>
      </c>
      <c r="O2533" t="str">
        <f t="shared" si="1032"/>
        <v>MYR</v>
      </c>
      <c r="P2533" t="str">
        <f t="shared" si="1048"/>
        <v>NIL</v>
      </c>
      <c r="Q2533" t="str">
        <f t="shared" si="1048"/>
        <v>NIL</v>
      </c>
      <c r="R2533" t="str">
        <f t="shared" si="1033"/>
        <v>Accepted</v>
      </c>
      <c r="S2533" t="str">
        <f t="shared" si="1034"/>
        <v>Approved</v>
      </c>
      <c r="T2533" t="str">
        <f t="shared" si="1035"/>
        <v>10.20.8.188</v>
      </c>
      <c r="U2533" t="str">
        <f t="shared" si="1036"/>
        <v>AZRAD UMAR BIN SHAARI</v>
      </c>
      <c r="V2533" t="str">
        <f t="shared" si="1037"/>
        <v>FARHANA BINTI MUSTAPA</v>
      </c>
      <c r="W2533" t="str">
        <f t="shared" si="1038"/>
        <v>04-08-2020</v>
      </c>
      <c r="X2533" t="str">
        <f t="shared" si="1039"/>
        <v>RAZIMAH ANSAR AHMAD</v>
      </c>
      <c r="Y2533" t="str">
        <f t="shared" si="1040"/>
        <v>04-08-2020</v>
      </c>
      <c r="Z2533" t="str">
        <f>"COS10200804 6621"</f>
        <v>COS10200804 6621</v>
      </c>
    </row>
    <row r="2534" spans="1:26" x14ac:dyDescent="0.25">
      <c r="A2534" t="str">
        <f t="shared" si="1045"/>
        <v>04-08-2020 01:04:24</v>
      </c>
      <c r="B2534" t="str">
        <f>"0000808416"</f>
        <v>0000808416</v>
      </c>
      <c r="C2534" t="str">
        <f t="shared" si="1046"/>
        <v>0000808396</v>
      </c>
      <c r="D2534" t="str">
        <f t="shared" si="1028"/>
        <v>73185</v>
      </c>
      <c r="E2534" t="str">
        <f t="shared" si="1029"/>
        <v>KFH-OPERATIONS DEPARTMENT</v>
      </c>
      <c r="F2534" t="str">
        <f t="shared" si="1030"/>
        <v>IBG</v>
      </c>
      <c r="G2534" t="str">
        <f t="shared" si="1043"/>
        <v>Refund COSHARE 10</v>
      </c>
      <c r="H2534" s="2">
        <v>83.95</v>
      </c>
      <c r="I2534" t="str">
        <f>"NORMALASARI BINTI CHE ASHAARI"</f>
        <v>NORMALASARI BINTI CHE ASHAARI</v>
      </c>
      <c r="J2534" t="str">
        <f t="shared" si="1044"/>
        <v>MAYBANK / MAYBANK ISLAMIC</v>
      </c>
      <c r="K2534" t="str">
        <f>"152068610530"</f>
        <v>152068610530</v>
      </c>
      <c r="L2534" t="str">
        <f t="shared" si="1047"/>
        <v>04-08-2020</v>
      </c>
      <c r="M2534" t="str">
        <f t="shared" si="1047"/>
        <v>04-08-2020</v>
      </c>
      <c r="N2534" t="str">
        <f t="shared" si="1031"/>
        <v>001105018356</v>
      </c>
      <c r="O2534" t="str">
        <f t="shared" si="1032"/>
        <v>MYR</v>
      </c>
      <c r="P2534" t="str">
        <f t="shared" si="1048"/>
        <v>NIL</v>
      </c>
      <c r="Q2534" t="str">
        <f t="shared" si="1048"/>
        <v>NIL</v>
      </c>
      <c r="R2534" t="str">
        <f t="shared" si="1033"/>
        <v>Accepted</v>
      </c>
      <c r="S2534" t="str">
        <f t="shared" si="1034"/>
        <v>Approved</v>
      </c>
      <c r="T2534" t="str">
        <f t="shared" si="1035"/>
        <v>10.20.8.188</v>
      </c>
      <c r="U2534" t="str">
        <f t="shared" si="1036"/>
        <v>AZRAD UMAR BIN SHAARI</v>
      </c>
      <c r="V2534" t="str">
        <f t="shared" si="1037"/>
        <v>FARHANA BINTI MUSTAPA</v>
      </c>
      <c r="W2534" t="str">
        <f t="shared" si="1038"/>
        <v>04-08-2020</v>
      </c>
      <c r="X2534" t="str">
        <f t="shared" si="1039"/>
        <v>RAZIMAH ANSAR AHMAD</v>
      </c>
      <c r="Y2534" t="str">
        <f t="shared" si="1040"/>
        <v>04-08-2020</v>
      </c>
      <c r="Z2534" t="str">
        <f>"COS10200804 6620"</f>
        <v>COS10200804 6620</v>
      </c>
    </row>
    <row r="2535" spans="1:26" x14ac:dyDescent="0.25">
      <c r="A2535" t="str">
        <f t="shared" si="1045"/>
        <v>04-08-2020 01:04:24</v>
      </c>
      <c r="B2535" t="str">
        <f>"0000808415"</f>
        <v>0000808415</v>
      </c>
      <c r="C2535" t="str">
        <f t="shared" si="1046"/>
        <v>0000808396</v>
      </c>
      <c r="D2535" t="str">
        <f t="shared" si="1028"/>
        <v>73185</v>
      </c>
      <c r="E2535" t="str">
        <f t="shared" si="1029"/>
        <v>KFH-OPERATIONS DEPARTMENT</v>
      </c>
      <c r="F2535" t="str">
        <f t="shared" si="1030"/>
        <v>IBG</v>
      </c>
      <c r="G2535" t="str">
        <f t="shared" si="1043"/>
        <v>Refund COSHARE 10</v>
      </c>
      <c r="H2535" s="2">
        <v>337.8</v>
      </c>
      <c r="I2535" t="str">
        <f>"NORMALA BINTI LATIFF"</f>
        <v>NORMALA BINTI LATIFF</v>
      </c>
      <c r="J2535" t="str">
        <f t="shared" si="1044"/>
        <v>MAYBANK / MAYBANK ISLAMIC</v>
      </c>
      <c r="K2535" t="str">
        <f>"108010547243"</f>
        <v>108010547243</v>
      </c>
      <c r="L2535" t="str">
        <f t="shared" si="1047"/>
        <v>04-08-2020</v>
      </c>
      <c r="M2535" t="str">
        <f t="shared" si="1047"/>
        <v>04-08-2020</v>
      </c>
      <c r="N2535" t="str">
        <f t="shared" si="1031"/>
        <v>001105018356</v>
      </c>
      <c r="O2535" t="str">
        <f t="shared" si="1032"/>
        <v>MYR</v>
      </c>
      <c r="P2535" t="str">
        <f t="shared" si="1048"/>
        <v>NIL</v>
      </c>
      <c r="Q2535" t="str">
        <f t="shared" si="1048"/>
        <v>NIL</v>
      </c>
      <c r="R2535" t="str">
        <f t="shared" si="1033"/>
        <v>Accepted</v>
      </c>
      <c r="S2535" t="str">
        <f t="shared" si="1034"/>
        <v>Approved</v>
      </c>
      <c r="T2535" t="str">
        <f t="shared" si="1035"/>
        <v>10.20.8.188</v>
      </c>
      <c r="U2535" t="str">
        <f t="shared" si="1036"/>
        <v>AZRAD UMAR BIN SHAARI</v>
      </c>
      <c r="V2535" t="str">
        <f t="shared" si="1037"/>
        <v>FARHANA BINTI MUSTAPA</v>
      </c>
      <c r="W2535" t="str">
        <f t="shared" si="1038"/>
        <v>04-08-2020</v>
      </c>
      <c r="X2535" t="str">
        <f t="shared" si="1039"/>
        <v>RAZIMAH ANSAR AHMAD</v>
      </c>
      <c r="Y2535" t="str">
        <f t="shared" si="1040"/>
        <v>04-08-2020</v>
      </c>
      <c r="Z2535" t="str">
        <f>"COS10200804 6619"</f>
        <v>COS10200804 6619</v>
      </c>
    </row>
    <row r="2536" spans="1:26" x14ac:dyDescent="0.25">
      <c r="A2536" t="str">
        <f t="shared" si="1045"/>
        <v>04-08-2020 01:04:24</v>
      </c>
      <c r="B2536" t="str">
        <f>"0000808414"</f>
        <v>0000808414</v>
      </c>
      <c r="C2536" t="str">
        <f t="shared" si="1046"/>
        <v>0000808396</v>
      </c>
      <c r="D2536" t="str">
        <f t="shared" si="1028"/>
        <v>73185</v>
      </c>
      <c r="E2536" t="str">
        <f t="shared" si="1029"/>
        <v>KFH-OPERATIONS DEPARTMENT</v>
      </c>
      <c r="F2536" t="str">
        <f t="shared" si="1030"/>
        <v>IBG</v>
      </c>
      <c r="G2536" t="str">
        <f t="shared" si="1043"/>
        <v>Refund COSHARE 10</v>
      </c>
      <c r="H2536" s="2">
        <v>979</v>
      </c>
      <c r="I2536" t="str">
        <f>"NORMALA BINTI JALAD"</f>
        <v>NORMALA BINTI JALAD</v>
      </c>
      <c r="J2536" t="str">
        <f t="shared" si="1044"/>
        <v>MAYBANK / MAYBANK ISLAMIC</v>
      </c>
      <c r="K2536" t="str">
        <f>"160111261476"</f>
        <v>160111261476</v>
      </c>
      <c r="L2536" t="str">
        <f t="shared" si="1047"/>
        <v>04-08-2020</v>
      </c>
      <c r="M2536" t="str">
        <f t="shared" si="1047"/>
        <v>04-08-2020</v>
      </c>
      <c r="N2536" t="str">
        <f t="shared" si="1031"/>
        <v>001105018356</v>
      </c>
      <c r="O2536" t="str">
        <f t="shared" si="1032"/>
        <v>MYR</v>
      </c>
      <c r="P2536" t="str">
        <f t="shared" si="1048"/>
        <v>NIL</v>
      </c>
      <c r="Q2536" t="str">
        <f t="shared" si="1048"/>
        <v>NIL</v>
      </c>
      <c r="R2536" t="str">
        <f t="shared" si="1033"/>
        <v>Accepted</v>
      </c>
      <c r="S2536" t="str">
        <f t="shared" si="1034"/>
        <v>Approved</v>
      </c>
      <c r="T2536" t="str">
        <f t="shared" si="1035"/>
        <v>10.20.8.188</v>
      </c>
      <c r="U2536" t="str">
        <f t="shared" si="1036"/>
        <v>AZRAD UMAR BIN SHAARI</v>
      </c>
      <c r="V2536" t="str">
        <f t="shared" si="1037"/>
        <v>FARHANA BINTI MUSTAPA</v>
      </c>
      <c r="W2536" t="str">
        <f t="shared" si="1038"/>
        <v>04-08-2020</v>
      </c>
      <c r="X2536" t="str">
        <f t="shared" si="1039"/>
        <v>RAZIMAH ANSAR AHMAD</v>
      </c>
      <c r="Y2536" t="str">
        <f t="shared" si="1040"/>
        <v>04-08-2020</v>
      </c>
      <c r="Z2536" t="str">
        <f>"COS10200804 6618"</f>
        <v>COS10200804 6618</v>
      </c>
    </row>
    <row r="2537" spans="1:26" x14ac:dyDescent="0.25">
      <c r="A2537" t="str">
        <f t="shared" si="1045"/>
        <v>04-08-2020 01:04:24</v>
      </c>
      <c r="B2537" t="str">
        <f>"0000808413"</f>
        <v>0000808413</v>
      </c>
      <c r="C2537" t="str">
        <f t="shared" si="1046"/>
        <v>0000808396</v>
      </c>
      <c r="D2537" t="str">
        <f t="shared" si="1028"/>
        <v>73185</v>
      </c>
      <c r="E2537" t="str">
        <f t="shared" si="1029"/>
        <v>KFH-OPERATIONS DEPARTMENT</v>
      </c>
      <c r="F2537" t="str">
        <f t="shared" si="1030"/>
        <v>IBG</v>
      </c>
      <c r="G2537" t="str">
        <f t="shared" si="1043"/>
        <v>Refund COSHARE 10</v>
      </c>
      <c r="H2537" s="2">
        <v>510.8</v>
      </c>
      <c r="I2537" t="str">
        <f>"NORMAHANI BINTI NORMAN"</f>
        <v>NORMAHANI BINTI NORMAN</v>
      </c>
      <c r="J2537" t="str">
        <f t="shared" si="1044"/>
        <v>MAYBANK / MAYBANK ISLAMIC</v>
      </c>
      <c r="K2537" t="str">
        <f>"103089010490"</f>
        <v>103089010490</v>
      </c>
      <c r="L2537" t="str">
        <f t="shared" si="1047"/>
        <v>04-08-2020</v>
      </c>
      <c r="M2537" t="str">
        <f t="shared" si="1047"/>
        <v>04-08-2020</v>
      </c>
      <c r="N2537" t="str">
        <f t="shared" si="1031"/>
        <v>001105018356</v>
      </c>
      <c r="O2537" t="str">
        <f t="shared" si="1032"/>
        <v>MYR</v>
      </c>
      <c r="P2537" t="str">
        <f t="shared" si="1048"/>
        <v>NIL</v>
      </c>
      <c r="Q2537" t="str">
        <f t="shared" si="1048"/>
        <v>NIL</v>
      </c>
      <c r="R2537" t="str">
        <f t="shared" si="1033"/>
        <v>Accepted</v>
      </c>
      <c r="S2537" t="str">
        <f t="shared" si="1034"/>
        <v>Approved</v>
      </c>
      <c r="T2537" t="str">
        <f t="shared" si="1035"/>
        <v>10.20.8.188</v>
      </c>
      <c r="U2537" t="str">
        <f t="shared" si="1036"/>
        <v>AZRAD UMAR BIN SHAARI</v>
      </c>
      <c r="V2537" t="str">
        <f t="shared" si="1037"/>
        <v>FARHANA BINTI MUSTAPA</v>
      </c>
      <c r="W2537" t="str">
        <f t="shared" si="1038"/>
        <v>04-08-2020</v>
      </c>
      <c r="X2537" t="str">
        <f t="shared" si="1039"/>
        <v>RAZIMAH ANSAR AHMAD</v>
      </c>
      <c r="Y2537" t="str">
        <f t="shared" si="1040"/>
        <v>04-08-2020</v>
      </c>
      <c r="Z2537" t="str">
        <f>"COS10200804 6617"</f>
        <v>COS10200804 6617</v>
      </c>
    </row>
    <row r="2538" spans="1:26" x14ac:dyDescent="0.25">
      <c r="A2538" t="str">
        <f t="shared" si="1045"/>
        <v>04-08-2020 01:04:24</v>
      </c>
      <c r="B2538" t="str">
        <f>"0000808412"</f>
        <v>0000808412</v>
      </c>
      <c r="C2538" t="str">
        <f t="shared" si="1046"/>
        <v>0000808396</v>
      </c>
      <c r="D2538" t="str">
        <f t="shared" si="1028"/>
        <v>73185</v>
      </c>
      <c r="E2538" t="str">
        <f t="shared" si="1029"/>
        <v>KFH-OPERATIONS DEPARTMENT</v>
      </c>
      <c r="F2538" t="str">
        <f t="shared" si="1030"/>
        <v>IBG</v>
      </c>
      <c r="G2538" t="str">
        <f t="shared" si="1043"/>
        <v>Refund COSHARE 10</v>
      </c>
      <c r="H2538" s="2">
        <v>1787.8</v>
      </c>
      <c r="I2538" t="str">
        <f>"NORMAHANI BINTI ABDULLAH"</f>
        <v>NORMAHANI BINTI ABDULLAH</v>
      </c>
      <c r="J2538" t="str">
        <f t="shared" si="1044"/>
        <v>MAYBANK / MAYBANK ISLAMIC</v>
      </c>
      <c r="K2538" t="str">
        <f>"156123502643"</f>
        <v>156123502643</v>
      </c>
      <c r="L2538" t="str">
        <f t="shared" si="1047"/>
        <v>04-08-2020</v>
      </c>
      <c r="M2538" t="str">
        <f t="shared" si="1047"/>
        <v>04-08-2020</v>
      </c>
      <c r="N2538" t="str">
        <f t="shared" si="1031"/>
        <v>001105018356</v>
      </c>
      <c r="O2538" t="str">
        <f t="shared" si="1032"/>
        <v>MYR</v>
      </c>
      <c r="P2538" t="str">
        <f t="shared" si="1048"/>
        <v>NIL</v>
      </c>
      <c r="Q2538" t="str">
        <f t="shared" si="1048"/>
        <v>NIL</v>
      </c>
      <c r="R2538" t="str">
        <f t="shared" si="1033"/>
        <v>Accepted</v>
      </c>
      <c r="S2538" t="str">
        <f t="shared" si="1034"/>
        <v>Approved</v>
      </c>
      <c r="T2538" t="str">
        <f t="shared" si="1035"/>
        <v>10.20.8.188</v>
      </c>
      <c r="U2538" t="str">
        <f t="shared" si="1036"/>
        <v>AZRAD UMAR BIN SHAARI</v>
      </c>
      <c r="V2538" t="str">
        <f t="shared" si="1037"/>
        <v>FARHANA BINTI MUSTAPA</v>
      </c>
      <c r="W2538" t="str">
        <f t="shared" si="1038"/>
        <v>04-08-2020</v>
      </c>
      <c r="X2538" t="str">
        <f t="shared" si="1039"/>
        <v>RAZIMAH ANSAR AHMAD</v>
      </c>
      <c r="Y2538" t="str">
        <f t="shared" si="1040"/>
        <v>04-08-2020</v>
      </c>
      <c r="Z2538" t="str">
        <f>"COS10200804 6616"</f>
        <v>COS10200804 6616</v>
      </c>
    </row>
    <row r="2539" spans="1:26" x14ac:dyDescent="0.25">
      <c r="A2539" t="str">
        <f t="shared" si="1045"/>
        <v>04-08-2020 01:04:24</v>
      </c>
      <c r="B2539" t="str">
        <f>"0000808411"</f>
        <v>0000808411</v>
      </c>
      <c r="C2539" t="str">
        <f t="shared" si="1046"/>
        <v>0000808396</v>
      </c>
      <c r="D2539" t="str">
        <f t="shared" si="1028"/>
        <v>73185</v>
      </c>
      <c r="E2539" t="str">
        <f t="shared" si="1029"/>
        <v>KFH-OPERATIONS DEPARTMENT</v>
      </c>
      <c r="F2539" t="str">
        <f t="shared" si="1030"/>
        <v>IBG</v>
      </c>
      <c r="G2539" t="str">
        <f t="shared" si="1043"/>
        <v>Refund COSHARE 10</v>
      </c>
      <c r="H2539" s="2">
        <v>1893.05</v>
      </c>
      <c r="I2539" t="str">
        <f>"NORMAH BINTI MD YUSUF"</f>
        <v>NORMAH BINTI MD YUSUF</v>
      </c>
      <c r="J2539" t="str">
        <f t="shared" si="1044"/>
        <v>MAYBANK / MAYBANK ISLAMIC</v>
      </c>
      <c r="K2539" t="str">
        <f>"151061009349"</f>
        <v>151061009349</v>
      </c>
      <c r="L2539" t="str">
        <f t="shared" si="1047"/>
        <v>04-08-2020</v>
      </c>
      <c r="M2539" t="str">
        <f t="shared" si="1047"/>
        <v>04-08-2020</v>
      </c>
      <c r="N2539" t="str">
        <f t="shared" si="1031"/>
        <v>001105018356</v>
      </c>
      <c r="O2539" t="str">
        <f t="shared" si="1032"/>
        <v>MYR</v>
      </c>
      <c r="P2539" t="str">
        <f t="shared" si="1048"/>
        <v>NIL</v>
      </c>
      <c r="Q2539" t="str">
        <f t="shared" si="1048"/>
        <v>NIL</v>
      </c>
      <c r="R2539" t="str">
        <f t="shared" si="1033"/>
        <v>Accepted</v>
      </c>
      <c r="S2539" t="str">
        <f t="shared" si="1034"/>
        <v>Approved</v>
      </c>
      <c r="T2539" t="str">
        <f t="shared" si="1035"/>
        <v>10.20.8.188</v>
      </c>
      <c r="U2539" t="str">
        <f t="shared" si="1036"/>
        <v>AZRAD UMAR BIN SHAARI</v>
      </c>
      <c r="V2539" t="str">
        <f t="shared" si="1037"/>
        <v>FARHANA BINTI MUSTAPA</v>
      </c>
      <c r="W2539" t="str">
        <f t="shared" si="1038"/>
        <v>04-08-2020</v>
      </c>
      <c r="X2539" t="str">
        <f t="shared" si="1039"/>
        <v>RAZIMAH ANSAR AHMAD</v>
      </c>
      <c r="Y2539" t="str">
        <f t="shared" si="1040"/>
        <v>04-08-2020</v>
      </c>
      <c r="Z2539" t="str">
        <f>"COS10200804 6615"</f>
        <v>COS10200804 6615</v>
      </c>
    </row>
    <row r="2540" spans="1:26" x14ac:dyDescent="0.25">
      <c r="A2540" t="str">
        <f t="shared" si="1045"/>
        <v>04-08-2020 01:04:24</v>
      </c>
      <c r="B2540" t="str">
        <f>"0000808410"</f>
        <v>0000808410</v>
      </c>
      <c r="C2540" t="str">
        <f t="shared" si="1046"/>
        <v>0000808396</v>
      </c>
      <c r="D2540" t="str">
        <f t="shared" si="1028"/>
        <v>73185</v>
      </c>
      <c r="E2540" t="str">
        <f t="shared" si="1029"/>
        <v>KFH-OPERATIONS DEPARTMENT</v>
      </c>
      <c r="F2540" t="str">
        <f t="shared" si="1030"/>
        <v>IBG</v>
      </c>
      <c r="G2540" t="str">
        <f t="shared" si="1043"/>
        <v>Refund COSHARE 10</v>
      </c>
      <c r="H2540" s="2">
        <v>843</v>
      </c>
      <c r="I2540" t="str">
        <f>"NORMAH BINTI DAHROJI"</f>
        <v>NORMAH BINTI DAHROJI</v>
      </c>
      <c r="J2540" t="str">
        <f t="shared" si="1044"/>
        <v>MAYBANK / MAYBANK ISLAMIC</v>
      </c>
      <c r="K2540" t="str">
        <f>"112053453594"</f>
        <v>112053453594</v>
      </c>
      <c r="L2540" t="str">
        <f t="shared" si="1047"/>
        <v>04-08-2020</v>
      </c>
      <c r="M2540" t="str">
        <f t="shared" si="1047"/>
        <v>04-08-2020</v>
      </c>
      <c r="N2540" t="str">
        <f t="shared" si="1031"/>
        <v>001105018356</v>
      </c>
      <c r="O2540" t="str">
        <f t="shared" si="1032"/>
        <v>MYR</v>
      </c>
      <c r="P2540" t="str">
        <f t="shared" si="1048"/>
        <v>NIL</v>
      </c>
      <c r="Q2540" t="str">
        <f t="shared" si="1048"/>
        <v>NIL</v>
      </c>
      <c r="R2540" t="str">
        <f t="shared" si="1033"/>
        <v>Accepted</v>
      </c>
      <c r="S2540" t="str">
        <f t="shared" si="1034"/>
        <v>Approved</v>
      </c>
      <c r="T2540" t="str">
        <f t="shared" si="1035"/>
        <v>10.20.8.188</v>
      </c>
      <c r="U2540" t="str">
        <f t="shared" si="1036"/>
        <v>AZRAD UMAR BIN SHAARI</v>
      </c>
      <c r="V2540" t="str">
        <f t="shared" si="1037"/>
        <v>FARHANA BINTI MUSTAPA</v>
      </c>
      <c r="W2540" t="str">
        <f t="shared" si="1038"/>
        <v>04-08-2020</v>
      </c>
      <c r="X2540" t="str">
        <f t="shared" si="1039"/>
        <v>RAZIMAH ANSAR AHMAD</v>
      </c>
      <c r="Y2540" t="str">
        <f t="shared" si="1040"/>
        <v>04-08-2020</v>
      </c>
      <c r="Z2540" t="str">
        <f>"COS10200804 6614"</f>
        <v>COS10200804 6614</v>
      </c>
    </row>
    <row r="2541" spans="1:26" x14ac:dyDescent="0.25">
      <c r="A2541" t="str">
        <f t="shared" si="1045"/>
        <v>04-08-2020 01:04:24</v>
      </c>
      <c r="B2541" t="str">
        <f>"0000808409"</f>
        <v>0000808409</v>
      </c>
      <c r="C2541" t="str">
        <f t="shared" si="1046"/>
        <v>0000808396</v>
      </c>
      <c r="D2541" t="str">
        <f t="shared" si="1028"/>
        <v>73185</v>
      </c>
      <c r="E2541" t="str">
        <f t="shared" si="1029"/>
        <v>KFH-OPERATIONS DEPARTMENT</v>
      </c>
      <c r="F2541" t="str">
        <f t="shared" si="1030"/>
        <v>IBG</v>
      </c>
      <c r="G2541" t="str">
        <f t="shared" si="1043"/>
        <v>Refund COSHARE 10</v>
      </c>
      <c r="H2541" s="2">
        <v>160</v>
      </c>
      <c r="I2541" t="str">
        <f>"NORMADIYANA BINTI AHMAD"</f>
        <v>NORMADIYANA BINTI AHMAD</v>
      </c>
      <c r="J2541" t="str">
        <f t="shared" si="1044"/>
        <v>MAYBANK / MAYBANK ISLAMIC</v>
      </c>
      <c r="K2541" t="str">
        <f>"158202157944"</f>
        <v>158202157944</v>
      </c>
      <c r="L2541" t="str">
        <f t="shared" si="1047"/>
        <v>04-08-2020</v>
      </c>
      <c r="M2541" t="str">
        <f t="shared" si="1047"/>
        <v>04-08-2020</v>
      </c>
      <c r="N2541" t="str">
        <f t="shared" si="1031"/>
        <v>001105018356</v>
      </c>
      <c r="O2541" t="str">
        <f t="shared" si="1032"/>
        <v>MYR</v>
      </c>
      <c r="P2541" t="str">
        <f t="shared" si="1048"/>
        <v>NIL</v>
      </c>
      <c r="Q2541" t="str">
        <f t="shared" si="1048"/>
        <v>NIL</v>
      </c>
      <c r="R2541" t="str">
        <f t="shared" si="1033"/>
        <v>Accepted</v>
      </c>
      <c r="S2541" t="str">
        <f t="shared" si="1034"/>
        <v>Approved</v>
      </c>
      <c r="T2541" t="str">
        <f t="shared" si="1035"/>
        <v>10.20.8.188</v>
      </c>
      <c r="U2541" t="str">
        <f t="shared" si="1036"/>
        <v>AZRAD UMAR BIN SHAARI</v>
      </c>
      <c r="V2541" t="str">
        <f t="shared" si="1037"/>
        <v>FARHANA BINTI MUSTAPA</v>
      </c>
      <c r="W2541" t="str">
        <f t="shared" si="1038"/>
        <v>04-08-2020</v>
      </c>
      <c r="X2541" t="str">
        <f t="shared" si="1039"/>
        <v>RAZIMAH ANSAR AHMAD</v>
      </c>
      <c r="Y2541" t="str">
        <f t="shared" si="1040"/>
        <v>04-08-2020</v>
      </c>
      <c r="Z2541" t="str">
        <f>"COS10200804 6613"</f>
        <v>COS10200804 6613</v>
      </c>
    </row>
    <row r="2542" spans="1:26" x14ac:dyDescent="0.25">
      <c r="A2542" t="str">
        <f t="shared" si="1045"/>
        <v>04-08-2020 01:04:24</v>
      </c>
      <c r="B2542" t="str">
        <f>"0000808408"</f>
        <v>0000808408</v>
      </c>
      <c r="C2542" t="str">
        <f t="shared" si="1046"/>
        <v>0000808396</v>
      </c>
      <c r="D2542" t="str">
        <f t="shared" si="1028"/>
        <v>73185</v>
      </c>
      <c r="E2542" t="str">
        <f t="shared" si="1029"/>
        <v>KFH-OPERATIONS DEPARTMENT</v>
      </c>
      <c r="F2542" t="str">
        <f t="shared" si="1030"/>
        <v>IBG</v>
      </c>
      <c r="G2542" t="str">
        <f t="shared" si="1043"/>
        <v>Refund COSHARE 10</v>
      </c>
      <c r="H2542" s="2">
        <v>486.95</v>
      </c>
      <c r="I2542" t="str">
        <f>"NORMADIHAH BINTI ALIAS"</f>
        <v>NORMADIHAH BINTI ALIAS</v>
      </c>
      <c r="J2542" t="str">
        <f t="shared" si="1044"/>
        <v>MAYBANK / MAYBANK ISLAMIC</v>
      </c>
      <c r="K2542" t="str">
        <f>"151044077635"</f>
        <v>151044077635</v>
      </c>
      <c r="L2542" t="str">
        <f t="shared" si="1047"/>
        <v>04-08-2020</v>
      </c>
      <c r="M2542" t="str">
        <f t="shared" si="1047"/>
        <v>04-08-2020</v>
      </c>
      <c r="N2542" t="str">
        <f t="shared" si="1031"/>
        <v>001105018356</v>
      </c>
      <c r="O2542" t="str">
        <f t="shared" si="1032"/>
        <v>MYR</v>
      </c>
      <c r="P2542" t="str">
        <f t="shared" si="1048"/>
        <v>NIL</v>
      </c>
      <c r="Q2542" t="str">
        <f t="shared" si="1048"/>
        <v>NIL</v>
      </c>
      <c r="R2542" t="str">
        <f t="shared" si="1033"/>
        <v>Accepted</v>
      </c>
      <c r="S2542" t="str">
        <f t="shared" si="1034"/>
        <v>Approved</v>
      </c>
      <c r="T2542" t="str">
        <f t="shared" si="1035"/>
        <v>10.20.8.188</v>
      </c>
      <c r="U2542" t="str">
        <f t="shared" si="1036"/>
        <v>AZRAD UMAR BIN SHAARI</v>
      </c>
      <c r="V2542" t="str">
        <f t="shared" si="1037"/>
        <v>FARHANA BINTI MUSTAPA</v>
      </c>
      <c r="W2542" t="str">
        <f t="shared" si="1038"/>
        <v>04-08-2020</v>
      </c>
      <c r="X2542" t="str">
        <f t="shared" si="1039"/>
        <v>RAZIMAH ANSAR AHMAD</v>
      </c>
      <c r="Y2542" t="str">
        <f t="shared" si="1040"/>
        <v>04-08-2020</v>
      </c>
      <c r="Z2542" t="str">
        <f>"COS10200804 6612"</f>
        <v>COS10200804 6612</v>
      </c>
    </row>
    <row r="2543" spans="1:26" x14ac:dyDescent="0.25">
      <c r="A2543" t="str">
        <f t="shared" si="1045"/>
        <v>04-08-2020 01:04:24</v>
      </c>
      <c r="B2543" t="str">
        <f>"0000808407"</f>
        <v>0000808407</v>
      </c>
      <c r="C2543" t="str">
        <f t="shared" si="1046"/>
        <v>0000808396</v>
      </c>
      <c r="D2543" t="str">
        <f t="shared" si="1028"/>
        <v>73185</v>
      </c>
      <c r="E2543" t="str">
        <f t="shared" si="1029"/>
        <v>KFH-OPERATIONS DEPARTMENT</v>
      </c>
      <c r="F2543" t="str">
        <f t="shared" si="1030"/>
        <v>IBG</v>
      </c>
      <c r="G2543" t="str">
        <f t="shared" si="1043"/>
        <v>Refund COSHARE 10</v>
      </c>
      <c r="H2543" s="2">
        <v>1108.1500000000001</v>
      </c>
      <c r="I2543" t="str">
        <f>"NORMA LIZA BINTI MUGNI"</f>
        <v>NORMA LIZA BINTI MUGNI</v>
      </c>
      <c r="J2543" t="str">
        <f t="shared" si="1044"/>
        <v>MAYBANK / MAYBANK ISLAMIC</v>
      </c>
      <c r="K2543" t="str">
        <f>"158079661622"</f>
        <v>158079661622</v>
      </c>
      <c r="L2543" t="str">
        <f t="shared" si="1047"/>
        <v>04-08-2020</v>
      </c>
      <c r="M2543" t="str">
        <f t="shared" si="1047"/>
        <v>04-08-2020</v>
      </c>
      <c r="N2543" t="str">
        <f t="shared" si="1031"/>
        <v>001105018356</v>
      </c>
      <c r="O2543" t="str">
        <f t="shared" si="1032"/>
        <v>MYR</v>
      </c>
      <c r="P2543" t="str">
        <f t="shared" si="1048"/>
        <v>NIL</v>
      </c>
      <c r="Q2543" t="str">
        <f t="shared" si="1048"/>
        <v>NIL</v>
      </c>
      <c r="R2543" t="str">
        <f t="shared" si="1033"/>
        <v>Accepted</v>
      </c>
      <c r="S2543" t="str">
        <f t="shared" si="1034"/>
        <v>Approved</v>
      </c>
      <c r="T2543" t="str">
        <f t="shared" si="1035"/>
        <v>10.20.8.188</v>
      </c>
      <c r="U2543" t="str">
        <f t="shared" si="1036"/>
        <v>AZRAD UMAR BIN SHAARI</v>
      </c>
      <c r="V2543" t="str">
        <f t="shared" si="1037"/>
        <v>FARHANA BINTI MUSTAPA</v>
      </c>
      <c r="W2543" t="str">
        <f t="shared" si="1038"/>
        <v>04-08-2020</v>
      </c>
      <c r="X2543" t="str">
        <f t="shared" si="1039"/>
        <v>RAZIMAH ANSAR AHMAD</v>
      </c>
      <c r="Y2543" t="str">
        <f t="shared" si="1040"/>
        <v>04-08-2020</v>
      </c>
      <c r="Z2543" t="str">
        <f>"COS10200804 6611"</f>
        <v>COS10200804 6611</v>
      </c>
    </row>
    <row r="2544" spans="1:26" x14ac:dyDescent="0.25">
      <c r="A2544" t="str">
        <f t="shared" si="1045"/>
        <v>04-08-2020 01:04:24</v>
      </c>
      <c r="B2544" t="str">
        <f>"0000808406"</f>
        <v>0000808406</v>
      </c>
      <c r="C2544" t="str">
        <f t="shared" si="1046"/>
        <v>0000808396</v>
      </c>
      <c r="D2544" t="str">
        <f t="shared" si="1028"/>
        <v>73185</v>
      </c>
      <c r="E2544" t="str">
        <f t="shared" si="1029"/>
        <v>KFH-OPERATIONS DEPARTMENT</v>
      </c>
      <c r="F2544" t="str">
        <f t="shared" si="1030"/>
        <v>IBG</v>
      </c>
      <c r="G2544" t="str">
        <f t="shared" si="1043"/>
        <v>Refund COSHARE 10</v>
      </c>
      <c r="H2544" s="2">
        <v>1645.45</v>
      </c>
      <c r="I2544" t="str">
        <f>"NORMA BINTI ISMAIL"</f>
        <v>NORMA BINTI ISMAIL</v>
      </c>
      <c r="J2544" t="str">
        <f t="shared" si="1044"/>
        <v>MAYBANK / MAYBANK ISLAMIC</v>
      </c>
      <c r="K2544" t="str">
        <f>"162076003666"</f>
        <v>162076003666</v>
      </c>
      <c r="L2544" t="str">
        <f t="shared" si="1047"/>
        <v>04-08-2020</v>
      </c>
      <c r="M2544" t="str">
        <f t="shared" si="1047"/>
        <v>04-08-2020</v>
      </c>
      <c r="N2544" t="str">
        <f t="shared" si="1031"/>
        <v>001105018356</v>
      </c>
      <c r="O2544" t="str">
        <f t="shared" si="1032"/>
        <v>MYR</v>
      </c>
      <c r="P2544" t="str">
        <f t="shared" si="1048"/>
        <v>NIL</v>
      </c>
      <c r="Q2544" t="str">
        <f t="shared" si="1048"/>
        <v>NIL</v>
      </c>
      <c r="R2544" t="str">
        <f t="shared" si="1033"/>
        <v>Accepted</v>
      </c>
      <c r="S2544" t="str">
        <f t="shared" si="1034"/>
        <v>Approved</v>
      </c>
      <c r="T2544" t="str">
        <f t="shared" si="1035"/>
        <v>10.20.8.188</v>
      </c>
      <c r="U2544" t="str">
        <f t="shared" si="1036"/>
        <v>AZRAD UMAR BIN SHAARI</v>
      </c>
      <c r="V2544" t="str">
        <f t="shared" si="1037"/>
        <v>FARHANA BINTI MUSTAPA</v>
      </c>
      <c r="W2544" t="str">
        <f t="shared" si="1038"/>
        <v>04-08-2020</v>
      </c>
      <c r="X2544" t="str">
        <f t="shared" si="1039"/>
        <v>RAZIMAH ANSAR AHMAD</v>
      </c>
      <c r="Y2544" t="str">
        <f t="shared" si="1040"/>
        <v>04-08-2020</v>
      </c>
      <c r="Z2544" t="str">
        <f>"COS10200804 6610"</f>
        <v>COS10200804 6610</v>
      </c>
    </row>
    <row r="2545" spans="1:26" x14ac:dyDescent="0.25">
      <c r="A2545" t="str">
        <f t="shared" si="1045"/>
        <v>04-08-2020 01:04:24</v>
      </c>
      <c r="B2545" t="str">
        <f>"0000808405"</f>
        <v>0000808405</v>
      </c>
      <c r="C2545" t="str">
        <f t="shared" si="1046"/>
        <v>0000808396</v>
      </c>
      <c r="D2545" t="str">
        <f t="shared" si="1028"/>
        <v>73185</v>
      </c>
      <c r="E2545" t="str">
        <f t="shared" si="1029"/>
        <v>KFH-OPERATIONS DEPARTMENT</v>
      </c>
      <c r="F2545" t="str">
        <f t="shared" si="1030"/>
        <v>IBG</v>
      </c>
      <c r="G2545" t="str">
        <f t="shared" si="1043"/>
        <v>Refund COSHARE 10</v>
      </c>
      <c r="H2545" s="2">
        <v>335.8</v>
      </c>
      <c r="I2545" t="str">
        <f>"NORLYANA BINTI MOHAMED SALLEH"</f>
        <v>NORLYANA BINTI MOHAMED SALLEH</v>
      </c>
      <c r="J2545" t="str">
        <f t="shared" si="1044"/>
        <v>MAYBANK / MAYBANK ISLAMIC</v>
      </c>
      <c r="K2545" t="str">
        <f>"151025617597"</f>
        <v>151025617597</v>
      </c>
      <c r="L2545" t="str">
        <f t="shared" si="1047"/>
        <v>04-08-2020</v>
      </c>
      <c r="M2545" t="str">
        <f t="shared" si="1047"/>
        <v>04-08-2020</v>
      </c>
      <c r="N2545" t="str">
        <f t="shared" si="1031"/>
        <v>001105018356</v>
      </c>
      <c r="O2545" t="str">
        <f t="shared" si="1032"/>
        <v>MYR</v>
      </c>
      <c r="P2545" t="str">
        <f t="shared" si="1048"/>
        <v>NIL</v>
      </c>
      <c r="Q2545" t="str">
        <f t="shared" si="1048"/>
        <v>NIL</v>
      </c>
      <c r="R2545" t="str">
        <f t="shared" si="1033"/>
        <v>Accepted</v>
      </c>
      <c r="S2545" t="str">
        <f t="shared" si="1034"/>
        <v>Approved</v>
      </c>
      <c r="T2545" t="str">
        <f t="shared" si="1035"/>
        <v>10.20.8.188</v>
      </c>
      <c r="U2545" t="str">
        <f t="shared" si="1036"/>
        <v>AZRAD UMAR BIN SHAARI</v>
      </c>
      <c r="V2545" t="str">
        <f t="shared" si="1037"/>
        <v>FARHANA BINTI MUSTAPA</v>
      </c>
      <c r="W2545" t="str">
        <f t="shared" si="1038"/>
        <v>04-08-2020</v>
      </c>
      <c r="X2545" t="str">
        <f t="shared" si="1039"/>
        <v>RAZIMAH ANSAR AHMAD</v>
      </c>
      <c r="Y2545" t="str">
        <f t="shared" si="1040"/>
        <v>04-08-2020</v>
      </c>
      <c r="Z2545" t="str">
        <f>"COS10200804 6609"</f>
        <v>COS10200804 6609</v>
      </c>
    </row>
    <row r="2546" spans="1:26" x14ac:dyDescent="0.25">
      <c r="A2546" t="str">
        <f t="shared" ref="A2546:A2553" si="1049">"04-08-2020 01:04:24"</f>
        <v>04-08-2020 01:04:24</v>
      </c>
      <c r="B2546" t="str">
        <f>"0000808404"</f>
        <v>0000808404</v>
      </c>
      <c r="C2546" t="str">
        <f t="shared" ref="C2546:C2553" si="1050">"0000808396"</f>
        <v>0000808396</v>
      </c>
      <c r="D2546" t="str">
        <f t="shared" si="1028"/>
        <v>73185</v>
      </c>
      <c r="E2546" t="str">
        <f t="shared" si="1029"/>
        <v>KFH-OPERATIONS DEPARTMENT</v>
      </c>
      <c r="F2546" t="str">
        <f t="shared" si="1030"/>
        <v>IBG</v>
      </c>
      <c r="G2546" t="str">
        <f t="shared" si="1043"/>
        <v>Refund COSHARE 10</v>
      </c>
      <c r="H2546" s="2">
        <v>1476.6</v>
      </c>
      <c r="I2546" t="str">
        <f>"NORLY BT OTHMAN"</f>
        <v>NORLY BT OTHMAN</v>
      </c>
      <c r="J2546" t="str">
        <f t="shared" si="1044"/>
        <v>MAYBANK / MAYBANK ISLAMIC</v>
      </c>
      <c r="K2546" t="str">
        <f>"157081273477"</f>
        <v>157081273477</v>
      </c>
      <c r="L2546" t="str">
        <f t="shared" si="1047"/>
        <v>04-08-2020</v>
      </c>
      <c r="M2546" t="str">
        <f t="shared" si="1047"/>
        <v>04-08-2020</v>
      </c>
      <c r="N2546" t="str">
        <f t="shared" si="1031"/>
        <v>001105018356</v>
      </c>
      <c r="O2546" t="str">
        <f t="shared" si="1032"/>
        <v>MYR</v>
      </c>
      <c r="P2546" t="str">
        <f t="shared" si="1048"/>
        <v>NIL</v>
      </c>
      <c r="Q2546" t="str">
        <f t="shared" si="1048"/>
        <v>NIL</v>
      </c>
      <c r="R2546" t="str">
        <f t="shared" si="1033"/>
        <v>Accepted</v>
      </c>
      <c r="S2546" t="str">
        <f t="shared" si="1034"/>
        <v>Approved</v>
      </c>
      <c r="T2546" t="str">
        <f t="shared" si="1035"/>
        <v>10.20.8.188</v>
      </c>
      <c r="U2546" t="str">
        <f t="shared" si="1036"/>
        <v>AZRAD UMAR BIN SHAARI</v>
      </c>
      <c r="V2546" t="str">
        <f t="shared" si="1037"/>
        <v>FARHANA BINTI MUSTAPA</v>
      </c>
      <c r="W2546" t="str">
        <f t="shared" si="1038"/>
        <v>04-08-2020</v>
      </c>
      <c r="X2546" t="str">
        <f t="shared" si="1039"/>
        <v>RAZIMAH ANSAR AHMAD</v>
      </c>
      <c r="Y2546" t="str">
        <f t="shared" si="1040"/>
        <v>04-08-2020</v>
      </c>
      <c r="Z2546" t="str">
        <f>"COS10200804 6608"</f>
        <v>COS10200804 6608</v>
      </c>
    </row>
    <row r="2547" spans="1:26" x14ac:dyDescent="0.25">
      <c r="A2547" t="str">
        <f t="shared" si="1049"/>
        <v>04-08-2020 01:04:24</v>
      </c>
      <c r="B2547" t="str">
        <f>"0000808403"</f>
        <v>0000808403</v>
      </c>
      <c r="C2547" t="str">
        <f t="shared" si="1050"/>
        <v>0000808396</v>
      </c>
      <c r="D2547" t="str">
        <f t="shared" si="1028"/>
        <v>73185</v>
      </c>
      <c r="E2547" t="str">
        <f t="shared" si="1029"/>
        <v>KFH-OPERATIONS DEPARTMENT</v>
      </c>
      <c r="F2547" t="str">
        <f t="shared" si="1030"/>
        <v>IBG</v>
      </c>
      <c r="G2547" t="str">
        <f t="shared" si="1043"/>
        <v>Refund COSHARE 10</v>
      </c>
      <c r="H2547" s="2">
        <v>335.8</v>
      </c>
      <c r="I2547" t="str">
        <f>"NORLIZA BINTI KOMENG"</f>
        <v>NORLIZA BINTI KOMENG</v>
      </c>
      <c r="J2547" t="str">
        <f t="shared" si="1044"/>
        <v>MAYBANK / MAYBANK ISLAMIC</v>
      </c>
      <c r="K2547" t="str">
        <f>"114263056050"</f>
        <v>114263056050</v>
      </c>
      <c r="L2547" t="str">
        <f t="shared" ref="L2547:M2566" si="1051">"04-08-2020"</f>
        <v>04-08-2020</v>
      </c>
      <c r="M2547" t="str">
        <f t="shared" si="1051"/>
        <v>04-08-2020</v>
      </c>
      <c r="N2547" t="str">
        <f t="shared" si="1031"/>
        <v>001105018356</v>
      </c>
      <c r="O2547" t="str">
        <f t="shared" si="1032"/>
        <v>MYR</v>
      </c>
      <c r="P2547" t="str">
        <f t="shared" ref="P2547:Q2566" si="1052">"NIL"</f>
        <v>NIL</v>
      </c>
      <c r="Q2547" t="str">
        <f t="shared" si="1052"/>
        <v>NIL</v>
      </c>
      <c r="R2547" t="str">
        <f t="shared" si="1033"/>
        <v>Accepted</v>
      </c>
      <c r="S2547" t="str">
        <f t="shared" si="1034"/>
        <v>Approved</v>
      </c>
      <c r="T2547" t="str">
        <f t="shared" si="1035"/>
        <v>10.20.8.188</v>
      </c>
      <c r="U2547" t="str">
        <f t="shared" si="1036"/>
        <v>AZRAD UMAR BIN SHAARI</v>
      </c>
      <c r="V2547" t="str">
        <f t="shared" si="1037"/>
        <v>FARHANA BINTI MUSTAPA</v>
      </c>
      <c r="W2547" t="str">
        <f t="shared" si="1038"/>
        <v>04-08-2020</v>
      </c>
      <c r="X2547" t="str">
        <f t="shared" si="1039"/>
        <v>RAZIMAH ANSAR AHMAD</v>
      </c>
      <c r="Y2547" t="str">
        <f t="shared" si="1040"/>
        <v>04-08-2020</v>
      </c>
      <c r="Z2547" t="str">
        <f>"COS10200804 6607"</f>
        <v>COS10200804 6607</v>
      </c>
    </row>
    <row r="2548" spans="1:26" x14ac:dyDescent="0.25">
      <c r="A2548" t="str">
        <f t="shared" si="1049"/>
        <v>04-08-2020 01:04:24</v>
      </c>
      <c r="B2548" t="str">
        <f>"0000808402"</f>
        <v>0000808402</v>
      </c>
      <c r="C2548" t="str">
        <f t="shared" si="1050"/>
        <v>0000808396</v>
      </c>
      <c r="D2548" t="str">
        <f t="shared" si="1028"/>
        <v>73185</v>
      </c>
      <c r="E2548" t="str">
        <f t="shared" si="1029"/>
        <v>KFH-OPERATIONS DEPARTMENT</v>
      </c>
      <c r="F2548" t="str">
        <f t="shared" si="1030"/>
        <v>IBG</v>
      </c>
      <c r="G2548" t="str">
        <f t="shared" si="1043"/>
        <v>Refund COSHARE 10</v>
      </c>
      <c r="H2548" s="2">
        <v>1049.4000000000001</v>
      </c>
      <c r="I2548" t="str">
        <f>"NORLIZA BINTI JOHAR"</f>
        <v>NORLIZA BINTI JOHAR</v>
      </c>
      <c r="J2548" t="str">
        <f t="shared" si="1044"/>
        <v>MAYBANK / MAYBANK ISLAMIC</v>
      </c>
      <c r="K2548" t="str">
        <f>"102055462564"</f>
        <v>102055462564</v>
      </c>
      <c r="L2548" t="str">
        <f t="shared" si="1051"/>
        <v>04-08-2020</v>
      </c>
      <c r="M2548" t="str">
        <f t="shared" si="1051"/>
        <v>04-08-2020</v>
      </c>
      <c r="N2548" t="str">
        <f t="shared" si="1031"/>
        <v>001105018356</v>
      </c>
      <c r="O2548" t="str">
        <f t="shared" si="1032"/>
        <v>MYR</v>
      </c>
      <c r="P2548" t="str">
        <f t="shared" si="1052"/>
        <v>NIL</v>
      </c>
      <c r="Q2548" t="str">
        <f t="shared" si="1052"/>
        <v>NIL</v>
      </c>
      <c r="R2548" t="str">
        <f t="shared" si="1033"/>
        <v>Accepted</v>
      </c>
      <c r="S2548" t="str">
        <f t="shared" si="1034"/>
        <v>Approved</v>
      </c>
      <c r="T2548" t="str">
        <f t="shared" si="1035"/>
        <v>10.20.8.188</v>
      </c>
      <c r="U2548" t="str">
        <f t="shared" si="1036"/>
        <v>AZRAD UMAR BIN SHAARI</v>
      </c>
      <c r="V2548" t="str">
        <f t="shared" si="1037"/>
        <v>FARHANA BINTI MUSTAPA</v>
      </c>
      <c r="W2548" t="str">
        <f t="shared" si="1038"/>
        <v>04-08-2020</v>
      </c>
      <c r="X2548" t="str">
        <f t="shared" si="1039"/>
        <v>RAZIMAH ANSAR AHMAD</v>
      </c>
      <c r="Y2548" t="str">
        <f t="shared" si="1040"/>
        <v>04-08-2020</v>
      </c>
      <c r="Z2548" t="str">
        <f>"COS10200804 6606"</f>
        <v>COS10200804 6606</v>
      </c>
    </row>
    <row r="2549" spans="1:26" x14ac:dyDescent="0.25">
      <c r="A2549" t="str">
        <f t="shared" si="1049"/>
        <v>04-08-2020 01:04:24</v>
      </c>
      <c r="B2549" t="str">
        <f>"0000808401"</f>
        <v>0000808401</v>
      </c>
      <c r="C2549" t="str">
        <f t="shared" si="1050"/>
        <v>0000808396</v>
      </c>
      <c r="D2549" t="str">
        <f t="shared" si="1028"/>
        <v>73185</v>
      </c>
      <c r="E2549" t="str">
        <f t="shared" si="1029"/>
        <v>KFH-OPERATIONS DEPARTMENT</v>
      </c>
      <c r="F2549" t="str">
        <f t="shared" si="1030"/>
        <v>IBG</v>
      </c>
      <c r="G2549" t="str">
        <f t="shared" si="1043"/>
        <v>Refund COSHARE 10</v>
      </c>
      <c r="H2549" s="2">
        <v>193</v>
      </c>
      <c r="I2549" t="str">
        <f>"NORLIZA BINTI BOL"</f>
        <v>NORLIZA BINTI BOL</v>
      </c>
      <c r="J2549" t="str">
        <f t="shared" si="1044"/>
        <v>MAYBANK / MAYBANK ISLAMIC</v>
      </c>
      <c r="K2549" t="str">
        <f>"111234301895"</f>
        <v>111234301895</v>
      </c>
      <c r="L2549" t="str">
        <f t="shared" si="1051"/>
        <v>04-08-2020</v>
      </c>
      <c r="M2549" t="str">
        <f t="shared" si="1051"/>
        <v>04-08-2020</v>
      </c>
      <c r="N2549" t="str">
        <f t="shared" si="1031"/>
        <v>001105018356</v>
      </c>
      <c r="O2549" t="str">
        <f t="shared" si="1032"/>
        <v>MYR</v>
      </c>
      <c r="P2549" t="str">
        <f t="shared" si="1052"/>
        <v>NIL</v>
      </c>
      <c r="Q2549" t="str">
        <f t="shared" si="1052"/>
        <v>NIL</v>
      </c>
      <c r="R2549" t="str">
        <f t="shared" si="1033"/>
        <v>Accepted</v>
      </c>
      <c r="S2549" t="str">
        <f t="shared" si="1034"/>
        <v>Approved</v>
      </c>
      <c r="T2549" t="str">
        <f t="shared" si="1035"/>
        <v>10.20.8.188</v>
      </c>
      <c r="U2549" t="str">
        <f t="shared" si="1036"/>
        <v>AZRAD UMAR BIN SHAARI</v>
      </c>
      <c r="V2549" t="str">
        <f t="shared" si="1037"/>
        <v>FARHANA BINTI MUSTAPA</v>
      </c>
      <c r="W2549" t="str">
        <f t="shared" si="1038"/>
        <v>04-08-2020</v>
      </c>
      <c r="X2549" t="str">
        <f t="shared" si="1039"/>
        <v>RAZIMAH ANSAR AHMAD</v>
      </c>
      <c r="Y2549" t="str">
        <f t="shared" si="1040"/>
        <v>04-08-2020</v>
      </c>
      <c r="Z2549" t="str">
        <f>"COS10200804 6605"</f>
        <v>COS10200804 6605</v>
      </c>
    </row>
    <row r="2550" spans="1:26" x14ac:dyDescent="0.25">
      <c r="A2550" t="str">
        <f t="shared" si="1049"/>
        <v>04-08-2020 01:04:24</v>
      </c>
      <c r="B2550" t="str">
        <f>"0000808400"</f>
        <v>0000808400</v>
      </c>
      <c r="C2550" t="str">
        <f t="shared" si="1050"/>
        <v>0000808396</v>
      </c>
      <c r="D2550" t="str">
        <f t="shared" si="1028"/>
        <v>73185</v>
      </c>
      <c r="E2550" t="str">
        <f t="shared" si="1029"/>
        <v>KFH-OPERATIONS DEPARTMENT</v>
      </c>
      <c r="F2550" t="str">
        <f t="shared" si="1030"/>
        <v>IBG</v>
      </c>
      <c r="G2550" t="str">
        <f t="shared" si="1043"/>
        <v>Refund COSHARE 10</v>
      </c>
      <c r="H2550" s="2">
        <v>491.15</v>
      </c>
      <c r="I2550" t="str">
        <f>"NORLIZA BINTI ALI"</f>
        <v>NORLIZA BINTI ALI</v>
      </c>
      <c r="J2550" t="str">
        <f t="shared" si="1044"/>
        <v>MAYBANK / MAYBANK ISLAMIC</v>
      </c>
      <c r="K2550" t="str">
        <f>"101169172376"</f>
        <v>101169172376</v>
      </c>
      <c r="L2550" t="str">
        <f t="shared" si="1051"/>
        <v>04-08-2020</v>
      </c>
      <c r="M2550" t="str">
        <f t="shared" si="1051"/>
        <v>04-08-2020</v>
      </c>
      <c r="N2550" t="str">
        <f t="shared" si="1031"/>
        <v>001105018356</v>
      </c>
      <c r="O2550" t="str">
        <f t="shared" si="1032"/>
        <v>MYR</v>
      </c>
      <c r="P2550" t="str">
        <f t="shared" si="1052"/>
        <v>NIL</v>
      </c>
      <c r="Q2550" t="str">
        <f t="shared" si="1052"/>
        <v>NIL</v>
      </c>
      <c r="R2550" t="str">
        <f t="shared" si="1033"/>
        <v>Accepted</v>
      </c>
      <c r="S2550" t="str">
        <f t="shared" si="1034"/>
        <v>Approved</v>
      </c>
      <c r="T2550" t="str">
        <f t="shared" si="1035"/>
        <v>10.20.8.188</v>
      </c>
      <c r="U2550" t="str">
        <f t="shared" si="1036"/>
        <v>AZRAD UMAR BIN SHAARI</v>
      </c>
      <c r="V2550" t="str">
        <f t="shared" si="1037"/>
        <v>FARHANA BINTI MUSTAPA</v>
      </c>
      <c r="W2550" t="str">
        <f t="shared" si="1038"/>
        <v>04-08-2020</v>
      </c>
      <c r="X2550" t="str">
        <f t="shared" si="1039"/>
        <v>RAZIMAH ANSAR AHMAD</v>
      </c>
      <c r="Y2550" t="str">
        <f t="shared" si="1040"/>
        <v>04-08-2020</v>
      </c>
      <c r="Z2550" t="str">
        <f>"COS10200804 6604"</f>
        <v>COS10200804 6604</v>
      </c>
    </row>
    <row r="2551" spans="1:26" x14ac:dyDescent="0.25">
      <c r="A2551" t="str">
        <f t="shared" si="1049"/>
        <v>04-08-2020 01:04:24</v>
      </c>
      <c r="B2551" t="str">
        <f>"0000808399"</f>
        <v>0000808399</v>
      </c>
      <c r="C2551" t="str">
        <f t="shared" si="1050"/>
        <v>0000808396</v>
      </c>
      <c r="D2551" t="str">
        <f t="shared" si="1028"/>
        <v>73185</v>
      </c>
      <c r="E2551" t="str">
        <f t="shared" si="1029"/>
        <v>KFH-OPERATIONS DEPARTMENT</v>
      </c>
      <c r="F2551" t="str">
        <f t="shared" si="1030"/>
        <v>IBG</v>
      </c>
      <c r="G2551" t="str">
        <f t="shared" si="1043"/>
        <v>Refund COSHARE 10</v>
      </c>
      <c r="H2551" s="2">
        <v>494</v>
      </c>
      <c r="I2551" t="str">
        <f>"NORLITA BINTI ABDUL RANI"</f>
        <v>NORLITA BINTI ABDUL RANI</v>
      </c>
      <c r="J2551" t="str">
        <f t="shared" si="1044"/>
        <v>MAYBANK / MAYBANK ISLAMIC</v>
      </c>
      <c r="K2551" t="str">
        <f>"151258677519"</f>
        <v>151258677519</v>
      </c>
      <c r="L2551" t="str">
        <f t="shared" si="1051"/>
        <v>04-08-2020</v>
      </c>
      <c r="M2551" t="str">
        <f t="shared" si="1051"/>
        <v>04-08-2020</v>
      </c>
      <c r="N2551" t="str">
        <f t="shared" si="1031"/>
        <v>001105018356</v>
      </c>
      <c r="O2551" t="str">
        <f t="shared" si="1032"/>
        <v>MYR</v>
      </c>
      <c r="P2551" t="str">
        <f t="shared" si="1052"/>
        <v>NIL</v>
      </c>
      <c r="Q2551" t="str">
        <f t="shared" si="1052"/>
        <v>NIL</v>
      </c>
      <c r="R2551" t="str">
        <f t="shared" si="1033"/>
        <v>Accepted</v>
      </c>
      <c r="S2551" t="str">
        <f t="shared" si="1034"/>
        <v>Approved</v>
      </c>
      <c r="T2551" t="str">
        <f t="shared" si="1035"/>
        <v>10.20.8.188</v>
      </c>
      <c r="U2551" t="str">
        <f t="shared" si="1036"/>
        <v>AZRAD UMAR BIN SHAARI</v>
      </c>
      <c r="V2551" t="str">
        <f t="shared" si="1037"/>
        <v>FARHANA BINTI MUSTAPA</v>
      </c>
      <c r="W2551" t="str">
        <f t="shared" si="1038"/>
        <v>04-08-2020</v>
      </c>
      <c r="X2551" t="str">
        <f t="shared" si="1039"/>
        <v>RAZIMAH ANSAR AHMAD</v>
      </c>
      <c r="Y2551" t="str">
        <f t="shared" si="1040"/>
        <v>04-08-2020</v>
      </c>
      <c r="Z2551" t="str">
        <f>"COS10200804 6603"</f>
        <v>COS10200804 6603</v>
      </c>
    </row>
    <row r="2552" spans="1:26" x14ac:dyDescent="0.25">
      <c r="A2552" t="str">
        <f t="shared" si="1049"/>
        <v>04-08-2020 01:04:24</v>
      </c>
      <c r="B2552" t="str">
        <f>"0000808398"</f>
        <v>0000808398</v>
      </c>
      <c r="C2552" t="str">
        <f t="shared" si="1050"/>
        <v>0000808396</v>
      </c>
      <c r="D2552" t="str">
        <f t="shared" si="1028"/>
        <v>73185</v>
      </c>
      <c r="E2552" t="str">
        <f t="shared" si="1029"/>
        <v>KFH-OPERATIONS DEPARTMENT</v>
      </c>
      <c r="F2552" t="str">
        <f t="shared" si="1030"/>
        <v>IBG</v>
      </c>
      <c r="G2552" t="str">
        <f t="shared" si="1043"/>
        <v>Refund COSHARE 10</v>
      </c>
      <c r="H2552" s="2">
        <v>83.95</v>
      </c>
      <c r="I2552" t="str">
        <f>"NORLINDA BINTI MOHD NAZRI"</f>
        <v>NORLINDA BINTI MOHD NAZRI</v>
      </c>
      <c r="J2552" t="str">
        <f t="shared" si="1044"/>
        <v>MAYBANK / MAYBANK ISLAMIC</v>
      </c>
      <c r="K2552" t="str">
        <f>"101218305724"</f>
        <v>101218305724</v>
      </c>
      <c r="L2552" t="str">
        <f t="shared" si="1051"/>
        <v>04-08-2020</v>
      </c>
      <c r="M2552" t="str">
        <f t="shared" si="1051"/>
        <v>04-08-2020</v>
      </c>
      <c r="N2552" t="str">
        <f t="shared" si="1031"/>
        <v>001105018356</v>
      </c>
      <c r="O2552" t="str">
        <f t="shared" si="1032"/>
        <v>MYR</v>
      </c>
      <c r="P2552" t="str">
        <f t="shared" si="1052"/>
        <v>NIL</v>
      </c>
      <c r="Q2552" t="str">
        <f t="shared" si="1052"/>
        <v>NIL</v>
      </c>
      <c r="R2552" t="str">
        <f t="shared" si="1033"/>
        <v>Accepted</v>
      </c>
      <c r="S2552" t="str">
        <f t="shared" si="1034"/>
        <v>Approved</v>
      </c>
      <c r="T2552" t="str">
        <f t="shared" si="1035"/>
        <v>10.20.8.188</v>
      </c>
      <c r="U2552" t="str">
        <f t="shared" si="1036"/>
        <v>AZRAD UMAR BIN SHAARI</v>
      </c>
      <c r="V2552" t="str">
        <f t="shared" si="1037"/>
        <v>FARHANA BINTI MUSTAPA</v>
      </c>
      <c r="W2552" t="str">
        <f t="shared" si="1038"/>
        <v>04-08-2020</v>
      </c>
      <c r="X2552" t="str">
        <f t="shared" si="1039"/>
        <v>RAZIMAH ANSAR AHMAD</v>
      </c>
      <c r="Y2552" t="str">
        <f t="shared" si="1040"/>
        <v>04-08-2020</v>
      </c>
      <c r="Z2552" t="str">
        <f>"COS10200804 6602"</f>
        <v>COS10200804 6602</v>
      </c>
    </row>
    <row r="2553" spans="1:26" x14ac:dyDescent="0.25">
      <c r="A2553" t="str">
        <f t="shared" si="1049"/>
        <v>04-08-2020 01:04:24</v>
      </c>
      <c r="B2553" t="str">
        <f>"0000808397"</f>
        <v>0000808397</v>
      </c>
      <c r="C2553" t="str">
        <f t="shared" si="1050"/>
        <v>0000808396</v>
      </c>
      <c r="D2553" t="str">
        <f t="shared" si="1028"/>
        <v>73185</v>
      </c>
      <c r="E2553" t="str">
        <f t="shared" si="1029"/>
        <v>KFH-OPERATIONS DEPARTMENT</v>
      </c>
      <c r="F2553" t="str">
        <f t="shared" si="1030"/>
        <v>IBG</v>
      </c>
      <c r="G2553" t="str">
        <f t="shared" si="1043"/>
        <v>Refund COSHARE 10</v>
      </c>
      <c r="H2553" s="2">
        <v>167.9</v>
      </c>
      <c r="I2553" t="str">
        <f>"NORLINA BINTI MAPPIASE"</f>
        <v>NORLINA BINTI MAPPIASE</v>
      </c>
      <c r="J2553" t="str">
        <f t="shared" si="1044"/>
        <v>MAYBANK / MAYBANK ISLAMIC</v>
      </c>
      <c r="K2553" t="str">
        <f>"160037069288"</f>
        <v>160037069288</v>
      </c>
      <c r="L2553" t="str">
        <f t="shared" si="1051"/>
        <v>04-08-2020</v>
      </c>
      <c r="M2553" t="str">
        <f t="shared" si="1051"/>
        <v>04-08-2020</v>
      </c>
      <c r="N2553" t="str">
        <f t="shared" si="1031"/>
        <v>001105018356</v>
      </c>
      <c r="O2553" t="str">
        <f t="shared" si="1032"/>
        <v>MYR</v>
      </c>
      <c r="P2553" t="str">
        <f t="shared" si="1052"/>
        <v>NIL</v>
      </c>
      <c r="Q2553" t="str">
        <f t="shared" si="1052"/>
        <v>NIL</v>
      </c>
      <c r="R2553" t="str">
        <f t="shared" si="1033"/>
        <v>Accepted</v>
      </c>
      <c r="S2553" t="str">
        <f t="shared" si="1034"/>
        <v>Approved</v>
      </c>
      <c r="T2553" t="str">
        <f t="shared" si="1035"/>
        <v>10.20.8.188</v>
      </c>
      <c r="U2553" t="str">
        <f t="shared" si="1036"/>
        <v>AZRAD UMAR BIN SHAARI</v>
      </c>
      <c r="V2553" t="str">
        <f t="shared" si="1037"/>
        <v>FARHANA BINTI MUSTAPA</v>
      </c>
      <c r="W2553" t="str">
        <f t="shared" si="1038"/>
        <v>04-08-2020</v>
      </c>
      <c r="X2553" t="str">
        <f t="shared" si="1039"/>
        <v>RAZIMAH ANSAR AHMAD</v>
      </c>
      <c r="Y2553" t="str">
        <f t="shared" si="1040"/>
        <v>04-08-2020</v>
      </c>
      <c r="Z2553" t="str">
        <f>"COS10200804 6601"</f>
        <v>COS10200804 6601</v>
      </c>
    </row>
    <row r="2554" spans="1:26" x14ac:dyDescent="0.25">
      <c r="A2554" t="str">
        <f t="shared" ref="A2554:A2585" si="1053">"04-08-2020 01:03:01"</f>
        <v>04-08-2020 01:03:01</v>
      </c>
      <c r="B2554" t="str">
        <f>"0000808394"</f>
        <v>0000808394</v>
      </c>
      <c r="C2554" t="str">
        <f t="shared" ref="C2554:C2585" si="1054">"0000808194"</f>
        <v>0000808194</v>
      </c>
      <c r="D2554" t="str">
        <f t="shared" si="1028"/>
        <v>73185</v>
      </c>
      <c r="E2554" t="str">
        <f t="shared" si="1029"/>
        <v>KFH-OPERATIONS DEPARTMENT</v>
      </c>
      <c r="F2554" t="str">
        <f t="shared" si="1030"/>
        <v>IBG</v>
      </c>
      <c r="G2554" t="str">
        <f t="shared" si="1043"/>
        <v>Refund COSHARE 10</v>
      </c>
      <c r="H2554" s="2">
        <v>355.7</v>
      </c>
      <c r="I2554" t="str">
        <f>"NORLIDAH BINTI ATAN"</f>
        <v>NORLIDAH BINTI ATAN</v>
      </c>
      <c r="J2554" t="str">
        <f t="shared" si="1044"/>
        <v>MAYBANK / MAYBANK ISLAMIC</v>
      </c>
      <c r="K2554" t="str">
        <f>"103088095200"</f>
        <v>103088095200</v>
      </c>
      <c r="L2554" t="str">
        <f t="shared" si="1051"/>
        <v>04-08-2020</v>
      </c>
      <c r="M2554" t="str">
        <f t="shared" si="1051"/>
        <v>04-08-2020</v>
      </c>
      <c r="N2554" t="str">
        <f t="shared" si="1031"/>
        <v>001105018356</v>
      </c>
      <c r="O2554" t="str">
        <f t="shared" si="1032"/>
        <v>MYR</v>
      </c>
      <c r="P2554" t="str">
        <f t="shared" si="1052"/>
        <v>NIL</v>
      </c>
      <c r="Q2554" t="str">
        <f t="shared" si="1052"/>
        <v>NIL</v>
      </c>
      <c r="R2554" t="str">
        <f t="shared" si="1033"/>
        <v>Accepted</v>
      </c>
      <c r="S2554" t="str">
        <f t="shared" si="1034"/>
        <v>Approved</v>
      </c>
      <c r="T2554" t="str">
        <f t="shared" si="1035"/>
        <v>10.20.8.188</v>
      </c>
      <c r="U2554" t="str">
        <f t="shared" si="1036"/>
        <v>AZRAD UMAR BIN SHAARI</v>
      </c>
      <c r="V2554" t="str">
        <f t="shared" si="1037"/>
        <v>FARHANA BINTI MUSTAPA</v>
      </c>
      <c r="W2554" t="str">
        <f t="shared" si="1038"/>
        <v>04-08-2020</v>
      </c>
      <c r="X2554" t="str">
        <f t="shared" si="1039"/>
        <v>RAZIMAH ANSAR AHMAD</v>
      </c>
      <c r="Y2554" t="str">
        <f t="shared" si="1040"/>
        <v>04-08-2020</v>
      </c>
      <c r="Z2554" t="str">
        <f>"COS10200804 6600"</f>
        <v>COS10200804 6600</v>
      </c>
    </row>
    <row r="2555" spans="1:26" x14ac:dyDescent="0.25">
      <c r="A2555" t="str">
        <f t="shared" si="1053"/>
        <v>04-08-2020 01:03:01</v>
      </c>
      <c r="B2555" t="str">
        <f>"0000808393"</f>
        <v>0000808393</v>
      </c>
      <c r="C2555" t="str">
        <f t="shared" si="1054"/>
        <v>0000808194</v>
      </c>
      <c r="D2555" t="str">
        <f t="shared" si="1028"/>
        <v>73185</v>
      </c>
      <c r="E2555" t="str">
        <f t="shared" si="1029"/>
        <v>KFH-OPERATIONS DEPARTMENT</v>
      </c>
      <c r="F2555" t="str">
        <f t="shared" si="1030"/>
        <v>IBG</v>
      </c>
      <c r="G2555" t="str">
        <f t="shared" si="1043"/>
        <v>Refund COSHARE 10</v>
      </c>
      <c r="H2555" s="2">
        <v>343.85</v>
      </c>
      <c r="I2555" t="str">
        <f>"NORLIDA BINTI AHMAD NADZRI"</f>
        <v>NORLIDA BINTI AHMAD NADZRI</v>
      </c>
      <c r="J2555" t="str">
        <f t="shared" si="1044"/>
        <v>MAYBANK / MAYBANK ISLAMIC</v>
      </c>
      <c r="K2555" t="str">
        <f>"163019051693"</f>
        <v>163019051693</v>
      </c>
      <c r="L2555" t="str">
        <f t="shared" si="1051"/>
        <v>04-08-2020</v>
      </c>
      <c r="M2555" t="str">
        <f t="shared" si="1051"/>
        <v>04-08-2020</v>
      </c>
      <c r="N2555" t="str">
        <f t="shared" si="1031"/>
        <v>001105018356</v>
      </c>
      <c r="O2555" t="str">
        <f t="shared" si="1032"/>
        <v>MYR</v>
      </c>
      <c r="P2555" t="str">
        <f t="shared" si="1052"/>
        <v>NIL</v>
      </c>
      <c r="Q2555" t="str">
        <f t="shared" si="1052"/>
        <v>NIL</v>
      </c>
      <c r="R2555" t="str">
        <f t="shared" si="1033"/>
        <v>Accepted</v>
      </c>
      <c r="S2555" t="str">
        <f t="shared" si="1034"/>
        <v>Approved</v>
      </c>
      <c r="T2555" t="str">
        <f t="shared" si="1035"/>
        <v>10.20.8.188</v>
      </c>
      <c r="U2555" t="str">
        <f t="shared" si="1036"/>
        <v>AZRAD UMAR BIN SHAARI</v>
      </c>
      <c r="V2555" t="str">
        <f t="shared" si="1037"/>
        <v>FARHANA BINTI MUSTAPA</v>
      </c>
      <c r="W2555" t="str">
        <f t="shared" si="1038"/>
        <v>04-08-2020</v>
      </c>
      <c r="X2555" t="str">
        <f t="shared" si="1039"/>
        <v>RAZIMAH ANSAR AHMAD</v>
      </c>
      <c r="Y2555" t="str">
        <f t="shared" si="1040"/>
        <v>04-08-2020</v>
      </c>
      <c r="Z2555" t="str">
        <f>"COS10200804 6599"</f>
        <v>COS10200804 6599</v>
      </c>
    </row>
    <row r="2556" spans="1:26" x14ac:dyDescent="0.25">
      <c r="A2556" t="str">
        <f t="shared" si="1053"/>
        <v>04-08-2020 01:03:01</v>
      </c>
      <c r="B2556" t="str">
        <f>"0000808392"</f>
        <v>0000808392</v>
      </c>
      <c r="C2556" t="str">
        <f t="shared" si="1054"/>
        <v>0000808194</v>
      </c>
      <c r="D2556" t="str">
        <f t="shared" si="1028"/>
        <v>73185</v>
      </c>
      <c r="E2556" t="str">
        <f t="shared" si="1029"/>
        <v>KFH-OPERATIONS DEPARTMENT</v>
      </c>
      <c r="F2556" t="str">
        <f t="shared" si="1030"/>
        <v>IBG</v>
      </c>
      <c r="G2556" t="str">
        <f t="shared" si="1043"/>
        <v>Refund COSHARE 10</v>
      </c>
      <c r="H2556" s="2">
        <v>799.4</v>
      </c>
      <c r="I2556" t="str">
        <f>"NORLIDA BINTI AB RAHMAN"</f>
        <v>NORLIDA BINTI AB RAHMAN</v>
      </c>
      <c r="J2556" t="str">
        <f t="shared" si="1044"/>
        <v>MAYBANK / MAYBANK ISLAMIC</v>
      </c>
      <c r="K2556" t="str">
        <f>"153104297859"</f>
        <v>153104297859</v>
      </c>
      <c r="L2556" t="str">
        <f t="shared" si="1051"/>
        <v>04-08-2020</v>
      </c>
      <c r="M2556" t="str">
        <f t="shared" si="1051"/>
        <v>04-08-2020</v>
      </c>
      <c r="N2556" t="str">
        <f t="shared" si="1031"/>
        <v>001105018356</v>
      </c>
      <c r="O2556" t="str">
        <f t="shared" si="1032"/>
        <v>MYR</v>
      </c>
      <c r="P2556" t="str">
        <f t="shared" si="1052"/>
        <v>NIL</v>
      </c>
      <c r="Q2556" t="str">
        <f t="shared" si="1052"/>
        <v>NIL</v>
      </c>
      <c r="R2556" t="str">
        <f t="shared" si="1033"/>
        <v>Accepted</v>
      </c>
      <c r="S2556" t="str">
        <f t="shared" si="1034"/>
        <v>Approved</v>
      </c>
      <c r="T2556" t="str">
        <f t="shared" si="1035"/>
        <v>10.20.8.188</v>
      </c>
      <c r="U2556" t="str">
        <f t="shared" si="1036"/>
        <v>AZRAD UMAR BIN SHAARI</v>
      </c>
      <c r="V2556" t="str">
        <f t="shared" si="1037"/>
        <v>FARHANA BINTI MUSTAPA</v>
      </c>
      <c r="W2556" t="str">
        <f t="shared" si="1038"/>
        <v>04-08-2020</v>
      </c>
      <c r="X2556" t="str">
        <f t="shared" si="1039"/>
        <v>RAZIMAH ANSAR AHMAD</v>
      </c>
      <c r="Y2556" t="str">
        <f t="shared" si="1040"/>
        <v>04-08-2020</v>
      </c>
      <c r="Z2556" t="str">
        <f>"COS10200804 6598"</f>
        <v>COS10200804 6598</v>
      </c>
    </row>
    <row r="2557" spans="1:26" x14ac:dyDescent="0.25">
      <c r="A2557" t="str">
        <f t="shared" si="1053"/>
        <v>04-08-2020 01:03:01</v>
      </c>
      <c r="B2557" t="str">
        <f>"0000808391"</f>
        <v>0000808391</v>
      </c>
      <c r="C2557" t="str">
        <f t="shared" si="1054"/>
        <v>0000808194</v>
      </c>
      <c r="D2557" t="str">
        <f t="shared" si="1028"/>
        <v>73185</v>
      </c>
      <c r="E2557" t="str">
        <f t="shared" si="1029"/>
        <v>KFH-OPERATIONS DEPARTMENT</v>
      </c>
      <c r="F2557" t="str">
        <f t="shared" si="1030"/>
        <v>IBG</v>
      </c>
      <c r="G2557" t="str">
        <f t="shared" si="1043"/>
        <v>Refund COSHARE 10</v>
      </c>
      <c r="H2557" s="2">
        <v>386.2</v>
      </c>
      <c r="I2557" t="str">
        <f>"NORLIANA BINTI ZAINUDIN"</f>
        <v>NORLIANA BINTI ZAINUDIN</v>
      </c>
      <c r="J2557" t="str">
        <f t="shared" si="1044"/>
        <v>MAYBANK / MAYBANK ISLAMIC</v>
      </c>
      <c r="K2557" t="str">
        <f>"162263148592"</f>
        <v>162263148592</v>
      </c>
      <c r="L2557" t="str">
        <f t="shared" si="1051"/>
        <v>04-08-2020</v>
      </c>
      <c r="M2557" t="str">
        <f t="shared" si="1051"/>
        <v>04-08-2020</v>
      </c>
      <c r="N2557" t="str">
        <f t="shared" si="1031"/>
        <v>001105018356</v>
      </c>
      <c r="O2557" t="str">
        <f t="shared" si="1032"/>
        <v>MYR</v>
      </c>
      <c r="P2557" t="str">
        <f t="shared" si="1052"/>
        <v>NIL</v>
      </c>
      <c r="Q2557" t="str">
        <f t="shared" si="1052"/>
        <v>NIL</v>
      </c>
      <c r="R2557" t="str">
        <f t="shared" si="1033"/>
        <v>Accepted</v>
      </c>
      <c r="S2557" t="str">
        <f t="shared" si="1034"/>
        <v>Approved</v>
      </c>
      <c r="T2557" t="str">
        <f t="shared" si="1035"/>
        <v>10.20.8.188</v>
      </c>
      <c r="U2557" t="str">
        <f t="shared" si="1036"/>
        <v>AZRAD UMAR BIN SHAARI</v>
      </c>
      <c r="V2557" t="str">
        <f t="shared" si="1037"/>
        <v>FARHANA BINTI MUSTAPA</v>
      </c>
      <c r="W2557" t="str">
        <f t="shared" si="1038"/>
        <v>04-08-2020</v>
      </c>
      <c r="X2557" t="str">
        <f t="shared" si="1039"/>
        <v>RAZIMAH ANSAR AHMAD</v>
      </c>
      <c r="Y2557" t="str">
        <f t="shared" si="1040"/>
        <v>04-08-2020</v>
      </c>
      <c r="Z2557" t="str">
        <f>"COS10200804 6597"</f>
        <v>COS10200804 6597</v>
      </c>
    </row>
    <row r="2558" spans="1:26" x14ac:dyDescent="0.25">
      <c r="A2558" t="str">
        <f t="shared" si="1053"/>
        <v>04-08-2020 01:03:01</v>
      </c>
      <c r="B2558" t="str">
        <f>"0000808390"</f>
        <v>0000808390</v>
      </c>
      <c r="C2558" t="str">
        <f t="shared" si="1054"/>
        <v>0000808194</v>
      </c>
      <c r="D2558" t="str">
        <f t="shared" si="1028"/>
        <v>73185</v>
      </c>
      <c r="E2558" t="str">
        <f t="shared" si="1029"/>
        <v>KFH-OPERATIONS DEPARTMENT</v>
      </c>
      <c r="F2558" t="str">
        <f t="shared" si="1030"/>
        <v>IBG</v>
      </c>
      <c r="G2558" t="str">
        <f t="shared" si="1043"/>
        <v>Refund COSHARE 10</v>
      </c>
      <c r="H2558" s="2">
        <v>100</v>
      </c>
      <c r="I2558" t="str">
        <f>"NORLIANA BINTI SULAIMAN"</f>
        <v>NORLIANA BINTI SULAIMAN</v>
      </c>
      <c r="J2558" t="str">
        <f t="shared" si="1044"/>
        <v>MAYBANK / MAYBANK ISLAMIC</v>
      </c>
      <c r="K2558" t="str">
        <f>"151137891987"</f>
        <v>151137891987</v>
      </c>
      <c r="L2558" t="str">
        <f t="shared" si="1051"/>
        <v>04-08-2020</v>
      </c>
      <c r="M2558" t="str">
        <f t="shared" si="1051"/>
        <v>04-08-2020</v>
      </c>
      <c r="N2558" t="str">
        <f t="shared" si="1031"/>
        <v>001105018356</v>
      </c>
      <c r="O2558" t="str">
        <f t="shared" si="1032"/>
        <v>MYR</v>
      </c>
      <c r="P2558" t="str">
        <f t="shared" si="1052"/>
        <v>NIL</v>
      </c>
      <c r="Q2558" t="str">
        <f t="shared" si="1052"/>
        <v>NIL</v>
      </c>
      <c r="R2558" t="str">
        <f t="shared" si="1033"/>
        <v>Accepted</v>
      </c>
      <c r="S2558" t="str">
        <f t="shared" si="1034"/>
        <v>Approved</v>
      </c>
      <c r="T2558" t="str">
        <f t="shared" si="1035"/>
        <v>10.20.8.188</v>
      </c>
      <c r="U2558" t="str">
        <f t="shared" si="1036"/>
        <v>AZRAD UMAR BIN SHAARI</v>
      </c>
      <c r="V2558" t="str">
        <f t="shared" si="1037"/>
        <v>FARHANA BINTI MUSTAPA</v>
      </c>
      <c r="W2558" t="str">
        <f t="shared" si="1038"/>
        <v>04-08-2020</v>
      </c>
      <c r="X2558" t="str">
        <f t="shared" si="1039"/>
        <v>RAZIMAH ANSAR AHMAD</v>
      </c>
      <c r="Y2558" t="str">
        <f t="shared" si="1040"/>
        <v>04-08-2020</v>
      </c>
      <c r="Z2558" t="str">
        <f>"COS10200804 6596"</f>
        <v>COS10200804 6596</v>
      </c>
    </row>
    <row r="2559" spans="1:26" x14ac:dyDescent="0.25">
      <c r="A2559" t="str">
        <f t="shared" si="1053"/>
        <v>04-08-2020 01:03:01</v>
      </c>
      <c r="B2559" t="str">
        <f>"0000808389"</f>
        <v>0000808389</v>
      </c>
      <c r="C2559" t="str">
        <f t="shared" si="1054"/>
        <v>0000808194</v>
      </c>
      <c r="D2559" t="str">
        <f t="shared" si="1028"/>
        <v>73185</v>
      </c>
      <c r="E2559" t="str">
        <f t="shared" si="1029"/>
        <v>KFH-OPERATIONS DEPARTMENT</v>
      </c>
      <c r="F2559" t="str">
        <f t="shared" si="1030"/>
        <v>IBG</v>
      </c>
      <c r="G2559" t="str">
        <f t="shared" si="1043"/>
        <v>Refund COSHARE 10</v>
      </c>
      <c r="H2559" s="2">
        <v>142.75</v>
      </c>
      <c r="I2559" t="str">
        <f>"NORLIANA BINTI ADNAN"</f>
        <v>NORLIANA BINTI ADNAN</v>
      </c>
      <c r="J2559" t="str">
        <f t="shared" si="1044"/>
        <v>MAYBANK / MAYBANK ISLAMIC</v>
      </c>
      <c r="K2559" t="str">
        <f>"158305074191"</f>
        <v>158305074191</v>
      </c>
      <c r="L2559" t="str">
        <f t="shared" si="1051"/>
        <v>04-08-2020</v>
      </c>
      <c r="M2559" t="str">
        <f t="shared" si="1051"/>
        <v>04-08-2020</v>
      </c>
      <c r="N2559" t="str">
        <f t="shared" si="1031"/>
        <v>001105018356</v>
      </c>
      <c r="O2559" t="str">
        <f t="shared" si="1032"/>
        <v>MYR</v>
      </c>
      <c r="P2559" t="str">
        <f t="shared" si="1052"/>
        <v>NIL</v>
      </c>
      <c r="Q2559" t="str">
        <f t="shared" si="1052"/>
        <v>NIL</v>
      </c>
      <c r="R2559" t="str">
        <f t="shared" si="1033"/>
        <v>Accepted</v>
      </c>
      <c r="S2559" t="str">
        <f t="shared" si="1034"/>
        <v>Approved</v>
      </c>
      <c r="T2559" t="str">
        <f t="shared" si="1035"/>
        <v>10.20.8.188</v>
      </c>
      <c r="U2559" t="str">
        <f t="shared" si="1036"/>
        <v>AZRAD UMAR BIN SHAARI</v>
      </c>
      <c r="V2559" t="str">
        <f t="shared" si="1037"/>
        <v>FARHANA BINTI MUSTAPA</v>
      </c>
      <c r="W2559" t="str">
        <f t="shared" si="1038"/>
        <v>04-08-2020</v>
      </c>
      <c r="X2559" t="str">
        <f t="shared" si="1039"/>
        <v>RAZIMAH ANSAR AHMAD</v>
      </c>
      <c r="Y2559" t="str">
        <f t="shared" si="1040"/>
        <v>04-08-2020</v>
      </c>
      <c r="Z2559" t="str">
        <f>"COS10200804 6595"</f>
        <v>COS10200804 6595</v>
      </c>
    </row>
    <row r="2560" spans="1:26" x14ac:dyDescent="0.25">
      <c r="A2560" t="str">
        <f t="shared" si="1053"/>
        <v>04-08-2020 01:03:01</v>
      </c>
      <c r="B2560" t="str">
        <f>"0000808388"</f>
        <v>0000808388</v>
      </c>
      <c r="C2560" t="str">
        <f t="shared" si="1054"/>
        <v>0000808194</v>
      </c>
      <c r="D2560" t="str">
        <f t="shared" si="1028"/>
        <v>73185</v>
      </c>
      <c r="E2560" t="str">
        <f t="shared" si="1029"/>
        <v>KFH-OPERATIONS DEPARTMENT</v>
      </c>
      <c r="F2560" t="str">
        <f t="shared" si="1030"/>
        <v>IBG</v>
      </c>
      <c r="G2560" t="str">
        <f t="shared" si="1043"/>
        <v>Refund COSHARE 10</v>
      </c>
      <c r="H2560" s="2">
        <v>125.95</v>
      </c>
      <c r="I2560" t="str">
        <f>"NORLIA BINTI USOP"</f>
        <v>NORLIA BINTI USOP</v>
      </c>
      <c r="J2560" t="str">
        <f t="shared" si="1044"/>
        <v>MAYBANK / MAYBANK ISLAMIC</v>
      </c>
      <c r="K2560" t="str">
        <f>"111113222344"</f>
        <v>111113222344</v>
      </c>
      <c r="L2560" t="str">
        <f t="shared" si="1051"/>
        <v>04-08-2020</v>
      </c>
      <c r="M2560" t="str">
        <f t="shared" si="1051"/>
        <v>04-08-2020</v>
      </c>
      <c r="N2560" t="str">
        <f t="shared" si="1031"/>
        <v>001105018356</v>
      </c>
      <c r="O2560" t="str">
        <f t="shared" si="1032"/>
        <v>MYR</v>
      </c>
      <c r="P2560" t="str">
        <f t="shared" si="1052"/>
        <v>NIL</v>
      </c>
      <c r="Q2560" t="str">
        <f t="shared" si="1052"/>
        <v>NIL</v>
      </c>
      <c r="R2560" t="str">
        <f t="shared" si="1033"/>
        <v>Accepted</v>
      </c>
      <c r="S2560" t="str">
        <f t="shared" si="1034"/>
        <v>Approved</v>
      </c>
      <c r="T2560" t="str">
        <f t="shared" si="1035"/>
        <v>10.20.8.188</v>
      </c>
      <c r="U2560" t="str">
        <f t="shared" si="1036"/>
        <v>AZRAD UMAR BIN SHAARI</v>
      </c>
      <c r="V2560" t="str">
        <f t="shared" si="1037"/>
        <v>FARHANA BINTI MUSTAPA</v>
      </c>
      <c r="W2560" t="str">
        <f t="shared" si="1038"/>
        <v>04-08-2020</v>
      </c>
      <c r="X2560" t="str">
        <f t="shared" si="1039"/>
        <v>RAZIMAH ANSAR AHMAD</v>
      </c>
      <c r="Y2560" t="str">
        <f t="shared" si="1040"/>
        <v>04-08-2020</v>
      </c>
      <c r="Z2560" t="str">
        <f>"COS10200804 6594"</f>
        <v>COS10200804 6594</v>
      </c>
    </row>
    <row r="2561" spans="1:26" x14ac:dyDescent="0.25">
      <c r="A2561" t="str">
        <f t="shared" si="1053"/>
        <v>04-08-2020 01:03:01</v>
      </c>
      <c r="B2561" t="str">
        <f>"0000808387"</f>
        <v>0000808387</v>
      </c>
      <c r="C2561" t="str">
        <f t="shared" si="1054"/>
        <v>0000808194</v>
      </c>
      <c r="D2561" t="str">
        <f t="shared" si="1028"/>
        <v>73185</v>
      </c>
      <c r="E2561" t="str">
        <f t="shared" si="1029"/>
        <v>KFH-OPERATIONS DEPARTMENT</v>
      </c>
      <c r="F2561" t="str">
        <f t="shared" si="1030"/>
        <v>IBG</v>
      </c>
      <c r="G2561" t="str">
        <f t="shared" si="1043"/>
        <v>Refund COSHARE 10</v>
      </c>
      <c r="H2561" s="2">
        <v>159.5</v>
      </c>
      <c r="I2561" t="str">
        <f>"NORLIA BINTI ABU BAKAR  MANSOR"</f>
        <v>NORLIA BINTI ABU BAKAR  MANSOR</v>
      </c>
      <c r="J2561" t="str">
        <f t="shared" si="1044"/>
        <v>MAYBANK / MAYBANK ISLAMIC</v>
      </c>
      <c r="K2561" t="str">
        <f>"162508057130"</f>
        <v>162508057130</v>
      </c>
      <c r="L2561" t="str">
        <f t="shared" si="1051"/>
        <v>04-08-2020</v>
      </c>
      <c r="M2561" t="str">
        <f t="shared" si="1051"/>
        <v>04-08-2020</v>
      </c>
      <c r="N2561" t="str">
        <f t="shared" si="1031"/>
        <v>001105018356</v>
      </c>
      <c r="O2561" t="str">
        <f t="shared" si="1032"/>
        <v>MYR</v>
      </c>
      <c r="P2561" t="str">
        <f t="shared" si="1052"/>
        <v>NIL</v>
      </c>
      <c r="Q2561" t="str">
        <f t="shared" si="1052"/>
        <v>NIL</v>
      </c>
      <c r="R2561" t="str">
        <f t="shared" si="1033"/>
        <v>Accepted</v>
      </c>
      <c r="S2561" t="str">
        <f t="shared" si="1034"/>
        <v>Approved</v>
      </c>
      <c r="T2561" t="str">
        <f t="shared" si="1035"/>
        <v>10.20.8.188</v>
      </c>
      <c r="U2561" t="str">
        <f t="shared" si="1036"/>
        <v>AZRAD UMAR BIN SHAARI</v>
      </c>
      <c r="V2561" t="str">
        <f t="shared" si="1037"/>
        <v>FARHANA BINTI MUSTAPA</v>
      </c>
      <c r="W2561" t="str">
        <f t="shared" si="1038"/>
        <v>04-08-2020</v>
      </c>
      <c r="X2561" t="str">
        <f t="shared" si="1039"/>
        <v>RAZIMAH ANSAR AHMAD</v>
      </c>
      <c r="Y2561" t="str">
        <f t="shared" si="1040"/>
        <v>04-08-2020</v>
      </c>
      <c r="Z2561" t="str">
        <f>"COS10200804 6593"</f>
        <v>COS10200804 6593</v>
      </c>
    </row>
    <row r="2562" spans="1:26" x14ac:dyDescent="0.25">
      <c r="A2562" t="str">
        <f t="shared" si="1053"/>
        <v>04-08-2020 01:03:01</v>
      </c>
      <c r="B2562" t="str">
        <f>"0000808386"</f>
        <v>0000808386</v>
      </c>
      <c r="C2562" t="str">
        <f t="shared" si="1054"/>
        <v>0000808194</v>
      </c>
      <c r="D2562" t="str">
        <f t="shared" si="1028"/>
        <v>73185</v>
      </c>
      <c r="E2562" t="str">
        <f t="shared" si="1029"/>
        <v>KFH-OPERATIONS DEPARTMENT</v>
      </c>
      <c r="F2562" t="str">
        <f t="shared" si="1030"/>
        <v>IBG</v>
      </c>
      <c r="G2562" t="str">
        <f t="shared" si="1043"/>
        <v>Refund COSHARE 10</v>
      </c>
      <c r="H2562" s="2">
        <v>42</v>
      </c>
      <c r="I2562" t="str">
        <f>"NORLI BINTI ISMAIL"</f>
        <v>NORLI BINTI ISMAIL</v>
      </c>
      <c r="J2562" t="str">
        <f t="shared" si="1044"/>
        <v>MAYBANK / MAYBANK ISLAMIC</v>
      </c>
      <c r="K2562" t="str">
        <f>"162218502974"</f>
        <v>162218502974</v>
      </c>
      <c r="L2562" t="str">
        <f t="shared" si="1051"/>
        <v>04-08-2020</v>
      </c>
      <c r="M2562" t="str">
        <f t="shared" si="1051"/>
        <v>04-08-2020</v>
      </c>
      <c r="N2562" t="str">
        <f t="shared" si="1031"/>
        <v>001105018356</v>
      </c>
      <c r="O2562" t="str">
        <f t="shared" si="1032"/>
        <v>MYR</v>
      </c>
      <c r="P2562" t="str">
        <f t="shared" si="1052"/>
        <v>NIL</v>
      </c>
      <c r="Q2562" t="str">
        <f t="shared" si="1052"/>
        <v>NIL</v>
      </c>
      <c r="R2562" t="str">
        <f t="shared" si="1033"/>
        <v>Accepted</v>
      </c>
      <c r="S2562" t="str">
        <f t="shared" si="1034"/>
        <v>Approved</v>
      </c>
      <c r="T2562" t="str">
        <f t="shared" si="1035"/>
        <v>10.20.8.188</v>
      </c>
      <c r="U2562" t="str">
        <f t="shared" si="1036"/>
        <v>AZRAD UMAR BIN SHAARI</v>
      </c>
      <c r="V2562" t="str">
        <f t="shared" si="1037"/>
        <v>FARHANA BINTI MUSTAPA</v>
      </c>
      <c r="W2562" t="str">
        <f t="shared" si="1038"/>
        <v>04-08-2020</v>
      </c>
      <c r="X2562" t="str">
        <f t="shared" si="1039"/>
        <v>RAZIMAH ANSAR AHMAD</v>
      </c>
      <c r="Y2562" t="str">
        <f t="shared" si="1040"/>
        <v>04-08-2020</v>
      </c>
      <c r="Z2562" t="str">
        <f>"COS10200804 6592"</f>
        <v>COS10200804 6592</v>
      </c>
    </row>
    <row r="2563" spans="1:26" x14ac:dyDescent="0.25">
      <c r="A2563" t="str">
        <f t="shared" si="1053"/>
        <v>04-08-2020 01:03:01</v>
      </c>
      <c r="B2563" t="str">
        <f>"0000808385"</f>
        <v>0000808385</v>
      </c>
      <c r="C2563" t="str">
        <f t="shared" si="1054"/>
        <v>0000808194</v>
      </c>
      <c r="D2563" t="str">
        <f t="shared" si="1028"/>
        <v>73185</v>
      </c>
      <c r="E2563" t="str">
        <f t="shared" si="1029"/>
        <v>KFH-OPERATIONS DEPARTMENT</v>
      </c>
      <c r="F2563" t="str">
        <f t="shared" si="1030"/>
        <v>IBG</v>
      </c>
      <c r="G2563" t="str">
        <f t="shared" si="1043"/>
        <v>Refund COSHARE 10</v>
      </c>
      <c r="H2563" s="2">
        <v>420</v>
      </c>
      <c r="I2563" t="str">
        <f>"NORLELA BINTI MOHD BASRI"</f>
        <v>NORLELA BINTI MOHD BASRI</v>
      </c>
      <c r="J2563" t="str">
        <f t="shared" si="1044"/>
        <v>MAYBANK / MAYBANK ISLAMIC</v>
      </c>
      <c r="K2563" t="str">
        <f>"151044035045"</f>
        <v>151044035045</v>
      </c>
      <c r="L2563" t="str">
        <f t="shared" si="1051"/>
        <v>04-08-2020</v>
      </c>
      <c r="M2563" t="str">
        <f t="shared" si="1051"/>
        <v>04-08-2020</v>
      </c>
      <c r="N2563" t="str">
        <f t="shared" si="1031"/>
        <v>001105018356</v>
      </c>
      <c r="O2563" t="str">
        <f t="shared" si="1032"/>
        <v>MYR</v>
      </c>
      <c r="P2563" t="str">
        <f t="shared" si="1052"/>
        <v>NIL</v>
      </c>
      <c r="Q2563" t="str">
        <f t="shared" si="1052"/>
        <v>NIL</v>
      </c>
      <c r="R2563" t="str">
        <f t="shared" si="1033"/>
        <v>Accepted</v>
      </c>
      <c r="S2563" t="str">
        <f t="shared" si="1034"/>
        <v>Approved</v>
      </c>
      <c r="T2563" t="str">
        <f t="shared" si="1035"/>
        <v>10.20.8.188</v>
      </c>
      <c r="U2563" t="str">
        <f t="shared" si="1036"/>
        <v>AZRAD UMAR BIN SHAARI</v>
      </c>
      <c r="V2563" t="str">
        <f t="shared" si="1037"/>
        <v>FARHANA BINTI MUSTAPA</v>
      </c>
      <c r="W2563" t="str">
        <f t="shared" si="1038"/>
        <v>04-08-2020</v>
      </c>
      <c r="X2563" t="str">
        <f t="shared" si="1039"/>
        <v>RAZIMAH ANSAR AHMAD</v>
      </c>
      <c r="Y2563" t="str">
        <f t="shared" si="1040"/>
        <v>04-08-2020</v>
      </c>
      <c r="Z2563" t="str">
        <f>"COS10200804 6591"</f>
        <v>COS10200804 6591</v>
      </c>
    </row>
    <row r="2564" spans="1:26" x14ac:dyDescent="0.25">
      <c r="A2564" t="str">
        <f t="shared" si="1053"/>
        <v>04-08-2020 01:03:01</v>
      </c>
      <c r="B2564" t="str">
        <f>"0000808384"</f>
        <v>0000808384</v>
      </c>
      <c r="C2564" t="str">
        <f t="shared" si="1054"/>
        <v>0000808194</v>
      </c>
      <c r="D2564" t="str">
        <f t="shared" si="1028"/>
        <v>73185</v>
      </c>
      <c r="E2564" t="str">
        <f t="shared" si="1029"/>
        <v>KFH-OPERATIONS DEPARTMENT</v>
      </c>
      <c r="F2564" t="str">
        <f t="shared" si="1030"/>
        <v>IBG</v>
      </c>
      <c r="G2564" t="str">
        <f t="shared" si="1043"/>
        <v>Refund COSHARE 10</v>
      </c>
      <c r="H2564" s="2">
        <v>224</v>
      </c>
      <c r="I2564" t="str">
        <f>"NORLELA BINTI ABD WAHAB"</f>
        <v>NORLELA BINTI ABD WAHAB</v>
      </c>
      <c r="J2564" t="str">
        <f t="shared" si="1044"/>
        <v>MAYBANK / MAYBANK ISLAMIC</v>
      </c>
      <c r="K2564" t="str">
        <f>"102027654233"</f>
        <v>102027654233</v>
      </c>
      <c r="L2564" t="str">
        <f t="shared" si="1051"/>
        <v>04-08-2020</v>
      </c>
      <c r="M2564" t="str">
        <f t="shared" si="1051"/>
        <v>04-08-2020</v>
      </c>
      <c r="N2564" t="str">
        <f t="shared" si="1031"/>
        <v>001105018356</v>
      </c>
      <c r="O2564" t="str">
        <f t="shared" si="1032"/>
        <v>MYR</v>
      </c>
      <c r="P2564" t="str">
        <f t="shared" si="1052"/>
        <v>NIL</v>
      </c>
      <c r="Q2564" t="str">
        <f t="shared" si="1052"/>
        <v>NIL</v>
      </c>
      <c r="R2564" t="str">
        <f t="shared" si="1033"/>
        <v>Accepted</v>
      </c>
      <c r="S2564" t="str">
        <f t="shared" si="1034"/>
        <v>Approved</v>
      </c>
      <c r="T2564" t="str">
        <f t="shared" si="1035"/>
        <v>10.20.8.188</v>
      </c>
      <c r="U2564" t="str">
        <f t="shared" si="1036"/>
        <v>AZRAD UMAR BIN SHAARI</v>
      </c>
      <c r="V2564" t="str">
        <f t="shared" si="1037"/>
        <v>FARHANA BINTI MUSTAPA</v>
      </c>
      <c r="W2564" t="str">
        <f t="shared" si="1038"/>
        <v>04-08-2020</v>
      </c>
      <c r="X2564" t="str">
        <f t="shared" si="1039"/>
        <v>RAZIMAH ANSAR AHMAD</v>
      </c>
      <c r="Y2564" t="str">
        <f t="shared" si="1040"/>
        <v>04-08-2020</v>
      </c>
      <c r="Z2564" t="str">
        <f>"COS10200804 6590"</f>
        <v>COS10200804 6590</v>
      </c>
    </row>
    <row r="2565" spans="1:26" x14ac:dyDescent="0.25">
      <c r="A2565" t="str">
        <f t="shared" si="1053"/>
        <v>04-08-2020 01:03:01</v>
      </c>
      <c r="B2565" t="str">
        <f>"0000808383"</f>
        <v>0000808383</v>
      </c>
      <c r="C2565" t="str">
        <f t="shared" si="1054"/>
        <v>0000808194</v>
      </c>
      <c r="D2565" t="str">
        <f t="shared" si="1028"/>
        <v>73185</v>
      </c>
      <c r="E2565" t="str">
        <f t="shared" si="1029"/>
        <v>KFH-OPERATIONS DEPARTMENT</v>
      </c>
      <c r="F2565" t="str">
        <f t="shared" si="1030"/>
        <v>IBG</v>
      </c>
      <c r="G2565" t="str">
        <f t="shared" si="1043"/>
        <v>Refund COSHARE 10</v>
      </c>
      <c r="H2565" s="2">
        <v>563</v>
      </c>
      <c r="I2565" t="str">
        <f>"NORLELA BINTI ABD WAHAB"</f>
        <v>NORLELA BINTI ABD WAHAB</v>
      </c>
      <c r="J2565" t="str">
        <f t="shared" si="1044"/>
        <v>MAYBANK / MAYBANK ISLAMIC</v>
      </c>
      <c r="K2565" t="str">
        <f>"102027654233"</f>
        <v>102027654233</v>
      </c>
      <c r="L2565" t="str">
        <f t="shared" si="1051"/>
        <v>04-08-2020</v>
      </c>
      <c r="M2565" t="str">
        <f t="shared" si="1051"/>
        <v>04-08-2020</v>
      </c>
      <c r="N2565" t="str">
        <f t="shared" si="1031"/>
        <v>001105018356</v>
      </c>
      <c r="O2565" t="str">
        <f t="shared" si="1032"/>
        <v>MYR</v>
      </c>
      <c r="P2565" t="str">
        <f t="shared" si="1052"/>
        <v>NIL</v>
      </c>
      <c r="Q2565" t="str">
        <f t="shared" si="1052"/>
        <v>NIL</v>
      </c>
      <c r="R2565" t="str">
        <f t="shared" si="1033"/>
        <v>Accepted</v>
      </c>
      <c r="S2565" t="str">
        <f t="shared" si="1034"/>
        <v>Approved</v>
      </c>
      <c r="T2565" t="str">
        <f t="shared" si="1035"/>
        <v>10.20.8.188</v>
      </c>
      <c r="U2565" t="str">
        <f t="shared" si="1036"/>
        <v>AZRAD UMAR BIN SHAARI</v>
      </c>
      <c r="V2565" t="str">
        <f t="shared" si="1037"/>
        <v>FARHANA BINTI MUSTAPA</v>
      </c>
      <c r="W2565" t="str">
        <f t="shared" si="1038"/>
        <v>04-08-2020</v>
      </c>
      <c r="X2565" t="str">
        <f t="shared" si="1039"/>
        <v>RAZIMAH ANSAR AHMAD</v>
      </c>
      <c r="Y2565" t="str">
        <f t="shared" si="1040"/>
        <v>04-08-2020</v>
      </c>
      <c r="Z2565" t="str">
        <f>"COS10200804 6589"</f>
        <v>COS10200804 6589</v>
      </c>
    </row>
    <row r="2566" spans="1:26" x14ac:dyDescent="0.25">
      <c r="A2566" t="str">
        <f t="shared" si="1053"/>
        <v>04-08-2020 01:03:01</v>
      </c>
      <c r="B2566" t="str">
        <f>"0000808382"</f>
        <v>0000808382</v>
      </c>
      <c r="C2566" t="str">
        <f t="shared" si="1054"/>
        <v>0000808194</v>
      </c>
      <c r="D2566" t="str">
        <f t="shared" si="1028"/>
        <v>73185</v>
      </c>
      <c r="E2566" t="str">
        <f t="shared" si="1029"/>
        <v>KFH-OPERATIONS DEPARTMENT</v>
      </c>
      <c r="F2566" t="str">
        <f t="shared" si="1030"/>
        <v>IBG</v>
      </c>
      <c r="G2566" t="str">
        <f t="shared" si="1043"/>
        <v>Refund COSHARE 10</v>
      </c>
      <c r="H2566" s="2">
        <v>1169</v>
      </c>
      <c r="I2566" t="str">
        <f>"NORLATIFAH BINTI KHALIP"</f>
        <v>NORLATIFAH BINTI KHALIP</v>
      </c>
      <c r="J2566" t="str">
        <f t="shared" si="1044"/>
        <v>MAYBANK / MAYBANK ISLAMIC</v>
      </c>
      <c r="K2566" t="str">
        <f>"114263054819"</f>
        <v>114263054819</v>
      </c>
      <c r="L2566" t="str">
        <f t="shared" si="1051"/>
        <v>04-08-2020</v>
      </c>
      <c r="M2566" t="str">
        <f t="shared" si="1051"/>
        <v>04-08-2020</v>
      </c>
      <c r="N2566" t="str">
        <f t="shared" si="1031"/>
        <v>001105018356</v>
      </c>
      <c r="O2566" t="str">
        <f t="shared" si="1032"/>
        <v>MYR</v>
      </c>
      <c r="P2566" t="str">
        <f t="shared" si="1052"/>
        <v>NIL</v>
      </c>
      <c r="Q2566" t="str">
        <f t="shared" si="1052"/>
        <v>NIL</v>
      </c>
      <c r="R2566" t="str">
        <f t="shared" si="1033"/>
        <v>Accepted</v>
      </c>
      <c r="S2566" t="str">
        <f t="shared" si="1034"/>
        <v>Approved</v>
      </c>
      <c r="T2566" t="str">
        <f t="shared" si="1035"/>
        <v>10.20.8.188</v>
      </c>
      <c r="U2566" t="str">
        <f t="shared" si="1036"/>
        <v>AZRAD UMAR BIN SHAARI</v>
      </c>
      <c r="V2566" t="str">
        <f t="shared" si="1037"/>
        <v>FARHANA BINTI MUSTAPA</v>
      </c>
      <c r="W2566" t="str">
        <f t="shared" si="1038"/>
        <v>04-08-2020</v>
      </c>
      <c r="X2566" t="str">
        <f t="shared" si="1039"/>
        <v>RAZIMAH ANSAR AHMAD</v>
      </c>
      <c r="Y2566" t="str">
        <f t="shared" si="1040"/>
        <v>04-08-2020</v>
      </c>
      <c r="Z2566" t="str">
        <f>"COS10200804 6588"</f>
        <v>COS10200804 6588</v>
      </c>
    </row>
    <row r="2567" spans="1:26" x14ac:dyDescent="0.25">
      <c r="A2567" t="str">
        <f t="shared" si="1053"/>
        <v>04-08-2020 01:03:01</v>
      </c>
      <c r="B2567" t="str">
        <f>"0000808381"</f>
        <v>0000808381</v>
      </c>
      <c r="C2567" t="str">
        <f t="shared" si="1054"/>
        <v>0000808194</v>
      </c>
      <c r="D2567" t="str">
        <f t="shared" ref="D2567:D2630" si="1055">"73185"</f>
        <v>73185</v>
      </c>
      <c r="E2567" t="str">
        <f t="shared" ref="E2567:E2630" si="1056">"KFH-OPERATIONS DEPARTMENT"</f>
        <v>KFH-OPERATIONS DEPARTMENT</v>
      </c>
      <c r="F2567" t="str">
        <f t="shared" ref="F2567:F2630" si="1057">"IBG"</f>
        <v>IBG</v>
      </c>
      <c r="G2567" t="str">
        <f t="shared" si="1043"/>
        <v>Refund COSHARE 10</v>
      </c>
      <c r="H2567" s="2">
        <v>125.95</v>
      </c>
      <c r="I2567" t="str">
        <f>"NORLAILA BINTI MOHAMED SAWAI"</f>
        <v>NORLAILA BINTI MOHAMED SAWAI</v>
      </c>
      <c r="J2567" t="str">
        <f t="shared" si="1044"/>
        <v>MAYBANK / MAYBANK ISLAMIC</v>
      </c>
      <c r="K2567" t="str">
        <f>"157401095999"</f>
        <v>157401095999</v>
      </c>
      <c r="L2567" t="str">
        <f t="shared" ref="L2567:M2586" si="1058">"04-08-2020"</f>
        <v>04-08-2020</v>
      </c>
      <c r="M2567" t="str">
        <f t="shared" si="1058"/>
        <v>04-08-2020</v>
      </c>
      <c r="N2567" t="str">
        <f t="shared" ref="N2567:N2630" si="1059">"001105018356"</f>
        <v>001105018356</v>
      </c>
      <c r="O2567" t="str">
        <f t="shared" ref="O2567:O2630" si="1060">"MYR"</f>
        <v>MYR</v>
      </c>
      <c r="P2567" t="str">
        <f t="shared" ref="P2567:Q2586" si="1061">"NIL"</f>
        <v>NIL</v>
      </c>
      <c r="Q2567" t="str">
        <f t="shared" si="1061"/>
        <v>NIL</v>
      </c>
      <c r="R2567" t="str">
        <f t="shared" ref="R2567:R2630" si="1062">"Accepted"</f>
        <v>Accepted</v>
      </c>
      <c r="S2567" t="str">
        <f t="shared" ref="S2567:S2630" si="1063">"Approved"</f>
        <v>Approved</v>
      </c>
      <c r="T2567" t="str">
        <f t="shared" ref="T2567:T2630" si="1064">"10.20.8.188"</f>
        <v>10.20.8.188</v>
      </c>
      <c r="U2567" t="str">
        <f t="shared" ref="U2567:U2630" si="1065">"AZRAD UMAR BIN SHAARI"</f>
        <v>AZRAD UMAR BIN SHAARI</v>
      </c>
      <c r="V2567" t="str">
        <f t="shared" ref="V2567:V2630" si="1066">"FARHANA BINTI MUSTAPA"</f>
        <v>FARHANA BINTI MUSTAPA</v>
      </c>
      <c r="W2567" t="str">
        <f t="shared" ref="W2567:W2630" si="1067">"04-08-2020"</f>
        <v>04-08-2020</v>
      </c>
      <c r="X2567" t="str">
        <f t="shared" ref="X2567:X2630" si="1068">"RAZIMAH ANSAR AHMAD"</f>
        <v>RAZIMAH ANSAR AHMAD</v>
      </c>
      <c r="Y2567" t="str">
        <f t="shared" ref="Y2567:Y2630" si="1069">"04-08-2020"</f>
        <v>04-08-2020</v>
      </c>
      <c r="Z2567" t="str">
        <f>"COS10200804 6587"</f>
        <v>COS10200804 6587</v>
      </c>
    </row>
    <row r="2568" spans="1:26" x14ac:dyDescent="0.25">
      <c r="A2568" t="str">
        <f t="shared" si="1053"/>
        <v>04-08-2020 01:03:01</v>
      </c>
      <c r="B2568" t="str">
        <f>"0000808380"</f>
        <v>0000808380</v>
      </c>
      <c r="C2568" t="str">
        <f t="shared" si="1054"/>
        <v>0000808194</v>
      </c>
      <c r="D2568" t="str">
        <f t="shared" si="1055"/>
        <v>73185</v>
      </c>
      <c r="E2568" t="str">
        <f t="shared" si="1056"/>
        <v>KFH-OPERATIONS DEPARTMENT</v>
      </c>
      <c r="F2568" t="str">
        <f t="shared" si="1057"/>
        <v>IBG</v>
      </c>
      <c r="G2568" t="str">
        <f t="shared" si="1043"/>
        <v>Refund COSHARE 10</v>
      </c>
      <c r="H2568" s="2">
        <v>1729.35</v>
      </c>
      <c r="I2568" t="str">
        <f>"NORLAILA BINTI DARAUP"</f>
        <v>NORLAILA BINTI DARAUP</v>
      </c>
      <c r="J2568" t="str">
        <f t="shared" si="1044"/>
        <v>MAYBANK / MAYBANK ISLAMIC</v>
      </c>
      <c r="K2568" t="str">
        <f>"161190061591"</f>
        <v>161190061591</v>
      </c>
      <c r="L2568" t="str">
        <f t="shared" si="1058"/>
        <v>04-08-2020</v>
      </c>
      <c r="M2568" t="str">
        <f t="shared" si="1058"/>
        <v>04-08-2020</v>
      </c>
      <c r="N2568" t="str">
        <f t="shared" si="1059"/>
        <v>001105018356</v>
      </c>
      <c r="O2568" t="str">
        <f t="shared" si="1060"/>
        <v>MYR</v>
      </c>
      <c r="P2568" t="str">
        <f t="shared" si="1061"/>
        <v>NIL</v>
      </c>
      <c r="Q2568" t="str">
        <f t="shared" si="1061"/>
        <v>NIL</v>
      </c>
      <c r="R2568" t="str">
        <f t="shared" si="1062"/>
        <v>Accepted</v>
      </c>
      <c r="S2568" t="str">
        <f t="shared" si="1063"/>
        <v>Approved</v>
      </c>
      <c r="T2568" t="str">
        <f t="shared" si="1064"/>
        <v>10.20.8.188</v>
      </c>
      <c r="U2568" t="str">
        <f t="shared" si="1065"/>
        <v>AZRAD UMAR BIN SHAARI</v>
      </c>
      <c r="V2568" t="str">
        <f t="shared" si="1066"/>
        <v>FARHANA BINTI MUSTAPA</v>
      </c>
      <c r="W2568" t="str">
        <f t="shared" si="1067"/>
        <v>04-08-2020</v>
      </c>
      <c r="X2568" t="str">
        <f t="shared" si="1068"/>
        <v>RAZIMAH ANSAR AHMAD</v>
      </c>
      <c r="Y2568" t="str">
        <f t="shared" si="1069"/>
        <v>04-08-2020</v>
      </c>
      <c r="Z2568" t="str">
        <f>"COS10200804 6586"</f>
        <v>COS10200804 6586</v>
      </c>
    </row>
    <row r="2569" spans="1:26" x14ac:dyDescent="0.25">
      <c r="A2569" t="str">
        <f t="shared" si="1053"/>
        <v>04-08-2020 01:03:01</v>
      </c>
      <c r="B2569" t="str">
        <f>"0000808379"</f>
        <v>0000808379</v>
      </c>
      <c r="C2569" t="str">
        <f t="shared" si="1054"/>
        <v>0000808194</v>
      </c>
      <c r="D2569" t="str">
        <f t="shared" si="1055"/>
        <v>73185</v>
      </c>
      <c r="E2569" t="str">
        <f t="shared" si="1056"/>
        <v>KFH-OPERATIONS DEPARTMENT</v>
      </c>
      <c r="F2569" t="str">
        <f t="shared" si="1057"/>
        <v>IBG</v>
      </c>
      <c r="G2569" t="str">
        <f t="shared" si="1043"/>
        <v>Refund COSHARE 10</v>
      </c>
      <c r="H2569" s="2">
        <v>646.4</v>
      </c>
      <c r="I2569" t="str">
        <f>"NORKHAIRIAH BINTI A RAZAK"</f>
        <v>NORKHAIRIAH BINTI A RAZAK</v>
      </c>
      <c r="J2569" t="str">
        <f t="shared" si="1044"/>
        <v>MAYBANK / MAYBANK ISLAMIC</v>
      </c>
      <c r="K2569" t="str">
        <f>"151061217281"</f>
        <v>151061217281</v>
      </c>
      <c r="L2569" t="str">
        <f t="shared" si="1058"/>
        <v>04-08-2020</v>
      </c>
      <c r="M2569" t="str">
        <f t="shared" si="1058"/>
        <v>04-08-2020</v>
      </c>
      <c r="N2569" t="str">
        <f t="shared" si="1059"/>
        <v>001105018356</v>
      </c>
      <c r="O2569" t="str">
        <f t="shared" si="1060"/>
        <v>MYR</v>
      </c>
      <c r="P2569" t="str">
        <f t="shared" si="1061"/>
        <v>NIL</v>
      </c>
      <c r="Q2569" t="str">
        <f t="shared" si="1061"/>
        <v>NIL</v>
      </c>
      <c r="R2569" t="str">
        <f t="shared" si="1062"/>
        <v>Accepted</v>
      </c>
      <c r="S2569" t="str">
        <f t="shared" si="1063"/>
        <v>Approved</v>
      </c>
      <c r="T2569" t="str">
        <f t="shared" si="1064"/>
        <v>10.20.8.188</v>
      </c>
      <c r="U2569" t="str">
        <f t="shared" si="1065"/>
        <v>AZRAD UMAR BIN SHAARI</v>
      </c>
      <c r="V2569" t="str">
        <f t="shared" si="1066"/>
        <v>FARHANA BINTI MUSTAPA</v>
      </c>
      <c r="W2569" t="str">
        <f t="shared" si="1067"/>
        <v>04-08-2020</v>
      </c>
      <c r="X2569" t="str">
        <f t="shared" si="1068"/>
        <v>RAZIMAH ANSAR AHMAD</v>
      </c>
      <c r="Y2569" t="str">
        <f t="shared" si="1069"/>
        <v>04-08-2020</v>
      </c>
      <c r="Z2569" t="str">
        <f>"COS10200804 6585"</f>
        <v>COS10200804 6585</v>
      </c>
    </row>
    <row r="2570" spans="1:26" x14ac:dyDescent="0.25">
      <c r="A2570" t="str">
        <f t="shared" si="1053"/>
        <v>04-08-2020 01:03:01</v>
      </c>
      <c r="B2570" t="str">
        <f>"0000808378"</f>
        <v>0000808378</v>
      </c>
      <c r="C2570" t="str">
        <f t="shared" si="1054"/>
        <v>0000808194</v>
      </c>
      <c r="D2570" t="str">
        <f t="shared" si="1055"/>
        <v>73185</v>
      </c>
      <c r="E2570" t="str">
        <f t="shared" si="1056"/>
        <v>KFH-OPERATIONS DEPARTMENT</v>
      </c>
      <c r="F2570" t="str">
        <f t="shared" si="1057"/>
        <v>IBG</v>
      </c>
      <c r="G2570" t="str">
        <f t="shared" si="1043"/>
        <v>Refund COSHARE 10</v>
      </c>
      <c r="H2570" s="2">
        <v>50.4</v>
      </c>
      <c r="I2570" t="str">
        <f>"NORKASMILEA BINTI MAT KASA"</f>
        <v>NORKASMILEA BINTI MAT KASA</v>
      </c>
      <c r="J2570" t="str">
        <f t="shared" si="1044"/>
        <v>MAYBANK / MAYBANK ISLAMIC</v>
      </c>
      <c r="K2570" t="str">
        <f>"162058914146"</f>
        <v>162058914146</v>
      </c>
      <c r="L2570" t="str">
        <f t="shared" si="1058"/>
        <v>04-08-2020</v>
      </c>
      <c r="M2570" t="str">
        <f t="shared" si="1058"/>
        <v>04-08-2020</v>
      </c>
      <c r="N2570" t="str">
        <f t="shared" si="1059"/>
        <v>001105018356</v>
      </c>
      <c r="O2570" t="str">
        <f t="shared" si="1060"/>
        <v>MYR</v>
      </c>
      <c r="P2570" t="str">
        <f t="shared" si="1061"/>
        <v>NIL</v>
      </c>
      <c r="Q2570" t="str">
        <f t="shared" si="1061"/>
        <v>NIL</v>
      </c>
      <c r="R2570" t="str">
        <f t="shared" si="1062"/>
        <v>Accepted</v>
      </c>
      <c r="S2570" t="str">
        <f t="shared" si="1063"/>
        <v>Approved</v>
      </c>
      <c r="T2570" t="str">
        <f t="shared" si="1064"/>
        <v>10.20.8.188</v>
      </c>
      <c r="U2570" t="str">
        <f t="shared" si="1065"/>
        <v>AZRAD UMAR BIN SHAARI</v>
      </c>
      <c r="V2570" t="str">
        <f t="shared" si="1066"/>
        <v>FARHANA BINTI MUSTAPA</v>
      </c>
      <c r="W2570" t="str">
        <f t="shared" si="1067"/>
        <v>04-08-2020</v>
      </c>
      <c r="X2570" t="str">
        <f t="shared" si="1068"/>
        <v>RAZIMAH ANSAR AHMAD</v>
      </c>
      <c r="Y2570" t="str">
        <f t="shared" si="1069"/>
        <v>04-08-2020</v>
      </c>
      <c r="Z2570" t="str">
        <f>"COS10200804 6584"</f>
        <v>COS10200804 6584</v>
      </c>
    </row>
    <row r="2571" spans="1:26" x14ac:dyDescent="0.25">
      <c r="A2571" t="str">
        <f t="shared" si="1053"/>
        <v>04-08-2020 01:03:01</v>
      </c>
      <c r="B2571" t="str">
        <f>"0000808377"</f>
        <v>0000808377</v>
      </c>
      <c r="C2571" t="str">
        <f t="shared" si="1054"/>
        <v>0000808194</v>
      </c>
      <c r="D2571" t="str">
        <f t="shared" si="1055"/>
        <v>73185</v>
      </c>
      <c r="E2571" t="str">
        <f t="shared" si="1056"/>
        <v>KFH-OPERATIONS DEPARTMENT</v>
      </c>
      <c r="F2571" t="str">
        <f t="shared" si="1057"/>
        <v>IBG</v>
      </c>
      <c r="G2571" t="str">
        <f t="shared" si="1043"/>
        <v>Refund COSHARE 10</v>
      </c>
      <c r="H2571" s="2">
        <v>123.05</v>
      </c>
      <c r="I2571" t="str">
        <f>"NORIZAN BINTI SULAIMAN"</f>
        <v>NORIZAN BINTI SULAIMAN</v>
      </c>
      <c r="J2571" t="str">
        <f t="shared" si="1044"/>
        <v>MAYBANK / MAYBANK ISLAMIC</v>
      </c>
      <c r="K2571" t="str">
        <f>"158033117872"</f>
        <v>158033117872</v>
      </c>
      <c r="L2571" t="str">
        <f t="shared" si="1058"/>
        <v>04-08-2020</v>
      </c>
      <c r="M2571" t="str">
        <f t="shared" si="1058"/>
        <v>04-08-2020</v>
      </c>
      <c r="N2571" t="str">
        <f t="shared" si="1059"/>
        <v>001105018356</v>
      </c>
      <c r="O2571" t="str">
        <f t="shared" si="1060"/>
        <v>MYR</v>
      </c>
      <c r="P2571" t="str">
        <f t="shared" si="1061"/>
        <v>NIL</v>
      </c>
      <c r="Q2571" t="str">
        <f t="shared" si="1061"/>
        <v>NIL</v>
      </c>
      <c r="R2571" t="str">
        <f t="shared" si="1062"/>
        <v>Accepted</v>
      </c>
      <c r="S2571" t="str">
        <f t="shared" si="1063"/>
        <v>Approved</v>
      </c>
      <c r="T2571" t="str">
        <f t="shared" si="1064"/>
        <v>10.20.8.188</v>
      </c>
      <c r="U2571" t="str">
        <f t="shared" si="1065"/>
        <v>AZRAD UMAR BIN SHAARI</v>
      </c>
      <c r="V2571" t="str">
        <f t="shared" si="1066"/>
        <v>FARHANA BINTI MUSTAPA</v>
      </c>
      <c r="W2571" t="str">
        <f t="shared" si="1067"/>
        <v>04-08-2020</v>
      </c>
      <c r="X2571" t="str">
        <f t="shared" si="1068"/>
        <v>RAZIMAH ANSAR AHMAD</v>
      </c>
      <c r="Y2571" t="str">
        <f t="shared" si="1069"/>
        <v>04-08-2020</v>
      </c>
      <c r="Z2571" t="str">
        <f>"COS10200804 6583"</f>
        <v>COS10200804 6583</v>
      </c>
    </row>
    <row r="2572" spans="1:26" x14ac:dyDescent="0.25">
      <c r="A2572" t="str">
        <f t="shared" si="1053"/>
        <v>04-08-2020 01:03:01</v>
      </c>
      <c r="B2572" t="str">
        <f>"0000808376"</f>
        <v>0000808376</v>
      </c>
      <c r="C2572" t="str">
        <f t="shared" si="1054"/>
        <v>0000808194</v>
      </c>
      <c r="D2572" t="str">
        <f t="shared" si="1055"/>
        <v>73185</v>
      </c>
      <c r="E2572" t="str">
        <f t="shared" si="1056"/>
        <v>KFH-OPERATIONS DEPARTMENT</v>
      </c>
      <c r="F2572" t="str">
        <f t="shared" si="1057"/>
        <v>IBG</v>
      </c>
      <c r="G2572" t="str">
        <f t="shared" ref="G2572:G2635" si="1070">"Refund COSHARE 10"</f>
        <v>Refund COSHARE 10</v>
      </c>
      <c r="H2572" s="2">
        <v>713.6</v>
      </c>
      <c r="I2572" t="str">
        <f>"NORIZAN BINTI RAHMATULLAH"</f>
        <v>NORIZAN BINTI RAHMATULLAH</v>
      </c>
      <c r="J2572" t="str">
        <f t="shared" si="1044"/>
        <v>MAYBANK / MAYBANK ISLAMIC</v>
      </c>
      <c r="K2572" t="str">
        <f>"160045301376"</f>
        <v>160045301376</v>
      </c>
      <c r="L2572" t="str">
        <f t="shared" si="1058"/>
        <v>04-08-2020</v>
      </c>
      <c r="M2572" t="str">
        <f t="shared" si="1058"/>
        <v>04-08-2020</v>
      </c>
      <c r="N2572" t="str">
        <f t="shared" si="1059"/>
        <v>001105018356</v>
      </c>
      <c r="O2572" t="str">
        <f t="shared" si="1060"/>
        <v>MYR</v>
      </c>
      <c r="P2572" t="str">
        <f t="shared" si="1061"/>
        <v>NIL</v>
      </c>
      <c r="Q2572" t="str">
        <f t="shared" si="1061"/>
        <v>NIL</v>
      </c>
      <c r="R2572" t="str">
        <f t="shared" si="1062"/>
        <v>Accepted</v>
      </c>
      <c r="S2572" t="str">
        <f t="shared" si="1063"/>
        <v>Approved</v>
      </c>
      <c r="T2572" t="str">
        <f t="shared" si="1064"/>
        <v>10.20.8.188</v>
      </c>
      <c r="U2572" t="str">
        <f t="shared" si="1065"/>
        <v>AZRAD UMAR BIN SHAARI</v>
      </c>
      <c r="V2572" t="str">
        <f t="shared" si="1066"/>
        <v>FARHANA BINTI MUSTAPA</v>
      </c>
      <c r="W2572" t="str">
        <f t="shared" si="1067"/>
        <v>04-08-2020</v>
      </c>
      <c r="X2572" t="str">
        <f t="shared" si="1068"/>
        <v>RAZIMAH ANSAR AHMAD</v>
      </c>
      <c r="Y2572" t="str">
        <f t="shared" si="1069"/>
        <v>04-08-2020</v>
      </c>
      <c r="Z2572" t="str">
        <f>"COS10200804 6582"</f>
        <v>COS10200804 6582</v>
      </c>
    </row>
    <row r="2573" spans="1:26" x14ac:dyDescent="0.25">
      <c r="A2573" t="str">
        <f t="shared" si="1053"/>
        <v>04-08-2020 01:03:01</v>
      </c>
      <c r="B2573" t="str">
        <f>"0000808375"</f>
        <v>0000808375</v>
      </c>
      <c r="C2573" t="str">
        <f t="shared" si="1054"/>
        <v>0000808194</v>
      </c>
      <c r="D2573" t="str">
        <f t="shared" si="1055"/>
        <v>73185</v>
      </c>
      <c r="E2573" t="str">
        <f t="shared" si="1056"/>
        <v>KFH-OPERATIONS DEPARTMENT</v>
      </c>
      <c r="F2573" t="str">
        <f t="shared" si="1057"/>
        <v>IBG</v>
      </c>
      <c r="G2573" t="str">
        <f t="shared" si="1070"/>
        <v>Refund COSHARE 10</v>
      </c>
      <c r="H2573" s="2">
        <v>215.5</v>
      </c>
      <c r="I2573" t="str">
        <f>"NORIZAN BINTI MAT"</f>
        <v>NORIZAN BINTI MAT</v>
      </c>
      <c r="J2573" t="str">
        <f t="shared" si="1044"/>
        <v>MAYBANK / MAYBANK ISLAMIC</v>
      </c>
      <c r="K2573" t="str">
        <f>"162012684327"</f>
        <v>162012684327</v>
      </c>
      <c r="L2573" t="str">
        <f t="shared" si="1058"/>
        <v>04-08-2020</v>
      </c>
      <c r="M2573" t="str">
        <f t="shared" si="1058"/>
        <v>04-08-2020</v>
      </c>
      <c r="N2573" t="str">
        <f t="shared" si="1059"/>
        <v>001105018356</v>
      </c>
      <c r="O2573" t="str">
        <f t="shared" si="1060"/>
        <v>MYR</v>
      </c>
      <c r="P2573" t="str">
        <f t="shared" si="1061"/>
        <v>NIL</v>
      </c>
      <c r="Q2573" t="str">
        <f t="shared" si="1061"/>
        <v>NIL</v>
      </c>
      <c r="R2573" t="str">
        <f t="shared" si="1062"/>
        <v>Accepted</v>
      </c>
      <c r="S2573" t="str">
        <f t="shared" si="1063"/>
        <v>Approved</v>
      </c>
      <c r="T2573" t="str">
        <f t="shared" si="1064"/>
        <v>10.20.8.188</v>
      </c>
      <c r="U2573" t="str">
        <f t="shared" si="1065"/>
        <v>AZRAD UMAR BIN SHAARI</v>
      </c>
      <c r="V2573" t="str">
        <f t="shared" si="1066"/>
        <v>FARHANA BINTI MUSTAPA</v>
      </c>
      <c r="W2573" t="str">
        <f t="shared" si="1067"/>
        <v>04-08-2020</v>
      </c>
      <c r="X2573" t="str">
        <f t="shared" si="1068"/>
        <v>RAZIMAH ANSAR AHMAD</v>
      </c>
      <c r="Y2573" t="str">
        <f t="shared" si="1069"/>
        <v>04-08-2020</v>
      </c>
      <c r="Z2573" t="str">
        <f>"COS10200804 6581"</f>
        <v>COS10200804 6581</v>
      </c>
    </row>
    <row r="2574" spans="1:26" x14ac:dyDescent="0.25">
      <c r="A2574" t="str">
        <f t="shared" si="1053"/>
        <v>04-08-2020 01:03:01</v>
      </c>
      <c r="B2574" t="str">
        <f>"0000808374"</f>
        <v>0000808374</v>
      </c>
      <c r="C2574" t="str">
        <f t="shared" si="1054"/>
        <v>0000808194</v>
      </c>
      <c r="D2574" t="str">
        <f t="shared" si="1055"/>
        <v>73185</v>
      </c>
      <c r="E2574" t="str">
        <f t="shared" si="1056"/>
        <v>KFH-OPERATIONS DEPARTMENT</v>
      </c>
      <c r="F2574" t="str">
        <f t="shared" si="1057"/>
        <v>IBG</v>
      </c>
      <c r="G2574" t="str">
        <f t="shared" si="1070"/>
        <v>Refund COSHARE 10</v>
      </c>
      <c r="H2574" s="2">
        <v>251.85</v>
      </c>
      <c r="I2574" t="str">
        <f>"NORIZAH BINTI IBRAHIM"</f>
        <v>NORIZAH BINTI IBRAHIM</v>
      </c>
      <c r="J2574" t="str">
        <f t="shared" si="1044"/>
        <v>MAYBANK / MAYBANK ISLAMIC</v>
      </c>
      <c r="K2574" t="str">
        <f>"166010184781"</f>
        <v>166010184781</v>
      </c>
      <c r="L2574" t="str">
        <f t="shared" si="1058"/>
        <v>04-08-2020</v>
      </c>
      <c r="M2574" t="str">
        <f t="shared" si="1058"/>
        <v>04-08-2020</v>
      </c>
      <c r="N2574" t="str">
        <f t="shared" si="1059"/>
        <v>001105018356</v>
      </c>
      <c r="O2574" t="str">
        <f t="shared" si="1060"/>
        <v>MYR</v>
      </c>
      <c r="P2574" t="str">
        <f t="shared" si="1061"/>
        <v>NIL</v>
      </c>
      <c r="Q2574" t="str">
        <f t="shared" si="1061"/>
        <v>NIL</v>
      </c>
      <c r="R2574" t="str">
        <f t="shared" si="1062"/>
        <v>Accepted</v>
      </c>
      <c r="S2574" t="str">
        <f t="shared" si="1063"/>
        <v>Approved</v>
      </c>
      <c r="T2574" t="str">
        <f t="shared" si="1064"/>
        <v>10.20.8.188</v>
      </c>
      <c r="U2574" t="str">
        <f t="shared" si="1065"/>
        <v>AZRAD UMAR BIN SHAARI</v>
      </c>
      <c r="V2574" t="str">
        <f t="shared" si="1066"/>
        <v>FARHANA BINTI MUSTAPA</v>
      </c>
      <c r="W2574" t="str">
        <f t="shared" si="1067"/>
        <v>04-08-2020</v>
      </c>
      <c r="X2574" t="str">
        <f t="shared" si="1068"/>
        <v>RAZIMAH ANSAR AHMAD</v>
      </c>
      <c r="Y2574" t="str">
        <f t="shared" si="1069"/>
        <v>04-08-2020</v>
      </c>
      <c r="Z2574" t="str">
        <f>"COS10200804 6580"</f>
        <v>COS10200804 6580</v>
      </c>
    </row>
    <row r="2575" spans="1:26" x14ac:dyDescent="0.25">
      <c r="A2575" t="str">
        <f t="shared" si="1053"/>
        <v>04-08-2020 01:03:01</v>
      </c>
      <c r="B2575" t="str">
        <f>"0000808373"</f>
        <v>0000808373</v>
      </c>
      <c r="C2575" t="str">
        <f t="shared" si="1054"/>
        <v>0000808194</v>
      </c>
      <c r="D2575" t="str">
        <f t="shared" si="1055"/>
        <v>73185</v>
      </c>
      <c r="E2575" t="str">
        <f t="shared" si="1056"/>
        <v>KFH-OPERATIONS DEPARTMENT</v>
      </c>
      <c r="F2575" t="str">
        <f t="shared" si="1057"/>
        <v>IBG</v>
      </c>
      <c r="G2575" t="str">
        <f t="shared" si="1070"/>
        <v>Refund COSHARE 10</v>
      </c>
      <c r="H2575" s="2">
        <v>251.85</v>
      </c>
      <c r="I2575" t="str">
        <f>"NORIWAN BIN TUAH"</f>
        <v>NORIWAN BIN TUAH</v>
      </c>
      <c r="J2575" t="str">
        <f t="shared" si="1044"/>
        <v>MAYBANK / MAYBANK ISLAMIC</v>
      </c>
      <c r="K2575" t="str">
        <f>"164315288191"</f>
        <v>164315288191</v>
      </c>
      <c r="L2575" t="str">
        <f t="shared" si="1058"/>
        <v>04-08-2020</v>
      </c>
      <c r="M2575" t="str">
        <f t="shared" si="1058"/>
        <v>04-08-2020</v>
      </c>
      <c r="N2575" t="str">
        <f t="shared" si="1059"/>
        <v>001105018356</v>
      </c>
      <c r="O2575" t="str">
        <f t="shared" si="1060"/>
        <v>MYR</v>
      </c>
      <c r="P2575" t="str">
        <f t="shared" si="1061"/>
        <v>NIL</v>
      </c>
      <c r="Q2575" t="str">
        <f t="shared" si="1061"/>
        <v>NIL</v>
      </c>
      <c r="R2575" t="str">
        <f t="shared" si="1062"/>
        <v>Accepted</v>
      </c>
      <c r="S2575" t="str">
        <f t="shared" si="1063"/>
        <v>Approved</v>
      </c>
      <c r="T2575" t="str">
        <f t="shared" si="1064"/>
        <v>10.20.8.188</v>
      </c>
      <c r="U2575" t="str">
        <f t="shared" si="1065"/>
        <v>AZRAD UMAR BIN SHAARI</v>
      </c>
      <c r="V2575" t="str">
        <f t="shared" si="1066"/>
        <v>FARHANA BINTI MUSTAPA</v>
      </c>
      <c r="W2575" t="str">
        <f t="shared" si="1067"/>
        <v>04-08-2020</v>
      </c>
      <c r="X2575" t="str">
        <f t="shared" si="1068"/>
        <v>RAZIMAH ANSAR AHMAD</v>
      </c>
      <c r="Y2575" t="str">
        <f t="shared" si="1069"/>
        <v>04-08-2020</v>
      </c>
      <c r="Z2575" t="str">
        <f>"COS10200804 6579"</f>
        <v>COS10200804 6579</v>
      </c>
    </row>
    <row r="2576" spans="1:26" x14ac:dyDescent="0.25">
      <c r="A2576" t="str">
        <f t="shared" si="1053"/>
        <v>04-08-2020 01:03:01</v>
      </c>
      <c r="B2576" t="str">
        <f>"0000808372"</f>
        <v>0000808372</v>
      </c>
      <c r="C2576" t="str">
        <f t="shared" si="1054"/>
        <v>0000808194</v>
      </c>
      <c r="D2576" t="str">
        <f t="shared" si="1055"/>
        <v>73185</v>
      </c>
      <c r="E2576" t="str">
        <f t="shared" si="1056"/>
        <v>KFH-OPERATIONS DEPARTMENT</v>
      </c>
      <c r="F2576" t="str">
        <f t="shared" si="1057"/>
        <v>IBG</v>
      </c>
      <c r="G2576" t="str">
        <f t="shared" si="1070"/>
        <v>Refund COSHARE 10</v>
      </c>
      <c r="H2576" s="2">
        <v>367</v>
      </c>
      <c r="I2576" t="str">
        <f>"NORITA BINTI MANSOR"</f>
        <v>NORITA BINTI MANSOR</v>
      </c>
      <c r="J2576" t="str">
        <f t="shared" si="1044"/>
        <v>MAYBANK / MAYBANK ISLAMIC</v>
      </c>
      <c r="K2576" t="str">
        <f>"102055255761"</f>
        <v>102055255761</v>
      </c>
      <c r="L2576" t="str">
        <f t="shared" si="1058"/>
        <v>04-08-2020</v>
      </c>
      <c r="M2576" t="str">
        <f t="shared" si="1058"/>
        <v>04-08-2020</v>
      </c>
      <c r="N2576" t="str">
        <f t="shared" si="1059"/>
        <v>001105018356</v>
      </c>
      <c r="O2576" t="str">
        <f t="shared" si="1060"/>
        <v>MYR</v>
      </c>
      <c r="P2576" t="str">
        <f t="shared" si="1061"/>
        <v>NIL</v>
      </c>
      <c r="Q2576" t="str">
        <f t="shared" si="1061"/>
        <v>NIL</v>
      </c>
      <c r="R2576" t="str">
        <f t="shared" si="1062"/>
        <v>Accepted</v>
      </c>
      <c r="S2576" t="str">
        <f t="shared" si="1063"/>
        <v>Approved</v>
      </c>
      <c r="T2576" t="str">
        <f t="shared" si="1064"/>
        <v>10.20.8.188</v>
      </c>
      <c r="U2576" t="str">
        <f t="shared" si="1065"/>
        <v>AZRAD UMAR BIN SHAARI</v>
      </c>
      <c r="V2576" t="str">
        <f t="shared" si="1066"/>
        <v>FARHANA BINTI MUSTAPA</v>
      </c>
      <c r="W2576" t="str">
        <f t="shared" si="1067"/>
        <v>04-08-2020</v>
      </c>
      <c r="X2576" t="str">
        <f t="shared" si="1068"/>
        <v>RAZIMAH ANSAR AHMAD</v>
      </c>
      <c r="Y2576" t="str">
        <f t="shared" si="1069"/>
        <v>04-08-2020</v>
      </c>
      <c r="Z2576" t="str">
        <f>"COS10200804 6578"</f>
        <v>COS10200804 6578</v>
      </c>
    </row>
    <row r="2577" spans="1:26" x14ac:dyDescent="0.25">
      <c r="A2577" t="str">
        <f t="shared" si="1053"/>
        <v>04-08-2020 01:03:01</v>
      </c>
      <c r="B2577" t="str">
        <f>"0000808371"</f>
        <v>0000808371</v>
      </c>
      <c r="C2577" t="str">
        <f t="shared" si="1054"/>
        <v>0000808194</v>
      </c>
      <c r="D2577" t="str">
        <f t="shared" si="1055"/>
        <v>73185</v>
      </c>
      <c r="E2577" t="str">
        <f t="shared" si="1056"/>
        <v>KFH-OPERATIONS DEPARTMENT</v>
      </c>
      <c r="F2577" t="str">
        <f t="shared" si="1057"/>
        <v>IBG</v>
      </c>
      <c r="G2577" t="str">
        <f t="shared" si="1070"/>
        <v>Refund COSHARE 10</v>
      </c>
      <c r="H2577" s="2">
        <v>327.45</v>
      </c>
      <c r="I2577" t="str">
        <f>"NORITA BINTI BERNARD MIRAN"</f>
        <v>NORITA BINTI BERNARD MIRAN</v>
      </c>
      <c r="J2577" t="str">
        <f t="shared" ref="J2577:J2640" si="1071">"MAYBANK / MAYBANK ISLAMIC"</f>
        <v>MAYBANK / MAYBANK ISLAMIC</v>
      </c>
      <c r="K2577" t="str">
        <f>"111104067027"</f>
        <v>111104067027</v>
      </c>
      <c r="L2577" t="str">
        <f t="shared" si="1058"/>
        <v>04-08-2020</v>
      </c>
      <c r="M2577" t="str">
        <f t="shared" si="1058"/>
        <v>04-08-2020</v>
      </c>
      <c r="N2577" t="str">
        <f t="shared" si="1059"/>
        <v>001105018356</v>
      </c>
      <c r="O2577" t="str">
        <f t="shared" si="1060"/>
        <v>MYR</v>
      </c>
      <c r="P2577" t="str">
        <f t="shared" si="1061"/>
        <v>NIL</v>
      </c>
      <c r="Q2577" t="str">
        <f t="shared" si="1061"/>
        <v>NIL</v>
      </c>
      <c r="R2577" t="str">
        <f t="shared" si="1062"/>
        <v>Accepted</v>
      </c>
      <c r="S2577" t="str">
        <f t="shared" si="1063"/>
        <v>Approved</v>
      </c>
      <c r="T2577" t="str">
        <f t="shared" si="1064"/>
        <v>10.20.8.188</v>
      </c>
      <c r="U2577" t="str">
        <f t="shared" si="1065"/>
        <v>AZRAD UMAR BIN SHAARI</v>
      </c>
      <c r="V2577" t="str">
        <f t="shared" si="1066"/>
        <v>FARHANA BINTI MUSTAPA</v>
      </c>
      <c r="W2577" t="str">
        <f t="shared" si="1067"/>
        <v>04-08-2020</v>
      </c>
      <c r="X2577" t="str">
        <f t="shared" si="1068"/>
        <v>RAZIMAH ANSAR AHMAD</v>
      </c>
      <c r="Y2577" t="str">
        <f t="shared" si="1069"/>
        <v>04-08-2020</v>
      </c>
      <c r="Z2577" t="str">
        <f>"COS10200804 6577"</f>
        <v>COS10200804 6577</v>
      </c>
    </row>
    <row r="2578" spans="1:26" x14ac:dyDescent="0.25">
      <c r="A2578" t="str">
        <f t="shared" si="1053"/>
        <v>04-08-2020 01:03:01</v>
      </c>
      <c r="B2578" t="str">
        <f>"0000808370"</f>
        <v>0000808370</v>
      </c>
      <c r="C2578" t="str">
        <f t="shared" si="1054"/>
        <v>0000808194</v>
      </c>
      <c r="D2578" t="str">
        <f t="shared" si="1055"/>
        <v>73185</v>
      </c>
      <c r="E2578" t="str">
        <f t="shared" si="1056"/>
        <v>KFH-OPERATIONS DEPARTMENT</v>
      </c>
      <c r="F2578" t="str">
        <f t="shared" si="1057"/>
        <v>IBG</v>
      </c>
      <c r="G2578" t="str">
        <f t="shared" si="1070"/>
        <v>Refund COSHARE 10</v>
      </c>
      <c r="H2578" s="2">
        <v>923.45</v>
      </c>
      <c r="I2578" t="str">
        <f>"NORITA BINTI ATEK"</f>
        <v>NORITA BINTI ATEK</v>
      </c>
      <c r="J2578" t="str">
        <f t="shared" si="1071"/>
        <v>MAYBANK / MAYBANK ISLAMIC</v>
      </c>
      <c r="K2578" t="str">
        <f>"111114262175"</f>
        <v>111114262175</v>
      </c>
      <c r="L2578" t="str">
        <f t="shared" si="1058"/>
        <v>04-08-2020</v>
      </c>
      <c r="M2578" t="str">
        <f t="shared" si="1058"/>
        <v>04-08-2020</v>
      </c>
      <c r="N2578" t="str">
        <f t="shared" si="1059"/>
        <v>001105018356</v>
      </c>
      <c r="O2578" t="str">
        <f t="shared" si="1060"/>
        <v>MYR</v>
      </c>
      <c r="P2578" t="str">
        <f t="shared" si="1061"/>
        <v>NIL</v>
      </c>
      <c r="Q2578" t="str">
        <f t="shared" si="1061"/>
        <v>NIL</v>
      </c>
      <c r="R2578" t="str">
        <f t="shared" si="1062"/>
        <v>Accepted</v>
      </c>
      <c r="S2578" t="str">
        <f t="shared" si="1063"/>
        <v>Approved</v>
      </c>
      <c r="T2578" t="str">
        <f t="shared" si="1064"/>
        <v>10.20.8.188</v>
      </c>
      <c r="U2578" t="str">
        <f t="shared" si="1065"/>
        <v>AZRAD UMAR BIN SHAARI</v>
      </c>
      <c r="V2578" t="str">
        <f t="shared" si="1066"/>
        <v>FARHANA BINTI MUSTAPA</v>
      </c>
      <c r="W2578" t="str">
        <f t="shared" si="1067"/>
        <v>04-08-2020</v>
      </c>
      <c r="X2578" t="str">
        <f t="shared" si="1068"/>
        <v>RAZIMAH ANSAR AHMAD</v>
      </c>
      <c r="Y2578" t="str">
        <f t="shared" si="1069"/>
        <v>04-08-2020</v>
      </c>
      <c r="Z2578" t="str">
        <f>"COS10200804 6576"</f>
        <v>COS10200804 6576</v>
      </c>
    </row>
    <row r="2579" spans="1:26" x14ac:dyDescent="0.25">
      <c r="A2579" t="str">
        <f t="shared" si="1053"/>
        <v>04-08-2020 01:03:01</v>
      </c>
      <c r="B2579" t="str">
        <f>"0000808369"</f>
        <v>0000808369</v>
      </c>
      <c r="C2579" t="str">
        <f t="shared" si="1054"/>
        <v>0000808194</v>
      </c>
      <c r="D2579" t="str">
        <f t="shared" si="1055"/>
        <v>73185</v>
      </c>
      <c r="E2579" t="str">
        <f t="shared" si="1056"/>
        <v>KFH-OPERATIONS DEPARTMENT</v>
      </c>
      <c r="F2579" t="str">
        <f t="shared" si="1057"/>
        <v>IBG</v>
      </c>
      <c r="G2579" t="str">
        <f t="shared" si="1070"/>
        <v>Refund COSHARE 10</v>
      </c>
      <c r="H2579" s="2">
        <v>259</v>
      </c>
      <c r="I2579" t="str">
        <f>"NORISAH BINTI BAHAK"</f>
        <v>NORISAH BINTI BAHAK</v>
      </c>
      <c r="J2579" t="str">
        <f t="shared" si="1071"/>
        <v>MAYBANK / MAYBANK ISLAMIC</v>
      </c>
      <c r="K2579" t="str">
        <f>"101217862227"</f>
        <v>101217862227</v>
      </c>
      <c r="L2579" t="str">
        <f t="shared" si="1058"/>
        <v>04-08-2020</v>
      </c>
      <c r="M2579" t="str">
        <f t="shared" si="1058"/>
        <v>04-08-2020</v>
      </c>
      <c r="N2579" t="str">
        <f t="shared" si="1059"/>
        <v>001105018356</v>
      </c>
      <c r="O2579" t="str">
        <f t="shared" si="1060"/>
        <v>MYR</v>
      </c>
      <c r="P2579" t="str">
        <f t="shared" si="1061"/>
        <v>NIL</v>
      </c>
      <c r="Q2579" t="str">
        <f t="shared" si="1061"/>
        <v>NIL</v>
      </c>
      <c r="R2579" t="str">
        <f t="shared" si="1062"/>
        <v>Accepted</v>
      </c>
      <c r="S2579" t="str">
        <f t="shared" si="1063"/>
        <v>Approved</v>
      </c>
      <c r="T2579" t="str">
        <f t="shared" si="1064"/>
        <v>10.20.8.188</v>
      </c>
      <c r="U2579" t="str">
        <f t="shared" si="1065"/>
        <v>AZRAD UMAR BIN SHAARI</v>
      </c>
      <c r="V2579" t="str">
        <f t="shared" si="1066"/>
        <v>FARHANA BINTI MUSTAPA</v>
      </c>
      <c r="W2579" t="str">
        <f t="shared" si="1067"/>
        <v>04-08-2020</v>
      </c>
      <c r="X2579" t="str">
        <f t="shared" si="1068"/>
        <v>RAZIMAH ANSAR AHMAD</v>
      </c>
      <c r="Y2579" t="str">
        <f t="shared" si="1069"/>
        <v>04-08-2020</v>
      </c>
      <c r="Z2579" t="str">
        <f>"COS10200804 6575"</f>
        <v>COS10200804 6575</v>
      </c>
    </row>
    <row r="2580" spans="1:26" x14ac:dyDescent="0.25">
      <c r="A2580" t="str">
        <f t="shared" si="1053"/>
        <v>04-08-2020 01:03:01</v>
      </c>
      <c r="B2580" t="str">
        <f>"0000808368"</f>
        <v>0000808368</v>
      </c>
      <c r="C2580" t="str">
        <f t="shared" si="1054"/>
        <v>0000808194</v>
      </c>
      <c r="D2580" t="str">
        <f t="shared" si="1055"/>
        <v>73185</v>
      </c>
      <c r="E2580" t="str">
        <f t="shared" si="1056"/>
        <v>KFH-OPERATIONS DEPARTMENT</v>
      </c>
      <c r="F2580" t="str">
        <f t="shared" si="1057"/>
        <v>IBG</v>
      </c>
      <c r="G2580" t="str">
        <f t="shared" si="1070"/>
        <v>Refund COSHARE 10</v>
      </c>
      <c r="H2580" s="2">
        <v>251.85</v>
      </c>
      <c r="I2580" t="str">
        <f>"NORIQRAM BIN MOHD NOR"</f>
        <v>NORIQRAM BIN MOHD NOR</v>
      </c>
      <c r="J2580" t="str">
        <f t="shared" si="1071"/>
        <v>MAYBANK / MAYBANK ISLAMIC</v>
      </c>
      <c r="K2580" t="str">
        <f>"562106205296"</f>
        <v>562106205296</v>
      </c>
      <c r="L2580" t="str">
        <f t="shared" si="1058"/>
        <v>04-08-2020</v>
      </c>
      <c r="M2580" t="str">
        <f t="shared" si="1058"/>
        <v>04-08-2020</v>
      </c>
      <c r="N2580" t="str">
        <f t="shared" si="1059"/>
        <v>001105018356</v>
      </c>
      <c r="O2580" t="str">
        <f t="shared" si="1060"/>
        <v>MYR</v>
      </c>
      <c r="P2580" t="str">
        <f t="shared" si="1061"/>
        <v>NIL</v>
      </c>
      <c r="Q2580" t="str">
        <f t="shared" si="1061"/>
        <v>NIL</v>
      </c>
      <c r="R2580" t="str">
        <f t="shared" si="1062"/>
        <v>Accepted</v>
      </c>
      <c r="S2580" t="str">
        <f t="shared" si="1063"/>
        <v>Approved</v>
      </c>
      <c r="T2580" t="str">
        <f t="shared" si="1064"/>
        <v>10.20.8.188</v>
      </c>
      <c r="U2580" t="str">
        <f t="shared" si="1065"/>
        <v>AZRAD UMAR BIN SHAARI</v>
      </c>
      <c r="V2580" t="str">
        <f t="shared" si="1066"/>
        <v>FARHANA BINTI MUSTAPA</v>
      </c>
      <c r="W2580" t="str">
        <f t="shared" si="1067"/>
        <v>04-08-2020</v>
      </c>
      <c r="X2580" t="str">
        <f t="shared" si="1068"/>
        <v>RAZIMAH ANSAR AHMAD</v>
      </c>
      <c r="Y2580" t="str">
        <f t="shared" si="1069"/>
        <v>04-08-2020</v>
      </c>
      <c r="Z2580" t="str">
        <f>"COS10200804 6574"</f>
        <v>COS10200804 6574</v>
      </c>
    </row>
    <row r="2581" spans="1:26" x14ac:dyDescent="0.25">
      <c r="A2581" t="str">
        <f t="shared" si="1053"/>
        <v>04-08-2020 01:03:01</v>
      </c>
      <c r="B2581" t="str">
        <f>"0000808367"</f>
        <v>0000808367</v>
      </c>
      <c r="C2581" t="str">
        <f t="shared" si="1054"/>
        <v>0000808194</v>
      </c>
      <c r="D2581" t="str">
        <f t="shared" si="1055"/>
        <v>73185</v>
      </c>
      <c r="E2581" t="str">
        <f t="shared" si="1056"/>
        <v>KFH-OPERATIONS DEPARTMENT</v>
      </c>
      <c r="F2581" t="str">
        <f t="shared" si="1057"/>
        <v>IBG</v>
      </c>
      <c r="G2581" t="str">
        <f t="shared" si="1070"/>
        <v>Refund COSHARE 10</v>
      </c>
      <c r="H2581" s="2">
        <v>184.7</v>
      </c>
      <c r="I2581" t="str">
        <f>"NORINTAN BINTI ABDUL RAHMAN"</f>
        <v>NORINTAN BINTI ABDUL RAHMAN</v>
      </c>
      <c r="J2581" t="str">
        <f t="shared" si="1071"/>
        <v>MAYBANK / MAYBANK ISLAMIC</v>
      </c>
      <c r="K2581" t="str">
        <f>"151294005965"</f>
        <v>151294005965</v>
      </c>
      <c r="L2581" t="str">
        <f t="shared" si="1058"/>
        <v>04-08-2020</v>
      </c>
      <c r="M2581" t="str">
        <f t="shared" si="1058"/>
        <v>04-08-2020</v>
      </c>
      <c r="N2581" t="str">
        <f t="shared" si="1059"/>
        <v>001105018356</v>
      </c>
      <c r="O2581" t="str">
        <f t="shared" si="1060"/>
        <v>MYR</v>
      </c>
      <c r="P2581" t="str">
        <f t="shared" si="1061"/>
        <v>NIL</v>
      </c>
      <c r="Q2581" t="str">
        <f t="shared" si="1061"/>
        <v>NIL</v>
      </c>
      <c r="R2581" t="str">
        <f t="shared" si="1062"/>
        <v>Accepted</v>
      </c>
      <c r="S2581" t="str">
        <f t="shared" si="1063"/>
        <v>Approved</v>
      </c>
      <c r="T2581" t="str">
        <f t="shared" si="1064"/>
        <v>10.20.8.188</v>
      </c>
      <c r="U2581" t="str">
        <f t="shared" si="1065"/>
        <v>AZRAD UMAR BIN SHAARI</v>
      </c>
      <c r="V2581" t="str">
        <f t="shared" si="1066"/>
        <v>FARHANA BINTI MUSTAPA</v>
      </c>
      <c r="W2581" t="str">
        <f t="shared" si="1067"/>
        <v>04-08-2020</v>
      </c>
      <c r="X2581" t="str">
        <f t="shared" si="1068"/>
        <v>RAZIMAH ANSAR AHMAD</v>
      </c>
      <c r="Y2581" t="str">
        <f t="shared" si="1069"/>
        <v>04-08-2020</v>
      </c>
      <c r="Z2581" t="str">
        <f>"COS10200804 6573"</f>
        <v>COS10200804 6573</v>
      </c>
    </row>
    <row r="2582" spans="1:26" x14ac:dyDescent="0.25">
      <c r="A2582" t="str">
        <f t="shared" si="1053"/>
        <v>04-08-2020 01:03:01</v>
      </c>
      <c r="B2582" t="str">
        <f>"0000808366"</f>
        <v>0000808366</v>
      </c>
      <c r="C2582" t="str">
        <f t="shared" si="1054"/>
        <v>0000808194</v>
      </c>
      <c r="D2582" t="str">
        <f t="shared" si="1055"/>
        <v>73185</v>
      </c>
      <c r="E2582" t="str">
        <f t="shared" si="1056"/>
        <v>KFH-OPERATIONS DEPARTMENT</v>
      </c>
      <c r="F2582" t="str">
        <f t="shared" si="1057"/>
        <v>IBG</v>
      </c>
      <c r="G2582" t="str">
        <f t="shared" si="1070"/>
        <v>Refund COSHARE 10</v>
      </c>
      <c r="H2582" s="2">
        <v>535.29999999999995</v>
      </c>
      <c r="I2582" t="str">
        <f>"NORINA BINTI HARUN"</f>
        <v>NORINA BINTI HARUN</v>
      </c>
      <c r="J2582" t="str">
        <f t="shared" si="1071"/>
        <v>MAYBANK / MAYBANK ISLAMIC</v>
      </c>
      <c r="K2582" t="str">
        <f>"163037059412"</f>
        <v>163037059412</v>
      </c>
      <c r="L2582" t="str">
        <f t="shared" si="1058"/>
        <v>04-08-2020</v>
      </c>
      <c r="M2582" t="str">
        <f t="shared" si="1058"/>
        <v>04-08-2020</v>
      </c>
      <c r="N2582" t="str">
        <f t="shared" si="1059"/>
        <v>001105018356</v>
      </c>
      <c r="O2582" t="str">
        <f t="shared" si="1060"/>
        <v>MYR</v>
      </c>
      <c r="P2582" t="str">
        <f t="shared" si="1061"/>
        <v>NIL</v>
      </c>
      <c r="Q2582" t="str">
        <f t="shared" si="1061"/>
        <v>NIL</v>
      </c>
      <c r="R2582" t="str">
        <f t="shared" si="1062"/>
        <v>Accepted</v>
      </c>
      <c r="S2582" t="str">
        <f t="shared" si="1063"/>
        <v>Approved</v>
      </c>
      <c r="T2582" t="str">
        <f t="shared" si="1064"/>
        <v>10.20.8.188</v>
      </c>
      <c r="U2582" t="str">
        <f t="shared" si="1065"/>
        <v>AZRAD UMAR BIN SHAARI</v>
      </c>
      <c r="V2582" t="str">
        <f t="shared" si="1066"/>
        <v>FARHANA BINTI MUSTAPA</v>
      </c>
      <c r="W2582" t="str">
        <f t="shared" si="1067"/>
        <v>04-08-2020</v>
      </c>
      <c r="X2582" t="str">
        <f t="shared" si="1068"/>
        <v>RAZIMAH ANSAR AHMAD</v>
      </c>
      <c r="Y2582" t="str">
        <f t="shared" si="1069"/>
        <v>04-08-2020</v>
      </c>
      <c r="Z2582" t="str">
        <f>"COS10200804 6572"</f>
        <v>COS10200804 6572</v>
      </c>
    </row>
    <row r="2583" spans="1:26" x14ac:dyDescent="0.25">
      <c r="A2583" t="str">
        <f t="shared" si="1053"/>
        <v>04-08-2020 01:03:01</v>
      </c>
      <c r="B2583" t="str">
        <f>"0000808365"</f>
        <v>0000808365</v>
      </c>
      <c r="C2583" t="str">
        <f t="shared" si="1054"/>
        <v>0000808194</v>
      </c>
      <c r="D2583" t="str">
        <f t="shared" si="1055"/>
        <v>73185</v>
      </c>
      <c r="E2583" t="str">
        <f t="shared" si="1056"/>
        <v>KFH-OPERATIONS DEPARTMENT</v>
      </c>
      <c r="F2583" t="str">
        <f t="shared" si="1057"/>
        <v>IBG</v>
      </c>
      <c r="G2583" t="str">
        <f t="shared" si="1070"/>
        <v>Refund COSHARE 10</v>
      </c>
      <c r="H2583" s="2">
        <v>117.55</v>
      </c>
      <c r="I2583" t="str">
        <f>"NORILA BT MAT ZAIN"</f>
        <v>NORILA BT MAT ZAIN</v>
      </c>
      <c r="J2583" t="str">
        <f t="shared" si="1071"/>
        <v>MAYBANK / MAYBANK ISLAMIC</v>
      </c>
      <c r="K2583" t="str">
        <f>"107161178130"</f>
        <v>107161178130</v>
      </c>
      <c r="L2583" t="str">
        <f t="shared" si="1058"/>
        <v>04-08-2020</v>
      </c>
      <c r="M2583" t="str">
        <f t="shared" si="1058"/>
        <v>04-08-2020</v>
      </c>
      <c r="N2583" t="str">
        <f t="shared" si="1059"/>
        <v>001105018356</v>
      </c>
      <c r="O2583" t="str">
        <f t="shared" si="1060"/>
        <v>MYR</v>
      </c>
      <c r="P2583" t="str">
        <f t="shared" si="1061"/>
        <v>NIL</v>
      </c>
      <c r="Q2583" t="str">
        <f t="shared" si="1061"/>
        <v>NIL</v>
      </c>
      <c r="R2583" t="str">
        <f t="shared" si="1062"/>
        <v>Accepted</v>
      </c>
      <c r="S2583" t="str">
        <f t="shared" si="1063"/>
        <v>Approved</v>
      </c>
      <c r="T2583" t="str">
        <f t="shared" si="1064"/>
        <v>10.20.8.188</v>
      </c>
      <c r="U2583" t="str">
        <f t="shared" si="1065"/>
        <v>AZRAD UMAR BIN SHAARI</v>
      </c>
      <c r="V2583" t="str">
        <f t="shared" si="1066"/>
        <v>FARHANA BINTI MUSTAPA</v>
      </c>
      <c r="W2583" t="str">
        <f t="shared" si="1067"/>
        <v>04-08-2020</v>
      </c>
      <c r="X2583" t="str">
        <f t="shared" si="1068"/>
        <v>RAZIMAH ANSAR AHMAD</v>
      </c>
      <c r="Y2583" t="str">
        <f t="shared" si="1069"/>
        <v>04-08-2020</v>
      </c>
      <c r="Z2583" t="str">
        <f>"COS10200804 6571"</f>
        <v>COS10200804 6571</v>
      </c>
    </row>
    <row r="2584" spans="1:26" x14ac:dyDescent="0.25">
      <c r="A2584" t="str">
        <f t="shared" si="1053"/>
        <v>04-08-2020 01:03:01</v>
      </c>
      <c r="B2584" t="str">
        <f>"0000808364"</f>
        <v>0000808364</v>
      </c>
      <c r="C2584" t="str">
        <f t="shared" si="1054"/>
        <v>0000808194</v>
      </c>
      <c r="D2584" t="str">
        <f t="shared" si="1055"/>
        <v>73185</v>
      </c>
      <c r="E2584" t="str">
        <f t="shared" si="1056"/>
        <v>KFH-OPERATIONS DEPARTMENT</v>
      </c>
      <c r="F2584" t="str">
        <f t="shared" si="1057"/>
        <v>IBG</v>
      </c>
      <c r="G2584" t="str">
        <f t="shared" si="1070"/>
        <v>Refund COSHARE 10</v>
      </c>
      <c r="H2584" s="2">
        <v>75.599999999999994</v>
      </c>
      <c r="I2584" t="str">
        <f>"NORIHA BINTI JAMARI"</f>
        <v>NORIHA BINTI JAMARI</v>
      </c>
      <c r="J2584" t="str">
        <f t="shared" si="1071"/>
        <v>MAYBANK / MAYBANK ISLAMIC</v>
      </c>
      <c r="K2584" t="str">
        <f>"101011818436"</f>
        <v>101011818436</v>
      </c>
      <c r="L2584" t="str">
        <f t="shared" si="1058"/>
        <v>04-08-2020</v>
      </c>
      <c r="M2584" t="str">
        <f t="shared" si="1058"/>
        <v>04-08-2020</v>
      </c>
      <c r="N2584" t="str">
        <f t="shared" si="1059"/>
        <v>001105018356</v>
      </c>
      <c r="O2584" t="str">
        <f t="shared" si="1060"/>
        <v>MYR</v>
      </c>
      <c r="P2584" t="str">
        <f t="shared" si="1061"/>
        <v>NIL</v>
      </c>
      <c r="Q2584" t="str">
        <f t="shared" si="1061"/>
        <v>NIL</v>
      </c>
      <c r="R2584" t="str">
        <f t="shared" si="1062"/>
        <v>Accepted</v>
      </c>
      <c r="S2584" t="str">
        <f t="shared" si="1063"/>
        <v>Approved</v>
      </c>
      <c r="T2584" t="str">
        <f t="shared" si="1064"/>
        <v>10.20.8.188</v>
      </c>
      <c r="U2584" t="str">
        <f t="shared" si="1065"/>
        <v>AZRAD UMAR BIN SHAARI</v>
      </c>
      <c r="V2584" t="str">
        <f t="shared" si="1066"/>
        <v>FARHANA BINTI MUSTAPA</v>
      </c>
      <c r="W2584" t="str">
        <f t="shared" si="1067"/>
        <v>04-08-2020</v>
      </c>
      <c r="X2584" t="str">
        <f t="shared" si="1068"/>
        <v>RAZIMAH ANSAR AHMAD</v>
      </c>
      <c r="Y2584" t="str">
        <f t="shared" si="1069"/>
        <v>04-08-2020</v>
      </c>
      <c r="Z2584" t="str">
        <f>"COS10200804 6570"</f>
        <v>COS10200804 6570</v>
      </c>
    </row>
    <row r="2585" spans="1:26" x14ac:dyDescent="0.25">
      <c r="A2585" t="str">
        <f t="shared" si="1053"/>
        <v>04-08-2020 01:03:01</v>
      </c>
      <c r="B2585" t="str">
        <f>"0000808363"</f>
        <v>0000808363</v>
      </c>
      <c r="C2585" t="str">
        <f t="shared" si="1054"/>
        <v>0000808194</v>
      </c>
      <c r="D2585" t="str">
        <f t="shared" si="1055"/>
        <v>73185</v>
      </c>
      <c r="E2585" t="str">
        <f t="shared" si="1056"/>
        <v>KFH-OPERATIONS DEPARTMENT</v>
      </c>
      <c r="F2585" t="str">
        <f t="shared" si="1057"/>
        <v>IBG</v>
      </c>
      <c r="G2585" t="str">
        <f t="shared" si="1070"/>
        <v>Refund COSHARE 10</v>
      </c>
      <c r="H2585" s="2">
        <v>835</v>
      </c>
      <c r="I2585" t="str">
        <f>"NORIDA BINTI OTHMAN"</f>
        <v>NORIDA BINTI OTHMAN</v>
      </c>
      <c r="J2585" t="str">
        <f t="shared" si="1071"/>
        <v>MAYBANK / MAYBANK ISLAMIC</v>
      </c>
      <c r="K2585" t="str">
        <f>"155050211605"</f>
        <v>155050211605</v>
      </c>
      <c r="L2585" t="str">
        <f t="shared" si="1058"/>
        <v>04-08-2020</v>
      </c>
      <c r="M2585" t="str">
        <f t="shared" si="1058"/>
        <v>04-08-2020</v>
      </c>
      <c r="N2585" t="str">
        <f t="shared" si="1059"/>
        <v>001105018356</v>
      </c>
      <c r="O2585" t="str">
        <f t="shared" si="1060"/>
        <v>MYR</v>
      </c>
      <c r="P2585" t="str">
        <f t="shared" si="1061"/>
        <v>NIL</v>
      </c>
      <c r="Q2585" t="str">
        <f t="shared" si="1061"/>
        <v>NIL</v>
      </c>
      <c r="R2585" t="str">
        <f t="shared" si="1062"/>
        <v>Accepted</v>
      </c>
      <c r="S2585" t="str">
        <f t="shared" si="1063"/>
        <v>Approved</v>
      </c>
      <c r="T2585" t="str">
        <f t="shared" si="1064"/>
        <v>10.20.8.188</v>
      </c>
      <c r="U2585" t="str">
        <f t="shared" si="1065"/>
        <v>AZRAD UMAR BIN SHAARI</v>
      </c>
      <c r="V2585" t="str">
        <f t="shared" si="1066"/>
        <v>FARHANA BINTI MUSTAPA</v>
      </c>
      <c r="W2585" t="str">
        <f t="shared" si="1067"/>
        <v>04-08-2020</v>
      </c>
      <c r="X2585" t="str">
        <f t="shared" si="1068"/>
        <v>RAZIMAH ANSAR AHMAD</v>
      </c>
      <c r="Y2585" t="str">
        <f t="shared" si="1069"/>
        <v>04-08-2020</v>
      </c>
      <c r="Z2585" t="str">
        <f>"COS10200804 6569"</f>
        <v>COS10200804 6569</v>
      </c>
    </row>
    <row r="2586" spans="1:26" x14ac:dyDescent="0.25">
      <c r="A2586" t="str">
        <f t="shared" ref="A2586:A2617" si="1072">"04-08-2020 01:03:01"</f>
        <v>04-08-2020 01:03:01</v>
      </c>
      <c r="B2586" t="str">
        <f>"0000808362"</f>
        <v>0000808362</v>
      </c>
      <c r="C2586" t="str">
        <f t="shared" ref="C2586:C2617" si="1073">"0000808194"</f>
        <v>0000808194</v>
      </c>
      <c r="D2586" t="str">
        <f t="shared" si="1055"/>
        <v>73185</v>
      </c>
      <c r="E2586" t="str">
        <f t="shared" si="1056"/>
        <v>KFH-OPERATIONS DEPARTMENT</v>
      </c>
      <c r="F2586" t="str">
        <f t="shared" si="1057"/>
        <v>IBG</v>
      </c>
      <c r="G2586" t="str">
        <f t="shared" si="1070"/>
        <v>Refund COSHARE 10</v>
      </c>
      <c r="H2586" s="2">
        <v>155.55000000000001</v>
      </c>
      <c r="I2586" t="str">
        <f>"NORIANA BINTI MAT NOR"</f>
        <v>NORIANA BINTI MAT NOR</v>
      </c>
      <c r="J2586" t="str">
        <f t="shared" si="1071"/>
        <v>MAYBANK / MAYBANK ISLAMIC</v>
      </c>
      <c r="K2586" t="str">
        <f>"103024321204"</f>
        <v>103024321204</v>
      </c>
      <c r="L2586" t="str">
        <f t="shared" si="1058"/>
        <v>04-08-2020</v>
      </c>
      <c r="M2586" t="str">
        <f t="shared" si="1058"/>
        <v>04-08-2020</v>
      </c>
      <c r="N2586" t="str">
        <f t="shared" si="1059"/>
        <v>001105018356</v>
      </c>
      <c r="O2586" t="str">
        <f t="shared" si="1060"/>
        <v>MYR</v>
      </c>
      <c r="P2586" t="str">
        <f t="shared" si="1061"/>
        <v>NIL</v>
      </c>
      <c r="Q2586" t="str">
        <f t="shared" si="1061"/>
        <v>NIL</v>
      </c>
      <c r="R2586" t="str">
        <f t="shared" si="1062"/>
        <v>Accepted</v>
      </c>
      <c r="S2586" t="str">
        <f t="shared" si="1063"/>
        <v>Approved</v>
      </c>
      <c r="T2586" t="str">
        <f t="shared" si="1064"/>
        <v>10.20.8.188</v>
      </c>
      <c r="U2586" t="str">
        <f t="shared" si="1065"/>
        <v>AZRAD UMAR BIN SHAARI</v>
      </c>
      <c r="V2586" t="str">
        <f t="shared" si="1066"/>
        <v>FARHANA BINTI MUSTAPA</v>
      </c>
      <c r="W2586" t="str">
        <f t="shared" si="1067"/>
        <v>04-08-2020</v>
      </c>
      <c r="X2586" t="str">
        <f t="shared" si="1068"/>
        <v>RAZIMAH ANSAR AHMAD</v>
      </c>
      <c r="Y2586" t="str">
        <f t="shared" si="1069"/>
        <v>04-08-2020</v>
      </c>
      <c r="Z2586" t="str">
        <f>"COS10200804 6568"</f>
        <v>COS10200804 6568</v>
      </c>
    </row>
    <row r="2587" spans="1:26" x14ac:dyDescent="0.25">
      <c r="A2587" t="str">
        <f t="shared" si="1072"/>
        <v>04-08-2020 01:03:01</v>
      </c>
      <c r="B2587" t="str">
        <f>"0000808361"</f>
        <v>0000808361</v>
      </c>
      <c r="C2587" t="str">
        <f t="shared" si="1073"/>
        <v>0000808194</v>
      </c>
      <c r="D2587" t="str">
        <f t="shared" si="1055"/>
        <v>73185</v>
      </c>
      <c r="E2587" t="str">
        <f t="shared" si="1056"/>
        <v>KFH-OPERATIONS DEPARTMENT</v>
      </c>
      <c r="F2587" t="str">
        <f t="shared" si="1057"/>
        <v>IBG</v>
      </c>
      <c r="G2587" t="str">
        <f t="shared" si="1070"/>
        <v>Refund COSHARE 10</v>
      </c>
      <c r="H2587" s="2">
        <v>147.35</v>
      </c>
      <c r="I2587" t="str">
        <f>"NORIAH BINTI ESA"</f>
        <v>NORIAH BINTI ESA</v>
      </c>
      <c r="J2587" t="str">
        <f t="shared" si="1071"/>
        <v>MAYBANK / MAYBANK ISLAMIC</v>
      </c>
      <c r="K2587" t="str">
        <f>"155078212055"</f>
        <v>155078212055</v>
      </c>
      <c r="L2587" t="str">
        <f t="shared" ref="L2587:M2606" si="1074">"04-08-2020"</f>
        <v>04-08-2020</v>
      </c>
      <c r="M2587" t="str">
        <f t="shared" si="1074"/>
        <v>04-08-2020</v>
      </c>
      <c r="N2587" t="str">
        <f t="shared" si="1059"/>
        <v>001105018356</v>
      </c>
      <c r="O2587" t="str">
        <f t="shared" si="1060"/>
        <v>MYR</v>
      </c>
      <c r="P2587" t="str">
        <f t="shared" ref="P2587:Q2606" si="1075">"NIL"</f>
        <v>NIL</v>
      </c>
      <c r="Q2587" t="str">
        <f t="shared" si="1075"/>
        <v>NIL</v>
      </c>
      <c r="R2587" t="str">
        <f t="shared" si="1062"/>
        <v>Accepted</v>
      </c>
      <c r="S2587" t="str">
        <f t="shared" si="1063"/>
        <v>Approved</v>
      </c>
      <c r="T2587" t="str">
        <f t="shared" si="1064"/>
        <v>10.20.8.188</v>
      </c>
      <c r="U2587" t="str">
        <f t="shared" si="1065"/>
        <v>AZRAD UMAR BIN SHAARI</v>
      </c>
      <c r="V2587" t="str">
        <f t="shared" si="1066"/>
        <v>FARHANA BINTI MUSTAPA</v>
      </c>
      <c r="W2587" t="str">
        <f t="shared" si="1067"/>
        <v>04-08-2020</v>
      </c>
      <c r="X2587" t="str">
        <f t="shared" si="1068"/>
        <v>RAZIMAH ANSAR AHMAD</v>
      </c>
      <c r="Y2587" t="str">
        <f t="shared" si="1069"/>
        <v>04-08-2020</v>
      </c>
      <c r="Z2587" t="str">
        <f>"COS10200804 6567"</f>
        <v>COS10200804 6567</v>
      </c>
    </row>
    <row r="2588" spans="1:26" x14ac:dyDescent="0.25">
      <c r="A2588" t="str">
        <f t="shared" si="1072"/>
        <v>04-08-2020 01:03:01</v>
      </c>
      <c r="B2588" t="str">
        <f>"0000808360"</f>
        <v>0000808360</v>
      </c>
      <c r="C2588" t="str">
        <f t="shared" si="1073"/>
        <v>0000808194</v>
      </c>
      <c r="D2588" t="str">
        <f t="shared" si="1055"/>
        <v>73185</v>
      </c>
      <c r="E2588" t="str">
        <f t="shared" si="1056"/>
        <v>KFH-OPERATIONS DEPARTMENT</v>
      </c>
      <c r="F2588" t="str">
        <f t="shared" si="1057"/>
        <v>IBG</v>
      </c>
      <c r="G2588" t="str">
        <f t="shared" si="1070"/>
        <v>Refund COSHARE 10</v>
      </c>
      <c r="H2588" s="2">
        <v>471</v>
      </c>
      <c r="I2588" t="str">
        <f>"NORIA LASAH EPUI"</f>
        <v>NORIA LASAH EPUI</v>
      </c>
      <c r="J2588" t="str">
        <f t="shared" si="1071"/>
        <v>MAYBANK / MAYBANK ISLAMIC</v>
      </c>
      <c r="K2588" t="str">
        <f>"161257006975"</f>
        <v>161257006975</v>
      </c>
      <c r="L2588" t="str">
        <f t="shared" si="1074"/>
        <v>04-08-2020</v>
      </c>
      <c r="M2588" t="str">
        <f t="shared" si="1074"/>
        <v>04-08-2020</v>
      </c>
      <c r="N2588" t="str">
        <f t="shared" si="1059"/>
        <v>001105018356</v>
      </c>
      <c r="O2588" t="str">
        <f t="shared" si="1060"/>
        <v>MYR</v>
      </c>
      <c r="P2588" t="str">
        <f t="shared" si="1075"/>
        <v>NIL</v>
      </c>
      <c r="Q2588" t="str">
        <f t="shared" si="1075"/>
        <v>NIL</v>
      </c>
      <c r="R2588" t="str">
        <f t="shared" si="1062"/>
        <v>Accepted</v>
      </c>
      <c r="S2588" t="str">
        <f t="shared" si="1063"/>
        <v>Approved</v>
      </c>
      <c r="T2588" t="str">
        <f t="shared" si="1064"/>
        <v>10.20.8.188</v>
      </c>
      <c r="U2588" t="str">
        <f t="shared" si="1065"/>
        <v>AZRAD UMAR BIN SHAARI</v>
      </c>
      <c r="V2588" t="str">
        <f t="shared" si="1066"/>
        <v>FARHANA BINTI MUSTAPA</v>
      </c>
      <c r="W2588" t="str">
        <f t="shared" si="1067"/>
        <v>04-08-2020</v>
      </c>
      <c r="X2588" t="str">
        <f t="shared" si="1068"/>
        <v>RAZIMAH ANSAR AHMAD</v>
      </c>
      <c r="Y2588" t="str">
        <f t="shared" si="1069"/>
        <v>04-08-2020</v>
      </c>
      <c r="Z2588" t="str">
        <f>"COS10200804 6566"</f>
        <v>COS10200804 6566</v>
      </c>
    </row>
    <row r="2589" spans="1:26" x14ac:dyDescent="0.25">
      <c r="A2589" t="str">
        <f t="shared" si="1072"/>
        <v>04-08-2020 01:03:01</v>
      </c>
      <c r="B2589" t="str">
        <f>"0000808359"</f>
        <v>0000808359</v>
      </c>
      <c r="C2589" t="str">
        <f t="shared" si="1073"/>
        <v>0000808194</v>
      </c>
      <c r="D2589" t="str">
        <f t="shared" si="1055"/>
        <v>73185</v>
      </c>
      <c r="E2589" t="str">
        <f t="shared" si="1056"/>
        <v>KFH-OPERATIONS DEPARTMENT</v>
      </c>
      <c r="F2589" t="str">
        <f t="shared" si="1057"/>
        <v>IBG</v>
      </c>
      <c r="G2589" t="str">
        <f t="shared" si="1070"/>
        <v>Refund COSHARE 10</v>
      </c>
      <c r="H2589" s="2">
        <v>835</v>
      </c>
      <c r="I2589" t="str">
        <f>"NORIA ANAK DAVID DANDY"</f>
        <v>NORIA ANAK DAVID DANDY</v>
      </c>
      <c r="J2589" t="str">
        <f t="shared" si="1071"/>
        <v>MAYBANK / MAYBANK ISLAMIC</v>
      </c>
      <c r="K2589" t="str">
        <f>"111056446355"</f>
        <v>111056446355</v>
      </c>
      <c r="L2589" t="str">
        <f t="shared" si="1074"/>
        <v>04-08-2020</v>
      </c>
      <c r="M2589" t="str">
        <f t="shared" si="1074"/>
        <v>04-08-2020</v>
      </c>
      <c r="N2589" t="str">
        <f t="shared" si="1059"/>
        <v>001105018356</v>
      </c>
      <c r="O2589" t="str">
        <f t="shared" si="1060"/>
        <v>MYR</v>
      </c>
      <c r="P2589" t="str">
        <f t="shared" si="1075"/>
        <v>NIL</v>
      </c>
      <c r="Q2589" t="str">
        <f t="shared" si="1075"/>
        <v>NIL</v>
      </c>
      <c r="R2589" t="str">
        <f t="shared" si="1062"/>
        <v>Accepted</v>
      </c>
      <c r="S2589" t="str">
        <f t="shared" si="1063"/>
        <v>Approved</v>
      </c>
      <c r="T2589" t="str">
        <f t="shared" si="1064"/>
        <v>10.20.8.188</v>
      </c>
      <c r="U2589" t="str">
        <f t="shared" si="1065"/>
        <v>AZRAD UMAR BIN SHAARI</v>
      </c>
      <c r="V2589" t="str">
        <f t="shared" si="1066"/>
        <v>FARHANA BINTI MUSTAPA</v>
      </c>
      <c r="W2589" t="str">
        <f t="shared" si="1067"/>
        <v>04-08-2020</v>
      </c>
      <c r="X2589" t="str">
        <f t="shared" si="1068"/>
        <v>RAZIMAH ANSAR AHMAD</v>
      </c>
      <c r="Y2589" t="str">
        <f t="shared" si="1069"/>
        <v>04-08-2020</v>
      </c>
      <c r="Z2589" t="str">
        <f>"COS10200804 6565"</f>
        <v>COS10200804 6565</v>
      </c>
    </row>
    <row r="2590" spans="1:26" x14ac:dyDescent="0.25">
      <c r="A2590" t="str">
        <f t="shared" si="1072"/>
        <v>04-08-2020 01:03:01</v>
      </c>
      <c r="B2590" t="str">
        <f>"0000808358"</f>
        <v>0000808358</v>
      </c>
      <c r="C2590" t="str">
        <f t="shared" si="1073"/>
        <v>0000808194</v>
      </c>
      <c r="D2590" t="str">
        <f t="shared" si="1055"/>
        <v>73185</v>
      </c>
      <c r="E2590" t="str">
        <f t="shared" si="1056"/>
        <v>KFH-OPERATIONS DEPARTMENT</v>
      </c>
      <c r="F2590" t="str">
        <f t="shared" si="1057"/>
        <v>IBG</v>
      </c>
      <c r="G2590" t="str">
        <f t="shared" si="1070"/>
        <v>Refund COSHARE 10</v>
      </c>
      <c r="H2590" s="2">
        <v>503.7</v>
      </c>
      <c r="I2590" t="str">
        <f>"NORHUDA BINTI ABD HADI"</f>
        <v>NORHUDA BINTI ABD HADI</v>
      </c>
      <c r="J2590" t="str">
        <f t="shared" si="1071"/>
        <v>MAYBANK / MAYBANK ISLAMIC</v>
      </c>
      <c r="K2590" t="str">
        <f>"104021002496"</f>
        <v>104021002496</v>
      </c>
      <c r="L2590" t="str">
        <f t="shared" si="1074"/>
        <v>04-08-2020</v>
      </c>
      <c r="M2590" t="str">
        <f t="shared" si="1074"/>
        <v>04-08-2020</v>
      </c>
      <c r="N2590" t="str">
        <f t="shared" si="1059"/>
        <v>001105018356</v>
      </c>
      <c r="O2590" t="str">
        <f t="shared" si="1060"/>
        <v>MYR</v>
      </c>
      <c r="P2590" t="str">
        <f t="shared" si="1075"/>
        <v>NIL</v>
      </c>
      <c r="Q2590" t="str">
        <f t="shared" si="1075"/>
        <v>NIL</v>
      </c>
      <c r="R2590" t="str">
        <f t="shared" si="1062"/>
        <v>Accepted</v>
      </c>
      <c r="S2590" t="str">
        <f t="shared" si="1063"/>
        <v>Approved</v>
      </c>
      <c r="T2590" t="str">
        <f t="shared" si="1064"/>
        <v>10.20.8.188</v>
      </c>
      <c r="U2590" t="str">
        <f t="shared" si="1065"/>
        <v>AZRAD UMAR BIN SHAARI</v>
      </c>
      <c r="V2590" t="str">
        <f t="shared" si="1066"/>
        <v>FARHANA BINTI MUSTAPA</v>
      </c>
      <c r="W2590" t="str">
        <f t="shared" si="1067"/>
        <v>04-08-2020</v>
      </c>
      <c r="X2590" t="str">
        <f t="shared" si="1068"/>
        <v>RAZIMAH ANSAR AHMAD</v>
      </c>
      <c r="Y2590" t="str">
        <f t="shared" si="1069"/>
        <v>04-08-2020</v>
      </c>
      <c r="Z2590" t="str">
        <f>"COS10200804 6564"</f>
        <v>COS10200804 6564</v>
      </c>
    </row>
    <row r="2591" spans="1:26" x14ac:dyDescent="0.25">
      <c r="A2591" t="str">
        <f t="shared" si="1072"/>
        <v>04-08-2020 01:03:01</v>
      </c>
      <c r="B2591" t="str">
        <f>"0000808357"</f>
        <v>0000808357</v>
      </c>
      <c r="C2591" t="str">
        <f t="shared" si="1073"/>
        <v>0000808194</v>
      </c>
      <c r="D2591" t="str">
        <f t="shared" si="1055"/>
        <v>73185</v>
      </c>
      <c r="E2591" t="str">
        <f t="shared" si="1056"/>
        <v>KFH-OPERATIONS DEPARTMENT</v>
      </c>
      <c r="F2591" t="str">
        <f t="shared" si="1057"/>
        <v>IBG</v>
      </c>
      <c r="G2591" t="str">
        <f t="shared" si="1070"/>
        <v>Refund COSHARE 10</v>
      </c>
      <c r="H2591" s="2">
        <v>190</v>
      </c>
      <c r="I2591" t="str">
        <f>"NORHISYAM BIN ABRASHID"</f>
        <v>NORHISYAM BIN ABRASHID</v>
      </c>
      <c r="J2591" t="str">
        <f t="shared" si="1071"/>
        <v>MAYBANK / MAYBANK ISLAMIC</v>
      </c>
      <c r="K2591" t="str">
        <f>"162508061017"</f>
        <v>162508061017</v>
      </c>
      <c r="L2591" t="str">
        <f t="shared" si="1074"/>
        <v>04-08-2020</v>
      </c>
      <c r="M2591" t="str">
        <f t="shared" si="1074"/>
        <v>04-08-2020</v>
      </c>
      <c r="N2591" t="str">
        <f t="shared" si="1059"/>
        <v>001105018356</v>
      </c>
      <c r="O2591" t="str">
        <f t="shared" si="1060"/>
        <v>MYR</v>
      </c>
      <c r="P2591" t="str">
        <f t="shared" si="1075"/>
        <v>NIL</v>
      </c>
      <c r="Q2591" t="str">
        <f t="shared" si="1075"/>
        <v>NIL</v>
      </c>
      <c r="R2591" t="str">
        <f t="shared" si="1062"/>
        <v>Accepted</v>
      </c>
      <c r="S2591" t="str">
        <f t="shared" si="1063"/>
        <v>Approved</v>
      </c>
      <c r="T2591" t="str">
        <f t="shared" si="1064"/>
        <v>10.20.8.188</v>
      </c>
      <c r="U2591" t="str">
        <f t="shared" si="1065"/>
        <v>AZRAD UMAR BIN SHAARI</v>
      </c>
      <c r="V2591" t="str">
        <f t="shared" si="1066"/>
        <v>FARHANA BINTI MUSTAPA</v>
      </c>
      <c r="W2591" t="str">
        <f t="shared" si="1067"/>
        <v>04-08-2020</v>
      </c>
      <c r="X2591" t="str">
        <f t="shared" si="1068"/>
        <v>RAZIMAH ANSAR AHMAD</v>
      </c>
      <c r="Y2591" t="str">
        <f t="shared" si="1069"/>
        <v>04-08-2020</v>
      </c>
      <c r="Z2591" t="str">
        <f>"COS10200804 6563"</f>
        <v>COS10200804 6563</v>
      </c>
    </row>
    <row r="2592" spans="1:26" x14ac:dyDescent="0.25">
      <c r="A2592" t="str">
        <f t="shared" si="1072"/>
        <v>04-08-2020 01:03:01</v>
      </c>
      <c r="B2592" t="str">
        <f>"0000808356"</f>
        <v>0000808356</v>
      </c>
      <c r="C2592" t="str">
        <f t="shared" si="1073"/>
        <v>0000808194</v>
      </c>
      <c r="D2592" t="str">
        <f t="shared" si="1055"/>
        <v>73185</v>
      </c>
      <c r="E2592" t="str">
        <f t="shared" si="1056"/>
        <v>KFH-OPERATIONS DEPARTMENT</v>
      </c>
      <c r="F2592" t="str">
        <f t="shared" si="1057"/>
        <v>IBG</v>
      </c>
      <c r="G2592" t="str">
        <f t="shared" si="1070"/>
        <v>Refund COSHARE 10</v>
      </c>
      <c r="H2592" s="2">
        <v>107.1</v>
      </c>
      <c r="I2592" t="str">
        <f>"NORHISHAM BIN AB HAMID"</f>
        <v>NORHISHAM BIN AB HAMID</v>
      </c>
      <c r="J2592" t="str">
        <f t="shared" si="1071"/>
        <v>MAYBANK / MAYBANK ISLAMIC</v>
      </c>
      <c r="K2592" t="str">
        <f>"101124052974"</f>
        <v>101124052974</v>
      </c>
      <c r="L2592" t="str">
        <f t="shared" si="1074"/>
        <v>04-08-2020</v>
      </c>
      <c r="M2592" t="str">
        <f t="shared" si="1074"/>
        <v>04-08-2020</v>
      </c>
      <c r="N2592" t="str">
        <f t="shared" si="1059"/>
        <v>001105018356</v>
      </c>
      <c r="O2592" t="str">
        <f t="shared" si="1060"/>
        <v>MYR</v>
      </c>
      <c r="P2592" t="str">
        <f t="shared" si="1075"/>
        <v>NIL</v>
      </c>
      <c r="Q2592" t="str">
        <f t="shared" si="1075"/>
        <v>NIL</v>
      </c>
      <c r="R2592" t="str">
        <f t="shared" si="1062"/>
        <v>Accepted</v>
      </c>
      <c r="S2592" t="str">
        <f t="shared" si="1063"/>
        <v>Approved</v>
      </c>
      <c r="T2592" t="str">
        <f t="shared" si="1064"/>
        <v>10.20.8.188</v>
      </c>
      <c r="U2592" t="str">
        <f t="shared" si="1065"/>
        <v>AZRAD UMAR BIN SHAARI</v>
      </c>
      <c r="V2592" t="str">
        <f t="shared" si="1066"/>
        <v>FARHANA BINTI MUSTAPA</v>
      </c>
      <c r="W2592" t="str">
        <f t="shared" si="1067"/>
        <v>04-08-2020</v>
      </c>
      <c r="X2592" t="str">
        <f t="shared" si="1068"/>
        <v>RAZIMAH ANSAR AHMAD</v>
      </c>
      <c r="Y2592" t="str">
        <f t="shared" si="1069"/>
        <v>04-08-2020</v>
      </c>
      <c r="Z2592" t="str">
        <f>"COS10200804 6562"</f>
        <v>COS10200804 6562</v>
      </c>
    </row>
    <row r="2593" spans="1:26" x14ac:dyDescent="0.25">
      <c r="A2593" t="str">
        <f t="shared" si="1072"/>
        <v>04-08-2020 01:03:01</v>
      </c>
      <c r="B2593" t="str">
        <f>"0000808355"</f>
        <v>0000808355</v>
      </c>
      <c r="C2593" t="str">
        <f t="shared" si="1073"/>
        <v>0000808194</v>
      </c>
      <c r="D2593" t="str">
        <f t="shared" si="1055"/>
        <v>73185</v>
      </c>
      <c r="E2593" t="str">
        <f t="shared" si="1056"/>
        <v>KFH-OPERATIONS DEPARTMENT</v>
      </c>
      <c r="F2593" t="str">
        <f t="shared" si="1057"/>
        <v>IBG</v>
      </c>
      <c r="G2593" t="str">
        <f t="shared" si="1070"/>
        <v>Refund COSHARE 10</v>
      </c>
      <c r="H2593" s="2">
        <v>239</v>
      </c>
      <c r="I2593" t="str">
        <f>"NORHILMI BIN JALIL"</f>
        <v>NORHILMI BIN JALIL</v>
      </c>
      <c r="J2593" t="str">
        <f t="shared" si="1071"/>
        <v>MAYBANK / MAYBANK ISLAMIC</v>
      </c>
      <c r="K2593" t="str">
        <f>"104022913582"</f>
        <v>104022913582</v>
      </c>
      <c r="L2593" t="str">
        <f t="shared" si="1074"/>
        <v>04-08-2020</v>
      </c>
      <c r="M2593" t="str">
        <f t="shared" si="1074"/>
        <v>04-08-2020</v>
      </c>
      <c r="N2593" t="str">
        <f t="shared" si="1059"/>
        <v>001105018356</v>
      </c>
      <c r="O2593" t="str">
        <f t="shared" si="1060"/>
        <v>MYR</v>
      </c>
      <c r="P2593" t="str">
        <f t="shared" si="1075"/>
        <v>NIL</v>
      </c>
      <c r="Q2593" t="str">
        <f t="shared" si="1075"/>
        <v>NIL</v>
      </c>
      <c r="R2593" t="str">
        <f t="shared" si="1062"/>
        <v>Accepted</v>
      </c>
      <c r="S2593" t="str">
        <f t="shared" si="1063"/>
        <v>Approved</v>
      </c>
      <c r="T2593" t="str">
        <f t="shared" si="1064"/>
        <v>10.20.8.188</v>
      </c>
      <c r="U2593" t="str">
        <f t="shared" si="1065"/>
        <v>AZRAD UMAR BIN SHAARI</v>
      </c>
      <c r="V2593" t="str">
        <f t="shared" si="1066"/>
        <v>FARHANA BINTI MUSTAPA</v>
      </c>
      <c r="W2593" t="str">
        <f t="shared" si="1067"/>
        <v>04-08-2020</v>
      </c>
      <c r="X2593" t="str">
        <f t="shared" si="1068"/>
        <v>RAZIMAH ANSAR AHMAD</v>
      </c>
      <c r="Y2593" t="str">
        <f t="shared" si="1069"/>
        <v>04-08-2020</v>
      </c>
      <c r="Z2593" t="str">
        <f>"COS10200804 6561"</f>
        <v>COS10200804 6561</v>
      </c>
    </row>
    <row r="2594" spans="1:26" x14ac:dyDescent="0.25">
      <c r="A2594" t="str">
        <f t="shared" si="1072"/>
        <v>04-08-2020 01:03:01</v>
      </c>
      <c r="B2594" t="str">
        <f>"0000808354"</f>
        <v>0000808354</v>
      </c>
      <c r="C2594" t="str">
        <f t="shared" si="1073"/>
        <v>0000808194</v>
      </c>
      <c r="D2594" t="str">
        <f t="shared" si="1055"/>
        <v>73185</v>
      </c>
      <c r="E2594" t="str">
        <f t="shared" si="1056"/>
        <v>KFH-OPERATIONS DEPARTMENT</v>
      </c>
      <c r="F2594" t="str">
        <f t="shared" si="1057"/>
        <v>IBG</v>
      </c>
      <c r="G2594" t="str">
        <f t="shared" si="1070"/>
        <v>Refund COSHARE 10</v>
      </c>
      <c r="H2594" s="2">
        <v>503.7</v>
      </c>
      <c r="I2594" t="str">
        <f>"NORHILMI BIN JALIL"</f>
        <v>NORHILMI BIN JALIL</v>
      </c>
      <c r="J2594" t="str">
        <f t="shared" si="1071"/>
        <v>MAYBANK / MAYBANK ISLAMIC</v>
      </c>
      <c r="K2594" t="str">
        <f>"104022913582"</f>
        <v>104022913582</v>
      </c>
      <c r="L2594" t="str">
        <f t="shared" si="1074"/>
        <v>04-08-2020</v>
      </c>
      <c r="M2594" t="str">
        <f t="shared" si="1074"/>
        <v>04-08-2020</v>
      </c>
      <c r="N2594" t="str">
        <f t="shared" si="1059"/>
        <v>001105018356</v>
      </c>
      <c r="O2594" t="str">
        <f t="shared" si="1060"/>
        <v>MYR</v>
      </c>
      <c r="P2594" t="str">
        <f t="shared" si="1075"/>
        <v>NIL</v>
      </c>
      <c r="Q2594" t="str">
        <f t="shared" si="1075"/>
        <v>NIL</v>
      </c>
      <c r="R2594" t="str">
        <f t="shared" si="1062"/>
        <v>Accepted</v>
      </c>
      <c r="S2594" t="str">
        <f t="shared" si="1063"/>
        <v>Approved</v>
      </c>
      <c r="T2594" t="str">
        <f t="shared" si="1064"/>
        <v>10.20.8.188</v>
      </c>
      <c r="U2594" t="str">
        <f t="shared" si="1065"/>
        <v>AZRAD UMAR BIN SHAARI</v>
      </c>
      <c r="V2594" t="str">
        <f t="shared" si="1066"/>
        <v>FARHANA BINTI MUSTAPA</v>
      </c>
      <c r="W2594" t="str">
        <f t="shared" si="1067"/>
        <v>04-08-2020</v>
      </c>
      <c r="X2594" t="str">
        <f t="shared" si="1068"/>
        <v>RAZIMAH ANSAR AHMAD</v>
      </c>
      <c r="Y2594" t="str">
        <f t="shared" si="1069"/>
        <v>04-08-2020</v>
      </c>
      <c r="Z2594" t="str">
        <f>"COS10200804 6560"</f>
        <v>COS10200804 6560</v>
      </c>
    </row>
    <row r="2595" spans="1:26" x14ac:dyDescent="0.25">
      <c r="A2595" t="str">
        <f t="shared" si="1072"/>
        <v>04-08-2020 01:03:01</v>
      </c>
      <c r="B2595" t="str">
        <f>"0000808353"</f>
        <v>0000808353</v>
      </c>
      <c r="C2595" t="str">
        <f t="shared" si="1073"/>
        <v>0000808194</v>
      </c>
      <c r="D2595" t="str">
        <f t="shared" si="1055"/>
        <v>73185</v>
      </c>
      <c r="E2595" t="str">
        <f t="shared" si="1056"/>
        <v>KFH-OPERATIONS DEPARTMENT</v>
      </c>
      <c r="F2595" t="str">
        <f t="shared" si="1057"/>
        <v>IBG</v>
      </c>
      <c r="G2595" t="str">
        <f t="shared" si="1070"/>
        <v>Refund COSHARE 10</v>
      </c>
      <c r="H2595" s="2">
        <v>266</v>
      </c>
      <c r="I2595" t="str">
        <f>"NORHIDAYAH BINTI YUSUF"</f>
        <v>NORHIDAYAH BINTI YUSUF</v>
      </c>
      <c r="J2595" t="str">
        <f t="shared" si="1071"/>
        <v>MAYBANK / MAYBANK ISLAMIC</v>
      </c>
      <c r="K2595" t="str">
        <f>"111084160643"</f>
        <v>111084160643</v>
      </c>
      <c r="L2595" t="str">
        <f t="shared" si="1074"/>
        <v>04-08-2020</v>
      </c>
      <c r="M2595" t="str">
        <f t="shared" si="1074"/>
        <v>04-08-2020</v>
      </c>
      <c r="N2595" t="str">
        <f t="shared" si="1059"/>
        <v>001105018356</v>
      </c>
      <c r="O2595" t="str">
        <f t="shared" si="1060"/>
        <v>MYR</v>
      </c>
      <c r="P2595" t="str">
        <f t="shared" si="1075"/>
        <v>NIL</v>
      </c>
      <c r="Q2595" t="str">
        <f t="shared" si="1075"/>
        <v>NIL</v>
      </c>
      <c r="R2595" t="str">
        <f t="shared" si="1062"/>
        <v>Accepted</v>
      </c>
      <c r="S2595" t="str">
        <f t="shared" si="1063"/>
        <v>Approved</v>
      </c>
      <c r="T2595" t="str">
        <f t="shared" si="1064"/>
        <v>10.20.8.188</v>
      </c>
      <c r="U2595" t="str">
        <f t="shared" si="1065"/>
        <v>AZRAD UMAR BIN SHAARI</v>
      </c>
      <c r="V2595" t="str">
        <f t="shared" si="1066"/>
        <v>FARHANA BINTI MUSTAPA</v>
      </c>
      <c r="W2595" t="str">
        <f t="shared" si="1067"/>
        <v>04-08-2020</v>
      </c>
      <c r="X2595" t="str">
        <f t="shared" si="1068"/>
        <v>RAZIMAH ANSAR AHMAD</v>
      </c>
      <c r="Y2595" t="str">
        <f t="shared" si="1069"/>
        <v>04-08-2020</v>
      </c>
      <c r="Z2595" t="str">
        <f>"COS10200804 6559"</f>
        <v>COS10200804 6559</v>
      </c>
    </row>
    <row r="2596" spans="1:26" x14ac:dyDescent="0.25">
      <c r="A2596" t="str">
        <f t="shared" si="1072"/>
        <v>04-08-2020 01:03:01</v>
      </c>
      <c r="B2596" t="str">
        <f>"0000808352"</f>
        <v>0000808352</v>
      </c>
      <c r="C2596" t="str">
        <f t="shared" si="1073"/>
        <v>0000808194</v>
      </c>
      <c r="D2596" t="str">
        <f t="shared" si="1055"/>
        <v>73185</v>
      </c>
      <c r="E2596" t="str">
        <f t="shared" si="1056"/>
        <v>KFH-OPERATIONS DEPARTMENT</v>
      </c>
      <c r="F2596" t="str">
        <f t="shared" si="1057"/>
        <v>IBG</v>
      </c>
      <c r="G2596" t="str">
        <f t="shared" si="1070"/>
        <v>Refund COSHARE 10</v>
      </c>
      <c r="H2596" s="2">
        <v>931.85</v>
      </c>
      <c r="I2596" t="str">
        <f>"NORHIDAYAH BINTI HASHIM"</f>
        <v>NORHIDAYAH BINTI HASHIM</v>
      </c>
      <c r="J2596" t="str">
        <f t="shared" si="1071"/>
        <v>MAYBANK / MAYBANK ISLAMIC</v>
      </c>
      <c r="K2596" t="str">
        <f>"104022890174"</f>
        <v>104022890174</v>
      </c>
      <c r="L2596" t="str">
        <f t="shared" si="1074"/>
        <v>04-08-2020</v>
      </c>
      <c r="M2596" t="str">
        <f t="shared" si="1074"/>
        <v>04-08-2020</v>
      </c>
      <c r="N2596" t="str">
        <f t="shared" si="1059"/>
        <v>001105018356</v>
      </c>
      <c r="O2596" t="str">
        <f t="shared" si="1060"/>
        <v>MYR</v>
      </c>
      <c r="P2596" t="str">
        <f t="shared" si="1075"/>
        <v>NIL</v>
      </c>
      <c r="Q2596" t="str">
        <f t="shared" si="1075"/>
        <v>NIL</v>
      </c>
      <c r="R2596" t="str">
        <f t="shared" si="1062"/>
        <v>Accepted</v>
      </c>
      <c r="S2596" t="str">
        <f t="shared" si="1063"/>
        <v>Approved</v>
      </c>
      <c r="T2596" t="str">
        <f t="shared" si="1064"/>
        <v>10.20.8.188</v>
      </c>
      <c r="U2596" t="str">
        <f t="shared" si="1065"/>
        <v>AZRAD UMAR BIN SHAARI</v>
      </c>
      <c r="V2596" t="str">
        <f t="shared" si="1066"/>
        <v>FARHANA BINTI MUSTAPA</v>
      </c>
      <c r="W2596" t="str">
        <f t="shared" si="1067"/>
        <v>04-08-2020</v>
      </c>
      <c r="X2596" t="str">
        <f t="shared" si="1068"/>
        <v>RAZIMAH ANSAR AHMAD</v>
      </c>
      <c r="Y2596" t="str">
        <f t="shared" si="1069"/>
        <v>04-08-2020</v>
      </c>
      <c r="Z2596" t="str">
        <f>"COS10200804 6558"</f>
        <v>COS10200804 6558</v>
      </c>
    </row>
    <row r="2597" spans="1:26" x14ac:dyDescent="0.25">
      <c r="A2597" t="str">
        <f t="shared" si="1072"/>
        <v>04-08-2020 01:03:01</v>
      </c>
      <c r="B2597" t="str">
        <f>"0000808351"</f>
        <v>0000808351</v>
      </c>
      <c r="C2597" t="str">
        <f t="shared" si="1073"/>
        <v>0000808194</v>
      </c>
      <c r="D2597" t="str">
        <f t="shared" si="1055"/>
        <v>73185</v>
      </c>
      <c r="E2597" t="str">
        <f t="shared" si="1056"/>
        <v>KFH-OPERATIONS DEPARTMENT</v>
      </c>
      <c r="F2597" t="str">
        <f t="shared" si="1057"/>
        <v>IBG</v>
      </c>
      <c r="G2597" t="str">
        <f t="shared" si="1070"/>
        <v>Refund COSHARE 10</v>
      </c>
      <c r="H2597" s="2">
        <v>43.1</v>
      </c>
      <c r="I2597" t="str">
        <f>"NORHELMYZAN BIN AHMAD"</f>
        <v>NORHELMYZAN BIN AHMAD</v>
      </c>
      <c r="J2597" t="str">
        <f t="shared" si="1071"/>
        <v>MAYBANK / MAYBANK ISLAMIC</v>
      </c>
      <c r="K2597" t="str">
        <f>"164137438465"</f>
        <v>164137438465</v>
      </c>
      <c r="L2597" t="str">
        <f t="shared" si="1074"/>
        <v>04-08-2020</v>
      </c>
      <c r="M2597" t="str">
        <f t="shared" si="1074"/>
        <v>04-08-2020</v>
      </c>
      <c r="N2597" t="str">
        <f t="shared" si="1059"/>
        <v>001105018356</v>
      </c>
      <c r="O2597" t="str">
        <f t="shared" si="1060"/>
        <v>MYR</v>
      </c>
      <c r="P2597" t="str">
        <f t="shared" si="1075"/>
        <v>NIL</v>
      </c>
      <c r="Q2597" t="str">
        <f t="shared" si="1075"/>
        <v>NIL</v>
      </c>
      <c r="R2597" t="str">
        <f t="shared" si="1062"/>
        <v>Accepted</v>
      </c>
      <c r="S2597" t="str">
        <f t="shared" si="1063"/>
        <v>Approved</v>
      </c>
      <c r="T2597" t="str">
        <f t="shared" si="1064"/>
        <v>10.20.8.188</v>
      </c>
      <c r="U2597" t="str">
        <f t="shared" si="1065"/>
        <v>AZRAD UMAR BIN SHAARI</v>
      </c>
      <c r="V2597" t="str">
        <f t="shared" si="1066"/>
        <v>FARHANA BINTI MUSTAPA</v>
      </c>
      <c r="W2597" t="str">
        <f t="shared" si="1067"/>
        <v>04-08-2020</v>
      </c>
      <c r="X2597" t="str">
        <f t="shared" si="1068"/>
        <v>RAZIMAH ANSAR AHMAD</v>
      </c>
      <c r="Y2597" t="str">
        <f t="shared" si="1069"/>
        <v>04-08-2020</v>
      </c>
      <c r="Z2597" t="str">
        <f>"COS10200804 6557"</f>
        <v>COS10200804 6557</v>
      </c>
    </row>
    <row r="2598" spans="1:26" x14ac:dyDescent="0.25">
      <c r="A2598" t="str">
        <f t="shared" si="1072"/>
        <v>04-08-2020 01:03:01</v>
      </c>
      <c r="B2598" t="str">
        <f>"0000808350"</f>
        <v>0000808350</v>
      </c>
      <c r="C2598" t="str">
        <f t="shared" si="1073"/>
        <v>0000808194</v>
      </c>
      <c r="D2598" t="str">
        <f t="shared" si="1055"/>
        <v>73185</v>
      </c>
      <c r="E2598" t="str">
        <f t="shared" si="1056"/>
        <v>KFH-OPERATIONS DEPARTMENT</v>
      </c>
      <c r="F2598" t="str">
        <f t="shared" si="1057"/>
        <v>IBG</v>
      </c>
      <c r="G2598" t="str">
        <f t="shared" si="1070"/>
        <v>Refund COSHARE 10</v>
      </c>
      <c r="H2598" s="2">
        <v>587.65</v>
      </c>
      <c r="I2598" t="str">
        <f>"NORHAZMIRAWATY BINTI SAKERI"</f>
        <v>NORHAZMIRAWATY BINTI SAKERI</v>
      </c>
      <c r="J2598" t="str">
        <f t="shared" si="1071"/>
        <v>MAYBANK / MAYBANK ISLAMIC</v>
      </c>
      <c r="K2598" t="str">
        <f>"164472291640"</f>
        <v>164472291640</v>
      </c>
      <c r="L2598" t="str">
        <f t="shared" si="1074"/>
        <v>04-08-2020</v>
      </c>
      <c r="M2598" t="str">
        <f t="shared" si="1074"/>
        <v>04-08-2020</v>
      </c>
      <c r="N2598" t="str">
        <f t="shared" si="1059"/>
        <v>001105018356</v>
      </c>
      <c r="O2598" t="str">
        <f t="shared" si="1060"/>
        <v>MYR</v>
      </c>
      <c r="P2598" t="str">
        <f t="shared" si="1075"/>
        <v>NIL</v>
      </c>
      <c r="Q2598" t="str">
        <f t="shared" si="1075"/>
        <v>NIL</v>
      </c>
      <c r="R2598" t="str">
        <f t="shared" si="1062"/>
        <v>Accepted</v>
      </c>
      <c r="S2598" t="str">
        <f t="shared" si="1063"/>
        <v>Approved</v>
      </c>
      <c r="T2598" t="str">
        <f t="shared" si="1064"/>
        <v>10.20.8.188</v>
      </c>
      <c r="U2598" t="str">
        <f t="shared" si="1065"/>
        <v>AZRAD UMAR BIN SHAARI</v>
      </c>
      <c r="V2598" t="str">
        <f t="shared" si="1066"/>
        <v>FARHANA BINTI MUSTAPA</v>
      </c>
      <c r="W2598" t="str">
        <f t="shared" si="1067"/>
        <v>04-08-2020</v>
      </c>
      <c r="X2598" t="str">
        <f t="shared" si="1068"/>
        <v>RAZIMAH ANSAR AHMAD</v>
      </c>
      <c r="Y2598" t="str">
        <f t="shared" si="1069"/>
        <v>04-08-2020</v>
      </c>
      <c r="Z2598" t="str">
        <f>"COS10200804 6556"</f>
        <v>COS10200804 6556</v>
      </c>
    </row>
    <row r="2599" spans="1:26" x14ac:dyDescent="0.25">
      <c r="A2599" t="str">
        <f t="shared" si="1072"/>
        <v>04-08-2020 01:03:01</v>
      </c>
      <c r="B2599" t="str">
        <f>"0000808349"</f>
        <v>0000808349</v>
      </c>
      <c r="C2599" t="str">
        <f t="shared" si="1073"/>
        <v>0000808194</v>
      </c>
      <c r="D2599" t="str">
        <f t="shared" si="1055"/>
        <v>73185</v>
      </c>
      <c r="E2599" t="str">
        <f t="shared" si="1056"/>
        <v>KFH-OPERATIONS DEPARTMENT</v>
      </c>
      <c r="F2599" t="str">
        <f t="shared" si="1057"/>
        <v>IBG</v>
      </c>
      <c r="G2599" t="str">
        <f t="shared" si="1070"/>
        <v>Refund COSHARE 10</v>
      </c>
      <c r="H2599" s="2">
        <v>503.7</v>
      </c>
      <c r="I2599" t="str">
        <f>"NORHAZILLAWATI BINTI MD HASHIM"</f>
        <v>NORHAZILLAWATI BINTI MD HASHIM</v>
      </c>
      <c r="J2599" t="str">
        <f t="shared" si="1071"/>
        <v>MAYBANK / MAYBANK ISLAMIC</v>
      </c>
      <c r="K2599" t="str">
        <f>"101217814272"</f>
        <v>101217814272</v>
      </c>
      <c r="L2599" t="str">
        <f t="shared" si="1074"/>
        <v>04-08-2020</v>
      </c>
      <c r="M2599" t="str">
        <f t="shared" si="1074"/>
        <v>04-08-2020</v>
      </c>
      <c r="N2599" t="str">
        <f t="shared" si="1059"/>
        <v>001105018356</v>
      </c>
      <c r="O2599" t="str">
        <f t="shared" si="1060"/>
        <v>MYR</v>
      </c>
      <c r="P2599" t="str">
        <f t="shared" si="1075"/>
        <v>NIL</v>
      </c>
      <c r="Q2599" t="str">
        <f t="shared" si="1075"/>
        <v>NIL</v>
      </c>
      <c r="R2599" t="str">
        <f t="shared" si="1062"/>
        <v>Accepted</v>
      </c>
      <c r="S2599" t="str">
        <f t="shared" si="1063"/>
        <v>Approved</v>
      </c>
      <c r="T2599" t="str">
        <f t="shared" si="1064"/>
        <v>10.20.8.188</v>
      </c>
      <c r="U2599" t="str">
        <f t="shared" si="1065"/>
        <v>AZRAD UMAR BIN SHAARI</v>
      </c>
      <c r="V2599" t="str">
        <f t="shared" si="1066"/>
        <v>FARHANA BINTI MUSTAPA</v>
      </c>
      <c r="W2599" t="str">
        <f t="shared" si="1067"/>
        <v>04-08-2020</v>
      </c>
      <c r="X2599" t="str">
        <f t="shared" si="1068"/>
        <v>RAZIMAH ANSAR AHMAD</v>
      </c>
      <c r="Y2599" t="str">
        <f t="shared" si="1069"/>
        <v>04-08-2020</v>
      </c>
      <c r="Z2599" t="str">
        <f>"COS10200804 6555"</f>
        <v>COS10200804 6555</v>
      </c>
    </row>
    <row r="2600" spans="1:26" x14ac:dyDescent="0.25">
      <c r="A2600" t="str">
        <f t="shared" si="1072"/>
        <v>04-08-2020 01:03:01</v>
      </c>
      <c r="B2600" t="str">
        <f>"0000808348"</f>
        <v>0000808348</v>
      </c>
      <c r="C2600" t="str">
        <f t="shared" si="1073"/>
        <v>0000808194</v>
      </c>
      <c r="D2600" t="str">
        <f t="shared" si="1055"/>
        <v>73185</v>
      </c>
      <c r="E2600" t="str">
        <f t="shared" si="1056"/>
        <v>KFH-OPERATIONS DEPARTMENT</v>
      </c>
      <c r="F2600" t="str">
        <f t="shared" si="1057"/>
        <v>IBG</v>
      </c>
      <c r="G2600" t="str">
        <f t="shared" si="1070"/>
        <v>Refund COSHARE 10</v>
      </c>
      <c r="H2600" s="2">
        <v>125.95</v>
      </c>
      <c r="I2600" t="str">
        <f>"NORHAZILLAWATI BINTI MD HASHIM"</f>
        <v>NORHAZILLAWATI BINTI MD HASHIM</v>
      </c>
      <c r="J2600" t="str">
        <f t="shared" si="1071"/>
        <v>MAYBANK / MAYBANK ISLAMIC</v>
      </c>
      <c r="K2600" t="str">
        <f>"101217814272"</f>
        <v>101217814272</v>
      </c>
      <c r="L2600" t="str">
        <f t="shared" si="1074"/>
        <v>04-08-2020</v>
      </c>
      <c r="M2600" t="str">
        <f t="shared" si="1074"/>
        <v>04-08-2020</v>
      </c>
      <c r="N2600" t="str">
        <f t="shared" si="1059"/>
        <v>001105018356</v>
      </c>
      <c r="O2600" t="str">
        <f t="shared" si="1060"/>
        <v>MYR</v>
      </c>
      <c r="P2600" t="str">
        <f t="shared" si="1075"/>
        <v>NIL</v>
      </c>
      <c r="Q2600" t="str">
        <f t="shared" si="1075"/>
        <v>NIL</v>
      </c>
      <c r="R2600" t="str">
        <f t="shared" si="1062"/>
        <v>Accepted</v>
      </c>
      <c r="S2600" t="str">
        <f t="shared" si="1063"/>
        <v>Approved</v>
      </c>
      <c r="T2600" t="str">
        <f t="shared" si="1064"/>
        <v>10.20.8.188</v>
      </c>
      <c r="U2600" t="str">
        <f t="shared" si="1065"/>
        <v>AZRAD UMAR BIN SHAARI</v>
      </c>
      <c r="V2600" t="str">
        <f t="shared" si="1066"/>
        <v>FARHANA BINTI MUSTAPA</v>
      </c>
      <c r="W2600" t="str">
        <f t="shared" si="1067"/>
        <v>04-08-2020</v>
      </c>
      <c r="X2600" t="str">
        <f t="shared" si="1068"/>
        <v>RAZIMAH ANSAR AHMAD</v>
      </c>
      <c r="Y2600" t="str">
        <f t="shared" si="1069"/>
        <v>04-08-2020</v>
      </c>
      <c r="Z2600" t="str">
        <f>"COS10200804 6554"</f>
        <v>COS10200804 6554</v>
      </c>
    </row>
    <row r="2601" spans="1:26" x14ac:dyDescent="0.25">
      <c r="A2601" t="str">
        <f t="shared" si="1072"/>
        <v>04-08-2020 01:03:01</v>
      </c>
      <c r="B2601" t="str">
        <f>"0000808347"</f>
        <v>0000808347</v>
      </c>
      <c r="C2601" t="str">
        <f t="shared" si="1073"/>
        <v>0000808194</v>
      </c>
      <c r="D2601" t="str">
        <f t="shared" si="1055"/>
        <v>73185</v>
      </c>
      <c r="E2601" t="str">
        <f t="shared" si="1056"/>
        <v>KFH-OPERATIONS DEPARTMENT</v>
      </c>
      <c r="F2601" t="str">
        <f t="shared" si="1057"/>
        <v>IBG</v>
      </c>
      <c r="G2601" t="str">
        <f t="shared" si="1070"/>
        <v>Refund COSHARE 10</v>
      </c>
      <c r="H2601" s="2">
        <v>167.9</v>
      </c>
      <c r="I2601" t="str">
        <f>"NORHAYU BINTI EMRAN"</f>
        <v>NORHAYU BINTI EMRAN</v>
      </c>
      <c r="J2601" t="str">
        <f t="shared" si="1071"/>
        <v>MAYBANK / MAYBANK ISLAMIC</v>
      </c>
      <c r="K2601" t="str">
        <f>"164155462435"</f>
        <v>164155462435</v>
      </c>
      <c r="L2601" t="str">
        <f t="shared" si="1074"/>
        <v>04-08-2020</v>
      </c>
      <c r="M2601" t="str">
        <f t="shared" si="1074"/>
        <v>04-08-2020</v>
      </c>
      <c r="N2601" t="str">
        <f t="shared" si="1059"/>
        <v>001105018356</v>
      </c>
      <c r="O2601" t="str">
        <f t="shared" si="1060"/>
        <v>MYR</v>
      </c>
      <c r="P2601" t="str">
        <f t="shared" si="1075"/>
        <v>NIL</v>
      </c>
      <c r="Q2601" t="str">
        <f t="shared" si="1075"/>
        <v>NIL</v>
      </c>
      <c r="R2601" t="str">
        <f t="shared" si="1062"/>
        <v>Accepted</v>
      </c>
      <c r="S2601" t="str">
        <f t="shared" si="1063"/>
        <v>Approved</v>
      </c>
      <c r="T2601" t="str">
        <f t="shared" si="1064"/>
        <v>10.20.8.188</v>
      </c>
      <c r="U2601" t="str">
        <f t="shared" si="1065"/>
        <v>AZRAD UMAR BIN SHAARI</v>
      </c>
      <c r="V2601" t="str">
        <f t="shared" si="1066"/>
        <v>FARHANA BINTI MUSTAPA</v>
      </c>
      <c r="W2601" t="str">
        <f t="shared" si="1067"/>
        <v>04-08-2020</v>
      </c>
      <c r="X2601" t="str">
        <f t="shared" si="1068"/>
        <v>RAZIMAH ANSAR AHMAD</v>
      </c>
      <c r="Y2601" t="str">
        <f t="shared" si="1069"/>
        <v>04-08-2020</v>
      </c>
      <c r="Z2601" t="str">
        <f>"COS10200804 6553"</f>
        <v>COS10200804 6553</v>
      </c>
    </row>
    <row r="2602" spans="1:26" x14ac:dyDescent="0.25">
      <c r="A2602" t="str">
        <f t="shared" si="1072"/>
        <v>04-08-2020 01:03:01</v>
      </c>
      <c r="B2602" t="str">
        <f>"0000808346"</f>
        <v>0000808346</v>
      </c>
      <c r="C2602" t="str">
        <f t="shared" si="1073"/>
        <v>0000808194</v>
      </c>
      <c r="D2602" t="str">
        <f t="shared" si="1055"/>
        <v>73185</v>
      </c>
      <c r="E2602" t="str">
        <f t="shared" si="1056"/>
        <v>KFH-OPERATIONS DEPARTMENT</v>
      </c>
      <c r="F2602" t="str">
        <f t="shared" si="1057"/>
        <v>IBG</v>
      </c>
      <c r="G2602" t="str">
        <f t="shared" si="1070"/>
        <v>Refund COSHARE 10</v>
      </c>
      <c r="H2602" s="2">
        <v>113</v>
      </c>
      <c r="I2602" t="str">
        <f>"NORHAYATI BT MOHAMED"</f>
        <v>NORHAYATI BT MOHAMED</v>
      </c>
      <c r="J2602" t="str">
        <f t="shared" si="1071"/>
        <v>MAYBANK / MAYBANK ISLAMIC</v>
      </c>
      <c r="K2602" t="str">
        <f>"162076567026"</f>
        <v>162076567026</v>
      </c>
      <c r="L2602" t="str">
        <f t="shared" si="1074"/>
        <v>04-08-2020</v>
      </c>
      <c r="M2602" t="str">
        <f t="shared" si="1074"/>
        <v>04-08-2020</v>
      </c>
      <c r="N2602" t="str">
        <f t="shared" si="1059"/>
        <v>001105018356</v>
      </c>
      <c r="O2602" t="str">
        <f t="shared" si="1060"/>
        <v>MYR</v>
      </c>
      <c r="P2602" t="str">
        <f t="shared" si="1075"/>
        <v>NIL</v>
      </c>
      <c r="Q2602" t="str">
        <f t="shared" si="1075"/>
        <v>NIL</v>
      </c>
      <c r="R2602" t="str">
        <f t="shared" si="1062"/>
        <v>Accepted</v>
      </c>
      <c r="S2602" t="str">
        <f t="shared" si="1063"/>
        <v>Approved</v>
      </c>
      <c r="T2602" t="str">
        <f t="shared" si="1064"/>
        <v>10.20.8.188</v>
      </c>
      <c r="U2602" t="str">
        <f t="shared" si="1065"/>
        <v>AZRAD UMAR BIN SHAARI</v>
      </c>
      <c r="V2602" t="str">
        <f t="shared" si="1066"/>
        <v>FARHANA BINTI MUSTAPA</v>
      </c>
      <c r="W2602" t="str">
        <f t="shared" si="1067"/>
        <v>04-08-2020</v>
      </c>
      <c r="X2602" t="str">
        <f t="shared" si="1068"/>
        <v>RAZIMAH ANSAR AHMAD</v>
      </c>
      <c r="Y2602" t="str">
        <f t="shared" si="1069"/>
        <v>04-08-2020</v>
      </c>
      <c r="Z2602" t="str">
        <f>"COS10200804 6552"</f>
        <v>COS10200804 6552</v>
      </c>
    </row>
    <row r="2603" spans="1:26" x14ac:dyDescent="0.25">
      <c r="A2603" t="str">
        <f t="shared" si="1072"/>
        <v>04-08-2020 01:03:01</v>
      </c>
      <c r="B2603" t="str">
        <f>"0000808345"</f>
        <v>0000808345</v>
      </c>
      <c r="C2603" t="str">
        <f t="shared" si="1073"/>
        <v>0000808194</v>
      </c>
      <c r="D2603" t="str">
        <f t="shared" si="1055"/>
        <v>73185</v>
      </c>
      <c r="E2603" t="str">
        <f t="shared" si="1056"/>
        <v>KFH-OPERATIONS DEPARTMENT</v>
      </c>
      <c r="F2603" t="str">
        <f t="shared" si="1057"/>
        <v>IBG</v>
      </c>
      <c r="G2603" t="str">
        <f t="shared" si="1070"/>
        <v>Refund COSHARE 10</v>
      </c>
      <c r="H2603" s="2">
        <v>228</v>
      </c>
      <c r="I2603" t="str">
        <f>"NORHAYATI BINTI ZAHAR"</f>
        <v>NORHAYATI BINTI ZAHAR</v>
      </c>
      <c r="J2603" t="str">
        <f t="shared" si="1071"/>
        <v>MAYBANK / MAYBANK ISLAMIC</v>
      </c>
      <c r="K2603" t="str">
        <f>"101106235925"</f>
        <v>101106235925</v>
      </c>
      <c r="L2603" t="str">
        <f t="shared" si="1074"/>
        <v>04-08-2020</v>
      </c>
      <c r="M2603" t="str">
        <f t="shared" si="1074"/>
        <v>04-08-2020</v>
      </c>
      <c r="N2603" t="str">
        <f t="shared" si="1059"/>
        <v>001105018356</v>
      </c>
      <c r="O2603" t="str">
        <f t="shared" si="1060"/>
        <v>MYR</v>
      </c>
      <c r="P2603" t="str">
        <f t="shared" si="1075"/>
        <v>NIL</v>
      </c>
      <c r="Q2603" t="str">
        <f t="shared" si="1075"/>
        <v>NIL</v>
      </c>
      <c r="R2603" t="str">
        <f t="shared" si="1062"/>
        <v>Accepted</v>
      </c>
      <c r="S2603" t="str">
        <f t="shared" si="1063"/>
        <v>Approved</v>
      </c>
      <c r="T2603" t="str">
        <f t="shared" si="1064"/>
        <v>10.20.8.188</v>
      </c>
      <c r="U2603" t="str">
        <f t="shared" si="1065"/>
        <v>AZRAD UMAR BIN SHAARI</v>
      </c>
      <c r="V2603" t="str">
        <f t="shared" si="1066"/>
        <v>FARHANA BINTI MUSTAPA</v>
      </c>
      <c r="W2603" t="str">
        <f t="shared" si="1067"/>
        <v>04-08-2020</v>
      </c>
      <c r="X2603" t="str">
        <f t="shared" si="1068"/>
        <v>RAZIMAH ANSAR AHMAD</v>
      </c>
      <c r="Y2603" t="str">
        <f t="shared" si="1069"/>
        <v>04-08-2020</v>
      </c>
      <c r="Z2603" t="str">
        <f>"COS10200804 6551"</f>
        <v>COS10200804 6551</v>
      </c>
    </row>
    <row r="2604" spans="1:26" x14ac:dyDescent="0.25">
      <c r="A2604" t="str">
        <f t="shared" si="1072"/>
        <v>04-08-2020 01:03:01</v>
      </c>
      <c r="B2604" t="str">
        <f>"0000808344"</f>
        <v>0000808344</v>
      </c>
      <c r="C2604" t="str">
        <f t="shared" si="1073"/>
        <v>0000808194</v>
      </c>
      <c r="D2604" t="str">
        <f t="shared" si="1055"/>
        <v>73185</v>
      </c>
      <c r="E2604" t="str">
        <f t="shared" si="1056"/>
        <v>KFH-OPERATIONS DEPARTMENT</v>
      </c>
      <c r="F2604" t="str">
        <f t="shared" si="1057"/>
        <v>IBG</v>
      </c>
      <c r="G2604" t="str">
        <f t="shared" si="1070"/>
        <v>Refund COSHARE 10</v>
      </c>
      <c r="H2604" s="2">
        <v>100.75</v>
      </c>
      <c r="I2604" t="str">
        <f>"NORHAYATI BINTI OTHMAN"</f>
        <v>NORHAYATI BINTI OTHMAN</v>
      </c>
      <c r="J2604" t="str">
        <f t="shared" si="1071"/>
        <v>MAYBANK / MAYBANK ISLAMIC</v>
      </c>
      <c r="K2604" t="str">
        <f>"151258396790"</f>
        <v>151258396790</v>
      </c>
      <c r="L2604" t="str">
        <f t="shared" si="1074"/>
        <v>04-08-2020</v>
      </c>
      <c r="M2604" t="str">
        <f t="shared" si="1074"/>
        <v>04-08-2020</v>
      </c>
      <c r="N2604" t="str">
        <f t="shared" si="1059"/>
        <v>001105018356</v>
      </c>
      <c r="O2604" t="str">
        <f t="shared" si="1060"/>
        <v>MYR</v>
      </c>
      <c r="P2604" t="str">
        <f t="shared" si="1075"/>
        <v>NIL</v>
      </c>
      <c r="Q2604" t="str">
        <f t="shared" si="1075"/>
        <v>NIL</v>
      </c>
      <c r="R2604" t="str">
        <f t="shared" si="1062"/>
        <v>Accepted</v>
      </c>
      <c r="S2604" t="str">
        <f t="shared" si="1063"/>
        <v>Approved</v>
      </c>
      <c r="T2604" t="str">
        <f t="shared" si="1064"/>
        <v>10.20.8.188</v>
      </c>
      <c r="U2604" t="str">
        <f t="shared" si="1065"/>
        <v>AZRAD UMAR BIN SHAARI</v>
      </c>
      <c r="V2604" t="str">
        <f t="shared" si="1066"/>
        <v>FARHANA BINTI MUSTAPA</v>
      </c>
      <c r="W2604" t="str">
        <f t="shared" si="1067"/>
        <v>04-08-2020</v>
      </c>
      <c r="X2604" t="str">
        <f t="shared" si="1068"/>
        <v>RAZIMAH ANSAR AHMAD</v>
      </c>
      <c r="Y2604" t="str">
        <f t="shared" si="1069"/>
        <v>04-08-2020</v>
      </c>
      <c r="Z2604" t="str">
        <f>"COS10200804 6550"</f>
        <v>COS10200804 6550</v>
      </c>
    </row>
    <row r="2605" spans="1:26" x14ac:dyDescent="0.25">
      <c r="A2605" t="str">
        <f t="shared" si="1072"/>
        <v>04-08-2020 01:03:01</v>
      </c>
      <c r="B2605" t="str">
        <f>"0000808343"</f>
        <v>0000808343</v>
      </c>
      <c r="C2605" t="str">
        <f t="shared" si="1073"/>
        <v>0000808194</v>
      </c>
      <c r="D2605" t="str">
        <f t="shared" si="1055"/>
        <v>73185</v>
      </c>
      <c r="E2605" t="str">
        <f t="shared" si="1056"/>
        <v>KFH-OPERATIONS DEPARTMENT</v>
      </c>
      <c r="F2605" t="str">
        <f t="shared" si="1057"/>
        <v>IBG</v>
      </c>
      <c r="G2605" t="str">
        <f t="shared" si="1070"/>
        <v>Refund COSHARE 10</v>
      </c>
      <c r="H2605" s="2">
        <v>218.3</v>
      </c>
      <c r="I2605" t="str">
        <f>"NORHAYATI BINTI MUNIRAN"</f>
        <v>NORHAYATI BINTI MUNIRAN</v>
      </c>
      <c r="J2605" t="str">
        <f t="shared" si="1071"/>
        <v>MAYBANK / MAYBANK ISLAMIC</v>
      </c>
      <c r="K2605" t="str">
        <f>"156132011023"</f>
        <v>156132011023</v>
      </c>
      <c r="L2605" t="str">
        <f t="shared" si="1074"/>
        <v>04-08-2020</v>
      </c>
      <c r="M2605" t="str">
        <f t="shared" si="1074"/>
        <v>04-08-2020</v>
      </c>
      <c r="N2605" t="str">
        <f t="shared" si="1059"/>
        <v>001105018356</v>
      </c>
      <c r="O2605" t="str">
        <f t="shared" si="1060"/>
        <v>MYR</v>
      </c>
      <c r="P2605" t="str">
        <f t="shared" si="1075"/>
        <v>NIL</v>
      </c>
      <c r="Q2605" t="str">
        <f t="shared" si="1075"/>
        <v>NIL</v>
      </c>
      <c r="R2605" t="str">
        <f t="shared" si="1062"/>
        <v>Accepted</v>
      </c>
      <c r="S2605" t="str">
        <f t="shared" si="1063"/>
        <v>Approved</v>
      </c>
      <c r="T2605" t="str">
        <f t="shared" si="1064"/>
        <v>10.20.8.188</v>
      </c>
      <c r="U2605" t="str">
        <f t="shared" si="1065"/>
        <v>AZRAD UMAR BIN SHAARI</v>
      </c>
      <c r="V2605" t="str">
        <f t="shared" si="1066"/>
        <v>FARHANA BINTI MUSTAPA</v>
      </c>
      <c r="W2605" t="str">
        <f t="shared" si="1067"/>
        <v>04-08-2020</v>
      </c>
      <c r="X2605" t="str">
        <f t="shared" si="1068"/>
        <v>RAZIMAH ANSAR AHMAD</v>
      </c>
      <c r="Y2605" t="str">
        <f t="shared" si="1069"/>
        <v>04-08-2020</v>
      </c>
      <c r="Z2605" t="str">
        <f>"COS10200804 6549"</f>
        <v>COS10200804 6549</v>
      </c>
    </row>
    <row r="2606" spans="1:26" x14ac:dyDescent="0.25">
      <c r="A2606" t="str">
        <f t="shared" si="1072"/>
        <v>04-08-2020 01:03:01</v>
      </c>
      <c r="B2606" t="str">
        <f>"0000808342"</f>
        <v>0000808342</v>
      </c>
      <c r="C2606" t="str">
        <f t="shared" si="1073"/>
        <v>0000808194</v>
      </c>
      <c r="D2606" t="str">
        <f t="shared" si="1055"/>
        <v>73185</v>
      </c>
      <c r="E2606" t="str">
        <f t="shared" si="1056"/>
        <v>KFH-OPERATIONS DEPARTMENT</v>
      </c>
      <c r="F2606" t="str">
        <f t="shared" si="1057"/>
        <v>IBG</v>
      </c>
      <c r="G2606" t="str">
        <f t="shared" si="1070"/>
        <v>Refund COSHARE 10</v>
      </c>
      <c r="H2606" s="2">
        <v>254.1</v>
      </c>
      <c r="I2606" t="str">
        <f>"NORHAYATI BINTI MOHAMED"</f>
        <v>NORHAYATI BINTI MOHAMED</v>
      </c>
      <c r="J2606" t="str">
        <f t="shared" si="1071"/>
        <v>MAYBANK / MAYBANK ISLAMIC</v>
      </c>
      <c r="K2606" t="str">
        <f>"162179570674"</f>
        <v>162179570674</v>
      </c>
      <c r="L2606" t="str">
        <f t="shared" si="1074"/>
        <v>04-08-2020</v>
      </c>
      <c r="M2606" t="str">
        <f t="shared" si="1074"/>
        <v>04-08-2020</v>
      </c>
      <c r="N2606" t="str">
        <f t="shared" si="1059"/>
        <v>001105018356</v>
      </c>
      <c r="O2606" t="str">
        <f t="shared" si="1060"/>
        <v>MYR</v>
      </c>
      <c r="P2606" t="str">
        <f t="shared" si="1075"/>
        <v>NIL</v>
      </c>
      <c r="Q2606" t="str">
        <f t="shared" si="1075"/>
        <v>NIL</v>
      </c>
      <c r="R2606" t="str">
        <f t="shared" si="1062"/>
        <v>Accepted</v>
      </c>
      <c r="S2606" t="str">
        <f t="shared" si="1063"/>
        <v>Approved</v>
      </c>
      <c r="T2606" t="str">
        <f t="shared" si="1064"/>
        <v>10.20.8.188</v>
      </c>
      <c r="U2606" t="str">
        <f t="shared" si="1065"/>
        <v>AZRAD UMAR BIN SHAARI</v>
      </c>
      <c r="V2606" t="str">
        <f t="shared" si="1066"/>
        <v>FARHANA BINTI MUSTAPA</v>
      </c>
      <c r="W2606" t="str">
        <f t="shared" si="1067"/>
        <v>04-08-2020</v>
      </c>
      <c r="X2606" t="str">
        <f t="shared" si="1068"/>
        <v>RAZIMAH ANSAR AHMAD</v>
      </c>
      <c r="Y2606" t="str">
        <f t="shared" si="1069"/>
        <v>04-08-2020</v>
      </c>
      <c r="Z2606" t="str">
        <f>"COS10200804 6548"</f>
        <v>COS10200804 6548</v>
      </c>
    </row>
    <row r="2607" spans="1:26" x14ac:dyDescent="0.25">
      <c r="A2607" t="str">
        <f t="shared" si="1072"/>
        <v>04-08-2020 01:03:01</v>
      </c>
      <c r="B2607" t="str">
        <f>"0000808341"</f>
        <v>0000808341</v>
      </c>
      <c r="C2607" t="str">
        <f t="shared" si="1073"/>
        <v>0000808194</v>
      </c>
      <c r="D2607" t="str">
        <f t="shared" si="1055"/>
        <v>73185</v>
      </c>
      <c r="E2607" t="str">
        <f t="shared" si="1056"/>
        <v>KFH-OPERATIONS DEPARTMENT</v>
      </c>
      <c r="F2607" t="str">
        <f t="shared" si="1057"/>
        <v>IBG</v>
      </c>
      <c r="G2607" t="str">
        <f t="shared" si="1070"/>
        <v>Refund COSHARE 10</v>
      </c>
      <c r="H2607" s="2">
        <v>729</v>
      </c>
      <c r="I2607" t="str">
        <f>"NORHAYATI BINTI MOHAMAD NORAWI"</f>
        <v>NORHAYATI BINTI MOHAMAD NORAWI</v>
      </c>
      <c r="J2607" t="str">
        <f t="shared" si="1071"/>
        <v>MAYBANK / MAYBANK ISLAMIC</v>
      </c>
      <c r="K2607" t="str">
        <f>"111084102918"</f>
        <v>111084102918</v>
      </c>
      <c r="L2607" t="str">
        <f t="shared" ref="L2607:M2626" si="1076">"04-08-2020"</f>
        <v>04-08-2020</v>
      </c>
      <c r="M2607" t="str">
        <f t="shared" si="1076"/>
        <v>04-08-2020</v>
      </c>
      <c r="N2607" t="str">
        <f t="shared" si="1059"/>
        <v>001105018356</v>
      </c>
      <c r="O2607" t="str">
        <f t="shared" si="1060"/>
        <v>MYR</v>
      </c>
      <c r="P2607" t="str">
        <f t="shared" ref="P2607:Q2626" si="1077">"NIL"</f>
        <v>NIL</v>
      </c>
      <c r="Q2607" t="str">
        <f t="shared" si="1077"/>
        <v>NIL</v>
      </c>
      <c r="R2607" t="str">
        <f t="shared" si="1062"/>
        <v>Accepted</v>
      </c>
      <c r="S2607" t="str">
        <f t="shared" si="1063"/>
        <v>Approved</v>
      </c>
      <c r="T2607" t="str">
        <f t="shared" si="1064"/>
        <v>10.20.8.188</v>
      </c>
      <c r="U2607" t="str">
        <f t="shared" si="1065"/>
        <v>AZRAD UMAR BIN SHAARI</v>
      </c>
      <c r="V2607" t="str">
        <f t="shared" si="1066"/>
        <v>FARHANA BINTI MUSTAPA</v>
      </c>
      <c r="W2607" t="str">
        <f t="shared" si="1067"/>
        <v>04-08-2020</v>
      </c>
      <c r="X2607" t="str">
        <f t="shared" si="1068"/>
        <v>RAZIMAH ANSAR AHMAD</v>
      </c>
      <c r="Y2607" t="str">
        <f t="shared" si="1069"/>
        <v>04-08-2020</v>
      </c>
      <c r="Z2607" t="str">
        <f>"COS10200804 6547"</f>
        <v>COS10200804 6547</v>
      </c>
    </row>
    <row r="2608" spans="1:26" x14ac:dyDescent="0.25">
      <c r="A2608" t="str">
        <f t="shared" si="1072"/>
        <v>04-08-2020 01:03:01</v>
      </c>
      <c r="B2608" t="str">
        <f>"0000808340"</f>
        <v>0000808340</v>
      </c>
      <c r="C2608" t="str">
        <f t="shared" si="1073"/>
        <v>0000808194</v>
      </c>
      <c r="D2608" t="str">
        <f t="shared" si="1055"/>
        <v>73185</v>
      </c>
      <c r="E2608" t="str">
        <f t="shared" si="1056"/>
        <v>KFH-OPERATIONS DEPARTMENT</v>
      </c>
      <c r="F2608" t="str">
        <f t="shared" si="1057"/>
        <v>IBG</v>
      </c>
      <c r="G2608" t="str">
        <f t="shared" si="1070"/>
        <v>Refund COSHARE 10</v>
      </c>
      <c r="H2608" s="2">
        <v>1007.4</v>
      </c>
      <c r="I2608" t="str">
        <f>"NORHAYATI BINTI MOHAMAD NOH"</f>
        <v>NORHAYATI BINTI MOHAMAD NOH</v>
      </c>
      <c r="J2608" t="str">
        <f t="shared" si="1071"/>
        <v>MAYBANK / MAYBANK ISLAMIC</v>
      </c>
      <c r="K2608" t="str">
        <f>"112147509447"</f>
        <v>112147509447</v>
      </c>
      <c r="L2608" t="str">
        <f t="shared" si="1076"/>
        <v>04-08-2020</v>
      </c>
      <c r="M2608" t="str">
        <f t="shared" si="1076"/>
        <v>04-08-2020</v>
      </c>
      <c r="N2608" t="str">
        <f t="shared" si="1059"/>
        <v>001105018356</v>
      </c>
      <c r="O2608" t="str">
        <f t="shared" si="1060"/>
        <v>MYR</v>
      </c>
      <c r="P2608" t="str">
        <f t="shared" si="1077"/>
        <v>NIL</v>
      </c>
      <c r="Q2608" t="str">
        <f t="shared" si="1077"/>
        <v>NIL</v>
      </c>
      <c r="R2608" t="str">
        <f t="shared" si="1062"/>
        <v>Accepted</v>
      </c>
      <c r="S2608" t="str">
        <f t="shared" si="1063"/>
        <v>Approved</v>
      </c>
      <c r="T2608" t="str">
        <f t="shared" si="1064"/>
        <v>10.20.8.188</v>
      </c>
      <c r="U2608" t="str">
        <f t="shared" si="1065"/>
        <v>AZRAD UMAR BIN SHAARI</v>
      </c>
      <c r="V2608" t="str">
        <f t="shared" si="1066"/>
        <v>FARHANA BINTI MUSTAPA</v>
      </c>
      <c r="W2608" t="str">
        <f t="shared" si="1067"/>
        <v>04-08-2020</v>
      </c>
      <c r="X2608" t="str">
        <f t="shared" si="1068"/>
        <v>RAZIMAH ANSAR AHMAD</v>
      </c>
      <c r="Y2608" t="str">
        <f t="shared" si="1069"/>
        <v>04-08-2020</v>
      </c>
      <c r="Z2608" t="str">
        <f>"COS10200804 6546"</f>
        <v>COS10200804 6546</v>
      </c>
    </row>
    <row r="2609" spans="1:26" x14ac:dyDescent="0.25">
      <c r="A2609" t="str">
        <f t="shared" si="1072"/>
        <v>04-08-2020 01:03:01</v>
      </c>
      <c r="B2609" t="str">
        <f>"0000808339"</f>
        <v>0000808339</v>
      </c>
      <c r="C2609" t="str">
        <f t="shared" si="1073"/>
        <v>0000808194</v>
      </c>
      <c r="D2609" t="str">
        <f t="shared" si="1055"/>
        <v>73185</v>
      </c>
      <c r="E2609" t="str">
        <f t="shared" si="1056"/>
        <v>KFH-OPERATIONS DEPARTMENT</v>
      </c>
      <c r="F2609" t="str">
        <f t="shared" si="1057"/>
        <v>IBG</v>
      </c>
      <c r="G2609" t="str">
        <f t="shared" si="1070"/>
        <v>Refund COSHARE 10</v>
      </c>
      <c r="H2609" s="2">
        <v>887.05</v>
      </c>
      <c r="I2609" t="str">
        <f>"NORHAYATI BINTI IBRAHIM"</f>
        <v>NORHAYATI BINTI IBRAHIM</v>
      </c>
      <c r="J2609" t="str">
        <f t="shared" si="1071"/>
        <v>MAYBANK / MAYBANK ISLAMIC</v>
      </c>
      <c r="K2609" t="str">
        <f>"108083431406"</f>
        <v>108083431406</v>
      </c>
      <c r="L2609" t="str">
        <f t="shared" si="1076"/>
        <v>04-08-2020</v>
      </c>
      <c r="M2609" t="str">
        <f t="shared" si="1076"/>
        <v>04-08-2020</v>
      </c>
      <c r="N2609" t="str">
        <f t="shared" si="1059"/>
        <v>001105018356</v>
      </c>
      <c r="O2609" t="str">
        <f t="shared" si="1060"/>
        <v>MYR</v>
      </c>
      <c r="P2609" t="str">
        <f t="shared" si="1077"/>
        <v>NIL</v>
      </c>
      <c r="Q2609" t="str">
        <f t="shared" si="1077"/>
        <v>NIL</v>
      </c>
      <c r="R2609" t="str">
        <f t="shared" si="1062"/>
        <v>Accepted</v>
      </c>
      <c r="S2609" t="str">
        <f t="shared" si="1063"/>
        <v>Approved</v>
      </c>
      <c r="T2609" t="str">
        <f t="shared" si="1064"/>
        <v>10.20.8.188</v>
      </c>
      <c r="U2609" t="str">
        <f t="shared" si="1065"/>
        <v>AZRAD UMAR BIN SHAARI</v>
      </c>
      <c r="V2609" t="str">
        <f t="shared" si="1066"/>
        <v>FARHANA BINTI MUSTAPA</v>
      </c>
      <c r="W2609" t="str">
        <f t="shared" si="1067"/>
        <v>04-08-2020</v>
      </c>
      <c r="X2609" t="str">
        <f t="shared" si="1068"/>
        <v>RAZIMAH ANSAR AHMAD</v>
      </c>
      <c r="Y2609" t="str">
        <f t="shared" si="1069"/>
        <v>04-08-2020</v>
      </c>
      <c r="Z2609" t="str">
        <f>"COS10200804 6545"</f>
        <v>COS10200804 6545</v>
      </c>
    </row>
    <row r="2610" spans="1:26" x14ac:dyDescent="0.25">
      <c r="A2610" t="str">
        <f t="shared" si="1072"/>
        <v>04-08-2020 01:03:01</v>
      </c>
      <c r="B2610" t="str">
        <f>"0000808338"</f>
        <v>0000808338</v>
      </c>
      <c r="C2610" t="str">
        <f t="shared" si="1073"/>
        <v>0000808194</v>
      </c>
      <c r="D2610" t="str">
        <f t="shared" si="1055"/>
        <v>73185</v>
      </c>
      <c r="E2610" t="str">
        <f t="shared" si="1056"/>
        <v>KFH-OPERATIONS DEPARTMENT</v>
      </c>
      <c r="F2610" t="str">
        <f t="shared" si="1057"/>
        <v>IBG</v>
      </c>
      <c r="G2610" t="str">
        <f t="shared" si="1070"/>
        <v>Refund COSHARE 10</v>
      </c>
      <c r="H2610" s="2">
        <v>512.1</v>
      </c>
      <c r="I2610" t="str">
        <f>"NORHAYATI BINTI CHE OMAR"</f>
        <v>NORHAYATI BINTI CHE OMAR</v>
      </c>
      <c r="J2610" t="str">
        <f t="shared" si="1071"/>
        <v>MAYBANK / MAYBANK ISLAMIC</v>
      </c>
      <c r="K2610" t="str">
        <f>"151052250999"</f>
        <v>151052250999</v>
      </c>
      <c r="L2610" t="str">
        <f t="shared" si="1076"/>
        <v>04-08-2020</v>
      </c>
      <c r="M2610" t="str">
        <f t="shared" si="1076"/>
        <v>04-08-2020</v>
      </c>
      <c r="N2610" t="str">
        <f t="shared" si="1059"/>
        <v>001105018356</v>
      </c>
      <c r="O2610" t="str">
        <f t="shared" si="1060"/>
        <v>MYR</v>
      </c>
      <c r="P2610" t="str">
        <f t="shared" si="1077"/>
        <v>NIL</v>
      </c>
      <c r="Q2610" t="str">
        <f t="shared" si="1077"/>
        <v>NIL</v>
      </c>
      <c r="R2610" t="str">
        <f t="shared" si="1062"/>
        <v>Accepted</v>
      </c>
      <c r="S2610" t="str">
        <f t="shared" si="1063"/>
        <v>Approved</v>
      </c>
      <c r="T2610" t="str">
        <f t="shared" si="1064"/>
        <v>10.20.8.188</v>
      </c>
      <c r="U2610" t="str">
        <f t="shared" si="1065"/>
        <v>AZRAD UMAR BIN SHAARI</v>
      </c>
      <c r="V2610" t="str">
        <f t="shared" si="1066"/>
        <v>FARHANA BINTI MUSTAPA</v>
      </c>
      <c r="W2610" t="str">
        <f t="shared" si="1067"/>
        <v>04-08-2020</v>
      </c>
      <c r="X2610" t="str">
        <f t="shared" si="1068"/>
        <v>RAZIMAH ANSAR AHMAD</v>
      </c>
      <c r="Y2610" t="str">
        <f t="shared" si="1069"/>
        <v>04-08-2020</v>
      </c>
      <c r="Z2610" t="str">
        <f>"COS10200804 6544"</f>
        <v>COS10200804 6544</v>
      </c>
    </row>
    <row r="2611" spans="1:26" x14ac:dyDescent="0.25">
      <c r="A2611" t="str">
        <f t="shared" si="1072"/>
        <v>04-08-2020 01:03:01</v>
      </c>
      <c r="B2611" t="str">
        <f>"0000808337"</f>
        <v>0000808337</v>
      </c>
      <c r="C2611" t="str">
        <f t="shared" si="1073"/>
        <v>0000808194</v>
      </c>
      <c r="D2611" t="str">
        <f t="shared" si="1055"/>
        <v>73185</v>
      </c>
      <c r="E2611" t="str">
        <f t="shared" si="1056"/>
        <v>KFH-OPERATIONS DEPARTMENT</v>
      </c>
      <c r="F2611" t="str">
        <f t="shared" si="1057"/>
        <v>IBG</v>
      </c>
      <c r="G2611" t="str">
        <f t="shared" si="1070"/>
        <v>Refund COSHARE 10</v>
      </c>
      <c r="H2611" s="2">
        <v>83.95</v>
      </c>
      <c r="I2611" t="str">
        <f>"NORHAYATI BINTI ATAN"</f>
        <v>NORHAYATI BINTI ATAN</v>
      </c>
      <c r="J2611" t="str">
        <f t="shared" si="1071"/>
        <v>MAYBANK / MAYBANK ISLAMIC</v>
      </c>
      <c r="K2611" t="str">
        <f>"151472001043"</f>
        <v>151472001043</v>
      </c>
      <c r="L2611" t="str">
        <f t="shared" si="1076"/>
        <v>04-08-2020</v>
      </c>
      <c r="M2611" t="str">
        <f t="shared" si="1076"/>
        <v>04-08-2020</v>
      </c>
      <c r="N2611" t="str">
        <f t="shared" si="1059"/>
        <v>001105018356</v>
      </c>
      <c r="O2611" t="str">
        <f t="shared" si="1060"/>
        <v>MYR</v>
      </c>
      <c r="P2611" t="str">
        <f t="shared" si="1077"/>
        <v>NIL</v>
      </c>
      <c r="Q2611" t="str">
        <f t="shared" si="1077"/>
        <v>NIL</v>
      </c>
      <c r="R2611" t="str">
        <f t="shared" si="1062"/>
        <v>Accepted</v>
      </c>
      <c r="S2611" t="str">
        <f t="shared" si="1063"/>
        <v>Approved</v>
      </c>
      <c r="T2611" t="str">
        <f t="shared" si="1064"/>
        <v>10.20.8.188</v>
      </c>
      <c r="U2611" t="str">
        <f t="shared" si="1065"/>
        <v>AZRAD UMAR BIN SHAARI</v>
      </c>
      <c r="V2611" t="str">
        <f t="shared" si="1066"/>
        <v>FARHANA BINTI MUSTAPA</v>
      </c>
      <c r="W2611" t="str">
        <f t="shared" si="1067"/>
        <v>04-08-2020</v>
      </c>
      <c r="X2611" t="str">
        <f t="shared" si="1068"/>
        <v>RAZIMAH ANSAR AHMAD</v>
      </c>
      <c r="Y2611" t="str">
        <f t="shared" si="1069"/>
        <v>04-08-2020</v>
      </c>
      <c r="Z2611" t="str">
        <f>"COS10200804 6543"</f>
        <v>COS10200804 6543</v>
      </c>
    </row>
    <row r="2612" spans="1:26" x14ac:dyDescent="0.25">
      <c r="A2612" t="str">
        <f t="shared" si="1072"/>
        <v>04-08-2020 01:03:01</v>
      </c>
      <c r="B2612" t="str">
        <f>"0000808336"</f>
        <v>0000808336</v>
      </c>
      <c r="C2612" t="str">
        <f t="shared" si="1073"/>
        <v>0000808194</v>
      </c>
      <c r="D2612" t="str">
        <f t="shared" si="1055"/>
        <v>73185</v>
      </c>
      <c r="E2612" t="str">
        <f t="shared" si="1056"/>
        <v>KFH-OPERATIONS DEPARTMENT</v>
      </c>
      <c r="F2612" t="str">
        <f t="shared" si="1057"/>
        <v>IBG</v>
      </c>
      <c r="G2612" t="str">
        <f t="shared" si="1070"/>
        <v>Refund COSHARE 10</v>
      </c>
      <c r="H2612" s="2">
        <v>671.6</v>
      </c>
      <c r="I2612" t="str">
        <f>"NORHAYATI BINTI AMZAH"</f>
        <v>NORHAYATI BINTI AMZAH</v>
      </c>
      <c r="J2612" t="str">
        <f t="shared" si="1071"/>
        <v>MAYBANK / MAYBANK ISLAMIC</v>
      </c>
      <c r="K2612" t="str">
        <f>"164173670304"</f>
        <v>164173670304</v>
      </c>
      <c r="L2612" t="str">
        <f t="shared" si="1076"/>
        <v>04-08-2020</v>
      </c>
      <c r="M2612" t="str">
        <f t="shared" si="1076"/>
        <v>04-08-2020</v>
      </c>
      <c r="N2612" t="str">
        <f t="shared" si="1059"/>
        <v>001105018356</v>
      </c>
      <c r="O2612" t="str">
        <f t="shared" si="1060"/>
        <v>MYR</v>
      </c>
      <c r="P2612" t="str">
        <f t="shared" si="1077"/>
        <v>NIL</v>
      </c>
      <c r="Q2612" t="str">
        <f t="shared" si="1077"/>
        <v>NIL</v>
      </c>
      <c r="R2612" t="str">
        <f t="shared" si="1062"/>
        <v>Accepted</v>
      </c>
      <c r="S2612" t="str">
        <f t="shared" si="1063"/>
        <v>Approved</v>
      </c>
      <c r="T2612" t="str">
        <f t="shared" si="1064"/>
        <v>10.20.8.188</v>
      </c>
      <c r="U2612" t="str">
        <f t="shared" si="1065"/>
        <v>AZRAD UMAR BIN SHAARI</v>
      </c>
      <c r="V2612" t="str">
        <f t="shared" si="1066"/>
        <v>FARHANA BINTI MUSTAPA</v>
      </c>
      <c r="W2612" t="str">
        <f t="shared" si="1067"/>
        <v>04-08-2020</v>
      </c>
      <c r="X2612" t="str">
        <f t="shared" si="1068"/>
        <v>RAZIMAH ANSAR AHMAD</v>
      </c>
      <c r="Y2612" t="str">
        <f t="shared" si="1069"/>
        <v>04-08-2020</v>
      </c>
      <c r="Z2612" t="str">
        <f>"COS10200804 6542"</f>
        <v>COS10200804 6542</v>
      </c>
    </row>
    <row r="2613" spans="1:26" x14ac:dyDescent="0.25">
      <c r="A2613" t="str">
        <f t="shared" si="1072"/>
        <v>04-08-2020 01:03:01</v>
      </c>
      <c r="B2613" t="str">
        <f>"0000808335"</f>
        <v>0000808335</v>
      </c>
      <c r="C2613" t="str">
        <f t="shared" si="1073"/>
        <v>0000808194</v>
      </c>
      <c r="D2613" t="str">
        <f t="shared" si="1055"/>
        <v>73185</v>
      </c>
      <c r="E2613" t="str">
        <f t="shared" si="1056"/>
        <v>KFH-OPERATIONS DEPARTMENT</v>
      </c>
      <c r="F2613" t="str">
        <f t="shared" si="1057"/>
        <v>IBG</v>
      </c>
      <c r="G2613" t="str">
        <f t="shared" si="1070"/>
        <v>Refund COSHARE 10</v>
      </c>
      <c r="H2613" s="2">
        <v>1422.35</v>
      </c>
      <c r="I2613" t="str">
        <f>"NORHAYATI BINTI ABDUL WAHAB"</f>
        <v>NORHAYATI BINTI ABDUL WAHAB</v>
      </c>
      <c r="J2613" t="str">
        <f t="shared" si="1071"/>
        <v>MAYBANK / MAYBANK ISLAMIC</v>
      </c>
      <c r="K2613" t="str">
        <f>"152031423218"</f>
        <v>152031423218</v>
      </c>
      <c r="L2613" t="str">
        <f t="shared" si="1076"/>
        <v>04-08-2020</v>
      </c>
      <c r="M2613" t="str">
        <f t="shared" si="1076"/>
        <v>04-08-2020</v>
      </c>
      <c r="N2613" t="str">
        <f t="shared" si="1059"/>
        <v>001105018356</v>
      </c>
      <c r="O2613" t="str">
        <f t="shared" si="1060"/>
        <v>MYR</v>
      </c>
      <c r="P2613" t="str">
        <f t="shared" si="1077"/>
        <v>NIL</v>
      </c>
      <c r="Q2613" t="str">
        <f t="shared" si="1077"/>
        <v>NIL</v>
      </c>
      <c r="R2613" t="str">
        <f t="shared" si="1062"/>
        <v>Accepted</v>
      </c>
      <c r="S2613" t="str">
        <f t="shared" si="1063"/>
        <v>Approved</v>
      </c>
      <c r="T2613" t="str">
        <f t="shared" si="1064"/>
        <v>10.20.8.188</v>
      </c>
      <c r="U2613" t="str">
        <f t="shared" si="1065"/>
        <v>AZRAD UMAR BIN SHAARI</v>
      </c>
      <c r="V2613" t="str">
        <f t="shared" si="1066"/>
        <v>FARHANA BINTI MUSTAPA</v>
      </c>
      <c r="W2613" t="str">
        <f t="shared" si="1067"/>
        <v>04-08-2020</v>
      </c>
      <c r="X2613" t="str">
        <f t="shared" si="1068"/>
        <v>RAZIMAH ANSAR AHMAD</v>
      </c>
      <c r="Y2613" t="str">
        <f t="shared" si="1069"/>
        <v>04-08-2020</v>
      </c>
      <c r="Z2613" t="str">
        <f>"COS10200804 6541"</f>
        <v>COS10200804 6541</v>
      </c>
    </row>
    <row r="2614" spans="1:26" x14ac:dyDescent="0.25">
      <c r="A2614" t="str">
        <f t="shared" si="1072"/>
        <v>04-08-2020 01:03:01</v>
      </c>
      <c r="B2614" t="str">
        <f>"0000808334"</f>
        <v>0000808334</v>
      </c>
      <c r="C2614" t="str">
        <f t="shared" si="1073"/>
        <v>0000808194</v>
      </c>
      <c r="D2614" t="str">
        <f t="shared" si="1055"/>
        <v>73185</v>
      </c>
      <c r="E2614" t="str">
        <f t="shared" si="1056"/>
        <v>KFH-OPERATIONS DEPARTMENT</v>
      </c>
      <c r="F2614" t="str">
        <f t="shared" si="1057"/>
        <v>IBG</v>
      </c>
      <c r="G2614" t="str">
        <f t="shared" si="1070"/>
        <v>Refund COSHARE 10</v>
      </c>
      <c r="H2614" s="2">
        <v>847.9</v>
      </c>
      <c r="I2614" t="str">
        <f>"NORHAYATI BINTI ABDUL"</f>
        <v>NORHAYATI BINTI ABDUL</v>
      </c>
      <c r="J2614" t="str">
        <f t="shared" si="1071"/>
        <v>MAYBANK / MAYBANK ISLAMIC</v>
      </c>
      <c r="K2614" t="str">
        <f>"114262337154"</f>
        <v>114262337154</v>
      </c>
      <c r="L2614" t="str">
        <f t="shared" si="1076"/>
        <v>04-08-2020</v>
      </c>
      <c r="M2614" t="str">
        <f t="shared" si="1076"/>
        <v>04-08-2020</v>
      </c>
      <c r="N2614" t="str">
        <f t="shared" si="1059"/>
        <v>001105018356</v>
      </c>
      <c r="O2614" t="str">
        <f t="shared" si="1060"/>
        <v>MYR</v>
      </c>
      <c r="P2614" t="str">
        <f t="shared" si="1077"/>
        <v>NIL</v>
      </c>
      <c r="Q2614" t="str">
        <f t="shared" si="1077"/>
        <v>NIL</v>
      </c>
      <c r="R2614" t="str">
        <f t="shared" si="1062"/>
        <v>Accepted</v>
      </c>
      <c r="S2614" t="str">
        <f t="shared" si="1063"/>
        <v>Approved</v>
      </c>
      <c r="T2614" t="str">
        <f t="shared" si="1064"/>
        <v>10.20.8.188</v>
      </c>
      <c r="U2614" t="str">
        <f t="shared" si="1065"/>
        <v>AZRAD UMAR BIN SHAARI</v>
      </c>
      <c r="V2614" t="str">
        <f t="shared" si="1066"/>
        <v>FARHANA BINTI MUSTAPA</v>
      </c>
      <c r="W2614" t="str">
        <f t="shared" si="1067"/>
        <v>04-08-2020</v>
      </c>
      <c r="X2614" t="str">
        <f t="shared" si="1068"/>
        <v>RAZIMAH ANSAR AHMAD</v>
      </c>
      <c r="Y2614" t="str">
        <f t="shared" si="1069"/>
        <v>04-08-2020</v>
      </c>
      <c r="Z2614" t="str">
        <f>"COS10200804 6540"</f>
        <v>COS10200804 6540</v>
      </c>
    </row>
    <row r="2615" spans="1:26" x14ac:dyDescent="0.25">
      <c r="A2615" t="str">
        <f t="shared" si="1072"/>
        <v>04-08-2020 01:03:01</v>
      </c>
      <c r="B2615" t="str">
        <f>"0000808333"</f>
        <v>0000808333</v>
      </c>
      <c r="C2615" t="str">
        <f t="shared" si="1073"/>
        <v>0000808194</v>
      </c>
      <c r="D2615" t="str">
        <f t="shared" si="1055"/>
        <v>73185</v>
      </c>
      <c r="E2615" t="str">
        <f t="shared" si="1056"/>
        <v>KFH-OPERATIONS DEPARTMENT</v>
      </c>
      <c r="F2615" t="str">
        <f t="shared" si="1057"/>
        <v>IBG</v>
      </c>
      <c r="G2615" t="str">
        <f t="shared" si="1070"/>
        <v>Refund COSHARE 10</v>
      </c>
      <c r="H2615" s="2">
        <v>251.85</v>
      </c>
      <c r="I2615" t="str">
        <f>"NORHAYANTI BINTI MUHAMAD ISA"</f>
        <v>NORHAYANTI BINTI MUHAMAD ISA</v>
      </c>
      <c r="J2615" t="str">
        <f t="shared" si="1071"/>
        <v>MAYBANK / MAYBANK ISLAMIC</v>
      </c>
      <c r="K2615" t="str">
        <f>"158305067906"</f>
        <v>158305067906</v>
      </c>
      <c r="L2615" t="str">
        <f t="shared" si="1076"/>
        <v>04-08-2020</v>
      </c>
      <c r="M2615" t="str">
        <f t="shared" si="1076"/>
        <v>04-08-2020</v>
      </c>
      <c r="N2615" t="str">
        <f t="shared" si="1059"/>
        <v>001105018356</v>
      </c>
      <c r="O2615" t="str">
        <f t="shared" si="1060"/>
        <v>MYR</v>
      </c>
      <c r="P2615" t="str">
        <f t="shared" si="1077"/>
        <v>NIL</v>
      </c>
      <c r="Q2615" t="str">
        <f t="shared" si="1077"/>
        <v>NIL</v>
      </c>
      <c r="R2615" t="str">
        <f t="shared" si="1062"/>
        <v>Accepted</v>
      </c>
      <c r="S2615" t="str">
        <f t="shared" si="1063"/>
        <v>Approved</v>
      </c>
      <c r="T2615" t="str">
        <f t="shared" si="1064"/>
        <v>10.20.8.188</v>
      </c>
      <c r="U2615" t="str">
        <f t="shared" si="1065"/>
        <v>AZRAD UMAR BIN SHAARI</v>
      </c>
      <c r="V2615" t="str">
        <f t="shared" si="1066"/>
        <v>FARHANA BINTI MUSTAPA</v>
      </c>
      <c r="W2615" t="str">
        <f t="shared" si="1067"/>
        <v>04-08-2020</v>
      </c>
      <c r="X2615" t="str">
        <f t="shared" si="1068"/>
        <v>RAZIMAH ANSAR AHMAD</v>
      </c>
      <c r="Y2615" t="str">
        <f t="shared" si="1069"/>
        <v>04-08-2020</v>
      </c>
      <c r="Z2615" t="str">
        <f>"COS10200804 6539"</f>
        <v>COS10200804 6539</v>
      </c>
    </row>
    <row r="2616" spans="1:26" x14ac:dyDescent="0.25">
      <c r="A2616" t="str">
        <f t="shared" si="1072"/>
        <v>04-08-2020 01:03:01</v>
      </c>
      <c r="B2616" t="str">
        <f>"0000808332"</f>
        <v>0000808332</v>
      </c>
      <c r="C2616" t="str">
        <f t="shared" si="1073"/>
        <v>0000808194</v>
      </c>
      <c r="D2616" t="str">
        <f t="shared" si="1055"/>
        <v>73185</v>
      </c>
      <c r="E2616" t="str">
        <f t="shared" si="1056"/>
        <v>KFH-OPERATIONS DEPARTMENT</v>
      </c>
      <c r="F2616" t="str">
        <f t="shared" si="1057"/>
        <v>IBG</v>
      </c>
      <c r="G2616" t="str">
        <f t="shared" si="1070"/>
        <v>Refund COSHARE 10</v>
      </c>
      <c r="H2616" s="2">
        <v>839.5</v>
      </c>
      <c r="I2616" t="str">
        <f>"NORHASNITA BINTI ZAKARIA"</f>
        <v>NORHASNITA BINTI ZAKARIA</v>
      </c>
      <c r="J2616" t="str">
        <f t="shared" si="1071"/>
        <v>MAYBANK / MAYBANK ISLAMIC</v>
      </c>
      <c r="K2616" t="str">
        <f>"158015080889"</f>
        <v>158015080889</v>
      </c>
      <c r="L2616" t="str">
        <f t="shared" si="1076"/>
        <v>04-08-2020</v>
      </c>
      <c r="M2616" t="str">
        <f t="shared" si="1076"/>
        <v>04-08-2020</v>
      </c>
      <c r="N2616" t="str">
        <f t="shared" si="1059"/>
        <v>001105018356</v>
      </c>
      <c r="O2616" t="str">
        <f t="shared" si="1060"/>
        <v>MYR</v>
      </c>
      <c r="P2616" t="str">
        <f t="shared" si="1077"/>
        <v>NIL</v>
      </c>
      <c r="Q2616" t="str">
        <f t="shared" si="1077"/>
        <v>NIL</v>
      </c>
      <c r="R2616" t="str">
        <f t="shared" si="1062"/>
        <v>Accepted</v>
      </c>
      <c r="S2616" t="str">
        <f t="shared" si="1063"/>
        <v>Approved</v>
      </c>
      <c r="T2616" t="str">
        <f t="shared" si="1064"/>
        <v>10.20.8.188</v>
      </c>
      <c r="U2616" t="str">
        <f t="shared" si="1065"/>
        <v>AZRAD UMAR BIN SHAARI</v>
      </c>
      <c r="V2616" t="str">
        <f t="shared" si="1066"/>
        <v>FARHANA BINTI MUSTAPA</v>
      </c>
      <c r="W2616" t="str">
        <f t="shared" si="1067"/>
        <v>04-08-2020</v>
      </c>
      <c r="X2616" t="str">
        <f t="shared" si="1068"/>
        <v>RAZIMAH ANSAR AHMAD</v>
      </c>
      <c r="Y2616" t="str">
        <f t="shared" si="1069"/>
        <v>04-08-2020</v>
      </c>
      <c r="Z2616" t="str">
        <f>"COS10200804 6538"</f>
        <v>COS10200804 6538</v>
      </c>
    </row>
    <row r="2617" spans="1:26" x14ac:dyDescent="0.25">
      <c r="A2617" t="str">
        <f t="shared" si="1072"/>
        <v>04-08-2020 01:03:01</v>
      </c>
      <c r="B2617" t="str">
        <f>"0000808331"</f>
        <v>0000808331</v>
      </c>
      <c r="C2617" t="str">
        <f t="shared" si="1073"/>
        <v>0000808194</v>
      </c>
      <c r="D2617" t="str">
        <f t="shared" si="1055"/>
        <v>73185</v>
      </c>
      <c r="E2617" t="str">
        <f t="shared" si="1056"/>
        <v>KFH-OPERATIONS DEPARTMENT</v>
      </c>
      <c r="F2617" t="str">
        <f t="shared" si="1057"/>
        <v>IBG</v>
      </c>
      <c r="G2617" t="str">
        <f t="shared" si="1070"/>
        <v>Refund COSHARE 10</v>
      </c>
      <c r="H2617" s="2">
        <v>168</v>
      </c>
      <c r="I2617" t="str">
        <f>"NORHASNIDA BINTI SARANI"</f>
        <v>NORHASNIDA BINTI SARANI</v>
      </c>
      <c r="J2617" t="str">
        <f t="shared" si="1071"/>
        <v>MAYBANK / MAYBANK ISLAMIC</v>
      </c>
      <c r="K2617" t="str">
        <f>"164016956636"</f>
        <v>164016956636</v>
      </c>
      <c r="L2617" t="str">
        <f t="shared" si="1076"/>
        <v>04-08-2020</v>
      </c>
      <c r="M2617" t="str">
        <f t="shared" si="1076"/>
        <v>04-08-2020</v>
      </c>
      <c r="N2617" t="str">
        <f t="shared" si="1059"/>
        <v>001105018356</v>
      </c>
      <c r="O2617" t="str">
        <f t="shared" si="1060"/>
        <v>MYR</v>
      </c>
      <c r="P2617" t="str">
        <f t="shared" si="1077"/>
        <v>NIL</v>
      </c>
      <c r="Q2617" t="str">
        <f t="shared" si="1077"/>
        <v>NIL</v>
      </c>
      <c r="R2617" t="str">
        <f t="shared" si="1062"/>
        <v>Accepted</v>
      </c>
      <c r="S2617" t="str">
        <f t="shared" si="1063"/>
        <v>Approved</v>
      </c>
      <c r="T2617" t="str">
        <f t="shared" si="1064"/>
        <v>10.20.8.188</v>
      </c>
      <c r="U2617" t="str">
        <f t="shared" si="1065"/>
        <v>AZRAD UMAR BIN SHAARI</v>
      </c>
      <c r="V2617" t="str">
        <f t="shared" si="1066"/>
        <v>FARHANA BINTI MUSTAPA</v>
      </c>
      <c r="W2617" t="str">
        <f t="shared" si="1067"/>
        <v>04-08-2020</v>
      </c>
      <c r="X2617" t="str">
        <f t="shared" si="1068"/>
        <v>RAZIMAH ANSAR AHMAD</v>
      </c>
      <c r="Y2617" t="str">
        <f t="shared" si="1069"/>
        <v>04-08-2020</v>
      </c>
      <c r="Z2617" t="str">
        <f>"COS10200804 6537"</f>
        <v>COS10200804 6537</v>
      </c>
    </row>
    <row r="2618" spans="1:26" x14ac:dyDescent="0.25">
      <c r="A2618" t="str">
        <f t="shared" ref="A2618:A2649" si="1078">"04-08-2020 01:03:01"</f>
        <v>04-08-2020 01:03:01</v>
      </c>
      <c r="B2618" t="str">
        <f>"0000808330"</f>
        <v>0000808330</v>
      </c>
      <c r="C2618" t="str">
        <f t="shared" ref="C2618:C2649" si="1079">"0000808194"</f>
        <v>0000808194</v>
      </c>
      <c r="D2618" t="str">
        <f t="shared" si="1055"/>
        <v>73185</v>
      </c>
      <c r="E2618" t="str">
        <f t="shared" si="1056"/>
        <v>KFH-OPERATIONS DEPARTMENT</v>
      </c>
      <c r="F2618" t="str">
        <f t="shared" si="1057"/>
        <v>IBG</v>
      </c>
      <c r="G2618" t="str">
        <f t="shared" si="1070"/>
        <v>Refund COSHARE 10</v>
      </c>
      <c r="H2618" s="2">
        <v>168</v>
      </c>
      <c r="I2618" t="str">
        <f>"NORHASMIZAH BINTI MOHAMAD ALIAS"</f>
        <v>NORHASMIZAH BINTI MOHAMAD ALIAS</v>
      </c>
      <c r="J2618" t="str">
        <f t="shared" si="1071"/>
        <v>MAYBANK / MAYBANK ISLAMIC</v>
      </c>
      <c r="K2618" t="str">
        <f>"151017126586"</f>
        <v>151017126586</v>
      </c>
      <c r="L2618" t="str">
        <f t="shared" si="1076"/>
        <v>04-08-2020</v>
      </c>
      <c r="M2618" t="str">
        <f t="shared" si="1076"/>
        <v>04-08-2020</v>
      </c>
      <c r="N2618" t="str">
        <f t="shared" si="1059"/>
        <v>001105018356</v>
      </c>
      <c r="O2618" t="str">
        <f t="shared" si="1060"/>
        <v>MYR</v>
      </c>
      <c r="P2618" t="str">
        <f t="shared" si="1077"/>
        <v>NIL</v>
      </c>
      <c r="Q2618" t="str">
        <f t="shared" si="1077"/>
        <v>NIL</v>
      </c>
      <c r="R2618" t="str">
        <f t="shared" si="1062"/>
        <v>Accepted</v>
      </c>
      <c r="S2618" t="str">
        <f t="shared" si="1063"/>
        <v>Approved</v>
      </c>
      <c r="T2618" t="str">
        <f t="shared" si="1064"/>
        <v>10.20.8.188</v>
      </c>
      <c r="U2618" t="str">
        <f t="shared" si="1065"/>
        <v>AZRAD UMAR BIN SHAARI</v>
      </c>
      <c r="V2618" t="str">
        <f t="shared" si="1066"/>
        <v>FARHANA BINTI MUSTAPA</v>
      </c>
      <c r="W2618" t="str">
        <f t="shared" si="1067"/>
        <v>04-08-2020</v>
      </c>
      <c r="X2618" t="str">
        <f t="shared" si="1068"/>
        <v>RAZIMAH ANSAR AHMAD</v>
      </c>
      <c r="Y2618" t="str">
        <f t="shared" si="1069"/>
        <v>04-08-2020</v>
      </c>
      <c r="Z2618" t="str">
        <f>"COS10200804 6536"</f>
        <v>COS10200804 6536</v>
      </c>
    </row>
    <row r="2619" spans="1:26" x14ac:dyDescent="0.25">
      <c r="A2619" t="str">
        <f t="shared" si="1078"/>
        <v>04-08-2020 01:03:01</v>
      </c>
      <c r="B2619" t="str">
        <f>"0000808329"</f>
        <v>0000808329</v>
      </c>
      <c r="C2619" t="str">
        <f t="shared" si="1079"/>
        <v>0000808194</v>
      </c>
      <c r="D2619" t="str">
        <f t="shared" si="1055"/>
        <v>73185</v>
      </c>
      <c r="E2619" t="str">
        <f t="shared" si="1056"/>
        <v>KFH-OPERATIONS DEPARTMENT</v>
      </c>
      <c r="F2619" t="str">
        <f t="shared" si="1057"/>
        <v>IBG</v>
      </c>
      <c r="G2619" t="str">
        <f t="shared" si="1070"/>
        <v>Refund COSHARE 10</v>
      </c>
      <c r="H2619" s="2">
        <v>228</v>
      </c>
      <c r="I2619" t="str">
        <f>"NORHASMAWATY BINTI MUSTAPA"</f>
        <v>NORHASMAWATY BINTI MUSTAPA</v>
      </c>
      <c r="J2619" t="str">
        <f t="shared" si="1071"/>
        <v>MAYBANK / MAYBANK ISLAMIC</v>
      </c>
      <c r="K2619" t="str">
        <f>"151294771624"</f>
        <v>151294771624</v>
      </c>
      <c r="L2619" t="str">
        <f t="shared" si="1076"/>
        <v>04-08-2020</v>
      </c>
      <c r="M2619" t="str">
        <f t="shared" si="1076"/>
        <v>04-08-2020</v>
      </c>
      <c r="N2619" t="str">
        <f t="shared" si="1059"/>
        <v>001105018356</v>
      </c>
      <c r="O2619" t="str">
        <f t="shared" si="1060"/>
        <v>MYR</v>
      </c>
      <c r="P2619" t="str">
        <f t="shared" si="1077"/>
        <v>NIL</v>
      </c>
      <c r="Q2619" t="str">
        <f t="shared" si="1077"/>
        <v>NIL</v>
      </c>
      <c r="R2619" t="str">
        <f t="shared" si="1062"/>
        <v>Accepted</v>
      </c>
      <c r="S2619" t="str">
        <f t="shared" si="1063"/>
        <v>Approved</v>
      </c>
      <c r="T2619" t="str">
        <f t="shared" si="1064"/>
        <v>10.20.8.188</v>
      </c>
      <c r="U2619" t="str">
        <f t="shared" si="1065"/>
        <v>AZRAD UMAR BIN SHAARI</v>
      </c>
      <c r="V2619" t="str">
        <f t="shared" si="1066"/>
        <v>FARHANA BINTI MUSTAPA</v>
      </c>
      <c r="W2619" t="str">
        <f t="shared" si="1067"/>
        <v>04-08-2020</v>
      </c>
      <c r="X2619" t="str">
        <f t="shared" si="1068"/>
        <v>RAZIMAH ANSAR AHMAD</v>
      </c>
      <c r="Y2619" t="str">
        <f t="shared" si="1069"/>
        <v>04-08-2020</v>
      </c>
      <c r="Z2619" t="str">
        <f>"COS10200804 6535"</f>
        <v>COS10200804 6535</v>
      </c>
    </row>
    <row r="2620" spans="1:26" x14ac:dyDescent="0.25">
      <c r="A2620" t="str">
        <f t="shared" si="1078"/>
        <v>04-08-2020 01:03:01</v>
      </c>
      <c r="B2620" t="str">
        <f>"0000808328"</f>
        <v>0000808328</v>
      </c>
      <c r="C2620" t="str">
        <f t="shared" si="1079"/>
        <v>0000808194</v>
      </c>
      <c r="D2620" t="str">
        <f t="shared" si="1055"/>
        <v>73185</v>
      </c>
      <c r="E2620" t="str">
        <f t="shared" si="1056"/>
        <v>KFH-OPERATIONS DEPARTMENT</v>
      </c>
      <c r="F2620" t="str">
        <f t="shared" si="1057"/>
        <v>IBG</v>
      </c>
      <c r="G2620" t="str">
        <f t="shared" si="1070"/>
        <v>Refund COSHARE 10</v>
      </c>
      <c r="H2620" s="2">
        <v>107</v>
      </c>
      <c r="I2620" t="str">
        <f>"NORHASLIZA BINTI OTHMAN"</f>
        <v>NORHASLIZA BINTI OTHMAN</v>
      </c>
      <c r="J2620" t="str">
        <f t="shared" si="1071"/>
        <v>MAYBANK / MAYBANK ISLAMIC</v>
      </c>
      <c r="K2620" t="str">
        <f>"101431049469"</f>
        <v>101431049469</v>
      </c>
      <c r="L2620" t="str">
        <f t="shared" si="1076"/>
        <v>04-08-2020</v>
      </c>
      <c r="M2620" t="str">
        <f t="shared" si="1076"/>
        <v>04-08-2020</v>
      </c>
      <c r="N2620" t="str">
        <f t="shared" si="1059"/>
        <v>001105018356</v>
      </c>
      <c r="O2620" t="str">
        <f t="shared" si="1060"/>
        <v>MYR</v>
      </c>
      <c r="P2620" t="str">
        <f t="shared" si="1077"/>
        <v>NIL</v>
      </c>
      <c r="Q2620" t="str">
        <f t="shared" si="1077"/>
        <v>NIL</v>
      </c>
      <c r="R2620" t="str">
        <f t="shared" si="1062"/>
        <v>Accepted</v>
      </c>
      <c r="S2620" t="str">
        <f t="shared" si="1063"/>
        <v>Approved</v>
      </c>
      <c r="T2620" t="str">
        <f t="shared" si="1064"/>
        <v>10.20.8.188</v>
      </c>
      <c r="U2620" t="str">
        <f t="shared" si="1065"/>
        <v>AZRAD UMAR BIN SHAARI</v>
      </c>
      <c r="V2620" t="str">
        <f t="shared" si="1066"/>
        <v>FARHANA BINTI MUSTAPA</v>
      </c>
      <c r="W2620" t="str">
        <f t="shared" si="1067"/>
        <v>04-08-2020</v>
      </c>
      <c r="X2620" t="str">
        <f t="shared" si="1068"/>
        <v>RAZIMAH ANSAR AHMAD</v>
      </c>
      <c r="Y2620" t="str">
        <f t="shared" si="1069"/>
        <v>04-08-2020</v>
      </c>
      <c r="Z2620" t="str">
        <f>"COS10200804 6534"</f>
        <v>COS10200804 6534</v>
      </c>
    </row>
    <row r="2621" spans="1:26" x14ac:dyDescent="0.25">
      <c r="A2621" t="str">
        <f t="shared" si="1078"/>
        <v>04-08-2020 01:03:01</v>
      </c>
      <c r="B2621" t="str">
        <f>"0000808327"</f>
        <v>0000808327</v>
      </c>
      <c r="C2621" t="str">
        <f t="shared" si="1079"/>
        <v>0000808194</v>
      </c>
      <c r="D2621" t="str">
        <f t="shared" si="1055"/>
        <v>73185</v>
      </c>
      <c r="E2621" t="str">
        <f t="shared" si="1056"/>
        <v>KFH-OPERATIONS DEPARTMENT</v>
      </c>
      <c r="F2621" t="str">
        <f t="shared" si="1057"/>
        <v>IBG</v>
      </c>
      <c r="G2621" t="str">
        <f t="shared" si="1070"/>
        <v>Refund COSHARE 10</v>
      </c>
      <c r="H2621" s="2">
        <v>285.45</v>
      </c>
      <c r="I2621" t="str">
        <f>"NORHASLIZA BINTI IBRAHIM BASHEER"</f>
        <v>NORHASLIZA BINTI IBRAHIM BASHEER</v>
      </c>
      <c r="J2621" t="str">
        <f t="shared" si="1071"/>
        <v>MAYBANK / MAYBANK ISLAMIC</v>
      </c>
      <c r="K2621" t="str">
        <f>"102055071795"</f>
        <v>102055071795</v>
      </c>
      <c r="L2621" t="str">
        <f t="shared" si="1076"/>
        <v>04-08-2020</v>
      </c>
      <c r="M2621" t="str">
        <f t="shared" si="1076"/>
        <v>04-08-2020</v>
      </c>
      <c r="N2621" t="str">
        <f t="shared" si="1059"/>
        <v>001105018356</v>
      </c>
      <c r="O2621" t="str">
        <f t="shared" si="1060"/>
        <v>MYR</v>
      </c>
      <c r="P2621" t="str">
        <f t="shared" si="1077"/>
        <v>NIL</v>
      </c>
      <c r="Q2621" t="str">
        <f t="shared" si="1077"/>
        <v>NIL</v>
      </c>
      <c r="R2621" t="str">
        <f t="shared" si="1062"/>
        <v>Accepted</v>
      </c>
      <c r="S2621" t="str">
        <f t="shared" si="1063"/>
        <v>Approved</v>
      </c>
      <c r="T2621" t="str">
        <f t="shared" si="1064"/>
        <v>10.20.8.188</v>
      </c>
      <c r="U2621" t="str">
        <f t="shared" si="1065"/>
        <v>AZRAD UMAR BIN SHAARI</v>
      </c>
      <c r="V2621" t="str">
        <f t="shared" si="1066"/>
        <v>FARHANA BINTI MUSTAPA</v>
      </c>
      <c r="W2621" t="str">
        <f t="shared" si="1067"/>
        <v>04-08-2020</v>
      </c>
      <c r="X2621" t="str">
        <f t="shared" si="1068"/>
        <v>RAZIMAH ANSAR AHMAD</v>
      </c>
      <c r="Y2621" t="str">
        <f t="shared" si="1069"/>
        <v>04-08-2020</v>
      </c>
      <c r="Z2621" t="str">
        <f>"COS10200804 6533"</f>
        <v>COS10200804 6533</v>
      </c>
    </row>
    <row r="2622" spans="1:26" x14ac:dyDescent="0.25">
      <c r="A2622" t="str">
        <f t="shared" si="1078"/>
        <v>04-08-2020 01:03:01</v>
      </c>
      <c r="B2622" t="str">
        <f>"0000808326"</f>
        <v>0000808326</v>
      </c>
      <c r="C2622" t="str">
        <f t="shared" si="1079"/>
        <v>0000808194</v>
      </c>
      <c r="D2622" t="str">
        <f t="shared" si="1055"/>
        <v>73185</v>
      </c>
      <c r="E2622" t="str">
        <f t="shared" si="1056"/>
        <v>KFH-OPERATIONS DEPARTMENT</v>
      </c>
      <c r="F2622" t="str">
        <f t="shared" si="1057"/>
        <v>IBG</v>
      </c>
      <c r="G2622" t="str">
        <f t="shared" si="1070"/>
        <v>Refund COSHARE 10</v>
      </c>
      <c r="H2622" s="2">
        <v>354</v>
      </c>
      <c r="I2622" t="str">
        <f>"NORHASLINDA BINTI SALIM"</f>
        <v>NORHASLINDA BINTI SALIM</v>
      </c>
      <c r="J2622" t="str">
        <f t="shared" si="1071"/>
        <v>MAYBANK / MAYBANK ISLAMIC</v>
      </c>
      <c r="K2622" t="str">
        <f>"151025644161"</f>
        <v>151025644161</v>
      </c>
      <c r="L2622" t="str">
        <f t="shared" si="1076"/>
        <v>04-08-2020</v>
      </c>
      <c r="M2622" t="str">
        <f t="shared" si="1076"/>
        <v>04-08-2020</v>
      </c>
      <c r="N2622" t="str">
        <f t="shared" si="1059"/>
        <v>001105018356</v>
      </c>
      <c r="O2622" t="str">
        <f t="shared" si="1060"/>
        <v>MYR</v>
      </c>
      <c r="P2622" t="str">
        <f t="shared" si="1077"/>
        <v>NIL</v>
      </c>
      <c r="Q2622" t="str">
        <f t="shared" si="1077"/>
        <v>NIL</v>
      </c>
      <c r="R2622" t="str">
        <f t="shared" si="1062"/>
        <v>Accepted</v>
      </c>
      <c r="S2622" t="str">
        <f t="shared" si="1063"/>
        <v>Approved</v>
      </c>
      <c r="T2622" t="str">
        <f t="shared" si="1064"/>
        <v>10.20.8.188</v>
      </c>
      <c r="U2622" t="str">
        <f t="shared" si="1065"/>
        <v>AZRAD UMAR BIN SHAARI</v>
      </c>
      <c r="V2622" t="str">
        <f t="shared" si="1066"/>
        <v>FARHANA BINTI MUSTAPA</v>
      </c>
      <c r="W2622" t="str">
        <f t="shared" si="1067"/>
        <v>04-08-2020</v>
      </c>
      <c r="X2622" t="str">
        <f t="shared" si="1068"/>
        <v>RAZIMAH ANSAR AHMAD</v>
      </c>
      <c r="Y2622" t="str">
        <f t="shared" si="1069"/>
        <v>04-08-2020</v>
      </c>
      <c r="Z2622" t="str">
        <f>"COS10200804 6532"</f>
        <v>COS10200804 6532</v>
      </c>
    </row>
    <row r="2623" spans="1:26" x14ac:dyDescent="0.25">
      <c r="A2623" t="str">
        <f t="shared" si="1078"/>
        <v>04-08-2020 01:03:01</v>
      </c>
      <c r="B2623" t="str">
        <f>"0000808325"</f>
        <v>0000808325</v>
      </c>
      <c r="C2623" t="str">
        <f t="shared" si="1079"/>
        <v>0000808194</v>
      </c>
      <c r="D2623" t="str">
        <f t="shared" si="1055"/>
        <v>73185</v>
      </c>
      <c r="E2623" t="str">
        <f t="shared" si="1056"/>
        <v>KFH-OPERATIONS DEPARTMENT</v>
      </c>
      <c r="F2623" t="str">
        <f t="shared" si="1057"/>
        <v>IBG</v>
      </c>
      <c r="G2623" t="str">
        <f t="shared" si="1070"/>
        <v>Refund COSHARE 10</v>
      </c>
      <c r="H2623" s="2">
        <v>58.95</v>
      </c>
      <c r="I2623" t="str">
        <f>"NORHASLINDA BINTI AZIZUZAMAN"</f>
        <v>NORHASLINDA BINTI AZIZUZAMAN</v>
      </c>
      <c r="J2623" t="str">
        <f t="shared" si="1071"/>
        <v>MAYBANK / MAYBANK ISLAMIC</v>
      </c>
      <c r="K2623" t="str">
        <f>"164100214281"</f>
        <v>164100214281</v>
      </c>
      <c r="L2623" t="str">
        <f t="shared" si="1076"/>
        <v>04-08-2020</v>
      </c>
      <c r="M2623" t="str">
        <f t="shared" si="1076"/>
        <v>04-08-2020</v>
      </c>
      <c r="N2623" t="str">
        <f t="shared" si="1059"/>
        <v>001105018356</v>
      </c>
      <c r="O2623" t="str">
        <f t="shared" si="1060"/>
        <v>MYR</v>
      </c>
      <c r="P2623" t="str">
        <f t="shared" si="1077"/>
        <v>NIL</v>
      </c>
      <c r="Q2623" t="str">
        <f t="shared" si="1077"/>
        <v>NIL</v>
      </c>
      <c r="R2623" t="str">
        <f t="shared" si="1062"/>
        <v>Accepted</v>
      </c>
      <c r="S2623" t="str">
        <f t="shared" si="1063"/>
        <v>Approved</v>
      </c>
      <c r="T2623" t="str">
        <f t="shared" si="1064"/>
        <v>10.20.8.188</v>
      </c>
      <c r="U2623" t="str">
        <f t="shared" si="1065"/>
        <v>AZRAD UMAR BIN SHAARI</v>
      </c>
      <c r="V2623" t="str">
        <f t="shared" si="1066"/>
        <v>FARHANA BINTI MUSTAPA</v>
      </c>
      <c r="W2623" t="str">
        <f t="shared" si="1067"/>
        <v>04-08-2020</v>
      </c>
      <c r="X2623" t="str">
        <f t="shared" si="1068"/>
        <v>RAZIMAH ANSAR AHMAD</v>
      </c>
      <c r="Y2623" t="str">
        <f t="shared" si="1069"/>
        <v>04-08-2020</v>
      </c>
      <c r="Z2623" t="str">
        <f>"COS10200804 6531"</f>
        <v>COS10200804 6531</v>
      </c>
    </row>
    <row r="2624" spans="1:26" x14ac:dyDescent="0.25">
      <c r="A2624" t="str">
        <f t="shared" si="1078"/>
        <v>04-08-2020 01:03:01</v>
      </c>
      <c r="B2624" t="str">
        <f>"0000808324"</f>
        <v>0000808324</v>
      </c>
      <c r="C2624" t="str">
        <f t="shared" si="1079"/>
        <v>0000808194</v>
      </c>
      <c r="D2624" t="str">
        <f t="shared" si="1055"/>
        <v>73185</v>
      </c>
      <c r="E2624" t="str">
        <f t="shared" si="1056"/>
        <v>KFH-OPERATIONS DEPARTMENT</v>
      </c>
      <c r="F2624" t="str">
        <f t="shared" si="1057"/>
        <v>IBG</v>
      </c>
      <c r="G2624" t="str">
        <f t="shared" si="1070"/>
        <v>Refund COSHARE 10</v>
      </c>
      <c r="H2624" s="2">
        <v>209.9</v>
      </c>
      <c r="I2624" t="str">
        <f>"NORHASLINDA BINTI ABDUL REJAB"</f>
        <v>NORHASLINDA BINTI ABDUL REJAB</v>
      </c>
      <c r="J2624" t="str">
        <f t="shared" si="1071"/>
        <v>MAYBANK / MAYBANK ISLAMIC</v>
      </c>
      <c r="K2624" t="str">
        <f>"157447027453"</f>
        <v>157447027453</v>
      </c>
      <c r="L2624" t="str">
        <f t="shared" si="1076"/>
        <v>04-08-2020</v>
      </c>
      <c r="M2624" t="str">
        <f t="shared" si="1076"/>
        <v>04-08-2020</v>
      </c>
      <c r="N2624" t="str">
        <f t="shared" si="1059"/>
        <v>001105018356</v>
      </c>
      <c r="O2624" t="str">
        <f t="shared" si="1060"/>
        <v>MYR</v>
      </c>
      <c r="P2624" t="str">
        <f t="shared" si="1077"/>
        <v>NIL</v>
      </c>
      <c r="Q2624" t="str">
        <f t="shared" si="1077"/>
        <v>NIL</v>
      </c>
      <c r="R2624" t="str">
        <f t="shared" si="1062"/>
        <v>Accepted</v>
      </c>
      <c r="S2624" t="str">
        <f t="shared" si="1063"/>
        <v>Approved</v>
      </c>
      <c r="T2624" t="str">
        <f t="shared" si="1064"/>
        <v>10.20.8.188</v>
      </c>
      <c r="U2624" t="str">
        <f t="shared" si="1065"/>
        <v>AZRAD UMAR BIN SHAARI</v>
      </c>
      <c r="V2624" t="str">
        <f t="shared" si="1066"/>
        <v>FARHANA BINTI MUSTAPA</v>
      </c>
      <c r="W2624" t="str">
        <f t="shared" si="1067"/>
        <v>04-08-2020</v>
      </c>
      <c r="X2624" t="str">
        <f t="shared" si="1068"/>
        <v>RAZIMAH ANSAR AHMAD</v>
      </c>
      <c r="Y2624" t="str">
        <f t="shared" si="1069"/>
        <v>04-08-2020</v>
      </c>
      <c r="Z2624" t="str">
        <f>"COS10200804 6530"</f>
        <v>COS10200804 6530</v>
      </c>
    </row>
    <row r="2625" spans="1:26" x14ac:dyDescent="0.25">
      <c r="A2625" t="str">
        <f t="shared" si="1078"/>
        <v>04-08-2020 01:03:01</v>
      </c>
      <c r="B2625" t="str">
        <f>"0000808323"</f>
        <v>0000808323</v>
      </c>
      <c r="C2625" t="str">
        <f t="shared" si="1079"/>
        <v>0000808194</v>
      </c>
      <c r="D2625" t="str">
        <f t="shared" si="1055"/>
        <v>73185</v>
      </c>
      <c r="E2625" t="str">
        <f t="shared" si="1056"/>
        <v>KFH-OPERATIONS DEPARTMENT</v>
      </c>
      <c r="F2625" t="str">
        <f t="shared" si="1057"/>
        <v>IBG</v>
      </c>
      <c r="G2625" t="str">
        <f t="shared" si="1070"/>
        <v>Refund COSHARE 10</v>
      </c>
      <c r="H2625" s="2">
        <v>167.9</v>
      </c>
      <c r="I2625" t="str">
        <f>"NORHASLINA BINTI ZAINUDIN"</f>
        <v>NORHASLINA BINTI ZAINUDIN</v>
      </c>
      <c r="J2625" t="str">
        <f t="shared" si="1071"/>
        <v>MAYBANK / MAYBANK ISLAMIC</v>
      </c>
      <c r="K2625" t="str">
        <f>"164717039677"</f>
        <v>164717039677</v>
      </c>
      <c r="L2625" t="str">
        <f t="shared" si="1076"/>
        <v>04-08-2020</v>
      </c>
      <c r="M2625" t="str">
        <f t="shared" si="1076"/>
        <v>04-08-2020</v>
      </c>
      <c r="N2625" t="str">
        <f t="shared" si="1059"/>
        <v>001105018356</v>
      </c>
      <c r="O2625" t="str">
        <f t="shared" si="1060"/>
        <v>MYR</v>
      </c>
      <c r="P2625" t="str">
        <f t="shared" si="1077"/>
        <v>NIL</v>
      </c>
      <c r="Q2625" t="str">
        <f t="shared" si="1077"/>
        <v>NIL</v>
      </c>
      <c r="R2625" t="str">
        <f t="shared" si="1062"/>
        <v>Accepted</v>
      </c>
      <c r="S2625" t="str">
        <f t="shared" si="1063"/>
        <v>Approved</v>
      </c>
      <c r="T2625" t="str">
        <f t="shared" si="1064"/>
        <v>10.20.8.188</v>
      </c>
      <c r="U2625" t="str">
        <f t="shared" si="1065"/>
        <v>AZRAD UMAR BIN SHAARI</v>
      </c>
      <c r="V2625" t="str">
        <f t="shared" si="1066"/>
        <v>FARHANA BINTI MUSTAPA</v>
      </c>
      <c r="W2625" t="str">
        <f t="shared" si="1067"/>
        <v>04-08-2020</v>
      </c>
      <c r="X2625" t="str">
        <f t="shared" si="1068"/>
        <v>RAZIMAH ANSAR AHMAD</v>
      </c>
      <c r="Y2625" t="str">
        <f t="shared" si="1069"/>
        <v>04-08-2020</v>
      </c>
      <c r="Z2625" t="str">
        <f>"COS10200804 6529"</f>
        <v>COS10200804 6529</v>
      </c>
    </row>
    <row r="2626" spans="1:26" x14ac:dyDescent="0.25">
      <c r="A2626" t="str">
        <f t="shared" si="1078"/>
        <v>04-08-2020 01:03:01</v>
      </c>
      <c r="B2626" t="str">
        <f>"0000808322"</f>
        <v>0000808322</v>
      </c>
      <c r="C2626" t="str">
        <f t="shared" si="1079"/>
        <v>0000808194</v>
      </c>
      <c r="D2626" t="str">
        <f t="shared" si="1055"/>
        <v>73185</v>
      </c>
      <c r="E2626" t="str">
        <f t="shared" si="1056"/>
        <v>KFH-OPERATIONS DEPARTMENT</v>
      </c>
      <c r="F2626" t="str">
        <f t="shared" si="1057"/>
        <v>IBG</v>
      </c>
      <c r="G2626" t="str">
        <f t="shared" si="1070"/>
        <v>Refund COSHARE 10</v>
      </c>
      <c r="H2626" s="2">
        <v>184.7</v>
      </c>
      <c r="I2626" t="str">
        <f>"NORHASLINA BINTI HASHIM"</f>
        <v>NORHASLINA BINTI HASHIM</v>
      </c>
      <c r="J2626" t="str">
        <f t="shared" si="1071"/>
        <v>MAYBANK / MAYBANK ISLAMIC</v>
      </c>
      <c r="K2626" t="str">
        <f>"164155583967"</f>
        <v>164155583967</v>
      </c>
      <c r="L2626" t="str">
        <f t="shared" si="1076"/>
        <v>04-08-2020</v>
      </c>
      <c r="M2626" t="str">
        <f t="shared" si="1076"/>
        <v>04-08-2020</v>
      </c>
      <c r="N2626" t="str">
        <f t="shared" si="1059"/>
        <v>001105018356</v>
      </c>
      <c r="O2626" t="str">
        <f t="shared" si="1060"/>
        <v>MYR</v>
      </c>
      <c r="P2626" t="str">
        <f t="shared" si="1077"/>
        <v>NIL</v>
      </c>
      <c r="Q2626" t="str">
        <f t="shared" si="1077"/>
        <v>NIL</v>
      </c>
      <c r="R2626" t="str">
        <f t="shared" si="1062"/>
        <v>Accepted</v>
      </c>
      <c r="S2626" t="str">
        <f t="shared" si="1063"/>
        <v>Approved</v>
      </c>
      <c r="T2626" t="str">
        <f t="shared" si="1064"/>
        <v>10.20.8.188</v>
      </c>
      <c r="U2626" t="str">
        <f t="shared" si="1065"/>
        <v>AZRAD UMAR BIN SHAARI</v>
      </c>
      <c r="V2626" t="str">
        <f t="shared" si="1066"/>
        <v>FARHANA BINTI MUSTAPA</v>
      </c>
      <c r="W2626" t="str">
        <f t="shared" si="1067"/>
        <v>04-08-2020</v>
      </c>
      <c r="X2626" t="str">
        <f t="shared" si="1068"/>
        <v>RAZIMAH ANSAR AHMAD</v>
      </c>
      <c r="Y2626" t="str">
        <f t="shared" si="1069"/>
        <v>04-08-2020</v>
      </c>
      <c r="Z2626" t="str">
        <f>"COS10200804 6528"</f>
        <v>COS10200804 6528</v>
      </c>
    </row>
    <row r="2627" spans="1:26" x14ac:dyDescent="0.25">
      <c r="A2627" t="str">
        <f t="shared" si="1078"/>
        <v>04-08-2020 01:03:01</v>
      </c>
      <c r="B2627" t="str">
        <f>"0000808321"</f>
        <v>0000808321</v>
      </c>
      <c r="C2627" t="str">
        <f t="shared" si="1079"/>
        <v>0000808194</v>
      </c>
      <c r="D2627" t="str">
        <f t="shared" si="1055"/>
        <v>73185</v>
      </c>
      <c r="E2627" t="str">
        <f t="shared" si="1056"/>
        <v>KFH-OPERATIONS DEPARTMENT</v>
      </c>
      <c r="F2627" t="str">
        <f t="shared" si="1057"/>
        <v>IBG</v>
      </c>
      <c r="G2627" t="str">
        <f t="shared" si="1070"/>
        <v>Refund COSHARE 10</v>
      </c>
      <c r="H2627" s="2">
        <v>83.95</v>
      </c>
      <c r="I2627" t="str">
        <f>"NORHASLINA BINTI AHMAD SHAZALI"</f>
        <v>NORHASLINA BINTI AHMAD SHAZALI</v>
      </c>
      <c r="J2627" t="str">
        <f t="shared" si="1071"/>
        <v>MAYBANK / MAYBANK ISLAMIC</v>
      </c>
      <c r="K2627" t="str">
        <f>"162432933320"</f>
        <v>162432933320</v>
      </c>
      <c r="L2627" t="str">
        <f t="shared" ref="L2627:M2646" si="1080">"04-08-2020"</f>
        <v>04-08-2020</v>
      </c>
      <c r="M2627" t="str">
        <f t="shared" si="1080"/>
        <v>04-08-2020</v>
      </c>
      <c r="N2627" t="str">
        <f t="shared" si="1059"/>
        <v>001105018356</v>
      </c>
      <c r="O2627" t="str">
        <f t="shared" si="1060"/>
        <v>MYR</v>
      </c>
      <c r="P2627" t="str">
        <f t="shared" ref="P2627:Q2646" si="1081">"NIL"</f>
        <v>NIL</v>
      </c>
      <c r="Q2627" t="str">
        <f t="shared" si="1081"/>
        <v>NIL</v>
      </c>
      <c r="R2627" t="str">
        <f t="shared" si="1062"/>
        <v>Accepted</v>
      </c>
      <c r="S2627" t="str">
        <f t="shared" si="1063"/>
        <v>Approved</v>
      </c>
      <c r="T2627" t="str">
        <f t="shared" si="1064"/>
        <v>10.20.8.188</v>
      </c>
      <c r="U2627" t="str">
        <f t="shared" si="1065"/>
        <v>AZRAD UMAR BIN SHAARI</v>
      </c>
      <c r="V2627" t="str">
        <f t="shared" si="1066"/>
        <v>FARHANA BINTI MUSTAPA</v>
      </c>
      <c r="W2627" t="str">
        <f t="shared" si="1067"/>
        <v>04-08-2020</v>
      </c>
      <c r="X2627" t="str">
        <f t="shared" si="1068"/>
        <v>RAZIMAH ANSAR AHMAD</v>
      </c>
      <c r="Y2627" t="str">
        <f t="shared" si="1069"/>
        <v>04-08-2020</v>
      </c>
      <c r="Z2627" t="str">
        <f>"COS10200804 6527"</f>
        <v>COS10200804 6527</v>
      </c>
    </row>
    <row r="2628" spans="1:26" x14ac:dyDescent="0.25">
      <c r="A2628" t="str">
        <f t="shared" si="1078"/>
        <v>04-08-2020 01:03:01</v>
      </c>
      <c r="B2628" t="str">
        <f>"0000808320"</f>
        <v>0000808320</v>
      </c>
      <c r="C2628" t="str">
        <f t="shared" si="1079"/>
        <v>0000808194</v>
      </c>
      <c r="D2628" t="str">
        <f t="shared" si="1055"/>
        <v>73185</v>
      </c>
      <c r="E2628" t="str">
        <f t="shared" si="1056"/>
        <v>KFH-OPERATIONS DEPARTMENT</v>
      </c>
      <c r="F2628" t="str">
        <f t="shared" si="1057"/>
        <v>IBG</v>
      </c>
      <c r="G2628" t="str">
        <f t="shared" si="1070"/>
        <v>Refund COSHARE 10</v>
      </c>
      <c r="H2628" s="2">
        <v>730.4</v>
      </c>
      <c r="I2628" t="str">
        <f>"NORHASHIMAH BINTI ABDULLAH"</f>
        <v>NORHASHIMAH BINTI ABDULLAH</v>
      </c>
      <c r="J2628" t="str">
        <f t="shared" si="1071"/>
        <v>MAYBANK / MAYBANK ISLAMIC</v>
      </c>
      <c r="K2628" t="str">
        <f>"101133170825"</f>
        <v>101133170825</v>
      </c>
      <c r="L2628" t="str">
        <f t="shared" si="1080"/>
        <v>04-08-2020</v>
      </c>
      <c r="M2628" t="str">
        <f t="shared" si="1080"/>
        <v>04-08-2020</v>
      </c>
      <c r="N2628" t="str">
        <f t="shared" si="1059"/>
        <v>001105018356</v>
      </c>
      <c r="O2628" t="str">
        <f t="shared" si="1060"/>
        <v>MYR</v>
      </c>
      <c r="P2628" t="str">
        <f t="shared" si="1081"/>
        <v>NIL</v>
      </c>
      <c r="Q2628" t="str">
        <f t="shared" si="1081"/>
        <v>NIL</v>
      </c>
      <c r="R2628" t="str">
        <f t="shared" si="1062"/>
        <v>Accepted</v>
      </c>
      <c r="S2628" t="str">
        <f t="shared" si="1063"/>
        <v>Approved</v>
      </c>
      <c r="T2628" t="str">
        <f t="shared" si="1064"/>
        <v>10.20.8.188</v>
      </c>
      <c r="U2628" t="str">
        <f t="shared" si="1065"/>
        <v>AZRAD UMAR BIN SHAARI</v>
      </c>
      <c r="V2628" t="str">
        <f t="shared" si="1066"/>
        <v>FARHANA BINTI MUSTAPA</v>
      </c>
      <c r="W2628" t="str">
        <f t="shared" si="1067"/>
        <v>04-08-2020</v>
      </c>
      <c r="X2628" t="str">
        <f t="shared" si="1068"/>
        <v>RAZIMAH ANSAR AHMAD</v>
      </c>
      <c r="Y2628" t="str">
        <f t="shared" si="1069"/>
        <v>04-08-2020</v>
      </c>
      <c r="Z2628" t="str">
        <f>"COS10200804 6526"</f>
        <v>COS10200804 6526</v>
      </c>
    </row>
    <row r="2629" spans="1:26" x14ac:dyDescent="0.25">
      <c r="A2629" t="str">
        <f t="shared" si="1078"/>
        <v>04-08-2020 01:03:01</v>
      </c>
      <c r="B2629" t="str">
        <f>"0000808319"</f>
        <v>0000808319</v>
      </c>
      <c r="C2629" t="str">
        <f t="shared" si="1079"/>
        <v>0000808194</v>
      </c>
      <c r="D2629" t="str">
        <f t="shared" si="1055"/>
        <v>73185</v>
      </c>
      <c r="E2629" t="str">
        <f t="shared" si="1056"/>
        <v>KFH-OPERATIONS DEPARTMENT</v>
      </c>
      <c r="F2629" t="str">
        <f t="shared" si="1057"/>
        <v>IBG</v>
      </c>
      <c r="G2629" t="str">
        <f t="shared" si="1070"/>
        <v>Refund COSHARE 10</v>
      </c>
      <c r="H2629" s="2">
        <v>293.85000000000002</v>
      </c>
      <c r="I2629" t="str">
        <f>"NORHASHIMA BINTI HASSAN"</f>
        <v>NORHASHIMA BINTI HASSAN</v>
      </c>
      <c r="J2629" t="str">
        <f t="shared" si="1071"/>
        <v>MAYBANK / MAYBANK ISLAMIC</v>
      </c>
      <c r="K2629" t="str">
        <f>"153010993246"</f>
        <v>153010993246</v>
      </c>
      <c r="L2629" t="str">
        <f t="shared" si="1080"/>
        <v>04-08-2020</v>
      </c>
      <c r="M2629" t="str">
        <f t="shared" si="1080"/>
        <v>04-08-2020</v>
      </c>
      <c r="N2629" t="str">
        <f t="shared" si="1059"/>
        <v>001105018356</v>
      </c>
      <c r="O2629" t="str">
        <f t="shared" si="1060"/>
        <v>MYR</v>
      </c>
      <c r="P2629" t="str">
        <f t="shared" si="1081"/>
        <v>NIL</v>
      </c>
      <c r="Q2629" t="str">
        <f t="shared" si="1081"/>
        <v>NIL</v>
      </c>
      <c r="R2629" t="str">
        <f t="shared" si="1062"/>
        <v>Accepted</v>
      </c>
      <c r="S2629" t="str">
        <f t="shared" si="1063"/>
        <v>Approved</v>
      </c>
      <c r="T2629" t="str">
        <f t="shared" si="1064"/>
        <v>10.20.8.188</v>
      </c>
      <c r="U2629" t="str">
        <f t="shared" si="1065"/>
        <v>AZRAD UMAR BIN SHAARI</v>
      </c>
      <c r="V2629" t="str">
        <f t="shared" si="1066"/>
        <v>FARHANA BINTI MUSTAPA</v>
      </c>
      <c r="W2629" t="str">
        <f t="shared" si="1067"/>
        <v>04-08-2020</v>
      </c>
      <c r="X2629" t="str">
        <f t="shared" si="1068"/>
        <v>RAZIMAH ANSAR AHMAD</v>
      </c>
      <c r="Y2629" t="str">
        <f t="shared" si="1069"/>
        <v>04-08-2020</v>
      </c>
      <c r="Z2629" t="str">
        <f>"COS10200804 6525"</f>
        <v>COS10200804 6525</v>
      </c>
    </row>
    <row r="2630" spans="1:26" x14ac:dyDescent="0.25">
      <c r="A2630" t="str">
        <f t="shared" si="1078"/>
        <v>04-08-2020 01:03:01</v>
      </c>
      <c r="B2630" t="str">
        <f>"0000808318"</f>
        <v>0000808318</v>
      </c>
      <c r="C2630" t="str">
        <f t="shared" si="1079"/>
        <v>0000808194</v>
      </c>
      <c r="D2630" t="str">
        <f t="shared" si="1055"/>
        <v>73185</v>
      </c>
      <c r="E2630" t="str">
        <f t="shared" si="1056"/>
        <v>KFH-OPERATIONS DEPARTMENT</v>
      </c>
      <c r="F2630" t="str">
        <f t="shared" si="1057"/>
        <v>IBG</v>
      </c>
      <c r="G2630" t="str">
        <f t="shared" si="1070"/>
        <v>Refund COSHARE 10</v>
      </c>
      <c r="H2630" s="2">
        <v>1249.9000000000001</v>
      </c>
      <c r="I2630" t="str">
        <f>"NORHARLIZA BINTI AHMAD SHAHAR"</f>
        <v>NORHARLIZA BINTI AHMAD SHAHAR</v>
      </c>
      <c r="J2630" t="str">
        <f t="shared" si="1071"/>
        <v>MAYBANK / MAYBANK ISLAMIC</v>
      </c>
      <c r="K2630" t="str">
        <f>"158127007176"</f>
        <v>158127007176</v>
      </c>
      <c r="L2630" t="str">
        <f t="shared" si="1080"/>
        <v>04-08-2020</v>
      </c>
      <c r="M2630" t="str">
        <f t="shared" si="1080"/>
        <v>04-08-2020</v>
      </c>
      <c r="N2630" t="str">
        <f t="shared" si="1059"/>
        <v>001105018356</v>
      </c>
      <c r="O2630" t="str">
        <f t="shared" si="1060"/>
        <v>MYR</v>
      </c>
      <c r="P2630" t="str">
        <f t="shared" si="1081"/>
        <v>NIL</v>
      </c>
      <c r="Q2630" t="str">
        <f t="shared" si="1081"/>
        <v>NIL</v>
      </c>
      <c r="R2630" t="str">
        <f t="shared" si="1062"/>
        <v>Accepted</v>
      </c>
      <c r="S2630" t="str">
        <f t="shared" si="1063"/>
        <v>Approved</v>
      </c>
      <c r="T2630" t="str">
        <f t="shared" si="1064"/>
        <v>10.20.8.188</v>
      </c>
      <c r="U2630" t="str">
        <f t="shared" si="1065"/>
        <v>AZRAD UMAR BIN SHAARI</v>
      </c>
      <c r="V2630" t="str">
        <f t="shared" si="1066"/>
        <v>FARHANA BINTI MUSTAPA</v>
      </c>
      <c r="W2630" t="str">
        <f t="shared" si="1067"/>
        <v>04-08-2020</v>
      </c>
      <c r="X2630" t="str">
        <f t="shared" si="1068"/>
        <v>RAZIMAH ANSAR AHMAD</v>
      </c>
      <c r="Y2630" t="str">
        <f t="shared" si="1069"/>
        <v>04-08-2020</v>
      </c>
      <c r="Z2630" t="str">
        <f>"COS10200804 6524"</f>
        <v>COS10200804 6524</v>
      </c>
    </row>
    <row r="2631" spans="1:26" x14ac:dyDescent="0.25">
      <c r="A2631" t="str">
        <f t="shared" si="1078"/>
        <v>04-08-2020 01:03:01</v>
      </c>
      <c r="B2631" t="str">
        <f>"0000808317"</f>
        <v>0000808317</v>
      </c>
      <c r="C2631" t="str">
        <f t="shared" si="1079"/>
        <v>0000808194</v>
      </c>
      <c r="D2631" t="str">
        <f t="shared" ref="D2631:D2694" si="1082">"73185"</f>
        <v>73185</v>
      </c>
      <c r="E2631" t="str">
        <f t="shared" ref="E2631:E2694" si="1083">"KFH-OPERATIONS DEPARTMENT"</f>
        <v>KFH-OPERATIONS DEPARTMENT</v>
      </c>
      <c r="F2631" t="str">
        <f t="shared" ref="F2631:F2694" si="1084">"IBG"</f>
        <v>IBG</v>
      </c>
      <c r="G2631" t="str">
        <f t="shared" si="1070"/>
        <v>Refund COSHARE 10</v>
      </c>
      <c r="H2631" s="2">
        <v>965.45</v>
      </c>
      <c r="I2631" t="str">
        <f>"NORHARIZAN BINTI UDA OSMAN"</f>
        <v>NORHARIZAN BINTI UDA OSMAN</v>
      </c>
      <c r="J2631" t="str">
        <f t="shared" si="1071"/>
        <v>MAYBANK / MAYBANK ISLAMIC</v>
      </c>
      <c r="K2631" t="str">
        <f>"158033169370"</f>
        <v>158033169370</v>
      </c>
      <c r="L2631" t="str">
        <f t="shared" si="1080"/>
        <v>04-08-2020</v>
      </c>
      <c r="M2631" t="str">
        <f t="shared" si="1080"/>
        <v>04-08-2020</v>
      </c>
      <c r="N2631" t="str">
        <f t="shared" ref="N2631:N2694" si="1085">"001105018356"</f>
        <v>001105018356</v>
      </c>
      <c r="O2631" t="str">
        <f t="shared" ref="O2631:O2694" si="1086">"MYR"</f>
        <v>MYR</v>
      </c>
      <c r="P2631" t="str">
        <f t="shared" si="1081"/>
        <v>NIL</v>
      </c>
      <c r="Q2631" t="str">
        <f t="shared" si="1081"/>
        <v>NIL</v>
      </c>
      <c r="R2631" t="str">
        <f t="shared" ref="R2631:R2694" si="1087">"Accepted"</f>
        <v>Accepted</v>
      </c>
      <c r="S2631" t="str">
        <f t="shared" ref="S2631:S2694" si="1088">"Approved"</f>
        <v>Approved</v>
      </c>
      <c r="T2631" t="str">
        <f t="shared" ref="T2631:T2694" si="1089">"10.20.8.188"</f>
        <v>10.20.8.188</v>
      </c>
      <c r="U2631" t="str">
        <f t="shared" ref="U2631:U2694" si="1090">"AZRAD UMAR BIN SHAARI"</f>
        <v>AZRAD UMAR BIN SHAARI</v>
      </c>
      <c r="V2631" t="str">
        <f t="shared" ref="V2631:V2694" si="1091">"FARHANA BINTI MUSTAPA"</f>
        <v>FARHANA BINTI MUSTAPA</v>
      </c>
      <c r="W2631" t="str">
        <f t="shared" ref="W2631:W2694" si="1092">"04-08-2020"</f>
        <v>04-08-2020</v>
      </c>
      <c r="X2631" t="str">
        <f t="shared" ref="X2631:X2694" si="1093">"RAZIMAH ANSAR AHMAD"</f>
        <v>RAZIMAH ANSAR AHMAD</v>
      </c>
      <c r="Y2631" t="str">
        <f t="shared" ref="Y2631:Y2694" si="1094">"04-08-2020"</f>
        <v>04-08-2020</v>
      </c>
      <c r="Z2631" t="str">
        <f>"COS10200804 6523"</f>
        <v>COS10200804 6523</v>
      </c>
    </row>
    <row r="2632" spans="1:26" x14ac:dyDescent="0.25">
      <c r="A2632" t="str">
        <f t="shared" si="1078"/>
        <v>04-08-2020 01:03:01</v>
      </c>
      <c r="B2632" t="str">
        <f>"0000808316"</f>
        <v>0000808316</v>
      </c>
      <c r="C2632" t="str">
        <f t="shared" si="1079"/>
        <v>0000808194</v>
      </c>
      <c r="D2632" t="str">
        <f t="shared" si="1082"/>
        <v>73185</v>
      </c>
      <c r="E2632" t="str">
        <f t="shared" si="1083"/>
        <v>KFH-OPERATIONS DEPARTMENT</v>
      </c>
      <c r="F2632" t="str">
        <f t="shared" si="1084"/>
        <v>IBG</v>
      </c>
      <c r="G2632" t="str">
        <f t="shared" si="1070"/>
        <v>Refund COSHARE 10</v>
      </c>
      <c r="H2632" s="2">
        <v>50.4</v>
      </c>
      <c r="I2632" t="str">
        <f>"NORHAPIZAN BT DOLLAH  MOHD DIN"</f>
        <v>NORHAPIZAN BT DOLLAH  MOHD DIN</v>
      </c>
      <c r="J2632" t="str">
        <f t="shared" si="1071"/>
        <v>MAYBANK / MAYBANK ISLAMIC</v>
      </c>
      <c r="K2632" t="str">
        <f>"163091015711"</f>
        <v>163091015711</v>
      </c>
      <c r="L2632" t="str">
        <f t="shared" si="1080"/>
        <v>04-08-2020</v>
      </c>
      <c r="M2632" t="str">
        <f t="shared" si="1080"/>
        <v>04-08-2020</v>
      </c>
      <c r="N2632" t="str">
        <f t="shared" si="1085"/>
        <v>001105018356</v>
      </c>
      <c r="O2632" t="str">
        <f t="shared" si="1086"/>
        <v>MYR</v>
      </c>
      <c r="P2632" t="str">
        <f t="shared" si="1081"/>
        <v>NIL</v>
      </c>
      <c r="Q2632" t="str">
        <f t="shared" si="1081"/>
        <v>NIL</v>
      </c>
      <c r="R2632" t="str">
        <f t="shared" si="1087"/>
        <v>Accepted</v>
      </c>
      <c r="S2632" t="str">
        <f t="shared" si="1088"/>
        <v>Approved</v>
      </c>
      <c r="T2632" t="str">
        <f t="shared" si="1089"/>
        <v>10.20.8.188</v>
      </c>
      <c r="U2632" t="str">
        <f t="shared" si="1090"/>
        <v>AZRAD UMAR BIN SHAARI</v>
      </c>
      <c r="V2632" t="str">
        <f t="shared" si="1091"/>
        <v>FARHANA BINTI MUSTAPA</v>
      </c>
      <c r="W2632" t="str">
        <f t="shared" si="1092"/>
        <v>04-08-2020</v>
      </c>
      <c r="X2632" t="str">
        <f t="shared" si="1093"/>
        <v>RAZIMAH ANSAR AHMAD</v>
      </c>
      <c r="Y2632" t="str">
        <f t="shared" si="1094"/>
        <v>04-08-2020</v>
      </c>
      <c r="Z2632" t="str">
        <f>"COS10200804 6522"</f>
        <v>COS10200804 6522</v>
      </c>
    </row>
    <row r="2633" spans="1:26" x14ac:dyDescent="0.25">
      <c r="A2633" t="str">
        <f t="shared" si="1078"/>
        <v>04-08-2020 01:03:01</v>
      </c>
      <c r="B2633" t="str">
        <f>"0000808315"</f>
        <v>0000808315</v>
      </c>
      <c r="C2633" t="str">
        <f t="shared" si="1079"/>
        <v>0000808194</v>
      </c>
      <c r="D2633" t="str">
        <f t="shared" si="1082"/>
        <v>73185</v>
      </c>
      <c r="E2633" t="str">
        <f t="shared" si="1083"/>
        <v>KFH-OPERATIONS DEPARTMENT</v>
      </c>
      <c r="F2633" t="str">
        <f t="shared" si="1084"/>
        <v>IBG</v>
      </c>
      <c r="G2633" t="str">
        <f t="shared" si="1070"/>
        <v>Refund COSHARE 10</v>
      </c>
      <c r="H2633" s="2">
        <v>75.599999999999994</v>
      </c>
      <c r="I2633" t="str">
        <f>"NORHANIZAN BINTI HASSAN"</f>
        <v>NORHANIZAN BINTI HASSAN</v>
      </c>
      <c r="J2633" t="str">
        <f t="shared" si="1071"/>
        <v>MAYBANK / MAYBANK ISLAMIC</v>
      </c>
      <c r="K2633" t="str">
        <f>"112147629921"</f>
        <v>112147629921</v>
      </c>
      <c r="L2633" t="str">
        <f t="shared" si="1080"/>
        <v>04-08-2020</v>
      </c>
      <c r="M2633" t="str">
        <f t="shared" si="1080"/>
        <v>04-08-2020</v>
      </c>
      <c r="N2633" t="str">
        <f t="shared" si="1085"/>
        <v>001105018356</v>
      </c>
      <c r="O2633" t="str">
        <f t="shared" si="1086"/>
        <v>MYR</v>
      </c>
      <c r="P2633" t="str">
        <f t="shared" si="1081"/>
        <v>NIL</v>
      </c>
      <c r="Q2633" t="str">
        <f t="shared" si="1081"/>
        <v>NIL</v>
      </c>
      <c r="R2633" t="str">
        <f t="shared" si="1087"/>
        <v>Accepted</v>
      </c>
      <c r="S2633" t="str">
        <f t="shared" si="1088"/>
        <v>Approved</v>
      </c>
      <c r="T2633" t="str">
        <f t="shared" si="1089"/>
        <v>10.20.8.188</v>
      </c>
      <c r="U2633" t="str">
        <f t="shared" si="1090"/>
        <v>AZRAD UMAR BIN SHAARI</v>
      </c>
      <c r="V2633" t="str">
        <f t="shared" si="1091"/>
        <v>FARHANA BINTI MUSTAPA</v>
      </c>
      <c r="W2633" t="str">
        <f t="shared" si="1092"/>
        <v>04-08-2020</v>
      </c>
      <c r="X2633" t="str">
        <f t="shared" si="1093"/>
        <v>RAZIMAH ANSAR AHMAD</v>
      </c>
      <c r="Y2633" t="str">
        <f t="shared" si="1094"/>
        <v>04-08-2020</v>
      </c>
      <c r="Z2633" t="str">
        <f>"COS10200804 6521"</f>
        <v>COS10200804 6521</v>
      </c>
    </row>
    <row r="2634" spans="1:26" x14ac:dyDescent="0.25">
      <c r="A2634" t="str">
        <f t="shared" si="1078"/>
        <v>04-08-2020 01:03:01</v>
      </c>
      <c r="B2634" t="str">
        <f>"0000808314"</f>
        <v>0000808314</v>
      </c>
      <c r="C2634" t="str">
        <f t="shared" si="1079"/>
        <v>0000808194</v>
      </c>
      <c r="D2634" t="str">
        <f t="shared" si="1082"/>
        <v>73185</v>
      </c>
      <c r="E2634" t="str">
        <f t="shared" si="1083"/>
        <v>KFH-OPERATIONS DEPARTMENT</v>
      </c>
      <c r="F2634" t="str">
        <f t="shared" si="1084"/>
        <v>IBG</v>
      </c>
      <c r="G2634" t="str">
        <f t="shared" si="1070"/>
        <v>Refund COSHARE 10</v>
      </c>
      <c r="H2634" s="2">
        <v>755.55</v>
      </c>
      <c r="I2634" t="str">
        <f>"NORHANIS BINTI MOHD NOR"</f>
        <v>NORHANIS BINTI MOHD NOR</v>
      </c>
      <c r="J2634" t="str">
        <f t="shared" si="1071"/>
        <v>MAYBANK / MAYBANK ISLAMIC</v>
      </c>
      <c r="K2634" t="str">
        <f>"113015102262"</f>
        <v>113015102262</v>
      </c>
      <c r="L2634" t="str">
        <f t="shared" si="1080"/>
        <v>04-08-2020</v>
      </c>
      <c r="M2634" t="str">
        <f t="shared" si="1080"/>
        <v>04-08-2020</v>
      </c>
      <c r="N2634" t="str">
        <f t="shared" si="1085"/>
        <v>001105018356</v>
      </c>
      <c r="O2634" t="str">
        <f t="shared" si="1086"/>
        <v>MYR</v>
      </c>
      <c r="P2634" t="str">
        <f t="shared" si="1081"/>
        <v>NIL</v>
      </c>
      <c r="Q2634" t="str">
        <f t="shared" si="1081"/>
        <v>NIL</v>
      </c>
      <c r="R2634" t="str">
        <f t="shared" si="1087"/>
        <v>Accepted</v>
      </c>
      <c r="S2634" t="str">
        <f t="shared" si="1088"/>
        <v>Approved</v>
      </c>
      <c r="T2634" t="str">
        <f t="shared" si="1089"/>
        <v>10.20.8.188</v>
      </c>
      <c r="U2634" t="str">
        <f t="shared" si="1090"/>
        <v>AZRAD UMAR BIN SHAARI</v>
      </c>
      <c r="V2634" t="str">
        <f t="shared" si="1091"/>
        <v>FARHANA BINTI MUSTAPA</v>
      </c>
      <c r="W2634" t="str">
        <f t="shared" si="1092"/>
        <v>04-08-2020</v>
      </c>
      <c r="X2634" t="str">
        <f t="shared" si="1093"/>
        <v>RAZIMAH ANSAR AHMAD</v>
      </c>
      <c r="Y2634" t="str">
        <f t="shared" si="1094"/>
        <v>04-08-2020</v>
      </c>
      <c r="Z2634" t="str">
        <f>"COS10200804 6520"</f>
        <v>COS10200804 6520</v>
      </c>
    </row>
    <row r="2635" spans="1:26" x14ac:dyDescent="0.25">
      <c r="A2635" t="str">
        <f t="shared" si="1078"/>
        <v>04-08-2020 01:03:01</v>
      </c>
      <c r="B2635" t="str">
        <f>"0000808313"</f>
        <v>0000808313</v>
      </c>
      <c r="C2635" t="str">
        <f t="shared" si="1079"/>
        <v>0000808194</v>
      </c>
      <c r="D2635" t="str">
        <f t="shared" si="1082"/>
        <v>73185</v>
      </c>
      <c r="E2635" t="str">
        <f t="shared" si="1083"/>
        <v>KFH-OPERATIONS DEPARTMENT</v>
      </c>
      <c r="F2635" t="str">
        <f t="shared" si="1084"/>
        <v>IBG</v>
      </c>
      <c r="G2635" t="str">
        <f t="shared" si="1070"/>
        <v>Refund COSHARE 10</v>
      </c>
      <c r="H2635" s="2">
        <v>1099.75</v>
      </c>
      <c r="I2635" t="str">
        <f>"NORHANIMUSLIATUN BINTI ABU BAKAR"</f>
        <v>NORHANIMUSLIATUN BINTI ABU BAKAR</v>
      </c>
      <c r="J2635" t="str">
        <f t="shared" si="1071"/>
        <v>MAYBANK / MAYBANK ISLAMIC</v>
      </c>
      <c r="K2635" t="str">
        <f>"151306671844"</f>
        <v>151306671844</v>
      </c>
      <c r="L2635" t="str">
        <f t="shared" si="1080"/>
        <v>04-08-2020</v>
      </c>
      <c r="M2635" t="str">
        <f t="shared" si="1080"/>
        <v>04-08-2020</v>
      </c>
      <c r="N2635" t="str">
        <f t="shared" si="1085"/>
        <v>001105018356</v>
      </c>
      <c r="O2635" t="str">
        <f t="shared" si="1086"/>
        <v>MYR</v>
      </c>
      <c r="P2635" t="str">
        <f t="shared" si="1081"/>
        <v>NIL</v>
      </c>
      <c r="Q2635" t="str">
        <f t="shared" si="1081"/>
        <v>NIL</v>
      </c>
      <c r="R2635" t="str">
        <f t="shared" si="1087"/>
        <v>Accepted</v>
      </c>
      <c r="S2635" t="str">
        <f t="shared" si="1088"/>
        <v>Approved</v>
      </c>
      <c r="T2635" t="str">
        <f t="shared" si="1089"/>
        <v>10.20.8.188</v>
      </c>
      <c r="U2635" t="str">
        <f t="shared" si="1090"/>
        <v>AZRAD UMAR BIN SHAARI</v>
      </c>
      <c r="V2635" t="str">
        <f t="shared" si="1091"/>
        <v>FARHANA BINTI MUSTAPA</v>
      </c>
      <c r="W2635" t="str">
        <f t="shared" si="1092"/>
        <v>04-08-2020</v>
      </c>
      <c r="X2635" t="str">
        <f t="shared" si="1093"/>
        <v>RAZIMAH ANSAR AHMAD</v>
      </c>
      <c r="Y2635" t="str">
        <f t="shared" si="1094"/>
        <v>04-08-2020</v>
      </c>
      <c r="Z2635" t="str">
        <f>"COS10200804 6519"</f>
        <v>COS10200804 6519</v>
      </c>
    </row>
    <row r="2636" spans="1:26" x14ac:dyDescent="0.25">
      <c r="A2636" t="str">
        <f t="shared" si="1078"/>
        <v>04-08-2020 01:03:01</v>
      </c>
      <c r="B2636" t="str">
        <f>"0000808312"</f>
        <v>0000808312</v>
      </c>
      <c r="C2636" t="str">
        <f t="shared" si="1079"/>
        <v>0000808194</v>
      </c>
      <c r="D2636" t="str">
        <f t="shared" si="1082"/>
        <v>73185</v>
      </c>
      <c r="E2636" t="str">
        <f t="shared" si="1083"/>
        <v>KFH-OPERATIONS DEPARTMENT</v>
      </c>
      <c r="F2636" t="str">
        <f t="shared" si="1084"/>
        <v>IBG</v>
      </c>
      <c r="G2636" t="str">
        <f t="shared" ref="G2636:G2699" si="1095">"Refund COSHARE 10"</f>
        <v>Refund COSHARE 10</v>
      </c>
      <c r="H2636" s="2">
        <v>304</v>
      </c>
      <c r="I2636" t="str">
        <f>"NORHANIM BINTI MD ZAKARIA"</f>
        <v>NORHANIM BINTI MD ZAKARIA</v>
      </c>
      <c r="J2636" t="str">
        <f t="shared" si="1071"/>
        <v>MAYBANK / MAYBANK ISLAMIC</v>
      </c>
      <c r="K2636" t="str">
        <f>"164017149786"</f>
        <v>164017149786</v>
      </c>
      <c r="L2636" t="str">
        <f t="shared" si="1080"/>
        <v>04-08-2020</v>
      </c>
      <c r="M2636" t="str">
        <f t="shared" si="1080"/>
        <v>04-08-2020</v>
      </c>
      <c r="N2636" t="str">
        <f t="shared" si="1085"/>
        <v>001105018356</v>
      </c>
      <c r="O2636" t="str">
        <f t="shared" si="1086"/>
        <v>MYR</v>
      </c>
      <c r="P2636" t="str">
        <f t="shared" si="1081"/>
        <v>NIL</v>
      </c>
      <c r="Q2636" t="str">
        <f t="shared" si="1081"/>
        <v>NIL</v>
      </c>
      <c r="R2636" t="str">
        <f t="shared" si="1087"/>
        <v>Accepted</v>
      </c>
      <c r="S2636" t="str">
        <f t="shared" si="1088"/>
        <v>Approved</v>
      </c>
      <c r="T2636" t="str">
        <f t="shared" si="1089"/>
        <v>10.20.8.188</v>
      </c>
      <c r="U2636" t="str">
        <f t="shared" si="1090"/>
        <v>AZRAD UMAR BIN SHAARI</v>
      </c>
      <c r="V2636" t="str">
        <f t="shared" si="1091"/>
        <v>FARHANA BINTI MUSTAPA</v>
      </c>
      <c r="W2636" t="str">
        <f t="shared" si="1092"/>
        <v>04-08-2020</v>
      </c>
      <c r="X2636" t="str">
        <f t="shared" si="1093"/>
        <v>RAZIMAH ANSAR AHMAD</v>
      </c>
      <c r="Y2636" t="str">
        <f t="shared" si="1094"/>
        <v>04-08-2020</v>
      </c>
      <c r="Z2636" t="str">
        <f>"COS10200804 6518"</f>
        <v>COS10200804 6518</v>
      </c>
    </row>
    <row r="2637" spans="1:26" x14ac:dyDescent="0.25">
      <c r="A2637" t="str">
        <f t="shared" si="1078"/>
        <v>04-08-2020 01:03:01</v>
      </c>
      <c r="B2637" t="str">
        <f>"0000808311"</f>
        <v>0000808311</v>
      </c>
      <c r="C2637" t="str">
        <f t="shared" si="1079"/>
        <v>0000808194</v>
      </c>
      <c r="D2637" t="str">
        <f t="shared" si="1082"/>
        <v>73185</v>
      </c>
      <c r="E2637" t="str">
        <f t="shared" si="1083"/>
        <v>KFH-OPERATIONS DEPARTMENT</v>
      </c>
      <c r="F2637" t="str">
        <f t="shared" si="1084"/>
        <v>IBG</v>
      </c>
      <c r="G2637" t="str">
        <f t="shared" si="1095"/>
        <v>Refund COSHARE 10</v>
      </c>
      <c r="H2637" s="2">
        <v>251.85</v>
      </c>
      <c r="I2637" t="str">
        <f>"NORHANA BINTI SAFRI"</f>
        <v>NORHANA BINTI SAFRI</v>
      </c>
      <c r="J2637" t="str">
        <f t="shared" si="1071"/>
        <v>MAYBANK / MAYBANK ISLAMIC</v>
      </c>
      <c r="K2637" t="str">
        <f>"106062020095"</f>
        <v>106062020095</v>
      </c>
      <c r="L2637" t="str">
        <f t="shared" si="1080"/>
        <v>04-08-2020</v>
      </c>
      <c r="M2637" t="str">
        <f t="shared" si="1080"/>
        <v>04-08-2020</v>
      </c>
      <c r="N2637" t="str">
        <f t="shared" si="1085"/>
        <v>001105018356</v>
      </c>
      <c r="O2637" t="str">
        <f t="shared" si="1086"/>
        <v>MYR</v>
      </c>
      <c r="P2637" t="str">
        <f t="shared" si="1081"/>
        <v>NIL</v>
      </c>
      <c r="Q2637" t="str">
        <f t="shared" si="1081"/>
        <v>NIL</v>
      </c>
      <c r="R2637" t="str">
        <f t="shared" si="1087"/>
        <v>Accepted</v>
      </c>
      <c r="S2637" t="str">
        <f t="shared" si="1088"/>
        <v>Approved</v>
      </c>
      <c r="T2637" t="str">
        <f t="shared" si="1089"/>
        <v>10.20.8.188</v>
      </c>
      <c r="U2637" t="str">
        <f t="shared" si="1090"/>
        <v>AZRAD UMAR BIN SHAARI</v>
      </c>
      <c r="V2637" t="str">
        <f t="shared" si="1091"/>
        <v>FARHANA BINTI MUSTAPA</v>
      </c>
      <c r="W2637" t="str">
        <f t="shared" si="1092"/>
        <v>04-08-2020</v>
      </c>
      <c r="X2637" t="str">
        <f t="shared" si="1093"/>
        <v>RAZIMAH ANSAR AHMAD</v>
      </c>
      <c r="Y2637" t="str">
        <f t="shared" si="1094"/>
        <v>04-08-2020</v>
      </c>
      <c r="Z2637" t="str">
        <f>"COS10200804 6517"</f>
        <v>COS10200804 6517</v>
      </c>
    </row>
    <row r="2638" spans="1:26" x14ac:dyDescent="0.25">
      <c r="A2638" t="str">
        <f t="shared" si="1078"/>
        <v>04-08-2020 01:03:01</v>
      </c>
      <c r="B2638" t="str">
        <f>"0000808310"</f>
        <v>0000808310</v>
      </c>
      <c r="C2638" t="str">
        <f t="shared" si="1079"/>
        <v>0000808194</v>
      </c>
      <c r="D2638" t="str">
        <f t="shared" si="1082"/>
        <v>73185</v>
      </c>
      <c r="E2638" t="str">
        <f t="shared" si="1083"/>
        <v>KFH-OPERATIONS DEPARTMENT</v>
      </c>
      <c r="F2638" t="str">
        <f t="shared" si="1084"/>
        <v>IBG</v>
      </c>
      <c r="G2638" t="str">
        <f t="shared" si="1095"/>
        <v>Refund COSHARE 10</v>
      </c>
      <c r="H2638" s="2">
        <v>294</v>
      </c>
      <c r="I2638" t="str">
        <f>"NORHANA BINTI SABUDIN"</f>
        <v>NORHANA BINTI SABUDIN</v>
      </c>
      <c r="J2638" t="str">
        <f t="shared" si="1071"/>
        <v>MAYBANK / MAYBANK ISLAMIC</v>
      </c>
      <c r="K2638" t="str">
        <f>"165125210408"</f>
        <v>165125210408</v>
      </c>
      <c r="L2638" t="str">
        <f t="shared" si="1080"/>
        <v>04-08-2020</v>
      </c>
      <c r="M2638" t="str">
        <f t="shared" si="1080"/>
        <v>04-08-2020</v>
      </c>
      <c r="N2638" t="str">
        <f t="shared" si="1085"/>
        <v>001105018356</v>
      </c>
      <c r="O2638" t="str">
        <f t="shared" si="1086"/>
        <v>MYR</v>
      </c>
      <c r="P2638" t="str">
        <f t="shared" si="1081"/>
        <v>NIL</v>
      </c>
      <c r="Q2638" t="str">
        <f t="shared" si="1081"/>
        <v>NIL</v>
      </c>
      <c r="R2638" t="str">
        <f t="shared" si="1087"/>
        <v>Accepted</v>
      </c>
      <c r="S2638" t="str">
        <f t="shared" si="1088"/>
        <v>Approved</v>
      </c>
      <c r="T2638" t="str">
        <f t="shared" si="1089"/>
        <v>10.20.8.188</v>
      </c>
      <c r="U2638" t="str">
        <f t="shared" si="1090"/>
        <v>AZRAD UMAR BIN SHAARI</v>
      </c>
      <c r="V2638" t="str">
        <f t="shared" si="1091"/>
        <v>FARHANA BINTI MUSTAPA</v>
      </c>
      <c r="W2638" t="str">
        <f t="shared" si="1092"/>
        <v>04-08-2020</v>
      </c>
      <c r="X2638" t="str">
        <f t="shared" si="1093"/>
        <v>RAZIMAH ANSAR AHMAD</v>
      </c>
      <c r="Y2638" t="str">
        <f t="shared" si="1094"/>
        <v>04-08-2020</v>
      </c>
      <c r="Z2638" t="str">
        <f>"COS10200804 6516"</f>
        <v>COS10200804 6516</v>
      </c>
    </row>
    <row r="2639" spans="1:26" x14ac:dyDescent="0.25">
      <c r="A2639" t="str">
        <f t="shared" si="1078"/>
        <v>04-08-2020 01:03:01</v>
      </c>
      <c r="B2639" t="str">
        <f>"0000808309"</f>
        <v>0000808309</v>
      </c>
      <c r="C2639" t="str">
        <f t="shared" si="1079"/>
        <v>0000808194</v>
      </c>
      <c r="D2639" t="str">
        <f t="shared" si="1082"/>
        <v>73185</v>
      </c>
      <c r="E2639" t="str">
        <f t="shared" si="1083"/>
        <v>KFH-OPERATIONS DEPARTMENT</v>
      </c>
      <c r="F2639" t="str">
        <f t="shared" si="1084"/>
        <v>IBG</v>
      </c>
      <c r="G2639" t="str">
        <f t="shared" si="1095"/>
        <v>Refund COSHARE 10</v>
      </c>
      <c r="H2639" s="2">
        <v>293.85000000000002</v>
      </c>
      <c r="I2639" t="str">
        <f>"NORHALIMAHTUSAADIAH BINTI OTHMAN"</f>
        <v>NORHALIMAHTUSAADIAH BINTI OTHMAN</v>
      </c>
      <c r="J2639" t="str">
        <f t="shared" si="1071"/>
        <v>MAYBANK / MAYBANK ISLAMIC</v>
      </c>
      <c r="K2639" t="str">
        <f>"151258396804"</f>
        <v>151258396804</v>
      </c>
      <c r="L2639" t="str">
        <f t="shared" si="1080"/>
        <v>04-08-2020</v>
      </c>
      <c r="M2639" t="str">
        <f t="shared" si="1080"/>
        <v>04-08-2020</v>
      </c>
      <c r="N2639" t="str">
        <f t="shared" si="1085"/>
        <v>001105018356</v>
      </c>
      <c r="O2639" t="str">
        <f t="shared" si="1086"/>
        <v>MYR</v>
      </c>
      <c r="P2639" t="str">
        <f t="shared" si="1081"/>
        <v>NIL</v>
      </c>
      <c r="Q2639" t="str">
        <f t="shared" si="1081"/>
        <v>NIL</v>
      </c>
      <c r="R2639" t="str">
        <f t="shared" si="1087"/>
        <v>Accepted</v>
      </c>
      <c r="S2639" t="str">
        <f t="shared" si="1088"/>
        <v>Approved</v>
      </c>
      <c r="T2639" t="str">
        <f t="shared" si="1089"/>
        <v>10.20.8.188</v>
      </c>
      <c r="U2639" t="str">
        <f t="shared" si="1090"/>
        <v>AZRAD UMAR BIN SHAARI</v>
      </c>
      <c r="V2639" t="str">
        <f t="shared" si="1091"/>
        <v>FARHANA BINTI MUSTAPA</v>
      </c>
      <c r="W2639" t="str">
        <f t="shared" si="1092"/>
        <v>04-08-2020</v>
      </c>
      <c r="X2639" t="str">
        <f t="shared" si="1093"/>
        <v>RAZIMAH ANSAR AHMAD</v>
      </c>
      <c r="Y2639" t="str">
        <f t="shared" si="1094"/>
        <v>04-08-2020</v>
      </c>
      <c r="Z2639" t="str">
        <f>"COS10200804 6515"</f>
        <v>COS10200804 6515</v>
      </c>
    </row>
    <row r="2640" spans="1:26" x14ac:dyDescent="0.25">
      <c r="A2640" t="str">
        <f t="shared" si="1078"/>
        <v>04-08-2020 01:03:01</v>
      </c>
      <c r="B2640" t="str">
        <f>"0000808308"</f>
        <v>0000808308</v>
      </c>
      <c r="C2640" t="str">
        <f t="shared" si="1079"/>
        <v>0000808194</v>
      </c>
      <c r="D2640" t="str">
        <f t="shared" si="1082"/>
        <v>73185</v>
      </c>
      <c r="E2640" t="str">
        <f t="shared" si="1083"/>
        <v>KFH-OPERATIONS DEPARTMENT</v>
      </c>
      <c r="F2640" t="str">
        <f t="shared" si="1084"/>
        <v>IBG</v>
      </c>
      <c r="G2640" t="str">
        <f t="shared" si="1095"/>
        <v>Refund COSHARE 10</v>
      </c>
      <c r="H2640" s="2">
        <v>190</v>
      </c>
      <c r="I2640" t="str">
        <f>"NORHALIDA AMILEE BINTI ZAINAL ABIDIN"</f>
        <v>NORHALIDA AMILEE BINTI ZAINAL ABIDIN</v>
      </c>
      <c r="J2640" t="str">
        <f t="shared" si="1071"/>
        <v>MAYBANK / MAYBANK ISLAMIC</v>
      </c>
      <c r="K2640" t="str">
        <f>"151146627550"</f>
        <v>151146627550</v>
      </c>
      <c r="L2640" t="str">
        <f t="shared" si="1080"/>
        <v>04-08-2020</v>
      </c>
      <c r="M2640" t="str">
        <f t="shared" si="1080"/>
        <v>04-08-2020</v>
      </c>
      <c r="N2640" t="str">
        <f t="shared" si="1085"/>
        <v>001105018356</v>
      </c>
      <c r="O2640" t="str">
        <f t="shared" si="1086"/>
        <v>MYR</v>
      </c>
      <c r="P2640" t="str">
        <f t="shared" si="1081"/>
        <v>NIL</v>
      </c>
      <c r="Q2640" t="str">
        <f t="shared" si="1081"/>
        <v>NIL</v>
      </c>
      <c r="R2640" t="str">
        <f t="shared" si="1087"/>
        <v>Accepted</v>
      </c>
      <c r="S2640" t="str">
        <f t="shared" si="1088"/>
        <v>Approved</v>
      </c>
      <c r="T2640" t="str">
        <f t="shared" si="1089"/>
        <v>10.20.8.188</v>
      </c>
      <c r="U2640" t="str">
        <f t="shared" si="1090"/>
        <v>AZRAD UMAR BIN SHAARI</v>
      </c>
      <c r="V2640" t="str">
        <f t="shared" si="1091"/>
        <v>FARHANA BINTI MUSTAPA</v>
      </c>
      <c r="W2640" t="str">
        <f t="shared" si="1092"/>
        <v>04-08-2020</v>
      </c>
      <c r="X2640" t="str">
        <f t="shared" si="1093"/>
        <v>RAZIMAH ANSAR AHMAD</v>
      </c>
      <c r="Y2640" t="str">
        <f t="shared" si="1094"/>
        <v>04-08-2020</v>
      </c>
      <c r="Z2640" t="str">
        <f>"COS10200804 6514"</f>
        <v>COS10200804 6514</v>
      </c>
    </row>
    <row r="2641" spans="1:26" x14ac:dyDescent="0.25">
      <c r="A2641" t="str">
        <f t="shared" si="1078"/>
        <v>04-08-2020 01:03:01</v>
      </c>
      <c r="B2641" t="str">
        <f>"0000808307"</f>
        <v>0000808307</v>
      </c>
      <c r="C2641" t="str">
        <f t="shared" si="1079"/>
        <v>0000808194</v>
      </c>
      <c r="D2641" t="str">
        <f t="shared" si="1082"/>
        <v>73185</v>
      </c>
      <c r="E2641" t="str">
        <f t="shared" si="1083"/>
        <v>KFH-OPERATIONS DEPARTMENT</v>
      </c>
      <c r="F2641" t="str">
        <f t="shared" si="1084"/>
        <v>IBG</v>
      </c>
      <c r="G2641" t="str">
        <f t="shared" si="1095"/>
        <v>Refund COSHARE 10</v>
      </c>
      <c r="H2641" s="2">
        <v>50.4</v>
      </c>
      <c r="I2641" t="str">
        <f>"NORHAIZAN BT MOHD AMDAN"</f>
        <v>NORHAIZAN BT MOHD AMDAN</v>
      </c>
      <c r="J2641" t="str">
        <f t="shared" ref="J2641:J2704" si="1096">"MAYBANK / MAYBANK ISLAMIC"</f>
        <v>MAYBANK / MAYBANK ISLAMIC</v>
      </c>
      <c r="K2641" t="str">
        <f>"106110016250"</f>
        <v>106110016250</v>
      </c>
      <c r="L2641" t="str">
        <f t="shared" si="1080"/>
        <v>04-08-2020</v>
      </c>
      <c r="M2641" t="str">
        <f t="shared" si="1080"/>
        <v>04-08-2020</v>
      </c>
      <c r="N2641" t="str">
        <f t="shared" si="1085"/>
        <v>001105018356</v>
      </c>
      <c r="O2641" t="str">
        <f t="shared" si="1086"/>
        <v>MYR</v>
      </c>
      <c r="P2641" t="str">
        <f t="shared" si="1081"/>
        <v>NIL</v>
      </c>
      <c r="Q2641" t="str">
        <f t="shared" si="1081"/>
        <v>NIL</v>
      </c>
      <c r="R2641" t="str">
        <f t="shared" si="1087"/>
        <v>Accepted</v>
      </c>
      <c r="S2641" t="str">
        <f t="shared" si="1088"/>
        <v>Approved</v>
      </c>
      <c r="T2641" t="str">
        <f t="shared" si="1089"/>
        <v>10.20.8.188</v>
      </c>
      <c r="U2641" t="str">
        <f t="shared" si="1090"/>
        <v>AZRAD UMAR BIN SHAARI</v>
      </c>
      <c r="V2641" t="str">
        <f t="shared" si="1091"/>
        <v>FARHANA BINTI MUSTAPA</v>
      </c>
      <c r="W2641" t="str">
        <f t="shared" si="1092"/>
        <v>04-08-2020</v>
      </c>
      <c r="X2641" t="str">
        <f t="shared" si="1093"/>
        <v>RAZIMAH ANSAR AHMAD</v>
      </c>
      <c r="Y2641" t="str">
        <f t="shared" si="1094"/>
        <v>04-08-2020</v>
      </c>
      <c r="Z2641" t="str">
        <f>"COS10200804 6513"</f>
        <v>COS10200804 6513</v>
      </c>
    </row>
    <row r="2642" spans="1:26" x14ac:dyDescent="0.25">
      <c r="A2642" t="str">
        <f t="shared" si="1078"/>
        <v>04-08-2020 01:03:01</v>
      </c>
      <c r="B2642" t="str">
        <f>"0000808306"</f>
        <v>0000808306</v>
      </c>
      <c r="C2642" t="str">
        <f t="shared" si="1079"/>
        <v>0000808194</v>
      </c>
      <c r="D2642" t="str">
        <f t="shared" si="1082"/>
        <v>73185</v>
      </c>
      <c r="E2642" t="str">
        <f t="shared" si="1083"/>
        <v>KFH-OPERATIONS DEPARTMENT</v>
      </c>
      <c r="F2642" t="str">
        <f t="shared" si="1084"/>
        <v>IBG</v>
      </c>
      <c r="G2642" t="str">
        <f t="shared" si="1095"/>
        <v>Refund COSHARE 10</v>
      </c>
      <c r="H2642" s="2">
        <v>629.65</v>
      </c>
      <c r="I2642" t="str">
        <f>"NORHAIZA BINTI ZULKEPLI"</f>
        <v>NORHAIZA BINTI ZULKEPLI</v>
      </c>
      <c r="J2642" t="str">
        <f t="shared" si="1096"/>
        <v>MAYBANK / MAYBANK ISLAMIC</v>
      </c>
      <c r="K2642" t="str">
        <f>"158118035222"</f>
        <v>158118035222</v>
      </c>
      <c r="L2642" t="str">
        <f t="shared" si="1080"/>
        <v>04-08-2020</v>
      </c>
      <c r="M2642" t="str">
        <f t="shared" si="1080"/>
        <v>04-08-2020</v>
      </c>
      <c r="N2642" t="str">
        <f t="shared" si="1085"/>
        <v>001105018356</v>
      </c>
      <c r="O2642" t="str">
        <f t="shared" si="1086"/>
        <v>MYR</v>
      </c>
      <c r="P2642" t="str">
        <f t="shared" si="1081"/>
        <v>NIL</v>
      </c>
      <c r="Q2642" t="str">
        <f t="shared" si="1081"/>
        <v>NIL</v>
      </c>
      <c r="R2642" t="str">
        <f t="shared" si="1087"/>
        <v>Accepted</v>
      </c>
      <c r="S2642" t="str">
        <f t="shared" si="1088"/>
        <v>Approved</v>
      </c>
      <c r="T2642" t="str">
        <f t="shared" si="1089"/>
        <v>10.20.8.188</v>
      </c>
      <c r="U2642" t="str">
        <f t="shared" si="1090"/>
        <v>AZRAD UMAR BIN SHAARI</v>
      </c>
      <c r="V2642" t="str">
        <f t="shared" si="1091"/>
        <v>FARHANA BINTI MUSTAPA</v>
      </c>
      <c r="W2642" t="str">
        <f t="shared" si="1092"/>
        <v>04-08-2020</v>
      </c>
      <c r="X2642" t="str">
        <f t="shared" si="1093"/>
        <v>RAZIMAH ANSAR AHMAD</v>
      </c>
      <c r="Y2642" t="str">
        <f t="shared" si="1094"/>
        <v>04-08-2020</v>
      </c>
      <c r="Z2642" t="str">
        <f>"COS10200804 6512"</f>
        <v>COS10200804 6512</v>
      </c>
    </row>
    <row r="2643" spans="1:26" x14ac:dyDescent="0.25">
      <c r="A2643" t="str">
        <f t="shared" si="1078"/>
        <v>04-08-2020 01:03:01</v>
      </c>
      <c r="B2643" t="str">
        <f>"0000808305"</f>
        <v>0000808305</v>
      </c>
      <c r="C2643" t="str">
        <f t="shared" si="1079"/>
        <v>0000808194</v>
      </c>
      <c r="D2643" t="str">
        <f t="shared" si="1082"/>
        <v>73185</v>
      </c>
      <c r="E2643" t="str">
        <f t="shared" si="1083"/>
        <v>KFH-OPERATIONS DEPARTMENT</v>
      </c>
      <c r="F2643" t="str">
        <f t="shared" si="1084"/>
        <v>IBG</v>
      </c>
      <c r="G2643" t="str">
        <f t="shared" si="1095"/>
        <v>Refund COSHARE 10</v>
      </c>
      <c r="H2643" s="2">
        <v>384.3</v>
      </c>
      <c r="I2643" t="str">
        <f>"NORHAIZA BINTI HAMZAH"</f>
        <v>NORHAIZA BINTI HAMZAH</v>
      </c>
      <c r="J2643" t="str">
        <f t="shared" si="1096"/>
        <v>MAYBANK / MAYBANK ISLAMIC</v>
      </c>
      <c r="K2643" t="str">
        <f>"164137421222"</f>
        <v>164137421222</v>
      </c>
      <c r="L2643" t="str">
        <f t="shared" si="1080"/>
        <v>04-08-2020</v>
      </c>
      <c r="M2643" t="str">
        <f t="shared" si="1080"/>
        <v>04-08-2020</v>
      </c>
      <c r="N2643" t="str">
        <f t="shared" si="1085"/>
        <v>001105018356</v>
      </c>
      <c r="O2643" t="str">
        <f t="shared" si="1086"/>
        <v>MYR</v>
      </c>
      <c r="P2643" t="str">
        <f t="shared" si="1081"/>
        <v>NIL</v>
      </c>
      <c r="Q2643" t="str">
        <f t="shared" si="1081"/>
        <v>NIL</v>
      </c>
      <c r="R2643" t="str">
        <f t="shared" si="1087"/>
        <v>Accepted</v>
      </c>
      <c r="S2643" t="str">
        <f t="shared" si="1088"/>
        <v>Approved</v>
      </c>
      <c r="T2643" t="str">
        <f t="shared" si="1089"/>
        <v>10.20.8.188</v>
      </c>
      <c r="U2643" t="str">
        <f t="shared" si="1090"/>
        <v>AZRAD UMAR BIN SHAARI</v>
      </c>
      <c r="V2643" t="str">
        <f t="shared" si="1091"/>
        <v>FARHANA BINTI MUSTAPA</v>
      </c>
      <c r="W2643" t="str">
        <f t="shared" si="1092"/>
        <v>04-08-2020</v>
      </c>
      <c r="X2643" t="str">
        <f t="shared" si="1093"/>
        <v>RAZIMAH ANSAR AHMAD</v>
      </c>
      <c r="Y2643" t="str">
        <f t="shared" si="1094"/>
        <v>04-08-2020</v>
      </c>
      <c r="Z2643" t="str">
        <f>"COS10200804 6511"</f>
        <v>COS10200804 6511</v>
      </c>
    </row>
    <row r="2644" spans="1:26" x14ac:dyDescent="0.25">
      <c r="A2644" t="str">
        <f t="shared" si="1078"/>
        <v>04-08-2020 01:03:01</v>
      </c>
      <c r="B2644" t="str">
        <f>"0000808304"</f>
        <v>0000808304</v>
      </c>
      <c r="C2644" t="str">
        <f t="shared" si="1079"/>
        <v>0000808194</v>
      </c>
      <c r="D2644" t="str">
        <f t="shared" si="1082"/>
        <v>73185</v>
      </c>
      <c r="E2644" t="str">
        <f t="shared" si="1083"/>
        <v>KFH-OPERATIONS DEPARTMENT</v>
      </c>
      <c r="F2644" t="str">
        <f t="shared" si="1084"/>
        <v>IBG</v>
      </c>
      <c r="G2644" t="str">
        <f t="shared" si="1095"/>
        <v>Refund COSHARE 10</v>
      </c>
      <c r="H2644" s="2">
        <v>839.5</v>
      </c>
      <c r="I2644" t="str">
        <f>"NORHAISAH BINTI HISHAM  SAMSIAH"</f>
        <v>NORHAISAH BINTI HISHAM  SAMSIAH</v>
      </c>
      <c r="J2644" t="str">
        <f t="shared" si="1096"/>
        <v>MAYBANK / MAYBANK ISLAMIC</v>
      </c>
      <c r="K2644" t="str">
        <f>"151017136520"</f>
        <v>151017136520</v>
      </c>
      <c r="L2644" t="str">
        <f t="shared" si="1080"/>
        <v>04-08-2020</v>
      </c>
      <c r="M2644" t="str">
        <f t="shared" si="1080"/>
        <v>04-08-2020</v>
      </c>
      <c r="N2644" t="str">
        <f t="shared" si="1085"/>
        <v>001105018356</v>
      </c>
      <c r="O2644" t="str">
        <f t="shared" si="1086"/>
        <v>MYR</v>
      </c>
      <c r="P2644" t="str">
        <f t="shared" si="1081"/>
        <v>NIL</v>
      </c>
      <c r="Q2644" t="str">
        <f t="shared" si="1081"/>
        <v>NIL</v>
      </c>
      <c r="R2644" t="str">
        <f t="shared" si="1087"/>
        <v>Accepted</v>
      </c>
      <c r="S2644" t="str">
        <f t="shared" si="1088"/>
        <v>Approved</v>
      </c>
      <c r="T2644" t="str">
        <f t="shared" si="1089"/>
        <v>10.20.8.188</v>
      </c>
      <c r="U2644" t="str">
        <f t="shared" si="1090"/>
        <v>AZRAD UMAR BIN SHAARI</v>
      </c>
      <c r="V2644" t="str">
        <f t="shared" si="1091"/>
        <v>FARHANA BINTI MUSTAPA</v>
      </c>
      <c r="W2644" t="str">
        <f t="shared" si="1092"/>
        <v>04-08-2020</v>
      </c>
      <c r="X2644" t="str">
        <f t="shared" si="1093"/>
        <v>RAZIMAH ANSAR AHMAD</v>
      </c>
      <c r="Y2644" t="str">
        <f t="shared" si="1094"/>
        <v>04-08-2020</v>
      </c>
      <c r="Z2644" t="str">
        <f>"COS10200804 6510"</f>
        <v>COS10200804 6510</v>
      </c>
    </row>
    <row r="2645" spans="1:26" x14ac:dyDescent="0.25">
      <c r="A2645" t="str">
        <f t="shared" si="1078"/>
        <v>04-08-2020 01:03:01</v>
      </c>
      <c r="B2645" t="str">
        <f>"0000808303"</f>
        <v>0000808303</v>
      </c>
      <c r="C2645" t="str">
        <f t="shared" si="1079"/>
        <v>0000808194</v>
      </c>
      <c r="D2645" t="str">
        <f t="shared" si="1082"/>
        <v>73185</v>
      </c>
      <c r="E2645" t="str">
        <f t="shared" si="1083"/>
        <v>KFH-OPERATIONS DEPARTMENT</v>
      </c>
      <c r="F2645" t="str">
        <f t="shared" si="1084"/>
        <v>IBG</v>
      </c>
      <c r="G2645" t="str">
        <f t="shared" si="1095"/>
        <v>Refund COSHARE 10</v>
      </c>
      <c r="H2645" s="2">
        <v>133.05000000000001</v>
      </c>
      <c r="I2645" t="str">
        <f>"NORHAIDAH BINTI MATLIN"</f>
        <v>NORHAIDAH BINTI MATLIN</v>
      </c>
      <c r="J2645" t="str">
        <f t="shared" si="1096"/>
        <v>MAYBANK / MAYBANK ISLAMIC</v>
      </c>
      <c r="K2645" t="str">
        <f>"110031473301"</f>
        <v>110031473301</v>
      </c>
      <c r="L2645" t="str">
        <f t="shared" si="1080"/>
        <v>04-08-2020</v>
      </c>
      <c r="M2645" t="str">
        <f t="shared" si="1080"/>
        <v>04-08-2020</v>
      </c>
      <c r="N2645" t="str">
        <f t="shared" si="1085"/>
        <v>001105018356</v>
      </c>
      <c r="O2645" t="str">
        <f t="shared" si="1086"/>
        <v>MYR</v>
      </c>
      <c r="P2645" t="str">
        <f t="shared" si="1081"/>
        <v>NIL</v>
      </c>
      <c r="Q2645" t="str">
        <f t="shared" si="1081"/>
        <v>NIL</v>
      </c>
      <c r="R2645" t="str">
        <f t="shared" si="1087"/>
        <v>Accepted</v>
      </c>
      <c r="S2645" t="str">
        <f t="shared" si="1088"/>
        <v>Approved</v>
      </c>
      <c r="T2645" t="str">
        <f t="shared" si="1089"/>
        <v>10.20.8.188</v>
      </c>
      <c r="U2645" t="str">
        <f t="shared" si="1090"/>
        <v>AZRAD UMAR BIN SHAARI</v>
      </c>
      <c r="V2645" t="str">
        <f t="shared" si="1091"/>
        <v>FARHANA BINTI MUSTAPA</v>
      </c>
      <c r="W2645" t="str">
        <f t="shared" si="1092"/>
        <v>04-08-2020</v>
      </c>
      <c r="X2645" t="str">
        <f t="shared" si="1093"/>
        <v>RAZIMAH ANSAR AHMAD</v>
      </c>
      <c r="Y2645" t="str">
        <f t="shared" si="1094"/>
        <v>04-08-2020</v>
      </c>
      <c r="Z2645" t="str">
        <f>"COS10200804 6509"</f>
        <v>COS10200804 6509</v>
      </c>
    </row>
    <row r="2646" spans="1:26" x14ac:dyDescent="0.25">
      <c r="A2646" t="str">
        <f t="shared" si="1078"/>
        <v>04-08-2020 01:03:01</v>
      </c>
      <c r="B2646" t="str">
        <f>"0000808302"</f>
        <v>0000808302</v>
      </c>
      <c r="C2646" t="str">
        <f t="shared" si="1079"/>
        <v>0000808194</v>
      </c>
      <c r="D2646" t="str">
        <f t="shared" si="1082"/>
        <v>73185</v>
      </c>
      <c r="E2646" t="str">
        <f t="shared" si="1083"/>
        <v>KFH-OPERATIONS DEPARTMENT</v>
      </c>
      <c r="F2646" t="str">
        <f t="shared" si="1084"/>
        <v>IBG</v>
      </c>
      <c r="G2646" t="str">
        <f t="shared" si="1095"/>
        <v>Refund COSHARE 10</v>
      </c>
      <c r="H2646" s="2">
        <v>1679</v>
      </c>
      <c r="I2646" t="str">
        <f>"NORHAIDAH ASMA BINTI MOHD HASIM"</f>
        <v>NORHAIDAH ASMA BINTI MOHD HASIM</v>
      </c>
      <c r="J2646" t="str">
        <f t="shared" si="1096"/>
        <v>MAYBANK / MAYBANK ISLAMIC</v>
      </c>
      <c r="K2646" t="str">
        <f>"151017149221"</f>
        <v>151017149221</v>
      </c>
      <c r="L2646" t="str">
        <f t="shared" si="1080"/>
        <v>04-08-2020</v>
      </c>
      <c r="M2646" t="str">
        <f t="shared" si="1080"/>
        <v>04-08-2020</v>
      </c>
      <c r="N2646" t="str">
        <f t="shared" si="1085"/>
        <v>001105018356</v>
      </c>
      <c r="O2646" t="str">
        <f t="shared" si="1086"/>
        <v>MYR</v>
      </c>
      <c r="P2646" t="str">
        <f t="shared" si="1081"/>
        <v>NIL</v>
      </c>
      <c r="Q2646" t="str">
        <f t="shared" si="1081"/>
        <v>NIL</v>
      </c>
      <c r="R2646" t="str">
        <f t="shared" si="1087"/>
        <v>Accepted</v>
      </c>
      <c r="S2646" t="str">
        <f t="shared" si="1088"/>
        <v>Approved</v>
      </c>
      <c r="T2646" t="str">
        <f t="shared" si="1089"/>
        <v>10.20.8.188</v>
      </c>
      <c r="U2646" t="str">
        <f t="shared" si="1090"/>
        <v>AZRAD UMAR BIN SHAARI</v>
      </c>
      <c r="V2646" t="str">
        <f t="shared" si="1091"/>
        <v>FARHANA BINTI MUSTAPA</v>
      </c>
      <c r="W2646" t="str">
        <f t="shared" si="1092"/>
        <v>04-08-2020</v>
      </c>
      <c r="X2646" t="str">
        <f t="shared" si="1093"/>
        <v>RAZIMAH ANSAR AHMAD</v>
      </c>
      <c r="Y2646" t="str">
        <f t="shared" si="1094"/>
        <v>04-08-2020</v>
      </c>
      <c r="Z2646" t="str">
        <f>"COS10200804 6508"</f>
        <v>COS10200804 6508</v>
      </c>
    </row>
    <row r="2647" spans="1:26" x14ac:dyDescent="0.25">
      <c r="A2647" t="str">
        <f t="shared" si="1078"/>
        <v>04-08-2020 01:03:01</v>
      </c>
      <c r="B2647" t="str">
        <f>"0000808301"</f>
        <v>0000808301</v>
      </c>
      <c r="C2647" t="str">
        <f t="shared" si="1079"/>
        <v>0000808194</v>
      </c>
      <c r="D2647" t="str">
        <f t="shared" si="1082"/>
        <v>73185</v>
      </c>
      <c r="E2647" t="str">
        <f t="shared" si="1083"/>
        <v>KFH-OPERATIONS DEPARTMENT</v>
      </c>
      <c r="F2647" t="str">
        <f t="shared" si="1084"/>
        <v>IBG</v>
      </c>
      <c r="G2647" t="str">
        <f t="shared" si="1095"/>
        <v>Refund COSHARE 10</v>
      </c>
      <c r="H2647" s="2">
        <v>1645.45</v>
      </c>
      <c r="I2647" t="str">
        <f>"NORHAFIZAH BINTI ZAKARIA"</f>
        <v>NORHAFIZAH BINTI ZAKARIA</v>
      </c>
      <c r="J2647" t="str">
        <f t="shared" si="1096"/>
        <v>MAYBANK / MAYBANK ISLAMIC</v>
      </c>
      <c r="K2647" t="str">
        <f>"156012070438"</f>
        <v>156012070438</v>
      </c>
      <c r="L2647" t="str">
        <f t="shared" ref="L2647:M2666" si="1097">"04-08-2020"</f>
        <v>04-08-2020</v>
      </c>
      <c r="M2647" t="str">
        <f t="shared" si="1097"/>
        <v>04-08-2020</v>
      </c>
      <c r="N2647" t="str">
        <f t="shared" si="1085"/>
        <v>001105018356</v>
      </c>
      <c r="O2647" t="str">
        <f t="shared" si="1086"/>
        <v>MYR</v>
      </c>
      <c r="P2647" t="str">
        <f t="shared" ref="P2647:Q2666" si="1098">"NIL"</f>
        <v>NIL</v>
      </c>
      <c r="Q2647" t="str">
        <f t="shared" si="1098"/>
        <v>NIL</v>
      </c>
      <c r="R2647" t="str">
        <f t="shared" si="1087"/>
        <v>Accepted</v>
      </c>
      <c r="S2647" t="str">
        <f t="shared" si="1088"/>
        <v>Approved</v>
      </c>
      <c r="T2647" t="str">
        <f t="shared" si="1089"/>
        <v>10.20.8.188</v>
      </c>
      <c r="U2647" t="str">
        <f t="shared" si="1090"/>
        <v>AZRAD UMAR BIN SHAARI</v>
      </c>
      <c r="V2647" t="str">
        <f t="shared" si="1091"/>
        <v>FARHANA BINTI MUSTAPA</v>
      </c>
      <c r="W2647" t="str">
        <f t="shared" si="1092"/>
        <v>04-08-2020</v>
      </c>
      <c r="X2647" t="str">
        <f t="shared" si="1093"/>
        <v>RAZIMAH ANSAR AHMAD</v>
      </c>
      <c r="Y2647" t="str">
        <f t="shared" si="1094"/>
        <v>04-08-2020</v>
      </c>
      <c r="Z2647" t="str">
        <f>"COS10200804 6507"</f>
        <v>COS10200804 6507</v>
      </c>
    </row>
    <row r="2648" spans="1:26" x14ac:dyDescent="0.25">
      <c r="A2648" t="str">
        <f t="shared" si="1078"/>
        <v>04-08-2020 01:03:01</v>
      </c>
      <c r="B2648" t="str">
        <f>"0000808300"</f>
        <v>0000808300</v>
      </c>
      <c r="C2648" t="str">
        <f t="shared" si="1079"/>
        <v>0000808194</v>
      </c>
      <c r="D2648" t="str">
        <f t="shared" si="1082"/>
        <v>73185</v>
      </c>
      <c r="E2648" t="str">
        <f t="shared" si="1083"/>
        <v>KFH-OPERATIONS DEPARTMENT</v>
      </c>
      <c r="F2648" t="str">
        <f t="shared" si="1084"/>
        <v>IBG</v>
      </c>
      <c r="G2648" t="str">
        <f t="shared" si="1095"/>
        <v>Refund COSHARE 10</v>
      </c>
      <c r="H2648" s="2">
        <v>126</v>
      </c>
      <c r="I2648" t="str">
        <f>"NORHAFIZAH BINTI ZAINAL ABIDIN"</f>
        <v>NORHAFIZAH BINTI ZAINAL ABIDIN</v>
      </c>
      <c r="J2648" t="str">
        <f t="shared" si="1096"/>
        <v>MAYBANK / MAYBANK ISLAMIC</v>
      </c>
      <c r="K2648" t="str">
        <f>"156048117149"</f>
        <v>156048117149</v>
      </c>
      <c r="L2648" t="str">
        <f t="shared" si="1097"/>
        <v>04-08-2020</v>
      </c>
      <c r="M2648" t="str">
        <f t="shared" si="1097"/>
        <v>04-08-2020</v>
      </c>
      <c r="N2648" t="str">
        <f t="shared" si="1085"/>
        <v>001105018356</v>
      </c>
      <c r="O2648" t="str">
        <f t="shared" si="1086"/>
        <v>MYR</v>
      </c>
      <c r="P2648" t="str">
        <f t="shared" si="1098"/>
        <v>NIL</v>
      </c>
      <c r="Q2648" t="str">
        <f t="shared" si="1098"/>
        <v>NIL</v>
      </c>
      <c r="R2648" t="str">
        <f t="shared" si="1087"/>
        <v>Accepted</v>
      </c>
      <c r="S2648" t="str">
        <f t="shared" si="1088"/>
        <v>Approved</v>
      </c>
      <c r="T2648" t="str">
        <f t="shared" si="1089"/>
        <v>10.20.8.188</v>
      </c>
      <c r="U2648" t="str">
        <f t="shared" si="1090"/>
        <v>AZRAD UMAR BIN SHAARI</v>
      </c>
      <c r="V2648" t="str">
        <f t="shared" si="1091"/>
        <v>FARHANA BINTI MUSTAPA</v>
      </c>
      <c r="W2648" t="str">
        <f t="shared" si="1092"/>
        <v>04-08-2020</v>
      </c>
      <c r="X2648" t="str">
        <f t="shared" si="1093"/>
        <v>RAZIMAH ANSAR AHMAD</v>
      </c>
      <c r="Y2648" t="str">
        <f t="shared" si="1094"/>
        <v>04-08-2020</v>
      </c>
      <c r="Z2648" t="str">
        <f>"COS10200804 6506"</f>
        <v>COS10200804 6506</v>
      </c>
    </row>
    <row r="2649" spans="1:26" x14ac:dyDescent="0.25">
      <c r="A2649" t="str">
        <f t="shared" si="1078"/>
        <v>04-08-2020 01:03:01</v>
      </c>
      <c r="B2649" t="str">
        <f>"0000808299"</f>
        <v>0000808299</v>
      </c>
      <c r="C2649" t="str">
        <f t="shared" si="1079"/>
        <v>0000808194</v>
      </c>
      <c r="D2649" t="str">
        <f t="shared" si="1082"/>
        <v>73185</v>
      </c>
      <c r="E2649" t="str">
        <f t="shared" si="1083"/>
        <v>KFH-OPERATIONS DEPARTMENT</v>
      </c>
      <c r="F2649" t="str">
        <f t="shared" si="1084"/>
        <v>IBG</v>
      </c>
      <c r="G2649" t="str">
        <f t="shared" si="1095"/>
        <v>Refund COSHARE 10</v>
      </c>
      <c r="H2649" s="2">
        <v>755.55</v>
      </c>
      <c r="I2649" t="str">
        <f>"NORHAFIZA BT SAMSUDIN"</f>
        <v>NORHAFIZA BT SAMSUDIN</v>
      </c>
      <c r="J2649" t="str">
        <f t="shared" si="1096"/>
        <v>MAYBANK / MAYBANK ISLAMIC</v>
      </c>
      <c r="K2649" t="str">
        <f>"514057074244"</f>
        <v>514057074244</v>
      </c>
      <c r="L2649" t="str">
        <f t="shared" si="1097"/>
        <v>04-08-2020</v>
      </c>
      <c r="M2649" t="str">
        <f t="shared" si="1097"/>
        <v>04-08-2020</v>
      </c>
      <c r="N2649" t="str">
        <f t="shared" si="1085"/>
        <v>001105018356</v>
      </c>
      <c r="O2649" t="str">
        <f t="shared" si="1086"/>
        <v>MYR</v>
      </c>
      <c r="P2649" t="str">
        <f t="shared" si="1098"/>
        <v>NIL</v>
      </c>
      <c r="Q2649" t="str">
        <f t="shared" si="1098"/>
        <v>NIL</v>
      </c>
      <c r="R2649" t="str">
        <f t="shared" si="1087"/>
        <v>Accepted</v>
      </c>
      <c r="S2649" t="str">
        <f t="shared" si="1088"/>
        <v>Approved</v>
      </c>
      <c r="T2649" t="str">
        <f t="shared" si="1089"/>
        <v>10.20.8.188</v>
      </c>
      <c r="U2649" t="str">
        <f t="shared" si="1090"/>
        <v>AZRAD UMAR BIN SHAARI</v>
      </c>
      <c r="V2649" t="str">
        <f t="shared" si="1091"/>
        <v>FARHANA BINTI MUSTAPA</v>
      </c>
      <c r="W2649" t="str">
        <f t="shared" si="1092"/>
        <v>04-08-2020</v>
      </c>
      <c r="X2649" t="str">
        <f t="shared" si="1093"/>
        <v>RAZIMAH ANSAR AHMAD</v>
      </c>
      <c r="Y2649" t="str">
        <f t="shared" si="1094"/>
        <v>04-08-2020</v>
      </c>
      <c r="Z2649" t="str">
        <f>"COS10200804 6505"</f>
        <v>COS10200804 6505</v>
      </c>
    </row>
    <row r="2650" spans="1:26" x14ac:dyDescent="0.25">
      <c r="A2650" t="str">
        <f t="shared" ref="A2650:A2681" si="1099">"04-08-2020 01:03:01"</f>
        <v>04-08-2020 01:03:01</v>
      </c>
      <c r="B2650" t="str">
        <f>"0000808298"</f>
        <v>0000808298</v>
      </c>
      <c r="C2650" t="str">
        <f t="shared" ref="C2650:C2681" si="1100">"0000808194"</f>
        <v>0000808194</v>
      </c>
      <c r="D2650" t="str">
        <f t="shared" si="1082"/>
        <v>73185</v>
      </c>
      <c r="E2650" t="str">
        <f t="shared" si="1083"/>
        <v>KFH-OPERATIONS DEPARTMENT</v>
      </c>
      <c r="F2650" t="str">
        <f t="shared" si="1084"/>
        <v>IBG</v>
      </c>
      <c r="G2650" t="str">
        <f t="shared" si="1095"/>
        <v>Refund COSHARE 10</v>
      </c>
      <c r="H2650" s="2">
        <v>190</v>
      </c>
      <c r="I2650" t="str">
        <f>"NORHAFIZA BINTI SAMSUDIN"</f>
        <v>NORHAFIZA BINTI SAMSUDIN</v>
      </c>
      <c r="J2650" t="str">
        <f t="shared" si="1096"/>
        <v>MAYBANK / MAYBANK ISLAMIC</v>
      </c>
      <c r="K2650" t="str">
        <f>"514057074244"</f>
        <v>514057074244</v>
      </c>
      <c r="L2650" t="str">
        <f t="shared" si="1097"/>
        <v>04-08-2020</v>
      </c>
      <c r="M2650" t="str">
        <f t="shared" si="1097"/>
        <v>04-08-2020</v>
      </c>
      <c r="N2650" t="str">
        <f t="shared" si="1085"/>
        <v>001105018356</v>
      </c>
      <c r="O2650" t="str">
        <f t="shared" si="1086"/>
        <v>MYR</v>
      </c>
      <c r="P2650" t="str">
        <f t="shared" si="1098"/>
        <v>NIL</v>
      </c>
      <c r="Q2650" t="str">
        <f t="shared" si="1098"/>
        <v>NIL</v>
      </c>
      <c r="R2650" t="str">
        <f t="shared" si="1087"/>
        <v>Accepted</v>
      </c>
      <c r="S2650" t="str">
        <f t="shared" si="1088"/>
        <v>Approved</v>
      </c>
      <c r="T2650" t="str">
        <f t="shared" si="1089"/>
        <v>10.20.8.188</v>
      </c>
      <c r="U2650" t="str">
        <f t="shared" si="1090"/>
        <v>AZRAD UMAR BIN SHAARI</v>
      </c>
      <c r="V2650" t="str">
        <f t="shared" si="1091"/>
        <v>FARHANA BINTI MUSTAPA</v>
      </c>
      <c r="W2650" t="str">
        <f t="shared" si="1092"/>
        <v>04-08-2020</v>
      </c>
      <c r="X2650" t="str">
        <f t="shared" si="1093"/>
        <v>RAZIMAH ANSAR AHMAD</v>
      </c>
      <c r="Y2650" t="str">
        <f t="shared" si="1094"/>
        <v>04-08-2020</v>
      </c>
      <c r="Z2650" t="str">
        <f>"COS10200804 6504"</f>
        <v>COS10200804 6504</v>
      </c>
    </row>
    <row r="2651" spans="1:26" x14ac:dyDescent="0.25">
      <c r="A2651" t="str">
        <f t="shared" si="1099"/>
        <v>04-08-2020 01:03:01</v>
      </c>
      <c r="B2651" t="str">
        <f>"0000808297"</f>
        <v>0000808297</v>
      </c>
      <c r="C2651" t="str">
        <f t="shared" si="1100"/>
        <v>0000808194</v>
      </c>
      <c r="D2651" t="str">
        <f t="shared" si="1082"/>
        <v>73185</v>
      </c>
      <c r="E2651" t="str">
        <f t="shared" si="1083"/>
        <v>KFH-OPERATIONS DEPARTMENT</v>
      </c>
      <c r="F2651" t="str">
        <f t="shared" si="1084"/>
        <v>IBG</v>
      </c>
      <c r="G2651" t="str">
        <f t="shared" si="1095"/>
        <v>Refund COSHARE 10</v>
      </c>
      <c r="H2651" s="2">
        <v>42</v>
      </c>
      <c r="I2651" t="str">
        <f>"NORHAFIZ BIN MOHAMAD NORIZAN  SHAHRIN"</f>
        <v>NORHAFIZ BIN MOHAMAD NORIZAN  SHAHRIN</v>
      </c>
      <c r="J2651" t="str">
        <f t="shared" si="1096"/>
        <v>MAYBANK / MAYBANK ISLAMIC</v>
      </c>
      <c r="K2651" t="str">
        <f>"162076573395"</f>
        <v>162076573395</v>
      </c>
      <c r="L2651" t="str">
        <f t="shared" si="1097"/>
        <v>04-08-2020</v>
      </c>
      <c r="M2651" t="str">
        <f t="shared" si="1097"/>
        <v>04-08-2020</v>
      </c>
      <c r="N2651" t="str">
        <f t="shared" si="1085"/>
        <v>001105018356</v>
      </c>
      <c r="O2651" t="str">
        <f t="shared" si="1086"/>
        <v>MYR</v>
      </c>
      <c r="P2651" t="str">
        <f t="shared" si="1098"/>
        <v>NIL</v>
      </c>
      <c r="Q2651" t="str">
        <f t="shared" si="1098"/>
        <v>NIL</v>
      </c>
      <c r="R2651" t="str">
        <f t="shared" si="1087"/>
        <v>Accepted</v>
      </c>
      <c r="S2651" t="str">
        <f t="shared" si="1088"/>
        <v>Approved</v>
      </c>
      <c r="T2651" t="str">
        <f t="shared" si="1089"/>
        <v>10.20.8.188</v>
      </c>
      <c r="U2651" t="str">
        <f t="shared" si="1090"/>
        <v>AZRAD UMAR BIN SHAARI</v>
      </c>
      <c r="V2651" t="str">
        <f t="shared" si="1091"/>
        <v>FARHANA BINTI MUSTAPA</v>
      </c>
      <c r="W2651" t="str">
        <f t="shared" si="1092"/>
        <v>04-08-2020</v>
      </c>
      <c r="X2651" t="str">
        <f t="shared" si="1093"/>
        <v>RAZIMAH ANSAR AHMAD</v>
      </c>
      <c r="Y2651" t="str">
        <f t="shared" si="1094"/>
        <v>04-08-2020</v>
      </c>
      <c r="Z2651" t="str">
        <f>"COS10200804 6503"</f>
        <v>COS10200804 6503</v>
      </c>
    </row>
    <row r="2652" spans="1:26" x14ac:dyDescent="0.25">
      <c r="A2652" t="str">
        <f t="shared" si="1099"/>
        <v>04-08-2020 01:03:01</v>
      </c>
      <c r="B2652" t="str">
        <f>"0000808296"</f>
        <v>0000808296</v>
      </c>
      <c r="C2652" t="str">
        <f t="shared" si="1100"/>
        <v>0000808194</v>
      </c>
      <c r="D2652" t="str">
        <f t="shared" si="1082"/>
        <v>73185</v>
      </c>
      <c r="E2652" t="str">
        <f t="shared" si="1083"/>
        <v>KFH-OPERATIONS DEPARTMENT</v>
      </c>
      <c r="F2652" t="str">
        <f t="shared" si="1084"/>
        <v>IBG</v>
      </c>
      <c r="G2652" t="str">
        <f t="shared" si="1095"/>
        <v>Refund COSHARE 10</v>
      </c>
      <c r="H2652" s="2">
        <v>1202.0999999999999</v>
      </c>
      <c r="I2652" t="str">
        <f>"NORHADIYANA BINTI ABDUL LATIF"</f>
        <v>NORHADIYANA BINTI ABDUL LATIF</v>
      </c>
      <c r="J2652" t="str">
        <f t="shared" si="1096"/>
        <v>MAYBANK / MAYBANK ISLAMIC</v>
      </c>
      <c r="K2652" t="str">
        <f>"114084166405"</f>
        <v>114084166405</v>
      </c>
      <c r="L2652" t="str">
        <f t="shared" si="1097"/>
        <v>04-08-2020</v>
      </c>
      <c r="M2652" t="str">
        <f t="shared" si="1097"/>
        <v>04-08-2020</v>
      </c>
      <c r="N2652" t="str">
        <f t="shared" si="1085"/>
        <v>001105018356</v>
      </c>
      <c r="O2652" t="str">
        <f t="shared" si="1086"/>
        <v>MYR</v>
      </c>
      <c r="P2652" t="str">
        <f t="shared" si="1098"/>
        <v>NIL</v>
      </c>
      <c r="Q2652" t="str">
        <f t="shared" si="1098"/>
        <v>NIL</v>
      </c>
      <c r="R2652" t="str">
        <f t="shared" si="1087"/>
        <v>Accepted</v>
      </c>
      <c r="S2652" t="str">
        <f t="shared" si="1088"/>
        <v>Approved</v>
      </c>
      <c r="T2652" t="str">
        <f t="shared" si="1089"/>
        <v>10.20.8.188</v>
      </c>
      <c r="U2652" t="str">
        <f t="shared" si="1090"/>
        <v>AZRAD UMAR BIN SHAARI</v>
      </c>
      <c r="V2652" t="str">
        <f t="shared" si="1091"/>
        <v>FARHANA BINTI MUSTAPA</v>
      </c>
      <c r="W2652" t="str">
        <f t="shared" si="1092"/>
        <v>04-08-2020</v>
      </c>
      <c r="X2652" t="str">
        <f t="shared" si="1093"/>
        <v>RAZIMAH ANSAR AHMAD</v>
      </c>
      <c r="Y2652" t="str">
        <f t="shared" si="1094"/>
        <v>04-08-2020</v>
      </c>
      <c r="Z2652" t="str">
        <f>"COS10200804 6502"</f>
        <v>COS10200804 6502</v>
      </c>
    </row>
    <row r="2653" spans="1:26" x14ac:dyDescent="0.25">
      <c r="A2653" t="str">
        <f t="shared" si="1099"/>
        <v>04-08-2020 01:03:01</v>
      </c>
      <c r="B2653" t="str">
        <f>"0000808295"</f>
        <v>0000808295</v>
      </c>
      <c r="C2653" t="str">
        <f t="shared" si="1100"/>
        <v>0000808194</v>
      </c>
      <c r="D2653" t="str">
        <f t="shared" si="1082"/>
        <v>73185</v>
      </c>
      <c r="E2653" t="str">
        <f t="shared" si="1083"/>
        <v>KFH-OPERATIONS DEPARTMENT</v>
      </c>
      <c r="F2653" t="str">
        <f t="shared" si="1084"/>
        <v>IBG</v>
      </c>
      <c r="G2653" t="str">
        <f t="shared" si="1095"/>
        <v>Refund COSHARE 10</v>
      </c>
      <c r="H2653" s="2">
        <v>1862.85</v>
      </c>
      <c r="I2653" t="str">
        <f>"NORFIZA BINTI BULKA"</f>
        <v>NORFIZA BINTI BULKA</v>
      </c>
      <c r="J2653" t="str">
        <f t="shared" si="1096"/>
        <v>MAYBANK / MAYBANK ISLAMIC</v>
      </c>
      <c r="K2653" t="str">
        <f>"110032109543"</f>
        <v>110032109543</v>
      </c>
      <c r="L2653" t="str">
        <f t="shared" si="1097"/>
        <v>04-08-2020</v>
      </c>
      <c r="M2653" t="str">
        <f t="shared" si="1097"/>
        <v>04-08-2020</v>
      </c>
      <c r="N2653" t="str">
        <f t="shared" si="1085"/>
        <v>001105018356</v>
      </c>
      <c r="O2653" t="str">
        <f t="shared" si="1086"/>
        <v>MYR</v>
      </c>
      <c r="P2653" t="str">
        <f t="shared" si="1098"/>
        <v>NIL</v>
      </c>
      <c r="Q2653" t="str">
        <f t="shared" si="1098"/>
        <v>NIL</v>
      </c>
      <c r="R2653" t="str">
        <f t="shared" si="1087"/>
        <v>Accepted</v>
      </c>
      <c r="S2653" t="str">
        <f t="shared" si="1088"/>
        <v>Approved</v>
      </c>
      <c r="T2653" t="str">
        <f t="shared" si="1089"/>
        <v>10.20.8.188</v>
      </c>
      <c r="U2653" t="str">
        <f t="shared" si="1090"/>
        <v>AZRAD UMAR BIN SHAARI</v>
      </c>
      <c r="V2653" t="str">
        <f t="shared" si="1091"/>
        <v>FARHANA BINTI MUSTAPA</v>
      </c>
      <c r="W2653" t="str">
        <f t="shared" si="1092"/>
        <v>04-08-2020</v>
      </c>
      <c r="X2653" t="str">
        <f t="shared" si="1093"/>
        <v>RAZIMAH ANSAR AHMAD</v>
      </c>
      <c r="Y2653" t="str">
        <f t="shared" si="1094"/>
        <v>04-08-2020</v>
      </c>
      <c r="Z2653" t="str">
        <f>"COS10200804 6501"</f>
        <v>COS10200804 6501</v>
      </c>
    </row>
    <row r="2654" spans="1:26" x14ac:dyDescent="0.25">
      <c r="A2654" t="str">
        <f t="shared" si="1099"/>
        <v>04-08-2020 01:03:01</v>
      </c>
      <c r="B2654" t="str">
        <f>"0000808294"</f>
        <v>0000808294</v>
      </c>
      <c r="C2654" t="str">
        <f t="shared" si="1100"/>
        <v>0000808194</v>
      </c>
      <c r="D2654" t="str">
        <f t="shared" si="1082"/>
        <v>73185</v>
      </c>
      <c r="E2654" t="str">
        <f t="shared" si="1083"/>
        <v>KFH-OPERATIONS DEPARTMENT</v>
      </c>
      <c r="F2654" t="str">
        <f t="shared" si="1084"/>
        <v>IBG</v>
      </c>
      <c r="G2654" t="str">
        <f t="shared" si="1095"/>
        <v>Refund COSHARE 10</v>
      </c>
      <c r="H2654" s="2">
        <v>881.5</v>
      </c>
      <c r="I2654" t="str">
        <f>"NORFITRIYAHLATIFAH BT WAN UJI"</f>
        <v>NORFITRIYAHLATIFAH BT WAN UJI</v>
      </c>
      <c r="J2654" t="str">
        <f t="shared" si="1096"/>
        <v>MAYBANK / MAYBANK ISLAMIC</v>
      </c>
      <c r="K2654" t="str">
        <f>"153010657830"</f>
        <v>153010657830</v>
      </c>
      <c r="L2654" t="str">
        <f t="shared" si="1097"/>
        <v>04-08-2020</v>
      </c>
      <c r="M2654" t="str">
        <f t="shared" si="1097"/>
        <v>04-08-2020</v>
      </c>
      <c r="N2654" t="str">
        <f t="shared" si="1085"/>
        <v>001105018356</v>
      </c>
      <c r="O2654" t="str">
        <f t="shared" si="1086"/>
        <v>MYR</v>
      </c>
      <c r="P2654" t="str">
        <f t="shared" si="1098"/>
        <v>NIL</v>
      </c>
      <c r="Q2654" t="str">
        <f t="shared" si="1098"/>
        <v>NIL</v>
      </c>
      <c r="R2654" t="str">
        <f t="shared" si="1087"/>
        <v>Accepted</v>
      </c>
      <c r="S2654" t="str">
        <f t="shared" si="1088"/>
        <v>Approved</v>
      </c>
      <c r="T2654" t="str">
        <f t="shared" si="1089"/>
        <v>10.20.8.188</v>
      </c>
      <c r="U2654" t="str">
        <f t="shared" si="1090"/>
        <v>AZRAD UMAR BIN SHAARI</v>
      </c>
      <c r="V2654" t="str">
        <f t="shared" si="1091"/>
        <v>FARHANA BINTI MUSTAPA</v>
      </c>
      <c r="W2654" t="str">
        <f t="shared" si="1092"/>
        <v>04-08-2020</v>
      </c>
      <c r="X2654" t="str">
        <f t="shared" si="1093"/>
        <v>RAZIMAH ANSAR AHMAD</v>
      </c>
      <c r="Y2654" t="str">
        <f t="shared" si="1094"/>
        <v>04-08-2020</v>
      </c>
      <c r="Z2654" t="str">
        <f>"COS10200804 6500"</f>
        <v>COS10200804 6500</v>
      </c>
    </row>
    <row r="2655" spans="1:26" x14ac:dyDescent="0.25">
      <c r="A2655" t="str">
        <f t="shared" si="1099"/>
        <v>04-08-2020 01:03:01</v>
      </c>
      <c r="B2655" t="str">
        <f>"0000808293"</f>
        <v>0000808293</v>
      </c>
      <c r="C2655" t="str">
        <f t="shared" si="1100"/>
        <v>0000808194</v>
      </c>
      <c r="D2655" t="str">
        <f t="shared" si="1082"/>
        <v>73185</v>
      </c>
      <c r="E2655" t="str">
        <f t="shared" si="1083"/>
        <v>KFH-OPERATIONS DEPARTMENT</v>
      </c>
      <c r="F2655" t="str">
        <f t="shared" si="1084"/>
        <v>IBG</v>
      </c>
      <c r="G2655" t="str">
        <f t="shared" si="1095"/>
        <v>Refund COSHARE 10</v>
      </c>
      <c r="H2655" s="2">
        <v>254.1</v>
      </c>
      <c r="I2655" t="str">
        <f>"NORFAUZANI BINTI MOHD NORDIN"</f>
        <v>NORFAUZANI BINTI MOHD NORDIN</v>
      </c>
      <c r="J2655" t="str">
        <f t="shared" si="1096"/>
        <v>MAYBANK / MAYBANK ISLAMIC</v>
      </c>
      <c r="K2655" t="str">
        <f>"164324323064"</f>
        <v>164324323064</v>
      </c>
      <c r="L2655" t="str">
        <f t="shared" si="1097"/>
        <v>04-08-2020</v>
      </c>
      <c r="M2655" t="str">
        <f t="shared" si="1097"/>
        <v>04-08-2020</v>
      </c>
      <c r="N2655" t="str">
        <f t="shared" si="1085"/>
        <v>001105018356</v>
      </c>
      <c r="O2655" t="str">
        <f t="shared" si="1086"/>
        <v>MYR</v>
      </c>
      <c r="P2655" t="str">
        <f t="shared" si="1098"/>
        <v>NIL</v>
      </c>
      <c r="Q2655" t="str">
        <f t="shared" si="1098"/>
        <v>NIL</v>
      </c>
      <c r="R2655" t="str">
        <f t="shared" si="1087"/>
        <v>Accepted</v>
      </c>
      <c r="S2655" t="str">
        <f t="shared" si="1088"/>
        <v>Approved</v>
      </c>
      <c r="T2655" t="str">
        <f t="shared" si="1089"/>
        <v>10.20.8.188</v>
      </c>
      <c r="U2655" t="str">
        <f t="shared" si="1090"/>
        <v>AZRAD UMAR BIN SHAARI</v>
      </c>
      <c r="V2655" t="str">
        <f t="shared" si="1091"/>
        <v>FARHANA BINTI MUSTAPA</v>
      </c>
      <c r="W2655" t="str">
        <f t="shared" si="1092"/>
        <v>04-08-2020</v>
      </c>
      <c r="X2655" t="str">
        <f t="shared" si="1093"/>
        <v>RAZIMAH ANSAR AHMAD</v>
      </c>
      <c r="Y2655" t="str">
        <f t="shared" si="1094"/>
        <v>04-08-2020</v>
      </c>
      <c r="Z2655" t="str">
        <f>"COS10200804 6499"</f>
        <v>COS10200804 6499</v>
      </c>
    </row>
    <row r="2656" spans="1:26" x14ac:dyDescent="0.25">
      <c r="A2656" t="str">
        <f t="shared" si="1099"/>
        <v>04-08-2020 01:03:01</v>
      </c>
      <c r="B2656" t="str">
        <f>"0000808292"</f>
        <v>0000808292</v>
      </c>
      <c r="C2656" t="str">
        <f t="shared" si="1100"/>
        <v>0000808194</v>
      </c>
      <c r="D2656" t="str">
        <f t="shared" si="1082"/>
        <v>73185</v>
      </c>
      <c r="E2656" t="str">
        <f t="shared" si="1083"/>
        <v>KFH-OPERATIONS DEPARTMENT</v>
      </c>
      <c r="F2656" t="str">
        <f t="shared" si="1084"/>
        <v>IBG</v>
      </c>
      <c r="G2656" t="str">
        <f t="shared" si="1095"/>
        <v>Refund COSHARE 10</v>
      </c>
      <c r="H2656" s="2">
        <v>82</v>
      </c>
      <c r="I2656" t="str">
        <f>"NORFARIZAH BINTI YAACOB"</f>
        <v>NORFARIZAH BINTI YAACOB</v>
      </c>
      <c r="J2656" t="str">
        <f t="shared" si="1096"/>
        <v>MAYBANK / MAYBANK ISLAMIC</v>
      </c>
      <c r="K2656" t="str">
        <f>"106098338857"</f>
        <v>106098338857</v>
      </c>
      <c r="L2656" t="str">
        <f t="shared" si="1097"/>
        <v>04-08-2020</v>
      </c>
      <c r="M2656" t="str">
        <f t="shared" si="1097"/>
        <v>04-08-2020</v>
      </c>
      <c r="N2656" t="str">
        <f t="shared" si="1085"/>
        <v>001105018356</v>
      </c>
      <c r="O2656" t="str">
        <f t="shared" si="1086"/>
        <v>MYR</v>
      </c>
      <c r="P2656" t="str">
        <f t="shared" si="1098"/>
        <v>NIL</v>
      </c>
      <c r="Q2656" t="str">
        <f t="shared" si="1098"/>
        <v>NIL</v>
      </c>
      <c r="R2656" t="str">
        <f t="shared" si="1087"/>
        <v>Accepted</v>
      </c>
      <c r="S2656" t="str">
        <f t="shared" si="1088"/>
        <v>Approved</v>
      </c>
      <c r="T2656" t="str">
        <f t="shared" si="1089"/>
        <v>10.20.8.188</v>
      </c>
      <c r="U2656" t="str">
        <f t="shared" si="1090"/>
        <v>AZRAD UMAR BIN SHAARI</v>
      </c>
      <c r="V2656" t="str">
        <f t="shared" si="1091"/>
        <v>FARHANA BINTI MUSTAPA</v>
      </c>
      <c r="W2656" t="str">
        <f t="shared" si="1092"/>
        <v>04-08-2020</v>
      </c>
      <c r="X2656" t="str">
        <f t="shared" si="1093"/>
        <v>RAZIMAH ANSAR AHMAD</v>
      </c>
      <c r="Y2656" t="str">
        <f t="shared" si="1094"/>
        <v>04-08-2020</v>
      </c>
      <c r="Z2656" t="str">
        <f>"COS10200804 6498"</f>
        <v>COS10200804 6498</v>
      </c>
    </row>
    <row r="2657" spans="1:26" x14ac:dyDescent="0.25">
      <c r="A2657" t="str">
        <f t="shared" si="1099"/>
        <v>04-08-2020 01:03:01</v>
      </c>
      <c r="B2657" t="str">
        <f>"0000808291"</f>
        <v>0000808291</v>
      </c>
      <c r="C2657" t="str">
        <f t="shared" si="1100"/>
        <v>0000808194</v>
      </c>
      <c r="D2657" t="str">
        <f t="shared" si="1082"/>
        <v>73185</v>
      </c>
      <c r="E2657" t="str">
        <f t="shared" si="1083"/>
        <v>KFH-OPERATIONS DEPARTMENT</v>
      </c>
      <c r="F2657" t="str">
        <f t="shared" si="1084"/>
        <v>IBG</v>
      </c>
      <c r="G2657" t="str">
        <f t="shared" si="1095"/>
        <v>Refund COSHARE 10</v>
      </c>
      <c r="H2657" s="2">
        <v>327</v>
      </c>
      <c r="I2657" t="str">
        <f>"NORFARAZILA BINTI MANSOR"</f>
        <v>NORFARAZILA BINTI MANSOR</v>
      </c>
      <c r="J2657" t="str">
        <f t="shared" si="1096"/>
        <v>MAYBANK / MAYBANK ISLAMIC</v>
      </c>
      <c r="K2657" t="str">
        <f>"151548146014"</f>
        <v>151548146014</v>
      </c>
      <c r="L2657" t="str">
        <f t="shared" si="1097"/>
        <v>04-08-2020</v>
      </c>
      <c r="M2657" t="str">
        <f t="shared" si="1097"/>
        <v>04-08-2020</v>
      </c>
      <c r="N2657" t="str">
        <f t="shared" si="1085"/>
        <v>001105018356</v>
      </c>
      <c r="O2657" t="str">
        <f t="shared" si="1086"/>
        <v>MYR</v>
      </c>
      <c r="P2657" t="str">
        <f t="shared" si="1098"/>
        <v>NIL</v>
      </c>
      <c r="Q2657" t="str">
        <f t="shared" si="1098"/>
        <v>NIL</v>
      </c>
      <c r="R2657" t="str">
        <f t="shared" si="1087"/>
        <v>Accepted</v>
      </c>
      <c r="S2657" t="str">
        <f t="shared" si="1088"/>
        <v>Approved</v>
      </c>
      <c r="T2657" t="str">
        <f t="shared" si="1089"/>
        <v>10.20.8.188</v>
      </c>
      <c r="U2657" t="str">
        <f t="shared" si="1090"/>
        <v>AZRAD UMAR BIN SHAARI</v>
      </c>
      <c r="V2657" t="str">
        <f t="shared" si="1091"/>
        <v>FARHANA BINTI MUSTAPA</v>
      </c>
      <c r="W2657" t="str">
        <f t="shared" si="1092"/>
        <v>04-08-2020</v>
      </c>
      <c r="X2657" t="str">
        <f t="shared" si="1093"/>
        <v>RAZIMAH ANSAR AHMAD</v>
      </c>
      <c r="Y2657" t="str">
        <f t="shared" si="1094"/>
        <v>04-08-2020</v>
      </c>
      <c r="Z2657" t="str">
        <f>"COS10200804 6497"</f>
        <v>COS10200804 6497</v>
      </c>
    </row>
    <row r="2658" spans="1:26" x14ac:dyDescent="0.25">
      <c r="A2658" t="str">
        <f t="shared" si="1099"/>
        <v>04-08-2020 01:03:01</v>
      </c>
      <c r="B2658" t="str">
        <f>"0000808290"</f>
        <v>0000808290</v>
      </c>
      <c r="C2658" t="str">
        <f t="shared" si="1100"/>
        <v>0000808194</v>
      </c>
      <c r="D2658" t="str">
        <f t="shared" si="1082"/>
        <v>73185</v>
      </c>
      <c r="E2658" t="str">
        <f t="shared" si="1083"/>
        <v>KFH-OPERATIONS DEPARTMENT</v>
      </c>
      <c r="F2658" t="str">
        <f t="shared" si="1084"/>
        <v>IBG</v>
      </c>
      <c r="G2658" t="str">
        <f t="shared" si="1095"/>
        <v>Refund COSHARE 10</v>
      </c>
      <c r="H2658" s="2">
        <v>190.55</v>
      </c>
      <c r="I2658" t="str">
        <f>"NORFAIZAL BINTI HASSAN"</f>
        <v>NORFAIZAL BINTI HASSAN</v>
      </c>
      <c r="J2658" t="str">
        <f t="shared" si="1096"/>
        <v>MAYBANK / MAYBANK ISLAMIC</v>
      </c>
      <c r="K2658" t="str">
        <f>"106071006517"</f>
        <v>106071006517</v>
      </c>
      <c r="L2658" t="str">
        <f t="shared" si="1097"/>
        <v>04-08-2020</v>
      </c>
      <c r="M2658" t="str">
        <f t="shared" si="1097"/>
        <v>04-08-2020</v>
      </c>
      <c r="N2658" t="str">
        <f t="shared" si="1085"/>
        <v>001105018356</v>
      </c>
      <c r="O2658" t="str">
        <f t="shared" si="1086"/>
        <v>MYR</v>
      </c>
      <c r="P2658" t="str">
        <f t="shared" si="1098"/>
        <v>NIL</v>
      </c>
      <c r="Q2658" t="str">
        <f t="shared" si="1098"/>
        <v>NIL</v>
      </c>
      <c r="R2658" t="str">
        <f t="shared" si="1087"/>
        <v>Accepted</v>
      </c>
      <c r="S2658" t="str">
        <f t="shared" si="1088"/>
        <v>Approved</v>
      </c>
      <c r="T2658" t="str">
        <f t="shared" si="1089"/>
        <v>10.20.8.188</v>
      </c>
      <c r="U2658" t="str">
        <f t="shared" si="1090"/>
        <v>AZRAD UMAR BIN SHAARI</v>
      </c>
      <c r="V2658" t="str">
        <f t="shared" si="1091"/>
        <v>FARHANA BINTI MUSTAPA</v>
      </c>
      <c r="W2658" t="str">
        <f t="shared" si="1092"/>
        <v>04-08-2020</v>
      </c>
      <c r="X2658" t="str">
        <f t="shared" si="1093"/>
        <v>RAZIMAH ANSAR AHMAD</v>
      </c>
      <c r="Y2658" t="str">
        <f t="shared" si="1094"/>
        <v>04-08-2020</v>
      </c>
      <c r="Z2658" t="str">
        <f>"COS10200804 6496"</f>
        <v>COS10200804 6496</v>
      </c>
    </row>
    <row r="2659" spans="1:26" x14ac:dyDescent="0.25">
      <c r="A2659" t="str">
        <f t="shared" si="1099"/>
        <v>04-08-2020 01:03:01</v>
      </c>
      <c r="B2659" t="str">
        <f>"0000808289"</f>
        <v>0000808289</v>
      </c>
      <c r="C2659" t="str">
        <f t="shared" si="1100"/>
        <v>0000808194</v>
      </c>
      <c r="D2659" t="str">
        <f t="shared" si="1082"/>
        <v>73185</v>
      </c>
      <c r="E2659" t="str">
        <f t="shared" si="1083"/>
        <v>KFH-OPERATIONS DEPARTMENT</v>
      </c>
      <c r="F2659" t="str">
        <f t="shared" si="1084"/>
        <v>IBG</v>
      </c>
      <c r="G2659" t="str">
        <f t="shared" si="1095"/>
        <v>Refund COSHARE 10</v>
      </c>
      <c r="H2659" s="2">
        <v>99</v>
      </c>
      <c r="I2659" t="str">
        <f>"NORFAIDZAH BINTI AHMAD SOBRI"</f>
        <v>NORFAIDZAH BINTI AHMAD SOBRI</v>
      </c>
      <c r="J2659" t="str">
        <f t="shared" si="1096"/>
        <v>MAYBANK / MAYBANK ISLAMIC</v>
      </c>
      <c r="K2659" t="str">
        <f>"102055020228"</f>
        <v>102055020228</v>
      </c>
      <c r="L2659" t="str">
        <f t="shared" si="1097"/>
        <v>04-08-2020</v>
      </c>
      <c r="M2659" t="str">
        <f t="shared" si="1097"/>
        <v>04-08-2020</v>
      </c>
      <c r="N2659" t="str">
        <f t="shared" si="1085"/>
        <v>001105018356</v>
      </c>
      <c r="O2659" t="str">
        <f t="shared" si="1086"/>
        <v>MYR</v>
      </c>
      <c r="P2659" t="str">
        <f t="shared" si="1098"/>
        <v>NIL</v>
      </c>
      <c r="Q2659" t="str">
        <f t="shared" si="1098"/>
        <v>NIL</v>
      </c>
      <c r="R2659" t="str">
        <f t="shared" si="1087"/>
        <v>Accepted</v>
      </c>
      <c r="S2659" t="str">
        <f t="shared" si="1088"/>
        <v>Approved</v>
      </c>
      <c r="T2659" t="str">
        <f t="shared" si="1089"/>
        <v>10.20.8.188</v>
      </c>
      <c r="U2659" t="str">
        <f t="shared" si="1090"/>
        <v>AZRAD UMAR BIN SHAARI</v>
      </c>
      <c r="V2659" t="str">
        <f t="shared" si="1091"/>
        <v>FARHANA BINTI MUSTAPA</v>
      </c>
      <c r="W2659" t="str">
        <f t="shared" si="1092"/>
        <v>04-08-2020</v>
      </c>
      <c r="X2659" t="str">
        <f t="shared" si="1093"/>
        <v>RAZIMAH ANSAR AHMAD</v>
      </c>
      <c r="Y2659" t="str">
        <f t="shared" si="1094"/>
        <v>04-08-2020</v>
      </c>
      <c r="Z2659" t="str">
        <f>"COS10200804 6495"</f>
        <v>COS10200804 6495</v>
      </c>
    </row>
    <row r="2660" spans="1:26" x14ac:dyDescent="0.25">
      <c r="A2660" t="str">
        <f t="shared" si="1099"/>
        <v>04-08-2020 01:03:01</v>
      </c>
      <c r="B2660" t="str">
        <f>"0000808288"</f>
        <v>0000808288</v>
      </c>
      <c r="C2660" t="str">
        <f t="shared" si="1100"/>
        <v>0000808194</v>
      </c>
      <c r="D2660" t="str">
        <f t="shared" si="1082"/>
        <v>73185</v>
      </c>
      <c r="E2660" t="str">
        <f t="shared" si="1083"/>
        <v>KFH-OPERATIONS DEPARTMENT</v>
      </c>
      <c r="F2660" t="str">
        <f t="shared" si="1084"/>
        <v>IBG</v>
      </c>
      <c r="G2660" t="str">
        <f t="shared" si="1095"/>
        <v>Refund COSHARE 10</v>
      </c>
      <c r="H2660" s="2">
        <v>142</v>
      </c>
      <c r="I2660" t="str">
        <f>"NORFADZILLAH BINTI AHMAD SOBRI"</f>
        <v>NORFADZILLAH BINTI AHMAD SOBRI</v>
      </c>
      <c r="J2660" t="str">
        <f t="shared" si="1096"/>
        <v>MAYBANK / MAYBANK ISLAMIC</v>
      </c>
      <c r="K2660" t="str">
        <f>"152059898233"</f>
        <v>152059898233</v>
      </c>
      <c r="L2660" t="str">
        <f t="shared" si="1097"/>
        <v>04-08-2020</v>
      </c>
      <c r="M2660" t="str">
        <f t="shared" si="1097"/>
        <v>04-08-2020</v>
      </c>
      <c r="N2660" t="str">
        <f t="shared" si="1085"/>
        <v>001105018356</v>
      </c>
      <c r="O2660" t="str">
        <f t="shared" si="1086"/>
        <v>MYR</v>
      </c>
      <c r="P2660" t="str">
        <f t="shared" si="1098"/>
        <v>NIL</v>
      </c>
      <c r="Q2660" t="str">
        <f t="shared" si="1098"/>
        <v>NIL</v>
      </c>
      <c r="R2660" t="str">
        <f t="shared" si="1087"/>
        <v>Accepted</v>
      </c>
      <c r="S2660" t="str">
        <f t="shared" si="1088"/>
        <v>Approved</v>
      </c>
      <c r="T2660" t="str">
        <f t="shared" si="1089"/>
        <v>10.20.8.188</v>
      </c>
      <c r="U2660" t="str">
        <f t="shared" si="1090"/>
        <v>AZRAD UMAR BIN SHAARI</v>
      </c>
      <c r="V2660" t="str">
        <f t="shared" si="1091"/>
        <v>FARHANA BINTI MUSTAPA</v>
      </c>
      <c r="W2660" t="str">
        <f t="shared" si="1092"/>
        <v>04-08-2020</v>
      </c>
      <c r="X2660" t="str">
        <f t="shared" si="1093"/>
        <v>RAZIMAH ANSAR AHMAD</v>
      </c>
      <c r="Y2660" t="str">
        <f t="shared" si="1094"/>
        <v>04-08-2020</v>
      </c>
      <c r="Z2660" t="str">
        <f>"COS10200804 6494"</f>
        <v>COS10200804 6494</v>
      </c>
    </row>
    <row r="2661" spans="1:26" x14ac:dyDescent="0.25">
      <c r="A2661" t="str">
        <f t="shared" si="1099"/>
        <v>04-08-2020 01:03:01</v>
      </c>
      <c r="B2661" t="str">
        <f>"0000808287"</f>
        <v>0000808287</v>
      </c>
      <c r="C2661" t="str">
        <f t="shared" si="1100"/>
        <v>0000808194</v>
      </c>
      <c r="D2661" t="str">
        <f t="shared" si="1082"/>
        <v>73185</v>
      </c>
      <c r="E2661" t="str">
        <f t="shared" si="1083"/>
        <v>KFH-OPERATIONS DEPARTMENT</v>
      </c>
      <c r="F2661" t="str">
        <f t="shared" si="1084"/>
        <v>IBG</v>
      </c>
      <c r="G2661" t="str">
        <f t="shared" si="1095"/>
        <v>Refund COSHARE 10</v>
      </c>
      <c r="H2661" s="2">
        <v>83.95</v>
      </c>
      <c r="I2661" t="str">
        <f>"NORFADLIANA BINTI MD BAKRON"</f>
        <v>NORFADLIANA BINTI MD BAKRON</v>
      </c>
      <c r="J2661" t="str">
        <f t="shared" si="1096"/>
        <v>MAYBANK / MAYBANK ISLAMIC</v>
      </c>
      <c r="K2661" t="str">
        <f>"151061261386"</f>
        <v>151061261386</v>
      </c>
      <c r="L2661" t="str">
        <f t="shared" si="1097"/>
        <v>04-08-2020</v>
      </c>
      <c r="M2661" t="str">
        <f t="shared" si="1097"/>
        <v>04-08-2020</v>
      </c>
      <c r="N2661" t="str">
        <f t="shared" si="1085"/>
        <v>001105018356</v>
      </c>
      <c r="O2661" t="str">
        <f t="shared" si="1086"/>
        <v>MYR</v>
      </c>
      <c r="P2661" t="str">
        <f t="shared" si="1098"/>
        <v>NIL</v>
      </c>
      <c r="Q2661" t="str">
        <f t="shared" si="1098"/>
        <v>NIL</v>
      </c>
      <c r="R2661" t="str">
        <f t="shared" si="1087"/>
        <v>Accepted</v>
      </c>
      <c r="S2661" t="str">
        <f t="shared" si="1088"/>
        <v>Approved</v>
      </c>
      <c r="T2661" t="str">
        <f t="shared" si="1089"/>
        <v>10.20.8.188</v>
      </c>
      <c r="U2661" t="str">
        <f t="shared" si="1090"/>
        <v>AZRAD UMAR BIN SHAARI</v>
      </c>
      <c r="V2661" t="str">
        <f t="shared" si="1091"/>
        <v>FARHANA BINTI MUSTAPA</v>
      </c>
      <c r="W2661" t="str">
        <f t="shared" si="1092"/>
        <v>04-08-2020</v>
      </c>
      <c r="X2661" t="str">
        <f t="shared" si="1093"/>
        <v>RAZIMAH ANSAR AHMAD</v>
      </c>
      <c r="Y2661" t="str">
        <f t="shared" si="1094"/>
        <v>04-08-2020</v>
      </c>
      <c r="Z2661" t="str">
        <f>"COS10200804 6493"</f>
        <v>COS10200804 6493</v>
      </c>
    </row>
    <row r="2662" spans="1:26" x14ac:dyDescent="0.25">
      <c r="A2662" t="str">
        <f t="shared" si="1099"/>
        <v>04-08-2020 01:03:01</v>
      </c>
      <c r="B2662" t="str">
        <f>"0000808286"</f>
        <v>0000808286</v>
      </c>
      <c r="C2662" t="str">
        <f t="shared" si="1100"/>
        <v>0000808194</v>
      </c>
      <c r="D2662" t="str">
        <f t="shared" si="1082"/>
        <v>73185</v>
      </c>
      <c r="E2662" t="str">
        <f t="shared" si="1083"/>
        <v>KFH-OPERATIONS DEPARTMENT</v>
      </c>
      <c r="F2662" t="str">
        <f t="shared" si="1084"/>
        <v>IBG</v>
      </c>
      <c r="G2662" t="str">
        <f t="shared" si="1095"/>
        <v>Refund COSHARE 10</v>
      </c>
      <c r="H2662" s="2">
        <v>532</v>
      </c>
      <c r="I2662" t="str">
        <f>"NORFADILLAH BINTI KAMARUDDIN"</f>
        <v>NORFADILLAH BINTI KAMARUDDIN</v>
      </c>
      <c r="J2662" t="str">
        <f t="shared" si="1096"/>
        <v>MAYBANK / MAYBANK ISLAMIC</v>
      </c>
      <c r="K2662" t="str">
        <f>"112317114866"</f>
        <v>112317114866</v>
      </c>
      <c r="L2662" t="str">
        <f t="shared" si="1097"/>
        <v>04-08-2020</v>
      </c>
      <c r="M2662" t="str">
        <f t="shared" si="1097"/>
        <v>04-08-2020</v>
      </c>
      <c r="N2662" t="str">
        <f t="shared" si="1085"/>
        <v>001105018356</v>
      </c>
      <c r="O2662" t="str">
        <f t="shared" si="1086"/>
        <v>MYR</v>
      </c>
      <c r="P2662" t="str">
        <f t="shared" si="1098"/>
        <v>NIL</v>
      </c>
      <c r="Q2662" t="str">
        <f t="shared" si="1098"/>
        <v>NIL</v>
      </c>
      <c r="R2662" t="str">
        <f t="shared" si="1087"/>
        <v>Accepted</v>
      </c>
      <c r="S2662" t="str">
        <f t="shared" si="1088"/>
        <v>Approved</v>
      </c>
      <c r="T2662" t="str">
        <f t="shared" si="1089"/>
        <v>10.20.8.188</v>
      </c>
      <c r="U2662" t="str">
        <f t="shared" si="1090"/>
        <v>AZRAD UMAR BIN SHAARI</v>
      </c>
      <c r="V2662" t="str">
        <f t="shared" si="1091"/>
        <v>FARHANA BINTI MUSTAPA</v>
      </c>
      <c r="W2662" t="str">
        <f t="shared" si="1092"/>
        <v>04-08-2020</v>
      </c>
      <c r="X2662" t="str">
        <f t="shared" si="1093"/>
        <v>RAZIMAH ANSAR AHMAD</v>
      </c>
      <c r="Y2662" t="str">
        <f t="shared" si="1094"/>
        <v>04-08-2020</v>
      </c>
      <c r="Z2662" t="str">
        <f>"COS10200804 6492"</f>
        <v>COS10200804 6492</v>
      </c>
    </row>
    <row r="2663" spans="1:26" x14ac:dyDescent="0.25">
      <c r="A2663" t="str">
        <f t="shared" si="1099"/>
        <v>04-08-2020 01:03:01</v>
      </c>
      <c r="B2663" t="str">
        <f>"0000808285"</f>
        <v>0000808285</v>
      </c>
      <c r="C2663" t="str">
        <f t="shared" si="1100"/>
        <v>0000808194</v>
      </c>
      <c r="D2663" t="str">
        <f t="shared" si="1082"/>
        <v>73185</v>
      </c>
      <c r="E2663" t="str">
        <f t="shared" si="1083"/>
        <v>KFH-OPERATIONS DEPARTMENT</v>
      </c>
      <c r="F2663" t="str">
        <f t="shared" si="1084"/>
        <v>IBG</v>
      </c>
      <c r="G2663" t="str">
        <f t="shared" si="1095"/>
        <v>Refund COSHARE 10</v>
      </c>
      <c r="H2663" s="2">
        <v>1133.3499999999999</v>
      </c>
      <c r="I2663" t="str">
        <f>"NORFADILA BINTI RUSLI"</f>
        <v>NORFADILA BINTI RUSLI</v>
      </c>
      <c r="J2663" t="str">
        <f t="shared" si="1096"/>
        <v>MAYBANK / MAYBANK ISLAMIC</v>
      </c>
      <c r="K2663" t="str">
        <f>"159012669896"</f>
        <v>159012669896</v>
      </c>
      <c r="L2663" t="str">
        <f t="shared" si="1097"/>
        <v>04-08-2020</v>
      </c>
      <c r="M2663" t="str">
        <f t="shared" si="1097"/>
        <v>04-08-2020</v>
      </c>
      <c r="N2663" t="str">
        <f t="shared" si="1085"/>
        <v>001105018356</v>
      </c>
      <c r="O2663" t="str">
        <f t="shared" si="1086"/>
        <v>MYR</v>
      </c>
      <c r="P2663" t="str">
        <f t="shared" si="1098"/>
        <v>NIL</v>
      </c>
      <c r="Q2663" t="str">
        <f t="shared" si="1098"/>
        <v>NIL</v>
      </c>
      <c r="R2663" t="str">
        <f t="shared" si="1087"/>
        <v>Accepted</v>
      </c>
      <c r="S2663" t="str">
        <f t="shared" si="1088"/>
        <v>Approved</v>
      </c>
      <c r="T2663" t="str">
        <f t="shared" si="1089"/>
        <v>10.20.8.188</v>
      </c>
      <c r="U2663" t="str">
        <f t="shared" si="1090"/>
        <v>AZRAD UMAR BIN SHAARI</v>
      </c>
      <c r="V2663" t="str">
        <f t="shared" si="1091"/>
        <v>FARHANA BINTI MUSTAPA</v>
      </c>
      <c r="W2663" t="str">
        <f t="shared" si="1092"/>
        <v>04-08-2020</v>
      </c>
      <c r="X2663" t="str">
        <f t="shared" si="1093"/>
        <v>RAZIMAH ANSAR AHMAD</v>
      </c>
      <c r="Y2663" t="str">
        <f t="shared" si="1094"/>
        <v>04-08-2020</v>
      </c>
      <c r="Z2663" t="str">
        <f>"COS10200804 6491"</f>
        <v>COS10200804 6491</v>
      </c>
    </row>
    <row r="2664" spans="1:26" x14ac:dyDescent="0.25">
      <c r="A2664" t="str">
        <f t="shared" si="1099"/>
        <v>04-08-2020 01:03:01</v>
      </c>
      <c r="B2664" t="str">
        <f>"0000808284"</f>
        <v>0000808284</v>
      </c>
      <c r="C2664" t="str">
        <f t="shared" si="1100"/>
        <v>0000808194</v>
      </c>
      <c r="D2664" t="str">
        <f t="shared" si="1082"/>
        <v>73185</v>
      </c>
      <c r="E2664" t="str">
        <f t="shared" si="1083"/>
        <v>KFH-OPERATIONS DEPARTMENT</v>
      </c>
      <c r="F2664" t="str">
        <f t="shared" si="1084"/>
        <v>IBG</v>
      </c>
      <c r="G2664" t="str">
        <f t="shared" si="1095"/>
        <v>Refund COSHARE 10</v>
      </c>
      <c r="H2664" s="2">
        <v>569</v>
      </c>
      <c r="I2664" t="str">
        <f>"NOREZRINA BINTI MOHTAR"</f>
        <v>NOREZRINA BINTI MOHTAR</v>
      </c>
      <c r="J2664" t="str">
        <f t="shared" si="1096"/>
        <v>MAYBANK / MAYBANK ISLAMIC</v>
      </c>
      <c r="K2664" t="str">
        <f>"151463000146"</f>
        <v>151463000146</v>
      </c>
      <c r="L2664" t="str">
        <f t="shared" si="1097"/>
        <v>04-08-2020</v>
      </c>
      <c r="M2664" t="str">
        <f t="shared" si="1097"/>
        <v>04-08-2020</v>
      </c>
      <c r="N2664" t="str">
        <f t="shared" si="1085"/>
        <v>001105018356</v>
      </c>
      <c r="O2664" t="str">
        <f t="shared" si="1086"/>
        <v>MYR</v>
      </c>
      <c r="P2664" t="str">
        <f t="shared" si="1098"/>
        <v>NIL</v>
      </c>
      <c r="Q2664" t="str">
        <f t="shared" si="1098"/>
        <v>NIL</v>
      </c>
      <c r="R2664" t="str">
        <f t="shared" si="1087"/>
        <v>Accepted</v>
      </c>
      <c r="S2664" t="str">
        <f t="shared" si="1088"/>
        <v>Approved</v>
      </c>
      <c r="T2664" t="str">
        <f t="shared" si="1089"/>
        <v>10.20.8.188</v>
      </c>
      <c r="U2664" t="str">
        <f t="shared" si="1090"/>
        <v>AZRAD UMAR BIN SHAARI</v>
      </c>
      <c r="V2664" t="str">
        <f t="shared" si="1091"/>
        <v>FARHANA BINTI MUSTAPA</v>
      </c>
      <c r="W2664" t="str">
        <f t="shared" si="1092"/>
        <v>04-08-2020</v>
      </c>
      <c r="X2664" t="str">
        <f t="shared" si="1093"/>
        <v>RAZIMAH ANSAR AHMAD</v>
      </c>
      <c r="Y2664" t="str">
        <f t="shared" si="1094"/>
        <v>04-08-2020</v>
      </c>
      <c r="Z2664" t="str">
        <f>"COS10200804 6490"</f>
        <v>COS10200804 6490</v>
      </c>
    </row>
    <row r="2665" spans="1:26" x14ac:dyDescent="0.25">
      <c r="A2665" t="str">
        <f t="shared" si="1099"/>
        <v>04-08-2020 01:03:01</v>
      </c>
      <c r="B2665" t="str">
        <f>"0000808283"</f>
        <v>0000808283</v>
      </c>
      <c r="C2665" t="str">
        <f t="shared" si="1100"/>
        <v>0000808194</v>
      </c>
      <c r="D2665" t="str">
        <f t="shared" si="1082"/>
        <v>73185</v>
      </c>
      <c r="E2665" t="str">
        <f t="shared" si="1083"/>
        <v>KFH-OPERATIONS DEPARTMENT</v>
      </c>
      <c r="F2665" t="str">
        <f t="shared" si="1084"/>
        <v>IBG</v>
      </c>
      <c r="G2665" t="str">
        <f t="shared" si="1095"/>
        <v>Refund COSHARE 10</v>
      </c>
      <c r="H2665" s="2">
        <v>730.4</v>
      </c>
      <c r="I2665" t="str">
        <f>"NOREME BINTI AZMAN"</f>
        <v>NOREME BINTI AZMAN</v>
      </c>
      <c r="J2665" t="str">
        <f t="shared" si="1096"/>
        <v>MAYBANK / MAYBANK ISLAMIC</v>
      </c>
      <c r="K2665" t="str">
        <f>"105038002507"</f>
        <v>105038002507</v>
      </c>
      <c r="L2665" t="str">
        <f t="shared" si="1097"/>
        <v>04-08-2020</v>
      </c>
      <c r="M2665" t="str">
        <f t="shared" si="1097"/>
        <v>04-08-2020</v>
      </c>
      <c r="N2665" t="str">
        <f t="shared" si="1085"/>
        <v>001105018356</v>
      </c>
      <c r="O2665" t="str">
        <f t="shared" si="1086"/>
        <v>MYR</v>
      </c>
      <c r="P2665" t="str">
        <f t="shared" si="1098"/>
        <v>NIL</v>
      </c>
      <c r="Q2665" t="str">
        <f t="shared" si="1098"/>
        <v>NIL</v>
      </c>
      <c r="R2665" t="str">
        <f t="shared" si="1087"/>
        <v>Accepted</v>
      </c>
      <c r="S2665" t="str">
        <f t="shared" si="1088"/>
        <v>Approved</v>
      </c>
      <c r="T2665" t="str">
        <f t="shared" si="1089"/>
        <v>10.20.8.188</v>
      </c>
      <c r="U2665" t="str">
        <f t="shared" si="1090"/>
        <v>AZRAD UMAR BIN SHAARI</v>
      </c>
      <c r="V2665" t="str">
        <f t="shared" si="1091"/>
        <v>FARHANA BINTI MUSTAPA</v>
      </c>
      <c r="W2665" t="str">
        <f t="shared" si="1092"/>
        <v>04-08-2020</v>
      </c>
      <c r="X2665" t="str">
        <f t="shared" si="1093"/>
        <v>RAZIMAH ANSAR AHMAD</v>
      </c>
      <c r="Y2665" t="str">
        <f t="shared" si="1094"/>
        <v>04-08-2020</v>
      </c>
      <c r="Z2665" t="str">
        <f>"COS10200804 6489"</f>
        <v>COS10200804 6489</v>
      </c>
    </row>
    <row r="2666" spans="1:26" x14ac:dyDescent="0.25">
      <c r="A2666" t="str">
        <f t="shared" si="1099"/>
        <v>04-08-2020 01:03:01</v>
      </c>
      <c r="B2666" t="str">
        <f>"0000808282"</f>
        <v>0000808282</v>
      </c>
      <c r="C2666" t="str">
        <f t="shared" si="1100"/>
        <v>0000808194</v>
      </c>
      <c r="D2666" t="str">
        <f t="shared" si="1082"/>
        <v>73185</v>
      </c>
      <c r="E2666" t="str">
        <f t="shared" si="1083"/>
        <v>KFH-OPERATIONS DEPARTMENT</v>
      </c>
      <c r="F2666" t="str">
        <f t="shared" si="1084"/>
        <v>IBG</v>
      </c>
      <c r="G2666" t="str">
        <f t="shared" si="1095"/>
        <v>Refund COSHARE 10</v>
      </c>
      <c r="H2666" s="2">
        <v>1049.4000000000001</v>
      </c>
      <c r="I2666" t="str">
        <f>"NORELLIANA BINTI ABDUL RAZAK"</f>
        <v>NORELLIANA BINTI ABDUL RAZAK</v>
      </c>
      <c r="J2666" t="str">
        <f t="shared" si="1096"/>
        <v>MAYBANK / MAYBANK ISLAMIC</v>
      </c>
      <c r="K2666" t="str">
        <f>"158293596116"</f>
        <v>158293596116</v>
      </c>
      <c r="L2666" t="str">
        <f t="shared" si="1097"/>
        <v>04-08-2020</v>
      </c>
      <c r="M2666" t="str">
        <f t="shared" si="1097"/>
        <v>04-08-2020</v>
      </c>
      <c r="N2666" t="str">
        <f t="shared" si="1085"/>
        <v>001105018356</v>
      </c>
      <c r="O2666" t="str">
        <f t="shared" si="1086"/>
        <v>MYR</v>
      </c>
      <c r="P2666" t="str">
        <f t="shared" si="1098"/>
        <v>NIL</v>
      </c>
      <c r="Q2666" t="str">
        <f t="shared" si="1098"/>
        <v>NIL</v>
      </c>
      <c r="R2666" t="str">
        <f t="shared" si="1087"/>
        <v>Accepted</v>
      </c>
      <c r="S2666" t="str">
        <f t="shared" si="1088"/>
        <v>Approved</v>
      </c>
      <c r="T2666" t="str">
        <f t="shared" si="1089"/>
        <v>10.20.8.188</v>
      </c>
      <c r="U2666" t="str">
        <f t="shared" si="1090"/>
        <v>AZRAD UMAR BIN SHAARI</v>
      </c>
      <c r="V2666" t="str">
        <f t="shared" si="1091"/>
        <v>FARHANA BINTI MUSTAPA</v>
      </c>
      <c r="W2666" t="str">
        <f t="shared" si="1092"/>
        <v>04-08-2020</v>
      </c>
      <c r="X2666" t="str">
        <f t="shared" si="1093"/>
        <v>RAZIMAH ANSAR AHMAD</v>
      </c>
      <c r="Y2666" t="str">
        <f t="shared" si="1094"/>
        <v>04-08-2020</v>
      </c>
      <c r="Z2666" t="str">
        <f>"COS10200804 6488"</f>
        <v>COS10200804 6488</v>
      </c>
    </row>
    <row r="2667" spans="1:26" x14ac:dyDescent="0.25">
      <c r="A2667" t="str">
        <f t="shared" si="1099"/>
        <v>04-08-2020 01:03:01</v>
      </c>
      <c r="B2667" t="str">
        <f>"0000808281"</f>
        <v>0000808281</v>
      </c>
      <c r="C2667" t="str">
        <f t="shared" si="1100"/>
        <v>0000808194</v>
      </c>
      <c r="D2667" t="str">
        <f t="shared" si="1082"/>
        <v>73185</v>
      </c>
      <c r="E2667" t="str">
        <f t="shared" si="1083"/>
        <v>KFH-OPERATIONS DEPARTMENT</v>
      </c>
      <c r="F2667" t="str">
        <f t="shared" si="1084"/>
        <v>IBG</v>
      </c>
      <c r="G2667" t="str">
        <f t="shared" si="1095"/>
        <v>Refund COSHARE 10</v>
      </c>
      <c r="H2667" s="2">
        <v>755.55</v>
      </c>
      <c r="I2667" t="str">
        <f>"NORELIZAYATI BINTI EMBONG"</f>
        <v>NORELIZAYATI BINTI EMBONG</v>
      </c>
      <c r="J2667" t="str">
        <f t="shared" si="1096"/>
        <v>MAYBANK / MAYBANK ISLAMIC</v>
      </c>
      <c r="K2667" t="str">
        <f>"156226059069"</f>
        <v>156226059069</v>
      </c>
      <c r="L2667" t="str">
        <f t="shared" ref="L2667:M2686" si="1101">"04-08-2020"</f>
        <v>04-08-2020</v>
      </c>
      <c r="M2667" t="str">
        <f t="shared" si="1101"/>
        <v>04-08-2020</v>
      </c>
      <c r="N2667" t="str">
        <f t="shared" si="1085"/>
        <v>001105018356</v>
      </c>
      <c r="O2667" t="str">
        <f t="shared" si="1086"/>
        <v>MYR</v>
      </c>
      <c r="P2667" t="str">
        <f t="shared" ref="P2667:Q2686" si="1102">"NIL"</f>
        <v>NIL</v>
      </c>
      <c r="Q2667" t="str">
        <f t="shared" si="1102"/>
        <v>NIL</v>
      </c>
      <c r="R2667" t="str">
        <f t="shared" si="1087"/>
        <v>Accepted</v>
      </c>
      <c r="S2667" t="str">
        <f t="shared" si="1088"/>
        <v>Approved</v>
      </c>
      <c r="T2667" t="str">
        <f t="shared" si="1089"/>
        <v>10.20.8.188</v>
      </c>
      <c r="U2667" t="str">
        <f t="shared" si="1090"/>
        <v>AZRAD UMAR BIN SHAARI</v>
      </c>
      <c r="V2667" t="str">
        <f t="shared" si="1091"/>
        <v>FARHANA BINTI MUSTAPA</v>
      </c>
      <c r="W2667" t="str">
        <f t="shared" si="1092"/>
        <v>04-08-2020</v>
      </c>
      <c r="X2667" t="str">
        <f t="shared" si="1093"/>
        <v>RAZIMAH ANSAR AHMAD</v>
      </c>
      <c r="Y2667" t="str">
        <f t="shared" si="1094"/>
        <v>04-08-2020</v>
      </c>
      <c r="Z2667" t="str">
        <f>"COS10200804 6487"</f>
        <v>COS10200804 6487</v>
      </c>
    </row>
    <row r="2668" spans="1:26" x14ac:dyDescent="0.25">
      <c r="A2668" t="str">
        <f t="shared" si="1099"/>
        <v>04-08-2020 01:03:01</v>
      </c>
      <c r="B2668" t="str">
        <f>"0000808280"</f>
        <v>0000808280</v>
      </c>
      <c r="C2668" t="str">
        <f t="shared" si="1100"/>
        <v>0000808194</v>
      </c>
      <c r="D2668" t="str">
        <f t="shared" si="1082"/>
        <v>73185</v>
      </c>
      <c r="E2668" t="str">
        <f t="shared" si="1083"/>
        <v>KFH-OPERATIONS DEPARTMENT</v>
      </c>
      <c r="F2668" t="str">
        <f t="shared" si="1084"/>
        <v>IBG</v>
      </c>
      <c r="G2668" t="str">
        <f t="shared" si="1095"/>
        <v>Refund COSHARE 10</v>
      </c>
      <c r="H2668" s="2">
        <v>1366</v>
      </c>
      <c r="I2668" t="str">
        <f>"NOREHANO BINTI MOHD HASAN"</f>
        <v>NOREHANO BINTI MOHD HASAN</v>
      </c>
      <c r="J2668" t="str">
        <f t="shared" si="1096"/>
        <v>MAYBANK / MAYBANK ISLAMIC</v>
      </c>
      <c r="K2668" t="str">
        <f>"164810062213"</f>
        <v>164810062213</v>
      </c>
      <c r="L2668" t="str">
        <f t="shared" si="1101"/>
        <v>04-08-2020</v>
      </c>
      <c r="M2668" t="str">
        <f t="shared" si="1101"/>
        <v>04-08-2020</v>
      </c>
      <c r="N2668" t="str">
        <f t="shared" si="1085"/>
        <v>001105018356</v>
      </c>
      <c r="O2668" t="str">
        <f t="shared" si="1086"/>
        <v>MYR</v>
      </c>
      <c r="P2668" t="str">
        <f t="shared" si="1102"/>
        <v>NIL</v>
      </c>
      <c r="Q2668" t="str">
        <f t="shared" si="1102"/>
        <v>NIL</v>
      </c>
      <c r="R2668" t="str">
        <f t="shared" si="1087"/>
        <v>Accepted</v>
      </c>
      <c r="S2668" t="str">
        <f t="shared" si="1088"/>
        <v>Approved</v>
      </c>
      <c r="T2668" t="str">
        <f t="shared" si="1089"/>
        <v>10.20.8.188</v>
      </c>
      <c r="U2668" t="str">
        <f t="shared" si="1090"/>
        <v>AZRAD UMAR BIN SHAARI</v>
      </c>
      <c r="V2668" t="str">
        <f t="shared" si="1091"/>
        <v>FARHANA BINTI MUSTAPA</v>
      </c>
      <c r="W2668" t="str">
        <f t="shared" si="1092"/>
        <v>04-08-2020</v>
      </c>
      <c r="X2668" t="str">
        <f t="shared" si="1093"/>
        <v>RAZIMAH ANSAR AHMAD</v>
      </c>
      <c r="Y2668" t="str">
        <f t="shared" si="1094"/>
        <v>04-08-2020</v>
      </c>
      <c r="Z2668" t="str">
        <f>"COS10200804 6486"</f>
        <v>COS10200804 6486</v>
      </c>
    </row>
    <row r="2669" spans="1:26" x14ac:dyDescent="0.25">
      <c r="A2669" t="str">
        <f t="shared" si="1099"/>
        <v>04-08-2020 01:03:01</v>
      </c>
      <c r="B2669" t="str">
        <f>"0000808279"</f>
        <v>0000808279</v>
      </c>
      <c r="C2669" t="str">
        <f t="shared" si="1100"/>
        <v>0000808194</v>
      </c>
      <c r="D2669" t="str">
        <f t="shared" si="1082"/>
        <v>73185</v>
      </c>
      <c r="E2669" t="str">
        <f t="shared" si="1083"/>
        <v>KFH-OPERATIONS DEPARTMENT</v>
      </c>
      <c r="F2669" t="str">
        <f t="shared" si="1084"/>
        <v>IBG</v>
      </c>
      <c r="G2669" t="str">
        <f t="shared" si="1095"/>
        <v>Refund COSHARE 10</v>
      </c>
      <c r="H2669" s="2">
        <v>2392</v>
      </c>
      <c r="I2669" t="str">
        <f>"NORDIZA BTE ASPAR"</f>
        <v>NORDIZA BTE ASPAR</v>
      </c>
      <c r="J2669" t="str">
        <f t="shared" si="1096"/>
        <v>MAYBANK / MAYBANK ISLAMIC</v>
      </c>
      <c r="K2669" t="str">
        <f>"158024850887"</f>
        <v>158024850887</v>
      </c>
      <c r="L2669" t="str">
        <f t="shared" si="1101"/>
        <v>04-08-2020</v>
      </c>
      <c r="M2669" t="str">
        <f t="shared" si="1101"/>
        <v>04-08-2020</v>
      </c>
      <c r="N2669" t="str">
        <f t="shared" si="1085"/>
        <v>001105018356</v>
      </c>
      <c r="O2669" t="str">
        <f t="shared" si="1086"/>
        <v>MYR</v>
      </c>
      <c r="P2669" t="str">
        <f t="shared" si="1102"/>
        <v>NIL</v>
      </c>
      <c r="Q2669" t="str">
        <f t="shared" si="1102"/>
        <v>NIL</v>
      </c>
      <c r="R2669" t="str">
        <f t="shared" si="1087"/>
        <v>Accepted</v>
      </c>
      <c r="S2669" t="str">
        <f t="shared" si="1088"/>
        <v>Approved</v>
      </c>
      <c r="T2669" t="str">
        <f t="shared" si="1089"/>
        <v>10.20.8.188</v>
      </c>
      <c r="U2669" t="str">
        <f t="shared" si="1090"/>
        <v>AZRAD UMAR BIN SHAARI</v>
      </c>
      <c r="V2669" t="str">
        <f t="shared" si="1091"/>
        <v>FARHANA BINTI MUSTAPA</v>
      </c>
      <c r="W2669" t="str">
        <f t="shared" si="1092"/>
        <v>04-08-2020</v>
      </c>
      <c r="X2669" t="str">
        <f t="shared" si="1093"/>
        <v>RAZIMAH ANSAR AHMAD</v>
      </c>
      <c r="Y2669" t="str">
        <f t="shared" si="1094"/>
        <v>04-08-2020</v>
      </c>
      <c r="Z2669" t="str">
        <f>"COS10200804 6485"</f>
        <v>COS10200804 6485</v>
      </c>
    </row>
    <row r="2670" spans="1:26" x14ac:dyDescent="0.25">
      <c r="A2670" t="str">
        <f t="shared" si="1099"/>
        <v>04-08-2020 01:03:01</v>
      </c>
      <c r="B2670" t="str">
        <f>"0000808278"</f>
        <v>0000808278</v>
      </c>
      <c r="C2670" t="str">
        <f t="shared" si="1100"/>
        <v>0000808194</v>
      </c>
      <c r="D2670" t="str">
        <f t="shared" si="1082"/>
        <v>73185</v>
      </c>
      <c r="E2670" t="str">
        <f t="shared" si="1083"/>
        <v>KFH-OPERATIONS DEPARTMENT</v>
      </c>
      <c r="F2670" t="str">
        <f t="shared" si="1084"/>
        <v>IBG</v>
      </c>
      <c r="G2670" t="str">
        <f t="shared" si="1095"/>
        <v>Refund COSHARE 10</v>
      </c>
      <c r="H2670" s="2">
        <v>419.75</v>
      </c>
      <c r="I2670" t="str">
        <f>"NORDIN BIN MISPAN"</f>
        <v>NORDIN BIN MISPAN</v>
      </c>
      <c r="J2670" t="str">
        <f t="shared" si="1096"/>
        <v>MAYBANK / MAYBANK ISLAMIC</v>
      </c>
      <c r="K2670" t="str">
        <f>"101068007912"</f>
        <v>101068007912</v>
      </c>
      <c r="L2670" t="str">
        <f t="shared" si="1101"/>
        <v>04-08-2020</v>
      </c>
      <c r="M2670" t="str">
        <f t="shared" si="1101"/>
        <v>04-08-2020</v>
      </c>
      <c r="N2670" t="str">
        <f t="shared" si="1085"/>
        <v>001105018356</v>
      </c>
      <c r="O2670" t="str">
        <f t="shared" si="1086"/>
        <v>MYR</v>
      </c>
      <c r="P2670" t="str">
        <f t="shared" si="1102"/>
        <v>NIL</v>
      </c>
      <c r="Q2670" t="str">
        <f t="shared" si="1102"/>
        <v>NIL</v>
      </c>
      <c r="R2670" t="str">
        <f t="shared" si="1087"/>
        <v>Accepted</v>
      </c>
      <c r="S2670" t="str">
        <f t="shared" si="1088"/>
        <v>Approved</v>
      </c>
      <c r="T2670" t="str">
        <f t="shared" si="1089"/>
        <v>10.20.8.188</v>
      </c>
      <c r="U2670" t="str">
        <f t="shared" si="1090"/>
        <v>AZRAD UMAR BIN SHAARI</v>
      </c>
      <c r="V2670" t="str">
        <f t="shared" si="1091"/>
        <v>FARHANA BINTI MUSTAPA</v>
      </c>
      <c r="W2670" t="str">
        <f t="shared" si="1092"/>
        <v>04-08-2020</v>
      </c>
      <c r="X2670" t="str">
        <f t="shared" si="1093"/>
        <v>RAZIMAH ANSAR AHMAD</v>
      </c>
      <c r="Y2670" t="str">
        <f t="shared" si="1094"/>
        <v>04-08-2020</v>
      </c>
      <c r="Z2670" t="str">
        <f>"COS10200804 6484"</f>
        <v>COS10200804 6484</v>
      </c>
    </row>
    <row r="2671" spans="1:26" x14ac:dyDescent="0.25">
      <c r="A2671" t="str">
        <f t="shared" si="1099"/>
        <v>04-08-2020 01:03:01</v>
      </c>
      <c r="B2671" t="str">
        <f>"0000808277"</f>
        <v>0000808277</v>
      </c>
      <c r="C2671" t="str">
        <f t="shared" si="1100"/>
        <v>0000808194</v>
      </c>
      <c r="D2671" t="str">
        <f t="shared" si="1082"/>
        <v>73185</v>
      </c>
      <c r="E2671" t="str">
        <f t="shared" si="1083"/>
        <v>KFH-OPERATIONS DEPARTMENT</v>
      </c>
      <c r="F2671" t="str">
        <f t="shared" si="1084"/>
        <v>IBG</v>
      </c>
      <c r="G2671" t="str">
        <f t="shared" si="1095"/>
        <v>Refund COSHARE 10</v>
      </c>
      <c r="H2671" s="2">
        <v>593.5</v>
      </c>
      <c r="I2671" t="str">
        <f>"NORDIN BIN ALI"</f>
        <v>NORDIN BIN ALI</v>
      </c>
      <c r="J2671" t="str">
        <f t="shared" si="1096"/>
        <v>MAYBANK / MAYBANK ISLAMIC</v>
      </c>
      <c r="K2671" t="str">
        <f>"101030054154"</f>
        <v>101030054154</v>
      </c>
      <c r="L2671" t="str">
        <f t="shared" si="1101"/>
        <v>04-08-2020</v>
      </c>
      <c r="M2671" t="str">
        <f t="shared" si="1101"/>
        <v>04-08-2020</v>
      </c>
      <c r="N2671" t="str">
        <f t="shared" si="1085"/>
        <v>001105018356</v>
      </c>
      <c r="O2671" t="str">
        <f t="shared" si="1086"/>
        <v>MYR</v>
      </c>
      <c r="P2671" t="str">
        <f t="shared" si="1102"/>
        <v>NIL</v>
      </c>
      <c r="Q2671" t="str">
        <f t="shared" si="1102"/>
        <v>NIL</v>
      </c>
      <c r="R2671" t="str">
        <f t="shared" si="1087"/>
        <v>Accepted</v>
      </c>
      <c r="S2671" t="str">
        <f t="shared" si="1088"/>
        <v>Approved</v>
      </c>
      <c r="T2671" t="str">
        <f t="shared" si="1089"/>
        <v>10.20.8.188</v>
      </c>
      <c r="U2671" t="str">
        <f t="shared" si="1090"/>
        <v>AZRAD UMAR BIN SHAARI</v>
      </c>
      <c r="V2671" t="str">
        <f t="shared" si="1091"/>
        <v>FARHANA BINTI MUSTAPA</v>
      </c>
      <c r="W2671" t="str">
        <f t="shared" si="1092"/>
        <v>04-08-2020</v>
      </c>
      <c r="X2671" t="str">
        <f t="shared" si="1093"/>
        <v>RAZIMAH ANSAR AHMAD</v>
      </c>
      <c r="Y2671" t="str">
        <f t="shared" si="1094"/>
        <v>04-08-2020</v>
      </c>
      <c r="Z2671" t="str">
        <f>"COS10200804 6483"</f>
        <v>COS10200804 6483</v>
      </c>
    </row>
    <row r="2672" spans="1:26" x14ac:dyDescent="0.25">
      <c r="A2672" t="str">
        <f t="shared" si="1099"/>
        <v>04-08-2020 01:03:01</v>
      </c>
      <c r="B2672" t="str">
        <f>"0000808276"</f>
        <v>0000808276</v>
      </c>
      <c r="C2672" t="str">
        <f t="shared" si="1100"/>
        <v>0000808194</v>
      </c>
      <c r="D2672" t="str">
        <f t="shared" si="1082"/>
        <v>73185</v>
      </c>
      <c r="E2672" t="str">
        <f t="shared" si="1083"/>
        <v>KFH-OPERATIONS DEPARTMENT</v>
      </c>
      <c r="F2672" t="str">
        <f t="shared" si="1084"/>
        <v>IBG</v>
      </c>
      <c r="G2672" t="str">
        <f t="shared" si="1095"/>
        <v>Refund COSHARE 10</v>
      </c>
      <c r="H2672" s="2">
        <v>380</v>
      </c>
      <c r="I2672" t="str">
        <f>"NORDEN BIN SIRAT"</f>
        <v>NORDEN BIN SIRAT</v>
      </c>
      <c r="J2672" t="str">
        <f t="shared" si="1096"/>
        <v>MAYBANK / MAYBANK ISLAMIC</v>
      </c>
      <c r="K2672" t="str">
        <f>"162085390362"</f>
        <v>162085390362</v>
      </c>
      <c r="L2672" t="str">
        <f t="shared" si="1101"/>
        <v>04-08-2020</v>
      </c>
      <c r="M2672" t="str">
        <f t="shared" si="1101"/>
        <v>04-08-2020</v>
      </c>
      <c r="N2672" t="str">
        <f t="shared" si="1085"/>
        <v>001105018356</v>
      </c>
      <c r="O2672" t="str">
        <f t="shared" si="1086"/>
        <v>MYR</v>
      </c>
      <c r="P2672" t="str">
        <f t="shared" si="1102"/>
        <v>NIL</v>
      </c>
      <c r="Q2672" t="str">
        <f t="shared" si="1102"/>
        <v>NIL</v>
      </c>
      <c r="R2672" t="str">
        <f t="shared" si="1087"/>
        <v>Accepted</v>
      </c>
      <c r="S2672" t="str">
        <f t="shared" si="1088"/>
        <v>Approved</v>
      </c>
      <c r="T2672" t="str">
        <f t="shared" si="1089"/>
        <v>10.20.8.188</v>
      </c>
      <c r="U2672" t="str">
        <f t="shared" si="1090"/>
        <v>AZRAD UMAR BIN SHAARI</v>
      </c>
      <c r="V2672" t="str">
        <f t="shared" si="1091"/>
        <v>FARHANA BINTI MUSTAPA</v>
      </c>
      <c r="W2672" t="str">
        <f t="shared" si="1092"/>
        <v>04-08-2020</v>
      </c>
      <c r="X2672" t="str">
        <f t="shared" si="1093"/>
        <v>RAZIMAH ANSAR AHMAD</v>
      </c>
      <c r="Y2672" t="str">
        <f t="shared" si="1094"/>
        <v>04-08-2020</v>
      </c>
      <c r="Z2672" t="str">
        <f>"COS10200804 6482"</f>
        <v>COS10200804 6482</v>
      </c>
    </row>
    <row r="2673" spans="1:26" x14ac:dyDescent="0.25">
      <c r="A2673" t="str">
        <f t="shared" si="1099"/>
        <v>04-08-2020 01:03:01</v>
      </c>
      <c r="B2673" t="str">
        <f>"0000808275"</f>
        <v>0000808275</v>
      </c>
      <c r="C2673" t="str">
        <f t="shared" si="1100"/>
        <v>0000808194</v>
      </c>
      <c r="D2673" t="str">
        <f t="shared" si="1082"/>
        <v>73185</v>
      </c>
      <c r="E2673" t="str">
        <f t="shared" si="1083"/>
        <v>KFH-OPERATIONS DEPARTMENT</v>
      </c>
      <c r="F2673" t="str">
        <f t="shared" si="1084"/>
        <v>IBG</v>
      </c>
      <c r="G2673" t="str">
        <f t="shared" si="1095"/>
        <v>Refund COSHARE 10</v>
      </c>
      <c r="H2673" s="2">
        <v>176</v>
      </c>
      <c r="I2673" t="str">
        <f>"NORDALILAWATI BINTI MOHD NOR"</f>
        <v>NORDALILAWATI BINTI MOHD NOR</v>
      </c>
      <c r="J2673" t="str">
        <f t="shared" si="1096"/>
        <v>MAYBANK / MAYBANK ISLAMIC</v>
      </c>
      <c r="K2673" t="str">
        <f>"162384739029"</f>
        <v>162384739029</v>
      </c>
      <c r="L2673" t="str">
        <f t="shared" si="1101"/>
        <v>04-08-2020</v>
      </c>
      <c r="M2673" t="str">
        <f t="shared" si="1101"/>
        <v>04-08-2020</v>
      </c>
      <c r="N2673" t="str">
        <f t="shared" si="1085"/>
        <v>001105018356</v>
      </c>
      <c r="O2673" t="str">
        <f t="shared" si="1086"/>
        <v>MYR</v>
      </c>
      <c r="P2673" t="str">
        <f t="shared" si="1102"/>
        <v>NIL</v>
      </c>
      <c r="Q2673" t="str">
        <f t="shared" si="1102"/>
        <v>NIL</v>
      </c>
      <c r="R2673" t="str">
        <f t="shared" si="1087"/>
        <v>Accepted</v>
      </c>
      <c r="S2673" t="str">
        <f t="shared" si="1088"/>
        <v>Approved</v>
      </c>
      <c r="T2673" t="str">
        <f t="shared" si="1089"/>
        <v>10.20.8.188</v>
      </c>
      <c r="U2673" t="str">
        <f t="shared" si="1090"/>
        <v>AZRAD UMAR BIN SHAARI</v>
      </c>
      <c r="V2673" t="str">
        <f t="shared" si="1091"/>
        <v>FARHANA BINTI MUSTAPA</v>
      </c>
      <c r="W2673" t="str">
        <f t="shared" si="1092"/>
        <v>04-08-2020</v>
      </c>
      <c r="X2673" t="str">
        <f t="shared" si="1093"/>
        <v>RAZIMAH ANSAR AHMAD</v>
      </c>
      <c r="Y2673" t="str">
        <f t="shared" si="1094"/>
        <v>04-08-2020</v>
      </c>
      <c r="Z2673" t="str">
        <f>"COS10200804 6481"</f>
        <v>COS10200804 6481</v>
      </c>
    </row>
    <row r="2674" spans="1:26" x14ac:dyDescent="0.25">
      <c r="A2674" t="str">
        <f t="shared" si="1099"/>
        <v>04-08-2020 01:03:01</v>
      </c>
      <c r="B2674" t="str">
        <f>"0000808274"</f>
        <v>0000808274</v>
      </c>
      <c r="C2674" t="str">
        <f t="shared" si="1100"/>
        <v>0000808194</v>
      </c>
      <c r="D2674" t="str">
        <f t="shared" si="1082"/>
        <v>73185</v>
      </c>
      <c r="E2674" t="str">
        <f t="shared" si="1083"/>
        <v>KFH-OPERATIONS DEPARTMENT</v>
      </c>
      <c r="F2674" t="str">
        <f t="shared" si="1084"/>
        <v>IBG</v>
      </c>
      <c r="G2674" t="str">
        <f t="shared" si="1095"/>
        <v>Refund COSHARE 10</v>
      </c>
      <c r="H2674" s="2">
        <v>92.35</v>
      </c>
      <c r="I2674" t="str">
        <f>"NORBAZURA BINTI YUSOFF"</f>
        <v>NORBAZURA BINTI YUSOFF</v>
      </c>
      <c r="J2674" t="str">
        <f t="shared" si="1096"/>
        <v>MAYBANK / MAYBANK ISLAMIC</v>
      </c>
      <c r="K2674" t="str">
        <f>"151128016835"</f>
        <v>151128016835</v>
      </c>
      <c r="L2674" t="str">
        <f t="shared" si="1101"/>
        <v>04-08-2020</v>
      </c>
      <c r="M2674" t="str">
        <f t="shared" si="1101"/>
        <v>04-08-2020</v>
      </c>
      <c r="N2674" t="str">
        <f t="shared" si="1085"/>
        <v>001105018356</v>
      </c>
      <c r="O2674" t="str">
        <f t="shared" si="1086"/>
        <v>MYR</v>
      </c>
      <c r="P2674" t="str">
        <f t="shared" si="1102"/>
        <v>NIL</v>
      </c>
      <c r="Q2674" t="str">
        <f t="shared" si="1102"/>
        <v>NIL</v>
      </c>
      <c r="R2674" t="str">
        <f t="shared" si="1087"/>
        <v>Accepted</v>
      </c>
      <c r="S2674" t="str">
        <f t="shared" si="1088"/>
        <v>Approved</v>
      </c>
      <c r="T2674" t="str">
        <f t="shared" si="1089"/>
        <v>10.20.8.188</v>
      </c>
      <c r="U2674" t="str">
        <f t="shared" si="1090"/>
        <v>AZRAD UMAR BIN SHAARI</v>
      </c>
      <c r="V2674" t="str">
        <f t="shared" si="1091"/>
        <v>FARHANA BINTI MUSTAPA</v>
      </c>
      <c r="W2674" t="str">
        <f t="shared" si="1092"/>
        <v>04-08-2020</v>
      </c>
      <c r="X2674" t="str">
        <f t="shared" si="1093"/>
        <v>RAZIMAH ANSAR AHMAD</v>
      </c>
      <c r="Y2674" t="str">
        <f t="shared" si="1094"/>
        <v>04-08-2020</v>
      </c>
      <c r="Z2674" t="str">
        <f>"COS10200804 6480"</f>
        <v>COS10200804 6480</v>
      </c>
    </row>
    <row r="2675" spans="1:26" x14ac:dyDescent="0.25">
      <c r="A2675" t="str">
        <f t="shared" si="1099"/>
        <v>04-08-2020 01:03:01</v>
      </c>
      <c r="B2675" t="str">
        <f>"0000808273"</f>
        <v>0000808273</v>
      </c>
      <c r="C2675" t="str">
        <f t="shared" si="1100"/>
        <v>0000808194</v>
      </c>
      <c r="D2675" t="str">
        <f t="shared" si="1082"/>
        <v>73185</v>
      </c>
      <c r="E2675" t="str">
        <f t="shared" si="1083"/>
        <v>KFH-OPERATIONS DEPARTMENT</v>
      </c>
      <c r="F2675" t="str">
        <f t="shared" si="1084"/>
        <v>IBG</v>
      </c>
      <c r="G2675" t="str">
        <f t="shared" si="1095"/>
        <v>Refund COSHARE 10</v>
      </c>
      <c r="H2675" s="2">
        <v>751.9</v>
      </c>
      <c r="I2675" t="str">
        <f>"NORBANI BINTI BABA"</f>
        <v>NORBANI BINTI BABA</v>
      </c>
      <c r="J2675" t="str">
        <f t="shared" si="1096"/>
        <v>MAYBANK / MAYBANK ISLAMIC</v>
      </c>
      <c r="K2675" t="str">
        <f>"101132242009"</f>
        <v>101132242009</v>
      </c>
      <c r="L2675" t="str">
        <f t="shared" si="1101"/>
        <v>04-08-2020</v>
      </c>
      <c r="M2675" t="str">
        <f t="shared" si="1101"/>
        <v>04-08-2020</v>
      </c>
      <c r="N2675" t="str">
        <f t="shared" si="1085"/>
        <v>001105018356</v>
      </c>
      <c r="O2675" t="str">
        <f t="shared" si="1086"/>
        <v>MYR</v>
      </c>
      <c r="P2675" t="str">
        <f t="shared" si="1102"/>
        <v>NIL</v>
      </c>
      <c r="Q2675" t="str">
        <f t="shared" si="1102"/>
        <v>NIL</v>
      </c>
      <c r="R2675" t="str">
        <f t="shared" si="1087"/>
        <v>Accepted</v>
      </c>
      <c r="S2675" t="str">
        <f t="shared" si="1088"/>
        <v>Approved</v>
      </c>
      <c r="T2675" t="str">
        <f t="shared" si="1089"/>
        <v>10.20.8.188</v>
      </c>
      <c r="U2675" t="str">
        <f t="shared" si="1090"/>
        <v>AZRAD UMAR BIN SHAARI</v>
      </c>
      <c r="V2675" t="str">
        <f t="shared" si="1091"/>
        <v>FARHANA BINTI MUSTAPA</v>
      </c>
      <c r="W2675" t="str">
        <f t="shared" si="1092"/>
        <v>04-08-2020</v>
      </c>
      <c r="X2675" t="str">
        <f t="shared" si="1093"/>
        <v>RAZIMAH ANSAR AHMAD</v>
      </c>
      <c r="Y2675" t="str">
        <f t="shared" si="1094"/>
        <v>04-08-2020</v>
      </c>
      <c r="Z2675" t="str">
        <f>"COS10200804 6479"</f>
        <v>COS10200804 6479</v>
      </c>
    </row>
    <row r="2676" spans="1:26" x14ac:dyDescent="0.25">
      <c r="A2676" t="str">
        <f t="shared" si="1099"/>
        <v>04-08-2020 01:03:01</v>
      </c>
      <c r="B2676" t="str">
        <f>"0000808272"</f>
        <v>0000808272</v>
      </c>
      <c r="C2676" t="str">
        <f t="shared" si="1100"/>
        <v>0000808194</v>
      </c>
      <c r="D2676" t="str">
        <f t="shared" si="1082"/>
        <v>73185</v>
      </c>
      <c r="E2676" t="str">
        <f t="shared" si="1083"/>
        <v>KFH-OPERATIONS DEPARTMENT</v>
      </c>
      <c r="F2676" t="str">
        <f t="shared" si="1084"/>
        <v>IBG</v>
      </c>
      <c r="G2676" t="str">
        <f t="shared" si="1095"/>
        <v>Refund COSHARE 10</v>
      </c>
      <c r="H2676" s="2">
        <v>732.7</v>
      </c>
      <c r="I2676" t="str">
        <f>"NORBAINI BINTI ABU SAMAH"</f>
        <v>NORBAINI BINTI ABU SAMAH</v>
      </c>
      <c r="J2676" t="str">
        <f t="shared" si="1096"/>
        <v>MAYBANK / MAYBANK ISLAMIC</v>
      </c>
      <c r="K2676" t="str">
        <f>"114039341638"</f>
        <v>114039341638</v>
      </c>
      <c r="L2676" t="str">
        <f t="shared" si="1101"/>
        <v>04-08-2020</v>
      </c>
      <c r="M2676" t="str">
        <f t="shared" si="1101"/>
        <v>04-08-2020</v>
      </c>
      <c r="N2676" t="str">
        <f t="shared" si="1085"/>
        <v>001105018356</v>
      </c>
      <c r="O2676" t="str">
        <f t="shared" si="1086"/>
        <v>MYR</v>
      </c>
      <c r="P2676" t="str">
        <f t="shared" si="1102"/>
        <v>NIL</v>
      </c>
      <c r="Q2676" t="str">
        <f t="shared" si="1102"/>
        <v>NIL</v>
      </c>
      <c r="R2676" t="str">
        <f t="shared" si="1087"/>
        <v>Accepted</v>
      </c>
      <c r="S2676" t="str">
        <f t="shared" si="1088"/>
        <v>Approved</v>
      </c>
      <c r="T2676" t="str">
        <f t="shared" si="1089"/>
        <v>10.20.8.188</v>
      </c>
      <c r="U2676" t="str">
        <f t="shared" si="1090"/>
        <v>AZRAD UMAR BIN SHAARI</v>
      </c>
      <c r="V2676" t="str">
        <f t="shared" si="1091"/>
        <v>FARHANA BINTI MUSTAPA</v>
      </c>
      <c r="W2676" t="str">
        <f t="shared" si="1092"/>
        <v>04-08-2020</v>
      </c>
      <c r="X2676" t="str">
        <f t="shared" si="1093"/>
        <v>RAZIMAH ANSAR AHMAD</v>
      </c>
      <c r="Y2676" t="str">
        <f t="shared" si="1094"/>
        <v>04-08-2020</v>
      </c>
      <c r="Z2676" t="str">
        <f>"COS10200804 6478"</f>
        <v>COS10200804 6478</v>
      </c>
    </row>
    <row r="2677" spans="1:26" x14ac:dyDescent="0.25">
      <c r="A2677" t="str">
        <f t="shared" si="1099"/>
        <v>04-08-2020 01:03:01</v>
      </c>
      <c r="B2677" t="str">
        <f>"0000808271"</f>
        <v>0000808271</v>
      </c>
      <c r="C2677" t="str">
        <f t="shared" si="1100"/>
        <v>0000808194</v>
      </c>
      <c r="D2677" t="str">
        <f t="shared" si="1082"/>
        <v>73185</v>
      </c>
      <c r="E2677" t="str">
        <f t="shared" si="1083"/>
        <v>KFH-OPERATIONS DEPARTMENT</v>
      </c>
      <c r="F2677" t="str">
        <f t="shared" si="1084"/>
        <v>IBG</v>
      </c>
      <c r="G2677" t="str">
        <f t="shared" si="1095"/>
        <v>Refund COSHARE 10</v>
      </c>
      <c r="H2677" s="2">
        <v>67.2</v>
      </c>
      <c r="I2677" t="str">
        <f>"NORAZZAH BINTI ABDULLAH"</f>
        <v>NORAZZAH BINTI ABDULLAH</v>
      </c>
      <c r="J2677" t="str">
        <f t="shared" si="1096"/>
        <v>MAYBANK / MAYBANK ISLAMIC</v>
      </c>
      <c r="K2677" t="str">
        <f>"158275067879"</f>
        <v>158275067879</v>
      </c>
      <c r="L2677" t="str">
        <f t="shared" si="1101"/>
        <v>04-08-2020</v>
      </c>
      <c r="M2677" t="str">
        <f t="shared" si="1101"/>
        <v>04-08-2020</v>
      </c>
      <c r="N2677" t="str">
        <f t="shared" si="1085"/>
        <v>001105018356</v>
      </c>
      <c r="O2677" t="str">
        <f t="shared" si="1086"/>
        <v>MYR</v>
      </c>
      <c r="P2677" t="str">
        <f t="shared" si="1102"/>
        <v>NIL</v>
      </c>
      <c r="Q2677" t="str">
        <f t="shared" si="1102"/>
        <v>NIL</v>
      </c>
      <c r="R2677" t="str">
        <f t="shared" si="1087"/>
        <v>Accepted</v>
      </c>
      <c r="S2677" t="str">
        <f t="shared" si="1088"/>
        <v>Approved</v>
      </c>
      <c r="T2677" t="str">
        <f t="shared" si="1089"/>
        <v>10.20.8.188</v>
      </c>
      <c r="U2677" t="str">
        <f t="shared" si="1090"/>
        <v>AZRAD UMAR BIN SHAARI</v>
      </c>
      <c r="V2677" t="str">
        <f t="shared" si="1091"/>
        <v>FARHANA BINTI MUSTAPA</v>
      </c>
      <c r="W2677" t="str">
        <f t="shared" si="1092"/>
        <v>04-08-2020</v>
      </c>
      <c r="X2677" t="str">
        <f t="shared" si="1093"/>
        <v>RAZIMAH ANSAR AHMAD</v>
      </c>
      <c r="Y2677" t="str">
        <f t="shared" si="1094"/>
        <v>04-08-2020</v>
      </c>
      <c r="Z2677" t="str">
        <f>"COS10200804 6477"</f>
        <v>COS10200804 6477</v>
      </c>
    </row>
    <row r="2678" spans="1:26" x14ac:dyDescent="0.25">
      <c r="A2678" t="str">
        <f t="shared" si="1099"/>
        <v>04-08-2020 01:03:01</v>
      </c>
      <c r="B2678" t="str">
        <f>"0000808270"</f>
        <v>0000808270</v>
      </c>
      <c r="C2678" t="str">
        <f t="shared" si="1100"/>
        <v>0000808194</v>
      </c>
      <c r="D2678" t="str">
        <f t="shared" si="1082"/>
        <v>73185</v>
      </c>
      <c r="E2678" t="str">
        <f t="shared" si="1083"/>
        <v>KFH-OPERATIONS DEPARTMENT</v>
      </c>
      <c r="F2678" t="str">
        <f t="shared" si="1084"/>
        <v>IBG</v>
      </c>
      <c r="G2678" t="str">
        <f t="shared" si="1095"/>
        <v>Refund COSHARE 10</v>
      </c>
      <c r="H2678" s="2">
        <v>228</v>
      </c>
      <c r="I2678" t="str">
        <f>"NORAZZAH BINTI ABDULLAH"</f>
        <v>NORAZZAH BINTI ABDULLAH</v>
      </c>
      <c r="J2678" t="str">
        <f t="shared" si="1096"/>
        <v>MAYBANK / MAYBANK ISLAMIC</v>
      </c>
      <c r="K2678" t="str">
        <f>"158275067879"</f>
        <v>158275067879</v>
      </c>
      <c r="L2678" t="str">
        <f t="shared" si="1101"/>
        <v>04-08-2020</v>
      </c>
      <c r="M2678" t="str">
        <f t="shared" si="1101"/>
        <v>04-08-2020</v>
      </c>
      <c r="N2678" t="str">
        <f t="shared" si="1085"/>
        <v>001105018356</v>
      </c>
      <c r="O2678" t="str">
        <f t="shared" si="1086"/>
        <v>MYR</v>
      </c>
      <c r="P2678" t="str">
        <f t="shared" si="1102"/>
        <v>NIL</v>
      </c>
      <c r="Q2678" t="str">
        <f t="shared" si="1102"/>
        <v>NIL</v>
      </c>
      <c r="R2678" t="str">
        <f t="shared" si="1087"/>
        <v>Accepted</v>
      </c>
      <c r="S2678" t="str">
        <f t="shared" si="1088"/>
        <v>Approved</v>
      </c>
      <c r="T2678" t="str">
        <f t="shared" si="1089"/>
        <v>10.20.8.188</v>
      </c>
      <c r="U2678" t="str">
        <f t="shared" si="1090"/>
        <v>AZRAD UMAR BIN SHAARI</v>
      </c>
      <c r="V2678" t="str">
        <f t="shared" si="1091"/>
        <v>FARHANA BINTI MUSTAPA</v>
      </c>
      <c r="W2678" t="str">
        <f t="shared" si="1092"/>
        <v>04-08-2020</v>
      </c>
      <c r="X2678" t="str">
        <f t="shared" si="1093"/>
        <v>RAZIMAH ANSAR AHMAD</v>
      </c>
      <c r="Y2678" t="str">
        <f t="shared" si="1094"/>
        <v>04-08-2020</v>
      </c>
      <c r="Z2678" t="str">
        <f>"COS10200804 6476"</f>
        <v>COS10200804 6476</v>
      </c>
    </row>
    <row r="2679" spans="1:26" x14ac:dyDescent="0.25">
      <c r="A2679" t="str">
        <f t="shared" si="1099"/>
        <v>04-08-2020 01:03:01</v>
      </c>
      <c r="B2679" t="str">
        <f>"0000808269"</f>
        <v>0000808269</v>
      </c>
      <c r="C2679" t="str">
        <f t="shared" si="1100"/>
        <v>0000808194</v>
      </c>
      <c r="D2679" t="str">
        <f t="shared" si="1082"/>
        <v>73185</v>
      </c>
      <c r="E2679" t="str">
        <f t="shared" si="1083"/>
        <v>KFH-OPERATIONS DEPARTMENT</v>
      </c>
      <c r="F2679" t="str">
        <f t="shared" si="1084"/>
        <v>IBG</v>
      </c>
      <c r="G2679" t="str">
        <f t="shared" si="1095"/>
        <v>Refund COSHARE 10</v>
      </c>
      <c r="H2679" s="2">
        <v>629.65</v>
      </c>
      <c r="I2679" t="str">
        <f>"NORAZUIN BINTI MOHDSARUAN"</f>
        <v>NORAZUIN BINTI MOHDSARUAN</v>
      </c>
      <c r="J2679" t="str">
        <f t="shared" si="1096"/>
        <v>MAYBANK / MAYBANK ISLAMIC</v>
      </c>
      <c r="K2679" t="str">
        <f>"162393732093"</f>
        <v>162393732093</v>
      </c>
      <c r="L2679" t="str">
        <f t="shared" si="1101"/>
        <v>04-08-2020</v>
      </c>
      <c r="M2679" t="str">
        <f t="shared" si="1101"/>
        <v>04-08-2020</v>
      </c>
      <c r="N2679" t="str">
        <f t="shared" si="1085"/>
        <v>001105018356</v>
      </c>
      <c r="O2679" t="str">
        <f t="shared" si="1086"/>
        <v>MYR</v>
      </c>
      <c r="P2679" t="str">
        <f t="shared" si="1102"/>
        <v>NIL</v>
      </c>
      <c r="Q2679" t="str">
        <f t="shared" si="1102"/>
        <v>NIL</v>
      </c>
      <c r="R2679" t="str">
        <f t="shared" si="1087"/>
        <v>Accepted</v>
      </c>
      <c r="S2679" t="str">
        <f t="shared" si="1088"/>
        <v>Approved</v>
      </c>
      <c r="T2679" t="str">
        <f t="shared" si="1089"/>
        <v>10.20.8.188</v>
      </c>
      <c r="U2679" t="str">
        <f t="shared" si="1090"/>
        <v>AZRAD UMAR BIN SHAARI</v>
      </c>
      <c r="V2679" t="str">
        <f t="shared" si="1091"/>
        <v>FARHANA BINTI MUSTAPA</v>
      </c>
      <c r="W2679" t="str">
        <f t="shared" si="1092"/>
        <v>04-08-2020</v>
      </c>
      <c r="X2679" t="str">
        <f t="shared" si="1093"/>
        <v>RAZIMAH ANSAR AHMAD</v>
      </c>
      <c r="Y2679" t="str">
        <f t="shared" si="1094"/>
        <v>04-08-2020</v>
      </c>
      <c r="Z2679" t="str">
        <f>"COS10200804 6475"</f>
        <v>COS10200804 6475</v>
      </c>
    </row>
    <row r="2680" spans="1:26" x14ac:dyDescent="0.25">
      <c r="A2680" t="str">
        <f t="shared" si="1099"/>
        <v>04-08-2020 01:03:01</v>
      </c>
      <c r="B2680" t="str">
        <f>"0000808268"</f>
        <v>0000808268</v>
      </c>
      <c r="C2680" t="str">
        <f t="shared" si="1100"/>
        <v>0000808194</v>
      </c>
      <c r="D2680" t="str">
        <f t="shared" si="1082"/>
        <v>73185</v>
      </c>
      <c r="E2680" t="str">
        <f t="shared" si="1083"/>
        <v>KFH-OPERATIONS DEPARTMENT</v>
      </c>
      <c r="F2680" t="str">
        <f t="shared" si="1084"/>
        <v>IBG</v>
      </c>
      <c r="G2680" t="str">
        <f t="shared" si="1095"/>
        <v>Refund COSHARE 10</v>
      </c>
      <c r="H2680" s="2">
        <v>491.15</v>
      </c>
      <c r="I2680" t="str">
        <f>"NORAZRINA BT ABDUL KARIM"</f>
        <v>NORAZRINA BT ABDUL KARIM</v>
      </c>
      <c r="J2680" t="str">
        <f t="shared" si="1096"/>
        <v>MAYBANK / MAYBANK ISLAMIC</v>
      </c>
      <c r="K2680" t="str">
        <f>"162311016006"</f>
        <v>162311016006</v>
      </c>
      <c r="L2680" t="str">
        <f t="shared" si="1101"/>
        <v>04-08-2020</v>
      </c>
      <c r="M2680" t="str">
        <f t="shared" si="1101"/>
        <v>04-08-2020</v>
      </c>
      <c r="N2680" t="str">
        <f t="shared" si="1085"/>
        <v>001105018356</v>
      </c>
      <c r="O2680" t="str">
        <f t="shared" si="1086"/>
        <v>MYR</v>
      </c>
      <c r="P2680" t="str">
        <f t="shared" si="1102"/>
        <v>NIL</v>
      </c>
      <c r="Q2680" t="str">
        <f t="shared" si="1102"/>
        <v>NIL</v>
      </c>
      <c r="R2680" t="str">
        <f t="shared" si="1087"/>
        <v>Accepted</v>
      </c>
      <c r="S2680" t="str">
        <f t="shared" si="1088"/>
        <v>Approved</v>
      </c>
      <c r="T2680" t="str">
        <f t="shared" si="1089"/>
        <v>10.20.8.188</v>
      </c>
      <c r="U2680" t="str">
        <f t="shared" si="1090"/>
        <v>AZRAD UMAR BIN SHAARI</v>
      </c>
      <c r="V2680" t="str">
        <f t="shared" si="1091"/>
        <v>FARHANA BINTI MUSTAPA</v>
      </c>
      <c r="W2680" t="str">
        <f t="shared" si="1092"/>
        <v>04-08-2020</v>
      </c>
      <c r="X2680" t="str">
        <f t="shared" si="1093"/>
        <v>RAZIMAH ANSAR AHMAD</v>
      </c>
      <c r="Y2680" t="str">
        <f t="shared" si="1094"/>
        <v>04-08-2020</v>
      </c>
      <c r="Z2680" t="str">
        <f>"COS10200804 6474"</f>
        <v>COS10200804 6474</v>
      </c>
    </row>
    <row r="2681" spans="1:26" x14ac:dyDescent="0.25">
      <c r="A2681" t="str">
        <f t="shared" si="1099"/>
        <v>04-08-2020 01:03:01</v>
      </c>
      <c r="B2681" t="str">
        <f>"0000808267"</f>
        <v>0000808267</v>
      </c>
      <c r="C2681" t="str">
        <f t="shared" si="1100"/>
        <v>0000808194</v>
      </c>
      <c r="D2681" t="str">
        <f t="shared" si="1082"/>
        <v>73185</v>
      </c>
      <c r="E2681" t="str">
        <f t="shared" si="1083"/>
        <v>KFH-OPERATIONS DEPARTMENT</v>
      </c>
      <c r="F2681" t="str">
        <f t="shared" si="1084"/>
        <v>IBG</v>
      </c>
      <c r="G2681" t="str">
        <f t="shared" si="1095"/>
        <v>Refund COSHARE 10</v>
      </c>
      <c r="H2681" s="2">
        <v>117.55</v>
      </c>
      <c r="I2681" t="str">
        <f>"NORAZMI BIN A ZAMAN"</f>
        <v>NORAZMI BIN A ZAMAN</v>
      </c>
      <c r="J2681" t="str">
        <f t="shared" si="1096"/>
        <v>MAYBANK / MAYBANK ISLAMIC</v>
      </c>
      <c r="K2681" t="str">
        <f>"156011871896"</f>
        <v>156011871896</v>
      </c>
      <c r="L2681" t="str">
        <f t="shared" si="1101"/>
        <v>04-08-2020</v>
      </c>
      <c r="M2681" t="str">
        <f t="shared" si="1101"/>
        <v>04-08-2020</v>
      </c>
      <c r="N2681" t="str">
        <f t="shared" si="1085"/>
        <v>001105018356</v>
      </c>
      <c r="O2681" t="str">
        <f t="shared" si="1086"/>
        <v>MYR</v>
      </c>
      <c r="P2681" t="str">
        <f t="shared" si="1102"/>
        <v>NIL</v>
      </c>
      <c r="Q2681" t="str">
        <f t="shared" si="1102"/>
        <v>NIL</v>
      </c>
      <c r="R2681" t="str">
        <f t="shared" si="1087"/>
        <v>Accepted</v>
      </c>
      <c r="S2681" t="str">
        <f t="shared" si="1088"/>
        <v>Approved</v>
      </c>
      <c r="T2681" t="str">
        <f t="shared" si="1089"/>
        <v>10.20.8.188</v>
      </c>
      <c r="U2681" t="str">
        <f t="shared" si="1090"/>
        <v>AZRAD UMAR BIN SHAARI</v>
      </c>
      <c r="V2681" t="str">
        <f t="shared" si="1091"/>
        <v>FARHANA BINTI MUSTAPA</v>
      </c>
      <c r="W2681" t="str">
        <f t="shared" si="1092"/>
        <v>04-08-2020</v>
      </c>
      <c r="X2681" t="str">
        <f t="shared" si="1093"/>
        <v>RAZIMAH ANSAR AHMAD</v>
      </c>
      <c r="Y2681" t="str">
        <f t="shared" si="1094"/>
        <v>04-08-2020</v>
      </c>
      <c r="Z2681" t="str">
        <f>"COS10200804 6473"</f>
        <v>COS10200804 6473</v>
      </c>
    </row>
    <row r="2682" spans="1:26" x14ac:dyDescent="0.25">
      <c r="A2682" t="str">
        <f t="shared" ref="A2682:A2713" si="1103">"04-08-2020 01:03:01"</f>
        <v>04-08-2020 01:03:01</v>
      </c>
      <c r="B2682" t="str">
        <f>"0000808266"</f>
        <v>0000808266</v>
      </c>
      <c r="C2682" t="str">
        <f t="shared" ref="C2682:C2713" si="1104">"0000808194"</f>
        <v>0000808194</v>
      </c>
      <c r="D2682" t="str">
        <f t="shared" si="1082"/>
        <v>73185</v>
      </c>
      <c r="E2682" t="str">
        <f t="shared" si="1083"/>
        <v>KFH-OPERATIONS DEPARTMENT</v>
      </c>
      <c r="F2682" t="str">
        <f t="shared" si="1084"/>
        <v>IBG</v>
      </c>
      <c r="G2682" t="str">
        <f t="shared" si="1095"/>
        <v>Refund COSHARE 10</v>
      </c>
      <c r="H2682" s="2">
        <v>635.20000000000005</v>
      </c>
      <c r="I2682" t="str">
        <f>"NORAZMAN BIN NORDIN"</f>
        <v>NORAZMAN BIN NORDIN</v>
      </c>
      <c r="J2682" t="str">
        <f t="shared" si="1096"/>
        <v>MAYBANK / MAYBANK ISLAMIC</v>
      </c>
      <c r="K2682" t="str">
        <f>"166010038759"</f>
        <v>166010038759</v>
      </c>
      <c r="L2682" t="str">
        <f t="shared" si="1101"/>
        <v>04-08-2020</v>
      </c>
      <c r="M2682" t="str">
        <f t="shared" si="1101"/>
        <v>04-08-2020</v>
      </c>
      <c r="N2682" t="str">
        <f t="shared" si="1085"/>
        <v>001105018356</v>
      </c>
      <c r="O2682" t="str">
        <f t="shared" si="1086"/>
        <v>MYR</v>
      </c>
      <c r="P2682" t="str">
        <f t="shared" si="1102"/>
        <v>NIL</v>
      </c>
      <c r="Q2682" t="str">
        <f t="shared" si="1102"/>
        <v>NIL</v>
      </c>
      <c r="R2682" t="str">
        <f t="shared" si="1087"/>
        <v>Accepted</v>
      </c>
      <c r="S2682" t="str">
        <f t="shared" si="1088"/>
        <v>Approved</v>
      </c>
      <c r="T2682" t="str">
        <f t="shared" si="1089"/>
        <v>10.20.8.188</v>
      </c>
      <c r="U2682" t="str">
        <f t="shared" si="1090"/>
        <v>AZRAD UMAR BIN SHAARI</v>
      </c>
      <c r="V2682" t="str">
        <f t="shared" si="1091"/>
        <v>FARHANA BINTI MUSTAPA</v>
      </c>
      <c r="W2682" t="str">
        <f t="shared" si="1092"/>
        <v>04-08-2020</v>
      </c>
      <c r="X2682" t="str">
        <f t="shared" si="1093"/>
        <v>RAZIMAH ANSAR AHMAD</v>
      </c>
      <c r="Y2682" t="str">
        <f t="shared" si="1094"/>
        <v>04-08-2020</v>
      </c>
      <c r="Z2682" t="str">
        <f>"COS10200804 6472"</f>
        <v>COS10200804 6472</v>
      </c>
    </row>
    <row r="2683" spans="1:26" x14ac:dyDescent="0.25">
      <c r="A2683" t="str">
        <f t="shared" si="1103"/>
        <v>04-08-2020 01:03:01</v>
      </c>
      <c r="B2683" t="str">
        <f>"0000808265"</f>
        <v>0000808265</v>
      </c>
      <c r="C2683" t="str">
        <f t="shared" si="1104"/>
        <v>0000808194</v>
      </c>
      <c r="D2683" t="str">
        <f t="shared" si="1082"/>
        <v>73185</v>
      </c>
      <c r="E2683" t="str">
        <f t="shared" si="1083"/>
        <v>KFH-OPERATIONS DEPARTMENT</v>
      </c>
      <c r="F2683" t="str">
        <f t="shared" si="1084"/>
        <v>IBG</v>
      </c>
      <c r="G2683" t="str">
        <f t="shared" si="1095"/>
        <v>Refund COSHARE 10</v>
      </c>
      <c r="H2683" s="2">
        <v>503.7</v>
      </c>
      <c r="I2683" t="str">
        <f>"NORAZMAH BINTI MOHD YUNOS"</f>
        <v>NORAZMAH BINTI MOHD YUNOS</v>
      </c>
      <c r="J2683" t="str">
        <f t="shared" si="1096"/>
        <v>MAYBANK / MAYBANK ISLAMIC</v>
      </c>
      <c r="K2683" t="str">
        <f>"114012142438"</f>
        <v>114012142438</v>
      </c>
      <c r="L2683" t="str">
        <f t="shared" si="1101"/>
        <v>04-08-2020</v>
      </c>
      <c r="M2683" t="str">
        <f t="shared" si="1101"/>
        <v>04-08-2020</v>
      </c>
      <c r="N2683" t="str">
        <f t="shared" si="1085"/>
        <v>001105018356</v>
      </c>
      <c r="O2683" t="str">
        <f t="shared" si="1086"/>
        <v>MYR</v>
      </c>
      <c r="P2683" t="str">
        <f t="shared" si="1102"/>
        <v>NIL</v>
      </c>
      <c r="Q2683" t="str">
        <f t="shared" si="1102"/>
        <v>NIL</v>
      </c>
      <c r="R2683" t="str">
        <f t="shared" si="1087"/>
        <v>Accepted</v>
      </c>
      <c r="S2683" t="str">
        <f t="shared" si="1088"/>
        <v>Approved</v>
      </c>
      <c r="T2683" t="str">
        <f t="shared" si="1089"/>
        <v>10.20.8.188</v>
      </c>
      <c r="U2683" t="str">
        <f t="shared" si="1090"/>
        <v>AZRAD UMAR BIN SHAARI</v>
      </c>
      <c r="V2683" t="str">
        <f t="shared" si="1091"/>
        <v>FARHANA BINTI MUSTAPA</v>
      </c>
      <c r="W2683" t="str">
        <f t="shared" si="1092"/>
        <v>04-08-2020</v>
      </c>
      <c r="X2683" t="str">
        <f t="shared" si="1093"/>
        <v>RAZIMAH ANSAR AHMAD</v>
      </c>
      <c r="Y2683" t="str">
        <f t="shared" si="1094"/>
        <v>04-08-2020</v>
      </c>
      <c r="Z2683" t="str">
        <f>"COS10200804 6471"</f>
        <v>COS10200804 6471</v>
      </c>
    </row>
    <row r="2684" spans="1:26" x14ac:dyDescent="0.25">
      <c r="A2684" t="str">
        <f t="shared" si="1103"/>
        <v>04-08-2020 01:03:01</v>
      </c>
      <c r="B2684" t="str">
        <f>"0000808264"</f>
        <v>0000808264</v>
      </c>
      <c r="C2684" t="str">
        <f t="shared" si="1104"/>
        <v>0000808194</v>
      </c>
      <c r="D2684" t="str">
        <f t="shared" si="1082"/>
        <v>73185</v>
      </c>
      <c r="E2684" t="str">
        <f t="shared" si="1083"/>
        <v>KFH-OPERATIONS DEPARTMENT</v>
      </c>
      <c r="F2684" t="str">
        <f t="shared" si="1084"/>
        <v>IBG</v>
      </c>
      <c r="G2684" t="str">
        <f t="shared" si="1095"/>
        <v>Refund COSHARE 10</v>
      </c>
      <c r="H2684" s="2">
        <v>83.95</v>
      </c>
      <c r="I2684" t="str">
        <f>"NORAZLIZA BINTI ABDUL KARIM"</f>
        <v>NORAZLIZA BINTI ABDUL KARIM</v>
      </c>
      <c r="J2684" t="str">
        <f t="shared" si="1096"/>
        <v>MAYBANK / MAYBANK ISLAMIC</v>
      </c>
      <c r="K2684" t="str">
        <f>"101106052893"</f>
        <v>101106052893</v>
      </c>
      <c r="L2684" t="str">
        <f t="shared" si="1101"/>
        <v>04-08-2020</v>
      </c>
      <c r="M2684" t="str">
        <f t="shared" si="1101"/>
        <v>04-08-2020</v>
      </c>
      <c r="N2684" t="str">
        <f t="shared" si="1085"/>
        <v>001105018356</v>
      </c>
      <c r="O2684" t="str">
        <f t="shared" si="1086"/>
        <v>MYR</v>
      </c>
      <c r="P2684" t="str">
        <f t="shared" si="1102"/>
        <v>NIL</v>
      </c>
      <c r="Q2684" t="str">
        <f t="shared" si="1102"/>
        <v>NIL</v>
      </c>
      <c r="R2684" t="str">
        <f t="shared" si="1087"/>
        <v>Accepted</v>
      </c>
      <c r="S2684" t="str">
        <f t="shared" si="1088"/>
        <v>Approved</v>
      </c>
      <c r="T2684" t="str">
        <f t="shared" si="1089"/>
        <v>10.20.8.188</v>
      </c>
      <c r="U2684" t="str">
        <f t="shared" si="1090"/>
        <v>AZRAD UMAR BIN SHAARI</v>
      </c>
      <c r="V2684" t="str">
        <f t="shared" si="1091"/>
        <v>FARHANA BINTI MUSTAPA</v>
      </c>
      <c r="W2684" t="str">
        <f t="shared" si="1092"/>
        <v>04-08-2020</v>
      </c>
      <c r="X2684" t="str">
        <f t="shared" si="1093"/>
        <v>RAZIMAH ANSAR AHMAD</v>
      </c>
      <c r="Y2684" t="str">
        <f t="shared" si="1094"/>
        <v>04-08-2020</v>
      </c>
      <c r="Z2684" t="str">
        <f>"COS10200804 6470"</f>
        <v>COS10200804 6470</v>
      </c>
    </row>
    <row r="2685" spans="1:26" x14ac:dyDescent="0.25">
      <c r="A2685" t="str">
        <f t="shared" si="1103"/>
        <v>04-08-2020 01:03:01</v>
      </c>
      <c r="B2685" t="str">
        <f>"0000808263"</f>
        <v>0000808263</v>
      </c>
      <c r="C2685" t="str">
        <f t="shared" si="1104"/>
        <v>0000808194</v>
      </c>
      <c r="D2685" t="str">
        <f t="shared" si="1082"/>
        <v>73185</v>
      </c>
      <c r="E2685" t="str">
        <f t="shared" si="1083"/>
        <v>KFH-OPERATIONS DEPARTMENT</v>
      </c>
      <c r="F2685" t="str">
        <f t="shared" si="1084"/>
        <v>IBG</v>
      </c>
      <c r="G2685" t="str">
        <f t="shared" si="1095"/>
        <v>Refund COSHARE 10</v>
      </c>
      <c r="H2685" s="2">
        <v>503.7</v>
      </c>
      <c r="I2685" t="str">
        <f>"NORAZLITA BINTI ABDUL RANI"</f>
        <v>NORAZLITA BINTI ABDUL RANI</v>
      </c>
      <c r="J2685" t="str">
        <f t="shared" si="1096"/>
        <v>MAYBANK / MAYBANK ISLAMIC</v>
      </c>
      <c r="K2685" t="str">
        <f>"152040253063"</f>
        <v>152040253063</v>
      </c>
      <c r="L2685" t="str">
        <f t="shared" si="1101"/>
        <v>04-08-2020</v>
      </c>
      <c r="M2685" t="str">
        <f t="shared" si="1101"/>
        <v>04-08-2020</v>
      </c>
      <c r="N2685" t="str">
        <f t="shared" si="1085"/>
        <v>001105018356</v>
      </c>
      <c r="O2685" t="str">
        <f t="shared" si="1086"/>
        <v>MYR</v>
      </c>
      <c r="P2685" t="str">
        <f t="shared" si="1102"/>
        <v>NIL</v>
      </c>
      <c r="Q2685" t="str">
        <f t="shared" si="1102"/>
        <v>NIL</v>
      </c>
      <c r="R2685" t="str">
        <f t="shared" si="1087"/>
        <v>Accepted</v>
      </c>
      <c r="S2685" t="str">
        <f t="shared" si="1088"/>
        <v>Approved</v>
      </c>
      <c r="T2685" t="str">
        <f t="shared" si="1089"/>
        <v>10.20.8.188</v>
      </c>
      <c r="U2685" t="str">
        <f t="shared" si="1090"/>
        <v>AZRAD UMAR BIN SHAARI</v>
      </c>
      <c r="V2685" t="str">
        <f t="shared" si="1091"/>
        <v>FARHANA BINTI MUSTAPA</v>
      </c>
      <c r="W2685" t="str">
        <f t="shared" si="1092"/>
        <v>04-08-2020</v>
      </c>
      <c r="X2685" t="str">
        <f t="shared" si="1093"/>
        <v>RAZIMAH ANSAR AHMAD</v>
      </c>
      <c r="Y2685" t="str">
        <f t="shared" si="1094"/>
        <v>04-08-2020</v>
      </c>
      <c r="Z2685" t="str">
        <f>"COS10200804 6469"</f>
        <v>COS10200804 6469</v>
      </c>
    </row>
    <row r="2686" spans="1:26" x14ac:dyDescent="0.25">
      <c r="A2686" t="str">
        <f t="shared" si="1103"/>
        <v>04-08-2020 01:03:01</v>
      </c>
      <c r="B2686" t="str">
        <f>"0000808262"</f>
        <v>0000808262</v>
      </c>
      <c r="C2686" t="str">
        <f t="shared" si="1104"/>
        <v>0000808194</v>
      </c>
      <c r="D2686" t="str">
        <f t="shared" si="1082"/>
        <v>73185</v>
      </c>
      <c r="E2686" t="str">
        <f t="shared" si="1083"/>
        <v>KFH-OPERATIONS DEPARTMENT</v>
      </c>
      <c r="F2686" t="str">
        <f t="shared" si="1084"/>
        <v>IBG</v>
      </c>
      <c r="G2686" t="str">
        <f t="shared" si="1095"/>
        <v>Refund COSHARE 10</v>
      </c>
      <c r="H2686" s="2">
        <v>671.6</v>
      </c>
      <c r="I2686" t="str">
        <f>"NORAZLINAH BINTI SUITO"</f>
        <v>NORAZLINAH BINTI SUITO</v>
      </c>
      <c r="J2686" t="str">
        <f t="shared" si="1096"/>
        <v>MAYBANK / MAYBANK ISLAMIC</v>
      </c>
      <c r="K2686" t="str">
        <f>"164212272302"</f>
        <v>164212272302</v>
      </c>
      <c r="L2686" t="str">
        <f t="shared" si="1101"/>
        <v>04-08-2020</v>
      </c>
      <c r="M2686" t="str">
        <f t="shared" si="1101"/>
        <v>04-08-2020</v>
      </c>
      <c r="N2686" t="str">
        <f t="shared" si="1085"/>
        <v>001105018356</v>
      </c>
      <c r="O2686" t="str">
        <f t="shared" si="1086"/>
        <v>MYR</v>
      </c>
      <c r="P2686" t="str">
        <f t="shared" si="1102"/>
        <v>NIL</v>
      </c>
      <c r="Q2686" t="str">
        <f t="shared" si="1102"/>
        <v>NIL</v>
      </c>
      <c r="R2686" t="str">
        <f t="shared" si="1087"/>
        <v>Accepted</v>
      </c>
      <c r="S2686" t="str">
        <f t="shared" si="1088"/>
        <v>Approved</v>
      </c>
      <c r="T2686" t="str">
        <f t="shared" si="1089"/>
        <v>10.20.8.188</v>
      </c>
      <c r="U2686" t="str">
        <f t="shared" si="1090"/>
        <v>AZRAD UMAR BIN SHAARI</v>
      </c>
      <c r="V2686" t="str">
        <f t="shared" si="1091"/>
        <v>FARHANA BINTI MUSTAPA</v>
      </c>
      <c r="W2686" t="str">
        <f t="shared" si="1092"/>
        <v>04-08-2020</v>
      </c>
      <c r="X2686" t="str">
        <f t="shared" si="1093"/>
        <v>RAZIMAH ANSAR AHMAD</v>
      </c>
      <c r="Y2686" t="str">
        <f t="shared" si="1094"/>
        <v>04-08-2020</v>
      </c>
      <c r="Z2686" t="str">
        <f>"COS10200804 6468"</f>
        <v>COS10200804 6468</v>
      </c>
    </row>
    <row r="2687" spans="1:26" x14ac:dyDescent="0.25">
      <c r="A2687" t="str">
        <f t="shared" si="1103"/>
        <v>04-08-2020 01:03:01</v>
      </c>
      <c r="B2687" t="str">
        <f>"0000808261"</f>
        <v>0000808261</v>
      </c>
      <c r="C2687" t="str">
        <f t="shared" si="1104"/>
        <v>0000808194</v>
      </c>
      <c r="D2687" t="str">
        <f t="shared" si="1082"/>
        <v>73185</v>
      </c>
      <c r="E2687" t="str">
        <f t="shared" si="1083"/>
        <v>KFH-OPERATIONS DEPARTMENT</v>
      </c>
      <c r="F2687" t="str">
        <f t="shared" si="1084"/>
        <v>IBG</v>
      </c>
      <c r="G2687" t="str">
        <f t="shared" si="1095"/>
        <v>Refund COSHARE 10</v>
      </c>
      <c r="H2687" s="2">
        <v>589.4</v>
      </c>
      <c r="I2687" t="str">
        <f>"NORAZLINA BT ABDUL RAHMAN"</f>
        <v>NORAZLINA BT ABDUL RAHMAN</v>
      </c>
      <c r="J2687" t="str">
        <f t="shared" si="1096"/>
        <v>MAYBANK / MAYBANK ISLAMIC</v>
      </c>
      <c r="K2687" t="str">
        <f>"162076006622"</f>
        <v>162076006622</v>
      </c>
      <c r="L2687" t="str">
        <f t="shared" ref="L2687:M2706" si="1105">"04-08-2020"</f>
        <v>04-08-2020</v>
      </c>
      <c r="M2687" t="str">
        <f t="shared" si="1105"/>
        <v>04-08-2020</v>
      </c>
      <c r="N2687" t="str">
        <f t="shared" si="1085"/>
        <v>001105018356</v>
      </c>
      <c r="O2687" t="str">
        <f t="shared" si="1086"/>
        <v>MYR</v>
      </c>
      <c r="P2687" t="str">
        <f t="shared" ref="P2687:Q2706" si="1106">"NIL"</f>
        <v>NIL</v>
      </c>
      <c r="Q2687" t="str">
        <f t="shared" si="1106"/>
        <v>NIL</v>
      </c>
      <c r="R2687" t="str">
        <f t="shared" si="1087"/>
        <v>Accepted</v>
      </c>
      <c r="S2687" t="str">
        <f t="shared" si="1088"/>
        <v>Approved</v>
      </c>
      <c r="T2687" t="str">
        <f t="shared" si="1089"/>
        <v>10.20.8.188</v>
      </c>
      <c r="U2687" t="str">
        <f t="shared" si="1090"/>
        <v>AZRAD UMAR BIN SHAARI</v>
      </c>
      <c r="V2687" t="str">
        <f t="shared" si="1091"/>
        <v>FARHANA BINTI MUSTAPA</v>
      </c>
      <c r="W2687" t="str">
        <f t="shared" si="1092"/>
        <v>04-08-2020</v>
      </c>
      <c r="X2687" t="str">
        <f t="shared" si="1093"/>
        <v>RAZIMAH ANSAR AHMAD</v>
      </c>
      <c r="Y2687" t="str">
        <f t="shared" si="1094"/>
        <v>04-08-2020</v>
      </c>
      <c r="Z2687" t="str">
        <f>"COS10200804 6467"</f>
        <v>COS10200804 6467</v>
      </c>
    </row>
    <row r="2688" spans="1:26" x14ac:dyDescent="0.25">
      <c r="A2688" t="str">
        <f t="shared" si="1103"/>
        <v>04-08-2020 01:03:01</v>
      </c>
      <c r="B2688" t="str">
        <f>"0000808260"</f>
        <v>0000808260</v>
      </c>
      <c r="C2688" t="str">
        <f t="shared" si="1104"/>
        <v>0000808194</v>
      </c>
      <c r="D2688" t="str">
        <f t="shared" si="1082"/>
        <v>73185</v>
      </c>
      <c r="E2688" t="str">
        <f t="shared" si="1083"/>
        <v>KFH-OPERATIONS DEPARTMENT</v>
      </c>
      <c r="F2688" t="str">
        <f t="shared" si="1084"/>
        <v>IBG</v>
      </c>
      <c r="G2688" t="str">
        <f t="shared" si="1095"/>
        <v>Refund COSHARE 10</v>
      </c>
      <c r="H2688" s="2">
        <v>194</v>
      </c>
      <c r="I2688" t="str">
        <f>"NORAZLINA BINTI RAZI"</f>
        <v>NORAZLINA BINTI RAZI</v>
      </c>
      <c r="J2688" t="str">
        <f t="shared" si="1096"/>
        <v>MAYBANK / MAYBANK ISLAMIC</v>
      </c>
      <c r="K2688" t="str">
        <f>"158202118589"</f>
        <v>158202118589</v>
      </c>
      <c r="L2688" t="str">
        <f t="shared" si="1105"/>
        <v>04-08-2020</v>
      </c>
      <c r="M2688" t="str">
        <f t="shared" si="1105"/>
        <v>04-08-2020</v>
      </c>
      <c r="N2688" t="str">
        <f t="shared" si="1085"/>
        <v>001105018356</v>
      </c>
      <c r="O2688" t="str">
        <f t="shared" si="1086"/>
        <v>MYR</v>
      </c>
      <c r="P2688" t="str">
        <f t="shared" si="1106"/>
        <v>NIL</v>
      </c>
      <c r="Q2688" t="str">
        <f t="shared" si="1106"/>
        <v>NIL</v>
      </c>
      <c r="R2688" t="str">
        <f t="shared" si="1087"/>
        <v>Accepted</v>
      </c>
      <c r="S2688" t="str">
        <f t="shared" si="1088"/>
        <v>Approved</v>
      </c>
      <c r="T2688" t="str">
        <f t="shared" si="1089"/>
        <v>10.20.8.188</v>
      </c>
      <c r="U2688" t="str">
        <f t="shared" si="1090"/>
        <v>AZRAD UMAR BIN SHAARI</v>
      </c>
      <c r="V2688" t="str">
        <f t="shared" si="1091"/>
        <v>FARHANA BINTI MUSTAPA</v>
      </c>
      <c r="W2688" t="str">
        <f t="shared" si="1092"/>
        <v>04-08-2020</v>
      </c>
      <c r="X2688" t="str">
        <f t="shared" si="1093"/>
        <v>RAZIMAH ANSAR AHMAD</v>
      </c>
      <c r="Y2688" t="str">
        <f t="shared" si="1094"/>
        <v>04-08-2020</v>
      </c>
      <c r="Z2688" t="str">
        <f>"COS10200804 6466"</f>
        <v>COS10200804 6466</v>
      </c>
    </row>
    <row r="2689" spans="1:26" x14ac:dyDescent="0.25">
      <c r="A2689" t="str">
        <f t="shared" si="1103"/>
        <v>04-08-2020 01:03:01</v>
      </c>
      <c r="B2689" t="str">
        <f>"0000808259"</f>
        <v>0000808259</v>
      </c>
      <c r="C2689" t="str">
        <f t="shared" si="1104"/>
        <v>0000808194</v>
      </c>
      <c r="D2689" t="str">
        <f t="shared" si="1082"/>
        <v>73185</v>
      </c>
      <c r="E2689" t="str">
        <f t="shared" si="1083"/>
        <v>KFH-OPERATIONS DEPARTMENT</v>
      </c>
      <c r="F2689" t="str">
        <f t="shared" si="1084"/>
        <v>IBG</v>
      </c>
      <c r="G2689" t="str">
        <f t="shared" si="1095"/>
        <v>Refund COSHARE 10</v>
      </c>
      <c r="H2689" s="2">
        <v>75.599999999999994</v>
      </c>
      <c r="I2689" t="str">
        <f>"NORAZLINA BINTI RAHIM"</f>
        <v>NORAZLINA BINTI RAHIM</v>
      </c>
      <c r="J2689" t="str">
        <f t="shared" si="1096"/>
        <v>MAYBANK / MAYBANK ISLAMIC</v>
      </c>
      <c r="K2689" t="str">
        <f>"164098490618"</f>
        <v>164098490618</v>
      </c>
      <c r="L2689" t="str">
        <f t="shared" si="1105"/>
        <v>04-08-2020</v>
      </c>
      <c r="M2689" t="str">
        <f t="shared" si="1105"/>
        <v>04-08-2020</v>
      </c>
      <c r="N2689" t="str">
        <f t="shared" si="1085"/>
        <v>001105018356</v>
      </c>
      <c r="O2689" t="str">
        <f t="shared" si="1086"/>
        <v>MYR</v>
      </c>
      <c r="P2689" t="str">
        <f t="shared" si="1106"/>
        <v>NIL</v>
      </c>
      <c r="Q2689" t="str">
        <f t="shared" si="1106"/>
        <v>NIL</v>
      </c>
      <c r="R2689" t="str">
        <f t="shared" si="1087"/>
        <v>Accepted</v>
      </c>
      <c r="S2689" t="str">
        <f t="shared" si="1088"/>
        <v>Approved</v>
      </c>
      <c r="T2689" t="str">
        <f t="shared" si="1089"/>
        <v>10.20.8.188</v>
      </c>
      <c r="U2689" t="str">
        <f t="shared" si="1090"/>
        <v>AZRAD UMAR BIN SHAARI</v>
      </c>
      <c r="V2689" t="str">
        <f t="shared" si="1091"/>
        <v>FARHANA BINTI MUSTAPA</v>
      </c>
      <c r="W2689" t="str">
        <f t="shared" si="1092"/>
        <v>04-08-2020</v>
      </c>
      <c r="X2689" t="str">
        <f t="shared" si="1093"/>
        <v>RAZIMAH ANSAR AHMAD</v>
      </c>
      <c r="Y2689" t="str">
        <f t="shared" si="1094"/>
        <v>04-08-2020</v>
      </c>
      <c r="Z2689" t="str">
        <f>"COS10200804 6465"</f>
        <v>COS10200804 6465</v>
      </c>
    </row>
    <row r="2690" spans="1:26" x14ac:dyDescent="0.25">
      <c r="A2690" t="str">
        <f t="shared" si="1103"/>
        <v>04-08-2020 01:03:01</v>
      </c>
      <c r="B2690" t="str">
        <f>"0000808258"</f>
        <v>0000808258</v>
      </c>
      <c r="C2690" t="str">
        <f t="shared" si="1104"/>
        <v>0000808194</v>
      </c>
      <c r="D2690" t="str">
        <f t="shared" si="1082"/>
        <v>73185</v>
      </c>
      <c r="E2690" t="str">
        <f t="shared" si="1083"/>
        <v>KFH-OPERATIONS DEPARTMENT</v>
      </c>
      <c r="F2690" t="str">
        <f t="shared" si="1084"/>
        <v>IBG</v>
      </c>
      <c r="G2690" t="str">
        <f t="shared" si="1095"/>
        <v>Refund COSHARE 10</v>
      </c>
      <c r="H2690" s="2">
        <v>134.35</v>
      </c>
      <c r="I2690" t="str">
        <f>"NORAZLINA BINTI MOHD NORDDIN"</f>
        <v>NORAZLINA BINTI MOHD NORDDIN</v>
      </c>
      <c r="J2690" t="str">
        <f t="shared" si="1096"/>
        <v>MAYBANK / MAYBANK ISLAMIC</v>
      </c>
      <c r="K2690" t="str">
        <f>"164472235098"</f>
        <v>164472235098</v>
      </c>
      <c r="L2690" t="str">
        <f t="shared" si="1105"/>
        <v>04-08-2020</v>
      </c>
      <c r="M2690" t="str">
        <f t="shared" si="1105"/>
        <v>04-08-2020</v>
      </c>
      <c r="N2690" t="str">
        <f t="shared" si="1085"/>
        <v>001105018356</v>
      </c>
      <c r="O2690" t="str">
        <f t="shared" si="1086"/>
        <v>MYR</v>
      </c>
      <c r="P2690" t="str">
        <f t="shared" si="1106"/>
        <v>NIL</v>
      </c>
      <c r="Q2690" t="str">
        <f t="shared" si="1106"/>
        <v>NIL</v>
      </c>
      <c r="R2690" t="str">
        <f t="shared" si="1087"/>
        <v>Accepted</v>
      </c>
      <c r="S2690" t="str">
        <f t="shared" si="1088"/>
        <v>Approved</v>
      </c>
      <c r="T2690" t="str">
        <f t="shared" si="1089"/>
        <v>10.20.8.188</v>
      </c>
      <c r="U2690" t="str">
        <f t="shared" si="1090"/>
        <v>AZRAD UMAR BIN SHAARI</v>
      </c>
      <c r="V2690" t="str">
        <f t="shared" si="1091"/>
        <v>FARHANA BINTI MUSTAPA</v>
      </c>
      <c r="W2690" t="str">
        <f t="shared" si="1092"/>
        <v>04-08-2020</v>
      </c>
      <c r="X2690" t="str">
        <f t="shared" si="1093"/>
        <v>RAZIMAH ANSAR AHMAD</v>
      </c>
      <c r="Y2690" t="str">
        <f t="shared" si="1094"/>
        <v>04-08-2020</v>
      </c>
      <c r="Z2690" t="str">
        <f>"COS10200804 6464"</f>
        <v>COS10200804 6464</v>
      </c>
    </row>
    <row r="2691" spans="1:26" x14ac:dyDescent="0.25">
      <c r="A2691" t="str">
        <f t="shared" si="1103"/>
        <v>04-08-2020 01:03:01</v>
      </c>
      <c r="B2691" t="str">
        <f>"0000808257"</f>
        <v>0000808257</v>
      </c>
      <c r="C2691" t="str">
        <f t="shared" si="1104"/>
        <v>0000808194</v>
      </c>
      <c r="D2691" t="str">
        <f t="shared" si="1082"/>
        <v>73185</v>
      </c>
      <c r="E2691" t="str">
        <f t="shared" si="1083"/>
        <v>KFH-OPERATIONS DEPARTMENT</v>
      </c>
      <c r="F2691" t="str">
        <f t="shared" si="1084"/>
        <v>IBG</v>
      </c>
      <c r="G2691" t="str">
        <f t="shared" si="1095"/>
        <v>Refund COSHARE 10</v>
      </c>
      <c r="H2691" s="2">
        <v>419.75</v>
      </c>
      <c r="I2691" t="str">
        <f>"NORAZLINA BINTI MOHAMED SALLEH"</f>
        <v>NORAZLINA BINTI MOHAMED SALLEH</v>
      </c>
      <c r="J2691" t="str">
        <f t="shared" si="1096"/>
        <v>MAYBANK / MAYBANK ISLAMIC</v>
      </c>
      <c r="K2691" t="str">
        <f>"151052074140"</f>
        <v>151052074140</v>
      </c>
      <c r="L2691" t="str">
        <f t="shared" si="1105"/>
        <v>04-08-2020</v>
      </c>
      <c r="M2691" t="str">
        <f t="shared" si="1105"/>
        <v>04-08-2020</v>
      </c>
      <c r="N2691" t="str">
        <f t="shared" si="1085"/>
        <v>001105018356</v>
      </c>
      <c r="O2691" t="str">
        <f t="shared" si="1086"/>
        <v>MYR</v>
      </c>
      <c r="P2691" t="str">
        <f t="shared" si="1106"/>
        <v>NIL</v>
      </c>
      <c r="Q2691" t="str">
        <f t="shared" si="1106"/>
        <v>NIL</v>
      </c>
      <c r="R2691" t="str">
        <f t="shared" si="1087"/>
        <v>Accepted</v>
      </c>
      <c r="S2691" t="str">
        <f t="shared" si="1088"/>
        <v>Approved</v>
      </c>
      <c r="T2691" t="str">
        <f t="shared" si="1089"/>
        <v>10.20.8.188</v>
      </c>
      <c r="U2691" t="str">
        <f t="shared" si="1090"/>
        <v>AZRAD UMAR BIN SHAARI</v>
      </c>
      <c r="V2691" t="str">
        <f t="shared" si="1091"/>
        <v>FARHANA BINTI MUSTAPA</v>
      </c>
      <c r="W2691" t="str">
        <f t="shared" si="1092"/>
        <v>04-08-2020</v>
      </c>
      <c r="X2691" t="str">
        <f t="shared" si="1093"/>
        <v>RAZIMAH ANSAR AHMAD</v>
      </c>
      <c r="Y2691" t="str">
        <f t="shared" si="1094"/>
        <v>04-08-2020</v>
      </c>
      <c r="Z2691" t="str">
        <f>"COS10200804 6463"</f>
        <v>COS10200804 6463</v>
      </c>
    </row>
    <row r="2692" spans="1:26" x14ac:dyDescent="0.25">
      <c r="A2692" t="str">
        <f t="shared" si="1103"/>
        <v>04-08-2020 01:03:01</v>
      </c>
      <c r="B2692" t="str">
        <f>"0000808256"</f>
        <v>0000808256</v>
      </c>
      <c r="C2692" t="str">
        <f t="shared" si="1104"/>
        <v>0000808194</v>
      </c>
      <c r="D2692" t="str">
        <f t="shared" si="1082"/>
        <v>73185</v>
      </c>
      <c r="E2692" t="str">
        <f t="shared" si="1083"/>
        <v>KFH-OPERATIONS DEPARTMENT</v>
      </c>
      <c r="F2692" t="str">
        <f t="shared" si="1084"/>
        <v>IBG</v>
      </c>
      <c r="G2692" t="str">
        <f t="shared" si="1095"/>
        <v>Refund COSHARE 10</v>
      </c>
      <c r="H2692" s="2">
        <v>275.85000000000002</v>
      </c>
      <c r="I2692" t="str">
        <f>"NORAZLINA BINTI ALI ISMAIL"</f>
        <v>NORAZLINA BINTI ALI ISMAIL</v>
      </c>
      <c r="J2692" t="str">
        <f t="shared" si="1096"/>
        <v>MAYBANK / MAYBANK ISLAMIC</v>
      </c>
      <c r="K2692" t="str">
        <f>"152108000455"</f>
        <v>152108000455</v>
      </c>
      <c r="L2692" t="str">
        <f t="shared" si="1105"/>
        <v>04-08-2020</v>
      </c>
      <c r="M2692" t="str">
        <f t="shared" si="1105"/>
        <v>04-08-2020</v>
      </c>
      <c r="N2692" t="str">
        <f t="shared" si="1085"/>
        <v>001105018356</v>
      </c>
      <c r="O2692" t="str">
        <f t="shared" si="1086"/>
        <v>MYR</v>
      </c>
      <c r="P2692" t="str">
        <f t="shared" si="1106"/>
        <v>NIL</v>
      </c>
      <c r="Q2692" t="str">
        <f t="shared" si="1106"/>
        <v>NIL</v>
      </c>
      <c r="R2692" t="str">
        <f t="shared" si="1087"/>
        <v>Accepted</v>
      </c>
      <c r="S2692" t="str">
        <f t="shared" si="1088"/>
        <v>Approved</v>
      </c>
      <c r="T2692" t="str">
        <f t="shared" si="1089"/>
        <v>10.20.8.188</v>
      </c>
      <c r="U2692" t="str">
        <f t="shared" si="1090"/>
        <v>AZRAD UMAR BIN SHAARI</v>
      </c>
      <c r="V2692" t="str">
        <f t="shared" si="1091"/>
        <v>FARHANA BINTI MUSTAPA</v>
      </c>
      <c r="W2692" t="str">
        <f t="shared" si="1092"/>
        <v>04-08-2020</v>
      </c>
      <c r="X2692" t="str">
        <f t="shared" si="1093"/>
        <v>RAZIMAH ANSAR AHMAD</v>
      </c>
      <c r="Y2692" t="str">
        <f t="shared" si="1094"/>
        <v>04-08-2020</v>
      </c>
      <c r="Z2692" t="str">
        <f>"COS10200804 6462"</f>
        <v>COS10200804 6462</v>
      </c>
    </row>
    <row r="2693" spans="1:26" x14ac:dyDescent="0.25">
      <c r="A2693" t="str">
        <f t="shared" si="1103"/>
        <v>04-08-2020 01:03:01</v>
      </c>
      <c r="B2693" t="str">
        <f>"0000808255"</f>
        <v>0000808255</v>
      </c>
      <c r="C2693" t="str">
        <f t="shared" si="1104"/>
        <v>0000808194</v>
      </c>
      <c r="D2693" t="str">
        <f t="shared" si="1082"/>
        <v>73185</v>
      </c>
      <c r="E2693" t="str">
        <f t="shared" si="1083"/>
        <v>KFH-OPERATIONS DEPARTMENT</v>
      </c>
      <c r="F2693" t="str">
        <f t="shared" si="1084"/>
        <v>IBG</v>
      </c>
      <c r="G2693" t="str">
        <f t="shared" si="1095"/>
        <v>Refund COSHARE 10</v>
      </c>
      <c r="H2693" s="2">
        <v>755.55</v>
      </c>
      <c r="I2693" t="str">
        <f>"NORAZLINA BINTI ABDULLAH  ISMAIL"</f>
        <v>NORAZLINA BINTI ABDULLAH  ISMAIL</v>
      </c>
      <c r="J2693" t="str">
        <f t="shared" si="1096"/>
        <v>MAYBANK / MAYBANK ISLAMIC</v>
      </c>
      <c r="K2693" t="str">
        <f>"164333262514"</f>
        <v>164333262514</v>
      </c>
      <c r="L2693" t="str">
        <f t="shared" si="1105"/>
        <v>04-08-2020</v>
      </c>
      <c r="M2693" t="str">
        <f t="shared" si="1105"/>
        <v>04-08-2020</v>
      </c>
      <c r="N2693" t="str">
        <f t="shared" si="1085"/>
        <v>001105018356</v>
      </c>
      <c r="O2693" t="str">
        <f t="shared" si="1086"/>
        <v>MYR</v>
      </c>
      <c r="P2693" t="str">
        <f t="shared" si="1106"/>
        <v>NIL</v>
      </c>
      <c r="Q2693" t="str">
        <f t="shared" si="1106"/>
        <v>NIL</v>
      </c>
      <c r="R2693" t="str">
        <f t="shared" si="1087"/>
        <v>Accepted</v>
      </c>
      <c r="S2693" t="str">
        <f t="shared" si="1088"/>
        <v>Approved</v>
      </c>
      <c r="T2693" t="str">
        <f t="shared" si="1089"/>
        <v>10.20.8.188</v>
      </c>
      <c r="U2693" t="str">
        <f t="shared" si="1090"/>
        <v>AZRAD UMAR BIN SHAARI</v>
      </c>
      <c r="V2693" t="str">
        <f t="shared" si="1091"/>
        <v>FARHANA BINTI MUSTAPA</v>
      </c>
      <c r="W2693" t="str">
        <f t="shared" si="1092"/>
        <v>04-08-2020</v>
      </c>
      <c r="X2693" t="str">
        <f t="shared" si="1093"/>
        <v>RAZIMAH ANSAR AHMAD</v>
      </c>
      <c r="Y2693" t="str">
        <f t="shared" si="1094"/>
        <v>04-08-2020</v>
      </c>
      <c r="Z2693" t="str">
        <f>"COS10200804 6461"</f>
        <v>COS10200804 6461</v>
      </c>
    </row>
    <row r="2694" spans="1:26" x14ac:dyDescent="0.25">
      <c r="A2694" t="str">
        <f t="shared" si="1103"/>
        <v>04-08-2020 01:03:01</v>
      </c>
      <c r="B2694" t="str">
        <f>"0000808254"</f>
        <v>0000808254</v>
      </c>
      <c r="C2694" t="str">
        <f t="shared" si="1104"/>
        <v>0000808194</v>
      </c>
      <c r="D2694" t="str">
        <f t="shared" si="1082"/>
        <v>73185</v>
      </c>
      <c r="E2694" t="str">
        <f t="shared" si="1083"/>
        <v>KFH-OPERATIONS DEPARTMENT</v>
      </c>
      <c r="F2694" t="str">
        <f t="shared" si="1084"/>
        <v>IBG</v>
      </c>
      <c r="G2694" t="str">
        <f t="shared" si="1095"/>
        <v>Refund COSHARE 10</v>
      </c>
      <c r="H2694" s="2">
        <v>167.9</v>
      </c>
      <c r="I2694" t="str">
        <f>"NORAZLINA BINTI ABD RAHIM"</f>
        <v>NORAZLINA BINTI ABD RAHIM</v>
      </c>
      <c r="J2694" t="str">
        <f t="shared" si="1096"/>
        <v>MAYBANK / MAYBANK ISLAMIC</v>
      </c>
      <c r="K2694" t="str">
        <f>"151071062842"</f>
        <v>151071062842</v>
      </c>
      <c r="L2694" t="str">
        <f t="shared" si="1105"/>
        <v>04-08-2020</v>
      </c>
      <c r="M2694" t="str">
        <f t="shared" si="1105"/>
        <v>04-08-2020</v>
      </c>
      <c r="N2694" t="str">
        <f t="shared" si="1085"/>
        <v>001105018356</v>
      </c>
      <c r="O2694" t="str">
        <f t="shared" si="1086"/>
        <v>MYR</v>
      </c>
      <c r="P2694" t="str">
        <f t="shared" si="1106"/>
        <v>NIL</v>
      </c>
      <c r="Q2694" t="str">
        <f t="shared" si="1106"/>
        <v>NIL</v>
      </c>
      <c r="R2694" t="str">
        <f t="shared" si="1087"/>
        <v>Accepted</v>
      </c>
      <c r="S2694" t="str">
        <f t="shared" si="1088"/>
        <v>Approved</v>
      </c>
      <c r="T2694" t="str">
        <f t="shared" si="1089"/>
        <v>10.20.8.188</v>
      </c>
      <c r="U2694" t="str">
        <f t="shared" si="1090"/>
        <v>AZRAD UMAR BIN SHAARI</v>
      </c>
      <c r="V2694" t="str">
        <f t="shared" si="1091"/>
        <v>FARHANA BINTI MUSTAPA</v>
      </c>
      <c r="W2694" t="str">
        <f t="shared" si="1092"/>
        <v>04-08-2020</v>
      </c>
      <c r="X2694" t="str">
        <f t="shared" si="1093"/>
        <v>RAZIMAH ANSAR AHMAD</v>
      </c>
      <c r="Y2694" t="str">
        <f t="shared" si="1094"/>
        <v>04-08-2020</v>
      </c>
      <c r="Z2694" t="str">
        <f>"COS10200804 6460"</f>
        <v>COS10200804 6460</v>
      </c>
    </row>
    <row r="2695" spans="1:26" x14ac:dyDescent="0.25">
      <c r="A2695" t="str">
        <f t="shared" si="1103"/>
        <v>04-08-2020 01:03:01</v>
      </c>
      <c r="B2695" t="str">
        <f>"0000808253"</f>
        <v>0000808253</v>
      </c>
      <c r="C2695" t="str">
        <f t="shared" si="1104"/>
        <v>0000808194</v>
      </c>
      <c r="D2695" t="str">
        <f t="shared" ref="D2695:D2758" si="1107">"73185"</f>
        <v>73185</v>
      </c>
      <c r="E2695" t="str">
        <f t="shared" ref="E2695:E2758" si="1108">"KFH-OPERATIONS DEPARTMENT"</f>
        <v>KFH-OPERATIONS DEPARTMENT</v>
      </c>
      <c r="F2695" t="str">
        <f t="shared" ref="F2695:F2758" si="1109">"IBG"</f>
        <v>IBG</v>
      </c>
      <c r="G2695" t="str">
        <f t="shared" si="1095"/>
        <v>Refund COSHARE 10</v>
      </c>
      <c r="H2695" s="2">
        <v>193.1</v>
      </c>
      <c r="I2695" t="str">
        <f>"NORAZLAN BIN ABDUL WAHAB"</f>
        <v>NORAZLAN BIN ABDUL WAHAB</v>
      </c>
      <c r="J2695" t="str">
        <f t="shared" si="1096"/>
        <v>MAYBANK / MAYBANK ISLAMIC</v>
      </c>
      <c r="K2695" t="str">
        <f>"162142987183"</f>
        <v>162142987183</v>
      </c>
      <c r="L2695" t="str">
        <f t="shared" si="1105"/>
        <v>04-08-2020</v>
      </c>
      <c r="M2695" t="str">
        <f t="shared" si="1105"/>
        <v>04-08-2020</v>
      </c>
      <c r="N2695" t="str">
        <f t="shared" ref="N2695:N2758" si="1110">"001105018356"</f>
        <v>001105018356</v>
      </c>
      <c r="O2695" t="str">
        <f t="shared" ref="O2695:O2758" si="1111">"MYR"</f>
        <v>MYR</v>
      </c>
      <c r="P2695" t="str">
        <f t="shared" si="1106"/>
        <v>NIL</v>
      </c>
      <c r="Q2695" t="str">
        <f t="shared" si="1106"/>
        <v>NIL</v>
      </c>
      <c r="R2695" t="str">
        <f t="shared" ref="R2695:R2758" si="1112">"Accepted"</f>
        <v>Accepted</v>
      </c>
      <c r="S2695" t="str">
        <f t="shared" ref="S2695:S2758" si="1113">"Approved"</f>
        <v>Approved</v>
      </c>
      <c r="T2695" t="str">
        <f t="shared" ref="T2695:T2758" si="1114">"10.20.8.188"</f>
        <v>10.20.8.188</v>
      </c>
      <c r="U2695" t="str">
        <f t="shared" ref="U2695:U2758" si="1115">"AZRAD UMAR BIN SHAARI"</f>
        <v>AZRAD UMAR BIN SHAARI</v>
      </c>
      <c r="V2695" t="str">
        <f t="shared" ref="V2695:V2758" si="1116">"FARHANA BINTI MUSTAPA"</f>
        <v>FARHANA BINTI MUSTAPA</v>
      </c>
      <c r="W2695" t="str">
        <f t="shared" ref="W2695:W2758" si="1117">"04-08-2020"</f>
        <v>04-08-2020</v>
      </c>
      <c r="X2695" t="str">
        <f t="shared" ref="X2695:X2758" si="1118">"RAZIMAH ANSAR AHMAD"</f>
        <v>RAZIMAH ANSAR AHMAD</v>
      </c>
      <c r="Y2695" t="str">
        <f t="shared" ref="Y2695:Y2758" si="1119">"04-08-2020"</f>
        <v>04-08-2020</v>
      </c>
      <c r="Z2695" t="str">
        <f>"COS10200804 6459"</f>
        <v>COS10200804 6459</v>
      </c>
    </row>
    <row r="2696" spans="1:26" x14ac:dyDescent="0.25">
      <c r="A2696" t="str">
        <f t="shared" si="1103"/>
        <v>04-08-2020 01:03:01</v>
      </c>
      <c r="B2696" t="str">
        <f>"0000808252"</f>
        <v>0000808252</v>
      </c>
      <c r="C2696" t="str">
        <f t="shared" si="1104"/>
        <v>0000808194</v>
      </c>
      <c r="D2696" t="str">
        <f t="shared" si="1107"/>
        <v>73185</v>
      </c>
      <c r="E2696" t="str">
        <f t="shared" si="1108"/>
        <v>KFH-OPERATIONS DEPARTMENT</v>
      </c>
      <c r="F2696" t="str">
        <f t="shared" si="1109"/>
        <v>IBG</v>
      </c>
      <c r="G2696" t="str">
        <f t="shared" si="1095"/>
        <v>Refund COSHARE 10</v>
      </c>
      <c r="H2696" s="2">
        <v>100.75</v>
      </c>
      <c r="I2696" t="str">
        <f>"NORAZLAN BIN ABDUL WAHAB"</f>
        <v>NORAZLAN BIN ABDUL WAHAB</v>
      </c>
      <c r="J2696" t="str">
        <f t="shared" si="1096"/>
        <v>MAYBANK / MAYBANK ISLAMIC</v>
      </c>
      <c r="K2696" t="str">
        <f>"162142987183"</f>
        <v>162142987183</v>
      </c>
      <c r="L2696" t="str">
        <f t="shared" si="1105"/>
        <v>04-08-2020</v>
      </c>
      <c r="M2696" t="str">
        <f t="shared" si="1105"/>
        <v>04-08-2020</v>
      </c>
      <c r="N2696" t="str">
        <f t="shared" si="1110"/>
        <v>001105018356</v>
      </c>
      <c r="O2696" t="str">
        <f t="shared" si="1111"/>
        <v>MYR</v>
      </c>
      <c r="P2696" t="str">
        <f t="shared" si="1106"/>
        <v>NIL</v>
      </c>
      <c r="Q2696" t="str">
        <f t="shared" si="1106"/>
        <v>NIL</v>
      </c>
      <c r="R2696" t="str">
        <f t="shared" si="1112"/>
        <v>Accepted</v>
      </c>
      <c r="S2696" t="str">
        <f t="shared" si="1113"/>
        <v>Approved</v>
      </c>
      <c r="T2696" t="str">
        <f t="shared" si="1114"/>
        <v>10.20.8.188</v>
      </c>
      <c r="U2696" t="str">
        <f t="shared" si="1115"/>
        <v>AZRAD UMAR BIN SHAARI</v>
      </c>
      <c r="V2696" t="str">
        <f t="shared" si="1116"/>
        <v>FARHANA BINTI MUSTAPA</v>
      </c>
      <c r="W2696" t="str">
        <f t="shared" si="1117"/>
        <v>04-08-2020</v>
      </c>
      <c r="X2696" t="str">
        <f t="shared" si="1118"/>
        <v>RAZIMAH ANSAR AHMAD</v>
      </c>
      <c r="Y2696" t="str">
        <f t="shared" si="1119"/>
        <v>04-08-2020</v>
      </c>
      <c r="Z2696" t="str">
        <f>"COS10200804 6458"</f>
        <v>COS10200804 6458</v>
      </c>
    </row>
    <row r="2697" spans="1:26" x14ac:dyDescent="0.25">
      <c r="A2697" t="str">
        <f t="shared" si="1103"/>
        <v>04-08-2020 01:03:01</v>
      </c>
      <c r="B2697" t="str">
        <f>"0000808251"</f>
        <v>0000808251</v>
      </c>
      <c r="C2697" t="str">
        <f t="shared" si="1104"/>
        <v>0000808194</v>
      </c>
      <c r="D2697" t="str">
        <f t="shared" si="1107"/>
        <v>73185</v>
      </c>
      <c r="E2697" t="str">
        <f t="shared" si="1108"/>
        <v>KFH-OPERATIONS DEPARTMENT</v>
      </c>
      <c r="F2697" t="str">
        <f t="shared" si="1109"/>
        <v>IBG</v>
      </c>
      <c r="G2697" t="str">
        <f t="shared" si="1095"/>
        <v>Refund COSHARE 10</v>
      </c>
      <c r="H2697" s="2">
        <v>716.3</v>
      </c>
      <c r="I2697" t="str">
        <f>"NORAZIZAH BT BACHAK  BACHOK"</f>
        <v>NORAZIZAH BT BACHAK  BACHOK</v>
      </c>
      <c r="J2697" t="str">
        <f t="shared" si="1096"/>
        <v>MAYBANK / MAYBANK ISLAMIC</v>
      </c>
      <c r="K2697" t="str">
        <f>"101132153980"</f>
        <v>101132153980</v>
      </c>
      <c r="L2697" t="str">
        <f t="shared" si="1105"/>
        <v>04-08-2020</v>
      </c>
      <c r="M2697" t="str">
        <f t="shared" si="1105"/>
        <v>04-08-2020</v>
      </c>
      <c r="N2697" t="str">
        <f t="shared" si="1110"/>
        <v>001105018356</v>
      </c>
      <c r="O2697" t="str">
        <f t="shared" si="1111"/>
        <v>MYR</v>
      </c>
      <c r="P2697" t="str">
        <f t="shared" si="1106"/>
        <v>NIL</v>
      </c>
      <c r="Q2697" t="str">
        <f t="shared" si="1106"/>
        <v>NIL</v>
      </c>
      <c r="R2697" t="str">
        <f t="shared" si="1112"/>
        <v>Accepted</v>
      </c>
      <c r="S2697" t="str">
        <f t="shared" si="1113"/>
        <v>Approved</v>
      </c>
      <c r="T2697" t="str">
        <f t="shared" si="1114"/>
        <v>10.20.8.188</v>
      </c>
      <c r="U2697" t="str">
        <f t="shared" si="1115"/>
        <v>AZRAD UMAR BIN SHAARI</v>
      </c>
      <c r="V2697" t="str">
        <f t="shared" si="1116"/>
        <v>FARHANA BINTI MUSTAPA</v>
      </c>
      <c r="W2697" t="str">
        <f t="shared" si="1117"/>
        <v>04-08-2020</v>
      </c>
      <c r="X2697" t="str">
        <f t="shared" si="1118"/>
        <v>RAZIMAH ANSAR AHMAD</v>
      </c>
      <c r="Y2697" t="str">
        <f t="shared" si="1119"/>
        <v>04-08-2020</v>
      </c>
      <c r="Z2697" t="str">
        <f>"COS10200804 6457"</f>
        <v>COS10200804 6457</v>
      </c>
    </row>
    <row r="2698" spans="1:26" x14ac:dyDescent="0.25">
      <c r="A2698" t="str">
        <f t="shared" si="1103"/>
        <v>04-08-2020 01:03:01</v>
      </c>
      <c r="B2698" t="str">
        <f>"0000808250"</f>
        <v>0000808250</v>
      </c>
      <c r="C2698" t="str">
        <f t="shared" si="1104"/>
        <v>0000808194</v>
      </c>
      <c r="D2698" t="str">
        <f t="shared" si="1107"/>
        <v>73185</v>
      </c>
      <c r="E2698" t="str">
        <f t="shared" si="1108"/>
        <v>KFH-OPERATIONS DEPARTMENT</v>
      </c>
      <c r="F2698" t="str">
        <f t="shared" si="1109"/>
        <v>IBG</v>
      </c>
      <c r="G2698" t="str">
        <f t="shared" si="1095"/>
        <v>Refund COSHARE 10</v>
      </c>
      <c r="H2698" s="2">
        <v>109.15</v>
      </c>
      <c r="I2698" t="str">
        <f>"NORAZITA ROS BINTI ABDUL RAHMAN"</f>
        <v>NORAZITA ROS BINTI ABDUL RAHMAN</v>
      </c>
      <c r="J2698" t="str">
        <f t="shared" si="1096"/>
        <v>MAYBANK / MAYBANK ISLAMIC</v>
      </c>
      <c r="K2698" t="str">
        <f>"164100209498"</f>
        <v>164100209498</v>
      </c>
      <c r="L2698" t="str">
        <f t="shared" si="1105"/>
        <v>04-08-2020</v>
      </c>
      <c r="M2698" t="str">
        <f t="shared" si="1105"/>
        <v>04-08-2020</v>
      </c>
      <c r="N2698" t="str">
        <f t="shared" si="1110"/>
        <v>001105018356</v>
      </c>
      <c r="O2698" t="str">
        <f t="shared" si="1111"/>
        <v>MYR</v>
      </c>
      <c r="P2698" t="str">
        <f t="shared" si="1106"/>
        <v>NIL</v>
      </c>
      <c r="Q2698" t="str">
        <f t="shared" si="1106"/>
        <v>NIL</v>
      </c>
      <c r="R2698" t="str">
        <f t="shared" si="1112"/>
        <v>Accepted</v>
      </c>
      <c r="S2698" t="str">
        <f t="shared" si="1113"/>
        <v>Approved</v>
      </c>
      <c r="T2698" t="str">
        <f t="shared" si="1114"/>
        <v>10.20.8.188</v>
      </c>
      <c r="U2698" t="str">
        <f t="shared" si="1115"/>
        <v>AZRAD UMAR BIN SHAARI</v>
      </c>
      <c r="V2698" t="str">
        <f t="shared" si="1116"/>
        <v>FARHANA BINTI MUSTAPA</v>
      </c>
      <c r="W2698" t="str">
        <f t="shared" si="1117"/>
        <v>04-08-2020</v>
      </c>
      <c r="X2698" t="str">
        <f t="shared" si="1118"/>
        <v>RAZIMAH ANSAR AHMAD</v>
      </c>
      <c r="Y2698" t="str">
        <f t="shared" si="1119"/>
        <v>04-08-2020</v>
      </c>
      <c r="Z2698" t="str">
        <f>"COS10200804 6456"</f>
        <v>COS10200804 6456</v>
      </c>
    </row>
    <row r="2699" spans="1:26" x14ac:dyDescent="0.25">
      <c r="A2699" t="str">
        <f t="shared" si="1103"/>
        <v>04-08-2020 01:03:01</v>
      </c>
      <c r="B2699" t="str">
        <f>"0000808249"</f>
        <v>0000808249</v>
      </c>
      <c r="C2699" t="str">
        <f t="shared" si="1104"/>
        <v>0000808194</v>
      </c>
      <c r="D2699" t="str">
        <f t="shared" si="1107"/>
        <v>73185</v>
      </c>
      <c r="E2699" t="str">
        <f t="shared" si="1108"/>
        <v>KFH-OPERATIONS DEPARTMENT</v>
      </c>
      <c r="F2699" t="str">
        <f t="shared" si="1109"/>
        <v>IBG</v>
      </c>
      <c r="G2699" t="str">
        <f t="shared" si="1095"/>
        <v>Refund COSHARE 10</v>
      </c>
      <c r="H2699" s="2">
        <v>554.1</v>
      </c>
      <c r="I2699" t="str">
        <f>"NORAZIRA BINTI SAHARI  ANI"</f>
        <v>NORAZIRA BINTI SAHARI  ANI</v>
      </c>
      <c r="J2699" t="str">
        <f t="shared" si="1096"/>
        <v>MAYBANK / MAYBANK ISLAMIC</v>
      </c>
      <c r="K2699" t="str">
        <f>"158097686411"</f>
        <v>158097686411</v>
      </c>
      <c r="L2699" t="str">
        <f t="shared" si="1105"/>
        <v>04-08-2020</v>
      </c>
      <c r="M2699" t="str">
        <f t="shared" si="1105"/>
        <v>04-08-2020</v>
      </c>
      <c r="N2699" t="str">
        <f t="shared" si="1110"/>
        <v>001105018356</v>
      </c>
      <c r="O2699" t="str">
        <f t="shared" si="1111"/>
        <v>MYR</v>
      </c>
      <c r="P2699" t="str">
        <f t="shared" si="1106"/>
        <v>NIL</v>
      </c>
      <c r="Q2699" t="str">
        <f t="shared" si="1106"/>
        <v>NIL</v>
      </c>
      <c r="R2699" t="str">
        <f t="shared" si="1112"/>
        <v>Accepted</v>
      </c>
      <c r="S2699" t="str">
        <f t="shared" si="1113"/>
        <v>Approved</v>
      </c>
      <c r="T2699" t="str">
        <f t="shared" si="1114"/>
        <v>10.20.8.188</v>
      </c>
      <c r="U2699" t="str">
        <f t="shared" si="1115"/>
        <v>AZRAD UMAR BIN SHAARI</v>
      </c>
      <c r="V2699" t="str">
        <f t="shared" si="1116"/>
        <v>FARHANA BINTI MUSTAPA</v>
      </c>
      <c r="W2699" t="str">
        <f t="shared" si="1117"/>
        <v>04-08-2020</v>
      </c>
      <c r="X2699" t="str">
        <f t="shared" si="1118"/>
        <v>RAZIMAH ANSAR AHMAD</v>
      </c>
      <c r="Y2699" t="str">
        <f t="shared" si="1119"/>
        <v>04-08-2020</v>
      </c>
      <c r="Z2699" t="str">
        <f>"COS10200804 6455"</f>
        <v>COS10200804 6455</v>
      </c>
    </row>
    <row r="2700" spans="1:26" x14ac:dyDescent="0.25">
      <c r="A2700" t="str">
        <f t="shared" si="1103"/>
        <v>04-08-2020 01:03:01</v>
      </c>
      <c r="B2700" t="str">
        <f>"0000808248"</f>
        <v>0000808248</v>
      </c>
      <c r="C2700" t="str">
        <f t="shared" si="1104"/>
        <v>0000808194</v>
      </c>
      <c r="D2700" t="str">
        <f t="shared" si="1107"/>
        <v>73185</v>
      </c>
      <c r="E2700" t="str">
        <f t="shared" si="1108"/>
        <v>KFH-OPERATIONS DEPARTMENT</v>
      </c>
      <c r="F2700" t="str">
        <f t="shared" si="1109"/>
        <v>IBG</v>
      </c>
      <c r="G2700" t="str">
        <f t="shared" ref="G2700:G2763" si="1120">"Refund COSHARE 10"</f>
        <v>Refund COSHARE 10</v>
      </c>
      <c r="H2700" s="2">
        <v>287.10000000000002</v>
      </c>
      <c r="I2700" t="str">
        <f>"NORAZIMI BIN MOHAMAD YUSOF"</f>
        <v>NORAZIMI BIN MOHAMAD YUSOF</v>
      </c>
      <c r="J2700" t="str">
        <f t="shared" si="1096"/>
        <v>MAYBANK / MAYBANK ISLAMIC</v>
      </c>
      <c r="K2700" t="str">
        <f>"108083233505"</f>
        <v>108083233505</v>
      </c>
      <c r="L2700" t="str">
        <f t="shared" si="1105"/>
        <v>04-08-2020</v>
      </c>
      <c r="M2700" t="str">
        <f t="shared" si="1105"/>
        <v>04-08-2020</v>
      </c>
      <c r="N2700" t="str">
        <f t="shared" si="1110"/>
        <v>001105018356</v>
      </c>
      <c r="O2700" t="str">
        <f t="shared" si="1111"/>
        <v>MYR</v>
      </c>
      <c r="P2700" t="str">
        <f t="shared" si="1106"/>
        <v>NIL</v>
      </c>
      <c r="Q2700" t="str">
        <f t="shared" si="1106"/>
        <v>NIL</v>
      </c>
      <c r="R2700" t="str">
        <f t="shared" si="1112"/>
        <v>Accepted</v>
      </c>
      <c r="S2700" t="str">
        <f t="shared" si="1113"/>
        <v>Approved</v>
      </c>
      <c r="T2700" t="str">
        <f t="shared" si="1114"/>
        <v>10.20.8.188</v>
      </c>
      <c r="U2700" t="str">
        <f t="shared" si="1115"/>
        <v>AZRAD UMAR BIN SHAARI</v>
      </c>
      <c r="V2700" t="str">
        <f t="shared" si="1116"/>
        <v>FARHANA BINTI MUSTAPA</v>
      </c>
      <c r="W2700" t="str">
        <f t="shared" si="1117"/>
        <v>04-08-2020</v>
      </c>
      <c r="X2700" t="str">
        <f t="shared" si="1118"/>
        <v>RAZIMAH ANSAR AHMAD</v>
      </c>
      <c r="Y2700" t="str">
        <f t="shared" si="1119"/>
        <v>04-08-2020</v>
      </c>
      <c r="Z2700" t="str">
        <f>"COS10200804 6454"</f>
        <v>COS10200804 6454</v>
      </c>
    </row>
    <row r="2701" spans="1:26" x14ac:dyDescent="0.25">
      <c r="A2701" t="str">
        <f t="shared" si="1103"/>
        <v>04-08-2020 01:03:01</v>
      </c>
      <c r="B2701" t="str">
        <f>"0000808247"</f>
        <v>0000808247</v>
      </c>
      <c r="C2701" t="str">
        <f t="shared" si="1104"/>
        <v>0000808194</v>
      </c>
      <c r="D2701" t="str">
        <f t="shared" si="1107"/>
        <v>73185</v>
      </c>
      <c r="E2701" t="str">
        <f t="shared" si="1108"/>
        <v>KFH-OPERATIONS DEPARTMENT</v>
      </c>
      <c r="F2701" t="str">
        <f t="shared" si="1109"/>
        <v>IBG</v>
      </c>
      <c r="G2701" t="str">
        <f t="shared" si="1120"/>
        <v>Refund COSHARE 10</v>
      </c>
      <c r="H2701" s="2">
        <v>357</v>
      </c>
      <c r="I2701" t="str">
        <f>"NORAZILNA BINTI MAT ZIN"</f>
        <v>NORAZILNA BINTI MAT ZIN</v>
      </c>
      <c r="J2701" t="str">
        <f t="shared" si="1096"/>
        <v>MAYBANK / MAYBANK ISLAMIC</v>
      </c>
      <c r="K2701" t="str">
        <f>"162357360589"</f>
        <v>162357360589</v>
      </c>
      <c r="L2701" t="str">
        <f t="shared" si="1105"/>
        <v>04-08-2020</v>
      </c>
      <c r="M2701" t="str">
        <f t="shared" si="1105"/>
        <v>04-08-2020</v>
      </c>
      <c r="N2701" t="str">
        <f t="shared" si="1110"/>
        <v>001105018356</v>
      </c>
      <c r="O2701" t="str">
        <f t="shared" si="1111"/>
        <v>MYR</v>
      </c>
      <c r="P2701" t="str">
        <f t="shared" si="1106"/>
        <v>NIL</v>
      </c>
      <c r="Q2701" t="str">
        <f t="shared" si="1106"/>
        <v>NIL</v>
      </c>
      <c r="R2701" t="str">
        <f t="shared" si="1112"/>
        <v>Accepted</v>
      </c>
      <c r="S2701" t="str">
        <f t="shared" si="1113"/>
        <v>Approved</v>
      </c>
      <c r="T2701" t="str">
        <f t="shared" si="1114"/>
        <v>10.20.8.188</v>
      </c>
      <c r="U2701" t="str">
        <f t="shared" si="1115"/>
        <v>AZRAD UMAR BIN SHAARI</v>
      </c>
      <c r="V2701" t="str">
        <f t="shared" si="1116"/>
        <v>FARHANA BINTI MUSTAPA</v>
      </c>
      <c r="W2701" t="str">
        <f t="shared" si="1117"/>
        <v>04-08-2020</v>
      </c>
      <c r="X2701" t="str">
        <f t="shared" si="1118"/>
        <v>RAZIMAH ANSAR AHMAD</v>
      </c>
      <c r="Y2701" t="str">
        <f t="shared" si="1119"/>
        <v>04-08-2020</v>
      </c>
      <c r="Z2701" t="str">
        <f>"COS10200804 6453"</f>
        <v>COS10200804 6453</v>
      </c>
    </row>
    <row r="2702" spans="1:26" x14ac:dyDescent="0.25">
      <c r="A2702" t="str">
        <f t="shared" si="1103"/>
        <v>04-08-2020 01:03:01</v>
      </c>
      <c r="B2702" t="str">
        <f>"0000808246"</f>
        <v>0000808246</v>
      </c>
      <c r="C2702" t="str">
        <f t="shared" si="1104"/>
        <v>0000808194</v>
      </c>
      <c r="D2702" t="str">
        <f t="shared" si="1107"/>
        <v>73185</v>
      </c>
      <c r="E2702" t="str">
        <f t="shared" si="1108"/>
        <v>KFH-OPERATIONS DEPARTMENT</v>
      </c>
      <c r="F2702" t="str">
        <f t="shared" si="1109"/>
        <v>IBG</v>
      </c>
      <c r="G2702" t="str">
        <f t="shared" si="1120"/>
        <v>Refund COSHARE 10</v>
      </c>
      <c r="H2702" s="2">
        <v>839.5</v>
      </c>
      <c r="I2702" t="str">
        <f>"NORAZILNA BINTI MAT ZIN"</f>
        <v>NORAZILNA BINTI MAT ZIN</v>
      </c>
      <c r="J2702" t="str">
        <f t="shared" si="1096"/>
        <v>MAYBANK / MAYBANK ISLAMIC</v>
      </c>
      <c r="K2702" t="str">
        <f>"162357360589"</f>
        <v>162357360589</v>
      </c>
      <c r="L2702" t="str">
        <f t="shared" si="1105"/>
        <v>04-08-2020</v>
      </c>
      <c r="M2702" t="str">
        <f t="shared" si="1105"/>
        <v>04-08-2020</v>
      </c>
      <c r="N2702" t="str">
        <f t="shared" si="1110"/>
        <v>001105018356</v>
      </c>
      <c r="O2702" t="str">
        <f t="shared" si="1111"/>
        <v>MYR</v>
      </c>
      <c r="P2702" t="str">
        <f t="shared" si="1106"/>
        <v>NIL</v>
      </c>
      <c r="Q2702" t="str">
        <f t="shared" si="1106"/>
        <v>NIL</v>
      </c>
      <c r="R2702" t="str">
        <f t="shared" si="1112"/>
        <v>Accepted</v>
      </c>
      <c r="S2702" t="str">
        <f t="shared" si="1113"/>
        <v>Approved</v>
      </c>
      <c r="T2702" t="str">
        <f t="shared" si="1114"/>
        <v>10.20.8.188</v>
      </c>
      <c r="U2702" t="str">
        <f t="shared" si="1115"/>
        <v>AZRAD UMAR BIN SHAARI</v>
      </c>
      <c r="V2702" t="str">
        <f t="shared" si="1116"/>
        <v>FARHANA BINTI MUSTAPA</v>
      </c>
      <c r="W2702" t="str">
        <f t="shared" si="1117"/>
        <v>04-08-2020</v>
      </c>
      <c r="X2702" t="str">
        <f t="shared" si="1118"/>
        <v>RAZIMAH ANSAR AHMAD</v>
      </c>
      <c r="Y2702" t="str">
        <f t="shared" si="1119"/>
        <v>04-08-2020</v>
      </c>
      <c r="Z2702" t="str">
        <f>"COS10200804 6452"</f>
        <v>COS10200804 6452</v>
      </c>
    </row>
    <row r="2703" spans="1:26" x14ac:dyDescent="0.25">
      <c r="A2703" t="str">
        <f t="shared" si="1103"/>
        <v>04-08-2020 01:03:01</v>
      </c>
      <c r="B2703" t="str">
        <f>"0000808245"</f>
        <v>0000808245</v>
      </c>
      <c r="C2703" t="str">
        <f t="shared" si="1104"/>
        <v>0000808194</v>
      </c>
      <c r="D2703" t="str">
        <f t="shared" si="1107"/>
        <v>73185</v>
      </c>
      <c r="E2703" t="str">
        <f t="shared" si="1108"/>
        <v>KFH-OPERATIONS DEPARTMENT</v>
      </c>
      <c r="F2703" t="str">
        <f t="shared" si="1109"/>
        <v>IBG</v>
      </c>
      <c r="G2703" t="str">
        <f t="shared" si="1120"/>
        <v>Refund COSHARE 10</v>
      </c>
      <c r="H2703" s="2">
        <v>254.1</v>
      </c>
      <c r="I2703" t="str">
        <f>"NORAZILA BINTI MOHD GEBING"</f>
        <v>NORAZILA BINTI MOHD GEBING</v>
      </c>
      <c r="J2703" t="str">
        <f t="shared" si="1096"/>
        <v>MAYBANK / MAYBANK ISLAMIC</v>
      </c>
      <c r="K2703" t="str">
        <f>"164043620711"</f>
        <v>164043620711</v>
      </c>
      <c r="L2703" t="str">
        <f t="shared" si="1105"/>
        <v>04-08-2020</v>
      </c>
      <c r="M2703" t="str">
        <f t="shared" si="1105"/>
        <v>04-08-2020</v>
      </c>
      <c r="N2703" t="str">
        <f t="shared" si="1110"/>
        <v>001105018356</v>
      </c>
      <c r="O2703" t="str">
        <f t="shared" si="1111"/>
        <v>MYR</v>
      </c>
      <c r="P2703" t="str">
        <f t="shared" si="1106"/>
        <v>NIL</v>
      </c>
      <c r="Q2703" t="str">
        <f t="shared" si="1106"/>
        <v>NIL</v>
      </c>
      <c r="R2703" t="str">
        <f t="shared" si="1112"/>
        <v>Accepted</v>
      </c>
      <c r="S2703" t="str">
        <f t="shared" si="1113"/>
        <v>Approved</v>
      </c>
      <c r="T2703" t="str">
        <f t="shared" si="1114"/>
        <v>10.20.8.188</v>
      </c>
      <c r="U2703" t="str">
        <f t="shared" si="1115"/>
        <v>AZRAD UMAR BIN SHAARI</v>
      </c>
      <c r="V2703" t="str">
        <f t="shared" si="1116"/>
        <v>FARHANA BINTI MUSTAPA</v>
      </c>
      <c r="W2703" t="str">
        <f t="shared" si="1117"/>
        <v>04-08-2020</v>
      </c>
      <c r="X2703" t="str">
        <f t="shared" si="1118"/>
        <v>RAZIMAH ANSAR AHMAD</v>
      </c>
      <c r="Y2703" t="str">
        <f t="shared" si="1119"/>
        <v>04-08-2020</v>
      </c>
      <c r="Z2703" t="str">
        <f>"COS10200804 6451"</f>
        <v>COS10200804 6451</v>
      </c>
    </row>
    <row r="2704" spans="1:26" x14ac:dyDescent="0.25">
      <c r="A2704" t="str">
        <f t="shared" si="1103"/>
        <v>04-08-2020 01:03:01</v>
      </c>
      <c r="B2704" t="str">
        <f>"0000808244"</f>
        <v>0000808244</v>
      </c>
      <c r="C2704" t="str">
        <f t="shared" si="1104"/>
        <v>0000808194</v>
      </c>
      <c r="D2704" t="str">
        <f t="shared" si="1107"/>
        <v>73185</v>
      </c>
      <c r="E2704" t="str">
        <f t="shared" si="1108"/>
        <v>KFH-OPERATIONS DEPARTMENT</v>
      </c>
      <c r="F2704" t="str">
        <f t="shared" si="1109"/>
        <v>IBG</v>
      </c>
      <c r="G2704" t="str">
        <f t="shared" si="1120"/>
        <v>Refund COSHARE 10</v>
      </c>
      <c r="H2704" s="2">
        <v>767</v>
      </c>
      <c r="I2704" t="str">
        <f>"NORAZIAN BINTI MAHBOK"</f>
        <v>NORAZIAN BINTI MAHBOK</v>
      </c>
      <c r="J2704" t="str">
        <f t="shared" si="1096"/>
        <v>MAYBANK / MAYBANK ISLAMIC</v>
      </c>
      <c r="K2704" t="str">
        <f>"151034816909"</f>
        <v>151034816909</v>
      </c>
      <c r="L2704" t="str">
        <f t="shared" si="1105"/>
        <v>04-08-2020</v>
      </c>
      <c r="M2704" t="str">
        <f t="shared" si="1105"/>
        <v>04-08-2020</v>
      </c>
      <c r="N2704" t="str">
        <f t="shared" si="1110"/>
        <v>001105018356</v>
      </c>
      <c r="O2704" t="str">
        <f t="shared" si="1111"/>
        <v>MYR</v>
      </c>
      <c r="P2704" t="str">
        <f t="shared" si="1106"/>
        <v>NIL</v>
      </c>
      <c r="Q2704" t="str">
        <f t="shared" si="1106"/>
        <v>NIL</v>
      </c>
      <c r="R2704" t="str">
        <f t="shared" si="1112"/>
        <v>Accepted</v>
      </c>
      <c r="S2704" t="str">
        <f t="shared" si="1113"/>
        <v>Approved</v>
      </c>
      <c r="T2704" t="str">
        <f t="shared" si="1114"/>
        <v>10.20.8.188</v>
      </c>
      <c r="U2704" t="str">
        <f t="shared" si="1115"/>
        <v>AZRAD UMAR BIN SHAARI</v>
      </c>
      <c r="V2704" t="str">
        <f t="shared" si="1116"/>
        <v>FARHANA BINTI MUSTAPA</v>
      </c>
      <c r="W2704" t="str">
        <f t="shared" si="1117"/>
        <v>04-08-2020</v>
      </c>
      <c r="X2704" t="str">
        <f t="shared" si="1118"/>
        <v>RAZIMAH ANSAR AHMAD</v>
      </c>
      <c r="Y2704" t="str">
        <f t="shared" si="1119"/>
        <v>04-08-2020</v>
      </c>
      <c r="Z2704" t="str">
        <f>"COS10200804 6450"</f>
        <v>COS10200804 6450</v>
      </c>
    </row>
    <row r="2705" spans="1:26" x14ac:dyDescent="0.25">
      <c r="A2705" t="str">
        <f t="shared" si="1103"/>
        <v>04-08-2020 01:03:01</v>
      </c>
      <c r="B2705" t="str">
        <f>"0000808243"</f>
        <v>0000808243</v>
      </c>
      <c r="C2705" t="str">
        <f t="shared" si="1104"/>
        <v>0000808194</v>
      </c>
      <c r="D2705" t="str">
        <f t="shared" si="1107"/>
        <v>73185</v>
      </c>
      <c r="E2705" t="str">
        <f t="shared" si="1108"/>
        <v>KFH-OPERATIONS DEPARTMENT</v>
      </c>
      <c r="F2705" t="str">
        <f t="shared" si="1109"/>
        <v>IBG</v>
      </c>
      <c r="G2705" t="str">
        <f t="shared" si="1120"/>
        <v>Refund COSHARE 10</v>
      </c>
      <c r="H2705" s="2">
        <v>789.15</v>
      </c>
      <c r="I2705" t="str">
        <f>"NORAZIAN BINTI ARIFFIN"</f>
        <v>NORAZIAN BINTI ARIFFIN</v>
      </c>
      <c r="J2705" t="str">
        <f t="shared" ref="J2705:J2768" si="1121">"MAYBANK / MAYBANK ISLAMIC"</f>
        <v>MAYBANK / MAYBANK ISLAMIC</v>
      </c>
      <c r="K2705" t="str">
        <f>"162106028977"</f>
        <v>162106028977</v>
      </c>
      <c r="L2705" t="str">
        <f t="shared" si="1105"/>
        <v>04-08-2020</v>
      </c>
      <c r="M2705" t="str">
        <f t="shared" si="1105"/>
        <v>04-08-2020</v>
      </c>
      <c r="N2705" t="str">
        <f t="shared" si="1110"/>
        <v>001105018356</v>
      </c>
      <c r="O2705" t="str">
        <f t="shared" si="1111"/>
        <v>MYR</v>
      </c>
      <c r="P2705" t="str">
        <f t="shared" si="1106"/>
        <v>NIL</v>
      </c>
      <c r="Q2705" t="str">
        <f t="shared" si="1106"/>
        <v>NIL</v>
      </c>
      <c r="R2705" t="str">
        <f t="shared" si="1112"/>
        <v>Accepted</v>
      </c>
      <c r="S2705" t="str">
        <f t="shared" si="1113"/>
        <v>Approved</v>
      </c>
      <c r="T2705" t="str">
        <f t="shared" si="1114"/>
        <v>10.20.8.188</v>
      </c>
      <c r="U2705" t="str">
        <f t="shared" si="1115"/>
        <v>AZRAD UMAR BIN SHAARI</v>
      </c>
      <c r="V2705" t="str">
        <f t="shared" si="1116"/>
        <v>FARHANA BINTI MUSTAPA</v>
      </c>
      <c r="W2705" t="str">
        <f t="shared" si="1117"/>
        <v>04-08-2020</v>
      </c>
      <c r="X2705" t="str">
        <f t="shared" si="1118"/>
        <v>RAZIMAH ANSAR AHMAD</v>
      </c>
      <c r="Y2705" t="str">
        <f t="shared" si="1119"/>
        <v>04-08-2020</v>
      </c>
      <c r="Z2705" t="str">
        <f>"COS10200804 6449"</f>
        <v>COS10200804 6449</v>
      </c>
    </row>
    <row r="2706" spans="1:26" x14ac:dyDescent="0.25">
      <c r="A2706" t="str">
        <f t="shared" si="1103"/>
        <v>04-08-2020 01:03:01</v>
      </c>
      <c r="B2706" t="str">
        <f>"0000808242"</f>
        <v>0000808242</v>
      </c>
      <c r="C2706" t="str">
        <f t="shared" si="1104"/>
        <v>0000808194</v>
      </c>
      <c r="D2706" t="str">
        <f t="shared" si="1107"/>
        <v>73185</v>
      </c>
      <c r="E2706" t="str">
        <f t="shared" si="1108"/>
        <v>KFH-OPERATIONS DEPARTMENT</v>
      </c>
      <c r="F2706" t="str">
        <f t="shared" si="1109"/>
        <v>IBG</v>
      </c>
      <c r="G2706" t="str">
        <f t="shared" si="1120"/>
        <v>Refund COSHARE 10</v>
      </c>
      <c r="H2706" s="2">
        <v>604.45000000000005</v>
      </c>
      <c r="I2706" t="str">
        <f>"NORAZIAH BINTI MOHD NOR"</f>
        <v>NORAZIAH BINTI MOHD NOR</v>
      </c>
      <c r="J2706" t="str">
        <f t="shared" si="1121"/>
        <v>MAYBANK / MAYBANK ISLAMIC</v>
      </c>
      <c r="K2706" t="str">
        <f>"166010017735"</f>
        <v>166010017735</v>
      </c>
      <c r="L2706" t="str">
        <f t="shared" si="1105"/>
        <v>04-08-2020</v>
      </c>
      <c r="M2706" t="str">
        <f t="shared" si="1105"/>
        <v>04-08-2020</v>
      </c>
      <c r="N2706" t="str">
        <f t="shared" si="1110"/>
        <v>001105018356</v>
      </c>
      <c r="O2706" t="str">
        <f t="shared" si="1111"/>
        <v>MYR</v>
      </c>
      <c r="P2706" t="str">
        <f t="shared" si="1106"/>
        <v>NIL</v>
      </c>
      <c r="Q2706" t="str">
        <f t="shared" si="1106"/>
        <v>NIL</v>
      </c>
      <c r="R2706" t="str">
        <f t="shared" si="1112"/>
        <v>Accepted</v>
      </c>
      <c r="S2706" t="str">
        <f t="shared" si="1113"/>
        <v>Approved</v>
      </c>
      <c r="T2706" t="str">
        <f t="shared" si="1114"/>
        <v>10.20.8.188</v>
      </c>
      <c r="U2706" t="str">
        <f t="shared" si="1115"/>
        <v>AZRAD UMAR BIN SHAARI</v>
      </c>
      <c r="V2706" t="str">
        <f t="shared" si="1116"/>
        <v>FARHANA BINTI MUSTAPA</v>
      </c>
      <c r="W2706" t="str">
        <f t="shared" si="1117"/>
        <v>04-08-2020</v>
      </c>
      <c r="X2706" t="str">
        <f t="shared" si="1118"/>
        <v>RAZIMAH ANSAR AHMAD</v>
      </c>
      <c r="Y2706" t="str">
        <f t="shared" si="1119"/>
        <v>04-08-2020</v>
      </c>
      <c r="Z2706" t="str">
        <f>"COS10200804 6448"</f>
        <v>COS10200804 6448</v>
      </c>
    </row>
    <row r="2707" spans="1:26" x14ac:dyDescent="0.25">
      <c r="A2707" t="str">
        <f t="shared" si="1103"/>
        <v>04-08-2020 01:03:01</v>
      </c>
      <c r="B2707" t="str">
        <f>"0000808241"</f>
        <v>0000808241</v>
      </c>
      <c r="C2707" t="str">
        <f t="shared" si="1104"/>
        <v>0000808194</v>
      </c>
      <c r="D2707" t="str">
        <f t="shared" si="1107"/>
        <v>73185</v>
      </c>
      <c r="E2707" t="str">
        <f t="shared" si="1108"/>
        <v>KFH-OPERATIONS DEPARTMENT</v>
      </c>
      <c r="F2707" t="str">
        <f t="shared" si="1109"/>
        <v>IBG</v>
      </c>
      <c r="G2707" t="str">
        <f t="shared" si="1120"/>
        <v>Refund COSHARE 10</v>
      </c>
      <c r="H2707" s="2">
        <v>1494.3</v>
      </c>
      <c r="I2707" t="str">
        <f>"NORAZIAH BINTI IBRAHIM"</f>
        <v>NORAZIAH BINTI IBRAHIM</v>
      </c>
      <c r="J2707" t="str">
        <f t="shared" si="1121"/>
        <v>MAYBANK / MAYBANK ISLAMIC</v>
      </c>
      <c r="K2707" t="str">
        <f>"151306686513"</f>
        <v>151306686513</v>
      </c>
      <c r="L2707" t="str">
        <f t="shared" ref="L2707:M2726" si="1122">"04-08-2020"</f>
        <v>04-08-2020</v>
      </c>
      <c r="M2707" t="str">
        <f t="shared" si="1122"/>
        <v>04-08-2020</v>
      </c>
      <c r="N2707" t="str">
        <f t="shared" si="1110"/>
        <v>001105018356</v>
      </c>
      <c r="O2707" t="str">
        <f t="shared" si="1111"/>
        <v>MYR</v>
      </c>
      <c r="P2707" t="str">
        <f t="shared" ref="P2707:Q2726" si="1123">"NIL"</f>
        <v>NIL</v>
      </c>
      <c r="Q2707" t="str">
        <f t="shared" si="1123"/>
        <v>NIL</v>
      </c>
      <c r="R2707" t="str">
        <f t="shared" si="1112"/>
        <v>Accepted</v>
      </c>
      <c r="S2707" t="str">
        <f t="shared" si="1113"/>
        <v>Approved</v>
      </c>
      <c r="T2707" t="str">
        <f t="shared" si="1114"/>
        <v>10.20.8.188</v>
      </c>
      <c r="U2707" t="str">
        <f t="shared" si="1115"/>
        <v>AZRAD UMAR BIN SHAARI</v>
      </c>
      <c r="V2707" t="str">
        <f t="shared" si="1116"/>
        <v>FARHANA BINTI MUSTAPA</v>
      </c>
      <c r="W2707" t="str">
        <f t="shared" si="1117"/>
        <v>04-08-2020</v>
      </c>
      <c r="X2707" t="str">
        <f t="shared" si="1118"/>
        <v>RAZIMAH ANSAR AHMAD</v>
      </c>
      <c r="Y2707" t="str">
        <f t="shared" si="1119"/>
        <v>04-08-2020</v>
      </c>
      <c r="Z2707" t="str">
        <f>"COS10200804 6447"</f>
        <v>COS10200804 6447</v>
      </c>
    </row>
    <row r="2708" spans="1:26" x14ac:dyDescent="0.25">
      <c r="A2708" t="str">
        <f t="shared" si="1103"/>
        <v>04-08-2020 01:03:01</v>
      </c>
      <c r="B2708" t="str">
        <f>"0000808240"</f>
        <v>0000808240</v>
      </c>
      <c r="C2708" t="str">
        <f t="shared" si="1104"/>
        <v>0000808194</v>
      </c>
      <c r="D2708" t="str">
        <f t="shared" si="1107"/>
        <v>73185</v>
      </c>
      <c r="E2708" t="str">
        <f t="shared" si="1108"/>
        <v>KFH-OPERATIONS DEPARTMENT</v>
      </c>
      <c r="F2708" t="str">
        <f t="shared" si="1109"/>
        <v>IBG</v>
      </c>
      <c r="G2708" t="str">
        <f t="shared" si="1120"/>
        <v>Refund COSHARE 10</v>
      </c>
      <c r="H2708" s="2">
        <v>58.8</v>
      </c>
      <c r="I2708" t="str">
        <f>"NORAZIAH BINTI HANAFI"</f>
        <v>NORAZIAH BINTI HANAFI</v>
      </c>
      <c r="J2708" t="str">
        <f t="shared" si="1121"/>
        <v>MAYBANK / MAYBANK ISLAMIC</v>
      </c>
      <c r="K2708" t="str">
        <f>"164061743684"</f>
        <v>164061743684</v>
      </c>
      <c r="L2708" t="str">
        <f t="shared" si="1122"/>
        <v>04-08-2020</v>
      </c>
      <c r="M2708" t="str">
        <f t="shared" si="1122"/>
        <v>04-08-2020</v>
      </c>
      <c r="N2708" t="str">
        <f t="shared" si="1110"/>
        <v>001105018356</v>
      </c>
      <c r="O2708" t="str">
        <f t="shared" si="1111"/>
        <v>MYR</v>
      </c>
      <c r="P2708" t="str">
        <f t="shared" si="1123"/>
        <v>NIL</v>
      </c>
      <c r="Q2708" t="str">
        <f t="shared" si="1123"/>
        <v>NIL</v>
      </c>
      <c r="R2708" t="str">
        <f t="shared" si="1112"/>
        <v>Accepted</v>
      </c>
      <c r="S2708" t="str">
        <f t="shared" si="1113"/>
        <v>Approved</v>
      </c>
      <c r="T2708" t="str">
        <f t="shared" si="1114"/>
        <v>10.20.8.188</v>
      </c>
      <c r="U2708" t="str">
        <f t="shared" si="1115"/>
        <v>AZRAD UMAR BIN SHAARI</v>
      </c>
      <c r="V2708" t="str">
        <f t="shared" si="1116"/>
        <v>FARHANA BINTI MUSTAPA</v>
      </c>
      <c r="W2708" t="str">
        <f t="shared" si="1117"/>
        <v>04-08-2020</v>
      </c>
      <c r="X2708" t="str">
        <f t="shared" si="1118"/>
        <v>RAZIMAH ANSAR AHMAD</v>
      </c>
      <c r="Y2708" t="str">
        <f t="shared" si="1119"/>
        <v>04-08-2020</v>
      </c>
      <c r="Z2708" t="str">
        <f>"COS10200804 6446"</f>
        <v>COS10200804 6446</v>
      </c>
    </row>
    <row r="2709" spans="1:26" x14ac:dyDescent="0.25">
      <c r="A2709" t="str">
        <f t="shared" si="1103"/>
        <v>04-08-2020 01:03:01</v>
      </c>
      <c r="B2709" t="str">
        <f>"0000808239"</f>
        <v>0000808239</v>
      </c>
      <c r="C2709" t="str">
        <f t="shared" si="1104"/>
        <v>0000808194</v>
      </c>
      <c r="D2709" t="str">
        <f t="shared" si="1107"/>
        <v>73185</v>
      </c>
      <c r="E2709" t="str">
        <f t="shared" si="1108"/>
        <v>KFH-OPERATIONS DEPARTMENT</v>
      </c>
      <c r="F2709" t="str">
        <f t="shared" si="1109"/>
        <v>IBG</v>
      </c>
      <c r="G2709" t="str">
        <f t="shared" si="1120"/>
        <v>Refund COSHARE 10</v>
      </c>
      <c r="H2709" s="2">
        <v>152</v>
      </c>
      <c r="I2709" t="str">
        <f>"NORAZDINA BINTI SELAMAT"</f>
        <v>NORAZDINA BINTI SELAMAT</v>
      </c>
      <c r="J2709" t="str">
        <f t="shared" si="1121"/>
        <v>MAYBANK / MAYBANK ISLAMIC</v>
      </c>
      <c r="K2709" t="str">
        <f>"151043775084"</f>
        <v>151043775084</v>
      </c>
      <c r="L2709" t="str">
        <f t="shared" si="1122"/>
        <v>04-08-2020</v>
      </c>
      <c r="M2709" t="str">
        <f t="shared" si="1122"/>
        <v>04-08-2020</v>
      </c>
      <c r="N2709" t="str">
        <f t="shared" si="1110"/>
        <v>001105018356</v>
      </c>
      <c r="O2709" t="str">
        <f t="shared" si="1111"/>
        <v>MYR</v>
      </c>
      <c r="P2709" t="str">
        <f t="shared" si="1123"/>
        <v>NIL</v>
      </c>
      <c r="Q2709" t="str">
        <f t="shared" si="1123"/>
        <v>NIL</v>
      </c>
      <c r="R2709" t="str">
        <f t="shared" si="1112"/>
        <v>Accepted</v>
      </c>
      <c r="S2709" t="str">
        <f t="shared" si="1113"/>
        <v>Approved</v>
      </c>
      <c r="T2709" t="str">
        <f t="shared" si="1114"/>
        <v>10.20.8.188</v>
      </c>
      <c r="U2709" t="str">
        <f t="shared" si="1115"/>
        <v>AZRAD UMAR BIN SHAARI</v>
      </c>
      <c r="V2709" t="str">
        <f t="shared" si="1116"/>
        <v>FARHANA BINTI MUSTAPA</v>
      </c>
      <c r="W2709" t="str">
        <f t="shared" si="1117"/>
        <v>04-08-2020</v>
      </c>
      <c r="X2709" t="str">
        <f t="shared" si="1118"/>
        <v>RAZIMAH ANSAR AHMAD</v>
      </c>
      <c r="Y2709" t="str">
        <f t="shared" si="1119"/>
        <v>04-08-2020</v>
      </c>
      <c r="Z2709" t="str">
        <f>"COS10200804 6445"</f>
        <v>COS10200804 6445</v>
      </c>
    </row>
    <row r="2710" spans="1:26" x14ac:dyDescent="0.25">
      <c r="A2710" t="str">
        <f t="shared" si="1103"/>
        <v>04-08-2020 01:03:01</v>
      </c>
      <c r="B2710" t="str">
        <f>"0000808238"</f>
        <v>0000808238</v>
      </c>
      <c r="C2710" t="str">
        <f t="shared" si="1104"/>
        <v>0000808194</v>
      </c>
      <c r="D2710" t="str">
        <f t="shared" si="1107"/>
        <v>73185</v>
      </c>
      <c r="E2710" t="str">
        <f t="shared" si="1108"/>
        <v>KFH-OPERATIONS DEPARTMENT</v>
      </c>
      <c r="F2710" t="str">
        <f t="shared" si="1109"/>
        <v>IBG</v>
      </c>
      <c r="G2710" t="str">
        <f t="shared" si="1120"/>
        <v>Refund COSHARE 10</v>
      </c>
      <c r="H2710" s="2">
        <v>372</v>
      </c>
      <c r="I2710" t="str">
        <f>"NORATIQAH BINTI MOHAMED"</f>
        <v>NORATIQAH BINTI MOHAMED</v>
      </c>
      <c r="J2710" t="str">
        <f t="shared" si="1121"/>
        <v>MAYBANK / MAYBANK ISLAMIC</v>
      </c>
      <c r="K2710" t="str">
        <f>"101413269142"</f>
        <v>101413269142</v>
      </c>
      <c r="L2710" t="str">
        <f t="shared" si="1122"/>
        <v>04-08-2020</v>
      </c>
      <c r="M2710" t="str">
        <f t="shared" si="1122"/>
        <v>04-08-2020</v>
      </c>
      <c r="N2710" t="str">
        <f t="shared" si="1110"/>
        <v>001105018356</v>
      </c>
      <c r="O2710" t="str">
        <f t="shared" si="1111"/>
        <v>MYR</v>
      </c>
      <c r="P2710" t="str">
        <f t="shared" si="1123"/>
        <v>NIL</v>
      </c>
      <c r="Q2710" t="str">
        <f t="shared" si="1123"/>
        <v>NIL</v>
      </c>
      <c r="R2710" t="str">
        <f t="shared" si="1112"/>
        <v>Accepted</v>
      </c>
      <c r="S2710" t="str">
        <f t="shared" si="1113"/>
        <v>Approved</v>
      </c>
      <c r="T2710" t="str">
        <f t="shared" si="1114"/>
        <v>10.20.8.188</v>
      </c>
      <c r="U2710" t="str">
        <f t="shared" si="1115"/>
        <v>AZRAD UMAR BIN SHAARI</v>
      </c>
      <c r="V2710" t="str">
        <f t="shared" si="1116"/>
        <v>FARHANA BINTI MUSTAPA</v>
      </c>
      <c r="W2710" t="str">
        <f t="shared" si="1117"/>
        <v>04-08-2020</v>
      </c>
      <c r="X2710" t="str">
        <f t="shared" si="1118"/>
        <v>RAZIMAH ANSAR AHMAD</v>
      </c>
      <c r="Y2710" t="str">
        <f t="shared" si="1119"/>
        <v>04-08-2020</v>
      </c>
      <c r="Z2710" t="str">
        <f>"COS10200804 6444"</f>
        <v>COS10200804 6444</v>
      </c>
    </row>
    <row r="2711" spans="1:26" x14ac:dyDescent="0.25">
      <c r="A2711" t="str">
        <f t="shared" si="1103"/>
        <v>04-08-2020 01:03:01</v>
      </c>
      <c r="B2711" t="str">
        <f>"0000808237"</f>
        <v>0000808237</v>
      </c>
      <c r="C2711" t="str">
        <f t="shared" si="1104"/>
        <v>0000808194</v>
      </c>
      <c r="D2711" t="str">
        <f t="shared" si="1107"/>
        <v>73185</v>
      </c>
      <c r="E2711" t="str">
        <f t="shared" si="1108"/>
        <v>KFH-OPERATIONS DEPARTMENT</v>
      </c>
      <c r="F2711" t="str">
        <f t="shared" si="1109"/>
        <v>IBG</v>
      </c>
      <c r="G2711" t="str">
        <f t="shared" si="1120"/>
        <v>Refund COSHARE 10</v>
      </c>
      <c r="H2711" s="2">
        <v>167</v>
      </c>
      <c r="I2711" t="str">
        <f>"NORASNIZAL BINTI GHAZALI"</f>
        <v>NORASNIZAL BINTI GHAZALI</v>
      </c>
      <c r="J2711" t="str">
        <f t="shared" si="1121"/>
        <v>MAYBANK / MAYBANK ISLAMIC</v>
      </c>
      <c r="K2711" t="str">
        <f>"158015180988"</f>
        <v>158015180988</v>
      </c>
      <c r="L2711" t="str">
        <f t="shared" si="1122"/>
        <v>04-08-2020</v>
      </c>
      <c r="M2711" t="str">
        <f t="shared" si="1122"/>
        <v>04-08-2020</v>
      </c>
      <c r="N2711" t="str">
        <f t="shared" si="1110"/>
        <v>001105018356</v>
      </c>
      <c r="O2711" t="str">
        <f t="shared" si="1111"/>
        <v>MYR</v>
      </c>
      <c r="P2711" t="str">
        <f t="shared" si="1123"/>
        <v>NIL</v>
      </c>
      <c r="Q2711" t="str">
        <f t="shared" si="1123"/>
        <v>NIL</v>
      </c>
      <c r="R2711" t="str">
        <f t="shared" si="1112"/>
        <v>Accepted</v>
      </c>
      <c r="S2711" t="str">
        <f t="shared" si="1113"/>
        <v>Approved</v>
      </c>
      <c r="T2711" t="str">
        <f t="shared" si="1114"/>
        <v>10.20.8.188</v>
      </c>
      <c r="U2711" t="str">
        <f t="shared" si="1115"/>
        <v>AZRAD UMAR BIN SHAARI</v>
      </c>
      <c r="V2711" t="str">
        <f t="shared" si="1116"/>
        <v>FARHANA BINTI MUSTAPA</v>
      </c>
      <c r="W2711" t="str">
        <f t="shared" si="1117"/>
        <v>04-08-2020</v>
      </c>
      <c r="X2711" t="str">
        <f t="shared" si="1118"/>
        <v>RAZIMAH ANSAR AHMAD</v>
      </c>
      <c r="Y2711" t="str">
        <f t="shared" si="1119"/>
        <v>04-08-2020</v>
      </c>
      <c r="Z2711" t="str">
        <f>"COS10200804 6443"</f>
        <v>COS10200804 6443</v>
      </c>
    </row>
    <row r="2712" spans="1:26" x14ac:dyDescent="0.25">
      <c r="A2712" t="str">
        <f t="shared" si="1103"/>
        <v>04-08-2020 01:03:01</v>
      </c>
      <c r="B2712" t="str">
        <f>"0000808236"</f>
        <v>0000808236</v>
      </c>
      <c r="C2712" t="str">
        <f t="shared" si="1104"/>
        <v>0000808194</v>
      </c>
      <c r="D2712" t="str">
        <f t="shared" si="1107"/>
        <v>73185</v>
      </c>
      <c r="E2712" t="str">
        <f t="shared" si="1108"/>
        <v>KFH-OPERATIONS DEPARTMENT</v>
      </c>
      <c r="F2712" t="str">
        <f t="shared" si="1109"/>
        <v>IBG</v>
      </c>
      <c r="G2712" t="str">
        <f t="shared" si="1120"/>
        <v>Refund COSHARE 10</v>
      </c>
      <c r="H2712" s="2">
        <v>167</v>
      </c>
      <c r="I2712" t="str">
        <f>"NORASNIZAL BINTI GHAZALI"</f>
        <v>NORASNIZAL BINTI GHAZALI</v>
      </c>
      <c r="J2712" t="str">
        <f t="shared" si="1121"/>
        <v>MAYBANK / MAYBANK ISLAMIC</v>
      </c>
      <c r="K2712" t="str">
        <f>"158015180988"</f>
        <v>158015180988</v>
      </c>
      <c r="L2712" t="str">
        <f t="shared" si="1122"/>
        <v>04-08-2020</v>
      </c>
      <c r="M2712" t="str">
        <f t="shared" si="1122"/>
        <v>04-08-2020</v>
      </c>
      <c r="N2712" t="str">
        <f t="shared" si="1110"/>
        <v>001105018356</v>
      </c>
      <c r="O2712" t="str">
        <f t="shared" si="1111"/>
        <v>MYR</v>
      </c>
      <c r="P2712" t="str">
        <f t="shared" si="1123"/>
        <v>NIL</v>
      </c>
      <c r="Q2712" t="str">
        <f t="shared" si="1123"/>
        <v>NIL</v>
      </c>
      <c r="R2712" t="str">
        <f t="shared" si="1112"/>
        <v>Accepted</v>
      </c>
      <c r="S2712" t="str">
        <f t="shared" si="1113"/>
        <v>Approved</v>
      </c>
      <c r="T2712" t="str">
        <f t="shared" si="1114"/>
        <v>10.20.8.188</v>
      </c>
      <c r="U2712" t="str">
        <f t="shared" si="1115"/>
        <v>AZRAD UMAR BIN SHAARI</v>
      </c>
      <c r="V2712" t="str">
        <f t="shared" si="1116"/>
        <v>FARHANA BINTI MUSTAPA</v>
      </c>
      <c r="W2712" t="str">
        <f t="shared" si="1117"/>
        <v>04-08-2020</v>
      </c>
      <c r="X2712" t="str">
        <f t="shared" si="1118"/>
        <v>RAZIMAH ANSAR AHMAD</v>
      </c>
      <c r="Y2712" t="str">
        <f t="shared" si="1119"/>
        <v>04-08-2020</v>
      </c>
      <c r="Z2712" t="str">
        <f>"COS10200804 6442"</f>
        <v>COS10200804 6442</v>
      </c>
    </row>
    <row r="2713" spans="1:26" x14ac:dyDescent="0.25">
      <c r="A2713" t="str">
        <f t="shared" si="1103"/>
        <v>04-08-2020 01:03:01</v>
      </c>
      <c r="B2713" t="str">
        <f>"0000808235"</f>
        <v>0000808235</v>
      </c>
      <c r="C2713" t="str">
        <f t="shared" si="1104"/>
        <v>0000808194</v>
      </c>
      <c r="D2713" t="str">
        <f t="shared" si="1107"/>
        <v>73185</v>
      </c>
      <c r="E2713" t="str">
        <f t="shared" si="1108"/>
        <v>KFH-OPERATIONS DEPARTMENT</v>
      </c>
      <c r="F2713" t="str">
        <f t="shared" si="1109"/>
        <v>IBG</v>
      </c>
      <c r="G2713" t="str">
        <f t="shared" si="1120"/>
        <v>Refund COSHARE 10</v>
      </c>
      <c r="H2713" s="2">
        <v>167.9</v>
      </c>
      <c r="I2713" t="str">
        <f>"NORASLINA BINTI MOHD NOR"</f>
        <v>NORASLINA BINTI MOHD NOR</v>
      </c>
      <c r="J2713" t="str">
        <f t="shared" si="1121"/>
        <v>MAYBANK / MAYBANK ISLAMIC</v>
      </c>
      <c r="K2713" t="str">
        <f>"114217078977"</f>
        <v>114217078977</v>
      </c>
      <c r="L2713" t="str">
        <f t="shared" si="1122"/>
        <v>04-08-2020</v>
      </c>
      <c r="M2713" t="str">
        <f t="shared" si="1122"/>
        <v>04-08-2020</v>
      </c>
      <c r="N2713" t="str">
        <f t="shared" si="1110"/>
        <v>001105018356</v>
      </c>
      <c r="O2713" t="str">
        <f t="shared" si="1111"/>
        <v>MYR</v>
      </c>
      <c r="P2713" t="str">
        <f t="shared" si="1123"/>
        <v>NIL</v>
      </c>
      <c r="Q2713" t="str">
        <f t="shared" si="1123"/>
        <v>NIL</v>
      </c>
      <c r="R2713" t="str">
        <f t="shared" si="1112"/>
        <v>Accepted</v>
      </c>
      <c r="S2713" t="str">
        <f t="shared" si="1113"/>
        <v>Approved</v>
      </c>
      <c r="T2713" t="str">
        <f t="shared" si="1114"/>
        <v>10.20.8.188</v>
      </c>
      <c r="U2713" t="str">
        <f t="shared" si="1115"/>
        <v>AZRAD UMAR BIN SHAARI</v>
      </c>
      <c r="V2713" t="str">
        <f t="shared" si="1116"/>
        <v>FARHANA BINTI MUSTAPA</v>
      </c>
      <c r="W2713" t="str">
        <f t="shared" si="1117"/>
        <v>04-08-2020</v>
      </c>
      <c r="X2713" t="str">
        <f t="shared" si="1118"/>
        <v>RAZIMAH ANSAR AHMAD</v>
      </c>
      <c r="Y2713" t="str">
        <f t="shared" si="1119"/>
        <v>04-08-2020</v>
      </c>
      <c r="Z2713" t="str">
        <f>"COS10200804 6441"</f>
        <v>COS10200804 6441</v>
      </c>
    </row>
    <row r="2714" spans="1:26" x14ac:dyDescent="0.25">
      <c r="A2714" t="str">
        <f t="shared" ref="A2714:A2745" si="1124">"04-08-2020 01:03:01"</f>
        <v>04-08-2020 01:03:01</v>
      </c>
      <c r="B2714" t="str">
        <f>"0000808234"</f>
        <v>0000808234</v>
      </c>
      <c r="C2714" t="str">
        <f t="shared" ref="C2714:C2745" si="1125">"0000808194"</f>
        <v>0000808194</v>
      </c>
      <c r="D2714" t="str">
        <f t="shared" si="1107"/>
        <v>73185</v>
      </c>
      <c r="E2714" t="str">
        <f t="shared" si="1108"/>
        <v>KFH-OPERATIONS DEPARTMENT</v>
      </c>
      <c r="F2714" t="str">
        <f t="shared" si="1109"/>
        <v>IBG</v>
      </c>
      <c r="G2714" t="str">
        <f t="shared" si="1120"/>
        <v>Refund COSHARE 10</v>
      </c>
      <c r="H2714" s="2">
        <v>193.1</v>
      </c>
      <c r="I2714" t="str">
        <f>"NORASIKIN BINTI MOHD NOOR"</f>
        <v>NORASIKIN BINTI MOHD NOOR</v>
      </c>
      <c r="J2714" t="str">
        <f t="shared" si="1121"/>
        <v>MAYBANK / MAYBANK ISLAMIC</v>
      </c>
      <c r="K2714" t="str">
        <f>"162012668768"</f>
        <v>162012668768</v>
      </c>
      <c r="L2714" t="str">
        <f t="shared" si="1122"/>
        <v>04-08-2020</v>
      </c>
      <c r="M2714" t="str">
        <f t="shared" si="1122"/>
        <v>04-08-2020</v>
      </c>
      <c r="N2714" t="str">
        <f t="shared" si="1110"/>
        <v>001105018356</v>
      </c>
      <c r="O2714" t="str">
        <f t="shared" si="1111"/>
        <v>MYR</v>
      </c>
      <c r="P2714" t="str">
        <f t="shared" si="1123"/>
        <v>NIL</v>
      </c>
      <c r="Q2714" t="str">
        <f t="shared" si="1123"/>
        <v>NIL</v>
      </c>
      <c r="R2714" t="str">
        <f t="shared" si="1112"/>
        <v>Accepted</v>
      </c>
      <c r="S2714" t="str">
        <f t="shared" si="1113"/>
        <v>Approved</v>
      </c>
      <c r="T2714" t="str">
        <f t="shared" si="1114"/>
        <v>10.20.8.188</v>
      </c>
      <c r="U2714" t="str">
        <f t="shared" si="1115"/>
        <v>AZRAD UMAR BIN SHAARI</v>
      </c>
      <c r="V2714" t="str">
        <f t="shared" si="1116"/>
        <v>FARHANA BINTI MUSTAPA</v>
      </c>
      <c r="W2714" t="str">
        <f t="shared" si="1117"/>
        <v>04-08-2020</v>
      </c>
      <c r="X2714" t="str">
        <f t="shared" si="1118"/>
        <v>RAZIMAH ANSAR AHMAD</v>
      </c>
      <c r="Y2714" t="str">
        <f t="shared" si="1119"/>
        <v>04-08-2020</v>
      </c>
      <c r="Z2714" t="str">
        <f>"COS10200804 6440"</f>
        <v>COS10200804 6440</v>
      </c>
    </row>
    <row r="2715" spans="1:26" x14ac:dyDescent="0.25">
      <c r="A2715" t="str">
        <f t="shared" si="1124"/>
        <v>04-08-2020 01:03:01</v>
      </c>
      <c r="B2715" t="str">
        <f>"0000808233"</f>
        <v>0000808233</v>
      </c>
      <c r="C2715" t="str">
        <f t="shared" si="1125"/>
        <v>0000808194</v>
      </c>
      <c r="D2715" t="str">
        <f t="shared" si="1107"/>
        <v>73185</v>
      </c>
      <c r="E2715" t="str">
        <f t="shared" si="1108"/>
        <v>KFH-OPERATIONS DEPARTMENT</v>
      </c>
      <c r="F2715" t="str">
        <f t="shared" si="1109"/>
        <v>IBG</v>
      </c>
      <c r="G2715" t="str">
        <f t="shared" si="1120"/>
        <v>Refund COSHARE 10</v>
      </c>
      <c r="H2715" s="2">
        <v>88.7</v>
      </c>
      <c r="I2715" t="str">
        <f>"NORASIAH BINTI MOKHTAR"</f>
        <v>NORASIAH BINTI MOKHTAR</v>
      </c>
      <c r="J2715" t="str">
        <f t="shared" si="1121"/>
        <v>MAYBANK / MAYBANK ISLAMIC</v>
      </c>
      <c r="K2715" t="str">
        <f>"108319039067"</f>
        <v>108319039067</v>
      </c>
      <c r="L2715" t="str">
        <f t="shared" si="1122"/>
        <v>04-08-2020</v>
      </c>
      <c r="M2715" t="str">
        <f t="shared" si="1122"/>
        <v>04-08-2020</v>
      </c>
      <c r="N2715" t="str">
        <f t="shared" si="1110"/>
        <v>001105018356</v>
      </c>
      <c r="O2715" t="str">
        <f t="shared" si="1111"/>
        <v>MYR</v>
      </c>
      <c r="P2715" t="str">
        <f t="shared" si="1123"/>
        <v>NIL</v>
      </c>
      <c r="Q2715" t="str">
        <f t="shared" si="1123"/>
        <v>NIL</v>
      </c>
      <c r="R2715" t="str">
        <f t="shared" si="1112"/>
        <v>Accepted</v>
      </c>
      <c r="S2715" t="str">
        <f t="shared" si="1113"/>
        <v>Approved</v>
      </c>
      <c r="T2715" t="str">
        <f t="shared" si="1114"/>
        <v>10.20.8.188</v>
      </c>
      <c r="U2715" t="str">
        <f t="shared" si="1115"/>
        <v>AZRAD UMAR BIN SHAARI</v>
      </c>
      <c r="V2715" t="str">
        <f t="shared" si="1116"/>
        <v>FARHANA BINTI MUSTAPA</v>
      </c>
      <c r="W2715" t="str">
        <f t="shared" si="1117"/>
        <v>04-08-2020</v>
      </c>
      <c r="X2715" t="str">
        <f t="shared" si="1118"/>
        <v>RAZIMAH ANSAR AHMAD</v>
      </c>
      <c r="Y2715" t="str">
        <f t="shared" si="1119"/>
        <v>04-08-2020</v>
      </c>
      <c r="Z2715" t="str">
        <f>"COS10200804 6439"</f>
        <v>COS10200804 6439</v>
      </c>
    </row>
    <row r="2716" spans="1:26" x14ac:dyDescent="0.25">
      <c r="A2716" t="str">
        <f t="shared" si="1124"/>
        <v>04-08-2020 01:03:01</v>
      </c>
      <c r="B2716" t="str">
        <f>"0000808232"</f>
        <v>0000808232</v>
      </c>
      <c r="C2716" t="str">
        <f t="shared" si="1125"/>
        <v>0000808194</v>
      </c>
      <c r="D2716" t="str">
        <f t="shared" si="1107"/>
        <v>73185</v>
      </c>
      <c r="E2716" t="str">
        <f t="shared" si="1108"/>
        <v>KFH-OPERATIONS DEPARTMENT</v>
      </c>
      <c r="F2716" t="str">
        <f t="shared" si="1109"/>
        <v>IBG</v>
      </c>
      <c r="G2716" t="str">
        <f t="shared" si="1120"/>
        <v>Refund COSHARE 10</v>
      </c>
      <c r="H2716" s="2">
        <v>839.5</v>
      </c>
      <c r="I2716" t="str">
        <f>"NORASHIKIN BINTI KASMAN"</f>
        <v>NORASHIKIN BINTI KASMAN</v>
      </c>
      <c r="J2716" t="str">
        <f t="shared" si="1121"/>
        <v>MAYBANK / MAYBANK ISLAMIC</v>
      </c>
      <c r="K2716" t="str">
        <f>"155144017645"</f>
        <v>155144017645</v>
      </c>
      <c r="L2716" t="str">
        <f t="shared" si="1122"/>
        <v>04-08-2020</v>
      </c>
      <c r="M2716" t="str">
        <f t="shared" si="1122"/>
        <v>04-08-2020</v>
      </c>
      <c r="N2716" t="str">
        <f t="shared" si="1110"/>
        <v>001105018356</v>
      </c>
      <c r="O2716" t="str">
        <f t="shared" si="1111"/>
        <v>MYR</v>
      </c>
      <c r="P2716" t="str">
        <f t="shared" si="1123"/>
        <v>NIL</v>
      </c>
      <c r="Q2716" t="str">
        <f t="shared" si="1123"/>
        <v>NIL</v>
      </c>
      <c r="R2716" t="str">
        <f t="shared" si="1112"/>
        <v>Accepted</v>
      </c>
      <c r="S2716" t="str">
        <f t="shared" si="1113"/>
        <v>Approved</v>
      </c>
      <c r="T2716" t="str">
        <f t="shared" si="1114"/>
        <v>10.20.8.188</v>
      </c>
      <c r="U2716" t="str">
        <f t="shared" si="1115"/>
        <v>AZRAD UMAR BIN SHAARI</v>
      </c>
      <c r="V2716" t="str">
        <f t="shared" si="1116"/>
        <v>FARHANA BINTI MUSTAPA</v>
      </c>
      <c r="W2716" t="str">
        <f t="shared" si="1117"/>
        <v>04-08-2020</v>
      </c>
      <c r="X2716" t="str">
        <f t="shared" si="1118"/>
        <v>RAZIMAH ANSAR AHMAD</v>
      </c>
      <c r="Y2716" t="str">
        <f t="shared" si="1119"/>
        <v>04-08-2020</v>
      </c>
      <c r="Z2716" t="str">
        <f>"COS10200804 6438"</f>
        <v>COS10200804 6438</v>
      </c>
    </row>
    <row r="2717" spans="1:26" x14ac:dyDescent="0.25">
      <c r="A2717" t="str">
        <f t="shared" si="1124"/>
        <v>04-08-2020 01:03:01</v>
      </c>
      <c r="B2717" t="str">
        <f>"0000808231"</f>
        <v>0000808231</v>
      </c>
      <c r="C2717" t="str">
        <f t="shared" si="1125"/>
        <v>0000808194</v>
      </c>
      <c r="D2717" t="str">
        <f t="shared" si="1107"/>
        <v>73185</v>
      </c>
      <c r="E2717" t="str">
        <f t="shared" si="1108"/>
        <v>KFH-OPERATIONS DEPARTMENT</v>
      </c>
      <c r="F2717" t="str">
        <f t="shared" si="1109"/>
        <v>IBG</v>
      </c>
      <c r="G2717" t="str">
        <f t="shared" si="1120"/>
        <v>Refund COSHARE 10</v>
      </c>
      <c r="H2717" s="2">
        <v>265</v>
      </c>
      <c r="I2717" t="str">
        <f>"NORASHIKIN BINTI CHE ROS"</f>
        <v>NORASHIKIN BINTI CHE ROS</v>
      </c>
      <c r="J2717" t="str">
        <f t="shared" si="1121"/>
        <v>MAYBANK / MAYBANK ISLAMIC</v>
      </c>
      <c r="K2717" t="str">
        <f>"158109188024"</f>
        <v>158109188024</v>
      </c>
      <c r="L2717" t="str">
        <f t="shared" si="1122"/>
        <v>04-08-2020</v>
      </c>
      <c r="M2717" t="str">
        <f t="shared" si="1122"/>
        <v>04-08-2020</v>
      </c>
      <c r="N2717" t="str">
        <f t="shared" si="1110"/>
        <v>001105018356</v>
      </c>
      <c r="O2717" t="str">
        <f t="shared" si="1111"/>
        <v>MYR</v>
      </c>
      <c r="P2717" t="str">
        <f t="shared" si="1123"/>
        <v>NIL</v>
      </c>
      <c r="Q2717" t="str">
        <f t="shared" si="1123"/>
        <v>NIL</v>
      </c>
      <c r="R2717" t="str">
        <f t="shared" si="1112"/>
        <v>Accepted</v>
      </c>
      <c r="S2717" t="str">
        <f t="shared" si="1113"/>
        <v>Approved</v>
      </c>
      <c r="T2717" t="str">
        <f t="shared" si="1114"/>
        <v>10.20.8.188</v>
      </c>
      <c r="U2717" t="str">
        <f t="shared" si="1115"/>
        <v>AZRAD UMAR BIN SHAARI</v>
      </c>
      <c r="V2717" t="str">
        <f t="shared" si="1116"/>
        <v>FARHANA BINTI MUSTAPA</v>
      </c>
      <c r="W2717" t="str">
        <f t="shared" si="1117"/>
        <v>04-08-2020</v>
      </c>
      <c r="X2717" t="str">
        <f t="shared" si="1118"/>
        <v>RAZIMAH ANSAR AHMAD</v>
      </c>
      <c r="Y2717" t="str">
        <f t="shared" si="1119"/>
        <v>04-08-2020</v>
      </c>
      <c r="Z2717" t="str">
        <f>"COS10200804 6437"</f>
        <v>COS10200804 6437</v>
      </c>
    </row>
    <row r="2718" spans="1:26" x14ac:dyDescent="0.25">
      <c r="A2718" t="str">
        <f t="shared" si="1124"/>
        <v>04-08-2020 01:03:01</v>
      </c>
      <c r="B2718" t="str">
        <f>"0000808230"</f>
        <v>0000808230</v>
      </c>
      <c r="C2718" t="str">
        <f t="shared" si="1125"/>
        <v>0000808194</v>
      </c>
      <c r="D2718" t="str">
        <f t="shared" si="1107"/>
        <v>73185</v>
      </c>
      <c r="E2718" t="str">
        <f t="shared" si="1108"/>
        <v>KFH-OPERATIONS DEPARTMENT</v>
      </c>
      <c r="F2718" t="str">
        <f t="shared" si="1109"/>
        <v>IBG</v>
      </c>
      <c r="G2718" t="str">
        <f t="shared" si="1120"/>
        <v>Refund COSHARE 10</v>
      </c>
      <c r="H2718" s="2">
        <v>973.85</v>
      </c>
      <c r="I2718" t="str">
        <f>"NORANNAIM BINTI MOHD YUNUS"</f>
        <v>NORANNAIM BINTI MOHD YUNUS</v>
      </c>
      <c r="J2718" t="str">
        <f t="shared" si="1121"/>
        <v>MAYBANK / MAYBANK ISLAMIC</v>
      </c>
      <c r="K2718" t="str">
        <f>"102055101839"</f>
        <v>102055101839</v>
      </c>
      <c r="L2718" t="str">
        <f t="shared" si="1122"/>
        <v>04-08-2020</v>
      </c>
      <c r="M2718" t="str">
        <f t="shared" si="1122"/>
        <v>04-08-2020</v>
      </c>
      <c r="N2718" t="str">
        <f t="shared" si="1110"/>
        <v>001105018356</v>
      </c>
      <c r="O2718" t="str">
        <f t="shared" si="1111"/>
        <v>MYR</v>
      </c>
      <c r="P2718" t="str">
        <f t="shared" si="1123"/>
        <v>NIL</v>
      </c>
      <c r="Q2718" t="str">
        <f t="shared" si="1123"/>
        <v>NIL</v>
      </c>
      <c r="R2718" t="str">
        <f t="shared" si="1112"/>
        <v>Accepted</v>
      </c>
      <c r="S2718" t="str">
        <f t="shared" si="1113"/>
        <v>Approved</v>
      </c>
      <c r="T2718" t="str">
        <f t="shared" si="1114"/>
        <v>10.20.8.188</v>
      </c>
      <c r="U2718" t="str">
        <f t="shared" si="1115"/>
        <v>AZRAD UMAR BIN SHAARI</v>
      </c>
      <c r="V2718" t="str">
        <f t="shared" si="1116"/>
        <v>FARHANA BINTI MUSTAPA</v>
      </c>
      <c r="W2718" t="str">
        <f t="shared" si="1117"/>
        <v>04-08-2020</v>
      </c>
      <c r="X2718" t="str">
        <f t="shared" si="1118"/>
        <v>RAZIMAH ANSAR AHMAD</v>
      </c>
      <c r="Y2718" t="str">
        <f t="shared" si="1119"/>
        <v>04-08-2020</v>
      </c>
      <c r="Z2718" t="str">
        <f>"COS10200804 6436"</f>
        <v>COS10200804 6436</v>
      </c>
    </row>
    <row r="2719" spans="1:26" x14ac:dyDescent="0.25">
      <c r="A2719" t="str">
        <f t="shared" si="1124"/>
        <v>04-08-2020 01:03:01</v>
      </c>
      <c r="B2719" t="str">
        <f>"0000808229"</f>
        <v>0000808229</v>
      </c>
      <c r="C2719" t="str">
        <f t="shared" si="1125"/>
        <v>0000808194</v>
      </c>
      <c r="D2719" t="str">
        <f t="shared" si="1107"/>
        <v>73185</v>
      </c>
      <c r="E2719" t="str">
        <f t="shared" si="1108"/>
        <v>KFH-OPERATIONS DEPARTMENT</v>
      </c>
      <c r="F2719" t="str">
        <f t="shared" si="1109"/>
        <v>IBG</v>
      </c>
      <c r="G2719" t="str">
        <f t="shared" si="1120"/>
        <v>Refund COSHARE 10</v>
      </c>
      <c r="H2719" s="2">
        <v>419.75</v>
      </c>
      <c r="I2719" t="str">
        <f>"NORANIDA BINTI MOHD SHAHROL"</f>
        <v>NORANIDA BINTI MOHD SHAHROL</v>
      </c>
      <c r="J2719" t="str">
        <f t="shared" si="1121"/>
        <v>MAYBANK / MAYBANK ISLAMIC</v>
      </c>
      <c r="K2719" t="str">
        <f>"101245190024"</f>
        <v>101245190024</v>
      </c>
      <c r="L2719" t="str">
        <f t="shared" si="1122"/>
        <v>04-08-2020</v>
      </c>
      <c r="M2719" t="str">
        <f t="shared" si="1122"/>
        <v>04-08-2020</v>
      </c>
      <c r="N2719" t="str">
        <f t="shared" si="1110"/>
        <v>001105018356</v>
      </c>
      <c r="O2719" t="str">
        <f t="shared" si="1111"/>
        <v>MYR</v>
      </c>
      <c r="P2719" t="str">
        <f t="shared" si="1123"/>
        <v>NIL</v>
      </c>
      <c r="Q2719" t="str">
        <f t="shared" si="1123"/>
        <v>NIL</v>
      </c>
      <c r="R2719" t="str">
        <f t="shared" si="1112"/>
        <v>Accepted</v>
      </c>
      <c r="S2719" t="str">
        <f t="shared" si="1113"/>
        <v>Approved</v>
      </c>
      <c r="T2719" t="str">
        <f t="shared" si="1114"/>
        <v>10.20.8.188</v>
      </c>
      <c r="U2719" t="str">
        <f t="shared" si="1115"/>
        <v>AZRAD UMAR BIN SHAARI</v>
      </c>
      <c r="V2719" t="str">
        <f t="shared" si="1116"/>
        <v>FARHANA BINTI MUSTAPA</v>
      </c>
      <c r="W2719" t="str">
        <f t="shared" si="1117"/>
        <v>04-08-2020</v>
      </c>
      <c r="X2719" t="str">
        <f t="shared" si="1118"/>
        <v>RAZIMAH ANSAR AHMAD</v>
      </c>
      <c r="Y2719" t="str">
        <f t="shared" si="1119"/>
        <v>04-08-2020</v>
      </c>
      <c r="Z2719" t="str">
        <f>"COS10200804 6435"</f>
        <v>COS10200804 6435</v>
      </c>
    </row>
    <row r="2720" spans="1:26" x14ac:dyDescent="0.25">
      <c r="A2720" t="str">
        <f t="shared" si="1124"/>
        <v>04-08-2020 01:03:01</v>
      </c>
      <c r="B2720" t="str">
        <f>"0000808228"</f>
        <v>0000808228</v>
      </c>
      <c r="C2720" t="str">
        <f t="shared" si="1125"/>
        <v>0000808194</v>
      </c>
      <c r="D2720" t="str">
        <f t="shared" si="1107"/>
        <v>73185</v>
      </c>
      <c r="E2720" t="str">
        <f t="shared" si="1108"/>
        <v>KFH-OPERATIONS DEPARTMENT</v>
      </c>
      <c r="F2720" t="str">
        <f t="shared" si="1109"/>
        <v>IBG</v>
      </c>
      <c r="G2720" t="str">
        <f t="shared" si="1120"/>
        <v>Refund COSHARE 10</v>
      </c>
      <c r="H2720" s="2">
        <v>545.70000000000005</v>
      </c>
      <c r="I2720" t="str">
        <f>"NORANI BINTI WAHID"</f>
        <v>NORANI BINTI WAHID</v>
      </c>
      <c r="J2720" t="str">
        <f t="shared" si="1121"/>
        <v>MAYBANK / MAYBANK ISLAMIC</v>
      </c>
      <c r="K2720" t="str">
        <f>"162405080585"</f>
        <v>162405080585</v>
      </c>
      <c r="L2720" t="str">
        <f t="shared" si="1122"/>
        <v>04-08-2020</v>
      </c>
      <c r="M2720" t="str">
        <f t="shared" si="1122"/>
        <v>04-08-2020</v>
      </c>
      <c r="N2720" t="str">
        <f t="shared" si="1110"/>
        <v>001105018356</v>
      </c>
      <c r="O2720" t="str">
        <f t="shared" si="1111"/>
        <v>MYR</v>
      </c>
      <c r="P2720" t="str">
        <f t="shared" si="1123"/>
        <v>NIL</v>
      </c>
      <c r="Q2720" t="str">
        <f t="shared" si="1123"/>
        <v>NIL</v>
      </c>
      <c r="R2720" t="str">
        <f t="shared" si="1112"/>
        <v>Accepted</v>
      </c>
      <c r="S2720" t="str">
        <f t="shared" si="1113"/>
        <v>Approved</v>
      </c>
      <c r="T2720" t="str">
        <f t="shared" si="1114"/>
        <v>10.20.8.188</v>
      </c>
      <c r="U2720" t="str">
        <f t="shared" si="1115"/>
        <v>AZRAD UMAR BIN SHAARI</v>
      </c>
      <c r="V2720" t="str">
        <f t="shared" si="1116"/>
        <v>FARHANA BINTI MUSTAPA</v>
      </c>
      <c r="W2720" t="str">
        <f t="shared" si="1117"/>
        <v>04-08-2020</v>
      </c>
      <c r="X2720" t="str">
        <f t="shared" si="1118"/>
        <v>RAZIMAH ANSAR AHMAD</v>
      </c>
      <c r="Y2720" t="str">
        <f t="shared" si="1119"/>
        <v>04-08-2020</v>
      </c>
      <c r="Z2720" t="str">
        <f>"COS10200804 6434"</f>
        <v>COS10200804 6434</v>
      </c>
    </row>
    <row r="2721" spans="1:26" x14ac:dyDescent="0.25">
      <c r="A2721" t="str">
        <f t="shared" si="1124"/>
        <v>04-08-2020 01:03:01</v>
      </c>
      <c r="B2721" t="str">
        <f>"0000808227"</f>
        <v>0000808227</v>
      </c>
      <c r="C2721" t="str">
        <f t="shared" si="1125"/>
        <v>0000808194</v>
      </c>
      <c r="D2721" t="str">
        <f t="shared" si="1107"/>
        <v>73185</v>
      </c>
      <c r="E2721" t="str">
        <f t="shared" si="1108"/>
        <v>KFH-OPERATIONS DEPARTMENT</v>
      </c>
      <c r="F2721" t="str">
        <f t="shared" si="1109"/>
        <v>IBG</v>
      </c>
      <c r="G2721" t="str">
        <f t="shared" si="1120"/>
        <v>Refund COSHARE 10</v>
      </c>
      <c r="H2721" s="2">
        <v>839.5</v>
      </c>
      <c r="I2721" t="str">
        <f>"NORANI BINTI ABD KARIM"</f>
        <v>NORANI BINTI ABD KARIM</v>
      </c>
      <c r="J2721" t="str">
        <f t="shared" si="1121"/>
        <v>MAYBANK / MAYBANK ISLAMIC</v>
      </c>
      <c r="K2721" t="str">
        <f>"156011991232"</f>
        <v>156011991232</v>
      </c>
      <c r="L2721" t="str">
        <f t="shared" si="1122"/>
        <v>04-08-2020</v>
      </c>
      <c r="M2721" t="str">
        <f t="shared" si="1122"/>
        <v>04-08-2020</v>
      </c>
      <c r="N2721" t="str">
        <f t="shared" si="1110"/>
        <v>001105018356</v>
      </c>
      <c r="O2721" t="str">
        <f t="shared" si="1111"/>
        <v>MYR</v>
      </c>
      <c r="P2721" t="str">
        <f t="shared" si="1123"/>
        <v>NIL</v>
      </c>
      <c r="Q2721" t="str">
        <f t="shared" si="1123"/>
        <v>NIL</v>
      </c>
      <c r="R2721" t="str">
        <f t="shared" si="1112"/>
        <v>Accepted</v>
      </c>
      <c r="S2721" t="str">
        <f t="shared" si="1113"/>
        <v>Approved</v>
      </c>
      <c r="T2721" t="str">
        <f t="shared" si="1114"/>
        <v>10.20.8.188</v>
      </c>
      <c r="U2721" t="str">
        <f t="shared" si="1115"/>
        <v>AZRAD UMAR BIN SHAARI</v>
      </c>
      <c r="V2721" t="str">
        <f t="shared" si="1116"/>
        <v>FARHANA BINTI MUSTAPA</v>
      </c>
      <c r="W2721" t="str">
        <f t="shared" si="1117"/>
        <v>04-08-2020</v>
      </c>
      <c r="X2721" t="str">
        <f t="shared" si="1118"/>
        <v>RAZIMAH ANSAR AHMAD</v>
      </c>
      <c r="Y2721" t="str">
        <f t="shared" si="1119"/>
        <v>04-08-2020</v>
      </c>
      <c r="Z2721" t="str">
        <f>"COS10200804 6433"</f>
        <v>COS10200804 6433</v>
      </c>
    </row>
    <row r="2722" spans="1:26" x14ac:dyDescent="0.25">
      <c r="A2722" t="str">
        <f t="shared" si="1124"/>
        <v>04-08-2020 01:03:01</v>
      </c>
      <c r="B2722" t="str">
        <f>"0000808226"</f>
        <v>0000808226</v>
      </c>
      <c r="C2722" t="str">
        <f t="shared" si="1125"/>
        <v>0000808194</v>
      </c>
      <c r="D2722" t="str">
        <f t="shared" si="1107"/>
        <v>73185</v>
      </c>
      <c r="E2722" t="str">
        <f t="shared" si="1108"/>
        <v>KFH-OPERATIONS DEPARTMENT</v>
      </c>
      <c r="F2722" t="str">
        <f t="shared" si="1109"/>
        <v>IBG</v>
      </c>
      <c r="G2722" t="str">
        <f t="shared" si="1120"/>
        <v>Refund COSHARE 10</v>
      </c>
      <c r="H2722" s="2">
        <v>129</v>
      </c>
      <c r="I2722" t="str">
        <f>"NORAMELI BIN RAMLEE"</f>
        <v>NORAMELI BIN RAMLEE</v>
      </c>
      <c r="J2722" t="str">
        <f t="shared" si="1121"/>
        <v>MAYBANK / MAYBANK ISLAMIC</v>
      </c>
      <c r="K2722" t="str">
        <f>"112072003875"</f>
        <v>112072003875</v>
      </c>
      <c r="L2722" t="str">
        <f t="shared" si="1122"/>
        <v>04-08-2020</v>
      </c>
      <c r="M2722" t="str">
        <f t="shared" si="1122"/>
        <v>04-08-2020</v>
      </c>
      <c r="N2722" t="str">
        <f t="shared" si="1110"/>
        <v>001105018356</v>
      </c>
      <c r="O2722" t="str">
        <f t="shared" si="1111"/>
        <v>MYR</v>
      </c>
      <c r="P2722" t="str">
        <f t="shared" si="1123"/>
        <v>NIL</v>
      </c>
      <c r="Q2722" t="str">
        <f t="shared" si="1123"/>
        <v>NIL</v>
      </c>
      <c r="R2722" t="str">
        <f t="shared" si="1112"/>
        <v>Accepted</v>
      </c>
      <c r="S2722" t="str">
        <f t="shared" si="1113"/>
        <v>Approved</v>
      </c>
      <c r="T2722" t="str">
        <f t="shared" si="1114"/>
        <v>10.20.8.188</v>
      </c>
      <c r="U2722" t="str">
        <f t="shared" si="1115"/>
        <v>AZRAD UMAR BIN SHAARI</v>
      </c>
      <c r="V2722" t="str">
        <f t="shared" si="1116"/>
        <v>FARHANA BINTI MUSTAPA</v>
      </c>
      <c r="W2722" t="str">
        <f t="shared" si="1117"/>
        <v>04-08-2020</v>
      </c>
      <c r="X2722" t="str">
        <f t="shared" si="1118"/>
        <v>RAZIMAH ANSAR AHMAD</v>
      </c>
      <c r="Y2722" t="str">
        <f t="shared" si="1119"/>
        <v>04-08-2020</v>
      </c>
      <c r="Z2722" t="str">
        <f>"COS10200804 6432"</f>
        <v>COS10200804 6432</v>
      </c>
    </row>
    <row r="2723" spans="1:26" x14ac:dyDescent="0.25">
      <c r="A2723" t="str">
        <f t="shared" si="1124"/>
        <v>04-08-2020 01:03:01</v>
      </c>
      <c r="B2723" t="str">
        <f>"0000808225"</f>
        <v>0000808225</v>
      </c>
      <c r="C2723" t="str">
        <f t="shared" si="1125"/>
        <v>0000808194</v>
      </c>
      <c r="D2723" t="str">
        <f t="shared" si="1107"/>
        <v>73185</v>
      </c>
      <c r="E2723" t="str">
        <f t="shared" si="1108"/>
        <v>KFH-OPERATIONS DEPARTMENT</v>
      </c>
      <c r="F2723" t="str">
        <f t="shared" si="1109"/>
        <v>IBG</v>
      </c>
      <c r="G2723" t="str">
        <f t="shared" si="1120"/>
        <v>Refund COSHARE 10</v>
      </c>
      <c r="H2723" s="2">
        <v>209.9</v>
      </c>
      <c r="I2723" t="str">
        <f>"NORALIZA BT MUSTAPHA"</f>
        <v>NORALIZA BT MUSTAPHA</v>
      </c>
      <c r="J2723" t="str">
        <f t="shared" si="1121"/>
        <v>MAYBANK / MAYBANK ISLAMIC</v>
      </c>
      <c r="K2723" t="str">
        <f>"108010950058"</f>
        <v>108010950058</v>
      </c>
      <c r="L2723" t="str">
        <f t="shared" si="1122"/>
        <v>04-08-2020</v>
      </c>
      <c r="M2723" t="str">
        <f t="shared" si="1122"/>
        <v>04-08-2020</v>
      </c>
      <c r="N2723" t="str">
        <f t="shared" si="1110"/>
        <v>001105018356</v>
      </c>
      <c r="O2723" t="str">
        <f t="shared" si="1111"/>
        <v>MYR</v>
      </c>
      <c r="P2723" t="str">
        <f t="shared" si="1123"/>
        <v>NIL</v>
      </c>
      <c r="Q2723" t="str">
        <f t="shared" si="1123"/>
        <v>NIL</v>
      </c>
      <c r="R2723" t="str">
        <f t="shared" si="1112"/>
        <v>Accepted</v>
      </c>
      <c r="S2723" t="str">
        <f t="shared" si="1113"/>
        <v>Approved</v>
      </c>
      <c r="T2723" t="str">
        <f t="shared" si="1114"/>
        <v>10.20.8.188</v>
      </c>
      <c r="U2723" t="str">
        <f t="shared" si="1115"/>
        <v>AZRAD UMAR BIN SHAARI</v>
      </c>
      <c r="V2723" t="str">
        <f t="shared" si="1116"/>
        <v>FARHANA BINTI MUSTAPA</v>
      </c>
      <c r="W2723" t="str">
        <f t="shared" si="1117"/>
        <v>04-08-2020</v>
      </c>
      <c r="X2723" t="str">
        <f t="shared" si="1118"/>
        <v>RAZIMAH ANSAR AHMAD</v>
      </c>
      <c r="Y2723" t="str">
        <f t="shared" si="1119"/>
        <v>04-08-2020</v>
      </c>
      <c r="Z2723" t="str">
        <f>"COS10200804 6431"</f>
        <v>COS10200804 6431</v>
      </c>
    </row>
    <row r="2724" spans="1:26" x14ac:dyDescent="0.25">
      <c r="A2724" t="str">
        <f t="shared" si="1124"/>
        <v>04-08-2020 01:03:01</v>
      </c>
      <c r="B2724" t="str">
        <f>"0000808224"</f>
        <v>0000808224</v>
      </c>
      <c r="C2724" t="str">
        <f t="shared" si="1125"/>
        <v>0000808194</v>
      </c>
      <c r="D2724" t="str">
        <f t="shared" si="1107"/>
        <v>73185</v>
      </c>
      <c r="E2724" t="str">
        <f t="shared" si="1108"/>
        <v>KFH-OPERATIONS DEPARTMENT</v>
      </c>
      <c r="F2724" t="str">
        <f t="shared" si="1109"/>
        <v>IBG</v>
      </c>
      <c r="G2724" t="str">
        <f t="shared" si="1120"/>
        <v>Refund COSHARE 10</v>
      </c>
      <c r="H2724" s="2">
        <v>1214</v>
      </c>
      <c r="I2724" t="str">
        <f>"NORALISAH BINTI JASMIL"</f>
        <v>NORALISAH BINTI JASMIL</v>
      </c>
      <c r="J2724" t="str">
        <f t="shared" si="1121"/>
        <v>MAYBANK / MAYBANK ISLAMIC</v>
      </c>
      <c r="K2724" t="str">
        <f>"164025853854"</f>
        <v>164025853854</v>
      </c>
      <c r="L2724" t="str">
        <f t="shared" si="1122"/>
        <v>04-08-2020</v>
      </c>
      <c r="M2724" t="str">
        <f t="shared" si="1122"/>
        <v>04-08-2020</v>
      </c>
      <c r="N2724" t="str">
        <f t="shared" si="1110"/>
        <v>001105018356</v>
      </c>
      <c r="O2724" t="str">
        <f t="shared" si="1111"/>
        <v>MYR</v>
      </c>
      <c r="P2724" t="str">
        <f t="shared" si="1123"/>
        <v>NIL</v>
      </c>
      <c r="Q2724" t="str">
        <f t="shared" si="1123"/>
        <v>NIL</v>
      </c>
      <c r="R2724" t="str">
        <f t="shared" si="1112"/>
        <v>Accepted</v>
      </c>
      <c r="S2724" t="str">
        <f t="shared" si="1113"/>
        <v>Approved</v>
      </c>
      <c r="T2724" t="str">
        <f t="shared" si="1114"/>
        <v>10.20.8.188</v>
      </c>
      <c r="U2724" t="str">
        <f t="shared" si="1115"/>
        <v>AZRAD UMAR BIN SHAARI</v>
      </c>
      <c r="V2724" t="str">
        <f t="shared" si="1116"/>
        <v>FARHANA BINTI MUSTAPA</v>
      </c>
      <c r="W2724" t="str">
        <f t="shared" si="1117"/>
        <v>04-08-2020</v>
      </c>
      <c r="X2724" t="str">
        <f t="shared" si="1118"/>
        <v>RAZIMAH ANSAR AHMAD</v>
      </c>
      <c r="Y2724" t="str">
        <f t="shared" si="1119"/>
        <v>04-08-2020</v>
      </c>
      <c r="Z2724" t="str">
        <f>"COS10200804 6430"</f>
        <v>COS10200804 6430</v>
      </c>
    </row>
    <row r="2725" spans="1:26" x14ac:dyDescent="0.25">
      <c r="A2725" t="str">
        <f t="shared" si="1124"/>
        <v>04-08-2020 01:03:01</v>
      </c>
      <c r="B2725" t="str">
        <f>"0000808223"</f>
        <v>0000808223</v>
      </c>
      <c r="C2725" t="str">
        <f t="shared" si="1125"/>
        <v>0000808194</v>
      </c>
      <c r="D2725" t="str">
        <f t="shared" si="1107"/>
        <v>73185</v>
      </c>
      <c r="E2725" t="str">
        <f t="shared" si="1108"/>
        <v>KFH-OPERATIONS DEPARTMENT</v>
      </c>
      <c r="F2725" t="str">
        <f t="shared" si="1109"/>
        <v>IBG</v>
      </c>
      <c r="G2725" t="str">
        <f t="shared" si="1120"/>
        <v>Refund COSHARE 10</v>
      </c>
      <c r="H2725" s="2">
        <v>167.9</v>
      </c>
      <c r="I2725" t="str">
        <f>"NORAJAZIRI BIN MOHD NOR"</f>
        <v>NORAJAZIRI BIN MOHD NOR</v>
      </c>
      <c r="J2725" t="str">
        <f t="shared" si="1121"/>
        <v>MAYBANK / MAYBANK ISLAMIC</v>
      </c>
      <c r="K2725" t="str">
        <f>"151212952328"</f>
        <v>151212952328</v>
      </c>
      <c r="L2725" t="str">
        <f t="shared" si="1122"/>
        <v>04-08-2020</v>
      </c>
      <c r="M2725" t="str">
        <f t="shared" si="1122"/>
        <v>04-08-2020</v>
      </c>
      <c r="N2725" t="str">
        <f t="shared" si="1110"/>
        <v>001105018356</v>
      </c>
      <c r="O2725" t="str">
        <f t="shared" si="1111"/>
        <v>MYR</v>
      </c>
      <c r="P2725" t="str">
        <f t="shared" si="1123"/>
        <v>NIL</v>
      </c>
      <c r="Q2725" t="str">
        <f t="shared" si="1123"/>
        <v>NIL</v>
      </c>
      <c r="R2725" t="str">
        <f t="shared" si="1112"/>
        <v>Accepted</v>
      </c>
      <c r="S2725" t="str">
        <f t="shared" si="1113"/>
        <v>Approved</v>
      </c>
      <c r="T2725" t="str">
        <f t="shared" si="1114"/>
        <v>10.20.8.188</v>
      </c>
      <c r="U2725" t="str">
        <f t="shared" si="1115"/>
        <v>AZRAD UMAR BIN SHAARI</v>
      </c>
      <c r="V2725" t="str">
        <f t="shared" si="1116"/>
        <v>FARHANA BINTI MUSTAPA</v>
      </c>
      <c r="W2725" t="str">
        <f t="shared" si="1117"/>
        <v>04-08-2020</v>
      </c>
      <c r="X2725" t="str">
        <f t="shared" si="1118"/>
        <v>RAZIMAH ANSAR AHMAD</v>
      </c>
      <c r="Y2725" t="str">
        <f t="shared" si="1119"/>
        <v>04-08-2020</v>
      </c>
      <c r="Z2725" t="str">
        <f>"COS10200804 6429"</f>
        <v>COS10200804 6429</v>
      </c>
    </row>
    <row r="2726" spans="1:26" x14ac:dyDescent="0.25">
      <c r="A2726" t="str">
        <f t="shared" si="1124"/>
        <v>04-08-2020 01:03:01</v>
      </c>
      <c r="B2726" t="str">
        <f>"0000808222"</f>
        <v>0000808222</v>
      </c>
      <c r="C2726" t="str">
        <f t="shared" si="1125"/>
        <v>0000808194</v>
      </c>
      <c r="D2726" t="str">
        <f t="shared" si="1107"/>
        <v>73185</v>
      </c>
      <c r="E2726" t="str">
        <f t="shared" si="1108"/>
        <v>KFH-OPERATIONS DEPARTMENT</v>
      </c>
      <c r="F2726" t="str">
        <f t="shared" si="1109"/>
        <v>IBG</v>
      </c>
      <c r="G2726" t="str">
        <f t="shared" si="1120"/>
        <v>Refund COSHARE 10</v>
      </c>
      <c r="H2726" s="2">
        <v>713.6</v>
      </c>
      <c r="I2726" t="str">
        <f>"NORAISHAH BINTI TARNI"</f>
        <v>NORAISHAH BINTI TARNI</v>
      </c>
      <c r="J2726" t="str">
        <f t="shared" si="1121"/>
        <v>MAYBANK / MAYBANK ISLAMIC</v>
      </c>
      <c r="K2726" t="str">
        <f>"151306702238"</f>
        <v>151306702238</v>
      </c>
      <c r="L2726" t="str">
        <f t="shared" si="1122"/>
        <v>04-08-2020</v>
      </c>
      <c r="M2726" t="str">
        <f t="shared" si="1122"/>
        <v>04-08-2020</v>
      </c>
      <c r="N2726" t="str">
        <f t="shared" si="1110"/>
        <v>001105018356</v>
      </c>
      <c r="O2726" t="str">
        <f t="shared" si="1111"/>
        <v>MYR</v>
      </c>
      <c r="P2726" t="str">
        <f t="shared" si="1123"/>
        <v>NIL</v>
      </c>
      <c r="Q2726" t="str">
        <f t="shared" si="1123"/>
        <v>NIL</v>
      </c>
      <c r="R2726" t="str">
        <f t="shared" si="1112"/>
        <v>Accepted</v>
      </c>
      <c r="S2726" t="str">
        <f t="shared" si="1113"/>
        <v>Approved</v>
      </c>
      <c r="T2726" t="str">
        <f t="shared" si="1114"/>
        <v>10.20.8.188</v>
      </c>
      <c r="U2726" t="str">
        <f t="shared" si="1115"/>
        <v>AZRAD UMAR BIN SHAARI</v>
      </c>
      <c r="V2726" t="str">
        <f t="shared" si="1116"/>
        <v>FARHANA BINTI MUSTAPA</v>
      </c>
      <c r="W2726" t="str">
        <f t="shared" si="1117"/>
        <v>04-08-2020</v>
      </c>
      <c r="X2726" t="str">
        <f t="shared" si="1118"/>
        <v>RAZIMAH ANSAR AHMAD</v>
      </c>
      <c r="Y2726" t="str">
        <f t="shared" si="1119"/>
        <v>04-08-2020</v>
      </c>
      <c r="Z2726" t="str">
        <f>"COS10200804 6428"</f>
        <v>COS10200804 6428</v>
      </c>
    </row>
    <row r="2727" spans="1:26" x14ac:dyDescent="0.25">
      <c r="A2727" t="str">
        <f t="shared" si="1124"/>
        <v>04-08-2020 01:03:01</v>
      </c>
      <c r="B2727" t="str">
        <f>"0000808221"</f>
        <v>0000808221</v>
      </c>
      <c r="C2727" t="str">
        <f t="shared" si="1125"/>
        <v>0000808194</v>
      </c>
      <c r="D2727" t="str">
        <f t="shared" si="1107"/>
        <v>73185</v>
      </c>
      <c r="E2727" t="str">
        <f t="shared" si="1108"/>
        <v>KFH-OPERATIONS DEPARTMENT</v>
      </c>
      <c r="F2727" t="str">
        <f t="shared" si="1109"/>
        <v>IBG</v>
      </c>
      <c r="G2727" t="str">
        <f t="shared" si="1120"/>
        <v>Refund COSHARE 10</v>
      </c>
      <c r="H2727" s="2">
        <v>266.8</v>
      </c>
      <c r="I2727" t="str">
        <f>"NORAISHAH BINTI MOHD SALLEH"</f>
        <v>NORAISHAH BINTI MOHD SALLEH</v>
      </c>
      <c r="J2727" t="str">
        <f t="shared" si="1121"/>
        <v>MAYBANK / MAYBANK ISLAMIC</v>
      </c>
      <c r="K2727" t="str">
        <f>"101133278728"</f>
        <v>101133278728</v>
      </c>
      <c r="L2727" t="str">
        <f t="shared" ref="L2727:M2746" si="1126">"04-08-2020"</f>
        <v>04-08-2020</v>
      </c>
      <c r="M2727" t="str">
        <f t="shared" si="1126"/>
        <v>04-08-2020</v>
      </c>
      <c r="N2727" t="str">
        <f t="shared" si="1110"/>
        <v>001105018356</v>
      </c>
      <c r="O2727" t="str">
        <f t="shared" si="1111"/>
        <v>MYR</v>
      </c>
      <c r="P2727" t="str">
        <f t="shared" ref="P2727:Q2746" si="1127">"NIL"</f>
        <v>NIL</v>
      </c>
      <c r="Q2727" t="str">
        <f t="shared" si="1127"/>
        <v>NIL</v>
      </c>
      <c r="R2727" t="str">
        <f t="shared" si="1112"/>
        <v>Accepted</v>
      </c>
      <c r="S2727" t="str">
        <f t="shared" si="1113"/>
        <v>Approved</v>
      </c>
      <c r="T2727" t="str">
        <f t="shared" si="1114"/>
        <v>10.20.8.188</v>
      </c>
      <c r="U2727" t="str">
        <f t="shared" si="1115"/>
        <v>AZRAD UMAR BIN SHAARI</v>
      </c>
      <c r="V2727" t="str">
        <f t="shared" si="1116"/>
        <v>FARHANA BINTI MUSTAPA</v>
      </c>
      <c r="W2727" t="str">
        <f t="shared" si="1117"/>
        <v>04-08-2020</v>
      </c>
      <c r="X2727" t="str">
        <f t="shared" si="1118"/>
        <v>RAZIMAH ANSAR AHMAD</v>
      </c>
      <c r="Y2727" t="str">
        <f t="shared" si="1119"/>
        <v>04-08-2020</v>
      </c>
      <c r="Z2727" t="str">
        <f>"COS10200804 6427"</f>
        <v>COS10200804 6427</v>
      </c>
    </row>
    <row r="2728" spans="1:26" x14ac:dyDescent="0.25">
      <c r="A2728" t="str">
        <f t="shared" si="1124"/>
        <v>04-08-2020 01:03:01</v>
      </c>
      <c r="B2728" t="str">
        <f>"0000808220"</f>
        <v>0000808220</v>
      </c>
      <c r="C2728" t="str">
        <f t="shared" si="1125"/>
        <v>0000808194</v>
      </c>
      <c r="D2728" t="str">
        <f t="shared" si="1107"/>
        <v>73185</v>
      </c>
      <c r="E2728" t="str">
        <f t="shared" si="1108"/>
        <v>KFH-OPERATIONS DEPARTMENT</v>
      </c>
      <c r="F2728" t="str">
        <f t="shared" si="1109"/>
        <v>IBG</v>
      </c>
      <c r="G2728" t="str">
        <f t="shared" si="1120"/>
        <v>Refund COSHARE 10</v>
      </c>
      <c r="H2728" s="2">
        <v>915</v>
      </c>
      <c r="I2728" t="str">
        <f>"NORAISAH BINTI SAPUAN"</f>
        <v>NORAISAH BINTI SAPUAN</v>
      </c>
      <c r="J2728" t="str">
        <f t="shared" si="1121"/>
        <v>MAYBANK / MAYBANK ISLAMIC</v>
      </c>
      <c r="K2728" t="str">
        <f>"151025605268"</f>
        <v>151025605268</v>
      </c>
      <c r="L2728" t="str">
        <f t="shared" si="1126"/>
        <v>04-08-2020</v>
      </c>
      <c r="M2728" t="str">
        <f t="shared" si="1126"/>
        <v>04-08-2020</v>
      </c>
      <c r="N2728" t="str">
        <f t="shared" si="1110"/>
        <v>001105018356</v>
      </c>
      <c r="O2728" t="str">
        <f t="shared" si="1111"/>
        <v>MYR</v>
      </c>
      <c r="P2728" t="str">
        <f t="shared" si="1127"/>
        <v>NIL</v>
      </c>
      <c r="Q2728" t="str">
        <f t="shared" si="1127"/>
        <v>NIL</v>
      </c>
      <c r="R2728" t="str">
        <f t="shared" si="1112"/>
        <v>Accepted</v>
      </c>
      <c r="S2728" t="str">
        <f t="shared" si="1113"/>
        <v>Approved</v>
      </c>
      <c r="T2728" t="str">
        <f t="shared" si="1114"/>
        <v>10.20.8.188</v>
      </c>
      <c r="U2728" t="str">
        <f t="shared" si="1115"/>
        <v>AZRAD UMAR BIN SHAARI</v>
      </c>
      <c r="V2728" t="str">
        <f t="shared" si="1116"/>
        <v>FARHANA BINTI MUSTAPA</v>
      </c>
      <c r="W2728" t="str">
        <f t="shared" si="1117"/>
        <v>04-08-2020</v>
      </c>
      <c r="X2728" t="str">
        <f t="shared" si="1118"/>
        <v>RAZIMAH ANSAR AHMAD</v>
      </c>
      <c r="Y2728" t="str">
        <f t="shared" si="1119"/>
        <v>04-08-2020</v>
      </c>
      <c r="Z2728" t="str">
        <f>"COS10200804 6426"</f>
        <v>COS10200804 6426</v>
      </c>
    </row>
    <row r="2729" spans="1:26" x14ac:dyDescent="0.25">
      <c r="A2729" t="str">
        <f t="shared" si="1124"/>
        <v>04-08-2020 01:03:01</v>
      </c>
      <c r="B2729" t="str">
        <f>"0000808219"</f>
        <v>0000808219</v>
      </c>
      <c r="C2729" t="str">
        <f t="shared" si="1125"/>
        <v>0000808194</v>
      </c>
      <c r="D2729" t="str">
        <f t="shared" si="1107"/>
        <v>73185</v>
      </c>
      <c r="E2729" t="str">
        <f t="shared" si="1108"/>
        <v>KFH-OPERATIONS DEPARTMENT</v>
      </c>
      <c r="F2729" t="str">
        <f t="shared" si="1109"/>
        <v>IBG</v>
      </c>
      <c r="G2729" t="str">
        <f t="shared" si="1120"/>
        <v>Refund COSHARE 10</v>
      </c>
      <c r="H2729" s="2">
        <v>251.85</v>
      </c>
      <c r="I2729" t="str">
        <f>"NORAINI BT MAZLAN"</f>
        <v>NORAINI BT MAZLAN</v>
      </c>
      <c r="J2729" t="str">
        <f t="shared" si="1121"/>
        <v>MAYBANK / MAYBANK ISLAMIC</v>
      </c>
      <c r="K2729" t="str">
        <f>"105046625004"</f>
        <v>105046625004</v>
      </c>
      <c r="L2729" t="str">
        <f t="shared" si="1126"/>
        <v>04-08-2020</v>
      </c>
      <c r="M2729" t="str">
        <f t="shared" si="1126"/>
        <v>04-08-2020</v>
      </c>
      <c r="N2729" t="str">
        <f t="shared" si="1110"/>
        <v>001105018356</v>
      </c>
      <c r="O2729" t="str">
        <f t="shared" si="1111"/>
        <v>MYR</v>
      </c>
      <c r="P2729" t="str">
        <f t="shared" si="1127"/>
        <v>NIL</v>
      </c>
      <c r="Q2729" t="str">
        <f t="shared" si="1127"/>
        <v>NIL</v>
      </c>
      <c r="R2729" t="str">
        <f t="shared" si="1112"/>
        <v>Accepted</v>
      </c>
      <c r="S2729" t="str">
        <f t="shared" si="1113"/>
        <v>Approved</v>
      </c>
      <c r="T2729" t="str">
        <f t="shared" si="1114"/>
        <v>10.20.8.188</v>
      </c>
      <c r="U2729" t="str">
        <f t="shared" si="1115"/>
        <v>AZRAD UMAR BIN SHAARI</v>
      </c>
      <c r="V2729" t="str">
        <f t="shared" si="1116"/>
        <v>FARHANA BINTI MUSTAPA</v>
      </c>
      <c r="W2729" t="str">
        <f t="shared" si="1117"/>
        <v>04-08-2020</v>
      </c>
      <c r="X2729" t="str">
        <f t="shared" si="1118"/>
        <v>RAZIMAH ANSAR AHMAD</v>
      </c>
      <c r="Y2729" t="str">
        <f t="shared" si="1119"/>
        <v>04-08-2020</v>
      </c>
      <c r="Z2729" t="str">
        <f>"COS10200804 6425"</f>
        <v>COS10200804 6425</v>
      </c>
    </row>
    <row r="2730" spans="1:26" x14ac:dyDescent="0.25">
      <c r="A2730" t="str">
        <f t="shared" si="1124"/>
        <v>04-08-2020 01:03:01</v>
      </c>
      <c r="B2730" t="str">
        <f>"0000808218"</f>
        <v>0000808218</v>
      </c>
      <c r="C2730" t="str">
        <f t="shared" si="1125"/>
        <v>0000808194</v>
      </c>
      <c r="D2730" t="str">
        <f t="shared" si="1107"/>
        <v>73185</v>
      </c>
      <c r="E2730" t="str">
        <f t="shared" si="1108"/>
        <v>KFH-OPERATIONS DEPARTMENT</v>
      </c>
      <c r="F2730" t="str">
        <f t="shared" si="1109"/>
        <v>IBG</v>
      </c>
      <c r="G2730" t="str">
        <f t="shared" si="1120"/>
        <v>Refund COSHARE 10</v>
      </c>
      <c r="H2730" s="2">
        <v>268.64999999999998</v>
      </c>
      <c r="I2730" t="str">
        <f>"NORAINI BINTI NORZUKI"</f>
        <v>NORAINI BINTI NORZUKI</v>
      </c>
      <c r="J2730" t="str">
        <f t="shared" si="1121"/>
        <v>MAYBANK / MAYBANK ISLAMIC</v>
      </c>
      <c r="K2730" t="str">
        <f>"151043885801"</f>
        <v>151043885801</v>
      </c>
      <c r="L2730" t="str">
        <f t="shared" si="1126"/>
        <v>04-08-2020</v>
      </c>
      <c r="M2730" t="str">
        <f t="shared" si="1126"/>
        <v>04-08-2020</v>
      </c>
      <c r="N2730" t="str">
        <f t="shared" si="1110"/>
        <v>001105018356</v>
      </c>
      <c r="O2730" t="str">
        <f t="shared" si="1111"/>
        <v>MYR</v>
      </c>
      <c r="P2730" t="str">
        <f t="shared" si="1127"/>
        <v>NIL</v>
      </c>
      <c r="Q2730" t="str">
        <f t="shared" si="1127"/>
        <v>NIL</v>
      </c>
      <c r="R2730" t="str">
        <f t="shared" si="1112"/>
        <v>Accepted</v>
      </c>
      <c r="S2730" t="str">
        <f t="shared" si="1113"/>
        <v>Approved</v>
      </c>
      <c r="T2730" t="str">
        <f t="shared" si="1114"/>
        <v>10.20.8.188</v>
      </c>
      <c r="U2730" t="str">
        <f t="shared" si="1115"/>
        <v>AZRAD UMAR BIN SHAARI</v>
      </c>
      <c r="V2730" t="str">
        <f t="shared" si="1116"/>
        <v>FARHANA BINTI MUSTAPA</v>
      </c>
      <c r="W2730" t="str">
        <f t="shared" si="1117"/>
        <v>04-08-2020</v>
      </c>
      <c r="X2730" t="str">
        <f t="shared" si="1118"/>
        <v>RAZIMAH ANSAR AHMAD</v>
      </c>
      <c r="Y2730" t="str">
        <f t="shared" si="1119"/>
        <v>04-08-2020</v>
      </c>
      <c r="Z2730" t="str">
        <f>"COS10200804 6424"</f>
        <v>COS10200804 6424</v>
      </c>
    </row>
    <row r="2731" spans="1:26" x14ac:dyDescent="0.25">
      <c r="A2731" t="str">
        <f t="shared" si="1124"/>
        <v>04-08-2020 01:03:01</v>
      </c>
      <c r="B2731" t="str">
        <f>"0000808217"</f>
        <v>0000808217</v>
      </c>
      <c r="C2731" t="str">
        <f t="shared" si="1125"/>
        <v>0000808194</v>
      </c>
      <c r="D2731" t="str">
        <f t="shared" si="1107"/>
        <v>73185</v>
      </c>
      <c r="E2731" t="str">
        <f t="shared" si="1108"/>
        <v>KFH-OPERATIONS DEPARTMENT</v>
      </c>
      <c r="F2731" t="str">
        <f t="shared" si="1109"/>
        <v>IBG</v>
      </c>
      <c r="G2731" t="str">
        <f t="shared" si="1120"/>
        <v>Refund COSHARE 10</v>
      </c>
      <c r="H2731" s="2">
        <v>595.75</v>
      </c>
      <c r="I2731" t="str">
        <f>"NORAINI BINTI MOHAMED RAOF"</f>
        <v>NORAINI BINTI MOHAMED RAOF</v>
      </c>
      <c r="J2731" t="str">
        <f t="shared" si="1121"/>
        <v>MAYBANK / MAYBANK ISLAMIC</v>
      </c>
      <c r="K2731" t="str">
        <f>"112240144031"</f>
        <v>112240144031</v>
      </c>
      <c r="L2731" t="str">
        <f t="shared" si="1126"/>
        <v>04-08-2020</v>
      </c>
      <c r="M2731" t="str">
        <f t="shared" si="1126"/>
        <v>04-08-2020</v>
      </c>
      <c r="N2731" t="str">
        <f t="shared" si="1110"/>
        <v>001105018356</v>
      </c>
      <c r="O2731" t="str">
        <f t="shared" si="1111"/>
        <v>MYR</v>
      </c>
      <c r="P2731" t="str">
        <f t="shared" si="1127"/>
        <v>NIL</v>
      </c>
      <c r="Q2731" t="str">
        <f t="shared" si="1127"/>
        <v>NIL</v>
      </c>
      <c r="R2731" t="str">
        <f t="shared" si="1112"/>
        <v>Accepted</v>
      </c>
      <c r="S2731" t="str">
        <f t="shared" si="1113"/>
        <v>Approved</v>
      </c>
      <c r="T2731" t="str">
        <f t="shared" si="1114"/>
        <v>10.20.8.188</v>
      </c>
      <c r="U2731" t="str">
        <f t="shared" si="1115"/>
        <v>AZRAD UMAR BIN SHAARI</v>
      </c>
      <c r="V2731" t="str">
        <f t="shared" si="1116"/>
        <v>FARHANA BINTI MUSTAPA</v>
      </c>
      <c r="W2731" t="str">
        <f t="shared" si="1117"/>
        <v>04-08-2020</v>
      </c>
      <c r="X2731" t="str">
        <f t="shared" si="1118"/>
        <v>RAZIMAH ANSAR AHMAD</v>
      </c>
      <c r="Y2731" t="str">
        <f t="shared" si="1119"/>
        <v>04-08-2020</v>
      </c>
      <c r="Z2731" t="str">
        <f>"COS10200804 6423"</f>
        <v>COS10200804 6423</v>
      </c>
    </row>
    <row r="2732" spans="1:26" x14ac:dyDescent="0.25">
      <c r="A2732" t="str">
        <f t="shared" si="1124"/>
        <v>04-08-2020 01:03:01</v>
      </c>
      <c r="B2732" t="str">
        <f>"0000808216"</f>
        <v>0000808216</v>
      </c>
      <c r="C2732" t="str">
        <f t="shared" si="1125"/>
        <v>0000808194</v>
      </c>
      <c r="D2732" t="str">
        <f t="shared" si="1107"/>
        <v>73185</v>
      </c>
      <c r="E2732" t="str">
        <f t="shared" si="1108"/>
        <v>KFH-OPERATIONS DEPARTMENT</v>
      </c>
      <c r="F2732" t="str">
        <f t="shared" si="1109"/>
        <v>IBG</v>
      </c>
      <c r="G2732" t="str">
        <f t="shared" si="1120"/>
        <v>Refund COSHARE 10</v>
      </c>
      <c r="H2732" s="2">
        <v>1259.25</v>
      </c>
      <c r="I2732" t="str">
        <f>"NORAINI BINTI MOHAMAD NOOR"</f>
        <v>NORAINI BINTI MOHAMAD NOOR</v>
      </c>
      <c r="J2732" t="str">
        <f t="shared" si="1121"/>
        <v>MAYBANK / MAYBANK ISLAMIC</v>
      </c>
      <c r="K2732" t="str">
        <f>"151427089750"</f>
        <v>151427089750</v>
      </c>
      <c r="L2732" t="str">
        <f t="shared" si="1126"/>
        <v>04-08-2020</v>
      </c>
      <c r="M2732" t="str">
        <f t="shared" si="1126"/>
        <v>04-08-2020</v>
      </c>
      <c r="N2732" t="str">
        <f t="shared" si="1110"/>
        <v>001105018356</v>
      </c>
      <c r="O2732" t="str">
        <f t="shared" si="1111"/>
        <v>MYR</v>
      </c>
      <c r="P2732" t="str">
        <f t="shared" si="1127"/>
        <v>NIL</v>
      </c>
      <c r="Q2732" t="str">
        <f t="shared" si="1127"/>
        <v>NIL</v>
      </c>
      <c r="R2732" t="str">
        <f t="shared" si="1112"/>
        <v>Accepted</v>
      </c>
      <c r="S2732" t="str">
        <f t="shared" si="1113"/>
        <v>Approved</v>
      </c>
      <c r="T2732" t="str">
        <f t="shared" si="1114"/>
        <v>10.20.8.188</v>
      </c>
      <c r="U2732" t="str">
        <f t="shared" si="1115"/>
        <v>AZRAD UMAR BIN SHAARI</v>
      </c>
      <c r="V2732" t="str">
        <f t="shared" si="1116"/>
        <v>FARHANA BINTI MUSTAPA</v>
      </c>
      <c r="W2732" t="str">
        <f t="shared" si="1117"/>
        <v>04-08-2020</v>
      </c>
      <c r="X2732" t="str">
        <f t="shared" si="1118"/>
        <v>RAZIMAH ANSAR AHMAD</v>
      </c>
      <c r="Y2732" t="str">
        <f t="shared" si="1119"/>
        <v>04-08-2020</v>
      </c>
      <c r="Z2732" t="str">
        <f>"COS10200804 6422"</f>
        <v>COS10200804 6422</v>
      </c>
    </row>
    <row r="2733" spans="1:26" x14ac:dyDescent="0.25">
      <c r="A2733" t="str">
        <f t="shared" si="1124"/>
        <v>04-08-2020 01:03:01</v>
      </c>
      <c r="B2733" t="str">
        <f>"0000808215"</f>
        <v>0000808215</v>
      </c>
      <c r="C2733" t="str">
        <f t="shared" si="1125"/>
        <v>0000808194</v>
      </c>
      <c r="D2733" t="str">
        <f t="shared" si="1107"/>
        <v>73185</v>
      </c>
      <c r="E2733" t="str">
        <f t="shared" si="1108"/>
        <v>KFH-OPERATIONS DEPARTMENT</v>
      </c>
      <c r="F2733" t="str">
        <f t="shared" si="1109"/>
        <v>IBG</v>
      </c>
      <c r="G2733" t="str">
        <f t="shared" si="1120"/>
        <v>Refund COSHARE 10</v>
      </c>
      <c r="H2733" s="2">
        <v>94.85</v>
      </c>
      <c r="I2733" t="str">
        <f>"NORAINI BINTI MISRAN"</f>
        <v>NORAINI BINTI MISRAN</v>
      </c>
      <c r="J2733" t="str">
        <f t="shared" si="1121"/>
        <v>MAYBANK / MAYBANK ISLAMIC</v>
      </c>
      <c r="K2733" t="str">
        <f>"101075419640"</f>
        <v>101075419640</v>
      </c>
      <c r="L2733" t="str">
        <f t="shared" si="1126"/>
        <v>04-08-2020</v>
      </c>
      <c r="M2733" t="str">
        <f t="shared" si="1126"/>
        <v>04-08-2020</v>
      </c>
      <c r="N2733" t="str">
        <f t="shared" si="1110"/>
        <v>001105018356</v>
      </c>
      <c r="O2733" t="str">
        <f t="shared" si="1111"/>
        <v>MYR</v>
      </c>
      <c r="P2733" t="str">
        <f t="shared" si="1127"/>
        <v>NIL</v>
      </c>
      <c r="Q2733" t="str">
        <f t="shared" si="1127"/>
        <v>NIL</v>
      </c>
      <c r="R2733" t="str">
        <f t="shared" si="1112"/>
        <v>Accepted</v>
      </c>
      <c r="S2733" t="str">
        <f t="shared" si="1113"/>
        <v>Approved</v>
      </c>
      <c r="T2733" t="str">
        <f t="shared" si="1114"/>
        <v>10.20.8.188</v>
      </c>
      <c r="U2733" t="str">
        <f t="shared" si="1115"/>
        <v>AZRAD UMAR BIN SHAARI</v>
      </c>
      <c r="V2733" t="str">
        <f t="shared" si="1116"/>
        <v>FARHANA BINTI MUSTAPA</v>
      </c>
      <c r="W2733" t="str">
        <f t="shared" si="1117"/>
        <v>04-08-2020</v>
      </c>
      <c r="X2733" t="str">
        <f t="shared" si="1118"/>
        <v>RAZIMAH ANSAR AHMAD</v>
      </c>
      <c r="Y2733" t="str">
        <f t="shared" si="1119"/>
        <v>04-08-2020</v>
      </c>
      <c r="Z2733" t="str">
        <f>"COS10200804 6421"</f>
        <v>COS10200804 6421</v>
      </c>
    </row>
    <row r="2734" spans="1:26" x14ac:dyDescent="0.25">
      <c r="A2734" t="str">
        <f t="shared" si="1124"/>
        <v>04-08-2020 01:03:01</v>
      </c>
      <c r="B2734" t="str">
        <f>"0000808214"</f>
        <v>0000808214</v>
      </c>
      <c r="C2734" t="str">
        <f t="shared" si="1125"/>
        <v>0000808194</v>
      </c>
      <c r="D2734" t="str">
        <f t="shared" si="1107"/>
        <v>73185</v>
      </c>
      <c r="E2734" t="str">
        <f t="shared" si="1108"/>
        <v>KFH-OPERATIONS DEPARTMENT</v>
      </c>
      <c r="F2734" t="str">
        <f t="shared" si="1109"/>
        <v>IBG</v>
      </c>
      <c r="G2734" t="str">
        <f t="shared" si="1120"/>
        <v>Refund COSHARE 10</v>
      </c>
      <c r="H2734" s="2">
        <v>84</v>
      </c>
      <c r="I2734" t="str">
        <f>"NORAINI BINTI ATAP  ARIF"</f>
        <v>NORAINI BINTI ATAP  ARIF</v>
      </c>
      <c r="J2734" t="str">
        <f t="shared" si="1121"/>
        <v>MAYBANK / MAYBANK ISLAMIC</v>
      </c>
      <c r="K2734" t="str">
        <f>"161042109340"</f>
        <v>161042109340</v>
      </c>
      <c r="L2734" t="str">
        <f t="shared" si="1126"/>
        <v>04-08-2020</v>
      </c>
      <c r="M2734" t="str">
        <f t="shared" si="1126"/>
        <v>04-08-2020</v>
      </c>
      <c r="N2734" t="str">
        <f t="shared" si="1110"/>
        <v>001105018356</v>
      </c>
      <c r="O2734" t="str">
        <f t="shared" si="1111"/>
        <v>MYR</v>
      </c>
      <c r="P2734" t="str">
        <f t="shared" si="1127"/>
        <v>NIL</v>
      </c>
      <c r="Q2734" t="str">
        <f t="shared" si="1127"/>
        <v>NIL</v>
      </c>
      <c r="R2734" t="str">
        <f t="shared" si="1112"/>
        <v>Accepted</v>
      </c>
      <c r="S2734" t="str">
        <f t="shared" si="1113"/>
        <v>Approved</v>
      </c>
      <c r="T2734" t="str">
        <f t="shared" si="1114"/>
        <v>10.20.8.188</v>
      </c>
      <c r="U2734" t="str">
        <f t="shared" si="1115"/>
        <v>AZRAD UMAR BIN SHAARI</v>
      </c>
      <c r="V2734" t="str">
        <f t="shared" si="1116"/>
        <v>FARHANA BINTI MUSTAPA</v>
      </c>
      <c r="W2734" t="str">
        <f t="shared" si="1117"/>
        <v>04-08-2020</v>
      </c>
      <c r="X2734" t="str">
        <f t="shared" si="1118"/>
        <v>RAZIMAH ANSAR AHMAD</v>
      </c>
      <c r="Y2734" t="str">
        <f t="shared" si="1119"/>
        <v>04-08-2020</v>
      </c>
      <c r="Z2734" t="str">
        <f>"COS10200804 6420"</f>
        <v>COS10200804 6420</v>
      </c>
    </row>
    <row r="2735" spans="1:26" x14ac:dyDescent="0.25">
      <c r="A2735" t="str">
        <f t="shared" si="1124"/>
        <v>04-08-2020 01:03:01</v>
      </c>
      <c r="B2735" t="str">
        <f>"0000808213"</f>
        <v>0000808213</v>
      </c>
      <c r="C2735" t="str">
        <f t="shared" si="1125"/>
        <v>0000808194</v>
      </c>
      <c r="D2735" t="str">
        <f t="shared" si="1107"/>
        <v>73185</v>
      </c>
      <c r="E2735" t="str">
        <f t="shared" si="1108"/>
        <v>KFH-OPERATIONS DEPARTMENT</v>
      </c>
      <c r="F2735" t="str">
        <f t="shared" si="1109"/>
        <v>IBG</v>
      </c>
      <c r="G2735" t="str">
        <f t="shared" si="1120"/>
        <v>Refund COSHARE 10</v>
      </c>
      <c r="H2735" s="2">
        <v>903</v>
      </c>
      <c r="I2735" t="str">
        <f>"NORAINI BINTI ALI  AWANG"</f>
        <v>NORAINI BINTI ALI  AWANG</v>
      </c>
      <c r="J2735" t="str">
        <f t="shared" si="1121"/>
        <v>MAYBANK / MAYBANK ISLAMIC</v>
      </c>
      <c r="K2735" t="str">
        <f>"157112020188"</f>
        <v>157112020188</v>
      </c>
      <c r="L2735" t="str">
        <f t="shared" si="1126"/>
        <v>04-08-2020</v>
      </c>
      <c r="M2735" t="str">
        <f t="shared" si="1126"/>
        <v>04-08-2020</v>
      </c>
      <c r="N2735" t="str">
        <f t="shared" si="1110"/>
        <v>001105018356</v>
      </c>
      <c r="O2735" t="str">
        <f t="shared" si="1111"/>
        <v>MYR</v>
      </c>
      <c r="P2735" t="str">
        <f t="shared" si="1127"/>
        <v>NIL</v>
      </c>
      <c r="Q2735" t="str">
        <f t="shared" si="1127"/>
        <v>NIL</v>
      </c>
      <c r="R2735" t="str">
        <f t="shared" si="1112"/>
        <v>Accepted</v>
      </c>
      <c r="S2735" t="str">
        <f t="shared" si="1113"/>
        <v>Approved</v>
      </c>
      <c r="T2735" t="str">
        <f t="shared" si="1114"/>
        <v>10.20.8.188</v>
      </c>
      <c r="U2735" t="str">
        <f t="shared" si="1115"/>
        <v>AZRAD UMAR BIN SHAARI</v>
      </c>
      <c r="V2735" t="str">
        <f t="shared" si="1116"/>
        <v>FARHANA BINTI MUSTAPA</v>
      </c>
      <c r="W2735" t="str">
        <f t="shared" si="1117"/>
        <v>04-08-2020</v>
      </c>
      <c r="X2735" t="str">
        <f t="shared" si="1118"/>
        <v>RAZIMAH ANSAR AHMAD</v>
      </c>
      <c r="Y2735" t="str">
        <f t="shared" si="1119"/>
        <v>04-08-2020</v>
      </c>
      <c r="Z2735" t="str">
        <f>"COS10200804 6419"</f>
        <v>COS10200804 6419</v>
      </c>
    </row>
    <row r="2736" spans="1:26" x14ac:dyDescent="0.25">
      <c r="A2736" t="str">
        <f t="shared" si="1124"/>
        <v>04-08-2020 01:03:01</v>
      </c>
      <c r="B2736" t="str">
        <f>"0000808212"</f>
        <v>0000808212</v>
      </c>
      <c r="C2736" t="str">
        <f t="shared" si="1125"/>
        <v>0000808194</v>
      </c>
      <c r="D2736" t="str">
        <f t="shared" si="1107"/>
        <v>73185</v>
      </c>
      <c r="E2736" t="str">
        <f t="shared" si="1108"/>
        <v>KFH-OPERATIONS DEPARTMENT</v>
      </c>
      <c r="F2736" t="str">
        <f t="shared" si="1109"/>
        <v>IBG</v>
      </c>
      <c r="G2736" t="str">
        <f t="shared" si="1120"/>
        <v>Refund COSHARE 10</v>
      </c>
      <c r="H2736" s="2">
        <v>461.75</v>
      </c>
      <c r="I2736" t="str">
        <f>"NORAIN BINTI HUSSAIN"</f>
        <v>NORAIN BINTI HUSSAIN</v>
      </c>
      <c r="J2736" t="str">
        <f t="shared" si="1121"/>
        <v>MAYBANK / MAYBANK ISLAMIC</v>
      </c>
      <c r="K2736" t="str">
        <f>"164490196863"</f>
        <v>164490196863</v>
      </c>
      <c r="L2736" t="str">
        <f t="shared" si="1126"/>
        <v>04-08-2020</v>
      </c>
      <c r="M2736" t="str">
        <f t="shared" si="1126"/>
        <v>04-08-2020</v>
      </c>
      <c r="N2736" t="str">
        <f t="shared" si="1110"/>
        <v>001105018356</v>
      </c>
      <c r="O2736" t="str">
        <f t="shared" si="1111"/>
        <v>MYR</v>
      </c>
      <c r="P2736" t="str">
        <f t="shared" si="1127"/>
        <v>NIL</v>
      </c>
      <c r="Q2736" t="str">
        <f t="shared" si="1127"/>
        <v>NIL</v>
      </c>
      <c r="R2736" t="str">
        <f t="shared" si="1112"/>
        <v>Accepted</v>
      </c>
      <c r="S2736" t="str">
        <f t="shared" si="1113"/>
        <v>Approved</v>
      </c>
      <c r="T2736" t="str">
        <f t="shared" si="1114"/>
        <v>10.20.8.188</v>
      </c>
      <c r="U2736" t="str">
        <f t="shared" si="1115"/>
        <v>AZRAD UMAR BIN SHAARI</v>
      </c>
      <c r="V2736" t="str">
        <f t="shared" si="1116"/>
        <v>FARHANA BINTI MUSTAPA</v>
      </c>
      <c r="W2736" t="str">
        <f t="shared" si="1117"/>
        <v>04-08-2020</v>
      </c>
      <c r="X2736" t="str">
        <f t="shared" si="1118"/>
        <v>RAZIMAH ANSAR AHMAD</v>
      </c>
      <c r="Y2736" t="str">
        <f t="shared" si="1119"/>
        <v>04-08-2020</v>
      </c>
      <c r="Z2736" t="str">
        <f>"COS10200804 6418"</f>
        <v>COS10200804 6418</v>
      </c>
    </row>
    <row r="2737" spans="1:26" x14ac:dyDescent="0.25">
      <c r="A2737" t="str">
        <f t="shared" si="1124"/>
        <v>04-08-2020 01:03:01</v>
      </c>
      <c r="B2737" t="str">
        <f>"0000808211"</f>
        <v>0000808211</v>
      </c>
      <c r="C2737" t="str">
        <f t="shared" si="1125"/>
        <v>0000808194</v>
      </c>
      <c r="D2737" t="str">
        <f t="shared" si="1107"/>
        <v>73185</v>
      </c>
      <c r="E2737" t="str">
        <f t="shared" si="1108"/>
        <v>KFH-OPERATIONS DEPARTMENT</v>
      </c>
      <c r="F2737" t="str">
        <f t="shared" si="1109"/>
        <v>IBG</v>
      </c>
      <c r="G2737" t="str">
        <f t="shared" si="1120"/>
        <v>Refund COSHARE 10</v>
      </c>
      <c r="H2737" s="2">
        <v>83.95</v>
      </c>
      <c r="I2737" t="str">
        <f>"NORAIDAH BINTI SIKAS"</f>
        <v>NORAIDAH BINTI SIKAS</v>
      </c>
      <c r="J2737" t="str">
        <f t="shared" si="1121"/>
        <v>MAYBANK / MAYBANK ISLAMIC</v>
      </c>
      <c r="K2737" t="str">
        <f>"151017115477"</f>
        <v>151017115477</v>
      </c>
      <c r="L2737" t="str">
        <f t="shared" si="1126"/>
        <v>04-08-2020</v>
      </c>
      <c r="M2737" t="str">
        <f t="shared" si="1126"/>
        <v>04-08-2020</v>
      </c>
      <c r="N2737" t="str">
        <f t="shared" si="1110"/>
        <v>001105018356</v>
      </c>
      <c r="O2737" t="str">
        <f t="shared" si="1111"/>
        <v>MYR</v>
      </c>
      <c r="P2737" t="str">
        <f t="shared" si="1127"/>
        <v>NIL</v>
      </c>
      <c r="Q2737" t="str">
        <f t="shared" si="1127"/>
        <v>NIL</v>
      </c>
      <c r="R2737" t="str">
        <f t="shared" si="1112"/>
        <v>Accepted</v>
      </c>
      <c r="S2737" t="str">
        <f t="shared" si="1113"/>
        <v>Approved</v>
      </c>
      <c r="T2737" t="str">
        <f t="shared" si="1114"/>
        <v>10.20.8.188</v>
      </c>
      <c r="U2737" t="str">
        <f t="shared" si="1115"/>
        <v>AZRAD UMAR BIN SHAARI</v>
      </c>
      <c r="V2737" t="str">
        <f t="shared" si="1116"/>
        <v>FARHANA BINTI MUSTAPA</v>
      </c>
      <c r="W2737" t="str">
        <f t="shared" si="1117"/>
        <v>04-08-2020</v>
      </c>
      <c r="X2737" t="str">
        <f t="shared" si="1118"/>
        <v>RAZIMAH ANSAR AHMAD</v>
      </c>
      <c r="Y2737" t="str">
        <f t="shared" si="1119"/>
        <v>04-08-2020</v>
      </c>
      <c r="Z2737" t="str">
        <f>"COS10200804 6417"</f>
        <v>COS10200804 6417</v>
      </c>
    </row>
    <row r="2738" spans="1:26" x14ac:dyDescent="0.25">
      <c r="A2738" t="str">
        <f t="shared" si="1124"/>
        <v>04-08-2020 01:03:01</v>
      </c>
      <c r="B2738" t="str">
        <f>"0000808210"</f>
        <v>0000808210</v>
      </c>
      <c r="C2738" t="str">
        <f t="shared" si="1125"/>
        <v>0000808194</v>
      </c>
      <c r="D2738" t="str">
        <f t="shared" si="1107"/>
        <v>73185</v>
      </c>
      <c r="E2738" t="str">
        <f t="shared" si="1108"/>
        <v>KFH-OPERATIONS DEPARTMENT</v>
      </c>
      <c r="F2738" t="str">
        <f t="shared" si="1109"/>
        <v>IBG</v>
      </c>
      <c r="G2738" t="str">
        <f t="shared" si="1120"/>
        <v>Refund COSHARE 10</v>
      </c>
      <c r="H2738" s="2">
        <v>194.45</v>
      </c>
      <c r="I2738" t="str">
        <f>"NORAIDAH BINTI NORDIN"</f>
        <v>NORAIDAH BINTI NORDIN</v>
      </c>
      <c r="J2738" t="str">
        <f t="shared" si="1121"/>
        <v>MAYBANK / MAYBANK ISLAMIC</v>
      </c>
      <c r="K2738" t="str">
        <f>"151258013466"</f>
        <v>151258013466</v>
      </c>
      <c r="L2738" t="str">
        <f t="shared" si="1126"/>
        <v>04-08-2020</v>
      </c>
      <c r="M2738" t="str">
        <f t="shared" si="1126"/>
        <v>04-08-2020</v>
      </c>
      <c r="N2738" t="str">
        <f t="shared" si="1110"/>
        <v>001105018356</v>
      </c>
      <c r="O2738" t="str">
        <f t="shared" si="1111"/>
        <v>MYR</v>
      </c>
      <c r="P2738" t="str">
        <f t="shared" si="1127"/>
        <v>NIL</v>
      </c>
      <c r="Q2738" t="str">
        <f t="shared" si="1127"/>
        <v>NIL</v>
      </c>
      <c r="R2738" t="str">
        <f t="shared" si="1112"/>
        <v>Accepted</v>
      </c>
      <c r="S2738" t="str">
        <f t="shared" si="1113"/>
        <v>Approved</v>
      </c>
      <c r="T2738" t="str">
        <f t="shared" si="1114"/>
        <v>10.20.8.188</v>
      </c>
      <c r="U2738" t="str">
        <f t="shared" si="1115"/>
        <v>AZRAD UMAR BIN SHAARI</v>
      </c>
      <c r="V2738" t="str">
        <f t="shared" si="1116"/>
        <v>FARHANA BINTI MUSTAPA</v>
      </c>
      <c r="W2738" t="str">
        <f t="shared" si="1117"/>
        <v>04-08-2020</v>
      </c>
      <c r="X2738" t="str">
        <f t="shared" si="1118"/>
        <v>RAZIMAH ANSAR AHMAD</v>
      </c>
      <c r="Y2738" t="str">
        <f t="shared" si="1119"/>
        <v>04-08-2020</v>
      </c>
      <c r="Z2738" t="str">
        <f>"COS10200804 6416"</f>
        <v>COS10200804 6416</v>
      </c>
    </row>
    <row r="2739" spans="1:26" x14ac:dyDescent="0.25">
      <c r="A2739" t="str">
        <f t="shared" si="1124"/>
        <v>04-08-2020 01:03:01</v>
      </c>
      <c r="B2739" t="str">
        <f>"0000808209"</f>
        <v>0000808209</v>
      </c>
      <c r="C2739" t="str">
        <f t="shared" si="1125"/>
        <v>0000808194</v>
      </c>
      <c r="D2739" t="str">
        <f t="shared" si="1107"/>
        <v>73185</v>
      </c>
      <c r="E2739" t="str">
        <f t="shared" si="1108"/>
        <v>KFH-OPERATIONS DEPARTMENT</v>
      </c>
      <c r="F2739" t="str">
        <f t="shared" si="1109"/>
        <v>IBG</v>
      </c>
      <c r="G2739" t="str">
        <f t="shared" si="1120"/>
        <v>Refund COSHARE 10</v>
      </c>
      <c r="H2739" s="2">
        <v>42</v>
      </c>
      <c r="I2739" t="str">
        <f>"NORAIDA BINTI MUHAMMAD"</f>
        <v>NORAIDA BINTI MUHAMMAD</v>
      </c>
      <c r="J2739" t="str">
        <f t="shared" si="1121"/>
        <v>MAYBANK / MAYBANK ISLAMIC</v>
      </c>
      <c r="K2739" t="str">
        <f>"162553015126"</f>
        <v>162553015126</v>
      </c>
      <c r="L2739" t="str">
        <f t="shared" si="1126"/>
        <v>04-08-2020</v>
      </c>
      <c r="M2739" t="str">
        <f t="shared" si="1126"/>
        <v>04-08-2020</v>
      </c>
      <c r="N2739" t="str">
        <f t="shared" si="1110"/>
        <v>001105018356</v>
      </c>
      <c r="O2739" t="str">
        <f t="shared" si="1111"/>
        <v>MYR</v>
      </c>
      <c r="P2739" t="str">
        <f t="shared" si="1127"/>
        <v>NIL</v>
      </c>
      <c r="Q2739" t="str">
        <f t="shared" si="1127"/>
        <v>NIL</v>
      </c>
      <c r="R2739" t="str">
        <f t="shared" si="1112"/>
        <v>Accepted</v>
      </c>
      <c r="S2739" t="str">
        <f t="shared" si="1113"/>
        <v>Approved</v>
      </c>
      <c r="T2739" t="str">
        <f t="shared" si="1114"/>
        <v>10.20.8.188</v>
      </c>
      <c r="U2739" t="str">
        <f t="shared" si="1115"/>
        <v>AZRAD UMAR BIN SHAARI</v>
      </c>
      <c r="V2739" t="str">
        <f t="shared" si="1116"/>
        <v>FARHANA BINTI MUSTAPA</v>
      </c>
      <c r="W2739" t="str">
        <f t="shared" si="1117"/>
        <v>04-08-2020</v>
      </c>
      <c r="X2739" t="str">
        <f t="shared" si="1118"/>
        <v>RAZIMAH ANSAR AHMAD</v>
      </c>
      <c r="Y2739" t="str">
        <f t="shared" si="1119"/>
        <v>04-08-2020</v>
      </c>
      <c r="Z2739" t="str">
        <f>"COS10200804 6415"</f>
        <v>COS10200804 6415</v>
      </c>
    </row>
    <row r="2740" spans="1:26" x14ac:dyDescent="0.25">
      <c r="A2740" t="str">
        <f t="shared" si="1124"/>
        <v>04-08-2020 01:03:01</v>
      </c>
      <c r="B2740" t="str">
        <f>"0000808208"</f>
        <v>0000808208</v>
      </c>
      <c r="C2740" t="str">
        <f t="shared" si="1125"/>
        <v>0000808194</v>
      </c>
      <c r="D2740" t="str">
        <f t="shared" si="1107"/>
        <v>73185</v>
      </c>
      <c r="E2740" t="str">
        <f t="shared" si="1108"/>
        <v>KFH-OPERATIONS DEPARTMENT</v>
      </c>
      <c r="F2740" t="str">
        <f t="shared" si="1109"/>
        <v>IBG</v>
      </c>
      <c r="G2740" t="str">
        <f t="shared" si="1120"/>
        <v>Refund COSHARE 10</v>
      </c>
      <c r="H2740" s="2">
        <v>1679</v>
      </c>
      <c r="I2740" t="str">
        <f>"NORAIDA BINTI IBRAHIM"</f>
        <v>NORAIDA BINTI IBRAHIM</v>
      </c>
      <c r="J2740" t="str">
        <f t="shared" si="1121"/>
        <v>MAYBANK / MAYBANK ISLAMIC</v>
      </c>
      <c r="K2740" t="str">
        <f>"162384006183"</f>
        <v>162384006183</v>
      </c>
      <c r="L2740" t="str">
        <f t="shared" si="1126"/>
        <v>04-08-2020</v>
      </c>
      <c r="M2740" t="str">
        <f t="shared" si="1126"/>
        <v>04-08-2020</v>
      </c>
      <c r="N2740" t="str">
        <f t="shared" si="1110"/>
        <v>001105018356</v>
      </c>
      <c r="O2740" t="str">
        <f t="shared" si="1111"/>
        <v>MYR</v>
      </c>
      <c r="P2740" t="str">
        <f t="shared" si="1127"/>
        <v>NIL</v>
      </c>
      <c r="Q2740" t="str">
        <f t="shared" si="1127"/>
        <v>NIL</v>
      </c>
      <c r="R2740" t="str">
        <f t="shared" si="1112"/>
        <v>Accepted</v>
      </c>
      <c r="S2740" t="str">
        <f t="shared" si="1113"/>
        <v>Approved</v>
      </c>
      <c r="T2740" t="str">
        <f t="shared" si="1114"/>
        <v>10.20.8.188</v>
      </c>
      <c r="U2740" t="str">
        <f t="shared" si="1115"/>
        <v>AZRAD UMAR BIN SHAARI</v>
      </c>
      <c r="V2740" t="str">
        <f t="shared" si="1116"/>
        <v>FARHANA BINTI MUSTAPA</v>
      </c>
      <c r="W2740" t="str">
        <f t="shared" si="1117"/>
        <v>04-08-2020</v>
      </c>
      <c r="X2740" t="str">
        <f t="shared" si="1118"/>
        <v>RAZIMAH ANSAR AHMAD</v>
      </c>
      <c r="Y2740" t="str">
        <f t="shared" si="1119"/>
        <v>04-08-2020</v>
      </c>
      <c r="Z2740" t="str">
        <f>"COS10200804 6414"</f>
        <v>COS10200804 6414</v>
      </c>
    </row>
    <row r="2741" spans="1:26" x14ac:dyDescent="0.25">
      <c r="A2741" t="str">
        <f t="shared" si="1124"/>
        <v>04-08-2020 01:03:01</v>
      </c>
      <c r="B2741" t="str">
        <f>"0000808207"</f>
        <v>0000808207</v>
      </c>
      <c r="C2741" t="str">
        <f t="shared" si="1125"/>
        <v>0000808194</v>
      </c>
      <c r="D2741" t="str">
        <f t="shared" si="1107"/>
        <v>73185</v>
      </c>
      <c r="E2741" t="str">
        <f t="shared" si="1108"/>
        <v>KFH-OPERATIONS DEPARTMENT</v>
      </c>
      <c r="F2741" t="str">
        <f t="shared" si="1109"/>
        <v>IBG</v>
      </c>
      <c r="G2741" t="str">
        <f t="shared" si="1120"/>
        <v>Refund COSHARE 10</v>
      </c>
      <c r="H2741" s="2">
        <v>1374</v>
      </c>
      <c r="I2741" t="str">
        <f>"NORAH BINTI ALI"</f>
        <v>NORAH BINTI ALI</v>
      </c>
      <c r="J2741" t="str">
        <f t="shared" si="1121"/>
        <v>MAYBANK / MAYBANK ISLAMIC</v>
      </c>
      <c r="K2741" t="str">
        <f>"151071055120"</f>
        <v>151071055120</v>
      </c>
      <c r="L2741" t="str">
        <f t="shared" si="1126"/>
        <v>04-08-2020</v>
      </c>
      <c r="M2741" t="str">
        <f t="shared" si="1126"/>
        <v>04-08-2020</v>
      </c>
      <c r="N2741" t="str">
        <f t="shared" si="1110"/>
        <v>001105018356</v>
      </c>
      <c r="O2741" t="str">
        <f t="shared" si="1111"/>
        <v>MYR</v>
      </c>
      <c r="P2741" t="str">
        <f t="shared" si="1127"/>
        <v>NIL</v>
      </c>
      <c r="Q2741" t="str">
        <f t="shared" si="1127"/>
        <v>NIL</v>
      </c>
      <c r="R2741" t="str">
        <f t="shared" si="1112"/>
        <v>Accepted</v>
      </c>
      <c r="S2741" t="str">
        <f t="shared" si="1113"/>
        <v>Approved</v>
      </c>
      <c r="T2741" t="str">
        <f t="shared" si="1114"/>
        <v>10.20.8.188</v>
      </c>
      <c r="U2741" t="str">
        <f t="shared" si="1115"/>
        <v>AZRAD UMAR BIN SHAARI</v>
      </c>
      <c r="V2741" t="str">
        <f t="shared" si="1116"/>
        <v>FARHANA BINTI MUSTAPA</v>
      </c>
      <c r="W2741" t="str">
        <f t="shared" si="1117"/>
        <v>04-08-2020</v>
      </c>
      <c r="X2741" t="str">
        <f t="shared" si="1118"/>
        <v>RAZIMAH ANSAR AHMAD</v>
      </c>
      <c r="Y2741" t="str">
        <f t="shared" si="1119"/>
        <v>04-08-2020</v>
      </c>
      <c r="Z2741" t="str">
        <f>"COS10200804 6413"</f>
        <v>COS10200804 6413</v>
      </c>
    </row>
    <row r="2742" spans="1:26" x14ac:dyDescent="0.25">
      <c r="A2742" t="str">
        <f t="shared" si="1124"/>
        <v>04-08-2020 01:03:01</v>
      </c>
      <c r="B2742" t="str">
        <f>"0000808206"</f>
        <v>0000808206</v>
      </c>
      <c r="C2742" t="str">
        <f t="shared" si="1125"/>
        <v>0000808194</v>
      </c>
      <c r="D2742" t="str">
        <f t="shared" si="1107"/>
        <v>73185</v>
      </c>
      <c r="E2742" t="str">
        <f t="shared" si="1108"/>
        <v>KFH-OPERATIONS DEPARTMENT</v>
      </c>
      <c r="F2742" t="str">
        <f t="shared" si="1109"/>
        <v>IBG</v>
      </c>
      <c r="G2742" t="str">
        <f t="shared" si="1120"/>
        <v>Refund COSHARE 10</v>
      </c>
      <c r="H2742" s="2">
        <v>125.95</v>
      </c>
      <c r="I2742" t="str">
        <f>"NORAFIZA BINTI ABDUL RAHMAN"</f>
        <v>NORAFIZA BINTI ABDUL RAHMAN</v>
      </c>
      <c r="J2742" t="str">
        <f t="shared" si="1121"/>
        <v>MAYBANK / MAYBANK ISLAMIC</v>
      </c>
      <c r="K2742" t="str">
        <f>"158088288346"</f>
        <v>158088288346</v>
      </c>
      <c r="L2742" t="str">
        <f t="shared" si="1126"/>
        <v>04-08-2020</v>
      </c>
      <c r="M2742" t="str">
        <f t="shared" si="1126"/>
        <v>04-08-2020</v>
      </c>
      <c r="N2742" t="str">
        <f t="shared" si="1110"/>
        <v>001105018356</v>
      </c>
      <c r="O2742" t="str">
        <f t="shared" si="1111"/>
        <v>MYR</v>
      </c>
      <c r="P2742" t="str">
        <f t="shared" si="1127"/>
        <v>NIL</v>
      </c>
      <c r="Q2742" t="str">
        <f t="shared" si="1127"/>
        <v>NIL</v>
      </c>
      <c r="R2742" t="str">
        <f t="shared" si="1112"/>
        <v>Accepted</v>
      </c>
      <c r="S2742" t="str">
        <f t="shared" si="1113"/>
        <v>Approved</v>
      </c>
      <c r="T2742" t="str">
        <f t="shared" si="1114"/>
        <v>10.20.8.188</v>
      </c>
      <c r="U2742" t="str">
        <f t="shared" si="1115"/>
        <v>AZRAD UMAR BIN SHAARI</v>
      </c>
      <c r="V2742" t="str">
        <f t="shared" si="1116"/>
        <v>FARHANA BINTI MUSTAPA</v>
      </c>
      <c r="W2742" t="str">
        <f t="shared" si="1117"/>
        <v>04-08-2020</v>
      </c>
      <c r="X2742" t="str">
        <f t="shared" si="1118"/>
        <v>RAZIMAH ANSAR AHMAD</v>
      </c>
      <c r="Y2742" t="str">
        <f t="shared" si="1119"/>
        <v>04-08-2020</v>
      </c>
      <c r="Z2742" t="str">
        <f>"COS10200804 6412"</f>
        <v>COS10200804 6412</v>
      </c>
    </row>
    <row r="2743" spans="1:26" x14ac:dyDescent="0.25">
      <c r="A2743" t="str">
        <f t="shared" si="1124"/>
        <v>04-08-2020 01:03:01</v>
      </c>
      <c r="B2743" t="str">
        <f>"0000808205"</f>
        <v>0000808205</v>
      </c>
      <c r="C2743" t="str">
        <f t="shared" si="1125"/>
        <v>0000808194</v>
      </c>
      <c r="D2743" t="str">
        <f t="shared" si="1107"/>
        <v>73185</v>
      </c>
      <c r="E2743" t="str">
        <f t="shared" si="1108"/>
        <v>KFH-OPERATIONS DEPARTMENT</v>
      </c>
      <c r="F2743" t="str">
        <f t="shared" si="1109"/>
        <v>IBG</v>
      </c>
      <c r="G2743" t="str">
        <f t="shared" si="1120"/>
        <v>Refund COSHARE 10</v>
      </c>
      <c r="H2743" s="2">
        <v>456</v>
      </c>
      <c r="I2743" t="str">
        <f>"NORAFIFAH BINTI ALI"</f>
        <v>NORAFIFAH BINTI ALI</v>
      </c>
      <c r="J2743" t="str">
        <f t="shared" si="1121"/>
        <v>MAYBANK / MAYBANK ISLAMIC</v>
      </c>
      <c r="K2743" t="str">
        <f>"112103194567"</f>
        <v>112103194567</v>
      </c>
      <c r="L2743" t="str">
        <f t="shared" si="1126"/>
        <v>04-08-2020</v>
      </c>
      <c r="M2743" t="str">
        <f t="shared" si="1126"/>
        <v>04-08-2020</v>
      </c>
      <c r="N2743" t="str">
        <f t="shared" si="1110"/>
        <v>001105018356</v>
      </c>
      <c r="O2743" t="str">
        <f t="shared" si="1111"/>
        <v>MYR</v>
      </c>
      <c r="P2743" t="str">
        <f t="shared" si="1127"/>
        <v>NIL</v>
      </c>
      <c r="Q2743" t="str">
        <f t="shared" si="1127"/>
        <v>NIL</v>
      </c>
      <c r="R2743" t="str">
        <f t="shared" si="1112"/>
        <v>Accepted</v>
      </c>
      <c r="S2743" t="str">
        <f t="shared" si="1113"/>
        <v>Approved</v>
      </c>
      <c r="T2743" t="str">
        <f t="shared" si="1114"/>
        <v>10.20.8.188</v>
      </c>
      <c r="U2743" t="str">
        <f t="shared" si="1115"/>
        <v>AZRAD UMAR BIN SHAARI</v>
      </c>
      <c r="V2743" t="str">
        <f t="shared" si="1116"/>
        <v>FARHANA BINTI MUSTAPA</v>
      </c>
      <c r="W2743" t="str">
        <f t="shared" si="1117"/>
        <v>04-08-2020</v>
      </c>
      <c r="X2743" t="str">
        <f t="shared" si="1118"/>
        <v>RAZIMAH ANSAR AHMAD</v>
      </c>
      <c r="Y2743" t="str">
        <f t="shared" si="1119"/>
        <v>04-08-2020</v>
      </c>
      <c r="Z2743" t="str">
        <f>"COS10200804 6411"</f>
        <v>COS10200804 6411</v>
      </c>
    </row>
    <row r="2744" spans="1:26" x14ac:dyDescent="0.25">
      <c r="A2744" t="str">
        <f t="shared" si="1124"/>
        <v>04-08-2020 01:03:01</v>
      </c>
      <c r="B2744" t="str">
        <f>"0000808204"</f>
        <v>0000808204</v>
      </c>
      <c r="C2744" t="str">
        <f t="shared" si="1125"/>
        <v>0000808194</v>
      </c>
      <c r="D2744" t="str">
        <f t="shared" si="1107"/>
        <v>73185</v>
      </c>
      <c r="E2744" t="str">
        <f t="shared" si="1108"/>
        <v>KFH-OPERATIONS DEPARTMENT</v>
      </c>
      <c r="F2744" t="str">
        <f t="shared" si="1109"/>
        <v>IBG</v>
      </c>
      <c r="G2744" t="str">
        <f t="shared" si="1120"/>
        <v>Refund COSHARE 10</v>
      </c>
      <c r="H2744" s="2">
        <v>706</v>
      </c>
      <c r="I2744" t="str">
        <f>"NORAFIDA BINTI MOHD BAHARI"</f>
        <v>NORAFIDA BINTI MOHD BAHARI</v>
      </c>
      <c r="J2744" t="str">
        <f t="shared" si="1121"/>
        <v>MAYBANK / MAYBANK ISLAMIC</v>
      </c>
      <c r="K2744" t="str">
        <f>"166010091348"</f>
        <v>166010091348</v>
      </c>
      <c r="L2744" t="str">
        <f t="shared" si="1126"/>
        <v>04-08-2020</v>
      </c>
      <c r="M2744" t="str">
        <f t="shared" si="1126"/>
        <v>04-08-2020</v>
      </c>
      <c r="N2744" t="str">
        <f t="shared" si="1110"/>
        <v>001105018356</v>
      </c>
      <c r="O2744" t="str">
        <f t="shared" si="1111"/>
        <v>MYR</v>
      </c>
      <c r="P2744" t="str">
        <f t="shared" si="1127"/>
        <v>NIL</v>
      </c>
      <c r="Q2744" t="str">
        <f t="shared" si="1127"/>
        <v>NIL</v>
      </c>
      <c r="R2744" t="str">
        <f t="shared" si="1112"/>
        <v>Accepted</v>
      </c>
      <c r="S2744" t="str">
        <f t="shared" si="1113"/>
        <v>Approved</v>
      </c>
      <c r="T2744" t="str">
        <f t="shared" si="1114"/>
        <v>10.20.8.188</v>
      </c>
      <c r="U2744" t="str">
        <f t="shared" si="1115"/>
        <v>AZRAD UMAR BIN SHAARI</v>
      </c>
      <c r="V2744" t="str">
        <f t="shared" si="1116"/>
        <v>FARHANA BINTI MUSTAPA</v>
      </c>
      <c r="W2744" t="str">
        <f t="shared" si="1117"/>
        <v>04-08-2020</v>
      </c>
      <c r="X2744" t="str">
        <f t="shared" si="1118"/>
        <v>RAZIMAH ANSAR AHMAD</v>
      </c>
      <c r="Y2744" t="str">
        <f t="shared" si="1119"/>
        <v>04-08-2020</v>
      </c>
      <c r="Z2744" t="str">
        <f>"COS10200804 6410"</f>
        <v>COS10200804 6410</v>
      </c>
    </row>
    <row r="2745" spans="1:26" x14ac:dyDescent="0.25">
      <c r="A2745" t="str">
        <f t="shared" si="1124"/>
        <v>04-08-2020 01:03:01</v>
      </c>
      <c r="B2745" t="str">
        <f>"0000808203"</f>
        <v>0000808203</v>
      </c>
      <c r="C2745" t="str">
        <f t="shared" si="1125"/>
        <v>0000808194</v>
      </c>
      <c r="D2745" t="str">
        <f t="shared" si="1107"/>
        <v>73185</v>
      </c>
      <c r="E2745" t="str">
        <f t="shared" si="1108"/>
        <v>KFH-OPERATIONS DEPARTMENT</v>
      </c>
      <c r="F2745" t="str">
        <f t="shared" si="1109"/>
        <v>IBG</v>
      </c>
      <c r="G2745" t="str">
        <f t="shared" si="1120"/>
        <v>Refund COSHARE 10</v>
      </c>
      <c r="H2745" s="2">
        <v>419.75</v>
      </c>
      <c r="I2745" t="str">
        <f>"NORADILAH BINTI SUKOR"</f>
        <v>NORADILAH BINTI SUKOR</v>
      </c>
      <c r="J2745" t="str">
        <f t="shared" si="1121"/>
        <v>MAYBANK / MAYBANK ISLAMIC</v>
      </c>
      <c r="K2745" t="str">
        <f>"163082080528"</f>
        <v>163082080528</v>
      </c>
      <c r="L2745" t="str">
        <f t="shared" si="1126"/>
        <v>04-08-2020</v>
      </c>
      <c r="M2745" t="str">
        <f t="shared" si="1126"/>
        <v>04-08-2020</v>
      </c>
      <c r="N2745" t="str">
        <f t="shared" si="1110"/>
        <v>001105018356</v>
      </c>
      <c r="O2745" t="str">
        <f t="shared" si="1111"/>
        <v>MYR</v>
      </c>
      <c r="P2745" t="str">
        <f t="shared" si="1127"/>
        <v>NIL</v>
      </c>
      <c r="Q2745" t="str">
        <f t="shared" si="1127"/>
        <v>NIL</v>
      </c>
      <c r="R2745" t="str">
        <f t="shared" si="1112"/>
        <v>Accepted</v>
      </c>
      <c r="S2745" t="str">
        <f t="shared" si="1113"/>
        <v>Approved</v>
      </c>
      <c r="T2745" t="str">
        <f t="shared" si="1114"/>
        <v>10.20.8.188</v>
      </c>
      <c r="U2745" t="str">
        <f t="shared" si="1115"/>
        <v>AZRAD UMAR BIN SHAARI</v>
      </c>
      <c r="V2745" t="str">
        <f t="shared" si="1116"/>
        <v>FARHANA BINTI MUSTAPA</v>
      </c>
      <c r="W2745" t="str">
        <f t="shared" si="1117"/>
        <v>04-08-2020</v>
      </c>
      <c r="X2745" t="str">
        <f t="shared" si="1118"/>
        <v>RAZIMAH ANSAR AHMAD</v>
      </c>
      <c r="Y2745" t="str">
        <f t="shared" si="1119"/>
        <v>04-08-2020</v>
      </c>
      <c r="Z2745" t="str">
        <f>"COS10200804 6409"</f>
        <v>COS10200804 6409</v>
      </c>
    </row>
    <row r="2746" spans="1:26" x14ac:dyDescent="0.25">
      <c r="A2746" t="str">
        <f t="shared" ref="A2746:A2753" si="1128">"04-08-2020 01:03:01"</f>
        <v>04-08-2020 01:03:01</v>
      </c>
      <c r="B2746" t="str">
        <f>"0000808202"</f>
        <v>0000808202</v>
      </c>
      <c r="C2746" t="str">
        <f t="shared" ref="C2746:C2753" si="1129">"0000808194"</f>
        <v>0000808194</v>
      </c>
      <c r="D2746" t="str">
        <f t="shared" si="1107"/>
        <v>73185</v>
      </c>
      <c r="E2746" t="str">
        <f t="shared" si="1108"/>
        <v>KFH-OPERATIONS DEPARTMENT</v>
      </c>
      <c r="F2746" t="str">
        <f t="shared" si="1109"/>
        <v>IBG</v>
      </c>
      <c r="G2746" t="str">
        <f t="shared" si="1120"/>
        <v>Refund COSHARE 10</v>
      </c>
      <c r="H2746" s="2">
        <v>67.2</v>
      </c>
      <c r="I2746" t="str">
        <f>"NORA ZARINA BINTI DARHAM"</f>
        <v>NORA ZARINA BINTI DARHAM</v>
      </c>
      <c r="J2746" t="str">
        <f t="shared" si="1121"/>
        <v>MAYBANK / MAYBANK ISLAMIC</v>
      </c>
      <c r="K2746" t="str">
        <f>"161190039188"</f>
        <v>161190039188</v>
      </c>
      <c r="L2746" t="str">
        <f t="shared" si="1126"/>
        <v>04-08-2020</v>
      </c>
      <c r="M2746" t="str">
        <f t="shared" si="1126"/>
        <v>04-08-2020</v>
      </c>
      <c r="N2746" t="str">
        <f t="shared" si="1110"/>
        <v>001105018356</v>
      </c>
      <c r="O2746" t="str">
        <f t="shared" si="1111"/>
        <v>MYR</v>
      </c>
      <c r="P2746" t="str">
        <f t="shared" si="1127"/>
        <v>NIL</v>
      </c>
      <c r="Q2746" t="str">
        <f t="shared" si="1127"/>
        <v>NIL</v>
      </c>
      <c r="R2746" t="str">
        <f t="shared" si="1112"/>
        <v>Accepted</v>
      </c>
      <c r="S2746" t="str">
        <f t="shared" si="1113"/>
        <v>Approved</v>
      </c>
      <c r="T2746" t="str">
        <f t="shared" si="1114"/>
        <v>10.20.8.188</v>
      </c>
      <c r="U2746" t="str">
        <f t="shared" si="1115"/>
        <v>AZRAD UMAR BIN SHAARI</v>
      </c>
      <c r="V2746" t="str">
        <f t="shared" si="1116"/>
        <v>FARHANA BINTI MUSTAPA</v>
      </c>
      <c r="W2746" t="str">
        <f t="shared" si="1117"/>
        <v>04-08-2020</v>
      </c>
      <c r="X2746" t="str">
        <f t="shared" si="1118"/>
        <v>RAZIMAH ANSAR AHMAD</v>
      </c>
      <c r="Y2746" t="str">
        <f t="shared" si="1119"/>
        <v>04-08-2020</v>
      </c>
      <c r="Z2746" t="str">
        <f>"COS10200804 6408"</f>
        <v>COS10200804 6408</v>
      </c>
    </row>
    <row r="2747" spans="1:26" x14ac:dyDescent="0.25">
      <c r="A2747" t="str">
        <f t="shared" si="1128"/>
        <v>04-08-2020 01:03:01</v>
      </c>
      <c r="B2747" t="str">
        <f>"0000808201"</f>
        <v>0000808201</v>
      </c>
      <c r="C2747" t="str">
        <f t="shared" si="1129"/>
        <v>0000808194</v>
      </c>
      <c r="D2747" t="str">
        <f t="shared" si="1107"/>
        <v>73185</v>
      </c>
      <c r="E2747" t="str">
        <f t="shared" si="1108"/>
        <v>KFH-OPERATIONS DEPARTMENT</v>
      </c>
      <c r="F2747" t="str">
        <f t="shared" si="1109"/>
        <v>IBG</v>
      </c>
      <c r="G2747" t="str">
        <f t="shared" si="1120"/>
        <v>Refund COSHARE 10</v>
      </c>
      <c r="H2747" s="2">
        <v>58.8</v>
      </c>
      <c r="I2747" t="str">
        <f>"NORA WAN KAMALLIAH BINTI TUSSIN"</f>
        <v>NORA WAN KAMALLIAH BINTI TUSSIN</v>
      </c>
      <c r="J2747" t="str">
        <f t="shared" si="1121"/>
        <v>MAYBANK / MAYBANK ISLAMIC</v>
      </c>
      <c r="K2747" t="str">
        <f>"160072360393"</f>
        <v>160072360393</v>
      </c>
      <c r="L2747" t="str">
        <f t="shared" ref="L2747:M2766" si="1130">"04-08-2020"</f>
        <v>04-08-2020</v>
      </c>
      <c r="M2747" t="str">
        <f t="shared" si="1130"/>
        <v>04-08-2020</v>
      </c>
      <c r="N2747" t="str">
        <f t="shared" si="1110"/>
        <v>001105018356</v>
      </c>
      <c r="O2747" t="str">
        <f t="shared" si="1111"/>
        <v>MYR</v>
      </c>
      <c r="P2747" t="str">
        <f t="shared" ref="P2747:Q2766" si="1131">"NIL"</f>
        <v>NIL</v>
      </c>
      <c r="Q2747" t="str">
        <f t="shared" si="1131"/>
        <v>NIL</v>
      </c>
      <c r="R2747" t="str">
        <f t="shared" si="1112"/>
        <v>Accepted</v>
      </c>
      <c r="S2747" t="str">
        <f t="shared" si="1113"/>
        <v>Approved</v>
      </c>
      <c r="T2747" t="str">
        <f t="shared" si="1114"/>
        <v>10.20.8.188</v>
      </c>
      <c r="U2747" t="str">
        <f t="shared" si="1115"/>
        <v>AZRAD UMAR BIN SHAARI</v>
      </c>
      <c r="V2747" t="str">
        <f t="shared" si="1116"/>
        <v>FARHANA BINTI MUSTAPA</v>
      </c>
      <c r="W2747" t="str">
        <f t="shared" si="1117"/>
        <v>04-08-2020</v>
      </c>
      <c r="X2747" t="str">
        <f t="shared" si="1118"/>
        <v>RAZIMAH ANSAR AHMAD</v>
      </c>
      <c r="Y2747" t="str">
        <f t="shared" si="1119"/>
        <v>04-08-2020</v>
      </c>
      <c r="Z2747" t="str">
        <f>"COS10200804 6407"</f>
        <v>COS10200804 6407</v>
      </c>
    </row>
    <row r="2748" spans="1:26" x14ac:dyDescent="0.25">
      <c r="A2748" t="str">
        <f t="shared" si="1128"/>
        <v>04-08-2020 01:03:01</v>
      </c>
      <c r="B2748" t="str">
        <f>"0000808200"</f>
        <v>0000808200</v>
      </c>
      <c r="C2748" t="str">
        <f t="shared" si="1129"/>
        <v>0000808194</v>
      </c>
      <c r="D2748" t="str">
        <f t="shared" si="1107"/>
        <v>73185</v>
      </c>
      <c r="E2748" t="str">
        <f t="shared" si="1108"/>
        <v>KFH-OPERATIONS DEPARTMENT</v>
      </c>
      <c r="F2748" t="str">
        <f t="shared" si="1109"/>
        <v>IBG</v>
      </c>
      <c r="G2748" t="str">
        <f t="shared" si="1120"/>
        <v>Refund COSHARE 10</v>
      </c>
      <c r="H2748" s="2">
        <v>796.05</v>
      </c>
      <c r="I2748" t="str">
        <f>"NORA BINTI SAHIBIL"</f>
        <v>NORA BINTI SAHIBIL</v>
      </c>
      <c r="J2748" t="str">
        <f t="shared" si="1121"/>
        <v>MAYBANK / MAYBANK ISLAMIC</v>
      </c>
      <c r="K2748" t="str">
        <f>"160036896634"</f>
        <v>160036896634</v>
      </c>
      <c r="L2748" t="str">
        <f t="shared" si="1130"/>
        <v>04-08-2020</v>
      </c>
      <c r="M2748" t="str">
        <f t="shared" si="1130"/>
        <v>04-08-2020</v>
      </c>
      <c r="N2748" t="str">
        <f t="shared" si="1110"/>
        <v>001105018356</v>
      </c>
      <c r="O2748" t="str">
        <f t="shared" si="1111"/>
        <v>MYR</v>
      </c>
      <c r="P2748" t="str">
        <f t="shared" si="1131"/>
        <v>NIL</v>
      </c>
      <c r="Q2748" t="str">
        <f t="shared" si="1131"/>
        <v>NIL</v>
      </c>
      <c r="R2748" t="str">
        <f t="shared" si="1112"/>
        <v>Accepted</v>
      </c>
      <c r="S2748" t="str">
        <f t="shared" si="1113"/>
        <v>Approved</v>
      </c>
      <c r="T2748" t="str">
        <f t="shared" si="1114"/>
        <v>10.20.8.188</v>
      </c>
      <c r="U2748" t="str">
        <f t="shared" si="1115"/>
        <v>AZRAD UMAR BIN SHAARI</v>
      </c>
      <c r="V2748" t="str">
        <f t="shared" si="1116"/>
        <v>FARHANA BINTI MUSTAPA</v>
      </c>
      <c r="W2748" t="str">
        <f t="shared" si="1117"/>
        <v>04-08-2020</v>
      </c>
      <c r="X2748" t="str">
        <f t="shared" si="1118"/>
        <v>RAZIMAH ANSAR AHMAD</v>
      </c>
      <c r="Y2748" t="str">
        <f t="shared" si="1119"/>
        <v>04-08-2020</v>
      </c>
      <c r="Z2748" t="str">
        <f>"COS10200804 6406"</f>
        <v>COS10200804 6406</v>
      </c>
    </row>
    <row r="2749" spans="1:26" x14ac:dyDescent="0.25">
      <c r="A2749" t="str">
        <f t="shared" si="1128"/>
        <v>04-08-2020 01:03:01</v>
      </c>
      <c r="B2749" t="str">
        <f>"0000808199"</f>
        <v>0000808199</v>
      </c>
      <c r="C2749" t="str">
        <f t="shared" si="1129"/>
        <v>0000808194</v>
      </c>
      <c r="D2749" t="str">
        <f t="shared" si="1107"/>
        <v>73185</v>
      </c>
      <c r="E2749" t="str">
        <f t="shared" si="1108"/>
        <v>KFH-OPERATIONS DEPARTMENT</v>
      </c>
      <c r="F2749" t="str">
        <f t="shared" si="1109"/>
        <v>IBG</v>
      </c>
      <c r="G2749" t="str">
        <f t="shared" si="1120"/>
        <v>Refund COSHARE 10</v>
      </c>
      <c r="H2749" s="2">
        <v>232.45</v>
      </c>
      <c r="I2749" t="str">
        <f>"NORA BINTI AJAK"</f>
        <v>NORA BINTI AJAK</v>
      </c>
      <c r="J2749" t="str">
        <f t="shared" si="1121"/>
        <v>MAYBANK / MAYBANK ISLAMIC</v>
      </c>
      <c r="K2749" t="str">
        <f>"160027382819"</f>
        <v>160027382819</v>
      </c>
      <c r="L2749" t="str">
        <f t="shared" si="1130"/>
        <v>04-08-2020</v>
      </c>
      <c r="M2749" t="str">
        <f t="shared" si="1130"/>
        <v>04-08-2020</v>
      </c>
      <c r="N2749" t="str">
        <f t="shared" si="1110"/>
        <v>001105018356</v>
      </c>
      <c r="O2749" t="str">
        <f t="shared" si="1111"/>
        <v>MYR</v>
      </c>
      <c r="P2749" t="str">
        <f t="shared" si="1131"/>
        <v>NIL</v>
      </c>
      <c r="Q2749" t="str">
        <f t="shared" si="1131"/>
        <v>NIL</v>
      </c>
      <c r="R2749" t="str">
        <f t="shared" si="1112"/>
        <v>Accepted</v>
      </c>
      <c r="S2749" t="str">
        <f t="shared" si="1113"/>
        <v>Approved</v>
      </c>
      <c r="T2749" t="str">
        <f t="shared" si="1114"/>
        <v>10.20.8.188</v>
      </c>
      <c r="U2749" t="str">
        <f t="shared" si="1115"/>
        <v>AZRAD UMAR BIN SHAARI</v>
      </c>
      <c r="V2749" t="str">
        <f t="shared" si="1116"/>
        <v>FARHANA BINTI MUSTAPA</v>
      </c>
      <c r="W2749" t="str">
        <f t="shared" si="1117"/>
        <v>04-08-2020</v>
      </c>
      <c r="X2749" t="str">
        <f t="shared" si="1118"/>
        <v>RAZIMAH ANSAR AHMAD</v>
      </c>
      <c r="Y2749" t="str">
        <f t="shared" si="1119"/>
        <v>04-08-2020</v>
      </c>
      <c r="Z2749" t="str">
        <f>"COS10200804 6405"</f>
        <v>COS10200804 6405</v>
      </c>
    </row>
    <row r="2750" spans="1:26" x14ac:dyDescent="0.25">
      <c r="A2750" t="str">
        <f t="shared" si="1128"/>
        <v>04-08-2020 01:03:01</v>
      </c>
      <c r="B2750" t="str">
        <f>"0000808198"</f>
        <v>0000808198</v>
      </c>
      <c r="C2750" t="str">
        <f t="shared" si="1129"/>
        <v>0000808194</v>
      </c>
      <c r="D2750" t="str">
        <f t="shared" si="1107"/>
        <v>73185</v>
      </c>
      <c r="E2750" t="str">
        <f t="shared" si="1108"/>
        <v>KFH-OPERATIONS DEPARTMENT</v>
      </c>
      <c r="F2750" t="str">
        <f t="shared" si="1109"/>
        <v>IBG</v>
      </c>
      <c r="G2750" t="str">
        <f t="shared" si="1120"/>
        <v>Refund COSHARE 10</v>
      </c>
      <c r="H2750" s="2">
        <v>1553.1</v>
      </c>
      <c r="I2750" t="str">
        <f>"NORA ANAK GASAH"</f>
        <v>NORA ANAK GASAH</v>
      </c>
      <c r="J2750" t="str">
        <f t="shared" si="1121"/>
        <v>MAYBANK / MAYBANK ISLAMIC</v>
      </c>
      <c r="K2750" t="str">
        <f>"162058638867"</f>
        <v>162058638867</v>
      </c>
      <c r="L2750" t="str">
        <f t="shared" si="1130"/>
        <v>04-08-2020</v>
      </c>
      <c r="M2750" t="str">
        <f t="shared" si="1130"/>
        <v>04-08-2020</v>
      </c>
      <c r="N2750" t="str">
        <f t="shared" si="1110"/>
        <v>001105018356</v>
      </c>
      <c r="O2750" t="str">
        <f t="shared" si="1111"/>
        <v>MYR</v>
      </c>
      <c r="P2750" t="str">
        <f t="shared" si="1131"/>
        <v>NIL</v>
      </c>
      <c r="Q2750" t="str">
        <f t="shared" si="1131"/>
        <v>NIL</v>
      </c>
      <c r="R2750" t="str">
        <f t="shared" si="1112"/>
        <v>Accepted</v>
      </c>
      <c r="S2750" t="str">
        <f t="shared" si="1113"/>
        <v>Approved</v>
      </c>
      <c r="T2750" t="str">
        <f t="shared" si="1114"/>
        <v>10.20.8.188</v>
      </c>
      <c r="U2750" t="str">
        <f t="shared" si="1115"/>
        <v>AZRAD UMAR BIN SHAARI</v>
      </c>
      <c r="V2750" t="str">
        <f t="shared" si="1116"/>
        <v>FARHANA BINTI MUSTAPA</v>
      </c>
      <c r="W2750" t="str">
        <f t="shared" si="1117"/>
        <v>04-08-2020</v>
      </c>
      <c r="X2750" t="str">
        <f t="shared" si="1118"/>
        <v>RAZIMAH ANSAR AHMAD</v>
      </c>
      <c r="Y2750" t="str">
        <f t="shared" si="1119"/>
        <v>04-08-2020</v>
      </c>
      <c r="Z2750" t="str">
        <f>"COS10200804 6404"</f>
        <v>COS10200804 6404</v>
      </c>
    </row>
    <row r="2751" spans="1:26" x14ac:dyDescent="0.25">
      <c r="A2751" t="str">
        <f t="shared" si="1128"/>
        <v>04-08-2020 01:03:01</v>
      </c>
      <c r="B2751" t="str">
        <f>"0000808197"</f>
        <v>0000808197</v>
      </c>
      <c r="C2751" t="str">
        <f t="shared" si="1129"/>
        <v>0000808194</v>
      </c>
      <c r="D2751" t="str">
        <f t="shared" si="1107"/>
        <v>73185</v>
      </c>
      <c r="E2751" t="str">
        <f t="shared" si="1108"/>
        <v>KFH-OPERATIONS DEPARTMENT</v>
      </c>
      <c r="F2751" t="str">
        <f t="shared" si="1109"/>
        <v>IBG</v>
      </c>
      <c r="G2751" t="str">
        <f t="shared" si="1120"/>
        <v>Refund COSHARE 10</v>
      </c>
      <c r="H2751" s="2">
        <v>479</v>
      </c>
      <c r="I2751" t="str">
        <f>"NOR ZIMA BINTI ABU BAKAR"</f>
        <v>NOR ZIMA BINTI ABU BAKAR</v>
      </c>
      <c r="J2751" t="str">
        <f t="shared" si="1121"/>
        <v>MAYBANK / MAYBANK ISLAMIC</v>
      </c>
      <c r="K2751" t="str">
        <f>"116015012995"</f>
        <v>116015012995</v>
      </c>
      <c r="L2751" t="str">
        <f t="shared" si="1130"/>
        <v>04-08-2020</v>
      </c>
      <c r="M2751" t="str">
        <f t="shared" si="1130"/>
        <v>04-08-2020</v>
      </c>
      <c r="N2751" t="str">
        <f t="shared" si="1110"/>
        <v>001105018356</v>
      </c>
      <c r="O2751" t="str">
        <f t="shared" si="1111"/>
        <v>MYR</v>
      </c>
      <c r="P2751" t="str">
        <f t="shared" si="1131"/>
        <v>NIL</v>
      </c>
      <c r="Q2751" t="str">
        <f t="shared" si="1131"/>
        <v>NIL</v>
      </c>
      <c r="R2751" t="str">
        <f t="shared" si="1112"/>
        <v>Accepted</v>
      </c>
      <c r="S2751" t="str">
        <f t="shared" si="1113"/>
        <v>Approved</v>
      </c>
      <c r="T2751" t="str">
        <f t="shared" si="1114"/>
        <v>10.20.8.188</v>
      </c>
      <c r="U2751" t="str">
        <f t="shared" si="1115"/>
        <v>AZRAD UMAR BIN SHAARI</v>
      </c>
      <c r="V2751" t="str">
        <f t="shared" si="1116"/>
        <v>FARHANA BINTI MUSTAPA</v>
      </c>
      <c r="W2751" t="str">
        <f t="shared" si="1117"/>
        <v>04-08-2020</v>
      </c>
      <c r="X2751" t="str">
        <f t="shared" si="1118"/>
        <v>RAZIMAH ANSAR AHMAD</v>
      </c>
      <c r="Y2751" t="str">
        <f t="shared" si="1119"/>
        <v>04-08-2020</v>
      </c>
      <c r="Z2751" t="str">
        <f>"COS10200804 6403"</f>
        <v>COS10200804 6403</v>
      </c>
    </row>
    <row r="2752" spans="1:26" x14ac:dyDescent="0.25">
      <c r="A2752" t="str">
        <f t="shared" si="1128"/>
        <v>04-08-2020 01:03:01</v>
      </c>
      <c r="B2752" t="str">
        <f>"0000808196"</f>
        <v>0000808196</v>
      </c>
      <c r="C2752" t="str">
        <f t="shared" si="1129"/>
        <v>0000808194</v>
      </c>
      <c r="D2752" t="str">
        <f t="shared" si="1107"/>
        <v>73185</v>
      </c>
      <c r="E2752" t="str">
        <f t="shared" si="1108"/>
        <v>KFH-OPERATIONS DEPARTMENT</v>
      </c>
      <c r="F2752" t="str">
        <f t="shared" si="1109"/>
        <v>IBG</v>
      </c>
      <c r="G2752" t="str">
        <f t="shared" si="1120"/>
        <v>Refund COSHARE 10</v>
      </c>
      <c r="H2752" s="2">
        <v>736.75</v>
      </c>
      <c r="I2752" t="str">
        <f>"NOR ZIHANA BINTI JAMALUDIN"</f>
        <v>NOR ZIHANA BINTI JAMALUDIN</v>
      </c>
      <c r="J2752" t="str">
        <f t="shared" si="1121"/>
        <v>MAYBANK / MAYBANK ISLAMIC</v>
      </c>
      <c r="K2752" t="str">
        <f>"166010065390"</f>
        <v>166010065390</v>
      </c>
      <c r="L2752" t="str">
        <f t="shared" si="1130"/>
        <v>04-08-2020</v>
      </c>
      <c r="M2752" t="str">
        <f t="shared" si="1130"/>
        <v>04-08-2020</v>
      </c>
      <c r="N2752" t="str">
        <f t="shared" si="1110"/>
        <v>001105018356</v>
      </c>
      <c r="O2752" t="str">
        <f t="shared" si="1111"/>
        <v>MYR</v>
      </c>
      <c r="P2752" t="str">
        <f t="shared" si="1131"/>
        <v>NIL</v>
      </c>
      <c r="Q2752" t="str">
        <f t="shared" si="1131"/>
        <v>NIL</v>
      </c>
      <c r="R2752" t="str">
        <f t="shared" si="1112"/>
        <v>Accepted</v>
      </c>
      <c r="S2752" t="str">
        <f t="shared" si="1113"/>
        <v>Approved</v>
      </c>
      <c r="T2752" t="str">
        <f t="shared" si="1114"/>
        <v>10.20.8.188</v>
      </c>
      <c r="U2752" t="str">
        <f t="shared" si="1115"/>
        <v>AZRAD UMAR BIN SHAARI</v>
      </c>
      <c r="V2752" t="str">
        <f t="shared" si="1116"/>
        <v>FARHANA BINTI MUSTAPA</v>
      </c>
      <c r="W2752" t="str">
        <f t="shared" si="1117"/>
        <v>04-08-2020</v>
      </c>
      <c r="X2752" t="str">
        <f t="shared" si="1118"/>
        <v>RAZIMAH ANSAR AHMAD</v>
      </c>
      <c r="Y2752" t="str">
        <f t="shared" si="1119"/>
        <v>04-08-2020</v>
      </c>
      <c r="Z2752" t="str">
        <f>"COS10200804 6402"</f>
        <v>COS10200804 6402</v>
      </c>
    </row>
    <row r="2753" spans="1:26" x14ac:dyDescent="0.25">
      <c r="A2753" t="str">
        <f t="shared" si="1128"/>
        <v>04-08-2020 01:03:01</v>
      </c>
      <c r="B2753" t="str">
        <f>"0000808195"</f>
        <v>0000808195</v>
      </c>
      <c r="C2753" t="str">
        <f t="shared" si="1129"/>
        <v>0000808194</v>
      </c>
      <c r="D2753" t="str">
        <f t="shared" si="1107"/>
        <v>73185</v>
      </c>
      <c r="E2753" t="str">
        <f t="shared" si="1108"/>
        <v>KFH-OPERATIONS DEPARTMENT</v>
      </c>
      <c r="F2753" t="str">
        <f t="shared" si="1109"/>
        <v>IBG</v>
      </c>
      <c r="G2753" t="str">
        <f t="shared" si="1120"/>
        <v>Refund COSHARE 10</v>
      </c>
      <c r="H2753" s="2">
        <v>167.9</v>
      </c>
      <c r="I2753" t="str">
        <f>"NOR ZALILA BINTI ZAKARIA"</f>
        <v>NOR ZALILA BINTI ZAKARIA</v>
      </c>
      <c r="J2753" t="str">
        <f t="shared" si="1121"/>
        <v>MAYBANK / MAYBANK ISLAMIC</v>
      </c>
      <c r="K2753" t="str">
        <f>"162115890192"</f>
        <v>162115890192</v>
      </c>
      <c r="L2753" t="str">
        <f t="shared" si="1130"/>
        <v>04-08-2020</v>
      </c>
      <c r="M2753" t="str">
        <f t="shared" si="1130"/>
        <v>04-08-2020</v>
      </c>
      <c r="N2753" t="str">
        <f t="shared" si="1110"/>
        <v>001105018356</v>
      </c>
      <c r="O2753" t="str">
        <f t="shared" si="1111"/>
        <v>MYR</v>
      </c>
      <c r="P2753" t="str">
        <f t="shared" si="1131"/>
        <v>NIL</v>
      </c>
      <c r="Q2753" t="str">
        <f t="shared" si="1131"/>
        <v>NIL</v>
      </c>
      <c r="R2753" t="str">
        <f t="shared" si="1112"/>
        <v>Accepted</v>
      </c>
      <c r="S2753" t="str">
        <f t="shared" si="1113"/>
        <v>Approved</v>
      </c>
      <c r="T2753" t="str">
        <f t="shared" si="1114"/>
        <v>10.20.8.188</v>
      </c>
      <c r="U2753" t="str">
        <f t="shared" si="1115"/>
        <v>AZRAD UMAR BIN SHAARI</v>
      </c>
      <c r="V2753" t="str">
        <f t="shared" si="1116"/>
        <v>FARHANA BINTI MUSTAPA</v>
      </c>
      <c r="W2753" t="str">
        <f t="shared" si="1117"/>
        <v>04-08-2020</v>
      </c>
      <c r="X2753" t="str">
        <f t="shared" si="1118"/>
        <v>RAZIMAH ANSAR AHMAD</v>
      </c>
      <c r="Y2753" t="str">
        <f t="shared" si="1119"/>
        <v>04-08-2020</v>
      </c>
      <c r="Z2753" t="str">
        <f>"COS10200804 6401"</f>
        <v>COS10200804 6401</v>
      </c>
    </row>
    <row r="2754" spans="1:26" x14ac:dyDescent="0.25">
      <c r="A2754" t="str">
        <f t="shared" ref="A2754:A2785" si="1132">"04-08-2020 01:00:00"</f>
        <v>04-08-2020 01:00:00</v>
      </c>
      <c r="B2754" t="str">
        <f>"0000808193"</f>
        <v>0000808193</v>
      </c>
      <c r="C2754" t="str">
        <f t="shared" ref="C2754:C2785" si="1133">"0000807993"</f>
        <v>0000807993</v>
      </c>
      <c r="D2754" t="str">
        <f t="shared" si="1107"/>
        <v>73185</v>
      </c>
      <c r="E2754" t="str">
        <f t="shared" si="1108"/>
        <v>KFH-OPERATIONS DEPARTMENT</v>
      </c>
      <c r="F2754" t="str">
        <f t="shared" si="1109"/>
        <v>IBG</v>
      </c>
      <c r="G2754" t="str">
        <f t="shared" si="1120"/>
        <v>Refund COSHARE 10</v>
      </c>
      <c r="H2754" s="2">
        <v>50.4</v>
      </c>
      <c r="I2754" t="str">
        <f>"NOR ZAINI BINTI MOHAMMAD"</f>
        <v>NOR ZAINI BINTI MOHAMMAD</v>
      </c>
      <c r="J2754" t="str">
        <f t="shared" si="1121"/>
        <v>MAYBANK / MAYBANK ISLAMIC</v>
      </c>
      <c r="K2754" t="str">
        <f>"166010085060"</f>
        <v>166010085060</v>
      </c>
      <c r="L2754" t="str">
        <f t="shared" si="1130"/>
        <v>04-08-2020</v>
      </c>
      <c r="M2754" t="str">
        <f t="shared" si="1130"/>
        <v>04-08-2020</v>
      </c>
      <c r="N2754" t="str">
        <f t="shared" si="1110"/>
        <v>001105018356</v>
      </c>
      <c r="O2754" t="str">
        <f t="shared" si="1111"/>
        <v>MYR</v>
      </c>
      <c r="P2754" t="str">
        <f t="shared" si="1131"/>
        <v>NIL</v>
      </c>
      <c r="Q2754" t="str">
        <f t="shared" si="1131"/>
        <v>NIL</v>
      </c>
      <c r="R2754" t="str">
        <f t="shared" si="1112"/>
        <v>Accepted</v>
      </c>
      <c r="S2754" t="str">
        <f t="shared" si="1113"/>
        <v>Approved</v>
      </c>
      <c r="T2754" t="str">
        <f t="shared" si="1114"/>
        <v>10.20.8.188</v>
      </c>
      <c r="U2754" t="str">
        <f t="shared" si="1115"/>
        <v>AZRAD UMAR BIN SHAARI</v>
      </c>
      <c r="V2754" t="str">
        <f t="shared" si="1116"/>
        <v>FARHANA BINTI MUSTAPA</v>
      </c>
      <c r="W2754" t="str">
        <f t="shared" si="1117"/>
        <v>04-08-2020</v>
      </c>
      <c r="X2754" t="str">
        <f t="shared" si="1118"/>
        <v>RAZIMAH ANSAR AHMAD</v>
      </c>
      <c r="Y2754" t="str">
        <f t="shared" si="1119"/>
        <v>04-08-2020</v>
      </c>
      <c r="Z2754" t="str">
        <f>"COS10200804 6400"</f>
        <v>COS10200804 6400</v>
      </c>
    </row>
    <row r="2755" spans="1:26" x14ac:dyDescent="0.25">
      <c r="A2755" t="str">
        <f t="shared" si="1132"/>
        <v>04-08-2020 01:00:00</v>
      </c>
      <c r="B2755" t="str">
        <f>"0000808192"</f>
        <v>0000808192</v>
      </c>
      <c r="C2755" t="str">
        <f t="shared" si="1133"/>
        <v>0000807993</v>
      </c>
      <c r="D2755" t="str">
        <f t="shared" si="1107"/>
        <v>73185</v>
      </c>
      <c r="E2755" t="str">
        <f t="shared" si="1108"/>
        <v>KFH-OPERATIONS DEPARTMENT</v>
      </c>
      <c r="F2755" t="str">
        <f t="shared" si="1109"/>
        <v>IBG</v>
      </c>
      <c r="G2755" t="str">
        <f t="shared" si="1120"/>
        <v>Refund COSHARE 10</v>
      </c>
      <c r="H2755" s="2">
        <v>183</v>
      </c>
      <c r="I2755" t="str">
        <f>"NOR SURIATY BINTI MHD SANI"</f>
        <v>NOR SURIATY BINTI MHD SANI</v>
      </c>
      <c r="J2755" t="str">
        <f t="shared" si="1121"/>
        <v>MAYBANK / MAYBANK ISLAMIC</v>
      </c>
      <c r="K2755" t="str">
        <f>"164276523659"</f>
        <v>164276523659</v>
      </c>
      <c r="L2755" t="str">
        <f t="shared" si="1130"/>
        <v>04-08-2020</v>
      </c>
      <c r="M2755" t="str">
        <f t="shared" si="1130"/>
        <v>04-08-2020</v>
      </c>
      <c r="N2755" t="str">
        <f t="shared" si="1110"/>
        <v>001105018356</v>
      </c>
      <c r="O2755" t="str">
        <f t="shared" si="1111"/>
        <v>MYR</v>
      </c>
      <c r="P2755" t="str">
        <f t="shared" si="1131"/>
        <v>NIL</v>
      </c>
      <c r="Q2755" t="str">
        <f t="shared" si="1131"/>
        <v>NIL</v>
      </c>
      <c r="R2755" t="str">
        <f t="shared" si="1112"/>
        <v>Accepted</v>
      </c>
      <c r="S2755" t="str">
        <f t="shared" si="1113"/>
        <v>Approved</v>
      </c>
      <c r="T2755" t="str">
        <f t="shared" si="1114"/>
        <v>10.20.8.188</v>
      </c>
      <c r="U2755" t="str">
        <f t="shared" si="1115"/>
        <v>AZRAD UMAR BIN SHAARI</v>
      </c>
      <c r="V2755" t="str">
        <f t="shared" si="1116"/>
        <v>FARHANA BINTI MUSTAPA</v>
      </c>
      <c r="W2755" t="str">
        <f t="shared" si="1117"/>
        <v>04-08-2020</v>
      </c>
      <c r="X2755" t="str">
        <f t="shared" si="1118"/>
        <v>RAZIMAH ANSAR AHMAD</v>
      </c>
      <c r="Y2755" t="str">
        <f t="shared" si="1119"/>
        <v>04-08-2020</v>
      </c>
      <c r="Z2755" t="str">
        <f>"COS10200804 6399"</f>
        <v>COS10200804 6399</v>
      </c>
    </row>
    <row r="2756" spans="1:26" x14ac:dyDescent="0.25">
      <c r="A2756" t="str">
        <f t="shared" si="1132"/>
        <v>04-08-2020 01:00:00</v>
      </c>
      <c r="B2756" t="str">
        <f>"0000808191"</f>
        <v>0000808191</v>
      </c>
      <c r="C2756" t="str">
        <f t="shared" si="1133"/>
        <v>0000807993</v>
      </c>
      <c r="D2756" t="str">
        <f t="shared" si="1107"/>
        <v>73185</v>
      </c>
      <c r="E2756" t="str">
        <f t="shared" si="1108"/>
        <v>KFH-OPERATIONS DEPARTMENT</v>
      </c>
      <c r="F2756" t="str">
        <f t="shared" si="1109"/>
        <v>IBG</v>
      </c>
      <c r="G2756" t="str">
        <f t="shared" si="1120"/>
        <v>Refund COSHARE 10</v>
      </c>
      <c r="H2756" s="2">
        <v>335.8</v>
      </c>
      <c r="I2756" t="str">
        <f>"NOR SHUHAILA BINTI JUMRI"</f>
        <v>NOR SHUHAILA BINTI JUMRI</v>
      </c>
      <c r="J2756" t="str">
        <f t="shared" si="1121"/>
        <v>MAYBANK / MAYBANK ISLAMIC</v>
      </c>
      <c r="K2756" t="str">
        <f>"158118007563"</f>
        <v>158118007563</v>
      </c>
      <c r="L2756" t="str">
        <f t="shared" si="1130"/>
        <v>04-08-2020</v>
      </c>
      <c r="M2756" t="str">
        <f t="shared" si="1130"/>
        <v>04-08-2020</v>
      </c>
      <c r="N2756" t="str">
        <f t="shared" si="1110"/>
        <v>001105018356</v>
      </c>
      <c r="O2756" t="str">
        <f t="shared" si="1111"/>
        <v>MYR</v>
      </c>
      <c r="P2756" t="str">
        <f t="shared" si="1131"/>
        <v>NIL</v>
      </c>
      <c r="Q2756" t="str">
        <f t="shared" si="1131"/>
        <v>NIL</v>
      </c>
      <c r="R2756" t="str">
        <f t="shared" si="1112"/>
        <v>Accepted</v>
      </c>
      <c r="S2756" t="str">
        <f t="shared" si="1113"/>
        <v>Approved</v>
      </c>
      <c r="T2756" t="str">
        <f t="shared" si="1114"/>
        <v>10.20.8.188</v>
      </c>
      <c r="U2756" t="str">
        <f t="shared" si="1115"/>
        <v>AZRAD UMAR BIN SHAARI</v>
      </c>
      <c r="V2756" t="str">
        <f t="shared" si="1116"/>
        <v>FARHANA BINTI MUSTAPA</v>
      </c>
      <c r="W2756" t="str">
        <f t="shared" si="1117"/>
        <v>04-08-2020</v>
      </c>
      <c r="X2756" t="str">
        <f t="shared" si="1118"/>
        <v>RAZIMAH ANSAR AHMAD</v>
      </c>
      <c r="Y2756" t="str">
        <f t="shared" si="1119"/>
        <v>04-08-2020</v>
      </c>
      <c r="Z2756" t="str">
        <f>"COS10200804 6398"</f>
        <v>COS10200804 6398</v>
      </c>
    </row>
    <row r="2757" spans="1:26" x14ac:dyDescent="0.25">
      <c r="A2757" t="str">
        <f t="shared" si="1132"/>
        <v>04-08-2020 01:00:00</v>
      </c>
      <c r="B2757" t="str">
        <f>"0000808190"</f>
        <v>0000808190</v>
      </c>
      <c r="C2757" t="str">
        <f t="shared" si="1133"/>
        <v>0000807993</v>
      </c>
      <c r="D2757" t="str">
        <f t="shared" si="1107"/>
        <v>73185</v>
      </c>
      <c r="E2757" t="str">
        <f t="shared" si="1108"/>
        <v>KFH-OPERATIONS DEPARTMENT</v>
      </c>
      <c r="F2757" t="str">
        <f t="shared" si="1109"/>
        <v>IBG</v>
      </c>
      <c r="G2757" t="str">
        <f t="shared" si="1120"/>
        <v>Refund COSHARE 10</v>
      </c>
      <c r="H2757" s="2">
        <v>328</v>
      </c>
      <c r="I2757" t="str">
        <f>"NOR SHIMAH BINTI WAHAB"</f>
        <v>NOR SHIMAH BINTI WAHAB</v>
      </c>
      <c r="J2757" t="str">
        <f t="shared" si="1121"/>
        <v>MAYBANK / MAYBANK ISLAMIC</v>
      </c>
      <c r="K2757" t="str">
        <f>"152125300594"</f>
        <v>152125300594</v>
      </c>
      <c r="L2757" t="str">
        <f t="shared" si="1130"/>
        <v>04-08-2020</v>
      </c>
      <c r="M2757" t="str">
        <f t="shared" si="1130"/>
        <v>04-08-2020</v>
      </c>
      <c r="N2757" t="str">
        <f t="shared" si="1110"/>
        <v>001105018356</v>
      </c>
      <c r="O2757" t="str">
        <f t="shared" si="1111"/>
        <v>MYR</v>
      </c>
      <c r="P2757" t="str">
        <f t="shared" si="1131"/>
        <v>NIL</v>
      </c>
      <c r="Q2757" t="str">
        <f t="shared" si="1131"/>
        <v>NIL</v>
      </c>
      <c r="R2757" t="str">
        <f t="shared" si="1112"/>
        <v>Accepted</v>
      </c>
      <c r="S2757" t="str">
        <f t="shared" si="1113"/>
        <v>Approved</v>
      </c>
      <c r="T2757" t="str">
        <f t="shared" si="1114"/>
        <v>10.20.8.188</v>
      </c>
      <c r="U2757" t="str">
        <f t="shared" si="1115"/>
        <v>AZRAD UMAR BIN SHAARI</v>
      </c>
      <c r="V2757" t="str">
        <f t="shared" si="1116"/>
        <v>FARHANA BINTI MUSTAPA</v>
      </c>
      <c r="W2757" t="str">
        <f t="shared" si="1117"/>
        <v>04-08-2020</v>
      </c>
      <c r="X2757" t="str">
        <f t="shared" si="1118"/>
        <v>RAZIMAH ANSAR AHMAD</v>
      </c>
      <c r="Y2757" t="str">
        <f t="shared" si="1119"/>
        <v>04-08-2020</v>
      </c>
      <c r="Z2757" t="str">
        <f>"COS10200804 6397"</f>
        <v>COS10200804 6397</v>
      </c>
    </row>
    <row r="2758" spans="1:26" x14ac:dyDescent="0.25">
      <c r="A2758" t="str">
        <f t="shared" si="1132"/>
        <v>04-08-2020 01:00:00</v>
      </c>
      <c r="B2758" t="str">
        <f>"0000808189"</f>
        <v>0000808189</v>
      </c>
      <c r="C2758" t="str">
        <f t="shared" si="1133"/>
        <v>0000807993</v>
      </c>
      <c r="D2758" t="str">
        <f t="shared" si="1107"/>
        <v>73185</v>
      </c>
      <c r="E2758" t="str">
        <f t="shared" si="1108"/>
        <v>KFH-OPERATIONS DEPARTMENT</v>
      </c>
      <c r="F2758" t="str">
        <f t="shared" si="1109"/>
        <v>IBG</v>
      </c>
      <c r="G2758" t="str">
        <f t="shared" si="1120"/>
        <v>Refund COSHARE 10</v>
      </c>
      <c r="H2758" s="2">
        <v>50.4</v>
      </c>
      <c r="I2758" t="str">
        <f>"NOR SHIFA BINTI SAAD"</f>
        <v>NOR SHIFA BINTI SAAD</v>
      </c>
      <c r="J2758" t="str">
        <f t="shared" si="1121"/>
        <v>MAYBANK / MAYBANK ISLAMIC</v>
      </c>
      <c r="K2758" t="str">
        <f>"157091121149"</f>
        <v>157091121149</v>
      </c>
      <c r="L2758" t="str">
        <f t="shared" si="1130"/>
        <v>04-08-2020</v>
      </c>
      <c r="M2758" t="str">
        <f t="shared" si="1130"/>
        <v>04-08-2020</v>
      </c>
      <c r="N2758" t="str">
        <f t="shared" si="1110"/>
        <v>001105018356</v>
      </c>
      <c r="O2758" t="str">
        <f t="shared" si="1111"/>
        <v>MYR</v>
      </c>
      <c r="P2758" t="str">
        <f t="shared" si="1131"/>
        <v>NIL</v>
      </c>
      <c r="Q2758" t="str">
        <f t="shared" si="1131"/>
        <v>NIL</v>
      </c>
      <c r="R2758" t="str">
        <f t="shared" si="1112"/>
        <v>Accepted</v>
      </c>
      <c r="S2758" t="str">
        <f t="shared" si="1113"/>
        <v>Approved</v>
      </c>
      <c r="T2758" t="str">
        <f t="shared" si="1114"/>
        <v>10.20.8.188</v>
      </c>
      <c r="U2758" t="str">
        <f t="shared" si="1115"/>
        <v>AZRAD UMAR BIN SHAARI</v>
      </c>
      <c r="V2758" t="str">
        <f t="shared" si="1116"/>
        <v>FARHANA BINTI MUSTAPA</v>
      </c>
      <c r="W2758" t="str">
        <f t="shared" si="1117"/>
        <v>04-08-2020</v>
      </c>
      <c r="X2758" t="str">
        <f t="shared" si="1118"/>
        <v>RAZIMAH ANSAR AHMAD</v>
      </c>
      <c r="Y2758" t="str">
        <f t="shared" si="1119"/>
        <v>04-08-2020</v>
      </c>
      <c r="Z2758" t="str">
        <f>"COS10200804 6396"</f>
        <v>COS10200804 6396</v>
      </c>
    </row>
    <row r="2759" spans="1:26" x14ac:dyDescent="0.25">
      <c r="A2759" t="str">
        <f t="shared" si="1132"/>
        <v>04-08-2020 01:00:00</v>
      </c>
      <c r="B2759" t="str">
        <f>"0000808188"</f>
        <v>0000808188</v>
      </c>
      <c r="C2759" t="str">
        <f t="shared" si="1133"/>
        <v>0000807993</v>
      </c>
      <c r="D2759" t="str">
        <f t="shared" ref="D2759:D2822" si="1134">"73185"</f>
        <v>73185</v>
      </c>
      <c r="E2759" t="str">
        <f t="shared" ref="E2759:E2822" si="1135">"KFH-OPERATIONS DEPARTMENT"</f>
        <v>KFH-OPERATIONS DEPARTMENT</v>
      </c>
      <c r="F2759" t="str">
        <f t="shared" ref="F2759:F2822" si="1136">"IBG"</f>
        <v>IBG</v>
      </c>
      <c r="G2759" t="str">
        <f t="shared" si="1120"/>
        <v>Refund COSHARE 10</v>
      </c>
      <c r="H2759" s="2">
        <v>349</v>
      </c>
      <c r="I2759" t="str">
        <f>"NOR SHARLINA BINTI MOHD ADNAN"</f>
        <v>NOR SHARLINA BINTI MOHD ADNAN</v>
      </c>
      <c r="J2759" t="str">
        <f t="shared" si="1121"/>
        <v>MAYBANK / MAYBANK ISLAMIC</v>
      </c>
      <c r="K2759" t="str">
        <f>"157063033650"</f>
        <v>157063033650</v>
      </c>
      <c r="L2759" t="str">
        <f t="shared" si="1130"/>
        <v>04-08-2020</v>
      </c>
      <c r="M2759" t="str">
        <f t="shared" si="1130"/>
        <v>04-08-2020</v>
      </c>
      <c r="N2759" t="str">
        <f t="shared" ref="N2759:N2822" si="1137">"001105018356"</f>
        <v>001105018356</v>
      </c>
      <c r="O2759" t="str">
        <f t="shared" ref="O2759:O2822" si="1138">"MYR"</f>
        <v>MYR</v>
      </c>
      <c r="P2759" t="str">
        <f t="shared" si="1131"/>
        <v>NIL</v>
      </c>
      <c r="Q2759" t="str">
        <f t="shared" si="1131"/>
        <v>NIL</v>
      </c>
      <c r="R2759" t="str">
        <f t="shared" ref="R2759:R2822" si="1139">"Accepted"</f>
        <v>Accepted</v>
      </c>
      <c r="S2759" t="str">
        <f t="shared" ref="S2759:S2822" si="1140">"Approved"</f>
        <v>Approved</v>
      </c>
      <c r="T2759" t="str">
        <f t="shared" ref="T2759:T2822" si="1141">"10.20.8.188"</f>
        <v>10.20.8.188</v>
      </c>
      <c r="U2759" t="str">
        <f t="shared" ref="U2759:U2822" si="1142">"AZRAD UMAR BIN SHAARI"</f>
        <v>AZRAD UMAR BIN SHAARI</v>
      </c>
      <c r="V2759" t="str">
        <f t="shared" ref="V2759:V2822" si="1143">"FARHANA BINTI MUSTAPA"</f>
        <v>FARHANA BINTI MUSTAPA</v>
      </c>
      <c r="W2759" t="str">
        <f t="shared" ref="W2759:W2822" si="1144">"04-08-2020"</f>
        <v>04-08-2020</v>
      </c>
      <c r="X2759" t="str">
        <f t="shared" ref="X2759:X2822" si="1145">"RAZIMAH ANSAR AHMAD"</f>
        <v>RAZIMAH ANSAR AHMAD</v>
      </c>
      <c r="Y2759" t="str">
        <f t="shared" ref="Y2759:Y2822" si="1146">"04-08-2020"</f>
        <v>04-08-2020</v>
      </c>
      <c r="Z2759" t="str">
        <f>"COS10200804 6395"</f>
        <v>COS10200804 6395</v>
      </c>
    </row>
    <row r="2760" spans="1:26" x14ac:dyDescent="0.25">
      <c r="A2760" t="str">
        <f t="shared" si="1132"/>
        <v>04-08-2020 01:00:00</v>
      </c>
      <c r="B2760" t="str">
        <f>"0000808187"</f>
        <v>0000808187</v>
      </c>
      <c r="C2760" t="str">
        <f t="shared" si="1133"/>
        <v>0000807993</v>
      </c>
      <c r="D2760" t="str">
        <f t="shared" si="1134"/>
        <v>73185</v>
      </c>
      <c r="E2760" t="str">
        <f t="shared" si="1135"/>
        <v>KFH-OPERATIONS DEPARTMENT</v>
      </c>
      <c r="F2760" t="str">
        <f t="shared" si="1136"/>
        <v>IBG</v>
      </c>
      <c r="G2760" t="str">
        <f t="shared" si="1120"/>
        <v>Refund COSHARE 10</v>
      </c>
      <c r="H2760" s="2">
        <v>545.70000000000005</v>
      </c>
      <c r="I2760" t="str">
        <f>"NOR SHAHRIN BIN MD SAAD"</f>
        <v>NOR SHAHRIN BIN MD SAAD</v>
      </c>
      <c r="J2760" t="str">
        <f t="shared" si="1121"/>
        <v>MAYBANK / MAYBANK ISLAMIC</v>
      </c>
      <c r="K2760" t="str">
        <f>"166010060790"</f>
        <v>166010060790</v>
      </c>
      <c r="L2760" t="str">
        <f t="shared" si="1130"/>
        <v>04-08-2020</v>
      </c>
      <c r="M2760" t="str">
        <f t="shared" si="1130"/>
        <v>04-08-2020</v>
      </c>
      <c r="N2760" t="str">
        <f t="shared" si="1137"/>
        <v>001105018356</v>
      </c>
      <c r="O2760" t="str">
        <f t="shared" si="1138"/>
        <v>MYR</v>
      </c>
      <c r="P2760" t="str">
        <f t="shared" si="1131"/>
        <v>NIL</v>
      </c>
      <c r="Q2760" t="str">
        <f t="shared" si="1131"/>
        <v>NIL</v>
      </c>
      <c r="R2760" t="str">
        <f t="shared" si="1139"/>
        <v>Accepted</v>
      </c>
      <c r="S2760" t="str">
        <f t="shared" si="1140"/>
        <v>Approved</v>
      </c>
      <c r="T2760" t="str">
        <f t="shared" si="1141"/>
        <v>10.20.8.188</v>
      </c>
      <c r="U2760" t="str">
        <f t="shared" si="1142"/>
        <v>AZRAD UMAR BIN SHAARI</v>
      </c>
      <c r="V2760" t="str">
        <f t="shared" si="1143"/>
        <v>FARHANA BINTI MUSTAPA</v>
      </c>
      <c r="W2760" t="str">
        <f t="shared" si="1144"/>
        <v>04-08-2020</v>
      </c>
      <c r="X2760" t="str">
        <f t="shared" si="1145"/>
        <v>RAZIMAH ANSAR AHMAD</v>
      </c>
      <c r="Y2760" t="str">
        <f t="shared" si="1146"/>
        <v>04-08-2020</v>
      </c>
      <c r="Z2760" t="str">
        <f>"COS10200804 6394"</f>
        <v>COS10200804 6394</v>
      </c>
    </row>
    <row r="2761" spans="1:26" x14ac:dyDescent="0.25">
      <c r="A2761" t="str">
        <f t="shared" si="1132"/>
        <v>04-08-2020 01:00:00</v>
      </c>
      <c r="B2761" t="str">
        <f>"0000808186"</f>
        <v>0000808186</v>
      </c>
      <c r="C2761" t="str">
        <f t="shared" si="1133"/>
        <v>0000807993</v>
      </c>
      <c r="D2761" t="str">
        <f t="shared" si="1134"/>
        <v>73185</v>
      </c>
      <c r="E2761" t="str">
        <f t="shared" si="1135"/>
        <v>KFH-OPERATIONS DEPARTMENT</v>
      </c>
      <c r="F2761" t="str">
        <f t="shared" si="1136"/>
        <v>IBG</v>
      </c>
      <c r="G2761" t="str">
        <f t="shared" si="1120"/>
        <v>Refund COSHARE 10</v>
      </c>
      <c r="H2761" s="2">
        <v>797.55</v>
      </c>
      <c r="I2761" t="str">
        <f>"NOR SHAFINAS BINTI MOHD ZAHAR"</f>
        <v>NOR SHAFINAS BINTI MOHD ZAHAR</v>
      </c>
      <c r="J2761" t="str">
        <f t="shared" si="1121"/>
        <v>MAYBANK / MAYBANK ISLAMIC</v>
      </c>
      <c r="K2761" t="str">
        <f>"155032365956"</f>
        <v>155032365956</v>
      </c>
      <c r="L2761" t="str">
        <f t="shared" si="1130"/>
        <v>04-08-2020</v>
      </c>
      <c r="M2761" t="str">
        <f t="shared" si="1130"/>
        <v>04-08-2020</v>
      </c>
      <c r="N2761" t="str">
        <f t="shared" si="1137"/>
        <v>001105018356</v>
      </c>
      <c r="O2761" t="str">
        <f t="shared" si="1138"/>
        <v>MYR</v>
      </c>
      <c r="P2761" t="str">
        <f t="shared" si="1131"/>
        <v>NIL</v>
      </c>
      <c r="Q2761" t="str">
        <f t="shared" si="1131"/>
        <v>NIL</v>
      </c>
      <c r="R2761" t="str">
        <f t="shared" si="1139"/>
        <v>Accepted</v>
      </c>
      <c r="S2761" t="str">
        <f t="shared" si="1140"/>
        <v>Approved</v>
      </c>
      <c r="T2761" t="str">
        <f t="shared" si="1141"/>
        <v>10.20.8.188</v>
      </c>
      <c r="U2761" t="str">
        <f t="shared" si="1142"/>
        <v>AZRAD UMAR BIN SHAARI</v>
      </c>
      <c r="V2761" t="str">
        <f t="shared" si="1143"/>
        <v>FARHANA BINTI MUSTAPA</v>
      </c>
      <c r="W2761" t="str">
        <f t="shared" si="1144"/>
        <v>04-08-2020</v>
      </c>
      <c r="X2761" t="str">
        <f t="shared" si="1145"/>
        <v>RAZIMAH ANSAR AHMAD</v>
      </c>
      <c r="Y2761" t="str">
        <f t="shared" si="1146"/>
        <v>04-08-2020</v>
      </c>
      <c r="Z2761" t="str">
        <f>"COS10200804 6393"</f>
        <v>COS10200804 6393</v>
      </c>
    </row>
    <row r="2762" spans="1:26" x14ac:dyDescent="0.25">
      <c r="A2762" t="str">
        <f t="shared" si="1132"/>
        <v>04-08-2020 01:00:00</v>
      </c>
      <c r="B2762" t="str">
        <f>"0000808185"</f>
        <v>0000808185</v>
      </c>
      <c r="C2762" t="str">
        <f t="shared" si="1133"/>
        <v>0000807993</v>
      </c>
      <c r="D2762" t="str">
        <f t="shared" si="1134"/>
        <v>73185</v>
      </c>
      <c r="E2762" t="str">
        <f t="shared" si="1135"/>
        <v>KFH-OPERATIONS DEPARTMENT</v>
      </c>
      <c r="F2762" t="str">
        <f t="shared" si="1136"/>
        <v>IBG</v>
      </c>
      <c r="G2762" t="str">
        <f t="shared" si="1120"/>
        <v>Refund COSHARE 10</v>
      </c>
      <c r="H2762" s="2">
        <v>106.45</v>
      </c>
      <c r="I2762" t="str">
        <f>"NOR SAFARIZAL BIN GAPAR"</f>
        <v>NOR SAFARIZAL BIN GAPAR</v>
      </c>
      <c r="J2762" t="str">
        <f t="shared" si="1121"/>
        <v>MAYBANK / MAYBANK ISLAMIC</v>
      </c>
      <c r="K2762" t="str">
        <f>"151388019481"</f>
        <v>151388019481</v>
      </c>
      <c r="L2762" t="str">
        <f t="shared" si="1130"/>
        <v>04-08-2020</v>
      </c>
      <c r="M2762" t="str">
        <f t="shared" si="1130"/>
        <v>04-08-2020</v>
      </c>
      <c r="N2762" t="str">
        <f t="shared" si="1137"/>
        <v>001105018356</v>
      </c>
      <c r="O2762" t="str">
        <f t="shared" si="1138"/>
        <v>MYR</v>
      </c>
      <c r="P2762" t="str">
        <f t="shared" si="1131"/>
        <v>NIL</v>
      </c>
      <c r="Q2762" t="str">
        <f t="shared" si="1131"/>
        <v>NIL</v>
      </c>
      <c r="R2762" t="str">
        <f t="shared" si="1139"/>
        <v>Accepted</v>
      </c>
      <c r="S2762" t="str">
        <f t="shared" si="1140"/>
        <v>Approved</v>
      </c>
      <c r="T2762" t="str">
        <f t="shared" si="1141"/>
        <v>10.20.8.188</v>
      </c>
      <c r="U2762" t="str">
        <f t="shared" si="1142"/>
        <v>AZRAD UMAR BIN SHAARI</v>
      </c>
      <c r="V2762" t="str">
        <f t="shared" si="1143"/>
        <v>FARHANA BINTI MUSTAPA</v>
      </c>
      <c r="W2762" t="str">
        <f t="shared" si="1144"/>
        <v>04-08-2020</v>
      </c>
      <c r="X2762" t="str">
        <f t="shared" si="1145"/>
        <v>RAZIMAH ANSAR AHMAD</v>
      </c>
      <c r="Y2762" t="str">
        <f t="shared" si="1146"/>
        <v>04-08-2020</v>
      </c>
      <c r="Z2762" t="str">
        <f>"COS10200804 6392"</f>
        <v>COS10200804 6392</v>
      </c>
    </row>
    <row r="2763" spans="1:26" x14ac:dyDescent="0.25">
      <c r="A2763" t="str">
        <f t="shared" si="1132"/>
        <v>04-08-2020 01:00:00</v>
      </c>
      <c r="B2763" t="str">
        <f>"0000808184"</f>
        <v>0000808184</v>
      </c>
      <c r="C2763" t="str">
        <f t="shared" si="1133"/>
        <v>0000807993</v>
      </c>
      <c r="D2763" t="str">
        <f t="shared" si="1134"/>
        <v>73185</v>
      </c>
      <c r="E2763" t="str">
        <f t="shared" si="1135"/>
        <v>KFH-OPERATIONS DEPARTMENT</v>
      </c>
      <c r="F2763" t="str">
        <f t="shared" si="1136"/>
        <v>IBG</v>
      </c>
      <c r="G2763" t="str">
        <f t="shared" si="1120"/>
        <v>Refund COSHARE 10</v>
      </c>
      <c r="H2763" s="2">
        <v>167.9</v>
      </c>
      <c r="I2763" t="str">
        <f>"NOR ROZALIFAH BINTI ABDUL RAZAK"</f>
        <v>NOR ROZALIFAH BINTI ABDUL RAZAK</v>
      </c>
      <c r="J2763" t="str">
        <f t="shared" si="1121"/>
        <v>MAYBANK / MAYBANK ISLAMIC</v>
      </c>
      <c r="K2763" t="str">
        <f>"164164904641"</f>
        <v>164164904641</v>
      </c>
      <c r="L2763" t="str">
        <f t="shared" si="1130"/>
        <v>04-08-2020</v>
      </c>
      <c r="M2763" t="str">
        <f t="shared" si="1130"/>
        <v>04-08-2020</v>
      </c>
      <c r="N2763" t="str">
        <f t="shared" si="1137"/>
        <v>001105018356</v>
      </c>
      <c r="O2763" t="str">
        <f t="shared" si="1138"/>
        <v>MYR</v>
      </c>
      <c r="P2763" t="str">
        <f t="shared" si="1131"/>
        <v>NIL</v>
      </c>
      <c r="Q2763" t="str">
        <f t="shared" si="1131"/>
        <v>NIL</v>
      </c>
      <c r="R2763" t="str">
        <f t="shared" si="1139"/>
        <v>Accepted</v>
      </c>
      <c r="S2763" t="str">
        <f t="shared" si="1140"/>
        <v>Approved</v>
      </c>
      <c r="T2763" t="str">
        <f t="shared" si="1141"/>
        <v>10.20.8.188</v>
      </c>
      <c r="U2763" t="str">
        <f t="shared" si="1142"/>
        <v>AZRAD UMAR BIN SHAARI</v>
      </c>
      <c r="V2763" t="str">
        <f t="shared" si="1143"/>
        <v>FARHANA BINTI MUSTAPA</v>
      </c>
      <c r="W2763" t="str">
        <f t="shared" si="1144"/>
        <v>04-08-2020</v>
      </c>
      <c r="X2763" t="str">
        <f t="shared" si="1145"/>
        <v>RAZIMAH ANSAR AHMAD</v>
      </c>
      <c r="Y2763" t="str">
        <f t="shared" si="1146"/>
        <v>04-08-2020</v>
      </c>
      <c r="Z2763" t="str">
        <f>"COS10200804 6391"</f>
        <v>COS10200804 6391</v>
      </c>
    </row>
    <row r="2764" spans="1:26" x14ac:dyDescent="0.25">
      <c r="A2764" t="str">
        <f t="shared" si="1132"/>
        <v>04-08-2020 01:00:00</v>
      </c>
      <c r="B2764" t="str">
        <f>"0000808183"</f>
        <v>0000808183</v>
      </c>
      <c r="C2764" t="str">
        <f t="shared" si="1133"/>
        <v>0000807993</v>
      </c>
      <c r="D2764" t="str">
        <f t="shared" si="1134"/>
        <v>73185</v>
      </c>
      <c r="E2764" t="str">
        <f t="shared" si="1135"/>
        <v>KFH-OPERATIONS DEPARTMENT</v>
      </c>
      <c r="F2764" t="str">
        <f t="shared" si="1136"/>
        <v>IBG</v>
      </c>
      <c r="G2764" t="str">
        <f t="shared" ref="G2764:G2827" si="1147">"Refund COSHARE 10"</f>
        <v>Refund COSHARE 10</v>
      </c>
      <c r="H2764" s="2">
        <v>689.6</v>
      </c>
      <c r="I2764" t="str">
        <f>"NOR ROSLIDA BINTI HARAMAN"</f>
        <v>NOR ROSLIDA BINTI HARAMAN</v>
      </c>
      <c r="J2764" t="str">
        <f t="shared" si="1121"/>
        <v>MAYBANK / MAYBANK ISLAMIC</v>
      </c>
      <c r="K2764" t="str">
        <f>"153083167254"</f>
        <v>153083167254</v>
      </c>
      <c r="L2764" t="str">
        <f t="shared" si="1130"/>
        <v>04-08-2020</v>
      </c>
      <c r="M2764" t="str">
        <f t="shared" si="1130"/>
        <v>04-08-2020</v>
      </c>
      <c r="N2764" t="str">
        <f t="shared" si="1137"/>
        <v>001105018356</v>
      </c>
      <c r="O2764" t="str">
        <f t="shared" si="1138"/>
        <v>MYR</v>
      </c>
      <c r="P2764" t="str">
        <f t="shared" si="1131"/>
        <v>NIL</v>
      </c>
      <c r="Q2764" t="str">
        <f t="shared" si="1131"/>
        <v>NIL</v>
      </c>
      <c r="R2764" t="str">
        <f t="shared" si="1139"/>
        <v>Accepted</v>
      </c>
      <c r="S2764" t="str">
        <f t="shared" si="1140"/>
        <v>Approved</v>
      </c>
      <c r="T2764" t="str">
        <f t="shared" si="1141"/>
        <v>10.20.8.188</v>
      </c>
      <c r="U2764" t="str">
        <f t="shared" si="1142"/>
        <v>AZRAD UMAR BIN SHAARI</v>
      </c>
      <c r="V2764" t="str">
        <f t="shared" si="1143"/>
        <v>FARHANA BINTI MUSTAPA</v>
      </c>
      <c r="W2764" t="str">
        <f t="shared" si="1144"/>
        <v>04-08-2020</v>
      </c>
      <c r="X2764" t="str">
        <f t="shared" si="1145"/>
        <v>RAZIMAH ANSAR AHMAD</v>
      </c>
      <c r="Y2764" t="str">
        <f t="shared" si="1146"/>
        <v>04-08-2020</v>
      </c>
      <c r="Z2764" t="str">
        <f>"COS10200804 6390"</f>
        <v>COS10200804 6390</v>
      </c>
    </row>
    <row r="2765" spans="1:26" x14ac:dyDescent="0.25">
      <c r="A2765" t="str">
        <f t="shared" si="1132"/>
        <v>04-08-2020 01:00:00</v>
      </c>
      <c r="B2765" t="str">
        <f>"0000808182"</f>
        <v>0000808182</v>
      </c>
      <c r="C2765" t="str">
        <f t="shared" si="1133"/>
        <v>0000807993</v>
      </c>
      <c r="D2765" t="str">
        <f t="shared" si="1134"/>
        <v>73185</v>
      </c>
      <c r="E2765" t="str">
        <f t="shared" si="1135"/>
        <v>KFH-OPERATIONS DEPARTMENT</v>
      </c>
      <c r="F2765" t="str">
        <f t="shared" si="1136"/>
        <v>IBG</v>
      </c>
      <c r="G2765" t="str">
        <f t="shared" si="1147"/>
        <v>Refund COSHARE 10</v>
      </c>
      <c r="H2765" s="2">
        <v>274.05</v>
      </c>
      <c r="I2765" t="str">
        <f>"NOR REDAH BINTI SARMIN"</f>
        <v>NOR REDAH BINTI SARMIN</v>
      </c>
      <c r="J2765" t="str">
        <f t="shared" si="1121"/>
        <v>MAYBANK / MAYBANK ISLAMIC</v>
      </c>
      <c r="K2765" t="str">
        <f>"101011615318"</f>
        <v>101011615318</v>
      </c>
      <c r="L2765" t="str">
        <f t="shared" si="1130"/>
        <v>04-08-2020</v>
      </c>
      <c r="M2765" t="str">
        <f t="shared" si="1130"/>
        <v>04-08-2020</v>
      </c>
      <c r="N2765" t="str">
        <f t="shared" si="1137"/>
        <v>001105018356</v>
      </c>
      <c r="O2765" t="str">
        <f t="shared" si="1138"/>
        <v>MYR</v>
      </c>
      <c r="P2765" t="str">
        <f t="shared" si="1131"/>
        <v>NIL</v>
      </c>
      <c r="Q2765" t="str">
        <f t="shared" si="1131"/>
        <v>NIL</v>
      </c>
      <c r="R2765" t="str">
        <f t="shared" si="1139"/>
        <v>Accepted</v>
      </c>
      <c r="S2765" t="str">
        <f t="shared" si="1140"/>
        <v>Approved</v>
      </c>
      <c r="T2765" t="str">
        <f t="shared" si="1141"/>
        <v>10.20.8.188</v>
      </c>
      <c r="U2765" t="str">
        <f t="shared" si="1142"/>
        <v>AZRAD UMAR BIN SHAARI</v>
      </c>
      <c r="V2765" t="str">
        <f t="shared" si="1143"/>
        <v>FARHANA BINTI MUSTAPA</v>
      </c>
      <c r="W2765" t="str">
        <f t="shared" si="1144"/>
        <v>04-08-2020</v>
      </c>
      <c r="X2765" t="str">
        <f t="shared" si="1145"/>
        <v>RAZIMAH ANSAR AHMAD</v>
      </c>
      <c r="Y2765" t="str">
        <f t="shared" si="1146"/>
        <v>04-08-2020</v>
      </c>
      <c r="Z2765" t="str">
        <f>"COS10200804 6389"</f>
        <v>COS10200804 6389</v>
      </c>
    </row>
    <row r="2766" spans="1:26" x14ac:dyDescent="0.25">
      <c r="A2766" t="str">
        <f t="shared" si="1132"/>
        <v>04-08-2020 01:00:00</v>
      </c>
      <c r="B2766" t="str">
        <f>"0000808181"</f>
        <v>0000808181</v>
      </c>
      <c r="C2766" t="str">
        <f t="shared" si="1133"/>
        <v>0000807993</v>
      </c>
      <c r="D2766" t="str">
        <f t="shared" si="1134"/>
        <v>73185</v>
      </c>
      <c r="E2766" t="str">
        <f t="shared" si="1135"/>
        <v>KFH-OPERATIONS DEPARTMENT</v>
      </c>
      <c r="F2766" t="str">
        <f t="shared" si="1136"/>
        <v>IBG</v>
      </c>
      <c r="G2766" t="str">
        <f t="shared" si="1147"/>
        <v>Refund COSHARE 10</v>
      </c>
      <c r="H2766" s="2">
        <v>1290</v>
      </c>
      <c r="I2766" t="str">
        <f>"NOR RASHIDAH BINTI YUSOFF"</f>
        <v>NOR RASHIDAH BINTI YUSOFF</v>
      </c>
      <c r="J2766" t="str">
        <f t="shared" si="1121"/>
        <v>MAYBANK / MAYBANK ISLAMIC</v>
      </c>
      <c r="K2766" t="str">
        <f>"158024826683"</f>
        <v>158024826683</v>
      </c>
      <c r="L2766" t="str">
        <f t="shared" si="1130"/>
        <v>04-08-2020</v>
      </c>
      <c r="M2766" t="str">
        <f t="shared" si="1130"/>
        <v>04-08-2020</v>
      </c>
      <c r="N2766" t="str">
        <f t="shared" si="1137"/>
        <v>001105018356</v>
      </c>
      <c r="O2766" t="str">
        <f t="shared" si="1138"/>
        <v>MYR</v>
      </c>
      <c r="P2766" t="str">
        <f t="shared" si="1131"/>
        <v>NIL</v>
      </c>
      <c r="Q2766" t="str">
        <f t="shared" si="1131"/>
        <v>NIL</v>
      </c>
      <c r="R2766" t="str">
        <f t="shared" si="1139"/>
        <v>Accepted</v>
      </c>
      <c r="S2766" t="str">
        <f t="shared" si="1140"/>
        <v>Approved</v>
      </c>
      <c r="T2766" t="str">
        <f t="shared" si="1141"/>
        <v>10.20.8.188</v>
      </c>
      <c r="U2766" t="str">
        <f t="shared" si="1142"/>
        <v>AZRAD UMAR BIN SHAARI</v>
      </c>
      <c r="V2766" t="str">
        <f t="shared" si="1143"/>
        <v>FARHANA BINTI MUSTAPA</v>
      </c>
      <c r="W2766" t="str">
        <f t="shared" si="1144"/>
        <v>04-08-2020</v>
      </c>
      <c r="X2766" t="str">
        <f t="shared" si="1145"/>
        <v>RAZIMAH ANSAR AHMAD</v>
      </c>
      <c r="Y2766" t="str">
        <f t="shared" si="1146"/>
        <v>04-08-2020</v>
      </c>
      <c r="Z2766" t="str">
        <f>"COS10200804 6388"</f>
        <v>COS10200804 6388</v>
      </c>
    </row>
    <row r="2767" spans="1:26" x14ac:dyDescent="0.25">
      <c r="A2767" t="str">
        <f t="shared" si="1132"/>
        <v>04-08-2020 01:00:00</v>
      </c>
      <c r="B2767" t="str">
        <f>"0000808180"</f>
        <v>0000808180</v>
      </c>
      <c r="C2767" t="str">
        <f t="shared" si="1133"/>
        <v>0000807993</v>
      </c>
      <c r="D2767" t="str">
        <f t="shared" si="1134"/>
        <v>73185</v>
      </c>
      <c r="E2767" t="str">
        <f t="shared" si="1135"/>
        <v>KFH-OPERATIONS DEPARTMENT</v>
      </c>
      <c r="F2767" t="str">
        <f t="shared" si="1136"/>
        <v>IBG</v>
      </c>
      <c r="G2767" t="str">
        <f t="shared" si="1147"/>
        <v>Refund COSHARE 10</v>
      </c>
      <c r="H2767" s="2">
        <v>654.85</v>
      </c>
      <c r="I2767" t="str">
        <f>"NOR RAHMAT BIN ABD RAHAMAN"</f>
        <v>NOR RAHMAT BIN ABD RAHAMAN</v>
      </c>
      <c r="J2767" t="str">
        <f t="shared" si="1121"/>
        <v>MAYBANK / MAYBANK ISLAMIC</v>
      </c>
      <c r="K2767" t="str">
        <f>"158015163061"</f>
        <v>158015163061</v>
      </c>
      <c r="L2767" t="str">
        <f t="shared" ref="L2767:M2786" si="1148">"04-08-2020"</f>
        <v>04-08-2020</v>
      </c>
      <c r="M2767" t="str">
        <f t="shared" si="1148"/>
        <v>04-08-2020</v>
      </c>
      <c r="N2767" t="str">
        <f t="shared" si="1137"/>
        <v>001105018356</v>
      </c>
      <c r="O2767" t="str">
        <f t="shared" si="1138"/>
        <v>MYR</v>
      </c>
      <c r="P2767" t="str">
        <f t="shared" ref="P2767:Q2786" si="1149">"NIL"</f>
        <v>NIL</v>
      </c>
      <c r="Q2767" t="str">
        <f t="shared" si="1149"/>
        <v>NIL</v>
      </c>
      <c r="R2767" t="str">
        <f t="shared" si="1139"/>
        <v>Accepted</v>
      </c>
      <c r="S2767" t="str">
        <f t="shared" si="1140"/>
        <v>Approved</v>
      </c>
      <c r="T2767" t="str">
        <f t="shared" si="1141"/>
        <v>10.20.8.188</v>
      </c>
      <c r="U2767" t="str">
        <f t="shared" si="1142"/>
        <v>AZRAD UMAR BIN SHAARI</v>
      </c>
      <c r="V2767" t="str">
        <f t="shared" si="1143"/>
        <v>FARHANA BINTI MUSTAPA</v>
      </c>
      <c r="W2767" t="str">
        <f t="shared" si="1144"/>
        <v>04-08-2020</v>
      </c>
      <c r="X2767" t="str">
        <f t="shared" si="1145"/>
        <v>RAZIMAH ANSAR AHMAD</v>
      </c>
      <c r="Y2767" t="str">
        <f t="shared" si="1146"/>
        <v>04-08-2020</v>
      </c>
      <c r="Z2767" t="str">
        <f>"COS10200804 6387"</f>
        <v>COS10200804 6387</v>
      </c>
    </row>
    <row r="2768" spans="1:26" x14ac:dyDescent="0.25">
      <c r="A2768" t="str">
        <f t="shared" si="1132"/>
        <v>04-08-2020 01:00:00</v>
      </c>
      <c r="B2768" t="str">
        <f>"0000808179"</f>
        <v>0000808179</v>
      </c>
      <c r="C2768" t="str">
        <f t="shared" si="1133"/>
        <v>0000807993</v>
      </c>
      <c r="D2768" t="str">
        <f t="shared" si="1134"/>
        <v>73185</v>
      </c>
      <c r="E2768" t="str">
        <f t="shared" si="1135"/>
        <v>KFH-OPERATIONS DEPARTMENT</v>
      </c>
      <c r="F2768" t="str">
        <f t="shared" si="1136"/>
        <v>IBG</v>
      </c>
      <c r="G2768" t="str">
        <f t="shared" si="1147"/>
        <v>Refund COSHARE 10</v>
      </c>
      <c r="H2768" s="2">
        <v>225.15</v>
      </c>
      <c r="I2768" t="str">
        <f>"NOR PIZA BT HASSAN"</f>
        <v>NOR PIZA BT HASSAN</v>
      </c>
      <c r="J2768" t="str">
        <f t="shared" si="1121"/>
        <v>MAYBANK / MAYBANK ISLAMIC</v>
      </c>
      <c r="K2768" t="str">
        <f>"114105229437"</f>
        <v>114105229437</v>
      </c>
      <c r="L2768" t="str">
        <f t="shared" si="1148"/>
        <v>04-08-2020</v>
      </c>
      <c r="M2768" t="str">
        <f t="shared" si="1148"/>
        <v>04-08-2020</v>
      </c>
      <c r="N2768" t="str">
        <f t="shared" si="1137"/>
        <v>001105018356</v>
      </c>
      <c r="O2768" t="str">
        <f t="shared" si="1138"/>
        <v>MYR</v>
      </c>
      <c r="P2768" t="str">
        <f t="shared" si="1149"/>
        <v>NIL</v>
      </c>
      <c r="Q2768" t="str">
        <f t="shared" si="1149"/>
        <v>NIL</v>
      </c>
      <c r="R2768" t="str">
        <f t="shared" si="1139"/>
        <v>Accepted</v>
      </c>
      <c r="S2768" t="str">
        <f t="shared" si="1140"/>
        <v>Approved</v>
      </c>
      <c r="T2768" t="str">
        <f t="shared" si="1141"/>
        <v>10.20.8.188</v>
      </c>
      <c r="U2768" t="str">
        <f t="shared" si="1142"/>
        <v>AZRAD UMAR BIN SHAARI</v>
      </c>
      <c r="V2768" t="str">
        <f t="shared" si="1143"/>
        <v>FARHANA BINTI MUSTAPA</v>
      </c>
      <c r="W2768" t="str">
        <f t="shared" si="1144"/>
        <v>04-08-2020</v>
      </c>
      <c r="X2768" t="str">
        <f t="shared" si="1145"/>
        <v>RAZIMAH ANSAR AHMAD</v>
      </c>
      <c r="Y2768" t="str">
        <f t="shared" si="1146"/>
        <v>04-08-2020</v>
      </c>
      <c r="Z2768" t="str">
        <f>"COS10200804 6386"</f>
        <v>COS10200804 6386</v>
      </c>
    </row>
    <row r="2769" spans="1:26" x14ac:dyDescent="0.25">
      <c r="A2769" t="str">
        <f t="shared" si="1132"/>
        <v>04-08-2020 01:00:00</v>
      </c>
      <c r="B2769" t="str">
        <f>"0000808178"</f>
        <v>0000808178</v>
      </c>
      <c r="C2769" t="str">
        <f t="shared" si="1133"/>
        <v>0000807993</v>
      </c>
      <c r="D2769" t="str">
        <f t="shared" si="1134"/>
        <v>73185</v>
      </c>
      <c r="E2769" t="str">
        <f t="shared" si="1135"/>
        <v>KFH-OPERATIONS DEPARTMENT</v>
      </c>
      <c r="F2769" t="str">
        <f t="shared" si="1136"/>
        <v>IBG</v>
      </c>
      <c r="G2769" t="str">
        <f t="shared" si="1147"/>
        <v>Refund COSHARE 10</v>
      </c>
      <c r="H2769" s="2">
        <v>1032</v>
      </c>
      <c r="I2769" t="str">
        <f>"NOR NAIMAH BINTI ISMAIL"</f>
        <v>NOR NAIMAH BINTI ISMAIL</v>
      </c>
      <c r="J2769" t="str">
        <f t="shared" ref="J2769:J2832" si="1150">"MAYBANK / MAYBANK ISLAMIC"</f>
        <v>MAYBANK / MAYBANK ISLAMIC</v>
      </c>
      <c r="K2769" t="str">
        <f>"164799194818"</f>
        <v>164799194818</v>
      </c>
      <c r="L2769" t="str">
        <f t="shared" si="1148"/>
        <v>04-08-2020</v>
      </c>
      <c r="M2769" t="str">
        <f t="shared" si="1148"/>
        <v>04-08-2020</v>
      </c>
      <c r="N2769" t="str">
        <f t="shared" si="1137"/>
        <v>001105018356</v>
      </c>
      <c r="O2769" t="str">
        <f t="shared" si="1138"/>
        <v>MYR</v>
      </c>
      <c r="P2769" t="str">
        <f t="shared" si="1149"/>
        <v>NIL</v>
      </c>
      <c r="Q2769" t="str">
        <f t="shared" si="1149"/>
        <v>NIL</v>
      </c>
      <c r="R2769" t="str">
        <f t="shared" si="1139"/>
        <v>Accepted</v>
      </c>
      <c r="S2769" t="str">
        <f t="shared" si="1140"/>
        <v>Approved</v>
      </c>
      <c r="T2769" t="str">
        <f t="shared" si="1141"/>
        <v>10.20.8.188</v>
      </c>
      <c r="U2769" t="str">
        <f t="shared" si="1142"/>
        <v>AZRAD UMAR BIN SHAARI</v>
      </c>
      <c r="V2769" t="str">
        <f t="shared" si="1143"/>
        <v>FARHANA BINTI MUSTAPA</v>
      </c>
      <c r="W2769" t="str">
        <f t="shared" si="1144"/>
        <v>04-08-2020</v>
      </c>
      <c r="X2769" t="str">
        <f t="shared" si="1145"/>
        <v>RAZIMAH ANSAR AHMAD</v>
      </c>
      <c r="Y2769" t="str">
        <f t="shared" si="1146"/>
        <v>04-08-2020</v>
      </c>
      <c r="Z2769" t="str">
        <f>"COS10200804 6385"</f>
        <v>COS10200804 6385</v>
      </c>
    </row>
    <row r="2770" spans="1:26" x14ac:dyDescent="0.25">
      <c r="A2770" t="str">
        <f t="shared" si="1132"/>
        <v>04-08-2020 01:00:00</v>
      </c>
      <c r="B2770" t="str">
        <f>"0000808177"</f>
        <v>0000808177</v>
      </c>
      <c r="C2770" t="str">
        <f t="shared" si="1133"/>
        <v>0000807993</v>
      </c>
      <c r="D2770" t="str">
        <f t="shared" si="1134"/>
        <v>73185</v>
      </c>
      <c r="E2770" t="str">
        <f t="shared" si="1135"/>
        <v>KFH-OPERATIONS DEPARTMENT</v>
      </c>
      <c r="F2770" t="str">
        <f t="shared" si="1136"/>
        <v>IBG</v>
      </c>
      <c r="G2770" t="str">
        <f t="shared" si="1147"/>
        <v>Refund COSHARE 10</v>
      </c>
      <c r="H2770" s="2">
        <v>50.4</v>
      </c>
      <c r="I2770" t="str">
        <f>"NOR NAIMAH BINTI IBRAHIM"</f>
        <v>NOR NAIMAH BINTI IBRAHIM</v>
      </c>
      <c r="J2770" t="str">
        <f t="shared" si="1150"/>
        <v>MAYBANK / MAYBANK ISLAMIC</v>
      </c>
      <c r="K2770" t="str">
        <f>"114254150928"</f>
        <v>114254150928</v>
      </c>
      <c r="L2770" t="str">
        <f t="shared" si="1148"/>
        <v>04-08-2020</v>
      </c>
      <c r="M2770" t="str">
        <f t="shared" si="1148"/>
        <v>04-08-2020</v>
      </c>
      <c r="N2770" t="str">
        <f t="shared" si="1137"/>
        <v>001105018356</v>
      </c>
      <c r="O2770" t="str">
        <f t="shared" si="1138"/>
        <v>MYR</v>
      </c>
      <c r="P2770" t="str">
        <f t="shared" si="1149"/>
        <v>NIL</v>
      </c>
      <c r="Q2770" t="str">
        <f t="shared" si="1149"/>
        <v>NIL</v>
      </c>
      <c r="R2770" t="str">
        <f t="shared" si="1139"/>
        <v>Accepted</v>
      </c>
      <c r="S2770" t="str">
        <f t="shared" si="1140"/>
        <v>Approved</v>
      </c>
      <c r="T2770" t="str">
        <f t="shared" si="1141"/>
        <v>10.20.8.188</v>
      </c>
      <c r="U2770" t="str">
        <f t="shared" si="1142"/>
        <v>AZRAD UMAR BIN SHAARI</v>
      </c>
      <c r="V2770" t="str">
        <f t="shared" si="1143"/>
        <v>FARHANA BINTI MUSTAPA</v>
      </c>
      <c r="W2770" t="str">
        <f t="shared" si="1144"/>
        <v>04-08-2020</v>
      </c>
      <c r="X2770" t="str">
        <f t="shared" si="1145"/>
        <v>RAZIMAH ANSAR AHMAD</v>
      </c>
      <c r="Y2770" t="str">
        <f t="shared" si="1146"/>
        <v>04-08-2020</v>
      </c>
      <c r="Z2770" t="str">
        <f>"COS10200804 6384"</f>
        <v>COS10200804 6384</v>
      </c>
    </row>
    <row r="2771" spans="1:26" x14ac:dyDescent="0.25">
      <c r="A2771" t="str">
        <f t="shared" si="1132"/>
        <v>04-08-2020 01:00:00</v>
      </c>
      <c r="B2771" t="str">
        <f>"0000808176"</f>
        <v>0000808176</v>
      </c>
      <c r="C2771" t="str">
        <f t="shared" si="1133"/>
        <v>0000807993</v>
      </c>
      <c r="D2771" t="str">
        <f t="shared" si="1134"/>
        <v>73185</v>
      </c>
      <c r="E2771" t="str">
        <f t="shared" si="1135"/>
        <v>KFH-OPERATIONS DEPARTMENT</v>
      </c>
      <c r="F2771" t="str">
        <f t="shared" si="1136"/>
        <v>IBG</v>
      </c>
      <c r="G2771" t="str">
        <f t="shared" si="1147"/>
        <v>Refund COSHARE 10</v>
      </c>
      <c r="H2771" s="2">
        <v>167.9</v>
      </c>
      <c r="I2771" t="str">
        <f>"NOR MILAH BINTI MOHD SALEH"</f>
        <v>NOR MILAH BINTI MOHD SALEH</v>
      </c>
      <c r="J2771" t="str">
        <f t="shared" si="1150"/>
        <v>MAYBANK / MAYBANK ISLAMIC</v>
      </c>
      <c r="K2771" t="str">
        <f>"151173507460"</f>
        <v>151173507460</v>
      </c>
      <c r="L2771" t="str">
        <f t="shared" si="1148"/>
        <v>04-08-2020</v>
      </c>
      <c r="M2771" t="str">
        <f t="shared" si="1148"/>
        <v>04-08-2020</v>
      </c>
      <c r="N2771" t="str">
        <f t="shared" si="1137"/>
        <v>001105018356</v>
      </c>
      <c r="O2771" t="str">
        <f t="shared" si="1138"/>
        <v>MYR</v>
      </c>
      <c r="P2771" t="str">
        <f t="shared" si="1149"/>
        <v>NIL</v>
      </c>
      <c r="Q2771" t="str">
        <f t="shared" si="1149"/>
        <v>NIL</v>
      </c>
      <c r="R2771" t="str">
        <f t="shared" si="1139"/>
        <v>Accepted</v>
      </c>
      <c r="S2771" t="str">
        <f t="shared" si="1140"/>
        <v>Approved</v>
      </c>
      <c r="T2771" t="str">
        <f t="shared" si="1141"/>
        <v>10.20.8.188</v>
      </c>
      <c r="U2771" t="str">
        <f t="shared" si="1142"/>
        <v>AZRAD UMAR BIN SHAARI</v>
      </c>
      <c r="V2771" t="str">
        <f t="shared" si="1143"/>
        <v>FARHANA BINTI MUSTAPA</v>
      </c>
      <c r="W2771" t="str">
        <f t="shared" si="1144"/>
        <v>04-08-2020</v>
      </c>
      <c r="X2771" t="str">
        <f t="shared" si="1145"/>
        <v>RAZIMAH ANSAR AHMAD</v>
      </c>
      <c r="Y2771" t="str">
        <f t="shared" si="1146"/>
        <v>04-08-2020</v>
      </c>
      <c r="Z2771" t="str">
        <f>"COS10200804 6383"</f>
        <v>COS10200804 6383</v>
      </c>
    </row>
    <row r="2772" spans="1:26" x14ac:dyDescent="0.25">
      <c r="A2772" t="str">
        <f t="shared" si="1132"/>
        <v>04-08-2020 01:00:00</v>
      </c>
      <c r="B2772" t="str">
        <f>"0000808175"</f>
        <v>0000808175</v>
      </c>
      <c r="C2772" t="str">
        <f t="shared" si="1133"/>
        <v>0000807993</v>
      </c>
      <c r="D2772" t="str">
        <f t="shared" si="1134"/>
        <v>73185</v>
      </c>
      <c r="E2772" t="str">
        <f t="shared" si="1135"/>
        <v>KFH-OPERATIONS DEPARTMENT</v>
      </c>
      <c r="F2772" t="str">
        <f t="shared" si="1136"/>
        <v>IBG</v>
      </c>
      <c r="G2772" t="str">
        <f t="shared" si="1147"/>
        <v>Refund COSHARE 10</v>
      </c>
      <c r="H2772" s="2">
        <v>260.25</v>
      </c>
      <c r="I2772" t="str">
        <f>"NOR MI BINTI ABDULLAH"</f>
        <v>NOR MI BINTI ABDULLAH</v>
      </c>
      <c r="J2772" t="str">
        <f t="shared" si="1150"/>
        <v>MAYBANK / MAYBANK ISLAMIC</v>
      </c>
      <c r="K2772" t="str">
        <f>"108113489616"</f>
        <v>108113489616</v>
      </c>
      <c r="L2772" t="str">
        <f t="shared" si="1148"/>
        <v>04-08-2020</v>
      </c>
      <c r="M2772" t="str">
        <f t="shared" si="1148"/>
        <v>04-08-2020</v>
      </c>
      <c r="N2772" t="str">
        <f t="shared" si="1137"/>
        <v>001105018356</v>
      </c>
      <c r="O2772" t="str">
        <f t="shared" si="1138"/>
        <v>MYR</v>
      </c>
      <c r="P2772" t="str">
        <f t="shared" si="1149"/>
        <v>NIL</v>
      </c>
      <c r="Q2772" t="str">
        <f t="shared" si="1149"/>
        <v>NIL</v>
      </c>
      <c r="R2772" t="str">
        <f t="shared" si="1139"/>
        <v>Accepted</v>
      </c>
      <c r="S2772" t="str">
        <f t="shared" si="1140"/>
        <v>Approved</v>
      </c>
      <c r="T2772" t="str">
        <f t="shared" si="1141"/>
        <v>10.20.8.188</v>
      </c>
      <c r="U2772" t="str">
        <f t="shared" si="1142"/>
        <v>AZRAD UMAR BIN SHAARI</v>
      </c>
      <c r="V2772" t="str">
        <f t="shared" si="1143"/>
        <v>FARHANA BINTI MUSTAPA</v>
      </c>
      <c r="W2772" t="str">
        <f t="shared" si="1144"/>
        <v>04-08-2020</v>
      </c>
      <c r="X2772" t="str">
        <f t="shared" si="1145"/>
        <v>RAZIMAH ANSAR AHMAD</v>
      </c>
      <c r="Y2772" t="str">
        <f t="shared" si="1146"/>
        <v>04-08-2020</v>
      </c>
      <c r="Z2772" t="str">
        <f>"COS10200804 6382"</f>
        <v>COS10200804 6382</v>
      </c>
    </row>
    <row r="2773" spans="1:26" x14ac:dyDescent="0.25">
      <c r="A2773" t="str">
        <f t="shared" si="1132"/>
        <v>04-08-2020 01:00:00</v>
      </c>
      <c r="B2773" t="str">
        <f>"0000808174"</f>
        <v>0000808174</v>
      </c>
      <c r="C2773" t="str">
        <f t="shared" si="1133"/>
        <v>0000807993</v>
      </c>
      <c r="D2773" t="str">
        <f t="shared" si="1134"/>
        <v>73185</v>
      </c>
      <c r="E2773" t="str">
        <f t="shared" si="1135"/>
        <v>KFH-OPERATIONS DEPARTMENT</v>
      </c>
      <c r="F2773" t="str">
        <f t="shared" si="1136"/>
        <v>IBG</v>
      </c>
      <c r="G2773" t="str">
        <f t="shared" si="1147"/>
        <v>Refund COSHARE 10</v>
      </c>
      <c r="H2773" s="2">
        <v>307</v>
      </c>
      <c r="I2773" t="str">
        <f>"NOR MAZIAN BINTI OMAR BAKI"</f>
        <v>NOR MAZIAN BINTI OMAR BAKI</v>
      </c>
      <c r="J2773" t="str">
        <f t="shared" si="1150"/>
        <v>MAYBANK / MAYBANK ISLAMIC</v>
      </c>
      <c r="K2773" t="str">
        <f>"158033247390"</f>
        <v>158033247390</v>
      </c>
      <c r="L2773" t="str">
        <f t="shared" si="1148"/>
        <v>04-08-2020</v>
      </c>
      <c r="M2773" t="str">
        <f t="shared" si="1148"/>
        <v>04-08-2020</v>
      </c>
      <c r="N2773" t="str">
        <f t="shared" si="1137"/>
        <v>001105018356</v>
      </c>
      <c r="O2773" t="str">
        <f t="shared" si="1138"/>
        <v>MYR</v>
      </c>
      <c r="P2773" t="str">
        <f t="shared" si="1149"/>
        <v>NIL</v>
      </c>
      <c r="Q2773" t="str">
        <f t="shared" si="1149"/>
        <v>NIL</v>
      </c>
      <c r="R2773" t="str">
        <f t="shared" si="1139"/>
        <v>Accepted</v>
      </c>
      <c r="S2773" t="str">
        <f t="shared" si="1140"/>
        <v>Approved</v>
      </c>
      <c r="T2773" t="str">
        <f t="shared" si="1141"/>
        <v>10.20.8.188</v>
      </c>
      <c r="U2773" t="str">
        <f t="shared" si="1142"/>
        <v>AZRAD UMAR BIN SHAARI</v>
      </c>
      <c r="V2773" t="str">
        <f t="shared" si="1143"/>
        <v>FARHANA BINTI MUSTAPA</v>
      </c>
      <c r="W2773" t="str">
        <f t="shared" si="1144"/>
        <v>04-08-2020</v>
      </c>
      <c r="X2773" t="str">
        <f t="shared" si="1145"/>
        <v>RAZIMAH ANSAR AHMAD</v>
      </c>
      <c r="Y2773" t="str">
        <f t="shared" si="1146"/>
        <v>04-08-2020</v>
      </c>
      <c r="Z2773" t="str">
        <f>"COS10200804 6381"</f>
        <v>COS10200804 6381</v>
      </c>
    </row>
    <row r="2774" spans="1:26" x14ac:dyDescent="0.25">
      <c r="A2774" t="str">
        <f t="shared" si="1132"/>
        <v>04-08-2020 01:00:00</v>
      </c>
      <c r="B2774" t="str">
        <f>"0000808173"</f>
        <v>0000808173</v>
      </c>
      <c r="C2774" t="str">
        <f t="shared" si="1133"/>
        <v>0000807993</v>
      </c>
      <c r="D2774" t="str">
        <f t="shared" si="1134"/>
        <v>73185</v>
      </c>
      <c r="E2774" t="str">
        <f t="shared" si="1135"/>
        <v>KFH-OPERATIONS DEPARTMENT</v>
      </c>
      <c r="F2774" t="str">
        <f t="shared" si="1136"/>
        <v>IBG</v>
      </c>
      <c r="G2774" t="str">
        <f t="shared" si="1147"/>
        <v>Refund COSHARE 10</v>
      </c>
      <c r="H2774" s="2">
        <v>782</v>
      </c>
      <c r="I2774" t="str">
        <f>"NOR MAYA BINTI HASAN NAWAWI"</f>
        <v>NOR MAYA BINTI HASAN NAWAWI</v>
      </c>
      <c r="J2774" t="str">
        <f t="shared" si="1150"/>
        <v>MAYBANK / MAYBANK ISLAMIC</v>
      </c>
      <c r="K2774" t="str">
        <f>"158172897014"</f>
        <v>158172897014</v>
      </c>
      <c r="L2774" t="str">
        <f t="shared" si="1148"/>
        <v>04-08-2020</v>
      </c>
      <c r="M2774" t="str">
        <f t="shared" si="1148"/>
        <v>04-08-2020</v>
      </c>
      <c r="N2774" t="str">
        <f t="shared" si="1137"/>
        <v>001105018356</v>
      </c>
      <c r="O2774" t="str">
        <f t="shared" si="1138"/>
        <v>MYR</v>
      </c>
      <c r="P2774" t="str">
        <f t="shared" si="1149"/>
        <v>NIL</v>
      </c>
      <c r="Q2774" t="str">
        <f t="shared" si="1149"/>
        <v>NIL</v>
      </c>
      <c r="R2774" t="str">
        <f t="shared" si="1139"/>
        <v>Accepted</v>
      </c>
      <c r="S2774" t="str">
        <f t="shared" si="1140"/>
        <v>Approved</v>
      </c>
      <c r="T2774" t="str">
        <f t="shared" si="1141"/>
        <v>10.20.8.188</v>
      </c>
      <c r="U2774" t="str">
        <f t="shared" si="1142"/>
        <v>AZRAD UMAR BIN SHAARI</v>
      </c>
      <c r="V2774" t="str">
        <f t="shared" si="1143"/>
        <v>FARHANA BINTI MUSTAPA</v>
      </c>
      <c r="W2774" t="str">
        <f t="shared" si="1144"/>
        <v>04-08-2020</v>
      </c>
      <c r="X2774" t="str">
        <f t="shared" si="1145"/>
        <v>RAZIMAH ANSAR AHMAD</v>
      </c>
      <c r="Y2774" t="str">
        <f t="shared" si="1146"/>
        <v>04-08-2020</v>
      </c>
      <c r="Z2774" t="str">
        <f>"COS10200804 6380"</f>
        <v>COS10200804 6380</v>
      </c>
    </row>
    <row r="2775" spans="1:26" x14ac:dyDescent="0.25">
      <c r="A2775" t="str">
        <f t="shared" si="1132"/>
        <v>04-08-2020 01:00:00</v>
      </c>
      <c r="B2775" t="str">
        <f>"0000808172"</f>
        <v>0000808172</v>
      </c>
      <c r="C2775" t="str">
        <f t="shared" si="1133"/>
        <v>0000807993</v>
      </c>
      <c r="D2775" t="str">
        <f t="shared" si="1134"/>
        <v>73185</v>
      </c>
      <c r="E2775" t="str">
        <f t="shared" si="1135"/>
        <v>KFH-OPERATIONS DEPARTMENT</v>
      </c>
      <c r="F2775" t="str">
        <f t="shared" si="1136"/>
        <v>IBG</v>
      </c>
      <c r="G2775" t="str">
        <f t="shared" si="1147"/>
        <v>Refund COSHARE 10</v>
      </c>
      <c r="H2775" s="2">
        <v>923.45</v>
      </c>
      <c r="I2775" t="str">
        <f>"NOR LELA BIN JUMAT"</f>
        <v>NOR LELA BIN JUMAT</v>
      </c>
      <c r="J2775" t="str">
        <f t="shared" si="1150"/>
        <v>MAYBANK / MAYBANK ISLAMIC</v>
      </c>
      <c r="K2775" t="str">
        <f>"160036980339"</f>
        <v>160036980339</v>
      </c>
      <c r="L2775" t="str">
        <f t="shared" si="1148"/>
        <v>04-08-2020</v>
      </c>
      <c r="M2775" t="str">
        <f t="shared" si="1148"/>
        <v>04-08-2020</v>
      </c>
      <c r="N2775" t="str">
        <f t="shared" si="1137"/>
        <v>001105018356</v>
      </c>
      <c r="O2775" t="str">
        <f t="shared" si="1138"/>
        <v>MYR</v>
      </c>
      <c r="P2775" t="str">
        <f t="shared" si="1149"/>
        <v>NIL</v>
      </c>
      <c r="Q2775" t="str">
        <f t="shared" si="1149"/>
        <v>NIL</v>
      </c>
      <c r="R2775" t="str">
        <f t="shared" si="1139"/>
        <v>Accepted</v>
      </c>
      <c r="S2775" t="str">
        <f t="shared" si="1140"/>
        <v>Approved</v>
      </c>
      <c r="T2775" t="str">
        <f t="shared" si="1141"/>
        <v>10.20.8.188</v>
      </c>
      <c r="U2775" t="str">
        <f t="shared" si="1142"/>
        <v>AZRAD UMAR BIN SHAARI</v>
      </c>
      <c r="V2775" t="str">
        <f t="shared" si="1143"/>
        <v>FARHANA BINTI MUSTAPA</v>
      </c>
      <c r="W2775" t="str">
        <f t="shared" si="1144"/>
        <v>04-08-2020</v>
      </c>
      <c r="X2775" t="str">
        <f t="shared" si="1145"/>
        <v>RAZIMAH ANSAR AHMAD</v>
      </c>
      <c r="Y2775" t="str">
        <f t="shared" si="1146"/>
        <v>04-08-2020</v>
      </c>
      <c r="Z2775" t="str">
        <f>"COS10200804 6379"</f>
        <v>COS10200804 6379</v>
      </c>
    </row>
    <row r="2776" spans="1:26" x14ac:dyDescent="0.25">
      <c r="A2776" t="str">
        <f t="shared" si="1132"/>
        <v>04-08-2020 01:00:00</v>
      </c>
      <c r="B2776" t="str">
        <f>"0000808171"</f>
        <v>0000808171</v>
      </c>
      <c r="C2776" t="str">
        <f t="shared" si="1133"/>
        <v>0000807993</v>
      </c>
      <c r="D2776" t="str">
        <f t="shared" si="1134"/>
        <v>73185</v>
      </c>
      <c r="E2776" t="str">
        <f t="shared" si="1135"/>
        <v>KFH-OPERATIONS DEPARTMENT</v>
      </c>
      <c r="F2776" t="str">
        <f t="shared" si="1136"/>
        <v>IBG</v>
      </c>
      <c r="G2776" t="str">
        <f t="shared" si="1147"/>
        <v>Refund COSHARE 10</v>
      </c>
      <c r="H2776" s="2">
        <v>275.85000000000002</v>
      </c>
      <c r="I2776" t="str">
        <f>"NOR LAILA BINTI HASSAN"</f>
        <v>NOR LAILA BINTI HASSAN</v>
      </c>
      <c r="J2776" t="str">
        <f t="shared" si="1150"/>
        <v>MAYBANK / MAYBANK ISLAMIC</v>
      </c>
      <c r="K2776" t="str">
        <f>"103016097154"</f>
        <v>103016097154</v>
      </c>
      <c r="L2776" t="str">
        <f t="shared" si="1148"/>
        <v>04-08-2020</v>
      </c>
      <c r="M2776" t="str">
        <f t="shared" si="1148"/>
        <v>04-08-2020</v>
      </c>
      <c r="N2776" t="str">
        <f t="shared" si="1137"/>
        <v>001105018356</v>
      </c>
      <c r="O2776" t="str">
        <f t="shared" si="1138"/>
        <v>MYR</v>
      </c>
      <c r="P2776" t="str">
        <f t="shared" si="1149"/>
        <v>NIL</v>
      </c>
      <c r="Q2776" t="str">
        <f t="shared" si="1149"/>
        <v>NIL</v>
      </c>
      <c r="R2776" t="str">
        <f t="shared" si="1139"/>
        <v>Accepted</v>
      </c>
      <c r="S2776" t="str">
        <f t="shared" si="1140"/>
        <v>Approved</v>
      </c>
      <c r="T2776" t="str">
        <f t="shared" si="1141"/>
        <v>10.20.8.188</v>
      </c>
      <c r="U2776" t="str">
        <f t="shared" si="1142"/>
        <v>AZRAD UMAR BIN SHAARI</v>
      </c>
      <c r="V2776" t="str">
        <f t="shared" si="1143"/>
        <v>FARHANA BINTI MUSTAPA</v>
      </c>
      <c r="W2776" t="str">
        <f t="shared" si="1144"/>
        <v>04-08-2020</v>
      </c>
      <c r="X2776" t="str">
        <f t="shared" si="1145"/>
        <v>RAZIMAH ANSAR AHMAD</v>
      </c>
      <c r="Y2776" t="str">
        <f t="shared" si="1146"/>
        <v>04-08-2020</v>
      </c>
      <c r="Z2776" t="str">
        <f>"COS10200804 6378"</f>
        <v>COS10200804 6378</v>
      </c>
    </row>
    <row r="2777" spans="1:26" x14ac:dyDescent="0.25">
      <c r="A2777" t="str">
        <f t="shared" si="1132"/>
        <v>04-08-2020 01:00:00</v>
      </c>
      <c r="B2777" t="str">
        <f>"0000808170"</f>
        <v>0000808170</v>
      </c>
      <c r="C2777" t="str">
        <f t="shared" si="1133"/>
        <v>0000807993</v>
      </c>
      <c r="D2777" t="str">
        <f t="shared" si="1134"/>
        <v>73185</v>
      </c>
      <c r="E2777" t="str">
        <f t="shared" si="1135"/>
        <v>KFH-OPERATIONS DEPARTMENT</v>
      </c>
      <c r="F2777" t="str">
        <f t="shared" si="1136"/>
        <v>IBG</v>
      </c>
      <c r="G2777" t="str">
        <f t="shared" si="1147"/>
        <v>Refund COSHARE 10</v>
      </c>
      <c r="H2777" s="2">
        <v>107.1</v>
      </c>
      <c r="I2777" t="str">
        <f>"NOR KANIDZA BINTI HUSSAIN"</f>
        <v>NOR KANIDZA BINTI HUSSAIN</v>
      </c>
      <c r="J2777" t="str">
        <f t="shared" si="1150"/>
        <v>MAYBANK / MAYBANK ISLAMIC</v>
      </c>
      <c r="K2777" t="str">
        <f>"162188293364"</f>
        <v>162188293364</v>
      </c>
      <c r="L2777" t="str">
        <f t="shared" si="1148"/>
        <v>04-08-2020</v>
      </c>
      <c r="M2777" t="str">
        <f t="shared" si="1148"/>
        <v>04-08-2020</v>
      </c>
      <c r="N2777" t="str">
        <f t="shared" si="1137"/>
        <v>001105018356</v>
      </c>
      <c r="O2777" t="str">
        <f t="shared" si="1138"/>
        <v>MYR</v>
      </c>
      <c r="P2777" t="str">
        <f t="shared" si="1149"/>
        <v>NIL</v>
      </c>
      <c r="Q2777" t="str">
        <f t="shared" si="1149"/>
        <v>NIL</v>
      </c>
      <c r="R2777" t="str">
        <f t="shared" si="1139"/>
        <v>Accepted</v>
      </c>
      <c r="S2777" t="str">
        <f t="shared" si="1140"/>
        <v>Approved</v>
      </c>
      <c r="T2777" t="str">
        <f t="shared" si="1141"/>
        <v>10.20.8.188</v>
      </c>
      <c r="U2777" t="str">
        <f t="shared" si="1142"/>
        <v>AZRAD UMAR BIN SHAARI</v>
      </c>
      <c r="V2777" t="str">
        <f t="shared" si="1143"/>
        <v>FARHANA BINTI MUSTAPA</v>
      </c>
      <c r="W2777" t="str">
        <f t="shared" si="1144"/>
        <v>04-08-2020</v>
      </c>
      <c r="X2777" t="str">
        <f t="shared" si="1145"/>
        <v>RAZIMAH ANSAR AHMAD</v>
      </c>
      <c r="Y2777" t="str">
        <f t="shared" si="1146"/>
        <v>04-08-2020</v>
      </c>
      <c r="Z2777" t="str">
        <f>"COS10200804 6377"</f>
        <v>COS10200804 6377</v>
      </c>
    </row>
    <row r="2778" spans="1:26" x14ac:dyDescent="0.25">
      <c r="A2778" t="str">
        <f t="shared" si="1132"/>
        <v>04-08-2020 01:00:00</v>
      </c>
      <c r="B2778" t="str">
        <f>"0000808169"</f>
        <v>0000808169</v>
      </c>
      <c r="C2778" t="str">
        <f t="shared" si="1133"/>
        <v>0000807993</v>
      </c>
      <c r="D2778" t="str">
        <f t="shared" si="1134"/>
        <v>73185</v>
      </c>
      <c r="E2778" t="str">
        <f t="shared" si="1135"/>
        <v>KFH-OPERATIONS DEPARTMENT</v>
      </c>
      <c r="F2778" t="str">
        <f t="shared" si="1136"/>
        <v>IBG</v>
      </c>
      <c r="G2778" t="str">
        <f t="shared" si="1147"/>
        <v>Refund COSHARE 10</v>
      </c>
      <c r="H2778" s="2">
        <v>218.3</v>
      </c>
      <c r="I2778" t="str">
        <f>"NOR KAMIZATUN BINTI NGAH  OMAR"</f>
        <v>NOR KAMIZATUN BINTI NGAH  OMAR</v>
      </c>
      <c r="J2778" t="str">
        <f t="shared" si="1150"/>
        <v>MAYBANK / MAYBANK ISLAMIC</v>
      </c>
      <c r="K2778" t="str">
        <f>"166010002358"</f>
        <v>166010002358</v>
      </c>
      <c r="L2778" t="str">
        <f t="shared" si="1148"/>
        <v>04-08-2020</v>
      </c>
      <c r="M2778" t="str">
        <f t="shared" si="1148"/>
        <v>04-08-2020</v>
      </c>
      <c r="N2778" t="str">
        <f t="shared" si="1137"/>
        <v>001105018356</v>
      </c>
      <c r="O2778" t="str">
        <f t="shared" si="1138"/>
        <v>MYR</v>
      </c>
      <c r="P2778" t="str">
        <f t="shared" si="1149"/>
        <v>NIL</v>
      </c>
      <c r="Q2778" t="str">
        <f t="shared" si="1149"/>
        <v>NIL</v>
      </c>
      <c r="R2778" t="str">
        <f t="shared" si="1139"/>
        <v>Accepted</v>
      </c>
      <c r="S2778" t="str">
        <f t="shared" si="1140"/>
        <v>Approved</v>
      </c>
      <c r="T2778" t="str">
        <f t="shared" si="1141"/>
        <v>10.20.8.188</v>
      </c>
      <c r="U2778" t="str">
        <f t="shared" si="1142"/>
        <v>AZRAD UMAR BIN SHAARI</v>
      </c>
      <c r="V2778" t="str">
        <f t="shared" si="1143"/>
        <v>FARHANA BINTI MUSTAPA</v>
      </c>
      <c r="W2778" t="str">
        <f t="shared" si="1144"/>
        <v>04-08-2020</v>
      </c>
      <c r="X2778" t="str">
        <f t="shared" si="1145"/>
        <v>RAZIMAH ANSAR AHMAD</v>
      </c>
      <c r="Y2778" t="str">
        <f t="shared" si="1146"/>
        <v>04-08-2020</v>
      </c>
      <c r="Z2778" t="str">
        <f>"COS10200804 6376"</f>
        <v>COS10200804 6376</v>
      </c>
    </row>
    <row r="2779" spans="1:26" x14ac:dyDescent="0.25">
      <c r="A2779" t="str">
        <f t="shared" si="1132"/>
        <v>04-08-2020 01:00:00</v>
      </c>
      <c r="B2779" t="str">
        <f>"0000808168"</f>
        <v>0000808168</v>
      </c>
      <c r="C2779" t="str">
        <f t="shared" si="1133"/>
        <v>0000807993</v>
      </c>
      <c r="D2779" t="str">
        <f t="shared" si="1134"/>
        <v>73185</v>
      </c>
      <c r="E2779" t="str">
        <f t="shared" si="1135"/>
        <v>KFH-OPERATIONS DEPARTMENT</v>
      </c>
      <c r="F2779" t="str">
        <f t="shared" si="1136"/>
        <v>IBG</v>
      </c>
      <c r="G2779" t="str">
        <f t="shared" si="1147"/>
        <v>Refund COSHARE 10</v>
      </c>
      <c r="H2779" s="2">
        <v>344.2</v>
      </c>
      <c r="I2779" t="str">
        <f>"NOR KAMAR BINTI MOHD ARSHAD"</f>
        <v>NOR KAMAR BINTI MOHD ARSHAD</v>
      </c>
      <c r="J2779" t="str">
        <f t="shared" si="1150"/>
        <v>MAYBANK / MAYBANK ISLAMIC</v>
      </c>
      <c r="K2779" t="str">
        <f>"162067606256"</f>
        <v>162067606256</v>
      </c>
      <c r="L2779" t="str">
        <f t="shared" si="1148"/>
        <v>04-08-2020</v>
      </c>
      <c r="M2779" t="str">
        <f t="shared" si="1148"/>
        <v>04-08-2020</v>
      </c>
      <c r="N2779" t="str">
        <f t="shared" si="1137"/>
        <v>001105018356</v>
      </c>
      <c r="O2779" t="str">
        <f t="shared" si="1138"/>
        <v>MYR</v>
      </c>
      <c r="P2779" t="str">
        <f t="shared" si="1149"/>
        <v>NIL</v>
      </c>
      <c r="Q2779" t="str">
        <f t="shared" si="1149"/>
        <v>NIL</v>
      </c>
      <c r="R2779" t="str">
        <f t="shared" si="1139"/>
        <v>Accepted</v>
      </c>
      <c r="S2779" t="str">
        <f t="shared" si="1140"/>
        <v>Approved</v>
      </c>
      <c r="T2779" t="str">
        <f t="shared" si="1141"/>
        <v>10.20.8.188</v>
      </c>
      <c r="U2779" t="str">
        <f t="shared" si="1142"/>
        <v>AZRAD UMAR BIN SHAARI</v>
      </c>
      <c r="V2779" t="str">
        <f t="shared" si="1143"/>
        <v>FARHANA BINTI MUSTAPA</v>
      </c>
      <c r="W2779" t="str">
        <f t="shared" si="1144"/>
        <v>04-08-2020</v>
      </c>
      <c r="X2779" t="str">
        <f t="shared" si="1145"/>
        <v>RAZIMAH ANSAR AHMAD</v>
      </c>
      <c r="Y2779" t="str">
        <f t="shared" si="1146"/>
        <v>04-08-2020</v>
      </c>
      <c r="Z2779" t="str">
        <f>"COS10200804 6375"</f>
        <v>COS10200804 6375</v>
      </c>
    </row>
    <row r="2780" spans="1:26" x14ac:dyDescent="0.25">
      <c r="A2780" t="str">
        <f t="shared" si="1132"/>
        <v>04-08-2020 01:00:00</v>
      </c>
      <c r="B2780" t="str">
        <f>"0000808167"</f>
        <v>0000808167</v>
      </c>
      <c r="C2780" t="str">
        <f t="shared" si="1133"/>
        <v>0000807993</v>
      </c>
      <c r="D2780" t="str">
        <f t="shared" si="1134"/>
        <v>73185</v>
      </c>
      <c r="E2780" t="str">
        <f t="shared" si="1135"/>
        <v>KFH-OPERATIONS DEPARTMENT</v>
      </c>
      <c r="F2780" t="str">
        <f t="shared" si="1136"/>
        <v>IBG</v>
      </c>
      <c r="G2780" t="str">
        <f t="shared" si="1147"/>
        <v>Refund COSHARE 10</v>
      </c>
      <c r="H2780" s="2">
        <v>2141.1999999999998</v>
      </c>
      <c r="I2780" t="str">
        <f>"NOR JIHAH BINTI ABD AZIZ"</f>
        <v>NOR JIHAH BINTI ABD AZIZ</v>
      </c>
      <c r="J2780" t="str">
        <f t="shared" si="1150"/>
        <v>MAYBANK / MAYBANK ISLAMIC</v>
      </c>
      <c r="K2780" t="str">
        <f>"164016940880"</f>
        <v>164016940880</v>
      </c>
      <c r="L2780" t="str">
        <f t="shared" si="1148"/>
        <v>04-08-2020</v>
      </c>
      <c r="M2780" t="str">
        <f t="shared" si="1148"/>
        <v>04-08-2020</v>
      </c>
      <c r="N2780" t="str">
        <f t="shared" si="1137"/>
        <v>001105018356</v>
      </c>
      <c r="O2780" t="str">
        <f t="shared" si="1138"/>
        <v>MYR</v>
      </c>
      <c r="P2780" t="str">
        <f t="shared" si="1149"/>
        <v>NIL</v>
      </c>
      <c r="Q2780" t="str">
        <f t="shared" si="1149"/>
        <v>NIL</v>
      </c>
      <c r="R2780" t="str">
        <f t="shared" si="1139"/>
        <v>Accepted</v>
      </c>
      <c r="S2780" t="str">
        <f t="shared" si="1140"/>
        <v>Approved</v>
      </c>
      <c r="T2780" t="str">
        <f t="shared" si="1141"/>
        <v>10.20.8.188</v>
      </c>
      <c r="U2780" t="str">
        <f t="shared" si="1142"/>
        <v>AZRAD UMAR BIN SHAARI</v>
      </c>
      <c r="V2780" t="str">
        <f t="shared" si="1143"/>
        <v>FARHANA BINTI MUSTAPA</v>
      </c>
      <c r="W2780" t="str">
        <f t="shared" si="1144"/>
        <v>04-08-2020</v>
      </c>
      <c r="X2780" t="str">
        <f t="shared" si="1145"/>
        <v>RAZIMAH ANSAR AHMAD</v>
      </c>
      <c r="Y2780" t="str">
        <f t="shared" si="1146"/>
        <v>04-08-2020</v>
      </c>
      <c r="Z2780" t="str">
        <f>"COS10200804 6374"</f>
        <v>COS10200804 6374</v>
      </c>
    </row>
    <row r="2781" spans="1:26" x14ac:dyDescent="0.25">
      <c r="A2781" t="str">
        <f t="shared" si="1132"/>
        <v>04-08-2020 01:00:00</v>
      </c>
      <c r="B2781" t="str">
        <f>"0000808166"</f>
        <v>0000808166</v>
      </c>
      <c r="C2781" t="str">
        <f t="shared" si="1133"/>
        <v>0000807993</v>
      </c>
      <c r="D2781" t="str">
        <f t="shared" si="1134"/>
        <v>73185</v>
      </c>
      <c r="E2781" t="str">
        <f t="shared" si="1135"/>
        <v>KFH-OPERATIONS DEPARTMENT</v>
      </c>
      <c r="F2781" t="str">
        <f t="shared" si="1136"/>
        <v>IBG</v>
      </c>
      <c r="G2781" t="str">
        <f t="shared" si="1147"/>
        <v>Refund COSHARE 10</v>
      </c>
      <c r="H2781" s="2">
        <v>1443.95</v>
      </c>
      <c r="I2781" t="str">
        <f>"NOR IZZATUL BINTI MUHAMAD NOR"</f>
        <v>NOR IZZATUL BINTI MUHAMAD NOR</v>
      </c>
      <c r="J2781" t="str">
        <f t="shared" si="1150"/>
        <v>MAYBANK / MAYBANK ISLAMIC</v>
      </c>
      <c r="K2781" t="str">
        <f>"108299034353"</f>
        <v>108299034353</v>
      </c>
      <c r="L2781" t="str">
        <f t="shared" si="1148"/>
        <v>04-08-2020</v>
      </c>
      <c r="M2781" t="str">
        <f t="shared" si="1148"/>
        <v>04-08-2020</v>
      </c>
      <c r="N2781" t="str">
        <f t="shared" si="1137"/>
        <v>001105018356</v>
      </c>
      <c r="O2781" t="str">
        <f t="shared" si="1138"/>
        <v>MYR</v>
      </c>
      <c r="P2781" t="str">
        <f t="shared" si="1149"/>
        <v>NIL</v>
      </c>
      <c r="Q2781" t="str">
        <f t="shared" si="1149"/>
        <v>NIL</v>
      </c>
      <c r="R2781" t="str">
        <f t="shared" si="1139"/>
        <v>Accepted</v>
      </c>
      <c r="S2781" t="str">
        <f t="shared" si="1140"/>
        <v>Approved</v>
      </c>
      <c r="T2781" t="str">
        <f t="shared" si="1141"/>
        <v>10.20.8.188</v>
      </c>
      <c r="U2781" t="str">
        <f t="shared" si="1142"/>
        <v>AZRAD UMAR BIN SHAARI</v>
      </c>
      <c r="V2781" t="str">
        <f t="shared" si="1143"/>
        <v>FARHANA BINTI MUSTAPA</v>
      </c>
      <c r="W2781" t="str">
        <f t="shared" si="1144"/>
        <v>04-08-2020</v>
      </c>
      <c r="X2781" t="str">
        <f t="shared" si="1145"/>
        <v>RAZIMAH ANSAR AHMAD</v>
      </c>
      <c r="Y2781" t="str">
        <f t="shared" si="1146"/>
        <v>04-08-2020</v>
      </c>
      <c r="Z2781" t="str">
        <f>"COS10200804 6373"</f>
        <v>COS10200804 6373</v>
      </c>
    </row>
    <row r="2782" spans="1:26" x14ac:dyDescent="0.25">
      <c r="A2782" t="str">
        <f t="shared" si="1132"/>
        <v>04-08-2020 01:00:00</v>
      </c>
      <c r="B2782" t="str">
        <f>"0000808165"</f>
        <v>0000808165</v>
      </c>
      <c r="C2782" t="str">
        <f t="shared" si="1133"/>
        <v>0000807993</v>
      </c>
      <c r="D2782" t="str">
        <f t="shared" si="1134"/>
        <v>73185</v>
      </c>
      <c r="E2782" t="str">
        <f t="shared" si="1135"/>
        <v>KFH-OPERATIONS DEPARTMENT</v>
      </c>
      <c r="F2782" t="str">
        <f t="shared" si="1136"/>
        <v>IBG</v>
      </c>
      <c r="G2782" t="str">
        <f t="shared" si="1147"/>
        <v>Refund COSHARE 10</v>
      </c>
      <c r="H2782" s="2">
        <v>755.55</v>
      </c>
      <c r="I2782" t="str">
        <f>"NOR INTAN SAFINAZ BINTI ABDUL  TALIB"</f>
        <v>NOR INTAN SAFINAZ BINTI ABDUL  TALIB</v>
      </c>
      <c r="J2782" t="str">
        <f t="shared" si="1150"/>
        <v>MAYBANK / MAYBANK ISLAMIC</v>
      </c>
      <c r="K2782" t="str">
        <f>"114057927615"</f>
        <v>114057927615</v>
      </c>
      <c r="L2782" t="str">
        <f t="shared" si="1148"/>
        <v>04-08-2020</v>
      </c>
      <c r="M2782" t="str">
        <f t="shared" si="1148"/>
        <v>04-08-2020</v>
      </c>
      <c r="N2782" t="str">
        <f t="shared" si="1137"/>
        <v>001105018356</v>
      </c>
      <c r="O2782" t="str">
        <f t="shared" si="1138"/>
        <v>MYR</v>
      </c>
      <c r="P2782" t="str">
        <f t="shared" si="1149"/>
        <v>NIL</v>
      </c>
      <c r="Q2782" t="str">
        <f t="shared" si="1149"/>
        <v>NIL</v>
      </c>
      <c r="R2782" t="str">
        <f t="shared" si="1139"/>
        <v>Accepted</v>
      </c>
      <c r="S2782" t="str">
        <f t="shared" si="1140"/>
        <v>Approved</v>
      </c>
      <c r="T2782" t="str">
        <f t="shared" si="1141"/>
        <v>10.20.8.188</v>
      </c>
      <c r="U2782" t="str">
        <f t="shared" si="1142"/>
        <v>AZRAD UMAR BIN SHAARI</v>
      </c>
      <c r="V2782" t="str">
        <f t="shared" si="1143"/>
        <v>FARHANA BINTI MUSTAPA</v>
      </c>
      <c r="W2782" t="str">
        <f t="shared" si="1144"/>
        <v>04-08-2020</v>
      </c>
      <c r="X2782" t="str">
        <f t="shared" si="1145"/>
        <v>RAZIMAH ANSAR AHMAD</v>
      </c>
      <c r="Y2782" t="str">
        <f t="shared" si="1146"/>
        <v>04-08-2020</v>
      </c>
      <c r="Z2782" t="str">
        <f>"COS10200804 6372"</f>
        <v>COS10200804 6372</v>
      </c>
    </row>
    <row r="2783" spans="1:26" x14ac:dyDescent="0.25">
      <c r="A2783" t="str">
        <f t="shared" si="1132"/>
        <v>04-08-2020 01:00:00</v>
      </c>
      <c r="B2783" t="str">
        <f>"0000808164"</f>
        <v>0000808164</v>
      </c>
      <c r="C2783" t="str">
        <f t="shared" si="1133"/>
        <v>0000807993</v>
      </c>
      <c r="D2783" t="str">
        <f t="shared" si="1134"/>
        <v>73185</v>
      </c>
      <c r="E2783" t="str">
        <f t="shared" si="1135"/>
        <v>KFH-OPERATIONS DEPARTMENT</v>
      </c>
      <c r="F2783" t="str">
        <f t="shared" si="1136"/>
        <v>IBG</v>
      </c>
      <c r="G2783" t="str">
        <f t="shared" si="1147"/>
        <v>Refund COSHARE 10</v>
      </c>
      <c r="H2783" s="2">
        <v>168</v>
      </c>
      <c r="I2783" t="str">
        <f>"NOR HISHAM BIN MOHAMED"</f>
        <v>NOR HISHAM BIN MOHAMED</v>
      </c>
      <c r="J2783" t="str">
        <f t="shared" si="1150"/>
        <v>MAYBANK / MAYBANK ISLAMIC</v>
      </c>
      <c r="K2783" t="str">
        <f>"156114092964"</f>
        <v>156114092964</v>
      </c>
      <c r="L2783" t="str">
        <f t="shared" si="1148"/>
        <v>04-08-2020</v>
      </c>
      <c r="M2783" t="str">
        <f t="shared" si="1148"/>
        <v>04-08-2020</v>
      </c>
      <c r="N2783" t="str">
        <f t="shared" si="1137"/>
        <v>001105018356</v>
      </c>
      <c r="O2783" t="str">
        <f t="shared" si="1138"/>
        <v>MYR</v>
      </c>
      <c r="P2783" t="str">
        <f t="shared" si="1149"/>
        <v>NIL</v>
      </c>
      <c r="Q2783" t="str">
        <f t="shared" si="1149"/>
        <v>NIL</v>
      </c>
      <c r="R2783" t="str">
        <f t="shared" si="1139"/>
        <v>Accepted</v>
      </c>
      <c r="S2783" t="str">
        <f t="shared" si="1140"/>
        <v>Approved</v>
      </c>
      <c r="T2783" t="str">
        <f t="shared" si="1141"/>
        <v>10.20.8.188</v>
      </c>
      <c r="U2783" t="str">
        <f t="shared" si="1142"/>
        <v>AZRAD UMAR BIN SHAARI</v>
      </c>
      <c r="V2783" t="str">
        <f t="shared" si="1143"/>
        <v>FARHANA BINTI MUSTAPA</v>
      </c>
      <c r="W2783" t="str">
        <f t="shared" si="1144"/>
        <v>04-08-2020</v>
      </c>
      <c r="X2783" t="str">
        <f t="shared" si="1145"/>
        <v>RAZIMAH ANSAR AHMAD</v>
      </c>
      <c r="Y2783" t="str">
        <f t="shared" si="1146"/>
        <v>04-08-2020</v>
      </c>
      <c r="Z2783" t="str">
        <f>"COS10200804 6371"</f>
        <v>COS10200804 6371</v>
      </c>
    </row>
    <row r="2784" spans="1:26" x14ac:dyDescent="0.25">
      <c r="A2784" t="str">
        <f t="shared" si="1132"/>
        <v>04-08-2020 01:00:00</v>
      </c>
      <c r="B2784" t="str">
        <f>"0000808163"</f>
        <v>0000808163</v>
      </c>
      <c r="C2784" t="str">
        <f t="shared" si="1133"/>
        <v>0000807993</v>
      </c>
      <c r="D2784" t="str">
        <f t="shared" si="1134"/>
        <v>73185</v>
      </c>
      <c r="E2784" t="str">
        <f t="shared" si="1135"/>
        <v>KFH-OPERATIONS DEPARTMENT</v>
      </c>
      <c r="F2784" t="str">
        <f t="shared" si="1136"/>
        <v>IBG</v>
      </c>
      <c r="G2784" t="str">
        <f t="shared" si="1147"/>
        <v>Refund COSHARE 10</v>
      </c>
      <c r="H2784" s="2">
        <v>109.15</v>
      </c>
      <c r="I2784" t="str">
        <f>"NOR HIDAYAH BINTI YAAKOP"</f>
        <v>NOR HIDAYAH BINTI YAAKOP</v>
      </c>
      <c r="J2784" t="str">
        <f t="shared" si="1150"/>
        <v>MAYBANK / MAYBANK ISLAMIC</v>
      </c>
      <c r="K2784" t="str">
        <f>"104022871248"</f>
        <v>104022871248</v>
      </c>
      <c r="L2784" t="str">
        <f t="shared" si="1148"/>
        <v>04-08-2020</v>
      </c>
      <c r="M2784" t="str">
        <f t="shared" si="1148"/>
        <v>04-08-2020</v>
      </c>
      <c r="N2784" t="str">
        <f t="shared" si="1137"/>
        <v>001105018356</v>
      </c>
      <c r="O2784" t="str">
        <f t="shared" si="1138"/>
        <v>MYR</v>
      </c>
      <c r="P2784" t="str">
        <f t="shared" si="1149"/>
        <v>NIL</v>
      </c>
      <c r="Q2784" t="str">
        <f t="shared" si="1149"/>
        <v>NIL</v>
      </c>
      <c r="R2784" t="str">
        <f t="shared" si="1139"/>
        <v>Accepted</v>
      </c>
      <c r="S2784" t="str">
        <f t="shared" si="1140"/>
        <v>Approved</v>
      </c>
      <c r="T2784" t="str">
        <f t="shared" si="1141"/>
        <v>10.20.8.188</v>
      </c>
      <c r="U2784" t="str">
        <f t="shared" si="1142"/>
        <v>AZRAD UMAR BIN SHAARI</v>
      </c>
      <c r="V2784" t="str">
        <f t="shared" si="1143"/>
        <v>FARHANA BINTI MUSTAPA</v>
      </c>
      <c r="W2784" t="str">
        <f t="shared" si="1144"/>
        <v>04-08-2020</v>
      </c>
      <c r="X2784" t="str">
        <f t="shared" si="1145"/>
        <v>RAZIMAH ANSAR AHMAD</v>
      </c>
      <c r="Y2784" t="str">
        <f t="shared" si="1146"/>
        <v>04-08-2020</v>
      </c>
      <c r="Z2784" t="str">
        <f>"COS10200804 6370"</f>
        <v>COS10200804 6370</v>
      </c>
    </row>
    <row r="2785" spans="1:26" x14ac:dyDescent="0.25">
      <c r="A2785" t="str">
        <f t="shared" si="1132"/>
        <v>04-08-2020 01:00:00</v>
      </c>
      <c r="B2785" t="str">
        <f>"0000808162"</f>
        <v>0000808162</v>
      </c>
      <c r="C2785" t="str">
        <f t="shared" si="1133"/>
        <v>0000807993</v>
      </c>
      <c r="D2785" t="str">
        <f t="shared" si="1134"/>
        <v>73185</v>
      </c>
      <c r="E2785" t="str">
        <f t="shared" si="1135"/>
        <v>KFH-OPERATIONS DEPARTMENT</v>
      </c>
      <c r="F2785" t="str">
        <f t="shared" si="1136"/>
        <v>IBG</v>
      </c>
      <c r="G2785" t="str">
        <f t="shared" si="1147"/>
        <v>Refund COSHARE 10</v>
      </c>
      <c r="H2785" s="2">
        <v>1679</v>
      </c>
      <c r="I2785" t="str">
        <f>"NOR HAZIMAH BINTI HAZMI"</f>
        <v>NOR HAZIMAH BINTI HAZMI</v>
      </c>
      <c r="J2785" t="str">
        <f t="shared" si="1150"/>
        <v>MAYBANK / MAYBANK ISLAMIC</v>
      </c>
      <c r="K2785" t="str">
        <f>"111114119503"</f>
        <v>111114119503</v>
      </c>
      <c r="L2785" t="str">
        <f t="shared" si="1148"/>
        <v>04-08-2020</v>
      </c>
      <c r="M2785" t="str">
        <f t="shared" si="1148"/>
        <v>04-08-2020</v>
      </c>
      <c r="N2785" t="str">
        <f t="shared" si="1137"/>
        <v>001105018356</v>
      </c>
      <c r="O2785" t="str">
        <f t="shared" si="1138"/>
        <v>MYR</v>
      </c>
      <c r="P2785" t="str">
        <f t="shared" si="1149"/>
        <v>NIL</v>
      </c>
      <c r="Q2785" t="str">
        <f t="shared" si="1149"/>
        <v>NIL</v>
      </c>
      <c r="R2785" t="str">
        <f t="shared" si="1139"/>
        <v>Accepted</v>
      </c>
      <c r="S2785" t="str">
        <f t="shared" si="1140"/>
        <v>Approved</v>
      </c>
      <c r="T2785" t="str">
        <f t="shared" si="1141"/>
        <v>10.20.8.188</v>
      </c>
      <c r="U2785" t="str">
        <f t="shared" si="1142"/>
        <v>AZRAD UMAR BIN SHAARI</v>
      </c>
      <c r="V2785" t="str">
        <f t="shared" si="1143"/>
        <v>FARHANA BINTI MUSTAPA</v>
      </c>
      <c r="W2785" t="str">
        <f t="shared" si="1144"/>
        <v>04-08-2020</v>
      </c>
      <c r="X2785" t="str">
        <f t="shared" si="1145"/>
        <v>RAZIMAH ANSAR AHMAD</v>
      </c>
      <c r="Y2785" t="str">
        <f t="shared" si="1146"/>
        <v>04-08-2020</v>
      </c>
      <c r="Z2785" t="str">
        <f>"COS10200804 6369"</f>
        <v>COS10200804 6369</v>
      </c>
    </row>
    <row r="2786" spans="1:26" x14ac:dyDescent="0.25">
      <c r="A2786" t="str">
        <f t="shared" ref="A2786:A2817" si="1151">"04-08-2020 01:00:00"</f>
        <v>04-08-2020 01:00:00</v>
      </c>
      <c r="B2786" t="str">
        <f>"0000808161"</f>
        <v>0000808161</v>
      </c>
      <c r="C2786" t="str">
        <f t="shared" ref="C2786:C2817" si="1152">"0000807993"</f>
        <v>0000807993</v>
      </c>
      <c r="D2786" t="str">
        <f t="shared" si="1134"/>
        <v>73185</v>
      </c>
      <c r="E2786" t="str">
        <f t="shared" si="1135"/>
        <v>KFH-OPERATIONS DEPARTMENT</v>
      </c>
      <c r="F2786" t="str">
        <f t="shared" si="1136"/>
        <v>IBG</v>
      </c>
      <c r="G2786" t="str">
        <f t="shared" si="1147"/>
        <v>Refund COSHARE 10</v>
      </c>
      <c r="H2786" s="2">
        <v>56.8</v>
      </c>
      <c r="I2786" t="str">
        <f>"NOR HAZILAH BINTI AB RAHMIAN"</f>
        <v>NOR HAZILAH BINTI AB RAHMIAN</v>
      </c>
      <c r="J2786" t="str">
        <f t="shared" si="1150"/>
        <v>MAYBANK / MAYBANK ISLAMIC</v>
      </c>
      <c r="K2786" t="str">
        <f>"101244380481"</f>
        <v>101244380481</v>
      </c>
      <c r="L2786" t="str">
        <f t="shared" si="1148"/>
        <v>04-08-2020</v>
      </c>
      <c r="M2786" t="str">
        <f t="shared" si="1148"/>
        <v>04-08-2020</v>
      </c>
      <c r="N2786" t="str">
        <f t="shared" si="1137"/>
        <v>001105018356</v>
      </c>
      <c r="O2786" t="str">
        <f t="shared" si="1138"/>
        <v>MYR</v>
      </c>
      <c r="P2786" t="str">
        <f t="shared" si="1149"/>
        <v>NIL</v>
      </c>
      <c r="Q2786" t="str">
        <f t="shared" si="1149"/>
        <v>NIL</v>
      </c>
      <c r="R2786" t="str">
        <f t="shared" si="1139"/>
        <v>Accepted</v>
      </c>
      <c r="S2786" t="str">
        <f t="shared" si="1140"/>
        <v>Approved</v>
      </c>
      <c r="T2786" t="str">
        <f t="shared" si="1141"/>
        <v>10.20.8.188</v>
      </c>
      <c r="U2786" t="str">
        <f t="shared" si="1142"/>
        <v>AZRAD UMAR BIN SHAARI</v>
      </c>
      <c r="V2786" t="str">
        <f t="shared" si="1143"/>
        <v>FARHANA BINTI MUSTAPA</v>
      </c>
      <c r="W2786" t="str">
        <f t="shared" si="1144"/>
        <v>04-08-2020</v>
      </c>
      <c r="X2786" t="str">
        <f t="shared" si="1145"/>
        <v>RAZIMAH ANSAR AHMAD</v>
      </c>
      <c r="Y2786" t="str">
        <f t="shared" si="1146"/>
        <v>04-08-2020</v>
      </c>
      <c r="Z2786" t="str">
        <f>"COS10200804 6368"</f>
        <v>COS10200804 6368</v>
      </c>
    </row>
    <row r="2787" spans="1:26" x14ac:dyDescent="0.25">
      <c r="A2787" t="str">
        <f t="shared" si="1151"/>
        <v>04-08-2020 01:00:00</v>
      </c>
      <c r="B2787" t="str">
        <f>"0000808160"</f>
        <v>0000808160</v>
      </c>
      <c r="C2787" t="str">
        <f t="shared" si="1152"/>
        <v>0000807993</v>
      </c>
      <c r="D2787" t="str">
        <f t="shared" si="1134"/>
        <v>73185</v>
      </c>
      <c r="E2787" t="str">
        <f t="shared" si="1135"/>
        <v>KFH-OPERATIONS DEPARTMENT</v>
      </c>
      <c r="F2787" t="str">
        <f t="shared" si="1136"/>
        <v>IBG</v>
      </c>
      <c r="G2787" t="str">
        <f t="shared" si="1147"/>
        <v>Refund COSHARE 10</v>
      </c>
      <c r="H2787" s="2">
        <v>755.55</v>
      </c>
      <c r="I2787" t="str">
        <f>"NOR HAYATI BINTI SALIM"</f>
        <v>NOR HAYATI BINTI SALIM</v>
      </c>
      <c r="J2787" t="str">
        <f t="shared" si="1150"/>
        <v>MAYBANK / MAYBANK ISLAMIC</v>
      </c>
      <c r="K2787" t="str">
        <f>"111104087279"</f>
        <v>111104087279</v>
      </c>
      <c r="L2787" t="str">
        <f t="shared" ref="L2787:M2806" si="1153">"04-08-2020"</f>
        <v>04-08-2020</v>
      </c>
      <c r="M2787" t="str">
        <f t="shared" si="1153"/>
        <v>04-08-2020</v>
      </c>
      <c r="N2787" t="str">
        <f t="shared" si="1137"/>
        <v>001105018356</v>
      </c>
      <c r="O2787" t="str">
        <f t="shared" si="1138"/>
        <v>MYR</v>
      </c>
      <c r="P2787" t="str">
        <f t="shared" ref="P2787:Q2806" si="1154">"NIL"</f>
        <v>NIL</v>
      </c>
      <c r="Q2787" t="str">
        <f t="shared" si="1154"/>
        <v>NIL</v>
      </c>
      <c r="R2787" t="str">
        <f t="shared" si="1139"/>
        <v>Accepted</v>
      </c>
      <c r="S2787" t="str">
        <f t="shared" si="1140"/>
        <v>Approved</v>
      </c>
      <c r="T2787" t="str">
        <f t="shared" si="1141"/>
        <v>10.20.8.188</v>
      </c>
      <c r="U2787" t="str">
        <f t="shared" si="1142"/>
        <v>AZRAD UMAR BIN SHAARI</v>
      </c>
      <c r="V2787" t="str">
        <f t="shared" si="1143"/>
        <v>FARHANA BINTI MUSTAPA</v>
      </c>
      <c r="W2787" t="str">
        <f t="shared" si="1144"/>
        <v>04-08-2020</v>
      </c>
      <c r="X2787" t="str">
        <f t="shared" si="1145"/>
        <v>RAZIMAH ANSAR AHMAD</v>
      </c>
      <c r="Y2787" t="str">
        <f t="shared" si="1146"/>
        <v>04-08-2020</v>
      </c>
      <c r="Z2787" t="str">
        <f>"COS10200804 6367"</f>
        <v>COS10200804 6367</v>
      </c>
    </row>
    <row r="2788" spans="1:26" x14ac:dyDescent="0.25">
      <c r="A2788" t="str">
        <f t="shared" si="1151"/>
        <v>04-08-2020 01:00:00</v>
      </c>
      <c r="B2788" t="str">
        <f>"0000808159"</f>
        <v>0000808159</v>
      </c>
      <c r="C2788" t="str">
        <f t="shared" si="1152"/>
        <v>0000807993</v>
      </c>
      <c r="D2788" t="str">
        <f t="shared" si="1134"/>
        <v>73185</v>
      </c>
      <c r="E2788" t="str">
        <f t="shared" si="1135"/>
        <v>KFH-OPERATIONS DEPARTMENT</v>
      </c>
      <c r="F2788" t="str">
        <f t="shared" si="1136"/>
        <v>IBG</v>
      </c>
      <c r="G2788" t="str">
        <f t="shared" si="1147"/>
        <v>Refund COSHARE 10</v>
      </c>
      <c r="H2788" s="2">
        <v>457.35</v>
      </c>
      <c r="I2788" t="str">
        <f>"NOR HAYATI BINTI MOKHTAR"</f>
        <v>NOR HAYATI BINTI MOKHTAR</v>
      </c>
      <c r="J2788" t="str">
        <f t="shared" si="1150"/>
        <v>MAYBANK / MAYBANK ISLAMIC</v>
      </c>
      <c r="K2788" t="str">
        <f>"102102121419"</f>
        <v>102102121419</v>
      </c>
      <c r="L2788" t="str">
        <f t="shared" si="1153"/>
        <v>04-08-2020</v>
      </c>
      <c r="M2788" t="str">
        <f t="shared" si="1153"/>
        <v>04-08-2020</v>
      </c>
      <c r="N2788" t="str">
        <f t="shared" si="1137"/>
        <v>001105018356</v>
      </c>
      <c r="O2788" t="str">
        <f t="shared" si="1138"/>
        <v>MYR</v>
      </c>
      <c r="P2788" t="str">
        <f t="shared" si="1154"/>
        <v>NIL</v>
      </c>
      <c r="Q2788" t="str">
        <f t="shared" si="1154"/>
        <v>NIL</v>
      </c>
      <c r="R2788" t="str">
        <f t="shared" si="1139"/>
        <v>Accepted</v>
      </c>
      <c r="S2788" t="str">
        <f t="shared" si="1140"/>
        <v>Approved</v>
      </c>
      <c r="T2788" t="str">
        <f t="shared" si="1141"/>
        <v>10.20.8.188</v>
      </c>
      <c r="U2788" t="str">
        <f t="shared" si="1142"/>
        <v>AZRAD UMAR BIN SHAARI</v>
      </c>
      <c r="V2788" t="str">
        <f t="shared" si="1143"/>
        <v>FARHANA BINTI MUSTAPA</v>
      </c>
      <c r="W2788" t="str">
        <f t="shared" si="1144"/>
        <v>04-08-2020</v>
      </c>
      <c r="X2788" t="str">
        <f t="shared" si="1145"/>
        <v>RAZIMAH ANSAR AHMAD</v>
      </c>
      <c r="Y2788" t="str">
        <f t="shared" si="1146"/>
        <v>04-08-2020</v>
      </c>
      <c r="Z2788" t="str">
        <f>"COS10200804 6366"</f>
        <v>COS10200804 6366</v>
      </c>
    </row>
    <row r="2789" spans="1:26" x14ac:dyDescent="0.25">
      <c r="A2789" t="str">
        <f t="shared" si="1151"/>
        <v>04-08-2020 01:00:00</v>
      </c>
      <c r="B2789" t="str">
        <f>"0000808158"</f>
        <v>0000808158</v>
      </c>
      <c r="C2789" t="str">
        <f t="shared" si="1152"/>
        <v>0000807993</v>
      </c>
      <c r="D2789" t="str">
        <f t="shared" si="1134"/>
        <v>73185</v>
      </c>
      <c r="E2789" t="str">
        <f t="shared" si="1135"/>
        <v>KFH-OPERATIONS DEPARTMENT</v>
      </c>
      <c r="F2789" t="str">
        <f t="shared" si="1136"/>
        <v>IBG</v>
      </c>
      <c r="G2789" t="str">
        <f t="shared" si="1147"/>
        <v>Refund COSHARE 10</v>
      </c>
      <c r="H2789" s="2">
        <v>457.35</v>
      </c>
      <c r="I2789" t="str">
        <f>"NOR HAYATI BINTI MOKHTAR"</f>
        <v>NOR HAYATI BINTI MOKHTAR</v>
      </c>
      <c r="J2789" t="str">
        <f t="shared" si="1150"/>
        <v>MAYBANK / MAYBANK ISLAMIC</v>
      </c>
      <c r="K2789" t="str">
        <f>"102102121419"</f>
        <v>102102121419</v>
      </c>
      <c r="L2789" t="str">
        <f t="shared" si="1153"/>
        <v>04-08-2020</v>
      </c>
      <c r="M2789" t="str">
        <f t="shared" si="1153"/>
        <v>04-08-2020</v>
      </c>
      <c r="N2789" t="str">
        <f t="shared" si="1137"/>
        <v>001105018356</v>
      </c>
      <c r="O2789" t="str">
        <f t="shared" si="1138"/>
        <v>MYR</v>
      </c>
      <c r="P2789" t="str">
        <f t="shared" si="1154"/>
        <v>NIL</v>
      </c>
      <c r="Q2789" t="str">
        <f t="shared" si="1154"/>
        <v>NIL</v>
      </c>
      <c r="R2789" t="str">
        <f t="shared" si="1139"/>
        <v>Accepted</v>
      </c>
      <c r="S2789" t="str">
        <f t="shared" si="1140"/>
        <v>Approved</v>
      </c>
      <c r="T2789" t="str">
        <f t="shared" si="1141"/>
        <v>10.20.8.188</v>
      </c>
      <c r="U2789" t="str">
        <f t="shared" si="1142"/>
        <v>AZRAD UMAR BIN SHAARI</v>
      </c>
      <c r="V2789" t="str">
        <f t="shared" si="1143"/>
        <v>FARHANA BINTI MUSTAPA</v>
      </c>
      <c r="W2789" t="str">
        <f t="shared" si="1144"/>
        <v>04-08-2020</v>
      </c>
      <c r="X2789" t="str">
        <f t="shared" si="1145"/>
        <v>RAZIMAH ANSAR AHMAD</v>
      </c>
      <c r="Y2789" t="str">
        <f t="shared" si="1146"/>
        <v>04-08-2020</v>
      </c>
      <c r="Z2789" t="str">
        <f>"COS10200804 6365"</f>
        <v>COS10200804 6365</v>
      </c>
    </row>
    <row r="2790" spans="1:26" x14ac:dyDescent="0.25">
      <c r="A2790" t="str">
        <f t="shared" si="1151"/>
        <v>04-08-2020 01:00:00</v>
      </c>
      <c r="B2790" t="str">
        <f>"0000808157"</f>
        <v>0000808157</v>
      </c>
      <c r="C2790" t="str">
        <f t="shared" si="1152"/>
        <v>0000807993</v>
      </c>
      <c r="D2790" t="str">
        <f t="shared" si="1134"/>
        <v>73185</v>
      </c>
      <c r="E2790" t="str">
        <f t="shared" si="1135"/>
        <v>KFH-OPERATIONS DEPARTMENT</v>
      </c>
      <c r="F2790" t="str">
        <f t="shared" si="1136"/>
        <v>IBG</v>
      </c>
      <c r="G2790" t="str">
        <f t="shared" si="1147"/>
        <v>Refund COSHARE 10</v>
      </c>
      <c r="H2790" s="2">
        <v>167.9</v>
      </c>
      <c r="I2790" t="str">
        <f>"NOR HAYATI BINTI ABDULLAH  ESA"</f>
        <v>NOR HAYATI BINTI ABDULLAH  ESA</v>
      </c>
      <c r="J2790" t="str">
        <f t="shared" si="1150"/>
        <v>MAYBANK / MAYBANK ISLAMIC</v>
      </c>
      <c r="K2790" t="str">
        <f>"166010050439"</f>
        <v>166010050439</v>
      </c>
      <c r="L2790" t="str">
        <f t="shared" si="1153"/>
        <v>04-08-2020</v>
      </c>
      <c r="M2790" t="str">
        <f t="shared" si="1153"/>
        <v>04-08-2020</v>
      </c>
      <c r="N2790" t="str">
        <f t="shared" si="1137"/>
        <v>001105018356</v>
      </c>
      <c r="O2790" t="str">
        <f t="shared" si="1138"/>
        <v>MYR</v>
      </c>
      <c r="P2790" t="str">
        <f t="shared" si="1154"/>
        <v>NIL</v>
      </c>
      <c r="Q2790" t="str">
        <f t="shared" si="1154"/>
        <v>NIL</v>
      </c>
      <c r="R2790" t="str">
        <f t="shared" si="1139"/>
        <v>Accepted</v>
      </c>
      <c r="S2790" t="str">
        <f t="shared" si="1140"/>
        <v>Approved</v>
      </c>
      <c r="T2790" t="str">
        <f t="shared" si="1141"/>
        <v>10.20.8.188</v>
      </c>
      <c r="U2790" t="str">
        <f t="shared" si="1142"/>
        <v>AZRAD UMAR BIN SHAARI</v>
      </c>
      <c r="V2790" t="str">
        <f t="shared" si="1143"/>
        <v>FARHANA BINTI MUSTAPA</v>
      </c>
      <c r="W2790" t="str">
        <f t="shared" si="1144"/>
        <v>04-08-2020</v>
      </c>
      <c r="X2790" t="str">
        <f t="shared" si="1145"/>
        <v>RAZIMAH ANSAR AHMAD</v>
      </c>
      <c r="Y2790" t="str">
        <f t="shared" si="1146"/>
        <v>04-08-2020</v>
      </c>
      <c r="Z2790" t="str">
        <f>"COS10200804 6364"</f>
        <v>COS10200804 6364</v>
      </c>
    </row>
    <row r="2791" spans="1:26" x14ac:dyDescent="0.25">
      <c r="A2791" t="str">
        <f t="shared" si="1151"/>
        <v>04-08-2020 01:00:00</v>
      </c>
      <c r="B2791" t="str">
        <f>"0000808156"</f>
        <v>0000808156</v>
      </c>
      <c r="C2791" t="str">
        <f t="shared" si="1152"/>
        <v>0000807993</v>
      </c>
      <c r="D2791" t="str">
        <f t="shared" si="1134"/>
        <v>73185</v>
      </c>
      <c r="E2791" t="str">
        <f t="shared" si="1135"/>
        <v>KFH-OPERATIONS DEPARTMENT</v>
      </c>
      <c r="F2791" t="str">
        <f t="shared" si="1136"/>
        <v>IBG</v>
      </c>
      <c r="G2791" t="str">
        <f t="shared" si="1147"/>
        <v>Refund COSHARE 10</v>
      </c>
      <c r="H2791" s="2">
        <v>112.6</v>
      </c>
      <c r="I2791" t="str">
        <f>"NOR HAYATI BINTI ABDULLAH"</f>
        <v>NOR HAYATI BINTI ABDULLAH</v>
      </c>
      <c r="J2791" t="str">
        <f t="shared" si="1150"/>
        <v>MAYBANK / MAYBANK ISLAMIC</v>
      </c>
      <c r="K2791" t="str">
        <f>"108092440611"</f>
        <v>108092440611</v>
      </c>
      <c r="L2791" t="str">
        <f t="shared" si="1153"/>
        <v>04-08-2020</v>
      </c>
      <c r="M2791" t="str">
        <f t="shared" si="1153"/>
        <v>04-08-2020</v>
      </c>
      <c r="N2791" t="str">
        <f t="shared" si="1137"/>
        <v>001105018356</v>
      </c>
      <c r="O2791" t="str">
        <f t="shared" si="1138"/>
        <v>MYR</v>
      </c>
      <c r="P2791" t="str">
        <f t="shared" si="1154"/>
        <v>NIL</v>
      </c>
      <c r="Q2791" t="str">
        <f t="shared" si="1154"/>
        <v>NIL</v>
      </c>
      <c r="R2791" t="str">
        <f t="shared" si="1139"/>
        <v>Accepted</v>
      </c>
      <c r="S2791" t="str">
        <f t="shared" si="1140"/>
        <v>Approved</v>
      </c>
      <c r="T2791" t="str">
        <f t="shared" si="1141"/>
        <v>10.20.8.188</v>
      </c>
      <c r="U2791" t="str">
        <f t="shared" si="1142"/>
        <v>AZRAD UMAR BIN SHAARI</v>
      </c>
      <c r="V2791" t="str">
        <f t="shared" si="1143"/>
        <v>FARHANA BINTI MUSTAPA</v>
      </c>
      <c r="W2791" t="str">
        <f t="shared" si="1144"/>
        <v>04-08-2020</v>
      </c>
      <c r="X2791" t="str">
        <f t="shared" si="1145"/>
        <v>RAZIMAH ANSAR AHMAD</v>
      </c>
      <c r="Y2791" t="str">
        <f t="shared" si="1146"/>
        <v>04-08-2020</v>
      </c>
      <c r="Z2791" t="str">
        <f>"COS10200804 6363"</f>
        <v>COS10200804 6363</v>
      </c>
    </row>
    <row r="2792" spans="1:26" x14ac:dyDescent="0.25">
      <c r="A2792" t="str">
        <f t="shared" si="1151"/>
        <v>04-08-2020 01:00:00</v>
      </c>
      <c r="B2792" t="str">
        <f>"0000808155"</f>
        <v>0000808155</v>
      </c>
      <c r="C2792" t="str">
        <f t="shared" si="1152"/>
        <v>0000807993</v>
      </c>
      <c r="D2792" t="str">
        <f t="shared" si="1134"/>
        <v>73185</v>
      </c>
      <c r="E2792" t="str">
        <f t="shared" si="1135"/>
        <v>KFH-OPERATIONS DEPARTMENT</v>
      </c>
      <c r="F2792" t="str">
        <f t="shared" si="1136"/>
        <v>IBG</v>
      </c>
      <c r="G2792" t="str">
        <f t="shared" si="1147"/>
        <v>Refund COSHARE 10</v>
      </c>
      <c r="H2792" s="2">
        <v>125.95</v>
      </c>
      <c r="I2792" t="str">
        <f>"NOR HASYINI BINTI ABDUL MUTALIB"</f>
        <v>NOR HASYINI BINTI ABDUL MUTALIB</v>
      </c>
      <c r="J2792" t="str">
        <f t="shared" si="1150"/>
        <v>MAYBANK / MAYBANK ISLAMIC</v>
      </c>
      <c r="K2792" t="str">
        <f>"162683010159"</f>
        <v>162683010159</v>
      </c>
      <c r="L2792" t="str">
        <f t="shared" si="1153"/>
        <v>04-08-2020</v>
      </c>
      <c r="M2792" t="str">
        <f t="shared" si="1153"/>
        <v>04-08-2020</v>
      </c>
      <c r="N2792" t="str">
        <f t="shared" si="1137"/>
        <v>001105018356</v>
      </c>
      <c r="O2792" t="str">
        <f t="shared" si="1138"/>
        <v>MYR</v>
      </c>
      <c r="P2792" t="str">
        <f t="shared" si="1154"/>
        <v>NIL</v>
      </c>
      <c r="Q2792" t="str">
        <f t="shared" si="1154"/>
        <v>NIL</v>
      </c>
      <c r="R2792" t="str">
        <f t="shared" si="1139"/>
        <v>Accepted</v>
      </c>
      <c r="S2792" t="str">
        <f t="shared" si="1140"/>
        <v>Approved</v>
      </c>
      <c r="T2792" t="str">
        <f t="shared" si="1141"/>
        <v>10.20.8.188</v>
      </c>
      <c r="U2792" t="str">
        <f t="shared" si="1142"/>
        <v>AZRAD UMAR BIN SHAARI</v>
      </c>
      <c r="V2792" t="str">
        <f t="shared" si="1143"/>
        <v>FARHANA BINTI MUSTAPA</v>
      </c>
      <c r="W2792" t="str">
        <f t="shared" si="1144"/>
        <v>04-08-2020</v>
      </c>
      <c r="X2792" t="str">
        <f t="shared" si="1145"/>
        <v>RAZIMAH ANSAR AHMAD</v>
      </c>
      <c r="Y2792" t="str">
        <f t="shared" si="1146"/>
        <v>04-08-2020</v>
      </c>
      <c r="Z2792" t="str">
        <f>"COS10200804 6362"</f>
        <v>COS10200804 6362</v>
      </c>
    </row>
    <row r="2793" spans="1:26" x14ac:dyDescent="0.25">
      <c r="A2793" t="str">
        <f t="shared" si="1151"/>
        <v>04-08-2020 01:00:00</v>
      </c>
      <c r="B2793" t="str">
        <f>"0000808154"</f>
        <v>0000808154</v>
      </c>
      <c r="C2793" t="str">
        <f t="shared" si="1152"/>
        <v>0000807993</v>
      </c>
      <c r="D2793" t="str">
        <f t="shared" si="1134"/>
        <v>73185</v>
      </c>
      <c r="E2793" t="str">
        <f t="shared" si="1135"/>
        <v>KFH-OPERATIONS DEPARTMENT</v>
      </c>
      <c r="F2793" t="str">
        <f t="shared" si="1136"/>
        <v>IBG</v>
      </c>
      <c r="G2793" t="str">
        <f t="shared" si="1147"/>
        <v>Refund COSHARE 10</v>
      </c>
      <c r="H2793" s="2">
        <v>218.3</v>
      </c>
      <c r="I2793" t="str">
        <f>"NOR HASNIZAM BIN ADNAN"</f>
        <v>NOR HASNIZAM BIN ADNAN</v>
      </c>
      <c r="J2793" t="str">
        <f t="shared" si="1150"/>
        <v>MAYBANK / MAYBANK ISLAMIC</v>
      </c>
      <c r="K2793" t="str">
        <f>"151034651890"</f>
        <v>151034651890</v>
      </c>
      <c r="L2793" t="str">
        <f t="shared" si="1153"/>
        <v>04-08-2020</v>
      </c>
      <c r="M2793" t="str">
        <f t="shared" si="1153"/>
        <v>04-08-2020</v>
      </c>
      <c r="N2793" t="str">
        <f t="shared" si="1137"/>
        <v>001105018356</v>
      </c>
      <c r="O2793" t="str">
        <f t="shared" si="1138"/>
        <v>MYR</v>
      </c>
      <c r="P2793" t="str">
        <f t="shared" si="1154"/>
        <v>NIL</v>
      </c>
      <c r="Q2793" t="str">
        <f t="shared" si="1154"/>
        <v>NIL</v>
      </c>
      <c r="R2793" t="str">
        <f t="shared" si="1139"/>
        <v>Accepted</v>
      </c>
      <c r="S2793" t="str">
        <f t="shared" si="1140"/>
        <v>Approved</v>
      </c>
      <c r="T2793" t="str">
        <f t="shared" si="1141"/>
        <v>10.20.8.188</v>
      </c>
      <c r="U2793" t="str">
        <f t="shared" si="1142"/>
        <v>AZRAD UMAR BIN SHAARI</v>
      </c>
      <c r="V2793" t="str">
        <f t="shared" si="1143"/>
        <v>FARHANA BINTI MUSTAPA</v>
      </c>
      <c r="W2793" t="str">
        <f t="shared" si="1144"/>
        <v>04-08-2020</v>
      </c>
      <c r="X2793" t="str">
        <f t="shared" si="1145"/>
        <v>RAZIMAH ANSAR AHMAD</v>
      </c>
      <c r="Y2793" t="str">
        <f t="shared" si="1146"/>
        <v>04-08-2020</v>
      </c>
      <c r="Z2793" t="str">
        <f>"COS10200804 6361"</f>
        <v>COS10200804 6361</v>
      </c>
    </row>
    <row r="2794" spans="1:26" x14ac:dyDescent="0.25">
      <c r="A2794" t="str">
        <f t="shared" si="1151"/>
        <v>04-08-2020 01:00:00</v>
      </c>
      <c r="B2794" t="str">
        <f>"0000808153"</f>
        <v>0000808153</v>
      </c>
      <c r="C2794" t="str">
        <f t="shared" si="1152"/>
        <v>0000807993</v>
      </c>
      <c r="D2794" t="str">
        <f t="shared" si="1134"/>
        <v>73185</v>
      </c>
      <c r="E2794" t="str">
        <f t="shared" si="1135"/>
        <v>KFH-OPERATIONS DEPARTMENT</v>
      </c>
      <c r="F2794" t="str">
        <f t="shared" si="1136"/>
        <v>IBG</v>
      </c>
      <c r="G2794" t="str">
        <f t="shared" si="1147"/>
        <v>Refund COSHARE 10</v>
      </c>
      <c r="H2794" s="2">
        <v>1032.5999999999999</v>
      </c>
      <c r="I2794" t="str">
        <f>"NOR HASMIMI BINTI BAHARUDIN"</f>
        <v>NOR HASMIMI BINTI BAHARUDIN</v>
      </c>
      <c r="J2794" t="str">
        <f t="shared" si="1150"/>
        <v>MAYBANK / MAYBANK ISLAMIC</v>
      </c>
      <c r="K2794" t="str">
        <f>"162143107950"</f>
        <v>162143107950</v>
      </c>
      <c r="L2794" t="str">
        <f t="shared" si="1153"/>
        <v>04-08-2020</v>
      </c>
      <c r="M2794" t="str">
        <f t="shared" si="1153"/>
        <v>04-08-2020</v>
      </c>
      <c r="N2794" t="str">
        <f t="shared" si="1137"/>
        <v>001105018356</v>
      </c>
      <c r="O2794" t="str">
        <f t="shared" si="1138"/>
        <v>MYR</v>
      </c>
      <c r="P2794" t="str">
        <f t="shared" si="1154"/>
        <v>NIL</v>
      </c>
      <c r="Q2794" t="str">
        <f t="shared" si="1154"/>
        <v>NIL</v>
      </c>
      <c r="R2794" t="str">
        <f t="shared" si="1139"/>
        <v>Accepted</v>
      </c>
      <c r="S2794" t="str">
        <f t="shared" si="1140"/>
        <v>Approved</v>
      </c>
      <c r="T2794" t="str">
        <f t="shared" si="1141"/>
        <v>10.20.8.188</v>
      </c>
      <c r="U2794" t="str">
        <f t="shared" si="1142"/>
        <v>AZRAD UMAR BIN SHAARI</v>
      </c>
      <c r="V2794" t="str">
        <f t="shared" si="1143"/>
        <v>FARHANA BINTI MUSTAPA</v>
      </c>
      <c r="W2794" t="str">
        <f t="shared" si="1144"/>
        <v>04-08-2020</v>
      </c>
      <c r="X2794" t="str">
        <f t="shared" si="1145"/>
        <v>RAZIMAH ANSAR AHMAD</v>
      </c>
      <c r="Y2794" t="str">
        <f t="shared" si="1146"/>
        <v>04-08-2020</v>
      </c>
      <c r="Z2794" t="str">
        <f>"COS10200804 6360"</f>
        <v>COS10200804 6360</v>
      </c>
    </row>
    <row r="2795" spans="1:26" x14ac:dyDescent="0.25">
      <c r="A2795" t="str">
        <f t="shared" si="1151"/>
        <v>04-08-2020 01:00:00</v>
      </c>
      <c r="B2795" t="str">
        <f>"0000808152"</f>
        <v>0000808152</v>
      </c>
      <c r="C2795" t="str">
        <f t="shared" si="1152"/>
        <v>0000807993</v>
      </c>
      <c r="D2795" t="str">
        <f t="shared" si="1134"/>
        <v>73185</v>
      </c>
      <c r="E2795" t="str">
        <f t="shared" si="1135"/>
        <v>KFH-OPERATIONS DEPARTMENT</v>
      </c>
      <c r="F2795" t="str">
        <f t="shared" si="1136"/>
        <v>IBG</v>
      </c>
      <c r="G2795" t="str">
        <f t="shared" si="1147"/>
        <v>Refund COSHARE 10</v>
      </c>
      <c r="H2795" s="2">
        <v>456</v>
      </c>
      <c r="I2795" t="str">
        <f>"NOR HASMANIZA BINTI OSMAN"</f>
        <v>NOR HASMANIZA BINTI OSMAN</v>
      </c>
      <c r="J2795" t="str">
        <f t="shared" si="1150"/>
        <v>MAYBANK / MAYBANK ISLAMIC</v>
      </c>
      <c r="K2795" t="str">
        <f>"162740014844"</f>
        <v>162740014844</v>
      </c>
      <c r="L2795" t="str">
        <f t="shared" si="1153"/>
        <v>04-08-2020</v>
      </c>
      <c r="M2795" t="str">
        <f t="shared" si="1153"/>
        <v>04-08-2020</v>
      </c>
      <c r="N2795" t="str">
        <f t="shared" si="1137"/>
        <v>001105018356</v>
      </c>
      <c r="O2795" t="str">
        <f t="shared" si="1138"/>
        <v>MYR</v>
      </c>
      <c r="P2795" t="str">
        <f t="shared" si="1154"/>
        <v>NIL</v>
      </c>
      <c r="Q2795" t="str">
        <f t="shared" si="1154"/>
        <v>NIL</v>
      </c>
      <c r="R2795" t="str">
        <f t="shared" si="1139"/>
        <v>Accepted</v>
      </c>
      <c r="S2795" t="str">
        <f t="shared" si="1140"/>
        <v>Approved</v>
      </c>
      <c r="T2795" t="str">
        <f t="shared" si="1141"/>
        <v>10.20.8.188</v>
      </c>
      <c r="U2795" t="str">
        <f t="shared" si="1142"/>
        <v>AZRAD UMAR BIN SHAARI</v>
      </c>
      <c r="V2795" t="str">
        <f t="shared" si="1143"/>
        <v>FARHANA BINTI MUSTAPA</v>
      </c>
      <c r="W2795" t="str">
        <f t="shared" si="1144"/>
        <v>04-08-2020</v>
      </c>
      <c r="X2795" t="str">
        <f t="shared" si="1145"/>
        <v>RAZIMAH ANSAR AHMAD</v>
      </c>
      <c r="Y2795" t="str">
        <f t="shared" si="1146"/>
        <v>04-08-2020</v>
      </c>
      <c r="Z2795" t="str">
        <f>"COS10200804 6359"</f>
        <v>COS10200804 6359</v>
      </c>
    </row>
    <row r="2796" spans="1:26" x14ac:dyDescent="0.25">
      <c r="A2796" t="str">
        <f t="shared" si="1151"/>
        <v>04-08-2020 01:00:00</v>
      </c>
      <c r="B2796" t="str">
        <f>"0000808151"</f>
        <v>0000808151</v>
      </c>
      <c r="C2796" t="str">
        <f t="shared" si="1152"/>
        <v>0000807993</v>
      </c>
      <c r="D2796" t="str">
        <f t="shared" si="1134"/>
        <v>73185</v>
      </c>
      <c r="E2796" t="str">
        <f t="shared" si="1135"/>
        <v>KFH-OPERATIONS DEPARTMENT</v>
      </c>
      <c r="F2796" t="str">
        <f t="shared" si="1136"/>
        <v>IBG</v>
      </c>
      <c r="G2796" t="str">
        <f t="shared" si="1147"/>
        <v>Refund COSHARE 10</v>
      </c>
      <c r="H2796" s="2">
        <v>839.5</v>
      </c>
      <c r="I2796" t="str">
        <f>"NOR HASLINDAWATI BINTI NORDIN"</f>
        <v>NOR HASLINDAWATI BINTI NORDIN</v>
      </c>
      <c r="J2796" t="str">
        <f t="shared" si="1150"/>
        <v>MAYBANK / MAYBANK ISLAMIC</v>
      </c>
      <c r="K2796" t="str">
        <f>"151173506144"</f>
        <v>151173506144</v>
      </c>
      <c r="L2796" t="str">
        <f t="shared" si="1153"/>
        <v>04-08-2020</v>
      </c>
      <c r="M2796" t="str">
        <f t="shared" si="1153"/>
        <v>04-08-2020</v>
      </c>
      <c r="N2796" t="str">
        <f t="shared" si="1137"/>
        <v>001105018356</v>
      </c>
      <c r="O2796" t="str">
        <f t="shared" si="1138"/>
        <v>MYR</v>
      </c>
      <c r="P2796" t="str">
        <f t="shared" si="1154"/>
        <v>NIL</v>
      </c>
      <c r="Q2796" t="str">
        <f t="shared" si="1154"/>
        <v>NIL</v>
      </c>
      <c r="R2796" t="str">
        <f t="shared" si="1139"/>
        <v>Accepted</v>
      </c>
      <c r="S2796" t="str">
        <f t="shared" si="1140"/>
        <v>Approved</v>
      </c>
      <c r="T2796" t="str">
        <f t="shared" si="1141"/>
        <v>10.20.8.188</v>
      </c>
      <c r="U2796" t="str">
        <f t="shared" si="1142"/>
        <v>AZRAD UMAR BIN SHAARI</v>
      </c>
      <c r="V2796" t="str">
        <f t="shared" si="1143"/>
        <v>FARHANA BINTI MUSTAPA</v>
      </c>
      <c r="W2796" t="str">
        <f t="shared" si="1144"/>
        <v>04-08-2020</v>
      </c>
      <c r="X2796" t="str">
        <f t="shared" si="1145"/>
        <v>RAZIMAH ANSAR AHMAD</v>
      </c>
      <c r="Y2796" t="str">
        <f t="shared" si="1146"/>
        <v>04-08-2020</v>
      </c>
      <c r="Z2796" t="str">
        <f>"COS10200804 6358"</f>
        <v>COS10200804 6358</v>
      </c>
    </row>
    <row r="2797" spans="1:26" x14ac:dyDescent="0.25">
      <c r="A2797" t="str">
        <f t="shared" si="1151"/>
        <v>04-08-2020 01:00:00</v>
      </c>
      <c r="B2797" t="str">
        <f>"0000808150"</f>
        <v>0000808150</v>
      </c>
      <c r="C2797" t="str">
        <f t="shared" si="1152"/>
        <v>0000807993</v>
      </c>
      <c r="D2797" t="str">
        <f t="shared" si="1134"/>
        <v>73185</v>
      </c>
      <c r="E2797" t="str">
        <f t="shared" si="1135"/>
        <v>KFH-OPERATIONS DEPARTMENT</v>
      </c>
      <c r="F2797" t="str">
        <f t="shared" si="1136"/>
        <v>IBG</v>
      </c>
      <c r="G2797" t="str">
        <f t="shared" si="1147"/>
        <v>Refund COSHARE 10</v>
      </c>
      <c r="H2797" s="2">
        <v>420</v>
      </c>
      <c r="I2797" t="str">
        <f>"NOR HASLINDA BINTI MOHD SURANDI"</f>
        <v>NOR HASLINDA BINTI MOHD SURANDI</v>
      </c>
      <c r="J2797" t="str">
        <f t="shared" si="1150"/>
        <v>MAYBANK / MAYBANK ISLAMIC</v>
      </c>
      <c r="K2797" t="str">
        <f>"164221399214"</f>
        <v>164221399214</v>
      </c>
      <c r="L2797" t="str">
        <f t="shared" si="1153"/>
        <v>04-08-2020</v>
      </c>
      <c r="M2797" t="str">
        <f t="shared" si="1153"/>
        <v>04-08-2020</v>
      </c>
      <c r="N2797" t="str">
        <f t="shared" si="1137"/>
        <v>001105018356</v>
      </c>
      <c r="O2797" t="str">
        <f t="shared" si="1138"/>
        <v>MYR</v>
      </c>
      <c r="P2797" t="str">
        <f t="shared" si="1154"/>
        <v>NIL</v>
      </c>
      <c r="Q2797" t="str">
        <f t="shared" si="1154"/>
        <v>NIL</v>
      </c>
      <c r="R2797" t="str">
        <f t="shared" si="1139"/>
        <v>Accepted</v>
      </c>
      <c r="S2797" t="str">
        <f t="shared" si="1140"/>
        <v>Approved</v>
      </c>
      <c r="T2797" t="str">
        <f t="shared" si="1141"/>
        <v>10.20.8.188</v>
      </c>
      <c r="U2797" t="str">
        <f t="shared" si="1142"/>
        <v>AZRAD UMAR BIN SHAARI</v>
      </c>
      <c r="V2797" t="str">
        <f t="shared" si="1143"/>
        <v>FARHANA BINTI MUSTAPA</v>
      </c>
      <c r="W2797" t="str">
        <f t="shared" si="1144"/>
        <v>04-08-2020</v>
      </c>
      <c r="X2797" t="str">
        <f t="shared" si="1145"/>
        <v>RAZIMAH ANSAR AHMAD</v>
      </c>
      <c r="Y2797" t="str">
        <f t="shared" si="1146"/>
        <v>04-08-2020</v>
      </c>
      <c r="Z2797" t="str">
        <f>"COS10200804 6357"</f>
        <v>COS10200804 6357</v>
      </c>
    </row>
    <row r="2798" spans="1:26" x14ac:dyDescent="0.25">
      <c r="A2798" t="str">
        <f t="shared" si="1151"/>
        <v>04-08-2020 01:00:00</v>
      </c>
      <c r="B2798" t="str">
        <f>"0000808149"</f>
        <v>0000808149</v>
      </c>
      <c r="C2798" t="str">
        <f t="shared" si="1152"/>
        <v>0000807993</v>
      </c>
      <c r="D2798" t="str">
        <f t="shared" si="1134"/>
        <v>73185</v>
      </c>
      <c r="E2798" t="str">
        <f t="shared" si="1135"/>
        <v>KFH-OPERATIONS DEPARTMENT</v>
      </c>
      <c r="F2798" t="str">
        <f t="shared" si="1136"/>
        <v>IBG</v>
      </c>
      <c r="G2798" t="str">
        <f t="shared" si="1147"/>
        <v>Refund COSHARE 10</v>
      </c>
      <c r="H2798" s="2">
        <v>380</v>
      </c>
      <c r="I2798" t="str">
        <f>"NOR HASHIMAH BINTI KAMARUZAMAN"</f>
        <v>NOR HASHIMAH BINTI KAMARUZAMAN</v>
      </c>
      <c r="J2798" t="str">
        <f t="shared" si="1150"/>
        <v>MAYBANK / MAYBANK ISLAMIC</v>
      </c>
      <c r="K2798" t="str">
        <f>"152108019518"</f>
        <v>152108019518</v>
      </c>
      <c r="L2798" t="str">
        <f t="shared" si="1153"/>
        <v>04-08-2020</v>
      </c>
      <c r="M2798" t="str">
        <f t="shared" si="1153"/>
        <v>04-08-2020</v>
      </c>
      <c r="N2798" t="str">
        <f t="shared" si="1137"/>
        <v>001105018356</v>
      </c>
      <c r="O2798" t="str">
        <f t="shared" si="1138"/>
        <v>MYR</v>
      </c>
      <c r="P2798" t="str">
        <f t="shared" si="1154"/>
        <v>NIL</v>
      </c>
      <c r="Q2798" t="str">
        <f t="shared" si="1154"/>
        <v>NIL</v>
      </c>
      <c r="R2798" t="str">
        <f t="shared" si="1139"/>
        <v>Accepted</v>
      </c>
      <c r="S2798" t="str">
        <f t="shared" si="1140"/>
        <v>Approved</v>
      </c>
      <c r="T2798" t="str">
        <f t="shared" si="1141"/>
        <v>10.20.8.188</v>
      </c>
      <c r="U2798" t="str">
        <f t="shared" si="1142"/>
        <v>AZRAD UMAR BIN SHAARI</v>
      </c>
      <c r="V2798" t="str">
        <f t="shared" si="1143"/>
        <v>FARHANA BINTI MUSTAPA</v>
      </c>
      <c r="W2798" t="str">
        <f t="shared" si="1144"/>
        <v>04-08-2020</v>
      </c>
      <c r="X2798" t="str">
        <f t="shared" si="1145"/>
        <v>RAZIMAH ANSAR AHMAD</v>
      </c>
      <c r="Y2798" t="str">
        <f t="shared" si="1146"/>
        <v>04-08-2020</v>
      </c>
      <c r="Z2798" t="str">
        <f>"COS10200804 6356"</f>
        <v>COS10200804 6356</v>
      </c>
    </row>
    <row r="2799" spans="1:26" x14ac:dyDescent="0.25">
      <c r="A2799" t="str">
        <f t="shared" si="1151"/>
        <v>04-08-2020 01:00:00</v>
      </c>
      <c r="B2799" t="str">
        <f>"0000808148"</f>
        <v>0000808148</v>
      </c>
      <c r="C2799" t="str">
        <f t="shared" si="1152"/>
        <v>0000807993</v>
      </c>
      <c r="D2799" t="str">
        <f t="shared" si="1134"/>
        <v>73185</v>
      </c>
      <c r="E2799" t="str">
        <f t="shared" si="1135"/>
        <v>KFH-OPERATIONS DEPARTMENT</v>
      </c>
      <c r="F2799" t="str">
        <f t="shared" si="1136"/>
        <v>IBG</v>
      </c>
      <c r="G2799" t="str">
        <f t="shared" si="1147"/>
        <v>Refund COSHARE 10</v>
      </c>
      <c r="H2799" s="2">
        <v>380</v>
      </c>
      <c r="I2799" t="str">
        <f>"NOR HAPISAH BINTI CHE HASAN"</f>
        <v>NOR HAPISAH BINTI CHE HASAN</v>
      </c>
      <c r="J2799" t="str">
        <f t="shared" si="1150"/>
        <v>MAYBANK / MAYBANK ISLAMIC</v>
      </c>
      <c r="K2799" t="str">
        <f>"152116059662"</f>
        <v>152116059662</v>
      </c>
      <c r="L2799" t="str">
        <f t="shared" si="1153"/>
        <v>04-08-2020</v>
      </c>
      <c r="M2799" t="str">
        <f t="shared" si="1153"/>
        <v>04-08-2020</v>
      </c>
      <c r="N2799" t="str">
        <f t="shared" si="1137"/>
        <v>001105018356</v>
      </c>
      <c r="O2799" t="str">
        <f t="shared" si="1138"/>
        <v>MYR</v>
      </c>
      <c r="P2799" t="str">
        <f t="shared" si="1154"/>
        <v>NIL</v>
      </c>
      <c r="Q2799" t="str">
        <f t="shared" si="1154"/>
        <v>NIL</v>
      </c>
      <c r="R2799" t="str">
        <f t="shared" si="1139"/>
        <v>Accepted</v>
      </c>
      <c r="S2799" t="str">
        <f t="shared" si="1140"/>
        <v>Approved</v>
      </c>
      <c r="T2799" t="str">
        <f t="shared" si="1141"/>
        <v>10.20.8.188</v>
      </c>
      <c r="U2799" t="str">
        <f t="shared" si="1142"/>
        <v>AZRAD UMAR BIN SHAARI</v>
      </c>
      <c r="V2799" t="str">
        <f t="shared" si="1143"/>
        <v>FARHANA BINTI MUSTAPA</v>
      </c>
      <c r="W2799" t="str">
        <f t="shared" si="1144"/>
        <v>04-08-2020</v>
      </c>
      <c r="X2799" t="str">
        <f t="shared" si="1145"/>
        <v>RAZIMAH ANSAR AHMAD</v>
      </c>
      <c r="Y2799" t="str">
        <f t="shared" si="1146"/>
        <v>04-08-2020</v>
      </c>
      <c r="Z2799" t="str">
        <f>"COS10200804 6355"</f>
        <v>COS10200804 6355</v>
      </c>
    </row>
    <row r="2800" spans="1:26" x14ac:dyDescent="0.25">
      <c r="A2800" t="str">
        <f t="shared" si="1151"/>
        <v>04-08-2020 01:00:00</v>
      </c>
      <c r="B2800" t="str">
        <f>"0000808147"</f>
        <v>0000808147</v>
      </c>
      <c r="C2800" t="str">
        <f t="shared" si="1152"/>
        <v>0000807993</v>
      </c>
      <c r="D2800" t="str">
        <f t="shared" si="1134"/>
        <v>73185</v>
      </c>
      <c r="E2800" t="str">
        <f t="shared" si="1135"/>
        <v>KFH-OPERATIONS DEPARTMENT</v>
      </c>
      <c r="F2800" t="str">
        <f t="shared" si="1136"/>
        <v>IBG</v>
      </c>
      <c r="G2800" t="str">
        <f t="shared" si="1147"/>
        <v>Refund COSHARE 10</v>
      </c>
      <c r="H2800" s="2">
        <v>42</v>
      </c>
      <c r="I2800" t="str">
        <f>"NOR HANIZAH BINTI ADZMI"</f>
        <v>NOR HANIZAH BINTI ADZMI</v>
      </c>
      <c r="J2800" t="str">
        <f t="shared" si="1150"/>
        <v>MAYBANK / MAYBANK ISLAMIC</v>
      </c>
      <c r="K2800" t="str">
        <f>"162143097614"</f>
        <v>162143097614</v>
      </c>
      <c r="L2800" t="str">
        <f t="shared" si="1153"/>
        <v>04-08-2020</v>
      </c>
      <c r="M2800" t="str">
        <f t="shared" si="1153"/>
        <v>04-08-2020</v>
      </c>
      <c r="N2800" t="str">
        <f t="shared" si="1137"/>
        <v>001105018356</v>
      </c>
      <c r="O2800" t="str">
        <f t="shared" si="1138"/>
        <v>MYR</v>
      </c>
      <c r="P2800" t="str">
        <f t="shared" si="1154"/>
        <v>NIL</v>
      </c>
      <c r="Q2800" t="str">
        <f t="shared" si="1154"/>
        <v>NIL</v>
      </c>
      <c r="R2800" t="str">
        <f t="shared" si="1139"/>
        <v>Accepted</v>
      </c>
      <c r="S2800" t="str">
        <f t="shared" si="1140"/>
        <v>Approved</v>
      </c>
      <c r="T2800" t="str">
        <f t="shared" si="1141"/>
        <v>10.20.8.188</v>
      </c>
      <c r="U2800" t="str">
        <f t="shared" si="1142"/>
        <v>AZRAD UMAR BIN SHAARI</v>
      </c>
      <c r="V2800" t="str">
        <f t="shared" si="1143"/>
        <v>FARHANA BINTI MUSTAPA</v>
      </c>
      <c r="W2800" t="str">
        <f t="shared" si="1144"/>
        <v>04-08-2020</v>
      </c>
      <c r="X2800" t="str">
        <f t="shared" si="1145"/>
        <v>RAZIMAH ANSAR AHMAD</v>
      </c>
      <c r="Y2800" t="str">
        <f t="shared" si="1146"/>
        <v>04-08-2020</v>
      </c>
      <c r="Z2800" t="str">
        <f>"COS10200804 6354"</f>
        <v>COS10200804 6354</v>
      </c>
    </row>
    <row r="2801" spans="1:26" x14ac:dyDescent="0.25">
      <c r="A2801" t="str">
        <f t="shared" si="1151"/>
        <v>04-08-2020 01:00:00</v>
      </c>
      <c r="B2801" t="str">
        <f>"0000808146"</f>
        <v>0000808146</v>
      </c>
      <c r="C2801" t="str">
        <f t="shared" si="1152"/>
        <v>0000807993</v>
      </c>
      <c r="D2801" t="str">
        <f t="shared" si="1134"/>
        <v>73185</v>
      </c>
      <c r="E2801" t="str">
        <f t="shared" si="1135"/>
        <v>KFH-OPERATIONS DEPARTMENT</v>
      </c>
      <c r="F2801" t="str">
        <f t="shared" si="1136"/>
        <v>IBG</v>
      </c>
      <c r="G2801" t="str">
        <f t="shared" si="1147"/>
        <v>Refund COSHARE 10</v>
      </c>
      <c r="H2801" s="2">
        <v>418</v>
      </c>
      <c r="I2801" t="str">
        <f>"NOR HANIZA BINTI JAWAHIR"</f>
        <v>NOR HANIZA BINTI JAWAHIR</v>
      </c>
      <c r="J2801" t="str">
        <f t="shared" si="1150"/>
        <v>MAYBANK / MAYBANK ISLAMIC</v>
      </c>
      <c r="K2801" t="str">
        <f>"162843038409"</f>
        <v>162843038409</v>
      </c>
      <c r="L2801" t="str">
        <f t="shared" si="1153"/>
        <v>04-08-2020</v>
      </c>
      <c r="M2801" t="str">
        <f t="shared" si="1153"/>
        <v>04-08-2020</v>
      </c>
      <c r="N2801" t="str">
        <f t="shared" si="1137"/>
        <v>001105018356</v>
      </c>
      <c r="O2801" t="str">
        <f t="shared" si="1138"/>
        <v>MYR</v>
      </c>
      <c r="P2801" t="str">
        <f t="shared" si="1154"/>
        <v>NIL</v>
      </c>
      <c r="Q2801" t="str">
        <f t="shared" si="1154"/>
        <v>NIL</v>
      </c>
      <c r="R2801" t="str">
        <f t="shared" si="1139"/>
        <v>Accepted</v>
      </c>
      <c r="S2801" t="str">
        <f t="shared" si="1140"/>
        <v>Approved</v>
      </c>
      <c r="T2801" t="str">
        <f t="shared" si="1141"/>
        <v>10.20.8.188</v>
      </c>
      <c r="U2801" t="str">
        <f t="shared" si="1142"/>
        <v>AZRAD UMAR BIN SHAARI</v>
      </c>
      <c r="V2801" t="str">
        <f t="shared" si="1143"/>
        <v>FARHANA BINTI MUSTAPA</v>
      </c>
      <c r="W2801" t="str">
        <f t="shared" si="1144"/>
        <v>04-08-2020</v>
      </c>
      <c r="X2801" t="str">
        <f t="shared" si="1145"/>
        <v>RAZIMAH ANSAR AHMAD</v>
      </c>
      <c r="Y2801" t="str">
        <f t="shared" si="1146"/>
        <v>04-08-2020</v>
      </c>
      <c r="Z2801" t="str">
        <f>"COS10200804 6353"</f>
        <v>COS10200804 6353</v>
      </c>
    </row>
    <row r="2802" spans="1:26" x14ac:dyDescent="0.25">
      <c r="A2802" t="str">
        <f t="shared" si="1151"/>
        <v>04-08-2020 01:00:00</v>
      </c>
      <c r="B2802" t="str">
        <f>"0000808145"</f>
        <v>0000808145</v>
      </c>
      <c r="C2802" t="str">
        <f t="shared" si="1152"/>
        <v>0000807993</v>
      </c>
      <c r="D2802" t="str">
        <f t="shared" si="1134"/>
        <v>73185</v>
      </c>
      <c r="E2802" t="str">
        <f t="shared" si="1135"/>
        <v>KFH-OPERATIONS DEPARTMENT</v>
      </c>
      <c r="F2802" t="str">
        <f t="shared" si="1136"/>
        <v>IBG</v>
      </c>
      <c r="G2802" t="str">
        <f t="shared" si="1147"/>
        <v>Refund COSHARE 10</v>
      </c>
      <c r="H2802" s="2">
        <v>363</v>
      </c>
      <c r="I2802" t="str">
        <f>"NOR HANIM BINTI YAACOB"</f>
        <v>NOR HANIM BINTI YAACOB</v>
      </c>
      <c r="J2802" t="str">
        <f t="shared" si="1150"/>
        <v>MAYBANK / MAYBANK ISLAMIC</v>
      </c>
      <c r="K2802" t="str">
        <f>"158275065930"</f>
        <v>158275065930</v>
      </c>
      <c r="L2802" t="str">
        <f t="shared" si="1153"/>
        <v>04-08-2020</v>
      </c>
      <c r="M2802" t="str">
        <f t="shared" si="1153"/>
        <v>04-08-2020</v>
      </c>
      <c r="N2802" t="str">
        <f t="shared" si="1137"/>
        <v>001105018356</v>
      </c>
      <c r="O2802" t="str">
        <f t="shared" si="1138"/>
        <v>MYR</v>
      </c>
      <c r="P2802" t="str">
        <f t="shared" si="1154"/>
        <v>NIL</v>
      </c>
      <c r="Q2802" t="str">
        <f t="shared" si="1154"/>
        <v>NIL</v>
      </c>
      <c r="R2802" t="str">
        <f t="shared" si="1139"/>
        <v>Accepted</v>
      </c>
      <c r="S2802" t="str">
        <f t="shared" si="1140"/>
        <v>Approved</v>
      </c>
      <c r="T2802" t="str">
        <f t="shared" si="1141"/>
        <v>10.20.8.188</v>
      </c>
      <c r="U2802" t="str">
        <f t="shared" si="1142"/>
        <v>AZRAD UMAR BIN SHAARI</v>
      </c>
      <c r="V2802" t="str">
        <f t="shared" si="1143"/>
        <v>FARHANA BINTI MUSTAPA</v>
      </c>
      <c r="W2802" t="str">
        <f t="shared" si="1144"/>
        <v>04-08-2020</v>
      </c>
      <c r="X2802" t="str">
        <f t="shared" si="1145"/>
        <v>RAZIMAH ANSAR AHMAD</v>
      </c>
      <c r="Y2802" t="str">
        <f t="shared" si="1146"/>
        <v>04-08-2020</v>
      </c>
      <c r="Z2802" t="str">
        <f>"COS10200804 6352"</f>
        <v>COS10200804 6352</v>
      </c>
    </row>
    <row r="2803" spans="1:26" x14ac:dyDescent="0.25">
      <c r="A2803" t="str">
        <f t="shared" si="1151"/>
        <v>04-08-2020 01:00:00</v>
      </c>
      <c r="B2803" t="str">
        <f>"0000808144"</f>
        <v>0000808144</v>
      </c>
      <c r="C2803" t="str">
        <f t="shared" si="1152"/>
        <v>0000807993</v>
      </c>
      <c r="D2803" t="str">
        <f t="shared" si="1134"/>
        <v>73185</v>
      </c>
      <c r="E2803" t="str">
        <f t="shared" si="1135"/>
        <v>KFH-OPERATIONS DEPARTMENT</v>
      </c>
      <c r="F2803" t="str">
        <f t="shared" si="1136"/>
        <v>IBG</v>
      </c>
      <c r="G2803" t="str">
        <f t="shared" si="1147"/>
        <v>Refund COSHARE 10</v>
      </c>
      <c r="H2803" s="2">
        <v>363</v>
      </c>
      <c r="I2803" t="str">
        <f>"NOR HANIM BINTI YAACOB"</f>
        <v>NOR HANIM BINTI YAACOB</v>
      </c>
      <c r="J2803" t="str">
        <f t="shared" si="1150"/>
        <v>MAYBANK / MAYBANK ISLAMIC</v>
      </c>
      <c r="K2803" t="str">
        <f>"158275065930"</f>
        <v>158275065930</v>
      </c>
      <c r="L2803" t="str">
        <f t="shared" si="1153"/>
        <v>04-08-2020</v>
      </c>
      <c r="M2803" t="str">
        <f t="shared" si="1153"/>
        <v>04-08-2020</v>
      </c>
      <c r="N2803" t="str">
        <f t="shared" si="1137"/>
        <v>001105018356</v>
      </c>
      <c r="O2803" t="str">
        <f t="shared" si="1138"/>
        <v>MYR</v>
      </c>
      <c r="P2803" t="str">
        <f t="shared" si="1154"/>
        <v>NIL</v>
      </c>
      <c r="Q2803" t="str">
        <f t="shared" si="1154"/>
        <v>NIL</v>
      </c>
      <c r="R2803" t="str">
        <f t="shared" si="1139"/>
        <v>Accepted</v>
      </c>
      <c r="S2803" t="str">
        <f t="shared" si="1140"/>
        <v>Approved</v>
      </c>
      <c r="T2803" t="str">
        <f t="shared" si="1141"/>
        <v>10.20.8.188</v>
      </c>
      <c r="U2803" t="str">
        <f t="shared" si="1142"/>
        <v>AZRAD UMAR BIN SHAARI</v>
      </c>
      <c r="V2803" t="str">
        <f t="shared" si="1143"/>
        <v>FARHANA BINTI MUSTAPA</v>
      </c>
      <c r="W2803" t="str">
        <f t="shared" si="1144"/>
        <v>04-08-2020</v>
      </c>
      <c r="X2803" t="str">
        <f t="shared" si="1145"/>
        <v>RAZIMAH ANSAR AHMAD</v>
      </c>
      <c r="Y2803" t="str">
        <f t="shared" si="1146"/>
        <v>04-08-2020</v>
      </c>
      <c r="Z2803" t="str">
        <f>"COS10200804 6351"</f>
        <v>COS10200804 6351</v>
      </c>
    </row>
    <row r="2804" spans="1:26" x14ac:dyDescent="0.25">
      <c r="A2804" t="str">
        <f t="shared" si="1151"/>
        <v>04-08-2020 01:00:00</v>
      </c>
      <c r="B2804" t="str">
        <f>"0000808143"</f>
        <v>0000808143</v>
      </c>
      <c r="C2804" t="str">
        <f t="shared" si="1152"/>
        <v>0000807993</v>
      </c>
      <c r="D2804" t="str">
        <f t="shared" si="1134"/>
        <v>73185</v>
      </c>
      <c r="E2804" t="str">
        <f t="shared" si="1135"/>
        <v>KFH-OPERATIONS DEPARTMENT</v>
      </c>
      <c r="F2804" t="str">
        <f t="shared" si="1136"/>
        <v>IBG</v>
      </c>
      <c r="G2804" t="str">
        <f t="shared" si="1147"/>
        <v>Refund COSHARE 10</v>
      </c>
      <c r="H2804" s="2">
        <v>957.05</v>
      </c>
      <c r="I2804" t="str">
        <f>"NOR HANIF BIN OTHMAN"</f>
        <v>NOR HANIF BIN OTHMAN</v>
      </c>
      <c r="J2804" t="str">
        <f t="shared" si="1150"/>
        <v>MAYBANK / MAYBANK ISLAMIC</v>
      </c>
      <c r="K2804" t="str">
        <f>"153083138145"</f>
        <v>153083138145</v>
      </c>
      <c r="L2804" t="str">
        <f t="shared" si="1153"/>
        <v>04-08-2020</v>
      </c>
      <c r="M2804" t="str">
        <f t="shared" si="1153"/>
        <v>04-08-2020</v>
      </c>
      <c r="N2804" t="str">
        <f t="shared" si="1137"/>
        <v>001105018356</v>
      </c>
      <c r="O2804" t="str">
        <f t="shared" si="1138"/>
        <v>MYR</v>
      </c>
      <c r="P2804" t="str">
        <f t="shared" si="1154"/>
        <v>NIL</v>
      </c>
      <c r="Q2804" t="str">
        <f t="shared" si="1154"/>
        <v>NIL</v>
      </c>
      <c r="R2804" t="str">
        <f t="shared" si="1139"/>
        <v>Accepted</v>
      </c>
      <c r="S2804" t="str">
        <f t="shared" si="1140"/>
        <v>Approved</v>
      </c>
      <c r="T2804" t="str">
        <f t="shared" si="1141"/>
        <v>10.20.8.188</v>
      </c>
      <c r="U2804" t="str">
        <f t="shared" si="1142"/>
        <v>AZRAD UMAR BIN SHAARI</v>
      </c>
      <c r="V2804" t="str">
        <f t="shared" si="1143"/>
        <v>FARHANA BINTI MUSTAPA</v>
      </c>
      <c r="W2804" t="str">
        <f t="shared" si="1144"/>
        <v>04-08-2020</v>
      </c>
      <c r="X2804" t="str">
        <f t="shared" si="1145"/>
        <v>RAZIMAH ANSAR AHMAD</v>
      </c>
      <c r="Y2804" t="str">
        <f t="shared" si="1146"/>
        <v>04-08-2020</v>
      </c>
      <c r="Z2804" t="str">
        <f>"COS10200804 6350"</f>
        <v>COS10200804 6350</v>
      </c>
    </row>
    <row r="2805" spans="1:26" x14ac:dyDescent="0.25">
      <c r="A2805" t="str">
        <f t="shared" si="1151"/>
        <v>04-08-2020 01:00:00</v>
      </c>
      <c r="B2805" t="str">
        <f>"0000808142"</f>
        <v>0000808142</v>
      </c>
      <c r="C2805" t="str">
        <f t="shared" si="1152"/>
        <v>0000807993</v>
      </c>
      <c r="D2805" t="str">
        <f t="shared" si="1134"/>
        <v>73185</v>
      </c>
      <c r="E2805" t="str">
        <f t="shared" si="1135"/>
        <v>KFH-OPERATIONS DEPARTMENT</v>
      </c>
      <c r="F2805" t="str">
        <f t="shared" si="1136"/>
        <v>IBG</v>
      </c>
      <c r="G2805" t="str">
        <f t="shared" si="1147"/>
        <v>Refund COSHARE 10</v>
      </c>
      <c r="H2805" s="2">
        <v>805.95</v>
      </c>
      <c r="I2805" t="str">
        <f>"NOR HAMIZAH BINTI MASHUD"</f>
        <v>NOR HAMIZAH BINTI MASHUD</v>
      </c>
      <c r="J2805" t="str">
        <f t="shared" si="1150"/>
        <v>MAYBANK / MAYBANK ISLAMIC</v>
      </c>
      <c r="K2805" t="str">
        <f>"155041694369"</f>
        <v>155041694369</v>
      </c>
      <c r="L2805" t="str">
        <f t="shared" si="1153"/>
        <v>04-08-2020</v>
      </c>
      <c r="M2805" t="str">
        <f t="shared" si="1153"/>
        <v>04-08-2020</v>
      </c>
      <c r="N2805" t="str">
        <f t="shared" si="1137"/>
        <v>001105018356</v>
      </c>
      <c r="O2805" t="str">
        <f t="shared" si="1138"/>
        <v>MYR</v>
      </c>
      <c r="P2805" t="str">
        <f t="shared" si="1154"/>
        <v>NIL</v>
      </c>
      <c r="Q2805" t="str">
        <f t="shared" si="1154"/>
        <v>NIL</v>
      </c>
      <c r="R2805" t="str">
        <f t="shared" si="1139"/>
        <v>Accepted</v>
      </c>
      <c r="S2805" t="str">
        <f t="shared" si="1140"/>
        <v>Approved</v>
      </c>
      <c r="T2805" t="str">
        <f t="shared" si="1141"/>
        <v>10.20.8.188</v>
      </c>
      <c r="U2805" t="str">
        <f t="shared" si="1142"/>
        <v>AZRAD UMAR BIN SHAARI</v>
      </c>
      <c r="V2805" t="str">
        <f t="shared" si="1143"/>
        <v>FARHANA BINTI MUSTAPA</v>
      </c>
      <c r="W2805" t="str">
        <f t="shared" si="1144"/>
        <v>04-08-2020</v>
      </c>
      <c r="X2805" t="str">
        <f t="shared" si="1145"/>
        <v>RAZIMAH ANSAR AHMAD</v>
      </c>
      <c r="Y2805" t="str">
        <f t="shared" si="1146"/>
        <v>04-08-2020</v>
      </c>
      <c r="Z2805" t="str">
        <f>"COS10200804 6349"</f>
        <v>COS10200804 6349</v>
      </c>
    </row>
    <row r="2806" spans="1:26" x14ac:dyDescent="0.25">
      <c r="A2806" t="str">
        <f t="shared" si="1151"/>
        <v>04-08-2020 01:00:00</v>
      </c>
      <c r="B2806" t="str">
        <f>"0000808141"</f>
        <v>0000808141</v>
      </c>
      <c r="C2806" t="str">
        <f t="shared" si="1152"/>
        <v>0000807993</v>
      </c>
      <c r="D2806" t="str">
        <f t="shared" si="1134"/>
        <v>73185</v>
      </c>
      <c r="E2806" t="str">
        <f t="shared" si="1135"/>
        <v>KFH-OPERATIONS DEPARTMENT</v>
      </c>
      <c r="F2806" t="str">
        <f t="shared" si="1136"/>
        <v>IBG</v>
      </c>
      <c r="G2806" t="str">
        <f t="shared" si="1147"/>
        <v>Refund COSHARE 10</v>
      </c>
      <c r="H2806" s="2">
        <v>873.1</v>
      </c>
      <c r="I2806" t="str">
        <f>"NOR HALIZA BINTI HUSSAIN"</f>
        <v>NOR HALIZA BINTI HUSSAIN</v>
      </c>
      <c r="J2806" t="str">
        <f t="shared" si="1150"/>
        <v>MAYBANK / MAYBANK ISLAMIC</v>
      </c>
      <c r="K2806" t="str">
        <f>"114339056052"</f>
        <v>114339056052</v>
      </c>
      <c r="L2806" t="str">
        <f t="shared" si="1153"/>
        <v>04-08-2020</v>
      </c>
      <c r="M2806" t="str">
        <f t="shared" si="1153"/>
        <v>04-08-2020</v>
      </c>
      <c r="N2806" t="str">
        <f t="shared" si="1137"/>
        <v>001105018356</v>
      </c>
      <c r="O2806" t="str">
        <f t="shared" si="1138"/>
        <v>MYR</v>
      </c>
      <c r="P2806" t="str">
        <f t="shared" si="1154"/>
        <v>NIL</v>
      </c>
      <c r="Q2806" t="str">
        <f t="shared" si="1154"/>
        <v>NIL</v>
      </c>
      <c r="R2806" t="str">
        <f t="shared" si="1139"/>
        <v>Accepted</v>
      </c>
      <c r="S2806" t="str">
        <f t="shared" si="1140"/>
        <v>Approved</v>
      </c>
      <c r="T2806" t="str">
        <f t="shared" si="1141"/>
        <v>10.20.8.188</v>
      </c>
      <c r="U2806" t="str">
        <f t="shared" si="1142"/>
        <v>AZRAD UMAR BIN SHAARI</v>
      </c>
      <c r="V2806" t="str">
        <f t="shared" si="1143"/>
        <v>FARHANA BINTI MUSTAPA</v>
      </c>
      <c r="W2806" t="str">
        <f t="shared" si="1144"/>
        <v>04-08-2020</v>
      </c>
      <c r="X2806" t="str">
        <f t="shared" si="1145"/>
        <v>RAZIMAH ANSAR AHMAD</v>
      </c>
      <c r="Y2806" t="str">
        <f t="shared" si="1146"/>
        <v>04-08-2020</v>
      </c>
      <c r="Z2806" t="str">
        <f>"COS10200804 6348"</f>
        <v>COS10200804 6348</v>
      </c>
    </row>
    <row r="2807" spans="1:26" x14ac:dyDescent="0.25">
      <c r="A2807" t="str">
        <f t="shared" si="1151"/>
        <v>04-08-2020 01:00:00</v>
      </c>
      <c r="B2807" t="str">
        <f>"0000808140"</f>
        <v>0000808140</v>
      </c>
      <c r="C2807" t="str">
        <f t="shared" si="1152"/>
        <v>0000807993</v>
      </c>
      <c r="D2807" t="str">
        <f t="shared" si="1134"/>
        <v>73185</v>
      </c>
      <c r="E2807" t="str">
        <f t="shared" si="1135"/>
        <v>KFH-OPERATIONS DEPARTMENT</v>
      </c>
      <c r="F2807" t="str">
        <f t="shared" si="1136"/>
        <v>IBG</v>
      </c>
      <c r="G2807" t="str">
        <f t="shared" si="1147"/>
        <v>Refund COSHARE 10</v>
      </c>
      <c r="H2807" s="2">
        <v>839.5</v>
      </c>
      <c r="I2807" t="str">
        <f>"NOR HALIPAH BINTI AHMAD"</f>
        <v>NOR HALIPAH BINTI AHMAD</v>
      </c>
      <c r="J2807" t="str">
        <f t="shared" si="1150"/>
        <v>MAYBANK / MAYBANK ISLAMIC</v>
      </c>
      <c r="K2807" t="str">
        <f>"104013013901"</f>
        <v>104013013901</v>
      </c>
      <c r="L2807" t="str">
        <f t="shared" ref="L2807:M2826" si="1155">"04-08-2020"</f>
        <v>04-08-2020</v>
      </c>
      <c r="M2807" t="str">
        <f t="shared" si="1155"/>
        <v>04-08-2020</v>
      </c>
      <c r="N2807" t="str">
        <f t="shared" si="1137"/>
        <v>001105018356</v>
      </c>
      <c r="O2807" t="str">
        <f t="shared" si="1138"/>
        <v>MYR</v>
      </c>
      <c r="P2807" t="str">
        <f t="shared" ref="P2807:Q2826" si="1156">"NIL"</f>
        <v>NIL</v>
      </c>
      <c r="Q2807" t="str">
        <f t="shared" si="1156"/>
        <v>NIL</v>
      </c>
      <c r="R2807" t="str">
        <f t="shared" si="1139"/>
        <v>Accepted</v>
      </c>
      <c r="S2807" t="str">
        <f t="shared" si="1140"/>
        <v>Approved</v>
      </c>
      <c r="T2807" t="str">
        <f t="shared" si="1141"/>
        <v>10.20.8.188</v>
      </c>
      <c r="U2807" t="str">
        <f t="shared" si="1142"/>
        <v>AZRAD UMAR BIN SHAARI</v>
      </c>
      <c r="V2807" t="str">
        <f t="shared" si="1143"/>
        <v>FARHANA BINTI MUSTAPA</v>
      </c>
      <c r="W2807" t="str">
        <f t="shared" si="1144"/>
        <v>04-08-2020</v>
      </c>
      <c r="X2807" t="str">
        <f t="shared" si="1145"/>
        <v>RAZIMAH ANSAR AHMAD</v>
      </c>
      <c r="Y2807" t="str">
        <f t="shared" si="1146"/>
        <v>04-08-2020</v>
      </c>
      <c r="Z2807" t="str">
        <f>"COS10200804 6347"</f>
        <v>COS10200804 6347</v>
      </c>
    </row>
    <row r="2808" spans="1:26" x14ac:dyDescent="0.25">
      <c r="A2808" t="str">
        <f t="shared" si="1151"/>
        <v>04-08-2020 01:00:00</v>
      </c>
      <c r="B2808" t="str">
        <f>"0000808139"</f>
        <v>0000808139</v>
      </c>
      <c r="C2808" t="str">
        <f t="shared" si="1152"/>
        <v>0000807993</v>
      </c>
      <c r="D2808" t="str">
        <f t="shared" si="1134"/>
        <v>73185</v>
      </c>
      <c r="E2808" t="str">
        <f t="shared" si="1135"/>
        <v>KFH-OPERATIONS DEPARTMENT</v>
      </c>
      <c r="F2808" t="str">
        <f t="shared" si="1136"/>
        <v>IBG</v>
      </c>
      <c r="G2808" t="str">
        <f t="shared" si="1147"/>
        <v>Refund COSHARE 10</v>
      </c>
      <c r="H2808" s="2">
        <v>1372.5</v>
      </c>
      <c r="I2808" t="str">
        <f>"NOR HAFIZAH BINTI MD TAMAJI"</f>
        <v>NOR HAFIZAH BINTI MD TAMAJI</v>
      </c>
      <c r="J2808" t="str">
        <f t="shared" si="1150"/>
        <v>MAYBANK / MAYBANK ISLAMIC</v>
      </c>
      <c r="K2808" t="str">
        <f>"101020334656"</f>
        <v>101020334656</v>
      </c>
      <c r="L2808" t="str">
        <f t="shared" si="1155"/>
        <v>04-08-2020</v>
      </c>
      <c r="M2808" t="str">
        <f t="shared" si="1155"/>
        <v>04-08-2020</v>
      </c>
      <c r="N2808" t="str">
        <f t="shared" si="1137"/>
        <v>001105018356</v>
      </c>
      <c r="O2808" t="str">
        <f t="shared" si="1138"/>
        <v>MYR</v>
      </c>
      <c r="P2808" t="str">
        <f t="shared" si="1156"/>
        <v>NIL</v>
      </c>
      <c r="Q2808" t="str">
        <f t="shared" si="1156"/>
        <v>NIL</v>
      </c>
      <c r="R2808" t="str">
        <f t="shared" si="1139"/>
        <v>Accepted</v>
      </c>
      <c r="S2808" t="str">
        <f t="shared" si="1140"/>
        <v>Approved</v>
      </c>
      <c r="T2808" t="str">
        <f t="shared" si="1141"/>
        <v>10.20.8.188</v>
      </c>
      <c r="U2808" t="str">
        <f t="shared" si="1142"/>
        <v>AZRAD UMAR BIN SHAARI</v>
      </c>
      <c r="V2808" t="str">
        <f t="shared" si="1143"/>
        <v>FARHANA BINTI MUSTAPA</v>
      </c>
      <c r="W2808" t="str">
        <f t="shared" si="1144"/>
        <v>04-08-2020</v>
      </c>
      <c r="X2808" t="str">
        <f t="shared" si="1145"/>
        <v>RAZIMAH ANSAR AHMAD</v>
      </c>
      <c r="Y2808" t="str">
        <f t="shared" si="1146"/>
        <v>04-08-2020</v>
      </c>
      <c r="Z2808" t="str">
        <f>"COS10200804 6346"</f>
        <v>COS10200804 6346</v>
      </c>
    </row>
    <row r="2809" spans="1:26" x14ac:dyDescent="0.25">
      <c r="A2809" t="str">
        <f t="shared" si="1151"/>
        <v>04-08-2020 01:00:00</v>
      </c>
      <c r="B2809" t="str">
        <f>"0000808138"</f>
        <v>0000808138</v>
      </c>
      <c r="C2809" t="str">
        <f t="shared" si="1152"/>
        <v>0000807993</v>
      </c>
      <c r="D2809" t="str">
        <f t="shared" si="1134"/>
        <v>73185</v>
      </c>
      <c r="E2809" t="str">
        <f t="shared" si="1135"/>
        <v>KFH-OPERATIONS DEPARTMENT</v>
      </c>
      <c r="F2809" t="str">
        <f t="shared" si="1136"/>
        <v>IBG</v>
      </c>
      <c r="G2809" t="str">
        <f t="shared" si="1147"/>
        <v>Refund COSHARE 10</v>
      </c>
      <c r="H2809" s="2">
        <v>1091.3499999999999</v>
      </c>
      <c r="I2809" t="str">
        <f>"NOR HAFIZAH BINTI AHMAD"</f>
        <v>NOR HAFIZAH BINTI AHMAD</v>
      </c>
      <c r="J2809" t="str">
        <f t="shared" si="1150"/>
        <v>MAYBANK / MAYBANK ISLAMIC</v>
      </c>
      <c r="K2809" t="str">
        <f>"157410016236"</f>
        <v>157410016236</v>
      </c>
      <c r="L2809" t="str">
        <f t="shared" si="1155"/>
        <v>04-08-2020</v>
      </c>
      <c r="M2809" t="str">
        <f t="shared" si="1155"/>
        <v>04-08-2020</v>
      </c>
      <c r="N2809" t="str">
        <f t="shared" si="1137"/>
        <v>001105018356</v>
      </c>
      <c r="O2809" t="str">
        <f t="shared" si="1138"/>
        <v>MYR</v>
      </c>
      <c r="P2809" t="str">
        <f t="shared" si="1156"/>
        <v>NIL</v>
      </c>
      <c r="Q2809" t="str">
        <f t="shared" si="1156"/>
        <v>NIL</v>
      </c>
      <c r="R2809" t="str">
        <f t="shared" si="1139"/>
        <v>Accepted</v>
      </c>
      <c r="S2809" t="str">
        <f t="shared" si="1140"/>
        <v>Approved</v>
      </c>
      <c r="T2809" t="str">
        <f t="shared" si="1141"/>
        <v>10.20.8.188</v>
      </c>
      <c r="U2809" t="str">
        <f t="shared" si="1142"/>
        <v>AZRAD UMAR BIN SHAARI</v>
      </c>
      <c r="V2809" t="str">
        <f t="shared" si="1143"/>
        <v>FARHANA BINTI MUSTAPA</v>
      </c>
      <c r="W2809" t="str">
        <f t="shared" si="1144"/>
        <v>04-08-2020</v>
      </c>
      <c r="X2809" t="str">
        <f t="shared" si="1145"/>
        <v>RAZIMAH ANSAR AHMAD</v>
      </c>
      <c r="Y2809" t="str">
        <f t="shared" si="1146"/>
        <v>04-08-2020</v>
      </c>
      <c r="Z2809" t="str">
        <f>"COS10200804 6345"</f>
        <v>COS10200804 6345</v>
      </c>
    </row>
    <row r="2810" spans="1:26" x14ac:dyDescent="0.25">
      <c r="A2810" t="str">
        <f t="shared" si="1151"/>
        <v>04-08-2020 01:00:00</v>
      </c>
      <c r="B2810" t="str">
        <f>"0000808137"</f>
        <v>0000808137</v>
      </c>
      <c r="C2810" t="str">
        <f t="shared" si="1152"/>
        <v>0000807993</v>
      </c>
      <c r="D2810" t="str">
        <f t="shared" si="1134"/>
        <v>73185</v>
      </c>
      <c r="E2810" t="str">
        <f t="shared" si="1135"/>
        <v>KFH-OPERATIONS DEPARTMENT</v>
      </c>
      <c r="F2810" t="str">
        <f t="shared" si="1136"/>
        <v>IBG</v>
      </c>
      <c r="G2810" t="str">
        <f t="shared" si="1147"/>
        <v>Refund COSHARE 10</v>
      </c>
      <c r="H2810" s="2">
        <v>83.95</v>
      </c>
      <c r="I2810" t="str">
        <f>"NOR HAFIZ BIN BAHARI"</f>
        <v>NOR HAFIZ BIN BAHARI</v>
      </c>
      <c r="J2810" t="str">
        <f t="shared" si="1150"/>
        <v>MAYBANK / MAYBANK ISLAMIC</v>
      </c>
      <c r="K2810" t="str">
        <f>"156084834352"</f>
        <v>156084834352</v>
      </c>
      <c r="L2810" t="str">
        <f t="shared" si="1155"/>
        <v>04-08-2020</v>
      </c>
      <c r="M2810" t="str">
        <f t="shared" si="1155"/>
        <v>04-08-2020</v>
      </c>
      <c r="N2810" t="str">
        <f t="shared" si="1137"/>
        <v>001105018356</v>
      </c>
      <c r="O2810" t="str">
        <f t="shared" si="1138"/>
        <v>MYR</v>
      </c>
      <c r="P2810" t="str">
        <f t="shared" si="1156"/>
        <v>NIL</v>
      </c>
      <c r="Q2810" t="str">
        <f t="shared" si="1156"/>
        <v>NIL</v>
      </c>
      <c r="R2810" t="str">
        <f t="shared" si="1139"/>
        <v>Accepted</v>
      </c>
      <c r="S2810" t="str">
        <f t="shared" si="1140"/>
        <v>Approved</v>
      </c>
      <c r="T2810" t="str">
        <f t="shared" si="1141"/>
        <v>10.20.8.188</v>
      </c>
      <c r="U2810" t="str">
        <f t="shared" si="1142"/>
        <v>AZRAD UMAR BIN SHAARI</v>
      </c>
      <c r="V2810" t="str">
        <f t="shared" si="1143"/>
        <v>FARHANA BINTI MUSTAPA</v>
      </c>
      <c r="W2810" t="str">
        <f t="shared" si="1144"/>
        <v>04-08-2020</v>
      </c>
      <c r="X2810" t="str">
        <f t="shared" si="1145"/>
        <v>RAZIMAH ANSAR AHMAD</v>
      </c>
      <c r="Y2810" t="str">
        <f t="shared" si="1146"/>
        <v>04-08-2020</v>
      </c>
      <c r="Z2810" t="str">
        <f>"COS10200804 6344"</f>
        <v>COS10200804 6344</v>
      </c>
    </row>
    <row r="2811" spans="1:26" x14ac:dyDescent="0.25">
      <c r="A2811" t="str">
        <f t="shared" si="1151"/>
        <v>04-08-2020 01:00:00</v>
      </c>
      <c r="B2811" t="str">
        <f>"0000808136"</f>
        <v>0000808136</v>
      </c>
      <c r="C2811" t="str">
        <f t="shared" si="1152"/>
        <v>0000807993</v>
      </c>
      <c r="D2811" t="str">
        <f t="shared" si="1134"/>
        <v>73185</v>
      </c>
      <c r="E2811" t="str">
        <f t="shared" si="1135"/>
        <v>KFH-OPERATIONS DEPARTMENT</v>
      </c>
      <c r="F2811" t="str">
        <f t="shared" si="1136"/>
        <v>IBG</v>
      </c>
      <c r="G2811" t="str">
        <f t="shared" si="1147"/>
        <v>Refund COSHARE 10</v>
      </c>
      <c r="H2811" s="2">
        <v>100</v>
      </c>
      <c r="I2811" t="str">
        <f>"NOR HABIBAH BINTI MOHD SIDEK"</f>
        <v>NOR HABIBAH BINTI MOHD SIDEK</v>
      </c>
      <c r="J2811" t="str">
        <f t="shared" si="1150"/>
        <v>MAYBANK / MAYBANK ISLAMIC</v>
      </c>
      <c r="K2811" t="str">
        <f>"112679040049"</f>
        <v>112679040049</v>
      </c>
      <c r="L2811" t="str">
        <f t="shared" si="1155"/>
        <v>04-08-2020</v>
      </c>
      <c r="M2811" t="str">
        <f t="shared" si="1155"/>
        <v>04-08-2020</v>
      </c>
      <c r="N2811" t="str">
        <f t="shared" si="1137"/>
        <v>001105018356</v>
      </c>
      <c r="O2811" t="str">
        <f t="shared" si="1138"/>
        <v>MYR</v>
      </c>
      <c r="P2811" t="str">
        <f t="shared" si="1156"/>
        <v>NIL</v>
      </c>
      <c r="Q2811" t="str">
        <f t="shared" si="1156"/>
        <v>NIL</v>
      </c>
      <c r="R2811" t="str">
        <f t="shared" si="1139"/>
        <v>Accepted</v>
      </c>
      <c r="S2811" t="str">
        <f t="shared" si="1140"/>
        <v>Approved</v>
      </c>
      <c r="T2811" t="str">
        <f t="shared" si="1141"/>
        <v>10.20.8.188</v>
      </c>
      <c r="U2811" t="str">
        <f t="shared" si="1142"/>
        <v>AZRAD UMAR BIN SHAARI</v>
      </c>
      <c r="V2811" t="str">
        <f t="shared" si="1143"/>
        <v>FARHANA BINTI MUSTAPA</v>
      </c>
      <c r="W2811" t="str">
        <f t="shared" si="1144"/>
        <v>04-08-2020</v>
      </c>
      <c r="X2811" t="str">
        <f t="shared" si="1145"/>
        <v>RAZIMAH ANSAR AHMAD</v>
      </c>
      <c r="Y2811" t="str">
        <f t="shared" si="1146"/>
        <v>04-08-2020</v>
      </c>
      <c r="Z2811" t="str">
        <f>"COS10200804 6343"</f>
        <v>COS10200804 6343</v>
      </c>
    </row>
    <row r="2812" spans="1:26" x14ac:dyDescent="0.25">
      <c r="A2812" t="str">
        <f t="shared" si="1151"/>
        <v>04-08-2020 01:00:00</v>
      </c>
      <c r="B2812" t="str">
        <f>"0000808135"</f>
        <v>0000808135</v>
      </c>
      <c r="C2812" t="str">
        <f t="shared" si="1152"/>
        <v>0000807993</v>
      </c>
      <c r="D2812" t="str">
        <f t="shared" si="1134"/>
        <v>73185</v>
      </c>
      <c r="E2812" t="str">
        <f t="shared" si="1135"/>
        <v>KFH-OPERATIONS DEPARTMENT</v>
      </c>
      <c r="F2812" t="str">
        <f t="shared" si="1136"/>
        <v>IBG</v>
      </c>
      <c r="G2812" t="str">
        <f t="shared" si="1147"/>
        <v>Refund COSHARE 10</v>
      </c>
      <c r="H2812" s="2">
        <v>1679</v>
      </c>
      <c r="I2812" t="str">
        <f>"NOR FAZLINA BINTI MOHD RODZI"</f>
        <v>NOR FAZLINA BINTI MOHD RODZI</v>
      </c>
      <c r="J2812" t="str">
        <f t="shared" si="1150"/>
        <v>MAYBANK / MAYBANK ISLAMIC</v>
      </c>
      <c r="K2812" t="str">
        <f>"158172913936"</f>
        <v>158172913936</v>
      </c>
      <c r="L2812" t="str">
        <f t="shared" si="1155"/>
        <v>04-08-2020</v>
      </c>
      <c r="M2812" t="str">
        <f t="shared" si="1155"/>
        <v>04-08-2020</v>
      </c>
      <c r="N2812" t="str">
        <f t="shared" si="1137"/>
        <v>001105018356</v>
      </c>
      <c r="O2812" t="str">
        <f t="shared" si="1138"/>
        <v>MYR</v>
      </c>
      <c r="P2812" t="str">
        <f t="shared" si="1156"/>
        <v>NIL</v>
      </c>
      <c r="Q2812" t="str">
        <f t="shared" si="1156"/>
        <v>NIL</v>
      </c>
      <c r="R2812" t="str">
        <f t="shared" si="1139"/>
        <v>Accepted</v>
      </c>
      <c r="S2812" t="str">
        <f t="shared" si="1140"/>
        <v>Approved</v>
      </c>
      <c r="T2812" t="str">
        <f t="shared" si="1141"/>
        <v>10.20.8.188</v>
      </c>
      <c r="U2812" t="str">
        <f t="shared" si="1142"/>
        <v>AZRAD UMAR BIN SHAARI</v>
      </c>
      <c r="V2812" t="str">
        <f t="shared" si="1143"/>
        <v>FARHANA BINTI MUSTAPA</v>
      </c>
      <c r="W2812" t="str">
        <f t="shared" si="1144"/>
        <v>04-08-2020</v>
      </c>
      <c r="X2812" t="str">
        <f t="shared" si="1145"/>
        <v>RAZIMAH ANSAR AHMAD</v>
      </c>
      <c r="Y2812" t="str">
        <f t="shared" si="1146"/>
        <v>04-08-2020</v>
      </c>
      <c r="Z2812" t="str">
        <f>"COS10200804 6342"</f>
        <v>COS10200804 6342</v>
      </c>
    </row>
    <row r="2813" spans="1:26" x14ac:dyDescent="0.25">
      <c r="A2813" t="str">
        <f t="shared" si="1151"/>
        <v>04-08-2020 01:00:00</v>
      </c>
      <c r="B2813" t="str">
        <f>"0000808134"</f>
        <v>0000808134</v>
      </c>
      <c r="C2813" t="str">
        <f t="shared" si="1152"/>
        <v>0000807993</v>
      </c>
      <c r="D2813" t="str">
        <f t="shared" si="1134"/>
        <v>73185</v>
      </c>
      <c r="E2813" t="str">
        <f t="shared" si="1135"/>
        <v>KFH-OPERATIONS DEPARTMENT</v>
      </c>
      <c r="F2813" t="str">
        <f t="shared" si="1136"/>
        <v>IBG</v>
      </c>
      <c r="G2813" t="str">
        <f t="shared" si="1147"/>
        <v>Refund COSHARE 10</v>
      </c>
      <c r="H2813" s="2">
        <v>671.6</v>
      </c>
      <c r="I2813" t="str">
        <f>"NOR FARNIZA BINTI MUSTAFHA"</f>
        <v>NOR FARNIZA BINTI MUSTAFHA</v>
      </c>
      <c r="J2813" t="str">
        <f t="shared" si="1150"/>
        <v>MAYBANK / MAYBANK ISLAMIC</v>
      </c>
      <c r="K2813" t="str">
        <f>"158088222765"</f>
        <v>158088222765</v>
      </c>
      <c r="L2813" t="str">
        <f t="shared" si="1155"/>
        <v>04-08-2020</v>
      </c>
      <c r="M2813" t="str">
        <f t="shared" si="1155"/>
        <v>04-08-2020</v>
      </c>
      <c r="N2813" t="str">
        <f t="shared" si="1137"/>
        <v>001105018356</v>
      </c>
      <c r="O2813" t="str">
        <f t="shared" si="1138"/>
        <v>MYR</v>
      </c>
      <c r="P2813" t="str">
        <f t="shared" si="1156"/>
        <v>NIL</v>
      </c>
      <c r="Q2813" t="str">
        <f t="shared" si="1156"/>
        <v>NIL</v>
      </c>
      <c r="R2813" t="str">
        <f t="shared" si="1139"/>
        <v>Accepted</v>
      </c>
      <c r="S2813" t="str">
        <f t="shared" si="1140"/>
        <v>Approved</v>
      </c>
      <c r="T2813" t="str">
        <f t="shared" si="1141"/>
        <v>10.20.8.188</v>
      </c>
      <c r="U2813" t="str">
        <f t="shared" si="1142"/>
        <v>AZRAD UMAR BIN SHAARI</v>
      </c>
      <c r="V2813" t="str">
        <f t="shared" si="1143"/>
        <v>FARHANA BINTI MUSTAPA</v>
      </c>
      <c r="W2813" t="str">
        <f t="shared" si="1144"/>
        <v>04-08-2020</v>
      </c>
      <c r="X2813" t="str">
        <f t="shared" si="1145"/>
        <v>RAZIMAH ANSAR AHMAD</v>
      </c>
      <c r="Y2813" t="str">
        <f t="shared" si="1146"/>
        <v>04-08-2020</v>
      </c>
      <c r="Z2813" t="str">
        <f>"COS10200804 6341"</f>
        <v>COS10200804 6341</v>
      </c>
    </row>
    <row r="2814" spans="1:26" x14ac:dyDescent="0.25">
      <c r="A2814" t="str">
        <f t="shared" si="1151"/>
        <v>04-08-2020 01:00:00</v>
      </c>
      <c r="B2814" t="str">
        <f>"0000808133"</f>
        <v>0000808133</v>
      </c>
      <c r="C2814" t="str">
        <f t="shared" si="1152"/>
        <v>0000807993</v>
      </c>
      <c r="D2814" t="str">
        <f t="shared" si="1134"/>
        <v>73185</v>
      </c>
      <c r="E2814" t="str">
        <f t="shared" si="1135"/>
        <v>KFH-OPERATIONS DEPARTMENT</v>
      </c>
      <c r="F2814" t="str">
        <f t="shared" si="1136"/>
        <v>IBG</v>
      </c>
      <c r="G2814" t="str">
        <f t="shared" si="1147"/>
        <v>Refund COSHARE 10</v>
      </c>
      <c r="H2814" s="2">
        <v>67.2</v>
      </c>
      <c r="I2814" t="str">
        <f>"NOR FARIZA BINTI MOHD RADZI"</f>
        <v>NOR FARIZA BINTI MOHD RADZI</v>
      </c>
      <c r="J2814" t="str">
        <f t="shared" si="1150"/>
        <v>MAYBANK / MAYBANK ISLAMIC</v>
      </c>
      <c r="K2814" t="str">
        <f>"166010081979"</f>
        <v>166010081979</v>
      </c>
      <c r="L2814" t="str">
        <f t="shared" si="1155"/>
        <v>04-08-2020</v>
      </c>
      <c r="M2814" t="str">
        <f t="shared" si="1155"/>
        <v>04-08-2020</v>
      </c>
      <c r="N2814" t="str">
        <f t="shared" si="1137"/>
        <v>001105018356</v>
      </c>
      <c r="O2814" t="str">
        <f t="shared" si="1138"/>
        <v>MYR</v>
      </c>
      <c r="P2814" t="str">
        <f t="shared" si="1156"/>
        <v>NIL</v>
      </c>
      <c r="Q2814" t="str">
        <f t="shared" si="1156"/>
        <v>NIL</v>
      </c>
      <c r="R2814" t="str">
        <f t="shared" si="1139"/>
        <v>Accepted</v>
      </c>
      <c r="S2814" t="str">
        <f t="shared" si="1140"/>
        <v>Approved</v>
      </c>
      <c r="T2814" t="str">
        <f t="shared" si="1141"/>
        <v>10.20.8.188</v>
      </c>
      <c r="U2814" t="str">
        <f t="shared" si="1142"/>
        <v>AZRAD UMAR BIN SHAARI</v>
      </c>
      <c r="V2814" t="str">
        <f t="shared" si="1143"/>
        <v>FARHANA BINTI MUSTAPA</v>
      </c>
      <c r="W2814" t="str">
        <f t="shared" si="1144"/>
        <v>04-08-2020</v>
      </c>
      <c r="X2814" t="str">
        <f t="shared" si="1145"/>
        <v>RAZIMAH ANSAR AHMAD</v>
      </c>
      <c r="Y2814" t="str">
        <f t="shared" si="1146"/>
        <v>04-08-2020</v>
      </c>
      <c r="Z2814" t="str">
        <f>"COS10200804 6340"</f>
        <v>COS10200804 6340</v>
      </c>
    </row>
    <row r="2815" spans="1:26" x14ac:dyDescent="0.25">
      <c r="A2815" t="str">
        <f t="shared" si="1151"/>
        <v>04-08-2020 01:00:00</v>
      </c>
      <c r="B2815" t="str">
        <f>"0000808132"</f>
        <v>0000808132</v>
      </c>
      <c r="C2815" t="str">
        <f t="shared" si="1152"/>
        <v>0000807993</v>
      </c>
      <c r="D2815" t="str">
        <f t="shared" si="1134"/>
        <v>73185</v>
      </c>
      <c r="E2815" t="str">
        <f t="shared" si="1135"/>
        <v>KFH-OPERATIONS DEPARTMENT</v>
      </c>
      <c r="F2815" t="str">
        <f t="shared" si="1136"/>
        <v>IBG</v>
      </c>
      <c r="G2815" t="str">
        <f t="shared" si="1147"/>
        <v>Refund COSHARE 10</v>
      </c>
      <c r="H2815" s="2">
        <v>476.6</v>
      </c>
      <c r="I2815" t="str">
        <f>"NOR FARHANA BINTI AB MANAF"</f>
        <v>NOR FARHANA BINTI AB MANAF</v>
      </c>
      <c r="J2815" t="str">
        <f t="shared" si="1150"/>
        <v>MAYBANK / MAYBANK ISLAMIC</v>
      </c>
      <c r="K2815" t="str">
        <f>"153029230221"</f>
        <v>153029230221</v>
      </c>
      <c r="L2815" t="str">
        <f t="shared" si="1155"/>
        <v>04-08-2020</v>
      </c>
      <c r="M2815" t="str">
        <f t="shared" si="1155"/>
        <v>04-08-2020</v>
      </c>
      <c r="N2815" t="str">
        <f t="shared" si="1137"/>
        <v>001105018356</v>
      </c>
      <c r="O2815" t="str">
        <f t="shared" si="1138"/>
        <v>MYR</v>
      </c>
      <c r="P2815" t="str">
        <f t="shared" si="1156"/>
        <v>NIL</v>
      </c>
      <c r="Q2815" t="str">
        <f t="shared" si="1156"/>
        <v>NIL</v>
      </c>
      <c r="R2815" t="str">
        <f t="shared" si="1139"/>
        <v>Accepted</v>
      </c>
      <c r="S2815" t="str">
        <f t="shared" si="1140"/>
        <v>Approved</v>
      </c>
      <c r="T2815" t="str">
        <f t="shared" si="1141"/>
        <v>10.20.8.188</v>
      </c>
      <c r="U2815" t="str">
        <f t="shared" si="1142"/>
        <v>AZRAD UMAR BIN SHAARI</v>
      </c>
      <c r="V2815" t="str">
        <f t="shared" si="1143"/>
        <v>FARHANA BINTI MUSTAPA</v>
      </c>
      <c r="W2815" t="str">
        <f t="shared" si="1144"/>
        <v>04-08-2020</v>
      </c>
      <c r="X2815" t="str">
        <f t="shared" si="1145"/>
        <v>RAZIMAH ANSAR AHMAD</v>
      </c>
      <c r="Y2815" t="str">
        <f t="shared" si="1146"/>
        <v>04-08-2020</v>
      </c>
      <c r="Z2815" t="str">
        <f>"COS10200804 6339"</f>
        <v>COS10200804 6339</v>
      </c>
    </row>
    <row r="2816" spans="1:26" x14ac:dyDescent="0.25">
      <c r="A2816" t="str">
        <f t="shared" si="1151"/>
        <v>04-08-2020 01:00:00</v>
      </c>
      <c r="B2816" t="str">
        <f>"0000808131"</f>
        <v>0000808131</v>
      </c>
      <c r="C2816" t="str">
        <f t="shared" si="1152"/>
        <v>0000807993</v>
      </c>
      <c r="D2816" t="str">
        <f t="shared" si="1134"/>
        <v>73185</v>
      </c>
      <c r="E2816" t="str">
        <f t="shared" si="1135"/>
        <v>KFH-OPERATIONS DEPARTMENT</v>
      </c>
      <c r="F2816" t="str">
        <f t="shared" si="1136"/>
        <v>IBG</v>
      </c>
      <c r="G2816" t="str">
        <f t="shared" si="1147"/>
        <v>Refund COSHARE 10</v>
      </c>
      <c r="H2816" s="2">
        <v>42</v>
      </c>
      <c r="I2816" t="str">
        <f>"NOR FARAHZIAWAN BINTI AWANG"</f>
        <v>NOR FARAHZIAWAN BINTI AWANG</v>
      </c>
      <c r="J2816" t="str">
        <f t="shared" si="1150"/>
        <v>MAYBANK / MAYBANK ISLAMIC</v>
      </c>
      <c r="K2816" t="str">
        <f>"110032153171"</f>
        <v>110032153171</v>
      </c>
      <c r="L2816" t="str">
        <f t="shared" si="1155"/>
        <v>04-08-2020</v>
      </c>
      <c r="M2816" t="str">
        <f t="shared" si="1155"/>
        <v>04-08-2020</v>
      </c>
      <c r="N2816" t="str">
        <f t="shared" si="1137"/>
        <v>001105018356</v>
      </c>
      <c r="O2816" t="str">
        <f t="shared" si="1138"/>
        <v>MYR</v>
      </c>
      <c r="P2816" t="str">
        <f t="shared" si="1156"/>
        <v>NIL</v>
      </c>
      <c r="Q2816" t="str">
        <f t="shared" si="1156"/>
        <v>NIL</v>
      </c>
      <c r="R2816" t="str">
        <f t="shared" si="1139"/>
        <v>Accepted</v>
      </c>
      <c r="S2816" t="str">
        <f t="shared" si="1140"/>
        <v>Approved</v>
      </c>
      <c r="T2816" t="str">
        <f t="shared" si="1141"/>
        <v>10.20.8.188</v>
      </c>
      <c r="U2816" t="str">
        <f t="shared" si="1142"/>
        <v>AZRAD UMAR BIN SHAARI</v>
      </c>
      <c r="V2816" t="str">
        <f t="shared" si="1143"/>
        <v>FARHANA BINTI MUSTAPA</v>
      </c>
      <c r="W2816" t="str">
        <f t="shared" si="1144"/>
        <v>04-08-2020</v>
      </c>
      <c r="X2816" t="str">
        <f t="shared" si="1145"/>
        <v>RAZIMAH ANSAR AHMAD</v>
      </c>
      <c r="Y2816" t="str">
        <f t="shared" si="1146"/>
        <v>04-08-2020</v>
      </c>
      <c r="Z2816" t="str">
        <f>"COS10200804 6338"</f>
        <v>COS10200804 6338</v>
      </c>
    </row>
    <row r="2817" spans="1:26" x14ac:dyDescent="0.25">
      <c r="A2817" t="str">
        <f t="shared" si="1151"/>
        <v>04-08-2020 01:00:00</v>
      </c>
      <c r="B2817" t="str">
        <f>"0000808130"</f>
        <v>0000808130</v>
      </c>
      <c r="C2817" t="str">
        <f t="shared" si="1152"/>
        <v>0000807993</v>
      </c>
      <c r="D2817" t="str">
        <f t="shared" si="1134"/>
        <v>73185</v>
      </c>
      <c r="E2817" t="str">
        <f t="shared" si="1135"/>
        <v>KFH-OPERATIONS DEPARTMENT</v>
      </c>
      <c r="F2817" t="str">
        <f t="shared" si="1136"/>
        <v>IBG</v>
      </c>
      <c r="G2817" t="str">
        <f t="shared" si="1147"/>
        <v>Refund COSHARE 10</v>
      </c>
      <c r="H2817" s="2">
        <v>100.75</v>
      </c>
      <c r="I2817" t="str">
        <f>"NOR FAIZA BINTI HASSAN"</f>
        <v>NOR FAIZA BINTI HASSAN</v>
      </c>
      <c r="J2817" t="str">
        <f t="shared" si="1150"/>
        <v>MAYBANK / MAYBANK ISLAMIC</v>
      </c>
      <c r="K2817" t="str">
        <f>"101106204250"</f>
        <v>101106204250</v>
      </c>
      <c r="L2817" t="str">
        <f t="shared" si="1155"/>
        <v>04-08-2020</v>
      </c>
      <c r="M2817" t="str">
        <f t="shared" si="1155"/>
        <v>04-08-2020</v>
      </c>
      <c r="N2817" t="str">
        <f t="shared" si="1137"/>
        <v>001105018356</v>
      </c>
      <c r="O2817" t="str">
        <f t="shared" si="1138"/>
        <v>MYR</v>
      </c>
      <c r="P2817" t="str">
        <f t="shared" si="1156"/>
        <v>NIL</v>
      </c>
      <c r="Q2817" t="str">
        <f t="shared" si="1156"/>
        <v>NIL</v>
      </c>
      <c r="R2817" t="str">
        <f t="shared" si="1139"/>
        <v>Accepted</v>
      </c>
      <c r="S2817" t="str">
        <f t="shared" si="1140"/>
        <v>Approved</v>
      </c>
      <c r="T2817" t="str">
        <f t="shared" si="1141"/>
        <v>10.20.8.188</v>
      </c>
      <c r="U2817" t="str">
        <f t="shared" si="1142"/>
        <v>AZRAD UMAR BIN SHAARI</v>
      </c>
      <c r="V2817" t="str">
        <f t="shared" si="1143"/>
        <v>FARHANA BINTI MUSTAPA</v>
      </c>
      <c r="W2817" t="str">
        <f t="shared" si="1144"/>
        <v>04-08-2020</v>
      </c>
      <c r="X2817" t="str">
        <f t="shared" si="1145"/>
        <v>RAZIMAH ANSAR AHMAD</v>
      </c>
      <c r="Y2817" t="str">
        <f t="shared" si="1146"/>
        <v>04-08-2020</v>
      </c>
      <c r="Z2817" t="str">
        <f>"COS10200804 6337"</f>
        <v>COS10200804 6337</v>
      </c>
    </row>
    <row r="2818" spans="1:26" x14ac:dyDescent="0.25">
      <c r="A2818" t="str">
        <f t="shared" ref="A2818:A2849" si="1157">"04-08-2020 01:00:00"</f>
        <v>04-08-2020 01:00:00</v>
      </c>
      <c r="B2818" t="str">
        <f>"0000808129"</f>
        <v>0000808129</v>
      </c>
      <c r="C2818" t="str">
        <f t="shared" ref="C2818:C2849" si="1158">"0000807993"</f>
        <v>0000807993</v>
      </c>
      <c r="D2818" t="str">
        <f t="shared" si="1134"/>
        <v>73185</v>
      </c>
      <c r="E2818" t="str">
        <f t="shared" si="1135"/>
        <v>KFH-OPERATIONS DEPARTMENT</v>
      </c>
      <c r="F2818" t="str">
        <f t="shared" si="1136"/>
        <v>IBG</v>
      </c>
      <c r="G2818" t="str">
        <f t="shared" si="1147"/>
        <v>Refund COSHARE 10</v>
      </c>
      <c r="H2818" s="2">
        <v>1175.3</v>
      </c>
      <c r="I2818" t="str">
        <f>"NOR FAIRUZ BINTI MOHAMED NASIR"</f>
        <v>NOR FAIRUZ BINTI MOHAMED NASIR</v>
      </c>
      <c r="J2818" t="str">
        <f t="shared" si="1150"/>
        <v>MAYBANK / MAYBANK ISLAMIC</v>
      </c>
      <c r="K2818" t="str">
        <f>"106138074199"</f>
        <v>106138074199</v>
      </c>
      <c r="L2818" t="str">
        <f t="shared" si="1155"/>
        <v>04-08-2020</v>
      </c>
      <c r="M2818" t="str">
        <f t="shared" si="1155"/>
        <v>04-08-2020</v>
      </c>
      <c r="N2818" t="str">
        <f t="shared" si="1137"/>
        <v>001105018356</v>
      </c>
      <c r="O2818" t="str">
        <f t="shared" si="1138"/>
        <v>MYR</v>
      </c>
      <c r="P2818" t="str">
        <f t="shared" si="1156"/>
        <v>NIL</v>
      </c>
      <c r="Q2818" t="str">
        <f t="shared" si="1156"/>
        <v>NIL</v>
      </c>
      <c r="R2818" t="str">
        <f t="shared" si="1139"/>
        <v>Accepted</v>
      </c>
      <c r="S2818" t="str">
        <f t="shared" si="1140"/>
        <v>Approved</v>
      </c>
      <c r="T2818" t="str">
        <f t="shared" si="1141"/>
        <v>10.20.8.188</v>
      </c>
      <c r="U2818" t="str">
        <f t="shared" si="1142"/>
        <v>AZRAD UMAR BIN SHAARI</v>
      </c>
      <c r="V2818" t="str">
        <f t="shared" si="1143"/>
        <v>FARHANA BINTI MUSTAPA</v>
      </c>
      <c r="W2818" t="str">
        <f t="shared" si="1144"/>
        <v>04-08-2020</v>
      </c>
      <c r="X2818" t="str">
        <f t="shared" si="1145"/>
        <v>RAZIMAH ANSAR AHMAD</v>
      </c>
      <c r="Y2818" t="str">
        <f t="shared" si="1146"/>
        <v>04-08-2020</v>
      </c>
      <c r="Z2818" t="str">
        <f>"COS10200804 6336"</f>
        <v>COS10200804 6336</v>
      </c>
    </row>
    <row r="2819" spans="1:26" x14ac:dyDescent="0.25">
      <c r="A2819" t="str">
        <f t="shared" si="1157"/>
        <v>04-08-2020 01:00:00</v>
      </c>
      <c r="B2819" t="str">
        <f>"0000808128"</f>
        <v>0000808128</v>
      </c>
      <c r="C2819" t="str">
        <f t="shared" si="1158"/>
        <v>0000807993</v>
      </c>
      <c r="D2819" t="str">
        <f t="shared" si="1134"/>
        <v>73185</v>
      </c>
      <c r="E2819" t="str">
        <f t="shared" si="1135"/>
        <v>KFH-OPERATIONS DEPARTMENT</v>
      </c>
      <c r="F2819" t="str">
        <f t="shared" si="1136"/>
        <v>IBG</v>
      </c>
      <c r="G2819" t="str">
        <f t="shared" si="1147"/>
        <v>Refund COSHARE 10</v>
      </c>
      <c r="H2819" s="2">
        <v>46</v>
      </c>
      <c r="I2819" t="str">
        <f>"NOR FADZILAH BINTI IHSAN  ABDUL SANI"</f>
        <v>NOR FADZILAH BINTI IHSAN  ABDUL SANI</v>
      </c>
      <c r="J2819" t="str">
        <f t="shared" si="1150"/>
        <v>MAYBANK / MAYBANK ISLAMIC</v>
      </c>
      <c r="K2819" t="str">
        <f>"166010200266"</f>
        <v>166010200266</v>
      </c>
      <c r="L2819" t="str">
        <f t="shared" si="1155"/>
        <v>04-08-2020</v>
      </c>
      <c r="M2819" t="str">
        <f t="shared" si="1155"/>
        <v>04-08-2020</v>
      </c>
      <c r="N2819" t="str">
        <f t="shared" si="1137"/>
        <v>001105018356</v>
      </c>
      <c r="O2819" t="str">
        <f t="shared" si="1138"/>
        <v>MYR</v>
      </c>
      <c r="P2819" t="str">
        <f t="shared" si="1156"/>
        <v>NIL</v>
      </c>
      <c r="Q2819" t="str">
        <f t="shared" si="1156"/>
        <v>NIL</v>
      </c>
      <c r="R2819" t="str">
        <f t="shared" si="1139"/>
        <v>Accepted</v>
      </c>
      <c r="S2819" t="str">
        <f t="shared" si="1140"/>
        <v>Approved</v>
      </c>
      <c r="T2819" t="str">
        <f t="shared" si="1141"/>
        <v>10.20.8.188</v>
      </c>
      <c r="U2819" t="str">
        <f t="shared" si="1142"/>
        <v>AZRAD UMAR BIN SHAARI</v>
      </c>
      <c r="V2819" t="str">
        <f t="shared" si="1143"/>
        <v>FARHANA BINTI MUSTAPA</v>
      </c>
      <c r="W2819" t="str">
        <f t="shared" si="1144"/>
        <v>04-08-2020</v>
      </c>
      <c r="X2819" t="str">
        <f t="shared" si="1145"/>
        <v>RAZIMAH ANSAR AHMAD</v>
      </c>
      <c r="Y2819" t="str">
        <f t="shared" si="1146"/>
        <v>04-08-2020</v>
      </c>
      <c r="Z2819" t="str">
        <f>"COS10200804 6335"</f>
        <v>COS10200804 6335</v>
      </c>
    </row>
    <row r="2820" spans="1:26" x14ac:dyDescent="0.25">
      <c r="A2820" t="str">
        <f t="shared" si="1157"/>
        <v>04-08-2020 01:00:00</v>
      </c>
      <c r="B2820" t="str">
        <f>"0000808127"</f>
        <v>0000808127</v>
      </c>
      <c r="C2820" t="str">
        <f t="shared" si="1158"/>
        <v>0000807993</v>
      </c>
      <c r="D2820" t="str">
        <f t="shared" si="1134"/>
        <v>73185</v>
      </c>
      <c r="E2820" t="str">
        <f t="shared" si="1135"/>
        <v>KFH-OPERATIONS DEPARTMENT</v>
      </c>
      <c r="F2820" t="str">
        <f t="shared" si="1136"/>
        <v>IBG</v>
      </c>
      <c r="G2820" t="str">
        <f t="shared" si="1147"/>
        <v>Refund COSHARE 10</v>
      </c>
      <c r="H2820" s="2">
        <v>76</v>
      </c>
      <c r="I2820" t="str">
        <f>"NOR FADHILAH BINTI YUSOFF"</f>
        <v>NOR FADHILAH BINTI YUSOFF</v>
      </c>
      <c r="J2820" t="str">
        <f t="shared" si="1150"/>
        <v>MAYBANK / MAYBANK ISLAMIC</v>
      </c>
      <c r="K2820" t="str">
        <f>"153010455792"</f>
        <v>153010455792</v>
      </c>
      <c r="L2820" t="str">
        <f t="shared" si="1155"/>
        <v>04-08-2020</v>
      </c>
      <c r="M2820" t="str">
        <f t="shared" si="1155"/>
        <v>04-08-2020</v>
      </c>
      <c r="N2820" t="str">
        <f t="shared" si="1137"/>
        <v>001105018356</v>
      </c>
      <c r="O2820" t="str">
        <f t="shared" si="1138"/>
        <v>MYR</v>
      </c>
      <c r="P2820" t="str">
        <f t="shared" si="1156"/>
        <v>NIL</v>
      </c>
      <c r="Q2820" t="str">
        <f t="shared" si="1156"/>
        <v>NIL</v>
      </c>
      <c r="R2820" t="str">
        <f t="shared" si="1139"/>
        <v>Accepted</v>
      </c>
      <c r="S2820" t="str">
        <f t="shared" si="1140"/>
        <v>Approved</v>
      </c>
      <c r="T2820" t="str">
        <f t="shared" si="1141"/>
        <v>10.20.8.188</v>
      </c>
      <c r="U2820" t="str">
        <f t="shared" si="1142"/>
        <v>AZRAD UMAR BIN SHAARI</v>
      </c>
      <c r="V2820" t="str">
        <f t="shared" si="1143"/>
        <v>FARHANA BINTI MUSTAPA</v>
      </c>
      <c r="W2820" t="str">
        <f t="shared" si="1144"/>
        <v>04-08-2020</v>
      </c>
      <c r="X2820" t="str">
        <f t="shared" si="1145"/>
        <v>RAZIMAH ANSAR AHMAD</v>
      </c>
      <c r="Y2820" t="str">
        <f t="shared" si="1146"/>
        <v>04-08-2020</v>
      </c>
      <c r="Z2820" t="str">
        <f>"COS10200804 6334"</f>
        <v>COS10200804 6334</v>
      </c>
    </row>
    <row r="2821" spans="1:26" x14ac:dyDescent="0.25">
      <c r="A2821" t="str">
        <f t="shared" si="1157"/>
        <v>04-08-2020 01:00:00</v>
      </c>
      <c r="B2821" t="str">
        <f>"0000808126"</f>
        <v>0000808126</v>
      </c>
      <c r="C2821" t="str">
        <f t="shared" si="1158"/>
        <v>0000807993</v>
      </c>
      <c r="D2821" t="str">
        <f t="shared" si="1134"/>
        <v>73185</v>
      </c>
      <c r="E2821" t="str">
        <f t="shared" si="1135"/>
        <v>KFH-OPERATIONS DEPARTMENT</v>
      </c>
      <c r="F2821" t="str">
        <f t="shared" si="1136"/>
        <v>IBG</v>
      </c>
      <c r="G2821" t="str">
        <f t="shared" si="1147"/>
        <v>Refund COSHARE 10</v>
      </c>
      <c r="H2821" s="2">
        <v>344.2</v>
      </c>
      <c r="I2821" t="str">
        <f>"NOR EZWATY BINTI MOHD BAHROR"</f>
        <v>NOR EZWATY BINTI MOHD BAHROR</v>
      </c>
      <c r="J2821" t="str">
        <f t="shared" si="1150"/>
        <v>MAYBANK / MAYBANK ISLAMIC</v>
      </c>
      <c r="K2821" t="str">
        <f>"164155514980"</f>
        <v>164155514980</v>
      </c>
      <c r="L2821" t="str">
        <f t="shared" si="1155"/>
        <v>04-08-2020</v>
      </c>
      <c r="M2821" t="str">
        <f t="shared" si="1155"/>
        <v>04-08-2020</v>
      </c>
      <c r="N2821" t="str">
        <f t="shared" si="1137"/>
        <v>001105018356</v>
      </c>
      <c r="O2821" t="str">
        <f t="shared" si="1138"/>
        <v>MYR</v>
      </c>
      <c r="P2821" t="str">
        <f t="shared" si="1156"/>
        <v>NIL</v>
      </c>
      <c r="Q2821" t="str">
        <f t="shared" si="1156"/>
        <v>NIL</v>
      </c>
      <c r="R2821" t="str">
        <f t="shared" si="1139"/>
        <v>Accepted</v>
      </c>
      <c r="S2821" t="str">
        <f t="shared" si="1140"/>
        <v>Approved</v>
      </c>
      <c r="T2821" t="str">
        <f t="shared" si="1141"/>
        <v>10.20.8.188</v>
      </c>
      <c r="U2821" t="str">
        <f t="shared" si="1142"/>
        <v>AZRAD UMAR BIN SHAARI</v>
      </c>
      <c r="V2821" t="str">
        <f t="shared" si="1143"/>
        <v>FARHANA BINTI MUSTAPA</v>
      </c>
      <c r="W2821" t="str">
        <f t="shared" si="1144"/>
        <v>04-08-2020</v>
      </c>
      <c r="X2821" t="str">
        <f t="shared" si="1145"/>
        <v>RAZIMAH ANSAR AHMAD</v>
      </c>
      <c r="Y2821" t="str">
        <f t="shared" si="1146"/>
        <v>04-08-2020</v>
      </c>
      <c r="Z2821" t="str">
        <f>"COS10200804 6333"</f>
        <v>COS10200804 6333</v>
      </c>
    </row>
    <row r="2822" spans="1:26" x14ac:dyDescent="0.25">
      <c r="A2822" t="str">
        <f t="shared" si="1157"/>
        <v>04-08-2020 01:00:00</v>
      </c>
      <c r="B2822" t="str">
        <f>"0000808125"</f>
        <v>0000808125</v>
      </c>
      <c r="C2822" t="str">
        <f t="shared" si="1158"/>
        <v>0000807993</v>
      </c>
      <c r="D2822" t="str">
        <f t="shared" si="1134"/>
        <v>73185</v>
      </c>
      <c r="E2822" t="str">
        <f t="shared" si="1135"/>
        <v>KFH-OPERATIONS DEPARTMENT</v>
      </c>
      <c r="F2822" t="str">
        <f t="shared" si="1136"/>
        <v>IBG</v>
      </c>
      <c r="G2822" t="str">
        <f t="shared" si="1147"/>
        <v>Refund COSHARE 10</v>
      </c>
      <c r="H2822" s="2">
        <v>1098</v>
      </c>
      <c r="I2822" t="str">
        <f>"NOR EZLIN BINTI ABD RAZAK"</f>
        <v>NOR EZLIN BINTI ABD RAZAK</v>
      </c>
      <c r="J2822" t="str">
        <f t="shared" si="1150"/>
        <v>MAYBANK / MAYBANK ISLAMIC</v>
      </c>
      <c r="K2822" t="str">
        <f>"151016960203"</f>
        <v>151016960203</v>
      </c>
      <c r="L2822" t="str">
        <f t="shared" si="1155"/>
        <v>04-08-2020</v>
      </c>
      <c r="M2822" t="str">
        <f t="shared" si="1155"/>
        <v>04-08-2020</v>
      </c>
      <c r="N2822" t="str">
        <f t="shared" si="1137"/>
        <v>001105018356</v>
      </c>
      <c r="O2822" t="str">
        <f t="shared" si="1138"/>
        <v>MYR</v>
      </c>
      <c r="P2822" t="str">
        <f t="shared" si="1156"/>
        <v>NIL</v>
      </c>
      <c r="Q2822" t="str">
        <f t="shared" si="1156"/>
        <v>NIL</v>
      </c>
      <c r="R2822" t="str">
        <f t="shared" si="1139"/>
        <v>Accepted</v>
      </c>
      <c r="S2822" t="str">
        <f t="shared" si="1140"/>
        <v>Approved</v>
      </c>
      <c r="T2822" t="str">
        <f t="shared" si="1141"/>
        <v>10.20.8.188</v>
      </c>
      <c r="U2822" t="str">
        <f t="shared" si="1142"/>
        <v>AZRAD UMAR BIN SHAARI</v>
      </c>
      <c r="V2822" t="str">
        <f t="shared" si="1143"/>
        <v>FARHANA BINTI MUSTAPA</v>
      </c>
      <c r="W2822" t="str">
        <f t="shared" si="1144"/>
        <v>04-08-2020</v>
      </c>
      <c r="X2822" t="str">
        <f t="shared" si="1145"/>
        <v>RAZIMAH ANSAR AHMAD</v>
      </c>
      <c r="Y2822" t="str">
        <f t="shared" si="1146"/>
        <v>04-08-2020</v>
      </c>
      <c r="Z2822" t="str">
        <f>"COS10200804 6332"</f>
        <v>COS10200804 6332</v>
      </c>
    </row>
    <row r="2823" spans="1:26" x14ac:dyDescent="0.25">
      <c r="A2823" t="str">
        <f t="shared" si="1157"/>
        <v>04-08-2020 01:00:00</v>
      </c>
      <c r="B2823" t="str">
        <f>"0000808124"</f>
        <v>0000808124</v>
      </c>
      <c r="C2823" t="str">
        <f t="shared" si="1158"/>
        <v>0000807993</v>
      </c>
      <c r="D2823" t="str">
        <f t="shared" ref="D2823:D2886" si="1159">"73185"</f>
        <v>73185</v>
      </c>
      <c r="E2823" t="str">
        <f t="shared" ref="E2823:E2886" si="1160">"KFH-OPERATIONS DEPARTMENT"</f>
        <v>KFH-OPERATIONS DEPARTMENT</v>
      </c>
      <c r="F2823" t="str">
        <f t="shared" ref="F2823:F2886" si="1161">"IBG"</f>
        <v>IBG</v>
      </c>
      <c r="G2823" t="str">
        <f t="shared" si="1147"/>
        <v>Refund COSHARE 10</v>
      </c>
      <c r="H2823" s="2">
        <v>293.85000000000002</v>
      </c>
      <c r="I2823" t="str">
        <f>"NOR DIANAHANY BINTI ISMAIL"</f>
        <v>NOR DIANAHANY BINTI ISMAIL</v>
      </c>
      <c r="J2823" t="str">
        <f t="shared" si="1150"/>
        <v>MAYBANK / MAYBANK ISLAMIC</v>
      </c>
      <c r="K2823" t="str">
        <f>"101132477283"</f>
        <v>101132477283</v>
      </c>
      <c r="L2823" t="str">
        <f t="shared" si="1155"/>
        <v>04-08-2020</v>
      </c>
      <c r="M2823" t="str">
        <f t="shared" si="1155"/>
        <v>04-08-2020</v>
      </c>
      <c r="N2823" t="str">
        <f t="shared" ref="N2823:N2886" si="1162">"001105018356"</f>
        <v>001105018356</v>
      </c>
      <c r="O2823" t="str">
        <f t="shared" ref="O2823:O2886" si="1163">"MYR"</f>
        <v>MYR</v>
      </c>
      <c r="P2823" t="str">
        <f t="shared" si="1156"/>
        <v>NIL</v>
      </c>
      <c r="Q2823" t="str">
        <f t="shared" si="1156"/>
        <v>NIL</v>
      </c>
      <c r="R2823" t="str">
        <f t="shared" ref="R2823:R2886" si="1164">"Accepted"</f>
        <v>Accepted</v>
      </c>
      <c r="S2823" t="str">
        <f t="shared" ref="S2823:S2886" si="1165">"Approved"</f>
        <v>Approved</v>
      </c>
      <c r="T2823" t="str">
        <f t="shared" ref="T2823:T2886" si="1166">"10.20.8.188"</f>
        <v>10.20.8.188</v>
      </c>
      <c r="U2823" t="str">
        <f t="shared" ref="U2823:U2886" si="1167">"AZRAD UMAR BIN SHAARI"</f>
        <v>AZRAD UMAR BIN SHAARI</v>
      </c>
      <c r="V2823" t="str">
        <f t="shared" ref="V2823:V2886" si="1168">"FARHANA BINTI MUSTAPA"</f>
        <v>FARHANA BINTI MUSTAPA</v>
      </c>
      <c r="W2823" t="str">
        <f t="shared" ref="W2823:W2886" si="1169">"04-08-2020"</f>
        <v>04-08-2020</v>
      </c>
      <c r="X2823" t="str">
        <f t="shared" ref="X2823:X2886" si="1170">"RAZIMAH ANSAR AHMAD"</f>
        <v>RAZIMAH ANSAR AHMAD</v>
      </c>
      <c r="Y2823" t="str">
        <f t="shared" ref="Y2823:Y2886" si="1171">"04-08-2020"</f>
        <v>04-08-2020</v>
      </c>
      <c r="Z2823" t="str">
        <f>"COS10200804 6331"</f>
        <v>COS10200804 6331</v>
      </c>
    </row>
    <row r="2824" spans="1:26" x14ac:dyDescent="0.25">
      <c r="A2824" t="str">
        <f t="shared" si="1157"/>
        <v>04-08-2020 01:00:00</v>
      </c>
      <c r="B2824" t="str">
        <f>"0000808123"</f>
        <v>0000808123</v>
      </c>
      <c r="C2824" t="str">
        <f t="shared" si="1158"/>
        <v>0000807993</v>
      </c>
      <c r="D2824" t="str">
        <f t="shared" si="1159"/>
        <v>73185</v>
      </c>
      <c r="E2824" t="str">
        <f t="shared" si="1160"/>
        <v>KFH-OPERATIONS DEPARTMENT</v>
      </c>
      <c r="F2824" t="str">
        <f t="shared" si="1161"/>
        <v>IBG</v>
      </c>
      <c r="G2824" t="str">
        <f t="shared" si="1147"/>
        <v>Refund COSHARE 10</v>
      </c>
      <c r="H2824" s="2">
        <v>67.2</v>
      </c>
      <c r="I2824" t="str">
        <f>"NOR BAHRIN BIN ISHAK"</f>
        <v>NOR BAHRIN BIN ISHAK</v>
      </c>
      <c r="J2824" t="str">
        <f t="shared" si="1150"/>
        <v>MAYBANK / MAYBANK ISLAMIC</v>
      </c>
      <c r="K2824" t="str">
        <f>"159012728011"</f>
        <v>159012728011</v>
      </c>
      <c r="L2824" t="str">
        <f t="shared" si="1155"/>
        <v>04-08-2020</v>
      </c>
      <c r="M2824" t="str">
        <f t="shared" si="1155"/>
        <v>04-08-2020</v>
      </c>
      <c r="N2824" t="str">
        <f t="shared" si="1162"/>
        <v>001105018356</v>
      </c>
      <c r="O2824" t="str">
        <f t="shared" si="1163"/>
        <v>MYR</v>
      </c>
      <c r="P2824" t="str">
        <f t="shared" si="1156"/>
        <v>NIL</v>
      </c>
      <c r="Q2824" t="str">
        <f t="shared" si="1156"/>
        <v>NIL</v>
      </c>
      <c r="R2824" t="str">
        <f t="shared" si="1164"/>
        <v>Accepted</v>
      </c>
      <c r="S2824" t="str">
        <f t="shared" si="1165"/>
        <v>Approved</v>
      </c>
      <c r="T2824" t="str">
        <f t="shared" si="1166"/>
        <v>10.20.8.188</v>
      </c>
      <c r="U2824" t="str">
        <f t="shared" si="1167"/>
        <v>AZRAD UMAR BIN SHAARI</v>
      </c>
      <c r="V2824" t="str">
        <f t="shared" si="1168"/>
        <v>FARHANA BINTI MUSTAPA</v>
      </c>
      <c r="W2824" t="str">
        <f t="shared" si="1169"/>
        <v>04-08-2020</v>
      </c>
      <c r="X2824" t="str">
        <f t="shared" si="1170"/>
        <v>RAZIMAH ANSAR AHMAD</v>
      </c>
      <c r="Y2824" t="str">
        <f t="shared" si="1171"/>
        <v>04-08-2020</v>
      </c>
      <c r="Z2824" t="str">
        <f>"COS10200804 6330"</f>
        <v>COS10200804 6330</v>
      </c>
    </row>
    <row r="2825" spans="1:26" x14ac:dyDescent="0.25">
      <c r="A2825" t="str">
        <f t="shared" si="1157"/>
        <v>04-08-2020 01:00:00</v>
      </c>
      <c r="B2825" t="str">
        <f>"0000808122"</f>
        <v>0000808122</v>
      </c>
      <c r="C2825" t="str">
        <f t="shared" si="1158"/>
        <v>0000807993</v>
      </c>
      <c r="D2825" t="str">
        <f t="shared" si="1159"/>
        <v>73185</v>
      </c>
      <c r="E2825" t="str">
        <f t="shared" si="1160"/>
        <v>KFH-OPERATIONS DEPARTMENT</v>
      </c>
      <c r="F2825" t="str">
        <f t="shared" si="1161"/>
        <v>IBG</v>
      </c>
      <c r="G2825" t="str">
        <f t="shared" si="1147"/>
        <v>Refund COSHARE 10</v>
      </c>
      <c r="H2825" s="2">
        <v>221.75</v>
      </c>
      <c r="I2825" t="str">
        <f>"NOR AZRINAWATI BINTI YAAKOB"</f>
        <v>NOR AZRINAWATI BINTI YAAKOB</v>
      </c>
      <c r="J2825" t="str">
        <f t="shared" si="1150"/>
        <v>MAYBANK / MAYBANK ISLAMIC</v>
      </c>
      <c r="K2825" t="str">
        <f>"162731048079"</f>
        <v>162731048079</v>
      </c>
      <c r="L2825" t="str">
        <f t="shared" si="1155"/>
        <v>04-08-2020</v>
      </c>
      <c r="M2825" t="str">
        <f t="shared" si="1155"/>
        <v>04-08-2020</v>
      </c>
      <c r="N2825" t="str">
        <f t="shared" si="1162"/>
        <v>001105018356</v>
      </c>
      <c r="O2825" t="str">
        <f t="shared" si="1163"/>
        <v>MYR</v>
      </c>
      <c r="P2825" t="str">
        <f t="shared" si="1156"/>
        <v>NIL</v>
      </c>
      <c r="Q2825" t="str">
        <f t="shared" si="1156"/>
        <v>NIL</v>
      </c>
      <c r="R2825" t="str">
        <f t="shared" si="1164"/>
        <v>Accepted</v>
      </c>
      <c r="S2825" t="str">
        <f t="shared" si="1165"/>
        <v>Approved</v>
      </c>
      <c r="T2825" t="str">
        <f t="shared" si="1166"/>
        <v>10.20.8.188</v>
      </c>
      <c r="U2825" t="str">
        <f t="shared" si="1167"/>
        <v>AZRAD UMAR BIN SHAARI</v>
      </c>
      <c r="V2825" t="str">
        <f t="shared" si="1168"/>
        <v>FARHANA BINTI MUSTAPA</v>
      </c>
      <c r="W2825" t="str">
        <f t="shared" si="1169"/>
        <v>04-08-2020</v>
      </c>
      <c r="X2825" t="str">
        <f t="shared" si="1170"/>
        <v>RAZIMAH ANSAR AHMAD</v>
      </c>
      <c r="Y2825" t="str">
        <f t="shared" si="1171"/>
        <v>04-08-2020</v>
      </c>
      <c r="Z2825" t="str">
        <f>"COS10200804 6329"</f>
        <v>COS10200804 6329</v>
      </c>
    </row>
    <row r="2826" spans="1:26" x14ac:dyDescent="0.25">
      <c r="A2826" t="str">
        <f t="shared" si="1157"/>
        <v>04-08-2020 01:00:00</v>
      </c>
      <c r="B2826" t="str">
        <f>"0000808121"</f>
        <v>0000808121</v>
      </c>
      <c r="C2826" t="str">
        <f t="shared" si="1158"/>
        <v>0000807993</v>
      </c>
      <c r="D2826" t="str">
        <f t="shared" si="1159"/>
        <v>73185</v>
      </c>
      <c r="E2826" t="str">
        <f t="shared" si="1160"/>
        <v>KFH-OPERATIONS DEPARTMENT</v>
      </c>
      <c r="F2826" t="str">
        <f t="shared" si="1161"/>
        <v>IBG</v>
      </c>
      <c r="G2826" t="str">
        <f t="shared" si="1147"/>
        <v>Refund COSHARE 10</v>
      </c>
      <c r="H2826" s="2">
        <v>58.8</v>
      </c>
      <c r="I2826" t="str">
        <f>"NOR AZMI BIN SATTAR"</f>
        <v>NOR AZMI BIN SATTAR</v>
      </c>
      <c r="J2826" t="str">
        <f t="shared" si="1150"/>
        <v>MAYBANK / MAYBANK ISLAMIC</v>
      </c>
      <c r="K2826" t="str">
        <f>"151258074981"</f>
        <v>151258074981</v>
      </c>
      <c r="L2826" t="str">
        <f t="shared" si="1155"/>
        <v>04-08-2020</v>
      </c>
      <c r="M2826" t="str">
        <f t="shared" si="1155"/>
        <v>04-08-2020</v>
      </c>
      <c r="N2826" t="str">
        <f t="shared" si="1162"/>
        <v>001105018356</v>
      </c>
      <c r="O2826" t="str">
        <f t="shared" si="1163"/>
        <v>MYR</v>
      </c>
      <c r="P2826" t="str">
        <f t="shared" si="1156"/>
        <v>NIL</v>
      </c>
      <c r="Q2826" t="str">
        <f t="shared" si="1156"/>
        <v>NIL</v>
      </c>
      <c r="R2826" t="str">
        <f t="shared" si="1164"/>
        <v>Accepted</v>
      </c>
      <c r="S2826" t="str">
        <f t="shared" si="1165"/>
        <v>Approved</v>
      </c>
      <c r="T2826" t="str">
        <f t="shared" si="1166"/>
        <v>10.20.8.188</v>
      </c>
      <c r="U2826" t="str">
        <f t="shared" si="1167"/>
        <v>AZRAD UMAR BIN SHAARI</v>
      </c>
      <c r="V2826" t="str">
        <f t="shared" si="1168"/>
        <v>FARHANA BINTI MUSTAPA</v>
      </c>
      <c r="W2826" t="str">
        <f t="shared" si="1169"/>
        <v>04-08-2020</v>
      </c>
      <c r="X2826" t="str">
        <f t="shared" si="1170"/>
        <v>RAZIMAH ANSAR AHMAD</v>
      </c>
      <c r="Y2826" t="str">
        <f t="shared" si="1171"/>
        <v>04-08-2020</v>
      </c>
      <c r="Z2826" t="str">
        <f>"COS10200804 6328"</f>
        <v>COS10200804 6328</v>
      </c>
    </row>
    <row r="2827" spans="1:26" x14ac:dyDescent="0.25">
      <c r="A2827" t="str">
        <f t="shared" si="1157"/>
        <v>04-08-2020 01:00:00</v>
      </c>
      <c r="B2827" t="str">
        <f>"0000808120"</f>
        <v>0000808120</v>
      </c>
      <c r="C2827" t="str">
        <f t="shared" si="1158"/>
        <v>0000807993</v>
      </c>
      <c r="D2827" t="str">
        <f t="shared" si="1159"/>
        <v>73185</v>
      </c>
      <c r="E2827" t="str">
        <f t="shared" si="1160"/>
        <v>KFH-OPERATIONS DEPARTMENT</v>
      </c>
      <c r="F2827" t="str">
        <f t="shared" si="1161"/>
        <v>IBG</v>
      </c>
      <c r="G2827" t="str">
        <f t="shared" si="1147"/>
        <v>Refund COSHARE 10</v>
      </c>
      <c r="H2827" s="2">
        <v>201.5</v>
      </c>
      <c r="I2827" t="str">
        <f>"NOR AZMI BIN KADARISMAN"</f>
        <v>NOR AZMI BIN KADARISMAN</v>
      </c>
      <c r="J2827" t="str">
        <f t="shared" si="1150"/>
        <v>MAYBANK / MAYBANK ISLAMIC</v>
      </c>
      <c r="K2827" t="str">
        <f>"155069010225"</f>
        <v>155069010225</v>
      </c>
      <c r="L2827" t="str">
        <f t="shared" ref="L2827:M2846" si="1172">"04-08-2020"</f>
        <v>04-08-2020</v>
      </c>
      <c r="M2827" t="str">
        <f t="shared" si="1172"/>
        <v>04-08-2020</v>
      </c>
      <c r="N2827" t="str">
        <f t="shared" si="1162"/>
        <v>001105018356</v>
      </c>
      <c r="O2827" t="str">
        <f t="shared" si="1163"/>
        <v>MYR</v>
      </c>
      <c r="P2827" t="str">
        <f t="shared" ref="P2827:Q2846" si="1173">"NIL"</f>
        <v>NIL</v>
      </c>
      <c r="Q2827" t="str">
        <f t="shared" si="1173"/>
        <v>NIL</v>
      </c>
      <c r="R2827" t="str">
        <f t="shared" si="1164"/>
        <v>Accepted</v>
      </c>
      <c r="S2827" t="str">
        <f t="shared" si="1165"/>
        <v>Approved</v>
      </c>
      <c r="T2827" t="str">
        <f t="shared" si="1166"/>
        <v>10.20.8.188</v>
      </c>
      <c r="U2827" t="str">
        <f t="shared" si="1167"/>
        <v>AZRAD UMAR BIN SHAARI</v>
      </c>
      <c r="V2827" t="str">
        <f t="shared" si="1168"/>
        <v>FARHANA BINTI MUSTAPA</v>
      </c>
      <c r="W2827" t="str">
        <f t="shared" si="1169"/>
        <v>04-08-2020</v>
      </c>
      <c r="X2827" t="str">
        <f t="shared" si="1170"/>
        <v>RAZIMAH ANSAR AHMAD</v>
      </c>
      <c r="Y2827" t="str">
        <f t="shared" si="1171"/>
        <v>04-08-2020</v>
      </c>
      <c r="Z2827" t="str">
        <f>"COS10200804 6327"</f>
        <v>COS10200804 6327</v>
      </c>
    </row>
    <row r="2828" spans="1:26" x14ac:dyDescent="0.25">
      <c r="A2828" t="str">
        <f t="shared" si="1157"/>
        <v>04-08-2020 01:00:00</v>
      </c>
      <c r="B2828" t="str">
        <f>"0000808119"</f>
        <v>0000808119</v>
      </c>
      <c r="C2828" t="str">
        <f t="shared" si="1158"/>
        <v>0000807993</v>
      </c>
      <c r="D2828" t="str">
        <f t="shared" si="1159"/>
        <v>73185</v>
      </c>
      <c r="E2828" t="str">
        <f t="shared" si="1160"/>
        <v>KFH-OPERATIONS DEPARTMENT</v>
      </c>
      <c r="F2828" t="str">
        <f t="shared" si="1161"/>
        <v>IBG</v>
      </c>
      <c r="G2828" t="str">
        <f t="shared" ref="G2828:G2891" si="1174">"Refund COSHARE 10"</f>
        <v>Refund COSHARE 10</v>
      </c>
      <c r="H2828" s="2">
        <v>361</v>
      </c>
      <c r="I2828" t="str">
        <f>"NOR AZMI BIN KADARISMAN"</f>
        <v>NOR AZMI BIN KADARISMAN</v>
      </c>
      <c r="J2828" t="str">
        <f t="shared" si="1150"/>
        <v>MAYBANK / MAYBANK ISLAMIC</v>
      </c>
      <c r="K2828" t="str">
        <f>"155069010225"</f>
        <v>155069010225</v>
      </c>
      <c r="L2828" t="str">
        <f t="shared" si="1172"/>
        <v>04-08-2020</v>
      </c>
      <c r="M2828" t="str">
        <f t="shared" si="1172"/>
        <v>04-08-2020</v>
      </c>
      <c r="N2828" t="str">
        <f t="shared" si="1162"/>
        <v>001105018356</v>
      </c>
      <c r="O2828" t="str">
        <f t="shared" si="1163"/>
        <v>MYR</v>
      </c>
      <c r="P2828" t="str">
        <f t="shared" si="1173"/>
        <v>NIL</v>
      </c>
      <c r="Q2828" t="str">
        <f t="shared" si="1173"/>
        <v>NIL</v>
      </c>
      <c r="R2828" t="str">
        <f t="shared" si="1164"/>
        <v>Accepted</v>
      </c>
      <c r="S2828" t="str">
        <f t="shared" si="1165"/>
        <v>Approved</v>
      </c>
      <c r="T2828" t="str">
        <f t="shared" si="1166"/>
        <v>10.20.8.188</v>
      </c>
      <c r="U2828" t="str">
        <f t="shared" si="1167"/>
        <v>AZRAD UMAR BIN SHAARI</v>
      </c>
      <c r="V2828" t="str">
        <f t="shared" si="1168"/>
        <v>FARHANA BINTI MUSTAPA</v>
      </c>
      <c r="W2828" t="str">
        <f t="shared" si="1169"/>
        <v>04-08-2020</v>
      </c>
      <c r="X2828" t="str">
        <f t="shared" si="1170"/>
        <v>RAZIMAH ANSAR AHMAD</v>
      </c>
      <c r="Y2828" t="str">
        <f t="shared" si="1171"/>
        <v>04-08-2020</v>
      </c>
      <c r="Z2828" t="str">
        <f>"COS10200804 6326"</f>
        <v>COS10200804 6326</v>
      </c>
    </row>
    <row r="2829" spans="1:26" x14ac:dyDescent="0.25">
      <c r="A2829" t="str">
        <f t="shared" si="1157"/>
        <v>04-08-2020 01:00:00</v>
      </c>
      <c r="B2829" t="str">
        <f>"0000808118"</f>
        <v>0000808118</v>
      </c>
      <c r="C2829" t="str">
        <f t="shared" si="1158"/>
        <v>0000807993</v>
      </c>
      <c r="D2829" t="str">
        <f t="shared" si="1159"/>
        <v>73185</v>
      </c>
      <c r="E2829" t="str">
        <f t="shared" si="1160"/>
        <v>KFH-OPERATIONS DEPARTMENT</v>
      </c>
      <c r="F2829" t="str">
        <f t="shared" si="1161"/>
        <v>IBG</v>
      </c>
      <c r="G2829" t="str">
        <f t="shared" si="1174"/>
        <v>Refund COSHARE 10</v>
      </c>
      <c r="H2829" s="2">
        <v>419.75</v>
      </c>
      <c r="I2829" t="str">
        <f>"NOR AZLINI BINTI ABDUL HALIM"</f>
        <v>NOR AZLINI BINTI ABDUL HALIM</v>
      </c>
      <c r="J2829" t="str">
        <f t="shared" si="1150"/>
        <v>MAYBANK / MAYBANK ISLAMIC</v>
      </c>
      <c r="K2829" t="str">
        <f>"162553130681"</f>
        <v>162553130681</v>
      </c>
      <c r="L2829" t="str">
        <f t="shared" si="1172"/>
        <v>04-08-2020</v>
      </c>
      <c r="M2829" t="str">
        <f t="shared" si="1172"/>
        <v>04-08-2020</v>
      </c>
      <c r="N2829" t="str">
        <f t="shared" si="1162"/>
        <v>001105018356</v>
      </c>
      <c r="O2829" t="str">
        <f t="shared" si="1163"/>
        <v>MYR</v>
      </c>
      <c r="P2829" t="str">
        <f t="shared" si="1173"/>
        <v>NIL</v>
      </c>
      <c r="Q2829" t="str">
        <f t="shared" si="1173"/>
        <v>NIL</v>
      </c>
      <c r="R2829" t="str">
        <f t="shared" si="1164"/>
        <v>Accepted</v>
      </c>
      <c r="S2829" t="str">
        <f t="shared" si="1165"/>
        <v>Approved</v>
      </c>
      <c r="T2829" t="str">
        <f t="shared" si="1166"/>
        <v>10.20.8.188</v>
      </c>
      <c r="U2829" t="str">
        <f t="shared" si="1167"/>
        <v>AZRAD UMAR BIN SHAARI</v>
      </c>
      <c r="V2829" t="str">
        <f t="shared" si="1168"/>
        <v>FARHANA BINTI MUSTAPA</v>
      </c>
      <c r="W2829" t="str">
        <f t="shared" si="1169"/>
        <v>04-08-2020</v>
      </c>
      <c r="X2829" t="str">
        <f t="shared" si="1170"/>
        <v>RAZIMAH ANSAR AHMAD</v>
      </c>
      <c r="Y2829" t="str">
        <f t="shared" si="1171"/>
        <v>04-08-2020</v>
      </c>
      <c r="Z2829" t="str">
        <f>"COS10200804 6325"</f>
        <v>COS10200804 6325</v>
      </c>
    </row>
    <row r="2830" spans="1:26" x14ac:dyDescent="0.25">
      <c r="A2830" t="str">
        <f t="shared" si="1157"/>
        <v>04-08-2020 01:00:00</v>
      </c>
      <c r="B2830" t="str">
        <f>"0000808117"</f>
        <v>0000808117</v>
      </c>
      <c r="C2830" t="str">
        <f t="shared" si="1158"/>
        <v>0000807993</v>
      </c>
      <c r="D2830" t="str">
        <f t="shared" si="1159"/>
        <v>73185</v>
      </c>
      <c r="E2830" t="str">
        <f t="shared" si="1160"/>
        <v>KFH-OPERATIONS DEPARTMENT</v>
      </c>
      <c r="F2830" t="str">
        <f t="shared" si="1161"/>
        <v>IBG</v>
      </c>
      <c r="G2830" t="str">
        <f t="shared" si="1174"/>
        <v>Refund COSHARE 10</v>
      </c>
      <c r="H2830" s="2">
        <v>1091.3499999999999</v>
      </c>
      <c r="I2830" t="str">
        <f>"NOR AZLINDA BINTI ABDUL HALIM"</f>
        <v>NOR AZLINDA BINTI ABDUL HALIM</v>
      </c>
      <c r="J2830" t="str">
        <f t="shared" si="1150"/>
        <v>MAYBANK / MAYBANK ISLAMIC</v>
      </c>
      <c r="K2830" t="str">
        <f>"158417011434"</f>
        <v>158417011434</v>
      </c>
      <c r="L2830" t="str">
        <f t="shared" si="1172"/>
        <v>04-08-2020</v>
      </c>
      <c r="M2830" t="str">
        <f t="shared" si="1172"/>
        <v>04-08-2020</v>
      </c>
      <c r="N2830" t="str">
        <f t="shared" si="1162"/>
        <v>001105018356</v>
      </c>
      <c r="O2830" t="str">
        <f t="shared" si="1163"/>
        <v>MYR</v>
      </c>
      <c r="P2830" t="str">
        <f t="shared" si="1173"/>
        <v>NIL</v>
      </c>
      <c r="Q2830" t="str">
        <f t="shared" si="1173"/>
        <v>NIL</v>
      </c>
      <c r="R2830" t="str">
        <f t="shared" si="1164"/>
        <v>Accepted</v>
      </c>
      <c r="S2830" t="str">
        <f t="shared" si="1165"/>
        <v>Approved</v>
      </c>
      <c r="T2830" t="str">
        <f t="shared" si="1166"/>
        <v>10.20.8.188</v>
      </c>
      <c r="U2830" t="str">
        <f t="shared" si="1167"/>
        <v>AZRAD UMAR BIN SHAARI</v>
      </c>
      <c r="V2830" t="str">
        <f t="shared" si="1168"/>
        <v>FARHANA BINTI MUSTAPA</v>
      </c>
      <c r="W2830" t="str">
        <f t="shared" si="1169"/>
        <v>04-08-2020</v>
      </c>
      <c r="X2830" t="str">
        <f t="shared" si="1170"/>
        <v>RAZIMAH ANSAR AHMAD</v>
      </c>
      <c r="Y2830" t="str">
        <f t="shared" si="1171"/>
        <v>04-08-2020</v>
      </c>
      <c r="Z2830" t="str">
        <f>"COS10200804 6324"</f>
        <v>COS10200804 6324</v>
      </c>
    </row>
    <row r="2831" spans="1:26" x14ac:dyDescent="0.25">
      <c r="A2831" t="str">
        <f t="shared" si="1157"/>
        <v>04-08-2020 01:00:00</v>
      </c>
      <c r="B2831" t="str">
        <f>"0000808116"</f>
        <v>0000808116</v>
      </c>
      <c r="C2831" t="str">
        <f t="shared" si="1158"/>
        <v>0000807993</v>
      </c>
      <c r="D2831" t="str">
        <f t="shared" si="1159"/>
        <v>73185</v>
      </c>
      <c r="E2831" t="str">
        <f t="shared" si="1160"/>
        <v>KFH-OPERATIONS DEPARTMENT</v>
      </c>
      <c r="F2831" t="str">
        <f t="shared" si="1161"/>
        <v>IBG</v>
      </c>
      <c r="G2831" t="str">
        <f t="shared" si="1174"/>
        <v>Refund COSHARE 10</v>
      </c>
      <c r="H2831" s="2">
        <v>251.85</v>
      </c>
      <c r="I2831" t="str">
        <f>"NOR AZLINA BINTI OTHMAN"</f>
        <v>NOR AZLINA BINTI OTHMAN</v>
      </c>
      <c r="J2831" t="str">
        <f t="shared" si="1150"/>
        <v>MAYBANK / MAYBANK ISLAMIC</v>
      </c>
      <c r="K2831" t="str">
        <f>"158051489849"</f>
        <v>158051489849</v>
      </c>
      <c r="L2831" t="str">
        <f t="shared" si="1172"/>
        <v>04-08-2020</v>
      </c>
      <c r="M2831" t="str">
        <f t="shared" si="1172"/>
        <v>04-08-2020</v>
      </c>
      <c r="N2831" t="str">
        <f t="shared" si="1162"/>
        <v>001105018356</v>
      </c>
      <c r="O2831" t="str">
        <f t="shared" si="1163"/>
        <v>MYR</v>
      </c>
      <c r="P2831" t="str">
        <f t="shared" si="1173"/>
        <v>NIL</v>
      </c>
      <c r="Q2831" t="str">
        <f t="shared" si="1173"/>
        <v>NIL</v>
      </c>
      <c r="R2831" t="str">
        <f t="shared" si="1164"/>
        <v>Accepted</v>
      </c>
      <c r="S2831" t="str">
        <f t="shared" si="1165"/>
        <v>Approved</v>
      </c>
      <c r="T2831" t="str">
        <f t="shared" si="1166"/>
        <v>10.20.8.188</v>
      </c>
      <c r="U2831" t="str">
        <f t="shared" si="1167"/>
        <v>AZRAD UMAR BIN SHAARI</v>
      </c>
      <c r="V2831" t="str">
        <f t="shared" si="1168"/>
        <v>FARHANA BINTI MUSTAPA</v>
      </c>
      <c r="W2831" t="str">
        <f t="shared" si="1169"/>
        <v>04-08-2020</v>
      </c>
      <c r="X2831" t="str">
        <f t="shared" si="1170"/>
        <v>RAZIMAH ANSAR AHMAD</v>
      </c>
      <c r="Y2831" t="str">
        <f t="shared" si="1171"/>
        <v>04-08-2020</v>
      </c>
      <c r="Z2831" t="str">
        <f>"COS10200804 6323"</f>
        <v>COS10200804 6323</v>
      </c>
    </row>
    <row r="2832" spans="1:26" x14ac:dyDescent="0.25">
      <c r="A2832" t="str">
        <f t="shared" si="1157"/>
        <v>04-08-2020 01:00:00</v>
      </c>
      <c r="B2832" t="str">
        <f>"0000808115"</f>
        <v>0000808115</v>
      </c>
      <c r="C2832" t="str">
        <f t="shared" si="1158"/>
        <v>0000807993</v>
      </c>
      <c r="D2832" t="str">
        <f t="shared" si="1159"/>
        <v>73185</v>
      </c>
      <c r="E2832" t="str">
        <f t="shared" si="1160"/>
        <v>KFH-OPERATIONS DEPARTMENT</v>
      </c>
      <c r="F2832" t="str">
        <f t="shared" si="1161"/>
        <v>IBG</v>
      </c>
      <c r="G2832" t="str">
        <f t="shared" si="1174"/>
        <v>Refund COSHARE 10</v>
      </c>
      <c r="H2832" s="2">
        <v>151.15</v>
      </c>
      <c r="I2832" t="str">
        <f>"NOR AZLINA BINTI MOHD YATIM"</f>
        <v>NOR AZLINA BINTI MOHD YATIM</v>
      </c>
      <c r="J2832" t="str">
        <f t="shared" si="1150"/>
        <v>MAYBANK / MAYBANK ISLAMIC</v>
      </c>
      <c r="K2832" t="str">
        <f>"151427109659"</f>
        <v>151427109659</v>
      </c>
      <c r="L2832" t="str">
        <f t="shared" si="1172"/>
        <v>04-08-2020</v>
      </c>
      <c r="M2832" t="str">
        <f t="shared" si="1172"/>
        <v>04-08-2020</v>
      </c>
      <c r="N2832" t="str">
        <f t="shared" si="1162"/>
        <v>001105018356</v>
      </c>
      <c r="O2832" t="str">
        <f t="shared" si="1163"/>
        <v>MYR</v>
      </c>
      <c r="P2832" t="str">
        <f t="shared" si="1173"/>
        <v>NIL</v>
      </c>
      <c r="Q2832" t="str">
        <f t="shared" si="1173"/>
        <v>NIL</v>
      </c>
      <c r="R2832" t="str">
        <f t="shared" si="1164"/>
        <v>Accepted</v>
      </c>
      <c r="S2832" t="str">
        <f t="shared" si="1165"/>
        <v>Approved</v>
      </c>
      <c r="T2832" t="str">
        <f t="shared" si="1166"/>
        <v>10.20.8.188</v>
      </c>
      <c r="U2832" t="str">
        <f t="shared" si="1167"/>
        <v>AZRAD UMAR BIN SHAARI</v>
      </c>
      <c r="V2832" t="str">
        <f t="shared" si="1168"/>
        <v>FARHANA BINTI MUSTAPA</v>
      </c>
      <c r="W2832" t="str">
        <f t="shared" si="1169"/>
        <v>04-08-2020</v>
      </c>
      <c r="X2832" t="str">
        <f t="shared" si="1170"/>
        <v>RAZIMAH ANSAR AHMAD</v>
      </c>
      <c r="Y2832" t="str">
        <f t="shared" si="1171"/>
        <v>04-08-2020</v>
      </c>
      <c r="Z2832" t="str">
        <f>"COS10200804 6322"</f>
        <v>COS10200804 6322</v>
      </c>
    </row>
    <row r="2833" spans="1:26" x14ac:dyDescent="0.25">
      <c r="A2833" t="str">
        <f t="shared" si="1157"/>
        <v>04-08-2020 01:00:00</v>
      </c>
      <c r="B2833" t="str">
        <f>"0000808114"</f>
        <v>0000808114</v>
      </c>
      <c r="C2833" t="str">
        <f t="shared" si="1158"/>
        <v>0000807993</v>
      </c>
      <c r="D2833" t="str">
        <f t="shared" si="1159"/>
        <v>73185</v>
      </c>
      <c r="E2833" t="str">
        <f t="shared" si="1160"/>
        <v>KFH-OPERATIONS DEPARTMENT</v>
      </c>
      <c r="F2833" t="str">
        <f t="shared" si="1161"/>
        <v>IBG</v>
      </c>
      <c r="G2833" t="str">
        <f t="shared" si="1174"/>
        <v>Refund COSHARE 10</v>
      </c>
      <c r="H2833" s="2">
        <v>142.75</v>
      </c>
      <c r="I2833" t="str">
        <f>"NOR AZLINA BINTI MOHAMAD"</f>
        <v>NOR AZLINA BINTI MOHAMAD</v>
      </c>
      <c r="J2833" t="str">
        <f t="shared" ref="J2833:J2896" si="1175">"MAYBANK / MAYBANK ISLAMIC"</f>
        <v>MAYBANK / MAYBANK ISLAMIC</v>
      </c>
      <c r="K2833" t="str">
        <f>"156114193836"</f>
        <v>156114193836</v>
      </c>
      <c r="L2833" t="str">
        <f t="shared" si="1172"/>
        <v>04-08-2020</v>
      </c>
      <c r="M2833" t="str">
        <f t="shared" si="1172"/>
        <v>04-08-2020</v>
      </c>
      <c r="N2833" t="str">
        <f t="shared" si="1162"/>
        <v>001105018356</v>
      </c>
      <c r="O2833" t="str">
        <f t="shared" si="1163"/>
        <v>MYR</v>
      </c>
      <c r="P2833" t="str">
        <f t="shared" si="1173"/>
        <v>NIL</v>
      </c>
      <c r="Q2833" t="str">
        <f t="shared" si="1173"/>
        <v>NIL</v>
      </c>
      <c r="R2833" t="str">
        <f t="shared" si="1164"/>
        <v>Accepted</v>
      </c>
      <c r="S2833" t="str">
        <f t="shared" si="1165"/>
        <v>Approved</v>
      </c>
      <c r="T2833" t="str">
        <f t="shared" si="1166"/>
        <v>10.20.8.188</v>
      </c>
      <c r="U2833" t="str">
        <f t="shared" si="1167"/>
        <v>AZRAD UMAR BIN SHAARI</v>
      </c>
      <c r="V2833" t="str">
        <f t="shared" si="1168"/>
        <v>FARHANA BINTI MUSTAPA</v>
      </c>
      <c r="W2833" t="str">
        <f t="shared" si="1169"/>
        <v>04-08-2020</v>
      </c>
      <c r="X2833" t="str">
        <f t="shared" si="1170"/>
        <v>RAZIMAH ANSAR AHMAD</v>
      </c>
      <c r="Y2833" t="str">
        <f t="shared" si="1171"/>
        <v>04-08-2020</v>
      </c>
      <c r="Z2833" t="str">
        <f>"COS10200804 6321"</f>
        <v>COS10200804 6321</v>
      </c>
    </row>
    <row r="2834" spans="1:26" x14ac:dyDescent="0.25">
      <c r="A2834" t="str">
        <f t="shared" si="1157"/>
        <v>04-08-2020 01:00:00</v>
      </c>
      <c r="B2834" t="str">
        <f>"0000808113"</f>
        <v>0000808113</v>
      </c>
      <c r="C2834" t="str">
        <f t="shared" si="1158"/>
        <v>0000807993</v>
      </c>
      <c r="D2834" t="str">
        <f t="shared" si="1159"/>
        <v>73185</v>
      </c>
      <c r="E2834" t="str">
        <f t="shared" si="1160"/>
        <v>KFH-OPERATIONS DEPARTMENT</v>
      </c>
      <c r="F2834" t="str">
        <f t="shared" si="1161"/>
        <v>IBG</v>
      </c>
      <c r="G2834" t="str">
        <f t="shared" si="1174"/>
        <v>Refund COSHARE 10</v>
      </c>
      <c r="H2834" s="2">
        <v>335.8</v>
      </c>
      <c r="I2834" t="str">
        <f>"NOR AZLINA BINTI AHMAD"</f>
        <v>NOR AZLINA BINTI AHMAD</v>
      </c>
      <c r="J2834" t="str">
        <f t="shared" si="1175"/>
        <v>MAYBANK / MAYBANK ISLAMIC</v>
      </c>
      <c r="K2834" t="str">
        <f>"102028084326"</f>
        <v>102028084326</v>
      </c>
      <c r="L2834" t="str">
        <f t="shared" si="1172"/>
        <v>04-08-2020</v>
      </c>
      <c r="M2834" t="str">
        <f t="shared" si="1172"/>
        <v>04-08-2020</v>
      </c>
      <c r="N2834" t="str">
        <f t="shared" si="1162"/>
        <v>001105018356</v>
      </c>
      <c r="O2834" t="str">
        <f t="shared" si="1163"/>
        <v>MYR</v>
      </c>
      <c r="P2834" t="str">
        <f t="shared" si="1173"/>
        <v>NIL</v>
      </c>
      <c r="Q2834" t="str">
        <f t="shared" si="1173"/>
        <v>NIL</v>
      </c>
      <c r="R2834" t="str">
        <f t="shared" si="1164"/>
        <v>Accepted</v>
      </c>
      <c r="S2834" t="str">
        <f t="shared" si="1165"/>
        <v>Approved</v>
      </c>
      <c r="T2834" t="str">
        <f t="shared" si="1166"/>
        <v>10.20.8.188</v>
      </c>
      <c r="U2834" t="str">
        <f t="shared" si="1167"/>
        <v>AZRAD UMAR BIN SHAARI</v>
      </c>
      <c r="V2834" t="str">
        <f t="shared" si="1168"/>
        <v>FARHANA BINTI MUSTAPA</v>
      </c>
      <c r="W2834" t="str">
        <f t="shared" si="1169"/>
        <v>04-08-2020</v>
      </c>
      <c r="X2834" t="str">
        <f t="shared" si="1170"/>
        <v>RAZIMAH ANSAR AHMAD</v>
      </c>
      <c r="Y2834" t="str">
        <f t="shared" si="1171"/>
        <v>04-08-2020</v>
      </c>
      <c r="Z2834" t="str">
        <f>"COS10200804 6320"</f>
        <v>COS10200804 6320</v>
      </c>
    </row>
    <row r="2835" spans="1:26" x14ac:dyDescent="0.25">
      <c r="A2835" t="str">
        <f t="shared" si="1157"/>
        <v>04-08-2020 01:00:00</v>
      </c>
      <c r="B2835" t="str">
        <f>"0000808112"</f>
        <v>0000808112</v>
      </c>
      <c r="C2835" t="str">
        <f t="shared" si="1158"/>
        <v>0000807993</v>
      </c>
      <c r="D2835" t="str">
        <f t="shared" si="1159"/>
        <v>73185</v>
      </c>
      <c r="E2835" t="str">
        <f t="shared" si="1160"/>
        <v>KFH-OPERATIONS DEPARTMENT</v>
      </c>
      <c r="F2835" t="str">
        <f t="shared" si="1161"/>
        <v>IBG</v>
      </c>
      <c r="G2835" t="str">
        <f t="shared" si="1174"/>
        <v>Refund COSHARE 10</v>
      </c>
      <c r="H2835" s="2">
        <v>755.55</v>
      </c>
      <c r="I2835" t="str">
        <f>"NOR AZLIN BINTI MUSHADDIN"</f>
        <v>NOR AZLIN BINTI MUSHADDIN</v>
      </c>
      <c r="J2835" t="str">
        <f t="shared" si="1175"/>
        <v>MAYBANK / MAYBANK ISLAMIC</v>
      </c>
      <c r="K2835" t="str">
        <f>"114272027313"</f>
        <v>114272027313</v>
      </c>
      <c r="L2835" t="str">
        <f t="shared" si="1172"/>
        <v>04-08-2020</v>
      </c>
      <c r="M2835" t="str">
        <f t="shared" si="1172"/>
        <v>04-08-2020</v>
      </c>
      <c r="N2835" t="str">
        <f t="shared" si="1162"/>
        <v>001105018356</v>
      </c>
      <c r="O2835" t="str">
        <f t="shared" si="1163"/>
        <v>MYR</v>
      </c>
      <c r="P2835" t="str">
        <f t="shared" si="1173"/>
        <v>NIL</v>
      </c>
      <c r="Q2835" t="str">
        <f t="shared" si="1173"/>
        <v>NIL</v>
      </c>
      <c r="R2835" t="str">
        <f t="shared" si="1164"/>
        <v>Accepted</v>
      </c>
      <c r="S2835" t="str">
        <f t="shared" si="1165"/>
        <v>Approved</v>
      </c>
      <c r="T2835" t="str">
        <f t="shared" si="1166"/>
        <v>10.20.8.188</v>
      </c>
      <c r="U2835" t="str">
        <f t="shared" si="1167"/>
        <v>AZRAD UMAR BIN SHAARI</v>
      </c>
      <c r="V2835" t="str">
        <f t="shared" si="1168"/>
        <v>FARHANA BINTI MUSTAPA</v>
      </c>
      <c r="W2835" t="str">
        <f t="shared" si="1169"/>
        <v>04-08-2020</v>
      </c>
      <c r="X2835" t="str">
        <f t="shared" si="1170"/>
        <v>RAZIMAH ANSAR AHMAD</v>
      </c>
      <c r="Y2835" t="str">
        <f t="shared" si="1171"/>
        <v>04-08-2020</v>
      </c>
      <c r="Z2835" t="str">
        <f>"COS10200804 6319"</f>
        <v>COS10200804 6319</v>
      </c>
    </row>
    <row r="2836" spans="1:26" x14ac:dyDescent="0.25">
      <c r="A2836" t="str">
        <f t="shared" si="1157"/>
        <v>04-08-2020 01:00:00</v>
      </c>
      <c r="B2836" t="str">
        <f>"0000808111"</f>
        <v>0000808111</v>
      </c>
      <c r="C2836" t="str">
        <f t="shared" si="1158"/>
        <v>0000807993</v>
      </c>
      <c r="D2836" t="str">
        <f t="shared" si="1159"/>
        <v>73185</v>
      </c>
      <c r="E2836" t="str">
        <f t="shared" si="1160"/>
        <v>KFH-OPERATIONS DEPARTMENT</v>
      </c>
      <c r="F2836" t="str">
        <f t="shared" si="1161"/>
        <v>IBG</v>
      </c>
      <c r="G2836" t="str">
        <f t="shared" si="1174"/>
        <v>Refund COSHARE 10</v>
      </c>
      <c r="H2836" s="2">
        <v>95.35</v>
      </c>
      <c r="I2836" t="str">
        <f>"NOR AZLIN BINTI JEMALI"</f>
        <v>NOR AZLIN BINTI JEMALI</v>
      </c>
      <c r="J2836" t="str">
        <f t="shared" si="1175"/>
        <v>MAYBANK / MAYBANK ISLAMIC</v>
      </c>
      <c r="K2836" t="str">
        <f>"158051379279"</f>
        <v>158051379279</v>
      </c>
      <c r="L2836" t="str">
        <f t="shared" si="1172"/>
        <v>04-08-2020</v>
      </c>
      <c r="M2836" t="str">
        <f t="shared" si="1172"/>
        <v>04-08-2020</v>
      </c>
      <c r="N2836" t="str">
        <f t="shared" si="1162"/>
        <v>001105018356</v>
      </c>
      <c r="O2836" t="str">
        <f t="shared" si="1163"/>
        <v>MYR</v>
      </c>
      <c r="P2836" t="str">
        <f t="shared" si="1173"/>
        <v>NIL</v>
      </c>
      <c r="Q2836" t="str">
        <f t="shared" si="1173"/>
        <v>NIL</v>
      </c>
      <c r="R2836" t="str">
        <f t="shared" si="1164"/>
        <v>Accepted</v>
      </c>
      <c r="S2836" t="str">
        <f t="shared" si="1165"/>
        <v>Approved</v>
      </c>
      <c r="T2836" t="str">
        <f t="shared" si="1166"/>
        <v>10.20.8.188</v>
      </c>
      <c r="U2836" t="str">
        <f t="shared" si="1167"/>
        <v>AZRAD UMAR BIN SHAARI</v>
      </c>
      <c r="V2836" t="str">
        <f t="shared" si="1168"/>
        <v>FARHANA BINTI MUSTAPA</v>
      </c>
      <c r="W2836" t="str">
        <f t="shared" si="1169"/>
        <v>04-08-2020</v>
      </c>
      <c r="X2836" t="str">
        <f t="shared" si="1170"/>
        <v>RAZIMAH ANSAR AHMAD</v>
      </c>
      <c r="Y2836" t="str">
        <f t="shared" si="1171"/>
        <v>04-08-2020</v>
      </c>
      <c r="Z2836" t="str">
        <f>"COS10200804 6318"</f>
        <v>COS10200804 6318</v>
      </c>
    </row>
    <row r="2837" spans="1:26" x14ac:dyDescent="0.25">
      <c r="A2837" t="str">
        <f t="shared" si="1157"/>
        <v>04-08-2020 01:00:00</v>
      </c>
      <c r="B2837" t="str">
        <f>"0000808110"</f>
        <v>0000808110</v>
      </c>
      <c r="C2837" t="str">
        <f t="shared" si="1158"/>
        <v>0000807993</v>
      </c>
      <c r="D2837" t="str">
        <f t="shared" si="1159"/>
        <v>73185</v>
      </c>
      <c r="E2837" t="str">
        <f t="shared" si="1160"/>
        <v>KFH-OPERATIONS DEPARTMENT</v>
      </c>
      <c r="F2837" t="str">
        <f t="shared" si="1161"/>
        <v>IBG</v>
      </c>
      <c r="G2837" t="str">
        <f t="shared" si="1174"/>
        <v>Refund COSHARE 10</v>
      </c>
      <c r="H2837" s="2">
        <v>377.8</v>
      </c>
      <c r="I2837" t="str">
        <f>"NOR AZLILAH BT DARUS"</f>
        <v>NOR AZLILAH BT DARUS</v>
      </c>
      <c r="J2837" t="str">
        <f t="shared" si="1175"/>
        <v>MAYBANK / MAYBANK ISLAMIC</v>
      </c>
      <c r="K2837" t="str">
        <f>"158060591029"</f>
        <v>158060591029</v>
      </c>
      <c r="L2837" t="str">
        <f t="shared" si="1172"/>
        <v>04-08-2020</v>
      </c>
      <c r="M2837" t="str">
        <f t="shared" si="1172"/>
        <v>04-08-2020</v>
      </c>
      <c r="N2837" t="str">
        <f t="shared" si="1162"/>
        <v>001105018356</v>
      </c>
      <c r="O2837" t="str">
        <f t="shared" si="1163"/>
        <v>MYR</v>
      </c>
      <c r="P2837" t="str">
        <f t="shared" si="1173"/>
        <v>NIL</v>
      </c>
      <c r="Q2837" t="str">
        <f t="shared" si="1173"/>
        <v>NIL</v>
      </c>
      <c r="R2837" t="str">
        <f t="shared" si="1164"/>
        <v>Accepted</v>
      </c>
      <c r="S2837" t="str">
        <f t="shared" si="1165"/>
        <v>Approved</v>
      </c>
      <c r="T2837" t="str">
        <f t="shared" si="1166"/>
        <v>10.20.8.188</v>
      </c>
      <c r="U2837" t="str">
        <f t="shared" si="1167"/>
        <v>AZRAD UMAR BIN SHAARI</v>
      </c>
      <c r="V2837" t="str">
        <f t="shared" si="1168"/>
        <v>FARHANA BINTI MUSTAPA</v>
      </c>
      <c r="W2837" t="str">
        <f t="shared" si="1169"/>
        <v>04-08-2020</v>
      </c>
      <c r="X2837" t="str">
        <f t="shared" si="1170"/>
        <v>RAZIMAH ANSAR AHMAD</v>
      </c>
      <c r="Y2837" t="str">
        <f t="shared" si="1171"/>
        <v>04-08-2020</v>
      </c>
      <c r="Z2837" t="str">
        <f>"COS10200804 6317"</f>
        <v>COS10200804 6317</v>
      </c>
    </row>
    <row r="2838" spans="1:26" x14ac:dyDescent="0.25">
      <c r="A2838" t="str">
        <f t="shared" si="1157"/>
        <v>04-08-2020 01:00:00</v>
      </c>
      <c r="B2838" t="str">
        <f>"0000808109"</f>
        <v>0000808109</v>
      </c>
      <c r="C2838" t="str">
        <f t="shared" si="1158"/>
        <v>0000807993</v>
      </c>
      <c r="D2838" t="str">
        <f t="shared" si="1159"/>
        <v>73185</v>
      </c>
      <c r="E2838" t="str">
        <f t="shared" si="1160"/>
        <v>KFH-OPERATIONS DEPARTMENT</v>
      </c>
      <c r="F2838" t="str">
        <f t="shared" si="1161"/>
        <v>IBG</v>
      </c>
      <c r="G2838" t="str">
        <f t="shared" si="1174"/>
        <v>Refund COSHARE 10</v>
      </c>
      <c r="H2838" s="2">
        <v>1284.45</v>
      </c>
      <c r="I2838" t="str">
        <f>"NOR AZLENA BINTI KASIM"</f>
        <v>NOR AZLENA BINTI KASIM</v>
      </c>
      <c r="J2838" t="str">
        <f t="shared" si="1175"/>
        <v>MAYBANK / MAYBANK ISLAMIC</v>
      </c>
      <c r="K2838" t="str">
        <f>"155014935655"</f>
        <v>155014935655</v>
      </c>
      <c r="L2838" t="str">
        <f t="shared" si="1172"/>
        <v>04-08-2020</v>
      </c>
      <c r="M2838" t="str">
        <f t="shared" si="1172"/>
        <v>04-08-2020</v>
      </c>
      <c r="N2838" t="str">
        <f t="shared" si="1162"/>
        <v>001105018356</v>
      </c>
      <c r="O2838" t="str">
        <f t="shared" si="1163"/>
        <v>MYR</v>
      </c>
      <c r="P2838" t="str">
        <f t="shared" si="1173"/>
        <v>NIL</v>
      </c>
      <c r="Q2838" t="str">
        <f t="shared" si="1173"/>
        <v>NIL</v>
      </c>
      <c r="R2838" t="str">
        <f t="shared" si="1164"/>
        <v>Accepted</v>
      </c>
      <c r="S2838" t="str">
        <f t="shared" si="1165"/>
        <v>Approved</v>
      </c>
      <c r="T2838" t="str">
        <f t="shared" si="1166"/>
        <v>10.20.8.188</v>
      </c>
      <c r="U2838" t="str">
        <f t="shared" si="1167"/>
        <v>AZRAD UMAR BIN SHAARI</v>
      </c>
      <c r="V2838" t="str">
        <f t="shared" si="1168"/>
        <v>FARHANA BINTI MUSTAPA</v>
      </c>
      <c r="W2838" t="str">
        <f t="shared" si="1169"/>
        <v>04-08-2020</v>
      </c>
      <c r="X2838" t="str">
        <f t="shared" si="1170"/>
        <v>RAZIMAH ANSAR AHMAD</v>
      </c>
      <c r="Y2838" t="str">
        <f t="shared" si="1171"/>
        <v>04-08-2020</v>
      </c>
      <c r="Z2838" t="str">
        <f>"COS10200804 6316"</f>
        <v>COS10200804 6316</v>
      </c>
    </row>
    <row r="2839" spans="1:26" x14ac:dyDescent="0.25">
      <c r="A2839" t="str">
        <f t="shared" si="1157"/>
        <v>04-08-2020 01:00:00</v>
      </c>
      <c r="B2839" t="str">
        <f>"0000808108"</f>
        <v>0000808108</v>
      </c>
      <c r="C2839" t="str">
        <f t="shared" si="1158"/>
        <v>0000807993</v>
      </c>
      <c r="D2839" t="str">
        <f t="shared" si="1159"/>
        <v>73185</v>
      </c>
      <c r="E2839" t="str">
        <f t="shared" si="1160"/>
        <v>KFH-OPERATIONS DEPARTMENT</v>
      </c>
      <c r="F2839" t="str">
        <f t="shared" si="1161"/>
        <v>IBG</v>
      </c>
      <c r="G2839" t="str">
        <f t="shared" si="1174"/>
        <v>Refund COSHARE 10</v>
      </c>
      <c r="H2839" s="2">
        <v>67.2</v>
      </c>
      <c r="I2839" t="str">
        <f>"NOR AZLAN SHAH BIN MOHD REDHUN"</f>
        <v>NOR AZLAN SHAH BIN MOHD REDHUN</v>
      </c>
      <c r="J2839" t="str">
        <f t="shared" si="1175"/>
        <v>MAYBANK / MAYBANK ISLAMIC</v>
      </c>
      <c r="K2839" t="str">
        <f>"508467050011"</f>
        <v>508467050011</v>
      </c>
      <c r="L2839" t="str">
        <f t="shared" si="1172"/>
        <v>04-08-2020</v>
      </c>
      <c r="M2839" t="str">
        <f t="shared" si="1172"/>
        <v>04-08-2020</v>
      </c>
      <c r="N2839" t="str">
        <f t="shared" si="1162"/>
        <v>001105018356</v>
      </c>
      <c r="O2839" t="str">
        <f t="shared" si="1163"/>
        <v>MYR</v>
      </c>
      <c r="P2839" t="str">
        <f t="shared" si="1173"/>
        <v>NIL</v>
      </c>
      <c r="Q2839" t="str">
        <f t="shared" si="1173"/>
        <v>NIL</v>
      </c>
      <c r="R2839" t="str">
        <f t="shared" si="1164"/>
        <v>Accepted</v>
      </c>
      <c r="S2839" t="str">
        <f t="shared" si="1165"/>
        <v>Approved</v>
      </c>
      <c r="T2839" t="str">
        <f t="shared" si="1166"/>
        <v>10.20.8.188</v>
      </c>
      <c r="U2839" t="str">
        <f t="shared" si="1167"/>
        <v>AZRAD UMAR BIN SHAARI</v>
      </c>
      <c r="V2839" t="str">
        <f t="shared" si="1168"/>
        <v>FARHANA BINTI MUSTAPA</v>
      </c>
      <c r="W2839" t="str">
        <f t="shared" si="1169"/>
        <v>04-08-2020</v>
      </c>
      <c r="X2839" t="str">
        <f t="shared" si="1170"/>
        <v>RAZIMAH ANSAR AHMAD</v>
      </c>
      <c r="Y2839" t="str">
        <f t="shared" si="1171"/>
        <v>04-08-2020</v>
      </c>
      <c r="Z2839" t="str">
        <f>"COS10200804 6315"</f>
        <v>COS10200804 6315</v>
      </c>
    </row>
    <row r="2840" spans="1:26" x14ac:dyDescent="0.25">
      <c r="A2840" t="str">
        <f t="shared" si="1157"/>
        <v>04-08-2020 01:00:00</v>
      </c>
      <c r="B2840" t="str">
        <f>"0000808107"</f>
        <v>0000808107</v>
      </c>
      <c r="C2840" t="str">
        <f t="shared" si="1158"/>
        <v>0000807993</v>
      </c>
      <c r="D2840" t="str">
        <f t="shared" si="1159"/>
        <v>73185</v>
      </c>
      <c r="E2840" t="str">
        <f t="shared" si="1160"/>
        <v>KFH-OPERATIONS DEPARTMENT</v>
      </c>
      <c r="F2840" t="str">
        <f t="shared" si="1161"/>
        <v>IBG</v>
      </c>
      <c r="G2840" t="str">
        <f t="shared" si="1174"/>
        <v>Refund COSHARE 10</v>
      </c>
      <c r="H2840" s="2">
        <v>906.65</v>
      </c>
      <c r="I2840" t="str">
        <f>"NOR AZLAN HADI BIN AB RAHMAN"</f>
        <v>NOR AZLAN HADI BIN AB RAHMAN</v>
      </c>
      <c r="J2840" t="str">
        <f t="shared" si="1175"/>
        <v>MAYBANK / MAYBANK ISLAMIC</v>
      </c>
      <c r="K2840" t="str">
        <f>"153010356500"</f>
        <v>153010356500</v>
      </c>
      <c r="L2840" t="str">
        <f t="shared" si="1172"/>
        <v>04-08-2020</v>
      </c>
      <c r="M2840" t="str">
        <f t="shared" si="1172"/>
        <v>04-08-2020</v>
      </c>
      <c r="N2840" t="str">
        <f t="shared" si="1162"/>
        <v>001105018356</v>
      </c>
      <c r="O2840" t="str">
        <f t="shared" si="1163"/>
        <v>MYR</v>
      </c>
      <c r="P2840" t="str">
        <f t="shared" si="1173"/>
        <v>NIL</v>
      </c>
      <c r="Q2840" t="str">
        <f t="shared" si="1173"/>
        <v>NIL</v>
      </c>
      <c r="R2840" t="str">
        <f t="shared" si="1164"/>
        <v>Accepted</v>
      </c>
      <c r="S2840" t="str">
        <f t="shared" si="1165"/>
        <v>Approved</v>
      </c>
      <c r="T2840" t="str">
        <f t="shared" si="1166"/>
        <v>10.20.8.188</v>
      </c>
      <c r="U2840" t="str">
        <f t="shared" si="1167"/>
        <v>AZRAD UMAR BIN SHAARI</v>
      </c>
      <c r="V2840" t="str">
        <f t="shared" si="1168"/>
        <v>FARHANA BINTI MUSTAPA</v>
      </c>
      <c r="W2840" t="str">
        <f t="shared" si="1169"/>
        <v>04-08-2020</v>
      </c>
      <c r="X2840" t="str">
        <f t="shared" si="1170"/>
        <v>RAZIMAH ANSAR AHMAD</v>
      </c>
      <c r="Y2840" t="str">
        <f t="shared" si="1171"/>
        <v>04-08-2020</v>
      </c>
      <c r="Z2840" t="str">
        <f>"COS10200804 6314"</f>
        <v>COS10200804 6314</v>
      </c>
    </row>
    <row r="2841" spans="1:26" x14ac:dyDescent="0.25">
      <c r="A2841" t="str">
        <f t="shared" si="1157"/>
        <v>04-08-2020 01:00:00</v>
      </c>
      <c r="B2841" t="str">
        <f>"0000808106"</f>
        <v>0000808106</v>
      </c>
      <c r="C2841" t="str">
        <f t="shared" si="1158"/>
        <v>0000807993</v>
      </c>
      <c r="D2841" t="str">
        <f t="shared" si="1159"/>
        <v>73185</v>
      </c>
      <c r="E2841" t="str">
        <f t="shared" si="1160"/>
        <v>KFH-OPERATIONS DEPARTMENT</v>
      </c>
      <c r="F2841" t="str">
        <f t="shared" si="1161"/>
        <v>IBG</v>
      </c>
      <c r="G2841" t="str">
        <f t="shared" si="1174"/>
        <v>Refund COSHARE 10</v>
      </c>
      <c r="H2841" s="2">
        <v>92.35</v>
      </c>
      <c r="I2841" t="str">
        <f>"NOR AZLAN BIN MAT SAAD"</f>
        <v>NOR AZLAN BIN MAT SAAD</v>
      </c>
      <c r="J2841" t="str">
        <f t="shared" si="1175"/>
        <v>MAYBANK / MAYBANK ISLAMIC</v>
      </c>
      <c r="K2841" t="str">
        <f>"159012693839"</f>
        <v>159012693839</v>
      </c>
      <c r="L2841" t="str">
        <f t="shared" si="1172"/>
        <v>04-08-2020</v>
      </c>
      <c r="M2841" t="str">
        <f t="shared" si="1172"/>
        <v>04-08-2020</v>
      </c>
      <c r="N2841" t="str">
        <f t="shared" si="1162"/>
        <v>001105018356</v>
      </c>
      <c r="O2841" t="str">
        <f t="shared" si="1163"/>
        <v>MYR</v>
      </c>
      <c r="P2841" t="str">
        <f t="shared" si="1173"/>
        <v>NIL</v>
      </c>
      <c r="Q2841" t="str">
        <f t="shared" si="1173"/>
        <v>NIL</v>
      </c>
      <c r="R2841" t="str">
        <f t="shared" si="1164"/>
        <v>Accepted</v>
      </c>
      <c r="S2841" t="str">
        <f t="shared" si="1165"/>
        <v>Approved</v>
      </c>
      <c r="T2841" t="str">
        <f t="shared" si="1166"/>
        <v>10.20.8.188</v>
      </c>
      <c r="U2841" t="str">
        <f t="shared" si="1167"/>
        <v>AZRAD UMAR BIN SHAARI</v>
      </c>
      <c r="V2841" t="str">
        <f t="shared" si="1168"/>
        <v>FARHANA BINTI MUSTAPA</v>
      </c>
      <c r="W2841" t="str">
        <f t="shared" si="1169"/>
        <v>04-08-2020</v>
      </c>
      <c r="X2841" t="str">
        <f t="shared" si="1170"/>
        <v>RAZIMAH ANSAR AHMAD</v>
      </c>
      <c r="Y2841" t="str">
        <f t="shared" si="1171"/>
        <v>04-08-2020</v>
      </c>
      <c r="Z2841" t="str">
        <f>"COS10200804 6313"</f>
        <v>COS10200804 6313</v>
      </c>
    </row>
    <row r="2842" spans="1:26" x14ac:dyDescent="0.25">
      <c r="A2842" t="str">
        <f t="shared" si="1157"/>
        <v>04-08-2020 01:00:00</v>
      </c>
      <c r="B2842" t="str">
        <f>"0000808105"</f>
        <v>0000808105</v>
      </c>
      <c r="C2842" t="str">
        <f t="shared" si="1158"/>
        <v>0000807993</v>
      </c>
      <c r="D2842" t="str">
        <f t="shared" si="1159"/>
        <v>73185</v>
      </c>
      <c r="E2842" t="str">
        <f t="shared" si="1160"/>
        <v>KFH-OPERATIONS DEPARTMENT</v>
      </c>
      <c r="F2842" t="str">
        <f t="shared" si="1161"/>
        <v>IBG</v>
      </c>
      <c r="G2842" t="str">
        <f t="shared" si="1174"/>
        <v>Refund COSHARE 10</v>
      </c>
      <c r="H2842" s="2">
        <v>822.7</v>
      </c>
      <c r="I2842" t="str">
        <f>"NOR AZIZAH BINTI MD NASIR"</f>
        <v>NOR AZIZAH BINTI MD NASIR</v>
      </c>
      <c r="J2842" t="str">
        <f t="shared" si="1175"/>
        <v>MAYBANK / MAYBANK ISLAMIC</v>
      </c>
      <c r="K2842" t="str">
        <f>"164360001527"</f>
        <v>164360001527</v>
      </c>
      <c r="L2842" t="str">
        <f t="shared" si="1172"/>
        <v>04-08-2020</v>
      </c>
      <c r="M2842" t="str">
        <f t="shared" si="1172"/>
        <v>04-08-2020</v>
      </c>
      <c r="N2842" t="str">
        <f t="shared" si="1162"/>
        <v>001105018356</v>
      </c>
      <c r="O2842" t="str">
        <f t="shared" si="1163"/>
        <v>MYR</v>
      </c>
      <c r="P2842" t="str">
        <f t="shared" si="1173"/>
        <v>NIL</v>
      </c>
      <c r="Q2842" t="str">
        <f t="shared" si="1173"/>
        <v>NIL</v>
      </c>
      <c r="R2842" t="str">
        <f t="shared" si="1164"/>
        <v>Accepted</v>
      </c>
      <c r="S2842" t="str">
        <f t="shared" si="1165"/>
        <v>Approved</v>
      </c>
      <c r="T2842" t="str">
        <f t="shared" si="1166"/>
        <v>10.20.8.188</v>
      </c>
      <c r="U2842" t="str">
        <f t="shared" si="1167"/>
        <v>AZRAD UMAR BIN SHAARI</v>
      </c>
      <c r="V2842" t="str">
        <f t="shared" si="1168"/>
        <v>FARHANA BINTI MUSTAPA</v>
      </c>
      <c r="W2842" t="str">
        <f t="shared" si="1169"/>
        <v>04-08-2020</v>
      </c>
      <c r="X2842" t="str">
        <f t="shared" si="1170"/>
        <v>RAZIMAH ANSAR AHMAD</v>
      </c>
      <c r="Y2842" t="str">
        <f t="shared" si="1171"/>
        <v>04-08-2020</v>
      </c>
      <c r="Z2842" t="str">
        <f>"COS10200804 6312"</f>
        <v>COS10200804 6312</v>
      </c>
    </row>
    <row r="2843" spans="1:26" x14ac:dyDescent="0.25">
      <c r="A2843" t="str">
        <f t="shared" si="1157"/>
        <v>04-08-2020 01:00:00</v>
      </c>
      <c r="B2843" t="str">
        <f>"0000808104"</f>
        <v>0000808104</v>
      </c>
      <c r="C2843" t="str">
        <f t="shared" si="1158"/>
        <v>0000807993</v>
      </c>
      <c r="D2843" t="str">
        <f t="shared" si="1159"/>
        <v>73185</v>
      </c>
      <c r="E2843" t="str">
        <f t="shared" si="1160"/>
        <v>KFH-OPERATIONS DEPARTMENT</v>
      </c>
      <c r="F2843" t="str">
        <f t="shared" si="1161"/>
        <v>IBG</v>
      </c>
      <c r="G2843" t="str">
        <f t="shared" si="1174"/>
        <v>Refund COSHARE 10</v>
      </c>
      <c r="H2843" s="2">
        <v>419</v>
      </c>
      <c r="I2843" t="str">
        <f>"NOR AZIZAH BINTI GHAZALI  AHMAD"</f>
        <v>NOR AZIZAH BINTI GHAZALI  AHMAD</v>
      </c>
      <c r="J2843" t="str">
        <f t="shared" si="1175"/>
        <v>MAYBANK / MAYBANK ISLAMIC</v>
      </c>
      <c r="K2843" t="str">
        <f>"107095408919"</f>
        <v>107095408919</v>
      </c>
      <c r="L2843" t="str">
        <f t="shared" si="1172"/>
        <v>04-08-2020</v>
      </c>
      <c r="M2843" t="str">
        <f t="shared" si="1172"/>
        <v>04-08-2020</v>
      </c>
      <c r="N2843" t="str">
        <f t="shared" si="1162"/>
        <v>001105018356</v>
      </c>
      <c r="O2843" t="str">
        <f t="shared" si="1163"/>
        <v>MYR</v>
      </c>
      <c r="P2843" t="str">
        <f t="shared" si="1173"/>
        <v>NIL</v>
      </c>
      <c r="Q2843" t="str">
        <f t="shared" si="1173"/>
        <v>NIL</v>
      </c>
      <c r="R2843" t="str">
        <f t="shared" si="1164"/>
        <v>Accepted</v>
      </c>
      <c r="S2843" t="str">
        <f t="shared" si="1165"/>
        <v>Approved</v>
      </c>
      <c r="T2843" t="str">
        <f t="shared" si="1166"/>
        <v>10.20.8.188</v>
      </c>
      <c r="U2843" t="str">
        <f t="shared" si="1167"/>
        <v>AZRAD UMAR BIN SHAARI</v>
      </c>
      <c r="V2843" t="str">
        <f t="shared" si="1168"/>
        <v>FARHANA BINTI MUSTAPA</v>
      </c>
      <c r="W2843" t="str">
        <f t="shared" si="1169"/>
        <v>04-08-2020</v>
      </c>
      <c r="X2843" t="str">
        <f t="shared" si="1170"/>
        <v>RAZIMAH ANSAR AHMAD</v>
      </c>
      <c r="Y2843" t="str">
        <f t="shared" si="1171"/>
        <v>04-08-2020</v>
      </c>
      <c r="Z2843" t="str">
        <f>"COS10200804 6311"</f>
        <v>COS10200804 6311</v>
      </c>
    </row>
    <row r="2844" spans="1:26" x14ac:dyDescent="0.25">
      <c r="A2844" t="str">
        <f t="shared" si="1157"/>
        <v>04-08-2020 01:00:00</v>
      </c>
      <c r="B2844" t="str">
        <f>"0000808103"</f>
        <v>0000808103</v>
      </c>
      <c r="C2844" t="str">
        <f t="shared" si="1158"/>
        <v>0000807993</v>
      </c>
      <c r="D2844" t="str">
        <f t="shared" si="1159"/>
        <v>73185</v>
      </c>
      <c r="E2844" t="str">
        <f t="shared" si="1160"/>
        <v>KFH-OPERATIONS DEPARTMENT</v>
      </c>
      <c r="F2844" t="str">
        <f t="shared" si="1161"/>
        <v>IBG</v>
      </c>
      <c r="G2844" t="str">
        <f t="shared" si="1174"/>
        <v>Refund COSHARE 10</v>
      </c>
      <c r="H2844" s="2">
        <v>50.4</v>
      </c>
      <c r="I2844" t="str">
        <f>"NOR AZIMAH BINTI AZIZ"</f>
        <v>NOR AZIMAH BINTI AZIZ</v>
      </c>
      <c r="J2844" t="str">
        <f t="shared" si="1175"/>
        <v>MAYBANK / MAYBANK ISLAMIC</v>
      </c>
      <c r="K2844" t="str">
        <f>"114012066780"</f>
        <v>114012066780</v>
      </c>
      <c r="L2844" t="str">
        <f t="shared" si="1172"/>
        <v>04-08-2020</v>
      </c>
      <c r="M2844" t="str">
        <f t="shared" si="1172"/>
        <v>04-08-2020</v>
      </c>
      <c r="N2844" t="str">
        <f t="shared" si="1162"/>
        <v>001105018356</v>
      </c>
      <c r="O2844" t="str">
        <f t="shared" si="1163"/>
        <v>MYR</v>
      </c>
      <c r="P2844" t="str">
        <f t="shared" si="1173"/>
        <v>NIL</v>
      </c>
      <c r="Q2844" t="str">
        <f t="shared" si="1173"/>
        <v>NIL</v>
      </c>
      <c r="R2844" t="str">
        <f t="shared" si="1164"/>
        <v>Accepted</v>
      </c>
      <c r="S2844" t="str">
        <f t="shared" si="1165"/>
        <v>Approved</v>
      </c>
      <c r="T2844" t="str">
        <f t="shared" si="1166"/>
        <v>10.20.8.188</v>
      </c>
      <c r="U2844" t="str">
        <f t="shared" si="1167"/>
        <v>AZRAD UMAR BIN SHAARI</v>
      </c>
      <c r="V2844" t="str">
        <f t="shared" si="1168"/>
        <v>FARHANA BINTI MUSTAPA</v>
      </c>
      <c r="W2844" t="str">
        <f t="shared" si="1169"/>
        <v>04-08-2020</v>
      </c>
      <c r="X2844" t="str">
        <f t="shared" si="1170"/>
        <v>RAZIMAH ANSAR AHMAD</v>
      </c>
      <c r="Y2844" t="str">
        <f t="shared" si="1171"/>
        <v>04-08-2020</v>
      </c>
      <c r="Z2844" t="str">
        <f>"COS10200804 6310"</f>
        <v>COS10200804 6310</v>
      </c>
    </row>
    <row r="2845" spans="1:26" x14ac:dyDescent="0.25">
      <c r="A2845" t="str">
        <f t="shared" si="1157"/>
        <v>04-08-2020 01:00:00</v>
      </c>
      <c r="B2845" t="str">
        <f>"0000808102"</f>
        <v>0000808102</v>
      </c>
      <c r="C2845" t="str">
        <f t="shared" si="1158"/>
        <v>0000807993</v>
      </c>
      <c r="D2845" t="str">
        <f t="shared" si="1159"/>
        <v>73185</v>
      </c>
      <c r="E2845" t="str">
        <f t="shared" si="1160"/>
        <v>KFH-OPERATIONS DEPARTMENT</v>
      </c>
      <c r="F2845" t="str">
        <f t="shared" si="1161"/>
        <v>IBG</v>
      </c>
      <c r="G2845" t="str">
        <f t="shared" si="1174"/>
        <v>Refund COSHARE 10</v>
      </c>
      <c r="H2845" s="2">
        <v>1519.5</v>
      </c>
      <c r="I2845" t="str">
        <f>"NOR AZIMAH BINTI ABU BAKAR"</f>
        <v>NOR AZIMAH BINTI ABU BAKAR</v>
      </c>
      <c r="J2845" t="str">
        <f t="shared" si="1175"/>
        <v>MAYBANK / MAYBANK ISLAMIC</v>
      </c>
      <c r="K2845" t="str">
        <f>"153056154354"</f>
        <v>153056154354</v>
      </c>
      <c r="L2845" t="str">
        <f t="shared" si="1172"/>
        <v>04-08-2020</v>
      </c>
      <c r="M2845" t="str">
        <f t="shared" si="1172"/>
        <v>04-08-2020</v>
      </c>
      <c r="N2845" t="str">
        <f t="shared" si="1162"/>
        <v>001105018356</v>
      </c>
      <c r="O2845" t="str">
        <f t="shared" si="1163"/>
        <v>MYR</v>
      </c>
      <c r="P2845" t="str">
        <f t="shared" si="1173"/>
        <v>NIL</v>
      </c>
      <c r="Q2845" t="str">
        <f t="shared" si="1173"/>
        <v>NIL</v>
      </c>
      <c r="R2845" t="str">
        <f t="shared" si="1164"/>
        <v>Accepted</v>
      </c>
      <c r="S2845" t="str">
        <f t="shared" si="1165"/>
        <v>Approved</v>
      </c>
      <c r="T2845" t="str">
        <f t="shared" si="1166"/>
        <v>10.20.8.188</v>
      </c>
      <c r="U2845" t="str">
        <f t="shared" si="1167"/>
        <v>AZRAD UMAR BIN SHAARI</v>
      </c>
      <c r="V2845" t="str">
        <f t="shared" si="1168"/>
        <v>FARHANA BINTI MUSTAPA</v>
      </c>
      <c r="W2845" t="str">
        <f t="shared" si="1169"/>
        <v>04-08-2020</v>
      </c>
      <c r="X2845" t="str">
        <f t="shared" si="1170"/>
        <v>RAZIMAH ANSAR AHMAD</v>
      </c>
      <c r="Y2845" t="str">
        <f t="shared" si="1171"/>
        <v>04-08-2020</v>
      </c>
      <c r="Z2845" t="str">
        <f>"COS10200804 6309"</f>
        <v>COS10200804 6309</v>
      </c>
    </row>
    <row r="2846" spans="1:26" x14ac:dyDescent="0.25">
      <c r="A2846" t="str">
        <f t="shared" si="1157"/>
        <v>04-08-2020 01:00:00</v>
      </c>
      <c r="B2846" t="str">
        <f>"0000808101"</f>
        <v>0000808101</v>
      </c>
      <c r="C2846" t="str">
        <f t="shared" si="1158"/>
        <v>0000807993</v>
      </c>
      <c r="D2846" t="str">
        <f t="shared" si="1159"/>
        <v>73185</v>
      </c>
      <c r="E2846" t="str">
        <f t="shared" si="1160"/>
        <v>KFH-OPERATIONS DEPARTMENT</v>
      </c>
      <c r="F2846" t="str">
        <f t="shared" si="1161"/>
        <v>IBG</v>
      </c>
      <c r="G2846" t="str">
        <f t="shared" si="1174"/>
        <v>Refund COSHARE 10</v>
      </c>
      <c r="H2846" s="2">
        <v>839.5</v>
      </c>
      <c r="I2846" t="str">
        <f>"NOR AZILA BINTI YAHAYA"</f>
        <v>NOR AZILA BINTI YAHAYA</v>
      </c>
      <c r="J2846" t="str">
        <f t="shared" si="1175"/>
        <v>MAYBANK / MAYBANK ISLAMIC</v>
      </c>
      <c r="K2846" t="str">
        <f>"156057223271"</f>
        <v>156057223271</v>
      </c>
      <c r="L2846" t="str">
        <f t="shared" si="1172"/>
        <v>04-08-2020</v>
      </c>
      <c r="M2846" t="str">
        <f t="shared" si="1172"/>
        <v>04-08-2020</v>
      </c>
      <c r="N2846" t="str">
        <f t="shared" si="1162"/>
        <v>001105018356</v>
      </c>
      <c r="O2846" t="str">
        <f t="shared" si="1163"/>
        <v>MYR</v>
      </c>
      <c r="P2846" t="str">
        <f t="shared" si="1173"/>
        <v>NIL</v>
      </c>
      <c r="Q2846" t="str">
        <f t="shared" si="1173"/>
        <v>NIL</v>
      </c>
      <c r="R2846" t="str">
        <f t="shared" si="1164"/>
        <v>Accepted</v>
      </c>
      <c r="S2846" t="str">
        <f t="shared" si="1165"/>
        <v>Approved</v>
      </c>
      <c r="T2846" t="str">
        <f t="shared" si="1166"/>
        <v>10.20.8.188</v>
      </c>
      <c r="U2846" t="str">
        <f t="shared" si="1167"/>
        <v>AZRAD UMAR BIN SHAARI</v>
      </c>
      <c r="V2846" t="str">
        <f t="shared" si="1168"/>
        <v>FARHANA BINTI MUSTAPA</v>
      </c>
      <c r="W2846" t="str">
        <f t="shared" si="1169"/>
        <v>04-08-2020</v>
      </c>
      <c r="X2846" t="str">
        <f t="shared" si="1170"/>
        <v>RAZIMAH ANSAR AHMAD</v>
      </c>
      <c r="Y2846" t="str">
        <f t="shared" si="1171"/>
        <v>04-08-2020</v>
      </c>
      <c r="Z2846" t="str">
        <f>"COS10200804 6308"</f>
        <v>COS10200804 6308</v>
      </c>
    </row>
    <row r="2847" spans="1:26" x14ac:dyDescent="0.25">
      <c r="A2847" t="str">
        <f t="shared" si="1157"/>
        <v>04-08-2020 01:00:00</v>
      </c>
      <c r="B2847" t="str">
        <f>"0000808100"</f>
        <v>0000808100</v>
      </c>
      <c r="C2847" t="str">
        <f t="shared" si="1158"/>
        <v>0000807993</v>
      </c>
      <c r="D2847" t="str">
        <f t="shared" si="1159"/>
        <v>73185</v>
      </c>
      <c r="E2847" t="str">
        <f t="shared" si="1160"/>
        <v>KFH-OPERATIONS DEPARTMENT</v>
      </c>
      <c r="F2847" t="str">
        <f t="shared" si="1161"/>
        <v>IBG</v>
      </c>
      <c r="G2847" t="str">
        <f t="shared" si="1174"/>
        <v>Refund COSHARE 10</v>
      </c>
      <c r="H2847" s="2">
        <v>755.55</v>
      </c>
      <c r="I2847" t="str">
        <f>"NOR AZIAH BINTI DIN"</f>
        <v>NOR AZIAH BINTI DIN</v>
      </c>
      <c r="J2847" t="str">
        <f t="shared" si="1175"/>
        <v>MAYBANK / MAYBANK ISLAMIC</v>
      </c>
      <c r="K2847" t="str">
        <f>"157091194548"</f>
        <v>157091194548</v>
      </c>
      <c r="L2847" t="str">
        <f t="shared" ref="L2847:M2866" si="1176">"04-08-2020"</f>
        <v>04-08-2020</v>
      </c>
      <c r="M2847" t="str">
        <f t="shared" si="1176"/>
        <v>04-08-2020</v>
      </c>
      <c r="N2847" t="str">
        <f t="shared" si="1162"/>
        <v>001105018356</v>
      </c>
      <c r="O2847" t="str">
        <f t="shared" si="1163"/>
        <v>MYR</v>
      </c>
      <c r="P2847" t="str">
        <f t="shared" ref="P2847:Q2866" si="1177">"NIL"</f>
        <v>NIL</v>
      </c>
      <c r="Q2847" t="str">
        <f t="shared" si="1177"/>
        <v>NIL</v>
      </c>
      <c r="R2847" t="str">
        <f t="shared" si="1164"/>
        <v>Accepted</v>
      </c>
      <c r="S2847" t="str">
        <f t="shared" si="1165"/>
        <v>Approved</v>
      </c>
      <c r="T2847" t="str">
        <f t="shared" si="1166"/>
        <v>10.20.8.188</v>
      </c>
      <c r="U2847" t="str">
        <f t="shared" si="1167"/>
        <v>AZRAD UMAR BIN SHAARI</v>
      </c>
      <c r="V2847" t="str">
        <f t="shared" si="1168"/>
        <v>FARHANA BINTI MUSTAPA</v>
      </c>
      <c r="W2847" t="str">
        <f t="shared" si="1169"/>
        <v>04-08-2020</v>
      </c>
      <c r="X2847" t="str">
        <f t="shared" si="1170"/>
        <v>RAZIMAH ANSAR AHMAD</v>
      </c>
      <c r="Y2847" t="str">
        <f t="shared" si="1171"/>
        <v>04-08-2020</v>
      </c>
      <c r="Z2847" t="str">
        <f>"COS10200804 6307"</f>
        <v>COS10200804 6307</v>
      </c>
    </row>
    <row r="2848" spans="1:26" x14ac:dyDescent="0.25">
      <c r="A2848" t="str">
        <f t="shared" si="1157"/>
        <v>04-08-2020 01:00:00</v>
      </c>
      <c r="B2848" t="str">
        <f>"0000808099"</f>
        <v>0000808099</v>
      </c>
      <c r="C2848" t="str">
        <f t="shared" si="1158"/>
        <v>0000807993</v>
      </c>
      <c r="D2848" t="str">
        <f t="shared" si="1159"/>
        <v>73185</v>
      </c>
      <c r="E2848" t="str">
        <f t="shared" si="1160"/>
        <v>KFH-OPERATIONS DEPARTMENT</v>
      </c>
      <c r="F2848" t="str">
        <f t="shared" si="1161"/>
        <v>IBG</v>
      </c>
      <c r="G2848" t="str">
        <f t="shared" si="1174"/>
        <v>Refund COSHARE 10</v>
      </c>
      <c r="H2848" s="2">
        <v>1595.05</v>
      </c>
      <c r="I2848" t="str">
        <f>"NOR AZHAR BIN MANAP"</f>
        <v>NOR AZHAR BIN MANAP</v>
      </c>
      <c r="J2848" t="str">
        <f t="shared" si="1175"/>
        <v>MAYBANK / MAYBANK ISLAMIC</v>
      </c>
      <c r="K2848" t="str">
        <f>"164164840758"</f>
        <v>164164840758</v>
      </c>
      <c r="L2848" t="str">
        <f t="shared" si="1176"/>
        <v>04-08-2020</v>
      </c>
      <c r="M2848" t="str">
        <f t="shared" si="1176"/>
        <v>04-08-2020</v>
      </c>
      <c r="N2848" t="str">
        <f t="shared" si="1162"/>
        <v>001105018356</v>
      </c>
      <c r="O2848" t="str">
        <f t="shared" si="1163"/>
        <v>MYR</v>
      </c>
      <c r="P2848" t="str">
        <f t="shared" si="1177"/>
        <v>NIL</v>
      </c>
      <c r="Q2848" t="str">
        <f t="shared" si="1177"/>
        <v>NIL</v>
      </c>
      <c r="R2848" t="str">
        <f t="shared" si="1164"/>
        <v>Accepted</v>
      </c>
      <c r="S2848" t="str">
        <f t="shared" si="1165"/>
        <v>Approved</v>
      </c>
      <c r="T2848" t="str">
        <f t="shared" si="1166"/>
        <v>10.20.8.188</v>
      </c>
      <c r="U2848" t="str">
        <f t="shared" si="1167"/>
        <v>AZRAD UMAR BIN SHAARI</v>
      </c>
      <c r="V2848" t="str">
        <f t="shared" si="1168"/>
        <v>FARHANA BINTI MUSTAPA</v>
      </c>
      <c r="W2848" t="str">
        <f t="shared" si="1169"/>
        <v>04-08-2020</v>
      </c>
      <c r="X2848" t="str">
        <f t="shared" si="1170"/>
        <v>RAZIMAH ANSAR AHMAD</v>
      </c>
      <c r="Y2848" t="str">
        <f t="shared" si="1171"/>
        <v>04-08-2020</v>
      </c>
      <c r="Z2848" t="str">
        <f>"COS10200804 6306"</f>
        <v>COS10200804 6306</v>
      </c>
    </row>
    <row r="2849" spans="1:26" x14ac:dyDescent="0.25">
      <c r="A2849" t="str">
        <f t="shared" si="1157"/>
        <v>04-08-2020 01:00:00</v>
      </c>
      <c r="B2849" t="str">
        <f>"0000808098"</f>
        <v>0000808098</v>
      </c>
      <c r="C2849" t="str">
        <f t="shared" si="1158"/>
        <v>0000807993</v>
      </c>
      <c r="D2849" t="str">
        <f t="shared" si="1159"/>
        <v>73185</v>
      </c>
      <c r="E2849" t="str">
        <f t="shared" si="1160"/>
        <v>KFH-OPERATIONS DEPARTMENT</v>
      </c>
      <c r="F2849" t="str">
        <f t="shared" si="1161"/>
        <v>IBG</v>
      </c>
      <c r="G2849" t="str">
        <f t="shared" si="1174"/>
        <v>Refund COSHARE 10</v>
      </c>
      <c r="H2849" s="2">
        <v>528.9</v>
      </c>
      <c r="I2849" t="str">
        <f>"NOR AZHANA BINTI ABDULLAH"</f>
        <v>NOR AZHANA BINTI ABDULLAH</v>
      </c>
      <c r="J2849" t="str">
        <f t="shared" si="1175"/>
        <v>MAYBANK / MAYBANK ISLAMIC</v>
      </c>
      <c r="K2849" t="str">
        <f>"162021011579"</f>
        <v>162021011579</v>
      </c>
      <c r="L2849" t="str">
        <f t="shared" si="1176"/>
        <v>04-08-2020</v>
      </c>
      <c r="M2849" t="str">
        <f t="shared" si="1176"/>
        <v>04-08-2020</v>
      </c>
      <c r="N2849" t="str">
        <f t="shared" si="1162"/>
        <v>001105018356</v>
      </c>
      <c r="O2849" t="str">
        <f t="shared" si="1163"/>
        <v>MYR</v>
      </c>
      <c r="P2849" t="str">
        <f t="shared" si="1177"/>
        <v>NIL</v>
      </c>
      <c r="Q2849" t="str">
        <f t="shared" si="1177"/>
        <v>NIL</v>
      </c>
      <c r="R2849" t="str">
        <f t="shared" si="1164"/>
        <v>Accepted</v>
      </c>
      <c r="S2849" t="str">
        <f t="shared" si="1165"/>
        <v>Approved</v>
      </c>
      <c r="T2849" t="str">
        <f t="shared" si="1166"/>
        <v>10.20.8.188</v>
      </c>
      <c r="U2849" t="str">
        <f t="shared" si="1167"/>
        <v>AZRAD UMAR BIN SHAARI</v>
      </c>
      <c r="V2849" t="str">
        <f t="shared" si="1168"/>
        <v>FARHANA BINTI MUSTAPA</v>
      </c>
      <c r="W2849" t="str">
        <f t="shared" si="1169"/>
        <v>04-08-2020</v>
      </c>
      <c r="X2849" t="str">
        <f t="shared" si="1170"/>
        <v>RAZIMAH ANSAR AHMAD</v>
      </c>
      <c r="Y2849" t="str">
        <f t="shared" si="1171"/>
        <v>04-08-2020</v>
      </c>
      <c r="Z2849" t="str">
        <f>"COS10200804 6305"</f>
        <v>COS10200804 6305</v>
      </c>
    </row>
    <row r="2850" spans="1:26" x14ac:dyDescent="0.25">
      <c r="A2850" t="str">
        <f t="shared" ref="A2850:A2881" si="1178">"04-08-2020 01:00:00"</f>
        <v>04-08-2020 01:00:00</v>
      </c>
      <c r="B2850" t="str">
        <f>"0000808097"</f>
        <v>0000808097</v>
      </c>
      <c r="C2850" t="str">
        <f t="shared" ref="C2850:C2881" si="1179">"0000807993"</f>
        <v>0000807993</v>
      </c>
      <c r="D2850" t="str">
        <f t="shared" si="1159"/>
        <v>73185</v>
      </c>
      <c r="E2850" t="str">
        <f t="shared" si="1160"/>
        <v>KFH-OPERATIONS DEPARTMENT</v>
      </c>
      <c r="F2850" t="str">
        <f t="shared" si="1161"/>
        <v>IBG</v>
      </c>
      <c r="G2850" t="str">
        <f t="shared" si="1174"/>
        <v>Refund COSHARE 10</v>
      </c>
      <c r="H2850" s="2">
        <v>42</v>
      </c>
      <c r="I2850" t="str">
        <f>"NOR ASYURA BINTI NORYAZID"</f>
        <v>NOR ASYURA BINTI NORYAZID</v>
      </c>
      <c r="J2850" t="str">
        <f t="shared" si="1175"/>
        <v>MAYBANK / MAYBANK ISLAMIC</v>
      </c>
      <c r="K2850" t="str">
        <f>"162106843229"</f>
        <v>162106843229</v>
      </c>
      <c r="L2850" t="str">
        <f t="shared" si="1176"/>
        <v>04-08-2020</v>
      </c>
      <c r="M2850" t="str">
        <f t="shared" si="1176"/>
        <v>04-08-2020</v>
      </c>
      <c r="N2850" t="str">
        <f t="shared" si="1162"/>
        <v>001105018356</v>
      </c>
      <c r="O2850" t="str">
        <f t="shared" si="1163"/>
        <v>MYR</v>
      </c>
      <c r="P2850" t="str">
        <f t="shared" si="1177"/>
        <v>NIL</v>
      </c>
      <c r="Q2850" t="str">
        <f t="shared" si="1177"/>
        <v>NIL</v>
      </c>
      <c r="R2850" t="str">
        <f t="shared" si="1164"/>
        <v>Accepted</v>
      </c>
      <c r="S2850" t="str">
        <f t="shared" si="1165"/>
        <v>Approved</v>
      </c>
      <c r="T2850" t="str">
        <f t="shared" si="1166"/>
        <v>10.20.8.188</v>
      </c>
      <c r="U2850" t="str">
        <f t="shared" si="1167"/>
        <v>AZRAD UMAR BIN SHAARI</v>
      </c>
      <c r="V2850" t="str">
        <f t="shared" si="1168"/>
        <v>FARHANA BINTI MUSTAPA</v>
      </c>
      <c r="W2850" t="str">
        <f t="shared" si="1169"/>
        <v>04-08-2020</v>
      </c>
      <c r="X2850" t="str">
        <f t="shared" si="1170"/>
        <v>RAZIMAH ANSAR AHMAD</v>
      </c>
      <c r="Y2850" t="str">
        <f t="shared" si="1171"/>
        <v>04-08-2020</v>
      </c>
      <c r="Z2850" t="str">
        <f>"COS10200804 6304"</f>
        <v>COS10200804 6304</v>
      </c>
    </row>
    <row r="2851" spans="1:26" x14ac:dyDescent="0.25">
      <c r="A2851" t="str">
        <f t="shared" si="1178"/>
        <v>04-08-2020 01:00:00</v>
      </c>
      <c r="B2851" t="str">
        <f>"0000808096"</f>
        <v>0000808096</v>
      </c>
      <c r="C2851" t="str">
        <f t="shared" si="1179"/>
        <v>0000807993</v>
      </c>
      <c r="D2851" t="str">
        <f t="shared" si="1159"/>
        <v>73185</v>
      </c>
      <c r="E2851" t="str">
        <f t="shared" si="1160"/>
        <v>KFH-OPERATIONS DEPARTMENT</v>
      </c>
      <c r="F2851" t="str">
        <f t="shared" si="1161"/>
        <v>IBG</v>
      </c>
      <c r="G2851" t="str">
        <f t="shared" si="1174"/>
        <v>Refund COSHARE 10</v>
      </c>
      <c r="H2851" s="2">
        <v>76</v>
      </c>
      <c r="I2851" t="str">
        <f>"NOR ASMANIZAH BINTI AHMAD"</f>
        <v>NOR ASMANIZAH BINTI AHMAD</v>
      </c>
      <c r="J2851" t="str">
        <f t="shared" si="1175"/>
        <v>MAYBANK / MAYBANK ISLAMIC</v>
      </c>
      <c r="K2851" t="str">
        <f>"162106211791"</f>
        <v>162106211791</v>
      </c>
      <c r="L2851" t="str">
        <f t="shared" si="1176"/>
        <v>04-08-2020</v>
      </c>
      <c r="M2851" t="str">
        <f t="shared" si="1176"/>
        <v>04-08-2020</v>
      </c>
      <c r="N2851" t="str">
        <f t="shared" si="1162"/>
        <v>001105018356</v>
      </c>
      <c r="O2851" t="str">
        <f t="shared" si="1163"/>
        <v>MYR</v>
      </c>
      <c r="P2851" t="str">
        <f t="shared" si="1177"/>
        <v>NIL</v>
      </c>
      <c r="Q2851" t="str">
        <f t="shared" si="1177"/>
        <v>NIL</v>
      </c>
      <c r="R2851" t="str">
        <f t="shared" si="1164"/>
        <v>Accepted</v>
      </c>
      <c r="S2851" t="str">
        <f t="shared" si="1165"/>
        <v>Approved</v>
      </c>
      <c r="T2851" t="str">
        <f t="shared" si="1166"/>
        <v>10.20.8.188</v>
      </c>
      <c r="U2851" t="str">
        <f t="shared" si="1167"/>
        <v>AZRAD UMAR BIN SHAARI</v>
      </c>
      <c r="V2851" t="str">
        <f t="shared" si="1168"/>
        <v>FARHANA BINTI MUSTAPA</v>
      </c>
      <c r="W2851" t="str">
        <f t="shared" si="1169"/>
        <v>04-08-2020</v>
      </c>
      <c r="X2851" t="str">
        <f t="shared" si="1170"/>
        <v>RAZIMAH ANSAR AHMAD</v>
      </c>
      <c r="Y2851" t="str">
        <f t="shared" si="1171"/>
        <v>04-08-2020</v>
      </c>
      <c r="Z2851" t="str">
        <f>"COS10200804 6303"</f>
        <v>COS10200804 6303</v>
      </c>
    </row>
    <row r="2852" spans="1:26" x14ac:dyDescent="0.25">
      <c r="A2852" t="str">
        <f t="shared" si="1178"/>
        <v>04-08-2020 01:00:00</v>
      </c>
      <c r="B2852" t="str">
        <f>"0000808095"</f>
        <v>0000808095</v>
      </c>
      <c r="C2852" t="str">
        <f t="shared" si="1179"/>
        <v>0000807993</v>
      </c>
      <c r="D2852" t="str">
        <f t="shared" si="1159"/>
        <v>73185</v>
      </c>
      <c r="E2852" t="str">
        <f t="shared" si="1160"/>
        <v>KFH-OPERATIONS DEPARTMENT</v>
      </c>
      <c r="F2852" t="str">
        <f t="shared" si="1161"/>
        <v>IBG</v>
      </c>
      <c r="G2852" t="str">
        <f t="shared" si="1174"/>
        <v>Refund COSHARE 10</v>
      </c>
      <c r="H2852" s="2">
        <v>1007.4</v>
      </c>
      <c r="I2852" t="str">
        <f>"NOR ASMANIZAH BINTI AHMAD"</f>
        <v>NOR ASMANIZAH BINTI AHMAD</v>
      </c>
      <c r="J2852" t="str">
        <f t="shared" si="1175"/>
        <v>MAYBANK / MAYBANK ISLAMIC</v>
      </c>
      <c r="K2852" t="str">
        <f>"162106211791"</f>
        <v>162106211791</v>
      </c>
      <c r="L2852" t="str">
        <f t="shared" si="1176"/>
        <v>04-08-2020</v>
      </c>
      <c r="M2852" t="str">
        <f t="shared" si="1176"/>
        <v>04-08-2020</v>
      </c>
      <c r="N2852" t="str">
        <f t="shared" si="1162"/>
        <v>001105018356</v>
      </c>
      <c r="O2852" t="str">
        <f t="shared" si="1163"/>
        <v>MYR</v>
      </c>
      <c r="P2852" t="str">
        <f t="shared" si="1177"/>
        <v>NIL</v>
      </c>
      <c r="Q2852" t="str">
        <f t="shared" si="1177"/>
        <v>NIL</v>
      </c>
      <c r="R2852" t="str">
        <f t="shared" si="1164"/>
        <v>Accepted</v>
      </c>
      <c r="S2852" t="str">
        <f t="shared" si="1165"/>
        <v>Approved</v>
      </c>
      <c r="T2852" t="str">
        <f t="shared" si="1166"/>
        <v>10.20.8.188</v>
      </c>
      <c r="U2852" t="str">
        <f t="shared" si="1167"/>
        <v>AZRAD UMAR BIN SHAARI</v>
      </c>
      <c r="V2852" t="str">
        <f t="shared" si="1168"/>
        <v>FARHANA BINTI MUSTAPA</v>
      </c>
      <c r="W2852" t="str">
        <f t="shared" si="1169"/>
        <v>04-08-2020</v>
      </c>
      <c r="X2852" t="str">
        <f t="shared" si="1170"/>
        <v>RAZIMAH ANSAR AHMAD</v>
      </c>
      <c r="Y2852" t="str">
        <f t="shared" si="1171"/>
        <v>04-08-2020</v>
      </c>
      <c r="Z2852" t="str">
        <f>"COS10200804 6302"</f>
        <v>COS10200804 6302</v>
      </c>
    </row>
    <row r="2853" spans="1:26" x14ac:dyDescent="0.25">
      <c r="A2853" t="str">
        <f t="shared" si="1178"/>
        <v>04-08-2020 01:00:00</v>
      </c>
      <c r="B2853" t="str">
        <f>"0000808094"</f>
        <v>0000808094</v>
      </c>
      <c r="C2853" t="str">
        <f t="shared" si="1179"/>
        <v>0000807993</v>
      </c>
      <c r="D2853" t="str">
        <f t="shared" si="1159"/>
        <v>73185</v>
      </c>
      <c r="E2853" t="str">
        <f t="shared" si="1160"/>
        <v>KFH-OPERATIONS DEPARTMENT</v>
      </c>
      <c r="F2853" t="str">
        <f t="shared" si="1161"/>
        <v>IBG</v>
      </c>
      <c r="G2853" t="str">
        <f t="shared" si="1174"/>
        <v>Refund COSHARE 10</v>
      </c>
      <c r="H2853" s="2">
        <v>1191.5</v>
      </c>
      <c r="I2853" t="str">
        <f>"NOR ASMAH BINTI ZAKARIA"</f>
        <v>NOR ASMAH BINTI ZAKARIA</v>
      </c>
      <c r="J2853" t="str">
        <f t="shared" si="1175"/>
        <v>MAYBANK / MAYBANK ISLAMIC</v>
      </c>
      <c r="K2853" t="str">
        <f>"114020931282"</f>
        <v>114020931282</v>
      </c>
      <c r="L2853" t="str">
        <f t="shared" si="1176"/>
        <v>04-08-2020</v>
      </c>
      <c r="M2853" t="str">
        <f t="shared" si="1176"/>
        <v>04-08-2020</v>
      </c>
      <c r="N2853" t="str">
        <f t="shared" si="1162"/>
        <v>001105018356</v>
      </c>
      <c r="O2853" t="str">
        <f t="shared" si="1163"/>
        <v>MYR</v>
      </c>
      <c r="P2853" t="str">
        <f t="shared" si="1177"/>
        <v>NIL</v>
      </c>
      <c r="Q2853" t="str">
        <f t="shared" si="1177"/>
        <v>NIL</v>
      </c>
      <c r="R2853" t="str">
        <f t="shared" si="1164"/>
        <v>Accepted</v>
      </c>
      <c r="S2853" t="str">
        <f t="shared" si="1165"/>
        <v>Approved</v>
      </c>
      <c r="T2853" t="str">
        <f t="shared" si="1166"/>
        <v>10.20.8.188</v>
      </c>
      <c r="U2853" t="str">
        <f t="shared" si="1167"/>
        <v>AZRAD UMAR BIN SHAARI</v>
      </c>
      <c r="V2853" t="str">
        <f t="shared" si="1168"/>
        <v>FARHANA BINTI MUSTAPA</v>
      </c>
      <c r="W2853" t="str">
        <f t="shared" si="1169"/>
        <v>04-08-2020</v>
      </c>
      <c r="X2853" t="str">
        <f t="shared" si="1170"/>
        <v>RAZIMAH ANSAR AHMAD</v>
      </c>
      <c r="Y2853" t="str">
        <f t="shared" si="1171"/>
        <v>04-08-2020</v>
      </c>
      <c r="Z2853" t="str">
        <f>"COS10200804 6301"</f>
        <v>COS10200804 6301</v>
      </c>
    </row>
    <row r="2854" spans="1:26" x14ac:dyDescent="0.25">
      <c r="A2854" t="str">
        <f t="shared" si="1178"/>
        <v>04-08-2020 01:00:00</v>
      </c>
      <c r="B2854" t="str">
        <f>"0000808093"</f>
        <v>0000808093</v>
      </c>
      <c r="C2854" t="str">
        <f t="shared" si="1179"/>
        <v>0000807993</v>
      </c>
      <c r="D2854" t="str">
        <f t="shared" si="1159"/>
        <v>73185</v>
      </c>
      <c r="E2854" t="str">
        <f t="shared" si="1160"/>
        <v>KFH-OPERATIONS DEPARTMENT</v>
      </c>
      <c r="F2854" t="str">
        <f t="shared" si="1161"/>
        <v>IBG</v>
      </c>
      <c r="G2854" t="str">
        <f t="shared" si="1174"/>
        <v>Refund COSHARE 10</v>
      </c>
      <c r="H2854" s="2">
        <v>167.9</v>
      </c>
      <c r="I2854" t="str">
        <f>"NOR ASLAM BIN MOHD ARIFIN"</f>
        <v>NOR ASLAM BIN MOHD ARIFIN</v>
      </c>
      <c r="J2854" t="str">
        <f t="shared" si="1175"/>
        <v>MAYBANK / MAYBANK ISLAMIC</v>
      </c>
      <c r="K2854" t="str">
        <f>"158118070149"</f>
        <v>158118070149</v>
      </c>
      <c r="L2854" t="str">
        <f t="shared" si="1176"/>
        <v>04-08-2020</v>
      </c>
      <c r="M2854" t="str">
        <f t="shared" si="1176"/>
        <v>04-08-2020</v>
      </c>
      <c r="N2854" t="str">
        <f t="shared" si="1162"/>
        <v>001105018356</v>
      </c>
      <c r="O2854" t="str">
        <f t="shared" si="1163"/>
        <v>MYR</v>
      </c>
      <c r="P2854" t="str">
        <f t="shared" si="1177"/>
        <v>NIL</v>
      </c>
      <c r="Q2854" t="str">
        <f t="shared" si="1177"/>
        <v>NIL</v>
      </c>
      <c r="R2854" t="str">
        <f t="shared" si="1164"/>
        <v>Accepted</v>
      </c>
      <c r="S2854" t="str">
        <f t="shared" si="1165"/>
        <v>Approved</v>
      </c>
      <c r="T2854" t="str">
        <f t="shared" si="1166"/>
        <v>10.20.8.188</v>
      </c>
      <c r="U2854" t="str">
        <f t="shared" si="1167"/>
        <v>AZRAD UMAR BIN SHAARI</v>
      </c>
      <c r="V2854" t="str">
        <f t="shared" si="1168"/>
        <v>FARHANA BINTI MUSTAPA</v>
      </c>
      <c r="W2854" t="str">
        <f t="shared" si="1169"/>
        <v>04-08-2020</v>
      </c>
      <c r="X2854" t="str">
        <f t="shared" si="1170"/>
        <v>RAZIMAH ANSAR AHMAD</v>
      </c>
      <c r="Y2854" t="str">
        <f t="shared" si="1171"/>
        <v>04-08-2020</v>
      </c>
      <c r="Z2854" t="str">
        <f>"COS10200804 6300"</f>
        <v>COS10200804 6300</v>
      </c>
    </row>
    <row r="2855" spans="1:26" x14ac:dyDescent="0.25">
      <c r="A2855" t="str">
        <f t="shared" si="1178"/>
        <v>04-08-2020 01:00:00</v>
      </c>
      <c r="B2855" t="str">
        <f>"0000808092"</f>
        <v>0000808092</v>
      </c>
      <c r="C2855" t="str">
        <f t="shared" si="1179"/>
        <v>0000807993</v>
      </c>
      <c r="D2855" t="str">
        <f t="shared" si="1159"/>
        <v>73185</v>
      </c>
      <c r="E2855" t="str">
        <f t="shared" si="1160"/>
        <v>KFH-OPERATIONS DEPARTMENT</v>
      </c>
      <c r="F2855" t="str">
        <f t="shared" si="1161"/>
        <v>IBG</v>
      </c>
      <c r="G2855" t="str">
        <f t="shared" si="1174"/>
        <v>Refund COSHARE 10</v>
      </c>
      <c r="H2855" s="2">
        <v>369.4</v>
      </c>
      <c r="I2855" t="str">
        <f>"NOR ASHIRA BINTI ABD RAOH"</f>
        <v>NOR ASHIRA BINTI ABD RAOH</v>
      </c>
      <c r="J2855" t="str">
        <f t="shared" si="1175"/>
        <v>MAYBANK / MAYBANK ISLAMIC</v>
      </c>
      <c r="K2855" t="str">
        <f>"162834121504"</f>
        <v>162834121504</v>
      </c>
      <c r="L2855" t="str">
        <f t="shared" si="1176"/>
        <v>04-08-2020</v>
      </c>
      <c r="M2855" t="str">
        <f t="shared" si="1176"/>
        <v>04-08-2020</v>
      </c>
      <c r="N2855" t="str">
        <f t="shared" si="1162"/>
        <v>001105018356</v>
      </c>
      <c r="O2855" t="str">
        <f t="shared" si="1163"/>
        <v>MYR</v>
      </c>
      <c r="P2855" t="str">
        <f t="shared" si="1177"/>
        <v>NIL</v>
      </c>
      <c r="Q2855" t="str">
        <f t="shared" si="1177"/>
        <v>NIL</v>
      </c>
      <c r="R2855" t="str">
        <f t="shared" si="1164"/>
        <v>Accepted</v>
      </c>
      <c r="S2855" t="str">
        <f t="shared" si="1165"/>
        <v>Approved</v>
      </c>
      <c r="T2855" t="str">
        <f t="shared" si="1166"/>
        <v>10.20.8.188</v>
      </c>
      <c r="U2855" t="str">
        <f t="shared" si="1167"/>
        <v>AZRAD UMAR BIN SHAARI</v>
      </c>
      <c r="V2855" t="str">
        <f t="shared" si="1168"/>
        <v>FARHANA BINTI MUSTAPA</v>
      </c>
      <c r="W2855" t="str">
        <f t="shared" si="1169"/>
        <v>04-08-2020</v>
      </c>
      <c r="X2855" t="str">
        <f t="shared" si="1170"/>
        <v>RAZIMAH ANSAR AHMAD</v>
      </c>
      <c r="Y2855" t="str">
        <f t="shared" si="1171"/>
        <v>04-08-2020</v>
      </c>
      <c r="Z2855" t="str">
        <f>"COS10200804 6299"</f>
        <v>COS10200804 6299</v>
      </c>
    </row>
    <row r="2856" spans="1:26" x14ac:dyDescent="0.25">
      <c r="A2856" t="str">
        <f t="shared" si="1178"/>
        <v>04-08-2020 01:00:00</v>
      </c>
      <c r="B2856" t="str">
        <f>"0000808091"</f>
        <v>0000808091</v>
      </c>
      <c r="C2856" t="str">
        <f t="shared" si="1179"/>
        <v>0000807993</v>
      </c>
      <c r="D2856" t="str">
        <f t="shared" si="1159"/>
        <v>73185</v>
      </c>
      <c r="E2856" t="str">
        <f t="shared" si="1160"/>
        <v>KFH-OPERATIONS DEPARTMENT</v>
      </c>
      <c r="F2856" t="str">
        <f t="shared" si="1161"/>
        <v>IBG</v>
      </c>
      <c r="G2856" t="str">
        <f t="shared" si="1174"/>
        <v>Refund COSHARE 10</v>
      </c>
      <c r="H2856" s="2">
        <v>1091.3499999999999</v>
      </c>
      <c r="I2856" t="str">
        <f>"NOR ASHIKIEN BINTI MOHAMMED"</f>
        <v>NOR ASHIKIEN BINTI MOHAMMED</v>
      </c>
      <c r="J2856" t="str">
        <f t="shared" si="1175"/>
        <v>MAYBANK / MAYBANK ISLAMIC</v>
      </c>
      <c r="K2856" t="str">
        <f>"155135149335"</f>
        <v>155135149335</v>
      </c>
      <c r="L2856" t="str">
        <f t="shared" si="1176"/>
        <v>04-08-2020</v>
      </c>
      <c r="M2856" t="str">
        <f t="shared" si="1176"/>
        <v>04-08-2020</v>
      </c>
      <c r="N2856" t="str">
        <f t="shared" si="1162"/>
        <v>001105018356</v>
      </c>
      <c r="O2856" t="str">
        <f t="shared" si="1163"/>
        <v>MYR</v>
      </c>
      <c r="P2856" t="str">
        <f t="shared" si="1177"/>
        <v>NIL</v>
      </c>
      <c r="Q2856" t="str">
        <f t="shared" si="1177"/>
        <v>NIL</v>
      </c>
      <c r="R2856" t="str">
        <f t="shared" si="1164"/>
        <v>Accepted</v>
      </c>
      <c r="S2856" t="str">
        <f t="shared" si="1165"/>
        <v>Approved</v>
      </c>
      <c r="T2856" t="str">
        <f t="shared" si="1166"/>
        <v>10.20.8.188</v>
      </c>
      <c r="U2856" t="str">
        <f t="shared" si="1167"/>
        <v>AZRAD UMAR BIN SHAARI</v>
      </c>
      <c r="V2856" t="str">
        <f t="shared" si="1168"/>
        <v>FARHANA BINTI MUSTAPA</v>
      </c>
      <c r="W2856" t="str">
        <f t="shared" si="1169"/>
        <v>04-08-2020</v>
      </c>
      <c r="X2856" t="str">
        <f t="shared" si="1170"/>
        <v>RAZIMAH ANSAR AHMAD</v>
      </c>
      <c r="Y2856" t="str">
        <f t="shared" si="1171"/>
        <v>04-08-2020</v>
      </c>
      <c r="Z2856" t="str">
        <f>"COS10200804 6298"</f>
        <v>COS10200804 6298</v>
      </c>
    </row>
    <row r="2857" spans="1:26" x14ac:dyDescent="0.25">
      <c r="A2857" t="str">
        <f t="shared" si="1178"/>
        <v>04-08-2020 01:00:00</v>
      </c>
      <c r="B2857" t="str">
        <f>"0000808090"</f>
        <v>0000808090</v>
      </c>
      <c r="C2857" t="str">
        <f t="shared" si="1179"/>
        <v>0000807993</v>
      </c>
      <c r="D2857" t="str">
        <f t="shared" si="1159"/>
        <v>73185</v>
      </c>
      <c r="E2857" t="str">
        <f t="shared" si="1160"/>
        <v>KFH-OPERATIONS DEPARTMENT</v>
      </c>
      <c r="F2857" t="str">
        <f t="shared" si="1161"/>
        <v>IBG</v>
      </c>
      <c r="G2857" t="str">
        <f t="shared" si="1174"/>
        <v>Refund COSHARE 10</v>
      </c>
      <c r="H2857" s="2">
        <v>885</v>
      </c>
      <c r="I2857" t="str">
        <f>"NOR AMIZA BINTI SELAMAT"</f>
        <v>NOR AMIZA BINTI SELAMAT</v>
      </c>
      <c r="J2857" t="str">
        <f t="shared" si="1175"/>
        <v>MAYBANK / MAYBANK ISLAMIC</v>
      </c>
      <c r="K2857" t="str">
        <f>"155078377239"</f>
        <v>155078377239</v>
      </c>
      <c r="L2857" t="str">
        <f t="shared" si="1176"/>
        <v>04-08-2020</v>
      </c>
      <c r="M2857" t="str">
        <f t="shared" si="1176"/>
        <v>04-08-2020</v>
      </c>
      <c r="N2857" t="str">
        <f t="shared" si="1162"/>
        <v>001105018356</v>
      </c>
      <c r="O2857" t="str">
        <f t="shared" si="1163"/>
        <v>MYR</v>
      </c>
      <c r="P2857" t="str">
        <f t="shared" si="1177"/>
        <v>NIL</v>
      </c>
      <c r="Q2857" t="str">
        <f t="shared" si="1177"/>
        <v>NIL</v>
      </c>
      <c r="R2857" t="str">
        <f t="shared" si="1164"/>
        <v>Accepted</v>
      </c>
      <c r="S2857" t="str">
        <f t="shared" si="1165"/>
        <v>Approved</v>
      </c>
      <c r="T2857" t="str">
        <f t="shared" si="1166"/>
        <v>10.20.8.188</v>
      </c>
      <c r="U2857" t="str">
        <f t="shared" si="1167"/>
        <v>AZRAD UMAR BIN SHAARI</v>
      </c>
      <c r="V2857" t="str">
        <f t="shared" si="1168"/>
        <v>FARHANA BINTI MUSTAPA</v>
      </c>
      <c r="W2857" t="str">
        <f t="shared" si="1169"/>
        <v>04-08-2020</v>
      </c>
      <c r="X2857" t="str">
        <f t="shared" si="1170"/>
        <v>RAZIMAH ANSAR AHMAD</v>
      </c>
      <c r="Y2857" t="str">
        <f t="shared" si="1171"/>
        <v>04-08-2020</v>
      </c>
      <c r="Z2857" t="str">
        <f>"COS10200804 6297"</f>
        <v>COS10200804 6297</v>
      </c>
    </row>
    <row r="2858" spans="1:26" x14ac:dyDescent="0.25">
      <c r="A2858" t="str">
        <f t="shared" si="1178"/>
        <v>04-08-2020 01:00:00</v>
      </c>
      <c r="B2858" t="str">
        <f>"0000808089"</f>
        <v>0000808089</v>
      </c>
      <c r="C2858" t="str">
        <f t="shared" si="1179"/>
        <v>0000807993</v>
      </c>
      <c r="D2858" t="str">
        <f t="shared" si="1159"/>
        <v>73185</v>
      </c>
      <c r="E2858" t="str">
        <f t="shared" si="1160"/>
        <v>KFH-OPERATIONS DEPARTMENT</v>
      </c>
      <c r="F2858" t="str">
        <f t="shared" si="1161"/>
        <v>IBG</v>
      </c>
      <c r="G2858" t="str">
        <f t="shared" si="1174"/>
        <v>Refund COSHARE 10</v>
      </c>
      <c r="H2858" s="2">
        <v>68.8</v>
      </c>
      <c r="I2858" t="str">
        <f>"NOR AMALINA BINTI MOHD TAWIL"</f>
        <v>NOR AMALINA BINTI MOHD TAWIL</v>
      </c>
      <c r="J2858" t="str">
        <f t="shared" si="1175"/>
        <v>MAYBANK / MAYBANK ISLAMIC</v>
      </c>
      <c r="K2858" t="str">
        <f>"166010057721"</f>
        <v>166010057721</v>
      </c>
      <c r="L2858" t="str">
        <f t="shared" si="1176"/>
        <v>04-08-2020</v>
      </c>
      <c r="M2858" t="str">
        <f t="shared" si="1176"/>
        <v>04-08-2020</v>
      </c>
      <c r="N2858" t="str">
        <f t="shared" si="1162"/>
        <v>001105018356</v>
      </c>
      <c r="O2858" t="str">
        <f t="shared" si="1163"/>
        <v>MYR</v>
      </c>
      <c r="P2858" t="str">
        <f t="shared" si="1177"/>
        <v>NIL</v>
      </c>
      <c r="Q2858" t="str">
        <f t="shared" si="1177"/>
        <v>NIL</v>
      </c>
      <c r="R2858" t="str">
        <f t="shared" si="1164"/>
        <v>Accepted</v>
      </c>
      <c r="S2858" t="str">
        <f t="shared" si="1165"/>
        <v>Approved</v>
      </c>
      <c r="T2858" t="str">
        <f t="shared" si="1166"/>
        <v>10.20.8.188</v>
      </c>
      <c r="U2858" t="str">
        <f t="shared" si="1167"/>
        <v>AZRAD UMAR BIN SHAARI</v>
      </c>
      <c r="V2858" t="str">
        <f t="shared" si="1168"/>
        <v>FARHANA BINTI MUSTAPA</v>
      </c>
      <c r="W2858" t="str">
        <f t="shared" si="1169"/>
        <v>04-08-2020</v>
      </c>
      <c r="X2858" t="str">
        <f t="shared" si="1170"/>
        <v>RAZIMAH ANSAR AHMAD</v>
      </c>
      <c r="Y2858" t="str">
        <f t="shared" si="1171"/>
        <v>04-08-2020</v>
      </c>
      <c r="Z2858" t="str">
        <f>"COS10200804 6296"</f>
        <v>COS10200804 6296</v>
      </c>
    </row>
    <row r="2859" spans="1:26" x14ac:dyDescent="0.25">
      <c r="A2859" t="str">
        <f t="shared" si="1178"/>
        <v>04-08-2020 01:00:00</v>
      </c>
      <c r="B2859" t="str">
        <f>"0000808088"</f>
        <v>0000808088</v>
      </c>
      <c r="C2859" t="str">
        <f t="shared" si="1179"/>
        <v>0000807993</v>
      </c>
      <c r="D2859" t="str">
        <f t="shared" si="1159"/>
        <v>73185</v>
      </c>
      <c r="E2859" t="str">
        <f t="shared" si="1160"/>
        <v>KFH-OPERATIONS DEPARTMENT</v>
      </c>
      <c r="F2859" t="str">
        <f t="shared" si="1161"/>
        <v>IBG</v>
      </c>
      <c r="G2859" t="str">
        <f t="shared" si="1174"/>
        <v>Refund COSHARE 10</v>
      </c>
      <c r="H2859" s="2">
        <v>1217.3</v>
      </c>
      <c r="I2859" t="str">
        <f>"NOR ALFIAN BIN ADNAN"</f>
        <v>NOR ALFIAN BIN ADNAN</v>
      </c>
      <c r="J2859" t="str">
        <f t="shared" si="1175"/>
        <v>MAYBANK / MAYBANK ISLAMIC</v>
      </c>
      <c r="K2859" t="str">
        <f>"155023293151"</f>
        <v>155023293151</v>
      </c>
      <c r="L2859" t="str">
        <f t="shared" si="1176"/>
        <v>04-08-2020</v>
      </c>
      <c r="M2859" t="str">
        <f t="shared" si="1176"/>
        <v>04-08-2020</v>
      </c>
      <c r="N2859" t="str">
        <f t="shared" si="1162"/>
        <v>001105018356</v>
      </c>
      <c r="O2859" t="str">
        <f t="shared" si="1163"/>
        <v>MYR</v>
      </c>
      <c r="P2859" t="str">
        <f t="shared" si="1177"/>
        <v>NIL</v>
      </c>
      <c r="Q2859" t="str">
        <f t="shared" si="1177"/>
        <v>NIL</v>
      </c>
      <c r="R2859" t="str">
        <f t="shared" si="1164"/>
        <v>Accepted</v>
      </c>
      <c r="S2859" t="str">
        <f t="shared" si="1165"/>
        <v>Approved</v>
      </c>
      <c r="T2859" t="str">
        <f t="shared" si="1166"/>
        <v>10.20.8.188</v>
      </c>
      <c r="U2859" t="str">
        <f t="shared" si="1167"/>
        <v>AZRAD UMAR BIN SHAARI</v>
      </c>
      <c r="V2859" t="str">
        <f t="shared" si="1168"/>
        <v>FARHANA BINTI MUSTAPA</v>
      </c>
      <c r="W2859" t="str">
        <f t="shared" si="1169"/>
        <v>04-08-2020</v>
      </c>
      <c r="X2859" t="str">
        <f t="shared" si="1170"/>
        <v>RAZIMAH ANSAR AHMAD</v>
      </c>
      <c r="Y2859" t="str">
        <f t="shared" si="1171"/>
        <v>04-08-2020</v>
      </c>
      <c r="Z2859" t="str">
        <f>"COS10200804 6295"</f>
        <v>COS10200804 6295</v>
      </c>
    </row>
    <row r="2860" spans="1:26" x14ac:dyDescent="0.25">
      <c r="A2860" t="str">
        <f t="shared" si="1178"/>
        <v>04-08-2020 01:00:00</v>
      </c>
      <c r="B2860" t="str">
        <f>"0000808087"</f>
        <v>0000808087</v>
      </c>
      <c r="C2860" t="str">
        <f t="shared" si="1179"/>
        <v>0000807993</v>
      </c>
      <c r="D2860" t="str">
        <f t="shared" si="1159"/>
        <v>73185</v>
      </c>
      <c r="E2860" t="str">
        <f t="shared" si="1160"/>
        <v>KFH-OPERATIONS DEPARTMENT</v>
      </c>
      <c r="F2860" t="str">
        <f t="shared" si="1161"/>
        <v>IBG</v>
      </c>
      <c r="G2860" t="str">
        <f t="shared" si="1174"/>
        <v>Refund COSHARE 10</v>
      </c>
      <c r="H2860" s="2">
        <v>245.6</v>
      </c>
      <c r="I2860" t="str">
        <f>"NOR AIZAN BIN SARANAH"</f>
        <v>NOR AIZAN BIN SARANAH</v>
      </c>
      <c r="J2860" t="str">
        <f t="shared" si="1175"/>
        <v>MAYBANK / MAYBANK ISLAMIC</v>
      </c>
      <c r="K2860" t="str">
        <f>"101075432711"</f>
        <v>101075432711</v>
      </c>
      <c r="L2860" t="str">
        <f t="shared" si="1176"/>
        <v>04-08-2020</v>
      </c>
      <c r="M2860" t="str">
        <f t="shared" si="1176"/>
        <v>04-08-2020</v>
      </c>
      <c r="N2860" t="str">
        <f t="shared" si="1162"/>
        <v>001105018356</v>
      </c>
      <c r="O2860" t="str">
        <f t="shared" si="1163"/>
        <v>MYR</v>
      </c>
      <c r="P2860" t="str">
        <f t="shared" si="1177"/>
        <v>NIL</v>
      </c>
      <c r="Q2860" t="str">
        <f t="shared" si="1177"/>
        <v>NIL</v>
      </c>
      <c r="R2860" t="str">
        <f t="shared" si="1164"/>
        <v>Accepted</v>
      </c>
      <c r="S2860" t="str">
        <f t="shared" si="1165"/>
        <v>Approved</v>
      </c>
      <c r="T2860" t="str">
        <f t="shared" si="1166"/>
        <v>10.20.8.188</v>
      </c>
      <c r="U2860" t="str">
        <f t="shared" si="1167"/>
        <v>AZRAD UMAR BIN SHAARI</v>
      </c>
      <c r="V2860" t="str">
        <f t="shared" si="1168"/>
        <v>FARHANA BINTI MUSTAPA</v>
      </c>
      <c r="W2860" t="str">
        <f t="shared" si="1169"/>
        <v>04-08-2020</v>
      </c>
      <c r="X2860" t="str">
        <f t="shared" si="1170"/>
        <v>RAZIMAH ANSAR AHMAD</v>
      </c>
      <c r="Y2860" t="str">
        <f t="shared" si="1171"/>
        <v>04-08-2020</v>
      </c>
      <c r="Z2860" t="str">
        <f>"COS10200804 6294"</f>
        <v>COS10200804 6294</v>
      </c>
    </row>
    <row r="2861" spans="1:26" x14ac:dyDescent="0.25">
      <c r="A2861" t="str">
        <f t="shared" si="1178"/>
        <v>04-08-2020 01:00:00</v>
      </c>
      <c r="B2861" t="str">
        <f>"0000808086"</f>
        <v>0000808086</v>
      </c>
      <c r="C2861" t="str">
        <f t="shared" si="1179"/>
        <v>0000807993</v>
      </c>
      <c r="D2861" t="str">
        <f t="shared" si="1159"/>
        <v>73185</v>
      </c>
      <c r="E2861" t="str">
        <f t="shared" si="1160"/>
        <v>KFH-OPERATIONS DEPARTMENT</v>
      </c>
      <c r="F2861" t="str">
        <f t="shared" si="1161"/>
        <v>IBG</v>
      </c>
      <c r="G2861" t="str">
        <f t="shared" si="1174"/>
        <v>Refund COSHARE 10</v>
      </c>
      <c r="H2861" s="2">
        <v>839.5</v>
      </c>
      <c r="I2861" t="str">
        <f>"NOR AISYAH BINTI MAT"</f>
        <v>NOR AISYAH BINTI MAT</v>
      </c>
      <c r="J2861" t="str">
        <f t="shared" si="1175"/>
        <v>MAYBANK / MAYBANK ISLAMIC</v>
      </c>
      <c r="K2861" t="str">
        <f>"164548097965"</f>
        <v>164548097965</v>
      </c>
      <c r="L2861" t="str">
        <f t="shared" si="1176"/>
        <v>04-08-2020</v>
      </c>
      <c r="M2861" t="str">
        <f t="shared" si="1176"/>
        <v>04-08-2020</v>
      </c>
      <c r="N2861" t="str">
        <f t="shared" si="1162"/>
        <v>001105018356</v>
      </c>
      <c r="O2861" t="str">
        <f t="shared" si="1163"/>
        <v>MYR</v>
      </c>
      <c r="P2861" t="str">
        <f t="shared" si="1177"/>
        <v>NIL</v>
      </c>
      <c r="Q2861" t="str">
        <f t="shared" si="1177"/>
        <v>NIL</v>
      </c>
      <c r="R2861" t="str">
        <f t="shared" si="1164"/>
        <v>Accepted</v>
      </c>
      <c r="S2861" t="str">
        <f t="shared" si="1165"/>
        <v>Approved</v>
      </c>
      <c r="T2861" t="str">
        <f t="shared" si="1166"/>
        <v>10.20.8.188</v>
      </c>
      <c r="U2861" t="str">
        <f t="shared" si="1167"/>
        <v>AZRAD UMAR BIN SHAARI</v>
      </c>
      <c r="V2861" t="str">
        <f t="shared" si="1168"/>
        <v>FARHANA BINTI MUSTAPA</v>
      </c>
      <c r="W2861" t="str">
        <f t="shared" si="1169"/>
        <v>04-08-2020</v>
      </c>
      <c r="X2861" t="str">
        <f t="shared" si="1170"/>
        <v>RAZIMAH ANSAR AHMAD</v>
      </c>
      <c r="Y2861" t="str">
        <f t="shared" si="1171"/>
        <v>04-08-2020</v>
      </c>
      <c r="Z2861" t="str">
        <f>"COS10200804 6293"</f>
        <v>COS10200804 6293</v>
      </c>
    </row>
    <row r="2862" spans="1:26" x14ac:dyDescent="0.25">
      <c r="A2862" t="str">
        <f t="shared" si="1178"/>
        <v>04-08-2020 01:00:00</v>
      </c>
      <c r="B2862" t="str">
        <f>"0000808085"</f>
        <v>0000808085</v>
      </c>
      <c r="C2862" t="str">
        <f t="shared" si="1179"/>
        <v>0000807993</v>
      </c>
      <c r="D2862" t="str">
        <f t="shared" si="1159"/>
        <v>73185</v>
      </c>
      <c r="E2862" t="str">
        <f t="shared" si="1160"/>
        <v>KFH-OPERATIONS DEPARTMENT</v>
      </c>
      <c r="F2862" t="str">
        <f t="shared" si="1161"/>
        <v>IBG</v>
      </c>
      <c r="G2862" t="str">
        <f t="shared" si="1174"/>
        <v>Refund COSHARE 10</v>
      </c>
      <c r="H2862" s="2">
        <v>677.8</v>
      </c>
      <c r="I2862" t="str">
        <f>"NOR AISHAH BINTI BAKKAR"</f>
        <v>NOR AISHAH BINTI BAKKAR</v>
      </c>
      <c r="J2862" t="str">
        <f t="shared" si="1175"/>
        <v>MAYBANK / MAYBANK ISLAMIC</v>
      </c>
      <c r="K2862" t="str">
        <f>"158118117471"</f>
        <v>158118117471</v>
      </c>
      <c r="L2862" t="str">
        <f t="shared" si="1176"/>
        <v>04-08-2020</v>
      </c>
      <c r="M2862" t="str">
        <f t="shared" si="1176"/>
        <v>04-08-2020</v>
      </c>
      <c r="N2862" t="str">
        <f t="shared" si="1162"/>
        <v>001105018356</v>
      </c>
      <c r="O2862" t="str">
        <f t="shared" si="1163"/>
        <v>MYR</v>
      </c>
      <c r="P2862" t="str">
        <f t="shared" si="1177"/>
        <v>NIL</v>
      </c>
      <c r="Q2862" t="str">
        <f t="shared" si="1177"/>
        <v>NIL</v>
      </c>
      <c r="R2862" t="str">
        <f t="shared" si="1164"/>
        <v>Accepted</v>
      </c>
      <c r="S2862" t="str">
        <f t="shared" si="1165"/>
        <v>Approved</v>
      </c>
      <c r="T2862" t="str">
        <f t="shared" si="1166"/>
        <v>10.20.8.188</v>
      </c>
      <c r="U2862" t="str">
        <f t="shared" si="1167"/>
        <v>AZRAD UMAR BIN SHAARI</v>
      </c>
      <c r="V2862" t="str">
        <f t="shared" si="1168"/>
        <v>FARHANA BINTI MUSTAPA</v>
      </c>
      <c r="W2862" t="str">
        <f t="shared" si="1169"/>
        <v>04-08-2020</v>
      </c>
      <c r="X2862" t="str">
        <f t="shared" si="1170"/>
        <v>RAZIMAH ANSAR AHMAD</v>
      </c>
      <c r="Y2862" t="str">
        <f t="shared" si="1171"/>
        <v>04-08-2020</v>
      </c>
      <c r="Z2862" t="str">
        <f>"COS10200804 6292"</f>
        <v>COS10200804 6292</v>
      </c>
    </row>
    <row r="2863" spans="1:26" x14ac:dyDescent="0.25">
      <c r="A2863" t="str">
        <f t="shared" si="1178"/>
        <v>04-08-2020 01:00:00</v>
      </c>
      <c r="B2863" t="str">
        <f>"0000808084"</f>
        <v>0000808084</v>
      </c>
      <c r="C2863" t="str">
        <f t="shared" si="1179"/>
        <v>0000807993</v>
      </c>
      <c r="D2863" t="str">
        <f t="shared" si="1159"/>
        <v>73185</v>
      </c>
      <c r="E2863" t="str">
        <f t="shared" si="1160"/>
        <v>KFH-OPERATIONS DEPARTMENT</v>
      </c>
      <c r="F2863" t="str">
        <f t="shared" si="1161"/>
        <v>IBG</v>
      </c>
      <c r="G2863" t="str">
        <f t="shared" si="1174"/>
        <v>Refund COSHARE 10</v>
      </c>
      <c r="H2863" s="2">
        <v>317</v>
      </c>
      <c r="I2863" t="str">
        <f>"NOR AISHAH BINTI AWANG KECIK"</f>
        <v>NOR AISHAH BINTI AWANG KECIK</v>
      </c>
      <c r="J2863" t="str">
        <f t="shared" si="1175"/>
        <v>MAYBANK / MAYBANK ISLAMIC</v>
      </c>
      <c r="K2863" t="str">
        <f>"158015216291"</f>
        <v>158015216291</v>
      </c>
      <c r="L2863" t="str">
        <f t="shared" si="1176"/>
        <v>04-08-2020</v>
      </c>
      <c r="M2863" t="str">
        <f t="shared" si="1176"/>
        <v>04-08-2020</v>
      </c>
      <c r="N2863" t="str">
        <f t="shared" si="1162"/>
        <v>001105018356</v>
      </c>
      <c r="O2863" t="str">
        <f t="shared" si="1163"/>
        <v>MYR</v>
      </c>
      <c r="P2863" t="str">
        <f t="shared" si="1177"/>
        <v>NIL</v>
      </c>
      <c r="Q2863" t="str">
        <f t="shared" si="1177"/>
        <v>NIL</v>
      </c>
      <c r="R2863" t="str">
        <f t="shared" si="1164"/>
        <v>Accepted</v>
      </c>
      <c r="S2863" t="str">
        <f t="shared" si="1165"/>
        <v>Approved</v>
      </c>
      <c r="T2863" t="str">
        <f t="shared" si="1166"/>
        <v>10.20.8.188</v>
      </c>
      <c r="U2863" t="str">
        <f t="shared" si="1167"/>
        <v>AZRAD UMAR BIN SHAARI</v>
      </c>
      <c r="V2863" t="str">
        <f t="shared" si="1168"/>
        <v>FARHANA BINTI MUSTAPA</v>
      </c>
      <c r="W2863" t="str">
        <f t="shared" si="1169"/>
        <v>04-08-2020</v>
      </c>
      <c r="X2863" t="str">
        <f t="shared" si="1170"/>
        <v>RAZIMAH ANSAR AHMAD</v>
      </c>
      <c r="Y2863" t="str">
        <f t="shared" si="1171"/>
        <v>04-08-2020</v>
      </c>
      <c r="Z2863" t="str">
        <f>"COS10200804 6291"</f>
        <v>COS10200804 6291</v>
      </c>
    </row>
    <row r="2864" spans="1:26" x14ac:dyDescent="0.25">
      <c r="A2864" t="str">
        <f t="shared" si="1178"/>
        <v>04-08-2020 01:00:00</v>
      </c>
      <c r="B2864" t="str">
        <f>"0000808083"</f>
        <v>0000808083</v>
      </c>
      <c r="C2864" t="str">
        <f t="shared" si="1179"/>
        <v>0000807993</v>
      </c>
      <c r="D2864" t="str">
        <f t="shared" si="1159"/>
        <v>73185</v>
      </c>
      <c r="E2864" t="str">
        <f t="shared" si="1160"/>
        <v>KFH-OPERATIONS DEPARTMENT</v>
      </c>
      <c r="F2864" t="str">
        <f t="shared" si="1161"/>
        <v>IBG</v>
      </c>
      <c r="G2864" t="str">
        <f t="shared" si="1174"/>
        <v>Refund COSHARE 10</v>
      </c>
      <c r="H2864" s="2">
        <v>63.55</v>
      </c>
      <c r="I2864" t="str">
        <f>"NOR AINI BINTI SUBOH"</f>
        <v>NOR AINI BINTI SUBOH</v>
      </c>
      <c r="J2864" t="str">
        <f t="shared" si="1175"/>
        <v>MAYBANK / MAYBANK ISLAMIC</v>
      </c>
      <c r="K2864" t="str">
        <f>"164016019785"</f>
        <v>164016019785</v>
      </c>
      <c r="L2864" t="str">
        <f t="shared" si="1176"/>
        <v>04-08-2020</v>
      </c>
      <c r="M2864" t="str">
        <f t="shared" si="1176"/>
        <v>04-08-2020</v>
      </c>
      <c r="N2864" t="str">
        <f t="shared" si="1162"/>
        <v>001105018356</v>
      </c>
      <c r="O2864" t="str">
        <f t="shared" si="1163"/>
        <v>MYR</v>
      </c>
      <c r="P2864" t="str">
        <f t="shared" si="1177"/>
        <v>NIL</v>
      </c>
      <c r="Q2864" t="str">
        <f t="shared" si="1177"/>
        <v>NIL</v>
      </c>
      <c r="R2864" t="str">
        <f t="shared" si="1164"/>
        <v>Accepted</v>
      </c>
      <c r="S2864" t="str">
        <f t="shared" si="1165"/>
        <v>Approved</v>
      </c>
      <c r="T2864" t="str">
        <f t="shared" si="1166"/>
        <v>10.20.8.188</v>
      </c>
      <c r="U2864" t="str">
        <f t="shared" si="1167"/>
        <v>AZRAD UMAR BIN SHAARI</v>
      </c>
      <c r="V2864" t="str">
        <f t="shared" si="1168"/>
        <v>FARHANA BINTI MUSTAPA</v>
      </c>
      <c r="W2864" t="str">
        <f t="shared" si="1169"/>
        <v>04-08-2020</v>
      </c>
      <c r="X2864" t="str">
        <f t="shared" si="1170"/>
        <v>RAZIMAH ANSAR AHMAD</v>
      </c>
      <c r="Y2864" t="str">
        <f t="shared" si="1171"/>
        <v>04-08-2020</v>
      </c>
      <c r="Z2864" t="str">
        <f>"COS10200804 6290"</f>
        <v>COS10200804 6290</v>
      </c>
    </row>
    <row r="2865" spans="1:26" x14ac:dyDescent="0.25">
      <c r="A2865" t="str">
        <f t="shared" si="1178"/>
        <v>04-08-2020 01:00:00</v>
      </c>
      <c r="B2865" t="str">
        <f>"0000808082"</f>
        <v>0000808082</v>
      </c>
      <c r="C2865" t="str">
        <f t="shared" si="1179"/>
        <v>0000807993</v>
      </c>
      <c r="D2865" t="str">
        <f t="shared" si="1159"/>
        <v>73185</v>
      </c>
      <c r="E2865" t="str">
        <f t="shared" si="1160"/>
        <v>KFH-OPERATIONS DEPARTMENT</v>
      </c>
      <c r="F2865" t="str">
        <f t="shared" si="1161"/>
        <v>IBG</v>
      </c>
      <c r="G2865" t="str">
        <f t="shared" si="1174"/>
        <v>Refund COSHARE 10</v>
      </c>
      <c r="H2865" s="2">
        <v>1427.15</v>
      </c>
      <c r="I2865" t="str">
        <f>"NOR AIDA BINTI MOHD SALLEH"</f>
        <v>NOR AIDA BINTI MOHD SALLEH</v>
      </c>
      <c r="J2865" t="str">
        <f t="shared" si="1175"/>
        <v>MAYBANK / MAYBANK ISLAMIC</v>
      </c>
      <c r="K2865" t="str">
        <f>"158314070310"</f>
        <v>158314070310</v>
      </c>
      <c r="L2865" t="str">
        <f t="shared" si="1176"/>
        <v>04-08-2020</v>
      </c>
      <c r="M2865" t="str">
        <f t="shared" si="1176"/>
        <v>04-08-2020</v>
      </c>
      <c r="N2865" t="str">
        <f t="shared" si="1162"/>
        <v>001105018356</v>
      </c>
      <c r="O2865" t="str">
        <f t="shared" si="1163"/>
        <v>MYR</v>
      </c>
      <c r="P2865" t="str">
        <f t="shared" si="1177"/>
        <v>NIL</v>
      </c>
      <c r="Q2865" t="str">
        <f t="shared" si="1177"/>
        <v>NIL</v>
      </c>
      <c r="R2865" t="str">
        <f t="shared" si="1164"/>
        <v>Accepted</v>
      </c>
      <c r="S2865" t="str">
        <f t="shared" si="1165"/>
        <v>Approved</v>
      </c>
      <c r="T2865" t="str">
        <f t="shared" si="1166"/>
        <v>10.20.8.188</v>
      </c>
      <c r="U2865" t="str">
        <f t="shared" si="1167"/>
        <v>AZRAD UMAR BIN SHAARI</v>
      </c>
      <c r="V2865" t="str">
        <f t="shared" si="1168"/>
        <v>FARHANA BINTI MUSTAPA</v>
      </c>
      <c r="W2865" t="str">
        <f t="shared" si="1169"/>
        <v>04-08-2020</v>
      </c>
      <c r="X2865" t="str">
        <f t="shared" si="1170"/>
        <v>RAZIMAH ANSAR AHMAD</v>
      </c>
      <c r="Y2865" t="str">
        <f t="shared" si="1171"/>
        <v>04-08-2020</v>
      </c>
      <c r="Z2865" t="str">
        <f>"COS10200804 6289"</f>
        <v>COS10200804 6289</v>
      </c>
    </row>
    <row r="2866" spans="1:26" x14ac:dyDescent="0.25">
      <c r="A2866" t="str">
        <f t="shared" si="1178"/>
        <v>04-08-2020 01:00:00</v>
      </c>
      <c r="B2866" t="str">
        <f>"0000808081"</f>
        <v>0000808081</v>
      </c>
      <c r="C2866" t="str">
        <f t="shared" si="1179"/>
        <v>0000807993</v>
      </c>
      <c r="D2866" t="str">
        <f t="shared" si="1159"/>
        <v>73185</v>
      </c>
      <c r="E2866" t="str">
        <f t="shared" si="1160"/>
        <v>KFH-OPERATIONS DEPARTMENT</v>
      </c>
      <c r="F2866" t="str">
        <f t="shared" si="1161"/>
        <v>IBG</v>
      </c>
      <c r="G2866" t="str">
        <f t="shared" si="1174"/>
        <v>Refund COSHARE 10</v>
      </c>
      <c r="H2866" s="2">
        <v>1518</v>
      </c>
      <c r="I2866" t="str">
        <f>"NOR AFZALINA BINTI AZMEE"</f>
        <v>NOR AFZALINA BINTI AZMEE</v>
      </c>
      <c r="J2866" t="str">
        <f t="shared" si="1175"/>
        <v>MAYBANK / MAYBANK ISLAMIC</v>
      </c>
      <c r="K2866" t="str">
        <f>"158088138869"</f>
        <v>158088138869</v>
      </c>
      <c r="L2866" t="str">
        <f t="shared" si="1176"/>
        <v>04-08-2020</v>
      </c>
      <c r="M2866" t="str">
        <f t="shared" si="1176"/>
        <v>04-08-2020</v>
      </c>
      <c r="N2866" t="str">
        <f t="shared" si="1162"/>
        <v>001105018356</v>
      </c>
      <c r="O2866" t="str">
        <f t="shared" si="1163"/>
        <v>MYR</v>
      </c>
      <c r="P2866" t="str">
        <f t="shared" si="1177"/>
        <v>NIL</v>
      </c>
      <c r="Q2866" t="str">
        <f t="shared" si="1177"/>
        <v>NIL</v>
      </c>
      <c r="R2866" t="str">
        <f t="shared" si="1164"/>
        <v>Accepted</v>
      </c>
      <c r="S2866" t="str">
        <f t="shared" si="1165"/>
        <v>Approved</v>
      </c>
      <c r="T2866" t="str">
        <f t="shared" si="1166"/>
        <v>10.20.8.188</v>
      </c>
      <c r="U2866" t="str">
        <f t="shared" si="1167"/>
        <v>AZRAD UMAR BIN SHAARI</v>
      </c>
      <c r="V2866" t="str">
        <f t="shared" si="1168"/>
        <v>FARHANA BINTI MUSTAPA</v>
      </c>
      <c r="W2866" t="str">
        <f t="shared" si="1169"/>
        <v>04-08-2020</v>
      </c>
      <c r="X2866" t="str">
        <f t="shared" si="1170"/>
        <v>RAZIMAH ANSAR AHMAD</v>
      </c>
      <c r="Y2866" t="str">
        <f t="shared" si="1171"/>
        <v>04-08-2020</v>
      </c>
      <c r="Z2866" t="str">
        <f>"COS10200804 6288"</f>
        <v>COS10200804 6288</v>
      </c>
    </row>
    <row r="2867" spans="1:26" x14ac:dyDescent="0.25">
      <c r="A2867" t="str">
        <f t="shared" si="1178"/>
        <v>04-08-2020 01:00:00</v>
      </c>
      <c r="B2867" t="str">
        <f>"0000808080"</f>
        <v>0000808080</v>
      </c>
      <c r="C2867" t="str">
        <f t="shared" si="1179"/>
        <v>0000807993</v>
      </c>
      <c r="D2867" t="str">
        <f t="shared" si="1159"/>
        <v>73185</v>
      </c>
      <c r="E2867" t="str">
        <f t="shared" si="1160"/>
        <v>KFH-OPERATIONS DEPARTMENT</v>
      </c>
      <c r="F2867" t="str">
        <f t="shared" si="1161"/>
        <v>IBG</v>
      </c>
      <c r="G2867" t="str">
        <f t="shared" si="1174"/>
        <v>Refund COSHARE 10</v>
      </c>
      <c r="H2867" s="2">
        <v>1141.75</v>
      </c>
      <c r="I2867" t="str">
        <f>"NOR AFINA BINTI ABU SEMAN"</f>
        <v>NOR AFINA BINTI ABU SEMAN</v>
      </c>
      <c r="J2867" t="str">
        <f t="shared" si="1175"/>
        <v>MAYBANK / MAYBANK ISLAMIC</v>
      </c>
      <c r="K2867" t="str">
        <f>"158060606099"</f>
        <v>158060606099</v>
      </c>
      <c r="L2867" t="str">
        <f t="shared" ref="L2867:M2886" si="1180">"04-08-2020"</f>
        <v>04-08-2020</v>
      </c>
      <c r="M2867" t="str">
        <f t="shared" si="1180"/>
        <v>04-08-2020</v>
      </c>
      <c r="N2867" t="str">
        <f t="shared" si="1162"/>
        <v>001105018356</v>
      </c>
      <c r="O2867" t="str">
        <f t="shared" si="1163"/>
        <v>MYR</v>
      </c>
      <c r="P2867" t="str">
        <f t="shared" ref="P2867:Q2886" si="1181">"NIL"</f>
        <v>NIL</v>
      </c>
      <c r="Q2867" t="str">
        <f t="shared" si="1181"/>
        <v>NIL</v>
      </c>
      <c r="R2867" t="str">
        <f t="shared" si="1164"/>
        <v>Accepted</v>
      </c>
      <c r="S2867" t="str">
        <f t="shared" si="1165"/>
        <v>Approved</v>
      </c>
      <c r="T2867" t="str">
        <f t="shared" si="1166"/>
        <v>10.20.8.188</v>
      </c>
      <c r="U2867" t="str">
        <f t="shared" si="1167"/>
        <v>AZRAD UMAR BIN SHAARI</v>
      </c>
      <c r="V2867" t="str">
        <f t="shared" si="1168"/>
        <v>FARHANA BINTI MUSTAPA</v>
      </c>
      <c r="W2867" t="str">
        <f t="shared" si="1169"/>
        <v>04-08-2020</v>
      </c>
      <c r="X2867" t="str">
        <f t="shared" si="1170"/>
        <v>RAZIMAH ANSAR AHMAD</v>
      </c>
      <c r="Y2867" t="str">
        <f t="shared" si="1171"/>
        <v>04-08-2020</v>
      </c>
      <c r="Z2867" t="str">
        <f>"COS10200804 6287"</f>
        <v>COS10200804 6287</v>
      </c>
    </row>
    <row r="2868" spans="1:26" x14ac:dyDescent="0.25">
      <c r="A2868" t="str">
        <f t="shared" si="1178"/>
        <v>04-08-2020 01:00:00</v>
      </c>
      <c r="B2868" t="str">
        <f>"0000808079"</f>
        <v>0000808079</v>
      </c>
      <c r="C2868" t="str">
        <f t="shared" si="1179"/>
        <v>0000807993</v>
      </c>
      <c r="D2868" t="str">
        <f t="shared" si="1159"/>
        <v>73185</v>
      </c>
      <c r="E2868" t="str">
        <f t="shared" si="1160"/>
        <v>KFH-OPERATIONS DEPARTMENT</v>
      </c>
      <c r="F2868" t="str">
        <f t="shared" si="1161"/>
        <v>IBG</v>
      </c>
      <c r="G2868" t="str">
        <f t="shared" si="1174"/>
        <v>Refund COSHARE 10</v>
      </c>
      <c r="H2868" s="2">
        <v>587.65</v>
      </c>
      <c r="I2868" t="str">
        <f>"NOR AAMIRAH BINTI MOHAMAD SHAFIE"</f>
        <v>NOR AAMIRAH BINTI MOHAMAD SHAFIE</v>
      </c>
      <c r="J2868" t="str">
        <f t="shared" si="1175"/>
        <v>MAYBANK / MAYBANK ISLAMIC</v>
      </c>
      <c r="K2868" t="str">
        <f>"164258352771"</f>
        <v>164258352771</v>
      </c>
      <c r="L2868" t="str">
        <f t="shared" si="1180"/>
        <v>04-08-2020</v>
      </c>
      <c r="M2868" t="str">
        <f t="shared" si="1180"/>
        <v>04-08-2020</v>
      </c>
      <c r="N2868" t="str">
        <f t="shared" si="1162"/>
        <v>001105018356</v>
      </c>
      <c r="O2868" t="str">
        <f t="shared" si="1163"/>
        <v>MYR</v>
      </c>
      <c r="P2868" t="str">
        <f t="shared" si="1181"/>
        <v>NIL</v>
      </c>
      <c r="Q2868" t="str">
        <f t="shared" si="1181"/>
        <v>NIL</v>
      </c>
      <c r="R2868" t="str">
        <f t="shared" si="1164"/>
        <v>Accepted</v>
      </c>
      <c r="S2868" t="str">
        <f t="shared" si="1165"/>
        <v>Approved</v>
      </c>
      <c r="T2868" t="str">
        <f t="shared" si="1166"/>
        <v>10.20.8.188</v>
      </c>
      <c r="U2868" t="str">
        <f t="shared" si="1167"/>
        <v>AZRAD UMAR BIN SHAARI</v>
      </c>
      <c r="V2868" t="str">
        <f t="shared" si="1168"/>
        <v>FARHANA BINTI MUSTAPA</v>
      </c>
      <c r="W2868" t="str">
        <f t="shared" si="1169"/>
        <v>04-08-2020</v>
      </c>
      <c r="X2868" t="str">
        <f t="shared" si="1170"/>
        <v>RAZIMAH ANSAR AHMAD</v>
      </c>
      <c r="Y2868" t="str">
        <f t="shared" si="1171"/>
        <v>04-08-2020</v>
      </c>
      <c r="Z2868" t="str">
        <f>"COS10200804 6286"</f>
        <v>COS10200804 6286</v>
      </c>
    </row>
    <row r="2869" spans="1:26" x14ac:dyDescent="0.25">
      <c r="A2869" t="str">
        <f t="shared" si="1178"/>
        <v>04-08-2020 01:00:00</v>
      </c>
      <c r="B2869" t="str">
        <f>"0000808078"</f>
        <v>0000808078</v>
      </c>
      <c r="C2869" t="str">
        <f t="shared" si="1179"/>
        <v>0000807993</v>
      </c>
      <c r="D2869" t="str">
        <f t="shared" si="1159"/>
        <v>73185</v>
      </c>
      <c r="E2869" t="str">
        <f t="shared" si="1160"/>
        <v>KFH-OPERATIONS DEPARTMENT</v>
      </c>
      <c r="F2869" t="str">
        <f t="shared" si="1161"/>
        <v>IBG</v>
      </c>
      <c r="G2869" t="str">
        <f t="shared" si="1174"/>
        <v>Refund COSHARE 10</v>
      </c>
      <c r="H2869" s="2">
        <v>1259.25</v>
      </c>
      <c r="I2869" t="str">
        <f>"NOORZILA BINTI UMOR"</f>
        <v>NOORZILA BINTI UMOR</v>
      </c>
      <c r="J2869" t="str">
        <f t="shared" si="1175"/>
        <v>MAYBANK / MAYBANK ISLAMIC</v>
      </c>
      <c r="K2869" t="str">
        <f>"156094080840"</f>
        <v>156094080840</v>
      </c>
      <c r="L2869" t="str">
        <f t="shared" si="1180"/>
        <v>04-08-2020</v>
      </c>
      <c r="M2869" t="str">
        <f t="shared" si="1180"/>
        <v>04-08-2020</v>
      </c>
      <c r="N2869" t="str">
        <f t="shared" si="1162"/>
        <v>001105018356</v>
      </c>
      <c r="O2869" t="str">
        <f t="shared" si="1163"/>
        <v>MYR</v>
      </c>
      <c r="P2869" t="str">
        <f t="shared" si="1181"/>
        <v>NIL</v>
      </c>
      <c r="Q2869" t="str">
        <f t="shared" si="1181"/>
        <v>NIL</v>
      </c>
      <c r="R2869" t="str">
        <f t="shared" si="1164"/>
        <v>Accepted</v>
      </c>
      <c r="S2869" t="str">
        <f t="shared" si="1165"/>
        <v>Approved</v>
      </c>
      <c r="T2869" t="str">
        <f t="shared" si="1166"/>
        <v>10.20.8.188</v>
      </c>
      <c r="U2869" t="str">
        <f t="shared" si="1167"/>
        <v>AZRAD UMAR BIN SHAARI</v>
      </c>
      <c r="V2869" t="str">
        <f t="shared" si="1168"/>
        <v>FARHANA BINTI MUSTAPA</v>
      </c>
      <c r="W2869" t="str">
        <f t="shared" si="1169"/>
        <v>04-08-2020</v>
      </c>
      <c r="X2869" t="str">
        <f t="shared" si="1170"/>
        <v>RAZIMAH ANSAR AHMAD</v>
      </c>
      <c r="Y2869" t="str">
        <f t="shared" si="1171"/>
        <v>04-08-2020</v>
      </c>
      <c r="Z2869" t="str">
        <f>"COS10200804 6285"</f>
        <v>COS10200804 6285</v>
      </c>
    </row>
    <row r="2870" spans="1:26" x14ac:dyDescent="0.25">
      <c r="A2870" t="str">
        <f t="shared" si="1178"/>
        <v>04-08-2020 01:00:00</v>
      </c>
      <c r="B2870" t="str">
        <f>"0000808077"</f>
        <v>0000808077</v>
      </c>
      <c r="C2870" t="str">
        <f t="shared" si="1179"/>
        <v>0000807993</v>
      </c>
      <c r="D2870" t="str">
        <f t="shared" si="1159"/>
        <v>73185</v>
      </c>
      <c r="E2870" t="str">
        <f t="shared" si="1160"/>
        <v>KFH-OPERATIONS DEPARTMENT</v>
      </c>
      <c r="F2870" t="str">
        <f t="shared" si="1161"/>
        <v>IBG</v>
      </c>
      <c r="G2870" t="str">
        <f t="shared" si="1174"/>
        <v>Refund COSHARE 10</v>
      </c>
      <c r="H2870" s="2">
        <v>335.8</v>
      </c>
      <c r="I2870" t="str">
        <f>"NOORZIHIDAYAH BINTI MD NOOR"</f>
        <v>NOORZIHIDAYAH BINTI MD NOOR</v>
      </c>
      <c r="J2870" t="str">
        <f t="shared" si="1175"/>
        <v>MAYBANK / MAYBANK ISLAMIC</v>
      </c>
      <c r="K2870" t="str">
        <f>"162666006934"</f>
        <v>162666006934</v>
      </c>
      <c r="L2870" t="str">
        <f t="shared" si="1180"/>
        <v>04-08-2020</v>
      </c>
      <c r="M2870" t="str">
        <f t="shared" si="1180"/>
        <v>04-08-2020</v>
      </c>
      <c r="N2870" t="str">
        <f t="shared" si="1162"/>
        <v>001105018356</v>
      </c>
      <c r="O2870" t="str">
        <f t="shared" si="1163"/>
        <v>MYR</v>
      </c>
      <c r="P2870" t="str">
        <f t="shared" si="1181"/>
        <v>NIL</v>
      </c>
      <c r="Q2870" t="str">
        <f t="shared" si="1181"/>
        <v>NIL</v>
      </c>
      <c r="R2870" t="str">
        <f t="shared" si="1164"/>
        <v>Accepted</v>
      </c>
      <c r="S2870" t="str">
        <f t="shared" si="1165"/>
        <v>Approved</v>
      </c>
      <c r="T2870" t="str">
        <f t="shared" si="1166"/>
        <v>10.20.8.188</v>
      </c>
      <c r="U2870" t="str">
        <f t="shared" si="1167"/>
        <v>AZRAD UMAR BIN SHAARI</v>
      </c>
      <c r="V2870" t="str">
        <f t="shared" si="1168"/>
        <v>FARHANA BINTI MUSTAPA</v>
      </c>
      <c r="W2870" t="str">
        <f t="shared" si="1169"/>
        <v>04-08-2020</v>
      </c>
      <c r="X2870" t="str">
        <f t="shared" si="1170"/>
        <v>RAZIMAH ANSAR AHMAD</v>
      </c>
      <c r="Y2870" t="str">
        <f t="shared" si="1171"/>
        <v>04-08-2020</v>
      </c>
      <c r="Z2870" t="str">
        <f>"COS10200804 6284"</f>
        <v>COS10200804 6284</v>
      </c>
    </row>
    <row r="2871" spans="1:26" x14ac:dyDescent="0.25">
      <c r="A2871" t="str">
        <f t="shared" si="1178"/>
        <v>04-08-2020 01:00:00</v>
      </c>
      <c r="B2871" t="str">
        <f>"0000808076"</f>
        <v>0000808076</v>
      </c>
      <c r="C2871" t="str">
        <f t="shared" si="1179"/>
        <v>0000807993</v>
      </c>
      <c r="D2871" t="str">
        <f t="shared" si="1159"/>
        <v>73185</v>
      </c>
      <c r="E2871" t="str">
        <f t="shared" si="1160"/>
        <v>KFH-OPERATIONS DEPARTMENT</v>
      </c>
      <c r="F2871" t="str">
        <f t="shared" si="1161"/>
        <v>IBG</v>
      </c>
      <c r="G2871" t="str">
        <f t="shared" si="1174"/>
        <v>Refund COSHARE 10</v>
      </c>
      <c r="H2871" s="2">
        <v>1627.3</v>
      </c>
      <c r="I2871" t="str">
        <f>"NOORZIAH BINTI HUSAIN"</f>
        <v>NOORZIAH BINTI HUSAIN</v>
      </c>
      <c r="J2871" t="str">
        <f t="shared" si="1175"/>
        <v>MAYBANK / MAYBANK ISLAMIC</v>
      </c>
      <c r="K2871" t="str">
        <f>"164098002570"</f>
        <v>164098002570</v>
      </c>
      <c r="L2871" t="str">
        <f t="shared" si="1180"/>
        <v>04-08-2020</v>
      </c>
      <c r="M2871" t="str">
        <f t="shared" si="1180"/>
        <v>04-08-2020</v>
      </c>
      <c r="N2871" t="str">
        <f t="shared" si="1162"/>
        <v>001105018356</v>
      </c>
      <c r="O2871" t="str">
        <f t="shared" si="1163"/>
        <v>MYR</v>
      </c>
      <c r="P2871" t="str">
        <f t="shared" si="1181"/>
        <v>NIL</v>
      </c>
      <c r="Q2871" t="str">
        <f t="shared" si="1181"/>
        <v>NIL</v>
      </c>
      <c r="R2871" t="str">
        <f t="shared" si="1164"/>
        <v>Accepted</v>
      </c>
      <c r="S2871" t="str">
        <f t="shared" si="1165"/>
        <v>Approved</v>
      </c>
      <c r="T2871" t="str">
        <f t="shared" si="1166"/>
        <v>10.20.8.188</v>
      </c>
      <c r="U2871" t="str">
        <f t="shared" si="1167"/>
        <v>AZRAD UMAR BIN SHAARI</v>
      </c>
      <c r="V2871" t="str">
        <f t="shared" si="1168"/>
        <v>FARHANA BINTI MUSTAPA</v>
      </c>
      <c r="W2871" t="str">
        <f t="shared" si="1169"/>
        <v>04-08-2020</v>
      </c>
      <c r="X2871" t="str">
        <f t="shared" si="1170"/>
        <v>RAZIMAH ANSAR AHMAD</v>
      </c>
      <c r="Y2871" t="str">
        <f t="shared" si="1171"/>
        <v>04-08-2020</v>
      </c>
      <c r="Z2871" t="str">
        <f>"COS10200804 6283"</f>
        <v>COS10200804 6283</v>
      </c>
    </row>
    <row r="2872" spans="1:26" x14ac:dyDescent="0.25">
      <c r="A2872" t="str">
        <f t="shared" si="1178"/>
        <v>04-08-2020 01:00:00</v>
      </c>
      <c r="B2872" t="str">
        <f>"0000808075"</f>
        <v>0000808075</v>
      </c>
      <c r="C2872" t="str">
        <f t="shared" si="1179"/>
        <v>0000807993</v>
      </c>
      <c r="D2872" t="str">
        <f t="shared" si="1159"/>
        <v>73185</v>
      </c>
      <c r="E2872" t="str">
        <f t="shared" si="1160"/>
        <v>KFH-OPERATIONS DEPARTMENT</v>
      </c>
      <c r="F2872" t="str">
        <f t="shared" si="1161"/>
        <v>IBG</v>
      </c>
      <c r="G2872" t="str">
        <f t="shared" si="1174"/>
        <v>Refund COSHARE 10</v>
      </c>
      <c r="H2872" s="2">
        <v>352.6</v>
      </c>
      <c r="I2872" t="str">
        <f>"NOORZALELA BT MASIR"</f>
        <v>NOORZALELA BT MASIR</v>
      </c>
      <c r="J2872" t="str">
        <f t="shared" si="1175"/>
        <v>MAYBANK / MAYBANK ISLAMIC</v>
      </c>
      <c r="K2872" t="str">
        <f>"151070986960"</f>
        <v>151070986960</v>
      </c>
      <c r="L2872" t="str">
        <f t="shared" si="1180"/>
        <v>04-08-2020</v>
      </c>
      <c r="M2872" t="str">
        <f t="shared" si="1180"/>
        <v>04-08-2020</v>
      </c>
      <c r="N2872" t="str">
        <f t="shared" si="1162"/>
        <v>001105018356</v>
      </c>
      <c r="O2872" t="str">
        <f t="shared" si="1163"/>
        <v>MYR</v>
      </c>
      <c r="P2872" t="str">
        <f t="shared" si="1181"/>
        <v>NIL</v>
      </c>
      <c r="Q2872" t="str">
        <f t="shared" si="1181"/>
        <v>NIL</v>
      </c>
      <c r="R2872" t="str">
        <f t="shared" si="1164"/>
        <v>Accepted</v>
      </c>
      <c r="S2872" t="str">
        <f t="shared" si="1165"/>
        <v>Approved</v>
      </c>
      <c r="T2872" t="str">
        <f t="shared" si="1166"/>
        <v>10.20.8.188</v>
      </c>
      <c r="U2872" t="str">
        <f t="shared" si="1167"/>
        <v>AZRAD UMAR BIN SHAARI</v>
      </c>
      <c r="V2872" t="str">
        <f t="shared" si="1168"/>
        <v>FARHANA BINTI MUSTAPA</v>
      </c>
      <c r="W2872" t="str">
        <f t="shared" si="1169"/>
        <v>04-08-2020</v>
      </c>
      <c r="X2872" t="str">
        <f t="shared" si="1170"/>
        <v>RAZIMAH ANSAR AHMAD</v>
      </c>
      <c r="Y2872" t="str">
        <f t="shared" si="1171"/>
        <v>04-08-2020</v>
      </c>
      <c r="Z2872" t="str">
        <f>"COS10200804 6282"</f>
        <v>COS10200804 6282</v>
      </c>
    </row>
    <row r="2873" spans="1:26" x14ac:dyDescent="0.25">
      <c r="A2873" t="str">
        <f t="shared" si="1178"/>
        <v>04-08-2020 01:00:00</v>
      </c>
      <c r="B2873" t="str">
        <f>"0000808074"</f>
        <v>0000808074</v>
      </c>
      <c r="C2873" t="str">
        <f t="shared" si="1179"/>
        <v>0000807993</v>
      </c>
      <c r="D2873" t="str">
        <f t="shared" si="1159"/>
        <v>73185</v>
      </c>
      <c r="E2873" t="str">
        <f t="shared" si="1160"/>
        <v>KFH-OPERATIONS DEPARTMENT</v>
      </c>
      <c r="F2873" t="str">
        <f t="shared" si="1161"/>
        <v>IBG</v>
      </c>
      <c r="G2873" t="str">
        <f t="shared" si="1174"/>
        <v>Refund COSHARE 10</v>
      </c>
      <c r="H2873" s="2">
        <v>142.75</v>
      </c>
      <c r="I2873" t="str">
        <f>"NOORZAIMAH BINTI ARSHAD"</f>
        <v>NOORZAIMAH BINTI ARSHAD</v>
      </c>
      <c r="J2873" t="str">
        <f t="shared" si="1175"/>
        <v>MAYBANK / MAYBANK ISLAMIC</v>
      </c>
      <c r="K2873" t="str">
        <f>"111114002080"</f>
        <v>111114002080</v>
      </c>
      <c r="L2873" t="str">
        <f t="shared" si="1180"/>
        <v>04-08-2020</v>
      </c>
      <c r="M2873" t="str">
        <f t="shared" si="1180"/>
        <v>04-08-2020</v>
      </c>
      <c r="N2873" t="str">
        <f t="shared" si="1162"/>
        <v>001105018356</v>
      </c>
      <c r="O2873" t="str">
        <f t="shared" si="1163"/>
        <v>MYR</v>
      </c>
      <c r="P2873" t="str">
        <f t="shared" si="1181"/>
        <v>NIL</v>
      </c>
      <c r="Q2873" t="str">
        <f t="shared" si="1181"/>
        <v>NIL</v>
      </c>
      <c r="R2873" t="str">
        <f t="shared" si="1164"/>
        <v>Accepted</v>
      </c>
      <c r="S2873" t="str">
        <f t="shared" si="1165"/>
        <v>Approved</v>
      </c>
      <c r="T2873" t="str">
        <f t="shared" si="1166"/>
        <v>10.20.8.188</v>
      </c>
      <c r="U2873" t="str">
        <f t="shared" si="1167"/>
        <v>AZRAD UMAR BIN SHAARI</v>
      </c>
      <c r="V2873" t="str">
        <f t="shared" si="1168"/>
        <v>FARHANA BINTI MUSTAPA</v>
      </c>
      <c r="W2873" t="str">
        <f t="shared" si="1169"/>
        <v>04-08-2020</v>
      </c>
      <c r="X2873" t="str">
        <f t="shared" si="1170"/>
        <v>RAZIMAH ANSAR AHMAD</v>
      </c>
      <c r="Y2873" t="str">
        <f t="shared" si="1171"/>
        <v>04-08-2020</v>
      </c>
      <c r="Z2873" t="str">
        <f>"COS10200804 6281"</f>
        <v>COS10200804 6281</v>
      </c>
    </row>
    <row r="2874" spans="1:26" x14ac:dyDescent="0.25">
      <c r="A2874" t="str">
        <f t="shared" si="1178"/>
        <v>04-08-2020 01:00:00</v>
      </c>
      <c r="B2874" t="str">
        <f>"0000808073"</f>
        <v>0000808073</v>
      </c>
      <c r="C2874" t="str">
        <f t="shared" si="1179"/>
        <v>0000807993</v>
      </c>
      <c r="D2874" t="str">
        <f t="shared" si="1159"/>
        <v>73185</v>
      </c>
      <c r="E2874" t="str">
        <f t="shared" si="1160"/>
        <v>KFH-OPERATIONS DEPARTMENT</v>
      </c>
      <c r="F2874" t="str">
        <f t="shared" si="1161"/>
        <v>IBG</v>
      </c>
      <c r="G2874" t="str">
        <f t="shared" si="1174"/>
        <v>Refund COSHARE 10</v>
      </c>
      <c r="H2874" s="2">
        <v>121</v>
      </c>
      <c r="I2874" t="str">
        <f>"NOORULHUSNA BINTI MT HASSAN"</f>
        <v>NOORULHUSNA BINTI MT HASSAN</v>
      </c>
      <c r="J2874" t="str">
        <f t="shared" si="1175"/>
        <v>MAYBANK / MAYBANK ISLAMIC</v>
      </c>
      <c r="K2874" t="str">
        <f>"152095611903"</f>
        <v>152095611903</v>
      </c>
      <c r="L2874" t="str">
        <f t="shared" si="1180"/>
        <v>04-08-2020</v>
      </c>
      <c r="M2874" t="str">
        <f t="shared" si="1180"/>
        <v>04-08-2020</v>
      </c>
      <c r="N2874" t="str">
        <f t="shared" si="1162"/>
        <v>001105018356</v>
      </c>
      <c r="O2874" t="str">
        <f t="shared" si="1163"/>
        <v>MYR</v>
      </c>
      <c r="P2874" t="str">
        <f t="shared" si="1181"/>
        <v>NIL</v>
      </c>
      <c r="Q2874" t="str">
        <f t="shared" si="1181"/>
        <v>NIL</v>
      </c>
      <c r="R2874" t="str">
        <f t="shared" si="1164"/>
        <v>Accepted</v>
      </c>
      <c r="S2874" t="str">
        <f t="shared" si="1165"/>
        <v>Approved</v>
      </c>
      <c r="T2874" t="str">
        <f t="shared" si="1166"/>
        <v>10.20.8.188</v>
      </c>
      <c r="U2874" t="str">
        <f t="shared" si="1167"/>
        <v>AZRAD UMAR BIN SHAARI</v>
      </c>
      <c r="V2874" t="str">
        <f t="shared" si="1168"/>
        <v>FARHANA BINTI MUSTAPA</v>
      </c>
      <c r="W2874" t="str">
        <f t="shared" si="1169"/>
        <v>04-08-2020</v>
      </c>
      <c r="X2874" t="str">
        <f t="shared" si="1170"/>
        <v>RAZIMAH ANSAR AHMAD</v>
      </c>
      <c r="Y2874" t="str">
        <f t="shared" si="1171"/>
        <v>04-08-2020</v>
      </c>
      <c r="Z2874" t="str">
        <f>"COS10200804 6280"</f>
        <v>COS10200804 6280</v>
      </c>
    </row>
    <row r="2875" spans="1:26" x14ac:dyDescent="0.25">
      <c r="A2875" t="str">
        <f t="shared" si="1178"/>
        <v>04-08-2020 01:00:00</v>
      </c>
      <c r="B2875" t="str">
        <f>"0000808072"</f>
        <v>0000808072</v>
      </c>
      <c r="C2875" t="str">
        <f t="shared" si="1179"/>
        <v>0000807993</v>
      </c>
      <c r="D2875" t="str">
        <f t="shared" si="1159"/>
        <v>73185</v>
      </c>
      <c r="E2875" t="str">
        <f t="shared" si="1160"/>
        <v>KFH-OPERATIONS DEPARTMENT</v>
      </c>
      <c r="F2875" t="str">
        <f t="shared" si="1161"/>
        <v>IBG</v>
      </c>
      <c r="G2875" t="str">
        <f t="shared" si="1174"/>
        <v>Refund COSHARE 10</v>
      </c>
      <c r="H2875" s="2">
        <v>503.7</v>
      </c>
      <c r="I2875" t="str">
        <f>"NOORUL SERIHIDAYAH BINTI MOHD IZHAR"</f>
        <v>NOORUL SERIHIDAYAH BINTI MOHD IZHAR</v>
      </c>
      <c r="J2875" t="str">
        <f t="shared" si="1175"/>
        <v>MAYBANK / MAYBANK ISLAMIC</v>
      </c>
      <c r="K2875" t="str">
        <f>"156011028393"</f>
        <v>156011028393</v>
      </c>
      <c r="L2875" t="str">
        <f t="shared" si="1180"/>
        <v>04-08-2020</v>
      </c>
      <c r="M2875" t="str">
        <f t="shared" si="1180"/>
        <v>04-08-2020</v>
      </c>
      <c r="N2875" t="str">
        <f t="shared" si="1162"/>
        <v>001105018356</v>
      </c>
      <c r="O2875" t="str">
        <f t="shared" si="1163"/>
        <v>MYR</v>
      </c>
      <c r="P2875" t="str">
        <f t="shared" si="1181"/>
        <v>NIL</v>
      </c>
      <c r="Q2875" t="str">
        <f t="shared" si="1181"/>
        <v>NIL</v>
      </c>
      <c r="R2875" t="str">
        <f t="shared" si="1164"/>
        <v>Accepted</v>
      </c>
      <c r="S2875" t="str">
        <f t="shared" si="1165"/>
        <v>Approved</v>
      </c>
      <c r="T2875" t="str">
        <f t="shared" si="1166"/>
        <v>10.20.8.188</v>
      </c>
      <c r="U2875" t="str">
        <f t="shared" si="1167"/>
        <v>AZRAD UMAR BIN SHAARI</v>
      </c>
      <c r="V2875" t="str">
        <f t="shared" si="1168"/>
        <v>FARHANA BINTI MUSTAPA</v>
      </c>
      <c r="W2875" t="str">
        <f t="shared" si="1169"/>
        <v>04-08-2020</v>
      </c>
      <c r="X2875" t="str">
        <f t="shared" si="1170"/>
        <v>RAZIMAH ANSAR AHMAD</v>
      </c>
      <c r="Y2875" t="str">
        <f t="shared" si="1171"/>
        <v>04-08-2020</v>
      </c>
      <c r="Z2875" t="str">
        <f>"COS10200804 6279"</f>
        <v>COS10200804 6279</v>
      </c>
    </row>
    <row r="2876" spans="1:26" x14ac:dyDescent="0.25">
      <c r="A2876" t="str">
        <f t="shared" si="1178"/>
        <v>04-08-2020 01:00:00</v>
      </c>
      <c r="B2876" t="str">
        <f>"0000808071"</f>
        <v>0000808071</v>
      </c>
      <c r="C2876" t="str">
        <f t="shared" si="1179"/>
        <v>0000807993</v>
      </c>
      <c r="D2876" t="str">
        <f t="shared" si="1159"/>
        <v>73185</v>
      </c>
      <c r="E2876" t="str">
        <f t="shared" si="1160"/>
        <v>KFH-OPERATIONS DEPARTMENT</v>
      </c>
      <c r="F2876" t="str">
        <f t="shared" si="1161"/>
        <v>IBG</v>
      </c>
      <c r="G2876" t="str">
        <f t="shared" si="1174"/>
        <v>Refund COSHARE 10</v>
      </c>
      <c r="H2876" s="2">
        <v>177.4</v>
      </c>
      <c r="I2876" t="str">
        <f>"NOORSHAHIDAN BIN MOHAMAD NAWAWI"</f>
        <v>NOORSHAHIDAN BIN MOHAMAD NAWAWI</v>
      </c>
      <c r="J2876" t="str">
        <f t="shared" si="1175"/>
        <v>MAYBANK / MAYBANK ISLAMIC</v>
      </c>
      <c r="K2876" t="str">
        <f>"114236068903"</f>
        <v>114236068903</v>
      </c>
      <c r="L2876" t="str">
        <f t="shared" si="1180"/>
        <v>04-08-2020</v>
      </c>
      <c r="M2876" t="str">
        <f t="shared" si="1180"/>
        <v>04-08-2020</v>
      </c>
      <c r="N2876" t="str">
        <f t="shared" si="1162"/>
        <v>001105018356</v>
      </c>
      <c r="O2876" t="str">
        <f t="shared" si="1163"/>
        <v>MYR</v>
      </c>
      <c r="P2876" t="str">
        <f t="shared" si="1181"/>
        <v>NIL</v>
      </c>
      <c r="Q2876" t="str">
        <f t="shared" si="1181"/>
        <v>NIL</v>
      </c>
      <c r="R2876" t="str">
        <f t="shared" si="1164"/>
        <v>Accepted</v>
      </c>
      <c r="S2876" t="str">
        <f t="shared" si="1165"/>
        <v>Approved</v>
      </c>
      <c r="T2876" t="str">
        <f t="shared" si="1166"/>
        <v>10.20.8.188</v>
      </c>
      <c r="U2876" t="str">
        <f t="shared" si="1167"/>
        <v>AZRAD UMAR BIN SHAARI</v>
      </c>
      <c r="V2876" t="str">
        <f t="shared" si="1168"/>
        <v>FARHANA BINTI MUSTAPA</v>
      </c>
      <c r="W2876" t="str">
        <f t="shared" si="1169"/>
        <v>04-08-2020</v>
      </c>
      <c r="X2876" t="str">
        <f t="shared" si="1170"/>
        <v>RAZIMAH ANSAR AHMAD</v>
      </c>
      <c r="Y2876" t="str">
        <f t="shared" si="1171"/>
        <v>04-08-2020</v>
      </c>
      <c r="Z2876" t="str">
        <f>"COS10200804 6278"</f>
        <v>COS10200804 6278</v>
      </c>
    </row>
    <row r="2877" spans="1:26" x14ac:dyDescent="0.25">
      <c r="A2877" t="str">
        <f t="shared" si="1178"/>
        <v>04-08-2020 01:00:00</v>
      </c>
      <c r="B2877" t="str">
        <f>"0000808070"</f>
        <v>0000808070</v>
      </c>
      <c r="C2877" t="str">
        <f t="shared" si="1179"/>
        <v>0000807993</v>
      </c>
      <c r="D2877" t="str">
        <f t="shared" si="1159"/>
        <v>73185</v>
      </c>
      <c r="E2877" t="str">
        <f t="shared" si="1160"/>
        <v>KFH-OPERATIONS DEPARTMENT</v>
      </c>
      <c r="F2877" t="str">
        <f t="shared" si="1161"/>
        <v>IBG</v>
      </c>
      <c r="G2877" t="str">
        <f t="shared" si="1174"/>
        <v>Refund COSHARE 10</v>
      </c>
      <c r="H2877" s="2">
        <v>491.15</v>
      </c>
      <c r="I2877" t="str">
        <f>"NOORSHAHIDA BINTI MOHAMAD ZUKI"</f>
        <v>NOORSHAHIDA BINTI MOHAMAD ZUKI</v>
      </c>
      <c r="J2877" t="str">
        <f t="shared" si="1175"/>
        <v>MAYBANK / MAYBANK ISLAMIC</v>
      </c>
      <c r="K2877" t="str">
        <f>"160166106372"</f>
        <v>160166106372</v>
      </c>
      <c r="L2877" t="str">
        <f t="shared" si="1180"/>
        <v>04-08-2020</v>
      </c>
      <c r="M2877" t="str">
        <f t="shared" si="1180"/>
        <v>04-08-2020</v>
      </c>
      <c r="N2877" t="str">
        <f t="shared" si="1162"/>
        <v>001105018356</v>
      </c>
      <c r="O2877" t="str">
        <f t="shared" si="1163"/>
        <v>MYR</v>
      </c>
      <c r="P2877" t="str">
        <f t="shared" si="1181"/>
        <v>NIL</v>
      </c>
      <c r="Q2877" t="str">
        <f t="shared" si="1181"/>
        <v>NIL</v>
      </c>
      <c r="R2877" t="str">
        <f t="shared" si="1164"/>
        <v>Accepted</v>
      </c>
      <c r="S2877" t="str">
        <f t="shared" si="1165"/>
        <v>Approved</v>
      </c>
      <c r="T2877" t="str">
        <f t="shared" si="1166"/>
        <v>10.20.8.188</v>
      </c>
      <c r="U2877" t="str">
        <f t="shared" si="1167"/>
        <v>AZRAD UMAR BIN SHAARI</v>
      </c>
      <c r="V2877" t="str">
        <f t="shared" si="1168"/>
        <v>FARHANA BINTI MUSTAPA</v>
      </c>
      <c r="W2877" t="str">
        <f t="shared" si="1169"/>
        <v>04-08-2020</v>
      </c>
      <c r="X2877" t="str">
        <f t="shared" si="1170"/>
        <v>RAZIMAH ANSAR AHMAD</v>
      </c>
      <c r="Y2877" t="str">
        <f t="shared" si="1171"/>
        <v>04-08-2020</v>
      </c>
      <c r="Z2877" t="str">
        <f>"COS10200804 6277"</f>
        <v>COS10200804 6277</v>
      </c>
    </row>
    <row r="2878" spans="1:26" x14ac:dyDescent="0.25">
      <c r="A2878" t="str">
        <f t="shared" si="1178"/>
        <v>04-08-2020 01:00:00</v>
      </c>
      <c r="B2878" t="str">
        <f>"0000808069"</f>
        <v>0000808069</v>
      </c>
      <c r="C2878" t="str">
        <f t="shared" si="1179"/>
        <v>0000807993</v>
      </c>
      <c r="D2878" t="str">
        <f t="shared" si="1159"/>
        <v>73185</v>
      </c>
      <c r="E2878" t="str">
        <f t="shared" si="1160"/>
        <v>KFH-OPERATIONS DEPARTMENT</v>
      </c>
      <c r="F2878" t="str">
        <f t="shared" si="1161"/>
        <v>IBG</v>
      </c>
      <c r="G2878" t="str">
        <f t="shared" si="1174"/>
        <v>Refund COSHARE 10</v>
      </c>
      <c r="H2878" s="2">
        <v>42</v>
      </c>
      <c r="I2878" t="str">
        <f>"NOORSANIAH BT JAMIL"</f>
        <v>NOORSANIAH BT JAMIL</v>
      </c>
      <c r="J2878" t="str">
        <f t="shared" si="1175"/>
        <v>MAYBANK / MAYBANK ISLAMIC</v>
      </c>
      <c r="K2878" t="str">
        <f>"164324290428"</f>
        <v>164324290428</v>
      </c>
      <c r="L2878" t="str">
        <f t="shared" si="1180"/>
        <v>04-08-2020</v>
      </c>
      <c r="M2878" t="str">
        <f t="shared" si="1180"/>
        <v>04-08-2020</v>
      </c>
      <c r="N2878" t="str">
        <f t="shared" si="1162"/>
        <v>001105018356</v>
      </c>
      <c r="O2878" t="str">
        <f t="shared" si="1163"/>
        <v>MYR</v>
      </c>
      <c r="P2878" t="str">
        <f t="shared" si="1181"/>
        <v>NIL</v>
      </c>
      <c r="Q2878" t="str">
        <f t="shared" si="1181"/>
        <v>NIL</v>
      </c>
      <c r="R2878" t="str">
        <f t="shared" si="1164"/>
        <v>Accepted</v>
      </c>
      <c r="S2878" t="str">
        <f t="shared" si="1165"/>
        <v>Approved</v>
      </c>
      <c r="T2878" t="str">
        <f t="shared" si="1166"/>
        <v>10.20.8.188</v>
      </c>
      <c r="U2878" t="str">
        <f t="shared" si="1167"/>
        <v>AZRAD UMAR BIN SHAARI</v>
      </c>
      <c r="V2878" t="str">
        <f t="shared" si="1168"/>
        <v>FARHANA BINTI MUSTAPA</v>
      </c>
      <c r="W2878" t="str">
        <f t="shared" si="1169"/>
        <v>04-08-2020</v>
      </c>
      <c r="X2878" t="str">
        <f t="shared" si="1170"/>
        <v>RAZIMAH ANSAR AHMAD</v>
      </c>
      <c r="Y2878" t="str">
        <f t="shared" si="1171"/>
        <v>04-08-2020</v>
      </c>
      <c r="Z2878" t="str">
        <f>"COS10200804 6276"</f>
        <v>COS10200804 6276</v>
      </c>
    </row>
    <row r="2879" spans="1:26" x14ac:dyDescent="0.25">
      <c r="A2879" t="str">
        <f t="shared" si="1178"/>
        <v>04-08-2020 01:00:00</v>
      </c>
      <c r="B2879" t="str">
        <f>"0000808068"</f>
        <v>0000808068</v>
      </c>
      <c r="C2879" t="str">
        <f t="shared" si="1179"/>
        <v>0000807993</v>
      </c>
      <c r="D2879" t="str">
        <f t="shared" si="1159"/>
        <v>73185</v>
      </c>
      <c r="E2879" t="str">
        <f t="shared" si="1160"/>
        <v>KFH-OPERATIONS DEPARTMENT</v>
      </c>
      <c r="F2879" t="str">
        <f t="shared" si="1161"/>
        <v>IBG</v>
      </c>
      <c r="G2879" t="str">
        <f t="shared" si="1174"/>
        <v>Refund COSHARE 10</v>
      </c>
      <c r="H2879" s="2">
        <v>762.2</v>
      </c>
      <c r="I2879" t="str">
        <f>"NOOROLHASMI BIN CHE HASHIM"</f>
        <v>NOOROLHASMI BIN CHE HASHIM</v>
      </c>
      <c r="J2879" t="str">
        <f t="shared" si="1175"/>
        <v>MAYBANK / MAYBANK ISLAMIC</v>
      </c>
      <c r="K2879" t="str">
        <f>"154026367136"</f>
        <v>154026367136</v>
      </c>
      <c r="L2879" t="str">
        <f t="shared" si="1180"/>
        <v>04-08-2020</v>
      </c>
      <c r="M2879" t="str">
        <f t="shared" si="1180"/>
        <v>04-08-2020</v>
      </c>
      <c r="N2879" t="str">
        <f t="shared" si="1162"/>
        <v>001105018356</v>
      </c>
      <c r="O2879" t="str">
        <f t="shared" si="1163"/>
        <v>MYR</v>
      </c>
      <c r="P2879" t="str">
        <f t="shared" si="1181"/>
        <v>NIL</v>
      </c>
      <c r="Q2879" t="str">
        <f t="shared" si="1181"/>
        <v>NIL</v>
      </c>
      <c r="R2879" t="str">
        <f t="shared" si="1164"/>
        <v>Accepted</v>
      </c>
      <c r="S2879" t="str">
        <f t="shared" si="1165"/>
        <v>Approved</v>
      </c>
      <c r="T2879" t="str">
        <f t="shared" si="1166"/>
        <v>10.20.8.188</v>
      </c>
      <c r="U2879" t="str">
        <f t="shared" si="1167"/>
        <v>AZRAD UMAR BIN SHAARI</v>
      </c>
      <c r="V2879" t="str">
        <f t="shared" si="1168"/>
        <v>FARHANA BINTI MUSTAPA</v>
      </c>
      <c r="W2879" t="str">
        <f t="shared" si="1169"/>
        <v>04-08-2020</v>
      </c>
      <c r="X2879" t="str">
        <f t="shared" si="1170"/>
        <v>RAZIMAH ANSAR AHMAD</v>
      </c>
      <c r="Y2879" t="str">
        <f t="shared" si="1171"/>
        <v>04-08-2020</v>
      </c>
      <c r="Z2879" t="str">
        <f>"COS10200804 6275"</f>
        <v>COS10200804 6275</v>
      </c>
    </row>
    <row r="2880" spans="1:26" x14ac:dyDescent="0.25">
      <c r="A2880" t="str">
        <f t="shared" si="1178"/>
        <v>04-08-2020 01:00:00</v>
      </c>
      <c r="B2880" t="str">
        <f>"0000808067"</f>
        <v>0000808067</v>
      </c>
      <c r="C2880" t="str">
        <f t="shared" si="1179"/>
        <v>0000807993</v>
      </c>
      <c r="D2880" t="str">
        <f t="shared" si="1159"/>
        <v>73185</v>
      </c>
      <c r="E2880" t="str">
        <f t="shared" si="1160"/>
        <v>KFH-OPERATIONS DEPARTMENT</v>
      </c>
      <c r="F2880" t="str">
        <f t="shared" si="1161"/>
        <v>IBG</v>
      </c>
      <c r="G2880" t="str">
        <f t="shared" si="1174"/>
        <v>Refund COSHARE 10</v>
      </c>
      <c r="H2880" s="2">
        <v>342</v>
      </c>
      <c r="I2880" t="str">
        <f>"NOORMALA BINTI SURATMIN"</f>
        <v>NOORMALA BINTI SURATMIN</v>
      </c>
      <c r="J2880" t="str">
        <f t="shared" si="1175"/>
        <v>MAYBANK / MAYBANK ISLAMIC</v>
      </c>
      <c r="K2880" t="str">
        <f>"151089299014"</f>
        <v>151089299014</v>
      </c>
      <c r="L2880" t="str">
        <f t="shared" si="1180"/>
        <v>04-08-2020</v>
      </c>
      <c r="M2880" t="str">
        <f t="shared" si="1180"/>
        <v>04-08-2020</v>
      </c>
      <c r="N2880" t="str">
        <f t="shared" si="1162"/>
        <v>001105018356</v>
      </c>
      <c r="O2880" t="str">
        <f t="shared" si="1163"/>
        <v>MYR</v>
      </c>
      <c r="P2880" t="str">
        <f t="shared" si="1181"/>
        <v>NIL</v>
      </c>
      <c r="Q2880" t="str">
        <f t="shared" si="1181"/>
        <v>NIL</v>
      </c>
      <c r="R2880" t="str">
        <f t="shared" si="1164"/>
        <v>Accepted</v>
      </c>
      <c r="S2880" t="str">
        <f t="shared" si="1165"/>
        <v>Approved</v>
      </c>
      <c r="T2880" t="str">
        <f t="shared" si="1166"/>
        <v>10.20.8.188</v>
      </c>
      <c r="U2880" t="str">
        <f t="shared" si="1167"/>
        <v>AZRAD UMAR BIN SHAARI</v>
      </c>
      <c r="V2880" t="str">
        <f t="shared" si="1168"/>
        <v>FARHANA BINTI MUSTAPA</v>
      </c>
      <c r="W2880" t="str">
        <f t="shared" si="1169"/>
        <v>04-08-2020</v>
      </c>
      <c r="X2880" t="str">
        <f t="shared" si="1170"/>
        <v>RAZIMAH ANSAR AHMAD</v>
      </c>
      <c r="Y2880" t="str">
        <f t="shared" si="1171"/>
        <v>04-08-2020</v>
      </c>
      <c r="Z2880" t="str">
        <f>"COS10200804 6274"</f>
        <v>COS10200804 6274</v>
      </c>
    </row>
    <row r="2881" spans="1:26" x14ac:dyDescent="0.25">
      <c r="A2881" t="str">
        <f t="shared" si="1178"/>
        <v>04-08-2020 01:00:00</v>
      </c>
      <c r="B2881" t="str">
        <f>"0000808066"</f>
        <v>0000808066</v>
      </c>
      <c r="C2881" t="str">
        <f t="shared" si="1179"/>
        <v>0000807993</v>
      </c>
      <c r="D2881" t="str">
        <f t="shared" si="1159"/>
        <v>73185</v>
      </c>
      <c r="E2881" t="str">
        <f t="shared" si="1160"/>
        <v>KFH-OPERATIONS DEPARTMENT</v>
      </c>
      <c r="F2881" t="str">
        <f t="shared" si="1161"/>
        <v>IBG</v>
      </c>
      <c r="G2881" t="str">
        <f t="shared" si="1174"/>
        <v>Refund COSHARE 10</v>
      </c>
      <c r="H2881" s="2">
        <v>184.7</v>
      </c>
      <c r="I2881" t="str">
        <f>"NOORMAIRUZS BINTI AZHA"</f>
        <v>NOORMAIRUZS BINTI AZHA</v>
      </c>
      <c r="J2881" t="str">
        <f t="shared" si="1175"/>
        <v>MAYBANK / MAYBANK ISLAMIC</v>
      </c>
      <c r="K2881" t="str">
        <f>"114013152415"</f>
        <v>114013152415</v>
      </c>
      <c r="L2881" t="str">
        <f t="shared" si="1180"/>
        <v>04-08-2020</v>
      </c>
      <c r="M2881" t="str">
        <f t="shared" si="1180"/>
        <v>04-08-2020</v>
      </c>
      <c r="N2881" t="str">
        <f t="shared" si="1162"/>
        <v>001105018356</v>
      </c>
      <c r="O2881" t="str">
        <f t="shared" si="1163"/>
        <v>MYR</v>
      </c>
      <c r="P2881" t="str">
        <f t="shared" si="1181"/>
        <v>NIL</v>
      </c>
      <c r="Q2881" t="str">
        <f t="shared" si="1181"/>
        <v>NIL</v>
      </c>
      <c r="R2881" t="str">
        <f t="shared" si="1164"/>
        <v>Accepted</v>
      </c>
      <c r="S2881" t="str">
        <f t="shared" si="1165"/>
        <v>Approved</v>
      </c>
      <c r="T2881" t="str">
        <f t="shared" si="1166"/>
        <v>10.20.8.188</v>
      </c>
      <c r="U2881" t="str">
        <f t="shared" si="1167"/>
        <v>AZRAD UMAR BIN SHAARI</v>
      </c>
      <c r="V2881" t="str">
        <f t="shared" si="1168"/>
        <v>FARHANA BINTI MUSTAPA</v>
      </c>
      <c r="W2881" t="str">
        <f t="shared" si="1169"/>
        <v>04-08-2020</v>
      </c>
      <c r="X2881" t="str">
        <f t="shared" si="1170"/>
        <v>RAZIMAH ANSAR AHMAD</v>
      </c>
      <c r="Y2881" t="str">
        <f t="shared" si="1171"/>
        <v>04-08-2020</v>
      </c>
      <c r="Z2881" t="str">
        <f>"COS10200804 6273"</f>
        <v>COS10200804 6273</v>
      </c>
    </row>
    <row r="2882" spans="1:26" x14ac:dyDescent="0.25">
      <c r="A2882" t="str">
        <f t="shared" ref="A2882:A2913" si="1182">"04-08-2020 01:00:00"</f>
        <v>04-08-2020 01:00:00</v>
      </c>
      <c r="B2882" t="str">
        <f>"0000808065"</f>
        <v>0000808065</v>
      </c>
      <c r="C2882" t="str">
        <f t="shared" ref="C2882:C2913" si="1183">"0000807993"</f>
        <v>0000807993</v>
      </c>
      <c r="D2882" t="str">
        <f t="shared" si="1159"/>
        <v>73185</v>
      </c>
      <c r="E2882" t="str">
        <f t="shared" si="1160"/>
        <v>KFH-OPERATIONS DEPARTMENT</v>
      </c>
      <c r="F2882" t="str">
        <f t="shared" si="1161"/>
        <v>IBG</v>
      </c>
      <c r="G2882" t="str">
        <f t="shared" si="1174"/>
        <v>Refund COSHARE 10</v>
      </c>
      <c r="H2882" s="2">
        <v>491.15</v>
      </c>
      <c r="I2882" t="str">
        <f>"NOORLITA BINTI TAIYEB"</f>
        <v>NOORLITA BINTI TAIYEB</v>
      </c>
      <c r="J2882" t="str">
        <f t="shared" si="1175"/>
        <v>MAYBANK / MAYBANK ISLAMIC</v>
      </c>
      <c r="K2882" t="str">
        <f>"110032107977"</f>
        <v>110032107977</v>
      </c>
      <c r="L2882" t="str">
        <f t="shared" si="1180"/>
        <v>04-08-2020</v>
      </c>
      <c r="M2882" t="str">
        <f t="shared" si="1180"/>
        <v>04-08-2020</v>
      </c>
      <c r="N2882" t="str">
        <f t="shared" si="1162"/>
        <v>001105018356</v>
      </c>
      <c r="O2882" t="str">
        <f t="shared" si="1163"/>
        <v>MYR</v>
      </c>
      <c r="P2882" t="str">
        <f t="shared" si="1181"/>
        <v>NIL</v>
      </c>
      <c r="Q2882" t="str">
        <f t="shared" si="1181"/>
        <v>NIL</v>
      </c>
      <c r="R2882" t="str">
        <f t="shared" si="1164"/>
        <v>Accepted</v>
      </c>
      <c r="S2882" t="str">
        <f t="shared" si="1165"/>
        <v>Approved</v>
      </c>
      <c r="T2882" t="str">
        <f t="shared" si="1166"/>
        <v>10.20.8.188</v>
      </c>
      <c r="U2882" t="str">
        <f t="shared" si="1167"/>
        <v>AZRAD UMAR BIN SHAARI</v>
      </c>
      <c r="V2882" t="str">
        <f t="shared" si="1168"/>
        <v>FARHANA BINTI MUSTAPA</v>
      </c>
      <c r="W2882" t="str">
        <f t="shared" si="1169"/>
        <v>04-08-2020</v>
      </c>
      <c r="X2882" t="str">
        <f t="shared" si="1170"/>
        <v>RAZIMAH ANSAR AHMAD</v>
      </c>
      <c r="Y2882" t="str">
        <f t="shared" si="1171"/>
        <v>04-08-2020</v>
      </c>
      <c r="Z2882" t="str">
        <f>"COS10200804 6272"</f>
        <v>COS10200804 6272</v>
      </c>
    </row>
    <row r="2883" spans="1:26" x14ac:dyDescent="0.25">
      <c r="A2883" t="str">
        <f t="shared" si="1182"/>
        <v>04-08-2020 01:00:00</v>
      </c>
      <c r="B2883" t="str">
        <f>"0000808064"</f>
        <v>0000808064</v>
      </c>
      <c r="C2883" t="str">
        <f t="shared" si="1183"/>
        <v>0000807993</v>
      </c>
      <c r="D2883" t="str">
        <f t="shared" si="1159"/>
        <v>73185</v>
      </c>
      <c r="E2883" t="str">
        <f t="shared" si="1160"/>
        <v>KFH-OPERATIONS DEPARTMENT</v>
      </c>
      <c r="F2883" t="str">
        <f t="shared" si="1161"/>
        <v>IBG</v>
      </c>
      <c r="G2883" t="str">
        <f t="shared" si="1174"/>
        <v>Refund COSHARE 10</v>
      </c>
      <c r="H2883" s="2">
        <v>190.55</v>
      </c>
      <c r="I2883" t="str">
        <f>"NOORLIATUL AKMA BINTI ABD KHAIR"</f>
        <v>NOORLIATUL AKMA BINTI ABD KHAIR</v>
      </c>
      <c r="J2883" t="str">
        <f t="shared" si="1175"/>
        <v>MAYBANK / MAYBANK ISLAMIC</v>
      </c>
      <c r="K2883" t="str">
        <f>"112099620218"</f>
        <v>112099620218</v>
      </c>
      <c r="L2883" t="str">
        <f t="shared" si="1180"/>
        <v>04-08-2020</v>
      </c>
      <c r="M2883" t="str">
        <f t="shared" si="1180"/>
        <v>04-08-2020</v>
      </c>
      <c r="N2883" t="str">
        <f t="shared" si="1162"/>
        <v>001105018356</v>
      </c>
      <c r="O2883" t="str">
        <f t="shared" si="1163"/>
        <v>MYR</v>
      </c>
      <c r="P2883" t="str">
        <f t="shared" si="1181"/>
        <v>NIL</v>
      </c>
      <c r="Q2883" t="str">
        <f t="shared" si="1181"/>
        <v>NIL</v>
      </c>
      <c r="R2883" t="str">
        <f t="shared" si="1164"/>
        <v>Accepted</v>
      </c>
      <c r="S2883" t="str">
        <f t="shared" si="1165"/>
        <v>Approved</v>
      </c>
      <c r="T2883" t="str">
        <f t="shared" si="1166"/>
        <v>10.20.8.188</v>
      </c>
      <c r="U2883" t="str">
        <f t="shared" si="1167"/>
        <v>AZRAD UMAR BIN SHAARI</v>
      </c>
      <c r="V2883" t="str">
        <f t="shared" si="1168"/>
        <v>FARHANA BINTI MUSTAPA</v>
      </c>
      <c r="W2883" t="str">
        <f t="shared" si="1169"/>
        <v>04-08-2020</v>
      </c>
      <c r="X2883" t="str">
        <f t="shared" si="1170"/>
        <v>RAZIMAH ANSAR AHMAD</v>
      </c>
      <c r="Y2883" t="str">
        <f t="shared" si="1171"/>
        <v>04-08-2020</v>
      </c>
      <c r="Z2883" t="str">
        <f>"COS10200804 6271"</f>
        <v>COS10200804 6271</v>
      </c>
    </row>
    <row r="2884" spans="1:26" x14ac:dyDescent="0.25">
      <c r="A2884" t="str">
        <f t="shared" si="1182"/>
        <v>04-08-2020 01:00:00</v>
      </c>
      <c r="B2884" t="str">
        <f>"0000808063"</f>
        <v>0000808063</v>
      </c>
      <c r="C2884" t="str">
        <f t="shared" si="1183"/>
        <v>0000807993</v>
      </c>
      <c r="D2884" t="str">
        <f t="shared" si="1159"/>
        <v>73185</v>
      </c>
      <c r="E2884" t="str">
        <f t="shared" si="1160"/>
        <v>KFH-OPERATIONS DEPARTMENT</v>
      </c>
      <c r="F2884" t="str">
        <f t="shared" si="1161"/>
        <v>IBG</v>
      </c>
      <c r="G2884" t="str">
        <f t="shared" si="1174"/>
        <v>Refund COSHARE 10</v>
      </c>
      <c r="H2884" s="2">
        <v>503.7</v>
      </c>
      <c r="I2884" t="str">
        <f>"NOORLI BINTI MD KHAMIS"</f>
        <v>NOORLI BINTI MD KHAMIS</v>
      </c>
      <c r="J2884" t="str">
        <f t="shared" si="1175"/>
        <v>MAYBANK / MAYBANK ISLAMIC</v>
      </c>
      <c r="K2884" t="str">
        <f>"162339017135"</f>
        <v>162339017135</v>
      </c>
      <c r="L2884" t="str">
        <f t="shared" si="1180"/>
        <v>04-08-2020</v>
      </c>
      <c r="M2884" t="str">
        <f t="shared" si="1180"/>
        <v>04-08-2020</v>
      </c>
      <c r="N2884" t="str">
        <f t="shared" si="1162"/>
        <v>001105018356</v>
      </c>
      <c r="O2884" t="str">
        <f t="shared" si="1163"/>
        <v>MYR</v>
      </c>
      <c r="P2884" t="str">
        <f t="shared" si="1181"/>
        <v>NIL</v>
      </c>
      <c r="Q2884" t="str">
        <f t="shared" si="1181"/>
        <v>NIL</v>
      </c>
      <c r="R2884" t="str">
        <f t="shared" si="1164"/>
        <v>Accepted</v>
      </c>
      <c r="S2884" t="str">
        <f t="shared" si="1165"/>
        <v>Approved</v>
      </c>
      <c r="T2884" t="str">
        <f t="shared" si="1166"/>
        <v>10.20.8.188</v>
      </c>
      <c r="U2884" t="str">
        <f t="shared" si="1167"/>
        <v>AZRAD UMAR BIN SHAARI</v>
      </c>
      <c r="V2884" t="str">
        <f t="shared" si="1168"/>
        <v>FARHANA BINTI MUSTAPA</v>
      </c>
      <c r="W2884" t="str">
        <f t="shared" si="1169"/>
        <v>04-08-2020</v>
      </c>
      <c r="X2884" t="str">
        <f t="shared" si="1170"/>
        <v>RAZIMAH ANSAR AHMAD</v>
      </c>
      <c r="Y2884" t="str">
        <f t="shared" si="1171"/>
        <v>04-08-2020</v>
      </c>
      <c r="Z2884" t="str">
        <f>"COS10200804 6270"</f>
        <v>COS10200804 6270</v>
      </c>
    </row>
    <row r="2885" spans="1:26" x14ac:dyDescent="0.25">
      <c r="A2885" t="str">
        <f t="shared" si="1182"/>
        <v>04-08-2020 01:00:00</v>
      </c>
      <c r="B2885" t="str">
        <f>"0000808062"</f>
        <v>0000808062</v>
      </c>
      <c r="C2885" t="str">
        <f t="shared" si="1183"/>
        <v>0000807993</v>
      </c>
      <c r="D2885" t="str">
        <f t="shared" si="1159"/>
        <v>73185</v>
      </c>
      <c r="E2885" t="str">
        <f t="shared" si="1160"/>
        <v>KFH-OPERATIONS DEPARTMENT</v>
      </c>
      <c r="F2885" t="str">
        <f t="shared" si="1161"/>
        <v>IBG</v>
      </c>
      <c r="G2885" t="str">
        <f t="shared" si="1174"/>
        <v>Refund COSHARE 10</v>
      </c>
      <c r="H2885" s="2">
        <v>1679</v>
      </c>
      <c r="I2885" t="str">
        <f>"NOORLAILI BINTI YUSOH"</f>
        <v>NOORLAILI BINTI YUSOH</v>
      </c>
      <c r="J2885" t="str">
        <f t="shared" si="1175"/>
        <v>MAYBANK / MAYBANK ISLAMIC</v>
      </c>
      <c r="K2885" t="str">
        <f>"156141421665"</f>
        <v>156141421665</v>
      </c>
      <c r="L2885" t="str">
        <f t="shared" si="1180"/>
        <v>04-08-2020</v>
      </c>
      <c r="M2885" t="str">
        <f t="shared" si="1180"/>
        <v>04-08-2020</v>
      </c>
      <c r="N2885" t="str">
        <f t="shared" si="1162"/>
        <v>001105018356</v>
      </c>
      <c r="O2885" t="str">
        <f t="shared" si="1163"/>
        <v>MYR</v>
      </c>
      <c r="P2885" t="str">
        <f t="shared" si="1181"/>
        <v>NIL</v>
      </c>
      <c r="Q2885" t="str">
        <f t="shared" si="1181"/>
        <v>NIL</v>
      </c>
      <c r="R2885" t="str">
        <f t="shared" si="1164"/>
        <v>Accepted</v>
      </c>
      <c r="S2885" t="str">
        <f t="shared" si="1165"/>
        <v>Approved</v>
      </c>
      <c r="T2885" t="str">
        <f t="shared" si="1166"/>
        <v>10.20.8.188</v>
      </c>
      <c r="U2885" t="str">
        <f t="shared" si="1167"/>
        <v>AZRAD UMAR BIN SHAARI</v>
      </c>
      <c r="V2885" t="str">
        <f t="shared" si="1168"/>
        <v>FARHANA BINTI MUSTAPA</v>
      </c>
      <c r="W2885" t="str">
        <f t="shared" si="1169"/>
        <v>04-08-2020</v>
      </c>
      <c r="X2885" t="str">
        <f t="shared" si="1170"/>
        <v>RAZIMAH ANSAR AHMAD</v>
      </c>
      <c r="Y2885" t="str">
        <f t="shared" si="1171"/>
        <v>04-08-2020</v>
      </c>
      <c r="Z2885" t="str">
        <f>"COS10200804 6269"</f>
        <v>COS10200804 6269</v>
      </c>
    </row>
    <row r="2886" spans="1:26" x14ac:dyDescent="0.25">
      <c r="A2886" t="str">
        <f t="shared" si="1182"/>
        <v>04-08-2020 01:00:00</v>
      </c>
      <c r="B2886" t="str">
        <f>"0000808061"</f>
        <v>0000808061</v>
      </c>
      <c r="C2886" t="str">
        <f t="shared" si="1183"/>
        <v>0000807993</v>
      </c>
      <c r="D2886" t="str">
        <f t="shared" si="1159"/>
        <v>73185</v>
      </c>
      <c r="E2886" t="str">
        <f t="shared" si="1160"/>
        <v>KFH-OPERATIONS DEPARTMENT</v>
      </c>
      <c r="F2886" t="str">
        <f t="shared" si="1161"/>
        <v>IBG</v>
      </c>
      <c r="G2886" t="str">
        <f t="shared" si="1174"/>
        <v>Refund COSHARE 10</v>
      </c>
      <c r="H2886" s="2">
        <v>911</v>
      </c>
      <c r="I2886" t="str">
        <f>"NOORISHAM BIN CHE MAT"</f>
        <v>NOORISHAM BIN CHE MAT</v>
      </c>
      <c r="J2886" t="str">
        <f t="shared" si="1175"/>
        <v>MAYBANK / MAYBANK ISLAMIC</v>
      </c>
      <c r="K2886" t="str">
        <f>"151285078202"</f>
        <v>151285078202</v>
      </c>
      <c r="L2886" t="str">
        <f t="shared" si="1180"/>
        <v>04-08-2020</v>
      </c>
      <c r="M2886" t="str">
        <f t="shared" si="1180"/>
        <v>04-08-2020</v>
      </c>
      <c r="N2886" t="str">
        <f t="shared" si="1162"/>
        <v>001105018356</v>
      </c>
      <c r="O2886" t="str">
        <f t="shared" si="1163"/>
        <v>MYR</v>
      </c>
      <c r="P2886" t="str">
        <f t="shared" si="1181"/>
        <v>NIL</v>
      </c>
      <c r="Q2886" t="str">
        <f t="shared" si="1181"/>
        <v>NIL</v>
      </c>
      <c r="R2886" t="str">
        <f t="shared" si="1164"/>
        <v>Accepted</v>
      </c>
      <c r="S2886" t="str">
        <f t="shared" si="1165"/>
        <v>Approved</v>
      </c>
      <c r="T2886" t="str">
        <f t="shared" si="1166"/>
        <v>10.20.8.188</v>
      </c>
      <c r="U2886" t="str">
        <f t="shared" si="1167"/>
        <v>AZRAD UMAR BIN SHAARI</v>
      </c>
      <c r="V2886" t="str">
        <f t="shared" si="1168"/>
        <v>FARHANA BINTI MUSTAPA</v>
      </c>
      <c r="W2886" t="str">
        <f t="shared" si="1169"/>
        <v>04-08-2020</v>
      </c>
      <c r="X2886" t="str">
        <f t="shared" si="1170"/>
        <v>RAZIMAH ANSAR AHMAD</v>
      </c>
      <c r="Y2886" t="str">
        <f t="shared" si="1171"/>
        <v>04-08-2020</v>
      </c>
      <c r="Z2886" t="str">
        <f>"COS10200804 6268"</f>
        <v>COS10200804 6268</v>
      </c>
    </row>
    <row r="2887" spans="1:26" x14ac:dyDescent="0.25">
      <c r="A2887" t="str">
        <f t="shared" si="1182"/>
        <v>04-08-2020 01:00:00</v>
      </c>
      <c r="B2887" t="str">
        <f>"0000808060"</f>
        <v>0000808060</v>
      </c>
      <c r="C2887" t="str">
        <f t="shared" si="1183"/>
        <v>0000807993</v>
      </c>
      <c r="D2887" t="str">
        <f t="shared" ref="D2887:D2950" si="1184">"73185"</f>
        <v>73185</v>
      </c>
      <c r="E2887" t="str">
        <f t="shared" ref="E2887:E2950" si="1185">"KFH-OPERATIONS DEPARTMENT"</f>
        <v>KFH-OPERATIONS DEPARTMENT</v>
      </c>
      <c r="F2887" t="str">
        <f t="shared" ref="F2887:F2950" si="1186">"IBG"</f>
        <v>IBG</v>
      </c>
      <c r="G2887" t="str">
        <f t="shared" si="1174"/>
        <v>Refund COSHARE 10</v>
      </c>
      <c r="H2887" s="2">
        <v>635.20000000000005</v>
      </c>
      <c r="I2887" t="str">
        <f>"NOORIMAN BINTI SULAIMAN"</f>
        <v>NOORIMAN BINTI SULAIMAN</v>
      </c>
      <c r="J2887" t="str">
        <f t="shared" si="1175"/>
        <v>MAYBANK / MAYBANK ISLAMIC</v>
      </c>
      <c r="K2887" t="str">
        <f>"156012106805"</f>
        <v>156012106805</v>
      </c>
      <c r="L2887" t="str">
        <f t="shared" ref="L2887:M2906" si="1187">"04-08-2020"</f>
        <v>04-08-2020</v>
      </c>
      <c r="M2887" t="str">
        <f t="shared" si="1187"/>
        <v>04-08-2020</v>
      </c>
      <c r="N2887" t="str">
        <f t="shared" ref="N2887:N2950" si="1188">"001105018356"</f>
        <v>001105018356</v>
      </c>
      <c r="O2887" t="str">
        <f t="shared" ref="O2887:O2950" si="1189">"MYR"</f>
        <v>MYR</v>
      </c>
      <c r="P2887" t="str">
        <f t="shared" ref="P2887:Q2906" si="1190">"NIL"</f>
        <v>NIL</v>
      </c>
      <c r="Q2887" t="str">
        <f t="shared" si="1190"/>
        <v>NIL</v>
      </c>
      <c r="R2887" t="str">
        <f t="shared" ref="R2887:R2950" si="1191">"Accepted"</f>
        <v>Accepted</v>
      </c>
      <c r="S2887" t="str">
        <f t="shared" ref="S2887:S2950" si="1192">"Approved"</f>
        <v>Approved</v>
      </c>
      <c r="T2887" t="str">
        <f t="shared" ref="T2887:T2950" si="1193">"10.20.8.188"</f>
        <v>10.20.8.188</v>
      </c>
      <c r="U2887" t="str">
        <f t="shared" ref="U2887:U2950" si="1194">"AZRAD UMAR BIN SHAARI"</f>
        <v>AZRAD UMAR BIN SHAARI</v>
      </c>
      <c r="V2887" t="str">
        <f t="shared" ref="V2887:V2950" si="1195">"FARHANA BINTI MUSTAPA"</f>
        <v>FARHANA BINTI MUSTAPA</v>
      </c>
      <c r="W2887" t="str">
        <f t="shared" ref="W2887:W2950" si="1196">"04-08-2020"</f>
        <v>04-08-2020</v>
      </c>
      <c r="X2887" t="str">
        <f t="shared" ref="X2887:X2950" si="1197">"RAZIMAH ANSAR AHMAD"</f>
        <v>RAZIMAH ANSAR AHMAD</v>
      </c>
      <c r="Y2887" t="str">
        <f t="shared" ref="Y2887:Y2950" si="1198">"04-08-2020"</f>
        <v>04-08-2020</v>
      </c>
      <c r="Z2887" t="str">
        <f>"COS10200804 6267"</f>
        <v>COS10200804 6267</v>
      </c>
    </row>
    <row r="2888" spans="1:26" x14ac:dyDescent="0.25">
      <c r="A2888" t="str">
        <f t="shared" si="1182"/>
        <v>04-08-2020 01:00:00</v>
      </c>
      <c r="B2888" t="str">
        <f>"0000808059"</f>
        <v>0000808059</v>
      </c>
      <c r="C2888" t="str">
        <f t="shared" si="1183"/>
        <v>0000807993</v>
      </c>
      <c r="D2888" t="str">
        <f t="shared" si="1184"/>
        <v>73185</v>
      </c>
      <c r="E2888" t="str">
        <f t="shared" si="1185"/>
        <v>KFH-OPERATIONS DEPARTMENT</v>
      </c>
      <c r="F2888" t="str">
        <f t="shared" si="1186"/>
        <v>IBG</v>
      </c>
      <c r="G2888" t="str">
        <f t="shared" si="1174"/>
        <v>Refund COSHARE 10</v>
      </c>
      <c r="H2888" s="2">
        <v>380</v>
      </c>
      <c r="I2888" t="str">
        <f>"NOORHIDAYAH BINTI AHMAD"</f>
        <v>NOORHIDAYAH BINTI AHMAD</v>
      </c>
      <c r="J2888" t="str">
        <f t="shared" si="1175"/>
        <v>MAYBANK / MAYBANK ISLAMIC</v>
      </c>
      <c r="K2888" t="str">
        <f>"160166152632"</f>
        <v>160166152632</v>
      </c>
      <c r="L2888" t="str">
        <f t="shared" si="1187"/>
        <v>04-08-2020</v>
      </c>
      <c r="M2888" t="str">
        <f t="shared" si="1187"/>
        <v>04-08-2020</v>
      </c>
      <c r="N2888" t="str">
        <f t="shared" si="1188"/>
        <v>001105018356</v>
      </c>
      <c r="O2888" t="str">
        <f t="shared" si="1189"/>
        <v>MYR</v>
      </c>
      <c r="P2888" t="str">
        <f t="shared" si="1190"/>
        <v>NIL</v>
      </c>
      <c r="Q2888" t="str">
        <f t="shared" si="1190"/>
        <v>NIL</v>
      </c>
      <c r="R2888" t="str">
        <f t="shared" si="1191"/>
        <v>Accepted</v>
      </c>
      <c r="S2888" t="str">
        <f t="shared" si="1192"/>
        <v>Approved</v>
      </c>
      <c r="T2888" t="str">
        <f t="shared" si="1193"/>
        <v>10.20.8.188</v>
      </c>
      <c r="U2888" t="str">
        <f t="shared" si="1194"/>
        <v>AZRAD UMAR BIN SHAARI</v>
      </c>
      <c r="V2888" t="str">
        <f t="shared" si="1195"/>
        <v>FARHANA BINTI MUSTAPA</v>
      </c>
      <c r="W2888" t="str">
        <f t="shared" si="1196"/>
        <v>04-08-2020</v>
      </c>
      <c r="X2888" t="str">
        <f t="shared" si="1197"/>
        <v>RAZIMAH ANSAR AHMAD</v>
      </c>
      <c r="Y2888" t="str">
        <f t="shared" si="1198"/>
        <v>04-08-2020</v>
      </c>
      <c r="Z2888" t="str">
        <f>"COS10200804 6266"</f>
        <v>COS10200804 6266</v>
      </c>
    </row>
    <row r="2889" spans="1:26" x14ac:dyDescent="0.25">
      <c r="A2889" t="str">
        <f t="shared" si="1182"/>
        <v>04-08-2020 01:00:00</v>
      </c>
      <c r="B2889" t="str">
        <f>"0000808058"</f>
        <v>0000808058</v>
      </c>
      <c r="C2889" t="str">
        <f t="shared" si="1183"/>
        <v>0000807993</v>
      </c>
      <c r="D2889" t="str">
        <f t="shared" si="1184"/>
        <v>73185</v>
      </c>
      <c r="E2889" t="str">
        <f t="shared" si="1185"/>
        <v>KFH-OPERATIONS DEPARTMENT</v>
      </c>
      <c r="F2889" t="str">
        <f t="shared" si="1186"/>
        <v>IBG</v>
      </c>
      <c r="G2889" t="str">
        <f t="shared" si="1174"/>
        <v>Refund COSHARE 10</v>
      </c>
      <c r="H2889" s="2">
        <v>109</v>
      </c>
      <c r="I2889" t="str">
        <f>"NOORHAZLINA BINTI CHE ISA"</f>
        <v>NOORHAZLINA BINTI CHE ISA</v>
      </c>
      <c r="J2889" t="str">
        <f t="shared" si="1175"/>
        <v>MAYBANK / MAYBANK ISLAMIC</v>
      </c>
      <c r="K2889" t="str">
        <f>"166010085634"</f>
        <v>166010085634</v>
      </c>
      <c r="L2889" t="str">
        <f t="shared" si="1187"/>
        <v>04-08-2020</v>
      </c>
      <c r="M2889" t="str">
        <f t="shared" si="1187"/>
        <v>04-08-2020</v>
      </c>
      <c r="N2889" t="str">
        <f t="shared" si="1188"/>
        <v>001105018356</v>
      </c>
      <c r="O2889" t="str">
        <f t="shared" si="1189"/>
        <v>MYR</v>
      </c>
      <c r="P2889" t="str">
        <f t="shared" si="1190"/>
        <v>NIL</v>
      </c>
      <c r="Q2889" t="str">
        <f t="shared" si="1190"/>
        <v>NIL</v>
      </c>
      <c r="R2889" t="str">
        <f t="shared" si="1191"/>
        <v>Accepted</v>
      </c>
      <c r="S2889" t="str">
        <f t="shared" si="1192"/>
        <v>Approved</v>
      </c>
      <c r="T2889" t="str">
        <f t="shared" si="1193"/>
        <v>10.20.8.188</v>
      </c>
      <c r="U2889" t="str">
        <f t="shared" si="1194"/>
        <v>AZRAD UMAR BIN SHAARI</v>
      </c>
      <c r="V2889" t="str">
        <f t="shared" si="1195"/>
        <v>FARHANA BINTI MUSTAPA</v>
      </c>
      <c r="W2889" t="str">
        <f t="shared" si="1196"/>
        <v>04-08-2020</v>
      </c>
      <c r="X2889" t="str">
        <f t="shared" si="1197"/>
        <v>RAZIMAH ANSAR AHMAD</v>
      </c>
      <c r="Y2889" t="str">
        <f t="shared" si="1198"/>
        <v>04-08-2020</v>
      </c>
      <c r="Z2889" t="str">
        <f>"COS10200804 6265"</f>
        <v>COS10200804 6265</v>
      </c>
    </row>
    <row r="2890" spans="1:26" x14ac:dyDescent="0.25">
      <c r="A2890" t="str">
        <f t="shared" si="1182"/>
        <v>04-08-2020 01:00:00</v>
      </c>
      <c r="B2890" t="str">
        <f>"0000808057"</f>
        <v>0000808057</v>
      </c>
      <c r="C2890" t="str">
        <f t="shared" si="1183"/>
        <v>0000807993</v>
      </c>
      <c r="D2890" t="str">
        <f t="shared" si="1184"/>
        <v>73185</v>
      </c>
      <c r="E2890" t="str">
        <f t="shared" si="1185"/>
        <v>KFH-OPERATIONS DEPARTMENT</v>
      </c>
      <c r="F2890" t="str">
        <f t="shared" si="1186"/>
        <v>IBG</v>
      </c>
      <c r="G2890" t="str">
        <f t="shared" si="1174"/>
        <v>Refund COSHARE 10</v>
      </c>
      <c r="H2890" s="2">
        <v>1040</v>
      </c>
      <c r="I2890" t="str">
        <f>"NOORHASRULIZA BINTI HASHIM"</f>
        <v>NOORHASRULIZA BINTI HASHIM</v>
      </c>
      <c r="J2890" t="str">
        <f t="shared" si="1175"/>
        <v>MAYBANK / MAYBANK ISLAMIC</v>
      </c>
      <c r="K2890" t="str">
        <f>"162067645724"</f>
        <v>162067645724</v>
      </c>
      <c r="L2890" t="str">
        <f t="shared" si="1187"/>
        <v>04-08-2020</v>
      </c>
      <c r="M2890" t="str">
        <f t="shared" si="1187"/>
        <v>04-08-2020</v>
      </c>
      <c r="N2890" t="str">
        <f t="shared" si="1188"/>
        <v>001105018356</v>
      </c>
      <c r="O2890" t="str">
        <f t="shared" si="1189"/>
        <v>MYR</v>
      </c>
      <c r="P2890" t="str">
        <f t="shared" si="1190"/>
        <v>NIL</v>
      </c>
      <c r="Q2890" t="str">
        <f t="shared" si="1190"/>
        <v>NIL</v>
      </c>
      <c r="R2890" t="str">
        <f t="shared" si="1191"/>
        <v>Accepted</v>
      </c>
      <c r="S2890" t="str">
        <f t="shared" si="1192"/>
        <v>Approved</v>
      </c>
      <c r="T2890" t="str">
        <f t="shared" si="1193"/>
        <v>10.20.8.188</v>
      </c>
      <c r="U2890" t="str">
        <f t="shared" si="1194"/>
        <v>AZRAD UMAR BIN SHAARI</v>
      </c>
      <c r="V2890" t="str">
        <f t="shared" si="1195"/>
        <v>FARHANA BINTI MUSTAPA</v>
      </c>
      <c r="W2890" t="str">
        <f t="shared" si="1196"/>
        <v>04-08-2020</v>
      </c>
      <c r="X2890" t="str">
        <f t="shared" si="1197"/>
        <v>RAZIMAH ANSAR AHMAD</v>
      </c>
      <c r="Y2890" t="str">
        <f t="shared" si="1198"/>
        <v>04-08-2020</v>
      </c>
      <c r="Z2890" t="str">
        <f>"COS10200804 6264"</f>
        <v>COS10200804 6264</v>
      </c>
    </row>
    <row r="2891" spans="1:26" x14ac:dyDescent="0.25">
      <c r="A2891" t="str">
        <f t="shared" si="1182"/>
        <v>04-08-2020 01:00:00</v>
      </c>
      <c r="B2891" t="str">
        <f>"0000808056"</f>
        <v>0000808056</v>
      </c>
      <c r="C2891" t="str">
        <f t="shared" si="1183"/>
        <v>0000807993</v>
      </c>
      <c r="D2891" t="str">
        <f t="shared" si="1184"/>
        <v>73185</v>
      </c>
      <c r="E2891" t="str">
        <f t="shared" si="1185"/>
        <v>KFH-OPERATIONS DEPARTMENT</v>
      </c>
      <c r="F2891" t="str">
        <f t="shared" si="1186"/>
        <v>IBG</v>
      </c>
      <c r="G2891" t="str">
        <f t="shared" si="1174"/>
        <v>Refund COSHARE 10</v>
      </c>
      <c r="H2891" s="2">
        <v>83.95</v>
      </c>
      <c r="I2891" t="str">
        <f>"NOORHAIZAN BINTI MAT"</f>
        <v>NOORHAIZAN BINTI MAT</v>
      </c>
      <c r="J2891" t="str">
        <f t="shared" si="1175"/>
        <v>MAYBANK / MAYBANK ISLAMIC</v>
      </c>
      <c r="K2891" t="str">
        <f>"156141283012"</f>
        <v>156141283012</v>
      </c>
      <c r="L2891" t="str">
        <f t="shared" si="1187"/>
        <v>04-08-2020</v>
      </c>
      <c r="M2891" t="str">
        <f t="shared" si="1187"/>
        <v>04-08-2020</v>
      </c>
      <c r="N2891" t="str">
        <f t="shared" si="1188"/>
        <v>001105018356</v>
      </c>
      <c r="O2891" t="str">
        <f t="shared" si="1189"/>
        <v>MYR</v>
      </c>
      <c r="P2891" t="str">
        <f t="shared" si="1190"/>
        <v>NIL</v>
      </c>
      <c r="Q2891" t="str">
        <f t="shared" si="1190"/>
        <v>NIL</v>
      </c>
      <c r="R2891" t="str">
        <f t="shared" si="1191"/>
        <v>Accepted</v>
      </c>
      <c r="S2891" t="str">
        <f t="shared" si="1192"/>
        <v>Approved</v>
      </c>
      <c r="T2891" t="str">
        <f t="shared" si="1193"/>
        <v>10.20.8.188</v>
      </c>
      <c r="U2891" t="str">
        <f t="shared" si="1194"/>
        <v>AZRAD UMAR BIN SHAARI</v>
      </c>
      <c r="V2891" t="str">
        <f t="shared" si="1195"/>
        <v>FARHANA BINTI MUSTAPA</v>
      </c>
      <c r="W2891" t="str">
        <f t="shared" si="1196"/>
        <v>04-08-2020</v>
      </c>
      <c r="X2891" t="str">
        <f t="shared" si="1197"/>
        <v>RAZIMAH ANSAR AHMAD</v>
      </c>
      <c r="Y2891" t="str">
        <f t="shared" si="1198"/>
        <v>04-08-2020</v>
      </c>
      <c r="Z2891" t="str">
        <f>"COS10200804 6263"</f>
        <v>COS10200804 6263</v>
      </c>
    </row>
    <row r="2892" spans="1:26" x14ac:dyDescent="0.25">
      <c r="A2892" t="str">
        <f t="shared" si="1182"/>
        <v>04-08-2020 01:00:00</v>
      </c>
      <c r="B2892" t="str">
        <f>"0000808055"</f>
        <v>0000808055</v>
      </c>
      <c r="C2892" t="str">
        <f t="shared" si="1183"/>
        <v>0000807993</v>
      </c>
      <c r="D2892" t="str">
        <f t="shared" si="1184"/>
        <v>73185</v>
      </c>
      <c r="E2892" t="str">
        <f t="shared" si="1185"/>
        <v>KFH-OPERATIONS DEPARTMENT</v>
      </c>
      <c r="F2892" t="str">
        <f t="shared" si="1186"/>
        <v>IBG</v>
      </c>
      <c r="G2892" t="str">
        <f t="shared" ref="G2892:G2955" si="1199">"Refund COSHARE 10"</f>
        <v>Refund COSHARE 10</v>
      </c>
      <c r="H2892" s="2">
        <v>755.55</v>
      </c>
      <c r="I2892" t="str">
        <f>"NOORHAFIZAH BINTI IBRAHIM"</f>
        <v>NOORHAFIZAH BINTI IBRAHIM</v>
      </c>
      <c r="J2892" t="str">
        <f t="shared" si="1175"/>
        <v>MAYBANK / MAYBANK ISLAMIC</v>
      </c>
      <c r="K2892" t="str">
        <f>"164016060774"</f>
        <v>164016060774</v>
      </c>
      <c r="L2892" t="str">
        <f t="shared" si="1187"/>
        <v>04-08-2020</v>
      </c>
      <c r="M2892" t="str">
        <f t="shared" si="1187"/>
        <v>04-08-2020</v>
      </c>
      <c r="N2892" t="str">
        <f t="shared" si="1188"/>
        <v>001105018356</v>
      </c>
      <c r="O2892" t="str">
        <f t="shared" si="1189"/>
        <v>MYR</v>
      </c>
      <c r="P2892" t="str">
        <f t="shared" si="1190"/>
        <v>NIL</v>
      </c>
      <c r="Q2892" t="str">
        <f t="shared" si="1190"/>
        <v>NIL</v>
      </c>
      <c r="R2892" t="str">
        <f t="shared" si="1191"/>
        <v>Accepted</v>
      </c>
      <c r="S2892" t="str">
        <f t="shared" si="1192"/>
        <v>Approved</v>
      </c>
      <c r="T2892" t="str">
        <f t="shared" si="1193"/>
        <v>10.20.8.188</v>
      </c>
      <c r="U2892" t="str">
        <f t="shared" si="1194"/>
        <v>AZRAD UMAR BIN SHAARI</v>
      </c>
      <c r="V2892" t="str">
        <f t="shared" si="1195"/>
        <v>FARHANA BINTI MUSTAPA</v>
      </c>
      <c r="W2892" t="str">
        <f t="shared" si="1196"/>
        <v>04-08-2020</v>
      </c>
      <c r="X2892" t="str">
        <f t="shared" si="1197"/>
        <v>RAZIMAH ANSAR AHMAD</v>
      </c>
      <c r="Y2892" t="str">
        <f t="shared" si="1198"/>
        <v>04-08-2020</v>
      </c>
      <c r="Z2892" t="str">
        <f>"COS10200804 6262"</f>
        <v>COS10200804 6262</v>
      </c>
    </row>
    <row r="2893" spans="1:26" x14ac:dyDescent="0.25">
      <c r="A2893" t="str">
        <f t="shared" si="1182"/>
        <v>04-08-2020 01:00:00</v>
      </c>
      <c r="B2893" t="str">
        <f>"0000808054"</f>
        <v>0000808054</v>
      </c>
      <c r="C2893" t="str">
        <f t="shared" si="1183"/>
        <v>0000807993</v>
      </c>
      <c r="D2893" t="str">
        <f t="shared" si="1184"/>
        <v>73185</v>
      </c>
      <c r="E2893" t="str">
        <f t="shared" si="1185"/>
        <v>KFH-OPERATIONS DEPARTMENT</v>
      </c>
      <c r="F2893" t="str">
        <f t="shared" si="1186"/>
        <v>IBG</v>
      </c>
      <c r="G2893" t="str">
        <f t="shared" si="1199"/>
        <v>Refund COSHARE 10</v>
      </c>
      <c r="H2893" s="2">
        <v>319</v>
      </c>
      <c r="I2893" t="str">
        <f>"NOORHAFIZAH BINTI ADENAN"</f>
        <v>NOORHAFIZAH BINTI ADENAN</v>
      </c>
      <c r="J2893" t="str">
        <f t="shared" si="1175"/>
        <v>MAYBANK / MAYBANK ISLAMIC</v>
      </c>
      <c r="K2893" t="str">
        <f>"163046260567"</f>
        <v>163046260567</v>
      </c>
      <c r="L2893" t="str">
        <f t="shared" si="1187"/>
        <v>04-08-2020</v>
      </c>
      <c r="M2893" t="str">
        <f t="shared" si="1187"/>
        <v>04-08-2020</v>
      </c>
      <c r="N2893" t="str">
        <f t="shared" si="1188"/>
        <v>001105018356</v>
      </c>
      <c r="O2893" t="str">
        <f t="shared" si="1189"/>
        <v>MYR</v>
      </c>
      <c r="P2893" t="str">
        <f t="shared" si="1190"/>
        <v>NIL</v>
      </c>
      <c r="Q2893" t="str">
        <f t="shared" si="1190"/>
        <v>NIL</v>
      </c>
      <c r="R2893" t="str">
        <f t="shared" si="1191"/>
        <v>Accepted</v>
      </c>
      <c r="S2893" t="str">
        <f t="shared" si="1192"/>
        <v>Approved</v>
      </c>
      <c r="T2893" t="str">
        <f t="shared" si="1193"/>
        <v>10.20.8.188</v>
      </c>
      <c r="U2893" t="str">
        <f t="shared" si="1194"/>
        <v>AZRAD UMAR BIN SHAARI</v>
      </c>
      <c r="V2893" t="str">
        <f t="shared" si="1195"/>
        <v>FARHANA BINTI MUSTAPA</v>
      </c>
      <c r="W2893" t="str">
        <f t="shared" si="1196"/>
        <v>04-08-2020</v>
      </c>
      <c r="X2893" t="str">
        <f t="shared" si="1197"/>
        <v>RAZIMAH ANSAR AHMAD</v>
      </c>
      <c r="Y2893" t="str">
        <f t="shared" si="1198"/>
        <v>04-08-2020</v>
      </c>
      <c r="Z2893" t="str">
        <f>"COS10200804 6261"</f>
        <v>COS10200804 6261</v>
      </c>
    </row>
    <row r="2894" spans="1:26" x14ac:dyDescent="0.25">
      <c r="A2894" t="str">
        <f t="shared" si="1182"/>
        <v>04-08-2020 01:00:00</v>
      </c>
      <c r="B2894" t="str">
        <f>"0000808053"</f>
        <v>0000808053</v>
      </c>
      <c r="C2894" t="str">
        <f t="shared" si="1183"/>
        <v>0000807993</v>
      </c>
      <c r="D2894" t="str">
        <f t="shared" si="1184"/>
        <v>73185</v>
      </c>
      <c r="E2894" t="str">
        <f t="shared" si="1185"/>
        <v>KFH-OPERATIONS DEPARTMENT</v>
      </c>
      <c r="F2894" t="str">
        <f t="shared" si="1186"/>
        <v>IBG</v>
      </c>
      <c r="G2894" t="str">
        <f t="shared" si="1199"/>
        <v>Refund COSHARE 10</v>
      </c>
      <c r="H2894" s="2">
        <v>78.849999999999994</v>
      </c>
      <c r="I2894" t="str">
        <f>"NOORFAIZAH BINTI NORDIN"</f>
        <v>NOORFAIZAH BINTI NORDIN</v>
      </c>
      <c r="J2894" t="str">
        <f t="shared" si="1175"/>
        <v>MAYBANK / MAYBANK ISLAMIC</v>
      </c>
      <c r="K2894" t="str">
        <f>"152170044890"</f>
        <v>152170044890</v>
      </c>
      <c r="L2894" t="str">
        <f t="shared" si="1187"/>
        <v>04-08-2020</v>
      </c>
      <c r="M2894" t="str">
        <f t="shared" si="1187"/>
        <v>04-08-2020</v>
      </c>
      <c r="N2894" t="str">
        <f t="shared" si="1188"/>
        <v>001105018356</v>
      </c>
      <c r="O2894" t="str">
        <f t="shared" si="1189"/>
        <v>MYR</v>
      </c>
      <c r="P2894" t="str">
        <f t="shared" si="1190"/>
        <v>NIL</v>
      </c>
      <c r="Q2894" t="str">
        <f t="shared" si="1190"/>
        <v>NIL</v>
      </c>
      <c r="R2894" t="str">
        <f t="shared" si="1191"/>
        <v>Accepted</v>
      </c>
      <c r="S2894" t="str">
        <f t="shared" si="1192"/>
        <v>Approved</v>
      </c>
      <c r="T2894" t="str">
        <f t="shared" si="1193"/>
        <v>10.20.8.188</v>
      </c>
      <c r="U2894" t="str">
        <f t="shared" si="1194"/>
        <v>AZRAD UMAR BIN SHAARI</v>
      </c>
      <c r="V2894" t="str">
        <f t="shared" si="1195"/>
        <v>FARHANA BINTI MUSTAPA</v>
      </c>
      <c r="W2894" t="str">
        <f t="shared" si="1196"/>
        <v>04-08-2020</v>
      </c>
      <c r="X2894" t="str">
        <f t="shared" si="1197"/>
        <v>RAZIMAH ANSAR AHMAD</v>
      </c>
      <c r="Y2894" t="str">
        <f t="shared" si="1198"/>
        <v>04-08-2020</v>
      </c>
      <c r="Z2894" t="str">
        <f>"COS10200804 6260"</f>
        <v>COS10200804 6260</v>
      </c>
    </row>
    <row r="2895" spans="1:26" x14ac:dyDescent="0.25">
      <c r="A2895" t="str">
        <f t="shared" si="1182"/>
        <v>04-08-2020 01:00:00</v>
      </c>
      <c r="B2895" t="str">
        <f>"0000808052"</f>
        <v>0000808052</v>
      </c>
      <c r="C2895" t="str">
        <f t="shared" si="1183"/>
        <v>0000807993</v>
      </c>
      <c r="D2895" t="str">
        <f t="shared" si="1184"/>
        <v>73185</v>
      </c>
      <c r="E2895" t="str">
        <f t="shared" si="1185"/>
        <v>KFH-OPERATIONS DEPARTMENT</v>
      </c>
      <c r="F2895" t="str">
        <f t="shared" si="1186"/>
        <v>IBG</v>
      </c>
      <c r="G2895" t="str">
        <f t="shared" si="1199"/>
        <v>Refund COSHARE 10</v>
      </c>
      <c r="H2895" s="2">
        <v>683</v>
      </c>
      <c r="I2895" t="str">
        <f>"NOORFAIZAH BINTI IBRAHIM"</f>
        <v>NOORFAIZAH BINTI IBRAHIM</v>
      </c>
      <c r="J2895" t="str">
        <f t="shared" si="1175"/>
        <v>MAYBANK / MAYBANK ISLAMIC</v>
      </c>
      <c r="K2895" t="str">
        <f>"158172969827"</f>
        <v>158172969827</v>
      </c>
      <c r="L2895" t="str">
        <f t="shared" si="1187"/>
        <v>04-08-2020</v>
      </c>
      <c r="M2895" t="str">
        <f t="shared" si="1187"/>
        <v>04-08-2020</v>
      </c>
      <c r="N2895" t="str">
        <f t="shared" si="1188"/>
        <v>001105018356</v>
      </c>
      <c r="O2895" t="str">
        <f t="shared" si="1189"/>
        <v>MYR</v>
      </c>
      <c r="P2895" t="str">
        <f t="shared" si="1190"/>
        <v>NIL</v>
      </c>
      <c r="Q2895" t="str">
        <f t="shared" si="1190"/>
        <v>NIL</v>
      </c>
      <c r="R2895" t="str">
        <f t="shared" si="1191"/>
        <v>Accepted</v>
      </c>
      <c r="S2895" t="str">
        <f t="shared" si="1192"/>
        <v>Approved</v>
      </c>
      <c r="T2895" t="str">
        <f t="shared" si="1193"/>
        <v>10.20.8.188</v>
      </c>
      <c r="U2895" t="str">
        <f t="shared" si="1194"/>
        <v>AZRAD UMAR BIN SHAARI</v>
      </c>
      <c r="V2895" t="str">
        <f t="shared" si="1195"/>
        <v>FARHANA BINTI MUSTAPA</v>
      </c>
      <c r="W2895" t="str">
        <f t="shared" si="1196"/>
        <v>04-08-2020</v>
      </c>
      <c r="X2895" t="str">
        <f t="shared" si="1197"/>
        <v>RAZIMAH ANSAR AHMAD</v>
      </c>
      <c r="Y2895" t="str">
        <f t="shared" si="1198"/>
        <v>04-08-2020</v>
      </c>
      <c r="Z2895" t="str">
        <f>"COS10200804 6259"</f>
        <v>COS10200804 6259</v>
      </c>
    </row>
    <row r="2896" spans="1:26" x14ac:dyDescent="0.25">
      <c r="A2896" t="str">
        <f t="shared" si="1182"/>
        <v>04-08-2020 01:00:00</v>
      </c>
      <c r="B2896" t="str">
        <f>"0000808051"</f>
        <v>0000808051</v>
      </c>
      <c r="C2896" t="str">
        <f t="shared" si="1183"/>
        <v>0000807993</v>
      </c>
      <c r="D2896" t="str">
        <f t="shared" si="1184"/>
        <v>73185</v>
      </c>
      <c r="E2896" t="str">
        <f t="shared" si="1185"/>
        <v>KFH-OPERATIONS DEPARTMENT</v>
      </c>
      <c r="F2896" t="str">
        <f t="shared" si="1186"/>
        <v>IBG</v>
      </c>
      <c r="G2896" t="str">
        <f t="shared" si="1199"/>
        <v>Refund COSHARE 10</v>
      </c>
      <c r="H2896" s="2">
        <v>67</v>
      </c>
      <c r="I2896" t="str">
        <f>"NOORDINI BINTI IBRAHIM"</f>
        <v>NOORDINI BINTI IBRAHIM</v>
      </c>
      <c r="J2896" t="str">
        <f t="shared" si="1175"/>
        <v>MAYBANK / MAYBANK ISLAMIC</v>
      </c>
      <c r="K2896" t="str">
        <f>"106016758830"</f>
        <v>106016758830</v>
      </c>
      <c r="L2896" t="str">
        <f t="shared" si="1187"/>
        <v>04-08-2020</v>
      </c>
      <c r="M2896" t="str">
        <f t="shared" si="1187"/>
        <v>04-08-2020</v>
      </c>
      <c r="N2896" t="str">
        <f t="shared" si="1188"/>
        <v>001105018356</v>
      </c>
      <c r="O2896" t="str">
        <f t="shared" si="1189"/>
        <v>MYR</v>
      </c>
      <c r="P2896" t="str">
        <f t="shared" si="1190"/>
        <v>NIL</v>
      </c>
      <c r="Q2896" t="str">
        <f t="shared" si="1190"/>
        <v>NIL</v>
      </c>
      <c r="R2896" t="str">
        <f t="shared" si="1191"/>
        <v>Accepted</v>
      </c>
      <c r="S2896" t="str">
        <f t="shared" si="1192"/>
        <v>Approved</v>
      </c>
      <c r="T2896" t="str">
        <f t="shared" si="1193"/>
        <v>10.20.8.188</v>
      </c>
      <c r="U2896" t="str">
        <f t="shared" si="1194"/>
        <v>AZRAD UMAR BIN SHAARI</v>
      </c>
      <c r="V2896" t="str">
        <f t="shared" si="1195"/>
        <v>FARHANA BINTI MUSTAPA</v>
      </c>
      <c r="W2896" t="str">
        <f t="shared" si="1196"/>
        <v>04-08-2020</v>
      </c>
      <c r="X2896" t="str">
        <f t="shared" si="1197"/>
        <v>RAZIMAH ANSAR AHMAD</v>
      </c>
      <c r="Y2896" t="str">
        <f t="shared" si="1198"/>
        <v>04-08-2020</v>
      </c>
      <c r="Z2896" t="str">
        <f>"COS10200804 6258"</f>
        <v>COS10200804 6258</v>
      </c>
    </row>
    <row r="2897" spans="1:26" x14ac:dyDescent="0.25">
      <c r="A2897" t="str">
        <f t="shared" si="1182"/>
        <v>04-08-2020 01:00:00</v>
      </c>
      <c r="B2897" t="str">
        <f>"0000808050"</f>
        <v>0000808050</v>
      </c>
      <c r="C2897" t="str">
        <f t="shared" si="1183"/>
        <v>0000807993</v>
      </c>
      <c r="D2897" t="str">
        <f t="shared" si="1184"/>
        <v>73185</v>
      </c>
      <c r="E2897" t="str">
        <f t="shared" si="1185"/>
        <v>KFH-OPERATIONS DEPARTMENT</v>
      </c>
      <c r="F2897" t="str">
        <f t="shared" si="1186"/>
        <v>IBG</v>
      </c>
      <c r="G2897" t="str">
        <f t="shared" si="1199"/>
        <v>Refund COSHARE 10</v>
      </c>
      <c r="H2897" s="2">
        <v>1074.45</v>
      </c>
      <c r="I2897" t="str">
        <f>"NOORDIANA BINTI ADNAN"</f>
        <v>NOORDIANA BINTI ADNAN</v>
      </c>
      <c r="J2897" t="str">
        <f t="shared" ref="J2897:J2960" si="1200">"MAYBANK / MAYBANK ISLAMIC"</f>
        <v>MAYBANK / MAYBANK ISLAMIC</v>
      </c>
      <c r="K2897" t="str">
        <f>"162151652642"</f>
        <v>162151652642</v>
      </c>
      <c r="L2897" t="str">
        <f t="shared" si="1187"/>
        <v>04-08-2020</v>
      </c>
      <c r="M2897" t="str">
        <f t="shared" si="1187"/>
        <v>04-08-2020</v>
      </c>
      <c r="N2897" t="str">
        <f t="shared" si="1188"/>
        <v>001105018356</v>
      </c>
      <c r="O2897" t="str">
        <f t="shared" si="1189"/>
        <v>MYR</v>
      </c>
      <c r="P2897" t="str">
        <f t="shared" si="1190"/>
        <v>NIL</v>
      </c>
      <c r="Q2897" t="str">
        <f t="shared" si="1190"/>
        <v>NIL</v>
      </c>
      <c r="R2897" t="str">
        <f t="shared" si="1191"/>
        <v>Accepted</v>
      </c>
      <c r="S2897" t="str">
        <f t="shared" si="1192"/>
        <v>Approved</v>
      </c>
      <c r="T2897" t="str">
        <f t="shared" si="1193"/>
        <v>10.20.8.188</v>
      </c>
      <c r="U2897" t="str">
        <f t="shared" si="1194"/>
        <v>AZRAD UMAR BIN SHAARI</v>
      </c>
      <c r="V2897" t="str">
        <f t="shared" si="1195"/>
        <v>FARHANA BINTI MUSTAPA</v>
      </c>
      <c r="W2897" t="str">
        <f t="shared" si="1196"/>
        <v>04-08-2020</v>
      </c>
      <c r="X2897" t="str">
        <f t="shared" si="1197"/>
        <v>RAZIMAH ANSAR AHMAD</v>
      </c>
      <c r="Y2897" t="str">
        <f t="shared" si="1198"/>
        <v>04-08-2020</v>
      </c>
      <c r="Z2897" t="str">
        <f>"COS10200804 6257"</f>
        <v>COS10200804 6257</v>
      </c>
    </row>
    <row r="2898" spans="1:26" x14ac:dyDescent="0.25">
      <c r="A2898" t="str">
        <f t="shared" si="1182"/>
        <v>04-08-2020 01:00:00</v>
      </c>
      <c r="B2898" t="str">
        <f>"0000808049"</f>
        <v>0000808049</v>
      </c>
      <c r="C2898" t="str">
        <f t="shared" si="1183"/>
        <v>0000807993</v>
      </c>
      <c r="D2898" t="str">
        <f t="shared" si="1184"/>
        <v>73185</v>
      </c>
      <c r="E2898" t="str">
        <f t="shared" si="1185"/>
        <v>KFH-OPERATIONS DEPARTMENT</v>
      </c>
      <c r="F2898" t="str">
        <f t="shared" si="1186"/>
        <v>IBG</v>
      </c>
      <c r="G2898" t="str">
        <f t="shared" si="1199"/>
        <v>Refund COSHARE 10</v>
      </c>
      <c r="H2898" s="2">
        <v>474.1</v>
      </c>
      <c r="I2898" t="str">
        <f>"NOORDALILA BINTI MD DAHALAN"</f>
        <v>NOORDALILA BINTI MD DAHALAN</v>
      </c>
      <c r="J2898" t="str">
        <f t="shared" si="1200"/>
        <v>MAYBANK / MAYBANK ISLAMIC</v>
      </c>
      <c r="K2898" t="str">
        <f>"164017041525"</f>
        <v>164017041525</v>
      </c>
      <c r="L2898" t="str">
        <f t="shared" si="1187"/>
        <v>04-08-2020</v>
      </c>
      <c r="M2898" t="str">
        <f t="shared" si="1187"/>
        <v>04-08-2020</v>
      </c>
      <c r="N2898" t="str">
        <f t="shared" si="1188"/>
        <v>001105018356</v>
      </c>
      <c r="O2898" t="str">
        <f t="shared" si="1189"/>
        <v>MYR</v>
      </c>
      <c r="P2898" t="str">
        <f t="shared" si="1190"/>
        <v>NIL</v>
      </c>
      <c r="Q2898" t="str">
        <f t="shared" si="1190"/>
        <v>NIL</v>
      </c>
      <c r="R2898" t="str">
        <f t="shared" si="1191"/>
        <v>Accepted</v>
      </c>
      <c r="S2898" t="str">
        <f t="shared" si="1192"/>
        <v>Approved</v>
      </c>
      <c r="T2898" t="str">
        <f t="shared" si="1193"/>
        <v>10.20.8.188</v>
      </c>
      <c r="U2898" t="str">
        <f t="shared" si="1194"/>
        <v>AZRAD UMAR BIN SHAARI</v>
      </c>
      <c r="V2898" t="str">
        <f t="shared" si="1195"/>
        <v>FARHANA BINTI MUSTAPA</v>
      </c>
      <c r="W2898" t="str">
        <f t="shared" si="1196"/>
        <v>04-08-2020</v>
      </c>
      <c r="X2898" t="str">
        <f t="shared" si="1197"/>
        <v>RAZIMAH ANSAR AHMAD</v>
      </c>
      <c r="Y2898" t="str">
        <f t="shared" si="1198"/>
        <v>04-08-2020</v>
      </c>
      <c r="Z2898" t="str">
        <f>"COS10200804 6256"</f>
        <v>COS10200804 6256</v>
      </c>
    </row>
    <row r="2899" spans="1:26" x14ac:dyDescent="0.25">
      <c r="A2899" t="str">
        <f t="shared" si="1182"/>
        <v>04-08-2020 01:00:00</v>
      </c>
      <c r="B2899" t="str">
        <f>"0000808048"</f>
        <v>0000808048</v>
      </c>
      <c r="C2899" t="str">
        <f t="shared" si="1183"/>
        <v>0000807993</v>
      </c>
      <c r="D2899" t="str">
        <f t="shared" si="1184"/>
        <v>73185</v>
      </c>
      <c r="E2899" t="str">
        <f t="shared" si="1185"/>
        <v>KFH-OPERATIONS DEPARTMENT</v>
      </c>
      <c r="F2899" t="str">
        <f t="shared" si="1186"/>
        <v>IBG</v>
      </c>
      <c r="G2899" t="str">
        <f t="shared" si="1199"/>
        <v>Refund COSHARE 10</v>
      </c>
      <c r="H2899" s="2">
        <v>125.95</v>
      </c>
      <c r="I2899" t="str">
        <f>"NOORBAITY BINTI NORDIN"</f>
        <v>NOORBAITY BINTI NORDIN</v>
      </c>
      <c r="J2899" t="str">
        <f t="shared" si="1200"/>
        <v>MAYBANK / MAYBANK ISLAMIC</v>
      </c>
      <c r="K2899" t="str">
        <f>"101048731605"</f>
        <v>101048731605</v>
      </c>
      <c r="L2899" t="str">
        <f t="shared" si="1187"/>
        <v>04-08-2020</v>
      </c>
      <c r="M2899" t="str">
        <f t="shared" si="1187"/>
        <v>04-08-2020</v>
      </c>
      <c r="N2899" t="str">
        <f t="shared" si="1188"/>
        <v>001105018356</v>
      </c>
      <c r="O2899" t="str">
        <f t="shared" si="1189"/>
        <v>MYR</v>
      </c>
      <c r="P2899" t="str">
        <f t="shared" si="1190"/>
        <v>NIL</v>
      </c>
      <c r="Q2899" t="str">
        <f t="shared" si="1190"/>
        <v>NIL</v>
      </c>
      <c r="R2899" t="str">
        <f t="shared" si="1191"/>
        <v>Accepted</v>
      </c>
      <c r="S2899" t="str">
        <f t="shared" si="1192"/>
        <v>Approved</v>
      </c>
      <c r="T2899" t="str">
        <f t="shared" si="1193"/>
        <v>10.20.8.188</v>
      </c>
      <c r="U2899" t="str">
        <f t="shared" si="1194"/>
        <v>AZRAD UMAR BIN SHAARI</v>
      </c>
      <c r="V2899" t="str">
        <f t="shared" si="1195"/>
        <v>FARHANA BINTI MUSTAPA</v>
      </c>
      <c r="W2899" t="str">
        <f t="shared" si="1196"/>
        <v>04-08-2020</v>
      </c>
      <c r="X2899" t="str">
        <f t="shared" si="1197"/>
        <v>RAZIMAH ANSAR AHMAD</v>
      </c>
      <c r="Y2899" t="str">
        <f t="shared" si="1198"/>
        <v>04-08-2020</v>
      </c>
      <c r="Z2899" t="str">
        <f>"COS10200804 6255"</f>
        <v>COS10200804 6255</v>
      </c>
    </row>
    <row r="2900" spans="1:26" x14ac:dyDescent="0.25">
      <c r="A2900" t="str">
        <f t="shared" si="1182"/>
        <v>04-08-2020 01:00:00</v>
      </c>
      <c r="B2900" t="str">
        <f>"0000808047"</f>
        <v>0000808047</v>
      </c>
      <c r="C2900" t="str">
        <f t="shared" si="1183"/>
        <v>0000807993</v>
      </c>
      <c r="D2900" t="str">
        <f t="shared" si="1184"/>
        <v>73185</v>
      </c>
      <c r="E2900" t="str">
        <f t="shared" si="1185"/>
        <v>KFH-OPERATIONS DEPARTMENT</v>
      </c>
      <c r="F2900" t="str">
        <f t="shared" si="1186"/>
        <v>IBG</v>
      </c>
      <c r="G2900" t="str">
        <f t="shared" si="1199"/>
        <v>Refund COSHARE 10</v>
      </c>
      <c r="H2900" s="2">
        <v>629.65</v>
      </c>
      <c r="I2900" t="str">
        <f>"NOORAZREENA BINTI MD YUSUP"</f>
        <v>NOORAZREENA BINTI MD YUSUP</v>
      </c>
      <c r="J2900" t="str">
        <f t="shared" si="1200"/>
        <v>MAYBANK / MAYBANK ISLAMIC</v>
      </c>
      <c r="K2900" t="str">
        <f>"166010063205"</f>
        <v>166010063205</v>
      </c>
      <c r="L2900" t="str">
        <f t="shared" si="1187"/>
        <v>04-08-2020</v>
      </c>
      <c r="M2900" t="str">
        <f t="shared" si="1187"/>
        <v>04-08-2020</v>
      </c>
      <c r="N2900" t="str">
        <f t="shared" si="1188"/>
        <v>001105018356</v>
      </c>
      <c r="O2900" t="str">
        <f t="shared" si="1189"/>
        <v>MYR</v>
      </c>
      <c r="P2900" t="str">
        <f t="shared" si="1190"/>
        <v>NIL</v>
      </c>
      <c r="Q2900" t="str">
        <f t="shared" si="1190"/>
        <v>NIL</v>
      </c>
      <c r="R2900" t="str">
        <f t="shared" si="1191"/>
        <v>Accepted</v>
      </c>
      <c r="S2900" t="str">
        <f t="shared" si="1192"/>
        <v>Approved</v>
      </c>
      <c r="T2900" t="str">
        <f t="shared" si="1193"/>
        <v>10.20.8.188</v>
      </c>
      <c r="U2900" t="str">
        <f t="shared" si="1194"/>
        <v>AZRAD UMAR BIN SHAARI</v>
      </c>
      <c r="V2900" t="str">
        <f t="shared" si="1195"/>
        <v>FARHANA BINTI MUSTAPA</v>
      </c>
      <c r="W2900" t="str">
        <f t="shared" si="1196"/>
        <v>04-08-2020</v>
      </c>
      <c r="X2900" t="str">
        <f t="shared" si="1197"/>
        <v>RAZIMAH ANSAR AHMAD</v>
      </c>
      <c r="Y2900" t="str">
        <f t="shared" si="1198"/>
        <v>04-08-2020</v>
      </c>
      <c r="Z2900" t="str">
        <f>"COS10200804 6254"</f>
        <v>COS10200804 6254</v>
      </c>
    </row>
    <row r="2901" spans="1:26" x14ac:dyDescent="0.25">
      <c r="A2901" t="str">
        <f t="shared" si="1182"/>
        <v>04-08-2020 01:00:00</v>
      </c>
      <c r="B2901" t="str">
        <f>"0000808046"</f>
        <v>0000808046</v>
      </c>
      <c r="C2901" t="str">
        <f t="shared" si="1183"/>
        <v>0000807993</v>
      </c>
      <c r="D2901" t="str">
        <f t="shared" si="1184"/>
        <v>73185</v>
      </c>
      <c r="E2901" t="str">
        <f t="shared" si="1185"/>
        <v>KFH-OPERATIONS DEPARTMENT</v>
      </c>
      <c r="F2901" t="str">
        <f t="shared" si="1186"/>
        <v>IBG</v>
      </c>
      <c r="G2901" t="str">
        <f t="shared" si="1199"/>
        <v>Refund COSHARE 10</v>
      </c>
      <c r="H2901" s="2">
        <v>209.9</v>
      </c>
      <c r="I2901" t="str">
        <f>"NOORASHIKIN BINTI SAMSUDIN"</f>
        <v>NOORASHIKIN BINTI SAMSUDIN</v>
      </c>
      <c r="J2901" t="str">
        <f t="shared" si="1200"/>
        <v>MAYBANK / MAYBANK ISLAMIC</v>
      </c>
      <c r="K2901" t="str">
        <f>"108123037706"</f>
        <v>108123037706</v>
      </c>
      <c r="L2901" t="str">
        <f t="shared" si="1187"/>
        <v>04-08-2020</v>
      </c>
      <c r="M2901" t="str">
        <f t="shared" si="1187"/>
        <v>04-08-2020</v>
      </c>
      <c r="N2901" t="str">
        <f t="shared" si="1188"/>
        <v>001105018356</v>
      </c>
      <c r="O2901" t="str">
        <f t="shared" si="1189"/>
        <v>MYR</v>
      </c>
      <c r="P2901" t="str">
        <f t="shared" si="1190"/>
        <v>NIL</v>
      </c>
      <c r="Q2901" t="str">
        <f t="shared" si="1190"/>
        <v>NIL</v>
      </c>
      <c r="R2901" t="str">
        <f t="shared" si="1191"/>
        <v>Accepted</v>
      </c>
      <c r="S2901" t="str">
        <f t="shared" si="1192"/>
        <v>Approved</v>
      </c>
      <c r="T2901" t="str">
        <f t="shared" si="1193"/>
        <v>10.20.8.188</v>
      </c>
      <c r="U2901" t="str">
        <f t="shared" si="1194"/>
        <v>AZRAD UMAR BIN SHAARI</v>
      </c>
      <c r="V2901" t="str">
        <f t="shared" si="1195"/>
        <v>FARHANA BINTI MUSTAPA</v>
      </c>
      <c r="W2901" t="str">
        <f t="shared" si="1196"/>
        <v>04-08-2020</v>
      </c>
      <c r="X2901" t="str">
        <f t="shared" si="1197"/>
        <v>RAZIMAH ANSAR AHMAD</v>
      </c>
      <c r="Y2901" t="str">
        <f t="shared" si="1198"/>
        <v>04-08-2020</v>
      </c>
      <c r="Z2901" t="str">
        <f>"COS10200804 6253"</f>
        <v>COS10200804 6253</v>
      </c>
    </row>
    <row r="2902" spans="1:26" x14ac:dyDescent="0.25">
      <c r="A2902" t="str">
        <f t="shared" si="1182"/>
        <v>04-08-2020 01:00:00</v>
      </c>
      <c r="B2902" t="str">
        <f>"0000808045"</f>
        <v>0000808045</v>
      </c>
      <c r="C2902" t="str">
        <f t="shared" si="1183"/>
        <v>0000807993</v>
      </c>
      <c r="D2902" t="str">
        <f t="shared" si="1184"/>
        <v>73185</v>
      </c>
      <c r="E2902" t="str">
        <f t="shared" si="1185"/>
        <v>KFH-OPERATIONS DEPARTMENT</v>
      </c>
      <c r="F2902" t="str">
        <f t="shared" si="1186"/>
        <v>IBG</v>
      </c>
      <c r="G2902" t="str">
        <f t="shared" si="1199"/>
        <v>Refund COSHARE 10</v>
      </c>
      <c r="H2902" s="2">
        <v>25.2</v>
      </c>
      <c r="I2902" t="str">
        <f>"NOORAINI BINTI ZAMRI"</f>
        <v>NOORAINI BINTI ZAMRI</v>
      </c>
      <c r="J2902" t="str">
        <f t="shared" si="1200"/>
        <v>MAYBANK / MAYBANK ISLAMIC</v>
      </c>
      <c r="K2902" t="str">
        <f>"158015189348"</f>
        <v>158015189348</v>
      </c>
      <c r="L2902" t="str">
        <f t="shared" si="1187"/>
        <v>04-08-2020</v>
      </c>
      <c r="M2902" t="str">
        <f t="shared" si="1187"/>
        <v>04-08-2020</v>
      </c>
      <c r="N2902" t="str">
        <f t="shared" si="1188"/>
        <v>001105018356</v>
      </c>
      <c r="O2902" t="str">
        <f t="shared" si="1189"/>
        <v>MYR</v>
      </c>
      <c r="P2902" t="str">
        <f t="shared" si="1190"/>
        <v>NIL</v>
      </c>
      <c r="Q2902" t="str">
        <f t="shared" si="1190"/>
        <v>NIL</v>
      </c>
      <c r="R2902" t="str">
        <f t="shared" si="1191"/>
        <v>Accepted</v>
      </c>
      <c r="S2902" t="str">
        <f t="shared" si="1192"/>
        <v>Approved</v>
      </c>
      <c r="T2902" t="str">
        <f t="shared" si="1193"/>
        <v>10.20.8.188</v>
      </c>
      <c r="U2902" t="str">
        <f t="shared" si="1194"/>
        <v>AZRAD UMAR BIN SHAARI</v>
      </c>
      <c r="V2902" t="str">
        <f t="shared" si="1195"/>
        <v>FARHANA BINTI MUSTAPA</v>
      </c>
      <c r="W2902" t="str">
        <f t="shared" si="1196"/>
        <v>04-08-2020</v>
      </c>
      <c r="X2902" t="str">
        <f t="shared" si="1197"/>
        <v>RAZIMAH ANSAR AHMAD</v>
      </c>
      <c r="Y2902" t="str">
        <f t="shared" si="1198"/>
        <v>04-08-2020</v>
      </c>
      <c r="Z2902" t="str">
        <f>"COS10200804 6252"</f>
        <v>COS10200804 6252</v>
      </c>
    </row>
    <row r="2903" spans="1:26" x14ac:dyDescent="0.25">
      <c r="A2903" t="str">
        <f t="shared" si="1182"/>
        <v>04-08-2020 01:00:00</v>
      </c>
      <c r="B2903" t="str">
        <f>"0000808044"</f>
        <v>0000808044</v>
      </c>
      <c r="C2903" t="str">
        <f t="shared" si="1183"/>
        <v>0000807993</v>
      </c>
      <c r="D2903" t="str">
        <f t="shared" si="1184"/>
        <v>73185</v>
      </c>
      <c r="E2903" t="str">
        <f t="shared" si="1185"/>
        <v>KFH-OPERATIONS DEPARTMENT</v>
      </c>
      <c r="F2903" t="str">
        <f t="shared" si="1186"/>
        <v>IBG</v>
      </c>
      <c r="G2903" t="str">
        <f t="shared" si="1199"/>
        <v>Refund COSHARE 10</v>
      </c>
      <c r="H2903" s="2">
        <v>944</v>
      </c>
      <c r="I2903" t="str">
        <f>"NOORAINI BINTI JAMALUDDIN"</f>
        <v>NOORAINI BINTI JAMALUDDIN</v>
      </c>
      <c r="J2903" t="str">
        <f t="shared" si="1200"/>
        <v>MAYBANK / MAYBANK ISLAMIC</v>
      </c>
      <c r="K2903" t="str">
        <f>"156039006617"</f>
        <v>156039006617</v>
      </c>
      <c r="L2903" t="str">
        <f t="shared" si="1187"/>
        <v>04-08-2020</v>
      </c>
      <c r="M2903" t="str">
        <f t="shared" si="1187"/>
        <v>04-08-2020</v>
      </c>
      <c r="N2903" t="str">
        <f t="shared" si="1188"/>
        <v>001105018356</v>
      </c>
      <c r="O2903" t="str">
        <f t="shared" si="1189"/>
        <v>MYR</v>
      </c>
      <c r="P2903" t="str">
        <f t="shared" si="1190"/>
        <v>NIL</v>
      </c>
      <c r="Q2903" t="str">
        <f t="shared" si="1190"/>
        <v>NIL</v>
      </c>
      <c r="R2903" t="str">
        <f t="shared" si="1191"/>
        <v>Accepted</v>
      </c>
      <c r="S2903" t="str">
        <f t="shared" si="1192"/>
        <v>Approved</v>
      </c>
      <c r="T2903" t="str">
        <f t="shared" si="1193"/>
        <v>10.20.8.188</v>
      </c>
      <c r="U2903" t="str">
        <f t="shared" si="1194"/>
        <v>AZRAD UMAR BIN SHAARI</v>
      </c>
      <c r="V2903" t="str">
        <f t="shared" si="1195"/>
        <v>FARHANA BINTI MUSTAPA</v>
      </c>
      <c r="W2903" t="str">
        <f t="shared" si="1196"/>
        <v>04-08-2020</v>
      </c>
      <c r="X2903" t="str">
        <f t="shared" si="1197"/>
        <v>RAZIMAH ANSAR AHMAD</v>
      </c>
      <c r="Y2903" t="str">
        <f t="shared" si="1198"/>
        <v>04-08-2020</v>
      </c>
      <c r="Z2903" t="str">
        <f>"COS10200804 6251"</f>
        <v>COS10200804 6251</v>
      </c>
    </row>
    <row r="2904" spans="1:26" x14ac:dyDescent="0.25">
      <c r="A2904" t="str">
        <f t="shared" si="1182"/>
        <v>04-08-2020 01:00:00</v>
      </c>
      <c r="B2904" t="str">
        <f>"0000808043"</f>
        <v>0000808043</v>
      </c>
      <c r="C2904" t="str">
        <f t="shared" si="1183"/>
        <v>0000807993</v>
      </c>
      <c r="D2904" t="str">
        <f t="shared" si="1184"/>
        <v>73185</v>
      </c>
      <c r="E2904" t="str">
        <f t="shared" si="1185"/>
        <v>KFH-OPERATIONS DEPARTMENT</v>
      </c>
      <c r="F2904" t="str">
        <f t="shared" si="1186"/>
        <v>IBG</v>
      </c>
      <c r="G2904" t="str">
        <f t="shared" si="1199"/>
        <v>Refund COSHARE 10</v>
      </c>
      <c r="H2904" s="2">
        <v>209.9</v>
      </c>
      <c r="I2904" t="str">
        <f>"NOORAINI BINTI ARMANDO"</f>
        <v>NOORAINI BINTI ARMANDO</v>
      </c>
      <c r="J2904" t="str">
        <f t="shared" si="1200"/>
        <v>MAYBANK / MAYBANK ISLAMIC</v>
      </c>
      <c r="K2904" t="str">
        <f>"164221421537"</f>
        <v>164221421537</v>
      </c>
      <c r="L2904" t="str">
        <f t="shared" si="1187"/>
        <v>04-08-2020</v>
      </c>
      <c r="M2904" t="str">
        <f t="shared" si="1187"/>
        <v>04-08-2020</v>
      </c>
      <c r="N2904" t="str">
        <f t="shared" si="1188"/>
        <v>001105018356</v>
      </c>
      <c r="O2904" t="str">
        <f t="shared" si="1189"/>
        <v>MYR</v>
      </c>
      <c r="P2904" t="str">
        <f t="shared" si="1190"/>
        <v>NIL</v>
      </c>
      <c r="Q2904" t="str">
        <f t="shared" si="1190"/>
        <v>NIL</v>
      </c>
      <c r="R2904" t="str">
        <f t="shared" si="1191"/>
        <v>Accepted</v>
      </c>
      <c r="S2904" t="str">
        <f t="shared" si="1192"/>
        <v>Approved</v>
      </c>
      <c r="T2904" t="str">
        <f t="shared" si="1193"/>
        <v>10.20.8.188</v>
      </c>
      <c r="U2904" t="str">
        <f t="shared" si="1194"/>
        <v>AZRAD UMAR BIN SHAARI</v>
      </c>
      <c r="V2904" t="str">
        <f t="shared" si="1195"/>
        <v>FARHANA BINTI MUSTAPA</v>
      </c>
      <c r="W2904" t="str">
        <f t="shared" si="1196"/>
        <v>04-08-2020</v>
      </c>
      <c r="X2904" t="str">
        <f t="shared" si="1197"/>
        <v>RAZIMAH ANSAR AHMAD</v>
      </c>
      <c r="Y2904" t="str">
        <f t="shared" si="1198"/>
        <v>04-08-2020</v>
      </c>
      <c r="Z2904" t="str">
        <f>"COS10200804 6250"</f>
        <v>COS10200804 6250</v>
      </c>
    </row>
    <row r="2905" spans="1:26" x14ac:dyDescent="0.25">
      <c r="A2905" t="str">
        <f t="shared" si="1182"/>
        <v>04-08-2020 01:00:00</v>
      </c>
      <c r="B2905" t="str">
        <f>"0000808042"</f>
        <v>0000808042</v>
      </c>
      <c r="C2905" t="str">
        <f t="shared" si="1183"/>
        <v>0000807993</v>
      </c>
      <c r="D2905" t="str">
        <f t="shared" si="1184"/>
        <v>73185</v>
      </c>
      <c r="E2905" t="str">
        <f t="shared" si="1185"/>
        <v>KFH-OPERATIONS DEPARTMENT</v>
      </c>
      <c r="F2905" t="str">
        <f t="shared" si="1186"/>
        <v>IBG</v>
      </c>
      <c r="G2905" t="str">
        <f t="shared" si="1199"/>
        <v>Refund COSHARE 10</v>
      </c>
      <c r="H2905" s="2">
        <v>134.35</v>
      </c>
      <c r="I2905" t="str">
        <f>"NOORAINI BINTI AHMAD"</f>
        <v>NOORAINI BINTI AHMAD</v>
      </c>
      <c r="J2905" t="str">
        <f t="shared" si="1200"/>
        <v>MAYBANK / MAYBANK ISLAMIC</v>
      </c>
      <c r="K2905" t="str">
        <f>"153065231736"</f>
        <v>153065231736</v>
      </c>
      <c r="L2905" t="str">
        <f t="shared" si="1187"/>
        <v>04-08-2020</v>
      </c>
      <c r="M2905" t="str">
        <f t="shared" si="1187"/>
        <v>04-08-2020</v>
      </c>
      <c r="N2905" t="str">
        <f t="shared" si="1188"/>
        <v>001105018356</v>
      </c>
      <c r="O2905" t="str">
        <f t="shared" si="1189"/>
        <v>MYR</v>
      </c>
      <c r="P2905" t="str">
        <f t="shared" si="1190"/>
        <v>NIL</v>
      </c>
      <c r="Q2905" t="str">
        <f t="shared" si="1190"/>
        <v>NIL</v>
      </c>
      <c r="R2905" t="str">
        <f t="shared" si="1191"/>
        <v>Accepted</v>
      </c>
      <c r="S2905" t="str">
        <f t="shared" si="1192"/>
        <v>Approved</v>
      </c>
      <c r="T2905" t="str">
        <f t="shared" si="1193"/>
        <v>10.20.8.188</v>
      </c>
      <c r="U2905" t="str">
        <f t="shared" si="1194"/>
        <v>AZRAD UMAR BIN SHAARI</v>
      </c>
      <c r="V2905" t="str">
        <f t="shared" si="1195"/>
        <v>FARHANA BINTI MUSTAPA</v>
      </c>
      <c r="W2905" t="str">
        <f t="shared" si="1196"/>
        <v>04-08-2020</v>
      </c>
      <c r="X2905" t="str">
        <f t="shared" si="1197"/>
        <v>RAZIMAH ANSAR AHMAD</v>
      </c>
      <c r="Y2905" t="str">
        <f t="shared" si="1198"/>
        <v>04-08-2020</v>
      </c>
      <c r="Z2905" t="str">
        <f>"COS10200804 6249"</f>
        <v>COS10200804 6249</v>
      </c>
    </row>
    <row r="2906" spans="1:26" x14ac:dyDescent="0.25">
      <c r="A2906" t="str">
        <f t="shared" si="1182"/>
        <v>04-08-2020 01:00:00</v>
      </c>
      <c r="B2906" t="str">
        <f>"0000808041"</f>
        <v>0000808041</v>
      </c>
      <c r="C2906" t="str">
        <f t="shared" si="1183"/>
        <v>0000807993</v>
      </c>
      <c r="D2906" t="str">
        <f t="shared" si="1184"/>
        <v>73185</v>
      </c>
      <c r="E2906" t="str">
        <f t="shared" si="1185"/>
        <v>KFH-OPERATIONS DEPARTMENT</v>
      </c>
      <c r="F2906" t="str">
        <f t="shared" si="1186"/>
        <v>IBG</v>
      </c>
      <c r="G2906" t="str">
        <f t="shared" si="1199"/>
        <v>Refund COSHARE 10</v>
      </c>
      <c r="H2906" s="2">
        <v>1679</v>
      </c>
      <c r="I2906" t="str">
        <f>"NOORAIN BINTI BAJURI  MOK"</f>
        <v>NOORAIN BINTI BAJURI  MOK</v>
      </c>
      <c r="J2906" t="str">
        <f t="shared" si="1200"/>
        <v>MAYBANK / MAYBANK ISLAMIC</v>
      </c>
      <c r="K2906" t="str">
        <f>"160166085931"</f>
        <v>160166085931</v>
      </c>
      <c r="L2906" t="str">
        <f t="shared" si="1187"/>
        <v>04-08-2020</v>
      </c>
      <c r="M2906" t="str">
        <f t="shared" si="1187"/>
        <v>04-08-2020</v>
      </c>
      <c r="N2906" t="str">
        <f t="shared" si="1188"/>
        <v>001105018356</v>
      </c>
      <c r="O2906" t="str">
        <f t="shared" si="1189"/>
        <v>MYR</v>
      </c>
      <c r="P2906" t="str">
        <f t="shared" si="1190"/>
        <v>NIL</v>
      </c>
      <c r="Q2906" t="str">
        <f t="shared" si="1190"/>
        <v>NIL</v>
      </c>
      <c r="R2906" t="str">
        <f t="shared" si="1191"/>
        <v>Accepted</v>
      </c>
      <c r="S2906" t="str">
        <f t="shared" si="1192"/>
        <v>Approved</v>
      </c>
      <c r="T2906" t="str">
        <f t="shared" si="1193"/>
        <v>10.20.8.188</v>
      </c>
      <c r="U2906" t="str">
        <f t="shared" si="1194"/>
        <v>AZRAD UMAR BIN SHAARI</v>
      </c>
      <c r="V2906" t="str">
        <f t="shared" si="1195"/>
        <v>FARHANA BINTI MUSTAPA</v>
      </c>
      <c r="W2906" t="str">
        <f t="shared" si="1196"/>
        <v>04-08-2020</v>
      </c>
      <c r="X2906" t="str">
        <f t="shared" si="1197"/>
        <v>RAZIMAH ANSAR AHMAD</v>
      </c>
      <c r="Y2906" t="str">
        <f t="shared" si="1198"/>
        <v>04-08-2020</v>
      </c>
      <c r="Z2906" t="str">
        <f>"COS10200804 6248"</f>
        <v>COS10200804 6248</v>
      </c>
    </row>
    <row r="2907" spans="1:26" x14ac:dyDescent="0.25">
      <c r="A2907" t="str">
        <f t="shared" si="1182"/>
        <v>04-08-2020 01:00:00</v>
      </c>
      <c r="B2907" t="str">
        <f>"0000808040"</f>
        <v>0000808040</v>
      </c>
      <c r="C2907" t="str">
        <f t="shared" si="1183"/>
        <v>0000807993</v>
      </c>
      <c r="D2907" t="str">
        <f t="shared" si="1184"/>
        <v>73185</v>
      </c>
      <c r="E2907" t="str">
        <f t="shared" si="1185"/>
        <v>KFH-OPERATIONS DEPARTMENT</v>
      </c>
      <c r="F2907" t="str">
        <f t="shared" si="1186"/>
        <v>IBG</v>
      </c>
      <c r="G2907" t="str">
        <f t="shared" si="1199"/>
        <v>Refund COSHARE 10</v>
      </c>
      <c r="H2907" s="2">
        <v>342</v>
      </c>
      <c r="I2907" t="str">
        <f>"NOORAHMAN BIN ABU BAKAR"</f>
        <v>NOORAHMAN BIN ABU BAKAR</v>
      </c>
      <c r="J2907" t="str">
        <f t="shared" si="1200"/>
        <v>MAYBANK / MAYBANK ISLAMIC</v>
      </c>
      <c r="K2907" t="str">
        <f>"111057022253"</f>
        <v>111057022253</v>
      </c>
      <c r="L2907" t="str">
        <f t="shared" ref="L2907:M2926" si="1201">"04-08-2020"</f>
        <v>04-08-2020</v>
      </c>
      <c r="M2907" t="str">
        <f t="shared" si="1201"/>
        <v>04-08-2020</v>
      </c>
      <c r="N2907" t="str">
        <f t="shared" si="1188"/>
        <v>001105018356</v>
      </c>
      <c r="O2907" t="str">
        <f t="shared" si="1189"/>
        <v>MYR</v>
      </c>
      <c r="P2907" t="str">
        <f t="shared" ref="P2907:Q2926" si="1202">"NIL"</f>
        <v>NIL</v>
      </c>
      <c r="Q2907" t="str">
        <f t="shared" si="1202"/>
        <v>NIL</v>
      </c>
      <c r="R2907" t="str">
        <f t="shared" si="1191"/>
        <v>Accepted</v>
      </c>
      <c r="S2907" t="str">
        <f t="shared" si="1192"/>
        <v>Approved</v>
      </c>
      <c r="T2907" t="str">
        <f t="shared" si="1193"/>
        <v>10.20.8.188</v>
      </c>
      <c r="U2907" t="str">
        <f t="shared" si="1194"/>
        <v>AZRAD UMAR BIN SHAARI</v>
      </c>
      <c r="V2907" t="str">
        <f t="shared" si="1195"/>
        <v>FARHANA BINTI MUSTAPA</v>
      </c>
      <c r="W2907" t="str">
        <f t="shared" si="1196"/>
        <v>04-08-2020</v>
      </c>
      <c r="X2907" t="str">
        <f t="shared" si="1197"/>
        <v>RAZIMAH ANSAR AHMAD</v>
      </c>
      <c r="Y2907" t="str">
        <f t="shared" si="1198"/>
        <v>04-08-2020</v>
      </c>
      <c r="Z2907" t="str">
        <f>"COS10200804 6247"</f>
        <v>COS10200804 6247</v>
      </c>
    </row>
    <row r="2908" spans="1:26" x14ac:dyDescent="0.25">
      <c r="A2908" t="str">
        <f t="shared" si="1182"/>
        <v>04-08-2020 01:00:00</v>
      </c>
      <c r="B2908" t="str">
        <f>"0000808039"</f>
        <v>0000808039</v>
      </c>
      <c r="C2908" t="str">
        <f t="shared" si="1183"/>
        <v>0000807993</v>
      </c>
      <c r="D2908" t="str">
        <f t="shared" si="1184"/>
        <v>73185</v>
      </c>
      <c r="E2908" t="str">
        <f t="shared" si="1185"/>
        <v>KFH-OPERATIONS DEPARTMENT</v>
      </c>
      <c r="F2908" t="str">
        <f t="shared" si="1186"/>
        <v>IBG</v>
      </c>
      <c r="G2908" t="str">
        <f t="shared" si="1199"/>
        <v>Refund COSHARE 10</v>
      </c>
      <c r="H2908" s="2">
        <v>722</v>
      </c>
      <c r="I2908" t="str">
        <f>"NOOR ZARITH BINTI MOHAMAD NAWAWI"</f>
        <v>NOOR ZARITH BINTI MOHAMAD NAWAWI</v>
      </c>
      <c r="J2908" t="str">
        <f t="shared" si="1200"/>
        <v>MAYBANK / MAYBANK ISLAMIC</v>
      </c>
      <c r="K2908" t="str">
        <f>"101197019997"</f>
        <v>101197019997</v>
      </c>
      <c r="L2908" t="str">
        <f t="shared" si="1201"/>
        <v>04-08-2020</v>
      </c>
      <c r="M2908" t="str">
        <f t="shared" si="1201"/>
        <v>04-08-2020</v>
      </c>
      <c r="N2908" t="str">
        <f t="shared" si="1188"/>
        <v>001105018356</v>
      </c>
      <c r="O2908" t="str">
        <f t="shared" si="1189"/>
        <v>MYR</v>
      </c>
      <c r="P2908" t="str">
        <f t="shared" si="1202"/>
        <v>NIL</v>
      </c>
      <c r="Q2908" t="str">
        <f t="shared" si="1202"/>
        <v>NIL</v>
      </c>
      <c r="R2908" t="str">
        <f t="shared" si="1191"/>
        <v>Accepted</v>
      </c>
      <c r="S2908" t="str">
        <f t="shared" si="1192"/>
        <v>Approved</v>
      </c>
      <c r="T2908" t="str">
        <f t="shared" si="1193"/>
        <v>10.20.8.188</v>
      </c>
      <c r="U2908" t="str">
        <f t="shared" si="1194"/>
        <v>AZRAD UMAR BIN SHAARI</v>
      </c>
      <c r="V2908" t="str">
        <f t="shared" si="1195"/>
        <v>FARHANA BINTI MUSTAPA</v>
      </c>
      <c r="W2908" t="str">
        <f t="shared" si="1196"/>
        <v>04-08-2020</v>
      </c>
      <c r="X2908" t="str">
        <f t="shared" si="1197"/>
        <v>RAZIMAH ANSAR AHMAD</v>
      </c>
      <c r="Y2908" t="str">
        <f t="shared" si="1198"/>
        <v>04-08-2020</v>
      </c>
      <c r="Z2908" t="str">
        <f>"COS10200804 6246"</f>
        <v>COS10200804 6246</v>
      </c>
    </row>
    <row r="2909" spans="1:26" x14ac:dyDescent="0.25">
      <c r="A2909" t="str">
        <f t="shared" si="1182"/>
        <v>04-08-2020 01:00:00</v>
      </c>
      <c r="B2909" t="str">
        <f>"0000808038"</f>
        <v>0000808038</v>
      </c>
      <c r="C2909" t="str">
        <f t="shared" si="1183"/>
        <v>0000807993</v>
      </c>
      <c r="D2909" t="str">
        <f t="shared" si="1184"/>
        <v>73185</v>
      </c>
      <c r="E2909" t="str">
        <f t="shared" si="1185"/>
        <v>KFH-OPERATIONS DEPARTMENT</v>
      </c>
      <c r="F2909" t="str">
        <f t="shared" si="1186"/>
        <v>IBG</v>
      </c>
      <c r="G2909" t="str">
        <f t="shared" si="1199"/>
        <v>Refund COSHARE 10</v>
      </c>
      <c r="H2909" s="2">
        <v>152</v>
      </c>
      <c r="I2909" t="str">
        <f>"NOOR ZAKIRAH BINTI ZARAWI"</f>
        <v>NOOR ZAKIRAH BINTI ZARAWI</v>
      </c>
      <c r="J2909" t="str">
        <f t="shared" si="1200"/>
        <v>MAYBANK / MAYBANK ISLAMIC</v>
      </c>
      <c r="K2909" t="str">
        <f>"152068811001"</f>
        <v>152068811001</v>
      </c>
      <c r="L2909" t="str">
        <f t="shared" si="1201"/>
        <v>04-08-2020</v>
      </c>
      <c r="M2909" t="str">
        <f t="shared" si="1201"/>
        <v>04-08-2020</v>
      </c>
      <c r="N2909" t="str">
        <f t="shared" si="1188"/>
        <v>001105018356</v>
      </c>
      <c r="O2909" t="str">
        <f t="shared" si="1189"/>
        <v>MYR</v>
      </c>
      <c r="P2909" t="str">
        <f t="shared" si="1202"/>
        <v>NIL</v>
      </c>
      <c r="Q2909" t="str">
        <f t="shared" si="1202"/>
        <v>NIL</v>
      </c>
      <c r="R2909" t="str">
        <f t="shared" si="1191"/>
        <v>Accepted</v>
      </c>
      <c r="S2909" t="str">
        <f t="shared" si="1192"/>
        <v>Approved</v>
      </c>
      <c r="T2909" t="str">
        <f t="shared" si="1193"/>
        <v>10.20.8.188</v>
      </c>
      <c r="U2909" t="str">
        <f t="shared" si="1194"/>
        <v>AZRAD UMAR BIN SHAARI</v>
      </c>
      <c r="V2909" t="str">
        <f t="shared" si="1195"/>
        <v>FARHANA BINTI MUSTAPA</v>
      </c>
      <c r="W2909" t="str">
        <f t="shared" si="1196"/>
        <v>04-08-2020</v>
      </c>
      <c r="X2909" t="str">
        <f t="shared" si="1197"/>
        <v>RAZIMAH ANSAR AHMAD</v>
      </c>
      <c r="Y2909" t="str">
        <f t="shared" si="1198"/>
        <v>04-08-2020</v>
      </c>
      <c r="Z2909" t="str">
        <f>"COS10200804 6245"</f>
        <v>COS10200804 6245</v>
      </c>
    </row>
    <row r="2910" spans="1:26" x14ac:dyDescent="0.25">
      <c r="A2910" t="str">
        <f t="shared" si="1182"/>
        <v>04-08-2020 01:00:00</v>
      </c>
      <c r="B2910" t="str">
        <f>"0000808037"</f>
        <v>0000808037</v>
      </c>
      <c r="C2910" t="str">
        <f t="shared" si="1183"/>
        <v>0000807993</v>
      </c>
      <c r="D2910" t="str">
        <f t="shared" si="1184"/>
        <v>73185</v>
      </c>
      <c r="E2910" t="str">
        <f t="shared" si="1185"/>
        <v>KFH-OPERATIONS DEPARTMENT</v>
      </c>
      <c r="F2910" t="str">
        <f t="shared" si="1186"/>
        <v>IBG</v>
      </c>
      <c r="G2910" t="str">
        <f t="shared" si="1199"/>
        <v>Refund COSHARE 10</v>
      </c>
      <c r="H2910" s="2">
        <v>114</v>
      </c>
      <c r="I2910" t="str">
        <f>"NOOR ZAIREE BIN ISMAIL"</f>
        <v>NOOR ZAIREE BIN ISMAIL</v>
      </c>
      <c r="J2910" t="str">
        <f t="shared" si="1200"/>
        <v>MAYBANK / MAYBANK ISLAMIC</v>
      </c>
      <c r="K2910" t="str">
        <f>"159012833165"</f>
        <v>159012833165</v>
      </c>
      <c r="L2910" t="str">
        <f t="shared" si="1201"/>
        <v>04-08-2020</v>
      </c>
      <c r="M2910" t="str">
        <f t="shared" si="1201"/>
        <v>04-08-2020</v>
      </c>
      <c r="N2910" t="str">
        <f t="shared" si="1188"/>
        <v>001105018356</v>
      </c>
      <c r="O2910" t="str">
        <f t="shared" si="1189"/>
        <v>MYR</v>
      </c>
      <c r="P2910" t="str">
        <f t="shared" si="1202"/>
        <v>NIL</v>
      </c>
      <c r="Q2910" t="str">
        <f t="shared" si="1202"/>
        <v>NIL</v>
      </c>
      <c r="R2910" t="str">
        <f t="shared" si="1191"/>
        <v>Accepted</v>
      </c>
      <c r="S2910" t="str">
        <f t="shared" si="1192"/>
        <v>Approved</v>
      </c>
      <c r="T2910" t="str">
        <f t="shared" si="1193"/>
        <v>10.20.8.188</v>
      </c>
      <c r="U2910" t="str">
        <f t="shared" si="1194"/>
        <v>AZRAD UMAR BIN SHAARI</v>
      </c>
      <c r="V2910" t="str">
        <f t="shared" si="1195"/>
        <v>FARHANA BINTI MUSTAPA</v>
      </c>
      <c r="W2910" t="str">
        <f t="shared" si="1196"/>
        <v>04-08-2020</v>
      </c>
      <c r="X2910" t="str">
        <f t="shared" si="1197"/>
        <v>RAZIMAH ANSAR AHMAD</v>
      </c>
      <c r="Y2910" t="str">
        <f t="shared" si="1198"/>
        <v>04-08-2020</v>
      </c>
      <c r="Z2910" t="str">
        <f>"COS10200804 6244"</f>
        <v>COS10200804 6244</v>
      </c>
    </row>
    <row r="2911" spans="1:26" x14ac:dyDescent="0.25">
      <c r="A2911" t="str">
        <f t="shared" si="1182"/>
        <v>04-08-2020 01:00:00</v>
      </c>
      <c r="B2911" t="str">
        <f>"0000808036"</f>
        <v>0000808036</v>
      </c>
      <c r="C2911" t="str">
        <f t="shared" si="1183"/>
        <v>0000807993</v>
      </c>
      <c r="D2911" t="str">
        <f t="shared" si="1184"/>
        <v>73185</v>
      </c>
      <c r="E2911" t="str">
        <f t="shared" si="1185"/>
        <v>KFH-OPERATIONS DEPARTMENT</v>
      </c>
      <c r="F2911" t="str">
        <f t="shared" si="1186"/>
        <v>IBG</v>
      </c>
      <c r="G2911" t="str">
        <f t="shared" si="1199"/>
        <v>Refund COSHARE 10</v>
      </c>
      <c r="H2911" s="2">
        <v>698</v>
      </c>
      <c r="I2911" t="str">
        <f>"NOOR ZAIMAH BINTI IDRIS"</f>
        <v>NOOR ZAIMAH BINTI IDRIS</v>
      </c>
      <c r="J2911" t="str">
        <f t="shared" si="1200"/>
        <v>MAYBANK / MAYBANK ISLAMIC</v>
      </c>
      <c r="K2911" t="str">
        <f>"112317097492"</f>
        <v>112317097492</v>
      </c>
      <c r="L2911" t="str">
        <f t="shared" si="1201"/>
        <v>04-08-2020</v>
      </c>
      <c r="M2911" t="str">
        <f t="shared" si="1201"/>
        <v>04-08-2020</v>
      </c>
      <c r="N2911" t="str">
        <f t="shared" si="1188"/>
        <v>001105018356</v>
      </c>
      <c r="O2911" t="str">
        <f t="shared" si="1189"/>
        <v>MYR</v>
      </c>
      <c r="P2911" t="str">
        <f t="shared" si="1202"/>
        <v>NIL</v>
      </c>
      <c r="Q2911" t="str">
        <f t="shared" si="1202"/>
        <v>NIL</v>
      </c>
      <c r="R2911" t="str">
        <f t="shared" si="1191"/>
        <v>Accepted</v>
      </c>
      <c r="S2911" t="str">
        <f t="shared" si="1192"/>
        <v>Approved</v>
      </c>
      <c r="T2911" t="str">
        <f t="shared" si="1193"/>
        <v>10.20.8.188</v>
      </c>
      <c r="U2911" t="str">
        <f t="shared" si="1194"/>
        <v>AZRAD UMAR BIN SHAARI</v>
      </c>
      <c r="V2911" t="str">
        <f t="shared" si="1195"/>
        <v>FARHANA BINTI MUSTAPA</v>
      </c>
      <c r="W2911" t="str">
        <f t="shared" si="1196"/>
        <v>04-08-2020</v>
      </c>
      <c r="X2911" t="str">
        <f t="shared" si="1197"/>
        <v>RAZIMAH ANSAR AHMAD</v>
      </c>
      <c r="Y2911" t="str">
        <f t="shared" si="1198"/>
        <v>04-08-2020</v>
      </c>
      <c r="Z2911" t="str">
        <f>"COS10200804 6243"</f>
        <v>COS10200804 6243</v>
      </c>
    </row>
    <row r="2912" spans="1:26" x14ac:dyDescent="0.25">
      <c r="A2912" t="str">
        <f t="shared" si="1182"/>
        <v>04-08-2020 01:00:00</v>
      </c>
      <c r="B2912" t="str">
        <f>"0000808035"</f>
        <v>0000808035</v>
      </c>
      <c r="C2912" t="str">
        <f t="shared" si="1183"/>
        <v>0000807993</v>
      </c>
      <c r="D2912" t="str">
        <f t="shared" si="1184"/>
        <v>73185</v>
      </c>
      <c r="E2912" t="str">
        <f t="shared" si="1185"/>
        <v>KFH-OPERATIONS DEPARTMENT</v>
      </c>
      <c r="F2912" t="str">
        <f t="shared" si="1186"/>
        <v>IBG</v>
      </c>
      <c r="G2912" t="str">
        <f t="shared" si="1199"/>
        <v>Refund COSHARE 10</v>
      </c>
      <c r="H2912" s="2">
        <v>262</v>
      </c>
      <c r="I2912" t="str">
        <f>"NOOR ZAIDAH BINTI ZAINAL"</f>
        <v>NOOR ZAIDAH BINTI ZAINAL</v>
      </c>
      <c r="J2912" t="str">
        <f t="shared" si="1200"/>
        <v>MAYBANK / MAYBANK ISLAMIC</v>
      </c>
      <c r="K2912" t="str">
        <f>"151539059354"</f>
        <v>151539059354</v>
      </c>
      <c r="L2912" t="str">
        <f t="shared" si="1201"/>
        <v>04-08-2020</v>
      </c>
      <c r="M2912" t="str">
        <f t="shared" si="1201"/>
        <v>04-08-2020</v>
      </c>
      <c r="N2912" t="str">
        <f t="shared" si="1188"/>
        <v>001105018356</v>
      </c>
      <c r="O2912" t="str">
        <f t="shared" si="1189"/>
        <v>MYR</v>
      </c>
      <c r="P2912" t="str">
        <f t="shared" si="1202"/>
        <v>NIL</v>
      </c>
      <c r="Q2912" t="str">
        <f t="shared" si="1202"/>
        <v>NIL</v>
      </c>
      <c r="R2912" t="str">
        <f t="shared" si="1191"/>
        <v>Accepted</v>
      </c>
      <c r="S2912" t="str">
        <f t="shared" si="1192"/>
        <v>Approved</v>
      </c>
      <c r="T2912" t="str">
        <f t="shared" si="1193"/>
        <v>10.20.8.188</v>
      </c>
      <c r="U2912" t="str">
        <f t="shared" si="1194"/>
        <v>AZRAD UMAR BIN SHAARI</v>
      </c>
      <c r="V2912" t="str">
        <f t="shared" si="1195"/>
        <v>FARHANA BINTI MUSTAPA</v>
      </c>
      <c r="W2912" t="str">
        <f t="shared" si="1196"/>
        <v>04-08-2020</v>
      </c>
      <c r="X2912" t="str">
        <f t="shared" si="1197"/>
        <v>RAZIMAH ANSAR AHMAD</v>
      </c>
      <c r="Y2912" t="str">
        <f t="shared" si="1198"/>
        <v>04-08-2020</v>
      </c>
      <c r="Z2912" t="str">
        <f>"COS10200804 6242"</f>
        <v>COS10200804 6242</v>
      </c>
    </row>
    <row r="2913" spans="1:26" x14ac:dyDescent="0.25">
      <c r="A2913" t="str">
        <f t="shared" si="1182"/>
        <v>04-08-2020 01:00:00</v>
      </c>
      <c r="B2913" t="str">
        <f>"0000808034"</f>
        <v>0000808034</v>
      </c>
      <c r="C2913" t="str">
        <f t="shared" si="1183"/>
        <v>0000807993</v>
      </c>
      <c r="D2913" t="str">
        <f t="shared" si="1184"/>
        <v>73185</v>
      </c>
      <c r="E2913" t="str">
        <f t="shared" si="1185"/>
        <v>KFH-OPERATIONS DEPARTMENT</v>
      </c>
      <c r="F2913" t="str">
        <f t="shared" si="1186"/>
        <v>IBG</v>
      </c>
      <c r="G2913" t="str">
        <f t="shared" si="1199"/>
        <v>Refund COSHARE 10</v>
      </c>
      <c r="H2913" s="2">
        <v>172.4</v>
      </c>
      <c r="I2913" t="str">
        <f>"NOOR SYAZLINN BINTI MAHIDZIR"</f>
        <v>NOOR SYAZLINN BINTI MAHIDZIR</v>
      </c>
      <c r="J2913" t="str">
        <f t="shared" si="1200"/>
        <v>MAYBANK / MAYBANK ISLAMIC</v>
      </c>
      <c r="K2913" t="str">
        <f>"112343065425"</f>
        <v>112343065425</v>
      </c>
      <c r="L2913" t="str">
        <f t="shared" si="1201"/>
        <v>04-08-2020</v>
      </c>
      <c r="M2913" t="str">
        <f t="shared" si="1201"/>
        <v>04-08-2020</v>
      </c>
      <c r="N2913" t="str">
        <f t="shared" si="1188"/>
        <v>001105018356</v>
      </c>
      <c r="O2913" t="str">
        <f t="shared" si="1189"/>
        <v>MYR</v>
      </c>
      <c r="P2913" t="str">
        <f t="shared" si="1202"/>
        <v>NIL</v>
      </c>
      <c r="Q2913" t="str">
        <f t="shared" si="1202"/>
        <v>NIL</v>
      </c>
      <c r="R2913" t="str">
        <f t="shared" si="1191"/>
        <v>Accepted</v>
      </c>
      <c r="S2913" t="str">
        <f t="shared" si="1192"/>
        <v>Approved</v>
      </c>
      <c r="T2913" t="str">
        <f t="shared" si="1193"/>
        <v>10.20.8.188</v>
      </c>
      <c r="U2913" t="str">
        <f t="shared" si="1194"/>
        <v>AZRAD UMAR BIN SHAARI</v>
      </c>
      <c r="V2913" t="str">
        <f t="shared" si="1195"/>
        <v>FARHANA BINTI MUSTAPA</v>
      </c>
      <c r="W2913" t="str">
        <f t="shared" si="1196"/>
        <v>04-08-2020</v>
      </c>
      <c r="X2913" t="str">
        <f t="shared" si="1197"/>
        <v>RAZIMAH ANSAR AHMAD</v>
      </c>
      <c r="Y2913" t="str">
        <f t="shared" si="1198"/>
        <v>04-08-2020</v>
      </c>
      <c r="Z2913" t="str">
        <f>"COS10200804 6241"</f>
        <v>COS10200804 6241</v>
      </c>
    </row>
    <row r="2914" spans="1:26" x14ac:dyDescent="0.25">
      <c r="A2914" t="str">
        <f t="shared" ref="A2914:A2945" si="1203">"04-08-2020 01:00:00"</f>
        <v>04-08-2020 01:00:00</v>
      </c>
      <c r="B2914" t="str">
        <f>"0000808033"</f>
        <v>0000808033</v>
      </c>
      <c r="C2914" t="str">
        <f t="shared" ref="C2914:C2945" si="1204">"0000807993"</f>
        <v>0000807993</v>
      </c>
      <c r="D2914" t="str">
        <f t="shared" si="1184"/>
        <v>73185</v>
      </c>
      <c r="E2914" t="str">
        <f t="shared" si="1185"/>
        <v>KFH-OPERATIONS DEPARTMENT</v>
      </c>
      <c r="F2914" t="str">
        <f t="shared" si="1186"/>
        <v>IBG</v>
      </c>
      <c r="G2914" t="str">
        <f t="shared" si="1199"/>
        <v>Refund COSHARE 10</v>
      </c>
      <c r="H2914" s="2">
        <v>42</v>
      </c>
      <c r="I2914" t="str">
        <f>"NOOR SYAHIDAH MUNIRAH BT MAT JANI"</f>
        <v>NOOR SYAHIDAH MUNIRAH BT MAT JANI</v>
      </c>
      <c r="J2914" t="str">
        <f t="shared" si="1200"/>
        <v>MAYBANK / MAYBANK ISLAMIC</v>
      </c>
      <c r="K2914" t="str">
        <f>"154044663691"</f>
        <v>154044663691</v>
      </c>
      <c r="L2914" t="str">
        <f t="shared" si="1201"/>
        <v>04-08-2020</v>
      </c>
      <c r="M2914" t="str">
        <f t="shared" si="1201"/>
        <v>04-08-2020</v>
      </c>
      <c r="N2914" t="str">
        <f t="shared" si="1188"/>
        <v>001105018356</v>
      </c>
      <c r="O2914" t="str">
        <f t="shared" si="1189"/>
        <v>MYR</v>
      </c>
      <c r="P2914" t="str">
        <f t="shared" si="1202"/>
        <v>NIL</v>
      </c>
      <c r="Q2914" t="str">
        <f t="shared" si="1202"/>
        <v>NIL</v>
      </c>
      <c r="R2914" t="str">
        <f t="shared" si="1191"/>
        <v>Accepted</v>
      </c>
      <c r="S2914" t="str">
        <f t="shared" si="1192"/>
        <v>Approved</v>
      </c>
      <c r="T2914" t="str">
        <f t="shared" si="1193"/>
        <v>10.20.8.188</v>
      </c>
      <c r="U2914" t="str">
        <f t="shared" si="1194"/>
        <v>AZRAD UMAR BIN SHAARI</v>
      </c>
      <c r="V2914" t="str">
        <f t="shared" si="1195"/>
        <v>FARHANA BINTI MUSTAPA</v>
      </c>
      <c r="W2914" t="str">
        <f t="shared" si="1196"/>
        <v>04-08-2020</v>
      </c>
      <c r="X2914" t="str">
        <f t="shared" si="1197"/>
        <v>RAZIMAH ANSAR AHMAD</v>
      </c>
      <c r="Y2914" t="str">
        <f t="shared" si="1198"/>
        <v>04-08-2020</v>
      </c>
      <c r="Z2914" t="str">
        <f>"COS10200804 6240"</f>
        <v>COS10200804 6240</v>
      </c>
    </row>
    <row r="2915" spans="1:26" x14ac:dyDescent="0.25">
      <c r="A2915" t="str">
        <f t="shared" si="1203"/>
        <v>04-08-2020 01:00:00</v>
      </c>
      <c r="B2915" t="str">
        <f>"0000808032"</f>
        <v>0000808032</v>
      </c>
      <c r="C2915" t="str">
        <f t="shared" si="1204"/>
        <v>0000807993</v>
      </c>
      <c r="D2915" t="str">
        <f t="shared" si="1184"/>
        <v>73185</v>
      </c>
      <c r="E2915" t="str">
        <f t="shared" si="1185"/>
        <v>KFH-OPERATIONS DEPARTMENT</v>
      </c>
      <c r="F2915" t="str">
        <f t="shared" si="1186"/>
        <v>IBG</v>
      </c>
      <c r="G2915" t="str">
        <f t="shared" si="1199"/>
        <v>Refund COSHARE 10</v>
      </c>
      <c r="H2915" s="2">
        <v>419.75</v>
      </c>
      <c r="I2915" t="str">
        <f>"NOOR SURAINI BINTI ISMAIL"</f>
        <v>NOOR SURAINI BINTI ISMAIL</v>
      </c>
      <c r="J2915" t="str">
        <f t="shared" si="1200"/>
        <v>MAYBANK / MAYBANK ISLAMIC</v>
      </c>
      <c r="K2915" t="str">
        <f>"153010435238"</f>
        <v>153010435238</v>
      </c>
      <c r="L2915" t="str">
        <f t="shared" si="1201"/>
        <v>04-08-2020</v>
      </c>
      <c r="M2915" t="str">
        <f t="shared" si="1201"/>
        <v>04-08-2020</v>
      </c>
      <c r="N2915" t="str">
        <f t="shared" si="1188"/>
        <v>001105018356</v>
      </c>
      <c r="O2915" t="str">
        <f t="shared" si="1189"/>
        <v>MYR</v>
      </c>
      <c r="P2915" t="str">
        <f t="shared" si="1202"/>
        <v>NIL</v>
      </c>
      <c r="Q2915" t="str">
        <f t="shared" si="1202"/>
        <v>NIL</v>
      </c>
      <c r="R2915" t="str">
        <f t="shared" si="1191"/>
        <v>Accepted</v>
      </c>
      <c r="S2915" t="str">
        <f t="shared" si="1192"/>
        <v>Approved</v>
      </c>
      <c r="T2915" t="str">
        <f t="shared" si="1193"/>
        <v>10.20.8.188</v>
      </c>
      <c r="U2915" t="str">
        <f t="shared" si="1194"/>
        <v>AZRAD UMAR BIN SHAARI</v>
      </c>
      <c r="V2915" t="str">
        <f t="shared" si="1195"/>
        <v>FARHANA BINTI MUSTAPA</v>
      </c>
      <c r="W2915" t="str">
        <f t="shared" si="1196"/>
        <v>04-08-2020</v>
      </c>
      <c r="X2915" t="str">
        <f t="shared" si="1197"/>
        <v>RAZIMAH ANSAR AHMAD</v>
      </c>
      <c r="Y2915" t="str">
        <f t="shared" si="1198"/>
        <v>04-08-2020</v>
      </c>
      <c r="Z2915" t="str">
        <f>"COS10200804 6239"</f>
        <v>COS10200804 6239</v>
      </c>
    </row>
    <row r="2916" spans="1:26" x14ac:dyDescent="0.25">
      <c r="A2916" t="str">
        <f t="shared" si="1203"/>
        <v>04-08-2020 01:00:00</v>
      </c>
      <c r="B2916" t="str">
        <f>"0000808031"</f>
        <v>0000808031</v>
      </c>
      <c r="C2916" t="str">
        <f t="shared" si="1204"/>
        <v>0000807993</v>
      </c>
      <c r="D2916" t="str">
        <f t="shared" si="1184"/>
        <v>73185</v>
      </c>
      <c r="E2916" t="str">
        <f t="shared" si="1185"/>
        <v>KFH-OPERATIONS DEPARTMENT</v>
      </c>
      <c r="F2916" t="str">
        <f t="shared" si="1186"/>
        <v>IBG</v>
      </c>
      <c r="G2916" t="str">
        <f t="shared" si="1199"/>
        <v>Refund COSHARE 10</v>
      </c>
      <c r="H2916" s="2">
        <v>392.95</v>
      </c>
      <c r="I2916" t="str">
        <f>"NOOR SAZALLI BIN MOHD ZAHARI"</f>
        <v>NOOR SAZALLI BIN MOHD ZAHARI</v>
      </c>
      <c r="J2916" t="str">
        <f t="shared" si="1200"/>
        <v>MAYBANK / MAYBANK ISLAMIC</v>
      </c>
      <c r="K2916" t="str">
        <f>"166010109466"</f>
        <v>166010109466</v>
      </c>
      <c r="L2916" t="str">
        <f t="shared" si="1201"/>
        <v>04-08-2020</v>
      </c>
      <c r="M2916" t="str">
        <f t="shared" si="1201"/>
        <v>04-08-2020</v>
      </c>
      <c r="N2916" t="str">
        <f t="shared" si="1188"/>
        <v>001105018356</v>
      </c>
      <c r="O2916" t="str">
        <f t="shared" si="1189"/>
        <v>MYR</v>
      </c>
      <c r="P2916" t="str">
        <f t="shared" si="1202"/>
        <v>NIL</v>
      </c>
      <c r="Q2916" t="str">
        <f t="shared" si="1202"/>
        <v>NIL</v>
      </c>
      <c r="R2916" t="str">
        <f t="shared" si="1191"/>
        <v>Accepted</v>
      </c>
      <c r="S2916" t="str">
        <f t="shared" si="1192"/>
        <v>Approved</v>
      </c>
      <c r="T2916" t="str">
        <f t="shared" si="1193"/>
        <v>10.20.8.188</v>
      </c>
      <c r="U2916" t="str">
        <f t="shared" si="1194"/>
        <v>AZRAD UMAR BIN SHAARI</v>
      </c>
      <c r="V2916" t="str">
        <f t="shared" si="1195"/>
        <v>FARHANA BINTI MUSTAPA</v>
      </c>
      <c r="W2916" t="str">
        <f t="shared" si="1196"/>
        <v>04-08-2020</v>
      </c>
      <c r="X2916" t="str">
        <f t="shared" si="1197"/>
        <v>RAZIMAH ANSAR AHMAD</v>
      </c>
      <c r="Y2916" t="str">
        <f t="shared" si="1198"/>
        <v>04-08-2020</v>
      </c>
      <c r="Z2916" t="str">
        <f>"COS10200804 6238"</f>
        <v>COS10200804 6238</v>
      </c>
    </row>
    <row r="2917" spans="1:26" x14ac:dyDescent="0.25">
      <c r="A2917" t="str">
        <f t="shared" si="1203"/>
        <v>04-08-2020 01:00:00</v>
      </c>
      <c r="B2917" t="str">
        <f>"0000808030"</f>
        <v>0000808030</v>
      </c>
      <c r="C2917" t="str">
        <f t="shared" si="1204"/>
        <v>0000807993</v>
      </c>
      <c r="D2917" t="str">
        <f t="shared" si="1184"/>
        <v>73185</v>
      </c>
      <c r="E2917" t="str">
        <f t="shared" si="1185"/>
        <v>KFH-OPERATIONS DEPARTMENT</v>
      </c>
      <c r="F2917" t="str">
        <f t="shared" si="1186"/>
        <v>IBG</v>
      </c>
      <c r="G2917" t="str">
        <f t="shared" si="1199"/>
        <v>Refund COSHARE 10</v>
      </c>
      <c r="H2917" s="2">
        <v>671.6</v>
      </c>
      <c r="I2917" t="str">
        <f>"NOOR RAISAM BINTI SAMAD"</f>
        <v>NOOR RAISAM BINTI SAMAD</v>
      </c>
      <c r="J2917" t="str">
        <f t="shared" si="1200"/>
        <v>MAYBANK / MAYBANK ISLAMIC</v>
      </c>
      <c r="K2917" t="str">
        <f>"163064057641"</f>
        <v>163064057641</v>
      </c>
      <c r="L2917" t="str">
        <f t="shared" si="1201"/>
        <v>04-08-2020</v>
      </c>
      <c r="M2917" t="str">
        <f t="shared" si="1201"/>
        <v>04-08-2020</v>
      </c>
      <c r="N2917" t="str">
        <f t="shared" si="1188"/>
        <v>001105018356</v>
      </c>
      <c r="O2917" t="str">
        <f t="shared" si="1189"/>
        <v>MYR</v>
      </c>
      <c r="P2917" t="str">
        <f t="shared" si="1202"/>
        <v>NIL</v>
      </c>
      <c r="Q2917" t="str">
        <f t="shared" si="1202"/>
        <v>NIL</v>
      </c>
      <c r="R2917" t="str">
        <f t="shared" si="1191"/>
        <v>Accepted</v>
      </c>
      <c r="S2917" t="str">
        <f t="shared" si="1192"/>
        <v>Approved</v>
      </c>
      <c r="T2917" t="str">
        <f t="shared" si="1193"/>
        <v>10.20.8.188</v>
      </c>
      <c r="U2917" t="str">
        <f t="shared" si="1194"/>
        <v>AZRAD UMAR BIN SHAARI</v>
      </c>
      <c r="V2917" t="str">
        <f t="shared" si="1195"/>
        <v>FARHANA BINTI MUSTAPA</v>
      </c>
      <c r="W2917" t="str">
        <f t="shared" si="1196"/>
        <v>04-08-2020</v>
      </c>
      <c r="X2917" t="str">
        <f t="shared" si="1197"/>
        <v>RAZIMAH ANSAR AHMAD</v>
      </c>
      <c r="Y2917" t="str">
        <f t="shared" si="1198"/>
        <v>04-08-2020</v>
      </c>
      <c r="Z2917" t="str">
        <f>"COS10200804 6237"</f>
        <v>COS10200804 6237</v>
      </c>
    </row>
    <row r="2918" spans="1:26" x14ac:dyDescent="0.25">
      <c r="A2918" t="str">
        <f t="shared" si="1203"/>
        <v>04-08-2020 01:00:00</v>
      </c>
      <c r="B2918" t="str">
        <f>"0000808029"</f>
        <v>0000808029</v>
      </c>
      <c r="C2918" t="str">
        <f t="shared" si="1204"/>
        <v>0000807993</v>
      </c>
      <c r="D2918" t="str">
        <f t="shared" si="1184"/>
        <v>73185</v>
      </c>
      <c r="E2918" t="str">
        <f t="shared" si="1185"/>
        <v>KFH-OPERATIONS DEPARTMENT</v>
      </c>
      <c r="F2918" t="str">
        <f t="shared" si="1186"/>
        <v>IBG</v>
      </c>
      <c r="G2918" t="str">
        <f t="shared" si="1199"/>
        <v>Refund COSHARE 10</v>
      </c>
      <c r="H2918" s="2">
        <v>394.6</v>
      </c>
      <c r="I2918" t="str">
        <f>"NOOR MUMTAZAH BINTI BAHROL"</f>
        <v>NOOR MUMTAZAH BINTI BAHROL</v>
      </c>
      <c r="J2918" t="str">
        <f t="shared" si="1200"/>
        <v>MAYBANK / MAYBANK ISLAMIC</v>
      </c>
      <c r="K2918" t="str">
        <f>"162478112199"</f>
        <v>162478112199</v>
      </c>
      <c r="L2918" t="str">
        <f t="shared" si="1201"/>
        <v>04-08-2020</v>
      </c>
      <c r="M2918" t="str">
        <f t="shared" si="1201"/>
        <v>04-08-2020</v>
      </c>
      <c r="N2918" t="str">
        <f t="shared" si="1188"/>
        <v>001105018356</v>
      </c>
      <c r="O2918" t="str">
        <f t="shared" si="1189"/>
        <v>MYR</v>
      </c>
      <c r="P2918" t="str">
        <f t="shared" si="1202"/>
        <v>NIL</v>
      </c>
      <c r="Q2918" t="str">
        <f t="shared" si="1202"/>
        <v>NIL</v>
      </c>
      <c r="R2918" t="str">
        <f t="shared" si="1191"/>
        <v>Accepted</v>
      </c>
      <c r="S2918" t="str">
        <f t="shared" si="1192"/>
        <v>Approved</v>
      </c>
      <c r="T2918" t="str">
        <f t="shared" si="1193"/>
        <v>10.20.8.188</v>
      </c>
      <c r="U2918" t="str">
        <f t="shared" si="1194"/>
        <v>AZRAD UMAR BIN SHAARI</v>
      </c>
      <c r="V2918" t="str">
        <f t="shared" si="1195"/>
        <v>FARHANA BINTI MUSTAPA</v>
      </c>
      <c r="W2918" t="str">
        <f t="shared" si="1196"/>
        <v>04-08-2020</v>
      </c>
      <c r="X2918" t="str">
        <f t="shared" si="1197"/>
        <v>RAZIMAH ANSAR AHMAD</v>
      </c>
      <c r="Y2918" t="str">
        <f t="shared" si="1198"/>
        <v>04-08-2020</v>
      </c>
      <c r="Z2918" t="str">
        <f>"COS10200804 6236"</f>
        <v>COS10200804 6236</v>
      </c>
    </row>
    <row r="2919" spans="1:26" x14ac:dyDescent="0.25">
      <c r="A2919" t="str">
        <f t="shared" si="1203"/>
        <v>04-08-2020 01:00:00</v>
      </c>
      <c r="B2919" t="str">
        <f>"0000808028"</f>
        <v>0000808028</v>
      </c>
      <c r="C2919" t="str">
        <f t="shared" si="1204"/>
        <v>0000807993</v>
      </c>
      <c r="D2919" t="str">
        <f t="shared" si="1184"/>
        <v>73185</v>
      </c>
      <c r="E2919" t="str">
        <f t="shared" si="1185"/>
        <v>KFH-OPERATIONS DEPARTMENT</v>
      </c>
      <c r="F2919" t="str">
        <f t="shared" si="1186"/>
        <v>IBG</v>
      </c>
      <c r="G2919" t="str">
        <f t="shared" si="1199"/>
        <v>Refund COSHARE 10</v>
      </c>
      <c r="H2919" s="2">
        <v>1301.25</v>
      </c>
      <c r="I2919" t="str">
        <f>"NOOR ILYANA BINTI MOHD NADZIR"</f>
        <v>NOOR ILYANA BINTI MOHD NADZIR</v>
      </c>
      <c r="J2919" t="str">
        <f t="shared" si="1200"/>
        <v>MAYBANK / MAYBANK ISLAMIC</v>
      </c>
      <c r="K2919" t="str">
        <f>"162272554274"</f>
        <v>162272554274</v>
      </c>
      <c r="L2919" t="str">
        <f t="shared" si="1201"/>
        <v>04-08-2020</v>
      </c>
      <c r="M2919" t="str">
        <f t="shared" si="1201"/>
        <v>04-08-2020</v>
      </c>
      <c r="N2919" t="str">
        <f t="shared" si="1188"/>
        <v>001105018356</v>
      </c>
      <c r="O2919" t="str">
        <f t="shared" si="1189"/>
        <v>MYR</v>
      </c>
      <c r="P2919" t="str">
        <f t="shared" si="1202"/>
        <v>NIL</v>
      </c>
      <c r="Q2919" t="str">
        <f t="shared" si="1202"/>
        <v>NIL</v>
      </c>
      <c r="R2919" t="str">
        <f t="shared" si="1191"/>
        <v>Accepted</v>
      </c>
      <c r="S2919" t="str">
        <f t="shared" si="1192"/>
        <v>Approved</v>
      </c>
      <c r="T2919" t="str">
        <f t="shared" si="1193"/>
        <v>10.20.8.188</v>
      </c>
      <c r="U2919" t="str">
        <f t="shared" si="1194"/>
        <v>AZRAD UMAR BIN SHAARI</v>
      </c>
      <c r="V2919" t="str">
        <f t="shared" si="1195"/>
        <v>FARHANA BINTI MUSTAPA</v>
      </c>
      <c r="W2919" t="str">
        <f t="shared" si="1196"/>
        <v>04-08-2020</v>
      </c>
      <c r="X2919" t="str">
        <f t="shared" si="1197"/>
        <v>RAZIMAH ANSAR AHMAD</v>
      </c>
      <c r="Y2919" t="str">
        <f t="shared" si="1198"/>
        <v>04-08-2020</v>
      </c>
      <c r="Z2919" t="str">
        <f>"COS10200804 6235"</f>
        <v>COS10200804 6235</v>
      </c>
    </row>
    <row r="2920" spans="1:26" x14ac:dyDescent="0.25">
      <c r="A2920" t="str">
        <f t="shared" si="1203"/>
        <v>04-08-2020 01:00:00</v>
      </c>
      <c r="B2920" t="str">
        <f>"0000808027"</f>
        <v>0000808027</v>
      </c>
      <c r="C2920" t="str">
        <f t="shared" si="1204"/>
        <v>0000807993</v>
      </c>
      <c r="D2920" t="str">
        <f t="shared" si="1184"/>
        <v>73185</v>
      </c>
      <c r="E2920" t="str">
        <f t="shared" si="1185"/>
        <v>KFH-OPERATIONS DEPARTMENT</v>
      </c>
      <c r="F2920" t="str">
        <f t="shared" si="1186"/>
        <v>IBG</v>
      </c>
      <c r="G2920" t="str">
        <f t="shared" si="1199"/>
        <v>Refund COSHARE 10</v>
      </c>
      <c r="H2920" s="2">
        <v>419.75</v>
      </c>
      <c r="I2920" t="str">
        <f>"NOOR ILHAM BINTI AHMAD"</f>
        <v>NOOR ILHAM BINTI AHMAD</v>
      </c>
      <c r="J2920" t="str">
        <f t="shared" si="1200"/>
        <v>MAYBANK / MAYBANK ISLAMIC</v>
      </c>
      <c r="K2920" t="str">
        <f>"153104108530"</f>
        <v>153104108530</v>
      </c>
      <c r="L2920" t="str">
        <f t="shared" si="1201"/>
        <v>04-08-2020</v>
      </c>
      <c r="M2920" t="str">
        <f t="shared" si="1201"/>
        <v>04-08-2020</v>
      </c>
      <c r="N2920" t="str">
        <f t="shared" si="1188"/>
        <v>001105018356</v>
      </c>
      <c r="O2920" t="str">
        <f t="shared" si="1189"/>
        <v>MYR</v>
      </c>
      <c r="P2920" t="str">
        <f t="shared" si="1202"/>
        <v>NIL</v>
      </c>
      <c r="Q2920" t="str">
        <f t="shared" si="1202"/>
        <v>NIL</v>
      </c>
      <c r="R2920" t="str">
        <f t="shared" si="1191"/>
        <v>Accepted</v>
      </c>
      <c r="S2920" t="str">
        <f t="shared" si="1192"/>
        <v>Approved</v>
      </c>
      <c r="T2920" t="str">
        <f t="shared" si="1193"/>
        <v>10.20.8.188</v>
      </c>
      <c r="U2920" t="str">
        <f t="shared" si="1194"/>
        <v>AZRAD UMAR BIN SHAARI</v>
      </c>
      <c r="V2920" t="str">
        <f t="shared" si="1195"/>
        <v>FARHANA BINTI MUSTAPA</v>
      </c>
      <c r="W2920" t="str">
        <f t="shared" si="1196"/>
        <v>04-08-2020</v>
      </c>
      <c r="X2920" t="str">
        <f t="shared" si="1197"/>
        <v>RAZIMAH ANSAR AHMAD</v>
      </c>
      <c r="Y2920" t="str">
        <f t="shared" si="1198"/>
        <v>04-08-2020</v>
      </c>
      <c r="Z2920" t="str">
        <f>"COS10200804 6234"</f>
        <v>COS10200804 6234</v>
      </c>
    </row>
    <row r="2921" spans="1:26" x14ac:dyDescent="0.25">
      <c r="A2921" t="str">
        <f t="shared" si="1203"/>
        <v>04-08-2020 01:00:00</v>
      </c>
      <c r="B2921" t="str">
        <f>"0000808026"</f>
        <v>0000808026</v>
      </c>
      <c r="C2921" t="str">
        <f t="shared" si="1204"/>
        <v>0000807993</v>
      </c>
      <c r="D2921" t="str">
        <f t="shared" si="1184"/>
        <v>73185</v>
      </c>
      <c r="E2921" t="str">
        <f t="shared" si="1185"/>
        <v>KFH-OPERATIONS DEPARTMENT</v>
      </c>
      <c r="F2921" t="str">
        <f t="shared" si="1186"/>
        <v>IBG</v>
      </c>
      <c r="G2921" t="str">
        <f t="shared" si="1199"/>
        <v>Refund COSHARE 10</v>
      </c>
      <c r="H2921" s="2">
        <v>528.9</v>
      </c>
      <c r="I2921" t="str">
        <f>"NOOR HUSNI BINTI OMAR"</f>
        <v>NOOR HUSNI BINTI OMAR</v>
      </c>
      <c r="J2921" t="str">
        <f t="shared" si="1200"/>
        <v>MAYBANK / MAYBANK ISLAMIC</v>
      </c>
      <c r="K2921" t="str">
        <f>"104085034727"</f>
        <v>104085034727</v>
      </c>
      <c r="L2921" t="str">
        <f t="shared" si="1201"/>
        <v>04-08-2020</v>
      </c>
      <c r="M2921" t="str">
        <f t="shared" si="1201"/>
        <v>04-08-2020</v>
      </c>
      <c r="N2921" t="str">
        <f t="shared" si="1188"/>
        <v>001105018356</v>
      </c>
      <c r="O2921" t="str">
        <f t="shared" si="1189"/>
        <v>MYR</v>
      </c>
      <c r="P2921" t="str">
        <f t="shared" si="1202"/>
        <v>NIL</v>
      </c>
      <c r="Q2921" t="str">
        <f t="shared" si="1202"/>
        <v>NIL</v>
      </c>
      <c r="R2921" t="str">
        <f t="shared" si="1191"/>
        <v>Accepted</v>
      </c>
      <c r="S2921" t="str">
        <f t="shared" si="1192"/>
        <v>Approved</v>
      </c>
      <c r="T2921" t="str">
        <f t="shared" si="1193"/>
        <v>10.20.8.188</v>
      </c>
      <c r="U2921" t="str">
        <f t="shared" si="1194"/>
        <v>AZRAD UMAR BIN SHAARI</v>
      </c>
      <c r="V2921" t="str">
        <f t="shared" si="1195"/>
        <v>FARHANA BINTI MUSTAPA</v>
      </c>
      <c r="W2921" t="str">
        <f t="shared" si="1196"/>
        <v>04-08-2020</v>
      </c>
      <c r="X2921" t="str">
        <f t="shared" si="1197"/>
        <v>RAZIMAH ANSAR AHMAD</v>
      </c>
      <c r="Y2921" t="str">
        <f t="shared" si="1198"/>
        <v>04-08-2020</v>
      </c>
      <c r="Z2921" t="str">
        <f>"COS10200804 6233"</f>
        <v>COS10200804 6233</v>
      </c>
    </row>
    <row r="2922" spans="1:26" x14ac:dyDescent="0.25">
      <c r="A2922" t="str">
        <f t="shared" si="1203"/>
        <v>04-08-2020 01:00:00</v>
      </c>
      <c r="B2922" t="str">
        <f>"0000808025"</f>
        <v>0000808025</v>
      </c>
      <c r="C2922" t="str">
        <f t="shared" si="1204"/>
        <v>0000807993</v>
      </c>
      <c r="D2922" t="str">
        <f t="shared" si="1184"/>
        <v>73185</v>
      </c>
      <c r="E2922" t="str">
        <f t="shared" si="1185"/>
        <v>KFH-OPERATIONS DEPARTMENT</v>
      </c>
      <c r="F2922" t="str">
        <f t="shared" si="1186"/>
        <v>IBG</v>
      </c>
      <c r="G2922" t="str">
        <f t="shared" si="1199"/>
        <v>Refund COSHARE 10</v>
      </c>
      <c r="H2922" s="2">
        <v>335.8</v>
      </c>
      <c r="I2922" t="str">
        <f>"NOOR HIDAYU BINTI HAMZAH"</f>
        <v>NOOR HIDAYU BINTI HAMZAH</v>
      </c>
      <c r="J2922" t="str">
        <f t="shared" si="1200"/>
        <v>MAYBANK / MAYBANK ISLAMIC</v>
      </c>
      <c r="K2922" t="str">
        <f>"158051483829"</f>
        <v>158051483829</v>
      </c>
      <c r="L2922" t="str">
        <f t="shared" si="1201"/>
        <v>04-08-2020</v>
      </c>
      <c r="M2922" t="str">
        <f t="shared" si="1201"/>
        <v>04-08-2020</v>
      </c>
      <c r="N2922" t="str">
        <f t="shared" si="1188"/>
        <v>001105018356</v>
      </c>
      <c r="O2922" t="str">
        <f t="shared" si="1189"/>
        <v>MYR</v>
      </c>
      <c r="P2922" t="str">
        <f t="shared" si="1202"/>
        <v>NIL</v>
      </c>
      <c r="Q2922" t="str">
        <f t="shared" si="1202"/>
        <v>NIL</v>
      </c>
      <c r="R2922" t="str">
        <f t="shared" si="1191"/>
        <v>Accepted</v>
      </c>
      <c r="S2922" t="str">
        <f t="shared" si="1192"/>
        <v>Approved</v>
      </c>
      <c r="T2922" t="str">
        <f t="shared" si="1193"/>
        <v>10.20.8.188</v>
      </c>
      <c r="U2922" t="str">
        <f t="shared" si="1194"/>
        <v>AZRAD UMAR BIN SHAARI</v>
      </c>
      <c r="V2922" t="str">
        <f t="shared" si="1195"/>
        <v>FARHANA BINTI MUSTAPA</v>
      </c>
      <c r="W2922" t="str">
        <f t="shared" si="1196"/>
        <v>04-08-2020</v>
      </c>
      <c r="X2922" t="str">
        <f t="shared" si="1197"/>
        <v>RAZIMAH ANSAR AHMAD</v>
      </c>
      <c r="Y2922" t="str">
        <f t="shared" si="1198"/>
        <v>04-08-2020</v>
      </c>
      <c r="Z2922" t="str">
        <f>"COS10200804 6232"</f>
        <v>COS10200804 6232</v>
      </c>
    </row>
    <row r="2923" spans="1:26" x14ac:dyDescent="0.25">
      <c r="A2923" t="str">
        <f t="shared" si="1203"/>
        <v>04-08-2020 01:00:00</v>
      </c>
      <c r="B2923" t="str">
        <f>"0000808024"</f>
        <v>0000808024</v>
      </c>
      <c r="C2923" t="str">
        <f t="shared" si="1204"/>
        <v>0000807993</v>
      </c>
      <c r="D2923" t="str">
        <f t="shared" si="1184"/>
        <v>73185</v>
      </c>
      <c r="E2923" t="str">
        <f t="shared" si="1185"/>
        <v>KFH-OPERATIONS DEPARTMENT</v>
      </c>
      <c r="F2923" t="str">
        <f t="shared" si="1186"/>
        <v>IBG</v>
      </c>
      <c r="G2923" t="str">
        <f t="shared" si="1199"/>
        <v>Refund COSHARE 10</v>
      </c>
      <c r="H2923" s="2">
        <v>176.85</v>
      </c>
      <c r="I2923" t="str">
        <f>"NOOR HAYATI BINTI ARIFFIN"</f>
        <v>NOOR HAYATI BINTI ARIFFIN</v>
      </c>
      <c r="J2923" t="str">
        <f t="shared" si="1200"/>
        <v>MAYBANK / MAYBANK ISLAMIC</v>
      </c>
      <c r="K2923" t="str">
        <f>"152050237806"</f>
        <v>152050237806</v>
      </c>
      <c r="L2923" t="str">
        <f t="shared" si="1201"/>
        <v>04-08-2020</v>
      </c>
      <c r="M2923" t="str">
        <f t="shared" si="1201"/>
        <v>04-08-2020</v>
      </c>
      <c r="N2923" t="str">
        <f t="shared" si="1188"/>
        <v>001105018356</v>
      </c>
      <c r="O2923" t="str">
        <f t="shared" si="1189"/>
        <v>MYR</v>
      </c>
      <c r="P2923" t="str">
        <f t="shared" si="1202"/>
        <v>NIL</v>
      </c>
      <c r="Q2923" t="str">
        <f t="shared" si="1202"/>
        <v>NIL</v>
      </c>
      <c r="R2923" t="str">
        <f t="shared" si="1191"/>
        <v>Accepted</v>
      </c>
      <c r="S2923" t="str">
        <f t="shared" si="1192"/>
        <v>Approved</v>
      </c>
      <c r="T2923" t="str">
        <f t="shared" si="1193"/>
        <v>10.20.8.188</v>
      </c>
      <c r="U2923" t="str">
        <f t="shared" si="1194"/>
        <v>AZRAD UMAR BIN SHAARI</v>
      </c>
      <c r="V2923" t="str">
        <f t="shared" si="1195"/>
        <v>FARHANA BINTI MUSTAPA</v>
      </c>
      <c r="W2923" t="str">
        <f t="shared" si="1196"/>
        <v>04-08-2020</v>
      </c>
      <c r="X2923" t="str">
        <f t="shared" si="1197"/>
        <v>RAZIMAH ANSAR AHMAD</v>
      </c>
      <c r="Y2923" t="str">
        <f t="shared" si="1198"/>
        <v>04-08-2020</v>
      </c>
      <c r="Z2923" t="str">
        <f>"COS10200804 6231"</f>
        <v>COS10200804 6231</v>
      </c>
    </row>
    <row r="2924" spans="1:26" x14ac:dyDescent="0.25">
      <c r="A2924" t="str">
        <f t="shared" si="1203"/>
        <v>04-08-2020 01:00:00</v>
      </c>
      <c r="B2924" t="str">
        <f>"0000808023"</f>
        <v>0000808023</v>
      </c>
      <c r="C2924" t="str">
        <f t="shared" si="1204"/>
        <v>0000807993</v>
      </c>
      <c r="D2924" t="str">
        <f t="shared" si="1184"/>
        <v>73185</v>
      </c>
      <c r="E2924" t="str">
        <f t="shared" si="1185"/>
        <v>KFH-OPERATIONS DEPARTMENT</v>
      </c>
      <c r="F2924" t="str">
        <f t="shared" si="1186"/>
        <v>IBG</v>
      </c>
      <c r="G2924" t="str">
        <f t="shared" si="1199"/>
        <v>Refund COSHARE 10</v>
      </c>
      <c r="H2924" s="2">
        <v>67.2</v>
      </c>
      <c r="I2924" t="str">
        <f>"NOOR HAWANI BINTI MD ZAIN"</f>
        <v>NOOR HAWANI BINTI MD ZAIN</v>
      </c>
      <c r="J2924" t="str">
        <f t="shared" si="1200"/>
        <v>MAYBANK / MAYBANK ISLAMIC</v>
      </c>
      <c r="K2924" t="str">
        <f>"102028074926"</f>
        <v>102028074926</v>
      </c>
      <c r="L2924" t="str">
        <f t="shared" si="1201"/>
        <v>04-08-2020</v>
      </c>
      <c r="M2924" t="str">
        <f t="shared" si="1201"/>
        <v>04-08-2020</v>
      </c>
      <c r="N2924" t="str">
        <f t="shared" si="1188"/>
        <v>001105018356</v>
      </c>
      <c r="O2924" t="str">
        <f t="shared" si="1189"/>
        <v>MYR</v>
      </c>
      <c r="P2924" t="str">
        <f t="shared" si="1202"/>
        <v>NIL</v>
      </c>
      <c r="Q2924" t="str">
        <f t="shared" si="1202"/>
        <v>NIL</v>
      </c>
      <c r="R2924" t="str">
        <f t="shared" si="1191"/>
        <v>Accepted</v>
      </c>
      <c r="S2924" t="str">
        <f t="shared" si="1192"/>
        <v>Approved</v>
      </c>
      <c r="T2924" t="str">
        <f t="shared" si="1193"/>
        <v>10.20.8.188</v>
      </c>
      <c r="U2924" t="str">
        <f t="shared" si="1194"/>
        <v>AZRAD UMAR BIN SHAARI</v>
      </c>
      <c r="V2924" t="str">
        <f t="shared" si="1195"/>
        <v>FARHANA BINTI MUSTAPA</v>
      </c>
      <c r="W2924" t="str">
        <f t="shared" si="1196"/>
        <v>04-08-2020</v>
      </c>
      <c r="X2924" t="str">
        <f t="shared" si="1197"/>
        <v>RAZIMAH ANSAR AHMAD</v>
      </c>
      <c r="Y2924" t="str">
        <f t="shared" si="1198"/>
        <v>04-08-2020</v>
      </c>
      <c r="Z2924" t="str">
        <f>"COS10200804 6230"</f>
        <v>COS10200804 6230</v>
      </c>
    </row>
    <row r="2925" spans="1:26" x14ac:dyDescent="0.25">
      <c r="A2925" t="str">
        <f t="shared" si="1203"/>
        <v>04-08-2020 01:00:00</v>
      </c>
      <c r="B2925" t="str">
        <f>"0000808022"</f>
        <v>0000808022</v>
      </c>
      <c r="C2925" t="str">
        <f t="shared" si="1204"/>
        <v>0000807993</v>
      </c>
      <c r="D2925" t="str">
        <f t="shared" si="1184"/>
        <v>73185</v>
      </c>
      <c r="E2925" t="str">
        <f t="shared" si="1185"/>
        <v>KFH-OPERATIONS DEPARTMENT</v>
      </c>
      <c r="F2925" t="str">
        <f t="shared" si="1186"/>
        <v>IBG</v>
      </c>
      <c r="G2925" t="str">
        <f t="shared" si="1199"/>
        <v>Refund COSHARE 10</v>
      </c>
      <c r="H2925" s="2">
        <v>167</v>
      </c>
      <c r="I2925" t="str">
        <f>"NOOR HASYIERAH BINTI MOHD SALLEH"</f>
        <v>NOOR HASYIERAH BINTI MOHD SALLEH</v>
      </c>
      <c r="J2925" t="str">
        <f t="shared" si="1200"/>
        <v>MAYBANK / MAYBANK ISLAMIC</v>
      </c>
      <c r="K2925" t="str">
        <f>"162405016310"</f>
        <v>162405016310</v>
      </c>
      <c r="L2925" t="str">
        <f t="shared" si="1201"/>
        <v>04-08-2020</v>
      </c>
      <c r="M2925" t="str">
        <f t="shared" si="1201"/>
        <v>04-08-2020</v>
      </c>
      <c r="N2925" t="str">
        <f t="shared" si="1188"/>
        <v>001105018356</v>
      </c>
      <c r="O2925" t="str">
        <f t="shared" si="1189"/>
        <v>MYR</v>
      </c>
      <c r="P2925" t="str">
        <f t="shared" si="1202"/>
        <v>NIL</v>
      </c>
      <c r="Q2925" t="str">
        <f t="shared" si="1202"/>
        <v>NIL</v>
      </c>
      <c r="R2925" t="str">
        <f t="shared" si="1191"/>
        <v>Accepted</v>
      </c>
      <c r="S2925" t="str">
        <f t="shared" si="1192"/>
        <v>Approved</v>
      </c>
      <c r="T2925" t="str">
        <f t="shared" si="1193"/>
        <v>10.20.8.188</v>
      </c>
      <c r="U2925" t="str">
        <f t="shared" si="1194"/>
        <v>AZRAD UMAR BIN SHAARI</v>
      </c>
      <c r="V2925" t="str">
        <f t="shared" si="1195"/>
        <v>FARHANA BINTI MUSTAPA</v>
      </c>
      <c r="W2925" t="str">
        <f t="shared" si="1196"/>
        <v>04-08-2020</v>
      </c>
      <c r="X2925" t="str">
        <f t="shared" si="1197"/>
        <v>RAZIMAH ANSAR AHMAD</v>
      </c>
      <c r="Y2925" t="str">
        <f t="shared" si="1198"/>
        <v>04-08-2020</v>
      </c>
      <c r="Z2925" t="str">
        <f>"COS10200804 6229"</f>
        <v>COS10200804 6229</v>
      </c>
    </row>
    <row r="2926" spans="1:26" x14ac:dyDescent="0.25">
      <c r="A2926" t="str">
        <f t="shared" si="1203"/>
        <v>04-08-2020 01:00:00</v>
      </c>
      <c r="B2926" t="str">
        <f>"0000808021"</f>
        <v>0000808021</v>
      </c>
      <c r="C2926" t="str">
        <f t="shared" si="1204"/>
        <v>0000807993</v>
      </c>
      <c r="D2926" t="str">
        <f t="shared" si="1184"/>
        <v>73185</v>
      </c>
      <c r="E2926" t="str">
        <f t="shared" si="1185"/>
        <v>KFH-OPERATIONS DEPARTMENT</v>
      </c>
      <c r="F2926" t="str">
        <f t="shared" si="1186"/>
        <v>IBG</v>
      </c>
      <c r="G2926" t="str">
        <f t="shared" si="1199"/>
        <v>Refund COSHARE 10</v>
      </c>
      <c r="H2926" s="2">
        <v>209.9</v>
      </c>
      <c r="I2926" t="str">
        <f>"NOOR HANAFI BIN ABDUL AZIZ"</f>
        <v>NOOR HANAFI BIN ABDUL AZIZ</v>
      </c>
      <c r="J2926" t="str">
        <f t="shared" si="1200"/>
        <v>MAYBANK / MAYBANK ISLAMIC</v>
      </c>
      <c r="K2926" t="str">
        <f>"151034668895"</f>
        <v>151034668895</v>
      </c>
      <c r="L2926" t="str">
        <f t="shared" si="1201"/>
        <v>04-08-2020</v>
      </c>
      <c r="M2926" t="str">
        <f t="shared" si="1201"/>
        <v>04-08-2020</v>
      </c>
      <c r="N2926" t="str">
        <f t="shared" si="1188"/>
        <v>001105018356</v>
      </c>
      <c r="O2926" t="str">
        <f t="shared" si="1189"/>
        <v>MYR</v>
      </c>
      <c r="P2926" t="str">
        <f t="shared" si="1202"/>
        <v>NIL</v>
      </c>
      <c r="Q2926" t="str">
        <f t="shared" si="1202"/>
        <v>NIL</v>
      </c>
      <c r="R2926" t="str">
        <f t="shared" si="1191"/>
        <v>Accepted</v>
      </c>
      <c r="S2926" t="str">
        <f t="shared" si="1192"/>
        <v>Approved</v>
      </c>
      <c r="T2926" t="str">
        <f t="shared" si="1193"/>
        <v>10.20.8.188</v>
      </c>
      <c r="U2926" t="str">
        <f t="shared" si="1194"/>
        <v>AZRAD UMAR BIN SHAARI</v>
      </c>
      <c r="V2926" t="str">
        <f t="shared" si="1195"/>
        <v>FARHANA BINTI MUSTAPA</v>
      </c>
      <c r="W2926" t="str">
        <f t="shared" si="1196"/>
        <v>04-08-2020</v>
      </c>
      <c r="X2926" t="str">
        <f t="shared" si="1197"/>
        <v>RAZIMAH ANSAR AHMAD</v>
      </c>
      <c r="Y2926" t="str">
        <f t="shared" si="1198"/>
        <v>04-08-2020</v>
      </c>
      <c r="Z2926" t="str">
        <f>"COS10200804 6228"</f>
        <v>COS10200804 6228</v>
      </c>
    </row>
    <row r="2927" spans="1:26" x14ac:dyDescent="0.25">
      <c r="A2927" t="str">
        <f t="shared" si="1203"/>
        <v>04-08-2020 01:00:00</v>
      </c>
      <c r="B2927" t="str">
        <f>"0000808020"</f>
        <v>0000808020</v>
      </c>
      <c r="C2927" t="str">
        <f t="shared" si="1204"/>
        <v>0000807993</v>
      </c>
      <c r="D2927" t="str">
        <f t="shared" si="1184"/>
        <v>73185</v>
      </c>
      <c r="E2927" t="str">
        <f t="shared" si="1185"/>
        <v>KFH-OPERATIONS DEPARTMENT</v>
      </c>
      <c r="F2927" t="str">
        <f t="shared" si="1186"/>
        <v>IBG</v>
      </c>
      <c r="G2927" t="str">
        <f t="shared" si="1199"/>
        <v>Refund COSHARE 10</v>
      </c>
      <c r="H2927" s="2">
        <v>461.75</v>
      </c>
      <c r="I2927" t="str">
        <f>"NOOR HALIZA BINTI ABD HALIM"</f>
        <v>NOOR HALIZA BINTI ABD HALIM</v>
      </c>
      <c r="J2927" t="str">
        <f t="shared" si="1200"/>
        <v>MAYBANK / MAYBANK ISLAMIC</v>
      </c>
      <c r="K2927" t="str">
        <f>"158088147271"</f>
        <v>158088147271</v>
      </c>
      <c r="L2927" t="str">
        <f t="shared" ref="L2927:M2946" si="1205">"04-08-2020"</f>
        <v>04-08-2020</v>
      </c>
      <c r="M2927" t="str">
        <f t="shared" si="1205"/>
        <v>04-08-2020</v>
      </c>
      <c r="N2927" t="str">
        <f t="shared" si="1188"/>
        <v>001105018356</v>
      </c>
      <c r="O2927" t="str">
        <f t="shared" si="1189"/>
        <v>MYR</v>
      </c>
      <c r="P2927" t="str">
        <f t="shared" ref="P2927:Q2946" si="1206">"NIL"</f>
        <v>NIL</v>
      </c>
      <c r="Q2927" t="str">
        <f t="shared" si="1206"/>
        <v>NIL</v>
      </c>
      <c r="R2927" t="str">
        <f t="shared" si="1191"/>
        <v>Accepted</v>
      </c>
      <c r="S2927" t="str">
        <f t="shared" si="1192"/>
        <v>Approved</v>
      </c>
      <c r="T2927" t="str">
        <f t="shared" si="1193"/>
        <v>10.20.8.188</v>
      </c>
      <c r="U2927" t="str">
        <f t="shared" si="1194"/>
        <v>AZRAD UMAR BIN SHAARI</v>
      </c>
      <c r="V2927" t="str">
        <f t="shared" si="1195"/>
        <v>FARHANA BINTI MUSTAPA</v>
      </c>
      <c r="W2927" t="str">
        <f t="shared" si="1196"/>
        <v>04-08-2020</v>
      </c>
      <c r="X2927" t="str">
        <f t="shared" si="1197"/>
        <v>RAZIMAH ANSAR AHMAD</v>
      </c>
      <c r="Y2927" t="str">
        <f t="shared" si="1198"/>
        <v>04-08-2020</v>
      </c>
      <c r="Z2927" t="str">
        <f>"COS10200804 6227"</f>
        <v>COS10200804 6227</v>
      </c>
    </row>
    <row r="2928" spans="1:26" x14ac:dyDescent="0.25">
      <c r="A2928" t="str">
        <f t="shared" si="1203"/>
        <v>04-08-2020 01:00:00</v>
      </c>
      <c r="B2928" t="str">
        <f>"0000808019"</f>
        <v>0000808019</v>
      </c>
      <c r="C2928" t="str">
        <f t="shared" si="1204"/>
        <v>0000807993</v>
      </c>
      <c r="D2928" t="str">
        <f t="shared" si="1184"/>
        <v>73185</v>
      </c>
      <c r="E2928" t="str">
        <f t="shared" si="1185"/>
        <v>KFH-OPERATIONS DEPARTMENT</v>
      </c>
      <c r="F2928" t="str">
        <f t="shared" si="1186"/>
        <v>IBG</v>
      </c>
      <c r="G2928" t="str">
        <f t="shared" si="1199"/>
        <v>Refund COSHARE 10</v>
      </c>
      <c r="H2928" s="2">
        <v>289</v>
      </c>
      <c r="I2928" t="str">
        <f>"NOOR HAJAR BINTI  ITHNIN"</f>
        <v>NOOR HAJAR BINTI  ITHNIN</v>
      </c>
      <c r="J2928" t="str">
        <f t="shared" si="1200"/>
        <v>MAYBANK / MAYBANK ISLAMIC</v>
      </c>
      <c r="K2928" t="str">
        <f>"162339099332"</f>
        <v>162339099332</v>
      </c>
      <c r="L2928" t="str">
        <f t="shared" si="1205"/>
        <v>04-08-2020</v>
      </c>
      <c r="M2928" t="str">
        <f t="shared" si="1205"/>
        <v>04-08-2020</v>
      </c>
      <c r="N2928" t="str">
        <f t="shared" si="1188"/>
        <v>001105018356</v>
      </c>
      <c r="O2928" t="str">
        <f t="shared" si="1189"/>
        <v>MYR</v>
      </c>
      <c r="P2928" t="str">
        <f t="shared" si="1206"/>
        <v>NIL</v>
      </c>
      <c r="Q2928" t="str">
        <f t="shared" si="1206"/>
        <v>NIL</v>
      </c>
      <c r="R2928" t="str">
        <f t="shared" si="1191"/>
        <v>Accepted</v>
      </c>
      <c r="S2928" t="str">
        <f t="shared" si="1192"/>
        <v>Approved</v>
      </c>
      <c r="T2928" t="str">
        <f t="shared" si="1193"/>
        <v>10.20.8.188</v>
      </c>
      <c r="U2928" t="str">
        <f t="shared" si="1194"/>
        <v>AZRAD UMAR BIN SHAARI</v>
      </c>
      <c r="V2928" t="str">
        <f t="shared" si="1195"/>
        <v>FARHANA BINTI MUSTAPA</v>
      </c>
      <c r="W2928" t="str">
        <f t="shared" si="1196"/>
        <v>04-08-2020</v>
      </c>
      <c r="X2928" t="str">
        <f t="shared" si="1197"/>
        <v>RAZIMAH ANSAR AHMAD</v>
      </c>
      <c r="Y2928" t="str">
        <f t="shared" si="1198"/>
        <v>04-08-2020</v>
      </c>
      <c r="Z2928" t="str">
        <f>"COS10200804 6226"</f>
        <v>COS10200804 6226</v>
      </c>
    </row>
    <row r="2929" spans="1:26" x14ac:dyDescent="0.25">
      <c r="A2929" t="str">
        <f t="shared" si="1203"/>
        <v>04-08-2020 01:00:00</v>
      </c>
      <c r="B2929" t="str">
        <f>"0000808018"</f>
        <v>0000808018</v>
      </c>
      <c r="C2929" t="str">
        <f t="shared" si="1204"/>
        <v>0000807993</v>
      </c>
      <c r="D2929" t="str">
        <f t="shared" si="1184"/>
        <v>73185</v>
      </c>
      <c r="E2929" t="str">
        <f t="shared" si="1185"/>
        <v>KFH-OPERATIONS DEPARTMENT</v>
      </c>
      <c r="F2929" t="str">
        <f t="shared" si="1186"/>
        <v>IBG</v>
      </c>
      <c r="G2929" t="str">
        <f t="shared" si="1199"/>
        <v>Refund COSHARE 10</v>
      </c>
      <c r="H2929" s="2">
        <v>647.54999999999995</v>
      </c>
      <c r="I2929" t="str">
        <f>"NOOR HAFIZAH BINTI CHE DIN"</f>
        <v>NOOR HAFIZAH BINTI CHE DIN</v>
      </c>
      <c r="J2929" t="str">
        <f t="shared" si="1200"/>
        <v>MAYBANK / MAYBANK ISLAMIC</v>
      </c>
      <c r="K2929" t="str">
        <f>"158097021444"</f>
        <v>158097021444</v>
      </c>
      <c r="L2929" t="str">
        <f t="shared" si="1205"/>
        <v>04-08-2020</v>
      </c>
      <c r="M2929" t="str">
        <f t="shared" si="1205"/>
        <v>04-08-2020</v>
      </c>
      <c r="N2929" t="str">
        <f t="shared" si="1188"/>
        <v>001105018356</v>
      </c>
      <c r="O2929" t="str">
        <f t="shared" si="1189"/>
        <v>MYR</v>
      </c>
      <c r="P2929" t="str">
        <f t="shared" si="1206"/>
        <v>NIL</v>
      </c>
      <c r="Q2929" t="str">
        <f t="shared" si="1206"/>
        <v>NIL</v>
      </c>
      <c r="R2929" t="str">
        <f t="shared" si="1191"/>
        <v>Accepted</v>
      </c>
      <c r="S2929" t="str">
        <f t="shared" si="1192"/>
        <v>Approved</v>
      </c>
      <c r="T2929" t="str">
        <f t="shared" si="1193"/>
        <v>10.20.8.188</v>
      </c>
      <c r="U2929" t="str">
        <f t="shared" si="1194"/>
        <v>AZRAD UMAR BIN SHAARI</v>
      </c>
      <c r="V2929" t="str">
        <f t="shared" si="1195"/>
        <v>FARHANA BINTI MUSTAPA</v>
      </c>
      <c r="W2929" t="str">
        <f t="shared" si="1196"/>
        <v>04-08-2020</v>
      </c>
      <c r="X2929" t="str">
        <f t="shared" si="1197"/>
        <v>RAZIMAH ANSAR AHMAD</v>
      </c>
      <c r="Y2929" t="str">
        <f t="shared" si="1198"/>
        <v>04-08-2020</v>
      </c>
      <c r="Z2929" t="str">
        <f>"COS10200804 6225"</f>
        <v>COS10200804 6225</v>
      </c>
    </row>
    <row r="2930" spans="1:26" x14ac:dyDescent="0.25">
      <c r="A2930" t="str">
        <f t="shared" si="1203"/>
        <v>04-08-2020 01:00:00</v>
      </c>
      <c r="B2930" t="str">
        <f>"0000808017"</f>
        <v>0000808017</v>
      </c>
      <c r="C2930" t="str">
        <f t="shared" si="1204"/>
        <v>0000807993</v>
      </c>
      <c r="D2930" t="str">
        <f t="shared" si="1184"/>
        <v>73185</v>
      </c>
      <c r="E2930" t="str">
        <f t="shared" si="1185"/>
        <v>KFH-OPERATIONS DEPARTMENT</v>
      </c>
      <c r="F2930" t="str">
        <f t="shared" si="1186"/>
        <v>IBG</v>
      </c>
      <c r="G2930" t="str">
        <f t="shared" si="1199"/>
        <v>Refund COSHARE 10</v>
      </c>
      <c r="H2930" s="2">
        <v>503.7</v>
      </c>
      <c r="I2930" t="str">
        <f>"NOOR HAFIDZAN BIN ABU BAKAR"</f>
        <v>NOOR HAFIDZAN BIN ABU BAKAR</v>
      </c>
      <c r="J2930" t="str">
        <f t="shared" si="1200"/>
        <v>MAYBANK / MAYBANK ISLAMIC</v>
      </c>
      <c r="K2930" t="str">
        <f>"155041674041"</f>
        <v>155041674041</v>
      </c>
      <c r="L2930" t="str">
        <f t="shared" si="1205"/>
        <v>04-08-2020</v>
      </c>
      <c r="M2930" t="str">
        <f t="shared" si="1205"/>
        <v>04-08-2020</v>
      </c>
      <c r="N2930" t="str">
        <f t="shared" si="1188"/>
        <v>001105018356</v>
      </c>
      <c r="O2930" t="str">
        <f t="shared" si="1189"/>
        <v>MYR</v>
      </c>
      <c r="P2930" t="str">
        <f t="shared" si="1206"/>
        <v>NIL</v>
      </c>
      <c r="Q2930" t="str">
        <f t="shared" si="1206"/>
        <v>NIL</v>
      </c>
      <c r="R2930" t="str">
        <f t="shared" si="1191"/>
        <v>Accepted</v>
      </c>
      <c r="S2930" t="str">
        <f t="shared" si="1192"/>
        <v>Approved</v>
      </c>
      <c r="T2930" t="str">
        <f t="shared" si="1193"/>
        <v>10.20.8.188</v>
      </c>
      <c r="U2930" t="str">
        <f t="shared" si="1194"/>
        <v>AZRAD UMAR BIN SHAARI</v>
      </c>
      <c r="V2930" t="str">
        <f t="shared" si="1195"/>
        <v>FARHANA BINTI MUSTAPA</v>
      </c>
      <c r="W2930" t="str">
        <f t="shared" si="1196"/>
        <v>04-08-2020</v>
      </c>
      <c r="X2930" t="str">
        <f t="shared" si="1197"/>
        <v>RAZIMAH ANSAR AHMAD</v>
      </c>
      <c r="Y2930" t="str">
        <f t="shared" si="1198"/>
        <v>04-08-2020</v>
      </c>
      <c r="Z2930" t="str">
        <f>"COS10200804 6224"</f>
        <v>COS10200804 6224</v>
      </c>
    </row>
    <row r="2931" spans="1:26" x14ac:dyDescent="0.25">
      <c r="A2931" t="str">
        <f t="shared" si="1203"/>
        <v>04-08-2020 01:00:00</v>
      </c>
      <c r="B2931" t="str">
        <f>"0000808016"</f>
        <v>0000808016</v>
      </c>
      <c r="C2931" t="str">
        <f t="shared" si="1204"/>
        <v>0000807993</v>
      </c>
      <c r="D2931" t="str">
        <f t="shared" si="1184"/>
        <v>73185</v>
      </c>
      <c r="E2931" t="str">
        <f t="shared" si="1185"/>
        <v>KFH-OPERATIONS DEPARTMENT</v>
      </c>
      <c r="F2931" t="str">
        <f t="shared" si="1186"/>
        <v>IBG</v>
      </c>
      <c r="G2931" t="str">
        <f t="shared" si="1199"/>
        <v>Refund COSHARE 10</v>
      </c>
      <c r="H2931" s="2">
        <v>83.95</v>
      </c>
      <c r="I2931" t="str">
        <f>"NOOR FAZRIN BINTI ABDUL HADZI"</f>
        <v>NOOR FAZRIN BINTI ABDUL HADZI</v>
      </c>
      <c r="J2931" t="str">
        <f t="shared" si="1200"/>
        <v>MAYBANK / MAYBANK ISLAMIC</v>
      </c>
      <c r="K2931" t="str">
        <f>"155015078159"</f>
        <v>155015078159</v>
      </c>
      <c r="L2931" t="str">
        <f t="shared" si="1205"/>
        <v>04-08-2020</v>
      </c>
      <c r="M2931" t="str">
        <f t="shared" si="1205"/>
        <v>04-08-2020</v>
      </c>
      <c r="N2931" t="str">
        <f t="shared" si="1188"/>
        <v>001105018356</v>
      </c>
      <c r="O2931" t="str">
        <f t="shared" si="1189"/>
        <v>MYR</v>
      </c>
      <c r="P2931" t="str">
        <f t="shared" si="1206"/>
        <v>NIL</v>
      </c>
      <c r="Q2931" t="str">
        <f t="shared" si="1206"/>
        <v>NIL</v>
      </c>
      <c r="R2931" t="str">
        <f t="shared" si="1191"/>
        <v>Accepted</v>
      </c>
      <c r="S2931" t="str">
        <f t="shared" si="1192"/>
        <v>Approved</v>
      </c>
      <c r="T2931" t="str">
        <f t="shared" si="1193"/>
        <v>10.20.8.188</v>
      </c>
      <c r="U2931" t="str">
        <f t="shared" si="1194"/>
        <v>AZRAD UMAR BIN SHAARI</v>
      </c>
      <c r="V2931" t="str">
        <f t="shared" si="1195"/>
        <v>FARHANA BINTI MUSTAPA</v>
      </c>
      <c r="W2931" t="str">
        <f t="shared" si="1196"/>
        <v>04-08-2020</v>
      </c>
      <c r="X2931" t="str">
        <f t="shared" si="1197"/>
        <v>RAZIMAH ANSAR AHMAD</v>
      </c>
      <c r="Y2931" t="str">
        <f t="shared" si="1198"/>
        <v>04-08-2020</v>
      </c>
      <c r="Z2931" t="str">
        <f>"COS10200804 6223"</f>
        <v>COS10200804 6223</v>
      </c>
    </row>
    <row r="2932" spans="1:26" x14ac:dyDescent="0.25">
      <c r="A2932" t="str">
        <f t="shared" si="1203"/>
        <v>04-08-2020 01:00:00</v>
      </c>
      <c r="B2932" t="str">
        <f>"0000808015"</f>
        <v>0000808015</v>
      </c>
      <c r="C2932" t="str">
        <f t="shared" si="1204"/>
        <v>0000807993</v>
      </c>
      <c r="D2932" t="str">
        <f t="shared" si="1184"/>
        <v>73185</v>
      </c>
      <c r="E2932" t="str">
        <f t="shared" si="1185"/>
        <v>KFH-OPERATIONS DEPARTMENT</v>
      </c>
      <c r="F2932" t="str">
        <f t="shared" si="1186"/>
        <v>IBG</v>
      </c>
      <c r="G2932" t="str">
        <f t="shared" si="1199"/>
        <v>Refund COSHARE 10</v>
      </c>
      <c r="H2932" s="2">
        <v>1200.5</v>
      </c>
      <c r="I2932" t="str">
        <f>"NOOR FAZILAH BINTI ABDUL KADIR"</f>
        <v>NOOR FAZILAH BINTI ABDUL KADIR</v>
      </c>
      <c r="J2932" t="str">
        <f t="shared" si="1200"/>
        <v>MAYBANK / MAYBANK ISLAMIC</v>
      </c>
      <c r="K2932" t="str">
        <f>"105019808895"</f>
        <v>105019808895</v>
      </c>
      <c r="L2932" t="str">
        <f t="shared" si="1205"/>
        <v>04-08-2020</v>
      </c>
      <c r="M2932" t="str">
        <f t="shared" si="1205"/>
        <v>04-08-2020</v>
      </c>
      <c r="N2932" t="str">
        <f t="shared" si="1188"/>
        <v>001105018356</v>
      </c>
      <c r="O2932" t="str">
        <f t="shared" si="1189"/>
        <v>MYR</v>
      </c>
      <c r="P2932" t="str">
        <f t="shared" si="1206"/>
        <v>NIL</v>
      </c>
      <c r="Q2932" t="str">
        <f t="shared" si="1206"/>
        <v>NIL</v>
      </c>
      <c r="R2932" t="str">
        <f t="shared" si="1191"/>
        <v>Accepted</v>
      </c>
      <c r="S2932" t="str">
        <f t="shared" si="1192"/>
        <v>Approved</v>
      </c>
      <c r="T2932" t="str">
        <f t="shared" si="1193"/>
        <v>10.20.8.188</v>
      </c>
      <c r="U2932" t="str">
        <f t="shared" si="1194"/>
        <v>AZRAD UMAR BIN SHAARI</v>
      </c>
      <c r="V2932" t="str">
        <f t="shared" si="1195"/>
        <v>FARHANA BINTI MUSTAPA</v>
      </c>
      <c r="W2932" t="str">
        <f t="shared" si="1196"/>
        <v>04-08-2020</v>
      </c>
      <c r="X2932" t="str">
        <f t="shared" si="1197"/>
        <v>RAZIMAH ANSAR AHMAD</v>
      </c>
      <c r="Y2932" t="str">
        <f t="shared" si="1198"/>
        <v>04-08-2020</v>
      </c>
      <c r="Z2932" t="str">
        <f>"COS10200804 6222"</f>
        <v>COS10200804 6222</v>
      </c>
    </row>
    <row r="2933" spans="1:26" x14ac:dyDescent="0.25">
      <c r="A2933" t="str">
        <f t="shared" si="1203"/>
        <v>04-08-2020 01:00:00</v>
      </c>
      <c r="B2933" t="str">
        <f>"0000808014"</f>
        <v>0000808014</v>
      </c>
      <c r="C2933" t="str">
        <f t="shared" si="1204"/>
        <v>0000807993</v>
      </c>
      <c r="D2933" t="str">
        <f t="shared" si="1184"/>
        <v>73185</v>
      </c>
      <c r="E2933" t="str">
        <f t="shared" si="1185"/>
        <v>KFH-OPERATIONS DEPARTMENT</v>
      </c>
      <c r="F2933" t="str">
        <f t="shared" si="1186"/>
        <v>IBG</v>
      </c>
      <c r="G2933" t="str">
        <f t="shared" si="1199"/>
        <v>Refund COSHARE 10</v>
      </c>
      <c r="H2933" s="2">
        <v>759</v>
      </c>
      <c r="I2933" t="str">
        <f>"NOOR FATIN HAMAMAH BINTI MISKIRAN"</f>
        <v>NOOR FATIN HAMAMAH BINTI MISKIRAN</v>
      </c>
      <c r="J2933" t="str">
        <f t="shared" si="1200"/>
        <v>MAYBANK / MAYBANK ISLAMIC</v>
      </c>
      <c r="K2933" t="str">
        <f>"116015053441"</f>
        <v>116015053441</v>
      </c>
      <c r="L2933" t="str">
        <f t="shared" si="1205"/>
        <v>04-08-2020</v>
      </c>
      <c r="M2933" t="str">
        <f t="shared" si="1205"/>
        <v>04-08-2020</v>
      </c>
      <c r="N2933" t="str">
        <f t="shared" si="1188"/>
        <v>001105018356</v>
      </c>
      <c r="O2933" t="str">
        <f t="shared" si="1189"/>
        <v>MYR</v>
      </c>
      <c r="P2933" t="str">
        <f t="shared" si="1206"/>
        <v>NIL</v>
      </c>
      <c r="Q2933" t="str">
        <f t="shared" si="1206"/>
        <v>NIL</v>
      </c>
      <c r="R2933" t="str">
        <f t="shared" si="1191"/>
        <v>Accepted</v>
      </c>
      <c r="S2933" t="str">
        <f t="shared" si="1192"/>
        <v>Approved</v>
      </c>
      <c r="T2933" t="str">
        <f t="shared" si="1193"/>
        <v>10.20.8.188</v>
      </c>
      <c r="U2933" t="str">
        <f t="shared" si="1194"/>
        <v>AZRAD UMAR BIN SHAARI</v>
      </c>
      <c r="V2933" t="str">
        <f t="shared" si="1195"/>
        <v>FARHANA BINTI MUSTAPA</v>
      </c>
      <c r="W2933" t="str">
        <f t="shared" si="1196"/>
        <v>04-08-2020</v>
      </c>
      <c r="X2933" t="str">
        <f t="shared" si="1197"/>
        <v>RAZIMAH ANSAR AHMAD</v>
      </c>
      <c r="Y2933" t="str">
        <f t="shared" si="1198"/>
        <v>04-08-2020</v>
      </c>
      <c r="Z2933" t="str">
        <f>"COS10200804 6221"</f>
        <v>COS10200804 6221</v>
      </c>
    </row>
    <row r="2934" spans="1:26" x14ac:dyDescent="0.25">
      <c r="A2934" t="str">
        <f t="shared" si="1203"/>
        <v>04-08-2020 01:00:00</v>
      </c>
      <c r="B2934" t="str">
        <f>"0000808013"</f>
        <v>0000808013</v>
      </c>
      <c r="C2934" t="str">
        <f t="shared" si="1204"/>
        <v>0000807993</v>
      </c>
      <c r="D2934" t="str">
        <f t="shared" si="1184"/>
        <v>73185</v>
      </c>
      <c r="E2934" t="str">
        <f t="shared" si="1185"/>
        <v>KFH-OPERATIONS DEPARTMENT</v>
      </c>
      <c r="F2934" t="str">
        <f t="shared" si="1186"/>
        <v>IBG</v>
      </c>
      <c r="G2934" t="str">
        <f t="shared" si="1199"/>
        <v>Refund COSHARE 10</v>
      </c>
      <c r="H2934" s="2">
        <v>159.5</v>
      </c>
      <c r="I2934" t="str">
        <f>"NOOR FARISA BINTI SAHAB"</f>
        <v>NOOR FARISA BINTI SAHAB</v>
      </c>
      <c r="J2934" t="str">
        <f t="shared" si="1200"/>
        <v>MAYBANK / MAYBANK ISLAMIC</v>
      </c>
      <c r="K2934" t="str">
        <f>"162731063625"</f>
        <v>162731063625</v>
      </c>
      <c r="L2934" t="str">
        <f t="shared" si="1205"/>
        <v>04-08-2020</v>
      </c>
      <c r="M2934" t="str">
        <f t="shared" si="1205"/>
        <v>04-08-2020</v>
      </c>
      <c r="N2934" t="str">
        <f t="shared" si="1188"/>
        <v>001105018356</v>
      </c>
      <c r="O2934" t="str">
        <f t="shared" si="1189"/>
        <v>MYR</v>
      </c>
      <c r="P2934" t="str">
        <f t="shared" si="1206"/>
        <v>NIL</v>
      </c>
      <c r="Q2934" t="str">
        <f t="shared" si="1206"/>
        <v>NIL</v>
      </c>
      <c r="R2934" t="str">
        <f t="shared" si="1191"/>
        <v>Accepted</v>
      </c>
      <c r="S2934" t="str">
        <f t="shared" si="1192"/>
        <v>Approved</v>
      </c>
      <c r="T2934" t="str">
        <f t="shared" si="1193"/>
        <v>10.20.8.188</v>
      </c>
      <c r="U2934" t="str">
        <f t="shared" si="1194"/>
        <v>AZRAD UMAR BIN SHAARI</v>
      </c>
      <c r="V2934" t="str">
        <f t="shared" si="1195"/>
        <v>FARHANA BINTI MUSTAPA</v>
      </c>
      <c r="W2934" t="str">
        <f t="shared" si="1196"/>
        <v>04-08-2020</v>
      </c>
      <c r="X2934" t="str">
        <f t="shared" si="1197"/>
        <v>RAZIMAH ANSAR AHMAD</v>
      </c>
      <c r="Y2934" t="str">
        <f t="shared" si="1198"/>
        <v>04-08-2020</v>
      </c>
      <c r="Z2934" t="str">
        <f>"COS10200804 6220"</f>
        <v>COS10200804 6220</v>
      </c>
    </row>
    <row r="2935" spans="1:26" x14ac:dyDescent="0.25">
      <c r="A2935" t="str">
        <f t="shared" si="1203"/>
        <v>04-08-2020 01:00:00</v>
      </c>
      <c r="B2935" t="str">
        <f>"0000808012"</f>
        <v>0000808012</v>
      </c>
      <c r="C2935" t="str">
        <f t="shared" si="1204"/>
        <v>0000807993</v>
      </c>
      <c r="D2935" t="str">
        <f t="shared" si="1184"/>
        <v>73185</v>
      </c>
      <c r="E2935" t="str">
        <f t="shared" si="1185"/>
        <v>KFH-OPERATIONS DEPARTMENT</v>
      </c>
      <c r="F2935" t="str">
        <f t="shared" si="1186"/>
        <v>IBG</v>
      </c>
      <c r="G2935" t="str">
        <f t="shared" si="1199"/>
        <v>Refund COSHARE 10</v>
      </c>
      <c r="H2935" s="2">
        <v>167.9</v>
      </c>
      <c r="I2935" t="str">
        <f>"NOOR FAEZAH BINTI ZAINI"</f>
        <v>NOOR FAEZAH BINTI ZAINI</v>
      </c>
      <c r="J2935" t="str">
        <f t="shared" si="1200"/>
        <v>MAYBANK / MAYBANK ISLAMIC</v>
      </c>
      <c r="K2935" t="str">
        <f>"101142010672"</f>
        <v>101142010672</v>
      </c>
      <c r="L2935" t="str">
        <f t="shared" si="1205"/>
        <v>04-08-2020</v>
      </c>
      <c r="M2935" t="str">
        <f t="shared" si="1205"/>
        <v>04-08-2020</v>
      </c>
      <c r="N2935" t="str">
        <f t="shared" si="1188"/>
        <v>001105018356</v>
      </c>
      <c r="O2935" t="str">
        <f t="shared" si="1189"/>
        <v>MYR</v>
      </c>
      <c r="P2935" t="str">
        <f t="shared" si="1206"/>
        <v>NIL</v>
      </c>
      <c r="Q2935" t="str">
        <f t="shared" si="1206"/>
        <v>NIL</v>
      </c>
      <c r="R2935" t="str">
        <f t="shared" si="1191"/>
        <v>Accepted</v>
      </c>
      <c r="S2935" t="str">
        <f t="shared" si="1192"/>
        <v>Approved</v>
      </c>
      <c r="T2935" t="str">
        <f t="shared" si="1193"/>
        <v>10.20.8.188</v>
      </c>
      <c r="U2935" t="str">
        <f t="shared" si="1194"/>
        <v>AZRAD UMAR BIN SHAARI</v>
      </c>
      <c r="V2935" t="str">
        <f t="shared" si="1195"/>
        <v>FARHANA BINTI MUSTAPA</v>
      </c>
      <c r="W2935" t="str">
        <f t="shared" si="1196"/>
        <v>04-08-2020</v>
      </c>
      <c r="X2935" t="str">
        <f t="shared" si="1197"/>
        <v>RAZIMAH ANSAR AHMAD</v>
      </c>
      <c r="Y2935" t="str">
        <f t="shared" si="1198"/>
        <v>04-08-2020</v>
      </c>
      <c r="Z2935" t="str">
        <f>"COS10200804 6219"</f>
        <v>COS10200804 6219</v>
      </c>
    </row>
    <row r="2936" spans="1:26" x14ac:dyDescent="0.25">
      <c r="A2936" t="str">
        <f t="shared" si="1203"/>
        <v>04-08-2020 01:00:00</v>
      </c>
      <c r="B2936" t="str">
        <f>"0000808011"</f>
        <v>0000808011</v>
      </c>
      <c r="C2936" t="str">
        <f t="shared" si="1204"/>
        <v>0000807993</v>
      </c>
      <c r="D2936" t="str">
        <f t="shared" si="1184"/>
        <v>73185</v>
      </c>
      <c r="E2936" t="str">
        <f t="shared" si="1185"/>
        <v>KFH-OPERATIONS DEPARTMENT</v>
      </c>
      <c r="F2936" t="str">
        <f t="shared" si="1186"/>
        <v>IBG</v>
      </c>
      <c r="G2936" t="str">
        <f t="shared" si="1199"/>
        <v>Refund COSHARE 10</v>
      </c>
      <c r="H2936" s="2">
        <v>343.85</v>
      </c>
      <c r="I2936" t="str">
        <f>"NOOR FADILAH BINTI AHAMAD RASDEY"</f>
        <v>NOOR FADILAH BINTI AHAMAD RASDEY</v>
      </c>
      <c r="J2936" t="str">
        <f t="shared" si="1200"/>
        <v>MAYBANK / MAYBANK ISLAMIC</v>
      </c>
      <c r="K2936" t="str">
        <f>"151061125341"</f>
        <v>151061125341</v>
      </c>
      <c r="L2936" t="str">
        <f t="shared" si="1205"/>
        <v>04-08-2020</v>
      </c>
      <c r="M2936" t="str">
        <f t="shared" si="1205"/>
        <v>04-08-2020</v>
      </c>
      <c r="N2936" t="str">
        <f t="shared" si="1188"/>
        <v>001105018356</v>
      </c>
      <c r="O2936" t="str">
        <f t="shared" si="1189"/>
        <v>MYR</v>
      </c>
      <c r="P2936" t="str">
        <f t="shared" si="1206"/>
        <v>NIL</v>
      </c>
      <c r="Q2936" t="str">
        <f t="shared" si="1206"/>
        <v>NIL</v>
      </c>
      <c r="R2936" t="str">
        <f t="shared" si="1191"/>
        <v>Accepted</v>
      </c>
      <c r="S2936" t="str">
        <f t="shared" si="1192"/>
        <v>Approved</v>
      </c>
      <c r="T2936" t="str">
        <f t="shared" si="1193"/>
        <v>10.20.8.188</v>
      </c>
      <c r="U2936" t="str">
        <f t="shared" si="1194"/>
        <v>AZRAD UMAR BIN SHAARI</v>
      </c>
      <c r="V2936" t="str">
        <f t="shared" si="1195"/>
        <v>FARHANA BINTI MUSTAPA</v>
      </c>
      <c r="W2936" t="str">
        <f t="shared" si="1196"/>
        <v>04-08-2020</v>
      </c>
      <c r="X2936" t="str">
        <f t="shared" si="1197"/>
        <v>RAZIMAH ANSAR AHMAD</v>
      </c>
      <c r="Y2936" t="str">
        <f t="shared" si="1198"/>
        <v>04-08-2020</v>
      </c>
      <c r="Z2936" t="str">
        <f>"COS10200804 6218"</f>
        <v>COS10200804 6218</v>
      </c>
    </row>
    <row r="2937" spans="1:26" x14ac:dyDescent="0.25">
      <c r="A2937" t="str">
        <f t="shared" si="1203"/>
        <v>04-08-2020 01:00:00</v>
      </c>
      <c r="B2937" t="str">
        <f>"0000808010"</f>
        <v>0000808010</v>
      </c>
      <c r="C2937" t="str">
        <f t="shared" si="1204"/>
        <v>0000807993</v>
      </c>
      <c r="D2937" t="str">
        <f t="shared" si="1184"/>
        <v>73185</v>
      </c>
      <c r="E2937" t="str">
        <f t="shared" si="1185"/>
        <v>KFH-OPERATIONS DEPARTMENT</v>
      </c>
      <c r="F2937" t="str">
        <f t="shared" si="1186"/>
        <v>IBG</v>
      </c>
      <c r="G2937" t="str">
        <f t="shared" si="1199"/>
        <v>Refund COSHARE 10</v>
      </c>
      <c r="H2937" s="2">
        <v>584.4</v>
      </c>
      <c r="I2937" t="str">
        <f>"NOOR FAATIHAH BINTI ZULKIFLI"</f>
        <v>NOOR FAATIHAH BINTI ZULKIFLI</v>
      </c>
      <c r="J2937" t="str">
        <f t="shared" si="1200"/>
        <v>MAYBANK / MAYBANK ISLAMIC</v>
      </c>
      <c r="K2937" t="str">
        <f>"151025732503"</f>
        <v>151025732503</v>
      </c>
      <c r="L2937" t="str">
        <f t="shared" si="1205"/>
        <v>04-08-2020</v>
      </c>
      <c r="M2937" t="str">
        <f t="shared" si="1205"/>
        <v>04-08-2020</v>
      </c>
      <c r="N2937" t="str">
        <f t="shared" si="1188"/>
        <v>001105018356</v>
      </c>
      <c r="O2937" t="str">
        <f t="shared" si="1189"/>
        <v>MYR</v>
      </c>
      <c r="P2937" t="str">
        <f t="shared" si="1206"/>
        <v>NIL</v>
      </c>
      <c r="Q2937" t="str">
        <f t="shared" si="1206"/>
        <v>NIL</v>
      </c>
      <c r="R2937" t="str">
        <f t="shared" si="1191"/>
        <v>Accepted</v>
      </c>
      <c r="S2937" t="str">
        <f t="shared" si="1192"/>
        <v>Approved</v>
      </c>
      <c r="T2937" t="str">
        <f t="shared" si="1193"/>
        <v>10.20.8.188</v>
      </c>
      <c r="U2937" t="str">
        <f t="shared" si="1194"/>
        <v>AZRAD UMAR BIN SHAARI</v>
      </c>
      <c r="V2937" t="str">
        <f t="shared" si="1195"/>
        <v>FARHANA BINTI MUSTAPA</v>
      </c>
      <c r="W2937" t="str">
        <f t="shared" si="1196"/>
        <v>04-08-2020</v>
      </c>
      <c r="X2937" t="str">
        <f t="shared" si="1197"/>
        <v>RAZIMAH ANSAR AHMAD</v>
      </c>
      <c r="Y2937" t="str">
        <f t="shared" si="1198"/>
        <v>04-08-2020</v>
      </c>
      <c r="Z2937" t="str">
        <f>"COS10200804 6217"</f>
        <v>COS10200804 6217</v>
      </c>
    </row>
    <row r="2938" spans="1:26" x14ac:dyDescent="0.25">
      <c r="A2938" t="str">
        <f t="shared" si="1203"/>
        <v>04-08-2020 01:00:00</v>
      </c>
      <c r="B2938" t="str">
        <f>"0000808009"</f>
        <v>0000808009</v>
      </c>
      <c r="C2938" t="str">
        <f t="shared" si="1204"/>
        <v>0000807993</v>
      </c>
      <c r="D2938" t="str">
        <f t="shared" si="1184"/>
        <v>73185</v>
      </c>
      <c r="E2938" t="str">
        <f t="shared" si="1185"/>
        <v>KFH-OPERATIONS DEPARTMENT</v>
      </c>
      <c r="F2938" t="str">
        <f t="shared" si="1186"/>
        <v>IBG</v>
      </c>
      <c r="G2938" t="str">
        <f t="shared" si="1199"/>
        <v>Refund COSHARE 10</v>
      </c>
      <c r="H2938" s="2">
        <v>797.55</v>
      </c>
      <c r="I2938" t="str">
        <f>"NOOR ELYANI BT SHUHAIMI"</f>
        <v>NOOR ELYANI BT SHUHAIMI</v>
      </c>
      <c r="J2938" t="str">
        <f t="shared" si="1200"/>
        <v>MAYBANK / MAYBANK ISLAMIC</v>
      </c>
      <c r="K2938" t="str">
        <f>"164155491164"</f>
        <v>164155491164</v>
      </c>
      <c r="L2938" t="str">
        <f t="shared" si="1205"/>
        <v>04-08-2020</v>
      </c>
      <c r="M2938" t="str">
        <f t="shared" si="1205"/>
        <v>04-08-2020</v>
      </c>
      <c r="N2938" t="str">
        <f t="shared" si="1188"/>
        <v>001105018356</v>
      </c>
      <c r="O2938" t="str">
        <f t="shared" si="1189"/>
        <v>MYR</v>
      </c>
      <c r="P2938" t="str">
        <f t="shared" si="1206"/>
        <v>NIL</v>
      </c>
      <c r="Q2938" t="str">
        <f t="shared" si="1206"/>
        <v>NIL</v>
      </c>
      <c r="R2938" t="str">
        <f t="shared" si="1191"/>
        <v>Accepted</v>
      </c>
      <c r="S2938" t="str">
        <f t="shared" si="1192"/>
        <v>Approved</v>
      </c>
      <c r="T2938" t="str">
        <f t="shared" si="1193"/>
        <v>10.20.8.188</v>
      </c>
      <c r="U2938" t="str">
        <f t="shared" si="1194"/>
        <v>AZRAD UMAR BIN SHAARI</v>
      </c>
      <c r="V2938" t="str">
        <f t="shared" si="1195"/>
        <v>FARHANA BINTI MUSTAPA</v>
      </c>
      <c r="W2938" t="str">
        <f t="shared" si="1196"/>
        <v>04-08-2020</v>
      </c>
      <c r="X2938" t="str">
        <f t="shared" si="1197"/>
        <v>RAZIMAH ANSAR AHMAD</v>
      </c>
      <c r="Y2938" t="str">
        <f t="shared" si="1198"/>
        <v>04-08-2020</v>
      </c>
      <c r="Z2938" t="str">
        <f>"COS10200804 6216"</f>
        <v>COS10200804 6216</v>
      </c>
    </row>
    <row r="2939" spans="1:26" x14ac:dyDescent="0.25">
      <c r="A2939" t="str">
        <f t="shared" si="1203"/>
        <v>04-08-2020 01:00:00</v>
      </c>
      <c r="B2939" t="str">
        <f>"0000808008"</f>
        <v>0000808008</v>
      </c>
      <c r="C2939" t="str">
        <f t="shared" si="1204"/>
        <v>0000807993</v>
      </c>
      <c r="D2939" t="str">
        <f t="shared" si="1184"/>
        <v>73185</v>
      </c>
      <c r="E2939" t="str">
        <f t="shared" si="1185"/>
        <v>KFH-OPERATIONS DEPARTMENT</v>
      </c>
      <c r="F2939" t="str">
        <f t="shared" si="1186"/>
        <v>IBG</v>
      </c>
      <c r="G2939" t="str">
        <f t="shared" si="1199"/>
        <v>Refund COSHARE 10</v>
      </c>
      <c r="H2939" s="2">
        <v>42</v>
      </c>
      <c r="I2939" t="str">
        <f>"NOOR DIANA BINTI HUSSAIN"</f>
        <v>NOOR DIANA BINTI HUSSAIN</v>
      </c>
      <c r="J2939" t="str">
        <f t="shared" si="1200"/>
        <v>MAYBANK / MAYBANK ISLAMIC</v>
      </c>
      <c r="K2939" t="str">
        <f>"166010151532"</f>
        <v>166010151532</v>
      </c>
      <c r="L2939" t="str">
        <f t="shared" si="1205"/>
        <v>04-08-2020</v>
      </c>
      <c r="M2939" t="str">
        <f t="shared" si="1205"/>
        <v>04-08-2020</v>
      </c>
      <c r="N2939" t="str">
        <f t="shared" si="1188"/>
        <v>001105018356</v>
      </c>
      <c r="O2939" t="str">
        <f t="shared" si="1189"/>
        <v>MYR</v>
      </c>
      <c r="P2939" t="str">
        <f t="shared" si="1206"/>
        <v>NIL</v>
      </c>
      <c r="Q2939" t="str">
        <f t="shared" si="1206"/>
        <v>NIL</v>
      </c>
      <c r="R2939" t="str">
        <f t="shared" si="1191"/>
        <v>Accepted</v>
      </c>
      <c r="S2939" t="str">
        <f t="shared" si="1192"/>
        <v>Approved</v>
      </c>
      <c r="T2939" t="str">
        <f t="shared" si="1193"/>
        <v>10.20.8.188</v>
      </c>
      <c r="U2939" t="str">
        <f t="shared" si="1194"/>
        <v>AZRAD UMAR BIN SHAARI</v>
      </c>
      <c r="V2939" t="str">
        <f t="shared" si="1195"/>
        <v>FARHANA BINTI MUSTAPA</v>
      </c>
      <c r="W2939" t="str">
        <f t="shared" si="1196"/>
        <v>04-08-2020</v>
      </c>
      <c r="X2939" t="str">
        <f t="shared" si="1197"/>
        <v>RAZIMAH ANSAR AHMAD</v>
      </c>
      <c r="Y2939" t="str">
        <f t="shared" si="1198"/>
        <v>04-08-2020</v>
      </c>
      <c r="Z2939" t="str">
        <f>"COS10200804 6215"</f>
        <v>COS10200804 6215</v>
      </c>
    </row>
    <row r="2940" spans="1:26" x14ac:dyDescent="0.25">
      <c r="A2940" t="str">
        <f t="shared" si="1203"/>
        <v>04-08-2020 01:00:00</v>
      </c>
      <c r="B2940" t="str">
        <f>"0000808007"</f>
        <v>0000808007</v>
      </c>
      <c r="C2940" t="str">
        <f t="shared" si="1204"/>
        <v>0000807993</v>
      </c>
      <c r="D2940" t="str">
        <f t="shared" si="1184"/>
        <v>73185</v>
      </c>
      <c r="E2940" t="str">
        <f t="shared" si="1185"/>
        <v>KFH-OPERATIONS DEPARTMENT</v>
      </c>
      <c r="F2940" t="str">
        <f t="shared" si="1186"/>
        <v>IBG</v>
      </c>
      <c r="G2940" t="str">
        <f t="shared" si="1199"/>
        <v>Refund COSHARE 10</v>
      </c>
      <c r="H2940" s="2">
        <v>335.8</v>
      </c>
      <c r="I2940" t="str">
        <f>"NOOR DAIRAN BINTI HUSSAIN"</f>
        <v>NOOR DAIRAN BINTI HUSSAIN</v>
      </c>
      <c r="J2940" t="str">
        <f t="shared" si="1200"/>
        <v>MAYBANK / MAYBANK ISLAMIC</v>
      </c>
      <c r="K2940" t="str">
        <f>"162143017282"</f>
        <v>162143017282</v>
      </c>
      <c r="L2940" t="str">
        <f t="shared" si="1205"/>
        <v>04-08-2020</v>
      </c>
      <c r="M2940" t="str">
        <f t="shared" si="1205"/>
        <v>04-08-2020</v>
      </c>
      <c r="N2940" t="str">
        <f t="shared" si="1188"/>
        <v>001105018356</v>
      </c>
      <c r="O2940" t="str">
        <f t="shared" si="1189"/>
        <v>MYR</v>
      </c>
      <c r="P2940" t="str">
        <f t="shared" si="1206"/>
        <v>NIL</v>
      </c>
      <c r="Q2940" t="str">
        <f t="shared" si="1206"/>
        <v>NIL</v>
      </c>
      <c r="R2940" t="str">
        <f t="shared" si="1191"/>
        <v>Accepted</v>
      </c>
      <c r="S2940" t="str">
        <f t="shared" si="1192"/>
        <v>Approved</v>
      </c>
      <c r="T2940" t="str">
        <f t="shared" si="1193"/>
        <v>10.20.8.188</v>
      </c>
      <c r="U2940" t="str">
        <f t="shared" si="1194"/>
        <v>AZRAD UMAR BIN SHAARI</v>
      </c>
      <c r="V2940" t="str">
        <f t="shared" si="1195"/>
        <v>FARHANA BINTI MUSTAPA</v>
      </c>
      <c r="W2940" t="str">
        <f t="shared" si="1196"/>
        <v>04-08-2020</v>
      </c>
      <c r="X2940" t="str">
        <f t="shared" si="1197"/>
        <v>RAZIMAH ANSAR AHMAD</v>
      </c>
      <c r="Y2940" t="str">
        <f t="shared" si="1198"/>
        <v>04-08-2020</v>
      </c>
      <c r="Z2940" t="str">
        <f>"COS10200804 6214"</f>
        <v>COS10200804 6214</v>
      </c>
    </row>
    <row r="2941" spans="1:26" x14ac:dyDescent="0.25">
      <c r="A2941" t="str">
        <f t="shared" si="1203"/>
        <v>04-08-2020 01:00:00</v>
      </c>
      <c r="B2941" t="str">
        <f>"0000808006"</f>
        <v>0000808006</v>
      </c>
      <c r="C2941" t="str">
        <f t="shared" si="1204"/>
        <v>0000807993</v>
      </c>
      <c r="D2941" t="str">
        <f t="shared" si="1184"/>
        <v>73185</v>
      </c>
      <c r="E2941" t="str">
        <f t="shared" si="1185"/>
        <v>KFH-OPERATIONS DEPARTMENT</v>
      </c>
      <c r="F2941" t="str">
        <f t="shared" si="1186"/>
        <v>IBG</v>
      </c>
      <c r="G2941" t="str">
        <f t="shared" si="1199"/>
        <v>Refund COSHARE 10</v>
      </c>
      <c r="H2941" s="2">
        <v>109</v>
      </c>
      <c r="I2941" t="str">
        <f>"NOOR AZURA BINTI MOHD AMRI"</f>
        <v>NOOR AZURA BINTI MOHD AMRI</v>
      </c>
      <c r="J2941" t="str">
        <f t="shared" si="1200"/>
        <v>MAYBANK / MAYBANK ISLAMIC</v>
      </c>
      <c r="K2941" t="str">
        <f>"116015023294"</f>
        <v>116015023294</v>
      </c>
      <c r="L2941" t="str">
        <f t="shared" si="1205"/>
        <v>04-08-2020</v>
      </c>
      <c r="M2941" t="str">
        <f t="shared" si="1205"/>
        <v>04-08-2020</v>
      </c>
      <c r="N2941" t="str">
        <f t="shared" si="1188"/>
        <v>001105018356</v>
      </c>
      <c r="O2941" t="str">
        <f t="shared" si="1189"/>
        <v>MYR</v>
      </c>
      <c r="P2941" t="str">
        <f t="shared" si="1206"/>
        <v>NIL</v>
      </c>
      <c r="Q2941" t="str">
        <f t="shared" si="1206"/>
        <v>NIL</v>
      </c>
      <c r="R2941" t="str">
        <f t="shared" si="1191"/>
        <v>Accepted</v>
      </c>
      <c r="S2941" t="str">
        <f t="shared" si="1192"/>
        <v>Approved</v>
      </c>
      <c r="T2941" t="str">
        <f t="shared" si="1193"/>
        <v>10.20.8.188</v>
      </c>
      <c r="U2941" t="str">
        <f t="shared" si="1194"/>
        <v>AZRAD UMAR BIN SHAARI</v>
      </c>
      <c r="V2941" t="str">
        <f t="shared" si="1195"/>
        <v>FARHANA BINTI MUSTAPA</v>
      </c>
      <c r="W2941" t="str">
        <f t="shared" si="1196"/>
        <v>04-08-2020</v>
      </c>
      <c r="X2941" t="str">
        <f t="shared" si="1197"/>
        <v>RAZIMAH ANSAR AHMAD</v>
      </c>
      <c r="Y2941" t="str">
        <f t="shared" si="1198"/>
        <v>04-08-2020</v>
      </c>
      <c r="Z2941" t="str">
        <f>"COS10200804 6213"</f>
        <v>COS10200804 6213</v>
      </c>
    </row>
    <row r="2942" spans="1:26" x14ac:dyDescent="0.25">
      <c r="A2942" t="str">
        <f t="shared" si="1203"/>
        <v>04-08-2020 01:00:00</v>
      </c>
      <c r="B2942" t="str">
        <f>"0000808005"</f>
        <v>0000808005</v>
      </c>
      <c r="C2942" t="str">
        <f t="shared" si="1204"/>
        <v>0000807993</v>
      </c>
      <c r="D2942" t="str">
        <f t="shared" si="1184"/>
        <v>73185</v>
      </c>
      <c r="E2942" t="str">
        <f t="shared" si="1185"/>
        <v>KFH-OPERATIONS DEPARTMENT</v>
      </c>
      <c r="F2942" t="str">
        <f t="shared" si="1186"/>
        <v>IBG</v>
      </c>
      <c r="G2942" t="str">
        <f t="shared" si="1199"/>
        <v>Refund COSHARE 10</v>
      </c>
      <c r="H2942" s="2">
        <v>772.35</v>
      </c>
      <c r="I2942" t="str">
        <f>"NOOR AZREEN BINTI AHMAD"</f>
        <v>NOOR AZREEN BINTI AHMAD</v>
      </c>
      <c r="J2942" t="str">
        <f t="shared" si="1200"/>
        <v>MAYBANK / MAYBANK ISLAMIC</v>
      </c>
      <c r="K2942" t="str">
        <f>"162106750017"</f>
        <v>162106750017</v>
      </c>
      <c r="L2942" t="str">
        <f t="shared" si="1205"/>
        <v>04-08-2020</v>
      </c>
      <c r="M2942" t="str">
        <f t="shared" si="1205"/>
        <v>04-08-2020</v>
      </c>
      <c r="N2942" t="str">
        <f t="shared" si="1188"/>
        <v>001105018356</v>
      </c>
      <c r="O2942" t="str">
        <f t="shared" si="1189"/>
        <v>MYR</v>
      </c>
      <c r="P2942" t="str">
        <f t="shared" si="1206"/>
        <v>NIL</v>
      </c>
      <c r="Q2942" t="str">
        <f t="shared" si="1206"/>
        <v>NIL</v>
      </c>
      <c r="R2942" t="str">
        <f t="shared" si="1191"/>
        <v>Accepted</v>
      </c>
      <c r="S2942" t="str">
        <f t="shared" si="1192"/>
        <v>Approved</v>
      </c>
      <c r="T2942" t="str">
        <f t="shared" si="1193"/>
        <v>10.20.8.188</v>
      </c>
      <c r="U2942" t="str">
        <f t="shared" si="1194"/>
        <v>AZRAD UMAR BIN SHAARI</v>
      </c>
      <c r="V2942" t="str">
        <f t="shared" si="1195"/>
        <v>FARHANA BINTI MUSTAPA</v>
      </c>
      <c r="W2942" t="str">
        <f t="shared" si="1196"/>
        <v>04-08-2020</v>
      </c>
      <c r="X2942" t="str">
        <f t="shared" si="1197"/>
        <v>RAZIMAH ANSAR AHMAD</v>
      </c>
      <c r="Y2942" t="str">
        <f t="shared" si="1198"/>
        <v>04-08-2020</v>
      </c>
      <c r="Z2942" t="str">
        <f>"COS10200804 6212"</f>
        <v>COS10200804 6212</v>
      </c>
    </row>
    <row r="2943" spans="1:26" x14ac:dyDescent="0.25">
      <c r="A2943" t="str">
        <f t="shared" si="1203"/>
        <v>04-08-2020 01:00:00</v>
      </c>
      <c r="B2943" t="str">
        <f>"0000808004"</f>
        <v>0000808004</v>
      </c>
      <c r="C2943" t="str">
        <f t="shared" si="1204"/>
        <v>0000807993</v>
      </c>
      <c r="D2943" t="str">
        <f t="shared" si="1184"/>
        <v>73185</v>
      </c>
      <c r="E2943" t="str">
        <f t="shared" si="1185"/>
        <v>KFH-OPERATIONS DEPARTMENT</v>
      </c>
      <c r="F2943" t="str">
        <f t="shared" si="1186"/>
        <v>IBG</v>
      </c>
      <c r="G2943" t="str">
        <f t="shared" si="1199"/>
        <v>Refund COSHARE 10</v>
      </c>
      <c r="H2943" s="2">
        <v>461.75</v>
      </c>
      <c r="I2943" t="str">
        <f>"NOOR AZRAWATI BINTI JOHAN"</f>
        <v>NOOR AZRAWATI BINTI JOHAN</v>
      </c>
      <c r="J2943" t="str">
        <f t="shared" si="1200"/>
        <v>MAYBANK / MAYBANK ISLAMIC</v>
      </c>
      <c r="K2943" t="str">
        <f>"156093904018"</f>
        <v>156093904018</v>
      </c>
      <c r="L2943" t="str">
        <f t="shared" si="1205"/>
        <v>04-08-2020</v>
      </c>
      <c r="M2943" t="str">
        <f t="shared" si="1205"/>
        <v>04-08-2020</v>
      </c>
      <c r="N2943" t="str">
        <f t="shared" si="1188"/>
        <v>001105018356</v>
      </c>
      <c r="O2943" t="str">
        <f t="shared" si="1189"/>
        <v>MYR</v>
      </c>
      <c r="P2943" t="str">
        <f t="shared" si="1206"/>
        <v>NIL</v>
      </c>
      <c r="Q2943" t="str">
        <f t="shared" si="1206"/>
        <v>NIL</v>
      </c>
      <c r="R2943" t="str">
        <f t="shared" si="1191"/>
        <v>Accepted</v>
      </c>
      <c r="S2943" t="str">
        <f t="shared" si="1192"/>
        <v>Approved</v>
      </c>
      <c r="T2943" t="str">
        <f t="shared" si="1193"/>
        <v>10.20.8.188</v>
      </c>
      <c r="U2943" t="str">
        <f t="shared" si="1194"/>
        <v>AZRAD UMAR BIN SHAARI</v>
      </c>
      <c r="V2943" t="str">
        <f t="shared" si="1195"/>
        <v>FARHANA BINTI MUSTAPA</v>
      </c>
      <c r="W2943" t="str">
        <f t="shared" si="1196"/>
        <v>04-08-2020</v>
      </c>
      <c r="X2943" t="str">
        <f t="shared" si="1197"/>
        <v>RAZIMAH ANSAR AHMAD</v>
      </c>
      <c r="Y2943" t="str">
        <f t="shared" si="1198"/>
        <v>04-08-2020</v>
      </c>
      <c r="Z2943" t="str">
        <f>"COS10200804 6211"</f>
        <v>COS10200804 6211</v>
      </c>
    </row>
    <row r="2944" spans="1:26" x14ac:dyDescent="0.25">
      <c r="A2944" t="str">
        <f t="shared" si="1203"/>
        <v>04-08-2020 01:00:00</v>
      </c>
      <c r="B2944" t="str">
        <f>"0000808003"</f>
        <v>0000808003</v>
      </c>
      <c r="C2944" t="str">
        <f t="shared" si="1204"/>
        <v>0000807993</v>
      </c>
      <c r="D2944" t="str">
        <f t="shared" si="1184"/>
        <v>73185</v>
      </c>
      <c r="E2944" t="str">
        <f t="shared" si="1185"/>
        <v>KFH-OPERATIONS DEPARTMENT</v>
      </c>
      <c r="F2944" t="str">
        <f t="shared" si="1186"/>
        <v>IBG</v>
      </c>
      <c r="G2944" t="str">
        <f t="shared" si="1199"/>
        <v>Refund COSHARE 10</v>
      </c>
      <c r="H2944" s="2">
        <v>172.4</v>
      </c>
      <c r="I2944" t="str">
        <f>"NOOR AZRAN BIN MOHAMAD NOOR"</f>
        <v>NOOR AZRAN BIN MOHAMAD NOOR</v>
      </c>
      <c r="J2944" t="str">
        <f t="shared" si="1200"/>
        <v>MAYBANK / MAYBANK ISLAMIC</v>
      </c>
      <c r="K2944" t="str">
        <f>"153038822176"</f>
        <v>153038822176</v>
      </c>
      <c r="L2944" t="str">
        <f t="shared" si="1205"/>
        <v>04-08-2020</v>
      </c>
      <c r="M2944" t="str">
        <f t="shared" si="1205"/>
        <v>04-08-2020</v>
      </c>
      <c r="N2944" t="str">
        <f t="shared" si="1188"/>
        <v>001105018356</v>
      </c>
      <c r="O2944" t="str">
        <f t="shared" si="1189"/>
        <v>MYR</v>
      </c>
      <c r="P2944" t="str">
        <f t="shared" si="1206"/>
        <v>NIL</v>
      </c>
      <c r="Q2944" t="str">
        <f t="shared" si="1206"/>
        <v>NIL</v>
      </c>
      <c r="R2944" t="str">
        <f t="shared" si="1191"/>
        <v>Accepted</v>
      </c>
      <c r="S2944" t="str">
        <f t="shared" si="1192"/>
        <v>Approved</v>
      </c>
      <c r="T2944" t="str">
        <f t="shared" si="1193"/>
        <v>10.20.8.188</v>
      </c>
      <c r="U2944" t="str">
        <f t="shared" si="1194"/>
        <v>AZRAD UMAR BIN SHAARI</v>
      </c>
      <c r="V2944" t="str">
        <f t="shared" si="1195"/>
        <v>FARHANA BINTI MUSTAPA</v>
      </c>
      <c r="W2944" t="str">
        <f t="shared" si="1196"/>
        <v>04-08-2020</v>
      </c>
      <c r="X2944" t="str">
        <f t="shared" si="1197"/>
        <v>RAZIMAH ANSAR AHMAD</v>
      </c>
      <c r="Y2944" t="str">
        <f t="shared" si="1198"/>
        <v>04-08-2020</v>
      </c>
      <c r="Z2944" t="str">
        <f>"COS10200804 6210"</f>
        <v>COS10200804 6210</v>
      </c>
    </row>
    <row r="2945" spans="1:26" x14ac:dyDescent="0.25">
      <c r="A2945" t="str">
        <f t="shared" si="1203"/>
        <v>04-08-2020 01:00:00</v>
      </c>
      <c r="B2945" t="str">
        <f>"0000808002"</f>
        <v>0000808002</v>
      </c>
      <c r="C2945" t="str">
        <f t="shared" si="1204"/>
        <v>0000807993</v>
      </c>
      <c r="D2945" t="str">
        <f t="shared" si="1184"/>
        <v>73185</v>
      </c>
      <c r="E2945" t="str">
        <f t="shared" si="1185"/>
        <v>KFH-OPERATIONS DEPARTMENT</v>
      </c>
      <c r="F2945" t="str">
        <f t="shared" si="1186"/>
        <v>IBG</v>
      </c>
      <c r="G2945" t="str">
        <f t="shared" si="1199"/>
        <v>Refund COSHARE 10</v>
      </c>
      <c r="H2945" s="2">
        <v>151.15</v>
      </c>
      <c r="I2945" t="str">
        <f>"NOOR AZMI BIN MOHAMAD ZAINI"</f>
        <v>NOOR AZMI BIN MOHAMAD ZAINI</v>
      </c>
      <c r="J2945" t="str">
        <f t="shared" si="1200"/>
        <v>MAYBANK / MAYBANK ISLAMIC</v>
      </c>
      <c r="K2945" t="str">
        <f>"158211630082"</f>
        <v>158211630082</v>
      </c>
      <c r="L2945" t="str">
        <f t="shared" si="1205"/>
        <v>04-08-2020</v>
      </c>
      <c r="M2945" t="str">
        <f t="shared" si="1205"/>
        <v>04-08-2020</v>
      </c>
      <c r="N2945" t="str">
        <f t="shared" si="1188"/>
        <v>001105018356</v>
      </c>
      <c r="O2945" t="str">
        <f t="shared" si="1189"/>
        <v>MYR</v>
      </c>
      <c r="P2945" t="str">
        <f t="shared" si="1206"/>
        <v>NIL</v>
      </c>
      <c r="Q2945" t="str">
        <f t="shared" si="1206"/>
        <v>NIL</v>
      </c>
      <c r="R2945" t="str">
        <f t="shared" si="1191"/>
        <v>Accepted</v>
      </c>
      <c r="S2945" t="str">
        <f t="shared" si="1192"/>
        <v>Approved</v>
      </c>
      <c r="T2945" t="str">
        <f t="shared" si="1193"/>
        <v>10.20.8.188</v>
      </c>
      <c r="U2945" t="str">
        <f t="shared" si="1194"/>
        <v>AZRAD UMAR BIN SHAARI</v>
      </c>
      <c r="V2945" t="str">
        <f t="shared" si="1195"/>
        <v>FARHANA BINTI MUSTAPA</v>
      </c>
      <c r="W2945" t="str">
        <f t="shared" si="1196"/>
        <v>04-08-2020</v>
      </c>
      <c r="X2945" t="str">
        <f t="shared" si="1197"/>
        <v>RAZIMAH ANSAR AHMAD</v>
      </c>
      <c r="Y2945" t="str">
        <f t="shared" si="1198"/>
        <v>04-08-2020</v>
      </c>
      <c r="Z2945" t="str">
        <f>"COS10200804 6209"</f>
        <v>COS10200804 6209</v>
      </c>
    </row>
    <row r="2946" spans="1:26" x14ac:dyDescent="0.25">
      <c r="A2946" t="str">
        <f t="shared" ref="A2946:A2953" si="1207">"04-08-2020 01:00:00"</f>
        <v>04-08-2020 01:00:00</v>
      </c>
      <c r="B2946" t="str">
        <f>"0000808001"</f>
        <v>0000808001</v>
      </c>
      <c r="C2946" t="str">
        <f t="shared" ref="C2946:C2953" si="1208">"0000807993"</f>
        <v>0000807993</v>
      </c>
      <c r="D2946" t="str">
        <f t="shared" si="1184"/>
        <v>73185</v>
      </c>
      <c r="E2946" t="str">
        <f t="shared" si="1185"/>
        <v>KFH-OPERATIONS DEPARTMENT</v>
      </c>
      <c r="F2946" t="str">
        <f t="shared" si="1186"/>
        <v>IBG</v>
      </c>
      <c r="G2946" t="str">
        <f t="shared" si="1199"/>
        <v>Refund COSHARE 10</v>
      </c>
      <c r="H2946" s="2">
        <v>142.75</v>
      </c>
      <c r="I2946" t="str">
        <f>"NOOR AZLINA BINTI SAID"</f>
        <v>NOOR AZLINA BINTI SAID</v>
      </c>
      <c r="J2946" t="str">
        <f t="shared" si="1200"/>
        <v>MAYBANK / MAYBANK ISLAMIC</v>
      </c>
      <c r="K2946" t="str">
        <f>"158293541414"</f>
        <v>158293541414</v>
      </c>
      <c r="L2946" t="str">
        <f t="shared" si="1205"/>
        <v>04-08-2020</v>
      </c>
      <c r="M2946" t="str">
        <f t="shared" si="1205"/>
        <v>04-08-2020</v>
      </c>
      <c r="N2946" t="str">
        <f t="shared" si="1188"/>
        <v>001105018356</v>
      </c>
      <c r="O2946" t="str">
        <f t="shared" si="1189"/>
        <v>MYR</v>
      </c>
      <c r="P2946" t="str">
        <f t="shared" si="1206"/>
        <v>NIL</v>
      </c>
      <c r="Q2946" t="str">
        <f t="shared" si="1206"/>
        <v>NIL</v>
      </c>
      <c r="R2946" t="str">
        <f t="shared" si="1191"/>
        <v>Accepted</v>
      </c>
      <c r="S2946" t="str">
        <f t="shared" si="1192"/>
        <v>Approved</v>
      </c>
      <c r="T2946" t="str">
        <f t="shared" si="1193"/>
        <v>10.20.8.188</v>
      </c>
      <c r="U2946" t="str">
        <f t="shared" si="1194"/>
        <v>AZRAD UMAR BIN SHAARI</v>
      </c>
      <c r="V2946" t="str">
        <f t="shared" si="1195"/>
        <v>FARHANA BINTI MUSTAPA</v>
      </c>
      <c r="W2946" t="str">
        <f t="shared" si="1196"/>
        <v>04-08-2020</v>
      </c>
      <c r="X2946" t="str">
        <f t="shared" si="1197"/>
        <v>RAZIMAH ANSAR AHMAD</v>
      </c>
      <c r="Y2946" t="str">
        <f t="shared" si="1198"/>
        <v>04-08-2020</v>
      </c>
      <c r="Z2946" t="str">
        <f>"COS10200804 6208"</f>
        <v>COS10200804 6208</v>
      </c>
    </row>
    <row r="2947" spans="1:26" x14ac:dyDescent="0.25">
      <c r="A2947" t="str">
        <f t="shared" si="1207"/>
        <v>04-08-2020 01:00:00</v>
      </c>
      <c r="B2947" t="str">
        <f>"0000808000"</f>
        <v>0000808000</v>
      </c>
      <c r="C2947" t="str">
        <f t="shared" si="1208"/>
        <v>0000807993</v>
      </c>
      <c r="D2947" t="str">
        <f t="shared" si="1184"/>
        <v>73185</v>
      </c>
      <c r="E2947" t="str">
        <f t="shared" si="1185"/>
        <v>KFH-OPERATIONS DEPARTMENT</v>
      </c>
      <c r="F2947" t="str">
        <f t="shared" si="1186"/>
        <v>IBG</v>
      </c>
      <c r="G2947" t="str">
        <f t="shared" si="1199"/>
        <v>Refund COSHARE 10</v>
      </c>
      <c r="H2947" s="2">
        <v>862</v>
      </c>
      <c r="I2947" t="str">
        <f>"NOOR AZLINA BINTI SAAD"</f>
        <v>NOOR AZLINA BINTI SAAD</v>
      </c>
      <c r="J2947" t="str">
        <f t="shared" si="1200"/>
        <v>MAYBANK / MAYBANK ISLAMIC</v>
      </c>
      <c r="K2947" t="str">
        <f>"101133279783"</f>
        <v>101133279783</v>
      </c>
      <c r="L2947" t="str">
        <f t="shared" ref="L2947:M2966" si="1209">"04-08-2020"</f>
        <v>04-08-2020</v>
      </c>
      <c r="M2947" t="str">
        <f t="shared" si="1209"/>
        <v>04-08-2020</v>
      </c>
      <c r="N2947" t="str">
        <f t="shared" si="1188"/>
        <v>001105018356</v>
      </c>
      <c r="O2947" t="str">
        <f t="shared" si="1189"/>
        <v>MYR</v>
      </c>
      <c r="P2947" t="str">
        <f t="shared" ref="P2947:Q2966" si="1210">"NIL"</f>
        <v>NIL</v>
      </c>
      <c r="Q2947" t="str">
        <f t="shared" si="1210"/>
        <v>NIL</v>
      </c>
      <c r="R2947" t="str">
        <f t="shared" si="1191"/>
        <v>Accepted</v>
      </c>
      <c r="S2947" t="str">
        <f t="shared" si="1192"/>
        <v>Approved</v>
      </c>
      <c r="T2947" t="str">
        <f t="shared" si="1193"/>
        <v>10.20.8.188</v>
      </c>
      <c r="U2947" t="str">
        <f t="shared" si="1194"/>
        <v>AZRAD UMAR BIN SHAARI</v>
      </c>
      <c r="V2947" t="str">
        <f t="shared" si="1195"/>
        <v>FARHANA BINTI MUSTAPA</v>
      </c>
      <c r="W2947" t="str">
        <f t="shared" si="1196"/>
        <v>04-08-2020</v>
      </c>
      <c r="X2947" t="str">
        <f t="shared" si="1197"/>
        <v>RAZIMAH ANSAR AHMAD</v>
      </c>
      <c r="Y2947" t="str">
        <f t="shared" si="1198"/>
        <v>04-08-2020</v>
      </c>
      <c r="Z2947" t="str">
        <f>"COS10200804 6207"</f>
        <v>COS10200804 6207</v>
      </c>
    </row>
    <row r="2948" spans="1:26" x14ac:dyDescent="0.25">
      <c r="A2948" t="str">
        <f t="shared" si="1207"/>
        <v>04-08-2020 01:00:00</v>
      </c>
      <c r="B2948" t="str">
        <f>"0000807999"</f>
        <v>0000807999</v>
      </c>
      <c r="C2948" t="str">
        <f t="shared" si="1208"/>
        <v>0000807993</v>
      </c>
      <c r="D2948" t="str">
        <f t="shared" si="1184"/>
        <v>73185</v>
      </c>
      <c r="E2948" t="str">
        <f t="shared" si="1185"/>
        <v>KFH-OPERATIONS DEPARTMENT</v>
      </c>
      <c r="F2948" t="str">
        <f t="shared" si="1186"/>
        <v>IBG</v>
      </c>
      <c r="G2948" t="str">
        <f t="shared" si="1199"/>
        <v>Refund COSHARE 10</v>
      </c>
      <c r="H2948" s="2">
        <v>387</v>
      </c>
      <c r="I2948" t="str">
        <f>"NOOR AZLINA BINTI HASHIM"</f>
        <v>NOOR AZLINA BINTI HASHIM</v>
      </c>
      <c r="J2948" t="str">
        <f t="shared" si="1200"/>
        <v>MAYBANK / MAYBANK ISLAMIC</v>
      </c>
      <c r="K2948" t="str">
        <f>"106089283489"</f>
        <v>106089283489</v>
      </c>
      <c r="L2948" t="str">
        <f t="shared" si="1209"/>
        <v>04-08-2020</v>
      </c>
      <c r="M2948" t="str">
        <f t="shared" si="1209"/>
        <v>04-08-2020</v>
      </c>
      <c r="N2948" t="str">
        <f t="shared" si="1188"/>
        <v>001105018356</v>
      </c>
      <c r="O2948" t="str">
        <f t="shared" si="1189"/>
        <v>MYR</v>
      </c>
      <c r="P2948" t="str">
        <f t="shared" si="1210"/>
        <v>NIL</v>
      </c>
      <c r="Q2948" t="str">
        <f t="shared" si="1210"/>
        <v>NIL</v>
      </c>
      <c r="R2948" t="str">
        <f t="shared" si="1191"/>
        <v>Accepted</v>
      </c>
      <c r="S2948" t="str">
        <f t="shared" si="1192"/>
        <v>Approved</v>
      </c>
      <c r="T2948" t="str">
        <f t="shared" si="1193"/>
        <v>10.20.8.188</v>
      </c>
      <c r="U2948" t="str">
        <f t="shared" si="1194"/>
        <v>AZRAD UMAR BIN SHAARI</v>
      </c>
      <c r="V2948" t="str">
        <f t="shared" si="1195"/>
        <v>FARHANA BINTI MUSTAPA</v>
      </c>
      <c r="W2948" t="str">
        <f t="shared" si="1196"/>
        <v>04-08-2020</v>
      </c>
      <c r="X2948" t="str">
        <f t="shared" si="1197"/>
        <v>RAZIMAH ANSAR AHMAD</v>
      </c>
      <c r="Y2948" t="str">
        <f t="shared" si="1198"/>
        <v>04-08-2020</v>
      </c>
      <c r="Z2948" t="str">
        <f>"COS10200804 6206"</f>
        <v>COS10200804 6206</v>
      </c>
    </row>
    <row r="2949" spans="1:26" x14ac:dyDescent="0.25">
      <c r="A2949" t="str">
        <f t="shared" si="1207"/>
        <v>04-08-2020 01:00:00</v>
      </c>
      <c r="B2949" t="str">
        <f>"0000807998"</f>
        <v>0000807998</v>
      </c>
      <c r="C2949" t="str">
        <f t="shared" si="1208"/>
        <v>0000807993</v>
      </c>
      <c r="D2949" t="str">
        <f t="shared" si="1184"/>
        <v>73185</v>
      </c>
      <c r="E2949" t="str">
        <f t="shared" si="1185"/>
        <v>KFH-OPERATIONS DEPARTMENT</v>
      </c>
      <c r="F2949" t="str">
        <f t="shared" si="1186"/>
        <v>IBG</v>
      </c>
      <c r="G2949" t="str">
        <f t="shared" si="1199"/>
        <v>Refund COSHARE 10</v>
      </c>
      <c r="H2949" s="2">
        <v>269</v>
      </c>
      <c r="I2949" t="str">
        <f>"NOOR AZLINA BINTI HASHIM"</f>
        <v>NOOR AZLINA BINTI HASHIM</v>
      </c>
      <c r="J2949" t="str">
        <f t="shared" si="1200"/>
        <v>MAYBANK / MAYBANK ISLAMIC</v>
      </c>
      <c r="K2949" t="str">
        <f>"106089283489"</f>
        <v>106089283489</v>
      </c>
      <c r="L2949" t="str">
        <f t="shared" si="1209"/>
        <v>04-08-2020</v>
      </c>
      <c r="M2949" t="str">
        <f t="shared" si="1209"/>
        <v>04-08-2020</v>
      </c>
      <c r="N2949" t="str">
        <f t="shared" si="1188"/>
        <v>001105018356</v>
      </c>
      <c r="O2949" t="str">
        <f t="shared" si="1189"/>
        <v>MYR</v>
      </c>
      <c r="P2949" t="str">
        <f t="shared" si="1210"/>
        <v>NIL</v>
      </c>
      <c r="Q2949" t="str">
        <f t="shared" si="1210"/>
        <v>NIL</v>
      </c>
      <c r="R2949" t="str">
        <f t="shared" si="1191"/>
        <v>Accepted</v>
      </c>
      <c r="S2949" t="str">
        <f t="shared" si="1192"/>
        <v>Approved</v>
      </c>
      <c r="T2949" t="str">
        <f t="shared" si="1193"/>
        <v>10.20.8.188</v>
      </c>
      <c r="U2949" t="str">
        <f t="shared" si="1194"/>
        <v>AZRAD UMAR BIN SHAARI</v>
      </c>
      <c r="V2949" t="str">
        <f t="shared" si="1195"/>
        <v>FARHANA BINTI MUSTAPA</v>
      </c>
      <c r="W2949" t="str">
        <f t="shared" si="1196"/>
        <v>04-08-2020</v>
      </c>
      <c r="X2949" t="str">
        <f t="shared" si="1197"/>
        <v>RAZIMAH ANSAR AHMAD</v>
      </c>
      <c r="Y2949" t="str">
        <f t="shared" si="1198"/>
        <v>04-08-2020</v>
      </c>
      <c r="Z2949" t="str">
        <f>"COS10200804 6205"</f>
        <v>COS10200804 6205</v>
      </c>
    </row>
    <row r="2950" spans="1:26" x14ac:dyDescent="0.25">
      <c r="A2950" t="str">
        <f t="shared" si="1207"/>
        <v>04-08-2020 01:00:00</v>
      </c>
      <c r="B2950" t="str">
        <f>"0000807997"</f>
        <v>0000807997</v>
      </c>
      <c r="C2950" t="str">
        <f t="shared" si="1208"/>
        <v>0000807993</v>
      </c>
      <c r="D2950" t="str">
        <f t="shared" si="1184"/>
        <v>73185</v>
      </c>
      <c r="E2950" t="str">
        <f t="shared" si="1185"/>
        <v>KFH-OPERATIONS DEPARTMENT</v>
      </c>
      <c r="F2950" t="str">
        <f t="shared" si="1186"/>
        <v>IBG</v>
      </c>
      <c r="G2950" t="str">
        <f t="shared" si="1199"/>
        <v>Refund COSHARE 10</v>
      </c>
      <c r="H2950" s="2">
        <v>965.45</v>
      </c>
      <c r="I2950" t="str">
        <f>"NOOR AZLIN BINTI HUSSIN"</f>
        <v>NOOR AZLIN BINTI HUSSIN</v>
      </c>
      <c r="J2950" t="str">
        <f t="shared" si="1200"/>
        <v>MAYBANK / MAYBANK ISLAMIC</v>
      </c>
      <c r="K2950" t="str">
        <f>"101244354107"</f>
        <v>101244354107</v>
      </c>
      <c r="L2950" t="str">
        <f t="shared" si="1209"/>
        <v>04-08-2020</v>
      </c>
      <c r="M2950" t="str">
        <f t="shared" si="1209"/>
        <v>04-08-2020</v>
      </c>
      <c r="N2950" t="str">
        <f t="shared" si="1188"/>
        <v>001105018356</v>
      </c>
      <c r="O2950" t="str">
        <f t="shared" si="1189"/>
        <v>MYR</v>
      </c>
      <c r="P2950" t="str">
        <f t="shared" si="1210"/>
        <v>NIL</v>
      </c>
      <c r="Q2950" t="str">
        <f t="shared" si="1210"/>
        <v>NIL</v>
      </c>
      <c r="R2950" t="str">
        <f t="shared" si="1191"/>
        <v>Accepted</v>
      </c>
      <c r="S2950" t="str">
        <f t="shared" si="1192"/>
        <v>Approved</v>
      </c>
      <c r="T2950" t="str">
        <f t="shared" si="1193"/>
        <v>10.20.8.188</v>
      </c>
      <c r="U2950" t="str">
        <f t="shared" si="1194"/>
        <v>AZRAD UMAR BIN SHAARI</v>
      </c>
      <c r="V2950" t="str">
        <f t="shared" si="1195"/>
        <v>FARHANA BINTI MUSTAPA</v>
      </c>
      <c r="W2950" t="str">
        <f t="shared" si="1196"/>
        <v>04-08-2020</v>
      </c>
      <c r="X2950" t="str">
        <f t="shared" si="1197"/>
        <v>RAZIMAH ANSAR AHMAD</v>
      </c>
      <c r="Y2950" t="str">
        <f t="shared" si="1198"/>
        <v>04-08-2020</v>
      </c>
      <c r="Z2950" t="str">
        <f>"COS10200804 6204"</f>
        <v>COS10200804 6204</v>
      </c>
    </row>
    <row r="2951" spans="1:26" x14ac:dyDescent="0.25">
      <c r="A2951" t="str">
        <f t="shared" si="1207"/>
        <v>04-08-2020 01:00:00</v>
      </c>
      <c r="B2951" t="str">
        <f>"0000807996"</f>
        <v>0000807996</v>
      </c>
      <c r="C2951" t="str">
        <f t="shared" si="1208"/>
        <v>0000807993</v>
      </c>
      <c r="D2951" t="str">
        <f t="shared" ref="D2951:D3014" si="1211">"73185"</f>
        <v>73185</v>
      </c>
      <c r="E2951" t="str">
        <f t="shared" ref="E2951:E3014" si="1212">"KFH-OPERATIONS DEPARTMENT"</f>
        <v>KFH-OPERATIONS DEPARTMENT</v>
      </c>
      <c r="F2951" t="str">
        <f t="shared" ref="F2951:F3014" si="1213">"IBG"</f>
        <v>IBG</v>
      </c>
      <c r="G2951" t="str">
        <f t="shared" si="1199"/>
        <v>Refund COSHARE 10</v>
      </c>
      <c r="H2951" s="2">
        <v>607</v>
      </c>
      <c r="I2951" t="str">
        <f>"NOOR AZLIA BINTI MUSA"</f>
        <v>NOOR AZLIA BINTI MUSA</v>
      </c>
      <c r="J2951" t="str">
        <f t="shared" si="1200"/>
        <v>MAYBANK / MAYBANK ISLAMIC</v>
      </c>
      <c r="K2951" t="str">
        <f>"164016961420"</f>
        <v>164016961420</v>
      </c>
      <c r="L2951" t="str">
        <f t="shared" si="1209"/>
        <v>04-08-2020</v>
      </c>
      <c r="M2951" t="str">
        <f t="shared" si="1209"/>
        <v>04-08-2020</v>
      </c>
      <c r="N2951" t="str">
        <f t="shared" ref="N2951:N3014" si="1214">"001105018356"</f>
        <v>001105018356</v>
      </c>
      <c r="O2951" t="str">
        <f t="shared" ref="O2951:O3014" si="1215">"MYR"</f>
        <v>MYR</v>
      </c>
      <c r="P2951" t="str">
        <f t="shared" si="1210"/>
        <v>NIL</v>
      </c>
      <c r="Q2951" t="str">
        <f t="shared" si="1210"/>
        <v>NIL</v>
      </c>
      <c r="R2951" t="str">
        <f t="shared" ref="R2951:R3014" si="1216">"Accepted"</f>
        <v>Accepted</v>
      </c>
      <c r="S2951" t="str">
        <f t="shared" ref="S2951:S3014" si="1217">"Approved"</f>
        <v>Approved</v>
      </c>
      <c r="T2951" t="str">
        <f t="shared" ref="T2951:T3014" si="1218">"10.20.8.188"</f>
        <v>10.20.8.188</v>
      </c>
      <c r="U2951" t="str">
        <f t="shared" ref="U2951:U3014" si="1219">"AZRAD UMAR BIN SHAARI"</f>
        <v>AZRAD UMAR BIN SHAARI</v>
      </c>
      <c r="V2951" t="str">
        <f t="shared" ref="V2951:V3014" si="1220">"FARHANA BINTI MUSTAPA"</f>
        <v>FARHANA BINTI MUSTAPA</v>
      </c>
      <c r="W2951" t="str">
        <f t="shared" ref="W2951:W3014" si="1221">"04-08-2020"</f>
        <v>04-08-2020</v>
      </c>
      <c r="X2951" t="str">
        <f t="shared" ref="X2951:X3014" si="1222">"RAZIMAH ANSAR AHMAD"</f>
        <v>RAZIMAH ANSAR AHMAD</v>
      </c>
      <c r="Y2951" t="str">
        <f t="shared" ref="Y2951:Y3014" si="1223">"04-08-2020"</f>
        <v>04-08-2020</v>
      </c>
      <c r="Z2951" t="str">
        <f>"COS10200804 6203"</f>
        <v>COS10200804 6203</v>
      </c>
    </row>
    <row r="2952" spans="1:26" x14ac:dyDescent="0.25">
      <c r="A2952" t="str">
        <f t="shared" si="1207"/>
        <v>04-08-2020 01:00:00</v>
      </c>
      <c r="B2952" t="str">
        <f>"0000807995"</f>
        <v>0000807995</v>
      </c>
      <c r="C2952" t="str">
        <f t="shared" si="1208"/>
        <v>0000807993</v>
      </c>
      <c r="D2952" t="str">
        <f t="shared" si="1211"/>
        <v>73185</v>
      </c>
      <c r="E2952" t="str">
        <f t="shared" si="1212"/>
        <v>KFH-OPERATIONS DEPARTMENT</v>
      </c>
      <c r="F2952" t="str">
        <f t="shared" si="1213"/>
        <v>IBG</v>
      </c>
      <c r="G2952" t="str">
        <f t="shared" si="1199"/>
        <v>Refund COSHARE 10</v>
      </c>
      <c r="H2952" s="2">
        <v>427</v>
      </c>
      <c r="I2952" t="str">
        <f>"NOOR AZIZAH BINTI OTHMAN"</f>
        <v>NOOR AZIZAH BINTI OTHMAN</v>
      </c>
      <c r="J2952" t="str">
        <f t="shared" si="1200"/>
        <v>MAYBANK / MAYBANK ISLAMIC</v>
      </c>
      <c r="K2952" t="str">
        <f>"101093231267"</f>
        <v>101093231267</v>
      </c>
      <c r="L2952" t="str">
        <f t="shared" si="1209"/>
        <v>04-08-2020</v>
      </c>
      <c r="M2952" t="str">
        <f t="shared" si="1209"/>
        <v>04-08-2020</v>
      </c>
      <c r="N2952" t="str">
        <f t="shared" si="1214"/>
        <v>001105018356</v>
      </c>
      <c r="O2952" t="str">
        <f t="shared" si="1215"/>
        <v>MYR</v>
      </c>
      <c r="P2952" t="str">
        <f t="shared" si="1210"/>
        <v>NIL</v>
      </c>
      <c r="Q2952" t="str">
        <f t="shared" si="1210"/>
        <v>NIL</v>
      </c>
      <c r="R2952" t="str">
        <f t="shared" si="1216"/>
        <v>Accepted</v>
      </c>
      <c r="S2952" t="str">
        <f t="shared" si="1217"/>
        <v>Approved</v>
      </c>
      <c r="T2952" t="str">
        <f t="shared" si="1218"/>
        <v>10.20.8.188</v>
      </c>
      <c r="U2952" t="str">
        <f t="shared" si="1219"/>
        <v>AZRAD UMAR BIN SHAARI</v>
      </c>
      <c r="V2952" t="str">
        <f t="shared" si="1220"/>
        <v>FARHANA BINTI MUSTAPA</v>
      </c>
      <c r="W2952" t="str">
        <f t="shared" si="1221"/>
        <v>04-08-2020</v>
      </c>
      <c r="X2952" t="str">
        <f t="shared" si="1222"/>
        <v>RAZIMAH ANSAR AHMAD</v>
      </c>
      <c r="Y2952" t="str">
        <f t="shared" si="1223"/>
        <v>04-08-2020</v>
      </c>
      <c r="Z2952" t="str">
        <f>"COS10200804 6202"</f>
        <v>COS10200804 6202</v>
      </c>
    </row>
    <row r="2953" spans="1:26" x14ac:dyDescent="0.25">
      <c r="A2953" t="str">
        <f t="shared" si="1207"/>
        <v>04-08-2020 01:00:00</v>
      </c>
      <c r="B2953" t="str">
        <f>"0000807994"</f>
        <v>0000807994</v>
      </c>
      <c r="C2953" t="str">
        <f t="shared" si="1208"/>
        <v>0000807993</v>
      </c>
      <c r="D2953" t="str">
        <f t="shared" si="1211"/>
        <v>73185</v>
      </c>
      <c r="E2953" t="str">
        <f t="shared" si="1212"/>
        <v>KFH-OPERATIONS DEPARTMENT</v>
      </c>
      <c r="F2953" t="str">
        <f t="shared" si="1213"/>
        <v>IBG</v>
      </c>
      <c r="G2953" t="str">
        <f t="shared" si="1199"/>
        <v>Refund COSHARE 10</v>
      </c>
      <c r="H2953" s="2">
        <v>92.35</v>
      </c>
      <c r="I2953" t="str">
        <f>"NOOR AZILA BINTI ELLIAS"</f>
        <v>NOOR AZILA BINTI ELLIAS</v>
      </c>
      <c r="J2953" t="str">
        <f t="shared" si="1200"/>
        <v>MAYBANK / MAYBANK ISLAMIC</v>
      </c>
      <c r="K2953" t="str">
        <f>"108226007563"</f>
        <v>108226007563</v>
      </c>
      <c r="L2953" t="str">
        <f t="shared" si="1209"/>
        <v>04-08-2020</v>
      </c>
      <c r="M2953" t="str">
        <f t="shared" si="1209"/>
        <v>04-08-2020</v>
      </c>
      <c r="N2953" t="str">
        <f t="shared" si="1214"/>
        <v>001105018356</v>
      </c>
      <c r="O2953" t="str">
        <f t="shared" si="1215"/>
        <v>MYR</v>
      </c>
      <c r="P2953" t="str">
        <f t="shared" si="1210"/>
        <v>NIL</v>
      </c>
      <c r="Q2953" t="str">
        <f t="shared" si="1210"/>
        <v>NIL</v>
      </c>
      <c r="R2953" t="str">
        <f t="shared" si="1216"/>
        <v>Accepted</v>
      </c>
      <c r="S2953" t="str">
        <f t="shared" si="1217"/>
        <v>Approved</v>
      </c>
      <c r="T2953" t="str">
        <f t="shared" si="1218"/>
        <v>10.20.8.188</v>
      </c>
      <c r="U2953" t="str">
        <f t="shared" si="1219"/>
        <v>AZRAD UMAR BIN SHAARI</v>
      </c>
      <c r="V2953" t="str">
        <f t="shared" si="1220"/>
        <v>FARHANA BINTI MUSTAPA</v>
      </c>
      <c r="W2953" t="str">
        <f t="shared" si="1221"/>
        <v>04-08-2020</v>
      </c>
      <c r="X2953" t="str">
        <f t="shared" si="1222"/>
        <v>RAZIMAH ANSAR AHMAD</v>
      </c>
      <c r="Y2953" t="str">
        <f t="shared" si="1223"/>
        <v>04-08-2020</v>
      </c>
      <c r="Z2953" t="str">
        <f>"COS10200804 6201"</f>
        <v>COS10200804 6201</v>
      </c>
    </row>
    <row r="2954" spans="1:26" x14ac:dyDescent="0.25">
      <c r="A2954" t="str">
        <f t="shared" ref="A2954:A2985" si="1224">"04-08-2020 12:58:57"</f>
        <v>04-08-2020 12:58:57</v>
      </c>
      <c r="B2954" t="str">
        <f>"0000807991"</f>
        <v>0000807991</v>
      </c>
      <c r="C2954" t="str">
        <f t="shared" ref="C2954:C2985" si="1225">"0000807791"</f>
        <v>0000807791</v>
      </c>
      <c r="D2954" t="str">
        <f t="shared" si="1211"/>
        <v>73185</v>
      </c>
      <c r="E2954" t="str">
        <f t="shared" si="1212"/>
        <v>KFH-OPERATIONS DEPARTMENT</v>
      </c>
      <c r="F2954" t="str">
        <f t="shared" si="1213"/>
        <v>IBG</v>
      </c>
      <c r="G2954" t="str">
        <f t="shared" si="1199"/>
        <v>Refund COSHARE 10</v>
      </c>
      <c r="H2954" s="2">
        <v>1138</v>
      </c>
      <c r="I2954" t="str">
        <f>"NOOR AZHA BIN MIDUN"</f>
        <v>NOOR AZHA BIN MIDUN</v>
      </c>
      <c r="J2954" t="str">
        <f t="shared" si="1200"/>
        <v>MAYBANK / MAYBANK ISLAMIC</v>
      </c>
      <c r="K2954" t="str">
        <f>"114132383833"</f>
        <v>114132383833</v>
      </c>
      <c r="L2954" t="str">
        <f t="shared" si="1209"/>
        <v>04-08-2020</v>
      </c>
      <c r="M2954" t="str">
        <f t="shared" si="1209"/>
        <v>04-08-2020</v>
      </c>
      <c r="N2954" t="str">
        <f t="shared" si="1214"/>
        <v>001105018356</v>
      </c>
      <c r="O2954" t="str">
        <f t="shared" si="1215"/>
        <v>MYR</v>
      </c>
      <c r="P2954" t="str">
        <f t="shared" si="1210"/>
        <v>NIL</v>
      </c>
      <c r="Q2954" t="str">
        <f t="shared" si="1210"/>
        <v>NIL</v>
      </c>
      <c r="R2954" t="str">
        <f t="shared" si="1216"/>
        <v>Accepted</v>
      </c>
      <c r="S2954" t="str">
        <f t="shared" si="1217"/>
        <v>Approved</v>
      </c>
      <c r="T2954" t="str">
        <f t="shared" si="1218"/>
        <v>10.20.8.188</v>
      </c>
      <c r="U2954" t="str">
        <f t="shared" si="1219"/>
        <v>AZRAD UMAR BIN SHAARI</v>
      </c>
      <c r="V2954" t="str">
        <f t="shared" si="1220"/>
        <v>FARHANA BINTI MUSTAPA</v>
      </c>
      <c r="W2954" t="str">
        <f t="shared" si="1221"/>
        <v>04-08-2020</v>
      </c>
      <c r="X2954" t="str">
        <f t="shared" si="1222"/>
        <v>RAZIMAH ANSAR AHMAD</v>
      </c>
      <c r="Y2954" t="str">
        <f t="shared" si="1223"/>
        <v>04-08-2020</v>
      </c>
      <c r="Z2954" t="str">
        <f>"COS10200804 6200"</f>
        <v>COS10200804 6200</v>
      </c>
    </row>
    <row r="2955" spans="1:26" x14ac:dyDescent="0.25">
      <c r="A2955" t="str">
        <f t="shared" si="1224"/>
        <v>04-08-2020 12:58:57</v>
      </c>
      <c r="B2955" t="str">
        <f>"0000807990"</f>
        <v>0000807990</v>
      </c>
      <c r="C2955" t="str">
        <f t="shared" si="1225"/>
        <v>0000807791</v>
      </c>
      <c r="D2955" t="str">
        <f t="shared" si="1211"/>
        <v>73185</v>
      </c>
      <c r="E2955" t="str">
        <f t="shared" si="1212"/>
        <v>KFH-OPERATIONS DEPARTMENT</v>
      </c>
      <c r="F2955" t="str">
        <f t="shared" si="1213"/>
        <v>IBG</v>
      </c>
      <c r="G2955" t="str">
        <f t="shared" si="1199"/>
        <v>Refund COSHARE 10</v>
      </c>
      <c r="H2955" s="2">
        <v>92</v>
      </c>
      <c r="I2955" t="str">
        <f>"NOOR AZEAN BINTI MAT DAUD"</f>
        <v>NOOR AZEAN BINTI MAT DAUD</v>
      </c>
      <c r="J2955" t="str">
        <f t="shared" si="1200"/>
        <v>MAYBANK / MAYBANK ISLAMIC</v>
      </c>
      <c r="K2955" t="str">
        <f>"164100226893"</f>
        <v>164100226893</v>
      </c>
      <c r="L2955" t="str">
        <f t="shared" si="1209"/>
        <v>04-08-2020</v>
      </c>
      <c r="M2955" t="str">
        <f t="shared" si="1209"/>
        <v>04-08-2020</v>
      </c>
      <c r="N2955" t="str">
        <f t="shared" si="1214"/>
        <v>001105018356</v>
      </c>
      <c r="O2955" t="str">
        <f t="shared" si="1215"/>
        <v>MYR</v>
      </c>
      <c r="P2955" t="str">
        <f t="shared" si="1210"/>
        <v>NIL</v>
      </c>
      <c r="Q2955" t="str">
        <f t="shared" si="1210"/>
        <v>NIL</v>
      </c>
      <c r="R2955" t="str">
        <f t="shared" si="1216"/>
        <v>Accepted</v>
      </c>
      <c r="S2955" t="str">
        <f t="shared" si="1217"/>
        <v>Approved</v>
      </c>
      <c r="T2955" t="str">
        <f t="shared" si="1218"/>
        <v>10.20.8.188</v>
      </c>
      <c r="U2955" t="str">
        <f t="shared" si="1219"/>
        <v>AZRAD UMAR BIN SHAARI</v>
      </c>
      <c r="V2955" t="str">
        <f t="shared" si="1220"/>
        <v>FARHANA BINTI MUSTAPA</v>
      </c>
      <c r="W2955" t="str">
        <f t="shared" si="1221"/>
        <v>04-08-2020</v>
      </c>
      <c r="X2955" t="str">
        <f t="shared" si="1222"/>
        <v>RAZIMAH ANSAR AHMAD</v>
      </c>
      <c r="Y2955" t="str">
        <f t="shared" si="1223"/>
        <v>04-08-2020</v>
      </c>
      <c r="Z2955" t="str">
        <f>"COS10200804 6199"</f>
        <v>COS10200804 6199</v>
      </c>
    </row>
    <row r="2956" spans="1:26" x14ac:dyDescent="0.25">
      <c r="A2956" t="str">
        <f t="shared" si="1224"/>
        <v>04-08-2020 12:58:57</v>
      </c>
      <c r="B2956" t="str">
        <f>"0000807989"</f>
        <v>0000807989</v>
      </c>
      <c r="C2956" t="str">
        <f t="shared" si="1225"/>
        <v>0000807791</v>
      </c>
      <c r="D2956" t="str">
        <f t="shared" si="1211"/>
        <v>73185</v>
      </c>
      <c r="E2956" t="str">
        <f t="shared" si="1212"/>
        <v>KFH-OPERATIONS DEPARTMENT</v>
      </c>
      <c r="F2956" t="str">
        <f t="shared" si="1213"/>
        <v>IBG</v>
      </c>
      <c r="G2956" t="str">
        <f t="shared" ref="G2956:G3019" si="1226">"Refund COSHARE 10"</f>
        <v>Refund COSHARE 10</v>
      </c>
      <c r="H2956" s="2">
        <v>112.6</v>
      </c>
      <c r="I2956" t="str">
        <f>"NOOR AZAM BIN ASMARAN"</f>
        <v>NOOR AZAM BIN ASMARAN</v>
      </c>
      <c r="J2956" t="str">
        <f t="shared" si="1200"/>
        <v>MAYBANK / MAYBANK ISLAMIC</v>
      </c>
      <c r="K2956" t="str">
        <f>"101011108910"</f>
        <v>101011108910</v>
      </c>
      <c r="L2956" t="str">
        <f t="shared" si="1209"/>
        <v>04-08-2020</v>
      </c>
      <c r="M2956" t="str">
        <f t="shared" si="1209"/>
        <v>04-08-2020</v>
      </c>
      <c r="N2956" t="str">
        <f t="shared" si="1214"/>
        <v>001105018356</v>
      </c>
      <c r="O2956" t="str">
        <f t="shared" si="1215"/>
        <v>MYR</v>
      </c>
      <c r="P2956" t="str">
        <f t="shared" si="1210"/>
        <v>NIL</v>
      </c>
      <c r="Q2956" t="str">
        <f t="shared" si="1210"/>
        <v>NIL</v>
      </c>
      <c r="R2956" t="str">
        <f t="shared" si="1216"/>
        <v>Accepted</v>
      </c>
      <c r="S2956" t="str">
        <f t="shared" si="1217"/>
        <v>Approved</v>
      </c>
      <c r="T2956" t="str">
        <f t="shared" si="1218"/>
        <v>10.20.8.188</v>
      </c>
      <c r="U2956" t="str">
        <f t="shared" si="1219"/>
        <v>AZRAD UMAR BIN SHAARI</v>
      </c>
      <c r="V2956" t="str">
        <f t="shared" si="1220"/>
        <v>FARHANA BINTI MUSTAPA</v>
      </c>
      <c r="W2956" t="str">
        <f t="shared" si="1221"/>
        <v>04-08-2020</v>
      </c>
      <c r="X2956" t="str">
        <f t="shared" si="1222"/>
        <v>RAZIMAH ANSAR AHMAD</v>
      </c>
      <c r="Y2956" t="str">
        <f t="shared" si="1223"/>
        <v>04-08-2020</v>
      </c>
      <c r="Z2956" t="str">
        <f>"COS10200804 6198"</f>
        <v>COS10200804 6198</v>
      </c>
    </row>
    <row r="2957" spans="1:26" x14ac:dyDescent="0.25">
      <c r="A2957" t="str">
        <f t="shared" si="1224"/>
        <v>04-08-2020 12:58:57</v>
      </c>
      <c r="B2957" t="str">
        <f>"0000807988"</f>
        <v>0000807988</v>
      </c>
      <c r="C2957" t="str">
        <f t="shared" si="1225"/>
        <v>0000807791</v>
      </c>
      <c r="D2957" t="str">
        <f t="shared" si="1211"/>
        <v>73185</v>
      </c>
      <c r="E2957" t="str">
        <f t="shared" si="1212"/>
        <v>KFH-OPERATIONS DEPARTMENT</v>
      </c>
      <c r="F2957" t="str">
        <f t="shared" si="1213"/>
        <v>IBG</v>
      </c>
      <c r="G2957" t="str">
        <f t="shared" si="1226"/>
        <v>Refund COSHARE 10</v>
      </c>
      <c r="H2957" s="2">
        <v>357.45</v>
      </c>
      <c r="I2957" t="str">
        <f>"NOOR AZAH BINTI YAAKOP"</f>
        <v>NOOR AZAH BINTI YAAKOP</v>
      </c>
      <c r="J2957" t="str">
        <f t="shared" si="1200"/>
        <v>MAYBANK / MAYBANK ISLAMIC</v>
      </c>
      <c r="K2957" t="str">
        <f>"101150166009"</f>
        <v>101150166009</v>
      </c>
      <c r="L2957" t="str">
        <f t="shared" si="1209"/>
        <v>04-08-2020</v>
      </c>
      <c r="M2957" t="str">
        <f t="shared" si="1209"/>
        <v>04-08-2020</v>
      </c>
      <c r="N2957" t="str">
        <f t="shared" si="1214"/>
        <v>001105018356</v>
      </c>
      <c r="O2957" t="str">
        <f t="shared" si="1215"/>
        <v>MYR</v>
      </c>
      <c r="P2957" t="str">
        <f t="shared" si="1210"/>
        <v>NIL</v>
      </c>
      <c r="Q2957" t="str">
        <f t="shared" si="1210"/>
        <v>NIL</v>
      </c>
      <c r="R2957" t="str">
        <f t="shared" si="1216"/>
        <v>Accepted</v>
      </c>
      <c r="S2957" t="str">
        <f t="shared" si="1217"/>
        <v>Approved</v>
      </c>
      <c r="T2957" t="str">
        <f t="shared" si="1218"/>
        <v>10.20.8.188</v>
      </c>
      <c r="U2957" t="str">
        <f t="shared" si="1219"/>
        <v>AZRAD UMAR BIN SHAARI</v>
      </c>
      <c r="V2957" t="str">
        <f t="shared" si="1220"/>
        <v>FARHANA BINTI MUSTAPA</v>
      </c>
      <c r="W2957" t="str">
        <f t="shared" si="1221"/>
        <v>04-08-2020</v>
      </c>
      <c r="X2957" t="str">
        <f t="shared" si="1222"/>
        <v>RAZIMAH ANSAR AHMAD</v>
      </c>
      <c r="Y2957" t="str">
        <f t="shared" si="1223"/>
        <v>04-08-2020</v>
      </c>
      <c r="Z2957" t="str">
        <f>"COS10200804 6197"</f>
        <v>COS10200804 6197</v>
      </c>
    </row>
    <row r="2958" spans="1:26" x14ac:dyDescent="0.25">
      <c r="A2958" t="str">
        <f t="shared" si="1224"/>
        <v>04-08-2020 12:58:57</v>
      </c>
      <c r="B2958" t="str">
        <f>"0000807987"</f>
        <v>0000807987</v>
      </c>
      <c r="C2958" t="str">
        <f t="shared" si="1225"/>
        <v>0000807791</v>
      </c>
      <c r="D2958" t="str">
        <f t="shared" si="1211"/>
        <v>73185</v>
      </c>
      <c r="E2958" t="str">
        <f t="shared" si="1212"/>
        <v>KFH-OPERATIONS DEPARTMENT</v>
      </c>
      <c r="F2958" t="str">
        <f t="shared" si="1213"/>
        <v>IBG</v>
      </c>
      <c r="G2958" t="str">
        <f t="shared" si="1226"/>
        <v>Refund COSHARE 10</v>
      </c>
      <c r="H2958" s="2">
        <v>184.7</v>
      </c>
      <c r="I2958" t="str">
        <f>"NOOR AYULA BINTI YUSOFF"</f>
        <v>NOOR AYULA BINTI YUSOFF</v>
      </c>
      <c r="J2958" t="str">
        <f t="shared" si="1200"/>
        <v>MAYBANK / MAYBANK ISLAMIC</v>
      </c>
      <c r="K2958" t="str">
        <f>"164052285916"</f>
        <v>164052285916</v>
      </c>
      <c r="L2958" t="str">
        <f t="shared" si="1209"/>
        <v>04-08-2020</v>
      </c>
      <c r="M2958" t="str">
        <f t="shared" si="1209"/>
        <v>04-08-2020</v>
      </c>
      <c r="N2958" t="str">
        <f t="shared" si="1214"/>
        <v>001105018356</v>
      </c>
      <c r="O2958" t="str">
        <f t="shared" si="1215"/>
        <v>MYR</v>
      </c>
      <c r="P2958" t="str">
        <f t="shared" si="1210"/>
        <v>NIL</v>
      </c>
      <c r="Q2958" t="str">
        <f t="shared" si="1210"/>
        <v>NIL</v>
      </c>
      <c r="R2958" t="str">
        <f t="shared" si="1216"/>
        <v>Accepted</v>
      </c>
      <c r="S2958" t="str">
        <f t="shared" si="1217"/>
        <v>Approved</v>
      </c>
      <c r="T2958" t="str">
        <f t="shared" si="1218"/>
        <v>10.20.8.188</v>
      </c>
      <c r="U2958" t="str">
        <f t="shared" si="1219"/>
        <v>AZRAD UMAR BIN SHAARI</v>
      </c>
      <c r="V2958" t="str">
        <f t="shared" si="1220"/>
        <v>FARHANA BINTI MUSTAPA</v>
      </c>
      <c r="W2958" t="str">
        <f t="shared" si="1221"/>
        <v>04-08-2020</v>
      </c>
      <c r="X2958" t="str">
        <f t="shared" si="1222"/>
        <v>RAZIMAH ANSAR AHMAD</v>
      </c>
      <c r="Y2958" t="str">
        <f t="shared" si="1223"/>
        <v>04-08-2020</v>
      </c>
      <c r="Z2958" t="str">
        <f>"COS10200804 6196"</f>
        <v>COS10200804 6196</v>
      </c>
    </row>
    <row r="2959" spans="1:26" x14ac:dyDescent="0.25">
      <c r="A2959" t="str">
        <f t="shared" si="1224"/>
        <v>04-08-2020 12:58:57</v>
      </c>
      <c r="B2959" t="str">
        <f>"0000807986"</f>
        <v>0000807986</v>
      </c>
      <c r="C2959" t="str">
        <f t="shared" si="1225"/>
        <v>0000807791</v>
      </c>
      <c r="D2959" t="str">
        <f t="shared" si="1211"/>
        <v>73185</v>
      </c>
      <c r="E2959" t="str">
        <f t="shared" si="1212"/>
        <v>KFH-OPERATIONS DEPARTMENT</v>
      </c>
      <c r="F2959" t="str">
        <f t="shared" si="1213"/>
        <v>IBG</v>
      </c>
      <c r="G2959" t="str">
        <f t="shared" si="1226"/>
        <v>Refund COSHARE 10</v>
      </c>
      <c r="H2959" s="2">
        <v>1343.2</v>
      </c>
      <c r="I2959" t="str">
        <f>"NOOR ASNIHAN BINTI MARZUKI"</f>
        <v>NOOR ASNIHAN BINTI MARZUKI</v>
      </c>
      <c r="J2959" t="str">
        <f t="shared" si="1200"/>
        <v>MAYBANK / MAYBANK ISLAMIC</v>
      </c>
      <c r="K2959" t="str">
        <f>"102054841334"</f>
        <v>102054841334</v>
      </c>
      <c r="L2959" t="str">
        <f t="shared" si="1209"/>
        <v>04-08-2020</v>
      </c>
      <c r="M2959" t="str">
        <f t="shared" si="1209"/>
        <v>04-08-2020</v>
      </c>
      <c r="N2959" t="str">
        <f t="shared" si="1214"/>
        <v>001105018356</v>
      </c>
      <c r="O2959" t="str">
        <f t="shared" si="1215"/>
        <v>MYR</v>
      </c>
      <c r="P2959" t="str">
        <f t="shared" si="1210"/>
        <v>NIL</v>
      </c>
      <c r="Q2959" t="str">
        <f t="shared" si="1210"/>
        <v>NIL</v>
      </c>
      <c r="R2959" t="str">
        <f t="shared" si="1216"/>
        <v>Accepted</v>
      </c>
      <c r="S2959" t="str">
        <f t="shared" si="1217"/>
        <v>Approved</v>
      </c>
      <c r="T2959" t="str">
        <f t="shared" si="1218"/>
        <v>10.20.8.188</v>
      </c>
      <c r="U2959" t="str">
        <f t="shared" si="1219"/>
        <v>AZRAD UMAR BIN SHAARI</v>
      </c>
      <c r="V2959" t="str">
        <f t="shared" si="1220"/>
        <v>FARHANA BINTI MUSTAPA</v>
      </c>
      <c r="W2959" t="str">
        <f t="shared" si="1221"/>
        <v>04-08-2020</v>
      </c>
      <c r="X2959" t="str">
        <f t="shared" si="1222"/>
        <v>RAZIMAH ANSAR AHMAD</v>
      </c>
      <c r="Y2959" t="str">
        <f t="shared" si="1223"/>
        <v>04-08-2020</v>
      </c>
      <c r="Z2959" t="str">
        <f>"COS10200804 6195"</f>
        <v>COS10200804 6195</v>
      </c>
    </row>
    <row r="2960" spans="1:26" x14ac:dyDescent="0.25">
      <c r="A2960" t="str">
        <f t="shared" si="1224"/>
        <v>04-08-2020 12:58:57</v>
      </c>
      <c r="B2960" t="str">
        <f>"0000807985"</f>
        <v>0000807985</v>
      </c>
      <c r="C2960" t="str">
        <f t="shared" si="1225"/>
        <v>0000807791</v>
      </c>
      <c r="D2960" t="str">
        <f t="shared" si="1211"/>
        <v>73185</v>
      </c>
      <c r="E2960" t="str">
        <f t="shared" si="1212"/>
        <v>KFH-OPERATIONS DEPARTMENT</v>
      </c>
      <c r="F2960" t="str">
        <f t="shared" si="1213"/>
        <v>IBG</v>
      </c>
      <c r="G2960" t="str">
        <f t="shared" si="1226"/>
        <v>Refund COSHARE 10</v>
      </c>
      <c r="H2960" s="2">
        <v>177.85</v>
      </c>
      <c r="I2960" t="str">
        <f>"NOOR ASNAH BINTI SARMAN"</f>
        <v>NOOR ASNAH BINTI SARMAN</v>
      </c>
      <c r="J2960" t="str">
        <f t="shared" si="1200"/>
        <v>MAYBANK / MAYBANK ISLAMIC</v>
      </c>
      <c r="K2960" t="str">
        <f>"110023146865"</f>
        <v>110023146865</v>
      </c>
      <c r="L2960" t="str">
        <f t="shared" si="1209"/>
        <v>04-08-2020</v>
      </c>
      <c r="M2960" t="str">
        <f t="shared" si="1209"/>
        <v>04-08-2020</v>
      </c>
      <c r="N2960" t="str">
        <f t="shared" si="1214"/>
        <v>001105018356</v>
      </c>
      <c r="O2960" t="str">
        <f t="shared" si="1215"/>
        <v>MYR</v>
      </c>
      <c r="P2960" t="str">
        <f t="shared" si="1210"/>
        <v>NIL</v>
      </c>
      <c r="Q2960" t="str">
        <f t="shared" si="1210"/>
        <v>NIL</v>
      </c>
      <c r="R2960" t="str">
        <f t="shared" si="1216"/>
        <v>Accepted</v>
      </c>
      <c r="S2960" t="str">
        <f t="shared" si="1217"/>
        <v>Approved</v>
      </c>
      <c r="T2960" t="str">
        <f t="shared" si="1218"/>
        <v>10.20.8.188</v>
      </c>
      <c r="U2960" t="str">
        <f t="shared" si="1219"/>
        <v>AZRAD UMAR BIN SHAARI</v>
      </c>
      <c r="V2960" t="str">
        <f t="shared" si="1220"/>
        <v>FARHANA BINTI MUSTAPA</v>
      </c>
      <c r="W2960" t="str">
        <f t="shared" si="1221"/>
        <v>04-08-2020</v>
      </c>
      <c r="X2960" t="str">
        <f t="shared" si="1222"/>
        <v>RAZIMAH ANSAR AHMAD</v>
      </c>
      <c r="Y2960" t="str">
        <f t="shared" si="1223"/>
        <v>04-08-2020</v>
      </c>
      <c r="Z2960" t="str">
        <f>"COS10200804 6194"</f>
        <v>COS10200804 6194</v>
      </c>
    </row>
    <row r="2961" spans="1:26" x14ac:dyDescent="0.25">
      <c r="A2961" t="str">
        <f t="shared" si="1224"/>
        <v>04-08-2020 12:58:57</v>
      </c>
      <c r="B2961" t="str">
        <f>"0000807984"</f>
        <v>0000807984</v>
      </c>
      <c r="C2961" t="str">
        <f t="shared" si="1225"/>
        <v>0000807791</v>
      </c>
      <c r="D2961" t="str">
        <f t="shared" si="1211"/>
        <v>73185</v>
      </c>
      <c r="E2961" t="str">
        <f t="shared" si="1212"/>
        <v>KFH-OPERATIONS DEPARTMENT</v>
      </c>
      <c r="F2961" t="str">
        <f t="shared" si="1213"/>
        <v>IBG</v>
      </c>
      <c r="G2961" t="str">
        <f t="shared" si="1226"/>
        <v>Refund COSHARE 10</v>
      </c>
      <c r="H2961" s="2">
        <v>820.25</v>
      </c>
      <c r="I2961" t="str">
        <f>"NOOR ASMAK BINTI CHE ABU BAKAR"</f>
        <v>NOOR ASMAK BINTI CHE ABU BAKAR</v>
      </c>
      <c r="J2961" t="str">
        <f t="shared" ref="J2961:J3024" si="1227">"MAYBANK / MAYBANK ISLAMIC"</f>
        <v>MAYBANK / MAYBANK ISLAMIC</v>
      </c>
      <c r="K2961" t="str">
        <f>"153010182404"</f>
        <v>153010182404</v>
      </c>
      <c r="L2961" t="str">
        <f t="shared" si="1209"/>
        <v>04-08-2020</v>
      </c>
      <c r="M2961" t="str">
        <f t="shared" si="1209"/>
        <v>04-08-2020</v>
      </c>
      <c r="N2961" t="str">
        <f t="shared" si="1214"/>
        <v>001105018356</v>
      </c>
      <c r="O2961" t="str">
        <f t="shared" si="1215"/>
        <v>MYR</v>
      </c>
      <c r="P2961" t="str">
        <f t="shared" si="1210"/>
        <v>NIL</v>
      </c>
      <c r="Q2961" t="str">
        <f t="shared" si="1210"/>
        <v>NIL</v>
      </c>
      <c r="R2961" t="str">
        <f t="shared" si="1216"/>
        <v>Accepted</v>
      </c>
      <c r="S2961" t="str">
        <f t="shared" si="1217"/>
        <v>Approved</v>
      </c>
      <c r="T2961" t="str">
        <f t="shared" si="1218"/>
        <v>10.20.8.188</v>
      </c>
      <c r="U2961" t="str">
        <f t="shared" si="1219"/>
        <v>AZRAD UMAR BIN SHAARI</v>
      </c>
      <c r="V2961" t="str">
        <f t="shared" si="1220"/>
        <v>FARHANA BINTI MUSTAPA</v>
      </c>
      <c r="W2961" t="str">
        <f t="shared" si="1221"/>
        <v>04-08-2020</v>
      </c>
      <c r="X2961" t="str">
        <f t="shared" si="1222"/>
        <v>RAZIMAH ANSAR AHMAD</v>
      </c>
      <c r="Y2961" t="str">
        <f t="shared" si="1223"/>
        <v>04-08-2020</v>
      </c>
      <c r="Z2961" t="str">
        <f>"COS10200804 6193"</f>
        <v>COS10200804 6193</v>
      </c>
    </row>
    <row r="2962" spans="1:26" x14ac:dyDescent="0.25">
      <c r="A2962" t="str">
        <f t="shared" si="1224"/>
        <v>04-08-2020 12:58:57</v>
      </c>
      <c r="B2962" t="str">
        <f>"0000807983"</f>
        <v>0000807983</v>
      </c>
      <c r="C2962" t="str">
        <f t="shared" si="1225"/>
        <v>0000807791</v>
      </c>
      <c r="D2962" t="str">
        <f t="shared" si="1211"/>
        <v>73185</v>
      </c>
      <c r="E2962" t="str">
        <f t="shared" si="1212"/>
        <v>KFH-OPERATIONS DEPARTMENT</v>
      </c>
      <c r="F2962" t="str">
        <f t="shared" si="1213"/>
        <v>IBG</v>
      </c>
      <c r="G2962" t="str">
        <f t="shared" si="1226"/>
        <v>Refund COSHARE 10</v>
      </c>
      <c r="H2962" s="2">
        <v>310.60000000000002</v>
      </c>
      <c r="I2962" t="str">
        <f>"NOOR ASLINA BINTI MOHD SIRAT"</f>
        <v>NOOR ASLINA BINTI MOHD SIRAT</v>
      </c>
      <c r="J2962" t="str">
        <f t="shared" si="1227"/>
        <v>MAYBANK / MAYBANK ISLAMIC</v>
      </c>
      <c r="K2962" t="str">
        <f>"151017119302"</f>
        <v>151017119302</v>
      </c>
      <c r="L2962" t="str">
        <f t="shared" si="1209"/>
        <v>04-08-2020</v>
      </c>
      <c r="M2962" t="str">
        <f t="shared" si="1209"/>
        <v>04-08-2020</v>
      </c>
      <c r="N2962" t="str">
        <f t="shared" si="1214"/>
        <v>001105018356</v>
      </c>
      <c r="O2962" t="str">
        <f t="shared" si="1215"/>
        <v>MYR</v>
      </c>
      <c r="P2962" t="str">
        <f t="shared" si="1210"/>
        <v>NIL</v>
      </c>
      <c r="Q2962" t="str">
        <f t="shared" si="1210"/>
        <v>NIL</v>
      </c>
      <c r="R2962" t="str">
        <f t="shared" si="1216"/>
        <v>Accepted</v>
      </c>
      <c r="S2962" t="str">
        <f t="shared" si="1217"/>
        <v>Approved</v>
      </c>
      <c r="T2962" t="str">
        <f t="shared" si="1218"/>
        <v>10.20.8.188</v>
      </c>
      <c r="U2962" t="str">
        <f t="shared" si="1219"/>
        <v>AZRAD UMAR BIN SHAARI</v>
      </c>
      <c r="V2962" t="str">
        <f t="shared" si="1220"/>
        <v>FARHANA BINTI MUSTAPA</v>
      </c>
      <c r="W2962" t="str">
        <f t="shared" si="1221"/>
        <v>04-08-2020</v>
      </c>
      <c r="X2962" t="str">
        <f t="shared" si="1222"/>
        <v>RAZIMAH ANSAR AHMAD</v>
      </c>
      <c r="Y2962" t="str">
        <f t="shared" si="1223"/>
        <v>04-08-2020</v>
      </c>
      <c r="Z2962" t="str">
        <f>"COS10200804 6192"</f>
        <v>COS10200804 6192</v>
      </c>
    </row>
    <row r="2963" spans="1:26" x14ac:dyDescent="0.25">
      <c r="A2963" t="str">
        <f t="shared" si="1224"/>
        <v>04-08-2020 12:58:57</v>
      </c>
      <c r="B2963" t="str">
        <f>"0000807982"</f>
        <v>0000807982</v>
      </c>
      <c r="C2963" t="str">
        <f t="shared" si="1225"/>
        <v>0000807791</v>
      </c>
      <c r="D2963" t="str">
        <f t="shared" si="1211"/>
        <v>73185</v>
      </c>
      <c r="E2963" t="str">
        <f t="shared" si="1212"/>
        <v>KFH-OPERATIONS DEPARTMENT</v>
      </c>
      <c r="F2963" t="str">
        <f t="shared" si="1213"/>
        <v>IBG</v>
      </c>
      <c r="G2963" t="str">
        <f t="shared" si="1226"/>
        <v>Refund COSHARE 10</v>
      </c>
      <c r="H2963" s="2">
        <v>317.60000000000002</v>
      </c>
      <c r="I2963" t="str">
        <f>"NOOR ASIAH BINTI HUSIN"</f>
        <v>NOOR ASIAH BINTI HUSIN</v>
      </c>
      <c r="J2963" t="str">
        <f t="shared" si="1227"/>
        <v>MAYBANK / MAYBANK ISLAMIC</v>
      </c>
      <c r="K2963" t="str">
        <f>"156208080747"</f>
        <v>156208080747</v>
      </c>
      <c r="L2963" t="str">
        <f t="shared" si="1209"/>
        <v>04-08-2020</v>
      </c>
      <c r="M2963" t="str">
        <f t="shared" si="1209"/>
        <v>04-08-2020</v>
      </c>
      <c r="N2963" t="str">
        <f t="shared" si="1214"/>
        <v>001105018356</v>
      </c>
      <c r="O2963" t="str">
        <f t="shared" si="1215"/>
        <v>MYR</v>
      </c>
      <c r="P2963" t="str">
        <f t="shared" si="1210"/>
        <v>NIL</v>
      </c>
      <c r="Q2963" t="str">
        <f t="shared" si="1210"/>
        <v>NIL</v>
      </c>
      <c r="R2963" t="str">
        <f t="shared" si="1216"/>
        <v>Accepted</v>
      </c>
      <c r="S2963" t="str">
        <f t="shared" si="1217"/>
        <v>Approved</v>
      </c>
      <c r="T2963" t="str">
        <f t="shared" si="1218"/>
        <v>10.20.8.188</v>
      </c>
      <c r="U2963" t="str">
        <f t="shared" si="1219"/>
        <v>AZRAD UMAR BIN SHAARI</v>
      </c>
      <c r="V2963" t="str">
        <f t="shared" si="1220"/>
        <v>FARHANA BINTI MUSTAPA</v>
      </c>
      <c r="W2963" t="str">
        <f t="shared" si="1221"/>
        <v>04-08-2020</v>
      </c>
      <c r="X2963" t="str">
        <f t="shared" si="1222"/>
        <v>RAZIMAH ANSAR AHMAD</v>
      </c>
      <c r="Y2963" t="str">
        <f t="shared" si="1223"/>
        <v>04-08-2020</v>
      </c>
      <c r="Z2963" t="str">
        <f>"COS10200804 6191"</f>
        <v>COS10200804 6191</v>
      </c>
    </row>
    <row r="2964" spans="1:26" x14ac:dyDescent="0.25">
      <c r="A2964" t="str">
        <f t="shared" si="1224"/>
        <v>04-08-2020 12:58:57</v>
      </c>
      <c r="B2964" t="str">
        <f>"0000807981"</f>
        <v>0000807981</v>
      </c>
      <c r="C2964" t="str">
        <f t="shared" si="1225"/>
        <v>0000807791</v>
      </c>
      <c r="D2964" t="str">
        <f t="shared" si="1211"/>
        <v>73185</v>
      </c>
      <c r="E2964" t="str">
        <f t="shared" si="1212"/>
        <v>KFH-OPERATIONS DEPARTMENT</v>
      </c>
      <c r="F2964" t="str">
        <f t="shared" si="1213"/>
        <v>IBG</v>
      </c>
      <c r="G2964" t="str">
        <f t="shared" si="1226"/>
        <v>Refund COSHARE 10</v>
      </c>
      <c r="H2964" s="2">
        <v>646.45000000000005</v>
      </c>
      <c r="I2964" t="str">
        <f>"NOOR ASIAH BINTI ABDUL AZIZ"</f>
        <v>NOOR ASIAH BINTI ABDUL AZIZ</v>
      </c>
      <c r="J2964" t="str">
        <f t="shared" si="1227"/>
        <v>MAYBANK / MAYBANK ISLAMIC</v>
      </c>
      <c r="K2964" t="str">
        <f>"114253442277"</f>
        <v>114253442277</v>
      </c>
      <c r="L2964" t="str">
        <f t="shared" si="1209"/>
        <v>04-08-2020</v>
      </c>
      <c r="M2964" t="str">
        <f t="shared" si="1209"/>
        <v>04-08-2020</v>
      </c>
      <c r="N2964" t="str">
        <f t="shared" si="1214"/>
        <v>001105018356</v>
      </c>
      <c r="O2964" t="str">
        <f t="shared" si="1215"/>
        <v>MYR</v>
      </c>
      <c r="P2964" t="str">
        <f t="shared" si="1210"/>
        <v>NIL</v>
      </c>
      <c r="Q2964" t="str">
        <f t="shared" si="1210"/>
        <v>NIL</v>
      </c>
      <c r="R2964" t="str">
        <f t="shared" si="1216"/>
        <v>Accepted</v>
      </c>
      <c r="S2964" t="str">
        <f t="shared" si="1217"/>
        <v>Approved</v>
      </c>
      <c r="T2964" t="str">
        <f t="shared" si="1218"/>
        <v>10.20.8.188</v>
      </c>
      <c r="U2964" t="str">
        <f t="shared" si="1219"/>
        <v>AZRAD UMAR BIN SHAARI</v>
      </c>
      <c r="V2964" t="str">
        <f t="shared" si="1220"/>
        <v>FARHANA BINTI MUSTAPA</v>
      </c>
      <c r="W2964" t="str">
        <f t="shared" si="1221"/>
        <v>04-08-2020</v>
      </c>
      <c r="X2964" t="str">
        <f t="shared" si="1222"/>
        <v>RAZIMAH ANSAR AHMAD</v>
      </c>
      <c r="Y2964" t="str">
        <f t="shared" si="1223"/>
        <v>04-08-2020</v>
      </c>
      <c r="Z2964" t="str">
        <f>"COS10200804 6190"</f>
        <v>COS10200804 6190</v>
      </c>
    </row>
    <row r="2965" spans="1:26" x14ac:dyDescent="0.25">
      <c r="A2965" t="str">
        <f t="shared" si="1224"/>
        <v>04-08-2020 12:58:57</v>
      </c>
      <c r="B2965" t="str">
        <f>"0000807980"</f>
        <v>0000807980</v>
      </c>
      <c r="C2965" t="str">
        <f t="shared" si="1225"/>
        <v>0000807791</v>
      </c>
      <c r="D2965" t="str">
        <f t="shared" si="1211"/>
        <v>73185</v>
      </c>
      <c r="E2965" t="str">
        <f t="shared" si="1212"/>
        <v>KFH-OPERATIONS DEPARTMENT</v>
      </c>
      <c r="F2965" t="str">
        <f t="shared" si="1213"/>
        <v>IBG</v>
      </c>
      <c r="G2965" t="str">
        <f t="shared" si="1226"/>
        <v>Refund COSHARE 10</v>
      </c>
      <c r="H2965" s="2">
        <v>1049.4000000000001</v>
      </c>
      <c r="I2965" t="str">
        <f>"NOOR ASHIKIN BTE RASID"</f>
        <v>NOOR ASHIKIN BTE RASID</v>
      </c>
      <c r="J2965" t="str">
        <f t="shared" si="1227"/>
        <v>MAYBANK / MAYBANK ISLAMIC</v>
      </c>
      <c r="K2965" t="str">
        <f>"160037158310"</f>
        <v>160037158310</v>
      </c>
      <c r="L2965" t="str">
        <f t="shared" si="1209"/>
        <v>04-08-2020</v>
      </c>
      <c r="M2965" t="str">
        <f t="shared" si="1209"/>
        <v>04-08-2020</v>
      </c>
      <c r="N2965" t="str">
        <f t="shared" si="1214"/>
        <v>001105018356</v>
      </c>
      <c r="O2965" t="str">
        <f t="shared" si="1215"/>
        <v>MYR</v>
      </c>
      <c r="P2965" t="str">
        <f t="shared" si="1210"/>
        <v>NIL</v>
      </c>
      <c r="Q2965" t="str">
        <f t="shared" si="1210"/>
        <v>NIL</v>
      </c>
      <c r="R2965" t="str">
        <f t="shared" si="1216"/>
        <v>Accepted</v>
      </c>
      <c r="S2965" t="str">
        <f t="shared" si="1217"/>
        <v>Approved</v>
      </c>
      <c r="T2965" t="str">
        <f t="shared" si="1218"/>
        <v>10.20.8.188</v>
      </c>
      <c r="U2965" t="str">
        <f t="shared" si="1219"/>
        <v>AZRAD UMAR BIN SHAARI</v>
      </c>
      <c r="V2965" t="str">
        <f t="shared" si="1220"/>
        <v>FARHANA BINTI MUSTAPA</v>
      </c>
      <c r="W2965" t="str">
        <f t="shared" si="1221"/>
        <v>04-08-2020</v>
      </c>
      <c r="X2965" t="str">
        <f t="shared" si="1222"/>
        <v>RAZIMAH ANSAR AHMAD</v>
      </c>
      <c r="Y2965" t="str">
        <f t="shared" si="1223"/>
        <v>04-08-2020</v>
      </c>
      <c r="Z2965" t="str">
        <f>"COS10200804 6189"</f>
        <v>COS10200804 6189</v>
      </c>
    </row>
    <row r="2966" spans="1:26" x14ac:dyDescent="0.25">
      <c r="A2966" t="str">
        <f t="shared" si="1224"/>
        <v>04-08-2020 12:58:57</v>
      </c>
      <c r="B2966" t="str">
        <f>"0000807979"</f>
        <v>0000807979</v>
      </c>
      <c r="C2966" t="str">
        <f t="shared" si="1225"/>
        <v>0000807791</v>
      </c>
      <c r="D2966" t="str">
        <f t="shared" si="1211"/>
        <v>73185</v>
      </c>
      <c r="E2966" t="str">
        <f t="shared" si="1212"/>
        <v>KFH-OPERATIONS DEPARTMENT</v>
      </c>
      <c r="F2966" t="str">
        <f t="shared" si="1213"/>
        <v>IBG</v>
      </c>
      <c r="G2966" t="str">
        <f t="shared" si="1226"/>
        <v>Refund COSHARE 10</v>
      </c>
      <c r="H2966" s="2">
        <v>302</v>
      </c>
      <c r="I2966" t="str">
        <f>"NOOR AISYAH BINTI ZAINODIN"</f>
        <v>NOOR AISYAH BINTI ZAINODIN</v>
      </c>
      <c r="J2966" t="str">
        <f t="shared" si="1227"/>
        <v>MAYBANK / MAYBANK ISLAMIC</v>
      </c>
      <c r="K2966" t="str">
        <f>"164324427711"</f>
        <v>164324427711</v>
      </c>
      <c r="L2966" t="str">
        <f t="shared" si="1209"/>
        <v>04-08-2020</v>
      </c>
      <c r="M2966" t="str">
        <f t="shared" si="1209"/>
        <v>04-08-2020</v>
      </c>
      <c r="N2966" t="str">
        <f t="shared" si="1214"/>
        <v>001105018356</v>
      </c>
      <c r="O2966" t="str">
        <f t="shared" si="1215"/>
        <v>MYR</v>
      </c>
      <c r="P2966" t="str">
        <f t="shared" si="1210"/>
        <v>NIL</v>
      </c>
      <c r="Q2966" t="str">
        <f t="shared" si="1210"/>
        <v>NIL</v>
      </c>
      <c r="R2966" t="str">
        <f t="shared" si="1216"/>
        <v>Accepted</v>
      </c>
      <c r="S2966" t="str">
        <f t="shared" si="1217"/>
        <v>Approved</v>
      </c>
      <c r="T2966" t="str">
        <f t="shared" si="1218"/>
        <v>10.20.8.188</v>
      </c>
      <c r="U2966" t="str">
        <f t="shared" si="1219"/>
        <v>AZRAD UMAR BIN SHAARI</v>
      </c>
      <c r="V2966" t="str">
        <f t="shared" si="1220"/>
        <v>FARHANA BINTI MUSTAPA</v>
      </c>
      <c r="W2966" t="str">
        <f t="shared" si="1221"/>
        <v>04-08-2020</v>
      </c>
      <c r="X2966" t="str">
        <f t="shared" si="1222"/>
        <v>RAZIMAH ANSAR AHMAD</v>
      </c>
      <c r="Y2966" t="str">
        <f t="shared" si="1223"/>
        <v>04-08-2020</v>
      </c>
      <c r="Z2966" t="str">
        <f>"COS10200804 6188"</f>
        <v>COS10200804 6188</v>
      </c>
    </row>
    <row r="2967" spans="1:26" x14ac:dyDescent="0.25">
      <c r="A2967" t="str">
        <f t="shared" si="1224"/>
        <v>04-08-2020 12:58:57</v>
      </c>
      <c r="B2967" t="str">
        <f>"0000807978"</f>
        <v>0000807978</v>
      </c>
      <c r="C2967" t="str">
        <f t="shared" si="1225"/>
        <v>0000807791</v>
      </c>
      <c r="D2967" t="str">
        <f t="shared" si="1211"/>
        <v>73185</v>
      </c>
      <c r="E2967" t="str">
        <f t="shared" si="1212"/>
        <v>KFH-OPERATIONS DEPARTMENT</v>
      </c>
      <c r="F2967" t="str">
        <f t="shared" si="1213"/>
        <v>IBG</v>
      </c>
      <c r="G2967" t="str">
        <f t="shared" si="1226"/>
        <v>Refund COSHARE 10</v>
      </c>
      <c r="H2967" s="2">
        <v>67.2</v>
      </c>
      <c r="I2967" t="str">
        <f>"NOOR AINA BINTI YUSOFF"</f>
        <v>NOOR AINA BINTI YUSOFF</v>
      </c>
      <c r="J2967" t="str">
        <f t="shared" si="1227"/>
        <v>MAYBANK / MAYBANK ISLAMIC</v>
      </c>
      <c r="K2967" t="str">
        <f>"112317163555"</f>
        <v>112317163555</v>
      </c>
      <c r="L2967" t="str">
        <f t="shared" ref="L2967:M2986" si="1228">"04-08-2020"</f>
        <v>04-08-2020</v>
      </c>
      <c r="M2967" t="str">
        <f t="shared" si="1228"/>
        <v>04-08-2020</v>
      </c>
      <c r="N2967" t="str">
        <f t="shared" si="1214"/>
        <v>001105018356</v>
      </c>
      <c r="O2967" t="str">
        <f t="shared" si="1215"/>
        <v>MYR</v>
      </c>
      <c r="P2967" t="str">
        <f t="shared" ref="P2967:Q2986" si="1229">"NIL"</f>
        <v>NIL</v>
      </c>
      <c r="Q2967" t="str">
        <f t="shared" si="1229"/>
        <v>NIL</v>
      </c>
      <c r="R2967" t="str">
        <f t="shared" si="1216"/>
        <v>Accepted</v>
      </c>
      <c r="S2967" t="str">
        <f t="shared" si="1217"/>
        <v>Approved</v>
      </c>
      <c r="T2967" t="str">
        <f t="shared" si="1218"/>
        <v>10.20.8.188</v>
      </c>
      <c r="U2967" t="str">
        <f t="shared" si="1219"/>
        <v>AZRAD UMAR BIN SHAARI</v>
      </c>
      <c r="V2967" t="str">
        <f t="shared" si="1220"/>
        <v>FARHANA BINTI MUSTAPA</v>
      </c>
      <c r="W2967" t="str">
        <f t="shared" si="1221"/>
        <v>04-08-2020</v>
      </c>
      <c r="X2967" t="str">
        <f t="shared" si="1222"/>
        <v>RAZIMAH ANSAR AHMAD</v>
      </c>
      <c r="Y2967" t="str">
        <f t="shared" si="1223"/>
        <v>04-08-2020</v>
      </c>
      <c r="Z2967" t="str">
        <f>"COS10200804 6187"</f>
        <v>COS10200804 6187</v>
      </c>
    </row>
    <row r="2968" spans="1:26" x14ac:dyDescent="0.25">
      <c r="A2968" t="str">
        <f t="shared" si="1224"/>
        <v>04-08-2020 12:58:57</v>
      </c>
      <c r="B2968" t="str">
        <f>"0000807977"</f>
        <v>0000807977</v>
      </c>
      <c r="C2968" t="str">
        <f t="shared" si="1225"/>
        <v>0000807791</v>
      </c>
      <c r="D2968" t="str">
        <f t="shared" si="1211"/>
        <v>73185</v>
      </c>
      <c r="E2968" t="str">
        <f t="shared" si="1212"/>
        <v>KFH-OPERATIONS DEPARTMENT</v>
      </c>
      <c r="F2968" t="str">
        <f t="shared" si="1213"/>
        <v>IBG</v>
      </c>
      <c r="G2968" t="str">
        <f t="shared" si="1226"/>
        <v>Refund COSHARE 10</v>
      </c>
      <c r="H2968" s="2">
        <v>973.85</v>
      </c>
      <c r="I2968" t="str">
        <f>"NOOR AIMIE BINTI OTHMAN"</f>
        <v>NOOR AIMIE BINTI OTHMAN</v>
      </c>
      <c r="J2968" t="str">
        <f t="shared" si="1227"/>
        <v>MAYBANK / MAYBANK ISLAMIC</v>
      </c>
      <c r="K2968" t="str">
        <f>"110069043908"</f>
        <v>110069043908</v>
      </c>
      <c r="L2968" t="str">
        <f t="shared" si="1228"/>
        <v>04-08-2020</v>
      </c>
      <c r="M2968" t="str">
        <f t="shared" si="1228"/>
        <v>04-08-2020</v>
      </c>
      <c r="N2968" t="str">
        <f t="shared" si="1214"/>
        <v>001105018356</v>
      </c>
      <c r="O2968" t="str">
        <f t="shared" si="1215"/>
        <v>MYR</v>
      </c>
      <c r="P2968" t="str">
        <f t="shared" si="1229"/>
        <v>NIL</v>
      </c>
      <c r="Q2968" t="str">
        <f t="shared" si="1229"/>
        <v>NIL</v>
      </c>
      <c r="R2968" t="str">
        <f t="shared" si="1216"/>
        <v>Accepted</v>
      </c>
      <c r="S2968" t="str">
        <f t="shared" si="1217"/>
        <v>Approved</v>
      </c>
      <c r="T2968" t="str">
        <f t="shared" si="1218"/>
        <v>10.20.8.188</v>
      </c>
      <c r="U2968" t="str">
        <f t="shared" si="1219"/>
        <v>AZRAD UMAR BIN SHAARI</v>
      </c>
      <c r="V2968" t="str">
        <f t="shared" si="1220"/>
        <v>FARHANA BINTI MUSTAPA</v>
      </c>
      <c r="W2968" t="str">
        <f t="shared" si="1221"/>
        <v>04-08-2020</v>
      </c>
      <c r="X2968" t="str">
        <f t="shared" si="1222"/>
        <v>RAZIMAH ANSAR AHMAD</v>
      </c>
      <c r="Y2968" t="str">
        <f t="shared" si="1223"/>
        <v>04-08-2020</v>
      </c>
      <c r="Z2968" t="str">
        <f>"COS10200804 6186"</f>
        <v>COS10200804 6186</v>
      </c>
    </row>
    <row r="2969" spans="1:26" x14ac:dyDescent="0.25">
      <c r="A2969" t="str">
        <f t="shared" si="1224"/>
        <v>04-08-2020 12:58:57</v>
      </c>
      <c r="B2969" t="str">
        <f>"0000807976"</f>
        <v>0000807976</v>
      </c>
      <c r="C2969" t="str">
        <f t="shared" si="1225"/>
        <v>0000807791</v>
      </c>
      <c r="D2969" t="str">
        <f t="shared" si="1211"/>
        <v>73185</v>
      </c>
      <c r="E2969" t="str">
        <f t="shared" si="1212"/>
        <v>KFH-OPERATIONS DEPARTMENT</v>
      </c>
      <c r="F2969" t="str">
        <f t="shared" si="1213"/>
        <v>IBG</v>
      </c>
      <c r="G2969" t="str">
        <f t="shared" si="1226"/>
        <v>Refund COSHARE 10</v>
      </c>
      <c r="H2969" s="2">
        <v>381.1</v>
      </c>
      <c r="I2969" t="str">
        <f>"NOOR AFFANDY BIN MOHAMED"</f>
        <v>NOOR AFFANDY BIN MOHAMED</v>
      </c>
      <c r="J2969" t="str">
        <f t="shared" si="1227"/>
        <v>MAYBANK / MAYBANK ISLAMIC</v>
      </c>
      <c r="K2969" t="str">
        <f>"104068199805"</f>
        <v>104068199805</v>
      </c>
      <c r="L2969" t="str">
        <f t="shared" si="1228"/>
        <v>04-08-2020</v>
      </c>
      <c r="M2969" t="str">
        <f t="shared" si="1228"/>
        <v>04-08-2020</v>
      </c>
      <c r="N2969" t="str">
        <f t="shared" si="1214"/>
        <v>001105018356</v>
      </c>
      <c r="O2969" t="str">
        <f t="shared" si="1215"/>
        <v>MYR</v>
      </c>
      <c r="P2969" t="str">
        <f t="shared" si="1229"/>
        <v>NIL</v>
      </c>
      <c r="Q2969" t="str">
        <f t="shared" si="1229"/>
        <v>NIL</v>
      </c>
      <c r="R2969" t="str">
        <f t="shared" si="1216"/>
        <v>Accepted</v>
      </c>
      <c r="S2969" t="str">
        <f t="shared" si="1217"/>
        <v>Approved</v>
      </c>
      <c r="T2969" t="str">
        <f t="shared" si="1218"/>
        <v>10.20.8.188</v>
      </c>
      <c r="U2969" t="str">
        <f t="shared" si="1219"/>
        <v>AZRAD UMAR BIN SHAARI</v>
      </c>
      <c r="V2969" t="str">
        <f t="shared" si="1220"/>
        <v>FARHANA BINTI MUSTAPA</v>
      </c>
      <c r="W2969" t="str">
        <f t="shared" si="1221"/>
        <v>04-08-2020</v>
      </c>
      <c r="X2969" t="str">
        <f t="shared" si="1222"/>
        <v>RAZIMAH ANSAR AHMAD</v>
      </c>
      <c r="Y2969" t="str">
        <f t="shared" si="1223"/>
        <v>04-08-2020</v>
      </c>
      <c r="Z2969" t="str">
        <f>"COS10200804 6185"</f>
        <v>COS10200804 6185</v>
      </c>
    </row>
    <row r="2970" spans="1:26" x14ac:dyDescent="0.25">
      <c r="A2970" t="str">
        <f t="shared" si="1224"/>
        <v>04-08-2020 12:58:57</v>
      </c>
      <c r="B2970" t="str">
        <f>"0000807975"</f>
        <v>0000807975</v>
      </c>
      <c r="C2970" t="str">
        <f t="shared" si="1225"/>
        <v>0000807791</v>
      </c>
      <c r="D2970" t="str">
        <f t="shared" si="1211"/>
        <v>73185</v>
      </c>
      <c r="E2970" t="str">
        <f t="shared" si="1212"/>
        <v>KFH-OPERATIONS DEPARTMENT</v>
      </c>
      <c r="F2970" t="str">
        <f t="shared" si="1213"/>
        <v>IBG</v>
      </c>
      <c r="G2970" t="str">
        <f t="shared" si="1226"/>
        <v>Refund COSHARE 10</v>
      </c>
      <c r="H2970" s="2">
        <v>252</v>
      </c>
      <c r="I2970" t="str">
        <f>"NIRMALA DEVI AP THIRUMALAI"</f>
        <v>NIRMALA DEVI AP THIRUMALAI</v>
      </c>
      <c r="J2970" t="str">
        <f t="shared" si="1227"/>
        <v>MAYBANK / MAYBANK ISLAMIC</v>
      </c>
      <c r="K2970" t="str">
        <f>"101013316311"</f>
        <v>101013316311</v>
      </c>
      <c r="L2970" t="str">
        <f t="shared" si="1228"/>
        <v>04-08-2020</v>
      </c>
      <c r="M2970" t="str">
        <f t="shared" si="1228"/>
        <v>04-08-2020</v>
      </c>
      <c r="N2970" t="str">
        <f t="shared" si="1214"/>
        <v>001105018356</v>
      </c>
      <c r="O2970" t="str">
        <f t="shared" si="1215"/>
        <v>MYR</v>
      </c>
      <c r="P2970" t="str">
        <f t="shared" si="1229"/>
        <v>NIL</v>
      </c>
      <c r="Q2970" t="str">
        <f t="shared" si="1229"/>
        <v>NIL</v>
      </c>
      <c r="R2970" t="str">
        <f t="shared" si="1216"/>
        <v>Accepted</v>
      </c>
      <c r="S2970" t="str">
        <f t="shared" si="1217"/>
        <v>Approved</v>
      </c>
      <c r="T2970" t="str">
        <f t="shared" si="1218"/>
        <v>10.20.8.188</v>
      </c>
      <c r="U2970" t="str">
        <f t="shared" si="1219"/>
        <v>AZRAD UMAR BIN SHAARI</v>
      </c>
      <c r="V2970" t="str">
        <f t="shared" si="1220"/>
        <v>FARHANA BINTI MUSTAPA</v>
      </c>
      <c r="W2970" t="str">
        <f t="shared" si="1221"/>
        <v>04-08-2020</v>
      </c>
      <c r="X2970" t="str">
        <f t="shared" si="1222"/>
        <v>RAZIMAH ANSAR AHMAD</v>
      </c>
      <c r="Y2970" t="str">
        <f t="shared" si="1223"/>
        <v>04-08-2020</v>
      </c>
      <c r="Z2970" t="str">
        <f>"COS10200804 6184"</f>
        <v>COS10200804 6184</v>
      </c>
    </row>
    <row r="2971" spans="1:26" x14ac:dyDescent="0.25">
      <c r="A2971" t="str">
        <f t="shared" si="1224"/>
        <v>04-08-2020 12:58:57</v>
      </c>
      <c r="B2971" t="str">
        <f>"0000807974"</f>
        <v>0000807974</v>
      </c>
      <c r="C2971" t="str">
        <f t="shared" si="1225"/>
        <v>0000807791</v>
      </c>
      <c r="D2971" t="str">
        <f t="shared" si="1211"/>
        <v>73185</v>
      </c>
      <c r="E2971" t="str">
        <f t="shared" si="1212"/>
        <v>KFH-OPERATIONS DEPARTMENT</v>
      </c>
      <c r="F2971" t="str">
        <f t="shared" si="1213"/>
        <v>IBG</v>
      </c>
      <c r="G2971" t="str">
        <f t="shared" si="1226"/>
        <v>Refund COSHARE 10</v>
      </c>
      <c r="H2971" s="2">
        <v>1679</v>
      </c>
      <c r="I2971" t="str">
        <f>"NIRMALA AP RAHMAN"</f>
        <v>NIRMALA AP RAHMAN</v>
      </c>
      <c r="J2971" t="str">
        <f t="shared" si="1227"/>
        <v>MAYBANK / MAYBANK ISLAMIC</v>
      </c>
      <c r="K2971" t="str">
        <f>"105056011299"</f>
        <v>105056011299</v>
      </c>
      <c r="L2971" t="str">
        <f t="shared" si="1228"/>
        <v>04-08-2020</v>
      </c>
      <c r="M2971" t="str">
        <f t="shared" si="1228"/>
        <v>04-08-2020</v>
      </c>
      <c r="N2971" t="str">
        <f t="shared" si="1214"/>
        <v>001105018356</v>
      </c>
      <c r="O2971" t="str">
        <f t="shared" si="1215"/>
        <v>MYR</v>
      </c>
      <c r="P2971" t="str">
        <f t="shared" si="1229"/>
        <v>NIL</v>
      </c>
      <c r="Q2971" t="str">
        <f t="shared" si="1229"/>
        <v>NIL</v>
      </c>
      <c r="R2971" t="str">
        <f t="shared" si="1216"/>
        <v>Accepted</v>
      </c>
      <c r="S2971" t="str">
        <f t="shared" si="1217"/>
        <v>Approved</v>
      </c>
      <c r="T2971" t="str">
        <f t="shared" si="1218"/>
        <v>10.20.8.188</v>
      </c>
      <c r="U2971" t="str">
        <f t="shared" si="1219"/>
        <v>AZRAD UMAR BIN SHAARI</v>
      </c>
      <c r="V2971" t="str">
        <f t="shared" si="1220"/>
        <v>FARHANA BINTI MUSTAPA</v>
      </c>
      <c r="W2971" t="str">
        <f t="shared" si="1221"/>
        <v>04-08-2020</v>
      </c>
      <c r="X2971" t="str">
        <f t="shared" si="1222"/>
        <v>RAZIMAH ANSAR AHMAD</v>
      </c>
      <c r="Y2971" t="str">
        <f t="shared" si="1223"/>
        <v>04-08-2020</v>
      </c>
      <c r="Z2971" t="str">
        <f>"COS10200804 6183"</f>
        <v>COS10200804 6183</v>
      </c>
    </row>
    <row r="2972" spans="1:26" x14ac:dyDescent="0.25">
      <c r="A2972" t="str">
        <f t="shared" si="1224"/>
        <v>04-08-2020 12:58:57</v>
      </c>
      <c r="B2972" t="str">
        <f>"0000807973"</f>
        <v>0000807973</v>
      </c>
      <c r="C2972" t="str">
        <f t="shared" si="1225"/>
        <v>0000807791</v>
      </c>
      <c r="D2972" t="str">
        <f t="shared" si="1211"/>
        <v>73185</v>
      </c>
      <c r="E2972" t="str">
        <f t="shared" si="1212"/>
        <v>KFH-OPERATIONS DEPARTMENT</v>
      </c>
      <c r="F2972" t="str">
        <f t="shared" si="1213"/>
        <v>IBG</v>
      </c>
      <c r="G2972" t="str">
        <f t="shared" si="1226"/>
        <v>Refund COSHARE 10</v>
      </c>
      <c r="H2972" s="2">
        <v>125.95</v>
      </c>
      <c r="I2972" t="str">
        <f>"NIK ZURAIDA BINTI ABDUL WAHAB"</f>
        <v>NIK ZURAIDA BINTI ABDUL WAHAB</v>
      </c>
      <c r="J2972" t="str">
        <f t="shared" si="1227"/>
        <v>MAYBANK / MAYBANK ISLAMIC</v>
      </c>
      <c r="K2972" t="str">
        <f>"151061202075"</f>
        <v>151061202075</v>
      </c>
      <c r="L2972" t="str">
        <f t="shared" si="1228"/>
        <v>04-08-2020</v>
      </c>
      <c r="M2972" t="str">
        <f t="shared" si="1228"/>
        <v>04-08-2020</v>
      </c>
      <c r="N2972" t="str">
        <f t="shared" si="1214"/>
        <v>001105018356</v>
      </c>
      <c r="O2972" t="str">
        <f t="shared" si="1215"/>
        <v>MYR</v>
      </c>
      <c r="P2972" t="str">
        <f t="shared" si="1229"/>
        <v>NIL</v>
      </c>
      <c r="Q2972" t="str">
        <f t="shared" si="1229"/>
        <v>NIL</v>
      </c>
      <c r="R2972" t="str">
        <f t="shared" si="1216"/>
        <v>Accepted</v>
      </c>
      <c r="S2972" t="str">
        <f t="shared" si="1217"/>
        <v>Approved</v>
      </c>
      <c r="T2972" t="str">
        <f t="shared" si="1218"/>
        <v>10.20.8.188</v>
      </c>
      <c r="U2972" t="str">
        <f t="shared" si="1219"/>
        <v>AZRAD UMAR BIN SHAARI</v>
      </c>
      <c r="V2972" t="str">
        <f t="shared" si="1220"/>
        <v>FARHANA BINTI MUSTAPA</v>
      </c>
      <c r="W2972" t="str">
        <f t="shared" si="1221"/>
        <v>04-08-2020</v>
      </c>
      <c r="X2972" t="str">
        <f t="shared" si="1222"/>
        <v>RAZIMAH ANSAR AHMAD</v>
      </c>
      <c r="Y2972" t="str">
        <f t="shared" si="1223"/>
        <v>04-08-2020</v>
      </c>
      <c r="Z2972" t="str">
        <f>"COS10200804 6182"</f>
        <v>COS10200804 6182</v>
      </c>
    </row>
    <row r="2973" spans="1:26" x14ac:dyDescent="0.25">
      <c r="A2973" t="str">
        <f t="shared" si="1224"/>
        <v>04-08-2020 12:58:57</v>
      </c>
      <c r="B2973" t="str">
        <f>"0000807972"</f>
        <v>0000807972</v>
      </c>
      <c r="C2973" t="str">
        <f t="shared" si="1225"/>
        <v>0000807791</v>
      </c>
      <c r="D2973" t="str">
        <f t="shared" si="1211"/>
        <v>73185</v>
      </c>
      <c r="E2973" t="str">
        <f t="shared" si="1212"/>
        <v>KFH-OPERATIONS DEPARTMENT</v>
      </c>
      <c r="F2973" t="str">
        <f t="shared" si="1213"/>
        <v>IBG</v>
      </c>
      <c r="G2973" t="str">
        <f t="shared" si="1226"/>
        <v>Refund COSHARE 10</v>
      </c>
      <c r="H2973" s="2">
        <v>1345.05</v>
      </c>
      <c r="I2973" t="str">
        <f>"NIK ZAWAWI BIN NIK HUSSAIN"</f>
        <v>NIK ZAWAWI BIN NIK HUSSAIN</v>
      </c>
      <c r="J2973" t="str">
        <f t="shared" si="1227"/>
        <v>MAYBANK / MAYBANK ISLAMIC</v>
      </c>
      <c r="K2973" t="str">
        <f>"162115842477"</f>
        <v>162115842477</v>
      </c>
      <c r="L2973" t="str">
        <f t="shared" si="1228"/>
        <v>04-08-2020</v>
      </c>
      <c r="M2973" t="str">
        <f t="shared" si="1228"/>
        <v>04-08-2020</v>
      </c>
      <c r="N2973" t="str">
        <f t="shared" si="1214"/>
        <v>001105018356</v>
      </c>
      <c r="O2973" t="str">
        <f t="shared" si="1215"/>
        <v>MYR</v>
      </c>
      <c r="P2973" t="str">
        <f t="shared" si="1229"/>
        <v>NIL</v>
      </c>
      <c r="Q2973" t="str">
        <f t="shared" si="1229"/>
        <v>NIL</v>
      </c>
      <c r="R2973" t="str">
        <f t="shared" si="1216"/>
        <v>Accepted</v>
      </c>
      <c r="S2973" t="str">
        <f t="shared" si="1217"/>
        <v>Approved</v>
      </c>
      <c r="T2973" t="str">
        <f t="shared" si="1218"/>
        <v>10.20.8.188</v>
      </c>
      <c r="U2973" t="str">
        <f t="shared" si="1219"/>
        <v>AZRAD UMAR BIN SHAARI</v>
      </c>
      <c r="V2973" t="str">
        <f t="shared" si="1220"/>
        <v>FARHANA BINTI MUSTAPA</v>
      </c>
      <c r="W2973" t="str">
        <f t="shared" si="1221"/>
        <v>04-08-2020</v>
      </c>
      <c r="X2973" t="str">
        <f t="shared" si="1222"/>
        <v>RAZIMAH ANSAR AHMAD</v>
      </c>
      <c r="Y2973" t="str">
        <f t="shared" si="1223"/>
        <v>04-08-2020</v>
      </c>
      <c r="Z2973" t="str">
        <f>"COS10200804 6181"</f>
        <v>COS10200804 6181</v>
      </c>
    </row>
    <row r="2974" spans="1:26" x14ac:dyDescent="0.25">
      <c r="A2974" t="str">
        <f t="shared" si="1224"/>
        <v>04-08-2020 12:58:57</v>
      </c>
      <c r="B2974" t="str">
        <f>"0000807971"</f>
        <v>0000807971</v>
      </c>
      <c r="C2974" t="str">
        <f t="shared" si="1225"/>
        <v>0000807791</v>
      </c>
      <c r="D2974" t="str">
        <f t="shared" si="1211"/>
        <v>73185</v>
      </c>
      <c r="E2974" t="str">
        <f t="shared" si="1212"/>
        <v>KFH-OPERATIONS DEPARTMENT</v>
      </c>
      <c r="F2974" t="str">
        <f t="shared" si="1213"/>
        <v>IBG</v>
      </c>
      <c r="G2974" t="str">
        <f t="shared" si="1226"/>
        <v>Refund COSHARE 10</v>
      </c>
      <c r="H2974" s="2">
        <v>671.6</v>
      </c>
      <c r="I2974" t="str">
        <f>"NIK YUSMADI BIN NIK YUSOFF"</f>
        <v>NIK YUSMADI BIN NIK YUSOFF</v>
      </c>
      <c r="J2974" t="str">
        <f t="shared" si="1227"/>
        <v>MAYBANK / MAYBANK ISLAMIC</v>
      </c>
      <c r="K2974" t="str">
        <f>"166010073020"</f>
        <v>166010073020</v>
      </c>
      <c r="L2974" t="str">
        <f t="shared" si="1228"/>
        <v>04-08-2020</v>
      </c>
      <c r="M2974" t="str">
        <f t="shared" si="1228"/>
        <v>04-08-2020</v>
      </c>
      <c r="N2974" t="str">
        <f t="shared" si="1214"/>
        <v>001105018356</v>
      </c>
      <c r="O2974" t="str">
        <f t="shared" si="1215"/>
        <v>MYR</v>
      </c>
      <c r="P2974" t="str">
        <f t="shared" si="1229"/>
        <v>NIL</v>
      </c>
      <c r="Q2974" t="str">
        <f t="shared" si="1229"/>
        <v>NIL</v>
      </c>
      <c r="R2974" t="str">
        <f t="shared" si="1216"/>
        <v>Accepted</v>
      </c>
      <c r="S2974" t="str">
        <f t="shared" si="1217"/>
        <v>Approved</v>
      </c>
      <c r="T2974" t="str">
        <f t="shared" si="1218"/>
        <v>10.20.8.188</v>
      </c>
      <c r="U2974" t="str">
        <f t="shared" si="1219"/>
        <v>AZRAD UMAR BIN SHAARI</v>
      </c>
      <c r="V2974" t="str">
        <f t="shared" si="1220"/>
        <v>FARHANA BINTI MUSTAPA</v>
      </c>
      <c r="W2974" t="str">
        <f t="shared" si="1221"/>
        <v>04-08-2020</v>
      </c>
      <c r="X2974" t="str">
        <f t="shared" si="1222"/>
        <v>RAZIMAH ANSAR AHMAD</v>
      </c>
      <c r="Y2974" t="str">
        <f t="shared" si="1223"/>
        <v>04-08-2020</v>
      </c>
      <c r="Z2974" t="str">
        <f>"COS10200804 6180"</f>
        <v>COS10200804 6180</v>
      </c>
    </row>
    <row r="2975" spans="1:26" x14ac:dyDescent="0.25">
      <c r="A2975" t="str">
        <f t="shared" si="1224"/>
        <v>04-08-2020 12:58:57</v>
      </c>
      <c r="B2975" t="str">
        <f>"0000807970"</f>
        <v>0000807970</v>
      </c>
      <c r="C2975" t="str">
        <f t="shared" si="1225"/>
        <v>0000807791</v>
      </c>
      <c r="D2975" t="str">
        <f t="shared" si="1211"/>
        <v>73185</v>
      </c>
      <c r="E2975" t="str">
        <f t="shared" si="1212"/>
        <v>KFH-OPERATIONS DEPARTMENT</v>
      </c>
      <c r="F2975" t="str">
        <f t="shared" si="1213"/>
        <v>IBG</v>
      </c>
      <c r="G2975" t="str">
        <f t="shared" si="1226"/>
        <v>Refund COSHARE 10</v>
      </c>
      <c r="H2975" s="2">
        <v>58.8</v>
      </c>
      <c r="I2975" t="str">
        <f>"NIK SYAMSIDAR BINTI NIK SOH"</f>
        <v>NIK SYAMSIDAR BINTI NIK SOH</v>
      </c>
      <c r="J2975" t="str">
        <f t="shared" si="1227"/>
        <v>MAYBANK / MAYBANK ISLAMIC</v>
      </c>
      <c r="K2975" t="str">
        <f>"156141283029"</f>
        <v>156141283029</v>
      </c>
      <c r="L2975" t="str">
        <f t="shared" si="1228"/>
        <v>04-08-2020</v>
      </c>
      <c r="M2975" t="str">
        <f t="shared" si="1228"/>
        <v>04-08-2020</v>
      </c>
      <c r="N2975" t="str">
        <f t="shared" si="1214"/>
        <v>001105018356</v>
      </c>
      <c r="O2975" t="str">
        <f t="shared" si="1215"/>
        <v>MYR</v>
      </c>
      <c r="P2975" t="str">
        <f t="shared" si="1229"/>
        <v>NIL</v>
      </c>
      <c r="Q2975" t="str">
        <f t="shared" si="1229"/>
        <v>NIL</v>
      </c>
      <c r="R2975" t="str">
        <f t="shared" si="1216"/>
        <v>Accepted</v>
      </c>
      <c r="S2975" t="str">
        <f t="shared" si="1217"/>
        <v>Approved</v>
      </c>
      <c r="T2975" t="str">
        <f t="shared" si="1218"/>
        <v>10.20.8.188</v>
      </c>
      <c r="U2975" t="str">
        <f t="shared" si="1219"/>
        <v>AZRAD UMAR BIN SHAARI</v>
      </c>
      <c r="V2975" t="str">
        <f t="shared" si="1220"/>
        <v>FARHANA BINTI MUSTAPA</v>
      </c>
      <c r="W2975" t="str">
        <f t="shared" si="1221"/>
        <v>04-08-2020</v>
      </c>
      <c r="X2975" t="str">
        <f t="shared" si="1222"/>
        <v>RAZIMAH ANSAR AHMAD</v>
      </c>
      <c r="Y2975" t="str">
        <f t="shared" si="1223"/>
        <v>04-08-2020</v>
      </c>
      <c r="Z2975" t="str">
        <f>"COS10200804 6179"</f>
        <v>COS10200804 6179</v>
      </c>
    </row>
    <row r="2976" spans="1:26" x14ac:dyDescent="0.25">
      <c r="A2976" t="str">
        <f t="shared" si="1224"/>
        <v>04-08-2020 12:58:57</v>
      </c>
      <c r="B2976" t="str">
        <f>"0000807969"</f>
        <v>0000807969</v>
      </c>
      <c r="C2976" t="str">
        <f t="shared" si="1225"/>
        <v>0000807791</v>
      </c>
      <c r="D2976" t="str">
        <f t="shared" si="1211"/>
        <v>73185</v>
      </c>
      <c r="E2976" t="str">
        <f t="shared" si="1212"/>
        <v>KFH-OPERATIONS DEPARTMENT</v>
      </c>
      <c r="F2976" t="str">
        <f t="shared" si="1213"/>
        <v>IBG</v>
      </c>
      <c r="G2976" t="str">
        <f t="shared" si="1226"/>
        <v>Refund COSHARE 10</v>
      </c>
      <c r="H2976" s="2">
        <v>42</v>
      </c>
      <c r="I2976" t="str">
        <f>"NIK SITI SALEHA BINTI NIK SALLEH"</f>
        <v>NIK SITI SALEHA BINTI NIK SALLEH</v>
      </c>
      <c r="J2976" t="str">
        <f t="shared" si="1227"/>
        <v>MAYBANK / MAYBANK ISLAMIC</v>
      </c>
      <c r="K2976" t="str">
        <f>"162759004773"</f>
        <v>162759004773</v>
      </c>
      <c r="L2976" t="str">
        <f t="shared" si="1228"/>
        <v>04-08-2020</v>
      </c>
      <c r="M2976" t="str">
        <f t="shared" si="1228"/>
        <v>04-08-2020</v>
      </c>
      <c r="N2976" t="str">
        <f t="shared" si="1214"/>
        <v>001105018356</v>
      </c>
      <c r="O2976" t="str">
        <f t="shared" si="1215"/>
        <v>MYR</v>
      </c>
      <c r="P2976" t="str">
        <f t="shared" si="1229"/>
        <v>NIL</v>
      </c>
      <c r="Q2976" t="str">
        <f t="shared" si="1229"/>
        <v>NIL</v>
      </c>
      <c r="R2976" t="str">
        <f t="shared" si="1216"/>
        <v>Accepted</v>
      </c>
      <c r="S2976" t="str">
        <f t="shared" si="1217"/>
        <v>Approved</v>
      </c>
      <c r="T2976" t="str">
        <f t="shared" si="1218"/>
        <v>10.20.8.188</v>
      </c>
      <c r="U2976" t="str">
        <f t="shared" si="1219"/>
        <v>AZRAD UMAR BIN SHAARI</v>
      </c>
      <c r="V2976" t="str">
        <f t="shared" si="1220"/>
        <v>FARHANA BINTI MUSTAPA</v>
      </c>
      <c r="W2976" t="str">
        <f t="shared" si="1221"/>
        <v>04-08-2020</v>
      </c>
      <c r="X2976" t="str">
        <f t="shared" si="1222"/>
        <v>RAZIMAH ANSAR AHMAD</v>
      </c>
      <c r="Y2976" t="str">
        <f t="shared" si="1223"/>
        <v>04-08-2020</v>
      </c>
      <c r="Z2976" t="str">
        <f>"COS10200804 6178"</f>
        <v>COS10200804 6178</v>
      </c>
    </row>
    <row r="2977" spans="1:26" x14ac:dyDescent="0.25">
      <c r="A2977" t="str">
        <f t="shared" si="1224"/>
        <v>04-08-2020 12:58:57</v>
      </c>
      <c r="B2977" t="str">
        <f>"0000807968"</f>
        <v>0000807968</v>
      </c>
      <c r="C2977" t="str">
        <f t="shared" si="1225"/>
        <v>0000807791</v>
      </c>
      <c r="D2977" t="str">
        <f t="shared" si="1211"/>
        <v>73185</v>
      </c>
      <c r="E2977" t="str">
        <f t="shared" si="1212"/>
        <v>KFH-OPERATIONS DEPARTMENT</v>
      </c>
      <c r="F2977" t="str">
        <f t="shared" si="1213"/>
        <v>IBG</v>
      </c>
      <c r="G2977" t="str">
        <f t="shared" si="1226"/>
        <v>Refund COSHARE 10</v>
      </c>
      <c r="H2977" s="2">
        <v>125.95</v>
      </c>
      <c r="I2977" t="str">
        <f>"NIK SITI SALEHA BINTI NIK SALLEH"</f>
        <v>NIK SITI SALEHA BINTI NIK SALLEH</v>
      </c>
      <c r="J2977" t="str">
        <f t="shared" si="1227"/>
        <v>MAYBANK / MAYBANK ISLAMIC</v>
      </c>
      <c r="K2977" t="str">
        <f>"162759004773"</f>
        <v>162759004773</v>
      </c>
      <c r="L2977" t="str">
        <f t="shared" si="1228"/>
        <v>04-08-2020</v>
      </c>
      <c r="M2977" t="str">
        <f t="shared" si="1228"/>
        <v>04-08-2020</v>
      </c>
      <c r="N2977" t="str">
        <f t="shared" si="1214"/>
        <v>001105018356</v>
      </c>
      <c r="O2977" t="str">
        <f t="shared" si="1215"/>
        <v>MYR</v>
      </c>
      <c r="P2977" t="str">
        <f t="shared" si="1229"/>
        <v>NIL</v>
      </c>
      <c r="Q2977" t="str">
        <f t="shared" si="1229"/>
        <v>NIL</v>
      </c>
      <c r="R2977" t="str">
        <f t="shared" si="1216"/>
        <v>Accepted</v>
      </c>
      <c r="S2977" t="str">
        <f t="shared" si="1217"/>
        <v>Approved</v>
      </c>
      <c r="T2977" t="str">
        <f t="shared" si="1218"/>
        <v>10.20.8.188</v>
      </c>
      <c r="U2977" t="str">
        <f t="shared" si="1219"/>
        <v>AZRAD UMAR BIN SHAARI</v>
      </c>
      <c r="V2977" t="str">
        <f t="shared" si="1220"/>
        <v>FARHANA BINTI MUSTAPA</v>
      </c>
      <c r="W2977" t="str">
        <f t="shared" si="1221"/>
        <v>04-08-2020</v>
      </c>
      <c r="X2977" t="str">
        <f t="shared" si="1222"/>
        <v>RAZIMAH ANSAR AHMAD</v>
      </c>
      <c r="Y2977" t="str">
        <f t="shared" si="1223"/>
        <v>04-08-2020</v>
      </c>
      <c r="Z2977" t="str">
        <f>"COS10200804 6177"</f>
        <v>COS10200804 6177</v>
      </c>
    </row>
    <row r="2978" spans="1:26" x14ac:dyDescent="0.25">
      <c r="A2978" t="str">
        <f t="shared" si="1224"/>
        <v>04-08-2020 12:58:57</v>
      </c>
      <c r="B2978" t="str">
        <f>"0000807967"</f>
        <v>0000807967</v>
      </c>
      <c r="C2978" t="str">
        <f t="shared" si="1225"/>
        <v>0000807791</v>
      </c>
      <c r="D2978" t="str">
        <f t="shared" si="1211"/>
        <v>73185</v>
      </c>
      <c r="E2978" t="str">
        <f t="shared" si="1212"/>
        <v>KFH-OPERATIONS DEPARTMENT</v>
      </c>
      <c r="F2978" t="str">
        <f t="shared" si="1213"/>
        <v>IBG</v>
      </c>
      <c r="G2978" t="str">
        <f t="shared" si="1226"/>
        <v>Refund COSHARE 10</v>
      </c>
      <c r="H2978" s="2">
        <v>167.9</v>
      </c>
      <c r="I2978" t="str">
        <f>"NIK ROZAIMAH BINTI NIK ZAINUDDIN"</f>
        <v>NIK ROZAIMAH BINTI NIK ZAINUDDIN</v>
      </c>
      <c r="J2978" t="str">
        <f t="shared" si="1227"/>
        <v>MAYBANK / MAYBANK ISLAMIC</v>
      </c>
      <c r="K2978" t="str">
        <f>"162272643812"</f>
        <v>162272643812</v>
      </c>
      <c r="L2978" t="str">
        <f t="shared" si="1228"/>
        <v>04-08-2020</v>
      </c>
      <c r="M2978" t="str">
        <f t="shared" si="1228"/>
        <v>04-08-2020</v>
      </c>
      <c r="N2978" t="str">
        <f t="shared" si="1214"/>
        <v>001105018356</v>
      </c>
      <c r="O2978" t="str">
        <f t="shared" si="1215"/>
        <v>MYR</v>
      </c>
      <c r="P2978" t="str">
        <f t="shared" si="1229"/>
        <v>NIL</v>
      </c>
      <c r="Q2978" t="str">
        <f t="shared" si="1229"/>
        <v>NIL</v>
      </c>
      <c r="R2978" t="str">
        <f t="shared" si="1216"/>
        <v>Accepted</v>
      </c>
      <c r="S2978" t="str">
        <f t="shared" si="1217"/>
        <v>Approved</v>
      </c>
      <c r="T2978" t="str">
        <f t="shared" si="1218"/>
        <v>10.20.8.188</v>
      </c>
      <c r="U2978" t="str">
        <f t="shared" si="1219"/>
        <v>AZRAD UMAR BIN SHAARI</v>
      </c>
      <c r="V2978" t="str">
        <f t="shared" si="1220"/>
        <v>FARHANA BINTI MUSTAPA</v>
      </c>
      <c r="W2978" t="str">
        <f t="shared" si="1221"/>
        <v>04-08-2020</v>
      </c>
      <c r="X2978" t="str">
        <f t="shared" si="1222"/>
        <v>RAZIMAH ANSAR AHMAD</v>
      </c>
      <c r="Y2978" t="str">
        <f t="shared" si="1223"/>
        <v>04-08-2020</v>
      </c>
      <c r="Z2978" t="str">
        <f>"COS10200804 6176"</f>
        <v>COS10200804 6176</v>
      </c>
    </row>
    <row r="2979" spans="1:26" x14ac:dyDescent="0.25">
      <c r="A2979" t="str">
        <f t="shared" si="1224"/>
        <v>04-08-2020 12:58:57</v>
      </c>
      <c r="B2979" t="str">
        <f>"0000807966"</f>
        <v>0000807966</v>
      </c>
      <c r="C2979" t="str">
        <f t="shared" si="1225"/>
        <v>0000807791</v>
      </c>
      <c r="D2979" t="str">
        <f t="shared" si="1211"/>
        <v>73185</v>
      </c>
      <c r="E2979" t="str">
        <f t="shared" si="1212"/>
        <v>KFH-OPERATIONS DEPARTMENT</v>
      </c>
      <c r="F2979" t="str">
        <f t="shared" si="1213"/>
        <v>IBG</v>
      </c>
      <c r="G2979" t="str">
        <f t="shared" si="1226"/>
        <v>Refund COSHARE 10</v>
      </c>
      <c r="H2979" s="2">
        <v>152</v>
      </c>
      <c r="I2979" t="str">
        <f>"NIK REDZUAN SHAH BIN NIK HASKHA SHAH"</f>
        <v>NIK REDZUAN SHAH BIN NIK HASKHA SHAH</v>
      </c>
      <c r="J2979" t="str">
        <f t="shared" si="1227"/>
        <v>MAYBANK / MAYBANK ISLAMIC</v>
      </c>
      <c r="K2979" t="str">
        <f>"153010408098"</f>
        <v>153010408098</v>
      </c>
      <c r="L2979" t="str">
        <f t="shared" si="1228"/>
        <v>04-08-2020</v>
      </c>
      <c r="M2979" t="str">
        <f t="shared" si="1228"/>
        <v>04-08-2020</v>
      </c>
      <c r="N2979" t="str">
        <f t="shared" si="1214"/>
        <v>001105018356</v>
      </c>
      <c r="O2979" t="str">
        <f t="shared" si="1215"/>
        <v>MYR</v>
      </c>
      <c r="P2979" t="str">
        <f t="shared" si="1229"/>
        <v>NIL</v>
      </c>
      <c r="Q2979" t="str">
        <f t="shared" si="1229"/>
        <v>NIL</v>
      </c>
      <c r="R2979" t="str">
        <f t="shared" si="1216"/>
        <v>Accepted</v>
      </c>
      <c r="S2979" t="str">
        <f t="shared" si="1217"/>
        <v>Approved</v>
      </c>
      <c r="T2979" t="str">
        <f t="shared" si="1218"/>
        <v>10.20.8.188</v>
      </c>
      <c r="U2979" t="str">
        <f t="shared" si="1219"/>
        <v>AZRAD UMAR BIN SHAARI</v>
      </c>
      <c r="V2979" t="str">
        <f t="shared" si="1220"/>
        <v>FARHANA BINTI MUSTAPA</v>
      </c>
      <c r="W2979" t="str">
        <f t="shared" si="1221"/>
        <v>04-08-2020</v>
      </c>
      <c r="X2979" t="str">
        <f t="shared" si="1222"/>
        <v>RAZIMAH ANSAR AHMAD</v>
      </c>
      <c r="Y2979" t="str">
        <f t="shared" si="1223"/>
        <v>04-08-2020</v>
      </c>
      <c r="Z2979" t="str">
        <f>"COS10200804 6175"</f>
        <v>COS10200804 6175</v>
      </c>
    </row>
    <row r="2980" spans="1:26" x14ac:dyDescent="0.25">
      <c r="A2980" t="str">
        <f t="shared" si="1224"/>
        <v>04-08-2020 12:58:57</v>
      </c>
      <c r="B2980" t="str">
        <f>"0000807965"</f>
        <v>0000807965</v>
      </c>
      <c r="C2980" t="str">
        <f t="shared" si="1225"/>
        <v>0000807791</v>
      </c>
      <c r="D2980" t="str">
        <f t="shared" si="1211"/>
        <v>73185</v>
      </c>
      <c r="E2980" t="str">
        <f t="shared" si="1212"/>
        <v>KFH-OPERATIONS DEPARTMENT</v>
      </c>
      <c r="F2980" t="str">
        <f t="shared" si="1213"/>
        <v>IBG</v>
      </c>
      <c r="G2980" t="str">
        <f t="shared" si="1226"/>
        <v>Refund COSHARE 10</v>
      </c>
      <c r="H2980" s="2">
        <v>565</v>
      </c>
      <c r="I2980" t="str">
        <f>"NIK NUR SHAIRIN BINTI NIK ISMAIL"</f>
        <v>NIK NUR SHAIRIN BINTI NIK ISMAIL</v>
      </c>
      <c r="J2980" t="str">
        <f t="shared" si="1227"/>
        <v>MAYBANK / MAYBANK ISLAMIC</v>
      </c>
      <c r="K2980" t="str">
        <f>"153083145786"</f>
        <v>153083145786</v>
      </c>
      <c r="L2980" t="str">
        <f t="shared" si="1228"/>
        <v>04-08-2020</v>
      </c>
      <c r="M2980" t="str">
        <f t="shared" si="1228"/>
        <v>04-08-2020</v>
      </c>
      <c r="N2980" t="str">
        <f t="shared" si="1214"/>
        <v>001105018356</v>
      </c>
      <c r="O2980" t="str">
        <f t="shared" si="1215"/>
        <v>MYR</v>
      </c>
      <c r="P2980" t="str">
        <f t="shared" si="1229"/>
        <v>NIL</v>
      </c>
      <c r="Q2980" t="str">
        <f t="shared" si="1229"/>
        <v>NIL</v>
      </c>
      <c r="R2980" t="str">
        <f t="shared" si="1216"/>
        <v>Accepted</v>
      </c>
      <c r="S2980" t="str">
        <f t="shared" si="1217"/>
        <v>Approved</v>
      </c>
      <c r="T2980" t="str">
        <f t="shared" si="1218"/>
        <v>10.20.8.188</v>
      </c>
      <c r="U2980" t="str">
        <f t="shared" si="1219"/>
        <v>AZRAD UMAR BIN SHAARI</v>
      </c>
      <c r="V2980" t="str">
        <f t="shared" si="1220"/>
        <v>FARHANA BINTI MUSTAPA</v>
      </c>
      <c r="W2980" t="str">
        <f t="shared" si="1221"/>
        <v>04-08-2020</v>
      </c>
      <c r="X2980" t="str">
        <f t="shared" si="1222"/>
        <v>RAZIMAH ANSAR AHMAD</v>
      </c>
      <c r="Y2980" t="str">
        <f t="shared" si="1223"/>
        <v>04-08-2020</v>
      </c>
      <c r="Z2980" t="str">
        <f>"COS10200804 6174"</f>
        <v>COS10200804 6174</v>
      </c>
    </row>
    <row r="2981" spans="1:26" x14ac:dyDescent="0.25">
      <c r="A2981" t="str">
        <f t="shared" si="1224"/>
        <v>04-08-2020 12:58:57</v>
      </c>
      <c r="B2981" t="str">
        <f>"0000807964"</f>
        <v>0000807964</v>
      </c>
      <c r="C2981" t="str">
        <f t="shared" si="1225"/>
        <v>0000807791</v>
      </c>
      <c r="D2981" t="str">
        <f t="shared" si="1211"/>
        <v>73185</v>
      </c>
      <c r="E2981" t="str">
        <f t="shared" si="1212"/>
        <v>KFH-OPERATIONS DEPARTMENT</v>
      </c>
      <c r="F2981" t="str">
        <f t="shared" si="1213"/>
        <v>IBG</v>
      </c>
      <c r="G2981" t="str">
        <f t="shared" si="1226"/>
        <v>Refund COSHARE 10</v>
      </c>
      <c r="H2981" s="2">
        <v>167.9</v>
      </c>
      <c r="I2981" t="str">
        <f>"NIK NORHARMIDAH BINTI CHE HARUN"</f>
        <v>NIK NORHARMIDAH BINTI CHE HARUN</v>
      </c>
      <c r="J2981" t="str">
        <f t="shared" si="1227"/>
        <v>MAYBANK / MAYBANK ISLAMIC</v>
      </c>
      <c r="K2981" t="str">
        <f>"162375657016"</f>
        <v>162375657016</v>
      </c>
      <c r="L2981" t="str">
        <f t="shared" si="1228"/>
        <v>04-08-2020</v>
      </c>
      <c r="M2981" t="str">
        <f t="shared" si="1228"/>
        <v>04-08-2020</v>
      </c>
      <c r="N2981" t="str">
        <f t="shared" si="1214"/>
        <v>001105018356</v>
      </c>
      <c r="O2981" t="str">
        <f t="shared" si="1215"/>
        <v>MYR</v>
      </c>
      <c r="P2981" t="str">
        <f t="shared" si="1229"/>
        <v>NIL</v>
      </c>
      <c r="Q2981" t="str">
        <f t="shared" si="1229"/>
        <v>NIL</v>
      </c>
      <c r="R2981" t="str">
        <f t="shared" si="1216"/>
        <v>Accepted</v>
      </c>
      <c r="S2981" t="str">
        <f t="shared" si="1217"/>
        <v>Approved</v>
      </c>
      <c r="T2981" t="str">
        <f t="shared" si="1218"/>
        <v>10.20.8.188</v>
      </c>
      <c r="U2981" t="str">
        <f t="shared" si="1219"/>
        <v>AZRAD UMAR BIN SHAARI</v>
      </c>
      <c r="V2981" t="str">
        <f t="shared" si="1220"/>
        <v>FARHANA BINTI MUSTAPA</v>
      </c>
      <c r="W2981" t="str">
        <f t="shared" si="1221"/>
        <v>04-08-2020</v>
      </c>
      <c r="X2981" t="str">
        <f t="shared" si="1222"/>
        <v>RAZIMAH ANSAR AHMAD</v>
      </c>
      <c r="Y2981" t="str">
        <f t="shared" si="1223"/>
        <v>04-08-2020</v>
      </c>
      <c r="Z2981" t="str">
        <f>"COS10200804 6173"</f>
        <v>COS10200804 6173</v>
      </c>
    </row>
    <row r="2982" spans="1:26" x14ac:dyDescent="0.25">
      <c r="A2982" t="str">
        <f t="shared" si="1224"/>
        <v>04-08-2020 12:58:57</v>
      </c>
      <c r="B2982" t="str">
        <f>"0000807963"</f>
        <v>0000807963</v>
      </c>
      <c r="C2982" t="str">
        <f t="shared" si="1225"/>
        <v>0000807791</v>
      </c>
      <c r="D2982" t="str">
        <f t="shared" si="1211"/>
        <v>73185</v>
      </c>
      <c r="E2982" t="str">
        <f t="shared" si="1212"/>
        <v>KFH-OPERATIONS DEPARTMENT</v>
      </c>
      <c r="F2982" t="str">
        <f t="shared" si="1213"/>
        <v>IBG</v>
      </c>
      <c r="G2982" t="str">
        <f t="shared" si="1226"/>
        <v>Refund COSHARE 10</v>
      </c>
      <c r="H2982" s="2">
        <v>361</v>
      </c>
      <c r="I2982" t="str">
        <f>"NIK NORASHRIM BINTI NIK MAHAMED"</f>
        <v>NIK NORASHRIM BINTI NIK MAHAMED</v>
      </c>
      <c r="J2982" t="str">
        <f t="shared" si="1227"/>
        <v>MAYBANK / MAYBANK ISLAMIC</v>
      </c>
      <c r="K2982" t="str">
        <f>"151098336615"</f>
        <v>151098336615</v>
      </c>
      <c r="L2982" t="str">
        <f t="shared" si="1228"/>
        <v>04-08-2020</v>
      </c>
      <c r="M2982" t="str">
        <f t="shared" si="1228"/>
        <v>04-08-2020</v>
      </c>
      <c r="N2982" t="str">
        <f t="shared" si="1214"/>
        <v>001105018356</v>
      </c>
      <c r="O2982" t="str">
        <f t="shared" si="1215"/>
        <v>MYR</v>
      </c>
      <c r="P2982" t="str">
        <f t="shared" si="1229"/>
        <v>NIL</v>
      </c>
      <c r="Q2982" t="str">
        <f t="shared" si="1229"/>
        <v>NIL</v>
      </c>
      <c r="R2982" t="str">
        <f t="shared" si="1216"/>
        <v>Accepted</v>
      </c>
      <c r="S2982" t="str">
        <f t="shared" si="1217"/>
        <v>Approved</v>
      </c>
      <c r="T2982" t="str">
        <f t="shared" si="1218"/>
        <v>10.20.8.188</v>
      </c>
      <c r="U2982" t="str">
        <f t="shared" si="1219"/>
        <v>AZRAD UMAR BIN SHAARI</v>
      </c>
      <c r="V2982" t="str">
        <f t="shared" si="1220"/>
        <v>FARHANA BINTI MUSTAPA</v>
      </c>
      <c r="W2982" t="str">
        <f t="shared" si="1221"/>
        <v>04-08-2020</v>
      </c>
      <c r="X2982" t="str">
        <f t="shared" si="1222"/>
        <v>RAZIMAH ANSAR AHMAD</v>
      </c>
      <c r="Y2982" t="str">
        <f t="shared" si="1223"/>
        <v>04-08-2020</v>
      </c>
      <c r="Z2982" t="str">
        <f>"COS10200804 6172"</f>
        <v>COS10200804 6172</v>
      </c>
    </row>
    <row r="2983" spans="1:26" x14ac:dyDescent="0.25">
      <c r="A2983" t="str">
        <f t="shared" si="1224"/>
        <v>04-08-2020 12:58:57</v>
      </c>
      <c r="B2983" t="str">
        <f>"0000807962"</f>
        <v>0000807962</v>
      </c>
      <c r="C2983" t="str">
        <f t="shared" si="1225"/>
        <v>0000807791</v>
      </c>
      <c r="D2983" t="str">
        <f t="shared" si="1211"/>
        <v>73185</v>
      </c>
      <c r="E2983" t="str">
        <f t="shared" si="1212"/>
        <v>KFH-OPERATIONS DEPARTMENT</v>
      </c>
      <c r="F2983" t="str">
        <f t="shared" si="1213"/>
        <v>IBG</v>
      </c>
      <c r="G2983" t="str">
        <f t="shared" si="1226"/>
        <v>Refund COSHARE 10</v>
      </c>
      <c r="H2983" s="2">
        <v>335.8</v>
      </c>
      <c r="I2983" t="str">
        <f>"NIK NOR SUZIRA BINTI ISMAIL"</f>
        <v>NIK NOR SUZIRA BINTI ISMAIL</v>
      </c>
      <c r="J2983" t="str">
        <f t="shared" si="1227"/>
        <v>MAYBANK / MAYBANK ISLAMIC</v>
      </c>
      <c r="K2983" t="str">
        <f>"153029126208"</f>
        <v>153029126208</v>
      </c>
      <c r="L2983" t="str">
        <f t="shared" si="1228"/>
        <v>04-08-2020</v>
      </c>
      <c r="M2983" t="str">
        <f t="shared" si="1228"/>
        <v>04-08-2020</v>
      </c>
      <c r="N2983" t="str">
        <f t="shared" si="1214"/>
        <v>001105018356</v>
      </c>
      <c r="O2983" t="str">
        <f t="shared" si="1215"/>
        <v>MYR</v>
      </c>
      <c r="P2983" t="str">
        <f t="shared" si="1229"/>
        <v>NIL</v>
      </c>
      <c r="Q2983" t="str">
        <f t="shared" si="1229"/>
        <v>NIL</v>
      </c>
      <c r="R2983" t="str">
        <f t="shared" si="1216"/>
        <v>Accepted</v>
      </c>
      <c r="S2983" t="str">
        <f t="shared" si="1217"/>
        <v>Approved</v>
      </c>
      <c r="T2983" t="str">
        <f t="shared" si="1218"/>
        <v>10.20.8.188</v>
      </c>
      <c r="U2983" t="str">
        <f t="shared" si="1219"/>
        <v>AZRAD UMAR BIN SHAARI</v>
      </c>
      <c r="V2983" t="str">
        <f t="shared" si="1220"/>
        <v>FARHANA BINTI MUSTAPA</v>
      </c>
      <c r="W2983" t="str">
        <f t="shared" si="1221"/>
        <v>04-08-2020</v>
      </c>
      <c r="X2983" t="str">
        <f t="shared" si="1222"/>
        <v>RAZIMAH ANSAR AHMAD</v>
      </c>
      <c r="Y2983" t="str">
        <f t="shared" si="1223"/>
        <v>04-08-2020</v>
      </c>
      <c r="Z2983" t="str">
        <f>"COS10200804 6171"</f>
        <v>COS10200804 6171</v>
      </c>
    </row>
    <row r="2984" spans="1:26" x14ac:dyDescent="0.25">
      <c r="A2984" t="str">
        <f t="shared" si="1224"/>
        <v>04-08-2020 12:58:57</v>
      </c>
      <c r="B2984" t="str">
        <f>"0000807961"</f>
        <v>0000807961</v>
      </c>
      <c r="C2984" t="str">
        <f t="shared" si="1225"/>
        <v>0000807791</v>
      </c>
      <c r="D2984" t="str">
        <f t="shared" si="1211"/>
        <v>73185</v>
      </c>
      <c r="E2984" t="str">
        <f t="shared" si="1212"/>
        <v>KFH-OPERATIONS DEPARTMENT</v>
      </c>
      <c r="F2984" t="str">
        <f t="shared" si="1213"/>
        <v>IBG</v>
      </c>
      <c r="G2984" t="str">
        <f t="shared" si="1226"/>
        <v>Refund COSHARE 10</v>
      </c>
      <c r="H2984" s="2">
        <v>688.4</v>
      </c>
      <c r="I2984" t="str">
        <f>"NIK NOR HISAM BIN NIK AB MAJID"</f>
        <v>NIK NOR HISAM BIN NIK AB MAJID</v>
      </c>
      <c r="J2984" t="str">
        <f t="shared" si="1227"/>
        <v>MAYBANK / MAYBANK ISLAMIC</v>
      </c>
      <c r="K2984" t="str">
        <f>"106099005570"</f>
        <v>106099005570</v>
      </c>
      <c r="L2984" t="str">
        <f t="shared" si="1228"/>
        <v>04-08-2020</v>
      </c>
      <c r="M2984" t="str">
        <f t="shared" si="1228"/>
        <v>04-08-2020</v>
      </c>
      <c r="N2984" t="str">
        <f t="shared" si="1214"/>
        <v>001105018356</v>
      </c>
      <c r="O2984" t="str">
        <f t="shared" si="1215"/>
        <v>MYR</v>
      </c>
      <c r="P2984" t="str">
        <f t="shared" si="1229"/>
        <v>NIL</v>
      </c>
      <c r="Q2984" t="str">
        <f t="shared" si="1229"/>
        <v>NIL</v>
      </c>
      <c r="R2984" t="str">
        <f t="shared" si="1216"/>
        <v>Accepted</v>
      </c>
      <c r="S2984" t="str">
        <f t="shared" si="1217"/>
        <v>Approved</v>
      </c>
      <c r="T2984" t="str">
        <f t="shared" si="1218"/>
        <v>10.20.8.188</v>
      </c>
      <c r="U2984" t="str">
        <f t="shared" si="1219"/>
        <v>AZRAD UMAR BIN SHAARI</v>
      </c>
      <c r="V2984" t="str">
        <f t="shared" si="1220"/>
        <v>FARHANA BINTI MUSTAPA</v>
      </c>
      <c r="W2984" t="str">
        <f t="shared" si="1221"/>
        <v>04-08-2020</v>
      </c>
      <c r="X2984" t="str">
        <f t="shared" si="1222"/>
        <v>RAZIMAH ANSAR AHMAD</v>
      </c>
      <c r="Y2984" t="str">
        <f t="shared" si="1223"/>
        <v>04-08-2020</v>
      </c>
      <c r="Z2984" t="str">
        <f>"COS10200804 6170"</f>
        <v>COS10200804 6170</v>
      </c>
    </row>
    <row r="2985" spans="1:26" x14ac:dyDescent="0.25">
      <c r="A2985" t="str">
        <f t="shared" si="1224"/>
        <v>04-08-2020 12:58:57</v>
      </c>
      <c r="B2985" t="str">
        <f>"0000807960"</f>
        <v>0000807960</v>
      </c>
      <c r="C2985" t="str">
        <f t="shared" si="1225"/>
        <v>0000807791</v>
      </c>
      <c r="D2985" t="str">
        <f t="shared" si="1211"/>
        <v>73185</v>
      </c>
      <c r="E2985" t="str">
        <f t="shared" si="1212"/>
        <v>KFH-OPERATIONS DEPARTMENT</v>
      </c>
      <c r="F2985" t="str">
        <f t="shared" si="1213"/>
        <v>IBG</v>
      </c>
      <c r="G2985" t="str">
        <f t="shared" si="1226"/>
        <v>Refund COSHARE 10</v>
      </c>
      <c r="H2985" s="2">
        <v>60.35</v>
      </c>
      <c r="I2985" t="str">
        <f>"NIK NOR ADLI BIN MOHD TAIB"</f>
        <v>NIK NOR ADLI BIN MOHD TAIB</v>
      </c>
      <c r="J2985" t="str">
        <f t="shared" si="1227"/>
        <v>MAYBANK / MAYBANK ISLAMIC</v>
      </c>
      <c r="K2985" t="str">
        <f>"114543020078"</f>
        <v>114543020078</v>
      </c>
      <c r="L2985" t="str">
        <f t="shared" si="1228"/>
        <v>04-08-2020</v>
      </c>
      <c r="M2985" t="str">
        <f t="shared" si="1228"/>
        <v>04-08-2020</v>
      </c>
      <c r="N2985" t="str">
        <f t="shared" si="1214"/>
        <v>001105018356</v>
      </c>
      <c r="O2985" t="str">
        <f t="shared" si="1215"/>
        <v>MYR</v>
      </c>
      <c r="P2985" t="str">
        <f t="shared" si="1229"/>
        <v>NIL</v>
      </c>
      <c r="Q2985" t="str">
        <f t="shared" si="1229"/>
        <v>NIL</v>
      </c>
      <c r="R2985" t="str">
        <f t="shared" si="1216"/>
        <v>Accepted</v>
      </c>
      <c r="S2985" t="str">
        <f t="shared" si="1217"/>
        <v>Approved</v>
      </c>
      <c r="T2985" t="str">
        <f t="shared" si="1218"/>
        <v>10.20.8.188</v>
      </c>
      <c r="U2985" t="str">
        <f t="shared" si="1219"/>
        <v>AZRAD UMAR BIN SHAARI</v>
      </c>
      <c r="V2985" t="str">
        <f t="shared" si="1220"/>
        <v>FARHANA BINTI MUSTAPA</v>
      </c>
      <c r="W2985" t="str">
        <f t="shared" si="1221"/>
        <v>04-08-2020</v>
      </c>
      <c r="X2985" t="str">
        <f t="shared" si="1222"/>
        <v>RAZIMAH ANSAR AHMAD</v>
      </c>
      <c r="Y2985" t="str">
        <f t="shared" si="1223"/>
        <v>04-08-2020</v>
      </c>
      <c r="Z2985" t="str">
        <f>"COS10200804 6169"</f>
        <v>COS10200804 6169</v>
      </c>
    </row>
    <row r="2986" spans="1:26" x14ac:dyDescent="0.25">
      <c r="A2986" t="str">
        <f t="shared" ref="A2986:A3017" si="1230">"04-08-2020 12:58:57"</f>
        <v>04-08-2020 12:58:57</v>
      </c>
      <c r="B2986" t="str">
        <f>"0000807959"</f>
        <v>0000807959</v>
      </c>
      <c r="C2986" t="str">
        <f t="shared" ref="C2986:C3017" si="1231">"0000807791"</f>
        <v>0000807791</v>
      </c>
      <c r="D2986" t="str">
        <f t="shared" si="1211"/>
        <v>73185</v>
      </c>
      <c r="E2986" t="str">
        <f t="shared" si="1212"/>
        <v>KFH-OPERATIONS DEPARTMENT</v>
      </c>
      <c r="F2986" t="str">
        <f t="shared" si="1213"/>
        <v>IBG</v>
      </c>
      <c r="G2986" t="str">
        <f t="shared" si="1226"/>
        <v>Refund COSHARE 10</v>
      </c>
      <c r="H2986" s="2">
        <v>587.65</v>
      </c>
      <c r="I2986" t="str">
        <f>"NIK MOHD WAFI BIN NIK MOHAMED DAUD"</f>
        <v>NIK MOHD WAFI BIN NIK MOHAMED DAUD</v>
      </c>
      <c r="J2986" t="str">
        <f t="shared" si="1227"/>
        <v>MAYBANK / MAYBANK ISLAMIC</v>
      </c>
      <c r="K2986" t="str">
        <f>"164276515915"</f>
        <v>164276515915</v>
      </c>
      <c r="L2986" t="str">
        <f t="shared" si="1228"/>
        <v>04-08-2020</v>
      </c>
      <c r="M2986" t="str">
        <f t="shared" si="1228"/>
        <v>04-08-2020</v>
      </c>
      <c r="N2986" t="str">
        <f t="shared" si="1214"/>
        <v>001105018356</v>
      </c>
      <c r="O2986" t="str">
        <f t="shared" si="1215"/>
        <v>MYR</v>
      </c>
      <c r="P2986" t="str">
        <f t="shared" si="1229"/>
        <v>NIL</v>
      </c>
      <c r="Q2986" t="str">
        <f t="shared" si="1229"/>
        <v>NIL</v>
      </c>
      <c r="R2986" t="str">
        <f t="shared" si="1216"/>
        <v>Accepted</v>
      </c>
      <c r="S2986" t="str">
        <f t="shared" si="1217"/>
        <v>Approved</v>
      </c>
      <c r="T2986" t="str">
        <f t="shared" si="1218"/>
        <v>10.20.8.188</v>
      </c>
      <c r="U2986" t="str">
        <f t="shared" si="1219"/>
        <v>AZRAD UMAR BIN SHAARI</v>
      </c>
      <c r="V2986" t="str">
        <f t="shared" si="1220"/>
        <v>FARHANA BINTI MUSTAPA</v>
      </c>
      <c r="W2986" t="str">
        <f t="shared" si="1221"/>
        <v>04-08-2020</v>
      </c>
      <c r="X2986" t="str">
        <f t="shared" si="1222"/>
        <v>RAZIMAH ANSAR AHMAD</v>
      </c>
      <c r="Y2986" t="str">
        <f t="shared" si="1223"/>
        <v>04-08-2020</v>
      </c>
      <c r="Z2986" t="str">
        <f>"COS10200804 6168"</f>
        <v>COS10200804 6168</v>
      </c>
    </row>
    <row r="2987" spans="1:26" x14ac:dyDescent="0.25">
      <c r="A2987" t="str">
        <f t="shared" si="1230"/>
        <v>04-08-2020 12:58:57</v>
      </c>
      <c r="B2987" t="str">
        <f>"0000807958"</f>
        <v>0000807958</v>
      </c>
      <c r="C2987" t="str">
        <f t="shared" si="1231"/>
        <v>0000807791</v>
      </c>
      <c r="D2987" t="str">
        <f t="shared" si="1211"/>
        <v>73185</v>
      </c>
      <c r="E2987" t="str">
        <f t="shared" si="1212"/>
        <v>KFH-OPERATIONS DEPARTMENT</v>
      </c>
      <c r="F2987" t="str">
        <f t="shared" si="1213"/>
        <v>IBG</v>
      </c>
      <c r="G2987" t="str">
        <f t="shared" si="1226"/>
        <v>Refund COSHARE 10</v>
      </c>
      <c r="H2987" s="2">
        <v>83.95</v>
      </c>
      <c r="I2987" t="str">
        <f>"NIK MOHD SYUKRI BIN MUHAMMAD"</f>
        <v>NIK MOHD SYUKRI BIN MUHAMMAD</v>
      </c>
      <c r="J2987" t="str">
        <f t="shared" si="1227"/>
        <v>MAYBANK / MAYBANK ISLAMIC</v>
      </c>
      <c r="K2987" t="str">
        <f>"113042060510"</f>
        <v>113042060510</v>
      </c>
      <c r="L2987" t="str">
        <f t="shared" ref="L2987:M3006" si="1232">"04-08-2020"</f>
        <v>04-08-2020</v>
      </c>
      <c r="M2987" t="str">
        <f t="shared" si="1232"/>
        <v>04-08-2020</v>
      </c>
      <c r="N2987" t="str">
        <f t="shared" si="1214"/>
        <v>001105018356</v>
      </c>
      <c r="O2987" t="str">
        <f t="shared" si="1215"/>
        <v>MYR</v>
      </c>
      <c r="P2987" t="str">
        <f t="shared" ref="P2987:Q3006" si="1233">"NIL"</f>
        <v>NIL</v>
      </c>
      <c r="Q2987" t="str">
        <f t="shared" si="1233"/>
        <v>NIL</v>
      </c>
      <c r="R2987" t="str">
        <f t="shared" si="1216"/>
        <v>Accepted</v>
      </c>
      <c r="S2987" t="str">
        <f t="shared" si="1217"/>
        <v>Approved</v>
      </c>
      <c r="T2987" t="str">
        <f t="shared" si="1218"/>
        <v>10.20.8.188</v>
      </c>
      <c r="U2987" t="str">
        <f t="shared" si="1219"/>
        <v>AZRAD UMAR BIN SHAARI</v>
      </c>
      <c r="V2987" t="str">
        <f t="shared" si="1220"/>
        <v>FARHANA BINTI MUSTAPA</v>
      </c>
      <c r="W2987" t="str">
        <f t="shared" si="1221"/>
        <v>04-08-2020</v>
      </c>
      <c r="X2987" t="str">
        <f t="shared" si="1222"/>
        <v>RAZIMAH ANSAR AHMAD</v>
      </c>
      <c r="Y2987" t="str">
        <f t="shared" si="1223"/>
        <v>04-08-2020</v>
      </c>
      <c r="Z2987" t="str">
        <f>"COS10200804 6167"</f>
        <v>COS10200804 6167</v>
      </c>
    </row>
    <row r="2988" spans="1:26" x14ac:dyDescent="0.25">
      <c r="A2988" t="str">
        <f t="shared" si="1230"/>
        <v>04-08-2020 12:58:57</v>
      </c>
      <c r="B2988" t="str">
        <f>"0000807957"</f>
        <v>0000807957</v>
      </c>
      <c r="C2988" t="str">
        <f t="shared" si="1231"/>
        <v>0000807791</v>
      </c>
      <c r="D2988" t="str">
        <f t="shared" si="1211"/>
        <v>73185</v>
      </c>
      <c r="E2988" t="str">
        <f t="shared" si="1212"/>
        <v>KFH-OPERATIONS DEPARTMENT</v>
      </c>
      <c r="F2988" t="str">
        <f t="shared" si="1213"/>
        <v>IBG</v>
      </c>
      <c r="G2988" t="str">
        <f t="shared" si="1226"/>
        <v>Refund COSHARE 10</v>
      </c>
      <c r="H2988" s="2">
        <v>1679</v>
      </c>
      <c r="I2988" t="str">
        <f>"NIK MOHD SUWARDY BIN NIK MAT"</f>
        <v>NIK MOHD SUWARDY BIN NIK MAT</v>
      </c>
      <c r="J2988" t="str">
        <f t="shared" si="1227"/>
        <v>MAYBANK / MAYBANK ISLAMIC</v>
      </c>
      <c r="K2988" t="str">
        <f>"164539029658"</f>
        <v>164539029658</v>
      </c>
      <c r="L2988" t="str">
        <f t="shared" si="1232"/>
        <v>04-08-2020</v>
      </c>
      <c r="M2988" t="str">
        <f t="shared" si="1232"/>
        <v>04-08-2020</v>
      </c>
      <c r="N2988" t="str">
        <f t="shared" si="1214"/>
        <v>001105018356</v>
      </c>
      <c r="O2988" t="str">
        <f t="shared" si="1215"/>
        <v>MYR</v>
      </c>
      <c r="P2988" t="str">
        <f t="shared" si="1233"/>
        <v>NIL</v>
      </c>
      <c r="Q2988" t="str">
        <f t="shared" si="1233"/>
        <v>NIL</v>
      </c>
      <c r="R2988" t="str">
        <f t="shared" si="1216"/>
        <v>Accepted</v>
      </c>
      <c r="S2988" t="str">
        <f t="shared" si="1217"/>
        <v>Approved</v>
      </c>
      <c r="T2988" t="str">
        <f t="shared" si="1218"/>
        <v>10.20.8.188</v>
      </c>
      <c r="U2988" t="str">
        <f t="shared" si="1219"/>
        <v>AZRAD UMAR BIN SHAARI</v>
      </c>
      <c r="V2988" t="str">
        <f t="shared" si="1220"/>
        <v>FARHANA BINTI MUSTAPA</v>
      </c>
      <c r="W2988" t="str">
        <f t="shared" si="1221"/>
        <v>04-08-2020</v>
      </c>
      <c r="X2988" t="str">
        <f t="shared" si="1222"/>
        <v>RAZIMAH ANSAR AHMAD</v>
      </c>
      <c r="Y2988" t="str">
        <f t="shared" si="1223"/>
        <v>04-08-2020</v>
      </c>
      <c r="Z2988" t="str">
        <f>"COS10200804 6166"</f>
        <v>COS10200804 6166</v>
      </c>
    </row>
    <row r="2989" spans="1:26" x14ac:dyDescent="0.25">
      <c r="A2989" t="str">
        <f t="shared" si="1230"/>
        <v>04-08-2020 12:58:57</v>
      </c>
      <c r="B2989" t="str">
        <f>"0000807956"</f>
        <v>0000807956</v>
      </c>
      <c r="C2989" t="str">
        <f t="shared" si="1231"/>
        <v>0000807791</v>
      </c>
      <c r="D2989" t="str">
        <f t="shared" si="1211"/>
        <v>73185</v>
      </c>
      <c r="E2989" t="str">
        <f t="shared" si="1212"/>
        <v>KFH-OPERATIONS DEPARTMENT</v>
      </c>
      <c r="F2989" t="str">
        <f t="shared" si="1213"/>
        <v>IBG</v>
      </c>
      <c r="G2989" t="str">
        <f t="shared" si="1226"/>
        <v>Refund COSHARE 10</v>
      </c>
      <c r="H2989" s="2">
        <v>381.1</v>
      </c>
      <c r="I2989" t="str">
        <f>"NIK MOHD KOHAR BIN NIK MAHMOOD"</f>
        <v>NIK MOHD KOHAR BIN NIK MAHMOOD</v>
      </c>
      <c r="J2989" t="str">
        <f t="shared" si="1227"/>
        <v>MAYBANK / MAYBANK ISLAMIC</v>
      </c>
      <c r="K2989" t="str">
        <f>"156169094593"</f>
        <v>156169094593</v>
      </c>
      <c r="L2989" t="str">
        <f t="shared" si="1232"/>
        <v>04-08-2020</v>
      </c>
      <c r="M2989" t="str">
        <f t="shared" si="1232"/>
        <v>04-08-2020</v>
      </c>
      <c r="N2989" t="str">
        <f t="shared" si="1214"/>
        <v>001105018356</v>
      </c>
      <c r="O2989" t="str">
        <f t="shared" si="1215"/>
        <v>MYR</v>
      </c>
      <c r="P2989" t="str">
        <f t="shared" si="1233"/>
        <v>NIL</v>
      </c>
      <c r="Q2989" t="str">
        <f t="shared" si="1233"/>
        <v>NIL</v>
      </c>
      <c r="R2989" t="str">
        <f t="shared" si="1216"/>
        <v>Accepted</v>
      </c>
      <c r="S2989" t="str">
        <f t="shared" si="1217"/>
        <v>Approved</v>
      </c>
      <c r="T2989" t="str">
        <f t="shared" si="1218"/>
        <v>10.20.8.188</v>
      </c>
      <c r="U2989" t="str">
        <f t="shared" si="1219"/>
        <v>AZRAD UMAR BIN SHAARI</v>
      </c>
      <c r="V2989" t="str">
        <f t="shared" si="1220"/>
        <v>FARHANA BINTI MUSTAPA</v>
      </c>
      <c r="W2989" t="str">
        <f t="shared" si="1221"/>
        <v>04-08-2020</v>
      </c>
      <c r="X2989" t="str">
        <f t="shared" si="1222"/>
        <v>RAZIMAH ANSAR AHMAD</v>
      </c>
      <c r="Y2989" t="str">
        <f t="shared" si="1223"/>
        <v>04-08-2020</v>
      </c>
      <c r="Z2989" t="str">
        <f>"COS10200804 6165"</f>
        <v>COS10200804 6165</v>
      </c>
    </row>
    <row r="2990" spans="1:26" x14ac:dyDescent="0.25">
      <c r="A2990" t="str">
        <f t="shared" si="1230"/>
        <v>04-08-2020 12:58:57</v>
      </c>
      <c r="B2990" t="str">
        <f>"0000807955"</f>
        <v>0000807955</v>
      </c>
      <c r="C2990" t="str">
        <f t="shared" si="1231"/>
        <v>0000807791</v>
      </c>
      <c r="D2990" t="str">
        <f t="shared" si="1211"/>
        <v>73185</v>
      </c>
      <c r="E2990" t="str">
        <f t="shared" si="1212"/>
        <v>KFH-OPERATIONS DEPARTMENT</v>
      </c>
      <c r="F2990" t="str">
        <f t="shared" si="1213"/>
        <v>IBG</v>
      </c>
      <c r="G2990" t="str">
        <f t="shared" si="1226"/>
        <v>Refund COSHARE 10</v>
      </c>
      <c r="H2990" s="2">
        <v>713.6</v>
      </c>
      <c r="I2990" t="str">
        <f>"NIK MOHD AZURAN BIN RAJA ABDULLAH"</f>
        <v>NIK MOHD AZURAN BIN RAJA ABDULLAH</v>
      </c>
      <c r="J2990" t="str">
        <f t="shared" si="1227"/>
        <v>MAYBANK / MAYBANK ISLAMIC</v>
      </c>
      <c r="K2990" t="str">
        <f>"162348345563"</f>
        <v>162348345563</v>
      </c>
      <c r="L2990" t="str">
        <f t="shared" si="1232"/>
        <v>04-08-2020</v>
      </c>
      <c r="M2990" t="str">
        <f t="shared" si="1232"/>
        <v>04-08-2020</v>
      </c>
      <c r="N2990" t="str">
        <f t="shared" si="1214"/>
        <v>001105018356</v>
      </c>
      <c r="O2990" t="str">
        <f t="shared" si="1215"/>
        <v>MYR</v>
      </c>
      <c r="P2990" t="str">
        <f t="shared" si="1233"/>
        <v>NIL</v>
      </c>
      <c r="Q2990" t="str">
        <f t="shared" si="1233"/>
        <v>NIL</v>
      </c>
      <c r="R2990" t="str">
        <f t="shared" si="1216"/>
        <v>Accepted</v>
      </c>
      <c r="S2990" t="str">
        <f t="shared" si="1217"/>
        <v>Approved</v>
      </c>
      <c r="T2990" t="str">
        <f t="shared" si="1218"/>
        <v>10.20.8.188</v>
      </c>
      <c r="U2990" t="str">
        <f t="shared" si="1219"/>
        <v>AZRAD UMAR BIN SHAARI</v>
      </c>
      <c r="V2990" t="str">
        <f t="shared" si="1220"/>
        <v>FARHANA BINTI MUSTAPA</v>
      </c>
      <c r="W2990" t="str">
        <f t="shared" si="1221"/>
        <v>04-08-2020</v>
      </c>
      <c r="X2990" t="str">
        <f t="shared" si="1222"/>
        <v>RAZIMAH ANSAR AHMAD</v>
      </c>
      <c r="Y2990" t="str">
        <f t="shared" si="1223"/>
        <v>04-08-2020</v>
      </c>
      <c r="Z2990" t="str">
        <f>"COS10200804 6164"</f>
        <v>COS10200804 6164</v>
      </c>
    </row>
    <row r="2991" spans="1:26" x14ac:dyDescent="0.25">
      <c r="A2991" t="str">
        <f t="shared" si="1230"/>
        <v>04-08-2020 12:58:57</v>
      </c>
      <c r="B2991" t="str">
        <f>"0000807954"</f>
        <v>0000807954</v>
      </c>
      <c r="C2991" t="str">
        <f t="shared" si="1231"/>
        <v>0000807791</v>
      </c>
      <c r="D2991" t="str">
        <f t="shared" si="1211"/>
        <v>73185</v>
      </c>
      <c r="E2991" t="str">
        <f t="shared" si="1212"/>
        <v>KFH-OPERATIONS DEPARTMENT</v>
      </c>
      <c r="F2991" t="str">
        <f t="shared" si="1213"/>
        <v>IBG</v>
      </c>
      <c r="G2991" t="str">
        <f t="shared" si="1226"/>
        <v>Refund COSHARE 10</v>
      </c>
      <c r="H2991" s="2">
        <v>134.35</v>
      </c>
      <c r="I2991" t="str">
        <f>"NIK MARHAINI BT NIK MAHIDIN  NIK DIN"</f>
        <v>NIK MARHAINI BT NIK MAHIDIN  NIK DIN</v>
      </c>
      <c r="J2991" t="str">
        <f t="shared" si="1227"/>
        <v>MAYBANK / MAYBANK ISLAMIC</v>
      </c>
      <c r="K2991" t="str">
        <f>"153038820929"</f>
        <v>153038820929</v>
      </c>
      <c r="L2991" t="str">
        <f t="shared" si="1232"/>
        <v>04-08-2020</v>
      </c>
      <c r="M2991" t="str">
        <f t="shared" si="1232"/>
        <v>04-08-2020</v>
      </c>
      <c r="N2991" t="str">
        <f t="shared" si="1214"/>
        <v>001105018356</v>
      </c>
      <c r="O2991" t="str">
        <f t="shared" si="1215"/>
        <v>MYR</v>
      </c>
      <c r="P2991" t="str">
        <f t="shared" si="1233"/>
        <v>NIL</v>
      </c>
      <c r="Q2991" t="str">
        <f t="shared" si="1233"/>
        <v>NIL</v>
      </c>
      <c r="R2991" t="str">
        <f t="shared" si="1216"/>
        <v>Accepted</v>
      </c>
      <c r="S2991" t="str">
        <f t="shared" si="1217"/>
        <v>Approved</v>
      </c>
      <c r="T2991" t="str">
        <f t="shared" si="1218"/>
        <v>10.20.8.188</v>
      </c>
      <c r="U2991" t="str">
        <f t="shared" si="1219"/>
        <v>AZRAD UMAR BIN SHAARI</v>
      </c>
      <c r="V2991" t="str">
        <f t="shared" si="1220"/>
        <v>FARHANA BINTI MUSTAPA</v>
      </c>
      <c r="W2991" t="str">
        <f t="shared" si="1221"/>
        <v>04-08-2020</v>
      </c>
      <c r="X2991" t="str">
        <f t="shared" si="1222"/>
        <v>RAZIMAH ANSAR AHMAD</v>
      </c>
      <c r="Y2991" t="str">
        <f t="shared" si="1223"/>
        <v>04-08-2020</v>
      </c>
      <c r="Z2991" t="str">
        <f>"COS10200804 6163"</f>
        <v>COS10200804 6163</v>
      </c>
    </row>
    <row r="2992" spans="1:26" x14ac:dyDescent="0.25">
      <c r="A2992" t="str">
        <f t="shared" si="1230"/>
        <v>04-08-2020 12:58:57</v>
      </c>
      <c r="B2992" t="str">
        <f>"0000807953"</f>
        <v>0000807953</v>
      </c>
      <c r="C2992" t="str">
        <f t="shared" si="1231"/>
        <v>0000807791</v>
      </c>
      <c r="D2992" t="str">
        <f t="shared" si="1211"/>
        <v>73185</v>
      </c>
      <c r="E2992" t="str">
        <f t="shared" si="1212"/>
        <v>KFH-OPERATIONS DEPARTMENT</v>
      </c>
      <c r="F2992" t="str">
        <f t="shared" si="1213"/>
        <v>IBG</v>
      </c>
      <c r="G2992" t="str">
        <f t="shared" si="1226"/>
        <v>Refund COSHARE 10</v>
      </c>
      <c r="H2992" s="2">
        <v>97.6</v>
      </c>
      <c r="I2992" t="str">
        <f>"NIK KHAIRUL HISHAM BIN NIK HARIRY"</f>
        <v>NIK KHAIRUL HISHAM BIN NIK HARIRY</v>
      </c>
      <c r="J2992" t="str">
        <f t="shared" si="1227"/>
        <v>MAYBANK / MAYBANK ISLAMIC</v>
      </c>
      <c r="K2992" t="str">
        <f>"163046284869"</f>
        <v>163046284869</v>
      </c>
      <c r="L2992" t="str">
        <f t="shared" si="1232"/>
        <v>04-08-2020</v>
      </c>
      <c r="M2992" t="str">
        <f t="shared" si="1232"/>
        <v>04-08-2020</v>
      </c>
      <c r="N2992" t="str">
        <f t="shared" si="1214"/>
        <v>001105018356</v>
      </c>
      <c r="O2992" t="str">
        <f t="shared" si="1215"/>
        <v>MYR</v>
      </c>
      <c r="P2992" t="str">
        <f t="shared" si="1233"/>
        <v>NIL</v>
      </c>
      <c r="Q2992" t="str">
        <f t="shared" si="1233"/>
        <v>NIL</v>
      </c>
      <c r="R2992" t="str">
        <f t="shared" si="1216"/>
        <v>Accepted</v>
      </c>
      <c r="S2992" t="str">
        <f t="shared" si="1217"/>
        <v>Approved</v>
      </c>
      <c r="T2992" t="str">
        <f t="shared" si="1218"/>
        <v>10.20.8.188</v>
      </c>
      <c r="U2992" t="str">
        <f t="shared" si="1219"/>
        <v>AZRAD UMAR BIN SHAARI</v>
      </c>
      <c r="V2992" t="str">
        <f t="shared" si="1220"/>
        <v>FARHANA BINTI MUSTAPA</v>
      </c>
      <c r="W2992" t="str">
        <f t="shared" si="1221"/>
        <v>04-08-2020</v>
      </c>
      <c r="X2992" t="str">
        <f t="shared" si="1222"/>
        <v>RAZIMAH ANSAR AHMAD</v>
      </c>
      <c r="Y2992" t="str">
        <f t="shared" si="1223"/>
        <v>04-08-2020</v>
      </c>
      <c r="Z2992" t="str">
        <f>"COS10200804 6162"</f>
        <v>COS10200804 6162</v>
      </c>
    </row>
    <row r="2993" spans="1:26" x14ac:dyDescent="0.25">
      <c r="A2993" t="str">
        <f t="shared" si="1230"/>
        <v>04-08-2020 12:58:57</v>
      </c>
      <c r="B2993" t="str">
        <f>"0000807952"</f>
        <v>0000807952</v>
      </c>
      <c r="C2993" t="str">
        <f t="shared" si="1231"/>
        <v>0000807791</v>
      </c>
      <c r="D2993" t="str">
        <f t="shared" si="1211"/>
        <v>73185</v>
      </c>
      <c r="E2993" t="str">
        <f t="shared" si="1212"/>
        <v>KFH-OPERATIONS DEPARTMENT</v>
      </c>
      <c r="F2993" t="str">
        <f t="shared" si="1213"/>
        <v>IBG</v>
      </c>
      <c r="G2993" t="str">
        <f t="shared" si="1226"/>
        <v>Refund COSHARE 10</v>
      </c>
      <c r="H2993" s="2">
        <v>973.85</v>
      </c>
      <c r="I2993" t="str">
        <f>"NIK HAFSAH BINTI NIK DAUD"</f>
        <v>NIK HAFSAH BINTI NIK DAUD</v>
      </c>
      <c r="J2993" t="str">
        <f t="shared" si="1227"/>
        <v>MAYBANK / MAYBANK ISLAMIC</v>
      </c>
      <c r="K2993" t="str">
        <f>"164025009239"</f>
        <v>164025009239</v>
      </c>
      <c r="L2993" t="str">
        <f t="shared" si="1232"/>
        <v>04-08-2020</v>
      </c>
      <c r="M2993" t="str">
        <f t="shared" si="1232"/>
        <v>04-08-2020</v>
      </c>
      <c r="N2993" t="str">
        <f t="shared" si="1214"/>
        <v>001105018356</v>
      </c>
      <c r="O2993" t="str">
        <f t="shared" si="1215"/>
        <v>MYR</v>
      </c>
      <c r="P2993" t="str">
        <f t="shared" si="1233"/>
        <v>NIL</v>
      </c>
      <c r="Q2993" t="str">
        <f t="shared" si="1233"/>
        <v>NIL</v>
      </c>
      <c r="R2993" t="str">
        <f t="shared" si="1216"/>
        <v>Accepted</v>
      </c>
      <c r="S2993" t="str">
        <f t="shared" si="1217"/>
        <v>Approved</v>
      </c>
      <c r="T2993" t="str">
        <f t="shared" si="1218"/>
        <v>10.20.8.188</v>
      </c>
      <c r="U2993" t="str">
        <f t="shared" si="1219"/>
        <v>AZRAD UMAR BIN SHAARI</v>
      </c>
      <c r="V2993" t="str">
        <f t="shared" si="1220"/>
        <v>FARHANA BINTI MUSTAPA</v>
      </c>
      <c r="W2993" t="str">
        <f t="shared" si="1221"/>
        <v>04-08-2020</v>
      </c>
      <c r="X2993" t="str">
        <f t="shared" si="1222"/>
        <v>RAZIMAH ANSAR AHMAD</v>
      </c>
      <c r="Y2993" t="str">
        <f t="shared" si="1223"/>
        <v>04-08-2020</v>
      </c>
      <c r="Z2993" t="str">
        <f>"COS10200804 6161"</f>
        <v>COS10200804 6161</v>
      </c>
    </row>
    <row r="2994" spans="1:26" x14ac:dyDescent="0.25">
      <c r="A2994" t="str">
        <f t="shared" si="1230"/>
        <v>04-08-2020 12:58:57</v>
      </c>
      <c r="B2994" t="str">
        <f>"0000807951"</f>
        <v>0000807951</v>
      </c>
      <c r="C2994" t="str">
        <f t="shared" si="1231"/>
        <v>0000807791</v>
      </c>
      <c r="D2994" t="str">
        <f t="shared" si="1211"/>
        <v>73185</v>
      </c>
      <c r="E2994" t="str">
        <f t="shared" si="1212"/>
        <v>KFH-OPERATIONS DEPARTMENT</v>
      </c>
      <c r="F2994" t="str">
        <f t="shared" si="1213"/>
        <v>IBG</v>
      </c>
      <c r="G2994" t="str">
        <f t="shared" si="1226"/>
        <v>Refund COSHARE 10</v>
      </c>
      <c r="H2994" s="2">
        <v>281</v>
      </c>
      <c r="I2994" t="str">
        <f>"NIK FAIZAL BIN NEK DAUD"</f>
        <v>NIK FAIZAL BIN NEK DAUD</v>
      </c>
      <c r="J2994" t="str">
        <f t="shared" si="1227"/>
        <v>MAYBANK / MAYBANK ISLAMIC</v>
      </c>
      <c r="K2994" t="str">
        <f>"162106428083"</f>
        <v>162106428083</v>
      </c>
      <c r="L2994" t="str">
        <f t="shared" si="1232"/>
        <v>04-08-2020</v>
      </c>
      <c r="M2994" t="str">
        <f t="shared" si="1232"/>
        <v>04-08-2020</v>
      </c>
      <c r="N2994" t="str">
        <f t="shared" si="1214"/>
        <v>001105018356</v>
      </c>
      <c r="O2994" t="str">
        <f t="shared" si="1215"/>
        <v>MYR</v>
      </c>
      <c r="P2994" t="str">
        <f t="shared" si="1233"/>
        <v>NIL</v>
      </c>
      <c r="Q2994" t="str">
        <f t="shared" si="1233"/>
        <v>NIL</v>
      </c>
      <c r="R2994" t="str">
        <f t="shared" si="1216"/>
        <v>Accepted</v>
      </c>
      <c r="S2994" t="str">
        <f t="shared" si="1217"/>
        <v>Approved</v>
      </c>
      <c r="T2994" t="str">
        <f t="shared" si="1218"/>
        <v>10.20.8.188</v>
      </c>
      <c r="U2994" t="str">
        <f t="shared" si="1219"/>
        <v>AZRAD UMAR BIN SHAARI</v>
      </c>
      <c r="V2994" t="str">
        <f t="shared" si="1220"/>
        <v>FARHANA BINTI MUSTAPA</v>
      </c>
      <c r="W2994" t="str">
        <f t="shared" si="1221"/>
        <v>04-08-2020</v>
      </c>
      <c r="X2994" t="str">
        <f t="shared" si="1222"/>
        <v>RAZIMAH ANSAR AHMAD</v>
      </c>
      <c r="Y2994" t="str">
        <f t="shared" si="1223"/>
        <v>04-08-2020</v>
      </c>
      <c r="Z2994" t="str">
        <f>"COS10200804 6160"</f>
        <v>COS10200804 6160</v>
      </c>
    </row>
    <row r="2995" spans="1:26" x14ac:dyDescent="0.25">
      <c r="A2995" t="str">
        <f t="shared" si="1230"/>
        <v>04-08-2020 12:58:57</v>
      </c>
      <c r="B2995" t="str">
        <f>"0000807950"</f>
        <v>0000807950</v>
      </c>
      <c r="C2995" t="str">
        <f t="shared" si="1231"/>
        <v>0000807791</v>
      </c>
      <c r="D2995" t="str">
        <f t="shared" si="1211"/>
        <v>73185</v>
      </c>
      <c r="E2995" t="str">
        <f t="shared" si="1212"/>
        <v>KFH-OPERATIONS DEPARTMENT</v>
      </c>
      <c r="F2995" t="str">
        <f t="shared" si="1213"/>
        <v>IBG</v>
      </c>
      <c r="G2995" t="str">
        <f t="shared" si="1226"/>
        <v>Refund COSHARE 10</v>
      </c>
      <c r="H2995" s="2">
        <v>1620.8</v>
      </c>
      <c r="I2995" t="str">
        <f>"NIK BADLIHISHAM BIN NIK ISMAIL"</f>
        <v>NIK BADLIHISHAM BIN NIK ISMAIL</v>
      </c>
      <c r="J2995" t="str">
        <f t="shared" si="1227"/>
        <v>MAYBANK / MAYBANK ISLAMIC</v>
      </c>
      <c r="K2995" t="str">
        <f>"164155013189"</f>
        <v>164155013189</v>
      </c>
      <c r="L2995" t="str">
        <f t="shared" si="1232"/>
        <v>04-08-2020</v>
      </c>
      <c r="M2995" t="str">
        <f t="shared" si="1232"/>
        <v>04-08-2020</v>
      </c>
      <c r="N2995" t="str">
        <f t="shared" si="1214"/>
        <v>001105018356</v>
      </c>
      <c r="O2995" t="str">
        <f t="shared" si="1215"/>
        <v>MYR</v>
      </c>
      <c r="P2995" t="str">
        <f t="shared" si="1233"/>
        <v>NIL</v>
      </c>
      <c r="Q2995" t="str">
        <f t="shared" si="1233"/>
        <v>NIL</v>
      </c>
      <c r="R2995" t="str">
        <f t="shared" si="1216"/>
        <v>Accepted</v>
      </c>
      <c r="S2995" t="str">
        <f t="shared" si="1217"/>
        <v>Approved</v>
      </c>
      <c r="T2995" t="str">
        <f t="shared" si="1218"/>
        <v>10.20.8.188</v>
      </c>
      <c r="U2995" t="str">
        <f t="shared" si="1219"/>
        <v>AZRAD UMAR BIN SHAARI</v>
      </c>
      <c r="V2995" t="str">
        <f t="shared" si="1220"/>
        <v>FARHANA BINTI MUSTAPA</v>
      </c>
      <c r="W2995" t="str">
        <f t="shared" si="1221"/>
        <v>04-08-2020</v>
      </c>
      <c r="X2995" t="str">
        <f t="shared" si="1222"/>
        <v>RAZIMAH ANSAR AHMAD</v>
      </c>
      <c r="Y2995" t="str">
        <f t="shared" si="1223"/>
        <v>04-08-2020</v>
      </c>
      <c r="Z2995" t="str">
        <f>"COS10200804 6159"</f>
        <v>COS10200804 6159</v>
      </c>
    </row>
    <row r="2996" spans="1:26" x14ac:dyDescent="0.25">
      <c r="A2996" t="str">
        <f t="shared" si="1230"/>
        <v>04-08-2020 12:58:57</v>
      </c>
      <c r="B2996" t="str">
        <f>"0000807949"</f>
        <v>0000807949</v>
      </c>
      <c r="C2996" t="str">
        <f t="shared" si="1231"/>
        <v>0000807791</v>
      </c>
      <c r="D2996" t="str">
        <f t="shared" si="1211"/>
        <v>73185</v>
      </c>
      <c r="E2996" t="str">
        <f t="shared" si="1212"/>
        <v>KFH-OPERATIONS DEPARTMENT</v>
      </c>
      <c r="F2996" t="str">
        <f t="shared" si="1213"/>
        <v>IBG</v>
      </c>
      <c r="G2996" t="str">
        <f t="shared" si="1226"/>
        <v>Refund COSHARE 10</v>
      </c>
      <c r="H2996" s="2">
        <v>957</v>
      </c>
      <c r="I2996" t="str">
        <f>"NIK ARINA BINTI ABDUL GHANI"</f>
        <v>NIK ARINA BINTI ABDUL GHANI</v>
      </c>
      <c r="J2996" t="str">
        <f t="shared" si="1227"/>
        <v>MAYBANK / MAYBANK ISLAMIC</v>
      </c>
      <c r="K2996" t="str">
        <f>"153010168666"</f>
        <v>153010168666</v>
      </c>
      <c r="L2996" t="str">
        <f t="shared" si="1232"/>
        <v>04-08-2020</v>
      </c>
      <c r="M2996" t="str">
        <f t="shared" si="1232"/>
        <v>04-08-2020</v>
      </c>
      <c r="N2996" t="str">
        <f t="shared" si="1214"/>
        <v>001105018356</v>
      </c>
      <c r="O2996" t="str">
        <f t="shared" si="1215"/>
        <v>MYR</v>
      </c>
      <c r="P2996" t="str">
        <f t="shared" si="1233"/>
        <v>NIL</v>
      </c>
      <c r="Q2996" t="str">
        <f t="shared" si="1233"/>
        <v>NIL</v>
      </c>
      <c r="R2996" t="str">
        <f t="shared" si="1216"/>
        <v>Accepted</v>
      </c>
      <c r="S2996" t="str">
        <f t="shared" si="1217"/>
        <v>Approved</v>
      </c>
      <c r="T2996" t="str">
        <f t="shared" si="1218"/>
        <v>10.20.8.188</v>
      </c>
      <c r="U2996" t="str">
        <f t="shared" si="1219"/>
        <v>AZRAD UMAR BIN SHAARI</v>
      </c>
      <c r="V2996" t="str">
        <f t="shared" si="1220"/>
        <v>FARHANA BINTI MUSTAPA</v>
      </c>
      <c r="W2996" t="str">
        <f t="shared" si="1221"/>
        <v>04-08-2020</v>
      </c>
      <c r="X2996" t="str">
        <f t="shared" si="1222"/>
        <v>RAZIMAH ANSAR AHMAD</v>
      </c>
      <c r="Y2996" t="str">
        <f t="shared" si="1223"/>
        <v>04-08-2020</v>
      </c>
      <c r="Z2996" t="str">
        <f>"COS10200804 6158"</f>
        <v>COS10200804 6158</v>
      </c>
    </row>
    <row r="2997" spans="1:26" x14ac:dyDescent="0.25">
      <c r="A2997" t="str">
        <f t="shared" si="1230"/>
        <v>04-08-2020 12:58:57</v>
      </c>
      <c r="B2997" t="str">
        <f>"0000807948"</f>
        <v>0000807948</v>
      </c>
      <c r="C2997" t="str">
        <f t="shared" si="1231"/>
        <v>0000807791</v>
      </c>
      <c r="D2997" t="str">
        <f t="shared" si="1211"/>
        <v>73185</v>
      </c>
      <c r="E2997" t="str">
        <f t="shared" si="1212"/>
        <v>KFH-OPERATIONS DEPARTMENT</v>
      </c>
      <c r="F2997" t="str">
        <f t="shared" si="1213"/>
        <v>IBG</v>
      </c>
      <c r="G2997" t="str">
        <f t="shared" si="1226"/>
        <v>Refund COSHARE 10</v>
      </c>
      <c r="H2997" s="2">
        <v>893.6</v>
      </c>
      <c r="I2997" t="str">
        <f>"NGU LING CHING"</f>
        <v>NGU LING CHING</v>
      </c>
      <c r="J2997" t="str">
        <f t="shared" si="1227"/>
        <v>MAYBANK / MAYBANK ISLAMIC</v>
      </c>
      <c r="K2997" t="str">
        <f>"111092101714"</f>
        <v>111092101714</v>
      </c>
      <c r="L2997" t="str">
        <f t="shared" si="1232"/>
        <v>04-08-2020</v>
      </c>
      <c r="M2997" t="str">
        <f t="shared" si="1232"/>
        <v>04-08-2020</v>
      </c>
      <c r="N2997" t="str">
        <f t="shared" si="1214"/>
        <v>001105018356</v>
      </c>
      <c r="O2997" t="str">
        <f t="shared" si="1215"/>
        <v>MYR</v>
      </c>
      <c r="P2997" t="str">
        <f t="shared" si="1233"/>
        <v>NIL</v>
      </c>
      <c r="Q2997" t="str">
        <f t="shared" si="1233"/>
        <v>NIL</v>
      </c>
      <c r="R2997" t="str">
        <f t="shared" si="1216"/>
        <v>Accepted</v>
      </c>
      <c r="S2997" t="str">
        <f t="shared" si="1217"/>
        <v>Approved</v>
      </c>
      <c r="T2997" t="str">
        <f t="shared" si="1218"/>
        <v>10.20.8.188</v>
      </c>
      <c r="U2997" t="str">
        <f t="shared" si="1219"/>
        <v>AZRAD UMAR BIN SHAARI</v>
      </c>
      <c r="V2997" t="str">
        <f t="shared" si="1220"/>
        <v>FARHANA BINTI MUSTAPA</v>
      </c>
      <c r="W2997" t="str">
        <f t="shared" si="1221"/>
        <v>04-08-2020</v>
      </c>
      <c r="X2997" t="str">
        <f t="shared" si="1222"/>
        <v>RAZIMAH ANSAR AHMAD</v>
      </c>
      <c r="Y2997" t="str">
        <f t="shared" si="1223"/>
        <v>04-08-2020</v>
      </c>
      <c r="Z2997" t="str">
        <f>"COS10200804 6157"</f>
        <v>COS10200804 6157</v>
      </c>
    </row>
    <row r="2998" spans="1:26" x14ac:dyDescent="0.25">
      <c r="A2998" t="str">
        <f t="shared" si="1230"/>
        <v>04-08-2020 12:58:57</v>
      </c>
      <c r="B2998" t="str">
        <f>"0000807947"</f>
        <v>0000807947</v>
      </c>
      <c r="C2998" t="str">
        <f t="shared" si="1231"/>
        <v>0000807791</v>
      </c>
      <c r="D2998" t="str">
        <f t="shared" si="1211"/>
        <v>73185</v>
      </c>
      <c r="E2998" t="str">
        <f t="shared" si="1212"/>
        <v>KFH-OPERATIONS DEPARTMENT</v>
      </c>
      <c r="F2998" t="str">
        <f t="shared" si="1213"/>
        <v>IBG</v>
      </c>
      <c r="G2998" t="str">
        <f t="shared" si="1226"/>
        <v>Refund COSHARE 10</v>
      </c>
      <c r="H2998" s="2">
        <v>151.15</v>
      </c>
      <c r="I2998" t="str">
        <f>"NETTY MONICA NORZALIZA BINTI MOHAMAD BAH"</f>
        <v>NETTY MONICA NORZALIZA BINTI MOHAMAD BAH</v>
      </c>
      <c r="J2998" t="str">
        <f t="shared" si="1227"/>
        <v>MAYBANK / MAYBANK ISLAMIC</v>
      </c>
      <c r="K2998" t="str">
        <f>"162759001882"</f>
        <v>162759001882</v>
      </c>
      <c r="L2998" t="str">
        <f t="shared" si="1232"/>
        <v>04-08-2020</v>
      </c>
      <c r="M2998" t="str">
        <f t="shared" si="1232"/>
        <v>04-08-2020</v>
      </c>
      <c r="N2998" t="str">
        <f t="shared" si="1214"/>
        <v>001105018356</v>
      </c>
      <c r="O2998" t="str">
        <f t="shared" si="1215"/>
        <v>MYR</v>
      </c>
      <c r="P2998" t="str">
        <f t="shared" si="1233"/>
        <v>NIL</v>
      </c>
      <c r="Q2998" t="str">
        <f t="shared" si="1233"/>
        <v>NIL</v>
      </c>
      <c r="R2998" t="str">
        <f t="shared" si="1216"/>
        <v>Accepted</v>
      </c>
      <c r="S2998" t="str">
        <f t="shared" si="1217"/>
        <v>Approved</v>
      </c>
      <c r="T2998" t="str">
        <f t="shared" si="1218"/>
        <v>10.20.8.188</v>
      </c>
      <c r="U2998" t="str">
        <f t="shared" si="1219"/>
        <v>AZRAD UMAR BIN SHAARI</v>
      </c>
      <c r="V2998" t="str">
        <f t="shared" si="1220"/>
        <v>FARHANA BINTI MUSTAPA</v>
      </c>
      <c r="W2998" t="str">
        <f t="shared" si="1221"/>
        <v>04-08-2020</v>
      </c>
      <c r="X2998" t="str">
        <f t="shared" si="1222"/>
        <v>RAZIMAH ANSAR AHMAD</v>
      </c>
      <c r="Y2998" t="str">
        <f t="shared" si="1223"/>
        <v>04-08-2020</v>
      </c>
      <c r="Z2998" t="str">
        <f>"COS10200804 6156"</f>
        <v>COS10200804 6156</v>
      </c>
    </row>
    <row r="2999" spans="1:26" x14ac:dyDescent="0.25">
      <c r="A2999" t="str">
        <f t="shared" si="1230"/>
        <v>04-08-2020 12:58:57</v>
      </c>
      <c r="B2999" t="str">
        <f>"0000807946"</f>
        <v>0000807946</v>
      </c>
      <c r="C2999" t="str">
        <f t="shared" si="1231"/>
        <v>0000807791</v>
      </c>
      <c r="D2999" t="str">
        <f t="shared" si="1211"/>
        <v>73185</v>
      </c>
      <c r="E2999" t="str">
        <f t="shared" si="1212"/>
        <v>KFH-OPERATIONS DEPARTMENT</v>
      </c>
      <c r="F2999" t="str">
        <f t="shared" si="1213"/>
        <v>IBG</v>
      </c>
      <c r="G2999" t="str">
        <f t="shared" si="1226"/>
        <v>Refund COSHARE 10</v>
      </c>
      <c r="H2999" s="2">
        <v>283.95</v>
      </c>
      <c r="I2999" t="str">
        <f>"NESNEE BINTI MARJIN  MARAZING"</f>
        <v>NESNEE BINTI MARJIN  MARAZING</v>
      </c>
      <c r="J2999" t="str">
        <f t="shared" si="1227"/>
        <v>MAYBANK / MAYBANK ISLAMIC</v>
      </c>
      <c r="K2999" t="str">
        <f>"110108161609"</f>
        <v>110108161609</v>
      </c>
      <c r="L2999" t="str">
        <f t="shared" si="1232"/>
        <v>04-08-2020</v>
      </c>
      <c r="M2999" t="str">
        <f t="shared" si="1232"/>
        <v>04-08-2020</v>
      </c>
      <c r="N2999" t="str">
        <f t="shared" si="1214"/>
        <v>001105018356</v>
      </c>
      <c r="O2999" t="str">
        <f t="shared" si="1215"/>
        <v>MYR</v>
      </c>
      <c r="P2999" t="str">
        <f t="shared" si="1233"/>
        <v>NIL</v>
      </c>
      <c r="Q2999" t="str">
        <f t="shared" si="1233"/>
        <v>NIL</v>
      </c>
      <c r="R2999" t="str">
        <f t="shared" si="1216"/>
        <v>Accepted</v>
      </c>
      <c r="S2999" t="str">
        <f t="shared" si="1217"/>
        <v>Approved</v>
      </c>
      <c r="T2999" t="str">
        <f t="shared" si="1218"/>
        <v>10.20.8.188</v>
      </c>
      <c r="U2999" t="str">
        <f t="shared" si="1219"/>
        <v>AZRAD UMAR BIN SHAARI</v>
      </c>
      <c r="V2999" t="str">
        <f t="shared" si="1220"/>
        <v>FARHANA BINTI MUSTAPA</v>
      </c>
      <c r="W2999" t="str">
        <f t="shared" si="1221"/>
        <v>04-08-2020</v>
      </c>
      <c r="X2999" t="str">
        <f t="shared" si="1222"/>
        <v>RAZIMAH ANSAR AHMAD</v>
      </c>
      <c r="Y2999" t="str">
        <f t="shared" si="1223"/>
        <v>04-08-2020</v>
      </c>
      <c r="Z2999" t="str">
        <f>"COS10200804 6155"</f>
        <v>COS10200804 6155</v>
      </c>
    </row>
    <row r="3000" spans="1:26" x14ac:dyDescent="0.25">
      <c r="A3000" t="str">
        <f t="shared" si="1230"/>
        <v>04-08-2020 12:58:57</v>
      </c>
      <c r="B3000" t="str">
        <f>"0000807945"</f>
        <v>0000807945</v>
      </c>
      <c r="C3000" t="str">
        <f t="shared" si="1231"/>
        <v>0000807791</v>
      </c>
      <c r="D3000" t="str">
        <f t="shared" si="1211"/>
        <v>73185</v>
      </c>
      <c r="E3000" t="str">
        <f t="shared" si="1212"/>
        <v>KFH-OPERATIONS DEPARTMENT</v>
      </c>
      <c r="F3000" t="str">
        <f t="shared" si="1213"/>
        <v>IBG</v>
      </c>
      <c r="G3000" t="str">
        <f t="shared" si="1226"/>
        <v>Refund COSHARE 10</v>
      </c>
      <c r="H3000" s="2">
        <v>386</v>
      </c>
      <c r="I3000" t="str">
        <f>"NELLY BINTI JITE"</f>
        <v>NELLY BINTI JITE</v>
      </c>
      <c r="J3000" t="str">
        <f t="shared" si="1227"/>
        <v>MAYBANK / MAYBANK ISLAMIC</v>
      </c>
      <c r="K3000" t="str">
        <f>"110144255417"</f>
        <v>110144255417</v>
      </c>
      <c r="L3000" t="str">
        <f t="shared" si="1232"/>
        <v>04-08-2020</v>
      </c>
      <c r="M3000" t="str">
        <f t="shared" si="1232"/>
        <v>04-08-2020</v>
      </c>
      <c r="N3000" t="str">
        <f t="shared" si="1214"/>
        <v>001105018356</v>
      </c>
      <c r="O3000" t="str">
        <f t="shared" si="1215"/>
        <v>MYR</v>
      </c>
      <c r="P3000" t="str">
        <f t="shared" si="1233"/>
        <v>NIL</v>
      </c>
      <c r="Q3000" t="str">
        <f t="shared" si="1233"/>
        <v>NIL</v>
      </c>
      <c r="R3000" t="str">
        <f t="shared" si="1216"/>
        <v>Accepted</v>
      </c>
      <c r="S3000" t="str">
        <f t="shared" si="1217"/>
        <v>Approved</v>
      </c>
      <c r="T3000" t="str">
        <f t="shared" si="1218"/>
        <v>10.20.8.188</v>
      </c>
      <c r="U3000" t="str">
        <f t="shared" si="1219"/>
        <v>AZRAD UMAR BIN SHAARI</v>
      </c>
      <c r="V3000" t="str">
        <f t="shared" si="1220"/>
        <v>FARHANA BINTI MUSTAPA</v>
      </c>
      <c r="W3000" t="str">
        <f t="shared" si="1221"/>
        <v>04-08-2020</v>
      </c>
      <c r="X3000" t="str">
        <f t="shared" si="1222"/>
        <v>RAZIMAH ANSAR AHMAD</v>
      </c>
      <c r="Y3000" t="str">
        <f t="shared" si="1223"/>
        <v>04-08-2020</v>
      </c>
      <c r="Z3000" t="str">
        <f>"COS10200804 6154"</f>
        <v>COS10200804 6154</v>
      </c>
    </row>
    <row r="3001" spans="1:26" x14ac:dyDescent="0.25">
      <c r="A3001" t="str">
        <f t="shared" si="1230"/>
        <v>04-08-2020 12:58:57</v>
      </c>
      <c r="B3001" t="str">
        <f>"0000807944"</f>
        <v>0000807944</v>
      </c>
      <c r="C3001" t="str">
        <f t="shared" si="1231"/>
        <v>0000807791</v>
      </c>
      <c r="D3001" t="str">
        <f t="shared" si="1211"/>
        <v>73185</v>
      </c>
      <c r="E3001" t="str">
        <f t="shared" si="1212"/>
        <v>KFH-OPERATIONS DEPARTMENT</v>
      </c>
      <c r="F3001" t="str">
        <f t="shared" si="1213"/>
        <v>IBG</v>
      </c>
      <c r="G3001" t="str">
        <f t="shared" si="1226"/>
        <v>Refund COSHARE 10</v>
      </c>
      <c r="H3001" s="2">
        <v>369.4</v>
      </c>
      <c r="I3001" t="str">
        <f>"NAZURA BINTI MOHD IKHSHANUDDIN"</f>
        <v>NAZURA BINTI MOHD IKHSHANUDDIN</v>
      </c>
      <c r="J3001" t="str">
        <f t="shared" si="1227"/>
        <v>MAYBANK / MAYBANK ISLAMIC</v>
      </c>
      <c r="K3001" t="str">
        <f>"162478069448"</f>
        <v>162478069448</v>
      </c>
      <c r="L3001" t="str">
        <f t="shared" si="1232"/>
        <v>04-08-2020</v>
      </c>
      <c r="M3001" t="str">
        <f t="shared" si="1232"/>
        <v>04-08-2020</v>
      </c>
      <c r="N3001" t="str">
        <f t="shared" si="1214"/>
        <v>001105018356</v>
      </c>
      <c r="O3001" t="str">
        <f t="shared" si="1215"/>
        <v>MYR</v>
      </c>
      <c r="P3001" t="str">
        <f t="shared" si="1233"/>
        <v>NIL</v>
      </c>
      <c r="Q3001" t="str">
        <f t="shared" si="1233"/>
        <v>NIL</v>
      </c>
      <c r="R3001" t="str">
        <f t="shared" si="1216"/>
        <v>Accepted</v>
      </c>
      <c r="S3001" t="str">
        <f t="shared" si="1217"/>
        <v>Approved</v>
      </c>
      <c r="T3001" t="str">
        <f t="shared" si="1218"/>
        <v>10.20.8.188</v>
      </c>
      <c r="U3001" t="str">
        <f t="shared" si="1219"/>
        <v>AZRAD UMAR BIN SHAARI</v>
      </c>
      <c r="V3001" t="str">
        <f t="shared" si="1220"/>
        <v>FARHANA BINTI MUSTAPA</v>
      </c>
      <c r="W3001" t="str">
        <f t="shared" si="1221"/>
        <v>04-08-2020</v>
      </c>
      <c r="X3001" t="str">
        <f t="shared" si="1222"/>
        <v>RAZIMAH ANSAR AHMAD</v>
      </c>
      <c r="Y3001" t="str">
        <f t="shared" si="1223"/>
        <v>04-08-2020</v>
      </c>
      <c r="Z3001" t="str">
        <f>"COS10200804 6153"</f>
        <v>COS10200804 6153</v>
      </c>
    </row>
    <row r="3002" spans="1:26" x14ac:dyDescent="0.25">
      <c r="A3002" t="str">
        <f t="shared" si="1230"/>
        <v>04-08-2020 12:58:57</v>
      </c>
      <c r="B3002" t="str">
        <f>"0000807943"</f>
        <v>0000807943</v>
      </c>
      <c r="C3002" t="str">
        <f t="shared" si="1231"/>
        <v>0000807791</v>
      </c>
      <c r="D3002" t="str">
        <f t="shared" si="1211"/>
        <v>73185</v>
      </c>
      <c r="E3002" t="str">
        <f t="shared" si="1212"/>
        <v>KFH-OPERATIONS DEPARTMENT</v>
      </c>
      <c r="F3002" t="str">
        <f t="shared" si="1213"/>
        <v>IBG</v>
      </c>
      <c r="G3002" t="str">
        <f t="shared" si="1226"/>
        <v>Refund COSHARE 10</v>
      </c>
      <c r="H3002" s="2">
        <v>92.35</v>
      </c>
      <c r="I3002" t="str">
        <f>"NAZRUL AZHAR BIN AB RASHID"</f>
        <v>NAZRUL AZHAR BIN AB RASHID</v>
      </c>
      <c r="J3002" t="str">
        <f t="shared" si="1227"/>
        <v>MAYBANK / MAYBANK ISLAMIC</v>
      </c>
      <c r="K3002" t="str">
        <f>"156114113116"</f>
        <v>156114113116</v>
      </c>
      <c r="L3002" t="str">
        <f t="shared" si="1232"/>
        <v>04-08-2020</v>
      </c>
      <c r="M3002" t="str">
        <f t="shared" si="1232"/>
        <v>04-08-2020</v>
      </c>
      <c r="N3002" t="str">
        <f t="shared" si="1214"/>
        <v>001105018356</v>
      </c>
      <c r="O3002" t="str">
        <f t="shared" si="1215"/>
        <v>MYR</v>
      </c>
      <c r="P3002" t="str">
        <f t="shared" si="1233"/>
        <v>NIL</v>
      </c>
      <c r="Q3002" t="str">
        <f t="shared" si="1233"/>
        <v>NIL</v>
      </c>
      <c r="R3002" t="str">
        <f t="shared" si="1216"/>
        <v>Accepted</v>
      </c>
      <c r="S3002" t="str">
        <f t="shared" si="1217"/>
        <v>Approved</v>
      </c>
      <c r="T3002" t="str">
        <f t="shared" si="1218"/>
        <v>10.20.8.188</v>
      </c>
      <c r="U3002" t="str">
        <f t="shared" si="1219"/>
        <v>AZRAD UMAR BIN SHAARI</v>
      </c>
      <c r="V3002" t="str">
        <f t="shared" si="1220"/>
        <v>FARHANA BINTI MUSTAPA</v>
      </c>
      <c r="W3002" t="str">
        <f t="shared" si="1221"/>
        <v>04-08-2020</v>
      </c>
      <c r="X3002" t="str">
        <f t="shared" si="1222"/>
        <v>RAZIMAH ANSAR AHMAD</v>
      </c>
      <c r="Y3002" t="str">
        <f t="shared" si="1223"/>
        <v>04-08-2020</v>
      </c>
      <c r="Z3002" t="str">
        <f>"COS10200804 6152"</f>
        <v>COS10200804 6152</v>
      </c>
    </row>
    <row r="3003" spans="1:26" x14ac:dyDescent="0.25">
      <c r="A3003" t="str">
        <f t="shared" si="1230"/>
        <v>04-08-2020 12:58:57</v>
      </c>
      <c r="B3003" t="str">
        <f>"0000807942"</f>
        <v>0000807942</v>
      </c>
      <c r="C3003" t="str">
        <f t="shared" si="1231"/>
        <v>0000807791</v>
      </c>
      <c r="D3003" t="str">
        <f t="shared" si="1211"/>
        <v>73185</v>
      </c>
      <c r="E3003" t="str">
        <f t="shared" si="1212"/>
        <v>KFH-OPERATIONS DEPARTMENT</v>
      </c>
      <c r="F3003" t="str">
        <f t="shared" si="1213"/>
        <v>IBG</v>
      </c>
      <c r="G3003" t="str">
        <f t="shared" si="1226"/>
        <v>Refund COSHARE 10</v>
      </c>
      <c r="H3003" s="2">
        <v>294.7</v>
      </c>
      <c r="I3003" t="str">
        <f>"NAZROL BIN HASSAN"</f>
        <v>NAZROL BIN HASSAN</v>
      </c>
      <c r="J3003" t="str">
        <f t="shared" si="1227"/>
        <v>MAYBANK / MAYBANK ISLAMIC</v>
      </c>
      <c r="K3003" t="str">
        <f>"156057405076"</f>
        <v>156057405076</v>
      </c>
      <c r="L3003" t="str">
        <f t="shared" si="1232"/>
        <v>04-08-2020</v>
      </c>
      <c r="M3003" t="str">
        <f t="shared" si="1232"/>
        <v>04-08-2020</v>
      </c>
      <c r="N3003" t="str">
        <f t="shared" si="1214"/>
        <v>001105018356</v>
      </c>
      <c r="O3003" t="str">
        <f t="shared" si="1215"/>
        <v>MYR</v>
      </c>
      <c r="P3003" t="str">
        <f t="shared" si="1233"/>
        <v>NIL</v>
      </c>
      <c r="Q3003" t="str">
        <f t="shared" si="1233"/>
        <v>NIL</v>
      </c>
      <c r="R3003" t="str">
        <f t="shared" si="1216"/>
        <v>Accepted</v>
      </c>
      <c r="S3003" t="str">
        <f t="shared" si="1217"/>
        <v>Approved</v>
      </c>
      <c r="T3003" t="str">
        <f t="shared" si="1218"/>
        <v>10.20.8.188</v>
      </c>
      <c r="U3003" t="str">
        <f t="shared" si="1219"/>
        <v>AZRAD UMAR BIN SHAARI</v>
      </c>
      <c r="V3003" t="str">
        <f t="shared" si="1220"/>
        <v>FARHANA BINTI MUSTAPA</v>
      </c>
      <c r="W3003" t="str">
        <f t="shared" si="1221"/>
        <v>04-08-2020</v>
      </c>
      <c r="X3003" t="str">
        <f t="shared" si="1222"/>
        <v>RAZIMAH ANSAR AHMAD</v>
      </c>
      <c r="Y3003" t="str">
        <f t="shared" si="1223"/>
        <v>04-08-2020</v>
      </c>
      <c r="Z3003" t="str">
        <f>"COS10200804 6151"</f>
        <v>COS10200804 6151</v>
      </c>
    </row>
    <row r="3004" spans="1:26" x14ac:dyDescent="0.25">
      <c r="A3004" t="str">
        <f t="shared" si="1230"/>
        <v>04-08-2020 12:58:57</v>
      </c>
      <c r="B3004" t="str">
        <f>"0000807941"</f>
        <v>0000807941</v>
      </c>
      <c r="C3004" t="str">
        <f t="shared" si="1231"/>
        <v>0000807791</v>
      </c>
      <c r="D3004" t="str">
        <f t="shared" si="1211"/>
        <v>73185</v>
      </c>
      <c r="E3004" t="str">
        <f t="shared" si="1212"/>
        <v>KFH-OPERATIONS DEPARTMENT</v>
      </c>
      <c r="F3004" t="str">
        <f t="shared" si="1213"/>
        <v>IBG</v>
      </c>
      <c r="G3004" t="str">
        <f t="shared" si="1226"/>
        <v>Refund COSHARE 10</v>
      </c>
      <c r="H3004" s="2">
        <v>296</v>
      </c>
      <c r="I3004" t="str">
        <f>"NAZRI BIN ABRAHIM"</f>
        <v>NAZRI BIN ABRAHIM</v>
      </c>
      <c r="J3004" t="str">
        <f t="shared" si="1227"/>
        <v>MAYBANK / MAYBANK ISLAMIC</v>
      </c>
      <c r="K3004" t="str">
        <f>"151575003361"</f>
        <v>151575003361</v>
      </c>
      <c r="L3004" t="str">
        <f t="shared" si="1232"/>
        <v>04-08-2020</v>
      </c>
      <c r="M3004" t="str">
        <f t="shared" si="1232"/>
        <v>04-08-2020</v>
      </c>
      <c r="N3004" t="str">
        <f t="shared" si="1214"/>
        <v>001105018356</v>
      </c>
      <c r="O3004" t="str">
        <f t="shared" si="1215"/>
        <v>MYR</v>
      </c>
      <c r="P3004" t="str">
        <f t="shared" si="1233"/>
        <v>NIL</v>
      </c>
      <c r="Q3004" t="str">
        <f t="shared" si="1233"/>
        <v>NIL</v>
      </c>
      <c r="R3004" t="str">
        <f t="shared" si="1216"/>
        <v>Accepted</v>
      </c>
      <c r="S3004" t="str">
        <f t="shared" si="1217"/>
        <v>Approved</v>
      </c>
      <c r="T3004" t="str">
        <f t="shared" si="1218"/>
        <v>10.20.8.188</v>
      </c>
      <c r="U3004" t="str">
        <f t="shared" si="1219"/>
        <v>AZRAD UMAR BIN SHAARI</v>
      </c>
      <c r="V3004" t="str">
        <f t="shared" si="1220"/>
        <v>FARHANA BINTI MUSTAPA</v>
      </c>
      <c r="W3004" t="str">
        <f t="shared" si="1221"/>
        <v>04-08-2020</v>
      </c>
      <c r="X3004" t="str">
        <f t="shared" si="1222"/>
        <v>RAZIMAH ANSAR AHMAD</v>
      </c>
      <c r="Y3004" t="str">
        <f t="shared" si="1223"/>
        <v>04-08-2020</v>
      </c>
      <c r="Z3004" t="str">
        <f>"COS10200804 6150"</f>
        <v>COS10200804 6150</v>
      </c>
    </row>
    <row r="3005" spans="1:26" x14ac:dyDescent="0.25">
      <c r="A3005" t="str">
        <f t="shared" si="1230"/>
        <v>04-08-2020 12:58:57</v>
      </c>
      <c r="B3005" t="str">
        <f>"0000807940"</f>
        <v>0000807940</v>
      </c>
      <c r="C3005" t="str">
        <f t="shared" si="1231"/>
        <v>0000807791</v>
      </c>
      <c r="D3005" t="str">
        <f t="shared" si="1211"/>
        <v>73185</v>
      </c>
      <c r="E3005" t="str">
        <f t="shared" si="1212"/>
        <v>KFH-OPERATIONS DEPARTMENT</v>
      </c>
      <c r="F3005" t="str">
        <f t="shared" si="1213"/>
        <v>IBG</v>
      </c>
      <c r="G3005" t="str">
        <f t="shared" si="1226"/>
        <v>Refund COSHARE 10</v>
      </c>
      <c r="H3005" s="2">
        <v>713.6</v>
      </c>
      <c r="I3005" t="str">
        <f>"NAZRI AL ROSLI"</f>
        <v>NAZRI AL ROSLI</v>
      </c>
      <c r="J3005" t="str">
        <f t="shared" si="1227"/>
        <v>MAYBANK / MAYBANK ISLAMIC</v>
      </c>
      <c r="K3005" t="str">
        <f>"151044047374"</f>
        <v>151044047374</v>
      </c>
      <c r="L3005" t="str">
        <f t="shared" si="1232"/>
        <v>04-08-2020</v>
      </c>
      <c r="M3005" t="str">
        <f t="shared" si="1232"/>
        <v>04-08-2020</v>
      </c>
      <c r="N3005" t="str">
        <f t="shared" si="1214"/>
        <v>001105018356</v>
      </c>
      <c r="O3005" t="str">
        <f t="shared" si="1215"/>
        <v>MYR</v>
      </c>
      <c r="P3005" t="str">
        <f t="shared" si="1233"/>
        <v>NIL</v>
      </c>
      <c r="Q3005" t="str">
        <f t="shared" si="1233"/>
        <v>NIL</v>
      </c>
      <c r="R3005" t="str">
        <f t="shared" si="1216"/>
        <v>Accepted</v>
      </c>
      <c r="S3005" t="str">
        <f t="shared" si="1217"/>
        <v>Approved</v>
      </c>
      <c r="T3005" t="str">
        <f t="shared" si="1218"/>
        <v>10.20.8.188</v>
      </c>
      <c r="U3005" t="str">
        <f t="shared" si="1219"/>
        <v>AZRAD UMAR BIN SHAARI</v>
      </c>
      <c r="V3005" t="str">
        <f t="shared" si="1220"/>
        <v>FARHANA BINTI MUSTAPA</v>
      </c>
      <c r="W3005" t="str">
        <f t="shared" si="1221"/>
        <v>04-08-2020</v>
      </c>
      <c r="X3005" t="str">
        <f t="shared" si="1222"/>
        <v>RAZIMAH ANSAR AHMAD</v>
      </c>
      <c r="Y3005" t="str">
        <f t="shared" si="1223"/>
        <v>04-08-2020</v>
      </c>
      <c r="Z3005" t="str">
        <f>"COS10200804 6149"</f>
        <v>COS10200804 6149</v>
      </c>
    </row>
    <row r="3006" spans="1:26" x14ac:dyDescent="0.25">
      <c r="A3006" t="str">
        <f t="shared" si="1230"/>
        <v>04-08-2020 12:58:57</v>
      </c>
      <c r="B3006" t="str">
        <f>"0000807939"</f>
        <v>0000807939</v>
      </c>
      <c r="C3006" t="str">
        <f t="shared" si="1231"/>
        <v>0000807791</v>
      </c>
      <c r="D3006" t="str">
        <f t="shared" si="1211"/>
        <v>73185</v>
      </c>
      <c r="E3006" t="str">
        <f t="shared" si="1212"/>
        <v>KFH-OPERATIONS DEPARTMENT</v>
      </c>
      <c r="F3006" t="str">
        <f t="shared" si="1213"/>
        <v>IBG</v>
      </c>
      <c r="G3006" t="str">
        <f t="shared" si="1226"/>
        <v>Refund COSHARE 10</v>
      </c>
      <c r="H3006" s="2">
        <v>1334.8</v>
      </c>
      <c r="I3006" t="str">
        <f>"NAZLINDA BINTI ZAMANI"</f>
        <v>NAZLINDA BINTI ZAMANI</v>
      </c>
      <c r="J3006" t="str">
        <f t="shared" si="1227"/>
        <v>MAYBANK / MAYBANK ISLAMIC</v>
      </c>
      <c r="K3006" t="str">
        <f>"101302020840"</f>
        <v>101302020840</v>
      </c>
      <c r="L3006" t="str">
        <f t="shared" si="1232"/>
        <v>04-08-2020</v>
      </c>
      <c r="M3006" t="str">
        <f t="shared" si="1232"/>
        <v>04-08-2020</v>
      </c>
      <c r="N3006" t="str">
        <f t="shared" si="1214"/>
        <v>001105018356</v>
      </c>
      <c r="O3006" t="str">
        <f t="shared" si="1215"/>
        <v>MYR</v>
      </c>
      <c r="P3006" t="str">
        <f t="shared" si="1233"/>
        <v>NIL</v>
      </c>
      <c r="Q3006" t="str">
        <f t="shared" si="1233"/>
        <v>NIL</v>
      </c>
      <c r="R3006" t="str">
        <f t="shared" si="1216"/>
        <v>Accepted</v>
      </c>
      <c r="S3006" t="str">
        <f t="shared" si="1217"/>
        <v>Approved</v>
      </c>
      <c r="T3006" t="str">
        <f t="shared" si="1218"/>
        <v>10.20.8.188</v>
      </c>
      <c r="U3006" t="str">
        <f t="shared" si="1219"/>
        <v>AZRAD UMAR BIN SHAARI</v>
      </c>
      <c r="V3006" t="str">
        <f t="shared" si="1220"/>
        <v>FARHANA BINTI MUSTAPA</v>
      </c>
      <c r="W3006" t="str">
        <f t="shared" si="1221"/>
        <v>04-08-2020</v>
      </c>
      <c r="X3006" t="str">
        <f t="shared" si="1222"/>
        <v>RAZIMAH ANSAR AHMAD</v>
      </c>
      <c r="Y3006" t="str">
        <f t="shared" si="1223"/>
        <v>04-08-2020</v>
      </c>
      <c r="Z3006" t="str">
        <f>"COS10200804 6148"</f>
        <v>COS10200804 6148</v>
      </c>
    </row>
    <row r="3007" spans="1:26" x14ac:dyDescent="0.25">
      <c r="A3007" t="str">
        <f t="shared" si="1230"/>
        <v>04-08-2020 12:58:57</v>
      </c>
      <c r="B3007" t="str">
        <f>"0000807938"</f>
        <v>0000807938</v>
      </c>
      <c r="C3007" t="str">
        <f t="shared" si="1231"/>
        <v>0000807791</v>
      </c>
      <c r="D3007" t="str">
        <f t="shared" si="1211"/>
        <v>73185</v>
      </c>
      <c r="E3007" t="str">
        <f t="shared" si="1212"/>
        <v>KFH-OPERATIONS DEPARTMENT</v>
      </c>
      <c r="F3007" t="str">
        <f t="shared" si="1213"/>
        <v>IBG</v>
      </c>
      <c r="G3007" t="str">
        <f t="shared" si="1226"/>
        <v>Refund COSHARE 10</v>
      </c>
      <c r="H3007" s="2">
        <v>1175.3</v>
      </c>
      <c r="I3007" t="str">
        <f>"NAZIRA BANU BINTI MAIDEEN"</f>
        <v>NAZIRA BANU BINTI MAIDEEN</v>
      </c>
      <c r="J3007" t="str">
        <f t="shared" si="1227"/>
        <v>MAYBANK / MAYBANK ISLAMIC</v>
      </c>
      <c r="K3007" t="str">
        <f>"158024833282"</f>
        <v>158024833282</v>
      </c>
      <c r="L3007" t="str">
        <f t="shared" ref="L3007:M3026" si="1234">"04-08-2020"</f>
        <v>04-08-2020</v>
      </c>
      <c r="M3007" t="str">
        <f t="shared" si="1234"/>
        <v>04-08-2020</v>
      </c>
      <c r="N3007" t="str">
        <f t="shared" si="1214"/>
        <v>001105018356</v>
      </c>
      <c r="O3007" t="str">
        <f t="shared" si="1215"/>
        <v>MYR</v>
      </c>
      <c r="P3007" t="str">
        <f t="shared" ref="P3007:Q3026" si="1235">"NIL"</f>
        <v>NIL</v>
      </c>
      <c r="Q3007" t="str">
        <f t="shared" si="1235"/>
        <v>NIL</v>
      </c>
      <c r="R3007" t="str">
        <f t="shared" si="1216"/>
        <v>Accepted</v>
      </c>
      <c r="S3007" t="str">
        <f t="shared" si="1217"/>
        <v>Approved</v>
      </c>
      <c r="T3007" t="str">
        <f t="shared" si="1218"/>
        <v>10.20.8.188</v>
      </c>
      <c r="U3007" t="str">
        <f t="shared" si="1219"/>
        <v>AZRAD UMAR BIN SHAARI</v>
      </c>
      <c r="V3007" t="str">
        <f t="shared" si="1220"/>
        <v>FARHANA BINTI MUSTAPA</v>
      </c>
      <c r="W3007" t="str">
        <f t="shared" si="1221"/>
        <v>04-08-2020</v>
      </c>
      <c r="X3007" t="str">
        <f t="shared" si="1222"/>
        <v>RAZIMAH ANSAR AHMAD</v>
      </c>
      <c r="Y3007" t="str">
        <f t="shared" si="1223"/>
        <v>04-08-2020</v>
      </c>
      <c r="Z3007" t="str">
        <f>"COS10200804 6147"</f>
        <v>COS10200804 6147</v>
      </c>
    </row>
    <row r="3008" spans="1:26" x14ac:dyDescent="0.25">
      <c r="A3008" t="str">
        <f t="shared" si="1230"/>
        <v>04-08-2020 12:58:57</v>
      </c>
      <c r="B3008" t="str">
        <f>"0000807937"</f>
        <v>0000807937</v>
      </c>
      <c r="C3008" t="str">
        <f t="shared" si="1231"/>
        <v>0000807791</v>
      </c>
      <c r="D3008" t="str">
        <f t="shared" si="1211"/>
        <v>73185</v>
      </c>
      <c r="E3008" t="str">
        <f t="shared" si="1212"/>
        <v>KFH-OPERATIONS DEPARTMENT</v>
      </c>
      <c r="F3008" t="str">
        <f t="shared" si="1213"/>
        <v>IBG</v>
      </c>
      <c r="G3008" t="str">
        <f t="shared" si="1226"/>
        <v>Refund COSHARE 10</v>
      </c>
      <c r="H3008" s="2">
        <v>759</v>
      </c>
      <c r="I3008" t="str">
        <f>"NAZIR BIN ZAINUDIN"</f>
        <v>NAZIR BIN ZAINUDIN</v>
      </c>
      <c r="J3008" t="str">
        <f t="shared" si="1227"/>
        <v>MAYBANK / MAYBANK ISLAMIC</v>
      </c>
      <c r="K3008" t="str">
        <f>"162021385770"</f>
        <v>162021385770</v>
      </c>
      <c r="L3008" t="str">
        <f t="shared" si="1234"/>
        <v>04-08-2020</v>
      </c>
      <c r="M3008" t="str">
        <f t="shared" si="1234"/>
        <v>04-08-2020</v>
      </c>
      <c r="N3008" t="str">
        <f t="shared" si="1214"/>
        <v>001105018356</v>
      </c>
      <c r="O3008" t="str">
        <f t="shared" si="1215"/>
        <v>MYR</v>
      </c>
      <c r="P3008" t="str">
        <f t="shared" si="1235"/>
        <v>NIL</v>
      </c>
      <c r="Q3008" t="str">
        <f t="shared" si="1235"/>
        <v>NIL</v>
      </c>
      <c r="R3008" t="str">
        <f t="shared" si="1216"/>
        <v>Accepted</v>
      </c>
      <c r="S3008" t="str">
        <f t="shared" si="1217"/>
        <v>Approved</v>
      </c>
      <c r="T3008" t="str">
        <f t="shared" si="1218"/>
        <v>10.20.8.188</v>
      </c>
      <c r="U3008" t="str">
        <f t="shared" si="1219"/>
        <v>AZRAD UMAR BIN SHAARI</v>
      </c>
      <c r="V3008" t="str">
        <f t="shared" si="1220"/>
        <v>FARHANA BINTI MUSTAPA</v>
      </c>
      <c r="W3008" t="str">
        <f t="shared" si="1221"/>
        <v>04-08-2020</v>
      </c>
      <c r="X3008" t="str">
        <f t="shared" si="1222"/>
        <v>RAZIMAH ANSAR AHMAD</v>
      </c>
      <c r="Y3008" t="str">
        <f t="shared" si="1223"/>
        <v>04-08-2020</v>
      </c>
      <c r="Z3008" t="str">
        <f>"COS10200804 6146"</f>
        <v>COS10200804 6146</v>
      </c>
    </row>
    <row r="3009" spans="1:26" x14ac:dyDescent="0.25">
      <c r="A3009" t="str">
        <f t="shared" si="1230"/>
        <v>04-08-2020 12:58:57</v>
      </c>
      <c r="B3009" t="str">
        <f>"0000807936"</f>
        <v>0000807936</v>
      </c>
      <c r="C3009" t="str">
        <f t="shared" si="1231"/>
        <v>0000807791</v>
      </c>
      <c r="D3009" t="str">
        <f t="shared" si="1211"/>
        <v>73185</v>
      </c>
      <c r="E3009" t="str">
        <f t="shared" si="1212"/>
        <v>KFH-OPERATIONS DEPARTMENT</v>
      </c>
      <c r="F3009" t="str">
        <f t="shared" si="1213"/>
        <v>IBG</v>
      </c>
      <c r="G3009" t="str">
        <f t="shared" si="1226"/>
        <v>Refund COSHARE 10</v>
      </c>
      <c r="H3009" s="2">
        <v>685</v>
      </c>
      <c r="I3009" t="str">
        <f>"NAZIMA BINTI HAMID  ABD HAMID"</f>
        <v>NAZIMA BINTI HAMID  ABD HAMID</v>
      </c>
      <c r="J3009" t="str">
        <f t="shared" si="1227"/>
        <v>MAYBANK / MAYBANK ISLAMIC</v>
      </c>
      <c r="K3009" t="str">
        <f>"105037420463"</f>
        <v>105037420463</v>
      </c>
      <c r="L3009" t="str">
        <f t="shared" si="1234"/>
        <v>04-08-2020</v>
      </c>
      <c r="M3009" t="str">
        <f t="shared" si="1234"/>
        <v>04-08-2020</v>
      </c>
      <c r="N3009" t="str">
        <f t="shared" si="1214"/>
        <v>001105018356</v>
      </c>
      <c r="O3009" t="str">
        <f t="shared" si="1215"/>
        <v>MYR</v>
      </c>
      <c r="P3009" t="str">
        <f t="shared" si="1235"/>
        <v>NIL</v>
      </c>
      <c r="Q3009" t="str">
        <f t="shared" si="1235"/>
        <v>NIL</v>
      </c>
      <c r="R3009" t="str">
        <f t="shared" si="1216"/>
        <v>Accepted</v>
      </c>
      <c r="S3009" t="str">
        <f t="shared" si="1217"/>
        <v>Approved</v>
      </c>
      <c r="T3009" t="str">
        <f t="shared" si="1218"/>
        <v>10.20.8.188</v>
      </c>
      <c r="U3009" t="str">
        <f t="shared" si="1219"/>
        <v>AZRAD UMAR BIN SHAARI</v>
      </c>
      <c r="V3009" t="str">
        <f t="shared" si="1220"/>
        <v>FARHANA BINTI MUSTAPA</v>
      </c>
      <c r="W3009" t="str">
        <f t="shared" si="1221"/>
        <v>04-08-2020</v>
      </c>
      <c r="X3009" t="str">
        <f t="shared" si="1222"/>
        <v>RAZIMAH ANSAR AHMAD</v>
      </c>
      <c r="Y3009" t="str">
        <f t="shared" si="1223"/>
        <v>04-08-2020</v>
      </c>
      <c r="Z3009" t="str">
        <f>"COS10200804 6145"</f>
        <v>COS10200804 6145</v>
      </c>
    </row>
    <row r="3010" spans="1:26" x14ac:dyDescent="0.25">
      <c r="A3010" t="str">
        <f t="shared" si="1230"/>
        <v>04-08-2020 12:58:57</v>
      </c>
      <c r="B3010" t="str">
        <f>"0000807935"</f>
        <v>0000807935</v>
      </c>
      <c r="C3010" t="str">
        <f t="shared" si="1231"/>
        <v>0000807791</v>
      </c>
      <c r="D3010" t="str">
        <f t="shared" si="1211"/>
        <v>73185</v>
      </c>
      <c r="E3010" t="str">
        <f t="shared" si="1212"/>
        <v>KFH-OPERATIONS DEPARTMENT</v>
      </c>
      <c r="F3010" t="str">
        <f t="shared" si="1213"/>
        <v>IBG</v>
      </c>
      <c r="G3010" t="str">
        <f t="shared" si="1226"/>
        <v>Refund COSHARE 10</v>
      </c>
      <c r="H3010" s="2">
        <v>587.65</v>
      </c>
      <c r="I3010" t="str">
        <f>"NAZIHAN BINTI MOHAMAD YASSIN"</f>
        <v>NAZIHAN BINTI MOHAMAD YASSIN</v>
      </c>
      <c r="J3010" t="str">
        <f t="shared" si="1227"/>
        <v>MAYBANK / MAYBANK ISLAMIC</v>
      </c>
      <c r="K3010" t="str">
        <f>"156011846376"</f>
        <v>156011846376</v>
      </c>
      <c r="L3010" t="str">
        <f t="shared" si="1234"/>
        <v>04-08-2020</v>
      </c>
      <c r="M3010" t="str">
        <f t="shared" si="1234"/>
        <v>04-08-2020</v>
      </c>
      <c r="N3010" t="str">
        <f t="shared" si="1214"/>
        <v>001105018356</v>
      </c>
      <c r="O3010" t="str">
        <f t="shared" si="1215"/>
        <v>MYR</v>
      </c>
      <c r="P3010" t="str">
        <f t="shared" si="1235"/>
        <v>NIL</v>
      </c>
      <c r="Q3010" t="str">
        <f t="shared" si="1235"/>
        <v>NIL</v>
      </c>
      <c r="R3010" t="str">
        <f t="shared" si="1216"/>
        <v>Accepted</v>
      </c>
      <c r="S3010" t="str">
        <f t="shared" si="1217"/>
        <v>Approved</v>
      </c>
      <c r="T3010" t="str">
        <f t="shared" si="1218"/>
        <v>10.20.8.188</v>
      </c>
      <c r="U3010" t="str">
        <f t="shared" si="1219"/>
        <v>AZRAD UMAR BIN SHAARI</v>
      </c>
      <c r="V3010" t="str">
        <f t="shared" si="1220"/>
        <v>FARHANA BINTI MUSTAPA</v>
      </c>
      <c r="W3010" t="str">
        <f t="shared" si="1221"/>
        <v>04-08-2020</v>
      </c>
      <c r="X3010" t="str">
        <f t="shared" si="1222"/>
        <v>RAZIMAH ANSAR AHMAD</v>
      </c>
      <c r="Y3010" t="str">
        <f t="shared" si="1223"/>
        <v>04-08-2020</v>
      </c>
      <c r="Z3010" t="str">
        <f>"COS10200804 6144"</f>
        <v>COS10200804 6144</v>
      </c>
    </row>
    <row r="3011" spans="1:26" x14ac:dyDescent="0.25">
      <c r="A3011" t="str">
        <f t="shared" si="1230"/>
        <v>04-08-2020 12:58:57</v>
      </c>
      <c r="B3011" t="str">
        <f>"0000807934"</f>
        <v>0000807934</v>
      </c>
      <c r="C3011" t="str">
        <f t="shared" si="1231"/>
        <v>0000807791</v>
      </c>
      <c r="D3011" t="str">
        <f t="shared" si="1211"/>
        <v>73185</v>
      </c>
      <c r="E3011" t="str">
        <f t="shared" si="1212"/>
        <v>KFH-OPERATIONS DEPARTMENT</v>
      </c>
      <c r="F3011" t="str">
        <f t="shared" si="1213"/>
        <v>IBG</v>
      </c>
      <c r="G3011" t="str">
        <f t="shared" si="1226"/>
        <v>Refund COSHARE 10</v>
      </c>
      <c r="H3011" s="2">
        <v>145</v>
      </c>
      <c r="I3011" t="str">
        <f>"NAZIB BIN ABDUL SAID"</f>
        <v>NAZIB BIN ABDUL SAID</v>
      </c>
      <c r="J3011" t="str">
        <f t="shared" si="1227"/>
        <v>MAYBANK / MAYBANK ISLAMIC</v>
      </c>
      <c r="K3011" t="str">
        <f>"111114085366"</f>
        <v>111114085366</v>
      </c>
      <c r="L3011" t="str">
        <f t="shared" si="1234"/>
        <v>04-08-2020</v>
      </c>
      <c r="M3011" t="str">
        <f t="shared" si="1234"/>
        <v>04-08-2020</v>
      </c>
      <c r="N3011" t="str">
        <f t="shared" si="1214"/>
        <v>001105018356</v>
      </c>
      <c r="O3011" t="str">
        <f t="shared" si="1215"/>
        <v>MYR</v>
      </c>
      <c r="P3011" t="str">
        <f t="shared" si="1235"/>
        <v>NIL</v>
      </c>
      <c r="Q3011" t="str">
        <f t="shared" si="1235"/>
        <v>NIL</v>
      </c>
      <c r="R3011" t="str">
        <f t="shared" si="1216"/>
        <v>Accepted</v>
      </c>
      <c r="S3011" t="str">
        <f t="shared" si="1217"/>
        <v>Approved</v>
      </c>
      <c r="T3011" t="str">
        <f t="shared" si="1218"/>
        <v>10.20.8.188</v>
      </c>
      <c r="U3011" t="str">
        <f t="shared" si="1219"/>
        <v>AZRAD UMAR BIN SHAARI</v>
      </c>
      <c r="V3011" t="str">
        <f t="shared" si="1220"/>
        <v>FARHANA BINTI MUSTAPA</v>
      </c>
      <c r="W3011" t="str">
        <f t="shared" si="1221"/>
        <v>04-08-2020</v>
      </c>
      <c r="X3011" t="str">
        <f t="shared" si="1222"/>
        <v>RAZIMAH ANSAR AHMAD</v>
      </c>
      <c r="Y3011" t="str">
        <f t="shared" si="1223"/>
        <v>04-08-2020</v>
      </c>
      <c r="Z3011" t="str">
        <f>"COS10200804 6143"</f>
        <v>COS10200804 6143</v>
      </c>
    </row>
    <row r="3012" spans="1:26" x14ac:dyDescent="0.25">
      <c r="A3012" t="str">
        <f t="shared" si="1230"/>
        <v>04-08-2020 12:58:57</v>
      </c>
      <c r="B3012" t="str">
        <f>"0000807933"</f>
        <v>0000807933</v>
      </c>
      <c r="C3012" t="str">
        <f t="shared" si="1231"/>
        <v>0000807791</v>
      </c>
      <c r="D3012" t="str">
        <f t="shared" si="1211"/>
        <v>73185</v>
      </c>
      <c r="E3012" t="str">
        <f t="shared" si="1212"/>
        <v>KFH-OPERATIONS DEPARTMENT</v>
      </c>
      <c r="F3012" t="str">
        <f t="shared" si="1213"/>
        <v>IBG</v>
      </c>
      <c r="G3012" t="str">
        <f t="shared" si="1226"/>
        <v>Refund COSHARE 10</v>
      </c>
      <c r="H3012" s="2">
        <v>587.65</v>
      </c>
      <c r="I3012" t="str">
        <f>"NAZEERA BINTI OTHMAN KOYA"</f>
        <v>NAZEERA BINTI OTHMAN KOYA</v>
      </c>
      <c r="J3012" t="str">
        <f t="shared" si="1227"/>
        <v>MAYBANK / MAYBANK ISLAMIC</v>
      </c>
      <c r="K3012" t="str">
        <f>"155023327127"</f>
        <v>155023327127</v>
      </c>
      <c r="L3012" t="str">
        <f t="shared" si="1234"/>
        <v>04-08-2020</v>
      </c>
      <c r="M3012" t="str">
        <f t="shared" si="1234"/>
        <v>04-08-2020</v>
      </c>
      <c r="N3012" t="str">
        <f t="shared" si="1214"/>
        <v>001105018356</v>
      </c>
      <c r="O3012" t="str">
        <f t="shared" si="1215"/>
        <v>MYR</v>
      </c>
      <c r="P3012" t="str">
        <f t="shared" si="1235"/>
        <v>NIL</v>
      </c>
      <c r="Q3012" t="str">
        <f t="shared" si="1235"/>
        <v>NIL</v>
      </c>
      <c r="R3012" t="str">
        <f t="shared" si="1216"/>
        <v>Accepted</v>
      </c>
      <c r="S3012" t="str">
        <f t="shared" si="1217"/>
        <v>Approved</v>
      </c>
      <c r="T3012" t="str">
        <f t="shared" si="1218"/>
        <v>10.20.8.188</v>
      </c>
      <c r="U3012" t="str">
        <f t="shared" si="1219"/>
        <v>AZRAD UMAR BIN SHAARI</v>
      </c>
      <c r="V3012" t="str">
        <f t="shared" si="1220"/>
        <v>FARHANA BINTI MUSTAPA</v>
      </c>
      <c r="W3012" t="str">
        <f t="shared" si="1221"/>
        <v>04-08-2020</v>
      </c>
      <c r="X3012" t="str">
        <f t="shared" si="1222"/>
        <v>RAZIMAH ANSAR AHMAD</v>
      </c>
      <c r="Y3012" t="str">
        <f t="shared" si="1223"/>
        <v>04-08-2020</v>
      </c>
      <c r="Z3012" t="str">
        <f>"COS10200804 6142"</f>
        <v>COS10200804 6142</v>
      </c>
    </row>
    <row r="3013" spans="1:26" x14ac:dyDescent="0.25">
      <c r="A3013" t="str">
        <f t="shared" si="1230"/>
        <v>04-08-2020 12:58:57</v>
      </c>
      <c r="B3013" t="str">
        <f>"0000807932"</f>
        <v>0000807932</v>
      </c>
      <c r="C3013" t="str">
        <f t="shared" si="1231"/>
        <v>0000807791</v>
      </c>
      <c r="D3013" t="str">
        <f t="shared" si="1211"/>
        <v>73185</v>
      </c>
      <c r="E3013" t="str">
        <f t="shared" si="1212"/>
        <v>KFH-OPERATIONS DEPARTMENT</v>
      </c>
      <c r="F3013" t="str">
        <f t="shared" si="1213"/>
        <v>IBG</v>
      </c>
      <c r="G3013" t="str">
        <f t="shared" si="1226"/>
        <v>Refund COSHARE 10</v>
      </c>
      <c r="H3013" s="2">
        <v>109.15</v>
      </c>
      <c r="I3013" t="str">
        <f>"NAZATULRAHA BINTI ABDULLAH"</f>
        <v>NAZATULRAHA BINTI ABDULLAH</v>
      </c>
      <c r="J3013" t="str">
        <f t="shared" si="1227"/>
        <v>MAYBANK / MAYBANK ISLAMIC</v>
      </c>
      <c r="K3013" t="str">
        <f>"155032261986"</f>
        <v>155032261986</v>
      </c>
      <c r="L3013" t="str">
        <f t="shared" si="1234"/>
        <v>04-08-2020</v>
      </c>
      <c r="M3013" t="str">
        <f t="shared" si="1234"/>
        <v>04-08-2020</v>
      </c>
      <c r="N3013" t="str">
        <f t="shared" si="1214"/>
        <v>001105018356</v>
      </c>
      <c r="O3013" t="str">
        <f t="shared" si="1215"/>
        <v>MYR</v>
      </c>
      <c r="P3013" t="str">
        <f t="shared" si="1235"/>
        <v>NIL</v>
      </c>
      <c r="Q3013" t="str">
        <f t="shared" si="1235"/>
        <v>NIL</v>
      </c>
      <c r="R3013" t="str">
        <f t="shared" si="1216"/>
        <v>Accepted</v>
      </c>
      <c r="S3013" t="str">
        <f t="shared" si="1217"/>
        <v>Approved</v>
      </c>
      <c r="T3013" t="str">
        <f t="shared" si="1218"/>
        <v>10.20.8.188</v>
      </c>
      <c r="U3013" t="str">
        <f t="shared" si="1219"/>
        <v>AZRAD UMAR BIN SHAARI</v>
      </c>
      <c r="V3013" t="str">
        <f t="shared" si="1220"/>
        <v>FARHANA BINTI MUSTAPA</v>
      </c>
      <c r="W3013" t="str">
        <f t="shared" si="1221"/>
        <v>04-08-2020</v>
      </c>
      <c r="X3013" t="str">
        <f t="shared" si="1222"/>
        <v>RAZIMAH ANSAR AHMAD</v>
      </c>
      <c r="Y3013" t="str">
        <f t="shared" si="1223"/>
        <v>04-08-2020</v>
      </c>
      <c r="Z3013" t="str">
        <f>"COS10200804 6141"</f>
        <v>COS10200804 6141</v>
      </c>
    </row>
    <row r="3014" spans="1:26" x14ac:dyDescent="0.25">
      <c r="A3014" t="str">
        <f t="shared" si="1230"/>
        <v>04-08-2020 12:58:57</v>
      </c>
      <c r="B3014" t="str">
        <f>"0000807931"</f>
        <v>0000807931</v>
      </c>
      <c r="C3014" t="str">
        <f t="shared" si="1231"/>
        <v>0000807791</v>
      </c>
      <c r="D3014" t="str">
        <f t="shared" si="1211"/>
        <v>73185</v>
      </c>
      <c r="E3014" t="str">
        <f t="shared" si="1212"/>
        <v>KFH-OPERATIONS DEPARTMENT</v>
      </c>
      <c r="F3014" t="str">
        <f t="shared" si="1213"/>
        <v>IBG</v>
      </c>
      <c r="G3014" t="str">
        <f t="shared" si="1226"/>
        <v>Refund COSHARE 10</v>
      </c>
      <c r="H3014" s="2">
        <v>335.8</v>
      </c>
      <c r="I3014" t="str">
        <f>"NAZATULELIANA BINTI MOHAMAD"</f>
        <v>NAZATULELIANA BINTI MOHAMAD</v>
      </c>
      <c r="J3014" t="str">
        <f t="shared" si="1227"/>
        <v>MAYBANK / MAYBANK ISLAMIC</v>
      </c>
      <c r="K3014" t="str">
        <f>"151203885352"</f>
        <v>151203885352</v>
      </c>
      <c r="L3014" t="str">
        <f t="shared" si="1234"/>
        <v>04-08-2020</v>
      </c>
      <c r="M3014" t="str">
        <f t="shared" si="1234"/>
        <v>04-08-2020</v>
      </c>
      <c r="N3014" t="str">
        <f t="shared" si="1214"/>
        <v>001105018356</v>
      </c>
      <c r="O3014" t="str">
        <f t="shared" si="1215"/>
        <v>MYR</v>
      </c>
      <c r="P3014" t="str">
        <f t="shared" si="1235"/>
        <v>NIL</v>
      </c>
      <c r="Q3014" t="str">
        <f t="shared" si="1235"/>
        <v>NIL</v>
      </c>
      <c r="R3014" t="str">
        <f t="shared" si="1216"/>
        <v>Accepted</v>
      </c>
      <c r="S3014" t="str">
        <f t="shared" si="1217"/>
        <v>Approved</v>
      </c>
      <c r="T3014" t="str">
        <f t="shared" si="1218"/>
        <v>10.20.8.188</v>
      </c>
      <c r="U3014" t="str">
        <f t="shared" si="1219"/>
        <v>AZRAD UMAR BIN SHAARI</v>
      </c>
      <c r="V3014" t="str">
        <f t="shared" si="1220"/>
        <v>FARHANA BINTI MUSTAPA</v>
      </c>
      <c r="W3014" t="str">
        <f t="shared" si="1221"/>
        <v>04-08-2020</v>
      </c>
      <c r="X3014" t="str">
        <f t="shared" si="1222"/>
        <v>RAZIMAH ANSAR AHMAD</v>
      </c>
      <c r="Y3014" t="str">
        <f t="shared" si="1223"/>
        <v>04-08-2020</v>
      </c>
      <c r="Z3014" t="str">
        <f>"COS10200804 6140"</f>
        <v>COS10200804 6140</v>
      </c>
    </row>
    <row r="3015" spans="1:26" x14ac:dyDescent="0.25">
      <c r="A3015" t="str">
        <f t="shared" si="1230"/>
        <v>04-08-2020 12:58:57</v>
      </c>
      <c r="B3015" t="str">
        <f>"0000807930"</f>
        <v>0000807930</v>
      </c>
      <c r="C3015" t="str">
        <f t="shared" si="1231"/>
        <v>0000807791</v>
      </c>
      <c r="D3015" t="str">
        <f t="shared" ref="D3015:D3078" si="1236">"73185"</f>
        <v>73185</v>
      </c>
      <c r="E3015" t="str">
        <f t="shared" ref="E3015:E3078" si="1237">"KFH-OPERATIONS DEPARTMENT"</f>
        <v>KFH-OPERATIONS DEPARTMENT</v>
      </c>
      <c r="F3015" t="str">
        <f t="shared" ref="F3015:F3078" si="1238">"IBG"</f>
        <v>IBG</v>
      </c>
      <c r="G3015" t="str">
        <f t="shared" si="1226"/>
        <v>Refund COSHARE 10</v>
      </c>
      <c r="H3015" s="2">
        <v>671.6</v>
      </c>
      <c r="I3015" t="str">
        <f>"NAZATUL SHAHIDA BINTI NADZIMUDDIN"</f>
        <v>NAZATUL SHAHIDA BINTI NADZIMUDDIN</v>
      </c>
      <c r="J3015" t="str">
        <f t="shared" si="1227"/>
        <v>MAYBANK / MAYBANK ISLAMIC</v>
      </c>
      <c r="K3015" t="str">
        <f>"114020996045"</f>
        <v>114020996045</v>
      </c>
      <c r="L3015" t="str">
        <f t="shared" si="1234"/>
        <v>04-08-2020</v>
      </c>
      <c r="M3015" t="str">
        <f t="shared" si="1234"/>
        <v>04-08-2020</v>
      </c>
      <c r="N3015" t="str">
        <f t="shared" ref="N3015:N3078" si="1239">"001105018356"</f>
        <v>001105018356</v>
      </c>
      <c r="O3015" t="str">
        <f t="shared" ref="O3015:O3078" si="1240">"MYR"</f>
        <v>MYR</v>
      </c>
      <c r="P3015" t="str">
        <f t="shared" si="1235"/>
        <v>NIL</v>
      </c>
      <c r="Q3015" t="str">
        <f t="shared" si="1235"/>
        <v>NIL</v>
      </c>
      <c r="R3015" t="str">
        <f t="shared" ref="R3015:R3078" si="1241">"Accepted"</f>
        <v>Accepted</v>
      </c>
      <c r="S3015" t="str">
        <f t="shared" ref="S3015:S3078" si="1242">"Approved"</f>
        <v>Approved</v>
      </c>
      <c r="T3015" t="str">
        <f t="shared" ref="T3015:T3078" si="1243">"10.20.8.188"</f>
        <v>10.20.8.188</v>
      </c>
      <c r="U3015" t="str">
        <f t="shared" ref="U3015:U3078" si="1244">"AZRAD UMAR BIN SHAARI"</f>
        <v>AZRAD UMAR BIN SHAARI</v>
      </c>
      <c r="V3015" t="str">
        <f t="shared" ref="V3015:V3078" si="1245">"FARHANA BINTI MUSTAPA"</f>
        <v>FARHANA BINTI MUSTAPA</v>
      </c>
      <c r="W3015" t="str">
        <f t="shared" ref="W3015:W3078" si="1246">"04-08-2020"</f>
        <v>04-08-2020</v>
      </c>
      <c r="X3015" t="str">
        <f t="shared" ref="X3015:X3078" si="1247">"RAZIMAH ANSAR AHMAD"</f>
        <v>RAZIMAH ANSAR AHMAD</v>
      </c>
      <c r="Y3015" t="str">
        <f t="shared" ref="Y3015:Y3078" si="1248">"04-08-2020"</f>
        <v>04-08-2020</v>
      </c>
      <c r="Z3015" t="str">
        <f>"COS10200804 6139"</f>
        <v>COS10200804 6139</v>
      </c>
    </row>
    <row r="3016" spans="1:26" x14ac:dyDescent="0.25">
      <c r="A3016" t="str">
        <f t="shared" si="1230"/>
        <v>04-08-2020 12:58:57</v>
      </c>
      <c r="B3016" t="str">
        <f>"0000807929"</f>
        <v>0000807929</v>
      </c>
      <c r="C3016" t="str">
        <f t="shared" si="1231"/>
        <v>0000807791</v>
      </c>
      <c r="D3016" t="str">
        <f t="shared" si="1236"/>
        <v>73185</v>
      </c>
      <c r="E3016" t="str">
        <f t="shared" si="1237"/>
        <v>KFH-OPERATIONS DEPARTMENT</v>
      </c>
      <c r="F3016" t="str">
        <f t="shared" si="1238"/>
        <v>IBG</v>
      </c>
      <c r="G3016" t="str">
        <f t="shared" si="1226"/>
        <v>Refund COSHARE 10</v>
      </c>
      <c r="H3016" s="2">
        <v>335.8</v>
      </c>
      <c r="I3016" t="str">
        <f>"NAZARUDIN BIN SAHAK MUHAMED ALY"</f>
        <v>NAZARUDIN BIN SAHAK MUHAMED ALY</v>
      </c>
      <c r="J3016" t="str">
        <f t="shared" si="1227"/>
        <v>MAYBANK / MAYBANK ISLAMIC</v>
      </c>
      <c r="K3016" t="str">
        <f>"162085389524"</f>
        <v>162085389524</v>
      </c>
      <c r="L3016" t="str">
        <f t="shared" si="1234"/>
        <v>04-08-2020</v>
      </c>
      <c r="M3016" t="str">
        <f t="shared" si="1234"/>
        <v>04-08-2020</v>
      </c>
      <c r="N3016" t="str">
        <f t="shared" si="1239"/>
        <v>001105018356</v>
      </c>
      <c r="O3016" t="str">
        <f t="shared" si="1240"/>
        <v>MYR</v>
      </c>
      <c r="P3016" t="str">
        <f t="shared" si="1235"/>
        <v>NIL</v>
      </c>
      <c r="Q3016" t="str">
        <f t="shared" si="1235"/>
        <v>NIL</v>
      </c>
      <c r="R3016" t="str">
        <f t="shared" si="1241"/>
        <v>Accepted</v>
      </c>
      <c r="S3016" t="str">
        <f t="shared" si="1242"/>
        <v>Approved</v>
      </c>
      <c r="T3016" t="str">
        <f t="shared" si="1243"/>
        <v>10.20.8.188</v>
      </c>
      <c r="U3016" t="str">
        <f t="shared" si="1244"/>
        <v>AZRAD UMAR BIN SHAARI</v>
      </c>
      <c r="V3016" t="str">
        <f t="shared" si="1245"/>
        <v>FARHANA BINTI MUSTAPA</v>
      </c>
      <c r="W3016" t="str">
        <f t="shared" si="1246"/>
        <v>04-08-2020</v>
      </c>
      <c r="X3016" t="str">
        <f t="shared" si="1247"/>
        <v>RAZIMAH ANSAR AHMAD</v>
      </c>
      <c r="Y3016" t="str">
        <f t="shared" si="1248"/>
        <v>04-08-2020</v>
      </c>
      <c r="Z3016" t="str">
        <f>"COS10200804 6138"</f>
        <v>COS10200804 6138</v>
      </c>
    </row>
    <row r="3017" spans="1:26" x14ac:dyDescent="0.25">
      <c r="A3017" t="str">
        <f t="shared" si="1230"/>
        <v>04-08-2020 12:58:57</v>
      </c>
      <c r="B3017" t="str">
        <f>"0000807928"</f>
        <v>0000807928</v>
      </c>
      <c r="C3017" t="str">
        <f t="shared" si="1231"/>
        <v>0000807791</v>
      </c>
      <c r="D3017" t="str">
        <f t="shared" si="1236"/>
        <v>73185</v>
      </c>
      <c r="E3017" t="str">
        <f t="shared" si="1237"/>
        <v>KFH-OPERATIONS DEPARTMENT</v>
      </c>
      <c r="F3017" t="str">
        <f t="shared" si="1238"/>
        <v>IBG</v>
      </c>
      <c r="G3017" t="str">
        <f t="shared" si="1226"/>
        <v>Refund COSHARE 10</v>
      </c>
      <c r="H3017" s="2">
        <v>106.45</v>
      </c>
      <c r="I3017" t="str">
        <f>"NAZARUDDIN BIN BAHAROM"</f>
        <v>NAZARUDDIN BIN BAHAROM</v>
      </c>
      <c r="J3017" t="str">
        <f t="shared" si="1227"/>
        <v>MAYBANK / MAYBANK ISLAMIC</v>
      </c>
      <c r="K3017" t="str">
        <f>"157072002890"</f>
        <v>157072002890</v>
      </c>
      <c r="L3017" t="str">
        <f t="shared" si="1234"/>
        <v>04-08-2020</v>
      </c>
      <c r="M3017" t="str">
        <f t="shared" si="1234"/>
        <v>04-08-2020</v>
      </c>
      <c r="N3017" t="str">
        <f t="shared" si="1239"/>
        <v>001105018356</v>
      </c>
      <c r="O3017" t="str">
        <f t="shared" si="1240"/>
        <v>MYR</v>
      </c>
      <c r="P3017" t="str">
        <f t="shared" si="1235"/>
        <v>NIL</v>
      </c>
      <c r="Q3017" t="str">
        <f t="shared" si="1235"/>
        <v>NIL</v>
      </c>
      <c r="R3017" t="str">
        <f t="shared" si="1241"/>
        <v>Accepted</v>
      </c>
      <c r="S3017" t="str">
        <f t="shared" si="1242"/>
        <v>Approved</v>
      </c>
      <c r="T3017" t="str">
        <f t="shared" si="1243"/>
        <v>10.20.8.188</v>
      </c>
      <c r="U3017" t="str">
        <f t="shared" si="1244"/>
        <v>AZRAD UMAR BIN SHAARI</v>
      </c>
      <c r="V3017" t="str">
        <f t="shared" si="1245"/>
        <v>FARHANA BINTI MUSTAPA</v>
      </c>
      <c r="W3017" t="str">
        <f t="shared" si="1246"/>
        <v>04-08-2020</v>
      </c>
      <c r="X3017" t="str">
        <f t="shared" si="1247"/>
        <v>RAZIMAH ANSAR AHMAD</v>
      </c>
      <c r="Y3017" t="str">
        <f t="shared" si="1248"/>
        <v>04-08-2020</v>
      </c>
      <c r="Z3017" t="str">
        <f>"COS10200804 6137"</f>
        <v>COS10200804 6137</v>
      </c>
    </row>
    <row r="3018" spans="1:26" x14ac:dyDescent="0.25">
      <c r="A3018" t="str">
        <f t="shared" ref="A3018:A3049" si="1249">"04-08-2020 12:58:57"</f>
        <v>04-08-2020 12:58:57</v>
      </c>
      <c r="B3018" t="str">
        <f>"0000807927"</f>
        <v>0000807927</v>
      </c>
      <c r="C3018" t="str">
        <f t="shared" ref="C3018:C3049" si="1250">"0000807791"</f>
        <v>0000807791</v>
      </c>
      <c r="D3018" t="str">
        <f t="shared" si="1236"/>
        <v>73185</v>
      </c>
      <c r="E3018" t="str">
        <f t="shared" si="1237"/>
        <v>KFH-OPERATIONS DEPARTMENT</v>
      </c>
      <c r="F3018" t="str">
        <f t="shared" si="1238"/>
        <v>IBG</v>
      </c>
      <c r="G3018" t="str">
        <f t="shared" si="1226"/>
        <v>Refund COSHARE 10</v>
      </c>
      <c r="H3018" s="2">
        <v>167.9</v>
      </c>
      <c r="I3018" t="str">
        <f>"NAURA BINTI CIK OSMAN"</f>
        <v>NAURA BINTI CIK OSMAN</v>
      </c>
      <c r="J3018" t="str">
        <f t="shared" si="1227"/>
        <v>MAYBANK / MAYBANK ISLAMIC</v>
      </c>
      <c r="K3018" t="str">
        <f>"164221205297"</f>
        <v>164221205297</v>
      </c>
      <c r="L3018" t="str">
        <f t="shared" si="1234"/>
        <v>04-08-2020</v>
      </c>
      <c r="M3018" t="str">
        <f t="shared" si="1234"/>
        <v>04-08-2020</v>
      </c>
      <c r="N3018" t="str">
        <f t="shared" si="1239"/>
        <v>001105018356</v>
      </c>
      <c r="O3018" t="str">
        <f t="shared" si="1240"/>
        <v>MYR</v>
      </c>
      <c r="P3018" t="str">
        <f t="shared" si="1235"/>
        <v>NIL</v>
      </c>
      <c r="Q3018" t="str">
        <f t="shared" si="1235"/>
        <v>NIL</v>
      </c>
      <c r="R3018" t="str">
        <f t="shared" si="1241"/>
        <v>Accepted</v>
      </c>
      <c r="S3018" t="str">
        <f t="shared" si="1242"/>
        <v>Approved</v>
      </c>
      <c r="T3018" t="str">
        <f t="shared" si="1243"/>
        <v>10.20.8.188</v>
      </c>
      <c r="U3018" t="str">
        <f t="shared" si="1244"/>
        <v>AZRAD UMAR BIN SHAARI</v>
      </c>
      <c r="V3018" t="str">
        <f t="shared" si="1245"/>
        <v>FARHANA BINTI MUSTAPA</v>
      </c>
      <c r="W3018" t="str">
        <f t="shared" si="1246"/>
        <v>04-08-2020</v>
      </c>
      <c r="X3018" t="str">
        <f t="shared" si="1247"/>
        <v>RAZIMAH ANSAR AHMAD</v>
      </c>
      <c r="Y3018" t="str">
        <f t="shared" si="1248"/>
        <v>04-08-2020</v>
      </c>
      <c r="Z3018" t="str">
        <f>"COS10200804 6136"</f>
        <v>COS10200804 6136</v>
      </c>
    </row>
    <row r="3019" spans="1:26" x14ac:dyDescent="0.25">
      <c r="A3019" t="str">
        <f t="shared" si="1249"/>
        <v>04-08-2020 12:58:57</v>
      </c>
      <c r="B3019" t="str">
        <f>"0000807926"</f>
        <v>0000807926</v>
      </c>
      <c r="C3019" t="str">
        <f t="shared" si="1250"/>
        <v>0000807791</v>
      </c>
      <c r="D3019" t="str">
        <f t="shared" si="1236"/>
        <v>73185</v>
      </c>
      <c r="E3019" t="str">
        <f t="shared" si="1237"/>
        <v>KFH-OPERATIONS DEPARTMENT</v>
      </c>
      <c r="F3019" t="str">
        <f t="shared" si="1238"/>
        <v>IBG</v>
      </c>
      <c r="G3019" t="str">
        <f t="shared" si="1226"/>
        <v>Refund COSHARE 10</v>
      </c>
      <c r="H3019" s="2">
        <v>1041</v>
      </c>
      <c r="I3019" t="str">
        <f>"NATRAH BINTI BESRI"</f>
        <v>NATRAH BINTI BESRI</v>
      </c>
      <c r="J3019" t="str">
        <f t="shared" si="1227"/>
        <v>MAYBANK / MAYBANK ISLAMIC</v>
      </c>
      <c r="K3019" t="str">
        <f>"158220526448"</f>
        <v>158220526448</v>
      </c>
      <c r="L3019" t="str">
        <f t="shared" si="1234"/>
        <v>04-08-2020</v>
      </c>
      <c r="M3019" t="str">
        <f t="shared" si="1234"/>
        <v>04-08-2020</v>
      </c>
      <c r="N3019" t="str">
        <f t="shared" si="1239"/>
        <v>001105018356</v>
      </c>
      <c r="O3019" t="str">
        <f t="shared" si="1240"/>
        <v>MYR</v>
      </c>
      <c r="P3019" t="str">
        <f t="shared" si="1235"/>
        <v>NIL</v>
      </c>
      <c r="Q3019" t="str">
        <f t="shared" si="1235"/>
        <v>NIL</v>
      </c>
      <c r="R3019" t="str">
        <f t="shared" si="1241"/>
        <v>Accepted</v>
      </c>
      <c r="S3019" t="str">
        <f t="shared" si="1242"/>
        <v>Approved</v>
      </c>
      <c r="T3019" t="str">
        <f t="shared" si="1243"/>
        <v>10.20.8.188</v>
      </c>
      <c r="U3019" t="str">
        <f t="shared" si="1244"/>
        <v>AZRAD UMAR BIN SHAARI</v>
      </c>
      <c r="V3019" t="str">
        <f t="shared" si="1245"/>
        <v>FARHANA BINTI MUSTAPA</v>
      </c>
      <c r="W3019" t="str">
        <f t="shared" si="1246"/>
        <v>04-08-2020</v>
      </c>
      <c r="X3019" t="str">
        <f t="shared" si="1247"/>
        <v>RAZIMAH ANSAR AHMAD</v>
      </c>
      <c r="Y3019" t="str">
        <f t="shared" si="1248"/>
        <v>04-08-2020</v>
      </c>
      <c r="Z3019" t="str">
        <f>"COS10200804 6135"</f>
        <v>COS10200804 6135</v>
      </c>
    </row>
    <row r="3020" spans="1:26" x14ac:dyDescent="0.25">
      <c r="A3020" t="str">
        <f t="shared" si="1249"/>
        <v>04-08-2020 12:58:57</v>
      </c>
      <c r="B3020" t="str">
        <f>"0000807925"</f>
        <v>0000807925</v>
      </c>
      <c r="C3020" t="str">
        <f t="shared" si="1250"/>
        <v>0000807791</v>
      </c>
      <c r="D3020" t="str">
        <f t="shared" si="1236"/>
        <v>73185</v>
      </c>
      <c r="E3020" t="str">
        <f t="shared" si="1237"/>
        <v>KFH-OPERATIONS DEPARTMENT</v>
      </c>
      <c r="F3020" t="str">
        <f t="shared" si="1238"/>
        <v>IBG</v>
      </c>
      <c r="G3020" t="str">
        <f t="shared" ref="G3020:G3083" si="1251">"Refund COSHARE 10"</f>
        <v>Refund COSHARE 10</v>
      </c>
      <c r="H3020" s="2">
        <v>377.8</v>
      </c>
      <c r="I3020" t="str">
        <f>"NATASHA ASRAF BINTI ABD RAZAK"</f>
        <v>NATASHA ASRAF BINTI ABD RAZAK</v>
      </c>
      <c r="J3020" t="str">
        <f t="shared" si="1227"/>
        <v>MAYBANK / MAYBANK ISLAMIC</v>
      </c>
      <c r="K3020" t="str">
        <f>"151258467110"</f>
        <v>151258467110</v>
      </c>
      <c r="L3020" t="str">
        <f t="shared" si="1234"/>
        <v>04-08-2020</v>
      </c>
      <c r="M3020" t="str">
        <f t="shared" si="1234"/>
        <v>04-08-2020</v>
      </c>
      <c r="N3020" t="str">
        <f t="shared" si="1239"/>
        <v>001105018356</v>
      </c>
      <c r="O3020" t="str">
        <f t="shared" si="1240"/>
        <v>MYR</v>
      </c>
      <c r="P3020" t="str">
        <f t="shared" si="1235"/>
        <v>NIL</v>
      </c>
      <c r="Q3020" t="str">
        <f t="shared" si="1235"/>
        <v>NIL</v>
      </c>
      <c r="R3020" t="str">
        <f t="shared" si="1241"/>
        <v>Accepted</v>
      </c>
      <c r="S3020" t="str">
        <f t="shared" si="1242"/>
        <v>Approved</v>
      </c>
      <c r="T3020" t="str">
        <f t="shared" si="1243"/>
        <v>10.20.8.188</v>
      </c>
      <c r="U3020" t="str">
        <f t="shared" si="1244"/>
        <v>AZRAD UMAR BIN SHAARI</v>
      </c>
      <c r="V3020" t="str">
        <f t="shared" si="1245"/>
        <v>FARHANA BINTI MUSTAPA</v>
      </c>
      <c r="W3020" t="str">
        <f t="shared" si="1246"/>
        <v>04-08-2020</v>
      </c>
      <c r="X3020" t="str">
        <f t="shared" si="1247"/>
        <v>RAZIMAH ANSAR AHMAD</v>
      </c>
      <c r="Y3020" t="str">
        <f t="shared" si="1248"/>
        <v>04-08-2020</v>
      </c>
      <c r="Z3020" t="str">
        <f>"COS10200804 6134"</f>
        <v>COS10200804 6134</v>
      </c>
    </row>
    <row r="3021" spans="1:26" x14ac:dyDescent="0.25">
      <c r="A3021" t="str">
        <f t="shared" si="1249"/>
        <v>04-08-2020 12:58:57</v>
      </c>
      <c r="B3021" t="str">
        <f>"0000807924"</f>
        <v>0000807924</v>
      </c>
      <c r="C3021" t="str">
        <f t="shared" si="1250"/>
        <v>0000807791</v>
      </c>
      <c r="D3021" t="str">
        <f t="shared" si="1236"/>
        <v>73185</v>
      </c>
      <c r="E3021" t="str">
        <f t="shared" si="1237"/>
        <v>KFH-OPERATIONS DEPARTMENT</v>
      </c>
      <c r="F3021" t="str">
        <f t="shared" si="1238"/>
        <v>IBG</v>
      </c>
      <c r="G3021" t="str">
        <f t="shared" si="1251"/>
        <v>Refund COSHARE 10</v>
      </c>
      <c r="H3021" s="2">
        <v>491.15</v>
      </c>
      <c r="I3021" t="str">
        <f>"NASUYANIM BINTI SUHAIMIN"</f>
        <v>NASUYANIM BINTI SUHAIMIN</v>
      </c>
      <c r="J3021" t="str">
        <f t="shared" si="1227"/>
        <v>MAYBANK / MAYBANK ISLAMIC</v>
      </c>
      <c r="K3021" t="str">
        <f>"160045309022"</f>
        <v>160045309022</v>
      </c>
      <c r="L3021" t="str">
        <f t="shared" si="1234"/>
        <v>04-08-2020</v>
      </c>
      <c r="M3021" t="str">
        <f t="shared" si="1234"/>
        <v>04-08-2020</v>
      </c>
      <c r="N3021" t="str">
        <f t="shared" si="1239"/>
        <v>001105018356</v>
      </c>
      <c r="O3021" t="str">
        <f t="shared" si="1240"/>
        <v>MYR</v>
      </c>
      <c r="P3021" t="str">
        <f t="shared" si="1235"/>
        <v>NIL</v>
      </c>
      <c r="Q3021" t="str">
        <f t="shared" si="1235"/>
        <v>NIL</v>
      </c>
      <c r="R3021" t="str">
        <f t="shared" si="1241"/>
        <v>Accepted</v>
      </c>
      <c r="S3021" t="str">
        <f t="shared" si="1242"/>
        <v>Approved</v>
      </c>
      <c r="T3021" t="str">
        <f t="shared" si="1243"/>
        <v>10.20.8.188</v>
      </c>
      <c r="U3021" t="str">
        <f t="shared" si="1244"/>
        <v>AZRAD UMAR BIN SHAARI</v>
      </c>
      <c r="V3021" t="str">
        <f t="shared" si="1245"/>
        <v>FARHANA BINTI MUSTAPA</v>
      </c>
      <c r="W3021" t="str">
        <f t="shared" si="1246"/>
        <v>04-08-2020</v>
      </c>
      <c r="X3021" t="str">
        <f t="shared" si="1247"/>
        <v>RAZIMAH ANSAR AHMAD</v>
      </c>
      <c r="Y3021" t="str">
        <f t="shared" si="1248"/>
        <v>04-08-2020</v>
      </c>
      <c r="Z3021" t="str">
        <f>"COS10200804 6133"</f>
        <v>COS10200804 6133</v>
      </c>
    </row>
    <row r="3022" spans="1:26" x14ac:dyDescent="0.25">
      <c r="A3022" t="str">
        <f t="shared" si="1249"/>
        <v>04-08-2020 12:58:57</v>
      </c>
      <c r="B3022" t="str">
        <f>"0000807923"</f>
        <v>0000807923</v>
      </c>
      <c r="C3022" t="str">
        <f t="shared" si="1250"/>
        <v>0000807791</v>
      </c>
      <c r="D3022" t="str">
        <f t="shared" si="1236"/>
        <v>73185</v>
      </c>
      <c r="E3022" t="str">
        <f t="shared" si="1237"/>
        <v>KFH-OPERATIONS DEPARTMENT</v>
      </c>
      <c r="F3022" t="str">
        <f t="shared" si="1238"/>
        <v>IBG</v>
      </c>
      <c r="G3022" t="str">
        <f t="shared" si="1251"/>
        <v>Refund COSHARE 10</v>
      </c>
      <c r="H3022" s="2">
        <v>209.9</v>
      </c>
      <c r="I3022" t="str">
        <f>"NASSRI BIN YASIN"</f>
        <v>NASSRI BIN YASIN</v>
      </c>
      <c r="J3022" t="str">
        <f t="shared" si="1227"/>
        <v>MAYBANK / MAYBANK ISLAMIC</v>
      </c>
      <c r="K3022" t="str">
        <f>"164100207817"</f>
        <v>164100207817</v>
      </c>
      <c r="L3022" t="str">
        <f t="shared" si="1234"/>
        <v>04-08-2020</v>
      </c>
      <c r="M3022" t="str">
        <f t="shared" si="1234"/>
        <v>04-08-2020</v>
      </c>
      <c r="N3022" t="str">
        <f t="shared" si="1239"/>
        <v>001105018356</v>
      </c>
      <c r="O3022" t="str">
        <f t="shared" si="1240"/>
        <v>MYR</v>
      </c>
      <c r="P3022" t="str">
        <f t="shared" si="1235"/>
        <v>NIL</v>
      </c>
      <c r="Q3022" t="str">
        <f t="shared" si="1235"/>
        <v>NIL</v>
      </c>
      <c r="R3022" t="str">
        <f t="shared" si="1241"/>
        <v>Accepted</v>
      </c>
      <c r="S3022" t="str">
        <f t="shared" si="1242"/>
        <v>Approved</v>
      </c>
      <c r="T3022" t="str">
        <f t="shared" si="1243"/>
        <v>10.20.8.188</v>
      </c>
      <c r="U3022" t="str">
        <f t="shared" si="1244"/>
        <v>AZRAD UMAR BIN SHAARI</v>
      </c>
      <c r="V3022" t="str">
        <f t="shared" si="1245"/>
        <v>FARHANA BINTI MUSTAPA</v>
      </c>
      <c r="W3022" t="str">
        <f t="shared" si="1246"/>
        <v>04-08-2020</v>
      </c>
      <c r="X3022" t="str">
        <f t="shared" si="1247"/>
        <v>RAZIMAH ANSAR AHMAD</v>
      </c>
      <c r="Y3022" t="str">
        <f t="shared" si="1248"/>
        <v>04-08-2020</v>
      </c>
      <c r="Z3022" t="str">
        <f>"COS10200804 6132"</f>
        <v>COS10200804 6132</v>
      </c>
    </row>
    <row r="3023" spans="1:26" x14ac:dyDescent="0.25">
      <c r="A3023" t="str">
        <f t="shared" si="1249"/>
        <v>04-08-2020 12:58:57</v>
      </c>
      <c r="B3023" t="str">
        <f>"0000807922"</f>
        <v>0000807922</v>
      </c>
      <c r="C3023" t="str">
        <f t="shared" si="1250"/>
        <v>0000807791</v>
      </c>
      <c r="D3023" t="str">
        <f t="shared" si="1236"/>
        <v>73185</v>
      </c>
      <c r="E3023" t="str">
        <f t="shared" si="1237"/>
        <v>KFH-OPERATIONS DEPARTMENT</v>
      </c>
      <c r="F3023" t="str">
        <f t="shared" si="1238"/>
        <v>IBG</v>
      </c>
      <c r="G3023" t="str">
        <f t="shared" si="1251"/>
        <v>Refund COSHARE 10</v>
      </c>
      <c r="H3023" s="2">
        <v>854</v>
      </c>
      <c r="I3023" t="str">
        <f>"NASSARUDIN BIN ABU BAKAR"</f>
        <v>NASSARUDIN BIN ABU BAKAR</v>
      </c>
      <c r="J3023" t="str">
        <f t="shared" si="1227"/>
        <v>MAYBANK / MAYBANK ISLAMIC</v>
      </c>
      <c r="K3023" t="str">
        <f>"152095800291"</f>
        <v>152095800291</v>
      </c>
      <c r="L3023" t="str">
        <f t="shared" si="1234"/>
        <v>04-08-2020</v>
      </c>
      <c r="M3023" t="str">
        <f t="shared" si="1234"/>
        <v>04-08-2020</v>
      </c>
      <c r="N3023" t="str">
        <f t="shared" si="1239"/>
        <v>001105018356</v>
      </c>
      <c r="O3023" t="str">
        <f t="shared" si="1240"/>
        <v>MYR</v>
      </c>
      <c r="P3023" t="str">
        <f t="shared" si="1235"/>
        <v>NIL</v>
      </c>
      <c r="Q3023" t="str">
        <f t="shared" si="1235"/>
        <v>NIL</v>
      </c>
      <c r="R3023" t="str">
        <f t="shared" si="1241"/>
        <v>Accepted</v>
      </c>
      <c r="S3023" t="str">
        <f t="shared" si="1242"/>
        <v>Approved</v>
      </c>
      <c r="T3023" t="str">
        <f t="shared" si="1243"/>
        <v>10.20.8.188</v>
      </c>
      <c r="U3023" t="str">
        <f t="shared" si="1244"/>
        <v>AZRAD UMAR BIN SHAARI</v>
      </c>
      <c r="V3023" t="str">
        <f t="shared" si="1245"/>
        <v>FARHANA BINTI MUSTAPA</v>
      </c>
      <c r="W3023" t="str">
        <f t="shared" si="1246"/>
        <v>04-08-2020</v>
      </c>
      <c r="X3023" t="str">
        <f t="shared" si="1247"/>
        <v>RAZIMAH ANSAR AHMAD</v>
      </c>
      <c r="Y3023" t="str">
        <f t="shared" si="1248"/>
        <v>04-08-2020</v>
      </c>
      <c r="Z3023" t="str">
        <f>"COS10200804 6131"</f>
        <v>COS10200804 6131</v>
      </c>
    </row>
    <row r="3024" spans="1:26" x14ac:dyDescent="0.25">
      <c r="A3024" t="str">
        <f t="shared" si="1249"/>
        <v>04-08-2020 12:58:57</v>
      </c>
      <c r="B3024" t="str">
        <f>"0000807921"</f>
        <v>0000807921</v>
      </c>
      <c r="C3024" t="str">
        <f t="shared" si="1250"/>
        <v>0000807791</v>
      </c>
      <c r="D3024" t="str">
        <f t="shared" si="1236"/>
        <v>73185</v>
      </c>
      <c r="E3024" t="str">
        <f t="shared" si="1237"/>
        <v>KFH-OPERATIONS DEPARTMENT</v>
      </c>
      <c r="F3024" t="str">
        <f t="shared" si="1238"/>
        <v>IBG</v>
      </c>
      <c r="G3024" t="str">
        <f t="shared" si="1251"/>
        <v>Refund COSHARE 10</v>
      </c>
      <c r="H3024" s="2">
        <v>1091.3499999999999</v>
      </c>
      <c r="I3024" t="str">
        <f>"NASRUL HADI BIN SULONG"</f>
        <v>NASRUL HADI BIN SULONG</v>
      </c>
      <c r="J3024" t="str">
        <f t="shared" si="1227"/>
        <v>MAYBANK / MAYBANK ISLAMIC</v>
      </c>
      <c r="K3024" t="str">
        <f>"164025893900"</f>
        <v>164025893900</v>
      </c>
      <c r="L3024" t="str">
        <f t="shared" si="1234"/>
        <v>04-08-2020</v>
      </c>
      <c r="M3024" t="str">
        <f t="shared" si="1234"/>
        <v>04-08-2020</v>
      </c>
      <c r="N3024" t="str">
        <f t="shared" si="1239"/>
        <v>001105018356</v>
      </c>
      <c r="O3024" t="str">
        <f t="shared" si="1240"/>
        <v>MYR</v>
      </c>
      <c r="P3024" t="str">
        <f t="shared" si="1235"/>
        <v>NIL</v>
      </c>
      <c r="Q3024" t="str">
        <f t="shared" si="1235"/>
        <v>NIL</v>
      </c>
      <c r="R3024" t="str">
        <f t="shared" si="1241"/>
        <v>Accepted</v>
      </c>
      <c r="S3024" t="str">
        <f t="shared" si="1242"/>
        <v>Approved</v>
      </c>
      <c r="T3024" t="str">
        <f t="shared" si="1243"/>
        <v>10.20.8.188</v>
      </c>
      <c r="U3024" t="str">
        <f t="shared" si="1244"/>
        <v>AZRAD UMAR BIN SHAARI</v>
      </c>
      <c r="V3024" t="str">
        <f t="shared" si="1245"/>
        <v>FARHANA BINTI MUSTAPA</v>
      </c>
      <c r="W3024" t="str">
        <f t="shared" si="1246"/>
        <v>04-08-2020</v>
      </c>
      <c r="X3024" t="str">
        <f t="shared" si="1247"/>
        <v>RAZIMAH ANSAR AHMAD</v>
      </c>
      <c r="Y3024" t="str">
        <f t="shared" si="1248"/>
        <v>04-08-2020</v>
      </c>
      <c r="Z3024" t="str">
        <f>"COS10200804 6130"</f>
        <v>COS10200804 6130</v>
      </c>
    </row>
    <row r="3025" spans="1:26" x14ac:dyDescent="0.25">
      <c r="A3025" t="str">
        <f t="shared" si="1249"/>
        <v>04-08-2020 12:58:57</v>
      </c>
      <c r="B3025" t="str">
        <f>"0000807920"</f>
        <v>0000807920</v>
      </c>
      <c r="C3025" t="str">
        <f t="shared" si="1250"/>
        <v>0000807791</v>
      </c>
      <c r="D3025" t="str">
        <f t="shared" si="1236"/>
        <v>73185</v>
      </c>
      <c r="E3025" t="str">
        <f t="shared" si="1237"/>
        <v>KFH-OPERATIONS DEPARTMENT</v>
      </c>
      <c r="F3025" t="str">
        <f t="shared" si="1238"/>
        <v>IBG</v>
      </c>
      <c r="G3025" t="str">
        <f t="shared" si="1251"/>
        <v>Refund COSHARE 10</v>
      </c>
      <c r="H3025" s="2">
        <v>888.6</v>
      </c>
      <c r="I3025" t="str">
        <f>"NASRUDIN BIN PARLAN"</f>
        <v>NASRUDIN BIN PARLAN</v>
      </c>
      <c r="J3025" t="str">
        <f t="shared" ref="J3025:J3088" si="1252">"MAYBANK / MAYBANK ISLAMIC"</f>
        <v>MAYBANK / MAYBANK ISLAMIC</v>
      </c>
      <c r="K3025" t="str">
        <f>"164155008454"</f>
        <v>164155008454</v>
      </c>
      <c r="L3025" t="str">
        <f t="shared" si="1234"/>
        <v>04-08-2020</v>
      </c>
      <c r="M3025" t="str">
        <f t="shared" si="1234"/>
        <v>04-08-2020</v>
      </c>
      <c r="N3025" t="str">
        <f t="shared" si="1239"/>
        <v>001105018356</v>
      </c>
      <c r="O3025" t="str">
        <f t="shared" si="1240"/>
        <v>MYR</v>
      </c>
      <c r="P3025" t="str">
        <f t="shared" si="1235"/>
        <v>NIL</v>
      </c>
      <c r="Q3025" t="str">
        <f t="shared" si="1235"/>
        <v>NIL</v>
      </c>
      <c r="R3025" t="str">
        <f t="shared" si="1241"/>
        <v>Accepted</v>
      </c>
      <c r="S3025" t="str">
        <f t="shared" si="1242"/>
        <v>Approved</v>
      </c>
      <c r="T3025" t="str">
        <f t="shared" si="1243"/>
        <v>10.20.8.188</v>
      </c>
      <c r="U3025" t="str">
        <f t="shared" si="1244"/>
        <v>AZRAD UMAR BIN SHAARI</v>
      </c>
      <c r="V3025" t="str">
        <f t="shared" si="1245"/>
        <v>FARHANA BINTI MUSTAPA</v>
      </c>
      <c r="W3025" t="str">
        <f t="shared" si="1246"/>
        <v>04-08-2020</v>
      </c>
      <c r="X3025" t="str">
        <f t="shared" si="1247"/>
        <v>RAZIMAH ANSAR AHMAD</v>
      </c>
      <c r="Y3025" t="str">
        <f t="shared" si="1248"/>
        <v>04-08-2020</v>
      </c>
      <c r="Z3025" t="str">
        <f>"COS10200804 6129"</f>
        <v>COS10200804 6129</v>
      </c>
    </row>
    <row r="3026" spans="1:26" x14ac:dyDescent="0.25">
      <c r="A3026" t="str">
        <f t="shared" si="1249"/>
        <v>04-08-2020 12:58:57</v>
      </c>
      <c r="B3026" t="str">
        <f>"0000807919"</f>
        <v>0000807919</v>
      </c>
      <c r="C3026" t="str">
        <f t="shared" si="1250"/>
        <v>0000807791</v>
      </c>
      <c r="D3026" t="str">
        <f t="shared" si="1236"/>
        <v>73185</v>
      </c>
      <c r="E3026" t="str">
        <f t="shared" si="1237"/>
        <v>KFH-OPERATIONS DEPARTMENT</v>
      </c>
      <c r="F3026" t="str">
        <f t="shared" si="1238"/>
        <v>IBG</v>
      </c>
      <c r="G3026" t="str">
        <f t="shared" si="1251"/>
        <v>Refund COSHARE 10</v>
      </c>
      <c r="H3026" s="2">
        <v>64.05</v>
      </c>
      <c r="I3026" t="str">
        <f>"NASRUDDIN BIN HARIS PADELILAH"</f>
        <v>NASRUDDIN BIN HARIS PADELILAH</v>
      </c>
      <c r="J3026" t="str">
        <f t="shared" si="1252"/>
        <v>MAYBANK / MAYBANK ISLAMIC</v>
      </c>
      <c r="K3026" t="str">
        <f>"111114111313"</f>
        <v>111114111313</v>
      </c>
      <c r="L3026" t="str">
        <f t="shared" si="1234"/>
        <v>04-08-2020</v>
      </c>
      <c r="M3026" t="str">
        <f t="shared" si="1234"/>
        <v>04-08-2020</v>
      </c>
      <c r="N3026" t="str">
        <f t="shared" si="1239"/>
        <v>001105018356</v>
      </c>
      <c r="O3026" t="str">
        <f t="shared" si="1240"/>
        <v>MYR</v>
      </c>
      <c r="P3026" t="str">
        <f t="shared" si="1235"/>
        <v>NIL</v>
      </c>
      <c r="Q3026" t="str">
        <f t="shared" si="1235"/>
        <v>NIL</v>
      </c>
      <c r="R3026" t="str">
        <f t="shared" si="1241"/>
        <v>Accepted</v>
      </c>
      <c r="S3026" t="str">
        <f t="shared" si="1242"/>
        <v>Approved</v>
      </c>
      <c r="T3026" t="str">
        <f t="shared" si="1243"/>
        <v>10.20.8.188</v>
      </c>
      <c r="U3026" t="str">
        <f t="shared" si="1244"/>
        <v>AZRAD UMAR BIN SHAARI</v>
      </c>
      <c r="V3026" t="str">
        <f t="shared" si="1245"/>
        <v>FARHANA BINTI MUSTAPA</v>
      </c>
      <c r="W3026" t="str">
        <f t="shared" si="1246"/>
        <v>04-08-2020</v>
      </c>
      <c r="X3026" t="str">
        <f t="shared" si="1247"/>
        <v>RAZIMAH ANSAR AHMAD</v>
      </c>
      <c r="Y3026" t="str">
        <f t="shared" si="1248"/>
        <v>04-08-2020</v>
      </c>
      <c r="Z3026" t="str">
        <f>"COS10200804 6128"</f>
        <v>COS10200804 6128</v>
      </c>
    </row>
    <row r="3027" spans="1:26" x14ac:dyDescent="0.25">
      <c r="A3027" t="str">
        <f t="shared" si="1249"/>
        <v>04-08-2020 12:58:57</v>
      </c>
      <c r="B3027" t="str">
        <f>"0000807918"</f>
        <v>0000807918</v>
      </c>
      <c r="C3027" t="str">
        <f t="shared" si="1250"/>
        <v>0000807791</v>
      </c>
      <c r="D3027" t="str">
        <f t="shared" si="1236"/>
        <v>73185</v>
      </c>
      <c r="E3027" t="str">
        <f t="shared" si="1237"/>
        <v>KFH-OPERATIONS DEPARTMENT</v>
      </c>
      <c r="F3027" t="str">
        <f t="shared" si="1238"/>
        <v>IBG</v>
      </c>
      <c r="G3027" t="str">
        <f t="shared" si="1251"/>
        <v>Refund COSHARE 10</v>
      </c>
      <c r="H3027" s="2">
        <v>344.8</v>
      </c>
      <c r="I3027" t="str">
        <f>"NASROLLAH BIN MOHAMAD"</f>
        <v>NASROLLAH BIN MOHAMAD</v>
      </c>
      <c r="J3027" t="str">
        <f t="shared" si="1252"/>
        <v>MAYBANK / MAYBANK ISLAMIC</v>
      </c>
      <c r="K3027" t="str">
        <f>"162030601965"</f>
        <v>162030601965</v>
      </c>
      <c r="L3027" t="str">
        <f t="shared" ref="L3027:M3046" si="1253">"04-08-2020"</f>
        <v>04-08-2020</v>
      </c>
      <c r="M3027" t="str">
        <f t="shared" si="1253"/>
        <v>04-08-2020</v>
      </c>
      <c r="N3027" t="str">
        <f t="shared" si="1239"/>
        <v>001105018356</v>
      </c>
      <c r="O3027" t="str">
        <f t="shared" si="1240"/>
        <v>MYR</v>
      </c>
      <c r="P3027" t="str">
        <f t="shared" ref="P3027:Q3046" si="1254">"NIL"</f>
        <v>NIL</v>
      </c>
      <c r="Q3027" t="str">
        <f t="shared" si="1254"/>
        <v>NIL</v>
      </c>
      <c r="R3027" t="str">
        <f t="shared" si="1241"/>
        <v>Accepted</v>
      </c>
      <c r="S3027" t="str">
        <f t="shared" si="1242"/>
        <v>Approved</v>
      </c>
      <c r="T3027" t="str">
        <f t="shared" si="1243"/>
        <v>10.20.8.188</v>
      </c>
      <c r="U3027" t="str">
        <f t="shared" si="1244"/>
        <v>AZRAD UMAR BIN SHAARI</v>
      </c>
      <c r="V3027" t="str">
        <f t="shared" si="1245"/>
        <v>FARHANA BINTI MUSTAPA</v>
      </c>
      <c r="W3027" t="str">
        <f t="shared" si="1246"/>
        <v>04-08-2020</v>
      </c>
      <c r="X3027" t="str">
        <f t="shared" si="1247"/>
        <v>RAZIMAH ANSAR AHMAD</v>
      </c>
      <c r="Y3027" t="str">
        <f t="shared" si="1248"/>
        <v>04-08-2020</v>
      </c>
      <c r="Z3027" t="str">
        <f>"COS10200804 6127"</f>
        <v>COS10200804 6127</v>
      </c>
    </row>
    <row r="3028" spans="1:26" x14ac:dyDescent="0.25">
      <c r="A3028" t="str">
        <f t="shared" si="1249"/>
        <v>04-08-2020 12:58:57</v>
      </c>
      <c r="B3028" t="str">
        <f>"0000807917"</f>
        <v>0000807917</v>
      </c>
      <c r="C3028" t="str">
        <f t="shared" si="1250"/>
        <v>0000807791</v>
      </c>
      <c r="D3028" t="str">
        <f t="shared" si="1236"/>
        <v>73185</v>
      </c>
      <c r="E3028" t="str">
        <f t="shared" si="1237"/>
        <v>KFH-OPERATIONS DEPARTMENT</v>
      </c>
      <c r="F3028" t="str">
        <f t="shared" si="1238"/>
        <v>IBG</v>
      </c>
      <c r="G3028" t="str">
        <f t="shared" si="1251"/>
        <v>Refund COSHARE 10</v>
      </c>
      <c r="H3028" s="2">
        <v>592</v>
      </c>
      <c r="I3028" t="str">
        <f>"NASRIMAN BIN ABDUL NASIR"</f>
        <v>NASRIMAN BIN ABDUL NASIR</v>
      </c>
      <c r="J3028" t="str">
        <f t="shared" si="1252"/>
        <v>MAYBANK / MAYBANK ISLAMIC</v>
      </c>
      <c r="K3028" t="str">
        <f>"161051400174"</f>
        <v>161051400174</v>
      </c>
      <c r="L3028" t="str">
        <f t="shared" si="1253"/>
        <v>04-08-2020</v>
      </c>
      <c r="M3028" t="str">
        <f t="shared" si="1253"/>
        <v>04-08-2020</v>
      </c>
      <c r="N3028" t="str">
        <f t="shared" si="1239"/>
        <v>001105018356</v>
      </c>
      <c r="O3028" t="str">
        <f t="shared" si="1240"/>
        <v>MYR</v>
      </c>
      <c r="P3028" t="str">
        <f t="shared" si="1254"/>
        <v>NIL</v>
      </c>
      <c r="Q3028" t="str">
        <f t="shared" si="1254"/>
        <v>NIL</v>
      </c>
      <c r="R3028" t="str">
        <f t="shared" si="1241"/>
        <v>Accepted</v>
      </c>
      <c r="S3028" t="str">
        <f t="shared" si="1242"/>
        <v>Approved</v>
      </c>
      <c r="T3028" t="str">
        <f t="shared" si="1243"/>
        <v>10.20.8.188</v>
      </c>
      <c r="U3028" t="str">
        <f t="shared" si="1244"/>
        <v>AZRAD UMAR BIN SHAARI</v>
      </c>
      <c r="V3028" t="str">
        <f t="shared" si="1245"/>
        <v>FARHANA BINTI MUSTAPA</v>
      </c>
      <c r="W3028" t="str">
        <f t="shared" si="1246"/>
        <v>04-08-2020</v>
      </c>
      <c r="X3028" t="str">
        <f t="shared" si="1247"/>
        <v>RAZIMAH ANSAR AHMAD</v>
      </c>
      <c r="Y3028" t="str">
        <f t="shared" si="1248"/>
        <v>04-08-2020</v>
      </c>
      <c r="Z3028" t="str">
        <f>"COS10200804 6126"</f>
        <v>COS10200804 6126</v>
      </c>
    </row>
    <row r="3029" spans="1:26" x14ac:dyDescent="0.25">
      <c r="A3029" t="str">
        <f t="shared" si="1249"/>
        <v>04-08-2020 12:58:57</v>
      </c>
      <c r="B3029" t="str">
        <f>"0000807916"</f>
        <v>0000807916</v>
      </c>
      <c r="C3029" t="str">
        <f t="shared" si="1250"/>
        <v>0000807791</v>
      </c>
      <c r="D3029" t="str">
        <f t="shared" si="1236"/>
        <v>73185</v>
      </c>
      <c r="E3029" t="str">
        <f t="shared" si="1237"/>
        <v>KFH-OPERATIONS DEPARTMENT</v>
      </c>
      <c r="F3029" t="str">
        <f t="shared" si="1238"/>
        <v>IBG</v>
      </c>
      <c r="G3029" t="str">
        <f t="shared" si="1251"/>
        <v>Refund COSHARE 10</v>
      </c>
      <c r="H3029" s="2">
        <v>86.2</v>
      </c>
      <c r="I3029" t="str">
        <f>"NASRI BIN ABDUL GHANI"</f>
        <v>NASRI BIN ABDUL GHANI</v>
      </c>
      <c r="J3029" t="str">
        <f t="shared" si="1252"/>
        <v>MAYBANK / MAYBANK ISLAMIC</v>
      </c>
      <c r="K3029" t="str">
        <f>"101262050533"</f>
        <v>101262050533</v>
      </c>
      <c r="L3029" t="str">
        <f t="shared" si="1253"/>
        <v>04-08-2020</v>
      </c>
      <c r="M3029" t="str">
        <f t="shared" si="1253"/>
        <v>04-08-2020</v>
      </c>
      <c r="N3029" t="str">
        <f t="shared" si="1239"/>
        <v>001105018356</v>
      </c>
      <c r="O3029" t="str">
        <f t="shared" si="1240"/>
        <v>MYR</v>
      </c>
      <c r="P3029" t="str">
        <f t="shared" si="1254"/>
        <v>NIL</v>
      </c>
      <c r="Q3029" t="str">
        <f t="shared" si="1254"/>
        <v>NIL</v>
      </c>
      <c r="R3029" t="str">
        <f t="shared" si="1241"/>
        <v>Accepted</v>
      </c>
      <c r="S3029" t="str">
        <f t="shared" si="1242"/>
        <v>Approved</v>
      </c>
      <c r="T3029" t="str">
        <f t="shared" si="1243"/>
        <v>10.20.8.188</v>
      </c>
      <c r="U3029" t="str">
        <f t="shared" si="1244"/>
        <v>AZRAD UMAR BIN SHAARI</v>
      </c>
      <c r="V3029" t="str">
        <f t="shared" si="1245"/>
        <v>FARHANA BINTI MUSTAPA</v>
      </c>
      <c r="W3029" t="str">
        <f t="shared" si="1246"/>
        <v>04-08-2020</v>
      </c>
      <c r="X3029" t="str">
        <f t="shared" si="1247"/>
        <v>RAZIMAH ANSAR AHMAD</v>
      </c>
      <c r="Y3029" t="str">
        <f t="shared" si="1248"/>
        <v>04-08-2020</v>
      </c>
      <c r="Z3029" t="str">
        <f>"COS10200804 6125"</f>
        <v>COS10200804 6125</v>
      </c>
    </row>
    <row r="3030" spans="1:26" x14ac:dyDescent="0.25">
      <c r="A3030" t="str">
        <f t="shared" si="1249"/>
        <v>04-08-2020 12:58:57</v>
      </c>
      <c r="B3030" t="str">
        <f>"0000807915"</f>
        <v>0000807915</v>
      </c>
      <c r="C3030" t="str">
        <f t="shared" si="1250"/>
        <v>0000807791</v>
      </c>
      <c r="D3030" t="str">
        <f t="shared" si="1236"/>
        <v>73185</v>
      </c>
      <c r="E3030" t="str">
        <f t="shared" si="1237"/>
        <v>KFH-OPERATIONS DEPARTMENT</v>
      </c>
      <c r="F3030" t="str">
        <f t="shared" si="1238"/>
        <v>IBG</v>
      </c>
      <c r="G3030" t="str">
        <f t="shared" si="1251"/>
        <v>Refund COSHARE 10</v>
      </c>
      <c r="H3030" s="2">
        <v>392.95</v>
      </c>
      <c r="I3030" t="str">
        <f>"NASHARUDDIN BIN ABU BAKAR"</f>
        <v>NASHARUDDIN BIN ABU BAKAR</v>
      </c>
      <c r="J3030" t="str">
        <f t="shared" si="1252"/>
        <v>MAYBANK / MAYBANK ISLAMIC</v>
      </c>
      <c r="K3030" t="str">
        <f>"166010002744"</f>
        <v>166010002744</v>
      </c>
      <c r="L3030" t="str">
        <f t="shared" si="1253"/>
        <v>04-08-2020</v>
      </c>
      <c r="M3030" t="str">
        <f t="shared" si="1253"/>
        <v>04-08-2020</v>
      </c>
      <c r="N3030" t="str">
        <f t="shared" si="1239"/>
        <v>001105018356</v>
      </c>
      <c r="O3030" t="str">
        <f t="shared" si="1240"/>
        <v>MYR</v>
      </c>
      <c r="P3030" t="str">
        <f t="shared" si="1254"/>
        <v>NIL</v>
      </c>
      <c r="Q3030" t="str">
        <f t="shared" si="1254"/>
        <v>NIL</v>
      </c>
      <c r="R3030" t="str">
        <f t="shared" si="1241"/>
        <v>Accepted</v>
      </c>
      <c r="S3030" t="str">
        <f t="shared" si="1242"/>
        <v>Approved</v>
      </c>
      <c r="T3030" t="str">
        <f t="shared" si="1243"/>
        <v>10.20.8.188</v>
      </c>
      <c r="U3030" t="str">
        <f t="shared" si="1244"/>
        <v>AZRAD UMAR BIN SHAARI</v>
      </c>
      <c r="V3030" t="str">
        <f t="shared" si="1245"/>
        <v>FARHANA BINTI MUSTAPA</v>
      </c>
      <c r="W3030" t="str">
        <f t="shared" si="1246"/>
        <v>04-08-2020</v>
      </c>
      <c r="X3030" t="str">
        <f t="shared" si="1247"/>
        <v>RAZIMAH ANSAR AHMAD</v>
      </c>
      <c r="Y3030" t="str">
        <f t="shared" si="1248"/>
        <v>04-08-2020</v>
      </c>
      <c r="Z3030" t="str">
        <f>"COS10200804 6124"</f>
        <v>COS10200804 6124</v>
      </c>
    </row>
    <row r="3031" spans="1:26" x14ac:dyDescent="0.25">
      <c r="A3031" t="str">
        <f t="shared" si="1249"/>
        <v>04-08-2020 12:58:57</v>
      </c>
      <c r="B3031" t="str">
        <f>"0000807914"</f>
        <v>0000807914</v>
      </c>
      <c r="C3031" t="str">
        <f t="shared" si="1250"/>
        <v>0000807791</v>
      </c>
      <c r="D3031" t="str">
        <f t="shared" si="1236"/>
        <v>73185</v>
      </c>
      <c r="E3031" t="str">
        <f t="shared" si="1237"/>
        <v>KFH-OPERATIONS DEPARTMENT</v>
      </c>
      <c r="F3031" t="str">
        <f t="shared" si="1238"/>
        <v>IBG</v>
      </c>
      <c r="G3031" t="str">
        <f t="shared" si="1251"/>
        <v>Refund COSHARE 10</v>
      </c>
      <c r="H3031" s="2">
        <v>511.65</v>
      </c>
      <c r="I3031" t="str">
        <f>"NASARUDIN BIN ABU BAKAR"</f>
        <v>NASARUDIN BIN ABU BAKAR</v>
      </c>
      <c r="J3031" t="str">
        <f t="shared" si="1252"/>
        <v>MAYBANK / MAYBANK ISLAMIC</v>
      </c>
      <c r="K3031" t="str">
        <f>"163037051080"</f>
        <v>163037051080</v>
      </c>
      <c r="L3031" t="str">
        <f t="shared" si="1253"/>
        <v>04-08-2020</v>
      </c>
      <c r="M3031" t="str">
        <f t="shared" si="1253"/>
        <v>04-08-2020</v>
      </c>
      <c r="N3031" t="str">
        <f t="shared" si="1239"/>
        <v>001105018356</v>
      </c>
      <c r="O3031" t="str">
        <f t="shared" si="1240"/>
        <v>MYR</v>
      </c>
      <c r="P3031" t="str">
        <f t="shared" si="1254"/>
        <v>NIL</v>
      </c>
      <c r="Q3031" t="str">
        <f t="shared" si="1254"/>
        <v>NIL</v>
      </c>
      <c r="R3031" t="str">
        <f t="shared" si="1241"/>
        <v>Accepted</v>
      </c>
      <c r="S3031" t="str">
        <f t="shared" si="1242"/>
        <v>Approved</v>
      </c>
      <c r="T3031" t="str">
        <f t="shared" si="1243"/>
        <v>10.20.8.188</v>
      </c>
      <c r="U3031" t="str">
        <f t="shared" si="1244"/>
        <v>AZRAD UMAR BIN SHAARI</v>
      </c>
      <c r="V3031" t="str">
        <f t="shared" si="1245"/>
        <v>FARHANA BINTI MUSTAPA</v>
      </c>
      <c r="W3031" t="str">
        <f t="shared" si="1246"/>
        <v>04-08-2020</v>
      </c>
      <c r="X3031" t="str">
        <f t="shared" si="1247"/>
        <v>RAZIMAH ANSAR AHMAD</v>
      </c>
      <c r="Y3031" t="str">
        <f t="shared" si="1248"/>
        <v>04-08-2020</v>
      </c>
      <c r="Z3031" t="str">
        <f>"COS10200804 6123"</f>
        <v>COS10200804 6123</v>
      </c>
    </row>
    <row r="3032" spans="1:26" x14ac:dyDescent="0.25">
      <c r="A3032" t="str">
        <f t="shared" si="1249"/>
        <v>04-08-2020 12:58:57</v>
      </c>
      <c r="B3032" t="str">
        <f>"0000807913"</f>
        <v>0000807913</v>
      </c>
      <c r="C3032" t="str">
        <f t="shared" si="1250"/>
        <v>0000807791</v>
      </c>
      <c r="D3032" t="str">
        <f t="shared" si="1236"/>
        <v>73185</v>
      </c>
      <c r="E3032" t="str">
        <f t="shared" si="1237"/>
        <v>KFH-OPERATIONS DEPARTMENT</v>
      </c>
      <c r="F3032" t="str">
        <f t="shared" si="1238"/>
        <v>IBG</v>
      </c>
      <c r="G3032" t="str">
        <f t="shared" si="1251"/>
        <v>Refund COSHARE 10</v>
      </c>
      <c r="H3032" s="2">
        <v>889.9</v>
      </c>
      <c r="I3032" t="str">
        <f>"NARIZAN BINTI SALEH"</f>
        <v>NARIZAN BINTI SALEH</v>
      </c>
      <c r="J3032" t="str">
        <f t="shared" si="1252"/>
        <v>MAYBANK / MAYBANK ISLAMIC</v>
      </c>
      <c r="K3032" t="str">
        <f>"162236570709"</f>
        <v>162236570709</v>
      </c>
      <c r="L3032" t="str">
        <f t="shared" si="1253"/>
        <v>04-08-2020</v>
      </c>
      <c r="M3032" t="str">
        <f t="shared" si="1253"/>
        <v>04-08-2020</v>
      </c>
      <c r="N3032" t="str">
        <f t="shared" si="1239"/>
        <v>001105018356</v>
      </c>
      <c r="O3032" t="str">
        <f t="shared" si="1240"/>
        <v>MYR</v>
      </c>
      <c r="P3032" t="str">
        <f t="shared" si="1254"/>
        <v>NIL</v>
      </c>
      <c r="Q3032" t="str">
        <f t="shared" si="1254"/>
        <v>NIL</v>
      </c>
      <c r="R3032" t="str">
        <f t="shared" si="1241"/>
        <v>Accepted</v>
      </c>
      <c r="S3032" t="str">
        <f t="shared" si="1242"/>
        <v>Approved</v>
      </c>
      <c r="T3032" t="str">
        <f t="shared" si="1243"/>
        <v>10.20.8.188</v>
      </c>
      <c r="U3032" t="str">
        <f t="shared" si="1244"/>
        <v>AZRAD UMAR BIN SHAARI</v>
      </c>
      <c r="V3032" t="str">
        <f t="shared" si="1245"/>
        <v>FARHANA BINTI MUSTAPA</v>
      </c>
      <c r="W3032" t="str">
        <f t="shared" si="1246"/>
        <v>04-08-2020</v>
      </c>
      <c r="X3032" t="str">
        <f t="shared" si="1247"/>
        <v>RAZIMAH ANSAR AHMAD</v>
      </c>
      <c r="Y3032" t="str">
        <f t="shared" si="1248"/>
        <v>04-08-2020</v>
      </c>
      <c r="Z3032" t="str">
        <f>"COS10200804 6122"</f>
        <v>COS10200804 6122</v>
      </c>
    </row>
    <row r="3033" spans="1:26" x14ac:dyDescent="0.25">
      <c r="A3033" t="str">
        <f t="shared" si="1249"/>
        <v>04-08-2020 12:58:57</v>
      </c>
      <c r="B3033" t="str">
        <f>"0000807912"</f>
        <v>0000807912</v>
      </c>
      <c r="C3033" t="str">
        <f t="shared" si="1250"/>
        <v>0000807791</v>
      </c>
      <c r="D3033" t="str">
        <f t="shared" si="1236"/>
        <v>73185</v>
      </c>
      <c r="E3033" t="str">
        <f t="shared" si="1237"/>
        <v>KFH-OPERATIONS DEPARTMENT</v>
      </c>
      <c r="F3033" t="str">
        <f t="shared" si="1238"/>
        <v>IBG</v>
      </c>
      <c r="G3033" t="str">
        <f t="shared" si="1251"/>
        <v>Refund COSHARE 10</v>
      </c>
      <c r="H3033" s="2">
        <v>209.9</v>
      </c>
      <c r="I3033" t="str">
        <f>"NARISMASHAHRA BINTI ISMAIL"</f>
        <v>NARISMASHAHRA BINTI ISMAIL</v>
      </c>
      <c r="J3033" t="str">
        <f t="shared" si="1252"/>
        <v>MAYBANK / MAYBANK ISLAMIC</v>
      </c>
      <c r="K3033" t="str">
        <f>"112745031649"</f>
        <v>112745031649</v>
      </c>
      <c r="L3033" t="str">
        <f t="shared" si="1253"/>
        <v>04-08-2020</v>
      </c>
      <c r="M3033" t="str">
        <f t="shared" si="1253"/>
        <v>04-08-2020</v>
      </c>
      <c r="N3033" t="str">
        <f t="shared" si="1239"/>
        <v>001105018356</v>
      </c>
      <c r="O3033" t="str">
        <f t="shared" si="1240"/>
        <v>MYR</v>
      </c>
      <c r="P3033" t="str">
        <f t="shared" si="1254"/>
        <v>NIL</v>
      </c>
      <c r="Q3033" t="str">
        <f t="shared" si="1254"/>
        <v>NIL</v>
      </c>
      <c r="R3033" t="str">
        <f t="shared" si="1241"/>
        <v>Accepted</v>
      </c>
      <c r="S3033" t="str">
        <f t="shared" si="1242"/>
        <v>Approved</v>
      </c>
      <c r="T3033" t="str">
        <f t="shared" si="1243"/>
        <v>10.20.8.188</v>
      </c>
      <c r="U3033" t="str">
        <f t="shared" si="1244"/>
        <v>AZRAD UMAR BIN SHAARI</v>
      </c>
      <c r="V3033" t="str">
        <f t="shared" si="1245"/>
        <v>FARHANA BINTI MUSTAPA</v>
      </c>
      <c r="W3033" t="str">
        <f t="shared" si="1246"/>
        <v>04-08-2020</v>
      </c>
      <c r="X3033" t="str">
        <f t="shared" si="1247"/>
        <v>RAZIMAH ANSAR AHMAD</v>
      </c>
      <c r="Y3033" t="str">
        <f t="shared" si="1248"/>
        <v>04-08-2020</v>
      </c>
      <c r="Z3033" t="str">
        <f>"COS10200804 6121"</f>
        <v>COS10200804 6121</v>
      </c>
    </row>
    <row r="3034" spans="1:26" x14ac:dyDescent="0.25">
      <c r="A3034" t="str">
        <f t="shared" si="1249"/>
        <v>04-08-2020 12:58:57</v>
      </c>
      <c r="B3034" t="str">
        <f>"0000807911"</f>
        <v>0000807911</v>
      </c>
      <c r="C3034" t="str">
        <f t="shared" si="1250"/>
        <v>0000807791</v>
      </c>
      <c r="D3034" t="str">
        <f t="shared" si="1236"/>
        <v>73185</v>
      </c>
      <c r="E3034" t="str">
        <f t="shared" si="1237"/>
        <v>KFH-OPERATIONS DEPARTMENT</v>
      </c>
      <c r="F3034" t="str">
        <f t="shared" si="1238"/>
        <v>IBG</v>
      </c>
      <c r="G3034" t="str">
        <f t="shared" si="1251"/>
        <v>Refund COSHARE 10</v>
      </c>
      <c r="H3034" s="2">
        <v>61.4</v>
      </c>
      <c r="I3034" t="str">
        <f>"NARINA JAN BINTI MUSTAFA KAMAL"</f>
        <v>NARINA JAN BINTI MUSTAFA KAMAL</v>
      </c>
      <c r="J3034" t="str">
        <f t="shared" si="1252"/>
        <v>MAYBANK / MAYBANK ISLAMIC</v>
      </c>
      <c r="K3034" t="str">
        <f>"156169111098"</f>
        <v>156169111098</v>
      </c>
      <c r="L3034" t="str">
        <f t="shared" si="1253"/>
        <v>04-08-2020</v>
      </c>
      <c r="M3034" t="str">
        <f t="shared" si="1253"/>
        <v>04-08-2020</v>
      </c>
      <c r="N3034" t="str">
        <f t="shared" si="1239"/>
        <v>001105018356</v>
      </c>
      <c r="O3034" t="str">
        <f t="shared" si="1240"/>
        <v>MYR</v>
      </c>
      <c r="P3034" t="str">
        <f t="shared" si="1254"/>
        <v>NIL</v>
      </c>
      <c r="Q3034" t="str">
        <f t="shared" si="1254"/>
        <v>NIL</v>
      </c>
      <c r="R3034" t="str">
        <f t="shared" si="1241"/>
        <v>Accepted</v>
      </c>
      <c r="S3034" t="str">
        <f t="shared" si="1242"/>
        <v>Approved</v>
      </c>
      <c r="T3034" t="str">
        <f t="shared" si="1243"/>
        <v>10.20.8.188</v>
      </c>
      <c r="U3034" t="str">
        <f t="shared" si="1244"/>
        <v>AZRAD UMAR BIN SHAARI</v>
      </c>
      <c r="V3034" t="str">
        <f t="shared" si="1245"/>
        <v>FARHANA BINTI MUSTAPA</v>
      </c>
      <c r="W3034" t="str">
        <f t="shared" si="1246"/>
        <v>04-08-2020</v>
      </c>
      <c r="X3034" t="str">
        <f t="shared" si="1247"/>
        <v>RAZIMAH ANSAR AHMAD</v>
      </c>
      <c r="Y3034" t="str">
        <f t="shared" si="1248"/>
        <v>04-08-2020</v>
      </c>
      <c r="Z3034" t="str">
        <f>"COS10200804 6120"</f>
        <v>COS10200804 6120</v>
      </c>
    </row>
    <row r="3035" spans="1:26" x14ac:dyDescent="0.25">
      <c r="A3035" t="str">
        <f t="shared" si="1249"/>
        <v>04-08-2020 12:58:57</v>
      </c>
      <c r="B3035" t="str">
        <f>"0000807910"</f>
        <v>0000807910</v>
      </c>
      <c r="C3035" t="str">
        <f t="shared" si="1250"/>
        <v>0000807791</v>
      </c>
      <c r="D3035" t="str">
        <f t="shared" si="1236"/>
        <v>73185</v>
      </c>
      <c r="E3035" t="str">
        <f t="shared" si="1237"/>
        <v>KFH-OPERATIONS DEPARTMENT</v>
      </c>
      <c r="F3035" t="str">
        <f t="shared" si="1238"/>
        <v>IBG</v>
      </c>
      <c r="G3035" t="str">
        <f t="shared" si="1251"/>
        <v>Refund COSHARE 10</v>
      </c>
      <c r="H3035" s="2">
        <v>419.75</v>
      </c>
      <c r="I3035" t="str">
        <f>"NANG THERN CHEI AP NAI CHEEP"</f>
        <v>NANG THERN CHEI AP NAI CHEEP</v>
      </c>
      <c r="J3035" t="str">
        <f t="shared" si="1252"/>
        <v>MAYBANK / MAYBANK ISLAMIC</v>
      </c>
      <c r="K3035" t="str">
        <f>"157175113298"</f>
        <v>157175113298</v>
      </c>
      <c r="L3035" t="str">
        <f t="shared" si="1253"/>
        <v>04-08-2020</v>
      </c>
      <c r="M3035" t="str">
        <f t="shared" si="1253"/>
        <v>04-08-2020</v>
      </c>
      <c r="N3035" t="str">
        <f t="shared" si="1239"/>
        <v>001105018356</v>
      </c>
      <c r="O3035" t="str">
        <f t="shared" si="1240"/>
        <v>MYR</v>
      </c>
      <c r="P3035" t="str">
        <f t="shared" si="1254"/>
        <v>NIL</v>
      </c>
      <c r="Q3035" t="str">
        <f t="shared" si="1254"/>
        <v>NIL</v>
      </c>
      <c r="R3035" t="str">
        <f t="shared" si="1241"/>
        <v>Accepted</v>
      </c>
      <c r="S3035" t="str">
        <f t="shared" si="1242"/>
        <v>Approved</v>
      </c>
      <c r="T3035" t="str">
        <f t="shared" si="1243"/>
        <v>10.20.8.188</v>
      </c>
      <c r="U3035" t="str">
        <f t="shared" si="1244"/>
        <v>AZRAD UMAR BIN SHAARI</v>
      </c>
      <c r="V3035" t="str">
        <f t="shared" si="1245"/>
        <v>FARHANA BINTI MUSTAPA</v>
      </c>
      <c r="W3035" t="str">
        <f t="shared" si="1246"/>
        <v>04-08-2020</v>
      </c>
      <c r="X3035" t="str">
        <f t="shared" si="1247"/>
        <v>RAZIMAH ANSAR AHMAD</v>
      </c>
      <c r="Y3035" t="str">
        <f t="shared" si="1248"/>
        <v>04-08-2020</v>
      </c>
      <c r="Z3035" t="str">
        <f>"COS10200804 6119"</f>
        <v>COS10200804 6119</v>
      </c>
    </row>
    <row r="3036" spans="1:26" x14ac:dyDescent="0.25">
      <c r="A3036" t="str">
        <f t="shared" si="1249"/>
        <v>04-08-2020 12:58:57</v>
      </c>
      <c r="B3036" t="str">
        <f>"0000807909"</f>
        <v>0000807909</v>
      </c>
      <c r="C3036" t="str">
        <f t="shared" si="1250"/>
        <v>0000807791</v>
      </c>
      <c r="D3036" t="str">
        <f t="shared" si="1236"/>
        <v>73185</v>
      </c>
      <c r="E3036" t="str">
        <f t="shared" si="1237"/>
        <v>KFH-OPERATIONS DEPARTMENT</v>
      </c>
      <c r="F3036" t="str">
        <f t="shared" si="1238"/>
        <v>IBG</v>
      </c>
      <c r="G3036" t="str">
        <f t="shared" si="1251"/>
        <v>Refund COSHARE 10</v>
      </c>
      <c r="H3036" s="2">
        <v>119</v>
      </c>
      <c r="I3036" t="str">
        <f>"NAJIHAH BINTI SAID"</f>
        <v>NAJIHAH BINTI SAID</v>
      </c>
      <c r="J3036" t="str">
        <f t="shared" si="1252"/>
        <v>MAYBANK / MAYBANK ISLAMIC</v>
      </c>
      <c r="K3036" t="str">
        <f>"109018032147"</f>
        <v>109018032147</v>
      </c>
      <c r="L3036" t="str">
        <f t="shared" si="1253"/>
        <v>04-08-2020</v>
      </c>
      <c r="M3036" t="str">
        <f t="shared" si="1253"/>
        <v>04-08-2020</v>
      </c>
      <c r="N3036" t="str">
        <f t="shared" si="1239"/>
        <v>001105018356</v>
      </c>
      <c r="O3036" t="str">
        <f t="shared" si="1240"/>
        <v>MYR</v>
      </c>
      <c r="P3036" t="str">
        <f t="shared" si="1254"/>
        <v>NIL</v>
      </c>
      <c r="Q3036" t="str">
        <f t="shared" si="1254"/>
        <v>NIL</v>
      </c>
      <c r="R3036" t="str">
        <f t="shared" si="1241"/>
        <v>Accepted</v>
      </c>
      <c r="S3036" t="str">
        <f t="shared" si="1242"/>
        <v>Approved</v>
      </c>
      <c r="T3036" t="str">
        <f t="shared" si="1243"/>
        <v>10.20.8.188</v>
      </c>
      <c r="U3036" t="str">
        <f t="shared" si="1244"/>
        <v>AZRAD UMAR BIN SHAARI</v>
      </c>
      <c r="V3036" t="str">
        <f t="shared" si="1245"/>
        <v>FARHANA BINTI MUSTAPA</v>
      </c>
      <c r="W3036" t="str">
        <f t="shared" si="1246"/>
        <v>04-08-2020</v>
      </c>
      <c r="X3036" t="str">
        <f t="shared" si="1247"/>
        <v>RAZIMAH ANSAR AHMAD</v>
      </c>
      <c r="Y3036" t="str">
        <f t="shared" si="1248"/>
        <v>04-08-2020</v>
      </c>
      <c r="Z3036" t="str">
        <f>"COS10200804 6118"</f>
        <v>COS10200804 6118</v>
      </c>
    </row>
    <row r="3037" spans="1:26" x14ac:dyDescent="0.25">
      <c r="A3037" t="str">
        <f t="shared" si="1249"/>
        <v>04-08-2020 12:58:57</v>
      </c>
      <c r="B3037" t="str">
        <f>"0000807908"</f>
        <v>0000807908</v>
      </c>
      <c r="C3037" t="str">
        <f t="shared" si="1250"/>
        <v>0000807791</v>
      </c>
      <c r="D3037" t="str">
        <f t="shared" si="1236"/>
        <v>73185</v>
      </c>
      <c r="E3037" t="str">
        <f t="shared" si="1237"/>
        <v>KFH-OPERATIONS DEPARTMENT</v>
      </c>
      <c r="F3037" t="str">
        <f t="shared" si="1238"/>
        <v>IBG</v>
      </c>
      <c r="G3037" t="str">
        <f t="shared" si="1251"/>
        <v>Refund COSHARE 10</v>
      </c>
      <c r="H3037" s="2">
        <v>587.65</v>
      </c>
      <c r="I3037" t="str">
        <f>"NAJIB BIN ABDULLAH"</f>
        <v>NAJIB BIN ABDULLAH</v>
      </c>
      <c r="J3037" t="str">
        <f t="shared" si="1252"/>
        <v>MAYBANK / MAYBANK ISLAMIC</v>
      </c>
      <c r="K3037" t="str">
        <f>"112205063821"</f>
        <v>112205063821</v>
      </c>
      <c r="L3037" t="str">
        <f t="shared" si="1253"/>
        <v>04-08-2020</v>
      </c>
      <c r="M3037" t="str">
        <f t="shared" si="1253"/>
        <v>04-08-2020</v>
      </c>
      <c r="N3037" t="str">
        <f t="shared" si="1239"/>
        <v>001105018356</v>
      </c>
      <c r="O3037" t="str">
        <f t="shared" si="1240"/>
        <v>MYR</v>
      </c>
      <c r="P3037" t="str">
        <f t="shared" si="1254"/>
        <v>NIL</v>
      </c>
      <c r="Q3037" t="str">
        <f t="shared" si="1254"/>
        <v>NIL</v>
      </c>
      <c r="R3037" t="str">
        <f t="shared" si="1241"/>
        <v>Accepted</v>
      </c>
      <c r="S3037" t="str">
        <f t="shared" si="1242"/>
        <v>Approved</v>
      </c>
      <c r="T3037" t="str">
        <f t="shared" si="1243"/>
        <v>10.20.8.188</v>
      </c>
      <c r="U3037" t="str">
        <f t="shared" si="1244"/>
        <v>AZRAD UMAR BIN SHAARI</v>
      </c>
      <c r="V3037" t="str">
        <f t="shared" si="1245"/>
        <v>FARHANA BINTI MUSTAPA</v>
      </c>
      <c r="W3037" t="str">
        <f t="shared" si="1246"/>
        <v>04-08-2020</v>
      </c>
      <c r="X3037" t="str">
        <f t="shared" si="1247"/>
        <v>RAZIMAH ANSAR AHMAD</v>
      </c>
      <c r="Y3037" t="str">
        <f t="shared" si="1248"/>
        <v>04-08-2020</v>
      </c>
      <c r="Z3037" t="str">
        <f>"COS10200804 6117"</f>
        <v>COS10200804 6117</v>
      </c>
    </row>
    <row r="3038" spans="1:26" x14ac:dyDescent="0.25">
      <c r="A3038" t="str">
        <f t="shared" si="1249"/>
        <v>04-08-2020 12:58:57</v>
      </c>
      <c r="B3038" t="str">
        <f>"0000807907"</f>
        <v>0000807907</v>
      </c>
      <c r="C3038" t="str">
        <f t="shared" si="1250"/>
        <v>0000807791</v>
      </c>
      <c r="D3038" t="str">
        <f t="shared" si="1236"/>
        <v>73185</v>
      </c>
      <c r="E3038" t="str">
        <f t="shared" si="1237"/>
        <v>KFH-OPERATIONS DEPARTMENT</v>
      </c>
      <c r="F3038" t="str">
        <f t="shared" si="1238"/>
        <v>IBG</v>
      </c>
      <c r="G3038" t="str">
        <f t="shared" si="1251"/>
        <v>Refund COSHARE 10</v>
      </c>
      <c r="H3038" s="2">
        <v>873.1</v>
      </c>
      <c r="I3038" t="str">
        <f>"NAJATUL DINI BINTI HARON"</f>
        <v>NAJATUL DINI BINTI HARON</v>
      </c>
      <c r="J3038" t="str">
        <f t="shared" si="1252"/>
        <v>MAYBANK / MAYBANK ISLAMIC</v>
      </c>
      <c r="K3038" t="str">
        <f>"152023184299"</f>
        <v>152023184299</v>
      </c>
      <c r="L3038" t="str">
        <f t="shared" si="1253"/>
        <v>04-08-2020</v>
      </c>
      <c r="M3038" t="str">
        <f t="shared" si="1253"/>
        <v>04-08-2020</v>
      </c>
      <c r="N3038" t="str">
        <f t="shared" si="1239"/>
        <v>001105018356</v>
      </c>
      <c r="O3038" t="str">
        <f t="shared" si="1240"/>
        <v>MYR</v>
      </c>
      <c r="P3038" t="str">
        <f t="shared" si="1254"/>
        <v>NIL</v>
      </c>
      <c r="Q3038" t="str">
        <f t="shared" si="1254"/>
        <v>NIL</v>
      </c>
      <c r="R3038" t="str">
        <f t="shared" si="1241"/>
        <v>Accepted</v>
      </c>
      <c r="S3038" t="str">
        <f t="shared" si="1242"/>
        <v>Approved</v>
      </c>
      <c r="T3038" t="str">
        <f t="shared" si="1243"/>
        <v>10.20.8.188</v>
      </c>
      <c r="U3038" t="str">
        <f t="shared" si="1244"/>
        <v>AZRAD UMAR BIN SHAARI</v>
      </c>
      <c r="V3038" t="str">
        <f t="shared" si="1245"/>
        <v>FARHANA BINTI MUSTAPA</v>
      </c>
      <c r="W3038" t="str">
        <f t="shared" si="1246"/>
        <v>04-08-2020</v>
      </c>
      <c r="X3038" t="str">
        <f t="shared" si="1247"/>
        <v>RAZIMAH ANSAR AHMAD</v>
      </c>
      <c r="Y3038" t="str">
        <f t="shared" si="1248"/>
        <v>04-08-2020</v>
      </c>
      <c r="Z3038" t="str">
        <f>"COS10200804 6116"</f>
        <v>COS10200804 6116</v>
      </c>
    </row>
    <row r="3039" spans="1:26" x14ac:dyDescent="0.25">
      <c r="A3039" t="str">
        <f t="shared" si="1249"/>
        <v>04-08-2020 12:58:57</v>
      </c>
      <c r="B3039" t="str">
        <f>"0000807906"</f>
        <v>0000807906</v>
      </c>
      <c r="C3039" t="str">
        <f t="shared" si="1250"/>
        <v>0000807791</v>
      </c>
      <c r="D3039" t="str">
        <f t="shared" si="1236"/>
        <v>73185</v>
      </c>
      <c r="E3039" t="str">
        <f t="shared" si="1237"/>
        <v>KFH-OPERATIONS DEPARTMENT</v>
      </c>
      <c r="F3039" t="str">
        <f t="shared" si="1238"/>
        <v>IBG</v>
      </c>
      <c r="G3039" t="str">
        <f t="shared" si="1251"/>
        <v>Refund COSHARE 10</v>
      </c>
      <c r="H3039" s="2">
        <v>1275.75</v>
      </c>
      <c r="I3039" t="str">
        <f>"NAIM BIN NGAH"</f>
        <v>NAIM BIN NGAH</v>
      </c>
      <c r="J3039" t="str">
        <f t="shared" si="1252"/>
        <v>MAYBANK / MAYBANK ISLAMIC</v>
      </c>
      <c r="K3039" t="str">
        <f>"156084812630"</f>
        <v>156084812630</v>
      </c>
      <c r="L3039" t="str">
        <f t="shared" si="1253"/>
        <v>04-08-2020</v>
      </c>
      <c r="M3039" t="str">
        <f t="shared" si="1253"/>
        <v>04-08-2020</v>
      </c>
      <c r="N3039" t="str">
        <f t="shared" si="1239"/>
        <v>001105018356</v>
      </c>
      <c r="O3039" t="str">
        <f t="shared" si="1240"/>
        <v>MYR</v>
      </c>
      <c r="P3039" t="str">
        <f t="shared" si="1254"/>
        <v>NIL</v>
      </c>
      <c r="Q3039" t="str">
        <f t="shared" si="1254"/>
        <v>NIL</v>
      </c>
      <c r="R3039" t="str">
        <f t="shared" si="1241"/>
        <v>Accepted</v>
      </c>
      <c r="S3039" t="str">
        <f t="shared" si="1242"/>
        <v>Approved</v>
      </c>
      <c r="T3039" t="str">
        <f t="shared" si="1243"/>
        <v>10.20.8.188</v>
      </c>
      <c r="U3039" t="str">
        <f t="shared" si="1244"/>
        <v>AZRAD UMAR BIN SHAARI</v>
      </c>
      <c r="V3039" t="str">
        <f t="shared" si="1245"/>
        <v>FARHANA BINTI MUSTAPA</v>
      </c>
      <c r="W3039" t="str">
        <f t="shared" si="1246"/>
        <v>04-08-2020</v>
      </c>
      <c r="X3039" t="str">
        <f t="shared" si="1247"/>
        <v>RAZIMAH ANSAR AHMAD</v>
      </c>
      <c r="Y3039" t="str">
        <f t="shared" si="1248"/>
        <v>04-08-2020</v>
      </c>
      <c r="Z3039" t="str">
        <f>"COS10200804 6115"</f>
        <v>COS10200804 6115</v>
      </c>
    </row>
    <row r="3040" spans="1:26" x14ac:dyDescent="0.25">
      <c r="A3040" t="str">
        <f t="shared" si="1249"/>
        <v>04-08-2020 12:58:57</v>
      </c>
      <c r="B3040" t="str">
        <f>"0000807905"</f>
        <v>0000807905</v>
      </c>
      <c r="C3040" t="str">
        <f t="shared" si="1250"/>
        <v>0000807791</v>
      </c>
      <c r="D3040" t="str">
        <f t="shared" si="1236"/>
        <v>73185</v>
      </c>
      <c r="E3040" t="str">
        <f t="shared" si="1237"/>
        <v>KFH-OPERATIONS DEPARTMENT</v>
      </c>
      <c r="F3040" t="str">
        <f t="shared" si="1238"/>
        <v>IBG</v>
      </c>
      <c r="G3040" t="str">
        <f t="shared" si="1251"/>
        <v>Refund COSHARE 10</v>
      </c>
      <c r="H3040" s="2">
        <v>411.35</v>
      </c>
      <c r="I3040" t="str">
        <f>"NAIIMAH BINTI SULONG"</f>
        <v>NAIIMAH BINTI SULONG</v>
      </c>
      <c r="J3040" t="str">
        <f t="shared" si="1252"/>
        <v>MAYBANK / MAYBANK ISLAMIC</v>
      </c>
      <c r="K3040" t="str">
        <f>"164397942746"</f>
        <v>164397942746</v>
      </c>
      <c r="L3040" t="str">
        <f t="shared" si="1253"/>
        <v>04-08-2020</v>
      </c>
      <c r="M3040" t="str">
        <f t="shared" si="1253"/>
        <v>04-08-2020</v>
      </c>
      <c r="N3040" t="str">
        <f t="shared" si="1239"/>
        <v>001105018356</v>
      </c>
      <c r="O3040" t="str">
        <f t="shared" si="1240"/>
        <v>MYR</v>
      </c>
      <c r="P3040" t="str">
        <f t="shared" si="1254"/>
        <v>NIL</v>
      </c>
      <c r="Q3040" t="str">
        <f t="shared" si="1254"/>
        <v>NIL</v>
      </c>
      <c r="R3040" t="str">
        <f t="shared" si="1241"/>
        <v>Accepted</v>
      </c>
      <c r="S3040" t="str">
        <f t="shared" si="1242"/>
        <v>Approved</v>
      </c>
      <c r="T3040" t="str">
        <f t="shared" si="1243"/>
        <v>10.20.8.188</v>
      </c>
      <c r="U3040" t="str">
        <f t="shared" si="1244"/>
        <v>AZRAD UMAR BIN SHAARI</v>
      </c>
      <c r="V3040" t="str">
        <f t="shared" si="1245"/>
        <v>FARHANA BINTI MUSTAPA</v>
      </c>
      <c r="W3040" t="str">
        <f t="shared" si="1246"/>
        <v>04-08-2020</v>
      </c>
      <c r="X3040" t="str">
        <f t="shared" si="1247"/>
        <v>RAZIMAH ANSAR AHMAD</v>
      </c>
      <c r="Y3040" t="str">
        <f t="shared" si="1248"/>
        <v>04-08-2020</v>
      </c>
      <c r="Z3040" t="str">
        <f>"COS10200804 6114"</f>
        <v>COS10200804 6114</v>
      </c>
    </row>
    <row r="3041" spans="1:26" x14ac:dyDescent="0.25">
      <c r="A3041" t="str">
        <f t="shared" si="1249"/>
        <v>04-08-2020 12:58:57</v>
      </c>
      <c r="B3041" t="str">
        <f>"0000807904"</f>
        <v>0000807904</v>
      </c>
      <c r="C3041" t="str">
        <f t="shared" si="1250"/>
        <v>0000807791</v>
      </c>
      <c r="D3041" t="str">
        <f t="shared" si="1236"/>
        <v>73185</v>
      </c>
      <c r="E3041" t="str">
        <f t="shared" si="1237"/>
        <v>KFH-OPERATIONS DEPARTMENT</v>
      </c>
      <c r="F3041" t="str">
        <f t="shared" si="1238"/>
        <v>IBG</v>
      </c>
      <c r="G3041" t="str">
        <f t="shared" si="1251"/>
        <v>Refund COSHARE 10</v>
      </c>
      <c r="H3041" s="2">
        <v>762.85</v>
      </c>
      <c r="I3041" t="str">
        <f>"NAGALINGAM AL JAIRAMAN"</f>
        <v>NAGALINGAM AL JAIRAMAN</v>
      </c>
      <c r="J3041" t="str">
        <f t="shared" si="1252"/>
        <v>MAYBANK / MAYBANK ISLAMIC</v>
      </c>
      <c r="K3041" t="str">
        <f>"112099626921"</f>
        <v>112099626921</v>
      </c>
      <c r="L3041" t="str">
        <f t="shared" si="1253"/>
        <v>04-08-2020</v>
      </c>
      <c r="M3041" t="str">
        <f t="shared" si="1253"/>
        <v>04-08-2020</v>
      </c>
      <c r="N3041" t="str">
        <f t="shared" si="1239"/>
        <v>001105018356</v>
      </c>
      <c r="O3041" t="str">
        <f t="shared" si="1240"/>
        <v>MYR</v>
      </c>
      <c r="P3041" t="str">
        <f t="shared" si="1254"/>
        <v>NIL</v>
      </c>
      <c r="Q3041" t="str">
        <f t="shared" si="1254"/>
        <v>NIL</v>
      </c>
      <c r="R3041" t="str">
        <f t="shared" si="1241"/>
        <v>Accepted</v>
      </c>
      <c r="S3041" t="str">
        <f t="shared" si="1242"/>
        <v>Approved</v>
      </c>
      <c r="T3041" t="str">
        <f t="shared" si="1243"/>
        <v>10.20.8.188</v>
      </c>
      <c r="U3041" t="str">
        <f t="shared" si="1244"/>
        <v>AZRAD UMAR BIN SHAARI</v>
      </c>
      <c r="V3041" t="str">
        <f t="shared" si="1245"/>
        <v>FARHANA BINTI MUSTAPA</v>
      </c>
      <c r="W3041" t="str">
        <f t="shared" si="1246"/>
        <v>04-08-2020</v>
      </c>
      <c r="X3041" t="str">
        <f t="shared" si="1247"/>
        <v>RAZIMAH ANSAR AHMAD</v>
      </c>
      <c r="Y3041" t="str">
        <f t="shared" si="1248"/>
        <v>04-08-2020</v>
      </c>
      <c r="Z3041" t="str">
        <f>"COS10200804 6113"</f>
        <v>COS10200804 6113</v>
      </c>
    </row>
    <row r="3042" spans="1:26" x14ac:dyDescent="0.25">
      <c r="A3042" t="str">
        <f t="shared" si="1249"/>
        <v>04-08-2020 12:58:57</v>
      </c>
      <c r="B3042" t="str">
        <f>"0000807903"</f>
        <v>0000807903</v>
      </c>
      <c r="C3042" t="str">
        <f t="shared" si="1250"/>
        <v>0000807791</v>
      </c>
      <c r="D3042" t="str">
        <f t="shared" si="1236"/>
        <v>73185</v>
      </c>
      <c r="E3042" t="str">
        <f t="shared" si="1237"/>
        <v>KFH-OPERATIONS DEPARTMENT</v>
      </c>
      <c r="F3042" t="str">
        <f t="shared" si="1238"/>
        <v>IBG</v>
      </c>
      <c r="G3042" t="str">
        <f t="shared" si="1251"/>
        <v>Refund COSHARE 10</v>
      </c>
      <c r="H3042" s="2">
        <v>1135</v>
      </c>
      <c r="I3042" t="str">
        <f>"NAFISAH BINTI HASHIM"</f>
        <v>NAFISAH BINTI HASHIM</v>
      </c>
      <c r="J3042" t="str">
        <f t="shared" si="1252"/>
        <v>MAYBANK / MAYBANK ISLAMIC</v>
      </c>
      <c r="K3042" t="str">
        <f>"153010029030"</f>
        <v>153010029030</v>
      </c>
      <c r="L3042" t="str">
        <f t="shared" si="1253"/>
        <v>04-08-2020</v>
      </c>
      <c r="M3042" t="str">
        <f t="shared" si="1253"/>
        <v>04-08-2020</v>
      </c>
      <c r="N3042" t="str">
        <f t="shared" si="1239"/>
        <v>001105018356</v>
      </c>
      <c r="O3042" t="str">
        <f t="shared" si="1240"/>
        <v>MYR</v>
      </c>
      <c r="P3042" t="str">
        <f t="shared" si="1254"/>
        <v>NIL</v>
      </c>
      <c r="Q3042" t="str">
        <f t="shared" si="1254"/>
        <v>NIL</v>
      </c>
      <c r="R3042" t="str">
        <f t="shared" si="1241"/>
        <v>Accepted</v>
      </c>
      <c r="S3042" t="str">
        <f t="shared" si="1242"/>
        <v>Approved</v>
      </c>
      <c r="T3042" t="str">
        <f t="shared" si="1243"/>
        <v>10.20.8.188</v>
      </c>
      <c r="U3042" t="str">
        <f t="shared" si="1244"/>
        <v>AZRAD UMAR BIN SHAARI</v>
      </c>
      <c r="V3042" t="str">
        <f t="shared" si="1245"/>
        <v>FARHANA BINTI MUSTAPA</v>
      </c>
      <c r="W3042" t="str">
        <f t="shared" si="1246"/>
        <v>04-08-2020</v>
      </c>
      <c r="X3042" t="str">
        <f t="shared" si="1247"/>
        <v>RAZIMAH ANSAR AHMAD</v>
      </c>
      <c r="Y3042" t="str">
        <f t="shared" si="1248"/>
        <v>04-08-2020</v>
      </c>
      <c r="Z3042" t="str">
        <f>"COS10200804 6112"</f>
        <v>COS10200804 6112</v>
      </c>
    </row>
    <row r="3043" spans="1:26" x14ac:dyDescent="0.25">
      <c r="A3043" t="str">
        <f t="shared" si="1249"/>
        <v>04-08-2020 12:58:57</v>
      </c>
      <c r="B3043" t="str">
        <f>"0000807902"</f>
        <v>0000807902</v>
      </c>
      <c r="C3043" t="str">
        <f t="shared" si="1250"/>
        <v>0000807791</v>
      </c>
      <c r="D3043" t="str">
        <f t="shared" si="1236"/>
        <v>73185</v>
      </c>
      <c r="E3043" t="str">
        <f t="shared" si="1237"/>
        <v>KFH-OPERATIONS DEPARTMENT</v>
      </c>
      <c r="F3043" t="str">
        <f t="shared" si="1238"/>
        <v>IBG</v>
      </c>
      <c r="G3043" t="str">
        <f t="shared" si="1251"/>
        <v>Refund COSHARE 10</v>
      </c>
      <c r="H3043" s="2">
        <v>1158.5</v>
      </c>
      <c r="I3043" t="str">
        <f>"NAETHASI AL MUNIANDY"</f>
        <v>NAETHASI AL MUNIANDY</v>
      </c>
      <c r="J3043" t="str">
        <f t="shared" si="1252"/>
        <v>MAYBANK / MAYBANK ISLAMIC</v>
      </c>
      <c r="K3043" t="str">
        <f>"114142049841"</f>
        <v>114142049841</v>
      </c>
      <c r="L3043" t="str">
        <f t="shared" si="1253"/>
        <v>04-08-2020</v>
      </c>
      <c r="M3043" t="str">
        <f t="shared" si="1253"/>
        <v>04-08-2020</v>
      </c>
      <c r="N3043" t="str">
        <f t="shared" si="1239"/>
        <v>001105018356</v>
      </c>
      <c r="O3043" t="str">
        <f t="shared" si="1240"/>
        <v>MYR</v>
      </c>
      <c r="P3043" t="str">
        <f t="shared" si="1254"/>
        <v>NIL</v>
      </c>
      <c r="Q3043" t="str">
        <f t="shared" si="1254"/>
        <v>NIL</v>
      </c>
      <c r="R3043" t="str">
        <f t="shared" si="1241"/>
        <v>Accepted</v>
      </c>
      <c r="S3043" t="str">
        <f t="shared" si="1242"/>
        <v>Approved</v>
      </c>
      <c r="T3043" t="str">
        <f t="shared" si="1243"/>
        <v>10.20.8.188</v>
      </c>
      <c r="U3043" t="str">
        <f t="shared" si="1244"/>
        <v>AZRAD UMAR BIN SHAARI</v>
      </c>
      <c r="V3043" t="str">
        <f t="shared" si="1245"/>
        <v>FARHANA BINTI MUSTAPA</v>
      </c>
      <c r="W3043" t="str">
        <f t="shared" si="1246"/>
        <v>04-08-2020</v>
      </c>
      <c r="X3043" t="str">
        <f t="shared" si="1247"/>
        <v>RAZIMAH ANSAR AHMAD</v>
      </c>
      <c r="Y3043" t="str">
        <f t="shared" si="1248"/>
        <v>04-08-2020</v>
      </c>
      <c r="Z3043" t="str">
        <f>"COS10200804 6111"</f>
        <v>COS10200804 6111</v>
      </c>
    </row>
    <row r="3044" spans="1:26" x14ac:dyDescent="0.25">
      <c r="A3044" t="str">
        <f t="shared" si="1249"/>
        <v>04-08-2020 12:58:57</v>
      </c>
      <c r="B3044" t="str">
        <f>"0000807901"</f>
        <v>0000807901</v>
      </c>
      <c r="C3044" t="str">
        <f t="shared" si="1250"/>
        <v>0000807791</v>
      </c>
      <c r="D3044" t="str">
        <f t="shared" si="1236"/>
        <v>73185</v>
      </c>
      <c r="E3044" t="str">
        <f t="shared" si="1237"/>
        <v>KFH-OPERATIONS DEPARTMENT</v>
      </c>
      <c r="F3044" t="str">
        <f t="shared" si="1238"/>
        <v>IBG</v>
      </c>
      <c r="G3044" t="str">
        <f t="shared" si="1251"/>
        <v>Refund COSHARE 10</v>
      </c>
      <c r="H3044" s="2">
        <v>47.35</v>
      </c>
      <c r="I3044" t="str">
        <f>"NADZRI BIN ABAKAR"</f>
        <v>NADZRI BIN ABAKAR</v>
      </c>
      <c r="J3044" t="str">
        <f t="shared" si="1252"/>
        <v>MAYBANK / MAYBANK ISLAMIC</v>
      </c>
      <c r="K3044" t="str">
        <f>"107117661259"</f>
        <v>107117661259</v>
      </c>
      <c r="L3044" t="str">
        <f t="shared" si="1253"/>
        <v>04-08-2020</v>
      </c>
      <c r="M3044" t="str">
        <f t="shared" si="1253"/>
        <v>04-08-2020</v>
      </c>
      <c r="N3044" t="str">
        <f t="shared" si="1239"/>
        <v>001105018356</v>
      </c>
      <c r="O3044" t="str">
        <f t="shared" si="1240"/>
        <v>MYR</v>
      </c>
      <c r="P3044" t="str">
        <f t="shared" si="1254"/>
        <v>NIL</v>
      </c>
      <c r="Q3044" t="str">
        <f t="shared" si="1254"/>
        <v>NIL</v>
      </c>
      <c r="R3044" t="str">
        <f t="shared" si="1241"/>
        <v>Accepted</v>
      </c>
      <c r="S3044" t="str">
        <f t="shared" si="1242"/>
        <v>Approved</v>
      </c>
      <c r="T3044" t="str">
        <f t="shared" si="1243"/>
        <v>10.20.8.188</v>
      </c>
      <c r="U3044" t="str">
        <f t="shared" si="1244"/>
        <v>AZRAD UMAR BIN SHAARI</v>
      </c>
      <c r="V3044" t="str">
        <f t="shared" si="1245"/>
        <v>FARHANA BINTI MUSTAPA</v>
      </c>
      <c r="W3044" t="str">
        <f t="shared" si="1246"/>
        <v>04-08-2020</v>
      </c>
      <c r="X3044" t="str">
        <f t="shared" si="1247"/>
        <v>RAZIMAH ANSAR AHMAD</v>
      </c>
      <c r="Y3044" t="str">
        <f t="shared" si="1248"/>
        <v>04-08-2020</v>
      </c>
      <c r="Z3044" t="str">
        <f>"COS10200804 6110"</f>
        <v>COS10200804 6110</v>
      </c>
    </row>
    <row r="3045" spans="1:26" x14ac:dyDescent="0.25">
      <c r="A3045" t="str">
        <f t="shared" si="1249"/>
        <v>04-08-2020 12:58:57</v>
      </c>
      <c r="B3045" t="str">
        <f>"0000807900"</f>
        <v>0000807900</v>
      </c>
      <c r="C3045" t="str">
        <f t="shared" si="1250"/>
        <v>0000807791</v>
      </c>
      <c r="D3045" t="str">
        <f t="shared" si="1236"/>
        <v>73185</v>
      </c>
      <c r="E3045" t="str">
        <f t="shared" si="1237"/>
        <v>KFH-OPERATIONS DEPARTMENT</v>
      </c>
      <c r="F3045" t="str">
        <f t="shared" si="1238"/>
        <v>IBG</v>
      </c>
      <c r="G3045" t="str">
        <f t="shared" si="1251"/>
        <v>Refund COSHARE 10</v>
      </c>
      <c r="H3045" s="2">
        <v>361</v>
      </c>
      <c r="I3045" t="str">
        <f>"NADIAH BINTI MOHD NAWAWI"</f>
        <v>NADIAH BINTI MOHD NAWAWI</v>
      </c>
      <c r="J3045" t="str">
        <f t="shared" si="1252"/>
        <v>MAYBANK / MAYBANK ISLAMIC</v>
      </c>
      <c r="K3045" t="str">
        <f>"166010003288"</f>
        <v>166010003288</v>
      </c>
      <c r="L3045" t="str">
        <f t="shared" si="1253"/>
        <v>04-08-2020</v>
      </c>
      <c r="M3045" t="str">
        <f t="shared" si="1253"/>
        <v>04-08-2020</v>
      </c>
      <c r="N3045" t="str">
        <f t="shared" si="1239"/>
        <v>001105018356</v>
      </c>
      <c r="O3045" t="str">
        <f t="shared" si="1240"/>
        <v>MYR</v>
      </c>
      <c r="P3045" t="str">
        <f t="shared" si="1254"/>
        <v>NIL</v>
      </c>
      <c r="Q3045" t="str">
        <f t="shared" si="1254"/>
        <v>NIL</v>
      </c>
      <c r="R3045" t="str">
        <f t="shared" si="1241"/>
        <v>Accepted</v>
      </c>
      <c r="S3045" t="str">
        <f t="shared" si="1242"/>
        <v>Approved</v>
      </c>
      <c r="T3045" t="str">
        <f t="shared" si="1243"/>
        <v>10.20.8.188</v>
      </c>
      <c r="U3045" t="str">
        <f t="shared" si="1244"/>
        <v>AZRAD UMAR BIN SHAARI</v>
      </c>
      <c r="V3045" t="str">
        <f t="shared" si="1245"/>
        <v>FARHANA BINTI MUSTAPA</v>
      </c>
      <c r="W3045" t="str">
        <f t="shared" si="1246"/>
        <v>04-08-2020</v>
      </c>
      <c r="X3045" t="str">
        <f t="shared" si="1247"/>
        <v>RAZIMAH ANSAR AHMAD</v>
      </c>
      <c r="Y3045" t="str">
        <f t="shared" si="1248"/>
        <v>04-08-2020</v>
      </c>
      <c r="Z3045" t="str">
        <f>"COS10200804 6109"</f>
        <v>COS10200804 6109</v>
      </c>
    </row>
    <row r="3046" spans="1:26" x14ac:dyDescent="0.25">
      <c r="A3046" t="str">
        <f t="shared" si="1249"/>
        <v>04-08-2020 12:58:57</v>
      </c>
      <c r="B3046" t="str">
        <f>"0000807899"</f>
        <v>0000807899</v>
      </c>
      <c r="C3046" t="str">
        <f t="shared" si="1250"/>
        <v>0000807791</v>
      </c>
      <c r="D3046" t="str">
        <f t="shared" si="1236"/>
        <v>73185</v>
      </c>
      <c r="E3046" t="str">
        <f t="shared" si="1237"/>
        <v>KFH-OPERATIONS DEPARTMENT</v>
      </c>
      <c r="F3046" t="str">
        <f t="shared" si="1238"/>
        <v>IBG</v>
      </c>
      <c r="G3046" t="str">
        <f t="shared" si="1251"/>
        <v>Refund COSHARE 10</v>
      </c>
      <c r="H3046" s="2">
        <v>473.3</v>
      </c>
      <c r="I3046" t="str">
        <f>"NABILAH BINTI SHAFIE  HANAFI"</f>
        <v>NABILAH BINTI SHAFIE  HANAFI</v>
      </c>
      <c r="J3046" t="str">
        <f t="shared" si="1252"/>
        <v>MAYBANK / MAYBANK ISLAMIC</v>
      </c>
      <c r="K3046" t="str">
        <f>"164221275946"</f>
        <v>164221275946</v>
      </c>
      <c r="L3046" t="str">
        <f t="shared" si="1253"/>
        <v>04-08-2020</v>
      </c>
      <c r="M3046" t="str">
        <f t="shared" si="1253"/>
        <v>04-08-2020</v>
      </c>
      <c r="N3046" t="str">
        <f t="shared" si="1239"/>
        <v>001105018356</v>
      </c>
      <c r="O3046" t="str">
        <f t="shared" si="1240"/>
        <v>MYR</v>
      </c>
      <c r="P3046" t="str">
        <f t="shared" si="1254"/>
        <v>NIL</v>
      </c>
      <c r="Q3046" t="str">
        <f t="shared" si="1254"/>
        <v>NIL</v>
      </c>
      <c r="R3046" t="str">
        <f t="shared" si="1241"/>
        <v>Accepted</v>
      </c>
      <c r="S3046" t="str">
        <f t="shared" si="1242"/>
        <v>Approved</v>
      </c>
      <c r="T3046" t="str">
        <f t="shared" si="1243"/>
        <v>10.20.8.188</v>
      </c>
      <c r="U3046" t="str">
        <f t="shared" si="1244"/>
        <v>AZRAD UMAR BIN SHAARI</v>
      </c>
      <c r="V3046" t="str">
        <f t="shared" si="1245"/>
        <v>FARHANA BINTI MUSTAPA</v>
      </c>
      <c r="W3046" t="str">
        <f t="shared" si="1246"/>
        <v>04-08-2020</v>
      </c>
      <c r="X3046" t="str">
        <f t="shared" si="1247"/>
        <v>RAZIMAH ANSAR AHMAD</v>
      </c>
      <c r="Y3046" t="str">
        <f t="shared" si="1248"/>
        <v>04-08-2020</v>
      </c>
      <c r="Z3046" t="str">
        <f>"COS10200804 6108"</f>
        <v>COS10200804 6108</v>
      </c>
    </row>
    <row r="3047" spans="1:26" x14ac:dyDescent="0.25">
      <c r="A3047" t="str">
        <f t="shared" si="1249"/>
        <v>04-08-2020 12:58:57</v>
      </c>
      <c r="B3047" t="str">
        <f>"0000807898"</f>
        <v>0000807898</v>
      </c>
      <c r="C3047" t="str">
        <f t="shared" si="1250"/>
        <v>0000807791</v>
      </c>
      <c r="D3047" t="str">
        <f t="shared" si="1236"/>
        <v>73185</v>
      </c>
      <c r="E3047" t="str">
        <f t="shared" si="1237"/>
        <v>KFH-OPERATIONS DEPARTMENT</v>
      </c>
      <c r="F3047" t="str">
        <f t="shared" si="1238"/>
        <v>IBG</v>
      </c>
      <c r="G3047" t="str">
        <f t="shared" si="1251"/>
        <v>Refund COSHARE 10</v>
      </c>
      <c r="H3047" s="2">
        <v>151.15</v>
      </c>
      <c r="I3047" t="str">
        <f>"NABILAH BINTI MAHMOOD"</f>
        <v>NABILAH BINTI MAHMOOD</v>
      </c>
      <c r="J3047" t="str">
        <f t="shared" si="1252"/>
        <v>MAYBANK / MAYBANK ISLAMIC</v>
      </c>
      <c r="K3047" t="str">
        <f>"154026537816"</f>
        <v>154026537816</v>
      </c>
      <c r="L3047" t="str">
        <f t="shared" ref="L3047:M3066" si="1255">"04-08-2020"</f>
        <v>04-08-2020</v>
      </c>
      <c r="M3047" t="str">
        <f t="shared" si="1255"/>
        <v>04-08-2020</v>
      </c>
      <c r="N3047" t="str">
        <f t="shared" si="1239"/>
        <v>001105018356</v>
      </c>
      <c r="O3047" t="str">
        <f t="shared" si="1240"/>
        <v>MYR</v>
      </c>
      <c r="P3047" t="str">
        <f t="shared" ref="P3047:Q3066" si="1256">"NIL"</f>
        <v>NIL</v>
      </c>
      <c r="Q3047" t="str">
        <f t="shared" si="1256"/>
        <v>NIL</v>
      </c>
      <c r="R3047" t="str">
        <f t="shared" si="1241"/>
        <v>Accepted</v>
      </c>
      <c r="S3047" t="str">
        <f t="shared" si="1242"/>
        <v>Approved</v>
      </c>
      <c r="T3047" t="str">
        <f t="shared" si="1243"/>
        <v>10.20.8.188</v>
      </c>
      <c r="U3047" t="str">
        <f t="shared" si="1244"/>
        <v>AZRAD UMAR BIN SHAARI</v>
      </c>
      <c r="V3047" t="str">
        <f t="shared" si="1245"/>
        <v>FARHANA BINTI MUSTAPA</v>
      </c>
      <c r="W3047" t="str">
        <f t="shared" si="1246"/>
        <v>04-08-2020</v>
      </c>
      <c r="X3047" t="str">
        <f t="shared" si="1247"/>
        <v>RAZIMAH ANSAR AHMAD</v>
      </c>
      <c r="Y3047" t="str">
        <f t="shared" si="1248"/>
        <v>04-08-2020</v>
      </c>
      <c r="Z3047" t="str">
        <f>"COS10200804 6107"</f>
        <v>COS10200804 6107</v>
      </c>
    </row>
    <row r="3048" spans="1:26" x14ac:dyDescent="0.25">
      <c r="A3048" t="str">
        <f t="shared" si="1249"/>
        <v>04-08-2020 12:58:57</v>
      </c>
      <c r="B3048" t="str">
        <f>"0000807897"</f>
        <v>0000807897</v>
      </c>
      <c r="C3048" t="str">
        <f t="shared" si="1250"/>
        <v>0000807791</v>
      </c>
      <c r="D3048" t="str">
        <f t="shared" si="1236"/>
        <v>73185</v>
      </c>
      <c r="E3048" t="str">
        <f t="shared" si="1237"/>
        <v>KFH-OPERATIONS DEPARTMENT</v>
      </c>
      <c r="F3048" t="str">
        <f t="shared" si="1238"/>
        <v>IBG</v>
      </c>
      <c r="G3048" t="str">
        <f t="shared" si="1251"/>
        <v>Refund COSHARE 10</v>
      </c>
      <c r="H3048" s="2">
        <v>110</v>
      </c>
      <c r="I3048" t="str">
        <f>"NABIHA BINTI HAMIDON"</f>
        <v>NABIHA BINTI HAMIDON</v>
      </c>
      <c r="J3048" t="str">
        <f t="shared" si="1252"/>
        <v>MAYBANK / MAYBANK ISLAMIC</v>
      </c>
      <c r="K3048" t="str">
        <f>"166010077318"</f>
        <v>166010077318</v>
      </c>
      <c r="L3048" t="str">
        <f t="shared" si="1255"/>
        <v>04-08-2020</v>
      </c>
      <c r="M3048" t="str">
        <f t="shared" si="1255"/>
        <v>04-08-2020</v>
      </c>
      <c r="N3048" t="str">
        <f t="shared" si="1239"/>
        <v>001105018356</v>
      </c>
      <c r="O3048" t="str">
        <f t="shared" si="1240"/>
        <v>MYR</v>
      </c>
      <c r="P3048" t="str">
        <f t="shared" si="1256"/>
        <v>NIL</v>
      </c>
      <c r="Q3048" t="str">
        <f t="shared" si="1256"/>
        <v>NIL</v>
      </c>
      <c r="R3048" t="str">
        <f t="shared" si="1241"/>
        <v>Accepted</v>
      </c>
      <c r="S3048" t="str">
        <f t="shared" si="1242"/>
        <v>Approved</v>
      </c>
      <c r="T3048" t="str">
        <f t="shared" si="1243"/>
        <v>10.20.8.188</v>
      </c>
      <c r="U3048" t="str">
        <f t="shared" si="1244"/>
        <v>AZRAD UMAR BIN SHAARI</v>
      </c>
      <c r="V3048" t="str">
        <f t="shared" si="1245"/>
        <v>FARHANA BINTI MUSTAPA</v>
      </c>
      <c r="W3048" t="str">
        <f t="shared" si="1246"/>
        <v>04-08-2020</v>
      </c>
      <c r="X3048" t="str">
        <f t="shared" si="1247"/>
        <v>RAZIMAH ANSAR AHMAD</v>
      </c>
      <c r="Y3048" t="str">
        <f t="shared" si="1248"/>
        <v>04-08-2020</v>
      </c>
      <c r="Z3048" t="str">
        <f>"COS10200804 6106"</f>
        <v>COS10200804 6106</v>
      </c>
    </row>
    <row r="3049" spans="1:26" x14ac:dyDescent="0.25">
      <c r="A3049" t="str">
        <f t="shared" si="1249"/>
        <v>04-08-2020 12:58:57</v>
      </c>
      <c r="B3049" t="str">
        <f>"0000807896"</f>
        <v>0000807896</v>
      </c>
      <c r="C3049" t="str">
        <f t="shared" si="1250"/>
        <v>0000807791</v>
      </c>
      <c r="D3049" t="str">
        <f t="shared" si="1236"/>
        <v>73185</v>
      </c>
      <c r="E3049" t="str">
        <f t="shared" si="1237"/>
        <v>KFH-OPERATIONS DEPARTMENT</v>
      </c>
      <c r="F3049" t="str">
        <f t="shared" si="1238"/>
        <v>IBG</v>
      </c>
      <c r="G3049" t="str">
        <f t="shared" si="1251"/>
        <v>Refund COSHARE 10</v>
      </c>
      <c r="H3049" s="2">
        <v>159.5</v>
      </c>
      <c r="I3049" t="str">
        <f>"MUZAMMIL BIN ABDUL RAHMAN"</f>
        <v>MUZAMMIL BIN ABDUL RAHMAN</v>
      </c>
      <c r="J3049" t="str">
        <f t="shared" si="1252"/>
        <v>MAYBANK / MAYBANK ISLAMIC</v>
      </c>
      <c r="K3049" t="str">
        <f>"154017311102"</f>
        <v>154017311102</v>
      </c>
      <c r="L3049" t="str">
        <f t="shared" si="1255"/>
        <v>04-08-2020</v>
      </c>
      <c r="M3049" t="str">
        <f t="shared" si="1255"/>
        <v>04-08-2020</v>
      </c>
      <c r="N3049" t="str">
        <f t="shared" si="1239"/>
        <v>001105018356</v>
      </c>
      <c r="O3049" t="str">
        <f t="shared" si="1240"/>
        <v>MYR</v>
      </c>
      <c r="P3049" t="str">
        <f t="shared" si="1256"/>
        <v>NIL</v>
      </c>
      <c r="Q3049" t="str">
        <f t="shared" si="1256"/>
        <v>NIL</v>
      </c>
      <c r="R3049" t="str">
        <f t="shared" si="1241"/>
        <v>Accepted</v>
      </c>
      <c r="S3049" t="str">
        <f t="shared" si="1242"/>
        <v>Approved</v>
      </c>
      <c r="T3049" t="str">
        <f t="shared" si="1243"/>
        <v>10.20.8.188</v>
      </c>
      <c r="U3049" t="str">
        <f t="shared" si="1244"/>
        <v>AZRAD UMAR BIN SHAARI</v>
      </c>
      <c r="V3049" t="str">
        <f t="shared" si="1245"/>
        <v>FARHANA BINTI MUSTAPA</v>
      </c>
      <c r="W3049" t="str">
        <f t="shared" si="1246"/>
        <v>04-08-2020</v>
      </c>
      <c r="X3049" t="str">
        <f t="shared" si="1247"/>
        <v>RAZIMAH ANSAR AHMAD</v>
      </c>
      <c r="Y3049" t="str">
        <f t="shared" si="1248"/>
        <v>04-08-2020</v>
      </c>
      <c r="Z3049" t="str">
        <f>"COS10200804 6105"</f>
        <v>COS10200804 6105</v>
      </c>
    </row>
    <row r="3050" spans="1:26" x14ac:dyDescent="0.25">
      <c r="A3050" t="str">
        <f t="shared" ref="A3050:A3081" si="1257">"04-08-2020 12:58:57"</f>
        <v>04-08-2020 12:58:57</v>
      </c>
      <c r="B3050" t="str">
        <f>"0000807895"</f>
        <v>0000807895</v>
      </c>
      <c r="C3050" t="str">
        <f t="shared" ref="C3050:C3081" si="1258">"0000807791"</f>
        <v>0000807791</v>
      </c>
      <c r="D3050" t="str">
        <f t="shared" si="1236"/>
        <v>73185</v>
      </c>
      <c r="E3050" t="str">
        <f t="shared" si="1237"/>
        <v>KFH-OPERATIONS DEPARTMENT</v>
      </c>
      <c r="F3050" t="str">
        <f t="shared" si="1238"/>
        <v>IBG</v>
      </c>
      <c r="G3050" t="str">
        <f t="shared" si="1251"/>
        <v>Refund COSHARE 10</v>
      </c>
      <c r="H3050" s="2">
        <v>589.4</v>
      </c>
      <c r="I3050" t="str">
        <f>"MUZAFAR SHAH BIN MOHAMED"</f>
        <v>MUZAFAR SHAH BIN MOHAMED</v>
      </c>
      <c r="J3050" t="str">
        <f t="shared" si="1252"/>
        <v>MAYBANK / MAYBANK ISLAMIC</v>
      </c>
      <c r="K3050" t="str">
        <f>"101075418498"</f>
        <v>101075418498</v>
      </c>
      <c r="L3050" t="str">
        <f t="shared" si="1255"/>
        <v>04-08-2020</v>
      </c>
      <c r="M3050" t="str">
        <f t="shared" si="1255"/>
        <v>04-08-2020</v>
      </c>
      <c r="N3050" t="str">
        <f t="shared" si="1239"/>
        <v>001105018356</v>
      </c>
      <c r="O3050" t="str">
        <f t="shared" si="1240"/>
        <v>MYR</v>
      </c>
      <c r="P3050" t="str">
        <f t="shared" si="1256"/>
        <v>NIL</v>
      </c>
      <c r="Q3050" t="str">
        <f t="shared" si="1256"/>
        <v>NIL</v>
      </c>
      <c r="R3050" t="str">
        <f t="shared" si="1241"/>
        <v>Accepted</v>
      </c>
      <c r="S3050" t="str">
        <f t="shared" si="1242"/>
        <v>Approved</v>
      </c>
      <c r="T3050" t="str">
        <f t="shared" si="1243"/>
        <v>10.20.8.188</v>
      </c>
      <c r="U3050" t="str">
        <f t="shared" si="1244"/>
        <v>AZRAD UMAR BIN SHAARI</v>
      </c>
      <c r="V3050" t="str">
        <f t="shared" si="1245"/>
        <v>FARHANA BINTI MUSTAPA</v>
      </c>
      <c r="W3050" t="str">
        <f t="shared" si="1246"/>
        <v>04-08-2020</v>
      </c>
      <c r="X3050" t="str">
        <f t="shared" si="1247"/>
        <v>RAZIMAH ANSAR AHMAD</v>
      </c>
      <c r="Y3050" t="str">
        <f t="shared" si="1248"/>
        <v>04-08-2020</v>
      </c>
      <c r="Z3050" t="str">
        <f>"COS10200804 6104"</f>
        <v>COS10200804 6104</v>
      </c>
    </row>
    <row r="3051" spans="1:26" x14ac:dyDescent="0.25">
      <c r="A3051" t="str">
        <f t="shared" si="1257"/>
        <v>04-08-2020 12:58:57</v>
      </c>
      <c r="B3051" t="str">
        <f>"0000807894"</f>
        <v>0000807894</v>
      </c>
      <c r="C3051" t="str">
        <f t="shared" si="1258"/>
        <v>0000807791</v>
      </c>
      <c r="D3051" t="str">
        <f t="shared" si="1236"/>
        <v>73185</v>
      </c>
      <c r="E3051" t="str">
        <f t="shared" si="1237"/>
        <v>KFH-OPERATIONS DEPARTMENT</v>
      </c>
      <c r="F3051" t="str">
        <f t="shared" si="1238"/>
        <v>IBG</v>
      </c>
      <c r="G3051" t="str">
        <f t="shared" si="1251"/>
        <v>Refund COSHARE 10</v>
      </c>
      <c r="H3051" s="2">
        <v>457.5</v>
      </c>
      <c r="I3051" t="str">
        <f>"MUTLAIN BIN BAHARIN"</f>
        <v>MUTLAIN BIN BAHARIN</v>
      </c>
      <c r="J3051" t="str">
        <f t="shared" si="1252"/>
        <v>MAYBANK / MAYBANK ISLAMIC</v>
      </c>
      <c r="K3051" t="str">
        <f>"108083368488"</f>
        <v>108083368488</v>
      </c>
      <c r="L3051" t="str">
        <f t="shared" si="1255"/>
        <v>04-08-2020</v>
      </c>
      <c r="M3051" t="str">
        <f t="shared" si="1255"/>
        <v>04-08-2020</v>
      </c>
      <c r="N3051" t="str">
        <f t="shared" si="1239"/>
        <v>001105018356</v>
      </c>
      <c r="O3051" t="str">
        <f t="shared" si="1240"/>
        <v>MYR</v>
      </c>
      <c r="P3051" t="str">
        <f t="shared" si="1256"/>
        <v>NIL</v>
      </c>
      <c r="Q3051" t="str">
        <f t="shared" si="1256"/>
        <v>NIL</v>
      </c>
      <c r="R3051" t="str">
        <f t="shared" si="1241"/>
        <v>Accepted</v>
      </c>
      <c r="S3051" t="str">
        <f t="shared" si="1242"/>
        <v>Approved</v>
      </c>
      <c r="T3051" t="str">
        <f t="shared" si="1243"/>
        <v>10.20.8.188</v>
      </c>
      <c r="U3051" t="str">
        <f t="shared" si="1244"/>
        <v>AZRAD UMAR BIN SHAARI</v>
      </c>
      <c r="V3051" t="str">
        <f t="shared" si="1245"/>
        <v>FARHANA BINTI MUSTAPA</v>
      </c>
      <c r="W3051" t="str">
        <f t="shared" si="1246"/>
        <v>04-08-2020</v>
      </c>
      <c r="X3051" t="str">
        <f t="shared" si="1247"/>
        <v>RAZIMAH ANSAR AHMAD</v>
      </c>
      <c r="Y3051" t="str">
        <f t="shared" si="1248"/>
        <v>04-08-2020</v>
      </c>
      <c r="Z3051" t="str">
        <f>"COS10200804 6103"</f>
        <v>COS10200804 6103</v>
      </c>
    </row>
    <row r="3052" spans="1:26" x14ac:dyDescent="0.25">
      <c r="A3052" t="str">
        <f t="shared" si="1257"/>
        <v>04-08-2020 12:58:57</v>
      </c>
      <c r="B3052" t="str">
        <f>"0000807893"</f>
        <v>0000807893</v>
      </c>
      <c r="C3052" t="str">
        <f t="shared" si="1258"/>
        <v>0000807791</v>
      </c>
      <c r="D3052" t="str">
        <f t="shared" si="1236"/>
        <v>73185</v>
      </c>
      <c r="E3052" t="str">
        <f t="shared" si="1237"/>
        <v>KFH-OPERATIONS DEPARTMENT</v>
      </c>
      <c r="F3052" t="str">
        <f t="shared" si="1238"/>
        <v>IBG</v>
      </c>
      <c r="G3052" t="str">
        <f t="shared" si="1251"/>
        <v>Refund COSHARE 10</v>
      </c>
      <c r="H3052" s="2">
        <v>654.85</v>
      </c>
      <c r="I3052" t="str">
        <f>"MUSTAKIM BIN BUSTAMAM"</f>
        <v>MUSTAKIM BIN BUSTAMAM</v>
      </c>
      <c r="J3052" t="str">
        <f t="shared" si="1252"/>
        <v>MAYBANK / MAYBANK ISLAMIC</v>
      </c>
      <c r="K3052" t="str">
        <f>"164017001924"</f>
        <v>164017001924</v>
      </c>
      <c r="L3052" t="str">
        <f t="shared" si="1255"/>
        <v>04-08-2020</v>
      </c>
      <c r="M3052" t="str">
        <f t="shared" si="1255"/>
        <v>04-08-2020</v>
      </c>
      <c r="N3052" t="str">
        <f t="shared" si="1239"/>
        <v>001105018356</v>
      </c>
      <c r="O3052" t="str">
        <f t="shared" si="1240"/>
        <v>MYR</v>
      </c>
      <c r="P3052" t="str">
        <f t="shared" si="1256"/>
        <v>NIL</v>
      </c>
      <c r="Q3052" t="str">
        <f t="shared" si="1256"/>
        <v>NIL</v>
      </c>
      <c r="R3052" t="str">
        <f t="shared" si="1241"/>
        <v>Accepted</v>
      </c>
      <c r="S3052" t="str">
        <f t="shared" si="1242"/>
        <v>Approved</v>
      </c>
      <c r="T3052" t="str">
        <f t="shared" si="1243"/>
        <v>10.20.8.188</v>
      </c>
      <c r="U3052" t="str">
        <f t="shared" si="1244"/>
        <v>AZRAD UMAR BIN SHAARI</v>
      </c>
      <c r="V3052" t="str">
        <f t="shared" si="1245"/>
        <v>FARHANA BINTI MUSTAPA</v>
      </c>
      <c r="W3052" t="str">
        <f t="shared" si="1246"/>
        <v>04-08-2020</v>
      </c>
      <c r="X3052" t="str">
        <f t="shared" si="1247"/>
        <v>RAZIMAH ANSAR AHMAD</v>
      </c>
      <c r="Y3052" t="str">
        <f t="shared" si="1248"/>
        <v>04-08-2020</v>
      </c>
      <c r="Z3052" t="str">
        <f>"COS10200804 6102"</f>
        <v>COS10200804 6102</v>
      </c>
    </row>
    <row r="3053" spans="1:26" x14ac:dyDescent="0.25">
      <c r="A3053" t="str">
        <f t="shared" si="1257"/>
        <v>04-08-2020 12:58:57</v>
      </c>
      <c r="B3053" t="str">
        <f>"0000807892"</f>
        <v>0000807892</v>
      </c>
      <c r="C3053" t="str">
        <f t="shared" si="1258"/>
        <v>0000807791</v>
      </c>
      <c r="D3053" t="str">
        <f t="shared" si="1236"/>
        <v>73185</v>
      </c>
      <c r="E3053" t="str">
        <f t="shared" si="1237"/>
        <v>KFH-OPERATIONS DEPARTMENT</v>
      </c>
      <c r="F3053" t="str">
        <f t="shared" si="1238"/>
        <v>IBG</v>
      </c>
      <c r="G3053" t="str">
        <f t="shared" si="1251"/>
        <v>Refund COSHARE 10</v>
      </c>
      <c r="H3053" s="2">
        <v>503</v>
      </c>
      <c r="I3053" t="str">
        <f>"MUSTAFA KAMAL BIN MD YUSOF"</f>
        <v>MUSTAFA KAMAL BIN MD YUSOF</v>
      </c>
      <c r="J3053" t="str">
        <f t="shared" si="1252"/>
        <v>MAYBANK / MAYBANK ISLAMIC</v>
      </c>
      <c r="K3053" t="str">
        <f>"151306698962"</f>
        <v>151306698962</v>
      </c>
      <c r="L3053" t="str">
        <f t="shared" si="1255"/>
        <v>04-08-2020</v>
      </c>
      <c r="M3053" t="str">
        <f t="shared" si="1255"/>
        <v>04-08-2020</v>
      </c>
      <c r="N3053" t="str">
        <f t="shared" si="1239"/>
        <v>001105018356</v>
      </c>
      <c r="O3053" t="str">
        <f t="shared" si="1240"/>
        <v>MYR</v>
      </c>
      <c r="P3053" t="str">
        <f t="shared" si="1256"/>
        <v>NIL</v>
      </c>
      <c r="Q3053" t="str">
        <f t="shared" si="1256"/>
        <v>NIL</v>
      </c>
      <c r="R3053" t="str">
        <f t="shared" si="1241"/>
        <v>Accepted</v>
      </c>
      <c r="S3053" t="str">
        <f t="shared" si="1242"/>
        <v>Approved</v>
      </c>
      <c r="T3053" t="str">
        <f t="shared" si="1243"/>
        <v>10.20.8.188</v>
      </c>
      <c r="U3053" t="str">
        <f t="shared" si="1244"/>
        <v>AZRAD UMAR BIN SHAARI</v>
      </c>
      <c r="V3053" t="str">
        <f t="shared" si="1245"/>
        <v>FARHANA BINTI MUSTAPA</v>
      </c>
      <c r="W3053" t="str">
        <f t="shared" si="1246"/>
        <v>04-08-2020</v>
      </c>
      <c r="X3053" t="str">
        <f t="shared" si="1247"/>
        <v>RAZIMAH ANSAR AHMAD</v>
      </c>
      <c r="Y3053" t="str">
        <f t="shared" si="1248"/>
        <v>04-08-2020</v>
      </c>
      <c r="Z3053" t="str">
        <f>"COS10200804 6101"</f>
        <v>COS10200804 6101</v>
      </c>
    </row>
    <row r="3054" spans="1:26" x14ac:dyDescent="0.25">
      <c r="A3054" t="str">
        <f t="shared" si="1257"/>
        <v>04-08-2020 12:58:57</v>
      </c>
      <c r="B3054" t="str">
        <f>"0000807891"</f>
        <v>0000807891</v>
      </c>
      <c r="C3054" t="str">
        <f t="shared" si="1258"/>
        <v>0000807791</v>
      </c>
      <c r="D3054" t="str">
        <f t="shared" si="1236"/>
        <v>73185</v>
      </c>
      <c r="E3054" t="str">
        <f t="shared" si="1237"/>
        <v>KFH-OPERATIONS DEPARTMENT</v>
      </c>
      <c r="F3054" t="str">
        <f t="shared" si="1238"/>
        <v>IBG</v>
      </c>
      <c r="G3054" t="str">
        <f t="shared" si="1251"/>
        <v>Refund COSHARE 10</v>
      </c>
      <c r="H3054" s="2">
        <v>362</v>
      </c>
      <c r="I3054" t="str">
        <f>"MUSTAFA BIN MD ALI"</f>
        <v>MUSTAFA BIN MD ALI</v>
      </c>
      <c r="J3054" t="str">
        <f t="shared" si="1252"/>
        <v>MAYBANK / MAYBANK ISLAMIC</v>
      </c>
      <c r="K3054" t="str">
        <f>"157018703391"</f>
        <v>157018703391</v>
      </c>
      <c r="L3054" t="str">
        <f t="shared" si="1255"/>
        <v>04-08-2020</v>
      </c>
      <c r="M3054" t="str">
        <f t="shared" si="1255"/>
        <v>04-08-2020</v>
      </c>
      <c r="N3054" t="str">
        <f t="shared" si="1239"/>
        <v>001105018356</v>
      </c>
      <c r="O3054" t="str">
        <f t="shared" si="1240"/>
        <v>MYR</v>
      </c>
      <c r="P3054" t="str">
        <f t="shared" si="1256"/>
        <v>NIL</v>
      </c>
      <c r="Q3054" t="str">
        <f t="shared" si="1256"/>
        <v>NIL</v>
      </c>
      <c r="R3054" t="str">
        <f t="shared" si="1241"/>
        <v>Accepted</v>
      </c>
      <c r="S3054" t="str">
        <f t="shared" si="1242"/>
        <v>Approved</v>
      </c>
      <c r="T3054" t="str">
        <f t="shared" si="1243"/>
        <v>10.20.8.188</v>
      </c>
      <c r="U3054" t="str">
        <f t="shared" si="1244"/>
        <v>AZRAD UMAR BIN SHAARI</v>
      </c>
      <c r="V3054" t="str">
        <f t="shared" si="1245"/>
        <v>FARHANA BINTI MUSTAPA</v>
      </c>
      <c r="W3054" t="str">
        <f t="shared" si="1246"/>
        <v>04-08-2020</v>
      </c>
      <c r="X3054" t="str">
        <f t="shared" si="1247"/>
        <v>RAZIMAH ANSAR AHMAD</v>
      </c>
      <c r="Y3054" t="str">
        <f t="shared" si="1248"/>
        <v>04-08-2020</v>
      </c>
      <c r="Z3054" t="str">
        <f>"COS10200804 6100"</f>
        <v>COS10200804 6100</v>
      </c>
    </row>
    <row r="3055" spans="1:26" x14ac:dyDescent="0.25">
      <c r="A3055" t="str">
        <f t="shared" si="1257"/>
        <v>04-08-2020 12:58:57</v>
      </c>
      <c r="B3055" t="str">
        <f>"0000807890"</f>
        <v>0000807890</v>
      </c>
      <c r="C3055" t="str">
        <f t="shared" si="1258"/>
        <v>0000807791</v>
      </c>
      <c r="D3055" t="str">
        <f t="shared" si="1236"/>
        <v>73185</v>
      </c>
      <c r="E3055" t="str">
        <f t="shared" si="1237"/>
        <v>KFH-OPERATIONS DEPARTMENT</v>
      </c>
      <c r="F3055" t="str">
        <f t="shared" si="1238"/>
        <v>IBG</v>
      </c>
      <c r="G3055" t="str">
        <f t="shared" si="1251"/>
        <v>Refund COSHARE 10</v>
      </c>
      <c r="H3055" s="2">
        <v>362</v>
      </c>
      <c r="I3055" t="str">
        <f>"MUSTAFA BIN MD ALI"</f>
        <v>MUSTAFA BIN MD ALI</v>
      </c>
      <c r="J3055" t="str">
        <f t="shared" si="1252"/>
        <v>MAYBANK / MAYBANK ISLAMIC</v>
      </c>
      <c r="K3055" t="str">
        <f>"157018703391"</f>
        <v>157018703391</v>
      </c>
      <c r="L3055" t="str">
        <f t="shared" si="1255"/>
        <v>04-08-2020</v>
      </c>
      <c r="M3055" t="str">
        <f t="shared" si="1255"/>
        <v>04-08-2020</v>
      </c>
      <c r="N3055" t="str">
        <f t="shared" si="1239"/>
        <v>001105018356</v>
      </c>
      <c r="O3055" t="str">
        <f t="shared" si="1240"/>
        <v>MYR</v>
      </c>
      <c r="P3055" t="str">
        <f t="shared" si="1256"/>
        <v>NIL</v>
      </c>
      <c r="Q3055" t="str">
        <f t="shared" si="1256"/>
        <v>NIL</v>
      </c>
      <c r="R3055" t="str">
        <f t="shared" si="1241"/>
        <v>Accepted</v>
      </c>
      <c r="S3055" t="str">
        <f t="shared" si="1242"/>
        <v>Approved</v>
      </c>
      <c r="T3055" t="str">
        <f t="shared" si="1243"/>
        <v>10.20.8.188</v>
      </c>
      <c r="U3055" t="str">
        <f t="shared" si="1244"/>
        <v>AZRAD UMAR BIN SHAARI</v>
      </c>
      <c r="V3055" t="str">
        <f t="shared" si="1245"/>
        <v>FARHANA BINTI MUSTAPA</v>
      </c>
      <c r="W3055" t="str">
        <f t="shared" si="1246"/>
        <v>04-08-2020</v>
      </c>
      <c r="X3055" t="str">
        <f t="shared" si="1247"/>
        <v>RAZIMAH ANSAR AHMAD</v>
      </c>
      <c r="Y3055" t="str">
        <f t="shared" si="1248"/>
        <v>04-08-2020</v>
      </c>
      <c r="Z3055" t="str">
        <f>"COS10200804 6099"</f>
        <v>COS10200804 6099</v>
      </c>
    </row>
    <row r="3056" spans="1:26" x14ac:dyDescent="0.25">
      <c r="A3056" t="str">
        <f t="shared" si="1257"/>
        <v>04-08-2020 12:58:57</v>
      </c>
      <c r="B3056" t="str">
        <f>"0000807889"</f>
        <v>0000807889</v>
      </c>
      <c r="C3056" t="str">
        <f t="shared" si="1258"/>
        <v>0000807791</v>
      </c>
      <c r="D3056" t="str">
        <f t="shared" si="1236"/>
        <v>73185</v>
      </c>
      <c r="E3056" t="str">
        <f t="shared" si="1237"/>
        <v>KFH-OPERATIONS DEPARTMENT</v>
      </c>
      <c r="F3056" t="str">
        <f t="shared" si="1238"/>
        <v>IBG</v>
      </c>
      <c r="G3056" t="str">
        <f t="shared" si="1251"/>
        <v>Refund COSHARE 10</v>
      </c>
      <c r="H3056" s="2">
        <v>646.45000000000005</v>
      </c>
      <c r="I3056" t="str">
        <f>"MUSRIFIN BIN MADU"</f>
        <v>MUSRIFIN BIN MADU</v>
      </c>
      <c r="J3056" t="str">
        <f t="shared" si="1252"/>
        <v>MAYBANK / MAYBANK ISLAMIC</v>
      </c>
      <c r="K3056" t="str">
        <f>"164025053677"</f>
        <v>164025053677</v>
      </c>
      <c r="L3056" t="str">
        <f t="shared" si="1255"/>
        <v>04-08-2020</v>
      </c>
      <c r="M3056" t="str">
        <f t="shared" si="1255"/>
        <v>04-08-2020</v>
      </c>
      <c r="N3056" t="str">
        <f t="shared" si="1239"/>
        <v>001105018356</v>
      </c>
      <c r="O3056" t="str">
        <f t="shared" si="1240"/>
        <v>MYR</v>
      </c>
      <c r="P3056" t="str">
        <f t="shared" si="1256"/>
        <v>NIL</v>
      </c>
      <c r="Q3056" t="str">
        <f t="shared" si="1256"/>
        <v>NIL</v>
      </c>
      <c r="R3056" t="str">
        <f t="shared" si="1241"/>
        <v>Accepted</v>
      </c>
      <c r="S3056" t="str">
        <f t="shared" si="1242"/>
        <v>Approved</v>
      </c>
      <c r="T3056" t="str">
        <f t="shared" si="1243"/>
        <v>10.20.8.188</v>
      </c>
      <c r="U3056" t="str">
        <f t="shared" si="1244"/>
        <v>AZRAD UMAR BIN SHAARI</v>
      </c>
      <c r="V3056" t="str">
        <f t="shared" si="1245"/>
        <v>FARHANA BINTI MUSTAPA</v>
      </c>
      <c r="W3056" t="str">
        <f t="shared" si="1246"/>
        <v>04-08-2020</v>
      </c>
      <c r="X3056" t="str">
        <f t="shared" si="1247"/>
        <v>RAZIMAH ANSAR AHMAD</v>
      </c>
      <c r="Y3056" t="str">
        <f t="shared" si="1248"/>
        <v>04-08-2020</v>
      </c>
      <c r="Z3056" t="str">
        <f>"COS10200804 6098"</f>
        <v>COS10200804 6098</v>
      </c>
    </row>
    <row r="3057" spans="1:26" x14ac:dyDescent="0.25">
      <c r="A3057" t="str">
        <f t="shared" si="1257"/>
        <v>04-08-2020 12:58:57</v>
      </c>
      <c r="B3057" t="str">
        <f>"0000807888"</f>
        <v>0000807888</v>
      </c>
      <c r="C3057" t="str">
        <f t="shared" si="1258"/>
        <v>0000807791</v>
      </c>
      <c r="D3057" t="str">
        <f t="shared" si="1236"/>
        <v>73185</v>
      </c>
      <c r="E3057" t="str">
        <f t="shared" si="1237"/>
        <v>KFH-OPERATIONS DEPARTMENT</v>
      </c>
      <c r="F3057" t="str">
        <f t="shared" si="1238"/>
        <v>IBG</v>
      </c>
      <c r="G3057" t="str">
        <f t="shared" si="1251"/>
        <v>Refund COSHARE 10</v>
      </c>
      <c r="H3057" s="2">
        <v>1203.05</v>
      </c>
      <c r="I3057" t="str">
        <f>"MUSALMI BINTI MUSA"</f>
        <v>MUSALMI BINTI MUSA</v>
      </c>
      <c r="J3057" t="str">
        <f t="shared" si="1252"/>
        <v>MAYBANK / MAYBANK ISLAMIC</v>
      </c>
      <c r="K3057" t="str">
        <f>"164557150865"</f>
        <v>164557150865</v>
      </c>
      <c r="L3057" t="str">
        <f t="shared" si="1255"/>
        <v>04-08-2020</v>
      </c>
      <c r="M3057" t="str">
        <f t="shared" si="1255"/>
        <v>04-08-2020</v>
      </c>
      <c r="N3057" t="str">
        <f t="shared" si="1239"/>
        <v>001105018356</v>
      </c>
      <c r="O3057" t="str">
        <f t="shared" si="1240"/>
        <v>MYR</v>
      </c>
      <c r="P3057" t="str">
        <f t="shared" si="1256"/>
        <v>NIL</v>
      </c>
      <c r="Q3057" t="str">
        <f t="shared" si="1256"/>
        <v>NIL</v>
      </c>
      <c r="R3057" t="str">
        <f t="shared" si="1241"/>
        <v>Accepted</v>
      </c>
      <c r="S3057" t="str">
        <f t="shared" si="1242"/>
        <v>Approved</v>
      </c>
      <c r="T3057" t="str">
        <f t="shared" si="1243"/>
        <v>10.20.8.188</v>
      </c>
      <c r="U3057" t="str">
        <f t="shared" si="1244"/>
        <v>AZRAD UMAR BIN SHAARI</v>
      </c>
      <c r="V3057" t="str">
        <f t="shared" si="1245"/>
        <v>FARHANA BINTI MUSTAPA</v>
      </c>
      <c r="W3057" t="str">
        <f t="shared" si="1246"/>
        <v>04-08-2020</v>
      </c>
      <c r="X3057" t="str">
        <f t="shared" si="1247"/>
        <v>RAZIMAH ANSAR AHMAD</v>
      </c>
      <c r="Y3057" t="str">
        <f t="shared" si="1248"/>
        <v>04-08-2020</v>
      </c>
      <c r="Z3057" t="str">
        <f>"COS10200804 6097"</f>
        <v>COS10200804 6097</v>
      </c>
    </row>
    <row r="3058" spans="1:26" x14ac:dyDescent="0.25">
      <c r="A3058" t="str">
        <f t="shared" si="1257"/>
        <v>04-08-2020 12:58:57</v>
      </c>
      <c r="B3058" t="str">
        <f>"0000807887"</f>
        <v>0000807887</v>
      </c>
      <c r="C3058" t="str">
        <f t="shared" si="1258"/>
        <v>0000807791</v>
      </c>
      <c r="D3058" t="str">
        <f t="shared" si="1236"/>
        <v>73185</v>
      </c>
      <c r="E3058" t="str">
        <f t="shared" si="1237"/>
        <v>KFH-OPERATIONS DEPARTMENT</v>
      </c>
      <c r="F3058" t="str">
        <f t="shared" si="1238"/>
        <v>IBG</v>
      </c>
      <c r="G3058" t="str">
        <f t="shared" si="1251"/>
        <v>Refund COSHARE 10</v>
      </c>
      <c r="H3058" s="2">
        <v>102.35</v>
      </c>
      <c r="I3058" t="str">
        <f>"MUSA BIN SAAT"</f>
        <v>MUSA BIN SAAT</v>
      </c>
      <c r="J3058" t="str">
        <f t="shared" si="1252"/>
        <v>MAYBANK / MAYBANK ISLAMIC</v>
      </c>
      <c r="K3058" t="str">
        <f>"158248328128"</f>
        <v>158248328128</v>
      </c>
      <c r="L3058" t="str">
        <f t="shared" si="1255"/>
        <v>04-08-2020</v>
      </c>
      <c r="M3058" t="str">
        <f t="shared" si="1255"/>
        <v>04-08-2020</v>
      </c>
      <c r="N3058" t="str">
        <f t="shared" si="1239"/>
        <v>001105018356</v>
      </c>
      <c r="O3058" t="str">
        <f t="shared" si="1240"/>
        <v>MYR</v>
      </c>
      <c r="P3058" t="str">
        <f t="shared" si="1256"/>
        <v>NIL</v>
      </c>
      <c r="Q3058" t="str">
        <f t="shared" si="1256"/>
        <v>NIL</v>
      </c>
      <c r="R3058" t="str">
        <f t="shared" si="1241"/>
        <v>Accepted</v>
      </c>
      <c r="S3058" t="str">
        <f t="shared" si="1242"/>
        <v>Approved</v>
      </c>
      <c r="T3058" t="str">
        <f t="shared" si="1243"/>
        <v>10.20.8.188</v>
      </c>
      <c r="U3058" t="str">
        <f t="shared" si="1244"/>
        <v>AZRAD UMAR BIN SHAARI</v>
      </c>
      <c r="V3058" t="str">
        <f t="shared" si="1245"/>
        <v>FARHANA BINTI MUSTAPA</v>
      </c>
      <c r="W3058" t="str">
        <f t="shared" si="1246"/>
        <v>04-08-2020</v>
      </c>
      <c r="X3058" t="str">
        <f t="shared" si="1247"/>
        <v>RAZIMAH ANSAR AHMAD</v>
      </c>
      <c r="Y3058" t="str">
        <f t="shared" si="1248"/>
        <v>04-08-2020</v>
      </c>
      <c r="Z3058" t="str">
        <f>"COS10200804 6096"</f>
        <v>COS10200804 6096</v>
      </c>
    </row>
    <row r="3059" spans="1:26" x14ac:dyDescent="0.25">
      <c r="A3059" t="str">
        <f t="shared" si="1257"/>
        <v>04-08-2020 12:58:57</v>
      </c>
      <c r="B3059" t="str">
        <f>"0000807886"</f>
        <v>0000807886</v>
      </c>
      <c r="C3059" t="str">
        <f t="shared" si="1258"/>
        <v>0000807791</v>
      </c>
      <c r="D3059" t="str">
        <f t="shared" si="1236"/>
        <v>73185</v>
      </c>
      <c r="E3059" t="str">
        <f t="shared" si="1237"/>
        <v>KFH-OPERATIONS DEPARTMENT</v>
      </c>
      <c r="F3059" t="str">
        <f t="shared" si="1238"/>
        <v>IBG</v>
      </c>
      <c r="G3059" t="str">
        <f t="shared" si="1251"/>
        <v>Refund COSHARE 10</v>
      </c>
      <c r="H3059" s="2">
        <v>53.55</v>
      </c>
      <c r="I3059" t="str">
        <f>"MUSA BIN ISMAIL"</f>
        <v>MUSA BIN ISMAIL</v>
      </c>
      <c r="J3059" t="str">
        <f t="shared" si="1252"/>
        <v>MAYBANK / MAYBANK ISLAMIC</v>
      </c>
      <c r="K3059" t="str">
        <f>"101244146146"</f>
        <v>101244146146</v>
      </c>
      <c r="L3059" t="str">
        <f t="shared" si="1255"/>
        <v>04-08-2020</v>
      </c>
      <c r="M3059" t="str">
        <f t="shared" si="1255"/>
        <v>04-08-2020</v>
      </c>
      <c r="N3059" t="str">
        <f t="shared" si="1239"/>
        <v>001105018356</v>
      </c>
      <c r="O3059" t="str">
        <f t="shared" si="1240"/>
        <v>MYR</v>
      </c>
      <c r="P3059" t="str">
        <f t="shared" si="1256"/>
        <v>NIL</v>
      </c>
      <c r="Q3059" t="str">
        <f t="shared" si="1256"/>
        <v>NIL</v>
      </c>
      <c r="R3059" t="str">
        <f t="shared" si="1241"/>
        <v>Accepted</v>
      </c>
      <c r="S3059" t="str">
        <f t="shared" si="1242"/>
        <v>Approved</v>
      </c>
      <c r="T3059" t="str">
        <f t="shared" si="1243"/>
        <v>10.20.8.188</v>
      </c>
      <c r="U3059" t="str">
        <f t="shared" si="1244"/>
        <v>AZRAD UMAR BIN SHAARI</v>
      </c>
      <c r="V3059" t="str">
        <f t="shared" si="1245"/>
        <v>FARHANA BINTI MUSTAPA</v>
      </c>
      <c r="W3059" t="str">
        <f t="shared" si="1246"/>
        <v>04-08-2020</v>
      </c>
      <c r="X3059" t="str">
        <f t="shared" si="1247"/>
        <v>RAZIMAH ANSAR AHMAD</v>
      </c>
      <c r="Y3059" t="str">
        <f t="shared" si="1248"/>
        <v>04-08-2020</v>
      </c>
      <c r="Z3059" t="str">
        <f>"COS10200804 6095"</f>
        <v>COS10200804 6095</v>
      </c>
    </row>
    <row r="3060" spans="1:26" x14ac:dyDescent="0.25">
      <c r="A3060" t="str">
        <f t="shared" si="1257"/>
        <v>04-08-2020 12:58:57</v>
      </c>
      <c r="B3060" t="str">
        <f>"0000807885"</f>
        <v>0000807885</v>
      </c>
      <c r="C3060" t="str">
        <f t="shared" si="1258"/>
        <v>0000807791</v>
      </c>
      <c r="D3060" t="str">
        <f t="shared" si="1236"/>
        <v>73185</v>
      </c>
      <c r="E3060" t="str">
        <f t="shared" si="1237"/>
        <v>KFH-OPERATIONS DEPARTMENT</v>
      </c>
      <c r="F3060" t="str">
        <f t="shared" si="1238"/>
        <v>IBG</v>
      </c>
      <c r="G3060" t="str">
        <f t="shared" si="1251"/>
        <v>Refund COSHARE 10</v>
      </c>
      <c r="H3060" s="2">
        <v>1276.05</v>
      </c>
      <c r="I3060" t="str">
        <f>"MURSYIDAH BINTI MOKHTAR"</f>
        <v>MURSYIDAH BINTI MOKHTAR</v>
      </c>
      <c r="J3060" t="str">
        <f t="shared" si="1252"/>
        <v>MAYBANK / MAYBANK ISLAMIC</v>
      </c>
      <c r="K3060" t="str">
        <f>"152040285851"</f>
        <v>152040285851</v>
      </c>
      <c r="L3060" t="str">
        <f t="shared" si="1255"/>
        <v>04-08-2020</v>
      </c>
      <c r="M3060" t="str">
        <f t="shared" si="1255"/>
        <v>04-08-2020</v>
      </c>
      <c r="N3060" t="str">
        <f t="shared" si="1239"/>
        <v>001105018356</v>
      </c>
      <c r="O3060" t="str">
        <f t="shared" si="1240"/>
        <v>MYR</v>
      </c>
      <c r="P3060" t="str">
        <f t="shared" si="1256"/>
        <v>NIL</v>
      </c>
      <c r="Q3060" t="str">
        <f t="shared" si="1256"/>
        <v>NIL</v>
      </c>
      <c r="R3060" t="str">
        <f t="shared" si="1241"/>
        <v>Accepted</v>
      </c>
      <c r="S3060" t="str">
        <f t="shared" si="1242"/>
        <v>Approved</v>
      </c>
      <c r="T3060" t="str">
        <f t="shared" si="1243"/>
        <v>10.20.8.188</v>
      </c>
      <c r="U3060" t="str">
        <f t="shared" si="1244"/>
        <v>AZRAD UMAR BIN SHAARI</v>
      </c>
      <c r="V3060" t="str">
        <f t="shared" si="1245"/>
        <v>FARHANA BINTI MUSTAPA</v>
      </c>
      <c r="W3060" t="str">
        <f t="shared" si="1246"/>
        <v>04-08-2020</v>
      </c>
      <c r="X3060" t="str">
        <f t="shared" si="1247"/>
        <v>RAZIMAH ANSAR AHMAD</v>
      </c>
      <c r="Y3060" t="str">
        <f t="shared" si="1248"/>
        <v>04-08-2020</v>
      </c>
      <c r="Z3060" t="str">
        <f>"COS10200804 6094"</f>
        <v>COS10200804 6094</v>
      </c>
    </row>
    <row r="3061" spans="1:26" x14ac:dyDescent="0.25">
      <c r="A3061" t="str">
        <f t="shared" si="1257"/>
        <v>04-08-2020 12:58:57</v>
      </c>
      <c r="B3061" t="str">
        <f>"0000807884"</f>
        <v>0000807884</v>
      </c>
      <c r="C3061" t="str">
        <f t="shared" si="1258"/>
        <v>0000807791</v>
      </c>
      <c r="D3061" t="str">
        <f t="shared" si="1236"/>
        <v>73185</v>
      </c>
      <c r="E3061" t="str">
        <f t="shared" si="1237"/>
        <v>KFH-OPERATIONS DEPARTMENT</v>
      </c>
      <c r="F3061" t="str">
        <f t="shared" si="1238"/>
        <v>IBG</v>
      </c>
      <c r="G3061" t="str">
        <f t="shared" si="1251"/>
        <v>Refund COSHARE 10</v>
      </c>
      <c r="H3061" s="2">
        <v>83.95</v>
      </c>
      <c r="I3061" t="str">
        <f>"MURRAHMAN BIN SAAT"</f>
        <v>MURRAHMAN BIN SAAT</v>
      </c>
      <c r="J3061" t="str">
        <f t="shared" si="1252"/>
        <v>MAYBANK / MAYBANK ISLAMIC</v>
      </c>
      <c r="K3061" t="str">
        <f>"111066231689"</f>
        <v>111066231689</v>
      </c>
      <c r="L3061" t="str">
        <f t="shared" si="1255"/>
        <v>04-08-2020</v>
      </c>
      <c r="M3061" t="str">
        <f t="shared" si="1255"/>
        <v>04-08-2020</v>
      </c>
      <c r="N3061" t="str">
        <f t="shared" si="1239"/>
        <v>001105018356</v>
      </c>
      <c r="O3061" t="str">
        <f t="shared" si="1240"/>
        <v>MYR</v>
      </c>
      <c r="P3061" t="str">
        <f t="shared" si="1256"/>
        <v>NIL</v>
      </c>
      <c r="Q3061" t="str">
        <f t="shared" si="1256"/>
        <v>NIL</v>
      </c>
      <c r="R3061" t="str">
        <f t="shared" si="1241"/>
        <v>Accepted</v>
      </c>
      <c r="S3061" t="str">
        <f t="shared" si="1242"/>
        <v>Approved</v>
      </c>
      <c r="T3061" t="str">
        <f t="shared" si="1243"/>
        <v>10.20.8.188</v>
      </c>
      <c r="U3061" t="str">
        <f t="shared" si="1244"/>
        <v>AZRAD UMAR BIN SHAARI</v>
      </c>
      <c r="V3061" t="str">
        <f t="shared" si="1245"/>
        <v>FARHANA BINTI MUSTAPA</v>
      </c>
      <c r="W3061" t="str">
        <f t="shared" si="1246"/>
        <v>04-08-2020</v>
      </c>
      <c r="X3061" t="str">
        <f t="shared" si="1247"/>
        <v>RAZIMAH ANSAR AHMAD</v>
      </c>
      <c r="Y3061" t="str">
        <f t="shared" si="1248"/>
        <v>04-08-2020</v>
      </c>
      <c r="Z3061" t="str">
        <f>"COS10200804 6093"</f>
        <v>COS10200804 6093</v>
      </c>
    </row>
    <row r="3062" spans="1:26" x14ac:dyDescent="0.25">
      <c r="A3062" t="str">
        <f t="shared" si="1257"/>
        <v>04-08-2020 12:58:57</v>
      </c>
      <c r="B3062" t="str">
        <f>"0000807883"</f>
        <v>0000807883</v>
      </c>
      <c r="C3062" t="str">
        <f t="shared" si="1258"/>
        <v>0000807791</v>
      </c>
      <c r="D3062" t="str">
        <f t="shared" si="1236"/>
        <v>73185</v>
      </c>
      <c r="E3062" t="str">
        <f t="shared" si="1237"/>
        <v>KFH-OPERATIONS DEPARTMENT</v>
      </c>
      <c r="F3062" t="str">
        <f t="shared" si="1238"/>
        <v>IBG</v>
      </c>
      <c r="G3062" t="str">
        <f t="shared" si="1251"/>
        <v>Refund COSHARE 10</v>
      </c>
      <c r="H3062" s="2">
        <v>759</v>
      </c>
      <c r="I3062" t="str">
        <f>"MURNI SELIMEN"</f>
        <v>MURNI SELIMEN</v>
      </c>
      <c r="J3062" t="str">
        <f t="shared" si="1252"/>
        <v>MAYBANK / MAYBANK ISLAMIC</v>
      </c>
      <c r="K3062" t="str">
        <f>"160072544352"</f>
        <v>160072544352</v>
      </c>
      <c r="L3062" t="str">
        <f t="shared" si="1255"/>
        <v>04-08-2020</v>
      </c>
      <c r="M3062" t="str">
        <f t="shared" si="1255"/>
        <v>04-08-2020</v>
      </c>
      <c r="N3062" t="str">
        <f t="shared" si="1239"/>
        <v>001105018356</v>
      </c>
      <c r="O3062" t="str">
        <f t="shared" si="1240"/>
        <v>MYR</v>
      </c>
      <c r="P3062" t="str">
        <f t="shared" si="1256"/>
        <v>NIL</v>
      </c>
      <c r="Q3062" t="str">
        <f t="shared" si="1256"/>
        <v>NIL</v>
      </c>
      <c r="R3062" t="str">
        <f t="shared" si="1241"/>
        <v>Accepted</v>
      </c>
      <c r="S3062" t="str">
        <f t="shared" si="1242"/>
        <v>Approved</v>
      </c>
      <c r="T3062" t="str">
        <f t="shared" si="1243"/>
        <v>10.20.8.188</v>
      </c>
      <c r="U3062" t="str">
        <f t="shared" si="1244"/>
        <v>AZRAD UMAR BIN SHAARI</v>
      </c>
      <c r="V3062" t="str">
        <f t="shared" si="1245"/>
        <v>FARHANA BINTI MUSTAPA</v>
      </c>
      <c r="W3062" t="str">
        <f t="shared" si="1246"/>
        <v>04-08-2020</v>
      </c>
      <c r="X3062" t="str">
        <f t="shared" si="1247"/>
        <v>RAZIMAH ANSAR AHMAD</v>
      </c>
      <c r="Y3062" t="str">
        <f t="shared" si="1248"/>
        <v>04-08-2020</v>
      </c>
      <c r="Z3062" t="str">
        <f>"COS10200804 6092"</f>
        <v>COS10200804 6092</v>
      </c>
    </row>
    <row r="3063" spans="1:26" x14ac:dyDescent="0.25">
      <c r="A3063" t="str">
        <f t="shared" si="1257"/>
        <v>04-08-2020 12:58:57</v>
      </c>
      <c r="B3063" t="str">
        <f>"0000807882"</f>
        <v>0000807882</v>
      </c>
      <c r="C3063" t="str">
        <f t="shared" si="1258"/>
        <v>0000807791</v>
      </c>
      <c r="D3063" t="str">
        <f t="shared" si="1236"/>
        <v>73185</v>
      </c>
      <c r="E3063" t="str">
        <f t="shared" si="1237"/>
        <v>KFH-OPERATIONS DEPARTMENT</v>
      </c>
      <c r="F3063" t="str">
        <f t="shared" si="1238"/>
        <v>IBG</v>
      </c>
      <c r="G3063" t="str">
        <f t="shared" si="1251"/>
        <v>Refund COSHARE 10</v>
      </c>
      <c r="H3063" s="2">
        <v>377.8</v>
      </c>
      <c r="I3063" t="str">
        <f>"MURNI SELIMEN"</f>
        <v>MURNI SELIMEN</v>
      </c>
      <c r="J3063" t="str">
        <f t="shared" si="1252"/>
        <v>MAYBANK / MAYBANK ISLAMIC</v>
      </c>
      <c r="K3063" t="str">
        <f>"160072544352"</f>
        <v>160072544352</v>
      </c>
      <c r="L3063" t="str">
        <f t="shared" si="1255"/>
        <v>04-08-2020</v>
      </c>
      <c r="M3063" t="str">
        <f t="shared" si="1255"/>
        <v>04-08-2020</v>
      </c>
      <c r="N3063" t="str">
        <f t="shared" si="1239"/>
        <v>001105018356</v>
      </c>
      <c r="O3063" t="str">
        <f t="shared" si="1240"/>
        <v>MYR</v>
      </c>
      <c r="P3063" t="str">
        <f t="shared" si="1256"/>
        <v>NIL</v>
      </c>
      <c r="Q3063" t="str">
        <f t="shared" si="1256"/>
        <v>NIL</v>
      </c>
      <c r="R3063" t="str">
        <f t="shared" si="1241"/>
        <v>Accepted</v>
      </c>
      <c r="S3063" t="str">
        <f t="shared" si="1242"/>
        <v>Approved</v>
      </c>
      <c r="T3063" t="str">
        <f t="shared" si="1243"/>
        <v>10.20.8.188</v>
      </c>
      <c r="U3063" t="str">
        <f t="shared" si="1244"/>
        <v>AZRAD UMAR BIN SHAARI</v>
      </c>
      <c r="V3063" t="str">
        <f t="shared" si="1245"/>
        <v>FARHANA BINTI MUSTAPA</v>
      </c>
      <c r="W3063" t="str">
        <f t="shared" si="1246"/>
        <v>04-08-2020</v>
      </c>
      <c r="X3063" t="str">
        <f t="shared" si="1247"/>
        <v>RAZIMAH ANSAR AHMAD</v>
      </c>
      <c r="Y3063" t="str">
        <f t="shared" si="1248"/>
        <v>04-08-2020</v>
      </c>
      <c r="Z3063" t="str">
        <f>"COS10200804 6091"</f>
        <v>COS10200804 6091</v>
      </c>
    </row>
    <row r="3064" spans="1:26" x14ac:dyDescent="0.25">
      <c r="A3064" t="str">
        <f t="shared" si="1257"/>
        <v>04-08-2020 12:58:57</v>
      </c>
      <c r="B3064" t="str">
        <f>"0000807881"</f>
        <v>0000807881</v>
      </c>
      <c r="C3064" t="str">
        <f t="shared" si="1258"/>
        <v>0000807791</v>
      </c>
      <c r="D3064" t="str">
        <f t="shared" si="1236"/>
        <v>73185</v>
      </c>
      <c r="E3064" t="str">
        <f t="shared" si="1237"/>
        <v>KFH-OPERATIONS DEPARTMENT</v>
      </c>
      <c r="F3064" t="str">
        <f t="shared" si="1238"/>
        <v>IBG</v>
      </c>
      <c r="G3064" t="str">
        <f t="shared" si="1251"/>
        <v>Refund COSHARE 10</v>
      </c>
      <c r="H3064" s="2">
        <v>759</v>
      </c>
      <c r="I3064" t="str">
        <f>"MURNI BINTI SOLLEH"</f>
        <v>MURNI BINTI SOLLEH</v>
      </c>
      <c r="J3064" t="str">
        <f t="shared" si="1252"/>
        <v>MAYBANK / MAYBANK ISLAMIC</v>
      </c>
      <c r="K3064" t="str">
        <f>"164052366952"</f>
        <v>164052366952</v>
      </c>
      <c r="L3064" t="str">
        <f t="shared" si="1255"/>
        <v>04-08-2020</v>
      </c>
      <c r="M3064" t="str">
        <f t="shared" si="1255"/>
        <v>04-08-2020</v>
      </c>
      <c r="N3064" t="str">
        <f t="shared" si="1239"/>
        <v>001105018356</v>
      </c>
      <c r="O3064" t="str">
        <f t="shared" si="1240"/>
        <v>MYR</v>
      </c>
      <c r="P3064" t="str">
        <f t="shared" si="1256"/>
        <v>NIL</v>
      </c>
      <c r="Q3064" t="str">
        <f t="shared" si="1256"/>
        <v>NIL</v>
      </c>
      <c r="R3064" t="str">
        <f t="shared" si="1241"/>
        <v>Accepted</v>
      </c>
      <c r="S3064" t="str">
        <f t="shared" si="1242"/>
        <v>Approved</v>
      </c>
      <c r="T3064" t="str">
        <f t="shared" si="1243"/>
        <v>10.20.8.188</v>
      </c>
      <c r="U3064" t="str">
        <f t="shared" si="1244"/>
        <v>AZRAD UMAR BIN SHAARI</v>
      </c>
      <c r="V3064" t="str">
        <f t="shared" si="1245"/>
        <v>FARHANA BINTI MUSTAPA</v>
      </c>
      <c r="W3064" t="str">
        <f t="shared" si="1246"/>
        <v>04-08-2020</v>
      </c>
      <c r="X3064" t="str">
        <f t="shared" si="1247"/>
        <v>RAZIMAH ANSAR AHMAD</v>
      </c>
      <c r="Y3064" t="str">
        <f t="shared" si="1248"/>
        <v>04-08-2020</v>
      </c>
      <c r="Z3064" t="str">
        <f>"COS10200804 6090"</f>
        <v>COS10200804 6090</v>
      </c>
    </row>
    <row r="3065" spans="1:26" x14ac:dyDescent="0.25">
      <c r="A3065" t="str">
        <f t="shared" si="1257"/>
        <v>04-08-2020 12:58:57</v>
      </c>
      <c r="B3065" t="str">
        <f>"0000807880"</f>
        <v>0000807880</v>
      </c>
      <c r="C3065" t="str">
        <f t="shared" si="1258"/>
        <v>0000807791</v>
      </c>
      <c r="D3065" t="str">
        <f t="shared" si="1236"/>
        <v>73185</v>
      </c>
      <c r="E3065" t="str">
        <f t="shared" si="1237"/>
        <v>KFH-OPERATIONS DEPARTMENT</v>
      </c>
      <c r="F3065" t="str">
        <f t="shared" si="1238"/>
        <v>IBG</v>
      </c>
      <c r="G3065" t="str">
        <f t="shared" si="1251"/>
        <v>Refund COSHARE 10</v>
      </c>
      <c r="H3065" s="2">
        <v>50.4</v>
      </c>
      <c r="I3065" t="str">
        <f>"MUNISWARI AP NADARAJAN"</f>
        <v>MUNISWARI AP NADARAJAN</v>
      </c>
      <c r="J3065" t="str">
        <f t="shared" si="1252"/>
        <v>MAYBANK / MAYBANK ISLAMIC</v>
      </c>
      <c r="K3065" t="str">
        <f>"112148083765"</f>
        <v>112148083765</v>
      </c>
      <c r="L3065" t="str">
        <f t="shared" si="1255"/>
        <v>04-08-2020</v>
      </c>
      <c r="M3065" t="str">
        <f t="shared" si="1255"/>
        <v>04-08-2020</v>
      </c>
      <c r="N3065" t="str">
        <f t="shared" si="1239"/>
        <v>001105018356</v>
      </c>
      <c r="O3065" t="str">
        <f t="shared" si="1240"/>
        <v>MYR</v>
      </c>
      <c r="P3065" t="str">
        <f t="shared" si="1256"/>
        <v>NIL</v>
      </c>
      <c r="Q3065" t="str">
        <f t="shared" si="1256"/>
        <v>NIL</v>
      </c>
      <c r="R3065" t="str">
        <f t="shared" si="1241"/>
        <v>Accepted</v>
      </c>
      <c r="S3065" t="str">
        <f t="shared" si="1242"/>
        <v>Approved</v>
      </c>
      <c r="T3065" t="str">
        <f t="shared" si="1243"/>
        <v>10.20.8.188</v>
      </c>
      <c r="U3065" t="str">
        <f t="shared" si="1244"/>
        <v>AZRAD UMAR BIN SHAARI</v>
      </c>
      <c r="V3065" t="str">
        <f t="shared" si="1245"/>
        <v>FARHANA BINTI MUSTAPA</v>
      </c>
      <c r="W3065" t="str">
        <f t="shared" si="1246"/>
        <v>04-08-2020</v>
      </c>
      <c r="X3065" t="str">
        <f t="shared" si="1247"/>
        <v>RAZIMAH ANSAR AHMAD</v>
      </c>
      <c r="Y3065" t="str">
        <f t="shared" si="1248"/>
        <v>04-08-2020</v>
      </c>
      <c r="Z3065" t="str">
        <f>"COS10200804 6089"</f>
        <v>COS10200804 6089</v>
      </c>
    </row>
    <row r="3066" spans="1:26" x14ac:dyDescent="0.25">
      <c r="A3066" t="str">
        <f t="shared" si="1257"/>
        <v>04-08-2020 12:58:57</v>
      </c>
      <c r="B3066" t="str">
        <f>"0000807879"</f>
        <v>0000807879</v>
      </c>
      <c r="C3066" t="str">
        <f t="shared" si="1258"/>
        <v>0000807791</v>
      </c>
      <c r="D3066" t="str">
        <f t="shared" si="1236"/>
        <v>73185</v>
      </c>
      <c r="E3066" t="str">
        <f t="shared" si="1237"/>
        <v>KFH-OPERATIONS DEPARTMENT</v>
      </c>
      <c r="F3066" t="str">
        <f t="shared" si="1238"/>
        <v>IBG</v>
      </c>
      <c r="G3066" t="str">
        <f t="shared" si="1251"/>
        <v>Refund COSHARE 10</v>
      </c>
      <c r="H3066" s="2">
        <v>587.65</v>
      </c>
      <c r="I3066" t="str">
        <f>"MUNIRAH BINTI MUHAMED"</f>
        <v>MUNIRAH BINTI MUHAMED</v>
      </c>
      <c r="J3066" t="str">
        <f t="shared" si="1252"/>
        <v>MAYBANK / MAYBANK ISLAMIC</v>
      </c>
      <c r="K3066" t="str">
        <f>"162263234421"</f>
        <v>162263234421</v>
      </c>
      <c r="L3066" t="str">
        <f t="shared" si="1255"/>
        <v>04-08-2020</v>
      </c>
      <c r="M3066" t="str">
        <f t="shared" si="1255"/>
        <v>04-08-2020</v>
      </c>
      <c r="N3066" t="str">
        <f t="shared" si="1239"/>
        <v>001105018356</v>
      </c>
      <c r="O3066" t="str">
        <f t="shared" si="1240"/>
        <v>MYR</v>
      </c>
      <c r="P3066" t="str">
        <f t="shared" si="1256"/>
        <v>NIL</v>
      </c>
      <c r="Q3066" t="str">
        <f t="shared" si="1256"/>
        <v>NIL</v>
      </c>
      <c r="R3066" t="str">
        <f t="shared" si="1241"/>
        <v>Accepted</v>
      </c>
      <c r="S3066" t="str">
        <f t="shared" si="1242"/>
        <v>Approved</v>
      </c>
      <c r="T3066" t="str">
        <f t="shared" si="1243"/>
        <v>10.20.8.188</v>
      </c>
      <c r="U3066" t="str">
        <f t="shared" si="1244"/>
        <v>AZRAD UMAR BIN SHAARI</v>
      </c>
      <c r="V3066" t="str">
        <f t="shared" si="1245"/>
        <v>FARHANA BINTI MUSTAPA</v>
      </c>
      <c r="W3066" t="str">
        <f t="shared" si="1246"/>
        <v>04-08-2020</v>
      </c>
      <c r="X3066" t="str">
        <f t="shared" si="1247"/>
        <v>RAZIMAH ANSAR AHMAD</v>
      </c>
      <c r="Y3066" t="str">
        <f t="shared" si="1248"/>
        <v>04-08-2020</v>
      </c>
      <c r="Z3066" t="str">
        <f>"COS10200804 6088"</f>
        <v>COS10200804 6088</v>
      </c>
    </row>
    <row r="3067" spans="1:26" x14ac:dyDescent="0.25">
      <c r="A3067" t="str">
        <f t="shared" si="1257"/>
        <v>04-08-2020 12:58:57</v>
      </c>
      <c r="B3067" t="str">
        <f>"0000807878"</f>
        <v>0000807878</v>
      </c>
      <c r="C3067" t="str">
        <f t="shared" si="1258"/>
        <v>0000807791</v>
      </c>
      <c r="D3067" t="str">
        <f t="shared" si="1236"/>
        <v>73185</v>
      </c>
      <c r="E3067" t="str">
        <f t="shared" si="1237"/>
        <v>KFH-OPERATIONS DEPARTMENT</v>
      </c>
      <c r="F3067" t="str">
        <f t="shared" si="1238"/>
        <v>IBG</v>
      </c>
      <c r="G3067" t="str">
        <f t="shared" si="1251"/>
        <v>Refund COSHARE 10</v>
      </c>
      <c r="H3067" s="2">
        <v>763.95</v>
      </c>
      <c r="I3067" t="str">
        <f>"MUNIRAH BINTI ABU BAKAR SIDEK"</f>
        <v>MUNIRAH BINTI ABU BAKAR SIDEK</v>
      </c>
      <c r="J3067" t="str">
        <f t="shared" si="1252"/>
        <v>MAYBANK / MAYBANK ISLAMIC</v>
      </c>
      <c r="K3067" t="str">
        <f>"164155510491"</f>
        <v>164155510491</v>
      </c>
      <c r="L3067" t="str">
        <f t="shared" ref="L3067:M3086" si="1259">"04-08-2020"</f>
        <v>04-08-2020</v>
      </c>
      <c r="M3067" t="str">
        <f t="shared" si="1259"/>
        <v>04-08-2020</v>
      </c>
      <c r="N3067" t="str">
        <f t="shared" si="1239"/>
        <v>001105018356</v>
      </c>
      <c r="O3067" t="str">
        <f t="shared" si="1240"/>
        <v>MYR</v>
      </c>
      <c r="P3067" t="str">
        <f t="shared" ref="P3067:Q3086" si="1260">"NIL"</f>
        <v>NIL</v>
      </c>
      <c r="Q3067" t="str">
        <f t="shared" si="1260"/>
        <v>NIL</v>
      </c>
      <c r="R3067" t="str">
        <f t="shared" si="1241"/>
        <v>Accepted</v>
      </c>
      <c r="S3067" t="str">
        <f t="shared" si="1242"/>
        <v>Approved</v>
      </c>
      <c r="T3067" t="str">
        <f t="shared" si="1243"/>
        <v>10.20.8.188</v>
      </c>
      <c r="U3067" t="str">
        <f t="shared" si="1244"/>
        <v>AZRAD UMAR BIN SHAARI</v>
      </c>
      <c r="V3067" t="str">
        <f t="shared" si="1245"/>
        <v>FARHANA BINTI MUSTAPA</v>
      </c>
      <c r="W3067" t="str">
        <f t="shared" si="1246"/>
        <v>04-08-2020</v>
      </c>
      <c r="X3067" t="str">
        <f t="shared" si="1247"/>
        <v>RAZIMAH ANSAR AHMAD</v>
      </c>
      <c r="Y3067" t="str">
        <f t="shared" si="1248"/>
        <v>04-08-2020</v>
      </c>
      <c r="Z3067" t="str">
        <f>"COS10200804 6087"</f>
        <v>COS10200804 6087</v>
      </c>
    </row>
    <row r="3068" spans="1:26" x14ac:dyDescent="0.25">
      <c r="A3068" t="str">
        <f t="shared" si="1257"/>
        <v>04-08-2020 12:58:57</v>
      </c>
      <c r="B3068" t="str">
        <f>"0000807877"</f>
        <v>0000807877</v>
      </c>
      <c r="C3068" t="str">
        <f t="shared" si="1258"/>
        <v>0000807791</v>
      </c>
      <c r="D3068" t="str">
        <f t="shared" si="1236"/>
        <v>73185</v>
      </c>
      <c r="E3068" t="str">
        <f t="shared" si="1237"/>
        <v>KFH-OPERATIONS DEPARTMENT</v>
      </c>
      <c r="F3068" t="str">
        <f t="shared" si="1238"/>
        <v>IBG</v>
      </c>
      <c r="G3068" t="str">
        <f t="shared" si="1251"/>
        <v>Refund COSHARE 10</v>
      </c>
      <c r="H3068" s="2">
        <v>763.95</v>
      </c>
      <c r="I3068" t="str">
        <f>"MUNIRAH BINTI ABU BAKAR SIDEK"</f>
        <v>MUNIRAH BINTI ABU BAKAR SIDEK</v>
      </c>
      <c r="J3068" t="str">
        <f t="shared" si="1252"/>
        <v>MAYBANK / MAYBANK ISLAMIC</v>
      </c>
      <c r="K3068" t="str">
        <f>"164155510491"</f>
        <v>164155510491</v>
      </c>
      <c r="L3068" t="str">
        <f t="shared" si="1259"/>
        <v>04-08-2020</v>
      </c>
      <c r="M3068" t="str">
        <f t="shared" si="1259"/>
        <v>04-08-2020</v>
      </c>
      <c r="N3068" t="str">
        <f t="shared" si="1239"/>
        <v>001105018356</v>
      </c>
      <c r="O3068" t="str">
        <f t="shared" si="1240"/>
        <v>MYR</v>
      </c>
      <c r="P3068" t="str">
        <f t="shared" si="1260"/>
        <v>NIL</v>
      </c>
      <c r="Q3068" t="str">
        <f t="shared" si="1260"/>
        <v>NIL</v>
      </c>
      <c r="R3068" t="str">
        <f t="shared" si="1241"/>
        <v>Accepted</v>
      </c>
      <c r="S3068" t="str">
        <f t="shared" si="1242"/>
        <v>Approved</v>
      </c>
      <c r="T3068" t="str">
        <f t="shared" si="1243"/>
        <v>10.20.8.188</v>
      </c>
      <c r="U3068" t="str">
        <f t="shared" si="1244"/>
        <v>AZRAD UMAR BIN SHAARI</v>
      </c>
      <c r="V3068" t="str">
        <f t="shared" si="1245"/>
        <v>FARHANA BINTI MUSTAPA</v>
      </c>
      <c r="W3068" t="str">
        <f t="shared" si="1246"/>
        <v>04-08-2020</v>
      </c>
      <c r="X3068" t="str">
        <f t="shared" si="1247"/>
        <v>RAZIMAH ANSAR AHMAD</v>
      </c>
      <c r="Y3068" t="str">
        <f t="shared" si="1248"/>
        <v>04-08-2020</v>
      </c>
      <c r="Z3068" t="str">
        <f>"COS10200804 6086"</f>
        <v>COS10200804 6086</v>
      </c>
    </row>
    <row r="3069" spans="1:26" x14ac:dyDescent="0.25">
      <c r="A3069" t="str">
        <f t="shared" si="1257"/>
        <v>04-08-2020 12:58:57</v>
      </c>
      <c r="B3069" t="str">
        <f>"0000807876"</f>
        <v>0000807876</v>
      </c>
      <c r="C3069" t="str">
        <f t="shared" si="1258"/>
        <v>0000807791</v>
      </c>
      <c r="D3069" t="str">
        <f t="shared" si="1236"/>
        <v>73185</v>
      </c>
      <c r="E3069" t="str">
        <f t="shared" si="1237"/>
        <v>KFH-OPERATIONS DEPARTMENT</v>
      </c>
      <c r="F3069" t="str">
        <f t="shared" si="1238"/>
        <v>IBG</v>
      </c>
      <c r="G3069" t="str">
        <f t="shared" si="1251"/>
        <v>Refund COSHARE 10</v>
      </c>
      <c r="H3069" s="2">
        <v>1569.85</v>
      </c>
      <c r="I3069" t="str">
        <f>"MUNIRAH BINTI ABD MULOK"</f>
        <v>MUNIRAH BINTI ABD MULOK</v>
      </c>
      <c r="J3069" t="str">
        <f t="shared" si="1252"/>
        <v>MAYBANK / MAYBANK ISLAMIC</v>
      </c>
      <c r="K3069" t="str">
        <f>"164472239817"</f>
        <v>164472239817</v>
      </c>
      <c r="L3069" t="str">
        <f t="shared" si="1259"/>
        <v>04-08-2020</v>
      </c>
      <c r="M3069" t="str">
        <f t="shared" si="1259"/>
        <v>04-08-2020</v>
      </c>
      <c r="N3069" t="str">
        <f t="shared" si="1239"/>
        <v>001105018356</v>
      </c>
      <c r="O3069" t="str">
        <f t="shared" si="1240"/>
        <v>MYR</v>
      </c>
      <c r="P3069" t="str">
        <f t="shared" si="1260"/>
        <v>NIL</v>
      </c>
      <c r="Q3069" t="str">
        <f t="shared" si="1260"/>
        <v>NIL</v>
      </c>
      <c r="R3069" t="str">
        <f t="shared" si="1241"/>
        <v>Accepted</v>
      </c>
      <c r="S3069" t="str">
        <f t="shared" si="1242"/>
        <v>Approved</v>
      </c>
      <c r="T3069" t="str">
        <f t="shared" si="1243"/>
        <v>10.20.8.188</v>
      </c>
      <c r="U3069" t="str">
        <f t="shared" si="1244"/>
        <v>AZRAD UMAR BIN SHAARI</v>
      </c>
      <c r="V3069" t="str">
        <f t="shared" si="1245"/>
        <v>FARHANA BINTI MUSTAPA</v>
      </c>
      <c r="W3069" t="str">
        <f t="shared" si="1246"/>
        <v>04-08-2020</v>
      </c>
      <c r="X3069" t="str">
        <f t="shared" si="1247"/>
        <v>RAZIMAH ANSAR AHMAD</v>
      </c>
      <c r="Y3069" t="str">
        <f t="shared" si="1248"/>
        <v>04-08-2020</v>
      </c>
      <c r="Z3069" t="str">
        <f>"COS10200804 6085"</f>
        <v>COS10200804 6085</v>
      </c>
    </row>
    <row r="3070" spans="1:26" x14ac:dyDescent="0.25">
      <c r="A3070" t="str">
        <f t="shared" si="1257"/>
        <v>04-08-2020 12:58:57</v>
      </c>
      <c r="B3070" t="str">
        <f>"0000807875"</f>
        <v>0000807875</v>
      </c>
      <c r="C3070" t="str">
        <f t="shared" si="1258"/>
        <v>0000807791</v>
      </c>
      <c r="D3070" t="str">
        <f t="shared" si="1236"/>
        <v>73185</v>
      </c>
      <c r="E3070" t="str">
        <f t="shared" si="1237"/>
        <v>KFH-OPERATIONS DEPARTMENT</v>
      </c>
      <c r="F3070" t="str">
        <f t="shared" si="1238"/>
        <v>IBG</v>
      </c>
      <c r="G3070" t="str">
        <f t="shared" si="1251"/>
        <v>Refund COSHARE 10</v>
      </c>
      <c r="H3070" s="2">
        <v>520</v>
      </c>
      <c r="I3070" t="str">
        <f>"MUNIRAH  MUNIROH BINTI AHMAD"</f>
        <v>MUNIRAH  MUNIROH BINTI AHMAD</v>
      </c>
      <c r="J3070" t="str">
        <f t="shared" si="1252"/>
        <v>MAYBANK / MAYBANK ISLAMIC</v>
      </c>
      <c r="K3070" t="str">
        <f>"110108200546"</f>
        <v>110108200546</v>
      </c>
      <c r="L3070" t="str">
        <f t="shared" si="1259"/>
        <v>04-08-2020</v>
      </c>
      <c r="M3070" t="str">
        <f t="shared" si="1259"/>
        <v>04-08-2020</v>
      </c>
      <c r="N3070" t="str">
        <f t="shared" si="1239"/>
        <v>001105018356</v>
      </c>
      <c r="O3070" t="str">
        <f t="shared" si="1240"/>
        <v>MYR</v>
      </c>
      <c r="P3070" t="str">
        <f t="shared" si="1260"/>
        <v>NIL</v>
      </c>
      <c r="Q3070" t="str">
        <f t="shared" si="1260"/>
        <v>NIL</v>
      </c>
      <c r="R3070" t="str">
        <f t="shared" si="1241"/>
        <v>Accepted</v>
      </c>
      <c r="S3070" t="str">
        <f t="shared" si="1242"/>
        <v>Approved</v>
      </c>
      <c r="T3070" t="str">
        <f t="shared" si="1243"/>
        <v>10.20.8.188</v>
      </c>
      <c r="U3070" t="str">
        <f t="shared" si="1244"/>
        <v>AZRAD UMAR BIN SHAARI</v>
      </c>
      <c r="V3070" t="str">
        <f t="shared" si="1245"/>
        <v>FARHANA BINTI MUSTAPA</v>
      </c>
      <c r="W3070" t="str">
        <f t="shared" si="1246"/>
        <v>04-08-2020</v>
      </c>
      <c r="X3070" t="str">
        <f t="shared" si="1247"/>
        <v>RAZIMAH ANSAR AHMAD</v>
      </c>
      <c r="Y3070" t="str">
        <f t="shared" si="1248"/>
        <v>04-08-2020</v>
      </c>
      <c r="Z3070" t="str">
        <f>"COS10200804 6084"</f>
        <v>COS10200804 6084</v>
      </c>
    </row>
    <row r="3071" spans="1:26" x14ac:dyDescent="0.25">
      <c r="A3071" t="str">
        <f t="shared" si="1257"/>
        <v>04-08-2020 12:58:57</v>
      </c>
      <c r="B3071" t="str">
        <f>"0000807874"</f>
        <v>0000807874</v>
      </c>
      <c r="C3071" t="str">
        <f t="shared" si="1258"/>
        <v>0000807791</v>
      </c>
      <c r="D3071" t="str">
        <f t="shared" si="1236"/>
        <v>73185</v>
      </c>
      <c r="E3071" t="str">
        <f t="shared" si="1237"/>
        <v>KFH-OPERATIONS DEPARTMENT</v>
      </c>
      <c r="F3071" t="str">
        <f t="shared" si="1238"/>
        <v>IBG</v>
      </c>
      <c r="G3071" t="str">
        <f t="shared" si="1251"/>
        <v>Refund COSHARE 10</v>
      </c>
      <c r="H3071" s="2">
        <v>768</v>
      </c>
      <c r="I3071" t="str">
        <f>"MUNALIZA BINTI MUSA"</f>
        <v>MUNALIZA BINTI MUSA</v>
      </c>
      <c r="J3071" t="str">
        <f t="shared" si="1252"/>
        <v>MAYBANK / MAYBANK ISLAMIC</v>
      </c>
      <c r="K3071" t="str">
        <f>"101218166850"</f>
        <v>101218166850</v>
      </c>
      <c r="L3071" t="str">
        <f t="shared" si="1259"/>
        <v>04-08-2020</v>
      </c>
      <c r="M3071" t="str">
        <f t="shared" si="1259"/>
        <v>04-08-2020</v>
      </c>
      <c r="N3071" t="str">
        <f t="shared" si="1239"/>
        <v>001105018356</v>
      </c>
      <c r="O3071" t="str">
        <f t="shared" si="1240"/>
        <v>MYR</v>
      </c>
      <c r="P3071" t="str">
        <f t="shared" si="1260"/>
        <v>NIL</v>
      </c>
      <c r="Q3071" t="str">
        <f t="shared" si="1260"/>
        <v>NIL</v>
      </c>
      <c r="R3071" t="str">
        <f t="shared" si="1241"/>
        <v>Accepted</v>
      </c>
      <c r="S3071" t="str">
        <f t="shared" si="1242"/>
        <v>Approved</v>
      </c>
      <c r="T3071" t="str">
        <f t="shared" si="1243"/>
        <v>10.20.8.188</v>
      </c>
      <c r="U3071" t="str">
        <f t="shared" si="1244"/>
        <v>AZRAD UMAR BIN SHAARI</v>
      </c>
      <c r="V3071" t="str">
        <f t="shared" si="1245"/>
        <v>FARHANA BINTI MUSTAPA</v>
      </c>
      <c r="W3071" t="str">
        <f t="shared" si="1246"/>
        <v>04-08-2020</v>
      </c>
      <c r="X3071" t="str">
        <f t="shared" si="1247"/>
        <v>RAZIMAH ANSAR AHMAD</v>
      </c>
      <c r="Y3071" t="str">
        <f t="shared" si="1248"/>
        <v>04-08-2020</v>
      </c>
      <c r="Z3071" t="str">
        <f>"COS10200804 6083"</f>
        <v>COS10200804 6083</v>
      </c>
    </row>
    <row r="3072" spans="1:26" x14ac:dyDescent="0.25">
      <c r="A3072" t="str">
        <f t="shared" si="1257"/>
        <v>04-08-2020 12:58:57</v>
      </c>
      <c r="B3072" t="str">
        <f>"0000807873"</f>
        <v>0000807873</v>
      </c>
      <c r="C3072" t="str">
        <f t="shared" si="1258"/>
        <v>0000807791</v>
      </c>
      <c r="D3072" t="str">
        <f t="shared" si="1236"/>
        <v>73185</v>
      </c>
      <c r="E3072" t="str">
        <f t="shared" si="1237"/>
        <v>KFH-OPERATIONS DEPARTMENT</v>
      </c>
      <c r="F3072" t="str">
        <f t="shared" si="1238"/>
        <v>IBG</v>
      </c>
      <c r="G3072" t="str">
        <f t="shared" si="1251"/>
        <v>Refund COSHARE 10</v>
      </c>
      <c r="H3072" s="2">
        <v>736.25</v>
      </c>
      <c r="I3072" t="str">
        <f>"MUNAHRI BINTI MOHAMAD"</f>
        <v>MUNAHRI BINTI MOHAMAD</v>
      </c>
      <c r="J3072" t="str">
        <f t="shared" si="1252"/>
        <v>MAYBANK / MAYBANK ISLAMIC</v>
      </c>
      <c r="K3072" t="str">
        <f>"110059167543"</f>
        <v>110059167543</v>
      </c>
      <c r="L3072" t="str">
        <f t="shared" si="1259"/>
        <v>04-08-2020</v>
      </c>
      <c r="M3072" t="str">
        <f t="shared" si="1259"/>
        <v>04-08-2020</v>
      </c>
      <c r="N3072" t="str">
        <f t="shared" si="1239"/>
        <v>001105018356</v>
      </c>
      <c r="O3072" t="str">
        <f t="shared" si="1240"/>
        <v>MYR</v>
      </c>
      <c r="P3072" t="str">
        <f t="shared" si="1260"/>
        <v>NIL</v>
      </c>
      <c r="Q3072" t="str">
        <f t="shared" si="1260"/>
        <v>NIL</v>
      </c>
      <c r="R3072" t="str">
        <f t="shared" si="1241"/>
        <v>Accepted</v>
      </c>
      <c r="S3072" t="str">
        <f t="shared" si="1242"/>
        <v>Approved</v>
      </c>
      <c r="T3072" t="str">
        <f t="shared" si="1243"/>
        <v>10.20.8.188</v>
      </c>
      <c r="U3072" t="str">
        <f t="shared" si="1244"/>
        <v>AZRAD UMAR BIN SHAARI</v>
      </c>
      <c r="V3072" t="str">
        <f t="shared" si="1245"/>
        <v>FARHANA BINTI MUSTAPA</v>
      </c>
      <c r="W3072" t="str">
        <f t="shared" si="1246"/>
        <v>04-08-2020</v>
      </c>
      <c r="X3072" t="str">
        <f t="shared" si="1247"/>
        <v>RAZIMAH ANSAR AHMAD</v>
      </c>
      <c r="Y3072" t="str">
        <f t="shared" si="1248"/>
        <v>04-08-2020</v>
      </c>
      <c r="Z3072" t="str">
        <f>"COS10200804 6082"</f>
        <v>COS10200804 6082</v>
      </c>
    </row>
    <row r="3073" spans="1:26" x14ac:dyDescent="0.25">
      <c r="A3073" t="str">
        <f t="shared" si="1257"/>
        <v>04-08-2020 12:58:57</v>
      </c>
      <c r="B3073" t="str">
        <f>"0000807872"</f>
        <v>0000807872</v>
      </c>
      <c r="C3073" t="str">
        <f t="shared" si="1258"/>
        <v>0000807791</v>
      </c>
      <c r="D3073" t="str">
        <f t="shared" si="1236"/>
        <v>73185</v>
      </c>
      <c r="E3073" t="str">
        <f t="shared" si="1237"/>
        <v>KFH-OPERATIONS DEPARTMENT</v>
      </c>
      <c r="F3073" t="str">
        <f t="shared" si="1238"/>
        <v>IBG</v>
      </c>
      <c r="G3073" t="str">
        <f t="shared" si="1251"/>
        <v>Refund COSHARE 10</v>
      </c>
      <c r="H3073" s="2">
        <v>49.15</v>
      </c>
      <c r="I3073" t="str">
        <f>"MUMTAZAH BINTI IBRAHIM"</f>
        <v>MUMTAZAH BINTI IBRAHIM</v>
      </c>
      <c r="J3073" t="str">
        <f t="shared" si="1252"/>
        <v>MAYBANK / MAYBANK ISLAMIC</v>
      </c>
      <c r="K3073" t="str">
        <f>"151575231784"</f>
        <v>151575231784</v>
      </c>
      <c r="L3073" t="str">
        <f t="shared" si="1259"/>
        <v>04-08-2020</v>
      </c>
      <c r="M3073" t="str">
        <f t="shared" si="1259"/>
        <v>04-08-2020</v>
      </c>
      <c r="N3073" t="str">
        <f t="shared" si="1239"/>
        <v>001105018356</v>
      </c>
      <c r="O3073" t="str">
        <f t="shared" si="1240"/>
        <v>MYR</v>
      </c>
      <c r="P3073" t="str">
        <f t="shared" si="1260"/>
        <v>NIL</v>
      </c>
      <c r="Q3073" t="str">
        <f t="shared" si="1260"/>
        <v>NIL</v>
      </c>
      <c r="R3073" t="str">
        <f t="shared" si="1241"/>
        <v>Accepted</v>
      </c>
      <c r="S3073" t="str">
        <f t="shared" si="1242"/>
        <v>Approved</v>
      </c>
      <c r="T3073" t="str">
        <f t="shared" si="1243"/>
        <v>10.20.8.188</v>
      </c>
      <c r="U3073" t="str">
        <f t="shared" si="1244"/>
        <v>AZRAD UMAR BIN SHAARI</v>
      </c>
      <c r="V3073" t="str">
        <f t="shared" si="1245"/>
        <v>FARHANA BINTI MUSTAPA</v>
      </c>
      <c r="W3073" t="str">
        <f t="shared" si="1246"/>
        <v>04-08-2020</v>
      </c>
      <c r="X3073" t="str">
        <f t="shared" si="1247"/>
        <v>RAZIMAH ANSAR AHMAD</v>
      </c>
      <c r="Y3073" t="str">
        <f t="shared" si="1248"/>
        <v>04-08-2020</v>
      </c>
      <c r="Z3073" t="str">
        <f>"COS10200804 6081"</f>
        <v>COS10200804 6081</v>
      </c>
    </row>
    <row r="3074" spans="1:26" x14ac:dyDescent="0.25">
      <c r="A3074" t="str">
        <f t="shared" si="1257"/>
        <v>04-08-2020 12:58:57</v>
      </c>
      <c r="B3074" t="str">
        <f>"0000807871"</f>
        <v>0000807871</v>
      </c>
      <c r="C3074" t="str">
        <f t="shared" si="1258"/>
        <v>0000807791</v>
      </c>
      <c r="D3074" t="str">
        <f t="shared" si="1236"/>
        <v>73185</v>
      </c>
      <c r="E3074" t="str">
        <f t="shared" si="1237"/>
        <v>KFH-OPERATIONS DEPARTMENT</v>
      </c>
      <c r="F3074" t="str">
        <f t="shared" si="1238"/>
        <v>IBG</v>
      </c>
      <c r="G3074" t="str">
        <f t="shared" si="1251"/>
        <v>Refund COSHARE 10</v>
      </c>
      <c r="H3074" s="2">
        <v>100.65</v>
      </c>
      <c r="I3074" t="str">
        <f>"MUKBIRUN BIN JUMLADUN"</f>
        <v>MUKBIRUN BIN JUMLADUN</v>
      </c>
      <c r="J3074" t="str">
        <f t="shared" si="1252"/>
        <v>MAYBANK / MAYBANK ISLAMIC</v>
      </c>
      <c r="K3074" t="str">
        <f>"162236569721"</f>
        <v>162236569721</v>
      </c>
      <c r="L3074" t="str">
        <f t="shared" si="1259"/>
        <v>04-08-2020</v>
      </c>
      <c r="M3074" t="str">
        <f t="shared" si="1259"/>
        <v>04-08-2020</v>
      </c>
      <c r="N3074" t="str">
        <f t="shared" si="1239"/>
        <v>001105018356</v>
      </c>
      <c r="O3074" t="str">
        <f t="shared" si="1240"/>
        <v>MYR</v>
      </c>
      <c r="P3074" t="str">
        <f t="shared" si="1260"/>
        <v>NIL</v>
      </c>
      <c r="Q3074" t="str">
        <f t="shared" si="1260"/>
        <v>NIL</v>
      </c>
      <c r="R3074" t="str">
        <f t="shared" si="1241"/>
        <v>Accepted</v>
      </c>
      <c r="S3074" t="str">
        <f t="shared" si="1242"/>
        <v>Approved</v>
      </c>
      <c r="T3074" t="str">
        <f t="shared" si="1243"/>
        <v>10.20.8.188</v>
      </c>
      <c r="U3074" t="str">
        <f t="shared" si="1244"/>
        <v>AZRAD UMAR BIN SHAARI</v>
      </c>
      <c r="V3074" t="str">
        <f t="shared" si="1245"/>
        <v>FARHANA BINTI MUSTAPA</v>
      </c>
      <c r="W3074" t="str">
        <f t="shared" si="1246"/>
        <v>04-08-2020</v>
      </c>
      <c r="X3074" t="str">
        <f t="shared" si="1247"/>
        <v>RAZIMAH ANSAR AHMAD</v>
      </c>
      <c r="Y3074" t="str">
        <f t="shared" si="1248"/>
        <v>04-08-2020</v>
      </c>
      <c r="Z3074" t="str">
        <f>"COS10200804 6080"</f>
        <v>COS10200804 6080</v>
      </c>
    </row>
    <row r="3075" spans="1:26" x14ac:dyDescent="0.25">
      <c r="A3075" t="str">
        <f t="shared" si="1257"/>
        <v>04-08-2020 12:58:57</v>
      </c>
      <c r="B3075" t="str">
        <f>"0000807870"</f>
        <v>0000807870</v>
      </c>
      <c r="C3075" t="str">
        <f t="shared" si="1258"/>
        <v>0000807791</v>
      </c>
      <c r="D3075" t="str">
        <f t="shared" si="1236"/>
        <v>73185</v>
      </c>
      <c r="E3075" t="str">
        <f t="shared" si="1237"/>
        <v>KFH-OPERATIONS DEPARTMENT</v>
      </c>
      <c r="F3075" t="str">
        <f t="shared" si="1238"/>
        <v>IBG</v>
      </c>
      <c r="G3075" t="str">
        <f t="shared" si="1251"/>
        <v>Refund COSHARE 10</v>
      </c>
      <c r="H3075" s="2">
        <v>689.6</v>
      </c>
      <c r="I3075" t="str">
        <f>"MUJAHID BIN ABD WAHAB"</f>
        <v>MUJAHID BIN ABD WAHAB</v>
      </c>
      <c r="J3075" t="str">
        <f t="shared" si="1252"/>
        <v>MAYBANK / MAYBANK ISLAMIC</v>
      </c>
      <c r="K3075" t="str">
        <f>"164306313509"</f>
        <v>164306313509</v>
      </c>
      <c r="L3075" t="str">
        <f t="shared" si="1259"/>
        <v>04-08-2020</v>
      </c>
      <c r="M3075" t="str">
        <f t="shared" si="1259"/>
        <v>04-08-2020</v>
      </c>
      <c r="N3075" t="str">
        <f t="shared" si="1239"/>
        <v>001105018356</v>
      </c>
      <c r="O3075" t="str">
        <f t="shared" si="1240"/>
        <v>MYR</v>
      </c>
      <c r="P3075" t="str">
        <f t="shared" si="1260"/>
        <v>NIL</v>
      </c>
      <c r="Q3075" t="str">
        <f t="shared" si="1260"/>
        <v>NIL</v>
      </c>
      <c r="R3075" t="str">
        <f t="shared" si="1241"/>
        <v>Accepted</v>
      </c>
      <c r="S3075" t="str">
        <f t="shared" si="1242"/>
        <v>Approved</v>
      </c>
      <c r="T3075" t="str">
        <f t="shared" si="1243"/>
        <v>10.20.8.188</v>
      </c>
      <c r="U3075" t="str">
        <f t="shared" si="1244"/>
        <v>AZRAD UMAR BIN SHAARI</v>
      </c>
      <c r="V3075" t="str">
        <f t="shared" si="1245"/>
        <v>FARHANA BINTI MUSTAPA</v>
      </c>
      <c r="W3075" t="str">
        <f t="shared" si="1246"/>
        <v>04-08-2020</v>
      </c>
      <c r="X3075" t="str">
        <f t="shared" si="1247"/>
        <v>RAZIMAH ANSAR AHMAD</v>
      </c>
      <c r="Y3075" t="str">
        <f t="shared" si="1248"/>
        <v>04-08-2020</v>
      </c>
      <c r="Z3075" t="str">
        <f>"COS10200804 6079"</f>
        <v>COS10200804 6079</v>
      </c>
    </row>
    <row r="3076" spans="1:26" x14ac:dyDescent="0.25">
      <c r="A3076" t="str">
        <f t="shared" si="1257"/>
        <v>04-08-2020 12:58:57</v>
      </c>
      <c r="B3076" t="str">
        <f>"0000807869"</f>
        <v>0000807869</v>
      </c>
      <c r="C3076" t="str">
        <f t="shared" si="1258"/>
        <v>0000807791</v>
      </c>
      <c r="D3076" t="str">
        <f t="shared" si="1236"/>
        <v>73185</v>
      </c>
      <c r="E3076" t="str">
        <f t="shared" si="1237"/>
        <v>KFH-OPERATIONS DEPARTMENT</v>
      </c>
      <c r="F3076" t="str">
        <f t="shared" si="1238"/>
        <v>IBG</v>
      </c>
      <c r="G3076" t="str">
        <f t="shared" si="1251"/>
        <v>Refund COSHARE 10</v>
      </c>
      <c r="H3076" s="2">
        <v>470.15</v>
      </c>
      <c r="I3076" t="str">
        <f>"MUHSIN BIN HANID"</f>
        <v>MUHSIN BIN HANID</v>
      </c>
      <c r="J3076" t="str">
        <f t="shared" si="1252"/>
        <v>MAYBANK / MAYBANK ISLAMIC</v>
      </c>
      <c r="K3076" t="str">
        <f>"162151630080"</f>
        <v>162151630080</v>
      </c>
      <c r="L3076" t="str">
        <f t="shared" si="1259"/>
        <v>04-08-2020</v>
      </c>
      <c r="M3076" t="str">
        <f t="shared" si="1259"/>
        <v>04-08-2020</v>
      </c>
      <c r="N3076" t="str">
        <f t="shared" si="1239"/>
        <v>001105018356</v>
      </c>
      <c r="O3076" t="str">
        <f t="shared" si="1240"/>
        <v>MYR</v>
      </c>
      <c r="P3076" t="str">
        <f t="shared" si="1260"/>
        <v>NIL</v>
      </c>
      <c r="Q3076" t="str">
        <f t="shared" si="1260"/>
        <v>NIL</v>
      </c>
      <c r="R3076" t="str">
        <f t="shared" si="1241"/>
        <v>Accepted</v>
      </c>
      <c r="S3076" t="str">
        <f t="shared" si="1242"/>
        <v>Approved</v>
      </c>
      <c r="T3076" t="str">
        <f t="shared" si="1243"/>
        <v>10.20.8.188</v>
      </c>
      <c r="U3076" t="str">
        <f t="shared" si="1244"/>
        <v>AZRAD UMAR BIN SHAARI</v>
      </c>
      <c r="V3076" t="str">
        <f t="shared" si="1245"/>
        <v>FARHANA BINTI MUSTAPA</v>
      </c>
      <c r="W3076" t="str">
        <f t="shared" si="1246"/>
        <v>04-08-2020</v>
      </c>
      <c r="X3076" t="str">
        <f t="shared" si="1247"/>
        <v>RAZIMAH ANSAR AHMAD</v>
      </c>
      <c r="Y3076" t="str">
        <f t="shared" si="1248"/>
        <v>04-08-2020</v>
      </c>
      <c r="Z3076" t="str">
        <f>"COS10200804 6078"</f>
        <v>COS10200804 6078</v>
      </c>
    </row>
    <row r="3077" spans="1:26" x14ac:dyDescent="0.25">
      <c r="A3077" t="str">
        <f t="shared" si="1257"/>
        <v>04-08-2020 12:58:57</v>
      </c>
      <c r="B3077" t="str">
        <f>"0000807868"</f>
        <v>0000807868</v>
      </c>
      <c r="C3077" t="str">
        <f t="shared" si="1258"/>
        <v>0000807791</v>
      </c>
      <c r="D3077" t="str">
        <f t="shared" si="1236"/>
        <v>73185</v>
      </c>
      <c r="E3077" t="str">
        <f t="shared" si="1237"/>
        <v>KFH-OPERATIONS DEPARTMENT</v>
      </c>
      <c r="F3077" t="str">
        <f t="shared" si="1238"/>
        <v>IBG</v>
      </c>
      <c r="G3077" t="str">
        <f t="shared" si="1251"/>
        <v>Refund COSHARE 10</v>
      </c>
      <c r="H3077" s="2">
        <v>142.75</v>
      </c>
      <c r="I3077" t="str">
        <f>"MUHD YAAKUB BIN RIDZUAN"</f>
        <v>MUHD YAAKUB BIN RIDZUAN</v>
      </c>
      <c r="J3077" t="str">
        <f t="shared" si="1252"/>
        <v>MAYBANK / MAYBANK ISLAMIC</v>
      </c>
      <c r="K3077" t="str">
        <f>"164221287428"</f>
        <v>164221287428</v>
      </c>
      <c r="L3077" t="str">
        <f t="shared" si="1259"/>
        <v>04-08-2020</v>
      </c>
      <c r="M3077" t="str">
        <f t="shared" si="1259"/>
        <v>04-08-2020</v>
      </c>
      <c r="N3077" t="str">
        <f t="shared" si="1239"/>
        <v>001105018356</v>
      </c>
      <c r="O3077" t="str">
        <f t="shared" si="1240"/>
        <v>MYR</v>
      </c>
      <c r="P3077" t="str">
        <f t="shared" si="1260"/>
        <v>NIL</v>
      </c>
      <c r="Q3077" t="str">
        <f t="shared" si="1260"/>
        <v>NIL</v>
      </c>
      <c r="R3077" t="str">
        <f t="shared" si="1241"/>
        <v>Accepted</v>
      </c>
      <c r="S3077" t="str">
        <f t="shared" si="1242"/>
        <v>Approved</v>
      </c>
      <c r="T3077" t="str">
        <f t="shared" si="1243"/>
        <v>10.20.8.188</v>
      </c>
      <c r="U3077" t="str">
        <f t="shared" si="1244"/>
        <v>AZRAD UMAR BIN SHAARI</v>
      </c>
      <c r="V3077" t="str">
        <f t="shared" si="1245"/>
        <v>FARHANA BINTI MUSTAPA</v>
      </c>
      <c r="W3077" t="str">
        <f t="shared" si="1246"/>
        <v>04-08-2020</v>
      </c>
      <c r="X3077" t="str">
        <f t="shared" si="1247"/>
        <v>RAZIMAH ANSAR AHMAD</v>
      </c>
      <c r="Y3077" t="str">
        <f t="shared" si="1248"/>
        <v>04-08-2020</v>
      </c>
      <c r="Z3077" t="str">
        <f>"COS10200804 6077"</f>
        <v>COS10200804 6077</v>
      </c>
    </row>
    <row r="3078" spans="1:26" x14ac:dyDescent="0.25">
      <c r="A3078" t="str">
        <f t="shared" si="1257"/>
        <v>04-08-2020 12:58:57</v>
      </c>
      <c r="B3078" t="str">
        <f>"0000807867"</f>
        <v>0000807867</v>
      </c>
      <c r="C3078" t="str">
        <f t="shared" si="1258"/>
        <v>0000807791</v>
      </c>
      <c r="D3078" t="str">
        <f t="shared" si="1236"/>
        <v>73185</v>
      </c>
      <c r="E3078" t="str">
        <f t="shared" si="1237"/>
        <v>KFH-OPERATIONS DEPARTMENT</v>
      </c>
      <c r="F3078" t="str">
        <f t="shared" si="1238"/>
        <v>IBG</v>
      </c>
      <c r="G3078" t="str">
        <f t="shared" si="1251"/>
        <v>Refund COSHARE 10</v>
      </c>
      <c r="H3078" s="2">
        <v>839.5</v>
      </c>
      <c r="I3078" t="str">
        <f>"MUHD NASAE BIN MAHYUDDIN"</f>
        <v>MUHD NASAE BIN MAHYUDDIN</v>
      </c>
      <c r="J3078" t="str">
        <f t="shared" si="1252"/>
        <v>MAYBANK / MAYBANK ISLAMIC</v>
      </c>
      <c r="K3078" t="str">
        <f>"158202119613"</f>
        <v>158202119613</v>
      </c>
      <c r="L3078" t="str">
        <f t="shared" si="1259"/>
        <v>04-08-2020</v>
      </c>
      <c r="M3078" t="str">
        <f t="shared" si="1259"/>
        <v>04-08-2020</v>
      </c>
      <c r="N3078" t="str">
        <f t="shared" si="1239"/>
        <v>001105018356</v>
      </c>
      <c r="O3078" t="str">
        <f t="shared" si="1240"/>
        <v>MYR</v>
      </c>
      <c r="P3078" t="str">
        <f t="shared" si="1260"/>
        <v>NIL</v>
      </c>
      <c r="Q3078" t="str">
        <f t="shared" si="1260"/>
        <v>NIL</v>
      </c>
      <c r="R3078" t="str">
        <f t="shared" si="1241"/>
        <v>Accepted</v>
      </c>
      <c r="S3078" t="str">
        <f t="shared" si="1242"/>
        <v>Approved</v>
      </c>
      <c r="T3078" t="str">
        <f t="shared" si="1243"/>
        <v>10.20.8.188</v>
      </c>
      <c r="U3078" t="str">
        <f t="shared" si="1244"/>
        <v>AZRAD UMAR BIN SHAARI</v>
      </c>
      <c r="V3078" t="str">
        <f t="shared" si="1245"/>
        <v>FARHANA BINTI MUSTAPA</v>
      </c>
      <c r="W3078" t="str">
        <f t="shared" si="1246"/>
        <v>04-08-2020</v>
      </c>
      <c r="X3078" t="str">
        <f t="shared" si="1247"/>
        <v>RAZIMAH ANSAR AHMAD</v>
      </c>
      <c r="Y3078" t="str">
        <f t="shared" si="1248"/>
        <v>04-08-2020</v>
      </c>
      <c r="Z3078" t="str">
        <f>"COS10200804 6076"</f>
        <v>COS10200804 6076</v>
      </c>
    </row>
    <row r="3079" spans="1:26" x14ac:dyDescent="0.25">
      <c r="A3079" t="str">
        <f t="shared" si="1257"/>
        <v>04-08-2020 12:58:57</v>
      </c>
      <c r="B3079" t="str">
        <f>"0000807866"</f>
        <v>0000807866</v>
      </c>
      <c r="C3079" t="str">
        <f t="shared" si="1258"/>
        <v>0000807791</v>
      </c>
      <c r="D3079" t="str">
        <f t="shared" ref="D3079:D3142" si="1261">"73185"</f>
        <v>73185</v>
      </c>
      <c r="E3079" t="str">
        <f t="shared" ref="E3079:E3142" si="1262">"KFH-OPERATIONS DEPARTMENT"</f>
        <v>KFH-OPERATIONS DEPARTMENT</v>
      </c>
      <c r="F3079" t="str">
        <f t="shared" ref="F3079:F3142" si="1263">"IBG"</f>
        <v>IBG</v>
      </c>
      <c r="G3079" t="str">
        <f t="shared" si="1251"/>
        <v>Refund COSHARE 10</v>
      </c>
      <c r="H3079" s="2">
        <v>251.85</v>
      </c>
      <c r="I3079" t="str">
        <f>"MUHD KHAIROL HISHAM BIN MUHAMAD MAZLAN"</f>
        <v>MUHD KHAIROL HISHAM BIN MUHAMAD MAZLAN</v>
      </c>
      <c r="J3079" t="str">
        <f t="shared" si="1252"/>
        <v>MAYBANK / MAYBANK ISLAMIC</v>
      </c>
      <c r="K3079" t="str">
        <f>"158435008920"</f>
        <v>158435008920</v>
      </c>
      <c r="L3079" t="str">
        <f t="shared" si="1259"/>
        <v>04-08-2020</v>
      </c>
      <c r="M3079" t="str">
        <f t="shared" si="1259"/>
        <v>04-08-2020</v>
      </c>
      <c r="N3079" t="str">
        <f t="shared" ref="N3079:N3142" si="1264">"001105018356"</f>
        <v>001105018356</v>
      </c>
      <c r="O3079" t="str">
        <f t="shared" ref="O3079:O3142" si="1265">"MYR"</f>
        <v>MYR</v>
      </c>
      <c r="P3079" t="str">
        <f t="shared" si="1260"/>
        <v>NIL</v>
      </c>
      <c r="Q3079" t="str">
        <f t="shared" si="1260"/>
        <v>NIL</v>
      </c>
      <c r="R3079" t="str">
        <f t="shared" ref="R3079:R3142" si="1266">"Accepted"</f>
        <v>Accepted</v>
      </c>
      <c r="S3079" t="str">
        <f t="shared" ref="S3079:S3142" si="1267">"Approved"</f>
        <v>Approved</v>
      </c>
      <c r="T3079" t="str">
        <f t="shared" ref="T3079:T3142" si="1268">"10.20.8.188"</f>
        <v>10.20.8.188</v>
      </c>
      <c r="U3079" t="str">
        <f t="shared" ref="U3079:U3142" si="1269">"AZRAD UMAR BIN SHAARI"</f>
        <v>AZRAD UMAR BIN SHAARI</v>
      </c>
      <c r="V3079" t="str">
        <f t="shared" ref="V3079:V3142" si="1270">"FARHANA BINTI MUSTAPA"</f>
        <v>FARHANA BINTI MUSTAPA</v>
      </c>
      <c r="W3079" t="str">
        <f t="shared" ref="W3079:W3142" si="1271">"04-08-2020"</f>
        <v>04-08-2020</v>
      </c>
      <c r="X3079" t="str">
        <f t="shared" ref="X3079:X3142" si="1272">"RAZIMAH ANSAR AHMAD"</f>
        <v>RAZIMAH ANSAR AHMAD</v>
      </c>
      <c r="Y3079" t="str">
        <f t="shared" ref="Y3079:Y3142" si="1273">"04-08-2020"</f>
        <v>04-08-2020</v>
      </c>
      <c r="Z3079" t="str">
        <f>"COS10200804 6075"</f>
        <v>COS10200804 6075</v>
      </c>
    </row>
    <row r="3080" spans="1:26" x14ac:dyDescent="0.25">
      <c r="A3080" t="str">
        <f t="shared" si="1257"/>
        <v>04-08-2020 12:58:57</v>
      </c>
      <c r="B3080" t="str">
        <f>"0000807865"</f>
        <v>0000807865</v>
      </c>
      <c r="C3080" t="str">
        <f t="shared" si="1258"/>
        <v>0000807791</v>
      </c>
      <c r="D3080" t="str">
        <f t="shared" si="1261"/>
        <v>73185</v>
      </c>
      <c r="E3080" t="str">
        <f t="shared" si="1262"/>
        <v>KFH-OPERATIONS DEPARTMENT</v>
      </c>
      <c r="F3080" t="str">
        <f t="shared" si="1263"/>
        <v>IBG</v>
      </c>
      <c r="G3080" t="str">
        <f t="shared" si="1251"/>
        <v>Refund COSHARE 10</v>
      </c>
      <c r="H3080" s="2">
        <v>125.95</v>
      </c>
      <c r="I3080" t="str">
        <f>"MUHD KAMIL BIN ABDUL RAHMAN"</f>
        <v>MUHD KAMIL BIN ABDUL RAHMAN</v>
      </c>
      <c r="J3080" t="str">
        <f t="shared" si="1252"/>
        <v>MAYBANK / MAYBANK ISLAMIC</v>
      </c>
      <c r="K3080" t="str">
        <f>"112045997269"</f>
        <v>112045997269</v>
      </c>
      <c r="L3080" t="str">
        <f t="shared" si="1259"/>
        <v>04-08-2020</v>
      </c>
      <c r="M3080" t="str">
        <f t="shared" si="1259"/>
        <v>04-08-2020</v>
      </c>
      <c r="N3080" t="str">
        <f t="shared" si="1264"/>
        <v>001105018356</v>
      </c>
      <c r="O3080" t="str">
        <f t="shared" si="1265"/>
        <v>MYR</v>
      </c>
      <c r="P3080" t="str">
        <f t="shared" si="1260"/>
        <v>NIL</v>
      </c>
      <c r="Q3080" t="str">
        <f t="shared" si="1260"/>
        <v>NIL</v>
      </c>
      <c r="R3080" t="str">
        <f t="shared" si="1266"/>
        <v>Accepted</v>
      </c>
      <c r="S3080" t="str">
        <f t="shared" si="1267"/>
        <v>Approved</v>
      </c>
      <c r="T3080" t="str">
        <f t="shared" si="1268"/>
        <v>10.20.8.188</v>
      </c>
      <c r="U3080" t="str">
        <f t="shared" si="1269"/>
        <v>AZRAD UMAR BIN SHAARI</v>
      </c>
      <c r="V3080" t="str">
        <f t="shared" si="1270"/>
        <v>FARHANA BINTI MUSTAPA</v>
      </c>
      <c r="W3080" t="str">
        <f t="shared" si="1271"/>
        <v>04-08-2020</v>
      </c>
      <c r="X3080" t="str">
        <f t="shared" si="1272"/>
        <v>RAZIMAH ANSAR AHMAD</v>
      </c>
      <c r="Y3080" t="str">
        <f t="shared" si="1273"/>
        <v>04-08-2020</v>
      </c>
      <c r="Z3080" t="str">
        <f>"COS10200804 6074"</f>
        <v>COS10200804 6074</v>
      </c>
    </row>
    <row r="3081" spans="1:26" x14ac:dyDescent="0.25">
      <c r="A3081" t="str">
        <f t="shared" si="1257"/>
        <v>04-08-2020 12:58:57</v>
      </c>
      <c r="B3081" t="str">
        <f>"0000807864"</f>
        <v>0000807864</v>
      </c>
      <c r="C3081" t="str">
        <f t="shared" si="1258"/>
        <v>0000807791</v>
      </c>
      <c r="D3081" t="str">
        <f t="shared" si="1261"/>
        <v>73185</v>
      </c>
      <c r="E3081" t="str">
        <f t="shared" si="1262"/>
        <v>KFH-OPERATIONS DEPARTMENT</v>
      </c>
      <c r="F3081" t="str">
        <f t="shared" si="1263"/>
        <v>IBG</v>
      </c>
      <c r="G3081" t="str">
        <f t="shared" si="1251"/>
        <v>Refund COSHARE 10</v>
      </c>
      <c r="H3081" s="2">
        <v>114</v>
      </c>
      <c r="I3081" t="str">
        <f>"MUHD HIZZAMIE BIN AHAMAD"</f>
        <v>MUHD HIZZAMIE BIN AHAMAD</v>
      </c>
      <c r="J3081" t="str">
        <f t="shared" si="1252"/>
        <v>MAYBANK / MAYBANK ISLAMIC</v>
      </c>
      <c r="K3081" t="str">
        <f>"152077279850"</f>
        <v>152077279850</v>
      </c>
      <c r="L3081" t="str">
        <f t="shared" si="1259"/>
        <v>04-08-2020</v>
      </c>
      <c r="M3081" t="str">
        <f t="shared" si="1259"/>
        <v>04-08-2020</v>
      </c>
      <c r="N3081" t="str">
        <f t="shared" si="1264"/>
        <v>001105018356</v>
      </c>
      <c r="O3081" t="str">
        <f t="shared" si="1265"/>
        <v>MYR</v>
      </c>
      <c r="P3081" t="str">
        <f t="shared" si="1260"/>
        <v>NIL</v>
      </c>
      <c r="Q3081" t="str">
        <f t="shared" si="1260"/>
        <v>NIL</v>
      </c>
      <c r="R3081" t="str">
        <f t="shared" si="1266"/>
        <v>Accepted</v>
      </c>
      <c r="S3081" t="str">
        <f t="shared" si="1267"/>
        <v>Approved</v>
      </c>
      <c r="T3081" t="str">
        <f t="shared" si="1268"/>
        <v>10.20.8.188</v>
      </c>
      <c r="U3081" t="str">
        <f t="shared" si="1269"/>
        <v>AZRAD UMAR BIN SHAARI</v>
      </c>
      <c r="V3081" t="str">
        <f t="shared" si="1270"/>
        <v>FARHANA BINTI MUSTAPA</v>
      </c>
      <c r="W3081" t="str">
        <f t="shared" si="1271"/>
        <v>04-08-2020</v>
      </c>
      <c r="X3081" t="str">
        <f t="shared" si="1272"/>
        <v>RAZIMAH ANSAR AHMAD</v>
      </c>
      <c r="Y3081" t="str">
        <f t="shared" si="1273"/>
        <v>04-08-2020</v>
      </c>
      <c r="Z3081" t="str">
        <f>"COS10200804 6073"</f>
        <v>COS10200804 6073</v>
      </c>
    </row>
    <row r="3082" spans="1:26" x14ac:dyDescent="0.25">
      <c r="A3082" t="str">
        <f t="shared" ref="A3082:A3113" si="1274">"04-08-2020 12:58:57"</f>
        <v>04-08-2020 12:58:57</v>
      </c>
      <c r="B3082" t="str">
        <f>"0000807863"</f>
        <v>0000807863</v>
      </c>
      <c r="C3082" t="str">
        <f t="shared" ref="C3082:C3113" si="1275">"0000807791"</f>
        <v>0000807791</v>
      </c>
      <c r="D3082" t="str">
        <f t="shared" si="1261"/>
        <v>73185</v>
      </c>
      <c r="E3082" t="str">
        <f t="shared" si="1262"/>
        <v>KFH-OPERATIONS DEPARTMENT</v>
      </c>
      <c r="F3082" t="str">
        <f t="shared" si="1263"/>
        <v>IBG</v>
      </c>
      <c r="G3082" t="str">
        <f t="shared" si="1251"/>
        <v>Refund COSHARE 10</v>
      </c>
      <c r="H3082" s="2">
        <v>1198.8</v>
      </c>
      <c r="I3082" t="str">
        <f>"MUHD HAZWAN HISYAM BIN ABU HASSAN"</f>
        <v>MUHD HAZWAN HISYAM BIN ABU HASSAN</v>
      </c>
      <c r="J3082" t="str">
        <f t="shared" si="1252"/>
        <v>MAYBANK / MAYBANK ISLAMIC</v>
      </c>
      <c r="K3082" t="str">
        <f>"164276559960"</f>
        <v>164276559960</v>
      </c>
      <c r="L3082" t="str">
        <f t="shared" si="1259"/>
        <v>04-08-2020</v>
      </c>
      <c r="M3082" t="str">
        <f t="shared" si="1259"/>
        <v>04-08-2020</v>
      </c>
      <c r="N3082" t="str">
        <f t="shared" si="1264"/>
        <v>001105018356</v>
      </c>
      <c r="O3082" t="str">
        <f t="shared" si="1265"/>
        <v>MYR</v>
      </c>
      <c r="P3082" t="str">
        <f t="shared" si="1260"/>
        <v>NIL</v>
      </c>
      <c r="Q3082" t="str">
        <f t="shared" si="1260"/>
        <v>NIL</v>
      </c>
      <c r="R3082" t="str">
        <f t="shared" si="1266"/>
        <v>Accepted</v>
      </c>
      <c r="S3082" t="str">
        <f t="shared" si="1267"/>
        <v>Approved</v>
      </c>
      <c r="T3082" t="str">
        <f t="shared" si="1268"/>
        <v>10.20.8.188</v>
      </c>
      <c r="U3082" t="str">
        <f t="shared" si="1269"/>
        <v>AZRAD UMAR BIN SHAARI</v>
      </c>
      <c r="V3082" t="str">
        <f t="shared" si="1270"/>
        <v>FARHANA BINTI MUSTAPA</v>
      </c>
      <c r="W3082" t="str">
        <f t="shared" si="1271"/>
        <v>04-08-2020</v>
      </c>
      <c r="X3082" t="str">
        <f t="shared" si="1272"/>
        <v>RAZIMAH ANSAR AHMAD</v>
      </c>
      <c r="Y3082" t="str">
        <f t="shared" si="1273"/>
        <v>04-08-2020</v>
      </c>
      <c r="Z3082" t="str">
        <f>"COS10200804 6072"</f>
        <v>COS10200804 6072</v>
      </c>
    </row>
    <row r="3083" spans="1:26" x14ac:dyDescent="0.25">
      <c r="A3083" t="str">
        <f t="shared" si="1274"/>
        <v>04-08-2020 12:58:57</v>
      </c>
      <c r="B3083" t="str">
        <f>"0000807862"</f>
        <v>0000807862</v>
      </c>
      <c r="C3083" t="str">
        <f t="shared" si="1275"/>
        <v>0000807791</v>
      </c>
      <c r="D3083" t="str">
        <f t="shared" si="1261"/>
        <v>73185</v>
      </c>
      <c r="E3083" t="str">
        <f t="shared" si="1262"/>
        <v>KFH-OPERATIONS DEPARTMENT</v>
      </c>
      <c r="F3083" t="str">
        <f t="shared" si="1263"/>
        <v>IBG</v>
      </c>
      <c r="G3083" t="str">
        <f t="shared" si="1251"/>
        <v>Refund COSHARE 10</v>
      </c>
      <c r="H3083" s="2">
        <v>1485.9</v>
      </c>
      <c r="I3083" t="str">
        <f>"MUHD FAHMI BIN HASRAR"</f>
        <v>MUHD FAHMI BIN HASRAR</v>
      </c>
      <c r="J3083" t="str">
        <f t="shared" si="1252"/>
        <v>MAYBANK / MAYBANK ISLAMIC</v>
      </c>
      <c r="K3083" t="str">
        <f>"162375709989"</f>
        <v>162375709989</v>
      </c>
      <c r="L3083" t="str">
        <f t="shared" si="1259"/>
        <v>04-08-2020</v>
      </c>
      <c r="M3083" t="str">
        <f t="shared" si="1259"/>
        <v>04-08-2020</v>
      </c>
      <c r="N3083" t="str">
        <f t="shared" si="1264"/>
        <v>001105018356</v>
      </c>
      <c r="O3083" t="str">
        <f t="shared" si="1265"/>
        <v>MYR</v>
      </c>
      <c r="P3083" t="str">
        <f t="shared" si="1260"/>
        <v>NIL</v>
      </c>
      <c r="Q3083" t="str">
        <f t="shared" si="1260"/>
        <v>NIL</v>
      </c>
      <c r="R3083" t="str">
        <f t="shared" si="1266"/>
        <v>Accepted</v>
      </c>
      <c r="S3083" t="str">
        <f t="shared" si="1267"/>
        <v>Approved</v>
      </c>
      <c r="T3083" t="str">
        <f t="shared" si="1268"/>
        <v>10.20.8.188</v>
      </c>
      <c r="U3083" t="str">
        <f t="shared" si="1269"/>
        <v>AZRAD UMAR BIN SHAARI</v>
      </c>
      <c r="V3083" t="str">
        <f t="shared" si="1270"/>
        <v>FARHANA BINTI MUSTAPA</v>
      </c>
      <c r="W3083" t="str">
        <f t="shared" si="1271"/>
        <v>04-08-2020</v>
      </c>
      <c r="X3083" t="str">
        <f t="shared" si="1272"/>
        <v>RAZIMAH ANSAR AHMAD</v>
      </c>
      <c r="Y3083" t="str">
        <f t="shared" si="1273"/>
        <v>04-08-2020</v>
      </c>
      <c r="Z3083" t="str">
        <f>"COS10200804 6071"</f>
        <v>COS10200804 6071</v>
      </c>
    </row>
    <row r="3084" spans="1:26" x14ac:dyDescent="0.25">
      <c r="A3084" t="str">
        <f t="shared" si="1274"/>
        <v>04-08-2020 12:58:57</v>
      </c>
      <c r="B3084" t="str">
        <f>"0000807861"</f>
        <v>0000807861</v>
      </c>
      <c r="C3084" t="str">
        <f t="shared" si="1275"/>
        <v>0000807791</v>
      </c>
      <c r="D3084" t="str">
        <f t="shared" si="1261"/>
        <v>73185</v>
      </c>
      <c r="E3084" t="str">
        <f t="shared" si="1262"/>
        <v>KFH-OPERATIONS DEPARTMENT</v>
      </c>
      <c r="F3084" t="str">
        <f t="shared" si="1263"/>
        <v>IBG</v>
      </c>
      <c r="G3084" t="str">
        <f t="shared" ref="G3084:G3147" si="1276">"Refund COSHARE 10"</f>
        <v>Refund COSHARE 10</v>
      </c>
      <c r="H3084" s="2">
        <v>629.65</v>
      </c>
      <c r="I3084" t="str">
        <f>"MUHD AZIZUL BIN AB RAZAK"</f>
        <v>MUHD AZIZUL BIN AB RAZAK</v>
      </c>
      <c r="J3084" t="str">
        <f t="shared" si="1252"/>
        <v>MAYBANK / MAYBANK ISLAMIC</v>
      </c>
      <c r="K3084" t="str">
        <f>"164838002440"</f>
        <v>164838002440</v>
      </c>
      <c r="L3084" t="str">
        <f t="shared" si="1259"/>
        <v>04-08-2020</v>
      </c>
      <c r="M3084" t="str">
        <f t="shared" si="1259"/>
        <v>04-08-2020</v>
      </c>
      <c r="N3084" t="str">
        <f t="shared" si="1264"/>
        <v>001105018356</v>
      </c>
      <c r="O3084" t="str">
        <f t="shared" si="1265"/>
        <v>MYR</v>
      </c>
      <c r="P3084" t="str">
        <f t="shared" si="1260"/>
        <v>NIL</v>
      </c>
      <c r="Q3084" t="str">
        <f t="shared" si="1260"/>
        <v>NIL</v>
      </c>
      <c r="R3084" t="str">
        <f t="shared" si="1266"/>
        <v>Accepted</v>
      </c>
      <c r="S3084" t="str">
        <f t="shared" si="1267"/>
        <v>Approved</v>
      </c>
      <c r="T3084" t="str">
        <f t="shared" si="1268"/>
        <v>10.20.8.188</v>
      </c>
      <c r="U3084" t="str">
        <f t="shared" si="1269"/>
        <v>AZRAD UMAR BIN SHAARI</v>
      </c>
      <c r="V3084" t="str">
        <f t="shared" si="1270"/>
        <v>FARHANA BINTI MUSTAPA</v>
      </c>
      <c r="W3084" t="str">
        <f t="shared" si="1271"/>
        <v>04-08-2020</v>
      </c>
      <c r="X3084" t="str">
        <f t="shared" si="1272"/>
        <v>RAZIMAH ANSAR AHMAD</v>
      </c>
      <c r="Y3084" t="str">
        <f t="shared" si="1273"/>
        <v>04-08-2020</v>
      </c>
      <c r="Z3084" t="str">
        <f>"COS10200804 6070"</f>
        <v>COS10200804 6070</v>
      </c>
    </row>
    <row r="3085" spans="1:26" x14ac:dyDescent="0.25">
      <c r="A3085" t="str">
        <f t="shared" si="1274"/>
        <v>04-08-2020 12:58:57</v>
      </c>
      <c r="B3085" t="str">
        <f>"0000807860"</f>
        <v>0000807860</v>
      </c>
      <c r="C3085" t="str">
        <f t="shared" si="1275"/>
        <v>0000807791</v>
      </c>
      <c r="D3085" t="str">
        <f t="shared" si="1261"/>
        <v>73185</v>
      </c>
      <c r="E3085" t="str">
        <f t="shared" si="1262"/>
        <v>KFH-OPERATIONS DEPARTMENT</v>
      </c>
      <c r="F3085" t="str">
        <f t="shared" si="1263"/>
        <v>IBG</v>
      </c>
      <c r="G3085" t="str">
        <f t="shared" si="1276"/>
        <v>Refund COSHARE 10</v>
      </c>
      <c r="H3085" s="2">
        <v>101</v>
      </c>
      <c r="I3085" t="str">
        <f>"MUHAMMAD ZULKIFLI BIN SAMARUDIN"</f>
        <v>MUHAMMAD ZULKIFLI BIN SAMARUDIN</v>
      </c>
      <c r="J3085" t="str">
        <f t="shared" si="1252"/>
        <v>MAYBANK / MAYBANK ISLAMIC</v>
      </c>
      <c r="K3085" t="str">
        <f>"157072301127"</f>
        <v>157072301127</v>
      </c>
      <c r="L3085" t="str">
        <f t="shared" si="1259"/>
        <v>04-08-2020</v>
      </c>
      <c r="M3085" t="str">
        <f t="shared" si="1259"/>
        <v>04-08-2020</v>
      </c>
      <c r="N3085" t="str">
        <f t="shared" si="1264"/>
        <v>001105018356</v>
      </c>
      <c r="O3085" t="str">
        <f t="shared" si="1265"/>
        <v>MYR</v>
      </c>
      <c r="P3085" t="str">
        <f t="shared" si="1260"/>
        <v>NIL</v>
      </c>
      <c r="Q3085" t="str">
        <f t="shared" si="1260"/>
        <v>NIL</v>
      </c>
      <c r="R3085" t="str">
        <f t="shared" si="1266"/>
        <v>Accepted</v>
      </c>
      <c r="S3085" t="str">
        <f t="shared" si="1267"/>
        <v>Approved</v>
      </c>
      <c r="T3085" t="str">
        <f t="shared" si="1268"/>
        <v>10.20.8.188</v>
      </c>
      <c r="U3085" t="str">
        <f t="shared" si="1269"/>
        <v>AZRAD UMAR BIN SHAARI</v>
      </c>
      <c r="V3085" t="str">
        <f t="shared" si="1270"/>
        <v>FARHANA BINTI MUSTAPA</v>
      </c>
      <c r="W3085" t="str">
        <f t="shared" si="1271"/>
        <v>04-08-2020</v>
      </c>
      <c r="X3085" t="str">
        <f t="shared" si="1272"/>
        <v>RAZIMAH ANSAR AHMAD</v>
      </c>
      <c r="Y3085" t="str">
        <f t="shared" si="1273"/>
        <v>04-08-2020</v>
      </c>
      <c r="Z3085" t="str">
        <f>"COS10200804 6069"</f>
        <v>COS10200804 6069</v>
      </c>
    </row>
    <row r="3086" spans="1:26" x14ac:dyDescent="0.25">
      <c r="A3086" t="str">
        <f t="shared" si="1274"/>
        <v>04-08-2020 12:58:57</v>
      </c>
      <c r="B3086" t="str">
        <f>"0000807859"</f>
        <v>0000807859</v>
      </c>
      <c r="C3086" t="str">
        <f t="shared" si="1275"/>
        <v>0000807791</v>
      </c>
      <c r="D3086" t="str">
        <f t="shared" si="1261"/>
        <v>73185</v>
      </c>
      <c r="E3086" t="str">
        <f t="shared" si="1262"/>
        <v>KFH-OPERATIONS DEPARTMENT</v>
      </c>
      <c r="F3086" t="str">
        <f t="shared" si="1263"/>
        <v>IBG</v>
      </c>
      <c r="G3086" t="str">
        <f t="shared" si="1276"/>
        <v>Refund COSHARE 10</v>
      </c>
      <c r="H3086" s="2">
        <v>579.25</v>
      </c>
      <c r="I3086" t="str">
        <f>"MUHAMMAD YAZID BIN SULAIMAN"</f>
        <v>MUHAMMAD YAZID BIN SULAIMAN</v>
      </c>
      <c r="J3086" t="str">
        <f t="shared" si="1252"/>
        <v>MAYBANK / MAYBANK ISLAMIC</v>
      </c>
      <c r="K3086" t="str">
        <f>"162405078326"</f>
        <v>162405078326</v>
      </c>
      <c r="L3086" t="str">
        <f t="shared" si="1259"/>
        <v>04-08-2020</v>
      </c>
      <c r="M3086" t="str">
        <f t="shared" si="1259"/>
        <v>04-08-2020</v>
      </c>
      <c r="N3086" t="str">
        <f t="shared" si="1264"/>
        <v>001105018356</v>
      </c>
      <c r="O3086" t="str">
        <f t="shared" si="1265"/>
        <v>MYR</v>
      </c>
      <c r="P3086" t="str">
        <f t="shared" si="1260"/>
        <v>NIL</v>
      </c>
      <c r="Q3086" t="str">
        <f t="shared" si="1260"/>
        <v>NIL</v>
      </c>
      <c r="R3086" t="str">
        <f t="shared" si="1266"/>
        <v>Accepted</v>
      </c>
      <c r="S3086" t="str">
        <f t="shared" si="1267"/>
        <v>Approved</v>
      </c>
      <c r="T3086" t="str">
        <f t="shared" si="1268"/>
        <v>10.20.8.188</v>
      </c>
      <c r="U3086" t="str">
        <f t="shared" si="1269"/>
        <v>AZRAD UMAR BIN SHAARI</v>
      </c>
      <c r="V3086" t="str">
        <f t="shared" si="1270"/>
        <v>FARHANA BINTI MUSTAPA</v>
      </c>
      <c r="W3086" t="str">
        <f t="shared" si="1271"/>
        <v>04-08-2020</v>
      </c>
      <c r="X3086" t="str">
        <f t="shared" si="1272"/>
        <v>RAZIMAH ANSAR AHMAD</v>
      </c>
      <c r="Y3086" t="str">
        <f t="shared" si="1273"/>
        <v>04-08-2020</v>
      </c>
      <c r="Z3086" t="str">
        <f>"COS10200804 6068"</f>
        <v>COS10200804 6068</v>
      </c>
    </row>
    <row r="3087" spans="1:26" x14ac:dyDescent="0.25">
      <c r="A3087" t="str">
        <f t="shared" si="1274"/>
        <v>04-08-2020 12:58:57</v>
      </c>
      <c r="B3087" t="str">
        <f>"0000807858"</f>
        <v>0000807858</v>
      </c>
      <c r="C3087" t="str">
        <f t="shared" si="1275"/>
        <v>0000807791</v>
      </c>
      <c r="D3087" t="str">
        <f t="shared" si="1261"/>
        <v>73185</v>
      </c>
      <c r="E3087" t="str">
        <f t="shared" si="1262"/>
        <v>KFH-OPERATIONS DEPARTMENT</v>
      </c>
      <c r="F3087" t="str">
        <f t="shared" si="1263"/>
        <v>IBG</v>
      </c>
      <c r="G3087" t="str">
        <f t="shared" si="1276"/>
        <v>Refund COSHARE 10</v>
      </c>
      <c r="H3087" s="2">
        <v>569</v>
      </c>
      <c r="I3087" t="str">
        <f>"MUHAMMAD TAHAR BIN AB RAHMAN"</f>
        <v>MUHAMMAD TAHAR BIN AB RAHMAN</v>
      </c>
      <c r="J3087" t="str">
        <f t="shared" si="1252"/>
        <v>MAYBANK / MAYBANK ISLAMIC</v>
      </c>
      <c r="K3087" t="str">
        <f>"157091021413"</f>
        <v>157091021413</v>
      </c>
      <c r="L3087" t="str">
        <f t="shared" ref="L3087:M3106" si="1277">"04-08-2020"</f>
        <v>04-08-2020</v>
      </c>
      <c r="M3087" t="str">
        <f t="shared" si="1277"/>
        <v>04-08-2020</v>
      </c>
      <c r="N3087" t="str">
        <f t="shared" si="1264"/>
        <v>001105018356</v>
      </c>
      <c r="O3087" t="str">
        <f t="shared" si="1265"/>
        <v>MYR</v>
      </c>
      <c r="P3087" t="str">
        <f t="shared" ref="P3087:Q3106" si="1278">"NIL"</f>
        <v>NIL</v>
      </c>
      <c r="Q3087" t="str">
        <f t="shared" si="1278"/>
        <v>NIL</v>
      </c>
      <c r="R3087" t="str">
        <f t="shared" si="1266"/>
        <v>Accepted</v>
      </c>
      <c r="S3087" t="str">
        <f t="shared" si="1267"/>
        <v>Approved</v>
      </c>
      <c r="T3087" t="str">
        <f t="shared" si="1268"/>
        <v>10.20.8.188</v>
      </c>
      <c r="U3087" t="str">
        <f t="shared" si="1269"/>
        <v>AZRAD UMAR BIN SHAARI</v>
      </c>
      <c r="V3087" t="str">
        <f t="shared" si="1270"/>
        <v>FARHANA BINTI MUSTAPA</v>
      </c>
      <c r="W3087" t="str">
        <f t="shared" si="1271"/>
        <v>04-08-2020</v>
      </c>
      <c r="X3087" t="str">
        <f t="shared" si="1272"/>
        <v>RAZIMAH ANSAR AHMAD</v>
      </c>
      <c r="Y3087" t="str">
        <f t="shared" si="1273"/>
        <v>04-08-2020</v>
      </c>
      <c r="Z3087" t="str">
        <f>"COS10200804 6067"</f>
        <v>COS10200804 6067</v>
      </c>
    </row>
    <row r="3088" spans="1:26" x14ac:dyDescent="0.25">
      <c r="A3088" t="str">
        <f t="shared" si="1274"/>
        <v>04-08-2020 12:58:57</v>
      </c>
      <c r="B3088" t="str">
        <f>"0000807857"</f>
        <v>0000807857</v>
      </c>
      <c r="C3088" t="str">
        <f t="shared" si="1275"/>
        <v>0000807791</v>
      </c>
      <c r="D3088" t="str">
        <f t="shared" si="1261"/>
        <v>73185</v>
      </c>
      <c r="E3088" t="str">
        <f t="shared" si="1262"/>
        <v>KFH-OPERATIONS DEPARTMENT</v>
      </c>
      <c r="F3088" t="str">
        <f t="shared" si="1263"/>
        <v>IBG</v>
      </c>
      <c r="G3088" t="str">
        <f t="shared" si="1276"/>
        <v>Refund COSHARE 10</v>
      </c>
      <c r="H3088" s="2">
        <v>100.75</v>
      </c>
      <c r="I3088" t="str">
        <f>"MUHAMMAD SYAFIQ BIN MOHD SHAFIE"</f>
        <v>MUHAMMAD SYAFIQ BIN MOHD SHAFIE</v>
      </c>
      <c r="J3088" t="str">
        <f t="shared" si="1252"/>
        <v>MAYBANK / MAYBANK ISLAMIC</v>
      </c>
      <c r="K3088" t="str">
        <f>"166010088814"</f>
        <v>166010088814</v>
      </c>
      <c r="L3088" t="str">
        <f t="shared" si="1277"/>
        <v>04-08-2020</v>
      </c>
      <c r="M3088" t="str">
        <f t="shared" si="1277"/>
        <v>04-08-2020</v>
      </c>
      <c r="N3088" t="str">
        <f t="shared" si="1264"/>
        <v>001105018356</v>
      </c>
      <c r="O3088" t="str">
        <f t="shared" si="1265"/>
        <v>MYR</v>
      </c>
      <c r="P3088" t="str">
        <f t="shared" si="1278"/>
        <v>NIL</v>
      </c>
      <c r="Q3088" t="str">
        <f t="shared" si="1278"/>
        <v>NIL</v>
      </c>
      <c r="R3088" t="str">
        <f t="shared" si="1266"/>
        <v>Accepted</v>
      </c>
      <c r="S3088" t="str">
        <f t="shared" si="1267"/>
        <v>Approved</v>
      </c>
      <c r="T3088" t="str">
        <f t="shared" si="1268"/>
        <v>10.20.8.188</v>
      </c>
      <c r="U3088" t="str">
        <f t="shared" si="1269"/>
        <v>AZRAD UMAR BIN SHAARI</v>
      </c>
      <c r="V3088" t="str">
        <f t="shared" si="1270"/>
        <v>FARHANA BINTI MUSTAPA</v>
      </c>
      <c r="W3088" t="str">
        <f t="shared" si="1271"/>
        <v>04-08-2020</v>
      </c>
      <c r="X3088" t="str">
        <f t="shared" si="1272"/>
        <v>RAZIMAH ANSAR AHMAD</v>
      </c>
      <c r="Y3088" t="str">
        <f t="shared" si="1273"/>
        <v>04-08-2020</v>
      </c>
      <c r="Z3088" t="str">
        <f>"COS10200804 6066"</f>
        <v>COS10200804 6066</v>
      </c>
    </row>
    <row r="3089" spans="1:26" x14ac:dyDescent="0.25">
      <c r="A3089" t="str">
        <f t="shared" si="1274"/>
        <v>04-08-2020 12:58:57</v>
      </c>
      <c r="B3089" t="str">
        <f>"0000807856"</f>
        <v>0000807856</v>
      </c>
      <c r="C3089" t="str">
        <f t="shared" si="1275"/>
        <v>0000807791</v>
      </c>
      <c r="D3089" t="str">
        <f t="shared" si="1261"/>
        <v>73185</v>
      </c>
      <c r="E3089" t="str">
        <f t="shared" si="1262"/>
        <v>KFH-OPERATIONS DEPARTMENT</v>
      </c>
      <c r="F3089" t="str">
        <f t="shared" si="1263"/>
        <v>IBG</v>
      </c>
      <c r="G3089" t="str">
        <f t="shared" si="1276"/>
        <v>Refund COSHARE 10</v>
      </c>
      <c r="H3089" s="2">
        <v>134.35</v>
      </c>
      <c r="I3089" t="str">
        <f>"MUHAMMAD SUHAIMIE BIN HARUN"</f>
        <v>MUHAMMAD SUHAIMIE BIN HARUN</v>
      </c>
      <c r="J3089" t="str">
        <f t="shared" ref="J3089:J3152" si="1279">"MAYBANK / MAYBANK ISLAMIC"</f>
        <v>MAYBANK / MAYBANK ISLAMIC</v>
      </c>
      <c r="K3089" t="str">
        <f>"158015123998"</f>
        <v>158015123998</v>
      </c>
      <c r="L3089" t="str">
        <f t="shared" si="1277"/>
        <v>04-08-2020</v>
      </c>
      <c r="M3089" t="str">
        <f t="shared" si="1277"/>
        <v>04-08-2020</v>
      </c>
      <c r="N3089" t="str">
        <f t="shared" si="1264"/>
        <v>001105018356</v>
      </c>
      <c r="O3089" t="str">
        <f t="shared" si="1265"/>
        <v>MYR</v>
      </c>
      <c r="P3089" t="str">
        <f t="shared" si="1278"/>
        <v>NIL</v>
      </c>
      <c r="Q3089" t="str">
        <f t="shared" si="1278"/>
        <v>NIL</v>
      </c>
      <c r="R3089" t="str">
        <f t="shared" si="1266"/>
        <v>Accepted</v>
      </c>
      <c r="S3089" t="str">
        <f t="shared" si="1267"/>
        <v>Approved</v>
      </c>
      <c r="T3089" t="str">
        <f t="shared" si="1268"/>
        <v>10.20.8.188</v>
      </c>
      <c r="U3089" t="str">
        <f t="shared" si="1269"/>
        <v>AZRAD UMAR BIN SHAARI</v>
      </c>
      <c r="V3089" t="str">
        <f t="shared" si="1270"/>
        <v>FARHANA BINTI MUSTAPA</v>
      </c>
      <c r="W3089" t="str">
        <f t="shared" si="1271"/>
        <v>04-08-2020</v>
      </c>
      <c r="X3089" t="str">
        <f t="shared" si="1272"/>
        <v>RAZIMAH ANSAR AHMAD</v>
      </c>
      <c r="Y3089" t="str">
        <f t="shared" si="1273"/>
        <v>04-08-2020</v>
      </c>
      <c r="Z3089" t="str">
        <f>"COS10200804 6065"</f>
        <v>COS10200804 6065</v>
      </c>
    </row>
    <row r="3090" spans="1:26" x14ac:dyDescent="0.25">
      <c r="A3090" t="str">
        <f t="shared" si="1274"/>
        <v>04-08-2020 12:58:57</v>
      </c>
      <c r="B3090" t="str">
        <f>"0000807855"</f>
        <v>0000807855</v>
      </c>
      <c r="C3090" t="str">
        <f t="shared" si="1275"/>
        <v>0000807791</v>
      </c>
      <c r="D3090" t="str">
        <f t="shared" si="1261"/>
        <v>73185</v>
      </c>
      <c r="E3090" t="str">
        <f t="shared" si="1262"/>
        <v>KFH-OPERATIONS DEPARTMENT</v>
      </c>
      <c r="F3090" t="str">
        <f t="shared" si="1263"/>
        <v>IBG</v>
      </c>
      <c r="G3090" t="str">
        <f t="shared" si="1276"/>
        <v>Refund COSHARE 10</v>
      </c>
      <c r="H3090" s="2">
        <v>46</v>
      </c>
      <c r="I3090" t="str">
        <f>"MUHAMMAD SOLEH BIN RIDZUWAN"</f>
        <v>MUHAMMAD SOLEH BIN RIDZUWAN</v>
      </c>
      <c r="J3090" t="str">
        <f t="shared" si="1279"/>
        <v>MAYBANK / MAYBANK ISLAMIC</v>
      </c>
      <c r="K3090" t="str">
        <f>"152050221368"</f>
        <v>152050221368</v>
      </c>
      <c r="L3090" t="str">
        <f t="shared" si="1277"/>
        <v>04-08-2020</v>
      </c>
      <c r="M3090" t="str">
        <f t="shared" si="1277"/>
        <v>04-08-2020</v>
      </c>
      <c r="N3090" t="str">
        <f t="shared" si="1264"/>
        <v>001105018356</v>
      </c>
      <c r="O3090" t="str">
        <f t="shared" si="1265"/>
        <v>MYR</v>
      </c>
      <c r="P3090" t="str">
        <f t="shared" si="1278"/>
        <v>NIL</v>
      </c>
      <c r="Q3090" t="str">
        <f t="shared" si="1278"/>
        <v>NIL</v>
      </c>
      <c r="R3090" t="str">
        <f t="shared" si="1266"/>
        <v>Accepted</v>
      </c>
      <c r="S3090" t="str">
        <f t="shared" si="1267"/>
        <v>Approved</v>
      </c>
      <c r="T3090" t="str">
        <f t="shared" si="1268"/>
        <v>10.20.8.188</v>
      </c>
      <c r="U3090" t="str">
        <f t="shared" si="1269"/>
        <v>AZRAD UMAR BIN SHAARI</v>
      </c>
      <c r="V3090" t="str">
        <f t="shared" si="1270"/>
        <v>FARHANA BINTI MUSTAPA</v>
      </c>
      <c r="W3090" t="str">
        <f t="shared" si="1271"/>
        <v>04-08-2020</v>
      </c>
      <c r="X3090" t="str">
        <f t="shared" si="1272"/>
        <v>RAZIMAH ANSAR AHMAD</v>
      </c>
      <c r="Y3090" t="str">
        <f t="shared" si="1273"/>
        <v>04-08-2020</v>
      </c>
      <c r="Z3090" t="str">
        <f>"COS10200804 6064"</f>
        <v>COS10200804 6064</v>
      </c>
    </row>
    <row r="3091" spans="1:26" x14ac:dyDescent="0.25">
      <c r="A3091" t="str">
        <f t="shared" si="1274"/>
        <v>04-08-2020 12:58:57</v>
      </c>
      <c r="B3091" t="str">
        <f>"0000807854"</f>
        <v>0000807854</v>
      </c>
      <c r="C3091" t="str">
        <f t="shared" si="1275"/>
        <v>0000807791</v>
      </c>
      <c r="D3091" t="str">
        <f t="shared" si="1261"/>
        <v>73185</v>
      </c>
      <c r="E3091" t="str">
        <f t="shared" si="1262"/>
        <v>KFH-OPERATIONS DEPARTMENT</v>
      </c>
      <c r="F3091" t="str">
        <f t="shared" si="1263"/>
        <v>IBG</v>
      </c>
      <c r="G3091" t="str">
        <f t="shared" si="1276"/>
        <v>Refund COSHARE 10</v>
      </c>
      <c r="H3091" s="2">
        <v>403</v>
      </c>
      <c r="I3091" t="str">
        <f>"MUHAMMAD SHAHRUL BIN MOHD NOOR"</f>
        <v>MUHAMMAD SHAHRUL BIN MOHD NOOR</v>
      </c>
      <c r="J3091" t="str">
        <f t="shared" si="1279"/>
        <v>MAYBANK / MAYBANK ISLAMIC</v>
      </c>
      <c r="K3091" t="str">
        <f>"164017042454"</f>
        <v>164017042454</v>
      </c>
      <c r="L3091" t="str">
        <f t="shared" si="1277"/>
        <v>04-08-2020</v>
      </c>
      <c r="M3091" t="str">
        <f t="shared" si="1277"/>
        <v>04-08-2020</v>
      </c>
      <c r="N3091" t="str">
        <f t="shared" si="1264"/>
        <v>001105018356</v>
      </c>
      <c r="O3091" t="str">
        <f t="shared" si="1265"/>
        <v>MYR</v>
      </c>
      <c r="P3091" t="str">
        <f t="shared" si="1278"/>
        <v>NIL</v>
      </c>
      <c r="Q3091" t="str">
        <f t="shared" si="1278"/>
        <v>NIL</v>
      </c>
      <c r="R3091" t="str">
        <f t="shared" si="1266"/>
        <v>Accepted</v>
      </c>
      <c r="S3091" t="str">
        <f t="shared" si="1267"/>
        <v>Approved</v>
      </c>
      <c r="T3091" t="str">
        <f t="shared" si="1268"/>
        <v>10.20.8.188</v>
      </c>
      <c r="U3091" t="str">
        <f t="shared" si="1269"/>
        <v>AZRAD UMAR BIN SHAARI</v>
      </c>
      <c r="V3091" t="str">
        <f t="shared" si="1270"/>
        <v>FARHANA BINTI MUSTAPA</v>
      </c>
      <c r="W3091" t="str">
        <f t="shared" si="1271"/>
        <v>04-08-2020</v>
      </c>
      <c r="X3091" t="str">
        <f t="shared" si="1272"/>
        <v>RAZIMAH ANSAR AHMAD</v>
      </c>
      <c r="Y3091" t="str">
        <f t="shared" si="1273"/>
        <v>04-08-2020</v>
      </c>
      <c r="Z3091" t="str">
        <f>"COS10200804 6063"</f>
        <v>COS10200804 6063</v>
      </c>
    </row>
    <row r="3092" spans="1:26" x14ac:dyDescent="0.25">
      <c r="A3092" t="str">
        <f t="shared" si="1274"/>
        <v>04-08-2020 12:58:57</v>
      </c>
      <c r="B3092" t="str">
        <f>"0000807853"</f>
        <v>0000807853</v>
      </c>
      <c r="C3092" t="str">
        <f t="shared" si="1275"/>
        <v>0000807791</v>
      </c>
      <c r="D3092" t="str">
        <f t="shared" si="1261"/>
        <v>73185</v>
      </c>
      <c r="E3092" t="str">
        <f t="shared" si="1262"/>
        <v>KFH-OPERATIONS DEPARTMENT</v>
      </c>
      <c r="F3092" t="str">
        <f t="shared" si="1263"/>
        <v>IBG</v>
      </c>
      <c r="G3092" t="str">
        <f t="shared" si="1276"/>
        <v>Refund COSHARE 10</v>
      </c>
      <c r="H3092" s="2">
        <v>688.4</v>
      </c>
      <c r="I3092" t="str">
        <f>"MUHAMMAD RIDZWAN NUSEN BIN ABDULLAH"</f>
        <v>MUHAMMAD RIDZWAN NUSEN BIN ABDULLAH</v>
      </c>
      <c r="J3092" t="str">
        <f t="shared" si="1279"/>
        <v>MAYBANK / MAYBANK ISLAMIC</v>
      </c>
      <c r="K3092" t="str">
        <f>"114208992696"</f>
        <v>114208992696</v>
      </c>
      <c r="L3092" t="str">
        <f t="shared" si="1277"/>
        <v>04-08-2020</v>
      </c>
      <c r="M3092" t="str">
        <f t="shared" si="1277"/>
        <v>04-08-2020</v>
      </c>
      <c r="N3092" t="str">
        <f t="shared" si="1264"/>
        <v>001105018356</v>
      </c>
      <c r="O3092" t="str">
        <f t="shared" si="1265"/>
        <v>MYR</v>
      </c>
      <c r="P3092" t="str">
        <f t="shared" si="1278"/>
        <v>NIL</v>
      </c>
      <c r="Q3092" t="str">
        <f t="shared" si="1278"/>
        <v>NIL</v>
      </c>
      <c r="R3092" t="str">
        <f t="shared" si="1266"/>
        <v>Accepted</v>
      </c>
      <c r="S3092" t="str">
        <f t="shared" si="1267"/>
        <v>Approved</v>
      </c>
      <c r="T3092" t="str">
        <f t="shared" si="1268"/>
        <v>10.20.8.188</v>
      </c>
      <c r="U3092" t="str">
        <f t="shared" si="1269"/>
        <v>AZRAD UMAR BIN SHAARI</v>
      </c>
      <c r="V3092" t="str">
        <f t="shared" si="1270"/>
        <v>FARHANA BINTI MUSTAPA</v>
      </c>
      <c r="W3092" t="str">
        <f t="shared" si="1271"/>
        <v>04-08-2020</v>
      </c>
      <c r="X3092" t="str">
        <f t="shared" si="1272"/>
        <v>RAZIMAH ANSAR AHMAD</v>
      </c>
      <c r="Y3092" t="str">
        <f t="shared" si="1273"/>
        <v>04-08-2020</v>
      </c>
      <c r="Z3092" t="str">
        <f>"COS10200804 6062"</f>
        <v>COS10200804 6062</v>
      </c>
    </row>
    <row r="3093" spans="1:26" x14ac:dyDescent="0.25">
      <c r="A3093" t="str">
        <f t="shared" si="1274"/>
        <v>04-08-2020 12:58:57</v>
      </c>
      <c r="B3093" t="str">
        <f>"0000807852"</f>
        <v>0000807852</v>
      </c>
      <c r="C3093" t="str">
        <f t="shared" si="1275"/>
        <v>0000807791</v>
      </c>
      <c r="D3093" t="str">
        <f t="shared" si="1261"/>
        <v>73185</v>
      </c>
      <c r="E3093" t="str">
        <f t="shared" si="1262"/>
        <v>KFH-OPERATIONS DEPARTMENT</v>
      </c>
      <c r="F3093" t="str">
        <f t="shared" si="1263"/>
        <v>IBG</v>
      </c>
      <c r="G3093" t="str">
        <f t="shared" si="1276"/>
        <v>Refund COSHARE 10</v>
      </c>
      <c r="H3093" s="2">
        <v>839.5</v>
      </c>
      <c r="I3093" t="str">
        <f>"MUHAMMAD RAJIS BIN MUHID"</f>
        <v>MUHAMMAD RAJIS BIN MUHID</v>
      </c>
      <c r="J3093" t="str">
        <f t="shared" si="1279"/>
        <v>MAYBANK / MAYBANK ISLAMIC</v>
      </c>
      <c r="K3093" t="str">
        <f>"162021410657"</f>
        <v>162021410657</v>
      </c>
      <c r="L3093" t="str">
        <f t="shared" si="1277"/>
        <v>04-08-2020</v>
      </c>
      <c r="M3093" t="str">
        <f t="shared" si="1277"/>
        <v>04-08-2020</v>
      </c>
      <c r="N3093" t="str">
        <f t="shared" si="1264"/>
        <v>001105018356</v>
      </c>
      <c r="O3093" t="str">
        <f t="shared" si="1265"/>
        <v>MYR</v>
      </c>
      <c r="P3093" t="str">
        <f t="shared" si="1278"/>
        <v>NIL</v>
      </c>
      <c r="Q3093" t="str">
        <f t="shared" si="1278"/>
        <v>NIL</v>
      </c>
      <c r="R3093" t="str">
        <f t="shared" si="1266"/>
        <v>Accepted</v>
      </c>
      <c r="S3093" t="str">
        <f t="shared" si="1267"/>
        <v>Approved</v>
      </c>
      <c r="T3093" t="str">
        <f t="shared" si="1268"/>
        <v>10.20.8.188</v>
      </c>
      <c r="U3093" t="str">
        <f t="shared" si="1269"/>
        <v>AZRAD UMAR BIN SHAARI</v>
      </c>
      <c r="V3093" t="str">
        <f t="shared" si="1270"/>
        <v>FARHANA BINTI MUSTAPA</v>
      </c>
      <c r="W3093" t="str">
        <f t="shared" si="1271"/>
        <v>04-08-2020</v>
      </c>
      <c r="X3093" t="str">
        <f t="shared" si="1272"/>
        <v>RAZIMAH ANSAR AHMAD</v>
      </c>
      <c r="Y3093" t="str">
        <f t="shared" si="1273"/>
        <v>04-08-2020</v>
      </c>
      <c r="Z3093" t="str">
        <f>"COS10200804 6061"</f>
        <v>COS10200804 6061</v>
      </c>
    </row>
    <row r="3094" spans="1:26" x14ac:dyDescent="0.25">
      <c r="A3094" t="str">
        <f t="shared" si="1274"/>
        <v>04-08-2020 12:58:57</v>
      </c>
      <c r="B3094" t="str">
        <f>"0000807851"</f>
        <v>0000807851</v>
      </c>
      <c r="C3094" t="str">
        <f t="shared" si="1275"/>
        <v>0000807791</v>
      </c>
      <c r="D3094" t="str">
        <f t="shared" si="1261"/>
        <v>73185</v>
      </c>
      <c r="E3094" t="str">
        <f t="shared" si="1262"/>
        <v>KFH-OPERATIONS DEPARTMENT</v>
      </c>
      <c r="F3094" t="str">
        <f t="shared" si="1263"/>
        <v>IBG</v>
      </c>
      <c r="G3094" t="str">
        <f t="shared" si="1276"/>
        <v>Refund COSHARE 10</v>
      </c>
      <c r="H3094" s="2">
        <v>911</v>
      </c>
      <c r="I3094" t="str">
        <f>"MUHAMMAD RAHIMI BIN ABDUL RAHMAN"</f>
        <v>MUHAMMAD RAHIMI BIN ABDUL RAHMAN</v>
      </c>
      <c r="J3094" t="str">
        <f t="shared" si="1279"/>
        <v>MAYBANK / MAYBANK ISLAMIC</v>
      </c>
      <c r="K3094" t="str">
        <f>"158172895128"</f>
        <v>158172895128</v>
      </c>
      <c r="L3094" t="str">
        <f t="shared" si="1277"/>
        <v>04-08-2020</v>
      </c>
      <c r="M3094" t="str">
        <f t="shared" si="1277"/>
        <v>04-08-2020</v>
      </c>
      <c r="N3094" t="str">
        <f t="shared" si="1264"/>
        <v>001105018356</v>
      </c>
      <c r="O3094" t="str">
        <f t="shared" si="1265"/>
        <v>MYR</v>
      </c>
      <c r="P3094" t="str">
        <f t="shared" si="1278"/>
        <v>NIL</v>
      </c>
      <c r="Q3094" t="str">
        <f t="shared" si="1278"/>
        <v>NIL</v>
      </c>
      <c r="R3094" t="str">
        <f t="shared" si="1266"/>
        <v>Accepted</v>
      </c>
      <c r="S3094" t="str">
        <f t="shared" si="1267"/>
        <v>Approved</v>
      </c>
      <c r="T3094" t="str">
        <f t="shared" si="1268"/>
        <v>10.20.8.188</v>
      </c>
      <c r="U3094" t="str">
        <f t="shared" si="1269"/>
        <v>AZRAD UMAR BIN SHAARI</v>
      </c>
      <c r="V3094" t="str">
        <f t="shared" si="1270"/>
        <v>FARHANA BINTI MUSTAPA</v>
      </c>
      <c r="W3094" t="str">
        <f t="shared" si="1271"/>
        <v>04-08-2020</v>
      </c>
      <c r="X3094" t="str">
        <f t="shared" si="1272"/>
        <v>RAZIMAH ANSAR AHMAD</v>
      </c>
      <c r="Y3094" t="str">
        <f t="shared" si="1273"/>
        <v>04-08-2020</v>
      </c>
      <c r="Z3094" t="str">
        <f>"COS10200804 6060"</f>
        <v>COS10200804 6060</v>
      </c>
    </row>
    <row r="3095" spans="1:26" x14ac:dyDescent="0.25">
      <c r="A3095" t="str">
        <f t="shared" si="1274"/>
        <v>04-08-2020 12:58:57</v>
      </c>
      <c r="B3095" t="str">
        <f>"0000807850"</f>
        <v>0000807850</v>
      </c>
      <c r="C3095" t="str">
        <f t="shared" si="1275"/>
        <v>0000807791</v>
      </c>
      <c r="D3095" t="str">
        <f t="shared" si="1261"/>
        <v>73185</v>
      </c>
      <c r="E3095" t="str">
        <f t="shared" si="1262"/>
        <v>KFH-OPERATIONS DEPARTMENT</v>
      </c>
      <c r="F3095" t="str">
        <f t="shared" si="1263"/>
        <v>IBG</v>
      </c>
      <c r="G3095" t="str">
        <f t="shared" si="1276"/>
        <v>Refund COSHARE 10</v>
      </c>
      <c r="H3095" s="2">
        <v>532</v>
      </c>
      <c r="I3095" t="str">
        <f>"MUHAMMAD RAHIMI BIN ABDUL RAHMAN"</f>
        <v>MUHAMMAD RAHIMI BIN ABDUL RAHMAN</v>
      </c>
      <c r="J3095" t="str">
        <f t="shared" si="1279"/>
        <v>MAYBANK / MAYBANK ISLAMIC</v>
      </c>
      <c r="K3095" t="str">
        <f>"158172895128"</f>
        <v>158172895128</v>
      </c>
      <c r="L3095" t="str">
        <f t="shared" si="1277"/>
        <v>04-08-2020</v>
      </c>
      <c r="M3095" t="str">
        <f t="shared" si="1277"/>
        <v>04-08-2020</v>
      </c>
      <c r="N3095" t="str">
        <f t="shared" si="1264"/>
        <v>001105018356</v>
      </c>
      <c r="O3095" t="str">
        <f t="shared" si="1265"/>
        <v>MYR</v>
      </c>
      <c r="P3095" t="str">
        <f t="shared" si="1278"/>
        <v>NIL</v>
      </c>
      <c r="Q3095" t="str">
        <f t="shared" si="1278"/>
        <v>NIL</v>
      </c>
      <c r="R3095" t="str">
        <f t="shared" si="1266"/>
        <v>Accepted</v>
      </c>
      <c r="S3095" t="str">
        <f t="shared" si="1267"/>
        <v>Approved</v>
      </c>
      <c r="T3095" t="str">
        <f t="shared" si="1268"/>
        <v>10.20.8.188</v>
      </c>
      <c r="U3095" t="str">
        <f t="shared" si="1269"/>
        <v>AZRAD UMAR BIN SHAARI</v>
      </c>
      <c r="V3095" t="str">
        <f t="shared" si="1270"/>
        <v>FARHANA BINTI MUSTAPA</v>
      </c>
      <c r="W3095" t="str">
        <f t="shared" si="1271"/>
        <v>04-08-2020</v>
      </c>
      <c r="X3095" t="str">
        <f t="shared" si="1272"/>
        <v>RAZIMAH ANSAR AHMAD</v>
      </c>
      <c r="Y3095" t="str">
        <f t="shared" si="1273"/>
        <v>04-08-2020</v>
      </c>
      <c r="Z3095" t="str">
        <f>"COS10200804 6059"</f>
        <v>COS10200804 6059</v>
      </c>
    </row>
    <row r="3096" spans="1:26" x14ac:dyDescent="0.25">
      <c r="A3096" t="str">
        <f t="shared" si="1274"/>
        <v>04-08-2020 12:58:57</v>
      </c>
      <c r="B3096" t="str">
        <f>"0000807849"</f>
        <v>0000807849</v>
      </c>
      <c r="C3096" t="str">
        <f t="shared" si="1275"/>
        <v>0000807791</v>
      </c>
      <c r="D3096" t="str">
        <f t="shared" si="1261"/>
        <v>73185</v>
      </c>
      <c r="E3096" t="str">
        <f t="shared" si="1262"/>
        <v>KFH-OPERATIONS DEPARTMENT</v>
      </c>
      <c r="F3096" t="str">
        <f t="shared" si="1263"/>
        <v>IBG</v>
      </c>
      <c r="G3096" t="str">
        <f t="shared" si="1276"/>
        <v>Refund COSHARE 10</v>
      </c>
      <c r="H3096" s="2">
        <v>755.6</v>
      </c>
      <c r="I3096" t="str">
        <f>"MUHAMMAD RAFIQ BIN IBRAHIM"</f>
        <v>MUHAMMAD RAFIQ BIN IBRAHIM</v>
      </c>
      <c r="J3096" t="str">
        <f t="shared" si="1279"/>
        <v>MAYBANK / MAYBANK ISLAMIC</v>
      </c>
      <c r="K3096" t="str">
        <f>"162133183218"</f>
        <v>162133183218</v>
      </c>
      <c r="L3096" t="str">
        <f t="shared" si="1277"/>
        <v>04-08-2020</v>
      </c>
      <c r="M3096" t="str">
        <f t="shared" si="1277"/>
        <v>04-08-2020</v>
      </c>
      <c r="N3096" t="str">
        <f t="shared" si="1264"/>
        <v>001105018356</v>
      </c>
      <c r="O3096" t="str">
        <f t="shared" si="1265"/>
        <v>MYR</v>
      </c>
      <c r="P3096" t="str">
        <f t="shared" si="1278"/>
        <v>NIL</v>
      </c>
      <c r="Q3096" t="str">
        <f t="shared" si="1278"/>
        <v>NIL</v>
      </c>
      <c r="R3096" t="str">
        <f t="shared" si="1266"/>
        <v>Accepted</v>
      </c>
      <c r="S3096" t="str">
        <f t="shared" si="1267"/>
        <v>Approved</v>
      </c>
      <c r="T3096" t="str">
        <f t="shared" si="1268"/>
        <v>10.20.8.188</v>
      </c>
      <c r="U3096" t="str">
        <f t="shared" si="1269"/>
        <v>AZRAD UMAR BIN SHAARI</v>
      </c>
      <c r="V3096" t="str">
        <f t="shared" si="1270"/>
        <v>FARHANA BINTI MUSTAPA</v>
      </c>
      <c r="W3096" t="str">
        <f t="shared" si="1271"/>
        <v>04-08-2020</v>
      </c>
      <c r="X3096" t="str">
        <f t="shared" si="1272"/>
        <v>RAZIMAH ANSAR AHMAD</v>
      </c>
      <c r="Y3096" t="str">
        <f t="shared" si="1273"/>
        <v>04-08-2020</v>
      </c>
      <c r="Z3096" t="str">
        <f>"COS10200804 6058"</f>
        <v>COS10200804 6058</v>
      </c>
    </row>
    <row r="3097" spans="1:26" x14ac:dyDescent="0.25">
      <c r="A3097" t="str">
        <f t="shared" si="1274"/>
        <v>04-08-2020 12:58:57</v>
      </c>
      <c r="B3097" t="str">
        <f>"0000807848"</f>
        <v>0000807848</v>
      </c>
      <c r="C3097" t="str">
        <f t="shared" si="1275"/>
        <v>0000807791</v>
      </c>
      <c r="D3097" t="str">
        <f t="shared" si="1261"/>
        <v>73185</v>
      </c>
      <c r="E3097" t="str">
        <f t="shared" si="1262"/>
        <v>KFH-OPERATIONS DEPARTMENT</v>
      </c>
      <c r="F3097" t="str">
        <f t="shared" si="1263"/>
        <v>IBG</v>
      </c>
      <c r="G3097" t="str">
        <f t="shared" si="1276"/>
        <v>Refund COSHARE 10</v>
      </c>
      <c r="H3097" s="2">
        <v>1032.5999999999999</v>
      </c>
      <c r="I3097" t="str">
        <f>"MUHAMMAD RADZI BIN AB RAHMAN"</f>
        <v>MUHAMMAD RADZI BIN AB RAHMAN</v>
      </c>
      <c r="J3097" t="str">
        <f t="shared" si="1279"/>
        <v>MAYBANK / MAYBANK ISLAMIC</v>
      </c>
      <c r="K3097" t="str">
        <f>"151052121569"</f>
        <v>151052121569</v>
      </c>
      <c r="L3097" t="str">
        <f t="shared" si="1277"/>
        <v>04-08-2020</v>
      </c>
      <c r="M3097" t="str">
        <f t="shared" si="1277"/>
        <v>04-08-2020</v>
      </c>
      <c r="N3097" t="str">
        <f t="shared" si="1264"/>
        <v>001105018356</v>
      </c>
      <c r="O3097" t="str">
        <f t="shared" si="1265"/>
        <v>MYR</v>
      </c>
      <c r="P3097" t="str">
        <f t="shared" si="1278"/>
        <v>NIL</v>
      </c>
      <c r="Q3097" t="str">
        <f t="shared" si="1278"/>
        <v>NIL</v>
      </c>
      <c r="R3097" t="str">
        <f t="shared" si="1266"/>
        <v>Accepted</v>
      </c>
      <c r="S3097" t="str">
        <f t="shared" si="1267"/>
        <v>Approved</v>
      </c>
      <c r="T3097" t="str">
        <f t="shared" si="1268"/>
        <v>10.20.8.188</v>
      </c>
      <c r="U3097" t="str">
        <f t="shared" si="1269"/>
        <v>AZRAD UMAR BIN SHAARI</v>
      </c>
      <c r="V3097" t="str">
        <f t="shared" si="1270"/>
        <v>FARHANA BINTI MUSTAPA</v>
      </c>
      <c r="W3097" t="str">
        <f t="shared" si="1271"/>
        <v>04-08-2020</v>
      </c>
      <c r="X3097" t="str">
        <f t="shared" si="1272"/>
        <v>RAZIMAH ANSAR AHMAD</v>
      </c>
      <c r="Y3097" t="str">
        <f t="shared" si="1273"/>
        <v>04-08-2020</v>
      </c>
      <c r="Z3097" t="str">
        <f>"COS10200804 6057"</f>
        <v>COS10200804 6057</v>
      </c>
    </row>
    <row r="3098" spans="1:26" x14ac:dyDescent="0.25">
      <c r="A3098" t="str">
        <f t="shared" si="1274"/>
        <v>04-08-2020 12:58:57</v>
      </c>
      <c r="B3098" t="str">
        <f>"0000807847"</f>
        <v>0000807847</v>
      </c>
      <c r="C3098" t="str">
        <f t="shared" si="1275"/>
        <v>0000807791</v>
      </c>
      <c r="D3098" t="str">
        <f t="shared" si="1261"/>
        <v>73185</v>
      </c>
      <c r="E3098" t="str">
        <f t="shared" si="1262"/>
        <v>KFH-OPERATIONS DEPARTMENT</v>
      </c>
      <c r="F3098" t="str">
        <f t="shared" si="1263"/>
        <v>IBG</v>
      </c>
      <c r="G3098" t="str">
        <f t="shared" si="1276"/>
        <v>Refund COSHARE 10</v>
      </c>
      <c r="H3098" s="2">
        <v>209.9</v>
      </c>
      <c r="I3098" t="str">
        <f>"MUHAMMAD NIZAR BIN MAT AXID"</f>
        <v>MUHAMMAD NIZAR BIN MAT AXID</v>
      </c>
      <c r="J3098" t="str">
        <f t="shared" si="1279"/>
        <v>MAYBANK / MAYBANK ISLAMIC</v>
      </c>
      <c r="K3098" t="str">
        <f>"153065242910"</f>
        <v>153065242910</v>
      </c>
      <c r="L3098" t="str">
        <f t="shared" si="1277"/>
        <v>04-08-2020</v>
      </c>
      <c r="M3098" t="str">
        <f t="shared" si="1277"/>
        <v>04-08-2020</v>
      </c>
      <c r="N3098" t="str">
        <f t="shared" si="1264"/>
        <v>001105018356</v>
      </c>
      <c r="O3098" t="str">
        <f t="shared" si="1265"/>
        <v>MYR</v>
      </c>
      <c r="P3098" t="str">
        <f t="shared" si="1278"/>
        <v>NIL</v>
      </c>
      <c r="Q3098" t="str">
        <f t="shared" si="1278"/>
        <v>NIL</v>
      </c>
      <c r="R3098" t="str">
        <f t="shared" si="1266"/>
        <v>Accepted</v>
      </c>
      <c r="S3098" t="str">
        <f t="shared" si="1267"/>
        <v>Approved</v>
      </c>
      <c r="T3098" t="str">
        <f t="shared" si="1268"/>
        <v>10.20.8.188</v>
      </c>
      <c r="U3098" t="str">
        <f t="shared" si="1269"/>
        <v>AZRAD UMAR BIN SHAARI</v>
      </c>
      <c r="V3098" t="str">
        <f t="shared" si="1270"/>
        <v>FARHANA BINTI MUSTAPA</v>
      </c>
      <c r="W3098" t="str">
        <f t="shared" si="1271"/>
        <v>04-08-2020</v>
      </c>
      <c r="X3098" t="str">
        <f t="shared" si="1272"/>
        <v>RAZIMAH ANSAR AHMAD</v>
      </c>
      <c r="Y3098" t="str">
        <f t="shared" si="1273"/>
        <v>04-08-2020</v>
      </c>
      <c r="Z3098" t="str">
        <f>"COS10200804 6056"</f>
        <v>COS10200804 6056</v>
      </c>
    </row>
    <row r="3099" spans="1:26" x14ac:dyDescent="0.25">
      <c r="A3099" t="str">
        <f t="shared" si="1274"/>
        <v>04-08-2020 12:58:57</v>
      </c>
      <c r="B3099" t="str">
        <f>"0000807846"</f>
        <v>0000807846</v>
      </c>
      <c r="C3099" t="str">
        <f t="shared" si="1275"/>
        <v>0000807791</v>
      </c>
      <c r="D3099" t="str">
        <f t="shared" si="1261"/>
        <v>73185</v>
      </c>
      <c r="E3099" t="str">
        <f t="shared" si="1262"/>
        <v>KFH-OPERATIONS DEPARTMENT</v>
      </c>
      <c r="F3099" t="str">
        <f t="shared" si="1263"/>
        <v>IBG</v>
      </c>
      <c r="G3099" t="str">
        <f t="shared" si="1276"/>
        <v>Refund COSHARE 10</v>
      </c>
      <c r="H3099" s="2">
        <v>839.5</v>
      </c>
      <c r="I3099" t="str">
        <f>"MUHAMMAD NIZAM BIN JAMARI"</f>
        <v>MUHAMMAD NIZAM BIN JAMARI</v>
      </c>
      <c r="J3099" t="str">
        <f t="shared" si="1279"/>
        <v>MAYBANK / MAYBANK ISLAMIC</v>
      </c>
      <c r="K3099" t="str">
        <f>"112503040145"</f>
        <v>112503040145</v>
      </c>
      <c r="L3099" t="str">
        <f t="shared" si="1277"/>
        <v>04-08-2020</v>
      </c>
      <c r="M3099" t="str">
        <f t="shared" si="1277"/>
        <v>04-08-2020</v>
      </c>
      <c r="N3099" t="str">
        <f t="shared" si="1264"/>
        <v>001105018356</v>
      </c>
      <c r="O3099" t="str">
        <f t="shared" si="1265"/>
        <v>MYR</v>
      </c>
      <c r="P3099" t="str">
        <f t="shared" si="1278"/>
        <v>NIL</v>
      </c>
      <c r="Q3099" t="str">
        <f t="shared" si="1278"/>
        <v>NIL</v>
      </c>
      <c r="R3099" t="str">
        <f t="shared" si="1266"/>
        <v>Accepted</v>
      </c>
      <c r="S3099" t="str">
        <f t="shared" si="1267"/>
        <v>Approved</v>
      </c>
      <c r="T3099" t="str">
        <f t="shared" si="1268"/>
        <v>10.20.8.188</v>
      </c>
      <c r="U3099" t="str">
        <f t="shared" si="1269"/>
        <v>AZRAD UMAR BIN SHAARI</v>
      </c>
      <c r="V3099" t="str">
        <f t="shared" si="1270"/>
        <v>FARHANA BINTI MUSTAPA</v>
      </c>
      <c r="W3099" t="str">
        <f t="shared" si="1271"/>
        <v>04-08-2020</v>
      </c>
      <c r="X3099" t="str">
        <f t="shared" si="1272"/>
        <v>RAZIMAH ANSAR AHMAD</v>
      </c>
      <c r="Y3099" t="str">
        <f t="shared" si="1273"/>
        <v>04-08-2020</v>
      </c>
      <c r="Z3099" t="str">
        <f>"COS10200804 6055"</f>
        <v>COS10200804 6055</v>
      </c>
    </row>
    <row r="3100" spans="1:26" x14ac:dyDescent="0.25">
      <c r="A3100" t="str">
        <f t="shared" si="1274"/>
        <v>04-08-2020 12:58:57</v>
      </c>
      <c r="B3100" t="str">
        <f>"0000807845"</f>
        <v>0000807845</v>
      </c>
      <c r="C3100" t="str">
        <f t="shared" si="1275"/>
        <v>0000807791</v>
      </c>
      <c r="D3100" t="str">
        <f t="shared" si="1261"/>
        <v>73185</v>
      </c>
      <c r="E3100" t="str">
        <f t="shared" si="1262"/>
        <v>KFH-OPERATIONS DEPARTMENT</v>
      </c>
      <c r="F3100" t="str">
        <f t="shared" si="1263"/>
        <v>IBG</v>
      </c>
      <c r="G3100" t="str">
        <f t="shared" si="1276"/>
        <v>Refund COSHARE 10</v>
      </c>
      <c r="H3100" s="2">
        <v>1494.3</v>
      </c>
      <c r="I3100" t="str">
        <f>"MUHAMMAD NISHAN BIN BAHARUM"</f>
        <v>MUHAMMAD NISHAN BIN BAHARUM</v>
      </c>
      <c r="J3100" t="str">
        <f t="shared" si="1279"/>
        <v>MAYBANK / MAYBANK ISLAMIC</v>
      </c>
      <c r="K3100" t="str">
        <f>"102036729937"</f>
        <v>102036729937</v>
      </c>
      <c r="L3100" t="str">
        <f t="shared" si="1277"/>
        <v>04-08-2020</v>
      </c>
      <c r="M3100" t="str">
        <f t="shared" si="1277"/>
        <v>04-08-2020</v>
      </c>
      <c r="N3100" t="str">
        <f t="shared" si="1264"/>
        <v>001105018356</v>
      </c>
      <c r="O3100" t="str">
        <f t="shared" si="1265"/>
        <v>MYR</v>
      </c>
      <c r="P3100" t="str">
        <f t="shared" si="1278"/>
        <v>NIL</v>
      </c>
      <c r="Q3100" t="str">
        <f t="shared" si="1278"/>
        <v>NIL</v>
      </c>
      <c r="R3100" t="str">
        <f t="shared" si="1266"/>
        <v>Accepted</v>
      </c>
      <c r="S3100" t="str">
        <f t="shared" si="1267"/>
        <v>Approved</v>
      </c>
      <c r="T3100" t="str">
        <f t="shared" si="1268"/>
        <v>10.20.8.188</v>
      </c>
      <c r="U3100" t="str">
        <f t="shared" si="1269"/>
        <v>AZRAD UMAR BIN SHAARI</v>
      </c>
      <c r="V3100" t="str">
        <f t="shared" si="1270"/>
        <v>FARHANA BINTI MUSTAPA</v>
      </c>
      <c r="W3100" t="str">
        <f t="shared" si="1271"/>
        <v>04-08-2020</v>
      </c>
      <c r="X3100" t="str">
        <f t="shared" si="1272"/>
        <v>RAZIMAH ANSAR AHMAD</v>
      </c>
      <c r="Y3100" t="str">
        <f t="shared" si="1273"/>
        <v>04-08-2020</v>
      </c>
      <c r="Z3100" t="str">
        <f>"COS10200804 6054"</f>
        <v>COS10200804 6054</v>
      </c>
    </row>
    <row r="3101" spans="1:26" x14ac:dyDescent="0.25">
      <c r="A3101" t="str">
        <f t="shared" si="1274"/>
        <v>04-08-2020 12:58:57</v>
      </c>
      <c r="B3101" t="str">
        <f>"0000807844"</f>
        <v>0000807844</v>
      </c>
      <c r="C3101" t="str">
        <f t="shared" si="1275"/>
        <v>0000807791</v>
      </c>
      <c r="D3101" t="str">
        <f t="shared" si="1261"/>
        <v>73185</v>
      </c>
      <c r="E3101" t="str">
        <f t="shared" si="1262"/>
        <v>KFH-OPERATIONS DEPARTMENT</v>
      </c>
      <c r="F3101" t="str">
        <f t="shared" si="1263"/>
        <v>IBG</v>
      </c>
      <c r="G3101" t="str">
        <f t="shared" si="1276"/>
        <v>Refund COSHARE 10</v>
      </c>
      <c r="H3101" s="2">
        <v>587.65</v>
      </c>
      <c r="I3101" t="str">
        <f>"MUHAMMAD NAJMI BIN MD RASHID"</f>
        <v>MUHAMMAD NAJMI BIN MD RASHID</v>
      </c>
      <c r="J3101" t="str">
        <f t="shared" si="1279"/>
        <v>MAYBANK / MAYBANK ISLAMIC</v>
      </c>
      <c r="K3101" t="str">
        <f>"162508156553"</f>
        <v>162508156553</v>
      </c>
      <c r="L3101" t="str">
        <f t="shared" si="1277"/>
        <v>04-08-2020</v>
      </c>
      <c r="M3101" t="str">
        <f t="shared" si="1277"/>
        <v>04-08-2020</v>
      </c>
      <c r="N3101" t="str">
        <f t="shared" si="1264"/>
        <v>001105018356</v>
      </c>
      <c r="O3101" t="str">
        <f t="shared" si="1265"/>
        <v>MYR</v>
      </c>
      <c r="P3101" t="str">
        <f t="shared" si="1278"/>
        <v>NIL</v>
      </c>
      <c r="Q3101" t="str">
        <f t="shared" si="1278"/>
        <v>NIL</v>
      </c>
      <c r="R3101" t="str">
        <f t="shared" si="1266"/>
        <v>Accepted</v>
      </c>
      <c r="S3101" t="str">
        <f t="shared" si="1267"/>
        <v>Approved</v>
      </c>
      <c r="T3101" t="str">
        <f t="shared" si="1268"/>
        <v>10.20.8.188</v>
      </c>
      <c r="U3101" t="str">
        <f t="shared" si="1269"/>
        <v>AZRAD UMAR BIN SHAARI</v>
      </c>
      <c r="V3101" t="str">
        <f t="shared" si="1270"/>
        <v>FARHANA BINTI MUSTAPA</v>
      </c>
      <c r="W3101" t="str">
        <f t="shared" si="1271"/>
        <v>04-08-2020</v>
      </c>
      <c r="X3101" t="str">
        <f t="shared" si="1272"/>
        <v>RAZIMAH ANSAR AHMAD</v>
      </c>
      <c r="Y3101" t="str">
        <f t="shared" si="1273"/>
        <v>04-08-2020</v>
      </c>
      <c r="Z3101" t="str">
        <f>"COS10200804 6053"</f>
        <v>COS10200804 6053</v>
      </c>
    </row>
    <row r="3102" spans="1:26" x14ac:dyDescent="0.25">
      <c r="A3102" t="str">
        <f t="shared" si="1274"/>
        <v>04-08-2020 12:58:57</v>
      </c>
      <c r="B3102" t="str">
        <f>"0000807843"</f>
        <v>0000807843</v>
      </c>
      <c r="C3102" t="str">
        <f t="shared" si="1275"/>
        <v>0000807791</v>
      </c>
      <c r="D3102" t="str">
        <f t="shared" si="1261"/>
        <v>73185</v>
      </c>
      <c r="E3102" t="str">
        <f t="shared" si="1262"/>
        <v>KFH-OPERATIONS DEPARTMENT</v>
      </c>
      <c r="F3102" t="str">
        <f t="shared" si="1263"/>
        <v>IBG</v>
      </c>
      <c r="G3102" t="str">
        <f t="shared" si="1276"/>
        <v>Refund COSHARE 10</v>
      </c>
      <c r="H3102" s="2">
        <v>1007.4</v>
      </c>
      <c r="I3102" t="str">
        <f>"MUHAMMAD KHALIL BIN LAHARADILAHURI"</f>
        <v>MUHAMMAD KHALIL BIN LAHARADILAHURI</v>
      </c>
      <c r="J3102" t="str">
        <f t="shared" si="1279"/>
        <v>MAYBANK / MAYBANK ISLAMIC</v>
      </c>
      <c r="K3102" t="str">
        <f>"162142988662"</f>
        <v>162142988662</v>
      </c>
      <c r="L3102" t="str">
        <f t="shared" si="1277"/>
        <v>04-08-2020</v>
      </c>
      <c r="M3102" t="str">
        <f t="shared" si="1277"/>
        <v>04-08-2020</v>
      </c>
      <c r="N3102" t="str">
        <f t="shared" si="1264"/>
        <v>001105018356</v>
      </c>
      <c r="O3102" t="str">
        <f t="shared" si="1265"/>
        <v>MYR</v>
      </c>
      <c r="P3102" t="str">
        <f t="shared" si="1278"/>
        <v>NIL</v>
      </c>
      <c r="Q3102" t="str">
        <f t="shared" si="1278"/>
        <v>NIL</v>
      </c>
      <c r="R3102" t="str">
        <f t="shared" si="1266"/>
        <v>Accepted</v>
      </c>
      <c r="S3102" t="str">
        <f t="shared" si="1267"/>
        <v>Approved</v>
      </c>
      <c r="T3102" t="str">
        <f t="shared" si="1268"/>
        <v>10.20.8.188</v>
      </c>
      <c r="U3102" t="str">
        <f t="shared" si="1269"/>
        <v>AZRAD UMAR BIN SHAARI</v>
      </c>
      <c r="V3102" t="str">
        <f t="shared" si="1270"/>
        <v>FARHANA BINTI MUSTAPA</v>
      </c>
      <c r="W3102" t="str">
        <f t="shared" si="1271"/>
        <v>04-08-2020</v>
      </c>
      <c r="X3102" t="str">
        <f t="shared" si="1272"/>
        <v>RAZIMAH ANSAR AHMAD</v>
      </c>
      <c r="Y3102" t="str">
        <f t="shared" si="1273"/>
        <v>04-08-2020</v>
      </c>
      <c r="Z3102" t="str">
        <f>"COS10200804 6052"</f>
        <v>COS10200804 6052</v>
      </c>
    </row>
    <row r="3103" spans="1:26" x14ac:dyDescent="0.25">
      <c r="A3103" t="str">
        <f t="shared" si="1274"/>
        <v>04-08-2020 12:58:57</v>
      </c>
      <c r="B3103" t="str">
        <f>"0000807842"</f>
        <v>0000807842</v>
      </c>
      <c r="C3103" t="str">
        <f t="shared" si="1275"/>
        <v>0000807791</v>
      </c>
      <c r="D3103" t="str">
        <f t="shared" si="1261"/>
        <v>73185</v>
      </c>
      <c r="E3103" t="str">
        <f t="shared" si="1262"/>
        <v>KFH-OPERATIONS DEPARTMENT</v>
      </c>
      <c r="F3103" t="str">
        <f t="shared" si="1263"/>
        <v>IBG</v>
      </c>
      <c r="G3103" t="str">
        <f t="shared" si="1276"/>
        <v>Refund COSHARE 10</v>
      </c>
      <c r="H3103" s="2">
        <v>629.65</v>
      </c>
      <c r="I3103" t="str">
        <f>"MUHAMMAD KHAIRUL HILMI BIN MOHD BOHKHARI"</f>
        <v>MUHAMMAD KHAIRUL HILMI BIN MOHD BOHKHARI</v>
      </c>
      <c r="J3103" t="str">
        <f t="shared" si="1279"/>
        <v>MAYBANK / MAYBANK ISLAMIC</v>
      </c>
      <c r="K3103" t="str">
        <f>"162508137047"</f>
        <v>162508137047</v>
      </c>
      <c r="L3103" t="str">
        <f t="shared" si="1277"/>
        <v>04-08-2020</v>
      </c>
      <c r="M3103" t="str">
        <f t="shared" si="1277"/>
        <v>04-08-2020</v>
      </c>
      <c r="N3103" t="str">
        <f t="shared" si="1264"/>
        <v>001105018356</v>
      </c>
      <c r="O3103" t="str">
        <f t="shared" si="1265"/>
        <v>MYR</v>
      </c>
      <c r="P3103" t="str">
        <f t="shared" si="1278"/>
        <v>NIL</v>
      </c>
      <c r="Q3103" t="str">
        <f t="shared" si="1278"/>
        <v>NIL</v>
      </c>
      <c r="R3103" t="str">
        <f t="shared" si="1266"/>
        <v>Accepted</v>
      </c>
      <c r="S3103" t="str">
        <f t="shared" si="1267"/>
        <v>Approved</v>
      </c>
      <c r="T3103" t="str">
        <f t="shared" si="1268"/>
        <v>10.20.8.188</v>
      </c>
      <c r="U3103" t="str">
        <f t="shared" si="1269"/>
        <v>AZRAD UMAR BIN SHAARI</v>
      </c>
      <c r="V3103" t="str">
        <f t="shared" si="1270"/>
        <v>FARHANA BINTI MUSTAPA</v>
      </c>
      <c r="W3103" t="str">
        <f t="shared" si="1271"/>
        <v>04-08-2020</v>
      </c>
      <c r="X3103" t="str">
        <f t="shared" si="1272"/>
        <v>RAZIMAH ANSAR AHMAD</v>
      </c>
      <c r="Y3103" t="str">
        <f t="shared" si="1273"/>
        <v>04-08-2020</v>
      </c>
      <c r="Z3103" t="str">
        <f>"COS10200804 6051"</f>
        <v>COS10200804 6051</v>
      </c>
    </row>
    <row r="3104" spans="1:26" x14ac:dyDescent="0.25">
      <c r="A3104" t="str">
        <f t="shared" si="1274"/>
        <v>04-08-2020 12:58:57</v>
      </c>
      <c r="B3104" t="str">
        <f>"0000807841"</f>
        <v>0000807841</v>
      </c>
      <c r="C3104" t="str">
        <f t="shared" si="1275"/>
        <v>0000807791</v>
      </c>
      <c r="D3104" t="str">
        <f t="shared" si="1261"/>
        <v>73185</v>
      </c>
      <c r="E3104" t="str">
        <f t="shared" si="1262"/>
        <v>KFH-OPERATIONS DEPARTMENT</v>
      </c>
      <c r="F3104" t="str">
        <f t="shared" si="1263"/>
        <v>IBG</v>
      </c>
      <c r="G3104" t="str">
        <f t="shared" si="1276"/>
        <v>Refund COSHARE 10</v>
      </c>
      <c r="H3104" s="2">
        <v>151</v>
      </c>
      <c r="I3104" t="str">
        <f>"MUHAMMAD IZZAT BIN ABDUL RAHIM"</f>
        <v>MUHAMMAD IZZAT BIN ABDUL RAHIM</v>
      </c>
      <c r="J3104" t="str">
        <f t="shared" si="1279"/>
        <v>MAYBANK / MAYBANK ISLAMIC</v>
      </c>
      <c r="K3104" t="str">
        <f>"164258422678"</f>
        <v>164258422678</v>
      </c>
      <c r="L3104" t="str">
        <f t="shared" si="1277"/>
        <v>04-08-2020</v>
      </c>
      <c r="M3104" t="str">
        <f t="shared" si="1277"/>
        <v>04-08-2020</v>
      </c>
      <c r="N3104" t="str">
        <f t="shared" si="1264"/>
        <v>001105018356</v>
      </c>
      <c r="O3104" t="str">
        <f t="shared" si="1265"/>
        <v>MYR</v>
      </c>
      <c r="P3104" t="str">
        <f t="shared" si="1278"/>
        <v>NIL</v>
      </c>
      <c r="Q3104" t="str">
        <f t="shared" si="1278"/>
        <v>NIL</v>
      </c>
      <c r="R3104" t="str">
        <f t="shared" si="1266"/>
        <v>Accepted</v>
      </c>
      <c r="S3104" t="str">
        <f t="shared" si="1267"/>
        <v>Approved</v>
      </c>
      <c r="T3104" t="str">
        <f t="shared" si="1268"/>
        <v>10.20.8.188</v>
      </c>
      <c r="U3104" t="str">
        <f t="shared" si="1269"/>
        <v>AZRAD UMAR BIN SHAARI</v>
      </c>
      <c r="V3104" t="str">
        <f t="shared" si="1270"/>
        <v>FARHANA BINTI MUSTAPA</v>
      </c>
      <c r="W3104" t="str">
        <f t="shared" si="1271"/>
        <v>04-08-2020</v>
      </c>
      <c r="X3104" t="str">
        <f t="shared" si="1272"/>
        <v>RAZIMAH ANSAR AHMAD</v>
      </c>
      <c r="Y3104" t="str">
        <f t="shared" si="1273"/>
        <v>04-08-2020</v>
      </c>
      <c r="Z3104" t="str">
        <f>"COS10200804 6050"</f>
        <v>COS10200804 6050</v>
      </c>
    </row>
    <row r="3105" spans="1:26" x14ac:dyDescent="0.25">
      <c r="A3105" t="str">
        <f t="shared" si="1274"/>
        <v>04-08-2020 12:58:57</v>
      </c>
      <c r="B3105" t="str">
        <f>"0000807840"</f>
        <v>0000807840</v>
      </c>
      <c r="C3105" t="str">
        <f t="shared" si="1275"/>
        <v>0000807791</v>
      </c>
      <c r="D3105" t="str">
        <f t="shared" si="1261"/>
        <v>73185</v>
      </c>
      <c r="E3105" t="str">
        <f t="shared" si="1262"/>
        <v>KFH-OPERATIONS DEPARTMENT</v>
      </c>
      <c r="F3105" t="str">
        <f t="shared" si="1263"/>
        <v>IBG</v>
      </c>
      <c r="G3105" t="str">
        <f t="shared" si="1276"/>
        <v>Refund COSHARE 10</v>
      </c>
      <c r="H3105" s="2">
        <v>744</v>
      </c>
      <c r="I3105" t="str">
        <f>"MUHAMMAD ISKANDAR BIN RAMLY"</f>
        <v>MUHAMMAD ISKANDAR BIN RAMLY</v>
      </c>
      <c r="J3105" t="str">
        <f t="shared" si="1279"/>
        <v>MAYBANK / MAYBANK ISLAMIC</v>
      </c>
      <c r="K3105" t="str">
        <f>"113015129506"</f>
        <v>113015129506</v>
      </c>
      <c r="L3105" t="str">
        <f t="shared" si="1277"/>
        <v>04-08-2020</v>
      </c>
      <c r="M3105" t="str">
        <f t="shared" si="1277"/>
        <v>04-08-2020</v>
      </c>
      <c r="N3105" t="str">
        <f t="shared" si="1264"/>
        <v>001105018356</v>
      </c>
      <c r="O3105" t="str">
        <f t="shared" si="1265"/>
        <v>MYR</v>
      </c>
      <c r="P3105" t="str">
        <f t="shared" si="1278"/>
        <v>NIL</v>
      </c>
      <c r="Q3105" t="str">
        <f t="shared" si="1278"/>
        <v>NIL</v>
      </c>
      <c r="R3105" t="str">
        <f t="shared" si="1266"/>
        <v>Accepted</v>
      </c>
      <c r="S3105" t="str">
        <f t="shared" si="1267"/>
        <v>Approved</v>
      </c>
      <c r="T3105" t="str">
        <f t="shared" si="1268"/>
        <v>10.20.8.188</v>
      </c>
      <c r="U3105" t="str">
        <f t="shared" si="1269"/>
        <v>AZRAD UMAR BIN SHAARI</v>
      </c>
      <c r="V3105" t="str">
        <f t="shared" si="1270"/>
        <v>FARHANA BINTI MUSTAPA</v>
      </c>
      <c r="W3105" t="str">
        <f t="shared" si="1271"/>
        <v>04-08-2020</v>
      </c>
      <c r="X3105" t="str">
        <f t="shared" si="1272"/>
        <v>RAZIMAH ANSAR AHMAD</v>
      </c>
      <c r="Y3105" t="str">
        <f t="shared" si="1273"/>
        <v>04-08-2020</v>
      </c>
      <c r="Z3105" t="str">
        <f>"COS10200804 6049"</f>
        <v>COS10200804 6049</v>
      </c>
    </row>
    <row r="3106" spans="1:26" x14ac:dyDescent="0.25">
      <c r="A3106" t="str">
        <f t="shared" si="1274"/>
        <v>04-08-2020 12:58:57</v>
      </c>
      <c r="B3106" t="str">
        <f>"0000807839"</f>
        <v>0000807839</v>
      </c>
      <c r="C3106" t="str">
        <f t="shared" si="1275"/>
        <v>0000807791</v>
      </c>
      <c r="D3106" t="str">
        <f t="shared" si="1261"/>
        <v>73185</v>
      </c>
      <c r="E3106" t="str">
        <f t="shared" si="1262"/>
        <v>KFH-OPERATIONS DEPARTMENT</v>
      </c>
      <c r="F3106" t="str">
        <f t="shared" si="1263"/>
        <v>IBG</v>
      </c>
      <c r="G3106" t="str">
        <f t="shared" si="1276"/>
        <v>Refund COSHARE 10</v>
      </c>
      <c r="H3106" s="2">
        <v>1070.5999999999999</v>
      </c>
      <c r="I3106" t="str">
        <f>"MUHAMMAD HUSAINI BIN MOHAMMAD ZAIN"</f>
        <v>MUHAMMAD HUSAINI BIN MOHAMMAD ZAIN</v>
      </c>
      <c r="J3106" t="str">
        <f t="shared" si="1279"/>
        <v>MAYBANK / MAYBANK ISLAMIC</v>
      </c>
      <c r="K3106" t="str">
        <f>"164726011330"</f>
        <v>164726011330</v>
      </c>
      <c r="L3106" t="str">
        <f t="shared" si="1277"/>
        <v>04-08-2020</v>
      </c>
      <c r="M3106" t="str">
        <f t="shared" si="1277"/>
        <v>04-08-2020</v>
      </c>
      <c r="N3106" t="str">
        <f t="shared" si="1264"/>
        <v>001105018356</v>
      </c>
      <c r="O3106" t="str">
        <f t="shared" si="1265"/>
        <v>MYR</v>
      </c>
      <c r="P3106" t="str">
        <f t="shared" si="1278"/>
        <v>NIL</v>
      </c>
      <c r="Q3106" t="str">
        <f t="shared" si="1278"/>
        <v>NIL</v>
      </c>
      <c r="R3106" t="str">
        <f t="shared" si="1266"/>
        <v>Accepted</v>
      </c>
      <c r="S3106" t="str">
        <f t="shared" si="1267"/>
        <v>Approved</v>
      </c>
      <c r="T3106" t="str">
        <f t="shared" si="1268"/>
        <v>10.20.8.188</v>
      </c>
      <c r="U3106" t="str">
        <f t="shared" si="1269"/>
        <v>AZRAD UMAR BIN SHAARI</v>
      </c>
      <c r="V3106" t="str">
        <f t="shared" si="1270"/>
        <v>FARHANA BINTI MUSTAPA</v>
      </c>
      <c r="W3106" t="str">
        <f t="shared" si="1271"/>
        <v>04-08-2020</v>
      </c>
      <c r="X3106" t="str">
        <f t="shared" si="1272"/>
        <v>RAZIMAH ANSAR AHMAD</v>
      </c>
      <c r="Y3106" t="str">
        <f t="shared" si="1273"/>
        <v>04-08-2020</v>
      </c>
      <c r="Z3106" t="str">
        <f>"COS10200804 6048"</f>
        <v>COS10200804 6048</v>
      </c>
    </row>
    <row r="3107" spans="1:26" x14ac:dyDescent="0.25">
      <c r="A3107" t="str">
        <f t="shared" si="1274"/>
        <v>04-08-2020 12:58:57</v>
      </c>
      <c r="B3107" t="str">
        <f>"0000807838"</f>
        <v>0000807838</v>
      </c>
      <c r="C3107" t="str">
        <f t="shared" si="1275"/>
        <v>0000807791</v>
      </c>
      <c r="D3107" t="str">
        <f t="shared" si="1261"/>
        <v>73185</v>
      </c>
      <c r="E3107" t="str">
        <f t="shared" si="1262"/>
        <v>KFH-OPERATIONS DEPARTMENT</v>
      </c>
      <c r="F3107" t="str">
        <f t="shared" si="1263"/>
        <v>IBG</v>
      </c>
      <c r="G3107" t="str">
        <f t="shared" si="1276"/>
        <v>Refund COSHARE 10</v>
      </c>
      <c r="H3107" s="2">
        <v>957.05</v>
      </c>
      <c r="I3107" t="str">
        <f>"MUHAMMAD HUDI BIN AHMAD HAFID"</f>
        <v>MUHAMMAD HUDI BIN AHMAD HAFID</v>
      </c>
      <c r="J3107" t="str">
        <f t="shared" si="1279"/>
        <v>MAYBANK / MAYBANK ISLAMIC</v>
      </c>
      <c r="K3107" t="str">
        <f>"160036001081"</f>
        <v>160036001081</v>
      </c>
      <c r="L3107" t="str">
        <f t="shared" ref="L3107:M3126" si="1280">"04-08-2020"</f>
        <v>04-08-2020</v>
      </c>
      <c r="M3107" t="str">
        <f t="shared" si="1280"/>
        <v>04-08-2020</v>
      </c>
      <c r="N3107" t="str">
        <f t="shared" si="1264"/>
        <v>001105018356</v>
      </c>
      <c r="O3107" t="str">
        <f t="shared" si="1265"/>
        <v>MYR</v>
      </c>
      <c r="P3107" t="str">
        <f t="shared" ref="P3107:Q3126" si="1281">"NIL"</f>
        <v>NIL</v>
      </c>
      <c r="Q3107" t="str">
        <f t="shared" si="1281"/>
        <v>NIL</v>
      </c>
      <c r="R3107" t="str">
        <f t="shared" si="1266"/>
        <v>Accepted</v>
      </c>
      <c r="S3107" t="str">
        <f t="shared" si="1267"/>
        <v>Approved</v>
      </c>
      <c r="T3107" t="str">
        <f t="shared" si="1268"/>
        <v>10.20.8.188</v>
      </c>
      <c r="U3107" t="str">
        <f t="shared" si="1269"/>
        <v>AZRAD UMAR BIN SHAARI</v>
      </c>
      <c r="V3107" t="str">
        <f t="shared" si="1270"/>
        <v>FARHANA BINTI MUSTAPA</v>
      </c>
      <c r="W3107" t="str">
        <f t="shared" si="1271"/>
        <v>04-08-2020</v>
      </c>
      <c r="X3107" t="str">
        <f t="shared" si="1272"/>
        <v>RAZIMAH ANSAR AHMAD</v>
      </c>
      <c r="Y3107" t="str">
        <f t="shared" si="1273"/>
        <v>04-08-2020</v>
      </c>
      <c r="Z3107" t="str">
        <f>"COS10200804 6047"</f>
        <v>COS10200804 6047</v>
      </c>
    </row>
    <row r="3108" spans="1:26" x14ac:dyDescent="0.25">
      <c r="A3108" t="str">
        <f t="shared" si="1274"/>
        <v>04-08-2020 12:58:57</v>
      </c>
      <c r="B3108" t="str">
        <f>"0000807837"</f>
        <v>0000807837</v>
      </c>
      <c r="C3108" t="str">
        <f t="shared" si="1275"/>
        <v>0000807791</v>
      </c>
      <c r="D3108" t="str">
        <f t="shared" si="1261"/>
        <v>73185</v>
      </c>
      <c r="E3108" t="str">
        <f t="shared" si="1262"/>
        <v>KFH-OPERATIONS DEPARTMENT</v>
      </c>
      <c r="F3108" t="str">
        <f t="shared" si="1263"/>
        <v>IBG</v>
      </c>
      <c r="G3108" t="str">
        <f t="shared" si="1276"/>
        <v>Refund COSHARE 10</v>
      </c>
      <c r="H3108" s="2">
        <v>478.55</v>
      </c>
      <c r="I3108" t="str">
        <f>"MUHAMMAD HISYAMUDDIN BIN KAMARAZAMAN"</f>
        <v>MUHAMMAD HISYAMUDDIN BIN KAMARAZAMAN</v>
      </c>
      <c r="J3108" t="str">
        <f t="shared" si="1279"/>
        <v>MAYBANK / MAYBANK ISLAMIC</v>
      </c>
      <c r="K3108" t="str">
        <f>"151071435100"</f>
        <v>151071435100</v>
      </c>
      <c r="L3108" t="str">
        <f t="shared" si="1280"/>
        <v>04-08-2020</v>
      </c>
      <c r="M3108" t="str">
        <f t="shared" si="1280"/>
        <v>04-08-2020</v>
      </c>
      <c r="N3108" t="str">
        <f t="shared" si="1264"/>
        <v>001105018356</v>
      </c>
      <c r="O3108" t="str">
        <f t="shared" si="1265"/>
        <v>MYR</v>
      </c>
      <c r="P3108" t="str">
        <f t="shared" si="1281"/>
        <v>NIL</v>
      </c>
      <c r="Q3108" t="str">
        <f t="shared" si="1281"/>
        <v>NIL</v>
      </c>
      <c r="R3108" t="str">
        <f t="shared" si="1266"/>
        <v>Accepted</v>
      </c>
      <c r="S3108" t="str">
        <f t="shared" si="1267"/>
        <v>Approved</v>
      </c>
      <c r="T3108" t="str">
        <f t="shared" si="1268"/>
        <v>10.20.8.188</v>
      </c>
      <c r="U3108" t="str">
        <f t="shared" si="1269"/>
        <v>AZRAD UMAR BIN SHAARI</v>
      </c>
      <c r="V3108" t="str">
        <f t="shared" si="1270"/>
        <v>FARHANA BINTI MUSTAPA</v>
      </c>
      <c r="W3108" t="str">
        <f t="shared" si="1271"/>
        <v>04-08-2020</v>
      </c>
      <c r="X3108" t="str">
        <f t="shared" si="1272"/>
        <v>RAZIMAH ANSAR AHMAD</v>
      </c>
      <c r="Y3108" t="str">
        <f t="shared" si="1273"/>
        <v>04-08-2020</v>
      </c>
      <c r="Z3108" t="str">
        <f>"COS10200804 6046"</f>
        <v>COS10200804 6046</v>
      </c>
    </row>
    <row r="3109" spans="1:26" x14ac:dyDescent="0.25">
      <c r="A3109" t="str">
        <f t="shared" si="1274"/>
        <v>04-08-2020 12:58:57</v>
      </c>
      <c r="B3109" t="str">
        <f>"0000807836"</f>
        <v>0000807836</v>
      </c>
      <c r="C3109" t="str">
        <f t="shared" si="1275"/>
        <v>0000807791</v>
      </c>
      <c r="D3109" t="str">
        <f t="shared" si="1261"/>
        <v>73185</v>
      </c>
      <c r="E3109" t="str">
        <f t="shared" si="1262"/>
        <v>KFH-OPERATIONS DEPARTMENT</v>
      </c>
      <c r="F3109" t="str">
        <f t="shared" si="1263"/>
        <v>IBG</v>
      </c>
      <c r="G3109" t="str">
        <f t="shared" si="1276"/>
        <v>Refund COSHARE 10</v>
      </c>
      <c r="H3109" s="2">
        <v>1721</v>
      </c>
      <c r="I3109" t="str">
        <f>"MUHAMMAD HISHAM BIN SHUIB"</f>
        <v>MUHAMMAD HISHAM BIN SHUIB</v>
      </c>
      <c r="J3109" t="str">
        <f t="shared" si="1279"/>
        <v>MAYBANK / MAYBANK ISLAMIC</v>
      </c>
      <c r="K3109" t="str">
        <f>"152108020616"</f>
        <v>152108020616</v>
      </c>
      <c r="L3109" t="str">
        <f t="shared" si="1280"/>
        <v>04-08-2020</v>
      </c>
      <c r="M3109" t="str">
        <f t="shared" si="1280"/>
        <v>04-08-2020</v>
      </c>
      <c r="N3109" t="str">
        <f t="shared" si="1264"/>
        <v>001105018356</v>
      </c>
      <c r="O3109" t="str">
        <f t="shared" si="1265"/>
        <v>MYR</v>
      </c>
      <c r="P3109" t="str">
        <f t="shared" si="1281"/>
        <v>NIL</v>
      </c>
      <c r="Q3109" t="str">
        <f t="shared" si="1281"/>
        <v>NIL</v>
      </c>
      <c r="R3109" t="str">
        <f t="shared" si="1266"/>
        <v>Accepted</v>
      </c>
      <c r="S3109" t="str">
        <f t="shared" si="1267"/>
        <v>Approved</v>
      </c>
      <c r="T3109" t="str">
        <f t="shared" si="1268"/>
        <v>10.20.8.188</v>
      </c>
      <c r="U3109" t="str">
        <f t="shared" si="1269"/>
        <v>AZRAD UMAR BIN SHAARI</v>
      </c>
      <c r="V3109" t="str">
        <f t="shared" si="1270"/>
        <v>FARHANA BINTI MUSTAPA</v>
      </c>
      <c r="W3109" t="str">
        <f t="shared" si="1271"/>
        <v>04-08-2020</v>
      </c>
      <c r="X3109" t="str">
        <f t="shared" si="1272"/>
        <v>RAZIMAH ANSAR AHMAD</v>
      </c>
      <c r="Y3109" t="str">
        <f t="shared" si="1273"/>
        <v>04-08-2020</v>
      </c>
      <c r="Z3109" t="str">
        <f>"COS10200804 6045"</f>
        <v>COS10200804 6045</v>
      </c>
    </row>
    <row r="3110" spans="1:26" x14ac:dyDescent="0.25">
      <c r="A3110" t="str">
        <f t="shared" si="1274"/>
        <v>04-08-2020 12:58:57</v>
      </c>
      <c r="B3110" t="str">
        <f>"0000807835"</f>
        <v>0000807835</v>
      </c>
      <c r="C3110" t="str">
        <f t="shared" si="1275"/>
        <v>0000807791</v>
      </c>
      <c r="D3110" t="str">
        <f t="shared" si="1261"/>
        <v>73185</v>
      </c>
      <c r="E3110" t="str">
        <f t="shared" si="1262"/>
        <v>KFH-OPERATIONS DEPARTMENT</v>
      </c>
      <c r="F3110" t="str">
        <f t="shared" si="1263"/>
        <v>IBG</v>
      </c>
      <c r="G3110" t="str">
        <f t="shared" si="1276"/>
        <v>Refund COSHARE 10</v>
      </c>
      <c r="H3110" s="2">
        <v>125.95</v>
      </c>
      <c r="I3110" t="str">
        <f>"MUHAMMAD HILMI BIN MAT YAACOB"</f>
        <v>MUHAMMAD HILMI BIN MAT YAACOB</v>
      </c>
      <c r="J3110" t="str">
        <f t="shared" si="1279"/>
        <v>MAYBANK / MAYBANK ISLAMIC</v>
      </c>
      <c r="K3110" t="str">
        <f>"166010128273"</f>
        <v>166010128273</v>
      </c>
      <c r="L3110" t="str">
        <f t="shared" si="1280"/>
        <v>04-08-2020</v>
      </c>
      <c r="M3110" t="str">
        <f t="shared" si="1280"/>
        <v>04-08-2020</v>
      </c>
      <c r="N3110" t="str">
        <f t="shared" si="1264"/>
        <v>001105018356</v>
      </c>
      <c r="O3110" t="str">
        <f t="shared" si="1265"/>
        <v>MYR</v>
      </c>
      <c r="P3110" t="str">
        <f t="shared" si="1281"/>
        <v>NIL</v>
      </c>
      <c r="Q3110" t="str">
        <f t="shared" si="1281"/>
        <v>NIL</v>
      </c>
      <c r="R3110" t="str">
        <f t="shared" si="1266"/>
        <v>Accepted</v>
      </c>
      <c r="S3110" t="str">
        <f t="shared" si="1267"/>
        <v>Approved</v>
      </c>
      <c r="T3110" t="str">
        <f t="shared" si="1268"/>
        <v>10.20.8.188</v>
      </c>
      <c r="U3110" t="str">
        <f t="shared" si="1269"/>
        <v>AZRAD UMAR BIN SHAARI</v>
      </c>
      <c r="V3110" t="str">
        <f t="shared" si="1270"/>
        <v>FARHANA BINTI MUSTAPA</v>
      </c>
      <c r="W3110" t="str">
        <f t="shared" si="1271"/>
        <v>04-08-2020</v>
      </c>
      <c r="X3110" t="str">
        <f t="shared" si="1272"/>
        <v>RAZIMAH ANSAR AHMAD</v>
      </c>
      <c r="Y3110" t="str">
        <f t="shared" si="1273"/>
        <v>04-08-2020</v>
      </c>
      <c r="Z3110" t="str">
        <f>"COS10200804 6044"</f>
        <v>COS10200804 6044</v>
      </c>
    </row>
    <row r="3111" spans="1:26" x14ac:dyDescent="0.25">
      <c r="A3111" t="str">
        <f t="shared" si="1274"/>
        <v>04-08-2020 12:58:57</v>
      </c>
      <c r="B3111" t="str">
        <f>"0000807834"</f>
        <v>0000807834</v>
      </c>
      <c r="C3111" t="str">
        <f t="shared" si="1275"/>
        <v>0000807791</v>
      </c>
      <c r="D3111" t="str">
        <f t="shared" si="1261"/>
        <v>73185</v>
      </c>
      <c r="E3111" t="str">
        <f t="shared" si="1262"/>
        <v>KFH-OPERATIONS DEPARTMENT</v>
      </c>
      <c r="F3111" t="str">
        <f t="shared" si="1263"/>
        <v>IBG</v>
      </c>
      <c r="G3111" t="str">
        <f t="shared" si="1276"/>
        <v>Refund COSHARE 10</v>
      </c>
      <c r="H3111" s="2">
        <v>1017</v>
      </c>
      <c r="I3111" t="str">
        <f>"MUHAMMAD HAZELAN BIN NAZRI"</f>
        <v>MUHAMMAD HAZELAN BIN NAZRI</v>
      </c>
      <c r="J3111" t="str">
        <f t="shared" si="1279"/>
        <v>MAYBANK / MAYBANK ISLAMIC</v>
      </c>
      <c r="K3111" t="str">
        <f>"112184075789"</f>
        <v>112184075789</v>
      </c>
      <c r="L3111" t="str">
        <f t="shared" si="1280"/>
        <v>04-08-2020</v>
      </c>
      <c r="M3111" t="str">
        <f t="shared" si="1280"/>
        <v>04-08-2020</v>
      </c>
      <c r="N3111" t="str">
        <f t="shared" si="1264"/>
        <v>001105018356</v>
      </c>
      <c r="O3111" t="str">
        <f t="shared" si="1265"/>
        <v>MYR</v>
      </c>
      <c r="P3111" t="str">
        <f t="shared" si="1281"/>
        <v>NIL</v>
      </c>
      <c r="Q3111" t="str">
        <f t="shared" si="1281"/>
        <v>NIL</v>
      </c>
      <c r="R3111" t="str">
        <f t="shared" si="1266"/>
        <v>Accepted</v>
      </c>
      <c r="S3111" t="str">
        <f t="shared" si="1267"/>
        <v>Approved</v>
      </c>
      <c r="T3111" t="str">
        <f t="shared" si="1268"/>
        <v>10.20.8.188</v>
      </c>
      <c r="U3111" t="str">
        <f t="shared" si="1269"/>
        <v>AZRAD UMAR BIN SHAARI</v>
      </c>
      <c r="V3111" t="str">
        <f t="shared" si="1270"/>
        <v>FARHANA BINTI MUSTAPA</v>
      </c>
      <c r="W3111" t="str">
        <f t="shared" si="1271"/>
        <v>04-08-2020</v>
      </c>
      <c r="X3111" t="str">
        <f t="shared" si="1272"/>
        <v>RAZIMAH ANSAR AHMAD</v>
      </c>
      <c r="Y3111" t="str">
        <f t="shared" si="1273"/>
        <v>04-08-2020</v>
      </c>
      <c r="Z3111" t="str">
        <f>"COS10200804 6043"</f>
        <v>COS10200804 6043</v>
      </c>
    </row>
    <row r="3112" spans="1:26" x14ac:dyDescent="0.25">
      <c r="A3112" t="str">
        <f t="shared" si="1274"/>
        <v>04-08-2020 12:58:57</v>
      </c>
      <c r="B3112" t="str">
        <f>"0000807833"</f>
        <v>0000807833</v>
      </c>
      <c r="C3112" t="str">
        <f t="shared" si="1275"/>
        <v>0000807791</v>
      </c>
      <c r="D3112" t="str">
        <f t="shared" si="1261"/>
        <v>73185</v>
      </c>
      <c r="E3112" t="str">
        <f t="shared" si="1262"/>
        <v>KFH-OPERATIONS DEPARTMENT</v>
      </c>
      <c r="F3112" t="str">
        <f t="shared" si="1263"/>
        <v>IBG</v>
      </c>
      <c r="G3112" t="str">
        <f t="shared" si="1276"/>
        <v>Refund COSHARE 10</v>
      </c>
      <c r="H3112" s="2">
        <v>1798.4</v>
      </c>
      <c r="I3112" t="str">
        <f>"MUHAMMAD HASRUL HADI BIN WAHAB"</f>
        <v>MUHAMMAD HASRUL HADI BIN WAHAB</v>
      </c>
      <c r="J3112" t="str">
        <f t="shared" si="1279"/>
        <v>MAYBANK / MAYBANK ISLAMIC</v>
      </c>
      <c r="K3112" t="str">
        <f>"162666016565"</f>
        <v>162666016565</v>
      </c>
      <c r="L3112" t="str">
        <f t="shared" si="1280"/>
        <v>04-08-2020</v>
      </c>
      <c r="M3112" t="str">
        <f t="shared" si="1280"/>
        <v>04-08-2020</v>
      </c>
      <c r="N3112" t="str">
        <f t="shared" si="1264"/>
        <v>001105018356</v>
      </c>
      <c r="O3112" t="str">
        <f t="shared" si="1265"/>
        <v>MYR</v>
      </c>
      <c r="P3112" t="str">
        <f t="shared" si="1281"/>
        <v>NIL</v>
      </c>
      <c r="Q3112" t="str">
        <f t="shared" si="1281"/>
        <v>NIL</v>
      </c>
      <c r="R3112" t="str">
        <f t="shared" si="1266"/>
        <v>Accepted</v>
      </c>
      <c r="S3112" t="str">
        <f t="shared" si="1267"/>
        <v>Approved</v>
      </c>
      <c r="T3112" t="str">
        <f t="shared" si="1268"/>
        <v>10.20.8.188</v>
      </c>
      <c r="U3112" t="str">
        <f t="shared" si="1269"/>
        <v>AZRAD UMAR BIN SHAARI</v>
      </c>
      <c r="V3112" t="str">
        <f t="shared" si="1270"/>
        <v>FARHANA BINTI MUSTAPA</v>
      </c>
      <c r="W3112" t="str">
        <f t="shared" si="1271"/>
        <v>04-08-2020</v>
      </c>
      <c r="X3112" t="str">
        <f t="shared" si="1272"/>
        <v>RAZIMAH ANSAR AHMAD</v>
      </c>
      <c r="Y3112" t="str">
        <f t="shared" si="1273"/>
        <v>04-08-2020</v>
      </c>
      <c r="Z3112" t="str">
        <f>"COS10200804 6042"</f>
        <v>COS10200804 6042</v>
      </c>
    </row>
    <row r="3113" spans="1:26" x14ac:dyDescent="0.25">
      <c r="A3113" t="str">
        <f t="shared" si="1274"/>
        <v>04-08-2020 12:58:57</v>
      </c>
      <c r="B3113" t="str">
        <f>"0000807832"</f>
        <v>0000807832</v>
      </c>
      <c r="C3113" t="str">
        <f t="shared" si="1275"/>
        <v>0000807791</v>
      </c>
      <c r="D3113" t="str">
        <f t="shared" si="1261"/>
        <v>73185</v>
      </c>
      <c r="E3113" t="str">
        <f t="shared" si="1262"/>
        <v>KFH-OPERATIONS DEPARTMENT</v>
      </c>
      <c r="F3113" t="str">
        <f t="shared" si="1263"/>
        <v>IBG</v>
      </c>
      <c r="G3113" t="str">
        <f t="shared" si="1276"/>
        <v>Refund COSHARE 10</v>
      </c>
      <c r="H3113" s="2">
        <v>84</v>
      </c>
      <c r="I3113" t="str">
        <f>"MUHAMMAD HASRUL BIN ARSHAD"</f>
        <v>MUHAMMAD HASRUL BIN ARSHAD</v>
      </c>
      <c r="J3113" t="str">
        <f t="shared" si="1279"/>
        <v>MAYBANK / MAYBANK ISLAMIC</v>
      </c>
      <c r="K3113" t="str">
        <f>"162085359441"</f>
        <v>162085359441</v>
      </c>
      <c r="L3113" t="str">
        <f t="shared" si="1280"/>
        <v>04-08-2020</v>
      </c>
      <c r="M3113" t="str">
        <f t="shared" si="1280"/>
        <v>04-08-2020</v>
      </c>
      <c r="N3113" t="str">
        <f t="shared" si="1264"/>
        <v>001105018356</v>
      </c>
      <c r="O3113" t="str">
        <f t="shared" si="1265"/>
        <v>MYR</v>
      </c>
      <c r="P3113" t="str">
        <f t="shared" si="1281"/>
        <v>NIL</v>
      </c>
      <c r="Q3113" t="str">
        <f t="shared" si="1281"/>
        <v>NIL</v>
      </c>
      <c r="R3113" t="str">
        <f t="shared" si="1266"/>
        <v>Accepted</v>
      </c>
      <c r="S3113" t="str">
        <f t="shared" si="1267"/>
        <v>Approved</v>
      </c>
      <c r="T3113" t="str">
        <f t="shared" si="1268"/>
        <v>10.20.8.188</v>
      </c>
      <c r="U3113" t="str">
        <f t="shared" si="1269"/>
        <v>AZRAD UMAR BIN SHAARI</v>
      </c>
      <c r="V3113" t="str">
        <f t="shared" si="1270"/>
        <v>FARHANA BINTI MUSTAPA</v>
      </c>
      <c r="W3113" t="str">
        <f t="shared" si="1271"/>
        <v>04-08-2020</v>
      </c>
      <c r="X3113" t="str">
        <f t="shared" si="1272"/>
        <v>RAZIMAH ANSAR AHMAD</v>
      </c>
      <c r="Y3113" t="str">
        <f t="shared" si="1273"/>
        <v>04-08-2020</v>
      </c>
      <c r="Z3113" t="str">
        <f>"COS10200804 6041"</f>
        <v>COS10200804 6041</v>
      </c>
    </row>
    <row r="3114" spans="1:26" x14ac:dyDescent="0.25">
      <c r="A3114" t="str">
        <f t="shared" ref="A3114:A3145" si="1282">"04-08-2020 12:58:57"</f>
        <v>04-08-2020 12:58:57</v>
      </c>
      <c r="B3114" t="str">
        <f>"0000807831"</f>
        <v>0000807831</v>
      </c>
      <c r="C3114" t="str">
        <f t="shared" ref="C3114:C3145" si="1283">"0000807791"</f>
        <v>0000807791</v>
      </c>
      <c r="D3114" t="str">
        <f t="shared" si="1261"/>
        <v>73185</v>
      </c>
      <c r="E3114" t="str">
        <f t="shared" si="1262"/>
        <v>KFH-OPERATIONS DEPARTMENT</v>
      </c>
      <c r="F3114" t="str">
        <f t="shared" si="1263"/>
        <v>IBG</v>
      </c>
      <c r="G3114" t="str">
        <f t="shared" si="1276"/>
        <v>Refund COSHARE 10</v>
      </c>
      <c r="H3114" s="2">
        <v>416.9</v>
      </c>
      <c r="I3114" t="str">
        <f>"MUHAMMAD HANAFI BIN RAZALI"</f>
        <v>MUHAMMAD HANAFI BIN RAZALI</v>
      </c>
      <c r="J3114" t="str">
        <f t="shared" si="1279"/>
        <v>MAYBANK / MAYBANK ISLAMIC</v>
      </c>
      <c r="K3114" t="str">
        <f>"153010110739"</f>
        <v>153010110739</v>
      </c>
      <c r="L3114" t="str">
        <f t="shared" si="1280"/>
        <v>04-08-2020</v>
      </c>
      <c r="M3114" t="str">
        <f t="shared" si="1280"/>
        <v>04-08-2020</v>
      </c>
      <c r="N3114" t="str">
        <f t="shared" si="1264"/>
        <v>001105018356</v>
      </c>
      <c r="O3114" t="str">
        <f t="shared" si="1265"/>
        <v>MYR</v>
      </c>
      <c r="P3114" t="str">
        <f t="shared" si="1281"/>
        <v>NIL</v>
      </c>
      <c r="Q3114" t="str">
        <f t="shared" si="1281"/>
        <v>NIL</v>
      </c>
      <c r="R3114" t="str">
        <f t="shared" si="1266"/>
        <v>Accepted</v>
      </c>
      <c r="S3114" t="str">
        <f t="shared" si="1267"/>
        <v>Approved</v>
      </c>
      <c r="T3114" t="str">
        <f t="shared" si="1268"/>
        <v>10.20.8.188</v>
      </c>
      <c r="U3114" t="str">
        <f t="shared" si="1269"/>
        <v>AZRAD UMAR BIN SHAARI</v>
      </c>
      <c r="V3114" t="str">
        <f t="shared" si="1270"/>
        <v>FARHANA BINTI MUSTAPA</v>
      </c>
      <c r="W3114" t="str">
        <f t="shared" si="1271"/>
        <v>04-08-2020</v>
      </c>
      <c r="X3114" t="str">
        <f t="shared" si="1272"/>
        <v>RAZIMAH ANSAR AHMAD</v>
      </c>
      <c r="Y3114" t="str">
        <f t="shared" si="1273"/>
        <v>04-08-2020</v>
      </c>
      <c r="Z3114" t="str">
        <f>"COS10200804 6040"</f>
        <v>COS10200804 6040</v>
      </c>
    </row>
    <row r="3115" spans="1:26" x14ac:dyDescent="0.25">
      <c r="A3115" t="str">
        <f t="shared" si="1282"/>
        <v>04-08-2020 12:58:57</v>
      </c>
      <c r="B3115" t="str">
        <f>"0000807830"</f>
        <v>0000807830</v>
      </c>
      <c r="C3115" t="str">
        <f t="shared" si="1283"/>
        <v>0000807791</v>
      </c>
      <c r="D3115" t="str">
        <f t="shared" si="1261"/>
        <v>73185</v>
      </c>
      <c r="E3115" t="str">
        <f t="shared" si="1262"/>
        <v>KFH-OPERATIONS DEPARTMENT</v>
      </c>
      <c r="F3115" t="str">
        <f t="shared" si="1263"/>
        <v>IBG</v>
      </c>
      <c r="G3115" t="str">
        <f t="shared" si="1276"/>
        <v>Refund COSHARE 10</v>
      </c>
      <c r="H3115" s="2">
        <v>152.44999999999999</v>
      </c>
      <c r="I3115" t="str">
        <f>"MUHAMMAD HALIM BIN PANJANG ADNI"</f>
        <v>MUHAMMAD HALIM BIN PANJANG ADNI</v>
      </c>
      <c r="J3115" t="str">
        <f t="shared" si="1279"/>
        <v>MAYBANK / MAYBANK ISLAMIC</v>
      </c>
      <c r="K3115" t="str">
        <f>"158173067862"</f>
        <v>158173067862</v>
      </c>
      <c r="L3115" t="str">
        <f t="shared" si="1280"/>
        <v>04-08-2020</v>
      </c>
      <c r="M3115" t="str">
        <f t="shared" si="1280"/>
        <v>04-08-2020</v>
      </c>
      <c r="N3115" t="str">
        <f t="shared" si="1264"/>
        <v>001105018356</v>
      </c>
      <c r="O3115" t="str">
        <f t="shared" si="1265"/>
        <v>MYR</v>
      </c>
      <c r="P3115" t="str">
        <f t="shared" si="1281"/>
        <v>NIL</v>
      </c>
      <c r="Q3115" t="str">
        <f t="shared" si="1281"/>
        <v>NIL</v>
      </c>
      <c r="R3115" t="str">
        <f t="shared" si="1266"/>
        <v>Accepted</v>
      </c>
      <c r="S3115" t="str">
        <f t="shared" si="1267"/>
        <v>Approved</v>
      </c>
      <c r="T3115" t="str">
        <f t="shared" si="1268"/>
        <v>10.20.8.188</v>
      </c>
      <c r="U3115" t="str">
        <f t="shared" si="1269"/>
        <v>AZRAD UMAR BIN SHAARI</v>
      </c>
      <c r="V3115" t="str">
        <f t="shared" si="1270"/>
        <v>FARHANA BINTI MUSTAPA</v>
      </c>
      <c r="W3115" t="str">
        <f t="shared" si="1271"/>
        <v>04-08-2020</v>
      </c>
      <c r="X3115" t="str">
        <f t="shared" si="1272"/>
        <v>RAZIMAH ANSAR AHMAD</v>
      </c>
      <c r="Y3115" t="str">
        <f t="shared" si="1273"/>
        <v>04-08-2020</v>
      </c>
      <c r="Z3115" t="str">
        <f>"COS10200804 6039"</f>
        <v>COS10200804 6039</v>
      </c>
    </row>
    <row r="3116" spans="1:26" x14ac:dyDescent="0.25">
      <c r="A3116" t="str">
        <f t="shared" si="1282"/>
        <v>04-08-2020 12:58:57</v>
      </c>
      <c r="B3116" t="str">
        <f>"0000807829"</f>
        <v>0000807829</v>
      </c>
      <c r="C3116" t="str">
        <f t="shared" si="1283"/>
        <v>0000807791</v>
      </c>
      <c r="D3116" t="str">
        <f t="shared" si="1261"/>
        <v>73185</v>
      </c>
      <c r="E3116" t="str">
        <f t="shared" si="1262"/>
        <v>KFH-OPERATIONS DEPARTMENT</v>
      </c>
      <c r="F3116" t="str">
        <f t="shared" si="1263"/>
        <v>IBG</v>
      </c>
      <c r="G3116" t="str">
        <f t="shared" si="1276"/>
        <v>Refund COSHARE 10</v>
      </c>
      <c r="H3116" s="2">
        <v>560.29999999999995</v>
      </c>
      <c r="I3116" t="str">
        <f>"MUHAMMAD HALIM BIN PANJANG ADNI"</f>
        <v>MUHAMMAD HALIM BIN PANJANG ADNI</v>
      </c>
      <c r="J3116" t="str">
        <f t="shared" si="1279"/>
        <v>MAYBANK / MAYBANK ISLAMIC</v>
      </c>
      <c r="K3116" t="str">
        <f>"158173067862"</f>
        <v>158173067862</v>
      </c>
      <c r="L3116" t="str">
        <f t="shared" si="1280"/>
        <v>04-08-2020</v>
      </c>
      <c r="M3116" t="str">
        <f t="shared" si="1280"/>
        <v>04-08-2020</v>
      </c>
      <c r="N3116" t="str">
        <f t="shared" si="1264"/>
        <v>001105018356</v>
      </c>
      <c r="O3116" t="str">
        <f t="shared" si="1265"/>
        <v>MYR</v>
      </c>
      <c r="P3116" t="str">
        <f t="shared" si="1281"/>
        <v>NIL</v>
      </c>
      <c r="Q3116" t="str">
        <f t="shared" si="1281"/>
        <v>NIL</v>
      </c>
      <c r="R3116" t="str">
        <f t="shared" si="1266"/>
        <v>Accepted</v>
      </c>
      <c r="S3116" t="str">
        <f t="shared" si="1267"/>
        <v>Approved</v>
      </c>
      <c r="T3116" t="str">
        <f t="shared" si="1268"/>
        <v>10.20.8.188</v>
      </c>
      <c r="U3116" t="str">
        <f t="shared" si="1269"/>
        <v>AZRAD UMAR BIN SHAARI</v>
      </c>
      <c r="V3116" t="str">
        <f t="shared" si="1270"/>
        <v>FARHANA BINTI MUSTAPA</v>
      </c>
      <c r="W3116" t="str">
        <f t="shared" si="1271"/>
        <v>04-08-2020</v>
      </c>
      <c r="X3116" t="str">
        <f t="shared" si="1272"/>
        <v>RAZIMAH ANSAR AHMAD</v>
      </c>
      <c r="Y3116" t="str">
        <f t="shared" si="1273"/>
        <v>04-08-2020</v>
      </c>
      <c r="Z3116" t="str">
        <f>"COS10200804 6038"</f>
        <v>COS10200804 6038</v>
      </c>
    </row>
    <row r="3117" spans="1:26" x14ac:dyDescent="0.25">
      <c r="A3117" t="str">
        <f t="shared" si="1282"/>
        <v>04-08-2020 12:58:57</v>
      </c>
      <c r="B3117" t="str">
        <f>"0000807828"</f>
        <v>0000807828</v>
      </c>
      <c r="C3117" t="str">
        <f t="shared" si="1283"/>
        <v>0000807791</v>
      </c>
      <c r="D3117" t="str">
        <f t="shared" si="1261"/>
        <v>73185</v>
      </c>
      <c r="E3117" t="str">
        <f t="shared" si="1262"/>
        <v>KFH-OPERATIONS DEPARTMENT</v>
      </c>
      <c r="F3117" t="str">
        <f t="shared" si="1263"/>
        <v>IBG</v>
      </c>
      <c r="G3117" t="str">
        <f t="shared" si="1276"/>
        <v>Refund COSHARE 10</v>
      </c>
      <c r="H3117" s="2">
        <v>201.3</v>
      </c>
      <c r="I3117" t="str">
        <f>"MUHAMMAD HAIRI  BIN DOLLAH"</f>
        <v>MUHAMMAD HAIRI  BIN DOLLAH</v>
      </c>
      <c r="J3117" t="str">
        <f t="shared" si="1279"/>
        <v>MAYBANK / MAYBANK ISLAMIC</v>
      </c>
      <c r="K3117" t="str">
        <f>"164472261218"</f>
        <v>164472261218</v>
      </c>
      <c r="L3117" t="str">
        <f t="shared" si="1280"/>
        <v>04-08-2020</v>
      </c>
      <c r="M3117" t="str">
        <f t="shared" si="1280"/>
        <v>04-08-2020</v>
      </c>
      <c r="N3117" t="str">
        <f t="shared" si="1264"/>
        <v>001105018356</v>
      </c>
      <c r="O3117" t="str">
        <f t="shared" si="1265"/>
        <v>MYR</v>
      </c>
      <c r="P3117" t="str">
        <f t="shared" si="1281"/>
        <v>NIL</v>
      </c>
      <c r="Q3117" t="str">
        <f t="shared" si="1281"/>
        <v>NIL</v>
      </c>
      <c r="R3117" t="str">
        <f t="shared" si="1266"/>
        <v>Accepted</v>
      </c>
      <c r="S3117" t="str">
        <f t="shared" si="1267"/>
        <v>Approved</v>
      </c>
      <c r="T3117" t="str">
        <f t="shared" si="1268"/>
        <v>10.20.8.188</v>
      </c>
      <c r="U3117" t="str">
        <f t="shared" si="1269"/>
        <v>AZRAD UMAR BIN SHAARI</v>
      </c>
      <c r="V3117" t="str">
        <f t="shared" si="1270"/>
        <v>FARHANA BINTI MUSTAPA</v>
      </c>
      <c r="W3117" t="str">
        <f t="shared" si="1271"/>
        <v>04-08-2020</v>
      </c>
      <c r="X3117" t="str">
        <f t="shared" si="1272"/>
        <v>RAZIMAH ANSAR AHMAD</v>
      </c>
      <c r="Y3117" t="str">
        <f t="shared" si="1273"/>
        <v>04-08-2020</v>
      </c>
      <c r="Z3117" t="str">
        <f>"COS10200804 6037"</f>
        <v>COS10200804 6037</v>
      </c>
    </row>
    <row r="3118" spans="1:26" x14ac:dyDescent="0.25">
      <c r="A3118" t="str">
        <f t="shared" si="1282"/>
        <v>04-08-2020 12:58:57</v>
      </c>
      <c r="B3118" t="str">
        <f>"0000807827"</f>
        <v>0000807827</v>
      </c>
      <c r="C3118" t="str">
        <f t="shared" si="1283"/>
        <v>0000807791</v>
      </c>
      <c r="D3118" t="str">
        <f t="shared" si="1261"/>
        <v>73185</v>
      </c>
      <c r="E3118" t="str">
        <f t="shared" si="1262"/>
        <v>KFH-OPERATIONS DEPARTMENT</v>
      </c>
      <c r="F3118" t="str">
        <f t="shared" si="1263"/>
        <v>IBG</v>
      </c>
      <c r="G3118" t="str">
        <f t="shared" si="1276"/>
        <v>Refund COSHARE 10</v>
      </c>
      <c r="H3118" s="2">
        <v>251.85</v>
      </c>
      <c r="I3118" t="str">
        <f>"MUHAMMAD HAFIZUDDIN BIN KAMARUL ZAMAN"</f>
        <v>MUHAMMAD HAFIZUDDIN BIN KAMARUL ZAMAN</v>
      </c>
      <c r="J3118" t="str">
        <f t="shared" si="1279"/>
        <v>MAYBANK / MAYBANK ISLAMIC</v>
      </c>
      <c r="K3118" t="str">
        <f>"166010082408"</f>
        <v>166010082408</v>
      </c>
      <c r="L3118" t="str">
        <f t="shared" si="1280"/>
        <v>04-08-2020</v>
      </c>
      <c r="M3118" t="str">
        <f t="shared" si="1280"/>
        <v>04-08-2020</v>
      </c>
      <c r="N3118" t="str">
        <f t="shared" si="1264"/>
        <v>001105018356</v>
      </c>
      <c r="O3118" t="str">
        <f t="shared" si="1265"/>
        <v>MYR</v>
      </c>
      <c r="P3118" t="str">
        <f t="shared" si="1281"/>
        <v>NIL</v>
      </c>
      <c r="Q3118" t="str">
        <f t="shared" si="1281"/>
        <v>NIL</v>
      </c>
      <c r="R3118" t="str">
        <f t="shared" si="1266"/>
        <v>Accepted</v>
      </c>
      <c r="S3118" t="str">
        <f t="shared" si="1267"/>
        <v>Approved</v>
      </c>
      <c r="T3118" t="str">
        <f t="shared" si="1268"/>
        <v>10.20.8.188</v>
      </c>
      <c r="U3118" t="str">
        <f t="shared" si="1269"/>
        <v>AZRAD UMAR BIN SHAARI</v>
      </c>
      <c r="V3118" t="str">
        <f t="shared" si="1270"/>
        <v>FARHANA BINTI MUSTAPA</v>
      </c>
      <c r="W3118" t="str">
        <f t="shared" si="1271"/>
        <v>04-08-2020</v>
      </c>
      <c r="X3118" t="str">
        <f t="shared" si="1272"/>
        <v>RAZIMAH ANSAR AHMAD</v>
      </c>
      <c r="Y3118" t="str">
        <f t="shared" si="1273"/>
        <v>04-08-2020</v>
      </c>
      <c r="Z3118" t="str">
        <f>"COS10200804 6036"</f>
        <v>COS10200804 6036</v>
      </c>
    </row>
    <row r="3119" spans="1:26" x14ac:dyDescent="0.25">
      <c r="A3119" t="str">
        <f t="shared" si="1282"/>
        <v>04-08-2020 12:58:57</v>
      </c>
      <c r="B3119" t="str">
        <f>"0000807826"</f>
        <v>0000807826</v>
      </c>
      <c r="C3119" t="str">
        <f t="shared" si="1283"/>
        <v>0000807791</v>
      </c>
      <c r="D3119" t="str">
        <f t="shared" si="1261"/>
        <v>73185</v>
      </c>
      <c r="E3119" t="str">
        <f t="shared" si="1262"/>
        <v>KFH-OPERATIONS DEPARTMENT</v>
      </c>
      <c r="F3119" t="str">
        <f t="shared" si="1263"/>
        <v>IBG</v>
      </c>
      <c r="G3119" t="str">
        <f t="shared" si="1276"/>
        <v>Refund COSHARE 10</v>
      </c>
      <c r="H3119" s="2">
        <v>251.85</v>
      </c>
      <c r="I3119" t="str">
        <f>"MUHAMMAD HAFIZ BIN SAFARI"</f>
        <v>MUHAMMAD HAFIZ BIN SAFARI</v>
      </c>
      <c r="J3119" t="str">
        <f t="shared" si="1279"/>
        <v>MAYBANK / MAYBANK ISLAMIC</v>
      </c>
      <c r="K3119" t="str">
        <f>"151258548193"</f>
        <v>151258548193</v>
      </c>
      <c r="L3119" t="str">
        <f t="shared" si="1280"/>
        <v>04-08-2020</v>
      </c>
      <c r="M3119" t="str">
        <f t="shared" si="1280"/>
        <v>04-08-2020</v>
      </c>
      <c r="N3119" t="str">
        <f t="shared" si="1264"/>
        <v>001105018356</v>
      </c>
      <c r="O3119" t="str">
        <f t="shared" si="1265"/>
        <v>MYR</v>
      </c>
      <c r="P3119" t="str">
        <f t="shared" si="1281"/>
        <v>NIL</v>
      </c>
      <c r="Q3119" t="str">
        <f t="shared" si="1281"/>
        <v>NIL</v>
      </c>
      <c r="R3119" t="str">
        <f t="shared" si="1266"/>
        <v>Accepted</v>
      </c>
      <c r="S3119" t="str">
        <f t="shared" si="1267"/>
        <v>Approved</v>
      </c>
      <c r="T3119" t="str">
        <f t="shared" si="1268"/>
        <v>10.20.8.188</v>
      </c>
      <c r="U3119" t="str">
        <f t="shared" si="1269"/>
        <v>AZRAD UMAR BIN SHAARI</v>
      </c>
      <c r="V3119" t="str">
        <f t="shared" si="1270"/>
        <v>FARHANA BINTI MUSTAPA</v>
      </c>
      <c r="W3119" t="str">
        <f t="shared" si="1271"/>
        <v>04-08-2020</v>
      </c>
      <c r="X3119" t="str">
        <f t="shared" si="1272"/>
        <v>RAZIMAH ANSAR AHMAD</v>
      </c>
      <c r="Y3119" t="str">
        <f t="shared" si="1273"/>
        <v>04-08-2020</v>
      </c>
      <c r="Z3119" t="str">
        <f>"COS10200804 6035"</f>
        <v>COS10200804 6035</v>
      </c>
    </row>
    <row r="3120" spans="1:26" x14ac:dyDescent="0.25">
      <c r="A3120" t="str">
        <f t="shared" si="1282"/>
        <v>04-08-2020 12:58:57</v>
      </c>
      <c r="B3120" t="str">
        <f>"0000807825"</f>
        <v>0000807825</v>
      </c>
      <c r="C3120" t="str">
        <f t="shared" si="1283"/>
        <v>0000807791</v>
      </c>
      <c r="D3120" t="str">
        <f t="shared" si="1261"/>
        <v>73185</v>
      </c>
      <c r="E3120" t="str">
        <f t="shared" si="1262"/>
        <v>KFH-OPERATIONS DEPARTMENT</v>
      </c>
      <c r="F3120" t="str">
        <f t="shared" si="1263"/>
        <v>IBG</v>
      </c>
      <c r="G3120" t="str">
        <f t="shared" si="1276"/>
        <v>Refund COSHARE 10</v>
      </c>
      <c r="H3120" s="2">
        <v>904</v>
      </c>
      <c r="I3120" t="str">
        <f>"MUHAMMAD HAFIZ BIN LOKMAN"</f>
        <v>MUHAMMAD HAFIZ BIN LOKMAN</v>
      </c>
      <c r="J3120" t="str">
        <f t="shared" si="1279"/>
        <v>MAYBANK / MAYBANK ISLAMIC</v>
      </c>
      <c r="K3120" t="str">
        <f>"155015049124"</f>
        <v>155015049124</v>
      </c>
      <c r="L3120" t="str">
        <f t="shared" si="1280"/>
        <v>04-08-2020</v>
      </c>
      <c r="M3120" t="str">
        <f t="shared" si="1280"/>
        <v>04-08-2020</v>
      </c>
      <c r="N3120" t="str">
        <f t="shared" si="1264"/>
        <v>001105018356</v>
      </c>
      <c r="O3120" t="str">
        <f t="shared" si="1265"/>
        <v>MYR</v>
      </c>
      <c r="P3120" t="str">
        <f t="shared" si="1281"/>
        <v>NIL</v>
      </c>
      <c r="Q3120" t="str">
        <f t="shared" si="1281"/>
        <v>NIL</v>
      </c>
      <c r="R3120" t="str">
        <f t="shared" si="1266"/>
        <v>Accepted</v>
      </c>
      <c r="S3120" t="str">
        <f t="shared" si="1267"/>
        <v>Approved</v>
      </c>
      <c r="T3120" t="str">
        <f t="shared" si="1268"/>
        <v>10.20.8.188</v>
      </c>
      <c r="U3120" t="str">
        <f t="shared" si="1269"/>
        <v>AZRAD UMAR BIN SHAARI</v>
      </c>
      <c r="V3120" t="str">
        <f t="shared" si="1270"/>
        <v>FARHANA BINTI MUSTAPA</v>
      </c>
      <c r="W3120" t="str">
        <f t="shared" si="1271"/>
        <v>04-08-2020</v>
      </c>
      <c r="X3120" t="str">
        <f t="shared" si="1272"/>
        <v>RAZIMAH ANSAR AHMAD</v>
      </c>
      <c r="Y3120" t="str">
        <f t="shared" si="1273"/>
        <v>04-08-2020</v>
      </c>
      <c r="Z3120" t="str">
        <f>"COS10200804 6034"</f>
        <v>COS10200804 6034</v>
      </c>
    </row>
    <row r="3121" spans="1:26" x14ac:dyDescent="0.25">
      <c r="A3121" t="str">
        <f t="shared" si="1282"/>
        <v>04-08-2020 12:58:57</v>
      </c>
      <c r="B3121" t="str">
        <f>"0000807824"</f>
        <v>0000807824</v>
      </c>
      <c r="C3121" t="str">
        <f t="shared" si="1283"/>
        <v>0000807791</v>
      </c>
      <c r="D3121" t="str">
        <f t="shared" si="1261"/>
        <v>73185</v>
      </c>
      <c r="E3121" t="str">
        <f t="shared" si="1262"/>
        <v>KFH-OPERATIONS DEPARTMENT</v>
      </c>
      <c r="F3121" t="str">
        <f t="shared" si="1263"/>
        <v>IBG</v>
      </c>
      <c r="G3121" t="str">
        <f t="shared" si="1276"/>
        <v>Refund COSHARE 10</v>
      </c>
      <c r="H3121" s="2">
        <v>213</v>
      </c>
      <c r="I3121" t="str">
        <f>"MUHAMMAD FIRDAUS BIN IDRIS"</f>
        <v>MUHAMMAD FIRDAUS BIN IDRIS</v>
      </c>
      <c r="J3121" t="str">
        <f t="shared" si="1279"/>
        <v>MAYBANK / MAYBANK ISLAMIC</v>
      </c>
      <c r="K3121" t="str">
        <f>"156011867041"</f>
        <v>156011867041</v>
      </c>
      <c r="L3121" t="str">
        <f t="shared" si="1280"/>
        <v>04-08-2020</v>
      </c>
      <c r="M3121" t="str">
        <f t="shared" si="1280"/>
        <v>04-08-2020</v>
      </c>
      <c r="N3121" t="str">
        <f t="shared" si="1264"/>
        <v>001105018356</v>
      </c>
      <c r="O3121" t="str">
        <f t="shared" si="1265"/>
        <v>MYR</v>
      </c>
      <c r="P3121" t="str">
        <f t="shared" si="1281"/>
        <v>NIL</v>
      </c>
      <c r="Q3121" t="str">
        <f t="shared" si="1281"/>
        <v>NIL</v>
      </c>
      <c r="R3121" t="str">
        <f t="shared" si="1266"/>
        <v>Accepted</v>
      </c>
      <c r="S3121" t="str">
        <f t="shared" si="1267"/>
        <v>Approved</v>
      </c>
      <c r="T3121" t="str">
        <f t="shared" si="1268"/>
        <v>10.20.8.188</v>
      </c>
      <c r="U3121" t="str">
        <f t="shared" si="1269"/>
        <v>AZRAD UMAR BIN SHAARI</v>
      </c>
      <c r="V3121" t="str">
        <f t="shared" si="1270"/>
        <v>FARHANA BINTI MUSTAPA</v>
      </c>
      <c r="W3121" t="str">
        <f t="shared" si="1271"/>
        <v>04-08-2020</v>
      </c>
      <c r="X3121" t="str">
        <f t="shared" si="1272"/>
        <v>RAZIMAH ANSAR AHMAD</v>
      </c>
      <c r="Y3121" t="str">
        <f t="shared" si="1273"/>
        <v>04-08-2020</v>
      </c>
      <c r="Z3121" t="str">
        <f>"COS10200804 6033"</f>
        <v>COS10200804 6033</v>
      </c>
    </row>
    <row r="3122" spans="1:26" x14ac:dyDescent="0.25">
      <c r="A3122" t="str">
        <f t="shared" si="1282"/>
        <v>04-08-2020 12:58:57</v>
      </c>
      <c r="B3122" t="str">
        <f>"0000807823"</f>
        <v>0000807823</v>
      </c>
      <c r="C3122" t="str">
        <f t="shared" si="1283"/>
        <v>0000807791</v>
      </c>
      <c r="D3122" t="str">
        <f t="shared" si="1261"/>
        <v>73185</v>
      </c>
      <c r="E3122" t="str">
        <f t="shared" si="1262"/>
        <v>KFH-OPERATIONS DEPARTMENT</v>
      </c>
      <c r="F3122" t="str">
        <f t="shared" si="1263"/>
        <v>IBG</v>
      </c>
      <c r="G3122" t="str">
        <f t="shared" si="1276"/>
        <v>Refund COSHARE 10</v>
      </c>
      <c r="H3122" s="2">
        <v>706</v>
      </c>
      <c r="I3122" t="str">
        <f>"MUHAMMAD FIRDAUS BIN AZIZAN"</f>
        <v>MUHAMMAD FIRDAUS BIN AZIZAN</v>
      </c>
      <c r="J3122" t="str">
        <f t="shared" si="1279"/>
        <v>MAYBANK / MAYBANK ISLAMIC</v>
      </c>
      <c r="K3122" t="str">
        <f>"151044071644"</f>
        <v>151044071644</v>
      </c>
      <c r="L3122" t="str">
        <f t="shared" si="1280"/>
        <v>04-08-2020</v>
      </c>
      <c r="M3122" t="str">
        <f t="shared" si="1280"/>
        <v>04-08-2020</v>
      </c>
      <c r="N3122" t="str">
        <f t="shared" si="1264"/>
        <v>001105018356</v>
      </c>
      <c r="O3122" t="str">
        <f t="shared" si="1265"/>
        <v>MYR</v>
      </c>
      <c r="P3122" t="str">
        <f t="shared" si="1281"/>
        <v>NIL</v>
      </c>
      <c r="Q3122" t="str">
        <f t="shared" si="1281"/>
        <v>NIL</v>
      </c>
      <c r="R3122" t="str">
        <f t="shared" si="1266"/>
        <v>Accepted</v>
      </c>
      <c r="S3122" t="str">
        <f t="shared" si="1267"/>
        <v>Approved</v>
      </c>
      <c r="T3122" t="str">
        <f t="shared" si="1268"/>
        <v>10.20.8.188</v>
      </c>
      <c r="U3122" t="str">
        <f t="shared" si="1269"/>
        <v>AZRAD UMAR BIN SHAARI</v>
      </c>
      <c r="V3122" t="str">
        <f t="shared" si="1270"/>
        <v>FARHANA BINTI MUSTAPA</v>
      </c>
      <c r="W3122" t="str">
        <f t="shared" si="1271"/>
        <v>04-08-2020</v>
      </c>
      <c r="X3122" t="str">
        <f t="shared" si="1272"/>
        <v>RAZIMAH ANSAR AHMAD</v>
      </c>
      <c r="Y3122" t="str">
        <f t="shared" si="1273"/>
        <v>04-08-2020</v>
      </c>
      <c r="Z3122" t="str">
        <f>"COS10200804 6032"</f>
        <v>COS10200804 6032</v>
      </c>
    </row>
    <row r="3123" spans="1:26" x14ac:dyDescent="0.25">
      <c r="A3123" t="str">
        <f t="shared" si="1282"/>
        <v>04-08-2020 12:58:57</v>
      </c>
      <c r="B3123" t="str">
        <f>"0000807822"</f>
        <v>0000807822</v>
      </c>
      <c r="C3123" t="str">
        <f t="shared" si="1283"/>
        <v>0000807791</v>
      </c>
      <c r="D3123" t="str">
        <f t="shared" si="1261"/>
        <v>73185</v>
      </c>
      <c r="E3123" t="str">
        <f t="shared" si="1262"/>
        <v>KFH-OPERATIONS DEPARTMENT</v>
      </c>
      <c r="F3123" t="str">
        <f t="shared" si="1263"/>
        <v>IBG</v>
      </c>
      <c r="G3123" t="str">
        <f t="shared" si="1276"/>
        <v>Refund COSHARE 10</v>
      </c>
      <c r="H3123" s="2">
        <v>764</v>
      </c>
      <c r="I3123" t="str">
        <f>"MUHAMMAD FIRDAUS BIN AZIZAN"</f>
        <v>MUHAMMAD FIRDAUS BIN AZIZAN</v>
      </c>
      <c r="J3123" t="str">
        <f t="shared" si="1279"/>
        <v>MAYBANK / MAYBANK ISLAMIC</v>
      </c>
      <c r="K3123" t="str">
        <f>"151044091859"</f>
        <v>151044091859</v>
      </c>
      <c r="L3123" t="str">
        <f t="shared" si="1280"/>
        <v>04-08-2020</v>
      </c>
      <c r="M3123" t="str">
        <f t="shared" si="1280"/>
        <v>04-08-2020</v>
      </c>
      <c r="N3123" t="str">
        <f t="shared" si="1264"/>
        <v>001105018356</v>
      </c>
      <c r="O3123" t="str">
        <f t="shared" si="1265"/>
        <v>MYR</v>
      </c>
      <c r="P3123" t="str">
        <f t="shared" si="1281"/>
        <v>NIL</v>
      </c>
      <c r="Q3123" t="str">
        <f t="shared" si="1281"/>
        <v>NIL</v>
      </c>
      <c r="R3123" t="str">
        <f t="shared" si="1266"/>
        <v>Accepted</v>
      </c>
      <c r="S3123" t="str">
        <f t="shared" si="1267"/>
        <v>Approved</v>
      </c>
      <c r="T3123" t="str">
        <f t="shared" si="1268"/>
        <v>10.20.8.188</v>
      </c>
      <c r="U3123" t="str">
        <f t="shared" si="1269"/>
        <v>AZRAD UMAR BIN SHAARI</v>
      </c>
      <c r="V3123" t="str">
        <f t="shared" si="1270"/>
        <v>FARHANA BINTI MUSTAPA</v>
      </c>
      <c r="W3123" t="str">
        <f t="shared" si="1271"/>
        <v>04-08-2020</v>
      </c>
      <c r="X3123" t="str">
        <f t="shared" si="1272"/>
        <v>RAZIMAH ANSAR AHMAD</v>
      </c>
      <c r="Y3123" t="str">
        <f t="shared" si="1273"/>
        <v>04-08-2020</v>
      </c>
      <c r="Z3123" t="str">
        <f>"COS10200804 6031"</f>
        <v>COS10200804 6031</v>
      </c>
    </row>
    <row r="3124" spans="1:26" x14ac:dyDescent="0.25">
      <c r="A3124" t="str">
        <f t="shared" si="1282"/>
        <v>04-08-2020 12:58:57</v>
      </c>
      <c r="B3124" t="str">
        <f>"0000807821"</f>
        <v>0000807821</v>
      </c>
      <c r="C3124" t="str">
        <f t="shared" si="1283"/>
        <v>0000807791</v>
      </c>
      <c r="D3124" t="str">
        <f t="shared" si="1261"/>
        <v>73185</v>
      </c>
      <c r="E3124" t="str">
        <f t="shared" si="1262"/>
        <v>KFH-OPERATIONS DEPARTMENT</v>
      </c>
      <c r="F3124" t="str">
        <f t="shared" si="1263"/>
        <v>IBG</v>
      </c>
      <c r="G3124" t="str">
        <f t="shared" si="1276"/>
        <v>Refund COSHARE 10</v>
      </c>
      <c r="H3124" s="2">
        <v>881.5</v>
      </c>
      <c r="I3124" t="str">
        <f>"MUHAMMAD FAZRIN BIN MD SALEH"</f>
        <v>MUHAMMAD FAZRIN BIN MD SALEH</v>
      </c>
      <c r="J3124" t="str">
        <f t="shared" si="1279"/>
        <v>MAYBANK / MAYBANK ISLAMIC</v>
      </c>
      <c r="K3124" t="str">
        <f>"164388742303"</f>
        <v>164388742303</v>
      </c>
      <c r="L3124" t="str">
        <f t="shared" si="1280"/>
        <v>04-08-2020</v>
      </c>
      <c r="M3124" t="str">
        <f t="shared" si="1280"/>
        <v>04-08-2020</v>
      </c>
      <c r="N3124" t="str">
        <f t="shared" si="1264"/>
        <v>001105018356</v>
      </c>
      <c r="O3124" t="str">
        <f t="shared" si="1265"/>
        <v>MYR</v>
      </c>
      <c r="P3124" t="str">
        <f t="shared" si="1281"/>
        <v>NIL</v>
      </c>
      <c r="Q3124" t="str">
        <f t="shared" si="1281"/>
        <v>NIL</v>
      </c>
      <c r="R3124" t="str">
        <f t="shared" si="1266"/>
        <v>Accepted</v>
      </c>
      <c r="S3124" t="str">
        <f t="shared" si="1267"/>
        <v>Approved</v>
      </c>
      <c r="T3124" t="str">
        <f t="shared" si="1268"/>
        <v>10.20.8.188</v>
      </c>
      <c r="U3124" t="str">
        <f t="shared" si="1269"/>
        <v>AZRAD UMAR BIN SHAARI</v>
      </c>
      <c r="V3124" t="str">
        <f t="shared" si="1270"/>
        <v>FARHANA BINTI MUSTAPA</v>
      </c>
      <c r="W3124" t="str">
        <f t="shared" si="1271"/>
        <v>04-08-2020</v>
      </c>
      <c r="X3124" t="str">
        <f t="shared" si="1272"/>
        <v>RAZIMAH ANSAR AHMAD</v>
      </c>
      <c r="Y3124" t="str">
        <f t="shared" si="1273"/>
        <v>04-08-2020</v>
      </c>
      <c r="Z3124" t="str">
        <f>"COS10200804 6030"</f>
        <v>COS10200804 6030</v>
      </c>
    </row>
    <row r="3125" spans="1:26" x14ac:dyDescent="0.25">
      <c r="A3125" t="str">
        <f t="shared" si="1282"/>
        <v>04-08-2020 12:58:57</v>
      </c>
      <c r="B3125" t="str">
        <f>"0000807820"</f>
        <v>0000807820</v>
      </c>
      <c r="C3125" t="str">
        <f t="shared" si="1283"/>
        <v>0000807791</v>
      </c>
      <c r="D3125" t="str">
        <f t="shared" si="1261"/>
        <v>73185</v>
      </c>
      <c r="E3125" t="str">
        <f t="shared" si="1262"/>
        <v>KFH-OPERATIONS DEPARTMENT</v>
      </c>
      <c r="F3125" t="str">
        <f t="shared" si="1263"/>
        <v>IBG</v>
      </c>
      <c r="G3125" t="str">
        <f t="shared" si="1276"/>
        <v>Refund COSHARE 10</v>
      </c>
      <c r="H3125" s="2">
        <v>117.55</v>
      </c>
      <c r="I3125" t="str">
        <f>"MUHAMMAD FARID BIN AHMAD"</f>
        <v>MUHAMMAD FARID BIN AHMAD</v>
      </c>
      <c r="J3125" t="str">
        <f t="shared" si="1279"/>
        <v>MAYBANK / MAYBANK ISLAMIC</v>
      </c>
      <c r="K3125" t="str">
        <f>"158314172543"</f>
        <v>158314172543</v>
      </c>
      <c r="L3125" t="str">
        <f t="shared" si="1280"/>
        <v>04-08-2020</v>
      </c>
      <c r="M3125" t="str">
        <f t="shared" si="1280"/>
        <v>04-08-2020</v>
      </c>
      <c r="N3125" t="str">
        <f t="shared" si="1264"/>
        <v>001105018356</v>
      </c>
      <c r="O3125" t="str">
        <f t="shared" si="1265"/>
        <v>MYR</v>
      </c>
      <c r="P3125" t="str">
        <f t="shared" si="1281"/>
        <v>NIL</v>
      </c>
      <c r="Q3125" t="str">
        <f t="shared" si="1281"/>
        <v>NIL</v>
      </c>
      <c r="R3125" t="str">
        <f t="shared" si="1266"/>
        <v>Accepted</v>
      </c>
      <c r="S3125" t="str">
        <f t="shared" si="1267"/>
        <v>Approved</v>
      </c>
      <c r="T3125" t="str">
        <f t="shared" si="1268"/>
        <v>10.20.8.188</v>
      </c>
      <c r="U3125" t="str">
        <f t="shared" si="1269"/>
        <v>AZRAD UMAR BIN SHAARI</v>
      </c>
      <c r="V3125" t="str">
        <f t="shared" si="1270"/>
        <v>FARHANA BINTI MUSTAPA</v>
      </c>
      <c r="W3125" t="str">
        <f t="shared" si="1271"/>
        <v>04-08-2020</v>
      </c>
      <c r="X3125" t="str">
        <f t="shared" si="1272"/>
        <v>RAZIMAH ANSAR AHMAD</v>
      </c>
      <c r="Y3125" t="str">
        <f t="shared" si="1273"/>
        <v>04-08-2020</v>
      </c>
      <c r="Z3125" t="str">
        <f>"COS10200804 6029"</f>
        <v>COS10200804 6029</v>
      </c>
    </row>
    <row r="3126" spans="1:26" x14ac:dyDescent="0.25">
      <c r="A3126" t="str">
        <f t="shared" si="1282"/>
        <v>04-08-2020 12:58:57</v>
      </c>
      <c r="B3126" t="str">
        <f>"0000807819"</f>
        <v>0000807819</v>
      </c>
      <c r="C3126" t="str">
        <f t="shared" si="1283"/>
        <v>0000807791</v>
      </c>
      <c r="D3126" t="str">
        <f t="shared" si="1261"/>
        <v>73185</v>
      </c>
      <c r="E3126" t="str">
        <f t="shared" si="1262"/>
        <v>KFH-OPERATIONS DEPARTMENT</v>
      </c>
      <c r="F3126" t="str">
        <f t="shared" si="1263"/>
        <v>IBG</v>
      </c>
      <c r="G3126" t="str">
        <f t="shared" si="1276"/>
        <v>Refund COSHARE 10</v>
      </c>
      <c r="H3126" s="2">
        <v>83.95</v>
      </c>
      <c r="I3126" t="str">
        <f>"MUHAMMAD FAKHRAN BIN MATSTAPA"</f>
        <v>MUHAMMAD FAKHRAN BIN MATSTAPA</v>
      </c>
      <c r="J3126" t="str">
        <f t="shared" si="1279"/>
        <v>MAYBANK / MAYBANK ISLAMIC</v>
      </c>
      <c r="K3126" t="str">
        <f>"164017044944"</f>
        <v>164017044944</v>
      </c>
      <c r="L3126" t="str">
        <f t="shared" si="1280"/>
        <v>04-08-2020</v>
      </c>
      <c r="M3126" t="str">
        <f t="shared" si="1280"/>
        <v>04-08-2020</v>
      </c>
      <c r="N3126" t="str">
        <f t="shared" si="1264"/>
        <v>001105018356</v>
      </c>
      <c r="O3126" t="str">
        <f t="shared" si="1265"/>
        <v>MYR</v>
      </c>
      <c r="P3126" t="str">
        <f t="shared" si="1281"/>
        <v>NIL</v>
      </c>
      <c r="Q3126" t="str">
        <f t="shared" si="1281"/>
        <v>NIL</v>
      </c>
      <c r="R3126" t="str">
        <f t="shared" si="1266"/>
        <v>Accepted</v>
      </c>
      <c r="S3126" t="str">
        <f t="shared" si="1267"/>
        <v>Approved</v>
      </c>
      <c r="T3126" t="str">
        <f t="shared" si="1268"/>
        <v>10.20.8.188</v>
      </c>
      <c r="U3126" t="str">
        <f t="shared" si="1269"/>
        <v>AZRAD UMAR BIN SHAARI</v>
      </c>
      <c r="V3126" t="str">
        <f t="shared" si="1270"/>
        <v>FARHANA BINTI MUSTAPA</v>
      </c>
      <c r="W3126" t="str">
        <f t="shared" si="1271"/>
        <v>04-08-2020</v>
      </c>
      <c r="X3126" t="str">
        <f t="shared" si="1272"/>
        <v>RAZIMAH ANSAR AHMAD</v>
      </c>
      <c r="Y3126" t="str">
        <f t="shared" si="1273"/>
        <v>04-08-2020</v>
      </c>
      <c r="Z3126" t="str">
        <f>"COS10200804 6028"</f>
        <v>COS10200804 6028</v>
      </c>
    </row>
    <row r="3127" spans="1:26" x14ac:dyDescent="0.25">
      <c r="A3127" t="str">
        <f t="shared" si="1282"/>
        <v>04-08-2020 12:58:57</v>
      </c>
      <c r="B3127" t="str">
        <f>"0000807818"</f>
        <v>0000807818</v>
      </c>
      <c r="C3127" t="str">
        <f t="shared" si="1283"/>
        <v>0000807791</v>
      </c>
      <c r="D3127" t="str">
        <f t="shared" si="1261"/>
        <v>73185</v>
      </c>
      <c r="E3127" t="str">
        <f t="shared" si="1262"/>
        <v>KFH-OPERATIONS DEPARTMENT</v>
      </c>
      <c r="F3127" t="str">
        <f t="shared" si="1263"/>
        <v>IBG</v>
      </c>
      <c r="G3127" t="str">
        <f t="shared" si="1276"/>
        <v>Refund COSHARE 10</v>
      </c>
      <c r="H3127" s="2">
        <v>114</v>
      </c>
      <c r="I3127" t="str">
        <f>"MUHAMMAD FAIZAL BIN NORHAIRY"</f>
        <v>MUHAMMAD FAIZAL BIN NORHAIRY</v>
      </c>
      <c r="J3127" t="str">
        <f t="shared" si="1279"/>
        <v>MAYBANK / MAYBANK ISLAMIC</v>
      </c>
      <c r="K3127" t="str">
        <f>"151044156227"</f>
        <v>151044156227</v>
      </c>
      <c r="L3127" t="str">
        <f t="shared" ref="L3127:M3146" si="1284">"04-08-2020"</f>
        <v>04-08-2020</v>
      </c>
      <c r="M3127" t="str">
        <f t="shared" si="1284"/>
        <v>04-08-2020</v>
      </c>
      <c r="N3127" t="str">
        <f t="shared" si="1264"/>
        <v>001105018356</v>
      </c>
      <c r="O3127" t="str">
        <f t="shared" si="1265"/>
        <v>MYR</v>
      </c>
      <c r="P3127" t="str">
        <f t="shared" ref="P3127:Q3146" si="1285">"NIL"</f>
        <v>NIL</v>
      </c>
      <c r="Q3127" t="str">
        <f t="shared" si="1285"/>
        <v>NIL</v>
      </c>
      <c r="R3127" t="str">
        <f t="shared" si="1266"/>
        <v>Accepted</v>
      </c>
      <c r="S3127" t="str">
        <f t="shared" si="1267"/>
        <v>Approved</v>
      </c>
      <c r="T3127" t="str">
        <f t="shared" si="1268"/>
        <v>10.20.8.188</v>
      </c>
      <c r="U3127" t="str">
        <f t="shared" si="1269"/>
        <v>AZRAD UMAR BIN SHAARI</v>
      </c>
      <c r="V3127" t="str">
        <f t="shared" si="1270"/>
        <v>FARHANA BINTI MUSTAPA</v>
      </c>
      <c r="W3127" t="str">
        <f t="shared" si="1271"/>
        <v>04-08-2020</v>
      </c>
      <c r="X3127" t="str">
        <f t="shared" si="1272"/>
        <v>RAZIMAH ANSAR AHMAD</v>
      </c>
      <c r="Y3127" t="str">
        <f t="shared" si="1273"/>
        <v>04-08-2020</v>
      </c>
      <c r="Z3127" t="str">
        <f>"COS10200804 6027"</f>
        <v>COS10200804 6027</v>
      </c>
    </row>
    <row r="3128" spans="1:26" x14ac:dyDescent="0.25">
      <c r="A3128" t="str">
        <f t="shared" si="1282"/>
        <v>04-08-2020 12:58:57</v>
      </c>
      <c r="B3128" t="str">
        <f>"0000807817"</f>
        <v>0000807817</v>
      </c>
      <c r="C3128" t="str">
        <f t="shared" si="1283"/>
        <v>0000807791</v>
      </c>
      <c r="D3128" t="str">
        <f t="shared" si="1261"/>
        <v>73185</v>
      </c>
      <c r="E3128" t="str">
        <f t="shared" si="1262"/>
        <v>KFH-OPERATIONS DEPARTMENT</v>
      </c>
      <c r="F3128" t="str">
        <f t="shared" si="1263"/>
        <v>IBG</v>
      </c>
      <c r="G3128" t="str">
        <f t="shared" si="1276"/>
        <v>Refund COSHARE 10</v>
      </c>
      <c r="H3128" s="2">
        <v>1368.4</v>
      </c>
      <c r="I3128" t="str">
        <f>"MUHAMMAD FAIZAL BIN MOHD AKHIR"</f>
        <v>MUHAMMAD FAIZAL BIN MOHD AKHIR</v>
      </c>
      <c r="J3128" t="str">
        <f t="shared" si="1279"/>
        <v>MAYBANK / MAYBANK ISLAMIC</v>
      </c>
      <c r="K3128" t="str">
        <f>"162441073172"</f>
        <v>162441073172</v>
      </c>
      <c r="L3128" t="str">
        <f t="shared" si="1284"/>
        <v>04-08-2020</v>
      </c>
      <c r="M3128" t="str">
        <f t="shared" si="1284"/>
        <v>04-08-2020</v>
      </c>
      <c r="N3128" t="str">
        <f t="shared" si="1264"/>
        <v>001105018356</v>
      </c>
      <c r="O3128" t="str">
        <f t="shared" si="1265"/>
        <v>MYR</v>
      </c>
      <c r="P3128" t="str">
        <f t="shared" si="1285"/>
        <v>NIL</v>
      </c>
      <c r="Q3128" t="str">
        <f t="shared" si="1285"/>
        <v>NIL</v>
      </c>
      <c r="R3128" t="str">
        <f t="shared" si="1266"/>
        <v>Accepted</v>
      </c>
      <c r="S3128" t="str">
        <f t="shared" si="1267"/>
        <v>Approved</v>
      </c>
      <c r="T3128" t="str">
        <f t="shared" si="1268"/>
        <v>10.20.8.188</v>
      </c>
      <c r="U3128" t="str">
        <f t="shared" si="1269"/>
        <v>AZRAD UMAR BIN SHAARI</v>
      </c>
      <c r="V3128" t="str">
        <f t="shared" si="1270"/>
        <v>FARHANA BINTI MUSTAPA</v>
      </c>
      <c r="W3128" t="str">
        <f t="shared" si="1271"/>
        <v>04-08-2020</v>
      </c>
      <c r="X3128" t="str">
        <f t="shared" si="1272"/>
        <v>RAZIMAH ANSAR AHMAD</v>
      </c>
      <c r="Y3128" t="str">
        <f t="shared" si="1273"/>
        <v>04-08-2020</v>
      </c>
      <c r="Z3128" t="str">
        <f>"COS10200804 6026"</f>
        <v>COS10200804 6026</v>
      </c>
    </row>
    <row r="3129" spans="1:26" x14ac:dyDescent="0.25">
      <c r="A3129" t="str">
        <f t="shared" si="1282"/>
        <v>04-08-2020 12:58:57</v>
      </c>
      <c r="B3129" t="str">
        <f>"0000807816"</f>
        <v>0000807816</v>
      </c>
      <c r="C3129" t="str">
        <f t="shared" si="1283"/>
        <v>0000807791</v>
      </c>
      <c r="D3129" t="str">
        <f t="shared" si="1261"/>
        <v>73185</v>
      </c>
      <c r="E3129" t="str">
        <f t="shared" si="1262"/>
        <v>KFH-OPERATIONS DEPARTMENT</v>
      </c>
      <c r="F3129" t="str">
        <f t="shared" si="1263"/>
        <v>IBG</v>
      </c>
      <c r="G3129" t="str">
        <f t="shared" si="1276"/>
        <v>Refund COSHARE 10</v>
      </c>
      <c r="H3129" s="2">
        <v>839.5</v>
      </c>
      <c r="I3129" t="str">
        <f>"MUHAMMAD FAIZ BIN ABDUL FATAH"</f>
        <v>MUHAMMAD FAIZ BIN ABDUL FATAH</v>
      </c>
      <c r="J3129" t="str">
        <f t="shared" si="1279"/>
        <v>MAYBANK / MAYBANK ISLAMIC</v>
      </c>
      <c r="K3129" t="str">
        <f>"151101330484"</f>
        <v>151101330484</v>
      </c>
      <c r="L3129" t="str">
        <f t="shared" si="1284"/>
        <v>04-08-2020</v>
      </c>
      <c r="M3129" t="str">
        <f t="shared" si="1284"/>
        <v>04-08-2020</v>
      </c>
      <c r="N3129" t="str">
        <f t="shared" si="1264"/>
        <v>001105018356</v>
      </c>
      <c r="O3129" t="str">
        <f t="shared" si="1265"/>
        <v>MYR</v>
      </c>
      <c r="P3129" t="str">
        <f t="shared" si="1285"/>
        <v>NIL</v>
      </c>
      <c r="Q3129" t="str">
        <f t="shared" si="1285"/>
        <v>NIL</v>
      </c>
      <c r="R3129" t="str">
        <f t="shared" si="1266"/>
        <v>Accepted</v>
      </c>
      <c r="S3129" t="str">
        <f t="shared" si="1267"/>
        <v>Approved</v>
      </c>
      <c r="T3129" t="str">
        <f t="shared" si="1268"/>
        <v>10.20.8.188</v>
      </c>
      <c r="U3129" t="str">
        <f t="shared" si="1269"/>
        <v>AZRAD UMAR BIN SHAARI</v>
      </c>
      <c r="V3129" t="str">
        <f t="shared" si="1270"/>
        <v>FARHANA BINTI MUSTAPA</v>
      </c>
      <c r="W3129" t="str">
        <f t="shared" si="1271"/>
        <v>04-08-2020</v>
      </c>
      <c r="X3129" t="str">
        <f t="shared" si="1272"/>
        <v>RAZIMAH ANSAR AHMAD</v>
      </c>
      <c r="Y3129" t="str">
        <f t="shared" si="1273"/>
        <v>04-08-2020</v>
      </c>
      <c r="Z3129" t="str">
        <f>"COS10200804 6025"</f>
        <v>COS10200804 6025</v>
      </c>
    </row>
    <row r="3130" spans="1:26" x14ac:dyDescent="0.25">
      <c r="A3130" t="str">
        <f t="shared" si="1282"/>
        <v>04-08-2020 12:58:57</v>
      </c>
      <c r="B3130" t="str">
        <f>"0000807815"</f>
        <v>0000807815</v>
      </c>
      <c r="C3130" t="str">
        <f t="shared" si="1283"/>
        <v>0000807791</v>
      </c>
      <c r="D3130" t="str">
        <f t="shared" si="1261"/>
        <v>73185</v>
      </c>
      <c r="E3130" t="str">
        <f t="shared" si="1262"/>
        <v>KFH-OPERATIONS DEPARTMENT</v>
      </c>
      <c r="F3130" t="str">
        <f t="shared" si="1263"/>
        <v>IBG</v>
      </c>
      <c r="G3130" t="str">
        <f t="shared" si="1276"/>
        <v>Refund COSHARE 10</v>
      </c>
      <c r="H3130" s="2">
        <v>923.45</v>
      </c>
      <c r="I3130" t="str">
        <f>"MUHAMMAD FAISAL BIN JAMALUDIN"</f>
        <v>MUHAMMAD FAISAL BIN JAMALUDIN</v>
      </c>
      <c r="J3130" t="str">
        <f t="shared" si="1279"/>
        <v>MAYBANK / MAYBANK ISLAMIC</v>
      </c>
      <c r="K3130" t="str">
        <f>"162142017217"</f>
        <v>162142017217</v>
      </c>
      <c r="L3130" t="str">
        <f t="shared" si="1284"/>
        <v>04-08-2020</v>
      </c>
      <c r="M3130" t="str">
        <f t="shared" si="1284"/>
        <v>04-08-2020</v>
      </c>
      <c r="N3130" t="str">
        <f t="shared" si="1264"/>
        <v>001105018356</v>
      </c>
      <c r="O3130" t="str">
        <f t="shared" si="1265"/>
        <v>MYR</v>
      </c>
      <c r="P3130" t="str">
        <f t="shared" si="1285"/>
        <v>NIL</v>
      </c>
      <c r="Q3130" t="str">
        <f t="shared" si="1285"/>
        <v>NIL</v>
      </c>
      <c r="R3130" t="str">
        <f t="shared" si="1266"/>
        <v>Accepted</v>
      </c>
      <c r="S3130" t="str">
        <f t="shared" si="1267"/>
        <v>Approved</v>
      </c>
      <c r="T3130" t="str">
        <f t="shared" si="1268"/>
        <v>10.20.8.188</v>
      </c>
      <c r="U3130" t="str">
        <f t="shared" si="1269"/>
        <v>AZRAD UMAR BIN SHAARI</v>
      </c>
      <c r="V3130" t="str">
        <f t="shared" si="1270"/>
        <v>FARHANA BINTI MUSTAPA</v>
      </c>
      <c r="W3130" t="str">
        <f t="shared" si="1271"/>
        <v>04-08-2020</v>
      </c>
      <c r="X3130" t="str">
        <f t="shared" si="1272"/>
        <v>RAZIMAH ANSAR AHMAD</v>
      </c>
      <c r="Y3130" t="str">
        <f t="shared" si="1273"/>
        <v>04-08-2020</v>
      </c>
      <c r="Z3130" t="str">
        <f>"COS10200804 6024"</f>
        <v>COS10200804 6024</v>
      </c>
    </row>
    <row r="3131" spans="1:26" x14ac:dyDescent="0.25">
      <c r="A3131" t="str">
        <f t="shared" si="1282"/>
        <v>04-08-2020 12:58:57</v>
      </c>
      <c r="B3131" t="str">
        <f>"0000807814"</f>
        <v>0000807814</v>
      </c>
      <c r="C3131" t="str">
        <f t="shared" si="1283"/>
        <v>0000807791</v>
      </c>
      <c r="D3131" t="str">
        <f t="shared" si="1261"/>
        <v>73185</v>
      </c>
      <c r="E3131" t="str">
        <f t="shared" si="1262"/>
        <v>KFH-OPERATIONS DEPARTMENT</v>
      </c>
      <c r="F3131" t="str">
        <f t="shared" si="1263"/>
        <v>IBG</v>
      </c>
      <c r="G3131" t="str">
        <f t="shared" si="1276"/>
        <v>Refund COSHARE 10</v>
      </c>
      <c r="H3131" s="2">
        <v>1133.3499999999999</v>
      </c>
      <c r="I3131" t="str">
        <f>"MUHAMMAD FAIRUS BIN ABDUL RAHMAN"</f>
        <v>MUHAMMAD FAIRUS BIN ABDUL RAHMAN</v>
      </c>
      <c r="J3131" t="str">
        <f t="shared" si="1279"/>
        <v>MAYBANK / MAYBANK ISLAMIC</v>
      </c>
      <c r="K3131" t="str">
        <f>"164137456045"</f>
        <v>164137456045</v>
      </c>
      <c r="L3131" t="str">
        <f t="shared" si="1284"/>
        <v>04-08-2020</v>
      </c>
      <c r="M3131" t="str">
        <f t="shared" si="1284"/>
        <v>04-08-2020</v>
      </c>
      <c r="N3131" t="str">
        <f t="shared" si="1264"/>
        <v>001105018356</v>
      </c>
      <c r="O3131" t="str">
        <f t="shared" si="1265"/>
        <v>MYR</v>
      </c>
      <c r="P3131" t="str">
        <f t="shared" si="1285"/>
        <v>NIL</v>
      </c>
      <c r="Q3131" t="str">
        <f t="shared" si="1285"/>
        <v>NIL</v>
      </c>
      <c r="R3131" t="str">
        <f t="shared" si="1266"/>
        <v>Accepted</v>
      </c>
      <c r="S3131" t="str">
        <f t="shared" si="1267"/>
        <v>Approved</v>
      </c>
      <c r="T3131" t="str">
        <f t="shared" si="1268"/>
        <v>10.20.8.188</v>
      </c>
      <c r="U3131" t="str">
        <f t="shared" si="1269"/>
        <v>AZRAD UMAR BIN SHAARI</v>
      </c>
      <c r="V3131" t="str">
        <f t="shared" si="1270"/>
        <v>FARHANA BINTI MUSTAPA</v>
      </c>
      <c r="W3131" t="str">
        <f t="shared" si="1271"/>
        <v>04-08-2020</v>
      </c>
      <c r="X3131" t="str">
        <f t="shared" si="1272"/>
        <v>RAZIMAH ANSAR AHMAD</v>
      </c>
      <c r="Y3131" t="str">
        <f t="shared" si="1273"/>
        <v>04-08-2020</v>
      </c>
      <c r="Z3131" t="str">
        <f>"COS10200804 6023"</f>
        <v>COS10200804 6023</v>
      </c>
    </row>
    <row r="3132" spans="1:26" x14ac:dyDescent="0.25">
      <c r="A3132" t="str">
        <f t="shared" si="1282"/>
        <v>04-08-2020 12:58:57</v>
      </c>
      <c r="B3132" t="str">
        <f>"0000807813"</f>
        <v>0000807813</v>
      </c>
      <c r="C3132" t="str">
        <f t="shared" si="1283"/>
        <v>0000807791</v>
      </c>
      <c r="D3132" t="str">
        <f t="shared" si="1261"/>
        <v>73185</v>
      </c>
      <c r="E3132" t="str">
        <f t="shared" si="1262"/>
        <v>KFH-OPERATIONS DEPARTMENT</v>
      </c>
      <c r="F3132" t="str">
        <f t="shared" si="1263"/>
        <v>IBG</v>
      </c>
      <c r="G3132" t="str">
        <f t="shared" si="1276"/>
        <v>Refund COSHARE 10</v>
      </c>
      <c r="H3132" s="2">
        <v>545.70000000000005</v>
      </c>
      <c r="I3132" t="str">
        <f>"MUHAMMAD FAHIZAL BIN OMAR BAKI"</f>
        <v>MUHAMMAD FAHIZAL BIN OMAR BAKI</v>
      </c>
      <c r="J3132" t="str">
        <f t="shared" si="1279"/>
        <v>MAYBANK / MAYBANK ISLAMIC</v>
      </c>
      <c r="K3132" t="str">
        <f>"158015148817"</f>
        <v>158015148817</v>
      </c>
      <c r="L3132" t="str">
        <f t="shared" si="1284"/>
        <v>04-08-2020</v>
      </c>
      <c r="M3132" t="str">
        <f t="shared" si="1284"/>
        <v>04-08-2020</v>
      </c>
      <c r="N3132" t="str">
        <f t="shared" si="1264"/>
        <v>001105018356</v>
      </c>
      <c r="O3132" t="str">
        <f t="shared" si="1265"/>
        <v>MYR</v>
      </c>
      <c r="P3132" t="str">
        <f t="shared" si="1285"/>
        <v>NIL</v>
      </c>
      <c r="Q3132" t="str">
        <f t="shared" si="1285"/>
        <v>NIL</v>
      </c>
      <c r="R3132" t="str">
        <f t="shared" si="1266"/>
        <v>Accepted</v>
      </c>
      <c r="S3132" t="str">
        <f t="shared" si="1267"/>
        <v>Approved</v>
      </c>
      <c r="T3132" t="str">
        <f t="shared" si="1268"/>
        <v>10.20.8.188</v>
      </c>
      <c r="U3132" t="str">
        <f t="shared" si="1269"/>
        <v>AZRAD UMAR BIN SHAARI</v>
      </c>
      <c r="V3132" t="str">
        <f t="shared" si="1270"/>
        <v>FARHANA BINTI MUSTAPA</v>
      </c>
      <c r="W3132" t="str">
        <f t="shared" si="1271"/>
        <v>04-08-2020</v>
      </c>
      <c r="X3132" t="str">
        <f t="shared" si="1272"/>
        <v>RAZIMAH ANSAR AHMAD</v>
      </c>
      <c r="Y3132" t="str">
        <f t="shared" si="1273"/>
        <v>04-08-2020</v>
      </c>
      <c r="Z3132" t="str">
        <f>"COS10200804 6022"</f>
        <v>COS10200804 6022</v>
      </c>
    </row>
    <row r="3133" spans="1:26" x14ac:dyDescent="0.25">
      <c r="A3133" t="str">
        <f t="shared" si="1282"/>
        <v>04-08-2020 12:58:57</v>
      </c>
      <c r="B3133" t="str">
        <f>"0000807812"</f>
        <v>0000807812</v>
      </c>
      <c r="C3133" t="str">
        <f t="shared" si="1283"/>
        <v>0000807791</v>
      </c>
      <c r="D3133" t="str">
        <f t="shared" si="1261"/>
        <v>73185</v>
      </c>
      <c r="E3133" t="str">
        <f t="shared" si="1262"/>
        <v>KFH-OPERATIONS DEPARTMENT</v>
      </c>
      <c r="F3133" t="str">
        <f t="shared" si="1263"/>
        <v>IBG</v>
      </c>
      <c r="G3133" t="str">
        <f t="shared" si="1276"/>
        <v>Refund COSHARE 10</v>
      </c>
      <c r="H3133" s="2">
        <v>671.6</v>
      </c>
      <c r="I3133" t="str">
        <f>"MUHAMMAD FADLAN BIN MOHD AZMI"</f>
        <v>MUHAMMAD FADLAN BIN MOHD AZMI</v>
      </c>
      <c r="J3133" t="str">
        <f t="shared" si="1279"/>
        <v>MAYBANK / MAYBANK ISLAMIC</v>
      </c>
      <c r="K3133" t="str">
        <f>"156048186251"</f>
        <v>156048186251</v>
      </c>
      <c r="L3133" t="str">
        <f t="shared" si="1284"/>
        <v>04-08-2020</v>
      </c>
      <c r="M3133" t="str">
        <f t="shared" si="1284"/>
        <v>04-08-2020</v>
      </c>
      <c r="N3133" t="str">
        <f t="shared" si="1264"/>
        <v>001105018356</v>
      </c>
      <c r="O3133" t="str">
        <f t="shared" si="1265"/>
        <v>MYR</v>
      </c>
      <c r="P3133" t="str">
        <f t="shared" si="1285"/>
        <v>NIL</v>
      </c>
      <c r="Q3133" t="str">
        <f t="shared" si="1285"/>
        <v>NIL</v>
      </c>
      <c r="R3133" t="str">
        <f t="shared" si="1266"/>
        <v>Accepted</v>
      </c>
      <c r="S3133" t="str">
        <f t="shared" si="1267"/>
        <v>Approved</v>
      </c>
      <c r="T3133" t="str">
        <f t="shared" si="1268"/>
        <v>10.20.8.188</v>
      </c>
      <c r="U3133" t="str">
        <f t="shared" si="1269"/>
        <v>AZRAD UMAR BIN SHAARI</v>
      </c>
      <c r="V3133" t="str">
        <f t="shared" si="1270"/>
        <v>FARHANA BINTI MUSTAPA</v>
      </c>
      <c r="W3133" t="str">
        <f t="shared" si="1271"/>
        <v>04-08-2020</v>
      </c>
      <c r="X3133" t="str">
        <f t="shared" si="1272"/>
        <v>RAZIMAH ANSAR AHMAD</v>
      </c>
      <c r="Y3133" t="str">
        <f t="shared" si="1273"/>
        <v>04-08-2020</v>
      </c>
      <c r="Z3133" t="str">
        <f>"COS10200804 6021"</f>
        <v>COS10200804 6021</v>
      </c>
    </row>
    <row r="3134" spans="1:26" x14ac:dyDescent="0.25">
      <c r="A3134" t="str">
        <f t="shared" si="1282"/>
        <v>04-08-2020 12:58:57</v>
      </c>
      <c r="B3134" t="str">
        <f>"0000807811"</f>
        <v>0000807811</v>
      </c>
      <c r="C3134" t="str">
        <f t="shared" si="1283"/>
        <v>0000807791</v>
      </c>
      <c r="D3134" t="str">
        <f t="shared" si="1261"/>
        <v>73185</v>
      </c>
      <c r="E3134" t="str">
        <f t="shared" si="1262"/>
        <v>KFH-OPERATIONS DEPARTMENT</v>
      </c>
      <c r="F3134" t="str">
        <f t="shared" si="1263"/>
        <v>IBG</v>
      </c>
      <c r="G3134" t="str">
        <f t="shared" si="1276"/>
        <v>Refund COSHARE 10</v>
      </c>
      <c r="H3134" s="2">
        <v>629.65</v>
      </c>
      <c r="I3134" t="str">
        <f>"MUHAMMAD BIN ABDULLAH"</f>
        <v>MUHAMMAD BIN ABDULLAH</v>
      </c>
      <c r="J3134" t="str">
        <f t="shared" si="1279"/>
        <v>MAYBANK / MAYBANK ISLAMIC</v>
      </c>
      <c r="K3134" t="str">
        <f>"156012057783"</f>
        <v>156012057783</v>
      </c>
      <c r="L3134" t="str">
        <f t="shared" si="1284"/>
        <v>04-08-2020</v>
      </c>
      <c r="M3134" t="str">
        <f t="shared" si="1284"/>
        <v>04-08-2020</v>
      </c>
      <c r="N3134" t="str">
        <f t="shared" si="1264"/>
        <v>001105018356</v>
      </c>
      <c r="O3134" t="str">
        <f t="shared" si="1265"/>
        <v>MYR</v>
      </c>
      <c r="P3134" t="str">
        <f t="shared" si="1285"/>
        <v>NIL</v>
      </c>
      <c r="Q3134" t="str">
        <f t="shared" si="1285"/>
        <v>NIL</v>
      </c>
      <c r="R3134" t="str">
        <f t="shared" si="1266"/>
        <v>Accepted</v>
      </c>
      <c r="S3134" t="str">
        <f t="shared" si="1267"/>
        <v>Approved</v>
      </c>
      <c r="T3134" t="str">
        <f t="shared" si="1268"/>
        <v>10.20.8.188</v>
      </c>
      <c r="U3134" t="str">
        <f t="shared" si="1269"/>
        <v>AZRAD UMAR BIN SHAARI</v>
      </c>
      <c r="V3134" t="str">
        <f t="shared" si="1270"/>
        <v>FARHANA BINTI MUSTAPA</v>
      </c>
      <c r="W3134" t="str">
        <f t="shared" si="1271"/>
        <v>04-08-2020</v>
      </c>
      <c r="X3134" t="str">
        <f t="shared" si="1272"/>
        <v>RAZIMAH ANSAR AHMAD</v>
      </c>
      <c r="Y3134" t="str">
        <f t="shared" si="1273"/>
        <v>04-08-2020</v>
      </c>
      <c r="Z3134" t="str">
        <f>"COS10200804 6020"</f>
        <v>COS10200804 6020</v>
      </c>
    </row>
    <row r="3135" spans="1:26" x14ac:dyDescent="0.25">
      <c r="A3135" t="str">
        <f t="shared" si="1282"/>
        <v>04-08-2020 12:58:57</v>
      </c>
      <c r="B3135" t="str">
        <f>"0000807810"</f>
        <v>0000807810</v>
      </c>
      <c r="C3135" t="str">
        <f t="shared" si="1283"/>
        <v>0000807791</v>
      </c>
      <c r="D3135" t="str">
        <f t="shared" si="1261"/>
        <v>73185</v>
      </c>
      <c r="E3135" t="str">
        <f t="shared" si="1262"/>
        <v>KFH-OPERATIONS DEPARTMENT</v>
      </c>
      <c r="F3135" t="str">
        <f t="shared" si="1263"/>
        <v>IBG</v>
      </c>
      <c r="G3135" t="str">
        <f t="shared" si="1276"/>
        <v>Refund COSHARE 10</v>
      </c>
      <c r="H3135" s="2">
        <v>839.5</v>
      </c>
      <c r="I3135" t="str">
        <f>"MUHAMMAD AZHAR BIN IDRIS"</f>
        <v>MUHAMMAD AZHAR BIN IDRIS</v>
      </c>
      <c r="J3135" t="str">
        <f t="shared" si="1279"/>
        <v>MAYBANK / MAYBANK ISLAMIC</v>
      </c>
      <c r="K3135" t="str">
        <f>"162339043256"</f>
        <v>162339043256</v>
      </c>
      <c r="L3135" t="str">
        <f t="shared" si="1284"/>
        <v>04-08-2020</v>
      </c>
      <c r="M3135" t="str">
        <f t="shared" si="1284"/>
        <v>04-08-2020</v>
      </c>
      <c r="N3135" t="str">
        <f t="shared" si="1264"/>
        <v>001105018356</v>
      </c>
      <c r="O3135" t="str">
        <f t="shared" si="1265"/>
        <v>MYR</v>
      </c>
      <c r="P3135" t="str">
        <f t="shared" si="1285"/>
        <v>NIL</v>
      </c>
      <c r="Q3135" t="str">
        <f t="shared" si="1285"/>
        <v>NIL</v>
      </c>
      <c r="R3135" t="str">
        <f t="shared" si="1266"/>
        <v>Accepted</v>
      </c>
      <c r="S3135" t="str">
        <f t="shared" si="1267"/>
        <v>Approved</v>
      </c>
      <c r="T3135" t="str">
        <f t="shared" si="1268"/>
        <v>10.20.8.188</v>
      </c>
      <c r="U3135" t="str">
        <f t="shared" si="1269"/>
        <v>AZRAD UMAR BIN SHAARI</v>
      </c>
      <c r="V3135" t="str">
        <f t="shared" si="1270"/>
        <v>FARHANA BINTI MUSTAPA</v>
      </c>
      <c r="W3135" t="str">
        <f t="shared" si="1271"/>
        <v>04-08-2020</v>
      </c>
      <c r="X3135" t="str">
        <f t="shared" si="1272"/>
        <v>RAZIMAH ANSAR AHMAD</v>
      </c>
      <c r="Y3135" t="str">
        <f t="shared" si="1273"/>
        <v>04-08-2020</v>
      </c>
      <c r="Z3135" t="str">
        <f>"COS10200804 6019"</f>
        <v>COS10200804 6019</v>
      </c>
    </row>
    <row r="3136" spans="1:26" x14ac:dyDescent="0.25">
      <c r="A3136" t="str">
        <f t="shared" si="1282"/>
        <v>04-08-2020 12:58:57</v>
      </c>
      <c r="B3136" t="str">
        <f>"0000807809"</f>
        <v>0000807809</v>
      </c>
      <c r="C3136" t="str">
        <f t="shared" si="1283"/>
        <v>0000807791</v>
      </c>
      <c r="D3136" t="str">
        <f t="shared" si="1261"/>
        <v>73185</v>
      </c>
      <c r="E3136" t="str">
        <f t="shared" si="1262"/>
        <v>KFH-OPERATIONS DEPARTMENT</v>
      </c>
      <c r="F3136" t="str">
        <f t="shared" si="1263"/>
        <v>IBG</v>
      </c>
      <c r="G3136" t="str">
        <f t="shared" si="1276"/>
        <v>Refund COSHARE 10</v>
      </c>
      <c r="H3136" s="2">
        <v>772.35</v>
      </c>
      <c r="I3136" t="str">
        <f>"MUHAMMAD AZAM BIN HASSAN"</f>
        <v>MUHAMMAD AZAM BIN HASSAN</v>
      </c>
      <c r="J3136" t="str">
        <f t="shared" si="1279"/>
        <v>MAYBANK / MAYBANK ISLAMIC</v>
      </c>
      <c r="K3136" t="str">
        <f>"105149047818"</f>
        <v>105149047818</v>
      </c>
      <c r="L3136" t="str">
        <f t="shared" si="1284"/>
        <v>04-08-2020</v>
      </c>
      <c r="M3136" t="str">
        <f t="shared" si="1284"/>
        <v>04-08-2020</v>
      </c>
      <c r="N3136" t="str">
        <f t="shared" si="1264"/>
        <v>001105018356</v>
      </c>
      <c r="O3136" t="str">
        <f t="shared" si="1265"/>
        <v>MYR</v>
      </c>
      <c r="P3136" t="str">
        <f t="shared" si="1285"/>
        <v>NIL</v>
      </c>
      <c r="Q3136" t="str">
        <f t="shared" si="1285"/>
        <v>NIL</v>
      </c>
      <c r="R3136" t="str">
        <f t="shared" si="1266"/>
        <v>Accepted</v>
      </c>
      <c r="S3136" t="str">
        <f t="shared" si="1267"/>
        <v>Approved</v>
      </c>
      <c r="T3136" t="str">
        <f t="shared" si="1268"/>
        <v>10.20.8.188</v>
      </c>
      <c r="U3136" t="str">
        <f t="shared" si="1269"/>
        <v>AZRAD UMAR BIN SHAARI</v>
      </c>
      <c r="V3136" t="str">
        <f t="shared" si="1270"/>
        <v>FARHANA BINTI MUSTAPA</v>
      </c>
      <c r="W3136" t="str">
        <f t="shared" si="1271"/>
        <v>04-08-2020</v>
      </c>
      <c r="X3136" t="str">
        <f t="shared" si="1272"/>
        <v>RAZIMAH ANSAR AHMAD</v>
      </c>
      <c r="Y3136" t="str">
        <f t="shared" si="1273"/>
        <v>04-08-2020</v>
      </c>
      <c r="Z3136" t="str">
        <f>"COS10200804 6018"</f>
        <v>COS10200804 6018</v>
      </c>
    </row>
    <row r="3137" spans="1:26" x14ac:dyDescent="0.25">
      <c r="A3137" t="str">
        <f t="shared" si="1282"/>
        <v>04-08-2020 12:58:57</v>
      </c>
      <c r="B3137" t="str">
        <f>"0000807808"</f>
        <v>0000807808</v>
      </c>
      <c r="C3137" t="str">
        <f t="shared" si="1283"/>
        <v>0000807791</v>
      </c>
      <c r="D3137" t="str">
        <f t="shared" si="1261"/>
        <v>73185</v>
      </c>
      <c r="E3137" t="str">
        <f t="shared" si="1262"/>
        <v>KFH-OPERATIONS DEPARTMENT</v>
      </c>
      <c r="F3137" t="str">
        <f t="shared" si="1263"/>
        <v>IBG</v>
      </c>
      <c r="G3137" t="str">
        <f t="shared" si="1276"/>
        <v>Refund COSHARE 10</v>
      </c>
      <c r="H3137" s="2">
        <v>312</v>
      </c>
      <c r="I3137" t="str">
        <f>"MUHAMMAD ASIRULLAH BIN RUZLI"</f>
        <v>MUHAMMAD ASIRULLAH BIN RUZLI</v>
      </c>
      <c r="J3137" t="str">
        <f t="shared" si="1279"/>
        <v>MAYBANK / MAYBANK ISLAMIC</v>
      </c>
      <c r="K3137" t="str">
        <f>"151016074867"</f>
        <v>151016074867</v>
      </c>
      <c r="L3137" t="str">
        <f t="shared" si="1284"/>
        <v>04-08-2020</v>
      </c>
      <c r="M3137" t="str">
        <f t="shared" si="1284"/>
        <v>04-08-2020</v>
      </c>
      <c r="N3137" t="str">
        <f t="shared" si="1264"/>
        <v>001105018356</v>
      </c>
      <c r="O3137" t="str">
        <f t="shared" si="1265"/>
        <v>MYR</v>
      </c>
      <c r="P3137" t="str">
        <f t="shared" si="1285"/>
        <v>NIL</v>
      </c>
      <c r="Q3137" t="str">
        <f t="shared" si="1285"/>
        <v>NIL</v>
      </c>
      <c r="R3137" t="str">
        <f t="shared" si="1266"/>
        <v>Accepted</v>
      </c>
      <c r="S3137" t="str">
        <f t="shared" si="1267"/>
        <v>Approved</v>
      </c>
      <c r="T3137" t="str">
        <f t="shared" si="1268"/>
        <v>10.20.8.188</v>
      </c>
      <c r="U3137" t="str">
        <f t="shared" si="1269"/>
        <v>AZRAD UMAR BIN SHAARI</v>
      </c>
      <c r="V3137" t="str">
        <f t="shared" si="1270"/>
        <v>FARHANA BINTI MUSTAPA</v>
      </c>
      <c r="W3137" t="str">
        <f t="shared" si="1271"/>
        <v>04-08-2020</v>
      </c>
      <c r="X3137" t="str">
        <f t="shared" si="1272"/>
        <v>RAZIMAH ANSAR AHMAD</v>
      </c>
      <c r="Y3137" t="str">
        <f t="shared" si="1273"/>
        <v>04-08-2020</v>
      </c>
      <c r="Z3137" t="str">
        <f>"COS10200804 6017"</f>
        <v>COS10200804 6017</v>
      </c>
    </row>
    <row r="3138" spans="1:26" x14ac:dyDescent="0.25">
      <c r="A3138" t="str">
        <f t="shared" si="1282"/>
        <v>04-08-2020 12:58:57</v>
      </c>
      <c r="B3138" t="str">
        <f>"0000807807"</f>
        <v>0000807807</v>
      </c>
      <c r="C3138" t="str">
        <f t="shared" si="1283"/>
        <v>0000807791</v>
      </c>
      <c r="D3138" t="str">
        <f t="shared" si="1261"/>
        <v>73185</v>
      </c>
      <c r="E3138" t="str">
        <f t="shared" si="1262"/>
        <v>KFH-OPERATIONS DEPARTMENT</v>
      </c>
      <c r="F3138" t="str">
        <f t="shared" si="1263"/>
        <v>IBG</v>
      </c>
      <c r="G3138" t="str">
        <f t="shared" si="1276"/>
        <v>Refund COSHARE 10</v>
      </c>
      <c r="H3138" s="2">
        <v>394.6</v>
      </c>
      <c r="I3138" t="str">
        <f>"MUHAMMAD AMIR BIN AHMAD AZNI"</f>
        <v>MUHAMMAD AMIR BIN AHMAD AZNI</v>
      </c>
      <c r="J3138" t="str">
        <f t="shared" si="1279"/>
        <v>MAYBANK / MAYBANK ISLAMIC</v>
      </c>
      <c r="K3138" t="str">
        <f>"112362117811"</f>
        <v>112362117811</v>
      </c>
      <c r="L3138" t="str">
        <f t="shared" si="1284"/>
        <v>04-08-2020</v>
      </c>
      <c r="M3138" t="str">
        <f t="shared" si="1284"/>
        <v>04-08-2020</v>
      </c>
      <c r="N3138" t="str">
        <f t="shared" si="1264"/>
        <v>001105018356</v>
      </c>
      <c r="O3138" t="str">
        <f t="shared" si="1265"/>
        <v>MYR</v>
      </c>
      <c r="P3138" t="str">
        <f t="shared" si="1285"/>
        <v>NIL</v>
      </c>
      <c r="Q3138" t="str">
        <f t="shared" si="1285"/>
        <v>NIL</v>
      </c>
      <c r="R3138" t="str">
        <f t="shared" si="1266"/>
        <v>Accepted</v>
      </c>
      <c r="S3138" t="str">
        <f t="shared" si="1267"/>
        <v>Approved</v>
      </c>
      <c r="T3138" t="str">
        <f t="shared" si="1268"/>
        <v>10.20.8.188</v>
      </c>
      <c r="U3138" t="str">
        <f t="shared" si="1269"/>
        <v>AZRAD UMAR BIN SHAARI</v>
      </c>
      <c r="V3138" t="str">
        <f t="shared" si="1270"/>
        <v>FARHANA BINTI MUSTAPA</v>
      </c>
      <c r="W3138" t="str">
        <f t="shared" si="1271"/>
        <v>04-08-2020</v>
      </c>
      <c r="X3138" t="str">
        <f t="shared" si="1272"/>
        <v>RAZIMAH ANSAR AHMAD</v>
      </c>
      <c r="Y3138" t="str">
        <f t="shared" si="1273"/>
        <v>04-08-2020</v>
      </c>
      <c r="Z3138" t="str">
        <f>"COS10200804 6016"</f>
        <v>COS10200804 6016</v>
      </c>
    </row>
    <row r="3139" spans="1:26" x14ac:dyDescent="0.25">
      <c r="A3139" t="str">
        <f t="shared" si="1282"/>
        <v>04-08-2020 12:58:57</v>
      </c>
      <c r="B3139" t="str">
        <f>"0000807806"</f>
        <v>0000807806</v>
      </c>
      <c r="C3139" t="str">
        <f t="shared" si="1283"/>
        <v>0000807791</v>
      </c>
      <c r="D3139" t="str">
        <f t="shared" si="1261"/>
        <v>73185</v>
      </c>
      <c r="E3139" t="str">
        <f t="shared" si="1262"/>
        <v>KFH-OPERATIONS DEPARTMENT</v>
      </c>
      <c r="F3139" t="str">
        <f t="shared" si="1263"/>
        <v>IBG</v>
      </c>
      <c r="G3139" t="str">
        <f t="shared" si="1276"/>
        <v>Refund COSHARE 10</v>
      </c>
      <c r="H3139" s="2">
        <v>98.25</v>
      </c>
      <c r="I3139" t="str">
        <f>"MUHAMMAD ABDULLAH BIN ZAINI"</f>
        <v>MUHAMMAD ABDULLAH BIN ZAINI</v>
      </c>
      <c r="J3139" t="str">
        <f t="shared" si="1279"/>
        <v>MAYBANK / MAYBANK ISLAMIC</v>
      </c>
      <c r="K3139" t="str">
        <f>"110014091927"</f>
        <v>110014091927</v>
      </c>
      <c r="L3139" t="str">
        <f t="shared" si="1284"/>
        <v>04-08-2020</v>
      </c>
      <c r="M3139" t="str">
        <f t="shared" si="1284"/>
        <v>04-08-2020</v>
      </c>
      <c r="N3139" t="str">
        <f t="shared" si="1264"/>
        <v>001105018356</v>
      </c>
      <c r="O3139" t="str">
        <f t="shared" si="1265"/>
        <v>MYR</v>
      </c>
      <c r="P3139" t="str">
        <f t="shared" si="1285"/>
        <v>NIL</v>
      </c>
      <c r="Q3139" t="str">
        <f t="shared" si="1285"/>
        <v>NIL</v>
      </c>
      <c r="R3139" t="str">
        <f t="shared" si="1266"/>
        <v>Accepted</v>
      </c>
      <c r="S3139" t="str">
        <f t="shared" si="1267"/>
        <v>Approved</v>
      </c>
      <c r="T3139" t="str">
        <f t="shared" si="1268"/>
        <v>10.20.8.188</v>
      </c>
      <c r="U3139" t="str">
        <f t="shared" si="1269"/>
        <v>AZRAD UMAR BIN SHAARI</v>
      </c>
      <c r="V3139" t="str">
        <f t="shared" si="1270"/>
        <v>FARHANA BINTI MUSTAPA</v>
      </c>
      <c r="W3139" t="str">
        <f t="shared" si="1271"/>
        <v>04-08-2020</v>
      </c>
      <c r="X3139" t="str">
        <f t="shared" si="1272"/>
        <v>RAZIMAH ANSAR AHMAD</v>
      </c>
      <c r="Y3139" t="str">
        <f t="shared" si="1273"/>
        <v>04-08-2020</v>
      </c>
      <c r="Z3139" t="str">
        <f>"COS10200804 6015"</f>
        <v>COS10200804 6015</v>
      </c>
    </row>
    <row r="3140" spans="1:26" x14ac:dyDescent="0.25">
      <c r="A3140" t="str">
        <f t="shared" si="1282"/>
        <v>04-08-2020 12:58:57</v>
      </c>
      <c r="B3140" t="str">
        <f>"0000807805"</f>
        <v>0000807805</v>
      </c>
      <c r="C3140" t="str">
        <f t="shared" si="1283"/>
        <v>0000807791</v>
      </c>
      <c r="D3140" t="str">
        <f t="shared" si="1261"/>
        <v>73185</v>
      </c>
      <c r="E3140" t="str">
        <f t="shared" si="1262"/>
        <v>KFH-OPERATIONS DEPARTMENT</v>
      </c>
      <c r="F3140" t="str">
        <f t="shared" si="1263"/>
        <v>IBG</v>
      </c>
      <c r="G3140" t="str">
        <f t="shared" si="1276"/>
        <v>Refund COSHARE 10</v>
      </c>
      <c r="H3140" s="2">
        <v>251.85</v>
      </c>
      <c r="I3140" t="str">
        <f>"MUHAMED NASRULL BIN TAHA"</f>
        <v>MUHAMED NASRULL BIN TAHA</v>
      </c>
      <c r="J3140" t="str">
        <f t="shared" si="1279"/>
        <v>MAYBANK / MAYBANK ISLAMIC</v>
      </c>
      <c r="K3140" t="str">
        <f>"158088019231"</f>
        <v>158088019231</v>
      </c>
      <c r="L3140" t="str">
        <f t="shared" si="1284"/>
        <v>04-08-2020</v>
      </c>
      <c r="M3140" t="str">
        <f t="shared" si="1284"/>
        <v>04-08-2020</v>
      </c>
      <c r="N3140" t="str">
        <f t="shared" si="1264"/>
        <v>001105018356</v>
      </c>
      <c r="O3140" t="str">
        <f t="shared" si="1265"/>
        <v>MYR</v>
      </c>
      <c r="P3140" t="str">
        <f t="shared" si="1285"/>
        <v>NIL</v>
      </c>
      <c r="Q3140" t="str">
        <f t="shared" si="1285"/>
        <v>NIL</v>
      </c>
      <c r="R3140" t="str">
        <f t="shared" si="1266"/>
        <v>Accepted</v>
      </c>
      <c r="S3140" t="str">
        <f t="shared" si="1267"/>
        <v>Approved</v>
      </c>
      <c r="T3140" t="str">
        <f t="shared" si="1268"/>
        <v>10.20.8.188</v>
      </c>
      <c r="U3140" t="str">
        <f t="shared" si="1269"/>
        <v>AZRAD UMAR BIN SHAARI</v>
      </c>
      <c r="V3140" t="str">
        <f t="shared" si="1270"/>
        <v>FARHANA BINTI MUSTAPA</v>
      </c>
      <c r="W3140" t="str">
        <f t="shared" si="1271"/>
        <v>04-08-2020</v>
      </c>
      <c r="X3140" t="str">
        <f t="shared" si="1272"/>
        <v>RAZIMAH ANSAR AHMAD</v>
      </c>
      <c r="Y3140" t="str">
        <f t="shared" si="1273"/>
        <v>04-08-2020</v>
      </c>
      <c r="Z3140" t="str">
        <f>"COS10200804 6014"</f>
        <v>COS10200804 6014</v>
      </c>
    </row>
    <row r="3141" spans="1:26" x14ac:dyDescent="0.25">
      <c r="A3141" t="str">
        <f t="shared" si="1282"/>
        <v>04-08-2020 12:58:57</v>
      </c>
      <c r="B3141" t="str">
        <f>"0000807804"</f>
        <v>0000807804</v>
      </c>
      <c r="C3141" t="str">
        <f t="shared" si="1283"/>
        <v>0000807791</v>
      </c>
      <c r="D3141" t="str">
        <f t="shared" si="1261"/>
        <v>73185</v>
      </c>
      <c r="E3141" t="str">
        <f t="shared" si="1262"/>
        <v>KFH-OPERATIONS DEPARTMENT</v>
      </c>
      <c r="F3141" t="str">
        <f t="shared" si="1263"/>
        <v>IBG</v>
      </c>
      <c r="G3141" t="str">
        <f t="shared" si="1276"/>
        <v>Refund COSHARE 10</v>
      </c>
      <c r="H3141" s="2">
        <v>50.4</v>
      </c>
      <c r="I3141" t="str">
        <f>"MUHAMED FAIZAL BIN ABDUL LATIP"</f>
        <v>MUHAMED FAIZAL BIN ABDUL LATIP</v>
      </c>
      <c r="J3141" t="str">
        <f t="shared" si="1279"/>
        <v>MAYBANK / MAYBANK ISLAMIC</v>
      </c>
      <c r="K3141" t="str">
        <f>"101115013188"</f>
        <v>101115013188</v>
      </c>
      <c r="L3141" t="str">
        <f t="shared" si="1284"/>
        <v>04-08-2020</v>
      </c>
      <c r="M3141" t="str">
        <f t="shared" si="1284"/>
        <v>04-08-2020</v>
      </c>
      <c r="N3141" t="str">
        <f t="shared" si="1264"/>
        <v>001105018356</v>
      </c>
      <c r="O3141" t="str">
        <f t="shared" si="1265"/>
        <v>MYR</v>
      </c>
      <c r="P3141" t="str">
        <f t="shared" si="1285"/>
        <v>NIL</v>
      </c>
      <c r="Q3141" t="str">
        <f t="shared" si="1285"/>
        <v>NIL</v>
      </c>
      <c r="R3141" t="str">
        <f t="shared" si="1266"/>
        <v>Accepted</v>
      </c>
      <c r="S3141" t="str">
        <f t="shared" si="1267"/>
        <v>Approved</v>
      </c>
      <c r="T3141" t="str">
        <f t="shared" si="1268"/>
        <v>10.20.8.188</v>
      </c>
      <c r="U3141" t="str">
        <f t="shared" si="1269"/>
        <v>AZRAD UMAR BIN SHAARI</v>
      </c>
      <c r="V3141" t="str">
        <f t="shared" si="1270"/>
        <v>FARHANA BINTI MUSTAPA</v>
      </c>
      <c r="W3141" t="str">
        <f t="shared" si="1271"/>
        <v>04-08-2020</v>
      </c>
      <c r="X3141" t="str">
        <f t="shared" si="1272"/>
        <v>RAZIMAH ANSAR AHMAD</v>
      </c>
      <c r="Y3141" t="str">
        <f t="shared" si="1273"/>
        <v>04-08-2020</v>
      </c>
      <c r="Z3141" t="str">
        <f>"COS10200804 6013"</f>
        <v>COS10200804 6013</v>
      </c>
    </row>
    <row r="3142" spans="1:26" x14ac:dyDescent="0.25">
      <c r="A3142" t="str">
        <f t="shared" si="1282"/>
        <v>04-08-2020 12:58:57</v>
      </c>
      <c r="B3142" t="str">
        <f>"0000807803"</f>
        <v>0000807803</v>
      </c>
      <c r="C3142" t="str">
        <f t="shared" si="1283"/>
        <v>0000807791</v>
      </c>
      <c r="D3142" t="str">
        <f t="shared" si="1261"/>
        <v>73185</v>
      </c>
      <c r="E3142" t="str">
        <f t="shared" si="1262"/>
        <v>KFH-OPERATIONS DEPARTMENT</v>
      </c>
      <c r="F3142" t="str">
        <f t="shared" si="1263"/>
        <v>IBG</v>
      </c>
      <c r="G3142" t="str">
        <f t="shared" si="1276"/>
        <v>Refund COSHARE 10</v>
      </c>
      <c r="H3142" s="2">
        <v>260.25</v>
      </c>
      <c r="I3142" t="str">
        <f>"MUHAMED FADIL BIN DERMAWI"</f>
        <v>MUHAMED FADIL BIN DERMAWI</v>
      </c>
      <c r="J3142" t="str">
        <f t="shared" si="1279"/>
        <v>MAYBANK / MAYBANK ISLAMIC</v>
      </c>
      <c r="K3142" t="str">
        <f>"114302020298"</f>
        <v>114302020298</v>
      </c>
      <c r="L3142" t="str">
        <f t="shared" si="1284"/>
        <v>04-08-2020</v>
      </c>
      <c r="M3142" t="str">
        <f t="shared" si="1284"/>
        <v>04-08-2020</v>
      </c>
      <c r="N3142" t="str">
        <f t="shared" si="1264"/>
        <v>001105018356</v>
      </c>
      <c r="O3142" t="str">
        <f t="shared" si="1265"/>
        <v>MYR</v>
      </c>
      <c r="P3142" t="str">
        <f t="shared" si="1285"/>
        <v>NIL</v>
      </c>
      <c r="Q3142" t="str">
        <f t="shared" si="1285"/>
        <v>NIL</v>
      </c>
      <c r="R3142" t="str">
        <f t="shared" si="1266"/>
        <v>Accepted</v>
      </c>
      <c r="S3142" t="str">
        <f t="shared" si="1267"/>
        <v>Approved</v>
      </c>
      <c r="T3142" t="str">
        <f t="shared" si="1268"/>
        <v>10.20.8.188</v>
      </c>
      <c r="U3142" t="str">
        <f t="shared" si="1269"/>
        <v>AZRAD UMAR BIN SHAARI</v>
      </c>
      <c r="V3142" t="str">
        <f t="shared" si="1270"/>
        <v>FARHANA BINTI MUSTAPA</v>
      </c>
      <c r="W3142" t="str">
        <f t="shared" si="1271"/>
        <v>04-08-2020</v>
      </c>
      <c r="X3142" t="str">
        <f t="shared" si="1272"/>
        <v>RAZIMAH ANSAR AHMAD</v>
      </c>
      <c r="Y3142" t="str">
        <f t="shared" si="1273"/>
        <v>04-08-2020</v>
      </c>
      <c r="Z3142" t="str">
        <f>"COS10200804 6012"</f>
        <v>COS10200804 6012</v>
      </c>
    </row>
    <row r="3143" spans="1:26" x14ac:dyDescent="0.25">
      <c r="A3143" t="str">
        <f t="shared" si="1282"/>
        <v>04-08-2020 12:58:57</v>
      </c>
      <c r="B3143" t="str">
        <f>"0000807802"</f>
        <v>0000807802</v>
      </c>
      <c r="C3143" t="str">
        <f t="shared" si="1283"/>
        <v>0000807791</v>
      </c>
      <c r="D3143" t="str">
        <f t="shared" ref="D3143:D3206" si="1286">"73185"</f>
        <v>73185</v>
      </c>
      <c r="E3143" t="str">
        <f t="shared" ref="E3143:E3206" si="1287">"KFH-OPERATIONS DEPARTMENT"</f>
        <v>KFH-OPERATIONS DEPARTMENT</v>
      </c>
      <c r="F3143" t="str">
        <f t="shared" ref="F3143:F3206" si="1288">"IBG"</f>
        <v>IBG</v>
      </c>
      <c r="G3143" t="str">
        <f t="shared" si="1276"/>
        <v>Refund COSHARE 10</v>
      </c>
      <c r="H3143" s="2">
        <v>1234.0999999999999</v>
      </c>
      <c r="I3143" t="str">
        <f>"MUHAMAT NOR BIN MUHAMAT AKIP"</f>
        <v>MUHAMAT NOR BIN MUHAMAT AKIP</v>
      </c>
      <c r="J3143" t="str">
        <f t="shared" si="1279"/>
        <v>MAYBANK / MAYBANK ISLAMIC</v>
      </c>
      <c r="K3143" t="str">
        <f>"104124040283"</f>
        <v>104124040283</v>
      </c>
      <c r="L3143" t="str">
        <f t="shared" si="1284"/>
        <v>04-08-2020</v>
      </c>
      <c r="M3143" t="str">
        <f t="shared" si="1284"/>
        <v>04-08-2020</v>
      </c>
      <c r="N3143" t="str">
        <f t="shared" ref="N3143:N3206" si="1289">"001105018356"</f>
        <v>001105018356</v>
      </c>
      <c r="O3143" t="str">
        <f t="shared" ref="O3143:O3206" si="1290">"MYR"</f>
        <v>MYR</v>
      </c>
      <c r="P3143" t="str">
        <f t="shared" si="1285"/>
        <v>NIL</v>
      </c>
      <c r="Q3143" t="str">
        <f t="shared" si="1285"/>
        <v>NIL</v>
      </c>
      <c r="R3143" t="str">
        <f t="shared" ref="R3143:R3206" si="1291">"Accepted"</f>
        <v>Accepted</v>
      </c>
      <c r="S3143" t="str">
        <f t="shared" ref="S3143:S3206" si="1292">"Approved"</f>
        <v>Approved</v>
      </c>
      <c r="T3143" t="str">
        <f t="shared" ref="T3143:T3206" si="1293">"10.20.8.188"</f>
        <v>10.20.8.188</v>
      </c>
      <c r="U3143" t="str">
        <f t="shared" ref="U3143:U3206" si="1294">"AZRAD UMAR BIN SHAARI"</f>
        <v>AZRAD UMAR BIN SHAARI</v>
      </c>
      <c r="V3143" t="str">
        <f t="shared" ref="V3143:V3206" si="1295">"FARHANA BINTI MUSTAPA"</f>
        <v>FARHANA BINTI MUSTAPA</v>
      </c>
      <c r="W3143" t="str">
        <f t="shared" ref="W3143:W3206" si="1296">"04-08-2020"</f>
        <v>04-08-2020</v>
      </c>
      <c r="X3143" t="str">
        <f t="shared" ref="X3143:X3206" si="1297">"RAZIMAH ANSAR AHMAD"</f>
        <v>RAZIMAH ANSAR AHMAD</v>
      </c>
      <c r="Y3143" t="str">
        <f t="shared" ref="Y3143:Y3206" si="1298">"04-08-2020"</f>
        <v>04-08-2020</v>
      </c>
      <c r="Z3143" t="str">
        <f>"COS10200804 6011"</f>
        <v>COS10200804 6011</v>
      </c>
    </row>
    <row r="3144" spans="1:26" x14ac:dyDescent="0.25">
      <c r="A3144" t="str">
        <f t="shared" si="1282"/>
        <v>04-08-2020 12:58:57</v>
      </c>
      <c r="B3144" t="str">
        <f>"0000807801"</f>
        <v>0000807801</v>
      </c>
      <c r="C3144" t="str">
        <f t="shared" si="1283"/>
        <v>0000807791</v>
      </c>
      <c r="D3144" t="str">
        <f t="shared" si="1286"/>
        <v>73185</v>
      </c>
      <c r="E3144" t="str">
        <f t="shared" si="1287"/>
        <v>KFH-OPERATIONS DEPARTMENT</v>
      </c>
      <c r="F3144" t="str">
        <f t="shared" si="1288"/>
        <v>IBG</v>
      </c>
      <c r="G3144" t="str">
        <f t="shared" si="1276"/>
        <v>Refund COSHARE 10</v>
      </c>
      <c r="H3144" s="2">
        <v>285.45</v>
      </c>
      <c r="I3144" t="str">
        <f>"MUHAMAD ZAIM BIN ZANOL"</f>
        <v>MUHAMAD ZAIM BIN ZANOL</v>
      </c>
      <c r="J3144" t="str">
        <f t="shared" si="1279"/>
        <v>MAYBANK / MAYBANK ISLAMIC</v>
      </c>
      <c r="K3144" t="str">
        <f>"159012724269"</f>
        <v>159012724269</v>
      </c>
      <c r="L3144" t="str">
        <f t="shared" si="1284"/>
        <v>04-08-2020</v>
      </c>
      <c r="M3144" t="str">
        <f t="shared" si="1284"/>
        <v>04-08-2020</v>
      </c>
      <c r="N3144" t="str">
        <f t="shared" si="1289"/>
        <v>001105018356</v>
      </c>
      <c r="O3144" t="str">
        <f t="shared" si="1290"/>
        <v>MYR</v>
      </c>
      <c r="P3144" t="str">
        <f t="shared" si="1285"/>
        <v>NIL</v>
      </c>
      <c r="Q3144" t="str">
        <f t="shared" si="1285"/>
        <v>NIL</v>
      </c>
      <c r="R3144" t="str">
        <f t="shared" si="1291"/>
        <v>Accepted</v>
      </c>
      <c r="S3144" t="str">
        <f t="shared" si="1292"/>
        <v>Approved</v>
      </c>
      <c r="T3144" t="str">
        <f t="shared" si="1293"/>
        <v>10.20.8.188</v>
      </c>
      <c r="U3144" t="str">
        <f t="shared" si="1294"/>
        <v>AZRAD UMAR BIN SHAARI</v>
      </c>
      <c r="V3144" t="str">
        <f t="shared" si="1295"/>
        <v>FARHANA BINTI MUSTAPA</v>
      </c>
      <c r="W3144" t="str">
        <f t="shared" si="1296"/>
        <v>04-08-2020</v>
      </c>
      <c r="X3144" t="str">
        <f t="shared" si="1297"/>
        <v>RAZIMAH ANSAR AHMAD</v>
      </c>
      <c r="Y3144" t="str">
        <f t="shared" si="1298"/>
        <v>04-08-2020</v>
      </c>
      <c r="Z3144" t="str">
        <f>"COS10200804 6010"</f>
        <v>COS10200804 6010</v>
      </c>
    </row>
    <row r="3145" spans="1:26" x14ac:dyDescent="0.25">
      <c r="A3145" t="str">
        <f t="shared" si="1282"/>
        <v>04-08-2020 12:58:57</v>
      </c>
      <c r="B3145" t="str">
        <f>"0000807800"</f>
        <v>0000807800</v>
      </c>
      <c r="C3145" t="str">
        <f t="shared" si="1283"/>
        <v>0000807791</v>
      </c>
      <c r="D3145" t="str">
        <f t="shared" si="1286"/>
        <v>73185</v>
      </c>
      <c r="E3145" t="str">
        <f t="shared" si="1287"/>
        <v>KFH-OPERATIONS DEPARTMENT</v>
      </c>
      <c r="F3145" t="str">
        <f t="shared" si="1288"/>
        <v>IBG</v>
      </c>
      <c r="G3145" t="str">
        <f t="shared" si="1276"/>
        <v>Refund COSHARE 10</v>
      </c>
      <c r="H3145" s="2">
        <v>185</v>
      </c>
      <c r="I3145" t="str">
        <f>"MUHAMAD ZAIDI BIN SAID ALANG GHAFAR"</f>
        <v>MUHAMAD ZAIDI BIN SAID ALANG GHAFAR</v>
      </c>
      <c r="J3145" t="str">
        <f t="shared" si="1279"/>
        <v>MAYBANK / MAYBANK ISLAMIC</v>
      </c>
      <c r="K3145" t="str">
        <f>"156141327699"</f>
        <v>156141327699</v>
      </c>
      <c r="L3145" t="str">
        <f t="shared" si="1284"/>
        <v>04-08-2020</v>
      </c>
      <c r="M3145" t="str">
        <f t="shared" si="1284"/>
        <v>04-08-2020</v>
      </c>
      <c r="N3145" t="str">
        <f t="shared" si="1289"/>
        <v>001105018356</v>
      </c>
      <c r="O3145" t="str">
        <f t="shared" si="1290"/>
        <v>MYR</v>
      </c>
      <c r="P3145" t="str">
        <f t="shared" si="1285"/>
        <v>NIL</v>
      </c>
      <c r="Q3145" t="str">
        <f t="shared" si="1285"/>
        <v>NIL</v>
      </c>
      <c r="R3145" t="str">
        <f t="shared" si="1291"/>
        <v>Accepted</v>
      </c>
      <c r="S3145" t="str">
        <f t="shared" si="1292"/>
        <v>Approved</v>
      </c>
      <c r="T3145" t="str">
        <f t="shared" si="1293"/>
        <v>10.20.8.188</v>
      </c>
      <c r="U3145" t="str">
        <f t="shared" si="1294"/>
        <v>AZRAD UMAR BIN SHAARI</v>
      </c>
      <c r="V3145" t="str">
        <f t="shared" si="1295"/>
        <v>FARHANA BINTI MUSTAPA</v>
      </c>
      <c r="W3145" t="str">
        <f t="shared" si="1296"/>
        <v>04-08-2020</v>
      </c>
      <c r="X3145" t="str">
        <f t="shared" si="1297"/>
        <v>RAZIMAH ANSAR AHMAD</v>
      </c>
      <c r="Y3145" t="str">
        <f t="shared" si="1298"/>
        <v>04-08-2020</v>
      </c>
      <c r="Z3145" t="str">
        <f>"COS10200804 6009"</f>
        <v>COS10200804 6009</v>
      </c>
    </row>
    <row r="3146" spans="1:26" x14ac:dyDescent="0.25">
      <c r="A3146" t="str">
        <f t="shared" ref="A3146:A3153" si="1299">"04-08-2020 12:58:57"</f>
        <v>04-08-2020 12:58:57</v>
      </c>
      <c r="B3146" t="str">
        <f>"0000807799"</f>
        <v>0000807799</v>
      </c>
      <c r="C3146" t="str">
        <f t="shared" ref="C3146:C3153" si="1300">"0000807791"</f>
        <v>0000807791</v>
      </c>
      <c r="D3146" t="str">
        <f t="shared" si="1286"/>
        <v>73185</v>
      </c>
      <c r="E3146" t="str">
        <f t="shared" si="1287"/>
        <v>KFH-OPERATIONS DEPARTMENT</v>
      </c>
      <c r="F3146" t="str">
        <f t="shared" si="1288"/>
        <v>IBG</v>
      </c>
      <c r="G3146" t="str">
        <f t="shared" si="1276"/>
        <v>Refund COSHARE 10</v>
      </c>
      <c r="H3146" s="2">
        <v>151.15</v>
      </c>
      <c r="I3146" t="str">
        <f>"MUHAMAD TARMIMI BIN ABDILLAH"</f>
        <v>MUHAMAD TARMIMI BIN ABDILLAH</v>
      </c>
      <c r="J3146" t="str">
        <f t="shared" si="1279"/>
        <v>MAYBANK / MAYBANK ISLAMIC</v>
      </c>
      <c r="K3146" t="str">
        <f>"161136225015"</f>
        <v>161136225015</v>
      </c>
      <c r="L3146" t="str">
        <f t="shared" si="1284"/>
        <v>04-08-2020</v>
      </c>
      <c r="M3146" t="str">
        <f t="shared" si="1284"/>
        <v>04-08-2020</v>
      </c>
      <c r="N3146" t="str">
        <f t="shared" si="1289"/>
        <v>001105018356</v>
      </c>
      <c r="O3146" t="str">
        <f t="shared" si="1290"/>
        <v>MYR</v>
      </c>
      <c r="P3146" t="str">
        <f t="shared" si="1285"/>
        <v>NIL</v>
      </c>
      <c r="Q3146" t="str">
        <f t="shared" si="1285"/>
        <v>NIL</v>
      </c>
      <c r="R3146" t="str">
        <f t="shared" si="1291"/>
        <v>Accepted</v>
      </c>
      <c r="S3146" t="str">
        <f t="shared" si="1292"/>
        <v>Approved</v>
      </c>
      <c r="T3146" t="str">
        <f t="shared" si="1293"/>
        <v>10.20.8.188</v>
      </c>
      <c r="U3146" t="str">
        <f t="shared" si="1294"/>
        <v>AZRAD UMAR BIN SHAARI</v>
      </c>
      <c r="V3146" t="str">
        <f t="shared" si="1295"/>
        <v>FARHANA BINTI MUSTAPA</v>
      </c>
      <c r="W3146" t="str">
        <f t="shared" si="1296"/>
        <v>04-08-2020</v>
      </c>
      <c r="X3146" t="str">
        <f t="shared" si="1297"/>
        <v>RAZIMAH ANSAR AHMAD</v>
      </c>
      <c r="Y3146" t="str">
        <f t="shared" si="1298"/>
        <v>04-08-2020</v>
      </c>
      <c r="Z3146" t="str">
        <f>"COS10200804 6008"</f>
        <v>COS10200804 6008</v>
      </c>
    </row>
    <row r="3147" spans="1:26" x14ac:dyDescent="0.25">
      <c r="A3147" t="str">
        <f t="shared" si="1299"/>
        <v>04-08-2020 12:58:57</v>
      </c>
      <c r="B3147" t="str">
        <f>"0000807798"</f>
        <v>0000807798</v>
      </c>
      <c r="C3147" t="str">
        <f t="shared" si="1300"/>
        <v>0000807791</v>
      </c>
      <c r="D3147" t="str">
        <f t="shared" si="1286"/>
        <v>73185</v>
      </c>
      <c r="E3147" t="str">
        <f t="shared" si="1287"/>
        <v>KFH-OPERATIONS DEPARTMENT</v>
      </c>
      <c r="F3147" t="str">
        <f t="shared" si="1288"/>
        <v>IBG</v>
      </c>
      <c r="G3147" t="str">
        <f t="shared" si="1276"/>
        <v>Refund COSHARE 10</v>
      </c>
      <c r="H3147" s="2">
        <v>629.65</v>
      </c>
      <c r="I3147" t="str">
        <f>"MUHAMAD SUHAIMI BIN MOHD  SHAMSHUDDIN"</f>
        <v>MUHAMAD SUHAIMI BIN MOHD  SHAMSHUDDIN</v>
      </c>
      <c r="J3147" t="str">
        <f t="shared" si="1279"/>
        <v>MAYBANK / MAYBANK ISLAMIC</v>
      </c>
      <c r="K3147" t="str">
        <f>"156012071574"</f>
        <v>156012071574</v>
      </c>
      <c r="L3147" t="str">
        <f t="shared" ref="L3147:M3166" si="1301">"04-08-2020"</f>
        <v>04-08-2020</v>
      </c>
      <c r="M3147" t="str">
        <f t="shared" si="1301"/>
        <v>04-08-2020</v>
      </c>
      <c r="N3147" t="str">
        <f t="shared" si="1289"/>
        <v>001105018356</v>
      </c>
      <c r="O3147" t="str">
        <f t="shared" si="1290"/>
        <v>MYR</v>
      </c>
      <c r="P3147" t="str">
        <f t="shared" ref="P3147:Q3166" si="1302">"NIL"</f>
        <v>NIL</v>
      </c>
      <c r="Q3147" t="str">
        <f t="shared" si="1302"/>
        <v>NIL</v>
      </c>
      <c r="R3147" t="str">
        <f t="shared" si="1291"/>
        <v>Accepted</v>
      </c>
      <c r="S3147" t="str">
        <f t="shared" si="1292"/>
        <v>Approved</v>
      </c>
      <c r="T3147" t="str">
        <f t="shared" si="1293"/>
        <v>10.20.8.188</v>
      </c>
      <c r="U3147" t="str">
        <f t="shared" si="1294"/>
        <v>AZRAD UMAR BIN SHAARI</v>
      </c>
      <c r="V3147" t="str">
        <f t="shared" si="1295"/>
        <v>FARHANA BINTI MUSTAPA</v>
      </c>
      <c r="W3147" t="str">
        <f t="shared" si="1296"/>
        <v>04-08-2020</v>
      </c>
      <c r="X3147" t="str">
        <f t="shared" si="1297"/>
        <v>RAZIMAH ANSAR AHMAD</v>
      </c>
      <c r="Y3147" t="str">
        <f t="shared" si="1298"/>
        <v>04-08-2020</v>
      </c>
      <c r="Z3147" t="str">
        <f>"COS10200804 6007"</f>
        <v>COS10200804 6007</v>
      </c>
    </row>
    <row r="3148" spans="1:26" x14ac:dyDescent="0.25">
      <c r="A3148" t="str">
        <f t="shared" si="1299"/>
        <v>04-08-2020 12:58:57</v>
      </c>
      <c r="B3148" t="str">
        <f>"0000807797"</f>
        <v>0000807797</v>
      </c>
      <c r="C3148" t="str">
        <f t="shared" si="1300"/>
        <v>0000807791</v>
      </c>
      <c r="D3148" t="str">
        <f t="shared" si="1286"/>
        <v>73185</v>
      </c>
      <c r="E3148" t="str">
        <f t="shared" si="1287"/>
        <v>KFH-OPERATIONS DEPARTMENT</v>
      </c>
      <c r="F3148" t="str">
        <f t="shared" si="1288"/>
        <v>IBG</v>
      </c>
      <c r="G3148" t="str">
        <f t="shared" ref="G3148:G3211" si="1303">"Refund COSHARE 10"</f>
        <v>Refund COSHARE 10</v>
      </c>
      <c r="H3148" s="2">
        <v>671.6</v>
      </c>
      <c r="I3148" t="str">
        <f>"MUHAMAD SOLAHUDDIN BIN HARUN"</f>
        <v>MUHAMAD SOLAHUDDIN BIN HARUN</v>
      </c>
      <c r="J3148" t="str">
        <f t="shared" si="1279"/>
        <v>MAYBANK / MAYBANK ISLAMIC</v>
      </c>
      <c r="K3148" t="str">
        <f>"164333253167"</f>
        <v>164333253167</v>
      </c>
      <c r="L3148" t="str">
        <f t="shared" si="1301"/>
        <v>04-08-2020</v>
      </c>
      <c r="M3148" t="str">
        <f t="shared" si="1301"/>
        <v>04-08-2020</v>
      </c>
      <c r="N3148" t="str">
        <f t="shared" si="1289"/>
        <v>001105018356</v>
      </c>
      <c r="O3148" t="str">
        <f t="shared" si="1290"/>
        <v>MYR</v>
      </c>
      <c r="P3148" t="str">
        <f t="shared" si="1302"/>
        <v>NIL</v>
      </c>
      <c r="Q3148" t="str">
        <f t="shared" si="1302"/>
        <v>NIL</v>
      </c>
      <c r="R3148" t="str">
        <f t="shared" si="1291"/>
        <v>Accepted</v>
      </c>
      <c r="S3148" t="str">
        <f t="shared" si="1292"/>
        <v>Approved</v>
      </c>
      <c r="T3148" t="str">
        <f t="shared" si="1293"/>
        <v>10.20.8.188</v>
      </c>
      <c r="U3148" t="str">
        <f t="shared" si="1294"/>
        <v>AZRAD UMAR BIN SHAARI</v>
      </c>
      <c r="V3148" t="str">
        <f t="shared" si="1295"/>
        <v>FARHANA BINTI MUSTAPA</v>
      </c>
      <c r="W3148" t="str">
        <f t="shared" si="1296"/>
        <v>04-08-2020</v>
      </c>
      <c r="X3148" t="str">
        <f t="shared" si="1297"/>
        <v>RAZIMAH ANSAR AHMAD</v>
      </c>
      <c r="Y3148" t="str">
        <f t="shared" si="1298"/>
        <v>04-08-2020</v>
      </c>
      <c r="Z3148" t="str">
        <f>"COS10200804 6006"</f>
        <v>COS10200804 6006</v>
      </c>
    </row>
    <row r="3149" spans="1:26" x14ac:dyDescent="0.25">
      <c r="A3149" t="str">
        <f t="shared" si="1299"/>
        <v>04-08-2020 12:58:57</v>
      </c>
      <c r="B3149" t="str">
        <f>"0000807796"</f>
        <v>0000807796</v>
      </c>
      <c r="C3149" t="str">
        <f t="shared" si="1300"/>
        <v>0000807791</v>
      </c>
      <c r="D3149" t="str">
        <f t="shared" si="1286"/>
        <v>73185</v>
      </c>
      <c r="E3149" t="str">
        <f t="shared" si="1287"/>
        <v>KFH-OPERATIONS DEPARTMENT</v>
      </c>
      <c r="F3149" t="str">
        <f t="shared" si="1288"/>
        <v>IBG</v>
      </c>
      <c r="G3149" t="str">
        <f t="shared" si="1303"/>
        <v>Refund COSHARE 10</v>
      </c>
      <c r="H3149" s="2">
        <v>587.65</v>
      </c>
      <c r="I3149" t="str">
        <f>"MUHAMAD SHULHI BIN ABAS"</f>
        <v>MUHAMAD SHULHI BIN ABAS</v>
      </c>
      <c r="J3149" t="str">
        <f t="shared" si="1279"/>
        <v>MAYBANK / MAYBANK ISLAMIC</v>
      </c>
      <c r="K3149" t="str">
        <f>"102045260378"</f>
        <v>102045260378</v>
      </c>
      <c r="L3149" t="str">
        <f t="shared" si="1301"/>
        <v>04-08-2020</v>
      </c>
      <c r="M3149" t="str">
        <f t="shared" si="1301"/>
        <v>04-08-2020</v>
      </c>
      <c r="N3149" t="str">
        <f t="shared" si="1289"/>
        <v>001105018356</v>
      </c>
      <c r="O3149" t="str">
        <f t="shared" si="1290"/>
        <v>MYR</v>
      </c>
      <c r="P3149" t="str">
        <f t="shared" si="1302"/>
        <v>NIL</v>
      </c>
      <c r="Q3149" t="str">
        <f t="shared" si="1302"/>
        <v>NIL</v>
      </c>
      <c r="R3149" t="str">
        <f t="shared" si="1291"/>
        <v>Accepted</v>
      </c>
      <c r="S3149" t="str">
        <f t="shared" si="1292"/>
        <v>Approved</v>
      </c>
      <c r="T3149" t="str">
        <f t="shared" si="1293"/>
        <v>10.20.8.188</v>
      </c>
      <c r="U3149" t="str">
        <f t="shared" si="1294"/>
        <v>AZRAD UMAR BIN SHAARI</v>
      </c>
      <c r="V3149" t="str">
        <f t="shared" si="1295"/>
        <v>FARHANA BINTI MUSTAPA</v>
      </c>
      <c r="W3149" t="str">
        <f t="shared" si="1296"/>
        <v>04-08-2020</v>
      </c>
      <c r="X3149" t="str">
        <f t="shared" si="1297"/>
        <v>RAZIMAH ANSAR AHMAD</v>
      </c>
      <c r="Y3149" t="str">
        <f t="shared" si="1298"/>
        <v>04-08-2020</v>
      </c>
      <c r="Z3149" t="str">
        <f>"COS10200804 6005"</f>
        <v>COS10200804 6005</v>
      </c>
    </row>
    <row r="3150" spans="1:26" x14ac:dyDescent="0.25">
      <c r="A3150" t="str">
        <f t="shared" si="1299"/>
        <v>04-08-2020 12:58:57</v>
      </c>
      <c r="B3150" t="str">
        <f>"0000807795"</f>
        <v>0000807795</v>
      </c>
      <c r="C3150" t="str">
        <f t="shared" si="1300"/>
        <v>0000807791</v>
      </c>
      <c r="D3150" t="str">
        <f t="shared" si="1286"/>
        <v>73185</v>
      </c>
      <c r="E3150" t="str">
        <f t="shared" si="1287"/>
        <v>KFH-OPERATIONS DEPARTMENT</v>
      </c>
      <c r="F3150" t="str">
        <f t="shared" si="1288"/>
        <v>IBG</v>
      </c>
      <c r="G3150" t="str">
        <f t="shared" si="1303"/>
        <v>Refund COSHARE 10</v>
      </c>
      <c r="H3150" s="2">
        <v>790</v>
      </c>
      <c r="I3150" t="str">
        <f>"MUHAMAD SHARIZAL SHAHRIL BIN MANSHOR"</f>
        <v>MUHAMAD SHARIZAL SHAHRIL BIN MANSHOR</v>
      </c>
      <c r="J3150" t="str">
        <f t="shared" si="1279"/>
        <v>MAYBANK / MAYBANK ISLAMIC</v>
      </c>
      <c r="K3150" t="str">
        <f>"162375652944"</f>
        <v>162375652944</v>
      </c>
      <c r="L3150" t="str">
        <f t="shared" si="1301"/>
        <v>04-08-2020</v>
      </c>
      <c r="M3150" t="str">
        <f t="shared" si="1301"/>
        <v>04-08-2020</v>
      </c>
      <c r="N3150" t="str">
        <f t="shared" si="1289"/>
        <v>001105018356</v>
      </c>
      <c r="O3150" t="str">
        <f t="shared" si="1290"/>
        <v>MYR</v>
      </c>
      <c r="P3150" t="str">
        <f t="shared" si="1302"/>
        <v>NIL</v>
      </c>
      <c r="Q3150" t="str">
        <f t="shared" si="1302"/>
        <v>NIL</v>
      </c>
      <c r="R3150" t="str">
        <f t="shared" si="1291"/>
        <v>Accepted</v>
      </c>
      <c r="S3150" t="str">
        <f t="shared" si="1292"/>
        <v>Approved</v>
      </c>
      <c r="T3150" t="str">
        <f t="shared" si="1293"/>
        <v>10.20.8.188</v>
      </c>
      <c r="U3150" t="str">
        <f t="shared" si="1294"/>
        <v>AZRAD UMAR BIN SHAARI</v>
      </c>
      <c r="V3150" t="str">
        <f t="shared" si="1295"/>
        <v>FARHANA BINTI MUSTAPA</v>
      </c>
      <c r="W3150" t="str">
        <f t="shared" si="1296"/>
        <v>04-08-2020</v>
      </c>
      <c r="X3150" t="str">
        <f t="shared" si="1297"/>
        <v>RAZIMAH ANSAR AHMAD</v>
      </c>
      <c r="Y3150" t="str">
        <f t="shared" si="1298"/>
        <v>04-08-2020</v>
      </c>
      <c r="Z3150" t="str">
        <f>"COS10200804 6004"</f>
        <v>COS10200804 6004</v>
      </c>
    </row>
    <row r="3151" spans="1:26" x14ac:dyDescent="0.25">
      <c r="A3151" t="str">
        <f t="shared" si="1299"/>
        <v>04-08-2020 12:58:57</v>
      </c>
      <c r="B3151" t="str">
        <f>"0000807794"</f>
        <v>0000807794</v>
      </c>
      <c r="C3151" t="str">
        <f t="shared" si="1300"/>
        <v>0000807791</v>
      </c>
      <c r="D3151" t="str">
        <f t="shared" si="1286"/>
        <v>73185</v>
      </c>
      <c r="E3151" t="str">
        <f t="shared" si="1287"/>
        <v>KFH-OPERATIONS DEPARTMENT</v>
      </c>
      <c r="F3151" t="str">
        <f t="shared" si="1288"/>
        <v>IBG</v>
      </c>
      <c r="G3151" t="str">
        <f t="shared" si="1303"/>
        <v>Refund COSHARE 10</v>
      </c>
      <c r="H3151" s="2">
        <v>141.94999999999999</v>
      </c>
      <c r="I3151" t="str">
        <f>"MUHAMAD SHAHIMI BIN ABD RAHMAN"</f>
        <v>MUHAMAD SHAHIMI BIN ABD RAHMAN</v>
      </c>
      <c r="J3151" t="str">
        <f t="shared" si="1279"/>
        <v>MAYBANK / MAYBANK ISLAMIC</v>
      </c>
      <c r="K3151" t="str">
        <f>"114226156244"</f>
        <v>114226156244</v>
      </c>
      <c r="L3151" t="str">
        <f t="shared" si="1301"/>
        <v>04-08-2020</v>
      </c>
      <c r="M3151" t="str">
        <f t="shared" si="1301"/>
        <v>04-08-2020</v>
      </c>
      <c r="N3151" t="str">
        <f t="shared" si="1289"/>
        <v>001105018356</v>
      </c>
      <c r="O3151" t="str">
        <f t="shared" si="1290"/>
        <v>MYR</v>
      </c>
      <c r="P3151" t="str">
        <f t="shared" si="1302"/>
        <v>NIL</v>
      </c>
      <c r="Q3151" t="str">
        <f t="shared" si="1302"/>
        <v>NIL</v>
      </c>
      <c r="R3151" t="str">
        <f t="shared" si="1291"/>
        <v>Accepted</v>
      </c>
      <c r="S3151" t="str">
        <f t="shared" si="1292"/>
        <v>Approved</v>
      </c>
      <c r="T3151" t="str">
        <f t="shared" si="1293"/>
        <v>10.20.8.188</v>
      </c>
      <c r="U3151" t="str">
        <f t="shared" si="1294"/>
        <v>AZRAD UMAR BIN SHAARI</v>
      </c>
      <c r="V3151" t="str">
        <f t="shared" si="1295"/>
        <v>FARHANA BINTI MUSTAPA</v>
      </c>
      <c r="W3151" t="str">
        <f t="shared" si="1296"/>
        <v>04-08-2020</v>
      </c>
      <c r="X3151" t="str">
        <f t="shared" si="1297"/>
        <v>RAZIMAH ANSAR AHMAD</v>
      </c>
      <c r="Y3151" t="str">
        <f t="shared" si="1298"/>
        <v>04-08-2020</v>
      </c>
      <c r="Z3151" t="str">
        <f>"COS10200804 6003"</f>
        <v>COS10200804 6003</v>
      </c>
    </row>
    <row r="3152" spans="1:26" x14ac:dyDescent="0.25">
      <c r="A3152" t="str">
        <f t="shared" si="1299"/>
        <v>04-08-2020 12:58:57</v>
      </c>
      <c r="B3152" t="str">
        <f>"0000807793"</f>
        <v>0000807793</v>
      </c>
      <c r="C3152" t="str">
        <f t="shared" si="1300"/>
        <v>0000807791</v>
      </c>
      <c r="D3152" t="str">
        <f t="shared" si="1286"/>
        <v>73185</v>
      </c>
      <c r="E3152" t="str">
        <f t="shared" si="1287"/>
        <v>KFH-OPERATIONS DEPARTMENT</v>
      </c>
      <c r="F3152" t="str">
        <f t="shared" si="1288"/>
        <v>IBG</v>
      </c>
      <c r="G3152" t="str">
        <f t="shared" si="1303"/>
        <v>Refund COSHARE 10</v>
      </c>
      <c r="H3152" s="2">
        <v>831.1</v>
      </c>
      <c r="I3152" t="str">
        <f>"MUHAMAD SHAH BIN MADZLAN"</f>
        <v>MUHAMAD SHAH BIN MADZLAN</v>
      </c>
      <c r="J3152" t="str">
        <f t="shared" si="1279"/>
        <v>MAYBANK / MAYBANK ISLAMIC</v>
      </c>
      <c r="K3152" t="str">
        <f>"114106018834"</f>
        <v>114106018834</v>
      </c>
      <c r="L3152" t="str">
        <f t="shared" si="1301"/>
        <v>04-08-2020</v>
      </c>
      <c r="M3152" t="str">
        <f t="shared" si="1301"/>
        <v>04-08-2020</v>
      </c>
      <c r="N3152" t="str">
        <f t="shared" si="1289"/>
        <v>001105018356</v>
      </c>
      <c r="O3152" t="str">
        <f t="shared" si="1290"/>
        <v>MYR</v>
      </c>
      <c r="P3152" t="str">
        <f t="shared" si="1302"/>
        <v>NIL</v>
      </c>
      <c r="Q3152" t="str">
        <f t="shared" si="1302"/>
        <v>NIL</v>
      </c>
      <c r="R3152" t="str">
        <f t="shared" si="1291"/>
        <v>Accepted</v>
      </c>
      <c r="S3152" t="str">
        <f t="shared" si="1292"/>
        <v>Approved</v>
      </c>
      <c r="T3152" t="str">
        <f t="shared" si="1293"/>
        <v>10.20.8.188</v>
      </c>
      <c r="U3152" t="str">
        <f t="shared" si="1294"/>
        <v>AZRAD UMAR BIN SHAARI</v>
      </c>
      <c r="V3152" t="str">
        <f t="shared" si="1295"/>
        <v>FARHANA BINTI MUSTAPA</v>
      </c>
      <c r="W3152" t="str">
        <f t="shared" si="1296"/>
        <v>04-08-2020</v>
      </c>
      <c r="X3152" t="str">
        <f t="shared" si="1297"/>
        <v>RAZIMAH ANSAR AHMAD</v>
      </c>
      <c r="Y3152" t="str">
        <f t="shared" si="1298"/>
        <v>04-08-2020</v>
      </c>
      <c r="Z3152" t="str">
        <f>"COS10200804 6002"</f>
        <v>COS10200804 6002</v>
      </c>
    </row>
    <row r="3153" spans="1:26" x14ac:dyDescent="0.25">
      <c r="A3153" t="str">
        <f t="shared" si="1299"/>
        <v>04-08-2020 12:58:57</v>
      </c>
      <c r="B3153" t="str">
        <f>"0000807792"</f>
        <v>0000807792</v>
      </c>
      <c r="C3153" t="str">
        <f t="shared" si="1300"/>
        <v>0000807791</v>
      </c>
      <c r="D3153" t="str">
        <f t="shared" si="1286"/>
        <v>73185</v>
      </c>
      <c r="E3153" t="str">
        <f t="shared" si="1287"/>
        <v>KFH-OPERATIONS DEPARTMENT</v>
      </c>
      <c r="F3153" t="str">
        <f t="shared" si="1288"/>
        <v>IBG</v>
      </c>
      <c r="G3153" t="str">
        <f t="shared" si="1303"/>
        <v>Refund COSHARE 10</v>
      </c>
      <c r="H3153" s="2">
        <v>1679</v>
      </c>
      <c r="I3153" t="str">
        <f>"MUHAMAD SANI BIN MUSTAFA"</f>
        <v>MUHAMAD SANI BIN MUSTAFA</v>
      </c>
      <c r="J3153" t="str">
        <f t="shared" ref="J3153:J3216" si="1304">"MAYBANK / MAYBANK ISLAMIC"</f>
        <v>MAYBANK / MAYBANK ISLAMIC</v>
      </c>
      <c r="K3153" t="str">
        <f>"557090504500"</f>
        <v>557090504500</v>
      </c>
      <c r="L3153" t="str">
        <f t="shared" si="1301"/>
        <v>04-08-2020</v>
      </c>
      <c r="M3153" t="str">
        <f t="shared" si="1301"/>
        <v>04-08-2020</v>
      </c>
      <c r="N3153" t="str">
        <f t="shared" si="1289"/>
        <v>001105018356</v>
      </c>
      <c r="O3153" t="str">
        <f t="shared" si="1290"/>
        <v>MYR</v>
      </c>
      <c r="P3153" t="str">
        <f t="shared" si="1302"/>
        <v>NIL</v>
      </c>
      <c r="Q3153" t="str">
        <f t="shared" si="1302"/>
        <v>NIL</v>
      </c>
      <c r="R3153" t="str">
        <f t="shared" si="1291"/>
        <v>Accepted</v>
      </c>
      <c r="S3153" t="str">
        <f t="shared" si="1292"/>
        <v>Approved</v>
      </c>
      <c r="T3153" t="str">
        <f t="shared" si="1293"/>
        <v>10.20.8.188</v>
      </c>
      <c r="U3153" t="str">
        <f t="shared" si="1294"/>
        <v>AZRAD UMAR BIN SHAARI</v>
      </c>
      <c r="V3153" t="str">
        <f t="shared" si="1295"/>
        <v>FARHANA BINTI MUSTAPA</v>
      </c>
      <c r="W3153" t="str">
        <f t="shared" si="1296"/>
        <v>04-08-2020</v>
      </c>
      <c r="X3153" t="str">
        <f t="shared" si="1297"/>
        <v>RAZIMAH ANSAR AHMAD</v>
      </c>
      <c r="Y3153" t="str">
        <f t="shared" si="1298"/>
        <v>04-08-2020</v>
      </c>
      <c r="Z3153" t="str">
        <f>"COS10200804 6001"</f>
        <v>COS10200804 6001</v>
      </c>
    </row>
    <row r="3154" spans="1:26" x14ac:dyDescent="0.25">
      <c r="A3154" t="str">
        <f t="shared" ref="A3154:A3185" si="1305">"04-08-2020 12:58:13"</f>
        <v>04-08-2020 12:58:13</v>
      </c>
      <c r="B3154" t="str">
        <f>"0000807790"</f>
        <v>0000807790</v>
      </c>
      <c r="C3154" t="str">
        <f t="shared" ref="C3154:C3185" si="1306">"0000807590"</f>
        <v>0000807590</v>
      </c>
      <c r="D3154" t="str">
        <f t="shared" si="1286"/>
        <v>73185</v>
      </c>
      <c r="E3154" t="str">
        <f t="shared" si="1287"/>
        <v>KFH-OPERATIONS DEPARTMENT</v>
      </c>
      <c r="F3154" t="str">
        <f t="shared" si="1288"/>
        <v>IBG</v>
      </c>
      <c r="G3154" t="str">
        <f t="shared" si="1303"/>
        <v>Refund COSHARE 10</v>
      </c>
      <c r="H3154" s="2">
        <v>243</v>
      </c>
      <c r="I3154" t="str">
        <f>"MUHAMAD ROMIZI BIN MOHAMAD"</f>
        <v>MUHAMAD ROMIZI BIN MOHAMAD</v>
      </c>
      <c r="J3154" t="str">
        <f t="shared" si="1304"/>
        <v>MAYBANK / MAYBANK ISLAMIC</v>
      </c>
      <c r="K3154" t="str">
        <f>"161284040339"</f>
        <v>161284040339</v>
      </c>
      <c r="L3154" t="str">
        <f t="shared" si="1301"/>
        <v>04-08-2020</v>
      </c>
      <c r="M3154" t="str">
        <f t="shared" si="1301"/>
        <v>04-08-2020</v>
      </c>
      <c r="N3154" t="str">
        <f t="shared" si="1289"/>
        <v>001105018356</v>
      </c>
      <c r="O3154" t="str">
        <f t="shared" si="1290"/>
        <v>MYR</v>
      </c>
      <c r="P3154" t="str">
        <f t="shared" si="1302"/>
        <v>NIL</v>
      </c>
      <c r="Q3154" t="str">
        <f t="shared" si="1302"/>
        <v>NIL</v>
      </c>
      <c r="R3154" t="str">
        <f t="shared" si="1291"/>
        <v>Accepted</v>
      </c>
      <c r="S3154" t="str">
        <f t="shared" si="1292"/>
        <v>Approved</v>
      </c>
      <c r="T3154" t="str">
        <f t="shared" si="1293"/>
        <v>10.20.8.188</v>
      </c>
      <c r="U3154" t="str">
        <f t="shared" si="1294"/>
        <v>AZRAD UMAR BIN SHAARI</v>
      </c>
      <c r="V3154" t="str">
        <f t="shared" si="1295"/>
        <v>FARHANA BINTI MUSTAPA</v>
      </c>
      <c r="W3154" t="str">
        <f t="shared" si="1296"/>
        <v>04-08-2020</v>
      </c>
      <c r="X3154" t="str">
        <f t="shared" si="1297"/>
        <v>RAZIMAH ANSAR AHMAD</v>
      </c>
      <c r="Y3154" t="str">
        <f t="shared" si="1298"/>
        <v>04-08-2020</v>
      </c>
      <c r="Z3154" t="str">
        <f>"COS10200804 6000"</f>
        <v>COS10200804 6000</v>
      </c>
    </row>
    <row r="3155" spans="1:26" x14ac:dyDescent="0.25">
      <c r="A3155" t="str">
        <f t="shared" si="1305"/>
        <v>04-08-2020 12:58:13</v>
      </c>
      <c r="B3155" t="str">
        <f>"0000807789"</f>
        <v>0000807789</v>
      </c>
      <c r="C3155" t="str">
        <f t="shared" si="1306"/>
        <v>0000807590</v>
      </c>
      <c r="D3155" t="str">
        <f t="shared" si="1286"/>
        <v>73185</v>
      </c>
      <c r="E3155" t="str">
        <f t="shared" si="1287"/>
        <v>KFH-OPERATIONS DEPARTMENT</v>
      </c>
      <c r="F3155" t="str">
        <f t="shared" si="1288"/>
        <v>IBG</v>
      </c>
      <c r="G3155" t="str">
        <f t="shared" si="1303"/>
        <v>Refund COSHARE 10</v>
      </c>
      <c r="H3155" s="2">
        <v>671.6</v>
      </c>
      <c r="I3155" t="str">
        <f>"MUHAMAD RIZUAN BIN AB RASID"</f>
        <v>MUHAMAD RIZUAN BIN AB RASID</v>
      </c>
      <c r="J3155" t="str">
        <f t="shared" si="1304"/>
        <v>MAYBANK / MAYBANK ISLAMIC</v>
      </c>
      <c r="K3155" t="str">
        <f>"166010158795"</f>
        <v>166010158795</v>
      </c>
      <c r="L3155" t="str">
        <f t="shared" si="1301"/>
        <v>04-08-2020</v>
      </c>
      <c r="M3155" t="str">
        <f t="shared" si="1301"/>
        <v>04-08-2020</v>
      </c>
      <c r="N3155" t="str">
        <f t="shared" si="1289"/>
        <v>001105018356</v>
      </c>
      <c r="O3155" t="str">
        <f t="shared" si="1290"/>
        <v>MYR</v>
      </c>
      <c r="P3155" t="str">
        <f t="shared" si="1302"/>
        <v>NIL</v>
      </c>
      <c r="Q3155" t="str">
        <f t="shared" si="1302"/>
        <v>NIL</v>
      </c>
      <c r="R3155" t="str">
        <f t="shared" si="1291"/>
        <v>Accepted</v>
      </c>
      <c r="S3155" t="str">
        <f t="shared" si="1292"/>
        <v>Approved</v>
      </c>
      <c r="T3155" t="str">
        <f t="shared" si="1293"/>
        <v>10.20.8.188</v>
      </c>
      <c r="U3155" t="str">
        <f t="shared" si="1294"/>
        <v>AZRAD UMAR BIN SHAARI</v>
      </c>
      <c r="V3155" t="str">
        <f t="shared" si="1295"/>
        <v>FARHANA BINTI MUSTAPA</v>
      </c>
      <c r="W3155" t="str">
        <f t="shared" si="1296"/>
        <v>04-08-2020</v>
      </c>
      <c r="X3155" t="str">
        <f t="shared" si="1297"/>
        <v>RAZIMAH ANSAR AHMAD</v>
      </c>
      <c r="Y3155" t="str">
        <f t="shared" si="1298"/>
        <v>04-08-2020</v>
      </c>
      <c r="Z3155" t="str">
        <f>"COS10200804 5999"</f>
        <v>COS10200804 5999</v>
      </c>
    </row>
    <row r="3156" spans="1:26" x14ac:dyDescent="0.25">
      <c r="A3156" t="str">
        <f t="shared" si="1305"/>
        <v>04-08-2020 12:58:13</v>
      </c>
      <c r="B3156" t="str">
        <f>"0000807788"</f>
        <v>0000807788</v>
      </c>
      <c r="C3156" t="str">
        <f t="shared" si="1306"/>
        <v>0000807590</v>
      </c>
      <c r="D3156" t="str">
        <f t="shared" si="1286"/>
        <v>73185</v>
      </c>
      <c r="E3156" t="str">
        <f t="shared" si="1287"/>
        <v>KFH-OPERATIONS DEPARTMENT</v>
      </c>
      <c r="F3156" t="str">
        <f t="shared" si="1288"/>
        <v>IBG</v>
      </c>
      <c r="G3156" t="str">
        <f t="shared" si="1303"/>
        <v>Refund COSHARE 10</v>
      </c>
      <c r="H3156" s="2">
        <v>645</v>
      </c>
      <c r="I3156" t="str">
        <f>"MUHAMAD RIDZUAN BIN HUSNI"</f>
        <v>MUHAMAD RIDZUAN BIN HUSNI</v>
      </c>
      <c r="J3156" t="str">
        <f t="shared" si="1304"/>
        <v>MAYBANK / MAYBANK ISLAMIC</v>
      </c>
      <c r="K3156" t="str">
        <f>"162124300821"</f>
        <v>162124300821</v>
      </c>
      <c r="L3156" t="str">
        <f t="shared" si="1301"/>
        <v>04-08-2020</v>
      </c>
      <c r="M3156" t="str">
        <f t="shared" si="1301"/>
        <v>04-08-2020</v>
      </c>
      <c r="N3156" t="str">
        <f t="shared" si="1289"/>
        <v>001105018356</v>
      </c>
      <c r="O3156" t="str">
        <f t="shared" si="1290"/>
        <v>MYR</v>
      </c>
      <c r="P3156" t="str">
        <f t="shared" si="1302"/>
        <v>NIL</v>
      </c>
      <c r="Q3156" t="str">
        <f t="shared" si="1302"/>
        <v>NIL</v>
      </c>
      <c r="R3156" t="str">
        <f t="shared" si="1291"/>
        <v>Accepted</v>
      </c>
      <c r="S3156" t="str">
        <f t="shared" si="1292"/>
        <v>Approved</v>
      </c>
      <c r="T3156" t="str">
        <f t="shared" si="1293"/>
        <v>10.20.8.188</v>
      </c>
      <c r="U3156" t="str">
        <f t="shared" si="1294"/>
        <v>AZRAD UMAR BIN SHAARI</v>
      </c>
      <c r="V3156" t="str">
        <f t="shared" si="1295"/>
        <v>FARHANA BINTI MUSTAPA</v>
      </c>
      <c r="W3156" t="str">
        <f t="shared" si="1296"/>
        <v>04-08-2020</v>
      </c>
      <c r="X3156" t="str">
        <f t="shared" si="1297"/>
        <v>RAZIMAH ANSAR AHMAD</v>
      </c>
      <c r="Y3156" t="str">
        <f t="shared" si="1298"/>
        <v>04-08-2020</v>
      </c>
      <c r="Z3156" t="str">
        <f>"COS10200804 5998"</f>
        <v>COS10200804 5998</v>
      </c>
    </row>
    <row r="3157" spans="1:26" x14ac:dyDescent="0.25">
      <c r="A3157" t="str">
        <f t="shared" si="1305"/>
        <v>04-08-2020 12:58:13</v>
      </c>
      <c r="B3157" t="str">
        <f>"0000807787"</f>
        <v>0000807787</v>
      </c>
      <c r="C3157" t="str">
        <f t="shared" si="1306"/>
        <v>0000807590</v>
      </c>
      <c r="D3157" t="str">
        <f t="shared" si="1286"/>
        <v>73185</v>
      </c>
      <c r="E3157" t="str">
        <f t="shared" si="1287"/>
        <v>KFH-OPERATIONS DEPARTMENT</v>
      </c>
      <c r="F3157" t="str">
        <f t="shared" si="1288"/>
        <v>IBG</v>
      </c>
      <c r="G3157" t="str">
        <f t="shared" si="1303"/>
        <v>Refund COSHARE 10</v>
      </c>
      <c r="H3157" s="2">
        <v>671.6</v>
      </c>
      <c r="I3157" t="str">
        <f>"MUHAMAD REDZUAN BIN MAT ROZAI"</f>
        <v>MUHAMAD REDZUAN BIN MAT ROZAI</v>
      </c>
      <c r="J3157" t="str">
        <f t="shared" si="1304"/>
        <v>MAYBANK / MAYBANK ISLAMIC</v>
      </c>
      <c r="K3157" t="str">
        <f>"164212306174"</f>
        <v>164212306174</v>
      </c>
      <c r="L3157" t="str">
        <f t="shared" si="1301"/>
        <v>04-08-2020</v>
      </c>
      <c r="M3157" t="str">
        <f t="shared" si="1301"/>
        <v>04-08-2020</v>
      </c>
      <c r="N3157" t="str">
        <f t="shared" si="1289"/>
        <v>001105018356</v>
      </c>
      <c r="O3157" t="str">
        <f t="shared" si="1290"/>
        <v>MYR</v>
      </c>
      <c r="P3157" t="str">
        <f t="shared" si="1302"/>
        <v>NIL</v>
      </c>
      <c r="Q3157" t="str">
        <f t="shared" si="1302"/>
        <v>NIL</v>
      </c>
      <c r="R3157" t="str">
        <f t="shared" si="1291"/>
        <v>Accepted</v>
      </c>
      <c r="S3157" t="str">
        <f t="shared" si="1292"/>
        <v>Approved</v>
      </c>
      <c r="T3157" t="str">
        <f t="shared" si="1293"/>
        <v>10.20.8.188</v>
      </c>
      <c r="U3157" t="str">
        <f t="shared" si="1294"/>
        <v>AZRAD UMAR BIN SHAARI</v>
      </c>
      <c r="V3157" t="str">
        <f t="shared" si="1295"/>
        <v>FARHANA BINTI MUSTAPA</v>
      </c>
      <c r="W3157" t="str">
        <f t="shared" si="1296"/>
        <v>04-08-2020</v>
      </c>
      <c r="X3157" t="str">
        <f t="shared" si="1297"/>
        <v>RAZIMAH ANSAR AHMAD</v>
      </c>
      <c r="Y3157" t="str">
        <f t="shared" si="1298"/>
        <v>04-08-2020</v>
      </c>
      <c r="Z3157" t="str">
        <f>"COS10200804 5997"</f>
        <v>COS10200804 5997</v>
      </c>
    </row>
    <row r="3158" spans="1:26" x14ac:dyDescent="0.25">
      <c r="A3158" t="str">
        <f t="shared" si="1305"/>
        <v>04-08-2020 12:58:13</v>
      </c>
      <c r="B3158" t="str">
        <f>"0000807786"</f>
        <v>0000807786</v>
      </c>
      <c r="C3158" t="str">
        <f t="shared" si="1306"/>
        <v>0000807590</v>
      </c>
      <c r="D3158" t="str">
        <f t="shared" si="1286"/>
        <v>73185</v>
      </c>
      <c r="E3158" t="str">
        <f t="shared" si="1287"/>
        <v>KFH-OPERATIONS DEPARTMENT</v>
      </c>
      <c r="F3158" t="str">
        <f t="shared" si="1288"/>
        <v>IBG</v>
      </c>
      <c r="G3158" t="str">
        <f t="shared" si="1303"/>
        <v>Refund COSHARE 10</v>
      </c>
      <c r="H3158" s="2">
        <v>240</v>
      </c>
      <c r="I3158" t="str">
        <f>"MUHAMAD NIZAM BIN KARIM"</f>
        <v>MUHAMAD NIZAM BIN KARIM</v>
      </c>
      <c r="J3158" t="str">
        <f t="shared" si="1304"/>
        <v>MAYBANK / MAYBANK ISLAMIC</v>
      </c>
      <c r="K3158" t="str">
        <f>"101169138878"</f>
        <v>101169138878</v>
      </c>
      <c r="L3158" t="str">
        <f t="shared" si="1301"/>
        <v>04-08-2020</v>
      </c>
      <c r="M3158" t="str">
        <f t="shared" si="1301"/>
        <v>04-08-2020</v>
      </c>
      <c r="N3158" t="str">
        <f t="shared" si="1289"/>
        <v>001105018356</v>
      </c>
      <c r="O3158" t="str">
        <f t="shared" si="1290"/>
        <v>MYR</v>
      </c>
      <c r="P3158" t="str">
        <f t="shared" si="1302"/>
        <v>NIL</v>
      </c>
      <c r="Q3158" t="str">
        <f t="shared" si="1302"/>
        <v>NIL</v>
      </c>
      <c r="R3158" t="str">
        <f t="shared" si="1291"/>
        <v>Accepted</v>
      </c>
      <c r="S3158" t="str">
        <f t="shared" si="1292"/>
        <v>Approved</v>
      </c>
      <c r="T3158" t="str">
        <f t="shared" si="1293"/>
        <v>10.20.8.188</v>
      </c>
      <c r="U3158" t="str">
        <f t="shared" si="1294"/>
        <v>AZRAD UMAR BIN SHAARI</v>
      </c>
      <c r="V3158" t="str">
        <f t="shared" si="1295"/>
        <v>FARHANA BINTI MUSTAPA</v>
      </c>
      <c r="W3158" t="str">
        <f t="shared" si="1296"/>
        <v>04-08-2020</v>
      </c>
      <c r="X3158" t="str">
        <f t="shared" si="1297"/>
        <v>RAZIMAH ANSAR AHMAD</v>
      </c>
      <c r="Y3158" t="str">
        <f t="shared" si="1298"/>
        <v>04-08-2020</v>
      </c>
      <c r="Z3158" t="str">
        <f>"COS10200804 5996"</f>
        <v>COS10200804 5996</v>
      </c>
    </row>
    <row r="3159" spans="1:26" x14ac:dyDescent="0.25">
      <c r="A3159" t="str">
        <f t="shared" si="1305"/>
        <v>04-08-2020 12:58:13</v>
      </c>
      <c r="B3159" t="str">
        <f>"0000807785"</f>
        <v>0000807785</v>
      </c>
      <c r="C3159" t="str">
        <f t="shared" si="1306"/>
        <v>0000807590</v>
      </c>
      <c r="D3159" t="str">
        <f t="shared" si="1286"/>
        <v>73185</v>
      </c>
      <c r="E3159" t="str">
        <f t="shared" si="1287"/>
        <v>KFH-OPERATIONS DEPARTMENT</v>
      </c>
      <c r="F3159" t="str">
        <f t="shared" si="1288"/>
        <v>IBG</v>
      </c>
      <c r="G3159" t="str">
        <f t="shared" si="1303"/>
        <v>Refund COSHARE 10</v>
      </c>
      <c r="H3159" s="2">
        <v>151.15</v>
      </c>
      <c r="I3159" t="str">
        <f>"MUHAMAD MUTAFAH BIN HUSSIN"</f>
        <v>MUHAMAD MUTAFAH BIN HUSSIN</v>
      </c>
      <c r="J3159" t="str">
        <f t="shared" si="1304"/>
        <v>MAYBANK / MAYBANK ISLAMIC</v>
      </c>
      <c r="K3159" t="str">
        <f>"164100267043"</f>
        <v>164100267043</v>
      </c>
      <c r="L3159" t="str">
        <f t="shared" si="1301"/>
        <v>04-08-2020</v>
      </c>
      <c r="M3159" t="str">
        <f t="shared" si="1301"/>
        <v>04-08-2020</v>
      </c>
      <c r="N3159" t="str">
        <f t="shared" si="1289"/>
        <v>001105018356</v>
      </c>
      <c r="O3159" t="str">
        <f t="shared" si="1290"/>
        <v>MYR</v>
      </c>
      <c r="P3159" t="str">
        <f t="shared" si="1302"/>
        <v>NIL</v>
      </c>
      <c r="Q3159" t="str">
        <f t="shared" si="1302"/>
        <v>NIL</v>
      </c>
      <c r="R3159" t="str">
        <f t="shared" si="1291"/>
        <v>Accepted</v>
      </c>
      <c r="S3159" t="str">
        <f t="shared" si="1292"/>
        <v>Approved</v>
      </c>
      <c r="T3159" t="str">
        <f t="shared" si="1293"/>
        <v>10.20.8.188</v>
      </c>
      <c r="U3159" t="str">
        <f t="shared" si="1294"/>
        <v>AZRAD UMAR BIN SHAARI</v>
      </c>
      <c r="V3159" t="str">
        <f t="shared" si="1295"/>
        <v>FARHANA BINTI MUSTAPA</v>
      </c>
      <c r="W3159" t="str">
        <f t="shared" si="1296"/>
        <v>04-08-2020</v>
      </c>
      <c r="X3159" t="str">
        <f t="shared" si="1297"/>
        <v>RAZIMAH ANSAR AHMAD</v>
      </c>
      <c r="Y3159" t="str">
        <f t="shared" si="1298"/>
        <v>04-08-2020</v>
      </c>
      <c r="Z3159" t="str">
        <f>"COS10200804 5995"</f>
        <v>COS10200804 5995</v>
      </c>
    </row>
    <row r="3160" spans="1:26" x14ac:dyDescent="0.25">
      <c r="A3160" t="str">
        <f t="shared" si="1305"/>
        <v>04-08-2020 12:58:13</v>
      </c>
      <c r="B3160" t="str">
        <f>"0000807784"</f>
        <v>0000807784</v>
      </c>
      <c r="C3160" t="str">
        <f t="shared" si="1306"/>
        <v>0000807590</v>
      </c>
      <c r="D3160" t="str">
        <f t="shared" si="1286"/>
        <v>73185</v>
      </c>
      <c r="E3160" t="str">
        <f t="shared" si="1287"/>
        <v>KFH-OPERATIONS DEPARTMENT</v>
      </c>
      <c r="F3160" t="str">
        <f t="shared" si="1288"/>
        <v>IBG</v>
      </c>
      <c r="G3160" t="str">
        <f t="shared" si="1303"/>
        <v>Refund COSHARE 10</v>
      </c>
      <c r="H3160" s="2">
        <v>729</v>
      </c>
      <c r="I3160" t="str">
        <f>"MUHAMAD MUNIFF BIN ALI"</f>
        <v>MUHAMAD MUNIFF BIN ALI</v>
      </c>
      <c r="J3160" t="str">
        <f t="shared" si="1304"/>
        <v>MAYBANK / MAYBANK ISLAMIC</v>
      </c>
      <c r="K3160" t="str">
        <f>"158051382643"</f>
        <v>158051382643</v>
      </c>
      <c r="L3160" t="str">
        <f t="shared" si="1301"/>
        <v>04-08-2020</v>
      </c>
      <c r="M3160" t="str">
        <f t="shared" si="1301"/>
        <v>04-08-2020</v>
      </c>
      <c r="N3160" t="str">
        <f t="shared" si="1289"/>
        <v>001105018356</v>
      </c>
      <c r="O3160" t="str">
        <f t="shared" si="1290"/>
        <v>MYR</v>
      </c>
      <c r="P3160" t="str">
        <f t="shared" si="1302"/>
        <v>NIL</v>
      </c>
      <c r="Q3160" t="str">
        <f t="shared" si="1302"/>
        <v>NIL</v>
      </c>
      <c r="R3160" t="str">
        <f t="shared" si="1291"/>
        <v>Accepted</v>
      </c>
      <c r="S3160" t="str">
        <f t="shared" si="1292"/>
        <v>Approved</v>
      </c>
      <c r="T3160" t="str">
        <f t="shared" si="1293"/>
        <v>10.20.8.188</v>
      </c>
      <c r="U3160" t="str">
        <f t="shared" si="1294"/>
        <v>AZRAD UMAR BIN SHAARI</v>
      </c>
      <c r="V3160" t="str">
        <f t="shared" si="1295"/>
        <v>FARHANA BINTI MUSTAPA</v>
      </c>
      <c r="W3160" t="str">
        <f t="shared" si="1296"/>
        <v>04-08-2020</v>
      </c>
      <c r="X3160" t="str">
        <f t="shared" si="1297"/>
        <v>RAZIMAH ANSAR AHMAD</v>
      </c>
      <c r="Y3160" t="str">
        <f t="shared" si="1298"/>
        <v>04-08-2020</v>
      </c>
      <c r="Z3160" t="str">
        <f>"COS10200804 5994"</f>
        <v>COS10200804 5994</v>
      </c>
    </row>
    <row r="3161" spans="1:26" x14ac:dyDescent="0.25">
      <c r="A3161" t="str">
        <f t="shared" si="1305"/>
        <v>04-08-2020 12:58:13</v>
      </c>
      <c r="B3161" t="str">
        <f>"0000807783"</f>
        <v>0000807783</v>
      </c>
      <c r="C3161" t="str">
        <f t="shared" si="1306"/>
        <v>0000807590</v>
      </c>
      <c r="D3161" t="str">
        <f t="shared" si="1286"/>
        <v>73185</v>
      </c>
      <c r="E3161" t="str">
        <f t="shared" si="1287"/>
        <v>KFH-OPERATIONS DEPARTMENT</v>
      </c>
      <c r="F3161" t="str">
        <f t="shared" si="1288"/>
        <v>IBG</v>
      </c>
      <c r="G3161" t="str">
        <f t="shared" si="1303"/>
        <v>Refund COSHARE 10</v>
      </c>
      <c r="H3161" s="2">
        <v>503.7</v>
      </c>
      <c r="I3161" t="str">
        <f>"MUHAMAD MAZUAN BIN IDRIS"</f>
        <v>MUHAMAD MAZUAN BIN IDRIS</v>
      </c>
      <c r="J3161" t="str">
        <f t="shared" si="1304"/>
        <v>MAYBANK / MAYBANK ISLAMIC</v>
      </c>
      <c r="K3161" t="str">
        <f>"161097102819"</f>
        <v>161097102819</v>
      </c>
      <c r="L3161" t="str">
        <f t="shared" si="1301"/>
        <v>04-08-2020</v>
      </c>
      <c r="M3161" t="str">
        <f t="shared" si="1301"/>
        <v>04-08-2020</v>
      </c>
      <c r="N3161" t="str">
        <f t="shared" si="1289"/>
        <v>001105018356</v>
      </c>
      <c r="O3161" t="str">
        <f t="shared" si="1290"/>
        <v>MYR</v>
      </c>
      <c r="P3161" t="str">
        <f t="shared" si="1302"/>
        <v>NIL</v>
      </c>
      <c r="Q3161" t="str">
        <f t="shared" si="1302"/>
        <v>NIL</v>
      </c>
      <c r="R3161" t="str">
        <f t="shared" si="1291"/>
        <v>Accepted</v>
      </c>
      <c r="S3161" t="str">
        <f t="shared" si="1292"/>
        <v>Approved</v>
      </c>
      <c r="T3161" t="str">
        <f t="shared" si="1293"/>
        <v>10.20.8.188</v>
      </c>
      <c r="U3161" t="str">
        <f t="shared" si="1294"/>
        <v>AZRAD UMAR BIN SHAARI</v>
      </c>
      <c r="V3161" t="str">
        <f t="shared" si="1295"/>
        <v>FARHANA BINTI MUSTAPA</v>
      </c>
      <c r="W3161" t="str">
        <f t="shared" si="1296"/>
        <v>04-08-2020</v>
      </c>
      <c r="X3161" t="str">
        <f t="shared" si="1297"/>
        <v>RAZIMAH ANSAR AHMAD</v>
      </c>
      <c r="Y3161" t="str">
        <f t="shared" si="1298"/>
        <v>04-08-2020</v>
      </c>
      <c r="Z3161" t="str">
        <f>"COS10200804 5993"</f>
        <v>COS10200804 5993</v>
      </c>
    </row>
    <row r="3162" spans="1:26" x14ac:dyDescent="0.25">
      <c r="A3162" t="str">
        <f t="shared" si="1305"/>
        <v>04-08-2020 12:58:13</v>
      </c>
      <c r="B3162" t="str">
        <f>"0000807782"</f>
        <v>0000807782</v>
      </c>
      <c r="C3162" t="str">
        <f t="shared" si="1306"/>
        <v>0000807590</v>
      </c>
      <c r="D3162" t="str">
        <f t="shared" si="1286"/>
        <v>73185</v>
      </c>
      <c r="E3162" t="str">
        <f t="shared" si="1287"/>
        <v>KFH-OPERATIONS DEPARTMENT</v>
      </c>
      <c r="F3162" t="str">
        <f t="shared" si="1288"/>
        <v>IBG</v>
      </c>
      <c r="G3162" t="str">
        <f t="shared" si="1303"/>
        <v>Refund COSHARE 10</v>
      </c>
      <c r="H3162" s="2">
        <v>545.70000000000005</v>
      </c>
      <c r="I3162" t="str">
        <f>"MUHAMAD JEFRI BIN JOHARI"</f>
        <v>MUHAMAD JEFRI BIN JOHARI</v>
      </c>
      <c r="J3162" t="str">
        <f t="shared" si="1304"/>
        <v>MAYBANK / MAYBANK ISLAMIC</v>
      </c>
      <c r="K3162" t="str">
        <f>"112269113659"</f>
        <v>112269113659</v>
      </c>
      <c r="L3162" t="str">
        <f t="shared" si="1301"/>
        <v>04-08-2020</v>
      </c>
      <c r="M3162" t="str">
        <f t="shared" si="1301"/>
        <v>04-08-2020</v>
      </c>
      <c r="N3162" t="str">
        <f t="shared" si="1289"/>
        <v>001105018356</v>
      </c>
      <c r="O3162" t="str">
        <f t="shared" si="1290"/>
        <v>MYR</v>
      </c>
      <c r="P3162" t="str">
        <f t="shared" si="1302"/>
        <v>NIL</v>
      </c>
      <c r="Q3162" t="str">
        <f t="shared" si="1302"/>
        <v>NIL</v>
      </c>
      <c r="R3162" t="str">
        <f t="shared" si="1291"/>
        <v>Accepted</v>
      </c>
      <c r="S3162" t="str">
        <f t="shared" si="1292"/>
        <v>Approved</v>
      </c>
      <c r="T3162" t="str">
        <f t="shared" si="1293"/>
        <v>10.20.8.188</v>
      </c>
      <c r="U3162" t="str">
        <f t="shared" si="1294"/>
        <v>AZRAD UMAR BIN SHAARI</v>
      </c>
      <c r="V3162" t="str">
        <f t="shared" si="1295"/>
        <v>FARHANA BINTI MUSTAPA</v>
      </c>
      <c r="W3162" t="str">
        <f t="shared" si="1296"/>
        <v>04-08-2020</v>
      </c>
      <c r="X3162" t="str">
        <f t="shared" si="1297"/>
        <v>RAZIMAH ANSAR AHMAD</v>
      </c>
      <c r="Y3162" t="str">
        <f t="shared" si="1298"/>
        <v>04-08-2020</v>
      </c>
      <c r="Z3162" t="str">
        <f>"COS10200804 5992"</f>
        <v>COS10200804 5992</v>
      </c>
    </row>
    <row r="3163" spans="1:26" x14ac:dyDescent="0.25">
      <c r="A3163" t="str">
        <f t="shared" si="1305"/>
        <v>04-08-2020 12:58:13</v>
      </c>
      <c r="B3163" t="str">
        <f>"0000807781"</f>
        <v>0000807781</v>
      </c>
      <c r="C3163" t="str">
        <f t="shared" si="1306"/>
        <v>0000807590</v>
      </c>
      <c r="D3163" t="str">
        <f t="shared" si="1286"/>
        <v>73185</v>
      </c>
      <c r="E3163" t="str">
        <f t="shared" si="1287"/>
        <v>KFH-OPERATIONS DEPARTMENT</v>
      </c>
      <c r="F3163" t="str">
        <f t="shared" si="1288"/>
        <v>IBG</v>
      </c>
      <c r="G3163" t="str">
        <f t="shared" si="1303"/>
        <v>Refund COSHARE 10</v>
      </c>
      <c r="H3163" s="2">
        <v>587.65</v>
      </c>
      <c r="I3163" t="str">
        <f>"MUHAMAD IZHAM BIN ABD SHUKOR"</f>
        <v>MUHAMAD IZHAM BIN ABD SHUKOR</v>
      </c>
      <c r="J3163" t="str">
        <f t="shared" si="1304"/>
        <v>MAYBANK / MAYBANK ISLAMIC</v>
      </c>
      <c r="K3163" t="str">
        <f>"155126956042"</f>
        <v>155126956042</v>
      </c>
      <c r="L3163" t="str">
        <f t="shared" si="1301"/>
        <v>04-08-2020</v>
      </c>
      <c r="M3163" t="str">
        <f t="shared" si="1301"/>
        <v>04-08-2020</v>
      </c>
      <c r="N3163" t="str">
        <f t="shared" si="1289"/>
        <v>001105018356</v>
      </c>
      <c r="O3163" t="str">
        <f t="shared" si="1290"/>
        <v>MYR</v>
      </c>
      <c r="P3163" t="str">
        <f t="shared" si="1302"/>
        <v>NIL</v>
      </c>
      <c r="Q3163" t="str">
        <f t="shared" si="1302"/>
        <v>NIL</v>
      </c>
      <c r="R3163" t="str">
        <f t="shared" si="1291"/>
        <v>Accepted</v>
      </c>
      <c r="S3163" t="str">
        <f t="shared" si="1292"/>
        <v>Approved</v>
      </c>
      <c r="T3163" t="str">
        <f t="shared" si="1293"/>
        <v>10.20.8.188</v>
      </c>
      <c r="U3163" t="str">
        <f t="shared" si="1294"/>
        <v>AZRAD UMAR BIN SHAARI</v>
      </c>
      <c r="V3163" t="str">
        <f t="shared" si="1295"/>
        <v>FARHANA BINTI MUSTAPA</v>
      </c>
      <c r="W3163" t="str">
        <f t="shared" si="1296"/>
        <v>04-08-2020</v>
      </c>
      <c r="X3163" t="str">
        <f t="shared" si="1297"/>
        <v>RAZIMAH ANSAR AHMAD</v>
      </c>
      <c r="Y3163" t="str">
        <f t="shared" si="1298"/>
        <v>04-08-2020</v>
      </c>
      <c r="Z3163" t="str">
        <f>"COS10200804 5991"</f>
        <v>COS10200804 5991</v>
      </c>
    </row>
    <row r="3164" spans="1:26" x14ac:dyDescent="0.25">
      <c r="A3164" t="str">
        <f t="shared" si="1305"/>
        <v>04-08-2020 12:58:13</v>
      </c>
      <c r="B3164" t="str">
        <f>"0000807780"</f>
        <v>0000807780</v>
      </c>
      <c r="C3164" t="str">
        <f t="shared" si="1306"/>
        <v>0000807590</v>
      </c>
      <c r="D3164" t="str">
        <f t="shared" si="1286"/>
        <v>73185</v>
      </c>
      <c r="E3164" t="str">
        <f t="shared" si="1287"/>
        <v>KFH-OPERATIONS DEPARTMENT</v>
      </c>
      <c r="F3164" t="str">
        <f t="shared" si="1288"/>
        <v>IBG</v>
      </c>
      <c r="G3164" t="str">
        <f t="shared" si="1303"/>
        <v>Refund COSHARE 10</v>
      </c>
      <c r="H3164" s="2">
        <v>251.85</v>
      </c>
      <c r="I3164" t="str">
        <f>"MUHAMAD HISYAM BIN IBRAHIM"</f>
        <v>MUHAMAD HISYAM BIN IBRAHIM</v>
      </c>
      <c r="J3164" t="str">
        <f t="shared" si="1304"/>
        <v>MAYBANK / MAYBANK ISLAMIC</v>
      </c>
      <c r="K3164" t="str">
        <f>"101058191883"</f>
        <v>101058191883</v>
      </c>
      <c r="L3164" t="str">
        <f t="shared" si="1301"/>
        <v>04-08-2020</v>
      </c>
      <c r="M3164" t="str">
        <f t="shared" si="1301"/>
        <v>04-08-2020</v>
      </c>
      <c r="N3164" t="str">
        <f t="shared" si="1289"/>
        <v>001105018356</v>
      </c>
      <c r="O3164" t="str">
        <f t="shared" si="1290"/>
        <v>MYR</v>
      </c>
      <c r="P3164" t="str">
        <f t="shared" si="1302"/>
        <v>NIL</v>
      </c>
      <c r="Q3164" t="str">
        <f t="shared" si="1302"/>
        <v>NIL</v>
      </c>
      <c r="R3164" t="str">
        <f t="shared" si="1291"/>
        <v>Accepted</v>
      </c>
      <c r="S3164" t="str">
        <f t="shared" si="1292"/>
        <v>Approved</v>
      </c>
      <c r="T3164" t="str">
        <f t="shared" si="1293"/>
        <v>10.20.8.188</v>
      </c>
      <c r="U3164" t="str">
        <f t="shared" si="1294"/>
        <v>AZRAD UMAR BIN SHAARI</v>
      </c>
      <c r="V3164" t="str">
        <f t="shared" si="1295"/>
        <v>FARHANA BINTI MUSTAPA</v>
      </c>
      <c r="W3164" t="str">
        <f t="shared" si="1296"/>
        <v>04-08-2020</v>
      </c>
      <c r="X3164" t="str">
        <f t="shared" si="1297"/>
        <v>RAZIMAH ANSAR AHMAD</v>
      </c>
      <c r="Y3164" t="str">
        <f t="shared" si="1298"/>
        <v>04-08-2020</v>
      </c>
      <c r="Z3164" t="str">
        <f>"COS10200804 5990"</f>
        <v>COS10200804 5990</v>
      </c>
    </row>
    <row r="3165" spans="1:26" x14ac:dyDescent="0.25">
      <c r="A3165" t="str">
        <f t="shared" si="1305"/>
        <v>04-08-2020 12:58:13</v>
      </c>
      <c r="B3165" t="str">
        <f>"0000807779"</f>
        <v>0000807779</v>
      </c>
      <c r="C3165" t="str">
        <f t="shared" si="1306"/>
        <v>0000807590</v>
      </c>
      <c r="D3165" t="str">
        <f t="shared" si="1286"/>
        <v>73185</v>
      </c>
      <c r="E3165" t="str">
        <f t="shared" si="1287"/>
        <v>KFH-OPERATIONS DEPARTMENT</v>
      </c>
      <c r="F3165" t="str">
        <f t="shared" si="1288"/>
        <v>IBG</v>
      </c>
      <c r="G3165" t="str">
        <f t="shared" si="1303"/>
        <v>Refund COSHARE 10</v>
      </c>
      <c r="H3165" s="2">
        <v>307</v>
      </c>
      <c r="I3165" t="str">
        <f>"MUHAMAD HAZLI BIN HARUN"</f>
        <v>MUHAMAD HAZLI BIN HARUN</v>
      </c>
      <c r="J3165" t="str">
        <f t="shared" si="1304"/>
        <v>MAYBANK / MAYBANK ISLAMIC</v>
      </c>
      <c r="K3165" t="str">
        <f>"151017038912"</f>
        <v>151017038912</v>
      </c>
      <c r="L3165" t="str">
        <f t="shared" si="1301"/>
        <v>04-08-2020</v>
      </c>
      <c r="M3165" t="str">
        <f t="shared" si="1301"/>
        <v>04-08-2020</v>
      </c>
      <c r="N3165" t="str">
        <f t="shared" si="1289"/>
        <v>001105018356</v>
      </c>
      <c r="O3165" t="str">
        <f t="shared" si="1290"/>
        <v>MYR</v>
      </c>
      <c r="P3165" t="str">
        <f t="shared" si="1302"/>
        <v>NIL</v>
      </c>
      <c r="Q3165" t="str">
        <f t="shared" si="1302"/>
        <v>NIL</v>
      </c>
      <c r="R3165" t="str">
        <f t="shared" si="1291"/>
        <v>Accepted</v>
      </c>
      <c r="S3165" t="str">
        <f t="shared" si="1292"/>
        <v>Approved</v>
      </c>
      <c r="T3165" t="str">
        <f t="shared" si="1293"/>
        <v>10.20.8.188</v>
      </c>
      <c r="U3165" t="str">
        <f t="shared" si="1294"/>
        <v>AZRAD UMAR BIN SHAARI</v>
      </c>
      <c r="V3165" t="str">
        <f t="shared" si="1295"/>
        <v>FARHANA BINTI MUSTAPA</v>
      </c>
      <c r="W3165" t="str">
        <f t="shared" si="1296"/>
        <v>04-08-2020</v>
      </c>
      <c r="X3165" t="str">
        <f t="shared" si="1297"/>
        <v>RAZIMAH ANSAR AHMAD</v>
      </c>
      <c r="Y3165" t="str">
        <f t="shared" si="1298"/>
        <v>04-08-2020</v>
      </c>
      <c r="Z3165" t="str">
        <f>"COS10200804 5989"</f>
        <v>COS10200804 5989</v>
      </c>
    </row>
    <row r="3166" spans="1:26" x14ac:dyDescent="0.25">
      <c r="A3166" t="str">
        <f t="shared" si="1305"/>
        <v>04-08-2020 12:58:13</v>
      </c>
      <c r="B3166" t="str">
        <f>"0000807778"</f>
        <v>0000807778</v>
      </c>
      <c r="C3166" t="str">
        <f t="shared" si="1306"/>
        <v>0000807590</v>
      </c>
      <c r="D3166" t="str">
        <f t="shared" si="1286"/>
        <v>73185</v>
      </c>
      <c r="E3166" t="str">
        <f t="shared" si="1287"/>
        <v>KFH-OPERATIONS DEPARTMENT</v>
      </c>
      <c r="F3166" t="str">
        <f t="shared" si="1288"/>
        <v>IBG</v>
      </c>
      <c r="G3166" t="str">
        <f t="shared" si="1303"/>
        <v>Refund COSHARE 10</v>
      </c>
      <c r="H3166" s="2">
        <v>205.1</v>
      </c>
      <c r="I3166" t="str">
        <f>"MUHAMAD HASBULAH BIN WAHAB"</f>
        <v>MUHAMAD HASBULAH BIN WAHAB</v>
      </c>
      <c r="J3166" t="str">
        <f t="shared" si="1304"/>
        <v>MAYBANK / MAYBANK ISLAMIC</v>
      </c>
      <c r="K3166" t="str">
        <f>"111114051760"</f>
        <v>111114051760</v>
      </c>
      <c r="L3166" t="str">
        <f t="shared" si="1301"/>
        <v>04-08-2020</v>
      </c>
      <c r="M3166" t="str">
        <f t="shared" si="1301"/>
        <v>04-08-2020</v>
      </c>
      <c r="N3166" t="str">
        <f t="shared" si="1289"/>
        <v>001105018356</v>
      </c>
      <c r="O3166" t="str">
        <f t="shared" si="1290"/>
        <v>MYR</v>
      </c>
      <c r="P3166" t="str">
        <f t="shared" si="1302"/>
        <v>NIL</v>
      </c>
      <c r="Q3166" t="str">
        <f t="shared" si="1302"/>
        <v>NIL</v>
      </c>
      <c r="R3166" t="str">
        <f t="shared" si="1291"/>
        <v>Accepted</v>
      </c>
      <c r="S3166" t="str">
        <f t="shared" si="1292"/>
        <v>Approved</v>
      </c>
      <c r="T3166" t="str">
        <f t="shared" si="1293"/>
        <v>10.20.8.188</v>
      </c>
      <c r="U3166" t="str">
        <f t="shared" si="1294"/>
        <v>AZRAD UMAR BIN SHAARI</v>
      </c>
      <c r="V3166" t="str">
        <f t="shared" si="1295"/>
        <v>FARHANA BINTI MUSTAPA</v>
      </c>
      <c r="W3166" t="str">
        <f t="shared" si="1296"/>
        <v>04-08-2020</v>
      </c>
      <c r="X3166" t="str">
        <f t="shared" si="1297"/>
        <v>RAZIMAH ANSAR AHMAD</v>
      </c>
      <c r="Y3166" t="str">
        <f t="shared" si="1298"/>
        <v>04-08-2020</v>
      </c>
      <c r="Z3166" t="str">
        <f>"COS10200804 5988"</f>
        <v>COS10200804 5988</v>
      </c>
    </row>
    <row r="3167" spans="1:26" x14ac:dyDescent="0.25">
      <c r="A3167" t="str">
        <f t="shared" si="1305"/>
        <v>04-08-2020 12:58:13</v>
      </c>
      <c r="B3167" t="str">
        <f>"0000807777"</f>
        <v>0000807777</v>
      </c>
      <c r="C3167" t="str">
        <f t="shared" si="1306"/>
        <v>0000807590</v>
      </c>
      <c r="D3167" t="str">
        <f t="shared" si="1286"/>
        <v>73185</v>
      </c>
      <c r="E3167" t="str">
        <f t="shared" si="1287"/>
        <v>KFH-OPERATIONS DEPARTMENT</v>
      </c>
      <c r="F3167" t="str">
        <f t="shared" si="1288"/>
        <v>IBG</v>
      </c>
      <c r="G3167" t="str">
        <f t="shared" si="1303"/>
        <v>Refund COSHARE 10</v>
      </c>
      <c r="H3167" s="2">
        <v>251.85</v>
      </c>
      <c r="I3167" t="str">
        <f>"MUHAMAD HANIS BIN SAMSUDDIN"</f>
        <v>MUHAMAD HANIS BIN SAMSUDDIN</v>
      </c>
      <c r="J3167" t="str">
        <f t="shared" si="1304"/>
        <v>MAYBANK / MAYBANK ISLAMIC</v>
      </c>
      <c r="K3167" t="str">
        <f>"153010413493"</f>
        <v>153010413493</v>
      </c>
      <c r="L3167" t="str">
        <f t="shared" ref="L3167:M3186" si="1307">"04-08-2020"</f>
        <v>04-08-2020</v>
      </c>
      <c r="M3167" t="str">
        <f t="shared" si="1307"/>
        <v>04-08-2020</v>
      </c>
      <c r="N3167" t="str">
        <f t="shared" si="1289"/>
        <v>001105018356</v>
      </c>
      <c r="O3167" t="str">
        <f t="shared" si="1290"/>
        <v>MYR</v>
      </c>
      <c r="P3167" t="str">
        <f t="shared" ref="P3167:Q3186" si="1308">"NIL"</f>
        <v>NIL</v>
      </c>
      <c r="Q3167" t="str">
        <f t="shared" si="1308"/>
        <v>NIL</v>
      </c>
      <c r="R3167" t="str">
        <f t="shared" si="1291"/>
        <v>Accepted</v>
      </c>
      <c r="S3167" t="str">
        <f t="shared" si="1292"/>
        <v>Approved</v>
      </c>
      <c r="T3167" t="str">
        <f t="shared" si="1293"/>
        <v>10.20.8.188</v>
      </c>
      <c r="U3167" t="str">
        <f t="shared" si="1294"/>
        <v>AZRAD UMAR BIN SHAARI</v>
      </c>
      <c r="V3167" t="str">
        <f t="shared" si="1295"/>
        <v>FARHANA BINTI MUSTAPA</v>
      </c>
      <c r="W3167" t="str">
        <f t="shared" si="1296"/>
        <v>04-08-2020</v>
      </c>
      <c r="X3167" t="str">
        <f t="shared" si="1297"/>
        <v>RAZIMAH ANSAR AHMAD</v>
      </c>
      <c r="Y3167" t="str">
        <f t="shared" si="1298"/>
        <v>04-08-2020</v>
      </c>
      <c r="Z3167" t="str">
        <f>"COS10200804 5987"</f>
        <v>COS10200804 5987</v>
      </c>
    </row>
    <row r="3168" spans="1:26" x14ac:dyDescent="0.25">
      <c r="A3168" t="str">
        <f t="shared" si="1305"/>
        <v>04-08-2020 12:58:13</v>
      </c>
      <c r="B3168" t="str">
        <f>"0000807776"</f>
        <v>0000807776</v>
      </c>
      <c r="C3168" t="str">
        <f t="shared" si="1306"/>
        <v>0000807590</v>
      </c>
      <c r="D3168" t="str">
        <f t="shared" si="1286"/>
        <v>73185</v>
      </c>
      <c r="E3168" t="str">
        <f t="shared" si="1287"/>
        <v>KFH-OPERATIONS DEPARTMENT</v>
      </c>
      <c r="F3168" t="str">
        <f t="shared" si="1288"/>
        <v>IBG</v>
      </c>
      <c r="G3168" t="str">
        <f t="shared" si="1303"/>
        <v>Refund COSHARE 10</v>
      </c>
      <c r="H3168" s="2">
        <v>335.8</v>
      </c>
      <c r="I3168" t="str">
        <f>"MUHAMAD HAFIZAM BIN ZAHARIE"</f>
        <v>MUHAMAD HAFIZAM BIN ZAHARIE</v>
      </c>
      <c r="J3168" t="str">
        <f t="shared" si="1304"/>
        <v>MAYBANK / MAYBANK ISLAMIC</v>
      </c>
      <c r="K3168" t="str">
        <f>"158051429595"</f>
        <v>158051429595</v>
      </c>
      <c r="L3168" t="str">
        <f t="shared" si="1307"/>
        <v>04-08-2020</v>
      </c>
      <c r="M3168" t="str">
        <f t="shared" si="1307"/>
        <v>04-08-2020</v>
      </c>
      <c r="N3168" t="str">
        <f t="shared" si="1289"/>
        <v>001105018356</v>
      </c>
      <c r="O3168" t="str">
        <f t="shared" si="1290"/>
        <v>MYR</v>
      </c>
      <c r="P3168" t="str">
        <f t="shared" si="1308"/>
        <v>NIL</v>
      </c>
      <c r="Q3168" t="str">
        <f t="shared" si="1308"/>
        <v>NIL</v>
      </c>
      <c r="R3168" t="str">
        <f t="shared" si="1291"/>
        <v>Accepted</v>
      </c>
      <c r="S3168" t="str">
        <f t="shared" si="1292"/>
        <v>Approved</v>
      </c>
      <c r="T3168" t="str">
        <f t="shared" si="1293"/>
        <v>10.20.8.188</v>
      </c>
      <c r="U3168" t="str">
        <f t="shared" si="1294"/>
        <v>AZRAD UMAR BIN SHAARI</v>
      </c>
      <c r="V3168" t="str">
        <f t="shared" si="1295"/>
        <v>FARHANA BINTI MUSTAPA</v>
      </c>
      <c r="W3168" t="str">
        <f t="shared" si="1296"/>
        <v>04-08-2020</v>
      </c>
      <c r="X3168" t="str">
        <f t="shared" si="1297"/>
        <v>RAZIMAH ANSAR AHMAD</v>
      </c>
      <c r="Y3168" t="str">
        <f t="shared" si="1298"/>
        <v>04-08-2020</v>
      </c>
      <c r="Z3168" t="str">
        <f>"COS10200804 5986"</f>
        <v>COS10200804 5986</v>
      </c>
    </row>
    <row r="3169" spans="1:26" x14ac:dyDescent="0.25">
      <c r="A3169" t="str">
        <f t="shared" si="1305"/>
        <v>04-08-2020 12:58:13</v>
      </c>
      <c r="B3169" t="str">
        <f>"0000807775"</f>
        <v>0000807775</v>
      </c>
      <c r="C3169" t="str">
        <f t="shared" si="1306"/>
        <v>0000807590</v>
      </c>
      <c r="D3169" t="str">
        <f t="shared" si="1286"/>
        <v>73185</v>
      </c>
      <c r="E3169" t="str">
        <f t="shared" si="1287"/>
        <v>KFH-OPERATIONS DEPARTMENT</v>
      </c>
      <c r="F3169" t="str">
        <f t="shared" si="1288"/>
        <v>IBG</v>
      </c>
      <c r="G3169" t="str">
        <f t="shared" si="1303"/>
        <v>Refund COSHARE 10</v>
      </c>
      <c r="H3169" s="2">
        <v>646.45000000000005</v>
      </c>
      <c r="I3169" t="str">
        <f>"MUHAMAD HAFIZ BIN WAHI ANUAR"</f>
        <v>MUHAMAD HAFIZ BIN WAHI ANUAR</v>
      </c>
      <c r="J3169" t="str">
        <f t="shared" si="1304"/>
        <v>MAYBANK / MAYBANK ISLAMIC</v>
      </c>
      <c r="K3169" t="str">
        <f>"162143178010"</f>
        <v>162143178010</v>
      </c>
      <c r="L3169" t="str">
        <f t="shared" si="1307"/>
        <v>04-08-2020</v>
      </c>
      <c r="M3169" t="str">
        <f t="shared" si="1307"/>
        <v>04-08-2020</v>
      </c>
      <c r="N3169" t="str">
        <f t="shared" si="1289"/>
        <v>001105018356</v>
      </c>
      <c r="O3169" t="str">
        <f t="shared" si="1290"/>
        <v>MYR</v>
      </c>
      <c r="P3169" t="str">
        <f t="shared" si="1308"/>
        <v>NIL</v>
      </c>
      <c r="Q3169" t="str">
        <f t="shared" si="1308"/>
        <v>NIL</v>
      </c>
      <c r="R3169" t="str">
        <f t="shared" si="1291"/>
        <v>Accepted</v>
      </c>
      <c r="S3169" t="str">
        <f t="shared" si="1292"/>
        <v>Approved</v>
      </c>
      <c r="T3169" t="str">
        <f t="shared" si="1293"/>
        <v>10.20.8.188</v>
      </c>
      <c r="U3169" t="str">
        <f t="shared" si="1294"/>
        <v>AZRAD UMAR BIN SHAARI</v>
      </c>
      <c r="V3169" t="str">
        <f t="shared" si="1295"/>
        <v>FARHANA BINTI MUSTAPA</v>
      </c>
      <c r="W3169" t="str">
        <f t="shared" si="1296"/>
        <v>04-08-2020</v>
      </c>
      <c r="X3169" t="str">
        <f t="shared" si="1297"/>
        <v>RAZIMAH ANSAR AHMAD</v>
      </c>
      <c r="Y3169" t="str">
        <f t="shared" si="1298"/>
        <v>04-08-2020</v>
      </c>
      <c r="Z3169" t="str">
        <f>"COS10200804 5985"</f>
        <v>COS10200804 5985</v>
      </c>
    </row>
    <row r="3170" spans="1:26" x14ac:dyDescent="0.25">
      <c r="A3170" t="str">
        <f t="shared" si="1305"/>
        <v>04-08-2020 12:58:13</v>
      </c>
      <c r="B3170" t="str">
        <f>"0000807774"</f>
        <v>0000807774</v>
      </c>
      <c r="C3170" t="str">
        <f t="shared" si="1306"/>
        <v>0000807590</v>
      </c>
      <c r="D3170" t="str">
        <f t="shared" si="1286"/>
        <v>73185</v>
      </c>
      <c r="E3170" t="str">
        <f t="shared" si="1287"/>
        <v>KFH-OPERATIONS DEPARTMENT</v>
      </c>
      <c r="F3170" t="str">
        <f t="shared" si="1288"/>
        <v>IBG</v>
      </c>
      <c r="G3170" t="str">
        <f t="shared" si="1303"/>
        <v>Refund COSHARE 10</v>
      </c>
      <c r="H3170" s="2">
        <v>570.85</v>
      </c>
      <c r="I3170" t="str">
        <f>"MUHAMAD HADRI BIN RAZAK"</f>
        <v>MUHAMAD HADRI BIN RAZAK</v>
      </c>
      <c r="J3170" t="str">
        <f t="shared" si="1304"/>
        <v>MAYBANK / MAYBANK ISLAMIC</v>
      </c>
      <c r="K3170" t="str">
        <f>"104022887872"</f>
        <v>104022887872</v>
      </c>
      <c r="L3170" t="str">
        <f t="shared" si="1307"/>
        <v>04-08-2020</v>
      </c>
      <c r="M3170" t="str">
        <f t="shared" si="1307"/>
        <v>04-08-2020</v>
      </c>
      <c r="N3170" t="str">
        <f t="shared" si="1289"/>
        <v>001105018356</v>
      </c>
      <c r="O3170" t="str">
        <f t="shared" si="1290"/>
        <v>MYR</v>
      </c>
      <c r="P3170" t="str">
        <f t="shared" si="1308"/>
        <v>NIL</v>
      </c>
      <c r="Q3170" t="str">
        <f t="shared" si="1308"/>
        <v>NIL</v>
      </c>
      <c r="R3170" t="str">
        <f t="shared" si="1291"/>
        <v>Accepted</v>
      </c>
      <c r="S3170" t="str">
        <f t="shared" si="1292"/>
        <v>Approved</v>
      </c>
      <c r="T3170" t="str">
        <f t="shared" si="1293"/>
        <v>10.20.8.188</v>
      </c>
      <c r="U3170" t="str">
        <f t="shared" si="1294"/>
        <v>AZRAD UMAR BIN SHAARI</v>
      </c>
      <c r="V3170" t="str">
        <f t="shared" si="1295"/>
        <v>FARHANA BINTI MUSTAPA</v>
      </c>
      <c r="W3170" t="str">
        <f t="shared" si="1296"/>
        <v>04-08-2020</v>
      </c>
      <c r="X3170" t="str">
        <f t="shared" si="1297"/>
        <v>RAZIMAH ANSAR AHMAD</v>
      </c>
      <c r="Y3170" t="str">
        <f t="shared" si="1298"/>
        <v>04-08-2020</v>
      </c>
      <c r="Z3170" t="str">
        <f>"COS10200804 5984"</f>
        <v>COS10200804 5984</v>
      </c>
    </row>
    <row r="3171" spans="1:26" x14ac:dyDescent="0.25">
      <c r="A3171" t="str">
        <f t="shared" si="1305"/>
        <v>04-08-2020 12:58:13</v>
      </c>
      <c r="B3171" t="str">
        <f>"0000807773"</f>
        <v>0000807773</v>
      </c>
      <c r="C3171" t="str">
        <f t="shared" si="1306"/>
        <v>0000807590</v>
      </c>
      <c r="D3171" t="str">
        <f t="shared" si="1286"/>
        <v>73185</v>
      </c>
      <c r="E3171" t="str">
        <f t="shared" si="1287"/>
        <v>KFH-OPERATIONS DEPARTMENT</v>
      </c>
      <c r="F3171" t="str">
        <f t="shared" si="1288"/>
        <v>IBG</v>
      </c>
      <c r="G3171" t="str">
        <f t="shared" si="1303"/>
        <v>Refund COSHARE 10</v>
      </c>
      <c r="H3171" s="2">
        <v>545.70000000000005</v>
      </c>
      <c r="I3171" t="str">
        <f>"MUHAMAD FIRDAUS BIN AZARAI"</f>
        <v>MUHAMAD FIRDAUS BIN AZARAI</v>
      </c>
      <c r="J3171" t="str">
        <f t="shared" si="1304"/>
        <v>MAYBANK / MAYBANK ISLAMIC</v>
      </c>
      <c r="K3171" t="str">
        <f>"112269091215"</f>
        <v>112269091215</v>
      </c>
      <c r="L3171" t="str">
        <f t="shared" si="1307"/>
        <v>04-08-2020</v>
      </c>
      <c r="M3171" t="str">
        <f t="shared" si="1307"/>
        <v>04-08-2020</v>
      </c>
      <c r="N3171" t="str">
        <f t="shared" si="1289"/>
        <v>001105018356</v>
      </c>
      <c r="O3171" t="str">
        <f t="shared" si="1290"/>
        <v>MYR</v>
      </c>
      <c r="P3171" t="str">
        <f t="shared" si="1308"/>
        <v>NIL</v>
      </c>
      <c r="Q3171" t="str">
        <f t="shared" si="1308"/>
        <v>NIL</v>
      </c>
      <c r="R3171" t="str">
        <f t="shared" si="1291"/>
        <v>Accepted</v>
      </c>
      <c r="S3171" t="str">
        <f t="shared" si="1292"/>
        <v>Approved</v>
      </c>
      <c r="T3171" t="str">
        <f t="shared" si="1293"/>
        <v>10.20.8.188</v>
      </c>
      <c r="U3171" t="str">
        <f t="shared" si="1294"/>
        <v>AZRAD UMAR BIN SHAARI</v>
      </c>
      <c r="V3171" t="str">
        <f t="shared" si="1295"/>
        <v>FARHANA BINTI MUSTAPA</v>
      </c>
      <c r="W3171" t="str">
        <f t="shared" si="1296"/>
        <v>04-08-2020</v>
      </c>
      <c r="X3171" t="str">
        <f t="shared" si="1297"/>
        <v>RAZIMAH ANSAR AHMAD</v>
      </c>
      <c r="Y3171" t="str">
        <f t="shared" si="1298"/>
        <v>04-08-2020</v>
      </c>
      <c r="Z3171" t="str">
        <f>"COS10200804 5983"</f>
        <v>COS10200804 5983</v>
      </c>
    </row>
    <row r="3172" spans="1:26" x14ac:dyDescent="0.25">
      <c r="A3172" t="str">
        <f t="shared" si="1305"/>
        <v>04-08-2020 12:58:13</v>
      </c>
      <c r="B3172" t="str">
        <f>"0000807772"</f>
        <v>0000807772</v>
      </c>
      <c r="C3172" t="str">
        <f t="shared" si="1306"/>
        <v>0000807590</v>
      </c>
      <c r="D3172" t="str">
        <f t="shared" si="1286"/>
        <v>73185</v>
      </c>
      <c r="E3172" t="str">
        <f t="shared" si="1287"/>
        <v>KFH-OPERATIONS DEPARTMENT</v>
      </c>
      <c r="F3172" t="str">
        <f t="shared" si="1288"/>
        <v>IBG</v>
      </c>
      <c r="G3172" t="str">
        <f t="shared" si="1303"/>
        <v>Refund COSHARE 10</v>
      </c>
      <c r="H3172" s="2">
        <v>419.75</v>
      </c>
      <c r="I3172" t="str">
        <f>"MUHAMAD FERDDAUS BIN TAHARUDDIN"</f>
        <v>MUHAMAD FERDDAUS BIN TAHARUDDIN</v>
      </c>
      <c r="J3172" t="str">
        <f t="shared" si="1304"/>
        <v>MAYBANK / MAYBANK ISLAMIC</v>
      </c>
      <c r="K3172" t="str">
        <f>"116015055202"</f>
        <v>116015055202</v>
      </c>
      <c r="L3172" t="str">
        <f t="shared" si="1307"/>
        <v>04-08-2020</v>
      </c>
      <c r="M3172" t="str">
        <f t="shared" si="1307"/>
        <v>04-08-2020</v>
      </c>
      <c r="N3172" t="str">
        <f t="shared" si="1289"/>
        <v>001105018356</v>
      </c>
      <c r="O3172" t="str">
        <f t="shared" si="1290"/>
        <v>MYR</v>
      </c>
      <c r="P3172" t="str">
        <f t="shared" si="1308"/>
        <v>NIL</v>
      </c>
      <c r="Q3172" t="str">
        <f t="shared" si="1308"/>
        <v>NIL</v>
      </c>
      <c r="R3172" t="str">
        <f t="shared" si="1291"/>
        <v>Accepted</v>
      </c>
      <c r="S3172" t="str">
        <f t="shared" si="1292"/>
        <v>Approved</v>
      </c>
      <c r="T3172" t="str">
        <f t="shared" si="1293"/>
        <v>10.20.8.188</v>
      </c>
      <c r="U3172" t="str">
        <f t="shared" si="1294"/>
        <v>AZRAD UMAR BIN SHAARI</v>
      </c>
      <c r="V3172" t="str">
        <f t="shared" si="1295"/>
        <v>FARHANA BINTI MUSTAPA</v>
      </c>
      <c r="W3172" t="str">
        <f t="shared" si="1296"/>
        <v>04-08-2020</v>
      </c>
      <c r="X3172" t="str">
        <f t="shared" si="1297"/>
        <v>RAZIMAH ANSAR AHMAD</v>
      </c>
      <c r="Y3172" t="str">
        <f t="shared" si="1298"/>
        <v>04-08-2020</v>
      </c>
      <c r="Z3172" t="str">
        <f>"COS10200804 5982"</f>
        <v>COS10200804 5982</v>
      </c>
    </row>
    <row r="3173" spans="1:26" x14ac:dyDescent="0.25">
      <c r="A3173" t="str">
        <f t="shared" si="1305"/>
        <v>04-08-2020 12:58:13</v>
      </c>
      <c r="B3173" t="str">
        <f>"0000807771"</f>
        <v>0000807771</v>
      </c>
      <c r="C3173" t="str">
        <f t="shared" si="1306"/>
        <v>0000807590</v>
      </c>
      <c r="D3173" t="str">
        <f t="shared" si="1286"/>
        <v>73185</v>
      </c>
      <c r="E3173" t="str">
        <f t="shared" si="1287"/>
        <v>KFH-OPERATIONS DEPARTMENT</v>
      </c>
      <c r="F3173" t="str">
        <f t="shared" si="1288"/>
        <v>IBG</v>
      </c>
      <c r="G3173" t="str">
        <f t="shared" si="1303"/>
        <v>Refund COSHARE 10</v>
      </c>
      <c r="H3173" s="2">
        <v>167.9</v>
      </c>
      <c r="I3173" t="str">
        <f>"MUHAMAD FAZLI BIN AHMAD  MAT JUNUS"</f>
        <v>MUHAMAD FAZLI BIN AHMAD  MAT JUNUS</v>
      </c>
      <c r="J3173" t="str">
        <f t="shared" si="1304"/>
        <v>MAYBANK / MAYBANK ISLAMIC</v>
      </c>
      <c r="K3173" t="str">
        <f>"158293522956"</f>
        <v>158293522956</v>
      </c>
      <c r="L3173" t="str">
        <f t="shared" si="1307"/>
        <v>04-08-2020</v>
      </c>
      <c r="M3173" t="str">
        <f t="shared" si="1307"/>
        <v>04-08-2020</v>
      </c>
      <c r="N3173" t="str">
        <f t="shared" si="1289"/>
        <v>001105018356</v>
      </c>
      <c r="O3173" t="str">
        <f t="shared" si="1290"/>
        <v>MYR</v>
      </c>
      <c r="P3173" t="str">
        <f t="shared" si="1308"/>
        <v>NIL</v>
      </c>
      <c r="Q3173" t="str">
        <f t="shared" si="1308"/>
        <v>NIL</v>
      </c>
      <c r="R3173" t="str">
        <f t="shared" si="1291"/>
        <v>Accepted</v>
      </c>
      <c r="S3173" t="str">
        <f t="shared" si="1292"/>
        <v>Approved</v>
      </c>
      <c r="T3173" t="str">
        <f t="shared" si="1293"/>
        <v>10.20.8.188</v>
      </c>
      <c r="U3173" t="str">
        <f t="shared" si="1294"/>
        <v>AZRAD UMAR BIN SHAARI</v>
      </c>
      <c r="V3173" t="str">
        <f t="shared" si="1295"/>
        <v>FARHANA BINTI MUSTAPA</v>
      </c>
      <c r="W3173" t="str">
        <f t="shared" si="1296"/>
        <v>04-08-2020</v>
      </c>
      <c r="X3173" t="str">
        <f t="shared" si="1297"/>
        <v>RAZIMAH ANSAR AHMAD</v>
      </c>
      <c r="Y3173" t="str">
        <f t="shared" si="1298"/>
        <v>04-08-2020</v>
      </c>
      <c r="Z3173" t="str">
        <f>"COS10200804 5981"</f>
        <v>COS10200804 5981</v>
      </c>
    </row>
    <row r="3174" spans="1:26" x14ac:dyDescent="0.25">
      <c r="A3174" t="str">
        <f t="shared" si="1305"/>
        <v>04-08-2020 12:58:13</v>
      </c>
      <c r="B3174" t="str">
        <f>"0000807770"</f>
        <v>0000807770</v>
      </c>
      <c r="C3174" t="str">
        <f t="shared" si="1306"/>
        <v>0000807590</v>
      </c>
      <c r="D3174" t="str">
        <f t="shared" si="1286"/>
        <v>73185</v>
      </c>
      <c r="E3174" t="str">
        <f t="shared" si="1287"/>
        <v>KFH-OPERATIONS DEPARTMENT</v>
      </c>
      <c r="F3174" t="str">
        <f t="shared" si="1288"/>
        <v>IBG</v>
      </c>
      <c r="G3174" t="str">
        <f t="shared" si="1303"/>
        <v>Refund COSHARE 10</v>
      </c>
      <c r="H3174" s="2">
        <v>755.55</v>
      </c>
      <c r="I3174" t="str">
        <f>"MUHAMAD FAUZI BIN ISMAIL"</f>
        <v>MUHAMAD FAUZI BIN ISMAIL</v>
      </c>
      <c r="J3174" t="str">
        <f t="shared" si="1304"/>
        <v>MAYBANK / MAYBANK ISLAMIC</v>
      </c>
      <c r="K3174" t="str">
        <f>"162348499376"</f>
        <v>162348499376</v>
      </c>
      <c r="L3174" t="str">
        <f t="shared" si="1307"/>
        <v>04-08-2020</v>
      </c>
      <c r="M3174" t="str">
        <f t="shared" si="1307"/>
        <v>04-08-2020</v>
      </c>
      <c r="N3174" t="str">
        <f t="shared" si="1289"/>
        <v>001105018356</v>
      </c>
      <c r="O3174" t="str">
        <f t="shared" si="1290"/>
        <v>MYR</v>
      </c>
      <c r="P3174" t="str">
        <f t="shared" si="1308"/>
        <v>NIL</v>
      </c>
      <c r="Q3174" t="str">
        <f t="shared" si="1308"/>
        <v>NIL</v>
      </c>
      <c r="R3174" t="str">
        <f t="shared" si="1291"/>
        <v>Accepted</v>
      </c>
      <c r="S3174" t="str">
        <f t="shared" si="1292"/>
        <v>Approved</v>
      </c>
      <c r="T3174" t="str">
        <f t="shared" si="1293"/>
        <v>10.20.8.188</v>
      </c>
      <c r="U3174" t="str">
        <f t="shared" si="1294"/>
        <v>AZRAD UMAR BIN SHAARI</v>
      </c>
      <c r="V3174" t="str">
        <f t="shared" si="1295"/>
        <v>FARHANA BINTI MUSTAPA</v>
      </c>
      <c r="W3174" t="str">
        <f t="shared" si="1296"/>
        <v>04-08-2020</v>
      </c>
      <c r="X3174" t="str">
        <f t="shared" si="1297"/>
        <v>RAZIMAH ANSAR AHMAD</v>
      </c>
      <c r="Y3174" t="str">
        <f t="shared" si="1298"/>
        <v>04-08-2020</v>
      </c>
      <c r="Z3174" t="str">
        <f>"COS10200804 5980"</f>
        <v>COS10200804 5980</v>
      </c>
    </row>
    <row r="3175" spans="1:26" x14ac:dyDescent="0.25">
      <c r="A3175" t="str">
        <f t="shared" si="1305"/>
        <v>04-08-2020 12:58:13</v>
      </c>
      <c r="B3175" t="str">
        <f>"0000807769"</f>
        <v>0000807769</v>
      </c>
      <c r="C3175" t="str">
        <f t="shared" si="1306"/>
        <v>0000807590</v>
      </c>
      <c r="D3175" t="str">
        <f t="shared" si="1286"/>
        <v>73185</v>
      </c>
      <c r="E3175" t="str">
        <f t="shared" si="1287"/>
        <v>KFH-OPERATIONS DEPARTMENT</v>
      </c>
      <c r="F3175" t="str">
        <f t="shared" si="1288"/>
        <v>IBG</v>
      </c>
      <c r="G3175" t="str">
        <f t="shared" si="1303"/>
        <v>Refund COSHARE 10</v>
      </c>
      <c r="H3175" s="2">
        <v>147.35</v>
      </c>
      <c r="I3175" t="str">
        <f>"MUHAMAD FAIZAL BIN SABRI"</f>
        <v>MUHAMAD FAIZAL BIN SABRI</v>
      </c>
      <c r="J3175" t="str">
        <f t="shared" si="1304"/>
        <v>MAYBANK / MAYBANK ISLAMIC</v>
      </c>
      <c r="K3175" t="str">
        <f>"151017113111"</f>
        <v>151017113111</v>
      </c>
      <c r="L3175" t="str">
        <f t="shared" si="1307"/>
        <v>04-08-2020</v>
      </c>
      <c r="M3175" t="str">
        <f t="shared" si="1307"/>
        <v>04-08-2020</v>
      </c>
      <c r="N3175" t="str">
        <f t="shared" si="1289"/>
        <v>001105018356</v>
      </c>
      <c r="O3175" t="str">
        <f t="shared" si="1290"/>
        <v>MYR</v>
      </c>
      <c r="P3175" t="str">
        <f t="shared" si="1308"/>
        <v>NIL</v>
      </c>
      <c r="Q3175" t="str">
        <f t="shared" si="1308"/>
        <v>NIL</v>
      </c>
      <c r="R3175" t="str">
        <f t="shared" si="1291"/>
        <v>Accepted</v>
      </c>
      <c r="S3175" t="str">
        <f t="shared" si="1292"/>
        <v>Approved</v>
      </c>
      <c r="T3175" t="str">
        <f t="shared" si="1293"/>
        <v>10.20.8.188</v>
      </c>
      <c r="U3175" t="str">
        <f t="shared" si="1294"/>
        <v>AZRAD UMAR BIN SHAARI</v>
      </c>
      <c r="V3175" t="str">
        <f t="shared" si="1295"/>
        <v>FARHANA BINTI MUSTAPA</v>
      </c>
      <c r="W3175" t="str">
        <f t="shared" si="1296"/>
        <v>04-08-2020</v>
      </c>
      <c r="X3175" t="str">
        <f t="shared" si="1297"/>
        <v>RAZIMAH ANSAR AHMAD</v>
      </c>
      <c r="Y3175" t="str">
        <f t="shared" si="1298"/>
        <v>04-08-2020</v>
      </c>
      <c r="Z3175" t="str">
        <f>"COS10200804 5979"</f>
        <v>COS10200804 5979</v>
      </c>
    </row>
    <row r="3176" spans="1:26" x14ac:dyDescent="0.25">
      <c r="A3176" t="str">
        <f t="shared" si="1305"/>
        <v>04-08-2020 12:58:13</v>
      </c>
      <c r="B3176" t="str">
        <f>"0000807768"</f>
        <v>0000807768</v>
      </c>
      <c r="C3176" t="str">
        <f t="shared" si="1306"/>
        <v>0000807590</v>
      </c>
      <c r="D3176" t="str">
        <f t="shared" si="1286"/>
        <v>73185</v>
      </c>
      <c r="E3176" t="str">
        <f t="shared" si="1287"/>
        <v>KFH-OPERATIONS DEPARTMENT</v>
      </c>
      <c r="F3176" t="str">
        <f t="shared" si="1288"/>
        <v>IBG</v>
      </c>
      <c r="G3176" t="str">
        <f t="shared" si="1303"/>
        <v>Refund COSHARE 10</v>
      </c>
      <c r="H3176" s="2">
        <v>81.900000000000006</v>
      </c>
      <c r="I3176" t="str">
        <f>"MUHAMAD FAISAL BIN ZAKARIYA"</f>
        <v>MUHAMAD FAISAL BIN ZAKARIYA</v>
      </c>
      <c r="J3176" t="str">
        <f t="shared" si="1304"/>
        <v>MAYBANK / MAYBANK ISLAMIC</v>
      </c>
      <c r="K3176" t="str">
        <f>"102072245999"</f>
        <v>102072245999</v>
      </c>
      <c r="L3176" t="str">
        <f t="shared" si="1307"/>
        <v>04-08-2020</v>
      </c>
      <c r="M3176" t="str">
        <f t="shared" si="1307"/>
        <v>04-08-2020</v>
      </c>
      <c r="N3176" t="str">
        <f t="shared" si="1289"/>
        <v>001105018356</v>
      </c>
      <c r="O3176" t="str">
        <f t="shared" si="1290"/>
        <v>MYR</v>
      </c>
      <c r="P3176" t="str">
        <f t="shared" si="1308"/>
        <v>NIL</v>
      </c>
      <c r="Q3176" t="str">
        <f t="shared" si="1308"/>
        <v>NIL</v>
      </c>
      <c r="R3176" t="str">
        <f t="shared" si="1291"/>
        <v>Accepted</v>
      </c>
      <c r="S3176" t="str">
        <f t="shared" si="1292"/>
        <v>Approved</v>
      </c>
      <c r="T3176" t="str">
        <f t="shared" si="1293"/>
        <v>10.20.8.188</v>
      </c>
      <c r="U3176" t="str">
        <f t="shared" si="1294"/>
        <v>AZRAD UMAR BIN SHAARI</v>
      </c>
      <c r="V3176" t="str">
        <f t="shared" si="1295"/>
        <v>FARHANA BINTI MUSTAPA</v>
      </c>
      <c r="W3176" t="str">
        <f t="shared" si="1296"/>
        <v>04-08-2020</v>
      </c>
      <c r="X3176" t="str">
        <f t="shared" si="1297"/>
        <v>RAZIMAH ANSAR AHMAD</v>
      </c>
      <c r="Y3176" t="str">
        <f t="shared" si="1298"/>
        <v>04-08-2020</v>
      </c>
      <c r="Z3176" t="str">
        <f>"COS10200804 5978"</f>
        <v>COS10200804 5978</v>
      </c>
    </row>
    <row r="3177" spans="1:26" x14ac:dyDescent="0.25">
      <c r="A3177" t="str">
        <f t="shared" si="1305"/>
        <v>04-08-2020 12:58:13</v>
      </c>
      <c r="B3177" t="str">
        <f>"0000807767"</f>
        <v>0000807767</v>
      </c>
      <c r="C3177" t="str">
        <f t="shared" si="1306"/>
        <v>0000807590</v>
      </c>
      <c r="D3177" t="str">
        <f t="shared" si="1286"/>
        <v>73185</v>
      </c>
      <c r="E3177" t="str">
        <f t="shared" si="1287"/>
        <v>KFH-OPERATIONS DEPARTMENT</v>
      </c>
      <c r="F3177" t="str">
        <f t="shared" si="1288"/>
        <v>IBG</v>
      </c>
      <c r="G3177" t="str">
        <f t="shared" si="1303"/>
        <v>Refund COSHARE 10</v>
      </c>
      <c r="H3177" s="2">
        <v>85.2</v>
      </c>
      <c r="I3177" t="str">
        <f>"MUHAMAD BIN AHIM"</f>
        <v>MUHAMAD BIN AHIM</v>
      </c>
      <c r="J3177" t="str">
        <f t="shared" si="1304"/>
        <v>MAYBANK / MAYBANK ISLAMIC</v>
      </c>
      <c r="K3177" t="str">
        <f>"111114083723"</f>
        <v>111114083723</v>
      </c>
      <c r="L3177" t="str">
        <f t="shared" si="1307"/>
        <v>04-08-2020</v>
      </c>
      <c r="M3177" t="str">
        <f t="shared" si="1307"/>
        <v>04-08-2020</v>
      </c>
      <c r="N3177" t="str">
        <f t="shared" si="1289"/>
        <v>001105018356</v>
      </c>
      <c r="O3177" t="str">
        <f t="shared" si="1290"/>
        <v>MYR</v>
      </c>
      <c r="P3177" t="str">
        <f t="shared" si="1308"/>
        <v>NIL</v>
      </c>
      <c r="Q3177" t="str">
        <f t="shared" si="1308"/>
        <v>NIL</v>
      </c>
      <c r="R3177" t="str">
        <f t="shared" si="1291"/>
        <v>Accepted</v>
      </c>
      <c r="S3177" t="str">
        <f t="shared" si="1292"/>
        <v>Approved</v>
      </c>
      <c r="T3177" t="str">
        <f t="shared" si="1293"/>
        <v>10.20.8.188</v>
      </c>
      <c r="U3177" t="str">
        <f t="shared" si="1294"/>
        <v>AZRAD UMAR BIN SHAARI</v>
      </c>
      <c r="V3177" t="str">
        <f t="shared" si="1295"/>
        <v>FARHANA BINTI MUSTAPA</v>
      </c>
      <c r="W3177" t="str">
        <f t="shared" si="1296"/>
        <v>04-08-2020</v>
      </c>
      <c r="X3177" t="str">
        <f t="shared" si="1297"/>
        <v>RAZIMAH ANSAR AHMAD</v>
      </c>
      <c r="Y3177" t="str">
        <f t="shared" si="1298"/>
        <v>04-08-2020</v>
      </c>
      <c r="Z3177" t="str">
        <f>"COS10200804 5977"</f>
        <v>COS10200804 5977</v>
      </c>
    </row>
    <row r="3178" spans="1:26" x14ac:dyDescent="0.25">
      <c r="A3178" t="str">
        <f t="shared" si="1305"/>
        <v>04-08-2020 12:58:13</v>
      </c>
      <c r="B3178" t="str">
        <f>"0000807766"</f>
        <v>0000807766</v>
      </c>
      <c r="C3178" t="str">
        <f t="shared" si="1306"/>
        <v>0000807590</v>
      </c>
      <c r="D3178" t="str">
        <f t="shared" si="1286"/>
        <v>73185</v>
      </c>
      <c r="E3178" t="str">
        <f t="shared" si="1287"/>
        <v>KFH-OPERATIONS DEPARTMENT</v>
      </c>
      <c r="F3178" t="str">
        <f t="shared" si="1288"/>
        <v>IBG</v>
      </c>
      <c r="G3178" t="str">
        <f t="shared" si="1303"/>
        <v>Refund COSHARE 10</v>
      </c>
      <c r="H3178" s="2">
        <v>820</v>
      </c>
      <c r="I3178" t="str">
        <f>"MUHAMAD AZANIZAN BIN MOHAMED"</f>
        <v>MUHAMAD AZANIZAN BIN MOHAMED</v>
      </c>
      <c r="J3178" t="str">
        <f t="shared" si="1304"/>
        <v>MAYBANK / MAYBANK ISLAMIC</v>
      </c>
      <c r="K3178" t="str">
        <f>"153010631257"</f>
        <v>153010631257</v>
      </c>
      <c r="L3178" t="str">
        <f t="shared" si="1307"/>
        <v>04-08-2020</v>
      </c>
      <c r="M3178" t="str">
        <f t="shared" si="1307"/>
        <v>04-08-2020</v>
      </c>
      <c r="N3178" t="str">
        <f t="shared" si="1289"/>
        <v>001105018356</v>
      </c>
      <c r="O3178" t="str">
        <f t="shared" si="1290"/>
        <v>MYR</v>
      </c>
      <c r="P3178" t="str">
        <f t="shared" si="1308"/>
        <v>NIL</v>
      </c>
      <c r="Q3178" t="str">
        <f t="shared" si="1308"/>
        <v>NIL</v>
      </c>
      <c r="R3178" t="str">
        <f t="shared" si="1291"/>
        <v>Accepted</v>
      </c>
      <c r="S3178" t="str">
        <f t="shared" si="1292"/>
        <v>Approved</v>
      </c>
      <c r="T3178" t="str">
        <f t="shared" si="1293"/>
        <v>10.20.8.188</v>
      </c>
      <c r="U3178" t="str">
        <f t="shared" si="1294"/>
        <v>AZRAD UMAR BIN SHAARI</v>
      </c>
      <c r="V3178" t="str">
        <f t="shared" si="1295"/>
        <v>FARHANA BINTI MUSTAPA</v>
      </c>
      <c r="W3178" t="str">
        <f t="shared" si="1296"/>
        <v>04-08-2020</v>
      </c>
      <c r="X3178" t="str">
        <f t="shared" si="1297"/>
        <v>RAZIMAH ANSAR AHMAD</v>
      </c>
      <c r="Y3178" t="str">
        <f t="shared" si="1298"/>
        <v>04-08-2020</v>
      </c>
      <c r="Z3178" t="str">
        <f>"COS10200804 5976"</f>
        <v>COS10200804 5976</v>
      </c>
    </row>
    <row r="3179" spans="1:26" x14ac:dyDescent="0.25">
      <c r="A3179" t="str">
        <f t="shared" si="1305"/>
        <v>04-08-2020 12:58:13</v>
      </c>
      <c r="B3179" t="str">
        <f>"0000807765"</f>
        <v>0000807765</v>
      </c>
      <c r="C3179" t="str">
        <f t="shared" si="1306"/>
        <v>0000807590</v>
      </c>
      <c r="D3179" t="str">
        <f t="shared" si="1286"/>
        <v>73185</v>
      </c>
      <c r="E3179" t="str">
        <f t="shared" si="1287"/>
        <v>KFH-OPERATIONS DEPARTMENT</v>
      </c>
      <c r="F3179" t="str">
        <f t="shared" si="1288"/>
        <v>IBG</v>
      </c>
      <c r="G3179" t="str">
        <f t="shared" si="1303"/>
        <v>Refund COSHARE 10</v>
      </c>
      <c r="H3179" s="2">
        <v>419.75</v>
      </c>
      <c r="I3179" t="str">
        <f>"MUHAMAD ALI BIN ISMAIL"</f>
        <v>MUHAMAD ALI BIN ISMAIL</v>
      </c>
      <c r="J3179" t="str">
        <f t="shared" si="1304"/>
        <v>MAYBANK / MAYBANK ISLAMIC</v>
      </c>
      <c r="K3179" t="str">
        <f>"110031459213"</f>
        <v>110031459213</v>
      </c>
      <c r="L3179" t="str">
        <f t="shared" si="1307"/>
        <v>04-08-2020</v>
      </c>
      <c r="M3179" t="str">
        <f t="shared" si="1307"/>
        <v>04-08-2020</v>
      </c>
      <c r="N3179" t="str">
        <f t="shared" si="1289"/>
        <v>001105018356</v>
      </c>
      <c r="O3179" t="str">
        <f t="shared" si="1290"/>
        <v>MYR</v>
      </c>
      <c r="P3179" t="str">
        <f t="shared" si="1308"/>
        <v>NIL</v>
      </c>
      <c r="Q3179" t="str">
        <f t="shared" si="1308"/>
        <v>NIL</v>
      </c>
      <c r="R3179" t="str">
        <f t="shared" si="1291"/>
        <v>Accepted</v>
      </c>
      <c r="S3179" t="str">
        <f t="shared" si="1292"/>
        <v>Approved</v>
      </c>
      <c r="T3179" t="str">
        <f t="shared" si="1293"/>
        <v>10.20.8.188</v>
      </c>
      <c r="U3179" t="str">
        <f t="shared" si="1294"/>
        <v>AZRAD UMAR BIN SHAARI</v>
      </c>
      <c r="V3179" t="str">
        <f t="shared" si="1295"/>
        <v>FARHANA BINTI MUSTAPA</v>
      </c>
      <c r="W3179" t="str">
        <f t="shared" si="1296"/>
        <v>04-08-2020</v>
      </c>
      <c r="X3179" t="str">
        <f t="shared" si="1297"/>
        <v>RAZIMAH ANSAR AHMAD</v>
      </c>
      <c r="Y3179" t="str">
        <f t="shared" si="1298"/>
        <v>04-08-2020</v>
      </c>
      <c r="Z3179" t="str">
        <f>"COS10200804 5975"</f>
        <v>COS10200804 5975</v>
      </c>
    </row>
    <row r="3180" spans="1:26" x14ac:dyDescent="0.25">
      <c r="A3180" t="str">
        <f t="shared" si="1305"/>
        <v>04-08-2020 12:58:13</v>
      </c>
      <c r="B3180" t="str">
        <f>"0000807764"</f>
        <v>0000807764</v>
      </c>
      <c r="C3180" t="str">
        <f t="shared" si="1306"/>
        <v>0000807590</v>
      </c>
      <c r="D3180" t="str">
        <f t="shared" si="1286"/>
        <v>73185</v>
      </c>
      <c r="E3180" t="str">
        <f t="shared" si="1287"/>
        <v>KFH-OPERATIONS DEPARTMENT</v>
      </c>
      <c r="F3180" t="str">
        <f t="shared" si="1288"/>
        <v>IBG</v>
      </c>
      <c r="G3180" t="str">
        <f t="shared" si="1303"/>
        <v>Refund COSHARE 10</v>
      </c>
      <c r="H3180" s="2">
        <v>79</v>
      </c>
      <c r="I3180" t="str">
        <f>"MUHAINI BINTI MATALI"</f>
        <v>MUHAINI BINTI MATALI</v>
      </c>
      <c r="J3180" t="str">
        <f t="shared" si="1304"/>
        <v>MAYBANK / MAYBANK ISLAMIC</v>
      </c>
      <c r="K3180" t="str">
        <f>"110144155393"</f>
        <v>110144155393</v>
      </c>
      <c r="L3180" t="str">
        <f t="shared" si="1307"/>
        <v>04-08-2020</v>
      </c>
      <c r="M3180" t="str">
        <f t="shared" si="1307"/>
        <v>04-08-2020</v>
      </c>
      <c r="N3180" t="str">
        <f t="shared" si="1289"/>
        <v>001105018356</v>
      </c>
      <c r="O3180" t="str">
        <f t="shared" si="1290"/>
        <v>MYR</v>
      </c>
      <c r="P3180" t="str">
        <f t="shared" si="1308"/>
        <v>NIL</v>
      </c>
      <c r="Q3180" t="str">
        <f t="shared" si="1308"/>
        <v>NIL</v>
      </c>
      <c r="R3180" t="str">
        <f t="shared" si="1291"/>
        <v>Accepted</v>
      </c>
      <c r="S3180" t="str">
        <f t="shared" si="1292"/>
        <v>Approved</v>
      </c>
      <c r="T3180" t="str">
        <f t="shared" si="1293"/>
        <v>10.20.8.188</v>
      </c>
      <c r="U3180" t="str">
        <f t="shared" si="1294"/>
        <v>AZRAD UMAR BIN SHAARI</v>
      </c>
      <c r="V3180" t="str">
        <f t="shared" si="1295"/>
        <v>FARHANA BINTI MUSTAPA</v>
      </c>
      <c r="W3180" t="str">
        <f t="shared" si="1296"/>
        <v>04-08-2020</v>
      </c>
      <c r="X3180" t="str">
        <f t="shared" si="1297"/>
        <v>RAZIMAH ANSAR AHMAD</v>
      </c>
      <c r="Y3180" t="str">
        <f t="shared" si="1298"/>
        <v>04-08-2020</v>
      </c>
      <c r="Z3180" t="str">
        <f>"COS10200804 5974"</f>
        <v>COS10200804 5974</v>
      </c>
    </row>
    <row r="3181" spans="1:26" x14ac:dyDescent="0.25">
      <c r="A3181" t="str">
        <f t="shared" si="1305"/>
        <v>04-08-2020 12:58:13</v>
      </c>
      <c r="B3181" t="str">
        <f>"0000807763"</f>
        <v>0000807763</v>
      </c>
      <c r="C3181" t="str">
        <f t="shared" si="1306"/>
        <v>0000807590</v>
      </c>
      <c r="D3181" t="str">
        <f t="shared" si="1286"/>
        <v>73185</v>
      </c>
      <c r="E3181" t="str">
        <f t="shared" si="1287"/>
        <v>KFH-OPERATIONS DEPARTMENT</v>
      </c>
      <c r="F3181" t="str">
        <f t="shared" si="1288"/>
        <v>IBG</v>
      </c>
      <c r="G3181" t="str">
        <f t="shared" si="1303"/>
        <v>Refund COSHARE 10</v>
      </c>
      <c r="H3181" s="2">
        <v>95.35</v>
      </c>
      <c r="I3181" t="str">
        <f>"MUHAINI BINTI MATALI"</f>
        <v>MUHAINI BINTI MATALI</v>
      </c>
      <c r="J3181" t="str">
        <f t="shared" si="1304"/>
        <v>MAYBANK / MAYBANK ISLAMIC</v>
      </c>
      <c r="K3181" t="str">
        <f>"110144155393"</f>
        <v>110144155393</v>
      </c>
      <c r="L3181" t="str">
        <f t="shared" si="1307"/>
        <v>04-08-2020</v>
      </c>
      <c r="M3181" t="str">
        <f t="shared" si="1307"/>
        <v>04-08-2020</v>
      </c>
      <c r="N3181" t="str">
        <f t="shared" si="1289"/>
        <v>001105018356</v>
      </c>
      <c r="O3181" t="str">
        <f t="shared" si="1290"/>
        <v>MYR</v>
      </c>
      <c r="P3181" t="str">
        <f t="shared" si="1308"/>
        <v>NIL</v>
      </c>
      <c r="Q3181" t="str">
        <f t="shared" si="1308"/>
        <v>NIL</v>
      </c>
      <c r="R3181" t="str">
        <f t="shared" si="1291"/>
        <v>Accepted</v>
      </c>
      <c r="S3181" t="str">
        <f t="shared" si="1292"/>
        <v>Approved</v>
      </c>
      <c r="T3181" t="str">
        <f t="shared" si="1293"/>
        <v>10.20.8.188</v>
      </c>
      <c r="U3181" t="str">
        <f t="shared" si="1294"/>
        <v>AZRAD UMAR BIN SHAARI</v>
      </c>
      <c r="V3181" t="str">
        <f t="shared" si="1295"/>
        <v>FARHANA BINTI MUSTAPA</v>
      </c>
      <c r="W3181" t="str">
        <f t="shared" si="1296"/>
        <v>04-08-2020</v>
      </c>
      <c r="X3181" t="str">
        <f t="shared" si="1297"/>
        <v>RAZIMAH ANSAR AHMAD</v>
      </c>
      <c r="Y3181" t="str">
        <f t="shared" si="1298"/>
        <v>04-08-2020</v>
      </c>
      <c r="Z3181" t="str">
        <f>"COS10200804 5973"</f>
        <v>COS10200804 5973</v>
      </c>
    </row>
    <row r="3182" spans="1:26" x14ac:dyDescent="0.25">
      <c r="A3182" t="str">
        <f t="shared" si="1305"/>
        <v>04-08-2020 12:58:13</v>
      </c>
      <c r="B3182" t="str">
        <f>"0000807762"</f>
        <v>0000807762</v>
      </c>
      <c r="C3182" t="str">
        <f t="shared" si="1306"/>
        <v>0000807590</v>
      </c>
      <c r="D3182" t="str">
        <f t="shared" si="1286"/>
        <v>73185</v>
      </c>
      <c r="E3182" t="str">
        <f t="shared" si="1287"/>
        <v>KFH-OPERATIONS DEPARTMENT</v>
      </c>
      <c r="F3182" t="str">
        <f t="shared" si="1288"/>
        <v>IBG</v>
      </c>
      <c r="G3182" t="str">
        <f t="shared" si="1303"/>
        <v>Refund COSHARE 10</v>
      </c>
      <c r="H3182" s="2">
        <v>275.85000000000002</v>
      </c>
      <c r="I3182" t="str">
        <f>"MUHAINI BINTI ABDUL KARIM"</f>
        <v>MUHAINI BINTI ABDUL KARIM</v>
      </c>
      <c r="J3182" t="str">
        <f t="shared" si="1304"/>
        <v>MAYBANK / MAYBANK ISLAMIC</v>
      </c>
      <c r="K3182" t="str">
        <f>"162124266389"</f>
        <v>162124266389</v>
      </c>
      <c r="L3182" t="str">
        <f t="shared" si="1307"/>
        <v>04-08-2020</v>
      </c>
      <c r="M3182" t="str">
        <f t="shared" si="1307"/>
        <v>04-08-2020</v>
      </c>
      <c r="N3182" t="str">
        <f t="shared" si="1289"/>
        <v>001105018356</v>
      </c>
      <c r="O3182" t="str">
        <f t="shared" si="1290"/>
        <v>MYR</v>
      </c>
      <c r="P3182" t="str">
        <f t="shared" si="1308"/>
        <v>NIL</v>
      </c>
      <c r="Q3182" t="str">
        <f t="shared" si="1308"/>
        <v>NIL</v>
      </c>
      <c r="R3182" t="str">
        <f t="shared" si="1291"/>
        <v>Accepted</v>
      </c>
      <c r="S3182" t="str">
        <f t="shared" si="1292"/>
        <v>Approved</v>
      </c>
      <c r="T3182" t="str">
        <f t="shared" si="1293"/>
        <v>10.20.8.188</v>
      </c>
      <c r="U3182" t="str">
        <f t="shared" si="1294"/>
        <v>AZRAD UMAR BIN SHAARI</v>
      </c>
      <c r="V3182" t="str">
        <f t="shared" si="1295"/>
        <v>FARHANA BINTI MUSTAPA</v>
      </c>
      <c r="W3182" t="str">
        <f t="shared" si="1296"/>
        <v>04-08-2020</v>
      </c>
      <c r="X3182" t="str">
        <f t="shared" si="1297"/>
        <v>RAZIMAH ANSAR AHMAD</v>
      </c>
      <c r="Y3182" t="str">
        <f t="shared" si="1298"/>
        <v>04-08-2020</v>
      </c>
      <c r="Z3182" t="str">
        <f>"COS10200804 5972"</f>
        <v>COS10200804 5972</v>
      </c>
    </row>
    <row r="3183" spans="1:26" x14ac:dyDescent="0.25">
      <c r="A3183" t="str">
        <f t="shared" si="1305"/>
        <v>04-08-2020 12:58:13</v>
      </c>
      <c r="B3183" t="str">
        <f>"0000807761"</f>
        <v>0000807761</v>
      </c>
      <c r="C3183" t="str">
        <f t="shared" si="1306"/>
        <v>0000807590</v>
      </c>
      <c r="D3183" t="str">
        <f t="shared" si="1286"/>
        <v>73185</v>
      </c>
      <c r="E3183" t="str">
        <f t="shared" si="1287"/>
        <v>KFH-OPERATIONS DEPARTMENT</v>
      </c>
      <c r="F3183" t="str">
        <f t="shared" si="1288"/>
        <v>IBG</v>
      </c>
      <c r="G3183" t="str">
        <f t="shared" si="1303"/>
        <v>Refund COSHARE 10</v>
      </c>
      <c r="H3183" s="2">
        <v>887.05</v>
      </c>
      <c r="I3183" t="str">
        <f>"MUFIDAH BINTI MOHAMAD KORDI"</f>
        <v>MUFIDAH BINTI MOHAMAD KORDI</v>
      </c>
      <c r="J3183" t="str">
        <f t="shared" si="1304"/>
        <v>MAYBANK / MAYBANK ISLAMIC</v>
      </c>
      <c r="K3183" t="str">
        <f>"164164847511"</f>
        <v>164164847511</v>
      </c>
      <c r="L3183" t="str">
        <f t="shared" si="1307"/>
        <v>04-08-2020</v>
      </c>
      <c r="M3183" t="str">
        <f t="shared" si="1307"/>
        <v>04-08-2020</v>
      </c>
      <c r="N3183" t="str">
        <f t="shared" si="1289"/>
        <v>001105018356</v>
      </c>
      <c r="O3183" t="str">
        <f t="shared" si="1290"/>
        <v>MYR</v>
      </c>
      <c r="P3183" t="str">
        <f t="shared" si="1308"/>
        <v>NIL</v>
      </c>
      <c r="Q3183" t="str">
        <f t="shared" si="1308"/>
        <v>NIL</v>
      </c>
      <c r="R3183" t="str">
        <f t="shared" si="1291"/>
        <v>Accepted</v>
      </c>
      <c r="S3183" t="str">
        <f t="shared" si="1292"/>
        <v>Approved</v>
      </c>
      <c r="T3183" t="str">
        <f t="shared" si="1293"/>
        <v>10.20.8.188</v>
      </c>
      <c r="U3183" t="str">
        <f t="shared" si="1294"/>
        <v>AZRAD UMAR BIN SHAARI</v>
      </c>
      <c r="V3183" t="str">
        <f t="shared" si="1295"/>
        <v>FARHANA BINTI MUSTAPA</v>
      </c>
      <c r="W3183" t="str">
        <f t="shared" si="1296"/>
        <v>04-08-2020</v>
      </c>
      <c r="X3183" t="str">
        <f t="shared" si="1297"/>
        <v>RAZIMAH ANSAR AHMAD</v>
      </c>
      <c r="Y3183" t="str">
        <f t="shared" si="1298"/>
        <v>04-08-2020</v>
      </c>
      <c r="Z3183" t="str">
        <f>"COS10200804 5971"</f>
        <v>COS10200804 5971</v>
      </c>
    </row>
    <row r="3184" spans="1:26" x14ac:dyDescent="0.25">
      <c r="A3184" t="str">
        <f t="shared" si="1305"/>
        <v>04-08-2020 12:58:13</v>
      </c>
      <c r="B3184" t="str">
        <f>"0000807760"</f>
        <v>0000807760</v>
      </c>
      <c r="C3184" t="str">
        <f t="shared" si="1306"/>
        <v>0000807590</v>
      </c>
      <c r="D3184" t="str">
        <f t="shared" si="1286"/>
        <v>73185</v>
      </c>
      <c r="E3184" t="str">
        <f t="shared" si="1287"/>
        <v>KFH-OPERATIONS DEPARTMENT</v>
      </c>
      <c r="F3184" t="str">
        <f t="shared" si="1288"/>
        <v>IBG</v>
      </c>
      <c r="G3184" t="str">
        <f t="shared" si="1303"/>
        <v>Refund COSHARE 10</v>
      </c>
      <c r="H3184" s="2">
        <v>83.95</v>
      </c>
      <c r="I3184" t="str">
        <f>"MUAZAM BIN MOHD MAINURI"</f>
        <v>MUAZAM BIN MOHD MAINURI</v>
      </c>
      <c r="J3184" t="str">
        <f t="shared" si="1304"/>
        <v>MAYBANK / MAYBANK ISLAMIC</v>
      </c>
      <c r="K3184" t="str">
        <f>"162021254029"</f>
        <v>162021254029</v>
      </c>
      <c r="L3184" t="str">
        <f t="shared" si="1307"/>
        <v>04-08-2020</v>
      </c>
      <c r="M3184" t="str">
        <f t="shared" si="1307"/>
        <v>04-08-2020</v>
      </c>
      <c r="N3184" t="str">
        <f t="shared" si="1289"/>
        <v>001105018356</v>
      </c>
      <c r="O3184" t="str">
        <f t="shared" si="1290"/>
        <v>MYR</v>
      </c>
      <c r="P3184" t="str">
        <f t="shared" si="1308"/>
        <v>NIL</v>
      </c>
      <c r="Q3184" t="str">
        <f t="shared" si="1308"/>
        <v>NIL</v>
      </c>
      <c r="R3184" t="str">
        <f t="shared" si="1291"/>
        <v>Accepted</v>
      </c>
      <c r="S3184" t="str">
        <f t="shared" si="1292"/>
        <v>Approved</v>
      </c>
      <c r="T3184" t="str">
        <f t="shared" si="1293"/>
        <v>10.20.8.188</v>
      </c>
      <c r="U3184" t="str">
        <f t="shared" si="1294"/>
        <v>AZRAD UMAR BIN SHAARI</v>
      </c>
      <c r="V3184" t="str">
        <f t="shared" si="1295"/>
        <v>FARHANA BINTI MUSTAPA</v>
      </c>
      <c r="W3184" t="str">
        <f t="shared" si="1296"/>
        <v>04-08-2020</v>
      </c>
      <c r="X3184" t="str">
        <f t="shared" si="1297"/>
        <v>RAZIMAH ANSAR AHMAD</v>
      </c>
      <c r="Y3184" t="str">
        <f t="shared" si="1298"/>
        <v>04-08-2020</v>
      </c>
      <c r="Z3184" t="str">
        <f>"COS10200804 5970"</f>
        <v>COS10200804 5970</v>
      </c>
    </row>
    <row r="3185" spans="1:26" x14ac:dyDescent="0.25">
      <c r="A3185" t="str">
        <f t="shared" si="1305"/>
        <v>04-08-2020 12:58:13</v>
      </c>
      <c r="B3185" t="str">
        <f>"0000807759"</f>
        <v>0000807759</v>
      </c>
      <c r="C3185" t="str">
        <f t="shared" si="1306"/>
        <v>0000807590</v>
      </c>
      <c r="D3185" t="str">
        <f t="shared" si="1286"/>
        <v>73185</v>
      </c>
      <c r="E3185" t="str">
        <f t="shared" si="1287"/>
        <v>KFH-OPERATIONS DEPARTMENT</v>
      </c>
      <c r="F3185" t="str">
        <f t="shared" si="1288"/>
        <v>IBG</v>
      </c>
      <c r="G3185" t="str">
        <f t="shared" si="1303"/>
        <v>Refund COSHARE 10</v>
      </c>
      <c r="H3185" s="2">
        <v>369.4</v>
      </c>
      <c r="I3185" t="str">
        <f>"MORO BIN JARANI"</f>
        <v>MORO BIN JARANI</v>
      </c>
      <c r="J3185" t="str">
        <f t="shared" si="1304"/>
        <v>MAYBANK / MAYBANK ISLAMIC</v>
      </c>
      <c r="K3185" t="str">
        <f>"164128569984"</f>
        <v>164128569984</v>
      </c>
      <c r="L3185" t="str">
        <f t="shared" si="1307"/>
        <v>04-08-2020</v>
      </c>
      <c r="M3185" t="str">
        <f t="shared" si="1307"/>
        <v>04-08-2020</v>
      </c>
      <c r="N3185" t="str">
        <f t="shared" si="1289"/>
        <v>001105018356</v>
      </c>
      <c r="O3185" t="str">
        <f t="shared" si="1290"/>
        <v>MYR</v>
      </c>
      <c r="P3185" t="str">
        <f t="shared" si="1308"/>
        <v>NIL</v>
      </c>
      <c r="Q3185" t="str">
        <f t="shared" si="1308"/>
        <v>NIL</v>
      </c>
      <c r="R3185" t="str">
        <f t="shared" si="1291"/>
        <v>Accepted</v>
      </c>
      <c r="S3185" t="str">
        <f t="shared" si="1292"/>
        <v>Approved</v>
      </c>
      <c r="T3185" t="str">
        <f t="shared" si="1293"/>
        <v>10.20.8.188</v>
      </c>
      <c r="U3185" t="str">
        <f t="shared" si="1294"/>
        <v>AZRAD UMAR BIN SHAARI</v>
      </c>
      <c r="V3185" t="str">
        <f t="shared" si="1295"/>
        <v>FARHANA BINTI MUSTAPA</v>
      </c>
      <c r="W3185" t="str">
        <f t="shared" si="1296"/>
        <v>04-08-2020</v>
      </c>
      <c r="X3185" t="str">
        <f t="shared" si="1297"/>
        <v>RAZIMAH ANSAR AHMAD</v>
      </c>
      <c r="Y3185" t="str">
        <f t="shared" si="1298"/>
        <v>04-08-2020</v>
      </c>
      <c r="Z3185" t="str">
        <f>"COS10200804 5969"</f>
        <v>COS10200804 5969</v>
      </c>
    </row>
    <row r="3186" spans="1:26" x14ac:dyDescent="0.25">
      <c r="A3186" t="str">
        <f t="shared" ref="A3186:A3217" si="1309">"04-08-2020 12:58:13"</f>
        <v>04-08-2020 12:58:13</v>
      </c>
      <c r="B3186" t="str">
        <f>"0000807758"</f>
        <v>0000807758</v>
      </c>
      <c r="C3186" t="str">
        <f t="shared" ref="C3186:C3217" si="1310">"0000807590"</f>
        <v>0000807590</v>
      </c>
      <c r="D3186" t="str">
        <f t="shared" si="1286"/>
        <v>73185</v>
      </c>
      <c r="E3186" t="str">
        <f t="shared" si="1287"/>
        <v>KFH-OPERATIONS DEPARTMENT</v>
      </c>
      <c r="F3186" t="str">
        <f t="shared" si="1288"/>
        <v>IBG</v>
      </c>
      <c r="G3186" t="str">
        <f t="shared" si="1303"/>
        <v>Refund COSHARE 10</v>
      </c>
      <c r="H3186" s="2">
        <v>482.75</v>
      </c>
      <c r="I3186" t="str">
        <f>"MONARITA BINTI MOHD HASSAN"</f>
        <v>MONARITA BINTI MOHD HASSAN</v>
      </c>
      <c r="J3186" t="str">
        <f t="shared" si="1304"/>
        <v>MAYBANK / MAYBANK ISLAMIC</v>
      </c>
      <c r="K3186" t="str">
        <f>"112147309204"</f>
        <v>112147309204</v>
      </c>
      <c r="L3186" t="str">
        <f t="shared" si="1307"/>
        <v>04-08-2020</v>
      </c>
      <c r="M3186" t="str">
        <f t="shared" si="1307"/>
        <v>04-08-2020</v>
      </c>
      <c r="N3186" t="str">
        <f t="shared" si="1289"/>
        <v>001105018356</v>
      </c>
      <c r="O3186" t="str">
        <f t="shared" si="1290"/>
        <v>MYR</v>
      </c>
      <c r="P3186" t="str">
        <f t="shared" si="1308"/>
        <v>NIL</v>
      </c>
      <c r="Q3186" t="str">
        <f t="shared" si="1308"/>
        <v>NIL</v>
      </c>
      <c r="R3186" t="str">
        <f t="shared" si="1291"/>
        <v>Accepted</v>
      </c>
      <c r="S3186" t="str">
        <f t="shared" si="1292"/>
        <v>Approved</v>
      </c>
      <c r="T3186" t="str">
        <f t="shared" si="1293"/>
        <v>10.20.8.188</v>
      </c>
      <c r="U3186" t="str">
        <f t="shared" si="1294"/>
        <v>AZRAD UMAR BIN SHAARI</v>
      </c>
      <c r="V3186" t="str">
        <f t="shared" si="1295"/>
        <v>FARHANA BINTI MUSTAPA</v>
      </c>
      <c r="W3186" t="str">
        <f t="shared" si="1296"/>
        <v>04-08-2020</v>
      </c>
      <c r="X3186" t="str">
        <f t="shared" si="1297"/>
        <v>RAZIMAH ANSAR AHMAD</v>
      </c>
      <c r="Y3186" t="str">
        <f t="shared" si="1298"/>
        <v>04-08-2020</v>
      </c>
      <c r="Z3186" t="str">
        <f>"COS10200804 5968"</f>
        <v>COS10200804 5968</v>
      </c>
    </row>
    <row r="3187" spans="1:26" x14ac:dyDescent="0.25">
      <c r="A3187" t="str">
        <f t="shared" si="1309"/>
        <v>04-08-2020 12:58:13</v>
      </c>
      <c r="B3187" t="str">
        <f>"0000807757"</f>
        <v>0000807757</v>
      </c>
      <c r="C3187" t="str">
        <f t="shared" si="1310"/>
        <v>0000807590</v>
      </c>
      <c r="D3187" t="str">
        <f t="shared" si="1286"/>
        <v>73185</v>
      </c>
      <c r="E3187" t="str">
        <f t="shared" si="1287"/>
        <v>KFH-OPERATIONS DEPARTMENT</v>
      </c>
      <c r="F3187" t="str">
        <f t="shared" si="1288"/>
        <v>IBG</v>
      </c>
      <c r="G3187" t="str">
        <f t="shared" si="1303"/>
        <v>Refund COSHARE 10</v>
      </c>
      <c r="H3187" s="2">
        <v>125.95</v>
      </c>
      <c r="I3187" t="str">
        <f>"MOKHTARUDDIN BIN ABDUL HAMID"</f>
        <v>MOKHTARUDDIN BIN ABDUL HAMID</v>
      </c>
      <c r="J3187" t="str">
        <f t="shared" si="1304"/>
        <v>MAYBANK / MAYBANK ISLAMIC</v>
      </c>
      <c r="K3187" t="str">
        <f>"151061416997"</f>
        <v>151061416997</v>
      </c>
      <c r="L3187" t="str">
        <f t="shared" ref="L3187:M3206" si="1311">"04-08-2020"</f>
        <v>04-08-2020</v>
      </c>
      <c r="M3187" t="str">
        <f t="shared" si="1311"/>
        <v>04-08-2020</v>
      </c>
      <c r="N3187" t="str">
        <f t="shared" si="1289"/>
        <v>001105018356</v>
      </c>
      <c r="O3187" t="str">
        <f t="shared" si="1290"/>
        <v>MYR</v>
      </c>
      <c r="P3187" t="str">
        <f t="shared" ref="P3187:Q3206" si="1312">"NIL"</f>
        <v>NIL</v>
      </c>
      <c r="Q3187" t="str">
        <f t="shared" si="1312"/>
        <v>NIL</v>
      </c>
      <c r="R3187" t="str">
        <f t="shared" si="1291"/>
        <v>Accepted</v>
      </c>
      <c r="S3187" t="str">
        <f t="shared" si="1292"/>
        <v>Approved</v>
      </c>
      <c r="T3187" t="str">
        <f t="shared" si="1293"/>
        <v>10.20.8.188</v>
      </c>
      <c r="U3187" t="str">
        <f t="shared" si="1294"/>
        <v>AZRAD UMAR BIN SHAARI</v>
      </c>
      <c r="V3187" t="str">
        <f t="shared" si="1295"/>
        <v>FARHANA BINTI MUSTAPA</v>
      </c>
      <c r="W3187" t="str">
        <f t="shared" si="1296"/>
        <v>04-08-2020</v>
      </c>
      <c r="X3187" t="str">
        <f t="shared" si="1297"/>
        <v>RAZIMAH ANSAR AHMAD</v>
      </c>
      <c r="Y3187" t="str">
        <f t="shared" si="1298"/>
        <v>04-08-2020</v>
      </c>
      <c r="Z3187" t="str">
        <f>"COS10200804 5967"</f>
        <v>COS10200804 5967</v>
      </c>
    </row>
    <row r="3188" spans="1:26" x14ac:dyDescent="0.25">
      <c r="A3188" t="str">
        <f t="shared" si="1309"/>
        <v>04-08-2020 12:58:13</v>
      </c>
      <c r="B3188" t="str">
        <f>"0000807756"</f>
        <v>0000807756</v>
      </c>
      <c r="C3188" t="str">
        <f t="shared" si="1310"/>
        <v>0000807590</v>
      </c>
      <c r="D3188" t="str">
        <f t="shared" si="1286"/>
        <v>73185</v>
      </c>
      <c r="E3188" t="str">
        <f t="shared" si="1287"/>
        <v>KFH-OPERATIONS DEPARTMENT</v>
      </c>
      <c r="F3188" t="str">
        <f t="shared" si="1288"/>
        <v>IBG</v>
      </c>
      <c r="G3188" t="str">
        <f t="shared" si="1303"/>
        <v>Refund COSHARE 10</v>
      </c>
      <c r="H3188" s="2">
        <v>147.35</v>
      </c>
      <c r="I3188" t="str">
        <f>"MOKHTAR SANI BIN SULAIMAN"</f>
        <v>MOKHTAR SANI BIN SULAIMAN</v>
      </c>
      <c r="J3188" t="str">
        <f t="shared" si="1304"/>
        <v>MAYBANK / MAYBANK ISLAMIC</v>
      </c>
      <c r="K3188" t="str">
        <f>"151098015907"</f>
        <v>151098015907</v>
      </c>
      <c r="L3188" t="str">
        <f t="shared" si="1311"/>
        <v>04-08-2020</v>
      </c>
      <c r="M3188" t="str">
        <f t="shared" si="1311"/>
        <v>04-08-2020</v>
      </c>
      <c r="N3188" t="str">
        <f t="shared" si="1289"/>
        <v>001105018356</v>
      </c>
      <c r="O3188" t="str">
        <f t="shared" si="1290"/>
        <v>MYR</v>
      </c>
      <c r="P3188" t="str">
        <f t="shared" si="1312"/>
        <v>NIL</v>
      </c>
      <c r="Q3188" t="str">
        <f t="shared" si="1312"/>
        <v>NIL</v>
      </c>
      <c r="R3188" t="str">
        <f t="shared" si="1291"/>
        <v>Accepted</v>
      </c>
      <c r="S3188" t="str">
        <f t="shared" si="1292"/>
        <v>Approved</v>
      </c>
      <c r="T3188" t="str">
        <f t="shared" si="1293"/>
        <v>10.20.8.188</v>
      </c>
      <c r="U3188" t="str">
        <f t="shared" si="1294"/>
        <v>AZRAD UMAR BIN SHAARI</v>
      </c>
      <c r="V3188" t="str">
        <f t="shared" si="1295"/>
        <v>FARHANA BINTI MUSTAPA</v>
      </c>
      <c r="W3188" t="str">
        <f t="shared" si="1296"/>
        <v>04-08-2020</v>
      </c>
      <c r="X3188" t="str">
        <f t="shared" si="1297"/>
        <v>RAZIMAH ANSAR AHMAD</v>
      </c>
      <c r="Y3188" t="str">
        <f t="shared" si="1298"/>
        <v>04-08-2020</v>
      </c>
      <c r="Z3188" t="str">
        <f>"COS10200804 5966"</f>
        <v>COS10200804 5966</v>
      </c>
    </row>
    <row r="3189" spans="1:26" x14ac:dyDescent="0.25">
      <c r="A3189" t="str">
        <f t="shared" si="1309"/>
        <v>04-08-2020 12:58:13</v>
      </c>
      <c r="B3189" t="str">
        <f>"0000807755"</f>
        <v>0000807755</v>
      </c>
      <c r="C3189" t="str">
        <f t="shared" si="1310"/>
        <v>0000807590</v>
      </c>
      <c r="D3189" t="str">
        <f t="shared" si="1286"/>
        <v>73185</v>
      </c>
      <c r="E3189" t="str">
        <f t="shared" si="1287"/>
        <v>KFH-OPERATIONS DEPARTMENT</v>
      </c>
      <c r="F3189" t="str">
        <f t="shared" si="1288"/>
        <v>IBG</v>
      </c>
      <c r="G3189" t="str">
        <f t="shared" si="1303"/>
        <v>Refund COSHARE 10</v>
      </c>
      <c r="H3189" s="2">
        <v>780.6</v>
      </c>
      <c r="I3189" t="str">
        <f>"MOKHTAR BIN CHE LAH"</f>
        <v>MOKHTAR BIN CHE LAH</v>
      </c>
      <c r="J3189" t="str">
        <f t="shared" si="1304"/>
        <v>MAYBANK / MAYBANK ISLAMIC</v>
      </c>
      <c r="K3189" t="str">
        <f>"158097003535"</f>
        <v>158097003535</v>
      </c>
      <c r="L3189" t="str">
        <f t="shared" si="1311"/>
        <v>04-08-2020</v>
      </c>
      <c r="M3189" t="str">
        <f t="shared" si="1311"/>
        <v>04-08-2020</v>
      </c>
      <c r="N3189" t="str">
        <f t="shared" si="1289"/>
        <v>001105018356</v>
      </c>
      <c r="O3189" t="str">
        <f t="shared" si="1290"/>
        <v>MYR</v>
      </c>
      <c r="P3189" t="str">
        <f t="shared" si="1312"/>
        <v>NIL</v>
      </c>
      <c r="Q3189" t="str">
        <f t="shared" si="1312"/>
        <v>NIL</v>
      </c>
      <c r="R3189" t="str">
        <f t="shared" si="1291"/>
        <v>Accepted</v>
      </c>
      <c r="S3189" t="str">
        <f t="shared" si="1292"/>
        <v>Approved</v>
      </c>
      <c r="T3189" t="str">
        <f t="shared" si="1293"/>
        <v>10.20.8.188</v>
      </c>
      <c r="U3189" t="str">
        <f t="shared" si="1294"/>
        <v>AZRAD UMAR BIN SHAARI</v>
      </c>
      <c r="V3189" t="str">
        <f t="shared" si="1295"/>
        <v>FARHANA BINTI MUSTAPA</v>
      </c>
      <c r="W3189" t="str">
        <f t="shared" si="1296"/>
        <v>04-08-2020</v>
      </c>
      <c r="X3189" t="str">
        <f t="shared" si="1297"/>
        <v>RAZIMAH ANSAR AHMAD</v>
      </c>
      <c r="Y3189" t="str">
        <f t="shared" si="1298"/>
        <v>04-08-2020</v>
      </c>
      <c r="Z3189" t="str">
        <f>"COS10200804 5965"</f>
        <v>COS10200804 5965</v>
      </c>
    </row>
    <row r="3190" spans="1:26" x14ac:dyDescent="0.25">
      <c r="A3190" t="str">
        <f t="shared" si="1309"/>
        <v>04-08-2020 12:58:13</v>
      </c>
      <c r="B3190" t="str">
        <f>"0000807754"</f>
        <v>0000807754</v>
      </c>
      <c r="C3190" t="str">
        <f t="shared" si="1310"/>
        <v>0000807590</v>
      </c>
      <c r="D3190" t="str">
        <f t="shared" si="1286"/>
        <v>73185</v>
      </c>
      <c r="E3190" t="str">
        <f t="shared" si="1287"/>
        <v>KFH-OPERATIONS DEPARTMENT</v>
      </c>
      <c r="F3190" t="str">
        <f t="shared" si="1288"/>
        <v>IBG</v>
      </c>
      <c r="G3190" t="str">
        <f t="shared" si="1303"/>
        <v>Refund COSHARE 10</v>
      </c>
      <c r="H3190" s="2">
        <v>83.95</v>
      </c>
      <c r="I3190" t="str">
        <f>"MOKHSUHAILIS BINTI ISMAIL"</f>
        <v>MOKHSUHAILIS BINTI ISMAIL</v>
      </c>
      <c r="J3190" t="str">
        <f t="shared" si="1304"/>
        <v>MAYBANK / MAYBANK ISLAMIC</v>
      </c>
      <c r="K3190" t="str">
        <f>"116015043069"</f>
        <v>116015043069</v>
      </c>
      <c r="L3190" t="str">
        <f t="shared" si="1311"/>
        <v>04-08-2020</v>
      </c>
      <c r="M3190" t="str">
        <f t="shared" si="1311"/>
        <v>04-08-2020</v>
      </c>
      <c r="N3190" t="str">
        <f t="shared" si="1289"/>
        <v>001105018356</v>
      </c>
      <c r="O3190" t="str">
        <f t="shared" si="1290"/>
        <v>MYR</v>
      </c>
      <c r="P3190" t="str">
        <f t="shared" si="1312"/>
        <v>NIL</v>
      </c>
      <c r="Q3190" t="str">
        <f t="shared" si="1312"/>
        <v>NIL</v>
      </c>
      <c r="R3190" t="str">
        <f t="shared" si="1291"/>
        <v>Accepted</v>
      </c>
      <c r="S3190" t="str">
        <f t="shared" si="1292"/>
        <v>Approved</v>
      </c>
      <c r="T3190" t="str">
        <f t="shared" si="1293"/>
        <v>10.20.8.188</v>
      </c>
      <c r="U3190" t="str">
        <f t="shared" si="1294"/>
        <v>AZRAD UMAR BIN SHAARI</v>
      </c>
      <c r="V3190" t="str">
        <f t="shared" si="1295"/>
        <v>FARHANA BINTI MUSTAPA</v>
      </c>
      <c r="W3190" t="str">
        <f t="shared" si="1296"/>
        <v>04-08-2020</v>
      </c>
      <c r="X3190" t="str">
        <f t="shared" si="1297"/>
        <v>RAZIMAH ANSAR AHMAD</v>
      </c>
      <c r="Y3190" t="str">
        <f t="shared" si="1298"/>
        <v>04-08-2020</v>
      </c>
      <c r="Z3190" t="str">
        <f>"COS10200804 5964"</f>
        <v>COS10200804 5964</v>
      </c>
    </row>
    <row r="3191" spans="1:26" x14ac:dyDescent="0.25">
      <c r="A3191" t="str">
        <f t="shared" si="1309"/>
        <v>04-08-2020 12:58:13</v>
      </c>
      <c r="B3191" t="str">
        <f>"0000807753"</f>
        <v>0000807753</v>
      </c>
      <c r="C3191" t="str">
        <f t="shared" si="1310"/>
        <v>0000807590</v>
      </c>
      <c r="D3191" t="str">
        <f t="shared" si="1286"/>
        <v>73185</v>
      </c>
      <c r="E3191" t="str">
        <f t="shared" si="1287"/>
        <v>KFH-OPERATIONS DEPARTMENT</v>
      </c>
      <c r="F3191" t="str">
        <f t="shared" si="1288"/>
        <v>IBG</v>
      </c>
      <c r="G3191" t="str">
        <f t="shared" si="1303"/>
        <v>Refund COSHARE 10</v>
      </c>
      <c r="H3191" s="2">
        <v>1298</v>
      </c>
      <c r="I3191" t="str">
        <f>"MOHDZAMRI BIN AHMAD"</f>
        <v>MOHDZAMRI BIN AHMAD</v>
      </c>
      <c r="J3191" t="str">
        <f t="shared" si="1304"/>
        <v>MAYBANK / MAYBANK ISLAMIC</v>
      </c>
      <c r="K3191" t="str">
        <f>"161257070652"</f>
        <v>161257070652</v>
      </c>
      <c r="L3191" t="str">
        <f t="shared" si="1311"/>
        <v>04-08-2020</v>
      </c>
      <c r="M3191" t="str">
        <f t="shared" si="1311"/>
        <v>04-08-2020</v>
      </c>
      <c r="N3191" t="str">
        <f t="shared" si="1289"/>
        <v>001105018356</v>
      </c>
      <c r="O3191" t="str">
        <f t="shared" si="1290"/>
        <v>MYR</v>
      </c>
      <c r="P3191" t="str">
        <f t="shared" si="1312"/>
        <v>NIL</v>
      </c>
      <c r="Q3191" t="str">
        <f t="shared" si="1312"/>
        <v>NIL</v>
      </c>
      <c r="R3191" t="str">
        <f t="shared" si="1291"/>
        <v>Accepted</v>
      </c>
      <c r="S3191" t="str">
        <f t="shared" si="1292"/>
        <v>Approved</v>
      </c>
      <c r="T3191" t="str">
        <f t="shared" si="1293"/>
        <v>10.20.8.188</v>
      </c>
      <c r="U3191" t="str">
        <f t="shared" si="1294"/>
        <v>AZRAD UMAR BIN SHAARI</v>
      </c>
      <c r="V3191" t="str">
        <f t="shared" si="1295"/>
        <v>FARHANA BINTI MUSTAPA</v>
      </c>
      <c r="W3191" t="str">
        <f t="shared" si="1296"/>
        <v>04-08-2020</v>
      </c>
      <c r="X3191" t="str">
        <f t="shared" si="1297"/>
        <v>RAZIMAH ANSAR AHMAD</v>
      </c>
      <c r="Y3191" t="str">
        <f t="shared" si="1298"/>
        <v>04-08-2020</v>
      </c>
      <c r="Z3191" t="str">
        <f>"COS10200804 5963"</f>
        <v>COS10200804 5963</v>
      </c>
    </row>
    <row r="3192" spans="1:26" x14ac:dyDescent="0.25">
      <c r="A3192" t="str">
        <f t="shared" si="1309"/>
        <v>04-08-2020 12:58:13</v>
      </c>
      <c r="B3192" t="str">
        <f>"0000807752"</f>
        <v>0000807752</v>
      </c>
      <c r="C3192" t="str">
        <f t="shared" si="1310"/>
        <v>0000807590</v>
      </c>
      <c r="D3192" t="str">
        <f t="shared" si="1286"/>
        <v>73185</v>
      </c>
      <c r="E3192" t="str">
        <f t="shared" si="1287"/>
        <v>KFH-OPERATIONS DEPARTMENT</v>
      </c>
      <c r="F3192" t="str">
        <f t="shared" si="1288"/>
        <v>IBG</v>
      </c>
      <c r="G3192" t="str">
        <f t="shared" si="1303"/>
        <v>Refund COSHARE 10</v>
      </c>
      <c r="H3192" s="2">
        <v>907</v>
      </c>
      <c r="I3192" t="str">
        <f>"MOHDKASSIM BIN SHARIF"</f>
        <v>MOHDKASSIM BIN SHARIF</v>
      </c>
      <c r="J3192" t="str">
        <f t="shared" si="1304"/>
        <v>MAYBANK / MAYBANK ISLAMIC</v>
      </c>
      <c r="K3192" t="str">
        <f>"151436067009"</f>
        <v>151436067009</v>
      </c>
      <c r="L3192" t="str">
        <f t="shared" si="1311"/>
        <v>04-08-2020</v>
      </c>
      <c r="M3192" t="str">
        <f t="shared" si="1311"/>
        <v>04-08-2020</v>
      </c>
      <c r="N3192" t="str">
        <f t="shared" si="1289"/>
        <v>001105018356</v>
      </c>
      <c r="O3192" t="str">
        <f t="shared" si="1290"/>
        <v>MYR</v>
      </c>
      <c r="P3192" t="str">
        <f t="shared" si="1312"/>
        <v>NIL</v>
      </c>
      <c r="Q3192" t="str">
        <f t="shared" si="1312"/>
        <v>NIL</v>
      </c>
      <c r="R3192" t="str">
        <f t="shared" si="1291"/>
        <v>Accepted</v>
      </c>
      <c r="S3192" t="str">
        <f t="shared" si="1292"/>
        <v>Approved</v>
      </c>
      <c r="T3192" t="str">
        <f t="shared" si="1293"/>
        <v>10.20.8.188</v>
      </c>
      <c r="U3192" t="str">
        <f t="shared" si="1294"/>
        <v>AZRAD UMAR BIN SHAARI</v>
      </c>
      <c r="V3192" t="str">
        <f t="shared" si="1295"/>
        <v>FARHANA BINTI MUSTAPA</v>
      </c>
      <c r="W3192" t="str">
        <f t="shared" si="1296"/>
        <v>04-08-2020</v>
      </c>
      <c r="X3192" t="str">
        <f t="shared" si="1297"/>
        <v>RAZIMAH ANSAR AHMAD</v>
      </c>
      <c r="Y3192" t="str">
        <f t="shared" si="1298"/>
        <v>04-08-2020</v>
      </c>
      <c r="Z3192" t="str">
        <f>"COS10200804 5962"</f>
        <v>COS10200804 5962</v>
      </c>
    </row>
    <row r="3193" spans="1:26" x14ac:dyDescent="0.25">
      <c r="A3193" t="str">
        <f t="shared" si="1309"/>
        <v>04-08-2020 12:58:13</v>
      </c>
      <c r="B3193" t="str">
        <f>"0000807751"</f>
        <v>0000807751</v>
      </c>
      <c r="C3193" t="str">
        <f t="shared" si="1310"/>
        <v>0000807590</v>
      </c>
      <c r="D3193" t="str">
        <f t="shared" si="1286"/>
        <v>73185</v>
      </c>
      <c r="E3193" t="str">
        <f t="shared" si="1287"/>
        <v>KFH-OPERATIONS DEPARTMENT</v>
      </c>
      <c r="F3193" t="str">
        <f t="shared" si="1288"/>
        <v>IBG</v>
      </c>
      <c r="G3193" t="str">
        <f t="shared" si="1303"/>
        <v>Refund COSHARE 10</v>
      </c>
      <c r="H3193" s="2">
        <v>134.35</v>
      </c>
      <c r="I3193" t="str">
        <f>"MOHDFAIDZAL BIN FADZIL"</f>
        <v>MOHDFAIDZAL BIN FADZIL</v>
      </c>
      <c r="J3193" t="str">
        <f t="shared" si="1304"/>
        <v>MAYBANK / MAYBANK ISLAMIC</v>
      </c>
      <c r="K3193" t="str">
        <f>"162085412627"</f>
        <v>162085412627</v>
      </c>
      <c r="L3193" t="str">
        <f t="shared" si="1311"/>
        <v>04-08-2020</v>
      </c>
      <c r="M3193" t="str">
        <f t="shared" si="1311"/>
        <v>04-08-2020</v>
      </c>
      <c r="N3193" t="str">
        <f t="shared" si="1289"/>
        <v>001105018356</v>
      </c>
      <c r="O3193" t="str">
        <f t="shared" si="1290"/>
        <v>MYR</v>
      </c>
      <c r="P3193" t="str">
        <f t="shared" si="1312"/>
        <v>NIL</v>
      </c>
      <c r="Q3193" t="str">
        <f t="shared" si="1312"/>
        <v>NIL</v>
      </c>
      <c r="R3193" t="str">
        <f t="shared" si="1291"/>
        <v>Accepted</v>
      </c>
      <c r="S3193" t="str">
        <f t="shared" si="1292"/>
        <v>Approved</v>
      </c>
      <c r="T3193" t="str">
        <f t="shared" si="1293"/>
        <v>10.20.8.188</v>
      </c>
      <c r="U3193" t="str">
        <f t="shared" si="1294"/>
        <v>AZRAD UMAR BIN SHAARI</v>
      </c>
      <c r="V3193" t="str">
        <f t="shared" si="1295"/>
        <v>FARHANA BINTI MUSTAPA</v>
      </c>
      <c r="W3193" t="str">
        <f t="shared" si="1296"/>
        <v>04-08-2020</v>
      </c>
      <c r="X3193" t="str">
        <f t="shared" si="1297"/>
        <v>RAZIMAH ANSAR AHMAD</v>
      </c>
      <c r="Y3193" t="str">
        <f t="shared" si="1298"/>
        <v>04-08-2020</v>
      </c>
      <c r="Z3193" t="str">
        <f>"COS10200804 5961"</f>
        <v>COS10200804 5961</v>
      </c>
    </row>
    <row r="3194" spans="1:26" x14ac:dyDescent="0.25">
      <c r="A3194" t="str">
        <f t="shared" si="1309"/>
        <v>04-08-2020 12:58:13</v>
      </c>
      <c r="B3194" t="str">
        <f>"0000807750"</f>
        <v>0000807750</v>
      </c>
      <c r="C3194" t="str">
        <f t="shared" si="1310"/>
        <v>0000807590</v>
      </c>
      <c r="D3194" t="str">
        <f t="shared" si="1286"/>
        <v>73185</v>
      </c>
      <c r="E3194" t="str">
        <f t="shared" si="1287"/>
        <v>KFH-OPERATIONS DEPARTMENT</v>
      </c>
      <c r="F3194" t="str">
        <f t="shared" si="1288"/>
        <v>IBG</v>
      </c>
      <c r="G3194" t="str">
        <f t="shared" si="1303"/>
        <v>Refund COSHARE 10</v>
      </c>
      <c r="H3194" s="2">
        <v>50.4</v>
      </c>
      <c r="I3194" t="str">
        <f>"MOHDEZZAD BIN SALMAN"</f>
        <v>MOHDEZZAD BIN SALMAN</v>
      </c>
      <c r="J3194" t="str">
        <f t="shared" si="1304"/>
        <v>MAYBANK / MAYBANK ISLAMIC</v>
      </c>
      <c r="K3194" t="str">
        <f>"101413231070"</f>
        <v>101413231070</v>
      </c>
      <c r="L3194" t="str">
        <f t="shared" si="1311"/>
        <v>04-08-2020</v>
      </c>
      <c r="M3194" t="str">
        <f t="shared" si="1311"/>
        <v>04-08-2020</v>
      </c>
      <c r="N3194" t="str">
        <f t="shared" si="1289"/>
        <v>001105018356</v>
      </c>
      <c r="O3194" t="str">
        <f t="shared" si="1290"/>
        <v>MYR</v>
      </c>
      <c r="P3194" t="str">
        <f t="shared" si="1312"/>
        <v>NIL</v>
      </c>
      <c r="Q3194" t="str">
        <f t="shared" si="1312"/>
        <v>NIL</v>
      </c>
      <c r="R3194" t="str">
        <f t="shared" si="1291"/>
        <v>Accepted</v>
      </c>
      <c r="S3194" t="str">
        <f t="shared" si="1292"/>
        <v>Approved</v>
      </c>
      <c r="T3194" t="str">
        <f t="shared" si="1293"/>
        <v>10.20.8.188</v>
      </c>
      <c r="U3194" t="str">
        <f t="shared" si="1294"/>
        <v>AZRAD UMAR BIN SHAARI</v>
      </c>
      <c r="V3194" t="str">
        <f t="shared" si="1295"/>
        <v>FARHANA BINTI MUSTAPA</v>
      </c>
      <c r="W3194" t="str">
        <f t="shared" si="1296"/>
        <v>04-08-2020</v>
      </c>
      <c r="X3194" t="str">
        <f t="shared" si="1297"/>
        <v>RAZIMAH ANSAR AHMAD</v>
      </c>
      <c r="Y3194" t="str">
        <f t="shared" si="1298"/>
        <v>04-08-2020</v>
      </c>
      <c r="Z3194" t="str">
        <f>"COS10200804 5960"</f>
        <v>COS10200804 5960</v>
      </c>
    </row>
    <row r="3195" spans="1:26" x14ac:dyDescent="0.25">
      <c r="A3195" t="str">
        <f t="shared" si="1309"/>
        <v>04-08-2020 12:58:13</v>
      </c>
      <c r="B3195" t="str">
        <f>"0000807749"</f>
        <v>0000807749</v>
      </c>
      <c r="C3195" t="str">
        <f t="shared" si="1310"/>
        <v>0000807590</v>
      </c>
      <c r="D3195" t="str">
        <f t="shared" si="1286"/>
        <v>73185</v>
      </c>
      <c r="E3195" t="str">
        <f t="shared" si="1287"/>
        <v>KFH-OPERATIONS DEPARTMENT</v>
      </c>
      <c r="F3195" t="str">
        <f t="shared" si="1288"/>
        <v>IBG</v>
      </c>
      <c r="G3195" t="str">
        <f t="shared" si="1303"/>
        <v>Refund COSHARE 10</v>
      </c>
      <c r="H3195" s="2">
        <v>411.35</v>
      </c>
      <c r="I3195" t="str">
        <f>"MOHD ZULNAWAREEN BIN MAD YUSOF"</f>
        <v>MOHD ZULNAWAREEN BIN MAD YUSOF</v>
      </c>
      <c r="J3195" t="str">
        <f t="shared" si="1304"/>
        <v>MAYBANK / MAYBANK ISLAMIC</v>
      </c>
      <c r="K3195" t="str">
        <f>"101272003388"</f>
        <v>101272003388</v>
      </c>
      <c r="L3195" t="str">
        <f t="shared" si="1311"/>
        <v>04-08-2020</v>
      </c>
      <c r="M3195" t="str">
        <f t="shared" si="1311"/>
        <v>04-08-2020</v>
      </c>
      <c r="N3195" t="str">
        <f t="shared" si="1289"/>
        <v>001105018356</v>
      </c>
      <c r="O3195" t="str">
        <f t="shared" si="1290"/>
        <v>MYR</v>
      </c>
      <c r="P3195" t="str">
        <f t="shared" si="1312"/>
        <v>NIL</v>
      </c>
      <c r="Q3195" t="str">
        <f t="shared" si="1312"/>
        <v>NIL</v>
      </c>
      <c r="R3195" t="str">
        <f t="shared" si="1291"/>
        <v>Accepted</v>
      </c>
      <c r="S3195" t="str">
        <f t="shared" si="1292"/>
        <v>Approved</v>
      </c>
      <c r="T3195" t="str">
        <f t="shared" si="1293"/>
        <v>10.20.8.188</v>
      </c>
      <c r="U3195" t="str">
        <f t="shared" si="1294"/>
        <v>AZRAD UMAR BIN SHAARI</v>
      </c>
      <c r="V3195" t="str">
        <f t="shared" si="1295"/>
        <v>FARHANA BINTI MUSTAPA</v>
      </c>
      <c r="W3195" t="str">
        <f t="shared" si="1296"/>
        <v>04-08-2020</v>
      </c>
      <c r="X3195" t="str">
        <f t="shared" si="1297"/>
        <v>RAZIMAH ANSAR AHMAD</v>
      </c>
      <c r="Y3195" t="str">
        <f t="shared" si="1298"/>
        <v>04-08-2020</v>
      </c>
      <c r="Z3195" t="str">
        <f>"COS10200804 5959"</f>
        <v>COS10200804 5959</v>
      </c>
    </row>
    <row r="3196" spans="1:26" x14ac:dyDescent="0.25">
      <c r="A3196" t="str">
        <f t="shared" si="1309"/>
        <v>04-08-2020 12:58:13</v>
      </c>
      <c r="B3196" t="str">
        <f>"0000807748"</f>
        <v>0000807748</v>
      </c>
      <c r="C3196" t="str">
        <f t="shared" si="1310"/>
        <v>0000807590</v>
      </c>
      <c r="D3196" t="str">
        <f t="shared" si="1286"/>
        <v>73185</v>
      </c>
      <c r="E3196" t="str">
        <f t="shared" si="1287"/>
        <v>KFH-OPERATIONS DEPARTMENT</v>
      </c>
      <c r="F3196" t="str">
        <f t="shared" si="1288"/>
        <v>IBG</v>
      </c>
      <c r="G3196" t="str">
        <f t="shared" si="1303"/>
        <v>Refund COSHARE 10</v>
      </c>
      <c r="H3196" s="2">
        <v>1544.7</v>
      </c>
      <c r="I3196" t="str">
        <f>"MOHD ZULKRANIN BIN ZABIDI"</f>
        <v>MOHD ZULKRANIN BIN ZABIDI</v>
      </c>
      <c r="J3196" t="str">
        <f t="shared" si="1304"/>
        <v>MAYBANK / MAYBANK ISLAMIC</v>
      </c>
      <c r="K3196" t="str">
        <f>"108011781124"</f>
        <v>108011781124</v>
      </c>
      <c r="L3196" t="str">
        <f t="shared" si="1311"/>
        <v>04-08-2020</v>
      </c>
      <c r="M3196" t="str">
        <f t="shared" si="1311"/>
        <v>04-08-2020</v>
      </c>
      <c r="N3196" t="str">
        <f t="shared" si="1289"/>
        <v>001105018356</v>
      </c>
      <c r="O3196" t="str">
        <f t="shared" si="1290"/>
        <v>MYR</v>
      </c>
      <c r="P3196" t="str">
        <f t="shared" si="1312"/>
        <v>NIL</v>
      </c>
      <c r="Q3196" t="str">
        <f t="shared" si="1312"/>
        <v>NIL</v>
      </c>
      <c r="R3196" t="str">
        <f t="shared" si="1291"/>
        <v>Accepted</v>
      </c>
      <c r="S3196" t="str">
        <f t="shared" si="1292"/>
        <v>Approved</v>
      </c>
      <c r="T3196" t="str">
        <f t="shared" si="1293"/>
        <v>10.20.8.188</v>
      </c>
      <c r="U3196" t="str">
        <f t="shared" si="1294"/>
        <v>AZRAD UMAR BIN SHAARI</v>
      </c>
      <c r="V3196" t="str">
        <f t="shared" si="1295"/>
        <v>FARHANA BINTI MUSTAPA</v>
      </c>
      <c r="W3196" t="str">
        <f t="shared" si="1296"/>
        <v>04-08-2020</v>
      </c>
      <c r="X3196" t="str">
        <f t="shared" si="1297"/>
        <v>RAZIMAH ANSAR AHMAD</v>
      </c>
      <c r="Y3196" t="str">
        <f t="shared" si="1298"/>
        <v>04-08-2020</v>
      </c>
      <c r="Z3196" t="str">
        <f>"COS10200804 5958"</f>
        <v>COS10200804 5958</v>
      </c>
    </row>
    <row r="3197" spans="1:26" x14ac:dyDescent="0.25">
      <c r="A3197" t="str">
        <f t="shared" si="1309"/>
        <v>04-08-2020 12:58:13</v>
      </c>
      <c r="B3197" t="str">
        <f>"0000807747"</f>
        <v>0000807747</v>
      </c>
      <c r="C3197" t="str">
        <f t="shared" si="1310"/>
        <v>0000807590</v>
      </c>
      <c r="D3197" t="str">
        <f t="shared" si="1286"/>
        <v>73185</v>
      </c>
      <c r="E3197" t="str">
        <f t="shared" si="1287"/>
        <v>KFH-OPERATIONS DEPARTMENT</v>
      </c>
      <c r="F3197" t="str">
        <f t="shared" si="1288"/>
        <v>IBG</v>
      </c>
      <c r="G3197" t="str">
        <f t="shared" si="1303"/>
        <v>Refund COSHARE 10</v>
      </c>
      <c r="H3197" s="2">
        <v>337.7</v>
      </c>
      <c r="I3197" t="str">
        <f>"MOHD ZULKIPLI BIN AWANG"</f>
        <v>MOHD ZULKIPLI BIN AWANG</v>
      </c>
      <c r="J3197" t="str">
        <f t="shared" si="1304"/>
        <v>MAYBANK / MAYBANK ISLAMIC</v>
      </c>
      <c r="K3197" t="str">
        <f>"103015753210"</f>
        <v>103015753210</v>
      </c>
      <c r="L3197" t="str">
        <f t="shared" si="1311"/>
        <v>04-08-2020</v>
      </c>
      <c r="M3197" t="str">
        <f t="shared" si="1311"/>
        <v>04-08-2020</v>
      </c>
      <c r="N3197" t="str">
        <f t="shared" si="1289"/>
        <v>001105018356</v>
      </c>
      <c r="O3197" t="str">
        <f t="shared" si="1290"/>
        <v>MYR</v>
      </c>
      <c r="P3197" t="str">
        <f t="shared" si="1312"/>
        <v>NIL</v>
      </c>
      <c r="Q3197" t="str">
        <f t="shared" si="1312"/>
        <v>NIL</v>
      </c>
      <c r="R3197" t="str">
        <f t="shared" si="1291"/>
        <v>Accepted</v>
      </c>
      <c r="S3197" t="str">
        <f t="shared" si="1292"/>
        <v>Approved</v>
      </c>
      <c r="T3197" t="str">
        <f t="shared" si="1293"/>
        <v>10.20.8.188</v>
      </c>
      <c r="U3197" t="str">
        <f t="shared" si="1294"/>
        <v>AZRAD UMAR BIN SHAARI</v>
      </c>
      <c r="V3197" t="str">
        <f t="shared" si="1295"/>
        <v>FARHANA BINTI MUSTAPA</v>
      </c>
      <c r="W3197" t="str">
        <f t="shared" si="1296"/>
        <v>04-08-2020</v>
      </c>
      <c r="X3197" t="str">
        <f t="shared" si="1297"/>
        <v>RAZIMAH ANSAR AHMAD</v>
      </c>
      <c r="Y3197" t="str">
        <f t="shared" si="1298"/>
        <v>04-08-2020</v>
      </c>
      <c r="Z3197" t="str">
        <f>"COS10200804 5957"</f>
        <v>COS10200804 5957</v>
      </c>
    </row>
    <row r="3198" spans="1:26" x14ac:dyDescent="0.25">
      <c r="A3198" t="str">
        <f t="shared" si="1309"/>
        <v>04-08-2020 12:58:13</v>
      </c>
      <c r="B3198" t="str">
        <f>"0000807746"</f>
        <v>0000807746</v>
      </c>
      <c r="C3198" t="str">
        <f t="shared" si="1310"/>
        <v>0000807590</v>
      </c>
      <c r="D3198" t="str">
        <f t="shared" si="1286"/>
        <v>73185</v>
      </c>
      <c r="E3198" t="str">
        <f t="shared" si="1287"/>
        <v>KFH-OPERATIONS DEPARTMENT</v>
      </c>
      <c r="F3198" t="str">
        <f t="shared" si="1288"/>
        <v>IBG</v>
      </c>
      <c r="G3198" t="str">
        <f t="shared" si="1303"/>
        <v>Refund COSHARE 10</v>
      </c>
      <c r="H3198" s="2">
        <v>127.05</v>
      </c>
      <c r="I3198" t="str">
        <f>"MOHD ZULHILMI BIN JUSOH"</f>
        <v>MOHD ZULHILMI BIN JUSOH</v>
      </c>
      <c r="J3198" t="str">
        <f t="shared" si="1304"/>
        <v>MAYBANK / MAYBANK ISLAMIC</v>
      </c>
      <c r="K3198" t="str">
        <f>"110069052096"</f>
        <v>110069052096</v>
      </c>
      <c r="L3198" t="str">
        <f t="shared" si="1311"/>
        <v>04-08-2020</v>
      </c>
      <c r="M3198" t="str">
        <f t="shared" si="1311"/>
        <v>04-08-2020</v>
      </c>
      <c r="N3198" t="str">
        <f t="shared" si="1289"/>
        <v>001105018356</v>
      </c>
      <c r="O3198" t="str">
        <f t="shared" si="1290"/>
        <v>MYR</v>
      </c>
      <c r="P3198" t="str">
        <f t="shared" si="1312"/>
        <v>NIL</v>
      </c>
      <c r="Q3198" t="str">
        <f t="shared" si="1312"/>
        <v>NIL</v>
      </c>
      <c r="R3198" t="str">
        <f t="shared" si="1291"/>
        <v>Accepted</v>
      </c>
      <c r="S3198" t="str">
        <f t="shared" si="1292"/>
        <v>Approved</v>
      </c>
      <c r="T3198" t="str">
        <f t="shared" si="1293"/>
        <v>10.20.8.188</v>
      </c>
      <c r="U3198" t="str">
        <f t="shared" si="1294"/>
        <v>AZRAD UMAR BIN SHAARI</v>
      </c>
      <c r="V3198" t="str">
        <f t="shared" si="1295"/>
        <v>FARHANA BINTI MUSTAPA</v>
      </c>
      <c r="W3198" t="str">
        <f t="shared" si="1296"/>
        <v>04-08-2020</v>
      </c>
      <c r="X3198" t="str">
        <f t="shared" si="1297"/>
        <v>RAZIMAH ANSAR AHMAD</v>
      </c>
      <c r="Y3198" t="str">
        <f t="shared" si="1298"/>
        <v>04-08-2020</v>
      </c>
      <c r="Z3198" t="str">
        <f>"COS10200804 5956"</f>
        <v>COS10200804 5956</v>
      </c>
    </row>
    <row r="3199" spans="1:26" x14ac:dyDescent="0.25">
      <c r="A3199" t="str">
        <f t="shared" si="1309"/>
        <v>04-08-2020 12:58:13</v>
      </c>
      <c r="B3199" t="str">
        <f>"0000807745"</f>
        <v>0000807745</v>
      </c>
      <c r="C3199" t="str">
        <f t="shared" si="1310"/>
        <v>0000807590</v>
      </c>
      <c r="D3199" t="str">
        <f t="shared" si="1286"/>
        <v>73185</v>
      </c>
      <c r="E3199" t="str">
        <f t="shared" si="1287"/>
        <v>KFH-OPERATIONS DEPARTMENT</v>
      </c>
      <c r="F3199" t="str">
        <f t="shared" si="1288"/>
        <v>IBG</v>
      </c>
      <c r="G3199" t="str">
        <f t="shared" si="1303"/>
        <v>Refund COSHARE 10</v>
      </c>
      <c r="H3199" s="2">
        <v>228</v>
      </c>
      <c r="I3199" t="str">
        <f>"MOHD ZULHAFIZ BIN ZAINUDDIN"</f>
        <v>MOHD ZULHAFIZ BIN ZAINUDDIN</v>
      </c>
      <c r="J3199" t="str">
        <f t="shared" si="1304"/>
        <v>MAYBANK / MAYBANK ISLAMIC</v>
      </c>
      <c r="K3199" t="str">
        <f>"166010081629"</f>
        <v>166010081629</v>
      </c>
      <c r="L3199" t="str">
        <f t="shared" si="1311"/>
        <v>04-08-2020</v>
      </c>
      <c r="M3199" t="str">
        <f t="shared" si="1311"/>
        <v>04-08-2020</v>
      </c>
      <c r="N3199" t="str">
        <f t="shared" si="1289"/>
        <v>001105018356</v>
      </c>
      <c r="O3199" t="str">
        <f t="shared" si="1290"/>
        <v>MYR</v>
      </c>
      <c r="P3199" t="str">
        <f t="shared" si="1312"/>
        <v>NIL</v>
      </c>
      <c r="Q3199" t="str">
        <f t="shared" si="1312"/>
        <v>NIL</v>
      </c>
      <c r="R3199" t="str">
        <f t="shared" si="1291"/>
        <v>Accepted</v>
      </c>
      <c r="S3199" t="str">
        <f t="shared" si="1292"/>
        <v>Approved</v>
      </c>
      <c r="T3199" t="str">
        <f t="shared" si="1293"/>
        <v>10.20.8.188</v>
      </c>
      <c r="U3199" t="str">
        <f t="shared" si="1294"/>
        <v>AZRAD UMAR BIN SHAARI</v>
      </c>
      <c r="V3199" t="str">
        <f t="shared" si="1295"/>
        <v>FARHANA BINTI MUSTAPA</v>
      </c>
      <c r="W3199" t="str">
        <f t="shared" si="1296"/>
        <v>04-08-2020</v>
      </c>
      <c r="X3199" t="str">
        <f t="shared" si="1297"/>
        <v>RAZIMAH ANSAR AHMAD</v>
      </c>
      <c r="Y3199" t="str">
        <f t="shared" si="1298"/>
        <v>04-08-2020</v>
      </c>
      <c r="Z3199" t="str">
        <f>"COS10200804 5955"</f>
        <v>COS10200804 5955</v>
      </c>
    </row>
    <row r="3200" spans="1:26" x14ac:dyDescent="0.25">
      <c r="A3200" t="str">
        <f t="shared" si="1309"/>
        <v>04-08-2020 12:58:13</v>
      </c>
      <c r="B3200" t="str">
        <f>"0000807744"</f>
        <v>0000807744</v>
      </c>
      <c r="C3200" t="str">
        <f t="shared" si="1310"/>
        <v>0000807590</v>
      </c>
      <c r="D3200" t="str">
        <f t="shared" si="1286"/>
        <v>73185</v>
      </c>
      <c r="E3200" t="str">
        <f t="shared" si="1287"/>
        <v>KFH-OPERATIONS DEPARTMENT</v>
      </c>
      <c r="F3200" t="str">
        <f t="shared" si="1288"/>
        <v>IBG</v>
      </c>
      <c r="G3200" t="str">
        <f t="shared" si="1303"/>
        <v>Refund COSHARE 10</v>
      </c>
      <c r="H3200" s="2">
        <v>965.45</v>
      </c>
      <c r="I3200" t="str">
        <f>"MOHD ZULFADHLY BIN AMIR PAZAR"</f>
        <v>MOHD ZULFADHLY BIN AMIR PAZAR</v>
      </c>
      <c r="J3200" t="str">
        <f t="shared" si="1304"/>
        <v>MAYBANK / MAYBANK ISLAMIC</v>
      </c>
      <c r="K3200" t="str">
        <f>"154053323243"</f>
        <v>154053323243</v>
      </c>
      <c r="L3200" t="str">
        <f t="shared" si="1311"/>
        <v>04-08-2020</v>
      </c>
      <c r="M3200" t="str">
        <f t="shared" si="1311"/>
        <v>04-08-2020</v>
      </c>
      <c r="N3200" t="str">
        <f t="shared" si="1289"/>
        <v>001105018356</v>
      </c>
      <c r="O3200" t="str">
        <f t="shared" si="1290"/>
        <v>MYR</v>
      </c>
      <c r="P3200" t="str">
        <f t="shared" si="1312"/>
        <v>NIL</v>
      </c>
      <c r="Q3200" t="str">
        <f t="shared" si="1312"/>
        <v>NIL</v>
      </c>
      <c r="R3200" t="str">
        <f t="shared" si="1291"/>
        <v>Accepted</v>
      </c>
      <c r="S3200" t="str">
        <f t="shared" si="1292"/>
        <v>Approved</v>
      </c>
      <c r="T3200" t="str">
        <f t="shared" si="1293"/>
        <v>10.20.8.188</v>
      </c>
      <c r="U3200" t="str">
        <f t="shared" si="1294"/>
        <v>AZRAD UMAR BIN SHAARI</v>
      </c>
      <c r="V3200" t="str">
        <f t="shared" si="1295"/>
        <v>FARHANA BINTI MUSTAPA</v>
      </c>
      <c r="W3200" t="str">
        <f t="shared" si="1296"/>
        <v>04-08-2020</v>
      </c>
      <c r="X3200" t="str">
        <f t="shared" si="1297"/>
        <v>RAZIMAH ANSAR AHMAD</v>
      </c>
      <c r="Y3200" t="str">
        <f t="shared" si="1298"/>
        <v>04-08-2020</v>
      </c>
      <c r="Z3200" t="str">
        <f>"COS10200804 5954"</f>
        <v>COS10200804 5954</v>
      </c>
    </row>
    <row r="3201" spans="1:26" x14ac:dyDescent="0.25">
      <c r="A3201" t="str">
        <f t="shared" si="1309"/>
        <v>04-08-2020 12:58:13</v>
      </c>
      <c r="B3201" t="str">
        <f>"0000807743"</f>
        <v>0000807743</v>
      </c>
      <c r="C3201" t="str">
        <f t="shared" si="1310"/>
        <v>0000807590</v>
      </c>
      <c r="D3201" t="str">
        <f t="shared" si="1286"/>
        <v>73185</v>
      </c>
      <c r="E3201" t="str">
        <f t="shared" si="1287"/>
        <v>KFH-OPERATIONS DEPARTMENT</v>
      </c>
      <c r="F3201" t="str">
        <f t="shared" si="1288"/>
        <v>IBG</v>
      </c>
      <c r="G3201" t="str">
        <f t="shared" si="1303"/>
        <v>Refund COSHARE 10</v>
      </c>
      <c r="H3201" s="2">
        <v>1511.1</v>
      </c>
      <c r="I3201" t="str">
        <f>"MOHD ZUKIME BIN MAT JUNOH"</f>
        <v>MOHD ZUKIME BIN MAT JUNOH</v>
      </c>
      <c r="J3201" t="str">
        <f t="shared" si="1304"/>
        <v>MAYBANK / MAYBANK ISLAMIC</v>
      </c>
      <c r="K3201" t="str">
        <f>"159012700168"</f>
        <v>159012700168</v>
      </c>
      <c r="L3201" t="str">
        <f t="shared" si="1311"/>
        <v>04-08-2020</v>
      </c>
      <c r="M3201" t="str">
        <f t="shared" si="1311"/>
        <v>04-08-2020</v>
      </c>
      <c r="N3201" t="str">
        <f t="shared" si="1289"/>
        <v>001105018356</v>
      </c>
      <c r="O3201" t="str">
        <f t="shared" si="1290"/>
        <v>MYR</v>
      </c>
      <c r="P3201" t="str">
        <f t="shared" si="1312"/>
        <v>NIL</v>
      </c>
      <c r="Q3201" t="str">
        <f t="shared" si="1312"/>
        <v>NIL</v>
      </c>
      <c r="R3201" t="str">
        <f t="shared" si="1291"/>
        <v>Accepted</v>
      </c>
      <c r="S3201" t="str">
        <f t="shared" si="1292"/>
        <v>Approved</v>
      </c>
      <c r="T3201" t="str">
        <f t="shared" si="1293"/>
        <v>10.20.8.188</v>
      </c>
      <c r="U3201" t="str">
        <f t="shared" si="1294"/>
        <v>AZRAD UMAR BIN SHAARI</v>
      </c>
      <c r="V3201" t="str">
        <f t="shared" si="1295"/>
        <v>FARHANA BINTI MUSTAPA</v>
      </c>
      <c r="W3201" t="str">
        <f t="shared" si="1296"/>
        <v>04-08-2020</v>
      </c>
      <c r="X3201" t="str">
        <f t="shared" si="1297"/>
        <v>RAZIMAH ANSAR AHMAD</v>
      </c>
      <c r="Y3201" t="str">
        <f t="shared" si="1298"/>
        <v>04-08-2020</v>
      </c>
      <c r="Z3201" t="str">
        <f>"COS10200804 5953"</f>
        <v>COS10200804 5953</v>
      </c>
    </row>
    <row r="3202" spans="1:26" x14ac:dyDescent="0.25">
      <c r="A3202" t="str">
        <f t="shared" si="1309"/>
        <v>04-08-2020 12:58:13</v>
      </c>
      <c r="B3202" t="str">
        <f>"0000807742"</f>
        <v>0000807742</v>
      </c>
      <c r="C3202" t="str">
        <f t="shared" si="1310"/>
        <v>0000807590</v>
      </c>
      <c r="D3202" t="str">
        <f t="shared" si="1286"/>
        <v>73185</v>
      </c>
      <c r="E3202" t="str">
        <f t="shared" si="1287"/>
        <v>KFH-OPERATIONS DEPARTMENT</v>
      </c>
      <c r="F3202" t="str">
        <f t="shared" si="1288"/>
        <v>IBG</v>
      </c>
      <c r="G3202" t="str">
        <f t="shared" si="1303"/>
        <v>Refund COSHARE 10</v>
      </c>
      <c r="H3202" s="2">
        <v>721</v>
      </c>
      <c r="I3202" t="str">
        <f>"MOHD ZUKI BIN YAHAYA"</f>
        <v>MOHD ZUKI BIN YAHAYA</v>
      </c>
      <c r="J3202" t="str">
        <f t="shared" si="1304"/>
        <v>MAYBANK / MAYBANK ISLAMIC</v>
      </c>
      <c r="K3202" t="str">
        <f>"159021054708"</f>
        <v>159021054708</v>
      </c>
      <c r="L3202" t="str">
        <f t="shared" si="1311"/>
        <v>04-08-2020</v>
      </c>
      <c r="M3202" t="str">
        <f t="shared" si="1311"/>
        <v>04-08-2020</v>
      </c>
      <c r="N3202" t="str">
        <f t="shared" si="1289"/>
        <v>001105018356</v>
      </c>
      <c r="O3202" t="str">
        <f t="shared" si="1290"/>
        <v>MYR</v>
      </c>
      <c r="P3202" t="str">
        <f t="shared" si="1312"/>
        <v>NIL</v>
      </c>
      <c r="Q3202" t="str">
        <f t="shared" si="1312"/>
        <v>NIL</v>
      </c>
      <c r="R3202" t="str">
        <f t="shared" si="1291"/>
        <v>Accepted</v>
      </c>
      <c r="S3202" t="str">
        <f t="shared" si="1292"/>
        <v>Approved</v>
      </c>
      <c r="T3202" t="str">
        <f t="shared" si="1293"/>
        <v>10.20.8.188</v>
      </c>
      <c r="U3202" t="str">
        <f t="shared" si="1294"/>
        <v>AZRAD UMAR BIN SHAARI</v>
      </c>
      <c r="V3202" t="str">
        <f t="shared" si="1295"/>
        <v>FARHANA BINTI MUSTAPA</v>
      </c>
      <c r="W3202" t="str">
        <f t="shared" si="1296"/>
        <v>04-08-2020</v>
      </c>
      <c r="X3202" t="str">
        <f t="shared" si="1297"/>
        <v>RAZIMAH ANSAR AHMAD</v>
      </c>
      <c r="Y3202" t="str">
        <f t="shared" si="1298"/>
        <v>04-08-2020</v>
      </c>
      <c r="Z3202" t="str">
        <f>"COS10200804 5952"</f>
        <v>COS10200804 5952</v>
      </c>
    </row>
    <row r="3203" spans="1:26" x14ac:dyDescent="0.25">
      <c r="A3203" t="str">
        <f t="shared" si="1309"/>
        <v>04-08-2020 12:58:13</v>
      </c>
      <c r="B3203" t="str">
        <f>"0000807741"</f>
        <v>0000807741</v>
      </c>
      <c r="C3203" t="str">
        <f t="shared" si="1310"/>
        <v>0000807590</v>
      </c>
      <c r="D3203" t="str">
        <f t="shared" si="1286"/>
        <v>73185</v>
      </c>
      <c r="E3203" t="str">
        <f t="shared" si="1287"/>
        <v>KFH-OPERATIONS DEPARTMENT</v>
      </c>
      <c r="F3203" t="str">
        <f t="shared" si="1288"/>
        <v>IBG</v>
      </c>
      <c r="G3203" t="str">
        <f t="shared" si="1303"/>
        <v>Refund COSHARE 10</v>
      </c>
      <c r="H3203" s="2">
        <v>721</v>
      </c>
      <c r="I3203" t="str">
        <f>"MOHD ZUKI BIN YAHAYA"</f>
        <v>MOHD ZUKI BIN YAHAYA</v>
      </c>
      <c r="J3203" t="str">
        <f t="shared" si="1304"/>
        <v>MAYBANK / MAYBANK ISLAMIC</v>
      </c>
      <c r="K3203" t="str">
        <f>"159021054708"</f>
        <v>159021054708</v>
      </c>
      <c r="L3203" t="str">
        <f t="shared" si="1311"/>
        <v>04-08-2020</v>
      </c>
      <c r="M3203" t="str">
        <f t="shared" si="1311"/>
        <v>04-08-2020</v>
      </c>
      <c r="N3203" t="str">
        <f t="shared" si="1289"/>
        <v>001105018356</v>
      </c>
      <c r="O3203" t="str">
        <f t="shared" si="1290"/>
        <v>MYR</v>
      </c>
      <c r="P3203" t="str">
        <f t="shared" si="1312"/>
        <v>NIL</v>
      </c>
      <c r="Q3203" t="str">
        <f t="shared" si="1312"/>
        <v>NIL</v>
      </c>
      <c r="R3203" t="str">
        <f t="shared" si="1291"/>
        <v>Accepted</v>
      </c>
      <c r="S3203" t="str">
        <f t="shared" si="1292"/>
        <v>Approved</v>
      </c>
      <c r="T3203" t="str">
        <f t="shared" si="1293"/>
        <v>10.20.8.188</v>
      </c>
      <c r="U3203" t="str">
        <f t="shared" si="1294"/>
        <v>AZRAD UMAR BIN SHAARI</v>
      </c>
      <c r="V3203" t="str">
        <f t="shared" si="1295"/>
        <v>FARHANA BINTI MUSTAPA</v>
      </c>
      <c r="W3203" t="str">
        <f t="shared" si="1296"/>
        <v>04-08-2020</v>
      </c>
      <c r="X3203" t="str">
        <f t="shared" si="1297"/>
        <v>RAZIMAH ANSAR AHMAD</v>
      </c>
      <c r="Y3203" t="str">
        <f t="shared" si="1298"/>
        <v>04-08-2020</v>
      </c>
      <c r="Z3203" t="str">
        <f>"COS10200804 5951"</f>
        <v>COS10200804 5951</v>
      </c>
    </row>
    <row r="3204" spans="1:26" x14ac:dyDescent="0.25">
      <c r="A3204" t="str">
        <f t="shared" si="1309"/>
        <v>04-08-2020 12:58:13</v>
      </c>
      <c r="B3204" t="str">
        <f>"0000807740"</f>
        <v>0000807740</v>
      </c>
      <c r="C3204" t="str">
        <f t="shared" si="1310"/>
        <v>0000807590</v>
      </c>
      <c r="D3204" t="str">
        <f t="shared" si="1286"/>
        <v>73185</v>
      </c>
      <c r="E3204" t="str">
        <f t="shared" si="1287"/>
        <v>KFH-OPERATIONS DEPARTMENT</v>
      </c>
      <c r="F3204" t="str">
        <f t="shared" si="1288"/>
        <v>IBG</v>
      </c>
      <c r="G3204" t="str">
        <f t="shared" si="1303"/>
        <v>Refund COSHARE 10</v>
      </c>
      <c r="H3204" s="2">
        <v>1091.3499999999999</v>
      </c>
      <c r="I3204" t="str">
        <f>"MOHD ZUHAIRY BIN SUMINGAN"</f>
        <v>MOHD ZUHAIRY BIN SUMINGAN</v>
      </c>
      <c r="J3204" t="str">
        <f t="shared" si="1304"/>
        <v>MAYBANK / MAYBANK ISLAMIC</v>
      </c>
      <c r="K3204" t="str">
        <f>"114280440980"</f>
        <v>114280440980</v>
      </c>
      <c r="L3204" t="str">
        <f t="shared" si="1311"/>
        <v>04-08-2020</v>
      </c>
      <c r="M3204" t="str">
        <f t="shared" si="1311"/>
        <v>04-08-2020</v>
      </c>
      <c r="N3204" t="str">
        <f t="shared" si="1289"/>
        <v>001105018356</v>
      </c>
      <c r="O3204" t="str">
        <f t="shared" si="1290"/>
        <v>MYR</v>
      </c>
      <c r="P3204" t="str">
        <f t="shared" si="1312"/>
        <v>NIL</v>
      </c>
      <c r="Q3204" t="str">
        <f t="shared" si="1312"/>
        <v>NIL</v>
      </c>
      <c r="R3204" t="str">
        <f t="shared" si="1291"/>
        <v>Accepted</v>
      </c>
      <c r="S3204" t="str">
        <f t="shared" si="1292"/>
        <v>Approved</v>
      </c>
      <c r="T3204" t="str">
        <f t="shared" si="1293"/>
        <v>10.20.8.188</v>
      </c>
      <c r="U3204" t="str">
        <f t="shared" si="1294"/>
        <v>AZRAD UMAR BIN SHAARI</v>
      </c>
      <c r="V3204" t="str">
        <f t="shared" si="1295"/>
        <v>FARHANA BINTI MUSTAPA</v>
      </c>
      <c r="W3204" t="str">
        <f t="shared" si="1296"/>
        <v>04-08-2020</v>
      </c>
      <c r="X3204" t="str">
        <f t="shared" si="1297"/>
        <v>RAZIMAH ANSAR AHMAD</v>
      </c>
      <c r="Y3204" t="str">
        <f t="shared" si="1298"/>
        <v>04-08-2020</v>
      </c>
      <c r="Z3204" t="str">
        <f>"COS10200804 5950"</f>
        <v>COS10200804 5950</v>
      </c>
    </row>
    <row r="3205" spans="1:26" x14ac:dyDescent="0.25">
      <c r="A3205" t="str">
        <f t="shared" si="1309"/>
        <v>04-08-2020 12:58:13</v>
      </c>
      <c r="B3205" t="str">
        <f>"0000807739"</f>
        <v>0000807739</v>
      </c>
      <c r="C3205" t="str">
        <f t="shared" si="1310"/>
        <v>0000807590</v>
      </c>
      <c r="D3205" t="str">
        <f t="shared" si="1286"/>
        <v>73185</v>
      </c>
      <c r="E3205" t="str">
        <f t="shared" si="1287"/>
        <v>KFH-OPERATIONS DEPARTMENT</v>
      </c>
      <c r="F3205" t="str">
        <f t="shared" si="1288"/>
        <v>IBG</v>
      </c>
      <c r="G3205" t="str">
        <f t="shared" si="1303"/>
        <v>Refund COSHARE 10</v>
      </c>
      <c r="H3205" s="2">
        <v>377.8</v>
      </c>
      <c r="I3205" t="str">
        <f>"MOHD ZUHAIRI BIN ANI"</f>
        <v>MOHD ZUHAIRI BIN ANI</v>
      </c>
      <c r="J3205" t="str">
        <f t="shared" si="1304"/>
        <v>MAYBANK / MAYBANK ISLAMIC</v>
      </c>
      <c r="K3205" t="str">
        <f>"156039356120"</f>
        <v>156039356120</v>
      </c>
      <c r="L3205" t="str">
        <f t="shared" si="1311"/>
        <v>04-08-2020</v>
      </c>
      <c r="M3205" t="str">
        <f t="shared" si="1311"/>
        <v>04-08-2020</v>
      </c>
      <c r="N3205" t="str">
        <f t="shared" si="1289"/>
        <v>001105018356</v>
      </c>
      <c r="O3205" t="str">
        <f t="shared" si="1290"/>
        <v>MYR</v>
      </c>
      <c r="P3205" t="str">
        <f t="shared" si="1312"/>
        <v>NIL</v>
      </c>
      <c r="Q3205" t="str">
        <f t="shared" si="1312"/>
        <v>NIL</v>
      </c>
      <c r="R3205" t="str">
        <f t="shared" si="1291"/>
        <v>Accepted</v>
      </c>
      <c r="S3205" t="str">
        <f t="shared" si="1292"/>
        <v>Approved</v>
      </c>
      <c r="T3205" t="str">
        <f t="shared" si="1293"/>
        <v>10.20.8.188</v>
      </c>
      <c r="U3205" t="str">
        <f t="shared" si="1294"/>
        <v>AZRAD UMAR BIN SHAARI</v>
      </c>
      <c r="V3205" t="str">
        <f t="shared" si="1295"/>
        <v>FARHANA BINTI MUSTAPA</v>
      </c>
      <c r="W3205" t="str">
        <f t="shared" si="1296"/>
        <v>04-08-2020</v>
      </c>
      <c r="X3205" t="str">
        <f t="shared" si="1297"/>
        <v>RAZIMAH ANSAR AHMAD</v>
      </c>
      <c r="Y3205" t="str">
        <f t="shared" si="1298"/>
        <v>04-08-2020</v>
      </c>
      <c r="Z3205" t="str">
        <f>"COS10200804 5949"</f>
        <v>COS10200804 5949</v>
      </c>
    </row>
    <row r="3206" spans="1:26" x14ac:dyDescent="0.25">
      <c r="A3206" t="str">
        <f t="shared" si="1309"/>
        <v>04-08-2020 12:58:13</v>
      </c>
      <c r="B3206" t="str">
        <f>"0000807738"</f>
        <v>0000807738</v>
      </c>
      <c r="C3206" t="str">
        <f t="shared" si="1310"/>
        <v>0000807590</v>
      </c>
      <c r="D3206" t="str">
        <f t="shared" si="1286"/>
        <v>73185</v>
      </c>
      <c r="E3206" t="str">
        <f t="shared" si="1287"/>
        <v>KFH-OPERATIONS DEPARTMENT</v>
      </c>
      <c r="F3206" t="str">
        <f t="shared" si="1288"/>
        <v>IBG</v>
      </c>
      <c r="G3206" t="str">
        <f t="shared" si="1303"/>
        <v>Refund COSHARE 10</v>
      </c>
      <c r="H3206" s="2">
        <v>524</v>
      </c>
      <c r="I3206" t="str">
        <f>"MOHD ZHARIF BIN OTHMAN"</f>
        <v>MOHD ZHARIF BIN OTHMAN</v>
      </c>
      <c r="J3206" t="str">
        <f t="shared" si="1304"/>
        <v>MAYBANK / MAYBANK ISLAMIC</v>
      </c>
      <c r="K3206" t="str">
        <f>"157054634294"</f>
        <v>157054634294</v>
      </c>
      <c r="L3206" t="str">
        <f t="shared" si="1311"/>
        <v>04-08-2020</v>
      </c>
      <c r="M3206" t="str">
        <f t="shared" si="1311"/>
        <v>04-08-2020</v>
      </c>
      <c r="N3206" t="str">
        <f t="shared" si="1289"/>
        <v>001105018356</v>
      </c>
      <c r="O3206" t="str">
        <f t="shared" si="1290"/>
        <v>MYR</v>
      </c>
      <c r="P3206" t="str">
        <f t="shared" si="1312"/>
        <v>NIL</v>
      </c>
      <c r="Q3206" t="str">
        <f t="shared" si="1312"/>
        <v>NIL</v>
      </c>
      <c r="R3206" t="str">
        <f t="shared" si="1291"/>
        <v>Accepted</v>
      </c>
      <c r="S3206" t="str">
        <f t="shared" si="1292"/>
        <v>Approved</v>
      </c>
      <c r="T3206" t="str">
        <f t="shared" si="1293"/>
        <v>10.20.8.188</v>
      </c>
      <c r="U3206" t="str">
        <f t="shared" si="1294"/>
        <v>AZRAD UMAR BIN SHAARI</v>
      </c>
      <c r="V3206" t="str">
        <f t="shared" si="1295"/>
        <v>FARHANA BINTI MUSTAPA</v>
      </c>
      <c r="W3206" t="str">
        <f t="shared" si="1296"/>
        <v>04-08-2020</v>
      </c>
      <c r="X3206" t="str">
        <f t="shared" si="1297"/>
        <v>RAZIMAH ANSAR AHMAD</v>
      </c>
      <c r="Y3206" t="str">
        <f t="shared" si="1298"/>
        <v>04-08-2020</v>
      </c>
      <c r="Z3206" t="str">
        <f>"COS10200804 5948"</f>
        <v>COS10200804 5948</v>
      </c>
    </row>
    <row r="3207" spans="1:26" x14ac:dyDescent="0.25">
      <c r="A3207" t="str">
        <f t="shared" si="1309"/>
        <v>04-08-2020 12:58:13</v>
      </c>
      <c r="B3207" t="str">
        <f>"0000807737"</f>
        <v>0000807737</v>
      </c>
      <c r="C3207" t="str">
        <f t="shared" si="1310"/>
        <v>0000807590</v>
      </c>
      <c r="D3207" t="str">
        <f t="shared" ref="D3207:D3270" si="1313">"73185"</f>
        <v>73185</v>
      </c>
      <c r="E3207" t="str">
        <f t="shared" ref="E3207:E3270" si="1314">"KFH-OPERATIONS DEPARTMENT"</f>
        <v>KFH-OPERATIONS DEPARTMENT</v>
      </c>
      <c r="F3207" t="str">
        <f t="shared" ref="F3207:F3270" si="1315">"IBG"</f>
        <v>IBG</v>
      </c>
      <c r="G3207" t="str">
        <f t="shared" si="1303"/>
        <v>Refund COSHARE 10</v>
      </c>
      <c r="H3207" s="2">
        <v>258.60000000000002</v>
      </c>
      <c r="I3207" t="str">
        <f>"MOHD ZAWAWI BIN YUSOFF"</f>
        <v>MOHD ZAWAWI BIN YUSOFF</v>
      </c>
      <c r="J3207" t="str">
        <f t="shared" si="1304"/>
        <v>MAYBANK / MAYBANK ISLAMIC</v>
      </c>
      <c r="K3207" t="str">
        <f>"102073028334"</f>
        <v>102073028334</v>
      </c>
      <c r="L3207" t="str">
        <f t="shared" ref="L3207:M3226" si="1316">"04-08-2020"</f>
        <v>04-08-2020</v>
      </c>
      <c r="M3207" t="str">
        <f t="shared" si="1316"/>
        <v>04-08-2020</v>
      </c>
      <c r="N3207" t="str">
        <f t="shared" ref="N3207:N3270" si="1317">"001105018356"</f>
        <v>001105018356</v>
      </c>
      <c r="O3207" t="str">
        <f t="shared" ref="O3207:O3270" si="1318">"MYR"</f>
        <v>MYR</v>
      </c>
      <c r="P3207" t="str">
        <f t="shared" ref="P3207:Q3226" si="1319">"NIL"</f>
        <v>NIL</v>
      </c>
      <c r="Q3207" t="str">
        <f t="shared" si="1319"/>
        <v>NIL</v>
      </c>
      <c r="R3207" t="str">
        <f t="shared" ref="R3207:R3270" si="1320">"Accepted"</f>
        <v>Accepted</v>
      </c>
      <c r="S3207" t="str">
        <f t="shared" ref="S3207:S3270" si="1321">"Approved"</f>
        <v>Approved</v>
      </c>
      <c r="T3207" t="str">
        <f t="shared" ref="T3207:T3270" si="1322">"10.20.8.188"</f>
        <v>10.20.8.188</v>
      </c>
      <c r="U3207" t="str">
        <f t="shared" ref="U3207:U3270" si="1323">"AZRAD UMAR BIN SHAARI"</f>
        <v>AZRAD UMAR BIN SHAARI</v>
      </c>
      <c r="V3207" t="str">
        <f t="shared" ref="V3207:V3270" si="1324">"FARHANA BINTI MUSTAPA"</f>
        <v>FARHANA BINTI MUSTAPA</v>
      </c>
      <c r="W3207" t="str">
        <f t="shared" ref="W3207:W3270" si="1325">"04-08-2020"</f>
        <v>04-08-2020</v>
      </c>
      <c r="X3207" t="str">
        <f t="shared" ref="X3207:X3270" si="1326">"RAZIMAH ANSAR AHMAD"</f>
        <v>RAZIMAH ANSAR AHMAD</v>
      </c>
      <c r="Y3207" t="str">
        <f t="shared" ref="Y3207:Y3270" si="1327">"04-08-2020"</f>
        <v>04-08-2020</v>
      </c>
      <c r="Z3207" t="str">
        <f>"COS10200804 5947"</f>
        <v>COS10200804 5947</v>
      </c>
    </row>
    <row r="3208" spans="1:26" x14ac:dyDescent="0.25">
      <c r="A3208" t="str">
        <f t="shared" si="1309"/>
        <v>04-08-2020 12:58:13</v>
      </c>
      <c r="B3208" t="str">
        <f>"0000807736"</f>
        <v>0000807736</v>
      </c>
      <c r="C3208" t="str">
        <f t="shared" si="1310"/>
        <v>0000807590</v>
      </c>
      <c r="D3208" t="str">
        <f t="shared" si="1313"/>
        <v>73185</v>
      </c>
      <c r="E3208" t="str">
        <f t="shared" si="1314"/>
        <v>KFH-OPERATIONS DEPARTMENT</v>
      </c>
      <c r="F3208" t="str">
        <f t="shared" si="1315"/>
        <v>IBG</v>
      </c>
      <c r="G3208" t="str">
        <f t="shared" si="1303"/>
        <v>Refund COSHARE 10</v>
      </c>
      <c r="H3208" s="2">
        <v>71</v>
      </c>
      <c r="I3208" t="str">
        <f>"MOHD ZAMRI BIN MOHD ISA"</f>
        <v>MOHD ZAMRI BIN MOHD ISA</v>
      </c>
      <c r="J3208" t="str">
        <f t="shared" si="1304"/>
        <v>MAYBANK / MAYBANK ISLAMIC</v>
      </c>
      <c r="K3208" t="str">
        <f>"107086210132"</f>
        <v>107086210132</v>
      </c>
      <c r="L3208" t="str">
        <f t="shared" si="1316"/>
        <v>04-08-2020</v>
      </c>
      <c r="M3208" t="str">
        <f t="shared" si="1316"/>
        <v>04-08-2020</v>
      </c>
      <c r="N3208" t="str">
        <f t="shared" si="1317"/>
        <v>001105018356</v>
      </c>
      <c r="O3208" t="str">
        <f t="shared" si="1318"/>
        <v>MYR</v>
      </c>
      <c r="P3208" t="str">
        <f t="shared" si="1319"/>
        <v>NIL</v>
      </c>
      <c r="Q3208" t="str">
        <f t="shared" si="1319"/>
        <v>NIL</v>
      </c>
      <c r="R3208" t="str">
        <f t="shared" si="1320"/>
        <v>Accepted</v>
      </c>
      <c r="S3208" t="str">
        <f t="shared" si="1321"/>
        <v>Approved</v>
      </c>
      <c r="T3208" t="str">
        <f t="shared" si="1322"/>
        <v>10.20.8.188</v>
      </c>
      <c r="U3208" t="str">
        <f t="shared" si="1323"/>
        <v>AZRAD UMAR BIN SHAARI</v>
      </c>
      <c r="V3208" t="str">
        <f t="shared" si="1324"/>
        <v>FARHANA BINTI MUSTAPA</v>
      </c>
      <c r="W3208" t="str">
        <f t="shared" si="1325"/>
        <v>04-08-2020</v>
      </c>
      <c r="X3208" t="str">
        <f t="shared" si="1326"/>
        <v>RAZIMAH ANSAR AHMAD</v>
      </c>
      <c r="Y3208" t="str">
        <f t="shared" si="1327"/>
        <v>04-08-2020</v>
      </c>
      <c r="Z3208" t="str">
        <f>"COS10200804 5946"</f>
        <v>COS10200804 5946</v>
      </c>
    </row>
    <row r="3209" spans="1:26" x14ac:dyDescent="0.25">
      <c r="A3209" t="str">
        <f t="shared" si="1309"/>
        <v>04-08-2020 12:58:13</v>
      </c>
      <c r="B3209" t="str">
        <f>"0000807735"</f>
        <v>0000807735</v>
      </c>
      <c r="C3209" t="str">
        <f t="shared" si="1310"/>
        <v>0000807590</v>
      </c>
      <c r="D3209" t="str">
        <f t="shared" si="1313"/>
        <v>73185</v>
      </c>
      <c r="E3209" t="str">
        <f t="shared" si="1314"/>
        <v>KFH-OPERATIONS DEPARTMENT</v>
      </c>
      <c r="F3209" t="str">
        <f t="shared" si="1315"/>
        <v>IBG</v>
      </c>
      <c r="G3209" t="str">
        <f t="shared" si="1303"/>
        <v>Refund COSHARE 10</v>
      </c>
      <c r="H3209" s="2">
        <v>600</v>
      </c>
      <c r="I3209" t="str">
        <f>"MOHD ZAMRI BIN AMAT"</f>
        <v>MOHD ZAMRI BIN AMAT</v>
      </c>
      <c r="J3209" t="str">
        <f t="shared" si="1304"/>
        <v>MAYBANK / MAYBANK ISLAMIC</v>
      </c>
      <c r="K3209" t="str">
        <f>"151397149282"</f>
        <v>151397149282</v>
      </c>
      <c r="L3209" t="str">
        <f t="shared" si="1316"/>
        <v>04-08-2020</v>
      </c>
      <c r="M3209" t="str">
        <f t="shared" si="1316"/>
        <v>04-08-2020</v>
      </c>
      <c r="N3209" t="str">
        <f t="shared" si="1317"/>
        <v>001105018356</v>
      </c>
      <c r="O3209" t="str">
        <f t="shared" si="1318"/>
        <v>MYR</v>
      </c>
      <c r="P3209" t="str">
        <f t="shared" si="1319"/>
        <v>NIL</v>
      </c>
      <c r="Q3209" t="str">
        <f t="shared" si="1319"/>
        <v>NIL</v>
      </c>
      <c r="R3209" t="str">
        <f t="shared" si="1320"/>
        <v>Accepted</v>
      </c>
      <c r="S3209" t="str">
        <f t="shared" si="1321"/>
        <v>Approved</v>
      </c>
      <c r="T3209" t="str">
        <f t="shared" si="1322"/>
        <v>10.20.8.188</v>
      </c>
      <c r="U3209" t="str">
        <f t="shared" si="1323"/>
        <v>AZRAD UMAR BIN SHAARI</v>
      </c>
      <c r="V3209" t="str">
        <f t="shared" si="1324"/>
        <v>FARHANA BINTI MUSTAPA</v>
      </c>
      <c r="W3209" t="str">
        <f t="shared" si="1325"/>
        <v>04-08-2020</v>
      </c>
      <c r="X3209" t="str">
        <f t="shared" si="1326"/>
        <v>RAZIMAH ANSAR AHMAD</v>
      </c>
      <c r="Y3209" t="str">
        <f t="shared" si="1327"/>
        <v>04-08-2020</v>
      </c>
      <c r="Z3209" t="str">
        <f>"COS10200804 5945"</f>
        <v>COS10200804 5945</v>
      </c>
    </row>
    <row r="3210" spans="1:26" x14ac:dyDescent="0.25">
      <c r="A3210" t="str">
        <f t="shared" si="1309"/>
        <v>04-08-2020 12:58:13</v>
      </c>
      <c r="B3210" t="str">
        <f>"0000807734"</f>
        <v>0000807734</v>
      </c>
      <c r="C3210" t="str">
        <f t="shared" si="1310"/>
        <v>0000807590</v>
      </c>
      <c r="D3210" t="str">
        <f t="shared" si="1313"/>
        <v>73185</v>
      </c>
      <c r="E3210" t="str">
        <f t="shared" si="1314"/>
        <v>KFH-OPERATIONS DEPARTMENT</v>
      </c>
      <c r="F3210" t="str">
        <f t="shared" si="1315"/>
        <v>IBG</v>
      </c>
      <c r="G3210" t="str">
        <f t="shared" si="1303"/>
        <v>Refund COSHARE 10</v>
      </c>
      <c r="H3210" s="2">
        <v>240</v>
      </c>
      <c r="I3210" t="str">
        <f>"MOHD ZAMRI BIN ABDULLAH"</f>
        <v>MOHD ZAMRI BIN ABDULLAH</v>
      </c>
      <c r="J3210" t="str">
        <f t="shared" si="1304"/>
        <v>MAYBANK / MAYBANK ISLAMIC</v>
      </c>
      <c r="K3210" t="str">
        <f>"101011509801"</f>
        <v>101011509801</v>
      </c>
      <c r="L3210" t="str">
        <f t="shared" si="1316"/>
        <v>04-08-2020</v>
      </c>
      <c r="M3210" t="str">
        <f t="shared" si="1316"/>
        <v>04-08-2020</v>
      </c>
      <c r="N3210" t="str">
        <f t="shared" si="1317"/>
        <v>001105018356</v>
      </c>
      <c r="O3210" t="str">
        <f t="shared" si="1318"/>
        <v>MYR</v>
      </c>
      <c r="P3210" t="str">
        <f t="shared" si="1319"/>
        <v>NIL</v>
      </c>
      <c r="Q3210" t="str">
        <f t="shared" si="1319"/>
        <v>NIL</v>
      </c>
      <c r="R3210" t="str">
        <f t="shared" si="1320"/>
        <v>Accepted</v>
      </c>
      <c r="S3210" t="str">
        <f t="shared" si="1321"/>
        <v>Approved</v>
      </c>
      <c r="T3210" t="str">
        <f t="shared" si="1322"/>
        <v>10.20.8.188</v>
      </c>
      <c r="U3210" t="str">
        <f t="shared" si="1323"/>
        <v>AZRAD UMAR BIN SHAARI</v>
      </c>
      <c r="V3210" t="str">
        <f t="shared" si="1324"/>
        <v>FARHANA BINTI MUSTAPA</v>
      </c>
      <c r="W3210" t="str">
        <f t="shared" si="1325"/>
        <v>04-08-2020</v>
      </c>
      <c r="X3210" t="str">
        <f t="shared" si="1326"/>
        <v>RAZIMAH ANSAR AHMAD</v>
      </c>
      <c r="Y3210" t="str">
        <f t="shared" si="1327"/>
        <v>04-08-2020</v>
      </c>
      <c r="Z3210" t="str">
        <f>"COS10200804 5944"</f>
        <v>COS10200804 5944</v>
      </c>
    </row>
    <row r="3211" spans="1:26" x14ac:dyDescent="0.25">
      <c r="A3211" t="str">
        <f t="shared" si="1309"/>
        <v>04-08-2020 12:58:13</v>
      </c>
      <c r="B3211" t="str">
        <f>"0000807733"</f>
        <v>0000807733</v>
      </c>
      <c r="C3211" t="str">
        <f t="shared" si="1310"/>
        <v>0000807590</v>
      </c>
      <c r="D3211" t="str">
        <f t="shared" si="1313"/>
        <v>73185</v>
      </c>
      <c r="E3211" t="str">
        <f t="shared" si="1314"/>
        <v>KFH-OPERATIONS DEPARTMENT</v>
      </c>
      <c r="F3211" t="str">
        <f t="shared" si="1315"/>
        <v>IBG</v>
      </c>
      <c r="G3211" t="str">
        <f t="shared" si="1303"/>
        <v>Refund COSHARE 10</v>
      </c>
      <c r="H3211" s="2">
        <v>713.6</v>
      </c>
      <c r="I3211" t="str">
        <f>"MOHD ZAMRI BIN ABDUL MUTALIB"</f>
        <v>MOHD ZAMRI BIN ABDUL MUTALIB</v>
      </c>
      <c r="J3211" t="str">
        <f t="shared" si="1304"/>
        <v>MAYBANK / MAYBANK ISLAMIC</v>
      </c>
      <c r="K3211" t="str">
        <f>"152107919661"</f>
        <v>152107919661</v>
      </c>
      <c r="L3211" t="str">
        <f t="shared" si="1316"/>
        <v>04-08-2020</v>
      </c>
      <c r="M3211" t="str">
        <f t="shared" si="1316"/>
        <v>04-08-2020</v>
      </c>
      <c r="N3211" t="str">
        <f t="shared" si="1317"/>
        <v>001105018356</v>
      </c>
      <c r="O3211" t="str">
        <f t="shared" si="1318"/>
        <v>MYR</v>
      </c>
      <c r="P3211" t="str">
        <f t="shared" si="1319"/>
        <v>NIL</v>
      </c>
      <c r="Q3211" t="str">
        <f t="shared" si="1319"/>
        <v>NIL</v>
      </c>
      <c r="R3211" t="str">
        <f t="shared" si="1320"/>
        <v>Accepted</v>
      </c>
      <c r="S3211" t="str">
        <f t="shared" si="1321"/>
        <v>Approved</v>
      </c>
      <c r="T3211" t="str">
        <f t="shared" si="1322"/>
        <v>10.20.8.188</v>
      </c>
      <c r="U3211" t="str">
        <f t="shared" si="1323"/>
        <v>AZRAD UMAR BIN SHAARI</v>
      </c>
      <c r="V3211" t="str">
        <f t="shared" si="1324"/>
        <v>FARHANA BINTI MUSTAPA</v>
      </c>
      <c r="W3211" t="str">
        <f t="shared" si="1325"/>
        <v>04-08-2020</v>
      </c>
      <c r="X3211" t="str">
        <f t="shared" si="1326"/>
        <v>RAZIMAH ANSAR AHMAD</v>
      </c>
      <c r="Y3211" t="str">
        <f t="shared" si="1327"/>
        <v>04-08-2020</v>
      </c>
      <c r="Z3211" t="str">
        <f>"COS10200804 5943"</f>
        <v>COS10200804 5943</v>
      </c>
    </row>
    <row r="3212" spans="1:26" x14ac:dyDescent="0.25">
      <c r="A3212" t="str">
        <f t="shared" si="1309"/>
        <v>04-08-2020 12:58:13</v>
      </c>
      <c r="B3212" t="str">
        <f>"0000807732"</f>
        <v>0000807732</v>
      </c>
      <c r="C3212" t="str">
        <f t="shared" si="1310"/>
        <v>0000807590</v>
      </c>
      <c r="D3212" t="str">
        <f t="shared" si="1313"/>
        <v>73185</v>
      </c>
      <c r="E3212" t="str">
        <f t="shared" si="1314"/>
        <v>KFH-OPERATIONS DEPARTMENT</v>
      </c>
      <c r="F3212" t="str">
        <f t="shared" si="1315"/>
        <v>IBG</v>
      </c>
      <c r="G3212" t="str">
        <f t="shared" ref="G3212:G3275" si="1328">"Refund COSHARE 10"</f>
        <v>Refund COSHARE 10</v>
      </c>
      <c r="H3212" s="2">
        <v>293.85000000000002</v>
      </c>
      <c r="I3212" t="str">
        <f>"MOHD ZAMREE BIN MASDAR"</f>
        <v>MOHD ZAMREE BIN MASDAR</v>
      </c>
      <c r="J3212" t="str">
        <f t="shared" si="1304"/>
        <v>MAYBANK / MAYBANK ISLAMIC</v>
      </c>
      <c r="K3212" t="str">
        <f>"162030627371"</f>
        <v>162030627371</v>
      </c>
      <c r="L3212" t="str">
        <f t="shared" si="1316"/>
        <v>04-08-2020</v>
      </c>
      <c r="M3212" t="str">
        <f t="shared" si="1316"/>
        <v>04-08-2020</v>
      </c>
      <c r="N3212" t="str">
        <f t="shared" si="1317"/>
        <v>001105018356</v>
      </c>
      <c r="O3212" t="str">
        <f t="shared" si="1318"/>
        <v>MYR</v>
      </c>
      <c r="P3212" t="str">
        <f t="shared" si="1319"/>
        <v>NIL</v>
      </c>
      <c r="Q3212" t="str">
        <f t="shared" si="1319"/>
        <v>NIL</v>
      </c>
      <c r="R3212" t="str">
        <f t="shared" si="1320"/>
        <v>Accepted</v>
      </c>
      <c r="S3212" t="str">
        <f t="shared" si="1321"/>
        <v>Approved</v>
      </c>
      <c r="T3212" t="str">
        <f t="shared" si="1322"/>
        <v>10.20.8.188</v>
      </c>
      <c r="U3212" t="str">
        <f t="shared" si="1323"/>
        <v>AZRAD UMAR BIN SHAARI</v>
      </c>
      <c r="V3212" t="str">
        <f t="shared" si="1324"/>
        <v>FARHANA BINTI MUSTAPA</v>
      </c>
      <c r="W3212" t="str">
        <f t="shared" si="1325"/>
        <v>04-08-2020</v>
      </c>
      <c r="X3212" t="str">
        <f t="shared" si="1326"/>
        <v>RAZIMAH ANSAR AHMAD</v>
      </c>
      <c r="Y3212" t="str">
        <f t="shared" si="1327"/>
        <v>04-08-2020</v>
      </c>
      <c r="Z3212" t="str">
        <f>"COS10200804 5942"</f>
        <v>COS10200804 5942</v>
      </c>
    </row>
    <row r="3213" spans="1:26" x14ac:dyDescent="0.25">
      <c r="A3213" t="str">
        <f t="shared" si="1309"/>
        <v>04-08-2020 12:58:13</v>
      </c>
      <c r="B3213" t="str">
        <f>"0000807731"</f>
        <v>0000807731</v>
      </c>
      <c r="C3213" t="str">
        <f t="shared" si="1310"/>
        <v>0000807590</v>
      </c>
      <c r="D3213" t="str">
        <f t="shared" si="1313"/>
        <v>73185</v>
      </c>
      <c r="E3213" t="str">
        <f t="shared" si="1314"/>
        <v>KFH-OPERATIONS DEPARTMENT</v>
      </c>
      <c r="F3213" t="str">
        <f t="shared" si="1315"/>
        <v>IBG</v>
      </c>
      <c r="G3213" t="str">
        <f t="shared" si="1328"/>
        <v>Refund COSHARE 10</v>
      </c>
      <c r="H3213" s="2">
        <v>293.85000000000002</v>
      </c>
      <c r="I3213" t="str">
        <f>"MOHD ZAMI BIN ABDUL WAHAB"</f>
        <v>MOHD ZAMI BIN ABDUL WAHAB</v>
      </c>
      <c r="J3213" t="str">
        <f t="shared" si="1304"/>
        <v>MAYBANK / MAYBANK ISLAMIC</v>
      </c>
      <c r="K3213" t="str">
        <f>"152040280172"</f>
        <v>152040280172</v>
      </c>
      <c r="L3213" t="str">
        <f t="shared" si="1316"/>
        <v>04-08-2020</v>
      </c>
      <c r="M3213" t="str">
        <f t="shared" si="1316"/>
        <v>04-08-2020</v>
      </c>
      <c r="N3213" t="str">
        <f t="shared" si="1317"/>
        <v>001105018356</v>
      </c>
      <c r="O3213" t="str">
        <f t="shared" si="1318"/>
        <v>MYR</v>
      </c>
      <c r="P3213" t="str">
        <f t="shared" si="1319"/>
        <v>NIL</v>
      </c>
      <c r="Q3213" t="str">
        <f t="shared" si="1319"/>
        <v>NIL</v>
      </c>
      <c r="R3213" t="str">
        <f t="shared" si="1320"/>
        <v>Accepted</v>
      </c>
      <c r="S3213" t="str">
        <f t="shared" si="1321"/>
        <v>Approved</v>
      </c>
      <c r="T3213" t="str">
        <f t="shared" si="1322"/>
        <v>10.20.8.188</v>
      </c>
      <c r="U3213" t="str">
        <f t="shared" si="1323"/>
        <v>AZRAD UMAR BIN SHAARI</v>
      </c>
      <c r="V3213" t="str">
        <f t="shared" si="1324"/>
        <v>FARHANA BINTI MUSTAPA</v>
      </c>
      <c r="W3213" t="str">
        <f t="shared" si="1325"/>
        <v>04-08-2020</v>
      </c>
      <c r="X3213" t="str">
        <f t="shared" si="1326"/>
        <v>RAZIMAH ANSAR AHMAD</v>
      </c>
      <c r="Y3213" t="str">
        <f t="shared" si="1327"/>
        <v>04-08-2020</v>
      </c>
      <c r="Z3213" t="str">
        <f>"COS10200804 5941"</f>
        <v>COS10200804 5941</v>
      </c>
    </row>
    <row r="3214" spans="1:26" x14ac:dyDescent="0.25">
      <c r="A3214" t="str">
        <f t="shared" si="1309"/>
        <v>04-08-2020 12:58:13</v>
      </c>
      <c r="B3214" t="str">
        <f>"0000807730"</f>
        <v>0000807730</v>
      </c>
      <c r="C3214" t="str">
        <f t="shared" si="1310"/>
        <v>0000807590</v>
      </c>
      <c r="D3214" t="str">
        <f t="shared" si="1313"/>
        <v>73185</v>
      </c>
      <c r="E3214" t="str">
        <f t="shared" si="1314"/>
        <v>KFH-OPERATIONS DEPARTMENT</v>
      </c>
      <c r="F3214" t="str">
        <f t="shared" si="1315"/>
        <v>IBG</v>
      </c>
      <c r="G3214" t="str">
        <f t="shared" si="1328"/>
        <v>Refund COSHARE 10</v>
      </c>
      <c r="H3214" s="2">
        <v>810.3</v>
      </c>
      <c r="I3214" t="str">
        <f>"MOHD ZALIAN BIN NORDIN"</f>
        <v>MOHD ZALIAN BIN NORDIN</v>
      </c>
      <c r="J3214" t="str">
        <f t="shared" si="1304"/>
        <v>MAYBANK / MAYBANK ISLAMIC</v>
      </c>
      <c r="K3214" t="str">
        <f>"108123010648"</f>
        <v>108123010648</v>
      </c>
      <c r="L3214" t="str">
        <f t="shared" si="1316"/>
        <v>04-08-2020</v>
      </c>
      <c r="M3214" t="str">
        <f t="shared" si="1316"/>
        <v>04-08-2020</v>
      </c>
      <c r="N3214" t="str">
        <f t="shared" si="1317"/>
        <v>001105018356</v>
      </c>
      <c r="O3214" t="str">
        <f t="shared" si="1318"/>
        <v>MYR</v>
      </c>
      <c r="P3214" t="str">
        <f t="shared" si="1319"/>
        <v>NIL</v>
      </c>
      <c r="Q3214" t="str">
        <f t="shared" si="1319"/>
        <v>NIL</v>
      </c>
      <c r="R3214" t="str">
        <f t="shared" si="1320"/>
        <v>Accepted</v>
      </c>
      <c r="S3214" t="str">
        <f t="shared" si="1321"/>
        <v>Approved</v>
      </c>
      <c r="T3214" t="str">
        <f t="shared" si="1322"/>
        <v>10.20.8.188</v>
      </c>
      <c r="U3214" t="str">
        <f t="shared" si="1323"/>
        <v>AZRAD UMAR BIN SHAARI</v>
      </c>
      <c r="V3214" t="str">
        <f t="shared" si="1324"/>
        <v>FARHANA BINTI MUSTAPA</v>
      </c>
      <c r="W3214" t="str">
        <f t="shared" si="1325"/>
        <v>04-08-2020</v>
      </c>
      <c r="X3214" t="str">
        <f t="shared" si="1326"/>
        <v>RAZIMAH ANSAR AHMAD</v>
      </c>
      <c r="Y3214" t="str">
        <f t="shared" si="1327"/>
        <v>04-08-2020</v>
      </c>
      <c r="Z3214" t="str">
        <f>"COS10200804 5940"</f>
        <v>COS10200804 5940</v>
      </c>
    </row>
    <row r="3215" spans="1:26" x14ac:dyDescent="0.25">
      <c r="A3215" t="str">
        <f t="shared" si="1309"/>
        <v>04-08-2020 12:58:13</v>
      </c>
      <c r="B3215" t="str">
        <f>"0000807729"</f>
        <v>0000807729</v>
      </c>
      <c r="C3215" t="str">
        <f t="shared" si="1310"/>
        <v>0000807590</v>
      </c>
      <c r="D3215" t="str">
        <f t="shared" si="1313"/>
        <v>73185</v>
      </c>
      <c r="E3215" t="str">
        <f t="shared" si="1314"/>
        <v>KFH-OPERATIONS DEPARTMENT</v>
      </c>
      <c r="F3215" t="str">
        <f t="shared" si="1315"/>
        <v>IBG</v>
      </c>
      <c r="G3215" t="str">
        <f t="shared" si="1328"/>
        <v>Refund COSHARE 10</v>
      </c>
      <c r="H3215" s="2">
        <v>283.95</v>
      </c>
      <c r="I3215" t="str">
        <f>"MOHD ZAIRI BIN YA  ZAKARIA"</f>
        <v>MOHD ZAIRI BIN YA  ZAKARIA</v>
      </c>
      <c r="J3215" t="str">
        <f t="shared" si="1304"/>
        <v>MAYBANK / MAYBANK ISLAMIC</v>
      </c>
      <c r="K3215" t="str">
        <f>"162245020329"</f>
        <v>162245020329</v>
      </c>
      <c r="L3215" t="str">
        <f t="shared" si="1316"/>
        <v>04-08-2020</v>
      </c>
      <c r="M3215" t="str">
        <f t="shared" si="1316"/>
        <v>04-08-2020</v>
      </c>
      <c r="N3215" t="str">
        <f t="shared" si="1317"/>
        <v>001105018356</v>
      </c>
      <c r="O3215" t="str">
        <f t="shared" si="1318"/>
        <v>MYR</v>
      </c>
      <c r="P3215" t="str">
        <f t="shared" si="1319"/>
        <v>NIL</v>
      </c>
      <c r="Q3215" t="str">
        <f t="shared" si="1319"/>
        <v>NIL</v>
      </c>
      <c r="R3215" t="str">
        <f t="shared" si="1320"/>
        <v>Accepted</v>
      </c>
      <c r="S3215" t="str">
        <f t="shared" si="1321"/>
        <v>Approved</v>
      </c>
      <c r="T3215" t="str">
        <f t="shared" si="1322"/>
        <v>10.20.8.188</v>
      </c>
      <c r="U3215" t="str">
        <f t="shared" si="1323"/>
        <v>AZRAD UMAR BIN SHAARI</v>
      </c>
      <c r="V3215" t="str">
        <f t="shared" si="1324"/>
        <v>FARHANA BINTI MUSTAPA</v>
      </c>
      <c r="W3215" t="str">
        <f t="shared" si="1325"/>
        <v>04-08-2020</v>
      </c>
      <c r="X3215" t="str">
        <f t="shared" si="1326"/>
        <v>RAZIMAH ANSAR AHMAD</v>
      </c>
      <c r="Y3215" t="str">
        <f t="shared" si="1327"/>
        <v>04-08-2020</v>
      </c>
      <c r="Z3215" t="str">
        <f>"COS10200804 5939"</f>
        <v>COS10200804 5939</v>
      </c>
    </row>
    <row r="3216" spans="1:26" x14ac:dyDescent="0.25">
      <c r="A3216" t="str">
        <f t="shared" si="1309"/>
        <v>04-08-2020 12:58:13</v>
      </c>
      <c r="B3216" t="str">
        <f>"0000807728"</f>
        <v>0000807728</v>
      </c>
      <c r="C3216" t="str">
        <f t="shared" si="1310"/>
        <v>0000807590</v>
      </c>
      <c r="D3216" t="str">
        <f t="shared" si="1313"/>
        <v>73185</v>
      </c>
      <c r="E3216" t="str">
        <f t="shared" si="1314"/>
        <v>KFH-OPERATIONS DEPARTMENT</v>
      </c>
      <c r="F3216" t="str">
        <f t="shared" si="1315"/>
        <v>IBG</v>
      </c>
      <c r="G3216" t="str">
        <f t="shared" si="1328"/>
        <v>Refund COSHARE 10</v>
      </c>
      <c r="H3216" s="2">
        <v>990.65</v>
      </c>
      <c r="I3216" t="str">
        <f>"MOHD ZAIMANI BIN UYOP"</f>
        <v>MOHD ZAIMANI BIN UYOP</v>
      </c>
      <c r="J3216" t="str">
        <f t="shared" si="1304"/>
        <v>MAYBANK / MAYBANK ISLAMIC</v>
      </c>
      <c r="K3216" t="str">
        <f>"101049305713"</f>
        <v>101049305713</v>
      </c>
      <c r="L3216" t="str">
        <f t="shared" si="1316"/>
        <v>04-08-2020</v>
      </c>
      <c r="M3216" t="str">
        <f t="shared" si="1316"/>
        <v>04-08-2020</v>
      </c>
      <c r="N3216" t="str">
        <f t="shared" si="1317"/>
        <v>001105018356</v>
      </c>
      <c r="O3216" t="str">
        <f t="shared" si="1318"/>
        <v>MYR</v>
      </c>
      <c r="P3216" t="str">
        <f t="shared" si="1319"/>
        <v>NIL</v>
      </c>
      <c r="Q3216" t="str">
        <f t="shared" si="1319"/>
        <v>NIL</v>
      </c>
      <c r="R3216" t="str">
        <f t="shared" si="1320"/>
        <v>Accepted</v>
      </c>
      <c r="S3216" t="str">
        <f t="shared" si="1321"/>
        <v>Approved</v>
      </c>
      <c r="T3216" t="str">
        <f t="shared" si="1322"/>
        <v>10.20.8.188</v>
      </c>
      <c r="U3216" t="str">
        <f t="shared" si="1323"/>
        <v>AZRAD UMAR BIN SHAARI</v>
      </c>
      <c r="V3216" t="str">
        <f t="shared" si="1324"/>
        <v>FARHANA BINTI MUSTAPA</v>
      </c>
      <c r="W3216" t="str">
        <f t="shared" si="1325"/>
        <v>04-08-2020</v>
      </c>
      <c r="X3216" t="str">
        <f t="shared" si="1326"/>
        <v>RAZIMAH ANSAR AHMAD</v>
      </c>
      <c r="Y3216" t="str">
        <f t="shared" si="1327"/>
        <v>04-08-2020</v>
      </c>
      <c r="Z3216" t="str">
        <f>"COS10200804 5938"</f>
        <v>COS10200804 5938</v>
      </c>
    </row>
    <row r="3217" spans="1:26" x14ac:dyDescent="0.25">
      <c r="A3217" t="str">
        <f t="shared" si="1309"/>
        <v>04-08-2020 12:58:13</v>
      </c>
      <c r="B3217" t="str">
        <f>"0000807727"</f>
        <v>0000807727</v>
      </c>
      <c r="C3217" t="str">
        <f t="shared" si="1310"/>
        <v>0000807590</v>
      </c>
      <c r="D3217" t="str">
        <f t="shared" si="1313"/>
        <v>73185</v>
      </c>
      <c r="E3217" t="str">
        <f t="shared" si="1314"/>
        <v>KFH-OPERATIONS DEPARTMENT</v>
      </c>
      <c r="F3217" t="str">
        <f t="shared" si="1315"/>
        <v>IBG</v>
      </c>
      <c r="G3217" t="str">
        <f t="shared" si="1328"/>
        <v>Refund COSHARE 10</v>
      </c>
      <c r="H3217" s="2">
        <v>83.95</v>
      </c>
      <c r="I3217" t="str">
        <f>"MOHD ZAIDI BIN ROSDI"</f>
        <v>MOHD ZAIDI BIN ROSDI</v>
      </c>
      <c r="J3217" t="str">
        <f t="shared" ref="J3217:J3280" si="1329">"MAYBANK / MAYBANK ISLAMIC"</f>
        <v>MAYBANK / MAYBANK ISLAMIC</v>
      </c>
      <c r="K3217" t="str">
        <f>"101196407929"</f>
        <v>101196407929</v>
      </c>
      <c r="L3217" t="str">
        <f t="shared" si="1316"/>
        <v>04-08-2020</v>
      </c>
      <c r="M3217" t="str">
        <f t="shared" si="1316"/>
        <v>04-08-2020</v>
      </c>
      <c r="N3217" t="str">
        <f t="shared" si="1317"/>
        <v>001105018356</v>
      </c>
      <c r="O3217" t="str">
        <f t="shared" si="1318"/>
        <v>MYR</v>
      </c>
      <c r="P3217" t="str">
        <f t="shared" si="1319"/>
        <v>NIL</v>
      </c>
      <c r="Q3217" t="str">
        <f t="shared" si="1319"/>
        <v>NIL</v>
      </c>
      <c r="R3217" t="str">
        <f t="shared" si="1320"/>
        <v>Accepted</v>
      </c>
      <c r="S3217" t="str">
        <f t="shared" si="1321"/>
        <v>Approved</v>
      </c>
      <c r="T3217" t="str">
        <f t="shared" si="1322"/>
        <v>10.20.8.188</v>
      </c>
      <c r="U3217" t="str">
        <f t="shared" si="1323"/>
        <v>AZRAD UMAR BIN SHAARI</v>
      </c>
      <c r="V3217" t="str">
        <f t="shared" si="1324"/>
        <v>FARHANA BINTI MUSTAPA</v>
      </c>
      <c r="W3217" t="str">
        <f t="shared" si="1325"/>
        <v>04-08-2020</v>
      </c>
      <c r="X3217" t="str">
        <f t="shared" si="1326"/>
        <v>RAZIMAH ANSAR AHMAD</v>
      </c>
      <c r="Y3217" t="str">
        <f t="shared" si="1327"/>
        <v>04-08-2020</v>
      </c>
      <c r="Z3217" t="str">
        <f>"COS10200804 5937"</f>
        <v>COS10200804 5937</v>
      </c>
    </row>
    <row r="3218" spans="1:26" x14ac:dyDescent="0.25">
      <c r="A3218" t="str">
        <f t="shared" ref="A3218:A3249" si="1330">"04-08-2020 12:58:13"</f>
        <v>04-08-2020 12:58:13</v>
      </c>
      <c r="B3218" t="str">
        <f>"0000807726"</f>
        <v>0000807726</v>
      </c>
      <c r="C3218" t="str">
        <f t="shared" ref="C3218:C3249" si="1331">"0000807590"</f>
        <v>0000807590</v>
      </c>
      <c r="D3218" t="str">
        <f t="shared" si="1313"/>
        <v>73185</v>
      </c>
      <c r="E3218" t="str">
        <f t="shared" si="1314"/>
        <v>KFH-OPERATIONS DEPARTMENT</v>
      </c>
      <c r="F3218" t="str">
        <f t="shared" si="1315"/>
        <v>IBG</v>
      </c>
      <c r="G3218" t="str">
        <f t="shared" si="1328"/>
        <v>Refund COSHARE 10</v>
      </c>
      <c r="H3218" s="2">
        <v>268.64999999999998</v>
      </c>
      <c r="I3218" t="str">
        <f>"MOHD ZAIDI BIN LADIM"</f>
        <v>MOHD ZAIDI BIN LADIM</v>
      </c>
      <c r="J3218" t="str">
        <f t="shared" si="1329"/>
        <v>MAYBANK / MAYBANK ISLAMIC</v>
      </c>
      <c r="K3218" t="str">
        <f>"112371033420"</f>
        <v>112371033420</v>
      </c>
      <c r="L3218" t="str">
        <f t="shared" si="1316"/>
        <v>04-08-2020</v>
      </c>
      <c r="M3218" t="str">
        <f t="shared" si="1316"/>
        <v>04-08-2020</v>
      </c>
      <c r="N3218" t="str">
        <f t="shared" si="1317"/>
        <v>001105018356</v>
      </c>
      <c r="O3218" t="str">
        <f t="shared" si="1318"/>
        <v>MYR</v>
      </c>
      <c r="P3218" t="str">
        <f t="shared" si="1319"/>
        <v>NIL</v>
      </c>
      <c r="Q3218" t="str">
        <f t="shared" si="1319"/>
        <v>NIL</v>
      </c>
      <c r="R3218" t="str">
        <f t="shared" si="1320"/>
        <v>Accepted</v>
      </c>
      <c r="S3218" t="str">
        <f t="shared" si="1321"/>
        <v>Approved</v>
      </c>
      <c r="T3218" t="str">
        <f t="shared" si="1322"/>
        <v>10.20.8.188</v>
      </c>
      <c r="U3218" t="str">
        <f t="shared" si="1323"/>
        <v>AZRAD UMAR BIN SHAARI</v>
      </c>
      <c r="V3218" t="str">
        <f t="shared" si="1324"/>
        <v>FARHANA BINTI MUSTAPA</v>
      </c>
      <c r="W3218" t="str">
        <f t="shared" si="1325"/>
        <v>04-08-2020</v>
      </c>
      <c r="X3218" t="str">
        <f t="shared" si="1326"/>
        <v>RAZIMAH ANSAR AHMAD</v>
      </c>
      <c r="Y3218" t="str">
        <f t="shared" si="1327"/>
        <v>04-08-2020</v>
      </c>
      <c r="Z3218" t="str">
        <f>"COS10200804 5936"</f>
        <v>COS10200804 5936</v>
      </c>
    </row>
    <row r="3219" spans="1:26" x14ac:dyDescent="0.25">
      <c r="A3219" t="str">
        <f t="shared" si="1330"/>
        <v>04-08-2020 12:58:13</v>
      </c>
      <c r="B3219" t="str">
        <f>"0000807725"</f>
        <v>0000807725</v>
      </c>
      <c r="C3219" t="str">
        <f t="shared" si="1331"/>
        <v>0000807590</v>
      </c>
      <c r="D3219" t="str">
        <f t="shared" si="1313"/>
        <v>73185</v>
      </c>
      <c r="E3219" t="str">
        <f t="shared" si="1314"/>
        <v>KFH-OPERATIONS DEPARTMENT</v>
      </c>
      <c r="F3219" t="str">
        <f t="shared" si="1315"/>
        <v>IBG</v>
      </c>
      <c r="G3219" t="str">
        <f t="shared" si="1328"/>
        <v>Refund COSHARE 10</v>
      </c>
      <c r="H3219" s="2">
        <v>67.2</v>
      </c>
      <c r="I3219" t="str">
        <f>"MOHD ZAID BIN ZAMIL"</f>
        <v>MOHD ZAID BIN ZAMIL</v>
      </c>
      <c r="J3219" t="str">
        <f t="shared" si="1329"/>
        <v>MAYBANK / MAYBANK ISLAMIC</v>
      </c>
      <c r="K3219" t="str">
        <f>"156141244268"</f>
        <v>156141244268</v>
      </c>
      <c r="L3219" t="str">
        <f t="shared" si="1316"/>
        <v>04-08-2020</v>
      </c>
      <c r="M3219" t="str">
        <f t="shared" si="1316"/>
        <v>04-08-2020</v>
      </c>
      <c r="N3219" t="str">
        <f t="shared" si="1317"/>
        <v>001105018356</v>
      </c>
      <c r="O3219" t="str">
        <f t="shared" si="1318"/>
        <v>MYR</v>
      </c>
      <c r="P3219" t="str">
        <f t="shared" si="1319"/>
        <v>NIL</v>
      </c>
      <c r="Q3219" t="str">
        <f t="shared" si="1319"/>
        <v>NIL</v>
      </c>
      <c r="R3219" t="str">
        <f t="shared" si="1320"/>
        <v>Accepted</v>
      </c>
      <c r="S3219" t="str">
        <f t="shared" si="1321"/>
        <v>Approved</v>
      </c>
      <c r="T3219" t="str">
        <f t="shared" si="1322"/>
        <v>10.20.8.188</v>
      </c>
      <c r="U3219" t="str">
        <f t="shared" si="1323"/>
        <v>AZRAD UMAR BIN SHAARI</v>
      </c>
      <c r="V3219" t="str">
        <f t="shared" si="1324"/>
        <v>FARHANA BINTI MUSTAPA</v>
      </c>
      <c r="W3219" t="str">
        <f t="shared" si="1325"/>
        <v>04-08-2020</v>
      </c>
      <c r="X3219" t="str">
        <f t="shared" si="1326"/>
        <v>RAZIMAH ANSAR AHMAD</v>
      </c>
      <c r="Y3219" t="str">
        <f t="shared" si="1327"/>
        <v>04-08-2020</v>
      </c>
      <c r="Z3219" t="str">
        <f>"COS10200804 5935"</f>
        <v>COS10200804 5935</v>
      </c>
    </row>
    <row r="3220" spans="1:26" x14ac:dyDescent="0.25">
      <c r="A3220" t="str">
        <f t="shared" si="1330"/>
        <v>04-08-2020 12:58:13</v>
      </c>
      <c r="B3220" t="str">
        <f>"0000807724"</f>
        <v>0000807724</v>
      </c>
      <c r="C3220" t="str">
        <f t="shared" si="1331"/>
        <v>0000807590</v>
      </c>
      <c r="D3220" t="str">
        <f t="shared" si="1313"/>
        <v>73185</v>
      </c>
      <c r="E3220" t="str">
        <f t="shared" si="1314"/>
        <v>KFH-OPERATIONS DEPARTMENT</v>
      </c>
      <c r="F3220" t="str">
        <f t="shared" si="1315"/>
        <v>IBG</v>
      </c>
      <c r="G3220" t="str">
        <f t="shared" si="1328"/>
        <v>Refund COSHARE 10</v>
      </c>
      <c r="H3220" s="2">
        <v>545.70000000000005</v>
      </c>
      <c r="I3220" t="str">
        <f>"MOHD ZAID BIN SETOPAR"</f>
        <v>MOHD ZAID BIN SETOPAR</v>
      </c>
      <c r="J3220" t="str">
        <f t="shared" si="1329"/>
        <v>MAYBANK / MAYBANK ISLAMIC</v>
      </c>
      <c r="K3220" t="str">
        <f>"155023313684"</f>
        <v>155023313684</v>
      </c>
      <c r="L3220" t="str">
        <f t="shared" si="1316"/>
        <v>04-08-2020</v>
      </c>
      <c r="M3220" t="str">
        <f t="shared" si="1316"/>
        <v>04-08-2020</v>
      </c>
      <c r="N3220" t="str">
        <f t="shared" si="1317"/>
        <v>001105018356</v>
      </c>
      <c r="O3220" t="str">
        <f t="shared" si="1318"/>
        <v>MYR</v>
      </c>
      <c r="P3220" t="str">
        <f t="shared" si="1319"/>
        <v>NIL</v>
      </c>
      <c r="Q3220" t="str">
        <f t="shared" si="1319"/>
        <v>NIL</v>
      </c>
      <c r="R3220" t="str">
        <f t="shared" si="1320"/>
        <v>Accepted</v>
      </c>
      <c r="S3220" t="str">
        <f t="shared" si="1321"/>
        <v>Approved</v>
      </c>
      <c r="T3220" t="str">
        <f t="shared" si="1322"/>
        <v>10.20.8.188</v>
      </c>
      <c r="U3220" t="str">
        <f t="shared" si="1323"/>
        <v>AZRAD UMAR BIN SHAARI</v>
      </c>
      <c r="V3220" t="str">
        <f t="shared" si="1324"/>
        <v>FARHANA BINTI MUSTAPA</v>
      </c>
      <c r="W3220" t="str">
        <f t="shared" si="1325"/>
        <v>04-08-2020</v>
      </c>
      <c r="X3220" t="str">
        <f t="shared" si="1326"/>
        <v>RAZIMAH ANSAR AHMAD</v>
      </c>
      <c r="Y3220" t="str">
        <f t="shared" si="1327"/>
        <v>04-08-2020</v>
      </c>
      <c r="Z3220" t="str">
        <f>"COS10200804 5934"</f>
        <v>COS10200804 5934</v>
      </c>
    </row>
    <row r="3221" spans="1:26" x14ac:dyDescent="0.25">
      <c r="A3221" t="str">
        <f t="shared" si="1330"/>
        <v>04-08-2020 12:58:13</v>
      </c>
      <c r="B3221" t="str">
        <f>"0000807723"</f>
        <v>0000807723</v>
      </c>
      <c r="C3221" t="str">
        <f t="shared" si="1331"/>
        <v>0000807590</v>
      </c>
      <c r="D3221" t="str">
        <f t="shared" si="1313"/>
        <v>73185</v>
      </c>
      <c r="E3221" t="str">
        <f t="shared" si="1314"/>
        <v>KFH-OPERATIONS DEPARTMENT</v>
      </c>
      <c r="F3221" t="str">
        <f t="shared" si="1315"/>
        <v>IBG</v>
      </c>
      <c r="G3221" t="str">
        <f t="shared" si="1328"/>
        <v>Refund COSHARE 10</v>
      </c>
      <c r="H3221" s="2">
        <v>535.29999999999995</v>
      </c>
      <c r="I3221" t="str">
        <f>"MOHD ZAHRIN BIN MD FAZIL"</f>
        <v>MOHD ZAHRIN BIN MD FAZIL</v>
      </c>
      <c r="J3221" t="str">
        <f t="shared" si="1329"/>
        <v>MAYBANK / MAYBANK ISLAMIC</v>
      </c>
      <c r="K3221" t="str">
        <f>"164230356037"</f>
        <v>164230356037</v>
      </c>
      <c r="L3221" t="str">
        <f t="shared" si="1316"/>
        <v>04-08-2020</v>
      </c>
      <c r="M3221" t="str">
        <f t="shared" si="1316"/>
        <v>04-08-2020</v>
      </c>
      <c r="N3221" t="str">
        <f t="shared" si="1317"/>
        <v>001105018356</v>
      </c>
      <c r="O3221" t="str">
        <f t="shared" si="1318"/>
        <v>MYR</v>
      </c>
      <c r="P3221" t="str">
        <f t="shared" si="1319"/>
        <v>NIL</v>
      </c>
      <c r="Q3221" t="str">
        <f t="shared" si="1319"/>
        <v>NIL</v>
      </c>
      <c r="R3221" t="str">
        <f t="shared" si="1320"/>
        <v>Accepted</v>
      </c>
      <c r="S3221" t="str">
        <f t="shared" si="1321"/>
        <v>Approved</v>
      </c>
      <c r="T3221" t="str">
        <f t="shared" si="1322"/>
        <v>10.20.8.188</v>
      </c>
      <c r="U3221" t="str">
        <f t="shared" si="1323"/>
        <v>AZRAD UMAR BIN SHAARI</v>
      </c>
      <c r="V3221" t="str">
        <f t="shared" si="1324"/>
        <v>FARHANA BINTI MUSTAPA</v>
      </c>
      <c r="W3221" t="str">
        <f t="shared" si="1325"/>
        <v>04-08-2020</v>
      </c>
      <c r="X3221" t="str">
        <f t="shared" si="1326"/>
        <v>RAZIMAH ANSAR AHMAD</v>
      </c>
      <c r="Y3221" t="str">
        <f t="shared" si="1327"/>
        <v>04-08-2020</v>
      </c>
      <c r="Z3221" t="str">
        <f>"COS10200804 5933"</f>
        <v>COS10200804 5933</v>
      </c>
    </row>
    <row r="3222" spans="1:26" x14ac:dyDescent="0.25">
      <c r="A3222" t="str">
        <f t="shared" si="1330"/>
        <v>04-08-2020 12:58:13</v>
      </c>
      <c r="B3222" t="str">
        <f>"0000807722"</f>
        <v>0000807722</v>
      </c>
      <c r="C3222" t="str">
        <f t="shared" si="1331"/>
        <v>0000807590</v>
      </c>
      <c r="D3222" t="str">
        <f t="shared" si="1313"/>
        <v>73185</v>
      </c>
      <c r="E3222" t="str">
        <f t="shared" si="1314"/>
        <v>KFH-OPERATIONS DEPARTMENT</v>
      </c>
      <c r="F3222" t="str">
        <f t="shared" si="1315"/>
        <v>IBG</v>
      </c>
      <c r="G3222" t="str">
        <f t="shared" si="1328"/>
        <v>Refund COSHARE 10</v>
      </c>
      <c r="H3222" s="2">
        <v>62.1</v>
      </c>
      <c r="I3222" t="str">
        <f>"MOHD ZAHIR BIN AHMAD"</f>
        <v>MOHD ZAHIR BIN AHMAD</v>
      </c>
      <c r="J3222" t="str">
        <f t="shared" si="1329"/>
        <v>MAYBANK / MAYBANK ISLAMIC</v>
      </c>
      <c r="K3222" t="str">
        <f>"102072365222"</f>
        <v>102072365222</v>
      </c>
      <c r="L3222" t="str">
        <f t="shared" si="1316"/>
        <v>04-08-2020</v>
      </c>
      <c r="M3222" t="str">
        <f t="shared" si="1316"/>
        <v>04-08-2020</v>
      </c>
      <c r="N3222" t="str">
        <f t="shared" si="1317"/>
        <v>001105018356</v>
      </c>
      <c r="O3222" t="str">
        <f t="shared" si="1318"/>
        <v>MYR</v>
      </c>
      <c r="P3222" t="str">
        <f t="shared" si="1319"/>
        <v>NIL</v>
      </c>
      <c r="Q3222" t="str">
        <f t="shared" si="1319"/>
        <v>NIL</v>
      </c>
      <c r="R3222" t="str">
        <f t="shared" si="1320"/>
        <v>Accepted</v>
      </c>
      <c r="S3222" t="str">
        <f t="shared" si="1321"/>
        <v>Approved</v>
      </c>
      <c r="T3222" t="str">
        <f t="shared" si="1322"/>
        <v>10.20.8.188</v>
      </c>
      <c r="U3222" t="str">
        <f t="shared" si="1323"/>
        <v>AZRAD UMAR BIN SHAARI</v>
      </c>
      <c r="V3222" t="str">
        <f t="shared" si="1324"/>
        <v>FARHANA BINTI MUSTAPA</v>
      </c>
      <c r="W3222" t="str">
        <f t="shared" si="1325"/>
        <v>04-08-2020</v>
      </c>
      <c r="X3222" t="str">
        <f t="shared" si="1326"/>
        <v>RAZIMAH ANSAR AHMAD</v>
      </c>
      <c r="Y3222" t="str">
        <f t="shared" si="1327"/>
        <v>04-08-2020</v>
      </c>
      <c r="Z3222" t="str">
        <f>"COS10200804 5932"</f>
        <v>COS10200804 5932</v>
      </c>
    </row>
    <row r="3223" spans="1:26" x14ac:dyDescent="0.25">
      <c r="A3223" t="str">
        <f t="shared" si="1330"/>
        <v>04-08-2020 12:58:13</v>
      </c>
      <c r="B3223" t="str">
        <f>"0000807721"</f>
        <v>0000807721</v>
      </c>
      <c r="C3223" t="str">
        <f t="shared" si="1331"/>
        <v>0000807590</v>
      </c>
      <c r="D3223" t="str">
        <f t="shared" si="1313"/>
        <v>73185</v>
      </c>
      <c r="E3223" t="str">
        <f t="shared" si="1314"/>
        <v>KFH-OPERATIONS DEPARTMENT</v>
      </c>
      <c r="F3223" t="str">
        <f t="shared" si="1315"/>
        <v>IBG</v>
      </c>
      <c r="G3223" t="str">
        <f t="shared" si="1328"/>
        <v>Refund COSHARE 10</v>
      </c>
      <c r="H3223" s="2">
        <v>1259.25</v>
      </c>
      <c r="I3223" t="str">
        <f>"MOHD ZAHARI BIN ISHAK"</f>
        <v>MOHD ZAHARI BIN ISHAK</v>
      </c>
      <c r="J3223" t="str">
        <f t="shared" si="1329"/>
        <v>MAYBANK / MAYBANK ISLAMIC</v>
      </c>
      <c r="K3223" t="str">
        <f>"112269102584"</f>
        <v>112269102584</v>
      </c>
      <c r="L3223" t="str">
        <f t="shared" si="1316"/>
        <v>04-08-2020</v>
      </c>
      <c r="M3223" t="str">
        <f t="shared" si="1316"/>
        <v>04-08-2020</v>
      </c>
      <c r="N3223" t="str">
        <f t="shared" si="1317"/>
        <v>001105018356</v>
      </c>
      <c r="O3223" t="str">
        <f t="shared" si="1318"/>
        <v>MYR</v>
      </c>
      <c r="P3223" t="str">
        <f t="shared" si="1319"/>
        <v>NIL</v>
      </c>
      <c r="Q3223" t="str">
        <f t="shared" si="1319"/>
        <v>NIL</v>
      </c>
      <c r="R3223" t="str">
        <f t="shared" si="1320"/>
        <v>Accepted</v>
      </c>
      <c r="S3223" t="str">
        <f t="shared" si="1321"/>
        <v>Approved</v>
      </c>
      <c r="T3223" t="str">
        <f t="shared" si="1322"/>
        <v>10.20.8.188</v>
      </c>
      <c r="U3223" t="str">
        <f t="shared" si="1323"/>
        <v>AZRAD UMAR BIN SHAARI</v>
      </c>
      <c r="V3223" t="str">
        <f t="shared" si="1324"/>
        <v>FARHANA BINTI MUSTAPA</v>
      </c>
      <c r="W3223" t="str">
        <f t="shared" si="1325"/>
        <v>04-08-2020</v>
      </c>
      <c r="X3223" t="str">
        <f t="shared" si="1326"/>
        <v>RAZIMAH ANSAR AHMAD</v>
      </c>
      <c r="Y3223" t="str">
        <f t="shared" si="1327"/>
        <v>04-08-2020</v>
      </c>
      <c r="Z3223" t="str">
        <f>"COS10200804 5931"</f>
        <v>COS10200804 5931</v>
      </c>
    </row>
    <row r="3224" spans="1:26" x14ac:dyDescent="0.25">
      <c r="A3224" t="str">
        <f t="shared" si="1330"/>
        <v>04-08-2020 12:58:13</v>
      </c>
      <c r="B3224" t="str">
        <f>"0000807720"</f>
        <v>0000807720</v>
      </c>
      <c r="C3224" t="str">
        <f t="shared" si="1331"/>
        <v>0000807590</v>
      </c>
      <c r="D3224" t="str">
        <f t="shared" si="1313"/>
        <v>73185</v>
      </c>
      <c r="E3224" t="str">
        <f t="shared" si="1314"/>
        <v>KFH-OPERATIONS DEPARTMENT</v>
      </c>
      <c r="F3224" t="str">
        <f t="shared" si="1315"/>
        <v>IBG</v>
      </c>
      <c r="G3224" t="str">
        <f t="shared" si="1328"/>
        <v>Refund COSHARE 10</v>
      </c>
      <c r="H3224" s="2">
        <v>999</v>
      </c>
      <c r="I3224" t="str">
        <f>"MOHD YUSRI BIN PADZIL"</f>
        <v>MOHD YUSRI BIN PADZIL</v>
      </c>
      <c r="J3224" t="str">
        <f t="shared" si="1329"/>
        <v>MAYBANK / MAYBANK ISLAMIC</v>
      </c>
      <c r="K3224" t="str">
        <f>"112317087005"</f>
        <v>112317087005</v>
      </c>
      <c r="L3224" t="str">
        <f t="shared" si="1316"/>
        <v>04-08-2020</v>
      </c>
      <c r="M3224" t="str">
        <f t="shared" si="1316"/>
        <v>04-08-2020</v>
      </c>
      <c r="N3224" t="str">
        <f t="shared" si="1317"/>
        <v>001105018356</v>
      </c>
      <c r="O3224" t="str">
        <f t="shared" si="1318"/>
        <v>MYR</v>
      </c>
      <c r="P3224" t="str">
        <f t="shared" si="1319"/>
        <v>NIL</v>
      </c>
      <c r="Q3224" t="str">
        <f t="shared" si="1319"/>
        <v>NIL</v>
      </c>
      <c r="R3224" t="str">
        <f t="shared" si="1320"/>
        <v>Accepted</v>
      </c>
      <c r="S3224" t="str">
        <f t="shared" si="1321"/>
        <v>Approved</v>
      </c>
      <c r="T3224" t="str">
        <f t="shared" si="1322"/>
        <v>10.20.8.188</v>
      </c>
      <c r="U3224" t="str">
        <f t="shared" si="1323"/>
        <v>AZRAD UMAR BIN SHAARI</v>
      </c>
      <c r="V3224" t="str">
        <f t="shared" si="1324"/>
        <v>FARHANA BINTI MUSTAPA</v>
      </c>
      <c r="W3224" t="str">
        <f t="shared" si="1325"/>
        <v>04-08-2020</v>
      </c>
      <c r="X3224" t="str">
        <f t="shared" si="1326"/>
        <v>RAZIMAH ANSAR AHMAD</v>
      </c>
      <c r="Y3224" t="str">
        <f t="shared" si="1327"/>
        <v>04-08-2020</v>
      </c>
      <c r="Z3224" t="str">
        <f>"COS10200804 5930"</f>
        <v>COS10200804 5930</v>
      </c>
    </row>
    <row r="3225" spans="1:26" x14ac:dyDescent="0.25">
      <c r="A3225" t="str">
        <f t="shared" si="1330"/>
        <v>04-08-2020 12:58:13</v>
      </c>
      <c r="B3225" t="str">
        <f>"0000807719"</f>
        <v>0000807719</v>
      </c>
      <c r="C3225" t="str">
        <f t="shared" si="1331"/>
        <v>0000807590</v>
      </c>
      <c r="D3225" t="str">
        <f t="shared" si="1313"/>
        <v>73185</v>
      </c>
      <c r="E3225" t="str">
        <f t="shared" si="1314"/>
        <v>KFH-OPERATIONS DEPARTMENT</v>
      </c>
      <c r="F3225" t="str">
        <f t="shared" si="1315"/>
        <v>IBG</v>
      </c>
      <c r="G3225" t="str">
        <f t="shared" si="1328"/>
        <v>Refund COSHARE 10</v>
      </c>
      <c r="H3225" s="2">
        <v>893.6</v>
      </c>
      <c r="I3225" t="str">
        <f>"MOHD YUSOF BIN JENAL"</f>
        <v>MOHD YUSOF BIN JENAL</v>
      </c>
      <c r="J3225" t="str">
        <f t="shared" si="1329"/>
        <v>MAYBANK / MAYBANK ISLAMIC</v>
      </c>
      <c r="K3225" t="str">
        <f>"105028201911"</f>
        <v>105028201911</v>
      </c>
      <c r="L3225" t="str">
        <f t="shared" si="1316"/>
        <v>04-08-2020</v>
      </c>
      <c r="M3225" t="str">
        <f t="shared" si="1316"/>
        <v>04-08-2020</v>
      </c>
      <c r="N3225" t="str">
        <f t="shared" si="1317"/>
        <v>001105018356</v>
      </c>
      <c r="O3225" t="str">
        <f t="shared" si="1318"/>
        <v>MYR</v>
      </c>
      <c r="P3225" t="str">
        <f t="shared" si="1319"/>
        <v>NIL</v>
      </c>
      <c r="Q3225" t="str">
        <f t="shared" si="1319"/>
        <v>NIL</v>
      </c>
      <c r="R3225" t="str">
        <f t="shared" si="1320"/>
        <v>Accepted</v>
      </c>
      <c r="S3225" t="str">
        <f t="shared" si="1321"/>
        <v>Approved</v>
      </c>
      <c r="T3225" t="str">
        <f t="shared" si="1322"/>
        <v>10.20.8.188</v>
      </c>
      <c r="U3225" t="str">
        <f t="shared" si="1323"/>
        <v>AZRAD UMAR BIN SHAARI</v>
      </c>
      <c r="V3225" t="str">
        <f t="shared" si="1324"/>
        <v>FARHANA BINTI MUSTAPA</v>
      </c>
      <c r="W3225" t="str">
        <f t="shared" si="1325"/>
        <v>04-08-2020</v>
      </c>
      <c r="X3225" t="str">
        <f t="shared" si="1326"/>
        <v>RAZIMAH ANSAR AHMAD</v>
      </c>
      <c r="Y3225" t="str">
        <f t="shared" si="1327"/>
        <v>04-08-2020</v>
      </c>
      <c r="Z3225" t="str">
        <f>"COS10200804 5929"</f>
        <v>COS10200804 5929</v>
      </c>
    </row>
    <row r="3226" spans="1:26" x14ac:dyDescent="0.25">
      <c r="A3226" t="str">
        <f t="shared" si="1330"/>
        <v>04-08-2020 12:58:13</v>
      </c>
      <c r="B3226" t="str">
        <f>"0000807718"</f>
        <v>0000807718</v>
      </c>
      <c r="C3226" t="str">
        <f t="shared" si="1331"/>
        <v>0000807590</v>
      </c>
      <c r="D3226" t="str">
        <f t="shared" si="1313"/>
        <v>73185</v>
      </c>
      <c r="E3226" t="str">
        <f t="shared" si="1314"/>
        <v>KFH-OPERATIONS DEPARTMENT</v>
      </c>
      <c r="F3226" t="str">
        <f t="shared" si="1315"/>
        <v>IBG</v>
      </c>
      <c r="G3226" t="str">
        <f t="shared" si="1328"/>
        <v>Refund COSHARE 10</v>
      </c>
      <c r="H3226" s="2">
        <v>1066.2</v>
      </c>
      <c r="I3226" t="str">
        <f>"MOHD YUSFI BIN MD YUSOP"</f>
        <v>MOHD YUSFI BIN MD YUSOP</v>
      </c>
      <c r="J3226" t="str">
        <f t="shared" si="1329"/>
        <v>MAYBANK / MAYBANK ISLAMIC</v>
      </c>
      <c r="K3226" t="str">
        <f>"157091030405"</f>
        <v>157091030405</v>
      </c>
      <c r="L3226" t="str">
        <f t="shared" si="1316"/>
        <v>04-08-2020</v>
      </c>
      <c r="M3226" t="str">
        <f t="shared" si="1316"/>
        <v>04-08-2020</v>
      </c>
      <c r="N3226" t="str">
        <f t="shared" si="1317"/>
        <v>001105018356</v>
      </c>
      <c r="O3226" t="str">
        <f t="shared" si="1318"/>
        <v>MYR</v>
      </c>
      <c r="P3226" t="str">
        <f t="shared" si="1319"/>
        <v>NIL</v>
      </c>
      <c r="Q3226" t="str">
        <f t="shared" si="1319"/>
        <v>NIL</v>
      </c>
      <c r="R3226" t="str">
        <f t="shared" si="1320"/>
        <v>Accepted</v>
      </c>
      <c r="S3226" t="str">
        <f t="shared" si="1321"/>
        <v>Approved</v>
      </c>
      <c r="T3226" t="str">
        <f t="shared" si="1322"/>
        <v>10.20.8.188</v>
      </c>
      <c r="U3226" t="str">
        <f t="shared" si="1323"/>
        <v>AZRAD UMAR BIN SHAARI</v>
      </c>
      <c r="V3226" t="str">
        <f t="shared" si="1324"/>
        <v>FARHANA BINTI MUSTAPA</v>
      </c>
      <c r="W3226" t="str">
        <f t="shared" si="1325"/>
        <v>04-08-2020</v>
      </c>
      <c r="X3226" t="str">
        <f t="shared" si="1326"/>
        <v>RAZIMAH ANSAR AHMAD</v>
      </c>
      <c r="Y3226" t="str">
        <f t="shared" si="1327"/>
        <v>04-08-2020</v>
      </c>
      <c r="Z3226" t="str">
        <f>"COS10200804 5928"</f>
        <v>COS10200804 5928</v>
      </c>
    </row>
    <row r="3227" spans="1:26" x14ac:dyDescent="0.25">
      <c r="A3227" t="str">
        <f t="shared" si="1330"/>
        <v>04-08-2020 12:58:13</v>
      </c>
      <c r="B3227" t="str">
        <f>"0000807717"</f>
        <v>0000807717</v>
      </c>
      <c r="C3227" t="str">
        <f t="shared" si="1331"/>
        <v>0000807590</v>
      </c>
      <c r="D3227" t="str">
        <f t="shared" si="1313"/>
        <v>73185</v>
      </c>
      <c r="E3227" t="str">
        <f t="shared" si="1314"/>
        <v>KFH-OPERATIONS DEPARTMENT</v>
      </c>
      <c r="F3227" t="str">
        <f t="shared" si="1315"/>
        <v>IBG</v>
      </c>
      <c r="G3227" t="str">
        <f t="shared" si="1328"/>
        <v>Refund COSHARE 10</v>
      </c>
      <c r="H3227" s="2">
        <v>78.599999999999994</v>
      </c>
      <c r="I3227" t="str">
        <f>"MOHD YAZID BIN MOHD AMIR"</f>
        <v>MOHD YAZID BIN MOHD AMIR</v>
      </c>
      <c r="J3227" t="str">
        <f t="shared" si="1329"/>
        <v>MAYBANK / MAYBANK ISLAMIC</v>
      </c>
      <c r="K3227" t="str">
        <f>"104068135673"</f>
        <v>104068135673</v>
      </c>
      <c r="L3227" t="str">
        <f t="shared" ref="L3227:M3246" si="1332">"04-08-2020"</f>
        <v>04-08-2020</v>
      </c>
      <c r="M3227" t="str">
        <f t="shared" si="1332"/>
        <v>04-08-2020</v>
      </c>
      <c r="N3227" t="str">
        <f t="shared" si="1317"/>
        <v>001105018356</v>
      </c>
      <c r="O3227" t="str">
        <f t="shared" si="1318"/>
        <v>MYR</v>
      </c>
      <c r="P3227" t="str">
        <f t="shared" ref="P3227:Q3246" si="1333">"NIL"</f>
        <v>NIL</v>
      </c>
      <c r="Q3227" t="str">
        <f t="shared" si="1333"/>
        <v>NIL</v>
      </c>
      <c r="R3227" t="str">
        <f t="shared" si="1320"/>
        <v>Accepted</v>
      </c>
      <c r="S3227" t="str">
        <f t="shared" si="1321"/>
        <v>Approved</v>
      </c>
      <c r="T3227" t="str">
        <f t="shared" si="1322"/>
        <v>10.20.8.188</v>
      </c>
      <c r="U3227" t="str">
        <f t="shared" si="1323"/>
        <v>AZRAD UMAR BIN SHAARI</v>
      </c>
      <c r="V3227" t="str">
        <f t="shared" si="1324"/>
        <v>FARHANA BINTI MUSTAPA</v>
      </c>
      <c r="W3227" t="str">
        <f t="shared" si="1325"/>
        <v>04-08-2020</v>
      </c>
      <c r="X3227" t="str">
        <f t="shared" si="1326"/>
        <v>RAZIMAH ANSAR AHMAD</v>
      </c>
      <c r="Y3227" t="str">
        <f t="shared" si="1327"/>
        <v>04-08-2020</v>
      </c>
      <c r="Z3227" t="str">
        <f>"COS10200804 5927"</f>
        <v>COS10200804 5927</v>
      </c>
    </row>
    <row r="3228" spans="1:26" x14ac:dyDescent="0.25">
      <c r="A3228" t="str">
        <f t="shared" si="1330"/>
        <v>04-08-2020 12:58:13</v>
      </c>
      <c r="B3228" t="str">
        <f>"0000807716"</f>
        <v>0000807716</v>
      </c>
      <c r="C3228" t="str">
        <f t="shared" si="1331"/>
        <v>0000807590</v>
      </c>
      <c r="D3228" t="str">
        <f t="shared" si="1313"/>
        <v>73185</v>
      </c>
      <c r="E3228" t="str">
        <f t="shared" si="1314"/>
        <v>KFH-OPERATIONS DEPARTMENT</v>
      </c>
      <c r="F3228" t="str">
        <f t="shared" si="1315"/>
        <v>IBG</v>
      </c>
      <c r="G3228" t="str">
        <f t="shared" si="1328"/>
        <v>Refund COSHARE 10</v>
      </c>
      <c r="H3228" s="2">
        <v>940.25</v>
      </c>
      <c r="I3228" t="str">
        <f>"MOHD YATIM BIN A RAHMAN"</f>
        <v>MOHD YATIM BIN A RAHMAN</v>
      </c>
      <c r="J3228" t="str">
        <f t="shared" si="1329"/>
        <v>MAYBANK / MAYBANK ISLAMIC</v>
      </c>
      <c r="K3228" t="str">
        <f>"154026556148"</f>
        <v>154026556148</v>
      </c>
      <c r="L3228" t="str">
        <f t="shared" si="1332"/>
        <v>04-08-2020</v>
      </c>
      <c r="M3228" t="str">
        <f t="shared" si="1332"/>
        <v>04-08-2020</v>
      </c>
      <c r="N3228" t="str">
        <f t="shared" si="1317"/>
        <v>001105018356</v>
      </c>
      <c r="O3228" t="str">
        <f t="shared" si="1318"/>
        <v>MYR</v>
      </c>
      <c r="P3228" t="str">
        <f t="shared" si="1333"/>
        <v>NIL</v>
      </c>
      <c r="Q3228" t="str">
        <f t="shared" si="1333"/>
        <v>NIL</v>
      </c>
      <c r="R3228" t="str">
        <f t="shared" si="1320"/>
        <v>Accepted</v>
      </c>
      <c r="S3228" t="str">
        <f t="shared" si="1321"/>
        <v>Approved</v>
      </c>
      <c r="T3228" t="str">
        <f t="shared" si="1322"/>
        <v>10.20.8.188</v>
      </c>
      <c r="U3228" t="str">
        <f t="shared" si="1323"/>
        <v>AZRAD UMAR BIN SHAARI</v>
      </c>
      <c r="V3228" t="str">
        <f t="shared" si="1324"/>
        <v>FARHANA BINTI MUSTAPA</v>
      </c>
      <c r="W3228" t="str">
        <f t="shared" si="1325"/>
        <v>04-08-2020</v>
      </c>
      <c r="X3228" t="str">
        <f t="shared" si="1326"/>
        <v>RAZIMAH ANSAR AHMAD</v>
      </c>
      <c r="Y3228" t="str">
        <f t="shared" si="1327"/>
        <v>04-08-2020</v>
      </c>
      <c r="Z3228" t="str">
        <f>"COS10200804 5926"</f>
        <v>COS10200804 5926</v>
      </c>
    </row>
    <row r="3229" spans="1:26" x14ac:dyDescent="0.25">
      <c r="A3229" t="str">
        <f t="shared" si="1330"/>
        <v>04-08-2020 12:58:13</v>
      </c>
      <c r="B3229" t="str">
        <f>"0000807715"</f>
        <v>0000807715</v>
      </c>
      <c r="C3229" t="str">
        <f t="shared" si="1331"/>
        <v>0000807590</v>
      </c>
      <c r="D3229" t="str">
        <f t="shared" si="1313"/>
        <v>73185</v>
      </c>
      <c r="E3229" t="str">
        <f t="shared" si="1314"/>
        <v>KFH-OPERATIONS DEPARTMENT</v>
      </c>
      <c r="F3229" t="str">
        <f t="shared" si="1315"/>
        <v>IBG</v>
      </c>
      <c r="G3229" t="str">
        <f t="shared" si="1328"/>
        <v>Refund COSHARE 10</v>
      </c>
      <c r="H3229" s="2">
        <v>167.9</v>
      </c>
      <c r="I3229" t="str">
        <f>"MOHD TAUFIK BIN MOHAMAD"</f>
        <v>MOHD TAUFIK BIN MOHAMAD</v>
      </c>
      <c r="J3229" t="str">
        <f t="shared" si="1329"/>
        <v>MAYBANK / MAYBANK ISLAMIC</v>
      </c>
      <c r="K3229" t="str">
        <f>"151191391130"</f>
        <v>151191391130</v>
      </c>
      <c r="L3229" t="str">
        <f t="shared" si="1332"/>
        <v>04-08-2020</v>
      </c>
      <c r="M3229" t="str">
        <f t="shared" si="1332"/>
        <v>04-08-2020</v>
      </c>
      <c r="N3229" t="str">
        <f t="shared" si="1317"/>
        <v>001105018356</v>
      </c>
      <c r="O3229" t="str">
        <f t="shared" si="1318"/>
        <v>MYR</v>
      </c>
      <c r="P3229" t="str">
        <f t="shared" si="1333"/>
        <v>NIL</v>
      </c>
      <c r="Q3229" t="str">
        <f t="shared" si="1333"/>
        <v>NIL</v>
      </c>
      <c r="R3229" t="str">
        <f t="shared" si="1320"/>
        <v>Accepted</v>
      </c>
      <c r="S3229" t="str">
        <f t="shared" si="1321"/>
        <v>Approved</v>
      </c>
      <c r="T3229" t="str">
        <f t="shared" si="1322"/>
        <v>10.20.8.188</v>
      </c>
      <c r="U3229" t="str">
        <f t="shared" si="1323"/>
        <v>AZRAD UMAR BIN SHAARI</v>
      </c>
      <c r="V3229" t="str">
        <f t="shared" si="1324"/>
        <v>FARHANA BINTI MUSTAPA</v>
      </c>
      <c r="W3229" t="str">
        <f t="shared" si="1325"/>
        <v>04-08-2020</v>
      </c>
      <c r="X3229" t="str">
        <f t="shared" si="1326"/>
        <v>RAZIMAH ANSAR AHMAD</v>
      </c>
      <c r="Y3229" t="str">
        <f t="shared" si="1327"/>
        <v>04-08-2020</v>
      </c>
      <c r="Z3229" t="str">
        <f>"COS10200804 5925"</f>
        <v>COS10200804 5925</v>
      </c>
    </row>
    <row r="3230" spans="1:26" x14ac:dyDescent="0.25">
      <c r="A3230" t="str">
        <f t="shared" si="1330"/>
        <v>04-08-2020 12:58:13</v>
      </c>
      <c r="B3230" t="str">
        <f>"0000807714"</f>
        <v>0000807714</v>
      </c>
      <c r="C3230" t="str">
        <f t="shared" si="1331"/>
        <v>0000807590</v>
      </c>
      <c r="D3230" t="str">
        <f t="shared" si="1313"/>
        <v>73185</v>
      </c>
      <c r="E3230" t="str">
        <f t="shared" si="1314"/>
        <v>KFH-OPERATIONS DEPARTMENT</v>
      </c>
      <c r="F3230" t="str">
        <f t="shared" si="1315"/>
        <v>IBG</v>
      </c>
      <c r="G3230" t="str">
        <f t="shared" si="1328"/>
        <v>Refund COSHARE 10</v>
      </c>
      <c r="H3230" s="2">
        <v>1007.4</v>
      </c>
      <c r="I3230" t="str">
        <f>"MOHD TAUFIK BIN ABDUL RASHID"</f>
        <v>MOHD TAUFIK BIN ABDUL RASHID</v>
      </c>
      <c r="J3230" t="str">
        <f t="shared" si="1329"/>
        <v>MAYBANK / MAYBANK ISLAMIC</v>
      </c>
      <c r="K3230" t="str">
        <f>"158154242624"</f>
        <v>158154242624</v>
      </c>
      <c r="L3230" t="str">
        <f t="shared" si="1332"/>
        <v>04-08-2020</v>
      </c>
      <c r="M3230" t="str">
        <f t="shared" si="1332"/>
        <v>04-08-2020</v>
      </c>
      <c r="N3230" t="str">
        <f t="shared" si="1317"/>
        <v>001105018356</v>
      </c>
      <c r="O3230" t="str">
        <f t="shared" si="1318"/>
        <v>MYR</v>
      </c>
      <c r="P3230" t="str">
        <f t="shared" si="1333"/>
        <v>NIL</v>
      </c>
      <c r="Q3230" t="str">
        <f t="shared" si="1333"/>
        <v>NIL</v>
      </c>
      <c r="R3230" t="str">
        <f t="shared" si="1320"/>
        <v>Accepted</v>
      </c>
      <c r="S3230" t="str">
        <f t="shared" si="1321"/>
        <v>Approved</v>
      </c>
      <c r="T3230" t="str">
        <f t="shared" si="1322"/>
        <v>10.20.8.188</v>
      </c>
      <c r="U3230" t="str">
        <f t="shared" si="1323"/>
        <v>AZRAD UMAR BIN SHAARI</v>
      </c>
      <c r="V3230" t="str">
        <f t="shared" si="1324"/>
        <v>FARHANA BINTI MUSTAPA</v>
      </c>
      <c r="W3230" t="str">
        <f t="shared" si="1325"/>
        <v>04-08-2020</v>
      </c>
      <c r="X3230" t="str">
        <f t="shared" si="1326"/>
        <v>RAZIMAH ANSAR AHMAD</v>
      </c>
      <c r="Y3230" t="str">
        <f t="shared" si="1327"/>
        <v>04-08-2020</v>
      </c>
      <c r="Z3230" t="str">
        <f>"COS10200804 5924"</f>
        <v>COS10200804 5924</v>
      </c>
    </row>
    <row r="3231" spans="1:26" x14ac:dyDescent="0.25">
      <c r="A3231" t="str">
        <f t="shared" si="1330"/>
        <v>04-08-2020 12:58:13</v>
      </c>
      <c r="B3231" t="str">
        <f>"0000807713"</f>
        <v>0000807713</v>
      </c>
      <c r="C3231" t="str">
        <f t="shared" si="1331"/>
        <v>0000807590</v>
      </c>
      <c r="D3231" t="str">
        <f t="shared" si="1313"/>
        <v>73185</v>
      </c>
      <c r="E3231" t="str">
        <f t="shared" si="1314"/>
        <v>KFH-OPERATIONS DEPARTMENT</v>
      </c>
      <c r="F3231" t="str">
        <f t="shared" si="1315"/>
        <v>IBG</v>
      </c>
      <c r="G3231" t="str">
        <f t="shared" si="1328"/>
        <v>Refund COSHARE 10</v>
      </c>
      <c r="H3231" s="2">
        <v>858</v>
      </c>
      <c r="I3231" t="str">
        <f>"MOHD SYAZWAN BIN MOHD RADZI"</f>
        <v>MOHD SYAZWAN BIN MOHD RADZI</v>
      </c>
      <c r="J3231" t="str">
        <f t="shared" si="1329"/>
        <v>MAYBANK / MAYBANK ISLAMIC</v>
      </c>
      <c r="K3231" t="str">
        <f>"110189096126"</f>
        <v>110189096126</v>
      </c>
      <c r="L3231" t="str">
        <f t="shared" si="1332"/>
        <v>04-08-2020</v>
      </c>
      <c r="M3231" t="str">
        <f t="shared" si="1332"/>
        <v>04-08-2020</v>
      </c>
      <c r="N3231" t="str">
        <f t="shared" si="1317"/>
        <v>001105018356</v>
      </c>
      <c r="O3231" t="str">
        <f t="shared" si="1318"/>
        <v>MYR</v>
      </c>
      <c r="P3231" t="str">
        <f t="shared" si="1333"/>
        <v>NIL</v>
      </c>
      <c r="Q3231" t="str">
        <f t="shared" si="1333"/>
        <v>NIL</v>
      </c>
      <c r="R3231" t="str">
        <f t="shared" si="1320"/>
        <v>Accepted</v>
      </c>
      <c r="S3231" t="str">
        <f t="shared" si="1321"/>
        <v>Approved</v>
      </c>
      <c r="T3231" t="str">
        <f t="shared" si="1322"/>
        <v>10.20.8.188</v>
      </c>
      <c r="U3231" t="str">
        <f t="shared" si="1323"/>
        <v>AZRAD UMAR BIN SHAARI</v>
      </c>
      <c r="V3231" t="str">
        <f t="shared" si="1324"/>
        <v>FARHANA BINTI MUSTAPA</v>
      </c>
      <c r="W3231" t="str">
        <f t="shared" si="1325"/>
        <v>04-08-2020</v>
      </c>
      <c r="X3231" t="str">
        <f t="shared" si="1326"/>
        <v>RAZIMAH ANSAR AHMAD</v>
      </c>
      <c r="Y3231" t="str">
        <f t="shared" si="1327"/>
        <v>04-08-2020</v>
      </c>
      <c r="Z3231" t="str">
        <f>"COS10200804 5923"</f>
        <v>COS10200804 5923</v>
      </c>
    </row>
    <row r="3232" spans="1:26" x14ac:dyDescent="0.25">
      <c r="A3232" t="str">
        <f t="shared" si="1330"/>
        <v>04-08-2020 12:58:13</v>
      </c>
      <c r="B3232" t="str">
        <f>"0000807712"</f>
        <v>0000807712</v>
      </c>
      <c r="C3232" t="str">
        <f t="shared" si="1331"/>
        <v>0000807590</v>
      </c>
      <c r="D3232" t="str">
        <f t="shared" si="1313"/>
        <v>73185</v>
      </c>
      <c r="E3232" t="str">
        <f t="shared" si="1314"/>
        <v>KFH-OPERATIONS DEPARTMENT</v>
      </c>
      <c r="F3232" t="str">
        <f t="shared" si="1315"/>
        <v>IBG</v>
      </c>
      <c r="G3232" t="str">
        <f t="shared" si="1328"/>
        <v>Refund COSHARE 10</v>
      </c>
      <c r="H3232" s="2">
        <v>142.75</v>
      </c>
      <c r="I3232" t="str">
        <f>"MOHD SYAMSUL BIN ABDULLAH"</f>
        <v>MOHD SYAMSUL BIN ABDULLAH</v>
      </c>
      <c r="J3232" t="str">
        <f t="shared" si="1329"/>
        <v>MAYBANK / MAYBANK ISLAMIC</v>
      </c>
      <c r="K3232" t="str">
        <f>"112044884777"</f>
        <v>112044884777</v>
      </c>
      <c r="L3232" t="str">
        <f t="shared" si="1332"/>
        <v>04-08-2020</v>
      </c>
      <c r="M3232" t="str">
        <f t="shared" si="1332"/>
        <v>04-08-2020</v>
      </c>
      <c r="N3232" t="str">
        <f t="shared" si="1317"/>
        <v>001105018356</v>
      </c>
      <c r="O3232" t="str">
        <f t="shared" si="1318"/>
        <v>MYR</v>
      </c>
      <c r="P3232" t="str">
        <f t="shared" si="1333"/>
        <v>NIL</v>
      </c>
      <c r="Q3232" t="str">
        <f t="shared" si="1333"/>
        <v>NIL</v>
      </c>
      <c r="R3232" t="str">
        <f t="shared" si="1320"/>
        <v>Accepted</v>
      </c>
      <c r="S3232" t="str">
        <f t="shared" si="1321"/>
        <v>Approved</v>
      </c>
      <c r="T3232" t="str">
        <f t="shared" si="1322"/>
        <v>10.20.8.188</v>
      </c>
      <c r="U3232" t="str">
        <f t="shared" si="1323"/>
        <v>AZRAD UMAR BIN SHAARI</v>
      </c>
      <c r="V3232" t="str">
        <f t="shared" si="1324"/>
        <v>FARHANA BINTI MUSTAPA</v>
      </c>
      <c r="W3232" t="str">
        <f t="shared" si="1325"/>
        <v>04-08-2020</v>
      </c>
      <c r="X3232" t="str">
        <f t="shared" si="1326"/>
        <v>RAZIMAH ANSAR AHMAD</v>
      </c>
      <c r="Y3232" t="str">
        <f t="shared" si="1327"/>
        <v>04-08-2020</v>
      </c>
      <c r="Z3232" t="str">
        <f>"COS10200804 5922"</f>
        <v>COS10200804 5922</v>
      </c>
    </row>
    <row r="3233" spans="1:26" x14ac:dyDescent="0.25">
      <c r="A3233" t="str">
        <f t="shared" si="1330"/>
        <v>04-08-2020 12:58:13</v>
      </c>
      <c r="B3233" t="str">
        <f>"0000807711"</f>
        <v>0000807711</v>
      </c>
      <c r="C3233" t="str">
        <f t="shared" si="1331"/>
        <v>0000807590</v>
      </c>
      <c r="D3233" t="str">
        <f t="shared" si="1313"/>
        <v>73185</v>
      </c>
      <c r="E3233" t="str">
        <f t="shared" si="1314"/>
        <v>KFH-OPERATIONS DEPARTMENT</v>
      </c>
      <c r="F3233" t="str">
        <f t="shared" si="1315"/>
        <v>IBG</v>
      </c>
      <c r="G3233" t="str">
        <f t="shared" si="1328"/>
        <v>Refund COSHARE 10</v>
      </c>
      <c r="H3233" s="2">
        <v>125.95</v>
      </c>
      <c r="I3233" t="str">
        <f>"MOHD SYAHRUL NIZAM BIN SALEH"</f>
        <v>MOHD SYAHRUL NIZAM BIN SALEH</v>
      </c>
      <c r="J3233" t="str">
        <f t="shared" si="1329"/>
        <v>MAYBANK / MAYBANK ISLAMIC</v>
      </c>
      <c r="K3233" t="str">
        <f>"116015009471"</f>
        <v>116015009471</v>
      </c>
      <c r="L3233" t="str">
        <f t="shared" si="1332"/>
        <v>04-08-2020</v>
      </c>
      <c r="M3233" t="str">
        <f t="shared" si="1332"/>
        <v>04-08-2020</v>
      </c>
      <c r="N3233" t="str">
        <f t="shared" si="1317"/>
        <v>001105018356</v>
      </c>
      <c r="O3233" t="str">
        <f t="shared" si="1318"/>
        <v>MYR</v>
      </c>
      <c r="P3233" t="str">
        <f t="shared" si="1333"/>
        <v>NIL</v>
      </c>
      <c r="Q3233" t="str">
        <f t="shared" si="1333"/>
        <v>NIL</v>
      </c>
      <c r="R3233" t="str">
        <f t="shared" si="1320"/>
        <v>Accepted</v>
      </c>
      <c r="S3233" t="str">
        <f t="shared" si="1321"/>
        <v>Approved</v>
      </c>
      <c r="T3233" t="str">
        <f t="shared" si="1322"/>
        <v>10.20.8.188</v>
      </c>
      <c r="U3233" t="str">
        <f t="shared" si="1323"/>
        <v>AZRAD UMAR BIN SHAARI</v>
      </c>
      <c r="V3233" t="str">
        <f t="shared" si="1324"/>
        <v>FARHANA BINTI MUSTAPA</v>
      </c>
      <c r="W3233" t="str">
        <f t="shared" si="1325"/>
        <v>04-08-2020</v>
      </c>
      <c r="X3233" t="str">
        <f t="shared" si="1326"/>
        <v>RAZIMAH ANSAR AHMAD</v>
      </c>
      <c r="Y3233" t="str">
        <f t="shared" si="1327"/>
        <v>04-08-2020</v>
      </c>
      <c r="Z3233" t="str">
        <f>"COS10200804 5921"</f>
        <v>COS10200804 5921</v>
      </c>
    </row>
    <row r="3234" spans="1:26" x14ac:dyDescent="0.25">
      <c r="A3234" t="str">
        <f t="shared" si="1330"/>
        <v>04-08-2020 12:58:13</v>
      </c>
      <c r="B3234" t="str">
        <f>"0000807710"</f>
        <v>0000807710</v>
      </c>
      <c r="C3234" t="str">
        <f t="shared" si="1331"/>
        <v>0000807590</v>
      </c>
      <c r="D3234" t="str">
        <f t="shared" si="1313"/>
        <v>73185</v>
      </c>
      <c r="E3234" t="str">
        <f t="shared" si="1314"/>
        <v>KFH-OPERATIONS DEPARTMENT</v>
      </c>
      <c r="F3234" t="str">
        <f t="shared" si="1315"/>
        <v>IBG</v>
      </c>
      <c r="G3234" t="str">
        <f t="shared" si="1328"/>
        <v>Refund COSHARE 10</v>
      </c>
      <c r="H3234" s="2">
        <v>285.45</v>
      </c>
      <c r="I3234" t="str">
        <f>"MOHD SYAHRIZAN BIN OTHMAN"</f>
        <v>MOHD SYAHRIZAN BIN OTHMAN</v>
      </c>
      <c r="J3234" t="str">
        <f t="shared" si="1329"/>
        <v>MAYBANK / MAYBANK ISLAMIC</v>
      </c>
      <c r="K3234" t="str">
        <f>"158015184813"</f>
        <v>158015184813</v>
      </c>
      <c r="L3234" t="str">
        <f t="shared" si="1332"/>
        <v>04-08-2020</v>
      </c>
      <c r="M3234" t="str">
        <f t="shared" si="1332"/>
        <v>04-08-2020</v>
      </c>
      <c r="N3234" t="str">
        <f t="shared" si="1317"/>
        <v>001105018356</v>
      </c>
      <c r="O3234" t="str">
        <f t="shared" si="1318"/>
        <v>MYR</v>
      </c>
      <c r="P3234" t="str">
        <f t="shared" si="1333"/>
        <v>NIL</v>
      </c>
      <c r="Q3234" t="str">
        <f t="shared" si="1333"/>
        <v>NIL</v>
      </c>
      <c r="R3234" t="str">
        <f t="shared" si="1320"/>
        <v>Accepted</v>
      </c>
      <c r="S3234" t="str">
        <f t="shared" si="1321"/>
        <v>Approved</v>
      </c>
      <c r="T3234" t="str">
        <f t="shared" si="1322"/>
        <v>10.20.8.188</v>
      </c>
      <c r="U3234" t="str">
        <f t="shared" si="1323"/>
        <v>AZRAD UMAR BIN SHAARI</v>
      </c>
      <c r="V3234" t="str">
        <f t="shared" si="1324"/>
        <v>FARHANA BINTI MUSTAPA</v>
      </c>
      <c r="W3234" t="str">
        <f t="shared" si="1325"/>
        <v>04-08-2020</v>
      </c>
      <c r="X3234" t="str">
        <f t="shared" si="1326"/>
        <v>RAZIMAH ANSAR AHMAD</v>
      </c>
      <c r="Y3234" t="str">
        <f t="shared" si="1327"/>
        <v>04-08-2020</v>
      </c>
      <c r="Z3234" t="str">
        <f>"COS10200804 5920"</f>
        <v>COS10200804 5920</v>
      </c>
    </row>
    <row r="3235" spans="1:26" x14ac:dyDescent="0.25">
      <c r="A3235" t="str">
        <f t="shared" si="1330"/>
        <v>04-08-2020 12:58:13</v>
      </c>
      <c r="B3235" t="str">
        <f>"0000807709"</f>
        <v>0000807709</v>
      </c>
      <c r="C3235" t="str">
        <f t="shared" si="1331"/>
        <v>0000807590</v>
      </c>
      <c r="D3235" t="str">
        <f t="shared" si="1313"/>
        <v>73185</v>
      </c>
      <c r="E3235" t="str">
        <f t="shared" si="1314"/>
        <v>KFH-OPERATIONS DEPARTMENT</v>
      </c>
      <c r="F3235" t="str">
        <f t="shared" si="1315"/>
        <v>IBG</v>
      </c>
      <c r="G3235" t="str">
        <f t="shared" si="1328"/>
        <v>Refund COSHARE 10</v>
      </c>
      <c r="H3235" s="2">
        <v>713.6</v>
      </c>
      <c r="I3235" t="str">
        <f>"MOHD SYAHRIZAN BIN ISMAIL"</f>
        <v>MOHD SYAHRIZAN BIN ISMAIL</v>
      </c>
      <c r="J3235" t="str">
        <f t="shared" si="1329"/>
        <v>MAYBANK / MAYBANK ISLAMIC</v>
      </c>
      <c r="K3235" t="str">
        <f>"164098485751"</f>
        <v>164098485751</v>
      </c>
      <c r="L3235" t="str">
        <f t="shared" si="1332"/>
        <v>04-08-2020</v>
      </c>
      <c r="M3235" t="str">
        <f t="shared" si="1332"/>
        <v>04-08-2020</v>
      </c>
      <c r="N3235" t="str">
        <f t="shared" si="1317"/>
        <v>001105018356</v>
      </c>
      <c r="O3235" t="str">
        <f t="shared" si="1318"/>
        <v>MYR</v>
      </c>
      <c r="P3235" t="str">
        <f t="shared" si="1333"/>
        <v>NIL</v>
      </c>
      <c r="Q3235" t="str">
        <f t="shared" si="1333"/>
        <v>NIL</v>
      </c>
      <c r="R3235" t="str">
        <f t="shared" si="1320"/>
        <v>Accepted</v>
      </c>
      <c r="S3235" t="str">
        <f t="shared" si="1321"/>
        <v>Approved</v>
      </c>
      <c r="T3235" t="str">
        <f t="shared" si="1322"/>
        <v>10.20.8.188</v>
      </c>
      <c r="U3235" t="str">
        <f t="shared" si="1323"/>
        <v>AZRAD UMAR BIN SHAARI</v>
      </c>
      <c r="V3235" t="str">
        <f t="shared" si="1324"/>
        <v>FARHANA BINTI MUSTAPA</v>
      </c>
      <c r="W3235" t="str">
        <f t="shared" si="1325"/>
        <v>04-08-2020</v>
      </c>
      <c r="X3235" t="str">
        <f t="shared" si="1326"/>
        <v>RAZIMAH ANSAR AHMAD</v>
      </c>
      <c r="Y3235" t="str">
        <f t="shared" si="1327"/>
        <v>04-08-2020</v>
      </c>
      <c r="Z3235" t="str">
        <f>"COS10200804 5919"</f>
        <v>COS10200804 5919</v>
      </c>
    </row>
    <row r="3236" spans="1:26" x14ac:dyDescent="0.25">
      <c r="A3236" t="str">
        <f t="shared" si="1330"/>
        <v>04-08-2020 12:58:13</v>
      </c>
      <c r="B3236" t="str">
        <f>"0000807708"</f>
        <v>0000807708</v>
      </c>
      <c r="C3236" t="str">
        <f t="shared" si="1331"/>
        <v>0000807590</v>
      </c>
      <c r="D3236" t="str">
        <f t="shared" si="1313"/>
        <v>73185</v>
      </c>
      <c r="E3236" t="str">
        <f t="shared" si="1314"/>
        <v>KFH-OPERATIONS DEPARTMENT</v>
      </c>
      <c r="F3236" t="str">
        <f t="shared" si="1315"/>
        <v>IBG</v>
      </c>
      <c r="G3236" t="str">
        <f t="shared" si="1328"/>
        <v>Refund COSHARE 10</v>
      </c>
      <c r="H3236" s="2">
        <v>251.85</v>
      </c>
      <c r="I3236" t="str">
        <f>"MOHD SYAFIQ BIN MAZLAN"</f>
        <v>MOHD SYAFIQ BIN MAZLAN</v>
      </c>
      <c r="J3236" t="str">
        <f t="shared" si="1329"/>
        <v>MAYBANK / MAYBANK ISLAMIC</v>
      </c>
      <c r="K3236" t="str">
        <f>"102064056841"</f>
        <v>102064056841</v>
      </c>
      <c r="L3236" t="str">
        <f t="shared" si="1332"/>
        <v>04-08-2020</v>
      </c>
      <c r="M3236" t="str">
        <f t="shared" si="1332"/>
        <v>04-08-2020</v>
      </c>
      <c r="N3236" t="str">
        <f t="shared" si="1317"/>
        <v>001105018356</v>
      </c>
      <c r="O3236" t="str">
        <f t="shared" si="1318"/>
        <v>MYR</v>
      </c>
      <c r="P3236" t="str">
        <f t="shared" si="1333"/>
        <v>NIL</v>
      </c>
      <c r="Q3236" t="str">
        <f t="shared" si="1333"/>
        <v>NIL</v>
      </c>
      <c r="R3236" t="str">
        <f t="shared" si="1320"/>
        <v>Accepted</v>
      </c>
      <c r="S3236" t="str">
        <f t="shared" si="1321"/>
        <v>Approved</v>
      </c>
      <c r="T3236" t="str">
        <f t="shared" si="1322"/>
        <v>10.20.8.188</v>
      </c>
      <c r="U3236" t="str">
        <f t="shared" si="1323"/>
        <v>AZRAD UMAR BIN SHAARI</v>
      </c>
      <c r="V3236" t="str">
        <f t="shared" si="1324"/>
        <v>FARHANA BINTI MUSTAPA</v>
      </c>
      <c r="W3236" t="str">
        <f t="shared" si="1325"/>
        <v>04-08-2020</v>
      </c>
      <c r="X3236" t="str">
        <f t="shared" si="1326"/>
        <v>RAZIMAH ANSAR AHMAD</v>
      </c>
      <c r="Y3236" t="str">
        <f t="shared" si="1327"/>
        <v>04-08-2020</v>
      </c>
      <c r="Z3236" t="str">
        <f>"COS10200804 5918"</f>
        <v>COS10200804 5918</v>
      </c>
    </row>
    <row r="3237" spans="1:26" x14ac:dyDescent="0.25">
      <c r="A3237" t="str">
        <f t="shared" si="1330"/>
        <v>04-08-2020 12:58:13</v>
      </c>
      <c r="B3237" t="str">
        <f>"0000807707"</f>
        <v>0000807707</v>
      </c>
      <c r="C3237" t="str">
        <f t="shared" si="1331"/>
        <v>0000807590</v>
      </c>
      <c r="D3237" t="str">
        <f t="shared" si="1313"/>
        <v>73185</v>
      </c>
      <c r="E3237" t="str">
        <f t="shared" si="1314"/>
        <v>KFH-OPERATIONS DEPARTMENT</v>
      </c>
      <c r="F3237" t="str">
        <f t="shared" si="1315"/>
        <v>IBG</v>
      </c>
      <c r="G3237" t="str">
        <f t="shared" si="1328"/>
        <v>Refund COSHARE 10</v>
      </c>
      <c r="H3237" s="2">
        <v>443.5</v>
      </c>
      <c r="I3237" t="str">
        <f>"MOHD SUKRIA BIN ISMAIL  AB RAHMAN"</f>
        <v>MOHD SUKRIA BIN ISMAIL  AB RAHMAN</v>
      </c>
      <c r="J3237" t="str">
        <f t="shared" si="1329"/>
        <v>MAYBANK / MAYBANK ISLAMIC</v>
      </c>
      <c r="K3237" t="str">
        <f>"153092033595"</f>
        <v>153092033595</v>
      </c>
      <c r="L3237" t="str">
        <f t="shared" si="1332"/>
        <v>04-08-2020</v>
      </c>
      <c r="M3237" t="str">
        <f t="shared" si="1332"/>
        <v>04-08-2020</v>
      </c>
      <c r="N3237" t="str">
        <f t="shared" si="1317"/>
        <v>001105018356</v>
      </c>
      <c r="O3237" t="str">
        <f t="shared" si="1318"/>
        <v>MYR</v>
      </c>
      <c r="P3237" t="str">
        <f t="shared" si="1333"/>
        <v>NIL</v>
      </c>
      <c r="Q3237" t="str">
        <f t="shared" si="1333"/>
        <v>NIL</v>
      </c>
      <c r="R3237" t="str">
        <f t="shared" si="1320"/>
        <v>Accepted</v>
      </c>
      <c r="S3237" t="str">
        <f t="shared" si="1321"/>
        <v>Approved</v>
      </c>
      <c r="T3237" t="str">
        <f t="shared" si="1322"/>
        <v>10.20.8.188</v>
      </c>
      <c r="U3237" t="str">
        <f t="shared" si="1323"/>
        <v>AZRAD UMAR BIN SHAARI</v>
      </c>
      <c r="V3237" t="str">
        <f t="shared" si="1324"/>
        <v>FARHANA BINTI MUSTAPA</v>
      </c>
      <c r="W3237" t="str">
        <f t="shared" si="1325"/>
        <v>04-08-2020</v>
      </c>
      <c r="X3237" t="str">
        <f t="shared" si="1326"/>
        <v>RAZIMAH ANSAR AHMAD</v>
      </c>
      <c r="Y3237" t="str">
        <f t="shared" si="1327"/>
        <v>04-08-2020</v>
      </c>
      <c r="Z3237" t="str">
        <f>"COS10200804 5917"</f>
        <v>COS10200804 5917</v>
      </c>
    </row>
    <row r="3238" spans="1:26" x14ac:dyDescent="0.25">
      <c r="A3238" t="str">
        <f t="shared" si="1330"/>
        <v>04-08-2020 12:58:13</v>
      </c>
      <c r="B3238" t="str">
        <f>"0000807706"</f>
        <v>0000807706</v>
      </c>
      <c r="C3238" t="str">
        <f t="shared" si="1331"/>
        <v>0000807590</v>
      </c>
      <c r="D3238" t="str">
        <f t="shared" si="1313"/>
        <v>73185</v>
      </c>
      <c r="E3238" t="str">
        <f t="shared" si="1314"/>
        <v>KFH-OPERATIONS DEPARTMENT</v>
      </c>
      <c r="F3238" t="str">
        <f t="shared" si="1315"/>
        <v>IBG</v>
      </c>
      <c r="G3238" t="str">
        <f t="shared" si="1328"/>
        <v>Refund COSHARE 10</v>
      </c>
      <c r="H3238" s="2">
        <v>862</v>
      </c>
      <c r="I3238" t="str">
        <f>"MOHD SUKRI BIN SULAIMAN"</f>
        <v>MOHD SUKRI BIN SULAIMAN</v>
      </c>
      <c r="J3238" t="str">
        <f t="shared" si="1329"/>
        <v>MAYBANK / MAYBANK ISLAMIC</v>
      </c>
      <c r="K3238" t="str">
        <f>"108168246238"</f>
        <v>108168246238</v>
      </c>
      <c r="L3238" t="str">
        <f t="shared" si="1332"/>
        <v>04-08-2020</v>
      </c>
      <c r="M3238" t="str">
        <f t="shared" si="1332"/>
        <v>04-08-2020</v>
      </c>
      <c r="N3238" t="str">
        <f t="shared" si="1317"/>
        <v>001105018356</v>
      </c>
      <c r="O3238" t="str">
        <f t="shared" si="1318"/>
        <v>MYR</v>
      </c>
      <c r="P3238" t="str">
        <f t="shared" si="1333"/>
        <v>NIL</v>
      </c>
      <c r="Q3238" t="str">
        <f t="shared" si="1333"/>
        <v>NIL</v>
      </c>
      <c r="R3238" t="str">
        <f t="shared" si="1320"/>
        <v>Accepted</v>
      </c>
      <c r="S3238" t="str">
        <f t="shared" si="1321"/>
        <v>Approved</v>
      </c>
      <c r="T3238" t="str">
        <f t="shared" si="1322"/>
        <v>10.20.8.188</v>
      </c>
      <c r="U3238" t="str">
        <f t="shared" si="1323"/>
        <v>AZRAD UMAR BIN SHAARI</v>
      </c>
      <c r="V3238" t="str">
        <f t="shared" si="1324"/>
        <v>FARHANA BINTI MUSTAPA</v>
      </c>
      <c r="W3238" t="str">
        <f t="shared" si="1325"/>
        <v>04-08-2020</v>
      </c>
      <c r="X3238" t="str">
        <f t="shared" si="1326"/>
        <v>RAZIMAH ANSAR AHMAD</v>
      </c>
      <c r="Y3238" t="str">
        <f t="shared" si="1327"/>
        <v>04-08-2020</v>
      </c>
      <c r="Z3238" t="str">
        <f>"COS10200804 5916"</f>
        <v>COS10200804 5916</v>
      </c>
    </row>
    <row r="3239" spans="1:26" x14ac:dyDescent="0.25">
      <c r="A3239" t="str">
        <f t="shared" si="1330"/>
        <v>04-08-2020 12:58:13</v>
      </c>
      <c r="B3239" t="str">
        <f>"0000807705"</f>
        <v>0000807705</v>
      </c>
      <c r="C3239" t="str">
        <f t="shared" si="1331"/>
        <v>0000807590</v>
      </c>
      <c r="D3239" t="str">
        <f t="shared" si="1313"/>
        <v>73185</v>
      </c>
      <c r="E3239" t="str">
        <f t="shared" si="1314"/>
        <v>KFH-OPERATIONS DEPARTMENT</v>
      </c>
      <c r="F3239" t="str">
        <f t="shared" si="1315"/>
        <v>IBG</v>
      </c>
      <c r="G3239" t="str">
        <f t="shared" si="1328"/>
        <v>Refund COSHARE 10</v>
      </c>
      <c r="H3239" s="2">
        <v>320.25</v>
      </c>
      <c r="I3239" t="str">
        <f>"MOHD SUKRI BIN HARUN"</f>
        <v>MOHD SUKRI BIN HARUN</v>
      </c>
      <c r="J3239" t="str">
        <f t="shared" si="1329"/>
        <v>MAYBANK / MAYBANK ISLAMIC</v>
      </c>
      <c r="K3239" t="str">
        <f>"102054667042"</f>
        <v>102054667042</v>
      </c>
      <c r="L3239" t="str">
        <f t="shared" si="1332"/>
        <v>04-08-2020</v>
      </c>
      <c r="M3239" t="str">
        <f t="shared" si="1332"/>
        <v>04-08-2020</v>
      </c>
      <c r="N3239" t="str">
        <f t="shared" si="1317"/>
        <v>001105018356</v>
      </c>
      <c r="O3239" t="str">
        <f t="shared" si="1318"/>
        <v>MYR</v>
      </c>
      <c r="P3239" t="str">
        <f t="shared" si="1333"/>
        <v>NIL</v>
      </c>
      <c r="Q3239" t="str">
        <f t="shared" si="1333"/>
        <v>NIL</v>
      </c>
      <c r="R3239" t="str">
        <f t="shared" si="1320"/>
        <v>Accepted</v>
      </c>
      <c r="S3239" t="str">
        <f t="shared" si="1321"/>
        <v>Approved</v>
      </c>
      <c r="T3239" t="str">
        <f t="shared" si="1322"/>
        <v>10.20.8.188</v>
      </c>
      <c r="U3239" t="str">
        <f t="shared" si="1323"/>
        <v>AZRAD UMAR BIN SHAARI</v>
      </c>
      <c r="V3239" t="str">
        <f t="shared" si="1324"/>
        <v>FARHANA BINTI MUSTAPA</v>
      </c>
      <c r="W3239" t="str">
        <f t="shared" si="1325"/>
        <v>04-08-2020</v>
      </c>
      <c r="X3239" t="str">
        <f t="shared" si="1326"/>
        <v>RAZIMAH ANSAR AHMAD</v>
      </c>
      <c r="Y3239" t="str">
        <f t="shared" si="1327"/>
        <v>04-08-2020</v>
      </c>
      <c r="Z3239" t="str">
        <f>"COS10200804 5915"</f>
        <v>COS10200804 5915</v>
      </c>
    </row>
    <row r="3240" spans="1:26" x14ac:dyDescent="0.25">
      <c r="A3240" t="str">
        <f t="shared" si="1330"/>
        <v>04-08-2020 12:58:13</v>
      </c>
      <c r="B3240" t="str">
        <f>"0000807704"</f>
        <v>0000807704</v>
      </c>
      <c r="C3240" t="str">
        <f t="shared" si="1331"/>
        <v>0000807590</v>
      </c>
      <c r="D3240" t="str">
        <f t="shared" si="1313"/>
        <v>73185</v>
      </c>
      <c r="E3240" t="str">
        <f t="shared" si="1314"/>
        <v>KFH-OPERATIONS DEPARTMENT</v>
      </c>
      <c r="F3240" t="str">
        <f t="shared" si="1315"/>
        <v>IBG</v>
      </c>
      <c r="G3240" t="str">
        <f t="shared" si="1328"/>
        <v>Refund COSHARE 10</v>
      </c>
      <c r="H3240" s="2">
        <v>147.35</v>
      </c>
      <c r="I3240" t="str">
        <f>"MOHD SUHAIZAILANI BIN SALLEH"</f>
        <v>MOHD SUHAIZAILANI BIN SALLEH</v>
      </c>
      <c r="J3240" t="str">
        <f t="shared" si="1329"/>
        <v>MAYBANK / MAYBANK ISLAMIC</v>
      </c>
      <c r="K3240" t="str">
        <f>"162553003094"</f>
        <v>162553003094</v>
      </c>
      <c r="L3240" t="str">
        <f t="shared" si="1332"/>
        <v>04-08-2020</v>
      </c>
      <c r="M3240" t="str">
        <f t="shared" si="1332"/>
        <v>04-08-2020</v>
      </c>
      <c r="N3240" t="str">
        <f t="shared" si="1317"/>
        <v>001105018356</v>
      </c>
      <c r="O3240" t="str">
        <f t="shared" si="1318"/>
        <v>MYR</v>
      </c>
      <c r="P3240" t="str">
        <f t="shared" si="1333"/>
        <v>NIL</v>
      </c>
      <c r="Q3240" t="str">
        <f t="shared" si="1333"/>
        <v>NIL</v>
      </c>
      <c r="R3240" t="str">
        <f t="shared" si="1320"/>
        <v>Accepted</v>
      </c>
      <c r="S3240" t="str">
        <f t="shared" si="1321"/>
        <v>Approved</v>
      </c>
      <c r="T3240" t="str">
        <f t="shared" si="1322"/>
        <v>10.20.8.188</v>
      </c>
      <c r="U3240" t="str">
        <f t="shared" si="1323"/>
        <v>AZRAD UMAR BIN SHAARI</v>
      </c>
      <c r="V3240" t="str">
        <f t="shared" si="1324"/>
        <v>FARHANA BINTI MUSTAPA</v>
      </c>
      <c r="W3240" t="str">
        <f t="shared" si="1325"/>
        <v>04-08-2020</v>
      </c>
      <c r="X3240" t="str">
        <f t="shared" si="1326"/>
        <v>RAZIMAH ANSAR AHMAD</v>
      </c>
      <c r="Y3240" t="str">
        <f t="shared" si="1327"/>
        <v>04-08-2020</v>
      </c>
      <c r="Z3240" t="str">
        <f>"COS10200804 5914"</f>
        <v>COS10200804 5914</v>
      </c>
    </row>
    <row r="3241" spans="1:26" x14ac:dyDescent="0.25">
      <c r="A3241" t="str">
        <f t="shared" si="1330"/>
        <v>04-08-2020 12:58:13</v>
      </c>
      <c r="B3241" t="str">
        <f>"0000807703"</f>
        <v>0000807703</v>
      </c>
      <c r="C3241" t="str">
        <f t="shared" si="1331"/>
        <v>0000807590</v>
      </c>
      <c r="D3241" t="str">
        <f t="shared" si="1313"/>
        <v>73185</v>
      </c>
      <c r="E3241" t="str">
        <f t="shared" si="1314"/>
        <v>KFH-OPERATIONS DEPARTMENT</v>
      </c>
      <c r="F3241" t="str">
        <f t="shared" si="1315"/>
        <v>IBG</v>
      </c>
      <c r="G3241" t="str">
        <f t="shared" si="1328"/>
        <v>Refund COSHARE 10</v>
      </c>
      <c r="H3241" s="2">
        <v>251.85</v>
      </c>
      <c r="I3241" t="str">
        <f>"MOHD SUHAIMI BIN CHE DAUD"</f>
        <v>MOHD SUHAIMI BIN CHE DAUD</v>
      </c>
      <c r="J3241" t="str">
        <f t="shared" si="1329"/>
        <v>MAYBANK / MAYBANK ISLAMIC</v>
      </c>
      <c r="K3241" t="str">
        <f>"156011856759"</f>
        <v>156011856759</v>
      </c>
      <c r="L3241" t="str">
        <f t="shared" si="1332"/>
        <v>04-08-2020</v>
      </c>
      <c r="M3241" t="str">
        <f t="shared" si="1332"/>
        <v>04-08-2020</v>
      </c>
      <c r="N3241" t="str">
        <f t="shared" si="1317"/>
        <v>001105018356</v>
      </c>
      <c r="O3241" t="str">
        <f t="shared" si="1318"/>
        <v>MYR</v>
      </c>
      <c r="P3241" t="str">
        <f t="shared" si="1333"/>
        <v>NIL</v>
      </c>
      <c r="Q3241" t="str">
        <f t="shared" si="1333"/>
        <v>NIL</v>
      </c>
      <c r="R3241" t="str">
        <f t="shared" si="1320"/>
        <v>Accepted</v>
      </c>
      <c r="S3241" t="str">
        <f t="shared" si="1321"/>
        <v>Approved</v>
      </c>
      <c r="T3241" t="str">
        <f t="shared" si="1322"/>
        <v>10.20.8.188</v>
      </c>
      <c r="U3241" t="str">
        <f t="shared" si="1323"/>
        <v>AZRAD UMAR BIN SHAARI</v>
      </c>
      <c r="V3241" t="str">
        <f t="shared" si="1324"/>
        <v>FARHANA BINTI MUSTAPA</v>
      </c>
      <c r="W3241" t="str">
        <f t="shared" si="1325"/>
        <v>04-08-2020</v>
      </c>
      <c r="X3241" t="str">
        <f t="shared" si="1326"/>
        <v>RAZIMAH ANSAR AHMAD</v>
      </c>
      <c r="Y3241" t="str">
        <f t="shared" si="1327"/>
        <v>04-08-2020</v>
      </c>
      <c r="Z3241" t="str">
        <f>"COS10200804 5913"</f>
        <v>COS10200804 5913</v>
      </c>
    </row>
    <row r="3242" spans="1:26" x14ac:dyDescent="0.25">
      <c r="A3242" t="str">
        <f t="shared" si="1330"/>
        <v>04-08-2020 12:58:13</v>
      </c>
      <c r="B3242" t="str">
        <f>"0000807702"</f>
        <v>0000807702</v>
      </c>
      <c r="C3242" t="str">
        <f t="shared" si="1331"/>
        <v>0000807590</v>
      </c>
      <c r="D3242" t="str">
        <f t="shared" si="1313"/>
        <v>73185</v>
      </c>
      <c r="E3242" t="str">
        <f t="shared" si="1314"/>
        <v>KFH-OPERATIONS DEPARTMENT</v>
      </c>
      <c r="F3242" t="str">
        <f t="shared" si="1315"/>
        <v>IBG</v>
      </c>
      <c r="G3242" t="str">
        <f t="shared" si="1328"/>
        <v>Refund COSHARE 10</v>
      </c>
      <c r="H3242" s="2">
        <v>1679</v>
      </c>
      <c r="I3242" t="str">
        <f>"MOHD SUFIRDAUS BIN SULIMAN"</f>
        <v>MOHD SUFIRDAUS BIN SULIMAN</v>
      </c>
      <c r="J3242" t="str">
        <f t="shared" si="1329"/>
        <v>MAYBANK / MAYBANK ISLAMIC</v>
      </c>
      <c r="K3242" t="str">
        <f>"164593022919"</f>
        <v>164593022919</v>
      </c>
      <c r="L3242" t="str">
        <f t="shared" si="1332"/>
        <v>04-08-2020</v>
      </c>
      <c r="M3242" t="str">
        <f t="shared" si="1332"/>
        <v>04-08-2020</v>
      </c>
      <c r="N3242" t="str">
        <f t="shared" si="1317"/>
        <v>001105018356</v>
      </c>
      <c r="O3242" t="str">
        <f t="shared" si="1318"/>
        <v>MYR</v>
      </c>
      <c r="P3242" t="str">
        <f t="shared" si="1333"/>
        <v>NIL</v>
      </c>
      <c r="Q3242" t="str">
        <f t="shared" si="1333"/>
        <v>NIL</v>
      </c>
      <c r="R3242" t="str">
        <f t="shared" si="1320"/>
        <v>Accepted</v>
      </c>
      <c r="S3242" t="str">
        <f t="shared" si="1321"/>
        <v>Approved</v>
      </c>
      <c r="T3242" t="str">
        <f t="shared" si="1322"/>
        <v>10.20.8.188</v>
      </c>
      <c r="U3242" t="str">
        <f t="shared" si="1323"/>
        <v>AZRAD UMAR BIN SHAARI</v>
      </c>
      <c r="V3242" t="str">
        <f t="shared" si="1324"/>
        <v>FARHANA BINTI MUSTAPA</v>
      </c>
      <c r="W3242" t="str">
        <f t="shared" si="1325"/>
        <v>04-08-2020</v>
      </c>
      <c r="X3242" t="str">
        <f t="shared" si="1326"/>
        <v>RAZIMAH ANSAR AHMAD</v>
      </c>
      <c r="Y3242" t="str">
        <f t="shared" si="1327"/>
        <v>04-08-2020</v>
      </c>
      <c r="Z3242" t="str">
        <f>"COS10200804 5912"</f>
        <v>COS10200804 5912</v>
      </c>
    </row>
    <row r="3243" spans="1:26" x14ac:dyDescent="0.25">
      <c r="A3243" t="str">
        <f t="shared" si="1330"/>
        <v>04-08-2020 12:58:13</v>
      </c>
      <c r="B3243" t="str">
        <f>"0000807701"</f>
        <v>0000807701</v>
      </c>
      <c r="C3243" t="str">
        <f t="shared" si="1331"/>
        <v>0000807590</v>
      </c>
      <c r="D3243" t="str">
        <f t="shared" si="1313"/>
        <v>73185</v>
      </c>
      <c r="E3243" t="str">
        <f t="shared" si="1314"/>
        <v>KFH-OPERATIONS DEPARTMENT</v>
      </c>
      <c r="F3243" t="str">
        <f t="shared" si="1315"/>
        <v>IBG</v>
      </c>
      <c r="G3243" t="str">
        <f t="shared" si="1328"/>
        <v>Refund COSHARE 10</v>
      </c>
      <c r="H3243" s="2">
        <v>134.35</v>
      </c>
      <c r="I3243" t="str">
        <f>"MOHD SUFIAN BIN TOKIMAN"</f>
        <v>MOHD SUFIAN BIN TOKIMAN</v>
      </c>
      <c r="J3243" t="str">
        <f t="shared" si="1329"/>
        <v>MAYBANK / MAYBANK ISLAMIC</v>
      </c>
      <c r="K3243" t="str">
        <f>"151306709536"</f>
        <v>151306709536</v>
      </c>
      <c r="L3243" t="str">
        <f t="shared" si="1332"/>
        <v>04-08-2020</v>
      </c>
      <c r="M3243" t="str">
        <f t="shared" si="1332"/>
        <v>04-08-2020</v>
      </c>
      <c r="N3243" t="str">
        <f t="shared" si="1317"/>
        <v>001105018356</v>
      </c>
      <c r="O3243" t="str">
        <f t="shared" si="1318"/>
        <v>MYR</v>
      </c>
      <c r="P3243" t="str">
        <f t="shared" si="1333"/>
        <v>NIL</v>
      </c>
      <c r="Q3243" t="str">
        <f t="shared" si="1333"/>
        <v>NIL</v>
      </c>
      <c r="R3243" t="str">
        <f t="shared" si="1320"/>
        <v>Accepted</v>
      </c>
      <c r="S3243" t="str">
        <f t="shared" si="1321"/>
        <v>Approved</v>
      </c>
      <c r="T3243" t="str">
        <f t="shared" si="1322"/>
        <v>10.20.8.188</v>
      </c>
      <c r="U3243" t="str">
        <f t="shared" si="1323"/>
        <v>AZRAD UMAR BIN SHAARI</v>
      </c>
      <c r="V3243" t="str">
        <f t="shared" si="1324"/>
        <v>FARHANA BINTI MUSTAPA</v>
      </c>
      <c r="W3243" t="str">
        <f t="shared" si="1325"/>
        <v>04-08-2020</v>
      </c>
      <c r="X3243" t="str">
        <f t="shared" si="1326"/>
        <v>RAZIMAH ANSAR AHMAD</v>
      </c>
      <c r="Y3243" t="str">
        <f t="shared" si="1327"/>
        <v>04-08-2020</v>
      </c>
      <c r="Z3243" t="str">
        <f>"COS10200804 5911"</f>
        <v>COS10200804 5911</v>
      </c>
    </row>
    <row r="3244" spans="1:26" x14ac:dyDescent="0.25">
      <c r="A3244" t="str">
        <f t="shared" si="1330"/>
        <v>04-08-2020 12:58:13</v>
      </c>
      <c r="B3244" t="str">
        <f>"0000807700"</f>
        <v>0000807700</v>
      </c>
      <c r="C3244" t="str">
        <f t="shared" si="1331"/>
        <v>0000807590</v>
      </c>
      <c r="D3244" t="str">
        <f t="shared" si="1313"/>
        <v>73185</v>
      </c>
      <c r="E3244" t="str">
        <f t="shared" si="1314"/>
        <v>KFH-OPERATIONS DEPARTMENT</v>
      </c>
      <c r="F3244" t="str">
        <f t="shared" si="1315"/>
        <v>IBG</v>
      </c>
      <c r="G3244" t="str">
        <f t="shared" si="1328"/>
        <v>Refund COSHARE 10</v>
      </c>
      <c r="H3244" s="2">
        <v>615.20000000000005</v>
      </c>
      <c r="I3244" t="str">
        <f>"MOHD SUFIAN BIN SULAIMAN"</f>
        <v>MOHD SUFIAN BIN SULAIMAN</v>
      </c>
      <c r="J3244" t="str">
        <f t="shared" si="1329"/>
        <v>MAYBANK / MAYBANK ISLAMIC</v>
      </c>
      <c r="K3244" t="str">
        <f>"101011439772"</f>
        <v>101011439772</v>
      </c>
      <c r="L3244" t="str">
        <f t="shared" si="1332"/>
        <v>04-08-2020</v>
      </c>
      <c r="M3244" t="str">
        <f t="shared" si="1332"/>
        <v>04-08-2020</v>
      </c>
      <c r="N3244" t="str">
        <f t="shared" si="1317"/>
        <v>001105018356</v>
      </c>
      <c r="O3244" t="str">
        <f t="shared" si="1318"/>
        <v>MYR</v>
      </c>
      <c r="P3244" t="str">
        <f t="shared" si="1333"/>
        <v>NIL</v>
      </c>
      <c r="Q3244" t="str">
        <f t="shared" si="1333"/>
        <v>NIL</v>
      </c>
      <c r="R3244" t="str">
        <f t="shared" si="1320"/>
        <v>Accepted</v>
      </c>
      <c r="S3244" t="str">
        <f t="shared" si="1321"/>
        <v>Approved</v>
      </c>
      <c r="T3244" t="str">
        <f t="shared" si="1322"/>
        <v>10.20.8.188</v>
      </c>
      <c r="U3244" t="str">
        <f t="shared" si="1323"/>
        <v>AZRAD UMAR BIN SHAARI</v>
      </c>
      <c r="V3244" t="str">
        <f t="shared" si="1324"/>
        <v>FARHANA BINTI MUSTAPA</v>
      </c>
      <c r="W3244" t="str">
        <f t="shared" si="1325"/>
        <v>04-08-2020</v>
      </c>
      <c r="X3244" t="str">
        <f t="shared" si="1326"/>
        <v>RAZIMAH ANSAR AHMAD</v>
      </c>
      <c r="Y3244" t="str">
        <f t="shared" si="1327"/>
        <v>04-08-2020</v>
      </c>
      <c r="Z3244" t="str">
        <f>"COS10200804 5910"</f>
        <v>COS10200804 5910</v>
      </c>
    </row>
    <row r="3245" spans="1:26" x14ac:dyDescent="0.25">
      <c r="A3245" t="str">
        <f t="shared" si="1330"/>
        <v>04-08-2020 12:58:13</v>
      </c>
      <c r="B3245" t="str">
        <f>"0000807699"</f>
        <v>0000807699</v>
      </c>
      <c r="C3245" t="str">
        <f t="shared" si="1331"/>
        <v>0000807590</v>
      </c>
      <c r="D3245" t="str">
        <f t="shared" si="1313"/>
        <v>73185</v>
      </c>
      <c r="E3245" t="str">
        <f t="shared" si="1314"/>
        <v>KFH-OPERATIONS DEPARTMENT</v>
      </c>
      <c r="F3245" t="str">
        <f t="shared" si="1315"/>
        <v>IBG</v>
      </c>
      <c r="G3245" t="str">
        <f t="shared" si="1328"/>
        <v>Refund COSHARE 10</v>
      </c>
      <c r="H3245" s="2">
        <v>42</v>
      </c>
      <c r="I3245" t="str">
        <f>"MOHD SUBAIRY BIN MOHD SALIM"</f>
        <v>MOHD SUBAIRY BIN MOHD SALIM</v>
      </c>
      <c r="J3245" t="str">
        <f t="shared" si="1329"/>
        <v>MAYBANK / MAYBANK ISLAMIC</v>
      </c>
      <c r="K3245" t="str">
        <f>"162272544002"</f>
        <v>162272544002</v>
      </c>
      <c r="L3245" t="str">
        <f t="shared" si="1332"/>
        <v>04-08-2020</v>
      </c>
      <c r="M3245" t="str">
        <f t="shared" si="1332"/>
        <v>04-08-2020</v>
      </c>
      <c r="N3245" t="str">
        <f t="shared" si="1317"/>
        <v>001105018356</v>
      </c>
      <c r="O3245" t="str">
        <f t="shared" si="1318"/>
        <v>MYR</v>
      </c>
      <c r="P3245" t="str">
        <f t="shared" si="1333"/>
        <v>NIL</v>
      </c>
      <c r="Q3245" t="str">
        <f t="shared" si="1333"/>
        <v>NIL</v>
      </c>
      <c r="R3245" t="str">
        <f t="shared" si="1320"/>
        <v>Accepted</v>
      </c>
      <c r="S3245" t="str">
        <f t="shared" si="1321"/>
        <v>Approved</v>
      </c>
      <c r="T3245" t="str">
        <f t="shared" si="1322"/>
        <v>10.20.8.188</v>
      </c>
      <c r="U3245" t="str">
        <f t="shared" si="1323"/>
        <v>AZRAD UMAR BIN SHAARI</v>
      </c>
      <c r="V3245" t="str">
        <f t="shared" si="1324"/>
        <v>FARHANA BINTI MUSTAPA</v>
      </c>
      <c r="W3245" t="str">
        <f t="shared" si="1325"/>
        <v>04-08-2020</v>
      </c>
      <c r="X3245" t="str">
        <f t="shared" si="1326"/>
        <v>RAZIMAH ANSAR AHMAD</v>
      </c>
      <c r="Y3245" t="str">
        <f t="shared" si="1327"/>
        <v>04-08-2020</v>
      </c>
      <c r="Z3245" t="str">
        <f>"COS10200804 5909"</f>
        <v>COS10200804 5909</v>
      </c>
    </row>
    <row r="3246" spans="1:26" x14ac:dyDescent="0.25">
      <c r="A3246" t="str">
        <f t="shared" si="1330"/>
        <v>04-08-2020 12:58:13</v>
      </c>
      <c r="B3246" t="str">
        <f>"0000807698"</f>
        <v>0000807698</v>
      </c>
      <c r="C3246" t="str">
        <f t="shared" si="1331"/>
        <v>0000807590</v>
      </c>
      <c r="D3246" t="str">
        <f t="shared" si="1313"/>
        <v>73185</v>
      </c>
      <c r="E3246" t="str">
        <f t="shared" si="1314"/>
        <v>KFH-OPERATIONS DEPARTMENT</v>
      </c>
      <c r="F3246" t="str">
        <f t="shared" si="1315"/>
        <v>IBG</v>
      </c>
      <c r="G3246" t="str">
        <f t="shared" si="1328"/>
        <v>Refund COSHARE 10</v>
      </c>
      <c r="H3246" s="2">
        <v>705.2</v>
      </c>
      <c r="I3246" t="str">
        <f>"MOHD SRI MAZIZ BIN SULAIMAN"</f>
        <v>MOHD SRI MAZIZ BIN SULAIMAN</v>
      </c>
      <c r="J3246" t="str">
        <f t="shared" si="1329"/>
        <v>MAYBANK / MAYBANK ISLAMIC</v>
      </c>
      <c r="K3246" t="str">
        <f>"163037082850"</f>
        <v>163037082850</v>
      </c>
      <c r="L3246" t="str">
        <f t="shared" si="1332"/>
        <v>04-08-2020</v>
      </c>
      <c r="M3246" t="str">
        <f t="shared" si="1332"/>
        <v>04-08-2020</v>
      </c>
      <c r="N3246" t="str">
        <f t="shared" si="1317"/>
        <v>001105018356</v>
      </c>
      <c r="O3246" t="str">
        <f t="shared" si="1318"/>
        <v>MYR</v>
      </c>
      <c r="P3246" t="str">
        <f t="shared" si="1333"/>
        <v>NIL</v>
      </c>
      <c r="Q3246" t="str">
        <f t="shared" si="1333"/>
        <v>NIL</v>
      </c>
      <c r="R3246" t="str">
        <f t="shared" si="1320"/>
        <v>Accepted</v>
      </c>
      <c r="S3246" t="str">
        <f t="shared" si="1321"/>
        <v>Approved</v>
      </c>
      <c r="T3246" t="str">
        <f t="shared" si="1322"/>
        <v>10.20.8.188</v>
      </c>
      <c r="U3246" t="str">
        <f t="shared" si="1323"/>
        <v>AZRAD UMAR BIN SHAARI</v>
      </c>
      <c r="V3246" t="str">
        <f t="shared" si="1324"/>
        <v>FARHANA BINTI MUSTAPA</v>
      </c>
      <c r="W3246" t="str">
        <f t="shared" si="1325"/>
        <v>04-08-2020</v>
      </c>
      <c r="X3246" t="str">
        <f t="shared" si="1326"/>
        <v>RAZIMAH ANSAR AHMAD</v>
      </c>
      <c r="Y3246" t="str">
        <f t="shared" si="1327"/>
        <v>04-08-2020</v>
      </c>
      <c r="Z3246" t="str">
        <f>"COS10200804 5908"</f>
        <v>COS10200804 5908</v>
      </c>
    </row>
    <row r="3247" spans="1:26" x14ac:dyDescent="0.25">
      <c r="A3247" t="str">
        <f t="shared" si="1330"/>
        <v>04-08-2020 12:58:13</v>
      </c>
      <c r="B3247" t="str">
        <f>"0000807697"</f>
        <v>0000807697</v>
      </c>
      <c r="C3247" t="str">
        <f t="shared" si="1331"/>
        <v>0000807590</v>
      </c>
      <c r="D3247" t="str">
        <f t="shared" si="1313"/>
        <v>73185</v>
      </c>
      <c r="E3247" t="str">
        <f t="shared" si="1314"/>
        <v>KFH-OPERATIONS DEPARTMENT</v>
      </c>
      <c r="F3247" t="str">
        <f t="shared" si="1315"/>
        <v>IBG</v>
      </c>
      <c r="G3247" t="str">
        <f t="shared" si="1328"/>
        <v>Refund COSHARE 10</v>
      </c>
      <c r="H3247" s="2">
        <v>42</v>
      </c>
      <c r="I3247" t="str">
        <f>"MOHD SOLIHIN BIN SHABAR"</f>
        <v>MOHD SOLIHIN BIN SHABAR</v>
      </c>
      <c r="J3247" t="str">
        <f t="shared" si="1329"/>
        <v>MAYBANK / MAYBANK ISLAMIC</v>
      </c>
      <c r="K3247" t="str">
        <f>"114263039147"</f>
        <v>114263039147</v>
      </c>
      <c r="L3247" t="str">
        <f t="shared" ref="L3247:M3266" si="1334">"04-08-2020"</f>
        <v>04-08-2020</v>
      </c>
      <c r="M3247" t="str">
        <f t="shared" si="1334"/>
        <v>04-08-2020</v>
      </c>
      <c r="N3247" t="str">
        <f t="shared" si="1317"/>
        <v>001105018356</v>
      </c>
      <c r="O3247" t="str">
        <f t="shared" si="1318"/>
        <v>MYR</v>
      </c>
      <c r="P3247" t="str">
        <f t="shared" ref="P3247:Q3266" si="1335">"NIL"</f>
        <v>NIL</v>
      </c>
      <c r="Q3247" t="str">
        <f t="shared" si="1335"/>
        <v>NIL</v>
      </c>
      <c r="R3247" t="str">
        <f t="shared" si="1320"/>
        <v>Accepted</v>
      </c>
      <c r="S3247" t="str">
        <f t="shared" si="1321"/>
        <v>Approved</v>
      </c>
      <c r="T3247" t="str">
        <f t="shared" si="1322"/>
        <v>10.20.8.188</v>
      </c>
      <c r="U3247" t="str">
        <f t="shared" si="1323"/>
        <v>AZRAD UMAR BIN SHAARI</v>
      </c>
      <c r="V3247" t="str">
        <f t="shared" si="1324"/>
        <v>FARHANA BINTI MUSTAPA</v>
      </c>
      <c r="W3247" t="str">
        <f t="shared" si="1325"/>
        <v>04-08-2020</v>
      </c>
      <c r="X3247" t="str">
        <f t="shared" si="1326"/>
        <v>RAZIMAH ANSAR AHMAD</v>
      </c>
      <c r="Y3247" t="str">
        <f t="shared" si="1327"/>
        <v>04-08-2020</v>
      </c>
      <c r="Z3247" t="str">
        <f>"COS10200804 5907"</f>
        <v>COS10200804 5907</v>
      </c>
    </row>
    <row r="3248" spans="1:26" x14ac:dyDescent="0.25">
      <c r="A3248" t="str">
        <f t="shared" si="1330"/>
        <v>04-08-2020 12:58:13</v>
      </c>
      <c r="B3248" t="str">
        <f>"0000807696"</f>
        <v>0000807696</v>
      </c>
      <c r="C3248" t="str">
        <f t="shared" si="1331"/>
        <v>0000807590</v>
      </c>
      <c r="D3248" t="str">
        <f t="shared" si="1313"/>
        <v>73185</v>
      </c>
      <c r="E3248" t="str">
        <f t="shared" si="1314"/>
        <v>KFH-OPERATIONS DEPARTMENT</v>
      </c>
      <c r="F3248" t="str">
        <f t="shared" si="1315"/>
        <v>IBG</v>
      </c>
      <c r="G3248" t="str">
        <f t="shared" si="1328"/>
        <v>Refund COSHARE 10</v>
      </c>
      <c r="H3248" s="2">
        <v>349</v>
      </c>
      <c r="I3248" t="str">
        <f>"MOHD SOFIUDDIN BIN ABD RAHMAN"</f>
        <v>MOHD SOFIUDDIN BIN ABD RAHMAN</v>
      </c>
      <c r="J3248" t="str">
        <f t="shared" si="1329"/>
        <v>MAYBANK / MAYBANK ISLAMIC</v>
      </c>
      <c r="K3248" t="str">
        <f>"164490141099"</f>
        <v>164490141099</v>
      </c>
      <c r="L3248" t="str">
        <f t="shared" si="1334"/>
        <v>04-08-2020</v>
      </c>
      <c r="M3248" t="str">
        <f t="shared" si="1334"/>
        <v>04-08-2020</v>
      </c>
      <c r="N3248" t="str">
        <f t="shared" si="1317"/>
        <v>001105018356</v>
      </c>
      <c r="O3248" t="str">
        <f t="shared" si="1318"/>
        <v>MYR</v>
      </c>
      <c r="P3248" t="str">
        <f t="shared" si="1335"/>
        <v>NIL</v>
      </c>
      <c r="Q3248" t="str">
        <f t="shared" si="1335"/>
        <v>NIL</v>
      </c>
      <c r="R3248" t="str">
        <f t="shared" si="1320"/>
        <v>Accepted</v>
      </c>
      <c r="S3248" t="str">
        <f t="shared" si="1321"/>
        <v>Approved</v>
      </c>
      <c r="T3248" t="str">
        <f t="shared" si="1322"/>
        <v>10.20.8.188</v>
      </c>
      <c r="U3248" t="str">
        <f t="shared" si="1323"/>
        <v>AZRAD UMAR BIN SHAARI</v>
      </c>
      <c r="V3248" t="str">
        <f t="shared" si="1324"/>
        <v>FARHANA BINTI MUSTAPA</v>
      </c>
      <c r="W3248" t="str">
        <f t="shared" si="1325"/>
        <v>04-08-2020</v>
      </c>
      <c r="X3248" t="str">
        <f t="shared" si="1326"/>
        <v>RAZIMAH ANSAR AHMAD</v>
      </c>
      <c r="Y3248" t="str">
        <f t="shared" si="1327"/>
        <v>04-08-2020</v>
      </c>
      <c r="Z3248" t="str">
        <f>"COS10200804 5906"</f>
        <v>COS10200804 5906</v>
      </c>
    </row>
    <row r="3249" spans="1:26" x14ac:dyDescent="0.25">
      <c r="A3249" t="str">
        <f t="shared" si="1330"/>
        <v>04-08-2020 12:58:13</v>
      </c>
      <c r="B3249" t="str">
        <f>"0000807695"</f>
        <v>0000807695</v>
      </c>
      <c r="C3249" t="str">
        <f t="shared" si="1331"/>
        <v>0000807590</v>
      </c>
      <c r="D3249" t="str">
        <f t="shared" si="1313"/>
        <v>73185</v>
      </c>
      <c r="E3249" t="str">
        <f t="shared" si="1314"/>
        <v>KFH-OPERATIONS DEPARTMENT</v>
      </c>
      <c r="F3249" t="str">
        <f t="shared" si="1315"/>
        <v>IBG</v>
      </c>
      <c r="G3249" t="str">
        <f t="shared" si="1328"/>
        <v>Refund COSHARE 10</v>
      </c>
      <c r="H3249" s="2">
        <v>92</v>
      </c>
      <c r="I3249" t="str">
        <f>"MOHD SIDIQ BIN SATAM"</f>
        <v>MOHD SIDIQ BIN SATAM</v>
      </c>
      <c r="J3249" t="str">
        <f t="shared" si="1329"/>
        <v>MAYBANK / MAYBANK ISLAMIC</v>
      </c>
      <c r="K3249" t="str">
        <f>"151016071679"</f>
        <v>151016071679</v>
      </c>
      <c r="L3249" t="str">
        <f t="shared" si="1334"/>
        <v>04-08-2020</v>
      </c>
      <c r="M3249" t="str">
        <f t="shared" si="1334"/>
        <v>04-08-2020</v>
      </c>
      <c r="N3249" t="str">
        <f t="shared" si="1317"/>
        <v>001105018356</v>
      </c>
      <c r="O3249" t="str">
        <f t="shared" si="1318"/>
        <v>MYR</v>
      </c>
      <c r="P3249" t="str">
        <f t="shared" si="1335"/>
        <v>NIL</v>
      </c>
      <c r="Q3249" t="str">
        <f t="shared" si="1335"/>
        <v>NIL</v>
      </c>
      <c r="R3249" t="str">
        <f t="shared" si="1320"/>
        <v>Accepted</v>
      </c>
      <c r="S3249" t="str">
        <f t="shared" si="1321"/>
        <v>Approved</v>
      </c>
      <c r="T3249" t="str">
        <f t="shared" si="1322"/>
        <v>10.20.8.188</v>
      </c>
      <c r="U3249" t="str">
        <f t="shared" si="1323"/>
        <v>AZRAD UMAR BIN SHAARI</v>
      </c>
      <c r="V3249" t="str">
        <f t="shared" si="1324"/>
        <v>FARHANA BINTI MUSTAPA</v>
      </c>
      <c r="W3249" t="str">
        <f t="shared" si="1325"/>
        <v>04-08-2020</v>
      </c>
      <c r="X3249" t="str">
        <f t="shared" si="1326"/>
        <v>RAZIMAH ANSAR AHMAD</v>
      </c>
      <c r="Y3249" t="str">
        <f t="shared" si="1327"/>
        <v>04-08-2020</v>
      </c>
      <c r="Z3249" t="str">
        <f>"COS10200804 5905"</f>
        <v>COS10200804 5905</v>
      </c>
    </row>
    <row r="3250" spans="1:26" x14ac:dyDescent="0.25">
      <c r="A3250" t="str">
        <f t="shared" ref="A3250:A3281" si="1336">"04-08-2020 12:58:13"</f>
        <v>04-08-2020 12:58:13</v>
      </c>
      <c r="B3250" t="str">
        <f>"0000807694"</f>
        <v>0000807694</v>
      </c>
      <c r="C3250" t="str">
        <f t="shared" ref="C3250:C3281" si="1337">"0000807590"</f>
        <v>0000807590</v>
      </c>
      <c r="D3250" t="str">
        <f t="shared" si="1313"/>
        <v>73185</v>
      </c>
      <c r="E3250" t="str">
        <f t="shared" si="1314"/>
        <v>KFH-OPERATIONS DEPARTMENT</v>
      </c>
      <c r="F3250" t="str">
        <f t="shared" si="1315"/>
        <v>IBG</v>
      </c>
      <c r="G3250" t="str">
        <f t="shared" si="1328"/>
        <v>Refund COSHARE 10</v>
      </c>
      <c r="H3250" s="2">
        <v>759</v>
      </c>
      <c r="I3250" t="str">
        <f>"MOHD SHUKRY BIN ABDUL MAJID"</f>
        <v>MOHD SHUKRY BIN ABDUL MAJID</v>
      </c>
      <c r="J3250" t="str">
        <f t="shared" si="1329"/>
        <v>MAYBANK / MAYBANK ISLAMIC</v>
      </c>
      <c r="K3250" t="str">
        <f>"159012793743"</f>
        <v>159012793743</v>
      </c>
      <c r="L3250" t="str">
        <f t="shared" si="1334"/>
        <v>04-08-2020</v>
      </c>
      <c r="M3250" t="str">
        <f t="shared" si="1334"/>
        <v>04-08-2020</v>
      </c>
      <c r="N3250" t="str">
        <f t="shared" si="1317"/>
        <v>001105018356</v>
      </c>
      <c r="O3250" t="str">
        <f t="shared" si="1318"/>
        <v>MYR</v>
      </c>
      <c r="P3250" t="str">
        <f t="shared" si="1335"/>
        <v>NIL</v>
      </c>
      <c r="Q3250" t="str">
        <f t="shared" si="1335"/>
        <v>NIL</v>
      </c>
      <c r="R3250" t="str">
        <f t="shared" si="1320"/>
        <v>Accepted</v>
      </c>
      <c r="S3250" t="str">
        <f t="shared" si="1321"/>
        <v>Approved</v>
      </c>
      <c r="T3250" t="str">
        <f t="shared" si="1322"/>
        <v>10.20.8.188</v>
      </c>
      <c r="U3250" t="str">
        <f t="shared" si="1323"/>
        <v>AZRAD UMAR BIN SHAARI</v>
      </c>
      <c r="V3250" t="str">
        <f t="shared" si="1324"/>
        <v>FARHANA BINTI MUSTAPA</v>
      </c>
      <c r="W3250" t="str">
        <f t="shared" si="1325"/>
        <v>04-08-2020</v>
      </c>
      <c r="X3250" t="str">
        <f t="shared" si="1326"/>
        <v>RAZIMAH ANSAR AHMAD</v>
      </c>
      <c r="Y3250" t="str">
        <f t="shared" si="1327"/>
        <v>04-08-2020</v>
      </c>
      <c r="Z3250" t="str">
        <f>"COS10200804 5904"</f>
        <v>COS10200804 5904</v>
      </c>
    </row>
    <row r="3251" spans="1:26" x14ac:dyDescent="0.25">
      <c r="A3251" t="str">
        <f t="shared" si="1336"/>
        <v>04-08-2020 12:58:13</v>
      </c>
      <c r="B3251" t="str">
        <f>"0000807693"</f>
        <v>0000807693</v>
      </c>
      <c r="C3251" t="str">
        <f t="shared" si="1337"/>
        <v>0000807590</v>
      </c>
      <c r="D3251" t="str">
        <f t="shared" si="1313"/>
        <v>73185</v>
      </c>
      <c r="E3251" t="str">
        <f t="shared" si="1314"/>
        <v>KFH-OPERATIONS DEPARTMENT</v>
      </c>
      <c r="F3251" t="str">
        <f t="shared" si="1315"/>
        <v>IBG</v>
      </c>
      <c r="G3251" t="str">
        <f t="shared" si="1328"/>
        <v>Refund COSHARE 10</v>
      </c>
      <c r="H3251" s="2">
        <v>671.6</v>
      </c>
      <c r="I3251" t="str">
        <f>"MOHD SHUKRI HANAFI BIN MOHD JAILANI"</f>
        <v>MOHD SHUKRI HANAFI BIN MOHD JAILANI</v>
      </c>
      <c r="J3251" t="str">
        <f t="shared" si="1329"/>
        <v>MAYBANK / MAYBANK ISLAMIC</v>
      </c>
      <c r="K3251" t="str">
        <f>"158051528965"</f>
        <v>158051528965</v>
      </c>
      <c r="L3251" t="str">
        <f t="shared" si="1334"/>
        <v>04-08-2020</v>
      </c>
      <c r="M3251" t="str">
        <f t="shared" si="1334"/>
        <v>04-08-2020</v>
      </c>
      <c r="N3251" t="str">
        <f t="shared" si="1317"/>
        <v>001105018356</v>
      </c>
      <c r="O3251" t="str">
        <f t="shared" si="1318"/>
        <v>MYR</v>
      </c>
      <c r="P3251" t="str">
        <f t="shared" si="1335"/>
        <v>NIL</v>
      </c>
      <c r="Q3251" t="str">
        <f t="shared" si="1335"/>
        <v>NIL</v>
      </c>
      <c r="R3251" t="str">
        <f t="shared" si="1320"/>
        <v>Accepted</v>
      </c>
      <c r="S3251" t="str">
        <f t="shared" si="1321"/>
        <v>Approved</v>
      </c>
      <c r="T3251" t="str">
        <f t="shared" si="1322"/>
        <v>10.20.8.188</v>
      </c>
      <c r="U3251" t="str">
        <f t="shared" si="1323"/>
        <v>AZRAD UMAR BIN SHAARI</v>
      </c>
      <c r="V3251" t="str">
        <f t="shared" si="1324"/>
        <v>FARHANA BINTI MUSTAPA</v>
      </c>
      <c r="W3251" t="str">
        <f t="shared" si="1325"/>
        <v>04-08-2020</v>
      </c>
      <c r="X3251" t="str">
        <f t="shared" si="1326"/>
        <v>RAZIMAH ANSAR AHMAD</v>
      </c>
      <c r="Y3251" t="str">
        <f t="shared" si="1327"/>
        <v>04-08-2020</v>
      </c>
      <c r="Z3251" t="str">
        <f>"COS10200804 5903"</f>
        <v>COS10200804 5903</v>
      </c>
    </row>
    <row r="3252" spans="1:26" x14ac:dyDescent="0.25">
      <c r="A3252" t="str">
        <f t="shared" si="1336"/>
        <v>04-08-2020 12:58:13</v>
      </c>
      <c r="B3252" t="str">
        <f>"0000807692"</f>
        <v>0000807692</v>
      </c>
      <c r="C3252" t="str">
        <f t="shared" si="1337"/>
        <v>0000807590</v>
      </c>
      <c r="D3252" t="str">
        <f t="shared" si="1313"/>
        <v>73185</v>
      </c>
      <c r="E3252" t="str">
        <f t="shared" si="1314"/>
        <v>KFH-OPERATIONS DEPARTMENT</v>
      </c>
      <c r="F3252" t="str">
        <f t="shared" si="1315"/>
        <v>IBG</v>
      </c>
      <c r="G3252" t="str">
        <f t="shared" si="1328"/>
        <v>Refund COSHARE 10</v>
      </c>
      <c r="H3252" s="2">
        <v>934</v>
      </c>
      <c r="I3252" t="str">
        <f>"MOHD SHUKOR BIN SABUDIN"</f>
        <v>MOHD SHUKOR BIN SABUDIN</v>
      </c>
      <c r="J3252" t="str">
        <f t="shared" si="1329"/>
        <v>MAYBANK / MAYBANK ISLAMIC</v>
      </c>
      <c r="K3252" t="str">
        <f>"151276020372"</f>
        <v>151276020372</v>
      </c>
      <c r="L3252" t="str">
        <f t="shared" si="1334"/>
        <v>04-08-2020</v>
      </c>
      <c r="M3252" t="str">
        <f t="shared" si="1334"/>
        <v>04-08-2020</v>
      </c>
      <c r="N3252" t="str">
        <f t="shared" si="1317"/>
        <v>001105018356</v>
      </c>
      <c r="O3252" t="str">
        <f t="shared" si="1318"/>
        <v>MYR</v>
      </c>
      <c r="P3252" t="str">
        <f t="shared" si="1335"/>
        <v>NIL</v>
      </c>
      <c r="Q3252" t="str">
        <f t="shared" si="1335"/>
        <v>NIL</v>
      </c>
      <c r="R3252" t="str">
        <f t="shared" si="1320"/>
        <v>Accepted</v>
      </c>
      <c r="S3252" t="str">
        <f t="shared" si="1321"/>
        <v>Approved</v>
      </c>
      <c r="T3252" t="str">
        <f t="shared" si="1322"/>
        <v>10.20.8.188</v>
      </c>
      <c r="U3252" t="str">
        <f t="shared" si="1323"/>
        <v>AZRAD UMAR BIN SHAARI</v>
      </c>
      <c r="V3252" t="str">
        <f t="shared" si="1324"/>
        <v>FARHANA BINTI MUSTAPA</v>
      </c>
      <c r="W3252" t="str">
        <f t="shared" si="1325"/>
        <v>04-08-2020</v>
      </c>
      <c r="X3252" t="str">
        <f t="shared" si="1326"/>
        <v>RAZIMAH ANSAR AHMAD</v>
      </c>
      <c r="Y3252" t="str">
        <f t="shared" si="1327"/>
        <v>04-08-2020</v>
      </c>
      <c r="Z3252" t="str">
        <f>"COS10200804 5902"</f>
        <v>COS10200804 5902</v>
      </c>
    </row>
    <row r="3253" spans="1:26" x14ac:dyDescent="0.25">
      <c r="A3253" t="str">
        <f t="shared" si="1336"/>
        <v>04-08-2020 12:58:13</v>
      </c>
      <c r="B3253" t="str">
        <f>"0000807691"</f>
        <v>0000807691</v>
      </c>
      <c r="C3253" t="str">
        <f t="shared" si="1337"/>
        <v>0000807590</v>
      </c>
      <c r="D3253" t="str">
        <f t="shared" si="1313"/>
        <v>73185</v>
      </c>
      <c r="E3253" t="str">
        <f t="shared" si="1314"/>
        <v>KFH-OPERATIONS DEPARTMENT</v>
      </c>
      <c r="F3253" t="str">
        <f t="shared" si="1315"/>
        <v>IBG</v>
      </c>
      <c r="G3253" t="str">
        <f t="shared" si="1328"/>
        <v>Refund COSHARE 10</v>
      </c>
      <c r="H3253" s="2">
        <v>713.6</v>
      </c>
      <c r="I3253" t="str">
        <f>"MOHD SHUKIMAN BIN MOHAMMAD"</f>
        <v>MOHD SHUKIMAN BIN MOHAMMAD</v>
      </c>
      <c r="J3253" t="str">
        <f t="shared" si="1329"/>
        <v>MAYBANK / MAYBANK ISLAMIC</v>
      </c>
      <c r="K3253" t="str">
        <f>"163046217324"</f>
        <v>163046217324</v>
      </c>
      <c r="L3253" t="str">
        <f t="shared" si="1334"/>
        <v>04-08-2020</v>
      </c>
      <c r="M3253" t="str">
        <f t="shared" si="1334"/>
        <v>04-08-2020</v>
      </c>
      <c r="N3253" t="str">
        <f t="shared" si="1317"/>
        <v>001105018356</v>
      </c>
      <c r="O3253" t="str">
        <f t="shared" si="1318"/>
        <v>MYR</v>
      </c>
      <c r="P3253" t="str">
        <f t="shared" si="1335"/>
        <v>NIL</v>
      </c>
      <c r="Q3253" t="str">
        <f t="shared" si="1335"/>
        <v>NIL</v>
      </c>
      <c r="R3253" t="str">
        <f t="shared" si="1320"/>
        <v>Accepted</v>
      </c>
      <c r="S3253" t="str">
        <f t="shared" si="1321"/>
        <v>Approved</v>
      </c>
      <c r="T3253" t="str">
        <f t="shared" si="1322"/>
        <v>10.20.8.188</v>
      </c>
      <c r="U3253" t="str">
        <f t="shared" si="1323"/>
        <v>AZRAD UMAR BIN SHAARI</v>
      </c>
      <c r="V3253" t="str">
        <f t="shared" si="1324"/>
        <v>FARHANA BINTI MUSTAPA</v>
      </c>
      <c r="W3253" t="str">
        <f t="shared" si="1325"/>
        <v>04-08-2020</v>
      </c>
      <c r="X3253" t="str">
        <f t="shared" si="1326"/>
        <v>RAZIMAH ANSAR AHMAD</v>
      </c>
      <c r="Y3253" t="str">
        <f t="shared" si="1327"/>
        <v>04-08-2020</v>
      </c>
      <c r="Z3253" t="str">
        <f>"COS10200804 5901"</f>
        <v>COS10200804 5901</v>
      </c>
    </row>
    <row r="3254" spans="1:26" x14ac:dyDescent="0.25">
      <c r="A3254" t="str">
        <f t="shared" si="1336"/>
        <v>04-08-2020 12:58:13</v>
      </c>
      <c r="B3254" t="str">
        <f>"0000807690"</f>
        <v>0000807690</v>
      </c>
      <c r="C3254" t="str">
        <f t="shared" si="1337"/>
        <v>0000807590</v>
      </c>
      <c r="D3254" t="str">
        <f t="shared" si="1313"/>
        <v>73185</v>
      </c>
      <c r="E3254" t="str">
        <f t="shared" si="1314"/>
        <v>KFH-OPERATIONS DEPARTMENT</v>
      </c>
      <c r="F3254" t="str">
        <f t="shared" si="1315"/>
        <v>IBG</v>
      </c>
      <c r="G3254" t="str">
        <f t="shared" si="1328"/>
        <v>Refund COSHARE 10</v>
      </c>
      <c r="H3254" s="2">
        <v>419.75</v>
      </c>
      <c r="I3254" t="str">
        <f>"MOHD SHUHAIRIL BIN SHUKRI"</f>
        <v>MOHD SHUHAIRIL BIN SHUKRI</v>
      </c>
      <c r="J3254" t="str">
        <f t="shared" si="1329"/>
        <v>MAYBANK / MAYBANK ISLAMIC</v>
      </c>
      <c r="K3254" t="str">
        <f>"151044071578"</f>
        <v>151044071578</v>
      </c>
      <c r="L3254" t="str">
        <f t="shared" si="1334"/>
        <v>04-08-2020</v>
      </c>
      <c r="M3254" t="str">
        <f t="shared" si="1334"/>
        <v>04-08-2020</v>
      </c>
      <c r="N3254" t="str">
        <f t="shared" si="1317"/>
        <v>001105018356</v>
      </c>
      <c r="O3254" t="str">
        <f t="shared" si="1318"/>
        <v>MYR</v>
      </c>
      <c r="P3254" t="str">
        <f t="shared" si="1335"/>
        <v>NIL</v>
      </c>
      <c r="Q3254" t="str">
        <f t="shared" si="1335"/>
        <v>NIL</v>
      </c>
      <c r="R3254" t="str">
        <f t="shared" si="1320"/>
        <v>Accepted</v>
      </c>
      <c r="S3254" t="str">
        <f t="shared" si="1321"/>
        <v>Approved</v>
      </c>
      <c r="T3254" t="str">
        <f t="shared" si="1322"/>
        <v>10.20.8.188</v>
      </c>
      <c r="U3254" t="str">
        <f t="shared" si="1323"/>
        <v>AZRAD UMAR BIN SHAARI</v>
      </c>
      <c r="V3254" t="str">
        <f t="shared" si="1324"/>
        <v>FARHANA BINTI MUSTAPA</v>
      </c>
      <c r="W3254" t="str">
        <f t="shared" si="1325"/>
        <v>04-08-2020</v>
      </c>
      <c r="X3254" t="str">
        <f t="shared" si="1326"/>
        <v>RAZIMAH ANSAR AHMAD</v>
      </c>
      <c r="Y3254" t="str">
        <f t="shared" si="1327"/>
        <v>04-08-2020</v>
      </c>
      <c r="Z3254" t="str">
        <f>"COS10200804 5900"</f>
        <v>COS10200804 5900</v>
      </c>
    </row>
    <row r="3255" spans="1:26" x14ac:dyDescent="0.25">
      <c r="A3255" t="str">
        <f t="shared" si="1336"/>
        <v>04-08-2020 12:58:13</v>
      </c>
      <c r="B3255" t="str">
        <f>"0000807689"</f>
        <v>0000807689</v>
      </c>
      <c r="C3255" t="str">
        <f t="shared" si="1337"/>
        <v>0000807590</v>
      </c>
      <c r="D3255" t="str">
        <f t="shared" si="1313"/>
        <v>73185</v>
      </c>
      <c r="E3255" t="str">
        <f t="shared" si="1314"/>
        <v>KFH-OPERATIONS DEPARTMENT</v>
      </c>
      <c r="F3255" t="str">
        <f t="shared" si="1315"/>
        <v>IBG</v>
      </c>
      <c r="G3255" t="str">
        <f t="shared" si="1328"/>
        <v>Refund COSHARE 10</v>
      </c>
      <c r="H3255" s="2">
        <v>294.7</v>
      </c>
      <c r="I3255" t="str">
        <f>"MOHD SHIHABUDDIN BIN BAHARUDIN"</f>
        <v>MOHD SHIHABUDDIN BIN BAHARUDIN</v>
      </c>
      <c r="J3255" t="str">
        <f t="shared" si="1329"/>
        <v>MAYBANK / MAYBANK ISLAMIC</v>
      </c>
      <c r="K3255" t="str">
        <f>"114281015661"</f>
        <v>114281015661</v>
      </c>
      <c r="L3255" t="str">
        <f t="shared" si="1334"/>
        <v>04-08-2020</v>
      </c>
      <c r="M3255" t="str">
        <f t="shared" si="1334"/>
        <v>04-08-2020</v>
      </c>
      <c r="N3255" t="str">
        <f t="shared" si="1317"/>
        <v>001105018356</v>
      </c>
      <c r="O3255" t="str">
        <f t="shared" si="1318"/>
        <v>MYR</v>
      </c>
      <c r="P3255" t="str">
        <f t="shared" si="1335"/>
        <v>NIL</v>
      </c>
      <c r="Q3255" t="str">
        <f t="shared" si="1335"/>
        <v>NIL</v>
      </c>
      <c r="R3255" t="str">
        <f t="shared" si="1320"/>
        <v>Accepted</v>
      </c>
      <c r="S3255" t="str">
        <f t="shared" si="1321"/>
        <v>Approved</v>
      </c>
      <c r="T3255" t="str">
        <f t="shared" si="1322"/>
        <v>10.20.8.188</v>
      </c>
      <c r="U3255" t="str">
        <f t="shared" si="1323"/>
        <v>AZRAD UMAR BIN SHAARI</v>
      </c>
      <c r="V3255" t="str">
        <f t="shared" si="1324"/>
        <v>FARHANA BINTI MUSTAPA</v>
      </c>
      <c r="W3255" t="str">
        <f t="shared" si="1325"/>
        <v>04-08-2020</v>
      </c>
      <c r="X3255" t="str">
        <f t="shared" si="1326"/>
        <v>RAZIMAH ANSAR AHMAD</v>
      </c>
      <c r="Y3255" t="str">
        <f t="shared" si="1327"/>
        <v>04-08-2020</v>
      </c>
      <c r="Z3255" t="str">
        <f>"COS10200804 5899"</f>
        <v>COS10200804 5899</v>
      </c>
    </row>
    <row r="3256" spans="1:26" x14ac:dyDescent="0.25">
      <c r="A3256" t="str">
        <f t="shared" si="1336"/>
        <v>04-08-2020 12:58:13</v>
      </c>
      <c r="B3256" t="str">
        <f>"0000807688"</f>
        <v>0000807688</v>
      </c>
      <c r="C3256" t="str">
        <f t="shared" si="1337"/>
        <v>0000807590</v>
      </c>
      <c r="D3256" t="str">
        <f t="shared" si="1313"/>
        <v>73185</v>
      </c>
      <c r="E3256" t="str">
        <f t="shared" si="1314"/>
        <v>KFH-OPERATIONS DEPARTMENT</v>
      </c>
      <c r="F3256" t="str">
        <f t="shared" si="1315"/>
        <v>IBG</v>
      </c>
      <c r="G3256" t="str">
        <f t="shared" si="1328"/>
        <v>Refund COSHARE 10</v>
      </c>
      <c r="H3256" s="2">
        <v>456</v>
      </c>
      <c r="I3256" t="str">
        <f>"MOHD SHARIN BIN MOHTAR"</f>
        <v>MOHD SHARIN BIN MOHTAR</v>
      </c>
      <c r="J3256" t="str">
        <f t="shared" si="1329"/>
        <v>MAYBANK / MAYBANK ISLAMIC</v>
      </c>
      <c r="K3256" t="str">
        <f>"164221493986"</f>
        <v>164221493986</v>
      </c>
      <c r="L3256" t="str">
        <f t="shared" si="1334"/>
        <v>04-08-2020</v>
      </c>
      <c r="M3256" t="str">
        <f t="shared" si="1334"/>
        <v>04-08-2020</v>
      </c>
      <c r="N3256" t="str">
        <f t="shared" si="1317"/>
        <v>001105018356</v>
      </c>
      <c r="O3256" t="str">
        <f t="shared" si="1318"/>
        <v>MYR</v>
      </c>
      <c r="P3256" t="str">
        <f t="shared" si="1335"/>
        <v>NIL</v>
      </c>
      <c r="Q3256" t="str">
        <f t="shared" si="1335"/>
        <v>NIL</v>
      </c>
      <c r="R3256" t="str">
        <f t="shared" si="1320"/>
        <v>Accepted</v>
      </c>
      <c r="S3256" t="str">
        <f t="shared" si="1321"/>
        <v>Approved</v>
      </c>
      <c r="T3256" t="str">
        <f t="shared" si="1322"/>
        <v>10.20.8.188</v>
      </c>
      <c r="U3256" t="str">
        <f t="shared" si="1323"/>
        <v>AZRAD UMAR BIN SHAARI</v>
      </c>
      <c r="V3256" t="str">
        <f t="shared" si="1324"/>
        <v>FARHANA BINTI MUSTAPA</v>
      </c>
      <c r="W3256" t="str">
        <f t="shared" si="1325"/>
        <v>04-08-2020</v>
      </c>
      <c r="X3256" t="str">
        <f t="shared" si="1326"/>
        <v>RAZIMAH ANSAR AHMAD</v>
      </c>
      <c r="Y3256" t="str">
        <f t="shared" si="1327"/>
        <v>04-08-2020</v>
      </c>
      <c r="Z3256" t="str">
        <f>"COS10200804 5898"</f>
        <v>COS10200804 5898</v>
      </c>
    </row>
    <row r="3257" spans="1:26" x14ac:dyDescent="0.25">
      <c r="A3257" t="str">
        <f t="shared" si="1336"/>
        <v>04-08-2020 12:58:13</v>
      </c>
      <c r="B3257" t="str">
        <f>"0000807687"</f>
        <v>0000807687</v>
      </c>
      <c r="C3257" t="str">
        <f t="shared" si="1337"/>
        <v>0000807590</v>
      </c>
      <c r="D3257" t="str">
        <f t="shared" si="1313"/>
        <v>73185</v>
      </c>
      <c r="E3257" t="str">
        <f t="shared" si="1314"/>
        <v>KFH-OPERATIONS DEPARTMENT</v>
      </c>
      <c r="F3257" t="str">
        <f t="shared" si="1315"/>
        <v>IBG</v>
      </c>
      <c r="G3257" t="str">
        <f t="shared" si="1328"/>
        <v>Refund COSHARE 10</v>
      </c>
      <c r="H3257" s="2">
        <v>50</v>
      </c>
      <c r="I3257" t="str">
        <f>"MOHD SHARIL BIN ZULKURNAIN"</f>
        <v>MOHD SHARIL BIN ZULKURNAIN</v>
      </c>
      <c r="J3257" t="str">
        <f t="shared" si="1329"/>
        <v>MAYBANK / MAYBANK ISLAMIC</v>
      </c>
      <c r="K3257" t="str">
        <f>"102073026098"</f>
        <v>102073026098</v>
      </c>
      <c r="L3257" t="str">
        <f t="shared" si="1334"/>
        <v>04-08-2020</v>
      </c>
      <c r="M3257" t="str">
        <f t="shared" si="1334"/>
        <v>04-08-2020</v>
      </c>
      <c r="N3257" t="str">
        <f t="shared" si="1317"/>
        <v>001105018356</v>
      </c>
      <c r="O3257" t="str">
        <f t="shared" si="1318"/>
        <v>MYR</v>
      </c>
      <c r="P3257" t="str">
        <f t="shared" si="1335"/>
        <v>NIL</v>
      </c>
      <c r="Q3257" t="str">
        <f t="shared" si="1335"/>
        <v>NIL</v>
      </c>
      <c r="R3257" t="str">
        <f t="shared" si="1320"/>
        <v>Accepted</v>
      </c>
      <c r="S3257" t="str">
        <f t="shared" si="1321"/>
        <v>Approved</v>
      </c>
      <c r="T3257" t="str">
        <f t="shared" si="1322"/>
        <v>10.20.8.188</v>
      </c>
      <c r="U3257" t="str">
        <f t="shared" si="1323"/>
        <v>AZRAD UMAR BIN SHAARI</v>
      </c>
      <c r="V3257" t="str">
        <f t="shared" si="1324"/>
        <v>FARHANA BINTI MUSTAPA</v>
      </c>
      <c r="W3257" t="str">
        <f t="shared" si="1325"/>
        <v>04-08-2020</v>
      </c>
      <c r="X3257" t="str">
        <f t="shared" si="1326"/>
        <v>RAZIMAH ANSAR AHMAD</v>
      </c>
      <c r="Y3257" t="str">
        <f t="shared" si="1327"/>
        <v>04-08-2020</v>
      </c>
      <c r="Z3257" t="str">
        <f>"COS10200804 5897"</f>
        <v>COS10200804 5897</v>
      </c>
    </row>
    <row r="3258" spans="1:26" x14ac:dyDescent="0.25">
      <c r="A3258" t="str">
        <f t="shared" si="1336"/>
        <v>04-08-2020 12:58:13</v>
      </c>
      <c r="B3258" t="str">
        <f>"0000807686"</f>
        <v>0000807686</v>
      </c>
      <c r="C3258" t="str">
        <f t="shared" si="1337"/>
        <v>0000807590</v>
      </c>
      <c r="D3258" t="str">
        <f t="shared" si="1313"/>
        <v>73185</v>
      </c>
      <c r="E3258" t="str">
        <f t="shared" si="1314"/>
        <v>KFH-OPERATIONS DEPARTMENT</v>
      </c>
      <c r="F3258" t="str">
        <f t="shared" si="1315"/>
        <v>IBG</v>
      </c>
      <c r="G3258" t="str">
        <f t="shared" si="1328"/>
        <v>Refund COSHARE 10</v>
      </c>
      <c r="H3258" s="2">
        <v>163.80000000000001</v>
      </c>
      <c r="I3258" t="str">
        <f>"MOHD SHARIFFUDIN BIN MOHD SAIDIN"</f>
        <v>MOHD SHARIFFUDIN BIN MOHD SAIDIN</v>
      </c>
      <c r="J3258" t="str">
        <f t="shared" si="1329"/>
        <v>MAYBANK / MAYBANK ISLAMIC</v>
      </c>
      <c r="K3258" t="str">
        <f>"164155550724"</f>
        <v>164155550724</v>
      </c>
      <c r="L3258" t="str">
        <f t="shared" si="1334"/>
        <v>04-08-2020</v>
      </c>
      <c r="M3258" t="str">
        <f t="shared" si="1334"/>
        <v>04-08-2020</v>
      </c>
      <c r="N3258" t="str">
        <f t="shared" si="1317"/>
        <v>001105018356</v>
      </c>
      <c r="O3258" t="str">
        <f t="shared" si="1318"/>
        <v>MYR</v>
      </c>
      <c r="P3258" t="str">
        <f t="shared" si="1335"/>
        <v>NIL</v>
      </c>
      <c r="Q3258" t="str">
        <f t="shared" si="1335"/>
        <v>NIL</v>
      </c>
      <c r="R3258" t="str">
        <f t="shared" si="1320"/>
        <v>Accepted</v>
      </c>
      <c r="S3258" t="str">
        <f t="shared" si="1321"/>
        <v>Approved</v>
      </c>
      <c r="T3258" t="str">
        <f t="shared" si="1322"/>
        <v>10.20.8.188</v>
      </c>
      <c r="U3258" t="str">
        <f t="shared" si="1323"/>
        <v>AZRAD UMAR BIN SHAARI</v>
      </c>
      <c r="V3258" t="str">
        <f t="shared" si="1324"/>
        <v>FARHANA BINTI MUSTAPA</v>
      </c>
      <c r="W3258" t="str">
        <f t="shared" si="1325"/>
        <v>04-08-2020</v>
      </c>
      <c r="X3258" t="str">
        <f t="shared" si="1326"/>
        <v>RAZIMAH ANSAR AHMAD</v>
      </c>
      <c r="Y3258" t="str">
        <f t="shared" si="1327"/>
        <v>04-08-2020</v>
      </c>
      <c r="Z3258" t="str">
        <f>"COS10200804 5896"</f>
        <v>COS10200804 5896</v>
      </c>
    </row>
    <row r="3259" spans="1:26" x14ac:dyDescent="0.25">
      <c r="A3259" t="str">
        <f t="shared" si="1336"/>
        <v>04-08-2020 12:58:13</v>
      </c>
      <c r="B3259" t="str">
        <f>"0000807685"</f>
        <v>0000807685</v>
      </c>
      <c r="C3259" t="str">
        <f t="shared" si="1337"/>
        <v>0000807590</v>
      </c>
      <c r="D3259" t="str">
        <f t="shared" si="1313"/>
        <v>73185</v>
      </c>
      <c r="E3259" t="str">
        <f t="shared" si="1314"/>
        <v>KFH-OPERATIONS DEPARTMENT</v>
      </c>
      <c r="F3259" t="str">
        <f t="shared" si="1315"/>
        <v>IBG</v>
      </c>
      <c r="G3259" t="str">
        <f t="shared" si="1328"/>
        <v>Refund COSHARE 10</v>
      </c>
      <c r="H3259" s="2">
        <v>68.8</v>
      </c>
      <c r="I3259" t="str">
        <f>"MOHD SHARI BIN ALI"</f>
        <v>MOHD SHARI BIN ALI</v>
      </c>
      <c r="J3259" t="str">
        <f t="shared" si="1329"/>
        <v>MAYBANK / MAYBANK ISLAMIC</v>
      </c>
      <c r="K3259" t="str">
        <f>"151034030225"</f>
        <v>151034030225</v>
      </c>
      <c r="L3259" t="str">
        <f t="shared" si="1334"/>
        <v>04-08-2020</v>
      </c>
      <c r="M3259" t="str">
        <f t="shared" si="1334"/>
        <v>04-08-2020</v>
      </c>
      <c r="N3259" t="str">
        <f t="shared" si="1317"/>
        <v>001105018356</v>
      </c>
      <c r="O3259" t="str">
        <f t="shared" si="1318"/>
        <v>MYR</v>
      </c>
      <c r="P3259" t="str">
        <f t="shared" si="1335"/>
        <v>NIL</v>
      </c>
      <c r="Q3259" t="str">
        <f t="shared" si="1335"/>
        <v>NIL</v>
      </c>
      <c r="R3259" t="str">
        <f t="shared" si="1320"/>
        <v>Accepted</v>
      </c>
      <c r="S3259" t="str">
        <f t="shared" si="1321"/>
        <v>Approved</v>
      </c>
      <c r="T3259" t="str">
        <f t="shared" si="1322"/>
        <v>10.20.8.188</v>
      </c>
      <c r="U3259" t="str">
        <f t="shared" si="1323"/>
        <v>AZRAD UMAR BIN SHAARI</v>
      </c>
      <c r="V3259" t="str">
        <f t="shared" si="1324"/>
        <v>FARHANA BINTI MUSTAPA</v>
      </c>
      <c r="W3259" t="str">
        <f t="shared" si="1325"/>
        <v>04-08-2020</v>
      </c>
      <c r="X3259" t="str">
        <f t="shared" si="1326"/>
        <v>RAZIMAH ANSAR AHMAD</v>
      </c>
      <c r="Y3259" t="str">
        <f t="shared" si="1327"/>
        <v>04-08-2020</v>
      </c>
      <c r="Z3259" t="str">
        <f>"COS10200804 5895"</f>
        <v>COS10200804 5895</v>
      </c>
    </row>
    <row r="3260" spans="1:26" x14ac:dyDescent="0.25">
      <c r="A3260" t="str">
        <f t="shared" si="1336"/>
        <v>04-08-2020 12:58:13</v>
      </c>
      <c r="B3260" t="str">
        <f>"0000807684"</f>
        <v>0000807684</v>
      </c>
      <c r="C3260" t="str">
        <f t="shared" si="1337"/>
        <v>0000807590</v>
      </c>
      <c r="D3260" t="str">
        <f t="shared" si="1313"/>
        <v>73185</v>
      </c>
      <c r="E3260" t="str">
        <f t="shared" si="1314"/>
        <v>KFH-OPERATIONS DEPARTMENT</v>
      </c>
      <c r="F3260" t="str">
        <f t="shared" si="1315"/>
        <v>IBG</v>
      </c>
      <c r="G3260" t="str">
        <f t="shared" si="1328"/>
        <v>Refund COSHARE 10</v>
      </c>
      <c r="H3260" s="2">
        <v>142.75</v>
      </c>
      <c r="I3260" t="str">
        <f>"MOHD SHALIZAN BIN MOHD TAJUDIN"</f>
        <v>MOHD SHALIZAN BIN MOHD TAJUDIN</v>
      </c>
      <c r="J3260" t="str">
        <f t="shared" si="1329"/>
        <v>MAYBANK / MAYBANK ISLAMIC</v>
      </c>
      <c r="K3260" t="str">
        <f>"153083224561"</f>
        <v>153083224561</v>
      </c>
      <c r="L3260" t="str">
        <f t="shared" si="1334"/>
        <v>04-08-2020</v>
      </c>
      <c r="M3260" t="str">
        <f t="shared" si="1334"/>
        <v>04-08-2020</v>
      </c>
      <c r="N3260" t="str">
        <f t="shared" si="1317"/>
        <v>001105018356</v>
      </c>
      <c r="O3260" t="str">
        <f t="shared" si="1318"/>
        <v>MYR</v>
      </c>
      <c r="P3260" t="str">
        <f t="shared" si="1335"/>
        <v>NIL</v>
      </c>
      <c r="Q3260" t="str">
        <f t="shared" si="1335"/>
        <v>NIL</v>
      </c>
      <c r="R3260" t="str">
        <f t="shared" si="1320"/>
        <v>Accepted</v>
      </c>
      <c r="S3260" t="str">
        <f t="shared" si="1321"/>
        <v>Approved</v>
      </c>
      <c r="T3260" t="str">
        <f t="shared" si="1322"/>
        <v>10.20.8.188</v>
      </c>
      <c r="U3260" t="str">
        <f t="shared" si="1323"/>
        <v>AZRAD UMAR BIN SHAARI</v>
      </c>
      <c r="V3260" t="str">
        <f t="shared" si="1324"/>
        <v>FARHANA BINTI MUSTAPA</v>
      </c>
      <c r="W3260" t="str">
        <f t="shared" si="1325"/>
        <v>04-08-2020</v>
      </c>
      <c r="X3260" t="str">
        <f t="shared" si="1326"/>
        <v>RAZIMAH ANSAR AHMAD</v>
      </c>
      <c r="Y3260" t="str">
        <f t="shared" si="1327"/>
        <v>04-08-2020</v>
      </c>
      <c r="Z3260" t="str">
        <f>"COS10200804 5894"</f>
        <v>COS10200804 5894</v>
      </c>
    </row>
    <row r="3261" spans="1:26" x14ac:dyDescent="0.25">
      <c r="A3261" t="str">
        <f t="shared" si="1336"/>
        <v>04-08-2020 12:58:13</v>
      </c>
      <c r="B3261" t="str">
        <f>"0000807683"</f>
        <v>0000807683</v>
      </c>
      <c r="C3261" t="str">
        <f t="shared" si="1337"/>
        <v>0000807590</v>
      </c>
      <c r="D3261" t="str">
        <f t="shared" si="1313"/>
        <v>73185</v>
      </c>
      <c r="E3261" t="str">
        <f t="shared" si="1314"/>
        <v>KFH-OPERATIONS DEPARTMENT</v>
      </c>
      <c r="F3261" t="str">
        <f t="shared" si="1315"/>
        <v>IBG</v>
      </c>
      <c r="G3261" t="str">
        <f t="shared" si="1328"/>
        <v>Refund COSHARE 10</v>
      </c>
      <c r="H3261" s="2">
        <v>965.45</v>
      </c>
      <c r="I3261" t="str">
        <f>"MOHD SHALAAMZI BIN SALLEH"</f>
        <v>MOHD SHALAAMZI BIN SALLEH</v>
      </c>
      <c r="J3261" t="str">
        <f t="shared" si="1329"/>
        <v>MAYBANK / MAYBANK ISLAMIC</v>
      </c>
      <c r="K3261" t="str">
        <f>"152059007528"</f>
        <v>152059007528</v>
      </c>
      <c r="L3261" t="str">
        <f t="shared" si="1334"/>
        <v>04-08-2020</v>
      </c>
      <c r="M3261" t="str">
        <f t="shared" si="1334"/>
        <v>04-08-2020</v>
      </c>
      <c r="N3261" t="str">
        <f t="shared" si="1317"/>
        <v>001105018356</v>
      </c>
      <c r="O3261" t="str">
        <f t="shared" si="1318"/>
        <v>MYR</v>
      </c>
      <c r="P3261" t="str">
        <f t="shared" si="1335"/>
        <v>NIL</v>
      </c>
      <c r="Q3261" t="str">
        <f t="shared" si="1335"/>
        <v>NIL</v>
      </c>
      <c r="R3261" t="str">
        <f t="shared" si="1320"/>
        <v>Accepted</v>
      </c>
      <c r="S3261" t="str">
        <f t="shared" si="1321"/>
        <v>Approved</v>
      </c>
      <c r="T3261" t="str">
        <f t="shared" si="1322"/>
        <v>10.20.8.188</v>
      </c>
      <c r="U3261" t="str">
        <f t="shared" si="1323"/>
        <v>AZRAD UMAR BIN SHAARI</v>
      </c>
      <c r="V3261" t="str">
        <f t="shared" si="1324"/>
        <v>FARHANA BINTI MUSTAPA</v>
      </c>
      <c r="W3261" t="str">
        <f t="shared" si="1325"/>
        <v>04-08-2020</v>
      </c>
      <c r="X3261" t="str">
        <f t="shared" si="1326"/>
        <v>RAZIMAH ANSAR AHMAD</v>
      </c>
      <c r="Y3261" t="str">
        <f t="shared" si="1327"/>
        <v>04-08-2020</v>
      </c>
      <c r="Z3261" t="str">
        <f>"COS10200804 5893"</f>
        <v>COS10200804 5893</v>
      </c>
    </row>
    <row r="3262" spans="1:26" x14ac:dyDescent="0.25">
      <c r="A3262" t="str">
        <f t="shared" si="1336"/>
        <v>04-08-2020 12:58:13</v>
      </c>
      <c r="B3262" t="str">
        <f>"0000807682"</f>
        <v>0000807682</v>
      </c>
      <c r="C3262" t="str">
        <f t="shared" si="1337"/>
        <v>0000807590</v>
      </c>
      <c r="D3262" t="str">
        <f t="shared" si="1313"/>
        <v>73185</v>
      </c>
      <c r="E3262" t="str">
        <f t="shared" si="1314"/>
        <v>KFH-OPERATIONS DEPARTMENT</v>
      </c>
      <c r="F3262" t="str">
        <f t="shared" si="1315"/>
        <v>IBG</v>
      </c>
      <c r="G3262" t="str">
        <f t="shared" si="1328"/>
        <v>Refund COSHARE 10</v>
      </c>
      <c r="H3262" s="2">
        <v>67.2</v>
      </c>
      <c r="I3262" t="str">
        <f>"MOHD SHAIFULRAIZAN BIN ABD RAHIM"</f>
        <v>MOHD SHAIFULRAIZAN BIN ABD RAHIM</v>
      </c>
      <c r="J3262" t="str">
        <f t="shared" si="1329"/>
        <v>MAYBANK / MAYBANK ISLAMIC</v>
      </c>
      <c r="K3262" t="str">
        <f>"151017176806"</f>
        <v>151017176806</v>
      </c>
      <c r="L3262" t="str">
        <f t="shared" si="1334"/>
        <v>04-08-2020</v>
      </c>
      <c r="M3262" t="str">
        <f t="shared" si="1334"/>
        <v>04-08-2020</v>
      </c>
      <c r="N3262" t="str">
        <f t="shared" si="1317"/>
        <v>001105018356</v>
      </c>
      <c r="O3262" t="str">
        <f t="shared" si="1318"/>
        <v>MYR</v>
      </c>
      <c r="P3262" t="str">
        <f t="shared" si="1335"/>
        <v>NIL</v>
      </c>
      <c r="Q3262" t="str">
        <f t="shared" si="1335"/>
        <v>NIL</v>
      </c>
      <c r="R3262" t="str">
        <f t="shared" si="1320"/>
        <v>Accepted</v>
      </c>
      <c r="S3262" t="str">
        <f t="shared" si="1321"/>
        <v>Approved</v>
      </c>
      <c r="T3262" t="str">
        <f t="shared" si="1322"/>
        <v>10.20.8.188</v>
      </c>
      <c r="U3262" t="str">
        <f t="shared" si="1323"/>
        <v>AZRAD UMAR BIN SHAARI</v>
      </c>
      <c r="V3262" t="str">
        <f t="shared" si="1324"/>
        <v>FARHANA BINTI MUSTAPA</v>
      </c>
      <c r="W3262" t="str">
        <f t="shared" si="1325"/>
        <v>04-08-2020</v>
      </c>
      <c r="X3262" t="str">
        <f t="shared" si="1326"/>
        <v>RAZIMAH ANSAR AHMAD</v>
      </c>
      <c r="Y3262" t="str">
        <f t="shared" si="1327"/>
        <v>04-08-2020</v>
      </c>
      <c r="Z3262" t="str">
        <f>"COS10200804 5892"</f>
        <v>COS10200804 5892</v>
      </c>
    </row>
    <row r="3263" spans="1:26" x14ac:dyDescent="0.25">
      <c r="A3263" t="str">
        <f t="shared" si="1336"/>
        <v>04-08-2020 12:58:13</v>
      </c>
      <c r="B3263" t="str">
        <f>"0000807681"</f>
        <v>0000807681</v>
      </c>
      <c r="C3263" t="str">
        <f t="shared" si="1337"/>
        <v>0000807590</v>
      </c>
      <c r="D3263" t="str">
        <f t="shared" si="1313"/>
        <v>73185</v>
      </c>
      <c r="E3263" t="str">
        <f t="shared" si="1314"/>
        <v>KFH-OPERATIONS DEPARTMENT</v>
      </c>
      <c r="F3263" t="str">
        <f t="shared" si="1315"/>
        <v>IBG</v>
      </c>
      <c r="G3263" t="str">
        <f t="shared" si="1328"/>
        <v>Refund COSHARE 10</v>
      </c>
      <c r="H3263" s="2">
        <v>1427.15</v>
      </c>
      <c r="I3263" t="str">
        <f>"MOHD SHAIFULNIZAM BIN MOHD RAHIM"</f>
        <v>MOHD SHAIFULNIZAM BIN MOHD RAHIM</v>
      </c>
      <c r="J3263" t="str">
        <f t="shared" si="1329"/>
        <v>MAYBANK / MAYBANK ISLAMIC</v>
      </c>
      <c r="K3263" t="str">
        <f>"105130066689"</f>
        <v>105130066689</v>
      </c>
      <c r="L3263" t="str">
        <f t="shared" si="1334"/>
        <v>04-08-2020</v>
      </c>
      <c r="M3263" t="str">
        <f t="shared" si="1334"/>
        <v>04-08-2020</v>
      </c>
      <c r="N3263" t="str">
        <f t="shared" si="1317"/>
        <v>001105018356</v>
      </c>
      <c r="O3263" t="str">
        <f t="shared" si="1318"/>
        <v>MYR</v>
      </c>
      <c r="P3263" t="str">
        <f t="shared" si="1335"/>
        <v>NIL</v>
      </c>
      <c r="Q3263" t="str">
        <f t="shared" si="1335"/>
        <v>NIL</v>
      </c>
      <c r="R3263" t="str">
        <f t="shared" si="1320"/>
        <v>Accepted</v>
      </c>
      <c r="S3263" t="str">
        <f t="shared" si="1321"/>
        <v>Approved</v>
      </c>
      <c r="T3263" t="str">
        <f t="shared" si="1322"/>
        <v>10.20.8.188</v>
      </c>
      <c r="U3263" t="str">
        <f t="shared" si="1323"/>
        <v>AZRAD UMAR BIN SHAARI</v>
      </c>
      <c r="V3263" t="str">
        <f t="shared" si="1324"/>
        <v>FARHANA BINTI MUSTAPA</v>
      </c>
      <c r="W3263" t="str">
        <f t="shared" si="1325"/>
        <v>04-08-2020</v>
      </c>
      <c r="X3263" t="str">
        <f t="shared" si="1326"/>
        <v>RAZIMAH ANSAR AHMAD</v>
      </c>
      <c r="Y3263" t="str">
        <f t="shared" si="1327"/>
        <v>04-08-2020</v>
      </c>
      <c r="Z3263" t="str">
        <f>"COS10200804 5891"</f>
        <v>COS10200804 5891</v>
      </c>
    </row>
    <row r="3264" spans="1:26" x14ac:dyDescent="0.25">
      <c r="A3264" t="str">
        <f t="shared" si="1336"/>
        <v>04-08-2020 12:58:13</v>
      </c>
      <c r="B3264" t="str">
        <f>"0000807680"</f>
        <v>0000807680</v>
      </c>
      <c r="C3264" t="str">
        <f t="shared" si="1337"/>
        <v>0000807590</v>
      </c>
      <c r="D3264" t="str">
        <f t="shared" si="1313"/>
        <v>73185</v>
      </c>
      <c r="E3264" t="str">
        <f t="shared" si="1314"/>
        <v>KFH-OPERATIONS DEPARTMENT</v>
      </c>
      <c r="F3264" t="str">
        <f t="shared" si="1315"/>
        <v>IBG</v>
      </c>
      <c r="G3264" t="str">
        <f t="shared" si="1328"/>
        <v>Refund COSHARE 10</v>
      </c>
      <c r="H3264" s="2">
        <v>537.29999999999995</v>
      </c>
      <c r="I3264" t="str">
        <f>"MOHD SHAIFUL AMIN BIN SUDAKIR"</f>
        <v>MOHD SHAIFUL AMIN BIN SUDAKIR</v>
      </c>
      <c r="J3264" t="str">
        <f t="shared" si="1329"/>
        <v>MAYBANK / MAYBANK ISLAMIC</v>
      </c>
      <c r="K3264" t="str">
        <f>"156012029803"</f>
        <v>156012029803</v>
      </c>
      <c r="L3264" t="str">
        <f t="shared" si="1334"/>
        <v>04-08-2020</v>
      </c>
      <c r="M3264" t="str">
        <f t="shared" si="1334"/>
        <v>04-08-2020</v>
      </c>
      <c r="N3264" t="str">
        <f t="shared" si="1317"/>
        <v>001105018356</v>
      </c>
      <c r="O3264" t="str">
        <f t="shared" si="1318"/>
        <v>MYR</v>
      </c>
      <c r="P3264" t="str">
        <f t="shared" si="1335"/>
        <v>NIL</v>
      </c>
      <c r="Q3264" t="str">
        <f t="shared" si="1335"/>
        <v>NIL</v>
      </c>
      <c r="R3264" t="str">
        <f t="shared" si="1320"/>
        <v>Accepted</v>
      </c>
      <c r="S3264" t="str">
        <f t="shared" si="1321"/>
        <v>Approved</v>
      </c>
      <c r="T3264" t="str">
        <f t="shared" si="1322"/>
        <v>10.20.8.188</v>
      </c>
      <c r="U3264" t="str">
        <f t="shared" si="1323"/>
        <v>AZRAD UMAR BIN SHAARI</v>
      </c>
      <c r="V3264" t="str">
        <f t="shared" si="1324"/>
        <v>FARHANA BINTI MUSTAPA</v>
      </c>
      <c r="W3264" t="str">
        <f t="shared" si="1325"/>
        <v>04-08-2020</v>
      </c>
      <c r="X3264" t="str">
        <f t="shared" si="1326"/>
        <v>RAZIMAH ANSAR AHMAD</v>
      </c>
      <c r="Y3264" t="str">
        <f t="shared" si="1327"/>
        <v>04-08-2020</v>
      </c>
      <c r="Z3264" t="str">
        <f>"COS10200804 5890"</f>
        <v>COS10200804 5890</v>
      </c>
    </row>
    <row r="3265" spans="1:26" x14ac:dyDescent="0.25">
      <c r="A3265" t="str">
        <f t="shared" si="1336"/>
        <v>04-08-2020 12:58:13</v>
      </c>
      <c r="B3265" t="str">
        <f>"0000807679"</f>
        <v>0000807679</v>
      </c>
      <c r="C3265" t="str">
        <f t="shared" si="1337"/>
        <v>0000807590</v>
      </c>
      <c r="D3265" t="str">
        <f t="shared" si="1313"/>
        <v>73185</v>
      </c>
      <c r="E3265" t="str">
        <f t="shared" si="1314"/>
        <v>KFH-OPERATIONS DEPARTMENT</v>
      </c>
      <c r="F3265" t="str">
        <f t="shared" si="1315"/>
        <v>IBG</v>
      </c>
      <c r="G3265" t="str">
        <f t="shared" si="1328"/>
        <v>Refund COSHARE 10</v>
      </c>
      <c r="H3265" s="2">
        <v>209.9</v>
      </c>
      <c r="I3265" t="str">
        <f>"MOHD SHAHRULNIZAL BIN MOHD SA AD"</f>
        <v>MOHD SHAHRULNIZAL BIN MOHD SA AD</v>
      </c>
      <c r="J3265" t="str">
        <f t="shared" si="1329"/>
        <v>MAYBANK / MAYBANK ISLAMIC</v>
      </c>
      <c r="K3265" t="str">
        <f>"155144008177"</f>
        <v>155144008177</v>
      </c>
      <c r="L3265" t="str">
        <f t="shared" si="1334"/>
        <v>04-08-2020</v>
      </c>
      <c r="M3265" t="str">
        <f t="shared" si="1334"/>
        <v>04-08-2020</v>
      </c>
      <c r="N3265" t="str">
        <f t="shared" si="1317"/>
        <v>001105018356</v>
      </c>
      <c r="O3265" t="str">
        <f t="shared" si="1318"/>
        <v>MYR</v>
      </c>
      <c r="P3265" t="str">
        <f t="shared" si="1335"/>
        <v>NIL</v>
      </c>
      <c r="Q3265" t="str">
        <f t="shared" si="1335"/>
        <v>NIL</v>
      </c>
      <c r="R3265" t="str">
        <f t="shared" si="1320"/>
        <v>Accepted</v>
      </c>
      <c r="S3265" t="str">
        <f t="shared" si="1321"/>
        <v>Approved</v>
      </c>
      <c r="T3265" t="str">
        <f t="shared" si="1322"/>
        <v>10.20.8.188</v>
      </c>
      <c r="U3265" t="str">
        <f t="shared" si="1323"/>
        <v>AZRAD UMAR BIN SHAARI</v>
      </c>
      <c r="V3265" t="str">
        <f t="shared" si="1324"/>
        <v>FARHANA BINTI MUSTAPA</v>
      </c>
      <c r="W3265" t="str">
        <f t="shared" si="1325"/>
        <v>04-08-2020</v>
      </c>
      <c r="X3265" t="str">
        <f t="shared" si="1326"/>
        <v>RAZIMAH ANSAR AHMAD</v>
      </c>
      <c r="Y3265" t="str">
        <f t="shared" si="1327"/>
        <v>04-08-2020</v>
      </c>
      <c r="Z3265" t="str">
        <f>"COS10200804 5889"</f>
        <v>COS10200804 5889</v>
      </c>
    </row>
    <row r="3266" spans="1:26" x14ac:dyDescent="0.25">
      <c r="A3266" t="str">
        <f t="shared" si="1336"/>
        <v>04-08-2020 12:58:13</v>
      </c>
      <c r="B3266" t="str">
        <f>"0000807678"</f>
        <v>0000807678</v>
      </c>
      <c r="C3266" t="str">
        <f t="shared" si="1337"/>
        <v>0000807590</v>
      </c>
      <c r="D3266" t="str">
        <f t="shared" si="1313"/>
        <v>73185</v>
      </c>
      <c r="E3266" t="str">
        <f t="shared" si="1314"/>
        <v>KFH-OPERATIONS DEPARTMENT</v>
      </c>
      <c r="F3266" t="str">
        <f t="shared" si="1315"/>
        <v>IBG</v>
      </c>
      <c r="G3266" t="str">
        <f t="shared" si="1328"/>
        <v>Refund COSHARE 10</v>
      </c>
      <c r="H3266" s="2">
        <v>923.45</v>
      </c>
      <c r="I3266" t="str">
        <f>"MOHD SHAHRULANWAR BIN OTHMAN"</f>
        <v>MOHD SHAHRULANWAR BIN OTHMAN</v>
      </c>
      <c r="J3266" t="str">
        <f t="shared" si="1329"/>
        <v>MAYBANK / MAYBANK ISLAMIC</v>
      </c>
      <c r="K3266" t="str">
        <f>"101151101533"</f>
        <v>101151101533</v>
      </c>
      <c r="L3266" t="str">
        <f t="shared" si="1334"/>
        <v>04-08-2020</v>
      </c>
      <c r="M3266" t="str">
        <f t="shared" si="1334"/>
        <v>04-08-2020</v>
      </c>
      <c r="N3266" t="str">
        <f t="shared" si="1317"/>
        <v>001105018356</v>
      </c>
      <c r="O3266" t="str">
        <f t="shared" si="1318"/>
        <v>MYR</v>
      </c>
      <c r="P3266" t="str">
        <f t="shared" si="1335"/>
        <v>NIL</v>
      </c>
      <c r="Q3266" t="str">
        <f t="shared" si="1335"/>
        <v>NIL</v>
      </c>
      <c r="R3266" t="str">
        <f t="shared" si="1320"/>
        <v>Accepted</v>
      </c>
      <c r="S3266" t="str">
        <f t="shared" si="1321"/>
        <v>Approved</v>
      </c>
      <c r="T3266" t="str">
        <f t="shared" si="1322"/>
        <v>10.20.8.188</v>
      </c>
      <c r="U3266" t="str">
        <f t="shared" si="1323"/>
        <v>AZRAD UMAR BIN SHAARI</v>
      </c>
      <c r="V3266" t="str">
        <f t="shared" si="1324"/>
        <v>FARHANA BINTI MUSTAPA</v>
      </c>
      <c r="W3266" t="str">
        <f t="shared" si="1325"/>
        <v>04-08-2020</v>
      </c>
      <c r="X3266" t="str">
        <f t="shared" si="1326"/>
        <v>RAZIMAH ANSAR AHMAD</v>
      </c>
      <c r="Y3266" t="str">
        <f t="shared" si="1327"/>
        <v>04-08-2020</v>
      </c>
      <c r="Z3266" t="str">
        <f>"COS10200804 5888"</f>
        <v>COS10200804 5888</v>
      </c>
    </row>
    <row r="3267" spans="1:26" x14ac:dyDescent="0.25">
      <c r="A3267" t="str">
        <f t="shared" si="1336"/>
        <v>04-08-2020 12:58:13</v>
      </c>
      <c r="B3267" t="str">
        <f>"0000807677"</f>
        <v>0000807677</v>
      </c>
      <c r="C3267" t="str">
        <f t="shared" si="1337"/>
        <v>0000807590</v>
      </c>
      <c r="D3267" t="str">
        <f t="shared" si="1313"/>
        <v>73185</v>
      </c>
      <c r="E3267" t="str">
        <f t="shared" si="1314"/>
        <v>KFH-OPERATIONS DEPARTMENT</v>
      </c>
      <c r="F3267" t="str">
        <f t="shared" si="1315"/>
        <v>IBG</v>
      </c>
      <c r="G3267" t="str">
        <f t="shared" si="1328"/>
        <v>Refund COSHARE 10</v>
      </c>
      <c r="H3267" s="2">
        <v>83.95</v>
      </c>
      <c r="I3267" t="str">
        <f>"MOHD SHAHRUL NAZMI BIN SANUDDIN"</f>
        <v>MOHD SHAHRUL NAZMI BIN SANUDDIN</v>
      </c>
      <c r="J3267" t="str">
        <f t="shared" si="1329"/>
        <v>MAYBANK / MAYBANK ISLAMIC</v>
      </c>
      <c r="K3267" t="str">
        <f>"101197039182"</f>
        <v>101197039182</v>
      </c>
      <c r="L3267" t="str">
        <f t="shared" ref="L3267:M3286" si="1338">"04-08-2020"</f>
        <v>04-08-2020</v>
      </c>
      <c r="M3267" t="str">
        <f t="shared" si="1338"/>
        <v>04-08-2020</v>
      </c>
      <c r="N3267" t="str">
        <f t="shared" si="1317"/>
        <v>001105018356</v>
      </c>
      <c r="O3267" t="str">
        <f t="shared" si="1318"/>
        <v>MYR</v>
      </c>
      <c r="P3267" t="str">
        <f t="shared" ref="P3267:Q3286" si="1339">"NIL"</f>
        <v>NIL</v>
      </c>
      <c r="Q3267" t="str">
        <f t="shared" si="1339"/>
        <v>NIL</v>
      </c>
      <c r="R3267" t="str">
        <f t="shared" si="1320"/>
        <v>Accepted</v>
      </c>
      <c r="S3267" t="str">
        <f t="shared" si="1321"/>
        <v>Approved</v>
      </c>
      <c r="T3267" t="str">
        <f t="shared" si="1322"/>
        <v>10.20.8.188</v>
      </c>
      <c r="U3267" t="str">
        <f t="shared" si="1323"/>
        <v>AZRAD UMAR BIN SHAARI</v>
      </c>
      <c r="V3267" t="str">
        <f t="shared" si="1324"/>
        <v>FARHANA BINTI MUSTAPA</v>
      </c>
      <c r="W3267" t="str">
        <f t="shared" si="1325"/>
        <v>04-08-2020</v>
      </c>
      <c r="X3267" t="str">
        <f t="shared" si="1326"/>
        <v>RAZIMAH ANSAR AHMAD</v>
      </c>
      <c r="Y3267" t="str">
        <f t="shared" si="1327"/>
        <v>04-08-2020</v>
      </c>
      <c r="Z3267" t="str">
        <f>"COS10200804 5887"</f>
        <v>COS10200804 5887</v>
      </c>
    </row>
    <row r="3268" spans="1:26" x14ac:dyDescent="0.25">
      <c r="A3268" t="str">
        <f t="shared" si="1336"/>
        <v>04-08-2020 12:58:13</v>
      </c>
      <c r="B3268" t="str">
        <f>"0000807676"</f>
        <v>0000807676</v>
      </c>
      <c r="C3268" t="str">
        <f t="shared" si="1337"/>
        <v>0000807590</v>
      </c>
      <c r="D3268" t="str">
        <f t="shared" si="1313"/>
        <v>73185</v>
      </c>
      <c r="E3268" t="str">
        <f t="shared" si="1314"/>
        <v>KFH-OPERATIONS DEPARTMENT</v>
      </c>
      <c r="F3268" t="str">
        <f t="shared" si="1315"/>
        <v>IBG</v>
      </c>
      <c r="G3268" t="str">
        <f t="shared" si="1328"/>
        <v>Refund COSHARE 10</v>
      </c>
      <c r="H3268" s="2">
        <v>671.6</v>
      </c>
      <c r="I3268" t="str">
        <f>"MOHD SHAHRUL FIRDAUS BIN ROSLEY"</f>
        <v>MOHD SHAHRUL FIRDAUS BIN ROSLEY</v>
      </c>
      <c r="J3268" t="str">
        <f t="shared" si="1329"/>
        <v>MAYBANK / MAYBANK ISLAMIC</v>
      </c>
      <c r="K3268" t="str">
        <f>"162179622424"</f>
        <v>162179622424</v>
      </c>
      <c r="L3268" t="str">
        <f t="shared" si="1338"/>
        <v>04-08-2020</v>
      </c>
      <c r="M3268" t="str">
        <f t="shared" si="1338"/>
        <v>04-08-2020</v>
      </c>
      <c r="N3268" t="str">
        <f t="shared" si="1317"/>
        <v>001105018356</v>
      </c>
      <c r="O3268" t="str">
        <f t="shared" si="1318"/>
        <v>MYR</v>
      </c>
      <c r="P3268" t="str">
        <f t="shared" si="1339"/>
        <v>NIL</v>
      </c>
      <c r="Q3268" t="str">
        <f t="shared" si="1339"/>
        <v>NIL</v>
      </c>
      <c r="R3268" t="str">
        <f t="shared" si="1320"/>
        <v>Accepted</v>
      </c>
      <c r="S3268" t="str">
        <f t="shared" si="1321"/>
        <v>Approved</v>
      </c>
      <c r="T3268" t="str">
        <f t="shared" si="1322"/>
        <v>10.20.8.188</v>
      </c>
      <c r="U3268" t="str">
        <f t="shared" si="1323"/>
        <v>AZRAD UMAR BIN SHAARI</v>
      </c>
      <c r="V3268" t="str">
        <f t="shared" si="1324"/>
        <v>FARHANA BINTI MUSTAPA</v>
      </c>
      <c r="W3268" t="str">
        <f t="shared" si="1325"/>
        <v>04-08-2020</v>
      </c>
      <c r="X3268" t="str">
        <f t="shared" si="1326"/>
        <v>RAZIMAH ANSAR AHMAD</v>
      </c>
      <c r="Y3268" t="str">
        <f t="shared" si="1327"/>
        <v>04-08-2020</v>
      </c>
      <c r="Z3268" t="str">
        <f>"COS10200804 5886"</f>
        <v>COS10200804 5886</v>
      </c>
    </row>
    <row r="3269" spans="1:26" x14ac:dyDescent="0.25">
      <c r="A3269" t="str">
        <f t="shared" si="1336"/>
        <v>04-08-2020 12:58:13</v>
      </c>
      <c r="B3269" t="str">
        <f>"0000807675"</f>
        <v>0000807675</v>
      </c>
      <c r="C3269" t="str">
        <f t="shared" si="1337"/>
        <v>0000807590</v>
      </c>
      <c r="D3269" t="str">
        <f t="shared" si="1313"/>
        <v>73185</v>
      </c>
      <c r="E3269" t="str">
        <f t="shared" si="1314"/>
        <v>KFH-OPERATIONS DEPARTMENT</v>
      </c>
      <c r="F3269" t="str">
        <f t="shared" si="1315"/>
        <v>IBG</v>
      </c>
      <c r="G3269" t="str">
        <f t="shared" si="1328"/>
        <v>Refund COSHARE 10</v>
      </c>
      <c r="H3269" s="2">
        <v>260</v>
      </c>
      <c r="I3269" t="str">
        <f>"MOHD SHAHRUL BIN MOHD JAMALUDIN"</f>
        <v>MOHD SHAHRUL BIN MOHD JAMALUDIN</v>
      </c>
      <c r="J3269" t="str">
        <f t="shared" si="1329"/>
        <v>MAYBANK / MAYBANK ISLAMIC</v>
      </c>
      <c r="K3269" t="str">
        <f>"112278001555"</f>
        <v>112278001555</v>
      </c>
      <c r="L3269" t="str">
        <f t="shared" si="1338"/>
        <v>04-08-2020</v>
      </c>
      <c r="M3269" t="str">
        <f t="shared" si="1338"/>
        <v>04-08-2020</v>
      </c>
      <c r="N3269" t="str">
        <f t="shared" si="1317"/>
        <v>001105018356</v>
      </c>
      <c r="O3269" t="str">
        <f t="shared" si="1318"/>
        <v>MYR</v>
      </c>
      <c r="P3269" t="str">
        <f t="shared" si="1339"/>
        <v>NIL</v>
      </c>
      <c r="Q3269" t="str">
        <f t="shared" si="1339"/>
        <v>NIL</v>
      </c>
      <c r="R3269" t="str">
        <f t="shared" si="1320"/>
        <v>Accepted</v>
      </c>
      <c r="S3269" t="str">
        <f t="shared" si="1321"/>
        <v>Approved</v>
      </c>
      <c r="T3269" t="str">
        <f t="shared" si="1322"/>
        <v>10.20.8.188</v>
      </c>
      <c r="U3269" t="str">
        <f t="shared" si="1323"/>
        <v>AZRAD UMAR BIN SHAARI</v>
      </c>
      <c r="V3269" t="str">
        <f t="shared" si="1324"/>
        <v>FARHANA BINTI MUSTAPA</v>
      </c>
      <c r="W3269" t="str">
        <f t="shared" si="1325"/>
        <v>04-08-2020</v>
      </c>
      <c r="X3269" t="str">
        <f t="shared" si="1326"/>
        <v>RAZIMAH ANSAR AHMAD</v>
      </c>
      <c r="Y3269" t="str">
        <f t="shared" si="1327"/>
        <v>04-08-2020</v>
      </c>
      <c r="Z3269" t="str">
        <f>"COS10200804 5885"</f>
        <v>COS10200804 5885</v>
      </c>
    </row>
    <row r="3270" spans="1:26" x14ac:dyDescent="0.25">
      <c r="A3270" t="str">
        <f t="shared" si="1336"/>
        <v>04-08-2020 12:58:13</v>
      </c>
      <c r="B3270" t="str">
        <f>"0000807674"</f>
        <v>0000807674</v>
      </c>
      <c r="C3270" t="str">
        <f t="shared" si="1337"/>
        <v>0000807590</v>
      </c>
      <c r="D3270" t="str">
        <f t="shared" si="1313"/>
        <v>73185</v>
      </c>
      <c r="E3270" t="str">
        <f t="shared" si="1314"/>
        <v>KFH-OPERATIONS DEPARTMENT</v>
      </c>
      <c r="F3270" t="str">
        <f t="shared" si="1315"/>
        <v>IBG</v>
      </c>
      <c r="G3270" t="str">
        <f t="shared" si="1328"/>
        <v>Refund COSHARE 10</v>
      </c>
      <c r="H3270" s="2">
        <v>243</v>
      </c>
      <c r="I3270" t="str">
        <f>"MOHD SHAHRIZAN BIN ABDULLAH"</f>
        <v>MOHD SHAHRIZAN BIN ABDULLAH</v>
      </c>
      <c r="J3270" t="str">
        <f t="shared" si="1329"/>
        <v>MAYBANK / MAYBANK ISLAMIC</v>
      </c>
      <c r="K3270" t="str">
        <f>"151043054590"</f>
        <v>151043054590</v>
      </c>
      <c r="L3270" t="str">
        <f t="shared" si="1338"/>
        <v>04-08-2020</v>
      </c>
      <c r="M3270" t="str">
        <f t="shared" si="1338"/>
        <v>04-08-2020</v>
      </c>
      <c r="N3270" t="str">
        <f t="shared" si="1317"/>
        <v>001105018356</v>
      </c>
      <c r="O3270" t="str">
        <f t="shared" si="1318"/>
        <v>MYR</v>
      </c>
      <c r="P3270" t="str">
        <f t="shared" si="1339"/>
        <v>NIL</v>
      </c>
      <c r="Q3270" t="str">
        <f t="shared" si="1339"/>
        <v>NIL</v>
      </c>
      <c r="R3270" t="str">
        <f t="shared" si="1320"/>
        <v>Accepted</v>
      </c>
      <c r="S3270" t="str">
        <f t="shared" si="1321"/>
        <v>Approved</v>
      </c>
      <c r="T3270" t="str">
        <f t="shared" si="1322"/>
        <v>10.20.8.188</v>
      </c>
      <c r="U3270" t="str">
        <f t="shared" si="1323"/>
        <v>AZRAD UMAR BIN SHAARI</v>
      </c>
      <c r="V3270" t="str">
        <f t="shared" si="1324"/>
        <v>FARHANA BINTI MUSTAPA</v>
      </c>
      <c r="W3270" t="str">
        <f t="shared" si="1325"/>
        <v>04-08-2020</v>
      </c>
      <c r="X3270" t="str">
        <f t="shared" si="1326"/>
        <v>RAZIMAH ANSAR AHMAD</v>
      </c>
      <c r="Y3270" t="str">
        <f t="shared" si="1327"/>
        <v>04-08-2020</v>
      </c>
      <c r="Z3270" t="str">
        <f>"COS10200804 5884"</f>
        <v>COS10200804 5884</v>
      </c>
    </row>
    <row r="3271" spans="1:26" x14ac:dyDescent="0.25">
      <c r="A3271" t="str">
        <f t="shared" si="1336"/>
        <v>04-08-2020 12:58:13</v>
      </c>
      <c r="B3271" t="str">
        <f>"0000807673"</f>
        <v>0000807673</v>
      </c>
      <c r="C3271" t="str">
        <f t="shared" si="1337"/>
        <v>0000807590</v>
      </c>
      <c r="D3271" t="str">
        <f t="shared" ref="D3271:D3334" si="1340">"73185"</f>
        <v>73185</v>
      </c>
      <c r="E3271" t="str">
        <f t="shared" ref="E3271:E3334" si="1341">"KFH-OPERATIONS DEPARTMENT"</f>
        <v>KFH-OPERATIONS DEPARTMENT</v>
      </c>
      <c r="F3271" t="str">
        <f t="shared" ref="F3271:F3334" si="1342">"IBG"</f>
        <v>IBG</v>
      </c>
      <c r="G3271" t="str">
        <f t="shared" si="1328"/>
        <v>Refund COSHARE 10</v>
      </c>
      <c r="H3271" s="2">
        <v>671.6</v>
      </c>
      <c r="I3271" t="str">
        <f>"MOHD SHAHRIZAL BIN MOHD ISA"</f>
        <v>MOHD SHAHRIZAL BIN MOHD ISA</v>
      </c>
      <c r="J3271" t="str">
        <f t="shared" si="1329"/>
        <v>MAYBANK / MAYBANK ISLAMIC</v>
      </c>
      <c r="K3271" t="str">
        <f>"157250038967"</f>
        <v>157250038967</v>
      </c>
      <c r="L3271" t="str">
        <f t="shared" si="1338"/>
        <v>04-08-2020</v>
      </c>
      <c r="M3271" t="str">
        <f t="shared" si="1338"/>
        <v>04-08-2020</v>
      </c>
      <c r="N3271" t="str">
        <f t="shared" ref="N3271:N3334" si="1343">"001105018356"</f>
        <v>001105018356</v>
      </c>
      <c r="O3271" t="str">
        <f t="shared" ref="O3271:O3334" si="1344">"MYR"</f>
        <v>MYR</v>
      </c>
      <c r="P3271" t="str">
        <f t="shared" si="1339"/>
        <v>NIL</v>
      </c>
      <c r="Q3271" t="str">
        <f t="shared" si="1339"/>
        <v>NIL</v>
      </c>
      <c r="R3271" t="str">
        <f t="shared" ref="R3271:R3334" si="1345">"Accepted"</f>
        <v>Accepted</v>
      </c>
      <c r="S3271" t="str">
        <f t="shared" ref="S3271:S3334" si="1346">"Approved"</f>
        <v>Approved</v>
      </c>
      <c r="T3271" t="str">
        <f t="shared" ref="T3271:T3334" si="1347">"10.20.8.188"</f>
        <v>10.20.8.188</v>
      </c>
      <c r="U3271" t="str">
        <f t="shared" ref="U3271:U3334" si="1348">"AZRAD UMAR BIN SHAARI"</f>
        <v>AZRAD UMAR BIN SHAARI</v>
      </c>
      <c r="V3271" t="str">
        <f t="shared" ref="V3271:V3334" si="1349">"FARHANA BINTI MUSTAPA"</f>
        <v>FARHANA BINTI MUSTAPA</v>
      </c>
      <c r="W3271" t="str">
        <f t="shared" ref="W3271:W3334" si="1350">"04-08-2020"</f>
        <v>04-08-2020</v>
      </c>
      <c r="X3271" t="str">
        <f t="shared" ref="X3271:X3334" si="1351">"RAZIMAH ANSAR AHMAD"</f>
        <v>RAZIMAH ANSAR AHMAD</v>
      </c>
      <c r="Y3271" t="str">
        <f t="shared" ref="Y3271:Y3334" si="1352">"04-08-2020"</f>
        <v>04-08-2020</v>
      </c>
      <c r="Z3271" t="str">
        <f>"COS10200804 5883"</f>
        <v>COS10200804 5883</v>
      </c>
    </row>
    <row r="3272" spans="1:26" x14ac:dyDescent="0.25">
      <c r="A3272" t="str">
        <f t="shared" si="1336"/>
        <v>04-08-2020 12:58:13</v>
      </c>
      <c r="B3272" t="str">
        <f>"0000807672"</f>
        <v>0000807672</v>
      </c>
      <c r="C3272" t="str">
        <f t="shared" si="1337"/>
        <v>0000807590</v>
      </c>
      <c r="D3272" t="str">
        <f t="shared" si="1340"/>
        <v>73185</v>
      </c>
      <c r="E3272" t="str">
        <f t="shared" si="1341"/>
        <v>KFH-OPERATIONS DEPARTMENT</v>
      </c>
      <c r="F3272" t="str">
        <f t="shared" si="1342"/>
        <v>IBG</v>
      </c>
      <c r="G3272" t="str">
        <f t="shared" si="1328"/>
        <v>Refund COSHARE 10</v>
      </c>
      <c r="H3272" s="2">
        <v>587.65</v>
      </c>
      <c r="I3272" t="str">
        <f>"MOHD SHAHRIZAL BIN MOHAMAD RIDZUAN"</f>
        <v>MOHD SHAHRIZAL BIN MOHAMAD RIDZUAN</v>
      </c>
      <c r="J3272" t="str">
        <f t="shared" si="1329"/>
        <v>MAYBANK / MAYBANK ISLAMIC</v>
      </c>
      <c r="K3272" t="str">
        <f>"158088219183"</f>
        <v>158088219183</v>
      </c>
      <c r="L3272" t="str">
        <f t="shared" si="1338"/>
        <v>04-08-2020</v>
      </c>
      <c r="M3272" t="str">
        <f t="shared" si="1338"/>
        <v>04-08-2020</v>
      </c>
      <c r="N3272" t="str">
        <f t="shared" si="1343"/>
        <v>001105018356</v>
      </c>
      <c r="O3272" t="str">
        <f t="shared" si="1344"/>
        <v>MYR</v>
      </c>
      <c r="P3272" t="str">
        <f t="shared" si="1339"/>
        <v>NIL</v>
      </c>
      <c r="Q3272" t="str">
        <f t="shared" si="1339"/>
        <v>NIL</v>
      </c>
      <c r="R3272" t="str">
        <f t="shared" si="1345"/>
        <v>Accepted</v>
      </c>
      <c r="S3272" t="str">
        <f t="shared" si="1346"/>
        <v>Approved</v>
      </c>
      <c r="T3272" t="str">
        <f t="shared" si="1347"/>
        <v>10.20.8.188</v>
      </c>
      <c r="U3272" t="str">
        <f t="shared" si="1348"/>
        <v>AZRAD UMAR BIN SHAARI</v>
      </c>
      <c r="V3272" t="str">
        <f t="shared" si="1349"/>
        <v>FARHANA BINTI MUSTAPA</v>
      </c>
      <c r="W3272" t="str">
        <f t="shared" si="1350"/>
        <v>04-08-2020</v>
      </c>
      <c r="X3272" t="str">
        <f t="shared" si="1351"/>
        <v>RAZIMAH ANSAR AHMAD</v>
      </c>
      <c r="Y3272" t="str">
        <f t="shared" si="1352"/>
        <v>04-08-2020</v>
      </c>
      <c r="Z3272" t="str">
        <f>"COS10200804 5882"</f>
        <v>COS10200804 5882</v>
      </c>
    </row>
    <row r="3273" spans="1:26" x14ac:dyDescent="0.25">
      <c r="A3273" t="str">
        <f t="shared" si="1336"/>
        <v>04-08-2020 12:58:13</v>
      </c>
      <c r="B3273" t="str">
        <f>"0000807671"</f>
        <v>0000807671</v>
      </c>
      <c r="C3273" t="str">
        <f t="shared" si="1337"/>
        <v>0000807590</v>
      </c>
      <c r="D3273" t="str">
        <f t="shared" si="1340"/>
        <v>73185</v>
      </c>
      <c r="E3273" t="str">
        <f t="shared" si="1341"/>
        <v>KFH-OPERATIONS DEPARTMENT</v>
      </c>
      <c r="F3273" t="str">
        <f t="shared" si="1342"/>
        <v>IBG</v>
      </c>
      <c r="G3273" t="str">
        <f t="shared" si="1328"/>
        <v>Refund COSHARE 10</v>
      </c>
      <c r="H3273" s="2">
        <v>176.3</v>
      </c>
      <c r="I3273" t="str">
        <f>"MOHD SHAHRIN BIN SABTU"</f>
        <v>MOHD SHAHRIN BIN SABTU</v>
      </c>
      <c r="J3273" t="str">
        <f t="shared" si="1329"/>
        <v>MAYBANK / MAYBANK ISLAMIC</v>
      </c>
      <c r="K3273" t="str">
        <f>"151043808919"</f>
        <v>151043808919</v>
      </c>
      <c r="L3273" t="str">
        <f t="shared" si="1338"/>
        <v>04-08-2020</v>
      </c>
      <c r="M3273" t="str">
        <f t="shared" si="1338"/>
        <v>04-08-2020</v>
      </c>
      <c r="N3273" t="str">
        <f t="shared" si="1343"/>
        <v>001105018356</v>
      </c>
      <c r="O3273" t="str">
        <f t="shared" si="1344"/>
        <v>MYR</v>
      </c>
      <c r="P3273" t="str">
        <f t="shared" si="1339"/>
        <v>NIL</v>
      </c>
      <c r="Q3273" t="str">
        <f t="shared" si="1339"/>
        <v>NIL</v>
      </c>
      <c r="R3273" t="str">
        <f t="shared" si="1345"/>
        <v>Accepted</v>
      </c>
      <c r="S3273" t="str">
        <f t="shared" si="1346"/>
        <v>Approved</v>
      </c>
      <c r="T3273" t="str">
        <f t="shared" si="1347"/>
        <v>10.20.8.188</v>
      </c>
      <c r="U3273" t="str">
        <f t="shared" si="1348"/>
        <v>AZRAD UMAR BIN SHAARI</v>
      </c>
      <c r="V3273" t="str">
        <f t="shared" si="1349"/>
        <v>FARHANA BINTI MUSTAPA</v>
      </c>
      <c r="W3273" t="str">
        <f t="shared" si="1350"/>
        <v>04-08-2020</v>
      </c>
      <c r="X3273" t="str">
        <f t="shared" si="1351"/>
        <v>RAZIMAH ANSAR AHMAD</v>
      </c>
      <c r="Y3273" t="str">
        <f t="shared" si="1352"/>
        <v>04-08-2020</v>
      </c>
      <c r="Z3273" t="str">
        <f>"COS10200804 5881"</f>
        <v>COS10200804 5881</v>
      </c>
    </row>
    <row r="3274" spans="1:26" x14ac:dyDescent="0.25">
      <c r="A3274" t="str">
        <f t="shared" si="1336"/>
        <v>04-08-2020 12:58:13</v>
      </c>
      <c r="B3274" t="str">
        <f>"0000807670"</f>
        <v>0000807670</v>
      </c>
      <c r="C3274" t="str">
        <f t="shared" si="1337"/>
        <v>0000807590</v>
      </c>
      <c r="D3274" t="str">
        <f t="shared" si="1340"/>
        <v>73185</v>
      </c>
      <c r="E3274" t="str">
        <f t="shared" si="1341"/>
        <v>KFH-OPERATIONS DEPARTMENT</v>
      </c>
      <c r="F3274" t="str">
        <f t="shared" si="1342"/>
        <v>IBG</v>
      </c>
      <c r="G3274" t="str">
        <f t="shared" si="1328"/>
        <v>Refund COSHARE 10</v>
      </c>
      <c r="H3274" s="2">
        <v>242</v>
      </c>
      <c r="I3274" t="str">
        <f>"MOHD SHAHRIN BIN MD SARIF"</f>
        <v>MOHD SHAHRIN BIN MD SARIF</v>
      </c>
      <c r="J3274" t="str">
        <f t="shared" si="1329"/>
        <v>MAYBANK / MAYBANK ISLAMIC</v>
      </c>
      <c r="K3274" t="str">
        <f>"108010976663"</f>
        <v>108010976663</v>
      </c>
      <c r="L3274" t="str">
        <f t="shared" si="1338"/>
        <v>04-08-2020</v>
      </c>
      <c r="M3274" t="str">
        <f t="shared" si="1338"/>
        <v>04-08-2020</v>
      </c>
      <c r="N3274" t="str">
        <f t="shared" si="1343"/>
        <v>001105018356</v>
      </c>
      <c r="O3274" t="str">
        <f t="shared" si="1344"/>
        <v>MYR</v>
      </c>
      <c r="P3274" t="str">
        <f t="shared" si="1339"/>
        <v>NIL</v>
      </c>
      <c r="Q3274" t="str">
        <f t="shared" si="1339"/>
        <v>NIL</v>
      </c>
      <c r="R3274" t="str">
        <f t="shared" si="1345"/>
        <v>Accepted</v>
      </c>
      <c r="S3274" t="str">
        <f t="shared" si="1346"/>
        <v>Approved</v>
      </c>
      <c r="T3274" t="str">
        <f t="shared" si="1347"/>
        <v>10.20.8.188</v>
      </c>
      <c r="U3274" t="str">
        <f t="shared" si="1348"/>
        <v>AZRAD UMAR BIN SHAARI</v>
      </c>
      <c r="V3274" t="str">
        <f t="shared" si="1349"/>
        <v>FARHANA BINTI MUSTAPA</v>
      </c>
      <c r="W3274" t="str">
        <f t="shared" si="1350"/>
        <v>04-08-2020</v>
      </c>
      <c r="X3274" t="str">
        <f t="shared" si="1351"/>
        <v>RAZIMAH ANSAR AHMAD</v>
      </c>
      <c r="Y3274" t="str">
        <f t="shared" si="1352"/>
        <v>04-08-2020</v>
      </c>
      <c r="Z3274" t="str">
        <f>"COS10200804 5880"</f>
        <v>COS10200804 5880</v>
      </c>
    </row>
    <row r="3275" spans="1:26" x14ac:dyDescent="0.25">
      <c r="A3275" t="str">
        <f t="shared" si="1336"/>
        <v>04-08-2020 12:58:13</v>
      </c>
      <c r="B3275" t="str">
        <f>"0000807669"</f>
        <v>0000807669</v>
      </c>
      <c r="C3275" t="str">
        <f t="shared" si="1337"/>
        <v>0000807590</v>
      </c>
      <c r="D3275" t="str">
        <f t="shared" si="1340"/>
        <v>73185</v>
      </c>
      <c r="E3275" t="str">
        <f t="shared" si="1341"/>
        <v>KFH-OPERATIONS DEPARTMENT</v>
      </c>
      <c r="F3275" t="str">
        <f t="shared" si="1342"/>
        <v>IBG</v>
      </c>
      <c r="G3275" t="str">
        <f t="shared" si="1328"/>
        <v>Refund COSHARE 10</v>
      </c>
      <c r="H3275" s="2">
        <v>386.2</v>
      </c>
      <c r="I3275" t="str">
        <f>"MOHD SHAHRILL BIN ISHAK"</f>
        <v>MOHD SHAHRILL BIN ISHAK</v>
      </c>
      <c r="J3275" t="str">
        <f t="shared" si="1329"/>
        <v>MAYBANK / MAYBANK ISLAMIC</v>
      </c>
      <c r="K3275" t="str">
        <f>"158079643416"</f>
        <v>158079643416</v>
      </c>
      <c r="L3275" t="str">
        <f t="shared" si="1338"/>
        <v>04-08-2020</v>
      </c>
      <c r="M3275" t="str">
        <f t="shared" si="1338"/>
        <v>04-08-2020</v>
      </c>
      <c r="N3275" t="str">
        <f t="shared" si="1343"/>
        <v>001105018356</v>
      </c>
      <c r="O3275" t="str">
        <f t="shared" si="1344"/>
        <v>MYR</v>
      </c>
      <c r="P3275" t="str">
        <f t="shared" si="1339"/>
        <v>NIL</v>
      </c>
      <c r="Q3275" t="str">
        <f t="shared" si="1339"/>
        <v>NIL</v>
      </c>
      <c r="R3275" t="str">
        <f t="shared" si="1345"/>
        <v>Accepted</v>
      </c>
      <c r="S3275" t="str">
        <f t="shared" si="1346"/>
        <v>Approved</v>
      </c>
      <c r="T3275" t="str">
        <f t="shared" si="1347"/>
        <v>10.20.8.188</v>
      </c>
      <c r="U3275" t="str">
        <f t="shared" si="1348"/>
        <v>AZRAD UMAR BIN SHAARI</v>
      </c>
      <c r="V3275" t="str">
        <f t="shared" si="1349"/>
        <v>FARHANA BINTI MUSTAPA</v>
      </c>
      <c r="W3275" t="str">
        <f t="shared" si="1350"/>
        <v>04-08-2020</v>
      </c>
      <c r="X3275" t="str">
        <f t="shared" si="1351"/>
        <v>RAZIMAH ANSAR AHMAD</v>
      </c>
      <c r="Y3275" t="str">
        <f t="shared" si="1352"/>
        <v>04-08-2020</v>
      </c>
      <c r="Z3275" t="str">
        <f>"COS10200804 5879"</f>
        <v>COS10200804 5879</v>
      </c>
    </row>
    <row r="3276" spans="1:26" x14ac:dyDescent="0.25">
      <c r="A3276" t="str">
        <f t="shared" si="1336"/>
        <v>04-08-2020 12:58:13</v>
      </c>
      <c r="B3276" t="str">
        <f>"0000807668"</f>
        <v>0000807668</v>
      </c>
      <c r="C3276" t="str">
        <f t="shared" si="1337"/>
        <v>0000807590</v>
      </c>
      <c r="D3276" t="str">
        <f t="shared" si="1340"/>
        <v>73185</v>
      </c>
      <c r="E3276" t="str">
        <f t="shared" si="1341"/>
        <v>KFH-OPERATIONS DEPARTMENT</v>
      </c>
      <c r="F3276" t="str">
        <f t="shared" si="1342"/>
        <v>IBG</v>
      </c>
      <c r="G3276" t="str">
        <f t="shared" ref="G3276:G3339" si="1353">"Refund COSHARE 10"</f>
        <v>Refund COSHARE 10</v>
      </c>
      <c r="H3276" s="2">
        <v>419.75</v>
      </c>
      <c r="I3276" t="str">
        <f>"MOHD SHAHRIL BIN MOHD ROSLAN"</f>
        <v>MOHD SHAHRIL BIN MOHD ROSLAN</v>
      </c>
      <c r="J3276" t="str">
        <f t="shared" si="1329"/>
        <v>MAYBANK / MAYBANK ISLAMIC</v>
      </c>
      <c r="K3276" t="str">
        <f>"151575081204"</f>
        <v>151575081204</v>
      </c>
      <c r="L3276" t="str">
        <f t="shared" si="1338"/>
        <v>04-08-2020</v>
      </c>
      <c r="M3276" t="str">
        <f t="shared" si="1338"/>
        <v>04-08-2020</v>
      </c>
      <c r="N3276" t="str">
        <f t="shared" si="1343"/>
        <v>001105018356</v>
      </c>
      <c r="O3276" t="str">
        <f t="shared" si="1344"/>
        <v>MYR</v>
      </c>
      <c r="P3276" t="str">
        <f t="shared" si="1339"/>
        <v>NIL</v>
      </c>
      <c r="Q3276" t="str">
        <f t="shared" si="1339"/>
        <v>NIL</v>
      </c>
      <c r="R3276" t="str">
        <f t="shared" si="1345"/>
        <v>Accepted</v>
      </c>
      <c r="S3276" t="str">
        <f t="shared" si="1346"/>
        <v>Approved</v>
      </c>
      <c r="T3276" t="str">
        <f t="shared" si="1347"/>
        <v>10.20.8.188</v>
      </c>
      <c r="U3276" t="str">
        <f t="shared" si="1348"/>
        <v>AZRAD UMAR BIN SHAARI</v>
      </c>
      <c r="V3276" t="str">
        <f t="shared" si="1349"/>
        <v>FARHANA BINTI MUSTAPA</v>
      </c>
      <c r="W3276" t="str">
        <f t="shared" si="1350"/>
        <v>04-08-2020</v>
      </c>
      <c r="X3276" t="str">
        <f t="shared" si="1351"/>
        <v>RAZIMAH ANSAR AHMAD</v>
      </c>
      <c r="Y3276" t="str">
        <f t="shared" si="1352"/>
        <v>04-08-2020</v>
      </c>
      <c r="Z3276" t="str">
        <f>"COS10200804 5878"</f>
        <v>COS10200804 5878</v>
      </c>
    </row>
    <row r="3277" spans="1:26" x14ac:dyDescent="0.25">
      <c r="A3277" t="str">
        <f t="shared" si="1336"/>
        <v>04-08-2020 12:58:13</v>
      </c>
      <c r="B3277" t="str">
        <f>"0000807667"</f>
        <v>0000807667</v>
      </c>
      <c r="C3277" t="str">
        <f t="shared" si="1337"/>
        <v>0000807590</v>
      </c>
      <c r="D3277" t="str">
        <f t="shared" si="1340"/>
        <v>73185</v>
      </c>
      <c r="E3277" t="str">
        <f t="shared" si="1341"/>
        <v>KFH-OPERATIONS DEPARTMENT</v>
      </c>
      <c r="F3277" t="str">
        <f t="shared" si="1342"/>
        <v>IBG</v>
      </c>
      <c r="G3277" t="str">
        <f t="shared" si="1353"/>
        <v>Refund COSHARE 10</v>
      </c>
      <c r="H3277" s="2">
        <v>67.2</v>
      </c>
      <c r="I3277" t="str">
        <f>"MOHD SHAHLIZAN BIN MOHD ALI"</f>
        <v>MOHD SHAHLIZAN BIN MOHD ALI</v>
      </c>
      <c r="J3277" t="str">
        <f t="shared" si="1329"/>
        <v>MAYBANK / MAYBANK ISLAMIC</v>
      </c>
      <c r="K3277" t="str">
        <f>"151427116843"</f>
        <v>151427116843</v>
      </c>
      <c r="L3277" t="str">
        <f t="shared" si="1338"/>
        <v>04-08-2020</v>
      </c>
      <c r="M3277" t="str">
        <f t="shared" si="1338"/>
        <v>04-08-2020</v>
      </c>
      <c r="N3277" t="str">
        <f t="shared" si="1343"/>
        <v>001105018356</v>
      </c>
      <c r="O3277" t="str">
        <f t="shared" si="1344"/>
        <v>MYR</v>
      </c>
      <c r="P3277" t="str">
        <f t="shared" si="1339"/>
        <v>NIL</v>
      </c>
      <c r="Q3277" t="str">
        <f t="shared" si="1339"/>
        <v>NIL</v>
      </c>
      <c r="R3277" t="str">
        <f t="shared" si="1345"/>
        <v>Accepted</v>
      </c>
      <c r="S3277" t="str">
        <f t="shared" si="1346"/>
        <v>Approved</v>
      </c>
      <c r="T3277" t="str">
        <f t="shared" si="1347"/>
        <v>10.20.8.188</v>
      </c>
      <c r="U3277" t="str">
        <f t="shared" si="1348"/>
        <v>AZRAD UMAR BIN SHAARI</v>
      </c>
      <c r="V3277" t="str">
        <f t="shared" si="1349"/>
        <v>FARHANA BINTI MUSTAPA</v>
      </c>
      <c r="W3277" t="str">
        <f t="shared" si="1350"/>
        <v>04-08-2020</v>
      </c>
      <c r="X3277" t="str">
        <f t="shared" si="1351"/>
        <v>RAZIMAH ANSAR AHMAD</v>
      </c>
      <c r="Y3277" t="str">
        <f t="shared" si="1352"/>
        <v>04-08-2020</v>
      </c>
      <c r="Z3277" t="str">
        <f>"COS10200804 5877"</f>
        <v>COS10200804 5877</v>
      </c>
    </row>
    <row r="3278" spans="1:26" x14ac:dyDescent="0.25">
      <c r="A3278" t="str">
        <f t="shared" si="1336"/>
        <v>04-08-2020 12:58:13</v>
      </c>
      <c r="B3278" t="str">
        <f>"0000807666"</f>
        <v>0000807666</v>
      </c>
      <c r="C3278" t="str">
        <f t="shared" si="1337"/>
        <v>0000807590</v>
      </c>
      <c r="D3278" t="str">
        <f t="shared" si="1340"/>
        <v>73185</v>
      </c>
      <c r="E3278" t="str">
        <f t="shared" si="1341"/>
        <v>KFH-OPERATIONS DEPARTMENT</v>
      </c>
      <c r="F3278" t="str">
        <f t="shared" si="1342"/>
        <v>IBG</v>
      </c>
      <c r="G3278" t="str">
        <f t="shared" si="1353"/>
        <v>Refund COSHARE 10</v>
      </c>
      <c r="H3278" s="2">
        <v>755.55</v>
      </c>
      <c r="I3278" t="str">
        <f>"MOHD SHAHDAN BIN NASARUDDIN"</f>
        <v>MOHD SHAHDAN BIN NASARUDDIN</v>
      </c>
      <c r="J3278" t="str">
        <f t="shared" si="1329"/>
        <v>MAYBANK / MAYBANK ISLAMIC</v>
      </c>
      <c r="K3278" t="str">
        <f>"162021528955"</f>
        <v>162021528955</v>
      </c>
      <c r="L3278" t="str">
        <f t="shared" si="1338"/>
        <v>04-08-2020</v>
      </c>
      <c r="M3278" t="str">
        <f t="shared" si="1338"/>
        <v>04-08-2020</v>
      </c>
      <c r="N3278" t="str">
        <f t="shared" si="1343"/>
        <v>001105018356</v>
      </c>
      <c r="O3278" t="str">
        <f t="shared" si="1344"/>
        <v>MYR</v>
      </c>
      <c r="P3278" t="str">
        <f t="shared" si="1339"/>
        <v>NIL</v>
      </c>
      <c r="Q3278" t="str">
        <f t="shared" si="1339"/>
        <v>NIL</v>
      </c>
      <c r="R3278" t="str">
        <f t="shared" si="1345"/>
        <v>Accepted</v>
      </c>
      <c r="S3278" t="str">
        <f t="shared" si="1346"/>
        <v>Approved</v>
      </c>
      <c r="T3278" t="str">
        <f t="shared" si="1347"/>
        <v>10.20.8.188</v>
      </c>
      <c r="U3278" t="str">
        <f t="shared" si="1348"/>
        <v>AZRAD UMAR BIN SHAARI</v>
      </c>
      <c r="V3278" t="str">
        <f t="shared" si="1349"/>
        <v>FARHANA BINTI MUSTAPA</v>
      </c>
      <c r="W3278" t="str">
        <f t="shared" si="1350"/>
        <v>04-08-2020</v>
      </c>
      <c r="X3278" t="str">
        <f t="shared" si="1351"/>
        <v>RAZIMAH ANSAR AHMAD</v>
      </c>
      <c r="Y3278" t="str">
        <f t="shared" si="1352"/>
        <v>04-08-2020</v>
      </c>
      <c r="Z3278" t="str">
        <f>"COS10200804 5876"</f>
        <v>COS10200804 5876</v>
      </c>
    </row>
    <row r="3279" spans="1:26" x14ac:dyDescent="0.25">
      <c r="A3279" t="str">
        <f t="shared" si="1336"/>
        <v>04-08-2020 12:58:13</v>
      </c>
      <c r="B3279" t="str">
        <f>"0000807665"</f>
        <v>0000807665</v>
      </c>
      <c r="C3279" t="str">
        <f t="shared" si="1337"/>
        <v>0000807590</v>
      </c>
      <c r="D3279" t="str">
        <f t="shared" si="1340"/>
        <v>73185</v>
      </c>
      <c r="E3279" t="str">
        <f t="shared" si="1341"/>
        <v>KFH-OPERATIONS DEPARTMENT</v>
      </c>
      <c r="F3279" t="str">
        <f t="shared" si="1342"/>
        <v>IBG</v>
      </c>
      <c r="G3279" t="str">
        <f t="shared" si="1353"/>
        <v>Refund COSHARE 10</v>
      </c>
      <c r="H3279" s="2">
        <v>923.45</v>
      </c>
      <c r="I3279" t="str">
        <f>"MOHD SHAARANI BIN JUSOH"</f>
        <v>MOHD SHAARANI BIN JUSOH</v>
      </c>
      <c r="J3279" t="str">
        <f t="shared" si="1329"/>
        <v>MAYBANK / MAYBANK ISLAMIC</v>
      </c>
      <c r="K3279" t="str">
        <f>"158163071483"</f>
        <v>158163071483</v>
      </c>
      <c r="L3279" t="str">
        <f t="shared" si="1338"/>
        <v>04-08-2020</v>
      </c>
      <c r="M3279" t="str">
        <f t="shared" si="1338"/>
        <v>04-08-2020</v>
      </c>
      <c r="N3279" t="str">
        <f t="shared" si="1343"/>
        <v>001105018356</v>
      </c>
      <c r="O3279" t="str">
        <f t="shared" si="1344"/>
        <v>MYR</v>
      </c>
      <c r="P3279" t="str">
        <f t="shared" si="1339"/>
        <v>NIL</v>
      </c>
      <c r="Q3279" t="str">
        <f t="shared" si="1339"/>
        <v>NIL</v>
      </c>
      <c r="R3279" t="str">
        <f t="shared" si="1345"/>
        <v>Accepted</v>
      </c>
      <c r="S3279" t="str">
        <f t="shared" si="1346"/>
        <v>Approved</v>
      </c>
      <c r="T3279" t="str">
        <f t="shared" si="1347"/>
        <v>10.20.8.188</v>
      </c>
      <c r="U3279" t="str">
        <f t="shared" si="1348"/>
        <v>AZRAD UMAR BIN SHAARI</v>
      </c>
      <c r="V3279" t="str">
        <f t="shared" si="1349"/>
        <v>FARHANA BINTI MUSTAPA</v>
      </c>
      <c r="W3279" t="str">
        <f t="shared" si="1350"/>
        <v>04-08-2020</v>
      </c>
      <c r="X3279" t="str">
        <f t="shared" si="1351"/>
        <v>RAZIMAH ANSAR AHMAD</v>
      </c>
      <c r="Y3279" t="str">
        <f t="shared" si="1352"/>
        <v>04-08-2020</v>
      </c>
      <c r="Z3279" t="str">
        <f>"COS10200804 5875"</f>
        <v>COS10200804 5875</v>
      </c>
    </row>
    <row r="3280" spans="1:26" x14ac:dyDescent="0.25">
      <c r="A3280" t="str">
        <f t="shared" si="1336"/>
        <v>04-08-2020 12:58:13</v>
      </c>
      <c r="B3280" t="str">
        <f>"0000807664"</f>
        <v>0000807664</v>
      </c>
      <c r="C3280" t="str">
        <f t="shared" si="1337"/>
        <v>0000807590</v>
      </c>
      <c r="D3280" t="str">
        <f t="shared" si="1340"/>
        <v>73185</v>
      </c>
      <c r="E3280" t="str">
        <f t="shared" si="1341"/>
        <v>KFH-OPERATIONS DEPARTMENT</v>
      </c>
      <c r="F3280" t="str">
        <f t="shared" si="1342"/>
        <v>IBG</v>
      </c>
      <c r="G3280" t="str">
        <f t="shared" si="1353"/>
        <v>Refund COSHARE 10</v>
      </c>
      <c r="H3280" s="2">
        <v>1041</v>
      </c>
      <c r="I3280" t="str">
        <f>"MOHD SEZALI BIN ROMLI"</f>
        <v>MOHD SEZALI BIN ROMLI</v>
      </c>
      <c r="J3280" t="str">
        <f t="shared" si="1329"/>
        <v>MAYBANK / MAYBANK ISLAMIC</v>
      </c>
      <c r="K3280" t="str">
        <f>"157111929204"</f>
        <v>157111929204</v>
      </c>
      <c r="L3280" t="str">
        <f t="shared" si="1338"/>
        <v>04-08-2020</v>
      </c>
      <c r="M3280" t="str">
        <f t="shared" si="1338"/>
        <v>04-08-2020</v>
      </c>
      <c r="N3280" t="str">
        <f t="shared" si="1343"/>
        <v>001105018356</v>
      </c>
      <c r="O3280" t="str">
        <f t="shared" si="1344"/>
        <v>MYR</v>
      </c>
      <c r="P3280" t="str">
        <f t="shared" si="1339"/>
        <v>NIL</v>
      </c>
      <c r="Q3280" t="str">
        <f t="shared" si="1339"/>
        <v>NIL</v>
      </c>
      <c r="R3280" t="str">
        <f t="shared" si="1345"/>
        <v>Accepted</v>
      </c>
      <c r="S3280" t="str">
        <f t="shared" si="1346"/>
        <v>Approved</v>
      </c>
      <c r="T3280" t="str">
        <f t="shared" si="1347"/>
        <v>10.20.8.188</v>
      </c>
      <c r="U3280" t="str">
        <f t="shared" si="1348"/>
        <v>AZRAD UMAR BIN SHAARI</v>
      </c>
      <c r="V3280" t="str">
        <f t="shared" si="1349"/>
        <v>FARHANA BINTI MUSTAPA</v>
      </c>
      <c r="W3280" t="str">
        <f t="shared" si="1350"/>
        <v>04-08-2020</v>
      </c>
      <c r="X3280" t="str">
        <f t="shared" si="1351"/>
        <v>RAZIMAH ANSAR AHMAD</v>
      </c>
      <c r="Y3280" t="str">
        <f t="shared" si="1352"/>
        <v>04-08-2020</v>
      </c>
      <c r="Z3280" t="str">
        <f>"COS10200804 5874"</f>
        <v>COS10200804 5874</v>
      </c>
    </row>
    <row r="3281" spans="1:26" x14ac:dyDescent="0.25">
      <c r="A3281" t="str">
        <f t="shared" si="1336"/>
        <v>04-08-2020 12:58:13</v>
      </c>
      <c r="B3281" t="str">
        <f>"0000807663"</f>
        <v>0000807663</v>
      </c>
      <c r="C3281" t="str">
        <f t="shared" si="1337"/>
        <v>0000807590</v>
      </c>
      <c r="D3281" t="str">
        <f t="shared" si="1340"/>
        <v>73185</v>
      </c>
      <c r="E3281" t="str">
        <f t="shared" si="1341"/>
        <v>KFH-OPERATIONS DEPARTMENT</v>
      </c>
      <c r="F3281" t="str">
        <f t="shared" si="1342"/>
        <v>IBG</v>
      </c>
      <c r="G3281" t="str">
        <f t="shared" si="1353"/>
        <v>Refund COSHARE 10</v>
      </c>
      <c r="H3281" s="2">
        <v>142.75</v>
      </c>
      <c r="I3281" t="str">
        <f>"MOHD SAZIPON BIN MAZLAN"</f>
        <v>MOHD SAZIPON BIN MAZLAN</v>
      </c>
      <c r="J3281" t="str">
        <f t="shared" ref="J3281:J3344" si="1354">"MAYBANK / MAYBANK ISLAMIC"</f>
        <v>MAYBANK / MAYBANK ISLAMIC</v>
      </c>
      <c r="K3281" t="str">
        <f>"164016975699"</f>
        <v>164016975699</v>
      </c>
      <c r="L3281" t="str">
        <f t="shared" si="1338"/>
        <v>04-08-2020</v>
      </c>
      <c r="M3281" t="str">
        <f t="shared" si="1338"/>
        <v>04-08-2020</v>
      </c>
      <c r="N3281" t="str">
        <f t="shared" si="1343"/>
        <v>001105018356</v>
      </c>
      <c r="O3281" t="str">
        <f t="shared" si="1344"/>
        <v>MYR</v>
      </c>
      <c r="P3281" t="str">
        <f t="shared" si="1339"/>
        <v>NIL</v>
      </c>
      <c r="Q3281" t="str">
        <f t="shared" si="1339"/>
        <v>NIL</v>
      </c>
      <c r="R3281" t="str">
        <f t="shared" si="1345"/>
        <v>Accepted</v>
      </c>
      <c r="S3281" t="str">
        <f t="shared" si="1346"/>
        <v>Approved</v>
      </c>
      <c r="T3281" t="str">
        <f t="shared" si="1347"/>
        <v>10.20.8.188</v>
      </c>
      <c r="U3281" t="str">
        <f t="shared" si="1348"/>
        <v>AZRAD UMAR BIN SHAARI</v>
      </c>
      <c r="V3281" t="str">
        <f t="shared" si="1349"/>
        <v>FARHANA BINTI MUSTAPA</v>
      </c>
      <c r="W3281" t="str">
        <f t="shared" si="1350"/>
        <v>04-08-2020</v>
      </c>
      <c r="X3281" t="str">
        <f t="shared" si="1351"/>
        <v>RAZIMAH ANSAR AHMAD</v>
      </c>
      <c r="Y3281" t="str">
        <f t="shared" si="1352"/>
        <v>04-08-2020</v>
      </c>
      <c r="Z3281" t="str">
        <f>"COS10200804 5873"</f>
        <v>COS10200804 5873</v>
      </c>
    </row>
    <row r="3282" spans="1:26" x14ac:dyDescent="0.25">
      <c r="A3282" t="str">
        <f t="shared" ref="A3282:A3313" si="1355">"04-08-2020 12:58:13"</f>
        <v>04-08-2020 12:58:13</v>
      </c>
      <c r="B3282" t="str">
        <f>"0000807662"</f>
        <v>0000807662</v>
      </c>
      <c r="C3282" t="str">
        <f t="shared" ref="C3282:C3313" si="1356">"0000807590"</f>
        <v>0000807590</v>
      </c>
      <c r="D3282" t="str">
        <f t="shared" si="1340"/>
        <v>73185</v>
      </c>
      <c r="E3282" t="str">
        <f t="shared" si="1341"/>
        <v>KFH-OPERATIONS DEPARTMENT</v>
      </c>
      <c r="F3282" t="str">
        <f t="shared" si="1342"/>
        <v>IBG</v>
      </c>
      <c r="G3282" t="str">
        <f t="shared" si="1353"/>
        <v>Refund COSHARE 10</v>
      </c>
      <c r="H3282" s="2">
        <v>254.1</v>
      </c>
      <c r="I3282" t="str">
        <f>"MOHD SAZALI BIN SAAD"</f>
        <v>MOHD SAZALI BIN SAAD</v>
      </c>
      <c r="J3282" t="str">
        <f t="shared" si="1354"/>
        <v>MAYBANK / MAYBANK ISLAMIC</v>
      </c>
      <c r="K3282" t="str">
        <f>"152022014144"</f>
        <v>152022014144</v>
      </c>
      <c r="L3282" t="str">
        <f t="shared" si="1338"/>
        <v>04-08-2020</v>
      </c>
      <c r="M3282" t="str">
        <f t="shared" si="1338"/>
        <v>04-08-2020</v>
      </c>
      <c r="N3282" t="str">
        <f t="shared" si="1343"/>
        <v>001105018356</v>
      </c>
      <c r="O3282" t="str">
        <f t="shared" si="1344"/>
        <v>MYR</v>
      </c>
      <c r="P3282" t="str">
        <f t="shared" si="1339"/>
        <v>NIL</v>
      </c>
      <c r="Q3282" t="str">
        <f t="shared" si="1339"/>
        <v>NIL</v>
      </c>
      <c r="R3282" t="str">
        <f t="shared" si="1345"/>
        <v>Accepted</v>
      </c>
      <c r="S3282" t="str">
        <f t="shared" si="1346"/>
        <v>Approved</v>
      </c>
      <c r="T3282" t="str">
        <f t="shared" si="1347"/>
        <v>10.20.8.188</v>
      </c>
      <c r="U3282" t="str">
        <f t="shared" si="1348"/>
        <v>AZRAD UMAR BIN SHAARI</v>
      </c>
      <c r="V3282" t="str">
        <f t="shared" si="1349"/>
        <v>FARHANA BINTI MUSTAPA</v>
      </c>
      <c r="W3282" t="str">
        <f t="shared" si="1350"/>
        <v>04-08-2020</v>
      </c>
      <c r="X3282" t="str">
        <f t="shared" si="1351"/>
        <v>RAZIMAH ANSAR AHMAD</v>
      </c>
      <c r="Y3282" t="str">
        <f t="shared" si="1352"/>
        <v>04-08-2020</v>
      </c>
      <c r="Z3282" t="str">
        <f>"COS10200804 5872"</f>
        <v>COS10200804 5872</v>
      </c>
    </row>
    <row r="3283" spans="1:26" x14ac:dyDescent="0.25">
      <c r="A3283" t="str">
        <f t="shared" si="1355"/>
        <v>04-08-2020 12:58:13</v>
      </c>
      <c r="B3283" t="str">
        <f>"0000807661"</f>
        <v>0000807661</v>
      </c>
      <c r="C3283" t="str">
        <f t="shared" si="1356"/>
        <v>0000807590</v>
      </c>
      <c r="D3283" t="str">
        <f t="shared" si="1340"/>
        <v>73185</v>
      </c>
      <c r="E3283" t="str">
        <f t="shared" si="1341"/>
        <v>KFH-OPERATIONS DEPARTMENT</v>
      </c>
      <c r="F3283" t="str">
        <f t="shared" si="1342"/>
        <v>IBG</v>
      </c>
      <c r="G3283" t="str">
        <f t="shared" si="1353"/>
        <v>Refund COSHARE 10</v>
      </c>
      <c r="H3283" s="2">
        <v>100.75</v>
      </c>
      <c r="I3283" t="str">
        <f>"MOHD SAUFI BIN ABD WAHAB"</f>
        <v>MOHD SAUFI BIN ABD WAHAB</v>
      </c>
      <c r="J3283" t="str">
        <f t="shared" si="1354"/>
        <v>MAYBANK / MAYBANK ISLAMIC</v>
      </c>
      <c r="K3283" t="str">
        <f>"164052307583"</f>
        <v>164052307583</v>
      </c>
      <c r="L3283" t="str">
        <f t="shared" si="1338"/>
        <v>04-08-2020</v>
      </c>
      <c r="M3283" t="str">
        <f t="shared" si="1338"/>
        <v>04-08-2020</v>
      </c>
      <c r="N3283" t="str">
        <f t="shared" si="1343"/>
        <v>001105018356</v>
      </c>
      <c r="O3283" t="str">
        <f t="shared" si="1344"/>
        <v>MYR</v>
      </c>
      <c r="P3283" t="str">
        <f t="shared" si="1339"/>
        <v>NIL</v>
      </c>
      <c r="Q3283" t="str">
        <f t="shared" si="1339"/>
        <v>NIL</v>
      </c>
      <c r="R3283" t="str">
        <f t="shared" si="1345"/>
        <v>Accepted</v>
      </c>
      <c r="S3283" t="str">
        <f t="shared" si="1346"/>
        <v>Approved</v>
      </c>
      <c r="T3283" t="str">
        <f t="shared" si="1347"/>
        <v>10.20.8.188</v>
      </c>
      <c r="U3283" t="str">
        <f t="shared" si="1348"/>
        <v>AZRAD UMAR BIN SHAARI</v>
      </c>
      <c r="V3283" t="str">
        <f t="shared" si="1349"/>
        <v>FARHANA BINTI MUSTAPA</v>
      </c>
      <c r="W3283" t="str">
        <f t="shared" si="1350"/>
        <v>04-08-2020</v>
      </c>
      <c r="X3283" t="str">
        <f t="shared" si="1351"/>
        <v>RAZIMAH ANSAR AHMAD</v>
      </c>
      <c r="Y3283" t="str">
        <f t="shared" si="1352"/>
        <v>04-08-2020</v>
      </c>
      <c r="Z3283" t="str">
        <f>"COS10200804 5871"</f>
        <v>COS10200804 5871</v>
      </c>
    </row>
    <row r="3284" spans="1:26" x14ac:dyDescent="0.25">
      <c r="A3284" t="str">
        <f t="shared" si="1355"/>
        <v>04-08-2020 12:58:13</v>
      </c>
      <c r="B3284" t="str">
        <f>"0000807660"</f>
        <v>0000807660</v>
      </c>
      <c r="C3284" t="str">
        <f t="shared" si="1356"/>
        <v>0000807590</v>
      </c>
      <c r="D3284" t="str">
        <f t="shared" si="1340"/>
        <v>73185</v>
      </c>
      <c r="E3284" t="str">
        <f t="shared" si="1341"/>
        <v>KFH-OPERATIONS DEPARTMENT</v>
      </c>
      <c r="F3284" t="str">
        <f t="shared" si="1342"/>
        <v>IBG</v>
      </c>
      <c r="G3284" t="str">
        <f t="shared" si="1353"/>
        <v>Refund COSHARE 10</v>
      </c>
      <c r="H3284" s="2">
        <v>75.599999999999994</v>
      </c>
      <c r="I3284" t="str">
        <f>"MOHD SAPIRUL BIN MOHD SAPIAI"</f>
        <v>MOHD SAPIRUL BIN MOHD SAPIAI</v>
      </c>
      <c r="J3284" t="str">
        <f t="shared" si="1354"/>
        <v>MAYBANK / MAYBANK ISLAMIC</v>
      </c>
      <c r="K3284" t="str">
        <f>"101178214701"</f>
        <v>101178214701</v>
      </c>
      <c r="L3284" t="str">
        <f t="shared" si="1338"/>
        <v>04-08-2020</v>
      </c>
      <c r="M3284" t="str">
        <f t="shared" si="1338"/>
        <v>04-08-2020</v>
      </c>
      <c r="N3284" t="str">
        <f t="shared" si="1343"/>
        <v>001105018356</v>
      </c>
      <c r="O3284" t="str">
        <f t="shared" si="1344"/>
        <v>MYR</v>
      </c>
      <c r="P3284" t="str">
        <f t="shared" si="1339"/>
        <v>NIL</v>
      </c>
      <c r="Q3284" t="str">
        <f t="shared" si="1339"/>
        <v>NIL</v>
      </c>
      <c r="R3284" t="str">
        <f t="shared" si="1345"/>
        <v>Accepted</v>
      </c>
      <c r="S3284" t="str">
        <f t="shared" si="1346"/>
        <v>Approved</v>
      </c>
      <c r="T3284" t="str">
        <f t="shared" si="1347"/>
        <v>10.20.8.188</v>
      </c>
      <c r="U3284" t="str">
        <f t="shared" si="1348"/>
        <v>AZRAD UMAR BIN SHAARI</v>
      </c>
      <c r="V3284" t="str">
        <f t="shared" si="1349"/>
        <v>FARHANA BINTI MUSTAPA</v>
      </c>
      <c r="W3284" t="str">
        <f t="shared" si="1350"/>
        <v>04-08-2020</v>
      </c>
      <c r="X3284" t="str">
        <f t="shared" si="1351"/>
        <v>RAZIMAH ANSAR AHMAD</v>
      </c>
      <c r="Y3284" t="str">
        <f t="shared" si="1352"/>
        <v>04-08-2020</v>
      </c>
      <c r="Z3284" t="str">
        <f>"COS10200804 5870"</f>
        <v>COS10200804 5870</v>
      </c>
    </row>
    <row r="3285" spans="1:26" x14ac:dyDescent="0.25">
      <c r="A3285" t="str">
        <f t="shared" si="1355"/>
        <v>04-08-2020 12:58:13</v>
      </c>
      <c r="B3285" t="str">
        <f>"0000807659"</f>
        <v>0000807659</v>
      </c>
      <c r="C3285" t="str">
        <f t="shared" si="1356"/>
        <v>0000807590</v>
      </c>
      <c r="D3285" t="str">
        <f t="shared" si="1340"/>
        <v>73185</v>
      </c>
      <c r="E3285" t="str">
        <f t="shared" si="1341"/>
        <v>KFH-OPERATIONS DEPARTMENT</v>
      </c>
      <c r="F3285" t="str">
        <f t="shared" si="1342"/>
        <v>IBG</v>
      </c>
      <c r="G3285" t="str">
        <f t="shared" si="1353"/>
        <v>Refund COSHARE 10</v>
      </c>
      <c r="H3285" s="2">
        <v>228</v>
      </c>
      <c r="I3285" t="str">
        <f>"MOHD SAPAWI BIN YAHYA  ZAKARIA"</f>
        <v>MOHD SAPAWI BIN YAHYA  ZAKARIA</v>
      </c>
      <c r="J3285" t="str">
        <f t="shared" si="1354"/>
        <v>MAYBANK / MAYBANK ISLAMIC</v>
      </c>
      <c r="K3285" t="str">
        <f>"107117630099"</f>
        <v>107117630099</v>
      </c>
      <c r="L3285" t="str">
        <f t="shared" si="1338"/>
        <v>04-08-2020</v>
      </c>
      <c r="M3285" t="str">
        <f t="shared" si="1338"/>
        <v>04-08-2020</v>
      </c>
      <c r="N3285" t="str">
        <f t="shared" si="1343"/>
        <v>001105018356</v>
      </c>
      <c r="O3285" t="str">
        <f t="shared" si="1344"/>
        <v>MYR</v>
      </c>
      <c r="P3285" t="str">
        <f t="shared" si="1339"/>
        <v>NIL</v>
      </c>
      <c r="Q3285" t="str">
        <f t="shared" si="1339"/>
        <v>NIL</v>
      </c>
      <c r="R3285" t="str">
        <f t="shared" si="1345"/>
        <v>Accepted</v>
      </c>
      <c r="S3285" t="str">
        <f t="shared" si="1346"/>
        <v>Approved</v>
      </c>
      <c r="T3285" t="str">
        <f t="shared" si="1347"/>
        <v>10.20.8.188</v>
      </c>
      <c r="U3285" t="str">
        <f t="shared" si="1348"/>
        <v>AZRAD UMAR BIN SHAARI</v>
      </c>
      <c r="V3285" t="str">
        <f t="shared" si="1349"/>
        <v>FARHANA BINTI MUSTAPA</v>
      </c>
      <c r="W3285" t="str">
        <f t="shared" si="1350"/>
        <v>04-08-2020</v>
      </c>
      <c r="X3285" t="str">
        <f t="shared" si="1351"/>
        <v>RAZIMAH ANSAR AHMAD</v>
      </c>
      <c r="Y3285" t="str">
        <f t="shared" si="1352"/>
        <v>04-08-2020</v>
      </c>
      <c r="Z3285" t="str">
        <f>"COS10200804 5869"</f>
        <v>COS10200804 5869</v>
      </c>
    </row>
    <row r="3286" spans="1:26" x14ac:dyDescent="0.25">
      <c r="A3286" t="str">
        <f t="shared" si="1355"/>
        <v>04-08-2020 12:58:13</v>
      </c>
      <c r="B3286" t="str">
        <f>"0000807658"</f>
        <v>0000807658</v>
      </c>
      <c r="C3286" t="str">
        <f t="shared" si="1356"/>
        <v>0000807590</v>
      </c>
      <c r="D3286" t="str">
        <f t="shared" si="1340"/>
        <v>73185</v>
      </c>
      <c r="E3286" t="str">
        <f t="shared" si="1341"/>
        <v>KFH-OPERATIONS DEPARTMENT</v>
      </c>
      <c r="F3286" t="str">
        <f t="shared" si="1342"/>
        <v>IBG</v>
      </c>
      <c r="G3286" t="str">
        <f t="shared" si="1353"/>
        <v>Refund COSHARE 10</v>
      </c>
      <c r="H3286" s="2">
        <v>142.75</v>
      </c>
      <c r="I3286" t="str">
        <f>"MOHD SAMZURAIDI BIN ZOLKAFLI"</f>
        <v>MOHD SAMZURAIDI BIN ZOLKAFLI</v>
      </c>
      <c r="J3286" t="str">
        <f t="shared" si="1354"/>
        <v>MAYBANK / MAYBANK ISLAMIC</v>
      </c>
      <c r="K3286" t="str">
        <f>"158051478506"</f>
        <v>158051478506</v>
      </c>
      <c r="L3286" t="str">
        <f t="shared" si="1338"/>
        <v>04-08-2020</v>
      </c>
      <c r="M3286" t="str">
        <f t="shared" si="1338"/>
        <v>04-08-2020</v>
      </c>
      <c r="N3286" t="str">
        <f t="shared" si="1343"/>
        <v>001105018356</v>
      </c>
      <c r="O3286" t="str">
        <f t="shared" si="1344"/>
        <v>MYR</v>
      </c>
      <c r="P3286" t="str">
        <f t="shared" si="1339"/>
        <v>NIL</v>
      </c>
      <c r="Q3286" t="str">
        <f t="shared" si="1339"/>
        <v>NIL</v>
      </c>
      <c r="R3286" t="str">
        <f t="shared" si="1345"/>
        <v>Accepted</v>
      </c>
      <c r="S3286" t="str">
        <f t="shared" si="1346"/>
        <v>Approved</v>
      </c>
      <c r="T3286" t="str">
        <f t="shared" si="1347"/>
        <v>10.20.8.188</v>
      </c>
      <c r="U3286" t="str">
        <f t="shared" si="1348"/>
        <v>AZRAD UMAR BIN SHAARI</v>
      </c>
      <c r="V3286" t="str">
        <f t="shared" si="1349"/>
        <v>FARHANA BINTI MUSTAPA</v>
      </c>
      <c r="W3286" t="str">
        <f t="shared" si="1350"/>
        <v>04-08-2020</v>
      </c>
      <c r="X3286" t="str">
        <f t="shared" si="1351"/>
        <v>RAZIMAH ANSAR AHMAD</v>
      </c>
      <c r="Y3286" t="str">
        <f t="shared" si="1352"/>
        <v>04-08-2020</v>
      </c>
      <c r="Z3286" t="str">
        <f>"COS10200804 5868"</f>
        <v>COS10200804 5868</v>
      </c>
    </row>
    <row r="3287" spans="1:26" x14ac:dyDescent="0.25">
      <c r="A3287" t="str">
        <f t="shared" si="1355"/>
        <v>04-08-2020 12:58:13</v>
      </c>
      <c r="B3287" t="str">
        <f>"0000807657"</f>
        <v>0000807657</v>
      </c>
      <c r="C3287" t="str">
        <f t="shared" si="1356"/>
        <v>0000807590</v>
      </c>
      <c r="D3287" t="str">
        <f t="shared" si="1340"/>
        <v>73185</v>
      </c>
      <c r="E3287" t="str">
        <f t="shared" si="1341"/>
        <v>KFH-OPERATIONS DEPARTMENT</v>
      </c>
      <c r="F3287" t="str">
        <f t="shared" si="1342"/>
        <v>IBG</v>
      </c>
      <c r="G3287" t="str">
        <f t="shared" si="1353"/>
        <v>Refund COSHARE 10</v>
      </c>
      <c r="H3287" s="2">
        <v>746.55</v>
      </c>
      <c r="I3287" t="str">
        <f>"MOHD SALWIRA BIN ABDUL RAUF"</f>
        <v>MOHD SALWIRA BIN ABDUL RAUF</v>
      </c>
      <c r="J3287" t="str">
        <f t="shared" si="1354"/>
        <v>MAYBANK / MAYBANK ISLAMIC</v>
      </c>
      <c r="K3287" t="str">
        <f>"101057377084"</f>
        <v>101057377084</v>
      </c>
      <c r="L3287" t="str">
        <f t="shared" ref="L3287:M3306" si="1357">"04-08-2020"</f>
        <v>04-08-2020</v>
      </c>
      <c r="M3287" t="str">
        <f t="shared" si="1357"/>
        <v>04-08-2020</v>
      </c>
      <c r="N3287" t="str">
        <f t="shared" si="1343"/>
        <v>001105018356</v>
      </c>
      <c r="O3287" t="str">
        <f t="shared" si="1344"/>
        <v>MYR</v>
      </c>
      <c r="P3287" t="str">
        <f t="shared" ref="P3287:Q3306" si="1358">"NIL"</f>
        <v>NIL</v>
      </c>
      <c r="Q3287" t="str">
        <f t="shared" si="1358"/>
        <v>NIL</v>
      </c>
      <c r="R3287" t="str">
        <f t="shared" si="1345"/>
        <v>Accepted</v>
      </c>
      <c r="S3287" t="str">
        <f t="shared" si="1346"/>
        <v>Approved</v>
      </c>
      <c r="T3287" t="str">
        <f t="shared" si="1347"/>
        <v>10.20.8.188</v>
      </c>
      <c r="U3287" t="str">
        <f t="shared" si="1348"/>
        <v>AZRAD UMAR BIN SHAARI</v>
      </c>
      <c r="V3287" t="str">
        <f t="shared" si="1349"/>
        <v>FARHANA BINTI MUSTAPA</v>
      </c>
      <c r="W3287" t="str">
        <f t="shared" si="1350"/>
        <v>04-08-2020</v>
      </c>
      <c r="X3287" t="str">
        <f t="shared" si="1351"/>
        <v>RAZIMAH ANSAR AHMAD</v>
      </c>
      <c r="Y3287" t="str">
        <f t="shared" si="1352"/>
        <v>04-08-2020</v>
      </c>
      <c r="Z3287" t="str">
        <f>"COS10200804 5867"</f>
        <v>COS10200804 5867</v>
      </c>
    </row>
    <row r="3288" spans="1:26" x14ac:dyDescent="0.25">
      <c r="A3288" t="str">
        <f t="shared" si="1355"/>
        <v>04-08-2020 12:58:13</v>
      </c>
      <c r="B3288" t="str">
        <f>"0000807656"</f>
        <v>0000807656</v>
      </c>
      <c r="C3288" t="str">
        <f t="shared" si="1356"/>
        <v>0000807590</v>
      </c>
      <c r="D3288" t="str">
        <f t="shared" si="1340"/>
        <v>73185</v>
      </c>
      <c r="E3288" t="str">
        <f t="shared" si="1341"/>
        <v>KFH-OPERATIONS DEPARTMENT</v>
      </c>
      <c r="F3288" t="str">
        <f t="shared" si="1342"/>
        <v>IBG</v>
      </c>
      <c r="G3288" t="str">
        <f t="shared" si="1353"/>
        <v>Refund COSHARE 10</v>
      </c>
      <c r="H3288" s="2">
        <v>419.75</v>
      </c>
      <c r="I3288" t="str">
        <f>"MOHD SALLEH BIN ESA"</f>
        <v>MOHD SALLEH BIN ESA</v>
      </c>
      <c r="J3288" t="str">
        <f t="shared" si="1354"/>
        <v>MAYBANK / MAYBANK ISLAMIC</v>
      </c>
      <c r="K3288" t="str">
        <f>"151061188986"</f>
        <v>151061188986</v>
      </c>
      <c r="L3288" t="str">
        <f t="shared" si="1357"/>
        <v>04-08-2020</v>
      </c>
      <c r="M3288" t="str">
        <f t="shared" si="1357"/>
        <v>04-08-2020</v>
      </c>
      <c r="N3288" t="str">
        <f t="shared" si="1343"/>
        <v>001105018356</v>
      </c>
      <c r="O3288" t="str">
        <f t="shared" si="1344"/>
        <v>MYR</v>
      </c>
      <c r="P3288" t="str">
        <f t="shared" si="1358"/>
        <v>NIL</v>
      </c>
      <c r="Q3288" t="str">
        <f t="shared" si="1358"/>
        <v>NIL</v>
      </c>
      <c r="R3288" t="str">
        <f t="shared" si="1345"/>
        <v>Accepted</v>
      </c>
      <c r="S3288" t="str">
        <f t="shared" si="1346"/>
        <v>Approved</v>
      </c>
      <c r="T3288" t="str">
        <f t="shared" si="1347"/>
        <v>10.20.8.188</v>
      </c>
      <c r="U3288" t="str">
        <f t="shared" si="1348"/>
        <v>AZRAD UMAR BIN SHAARI</v>
      </c>
      <c r="V3288" t="str">
        <f t="shared" si="1349"/>
        <v>FARHANA BINTI MUSTAPA</v>
      </c>
      <c r="W3288" t="str">
        <f t="shared" si="1350"/>
        <v>04-08-2020</v>
      </c>
      <c r="X3288" t="str">
        <f t="shared" si="1351"/>
        <v>RAZIMAH ANSAR AHMAD</v>
      </c>
      <c r="Y3288" t="str">
        <f t="shared" si="1352"/>
        <v>04-08-2020</v>
      </c>
      <c r="Z3288" t="str">
        <f>"COS10200804 5866"</f>
        <v>COS10200804 5866</v>
      </c>
    </row>
    <row r="3289" spans="1:26" x14ac:dyDescent="0.25">
      <c r="A3289" t="str">
        <f t="shared" si="1355"/>
        <v>04-08-2020 12:58:13</v>
      </c>
      <c r="B3289" t="str">
        <f>"0000807655"</f>
        <v>0000807655</v>
      </c>
      <c r="C3289" t="str">
        <f t="shared" si="1356"/>
        <v>0000807590</v>
      </c>
      <c r="D3289" t="str">
        <f t="shared" si="1340"/>
        <v>73185</v>
      </c>
      <c r="E3289" t="str">
        <f t="shared" si="1341"/>
        <v>KFH-OPERATIONS DEPARTMENT</v>
      </c>
      <c r="F3289" t="str">
        <f t="shared" si="1342"/>
        <v>IBG</v>
      </c>
      <c r="G3289" t="str">
        <f t="shared" si="1353"/>
        <v>Refund COSHARE 10</v>
      </c>
      <c r="H3289" s="2">
        <v>473.3</v>
      </c>
      <c r="I3289" t="str">
        <f>"MOHD SAINUDIN BIN DAUD"</f>
        <v>MOHD SAINUDIN BIN DAUD</v>
      </c>
      <c r="J3289" t="str">
        <f t="shared" si="1354"/>
        <v>MAYBANK / MAYBANK ISLAMIC</v>
      </c>
      <c r="K3289" t="str">
        <f>"153010203842"</f>
        <v>153010203842</v>
      </c>
      <c r="L3289" t="str">
        <f t="shared" si="1357"/>
        <v>04-08-2020</v>
      </c>
      <c r="M3289" t="str">
        <f t="shared" si="1357"/>
        <v>04-08-2020</v>
      </c>
      <c r="N3289" t="str">
        <f t="shared" si="1343"/>
        <v>001105018356</v>
      </c>
      <c r="O3289" t="str">
        <f t="shared" si="1344"/>
        <v>MYR</v>
      </c>
      <c r="P3289" t="str">
        <f t="shared" si="1358"/>
        <v>NIL</v>
      </c>
      <c r="Q3289" t="str">
        <f t="shared" si="1358"/>
        <v>NIL</v>
      </c>
      <c r="R3289" t="str">
        <f t="shared" si="1345"/>
        <v>Accepted</v>
      </c>
      <c r="S3289" t="str">
        <f t="shared" si="1346"/>
        <v>Approved</v>
      </c>
      <c r="T3289" t="str">
        <f t="shared" si="1347"/>
        <v>10.20.8.188</v>
      </c>
      <c r="U3289" t="str">
        <f t="shared" si="1348"/>
        <v>AZRAD UMAR BIN SHAARI</v>
      </c>
      <c r="V3289" t="str">
        <f t="shared" si="1349"/>
        <v>FARHANA BINTI MUSTAPA</v>
      </c>
      <c r="W3289" t="str">
        <f t="shared" si="1350"/>
        <v>04-08-2020</v>
      </c>
      <c r="X3289" t="str">
        <f t="shared" si="1351"/>
        <v>RAZIMAH ANSAR AHMAD</v>
      </c>
      <c r="Y3289" t="str">
        <f t="shared" si="1352"/>
        <v>04-08-2020</v>
      </c>
      <c r="Z3289" t="str">
        <f>"COS10200804 5865"</f>
        <v>COS10200804 5865</v>
      </c>
    </row>
    <row r="3290" spans="1:26" x14ac:dyDescent="0.25">
      <c r="A3290" t="str">
        <f t="shared" si="1355"/>
        <v>04-08-2020 12:58:13</v>
      </c>
      <c r="B3290" t="str">
        <f>"0000807654"</f>
        <v>0000807654</v>
      </c>
      <c r="C3290" t="str">
        <f t="shared" si="1356"/>
        <v>0000807590</v>
      </c>
      <c r="D3290" t="str">
        <f t="shared" si="1340"/>
        <v>73185</v>
      </c>
      <c r="E3290" t="str">
        <f t="shared" si="1341"/>
        <v>KFH-OPERATIONS DEPARTMENT</v>
      </c>
      <c r="F3290" t="str">
        <f t="shared" si="1342"/>
        <v>IBG</v>
      </c>
      <c r="G3290" t="str">
        <f t="shared" si="1353"/>
        <v>Refund COSHARE 10</v>
      </c>
      <c r="H3290" s="2">
        <v>680</v>
      </c>
      <c r="I3290" t="str">
        <f>"MOHD SAIFULDIN BIN A RANI"</f>
        <v>MOHD SAIFULDIN BIN A RANI</v>
      </c>
      <c r="J3290" t="str">
        <f t="shared" si="1354"/>
        <v>MAYBANK / MAYBANK ISLAMIC</v>
      </c>
      <c r="K3290" t="str">
        <f>"156132542877"</f>
        <v>156132542877</v>
      </c>
      <c r="L3290" t="str">
        <f t="shared" si="1357"/>
        <v>04-08-2020</v>
      </c>
      <c r="M3290" t="str">
        <f t="shared" si="1357"/>
        <v>04-08-2020</v>
      </c>
      <c r="N3290" t="str">
        <f t="shared" si="1343"/>
        <v>001105018356</v>
      </c>
      <c r="O3290" t="str">
        <f t="shared" si="1344"/>
        <v>MYR</v>
      </c>
      <c r="P3290" t="str">
        <f t="shared" si="1358"/>
        <v>NIL</v>
      </c>
      <c r="Q3290" t="str">
        <f t="shared" si="1358"/>
        <v>NIL</v>
      </c>
      <c r="R3290" t="str">
        <f t="shared" si="1345"/>
        <v>Accepted</v>
      </c>
      <c r="S3290" t="str">
        <f t="shared" si="1346"/>
        <v>Approved</v>
      </c>
      <c r="T3290" t="str">
        <f t="shared" si="1347"/>
        <v>10.20.8.188</v>
      </c>
      <c r="U3290" t="str">
        <f t="shared" si="1348"/>
        <v>AZRAD UMAR BIN SHAARI</v>
      </c>
      <c r="V3290" t="str">
        <f t="shared" si="1349"/>
        <v>FARHANA BINTI MUSTAPA</v>
      </c>
      <c r="W3290" t="str">
        <f t="shared" si="1350"/>
        <v>04-08-2020</v>
      </c>
      <c r="X3290" t="str">
        <f t="shared" si="1351"/>
        <v>RAZIMAH ANSAR AHMAD</v>
      </c>
      <c r="Y3290" t="str">
        <f t="shared" si="1352"/>
        <v>04-08-2020</v>
      </c>
      <c r="Z3290" t="str">
        <f>"COS10200804 5864"</f>
        <v>COS10200804 5864</v>
      </c>
    </row>
    <row r="3291" spans="1:26" x14ac:dyDescent="0.25">
      <c r="A3291" t="str">
        <f t="shared" si="1355"/>
        <v>04-08-2020 12:58:13</v>
      </c>
      <c r="B3291" t="str">
        <f>"0000807653"</f>
        <v>0000807653</v>
      </c>
      <c r="C3291" t="str">
        <f t="shared" si="1356"/>
        <v>0000807590</v>
      </c>
      <c r="D3291" t="str">
        <f t="shared" si="1340"/>
        <v>73185</v>
      </c>
      <c r="E3291" t="str">
        <f t="shared" si="1341"/>
        <v>KFH-OPERATIONS DEPARTMENT</v>
      </c>
      <c r="F3291" t="str">
        <f t="shared" si="1342"/>
        <v>IBG</v>
      </c>
      <c r="G3291" t="str">
        <f t="shared" si="1353"/>
        <v>Refund COSHARE 10</v>
      </c>
      <c r="H3291" s="2">
        <v>680</v>
      </c>
      <c r="I3291" t="str">
        <f>"MOHD SAIFULDIN BIN A RANI"</f>
        <v>MOHD SAIFULDIN BIN A RANI</v>
      </c>
      <c r="J3291" t="str">
        <f t="shared" si="1354"/>
        <v>MAYBANK / MAYBANK ISLAMIC</v>
      </c>
      <c r="K3291" t="str">
        <f>"156132542877"</f>
        <v>156132542877</v>
      </c>
      <c r="L3291" t="str">
        <f t="shared" si="1357"/>
        <v>04-08-2020</v>
      </c>
      <c r="M3291" t="str">
        <f t="shared" si="1357"/>
        <v>04-08-2020</v>
      </c>
      <c r="N3291" t="str">
        <f t="shared" si="1343"/>
        <v>001105018356</v>
      </c>
      <c r="O3291" t="str">
        <f t="shared" si="1344"/>
        <v>MYR</v>
      </c>
      <c r="P3291" t="str">
        <f t="shared" si="1358"/>
        <v>NIL</v>
      </c>
      <c r="Q3291" t="str">
        <f t="shared" si="1358"/>
        <v>NIL</v>
      </c>
      <c r="R3291" t="str">
        <f t="shared" si="1345"/>
        <v>Accepted</v>
      </c>
      <c r="S3291" t="str">
        <f t="shared" si="1346"/>
        <v>Approved</v>
      </c>
      <c r="T3291" t="str">
        <f t="shared" si="1347"/>
        <v>10.20.8.188</v>
      </c>
      <c r="U3291" t="str">
        <f t="shared" si="1348"/>
        <v>AZRAD UMAR BIN SHAARI</v>
      </c>
      <c r="V3291" t="str">
        <f t="shared" si="1349"/>
        <v>FARHANA BINTI MUSTAPA</v>
      </c>
      <c r="W3291" t="str">
        <f t="shared" si="1350"/>
        <v>04-08-2020</v>
      </c>
      <c r="X3291" t="str">
        <f t="shared" si="1351"/>
        <v>RAZIMAH ANSAR AHMAD</v>
      </c>
      <c r="Y3291" t="str">
        <f t="shared" si="1352"/>
        <v>04-08-2020</v>
      </c>
      <c r="Z3291" t="str">
        <f>"COS10200804 5863"</f>
        <v>COS10200804 5863</v>
      </c>
    </row>
    <row r="3292" spans="1:26" x14ac:dyDescent="0.25">
      <c r="A3292" t="str">
        <f t="shared" si="1355"/>
        <v>04-08-2020 12:58:13</v>
      </c>
      <c r="B3292" t="str">
        <f>"0000807652"</f>
        <v>0000807652</v>
      </c>
      <c r="C3292" t="str">
        <f t="shared" si="1356"/>
        <v>0000807590</v>
      </c>
      <c r="D3292" t="str">
        <f t="shared" si="1340"/>
        <v>73185</v>
      </c>
      <c r="E3292" t="str">
        <f t="shared" si="1341"/>
        <v>KFH-OPERATIONS DEPARTMENT</v>
      </c>
      <c r="F3292" t="str">
        <f t="shared" si="1342"/>
        <v>IBG</v>
      </c>
      <c r="G3292" t="str">
        <f t="shared" si="1353"/>
        <v>Refund COSHARE 10</v>
      </c>
      <c r="H3292" s="2">
        <v>83.95</v>
      </c>
      <c r="I3292" t="str">
        <f>"MOHD SAIFUL BIN ROSLI"</f>
        <v>MOHD SAIFUL BIN ROSLI</v>
      </c>
      <c r="J3292" t="str">
        <f t="shared" si="1354"/>
        <v>MAYBANK / MAYBANK ISLAMIC</v>
      </c>
      <c r="K3292" t="str">
        <f>"162553008646"</f>
        <v>162553008646</v>
      </c>
      <c r="L3292" t="str">
        <f t="shared" si="1357"/>
        <v>04-08-2020</v>
      </c>
      <c r="M3292" t="str">
        <f t="shared" si="1357"/>
        <v>04-08-2020</v>
      </c>
      <c r="N3292" t="str">
        <f t="shared" si="1343"/>
        <v>001105018356</v>
      </c>
      <c r="O3292" t="str">
        <f t="shared" si="1344"/>
        <v>MYR</v>
      </c>
      <c r="P3292" t="str">
        <f t="shared" si="1358"/>
        <v>NIL</v>
      </c>
      <c r="Q3292" t="str">
        <f t="shared" si="1358"/>
        <v>NIL</v>
      </c>
      <c r="R3292" t="str">
        <f t="shared" si="1345"/>
        <v>Accepted</v>
      </c>
      <c r="S3292" t="str">
        <f t="shared" si="1346"/>
        <v>Approved</v>
      </c>
      <c r="T3292" t="str">
        <f t="shared" si="1347"/>
        <v>10.20.8.188</v>
      </c>
      <c r="U3292" t="str">
        <f t="shared" si="1348"/>
        <v>AZRAD UMAR BIN SHAARI</v>
      </c>
      <c r="V3292" t="str">
        <f t="shared" si="1349"/>
        <v>FARHANA BINTI MUSTAPA</v>
      </c>
      <c r="W3292" t="str">
        <f t="shared" si="1350"/>
        <v>04-08-2020</v>
      </c>
      <c r="X3292" t="str">
        <f t="shared" si="1351"/>
        <v>RAZIMAH ANSAR AHMAD</v>
      </c>
      <c r="Y3292" t="str">
        <f t="shared" si="1352"/>
        <v>04-08-2020</v>
      </c>
      <c r="Z3292" t="str">
        <f>"COS10200804 5862"</f>
        <v>COS10200804 5862</v>
      </c>
    </row>
    <row r="3293" spans="1:26" x14ac:dyDescent="0.25">
      <c r="A3293" t="str">
        <f t="shared" si="1355"/>
        <v>04-08-2020 12:58:13</v>
      </c>
      <c r="B3293" t="str">
        <f>"0000807651"</f>
        <v>0000807651</v>
      </c>
      <c r="C3293" t="str">
        <f t="shared" si="1356"/>
        <v>0000807590</v>
      </c>
      <c r="D3293" t="str">
        <f t="shared" si="1340"/>
        <v>73185</v>
      </c>
      <c r="E3293" t="str">
        <f t="shared" si="1341"/>
        <v>KFH-OPERATIONS DEPARTMENT</v>
      </c>
      <c r="F3293" t="str">
        <f t="shared" si="1342"/>
        <v>IBG</v>
      </c>
      <c r="G3293" t="str">
        <f t="shared" si="1353"/>
        <v>Refund COSHARE 10</v>
      </c>
      <c r="H3293" s="2">
        <v>612.85</v>
      </c>
      <c r="I3293" t="str">
        <f>"MOHD SAIFUL BIN MOHD NOOR"</f>
        <v>MOHD SAIFUL BIN MOHD NOOR</v>
      </c>
      <c r="J3293" t="str">
        <f t="shared" si="1354"/>
        <v>MAYBANK / MAYBANK ISLAMIC</v>
      </c>
      <c r="K3293" t="str">
        <f>"107135174661"</f>
        <v>107135174661</v>
      </c>
      <c r="L3293" t="str">
        <f t="shared" si="1357"/>
        <v>04-08-2020</v>
      </c>
      <c r="M3293" t="str">
        <f t="shared" si="1357"/>
        <v>04-08-2020</v>
      </c>
      <c r="N3293" t="str">
        <f t="shared" si="1343"/>
        <v>001105018356</v>
      </c>
      <c r="O3293" t="str">
        <f t="shared" si="1344"/>
        <v>MYR</v>
      </c>
      <c r="P3293" t="str">
        <f t="shared" si="1358"/>
        <v>NIL</v>
      </c>
      <c r="Q3293" t="str">
        <f t="shared" si="1358"/>
        <v>NIL</v>
      </c>
      <c r="R3293" t="str">
        <f t="shared" si="1345"/>
        <v>Accepted</v>
      </c>
      <c r="S3293" t="str">
        <f t="shared" si="1346"/>
        <v>Approved</v>
      </c>
      <c r="T3293" t="str">
        <f t="shared" si="1347"/>
        <v>10.20.8.188</v>
      </c>
      <c r="U3293" t="str">
        <f t="shared" si="1348"/>
        <v>AZRAD UMAR BIN SHAARI</v>
      </c>
      <c r="V3293" t="str">
        <f t="shared" si="1349"/>
        <v>FARHANA BINTI MUSTAPA</v>
      </c>
      <c r="W3293" t="str">
        <f t="shared" si="1350"/>
        <v>04-08-2020</v>
      </c>
      <c r="X3293" t="str">
        <f t="shared" si="1351"/>
        <v>RAZIMAH ANSAR AHMAD</v>
      </c>
      <c r="Y3293" t="str">
        <f t="shared" si="1352"/>
        <v>04-08-2020</v>
      </c>
      <c r="Z3293" t="str">
        <f>"COS10200804 5861"</f>
        <v>COS10200804 5861</v>
      </c>
    </row>
    <row r="3294" spans="1:26" x14ac:dyDescent="0.25">
      <c r="A3294" t="str">
        <f t="shared" si="1355"/>
        <v>04-08-2020 12:58:13</v>
      </c>
      <c r="B3294" t="str">
        <f>"0000807650"</f>
        <v>0000807650</v>
      </c>
      <c r="C3294" t="str">
        <f t="shared" si="1356"/>
        <v>0000807590</v>
      </c>
      <c r="D3294" t="str">
        <f t="shared" si="1340"/>
        <v>73185</v>
      </c>
      <c r="E3294" t="str">
        <f t="shared" si="1341"/>
        <v>KFH-OPERATIONS DEPARTMENT</v>
      </c>
      <c r="F3294" t="str">
        <f t="shared" si="1342"/>
        <v>IBG</v>
      </c>
      <c r="G3294" t="str">
        <f t="shared" si="1353"/>
        <v>Refund COSHARE 10</v>
      </c>
      <c r="H3294" s="2">
        <v>839.5</v>
      </c>
      <c r="I3294" t="str">
        <f>"MOHD SAIFUL BAHARI BIN MOHD DAUD"</f>
        <v>MOHD SAIFUL BAHARI BIN MOHD DAUD</v>
      </c>
      <c r="J3294" t="str">
        <f t="shared" si="1354"/>
        <v>MAYBANK / MAYBANK ISLAMIC</v>
      </c>
      <c r="K3294" t="str">
        <f>"101049363679"</f>
        <v>101049363679</v>
      </c>
      <c r="L3294" t="str">
        <f t="shared" si="1357"/>
        <v>04-08-2020</v>
      </c>
      <c r="M3294" t="str">
        <f t="shared" si="1357"/>
        <v>04-08-2020</v>
      </c>
      <c r="N3294" t="str">
        <f t="shared" si="1343"/>
        <v>001105018356</v>
      </c>
      <c r="O3294" t="str">
        <f t="shared" si="1344"/>
        <v>MYR</v>
      </c>
      <c r="P3294" t="str">
        <f t="shared" si="1358"/>
        <v>NIL</v>
      </c>
      <c r="Q3294" t="str">
        <f t="shared" si="1358"/>
        <v>NIL</v>
      </c>
      <c r="R3294" t="str">
        <f t="shared" si="1345"/>
        <v>Accepted</v>
      </c>
      <c r="S3294" t="str">
        <f t="shared" si="1346"/>
        <v>Approved</v>
      </c>
      <c r="T3294" t="str">
        <f t="shared" si="1347"/>
        <v>10.20.8.188</v>
      </c>
      <c r="U3294" t="str">
        <f t="shared" si="1348"/>
        <v>AZRAD UMAR BIN SHAARI</v>
      </c>
      <c r="V3294" t="str">
        <f t="shared" si="1349"/>
        <v>FARHANA BINTI MUSTAPA</v>
      </c>
      <c r="W3294" t="str">
        <f t="shared" si="1350"/>
        <v>04-08-2020</v>
      </c>
      <c r="X3294" t="str">
        <f t="shared" si="1351"/>
        <v>RAZIMAH ANSAR AHMAD</v>
      </c>
      <c r="Y3294" t="str">
        <f t="shared" si="1352"/>
        <v>04-08-2020</v>
      </c>
      <c r="Z3294" t="str">
        <f>"COS10200804 5860"</f>
        <v>COS10200804 5860</v>
      </c>
    </row>
    <row r="3295" spans="1:26" x14ac:dyDescent="0.25">
      <c r="A3295" t="str">
        <f t="shared" si="1355"/>
        <v>04-08-2020 12:58:13</v>
      </c>
      <c r="B3295" t="str">
        <f>"0000807649"</f>
        <v>0000807649</v>
      </c>
      <c r="C3295" t="str">
        <f t="shared" si="1356"/>
        <v>0000807590</v>
      </c>
      <c r="D3295" t="str">
        <f t="shared" si="1340"/>
        <v>73185</v>
      </c>
      <c r="E3295" t="str">
        <f t="shared" si="1341"/>
        <v>KFH-OPERATIONS DEPARTMENT</v>
      </c>
      <c r="F3295" t="str">
        <f t="shared" si="1342"/>
        <v>IBG</v>
      </c>
      <c r="G3295" t="str">
        <f t="shared" si="1353"/>
        <v>Refund COSHARE 10</v>
      </c>
      <c r="H3295" s="2">
        <v>501.7</v>
      </c>
      <c r="I3295" t="str">
        <f>"MOHD SAIDI BIN SALLEH"</f>
        <v>MOHD SAIDI BIN SALLEH</v>
      </c>
      <c r="J3295" t="str">
        <f t="shared" si="1354"/>
        <v>MAYBANK / MAYBANK ISLAMIC</v>
      </c>
      <c r="K3295" t="str">
        <f>"108168204258"</f>
        <v>108168204258</v>
      </c>
      <c r="L3295" t="str">
        <f t="shared" si="1357"/>
        <v>04-08-2020</v>
      </c>
      <c r="M3295" t="str">
        <f t="shared" si="1357"/>
        <v>04-08-2020</v>
      </c>
      <c r="N3295" t="str">
        <f t="shared" si="1343"/>
        <v>001105018356</v>
      </c>
      <c r="O3295" t="str">
        <f t="shared" si="1344"/>
        <v>MYR</v>
      </c>
      <c r="P3295" t="str">
        <f t="shared" si="1358"/>
        <v>NIL</v>
      </c>
      <c r="Q3295" t="str">
        <f t="shared" si="1358"/>
        <v>NIL</v>
      </c>
      <c r="R3295" t="str">
        <f t="shared" si="1345"/>
        <v>Accepted</v>
      </c>
      <c r="S3295" t="str">
        <f t="shared" si="1346"/>
        <v>Approved</v>
      </c>
      <c r="T3295" t="str">
        <f t="shared" si="1347"/>
        <v>10.20.8.188</v>
      </c>
      <c r="U3295" t="str">
        <f t="shared" si="1348"/>
        <v>AZRAD UMAR BIN SHAARI</v>
      </c>
      <c r="V3295" t="str">
        <f t="shared" si="1349"/>
        <v>FARHANA BINTI MUSTAPA</v>
      </c>
      <c r="W3295" t="str">
        <f t="shared" si="1350"/>
        <v>04-08-2020</v>
      </c>
      <c r="X3295" t="str">
        <f t="shared" si="1351"/>
        <v>RAZIMAH ANSAR AHMAD</v>
      </c>
      <c r="Y3295" t="str">
        <f t="shared" si="1352"/>
        <v>04-08-2020</v>
      </c>
      <c r="Z3295" t="str">
        <f>"COS10200804 5859"</f>
        <v>COS10200804 5859</v>
      </c>
    </row>
    <row r="3296" spans="1:26" x14ac:dyDescent="0.25">
      <c r="A3296" t="str">
        <f t="shared" si="1355"/>
        <v>04-08-2020 12:58:13</v>
      </c>
      <c r="B3296" t="str">
        <f>"0000807648"</f>
        <v>0000807648</v>
      </c>
      <c r="C3296" t="str">
        <f t="shared" si="1356"/>
        <v>0000807590</v>
      </c>
      <c r="D3296" t="str">
        <f t="shared" si="1340"/>
        <v>73185</v>
      </c>
      <c r="E3296" t="str">
        <f t="shared" si="1341"/>
        <v>KFH-OPERATIONS DEPARTMENT</v>
      </c>
      <c r="F3296" t="str">
        <f t="shared" si="1342"/>
        <v>IBG</v>
      </c>
      <c r="G3296" t="str">
        <f t="shared" si="1353"/>
        <v>Refund COSHARE 10</v>
      </c>
      <c r="H3296" s="2">
        <v>1081</v>
      </c>
      <c r="I3296" t="str">
        <f>"MOHD SAIDI BIN LATIF"</f>
        <v>MOHD SAIDI BIN LATIF</v>
      </c>
      <c r="J3296" t="str">
        <f t="shared" si="1354"/>
        <v>MAYBANK / MAYBANK ISLAMIC</v>
      </c>
      <c r="K3296" t="str">
        <f>"112110393471"</f>
        <v>112110393471</v>
      </c>
      <c r="L3296" t="str">
        <f t="shared" si="1357"/>
        <v>04-08-2020</v>
      </c>
      <c r="M3296" t="str">
        <f t="shared" si="1357"/>
        <v>04-08-2020</v>
      </c>
      <c r="N3296" t="str">
        <f t="shared" si="1343"/>
        <v>001105018356</v>
      </c>
      <c r="O3296" t="str">
        <f t="shared" si="1344"/>
        <v>MYR</v>
      </c>
      <c r="P3296" t="str">
        <f t="shared" si="1358"/>
        <v>NIL</v>
      </c>
      <c r="Q3296" t="str">
        <f t="shared" si="1358"/>
        <v>NIL</v>
      </c>
      <c r="R3296" t="str">
        <f t="shared" si="1345"/>
        <v>Accepted</v>
      </c>
      <c r="S3296" t="str">
        <f t="shared" si="1346"/>
        <v>Approved</v>
      </c>
      <c r="T3296" t="str">
        <f t="shared" si="1347"/>
        <v>10.20.8.188</v>
      </c>
      <c r="U3296" t="str">
        <f t="shared" si="1348"/>
        <v>AZRAD UMAR BIN SHAARI</v>
      </c>
      <c r="V3296" t="str">
        <f t="shared" si="1349"/>
        <v>FARHANA BINTI MUSTAPA</v>
      </c>
      <c r="W3296" t="str">
        <f t="shared" si="1350"/>
        <v>04-08-2020</v>
      </c>
      <c r="X3296" t="str">
        <f t="shared" si="1351"/>
        <v>RAZIMAH ANSAR AHMAD</v>
      </c>
      <c r="Y3296" t="str">
        <f t="shared" si="1352"/>
        <v>04-08-2020</v>
      </c>
      <c r="Z3296" t="str">
        <f>"COS10200804 5858"</f>
        <v>COS10200804 5858</v>
      </c>
    </row>
    <row r="3297" spans="1:26" x14ac:dyDescent="0.25">
      <c r="A3297" t="str">
        <f t="shared" si="1355"/>
        <v>04-08-2020 12:58:13</v>
      </c>
      <c r="B3297" t="str">
        <f>"0000807647"</f>
        <v>0000807647</v>
      </c>
      <c r="C3297" t="str">
        <f t="shared" si="1356"/>
        <v>0000807590</v>
      </c>
      <c r="D3297" t="str">
        <f t="shared" si="1340"/>
        <v>73185</v>
      </c>
      <c r="E3297" t="str">
        <f t="shared" si="1341"/>
        <v>KFH-OPERATIONS DEPARTMENT</v>
      </c>
      <c r="F3297" t="str">
        <f t="shared" si="1342"/>
        <v>IBG</v>
      </c>
      <c r="G3297" t="str">
        <f t="shared" si="1353"/>
        <v>Refund COSHARE 10</v>
      </c>
      <c r="H3297" s="2">
        <v>428.25</v>
      </c>
      <c r="I3297" t="str">
        <f>"MOHD SAID BIN JULPIN"</f>
        <v>MOHD SAID BIN JULPIN</v>
      </c>
      <c r="J3297" t="str">
        <f t="shared" si="1354"/>
        <v>MAYBANK / MAYBANK ISLAMIC</v>
      </c>
      <c r="K3297" t="str">
        <f>"114160732172"</f>
        <v>114160732172</v>
      </c>
      <c r="L3297" t="str">
        <f t="shared" si="1357"/>
        <v>04-08-2020</v>
      </c>
      <c r="M3297" t="str">
        <f t="shared" si="1357"/>
        <v>04-08-2020</v>
      </c>
      <c r="N3297" t="str">
        <f t="shared" si="1343"/>
        <v>001105018356</v>
      </c>
      <c r="O3297" t="str">
        <f t="shared" si="1344"/>
        <v>MYR</v>
      </c>
      <c r="P3297" t="str">
        <f t="shared" si="1358"/>
        <v>NIL</v>
      </c>
      <c r="Q3297" t="str">
        <f t="shared" si="1358"/>
        <v>NIL</v>
      </c>
      <c r="R3297" t="str">
        <f t="shared" si="1345"/>
        <v>Accepted</v>
      </c>
      <c r="S3297" t="str">
        <f t="shared" si="1346"/>
        <v>Approved</v>
      </c>
      <c r="T3297" t="str">
        <f t="shared" si="1347"/>
        <v>10.20.8.188</v>
      </c>
      <c r="U3297" t="str">
        <f t="shared" si="1348"/>
        <v>AZRAD UMAR BIN SHAARI</v>
      </c>
      <c r="V3297" t="str">
        <f t="shared" si="1349"/>
        <v>FARHANA BINTI MUSTAPA</v>
      </c>
      <c r="W3297" t="str">
        <f t="shared" si="1350"/>
        <v>04-08-2020</v>
      </c>
      <c r="X3297" t="str">
        <f t="shared" si="1351"/>
        <v>RAZIMAH ANSAR AHMAD</v>
      </c>
      <c r="Y3297" t="str">
        <f t="shared" si="1352"/>
        <v>04-08-2020</v>
      </c>
      <c r="Z3297" t="str">
        <f>"COS10200804 5857"</f>
        <v>COS10200804 5857</v>
      </c>
    </row>
    <row r="3298" spans="1:26" x14ac:dyDescent="0.25">
      <c r="A3298" t="str">
        <f t="shared" si="1355"/>
        <v>04-08-2020 12:58:13</v>
      </c>
      <c r="B3298" t="str">
        <f>"0000807646"</f>
        <v>0000807646</v>
      </c>
      <c r="C3298" t="str">
        <f t="shared" si="1356"/>
        <v>0000807590</v>
      </c>
      <c r="D3298" t="str">
        <f t="shared" si="1340"/>
        <v>73185</v>
      </c>
      <c r="E3298" t="str">
        <f t="shared" si="1341"/>
        <v>KFH-OPERATIONS DEPARTMENT</v>
      </c>
      <c r="F3298" t="str">
        <f t="shared" si="1342"/>
        <v>IBG</v>
      </c>
      <c r="G3298" t="str">
        <f t="shared" si="1353"/>
        <v>Refund COSHARE 10</v>
      </c>
      <c r="H3298" s="2">
        <v>503.7</v>
      </c>
      <c r="I3298" t="str">
        <f>"MOHD SAHRI BIN KARDY"</f>
        <v>MOHD SAHRI BIN KARDY</v>
      </c>
      <c r="J3298" t="str">
        <f t="shared" si="1354"/>
        <v>MAYBANK / MAYBANK ISLAMIC</v>
      </c>
      <c r="K3298" t="str">
        <f>"151306649336"</f>
        <v>151306649336</v>
      </c>
      <c r="L3298" t="str">
        <f t="shared" si="1357"/>
        <v>04-08-2020</v>
      </c>
      <c r="M3298" t="str">
        <f t="shared" si="1357"/>
        <v>04-08-2020</v>
      </c>
      <c r="N3298" t="str">
        <f t="shared" si="1343"/>
        <v>001105018356</v>
      </c>
      <c r="O3298" t="str">
        <f t="shared" si="1344"/>
        <v>MYR</v>
      </c>
      <c r="P3298" t="str">
        <f t="shared" si="1358"/>
        <v>NIL</v>
      </c>
      <c r="Q3298" t="str">
        <f t="shared" si="1358"/>
        <v>NIL</v>
      </c>
      <c r="R3298" t="str">
        <f t="shared" si="1345"/>
        <v>Accepted</v>
      </c>
      <c r="S3298" t="str">
        <f t="shared" si="1346"/>
        <v>Approved</v>
      </c>
      <c r="T3298" t="str">
        <f t="shared" si="1347"/>
        <v>10.20.8.188</v>
      </c>
      <c r="U3298" t="str">
        <f t="shared" si="1348"/>
        <v>AZRAD UMAR BIN SHAARI</v>
      </c>
      <c r="V3298" t="str">
        <f t="shared" si="1349"/>
        <v>FARHANA BINTI MUSTAPA</v>
      </c>
      <c r="W3298" t="str">
        <f t="shared" si="1350"/>
        <v>04-08-2020</v>
      </c>
      <c r="X3298" t="str">
        <f t="shared" si="1351"/>
        <v>RAZIMAH ANSAR AHMAD</v>
      </c>
      <c r="Y3298" t="str">
        <f t="shared" si="1352"/>
        <v>04-08-2020</v>
      </c>
      <c r="Z3298" t="str">
        <f>"COS10200804 5856"</f>
        <v>COS10200804 5856</v>
      </c>
    </row>
    <row r="3299" spans="1:26" x14ac:dyDescent="0.25">
      <c r="A3299" t="str">
        <f t="shared" si="1355"/>
        <v>04-08-2020 12:58:13</v>
      </c>
      <c r="B3299" t="str">
        <f>"0000807645"</f>
        <v>0000807645</v>
      </c>
      <c r="C3299" t="str">
        <f t="shared" si="1356"/>
        <v>0000807590</v>
      </c>
      <c r="D3299" t="str">
        <f t="shared" si="1340"/>
        <v>73185</v>
      </c>
      <c r="E3299" t="str">
        <f t="shared" si="1341"/>
        <v>KFH-OPERATIONS DEPARTMENT</v>
      </c>
      <c r="F3299" t="str">
        <f t="shared" si="1342"/>
        <v>IBG</v>
      </c>
      <c r="G3299" t="str">
        <f t="shared" si="1353"/>
        <v>Refund COSHARE 10</v>
      </c>
      <c r="H3299" s="2">
        <v>1043.05</v>
      </c>
      <c r="I3299" t="str">
        <f>"MOHD SAHRAN  AWANG BIN MOHIDIN"</f>
        <v>MOHD SAHRAN  AWANG BIN MOHIDIN</v>
      </c>
      <c r="J3299" t="str">
        <f t="shared" si="1354"/>
        <v>MAYBANK / MAYBANK ISLAMIC</v>
      </c>
      <c r="K3299" t="str">
        <f>"162143133930"</f>
        <v>162143133930</v>
      </c>
      <c r="L3299" t="str">
        <f t="shared" si="1357"/>
        <v>04-08-2020</v>
      </c>
      <c r="M3299" t="str">
        <f t="shared" si="1357"/>
        <v>04-08-2020</v>
      </c>
      <c r="N3299" t="str">
        <f t="shared" si="1343"/>
        <v>001105018356</v>
      </c>
      <c r="O3299" t="str">
        <f t="shared" si="1344"/>
        <v>MYR</v>
      </c>
      <c r="P3299" t="str">
        <f t="shared" si="1358"/>
        <v>NIL</v>
      </c>
      <c r="Q3299" t="str">
        <f t="shared" si="1358"/>
        <v>NIL</v>
      </c>
      <c r="R3299" t="str">
        <f t="shared" si="1345"/>
        <v>Accepted</v>
      </c>
      <c r="S3299" t="str">
        <f t="shared" si="1346"/>
        <v>Approved</v>
      </c>
      <c r="T3299" t="str">
        <f t="shared" si="1347"/>
        <v>10.20.8.188</v>
      </c>
      <c r="U3299" t="str">
        <f t="shared" si="1348"/>
        <v>AZRAD UMAR BIN SHAARI</v>
      </c>
      <c r="V3299" t="str">
        <f t="shared" si="1349"/>
        <v>FARHANA BINTI MUSTAPA</v>
      </c>
      <c r="W3299" t="str">
        <f t="shared" si="1350"/>
        <v>04-08-2020</v>
      </c>
      <c r="X3299" t="str">
        <f t="shared" si="1351"/>
        <v>RAZIMAH ANSAR AHMAD</v>
      </c>
      <c r="Y3299" t="str">
        <f t="shared" si="1352"/>
        <v>04-08-2020</v>
      </c>
      <c r="Z3299" t="str">
        <f>"COS10200804 5855"</f>
        <v>COS10200804 5855</v>
      </c>
    </row>
    <row r="3300" spans="1:26" x14ac:dyDescent="0.25">
      <c r="A3300" t="str">
        <f t="shared" si="1355"/>
        <v>04-08-2020 12:58:13</v>
      </c>
      <c r="B3300" t="str">
        <f>"0000807644"</f>
        <v>0000807644</v>
      </c>
      <c r="C3300" t="str">
        <f t="shared" si="1356"/>
        <v>0000807590</v>
      </c>
      <c r="D3300" t="str">
        <f t="shared" si="1340"/>
        <v>73185</v>
      </c>
      <c r="E3300" t="str">
        <f t="shared" si="1341"/>
        <v>KFH-OPERATIONS DEPARTMENT</v>
      </c>
      <c r="F3300" t="str">
        <f t="shared" si="1342"/>
        <v>IBG</v>
      </c>
      <c r="G3300" t="str">
        <f t="shared" si="1353"/>
        <v>Refund COSHARE 10</v>
      </c>
      <c r="H3300" s="2">
        <v>839.5</v>
      </c>
      <c r="I3300" t="str">
        <f>"MOHD SAHAL BIN SAAIDIN KHADRI"</f>
        <v>MOHD SAHAL BIN SAAIDIN KHADRI</v>
      </c>
      <c r="J3300" t="str">
        <f t="shared" si="1354"/>
        <v>MAYBANK / MAYBANK ISLAMIC</v>
      </c>
      <c r="K3300" t="str">
        <f>"105037416354"</f>
        <v>105037416354</v>
      </c>
      <c r="L3300" t="str">
        <f t="shared" si="1357"/>
        <v>04-08-2020</v>
      </c>
      <c r="M3300" t="str">
        <f t="shared" si="1357"/>
        <v>04-08-2020</v>
      </c>
      <c r="N3300" t="str">
        <f t="shared" si="1343"/>
        <v>001105018356</v>
      </c>
      <c r="O3300" t="str">
        <f t="shared" si="1344"/>
        <v>MYR</v>
      </c>
      <c r="P3300" t="str">
        <f t="shared" si="1358"/>
        <v>NIL</v>
      </c>
      <c r="Q3300" t="str">
        <f t="shared" si="1358"/>
        <v>NIL</v>
      </c>
      <c r="R3300" t="str">
        <f t="shared" si="1345"/>
        <v>Accepted</v>
      </c>
      <c r="S3300" t="str">
        <f t="shared" si="1346"/>
        <v>Approved</v>
      </c>
      <c r="T3300" t="str">
        <f t="shared" si="1347"/>
        <v>10.20.8.188</v>
      </c>
      <c r="U3300" t="str">
        <f t="shared" si="1348"/>
        <v>AZRAD UMAR BIN SHAARI</v>
      </c>
      <c r="V3300" t="str">
        <f t="shared" si="1349"/>
        <v>FARHANA BINTI MUSTAPA</v>
      </c>
      <c r="W3300" t="str">
        <f t="shared" si="1350"/>
        <v>04-08-2020</v>
      </c>
      <c r="X3300" t="str">
        <f t="shared" si="1351"/>
        <v>RAZIMAH ANSAR AHMAD</v>
      </c>
      <c r="Y3300" t="str">
        <f t="shared" si="1352"/>
        <v>04-08-2020</v>
      </c>
      <c r="Z3300" t="str">
        <f>"COS10200804 5854"</f>
        <v>COS10200804 5854</v>
      </c>
    </row>
    <row r="3301" spans="1:26" x14ac:dyDescent="0.25">
      <c r="A3301" t="str">
        <f t="shared" si="1355"/>
        <v>04-08-2020 12:58:13</v>
      </c>
      <c r="B3301" t="str">
        <f>"0000807643"</f>
        <v>0000807643</v>
      </c>
      <c r="C3301" t="str">
        <f t="shared" si="1356"/>
        <v>0000807590</v>
      </c>
      <c r="D3301" t="str">
        <f t="shared" si="1340"/>
        <v>73185</v>
      </c>
      <c r="E3301" t="str">
        <f t="shared" si="1341"/>
        <v>KFH-OPERATIONS DEPARTMENT</v>
      </c>
      <c r="F3301" t="str">
        <f t="shared" si="1342"/>
        <v>IBG</v>
      </c>
      <c r="G3301" t="str">
        <f t="shared" si="1353"/>
        <v>Refund COSHARE 10</v>
      </c>
      <c r="H3301" s="2">
        <v>671.6</v>
      </c>
      <c r="I3301" t="str">
        <f>"MOHD SAFRI BIN ZAKARIA"</f>
        <v>MOHD SAFRI BIN ZAKARIA</v>
      </c>
      <c r="J3301" t="str">
        <f t="shared" si="1354"/>
        <v>MAYBANK / MAYBANK ISLAMIC</v>
      </c>
      <c r="K3301" t="str">
        <f>"108208015867"</f>
        <v>108208015867</v>
      </c>
      <c r="L3301" t="str">
        <f t="shared" si="1357"/>
        <v>04-08-2020</v>
      </c>
      <c r="M3301" t="str">
        <f t="shared" si="1357"/>
        <v>04-08-2020</v>
      </c>
      <c r="N3301" t="str">
        <f t="shared" si="1343"/>
        <v>001105018356</v>
      </c>
      <c r="O3301" t="str">
        <f t="shared" si="1344"/>
        <v>MYR</v>
      </c>
      <c r="P3301" t="str">
        <f t="shared" si="1358"/>
        <v>NIL</v>
      </c>
      <c r="Q3301" t="str">
        <f t="shared" si="1358"/>
        <v>NIL</v>
      </c>
      <c r="R3301" t="str">
        <f t="shared" si="1345"/>
        <v>Accepted</v>
      </c>
      <c r="S3301" t="str">
        <f t="shared" si="1346"/>
        <v>Approved</v>
      </c>
      <c r="T3301" t="str">
        <f t="shared" si="1347"/>
        <v>10.20.8.188</v>
      </c>
      <c r="U3301" t="str">
        <f t="shared" si="1348"/>
        <v>AZRAD UMAR BIN SHAARI</v>
      </c>
      <c r="V3301" t="str">
        <f t="shared" si="1349"/>
        <v>FARHANA BINTI MUSTAPA</v>
      </c>
      <c r="W3301" t="str">
        <f t="shared" si="1350"/>
        <v>04-08-2020</v>
      </c>
      <c r="X3301" t="str">
        <f t="shared" si="1351"/>
        <v>RAZIMAH ANSAR AHMAD</v>
      </c>
      <c r="Y3301" t="str">
        <f t="shared" si="1352"/>
        <v>04-08-2020</v>
      </c>
      <c r="Z3301" t="str">
        <f>"COS10200804 5853"</f>
        <v>COS10200804 5853</v>
      </c>
    </row>
    <row r="3302" spans="1:26" x14ac:dyDescent="0.25">
      <c r="A3302" t="str">
        <f t="shared" si="1355"/>
        <v>04-08-2020 12:58:13</v>
      </c>
      <c r="B3302" t="str">
        <f>"0000807642"</f>
        <v>0000807642</v>
      </c>
      <c r="C3302" t="str">
        <f t="shared" si="1356"/>
        <v>0000807590</v>
      </c>
      <c r="D3302" t="str">
        <f t="shared" si="1340"/>
        <v>73185</v>
      </c>
      <c r="E3302" t="str">
        <f t="shared" si="1341"/>
        <v>KFH-OPERATIONS DEPARTMENT</v>
      </c>
      <c r="F3302" t="str">
        <f t="shared" si="1342"/>
        <v>IBG</v>
      </c>
      <c r="G3302" t="str">
        <f t="shared" si="1353"/>
        <v>Refund COSHARE 10</v>
      </c>
      <c r="H3302" s="2">
        <v>176.3</v>
      </c>
      <c r="I3302" t="str">
        <f>"MOHD SAFRE BIN AWANG"</f>
        <v>MOHD SAFRE BIN AWANG</v>
      </c>
      <c r="J3302" t="str">
        <f t="shared" si="1354"/>
        <v>MAYBANK / MAYBANK ISLAMIC</v>
      </c>
      <c r="K3302" t="str">
        <f>"560036063303"</f>
        <v>560036063303</v>
      </c>
      <c r="L3302" t="str">
        <f t="shared" si="1357"/>
        <v>04-08-2020</v>
      </c>
      <c r="M3302" t="str">
        <f t="shared" si="1357"/>
        <v>04-08-2020</v>
      </c>
      <c r="N3302" t="str">
        <f t="shared" si="1343"/>
        <v>001105018356</v>
      </c>
      <c r="O3302" t="str">
        <f t="shared" si="1344"/>
        <v>MYR</v>
      </c>
      <c r="P3302" t="str">
        <f t="shared" si="1358"/>
        <v>NIL</v>
      </c>
      <c r="Q3302" t="str">
        <f t="shared" si="1358"/>
        <v>NIL</v>
      </c>
      <c r="R3302" t="str">
        <f t="shared" si="1345"/>
        <v>Accepted</v>
      </c>
      <c r="S3302" t="str">
        <f t="shared" si="1346"/>
        <v>Approved</v>
      </c>
      <c r="T3302" t="str">
        <f t="shared" si="1347"/>
        <v>10.20.8.188</v>
      </c>
      <c r="U3302" t="str">
        <f t="shared" si="1348"/>
        <v>AZRAD UMAR BIN SHAARI</v>
      </c>
      <c r="V3302" t="str">
        <f t="shared" si="1349"/>
        <v>FARHANA BINTI MUSTAPA</v>
      </c>
      <c r="W3302" t="str">
        <f t="shared" si="1350"/>
        <v>04-08-2020</v>
      </c>
      <c r="X3302" t="str">
        <f t="shared" si="1351"/>
        <v>RAZIMAH ANSAR AHMAD</v>
      </c>
      <c r="Y3302" t="str">
        <f t="shared" si="1352"/>
        <v>04-08-2020</v>
      </c>
      <c r="Z3302" t="str">
        <f>"COS10200804 5852"</f>
        <v>COS10200804 5852</v>
      </c>
    </row>
    <row r="3303" spans="1:26" x14ac:dyDescent="0.25">
      <c r="A3303" t="str">
        <f t="shared" si="1355"/>
        <v>04-08-2020 12:58:13</v>
      </c>
      <c r="B3303" t="str">
        <f>"0000807641"</f>
        <v>0000807641</v>
      </c>
      <c r="C3303" t="str">
        <f t="shared" si="1356"/>
        <v>0000807590</v>
      </c>
      <c r="D3303" t="str">
        <f t="shared" si="1340"/>
        <v>73185</v>
      </c>
      <c r="E3303" t="str">
        <f t="shared" si="1341"/>
        <v>KFH-OPERATIONS DEPARTMENT</v>
      </c>
      <c r="F3303" t="str">
        <f t="shared" si="1342"/>
        <v>IBG</v>
      </c>
      <c r="G3303" t="str">
        <f t="shared" si="1353"/>
        <v>Refund COSHARE 10</v>
      </c>
      <c r="H3303" s="2">
        <v>293.85000000000002</v>
      </c>
      <c r="I3303" t="str">
        <f>"MOHD SABRI BIN ZAKARIA"</f>
        <v>MOHD SABRI BIN ZAKARIA</v>
      </c>
      <c r="J3303" t="str">
        <f t="shared" si="1354"/>
        <v>MAYBANK / MAYBANK ISLAMIC</v>
      </c>
      <c r="K3303" t="str">
        <f>"164025928835"</f>
        <v>164025928835</v>
      </c>
      <c r="L3303" t="str">
        <f t="shared" si="1357"/>
        <v>04-08-2020</v>
      </c>
      <c r="M3303" t="str">
        <f t="shared" si="1357"/>
        <v>04-08-2020</v>
      </c>
      <c r="N3303" t="str">
        <f t="shared" si="1343"/>
        <v>001105018356</v>
      </c>
      <c r="O3303" t="str">
        <f t="shared" si="1344"/>
        <v>MYR</v>
      </c>
      <c r="P3303" t="str">
        <f t="shared" si="1358"/>
        <v>NIL</v>
      </c>
      <c r="Q3303" t="str">
        <f t="shared" si="1358"/>
        <v>NIL</v>
      </c>
      <c r="R3303" t="str">
        <f t="shared" si="1345"/>
        <v>Accepted</v>
      </c>
      <c r="S3303" t="str">
        <f t="shared" si="1346"/>
        <v>Approved</v>
      </c>
      <c r="T3303" t="str">
        <f t="shared" si="1347"/>
        <v>10.20.8.188</v>
      </c>
      <c r="U3303" t="str">
        <f t="shared" si="1348"/>
        <v>AZRAD UMAR BIN SHAARI</v>
      </c>
      <c r="V3303" t="str">
        <f t="shared" si="1349"/>
        <v>FARHANA BINTI MUSTAPA</v>
      </c>
      <c r="W3303" t="str">
        <f t="shared" si="1350"/>
        <v>04-08-2020</v>
      </c>
      <c r="X3303" t="str">
        <f t="shared" si="1351"/>
        <v>RAZIMAH ANSAR AHMAD</v>
      </c>
      <c r="Y3303" t="str">
        <f t="shared" si="1352"/>
        <v>04-08-2020</v>
      </c>
      <c r="Z3303" t="str">
        <f>"COS10200804 5851"</f>
        <v>COS10200804 5851</v>
      </c>
    </row>
    <row r="3304" spans="1:26" x14ac:dyDescent="0.25">
      <c r="A3304" t="str">
        <f t="shared" si="1355"/>
        <v>04-08-2020 12:58:13</v>
      </c>
      <c r="B3304" t="str">
        <f>"0000807640"</f>
        <v>0000807640</v>
      </c>
      <c r="C3304" t="str">
        <f t="shared" si="1356"/>
        <v>0000807590</v>
      </c>
      <c r="D3304" t="str">
        <f t="shared" si="1340"/>
        <v>73185</v>
      </c>
      <c r="E3304" t="str">
        <f t="shared" si="1341"/>
        <v>KFH-OPERATIONS DEPARTMENT</v>
      </c>
      <c r="F3304" t="str">
        <f t="shared" si="1342"/>
        <v>IBG</v>
      </c>
      <c r="G3304" t="str">
        <f t="shared" si="1353"/>
        <v>Refund COSHARE 10</v>
      </c>
      <c r="H3304" s="2">
        <v>83.95</v>
      </c>
      <c r="I3304" t="str">
        <f>"MOHD SABRI BIN SHAROM"</f>
        <v>MOHD SABRI BIN SHAROM</v>
      </c>
      <c r="J3304" t="str">
        <f t="shared" si="1354"/>
        <v>MAYBANK / MAYBANK ISLAMIC</v>
      </c>
      <c r="K3304" t="str">
        <f>"158172638661"</f>
        <v>158172638661</v>
      </c>
      <c r="L3304" t="str">
        <f t="shared" si="1357"/>
        <v>04-08-2020</v>
      </c>
      <c r="M3304" t="str">
        <f t="shared" si="1357"/>
        <v>04-08-2020</v>
      </c>
      <c r="N3304" t="str">
        <f t="shared" si="1343"/>
        <v>001105018356</v>
      </c>
      <c r="O3304" t="str">
        <f t="shared" si="1344"/>
        <v>MYR</v>
      </c>
      <c r="P3304" t="str">
        <f t="shared" si="1358"/>
        <v>NIL</v>
      </c>
      <c r="Q3304" t="str">
        <f t="shared" si="1358"/>
        <v>NIL</v>
      </c>
      <c r="R3304" t="str">
        <f t="shared" si="1345"/>
        <v>Accepted</v>
      </c>
      <c r="S3304" t="str">
        <f t="shared" si="1346"/>
        <v>Approved</v>
      </c>
      <c r="T3304" t="str">
        <f t="shared" si="1347"/>
        <v>10.20.8.188</v>
      </c>
      <c r="U3304" t="str">
        <f t="shared" si="1348"/>
        <v>AZRAD UMAR BIN SHAARI</v>
      </c>
      <c r="V3304" t="str">
        <f t="shared" si="1349"/>
        <v>FARHANA BINTI MUSTAPA</v>
      </c>
      <c r="W3304" t="str">
        <f t="shared" si="1350"/>
        <v>04-08-2020</v>
      </c>
      <c r="X3304" t="str">
        <f t="shared" si="1351"/>
        <v>RAZIMAH ANSAR AHMAD</v>
      </c>
      <c r="Y3304" t="str">
        <f t="shared" si="1352"/>
        <v>04-08-2020</v>
      </c>
      <c r="Z3304" t="str">
        <f>"COS10200804 5850"</f>
        <v>COS10200804 5850</v>
      </c>
    </row>
    <row r="3305" spans="1:26" x14ac:dyDescent="0.25">
      <c r="A3305" t="str">
        <f t="shared" si="1355"/>
        <v>04-08-2020 12:58:13</v>
      </c>
      <c r="B3305" t="str">
        <f>"0000807639"</f>
        <v>0000807639</v>
      </c>
      <c r="C3305" t="str">
        <f t="shared" si="1356"/>
        <v>0000807590</v>
      </c>
      <c r="D3305" t="str">
        <f t="shared" si="1340"/>
        <v>73185</v>
      </c>
      <c r="E3305" t="str">
        <f t="shared" si="1341"/>
        <v>KFH-OPERATIONS DEPARTMENT</v>
      </c>
      <c r="F3305" t="str">
        <f t="shared" si="1342"/>
        <v>IBG</v>
      </c>
      <c r="G3305" t="str">
        <f t="shared" si="1353"/>
        <v>Refund COSHARE 10</v>
      </c>
      <c r="H3305" s="2">
        <v>84</v>
      </c>
      <c r="I3305" t="str">
        <f>"MOHD SABERI BIN MOHAMED"</f>
        <v>MOHD SABERI BIN MOHAMED</v>
      </c>
      <c r="J3305" t="str">
        <f t="shared" si="1354"/>
        <v>MAYBANK / MAYBANK ISLAMIC</v>
      </c>
      <c r="K3305" t="str">
        <f>"153010380848"</f>
        <v>153010380848</v>
      </c>
      <c r="L3305" t="str">
        <f t="shared" si="1357"/>
        <v>04-08-2020</v>
      </c>
      <c r="M3305" t="str">
        <f t="shared" si="1357"/>
        <v>04-08-2020</v>
      </c>
      <c r="N3305" t="str">
        <f t="shared" si="1343"/>
        <v>001105018356</v>
      </c>
      <c r="O3305" t="str">
        <f t="shared" si="1344"/>
        <v>MYR</v>
      </c>
      <c r="P3305" t="str">
        <f t="shared" si="1358"/>
        <v>NIL</v>
      </c>
      <c r="Q3305" t="str">
        <f t="shared" si="1358"/>
        <v>NIL</v>
      </c>
      <c r="R3305" t="str">
        <f t="shared" si="1345"/>
        <v>Accepted</v>
      </c>
      <c r="S3305" t="str">
        <f t="shared" si="1346"/>
        <v>Approved</v>
      </c>
      <c r="T3305" t="str">
        <f t="shared" si="1347"/>
        <v>10.20.8.188</v>
      </c>
      <c r="U3305" t="str">
        <f t="shared" si="1348"/>
        <v>AZRAD UMAR BIN SHAARI</v>
      </c>
      <c r="V3305" t="str">
        <f t="shared" si="1349"/>
        <v>FARHANA BINTI MUSTAPA</v>
      </c>
      <c r="W3305" t="str">
        <f t="shared" si="1350"/>
        <v>04-08-2020</v>
      </c>
      <c r="X3305" t="str">
        <f t="shared" si="1351"/>
        <v>RAZIMAH ANSAR AHMAD</v>
      </c>
      <c r="Y3305" t="str">
        <f t="shared" si="1352"/>
        <v>04-08-2020</v>
      </c>
      <c r="Z3305" t="str">
        <f>"COS10200804 5849"</f>
        <v>COS10200804 5849</v>
      </c>
    </row>
    <row r="3306" spans="1:26" x14ac:dyDescent="0.25">
      <c r="A3306" t="str">
        <f t="shared" si="1355"/>
        <v>04-08-2020 12:58:13</v>
      </c>
      <c r="B3306" t="str">
        <f>"0000807638"</f>
        <v>0000807638</v>
      </c>
      <c r="C3306" t="str">
        <f t="shared" si="1356"/>
        <v>0000807590</v>
      </c>
      <c r="D3306" t="str">
        <f t="shared" si="1340"/>
        <v>73185</v>
      </c>
      <c r="E3306" t="str">
        <f t="shared" si="1341"/>
        <v>KFH-OPERATIONS DEPARTMENT</v>
      </c>
      <c r="F3306" t="str">
        <f t="shared" si="1342"/>
        <v>IBG</v>
      </c>
      <c r="G3306" t="str">
        <f t="shared" si="1353"/>
        <v>Refund COSHARE 10</v>
      </c>
      <c r="H3306" s="2">
        <v>1893</v>
      </c>
      <c r="I3306" t="str">
        <f>"MOHD RUSYDI BIN HUSAIN"</f>
        <v>MOHD RUSYDI BIN HUSAIN</v>
      </c>
      <c r="J3306" t="str">
        <f t="shared" si="1354"/>
        <v>MAYBANK / MAYBANK ISLAMIC</v>
      </c>
      <c r="K3306" t="str">
        <f>"157091058853"</f>
        <v>157091058853</v>
      </c>
      <c r="L3306" t="str">
        <f t="shared" si="1357"/>
        <v>04-08-2020</v>
      </c>
      <c r="M3306" t="str">
        <f t="shared" si="1357"/>
        <v>04-08-2020</v>
      </c>
      <c r="N3306" t="str">
        <f t="shared" si="1343"/>
        <v>001105018356</v>
      </c>
      <c r="O3306" t="str">
        <f t="shared" si="1344"/>
        <v>MYR</v>
      </c>
      <c r="P3306" t="str">
        <f t="shared" si="1358"/>
        <v>NIL</v>
      </c>
      <c r="Q3306" t="str">
        <f t="shared" si="1358"/>
        <v>NIL</v>
      </c>
      <c r="R3306" t="str">
        <f t="shared" si="1345"/>
        <v>Accepted</v>
      </c>
      <c r="S3306" t="str">
        <f t="shared" si="1346"/>
        <v>Approved</v>
      </c>
      <c r="T3306" t="str">
        <f t="shared" si="1347"/>
        <v>10.20.8.188</v>
      </c>
      <c r="U3306" t="str">
        <f t="shared" si="1348"/>
        <v>AZRAD UMAR BIN SHAARI</v>
      </c>
      <c r="V3306" t="str">
        <f t="shared" si="1349"/>
        <v>FARHANA BINTI MUSTAPA</v>
      </c>
      <c r="W3306" t="str">
        <f t="shared" si="1350"/>
        <v>04-08-2020</v>
      </c>
      <c r="X3306" t="str">
        <f t="shared" si="1351"/>
        <v>RAZIMAH ANSAR AHMAD</v>
      </c>
      <c r="Y3306" t="str">
        <f t="shared" si="1352"/>
        <v>04-08-2020</v>
      </c>
      <c r="Z3306" t="str">
        <f>"COS10200804 5848"</f>
        <v>COS10200804 5848</v>
      </c>
    </row>
    <row r="3307" spans="1:26" x14ac:dyDescent="0.25">
      <c r="A3307" t="str">
        <f t="shared" si="1355"/>
        <v>04-08-2020 12:58:13</v>
      </c>
      <c r="B3307" t="str">
        <f>"0000807637"</f>
        <v>0000807637</v>
      </c>
      <c r="C3307" t="str">
        <f t="shared" si="1356"/>
        <v>0000807590</v>
      </c>
      <c r="D3307" t="str">
        <f t="shared" si="1340"/>
        <v>73185</v>
      </c>
      <c r="E3307" t="str">
        <f t="shared" si="1341"/>
        <v>KFH-OPERATIONS DEPARTMENT</v>
      </c>
      <c r="F3307" t="str">
        <f t="shared" si="1342"/>
        <v>IBG</v>
      </c>
      <c r="G3307" t="str">
        <f t="shared" si="1353"/>
        <v>Refund COSHARE 10</v>
      </c>
      <c r="H3307" s="2">
        <v>1141.75</v>
      </c>
      <c r="I3307" t="str">
        <f>"MOHD ROZALI BIN ALOI"</f>
        <v>MOHD ROZALI BIN ALOI</v>
      </c>
      <c r="J3307" t="str">
        <f t="shared" si="1354"/>
        <v>MAYBANK / MAYBANK ISLAMIC</v>
      </c>
      <c r="K3307" t="str">
        <f>"151267065566"</f>
        <v>151267065566</v>
      </c>
      <c r="L3307" t="str">
        <f t="shared" ref="L3307:M3326" si="1359">"04-08-2020"</f>
        <v>04-08-2020</v>
      </c>
      <c r="M3307" t="str">
        <f t="shared" si="1359"/>
        <v>04-08-2020</v>
      </c>
      <c r="N3307" t="str">
        <f t="shared" si="1343"/>
        <v>001105018356</v>
      </c>
      <c r="O3307" t="str">
        <f t="shared" si="1344"/>
        <v>MYR</v>
      </c>
      <c r="P3307" t="str">
        <f t="shared" ref="P3307:Q3326" si="1360">"NIL"</f>
        <v>NIL</v>
      </c>
      <c r="Q3307" t="str">
        <f t="shared" si="1360"/>
        <v>NIL</v>
      </c>
      <c r="R3307" t="str">
        <f t="shared" si="1345"/>
        <v>Accepted</v>
      </c>
      <c r="S3307" t="str">
        <f t="shared" si="1346"/>
        <v>Approved</v>
      </c>
      <c r="T3307" t="str">
        <f t="shared" si="1347"/>
        <v>10.20.8.188</v>
      </c>
      <c r="U3307" t="str">
        <f t="shared" si="1348"/>
        <v>AZRAD UMAR BIN SHAARI</v>
      </c>
      <c r="V3307" t="str">
        <f t="shared" si="1349"/>
        <v>FARHANA BINTI MUSTAPA</v>
      </c>
      <c r="W3307" t="str">
        <f t="shared" si="1350"/>
        <v>04-08-2020</v>
      </c>
      <c r="X3307" t="str">
        <f t="shared" si="1351"/>
        <v>RAZIMAH ANSAR AHMAD</v>
      </c>
      <c r="Y3307" t="str">
        <f t="shared" si="1352"/>
        <v>04-08-2020</v>
      </c>
      <c r="Z3307" t="str">
        <f>"COS10200804 5847"</f>
        <v>COS10200804 5847</v>
      </c>
    </row>
    <row r="3308" spans="1:26" x14ac:dyDescent="0.25">
      <c r="A3308" t="str">
        <f t="shared" si="1355"/>
        <v>04-08-2020 12:58:13</v>
      </c>
      <c r="B3308" t="str">
        <f>"0000807636"</f>
        <v>0000807636</v>
      </c>
      <c r="C3308" t="str">
        <f t="shared" si="1356"/>
        <v>0000807590</v>
      </c>
      <c r="D3308" t="str">
        <f t="shared" si="1340"/>
        <v>73185</v>
      </c>
      <c r="E3308" t="str">
        <f t="shared" si="1341"/>
        <v>KFH-OPERATIONS DEPARTMENT</v>
      </c>
      <c r="F3308" t="str">
        <f t="shared" si="1342"/>
        <v>IBG</v>
      </c>
      <c r="G3308" t="str">
        <f t="shared" si="1353"/>
        <v>Refund COSHARE 10</v>
      </c>
      <c r="H3308" s="2">
        <v>839.5</v>
      </c>
      <c r="I3308" t="str">
        <f>"MOHD ROZAIDI BIN AZIZAN"</f>
        <v>MOHD ROZAIDI BIN AZIZAN</v>
      </c>
      <c r="J3308" t="str">
        <f t="shared" si="1354"/>
        <v>MAYBANK / MAYBANK ISLAMIC</v>
      </c>
      <c r="K3308" t="str">
        <f>"162115814981"</f>
        <v>162115814981</v>
      </c>
      <c r="L3308" t="str">
        <f t="shared" si="1359"/>
        <v>04-08-2020</v>
      </c>
      <c r="M3308" t="str">
        <f t="shared" si="1359"/>
        <v>04-08-2020</v>
      </c>
      <c r="N3308" t="str">
        <f t="shared" si="1343"/>
        <v>001105018356</v>
      </c>
      <c r="O3308" t="str">
        <f t="shared" si="1344"/>
        <v>MYR</v>
      </c>
      <c r="P3308" t="str">
        <f t="shared" si="1360"/>
        <v>NIL</v>
      </c>
      <c r="Q3308" t="str">
        <f t="shared" si="1360"/>
        <v>NIL</v>
      </c>
      <c r="R3308" t="str">
        <f t="shared" si="1345"/>
        <v>Accepted</v>
      </c>
      <c r="S3308" t="str">
        <f t="shared" si="1346"/>
        <v>Approved</v>
      </c>
      <c r="T3308" t="str">
        <f t="shared" si="1347"/>
        <v>10.20.8.188</v>
      </c>
      <c r="U3308" t="str">
        <f t="shared" si="1348"/>
        <v>AZRAD UMAR BIN SHAARI</v>
      </c>
      <c r="V3308" t="str">
        <f t="shared" si="1349"/>
        <v>FARHANA BINTI MUSTAPA</v>
      </c>
      <c r="W3308" t="str">
        <f t="shared" si="1350"/>
        <v>04-08-2020</v>
      </c>
      <c r="X3308" t="str">
        <f t="shared" si="1351"/>
        <v>RAZIMAH ANSAR AHMAD</v>
      </c>
      <c r="Y3308" t="str">
        <f t="shared" si="1352"/>
        <v>04-08-2020</v>
      </c>
      <c r="Z3308" t="str">
        <f>"COS10200804 5846"</f>
        <v>COS10200804 5846</v>
      </c>
    </row>
    <row r="3309" spans="1:26" x14ac:dyDescent="0.25">
      <c r="A3309" t="str">
        <f t="shared" si="1355"/>
        <v>04-08-2020 12:58:13</v>
      </c>
      <c r="B3309" t="str">
        <f>"0000807635"</f>
        <v>0000807635</v>
      </c>
      <c r="C3309" t="str">
        <f t="shared" si="1356"/>
        <v>0000807590</v>
      </c>
      <c r="D3309" t="str">
        <f t="shared" si="1340"/>
        <v>73185</v>
      </c>
      <c r="E3309" t="str">
        <f t="shared" si="1341"/>
        <v>KFH-OPERATIONS DEPARTMENT</v>
      </c>
      <c r="F3309" t="str">
        <f t="shared" si="1342"/>
        <v>IBG</v>
      </c>
      <c r="G3309" t="str">
        <f t="shared" si="1353"/>
        <v>Refund COSHARE 10</v>
      </c>
      <c r="H3309" s="2">
        <v>629.65</v>
      </c>
      <c r="I3309" t="str">
        <f>"MOHD ROZAIAN BIN HUSIN"</f>
        <v>MOHD ROZAIAN BIN HUSIN</v>
      </c>
      <c r="J3309" t="str">
        <f t="shared" si="1354"/>
        <v>MAYBANK / MAYBANK ISLAMIC</v>
      </c>
      <c r="K3309" t="str">
        <f>"155015171672"</f>
        <v>155015171672</v>
      </c>
      <c r="L3309" t="str">
        <f t="shared" si="1359"/>
        <v>04-08-2020</v>
      </c>
      <c r="M3309" t="str">
        <f t="shared" si="1359"/>
        <v>04-08-2020</v>
      </c>
      <c r="N3309" t="str">
        <f t="shared" si="1343"/>
        <v>001105018356</v>
      </c>
      <c r="O3309" t="str">
        <f t="shared" si="1344"/>
        <v>MYR</v>
      </c>
      <c r="P3309" t="str">
        <f t="shared" si="1360"/>
        <v>NIL</v>
      </c>
      <c r="Q3309" t="str">
        <f t="shared" si="1360"/>
        <v>NIL</v>
      </c>
      <c r="R3309" t="str">
        <f t="shared" si="1345"/>
        <v>Accepted</v>
      </c>
      <c r="S3309" t="str">
        <f t="shared" si="1346"/>
        <v>Approved</v>
      </c>
      <c r="T3309" t="str">
        <f t="shared" si="1347"/>
        <v>10.20.8.188</v>
      </c>
      <c r="U3309" t="str">
        <f t="shared" si="1348"/>
        <v>AZRAD UMAR BIN SHAARI</v>
      </c>
      <c r="V3309" t="str">
        <f t="shared" si="1349"/>
        <v>FARHANA BINTI MUSTAPA</v>
      </c>
      <c r="W3309" t="str">
        <f t="shared" si="1350"/>
        <v>04-08-2020</v>
      </c>
      <c r="X3309" t="str">
        <f t="shared" si="1351"/>
        <v>RAZIMAH ANSAR AHMAD</v>
      </c>
      <c r="Y3309" t="str">
        <f t="shared" si="1352"/>
        <v>04-08-2020</v>
      </c>
      <c r="Z3309" t="str">
        <f>"COS10200804 5845"</f>
        <v>COS10200804 5845</v>
      </c>
    </row>
    <row r="3310" spans="1:26" x14ac:dyDescent="0.25">
      <c r="A3310" t="str">
        <f t="shared" si="1355"/>
        <v>04-08-2020 12:58:13</v>
      </c>
      <c r="B3310" t="str">
        <f>"0000807634"</f>
        <v>0000807634</v>
      </c>
      <c r="C3310" t="str">
        <f t="shared" si="1356"/>
        <v>0000807590</v>
      </c>
      <c r="D3310" t="str">
        <f t="shared" si="1340"/>
        <v>73185</v>
      </c>
      <c r="E3310" t="str">
        <f t="shared" si="1341"/>
        <v>KFH-OPERATIONS DEPARTMENT</v>
      </c>
      <c r="F3310" t="str">
        <f t="shared" si="1342"/>
        <v>IBG</v>
      </c>
      <c r="G3310" t="str">
        <f t="shared" si="1353"/>
        <v>Refund COSHARE 10</v>
      </c>
      <c r="H3310" s="2">
        <v>117.9</v>
      </c>
      <c r="I3310" t="str">
        <f>"MOHD ROSLY BIN AMAT"</f>
        <v>MOHD ROSLY BIN AMAT</v>
      </c>
      <c r="J3310" t="str">
        <f t="shared" si="1354"/>
        <v>MAYBANK / MAYBANK ISLAMIC</v>
      </c>
      <c r="K3310" t="str">
        <f>"114169726206"</f>
        <v>114169726206</v>
      </c>
      <c r="L3310" t="str">
        <f t="shared" si="1359"/>
        <v>04-08-2020</v>
      </c>
      <c r="M3310" t="str">
        <f t="shared" si="1359"/>
        <v>04-08-2020</v>
      </c>
      <c r="N3310" t="str">
        <f t="shared" si="1343"/>
        <v>001105018356</v>
      </c>
      <c r="O3310" t="str">
        <f t="shared" si="1344"/>
        <v>MYR</v>
      </c>
      <c r="P3310" t="str">
        <f t="shared" si="1360"/>
        <v>NIL</v>
      </c>
      <c r="Q3310" t="str">
        <f t="shared" si="1360"/>
        <v>NIL</v>
      </c>
      <c r="R3310" t="str">
        <f t="shared" si="1345"/>
        <v>Accepted</v>
      </c>
      <c r="S3310" t="str">
        <f t="shared" si="1346"/>
        <v>Approved</v>
      </c>
      <c r="T3310" t="str">
        <f t="shared" si="1347"/>
        <v>10.20.8.188</v>
      </c>
      <c r="U3310" t="str">
        <f t="shared" si="1348"/>
        <v>AZRAD UMAR BIN SHAARI</v>
      </c>
      <c r="V3310" t="str">
        <f t="shared" si="1349"/>
        <v>FARHANA BINTI MUSTAPA</v>
      </c>
      <c r="W3310" t="str">
        <f t="shared" si="1350"/>
        <v>04-08-2020</v>
      </c>
      <c r="X3310" t="str">
        <f t="shared" si="1351"/>
        <v>RAZIMAH ANSAR AHMAD</v>
      </c>
      <c r="Y3310" t="str">
        <f t="shared" si="1352"/>
        <v>04-08-2020</v>
      </c>
      <c r="Z3310" t="str">
        <f>"COS10200804 5844"</f>
        <v>COS10200804 5844</v>
      </c>
    </row>
    <row r="3311" spans="1:26" x14ac:dyDescent="0.25">
      <c r="A3311" t="str">
        <f t="shared" si="1355"/>
        <v>04-08-2020 12:58:13</v>
      </c>
      <c r="B3311" t="str">
        <f>"0000807633"</f>
        <v>0000807633</v>
      </c>
      <c r="C3311" t="str">
        <f t="shared" si="1356"/>
        <v>0000807590</v>
      </c>
      <c r="D3311" t="str">
        <f t="shared" si="1340"/>
        <v>73185</v>
      </c>
      <c r="E3311" t="str">
        <f t="shared" si="1341"/>
        <v>KFH-OPERATIONS DEPARTMENT</v>
      </c>
      <c r="F3311" t="str">
        <f t="shared" si="1342"/>
        <v>IBG</v>
      </c>
      <c r="G3311" t="str">
        <f t="shared" si="1353"/>
        <v>Refund COSHARE 10</v>
      </c>
      <c r="H3311" s="2">
        <v>1787.2</v>
      </c>
      <c r="I3311" t="str">
        <f>"MOHD ROSLI BIN SALLEH"</f>
        <v>MOHD ROSLI BIN SALLEH</v>
      </c>
      <c r="J3311" t="str">
        <f t="shared" si="1354"/>
        <v>MAYBANK / MAYBANK ISLAMIC</v>
      </c>
      <c r="K3311" t="str">
        <f>"153047806957"</f>
        <v>153047806957</v>
      </c>
      <c r="L3311" t="str">
        <f t="shared" si="1359"/>
        <v>04-08-2020</v>
      </c>
      <c r="M3311" t="str">
        <f t="shared" si="1359"/>
        <v>04-08-2020</v>
      </c>
      <c r="N3311" t="str">
        <f t="shared" si="1343"/>
        <v>001105018356</v>
      </c>
      <c r="O3311" t="str">
        <f t="shared" si="1344"/>
        <v>MYR</v>
      </c>
      <c r="P3311" t="str">
        <f t="shared" si="1360"/>
        <v>NIL</v>
      </c>
      <c r="Q3311" t="str">
        <f t="shared" si="1360"/>
        <v>NIL</v>
      </c>
      <c r="R3311" t="str">
        <f t="shared" si="1345"/>
        <v>Accepted</v>
      </c>
      <c r="S3311" t="str">
        <f t="shared" si="1346"/>
        <v>Approved</v>
      </c>
      <c r="T3311" t="str">
        <f t="shared" si="1347"/>
        <v>10.20.8.188</v>
      </c>
      <c r="U3311" t="str">
        <f t="shared" si="1348"/>
        <v>AZRAD UMAR BIN SHAARI</v>
      </c>
      <c r="V3311" t="str">
        <f t="shared" si="1349"/>
        <v>FARHANA BINTI MUSTAPA</v>
      </c>
      <c r="W3311" t="str">
        <f t="shared" si="1350"/>
        <v>04-08-2020</v>
      </c>
      <c r="X3311" t="str">
        <f t="shared" si="1351"/>
        <v>RAZIMAH ANSAR AHMAD</v>
      </c>
      <c r="Y3311" t="str">
        <f t="shared" si="1352"/>
        <v>04-08-2020</v>
      </c>
      <c r="Z3311" t="str">
        <f>"COS10200804 5843"</f>
        <v>COS10200804 5843</v>
      </c>
    </row>
    <row r="3312" spans="1:26" x14ac:dyDescent="0.25">
      <c r="A3312" t="str">
        <f t="shared" si="1355"/>
        <v>04-08-2020 12:58:13</v>
      </c>
      <c r="B3312" t="str">
        <f>"0000807632"</f>
        <v>0000807632</v>
      </c>
      <c r="C3312" t="str">
        <f t="shared" si="1356"/>
        <v>0000807590</v>
      </c>
      <c r="D3312" t="str">
        <f t="shared" si="1340"/>
        <v>73185</v>
      </c>
      <c r="E3312" t="str">
        <f t="shared" si="1341"/>
        <v>KFH-OPERATIONS DEPARTMENT</v>
      </c>
      <c r="F3312" t="str">
        <f t="shared" si="1342"/>
        <v>IBG</v>
      </c>
      <c r="G3312" t="str">
        <f t="shared" si="1353"/>
        <v>Refund COSHARE 10</v>
      </c>
      <c r="H3312" s="2">
        <v>137</v>
      </c>
      <c r="I3312" t="str">
        <f>"MOHD ROSHIDI BIN MD SAAD"</f>
        <v>MOHD ROSHIDI BIN MD SAAD</v>
      </c>
      <c r="J3312" t="str">
        <f t="shared" si="1354"/>
        <v>MAYBANK / MAYBANK ISLAMIC</v>
      </c>
      <c r="K3312" t="str">
        <f>"152022031690"</f>
        <v>152022031690</v>
      </c>
      <c r="L3312" t="str">
        <f t="shared" si="1359"/>
        <v>04-08-2020</v>
      </c>
      <c r="M3312" t="str">
        <f t="shared" si="1359"/>
        <v>04-08-2020</v>
      </c>
      <c r="N3312" t="str">
        <f t="shared" si="1343"/>
        <v>001105018356</v>
      </c>
      <c r="O3312" t="str">
        <f t="shared" si="1344"/>
        <v>MYR</v>
      </c>
      <c r="P3312" t="str">
        <f t="shared" si="1360"/>
        <v>NIL</v>
      </c>
      <c r="Q3312" t="str">
        <f t="shared" si="1360"/>
        <v>NIL</v>
      </c>
      <c r="R3312" t="str">
        <f t="shared" si="1345"/>
        <v>Accepted</v>
      </c>
      <c r="S3312" t="str">
        <f t="shared" si="1346"/>
        <v>Approved</v>
      </c>
      <c r="T3312" t="str">
        <f t="shared" si="1347"/>
        <v>10.20.8.188</v>
      </c>
      <c r="U3312" t="str">
        <f t="shared" si="1348"/>
        <v>AZRAD UMAR BIN SHAARI</v>
      </c>
      <c r="V3312" t="str">
        <f t="shared" si="1349"/>
        <v>FARHANA BINTI MUSTAPA</v>
      </c>
      <c r="W3312" t="str">
        <f t="shared" si="1350"/>
        <v>04-08-2020</v>
      </c>
      <c r="X3312" t="str">
        <f t="shared" si="1351"/>
        <v>RAZIMAH ANSAR AHMAD</v>
      </c>
      <c r="Y3312" t="str">
        <f t="shared" si="1352"/>
        <v>04-08-2020</v>
      </c>
      <c r="Z3312" t="str">
        <f>"COS10200804 5842"</f>
        <v>COS10200804 5842</v>
      </c>
    </row>
    <row r="3313" spans="1:26" x14ac:dyDescent="0.25">
      <c r="A3313" t="str">
        <f t="shared" si="1355"/>
        <v>04-08-2020 12:58:13</v>
      </c>
      <c r="B3313" t="str">
        <f>"0000807631"</f>
        <v>0000807631</v>
      </c>
      <c r="C3313" t="str">
        <f t="shared" si="1356"/>
        <v>0000807590</v>
      </c>
      <c r="D3313" t="str">
        <f t="shared" si="1340"/>
        <v>73185</v>
      </c>
      <c r="E3313" t="str">
        <f t="shared" si="1341"/>
        <v>KFH-OPERATIONS DEPARTMENT</v>
      </c>
      <c r="F3313" t="str">
        <f t="shared" si="1342"/>
        <v>IBG</v>
      </c>
      <c r="G3313" t="str">
        <f t="shared" si="1353"/>
        <v>Refund COSHARE 10</v>
      </c>
      <c r="H3313" s="2">
        <v>190</v>
      </c>
      <c r="I3313" t="str">
        <f>"MOHD ROSDI BIN AWANG"</f>
        <v>MOHD ROSDI BIN AWANG</v>
      </c>
      <c r="J3313" t="str">
        <f t="shared" si="1354"/>
        <v>MAYBANK / MAYBANK ISLAMIC</v>
      </c>
      <c r="K3313" t="str">
        <f>"156012028928"</f>
        <v>156012028928</v>
      </c>
      <c r="L3313" t="str">
        <f t="shared" si="1359"/>
        <v>04-08-2020</v>
      </c>
      <c r="M3313" t="str">
        <f t="shared" si="1359"/>
        <v>04-08-2020</v>
      </c>
      <c r="N3313" t="str">
        <f t="shared" si="1343"/>
        <v>001105018356</v>
      </c>
      <c r="O3313" t="str">
        <f t="shared" si="1344"/>
        <v>MYR</v>
      </c>
      <c r="P3313" t="str">
        <f t="shared" si="1360"/>
        <v>NIL</v>
      </c>
      <c r="Q3313" t="str">
        <f t="shared" si="1360"/>
        <v>NIL</v>
      </c>
      <c r="R3313" t="str">
        <f t="shared" si="1345"/>
        <v>Accepted</v>
      </c>
      <c r="S3313" t="str">
        <f t="shared" si="1346"/>
        <v>Approved</v>
      </c>
      <c r="T3313" t="str">
        <f t="shared" si="1347"/>
        <v>10.20.8.188</v>
      </c>
      <c r="U3313" t="str">
        <f t="shared" si="1348"/>
        <v>AZRAD UMAR BIN SHAARI</v>
      </c>
      <c r="V3313" t="str">
        <f t="shared" si="1349"/>
        <v>FARHANA BINTI MUSTAPA</v>
      </c>
      <c r="W3313" t="str">
        <f t="shared" si="1350"/>
        <v>04-08-2020</v>
      </c>
      <c r="X3313" t="str">
        <f t="shared" si="1351"/>
        <v>RAZIMAH ANSAR AHMAD</v>
      </c>
      <c r="Y3313" t="str">
        <f t="shared" si="1352"/>
        <v>04-08-2020</v>
      </c>
      <c r="Z3313" t="str">
        <f>"COS10200804 5841"</f>
        <v>COS10200804 5841</v>
      </c>
    </row>
    <row r="3314" spans="1:26" x14ac:dyDescent="0.25">
      <c r="A3314" t="str">
        <f t="shared" ref="A3314:A3345" si="1361">"04-08-2020 12:58:13"</f>
        <v>04-08-2020 12:58:13</v>
      </c>
      <c r="B3314" t="str">
        <f>"0000807630"</f>
        <v>0000807630</v>
      </c>
      <c r="C3314" t="str">
        <f t="shared" ref="C3314:C3345" si="1362">"0000807590"</f>
        <v>0000807590</v>
      </c>
      <c r="D3314" t="str">
        <f t="shared" si="1340"/>
        <v>73185</v>
      </c>
      <c r="E3314" t="str">
        <f t="shared" si="1341"/>
        <v>KFH-OPERATIONS DEPARTMENT</v>
      </c>
      <c r="F3314" t="str">
        <f t="shared" si="1342"/>
        <v>IBG</v>
      </c>
      <c r="G3314" t="str">
        <f t="shared" si="1353"/>
        <v>Refund COSHARE 10</v>
      </c>
      <c r="H3314" s="2">
        <v>616</v>
      </c>
      <c r="I3314" t="str">
        <f>"MOHD ROSDI BIN ADENAN"</f>
        <v>MOHD ROSDI BIN ADENAN</v>
      </c>
      <c r="J3314" t="str">
        <f t="shared" si="1354"/>
        <v>MAYBANK / MAYBANK ISLAMIC</v>
      </c>
      <c r="K3314" t="str">
        <f>"102045261871"</f>
        <v>102045261871</v>
      </c>
      <c r="L3314" t="str">
        <f t="shared" si="1359"/>
        <v>04-08-2020</v>
      </c>
      <c r="M3314" t="str">
        <f t="shared" si="1359"/>
        <v>04-08-2020</v>
      </c>
      <c r="N3314" t="str">
        <f t="shared" si="1343"/>
        <v>001105018356</v>
      </c>
      <c r="O3314" t="str">
        <f t="shared" si="1344"/>
        <v>MYR</v>
      </c>
      <c r="P3314" t="str">
        <f t="shared" si="1360"/>
        <v>NIL</v>
      </c>
      <c r="Q3314" t="str">
        <f t="shared" si="1360"/>
        <v>NIL</v>
      </c>
      <c r="R3314" t="str">
        <f t="shared" si="1345"/>
        <v>Accepted</v>
      </c>
      <c r="S3314" t="str">
        <f t="shared" si="1346"/>
        <v>Approved</v>
      </c>
      <c r="T3314" t="str">
        <f t="shared" si="1347"/>
        <v>10.20.8.188</v>
      </c>
      <c r="U3314" t="str">
        <f t="shared" si="1348"/>
        <v>AZRAD UMAR BIN SHAARI</v>
      </c>
      <c r="V3314" t="str">
        <f t="shared" si="1349"/>
        <v>FARHANA BINTI MUSTAPA</v>
      </c>
      <c r="W3314" t="str">
        <f t="shared" si="1350"/>
        <v>04-08-2020</v>
      </c>
      <c r="X3314" t="str">
        <f t="shared" si="1351"/>
        <v>RAZIMAH ANSAR AHMAD</v>
      </c>
      <c r="Y3314" t="str">
        <f t="shared" si="1352"/>
        <v>04-08-2020</v>
      </c>
      <c r="Z3314" t="str">
        <f>"COS10200804 5840"</f>
        <v>COS10200804 5840</v>
      </c>
    </row>
    <row r="3315" spans="1:26" x14ac:dyDescent="0.25">
      <c r="A3315" t="str">
        <f t="shared" si="1361"/>
        <v>04-08-2020 12:58:13</v>
      </c>
      <c r="B3315" t="str">
        <f>"0000807629"</f>
        <v>0000807629</v>
      </c>
      <c r="C3315" t="str">
        <f t="shared" si="1362"/>
        <v>0000807590</v>
      </c>
      <c r="D3315" t="str">
        <f t="shared" si="1340"/>
        <v>73185</v>
      </c>
      <c r="E3315" t="str">
        <f t="shared" si="1341"/>
        <v>KFH-OPERATIONS DEPARTMENT</v>
      </c>
      <c r="F3315" t="str">
        <f t="shared" si="1342"/>
        <v>IBG</v>
      </c>
      <c r="G3315" t="str">
        <f t="shared" si="1353"/>
        <v>Refund COSHARE 10</v>
      </c>
      <c r="H3315" s="2">
        <v>755.55</v>
      </c>
      <c r="I3315" t="str">
        <f>"MOHD ROSDI BIN ABDULLAH"</f>
        <v>MOHD ROSDI BIN ABDULLAH</v>
      </c>
      <c r="J3315" t="str">
        <f t="shared" si="1354"/>
        <v>MAYBANK / MAYBANK ISLAMIC</v>
      </c>
      <c r="K3315" t="str">
        <f>"157018674359"</f>
        <v>157018674359</v>
      </c>
      <c r="L3315" t="str">
        <f t="shared" si="1359"/>
        <v>04-08-2020</v>
      </c>
      <c r="M3315" t="str">
        <f t="shared" si="1359"/>
        <v>04-08-2020</v>
      </c>
      <c r="N3315" t="str">
        <f t="shared" si="1343"/>
        <v>001105018356</v>
      </c>
      <c r="O3315" t="str">
        <f t="shared" si="1344"/>
        <v>MYR</v>
      </c>
      <c r="P3315" t="str">
        <f t="shared" si="1360"/>
        <v>NIL</v>
      </c>
      <c r="Q3315" t="str">
        <f t="shared" si="1360"/>
        <v>NIL</v>
      </c>
      <c r="R3315" t="str">
        <f t="shared" si="1345"/>
        <v>Accepted</v>
      </c>
      <c r="S3315" t="str">
        <f t="shared" si="1346"/>
        <v>Approved</v>
      </c>
      <c r="T3315" t="str">
        <f t="shared" si="1347"/>
        <v>10.20.8.188</v>
      </c>
      <c r="U3315" t="str">
        <f t="shared" si="1348"/>
        <v>AZRAD UMAR BIN SHAARI</v>
      </c>
      <c r="V3315" t="str">
        <f t="shared" si="1349"/>
        <v>FARHANA BINTI MUSTAPA</v>
      </c>
      <c r="W3315" t="str">
        <f t="shared" si="1350"/>
        <v>04-08-2020</v>
      </c>
      <c r="X3315" t="str">
        <f t="shared" si="1351"/>
        <v>RAZIMAH ANSAR AHMAD</v>
      </c>
      <c r="Y3315" t="str">
        <f t="shared" si="1352"/>
        <v>04-08-2020</v>
      </c>
      <c r="Z3315" t="str">
        <f>"COS10200804 5839"</f>
        <v>COS10200804 5839</v>
      </c>
    </row>
    <row r="3316" spans="1:26" x14ac:dyDescent="0.25">
      <c r="A3316" t="str">
        <f t="shared" si="1361"/>
        <v>04-08-2020 12:58:13</v>
      </c>
      <c r="B3316" t="str">
        <f>"0000807628"</f>
        <v>0000807628</v>
      </c>
      <c r="C3316" t="str">
        <f t="shared" si="1362"/>
        <v>0000807590</v>
      </c>
      <c r="D3316" t="str">
        <f t="shared" si="1340"/>
        <v>73185</v>
      </c>
      <c r="E3316" t="str">
        <f t="shared" si="1341"/>
        <v>KFH-OPERATIONS DEPARTMENT</v>
      </c>
      <c r="F3316" t="str">
        <f t="shared" si="1342"/>
        <v>IBG</v>
      </c>
      <c r="G3316" t="str">
        <f t="shared" si="1353"/>
        <v>Refund COSHARE 10</v>
      </c>
      <c r="H3316" s="2">
        <v>127.05</v>
      </c>
      <c r="I3316" t="str">
        <f>"MOHD ROMZY  SYAZWAN BIN RAHIMIN"</f>
        <v>MOHD ROMZY  SYAZWAN BIN RAHIMIN</v>
      </c>
      <c r="J3316" t="str">
        <f t="shared" si="1354"/>
        <v>MAYBANK / MAYBANK ISLAMIC</v>
      </c>
      <c r="K3316" t="str">
        <f>"162393707301"</f>
        <v>162393707301</v>
      </c>
      <c r="L3316" t="str">
        <f t="shared" si="1359"/>
        <v>04-08-2020</v>
      </c>
      <c r="M3316" t="str">
        <f t="shared" si="1359"/>
        <v>04-08-2020</v>
      </c>
      <c r="N3316" t="str">
        <f t="shared" si="1343"/>
        <v>001105018356</v>
      </c>
      <c r="O3316" t="str">
        <f t="shared" si="1344"/>
        <v>MYR</v>
      </c>
      <c r="P3316" t="str">
        <f t="shared" si="1360"/>
        <v>NIL</v>
      </c>
      <c r="Q3316" t="str">
        <f t="shared" si="1360"/>
        <v>NIL</v>
      </c>
      <c r="R3316" t="str">
        <f t="shared" si="1345"/>
        <v>Accepted</v>
      </c>
      <c r="S3316" t="str">
        <f t="shared" si="1346"/>
        <v>Approved</v>
      </c>
      <c r="T3316" t="str">
        <f t="shared" si="1347"/>
        <v>10.20.8.188</v>
      </c>
      <c r="U3316" t="str">
        <f t="shared" si="1348"/>
        <v>AZRAD UMAR BIN SHAARI</v>
      </c>
      <c r="V3316" t="str">
        <f t="shared" si="1349"/>
        <v>FARHANA BINTI MUSTAPA</v>
      </c>
      <c r="W3316" t="str">
        <f t="shared" si="1350"/>
        <v>04-08-2020</v>
      </c>
      <c r="X3316" t="str">
        <f t="shared" si="1351"/>
        <v>RAZIMAH ANSAR AHMAD</v>
      </c>
      <c r="Y3316" t="str">
        <f t="shared" si="1352"/>
        <v>04-08-2020</v>
      </c>
      <c r="Z3316" t="str">
        <f>"COS10200804 5838"</f>
        <v>COS10200804 5838</v>
      </c>
    </row>
    <row r="3317" spans="1:26" x14ac:dyDescent="0.25">
      <c r="A3317" t="str">
        <f t="shared" si="1361"/>
        <v>04-08-2020 12:58:13</v>
      </c>
      <c r="B3317" t="str">
        <f>"0000807627"</f>
        <v>0000807627</v>
      </c>
      <c r="C3317" t="str">
        <f t="shared" si="1362"/>
        <v>0000807590</v>
      </c>
      <c r="D3317" t="str">
        <f t="shared" si="1340"/>
        <v>73185</v>
      </c>
      <c r="E3317" t="str">
        <f t="shared" si="1341"/>
        <v>KFH-OPERATIONS DEPARTMENT</v>
      </c>
      <c r="F3317" t="str">
        <f t="shared" si="1342"/>
        <v>IBG</v>
      </c>
      <c r="G3317" t="str">
        <f t="shared" si="1353"/>
        <v>Refund COSHARE 10</v>
      </c>
      <c r="H3317" s="2">
        <v>1301.25</v>
      </c>
      <c r="I3317" t="str">
        <f>"MOHD ROMIZI BIN ARIFFIN"</f>
        <v>MOHD ROMIZI BIN ARIFFIN</v>
      </c>
      <c r="J3317" t="str">
        <f t="shared" si="1354"/>
        <v>MAYBANK / MAYBANK ISLAMIC</v>
      </c>
      <c r="K3317" t="str">
        <f>"156244071157"</f>
        <v>156244071157</v>
      </c>
      <c r="L3317" t="str">
        <f t="shared" si="1359"/>
        <v>04-08-2020</v>
      </c>
      <c r="M3317" t="str">
        <f t="shared" si="1359"/>
        <v>04-08-2020</v>
      </c>
      <c r="N3317" t="str">
        <f t="shared" si="1343"/>
        <v>001105018356</v>
      </c>
      <c r="O3317" t="str">
        <f t="shared" si="1344"/>
        <v>MYR</v>
      </c>
      <c r="P3317" t="str">
        <f t="shared" si="1360"/>
        <v>NIL</v>
      </c>
      <c r="Q3317" t="str">
        <f t="shared" si="1360"/>
        <v>NIL</v>
      </c>
      <c r="R3317" t="str">
        <f t="shared" si="1345"/>
        <v>Accepted</v>
      </c>
      <c r="S3317" t="str">
        <f t="shared" si="1346"/>
        <v>Approved</v>
      </c>
      <c r="T3317" t="str">
        <f t="shared" si="1347"/>
        <v>10.20.8.188</v>
      </c>
      <c r="U3317" t="str">
        <f t="shared" si="1348"/>
        <v>AZRAD UMAR BIN SHAARI</v>
      </c>
      <c r="V3317" t="str">
        <f t="shared" si="1349"/>
        <v>FARHANA BINTI MUSTAPA</v>
      </c>
      <c r="W3317" t="str">
        <f t="shared" si="1350"/>
        <v>04-08-2020</v>
      </c>
      <c r="X3317" t="str">
        <f t="shared" si="1351"/>
        <v>RAZIMAH ANSAR AHMAD</v>
      </c>
      <c r="Y3317" t="str">
        <f t="shared" si="1352"/>
        <v>04-08-2020</v>
      </c>
      <c r="Z3317" t="str">
        <f>"COS10200804 5837"</f>
        <v>COS10200804 5837</v>
      </c>
    </row>
    <row r="3318" spans="1:26" x14ac:dyDescent="0.25">
      <c r="A3318" t="str">
        <f t="shared" si="1361"/>
        <v>04-08-2020 12:58:13</v>
      </c>
      <c r="B3318" t="str">
        <f>"0000807626"</f>
        <v>0000807626</v>
      </c>
      <c r="C3318" t="str">
        <f t="shared" si="1362"/>
        <v>0000807590</v>
      </c>
      <c r="D3318" t="str">
        <f t="shared" si="1340"/>
        <v>73185</v>
      </c>
      <c r="E3318" t="str">
        <f t="shared" si="1341"/>
        <v>KFH-OPERATIONS DEPARTMENT</v>
      </c>
      <c r="F3318" t="str">
        <f t="shared" si="1342"/>
        <v>IBG</v>
      </c>
      <c r="G3318" t="str">
        <f t="shared" si="1353"/>
        <v>Refund COSHARE 10</v>
      </c>
      <c r="H3318" s="2">
        <v>251.85</v>
      </c>
      <c r="I3318" t="str">
        <f>"MOHD ROKMAN BIN MUSTAPHA"</f>
        <v>MOHD ROKMAN BIN MUSTAPHA</v>
      </c>
      <c r="J3318" t="str">
        <f t="shared" si="1354"/>
        <v>MAYBANK / MAYBANK ISLAMIC</v>
      </c>
      <c r="K3318" t="str">
        <f>"153065249586"</f>
        <v>153065249586</v>
      </c>
      <c r="L3318" t="str">
        <f t="shared" si="1359"/>
        <v>04-08-2020</v>
      </c>
      <c r="M3318" t="str">
        <f t="shared" si="1359"/>
        <v>04-08-2020</v>
      </c>
      <c r="N3318" t="str">
        <f t="shared" si="1343"/>
        <v>001105018356</v>
      </c>
      <c r="O3318" t="str">
        <f t="shared" si="1344"/>
        <v>MYR</v>
      </c>
      <c r="P3318" t="str">
        <f t="shared" si="1360"/>
        <v>NIL</v>
      </c>
      <c r="Q3318" t="str">
        <f t="shared" si="1360"/>
        <v>NIL</v>
      </c>
      <c r="R3318" t="str">
        <f t="shared" si="1345"/>
        <v>Accepted</v>
      </c>
      <c r="S3318" t="str">
        <f t="shared" si="1346"/>
        <v>Approved</v>
      </c>
      <c r="T3318" t="str">
        <f t="shared" si="1347"/>
        <v>10.20.8.188</v>
      </c>
      <c r="U3318" t="str">
        <f t="shared" si="1348"/>
        <v>AZRAD UMAR BIN SHAARI</v>
      </c>
      <c r="V3318" t="str">
        <f t="shared" si="1349"/>
        <v>FARHANA BINTI MUSTAPA</v>
      </c>
      <c r="W3318" t="str">
        <f t="shared" si="1350"/>
        <v>04-08-2020</v>
      </c>
      <c r="X3318" t="str">
        <f t="shared" si="1351"/>
        <v>RAZIMAH ANSAR AHMAD</v>
      </c>
      <c r="Y3318" t="str">
        <f t="shared" si="1352"/>
        <v>04-08-2020</v>
      </c>
      <c r="Z3318" t="str">
        <f>"COS10200804 5836"</f>
        <v>COS10200804 5836</v>
      </c>
    </row>
    <row r="3319" spans="1:26" x14ac:dyDescent="0.25">
      <c r="A3319" t="str">
        <f t="shared" si="1361"/>
        <v>04-08-2020 12:58:13</v>
      </c>
      <c r="B3319" t="str">
        <f>"0000807625"</f>
        <v>0000807625</v>
      </c>
      <c r="C3319" t="str">
        <f t="shared" si="1362"/>
        <v>0000807590</v>
      </c>
      <c r="D3319" t="str">
        <f t="shared" si="1340"/>
        <v>73185</v>
      </c>
      <c r="E3319" t="str">
        <f t="shared" si="1341"/>
        <v>KFH-OPERATIONS DEPARTMENT</v>
      </c>
      <c r="F3319" t="str">
        <f t="shared" si="1342"/>
        <v>IBG</v>
      </c>
      <c r="G3319" t="str">
        <f t="shared" si="1353"/>
        <v>Refund COSHARE 10</v>
      </c>
      <c r="H3319" s="2">
        <v>831.1</v>
      </c>
      <c r="I3319" t="str">
        <f>"MOHD RODZI BIN MOHD UMOR"</f>
        <v>MOHD RODZI BIN MOHD UMOR</v>
      </c>
      <c r="J3319" t="str">
        <f t="shared" si="1354"/>
        <v>MAYBANK / MAYBANK ISLAMIC</v>
      </c>
      <c r="K3319" t="str">
        <f>"162143056117"</f>
        <v>162143056117</v>
      </c>
      <c r="L3319" t="str">
        <f t="shared" si="1359"/>
        <v>04-08-2020</v>
      </c>
      <c r="M3319" t="str">
        <f t="shared" si="1359"/>
        <v>04-08-2020</v>
      </c>
      <c r="N3319" t="str">
        <f t="shared" si="1343"/>
        <v>001105018356</v>
      </c>
      <c r="O3319" t="str">
        <f t="shared" si="1344"/>
        <v>MYR</v>
      </c>
      <c r="P3319" t="str">
        <f t="shared" si="1360"/>
        <v>NIL</v>
      </c>
      <c r="Q3319" t="str">
        <f t="shared" si="1360"/>
        <v>NIL</v>
      </c>
      <c r="R3319" t="str">
        <f t="shared" si="1345"/>
        <v>Accepted</v>
      </c>
      <c r="S3319" t="str">
        <f t="shared" si="1346"/>
        <v>Approved</v>
      </c>
      <c r="T3319" t="str">
        <f t="shared" si="1347"/>
        <v>10.20.8.188</v>
      </c>
      <c r="U3319" t="str">
        <f t="shared" si="1348"/>
        <v>AZRAD UMAR BIN SHAARI</v>
      </c>
      <c r="V3319" t="str">
        <f t="shared" si="1349"/>
        <v>FARHANA BINTI MUSTAPA</v>
      </c>
      <c r="W3319" t="str">
        <f t="shared" si="1350"/>
        <v>04-08-2020</v>
      </c>
      <c r="X3319" t="str">
        <f t="shared" si="1351"/>
        <v>RAZIMAH ANSAR AHMAD</v>
      </c>
      <c r="Y3319" t="str">
        <f t="shared" si="1352"/>
        <v>04-08-2020</v>
      </c>
      <c r="Z3319" t="str">
        <f>"COS10200804 5835"</f>
        <v>COS10200804 5835</v>
      </c>
    </row>
    <row r="3320" spans="1:26" x14ac:dyDescent="0.25">
      <c r="A3320" t="str">
        <f t="shared" si="1361"/>
        <v>04-08-2020 12:58:13</v>
      </c>
      <c r="B3320" t="str">
        <f>"0000807624"</f>
        <v>0000807624</v>
      </c>
      <c r="C3320" t="str">
        <f t="shared" si="1362"/>
        <v>0000807590</v>
      </c>
      <c r="D3320" t="str">
        <f t="shared" si="1340"/>
        <v>73185</v>
      </c>
      <c r="E3320" t="str">
        <f t="shared" si="1341"/>
        <v>KFH-OPERATIONS DEPARTMENT</v>
      </c>
      <c r="F3320" t="str">
        <f t="shared" si="1342"/>
        <v>IBG</v>
      </c>
      <c r="G3320" t="str">
        <f t="shared" si="1353"/>
        <v>Refund COSHARE 10</v>
      </c>
      <c r="H3320" s="2">
        <v>411.35</v>
      </c>
      <c r="I3320" t="str">
        <f>"MOHD RIZAL BIN SELEMAN"</f>
        <v>MOHD RIZAL BIN SELEMAN</v>
      </c>
      <c r="J3320" t="str">
        <f t="shared" si="1354"/>
        <v>MAYBANK / MAYBANK ISLAMIC</v>
      </c>
      <c r="K3320" t="str">
        <f>"105176005895"</f>
        <v>105176005895</v>
      </c>
      <c r="L3320" t="str">
        <f t="shared" si="1359"/>
        <v>04-08-2020</v>
      </c>
      <c r="M3320" t="str">
        <f t="shared" si="1359"/>
        <v>04-08-2020</v>
      </c>
      <c r="N3320" t="str">
        <f t="shared" si="1343"/>
        <v>001105018356</v>
      </c>
      <c r="O3320" t="str">
        <f t="shared" si="1344"/>
        <v>MYR</v>
      </c>
      <c r="P3320" t="str">
        <f t="shared" si="1360"/>
        <v>NIL</v>
      </c>
      <c r="Q3320" t="str">
        <f t="shared" si="1360"/>
        <v>NIL</v>
      </c>
      <c r="R3320" t="str">
        <f t="shared" si="1345"/>
        <v>Accepted</v>
      </c>
      <c r="S3320" t="str">
        <f t="shared" si="1346"/>
        <v>Approved</v>
      </c>
      <c r="T3320" t="str">
        <f t="shared" si="1347"/>
        <v>10.20.8.188</v>
      </c>
      <c r="U3320" t="str">
        <f t="shared" si="1348"/>
        <v>AZRAD UMAR BIN SHAARI</v>
      </c>
      <c r="V3320" t="str">
        <f t="shared" si="1349"/>
        <v>FARHANA BINTI MUSTAPA</v>
      </c>
      <c r="W3320" t="str">
        <f t="shared" si="1350"/>
        <v>04-08-2020</v>
      </c>
      <c r="X3320" t="str">
        <f t="shared" si="1351"/>
        <v>RAZIMAH ANSAR AHMAD</v>
      </c>
      <c r="Y3320" t="str">
        <f t="shared" si="1352"/>
        <v>04-08-2020</v>
      </c>
      <c r="Z3320" t="str">
        <f>"COS10200804 5834"</f>
        <v>COS10200804 5834</v>
      </c>
    </row>
    <row r="3321" spans="1:26" x14ac:dyDescent="0.25">
      <c r="A3321" t="str">
        <f t="shared" si="1361"/>
        <v>04-08-2020 12:58:13</v>
      </c>
      <c r="B3321" t="str">
        <f>"0000807623"</f>
        <v>0000807623</v>
      </c>
      <c r="C3321" t="str">
        <f t="shared" si="1362"/>
        <v>0000807590</v>
      </c>
      <c r="D3321" t="str">
        <f t="shared" si="1340"/>
        <v>73185</v>
      </c>
      <c r="E3321" t="str">
        <f t="shared" si="1341"/>
        <v>KFH-OPERATIONS DEPARTMENT</v>
      </c>
      <c r="F3321" t="str">
        <f t="shared" si="1342"/>
        <v>IBG</v>
      </c>
      <c r="G3321" t="str">
        <f t="shared" si="1353"/>
        <v>Refund COSHARE 10</v>
      </c>
      <c r="H3321" s="2">
        <v>366</v>
      </c>
      <c r="I3321" t="str">
        <f>"MOHD RIZAL BIN NAJMI"</f>
        <v>MOHD RIZAL BIN NAJMI</v>
      </c>
      <c r="J3321" t="str">
        <f t="shared" si="1354"/>
        <v>MAYBANK / MAYBANK ISLAMIC</v>
      </c>
      <c r="K3321" t="str">
        <f>"164360585764"</f>
        <v>164360585764</v>
      </c>
      <c r="L3321" t="str">
        <f t="shared" si="1359"/>
        <v>04-08-2020</v>
      </c>
      <c r="M3321" t="str">
        <f t="shared" si="1359"/>
        <v>04-08-2020</v>
      </c>
      <c r="N3321" t="str">
        <f t="shared" si="1343"/>
        <v>001105018356</v>
      </c>
      <c r="O3321" t="str">
        <f t="shared" si="1344"/>
        <v>MYR</v>
      </c>
      <c r="P3321" t="str">
        <f t="shared" si="1360"/>
        <v>NIL</v>
      </c>
      <c r="Q3321" t="str">
        <f t="shared" si="1360"/>
        <v>NIL</v>
      </c>
      <c r="R3321" t="str">
        <f t="shared" si="1345"/>
        <v>Accepted</v>
      </c>
      <c r="S3321" t="str">
        <f t="shared" si="1346"/>
        <v>Approved</v>
      </c>
      <c r="T3321" t="str">
        <f t="shared" si="1347"/>
        <v>10.20.8.188</v>
      </c>
      <c r="U3321" t="str">
        <f t="shared" si="1348"/>
        <v>AZRAD UMAR BIN SHAARI</v>
      </c>
      <c r="V3321" t="str">
        <f t="shared" si="1349"/>
        <v>FARHANA BINTI MUSTAPA</v>
      </c>
      <c r="W3321" t="str">
        <f t="shared" si="1350"/>
        <v>04-08-2020</v>
      </c>
      <c r="X3321" t="str">
        <f t="shared" si="1351"/>
        <v>RAZIMAH ANSAR AHMAD</v>
      </c>
      <c r="Y3321" t="str">
        <f t="shared" si="1352"/>
        <v>04-08-2020</v>
      </c>
      <c r="Z3321" t="str">
        <f>"COS10200804 5833"</f>
        <v>COS10200804 5833</v>
      </c>
    </row>
    <row r="3322" spans="1:26" x14ac:dyDescent="0.25">
      <c r="A3322" t="str">
        <f t="shared" si="1361"/>
        <v>04-08-2020 12:58:13</v>
      </c>
      <c r="B3322" t="str">
        <f>"0000807622"</f>
        <v>0000807622</v>
      </c>
      <c r="C3322" t="str">
        <f t="shared" si="1362"/>
        <v>0000807590</v>
      </c>
      <c r="D3322" t="str">
        <f t="shared" si="1340"/>
        <v>73185</v>
      </c>
      <c r="E3322" t="str">
        <f t="shared" si="1341"/>
        <v>KFH-OPERATIONS DEPARTMENT</v>
      </c>
      <c r="F3322" t="str">
        <f t="shared" si="1342"/>
        <v>IBG</v>
      </c>
      <c r="G3322" t="str">
        <f t="shared" si="1353"/>
        <v>Refund COSHARE 10</v>
      </c>
      <c r="H3322" s="2">
        <v>428.15</v>
      </c>
      <c r="I3322" t="str">
        <f>"MOHD RIZAL BIN NAJMI"</f>
        <v>MOHD RIZAL BIN NAJMI</v>
      </c>
      <c r="J3322" t="str">
        <f t="shared" si="1354"/>
        <v>MAYBANK / MAYBANK ISLAMIC</v>
      </c>
      <c r="K3322" t="str">
        <f>"164360585764"</f>
        <v>164360585764</v>
      </c>
      <c r="L3322" t="str">
        <f t="shared" si="1359"/>
        <v>04-08-2020</v>
      </c>
      <c r="M3322" t="str">
        <f t="shared" si="1359"/>
        <v>04-08-2020</v>
      </c>
      <c r="N3322" t="str">
        <f t="shared" si="1343"/>
        <v>001105018356</v>
      </c>
      <c r="O3322" t="str">
        <f t="shared" si="1344"/>
        <v>MYR</v>
      </c>
      <c r="P3322" t="str">
        <f t="shared" si="1360"/>
        <v>NIL</v>
      </c>
      <c r="Q3322" t="str">
        <f t="shared" si="1360"/>
        <v>NIL</v>
      </c>
      <c r="R3322" t="str">
        <f t="shared" si="1345"/>
        <v>Accepted</v>
      </c>
      <c r="S3322" t="str">
        <f t="shared" si="1346"/>
        <v>Approved</v>
      </c>
      <c r="T3322" t="str">
        <f t="shared" si="1347"/>
        <v>10.20.8.188</v>
      </c>
      <c r="U3322" t="str">
        <f t="shared" si="1348"/>
        <v>AZRAD UMAR BIN SHAARI</v>
      </c>
      <c r="V3322" t="str">
        <f t="shared" si="1349"/>
        <v>FARHANA BINTI MUSTAPA</v>
      </c>
      <c r="W3322" t="str">
        <f t="shared" si="1350"/>
        <v>04-08-2020</v>
      </c>
      <c r="X3322" t="str">
        <f t="shared" si="1351"/>
        <v>RAZIMAH ANSAR AHMAD</v>
      </c>
      <c r="Y3322" t="str">
        <f t="shared" si="1352"/>
        <v>04-08-2020</v>
      </c>
      <c r="Z3322" t="str">
        <f>"COS10200804 5832"</f>
        <v>COS10200804 5832</v>
      </c>
    </row>
    <row r="3323" spans="1:26" x14ac:dyDescent="0.25">
      <c r="A3323" t="str">
        <f t="shared" si="1361"/>
        <v>04-08-2020 12:58:13</v>
      </c>
      <c r="B3323" t="str">
        <f>"0000807621"</f>
        <v>0000807621</v>
      </c>
      <c r="C3323" t="str">
        <f t="shared" si="1362"/>
        <v>0000807590</v>
      </c>
      <c r="D3323" t="str">
        <f t="shared" si="1340"/>
        <v>73185</v>
      </c>
      <c r="E3323" t="str">
        <f t="shared" si="1341"/>
        <v>KFH-OPERATIONS DEPARTMENT</v>
      </c>
      <c r="F3323" t="str">
        <f t="shared" si="1342"/>
        <v>IBG</v>
      </c>
      <c r="G3323" t="str">
        <f t="shared" si="1353"/>
        <v>Refund COSHARE 10</v>
      </c>
      <c r="H3323" s="2">
        <v>277.05</v>
      </c>
      <c r="I3323" t="str">
        <f>"MOHD RIZAL BIN MOHD SYAFIE"</f>
        <v>MOHD RIZAL BIN MOHD SYAFIE</v>
      </c>
      <c r="J3323" t="str">
        <f t="shared" si="1354"/>
        <v>MAYBANK / MAYBANK ISLAMIC</v>
      </c>
      <c r="K3323" t="str">
        <f>"151294753305"</f>
        <v>151294753305</v>
      </c>
      <c r="L3323" t="str">
        <f t="shared" si="1359"/>
        <v>04-08-2020</v>
      </c>
      <c r="M3323" t="str">
        <f t="shared" si="1359"/>
        <v>04-08-2020</v>
      </c>
      <c r="N3323" t="str">
        <f t="shared" si="1343"/>
        <v>001105018356</v>
      </c>
      <c r="O3323" t="str">
        <f t="shared" si="1344"/>
        <v>MYR</v>
      </c>
      <c r="P3323" t="str">
        <f t="shared" si="1360"/>
        <v>NIL</v>
      </c>
      <c r="Q3323" t="str">
        <f t="shared" si="1360"/>
        <v>NIL</v>
      </c>
      <c r="R3323" t="str">
        <f t="shared" si="1345"/>
        <v>Accepted</v>
      </c>
      <c r="S3323" t="str">
        <f t="shared" si="1346"/>
        <v>Approved</v>
      </c>
      <c r="T3323" t="str">
        <f t="shared" si="1347"/>
        <v>10.20.8.188</v>
      </c>
      <c r="U3323" t="str">
        <f t="shared" si="1348"/>
        <v>AZRAD UMAR BIN SHAARI</v>
      </c>
      <c r="V3323" t="str">
        <f t="shared" si="1349"/>
        <v>FARHANA BINTI MUSTAPA</v>
      </c>
      <c r="W3323" t="str">
        <f t="shared" si="1350"/>
        <v>04-08-2020</v>
      </c>
      <c r="X3323" t="str">
        <f t="shared" si="1351"/>
        <v>RAZIMAH ANSAR AHMAD</v>
      </c>
      <c r="Y3323" t="str">
        <f t="shared" si="1352"/>
        <v>04-08-2020</v>
      </c>
      <c r="Z3323" t="str">
        <f>"COS10200804 5831"</f>
        <v>COS10200804 5831</v>
      </c>
    </row>
    <row r="3324" spans="1:26" x14ac:dyDescent="0.25">
      <c r="A3324" t="str">
        <f t="shared" si="1361"/>
        <v>04-08-2020 12:58:13</v>
      </c>
      <c r="B3324" t="str">
        <f>"0000807620"</f>
        <v>0000807620</v>
      </c>
      <c r="C3324" t="str">
        <f t="shared" si="1362"/>
        <v>0000807590</v>
      </c>
      <c r="D3324" t="str">
        <f t="shared" si="1340"/>
        <v>73185</v>
      </c>
      <c r="E3324" t="str">
        <f t="shared" si="1341"/>
        <v>KFH-OPERATIONS DEPARTMENT</v>
      </c>
      <c r="F3324" t="str">
        <f t="shared" si="1342"/>
        <v>IBG</v>
      </c>
      <c r="G3324" t="str">
        <f t="shared" si="1353"/>
        <v>Refund COSHARE 10</v>
      </c>
      <c r="H3324" s="2">
        <v>42</v>
      </c>
      <c r="I3324" t="str">
        <f>"MOHD RIZAL BIN MOHAMED  MOHD BADRI"</f>
        <v>MOHD RIZAL BIN MOHAMED  MOHD BADRI</v>
      </c>
      <c r="J3324" t="str">
        <f t="shared" si="1354"/>
        <v>MAYBANK / MAYBANK ISLAMIC</v>
      </c>
      <c r="K3324" t="str">
        <f>"101262058293"</f>
        <v>101262058293</v>
      </c>
      <c r="L3324" t="str">
        <f t="shared" si="1359"/>
        <v>04-08-2020</v>
      </c>
      <c r="M3324" t="str">
        <f t="shared" si="1359"/>
        <v>04-08-2020</v>
      </c>
      <c r="N3324" t="str">
        <f t="shared" si="1343"/>
        <v>001105018356</v>
      </c>
      <c r="O3324" t="str">
        <f t="shared" si="1344"/>
        <v>MYR</v>
      </c>
      <c r="P3324" t="str">
        <f t="shared" si="1360"/>
        <v>NIL</v>
      </c>
      <c r="Q3324" t="str">
        <f t="shared" si="1360"/>
        <v>NIL</v>
      </c>
      <c r="R3324" t="str">
        <f t="shared" si="1345"/>
        <v>Accepted</v>
      </c>
      <c r="S3324" t="str">
        <f t="shared" si="1346"/>
        <v>Approved</v>
      </c>
      <c r="T3324" t="str">
        <f t="shared" si="1347"/>
        <v>10.20.8.188</v>
      </c>
      <c r="U3324" t="str">
        <f t="shared" si="1348"/>
        <v>AZRAD UMAR BIN SHAARI</v>
      </c>
      <c r="V3324" t="str">
        <f t="shared" si="1349"/>
        <v>FARHANA BINTI MUSTAPA</v>
      </c>
      <c r="W3324" t="str">
        <f t="shared" si="1350"/>
        <v>04-08-2020</v>
      </c>
      <c r="X3324" t="str">
        <f t="shared" si="1351"/>
        <v>RAZIMAH ANSAR AHMAD</v>
      </c>
      <c r="Y3324" t="str">
        <f t="shared" si="1352"/>
        <v>04-08-2020</v>
      </c>
      <c r="Z3324" t="str">
        <f>"COS10200804 5830"</f>
        <v>COS10200804 5830</v>
      </c>
    </row>
    <row r="3325" spans="1:26" x14ac:dyDescent="0.25">
      <c r="A3325" t="str">
        <f t="shared" si="1361"/>
        <v>04-08-2020 12:58:13</v>
      </c>
      <c r="B3325" t="str">
        <f>"0000807619"</f>
        <v>0000807619</v>
      </c>
      <c r="C3325" t="str">
        <f t="shared" si="1362"/>
        <v>0000807590</v>
      </c>
      <c r="D3325" t="str">
        <f t="shared" si="1340"/>
        <v>73185</v>
      </c>
      <c r="E3325" t="str">
        <f t="shared" si="1341"/>
        <v>KFH-OPERATIONS DEPARTMENT</v>
      </c>
      <c r="F3325" t="str">
        <f t="shared" si="1342"/>
        <v>IBG</v>
      </c>
      <c r="G3325" t="str">
        <f t="shared" si="1353"/>
        <v>Refund COSHARE 10</v>
      </c>
      <c r="H3325" s="2">
        <v>1469.15</v>
      </c>
      <c r="I3325" t="str">
        <f>"MOHD RIZAL BIN MOHAMAD SAHARAN"</f>
        <v>MOHD RIZAL BIN MOHAMAD SAHARAN</v>
      </c>
      <c r="J3325" t="str">
        <f t="shared" si="1354"/>
        <v>MAYBANK / MAYBANK ISLAMIC</v>
      </c>
      <c r="K3325" t="str">
        <f>"164212326462"</f>
        <v>164212326462</v>
      </c>
      <c r="L3325" t="str">
        <f t="shared" si="1359"/>
        <v>04-08-2020</v>
      </c>
      <c r="M3325" t="str">
        <f t="shared" si="1359"/>
        <v>04-08-2020</v>
      </c>
      <c r="N3325" t="str">
        <f t="shared" si="1343"/>
        <v>001105018356</v>
      </c>
      <c r="O3325" t="str">
        <f t="shared" si="1344"/>
        <v>MYR</v>
      </c>
      <c r="P3325" t="str">
        <f t="shared" si="1360"/>
        <v>NIL</v>
      </c>
      <c r="Q3325" t="str">
        <f t="shared" si="1360"/>
        <v>NIL</v>
      </c>
      <c r="R3325" t="str">
        <f t="shared" si="1345"/>
        <v>Accepted</v>
      </c>
      <c r="S3325" t="str">
        <f t="shared" si="1346"/>
        <v>Approved</v>
      </c>
      <c r="T3325" t="str">
        <f t="shared" si="1347"/>
        <v>10.20.8.188</v>
      </c>
      <c r="U3325" t="str">
        <f t="shared" si="1348"/>
        <v>AZRAD UMAR BIN SHAARI</v>
      </c>
      <c r="V3325" t="str">
        <f t="shared" si="1349"/>
        <v>FARHANA BINTI MUSTAPA</v>
      </c>
      <c r="W3325" t="str">
        <f t="shared" si="1350"/>
        <v>04-08-2020</v>
      </c>
      <c r="X3325" t="str">
        <f t="shared" si="1351"/>
        <v>RAZIMAH ANSAR AHMAD</v>
      </c>
      <c r="Y3325" t="str">
        <f t="shared" si="1352"/>
        <v>04-08-2020</v>
      </c>
      <c r="Z3325" t="str">
        <f>"COS10200804 5829"</f>
        <v>COS10200804 5829</v>
      </c>
    </row>
    <row r="3326" spans="1:26" x14ac:dyDescent="0.25">
      <c r="A3326" t="str">
        <f t="shared" si="1361"/>
        <v>04-08-2020 12:58:13</v>
      </c>
      <c r="B3326" t="str">
        <f>"0000807618"</f>
        <v>0000807618</v>
      </c>
      <c r="C3326" t="str">
        <f t="shared" si="1362"/>
        <v>0000807590</v>
      </c>
      <c r="D3326" t="str">
        <f t="shared" si="1340"/>
        <v>73185</v>
      </c>
      <c r="E3326" t="str">
        <f t="shared" si="1341"/>
        <v>KFH-OPERATIONS DEPARTMENT</v>
      </c>
      <c r="F3326" t="str">
        <f t="shared" si="1342"/>
        <v>IBG</v>
      </c>
      <c r="G3326" t="str">
        <f t="shared" si="1353"/>
        <v>Refund COSHARE 10</v>
      </c>
      <c r="H3326" s="2">
        <v>335.8</v>
      </c>
      <c r="I3326" t="str">
        <f>"MOHD RIZAL BIN ALWI"</f>
        <v>MOHD RIZAL BIN ALWI</v>
      </c>
      <c r="J3326" t="str">
        <f t="shared" si="1354"/>
        <v>MAYBANK / MAYBANK ISLAMIC</v>
      </c>
      <c r="K3326" t="str">
        <f>"164089997718"</f>
        <v>164089997718</v>
      </c>
      <c r="L3326" t="str">
        <f t="shared" si="1359"/>
        <v>04-08-2020</v>
      </c>
      <c r="M3326" t="str">
        <f t="shared" si="1359"/>
        <v>04-08-2020</v>
      </c>
      <c r="N3326" t="str">
        <f t="shared" si="1343"/>
        <v>001105018356</v>
      </c>
      <c r="O3326" t="str">
        <f t="shared" si="1344"/>
        <v>MYR</v>
      </c>
      <c r="P3326" t="str">
        <f t="shared" si="1360"/>
        <v>NIL</v>
      </c>
      <c r="Q3326" t="str">
        <f t="shared" si="1360"/>
        <v>NIL</v>
      </c>
      <c r="R3326" t="str">
        <f t="shared" si="1345"/>
        <v>Accepted</v>
      </c>
      <c r="S3326" t="str">
        <f t="shared" si="1346"/>
        <v>Approved</v>
      </c>
      <c r="T3326" t="str">
        <f t="shared" si="1347"/>
        <v>10.20.8.188</v>
      </c>
      <c r="U3326" t="str">
        <f t="shared" si="1348"/>
        <v>AZRAD UMAR BIN SHAARI</v>
      </c>
      <c r="V3326" t="str">
        <f t="shared" si="1349"/>
        <v>FARHANA BINTI MUSTAPA</v>
      </c>
      <c r="W3326" t="str">
        <f t="shared" si="1350"/>
        <v>04-08-2020</v>
      </c>
      <c r="X3326" t="str">
        <f t="shared" si="1351"/>
        <v>RAZIMAH ANSAR AHMAD</v>
      </c>
      <c r="Y3326" t="str">
        <f t="shared" si="1352"/>
        <v>04-08-2020</v>
      </c>
      <c r="Z3326" t="str">
        <f>"COS10200804 5828"</f>
        <v>COS10200804 5828</v>
      </c>
    </row>
    <row r="3327" spans="1:26" x14ac:dyDescent="0.25">
      <c r="A3327" t="str">
        <f t="shared" si="1361"/>
        <v>04-08-2020 12:58:13</v>
      </c>
      <c r="B3327" t="str">
        <f>"0000807617"</f>
        <v>0000807617</v>
      </c>
      <c r="C3327" t="str">
        <f t="shared" si="1362"/>
        <v>0000807590</v>
      </c>
      <c r="D3327" t="str">
        <f t="shared" si="1340"/>
        <v>73185</v>
      </c>
      <c r="E3327" t="str">
        <f t="shared" si="1341"/>
        <v>KFH-OPERATIONS DEPARTMENT</v>
      </c>
      <c r="F3327" t="str">
        <f t="shared" si="1342"/>
        <v>IBG</v>
      </c>
      <c r="G3327" t="str">
        <f t="shared" si="1353"/>
        <v>Refund COSHARE 10</v>
      </c>
      <c r="H3327" s="2">
        <v>1301.25</v>
      </c>
      <c r="I3327" t="str">
        <f>"MOHD RITHAUDDIN BIN AHMAD"</f>
        <v>MOHD RITHAUDDIN BIN AHMAD</v>
      </c>
      <c r="J3327" t="str">
        <f t="shared" si="1354"/>
        <v>MAYBANK / MAYBANK ISLAMIC</v>
      </c>
      <c r="K3327" t="str">
        <f>"110050155177"</f>
        <v>110050155177</v>
      </c>
      <c r="L3327" t="str">
        <f t="shared" ref="L3327:M3346" si="1363">"04-08-2020"</f>
        <v>04-08-2020</v>
      </c>
      <c r="M3327" t="str">
        <f t="shared" si="1363"/>
        <v>04-08-2020</v>
      </c>
      <c r="N3327" t="str">
        <f t="shared" si="1343"/>
        <v>001105018356</v>
      </c>
      <c r="O3327" t="str">
        <f t="shared" si="1344"/>
        <v>MYR</v>
      </c>
      <c r="P3327" t="str">
        <f t="shared" ref="P3327:Q3346" si="1364">"NIL"</f>
        <v>NIL</v>
      </c>
      <c r="Q3327" t="str">
        <f t="shared" si="1364"/>
        <v>NIL</v>
      </c>
      <c r="R3327" t="str">
        <f t="shared" si="1345"/>
        <v>Accepted</v>
      </c>
      <c r="S3327" t="str">
        <f t="shared" si="1346"/>
        <v>Approved</v>
      </c>
      <c r="T3327" t="str">
        <f t="shared" si="1347"/>
        <v>10.20.8.188</v>
      </c>
      <c r="U3327" t="str">
        <f t="shared" si="1348"/>
        <v>AZRAD UMAR BIN SHAARI</v>
      </c>
      <c r="V3327" t="str">
        <f t="shared" si="1349"/>
        <v>FARHANA BINTI MUSTAPA</v>
      </c>
      <c r="W3327" t="str">
        <f t="shared" si="1350"/>
        <v>04-08-2020</v>
      </c>
      <c r="X3327" t="str">
        <f t="shared" si="1351"/>
        <v>RAZIMAH ANSAR AHMAD</v>
      </c>
      <c r="Y3327" t="str">
        <f t="shared" si="1352"/>
        <v>04-08-2020</v>
      </c>
      <c r="Z3327" t="str">
        <f>"COS10200804 5827"</f>
        <v>COS10200804 5827</v>
      </c>
    </row>
    <row r="3328" spans="1:26" x14ac:dyDescent="0.25">
      <c r="A3328" t="str">
        <f t="shared" si="1361"/>
        <v>04-08-2020 12:58:13</v>
      </c>
      <c r="B3328" t="str">
        <f>"0000807616"</f>
        <v>0000807616</v>
      </c>
      <c r="C3328" t="str">
        <f t="shared" si="1362"/>
        <v>0000807590</v>
      </c>
      <c r="D3328" t="str">
        <f t="shared" si="1340"/>
        <v>73185</v>
      </c>
      <c r="E3328" t="str">
        <f t="shared" si="1341"/>
        <v>KFH-OPERATIONS DEPARTMENT</v>
      </c>
      <c r="F3328" t="str">
        <f t="shared" si="1342"/>
        <v>IBG</v>
      </c>
      <c r="G3328" t="str">
        <f t="shared" si="1353"/>
        <v>Refund COSHARE 10</v>
      </c>
      <c r="H3328" s="2">
        <v>763.95</v>
      </c>
      <c r="I3328" t="str">
        <f>"MOHD RIDZUAN BIN OTHMAN"</f>
        <v>MOHD RIDZUAN BIN OTHMAN</v>
      </c>
      <c r="J3328" t="str">
        <f t="shared" si="1354"/>
        <v>MAYBANK / MAYBANK ISLAMIC</v>
      </c>
      <c r="K3328" t="str">
        <f>"156075822217"</f>
        <v>156075822217</v>
      </c>
      <c r="L3328" t="str">
        <f t="shared" si="1363"/>
        <v>04-08-2020</v>
      </c>
      <c r="M3328" t="str">
        <f t="shared" si="1363"/>
        <v>04-08-2020</v>
      </c>
      <c r="N3328" t="str">
        <f t="shared" si="1343"/>
        <v>001105018356</v>
      </c>
      <c r="O3328" t="str">
        <f t="shared" si="1344"/>
        <v>MYR</v>
      </c>
      <c r="P3328" t="str">
        <f t="shared" si="1364"/>
        <v>NIL</v>
      </c>
      <c r="Q3328" t="str">
        <f t="shared" si="1364"/>
        <v>NIL</v>
      </c>
      <c r="R3328" t="str">
        <f t="shared" si="1345"/>
        <v>Accepted</v>
      </c>
      <c r="S3328" t="str">
        <f t="shared" si="1346"/>
        <v>Approved</v>
      </c>
      <c r="T3328" t="str">
        <f t="shared" si="1347"/>
        <v>10.20.8.188</v>
      </c>
      <c r="U3328" t="str">
        <f t="shared" si="1348"/>
        <v>AZRAD UMAR BIN SHAARI</v>
      </c>
      <c r="V3328" t="str">
        <f t="shared" si="1349"/>
        <v>FARHANA BINTI MUSTAPA</v>
      </c>
      <c r="W3328" t="str">
        <f t="shared" si="1350"/>
        <v>04-08-2020</v>
      </c>
      <c r="X3328" t="str">
        <f t="shared" si="1351"/>
        <v>RAZIMAH ANSAR AHMAD</v>
      </c>
      <c r="Y3328" t="str">
        <f t="shared" si="1352"/>
        <v>04-08-2020</v>
      </c>
      <c r="Z3328" t="str">
        <f>"COS10200804 5826"</f>
        <v>COS10200804 5826</v>
      </c>
    </row>
    <row r="3329" spans="1:26" x14ac:dyDescent="0.25">
      <c r="A3329" t="str">
        <f t="shared" si="1361"/>
        <v>04-08-2020 12:58:13</v>
      </c>
      <c r="B3329" t="str">
        <f>"0000807615"</f>
        <v>0000807615</v>
      </c>
      <c r="C3329" t="str">
        <f t="shared" si="1362"/>
        <v>0000807590</v>
      </c>
      <c r="D3329" t="str">
        <f t="shared" si="1340"/>
        <v>73185</v>
      </c>
      <c r="E3329" t="str">
        <f t="shared" si="1341"/>
        <v>KFH-OPERATIONS DEPARTMENT</v>
      </c>
      <c r="F3329" t="str">
        <f t="shared" si="1342"/>
        <v>IBG</v>
      </c>
      <c r="G3329" t="str">
        <f t="shared" si="1353"/>
        <v>Refund COSHARE 10</v>
      </c>
      <c r="H3329" s="2">
        <v>380</v>
      </c>
      <c r="I3329" t="str">
        <f>"MOHD RIDZUAN BIN ISMAIL"</f>
        <v>MOHD RIDZUAN BIN ISMAIL</v>
      </c>
      <c r="J3329" t="str">
        <f t="shared" si="1354"/>
        <v>MAYBANK / MAYBANK ISLAMIC</v>
      </c>
      <c r="K3329" t="str">
        <f>"151203916585"</f>
        <v>151203916585</v>
      </c>
      <c r="L3329" t="str">
        <f t="shared" si="1363"/>
        <v>04-08-2020</v>
      </c>
      <c r="M3329" t="str">
        <f t="shared" si="1363"/>
        <v>04-08-2020</v>
      </c>
      <c r="N3329" t="str">
        <f t="shared" si="1343"/>
        <v>001105018356</v>
      </c>
      <c r="O3329" t="str">
        <f t="shared" si="1344"/>
        <v>MYR</v>
      </c>
      <c r="P3329" t="str">
        <f t="shared" si="1364"/>
        <v>NIL</v>
      </c>
      <c r="Q3329" t="str">
        <f t="shared" si="1364"/>
        <v>NIL</v>
      </c>
      <c r="R3329" t="str">
        <f t="shared" si="1345"/>
        <v>Accepted</v>
      </c>
      <c r="S3329" t="str">
        <f t="shared" si="1346"/>
        <v>Approved</v>
      </c>
      <c r="T3329" t="str">
        <f t="shared" si="1347"/>
        <v>10.20.8.188</v>
      </c>
      <c r="U3329" t="str">
        <f t="shared" si="1348"/>
        <v>AZRAD UMAR BIN SHAARI</v>
      </c>
      <c r="V3329" t="str">
        <f t="shared" si="1349"/>
        <v>FARHANA BINTI MUSTAPA</v>
      </c>
      <c r="W3329" t="str">
        <f t="shared" si="1350"/>
        <v>04-08-2020</v>
      </c>
      <c r="X3329" t="str">
        <f t="shared" si="1351"/>
        <v>RAZIMAH ANSAR AHMAD</v>
      </c>
      <c r="Y3329" t="str">
        <f t="shared" si="1352"/>
        <v>04-08-2020</v>
      </c>
      <c r="Z3329" t="str">
        <f>"COS10200804 5825"</f>
        <v>COS10200804 5825</v>
      </c>
    </row>
    <row r="3330" spans="1:26" x14ac:dyDescent="0.25">
      <c r="A3330" t="str">
        <f t="shared" si="1361"/>
        <v>04-08-2020 12:58:13</v>
      </c>
      <c r="B3330" t="str">
        <f>"0000807614"</f>
        <v>0000807614</v>
      </c>
      <c r="C3330" t="str">
        <f t="shared" si="1362"/>
        <v>0000807590</v>
      </c>
      <c r="D3330" t="str">
        <f t="shared" si="1340"/>
        <v>73185</v>
      </c>
      <c r="E3330" t="str">
        <f t="shared" si="1341"/>
        <v>KFH-OPERATIONS DEPARTMENT</v>
      </c>
      <c r="F3330" t="str">
        <f t="shared" si="1342"/>
        <v>IBG</v>
      </c>
      <c r="G3330" t="str">
        <f t="shared" si="1353"/>
        <v>Refund COSHARE 10</v>
      </c>
      <c r="H3330" s="2">
        <v>293.85000000000002</v>
      </c>
      <c r="I3330" t="str">
        <f>"MOHD RIDZAL BIN JUMANG"</f>
        <v>MOHD RIDZAL BIN JUMANG</v>
      </c>
      <c r="J3330" t="str">
        <f t="shared" si="1354"/>
        <v>MAYBANK / MAYBANK ISLAMIC</v>
      </c>
      <c r="K3330" t="str">
        <f>"161211252103"</f>
        <v>161211252103</v>
      </c>
      <c r="L3330" t="str">
        <f t="shared" si="1363"/>
        <v>04-08-2020</v>
      </c>
      <c r="M3330" t="str">
        <f t="shared" si="1363"/>
        <v>04-08-2020</v>
      </c>
      <c r="N3330" t="str">
        <f t="shared" si="1343"/>
        <v>001105018356</v>
      </c>
      <c r="O3330" t="str">
        <f t="shared" si="1344"/>
        <v>MYR</v>
      </c>
      <c r="P3330" t="str">
        <f t="shared" si="1364"/>
        <v>NIL</v>
      </c>
      <c r="Q3330" t="str">
        <f t="shared" si="1364"/>
        <v>NIL</v>
      </c>
      <c r="R3330" t="str">
        <f t="shared" si="1345"/>
        <v>Accepted</v>
      </c>
      <c r="S3330" t="str">
        <f t="shared" si="1346"/>
        <v>Approved</v>
      </c>
      <c r="T3330" t="str">
        <f t="shared" si="1347"/>
        <v>10.20.8.188</v>
      </c>
      <c r="U3330" t="str">
        <f t="shared" si="1348"/>
        <v>AZRAD UMAR BIN SHAARI</v>
      </c>
      <c r="V3330" t="str">
        <f t="shared" si="1349"/>
        <v>FARHANA BINTI MUSTAPA</v>
      </c>
      <c r="W3330" t="str">
        <f t="shared" si="1350"/>
        <v>04-08-2020</v>
      </c>
      <c r="X3330" t="str">
        <f t="shared" si="1351"/>
        <v>RAZIMAH ANSAR AHMAD</v>
      </c>
      <c r="Y3330" t="str">
        <f t="shared" si="1352"/>
        <v>04-08-2020</v>
      </c>
      <c r="Z3330" t="str">
        <f>"COS10200804 5824"</f>
        <v>COS10200804 5824</v>
      </c>
    </row>
    <row r="3331" spans="1:26" x14ac:dyDescent="0.25">
      <c r="A3331" t="str">
        <f t="shared" si="1361"/>
        <v>04-08-2020 12:58:13</v>
      </c>
      <c r="B3331" t="str">
        <f>"0000807613"</f>
        <v>0000807613</v>
      </c>
      <c r="C3331" t="str">
        <f t="shared" si="1362"/>
        <v>0000807590</v>
      </c>
      <c r="D3331" t="str">
        <f t="shared" si="1340"/>
        <v>73185</v>
      </c>
      <c r="E3331" t="str">
        <f t="shared" si="1341"/>
        <v>KFH-OPERATIONS DEPARTMENT</v>
      </c>
      <c r="F3331" t="str">
        <f t="shared" si="1342"/>
        <v>IBG</v>
      </c>
      <c r="G3331" t="str">
        <f t="shared" si="1353"/>
        <v>Refund COSHARE 10</v>
      </c>
      <c r="H3331" s="2">
        <v>142.75</v>
      </c>
      <c r="I3331" t="str">
        <f>"MOHD RIDWAN BIN MUHAMAD SHARIF"</f>
        <v>MOHD RIDWAN BIN MUHAMAD SHARIF</v>
      </c>
      <c r="J3331" t="str">
        <f t="shared" si="1354"/>
        <v>MAYBANK / MAYBANK ISLAMIC</v>
      </c>
      <c r="K3331" t="str">
        <f>"157308001074"</f>
        <v>157308001074</v>
      </c>
      <c r="L3331" t="str">
        <f t="shared" si="1363"/>
        <v>04-08-2020</v>
      </c>
      <c r="M3331" t="str">
        <f t="shared" si="1363"/>
        <v>04-08-2020</v>
      </c>
      <c r="N3331" t="str">
        <f t="shared" si="1343"/>
        <v>001105018356</v>
      </c>
      <c r="O3331" t="str">
        <f t="shared" si="1344"/>
        <v>MYR</v>
      </c>
      <c r="P3331" t="str">
        <f t="shared" si="1364"/>
        <v>NIL</v>
      </c>
      <c r="Q3331" t="str">
        <f t="shared" si="1364"/>
        <v>NIL</v>
      </c>
      <c r="R3331" t="str">
        <f t="shared" si="1345"/>
        <v>Accepted</v>
      </c>
      <c r="S3331" t="str">
        <f t="shared" si="1346"/>
        <v>Approved</v>
      </c>
      <c r="T3331" t="str">
        <f t="shared" si="1347"/>
        <v>10.20.8.188</v>
      </c>
      <c r="U3331" t="str">
        <f t="shared" si="1348"/>
        <v>AZRAD UMAR BIN SHAARI</v>
      </c>
      <c r="V3331" t="str">
        <f t="shared" si="1349"/>
        <v>FARHANA BINTI MUSTAPA</v>
      </c>
      <c r="W3331" t="str">
        <f t="shared" si="1350"/>
        <v>04-08-2020</v>
      </c>
      <c r="X3331" t="str">
        <f t="shared" si="1351"/>
        <v>RAZIMAH ANSAR AHMAD</v>
      </c>
      <c r="Y3331" t="str">
        <f t="shared" si="1352"/>
        <v>04-08-2020</v>
      </c>
      <c r="Z3331" t="str">
        <f>"COS10200804 5823"</f>
        <v>COS10200804 5823</v>
      </c>
    </row>
    <row r="3332" spans="1:26" x14ac:dyDescent="0.25">
      <c r="A3332" t="str">
        <f t="shared" si="1361"/>
        <v>04-08-2020 12:58:13</v>
      </c>
      <c r="B3332" t="str">
        <f>"0000807612"</f>
        <v>0000807612</v>
      </c>
      <c r="C3332" t="str">
        <f t="shared" si="1362"/>
        <v>0000807590</v>
      </c>
      <c r="D3332" t="str">
        <f t="shared" si="1340"/>
        <v>73185</v>
      </c>
      <c r="E3332" t="str">
        <f t="shared" si="1341"/>
        <v>KFH-OPERATIONS DEPARTMENT</v>
      </c>
      <c r="F3332" t="str">
        <f t="shared" si="1342"/>
        <v>IBG</v>
      </c>
      <c r="G3332" t="str">
        <f t="shared" si="1353"/>
        <v>Refund COSHARE 10</v>
      </c>
      <c r="H3332" s="2">
        <v>419.75</v>
      </c>
      <c r="I3332" t="str">
        <f>"MOHD RIDUAN BIN MOHAMAD ALI"</f>
        <v>MOHD RIDUAN BIN MOHAMAD ALI</v>
      </c>
      <c r="J3332" t="str">
        <f t="shared" si="1354"/>
        <v>MAYBANK / MAYBANK ISLAMIC</v>
      </c>
      <c r="K3332" t="str">
        <f>"112045920859"</f>
        <v>112045920859</v>
      </c>
      <c r="L3332" t="str">
        <f t="shared" si="1363"/>
        <v>04-08-2020</v>
      </c>
      <c r="M3332" t="str">
        <f t="shared" si="1363"/>
        <v>04-08-2020</v>
      </c>
      <c r="N3332" t="str">
        <f t="shared" si="1343"/>
        <v>001105018356</v>
      </c>
      <c r="O3332" t="str">
        <f t="shared" si="1344"/>
        <v>MYR</v>
      </c>
      <c r="P3332" t="str">
        <f t="shared" si="1364"/>
        <v>NIL</v>
      </c>
      <c r="Q3332" t="str">
        <f t="shared" si="1364"/>
        <v>NIL</v>
      </c>
      <c r="R3332" t="str">
        <f t="shared" si="1345"/>
        <v>Accepted</v>
      </c>
      <c r="S3332" t="str">
        <f t="shared" si="1346"/>
        <v>Approved</v>
      </c>
      <c r="T3332" t="str">
        <f t="shared" si="1347"/>
        <v>10.20.8.188</v>
      </c>
      <c r="U3332" t="str">
        <f t="shared" si="1348"/>
        <v>AZRAD UMAR BIN SHAARI</v>
      </c>
      <c r="V3332" t="str">
        <f t="shared" si="1349"/>
        <v>FARHANA BINTI MUSTAPA</v>
      </c>
      <c r="W3332" t="str">
        <f t="shared" si="1350"/>
        <v>04-08-2020</v>
      </c>
      <c r="X3332" t="str">
        <f t="shared" si="1351"/>
        <v>RAZIMAH ANSAR AHMAD</v>
      </c>
      <c r="Y3332" t="str">
        <f t="shared" si="1352"/>
        <v>04-08-2020</v>
      </c>
      <c r="Z3332" t="str">
        <f>"COS10200804 5822"</f>
        <v>COS10200804 5822</v>
      </c>
    </row>
    <row r="3333" spans="1:26" x14ac:dyDescent="0.25">
      <c r="A3333" t="str">
        <f t="shared" si="1361"/>
        <v>04-08-2020 12:58:13</v>
      </c>
      <c r="B3333" t="str">
        <f>"0000807611"</f>
        <v>0000807611</v>
      </c>
      <c r="C3333" t="str">
        <f t="shared" si="1362"/>
        <v>0000807590</v>
      </c>
      <c r="D3333" t="str">
        <f t="shared" si="1340"/>
        <v>73185</v>
      </c>
      <c r="E3333" t="str">
        <f t="shared" si="1341"/>
        <v>KFH-OPERATIONS DEPARTMENT</v>
      </c>
      <c r="F3333" t="str">
        <f t="shared" si="1342"/>
        <v>IBG</v>
      </c>
      <c r="G3333" t="str">
        <f t="shared" si="1353"/>
        <v>Refund COSHARE 10</v>
      </c>
      <c r="H3333" s="2">
        <v>1163.7</v>
      </c>
      <c r="I3333" t="str">
        <f>"MOHD RIDHWAN BIN JAMIAN"</f>
        <v>MOHD RIDHWAN BIN JAMIAN</v>
      </c>
      <c r="J3333" t="str">
        <f t="shared" si="1354"/>
        <v>MAYBANK / MAYBANK ISLAMIC</v>
      </c>
      <c r="K3333" t="str">
        <f>"151034685882"</f>
        <v>151034685882</v>
      </c>
      <c r="L3333" t="str">
        <f t="shared" si="1363"/>
        <v>04-08-2020</v>
      </c>
      <c r="M3333" t="str">
        <f t="shared" si="1363"/>
        <v>04-08-2020</v>
      </c>
      <c r="N3333" t="str">
        <f t="shared" si="1343"/>
        <v>001105018356</v>
      </c>
      <c r="O3333" t="str">
        <f t="shared" si="1344"/>
        <v>MYR</v>
      </c>
      <c r="P3333" t="str">
        <f t="shared" si="1364"/>
        <v>NIL</v>
      </c>
      <c r="Q3333" t="str">
        <f t="shared" si="1364"/>
        <v>NIL</v>
      </c>
      <c r="R3333" t="str">
        <f t="shared" si="1345"/>
        <v>Accepted</v>
      </c>
      <c r="S3333" t="str">
        <f t="shared" si="1346"/>
        <v>Approved</v>
      </c>
      <c r="T3333" t="str">
        <f t="shared" si="1347"/>
        <v>10.20.8.188</v>
      </c>
      <c r="U3333" t="str">
        <f t="shared" si="1348"/>
        <v>AZRAD UMAR BIN SHAARI</v>
      </c>
      <c r="V3333" t="str">
        <f t="shared" si="1349"/>
        <v>FARHANA BINTI MUSTAPA</v>
      </c>
      <c r="W3333" t="str">
        <f t="shared" si="1350"/>
        <v>04-08-2020</v>
      </c>
      <c r="X3333" t="str">
        <f t="shared" si="1351"/>
        <v>RAZIMAH ANSAR AHMAD</v>
      </c>
      <c r="Y3333" t="str">
        <f t="shared" si="1352"/>
        <v>04-08-2020</v>
      </c>
      <c r="Z3333" t="str">
        <f>"COS10200804 5821"</f>
        <v>COS10200804 5821</v>
      </c>
    </row>
    <row r="3334" spans="1:26" x14ac:dyDescent="0.25">
      <c r="A3334" t="str">
        <f t="shared" si="1361"/>
        <v>04-08-2020 12:58:13</v>
      </c>
      <c r="B3334" t="str">
        <f>"0000807610"</f>
        <v>0000807610</v>
      </c>
      <c r="C3334" t="str">
        <f t="shared" si="1362"/>
        <v>0000807590</v>
      </c>
      <c r="D3334" t="str">
        <f t="shared" si="1340"/>
        <v>73185</v>
      </c>
      <c r="E3334" t="str">
        <f t="shared" si="1341"/>
        <v>KFH-OPERATIONS DEPARTMENT</v>
      </c>
      <c r="F3334" t="str">
        <f t="shared" si="1342"/>
        <v>IBG</v>
      </c>
      <c r="G3334" t="str">
        <f t="shared" si="1353"/>
        <v>Refund COSHARE 10</v>
      </c>
      <c r="H3334" s="2">
        <v>50.4</v>
      </c>
      <c r="I3334" t="str">
        <f>"MOHD RIDHWAN BIN GHAZALI"</f>
        <v>MOHD RIDHWAN BIN GHAZALI</v>
      </c>
      <c r="J3334" t="str">
        <f t="shared" si="1354"/>
        <v>MAYBANK / MAYBANK ISLAMIC</v>
      </c>
      <c r="K3334" t="str">
        <f>"108178726179"</f>
        <v>108178726179</v>
      </c>
      <c r="L3334" t="str">
        <f t="shared" si="1363"/>
        <v>04-08-2020</v>
      </c>
      <c r="M3334" t="str">
        <f t="shared" si="1363"/>
        <v>04-08-2020</v>
      </c>
      <c r="N3334" t="str">
        <f t="shared" si="1343"/>
        <v>001105018356</v>
      </c>
      <c r="O3334" t="str">
        <f t="shared" si="1344"/>
        <v>MYR</v>
      </c>
      <c r="P3334" t="str">
        <f t="shared" si="1364"/>
        <v>NIL</v>
      </c>
      <c r="Q3334" t="str">
        <f t="shared" si="1364"/>
        <v>NIL</v>
      </c>
      <c r="R3334" t="str">
        <f t="shared" si="1345"/>
        <v>Accepted</v>
      </c>
      <c r="S3334" t="str">
        <f t="shared" si="1346"/>
        <v>Approved</v>
      </c>
      <c r="T3334" t="str">
        <f t="shared" si="1347"/>
        <v>10.20.8.188</v>
      </c>
      <c r="U3334" t="str">
        <f t="shared" si="1348"/>
        <v>AZRAD UMAR BIN SHAARI</v>
      </c>
      <c r="V3334" t="str">
        <f t="shared" si="1349"/>
        <v>FARHANA BINTI MUSTAPA</v>
      </c>
      <c r="W3334" t="str">
        <f t="shared" si="1350"/>
        <v>04-08-2020</v>
      </c>
      <c r="X3334" t="str">
        <f t="shared" si="1351"/>
        <v>RAZIMAH ANSAR AHMAD</v>
      </c>
      <c r="Y3334" t="str">
        <f t="shared" si="1352"/>
        <v>04-08-2020</v>
      </c>
      <c r="Z3334" t="str">
        <f>"COS10200804 5820"</f>
        <v>COS10200804 5820</v>
      </c>
    </row>
    <row r="3335" spans="1:26" x14ac:dyDescent="0.25">
      <c r="A3335" t="str">
        <f t="shared" si="1361"/>
        <v>04-08-2020 12:58:13</v>
      </c>
      <c r="B3335" t="str">
        <f>"0000807609"</f>
        <v>0000807609</v>
      </c>
      <c r="C3335" t="str">
        <f t="shared" si="1362"/>
        <v>0000807590</v>
      </c>
      <c r="D3335" t="str">
        <f t="shared" ref="D3335:D3398" si="1365">"73185"</f>
        <v>73185</v>
      </c>
      <c r="E3335" t="str">
        <f t="shared" ref="E3335:E3398" si="1366">"KFH-OPERATIONS DEPARTMENT"</f>
        <v>KFH-OPERATIONS DEPARTMENT</v>
      </c>
      <c r="F3335" t="str">
        <f t="shared" ref="F3335:F3398" si="1367">"IBG"</f>
        <v>IBG</v>
      </c>
      <c r="G3335" t="str">
        <f t="shared" si="1353"/>
        <v>Refund COSHARE 10</v>
      </c>
      <c r="H3335" s="2">
        <v>864.7</v>
      </c>
      <c r="I3335" t="str">
        <f>"MOHD RIDHUAN BIN HAINUN"</f>
        <v>MOHD RIDHUAN BIN HAINUN</v>
      </c>
      <c r="J3335" t="str">
        <f t="shared" si="1354"/>
        <v>MAYBANK / MAYBANK ISLAMIC</v>
      </c>
      <c r="K3335" t="str">
        <f>"101254036735"</f>
        <v>101254036735</v>
      </c>
      <c r="L3335" t="str">
        <f t="shared" si="1363"/>
        <v>04-08-2020</v>
      </c>
      <c r="M3335" t="str">
        <f t="shared" si="1363"/>
        <v>04-08-2020</v>
      </c>
      <c r="N3335" t="str">
        <f t="shared" ref="N3335:N3398" si="1368">"001105018356"</f>
        <v>001105018356</v>
      </c>
      <c r="O3335" t="str">
        <f t="shared" ref="O3335:O3398" si="1369">"MYR"</f>
        <v>MYR</v>
      </c>
      <c r="P3335" t="str">
        <f t="shared" si="1364"/>
        <v>NIL</v>
      </c>
      <c r="Q3335" t="str">
        <f t="shared" si="1364"/>
        <v>NIL</v>
      </c>
      <c r="R3335" t="str">
        <f t="shared" ref="R3335:R3398" si="1370">"Accepted"</f>
        <v>Accepted</v>
      </c>
      <c r="S3335" t="str">
        <f t="shared" ref="S3335:S3398" si="1371">"Approved"</f>
        <v>Approved</v>
      </c>
      <c r="T3335" t="str">
        <f t="shared" ref="T3335:T3398" si="1372">"10.20.8.188"</f>
        <v>10.20.8.188</v>
      </c>
      <c r="U3335" t="str">
        <f t="shared" ref="U3335:U3398" si="1373">"AZRAD UMAR BIN SHAARI"</f>
        <v>AZRAD UMAR BIN SHAARI</v>
      </c>
      <c r="V3335" t="str">
        <f t="shared" ref="V3335:V3398" si="1374">"FARHANA BINTI MUSTAPA"</f>
        <v>FARHANA BINTI MUSTAPA</v>
      </c>
      <c r="W3335" t="str">
        <f t="shared" ref="W3335:W3398" si="1375">"04-08-2020"</f>
        <v>04-08-2020</v>
      </c>
      <c r="X3335" t="str">
        <f t="shared" ref="X3335:X3398" si="1376">"RAZIMAH ANSAR AHMAD"</f>
        <v>RAZIMAH ANSAR AHMAD</v>
      </c>
      <c r="Y3335" t="str">
        <f t="shared" ref="Y3335:Y3398" si="1377">"04-08-2020"</f>
        <v>04-08-2020</v>
      </c>
      <c r="Z3335" t="str">
        <f>"COS10200804 5819"</f>
        <v>COS10200804 5819</v>
      </c>
    </row>
    <row r="3336" spans="1:26" x14ac:dyDescent="0.25">
      <c r="A3336" t="str">
        <f t="shared" si="1361"/>
        <v>04-08-2020 12:58:13</v>
      </c>
      <c r="B3336" t="str">
        <f>"0000807608"</f>
        <v>0000807608</v>
      </c>
      <c r="C3336" t="str">
        <f t="shared" si="1362"/>
        <v>0000807590</v>
      </c>
      <c r="D3336" t="str">
        <f t="shared" si="1365"/>
        <v>73185</v>
      </c>
      <c r="E3336" t="str">
        <f t="shared" si="1366"/>
        <v>KFH-OPERATIONS DEPARTMENT</v>
      </c>
      <c r="F3336" t="str">
        <f t="shared" si="1367"/>
        <v>IBG</v>
      </c>
      <c r="G3336" t="str">
        <f t="shared" si="1353"/>
        <v>Refund COSHARE 10</v>
      </c>
      <c r="H3336" s="2">
        <v>75.599999999999994</v>
      </c>
      <c r="I3336" t="str">
        <f>"MOHD REDZUAN BIN MOHAMAD GHAZALI"</f>
        <v>MOHD REDZUAN BIN MOHAMAD GHAZALI</v>
      </c>
      <c r="J3336" t="str">
        <f t="shared" si="1354"/>
        <v>MAYBANK / MAYBANK ISLAMIC</v>
      </c>
      <c r="K3336" t="str">
        <f>"153010984231"</f>
        <v>153010984231</v>
      </c>
      <c r="L3336" t="str">
        <f t="shared" si="1363"/>
        <v>04-08-2020</v>
      </c>
      <c r="M3336" t="str">
        <f t="shared" si="1363"/>
        <v>04-08-2020</v>
      </c>
      <c r="N3336" t="str">
        <f t="shared" si="1368"/>
        <v>001105018356</v>
      </c>
      <c r="O3336" t="str">
        <f t="shared" si="1369"/>
        <v>MYR</v>
      </c>
      <c r="P3336" t="str">
        <f t="shared" si="1364"/>
        <v>NIL</v>
      </c>
      <c r="Q3336" t="str">
        <f t="shared" si="1364"/>
        <v>NIL</v>
      </c>
      <c r="R3336" t="str">
        <f t="shared" si="1370"/>
        <v>Accepted</v>
      </c>
      <c r="S3336" t="str">
        <f t="shared" si="1371"/>
        <v>Approved</v>
      </c>
      <c r="T3336" t="str">
        <f t="shared" si="1372"/>
        <v>10.20.8.188</v>
      </c>
      <c r="U3336" t="str">
        <f t="shared" si="1373"/>
        <v>AZRAD UMAR BIN SHAARI</v>
      </c>
      <c r="V3336" t="str">
        <f t="shared" si="1374"/>
        <v>FARHANA BINTI MUSTAPA</v>
      </c>
      <c r="W3336" t="str">
        <f t="shared" si="1375"/>
        <v>04-08-2020</v>
      </c>
      <c r="X3336" t="str">
        <f t="shared" si="1376"/>
        <v>RAZIMAH ANSAR AHMAD</v>
      </c>
      <c r="Y3336" t="str">
        <f t="shared" si="1377"/>
        <v>04-08-2020</v>
      </c>
      <c r="Z3336" t="str">
        <f>"COS10200804 5818"</f>
        <v>COS10200804 5818</v>
      </c>
    </row>
    <row r="3337" spans="1:26" x14ac:dyDescent="0.25">
      <c r="A3337" t="str">
        <f t="shared" si="1361"/>
        <v>04-08-2020 12:58:13</v>
      </c>
      <c r="B3337" t="str">
        <f>"0000807607"</f>
        <v>0000807607</v>
      </c>
      <c r="C3337" t="str">
        <f t="shared" si="1362"/>
        <v>0000807590</v>
      </c>
      <c r="D3337" t="str">
        <f t="shared" si="1365"/>
        <v>73185</v>
      </c>
      <c r="E3337" t="str">
        <f t="shared" si="1366"/>
        <v>KFH-OPERATIONS DEPARTMENT</v>
      </c>
      <c r="F3337" t="str">
        <f t="shared" si="1367"/>
        <v>IBG</v>
      </c>
      <c r="G3337" t="str">
        <f t="shared" si="1353"/>
        <v>Refund COSHARE 10</v>
      </c>
      <c r="H3337" s="2">
        <v>814.35</v>
      </c>
      <c r="I3337" t="str">
        <f>"MOHD RAZIZ BIN ZAINAL"</f>
        <v>MOHD RAZIZ BIN ZAINAL</v>
      </c>
      <c r="J3337" t="str">
        <f t="shared" si="1354"/>
        <v>MAYBANK / MAYBANK ISLAMIC</v>
      </c>
      <c r="K3337" t="str">
        <f>"101302008678"</f>
        <v>101302008678</v>
      </c>
      <c r="L3337" t="str">
        <f t="shared" si="1363"/>
        <v>04-08-2020</v>
      </c>
      <c r="M3337" t="str">
        <f t="shared" si="1363"/>
        <v>04-08-2020</v>
      </c>
      <c r="N3337" t="str">
        <f t="shared" si="1368"/>
        <v>001105018356</v>
      </c>
      <c r="O3337" t="str">
        <f t="shared" si="1369"/>
        <v>MYR</v>
      </c>
      <c r="P3337" t="str">
        <f t="shared" si="1364"/>
        <v>NIL</v>
      </c>
      <c r="Q3337" t="str">
        <f t="shared" si="1364"/>
        <v>NIL</v>
      </c>
      <c r="R3337" t="str">
        <f t="shared" si="1370"/>
        <v>Accepted</v>
      </c>
      <c r="S3337" t="str">
        <f t="shared" si="1371"/>
        <v>Approved</v>
      </c>
      <c r="T3337" t="str">
        <f t="shared" si="1372"/>
        <v>10.20.8.188</v>
      </c>
      <c r="U3337" t="str">
        <f t="shared" si="1373"/>
        <v>AZRAD UMAR BIN SHAARI</v>
      </c>
      <c r="V3337" t="str">
        <f t="shared" si="1374"/>
        <v>FARHANA BINTI MUSTAPA</v>
      </c>
      <c r="W3337" t="str">
        <f t="shared" si="1375"/>
        <v>04-08-2020</v>
      </c>
      <c r="X3337" t="str">
        <f t="shared" si="1376"/>
        <v>RAZIMAH ANSAR AHMAD</v>
      </c>
      <c r="Y3337" t="str">
        <f t="shared" si="1377"/>
        <v>04-08-2020</v>
      </c>
      <c r="Z3337" t="str">
        <f>"COS10200804 5817"</f>
        <v>COS10200804 5817</v>
      </c>
    </row>
    <row r="3338" spans="1:26" x14ac:dyDescent="0.25">
      <c r="A3338" t="str">
        <f t="shared" si="1361"/>
        <v>04-08-2020 12:58:13</v>
      </c>
      <c r="B3338" t="str">
        <f>"0000807606"</f>
        <v>0000807606</v>
      </c>
      <c r="C3338" t="str">
        <f t="shared" si="1362"/>
        <v>0000807590</v>
      </c>
      <c r="D3338" t="str">
        <f t="shared" si="1365"/>
        <v>73185</v>
      </c>
      <c r="E3338" t="str">
        <f t="shared" si="1366"/>
        <v>KFH-OPERATIONS DEPARTMENT</v>
      </c>
      <c r="F3338" t="str">
        <f t="shared" si="1367"/>
        <v>IBG</v>
      </c>
      <c r="G3338" t="str">
        <f t="shared" si="1353"/>
        <v>Refund COSHARE 10</v>
      </c>
      <c r="H3338" s="2">
        <v>780.75</v>
      </c>
      <c r="I3338" t="str">
        <f>"MOHD RAZIFF BIN ZAKARETA"</f>
        <v>MOHD RAZIFF BIN ZAKARETA</v>
      </c>
      <c r="J3338" t="str">
        <f t="shared" si="1354"/>
        <v>MAYBANK / MAYBANK ISLAMIC</v>
      </c>
      <c r="K3338" t="str">
        <f>"111114108885"</f>
        <v>111114108885</v>
      </c>
      <c r="L3338" t="str">
        <f t="shared" si="1363"/>
        <v>04-08-2020</v>
      </c>
      <c r="M3338" t="str">
        <f t="shared" si="1363"/>
        <v>04-08-2020</v>
      </c>
      <c r="N3338" t="str">
        <f t="shared" si="1368"/>
        <v>001105018356</v>
      </c>
      <c r="O3338" t="str">
        <f t="shared" si="1369"/>
        <v>MYR</v>
      </c>
      <c r="P3338" t="str">
        <f t="shared" si="1364"/>
        <v>NIL</v>
      </c>
      <c r="Q3338" t="str">
        <f t="shared" si="1364"/>
        <v>NIL</v>
      </c>
      <c r="R3338" t="str">
        <f t="shared" si="1370"/>
        <v>Accepted</v>
      </c>
      <c r="S3338" t="str">
        <f t="shared" si="1371"/>
        <v>Approved</v>
      </c>
      <c r="T3338" t="str">
        <f t="shared" si="1372"/>
        <v>10.20.8.188</v>
      </c>
      <c r="U3338" t="str">
        <f t="shared" si="1373"/>
        <v>AZRAD UMAR BIN SHAARI</v>
      </c>
      <c r="V3338" t="str">
        <f t="shared" si="1374"/>
        <v>FARHANA BINTI MUSTAPA</v>
      </c>
      <c r="W3338" t="str">
        <f t="shared" si="1375"/>
        <v>04-08-2020</v>
      </c>
      <c r="X3338" t="str">
        <f t="shared" si="1376"/>
        <v>RAZIMAH ANSAR AHMAD</v>
      </c>
      <c r="Y3338" t="str">
        <f t="shared" si="1377"/>
        <v>04-08-2020</v>
      </c>
      <c r="Z3338" t="str">
        <f>"COS10200804 5816"</f>
        <v>COS10200804 5816</v>
      </c>
    </row>
    <row r="3339" spans="1:26" x14ac:dyDescent="0.25">
      <c r="A3339" t="str">
        <f t="shared" si="1361"/>
        <v>04-08-2020 12:58:13</v>
      </c>
      <c r="B3339" t="str">
        <f>"0000807605"</f>
        <v>0000807605</v>
      </c>
      <c r="C3339" t="str">
        <f t="shared" si="1362"/>
        <v>0000807590</v>
      </c>
      <c r="D3339" t="str">
        <f t="shared" si="1365"/>
        <v>73185</v>
      </c>
      <c r="E3339" t="str">
        <f t="shared" si="1366"/>
        <v>KFH-OPERATIONS DEPARTMENT</v>
      </c>
      <c r="F3339" t="str">
        <f t="shared" si="1367"/>
        <v>IBG</v>
      </c>
      <c r="G3339" t="str">
        <f t="shared" si="1353"/>
        <v>Refund COSHARE 10</v>
      </c>
      <c r="H3339" s="2">
        <v>252</v>
      </c>
      <c r="I3339" t="str">
        <f>"MOHD RAZIFF BIN ZAKARETA"</f>
        <v>MOHD RAZIFF BIN ZAKARETA</v>
      </c>
      <c r="J3339" t="str">
        <f t="shared" si="1354"/>
        <v>MAYBANK / MAYBANK ISLAMIC</v>
      </c>
      <c r="K3339" t="str">
        <f>"111114108885"</f>
        <v>111114108885</v>
      </c>
      <c r="L3339" t="str">
        <f t="shared" si="1363"/>
        <v>04-08-2020</v>
      </c>
      <c r="M3339" t="str">
        <f t="shared" si="1363"/>
        <v>04-08-2020</v>
      </c>
      <c r="N3339" t="str">
        <f t="shared" si="1368"/>
        <v>001105018356</v>
      </c>
      <c r="O3339" t="str">
        <f t="shared" si="1369"/>
        <v>MYR</v>
      </c>
      <c r="P3339" t="str">
        <f t="shared" si="1364"/>
        <v>NIL</v>
      </c>
      <c r="Q3339" t="str">
        <f t="shared" si="1364"/>
        <v>NIL</v>
      </c>
      <c r="R3339" t="str">
        <f t="shared" si="1370"/>
        <v>Accepted</v>
      </c>
      <c r="S3339" t="str">
        <f t="shared" si="1371"/>
        <v>Approved</v>
      </c>
      <c r="T3339" t="str">
        <f t="shared" si="1372"/>
        <v>10.20.8.188</v>
      </c>
      <c r="U3339" t="str">
        <f t="shared" si="1373"/>
        <v>AZRAD UMAR BIN SHAARI</v>
      </c>
      <c r="V3339" t="str">
        <f t="shared" si="1374"/>
        <v>FARHANA BINTI MUSTAPA</v>
      </c>
      <c r="W3339" t="str">
        <f t="shared" si="1375"/>
        <v>04-08-2020</v>
      </c>
      <c r="X3339" t="str">
        <f t="shared" si="1376"/>
        <v>RAZIMAH ANSAR AHMAD</v>
      </c>
      <c r="Y3339" t="str">
        <f t="shared" si="1377"/>
        <v>04-08-2020</v>
      </c>
      <c r="Z3339" t="str">
        <f>"COS10200804 5815"</f>
        <v>COS10200804 5815</v>
      </c>
    </row>
    <row r="3340" spans="1:26" x14ac:dyDescent="0.25">
      <c r="A3340" t="str">
        <f t="shared" si="1361"/>
        <v>04-08-2020 12:58:13</v>
      </c>
      <c r="B3340" t="str">
        <f>"0000807604"</f>
        <v>0000807604</v>
      </c>
      <c r="C3340" t="str">
        <f t="shared" si="1362"/>
        <v>0000807590</v>
      </c>
      <c r="D3340" t="str">
        <f t="shared" si="1365"/>
        <v>73185</v>
      </c>
      <c r="E3340" t="str">
        <f t="shared" si="1366"/>
        <v>KFH-OPERATIONS DEPARTMENT</v>
      </c>
      <c r="F3340" t="str">
        <f t="shared" si="1367"/>
        <v>IBG</v>
      </c>
      <c r="G3340" t="str">
        <f t="shared" ref="G3340:G3403" si="1378">"Refund COSHARE 10"</f>
        <v>Refund COSHARE 10</v>
      </c>
      <c r="H3340" s="2">
        <v>654.85</v>
      </c>
      <c r="I3340" t="str">
        <f>"MOHD RAZIF BIN SIDEK"</f>
        <v>MOHD RAZIF BIN SIDEK</v>
      </c>
      <c r="J3340" t="str">
        <f t="shared" si="1354"/>
        <v>MAYBANK / MAYBANK ISLAMIC</v>
      </c>
      <c r="K3340" t="str">
        <f>"101013229228"</f>
        <v>101013229228</v>
      </c>
      <c r="L3340" t="str">
        <f t="shared" si="1363"/>
        <v>04-08-2020</v>
      </c>
      <c r="M3340" t="str">
        <f t="shared" si="1363"/>
        <v>04-08-2020</v>
      </c>
      <c r="N3340" t="str">
        <f t="shared" si="1368"/>
        <v>001105018356</v>
      </c>
      <c r="O3340" t="str">
        <f t="shared" si="1369"/>
        <v>MYR</v>
      </c>
      <c r="P3340" t="str">
        <f t="shared" si="1364"/>
        <v>NIL</v>
      </c>
      <c r="Q3340" t="str">
        <f t="shared" si="1364"/>
        <v>NIL</v>
      </c>
      <c r="R3340" t="str">
        <f t="shared" si="1370"/>
        <v>Accepted</v>
      </c>
      <c r="S3340" t="str">
        <f t="shared" si="1371"/>
        <v>Approved</v>
      </c>
      <c r="T3340" t="str">
        <f t="shared" si="1372"/>
        <v>10.20.8.188</v>
      </c>
      <c r="U3340" t="str">
        <f t="shared" si="1373"/>
        <v>AZRAD UMAR BIN SHAARI</v>
      </c>
      <c r="V3340" t="str">
        <f t="shared" si="1374"/>
        <v>FARHANA BINTI MUSTAPA</v>
      </c>
      <c r="W3340" t="str">
        <f t="shared" si="1375"/>
        <v>04-08-2020</v>
      </c>
      <c r="X3340" t="str">
        <f t="shared" si="1376"/>
        <v>RAZIMAH ANSAR AHMAD</v>
      </c>
      <c r="Y3340" t="str">
        <f t="shared" si="1377"/>
        <v>04-08-2020</v>
      </c>
      <c r="Z3340" t="str">
        <f>"COS10200804 5814"</f>
        <v>COS10200804 5814</v>
      </c>
    </row>
    <row r="3341" spans="1:26" x14ac:dyDescent="0.25">
      <c r="A3341" t="str">
        <f t="shared" si="1361"/>
        <v>04-08-2020 12:58:13</v>
      </c>
      <c r="B3341" t="str">
        <f>"0000807603"</f>
        <v>0000807603</v>
      </c>
      <c r="C3341" t="str">
        <f t="shared" si="1362"/>
        <v>0000807590</v>
      </c>
      <c r="D3341" t="str">
        <f t="shared" si="1365"/>
        <v>73185</v>
      </c>
      <c r="E3341" t="str">
        <f t="shared" si="1366"/>
        <v>KFH-OPERATIONS DEPARTMENT</v>
      </c>
      <c r="F3341" t="str">
        <f t="shared" si="1367"/>
        <v>IBG</v>
      </c>
      <c r="G3341" t="str">
        <f t="shared" si="1378"/>
        <v>Refund COSHARE 10</v>
      </c>
      <c r="H3341" s="2">
        <v>1093</v>
      </c>
      <c r="I3341" t="str">
        <f>"MOHD RAZIF BIN RIBUT"</f>
        <v>MOHD RAZIF BIN RIBUT</v>
      </c>
      <c r="J3341" t="str">
        <f t="shared" si="1354"/>
        <v>MAYBANK / MAYBANK ISLAMIC</v>
      </c>
      <c r="K3341" t="str">
        <f>"116015014376"</f>
        <v>116015014376</v>
      </c>
      <c r="L3341" t="str">
        <f t="shared" si="1363"/>
        <v>04-08-2020</v>
      </c>
      <c r="M3341" t="str">
        <f t="shared" si="1363"/>
        <v>04-08-2020</v>
      </c>
      <c r="N3341" t="str">
        <f t="shared" si="1368"/>
        <v>001105018356</v>
      </c>
      <c r="O3341" t="str">
        <f t="shared" si="1369"/>
        <v>MYR</v>
      </c>
      <c r="P3341" t="str">
        <f t="shared" si="1364"/>
        <v>NIL</v>
      </c>
      <c r="Q3341" t="str">
        <f t="shared" si="1364"/>
        <v>NIL</v>
      </c>
      <c r="R3341" t="str">
        <f t="shared" si="1370"/>
        <v>Accepted</v>
      </c>
      <c r="S3341" t="str">
        <f t="shared" si="1371"/>
        <v>Approved</v>
      </c>
      <c r="T3341" t="str">
        <f t="shared" si="1372"/>
        <v>10.20.8.188</v>
      </c>
      <c r="U3341" t="str">
        <f t="shared" si="1373"/>
        <v>AZRAD UMAR BIN SHAARI</v>
      </c>
      <c r="V3341" t="str">
        <f t="shared" si="1374"/>
        <v>FARHANA BINTI MUSTAPA</v>
      </c>
      <c r="W3341" t="str">
        <f t="shared" si="1375"/>
        <v>04-08-2020</v>
      </c>
      <c r="X3341" t="str">
        <f t="shared" si="1376"/>
        <v>RAZIMAH ANSAR AHMAD</v>
      </c>
      <c r="Y3341" t="str">
        <f t="shared" si="1377"/>
        <v>04-08-2020</v>
      </c>
      <c r="Z3341" t="str">
        <f>"COS10200804 5813"</f>
        <v>COS10200804 5813</v>
      </c>
    </row>
    <row r="3342" spans="1:26" x14ac:dyDescent="0.25">
      <c r="A3342" t="str">
        <f t="shared" si="1361"/>
        <v>04-08-2020 12:58:13</v>
      </c>
      <c r="B3342" t="str">
        <f>"0000807602"</f>
        <v>0000807602</v>
      </c>
      <c r="C3342" t="str">
        <f t="shared" si="1362"/>
        <v>0000807590</v>
      </c>
      <c r="D3342" t="str">
        <f t="shared" si="1365"/>
        <v>73185</v>
      </c>
      <c r="E3342" t="str">
        <f t="shared" si="1366"/>
        <v>KFH-OPERATIONS DEPARTMENT</v>
      </c>
      <c r="F3342" t="str">
        <f t="shared" si="1367"/>
        <v>IBG</v>
      </c>
      <c r="G3342" t="str">
        <f t="shared" si="1378"/>
        <v>Refund COSHARE 10</v>
      </c>
      <c r="H3342" s="2">
        <v>676</v>
      </c>
      <c r="I3342" t="str">
        <f>"MOHD RAZIF BIN RAZALI"</f>
        <v>MOHD RAZIF BIN RAZALI</v>
      </c>
      <c r="J3342" t="str">
        <f t="shared" si="1354"/>
        <v>MAYBANK / MAYBANK ISLAMIC</v>
      </c>
      <c r="K3342" t="str">
        <f>"164100251005"</f>
        <v>164100251005</v>
      </c>
      <c r="L3342" t="str">
        <f t="shared" si="1363"/>
        <v>04-08-2020</v>
      </c>
      <c r="M3342" t="str">
        <f t="shared" si="1363"/>
        <v>04-08-2020</v>
      </c>
      <c r="N3342" t="str">
        <f t="shared" si="1368"/>
        <v>001105018356</v>
      </c>
      <c r="O3342" t="str">
        <f t="shared" si="1369"/>
        <v>MYR</v>
      </c>
      <c r="P3342" t="str">
        <f t="shared" si="1364"/>
        <v>NIL</v>
      </c>
      <c r="Q3342" t="str">
        <f t="shared" si="1364"/>
        <v>NIL</v>
      </c>
      <c r="R3342" t="str">
        <f t="shared" si="1370"/>
        <v>Accepted</v>
      </c>
      <c r="S3342" t="str">
        <f t="shared" si="1371"/>
        <v>Approved</v>
      </c>
      <c r="T3342" t="str">
        <f t="shared" si="1372"/>
        <v>10.20.8.188</v>
      </c>
      <c r="U3342" t="str">
        <f t="shared" si="1373"/>
        <v>AZRAD UMAR BIN SHAARI</v>
      </c>
      <c r="V3342" t="str">
        <f t="shared" si="1374"/>
        <v>FARHANA BINTI MUSTAPA</v>
      </c>
      <c r="W3342" t="str">
        <f t="shared" si="1375"/>
        <v>04-08-2020</v>
      </c>
      <c r="X3342" t="str">
        <f t="shared" si="1376"/>
        <v>RAZIMAH ANSAR AHMAD</v>
      </c>
      <c r="Y3342" t="str">
        <f t="shared" si="1377"/>
        <v>04-08-2020</v>
      </c>
      <c r="Z3342" t="str">
        <f>"COS10200804 5812"</f>
        <v>COS10200804 5812</v>
      </c>
    </row>
    <row r="3343" spans="1:26" x14ac:dyDescent="0.25">
      <c r="A3343" t="str">
        <f t="shared" si="1361"/>
        <v>04-08-2020 12:58:13</v>
      </c>
      <c r="B3343" t="str">
        <f>"0000807601"</f>
        <v>0000807601</v>
      </c>
      <c r="C3343" t="str">
        <f t="shared" si="1362"/>
        <v>0000807590</v>
      </c>
      <c r="D3343" t="str">
        <f t="shared" si="1365"/>
        <v>73185</v>
      </c>
      <c r="E3343" t="str">
        <f t="shared" si="1366"/>
        <v>KFH-OPERATIONS DEPARTMENT</v>
      </c>
      <c r="F3343" t="str">
        <f t="shared" si="1367"/>
        <v>IBG</v>
      </c>
      <c r="G3343" t="str">
        <f t="shared" si="1378"/>
        <v>Refund COSHARE 10</v>
      </c>
      <c r="H3343" s="2">
        <v>520.5</v>
      </c>
      <c r="I3343" t="str">
        <f>"MOHD RAZIF BIN P RAMLEE"</f>
        <v>MOHD RAZIF BIN P RAMLEE</v>
      </c>
      <c r="J3343" t="str">
        <f t="shared" si="1354"/>
        <v>MAYBANK / MAYBANK ISLAMIC</v>
      </c>
      <c r="K3343" t="str">
        <f>"151052136631"</f>
        <v>151052136631</v>
      </c>
      <c r="L3343" t="str">
        <f t="shared" si="1363"/>
        <v>04-08-2020</v>
      </c>
      <c r="M3343" t="str">
        <f t="shared" si="1363"/>
        <v>04-08-2020</v>
      </c>
      <c r="N3343" t="str">
        <f t="shared" si="1368"/>
        <v>001105018356</v>
      </c>
      <c r="O3343" t="str">
        <f t="shared" si="1369"/>
        <v>MYR</v>
      </c>
      <c r="P3343" t="str">
        <f t="shared" si="1364"/>
        <v>NIL</v>
      </c>
      <c r="Q3343" t="str">
        <f t="shared" si="1364"/>
        <v>NIL</v>
      </c>
      <c r="R3343" t="str">
        <f t="shared" si="1370"/>
        <v>Accepted</v>
      </c>
      <c r="S3343" t="str">
        <f t="shared" si="1371"/>
        <v>Approved</v>
      </c>
      <c r="T3343" t="str">
        <f t="shared" si="1372"/>
        <v>10.20.8.188</v>
      </c>
      <c r="U3343" t="str">
        <f t="shared" si="1373"/>
        <v>AZRAD UMAR BIN SHAARI</v>
      </c>
      <c r="V3343" t="str">
        <f t="shared" si="1374"/>
        <v>FARHANA BINTI MUSTAPA</v>
      </c>
      <c r="W3343" t="str">
        <f t="shared" si="1375"/>
        <v>04-08-2020</v>
      </c>
      <c r="X3343" t="str">
        <f t="shared" si="1376"/>
        <v>RAZIMAH ANSAR AHMAD</v>
      </c>
      <c r="Y3343" t="str">
        <f t="shared" si="1377"/>
        <v>04-08-2020</v>
      </c>
      <c r="Z3343" t="str">
        <f>"COS10200804 5811"</f>
        <v>COS10200804 5811</v>
      </c>
    </row>
    <row r="3344" spans="1:26" x14ac:dyDescent="0.25">
      <c r="A3344" t="str">
        <f t="shared" si="1361"/>
        <v>04-08-2020 12:58:13</v>
      </c>
      <c r="B3344" t="str">
        <f>"0000807600"</f>
        <v>0000807600</v>
      </c>
      <c r="C3344" t="str">
        <f t="shared" si="1362"/>
        <v>0000807590</v>
      </c>
      <c r="D3344" t="str">
        <f t="shared" si="1365"/>
        <v>73185</v>
      </c>
      <c r="E3344" t="str">
        <f t="shared" si="1366"/>
        <v>KFH-OPERATIONS DEPARTMENT</v>
      </c>
      <c r="F3344" t="str">
        <f t="shared" si="1367"/>
        <v>IBG</v>
      </c>
      <c r="G3344" t="str">
        <f t="shared" si="1378"/>
        <v>Refund COSHARE 10</v>
      </c>
      <c r="H3344" s="2">
        <v>570.85</v>
      </c>
      <c r="I3344" t="str">
        <f>"MOHD RAZIF BIN ABD RAZAK"</f>
        <v>MOHD RAZIF BIN ABD RAZAK</v>
      </c>
      <c r="J3344" t="str">
        <f t="shared" si="1354"/>
        <v>MAYBANK / MAYBANK ISLAMIC</v>
      </c>
      <c r="K3344" t="str">
        <f>"154044679334"</f>
        <v>154044679334</v>
      </c>
      <c r="L3344" t="str">
        <f t="shared" si="1363"/>
        <v>04-08-2020</v>
      </c>
      <c r="M3344" t="str">
        <f t="shared" si="1363"/>
        <v>04-08-2020</v>
      </c>
      <c r="N3344" t="str">
        <f t="shared" si="1368"/>
        <v>001105018356</v>
      </c>
      <c r="O3344" t="str">
        <f t="shared" si="1369"/>
        <v>MYR</v>
      </c>
      <c r="P3344" t="str">
        <f t="shared" si="1364"/>
        <v>NIL</v>
      </c>
      <c r="Q3344" t="str">
        <f t="shared" si="1364"/>
        <v>NIL</v>
      </c>
      <c r="R3344" t="str">
        <f t="shared" si="1370"/>
        <v>Accepted</v>
      </c>
      <c r="S3344" t="str">
        <f t="shared" si="1371"/>
        <v>Approved</v>
      </c>
      <c r="T3344" t="str">
        <f t="shared" si="1372"/>
        <v>10.20.8.188</v>
      </c>
      <c r="U3344" t="str">
        <f t="shared" si="1373"/>
        <v>AZRAD UMAR BIN SHAARI</v>
      </c>
      <c r="V3344" t="str">
        <f t="shared" si="1374"/>
        <v>FARHANA BINTI MUSTAPA</v>
      </c>
      <c r="W3344" t="str">
        <f t="shared" si="1375"/>
        <v>04-08-2020</v>
      </c>
      <c r="X3344" t="str">
        <f t="shared" si="1376"/>
        <v>RAZIMAH ANSAR AHMAD</v>
      </c>
      <c r="Y3344" t="str">
        <f t="shared" si="1377"/>
        <v>04-08-2020</v>
      </c>
      <c r="Z3344" t="str">
        <f>"COS10200804 5810"</f>
        <v>COS10200804 5810</v>
      </c>
    </row>
    <row r="3345" spans="1:26" x14ac:dyDescent="0.25">
      <c r="A3345" t="str">
        <f t="shared" si="1361"/>
        <v>04-08-2020 12:58:13</v>
      </c>
      <c r="B3345" t="str">
        <f>"0000807599"</f>
        <v>0000807599</v>
      </c>
      <c r="C3345" t="str">
        <f t="shared" si="1362"/>
        <v>0000807590</v>
      </c>
      <c r="D3345" t="str">
        <f t="shared" si="1365"/>
        <v>73185</v>
      </c>
      <c r="E3345" t="str">
        <f t="shared" si="1366"/>
        <v>KFH-OPERATIONS DEPARTMENT</v>
      </c>
      <c r="F3345" t="str">
        <f t="shared" si="1367"/>
        <v>IBG</v>
      </c>
      <c r="G3345" t="str">
        <f t="shared" si="1378"/>
        <v>Refund COSHARE 10</v>
      </c>
      <c r="H3345" s="2">
        <v>180.15</v>
      </c>
      <c r="I3345" t="str">
        <f>"MOHD RAZID BIN YAACUB"</f>
        <v>MOHD RAZID BIN YAACUB</v>
      </c>
      <c r="J3345" t="str">
        <f t="shared" ref="J3345:J3408" si="1379">"MAYBANK / MAYBANK ISLAMIC"</f>
        <v>MAYBANK / MAYBANK ISLAMIC</v>
      </c>
      <c r="K3345" t="str">
        <f>"153010245971"</f>
        <v>153010245971</v>
      </c>
      <c r="L3345" t="str">
        <f t="shared" si="1363"/>
        <v>04-08-2020</v>
      </c>
      <c r="M3345" t="str">
        <f t="shared" si="1363"/>
        <v>04-08-2020</v>
      </c>
      <c r="N3345" t="str">
        <f t="shared" si="1368"/>
        <v>001105018356</v>
      </c>
      <c r="O3345" t="str">
        <f t="shared" si="1369"/>
        <v>MYR</v>
      </c>
      <c r="P3345" t="str">
        <f t="shared" si="1364"/>
        <v>NIL</v>
      </c>
      <c r="Q3345" t="str">
        <f t="shared" si="1364"/>
        <v>NIL</v>
      </c>
      <c r="R3345" t="str">
        <f t="shared" si="1370"/>
        <v>Accepted</v>
      </c>
      <c r="S3345" t="str">
        <f t="shared" si="1371"/>
        <v>Approved</v>
      </c>
      <c r="T3345" t="str">
        <f t="shared" si="1372"/>
        <v>10.20.8.188</v>
      </c>
      <c r="U3345" t="str">
        <f t="shared" si="1373"/>
        <v>AZRAD UMAR BIN SHAARI</v>
      </c>
      <c r="V3345" t="str">
        <f t="shared" si="1374"/>
        <v>FARHANA BINTI MUSTAPA</v>
      </c>
      <c r="W3345" t="str">
        <f t="shared" si="1375"/>
        <v>04-08-2020</v>
      </c>
      <c r="X3345" t="str">
        <f t="shared" si="1376"/>
        <v>RAZIMAH ANSAR AHMAD</v>
      </c>
      <c r="Y3345" t="str">
        <f t="shared" si="1377"/>
        <v>04-08-2020</v>
      </c>
      <c r="Z3345" t="str">
        <f>"COS10200804 5809"</f>
        <v>COS10200804 5809</v>
      </c>
    </row>
    <row r="3346" spans="1:26" x14ac:dyDescent="0.25">
      <c r="A3346" t="str">
        <f t="shared" ref="A3346:A3353" si="1380">"04-08-2020 12:58:13"</f>
        <v>04-08-2020 12:58:13</v>
      </c>
      <c r="B3346" t="str">
        <f>"0000807598"</f>
        <v>0000807598</v>
      </c>
      <c r="C3346" t="str">
        <f t="shared" ref="C3346:C3353" si="1381">"0000807590"</f>
        <v>0000807590</v>
      </c>
      <c r="D3346" t="str">
        <f t="shared" si="1365"/>
        <v>73185</v>
      </c>
      <c r="E3346" t="str">
        <f t="shared" si="1366"/>
        <v>KFH-OPERATIONS DEPARTMENT</v>
      </c>
      <c r="F3346" t="str">
        <f t="shared" si="1367"/>
        <v>IBG</v>
      </c>
      <c r="G3346" t="str">
        <f t="shared" si="1378"/>
        <v>Refund COSHARE 10</v>
      </c>
      <c r="H3346" s="2">
        <v>431</v>
      </c>
      <c r="I3346" t="str">
        <f>"MOHD RAZI BIN ROSLI"</f>
        <v>MOHD RAZI BIN ROSLI</v>
      </c>
      <c r="J3346" t="str">
        <f t="shared" si="1379"/>
        <v>MAYBANK / MAYBANK ISLAMIC</v>
      </c>
      <c r="K3346" t="str">
        <f>"114169649169"</f>
        <v>114169649169</v>
      </c>
      <c r="L3346" t="str">
        <f t="shared" si="1363"/>
        <v>04-08-2020</v>
      </c>
      <c r="M3346" t="str">
        <f t="shared" si="1363"/>
        <v>04-08-2020</v>
      </c>
      <c r="N3346" t="str">
        <f t="shared" si="1368"/>
        <v>001105018356</v>
      </c>
      <c r="O3346" t="str">
        <f t="shared" si="1369"/>
        <v>MYR</v>
      </c>
      <c r="P3346" t="str">
        <f t="shared" si="1364"/>
        <v>NIL</v>
      </c>
      <c r="Q3346" t="str">
        <f t="shared" si="1364"/>
        <v>NIL</v>
      </c>
      <c r="R3346" t="str">
        <f t="shared" si="1370"/>
        <v>Accepted</v>
      </c>
      <c r="S3346" t="str">
        <f t="shared" si="1371"/>
        <v>Approved</v>
      </c>
      <c r="T3346" t="str">
        <f t="shared" si="1372"/>
        <v>10.20.8.188</v>
      </c>
      <c r="U3346" t="str">
        <f t="shared" si="1373"/>
        <v>AZRAD UMAR BIN SHAARI</v>
      </c>
      <c r="V3346" t="str">
        <f t="shared" si="1374"/>
        <v>FARHANA BINTI MUSTAPA</v>
      </c>
      <c r="W3346" t="str">
        <f t="shared" si="1375"/>
        <v>04-08-2020</v>
      </c>
      <c r="X3346" t="str">
        <f t="shared" si="1376"/>
        <v>RAZIMAH ANSAR AHMAD</v>
      </c>
      <c r="Y3346" t="str">
        <f t="shared" si="1377"/>
        <v>04-08-2020</v>
      </c>
      <c r="Z3346" t="str">
        <f>"COS10200804 5808"</f>
        <v>COS10200804 5808</v>
      </c>
    </row>
    <row r="3347" spans="1:26" x14ac:dyDescent="0.25">
      <c r="A3347" t="str">
        <f t="shared" si="1380"/>
        <v>04-08-2020 12:58:13</v>
      </c>
      <c r="B3347" t="str">
        <f>"0000807597"</f>
        <v>0000807597</v>
      </c>
      <c r="C3347" t="str">
        <f t="shared" si="1381"/>
        <v>0000807590</v>
      </c>
      <c r="D3347" t="str">
        <f t="shared" si="1365"/>
        <v>73185</v>
      </c>
      <c r="E3347" t="str">
        <f t="shared" si="1366"/>
        <v>KFH-OPERATIONS DEPARTMENT</v>
      </c>
      <c r="F3347" t="str">
        <f t="shared" si="1367"/>
        <v>IBG</v>
      </c>
      <c r="G3347" t="str">
        <f t="shared" si="1378"/>
        <v>Refund COSHARE 10</v>
      </c>
      <c r="H3347" s="2">
        <v>342.6</v>
      </c>
      <c r="I3347" t="str">
        <f>"MOHD RAZALI BIN BUJANG"</f>
        <v>MOHD RAZALI BIN BUJANG</v>
      </c>
      <c r="J3347" t="str">
        <f t="shared" si="1379"/>
        <v>MAYBANK / MAYBANK ISLAMIC</v>
      </c>
      <c r="K3347" t="str">
        <f>"111074346060"</f>
        <v>111074346060</v>
      </c>
      <c r="L3347" t="str">
        <f t="shared" ref="L3347:M3366" si="1382">"04-08-2020"</f>
        <v>04-08-2020</v>
      </c>
      <c r="M3347" t="str">
        <f t="shared" si="1382"/>
        <v>04-08-2020</v>
      </c>
      <c r="N3347" t="str">
        <f t="shared" si="1368"/>
        <v>001105018356</v>
      </c>
      <c r="O3347" t="str">
        <f t="shared" si="1369"/>
        <v>MYR</v>
      </c>
      <c r="P3347" t="str">
        <f t="shared" ref="P3347:Q3366" si="1383">"NIL"</f>
        <v>NIL</v>
      </c>
      <c r="Q3347" t="str">
        <f t="shared" si="1383"/>
        <v>NIL</v>
      </c>
      <c r="R3347" t="str">
        <f t="shared" si="1370"/>
        <v>Accepted</v>
      </c>
      <c r="S3347" t="str">
        <f t="shared" si="1371"/>
        <v>Approved</v>
      </c>
      <c r="T3347" t="str">
        <f t="shared" si="1372"/>
        <v>10.20.8.188</v>
      </c>
      <c r="U3347" t="str">
        <f t="shared" si="1373"/>
        <v>AZRAD UMAR BIN SHAARI</v>
      </c>
      <c r="V3347" t="str">
        <f t="shared" si="1374"/>
        <v>FARHANA BINTI MUSTAPA</v>
      </c>
      <c r="W3347" t="str">
        <f t="shared" si="1375"/>
        <v>04-08-2020</v>
      </c>
      <c r="X3347" t="str">
        <f t="shared" si="1376"/>
        <v>RAZIMAH ANSAR AHMAD</v>
      </c>
      <c r="Y3347" t="str">
        <f t="shared" si="1377"/>
        <v>04-08-2020</v>
      </c>
      <c r="Z3347" t="str">
        <f>"COS10200804 5807"</f>
        <v>COS10200804 5807</v>
      </c>
    </row>
    <row r="3348" spans="1:26" x14ac:dyDescent="0.25">
      <c r="A3348" t="str">
        <f t="shared" si="1380"/>
        <v>04-08-2020 12:58:13</v>
      </c>
      <c r="B3348" t="str">
        <f>"0000807596"</f>
        <v>0000807596</v>
      </c>
      <c r="C3348" t="str">
        <f t="shared" si="1381"/>
        <v>0000807590</v>
      </c>
      <c r="D3348" t="str">
        <f t="shared" si="1365"/>
        <v>73185</v>
      </c>
      <c r="E3348" t="str">
        <f t="shared" si="1366"/>
        <v>KFH-OPERATIONS DEPARTMENT</v>
      </c>
      <c r="F3348" t="str">
        <f t="shared" si="1367"/>
        <v>IBG</v>
      </c>
      <c r="G3348" t="str">
        <f t="shared" si="1378"/>
        <v>Refund COSHARE 10</v>
      </c>
      <c r="H3348" s="2">
        <v>266</v>
      </c>
      <c r="I3348" t="str">
        <f>"MOHD RASNILA BIN AWANG SEMAN"</f>
        <v>MOHD RASNILA BIN AWANG SEMAN</v>
      </c>
      <c r="J3348" t="str">
        <f t="shared" si="1379"/>
        <v>MAYBANK / MAYBANK ISLAMIC</v>
      </c>
      <c r="K3348" t="str">
        <f>"164119037373"</f>
        <v>164119037373</v>
      </c>
      <c r="L3348" t="str">
        <f t="shared" si="1382"/>
        <v>04-08-2020</v>
      </c>
      <c r="M3348" t="str">
        <f t="shared" si="1382"/>
        <v>04-08-2020</v>
      </c>
      <c r="N3348" t="str">
        <f t="shared" si="1368"/>
        <v>001105018356</v>
      </c>
      <c r="O3348" t="str">
        <f t="shared" si="1369"/>
        <v>MYR</v>
      </c>
      <c r="P3348" t="str">
        <f t="shared" si="1383"/>
        <v>NIL</v>
      </c>
      <c r="Q3348" t="str">
        <f t="shared" si="1383"/>
        <v>NIL</v>
      </c>
      <c r="R3348" t="str">
        <f t="shared" si="1370"/>
        <v>Accepted</v>
      </c>
      <c r="S3348" t="str">
        <f t="shared" si="1371"/>
        <v>Approved</v>
      </c>
      <c r="T3348" t="str">
        <f t="shared" si="1372"/>
        <v>10.20.8.188</v>
      </c>
      <c r="U3348" t="str">
        <f t="shared" si="1373"/>
        <v>AZRAD UMAR BIN SHAARI</v>
      </c>
      <c r="V3348" t="str">
        <f t="shared" si="1374"/>
        <v>FARHANA BINTI MUSTAPA</v>
      </c>
      <c r="W3348" t="str">
        <f t="shared" si="1375"/>
        <v>04-08-2020</v>
      </c>
      <c r="X3348" t="str">
        <f t="shared" si="1376"/>
        <v>RAZIMAH ANSAR AHMAD</v>
      </c>
      <c r="Y3348" t="str">
        <f t="shared" si="1377"/>
        <v>04-08-2020</v>
      </c>
      <c r="Z3348" t="str">
        <f>"COS10200804 5806"</f>
        <v>COS10200804 5806</v>
      </c>
    </row>
    <row r="3349" spans="1:26" x14ac:dyDescent="0.25">
      <c r="A3349" t="str">
        <f t="shared" si="1380"/>
        <v>04-08-2020 12:58:13</v>
      </c>
      <c r="B3349" t="str">
        <f>"0000807595"</f>
        <v>0000807595</v>
      </c>
      <c r="C3349" t="str">
        <f t="shared" si="1381"/>
        <v>0000807590</v>
      </c>
      <c r="D3349" t="str">
        <f t="shared" si="1365"/>
        <v>73185</v>
      </c>
      <c r="E3349" t="str">
        <f t="shared" si="1366"/>
        <v>KFH-OPERATIONS DEPARTMENT</v>
      </c>
      <c r="F3349" t="str">
        <f t="shared" si="1367"/>
        <v>IBG</v>
      </c>
      <c r="G3349" t="str">
        <f t="shared" si="1378"/>
        <v>Refund COSHARE 10</v>
      </c>
      <c r="H3349" s="2">
        <v>683</v>
      </c>
      <c r="I3349" t="str">
        <f>"MOHD RASIDI BIN MOHD ROHAN"</f>
        <v>MOHD RASIDI BIN MOHD ROHAN</v>
      </c>
      <c r="J3349" t="str">
        <f t="shared" si="1379"/>
        <v>MAYBANK / MAYBANK ISLAMIC</v>
      </c>
      <c r="K3349" t="str">
        <f>"151128157918"</f>
        <v>151128157918</v>
      </c>
      <c r="L3349" t="str">
        <f t="shared" si="1382"/>
        <v>04-08-2020</v>
      </c>
      <c r="M3349" t="str">
        <f t="shared" si="1382"/>
        <v>04-08-2020</v>
      </c>
      <c r="N3349" t="str">
        <f t="shared" si="1368"/>
        <v>001105018356</v>
      </c>
      <c r="O3349" t="str">
        <f t="shared" si="1369"/>
        <v>MYR</v>
      </c>
      <c r="P3349" t="str">
        <f t="shared" si="1383"/>
        <v>NIL</v>
      </c>
      <c r="Q3349" t="str">
        <f t="shared" si="1383"/>
        <v>NIL</v>
      </c>
      <c r="R3349" t="str">
        <f t="shared" si="1370"/>
        <v>Accepted</v>
      </c>
      <c r="S3349" t="str">
        <f t="shared" si="1371"/>
        <v>Approved</v>
      </c>
      <c r="T3349" t="str">
        <f t="shared" si="1372"/>
        <v>10.20.8.188</v>
      </c>
      <c r="U3349" t="str">
        <f t="shared" si="1373"/>
        <v>AZRAD UMAR BIN SHAARI</v>
      </c>
      <c r="V3349" t="str">
        <f t="shared" si="1374"/>
        <v>FARHANA BINTI MUSTAPA</v>
      </c>
      <c r="W3349" t="str">
        <f t="shared" si="1375"/>
        <v>04-08-2020</v>
      </c>
      <c r="X3349" t="str">
        <f t="shared" si="1376"/>
        <v>RAZIMAH ANSAR AHMAD</v>
      </c>
      <c r="Y3349" t="str">
        <f t="shared" si="1377"/>
        <v>04-08-2020</v>
      </c>
      <c r="Z3349" t="str">
        <f>"COS10200804 5805"</f>
        <v>COS10200804 5805</v>
      </c>
    </row>
    <row r="3350" spans="1:26" x14ac:dyDescent="0.25">
      <c r="A3350" t="str">
        <f t="shared" si="1380"/>
        <v>04-08-2020 12:58:13</v>
      </c>
      <c r="B3350" t="str">
        <f>"0000807594"</f>
        <v>0000807594</v>
      </c>
      <c r="C3350" t="str">
        <f t="shared" si="1381"/>
        <v>0000807590</v>
      </c>
      <c r="D3350" t="str">
        <f t="shared" si="1365"/>
        <v>73185</v>
      </c>
      <c r="E3350" t="str">
        <f t="shared" si="1366"/>
        <v>KFH-OPERATIONS DEPARTMENT</v>
      </c>
      <c r="F3350" t="str">
        <f t="shared" si="1367"/>
        <v>IBG</v>
      </c>
      <c r="G3350" t="str">
        <f t="shared" si="1378"/>
        <v>Refund COSHARE 10</v>
      </c>
      <c r="H3350" s="2">
        <v>277</v>
      </c>
      <c r="I3350" t="str">
        <f>"MOHD RASHIDI BIN JALUDDIN"</f>
        <v>MOHD RASHIDI BIN JALUDDIN</v>
      </c>
      <c r="J3350" t="str">
        <f t="shared" si="1379"/>
        <v>MAYBANK / MAYBANK ISLAMIC</v>
      </c>
      <c r="K3350" t="str">
        <f>"112317087185"</f>
        <v>112317087185</v>
      </c>
      <c r="L3350" t="str">
        <f t="shared" si="1382"/>
        <v>04-08-2020</v>
      </c>
      <c r="M3350" t="str">
        <f t="shared" si="1382"/>
        <v>04-08-2020</v>
      </c>
      <c r="N3350" t="str">
        <f t="shared" si="1368"/>
        <v>001105018356</v>
      </c>
      <c r="O3350" t="str">
        <f t="shared" si="1369"/>
        <v>MYR</v>
      </c>
      <c r="P3350" t="str">
        <f t="shared" si="1383"/>
        <v>NIL</v>
      </c>
      <c r="Q3350" t="str">
        <f t="shared" si="1383"/>
        <v>NIL</v>
      </c>
      <c r="R3350" t="str">
        <f t="shared" si="1370"/>
        <v>Accepted</v>
      </c>
      <c r="S3350" t="str">
        <f t="shared" si="1371"/>
        <v>Approved</v>
      </c>
      <c r="T3350" t="str">
        <f t="shared" si="1372"/>
        <v>10.20.8.188</v>
      </c>
      <c r="U3350" t="str">
        <f t="shared" si="1373"/>
        <v>AZRAD UMAR BIN SHAARI</v>
      </c>
      <c r="V3350" t="str">
        <f t="shared" si="1374"/>
        <v>FARHANA BINTI MUSTAPA</v>
      </c>
      <c r="W3350" t="str">
        <f t="shared" si="1375"/>
        <v>04-08-2020</v>
      </c>
      <c r="X3350" t="str">
        <f t="shared" si="1376"/>
        <v>RAZIMAH ANSAR AHMAD</v>
      </c>
      <c r="Y3350" t="str">
        <f t="shared" si="1377"/>
        <v>04-08-2020</v>
      </c>
      <c r="Z3350" t="str">
        <f>"COS10200804 5804"</f>
        <v>COS10200804 5804</v>
      </c>
    </row>
    <row r="3351" spans="1:26" x14ac:dyDescent="0.25">
      <c r="A3351" t="str">
        <f t="shared" si="1380"/>
        <v>04-08-2020 12:58:13</v>
      </c>
      <c r="B3351" t="str">
        <f>"0000807593"</f>
        <v>0000807593</v>
      </c>
      <c r="C3351" t="str">
        <f t="shared" si="1381"/>
        <v>0000807590</v>
      </c>
      <c r="D3351" t="str">
        <f t="shared" si="1365"/>
        <v>73185</v>
      </c>
      <c r="E3351" t="str">
        <f t="shared" si="1366"/>
        <v>KFH-OPERATIONS DEPARTMENT</v>
      </c>
      <c r="F3351" t="str">
        <f t="shared" si="1367"/>
        <v>IBG</v>
      </c>
      <c r="G3351" t="str">
        <f t="shared" si="1378"/>
        <v>Refund COSHARE 10</v>
      </c>
      <c r="H3351" s="2">
        <v>327</v>
      </c>
      <c r="I3351" t="str">
        <f>"MOHD RAHMAT BIN KHAMIS"</f>
        <v>MOHD RAHMAT BIN KHAMIS</v>
      </c>
      <c r="J3351" t="str">
        <f t="shared" si="1379"/>
        <v>MAYBANK / MAYBANK ISLAMIC</v>
      </c>
      <c r="K3351" t="str">
        <f>"151203937132"</f>
        <v>151203937132</v>
      </c>
      <c r="L3351" t="str">
        <f t="shared" si="1382"/>
        <v>04-08-2020</v>
      </c>
      <c r="M3351" t="str">
        <f t="shared" si="1382"/>
        <v>04-08-2020</v>
      </c>
      <c r="N3351" t="str">
        <f t="shared" si="1368"/>
        <v>001105018356</v>
      </c>
      <c r="O3351" t="str">
        <f t="shared" si="1369"/>
        <v>MYR</v>
      </c>
      <c r="P3351" t="str">
        <f t="shared" si="1383"/>
        <v>NIL</v>
      </c>
      <c r="Q3351" t="str">
        <f t="shared" si="1383"/>
        <v>NIL</v>
      </c>
      <c r="R3351" t="str">
        <f t="shared" si="1370"/>
        <v>Accepted</v>
      </c>
      <c r="S3351" t="str">
        <f t="shared" si="1371"/>
        <v>Approved</v>
      </c>
      <c r="T3351" t="str">
        <f t="shared" si="1372"/>
        <v>10.20.8.188</v>
      </c>
      <c r="U3351" t="str">
        <f t="shared" si="1373"/>
        <v>AZRAD UMAR BIN SHAARI</v>
      </c>
      <c r="V3351" t="str">
        <f t="shared" si="1374"/>
        <v>FARHANA BINTI MUSTAPA</v>
      </c>
      <c r="W3351" t="str">
        <f t="shared" si="1375"/>
        <v>04-08-2020</v>
      </c>
      <c r="X3351" t="str">
        <f t="shared" si="1376"/>
        <v>RAZIMAH ANSAR AHMAD</v>
      </c>
      <c r="Y3351" t="str">
        <f t="shared" si="1377"/>
        <v>04-08-2020</v>
      </c>
      <c r="Z3351" t="str">
        <f>"COS10200804 5803"</f>
        <v>COS10200804 5803</v>
      </c>
    </row>
    <row r="3352" spans="1:26" x14ac:dyDescent="0.25">
      <c r="A3352" t="str">
        <f t="shared" si="1380"/>
        <v>04-08-2020 12:58:13</v>
      </c>
      <c r="B3352" t="str">
        <f>"0000807592"</f>
        <v>0000807592</v>
      </c>
      <c r="C3352" t="str">
        <f t="shared" si="1381"/>
        <v>0000807590</v>
      </c>
      <c r="D3352" t="str">
        <f t="shared" si="1365"/>
        <v>73185</v>
      </c>
      <c r="E3352" t="str">
        <f t="shared" si="1366"/>
        <v>KFH-OPERATIONS DEPARTMENT</v>
      </c>
      <c r="F3352" t="str">
        <f t="shared" si="1367"/>
        <v>IBG</v>
      </c>
      <c r="G3352" t="str">
        <f t="shared" si="1378"/>
        <v>Refund COSHARE 10</v>
      </c>
      <c r="H3352" s="2">
        <v>167.9</v>
      </c>
      <c r="I3352" t="str">
        <f>"MOHD RAHMAT BIN ABDUL KAIYIM"</f>
        <v>MOHD RAHMAT BIN ABDUL KAIYIM</v>
      </c>
      <c r="J3352" t="str">
        <f t="shared" si="1379"/>
        <v>MAYBANK / MAYBANK ISLAMIC</v>
      </c>
      <c r="K3352" t="str">
        <f>"106061451198"</f>
        <v>106061451198</v>
      </c>
      <c r="L3352" t="str">
        <f t="shared" si="1382"/>
        <v>04-08-2020</v>
      </c>
      <c r="M3352" t="str">
        <f t="shared" si="1382"/>
        <v>04-08-2020</v>
      </c>
      <c r="N3352" t="str">
        <f t="shared" si="1368"/>
        <v>001105018356</v>
      </c>
      <c r="O3352" t="str">
        <f t="shared" si="1369"/>
        <v>MYR</v>
      </c>
      <c r="P3352" t="str">
        <f t="shared" si="1383"/>
        <v>NIL</v>
      </c>
      <c r="Q3352" t="str">
        <f t="shared" si="1383"/>
        <v>NIL</v>
      </c>
      <c r="R3352" t="str">
        <f t="shared" si="1370"/>
        <v>Accepted</v>
      </c>
      <c r="S3352" t="str">
        <f t="shared" si="1371"/>
        <v>Approved</v>
      </c>
      <c r="T3352" t="str">
        <f t="shared" si="1372"/>
        <v>10.20.8.188</v>
      </c>
      <c r="U3352" t="str">
        <f t="shared" si="1373"/>
        <v>AZRAD UMAR BIN SHAARI</v>
      </c>
      <c r="V3352" t="str">
        <f t="shared" si="1374"/>
        <v>FARHANA BINTI MUSTAPA</v>
      </c>
      <c r="W3352" t="str">
        <f t="shared" si="1375"/>
        <v>04-08-2020</v>
      </c>
      <c r="X3352" t="str">
        <f t="shared" si="1376"/>
        <v>RAZIMAH ANSAR AHMAD</v>
      </c>
      <c r="Y3352" t="str">
        <f t="shared" si="1377"/>
        <v>04-08-2020</v>
      </c>
      <c r="Z3352" t="str">
        <f>"COS10200804 5802"</f>
        <v>COS10200804 5802</v>
      </c>
    </row>
    <row r="3353" spans="1:26" x14ac:dyDescent="0.25">
      <c r="A3353" t="str">
        <f t="shared" si="1380"/>
        <v>04-08-2020 12:58:13</v>
      </c>
      <c r="B3353" t="str">
        <f>"0000807591"</f>
        <v>0000807591</v>
      </c>
      <c r="C3353" t="str">
        <f t="shared" si="1381"/>
        <v>0000807590</v>
      </c>
      <c r="D3353" t="str">
        <f t="shared" si="1365"/>
        <v>73185</v>
      </c>
      <c r="E3353" t="str">
        <f t="shared" si="1366"/>
        <v>KFH-OPERATIONS DEPARTMENT</v>
      </c>
      <c r="F3353" t="str">
        <f t="shared" si="1367"/>
        <v>IBG</v>
      </c>
      <c r="G3353" t="str">
        <f t="shared" si="1378"/>
        <v>Refund COSHARE 10</v>
      </c>
      <c r="H3353" s="2">
        <v>218.3</v>
      </c>
      <c r="I3353" t="str">
        <f>"MOHD RAHIM BIN RAZALI"</f>
        <v>MOHD RAHIM BIN RAZALI</v>
      </c>
      <c r="J3353" t="str">
        <f t="shared" si="1379"/>
        <v>MAYBANK / MAYBANK ISLAMIC</v>
      </c>
      <c r="K3353" t="str">
        <f>"164089742601"</f>
        <v>164089742601</v>
      </c>
      <c r="L3353" t="str">
        <f t="shared" si="1382"/>
        <v>04-08-2020</v>
      </c>
      <c r="M3353" t="str">
        <f t="shared" si="1382"/>
        <v>04-08-2020</v>
      </c>
      <c r="N3353" t="str">
        <f t="shared" si="1368"/>
        <v>001105018356</v>
      </c>
      <c r="O3353" t="str">
        <f t="shared" si="1369"/>
        <v>MYR</v>
      </c>
      <c r="P3353" t="str">
        <f t="shared" si="1383"/>
        <v>NIL</v>
      </c>
      <c r="Q3353" t="str">
        <f t="shared" si="1383"/>
        <v>NIL</v>
      </c>
      <c r="R3353" t="str">
        <f t="shared" si="1370"/>
        <v>Accepted</v>
      </c>
      <c r="S3353" t="str">
        <f t="shared" si="1371"/>
        <v>Approved</v>
      </c>
      <c r="T3353" t="str">
        <f t="shared" si="1372"/>
        <v>10.20.8.188</v>
      </c>
      <c r="U3353" t="str">
        <f t="shared" si="1373"/>
        <v>AZRAD UMAR BIN SHAARI</v>
      </c>
      <c r="V3353" t="str">
        <f t="shared" si="1374"/>
        <v>FARHANA BINTI MUSTAPA</v>
      </c>
      <c r="W3353" t="str">
        <f t="shared" si="1375"/>
        <v>04-08-2020</v>
      </c>
      <c r="X3353" t="str">
        <f t="shared" si="1376"/>
        <v>RAZIMAH ANSAR AHMAD</v>
      </c>
      <c r="Y3353" t="str">
        <f t="shared" si="1377"/>
        <v>04-08-2020</v>
      </c>
      <c r="Z3353" t="str">
        <f>"COS10200804 5801"</f>
        <v>COS10200804 5801</v>
      </c>
    </row>
    <row r="3354" spans="1:26" x14ac:dyDescent="0.25">
      <c r="A3354" t="str">
        <f t="shared" ref="A3354:A3385" si="1384">"04-08-2020 12:57:26"</f>
        <v>04-08-2020 12:57:26</v>
      </c>
      <c r="B3354" t="str">
        <f>"0000807589"</f>
        <v>0000807589</v>
      </c>
      <c r="C3354" t="str">
        <f t="shared" ref="C3354:C3385" si="1385">"0000807389"</f>
        <v>0000807389</v>
      </c>
      <c r="D3354" t="str">
        <f t="shared" si="1365"/>
        <v>73185</v>
      </c>
      <c r="E3354" t="str">
        <f t="shared" si="1366"/>
        <v>KFH-OPERATIONS DEPARTMENT</v>
      </c>
      <c r="F3354" t="str">
        <f t="shared" si="1367"/>
        <v>IBG</v>
      </c>
      <c r="G3354" t="str">
        <f t="shared" si="1378"/>
        <v>Refund COSHARE 10</v>
      </c>
      <c r="H3354" s="2">
        <v>738.8</v>
      </c>
      <c r="I3354" t="str">
        <f>"MOHD FAIZAL BIN MUSTAPA"</f>
        <v>MOHD FAIZAL BIN MUSTAPA</v>
      </c>
      <c r="J3354" t="str">
        <f t="shared" si="1379"/>
        <v>MAYBANK / MAYBANK ISLAMIC</v>
      </c>
      <c r="K3354" t="str">
        <f>"164061705369"</f>
        <v>164061705369</v>
      </c>
      <c r="L3354" t="str">
        <f t="shared" si="1382"/>
        <v>04-08-2020</v>
      </c>
      <c r="M3354" t="str">
        <f t="shared" si="1382"/>
        <v>04-08-2020</v>
      </c>
      <c r="N3354" t="str">
        <f t="shared" si="1368"/>
        <v>001105018356</v>
      </c>
      <c r="O3354" t="str">
        <f t="shared" si="1369"/>
        <v>MYR</v>
      </c>
      <c r="P3354" t="str">
        <f t="shared" si="1383"/>
        <v>NIL</v>
      </c>
      <c r="Q3354" t="str">
        <f t="shared" si="1383"/>
        <v>NIL</v>
      </c>
      <c r="R3354" t="str">
        <f t="shared" si="1370"/>
        <v>Accepted</v>
      </c>
      <c r="S3354" t="str">
        <f t="shared" si="1371"/>
        <v>Approved</v>
      </c>
      <c r="T3354" t="str">
        <f t="shared" si="1372"/>
        <v>10.20.8.188</v>
      </c>
      <c r="U3354" t="str">
        <f t="shared" si="1373"/>
        <v>AZRAD UMAR BIN SHAARI</v>
      </c>
      <c r="V3354" t="str">
        <f t="shared" si="1374"/>
        <v>FARHANA BINTI MUSTAPA</v>
      </c>
      <c r="W3354" t="str">
        <f t="shared" si="1375"/>
        <v>04-08-2020</v>
      </c>
      <c r="X3354" t="str">
        <f t="shared" si="1376"/>
        <v>RAZIMAH ANSAR AHMAD</v>
      </c>
      <c r="Y3354" t="str">
        <f t="shared" si="1377"/>
        <v>04-08-2020</v>
      </c>
      <c r="Z3354" t="str">
        <f>"COS10200804 5600"</f>
        <v>COS10200804 5600</v>
      </c>
    </row>
    <row r="3355" spans="1:26" x14ac:dyDescent="0.25">
      <c r="A3355" t="str">
        <f t="shared" si="1384"/>
        <v>04-08-2020 12:57:26</v>
      </c>
      <c r="B3355" t="str">
        <f>"0000807588"</f>
        <v>0000807588</v>
      </c>
      <c r="C3355" t="str">
        <f t="shared" si="1385"/>
        <v>0000807389</v>
      </c>
      <c r="D3355" t="str">
        <f t="shared" si="1365"/>
        <v>73185</v>
      </c>
      <c r="E3355" t="str">
        <f t="shared" si="1366"/>
        <v>KFH-OPERATIONS DEPARTMENT</v>
      </c>
      <c r="F3355" t="str">
        <f t="shared" si="1367"/>
        <v>IBG</v>
      </c>
      <c r="G3355" t="str">
        <f t="shared" si="1378"/>
        <v>Refund COSHARE 10</v>
      </c>
      <c r="H3355" s="2">
        <v>75.599999999999994</v>
      </c>
      <c r="I3355" t="str">
        <f>"MOHD FAIZAL BIN MUSTAFAR"</f>
        <v>MOHD FAIZAL BIN MUSTAFAR</v>
      </c>
      <c r="J3355" t="str">
        <f t="shared" si="1379"/>
        <v>MAYBANK / MAYBANK ISLAMIC</v>
      </c>
      <c r="K3355" t="str">
        <f>"158293714405"</f>
        <v>158293714405</v>
      </c>
      <c r="L3355" t="str">
        <f t="shared" si="1382"/>
        <v>04-08-2020</v>
      </c>
      <c r="M3355" t="str">
        <f t="shared" si="1382"/>
        <v>04-08-2020</v>
      </c>
      <c r="N3355" t="str">
        <f t="shared" si="1368"/>
        <v>001105018356</v>
      </c>
      <c r="O3355" t="str">
        <f t="shared" si="1369"/>
        <v>MYR</v>
      </c>
      <c r="P3355" t="str">
        <f t="shared" si="1383"/>
        <v>NIL</v>
      </c>
      <c r="Q3355" t="str">
        <f t="shared" si="1383"/>
        <v>NIL</v>
      </c>
      <c r="R3355" t="str">
        <f t="shared" si="1370"/>
        <v>Accepted</v>
      </c>
      <c r="S3355" t="str">
        <f t="shared" si="1371"/>
        <v>Approved</v>
      </c>
      <c r="T3355" t="str">
        <f t="shared" si="1372"/>
        <v>10.20.8.188</v>
      </c>
      <c r="U3355" t="str">
        <f t="shared" si="1373"/>
        <v>AZRAD UMAR BIN SHAARI</v>
      </c>
      <c r="V3355" t="str">
        <f t="shared" si="1374"/>
        <v>FARHANA BINTI MUSTAPA</v>
      </c>
      <c r="W3355" t="str">
        <f t="shared" si="1375"/>
        <v>04-08-2020</v>
      </c>
      <c r="X3355" t="str">
        <f t="shared" si="1376"/>
        <v>RAZIMAH ANSAR AHMAD</v>
      </c>
      <c r="Y3355" t="str">
        <f t="shared" si="1377"/>
        <v>04-08-2020</v>
      </c>
      <c r="Z3355" t="str">
        <f>"COS10200804 5599"</f>
        <v>COS10200804 5599</v>
      </c>
    </row>
    <row r="3356" spans="1:26" x14ac:dyDescent="0.25">
      <c r="A3356" t="str">
        <f t="shared" si="1384"/>
        <v>04-08-2020 12:57:26</v>
      </c>
      <c r="B3356" t="str">
        <f>"0000807587"</f>
        <v>0000807587</v>
      </c>
      <c r="C3356" t="str">
        <f t="shared" si="1385"/>
        <v>0000807389</v>
      </c>
      <c r="D3356" t="str">
        <f t="shared" si="1365"/>
        <v>73185</v>
      </c>
      <c r="E3356" t="str">
        <f t="shared" si="1366"/>
        <v>KFH-OPERATIONS DEPARTMENT</v>
      </c>
      <c r="F3356" t="str">
        <f t="shared" si="1367"/>
        <v>IBG</v>
      </c>
      <c r="G3356" t="str">
        <f t="shared" si="1378"/>
        <v>Refund COSHARE 10</v>
      </c>
      <c r="H3356" s="2">
        <v>486</v>
      </c>
      <c r="I3356" t="str">
        <f>"MOHD FAIZAL BIN MOHD KUSAINI"</f>
        <v>MOHD FAIZAL BIN MOHD KUSAINI</v>
      </c>
      <c r="J3356" t="str">
        <f t="shared" si="1379"/>
        <v>MAYBANK / MAYBANK ISLAMIC</v>
      </c>
      <c r="K3356" t="str">
        <f>"162441025560"</f>
        <v>162441025560</v>
      </c>
      <c r="L3356" t="str">
        <f t="shared" si="1382"/>
        <v>04-08-2020</v>
      </c>
      <c r="M3356" t="str">
        <f t="shared" si="1382"/>
        <v>04-08-2020</v>
      </c>
      <c r="N3356" t="str">
        <f t="shared" si="1368"/>
        <v>001105018356</v>
      </c>
      <c r="O3356" t="str">
        <f t="shared" si="1369"/>
        <v>MYR</v>
      </c>
      <c r="P3356" t="str">
        <f t="shared" si="1383"/>
        <v>NIL</v>
      </c>
      <c r="Q3356" t="str">
        <f t="shared" si="1383"/>
        <v>NIL</v>
      </c>
      <c r="R3356" t="str">
        <f t="shared" si="1370"/>
        <v>Accepted</v>
      </c>
      <c r="S3356" t="str">
        <f t="shared" si="1371"/>
        <v>Approved</v>
      </c>
      <c r="T3356" t="str">
        <f t="shared" si="1372"/>
        <v>10.20.8.188</v>
      </c>
      <c r="U3356" t="str">
        <f t="shared" si="1373"/>
        <v>AZRAD UMAR BIN SHAARI</v>
      </c>
      <c r="V3356" t="str">
        <f t="shared" si="1374"/>
        <v>FARHANA BINTI MUSTAPA</v>
      </c>
      <c r="W3356" t="str">
        <f t="shared" si="1375"/>
        <v>04-08-2020</v>
      </c>
      <c r="X3356" t="str">
        <f t="shared" si="1376"/>
        <v>RAZIMAH ANSAR AHMAD</v>
      </c>
      <c r="Y3356" t="str">
        <f t="shared" si="1377"/>
        <v>04-08-2020</v>
      </c>
      <c r="Z3356" t="str">
        <f>"COS10200804 5598"</f>
        <v>COS10200804 5598</v>
      </c>
    </row>
    <row r="3357" spans="1:26" x14ac:dyDescent="0.25">
      <c r="A3357" t="str">
        <f t="shared" si="1384"/>
        <v>04-08-2020 12:57:26</v>
      </c>
      <c r="B3357" t="str">
        <f>"0000807586"</f>
        <v>0000807586</v>
      </c>
      <c r="C3357" t="str">
        <f t="shared" si="1385"/>
        <v>0000807389</v>
      </c>
      <c r="D3357" t="str">
        <f t="shared" si="1365"/>
        <v>73185</v>
      </c>
      <c r="E3357" t="str">
        <f t="shared" si="1366"/>
        <v>KFH-OPERATIONS DEPARTMENT</v>
      </c>
      <c r="F3357" t="str">
        <f t="shared" si="1367"/>
        <v>IBG</v>
      </c>
      <c r="G3357" t="str">
        <f t="shared" si="1378"/>
        <v>Refund COSHARE 10</v>
      </c>
      <c r="H3357" s="2">
        <v>137</v>
      </c>
      <c r="I3357" t="str">
        <f>"MOHD FAIZAL BIN KAMAL"</f>
        <v>MOHD FAIZAL BIN KAMAL</v>
      </c>
      <c r="J3357" t="str">
        <f t="shared" si="1379"/>
        <v>MAYBANK / MAYBANK ISLAMIC</v>
      </c>
      <c r="K3357" t="str">
        <f>"161257028480"</f>
        <v>161257028480</v>
      </c>
      <c r="L3357" t="str">
        <f t="shared" si="1382"/>
        <v>04-08-2020</v>
      </c>
      <c r="M3357" t="str">
        <f t="shared" si="1382"/>
        <v>04-08-2020</v>
      </c>
      <c r="N3357" t="str">
        <f t="shared" si="1368"/>
        <v>001105018356</v>
      </c>
      <c r="O3357" t="str">
        <f t="shared" si="1369"/>
        <v>MYR</v>
      </c>
      <c r="P3357" t="str">
        <f t="shared" si="1383"/>
        <v>NIL</v>
      </c>
      <c r="Q3357" t="str">
        <f t="shared" si="1383"/>
        <v>NIL</v>
      </c>
      <c r="R3357" t="str">
        <f t="shared" si="1370"/>
        <v>Accepted</v>
      </c>
      <c r="S3357" t="str">
        <f t="shared" si="1371"/>
        <v>Approved</v>
      </c>
      <c r="T3357" t="str">
        <f t="shared" si="1372"/>
        <v>10.20.8.188</v>
      </c>
      <c r="U3357" t="str">
        <f t="shared" si="1373"/>
        <v>AZRAD UMAR BIN SHAARI</v>
      </c>
      <c r="V3357" t="str">
        <f t="shared" si="1374"/>
        <v>FARHANA BINTI MUSTAPA</v>
      </c>
      <c r="W3357" t="str">
        <f t="shared" si="1375"/>
        <v>04-08-2020</v>
      </c>
      <c r="X3357" t="str">
        <f t="shared" si="1376"/>
        <v>RAZIMAH ANSAR AHMAD</v>
      </c>
      <c r="Y3357" t="str">
        <f t="shared" si="1377"/>
        <v>04-08-2020</v>
      </c>
      <c r="Z3357" t="str">
        <f>"COS10200804 5597"</f>
        <v>COS10200804 5597</v>
      </c>
    </row>
    <row r="3358" spans="1:26" x14ac:dyDescent="0.25">
      <c r="A3358" t="str">
        <f t="shared" si="1384"/>
        <v>04-08-2020 12:57:26</v>
      </c>
      <c r="B3358" t="str">
        <f>"0000807585"</f>
        <v>0000807585</v>
      </c>
      <c r="C3358" t="str">
        <f t="shared" si="1385"/>
        <v>0000807389</v>
      </c>
      <c r="D3358" t="str">
        <f t="shared" si="1365"/>
        <v>73185</v>
      </c>
      <c r="E3358" t="str">
        <f t="shared" si="1366"/>
        <v>KFH-OPERATIONS DEPARTMENT</v>
      </c>
      <c r="F3358" t="str">
        <f t="shared" si="1367"/>
        <v>IBG</v>
      </c>
      <c r="G3358" t="str">
        <f t="shared" si="1378"/>
        <v>Refund COSHARE 10</v>
      </c>
      <c r="H3358" s="2">
        <v>67.2</v>
      </c>
      <c r="I3358" t="str">
        <f>"MOHD FAIZAL BIN AWANG  HAMID"</f>
        <v>MOHD FAIZAL BIN AWANG  HAMID</v>
      </c>
      <c r="J3358" t="str">
        <f t="shared" si="1379"/>
        <v>MAYBANK / MAYBANK ISLAMIC</v>
      </c>
      <c r="K3358" t="str">
        <f>"163019071408"</f>
        <v>163019071408</v>
      </c>
      <c r="L3358" t="str">
        <f t="shared" si="1382"/>
        <v>04-08-2020</v>
      </c>
      <c r="M3358" t="str">
        <f t="shared" si="1382"/>
        <v>04-08-2020</v>
      </c>
      <c r="N3358" t="str">
        <f t="shared" si="1368"/>
        <v>001105018356</v>
      </c>
      <c r="O3358" t="str">
        <f t="shared" si="1369"/>
        <v>MYR</v>
      </c>
      <c r="P3358" t="str">
        <f t="shared" si="1383"/>
        <v>NIL</v>
      </c>
      <c r="Q3358" t="str">
        <f t="shared" si="1383"/>
        <v>NIL</v>
      </c>
      <c r="R3358" t="str">
        <f t="shared" si="1370"/>
        <v>Accepted</v>
      </c>
      <c r="S3358" t="str">
        <f t="shared" si="1371"/>
        <v>Approved</v>
      </c>
      <c r="T3358" t="str">
        <f t="shared" si="1372"/>
        <v>10.20.8.188</v>
      </c>
      <c r="U3358" t="str">
        <f t="shared" si="1373"/>
        <v>AZRAD UMAR BIN SHAARI</v>
      </c>
      <c r="V3358" t="str">
        <f t="shared" si="1374"/>
        <v>FARHANA BINTI MUSTAPA</v>
      </c>
      <c r="W3358" t="str">
        <f t="shared" si="1375"/>
        <v>04-08-2020</v>
      </c>
      <c r="X3358" t="str">
        <f t="shared" si="1376"/>
        <v>RAZIMAH ANSAR AHMAD</v>
      </c>
      <c r="Y3358" t="str">
        <f t="shared" si="1377"/>
        <v>04-08-2020</v>
      </c>
      <c r="Z3358" t="str">
        <f>"COS10200804 5596"</f>
        <v>COS10200804 5596</v>
      </c>
    </row>
    <row r="3359" spans="1:26" x14ac:dyDescent="0.25">
      <c r="A3359" t="str">
        <f t="shared" si="1384"/>
        <v>04-08-2020 12:57:26</v>
      </c>
      <c r="B3359" t="str">
        <f>"0000807584"</f>
        <v>0000807584</v>
      </c>
      <c r="C3359" t="str">
        <f t="shared" si="1385"/>
        <v>0000807389</v>
      </c>
      <c r="D3359" t="str">
        <f t="shared" si="1365"/>
        <v>73185</v>
      </c>
      <c r="E3359" t="str">
        <f t="shared" si="1366"/>
        <v>KFH-OPERATIONS DEPARTMENT</v>
      </c>
      <c r="F3359" t="str">
        <f t="shared" si="1367"/>
        <v>IBG</v>
      </c>
      <c r="G3359" t="str">
        <f t="shared" si="1378"/>
        <v>Refund COSHARE 10</v>
      </c>
      <c r="H3359" s="2">
        <v>167.9</v>
      </c>
      <c r="I3359" t="str">
        <f>"MOHD FAIZAL ADARIES BIN SALLEH"</f>
        <v>MOHD FAIZAL ADARIES BIN SALLEH</v>
      </c>
      <c r="J3359" t="str">
        <f t="shared" si="1379"/>
        <v>MAYBANK / MAYBANK ISLAMIC</v>
      </c>
      <c r="K3359" t="str">
        <f>"512213051000"</f>
        <v>512213051000</v>
      </c>
      <c r="L3359" t="str">
        <f t="shared" si="1382"/>
        <v>04-08-2020</v>
      </c>
      <c r="M3359" t="str">
        <f t="shared" si="1382"/>
        <v>04-08-2020</v>
      </c>
      <c r="N3359" t="str">
        <f t="shared" si="1368"/>
        <v>001105018356</v>
      </c>
      <c r="O3359" t="str">
        <f t="shared" si="1369"/>
        <v>MYR</v>
      </c>
      <c r="P3359" t="str">
        <f t="shared" si="1383"/>
        <v>NIL</v>
      </c>
      <c r="Q3359" t="str">
        <f t="shared" si="1383"/>
        <v>NIL</v>
      </c>
      <c r="R3359" t="str">
        <f t="shared" si="1370"/>
        <v>Accepted</v>
      </c>
      <c r="S3359" t="str">
        <f t="shared" si="1371"/>
        <v>Approved</v>
      </c>
      <c r="T3359" t="str">
        <f t="shared" si="1372"/>
        <v>10.20.8.188</v>
      </c>
      <c r="U3359" t="str">
        <f t="shared" si="1373"/>
        <v>AZRAD UMAR BIN SHAARI</v>
      </c>
      <c r="V3359" t="str">
        <f t="shared" si="1374"/>
        <v>FARHANA BINTI MUSTAPA</v>
      </c>
      <c r="W3359" t="str">
        <f t="shared" si="1375"/>
        <v>04-08-2020</v>
      </c>
      <c r="X3359" t="str">
        <f t="shared" si="1376"/>
        <v>RAZIMAH ANSAR AHMAD</v>
      </c>
      <c r="Y3359" t="str">
        <f t="shared" si="1377"/>
        <v>04-08-2020</v>
      </c>
      <c r="Z3359" t="str">
        <f>"COS10200804 5595"</f>
        <v>COS10200804 5595</v>
      </c>
    </row>
    <row r="3360" spans="1:26" x14ac:dyDescent="0.25">
      <c r="A3360" t="str">
        <f t="shared" si="1384"/>
        <v>04-08-2020 12:57:26</v>
      </c>
      <c r="B3360" t="str">
        <f>"0000807583"</f>
        <v>0000807583</v>
      </c>
      <c r="C3360" t="str">
        <f t="shared" si="1385"/>
        <v>0000807389</v>
      </c>
      <c r="D3360" t="str">
        <f t="shared" si="1365"/>
        <v>73185</v>
      </c>
      <c r="E3360" t="str">
        <f t="shared" si="1366"/>
        <v>KFH-OPERATIONS DEPARTMENT</v>
      </c>
      <c r="F3360" t="str">
        <f t="shared" si="1367"/>
        <v>IBG</v>
      </c>
      <c r="G3360" t="str">
        <f t="shared" si="1378"/>
        <v>Refund COSHARE 10</v>
      </c>
      <c r="H3360" s="2">
        <v>394.6</v>
      </c>
      <c r="I3360" t="str">
        <f>"MOHD FAIZ FIKRI BIN YUSSOFF"</f>
        <v>MOHD FAIZ FIKRI BIN YUSSOFF</v>
      </c>
      <c r="J3360" t="str">
        <f t="shared" si="1379"/>
        <v>MAYBANK / MAYBANK ISLAMIC</v>
      </c>
      <c r="K3360" t="str">
        <f>"166010139070"</f>
        <v>166010139070</v>
      </c>
      <c r="L3360" t="str">
        <f t="shared" si="1382"/>
        <v>04-08-2020</v>
      </c>
      <c r="M3360" t="str">
        <f t="shared" si="1382"/>
        <v>04-08-2020</v>
      </c>
      <c r="N3360" t="str">
        <f t="shared" si="1368"/>
        <v>001105018356</v>
      </c>
      <c r="O3360" t="str">
        <f t="shared" si="1369"/>
        <v>MYR</v>
      </c>
      <c r="P3360" t="str">
        <f t="shared" si="1383"/>
        <v>NIL</v>
      </c>
      <c r="Q3360" t="str">
        <f t="shared" si="1383"/>
        <v>NIL</v>
      </c>
      <c r="R3360" t="str">
        <f t="shared" si="1370"/>
        <v>Accepted</v>
      </c>
      <c r="S3360" t="str">
        <f t="shared" si="1371"/>
        <v>Approved</v>
      </c>
      <c r="T3360" t="str">
        <f t="shared" si="1372"/>
        <v>10.20.8.188</v>
      </c>
      <c r="U3360" t="str">
        <f t="shared" si="1373"/>
        <v>AZRAD UMAR BIN SHAARI</v>
      </c>
      <c r="V3360" t="str">
        <f t="shared" si="1374"/>
        <v>FARHANA BINTI MUSTAPA</v>
      </c>
      <c r="W3360" t="str">
        <f t="shared" si="1375"/>
        <v>04-08-2020</v>
      </c>
      <c r="X3360" t="str">
        <f t="shared" si="1376"/>
        <v>RAZIMAH ANSAR AHMAD</v>
      </c>
      <c r="Y3360" t="str">
        <f t="shared" si="1377"/>
        <v>04-08-2020</v>
      </c>
      <c r="Z3360" t="str">
        <f>"COS10200804 5594"</f>
        <v>COS10200804 5594</v>
      </c>
    </row>
    <row r="3361" spans="1:26" x14ac:dyDescent="0.25">
      <c r="A3361" t="str">
        <f t="shared" si="1384"/>
        <v>04-08-2020 12:57:26</v>
      </c>
      <c r="B3361" t="str">
        <f>"0000807582"</f>
        <v>0000807582</v>
      </c>
      <c r="C3361" t="str">
        <f t="shared" si="1385"/>
        <v>0000807389</v>
      </c>
      <c r="D3361" t="str">
        <f t="shared" si="1365"/>
        <v>73185</v>
      </c>
      <c r="E3361" t="str">
        <f t="shared" si="1366"/>
        <v>KFH-OPERATIONS DEPARTMENT</v>
      </c>
      <c r="F3361" t="str">
        <f t="shared" si="1367"/>
        <v>IBG</v>
      </c>
      <c r="G3361" t="str">
        <f t="shared" si="1378"/>
        <v>Refund COSHARE 10</v>
      </c>
      <c r="H3361" s="2">
        <v>567.95000000000005</v>
      </c>
      <c r="I3361" t="str">
        <f>"MOHD FAIZ BIN MOHD DAUD  KAMARUDDIN"</f>
        <v>MOHD FAIZ BIN MOHD DAUD  KAMARUDDIN</v>
      </c>
      <c r="J3361" t="str">
        <f t="shared" si="1379"/>
        <v>MAYBANK / MAYBANK ISLAMIC</v>
      </c>
      <c r="K3361" t="str">
        <f>"162272573976"</f>
        <v>162272573976</v>
      </c>
      <c r="L3361" t="str">
        <f t="shared" si="1382"/>
        <v>04-08-2020</v>
      </c>
      <c r="M3361" t="str">
        <f t="shared" si="1382"/>
        <v>04-08-2020</v>
      </c>
      <c r="N3361" t="str">
        <f t="shared" si="1368"/>
        <v>001105018356</v>
      </c>
      <c r="O3361" t="str">
        <f t="shared" si="1369"/>
        <v>MYR</v>
      </c>
      <c r="P3361" t="str">
        <f t="shared" si="1383"/>
        <v>NIL</v>
      </c>
      <c r="Q3361" t="str">
        <f t="shared" si="1383"/>
        <v>NIL</v>
      </c>
      <c r="R3361" t="str">
        <f t="shared" si="1370"/>
        <v>Accepted</v>
      </c>
      <c r="S3361" t="str">
        <f t="shared" si="1371"/>
        <v>Approved</v>
      </c>
      <c r="T3361" t="str">
        <f t="shared" si="1372"/>
        <v>10.20.8.188</v>
      </c>
      <c r="U3361" t="str">
        <f t="shared" si="1373"/>
        <v>AZRAD UMAR BIN SHAARI</v>
      </c>
      <c r="V3361" t="str">
        <f t="shared" si="1374"/>
        <v>FARHANA BINTI MUSTAPA</v>
      </c>
      <c r="W3361" t="str">
        <f t="shared" si="1375"/>
        <v>04-08-2020</v>
      </c>
      <c r="X3361" t="str">
        <f t="shared" si="1376"/>
        <v>RAZIMAH ANSAR AHMAD</v>
      </c>
      <c r="Y3361" t="str">
        <f t="shared" si="1377"/>
        <v>04-08-2020</v>
      </c>
      <c r="Z3361" t="str">
        <f>"COS10200804 5593"</f>
        <v>COS10200804 5593</v>
      </c>
    </row>
    <row r="3362" spans="1:26" x14ac:dyDescent="0.25">
      <c r="A3362" t="str">
        <f t="shared" si="1384"/>
        <v>04-08-2020 12:57:26</v>
      </c>
      <c r="B3362" t="str">
        <f>"0000807581"</f>
        <v>0000807581</v>
      </c>
      <c r="C3362" t="str">
        <f t="shared" si="1385"/>
        <v>0000807389</v>
      </c>
      <c r="D3362" t="str">
        <f t="shared" si="1365"/>
        <v>73185</v>
      </c>
      <c r="E3362" t="str">
        <f t="shared" si="1366"/>
        <v>KFH-OPERATIONS DEPARTMENT</v>
      </c>
      <c r="F3362" t="str">
        <f t="shared" si="1367"/>
        <v>IBG</v>
      </c>
      <c r="G3362" t="str">
        <f t="shared" si="1378"/>
        <v>Refund COSHARE 10</v>
      </c>
      <c r="H3362" s="2">
        <v>193.1</v>
      </c>
      <c r="I3362" t="str">
        <f>"MOHD FAIZ BIN MOHAMAD OTHMAN"</f>
        <v>MOHD FAIZ BIN MOHAMAD OTHMAN</v>
      </c>
      <c r="J3362" t="str">
        <f t="shared" si="1379"/>
        <v>MAYBANK / MAYBANK ISLAMIC</v>
      </c>
      <c r="K3362" t="str">
        <f>"112278062462"</f>
        <v>112278062462</v>
      </c>
      <c r="L3362" t="str">
        <f t="shared" si="1382"/>
        <v>04-08-2020</v>
      </c>
      <c r="M3362" t="str">
        <f t="shared" si="1382"/>
        <v>04-08-2020</v>
      </c>
      <c r="N3362" t="str">
        <f t="shared" si="1368"/>
        <v>001105018356</v>
      </c>
      <c r="O3362" t="str">
        <f t="shared" si="1369"/>
        <v>MYR</v>
      </c>
      <c r="P3362" t="str">
        <f t="shared" si="1383"/>
        <v>NIL</v>
      </c>
      <c r="Q3362" t="str">
        <f t="shared" si="1383"/>
        <v>NIL</v>
      </c>
      <c r="R3362" t="str">
        <f t="shared" si="1370"/>
        <v>Accepted</v>
      </c>
      <c r="S3362" t="str">
        <f t="shared" si="1371"/>
        <v>Approved</v>
      </c>
      <c r="T3362" t="str">
        <f t="shared" si="1372"/>
        <v>10.20.8.188</v>
      </c>
      <c r="U3362" t="str">
        <f t="shared" si="1373"/>
        <v>AZRAD UMAR BIN SHAARI</v>
      </c>
      <c r="V3362" t="str">
        <f t="shared" si="1374"/>
        <v>FARHANA BINTI MUSTAPA</v>
      </c>
      <c r="W3362" t="str">
        <f t="shared" si="1375"/>
        <v>04-08-2020</v>
      </c>
      <c r="X3362" t="str">
        <f t="shared" si="1376"/>
        <v>RAZIMAH ANSAR AHMAD</v>
      </c>
      <c r="Y3362" t="str">
        <f t="shared" si="1377"/>
        <v>04-08-2020</v>
      </c>
      <c r="Z3362" t="str">
        <f>"COS10200804 5592"</f>
        <v>COS10200804 5592</v>
      </c>
    </row>
    <row r="3363" spans="1:26" x14ac:dyDescent="0.25">
      <c r="A3363" t="str">
        <f t="shared" si="1384"/>
        <v>04-08-2020 12:57:26</v>
      </c>
      <c r="B3363" t="str">
        <f>"0000807580"</f>
        <v>0000807580</v>
      </c>
      <c r="C3363" t="str">
        <f t="shared" si="1385"/>
        <v>0000807389</v>
      </c>
      <c r="D3363" t="str">
        <f t="shared" si="1365"/>
        <v>73185</v>
      </c>
      <c r="E3363" t="str">
        <f t="shared" si="1366"/>
        <v>KFH-OPERATIONS DEPARTMENT</v>
      </c>
      <c r="F3363" t="str">
        <f t="shared" si="1367"/>
        <v>IBG</v>
      </c>
      <c r="G3363" t="str">
        <f t="shared" si="1378"/>
        <v>Refund COSHARE 10</v>
      </c>
      <c r="H3363" s="2">
        <v>755.6</v>
      </c>
      <c r="I3363" t="str">
        <f>"MOHD FAISAL BIN IDROS"</f>
        <v>MOHD FAISAL BIN IDROS</v>
      </c>
      <c r="J3363" t="str">
        <f t="shared" si="1379"/>
        <v>MAYBANK / MAYBANK ISLAMIC</v>
      </c>
      <c r="K3363" t="str">
        <f>"112139023178"</f>
        <v>112139023178</v>
      </c>
      <c r="L3363" t="str">
        <f t="shared" si="1382"/>
        <v>04-08-2020</v>
      </c>
      <c r="M3363" t="str">
        <f t="shared" si="1382"/>
        <v>04-08-2020</v>
      </c>
      <c r="N3363" t="str">
        <f t="shared" si="1368"/>
        <v>001105018356</v>
      </c>
      <c r="O3363" t="str">
        <f t="shared" si="1369"/>
        <v>MYR</v>
      </c>
      <c r="P3363" t="str">
        <f t="shared" si="1383"/>
        <v>NIL</v>
      </c>
      <c r="Q3363" t="str">
        <f t="shared" si="1383"/>
        <v>NIL</v>
      </c>
      <c r="R3363" t="str">
        <f t="shared" si="1370"/>
        <v>Accepted</v>
      </c>
      <c r="S3363" t="str">
        <f t="shared" si="1371"/>
        <v>Approved</v>
      </c>
      <c r="T3363" t="str">
        <f t="shared" si="1372"/>
        <v>10.20.8.188</v>
      </c>
      <c r="U3363" t="str">
        <f t="shared" si="1373"/>
        <v>AZRAD UMAR BIN SHAARI</v>
      </c>
      <c r="V3363" t="str">
        <f t="shared" si="1374"/>
        <v>FARHANA BINTI MUSTAPA</v>
      </c>
      <c r="W3363" t="str">
        <f t="shared" si="1375"/>
        <v>04-08-2020</v>
      </c>
      <c r="X3363" t="str">
        <f t="shared" si="1376"/>
        <v>RAZIMAH ANSAR AHMAD</v>
      </c>
      <c r="Y3363" t="str">
        <f t="shared" si="1377"/>
        <v>04-08-2020</v>
      </c>
      <c r="Z3363" t="str">
        <f>"COS10200804 5591"</f>
        <v>COS10200804 5591</v>
      </c>
    </row>
    <row r="3364" spans="1:26" x14ac:dyDescent="0.25">
      <c r="A3364" t="str">
        <f t="shared" si="1384"/>
        <v>04-08-2020 12:57:26</v>
      </c>
      <c r="B3364" t="str">
        <f>"0000807579"</f>
        <v>0000807579</v>
      </c>
      <c r="C3364" t="str">
        <f t="shared" si="1385"/>
        <v>0000807389</v>
      </c>
      <c r="D3364" t="str">
        <f t="shared" si="1365"/>
        <v>73185</v>
      </c>
      <c r="E3364" t="str">
        <f t="shared" si="1366"/>
        <v>KFH-OPERATIONS DEPARTMENT</v>
      </c>
      <c r="F3364" t="str">
        <f t="shared" si="1367"/>
        <v>IBG</v>
      </c>
      <c r="G3364" t="str">
        <f t="shared" si="1378"/>
        <v>Refund COSHARE 10</v>
      </c>
      <c r="H3364" s="2">
        <v>266</v>
      </c>
      <c r="I3364" t="str">
        <f>"MOHD FAIRUL NIZAM BIN MOHD ROSLI"</f>
        <v>MOHD FAIRUL NIZAM BIN MOHD ROSLI</v>
      </c>
      <c r="J3364" t="str">
        <f t="shared" si="1379"/>
        <v>MAYBANK / MAYBANK ISLAMIC</v>
      </c>
      <c r="K3364" t="str">
        <f>"112080568046"</f>
        <v>112080568046</v>
      </c>
      <c r="L3364" t="str">
        <f t="shared" si="1382"/>
        <v>04-08-2020</v>
      </c>
      <c r="M3364" t="str">
        <f t="shared" si="1382"/>
        <v>04-08-2020</v>
      </c>
      <c r="N3364" t="str">
        <f t="shared" si="1368"/>
        <v>001105018356</v>
      </c>
      <c r="O3364" t="str">
        <f t="shared" si="1369"/>
        <v>MYR</v>
      </c>
      <c r="P3364" t="str">
        <f t="shared" si="1383"/>
        <v>NIL</v>
      </c>
      <c r="Q3364" t="str">
        <f t="shared" si="1383"/>
        <v>NIL</v>
      </c>
      <c r="R3364" t="str">
        <f t="shared" si="1370"/>
        <v>Accepted</v>
      </c>
      <c r="S3364" t="str">
        <f t="shared" si="1371"/>
        <v>Approved</v>
      </c>
      <c r="T3364" t="str">
        <f t="shared" si="1372"/>
        <v>10.20.8.188</v>
      </c>
      <c r="U3364" t="str">
        <f t="shared" si="1373"/>
        <v>AZRAD UMAR BIN SHAARI</v>
      </c>
      <c r="V3364" t="str">
        <f t="shared" si="1374"/>
        <v>FARHANA BINTI MUSTAPA</v>
      </c>
      <c r="W3364" t="str">
        <f t="shared" si="1375"/>
        <v>04-08-2020</v>
      </c>
      <c r="X3364" t="str">
        <f t="shared" si="1376"/>
        <v>RAZIMAH ANSAR AHMAD</v>
      </c>
      <c r="Y3364" t="str">
        <f t="shared" si="1377"/>
        <v>04-08-2020</v>
      </c>
      <c r="Z3364" t="str">
        <f>"COS10200804 5590"</f>
        <v>COS10200804 5590</v>
      </c>
    </row>
    <row r="3365" spans="1:26" x14ac:dyDescent="0.25">
      <c r="A3365" t="str">
        <f t="shared" si="1384"/>
        <v>04-08-2020 12:57:26</v>
      </c>
      <c r="B3365" t="str">
        <f>"0000807578"</f>
        <v>0000807578</v>
      </c>
      <c r="C3365" t="str">
        <f t="shared" si="1385"/>
        <v>0000807389</v>
      </c>
      <c r="D3365" t="str">
        <f t="shared" si="1365"/>
        <v>73185</v>
      </c>
      <c r="E3365" t="str">
        <f t="shared" si="1366"/>
        <v>KFH-OPERATIONS DEPARTMENT</v>
      </c>
      <c r="F3365" t="str">
        <f t="shared" si="1367"/>
        <v>IBG</v>
      </c>
      <c r="G3365" t="str">
        <f t="shared" si="1378"/>
        <v>Refund COSHARE 10</v>
      </c>
      <c r="H3365" s="2">
        <v>722</v>
      </c>
      <c r="I3365" t="str">
        <f>"MOHD FAIROZ BIN ABDUL RANI"</f>
        <v>MOHD FAIROZ BIN ABDUL RANI</v>
      </c>
      <c r="J3365" t="str">
        <f t="shared" si="1379"/>
        <v>MAYBANK / MAYBANK ISLAMIC</v>
      </c>
      <c r="K3365" t="str">
        <f>"162731138874"</f>
        <v>162731138874</v>
      </c>
      <c r="L3365" t="str">
        <f t="shared" si="1382"/>
        <v>04-08-2020</v>
      </c>
      <c r="M3365" t="str">
        <f t="shared" si="1382"/>
        <v>04-08-2020</v>
      </c>
      <c r="N3365" t="str">
        <f t="shared" si="1368"/>
        <v>001105018356</v>
      </c>
      <c r="O3365" t="str">
        <f t="shared" si="1369"/>
        <v>MYR</v>
      </c>
      <c r="P3365" t="str">
        <f t="shared" si="1383"/>
        <v>NIL</v>
      </c>
      <c r="Q3365" t="str">
        <f t="shared" si="1383"/>
        <v>NIL</v>
      </c>
      <c r="R3365" t="str">
        <f t="shared" si="1370"/>
        <v>Accepted</v>
      </c>
      <c r="S3365" t="str">
        <f t="shared" si="1371"/>
        <v>Approved</v>
      </c>
      <c r="T3365" t="str">
        <f t="shared" si="1372"/>
        <v>10.20.8.188</v>
      </c>
      <c r="U3365" t="str">
        <f t="shared" si="1373"/>
        <v>AZRAD UMAR BIN SHAARI</v>
      </c>
      <c r="V3365" t="str">
        <f t="shared" si="1374"/>
        <v>FARHANA BINTI MUSTAPA</v>
      </c>
      <c r="W3365" t="str">
        <f t="shared" si="1375"/>
        <v>04-08-2020</v>
      </c>
      <c r="X3365" t="str">
        <f t="shared" si="1376"/>
        <v>RAZIMAH ANSAR AHMAD</v>
      </c>
      <c r="Y3365" t="str">
        <f t="shared" si="1377"/>
        <v>04-08-2020</v>
      </c>
      <c r="Z3365" t="str">
        <f>"COS10200804 5589"</f>
        <v>COS10200804 5589</v>
      </c>
    </row>
    <row r="3366" spans="1:26" x14ac:dyDescent="0.25">
      <c r="A3366" t="str">
        <f t="shared" si="1384"/>
        <v>04-08-2020 12:57:26</v>
      </c>
      <c r="B3366" t="str">
        <f>"0000807577"</f>
        <v>0000807577</v>
      </c>
      <c r="C3366" t="str">
        <f t="shared" si="1385"/>
        <v>0000807389</v>
      </c>
      <c r="D3366" t="str">
        <f t="shared" si="1365"/>
        <v>73185</v>
      </c>
      <c r="E3366" t="str">
        <f t="shared" si="1366"/>
        <v>KFH-OPERATIONS DEPARTMENT</v>
      </c>
      <c r="F3366" t="str">
        <f t="shared" si="1367"/>
        <v>IBG</v>
      </c>
      <c r="G3366" t="str">
        <f t="shared" si="1378"/>
        <v>Refund COSHARE 10</v>
      </c>
      <c r="H3366" s="2">
        <v>125.95</v>
      </c>
      <c r="I3366" t="str">
        <f>"MOHD FAIROUS BIN ABDUL RAHMAN"</f>
        <v>MOHD FAIROUS BIN ABDUL RAHMAN</v>
      </c>
      <c r="J3366" t="str">
        <f t="shared" si="1379"/>
        <v>MAYBANK / MAYBANK ISLAMIC</v>
      </c>
      <c r="K3366" t="str">
        <f>"158051745466"</f>
        <v>158051745466</v>
      </c>
      <c r="L3366" t="str">
        <f t="shared" si="1382"/>
        <v>04-08-2020</v>
      </c>
      <c r="M3366" t="str">
        <f t="shared" si="1382"/>
        <v>04-08-2020</v>
      </c>
      <c r="N3366" t="str">
        <f t="shared" si="1368"/>
        <v>001105018356</v>
      </c>
      <c r="O3366" t="str">
        <f t="shared" si="1369"/>
        <v>MYR</v>
      </c>
      <c r="P3366" t="str">
        <f t="shared" si="1383"/>
        <v>NIL</v>
      </c>
      <c r="Q3366" t="str">
        <f t="shared" si="1383"/>
        <v>NIL</v>
      </c>
      <c r="R3366" t="str">
        <f t="shared" si="1370"/>
        <v>Accepted</v>
      </c>
      <c r="S3366" t="str">
        <f t="shared" si="1371"/>
        <v>Approved</v>
      </c>
      <c r="T3366" t="str">
        <f t="shared" si="1372"/>
        <v>10.20.8.188</v>
      </c>
      <c r="U3366" t="str">
        <f t="shared" si="1373"/>
        <v>AZRAD UMAR BIN SHAARI</v>
      </c>
      <c r="V3366" t="str">
        <f t="shared" si="1374"/>
        <v>FARHANA BINTI MUSTAPA</v>
      </c>
      <c r="W3366" t="str">
        <f t="shared" si="1375"/>
        <v>04-08-2020</v>
      </c>
      <c r="X3366" t="str">
        <f t="shared" si="1376"/>
        <v>RAZIMAH ANSAR AHMAD</v>
      </c>
      <c r="Y3366" t="str">
        <f t="shared" si="1377"/>
        <v>04-08-2020</v>
      </c>
      <c r="Z3366" t="str">
        <f>"COS10200804 5588"</f>
        <v>COS10200804 5588</v>
      </c>
    </row>
    <row r="3367" spans="1:26" x14ac:dyDescent="0.25">
      <c r="A3367" t="str">
        <f t="shared" si="1384"/>
        <v>04-08-2020 12:57:26</v>
      </c>
      <c r="B3367" t="str">
        <f>"0000807576"</f>
        <v>0000807576</v>
      </c>
      <c r="C3367" t="str">
        <f t="shared" si="1385"/>
        <v>0000807389</v>
      </c>
      <c r="D3367" t="str">
        <f t="shared" si="1365"/>
        <v>73185</v>
      </c>
      <c r="E3367" t="str">
        <f t="shared" si="1366"/>
        <v>KFH-OPERATIONS DEPARTMENT</v>
      </c>
      <c r="F3367" t="str">
        <f t="shared" si="1367"/>
        <v>IBG</v>
      </c>
      <c r="G3367" t="str">
        <f t="shared" si="1378"/>
        <v>Refund COSHARE 10</v>
      </c>
      <c r="H3367" s="2">
        <v>1259.25</v>
      </c>
      <c r="I3367" t="str">
        <f>"MOHD FAHMEE BIN BAHAUDIN"</f>
        <v>MOHD FAHMEE BIN BAHAUDIN</v>
      </c>
      <c r="J3367" t="str">
        <f t="shared" si="1379"/>
        <v>MAYBANK / MAYBANK ISLAMIC</v>
      </c>
      <c r="K3367" t="str">
        <f>"162094103698"</f>
        <v>162094103698</v>
      </c>
      <c r="L3367" t="str">
        <f t="shared" ref="L3367:M3386" si="1386">"04-08-2020"</f>
        <v>04-08-2020</v>
      </c>
      <c r="M3367" t="str">
        <f t="shared" si="1386"/>
        <v>04-08-2020</v>
      </c>
      <c r="N3367" t="str">
        <f t="shared" si="1368"/>
        <v>001105018356</v>
      </c>
      <c r="O3367" t="str">
        <f t="shared" si="1369"/>
        <v>MYR</v>
      </c>
      <c r="P3367" t="str">
        <f t="shared" ref="P3367:Q3386" si="1387">"NIL"</f>
        <v>NIL</v>
      </c>
      <c r="Q3367" t="str">
        <f t="shared" si="1387"/>
        <v>NIL</v>
      </c>
      <c r="R3367" t="str">
        <f t="shared" si="1370"/>
        <v>Accepted</v>
      </c>
      <c r="S3367" t="str">
        <f t="shared" si="1371"/>
        <v>Approved</v>
      </c>
      <c r="T3367" t="str">
        <f t="shared" si="1372"/>
        <v>10.20.8.188</v>
      </c>
      <c r="U3367" t="str">
        <f t="shared" si="1373"/>
        <v>AZRAD UMAR BIN SHAARI</v>
      </c>
      <c r="V3367" t="str">
        <f t="shared" si="1374"/>
        <v>FARHANA BINTI MUSTAPA</v>
      </c>
      <c r="W3367" t="str">
        <f t="shared" si="1375"/>
        <v>04-08-2020</v>
      </c>
      <c r="X3367" t="str">
        <f t="shared" si="1376"/>
        <v>RAZIMAH ANSAR AHMAD</v>
      </c>
      <c r="Y3367" t="str">
        <f t="shared" si="1377"/>
        <v>04-08-2020</v>
      </c>
      <c r="Z3367" t="str">
        <f>"COS10200804 5587"</f>
        <v>COS10200804 5587</v>
      </c>
    </row>
    <row r="3368" spans="1:26" x14ac:dyDescent="0.25">
      <c r="A3368" t="str">
        <f t="shared" si="1384"/>
        <v>04-08-2020 12:57:26</v>
      </c>
      <c r="B3368" t="str">
        <f>"0000807575"</f>
        <v>0000807575</v>
      </c>
      <c r="C3368" t="str">
        <f t="shared" si="1385"/>
        <v>0000807389</v>
      </c>
      <c r="D3368" t="str">
        <f t="shared" si="1365"/>
        <v>73185</v>
      </c>
      <c r="E3368" t="str">
        <f t="shared" si="1366"/>
        <v>KFH-OPERATIONS DEPARTMENT</v>
      </c>
      <c r="F3368" t="str">
        <f t="shared" si="1367"/>
        <v>IBG</v>
      </c>
      <c r="G3368" t="str">
        <f t="shared" si="1378"/>
        <v>Refund COSHARE 10</v>
      </c>
      <c r="H3368" s="2">
        <v>307</v>
      </c>
      <c r="I3368" t="str">
        <f>"MOHD FADZLI BIN MAT YUSOF"</f>
        <v>MOHD FADZLI BIN MAT YUSOF</v>
      </c>
      <c r="J3368" t="str">
        <f t="shared" si="1379"/>
        <v>MAYBANK / MAYBANK ISLAMIC</v>
      </c>
      <c r="K3368" t="str">
        <f>"161190074567"</f>
        <v>161190074567</v>
      </c>
      <c r="L3368" t="str">
        <f t="shared" si="1386"/>
        <v>04-08-2020</v>
      </c>
      <c r="M3368" t="str">
        <f t="shared" si="1386"/>
        <v>04-08-2020</v>
      </c>
      <c r="N3368" t="str">
        <f t="shared" si="1368"/>
        <v>001105018356</v>
      </c>
      <c r="O3368" t="str">
        <f t="shared" si="1369"/>
        <v>MYR</v>
      </c>
      <c r="P3368" t="str">
        <f t="shared" si="1387"/>
        <v>NIL</v>
      </c>
      <c r="Q3368" t="str">
        <f t="shared" si="1387"/>
        <v>NIL</v>
      </c>
      <c r="R3368" t="str">
        <f t="shared" si="1370"/>
        <v>Accepted</v>
      </c>
      <c r="S3368" t="str">
        <f t="shared" si="1371"/>
        <v>Approved</v>
      </c>
      <c r="T3368" t="str">
        <f t="shared" si="1372"/>
        <v>10.20.8.188</v>
      </c>
      <c r="U3368" t="str">
        <f t="shared" si="1373"/>
        <v>AZRAD UMAR BIN SHAARI</v>
      </c>
      <c r="V3368" t="str">
        <f t="shared" si="1374"/>
        <v>FARHANA BINTI MUSTAPA</v>
      </c>
      <c r="W3368" t="str">
        <f t="shared" si="1375"/>
        <v>04-08-2020</v>
      </c>
      <c r="X3368" t="str">
        <f t="shared" si="1376"/>
        <v>RAZIMAH ANSAR AHMAD</v>
      </c>
      <c r="Y3368" t="str">
        <f t="shared" si="1377"/>
        <v>04-08-2020</v>
      </c>
      <c r="Z3368" t="str">
        <f>"COS10200804 5586"</f>
        <v>COS10200804 5586</v>
      </c>
    </row>
    <row r="3369" spans="1:26" x14ac:dyDescent="0.25">
      <c r="A3369" t="str">
        <f t="shared" si="1384"/>
        <v>04-08-2020 12:57:26</v>
      </c>
      <c r="B3369" t="str">
        <f>"0000807574"</f>
        <v>0000807574</v>
      </c>
      <c r="C3369" t="str">
        <f t="shared" si="1385"/>
        <v>0000807389</v>
      </c>
      <c r="D3369" t="str">
        <f t="shared" si="1365"/>
        <v>73185</v>
      </c>
      <c r="E3369" t="str">
        <f t="shared" si="1366"/>
        <v>KFH-OPERATIONS DEPARTMENT</v>
      </c>
      <c r="F3369" t="str">
        <f t="shared" si="1367"/>
        <v>IBG</v>
      </c>
      <c r="G3369" t="str">
        <f t="shared" si="1378"/>
        <v>Refund COSHARE 10</v>
      </c>
      <c r="H3369" s="2">
        <v>372</v>
      </c>
      <c r="I3369" t="str">
        <f>"MOHD FADZLI BIN ABDUL MAJID"</f>
        <v>MOHD FADZLI BIN ABDUL MAJID</v>
      </c>
      <c r="J3369" t="str">
        <f t="shared" si="1379"/>
        <v>MAYBANK / MAYBANK ISLAMIC</v>
      </c>
      <c r="K3369" t="str">
        <f>"162012569724"</f>
        <v>162012569724</v>
      </c>
      <c r="L3369" t="str">
        <f t="shared" si="1386"/>
        <v>04-08-2020</v>
      </c>
      <c r="M3369" t="str">
        <f t="shared" si="1386"/>
        <v>04-08-2020</v>
      </c>
      <c r="N3369" t="str">
        <f t="shared" si="1368"/>
        <v>001105018356</v>
      </c>
      <c r="O3369" t="str">
        <f t="shared" si="1369"/>
        <v>MYR</v>
      </c>
      <c r="P3369" t="str">
        <f t="shared" si="1387"/>
        <v>NIL</v>
      </c>
      <c r="Q3369" t="str">
        <f t="shared" si="1387"/>
        <v>NIL</v>
      </c>
      <c r="R3369" t="str">
        <f t="shared" si="1370"/>
        <v>Accepted</v>
      </c>
      <c r="S3369" t="str">
        <f t="shared" si="1371"/>
        <v>Approved</v>
      </c>
      <c r="T3369" t="str">
        <f t="shared" si="1372"/>
        <v>10.20.8.188</v>
      </c>
      <c r="U3369" t="str">
        <f t="shared" si="1373"/>
        <v>AZRAD UMAR BIN SHAARI</v>
      </c>
      <c r="V3369" t="str">
        <f t="shared" si="1374"/>
        <v>FARHANA BINTI MUSTAPA</v>
      </c>
      <c r="W3369" t="str">
        <f t="shared" si="1375"/>
        <v>04-08-2020</v>
      </c>
      <c r="X3369" t="str">
        <f t="shared" si="1376"/>
        <v>RAZIMAH ANSAR AHMAD</v>
      </c>
      <c r="Y3369" t="str">
        <f t="shared" si="1377"/>
        <v>04-08-2020</v>
      </c>
      <c r="Z3369" t="str">
        <f>"COS10200804 5585"</f>
        <v>COS10200804 5585</v>
      </c>
    </row>
    <row r="3370" spans="1:26" x14ac:dyDescent="0.25">
      <c r="A3370" t="str">
        <f t="shared" si="1384"/>
        <v>04-08-2020 12:57:26</v>
      </c>
      <c r="B3370" t="str">
        <f>"0000807573"</f>
        <v>0000807573</v>
      </c>
      <c r="C3370" t="str">
        <f t="shared" si="1385"/>
        <v>0000807389</v>
      </c>
      <c r="D3370" t="str">
        <f t="shared" si="1365"/>
        <v>73185</v>
      </c>
      <c r="E3370" t="str">
        <f t="shared" si="1366"/>
        <v>KFH-OPERATIONS DEPARTMENT</v>
      </c>
      <c r="F3370" t="str">
        <f t="shared" si="1367"/>
        <v>IBG</v>
      </c>
      <c r="G3370" t="str">
        <f t="shared" si="1378"/>
        <v>Refund COSHARE 10</v>
      </c>
      <c r="H3370" s="2">
        <v>1149.3</v>
      </c>
      <c r="I3370" t="str">
        <f>"MOHD FADZIL BIN ALI"</f>
        <v>MOHD FADZIL BIN ALI</v>
      </c>
      <c r="J3370" t="str">
        <f t="shared" si="1379"/>
        <v>MAYBANK / MAYBANK ISLAMIC</v>
      </c>
      <c r="K3370" t="str">
        <f>"162263247085"</f>
        <v>162263247085</v>
      </c>
      <c r="L3370" t="str">
        <f t="shared" si="1386"/>
        <v>04-08-2020</v>
      </c>
      <c r="M3370" t="str">
        <f t="shared" si="1386"/>
        <v>04-08-2020</v>
      </c>
      <c r="N3370" t="str">
        <f t="shared" si="1368"/>
        <v>001105018356</v>
      </c>
      <c r="O3370" t="str">
        <f t="shared" si="1369"/>
        <v>MYR</v>
      </c>
      <c r="P3370" t="str">
        <f t="shared" si="1387"/>
        <v>NIL</v>
      </c>
      <c r="Q3370" t="str">
        <f t="shared" si="1387"/>
        <v>NIL</v>
      </c>
      <c r="R3370" t="str">
        <f t="shared" si="1370"/>
        <v>Accepted</v>
      </c>
      <c r="S3370" t="str">
        <f t="shared" si="1371"/>
        <v>Approved</v>
      </c>
      <c r="T3370" t="str">
        <f t="shared" si="1372"/>
        <v>10.20.8.188</v>
      </c>
      <c r="U3370" t="str">
        <f t="shared" si="1373"/>
        <v>AZRAD UMAR BIN SHAARI</v>
      </c>
      <c r="V3370" t="str">
        <f t="shared" si="1374"/>
        <v>FARHANA BINTI MUSTAPA</v>
      </c>
      <c r="W3370" t="str">
        <f t="shared" si="1375"/>
        <v>04-08-2020</v>
      </c>
      <c r="X3370" t="str">
        <f t="shared" si="1376"/>
        <v>RAZIMAH ANSAR AHMAD</v>
      </c>
      <c r="Y3370" t="str">
        <f t="shared" si="1377"/>
        <v>04-08-2020</v>
      </c>
      <c r="Z3370" t="str">
        <f>"COS10200804 5584"</f>
        <v>COS10200804 5584</v>
      </c>
    </row>
    <row r="3371" spans="1:26" x14ac:dyDescent="0.25">
      <c r="A3371" t="str">
        <f t="shared" si="1384"/>
        <v>04-08-2020 12:57:26</v>
      </c>
      <c r="B3371" t="str">
        <f>"0000807572"</f>
        <v>0000807572</v>
      </c>
      <c r="C3371" t="str">
        <f t="shared" si="1385"/>
        <v>0000807389</v>
      </c>
      <c r="D3371" t="str">
        <f t="shared" si="1365"/>
        <v>73185</v>
      </c>
      <c r="E3371" t="str">
        <f t="shared" si="1366"/>
        <v>KFH-OPERATIONS DEPARTMENT</v>
      </c>
      <c r="F3371" t="str">
        <f t="shared" si="1367"/>
        <v>IBG</v>
      </c>
      <c r="G3371" t="str">
        <f t="shared" si="1378"/>
        <v>Refund COSHARE 10</v>
      </c>
      <c r="H3371" s="2">
        <v>1679</v>
      </c>
      <c r="I3371" t="str">
        <f>"MOHD FADLY BIN AZMI"</f>
        <v>MOHD FADLY BIN AZMI</v>
      </c>
      <c r="J3371" t="str">
        <f t="shared" si="1379"/>
        <v>MAYBANK / MAYBANK ISLAMIC</v>
      </c>
      <c r="K3371" t="str">
        <f>"158181144255"</f>
        <v>158181144255</v>
      </c>
      <c r="L3371" t="str">
        <f t="shared" si="1386"/>
        <v>04-08-2020</v>
      </c>
      <c r="M3371" t="str">
        <f t="shared" si="1386"/>
        <v>04-08-2020</v>
      </c>
      <c r="N3371" t="str">
        <f t="shared" si="1368"/>
        <v>001105018356</v>
      </c>
      <c r="O3371" t="str">
        <f t="shared" si="1369"/>
        <v>MYR</v>
      </c>
      <c r="P3371" t="str">
        <f t="shared" si="1387"/>
        <v>NIL</v>
      </c>
      <c r="Q3371" t="str">
        <f t="shared" si="1387"/>
        <v>NIL</v>
      </c>
      <c r="R3371" t="str">
        <f t="shared" si="1370"/>
        <v>Accepted</v>
      </c>
      <c r="S3371" t="str">
        <f t="shared" si="1371"/>
        <v>Approved</v>
      </c>
      <c r="T3371" t="str">
        <f t="shared" si="1372"/>
        <v>10.20.8.188</v>
      </c>
      <c r="U3371" t="str">
        <f t="shared" si="1373"/>
        <v>AZRAD UMAR BIN SHAARI</v>
      </c>
      <c r="V3371" t="str">
        <f t="shared" si="1374"/>
        <v>FARHANA BINTI MUSTAPA</v>
      </c>
      <c r="W3371" t="str">
        <f t="shared" si="1375"/>
        <v>04-08-2020</v>
      </c>
      <c r="X3371" t="str">
        <f t="shared" si="1376"/>
        <v>RAZIMAH ANSAR AHMAD</v>
      </c>
      <c r="Y3371" t="str">
        <f t="shared" si="1377"/>
        <v>04-08-2020</v>
      </c>
      <c r="Z3371" t="str">
        <f>"COS10200804 5583"</f>
        <v>COS10200804 5583</v>
      </c>
    </row>
    <row r="3372" spans="1:26" x14ac:dyDescent="0.25">
      <c r="A3372" t="str">
        <f t="shared" si="1384"/>
        <v>04-08-2020 12:57:26</v>
      </c>
      <c r="B3372" t="str">
        <f>"0000807571"</f>
        <v>0000807571</v>
      </c>
      <c r="C3372" t="str">
        <f t="shared" si="1385"/>
        <v>0000807389</v>
      </c>
      <c r="D3372" t="str">
        <f t="shared" si="1365"/>
        <v>73185</v>
      </c>
      <c r="E3372" t="str">
        <f t="shared" si="1366"/>
        <v>KFH-OPERATIONS DEPARTMENT</v>
      </c>
      <c r="F3372" t="str">
        <f t="shared" si="1367"/>
        <v>IBG</v>
      </c>
      <c r="G3372" t="str">
        <f t="shared" si="1378"/>
        <v>Refund COSHARE 10</v>
      </c>
      <c r="H3372" s="2">
        <v>83.95</v>
      </c>
      <c r="I3372" t="str">
        <f>"MOHD FADLI BIN MUHD"</f>
        <v>MOHD FADLI BIN MUHD</v>
      </c>
      <c r="J3372" t="str">
        <f t="shared" si="1379"/>
        <v>MAYBANK / MAYBANK ISLAMIC</v>
      </c>
      <c r="K3372" t="str">
        <f>"155023278848"</f>
        <v>155023278848</v>
      </c>
      <c r="L3372" t="str">
        <f t="shared" si="1386"/>
        <v>04-08-2020</v>
      </c>
      <c r="M3372" t="str">
        <f t="shared" si="1386"/>
        <v>04-08-2020</v>
      </c>
      <c r="N3372" t="str">
        <f t="shared" si="1368"/>
        <v>001105018356</v>
      </c>
      <c r="O3372" t="str">
        <f t="shared" si="1369"/>
        <v>MYR</v>
      </c>
      <c r="P3372" t="str">
        <f t="shared" si="1387"/>
        <v>NIL</v>
      </c>
      <c r="Q3372" t="str">
        <f t="shared" si="1387"/>
        <v>NIL</v>
      </c>
      <c r="R3372" t="str">
        <f t="shared" si="1370"/>
        <v>Accepted</v>
      </c>
      <c r="S3372" t="str">
        <f t="shared" si="1371"/>
        <v>Approved</v>
      </c>
      <c r="T3372" t="str">
        <f t="shared" si="1372"/>
        <v>10.20.8.188</v>
      </c>
      <c r="U3372" t="str">
        <f t="shared" si="1373"/>
        <v>AZRAD UMAR BIN SHAARI</v>
      </c>
      <c r="V3372" t="str">
        <f t="shared" si="1374"/>
        <v>FARHANA BINTI MUSTAPA</v>
      </c>
      <c r="W3372" t="str">
        <f t="shared" si="1375"/>
        <v>04-08-2020</v>
      </c>
      <c r="X3372" t="str">
        <f t="shared" si="1376"/>
        <v>RAZIMAH ANSAR AHMAD</v>
      </c>
      <c r="Y3372" t="str">
        <f t="shared" si="1377"/>
        <v>04-08-2020</v>
      </c>
      <c r="Z3372" t="str">
        <f>"COS10200804 5582"</f>
        <v>COS10200804 5582</v>
      </c>
    </row>
    <row r="3373" spans="1:26" x14ac:dyDescent="0.25">
      <c r="A3373" t="str">
        <f t="shared" si="1384"/>
        <v>04-08-2020 12:57:26</v>
      </c>
      <c r="B3373" t="str">
        <f>"0000807570"</f>
        <v>0000807570</v>
      </c>
      <c r="C3373" t="str">
        <f t="shared" si="1385"/>
        <v>0000807389</v>
      </c>
      <c r="D3373" t="str">
        <f t="shared" si="1365"/>
        <v>73185</v>
      </c>
      <c r="E3373" t="str">
        <f t="shared" si="1366"/>
        <v>KFH-OPERATIONS DEPARTMENT</v>
      </c>
      <c r="F3373" t="str">
        <f t="shared" si="1367"/>
        <v>IBG</v>
      </c>
      <c r="G3373" t="str">
        <f t="shared" si="1378"/>
        <v>Refund COSHARE 10</v>
      </c>
      <c r="H3373" s="2">
        <v>1343.2</v>
      </c>
      <c r="I3373" t="str">
        <f>"MOHD FADLI BIN AB RAZAK"</f>
        <v>MOHD FADLI BIN AB RAZAK</v>
      </c>
      <c r="J3373" t="str">
        <f t="shared" si="1379"/>
        <v>MAYBANK / MAYBANK ISLAMIC</v>
      </c>
      <c r="K3373" t="str">
        <f>"153083196882"</f>
        <v>153083196882</v>
      </c>
      <c r="L3373" t="str">
        <f t="shared" si="1386"/>
        <v>04-08-2020</v>
      </c>
      <c r="M3373" t="str">
        <f t="shared" si="1386"/>
        <v>04-08-2020</v>
      </c>
      <c r="N3373" t="str">
        <f t="shared" si="1368"/>
        <v>001105018356</v>
      </c>
      <c r="O3373" t="str">
        <f t="shared" si="1369"/>
        <v>MYR</v>
      </c>
      <c r="P3373" t="str">
        <f t="shared" si="1387"/>
        <v>NIL</v>
      </c>
      <c r="Q3373" t="str">
        <f t="shared" si="1387"/>
        <v>NIL</v>
      </c>
      <c r="R3373" t="str">
        <f t="shared" si="1370"/>
        <v>Accepted</v>
      </c>
      <c r="S3373" t="str">
        <f t="shared" si="1371"/>
        <v>Approved</v>
      </c>
      <c r="T3373" t="str">
        <f t="shared" si="1372"/>
        <v>10.20.8.188</v>
      </c>
      <c r="U3373" t="str">
        <f t="shared" si="1373"/>
        <v>AZRAD UMAR BIN SHAARI</v>
      </c>
      <c r="V3373" t="str">
        <f t="shared" si="1374"/>
        <v>FARHANA BINTI MUSTAPA</v>
      </c>
      <c r="W3373" t="str">
        <f t="shared" si="1375"/>
        <v>04-08-2020</v>
      </c>
      <c r="X3373" t="str">
        <f t="shared" si="1376"/>
        <v>RAZIMAH ANSAR AHMAD</v>
      </c>
      <c r="Y3373" t="str">
        <f t="shared" si="1377"/>
        <v>04-08-2020</v>
      </c>
      <c r="Z3373" t="str">
        <f>"COS10200804 5581"</f>
        <v>COS10200804 5581</v>
      </c>
    </row>
    <row r="3374" spans="1:26" x14ac:dyDescent="0.25">
      <c r="A3374" t="str">
        <f t="shared" si="1384"/>
        <v>04-08-2020 12:57:26</v>
      </c>
      <c r="B3374" t="str">
        <f>"0000807569"</f>
        <v>0000807569</v>
      </c>
      <c r="C3374" t="str">
        <f t="shared" si="1385"/>
        <v>0000807389</v>
      </c>
      <c r="D3374" t="str">
        <f t="shared" si="1365"/>
        <v>73185</v>
      </c>
      <c r="E3374" t="str">
        <f t="shared" si="1366"/>
        <v>KFH-OPERATIONS DEPARTMENT</v>
      </c>
      <c r="F3374" t="str">
        <f t="shared" si="1367"/>
        <v>IBG</v>
      </c>
      <c r="G3374" t="str">
        <f t="shared" si="1378"/>
        <v>Refund COSHARE 10</v>
      </c>
      <c r="H3374" s="2">
        <v>444.95</v>
      </c>
      <c r="I3374" t="str">
        <f>"MOHD FADLI AZHAR BIN IBRAHIM"</f>
        <v>MOHD FADLI AZHAR BIN IBRAHIM</v>
      </c>
      <c r="J3374" t="str">
        <f t="shared" si="1379"/>
        <v>MAYBANK / MAYBANK ISLAMIC</v>
      </c>
      <c r="K3374" t="str">
        <f>"162302576984"</f>
        <v>162302576984</v>
      </c>
      <c r="L3374" t="str">
        <f t="shared" si="1386"/>
        <v>04-08-2020</v>
      </c>
      <c r="M3374" t="str">
        <f t="shared" si="1386"/>
        <v>04-08-2020</v>
      </c>
      <c r="N3374" t="str">
        <f t="shared" si="1368"/>
        <v>001105018356</v>
      </c>
      <c r="O3374" t="str">
        <f t="shared" si="1369"/>
        <v>MYR</v>
      </c>
      <c r="P3374" t="str">
        <f t="shared" si="1387"/>
        <v>NIL</v>
      </c>
      <c r="Q3374" t="str">
        <f t="shared" si="1387"/>
        <v>NIL</v>
      </c>
      <c r="R3374" t="str">
        <f t="shared" si="1370"/>
        <v>Accepted</v>
      </c>
      <c r="S3374" t="str">
        <f t="shared" si="1371"/>
        <v>Approved</v>
      </c>
      <c r="T3374" t="str">
        <f t="shared" si="1372"/>
        <v>10.20.8.188</v>
      </c>
      <c r="U3374" t="str">
        <f t="shared" si="1373"/>
        <v>AZRAD UMAR BIN SHAARI</v>
      </c>
      <c r="V3374" t="str">
        <f t="shared" si="1374"/>
        <v>FARHANA BINTI MUSTAPA</v>
      </c>
      <c r="W3374" t="str">
        <f t="shared" si="1375"/>
        <v>04-08-2020</v>
      </c>
      <c r="X3374" t="str">
        <f t="shared" si="1376"/>
        <v>RAZIMAH ANSAR AHMAD</v>
      </c>
      <c r="Y3374" t="str">
        <f t="shared" si="1377"/>
        <v>04-08-2020</v>
      </c>
      <c r="Z3374" t="str">
        <f>"COS10200804 5580"</f>
        <v>COS10200804 5580</v>
      </c>
    </row>
    <row r="3375" spans="1:26" x14ac:dyDescent="0.25">
      <c r="A3375" t="str">
        <f t="shared" si="1384"/>
        <v>04-08-2020 12:57:26</v>
      </c>
      <c r="B3375" t="str">
        <f>"0000807568"</f>
        <v>0000807568</v>
      </c>
      <c r="C3375" t="str">
        <f t="shared" si="1385"/>
        <v>0000807389</v>
      </c>
      <c r="D3375" t="str">
        <f t="shared" si="1365"/>
        <v>73185</v>
      </c>
      <c r="E3375" t="str">
        <f t="shared" si="1366"/>
        <v>KFH-OPERATIONS DEPARTMENT</v>
      </c>
      <c r="F3375" t="str">
        <f t="shared" si="1367"/>
        <v>IBG</v>
      </c>
      <c r="G3375" t="str">
        <f t="shared" si="1378"/>
        <v>Refund COSHARE 10</v>
      </c>
      <c r="H3375" s="2">
        <v>705.2</v>
      </c>
      <c r="I3375" t="str">
        <f>"MOHD FADHLY BIN MD YASIN"</f>
        <v>MOHD FADHLY BIN MD YASIN</v>
      </c>
      <c r="J3375" t="str">
        <f t="shared" si="1379"/>
        <v>MAYBANK / MAYBANK ISLAMIC</v>
      </c>
      <c r="K3375" t="str">
        <f>"151025645811"</f>
        <v>151025645811</v>
      </c>
      <c r="L3375" t="str">
        <f t="shared" si="1386"/>
        <v>04-08-2020</v>
      </c>
      <c r="M3375" t="str">
        <f t="shared" si="1386"/>
        <v>04-08-2020</v>
      </c>
      <c r="N3375" t="str">
        <f t="shared" si="1368"/>
        <v>001105018356</v>
      </c>
      <c r="O3375" t="str">
        <f t="shared" si="1369"/>
        <v>MYR</v>
      </c>
      <c r="P3375" t="str">
        <f t="shared" si="1387"/>
        <v>NIL</v>
      </c>
      <c r="Q3375" t="str">
        <f t="shared" si="1387"/>
        <v>NIL</v>
      </c>
      <c r="R3375" t="str">
        <f t="shared" si="1370"/>
        <v>Accepted</v>
      </c>
      <c r="S3375" t="str">
        <f t="shared" si="1371"/>
        <v>Approved</v>
      </c>
      <c r="T3375" t="str">
        <f t="shared" si="1372"/>
        <v>10.20.8.188</v>
      </c>
      <c r="U3375" t="str">
        <f t="shared" si="1373"/>
        <v>AZRAD UMAR BIN SHAARI</v>
      </c>
      <c r="V3375" t="str">
        <f t="shared" si="1374"/>
        <v>FARHANA BINTI MUSTAPA</v>
      </c>
      <c r="W3375" t="str">
        <f t="shared" si="1375"/>
        <v>04-08-2020</v>
      </c>
      <c r="X3375" t="str">
        <f t="shared" si="1376"/>
        <v>RAZIMAH ANSAR AHMAD</v>
      </c>
      <c r="Y3375" t="str">
        <f t="shared" si="1377"/>
        <v>04-08-2020</v>
      </c>
      <c r="Z3375" t="str">
        <f>"COS10200804 5579"</f>
        <v>COS10200804 5579</v>
      </c>
    </row>
    <row r="3376" spans="1:26" x14ac:dyDescent="0.25">
      <c r="A3376" t="str">
        <f t="shared" si="1384"/>
        <v>04-08-2020 12:57:26</v>
      </c>
      <c r="B3376" t="str">
        <f>"0000807567"</f>
        <v>0000807567</v>
      </c>
      <c r="C3376" t="str">
        <f t="shared" si="1385"/>
        <v>0000807389</v>
      </c>
      <c r="D3376" t="str">
        <f t="shared" si="1365"/>
        <v>73185</v>
      </c>
      <c r="E3376" t="str">
        <f t="shared" si="1366"/>
        <v>KFH-OPERATIONS DEPARTMENT</v>
      </c>
      <c r="F3376" t="str">
        <f t="shared" si="1367"/>
        <v>IBG</v>
      </c>
      <c r="G3376" t="str">
        <f t="shared" si="1378"/>
        <v>Refund COSHARE 10</v>
      </c>
      <c r="H3376" s="2">
        <v>780.75</v>
      </c>
      <c r="I3376" t="str">
        <f>"MOHD FADHLULLAH BIN YAHYA"</f>
        <v>MOHD FADHLULLAH BIN YAHYA</v>
      </c>
      <c r="J3376" t="str">
        <f t="shared" si="1379"/>
        <v>MAYBANK / MAYBANK ISLAMIC</v>
      </c>
      <c r="K3376" t="str">
        <f>"153038915684"</f>
        <v>153038915684</v>
      </c>
      <c r="L3376" t="str">
        <f t="shared" si="1386"/>
        <v>04-08-2020</v>
      </c>
      <c r="M3376" t="str">
        <f t="shared" si="1386"/>
        <v>04-08-2020</v>
      </c>
      <c r="N3376" t="str">
        <f t="shared" si="1368"/>
        <v>001105018356</v>
      </c>
      <c r="O3376" t="str">
        <f t="shared" si="1369"/>
        <v>MYR</v>
      </c>
      <c r="P3376" t="str">
        <f t="shared" si="1387"/>
        <v>NIL</v>
      </c>
      <c r="Q3376" t="str">
        <f t="shared" si="1387"/>
        <v>NIL</v>
      </c>
      <c r="R3376" t="str">
        <f t="shared" si="1370"/>
        <v>Accepted</v>
      </c>
      <c r="S3376" t="str">
        <f t="shared" si="1371"/>
        <v>Approved</v>
      </c>
      <c r="T3376" t="str">
        <f t="shared" si="1372"/>
        <v>10.20.8.188</v>
      </c>
      <c r="U3376" t="str">
        <f t="shared" si="1373"/>
        <v>AZRAD UMAR BIN SHAARI</v>
      </c>
      <c r="V3376" t="str">
        <f t="shared" si="1374"/>
        <v>FARHANA BINTI MUSTAPA</v>
      </c>
      <c r="W3376" t="str">
        <f t="shared" si="1375"/>
        <v>04-08-2020</v>
      </c>
      <c r="X3376" t="str">
        <f t="shared" si="1376"/>
        <v>RAZIMAH ANSAR AHMAD</v>
      </c>
      <c r="Y3376" t="str">
        <f t="shared" si="1377"/>
        <v>04-08-2020</v>
      </c>
      <c r="Z3376" t="str">
        <f>"COS10200804 5578"</f>
        <v>COS10200804 5578</v>
      </c>
    </row>
    <row r="3377" spans="1:26" x14ac:dyDescent="0.25">
      <c r="A3377" t="str">
        <f t="shared" si="1384"/>
        <v>04-08-2020 12:57:26</v>
      </c>
      <c r="B3377" t="str">
        <f>"0000807566"</f>
        <v>0000807566</v>
      </c>
      <c r="C3377" t="str">
        <f t="shared" si="1385"/>
        <v>0000807389</v>
      </c>
      <c r="D3377" t="str">
        <f t="shared" si="1365"/>
        <v>73185</v>
      </c>
      <c r="E3377" t="str">
        <f t="shared" si="1366"/>
        <v>KFH-OPERATIONS DEPARTMENT</v>
      </c>
      <c r="F3377" t="str">
        <f t="shared" si="1367"/>
        <v>IBG</v>
      </c>
      <c r="G3377" t="str">
        <f t="shared" si="1378"/>
        <v>Refund COSHARE 10</v>
      </c>
      <c r="H3377" s="2">
        <v>788.15</v>
      </c>
      <c r="I3377" t="str">
        <f>"MOHD FADHLUDIN BIN AB RAHMAN"</f>
        <v>MOHD FADHLUDIN BIN AB RAHMAN</v>
      </c>
      <c r="J3377" t="str">
        <f t="shared" si="1379"/>
        <v>MAYBANK / MAYBANK ISLAMIC</v>
      </c>
      <c r="K3377" t="str">
        <f>"164397935470"</f>
        <v>164397935470</v>
      </c>
      <c r="L3377" t="str">
        <f t="shared" si="1386"/>
        <v>04-08-2020</v>
      </c>
      <c r="M3377" t="str">
        <f t="shared" si="1386"/>
        <v>04-08-2020</v>
      </c>
      <c r="N3377" t="str">
        <f t="shared" si="1368"/>
        <v>001105018356</v>
      </c>
      <c r="O3377" t="str">
        <f t="shared" si="1369"/>
        <v>MYR</v>
      </c>
      <c r="P3377" t="str">
        <f t="shared" si="1387"/>
        <v>NIL</v>
      </c>
      <c r="Q3377" t="str">
        <f t="shared" si="1387"/>
        <v>NIL</v>
      </c>
      <c r="R3377" t="str">
        <f t="shared" si="1370"/>
        <v>Accepted</v>
      </c>
      <c r="S3377" t="str">
        <f t="shared" si="1371"/>
        <v>Approved</v>
      </c>
      <c r="T3377" t="str">
        <f t="shared" si="1372"/>
        <v>10.20.8.188</v>
      </c>
      <c r="U3377" t="str">
        <f t="shared" si="1373"/>
        <v>AZRAD UMAR BIN SHAARI</v>
      </c>
      <c r="V3377" t="str">
        <f t="shared" si="1374"/>
        <v>FARHANA BINTI MUSTAPA</v>
      </c>
      <c r="W3377" t="str">
        <f t="shared" si="1375"/>
        <v>04-08-2020</v>
      </c>
      <c r="X3377" t="str">
        <f t="shared" si="1376"/>
        <v>RAZIMAH ANSAR AHMAD</v>
      </c>
      <c r="Y3377" t="str">
        <f t="shared" si="1377"/>
        <v>04-08-2020</v>
      </c>
      <c r="Z3377" t="str">
        <f>"COS10200804 5577"</f>
        <v>COS10200804 5577</v>
      </c>
    </row>
    <row r="3378" spans="1:26" x14ac:dyDescent="0.25">
      <c r="A3378" t="str">
        <f t="shared" si="1384"/>
        <v>04-08-2020 12:57:26</v>
      </c>
      <c r="B3378" t="str">
        <f>"0000807565"</f>
        <v>0000807565</v>
      </c>
      <c r="C3378" t="str">
        <f t="shared" si="1385"/>
        <v>0000807389</v>
      </c>
      <c r="D3378" t="str">
        <f t="shared" si="1365"/>
        <v>73185</v>
      </c>
      <c r="E3378" t="str">
        <f t="shared" si="1366"/>
        <v>KFH-OPERATIONS DEPARTMENT</v>
      </c>
      <c r="F3378" t="str">
        <f t="shared" si="1367"/>
        <v>IBG</v>
      </c>
      <c r="G3378" t="str">
        <f t="shared" si="1378"/>
        <v>Refund COSHARE 10</v>
      </c>
      <c r="H3378" s="2">
        <v>293.85000000000002</v>
      </c>
      <c r="I3378" t="str">
        <f>"MOHD FADHLI BIN MOHAMMED SOBRI"</f>
        <v>MOHD FADHLI BIN MOHAMMED SOBRI</v>
      </c>
      <c r="J3378" t="str">
        <f t="shared" si="1379"/>
        <v>MAYBANK / MAYBANK ISLAMIC</v>
      </c>
      <c r="K3378" t="str">
        <f>"151017054466"</f>
        <v>151017054466</v>
      </c>
      <c r="L3378" t="str">
        <f t="shared" si="1386"/>
        <v>04-08-2020</v>
      </c>
      <c r="M3378" t="str">
        <f t="shared" si="1386"/>
        <v>04-08-2020</v>
      </c>
      <c r="N3378" t="str">
        <f t="shared" si="1368"/>
        <v>001105018356</v>
      </c>
      <c r="O3378" t="str">
        <f t="shared" si="1369"/>
        <v>MYR</v>
      </c>
      <c r="P3378" t="str">
        <f t="shared" si="1387"/>
        <v>NIL</v>
      </c>
      <c r="Q3378" t="str">
        <f t="shared" si="1387"/>
        <v>NIL</v>
      </c>
      <c r="R3378" t="str">
        <f t="shared" si="1370"/>
        <v>Accepted</v>
      </c>
      <c r="S3378" t="str">
        <f t="shared" si="1371"/>
        <v>Approved</v>
      </c>
      <c r="T3378" t="str">
        <f t="shared" si="1372"/>
        <v>10.20.8.188</v>
      </c>
      <c r="U3378" t="str">
        <f t="shared" si="1373"/>
        <v>AZRAD UMAR BIN SHAARI</v>
      </c>
      <c r="V3378" t="str">
        <f t="shared" si="1374"/>
        <v>FARHANA BINTI MUSTAPA</v>
      </c>
      <c r="W3378" t="str">
        <f t="shared" si="1375"/>
        <v>04-08-2020</v>
      </c>
      <c r="X3378" t="str">
        <f t="shared" si="1376"/>
        <v>RAZIMAH ANSAR AHMAD</v>
      </c>
      <c r="Y3378" t="str">
        <f t="shared" si="1377"/>
        <v>04-08-2020</v>
      </c>
      <c r="Z3378" t="str">
        <f>"COS10200804 5576"</f>
        <v>COS10200804 5576</v>
      </c>
    </row>
    <row r="3379" spans="1:26" x14ac:dyDescent="0.25">
      <c r="A3379" t="str">
        <f t="shared" si="1384"/>
        <v>04-08-2020 12:57:26</v>
      </c>
      <c r="B3379" t="str">
        <f>"0000807564"</f>
        <v>0000807564</v>
      </c>
      <c r="C3379" t="str">
        <f t="shared" si="1385"/>
        <v>0000807389</v>
      </c>
      <c r="D3379" t="str">
        <f t="shared" si="1365"/>
        <v>73185</v>
      </c>
      <c r="E3379" t="str">
        <f t="shared" si="1366"/>
        <v>KFH-OPERATIONS DEPARTMENT</v>
      </c>
      <c r="F3379" t="str">
        <f t="shared" si="1367"/>
        <v>IBG</v>
      </c>
      <c r="G3379" t="str">
        <f t="shared" si="1378"/>
        <v>Refund COSHARE 10</v>
      </c>
      <c r="H3379" s="2">
        <v>419.75</v>
      </c>
      <c r="I3379" t="str">
        <f>"MOHD FADHLI BIN CHE ISMAIL"</f>
        <v>MOHD FADHLI BIN CHE ISMAIL</v>
      </c>
      <c r="J3379" t="str">
        <f t="shared" si="1379"/>
        <v>MAYBANK / MAYBANK ISLAMIC</v>
      </c>
      <c r="K3379" t="str">
        <f>"151101141168"</f>
        <v>151101141168</v>
      </c>
      <c r="L3379" t="str">
        <f t="shared" si="1386"/>
        <v>04-08-2020</v>
      </c>
      <c r="M3379" t="str">
        <f t="shared" si="1386"/>
        <v>04-08-2020</v>
      </c>
      <c r="N3379" t="str">
        <f t="shared" si="1368"/>
        <v>001105018356</v>
      </c>
      <c r="O3379" t="str">
        <f t="shared" si="1369"/>
        <v>MYR</v>
      </c>
      <c r="P3379" t="str">
        <f t="shared" si="1387"/>
        <v>NIL</v>
      </c>
      <c r="Q3379" t="str">
        <f t="shared" si="1387"/>
        <v>NIL</v>
      </c>
      <c r="R3379" t="str">
        <f t="shared" si="1370"/>
        <v>Accepted</v>
      </c>
      <c r="S3379" t="str">
        <f t="shared" si="1371"/>
        <v>Approved</v>
      </c>
      <c r="T3379" t="str">
        <f t="shared" si="1372"/>
        <v>10.20.8.188</v>
      </c>
      <c r="U3379" t="str">
        <f t="shared" si="1373"/>
        <v>AZRAD UMAR BIN SHAARI</v>
      </c>
      <c r="V3379" t="str">
        <f t="shared" si="1374"/>
        <v>FARHANA BINTI MUSTAPA</v>
      </c>
      <c r="W3379" t="str">
        <f t="shared" si="1375"/>
        <v>04-08-2020</v>
      </c>
      <c r="X3379" t="str">
        <f t="shared" si="1376"/>
        <v>RAZIMAH ANSAR AHMAD</v>
      </c>
      <c r="Y3379" t="str">
        <f t="shared" si="1377"/>
        <v>04-08-2020</v>
      </c>
      <c r="Z3379" t="str">
        <f>"COS10200804 5575"</f>
        <v>COS10200804 5575</v>
      </c>
    </row>
    <row r="3380" spans="1:26" x14ac:dyDescent="0.25">
      <c r="A3380" t="str">
        <f t="shared" si="1384"/>
        <v>04-08-2020 12:57:26</v>
      </c>
      <c r="B3380" t="str">
        <f>"0000807563"</f>
        <v>0000807563</v>
      </c>
      <c r="C3380" t="str">
        <f t="shared" si="1385"/>
        <v>0000807389</v>
      </c>
      <c r="D3380" t="str">
        <f t="shared" si="1365"/>
        <v>73185</v>
      </c>
      <c r="E3380" t="str">
        <f t="shared" si="1366"/>
        <v>KFH-OPERATIONS DEPARTMENT</v>
      </c>
      <c r="F3380" t="str">
        <f t="shared" si="1367"/>
        <v>IBG</v>
      </c>
      <c r="G3380" t="str">
        <f t="shared" si="1378"/>
        <v>Refund COSHARE 10</v>
      </c>
      <c r="H3380" s="2">
        <v>50.4</v>
      </c>
      <c r="I3380" t="str">
        <f>"MOHD ESHWAL BIN SALMAN"</f>
        <v>MOHD ESHWAL BIN SALMAN</v>
      </c>
      <c r="J3380" t="str">
        <f t="shared" si="1379"/>
        <v>MAYBANK / MAYBANK ISLAMIC</v>
      </c>
      <c r="K3380" t="str">
        <f>"162339002227"</f>
        <v>162339002227</v>
      </c>
      <c r="L3380" t="str">
        <f t="shared" si="1386"/>
        <v>04-08-2020</v>
      </c>
      <c r="M3380" t="str">
        <f t="shared" si="1386"/>
        <v>04-08-2020</v>
      </c>
      <c r="N3380" t="str">
        <f t="shared" si="1368"/>
        <v>001105018356</v>
      </c>
      <c r="O3380" t="str">
        <f t="shared" si="1369"/>
        <v>MYR</v>
      </c>
      <c r="P3380" t="str">
        <f t="shared" si="1387"/>
        <v>NIL</v>
      </c>
      <c r="Q3380" t="str">
        <f t="shared" si="1387"/>
        <v>NIL</v>
      </c>
      <c r="R3380" t="str">
        <f t="shared" si="1370"/>
        <v>Accepted</v>
      </c>
      <c r="S3380" t="str">
        <f t="shared" si="1371"/>
        <v>Approved</v>
      </c>
      <c r="T3380" t="str">
        <f t="shared" si="1372"/>
        <v>10.20.8.188</v>
      </c>
      <c r="U3380" t="str">
        <f t="shared" si="1373"/>
        <v>AZRAD UMAR BIN SHAARI</v>
      </c>
      <c r="V3380" t="str">
        <f t="shared" si="1374"/>
        <v>FARHANA BINTI MUSTAPA</v>
      </c>
      <c r="W3380" t="str">
        <f t="shared" si="1375"/>
        <v>04-08-2020</v>
      </c>
      <c r="X3380" t="str">
        <f t="shared" si="1376"/>
        <v>RAZIMAH ANSAR AHMAD</v>
      </c>
      <c r="Y3380" t="str">
        <f t="shared" si="1377"/>
        <v>04-08-2020</v>
      </c>
      <c r="Z3380" t="str">
        <f>"COS10200804 5574"</f>
        <v>COS10200804 5574</v>
      </c>
    </row>
    <row r="3381" spans="1:26" x14ac:dyDescent="0.25">
      <c r="A3381" t="str">
        <f t="shared" si="1384"/>
        <v>04-08-2020 12:57:26</v>
      </c>
      <c r="B3381" t="str">
        <f>"0000807562"</f>
        <v>0000807562</v>
      </c>
      <c r="C3381" t="str">
        <f t="shared" si="1385"/>
        <v>0000807389</v>
      </c>
      <c r="D3381" t="str">
        <f t="shared" si="1365"/>
        <v>73185</v>
      </c>
      <c r="E3381" t="str">
        <f t="shared" si="1366"/>
        <v>KFH-OPERATIONS DEPARTMENT</v>
      </c>
      <c r="F3381" t="str">
        <f t="shared" si="1367"/>
        <v>IBG</v>
      </c>
      <c r="G3381" t="str">
        <f t="shared" si="1378"/>
        <v>Refund COSHARE 10</v>
      </c>
      <c r="H3381" s="2">
        <v>377.8</v>
      </c>
      <c r="I3381" t="str">
        <f>"MOHD ERWAN BIN OTHMAN"</f>
        <v>MOHD ERWAN BIN OTHMAN</v>
      </c>
      <c r="J3381" t="str">
        <f t="shared" si="1379"/>
        <v>MAYBANK / MAYBANK ISLAMIC</v>
      </c>
      <c r="K3381" t="str">
        <f>"162143020893"</f>
        <v>162143020893</v>
      </c>
      <c r="L3381" t="str">
        <f t="shared" si="1386"/>
        <v>04-08-2020</v>
      </c>
      <c r="M3381" t="str">
        <f t="shared" si="1386"/>
        <v>04-08-2020</v>
      </c>
      <c r="N3381" t="str">
        <f t="shared" si="1368"/>
        <v>001105018356</v>
      </c>
      <c r="O3381" t="str">
        <f t="shared" si="1369"/>
        <v>MYR</v>
      </c>
      <c r="P3381" t="str">
        <f t="shared" si="1387"/>
        <v>NIL</v>
      </c>
      <c r="Q3381" t="str">
        <f t="shared" si="1387"/>
        <v>NIL</v>
      </c>
      <c r="R3381" t="str">
        <f t="shared" si="1370"/>
        <v>Accepted</v>
      </c>
      <c r="S3381" t="str">
        <f t="shared" si="1371"/>
        <v>Approved</v>
      </c>
      <c r="T3381" t="str">
        <f t="shared" si="1372"/>
        <v>10.20.8.188</v>
      </c>
      <c r="U3381" t="str">
        <f t="shared" si="1373"/>
        <v>AZRAD UMAR BIN SHAARI</v>
      </c>
      <c r="V3381" t="str">
        <f t="shared" si="1374"/>
        <v>FARHANA BINTI MUSTAPA</v>
      </c>
      <c r="W3381" t="str">
        <f t="shared" si="1375"/>
        <v>04-08-2020</v>
      </c>
      <c r="X3381" t="str">
        <f t="shared" si="1376"/>
        <v>RAZIMAH ANSAR AHMAD</v>
      </c>
      <c r="Y3381" t="str">
        <f t="shared" si="1377"/>
        <v>04-08-2020</v>
      </c>
      <c r="Z3381" t="str">
        <f>"COS10200804 5573"</f>
        <v>COS10200804 5573</v>
      </c>
    </row>
    <row r="3382" spans="1:26" x14ac:dyDescent="0.25">
      <c r="A3382" t="str">
        <f t="shared" si="1384"/>
        <v>04-08-2020 12:57:26</v>
      </c>
      <c r="B3382" t="str">
        <f>"0000807561"</f>
        <v>0000807561</v>
      </c>
      <c r="C3382" t="str">
        <f t="shared" si="1385"/>
        <v>0000807389</v>
      </c>
      <c r="D3382" t="str">
        <f t="shared" si="1365"/>
        <v>73185</v>
      </c>
      <c r="E3382" t="str">
        <f t="shared" si="1366"/>
        <v>KFH-OPERATIONS DEPARTMENT</v>
      </c>
      <c r="F3382" t="str">
        <f t="shared" si="1367"/>
        <v>IBG</v>
      </c>
      <c r="G3382" t="str">
        <f t="shared" si="1378"/>
        <v>Refund COSHARE 10</v>
      </c>
      <c r="H3382" s="2">
        <v>456</v>
      </c>
      <c r="I3382" t="str">
        <f>"MOHD ERSHAD BIN MIAN"</f>
        <v>MOHD ERSHAD BIN MIAN</v>
      </c>
      <c r="J3382" t="str">
        <f t="shared" si="1379"/>
        <v>MAYBANK / MAYBANK ISLAMIC</v>
      </c>
      <c r="K3382" t="str">
        <f>"151146639560"</f>
        <v>151146639560</v>
      </c>
      <c r="L3382" t="str">
        <f t="shared" si="1386"/>
        <v>04-08-2020</v>
      </c>
      <c r="M3382" t="str">
        <f t="shared" si="1386"/>
        <v>04-08-2020</v>
      </c>
      <c r="N3382" t="str">
        <f t="shared" si="1368"/>
        <v>001105018356</v>
      </c>
      <c r="O3382" t="str">
        <f t="shared" si="1369"/>
        <v>MYR</v>
      </c>
      <c r="P3382" t="str">
        <f t="shared" si="1387"/>
        <v>NIL</v>
      </c>
      <c r="Q3382" t="str">
        <f t="shared" si="1387"/>
        <v>NIL</v>
      </c>
      <c r="R3382" t="str">
        <f t="shared" si="1370"/>
        <v>Accepted</v>
      </c>
      <c r="S3382" t="str">
        <f t="shared" si="1371"/>
        <v>Approved</v>
      </c>
      <c r="T3382" t="str">
        <f t="shared" si="1372"/>
        <v>10.20.8.188</v>
      </c>
      <c r="U3382" t="str">
        <f t="shared" si="1373"/>
        <v>AZRAD UMAR BIN SHAARI</v>
      </c>
      <c r="V3382" t="str">
        <f t="shared" si="1374"/>
        <v>FARHANA BINTI MUSTAPA</v>
      </c>
      <c r="W3382" t="str">
        <f t="shared" si="1375"/>
        <v>04-08-2020</v>
      </c>
      <c r="X3382" t="str">
        <f t="shared" si="1376"/>
        <v>RAZIMAH ANSAR AHMAD</v>
      </c>
      <c r="Y3382" t="str">
        <f t="shared" si="1377"/>
        <v>04-08-2020</v>
      </c>
      <c r="Z3382" t="str">
        <f>"COS10200804 5572"</f>
        <v>COS10200804 5572</v>
      </c>
    </row>
    <row r="3383" spans="1:26" x14ac:dyDescent="0.25">
      <c r="A3383" t="str">
        <f t="shared" si="1384"/>
        <v>04-08-2020 12:57:26</v>
      </c>
      <c r="B3383" t="str">
        <f>"0000807560"</f>
        <v>0000807560</v>
      </c>
      <c r="C3383" t="str">
        <f t="shared" si="1385"/>
        <v>0000807389</v>
      </c>
      <c r="D3383" t="str">
        <f t="shared" si="1365"/>
        <v>73185</v>
      </c>
      <c r="E3383" t="str">
        <f t="shared" si="1366"/>
        <v>KFH-OPERATIONS DEPARTMENT</v>
      </c>
      <c r="F3383" t="str">
        <f t="shared" si="1367"/>
        <v>IBG</v>
      </c>
      <c r="G3383" t="str">
        <f t="shared" si="1378"/>
        <v>Refund COSHARE 10</v>
      </c>
      <c r="H3383" s="2">
        <v>839.5</v>
      </c>
      <c r="I3383" t="str">
        <f>"MOHD DHANIEL BIN MOHD SUFIAN"</f>
        <v>MOHD DHANIEL BIN MOHD SUFIAN</v>
      </c>
      <c r="J3383" t="str">
        <f t="shared" si="1379"/>
        <v>MAYBANK / MAYBANK ISLAMIC</v>
      </c>
      <c r="K3383" t="str">
        <f>"166010079911"</f>
        <v>166010079911</v>
      </c>
      <c r="L3383" t="str">
        <f t="shared" si="1386"/>
        <v>04-08-2020</v>
      </c>
      <c r="M3383" t="str">
        <f t="shared" si="1386"/>
        <v>04-08-2020</v>
      </c>
      <c r="N3383" t="str">
        <f t="shared" si="1368"/>
        <v>001105018356</v>
      </c>
      <c r="O3383" t="str">
        <f t="shared" si="1369"/>
        <v>MYR</v>
      </c>
      <c r="P3383" t="str">
        <f t="shared" si="1387"/>
        <v>NIL</v>
      </c>
      <c r="Q3383" t="str">
        <f t="shared" si="1387"/>
        <v>NIL</v>
      </c>
      <c r="R3383" t="str">
        <f t="shared" si="1370"/>
        <v>Accepted</v>
      </c>
      <c r="S3383" t="str">
        <f t="shared" si="1371"/>
        <v>Approved</v>
      </c>
      <c r="T3383" t="str">
        <f t="shared" si="1372"/>
        <v>10.20.8.188</v>
      </c>
      <c r="U3383" t="str">
        <f t="shared" si="1373"/>
        <v>AZRAD UMAR BIN SHAARI</v>
      </c>
      <c r="V3383" t="str">
        <f t="shared" si="1374"/>
        <v>FARHANA BINTI MUSTAPA</v>
      </c>
      <c r="W3383" t="str">
        <f t="shared" si="1375"/>
        <v>04-08-2020</v>
      </c>
      <c r="X3383" t="str">
        <f t="shared" si="1376"/>
        <v>RAZIMAH ANSAR AHMAD</v>
      </c>
      <c r="Y3383" t="str">
        <f t="shared" si="1377"/>
        <v>04-08-2020</v>
      </c>
      <c r="Z3383" t="str">
        <f>"COS10200804 5571"</f>
        <v>COS10200804 5571</v>
      </c>
    </row>
    <row r="3384" spans="1:26" x14ac:dyDescent="0.25">
      <c r="A3384" t="str">
        <f t="shared" si="1384"/>
        <v>04-08-2020 12:57:26</v>
      </c>
      <c r="B3384" t="str">
        <f>"0000807559"</f>
        <v>0000807559</v>
      </c>
      <c r="C3384" t="str">
        <f t="shared" si="1385"/>
        <v>0000807389</v>
      </c>
      <c r="D3384" t="str">
        <f t="shared" si="1365"/>
        <v>73185</v>
      </c>
      <c r="E3384" t="str">
        <f t="shared" si="1366"/>
        <v>KFH-OPERATIONS DEPARTMENT</v>
      </c>
      <c r="F3384" t="str">
        <f t="shared" si="1367"/>
        <v>IBG</v>
      </c>
      <c r="G3384" t="str">
        <f t="shared" si="1378"/>
        <v>Refund COSHARE 10</v>
      </c>
      <c r="H3384" s="2">
        <v>209.9</v>
      </c>
      <c r="I3384" t="str">
        <f>"MOHD DAZRIN BIN DANIAL"</f>
        <v>MOHD DAZRIN BIN DANIAL</v>
      </c>
      <c r="J3384" t="str">
        <f t="shared" si="1379"/>
        <v>MAYBANK / MAYBANK ISLAMIC</v>
      </c>
      <c r="K3384" t="str">
        <f>"157401047514"</f>
        <v>157401047514</v>
      </c>
      <c r="L3384" t="str">
        <f t="shared" si="1386"/>
        <v>04-08-2020</v>
      </c>
      <c r="M3384" t="str">
        <f t="shared" si="1386"/>
        <v>04-08-2020</v>
      </c>
      <c r="N3384" t="str">
        <f t="shared" si="1368"/>
        <v>001105018356</v>
      </c>
      <c r="O3384" t="str">
        <f t="shared" si="1369"/>
        <v>MYR</v>
      </c>
      <c r="P3384" t="str">
        <f t="shared" si="1387"/>
        <v>NIL</v>
      </c>
      <c r="Q3384" t="str">
        <f t="shared" si="1387"/>
        <v>NIL</v>
      </c>
      <c r="R3384" t="str">
        <f t="shared" si="1370"/>
        <v>Accepted</v>
      </c>
      <c r="S3384" t="str">
        <f t="shared" si="1371"/>
        <v>Approved</v>
      </c>
      <c r="T3384" t="str">
        <f t="shared" si="1372"/>
        <v>10.20.8.188</v>
      </c>
      <c r="U3384" t="str">
        <f t="shared" si="1373"/>
        <v>AZRAD UMAR BIN SHAARI</v>
      </c>
      <c r="V3384" t="str">
        <f t="shared" si="1374"/>
        <v>FARHANA BINTI MUSTAPA</v>
      </c>
      <c r="W3384" t="str">
        <f t="shared" si="1375"/>
        <v>04-08-2020</v>
      </c>
      <c r="X3384" t="str">
        <f t="shared" si="1376"/>
        <v>RAZIMAH ANSAR AHMAD</v>
      </c>
      <c r="Y3384" t="str">
        <f t="shared" si="1377"/>
        <v>04-08-2020</v>
      </c>
      <c r="Z3384" t="str">
        <f>"COS10200804 5570"</f>
        <v>COS10200804 5570</v>
      </c>
    </row>
    <row r="3385" spans="1:26" x14ac:dyDescent="0.25">
      <c r="A3385" t="str">
        <f t="shared" si="1384"/>
        <v>04-08-2020 12:57:26</v>
      </c>
      <c r="B3385" t="str">
        <f>"0000807558"</f>
        <v>0000807558</v>
      </c>
      <c r="C3385" t="str">
        <f t="shared" si="1385"/>
        <v>0000807389</v>
      </c>
      <c r="D3385" t="str">
        <f t="shared" si="1365"/>
        <v>73185</v>
      </c>
      <c r="E3385" t="str">
        <f t="shared" si="1366"/>
        <v>KFH-OPERATIONS DEPARTMENT</v>
      </c>
      <c r="F3385" t="str">
        <f t="shared" si="1367"/>
        <v>IBG</v>
      </c>
      <c r="G3385" t="str">
        <f t="shared" si="1378"/>
        <v>Refund COSHARE 10</v>
      </c>
      <c r="H3385" s="2">
        <v>1964.65</v>
      </c>
      <c r="I3385" t="str">
        <f>"MOHD DAUD BIN AWANG"</f>
        <v>MOHD DAUD BIN AWANG</v>
      </c>
      <c r="J3385" t="str">
        <f t="shared" si="1379"/>
        <v>MAYBANK / MAYBANK ISLAMIC</v>
      </c>
      <c r="K3385" t="str">
        <f>"156169127738"</f>
        <v>156169127738</v>
      </c>
      <c r="L3385" t="str">
        <f t="shared" si="1386"/>
        <v>04-08-2020</v>
      </c>
      <c r="M3385" t="str">
        <f t="shared" si="1386"/>
        <v>04-08-2020</v>
      </c>
      <c r="N3385" t="str">
        <f t="shared" si="1368"/>
        <v>001105018356</v>
      </c>
      <c r="O3385" t="str">
        <f t="shared" si="1369"/>
        <v>MYR</v>
      </c>
      <c r="P3385" t="str">
        <f t="shared" si="1387"/>
        <v>NIL</v>
      </c>
      <c r="Q3385" t="str">
        <f t="shared" si="1387"/>
        <v>NIL</v>
      </c>
      <c r="R3385" t="str">
        <f t="shared" si="1370"/>
        <v>Accepted</v>
      </c>
      <c r="S3385" t="str">
        <f t="shared" si="1371"/>
        <v>Approved</v>
      </c>
      <c r="T3385" t="str">
        <f t="shared" si="1372"/>
        <v>10.20.8.188</v>
      </c>
      <c r="U3385" t="str">
        <f t="shared" si="1373"/>
        <v>AZRAD UMAR BIN SHAARI</v>
      </c>
      <c r="V3385" t="str">
        <f t="shared" si="1374"/>
        <v>FARHANA BINTI MUSTAPA</v>
      </c>
      <c r="W3385" t="str">
        <f t="shared" si="1375"/>
        <v>04-08-2020</v>
      </c>
      <c r="X3385" t="str">
        <f t="shared" si="1376"/>
        <v>RAZIMAH ANSAR AHMAD</v>
      </c>
      <c r="Y3385" t="str">
        <f t="shared" si="1377"/>
        <v>04-08-2020</v>
      </c>
      <c r="Z3385" t="str">
        <f>"COS10200804 5569"</f>
        <v>COS10200804 5569</v>
      </c>
    </row>
    <row r="3386" spans="1:26" x14ac:dyDescent="0.25">
      <c r="A3386" t="str">
        <f t="shared" ref="A3386:A3417" si="1388">"04-08-2020 12:57:26"</f>
        <v>04-08-2020 12:57:26</v>
      </c>
      <c r="B3386" t="str">
        <f>"0000807557"</f>
        <v>0000807557</v>
      </c>
      <c r="C3386" t="str">
        <f t="shared" ref="C3386:C3417" si="1389">"0000807389"</f>
        <v>0000807389</v>
      </c>
      <c r="D3386" t="str">
        <f t="shared" si="1365"/>
        <v>73185</v>
      </c>
      <c r="E3386" t="str">
        <f t="shared" si="1366"/>
        <v>KFH-OPERATIONS DEPARTMENT</v>
      </c>
      <c r="F3386" t="str">
        <f t="shared" si="1367"/>
        <v>IBG</v>
      </c>
      <c r="G3386" t="str">
        <f t="shared" si="1378"/>
        <v>Refund COSHARE 10</v>
      </c>
      <c r="H3386" s="2">
        <v>251.85</v>
      </c>
      <c r="I3386" t="str">
        <f>"MOHD DASUKI BIN MOHAMED"</f>
        <v>MOHD DASUKI BIN MOHAMED</v>
      </c>
      <c r="J3386" t="str">
        <f t="shared" si="1379"/>
        <v>MAYBANK / MAYBANK ISLAMIC</v>
      </c>
      <c r="K3386" t="str">
        <f>"112362037770"</f>
        <v>112362037770</v>
      </c>
      <c r="L3386" t="str">
        <f t="shared" si="1386"/>
        <v>04-08-2020</v>
      </c>
      <c r="M3386" t="str">
        <f t="shared" si="1386"/>
        <v>04-08-2020</v>
      </c>
      <c r="N3386" t="str">
        <f t="shared" si="1368"/>
        <v>001105018356</v>
      </c>
      <c r="O3386" t="str">
        <f t="shared" si="1369"/>
        <v>MYR</v>
      </c>
      <c r="P3386" t="str">
        <f t="shared" si="1387"/>
        <v>NIL</v>
      </c>
      <c r="Q3386" t="str">
        <f t="shared" si="1387"/>
        <v>NIL</v>
      </c>
      <c r="R3386" t="str">
        <f t="shared" si="1370"/>
        <v>Accepted</v>
      </c>
      <c r="S3386" t="str">
        <f t="shared" si="1371"/>
        <v>Approved</v>
      </c>
      <c r="T3386" t="str">
        <f t="shared" si="1372"/>
        <v>10.20.8.188</v>
      </c>
      <c r="U3386" t="str">
        <f t="shared" si="1373"/>
        <v>AZRAD UMAR BIN SHAARI</v>
      </c>
      <c r="V3386" t="str">
        <f t="shared" si="1374"/>
        <v>FARHANA BINTI MUSTAPA</v>
      </c>
      <c r="W3386" t="str">
        <f t="shared" si="1375"/>
        <v>04-08-2020</v>
      </c>
      <c r="X3386" t="str">
        <f t="shared" si="1376"/>
        <v>RAZIMAH ANSAR AHMAD</v>
      </c>
      <c r="Y3386" t="str">
        <f t="shared" si="1377"/>
        <v>04-08-2020</v>
      </c>
      <c r="Z3386" t="str">
        <f>"COS10200804 5568"</f>
        <v>COS10200804 5568</v>
      </c>
    </row>
    <row r="3387" spans="1:26" x14ac:dyDescent="0.25">
      <c r="A3387" t="str">
        <f t="shared" si="1388"/>
        <v>04-08-2020 12:57:26</v>
      </c>
      <c r="B3387" t="str">
        <f>"0000807556"</f>
        <v>0000807556</v>
      </c>
      <c r="C3387" t="str">
        <f t="shared" si="1389"/>
        <v>0000807389</v>
      </c>
      <c r="D3387" t="str">
        <f t="shared" si="1365"/>
        <v>73185</v>
      </c>
      <c r="E3387" t="str">
        <f t="shared" si="1366"/>
        <v>KFH-OPERATIONS DEPARTMENT</v>
      </c>
      <c r="F3387" t="str">
        <f t="shared" si="1367"/>
        <v>IBG</v>
      </c>
      <c r="G3387" t="str">
        <f t="shared" si="1378"/>
        <v>Refund COSHARE 10</v>
      </c>
      <c r="H3387" s="2">
        <v>125.95</v>
      </c>
      <c r="I3387" t="str">
        <f>"MOHD DARWIS BIN JASMIN"</f>
        <v>MOHD DARWIS BIN JASMIN</v>
      </c>
      <c r="J3387" t="str">
        <f t="shared" si="1379"/>
        <v>MAYBANK / MAYBANK ISLAMIC</v>
      </c>
      <c r="K3387" t="str">
        <f>"151593026637"</f>
        <v>151593026637</v>
      </c>
      <c r="L3387" t="str">
        <f t="shared" ref="L3387:M3406" si="1390">"04-08-2020"</f>
        <v>04-08-2020</v>
      </c>
      <c r="M3387" t="str">
        <f t="shared" si="1390"/>
        <v>04-08-2020</v>
      </c>
      <c r="N3387" t="str">
        <f t="shared" si="1368"/>
        <v>001105018356</v>
      </c>
      <c r="O3387" t="str">
        <f t="shared" si="1369"/>
        <v>MYR</v>
      </c>
      <c r="P3387" t="str">
        <f t="shared" ref="P3387:Q3406" si="1391">"NIL"</f>
        <v>NIL</v>
      </c>
      <c r="Q3387" t="str">
        <f t="shared" si="1391"/>
        <v>NIL</v>
      </c>
      <c r="R3387" t="str">
        <f t="shared" si="1370"/>
        <v>Accepted</v>
      </c>
      <c r="S3387" t="str">
        <f t="shared" si="1371"/>
        <v>Approved</v>
      </c>
      <c r="T3387" t="str">
        <f t="shared" si="1372"/>
        <v>10.20.8.188</v>
      </c>
      <c r="U3387" t="str">
        <f t="shared" si="1373"/>
        <v>AZRAD UMAR BIN SHAARI</v>
      </c>
      <c r="V3387" t="str">
        <f t="shared" si="1374"/>
        <v>FARHANA BINTI MUSTAPA</v>
      </c>
      <c r="W3387" t="str">
        <f t="shared" si="1375"/>
        <v>04-08-2020</v>
      </c>
      <c r="X3387" t="str">
        <f t="shared" si="1376"/>
        <v>RAZIMAH ANSAR AHMAD</v>
      </c>
      <c r="Y3387" t="str">
        <f t="shared" si="1377"/>
        <v>04-08-2020</v>
      </c>
      <c r="Z3387" t="str">
        <f>"COS10200804 5567"</f>
        <v>COS10200804 5567</v>
      </c>
    </row>
    <row r="3388" spans="1:26" x14ac:dyDescent="0.25">
      <c r="A3388" t="str">
        <f t="shared" si="1388"/>
        <v>04-08-2020 12:57:26</v>
      </c>
      <c r="B3388" t="str">
        <f>"0000807555"</f>
        <v>0000807555</v>
      </c>
      <c r="C3388" t="str">
        <f t="shared" si="1389"/>
        <v>0000807389</v>
      </c>
      <c r="D3388" t="str">
        <f t="shared" si="1365"/>
        <v>73185</v>
      </c>
      <c r="E3388" t="str">
        <f t="shared" si="1366"/>
        <v>KFH-OPERATIONS DEPARTMENT</v>
      </c>
      <c r="F3388" t="str">
        <f t="shared" si="1367"/>
        <v>IBG</v>
      </c>
      <c r="G3388" t="str">
        <f t="shared" si="1378"/>
        <v>Refund COSHARE 10</v>
      </c>
      <c r="H3388" s="2">
        <v>503.7</v>
      </c>
      <c r="I3388" t="str">
        <f>"MOHD DAHLAN BIN MADLAN"</f>
        <v>MOHD DAHLAN BIN MADLAN</v>
      </c>
      <c r="J3388" t="str">
        <f t="shared" si="1379"/>
        <v>MAYBANK / MAYBANK ISLAMIC</v>
      </c>
      <c r="K3388" t="str">
        <f>"166010312284"</f>
        <v>166010312284</v>
      </c>
      <c r="L3388" t="str">
        <f t="shared" si="1390"/>
        <v>04-08-2020</v>
      </c>
      <c r="M3388" t="str">
        <f t="shared" si="1390"/>
        <v>04-08-2020</v>
      </c>
      <c r="N3388" t="str">
        <f t="shared" si="1368"/>
        <v>001105018356</v>
      </c>
      <c r="O3388" t="str">
        <f t="shared" si="1369"/>
        <v>MYR</v>
      </c>
      <c r="P3388" t="str">
        <f t="shared" si="1391"/>
        <v>NIL</v>
      </c>
      <c r="Q3388" t="str">
        <f t="shared" si="1391"/>
        <v>NIL</v>
      </c>
      <c r="R3388" t="str">
        <f t="shared" si="1370"/>
        <v>Accepted</v>
      </c>
      <c r="S3388" t="str">
        <f t="shared" si="1371"/>
        <v>Approved</v>
      </c>
      <c r="T3388" t="str">
        <f t="shared" si="1372"/>
        <v>10.20.8.188</v>
      </c>
      <c r="U3388" t="str">
        <f t="shared" si="1373"/>
        <v>AZRAD UMAR BIN SHAARI</v>
      </c>
      <c r="V3388" t="str">
        <f t="shared" si="1374"/>
        <v>FARHANA BINTI MUSTAPA</v>
      </c>
      <c r="W3388" t="str">
        <f t="shared" si="1375"/>
        <v>04-08-2020</v>
      </c>
      <c r="X3388" t="str">
        <f t="shared" si="1376"/>
        <v>RAZIMAH ANSAR AHMAD</v>
      </c>
      <c r="Y3388" t="str">
        <f t="shared" si="1377"/>
        <v>04-08-2020</v>
      </c>
      <c r="Z3388" t="str">
        <f>"COS10200804 5566"</f>
        <v>COS10200804 5566</v>
      </c>
    </row>
    <row r="3389" spans="1:26" x14ac:dyDescent="0.25">
      <c r="A3389" t="str">
        <f t="shared" si="1388"/>
        <v>04-08-2020 12:57:26</v>
      </c>
      <c r="B3389" t="str">
        <f>"0000807554"</f>
        <v>0000807554</v>
      </c>
      <c r="C3389" t="str">
        <f t="shared" si="1389"/>
        <v>0000807389</v>
      </c>
      <c r="D3389" t="str">
        <f t="shared" si="1365"/>
        <v>73185</v>
      </c>
      <c r="E3389" t="str">
        <f t="shared" si="1366"/>
        <v>KFH-OPERATIONS DEPARTMENT</v>
      </c>
      <c r="F3389" t="str">
        <f t="shared" si="1367"/>
        <v>IBG</v>
      </c>
      <c r="G3389" t="str">
        <f t="shared" si="1378"/>
        <v>Refund COSHARE 10</v>
      </c>
      <c r="H3389" s="2">
        <v>335.8</v>
      </c>
      <c r="I3389" t="str">
        <f>"MOHD BAHARUZI BIN BAHAROM"</f>
        <v>MOHD BAHARUZI BIN BAHAROM</v>
      </c>
      <c r="J3389" t="str">
        <f t="shared" si="1379"/>
        <v>MAYBANK / MAYBANK ISLAMIC</v>
      </c>
      <c r="K3389" t="str">
        <f>"166010030610"</f>
        <v>166010030610</v>
      </c>
      <c r="L3389" t="str">
        <f t="shared" si="1390"/>
        <v>04-08-2020</v>
      </c>
      <c r="M3389" t="str">
        <f t="shared" si="1390"/>
        <v>04-08-2020</v>
      </c>
      <c r="N3389" t="str">
        <f t="shared" si="1368"/>
        <v>001105018356</v>
      </c>
      <c r="O3389" t="str">
        <f t="shared" si="1369"/>
        <v>MYR</v>
      </c>
      <c r="P3389" t="str">
        <f t="shared" si="1391"/>
        <v>NIL</v>
      </c>
      <c r="Q3389" t="str">
        <f t="shared" si="1391"/>
        <v>NIL</v>
      </c>
      <c r="R3389" t="str">
        <f t="shared" si="1370"/>
        <v>Accepted</v>
      </c>
      <c r="S3389" t="str">
        <f t="shared" si="1371"/>
        <v>Approved</v>
      </c>
      <c r="T3389" t="str">
        <f t="shared" si="1372"/>
        <v>10.20.8.188</v>
      </c>
      <c r="U3389" t="str">
        <f t="shared" si="1373"/>
        <v>AZRAD UMAR BIN SHAARI</v>
      </c>
      <c r="V3389" t="str">
        <f t="shared" si="1374"/>
        <v>FARHANA BINTI MUSTAPA</v>
      </c>
      <c r="W3389" t="str">
        <f t="shared" si="1375"/>
        <v>04-08-2020</v>
      </c>
      <c r="X3389" t="str">
        <f t="shared" si="1376"/>
        <v>RAZIMAH ANSAR AHMAD</v>
      </c>
      <c r="Y3389" t="str">
        <f t="shared" si="1377"/>
        <v>04-08-2020</v>
      </c>
      <c r="Z3389" t="str">
        <f>"COS10200804 5565"</f>
        <v>COS10200804 5565</v>
      </c>
    </row>
    <row r="3390" spans="1:26" x14ac:dyDescent="0.25">
      <c r="A3390" t="str">
        <f t="shared" si="1388"/>
        <v>04-08-2020 12:57:26</v>
      </c>
      <c r="B3390" t="str">
        <f>"0000807553"</f>
        <v>0000807553</v>
      </c>
      <c r="C3390" t="str">
        <f t="shared" si="1389"/>
        <v>0000807389</v>
      </c>
      <c r="D3390" t="str">
        <f t="shared" si="1365"/>
        <v>73185</v>
      </c>
      <c r="E3390" t="str">
        <f t="shared" si="1366"/>
        <v>KFH-OPERATIONS DEPARTMENT</v>
      </c>
      <c r="F3390" t="str">
        <f t="shared" si="1367"/>
        <v>IBG</v>
      </c>
      <c r="G3390" t="str">
        <f t="shared" si="1378"/>
        <v>Refund COSHARE 10</v>
      </c>
      <c r="H3390" s="2">
        <v>100.75</v>
      </c>
      <c r="I3390" t="str">
        <f>"MOHD AZZUAL BIN RAZALI"</f>
        <v>MOHD AZZUAL BIN RAZALI</v>
      </c>
      <c r="J3390" t="str">
        <f t="shared" si="1379"/>
        <v>MAYBANK / MAYBANK ISLAMIC</v>
      </c>
      <c r="K3390" t="str">
        <f>"157157760379"</f>
        <v>157157760379</v>
      </c>
      <c r="L3390" t="str">
        <f t="shared" si="1390"/>
        <v>04-08-2020</v>
      </c>
      <c r="M3390" t="str">
        <f t="shared" si="1390"/>
        <v>04-08-2020</v>
      </c>
      <c r="N3390" t="str">
        <f t="shared" si="1368"/>
        <v>001105018356</v>
      </c>
      <c r="O3390" t="str">
        <f t="shared" si="1369"/>
        <v>MYR</v>
      </c>
      <c r="P3390" t="str">
        <f t="shared" si="1391"/>
        <v>NIL</v>
      </c>
      <c r="Q3390" t="str">
        <f t="shared" si="1391"/>
        <v>NIL</v>
      </c>
      <c r="R3390" t="str">
        <f t="shared" si="1370"/>
        <v>Accepted</v>
      </c>
      <c r="S3390" t="str">
        <f t="shared" si="1371"/>
        <v>Approved</v>
      </c>
      <c r="T3390" t="str">
        <f t="shared" si="1372"/>
        <v>10.20.8.188</v>
      </c>
      <c r="U3390" t="str">
        <f t="shared" si="1373"/>
        <v>AZRAD UMAR BIN SHAARI</v>
      </c>
      <c r="V3390" t="str">
        <f t="shared" si="1374"/>
        <v>FARHANA BINTI MUSTAPA</v>
      </c>
      <c r="W3390" t="str">
        <f t="shared" si="1375"/>
        <v>04-08-2020</v>
      </c>
      <c r="X3390" t="str">
        <f t="shared" si="1376"/>
        <v>RAZIMAH ANSAR AHMAD</v>
      </c>
      <c r="Y3390" t="str">
        <f t="shared" si="1377"/>
        <v>04-08-2020</v>
      </c>
      <c r="Z3390" t="str">
        <f>"COS10200804 5564"</f>
        <v>COS10200804 5564</v>
      </c>
    </row>
    <row r="3391" spans="1:26" x14ac:dyDescent="0.25">
      <c r="A3391" t="str">
        <f t="shared" si="1388"/>
        <v>04-08-2020 12:57:26</v>
      </c>
      <c r="B3391" t="str">
        <f>"0000807552"</f>
        <v>0000807552</v>
      </c>
      <c r="C3391" t="str">
        <f t="shared" si="1389"/>
        <v>0000807389</v>
      </c>
      <c r="D3391" t="str">
        <f t="shared" si="1365"/>
        <v>73185</v>
      </c>
      <c r="E3391" t="str">
        <f t="shared" si="1366"/>
        <v>KFH-OPERATIONS DEPARTMENT</v>
      </c>
      <c r="F3391" t="str">
        <f t="shared" si="1367"/>
        <v>IBG</v>
      </c>
      <c r="G3391" t="str">
        <f t="shared" si="1378"/>
        <v>Refund COSHARE 10</v>
      </c>
      <c r="H3391" s="2">
        <v>620.9</v>
      </c>
      <c r="I3391" t="str">
        <f>"MOHD AZUAN BIN ABDUL RAHMAN"</f>
        <v>MOHD AZUAN BIN ABDUL RAHMAN</v>
      </c>
      <c r="J3391" t="str">
        <f t="shared" si="1379"/>
        <v>MAYBANK / MAYBANK ISLAMIC</v>
      </c>
      <c r="K3391" t="str">
        <f>"107059557963"</f>
        <v>107059557963</v>
      </c>
      <c r="L3391" t="str">
        <f t="shared" si="1390"/>
        <v>04-08-2020</v>
      </c>
      <c r="M3391" t="str">
        <f t="shared" si="1390"/>
        <v>04-08-2020</v>
      </c>
      <c r="N3391" t="str">
        <f t="shared" si="1368"/>
        <v>001105018356</v>
      </c>
      <c r="O3391" t="str">
        <f t="shared" si="1369"/>
        <v>MYR</v>
      </c>
      <c r="P3391" t="str">
        <f t="shared" si="1391"/>
        <v>NIL</v>
      </c>
      <c r="Q3391" t="str">
        <f t="shared" si="1391"/>
        <v>NIL</v>
      </c>
      <c r="R3391" t="str">
        <f t="shared" si="1370"/>
        <v>Accepted</v>
      </c>
      <c r="S3391" t="str">
        <f t="shared" si="1371"/>
        <v>Approved</v>
      </c>
      <c r="T3391" t="str">
        <f t="shared" si="1372"/>
        <v>10.20.8.188</v>
      </c>
      <c r="U3391" t="str">
        <f t="shared" si="1373"/>
        <v>AZRAD UMAR BIN SHAARI</v>
      </c>
      <c r="V3391" t="str">
        <f t="shared" si="1374"/>
        <v>FARHANA BINTI MUSTAPA</v>
      </c>
      <c r="W3391" t="str">
        <f t="shared" si="1375"/>
        <v>04-08-2020</v>
      </c>
      <c r="X3391" t="str">
        <f t="shared" si="1376"/>
        <v>RAZIMAH ANSAR AHMAD</v>
      </c>
      <c r="Y3391" t="str">
        <f t="shared" si="1377"/>
        <v>04-08-2020</v>
      </c>
      <c r="Z3391" t="str">
        <f>"COS10200804 5563"</f>
        <v>COS10200804 5563</v>
      </c>
    </row>
    <row r="3392" spans="1:26" x14ac:dyDescent="0.25">
      <c r="A3392" t="str">
        <f t="shared" si="1388"/>
        <v>04-08-2020 12:57:26</v>
      </c>
      <c r="B3392" t="str">
        <f>"0000807551"</f>
        <v>0000807551</v>
      </c>
      <c r="C3392" t="str">
        <f t="shared" si="1389"/>
        <v>0000807389</v>
      </c>
      <c r="D3392" t="str">
        <f t="shared" si="1365"/>
        <v>73185</v>
      </c>
      <c r="E3392" t="str">
        <f t="shared" si="1366"/>
        <v>KFH-OPERATIONS DEPARTMENT</v>
      </c>
      <c r="F3392" t="str">
        <f t="shared" si="1367"/>
        <v>IBG</v>
      </c>
      <c r="G3392" t="str">
        <f t="shared" si="1378"/>
        <v>Refund COSHARE 10</v>
      </c>
      <c r="H3392" s="2">
        <v>1469.15</v>
      </c>
      <c r="I3392" t="str">
        <f>"MOHD AZRULNIZAM BIN MOHD KAMARUDIN"</f>
        <v>MOHD AZRULNIZAM BIN MOHD KAMARUDIN</v>
      </c>
      <c r="J3392" t="str">
        <f t="shared" si="1379"/>
        <v>MAYBANK / MAYBANK ISLAMIC</v>
      </c>
      <c r="K3392" t="str">
        <f>"152189005727"</f>
        <v>152189005727</v>
      </c>
      <c r="L3392" t="str">
        <f t="shared" si="1390"/>
        <v>04-08-2020</v>
      </c>
      <c r="M3392" t="str">
        <f t="shared" si="1390"/>
        <v>04-08-2020</v>
      </c>
      <c r="N3392" t="str">
        <f t="shared" si="1368"/>
        <v>001105018356</v>
      </c>
      <c r="O3392" t="str">
        <f t="shared" si="1369"/>
        <v>MYR</v>
      </c>
      <c r="P3392" t="str">
        <f t="shared" si="1391"/>
        <v>NIL</v>
      </c>
      <c r="Q3392" t="str">
        <f t="shared" si="1391"/>
        <v>NIL</v>
      </c>
      <c r="R3392" t="str">
        <f t="shared" si="1370"/>
        <v>Accepted</v>
      </c>
      <c r="S3392" t="str">
        <f t="shared" si="1371"/>
        <v>Approved</v>
      </c>
      <c r="T3392" t="str">
        <f t="shared" si="1372"/>
        <v>10.20.8.188</v>
      </c>
      <c r="U3392" t="str">
        <f t="shared" si="1373"/>
        <v>AZRAD UMAR BIN SHAARI</v>
      </c>
      <c r="V3392" t="str">
        <f t="shared" si="1374"/>
        <v>FARHANA BINTI MUSTAPA</v>
      </c>
      <c r="W3392" t="str">
        <f t="shared" si="1375"/>
        <v>04-08-2020</v>
      </c>
      <c r="X3392" t="str">
        <f t="shared" si="1376"/>
        <v>RAZIMAH ANSAR AHMAD</v>
      </c>
      <c r="Y3392" t="str">
        <f t="shared" si="1377"/>
        <v>04-08-2020</v>
      </c>
      <c r="Z3392" t="str">
        <f>"COS10200804 5562"</f>
        <v>COS10200804 5562</v>
      </c>
    </row>
    <row r="3393" spans="1:26" x14ac:dyDescent="0.25">
      <c r="A3393" t="str">
        <f t="shared" si="1388"/>
        <v>04-08-2020 12:57:26</v>
      </c>
      <c r="B3393" t="str">
        <f>"0000807550"</f>
        <v>0000807550</v>
      </c>
      <c r="C3393" t="str">
        <f t="shared" si="1389"/>
        <v>0000807389</v>
      </c>
      <c r="D3393" t="str">
        <f t="shared" si="1365"/>
        <v>73185</v>
      </c>
      <c r="E3393" t="str">
        <f t="shared" si="1366"/>
        <v>KFH-OPERATIONS DEPARTMENT</v>
      </c>
      <c r="F3393" t="str">
        <f t="shared" si="1367"/>
        <v>IBG</v>
      </c>
      <c r="G3393" t="str">
        <f t="shared" si="1378"/>
        <v>Refund COSHARE 10</v>
      </c>
      <c r="H3393" s="2">
        <v>1427.15</v>
      </c>
      <c r="I3393" t="str">
        <f>"MOHD AZRULNIZAM BIN JAAFAR"</f>
        <v>MOHD AZRULNIZAM BIN JAAFAR</v>
      </c>
      <c r="J3393" t="str">
        <f t="shared" si="1379"/>
        <v>MAYBANK / MAYBANK ISLAMIC</v>
      </c>
      <c r="K3393" t="str">
        <f>"158172957268"</f>
        <v>158172957268</v>
      </c>
      <c r="L3393" t="str">
        <f t="shared" si="1390"/>
        <v>04-08-2020</v>
      </c>
      <c r="M3393" t="str">
        <f t="shared" si="1390"/>
        <v>04-08-2020</v>
      </c>
      <c r="N3393" t="str">
        <f t="shared" si="1368"/>
        <v>001105018356</v>
      </c>
      <c r="O3393" t="str">
        <f t="shared" si="1369"/>
        <v>MYR</v>
      </c>
      <c r="P3393" t="str">
        <f t="shared" si="1391"/>
        <v>NIL</v>
      </c>
      <c r="Q3393" t="str">
        <f t="shared" si="1391"/>
        <v>NIL</v>
      </c>
      <c r="R3393" t="str">
        <f t="shared" si="1370"/>
        <v>Accepted</v>
      </c>
      <c r="S3393" t="str">
        <f t="shared" si="1371"/>
        <v>Approved</v>
      </c>
      <c r="T3393" t="str">
        <f t="shared" si="1372"/>
        <v>10.20.8.188</v>
      </c>
      <c r="U3393" t="str">
        <f t="shared" si="1373"/>
        <v>AZRAD UMAR BIN SHAARI</v>
      </c>
      <c r="V3393" t="str">
        <f t="shared" si="1374"/>
        <v>FARHANA BINTI MUSTAPA</v>
      </c>
      <c r="W3393" t="str">
        <f t="shared" si="1375"/>
        <v>04-08-2020</v>
      </c>
      <c r="X3393" t="str">
        <f t="shared" si="1376"/>
        <v>RAZIMAH ANSAR AHMAD</v>
      </c>
      <c r="Y3393" t="str">
        <f t="shared" si="1377"/>
        <v>04-08-2020</v>
      </c>
      <c r="Z3393" t="str">
        <f>"COS10200804 5561"</f>
        <v>COS10200804 5561</v>
      </c>
    </row>
    <row r="3394" spans="1:26" x14ac:dyDescent="0.25">
      <c r="A3394" t="str">
        <f t="shared" si="1388"/>
        <v>04-08-2020 12:57:26</v>
      </c>
      <c r="B3394" t="str">
        <f>"0000807549"</f>
        <v>0000807549</v>
      </c>
      <c r="C3394" t="str">
        <f t="shared" si="1389"/>
        <v>0000807389</v>
      </c>
      <c r="D3394" t="str">
        <f t="shared" si="1365"/>
        <v>73185</v>
      </c>
      <c r="E3394" t="str">
        <f t="shared" si="1366"/>
        <v>KFH-OPERATIONS DEPARTMENT</v>
      </c>
      <c r="F3394" t="str">
        <f t="shared" si="1367"/>
        <v>IBG</v>
      </c>
      <c r="G3394" t="str">
        <f t="shared" si="1378"/>
        <v>Refund COSHARE 10</v>
      </c>
      <c r="H3394" s="2">
        <v>327</v>
      </c>
      <c r="I3394" t="str">
        <f>"MOHD AZRUL BIN EUSOFF  SARIFF"</f>
        <v>MOHD AZRUL BIN EUSOFF  SARIFF</v>
      </c>
      <c r="J3394" t="str">
        <f t="shared" si="1379"/>
        <v>MAYBANK / MAYBANK ISLAMIC</v>
      </c>
      <c r="K3394" t="str">
        <f>"112521083752"</f>
        <v>112521083752</v>
      </c>
      <c r="L3394" t="str">
        <f t="shared" si="1390"/>
        <v>04-08-2020</v>
      </c>
      <c r="M3394" t="str">
        <f t="shared" si="1390"/>
        <v>04-08-2020</v>
      </c>
      <c r="N3394" t="str">
        <f t="shared" si="1368"/>
        <v>001105018356</v>
      </c>
      <c r="O3394" t="str">
        <f t="shared" si="1369"/>
        <v>MYR</v>
      </c>
      <c r="P3394" t="str">
        <f t="shared" si="1391"/>
        <v>NIL</v>
      </c>
      <c r="Q3394" t="str">
        <f t="shared" si="1391"/>
        <v>NIL</v>
      </c>
      <c r="R3394" t="str">
        <f t="shared" si="1370"/>
        <v>Accepted</v>
      </c>
      <c r="S3394" t="str">
        <f t="shared" si="1371"/>
        <v>Approved</v>
      </c>
      <c r="T3394" t="str">
        <f t="shared" si="1372"/>
        <v>10.20.8.188</v>
      </c>
      <c r="U3394" t="str">
        <f t="shared" si="1373"/>
        <v>AZRAD UMAR BIN SHAARI</v>
      </c>
      <c r="V3394" t="str">
        <f t="shared" si="1374"/>
        <v>FARHANA BINTI MUSTAPA</v>
      </c>
      <c r="W3394" t="str">
        <f t="shared" si="1375"/>
        <v>04-08-2020</v>
      </c>
      <c r="X3394" t="str">
        <f t="shared" si="1376"/>
        <v>RAZIMAH ANSAR AHMAD</v>
      </c>
      <c r="Y3394" t="str">
        <f t="shared" si="1377"/>
        <v>04-08-2020</v>
      </c>
      <c r="Z3394" t="str">
        <f>"COS10200804 5560"</f>
        <v>COS10200804 5560</v>
      </c>
    </row>
    <row r="3395" spans="1:26" x14ac:dyDescent="0.25">
      <c r="A3395" t="str">
        <f t="shared" si="1388"/>
        <v>04-08-2020 12:57:26</v>
      </c>
      <c r="B3395" t="str">
        <f>"0000807548"</f>
        <v>0000807548</v>
      </c>
      <c r="C3395" t="str">
        <f t="shared" si="1389"/>
        <v>0000807389</v>
      </c>
      <c r="D3395" t="str">
        <f t="shared" si="1365"/>
        <v>73185</v>
      </c>
      <c r="E3395" t="str">
        <f t="shared" si="1366"/>
        <v>KFH-OPERATIONS DEPARTMENT</v>
      </c>
      <c r="F3395" t="str">
        <f t="shared" si="1367"/>
        <v>IBG</v>
      </c>
      <c r="G3395" t="str">
        <f t="shared" si="1378"/>
        <v>Refund COSHARE 10</v>
      </c>
      <c r="H3395" s="2">
        <v>504</v>
      </c>
      <c r="I3395" t="str">
        <f>"MOHD AZRIE BIN AHMAD"</f>
        <v>MOHD AZRIE BIN AHMAD</v>
      </c>
      <c r="J3395" t="str">
        <f t="shared" si="1379"/>
        <v>MAYBANK / MAYBANK ISLAMIC</v>
      </c>
      <c r="K3395" t="str">
        <f>"162106571692"</f>
        <v>162106571692</v>
      </c>
      <c r="L3395" t="str">
        <f t="shared" si="1390"/>
        <v>04-08-2020</v>
      </c>
      <c r="M3395" t="str">
        <f t="shared" si="1390"/>
        <v>04-08-2020</v>
      </c>
      <c r="N3395" t="str">
        <f t="shared" si="1368"/>
        <v>001105018356</v>
      </c>
      <c r="O3395" t="str">
        <f t="shared" si="1369"/>
        <v>MYR</v>
      </c>
      <c r="P3395" t="str">
        <f t="shared" si="1391"/>
        <v>NIL</v>
      </c>
      <c r="Q3395" t="str">
        <f t="shared" si="1391"/>
        <v>NIL</v>
      </c>
      <c r="R3395" t="str">
        <f t="shared" si="1370"/>
        <v>Accepted</v>
      </c>
      <c r="S3395" t="str">
        <f t="shared" si="1371"/>
        <v>Approved</v>
      </c>
      <c r="T3395" t="str">
        <f t="shared" si="1372"/>
        <v>10.20.8.188</v>
      </c>
      <c r="U3395" t="str">
        <f t="shared" si="1373"/>
        <v>AZRAD UMAR BIN SHAARI</v>
      </c>
      <c r="V3395" t="str">
        <f t="shared" si="1374"/>
        <v>FARHANA BINTI MUSTAPA</v>
      </c>
      <c r="W3395" t="str">
        <f t="shared" si="1375"/>
        <v>04-08-2020</v>
      </c>
      <c r="X3395" t="str">
        <f t="shared" si="1376"/>
        <v>RAZIMAH ANSAR AHMAD</v>
      </c>
      <c r="Y3395" t="str">
        <f t="shared" si="1377"/>
        <v>04-08-2020</v>
      </c>
      <c r="Z3395" t="str">
        <f>"COS10200804 5559"</f>
        <v>COS10200804 5559</v>
      </c>
    </row>
    <row r="3396" spans="1:26" x14ac:dyDescent="0.25">
      <c r="A3396" t="str">
        <f t="shared" si="1388"/>
        <v>04-08-2020 12:57:26</v>
      </c>
      <c r="B3396" t="str">
        <f>"0000807547"</f>
        <v>0000807547</v>
      </c>
      <c r="C3396" t="str">
        <f t="shared" si="1389"/>
        <v>0000807389</v>
      </c>
      <c r="D3396" t="str">
        <f t="shared" si="1365"/>
        <v>73185</v>
      </c>
      <c r="E3396" t="str">
        <f t="shared" si="1366"/>
        <v>KFH-OPERATIONS DEPARTMENT</v>
      </c>
      <c r="F3396" t="str">
        <f t="shared" si="1367"/>
        <v>IBG</v>
      </c>
      <c r="G3396" t="str">
        <f t="shared" si="1378"/>
        <v>Refund COSHARE 10</v>
      </c>
      <c r="H3396" s="2">
        <v>713.6</v>
      </c>
      <c r="I3396" t="str">
        <f>"MOHD AZNAN BIN ABDUL AZIZ"</f>
        <v>MOHD AZNAN BIN ABDUL AZIZ</v>
      </c>
      <c r="J3396" t="str">
        <f t="shared" si="1379"/>
        <v>MAYBANK / MAYBANK ISLAMIC</v>
      </c>
      <c r="K3396" t="str">
        <f>"114160806111"</f>
        <v>114160806111</v>
      </c>
      <c r="L3396" t="str">
        <f t="shared" si="1390"/>
        <v>04-08-2020</v>
      </c>
      <c r="M3396" t="str">
        <f t="shared" si="1390"/>
        <v>04-08-2020</v>
      </c>
      <c r="N3396" t="str">
        <f t="shared" si="1368"/>
        <v>001105018356</v>
      </c>
      <c r="O3396" t="str">
        <f t="shared" si="1369"/>
        <v>MYR</v>
      </c>
      <c r="P3396" t="str">
        <f t="shared" si="1391"/>
        <v>NIL</v>
      </c>
      <c r="Q3396" t="str">
        <f t="shared" si="1391"/>
        <v>NIL</v>
      </c>
      <c r="R3396" t="str">
        <f t="shared" si="1370"/>
        <v>Accepted</v>
      </c>
      <c r="S3396" t="str">
        <f t="shared" si="1371"/>
        <v>Approved</v>
      </c>
      <c r="T3396" t="str">
        <f t="shared" si="1372"/>
        <v>10.20.8.188</v>
      </c>
      <c r="U3396" t="str">
        <f t="shared" si="1373"/>
        <v>AZRAD UMAR BIN SHAARI</v>
      </c>
      <c r="V3396" t="str">
        <f t="shared" si="1374"/>
        <v>FARHANA BINTI MUSTAPA</v>
      </c>
      <c r="W3396" t="str">
        <f t="shared" si="1375"/>
        <v>04-08-2020</v>
      </c>
      <c r="X3396" t="str">
        <f t="shared" si="1376"/>
        <v>RAZIMAH ANSAR AHMAD</v>
      </c>
      <c r="Y3396" t="str">
        <f t="shared" si="1377"/>
        <v>04-08-2020</v>
      </c>
      <c r="Z3396" t="str">
        <f>"COS10200804 5558"</f>
        <v>COS10200804 5558</v>
      </c>
    </row>
    <row r="3397" spans="1:26" x14ac:dyDescent="0.25">
      <c r="A3397" t="str">
        <f t="shared" si="1388"/>
        <v>04-08-2020 12:57:26</v>
      </c>
      <c r="B3397" t="str">
        <f>"0000807546"</f>
        <v>0000807546</v>
      </c>
      <c r="C3397" t="str">
        <f t="shared" si="1389"/>
        <v>0000807389</v>
      </c>
      <c r="D3397" t="str">
        <f t="shared" si="1365"/>
        <v>73185</v>
      </c>
      <c r="E3397" t="str">
        <f t="shared" si="1366"/>
        <v>KFH-OPERATIONS DEPARTMENT</v>
      </c>
      <c r="F3397" t="str">
        <f t="shared" si="1367"/>
        <v>IBG</v>
      </c>
      <c r="G3397" t="str">
        <f t="shared" si="1378"/>
        <v>Refund COSHARE 10</v>
      </c>
      <c r="H3397" s="2">
        <v>99</v>
      </c>
      <c r="I3397" t="str">
        <f>"MOHD AZMIR BIN MOHD MOKHLAS"</f>
        <v>MOHD AZMIR BIN MOHD MOKHLAS</v>
      </c>
      <c r="J3397" t="str">
        <f t="shared" si="1379"/>
        <v>MAYBANK / MAYBANK ISLAMIC</v>
      </c>
      <c r="K3397" t="str">
        <f>"164472270632"</f>
        <v>164472270632</v>
      </c>
      <c r="L3397" t="str">
        <f t="shared" si="1390"/>
        <v>04-08-2020</v>
      </c>
      <c r="M3397" t="str">
        <f t="shared" si="1390"/>
        <v>04-08-2020</v>
      </c>
      <c r="N3397" t="str">
        <f t="shared" si="1368"/>
        <v>001105018356</v>
      </c>
      <c r="O3397" t="str">
        <f t="shared" si="1369"/>
        <v>MYR</v>
      </c>
      <c r="P3397" t="str">
        <f t="shared" si="1391"/>
        <v>NIL</v>
      </c>
      <c r="Q3397" t="str">
        <f t="shared" si="1391"/>
        <v>NIL</v>
      </c>
      <c r="R3397" t="str">
        <f t="shared" si="1370"/>
        <v>Accepted</v>
      </c>
      <c r="S3397" t="str">
        <f t="shared" si="1371"/>
        <v>Approved</v>
      </c>
      <c r="T3397" t="str">
        <f t="shared" si="1372"/>
        <v>10.20.8.188</v>
      </c>
      <c r="U3397" t="str">
        <f t="shared" si="1373"/>
        <v>AZRAD UMAR BIN SHAARI</v>
      </c>
      <c r="V3397" t="str">
        <f t="shared" si="1374"/>
        <v>FARHANA BINTI MUSTAPA</v>
      </c>
      <c r="W3397" t="str">
        <f t="shared" si="1375"/>
        <v>04-08-2020</v>
      </c>
      <c r="X3397" t="str">
        <f t="shared" si="1376"/>
        <v>RAZIMAH ANSAR AHMAD</v>
      </c>
      <c r="Y3397" t="str">
        <f t="shared" si="1377"/>
        <v>04-08-2020</v>
      </c>
      <c r="Z3397" t="str">
        <f>"COS10200804 5557"</f>
        <v>COS10200804 5557</v>
      </c>
    </row>
    <row r="3398" spans="1:26" x14ac:dyDescent="0.25">
      <c r="A3398" t="str">
        <f t="shared" si="1388"/>
        <v>04-08-2020 12:57:26</v>
      </c>
      <c r="B3398" t="str">
        <f>"0000807545"</f>
        <v>0000807545</v>
      </c>
      <c r="C3398" t="str">
        <f t="shared" si="1389"/>
        <v>0000807389</v>
      </c>
      <c r="D3398" t="str">
        <f t="shared" si="1365"/>
        <v>73185</v>
      </c>
      <c r="E3398" t="str">
        <f t="shared" si="1366"/>
        <v>KFH-OPERATIONS DEPARTMENT</v>
      </c>
      <c r="F3398" t="str">
        <f t="shared" si="1367"/>
        <v>IBG</v>
      </c>
      <c r="G3398" t="str">
        <f t="shared" si="1378"/>
        <v>Refund COSHARE 10</v>
      </c>
      <c r="H3398" s="2">
        <v>125.95</v>
      </c>
      <c r="I3398" t="str">
        <f>"MOHD AZMIR BIN KHAMIS"</f>
        <v>MOHD AZMIR BIN KHAMIS</v>
      </c>
      <c r="J3398" t="str">
        <f t="shared" si="1379"/>
        <v>MAYBANK / MAYBANK ISLAMIC</v>
      </c>
      <c r="K3398" t="str">
        <f>"154017297425"</f>
        <v>154017297425</v>
      </c>
      <c r="L3398" t="str">
        <f t="shared" si="1390"/>
        <v>04-08-2020</v>
      </c>
      <c r="M3398" t="str">
        <f t="shared" si="1390"/>
        <v>04-08-2020</v>
      </c>
      <c r="N3398" t="str">
        <f t="shared" si="1368"/>
        <v>001105018356</v>
      </c>
      <c r="O3398" t="str">
        <f t="shared" si="1369"/>
        <v>MYR</v>
      </c>
      <c r="P3398" t="str">
        <f t="shared" si="1391"/>
        <v>NIL</v>
      </c>
      <c r="Q3398" t="str">
        <f t="shared" si="1391"/>
        <v>NIL</v>
      </c>
      <c r="R3398" t="str">
        <f t="shared" si="1370"/>
        <v>Accepted</v>
      </c>
      <c r="S3398" t="str">
        <f t="shared" si="1371"/>
        <v>Approved</v>
      </c>
      <c r="T3398" t="str">
        <f t="shared" si="1372"/>
        <v>10.20.8.188</v>
      </c>
      <c r="U3398" t="str">
        <f t="shared" si="1373"/>
        <v>AZRAD UMAR BIN SHAARI</v>
      </c>
      <c r="V3398" t="str">
        <f t="shared" si="1374"/>
        <v>FARHANA BINTI MUSTAPA</v>
      </c>
      <c r="W3398" t="str">
        <f t="shared" si="1375"/>
        <v>04-08-2020</v>
      </c>
      <c r="X3398" t="str">
        <f t="shared" si="1376"/>
        <v>RAZIMAH ANSAR AHMAD</v>
      </c>
      <c r="Y3398" t="str">
        <f t="shared" si="1377"/>
        <v>04-08-2020</v>
      </c>
      <c r="Z3398" t="str">
        <f>"COS10200804 5556"</f>
        <v>COS10200804 5556</v>
      </c>
    </row>
    <row r="3399" spans="1:26" x14ac:dyDescent="0.25">
      <c r="A3399" t="str">
        <f t="shared" si="1388"/>
        <v>04-08-2020 12:57:26</v>
      </c>
      <c r="B3399" t="str">
        <f>"0000807544"</f>
        <v>0000807544</v>
      </c>
      <c r="C3399" t="str">
        <f t="shared" si="1389"/>
        <v>0000807389</v>
      </c>
      <c r="D3399" t="str">
        <f t="shared" ref="D3399:D3462" si="1392">"73185"</f>
        <v>73185</v>
      </c>
      <c r="E3399" t="str">
        <f t="shared" ref="E3399:E3462" si="1393">"KFH-OPERATIONS DEPARTMENT"</f>
        <v>KFH-OPERATIONS DEPARTMENT</v>
      </c>
      <c r="F3399" t="str">
        <f t="shared" ref="F3399:F3462" si="1394">"IBG"</f>
        <v>IBG</v>
      </c>
      <c r="G3399" t="str">
        <f t="shared" si="1378"/>
        <v>Refund COSHARE 10</v>
      </c>
      <c r="H3399" s="2">
        <v>361</v>
      </c>
      <c r="I3399" t="str">
        <f>"MOHD AZMIR BIN ABD AZIZ"</f>
        <v>MOHD AZMIR BIN ABD AZIZ</v>
      </c>
      <c r="J3399" t="str">
        <f t="shared" si="1379"/>
        <v>MAYBANK / MAYBANK ISLAMIC</v>
      </c>
      <c r="K3399" t="str">
        <f>"164212290518"</f>
        <v>164212290518</v>
      </c>
      <c r="L3399" t="str">
        <f t="shared" si="1390"/>
        <v>04-08-2020</v>
      </c>
      <c r="M3399" t="str">
        <f t="shared" si="1390"/>
        <v>04-08-2020</v>
      </c>
      <c r="N3399" t="str">
        <f t="shared" ref="N3399:N3462" si="1395">"001105018356"</f>
        <v>001105018356</v>
      </c>
      <c r="O3399" t="str">
        <f t="shared" ref="O3399:O3462" si="1396">"MYR"</f>
        <v>MYR</v>
      </c>
      <c r="P3399" t="str">
        <f t="shared" si="1391"/>
        <v>NIL</v>
      </c>
      <c r="Q3399" t="str">
        <f t="shared" si="1391"/>
        <v>NIL</v>
      </c>
      <c r="R3399" t="str">
        <f t="shared" ref="R3399:R3462" si="1397">"Accepted"</f>
        <v>Accepted</v>
      </c>
      <c r="S3399" t="str">
        <f t="shared" ref="S3399:S3462" si="1398">"Approved"</f>
        <v>Approved</v>
      </c>
      <c r="T3399" t="str">
        <f t="shared" ref="T3399:T3462" si="1399">"10.20.8.188"</f>
        <v>10.20.8.188</v>
      </c>
      <c r="U3399" t="str">
        <f t="shared" ref="U3399:U3462" si="1400">"AZRAD UMAR BIN SHAARI"</f>
        <v>AZRAD UMAR BIN SHAARI</v>
      </c>
      <c r="V3399" t="str">
        <f t="shared" ref="V3399:V3462" si="1401">"FARHANA BINTI MUSTAPA"</f>
        <v>FARHANA BINTI MUSTAPA</v>
      </c>
      <c r="W3399" t="str">
        <f t="shared" ref="W3399:W3462" si="1402">"04-08-2020"</f>
        <v>04-08-2020</v>
      </c>
      <c r="X3399" t="str">
        <f t="shared" ref="X3399:X3462" si="1403">"RAZIMAH ANSAR AHMAD"</f>
        <v>RAZIMAH ANSAR AHMAD</v>
      </c>
      <c r="Y3399" t="str">
        <f t="shared" ref="Y3399:Y3462" si="1404">"04-08-2020"</f>
        <v>04-08-2020</v>
      </c>
      <c r="Z3399" t="str">
        <f>"COS10200804 5555"</f>
        <v>COS10200804 5555</v>
      </c>
    </row>
    <row r="3400" spans="1:26" x14ac:dyDescent="0.25">
      <c r="A3400" t="str">
        <f t="shared" si="1388"/>
        <v>04-08-2020 12:57:26</v>
      </c>
      <c r="B3400" t="str">
        <f>"0000807543"</f>
        <v>0000807543</v>
      </c>
      <c r="C3400" t="str">
        <f t="shared" si="1389"/>
        <v>0000807389</v>
      </c>
      <c r="D3400" t="str">
        <f t="shared" si="1392"/>
        <v>73185</v>
      </c>
      <c r="E3400" t="str">
        <f t="shared" si="1393"/>
        <v>KFH-OPERATIONS DEPARTMENT</v>
      </c>
      <c r="F3400" t="str">
        <f t="shared" si="1394"/>
        <v>IBG</v>
      </c>
      <c r="G3400" t="str">
        <f t="shared" si="1378"/>
        <v>Refund COSHARE 10</v>
      </c>
      <c r="H3400" s="2">
        <v>923.45</v>
      </c>
      <c r="I3400" t="str">
        <f>"MOHD AZMIL HISHAM BIN ABDUL MALEK"</f>
        <v>MOHD AZMIL HISHAM BIN ABDUL MALEK</v>
      </c>
      <c r="J3400" t="str">
        <f t="shared" si="1379"/>
        <v>MAYBANK / MAYBANK ISLAMIC</v>
      </c>
      <c r="K3400" t="str">
        <f>"156094204882"</f>
        <v>156094204882</v>
      </c>
      <c r="L3400" t="str">
        <f t="shared" si="1390"/>
        <v>04-08-2020</v>
      </c>
      <c r="M3400" t="str">
        <f t="shared" si="1390"/>
        <v>04-08-2020</v>
      </c>
      <c r="N3400" t="str">
        <f t="shared" si="1395"/>
        <v>001105018356</v>
      </c>
      <c r="O3400" t="str">
        <f t="shared" si="1396"/>
        <v>MYR</v>
      </c>
      <c r="P3400" t="str">
        <f t="shared" si="1391"/>
        <v>NIL</v>
      </c>
      <c r="Q3400" t="str">
        <f t="shared" si="1391"/>
        <v>NIL</v>
      </c>
      <c r="R3400" t="str">
        <f t="shared" si="1397"/>
        <v>Accepted</v>
      </c>
      <c r="S3400" t="str">
        <f t="shared" si="1398"/>
        <v>Approved</v>
      </c>
      <c r="T3400" t="str">
        <f t="shared" si="1399"/>
        <v>10.20.8.188</v>
      </c>
      <c r="U3400" t="str">
        <f t="shared" si="1400"/>
        <v>AZRAD UMAR BIN SHAARI</v>
      </c>
      <c r="V3400" t="str">
        <f t="shared" si="1401"/>
        <v>FARHANA BINTI MUSTAPA</v>
      </c>
      <c r="W3400" t="str">
        <f t="shared" si="1402"/>
        <v>04-08-2020</v>
      </c>
      <c r="X3400" t="str">
        <f t="shared" si="1403"/>
        <v>RAZIMAH ANSAR AHMAD</v>
      </c>
      <c r="Y3400" t="str">
        <f t="shared" si="1404"/>
        <v>04-08-2020</v>
      </c>
      <c r="Z3400" t="str">
        <f>"COS10200804 5554"</f>
        <v>COS10200804 5554</v>
      </c>
    </row>
    <row r="3401" spans="1:26" x14ac:dyDescent="0.25">
      <c r="A3401" t="str">
        <f t="shared" si="1388"/>
        <v>04-08-2020 12:57:26</v>
      </c>
      <c r="B3401" t="str">
        <f>"0000807542"</f>
        <v>0000807542</v>
      </c>
      <c r="C3401" t="str">
        <f t="shared" si="1389"/>
        <v>0000807389</v>
      </c>
      <c r="D3401" t="str">
        <f t="shared" si="1392"/>
        <v>73185</v>
      </c>
      <c r="E3401" t="str">
        <f t="shared" si="1393"/>
        <v>KFH-OPERATIONS DEPARTMENT</v>
      </c>
      <c r="F3401" t="str">
        <f t="shared" si="1394"/>
        <v>IBG</v>
      </c>
      <c r="G3401" t="str">
        <f t="shared" si="1378"/>
        <v>Refund COSHARE 10</v>
      </c>
      <c r="H3401" s="2">
        <v>911</v>
      </c>
      <c r="I3401" t="str">
        <f>"MOHD AZMI BIN ZAKARIA"</f>
        <v>MOHD AZMI BIN ZAKARIA</v>
      </c>
      <c r="J3401" t="str">
        <f t="shared" si="1379"/>
        <v>MAYBANK / MAYBANK ISLAMIC</v>
      </c>
      <c r="K3401" t="str">
        <f>"162143089687"</f>
        <v>162143089687</v>
      </c>
      <c r="L3401" t="str">
        <f t="shared" si="1390"/>
        <v>04-08-2020</v>
      </c>
      <c r="M3401" t="str">
        <f t="shared" si="1390"/>
        <v>04-08-2020</v>
      </c>
      <c r="N3401" t="str">
        <f t="shared" si="1395"/>
        <v>001105018356</v>
      </c>
      <c r="O3401" t="str">
        <f t="shared" si="1396"/>
        <v>MYR</v>
      </c>
      <c r="P3401" t="str">
        <f t="shared" si="1391"/>
        <v>NIL</v>
      </c>
      <c r="Q3401" t="str">
        <f t="shared" si="1391"/>
        <v>NIL</v>
      </c>
      <c r="R3401" t="str">
        <f t="shared" si="1397"/>
        <v>Accepted</v>
      </c>
      <c r="S3401" t="str">
        <f t="shared" si="1398"/>
        <v>Approved</v>
      </c>
      <c r="T3401" t="str">
        <f t="shared" si="1399"/>
        <v>10.20.8.188</v>
      </c>
      <c r="U3401" t="str">
        <f t="shared" si="1400"/>
        <v>AZRAD UMAR BIN SHAARI</v>
      </c>
      <c r="V3401" t="str">
        <f t="shared" si="1401"/>
        <v>FARHANA BINTI MUSTAPA</v>
      </c>
      <c r="W3401" t="str">
        <f t="shared" si="1402"/>
        <v>04-08-2020</v>
      </c>
      <c r="X3401" t="str">
        <f t="shared" si="1403"/>
        <v>RAZIMAH ANSAR AHMAD</v>
      </c>
      <c r="Y3401" t="str">
        <f t="shared" si="1404"/>
        <v>04-08-2020</v>
      </c>
      <c r="Z3401" t="str">
        <f>"COS10200804 5553"</f>
        <v>COS10200804 5553</v>
      </c>
    </row>
    <row r="3402" spans="1:26" x14ac:dyDescent="0.25">
      <c r="A3402" t="str">
        <f t="shared" si="1388"/>
        <v>04-08-2020 12:57:26</v>
      </c>
      <c r="B3402" t="str">
        <f>"0000807541"</f>
        <v>0000807541</v>
      </c>
      <c r="C3402" t="str">
        <f t="shared" si="1389"/>
        <v>0000807389</v>
      </c>
      <c r="D3402" t="str">
        <f t="shared" si="1392"/>
        <v>73185</v>
      </c>
      <c r="E3402" t="str">
        <f t="shared" si="1393"/>
        <v>KFH-OPERATIONS DEPARTMENT</v>
      </c>
      <c r="F3402" t="str">
        <f t="shared" si="1394"/>
        <v>IBG</v>
      </c>
      <c r="G3402" t="str">
        <f t="shared" si="1378"/>
        <v>Refund COSHARE 10</v>
      </c>
      <c r="H3402" s="2">
        <v>1166.55</v>
      </c>
      <c r="I3402" t="str">
        <f>"MOHD AZMI BIN MAT DAUD"</f>
        <v>MOHD AZMI BIN MAT DAUD</v>
      </c>
      <c r="J3402" t="str">
        <f t="shared" si="1379"/>
        <v>MAYBANK / MAYBANK ISLAMIC</v>
      </c>
      <c r="K3402" t="str">
        <f>"106016630507"</f>
        <v>106016630507</v>
      </c>
      <c r="L3402" t="str">
        <f t="shared" si="1390"/>
        <v>04-08-2020</v>
      </c>
      <c r="M3402" t="str">
        <f t="shared" si="1390"/>
        <v>04-08-2020</v>
      </c>
      <c r="N3402" t="str">
        <f t="shared" si="1395"/>
        <v>001105018356</v>
      </c>
      <c r="O3402" t="str">
        <f t="shared" si="1396"/>
        <v>MYR</v>
      </c>
      <c r="P3402" t="str">
        <f t="shared" si="1391"/>
        <v>NIL</v>
      </c>
      <c r="Q3402" t="str">
        <f t="shared" si="1391"/>
        <v>NIL</v>
      </c>
      <c r="R3402" t="str">
        <f t="shared" si="1397"/>
        <v>Accepted</v>
      </c>
      <c r="S3402" t="str">
        <f t="shared" si="1398"/>
        <v>Approved</v>
      </c>
      <c r="T3402" t="str">
        <f t="shared" si="1399"/>
        <v>10.20.8.188</v>
      </c>
      <c r="U3402" t="str">
        <f t="shared" si="1400"/>
        <v>AZRAD UMAR BIN SHAARI</v>
      </c>
      <c r="V3402" t="str">
        <f t="shared" si="1401"/>
        <v>FARHANA BINTI MUSTAPA</v>
      </c>
      <c r="W3402" t="str">
        <f t="shared" si="1402"/>
        <v>04-08-2020</v>
      </c>
      <c r="X3402" t="str">
        <f t="shared" si="1403"/>
        <v>RAZIMAH ANSAR AHMAD</v>
      </c>
      <c r="Y3402" t="str">
        <f t="shared" si="1404"/>
        <v>04-08-2020</v>
      </c>
      <c r="Z3402" t="str">
        <f>"COS10200804 5552"</f>
        <v>COS10200804 5552</v>
      </c>
    </row>
    <row r="3403" spans="1:26" x14ac:dyDescent="0.25">
      <c r="A3403" t="str">
        <f t="shared" si="1388"/>
        <v>04-08-2020 12:57:26</v>
      </c>
      <c r="B3403" t="str">
        <f>"0000807540"</f>
        <v>0000807540</v>
      </c>
      <c r="C3403" t="str">
        <f t="shared" si="1389"/>
        <v>0000807389</v>
      </c>
      <c r="D3403" t="str">
        <f t="shared" si="1392"/>
        <v>73185</v>
      </c>
      <c r="E3403" t="str">
        <f t="shared" si="1393"/>
        <v>KFH-OPERATIONS DEPARTMENT</v>
      </c>
      <c r="F3403" t="str">
        <f t="shared" si="1394"/>
        <v>IBG</v>
      </c>
      <c r="G3403" t="str">
        <f t="shared" si="1378"/>
        <v>Refund COSHARE 10</v>
      </c>
      <c r="H3403" s="2">
        <v>1166.55</v>
      </c>
      <c r="I3403" t="str">
        <f>"MOHD AZMI BIN MAT DAUD"</f>
        <v>MOHD AZMI BIN MAT DAUD</v>
      </c>
      <c r="J3403" t="str">
        <f t="shared" si="1379"/>
        <v>MAYBANK / MAYBANK ISLAMIC</v>
      </c>
      <c r="K3403" t="str">
        <f>"106016630507"</f>
        <v>106016630507</v>
      </c>
      <c r="L3403" t="str">
        <f t="shared" si="1390"/>
        <v>04-08-2020</v>
      </c>
      <c r="M3403" t="str">
        <f t="shared" si="1390"/>
        <v>04-08-2020</v>
      </c>
      <c r="N3403" t="str">
        <f t="shared" si="1395"/>
        <v>001105018356</v>
      </c>
      <c r="O3403" t="str">
        <f t="shared" si="1396"/>
        <v>MYR</v>
      </c>
      <c r="P3403" t="str">
        <f t="shared" si="1391"/>
        <v>NIL</v>
      </c>
      <c r="Q3403" t="str">
        <f t="shared" si="1391"/>
        <v>NIL</v>
      </c>
      <c r="R3403" t="str">
        <f t="shared" si="1397"/>
        <v>Accepted</v>
      </c>
      <c r="S3403" t="str">
        <f t="shared" si="1398"/>
        <v>Approved</v>
      </c>
      <c r="T3403" t="str">
        <f t="shared" si="1399"/>
        <v>10.20.8.188</v>
      </c>
      <c r="U3403" t="str">
        <f t="shared" si="1400"/>
        <v>AZRAD UMAR BIN SHAARI</v>
      </c>
      <c r="V3403" t="str">
        <f t="shared" si="1401"/>
        <v>FARHANA BINTI MUSTAPA</v>
      </c>
      <c r="W3403" t="str">
        <f t="shared" si="1402"/>
        <v>04-08-2020</v>
      </c>
      <c r="X3403" t="str">
        <f t="shared" si="1403"/>
        <v>RAZIMAH ANSAR AHMAD</v>
      </c>
      <c r="Y3403" t="str">
        <f t="shared" si="1404"/>
        <v>04-08-2020</v>
      </c>
      <c r="Z3403" t="str">
        <f>"COS10200804 5551"</f>
        <v>COS10200804 5551</v>
      </c>
    </row>
    <row r="3404" spans="1:26" x14ac:dyDescent="0.25">
      <c r="A3404" t="str">
        <f t="shared" si="1388"/>
        <v>04-08-2020 12:57:26</v>
      </c>
      <c r="B3404" t="str">
        <f>"0000807539"</f>
        <v>0000807539</v>
      </c>
      <c r="C3404" t="str">
        <f t="shared" si="1389"/>
        <v>0000807389</v>
      </c>
      <c r="D3404" t="str">
        <f t="shared" si="1392"/>
        <v>73185</v>
      </c>
      <c r="E3404" t="str">
        <f t="shared" si="1393"/>
        <v>KFH-OPERATIONS DEPARTMENT</v>
      </c>
      <c r="F3404" t="str">
        <f t="shared" si="1394"/>
        <v>IBG</v>
      </c>
      <c r="G3404" t="str">
        <f t="shared" ref="G3404:G3467" si="1405">"Refund COSHARE 10"</f>
        <v>Refund COSHARE 10</v>
      </c>
      <c r="H3404" s="2">
        <v>83.95</v>
      </c>
      <c r="I3404" t="str">
        <f>"MOHD AZLAN BIN DAUD"</f>
        <v>MOHD AZLAN BIN DAUD</v>
      </c>
      <c r="J3404" t="str">
        <f t="shared" si="1379"/>
        <v>MAYBANK / MAYBANK ISLAMIC</v>
      </c>
      <c r="K3404" t="str">
        <f>"164351056298"</f>
        <v>164351056298</v>
      </c>
      <c r="L3404" t="str">
        <f t="shared" si="1390"/>
        <v>04-08-2020</v>
      </c>
      <c r="M3404" t="str">
        <f t="shared" si="1390"/>
        <v>04-08-2020</v>
      </c>
      <c r="N3404" t="str">
        <f t="shared" si="1395"/>
        <v>001105018356</v>
      </c>
      <c r="O3404" t="str">
        <f t="shared" si="1396"/>
        <v>MYR</v>
      </c>
      <c r="P3404" t="str">
        <f t="shared" si="1391"/>
        <v>NIL</v>
      </c>
      <c r="Q3404" t="str">
        <f t="shared" si="1391"/>
        <v>NIL</v>
      </c>
      <c r="R3404" t="str">
        <f t="shared" si="1397"/>
        <v>Accepted</v>
      </c>
      <c r="S3404" t="str">
        <f t="shared" si="1398"/>
        <v>Approved</v>
      </c>
      <c r="T3404" t="str">
        <f t="shared" si="1399"/>
        <v>10.20.8.188</v>
      </c>
      <c r="U3404" t="str">
        <f t="shared" si="1400"/>
        <v>AZRAD UMAR BIN SHAARI</v>
      </c>
      <c r="V3404" t="str">
        <f t="shared" si="1401"/>
        <v>FARHANA BINTI MUSTAPA</v>
      </c>
      <c r="W3404" t="str">
        <f t="shared" si="1402"/>
        <v>04-08-2020</v>
      </c>
      <c r="X3404" t="str">
        <f t="shared" si="1403"/>
        <v>RAZIMAH ANSAR AHMAD</v>
      </c>
      <c r="Y3404" t="str">
        <f t="shared" si="1404"/>
        <v>04-08-2020</v>
      </c>
      <c r="Z3404" t="str">
        <f>"COS10200804 5550"</f>
        <v>COS10200804 5550</v>
      </c>
    </row>
    <row r="3405" spans="1:26" x14ac:dyDescent="0.25">
      <c r="A3405" t="str">
        <f t="shared" si="1388"/>
        <v>04-08-2020 12:57:26</v>
      </c>
      <c r="B3405" t="str">
        <f>"0000807538"</f>
        <v>0000807538</v>
      </c>
      <c r="C3405" t="str">
        <f t="shared" si="1389"/>
        <v>0000807389</v>
      </c>
      <c r="D3405" t="str">
        <f t="shared" si="1392"/>
        <v>73185</v>
      </c>
      <c r="E3405" t="str">
        <f t="shared" si="1393"/>
        <v>KFH-OPERATIONS DEPARTMENT</v>
      </c>
      <c r="F3405" t="str">
        <f t="shared" si="1394"/>
        <v>IBG</v>
      </c>
      <c r="G3405" t="str">
        <f t="shared" si="1405"/>
        <v>Refund COSHARE 10</v>
      </c>
      <c r="H3405" s="2">
        <v>343.85</v>
      </c>
      <c r="I3405" t="str">
        <f>"MOHD AZLAN BIN AWANG"</f>
        <v>MOHD AZLAN BIN AWANG</v>
      </c>
      <c r="J3405" t="str">
        <f t="shared" si="1379"/>
        <v>MAYBANK / MAYBANK ISLAMIC</v>
      </c>
      <c r="K3405" t="str">
        <f>"105055326688"</f>
        <v>105055326688</v>
      </c>
      <c r="L3405" t="str">
        <f t="shared" si="1390"/>
        <v>04-08-2020</v>
      </c>
      <c r="M3405" t="str">
        <f t="shared" si="1390"/>
        <v>04-08-2020</v>
      </c>
      <c r="N3405" t="str">
        <f t="shared" si="1395"/>
        <v>001105018356</v>
      </c>
      <c r="O3405" t="str">
        <f t="shared" si="1396"/>
        <v>MYR</v>
      </c>
      <c r="P3405" t="str">
        <f t="shared" si="1391"/>
        <v>NIL</v>
      </c>
      <c r="Q3405" t="str">
        <f t="shared" si="1391"/>
        <v>NIL</v>
      </c>
      <c r="R3405" t="str">
        <f t="shared" si="1397"/>
        <v>Accepted</v>
      </c>
      <c r="S3405" t="str">
        <f t="shared" si="1398"/>
        <v>Approved</v>
      </c>
      <c r="T3405" t="str">
        <f t="shared" si="1399"/>
        <v>10.20.8.188</v>
      </c>
      <c r="U3405" t="str">
        <f t="shared" si="1400"/>
        <v>AZRAD UMAR BIN SHAARI</v>
      </c>
      <c r="V3405" t="str">
        <f t="shared" si="1401"/>
        <v>FARHANA BINTI MUSTAPA</v>
      </c>
      <c r="W3405" t="str">
        <f t="shared" si="1402"/>
        <v>04-08-2020</v>
      </c>
      <c r="X3405" t="str">
        <f t="shared" si="1403"/>
        <v>RAZIMAH ANSAR AHMAD</v>
      </c>
      <c r="Y3405" t="str">
        <f t="shared" si="1404"/>
        <v>04-08-2020</v>
      </c>
      <c r="Z3405" t="str">
        <f>"COS10200804 5549"</f>
        <v>COS10200804 5549</v>
      </c>
    </row>
    <row r="3406" spans="1:26" x14ac:dyDescent="0.25">
      <c r="A3406" t="str">
        <f t="shared" si="1388"/>
        <v>04-08-2020 12:57:26</v>
      </c>
      <c r="B3406" t="str">
        <f>"0000807537"</f>
        <v>0000807537</v>
      </c>
      <c r="C3406" t="str">
        <f t="shared" si="1389"/>
        <v>0000807389</v>
      </c>
      <c r="D3406" t="str">
        <f t="shared" si="1392"/>
        <v>73185</v>
      </c>
      <c r="E3406" t="str">
        <f t="shared" si="1393"/>
        <v>KFH-OPERATIONS DEPARTMENT</v>
      </c>
      <c r="F3406" t="str">
        <f t="shared" si="1394"/>
        <v>IBG</v>
      </c>
      <c r="G3406" t="str">
        <f t="shared" si="1405"/>
        <v>Refund COSHARE 10</v>
      </c>
      <c r="H3406" s="2">
        <v>151.15</v>
      </c>
      <c r="I3406" t="str">
        <f>"MOHD AZLAN BIN ABD SHUKOR"</f>
        <v>MOHD AZLAN BIN ABD SHUKOR</v>
      </c>
      <c r="J3406" t="str">
        <f t="shared" si="1379"/>
        <v>MAYBANK / MAYBANK ISLAMIC</v>
      </c>
      <c r="K3406" t="str">
        <f>"151098381159"</f>
        <v>151098381159</v>
      </c>
      <c r="L3406" t="str">
        <f t="shared" si="1390"/>
        <v>04-08-2020</v>
      </c>
      <c r="M3406" t="str">
        <f t="shared" si="1390"/>
        <v>04-08-2020</v>
      </c>
      <c r="N3406" t="str">
        <f t="shared" si="1395"/>
        <v>001105018356</v>
      </c>
      <c r="O3406" t="str">
        <f t="shared" si="1396"/>
        <v>MYR</v>
      </c>
      <c r="P3406" t="str">
        <f t="shared" si="1391"/>
        <v>NIL</v>
      </c>
      <c r="Q3406" t="str">
        <f t="shared" si="1391"/>
        <v>NIL</v>
      </c>
      <c r="R3406" t="str">
        <f t="shared" si="1397"/>
        <v>Accepted</v>
      </c>
      <c r="S3406" t="str">
        <f t="shared" si="1398"/>
        <v>Approved</v>
      </c>
      <c r="T3406" t="str">
        <f t="shared" si="1399"/>
        <v>10.20.8.188</v>
      </c>
      <c r="U3406" t="str">
        <f t="shared" si="1400"/>
        <v>AZRAD UMAR BIN SHAARI</v>
      </c>
      <c r="V3406" t="str">
        <f t="shared" si="1401"/>
        <v>FARHANA BINTI MUSTAPA</v>
      </c>
      <c r="W3406" t="str">
        <f t="shared" si="1402"/>
        <v>04-08-2020</v>
      </c>
      <c r="X3406" t="str">
        <f t="shared" si="1403"/>
        <v>RAZIMAH ANSAR AHMAD</v>
      </c>
      <c r="Y3406" t="str">
        <f t="shared" si="1404"/>
        <v>04-08-2020</v>
      </c>
      <c r="Z3406" t="str">
        <f>"COS10200804 5548"</f>
        <v>COS10200804 5548</v>
      </c>
    </row>
    <row r="3407" spans="1:26" x14ac:dyDescent="0.25">
      <c r="A3407" t="str">
        <f t="shared" si="1388"/>
        <v>04-08-2020 12:57:26</v>
      </c>
      <c r="B3407" t="str">
        <f>"0000807536"</f>
        <v>0000807536</v>
      </c>
      <c r="C3407" t="str">
        <f t="shared" si="1389"/>
        <v>0000807389</v>
      </c>
      <c r="D3407" t="str">
        <f t="shared" si="1392"/>
        <v>73185</v>
      </c>
      <c r="E3407" t="str">
        <f t="shared" si="1393"/>
        <v>KFH-OPERATIONS DEPARTMENT</v>
      </c>
      <c r="F3407" t="str">
        <f t="shared" si="1394"/>
        <v>IBG</v>
      </c>
      <c r="G3407" t="str">
        <f t="shared" si="1405"/>
        <v>Refund COSHARE 10</v>
      </c>
      <c r="H3407" s="2">
        <v>503.7</v>
      </c>
      <c r="I3407" t="str">
        <f>"MOHD AZIZUL HAKIM BIN SHAHBUDIN"</f>
        <v>MOHD AZIZUL HAKIM BIN SHAHBUDIN</v>
      </c>
      <c r="J3407" t="str">
        <f t="shared" si="1379"/>
        <v>MAYBANK / MAYBANK ISLAMIC</v>
      </c>
      <c r="K3407" t="str">
        <f>"114209571493"</f>
        <v>114209571493</v>
      </c>
      <c r="L3407" t="str">
        <f t="shared" ref="L3407:M3426" si="1406">"04-08-2020"</f>
        <v>04-08-2020</v>
      </c>
      <c r="M3407" t="str">
        <f t="shared" si="1406"/>
        <v>04-08-2020</v>
      </c>
      <c r="N3407" t="str">
        <f t="shared" si="1395"/>
        <v>001105018356</v>
      </c>
      <c r="O3407" t="str">
        <f t="shared" si="1396"/>
        <v>MYR</v>
      </c>
      <c r="P3407" t="str">
        <f t="shared" ref="P3407:Q3426" si="1407">"NIL"</f>
        <v>NIL</v>
      </c>
      <c r="Q3407" t="str">
        <f t="shared" si="1407"/>
        <v>NIL</v>
      </c>
      <c r="R3407" t="str">
        <f t="shared" si="1397"/>
        <v>Accepted</v>
      </c>
      <c r="S3407" t="str">
        <f t="shared" si="1398"/>
        <v>Approved</v>
      </c>
      <c r="T3407" t="str">
        <f t="shared" si="1399"/>
        <v>10.20.8.188</v>
      </c>
      <c r="U3407" t="str">
        <f t="shared" si="1400"/>
        <v>AZRAD UMAR BIN SHAARI</v>
      </c>
      <c r="V3407" t="str">
        <f t="shared" si="1401"/>
        <v>FARHANA BINTI MUSTAPA</v>
      </c>
      <c r="W3407" t="str">
        <f t="shared" si="1402"/>
        <v>04-08-2020</v>
      </c>
      <c r="X3407" t="str">
        <f t="shared" si="1403"/>
        <v>RAZIMAH ANSAR AHMAD</v>
      </c>
      <c r="Y3407" t="str">
        <f t="shared" si="1404"/>
        <v>04-08-2020</v>
      </c>
      <c r="Z3407" t="str">
        <f>"COS10200804 5547"</f>
        <v>COS10200804 5547</v>
      </c>
    </row>
    <row r="3408" spans="1:26" x14ac:dyDescent="0.25">
      <c r="A3408" t="str">
        <f t="shared" si="1388"/>
        <v>04-08-2020 12:57:26</v>
      </c>
      <c r="B3408" t="str">
        <f>"0000807535"</f>
        <v>0000807535</v>
      </c>
      <c r="C3408" t="str">
        <f t="shared" si="1389"/>
        <v>0000807389</v>
      </c>
      <c r="D3408" t="str">
        <f t="shared" si="1392"/>
        <v>73185</v>
      </c>
      <c r="E3408" t="str">
        <f t="shared" si="1393"/>
        <v>KFH-OPERATIONS DEPARTMENT</v>
      </c>
      <c r="F3408" t="str">
        <f t="shared" si="1394"/>
        <v>IBG</v>
      </c>
      <c r="G3408" t="str">
        <f t="shared" si="1405"/>
        <v>Refund COSHARE 10</v>
      </c>
      <c r="H3408" s="2">
        <v>419.75</v>
      </c>
      <c r="I3408" t="str">
        <f>"MOHD AZIZUL HAKIM BIN ROSLAN"</f>
        <v>MOHD AZIZUL HAKIM BIN ROSLAN</v>
      </c>
      <c r="J3408" t="str">
        <f t="shared" si="1379"/>
        <v>MAYBANK / MAYBANK ISLAMIC</v>
      </c>
      <c r="K3408" t="str">
        <f>"152040298291"</f>
        <v>152040298291</v>
      </c>
      <c r="L3408" t="str">
        <f t="shared" si="1406"/>
        <v>04-08-2020</v>
      </c>
      <c r="M3408" t="str">
        <f t="shared" si="1406"/>
        <v>04-08-2020</v>
      </c>
      <c r="N3408" t="str">
        <f t="shared" si="1395"/>
        <v>001105018356</v>
      </c>
      <c r="O3408" t="str">
        <f t="shared" si="1396"/>
        <v>MYR</v>
      </c>
      <c r="P3408" t="str">
        <f t="shared" si="1407"/>
        <v>NIL</v>
      </c>
      <c r="Q3408" t="str">
        <f t="shared" si="1407"/>
        <v>NIL</v>
      </c>
      <c r="R3408" t="str">
        <f t="shared" si="1397"/>
        <v>Accepted</v>
      </c>
      <c r="S3408" t="str">
        <f t="shared" si="1398"/>
        <v>Approved</v>
      </c>
      <c r="T3408" t="str">
        <f t="shared" si="1399"/>
        <v>10.20.8.188</v>
      </c>
      <c r="U3408" t="str">
        <f t="shared" si="1400"/>
        <v>AZRAD UMAR BIN SHAARI</v>
      </c>
      <c r="V3408" t="str">
        <f t="shared" si="1401"/>
        <v>FARHANA BINTI MUSTAPA</v>
      </c>
      <c r="W3408" t="str">
        <f t="shared" si="1402"/>
        <v>04-08-2020</v>
      </c>
      <c r="X3408" t="str">
        <f t="shared" si="1403"/>
        <v>RAZIMAH ANSAR AHMAD</v>
      </c>
      <c r="Y3408" t="str">
        <f t="shared" si="1404"/>
        <v>04-08-2020</v>
      </c>
      <c r="Z3408" t="str">
        <f>"COS10200804 5546"</f>
        <v>COS10200804 5546</v>
      </c>
    </row>
    <row r="3409" spans="1:26" x14ac:dyDescent="0.25">
      <c r="A3409" t="str">
        <f t="shared" si="1388"/>
        <v>04-08-2020 12:57:26</v>
      </c>
      <c r="B3409" t="str">
        <f>"0000807534"</f>
        <v>0000807534</v>
      </c>
      <c r="C3409" t="str">
        <f t="shared" si="1389"/>
        <v>0000807389</v>
      </c>
      <c r="D3409" t="str">
        <f t="shared" si="1392"/>
        <v>73185</v>
      </c>
      <c r="E3409" t="str">
        <f t="shared" si="1393"/>
        <v>KFH-OPERATIONS DEPARTMENT</v>
      </c>
      <c r="F3409" t="str">
        <f t="shared" si="1394"/>
        <v>IBG</v>
      </c>
      <c r="G3409" t="str">
        <f t="shared" si="1405"/>
        <v>Refund COSHARE 10</v>
      </c>
      <c r="H3409" s="2">
        <v>159.5</v>
      </c>
      <c r="I3409" t="str">
        <f>"MOHD AZIZUL BIN AZMI"</f>
        <v>MOHD AZIZUL BIN AZMI</v>
      </c>
      <c r="J3409" t="str">
        <f t="shared" ref="J3409:J3472" si="1408">"MAYBANK / MAYBANK ISLAMIC"</f>
        <v>MAYBANK / MAYBANK ISLAMIC</v>
      </c>
      <c r="K3409" t="str">
        <f>"158172814097"</f>
        <v>158172814097</v>
      </c>
      <c r="L3409" t="str">
        <f t="shared" si="1406"/>
        <v>04-08-2020</v>
      </c>
      <c r="M3409" t="str">
        <f t="shared" si="1406"/>
        <v>04-08-2020</v>
      </c>
      <c r="N3409" t="str">
        <f t="shared" si="1395"/>
        <v>001105018356</v>
      </c>
      <c r="O3409" t="str">
        <f t="shared" si="1396"/>
        <v>MYR</v>
      </c>
      <c r="P3409" t="str">
        <f t="shared" si="1407"/>
        <v>NIL</v>
      </c>
      <c r="Q3409" t="str">
        <f t="shared" si="1407"/>
        <v>NIL</v>
      </c>
      <c r="R3409" t="str">
        <f t="shared" si="1397"/>
        <v>Accepted</v>
      </c>
      <c r="S3409" t="str">
        <f t="shared" si="1398"/>
        <v>Approved</v>
      </c>
      <c r="T3409" t="str">
        <f t="shared" si="1399"/>
        <v>10.20.8.188</v>
      </c>
      <c r="U3409" t="str">
        <f t="shared" si="1400"/>
        <v>AZRAD UMAR BIN SHAARI</v>
      </c>
      <c r="V3409" t="str">
        <f t="shared" si="1401"/>
        <v>FARHANA BINTI MUSTAPA</v>
      </c>
      <c r="W3409" t="str">
        <f t="shared" si="1402"/>
        <v>04-08-2020</v>
      </c>
      <c r="X3409" t="str">
        <f t="shared" si="1403"/>
        <v>RAZIMAH ANSAR AHMAD</v>
      </c>
      <c r="Y3409" t="str">
        <f t="shared" si="1404"/>
        <v>04-08-2020</v>
      </c>
      <c r="Z3409" t="str">
        <f>"COS10200804 5545"</f>
        <v>COS10200804 5545</v>
      </c>
    </row>
    <row r="3410" spans="1:26" x14ac:dyDescent="0.25">
      <c r="A3410" t="str">
        <f t="shared" si="1388"/>
        <v>04-08-2020 12:57:26</v>
      </c>
      <c r="B3410" t="str">
        <f>"0000807533"</f>
        <v>0000807533</v>
      </c>
      <c r="C3410" t="str">
        <f t="shared" si="1389"/>
        <v>0000807389</v>
      </c>
      <c r="D3410" t="str">
        <f t="shared" si="1392"/>
        <v>73185</v>
      </c>
      <c r="E3410" t="str">
        <f t="shared" si="1393"/>
        <v>KFH-OPERATIONS DEPARTMENT</v>
      </c>
      <c r="F3410" t="str">
        <f t="shared" si="1394"/>
        <v>IBG</v>
      </c>
      <c r="G3410" t="str">
        <f t="shared" si="1405"/>
        <v>Refund COSHARE 10</v>
      </c>
      <c r="H3410" s="2">
        <v>159.5</v>
      </c>
      <c r="I3410" t="str">
        <f>"MOHD AZIZUL BIN AZMI"</f>
        <v>MOHD AZIZUL BIN AZMI</v>
      </c>
      <c r="J3410" t="str">
        <f t="shared" si="1408"/>
        <v>MAYBANK / MAYBANK ISLAMIC</v>
      </c>
      <c r="K3410" t="str">
        <f>"158172814097"</f>
        <v>158172814097</v>
      </c>
      <c r="L3410" t="str">
        <f t="shared" si="1406"/>
        <v>04-08-2020</v>
      </c>
      <c r="M3410" t="str">
        <f t="shared" si="1406"/>
        <v>04-08-2020</v>
      </c>
      <c r="N3410" t="str">
        <f t="shared" si="1395"/>
        <v>001105018356</v>
      </c>
      <c r="O3410" t="str">
        <f t="shared" si="1396"/>
        <v>MYR</v>
      </c>
      <c r="P3410" t="str">
        <f t="shared" si="1407"/>
        <v>NIL</v>
      </c>
      <c r="Q3410" t="str">
        <f t="shared" si="1407"/>
        <v>NIL</v>
      </c>
      <c r="R3410" t="str">
        <f t="shared" si="1397"/>
        <v>Accepted</v>
      </c>
      <c r="S3410" t="str">
        <f t="shared" si="1398"/>
        <v>Approved</v>
      </c>
      <c r="T3410" t="str">
        <f t="shared" si="1399"/>
        <v>10.20.8.188</v>
      </c>
      <c r="U3410" t="str">
        <f t="shared" si="1400"/>
        <v>AZRAD UMAR BIN SHAARI</v>
      </c>
      <c r="V3410" t="str">
        <f t="shared" si="1401"/>
        <v>FARHANA BINTI MUSTAPA</v>
      </c>
      <c r="W3410" t="str">
        <f t="shared" si="1402"/>
        <v>04-08-2020</v>
      </c>
      <c r="X3410" t="str">
        <f t="shared" si="1403"/>
        <v>RAZIMAH ANSAR AHMAD</v>
      </c>
      <c r="Y3410" t="str">
        <f t="shared" si="1404"/>
        <v>04-08-2020</v>
      </c>
      <c r="Z3410" t="str">
        <f>"COS10200804 5544"</f>
        <v>COS10200804 5544</v>
      </c>
    </row>
    <row r="3411" spans="1:26" x14ac:dyDescent="0.25">
      <c r="A3411" t="str">
        <f t="shared" si="1388"/>
        <v>04-08-2020 12:57:26</v>
      </c>
      <c r="B3411" t="str">
        <f>"0000807532"</f>
        <v>0000807532</v>
      </c>
      <c r="C3411" t="str">
        <f t="shared" si="1389"/>
        <v>0000807389</v>
      </c>
      <c r="D3411" t="str">
        <f t="shared" si="1392"/>
        <v>73185</v>
      </c>
      <c r="E3411" t="str">
        <f t="shared" si="1393"/>
        <v>KFH-OPERATIONS DEPARTMENT</v>
      </c>
      <c r="F3411" t="str">
        <f t="shared" si="1394"/>
        <v>IBG</v>
      </c>
      <c r="G3411" t="str">
        <f t="shared" si="1405"/>
        <v>Refund COSHARE 10</v>
      </c>
      <c r="H3411" s="2">
        <v>503.7</v>
      </c>
      <c r="I3411" t="str">
        <f>"MOHD AZIZAN BIN SAMAN"</f>
        <v>MOHD AZIZAN BIN SAMAN</v>
      </c>
      <c r="J3411" t="str">
        <f t="shared" si="1408"/>
        <v>MAYBANK / MAYBANK ISLAMIC</v>
      </c>
      <c r="K3411" t="str">
        <f>"151294790015"</f>
        <v>151294790015</v>
      </c>
      <c r="L3411" t="str">
        <f t="shared" si="1406"/>
        <v>04-08-2020</v>
      </c>
      <c r="M3411" t="str">
        <f t="shared" si="1406"/>
        <v>04-08-2020</v>
      </c>
      <c r="N3411" t="str">
        <f t="shared" si="1395"/>
        <v>001105018356</v>
      </c>
      <c r="O3411" t="str">
        <f t="shared" si="1396"/>
        <v>MYR</v>
      </c>
      <c r="P3411" t="str">
        <f t="shared" si="1407"/>
        <v>NIL</v>
      </c>
      <c r="Q3411" t="str">
        <f t="shared" si="1407"/>
        <v>NIL</v>
      </c>
      <c r="R3411" t="str">
        <f t="shared" si="1397"/>
        <v>Accepted</v>
      </c>
      <c r="S3411" t="str">
        <f t="shared" si="1398"/>
        <v>Approved</v>
      </c>
      <c r="T3411" t="str">
        <f t="shared" si="1399"/>
        <v>10.20.8.188</v>
      </c>
      <c r="U3411" t="str">
        <f t="shared" si="1400"/>
        <v>AZRAD UMAR BIN SHAARI</v>
      </c>
      <c r="V3411" t="str">
        <f t="shared" si="1401"/>
        <v>FARHANA BINTI MUSTAPA</v>
      </c>
      <c r="W3411" t="str">
        <f t="shared" si="1402"/>
        <v>04-08-2020</v>
      </c>
      <c r="X3411" t="str">
        <f t="shared" si="1403"/>
        <v>RAZIMAH ANSAR AHMAD</v>
      </c>
      <c r="Y3411" t="str">
        <f t="shared" si="1404"/>
        <v>04-08-2020</v>
      </c>
      <c r="Z3411" t="str">
        <f>"COS10200804 5543"</f>
        <v>COS10200804 5543</v>
      </c>
    </row>
    <row r="3412" spans="1:26" x14ac:dyDescent="0.25">
      <c r="A3412" t="str">
        <f t="shared" si="1388"/>
        <v>04-08-2020 12:57:26</v>
      </c>
      <c r="B3412" t="str">
        <f>"0000807531"</f>
        <v>0000807531</v>
      </c>
      <c r="C3412" t="str">
        <f t="shared" si="1389"/>
        <v>0000807389</v>
      </c>
      <c r="D3412" t="str">
        <f t="shared" si="1392"/>
        <v>73185</v>
      </c>
      <c r="E3412" t="str">
        <f t="shared" si="1393"/>
        <v>KFH-OPERATIONS DEPARTMENT</v>
      </c>
      <c r="F3412" t="str">
        <f t="shared" si="1394"/>
        <v>IBG</v>
      </c>
      <c r="G3412" t="str">
        <f t="shared" si="1405"/>
        <v>Refund COSHARE 10</v>
      </c>
      <c r="H3412" s="2">
        <v>380</v>
      </c>
      <c r="I3412" t="str">
        <f>"MOHD AZIZ BIN ABU BAKAR"</f>
        <v>MOHD AZIZ BIN ABU BAKAR</v>
      </c>
      <c r="J3412" t="str">
        <f t="shared" si="1408"/>
        <v>MAYBANK / MAYBANK ISLAMIC</v>
      </c>
      <c r="K3412" t="str">
        <f>"102027689250"</f>
        <v>102027689250</v>
      </c>
      <c r="L3412" t="str">
        <f t="shared" si="1406"/>
        <v>04-08-2020</v>
      </c>
      <c r="M3412" t="str">
        <f t="shared" si="1406"/>
        <v>04-08-2020</v>
      </c>
      <c r="N3412" t="str">
        <f t="shared" si="1395"/>
        <v>001105018356</v>
      </c>
      <c r="O3412" t="str">
        <f t="shared" si="1396"/>
        <v>MYR</v>
      </c>
      <c r="P3412" t="str">
        <f t="shared" si="1407"/>
        <v>NIL</v>
      </c>
      <c r="Q3412" t="str">
        <f t="shared" si="1407"/>
        <v>NIL</v>
      </c>
      <c r="R3412" t="str">
        <f t="shared" si="1397"/>
        <v>Accepted</v>
      </c>
      <c r="S3412" t="str">
        <f t="shared" si="1398"/>
        <v>Approved</v>
      </c>
      <c r="T3412" t="str">
        <f t="shared" si="1399"/>
        <v>10.20.8.188</v>
      </c>
      <c r="U3412" t="str">
        <f t="shared" si="1400"/>
        <v>AZRAD UMAR BIN SHAARI</v>
      </c>
      <c r="V3412" t="str">
        <f t="shared" si="1401"/>
        <v>FARHANA BINTI MUSTAPA</v>
      </c>
      <c r="W3412" t="str">
        <f t="shared" si="1402"/>
        <v>04-08-2020</v>
      </c>
      <c r="X3412" t="str">
        <f t="shared" si="1403"/>
        <v>RAZIMAH ANSAR AHMAD</v>
      </c>
      <c r="Y3412" t="str">
        <f t="shared" si="1404"/>
        <v>04-08-2020</v>
      </c>
      <c r="Z3412" t="str">
        <f>"COS10200804 5542"</f>
        <v>COS10200804 5542</v>
      </c>
    </row>
    <row r="3413" spans="1:26" x14ac:dyDescent="0.25">
      <c r="A3413" t="str">
        <f t="shared" si="1388"/>
        <v>04-08-2020 12:57:26</v>
      </c>
      <c r="B3413" t="str">
        <f>"0000807530"</f>
        <v>0000807530</v>
      </c>
      <c r="C3413" t="str">
        <f t="shared" si="1389"/>
        <v>0000807389</v>
      </c>
      <c r="D3413" t="str">
        <f t="shared" si="1392"/>
        <v>73185</v>
      </c>
      <c r="E3413" t="str">
        <f t="shared" si="1393"/>
        <v>KFH-OPERATIONS DEPARTMENT</v>
      </c>
      <c r="F3413" t="str">
        <f t="shared" si="1394"/>
        <v>IBG</v>
      </c>
      <c r="G3413" t="str">
        <f t="shared" si="1405"/>
        <v>Refund COSHARE 10</v>
      </c>
      <c r="H3413" s="2">
        <v>277.05</v>
      </c>
      <c r="I3413" t="str">
        <f>"MOHD AZHARI BIN OTHMAN"</f>
        <v>MOHD AZHARI BIN OTHMAN</v>
      </c>
      <c r="J3413" t="str">
        <f t="shared" si="1408"/>
        <v>MAYBANK / MAYBANK ISLAMIC</v>
      </c>
      <c r="K3413" t="str">
        <f>"151463018614"</f>
        <v>151463018614</v>
      </c>
      <c r="L3413" t="str">
        <f t="shared" si="1406"/>
        <v>04-08-2020</v>
      </c>
      <c r="M3413" t="str">
        <f t="shared" si="1406"/>
        <v>04-08-2020</v>
      </c>
      <c r="N3413" t="str">
        <f t="shared" si="1395"/>
        <v>001105018356</v>
      </c>
      <c r="O3413" t="str">
        <f t="shared" si="1396"/>
        <v>MYR</v>
      </c>
      <c r="P3413" t="str">
        <f t="shared" si="1407"/>
        <v>NIL</v>
      </c>
      <c r="Q3413" t="str">
        <f t="shared" si="1407"/>
        <v>NIL</v>
      </c>
      <c r="R3413" t="str">
        <f t="shared" si="1397"/>
        <v>Accepted</v>
      </c>
      <c r="S3413" t="str">
        <f t="shared" si="1398"/>
        <v>Approved</v>
      </c>
      <c r="T3413" t="str">
        <f t="shared" si="1399"/>
        <v>10.20.8.188</v>
      </c>
      <c r="U3413" t="str">
        <f t="shared" si="1400"/>
        <v>AZRAD UMAR BIN SHAARI</v>
      </c>
      <c r="V3413" t="str">
        <f t="shared" si="1401"/>
        <v>FARHANA BINTI MUSTAPA</v>
      </c>
      <c r="W3413" t="str">
        <f t="shared" si="1402"/>
        <v>04-08-2020</v>
      </c>
      <c r="X3413" t="str">
        <f t="shared" si="1403"/>
        <v>RAZIMAH ANSAR AHMAD</v>
      </c>
      <c r="Y3413" t="str">
        <f t="shared" si="1404"/>
        <v>04-08-2020</v>
      </c>
      <c r="Z3413" t="str">
        <f>"COS10200804 5541"</f>
        <v>COS10200804 5541</v>
      </c>
    </row>
    <row r="3414" spans="1:26" x14ac:dyDescent="0.25">
      <c r="A3414" t="str">
        <f t="shared" si="1388"/>
        <v>04-08-2020 12:57:26</v>
      </c>
      <c r="B3414" t="str">
        <f>"0000807529"</f>
        <v>0000807529</v>
      </c>
      <c r="C3414" t="str">
        <f t="shared" si="1389"/>
        <v>0000807389</v>
      </c>
      <c r="D3414" t="str">
        <f t="shared" si="1392"/>
        <v>73185</v>
      </c>
      <c r="E3414" t="str">
        <f t="shared" si="1393"/>
        <v>KFH-OPERATIONS DEPARTMENT</v>
      </c>
      <c r="F3414" t="str">
        <f t="shared" si="1394"/>
        <v>IBG</v>
      </c>
      <c r="G3414" t="str">
        <f t="shared" si="1405"/>
        <v>Refund COSHARE 10</v>
      </c>
      <c r="H3414" s="2">
        <v>321.2</v>
      </c>
      <c r="I3414" t="str">
        <f>"MOHD AZHAR BIN IDRIS"</f>
        <v>MOHD AZHAR BIN IDRIS</v>
      </c>
      <c r="J3414" t="str">
        <f t="shared" si="1408"/>
        <v>MAYBANK / MAYBANK ISLAMIC</v>
      </c>
      <c r="K3414" t="str">
        <f>"154044725765"</f>
        <v>154044725765</v>
      </c>
      <c r="L3414" t="str">
        <f t="shared" si="1406"/>
        <v>04-08-2020</v>
      </c>
      <c r="M3414" t="str">
        <f t="shared" si="1406"/>
        <v>04-08-2020</v>
      </c>
      <c r="N3414" t="str">
        <f t="shared" si="1395"/>
        <v>001105018356</v>
      </c>
      <c r="O3414" t="str">
        <f t="shared" si="1396"/>
        <v>MYR</v>
      </c>
      <c r="P3414" t="str">
        <f t="shared" si="1407"/>
        <v>NIL</v>
      </c>
      <c r="Q3414" t="str">
        <f t="shared" si="1407"/>
        <v>NIL</v>
      </c>
      <c r="R3414" t="str">
        <f t="shared" si="1397"/>
        <v>Accepted</v>
      </c>
      <c r="S3414" t="str">
        <f t="shared" si="1398"/>
        <v>Approved</v>
      </c>
      <c r="T3414" t="str">
        <f t="shared" si="1399"/>
        <v>10.20.8.188</v>
      </c>
      <c r="U3414" t="str">
        <f t="shared" si="1400"/>
        <v>AZRAD UMAR BIN SHAARI</v>
      </c>
      <c r="V3414" t="str">
        <f t="shared" si="1401"/>
        <v>FARHANA BINTI MUSTAPA</v>
      </c>
      <c r="W3414" t="str">
        <f t="shared" si="1402"/>
        <v>04-08-2020</v>
      </c>
      <c r="X3414" t="str">
        <f t="shared" si="1403"/>
        <v>RAZIMAH ANSAR AHMAD</v>
      </c>
      <c r="Y3414" t="str">
        <f t="shared" si="1404"/>
        <v>04-08-2020</v>
      </c>
      <c r="Z3414" t="str">
        <f>"COS10200804 5540"</f>
        <v>COS10200804 5540</v>
      </c>
    </row>
    <row r="3415" spans="1:26" x14ac:dyDescent="0.25">
      <c r="A3415" t="str">
        <f t="shared" si="1388"/>
        <v>04-08-2020 12:57:26</v>
      </c>
      <c r="B3415" t="str">
        <f>"0000807528"</f>
        <v>0000807528</v>
      </c>
      <c r="C3415" t="str">
        <f t="shared" si="1389"/>
        <v>0000807389</v>
      </c>
      <c r="D3415" t="str">
        <f t="shared" si="1392"/>
        <v>73185</v>
      </c>
      <c r="E3415" t="str">
        <f t="shared" si="1393"/>
        <v>KFH-OPERATIONS DEPARTMENT</v>
      </c>
      <c r="F3415" t="str">
        <f t="shared" si="1394"/>
        <v>IBG</v>
      </c>
      <c r="G3415" t="str">
        <f t="shared" si="1405"/>
        <v>Refund COSHARE 10</v>
      </c>
      <c r="H3415" s="2">
        <v>1138</v>
      </c>
      <c r="I3415" t="str">
        <f>"MOHD AZHAR BIN HARUN"</f>
        <v>MOHD AZHAR BIN HARUN</v>
      </c>
      <c r="J3415" t="str">
        <f t="shared" si="1408"/>
        <v>MAYBANK / MAYBANK ISLAMIC</v>
      </c>
      <c r="K3415" t="str">
        <f>"164726039415"</f>
        <v>164726039415</v>
      </c>
      <c r="L3415" t="str">
        <f t="shared" si="1406"/>
        <v>04-08-2020</v>
      </c>
      <c r="M3415" t="str">
        <f t="shared" si="1406"/>
        <v>04-08-2020</v>
      </c>
      <c r="N3415" t="str">
        <f t="shared" si="1395"/>
        <v>001105018356</v>
      </c>
      <c r="O3415" t="str">
        <f t="shared" si="1396"/>
        <v>MYR</v>
      </c>
      <c r="P3415" t="str">
        <f t="shared" si="1407"/>
        <v>NIL</v>
      </c>
      <c r="Q3415" t="str">
        <f t="shared" si="1407"/>
        <v>NIL</v>
      </c>
      <c r="R3415" t="str">
        <f t="shared" si="1397"/>
        <v>Accepted</v>
      </c>
      <c r="S3415" t="str">
        <f t="shared" si="1398"/>
        <v>Approved</v>
      </c>
      <c r="T3415" t="str">
        <f t="shared" si="1399"/>
        <v>10.20.8.188</v>
      </c>
      <c r="U3415" t="str">
        <f t="shared" si="1400"/>
        <v>AZRAD UMAR BIN SHAARI</v>
      </c>
      <c r="V3415" t="str">
        <f t="shared" si="1401"/>
        <v>FARHANA BINTI MUSTAPA</v>
      </c>
      <c r="W3415" t="str">
        <f t="shared" si="1402"/>
        <v>04-08-2020</v>
      </c>
      <c r="X3415" t="str">
        <f t="shared" si="1403"/>
        <v>RAZIMAH ANSAR AHMAD</v>
      </c>
      <c r="Y3415" t="str">
        <f t="shared" si="1404"/>
        <v>04-08-2020</v>
      </c>
      <c r="Z3415" t="str">
        <f>"COS10200804 5539"</f>
        <v>COS10200804 5539</v>
      </c>
    </row>
    <row r="3416" spans="1:26" x14ac:dyDescent="0.25">
      <c r="A3416" t="str">
        <f t="shared" si="1388"/>
        <v>04-08-2020 12:57:26</v>
      </c>
      <c r="B3416" t="str">
        <f>"0000807527"</f>
        <v>0000807527</v>
      </c>
      <c r="C3416" t="str">
        <f t="shared" si="1389"/>
        <v>0000807389</v>
      </c>
      <c r="D3416" t="str">
        <f t="shared" si="1392"/>
        <v>73185</v>
      </c>
      <c r="E3416" t="str">
        <f t="shared" si="1393"/>
        <v>KFH-OPERATIONS DEPARTMENT</v>
      </c>
      <c r="F3416" t="str">
        <f t="shared" si="1394"/>
        <v>IBG</v>
      </c>
      <c r="G3416" t="str">
        <f t="shared" si="1405"/>
        <v>Refund COSHARE 10</v>
      </c>
      <c r="H3416" s="2">
        <v>545.70000000000005</v>
      </c>
      <c r="I3416" t="str">
        <f>"MOHD AZEMIN BIN ABD LATIF"</f>
        <v>MOHD AZEMIN BIN ABD LATIF</v>
      </c>
      <c r="J3416" t="str">
        <f t="shared" si="1408"/>
        <v>MAYBANK / MAYBANK ISLAMIC</v>
      </c>
      <c r="K3416" t="str">
        <f>"158172920242"</f>
        <v>158172920242</v>
      </c>
      <c r="L3416" t="str">
        <f t="shared" si="1406"/>
        <v>04-08-2020</v>
      </c>
      <c r="M3416" t="str">
        <f t="shared" si="1406"/>
        <v>04-08-2020</v>
      </c>
      <c r="N3416" t="str">
        <f t="shared" si="1395"/>
        <v>001105018356</v>
      </c>
      <c r="O3416" t="str">
        <f t="shared" si="1396"/>
        <v>MYR</v>
      </c>
      <c r="P3416" t="str">
        <f t="shared" si="1407"/>
        <v>NIL</v>
      </c>
      <c r="Q3416" t="str">
        <f t="shared" si="1407"/>
        <v>NIL</v>
      </c>
      <c r="R3416" t="str">
        <f t="shared" si="1397"/>
        <v>Accepted</v>
      </c>
      <c r="S3416" t="str">
        <f t="shared" si="1398"/>
        <v>Approved</v>
      </c>
      <c r="T3416" t="str">
        <f t="shared" si="1399"/>
        <v>10.20.8.188</v>
      </c>
      <c r="U3416" t="str">
        <f t="shared" si="1400"/>
        <v>AZRAD UMAR BIN SHAARI</v>
      </c>
      <c r="V3416" t="str">
        <f t="shared" si="1401"/>
        <v>FARHANA BINTI MUSTAPA</v>
      </c>
      <c r="W3416" t="str">
        <f t="shared" si="1402"/>
        <v>04-08-2020</v>
      </c>
      <c r="X3416" t="str">
        <f t="shared" si="1403"/>
        <v>RAZIMAH ANSAR AHMAD</v>
      </c>
      <c r="Y3416" t="str">
        <f t="shared" si="1404"/>
        <v>04-08-2020</v>
      </c>
      <c r="Z3416" t="str">
        <f>"COS10200804 5538"</f>
        <v>COS10200804 5538</v>
      </c>
    </row>
    <row r="3417" spans="1:26" x14ac:dyDescent="0.25">
      <c r="A3417" t="str">
        <f t="shared" si="1388"/>
        <v>04-08-2020 12:57:26</v>
      </c>
      <c r="B3417" t="str">
        <f>"0000807526"</f>
        <v>0000807526</v>
      </c>
      <c r="C3417" t="str">
        <f t="shared" si="1389"/>
        <v>0000807389</v>
      </c>
      <c r="D3417" t="str">
        <f t="shared" si="1392"/>
        <v>73185</v>
      </c>
      <c r="E3417" t="str">
        <f t="shared" si="1393"/>
        <v>KFH-OPERATIONS DEPARTMENT</v>
      </c>
      <c r="F3417" t="str">
        <f t="shared" si="1394"/>
        <v>IBG</v>
      </c>
      <c r="G3417" t="str">
        <f t="shared" si="1405"/>
        <v>Refund COSHARE 10</v>
      </c>
      <c r="H3417" s="2">
        <v>1512</v>
      </c>
      <c r="I3417" t="str">
        <f>"MOHD AZAM BIN MD ZAIN"</f>
        <v>MOHD AZAM BIN MD ZAIN</v>
      </c>
      <c r="J3417" t="str">
        <f t="shared" si="1408"/>
        <v>MAYBANK / MAYBANK ISLAMIC</v>
      </c>
      <c r="K3417" t="str">
        <f>"101075862815"</f>
        <v>101075862815</v>
      </c>
      <c r="L3417" t="str">
        <f t="shared" si="1406"/>
        <v>04-08-2020</v>
      </c>
      <c r="M3417" t="str">
        <f t="shared" si="1406"/>
        <v>04-08-2020</v>
      </c>
      <c r="N3417" t="str">
        <f t="shared" si="1395"/>
        <v>001105018356</v>
      </c>
      <c r="O3417" t="str">
        <f t="shared" si="1396"/>
        <v>MYR</v>
      </c>
      <c r="P3417" t="str">
        <f t="shared" si="1407"/>
        <v>NIL</v>
      </c>
      <c r="Q3417" t="str">
        <f t="shared" si="1407"/>
        <v>NIL</v>
      </c>
      <c r="R3417" t="str">
        <f t="shared" si="1397"/>
        <v>Accepted</v>
      </c>
      <c r="S3417" t="str">
        <f t="shared" si="1398"/>
        <v>Approved</v>
      </c>
      <c r="T3417" t="str">
        <f t="shared" si="1399"/>
        <v>10.20.8.188</v>
      </c>
      <c r="U3417" t="str">
        <f t="shared" si="1400"/>
        <v>AZRAD UMAR BIN SHAARI</v>
      </c>
      <c r="V3417" t="str">
        <f t="shared" si="1401"/>
        <v>FARHANA BINTI MUSTAPA</v>
      </c>
      <c r="W3417" t="str">
        <f t="shared" si="1402"/>
        <v>04-08-2020</v>
      </c>
      <c r="X3417" t="str">
        <f t="shared" si="1403"/>
        <v>RAZIMAH ANSAR AHMAD</v>
      </c>
      <c r="Y3417" t="str">
        <f t="shared" si="1404"/>
        <v>04-08-2020</v>
      </c>
      <c r="Z3417" t="str">
        <f>"COS10200804 5537"</f>
        <v>COS10200804 5537</v>
      </c>
    </row>
    <row r="3418" spans="1:26" x14ac:dyDescent="0.25">
      <c r="A3418" t="str">
        <f t="shared" ref="A3418:A3449" si="1409">"04-08-2020 12:57:26"</f>
        <v>04-08-2020 12:57:26</v>
      </c>
      <c r="B3418" t="str">
        <f>"0000807525"</f>
        <v>0000807525</v>
      </c>
      <c r="C3418" t="str">
        <f t="shared" ref="C3418:C3449" si="1410">"0000807389"</f>
        <v>0000807389</v>
      </c>
      <c r="D3418" t="str">
        <f t="shared" si="1392"/>
        <v>73185</v>
      </c>
      <c r="E3418" t="str">
        <f t="shared" si="1393"/>
        <v>KFH-OPERATIONS DEPARTMENT</v>
      </c>
      <c r="F3418" t="str">
        <f t="shared" si="1394"/>
        <v>IBG</v>
      </c>
      <c r="G3418" t="str">
        <f t="shared" si="1405"/>
        <v>Refund COSHARE 10</v>
      </c>
      <c r="H3418" s="2">
        <v>713.6</v>
      </c>
      <c r="I3418" t="str">
        <f>"MOHD AZAHAM BIN AB RAHMAN"</f>
        <v>MOHD AZAHAM BIN AB RAHMAN</v>
      </c>
      <c r="J3418" t="str">
        <f t="shared" si="1408"/>
        <v>MAYBANK / MAYBANK ISLAMIC</v>
      </c>
      <c r="K3418" t="str">
        <f>"164324309501"</f>
        <v>164324309501</v>
      </c>
      <c r="L3418" t="str">
        <f t="shared" si="1406"/>
        <v>04-08-2020</v>
      </c>
      <c r="M3418" t="str">
        <f t="shared" si="1406"/>
        <v>04-08-2020</v>
      </c>
      <c r="N3418" t="str">
        <f t="shared" si="1395"/>
        <v>001105018356</v>
      </c>
      <c r="O3418" t="str">
        <f t="shared" si="1396"/>
        <v>MYR</v>
      </c>
      <c r="P3418" t="str">
        <f t="shared" si="1407"/>
        <v>NIL</v>
      </c>
      <c r="Q3418" t="str">
        <f t="shared" si="1407"/>
        <v>NIL</v>
      </c>
      <c r="R3418" t="str">
        <f t="shared" si="1397"/>
        <v>Accepted</v>
      </c>
      <c r="S3418" t="str">
        <f t="shared" si="1398"/>
        <v>Approved</v>
      </c>
      <c r="T3418" t="str">
        <f t="shared" si="1399"/>
        <v>10.20.8.188</v>
      </c>
      <c r="U3418" t="str">
        <f t="shared" si="1400"/>
        <v>AZRAD UMAR BIN SHAARI</v>
      </c>
      <c r="V3418" t="str">
        <f t="shared" si="1401"/>
        <v>FARHANA BINTI MUSTAPA</v>
      </c>
      <c r="W3418" t="str">
        <f t="shared" si="1402"/>
        <v>04-08-2020</v>
      </c>
      <c r="X3418" t="str">
        <f t="shared" si="1403"/>
        <v>RAZIMAH ANSAR AHMAD</v>
      </c>
      <c r="Y3418" t="str">
        <f t="shared" si="1404"/>
        <v>04-08-2020</v>
      </c>
      <c r="Z3418" t="str">
        <f>"COS10200804 5536"</f>
        <v>COS10200804 5536</v>
      </c>
    </row>
    <row r="3419" spans="1:26" x14ac:dyDescent="0.25">
      <c r="A3419" t="str">
        <f t="shared" si="1409"/>
        <v>04-08-2020 12:57:26</v>
      </c>
      <c r="B3419" t="str">
        <f>"0000807524"</f>
        <v>0000807524</v>
      </c>
      <c r="C3419" t="str">
        <f t="shared" si="1410"/>
        <v>0000807389</v>
      </c>
      <c r="D3419" t="str">
        <f t="shared" si="1392"/>
        <v>73185</v>
      </c>
      <c r="E3419" t="str">
        <f t="shared" si="1393"/>
        <v>KFH-OPERATIONS DEPARTMENT</v>
      </c>
      <c r="F3419" t="str">
        <f t="shared" si="1394"/>
        <v>IBG</v>
      </c>
      <c r="G3419" t="str">
        <f t="shared" si="1405"/>
        <v>Refund COSHARE 10</v>
      </c>
      <c r="H3419" s="2">
        <v>167.9</v>
      </c>
      <c r="I3419" t="str">
        <f>"MOHD AZAHAM BIN AB RAHMAN"</f>
        <v>MOHD AZAHAM BIN AB RAHMAN</v>
      </c>
      <c r="J3419" t="str">
        <f t="shared" si="1408"/>
        <v>MAYBANK / MAYBANK ISLAMIC</v>
      </c>
      <c r="K3419" t="str">
        <f>"164324309501"</f>
        <v>164324309501</v>
      </c>
      <c r="L3419" t="str">
        <f t="shared" si="1406"/>
        <v>04-08-2020</v>
      </c>
      <c r="M3419" t="str">
        <f t="shared" si="1406"/>
        <v>04-08-2020</v>
      </c>
      <c r="N3419" t="str">
        <f t="shared" si="1395"/>
        <v>001105018356</v>
      </c>
      <c r="O3419" t="str">
        <f t="shared" si="1396"/>
        <v>MYR</v>
      </c>
      <c r="P3419" t="str">
        <f t="shared" si="1407"/>
        <v>NIL</v>
      </c>
      <c r="Q3419" t="str">
        <f t="shared" si="1407"/>
        <v>NIL</v>
      </c>
      <c r="R3419" t="str">
        <f t="shared" si="1397"/>
        <v>Accepted</v>
      </c>
      <c r="S3419" t="str">
        <f t="shared" si="1398"/>
        <v>Approved</v>
      </c>
      <c r="T3419" t="str">
        <f t="shared" si="1399"/>
        <v>10.20.8.188</v>
      </c>
      <c r="U3419" t="str">
        <f t="shared" si="1400"/>
        <v>AZRAD UMAR BIN SHAARI</v>
      </c>
      <c r="V3419" t="str">
        <f t="shared" si="1401"/>
        <v>FARHANA BINTI MUSTAPA</v>
      </c>
      <c r="W3419" t="str">
        <f t="shared" si="1402"/>
        <v>04-08-2020</v>
      </c>
      <c r="X3419" t="str">
        <f t="shared" si="1403"/>
        <v>RAZIMAH ANSAR AHMAD</v>
      </c>
      <c r="Y3419" t="str">
        <f t="shared" si="1404"/>
        <v>04-08-2020</v>
      </c>
      <c r="Z3419" t="str">
        <f>"COS10200804 5535"</f>
        <v>COS10200804 5535</v>
      </c>
    </row>
    <row r="3420" spans="1:26" x14ac:dyDescent="0.25">
      <c r="A3420" t="str">
        <f t="shared" si="1409"/>
        <v>04-08-2020 12:57:26</v>
      </c>
      <c r="B3420" t="str">
        <f>"0000807523"</f>
        <v>0000807523</v>
      </c>
      <c r="C3420" t="str">
        <f t="shared" si="1410"/>
        <v>0000807389</v>
      </c>
      <c r="D3420" t="str">
        <f t="shared" si="1392"/>
        <v>73185</v>
      </c>
      <c r="E3420" t="str">
        <f t="shared" si="1393"/>
        <v>KFH-OPERATIONS DEPARTMENT</v>
      </c>
      <c r="F3420" t="str">
        <f t="shared" si="1394"/>
        <v>IBG</v>
      </c>
      <c r="G3420" t="str">
        <f t="shared" si="1405"/>
        <v>Refund COSHARE 10</v>
      </c>
      <c r="H3420" s="2">
        <v>501.7</v>
      </c>
      <c r="I3420" t="str">
        <f>"MOHD AWI BIN SEMAN"</f>
        <v>MOHD AWI BIN SEMAN</v>
      </c>
      <c r="J3420" t="str">
        <f t="shared" si="1408"/>
        <v>MAYBANK / MAYBANK ISLAMIC</v>
      </c>
      <c r="K3420" t="str">
        <f>"156114173160"</f>
        <v>156114173160</v>
      </c>
      <c r="L3420" t="str">
        <f t="shared" si="1406"/>
        <v>04-08-2020</v>
      </c>
      <c r="M3420" t="str">
        <f t="shared" si="1406"/>
        <v>04-08-2020</v>
      </c>
      <c r="N3420" t="str">
        <f t="shared" si="1395"/>
        <v>001105018356</v>
      </c>
      <c r="O3420" t="str">
        <f t="shared" si="1396"/>
        <v>MYR</v>
      </c>
      <c r="P3420" t="str">
        <f t="shared" si="1407"/>
        <v>NIL</v>
      </c>
      <c r="Q3420" t="str">
        <f t="shared" si="1407"/>
        <v>NIL</v>
      </c>
      <c r="R3420" t="str">
        <f t="shared" si="1397"/>
        <v>Accepted</v>
      </c>
      <c r="S3420" t="str">
        <f t="shared" si="1398"/>
        <v>Approved</v>
      </c>
      <c r="T3420" t="str">
        <f t="shared" si="1399"/>
        <v>10.20.8.188</v>
      </c>
      <c r="U3420" t="str">
        <f t="shared" si="1400"/>
        <v>AZRAD UMAR BIN SHAARI</v>
      </c>
      <c r="V3420" t="str">
        <f t="shared" si="1401"/>
        <v>FARHANA BINTI MUSTAPA</v>
      </c>
      <c r="W3420" t="str">
        <f t="shared" si="1402"/>
        <v>04-08-2020</v>
      </c>
      <c r="X3420" t="str">
        <f t="shared" si="1403"/>
        <v>RAZIMAH ANSAR AHMAD</v>
      </c>
      <c r="Y3420" t="str">
        <f t="shared" si="1404"/>
        <v>04-08-2020</v>
      </c>
      <c r="Z3420" t="str">
        <f>"COS10200804 5534"</f>
        <v>COS10200804 5534</v>
      </c>
    </row>
    <row r="3421" spans="1:26" x14ac:dyDescent="0.25">
      <c r="A3421" t="str">
        <f t="shared" si="1409"/>
        <v>04-08-2020 12:57:26</v>
      </c>
      <c r="B3421" t="str">
        <f>"0000807522"</f>
        <v>0000807522</v>
      </c>
      <c r="C3421" t="str">
        <f t="shared" si="1410"/>
        <v>0000807389</v>
      </c>
      <c r="D3421" t="str">
        <f t="shared" si="1392"/>
        <v>73185</v>
      </c>
      <c r="E3421" t="str">
        <f t="shared" si="1393"/>
        <v>KFH-OPERATIONS DEPARTMENT</v>
      </c>
      <c r="F3421" t="str">
        <f t="shared" si="1394"/>
        <v>IBG</v>
      </c>
      <c r="G3421" t="str">
        <f t="shared" si="1405"/>
        <v>Refund COSHARE 10</v>
      </c>
      <c r="H3421" s="2">
        <v>1490.2</v>
      </c>
      <c r="I3421" t="str">
        <f>"MOHD ASRI BIN YAMIN"</f>
        <v>MOHD ASRI BIN YAMIN</v>
      </c>
      <c r="J3421" t="str">
        <f t="shared" si="1408"/>
        <v>MAYBANK / MAYBANK ISLAMIC</v>
      </c>
      <c r="K3421" t="str">
        <f>"162740250591"</f>
        <v>162740250591</v>
      </c>
      <c r="L3421" t="str">
        <f t="shared" si="1406"/>
        <v>04-08-2020</v>
      </c>
      <c r="M3421" t="str">
        <f t="shared" si="1406"/>
        <v>04-08-2020</v>
      </c>
      <c r="N3421" t="str">
        <f t="shared" si="1395"/>
        <v>001105018356</v>
      </c>
      <c r="O3421" t="str">
        <f t="shared" si="1396"/>
        <v>MYR</v>
      </c>
      <c r="P3421" t="str">
        <f t="shared" si="1407"/>
        <v>NIL</v>
      </c>
      <c r="Q3421" t="str">
        <f t="shared" si="1407"/>
        <v>NIL</v>
      </c>
      <c r="R3421" t="str">
        <f t="shared" si="1397"/>
        <v>Accepted</v>
      </c>
      <c r="S3421" t="str">
        <f t="shared" si="1398"/>
        <v>Approved</v>
      </c>
      <c r="T3421" t="str">
        <f t="shared" si="1399"/>
        <v>10.20.8.188</v>
      </c>
      <c r="U3421" t="str">
        <f t="shared" si="1400"/>
        <v>AZRAD UMAR BIN SHAARI</v>
      </c>
      <c r="V3421" t="str">
        <f t="shared" si="1401"/>
        <v>FARHANA BINTI MUSTAPA</v>
      </c>
      <c r="W3421" t="str">
        <f t="shared" si="1402"/>
        <v>04-08-2020</v>
      </c>
      <c r="X3421" t="str">
        <f t="shared" si="1403"/>
        <v>RAZIMAH ANSAR AHMAD</v>
      </c>
      <c r="Y3421" t="str">
        <f t="shared" si="1404"/>
        <v>04-08-2020</v>
      </c>
      <c r="Z3421" t="str">
        <f>"COS10200804 5533"</f>
        <v>COS10200804 5533</v>
      </c>
    </row>
    <row r="3422" spans="1:26" x14ac:dyDescent="0.25">
      <c r="A3422" t="str">
        <f t="shared" si="1409"/>
        <v>04-08-2020 12:57:26</v>
      </c>
      <c r="B3422" t="str">
        <f>"0000807521"</f>
        <v>0000807521</v>
      </c>
      <c r="C3422" t="str">
        <f t="shared" si="1410"/>
        <v>0000807389</v>
      </c>
      <c r="D3422" t="str">
        <f t="shared" si="1392"/>
        <v>73185</v>
      </c>
      <c r="E3422" t="str">
        <f t="shared" si="1393"/>
        <v>KFH-OPERATIONS DEPARTMENT</v>
      </c>
      <c r="F3422" t="str">
        <f t="shared" si="1394"/>
        <v>IBG</v>
      </c>
      <c r="G3422" t="str">
        <f t="shared" si="1405"/>
        <v>Refund COSHARE 10</v>
      </c>
      <c r="H3422" s="2">
        <v>1178.8</v>
      </c>
      <c r="I3422" t="str">
        <f>"MOHD ASRI BIN MOHAMED ALI"</f>
        <v>MOHD ASRI BIN MOHAMED ALI</v>
      </c>
      <c r="J3422" t="str">
        <f t="shared" si="1408"/>
        <v>MAYBANK / MAYBANK ISLAMIC</v>
      </c>
      <c r="K3422" t="str">
        <f>"162142001021"</f>
        <v>162142001021</v>
      </c>
      <c r="L3422" t="str">
        <f t="shared" si="1406"/>
        <v>04-08-2020</v>
      </c>
      <c r="M3422" t="str">
        <f t="shared" si="1406"/>
        <v>04-08-2020</v>
      </c>
      <c r="N3422" t="str">
        <f t="shared" si="1395"/>
        <v>001105018356</v>
      </c>
      <c r="O3422" t="str">
        <f t="shared" si="1396"/>
        <v>MYR</v>
      </c>
      <c r="P3422" t="str">
        <f t="shared" si="1407"/>
        <v>NIL</v>
      </c>
      <c r="Q3422" t="str">
        <f t="shared" si="1407"/>
        <v>NIL</v>
      </c>
      <c r="R3422" t="str">
        <f t="shared" si="1397"/>
        <v>Accepted</v>
      </c>
      <c r="S3422" t="str">
        <f t="shared" si="1398"/>
        <v>Approved</v>
      </c>
      <c r="T3422" t="str">
        <f t="shared" si="1399"/>
        <v>10.20.8.188</v>
      </c>
      <c r="U3422" t="str">
        <f t="shared" si="1400"/>
        <v>AZRAD UMAR BIN SHAARI</v>
      </c>
      <c r="V3422" t="str">
        <f t="shared" si="1401"/>
        <v>FARHANA BINTI MUSTAPA</v>
      </c>
      <c r="W3422" t="str">
        <f t="shared" si="1402"/>
        <v>04-08-2020</v>
      </c>
      <c r="X3422" t="str">
        <f t="shared" si="1403"/>
        <v>RAZIMAH ANSAR AHMAD</v>
      </c>
      <c r="Y3422" t="str">
        <f t="shared" si="1404"/>
        <v>04-08-2020</v>
      </c>
      <c r="Z3422" t="str">
        <f>"COS10200804 5532"</f>
        <v>COS10200804 5532</v>
      </c>
    </row>
    <row r="3423" spans="1:26" x14ac:dyDescent="0.25">
      <c r="A3423" t="str">
        <f t="shared" si="1409"/>
        <v>04-08-2020 12:57:26</v>
      </c>
      <c r="B3423" t="str">
        <f>"0000807520"</f>
        <v>0000807520</v>
      </c>
      <c r="C3423" t="str">
        <f t="shared" si="1410"/>
        <v>0000807389</v>
      </c>
      <c r="D3423" t="str">
        <f t="shared" si="1392"/>
        <v>73185</v>
      </c>
      <c r="E3423" t="str">
        <f t="shared" si="1393"/>
        <v>KFH-OPERATIONS DEPARTMENT</v>
      </c>
      <c r="F3423" t="str">
        <f t="shared" si="1394"/>
        <v>IBG</v>
      </c>
      <c r="G3423" t="str">
        <f t="shared" si="1405"/>
        <v>Refund COSHARE 10</v>
      </c>
      <c r="H3423" s="2">
        <v>54.9</v>
      </c>
      <c r="I3423" t="str">
        <f>"MOHD ASRI BIN MAT YEH"</f>
        <v>MOHD ASRI BIN MAT YEH</v>
      </c>
      <c r="J3423" t="str">
        <f t="shared" si="1408"/>
        <v>MAYBANK / MAYBANK ISLAMIC</v>
      </c>
      <c r="K3423" t="str">
        <f>"153010972132"</f>
        <v>153010972132</v>
      </c>
      <c r="L3423" t="str">
        <f t="shared" si="1406"/>
        <v>04-08-2020</v>
      </c>
      <c r="M3423" t="str">
        <f t="shared" si="1406"/>
        <v>04-08-2020</v>
      </c>
      <c r="N3423" t="str">
        <f t="shared" si="1395"/>
        <v>001105018356</v>
      </c>
      <c r="O3423" t="str">
        <f t="shared" si="1396"/>
        <v>MYR</v>
      </c>
      <c r="P3423" t="str">
        <f t="shared" si="1407"/>
        <v>NIL</v>
      </c>
      <c r="Q3423" t="str">
        <f t="shared" si="1407"/>
        <v>NIL</v>
      </c>
      <c r="R3423" t="str">
        <f t="shared" si="1397"/>
        <v>Accepted</v>
      </c>
      <c r="S3423" t="str">
        <f t="shared" si="1398"/>
        <v>Approved</v>
      </c>
      <c r="T3423" t="str">
        <f t="shared" si="1399"/>
        <v>10.20.8.188</v>
      </c>
      <c r="U3423" t="str">
        <f t="shared" si="1400"/>
        <v>AZRAD UMAR BIN SHAARI</v>
      </c>
      <c r="V3423" t="str">
        <f t="shared" si="1401"/>
        <v>FARHANA BINTI MUSTAPA</v>
      </c>
      <c r="W3423" t="str">
        <f t="shared" si="1402"/>
        <v>04-08-2020</v>
      </c>
      <c r="X3423" t="str">
        <f t="shared" si="1403"/>
        <v>RAZIMAH ANSAR AHMAD</v>
      </c>
      <c r="Y3423" t="str">
        <f t="shared" si="1404"/>
        <v>04-08-2020</v>
      </c>
      <c r="Z3423" t="str">
        <f>"COS10200804 5531"</f>
        <v>COS10200804 5531</v>
      </c>
    </row>
    <row r="3424" spans="1:26" x14ac:dyDescent="0.25">
      <c r="A3424" t="str">
        <f t="shared" si="1409"/>
        <v>04-08-2020 12:57:26</v>
      </c>
      <c r="B3424" t="str">
        <f>"0000807519"</f>
        <v>0000807519</v>
      </c>
      <c r="C3424" t="str">
        <f t="shared" si="1410"/>
        <v>0000807389</v>
      </c>
      <c r="D3424" t="str">
        <f t="shared" si="1392"/>
        <v>73185</v>
      </c>
      <c r="E3424" t="str">
        <f t="shared" si="1393"/>
        <v>KFH-OPERATIONS DEPARTMENT</v>
      </c>
      <c r="F3424" t="str">
        <f t="shared" si="1394"/>
        <v>IBG</v>
      </c>
      <c r="G3424" t="str">
        <f t="shared" si="1405"/>
        <v>Refund COSHARE 10</v>
      </c>
      <c r="H3424" s="2">
        <v>797.55</v>
      </c>
      <c r="I3424" t="str">
        <f>"MOHD ASRI BIN IBRAHIM"</f>
        <v>MOHD ASRI BIN IBRAHIM</v>
      </c>
      <c r="J3424" t="str">
        <f t="shared" si="1408"/>
        <v>MAYBANK / MAYBANK ISLAMIC</v>
      </c>
      <c r="K3424" t="str">
        <f>"156114182235"</f>
        <v>156114182235</v>
      </c>
      <c r="L3424" t="str">
        <f t="shared" si="1406"/>
        <v>04-08-2020</v>
      </c>
      <c r="M3424" t="str">
        <f t="shared" si="1406"/>
        <v>04-08-2020</v>
      </c>
      <c r="N3424" t="str">
        <f t="shared" si="1395"/>
        <v>001105018356</v>
      </c>
      <c r="O3424" t="str">
        <f t="shared" si="1396"/>
        <v>MYR</v>
      </c>
      <c r="P3424" t="str">
        <f t="shared" si="1407"/>
        <v>NIL</v>
      </c>
      <c r="Q3424" t="str">
        <f t="shared" si="1407"/>
        <v>NIL</v>
      </c>
      <c r="R3424" t="str">
        <f t="shared" si="1397"/>
        <v>Accepted</v>
      </c>
      <c r="S3424" t="str">
        <f t="shared" si="1398"/>
        <v>Approved</v>
      </c>
      <c r="T3424" t="str">
        <f t="shared" si="1399"/>
        <v>10.20.8.188</v>
      </c>
      <c r="U3424" t="str">
        <f t="shared" si="1400"/>
        <v>AZRAD UMAR BIN SHAARI</v>
      </c>
      <c r="V3424" t="str">
        <f t="shared" si="1401"/>
        <v>FARHANA BINTI MUSTAPA</v>
      </c>
      <c r="W3424" t="str">
        <f t="shared" si="1402"/>
        <v>04-08-2020</v>
      </c>
      <c r="X3424" t="str">
        <f t="shared" si="1403"/>
        <v>RAZIMAH ANSAR AHMAD</v>
      </c>
      <c r="Y3424" t="str">
        <f t="shared" si="1404"/>
        <v>04-08-2020</v>
      </c>
      <c r="Z3424" t="str">
        <f>"COS10200804 5530"</f>
        <v>COS10200804 5530</v>
      </c>
    </row>
    <row r="3425" spans="1:26" x14ac:dyDescent="0.25">
      <c r="A3425" t="str">
        <f t="shared" si="1409"/>
        <v>04-08-2020 12:57:26</v>
      </c>
      <c r="B3425" t="str">
        <f>"0000807518"</f>
        <v>0000807518</v>
      </c>
      <c r="C3425" t="str">
        <f t="shared" si="1410"/>
        <v>0000807389</v>
      </c>
      <c r="D3425" t="str">
        <f t="shared" si="1392"/>
        <v>73185</v>
      </c>
      <c r="E3425" t="str">
        <f t="shared" si="1393"/>
        <v>KFH-OPERATIONS DEPARTMENT</v>
      </c>
      <c r="F3425" t="str">
        <f t="shared" si="1394"/>
        <v>IBG</v>
      </c>
      <c r="G3425" t="str">
        <f t="shared" si="1405"/>
        <v>Refund COSHARE 10</v>
      </c>
      <c r="H3425" s="2">
        <v>1008</v>
      </c>
      <c r="I3425" t="str">
        <f>"MOHD ASRI BIN DARI"</f>
        <v>MOHD ASRI BIN DARI</v>
      </c>
      <c r="J3425" t="str">
        <f t="shared" si="1408"/>
        <v>MAYBANK / MAYBANK ISLAMIC</v>
      </c>
      <c r="K3425" t="str">
        <f>"112344231882"</f>
        <v>112344231882</v>
      </c>
      <c r="L3425" t="str">
        <f t="shared" si="1406"/>
        <v>04-08-2020</v>
      </c>
      <c r="M3425" t="str">
        <f t="shared" si="1406"/>
        <v>04-08-2020</v>
      </c>
      <c r="N3425" t="str">
        <f t="shared" si="1395"/>
        <v>001105018356</v>
      </c>
      <c r="O3425" t="str">
        <f t="shared" si="1396"/>
        <v>MYR</v>
      </c>
      <c r="P3425" t="str">
        <f t="shared" si="1407"/>
        <v>NIL</v>
      </c>
      <c r="Q3425" t="str">
        <f t="shared" si="1407"/>
        <v>NIL</v>
      </c>
      <c r="R3425" t="str">
        <f t="shared" si="1397"/>
        <v>Accepted</v>
      </c>
      <c r="S3425" t="str">
        <f t="shared" si="1398"/>
        <v>Approved</v>
      </c>
      <c r="T3425" t="str">
        <f t="shared" si="1399"/>
        <v>10.20.8.188</v>
      </c>
      <c r="U3425" t="str">
        <f t="shared" si="1400"/>
        <v>AZRAD UMAR BIN SHAARI</v>
      </c>
      <c r="V3425" t="str">
        <f t="shared" si="1401"/>
        <v>FARHANA BINTI MUSTAPA</v>
      </c>
      <c r="W3425" t="str">
        <f t="shared" si="1402"/>
        <v>04-08-2020</v>
      </c>
      <c r="X3425" t="str">
        <f t="shared" si="1403"/>
        <v>RAZIMAH ANSAR AHMAD</v>
      </c>
      <c r="Y3425" t="str">
        <f t="shared" si="1404"/>
        <v>04-08-2020</v>
      </c>
      <c r="Z3425" t="str">
        <f>"COS10200804 5529"</f>
        <v>COS10200804 5529</v>
      </c>
    </row>
    <row r="3426" spans="1:26" x14ac:dyDescent="0.25">
      <c r="A3426" t="str">
        <f t="shared" si="1409"/>
        <v>04-08-2020 12:57:26</v>
      </c>
      <c r="B3426" t="str">
        <f>"0000807517"</f>
        <v>0000807517</v>
      </c>
      <c r="C3426" t="str">
        <f t="shared" si="1410"/>
        <v>0000807389</v>
      </c>
      <c r="D3426" t="str">
        <f t="shared" si="1392"/>
        <v>73185</v>
      </c>
      <c r="E3426" t="str">
        <f t="shared" si="1393"/>
        <v>KFH-OPERATIONS DEPARTMENT</v>
      </c>
      <c r="F3426" t="str">
        <f t="shared" si="1394"/>
        <v>IBG</v>
      </c>
      <c r="G3426" t="str">
        <f t="shared" si="1405"/>
        <v>Refund COSHARE 10</v>
      </c>
      <c r="H3426" s="2">
        <v>612.85</v>
      </c>
      <c r="I3426" t="str">
        <f>"MOHD ASRI BIN BUANG"</f>
        <v>MOHD ASRI BIN BUANG</v>
      </c>
      <c r="J3426" t="str">
        <f t="shared" si="1408"/>
        <v>MAYBANK / MAYBANK ISLAMIC</v>
      </c>
      <c r="K3426" t="str">
        <f>"151584055790"</f>
        <v>151584055790</v>
      </c>
      <c r="L3426" t="str">
        <f t="shared" si="1406"/>
        <v>04-08-2020</v>
      </c>
      <c r="M3426" t="str">
        <f t="shared" si="1406"/>
        <v>04-08-2020</v>
      </c>
      <c r="N3426" t="str">
        <f t="shared" si="1395"/>
        <v>001105018356</v>
      </c>
      <c r="O3426" t="str">
        <f t="shared" si="1396"/>
        <v>MYR</v>
      </c>
      <c r="P3426" t="str">
        <f t="shared" si="1407"/>
        <v>NIL</v>
      </c>
      <c r="Q3426" t="str">
        <f t="shared" si="1407"/>
        <v>NIL</v>
      </c>
      <c r="R3426" t="str">
        <f t="shared" si="1397"/>
        <v>Accepted</v>
      </c>
      <c r="S3426" t="str">
        <f t="shared" si="1398"/>
        <v>Approved</v>
      </c>
      <c r="T3426" t="str">
        <f t="shared" si="1399"/>
        <v>10.20.8.188</v>
      </c>
      <c r="U3426" t="str">
        <f t="shared" si="1400"/>
        <v>AZRAD UMAR BIN SHAARI</v>
      </c>
      <c r="V3426" t="str">
        <f t="shared" si="1401"/>
        <v>FARHANA BINTI MUSTAPA</v>
      </c>
      <c r="W3426" t="str">
        <f t="shared" si="1402"/>
        <v>04-08-2020</v>
      </c>
      <c r="X3426" t="str">
        <f t="shared" si="1403"/>
        <v>RAZIMAH ANSAR AHMAD</v>
      </c>
      <c r="Y3426" t="str">
        <f t="shared" si="1404"/>
        <v>04-08-2020</v>
      </c>
      <c r="Z3426" t="str">
        <f>"COS10200804 5528"</f>
        <v>COS10200804 5528</v>
      </c>
    </row>
    <row r="3427" spans="1:26" x14ac:dyDescent="0.25">
      <c r="A3427" t="str">
        <f t="shared" si="1409"/>
        <v>04-08-2020 12:57:26</v>
      </c>
      <c r="B3427" t="str">
        <f>"0000807516"</f>
        <v>0000807516</v>
      </c>
      <c r="C3427" t="str">
        <f t="shared" si="1410"/>
        <v>0000807389</v>
      </c>
      <c r="D3427" t="str">
        <f t="shared" si="1392"/>
        <v>73185</v>
      </c>
      <c r="E3427" t="str">
        <f t="shared" si="1393"/>
        <v>KFH-OPERATIONS DEPARTMENT</v>
      </c>
      <c r="F3427" t="str">
        <f t="shared" si="1394"/>
        <v>IBG</v>
      </c>
      <c r="G3427" t="str">
        <f t="shared" si="1405"/>
        <v>Refund COSHARE 10</v>
      </c>
      <c r="H3427" s="2">
        <v>831.1</v>
      </c>
      <c r="I3427" t="str">
        <f>"MOHD ASMADI BIN SHAARI"</f>
        <v>MOHD ASMADI BIN SHAARI</v>
      </c>
      <c r="J3427" t="str">
        <f t="shared" si="1408"/>
        <v>MAYBANK / MAYBANK ISLAMIC</v>
      </c>
      <c r="K3427" t="str">
        <f>"112026789808"</f>
        <v>112026789808</v>
      </c>
      <c r="L3427" t="str">
        <f t="shared" ref="L3427:M3446" si="1411">"04-08-2020"</f>
        <v>04-08-2020</v>
      </c>
      <c r="M3427" t="str">
        <f t="shared" si="1411"/>
        <v>04-08-2020</v>
      </c>
      <c r="N3427" t="str">
        <f t="shared" si="1395"/>
        <v>001105018356</v>
      </c>
      <c r="O3427" t="str">
        <f t="shared" si="1396"/>
        <v>MYR</v>
      </c>
      <c r="P3427" t="str">
        <f t="shared" ref="P3427:Q3446" si="1412">"NIL"</f>
        <v>NIL</v>
      </c>
      <c r="Q3427" t="str">
        <f t="shared" si="1412"/>
        <v>NIL</v>
      </c>
      <c r="R3427" t="str">
        <f t="shared" si="1397"/>
        <v>Accepted</v>
      </c>
      <c r="S3427" t="str">
        <f t="shared" si="1398"/>
        <v>Approved</v>
      </c>
      <c r="T3427" t="str">
        <f t="shared" si="1399"/>
        <v>10.20.8.188</v>
      </c>
      <c r="U3427" t="str">
        <f t="shared" si="1400"/>
        <v>AZRAD UMAR BIN SHAARI</v>
      </c>
      <c r="V3427" t="str">
        <f t="shared" si="1401"/>
        <v>FARHANA BINTI MUSTAPA</v>
      </c>
      <c r="W3427" t="str">
        <f t="shared" si="1402"/>
        <v>04-08-2020</v>
      </c>
      <c r="X3427" t="str">
        <f t="shared" si="1403"/>
        <v>RAZIMAH ANSAR AHMAD</v>
      </c>
      <c r="Y3427" t="str">
        <f t="shared" si="1404"/>
        <v>04-08-2020</v>
      </c>
      <c r="Z3427" t="str">
        <f>"COS10200804 5527"</f>
        <v>COS10200804 5527</v>
      </c>
    </row>
    <row r="3428" spans="1:26" x14ac:dyDescent="0.25">
      <c r="A3428" t="str">
        <f t="shared" si="1409"/>
        <v>04-08-2020 12:57:26</v>
      </c>
      <c r="B3428" t="str">
        <f>"0000807515"</f>
        <v>0000807515</v>
      </c>
      <c r="C3428" t="str">
        <f t="shared" si="1410"/>
        <v>0000807389</v>
      </c>
      <c r="D3428" t="str">
        <f t="shared" si="1392"/>
        <v>73185</v>
      </c>
      <c r="E3428" t="str">
        <f t="shared" si="1393"/>
        <v>KFH-OPERATIONS DEPARTMENT</v>
      </c>
      <c r="F3428" t="str">
        <f t="shared" si="1394"/>
        <v>IBG</v>
      </c>
      <c r="G3428" t="str">
        <f t="shared" si="1405"/>
        <v>Refund COSHARE 10</v>
      </c>
      <c r="H3428" s="2">
        <v>569.75</v>
      </c>
      <c r="I3428" t="str">
        <f>"MOHD ASHRAF BIN MOHD NOOR"</f>
        <v>MOHD ASHRAF BIN MOHD NOOR</v>
      </c>
      <c r="J3428" t="str">
        <f t="shared" si="1408"/>
        <v>MAYBANK / MAYBANK ISLAMIC</v>
      </c>
      <c r="K3428" t="str">
        <f>"166010057826"</f>
        <v>166010057826</v>
      </c>
      <c r="L3428" t="str">
        <f t="shared" si="1411"/>
        <v>04-08-2020</v>
      </c>
      <c r="M3428" t="str">
        <f t="shared" si="1411"/>
        <v>04-08-2020</v>
      </c>
      <c r="N3428" t="str">
        <f t="shared" si="1395"/>
        <v>001105018356</v>
      </c>
      <c r="O3428" t="str">
        <f t="shared" si="1396"/>
        <v>MYR</v>
      </c>
      <c r="P3428" t="str">
        <f t="shared" si="1412"/>
        <v>NIL</v>
      </c>
      <c r="Q3428" t="str">
        <f t="shared" si="1412"/>
        <v>NIL</v>
      </c>
      <c r="R3428" t="str">
        <f t="shared" si="1397"/>
        <v>Accepted</v>
      </c>
      <c r="S3428" t="str">
        <f t="shared" si="1398"/>
        <v>Approved</v>
      </c>
      <c r="T3428" t="str">
        <f t="shared" si="1399"/>
        <v>10.20.8.188</v>
      </c>
      <c r="U3428" t="str">
        <f t="shared" si="1400"/>
        <v>AZRAD UMAR BIN SHAARI</v>
      </c>
      <c r="V3428" t="str">
        <f t="shared" si="1401"/>
        <v>FARHANA BINTI MUSTAPA</v>
      </c>
      <c r="W3428" t="str">
        <f t="shared" si="1402"/>
        <v>04-08-2020</v>
      </c>
      <c r="X3428" t="str">
        <f t="shared" si="1403"/>
        <v>RAZIMAH ANSAR AHMAD</v>
      </c>
      <c r="Y3428" t="str">
        <f t="shared" si="1404"/>
        <v>04-08-2020</v>
      </c>
      <c r="Z3428" t="str">
        <f>"COS10200804 5526"</f>
        <v>COS10200804 5526</v>
      </c>
    </row>
    <row r="3429" spans="1:26" x14ac:dyDescent="0.25">
      <c r="A3429" t="str">
        <f t="shared" si="1409"/>
        <v>04-08-2020 12:57:26</v>
      </c>
      <c r="B3429" t="str">
        <f>"0000807514"</f>
        <v>0000807514</v>
      </c>
      <c r="C3429" t="str">
        <f t="shared" si="1410"/>
        <v>0000807389</v>
      </c>
      <c r="D3429" t="str">
        <f t="shared" si="1392"/>
        <v>73185</v>
      </c>
      <c r="E3429" t="str">
        <f t="shared" si="1393"/>
        <v>KFH-OPERATIONS DEPARTMENT</v>
      </c>
      <c r="F3429" t="str">
        <f t="shared" si="1394"/>
        <v>IBG</v>
      </c>
      <c r="G3429" t="str">
        <f t="shared" si="1405"/>
        <v>Refund COSHARE 10</v>
      </c>
      <c r="H3429" s="2">
        <v>755.55</v>
      </c>
      <c r="I3429" t="str">
        <f>"MOHD ARIZAL BIN AB AZIZ"</f>
        <v>MOHD ARIZAL BIN AB AZIZ</v>
      </c>
      <c r="J3429" t="str">
        <f t="shared" si="1408"/>
        <v>MAYBANK / MAYBANK ISLAMIC</v>
      </c>
      <c r="K3429" t="str">
        <f>"101133244885"</f>
        <v>101133244885</v>
      </c>
      <c r="L3429" t="str">
        <f t="shared" si="1411"/>
        <v>04-08-2020</v>
      </c>
      <c r="M3429" t="str">
        <f t="shared" si="1411"/>
        <v>04-08-2020</v>
      </c>
      <c r="N3429" t="str">
        <f t="shared" si="1395"/>
        <v>001105018356</v>
      </c>
      <c r="O3429" t="str">
        <f t="shared" si="1396"/>
        <v>MYR</v>
      </c>
      <c r="P3429" t="str">
        <f t="shared" si="1412"/>
        <v>NIL</v>
      </c>
      <c r="Q3429" t="str">
        <f t="shared" si="1412"/>
        <v>NIL</v>
      </c>
      <c r="R3429" t="str">
        <f t="shared" si="1397"/>
        <v>Accepted</v>
      </c>
      <c r="S3429" t="str">
        <f t="shared" si="1398"/>
        <v>Approved</v>
      </c>
      <c r="T3429" t="str">
        <f t="shared" si="1399"/>
        <v>10.20.8.188</v>
      </c>
      <c r="U3429" t="str">
        <f t="shared" si="1400"/>
        <v>AZRAD UMAR BIN SHAARI</v>
      </c>
      <c r="V3429" t="str">
        <f t="shared" si="1401"/>
        <v>FARHANA BINTI MUSTAPA</v>
      </c>
      <c r="W3429" t="str">
        <f t="shared" si="1402"/>
        <v>04-08-2020</v>
      </c>
      <c r="X3429" t="str">
        <f t="shared" si="1403"/>
        <v>RAZIMAH ANSAR AHMAD</v>
      </c>
      <c r="Y3429" t="str">
        <f t="shared" si="1404"/>
        <v>04-08-2020</v>
      </c>
      <c r="Z3429" t="str">
        <f>"COS10200804 5525"</f>
        <v>COS10200804 5525</v>
      </c>
    </row>
    <row r="3430" spans="1:26" x14ac:dyDescent="0.25">
      <c r="A3430" t="str">
        <f t="shared" si="1409"/>
        <v>04-08-2020 12:57:26</v>
      </c>
      <c r="B3430" t="str">
        <f>"0000807513"</f>
        <v>0000807513</v>
      </c>
      <c r="C3430" t="str">
        <f t="shared" si="1410"/>
        <v>0000807389</v>
      </c>
      <c r="D3430" t="str">
        <f t="shared" si="1392"/>
        <v>73185</v>
      </c>
      <c r="E3430" t="str">
        <f t="shared" si="1393"/>
        <v>KFH-OPERATIONS DEPARTMENT</v>
      </c>
      <c r="F3430" t="str">
        <f t="shared" si="1394"/>
        <v>IBG</v>
      </c>
      <c r="G3430" t="str">
        <f t="shared" si="1405"/>
        <v>Refund COSHARE 10</v>
      </c>
      <c r="H3430" s="2">
        <v>92.35</v>
      </c>
      <c r="I3430" t="str">
        <f>"MOHD ARIZAL BIN AB AZIZ"</f>
        <v>MOHD ARIZAL BIN AB AZIZ</v>
      </c>
      <c r="J3430" t="str">
        <f t="shared" si="1408"/>
        <v>MAYBANK / MAYBANK ISLAMIC</v>
      </c>
      <c r="K3430" t="str">
        <f>"101133244885"</f>
        <v>101133244885</v>
      </c>
      <c r="L3430" t="str">
        <f t="shared" si="1411"/>
        <v>04-08-2020</v>
      </c>
      <c r="M3430" t="str">
        <f t="shared" si="1411"/>
        <v>04-08-2020</v>
      </c>
      <c r="N3430" t="str">
        <f t="shared" si="1395"/>
        <v>001105018356</v>
      </c>
      <c r="O3430" t="str">
        <f t="shared" si="1396"/>
        <v>MYR</v>
      </c>
      <c r="P3430" t="str">
        <f t="shared" si="1412"/>
        <v>NIL</v>
      </c>
      <c r="Q3430" t="str">
        <f t="shared" si="1412"/>
        <v>NIL</v>
      </c>
      <c r="R3430" t="str">
        <f t="shared" si="1397"/>
        <v>Accepted</v>
      </c>
      <c r="S3430" t="str">
        <f t="shared" si="1398"/>
        <v>Approved</v>
      </c>
      <c r="T3430" t="str">
        <f t="shared" si="1399"/>
        <v>10.20.8.188</v>
      </c>
      <c r="U3430" t="str">
        <f t="shared" si="1400"/>
        <v>AZRAD UMAR BIN SHAARI</v>
      </c>
      <c r="V3430" t="str">
        <f t="shared" si="1401"/>
        <v>FARHANA BINTI MUSTAPA</v>
      </c>
      <c r="W3430" t="str">
        <f t="shared" si="1402"/>
        <v>04-08-2020</v>
      </c>
      <c r="X3430" t="str">
        <f t="shared" si="1403"/>
        <v>RAZIMAH ANSAR AHMAD</v>
      </c>
      <c r="Y3430" t="str">
        <f t="shared" si="1404"/>
        <v>04-08-2020</v>
      </c>
      <c r="Z3430" t="str">
        <f>"COS10200804 5524"</f>
        <v>COS10200804 5524</v>
      </c>
    </row>
    <row r="3431" spans="1:26" x14ac:dyDescent="0.25">
      <c r="A3431" t="str">
        <f t="shared" si="1409"/>
        <v>04-08-2020 12:57:26</v>
      </c>
      <c r="B3431" t="str">
        <f>"0000807512"</f>
        <v>0000807512</v>
      </c>
      <c r="C3431" t="str">
        <f t="shared" si="1410"/>
        <v>0000807389</v>
      </c>
      <c r="D3431" t="str">
        <f t="shared" si="1392"/>
        <v>73185</v>
      </c>
      <c r="E3431" t="str">
        <f t="shared" si="1393"/>
        <v>KFH-OPERATIONS DEPARTMENT</v>
      </c>
      <c r="F3431" t="str">
        <f t="shared" si="1394"/>
        <v>IBG</v>
      </c>
      <c r="G3431" t="str">
        <f t="shared" si="1405"/>
        <v>Refund COSHARE 10</v>
      </c>
      <c r="H3431" s="2">
        <v>537.29999999999995</v>
      </c>
      <c r="I3431" t="str">
        <f>"MOHD ARIFFIN BIN MOHAMAD SOKHER"</f>
        <v>MOHD ARIFFIN BIN MOHAMAD SOKHER</v>
      </c>
      <c r="J3431" t="str">
        <f t="shared" si="1408"/>
        <v>MAYBANK / MAYBANK ISLAMIC</v>
      </c>
      <c r="K3431" t="str">
        <f>"154101173911"</f>
        <v>154101173911</v>
      </c>
      <c r="L3431" t="str">
        <f t="shared" si="1411"/>
        <v>04-08-2020</v>
      </c>
      <c r="M3431" t="str">
        <f t="shared" si="1411"/>
        <v>04-08-2020</v>
      </c>
      <c r="N3431" t="str">
        <f t="shared" si="1395"/>
        <v>001105018356</v>
      </c>
      <c r="O3431" t="str">
        <f t="shared" si="1396"/>
        <v>MYR</v>
      </c>
      <c r="P3431" t="str">
        <f t="shared" si="1412"/>
        <v>NIL</v>
      </c>
      <c r="Q3431" t="str">
        <f t="shared" si="1412"/>
        <v>NIL</v>
      </c>
      <c r="R3431" t="str">
        <f t="shared" si="1397"/>
        <v>Accepted</v>
      </c>
      <c r="S3431" t="str">
        <f t="shared" si="1398"/>
        <v>Approved</v>
      </c>
      <c r="T3431" t="str">
        <f t="shared" si="1399"/>
        <v>10.20.8.188</v>
      </c>
      <c r="U3431" t="str">
        <f t="shared" si="1400"/>
        <v>AZRAD UMAR BIN SHAARI</v>
      </c>
      <c r="V3431" t="str">
        <f t="shared" si="1401"/>
        <v>FARHANA BINTI MUSTAPA</v>
      </c>
      <c r="W3431" t="str">
        <f t="shared" si="1402"/>
        <v>04-08-2020</v>
      </c>
      <c r="X3431" t="str">
        <f t="shared" si="1403"/>
        <v>RAZIMAH ANSAR AHMAD</v>
      </c>
      <c r="Y3431" t="str">
        <f t="shared" si="1404"/>
        <v>04-08-2020</v>
      </c>
      <c r="Z3431" t="str">
        <f>"COS10200804 5523"</f>
        <v>COS10200804 5523</v>
      </c>
    </row>
    <row r="3432" spans="1:26" x14ac:dyDescent="0.25">
      <c r="A3432" t="str">
        <f t="shared" si="1409"/>
        <v>04-08-2020 12:57:26</v>
      </c>
      <c r="B3432" t="str">
        <f>"0000807511"</f>
        <v>0000807511</v>
      </c>
      <c r="C3432" t="str">
        <f t="shared" si="1410"/>
        <v>0000807389</v>
      </c>
      <c r="D3432" t="str">
        <f t="shared" si="1392"/>
        <v>73185</v>
      </c>
      <c r="E3432" t="str">
        <f t="shared" si="1393"/>
        <v>KFH-OPERATIONS DEPARTMENT</v>
      </c>
      <c r="F3432" t="str">
        <f t="shared" si="1394"/>
        <v>IBG</v>
      </c>
      <c r="G3432" t="str">
        <f t="shared" si="1405"/>
        <v>Refund COSHARE 10</v>
      </c>
      <c r="H3432" s="2">
        <v>293.85000000000002</v>
      </c>
      <c r="I3432" t="str">
        <f>"MOHD ARBAIN BIN SAPUAN"</f>
        <v>MOHD ARBAIN BIN SAPUAN</v>
      </c>
      <c r="J3432" t="str">
        <f t="shared" si="1408"/>
        <v>MAYBANK / MAYBANK ISLAMIC</v>
      </c>
      <c r="K3432" t="str">
        <f>"151445153104"</f>
        <v>151445153104</v>
      </c>
      <c r="L3432" t="str">
        <f t="shared" si="1411"/>
        <v>04-08-2020</v>
      </c>
      <c r="M3432" t="str">
        <f t="shared" si="1411"/>
        <v>04-08-2020</v>
      </c>
      <c r="N3432" t="str">
        <f t="shared" si="1395"/>
        <v>001105018356</v>
      </c>
      <c r="O3432" t="str">
        <f t="shared" si="1396"/>
        <v>MYR</v>
      </c>
      <c r="P3432" t="str">
        <f t="shared" si="1412"/>
        <v>NIL</v>
      </c>
      <c r="Q3432" t="str">
        <f t="shared" si="1412"/>
        <v>NIL</v>
      </c>
      <c r="R3432" t="str">
        <f t="shared" si="1397"/>
        <v>Accepted</v>
      </c>
      <c r="S3432" t="str">
        <f t="shared" si="1398"/>
        <v>Approved</v>
      </c>
      <c r="T3432" t="str">
        <f t="shared" si="1399"/>
        <v>10.20.8.188</v>
      </c>
      <c r="U3432" t="str">
        <f t="shared" si="1400"/>
        <v>AZRAD UMAR BIN SHAARI</v>
      </c>
      <c r="V3432" t="str">
        <f t="shared" si="1401"/>
        <v>FARHANA BINTI MUSTAPA</v>
      </c>
      <c r="W3432" t="str">
        <f t="shared" si="1402"/>
        <v>04-08-2020</v>
      </c>
      <c r="X3432" t="str">
        <f t="shared" si="1403"/>
        <v>RAZIMAH ANSAR AHMAD</v>
      </c>
      <c r="Y3432" t="str">
        <f t="shared" si="1404"/>
        <v>04-08-2020</v>
      </c>
      <c r="Z3432" t="str">
        <f>"COS10200804 5522"</f>
        <v>COS10200804 5522</v>
      </c>
    </row>
    <row r="3433" spans="1:26" x14ac:dyDescent="0.25">
      <c r="A3433" t="str">
        <f t="shared" si="1409"/>
        <v>04-08-2020 12:57:26</v>
      </c>
      <c r="B3433" t="str">
        <f>"0000807510"</f>
        <v>0000807510</v>
      </c>
      <c r="C3433" t="str">
        <f t="shared" si="1410"/>
        <v>0000807389</v>
      </c>
      <c r="D3433" t="str">
        <f t="shared" si="1392"/>
        <v>73185</v>
      </c>
      <c r="E3433" t="str">
        <f t="shared" si="1393"/>
        <v>KFH-OPERATIONS DEPARTMENT</v>
      </c>
      <c r="F3433" t="str">
        <f t="shared" si="1394"/>
        <v>IBG</v>
      </c>
      <c r="G3433" t="str">
        <f t="shared" si="1405"/>
        <v>Refund COSHARE 10</v>
      </c>
      <c r="H3433" s="2">
        <v>293.85000000000002</v>
      </c>
      <c r="I3433" t="str">
        <f>"MOHD AQBAL BIN AB HAMID"</f>
        <v>MOHD AQBAL BIN AB HAMID</v>
      </c>
      <c r="J3433" t="str">
        <f t="shared" si="1408"/>
        <v>MAYBANK / MAYBANK ISLAMIC</v>
      </c>
      <c r="K3433" t="str">
        <f>"101030083399"</f>
        <v>101030083399</v>
      </c>
      <c r="L3433" t="str">
        <f t="shared" si="1411"/>
        <v>04-08-2020</v>
      </c>
      <c r="M3433" t="str">
        <f t="shared" si="1411"/>
        <v>04-08-2020</v>
      </c>
      <c r="N3433" t="str">
        <f t="shared" si="1395"/>
        <v>001105018356</v>
      </c>
      <c r="O3433" t="str">
        <f t="shared" si="1396"/>
        <v>MYR</v>
      </c>
      <c r="P3433" t="str">
        <f t="shared" si="1412"/>
        <v>NIL</v>
      </c>
      <c r="Q3433" t="str">
        <f t="shared" si="1412"/>
        <v>NIL</v>
      </c>
      <c r="R3433" t="str">
        <f t="shared" si="1397"/>
        <v>Accepted</v>
      </c>
      <c r="S3433" t="str">
        <f t="shared" si="1398"/>
        <v>Approved</v>
      </c>
      <c r="T3433" t="str">
        <f t="shared" si="1399"/>
        <v>10.20.8.188</v>
      </c>
      <c r="U3433" t="str">
        <f t="shared" si="1400"/>
        <v>AZRAD UMAR BIN SHAARI</v>
      </c>
      <c r="V3433" t="str">
        <f t="shared" si="1401"/>
        <v>FARHANA BINTI MUSTAPA</v>
      </c>
      <c r="W3433" t="str">
        <f t="shared" si="1402"/>
        <v>04-08-2020</v>
      </c>
      <c r="X3433" t="str">
        <f t="shared" si="1403"/>
        <v>RAZIMAH ANSAR AHMAD</v>
      </c>
      <c r="Y3433" t="str">
        <f t="shared" si="1404"/>
        <v>04-08-2020</v>
      </c>
      <c r="Z3433" t="str">
        <f>"COS10200804 5521"</f>
        <v>COS10200804 5521</v>
      </c>
    </row>
    <row r="3434" spans="1:26" x14ac:dyDescent="0.25">
      <c r="A3434" t="str">
        <f t="shared" si="1409"/>
        <v>04-08-2020 12:57:26</v>
      </c>
      <c r="B3434" t="str">
        <f>"0000807509"</f>
        <v>0000807509</v>
      </c>
      <c r="C3434" t="str">
        <f t="shared" si="1410"/>
        <v>0000807389</v>
      </c>
      <c r="D3434" t="str">
        <f t="shared" si="1392"/>
        <v>73185</v>
      </c>
      <c r="E3434" t="str">
        <f t="shared" si="1393"/>
        <v>KFH-OPERATIONS DEPARTMENT</v>
      </c>
      <c r="F3434" t="str">
        <f t="shared" si="1394"/>
        <v>IBG</v>
      </c>
      <c r="G3434" t="str">
        <f t="shared" si="1405"/>
        <v>Refund COSHARE 10</v>
      </c>
      <c r="H3434" s="2">
        <v>436.55</v>
      </c>
      <c r="I3434" t="str">
        <f>"MOHD ANUAR BIN HASSIM"</f>
        <v>MOHD ANUAR BIN HASSIM</v>
      </c>
      <c r="J3434" t="str">
        <f t="shared" si="1408"/>
        <v>MAYBANK / MAYBANK ISLAMIC</v>
      </c>
      <c r="K3434" t="str">
        <f>"151212955902"</f>
        <v>151212955902</v>
      </c>
      <c r="L3434" t="str">
        <f t="shared" si="1411"/>
        <v>04-08-2020</v>
      </c>
      <c r="M3434" t="str">
        <f t="shared" si="1411"/>
        <v>04-08-2020</v>
      </c>
      <c r="N3434" t="str">
        <f t="shared" si="1395"/>
        <v>001105018356</v>
      </c>
      <c r="O3434" t="str">
        <f t="shared" si="1396"/>
        <v>MYR</v>
      </c>
      <c r="P3434" t="str">
        <f t="shared" si="1412"/>
        <v>NIL</v>
      </c>
      <c r="Q3434" t="str">
        <f t="shared" si="1412"/>
        <v>NIL</v>
      </c>
      <c r="R3434" t="str">
        <f t="shared" si="1397"/>
        <v>Accepted</v>
      </c>
      <c r="S3434" t="str">
        <f t="shared" si="1398"/>
        <v>Approved</v>
      </c>
      <c r="T3434" t="str">
        <f t="shared" si="1399"/>
        <v>10.20.8.188</v>
      </c>
      <c r="U3434" t="str">
        <f t="shared" si="1400"/>
        <v>AZRAD UMAR BIN SHAARI</v>
      </c>
      <c r="V3434" t="str">
        <f t="shared" si="1401"/>
        <v>FARHANA BINTI MUSTAPA</v>
      </c>
      <c r="W3434" t="str">
        <f t="shared" si="1402"/>
        <v>04-08-2020</v>
      </c>
      <c r="X3434" t="str">
        <f t="shared" si="1403"/>
        <v>RAZIMAH ANSAR AHMAD</v>
      </c>
      <c r="Y3434" t="str">
        <f t="shared" si="1404"/>
        <v>04-08-2020</v>
      </c>
      <c r="Z3434" t="str">
        <f>"COS10200804 5520"</f>
        <v>COS10200804 5520</v>
      </c>
    </row>
    <row r="3435" spans="1:26" x14ac:dyDescent="0.25">
      <c r="A3435" t="str">
        <f t="shared" si="1409"/>
        <v>04-08-2020 12:57:26</v>
      </c>
      <c r="B3435" t="str">
        <f>"0000807508"</f>
        <v>0000807508</v>
      </c>
      <c r="C3435" t="str">
        <f t="shared" si="1410"/>
        <v>0000807389</v>
      </c>
      <c r="D3435" t="str">
        <f t="shared" si="1392"/>
        <v>73185</v>
      </c>
      <c r="E3435" t="str">
        <f t="shared" si="1393"/>
        <v>KFH-OPERATIONS DEPARTMENT</v>
      </c>
      <c r="F3435" t="str">
        <f t="shared" si="1394"/>
        <v>IBG</v>
      </c>
      <c r="G3435" t="str">
        <f t="shared" si="1405"/>
        <v>Refund COSHARE 10</v>
      </c>
      <c r="H3435" s="2">
        <v>881.5</v>
      </c>
      <c r="I3435" t="str">
        <f>"MOHD ANIS BIN KADIR"</f>
        <v>MOHD ANIS BIN KADIR</v>
      </c>
      <c r="J3435" t="str">
        <f t="shared" si="1408"/>
        <v>MAYBANK / MAYBANK ISLAMIC</v>
      </c>
      <c r="K3435" t="str">
        <f>"162106546083"</f>
        <v>162106546083</v>
      </c>
      <c r="L3435" t="str">
        <f t="shared" si="1411"/>
        <v>04-08-2020</v>
      </c>
      <c r="M3435" t="str">
        <f t="shared" si="1411"/>
        <v>04-08-2020</v>
      </c>
      <c r="N3435" t="str">
        <f t="shared" si="1395"/>
        <v>001105018356</v>
      </c>
      <c r="O3435" t="str">
        <f t="shared" si="1396"/>
        <v>MYR</v>
      </c>
      <c r="P3435" t="str">
        <f t="shared" si="1412"/>
        <v>NIL</v>
      </c>
      <c r="Q3435" t="str">
        <f t="shared" si="1412"/>
        <v>NIL</v>
      </c>
      <c r="R3435" t="str">
        <f t="shared" si="1397"/>
        <v>Accepted</v>
      </c>
      <c r="S3435" t="str">
        <f t="shared" si="1398"/>
        <v>Approved</v>
      </c>
      <c r="T3435" t="str">
        <f t="shared" si="1399"/>
        <v>10.20.8.188</v>
      </c>
      <c r="U3435" t="str">
        <f t="shared" si="1400"/>
        <v>AZRAD UMAR BIN SHAARI</v>
      </c>
      <c r="V3435" t="str">
        <f t="shared" si="1401"/>
        <v>FARHANA BINTI MUSTAPA</v>
      </c>
      <c r="W3435" t="str">
        <f t="shared" si="1402"/>
        <v>04-08-2020</v>
      </c>
      <c r="X3435" t="str">
        <f t="shared" si="1403"/>
        <v>RAZIMAH ANSAR AHMAD</v>
      </c>
      <c r="Y3435" t="str">
        <f t="shared" si="1404"/>
        <v>04-08-2020</v>
      </c>
      <c r="Z3435" t="str">
        <f>"COS10200804 5519"</f>
        <v>COS10200804 5519</v>
      </c>
    </row>
    <row r="3436" spans="1:26" x14ac:dyDescent="0.25">
      <c r="A3436" t="str">
        <f t="shared" si="1409"/>
        <v>04-08-2020 12:57:26</v>
      </c>
      <c r="B3436" t="str">
        <f>"0000807507"</f>
        <v>0000807507</v>
      </c>
      <c r="C3436" t="str">
        <f t="shared" si="1410"/>
        <v>0000807389</v>
      </c>
      <c r="D3436" t="str">
        <f t="shared" si="1392"/>
        <v>73185</v>
      </c>
      <c r="E3436" t="str">
        <f t="shared" si="1393"/>
        <v>KFH-OPERATIONS DEPARTMENT</v>
      </c>
      <c r="F3436" t="str">
        <f t="shared" si="1394"/>
        <v>IBG</v>
      </c>
      <c r="G3436" t="str">
        <f t="shared" si="1405"/>
        <v>Refund COSHARE 10</v>
      </c>
      <c r="H3436" s="2">
        <v>369.4</v>
      </c>
      <c r="I3436" t="str">
        <f>"MOHD AMRAN SHAH BIN MD YAHYA"</f>
        <v>MOHD AMRAN SHAH BIN MD YAHYA</v>
      </c>
      <c r="J3436" t="str">
        <f t="shared" si="1408"/>
        <v>MAYBANK / MAYBANK ISLAMIC</v>
      </c>
      <c r="K3436" t="str">
        <f>"158109174752"</f>
        <v>158109174752</v>
      </c>
      <c r="L3436" t="str">
        <f t="shared" si="1411"/>
        <v>04-08-2020</v>
      </c>
      <c r="M3436" t="str">
        <f t="shared" si="1411"/>
        <v>04-08-2020</v>
      </c>
      <c r="N3436" t="str">
        <f t="shared" si="1395"/>
        <v>001105018356</v>
      </c>
      <c r="O3436" t="str">
        <f t="shared" si="1396"/>
        <v>MYR</v>
      </c>
      <c r="P3436" t="str">
        <f t="shared" si="1412"/>
        <v>NIL</v>
      </c>
      <c r="Q3436" t="str">
        <f t="shared" si="1412"/>
        <v>NIL</v>
      </c>
      <c r="R3436" t="str">
        <f t="shared" si="1397"/>
        <v>Accepted</v>
      </c>
      <c r="S3436" t="str">
        <f t="shared" si="1398"/>
        <v>Approved</v>
      </c>
      <c r="T3436" t="str">
        <f t="shared" si="1399"/>
        <v>10.20.8.188</v>
      </c>
      <c r="U3436" t="str">
        <f t="shared" si="1400"/>
        <v>AZRAD UMAR BIN SHAARI</v>
      </c>
      <c r="V3436" t="str">
        <f t="shared" si="1401"/>
        <v>FARHANA BINTI MUSTAPA</v>
      </c>
      <c r="W3436" t="str">
        <f t="shared" si="1402"/>
        <v>04-08-2020</v>
      </c>
      <c r="X3436" t="str">
        <f t="shared" si="1403"/>
        <v>RAZIMAH ANSAR AHMAD</v>
      </c>
      <c r="Y3436" t="str">
        <f t="shared" si="1404"/>
        <v>04-08-2020</v>
      </c>
      <c r="Z3436" t="str">
        <f>"COS10200804 5518"</f>
        <v>COS10200804 5518</v>
      </c>
    </row>
    <row r="3437" spans="1:26" x14ac:dyDescent="0.25">
      <c r="A3437" t="str">
        <f t="shared" si="1409"/>
        <v>04-08-2020 12:57:26</v>
      </c>
      <c r="B3437" t="str">
        <f>"0000807506"</f>
        <v>0000807506</v>
      </c>
      <c r="C3437" t="str">
        <f t="shared" si="1410"/>
        <v>0000807389</v>
      </c>
      <c r="D3437" t="str">
        <f t="shared" si="1392"/>
        <v>73185</v>
      </c>
      <c r="E3437" t="str">
        <f t="shared" si="1393"/>
        <v>KFH-OPERATIONS DEPARTMENT</v>
      </c>
      <c r="F3437" t="str">
        <f t="shared" si="1394"/>
        <v>IBG</v>
      </c>
      <c r="G3437" t="str">
        <f t="shared" si="1405"/>
        <v>Refund COSHARE 10</v>
      </c>
      <c r="H3437" s="2">
        <v>1267</v>
      </c>
      <c r="I3437" t="str">
        <f>"MOHD AMRAN BIN RUSLAN"</f>
        <v>MOHD AMRAN BIN RUSLAN</v>
      </c>
      <c r="J3437" t="str">
        <f t="shared" si="1408"/>
        <v>MAYBANK / MAYBANK ISLAMIC</v>
      </c>
      <c r="K3437" t="str">
        <f>"151089258188"</f>
        <v>151089258188</v>
      </c>
      <c r="L3437" t="str">
        <f t="shared" si="1411"/>
        <v>04-08-2020</v>
      </c>
      <c r="M3437" t="str">
        <f t="shared" si="1411"/>
        <v>04-08-2020</v>
      </c>
      <c r="N3437" t="str">
        <f t="shared" si="1395"/>
        <v>001105018356</v>
      </c>
      <c r="O3437" t="str">
        <f t="shared" si="1396"/>
        <v>MYR</v>
      </c>
      <c r="P3437" t="str">
        <f t="shared" si="1412"/>
        <v>NIL</v>
      </c>
      <c r="Q3437" t="str">
        <f t="shared" si="1412"/>
        <v>NIL</v>
      </c>
      <c r="R3437" t="str">
        <f t="shared" si="1397"/>
        <v>Accepted</v>
      </c>
      <c r="S3437" t="str">
        <f t="shared" si="1398"/>
        <v>Approved</v>
      </c>
      <c r="T3437" t="str">
        <f t="shared" si="1399"/>
        <v>10.20.8.188</v>
      </c>
      <c r="U3437" t="str">
        <f t="shared" si="1400"/>
        <v>AZRAD UMAR BIN SHAARI</v>
      </c>
      <c r="V3437" t="str">
        <f t="shared" si="1401"/>
        <v>FARHANA BINTI MUSTAPA</v>
      </c>
      <c r="W3437" t="str">
        <f t="shared" si="1402"/>
        <v>04-08-2020</v>
      </c>
      <c r="X3437" t="str">
        <f t="shared" si="1403"/>
        <v>RAZIMAH ANSAR AHMAD</v>
      </c>
      <c r="Y3437" t="str">
        <f t="shared" si="1404"/>
        <v>04-08-2020</v>
      </c>
      <c r="Z3437" t="str">
        <f>"COS10200804 5517"</f>
        <v>COS10200804 5517</v>
      </c>
    </row>
    <row r="3438" spans="1:26" x14ac:dyDescent="0.25">
      <c r="A3438" t="str">
        <f t="shared" si="1409"/>
        <v>04-08-2020 12:57:26</v>
      </c>
      <c r="B3438" t="str">
        <f>"0000807505"</f>
        <v>0000807505</v>
      </c>
      <c r="C3438" t="str">
        <f t="shared" si="1410"/>
        <v>0000807389</v>
      </c>
      <c r="D3438" t="str">
        <f t="shared" si="1392"/>
        <v>73185</v>
      </c>
      <c r="E3438" t="str">
        <f t="shared" si="1393"/>
        <v>KFH-OPERATIONS DEPARTMENT</v>
      </c>
      <c r="F3438" t="str">
        <f t="shared" si="1394"/>
        <v>IBG</v>
      </c>
      <c r="G3438" t="str">
        <f t="shared" si="1405"/>
        <v>Refund COSHARE 10</v>
      </c>
      <c r="H3438" s="2">
        <v>1242.45</v>
      </c>
      <c r="I3438" t="str">
        <f>"MOHD AMIZAN BIN MAT ZAIN"</f>
        <v>MOHD AMIZAN BIN MAT ZAIN</v>
      </c>
      <c r="J3438" t="str">
        <f t="shared" si="1408"/>
        <v>MAYBANK / MAYBANK ISLAMIC</v>
      </c>
      <c r="K3438" t="str">
        <f>"162245727542"</f>
        <v>162245727542</v>
      </c>
      <c r="L3438" t="str">
        <f t="shared" si="1411"/>
        <v>04-08-2020</v>
      </c>
      <c r="M3438" t="str">
        <f t="shared" si="1411"/>
        <v>04-08-2020</v>
      </c>
      <c r="N3438" t="str">
        <f t="shared" si="1395"/>
        <v>001105018356</v>
      </c>
      <c r="O3438" t="str">
        <f t="shared" si="1396"/>
        <v>MYR</v>
      </c>
      <c r="P3438" t="str">
        <f t="shared" si="1412"/>
        <v>NIL</v>
      </c>
      <c r="Q3438" t="str">
        <f t="shared" si="1412"/>
        <v>NIL</v>
      </c>
      <c r="R3438" t="str">
        <f t="shared" si="1397"/>
        <v>Accepted</v>
      </c>
      <c r="S3438" t="str">
        <f t="shared" si="1398"/>
        <v>Approved</v>
      </c>
      <c r="T3438" t="str">
        <f t="shared" si="1399"/>
        <v>10.20.8.188</v>
      </c>
      <c r="U3438" t="str">
        <f t="shared" si="1400"/>
        <v>AZRAD UMAR BIN SHAARI</v>
      </c>
      <c r="V3438" t="str">
        <f t="shared" si="1401"/>
        <v>FARHANA BINTI MUSTAPA</v>
      </c>
      <c r="W3438" t="str">
        <f t="shared" si="1402"/>
        <v>04-08-2020</v>
      </c>
      <c r="X3438" t="str">
        <f t="shared" si="1403"/>
        <v>RAZIMAH ANSAR AHMAD</v>
      </c>
      <c r="Y3438" t="str">
        <f t="shared" si="1404"/>
        <v>04-08-2020</v>
      </c>
      <c r="Z3438" t="str">
        <f>"COS10200804 5516"</f>
        <v>COS10200804 5516</v>
      </c>
    </row>
    <row r="3439" spans="1:26" x14ac:dyDescent="0.25">
      <c r="A3439" t="str">
        <f t="shared" si="1409"/>
        <v>04-08-2020 12:57:26</v>
      </c>
      <c r="B3439" t="str">
        <f>"0000807504"</f>
        <v>0000807504</v>
      </c>
      <c r="C3439" t="str">
        <f t="shared" si="1410"/>
        <v>0000807389</v>
      </c>
      <c r="D3439" t="str">
        <f t="shared" si="1392"/>
        <v>73185</v>
      </c>
      <c r="E3439" t="str">
        <f t="shared" si="1393"/>
        <v>KFH-OPERATIONS DEPARTMENT</v>
      </c>
      <c r="F3439" t="str">
        <f t="shared" si="1394"/>
        <v>IBG</v>
      </c>
      <c r="G3439" t="str">
        <f t="shared" si="1405"/>
        <v>Refund COSHARE 10</v>
      </c>
      <c r="H3439" s="2">
        <v>372</v>
      </c>
      <c r="I3439" t="str">
        <f>"MOHD AMIRUL BIN MOHD AKHIR"</f>
        <v>MOHD AMIRUL BIN MOHD AKHIR</v>
      </c>
      <c r="J3439" t="str">
        <f t="shared" si="1408"/>
        <v>MAYBANK / MAYBANK ISLAMIC</v>
      </c>
      <c r="K3439" t="str">
        <f>"151044046967"</f>
        <v>151044046967</v>
      </c>
      <c r="L3439" t="str">
        <f t="shared" si="1411"/>
        <v>04-08-2020</v>
      </c>
      <c r="M3439" t="str">
        <f t="shared" si="1411"/>
        <v>04-08-2020</v>
      </c>
      <c r="N3439" t="str">
        <f t="shared" si="1395"/>
        <v>001105018356</v>
      </c>
      <c r="O3439" t="str">
        <f t="shared" si="1396"/>
        <v>MYR</v>
      </c>
      <c r="P3439" t="str">
        <f t="shared" si="1412"/>
        <v>NIL</v>
      </c>
      <c r="Q3439" t="str">
        <f t="shared" si="1412"/>
        <v>NIL</v>
      </c>
      <c r="R3439" t="str">
        <f t="shared" si="1397"/>
        <v>Accepted</v>
      </c>
      <c r="S3439" t="str">
        <f t="shared" si="1398"/>
        <v>Approved</v>
      </c>
      <c r="T3439" t="str">
        <f t="shared" si="1399"/>
        <v>10.20.8.188</v>
      </c>
      <c r="U3439" t="str">
        <f t="shared" si="1400"/>
        <v>AZRAD UMAR BIN SHAARI</v>
      </c>
      <c r="V3439" t="str">
        <f t="shared" si="1401"/>
        <v>FARHANA BINTI MUSTAPA</v>
      </c>
      <c r="W3439" t="str">
        <f t="shared" si="1402"/>
        <v>04-08-2020</v>
      </c>
      <c r="X3439" t="str">
        <f t="shared" si="1403"/>
        <v>RAZIMAH ANSAR AHMAD</v>
      </c>
      <c r="Y3439" t="str">
        <f t="shared" si="1404"/>
        <v>04-08-2020</v>
      </c>
      <c r="Z3439" t="str">
        <f>"COS10200804 5515"</f>
        <v>COS10200804 5515</v>
      </c>
    </row>
    <row r="3440" spans="1:26" x14ac:dyDescent="0.25">
      <c r="A3440" t="str">
        <f t="shared" si="1409"/>
        <v>04-08-2020 12:57:26</v>
      </c>
      <c r="B3440" t="str">
        <f>"0000807503"</f>
        <v>0000807503</v>
      </c>
      <c r="C3440" t="str">
        <f t="shared" si="1410"/>
        <v>0000807389</v>
      </c>
      <c r="D3440" t="str">
        <f t="shared" si="1392"/>
        <v>73185</v>
      </c>
      <c r="E3440" t="str">
        <f t="shared" si="1393"/>
        <v>KFH-OPERATIONS DEPARTMENT</v>
      </c>
      <c r="F3440" t="str">
        <f t="shared" si="1394"/>
        <v>IBG</v>
      </c>
      <c r="G3440" t="str">
        <f t="shared" si="1405"/>
        <v>Refund COSHARE 10</v>
      </c>
      <c r="H3440" s="2">
        <v>167.9</v>
      </c>
      <c r="I3440" t="str">
        <f>"MOHD AMINUDDIN BIN MUHAMAD RAWI"</f>
        <v>MOHD AMINUDDIN BIN MUHAMAD RAWI</v>
      </c>
      <c r="J3440" t="str">
        <f t="shared" si="1408"/>
        <v>MAYBANK / MAYBANK ISLAMIC</v>
      </c>
      <c r="K3440" t="str">
        <f>"151089335488"</f>
        <v>151089335488</v>
      </c>
      <c r="L3440" t="str">
        <f t="shared" si="1411"/>
        <v>04-08-2020</v>
      </c>
      <c r="M3440" t="str">
        <f t="shared" si="1411"/>
        <v>04-08-2020</v>
      </c>
      <c r="N3440" t="str">
        <f t="shared" si="1395"/>
        <v>001105018356</v>
      </c>
      <c r="O3440" t="str">
        <f t="shared" si="1396"/>
        <v>MYR</v>
      </c>
      <c r="P3440" t="str">
        <f t="shared" si="1412"/>
        <v>NIL</v>
      </c>
      <c r="Q3440" t="str">
        <f t="shared" si="1412"/>
        <v>NIL</v>
      </c>
      <c r="R3440" t="str">
        <f t="shared" si="1397"/>
        <v>Accepted</v>
      </c>
      <c r="S3440" t="str">
        <f t="shared" si="1398"/>
        <v>Approved</v>
      </c>
      <c r="T3440" t="str">
        <f t="shared" si="1399"/>
        <v>10.20.8.188</v>
      </c>
      <c r="U3440" t="str">
        <f t="shared" si="1400"/>
        <v>AZRAD UMAR BIN SHAARI</v>
      </c>
      <c r="V3440" t="str">
        <f t="shared" si="1401"/>
        <v>FARHANA BINTI MUSTAPA</v>
      </c>
      <c r="W3440" t="str">
        <f t="shared" si="1402"/>
        <v>04-08-2020</v>
      </c>
      <c r="X3440" t="str">
        <f t="shared" si="1403"/>
        <v>RAZIMAH ANSAR AHMAD</v>
      </c>
      <c r="Y3440" t="str">
        <f t="shared" si="1404"/>
        <v>04-08-2020</v>
      </c>
      <c r="Z3440" t="str">
        <f>"COS10200804 5514"</f>
        <v>COS10200804 5514</v>
      </c>
    </row>
    <row r="3441" spans="1:26" x14ac:dyDescent="0.25">
      <c r="A3441" t="str">
        <f t="shared" si="1409"/>
        <v>04-08-2020 12:57:26</v>
      </c>
      <c r="B3441" t="str">
        <f>"0000807502"</f>
        <v>0000807502</v>
      </c>
      <c r="C3441" t="str">
        <f t="shared" si="1410"/>
        <v>0000807389</v>
      </c>
      <c r="D3441" t="str">
        <f t="shared" si="1392"/>
        <v>73185</v>
      </c>
      <c r="E3441" t="str">
        <f t="shared" si="1393"/>
        <v>KFH-OPERATIONS DEPARTMENT</v>
      </c>
      <c r="F3441" t="str">
        <f t="shared" si="1394"/>
        <v>IBG</v>
      </c>
      <c r="G3441" t="str">
        <f t="shared" si="1405"/>
        <v>Refund COSHARE 10</v>
      </c>
      <c r="H3441" s="2">
        <v>587.65</v>
      </c>
      <c r="I3441" t="str">
        <f>"MOHD AMIN SHAH BIN ROHAN"</f>
        <v>MOHD AMIN SHAH BIN ROHAN</v>
      </c>
      <c r="J3441" t="str">
        <f t="shared" si="1408"/>
        <v>MAYBANK / MAYBANK ISLAMIC</v>
      </c>
      <c r="K3441" t="str">
        <f>"162553052646"</f>
        <v>162553052646</v>
      </c>
      <c r="L3441" t="str">
        <f t="shared" si="1411"/>
        <v>04-08-2020</v>
      </c>
      <c r="M3441" t="str">
        <f t="shared" si="1411"/>
        <v>04-08-2020</v>
      </c>
      <c r="N3441" t="str">
        <f t="shared" si="1395"/>
        <v>001105018356</v>
      </c>
      <c r="O3441" t="str">
        <f t="shared" si="1396"/>
        <v>MYR</v>
      </c>
      <c r="P3441" t="str">
        <f t="shared" si="1412"/>
        <v>NIL</v>
      </c>
      <c r="Q3441" t="str">
        <f t="shared" si="1412"/>
        <v>NIL</v>
      </c>
      <c r="R3441" t="str">
        <f t="shared" si="1397"/>
        <v>Accepted</v>
      </c>
      <c r="S3441" t="str">
        <f t="shared" si="1398"/>
        <v>Approved</v>
      </c>
      <c r="T3441" t="str">
        <f t="shared" si="1399"/>
        <v>10.20.8.188</v>
      </c>
      <c r="U3441" t="str">
        <f t="shared" si="1400"/>
        <v>AZRAD UMAR BIN SHAARI</v>
      </c>
      <c r="V3441" t="str">
        <f t="shared" si="1401"/>
        <v>FARHANA BINTI MUSTAPA</v>
      </c>
      <c r="W3441" t="str">
        <f t="shared" si="1402"/>
        <v>04-08-2020</v>
      </c>
      <c r="X3441" t="str">
        <f t="shared" si="1403"/>
        <v>RAZIMAH ANSAR AHMAD</v>
      </c>
      <c r="Y3441" t="str">
        <f t="shared" si="1404"/>
        <v>04-08-2020</v>
      </c>
      <c r="Z3441" t="str">
        <f>"COS10200804 5513"</f>
        <v>COS10200804 5513</v>
      </c>
    </row>
    <row r="3442" spans="1:26" x14ac:dyDescent="0.25">
      <c r="A3442" t="str">
        <f t="shared" si="1409"/>
        <v>04-08-2020 12:57:26</v>
      </c>
      <c r="B3442" t="str">
        <f>"0000807501"</f>
        <v>0000807501</v>
      </c>
      <c r="C3442" t="str">
        <f t="shared" si="1410"/>
        <v>0000807389</v>
      </c>
      <c r="D3442" t="str">
        <f t="shared" si="1392"/>
        <v>73185</v>
      </c>
      <c r="E3442" t="str">
        <f t="shared" si="1393"/>
        <v>KFH-OPERATIONS DEPARTMENT</v>
      </c>
      <c r="F3442" t="str">
        <f t="shared" si="1394"/>
        <v>IBG</v>
      </c>
      <c r="G3442" t="str">
        <f t="shared" si="1405"/>
        <v>Refund COSHARE 10</v>
      </c>
      <c r="H3442" s="2">
        <v>570.85</v>
      </c>
      <c r="I3442" t="str">
        <f>"MOHD AMIN BIN MOHD NAWI"</f>
        <v>MOHD AMIN BIN MOHD NAWI</v>
      </c>
      <c r="J3442" t="str">
        <f t="shared" si="1408"/>
        <v>MAYBANK / MAYBANK ISLAMIC</v>
      </c>
      <c r="K3442" t="str">
        <f>"153010440214"</f>
        <v>153010440214</v>
      </c>
      <c r="L3442" t="str">
        <f t="shared" si="1411"/>
        <v>04-08-2020</v>
      </c>
      <c r="M3442" t="str">
        <f t="shared" si="1411"/>
        <v>04-08-2020</v>
      </c>
      <c r="N3442" t="str">
        <f t="shared" si="1395"/>
        <v>001105018356</v>
      </c>
      <c r="O3442" t="str">
        <f t="shared" si="1396"/>
        <v>MYR</v>
      </c>
      <c r="P3442" t="str">
        <f t="shared" si="1412"/>
        <v>NIL</v>
      </c>
      <c r="Q3442" t="str">
        <f t="shared" si="1412"/>
        <v>NIL</v>
      </c>
      <c r="R3442" t="str">
        <f t="shared" si="1397"/>
        <v>Accepted</v>
      </c>
      <c r="S3442" t="str">
        <f t="shared" si="1398"/>
        <v>Approved</v>
      </c>
      <c r="T3442" t="str">
        <f t="shared" si="1399"/>
        <v>10.20.8.188</v>
      </c>
      <c r="U3442" t="str">
        <f t="shared" si="1400"/>
        <v>AZRAD UMAR BIN SHAARI</v>
      </c>
      <c r="V3442" t="str">
        <f t="shared" si="1401"/>
        <v>FARHANA BINTI MUSTAPA</v>
      </c>
      <c r="W3442" t="str">
        <f t="shared" si="1402"/>
        <v>04-08-2020</v>
      </c>
      <c r="X3442" t="str">
        <f t="shared" si="1403"/>
        <v>RAZIMAH ANSAR AHMAD</v>
      </c>
      <c r="Y3442" t="str">
        <f t="shared" si="1404"/>
        <v>04-08-2020</v>
      </c>
      <c r="Z3442" t="str">
        <f>"COS10200804 5512"</f>
        <v>COS10200804 5512</v>
      </c>
    </row>
    <row r="3443" spans="1:26" x14ac:dyDescent="0.25">
      <c r="A3443" t="str">
        <f t="shared" si="1409"/>
        <v>04-08-2020 12:57:26</v>
      </c>
      <c r="B3443" t="str">
        <f>"0000807500"</f>
        <v>0000807500</v>
      </c>
      <c r="C3443" t="str">
        <f t="shared" si="1410"/>
        <v>0000807389</v>
      </c>
      <c r="D3443" t="str">
        <f t="shared" si="1392"/>
        <v>73185</v>
      </c>
      <c r="E3443" t="str">
        <f t="shared" si="1393"/>
        <v>KFH-OPERATIONS DEPARTMENT</v>
      </c>
      <c r="F3443" t="str">
        <f t="shared" si="1394"/>
        <v>IBG</v>
      </c>
      <c r="G3443" t="str">
        <f t="shared" si="1405"/>
        <v>Refund COSHARE 10</v>
      </c>
      <c r="H3443" s="2">
        <v>251.85</v>
      </c>
      <c r="I3443" t="str">
        <f>"MOHD AMIN BIN MOHAMED"</f>
        <v>MOHD AMIN BIN MOHAMED</v>
      </c>
      <c r="J3443" t="str">
        <f t="shared" si="1408"/>
        <v>MAYBANK / MAYBANK ISLAMIC</v>
      </c>
      <c r="K3443" t="str">
        <f>"162469327758"</f>
        <v>162469327758</v>
      </c>
      <c r="L3443" t="str">
        <f t="shared" si="1411"/>
        <v>04-08-2020</v>
      </c>
      <c r="M3443" t="str">
        <f t="shared" si="1411"/>
        <v>04-08-2020</v>
      </c>
      <c r="N3443" t="str">
        <f t="shared" si="1395"/>
        <v>001105018356</v>
      </c>
      <c r="O3443" t="str">
        <f t="shared" si="1396"/>
        <v>MYR</v>
      </c>
      <c r="P3443" t="str">
        <f t="shared" si="1412"/>
        <v>NIL</v>
      </c>
      <c r="Q3443" t="str">
        <f t="shared" si="1412"/>
        <v>NIL</v>
      </c>
      <c r="R3443" t="str">
        <f t="shared" si="1397"/>
        <v>Accepted</v>
      </c>
      <c r="S3443" t="str">
        <f t="shared" si="1398"/>
        <v>Approved</v>
      </c>
      <c r="T3443" t="str">
        <f t="shared" si="1399"/>
        <v>10.20.8.188</v>
      </c>
      <c r="U3443" t="str">
        <f t="shared" si="1400"/>
        <v>AZRAD UMAR BIN SHAARI</v>
      </c>
      <c r="V3443" t="str">
        <f t="shared" si="1401"/>
        <v>FARHANA BINTI MUSTAPA</v>
      </c>
      <c r="W3443" t="str">
        <f t="shared" si="1402"/>
        <v>04-08-2020</v>
      </c>
      <c r="X3443" t="str">
        <f t="shared" si="1403"/>
        <v>RAZIMAH ANSAR AHMAD</v>
      </c>
      <c r="Y3443" t="str">
        <f t="shared" si="1404"/>
        <v>04-08-2020</v>
      </c>
      <c r="Z3443" t="str">
        <f>"COS10200804 5511"</f>
        <v>COS10200804 5511</v>
      </c>
    </row>
    <row r="3444" spans="1:26" x14ac:dyDescent="0.25">
      <c r="A3444" t="str">
        <f t="shared" si="1409"/>
        <v>04-08-2020 12:57:26</v>
      </c>
      <c r="B3444" t="str">
        <f>"0000807499"</f>
        <v>0000807499</v>
      </c>
      <c r="C3444" t="str">
        <f t="shared" si="1410"/>
        <v>0000807389</v>
      </c>
      <c r="D3444" t="str">
        <f t="shared" si="1392"/>
        <v>73185</v>
      </c>
      <c r="E3444" t="str">
        <f t="shared" si="1393"/>
        <v>KFH-OPERATIONS DEPARTMENT</v>
      </c>
      <c r="F3444" t="str">
        <f t="shared" si="1394"/>
        <v>IBG</v>
      </c>
      <c r="G3444" t="str">
        <f t="shared" si="1405"/>
        <v>Refund COSHARE 10</v>
      </c>
      <c r="H3444" s="2">
        <v>304</v>
      </c>
      <c r="I3444" t="str">
        <f>"MOHD AMIEN BIN MOHD YASIN"</f>
        <v>MOHD AMIEN BIN MOHD YASIN</v>
      </c>
      <c r="J3444" t="str">
        <f t="shared" si="1408"/>
        <v>MAYBANK / MAYBANK ISLAMIC</v>
      </c>
      <c r="K3444" t="str">
        <f>"151306639660"</f>
        <v>151306639660</v>
      </c>
      <c r="L3444" t="str">
        <f t="shared" si="1411"/>
        <v>04-08-2020</v>
      </c>
      <c r="M3444" t="str">
        <f t="shared" si="1411"/>
        <v>04-08-2020</v>
      </c>
      <c r="N3444" t="str">
        <f t="shared" si="1395"/>
        <v>001105018356</v>
      </c>
      <c r="O3444" t="str">
        <f t="shared" si="1396"/>
        <v>MYR</v>
      </c>
      <c r="P3444" t="str">
        <f t="shared" si="1412"/>
        <v>NIL</v>
      </c>
      <c r="Q3444" t="str">
        <f t="shared" si="1412"/>
        <v>NIL</v>
      </c>
      <c r="R3444" t="str">
        <f t="shared" si="1397"/>
        <v>Accepted</v>
      </c>
      <c r="S3444" t="str">
        <f t="shared" si="1398"/>
        <v>Approved</v>
      </c>
      <c r="T3444" t="str">
        <f t="shared" si="1399"/>
        <v>10.20.8.188</v>
      </c>
      <c r="U3444" t="str">
        <f t="shared" si="1400"/>
        <v>AZRAD UMAR BIN SHAARI</v>
      </c>
      <c r="V3444" t="str">
        <f t="shared" si="1401"/>
        <v>FARHANA BINTI MUSTAPA</v>
      </c>
      <c r="W3444" t="str">
        <f t="shared" si="1402"/>
        <v>04-08-2020</v>
      </c>
      <c r="X3444" t="str">
        <f t="shared" si="1403"/>
        <v>RAZIMAH ANSAR AHMAD</v>
      </c>
      <c r="Y3444" t="str">
        <f t="shared" si="1404"/>
        <v>04-08-2020</v>
      </c>
      <c r="Z3444" t="str">
        <f>"COS10200804 5510"</f>
        <v>COS10200804 5510</v>
      </c>
    </row>
    <row r="3445" spans="1:26" x14ac:dyDescent="0.25">
      <c r="A3445" t="str">
        <f t="shared" si="1409"/>
        <v>04-08-2020 12:57:26</v>
      </c>
      <c r="B3445" t="str">
        <f>"0000807498"</f>
        <v>0000807498</v>
      </c>
      <c r="C3445" t="str">
        <f t="shared" si="1410"/>
        <v>0000807389</v>
      </c>
      <c r="D3445" t="str">
        <f t="shared" si="1392"/>
        <v>73185</v>
      </c>
      <c r="E3445" t="str">
        <f t="shared" si="1393"/>
        <v>KFH-OPERATIONS DEPARTMENT</v>
      </c>
      <c r="F3445" t="str">
        <f t="shared" si="1394"/>
        <v>IBG</v>
      </c>
      <c r="G3445" t="str">
        <f t="shared" si="1405"/>
        <v>Refund COSHARE 10</v>
      </c>
      <c r="H3445" s="2">
        <v>654.85</v>
      </c>
      <c r="I3445" t="str">
        <f>"MOHD ALIFFARHAN BIN MOHD FADZIL"</f>
        <v>MOHD ALIFFARHAN BIN MOHD FADZIL</v>
      </c>
      <c r="J3445" t="str">
        <f t="shared" si="1408"/>
        <v>MAYBANK / MAYBANK ISLAMIC</v>
      </c>
      <c r="K3445" t="str">
        <f>"105047109756"</f>
        <v>105047109756</v>
      </c>
      <c r="L3445" t="str">
        <f t="shared" si="1411"/>
        <v>04-08-2020</v>
      </c>
      <c r="M3445" t="str">
        <f t="shared" si="1411"/>
        <v>04-08-2020</v>
      </c>
      <c r="N3445" t="str">
        <f t="shared" si="1395"/>
        <v>001105018356</v>
      </c>
      <c r="O3445" t="str">
        <f t="shared" si="1396"/>
        <v>MYR</v>
      </c>
      <c r="P3445" t="str">
        <f t="shared" si="1412"/>
        <v>NIL</v>
      </c>
      <c r="Q3445" t="str">
        <f t="shared" si="1412"/>
        <v>NIL</v>
      </c>
      <c r="R3445" t="str">
        <f t="shared" si="1397"/>
        <v>Accepted</v>
      </c>
      <c r="S3445" t="str">
        <f t="shared" si="1398"/>
        <v>Approved</v>
      </c>
      <c r="T3445" t="str">
        <f t="shared" si="1399"/>
        <v>10.20.8.188</v>
      </c>
      <c r="U3445" t="str">
        <f t="shared" si="1400"/>
        <v>AZRAD UMAR BIN SHAARI</v>
      </c>
      <c r="V3445" t="str">
        <f t="shared" si="1401"/>
        <v>FARHANA BINTI MUSTAPA</v>
      </c>
      <c r="W3445" t="str">
        <f t="shared" si="1402"/>
        <v>04-08-2020</v>
      </c>
      <c r="X3445" t="str">
        <f t="shared" si="1403"/>
        <v>RAZIMAH ANSAR AHMAD</v>
      </c>
      <c r="Y3445" t="str">
        <f t="shared" si="1404"/>
        <v>04-08-2020</v>
      </c>
      <c r="Z3445" t="str">
        <f>"COS10200804 5509"</f>
        <v>COS10200804 5509</v>
      </c>
    </row>
    <row r="3446" spans="1:26" x14ac:dyDescent="0.25">
      <c r="A3446" t="str">
        <f t="shared" si="1409"/>
        <v>04-08-2020 12:57:26</v>
      </c>
      <c r="B3446" t="str">
        <f>"0000807497"</f>
        <v>0000807497</v>
      </c>
      <c r="C3446" t="str">
        <f t="shared" si="1410"/>
        <v>0000807389</v>
      </c>
      <c r="D3446" t="str">
        <f t="shared" si="1392"/>
        <v>73185</v>
      </c>
      <c r="E3446" t="str">
        <f t="shared" si="1393"/>
        <v>KFH-OPERATIONS DEPARTMENT</v>
      </c>
      <c r="F3446" t="str">
        <f t="shared" si="1394"/>
        <v>IBG</v>
      </c>
      <c r="G3446" t="str">
        <f t="shared" si="1405"/>
        <v>Refund COSHARE 10</v>
      </c>
      <c r="H3446" s="2">
        <v>209.9</v>
      </c>
      <c r="I3446" t="str">
        <f>"MOHD ALIF BIN ABDULLAH"</f>
        <v>MOHD ALIF BIN ABDULLAH</v>
      </c>
      <c r="J3446" t="str">
        <f t="shared" si="1408"/>
        <v>MAYBANK / MAYBANK ISLAMIC</v>
      </c>
      <c r="K3446" t="str">
        <f>"110189097092"</f>
        <v>110189097092</v>
      </c>
      <c r="L3446" t="str">
        <f t="shared" si="1411"/>
        <v>04-08-2020</v>
      </c>
      <c r="M3446" t="str">
        <f t="shared" si="1411"/>
        <v>04-08-2020</v>
      </c>
      <c r="N3446" t="str">
        <f t="shared" si="1395"/>
        <v>001105018356</v>
      </c>
      <c r="O3446" t="str">
        <f t="shared" si="1396"/>
        <v>MYR</v>
      </c>
      <c r="P3446" t="str">
        <f t="shared" si="1412"/>
        <v>NIL</v>
      </c>
      <c r="Q3446" t="str">
        <f t="shared" si="1412"/>
        <v>NIL</v>
      </c>
      <c r="R3446" t="str">
        <f t="shared" si="1397"/>
        <v>Accepted</v>
      </c>
      <c r="S3446" t="str">
        <f t="shared" si="1398"/>
        <v>Approved</v>
      </c>
      <c r="T3446" t="str">
        <f t="shared" si="1399"/>
        <v>10.20.8.188</v>
      </c>
      <c r="U3446" t="str">
        <f t="shared" si="1400"/>
        <v>AZRAD UMAR BIN SHAARI</v>
      </c>
      <c r="V3446" t="str">
        <f t="shared" si="1401"/>
        <v>FARHANA BINTI MUSTAPA</v>
      </c>
      <c r="W3446" t="str">
        <f t="shared" si="1402"/>
        <v>04-08-2020</v>
      </c>
      <c r="X3446" t="str">
        <f t="shared" si="1403"/>
        <v>RAZIMAH ANSAR AHMAD</v>
      </c>
      <c r="Y3446" t="str">
        <f t="shared" si="1404"/>
        <v>04-08-2020</v>
      </c>
      <c r="Z3446" t="str">
        <f>"COS10200804 5508"</f>
        <v>COS10200804 5508</v>
      </c>
    </row>
    <row r="3447" spans="1:26" x14ac:dyDescent="0.25">
      <c r="A3447" t="str">
        <f t="shared" si="1409"/>
        <v>04-08-2020 12:57:26</v>
      </c>
      <c r="B3447" t="str">
        <f>"0000807496"</f>
        <v>0000807496</v>
      </c>
      <c r="C3447" t="str">
        <f t="shared" si="1410"/>
        <v>0000807389</v>
      </c>
      <c r="D3447" t="str">
        <f t="shared" si="1392"/>
        <v>73185</v>
      </c>
      <c r="E3447" t="str">
        <f t="shared" si="1393"/>
        <v>KFH-OPERATIONS DEPARTMENT</v>
      </c>
      <c r="F3447" t="str">
        <f t="shared" si="1394"/>
        <v>IBG</v>
      </c>
      <c r="G3447" t="str">
        <f t="shared" si="1405"/>
        <v>Refund COSHARE 10</v>
      </c>
      <c r="H3447" s="2">
        <v>503.7</v>
      </c>
      <c r="I3447" t="str">
        <f>"MOHD ALI BIN ZULKIFLI"</f>
        <v>MOHD ALI BIN ZULKIFLI</v>
      </c>
      <c r="J3447" t="str">
        <f t="shared" si="1408"/>
        <v>MAYBANK / MAYBANK ISLAMIC</v>
      </c>
      <c r="K3447" t="str">
        <f>"113015099433"</f>
        <v>113015099433</v>
      </c>
      <c r="L3447" t="str">
        <f t="shared" ref="L3447:M3466" si="1413">"04-08-2020"</f>
        <v>04-08-2020</v>
      </c>
      <c r="M3447" t="str">
        <f t="shared" si="1413"/>
        <v>04-08-2020</v>
      </c>
      <c r="N3447" t="str">
        <f t="shared" si="1395"/>
        <v>001105018356</v>
      </c>
      <c r="O3447" t="str">
        <f t="shared" si="1396"/>
        <v>MYR</v>
      </c>
      <c r="P3447" t="str">
        <f t="shared" ref="P3447:Q3466" si="1414">"NIL"</f>
        <v>NIL</v>
      </c>
      <c r="Q3447" t="str">
        <f t="shared" si="1414"/>
        <v>NIL</v>
      </c>
      <c r="R3447" t="str">
        <f t="shared" si="1397"/>
        <v>Accepted</v>
      </c>
      <c r="S3447" t="str">
        <f t="shared" si="1398"/>
        <v>Approved</v>
      </c>
      <c r="T3447" t="str">
        <f t="shared" si="1399"/>
        <v>10.20.8.188</v>
      </c>
      <c r="U3447" t="str">
        <f t="shared" si="1400"/>
        <v>AZRAD UMAR BIN SHAARI</v>
      </c>
      <c r="V3447" t="str">
        <f t="shared" si="1401"/>
        <v>FARHANA BINTI MUSTAPA</v>
      </c>
      <c r="W3447" t="str">
        <f t="shared" si="1402"/>
        <v>04-08-2020</v>
      </c>
      <c r="X3447" t="str">
        <f t="shared" si="1403"/>
        <v>RAZIMAH ANSAR AHMAD</v>
      </c>
      <c r="Y3447" t="str">
        <f t="shared" si="1404"/>
        <v>04-08-2020</v>
      </c>
      <c r="Z3447" t="str">
        <f>"COS10200804 5507"</f>
        <v>COS10200804 5507</v>
      </c>
    </row>
    <row r="3448" spans="1:26" x14ac:dyDescent="0.25">
      <c r="A3448" t="str">
        <f t="shared" si="1409"/>
        <v>04-08-2020 12:57:26</v>
      </c>
      <c r="B3448" t="str">
        <f>"0000807495"</f>
        <v>0000807495</v>
      </c>
      <c r="C3448" t="str">
        <f t="shared" si="1410"/>
        <v>0000807389</v>
      </c>
      <c r="D3448" t="str">
        <f t="shared" si="1392"/>
        <v>73185</v>
      </c>
      <c r="E3448" t="str">
        <f t="shared" si="1393"/>
        <v>KFH-OPERATIONS DEPARTMENT</v>
      </c>
      <c r="F3448" t="str">
        <f t="shared" si="1394"/>
        <v>IBG</v>
      </c>
      <c r="G3448" t="str">
        <f t="shared" si="1405"/>
        <v>Refund COSHARE 10</v>
      </c>
      <c r="H3448" s="2">
        <v>335.8</v>
      </c>
      <c r="I3448" t="str">
        <f>"MOHD AKMAR BIN IBRAHIM"</f>
        <v>MOHD AKMAR BIN IBRAHIM</v>
      </c>
      <c r="J3448" t="str">
        <f t="shared" si="1408"/>
        <v>MAYBANK / MAYBANK ISLAMIC</v>
      </c>
      <c r="K3448" t="str">
        <f>"164137429793"</f>
        <v>164137429793</v>
      </c>
      <c r="L3448" t="str">
        <f t="shared" si="1413"/>
        <v>04-08-2020</v>
      </c>
      <c r="M3448" t="str">
        <f t="shared" si="1413"/>
        <v>04-08-2020</v>
      </c>
      <c r="N3448" t="str">
        <f t="shared" si="1395"/>
        <v>001105018356</v>
      </c>
      <c r="O3448" t="str">
        <f t="shared" si="1396"/>
        <v>MYR</v>
      </c>
      <c r="P3448" t="str">
        <f t="shared" si="1414"/>
        <v>NIL</v>
      </c>
      <c r="Q3448" t="str">
        <f t="shared" si="1414"/>
        <v>NIL</v>
      </c>
      <c r="R3448" t="str">
        <f t="shared" si="1397"/>
        <v>Accepted</v>
      </c>
      <c r="S3448" t="str">
        <f t="shared" si="1398"/>
        <v>Approved</v>
      </c>
      <c r="T3448" t="str">
        <f t="shared" si="1399"/>
        <v>10.20.8.188</v>
      </c>
      <c r="U3448" t="str">
        <f t="shared" si="1400"/>
        <v>AZRAD UMAR BIN SHAARI</v>
      </c>
      <c r="V3448" t="str">
        <f t="shared" si="1401"/>
        <v>FARHANA BINTI MUSTAPA</v>
      </c>
      <c r="W3448" t="str">
        <f t="shared" si="1402"/>
        <v>04-08-2020</v>
      </c>
      <c r="X3448" t="str">
        <f t="shared" si="1403"/>
        <v>RAZIMAH ANSAR AHMAD</v>
      </c>
      <c r="Y3448" t="str">
        <f t="shared" si="1404"/>
        <v>04-08-2020</v>
      </c>
      <c r="Z3448" t="str">
        <f>"COS10200804 5506"</f>
        <v>COS10200804 5506</v>
      </c>
    </row>
    <row r="3449" spans="1:26" x14ac:dyDescent="0.25">
      <c r="A3449" t="str">
        <f t="shared" si="1409"/>
        <v>04-08-2020 12:57:26</v>
      </c>
      <c r="B3449" t="str">
        <f>"0000807494"</f>
        <v>0000807494</v>
      </c>
      <c r="C3449" t="str">
        <f t="shared" si="1410"/>
        <v>0000807389</v>
      </c>
      <c r="D3449" t="str">
        <f t="shared" si="1392"/>
        <v>73185</v>
      </c>
      <c r="E3449" t="str">
        <f t="shared" si="1393"/>
        <v>KFH-OPERATIONS DEPARTMENT</v>
      </c>
      <c r="F3449" t="str">
        <f t="shared" si="1394"/>
        <v>IBG</v>
      </c>
      <c r="G3449" t="str">
        <f t="shared" si="1405"/>
        <v>Refund COSHARE 10</v>
      </c>
      <c r="H3449" s="2">
        <v>839.5</v>
      </c>
      <c r="I3449" t="str">
        <f>"MOHD AKMAL BIN MOHD JIDIN"</f>
        <v>MOHD AKMAL BIN MOHD JIDIN</v>
      </c>
      <c r="J3449" t="str">
        <f t="shared" si="1408"/>
        <v>MAYBANK / MAYBANK ISLAMIC</v>
      </c>
      <c r="K3449" t="str">
        <f>"156093982805"</f>
        <v>156093982805</v>
      </c>
      <c r="L3449" t="str">
        <f t="shared" si="1413"/>
        <v>04-08-2020</v>
      </c>
      <c r="M3449" t="str">
        <f t="shared" si="1413"/>
        <v>04-08-2020</v>
      </c>
      <c r="N3449" t="str">
        <f t="shared" si="1395"/>
        <v>001105018356</v>
      </c>
      <c r="O3449" t="str">
        <f t="shared" si="1396"/>
        <v>MYR</v>
      </c>
      <c r="P3449" t="str">
        <f t="shared" si="1414"/>
        <v>NIL</v>
      </c>
      <c r="Q3449" t="str">
        <f t="shared" si="1414"/>
        <v>NIL</v>
      </c>
      <c r="R3449" t="str">
        <f t="shared" si="1397"/>
        <v>Accepted</v>
      </c>
      <c r="S3449" t="str">
        <f t="shared" si="1398"/>
        <v>Approved</v>
      </c>
      <c r="T3449" t="str">
        <f t="shared" si="1399"/>
        <v>10.20.8.188</v>
      </c>
      <c r="U3449" t="str">
        <f t="shared" si="1400"/>
        <v>AZRAD UMAR BIN SHAARI</v>
      </c>
      <c r="V3449" t="str">
        <f t="shared" si="1401"/>
        <v>FARHANA BINTI MUSTAPA</v>
      </c>
      <c r="W3449" t="str">
        <f t="shared" si="1402"/>
        <v>04-08-2020</v>
      </c>
      <c r="X3449" t="str">
        <f t="shared" si="1403"/>
        <v>RAZIMAH ANSAR AHMAD</v>
      </c>
      <c r="Y3449" t="str">
        <f t="shared" si="1404"/>
        <v>04-08-2020</v>
      </c>
      <c r="Z3449" t="str">
        <f>"COS10200804 5505"</f>
        <v>COS10200804 5505</v>
      </c>
    </row>
    <row r="3450" spans="1:26" x14ac:dyDescent="0.25">
      <c r="A3450" t="str">
        <f t="shared" ref="A3450:A3481" si="1415">"04-08-2020 12:57:26"</f>
        <v>04-08-2020 12:57:26</v>
      </c>
      <c r="B3450" t="str">
        <f>"0000807493"</f>
        <v>0000807493</v>
      </c>
      <c r="C3450" t="str">
        <f t="shared" ref="C3450:C3481" si="1416">"0000807389"</f>
        <v>0000807389</v>
      </c>
      <c r="D3450" t="str">
        <f t="shared" si="1392"/>
        <v>73185</v>
      </c>
      <c r="E3450" t="str">
        <f t="shared" si="1393"/>
        <v>KFH-OPERATIONS DEPARTMENT</v>
      </c>
      <c r="F3450" t="str">
        <f t="shared" si="1394"/>
        <v>IBG</v>
      </c>
      <c r="G3450" t="str">
        <f t="shared" si="1405"/>
        <v>Refund COSHARE 10</v>
      </c>
      <c r="H3450" s="2">
        <v>419.75</v>
      </c>
      <c r="I3450" t="str">
        <f>"MOHD AKMAL BIN ELIAS"</f>
        <v>MOHD AKMAL BIN ELIAS</v>
      </c>
      <c r="J3450" t="str">
        <f t="shared" si="1408"/>
        <v>MAYBANK / MAYBANK ISLAMIC</v>
      </c>
      <c r="K3450" t="str">
        <f>"162777040076"</f>
        <v>162777040076</v>
      </c>
      <c r="L3450" t="str">
        <f t="shared" si="1413"/>
        <v>04-08-2020</v>
      </c>
      <c r="M3450" t="str">
        <f t="shared" si="1413"/>
        <v>04-08-2020</v>
      </c>
      <c r="N3450" t="str">
        <f t="shared" si="1395"/>
        <v>001105018356</v>
      </c>
      <c r="O3450" t="str">
        <f t="shared" si="1396"/>
        <v>MYR</v>
      </c>
      <c r="P3450" t="str">
        <f t="shared" si="1414"/>
        <v>NIL</v>
      </c>
      <c r="Q3450" t="str">
        <f t="shared" si="1414"/>
        <v>NIL</v>
      </c>
      <c r="R3450" t="str">
        <f t="shared" si="1397"/>
        <v>Accepted</v>
      </c>
      <c r="S3450" t="str">
        <f t="shared" si="1398"/>
        <v>Approved</v>
      </c>
      <c r="T3450" t="str">
        <f t="shared" si="1399"/>
        <v>10.20.8.188</v>
      </c>
      <c r="U3450" t="str">
        <f t="shared" si="1400"/>
        <v>AZRAD UMAR BIN SHAARI</v>
      </c>
      <c r="V3450" t="str">
        <f t="shared" si="1401"/>
        <v>FARHANA BINTI MUSTAPA</v>
      </c>
      <c r="W3450" t="str">
        <f t="shared" si="1402"/>
        <v>04-08-2020</v>
      </c>
      <c r="X3450" t="str">
        <f t="shared" si="1403"/>
        <v>RAZIMAH ANSAR AHMAD</v>
      </c>
      <c r="Y3450" t="str">
        <f t="shared" si="1404"/>
        <v>04-08-2020</v>
      </c>
      <c r="Z3450" t="str">
        <f>"COS10200804 5504"</f>
        <v>COS10200804 5504</v>
      </c>
    </row>
    <row r="3451" spans="1:26" x14ac:dyDescent="0.25">
      <c r="A3451" t="str">
        <f t="shared" si="1415"/>
        <v>04-08-2020 12:57:26</v>
      </c>
      <c r="B3451" t="str">
        <f>"0000807492"</f>
        <v>0000807492</v>
      </c>
      <c r="C3451" t="str">
        <f t="shared" si="1416"/>
        <v>0000807389</v>
      </c>
      <c r="D3451" t="str">
        <f t="shared" si="1392"/>
        <v>73185</v>
      </c>
      <c r="E3451" t="str">
        <f t="shared" si="1393"/>
        <v>KFH-OPERATIONS DEPARTMENT</v>
      </c>
      <c r="F3451" t="str">
        <f t="shared" si="1394"/>
        <v>IBG</v>
      </c>
      <c r="G3451" t="str">
        <f t="shared" si="1405"/>
        <v>Refund COSHARE 10</v>
      </c>
      <c r="H3451" s="2">
        <v>125.95</v>
      </c>
      <c r="I3451" t="str">
        <f>"MOHD AKMAL BIN ELIAS"</f>
        <v>MOHD AKMAL BIN ELIAS</v>
      </c>
      <c r="J3451" t="str">
        <f t="shared" si="1408"/>
        <v>MAYBANK / MAYBANK ISLAMIC</v>
      </c>
      <c r="K3451" t="str">
        <f>"162777040076"</f>
        <v>162777040076</v>
      </c>
      <c r="L3451" t="str">
        <f t="shared" si="1413"/>
        <v>04-08-2020</v>
      </c>
      <c r="M3451" t="str">
        <f t="shared" si="1413"/>
        <v>04-08-2020</v>
      </c>
      <c r="N3451" t="str">
        <f t="shared" si="1395"/>
        <v>001105018356</v>
      </c>
      <c r="O3451" t="str">
        <f t="shared" si="1396"/>
        <v>MYR</v>
      </c>
      <c r="P3451" t="str">
        <f t="shared" si="1414"/>
        <v>NIL</v>
      </c>
      <c r="Q3451" t="str">
        <f t="shared" si="1414"/>
        <v>NIL</v>
      </c>
      <c r="R3451" t="str">
        <f t="shared" si="1397"/>
        <v>Accepted</v>
      </c>
      <c r="S3451" t="str">
        <f t="shared" si="1398"/>
        <v>Approved</v>
      </c>
      <c r="T3451" t="str">
        <f t="shared" si="1399"/>
        <v>10.20.8.188</v>
      </c>
      <c r="U3451" t="str">
        <f t="shared" si="1400"/>
        <v>AZRAD UMAR BIN SHAARI</v>
      </c>
      <c r="V3451" t="str">
        <f t="shared" si="1401"/>
        <v>FARHANA BINTI MUSTAPA</v>
      </c>
      <c r="W3451" t="str">
        <f t="shared" si="1402"/>
        <v>04-08-2020</v>
      </c>
      <c r="X3451" t="str">
        <f t="shared" si="1403"/>
        <v>RAZIMAH ANSAR AHMAD</v>
      </c>
      <c r="Y3451" t="str">
        <f t="shared" si="1404"/>
        <v>04-08-2020</v>
      </c>
      <c r="Z3451" t="str">
        <f>"COS10200804 5503"</f>
        <v>COS10200804 5503</v>
      </c>
    </row>
    <row r="3452" spans="1:26" x14ac:dyDescent="0.25">
      <c r="A3452" t="str">
        <f t="shared" si="1415"/>
        <v>04-08-2020 12:57:26</v>
      </c>
      <c r="B3452" t="str">
        <f>"0000807491"</f>
        <v>0000807491</v>
      </c>
      <c r="C3452" t="str">
        <f t="shared" si="1416"/>
        <v>0000807389</v>
      </c>
      <c r="D3452" t="str">
        <f t="shared" si="1392"/>
        <v>73185</v>
      </c>
      <c r="E3452" t="str">
        <f t="shared" si="1393"/>
        <v>KFH-OPERATIONS DEPARTMENT</v>
      </c>
      <c r="F3452" t="str">
        <f t="shared" si="1394"/>
        <v>IBG</v>
      </c>
      <c r="G3452" t="str">
        <f t="shared" si="1405"/>
        <v>Refund COSHARE 10</v>
      </c>
      <c r="H3452" s="2">
        <v>277.05</v>
      </c>
      <c r="I3452" t="str">
        <f>"MOHD AIDILLAH FITRI BIN ABDULLAH"</f>
        <v>MOHD AIDILLAH FITRI BIN ABDULLAH</v>
      </c>
      <c r="J3452" t="str">
        <f t="shared" si="1408"/>
        <v>MAYBANK / MAYBANK ISLAMIC</v>
      </c>
      <c r="K3452" t="str">
        <f>"164043631034"</f>
        <v>164043631034</v>
      </c>
      <c r="L3452" t="str">
        <f t="shared" si="1413"/>
        <v>04-08-2020</v>
      </c>
      <c r="M3452" t="str">
        <f t="shared" si="1413"/>
        <v>04-08-2020</v>
      </c>
      <c r="N3452" t="str">
        <f t="shared" si="1395"/>
        <v>001105018356</v>
      </c>
      <c r="O3452" t="str">
        <f t="shared" si="1396"/>
        <v>MYR</v>
      </c>
      <c r="P3452" t="str">
        <f t="shared" si="1414"/>
        <v>NIL</v>
      </c>
      <c r="Q3452" t="str">
        <f t="shared" si="1414"/>
        <v>NIL</v>
      </c>
      <c r="R3452" t="str">
        <f t="shared" si="1397"/>
        <v>Accepted</v>
      </c>
      <c r="S3452" t="str">
        <f t="shared" si="1398"/>
        <v>Approved</v>
      </c>
      <c r="T3452" t="str">
        <f t="shared" si="1399"/>
        <v>10.20.8.188</v>
      </c>
      <c r="U3452" t="str">
        <f t="shared" si="1400"/>
        <v>AZRAD UMAR BIN SHAARI</v>
      </c>
      <c r="V3452" t="str">
        <f t="shared" si="1401"/>
        <v>FARHANA BINTI MUSTAPA</v>
      </c>
      <c r="W3452" t="str">
        <f t="shared" si="1402"/>
        <v>04-08-2020</v>
      </c>
      <c r="X3452" t="str">
        <f t="shared" si="1403"/>
        <v>RAZIMAH ANSAR AHMAD</v>
      </c>
      <c r="Y3452" t="str">
        <f t="shared" si="1404"/>
        <v>04-08-2020</v>
      </c>
      <c r="Z3452" t="str">
        <f>"COS10200804 5502"</f>
        <v>COS10200804 5502</v>
      </c>
    </row>
    <row r="3453" spans="1:26" x14ac:dyDescent="0.25">
      <c r="A3453" t="str">
        <f t="shared" si="1415"/>
        <v>04-08-2020 12:57:26</v>
      </c>
      <c r="B3453" t="str">
        <f>"0000807490"</f>
        <v>0000807490</v>
      </c>
      <c r="C3453" t="str">
        <f t="shared" si="1416"/>
        <v>0000807389</v>
      </c>
      <c r="D3453" t="str">
        <f t="shared" si="1392"/>
        <v>73185</v>
      </c>
      <c r="E3453" t="str">
        <f t="shared" si="1393"/>
        <v>KFH-OPERATIONS DEPARTMENT</v>
      </c>
      <c r="F3453" t="str">
        <f t="shared" si="1394"/>
        <v>IBG</v>
      </c>
      <c r="G3453" t="str">
        <f t="shared" si="1405"/>
        <v>Refund COSHARE 10</v>
      </c>
      <c r="H3453" s="2">
        <v>75.599999999999994</v>
      </c>
      <c r="I3453" t="str">
        <f>"MOHD AIDIL BIN JAMARI"</f>
        <v>MOHD AIDIL BIN JAMARI</v>
      </c>
      <c r="J3453" t="str">
        <f t="shared" si="1408"/>
        <v>MAYBANK / MAYBANK ISLAMIC</v>
      </c>
      <c r="K3453" t="str">
        <f>"151128189024"</f>
        <v>151128189024</v>
      </c>
      <c r="L3453" t="str">
        <f t="shared" si="1413"/>
        <v>04-08-2020</v>
      </c>
      <c r="M3453" t="str">
        <f t="shared" si="1413"/>
        <v>04-08-2020</v>
      </c>
      <c r="N3453" t="str">
        <f t="shared" si="1395"/>
        <v>001105018356</v>
      </c>
      <c r="O3453" t="str">
        <f t="shared" si="1396"/>
        <v>MYR</v>
      </c>
      <c r="P3453" t="str">
        <f t="shared" si="1414"/>
        <v>NIL</v>
      </c>
      <c r="Q3453" t="str">
        <f t="shared" si="1414"/>
        <v>NIL</v>
      </c>
      <c r="R3453" t="str">
        <f t="shared" si="1397"/>
        <v>Accepted</v>
      </c>
      <c r="S3453" t="str">
        <f t="shared" si="1398"/>
        <v>Approved</v>
      </c>
      <c r="T3453" t="str">
        <f t="shared" si="1399"/>
        <v>10.20.8.188</v>
      </c>
      <c r="U3453" t="str">
        <f t="shared" si="1400"/>
        <v>AZRAD UMAR BIN SHAARI</v>
      </c>
      <c r="V3453" t="str">
        <f t="shared" si="1401"/>
        <v>FARHANA BINTI MUSTAPA</v>
      </c>
      <c r="W3453" t="str">
        <f t="shared" si="1402"/>
        <v>04-08-2020</v>
      </c>
      <c r="X3453" t="str">
        <f t="shared" si="1403"/>
        <v>RAZIMAH ANSAR AHMAD</v>
      </c>
      <c r="Y3453" t="str">
        <f t="shared" si="1404"/>
        <v>04-08-2020</v>
      </c>
      <c r="Z3453" t="str">
        <f>"COS10200804 5501"</f>
        <v>COS10200804 5501</v>
      </c>
    </row>
    <row r="3454" spans="1:26" x14ac:dyDescent="0.25">
      <c r="A3454" t="str">
        <f t="shared" si="1415"/>
        <v>04-08-2020 12:57:26</v>
      </c>
      <c r="B3454" t="str">
        <f>"0000807489"</f>
        <v>0000807489</v>
      </c>
      <c r="C3454" t="str">
        <f t="shared" si="1416"/>
        <v>0000807389</v>
      </c>
      <c r="D3454" t="str">
        <f t="shared" si="1392"/>
        <v>73185</v>
      </c>
      <c r="E3454" t="str">
        <f t="shared" si="1393"/>
        <v>KFH-OPERATIONS DEPARTMENT</v>
      </c>
      <c r="F3454" t="str">
        <f t="shared" si="1394"/>
        <v>IBG</v>
      </c>
      <c r="G3454" t="str">
        <f t="shared" si="1405"/>
        <v>Refund COSHARE 10</v>
      </c>
      <c r="H3454" s="2">
        <v>285.45</v>
      </c>
      <c r="I3454" t="str">
        <f>"MOHD AGOST BIN ABU"</f>
        <v>MOHD AGOST BIN ABU</v>
      </c>
      <c r="J3454" t="str">
        <f t="shared" si="1408"/>
        <v>MAYBANK / MAYBANK ISLAMIC</v>
      </c>
      <c r="K3454" t="str">
        <f>"104059022500"</f>
        <v>104059022500</v>
      </c>
      <c r="L3454" t="str">
        <f t="shared" si="1413"/>
        <v>04-08-2020</v>
      </c>
      <c r="M3454" t="str">
        <f t="shared" si="1413"/>
        <v>04-08-2020</v>
      </c>
      <c r="N3454" t="str">
        <f t="shared" si="1395"/>
        <v>001105018356</v>
      </c>
      <c r="O3454" t="str">
        <f t="shared" si="1396"/>
        <v>MYR</v>
      </c>
      <c r="P3454" t="str">
        <f t="shared" si="1414"/>
        <v>NIL</v>
      </c>
      <c r="Q3454" t="str">
        <f t="shared" si="1414"/>
        <v>NIL</v>
      </c>
      <c r="R3454" t="str">
        <f t="shared" si="1397"/>
        <v>Accepted</v>
      </c>
      <c r="S3454" t="str">
        <f t="shared" si="1398"/>
        <v>Approved</v>
      </c>
      <c r="T3454" t="str">
        <f t="shared" si="1399"/>
        <v>10.20.8.188</v>
      </c>
      <c r="U3454" t="str">
        <f t="shared" si="1400"/>
        <v>AZRAD UMAR BIN SHAARI</v>
      </c>
      <c r="V3454" t="str">
        <f t="shared" si="1401"/>
        <v>FARHANA BINTI MUSTAPA</v>
      </c>
      <c r="W3454" t="str">
        <f t="shared" si="1402"/>
        <v>04-08-2020</v>
      </c>
      <c r="X3454" t="str">
        <f t="shared" si="1403"/>
        <v>RAZIMAH ANSAR AHMAD</v>
      </c>
      <c r="Y3454" t="str">
        <f t="shared" si="1404"/>
        <v>04-08-2020</v>
      </c>
      <c r="Z3454" t="str">
        <f>"COS10200804 5500"</f>
        <v>COS10200804 5500</v>
      </c>
    </row>
    <row r="3455" spans="1:26" x14ac:dyDescent="0.25">
      <c r="A3455" t="str">
        <f t="shared" si="1415"/>
        <v>04-08-2020 12:57:26</v>
      </c>
      <c r="B3455" t="str">
        <f>"0000807488"</f>
        <v>0000807488</v>
      </c>
      <c r="C3455" t="str">
        <f t="shared" si="1416"/>
        <v>0000807389</v>
      </c>
      <c r="D3455" t="str">
        <f t="shared" si="1392"/>
        <v>73185</v>
      </c>
      <c r="E3455" t="str">
        <f t="shared" si="1393"/>
        <v>KFH-OPERATIONS DEPARTMENT</v>
      </c>
      <c r="F3455" t="str">
        <f t="shared" si="1394"/>
        <v>IBG</v>
      </c>
      <c r="G3455" t="str">
        <f t="shared" si="1405"/>
        <v>Refund COSHARE 10</v>
      </c>
      <c r="H3455" s="2">
        <v>137</v>
      </c>
      <c r="I3455" t="str">
        <f>"MOHD AFIS BIN MOHD AZIS"</f>
        <v>MOHD AFIS BIN MOHD AZIS</v>
      </c>
      <c r="J3455" t="str">
        <f t="shared" si="1408"/>
        <v>MAYBANK / MAYBANK ISLAMIC</v>
      </c>
      <c r="K3455" t="str">
        <f>"116015045358"</f>
        <v>116015045358</v>
      </c>
      <c r="L3455" t="str">
        <f t="shared" si="1413"/>
        <v>04-08-2020</v>
      </c>
      <c r="M3455" t="str">
        <f t="shared" si="1413"/>
        <v>04-08-2020</v>
      </c>
      <c r="N3455" t="str">
        <f t="shared" si="1395"/>
        <v>001105018356</v>
      </c>
      <c r="O3455" t="str">
        <f t="shared" si="1396"/>
        <v>MYR</v>
      </c>
      <c r="P3455" t="str">
        <f t="shared" si="1414"/>
        <v>NIL</v>
      </c>
      <c r="Q3455" t="str">
        <f t="shared" si="1414"/>
        <v>NIL</v>
      </c>
      <c r="R3455" t="str">
        <f t="shared" si="1397"/>
        <v>Accepted</v>
      </c>
      <c r="S3455" t="str">
        <f t="shared" si="1398"/>
        <v>Approved</v>
      </c>
      <c r="T3455" t="str">
        <f t="shared" si="1399"/>
        <v>10.20.8.188</v>
      </c>
      <c r="U3455" t="str">
        <f t="shared" si="1400"/>
        <v>AZRAD UMAR BIN SHAARI</v>
      </c>
      <c r="V3455" t="str">
        <f t="shared" si="1401"/>
        <v>FARHANA BINTI MUSTAPA</v>
      </c>
      <c r="W3455" t="str">
        <f t="shared" si="1402"/>
        <v>04-08-2020</v>
      </c>
      <c r="X3455" t="str">
        <f t="shared" si="1403"/>
        <v>RAZIMAH ANSAR AHMAD</v>
      </c>
      <c r="Y3455" t="str">
        <f t="shared" si="1404"/>
        <v>04-08-2020</v>
      </c>
      <c r="Z3455" t="str">
        <f>"COS10200804 5499"</f>
        <v>COS10200804 5499</v>
      </c>
    </row>
    <row r="3456" spans="1:26" x14ac:dyDescent="0.25">
      <c r="A3456" t="str">
        <f t="shared" si="1415"/>
        <v>04-08-2020 12:57:26</v>
      </c>
      <c r="B3456" t="str">
        <f>"0000807487"</f>
        <v>0000807487</v>
      </c>
      <c r="C3456" t="str">
        <f t="shared" si="1416"/>
        <v>0000807389</v>
      </c>
      <c r="D3456" t="str">
        <f t="shared" si="1392"/>
        <v>73185</v>
      </c>
      <c r="E3456" t="str">
        <f t="shared" si="1393"/>
        <v>KFH-OPERATIONS DEPARTMENT</v>
      </c>
      <c r="F3456" t="str">
        <f t="shared" si="1394"/>
        <v>IBG</v>
      </c>
      <c r="G3456" t="str">
        <f t="shared" si="1405"/>
        <v>Refund COSHARE 10</v>
      </c>
      <c r="H3456" s="2">
        <v>630</v>
      </c>
      <c r="I3456" t="str">
        <f>"MOHD AFENDI BIN MOHD SAIDIN"</f>
        <v>MOHD AFENDI BIN MOHD SAIDIN</v>
      </c>
      <c r="J3456" t="str">
        <f t="shared" si="1408"/>
        <v>MAYBANK / MAYBANK ISLAMIC</v>
      </c>
      <c r="K3456" t="str">
        <f>"114105243532"</f>
        <v>114105243532</v>
      </c>
      <c r="L3456" t="str">
        <f t="shared" si="1413"/>
        <v>04-08-2020</v>
      </c>
      <c r="M3456" t="str">
        <f t="shared" si="1413"/>
        <v>04-08-2020</v>
      </c>
      <c r="N3456" t="str">
        <f t="shared" si="1395"/>
        <v>001105018356</v>
      </c>
      <c r="O3456" t="str">
        <f t="shared" si="1396"/>
        <v>MYR</v>
      </c>
      <c r="P3456" t="str">
        <f t="shared" si="1414"/>
        <v>NIL</v>
      </c>
      <c r="Q3456" t="str">
        <f t="shared" si="1414"/>
        <v>NIL</v>
      </c>
      <c r="R3456" t="str">
        <f t="shared" si="1397"/>
        <v>Accepted</v>
      </c>
      <c r="S3456" t="str">
        <f t="shared" si="1398"/>
        <v>Approved</v>
      </c>
      <c r="T3456" t="str">
        <f t="shared" si="1399"/>
        <v>10.20.8.188</v>
      </c>
      <c r="U3456" t="str">
        <f t="shared" si="1400"/>
        <v>AZRAD UMAR BIN SHAARI</v>
      </c>
      <c r="V3456" t="str">
        <f t="shared" si="1401"/>
        <v>FARHANA BINTI MUSTAPA</v>
      </c>
      <c r="W3456" t="str">
        <f t="shared" si="1402"/>
        <v>04-08-2020</v>
      </c>
      <c r="X3456" t="str">
        <f t="shared" si="1403"/>
        <v>RAZIMAH ANSAR AHMAD</v>
      </c>
      <c r="Y3456" t="str">
        <f t="shared" si="1404"/>
        <v>04-08-2020</v>
      </c>
      <c r="Z3456" t="str">
        <f>"COS10200804 5498"</f>
        <v>COS10200804 5498</v>
      </c>
    </row>
    <row r="3457" spans="1:26" x14ac:dyDescent="0.25">
      <c r="A3457" t="str">
        <f t="shared" si="1415"/>
        <v>04-08-2020 12:57:26</v>
      </c>
      <c r="B3457" t="str">
        <f>"0000807486"</f>
        <v>0000807486</v>
      </c>
      <c r="C3457" t="str">
        <f t="shared" si="1416"/>
        <v>0000807389</v>
      </c>
      <c r="D3457" t="str">
        <f t="shared" si="1392"/>
        <v>73185</v>
      </c>
      <c r="E3457" t="str">
        <f t="shared" si="1393"/>
        <v>KFH-OPERATIONS DEPARTMENT</v>
      </c>
      <c r="F3457" t="str">
        <f t="shared" si="1394"/>
        <v>IBG</v>
      </c>
      <c r="G3457" t="str">
        <f t="shared" si="1405"/>
        <v>Refund COSHARE 10</v>
      </c>
      <c r="H3457" s="2">
        <v>1259.25</v>
      </c>
      <c r="I3457" t="str">
        <f>"MOHD ADZRI BIN JAMIAN"</f>
        <v>MOHD ADZRI BIN JAMIAN</v>
      </c>
      <c r="J3457" t="str">
        <f t="shared" si="1408"/>
        <v>MAYBANK / MAYBANK ISLAMIC</v>
      </c>
      <c r="K3457" t="str">
        <f>"160063287035"</f>
        <v>160063287035</v>
      </c>
      <c r="L3457" t="str">
        <f t="shared" si="1413"/>
        <v>04-08-2020</v>
      </c>
      <c r="M3457" t="str">
        <f t="shared" si="1413"/>
        <v>04-08-2020</v>
      </c>
      <c r="N3457" t="str">
        <f t="shared" si="1395"/>
        <v>001105018356</v>
      </c>
      <c r="O3457" t="str">
        <f t="shared" si="1396"/>
        <v>MYR</v>
      </c>
      <c r="P3457" t="str">
        <f t="shared" si="1414"/>
        <v>NIL</v>
      </c>
      <c r="Q3457" t="str">
        <f t="shared" si="1414"/>
        <v>NIL</v>
      </c>
      <c r="R3457" t="str">
        <f t="shared" si="1397"/>
        <v>Accepted</v>
      </c>
      <c r="S3457" t="str">
        <f t="shared" si="1398"/>
        <v>Approved</v>
      </c>
      <c r="T3457" t="str">
        <f t="shared" si="1399"/>
        <v>10.20.8.188</v>
      </c>
      <c r="U3457" t="str">
        <f t="shared" si="1400"/>
        <v>AZRAD UMAR BIN SHAARI</v>
      </c>
      <c r="V3457" t="str">
        <f t="shared" si="1401"/>
        <v>FARHANA BINTI MUSTAPA</v>
      </c>
      <c r="W3457" t="str">
        <f t="shared" si="1402"/>
        <v>04-08-2020</v>
      </c>
      <c r="X3457" t="str">
        <f t="shared" si="1403"/>
        <v>RAZIMAH ANSAR AHMAD</v>
      </c>
      <c r="Y3457" t="str">
        <f t="shared" si="1404"/>
        <v>04-08-2020</v>
      </c>
      <c r="Z3457" t="str">
        <f>"COS10200804 5497"</f>
        <v>COS10200804 5497</v>
      </c>
    </row>
    <row r="3458" spans="1:26" x14ac:dyDescent="0.25">
      <c r="A3458" t="str">
        <f t="shared" si="1415"/>
        <v>04-08-2020 12:57:26</v>
      </c>
      <c r="B3458" t="str">
        <f>"0000807485"</f>
        <v>0000807485</v>
      </c>
      <c r="C3458" t="str">
        <f t="shared" si="1416"/>
        <v>0000807389</v>
      </c>
      <c r="D3458" t="str">
        <f t="shared" si="1392"/>
        <v>73185</v>
      </c>
      <c r="E3458" t="str">
        <f t="shared" si="1393"/>
        <v>KFH-OPERATIONS DEPARTMENT</v>
      </c>
      <c r="F3458" t="str">
        <f t="shared" si="1394"/>
        <v>IBG</v>
      </c>
      <c r="G3458" t="str">
        <f t="shared" si="1405"/>
        <v>Refund COSHARE 10</v>
      </c>
      <c r="H3458" s="2">
        <v>797.55</v>
      </c>
      <c r="I3458" t="str">
        <f>"MOHD ADRUS BIN HARUN"</f>
        <v>MOHD ADRUS BIN HARUN</v>
      </c>
      <c r="J3458" t="str">
        <f t="shared" si="1408"/>
        <v>MAYBANK / MAYBANK ISLAMIC</v>
      </c>
      <c r="K3458" t="str">
        <f>"151098347182"</f>
        <v>151098347182</v>
      </c>
      <c r="L3458" t="str">
        <f t="shared" si="1413"/>
        <v>04-08-2020</v>
      </c>
      <c r="M3458" t="str">
        <f t="shared" si="1413"/>
        <v>04-08-2020</v>
      </c>
      <c r="N3458" t="str">
        <f t="shared" si="1395"/>
        <v>001105018356</v>
      </c>
      <c r="O3458" t="str">
        <f t="shared" si="1396"/>
        <v>MYR</v>
      </c>
      <c r="P3458" t="str">
        <f t="shared" si="1414"/>
        <v>NIL</v>
      </c>
      <c r="Q3458" t="str">
        <f t="shared" si="1414"/>
        <v>NIL</v>
      </c>
      <c r="R3458" t="str">
        <f t="shared" si="1397"/>
        <v>Accepted</v>
      </c>
      <c r="S3458" t="str">
        <f t="shared" si="1398"/>
        <v>Approved</v>
      </c>
      <c r="T3458" t="str">
        <f t="shared" si="1399"/>
        <v>10.20.8.188</v>
      </c>
      <c r="U3458" t="str">
        <f t="shared" si="1400"/>
        <v>AZRAD UMAR BIN SHAARI</v>
      </c>
      <c r="V3458" t="str">
        <f t="shared" si="1401"/>
        <v>FARHANA BINTI MUSTAPA</v>
      </c>
      <c r="W3458" t="str">
        <f t="shared" si="1402"/>
        <v>04-08-2020</v>
      </c>
      <c r="X3458" t="str">
        <f t="shared" si="1403"/>
        <v>RAZIMAH ANSAR AHMAD</v>
      </c>
      <c r="Y3458" t="str">
        <f t="shared" si="1404"/>
        <v>04-08-2020</v>
      </c>
      <c r="Z3458" t="str">
        <f>"COS10200804 5496"</f>
        <v>COS10200804 5496</v>
      </c>
    </row>
    <row r="3459" spans="1:26" x14ac:dyDescent="0.25">
      <c r="A3459" t="str">
        <f t="shared" si="1415"/>
        <v>04-08-2020 12:57:26</v>
      </c>
      <c r="B3459" t="str">
        <f>"0000807484"</f>
        <v>0000807484</v>
      </c>
      <c r="C3459" t="str">
        <f t="shared" si="1416"/>
        <v>0000807389</v>
      </c>
      <c r="D3459" t="str">
        <f t="shared" si="1392"/>
        <v>73185</v>
      </c>
      <c r="E3459" t="str">
        <f t="shared" si="1393"/>
        <v>KFH-OPERATIONS DEPARTMENT</v>
      </c>
      <c r="F3459" t="str">
        <f t="shared" si="1394"/>
        <v>IBG</v>
      </c>
      <c r="G3459" t="str">
        <f t="shared" si="1405"/>
        <v>Refund COSHARE 10</v>
      </c>
      <c r="H3459" s="2">
        <v>1393.6</v>
      </c>
      <c r="I3459" t="str">
        <f>"MOHD ADIB BIN RAMLI"</f>
        <v>MOHD ADIB BIN RAMLI</v>
      </c>
      <c r="J3459" t="str">
        <f t="shared" si="1408"/>
        <v>MAYBANK / MAYBANK ISLAMIC</v>
      </c>
      <c r="K3459" t="str">
        <f>"112090037889"</f>
        <v>112090037889</v>
      </c>
      <c r="L3459" t="str">
        <f t="shared" si="1413"/>
        <v>04-08-2020</v>
      </c>
      <c r="M3459" t="str">
        <f t="shared" si="1413"/>
        <v>04-08-2020</v>
      </c>
      <c r="N3459" t="str">
        <f t="shared" si="1395"/>
        <v>001105018356</v>
      </c>
      <c r="O3459" t="str">
        <f t="shared" si="1396"/>
        <v>MYR</v>
      </c>
      <c r="P3459" t="str">
        <f t="shared" si="1414"/>
        <v>NIL</v>
      </c>
      <c r="Q3459" t="str">
        <f t="shared" si="1414"/>
        <v>NIL</v>
      </c>
      <c r="R3459" t="str">
        <f t="shared" si="1397"/>
        <v>Accepted</v>
      </c>
      <c r="S3459" t="str">
        <f t="shared" si="1398"/>
        <v>Approved</v>
      </c>
      <c r="T3459" t="str">
        <f t="shared" si="1399"/>
        <v>10.20.8.188</v>
      </c>
      <c r="U3459" t="str">
        <f t="shared" si="1400"/>
        <v>AZRAD UMAR BIN SHAARI</v>
      </c>
      <c r="V3459" t="str">
        <f t="shared" si="1401"/>
        <v>FARHANA BINTI MUSTAPA</v>
      </c>
      <c r="W3459" t="str">
        <f t="shared" si="1402"/>
        <v>04-08-2020</v>
      </c>
      <c r="X3459" t="str">
        <f t="shared" si="1403"/>
        <v>RAZIMAH ANSAR AHMAD</v>
      </c>
      <c r="Y3459" t="str">
        <f t="shared" si="1404"/>
        <v>04-08-2020</v>
      </c>
      <c r="Z3459" t="str">
        <f>"COS10200804 5495"</f>
        <v>COS10200804 5495</v>
      </c>
    </row>
    <row r="3460" spans="1:26" x14ac:dyDescent="0.25">
      <c r="A3460" t="str">
        <f t="shared" si="1415"/>
        <v>04-08-2020 12:57:26</v>
      </c>
      <c r="B3460" t="str">
        <f>"0000807483"</f>
        <v>0000807483</v>
      </c>
      <c r="C3460" t="str">
        <f t="shared" si="1416"/>
        <v>0000807389</v>
      </c>
      <c r="D3460" t="str">
        <f t="shared" si="1392"/>
        <v>73185</v>
      </c>
      <c r="E3460" t="str">
        <f t="shared" si="1393"/>
        <v>KFH-OPERATIONS DEPARTMENT</v>
      </c>
      <c r="F3460" t="str">
        <f t="shared" si="1394"/>
        <v>IBG</v>
      </c>
      <c r="G3460" t="str">
        <f t="shared" si="1405"/>
        <v>Refund COSHARE 10</v>
      </c>
      <c r="H3460" s="2">
        <v>51</v>
      </c>
      <c r="I3460" t="str">
        <f>"MOHD ADHA BIN NOOR MOHD JAMEL"</f>
        <v>MOHD ADHA BIN NOOR MOHD JAMEL</v>
      </c>
      <c r="J3460" t="str">
        <f t="shared" si="1408"/>
        <v>MAYBANK / MAYBANK ISLAMIC</v>
      </c>
      <c r="K3460" t="str">
        <f>"166010209243"</f>
        <v>166010209243</v>
      </c>
      <c r="L3460" t="str">
        <f t="shared" si="1413"/>
        <v>04-08-2020</v>
      </c>
      <c r="M3460" t="str">
        <f t="shared" si="1413"/>
        <v>04-08-2020</v>
      </c>
      <c r="N3460" t="str">
        <f t="shared" si="1395"/>
        <v>001105018356</v>
      </c>
      <c r="O3460" t="str">
        <f t="shared" si="1396"/>
        <v>MYR</v>
      </c>
      <c r="P3460" t="str">
        <f t="shared" si="1414"/>
        <v>NIL</v>
      </c>
      <c r="Q3460" t="str">
        <f t="shared" si="1414"/>
        <v>NIL</v>
      </c>
      <c r="R3460" t="str">
        <f t="shared" si="1397"/>
        <v>Accepted</v>
      </c>
      <c r="S3460" t="str">
        <f t="shared" si="1398"/>
        <v>Approved</v>
      </c>
      <c r="T3460" t="str">
        <f t="shared" si="1399"/>
        <v>10.20.8.188</v>
      </c>
      <c r="U3460" t="str">
        <f t="shared" si="1400"/>
        <v>AZRAD UMAR BIN SHAARI</v>
      </c>
      <c r="V3460" t="str">
        <f t="shared" si="1401"/>
        <v>FARHANA BINTI MUSTAPA</v>
      </c>
      <c r="W3460" t="str">
        <f t="shared" si="1402"/>
        <v>04-08-2020</v>
      </c>
      <c r="X3460" t="str">
        <f t="shared" si="1403"/>
        <v>RAZIMAH ANSAR AHMAD</v>
      </c>
      <c r="Y3460" t="str">
        <f t="shared" si="1404"/>
        <v>04-08-2020</v>
      </c>
      <c r="Z3460" t="str">
        <f>"COS10200804 5494"</f>
        <v>COS10200804 5494</v>
      </c>
    </row>
    <row r="3461" spans="1:26" x14ac:dyDescent="0.25">
      <c r="A3461" t="str">
        <f t="shared" si="1415"/>
        <v>04-08-2020 12:57:26</v>
      </c>
      <c r="B3461" t="str">
        <f>"0000807482"</f>
        <v>0000807482</v>
      </c>
      <c r="C3461" t="str">
        <f t="shared" si="1416"/>
        <v>0000807389</v>
      </c>
      <c r="D3461" t="str">
        <f t="shared" si="1392"/>
        <v>73185</v>
      </c>
      <c r="E3461" t="str">
        <f t="shared" si="1393"/>
        <v>KFH-OPERATIONS DEPARTMENT</v>
      </c>
      <c r="F3461" t="str">
        <f t="shared" si="1394"/>
        <v>IBG</v>
      </c>
      <c r="G3461" t="str">
        <f t="shared" si="1405"/>
        <v>Refund COSHARE 10</v>
      </c>
      <c r="H3461" s="2">
        <v>1366</v>
      </c>
      <c r="I3461" t="str">
        <f>"MOHAYAH BINTI MOHAMAD"</f>
        <v>MOHAYAH BINTI MOHAMAD</v>
      </c>
      <c r="J3461" t="str">
        <f t="shared" si="1408"/>
        <v>MAYBANK / MAYBANK ISLAMIC</v>
      </c>
      <c r="K3461" t="str">
        <f>"164034200539"</f>
        <v>164034200539</v>
      </c>
      <c r="L3461" t="str">
        <f t="shared" si="1413"/>
        <v>04-08-2020</v>
      </c>
      <c r="M3461" t="str">
        <f t="shared" si="1413"/>
        <v>04-08-2020</v>
      </c>
      <c r="N3461" t="str">
        <f t="shared" si="1395"/>
        <v>001105018356</v>
      </c>
      <c r="O3461" t="str">
        <f t="shared" si="1396"/>
        <v>MYR</v>
      </c>
      <c r="P3461" t="str">
        <f t="shared" si="1414"/>
        <v>NIL</v>
      </c>
      <c r="Q3461" t="str">
        <f t="shared" si="1414"/>
        <v>NIL</v>
      </c>
      <c r="R3461" t="str">
        <f t="shared" si="1397"/>
        <v>Accepted</v>
      </c>
      <c r="S3461" t="str">
        <f t="shared" si="1398"/>
        <v>Approved</v>
      </c>
      <c r="T3461" t="str">
        <f t="shared" si="1399"/>
        <v>10.20.8.188</v>
      </c>
      <c r="U3461" t="str">
        <f t="shared" si="1400"/>
        <v>AZRAD UMAR BIN SHAARI</v>
      </c>
      <c r="V3461" t="str">
        <f t="shared" si="1401"/>
        <v>FARHANA BINTI MUSTAPA</v>
      </c>
      <c r="W3461" t="str">
        <f t="shared" si="1402"/>
        <v>04-08-2020</v>
      </c>
      <c r="X3461" t="str">
        <f t="shared" si="1403"/>
        <v>RAZIMAH ANSAR AHMAD</v>
      </c>
      <c r="Y3461" t="str">
        <f t="shared" si="1404"/>
        <v>04-08-2020</v>
      </c>
      <c r="Z3461" t="str">
        <f>"COS10200804 5493"</f>
        <v>COS10200804 5493</v>
      </c>
    </row>
    <row r="3462" spans="1:26" x14ac:dyDescent="0.25">
      <c r="A3462" t="str">
        <f t="shared" si="1415"/>
        <v>04-08-2020 12:57:26</v>
      </c>
      <c r="B3462" t="str">
        <f>"0000807481"</f>
        <v>0000807481</v>
      </c>
      <c r="C3462" t="str">
        <f t="shared" si="1416"/>
        <v>0000807389</v>
      </c>
      <c r="D3462" t="str">
        <f t="shared" si="1392"/>
        <v>73185</v>
      </c>
      <c r="E3462" t="str">
        <f t="shared" si="1393"/>
        <v>KFH-OPERATIONS DEPARTMENT</v>
      </c>
      <c r="F3462" t="str">
        <f t="shared" si="1394"/>
        <v>IBG</v>
      </c>
      <c r="G3462" t="str">
        <f t="shared" si="1405"/>
        <v>Refund COSHARE 10</v>
      </c>
      <c r="H3462" s="2">
        <v>377.8</v>
      </c>
      <c r="I3462" t="str">
        <f>"MOHAMMED NIZAM BIN MOHAMED NAZIR"</f>
        <v>MOHAMMED NIZAM BIN MOHAMED NAZIR</v>
      </c>
      <c r="J3462" t="str">
        <f t="shared" si="1408"/>
        <v>MAYBANK / MAYBANK ISLAMIC</v>
      </c>
      <c r="K3462" t="str">
        <f>"108150101276"</f>
        <v>108150101276</v>
      </c>
      <c r="L3462" t="str">
        <f t="shared" si="1413"/>
        <v>04-08-2020</v>
      </c>
      <c r="M3462" t="str">
        <f t="shared" si="1413"/>
        <v>04-08-2020</v>
      </c>
      <c r="N3462" t="str">
        <f t="shared" si="1395"/>
        <v>001105018356</v>
      </c>
      <c r="O3462" t="str">
        <f t="shared" si="1396"/>
        <v>MYR</v>
      </c>
      <c r="P3462" t="str">
        <f t="shared" si="1414"/>
        <v>NIL</v>
      </c>
      <c r="Q3462" t="str">
        <f t="shared" si="1414"/>
        <v>NIL</v>
      </c>
      <c r="R3462" t="str">
        <f t="shared" si="1397"/>
        <v>Accepted</v>
      </c>
      <c r="S3462" t="str">
        <f t="shared" si="1398"/>
        <v>Approved</v>
      </c>
      <c r="T3462" t="str">
        <f t="shared" si="1399"/>
        <v>10.20.8.188</v>
      </c>
      <c r="U3462" t="str">
        <f t="shared" si="1400"/>
        <v>AZRAD UMAR BIN SHAARI</v>
      </c>
      <c r="V3462" t="str">
        <f t="shared" si="1401"/>
        <v>FARHANA BINTI MUSTAPA</v>
      </c>
      <c r="W3462" t="str">
        <f t="shared" si="1402"/>
        <v>04-08-2020</v>
      </c>
      <c r="X3462" t="str">
        <f t="shared" si="1403"/>
        <v>RAZIMAH ANSAR AHMAD</v>
      </c>
      <c r="Y3462" t="str">
        <f t="shared" si="1404"/>
        <v>04-08-2020</v>
      </c>
      <c r="Z3462" t="str">
        <f>"COS10200804 5492"</f>
        <v>COS10200804 5492</v>
      </c>
    </row>
    <row r="3463" spans="1:26" x14ac:dyDescent="0.25">
      <c r="A3463" t="str">
        <f t="shared" si="1415"/>
        <v>04-08-2020 12:57:26</v>
      </c>
      <c r="B3463" t="str">
        <f>"0000807480"</f>
        <v>0000807480</v>
      </c>
      <c r="C3463" t="str">
        <f t="shared" si="1416"/>
        <v>0000807389</v>
      </c>
      <c r="D3463" t="str">
        <f t="shared" ref="D3463:D3526" si="1417">"73185"</f>
        <v>73185</v>
      </c>
      <c r="E3463" t="str">
        <f t="shared" ref="E3463:E3526" si="1418">"KFH-OPERATIONS DEPARTMENT"</f>
        <v>KFH-OPERATIONS DEPARTMENT</v>
      </c>
      <c r="F3463" t="str">
        <f t="shared" ref="F3463:F3526" si="1419">"IBG"</f>
        <v>IBG</v>
      </c>
      <c r="G3463" t="str">
        <f t="shared" si="1405"/>
        <v>Refund COSHARE 10</v>
      </c>
      <c r="H3463" s="2">
        <v>377.8</v>
      </c>
      <c r="I3463" t="str">
        <f>"MOHAMMED NIZAM BIN MOHAMED NAZIR"</f>
        <v>MOHAMMED NIZAM BIN MOHAMED NAZIR</v>
      </c>
      <c r="J3463" t="str">
        <f t="shared" si="1408"/>
        <v>MAYBANK / MAYBANK ISLAMIC</v>
      </c>
      <c r="K3463" t="str">
        <f>"108150101276"</f>
        <v>108150101276</v>
      </c>
      <c r="L3463" t="str">
        <f t="shared" si="1413"/>
        <v>04-08-2020</v>
      </c>
      <c r="M3463" t="str">
        <f t="shared" si="1413"/>
        <v>04-08-2020</v>
      </c>
      <c r="N3463" t="str">
        <f t="shared" ref="N3463:N3526" si="1420">"001105018356"</f>
        <v>001105018356</v>
      </c>
      <c r="O3463" t="str">
        <f t="shared" ref="O3463:O3526" si="1421">"MYR"</f>
        <v>MYR</v>
      </c>
      <c r="P3463" t="str">
        <f t="shared" si="1414"/>
        <v>NIL</v>
      </c>
      <c r="Q3463" t="str">
        <f t="shared" si="1414"/>
        <v>NIL</v>
      </c>
      <c r="R3463" t="str">
        <f t="shared" ref="R3463:R3526" si="1422">"Accepted"</f>
        <v>Accepted</v>
      </c>
      <c r="S3463" t="str">
        <f t="shared" ref="S3463:S3526" si="1423">"Approved"</f>
        <v>Approved</v>
      </c>
      <c r="T3463" t="str">
        <f t="shared" ref="T3463:T3526" si="1424">"10.20.8.188"</f>
        <v>10.20.8.188</v>
      </c>
      <c r="U3463" t="str">
        <f t="shared" ref="U3463:U3526" si="1425">"AZRAD UMAR BIN SHAARI"</f>
        <v>AZRAD UMAR BIN SHAARI</v>
      </c>
      <c r="V3463" t="str">
        <f t="shared" ref="V3463:V3526" si="1426">"FARHANA BINTI MUSTAPA"</f>
        <v>FARHANA BINTI MUSTAPA</v>
      </c>
      <c r="W3463" t="str">
        <f t="shared" ref="W3463:W3526" si="1427">"04-08-2020"</f>
        <v>04-08-2020</v>
      </c>
      <c r="X3463" t="str">
        <f t="shared" ref="X3463:X3526" si="1428">"RAZIMAH ANSAR AHMAD"</f>
        <v>RAZIMAH ANSAR AHMAD</v>
      </c>
      <c r="Y3463" t="str">
        <f t="shared" ref="Y3463:Y3526" si="1429">"04-08-2020"</f>
        <v>04-08-2020</v>
      </c>
      <c r="Z3463" t="str">
        <f>"COS10200804 5491"</f>
        <v>COS10200804 5491</v>
      </c>
    </row>
    <row r="3464" spans="1:26" x14ac:dyDescent="0.25">
      <c r="A3464" t="str">
        <f t="shared" si="1415"/>
        <v>04-08-2020 12:57:26</v>
      </c>
      <c r="B3464" t="str">
        <f>"0000807479"</f>
        <v>0000807479</v>
      </c>
      <c r="C3464" t="str">
        <f t="shared" si="1416"/>
        <v>0000807389</v>
      </c>
      <c r="D3464" t="str">
        <f t="shared" si="1417"/>
        <v>73185</v>
      </c>
      <c r="E3464" t="str">
        <f t="shared" si="1418"/>
        <v>KFH-OPERATIONS DEPARTMENT</v>
      </c>
      <c r="F3464" t="str">
        <f t="shared" si="1419"/>
        <v>IBG</v>
      </c>
      <c r="G3464" t="str">
        <f t="shared" si="1405"/>
        <v>Refund COSHARE 10</v>
      </c>
      <c r="H3464" s="2">
        <v>354</v>
      </c>
      <c r="I3464" t="str">
        <f>"MOHAMMED LEE BIN ABDULLAH"</f>
        <v>MOHAMMED LEE BIN ABDULLAH</v>
      </c>
      <c r="J3464" t="str">
        <f t="shared" si="1408"/>
        <v>MAYBANK / MAYBANK ISLAMIC</v>
      </c>
      <c r="K3464" t="str">
        <f>"160027279839"</f>
        <v>160027279839</v>
      </c>
      <c r="L3464" t="str">
        <f t="shared" si="1413"/>
        <v>04-08-2020</v>
      </c>
      <c r="M3464" t="str">
        <f t="shared" si="1413"/>
        <v>04-08-2020</v>
      </c>
      <c r="N3464" t="str">
        <f t="shared" si="1420"/>
        <v>001105018356</v>
      </c>
      <c r="O3464" t="str">
        <f t="shared" si="1421"/>
        <v>MYR</v>
      </c>
      <c r="P3464" t="str">
        <f t="shared" si="1414"/>
        <v>NIL</v>
      </c>
      <c r="Q3464" t="str">
        <f t="shared" si="1414"/>
        <v>NIL</v>
      </c>
      <c r="R3464" t="str">
        <f t="shared" si="1422"/>
        <v>Accepted</v>
      </c>
      <c r="S3464" t="str">
        <f t="shared" si="1423"/>
        <v>Approved</v>
      </c>
      <c r="T3464" t="str">
        <f t="shared" si="1424"/>
        <v>10.20.8.188</v>
      </c>
      <c r="U3464" t="str">
        <f t="shared" si="1425"/>
        <v>AZRAD UMAR BIN SHAARI</v>
      </c>
      <c r="V3464" t="str">
        <f t="shared" si="1426"/>
        <v>FARHANA BINTI MUSTAPA</v>
      </c>
      <c r="W3464" t="str">
        <f t="shared" si="1427"/>
        <v>04-08-2020</v>
      </c>
      <c r="X3464" t="str">
        <f t="shared" si="1428"/>
        <v>RAZIMAH ANSAR AHMAD</v>
      </c>
      <c r="Y3464" t="str">
        <f t="shared" si="1429"/>
        <v>04-08-2020</v>
      </c>
      <c r="Z3464" t="str">
        <f>"COS10200804 5490"</f>
        <v>COS10200804 5490</v>
      </c>
    </row>
    <row r="3465" spans="1:26" x14ac:dyDescent="0.25">
      <c r="A3465" t="str">
        <f t="shared" si="1415"/>
        <v>04-08-2020 12:57:26</v>
      </c>
      <c r="B3465" t="str">
        <f>"0000807478"</f>
        <v>0000807478</v>
      </c>
      <c r="C3465" t="str">
        <f t="shared" si="1416"/>
        <v>0000807389</v>
      </c>
      <c r="D3465" t="str">
        <f t="shared" si="1417"/>
        <v>73185</v>
      </c>
      <c r="E3465" t="str">
        <f t="shared" si="1418"/>
        <v>KFH-OPERATIONS DEPARTMENT</v>
      </c>
      <c r="F3465" t="str">
        <f t="shared" si="1419"/>
        <v>IBG</v>
      </c>
      <c r="G3465" t="str">
        <f t="shared" si="1405"/>
        <v>Refund COSHARE 10</v>
      </c>
      <c r="H3465" s="2">
        <v>444.65</v>
      </c>
      <c r="I3465" t="str">
        <f>"MOHAMMED FADZLI BIN YUSOF"</f>
        <v>MOHAMMED FADZLI BIN YUSOF</v>
      </c>
      <c r="J3465" t="str">
        <f t="shared" si="1408"/>
        <v>MAYBANK / MAYBANK ISLAMIC</v>
      </c>
      <c r="K3465" t="str">
        <f>"101011772259"</f>
        <v>101011772259</v>
      </c>
      <c r="L3465" t="str">
        <f t="shared" si="1413"/>
        <v>04-08-2020</v>
      </c>
      <c r="M3465" t="str">
        <f t="shared" si="1413"/>
        <v>04-08-2020</v>
      </c>
      <c r="N3465" t="str">
        <f t="shared" si="1420"/>
        <v>001105018356</v>
      </c>
      <c r="O3465" t="str">
        <f t="shared" si="1421"/>
        <v>MYR</v>
      </c>
      <c r="P3465" t="str">
        <f t="shared" si="1414"/>
        <v>NIL</v>
      </c>
      <c r="Q3465" t="str">
        <f t="shared" si="1414"/>
        <v>NIL</v>
      </c>
      <c r="R3465" t="str">
        <f t="shared" si="1422"/>
        <v>Accepted</v>
      </c>
      <c r="S3465" t="str">
        <f t="shared" si="1423"/>
        <v>Approved</v>
      </c>
      <c r="T3465" t="str">
        <f t="shared" si="1424"/>
        <v>10.20.8.188</v>
      </c>
      <c r="U3465" t="str">
        <f t="shared" si="1425"/>
        <v>AZRAD UMAR BIN SHAARI</v>
      </c>
      <c r="V3465" t="str">
        <f t="shared" si="1426"/>
        <v>FARHANA BINTI MUSTAPA</v>
      </c>
      <c r="W3465" t="str">
        <f t="shared" si="1427"/>
        <v>04-08-2020</v>
      </c>
      <c r="X3465" t="str">
        <f t="shared" si="1428"/>
        <v>RAZIMAH ANSAR AHMAD</v>
      </c>
      <c r="Y3465" t="str">
        <f t="shared" si="1429"/>
        <v>04-08-2020</v>
      </c>
      <c r="Z3465" t="str">
        <f>"COS10200804 5489"</f>
        <v>COS10200804 5489</v>
      </c>
    </row>
    <row r="3466" spans="1:26" x14ac:dyDescent="0.25">
      <c r="A3466" t="str">
        <f t="shared" si="1415"/>
        <v>04-08-2020 12:57:26</v>
      </c>
      <c r="B3466" t="str">
        <f>"0000807477"</f>
        <v>0000807477</v>
      </c>
      <c r="C3466" t="str">
        <f t="shared" si="1416"/>
        <v>0000807389</v>
      </c>
      <c r="D3466" t="str">
        <f t="shared" si="1417"/>
        <v>73185</v>
      </c>
      <c r="E3466" t="str">
        <f t="shared" si="1418"/>
        <v>KFH-OPERATIONS DEPARTMENT</v>
      </c>
      <c r="F3466" t="str">
        <f t="shared" si="1419"/>
        <v>IBG</v>
      </c>
      <c r="G3466" t="str">
        <f t="shared" si="1405"/>
        <v>Refund COSHARE 10</v>
      </c>
      <c r="H3466" s="2">
        <v>1563</v>
      </c>
      <c r="I3466" t="str">
        <f>"MOHAMMAD ZUHANDRI BIN ZULKIPLE"</f>
        <v>MOHAMMAD ZUHANDRI BIN ZULKIPLE</v>
      </c>
      <c r="J3466" t="str">
        <f t="shared" si="1408"/>
        <v>MAYBANK / MAYBANK ISLAMIC</v>
      </c>
      <c r="K3466" t="str">
        <f>"102103037499"</f>
        <v>102103037499</v>
      </c>
      <c r="L3466" t="str">
        <f t="shared" si="1413"/>
        <v>04-08-2020</v>
      </c>
      <c r="M3466" t="str">
        <f t="shared" si="1413"/>
        <v>04-08-2020</v>
      </c>
      <c r="N3466" t="str">
        <f t="shared" si="1420"/>
        <v>001105018356</v>
      </c>
      <c r="O3466" t="str">
        <f t="shared" si="1421"/>
        <v>MYR</v>
      </c>
      <c r="P3466" t="str">
        <f t="shared" si="1414"/>
        <v>NIL</v>
      </c>
      <c r="Q3466" t="str">
        <f t="shared" si="1414"/>
        <v>NIL</v>
      </c>
      <c r="R3466" t="str">
        <f t="shared" si="1422"/>
        <v>Accepted</v>
      </c>
      <c r="S3466" t="str">
        <f t="shared" si="1423"/>
        <v>Approved</v>
      </c>
      <c r="T3466" t="str">
        <f t="shared" si="1424"/>
        <v>10.20.8.188</v>
      </c>
      <c r="U3466" t="str">
        <f t="shared" si="1425"/>
        <v>AZRAD UMAR BIN SHAARI</v>
      </c>
      <c r="V3466" t="str">
        <f t="shared" si="1426"/>
        <v>FARHANA BINTI MUSTAPA</v>
      </c>
      <c r="W3466" t="str">
        <f t="shared" si="1427"/>
        <v>04-08-2020</v>
      </c>
      <c r="X3466" t="str">
        <f t="shared" si="1428"/>
        <v>RAZIMAH ANSAR AHMAD</v>
      </c>
      <c r="Y3466" t="str">
        <f t="shared" si="1429"/>
        <v>04-08-2020</v>
      </c>
      <c r="Z3466" t="str">
        <f>"COS10200804 5488"</f>
        <v>COS10200804 5488</v>
      </c>
    </row>
    <row r="3467" spans="1:26" x14ac:dyDescent="0.25">
      <c r="A3467" t="str">
        <f t="shared" si="1415"/>
        <v>04-08-2020 12:57:26</v>
      </c>
      <c r="B3467" t="str">
        <f>"0000807476"</f>
        <v>0000807476</v>
      </c>
      <c r="C3467" t="str">
        <f t="shared" si="1416"/>
        <v>0000807389</v>
      </c>
      <c r="D3467" t="str">
        <f t="shared" si="1417"/>
        <v>73185</v>
      </c>
      <c r="E3467" t="str">
        <f t="shared" si="1418"/>
        <v>KFH-OPERATIONS DEPARTMENT</v>
      </c>
      <c r="F3467" t="str">
        <f t="shared" si="1419"/>
        <v>IBG</v>
      </c>
      <c r="G3467" t="str">
        <f t="shared" si="1405"/>
        <v>Refund COSHARE 10</v>
      </c>
      <c r="H3467" s="2">
        <v>663.2</v>
      </c>
      <c r="I3467" t="str">
        <f>"MOHAMMAD YUSOF BIN LAKITI"</f>
        <v>MOHAMMAD YUSOF BIN LAKITI</v>
      </c>
      <c r="J3467" t="str">
        <f t="shared" si="1408"/>
        <v>MAYBANK / MAYBANK ISLAMIC</v>
      </c>
      <c r="K3467" t="str">
        <f>"164043603590"</f>
        <v>164043603590</v>
      </c>
      <c r="L3467" t="str">
        <f t="shared" ref="L3467:M3486" si="1430">"04-08-2020"</f>
        <v>04-08-2020</v>
      </c>
      <c r="M3467" t="str">
        <f t="shared" si="1430"/>
        <v>04-08-2020</v>
      </c>
      <c r="N3467" t="str">
        <f t="shared" si="1420"/>
        <v>001105018356</v>
      </c>
      <c r="O3467" t="str">
        <f t="shared" si="1421"/>
        <v>MYR</v>
      </c>
      <c r="P3467" t="str">
        <f t="shared" ref="P3467:Q3486" si="1431">"NIL"</f>
        <v>NIL</v>
      </c>
      <c r="Q3467" t="str">
        <f t="shared" si="1431"/>
        <v>NIL</v>
      </c>
      <c r="R3467" t="str">
        <f t="shared" si="1422"/>
        <v>Accepted</v>
      </c>
      <c r="S3467" t="str">
        <f t="shared" si="1423"/>
        <v>Approved</v>
      </c>
      <c r="T3467" t="str">
        <f t="shared" si="1424"/>
        <v>10.20.8.188</v>
      </c>
      <c r="U3467" t="str">
        <f t="shared" si="1425"/>
        <v>AZRAD UMAR BIN SHAARI</v>
      </c>
      <c r="V3467" t="str">
        <f t="shared" si="1426"/>
        <v>FARHANA BINTI MUSTAPA</v>
      </c>
      <c r="W3467" t="str">
        <f t="shared" si="1427"/>
        <v>04-08-2020</v>
      </c>
      <c r="X3467" t="str">
        <f t="shared" si="1428"/>
        <v>RAZIMAH ANSAR AHMAD</v>
      </c>
      <c r="Y3467" t="str">
        <f t="shared" si="1429"/>
        <v>04-08-2020</v>
      </c>
      <c r="Z3467" t="str">
        <f>"COS10200804 5487"</f>
        <v>COS10200804 5487</v>
      </c>
    </row>
    <row r="3468" spans="1:26" x14ac:dyDescent="0.25">
      <c r="A3468" t="str">
        <f t="shared" si="1415"/>
        <v>04-08-2020 12:57:26</v>
      </c>
      <c r="B3468" t="str">
        <f>"0000807475"</f>
        <v>0000807475</v>
      </c>
      <c r="C3468" t="str">
        <f t="shared" si="1416"/>
        <v>0000807389</v>
      </c>
      <c r="D3468" t="str">
        <f t="shared" si="1417"/>
        <v>73185</v>
      </c>
      <c r="E3468" t="str">
        <f t="shared" si="1418"/>
        <v>KFH-OPERATIONS DEPARTMENT</v>
      </c>
      <c r="F3468" t="str">
        <f t="shared" si="1419"/>
        <v>IBG</v>
      </c>
      <c r="G3468" t="str">
        <f t="shared" ref="G3468:G3531" si="1432">"Refund COSHARE 10"</f>
        <v>Refund COSHARE 10</v>
      </c>
      <c r="H3468" s="2">
        <v>399.15</v>
      </c>
      <c r="I3468" t="str">
        <f>"MOHAMMAD SHARIMAN BIN ZAKARIA"</f>
        <v>MOHAMMAD SHARIMAN BIN ZAKARIA</v>
      </c>
      <c r="J3468" t="str">
        <f t="shared" si="1408"/>
        <v>MAYBANK / MAYBANK ISLAMIC</v>
      </c>
      <c r="K3468" t="str">
        <f>"114366056905"</f>
        <v>114366056905</v>
      </c>
      <c r="L3468" t="str">
        <f t="shared" si="1430"/>
        <v>04-08-2020</v>
      </c>
      <c r="M3468" t="str">
        <f t="shared" si="1430"/>
        <v>04-08-2020</v>
      </c>
      <c r="N3468" t="str">
        <f t="shared" si="1420"/>
        <v>001105018356</v>
      </c>
      <c r="O3468" t="str">
        <f t="shared" si="1421"/>
        <v>MYR</v>
      </c>
      <c r="P3468" t="str">
        <f t="shared" si="1431"/>
        <v>NIL</v>
      </c>
      <c r="Q3468" t="str">
        <f t="shared" si="1431"/>
        <v>NIL</v>
      </c>
      <c r="R3468" t="str">
        <f t="shared" si="1422"/>
        <v>Accepted</v>
      </c>
      <c r="S3468" t="str">
        <f t="shared" si="1423"/>
        <v>Approved</v>
      </c>
      <c r="T3468" t="str">
        <f t="shared" si="1424"/>
        <v>10.20.8.188</v>
      </c>
      <c r="U3468" t="str">
        <f t="shared" si="1425"/>
        <v>AZRAD UMAR BIN SHAARI</v>
      </c>
      <c r="V3468" t="str">
        <f t="shared" si="1426"/>
        <v>FARHANA BINTI MUSTAPA</v>
      </c>
      <c r="W3468" t="str">
        <f t="shared" si="1427"/>
        <v>04-08-2020</v>
      </c>
      <c r="X3468" t="str">
        <f t="shared" si="1428"/>
        <v>RAZIMAH ANSAR AHMAD</v>
      </c>
      <c r="Y3468" t="str">
        <f t="shared" si="1429"/>
        <v>04-08-2020</v>
      </c>
      <c r="Z3468" t="str">
        <f>"COS10200804 5486"</f>
        <v>COS10200804 5486</v>
      </c>
    </row>
    <row r="3469" spans="1:26" x14ac:dyDescent="0.25">
      <c r="A3469" t="str">
        <f t="shared" si="1415"/>
        <v>04-08-2020 12:57:26</v>
      </c>
      <c r="B3469" t="str">
        <f>"0000807474"</f>
        <v>0000807474</v>
      </c>
      <c r="C3469" t="str">
        <f t="shared" si="1416"/>
        <v>0000807389</v>
      </c>
      <c r="D3469" t="str">
        <f t="shared" si="1417"/>
        <v>73185</v>
      </c>
      <c r="E3469" t="str">
        <f t="shared" si="1418"/>
        <v>KFH-OPERATIONS DEPARTMENT</v>
      </c>
      <c r="F3469" t="str">
        <f t="shared" si="1419"/>
        <v>IBG</v>
      </c>
      <c r="G3469" t="str">
        <f t="shared" si="1432"/>
        <v>Refund COSHARE 10</v>
      </c>
      <c r="H3469" s="2">
        <v>100.75</v>
      </c>
      <c r="I3469" t="str">
        <f>"MOHAMMAD SAYUTI BIN ZAKARIA"</f>
        <v>MOHAMMAD SAYUTI BIN ZAKARIA</v>
      </c>
      <c r="J3469" t="str">
        <f t="shared" si="1408"/>
        <v>MAYBANK / MAYBANK ISLAMIC</v>
      </c>
      <c r="K3469" t="str">
        <f>"158163125805"</f>
        <v>158163125805</v>
      </c>
      <c r="L3469" t="str">
        <f t="shared" si="1430"/>
        <v>04-08-2020</v>
      </c>
      <c r="M3469" t="str">
        <f t="shared" si="1430"/>
        <v>04-08-2020</v>
      </c>
      <c r="N3469" t="str">
        <f t="shared" si="1420"/>
        <v>001105018356</v>
      </c>
      <c r="O3469" t="str">
        <f t="shared" si="1421"/>
        <v>MYR</v>
      </c>
      <c r="P3469" t="str">
        <f t="shared" si="1431"/>
        <v>NIL</v>
      </c>
      <c r="Q3469" t="str">
        <f t="shared" si="1431"/>
        <v>NIL</v>
      </c>
      <c r="R3469" t="str">
        <f t="shared" si="1422"/>
        <v>Accepted</v>
      </c>
      <c r="S3469" t="str">
        <f t="shared" si="1423"/>
        <v>Approved</v>
      </c>
      <c r="T3469" t="str">
        <f t="shared" si="1424"/>
        <v>10.20.8.188</v>
      </c>
      <c r="U3469" t="str">
        <f t="shared" si="1425"/>
        <v>AZRAD UMAR BIN SHAARI</v>
      </c>
      <c r="V3469" t="str">
        <f t="shared" si="1426"/>
        <v>FARHANA BINTI MUSTAPA</v>
      </c>
      <c r="W3469" t="str">
        <f t="shared" si="1427"/>
        <v>04-08-2020</v>
      </c>
      <c r="X3469" t="str">
        <f t="shared" si="1428"/>
        <v>RAZIMAH ANSAR AHMAD</v>
      </c>
      <c r="Y3469" t="str">
        <f t="shared" si="1429"/>
        <v>04-08-2020</v>
      </c>
      <c r="Z3469" t="str">
        <f>"COS10200804 5485"</f>
        <v>COS10200804 5485</v>
      </c>
    </row>
    <row r="3470" spans="1:26" x14ac:dyDescent="0.25">
      <c r="A3470" t="str">
        <f t="shared" si="1415"/>
        <v>04-08-2020 12:57:26</v>
      </c>
      <c r="B3470" t="str">
        <f>"0000807473"</f>
        <v>0000807473</v>
      </c>
      <c r="C3470" t="str">
        <f t="shared" si="1416"/>
        <v>0000807389</v>
      </c>
      <c r="D3470" t="str">
        <f t="shared" si="1417"/>
        <v>73185</v>
      </c>
      <c r="E3470" t="str">
        <f t="shared" si="1418"/>
        <v>KFH-OPERATIONS DEPARTMENT</v>
      </c>
      <c r="F3470" t="str">
        <f t="shared" si="1419"/>
        <v>IBG</v>
      </c>
      <c r="G3470" t="str">
        <f t="shared" si="1432"/>
        <v>Refund COSHARE 10</v>
      </c>
      <c r="H3470" s="2">
        <v>50.4</v>
      </c>
      <c r="I3470" t="str">
        <f>"MOHAMMAD SANTI YASRAN BIN HASAN"</f>
        <v>MOHAMMAD SANTI YASRAN BIN HASAN</v>
      </c>
      <c r="J3470" t="str">
        <f t="shared" si="1408"/>
        <v>MAYBANK / MAYBANK ISLAMIC</v>
      </c>
      <c r="K3470" t="str">
        <f>"160027012885"</f>
        <v>160027012885</v>
      </c>
      <c r="L3470" t="str">
        <f t="shared" si="1430"/>
        <v>04-08-2020</v>
      </c>
      <c r="M3470" t="str">
        <f t="shared" si="1430"/>
        <v>04-08-2020</v>
      </c>
      <c r="N3470" t="str">
        <f t="shared" si="1420"/>
        <v>001105018356</v>
      </c>
      <c r="O3470" t="str">
        <f t="shared" si="1421"/>
        <v>MYR</v>
      </c>
      <c r="P3470" t="str">
        <f t="shared" si="1431"/>
        <v>NIL</v>
      </c>
      <c r="Q3470" t="str">
        <f t="shared" si="1431"/>
        <v>NIL</v>
      </c>
      <c r="R3470" t="str">
        <f t="shared" si="1422"/>
        <v>Accepted</v>
      </c>
      <c r="S3470" t="str">
        <f t="shared" si="1423"/>
        <v>Approved</v>
      </c>
      <c r="T3470" t="str">
        <f t="shared" si="1424"/>
        <v>10.20.8.188</v>
      </c>
      <c r="U3470" t="str">
        <f t="shared" si="1425"/>
        <v>AZRAD UMAR BIN SHAARI</v>
      </c>
      <c r="V3470" t="str">
        <f t="shared" si="1426"/>
        <v>FARHANA BINTI MUSTAPA</v>
      </c>
      <c r="W3470" t="str">
        <f t="shared" si="1427"/>
        <v>04-08-2020</v>
      </c>
      <c r="X3470" t="str">
        <f t="shared" si="1428"/>
        <v>RAZIMAH ANSAR AHMAD</v>
      </c>
      <c r="Y3470" t="str">
        <f t="shared" si="1429"/>
        <v>04-08-2020</v>
      </c>
      <c r="Z3470" t="str">
        <f>"COS10200804 5484"</f>
        <v>COS10200804 5484</v>
      </c>
    </row>
    <row r="3471" spans="1:26" x14ac:dyDescent="0.25">
      <c r="A3471" t="str">
        <f t="shared" si="1415"/>
        <v>04-08-2020 12:57:26</v>
      </c>
      <c r="B3471" t="str">
        <f>"0000807472"</f>
        <v>0000807472</v>
      </c>
      <c r="C3471" t="str">
        <f t="shared" si="1416"/>
        <v>0000807389</v>
      </c>
      <c r="D3471" t="str">
        <f t="shared" si="1417"/>
        <v>73185</v>
      </c>
      <c r="E3471" t="str">
        <f t="shared" si="1418"/>
        <v>KFH-OPERATIONS DEPARTMENT</v>
      </c>
      <c r="F3471" t="str">
        <f t="shared" si="1419"/>
        <v>IBG</v>
      </c>
      <c r="G3471" t="str">
        <f t="shared" si="1432"/>
        <v>Refund COSHARE 10</v>
      </c>
      <c r="H3471" s="2">
        <v>92.35</v>
      </c>
      <c r="I3471" t="str">
        <f>"MOHAMMAD ROZI BIN ABU BAKAR"</f>
        <v>MOHAMMAD ROZI BIN ABU BAKAR</v>
      </c>
      <c r="J3471" t="str">
        <f t="shared" si="1408"/>
        <v>MAYBANK / MAYBANK ISLAMIC</v>
      </c>
      <c r="K3471" t="str">
        <f>"153010967155"</f>
        <v>153010967155</v>
      </c>
      <c r="L3471" t="str">
        <f t="shared" si="1430"/>
        <v>04-08-2020</v>
      </c>
      <c r="M3471" t="str">
        <f t="shared" si="1430"/>
        <v>04-08-2020</v>
      </c>
      <c r="N3471" t="str">
        <f t="shared" si="1420"/>
        <v>001105018356</v>
      </c>
      <c r="O3471" t="str">
        <f t="shared" si="1421"/>
        <v>MYR</v>
      </c>
      <c r="P3471" t="str">
        <f t="shared" si="1431"/>
        <v>NIL</v>
      </c>
      <c r="Q3471" t="str">
        <f t="shared" si="1431"/>
        <v>NIL</v>
      </c>
      <c r="R3471" t="str">
        <f t="shared" si="1422"/>
        <v>Accepted</v>
      </c>
      <c r="S3471" t="str">
        <f t="shared" si="1423"/>
        <v>Approved</v>
      </c>
      <c r="T3471" t="str">
        <f t="shared" si="1424"/>
        <v>10.20.8.188</v>
      </c>
      <c r="U3471" t="str">
        <f t="shared" si="1425"/>
        <v>AZRAD UMAR BIN SHAARI</v>
      </c>
      <c r="V3471" t="str">
        <f t="shared" si="1426"/>
        <v>FARHANA BINTI MUSTAPA</v>
      </c>
      <c r="W3471" t="str">
        <f t="shared" si="1427"/>
        <v>04-08-2020</v>
      </c>
      <c r="X3471" t="str">
        <f t="shared" si="1428"/>
        <v>RAZIMAH ANSAR AHMAD</v>
      </c>
      <c r="Y3471" t="str">
        <f t="shared" si="1429"/>
        <v>04-08-2020</v>
      </c>
      <c r="Z3471" t="str">
        <f>"COS10200804 5483"</f>
        <v>COS10200804 5483</v>
      </c>
    </row>
    <row r="3472" spans="1:26" x14ac:dyDescent="0.25">
      <c r="A3472" t="str">
        <f t="shared" si="1415"/>
        <v>04-08-2020 12:57:26</v>
      </c>
      <c r="B3472" t="str">
        <f>"0000807471"</f>
        <v>0000807471</v>
      </c>
      <c r="C3472" t="str">
        <f t="shared" si="1416"/>
        <v>0000807389</v>
      </c>
      <c r="D3472" t="str">
        <f t="shared" si="1417"/>
        <v>73185</v>
      </c>
      <c r="E3472" t="str">
        <f t="shared" si="1418"/>
        <v>KFH-OPERATIONS DEPARTMENT</v>
      </c>
      <c r="F3472" t="str">
        <f t="shared" si="1419"/>
        <v>IBG</v>
      </c>
      <c r="G3472" t="str">
        <f t="shared" si="1432"/>
        <v>Refund COSHARE 10</v>
      </c>
      <c r="H3472" s="2">
        <v>285.45</v>
      </c>
      <c r="I3472" t="str">
        <f>"MOHAMMAD RAFIDZAL ABDULLAH ALIAS"</f>
        <v>MOHAMMAD RAFIDZAL ABDULLAH ALIAS</v>
      </c>
      <c r="J3472" t="str">
        <f t="shared" si="1408"/>
        <v>MAYBANK / MAYBANK ISLAMIC</v>
      </c>
      <c r="K3472" t="str">
        <f>"161051396126"</f>
        <v>161051396126</v>
      </c>
      <c r="L3472" t="str">
        <f t="shared" si="1430"/>
        <v>04-08-2020</v>
      </c>
      <c r="M3472" t="str">
        <f t="shared" si="1430"/>
        <v>04-08-2020</v>
      </c>
      <c r="N3472" t="str">
        <f t="shared" si="1420"/>
        <v>001105018356</v>
      </c>
      <c r="O3472" t="str">
        <f t="shared" si="1421"/>
        <v>MYR</v>
      </c>
      <c r="P3472" t="str">
        <f t="shared" si="1431"/>
        <v>NIL</v>
      </c>
      <c r="Q3472" t="str">
        <f t="shared" si="1431"/>
        <v>NIL</v>
      </c>
      <c r="R3472" t="str">
        <f t="shared" si="1422"/>
        <v>Accepted</v>
      </c>
      <c r="S3472" t="str">
        <f t="shared" si="1423"/>
        <v>Approved</v>
      </c>
      <c r="T3472" t="str">
        <f t="shared" si="1424"/>
        <v>10.20.8.188</v>
      </c>
      <c r="U3472" t="str">
        <f t="shared" si="1425"/>
        <v>AZRAD UMAR BIN SHAARI</v>
      </c>
      <c r="V3472" t="str">
        <f t="shared" si="1426"/>
        <v>FARHANA BINTI MUSTAPA</v>
      </c>
      <c r="W3472" t="str">
        <f t="shared" si="1427"/>
        <v>04-08-2020</v>
      </c>
      <c r="X3472" t="str">
        <f t="shared" si="1428"/>
        <v>RAZIMAH ANSAR AHMAD</v>
      </c>
      <c r="Y3472" t="str">
        <f t="shared" si="1429"/>
        <v>04-08-2020</v>
      </c>
      <c r="Z3472" t="str">
        <f>"COS10200804 5482"</f>
        <v>COS10200804 5482</v>
      </c>
    </row>
    <row r="3473" spans="1:26" x14ac:dyDescent="0.25">
      <c r="A3473" t="str">
        <f t="shared" si="1415"/>
        <v>04-08-2020 12:57:26</v>
      </c>
      <c r="B3473" t="str">
        <f>"0000807470"</f>
        <v>0000807470</v>
      </c>
      <c r="C3473" t="str">
        <f t="shared" si="1416"/>
        <v>0000807389</v>
      </c>
      <c r="D3473" t="str">
        <f t="shared" si="1417"/>
        <v>73185</v>
      </c>
      <c r="E3473" t="str">
        <f t="shared" si="1418"/>
        <v>KFH-OPERATIONS DEPARTMENT</v>
      </c>
      <c r="F3473" t="str">
        <f t="shared" si="1419"/>
        <v>IBG</v>
      </c>
      <c r="G3473" t="str">
        <f t="shared" si="1432"/>
        <v>Refund COSHARE 10</v>
      </c>
      <c r="H3473" s="2">
        <v>60</v>
      </c>
      <c r="I3473" t="str">
        <f>"MOHAMMAD RADZIEE BIN OTHMAN"</f>
        <v>MOHAMMAD RADZIEE BIN OTHMAN</v>
      </c>
      <c r="J3473" t="str">
        <f t="shared" ref="J3473:J3536" si="1433">"MAYBANK / MAYBANK ISLAMIC"</f>
        <v>MAYBANK / MAYBANK ISLAMIC</v>
      </c>
      <c r="K3473" t="str">
        <f>"151137888167"</f>
        <v>151137888167</v>
      </c>
      <c r="L3473" t="str">
        <f t="shared" si="1430"/>
        <v>04-08-2020</v>
      </c>
      <c r="M3473" t="str">
        <f t="shared" si="1430"/>
        <v>04-08-2020</v>
      </c>
      <c r="N3473" t="str">
        <f t="shared" si="1420"/>
        <v>001105018356</v>
      </c>
      <c r="O3473" t="str">
        <f t="shared" si="1421"/>
        <v>MYR</v>
      </c>
      <c r="P3473" t="str">
        <f t="shared" si="1431"/>
        <v>NIL</v>
      </c>
      <c r="Q3473" t="str">
        <f t="shared" si="1431"/>
        <v>NIL</v>
      </c>
      <c r="R3473" t="str">
        <f t="shared" si="1422"/>
        <v>Accepted</v>
      </c>
      <c r="S3473" t="str">
        <f t="shared" si="1423"/>
        <v>Approved</v>
      </c>
      <c r="T3473" t="str">
        <f t="shared" si="1424"/>
        <v>10.20.8.188</v>
      </c>
      <c r="U3473" t="str">
        <f t="shared" si="1425"/>
        <v>AZRAD UMAR BIN SHAARI</v>
      </c>
      <c r="V3473" t="str">
        <f t="shared" si="1426"/>
        <v>FARHANA BINTI MUSTAPA</v>
      </c>
      <c r="W3473" t="str">
        <f t="shared" si="1427"/>
        <v>04-08-2020</v>
      </c>
      <c r="X3473" t="str">
        <f t="shared" si="1428"/>
        <v>RAZIMAH ANSAR AHMAD</v>
      </c>
      <c r="Y3473" t="str">
        <f t="shared" si="1429"/>
        <v>04-08-2020</v>
      </c>
      <c r="Z3473" t="str">
        <f>"COS10200804 5481"</f>
        <v>COS10200804 5481</v>
      </c>
    </row>
    <row r="3474" spans="1:26" x14ac:dyDescent="0.25">
      <c r="A3474" t="str">
        <f t="shared" si="1415"/>
        <v>04-08-2020 12:57:26</v>
      </c>
      <c r="B3474" t="str">
        <f>"0000807469"</f>
        <v>0000807469</v>
      </c>
      <c r="C3474" t="str">
        <f t="shared" si="1416"/>
        <v>0000807389</v>
      </c>
      <c r="D3474" t="str">
        <f t="shared" si="1417"/>
        <v>73185</v>
      </c>
      <c r="E3474" t="str">
        <f t="shared" si="1418"/>
        <v>KFH-OPERATIONS DEPARTMENT</v>
      </c>
      <c r="F3474" t="str">
        <f t="shared" si="1419"/>
        <v>IBG</v>
      </c>
      <c r="G3474" t="str">
        <f t="shared" si="1432"/>
        <v>Refund COSHARE 10</v>
      </c>
      <c r="H3474" s="2">
        <v>621.25</v>
      </c>
      <c r="I3474" t="str">
        <f>"MOHAMMAD NOOR AIN BIN DAHALAN"</f>
        <v>MOHAMMAD NOOR AIN BIN DAHALAN</v>
      </c>
      <c r="J3474" t="str">
        <f t="shared" si="1433"/>
        <v>MAYBANK / MAYBANK ISLAMIC</v>
      </c>
      <c r="K3474" t="str">
        <f>"151016238062"</f>
        <v>151016238062</v>
      </c>
      <c r="L3474" t="str">
        <f t="shared" si="1430"/>
        <v>04-08-2020</v>
      </c>
      <c r="M3474" t="str">
        <f t="shared" si="1430"/>
        <v>04-08-2020</v>
      </c>
      <c r="N3474" t="str">
        <f t="shared" si="1420"/>
        <v>001105018356</v>
      </c>
      <c r="O3474" t="str">
        <f t="shared" si="1421"/>
        <v>MYR</v>
      </c>
      <c r="P3474" t="str">
        <f t="shared" si="1431"/>
        <v>NIL</v>
      </c>
      <c r="Q3474" t="str">
        <f t="shared" si="1431"/>
        <v>NIL</v>
      </c>
      <c r="R3474" t="str">
        <f t="shared" si="1422"/>
        <v>Accepted</v>
      </c>
      <c r="S3474" t="str">
        <f t="shared" si="1423"/>
        <v>Approved</v>
      </c>
      <c r="T3474" t="str">
        <f t="shared" si="1424"/>
        <v>10.20.8.188</v>
      </c>
      <c r="U3474" t="str">
        <f t="shared" si="1425"/>
        <v>AZRAD UMAR BIN SHAARI</v>
      </c>
      <c r="V3474" t="str">
        <f t="shared" si="1426"/>
        <v>FARHANA BINTI MUSTAPA</v>
      </c>
      <c r="W3474" t="str">
        <f t="shared" si="1427"/>
        <v>04-08-2020</v>
      </c>
      <c r="X3474" t="str">
        <f t="shared" si="1428"/>
        <v>RAZIMAH ANSAR AHMAD</v>
      </c>
      <c r="Y3474" t="str">
        <f t="shared" si="1429"/>
        <v>04-08-2020</v>
      </c>
      <c r="Z3474" t="str">
        <f>"COS10200804 5480"</f>
        <v>COS10200804 5480</v>
      </c>
    </row>
    <row r="3475" spans="1:26" x14ac:dyDescent="0.25">
      <c r="A3475" t="str">
        <f t="shared" si="1415"/>
        <v>04-08-2020 12:57:26</v>
      </c>
      <c r="B3475" t="str">
        <f>"0000807468"</f>
        <v>0000807468</v>
      </c>
      <c r="C3475" t="str">
        <f t="shared" si="1416"/>
        <v>0000807389</v>
      </c>
      <c r="D3475" t="str">
        <f t="shared" si="1417"/>
        <v>73185</v>
      </c>
      <c r="E3475" t="str">
        <f t="shared" si="1418"/>
        <v>KFH-OPERATIONS DEPARTMENT</v>
      </c>
      <c r="F3475" t="str">
        <f t="shared" si="1419"/>
        <v>IBG</v>
      </c>
      <c r="G3475" t="str">
        <f t="shared" si="1432"/>
        <v>Refund COSHARE 10</v>
      </c>
      <c r="H3475" s="2">
        <v>1518</v>
      </c>
      <c r="I3475" t="str">
        <f>"MOHAMMAD NAZRUL FAHMI BIN ABDUL RAHIM"</f>
        <v>MOHAMMAD NAZRUL FAHMI BIN ABDUL RAHIM</v>
      </c>
      <c r="J3475" t="str">
        <f t="shared" si="1433"/>
        <v>MAYBANK / MAYBANK ISLAMIC</v>
      </c>
      <c r="K3475" t="str">
        <f>"164164842057"</f>
        <v>164164842057</v>
      </c>
      <c r="L3475" t="str">
        <f t="shared" si="1430"/>
        <v>04-08-2020</v>
      </c>
      <c r="M3475" t="str">
        <f t="shared" si="1430"/>
        <v>04-08-2020</v>
      </c>
      <c r="N3475" t="str">
        <f t="shared" si="1420"/>
        <v>001105018356</v>
      </c>
      <c r="O3475" t="str">
        <f t="shared" si="1421"/>
        <v>MYR</v>
      </c>
      <c r="P3475" t="str">
        <f t="shared" si="1431"/>
        <v>NIL</v>
      </c>
      <c r="Q3475" t="str">
        <f t="shared" si="1431"/>
        <v>NIL</v>
      </c>
      <c r="R3475" t="str">
        <f t="shared" si="1422"/>
        <v>Accepted</v>
      </c>
      <c r="S3475" t="str">
        <f t="shared" si="1423"/>
        <v>Approved</v>
      </c>
      <c r="T3475" t="str">
        <f t="shared" si="1424"/>
        <v>10.20.8.188</v>
      </c>
      <c r="U3475" t="str">
        <f t="shared" si="1425"/>
        <v>AZRAD UMAR BIN SHAARI</v>
      </c>
      <c r="V3475" t="str">
        <f t="shared" si="1426"/>
        <v>FARHANA BINTI MUSTAPA</v>
      </c>
      <c r="W3475" t="str">
        <f t="shared" si="1427"/>
        <v>04-08-2020</v>
      </c>
      <c r="X3475" t="str">
        <f t="shared" si="1428"/>
        <v>RAZIMAH ANSAR AHMAD</v>
      </c>
      <c r="Y3475" t="str">
        <f t="shared" si="1429"/>
        <v>04-08-2020</v>
      </c>
      <c r="Z3475" t="str">
        <f>"COS10200804 5479"</f>
        <v>COS10200804 5479</v>
      </c>
    </row>
    <row r="3476" spans="1:26" x14ac:dyDescent="0.25">
      <c r="A3476" t="str">
        <f t="shared" si="1415"/>
        <v>04-08-2020 12:57:26</v>
      </c>
      <c r="B3476" t="str">
        <f>"0000807467"</f>
        <v>0000807467</v>
      </c>
      <c r="C3476" t="str">
        <f t="shared" si="1416"/>
        <v>0000807389</v>
      </c>
      <c r="D3476" t="str">
        <f t="shared" si="1417"/>
        <v>73185</v>
      </c>
      <c r="E3476" t="str">
        <f t="shared" si="1418"/>
        <v>KFH-OPERATIONS DEPARTMENT</v>
      </c>
      <c r="F3476" t="str">
        <f t="shared" si="1419"/>
        <v>IBG</v>
      </c>
      <c r="G3476" t="str">
        <f t="shared" si="1432"/>
        <v>Refund COSHARE 10</v>
      </c>
      <c r="H3476" s="2">
        <v>171</v>
      </c>
      <c r="I3476" t="str">
        <f>"MOHAMMAD NAZERI BIN HASSAN"</f>
        <v>MOHAMMAD NAZERI BIN HASSAN</v>
      </c>
      <c r="J3476" t="str">
        <f t="shared" si="1433"/>
        <v>MAYBANK / MAYBANK ISLAMIC</v>
      </c>
      <c r="K3476" t="str">
        <f>"111114155889"</f>
        <v>111114155889</v>
      </c>
      <c r="L3476" t="str">
        <f t="shared" si="1430"/>
        <v>04-08-2020</v>
      </c>
      <c r="M3476" t="str">
        <f t="shared" si="1430"/>
        <v>04-08-2020</v>
      </c>
      <c r="N3476" t="str">
        <f t="shared" si="1420"/>
        <v>001105018356</v>
      </c>
      <c r="O3476" t="str">
        <f t="shared" si="1421"/>
        <v>MYR</v>
      </c>
      <c r="P3476" t="str">
        <f t="shared" si="1431"/>
        <v>NIL</v>
      </c>
      <c r="Q3476" t="str">
        <f t="shared" si="1431"/>
        <v>NIL</v>
      </c>
      <c r="R3476" t="str">
        <f t="shared" si="1422"/>
        <v>Accepted</v>
      </c>
      <c r="S3476" t="str">
        <f t="shared" si="1423"/>
        <v>Approved</v>
      </c>
      <c r="T3476" t="str">
        <f t="shared" si="1424"/>
        <v>10.20.8.188</v>
      </c>
      <c r="U3476" t="str">
        <f t="shared" si="1425"/>
        <v>AZRAD UMAR BIN SHAARI</v>
      </c>
      <c r="V3476" t="str">
        <f t="shared" si="1426"/>
        <v>FARHANA BINTI MUSTAPA</v>
      </c>
      <c r="W3476" t="str">
        <f t="shared" si="1427"/>
        <v>04-08-2020</v>
      </c>
      <c r="X3476" t="str">
        <f t="shared" si="1428"/>
        <v>RAZIMAH ANSAR AHMAD</v>
      </c>
      <c r="Y3476" t="str">
        <f t="shared" si="1429"/>
        <v>04-08-2020</v>
      </c>
      <c r="Z3476" t="str">
        <f>"COS10200804 5478"</f>
        <v>COS10200804 5478</v>
      </c>
    </row>
    <row r="3477" spans="1:26" x14ac:dyDescent="0.25">
      <c r="A3477" t="str">
        <f t="shared" si="1415"/>
        <v>04-08-2020 12:57:26</v>
      </c>
      <c r="B3477" t="str">
        <f>"0000807466"</f>
        <v>0000807466</v>
      </c>
      <c r="C3477" t="str">
        <f t="shared" si="1416"/>
        <v>0000807389</v>
      </c>
      <c r="D3477" t="str">
        <f t="shared" si="1417"/>
        <v>73185</v>
      </c>
      <c r="E3477" t="str">
        <f t="shared" si="1418"/>
        <v>KFH-OPERATIONS DEPARTMENT</v>
      </c>
      <c r="F3477" t="str">
        <f t="shared" si="1419"/>
        <v>IBG</v>
      </c>
      <c r="G3477" t="str">
        <f t="shared" si="1432"/>
        <v>Refund COSHARE 10</v>
      </c>
      <c r="H3477" s="2">
        <v>1477.55</v>
      </c>
      <c r="I3477" t="str">
        <f>"MOHAMMAD NAZERI BIN HASSAN"</f>
        <v>MOHAMMAD NAZERI BIN HASSAN</v>
      </c>
      <c r="J3477" t="str">
        <f t="shared" si="1433"/>
        <v>MAYBANK / MAYBANK ISLAMIC</v>
      </c>
      <c r="K3477" t="str">
        <f>"111114155889"</f>
        <v>111114155889</v>
      </c>
      <c r="L3477" t="str">
        <f t="shared" si="1430"/>
        <v>04-08-2020</v>
      </c>
      <c r="M3477" t="str">
        <f t="shared" si="1430"/>
        <v>04-08-2020</v>
      </c>
      <c r="N3477" t="str">
        <f t="shared" si="1420"/>
        <v>001105018356</v>
      </c>
      <c r="O3477" t="str">
        <f t="shared" si="1421"/>
        <v>MYR</v>
      </c>
      <c r="P3477" t="str">
        <f t="shared" si="1431"/>
        <v>NIL</v>
      </c>
      <c r="Q3477" t="str">
        <f t="shared" si="1431"/>
        <v>NIL</v>
      </c>
      <c r="R3477" t="str">
        <f t="shared" si="1422"/>
        <v>Accepted</v>
      </c>
      <c r="S3477" t="str">
        <f t="shared" si="1423"/>
        <v>Approved</v>
      </c>
      <c r="T3477" t="str">
        <f t="shared" si="1424"/>
        <v>10.20.8.188</v>
      </c>
      <c r="U3477" t="str">
        <f t="shared" si="1425"/>
        <v>AZRAD UMAR BIN SHAARI</v>
      </c>
      <c r="V3477" t="str">
        <f t="shared" si="1426"/>
        <v>FARHANA BINTI MUSTAPA</v>
      </c>
      <c r="W3477" t="str">
        <f t="shared" si="1427"/>
        <v>04-08-2020</v>
      </c>
      <c r="X3477" t="str">
        <f t="shared" si="1428"/>
        <v>RAZIMAH ANSAR AHMAD</v>
      </c>
      <c r="Y3477" t="str">
        <f t="shared" si="1429"/>
        <v>04-08-2020</v>
      </c>
      <c r="Z3477" t="str">
        <f>"COS10200804 5477"</f>
        <v>COS10200804 5477</v>
      </c>
    </row>
    <row r="3478" spans="1:26" x14ac:dyDescent="0.25">
      <c r="A3478" t="str">
        <f t="shared" si="1415"/>
        <v>04-08-2020 12:57:26</v>
      </c>
      <c r="B3478" t="str">
        <f>"0000807465"</f>
        <v>0000807465</v>
      </c>
      <c r="C3478" t="str">
        <f t="shared" si="1416"/>
        <v>0000807389</v>
      </c>
      <c r="D3478" t="str">
        <f t="shared" si="1417"/>
        <v>73185</v>
      </c>
      <c r="E3478" t="str">
        <f t="shared" si="1418"/>
        <v>KFH-OPERATIONS DEPARTMENT</v>
      </c>
      <c r="F3478" t="str">
        <f t="shared" si="1419"/>
        <v>IBG</v>
      </c>
      <c r="G3478" t="str">
        <f t="shared" si="1432"/>
        <v>Refund COSHARE 10</v>
      </c>
      <c r="H3478" s="2">
        <v>293.85000000000002</v>
      </c>
      <c r="I3478" t="str">
        <f>"MOHAMMAD NASSRIE BIN SUPARI"</f>
        <v>MOHAMMAD NASSRIE BIN SUPARI</v>
      </c>
      <c r="J3478" t="str">
        <f t="shared" si="1433"/>
        <v>MAYBANK / MAYBANK ISLAMIC</v>
      </c>
      <c r="K3478" t="str">
        <f>"162218406987"</f>
        <v>162218406987</v>
      </c>
      <c r="L3478" t="str">
        <f t="shared" si="1430"/>
        <v>04-08-2020</v>
      </c>
      <c r="M3478" t="str">
        <f t="shared" si="1430"/>
        <v>04-08-2020</v>
      </c>
      <c r="N3478" t="str">
        <f t="shared" si="1420"/>
        <v>001105018356</v>
      </c>
      <c r="O3478" t="str">
        <f t="shared" si="1421"/>
        <v>MYR</v>
      </c>
      <c r="P3478" t="str">
        <f t="shared" si="1431"/>
        <v>NIL</v>
      </c>
      <c r="Q3478" t="str">
        <f t="shared" si="1431"/>
        <v>NIL</v>
      </c>
      <c r="R3478" t="str">
        <f t="shared" si="1422"/>
        <v>Accepted</v>
      </c>
      <c r="S3478" t="str">
        <f t="shared" si="1423"/>
        <v>Approved</v>
      </c>
      <c r="T3478" t="str">
        <f t="shared" si="1424"/>
        <v>10.20.8.188</v>
      </c>
      <c r="U3478" t="str">
        <f t="shared" si="1425"/>
        <v>AZRAD UMAR BIN SHAARI</v>
      </c>
      <c r="V3478" t="str">
        <f t="shared" si="1426"/>
        <v>FARHANA BINTI MUSTAPA</v>
      </c>
      <c r="W3478" t="str">
        <f t="shared" si="1427"/>
        <v>04-08-2020</v>
      </c>
      <c r="X3478" t="str">
        <f t="shared" si="1428"/>
        <v>RAZIMAH ANSAR AHMAD</v>
      </c>
      <c r="Y3478" t="str">
        <f t="shared" si="1429"/>
        <v>04-08-2020</v>
      </c>
      <c r="Z3478" t="str">
        <f>"COS10200804 5476"</f>
        <v>COS10200804 5476</v>
      </c>
    </row>
    <row r="3479" spans="1:26" x14ac:dyDescent="0.25">
      <c r="A3479" t="str">
        <f t="shared" si="1415"/>
        <v>04-08-2020 12:57:26</v>
      </c>
      <c r="B3479" t="str">
        <f>"0000807464"</f>
        <v>0000807464</v>
      </c>
      <c r="C3479" t="str">
        <f t="shared" si="1416"/>
        <v>0000807389</v>
      </c>
      <c r="D3479" t="str">
        <f t="shared" si="1417"/>
        <v>73185</v>
      </c>
      <c r="E3479" t="str">
        <f t="shared" si="1418"/>
        <v>KFH-OPERATIONS DEPARTMENT</v>
      </c>
      <c r="F3479" t="str">
        <f t="shared" si="1419"/>
        <v>IBG</v>
      </c>
      <c r="G3479" t="str">
        <f t="shared" si="1432"/>
        <v>Refund COSHARE 10</v>
      </c>
      <c r="H3479" s="2">
        <v>646.4</v>
      </c>
      <c r="I3479" t="str">
        <f>"MOHAMMAD MUNIS BIN MUSA"</f>
        <v>MOHAMMAD MUNIS BIN MUSA</v>
      </c>
      <c r="J3479" t="str">
        <f t="shared" si="1433"/>
        <v>MAYBANK / MAYBANK ISLAMIC</v>
      </c>
      <c r="K3479" t="str">
        <f>"162106164342"</f>
        <v>162106164342</v>
      </c>
      <c r="L3479" t="str">
        <f t="shared" si="1430"/>
        <v>04-08-2020</v>
      </c>
      <c r="M3479" t="str">
        <f t="shared" si="1430"/>
        <v>04-08-2020</v>
      </c>
      <c r="N3479" t="str">
        <f t="shared" si="1420"/>
        <v>001105018356</v>
      </c>
      <c r="O3479" t="str">
        <f t="shared" si="1421"/>
        <v>MYR</v>
      </c>
      <c r="P3479" t="str">
        <f t="shared" si="1431"/>
        <v>NIL</v>
      </c>
      <c r="Q3479" t="str">
        <f t="shared" si="1431"/>
        <v>NIL</v>
      </c>
      <c r="R3479" t="str">
        <f t="shared" si="1422"/>
        <v>Accepted</v>
      </c>
      <c r="S3479" t="str">
        <f t="shared" si="1423"/>
        <v>Approved</v>
      </c>
      <c r="T3479" t="str">
        <f t="shared" si="1424"/>
        <v>10.20.8.188</v>
      </c>
      <c r="U3479" t="str">
        <f t="shared" si="1425"/>
        <v>AZRAD UMAR BIN SHAARI</v>
      </c>
      <c r="V3479" t="str">
        <f t="shared" si="1426"/>
        <v>FARHANA BINTI MUSTAPA</v>
      </c>
      <c r="W3479" t="str">
        <f t="shared" si="1427"/>
        <v>04-08-2020</v>
      </c>
      <c r="X3479" t="str">
        <f t="shared" si="1428"/>
        <v>RAZIMAH ANSAR AHMAD</v>
      </c>
      <c r="Y3479" t="str">
        <f t="shared" si="1429"/>
        <v>04-08-2020</v>
      </c>
      <c r="Z3479" t="str">
        <f>"COS10200804 5475"</f>
        <v>COS10200804 5475</v>
      </c>
    </row>
    <row r="3480" spans="1:26" x14ac:dyDescent="0.25">
      <c r="A3480" t="str">
        <f t="shared" si="1415"/>
        <v>04-08-2020 12:57:26</v>
      </c>
      <c r="B3480" t="str">
        <f>"0000807463"</f>
        <v>0000807463</v>
      </c>
      <c r="C3480" t="str">
        <f t="shared" si="1416"/>
        <v>0000807389</v>
      </c>
      <c r="D3480" t="str">
        <f t="shared" si="1417"/>
        <v>73185</v>
      </c>
      <c r="E3480" t="str">
        <f t="shared" si="1418"/>
        <v>KFH-OPERATIONS DEPARTMENT</v>
      </c>
      <c r="F3480" t="str">
        <f t="shared" si="1419"/>
        <v>IBG</v>
      </c>
      <c r="G3480" t="str">
        <f t="shared" si="1432"/>
        <v>Refund COSHARE 10</v>
      </c>
      <c r="H3480" s="2">
        <v>486.9</v>
      </c>
      <c r="I3480" t="str">
        <f>"MOHAMMAD KHALID BIN ROOS"</f>
        <v>MOHAMMAD KHALID BIN ROOS</v>
      </c>
      <c r="J3480" t="str">
        <f t="shared" si="1433"/>
        <v>MAYBANK / MAYBANK ISLAMIC</v>
      </c>
      <c r="K3480" t="str">
        <f>"151258330643"</f>
        <v>151258330643</v>
      </c>
      <c r="L3480" t="str">
        <f t="shared" si="1430"/>
        <v>04-08-2020</v>
      </c>
      <c r="M3480" t="str">
        <f t="shared" si="1430"/>
        <v>04-08-2020</v>
      </c>
      <c r="N3480" t="str">
        <f t="shared" si="1420"/>
        <v>001105018356</v>
      </c>
      <c r="O3480" t="str">
        <f t="shared" si="1421"/>
        <v>MYR</v>
      </c>
      <c r="P3480" t="str">
        <f t="shared" si="1431"/>
        <v>NIL</v>
      </c>
      <c r="Q3480" t="str">
        <f t="shared" si="1431"/>
        <v>NIL</v>
      </c>
      <c r="R3480" t="str">
        <f t="shared" si="1422"/>
        <v>Accepted</v>
      </c>
      <c r="S3480" t="str">
        <f t="shared" si="1423"/>
        <v>Approved</v>
      </c>
      <c r="T3480" t="str">
        <f t="shared" si="1424"/>
        <v>10.20.8.188</v>
      </c>
      <c r="U3480" t="str">
        <f t="shared" si="1425"/>
        <v>AZRAD UMAR BIN SHAARI</v>
      </c>
      <c r="V3480" t="str">
        <f t="shared" si="1426"/>
        <v>FARHANA BINTI MUSTAPA</v>
      </c>
      <c r="W3480" t="str">
        <f t="shared" si="1427"/>
        <v>04-08-2020</v>
      </c>
      <c r="X3480" t="str">
        <f t="shared" si="1428"/>
        <v>RAZIMAH ANSAR AHMAD</v>
      </c>
      <c r="Y3480" t="str">
        <f t="shared" si="1429"/>
        <v>04-08-2020</v>
      </c>
      <c r="Z3480" t="str">
        <f>"COS10200804 5474"</f>
        <v>COS10200804 5474</v>
      </c>
    </row>
    <row r="3481" spans="1:26" x14ac:dyDescent="0.25">
      <c r="A3481" t="str">
        <f t="shared" si="1415"/>
        <v>04-08-2020 12:57:26</v>
      </c>
      <c r="B3481" t="str">
        <f>"0000807462"</f>
        <v>0000807462</v>
      </c>
      <c r="C3481" t="str">
        <f t="shared" si="1416"/>
        <v>0000807389</v>
      </c>
      <c r="D3481" t="str">
        <f t="shared" si="1417"/>
        <v>73185</v>
      </c>
      <c r="E3481" t="str">
        <f t="shared" si="1418"/>
        <v>KFH-OPERATIONS DEPARTMENT</v>
      </c>
      <c r="F3481" t="str">
        <f t="shared" si="1419"/>
        <v>IBG</v>
      </c>
      <c r="G3481" t="str">
        <f t="shared" si="1432"/>
        <v>Refund COSHARE 10</v>
      </c>
      <c r="H3481" s="2">
        <v>336</v>
      </c>
      <c r="I3481" t="str">
        <f>"MOHAMMAD KHAIRIL BIN BAHARIN"</f>
        <v>MOHAMMAD KHAIRIL BIN BAHARIN</v>
      </c>
      <c r="J3481" t="str">
        <f t="shared" si="1433"/>
        <v>MAYBANK / MAYBANK ISLAMIC</v>
      </c>
      <c r="K3481" t="str">
        <f>"151454023319"</f>
        <v>151454023319</v>
      </c>
      <c r="L3481" t="str">
        <f t="shared" si="1430"/>
        <v>04-08-2020</v>
      </c>
      <c r="M3481" t="str">
        <f t="shared" si="1430"/>
        <v>04-08-2020</v>
      </c>
      <c r="N3481" t="str">
        <f t="shared" si="1420"/>
        <v>001105018356</v>
      </c>
      <c r="O3481" t="str">
        <f t="shared" si="1421"/>
        <v>MYR</v>
      </c>
      <c r="P3481" t="str">
        <f t="shared" si="1431"/>
        <v>NIL</v>
      </c>
      <c r="Q3481" t="str">
        <f t="shared" si="1431"/>
        <v>NIL</v>
      </c>
      <c r="R3481" t="str">
        <f t="shared" si="1422"/>
        <v>Accepted</v>
      </c>
      <c r="S3481" t="str">
        <f t="shared" si="1423"/>
        <v>Approved</v>
      </c>
      <c r="T3481" t="str">
        <f t="shared" si="1424"/>
        <v>10.20.8.188</v>
      </c>
      <c r="U3481" t="str">
        <f t="shared" si="1425"/>
        <v>AZRAD UMAR BIN SHAARI</v>
      </c>
      <c r="V3481" t="str">
        <f t="shared" si="1426"/>
        <v>FARHANA BINTI MUSTAPA</v>
      </c>
      <c r="W3481" t="str">
        <f t="shared" si="1427"/>
        <v>04-08-2020</v>
      </c>
      <c r="X3481" t="str">
        <f t="shared" si="1428"/>
        <v>RAZIMAH ANSAR AHMAD</v>
      </c>
      <c r="Y3481" t="str">
        <f t="shared" si="1429"/>
        <v>04-08-2020</v>
      </c>
      <c r="Z3481" t="str">
        <f>"COS10200804 5473"</f>
        <v>COS10200804 5473</v>
      </c>
    </row>
    <row r="3482" spans="1:26" x14ac:dyDescent="0.25">
      <c r="A3482" t="str">
        <f t="shared" ref="A3482:A3513" si="1434">"04-08-2020 12:57:26"</f>
        <v>04-08-2020 12:57:26</v>
      </c>
      <c r="B3482" t="str">
        <f>"0000807461"</f>
        <v>0000807461</v>
      </c>
      <c r="C3482" t="str">
        <f t="shared" ref="C3482:C3513" si="1435">"0000807389"</f>
        <v>0000807389</v>
      </c>
      <c r="D3482" t="str">
        <f t="shared" si="1417"/>
        <v>73185</v>
      </c>
      <c r="E3482" t="str">
        <f t="shared" si="1418"/>
        <v>KFH-OPERATIONS DEPARTMENT</v>
      </c>
      <c r="F3482" t="str">
        <f t="shared" si="1419"/>
        <v>IBG</v>
      </c>
      <c r="G3482" t="str">
        <f t="shared" si="1432"/>
        <v>Refund COSHARE 10</v>
      </c>
      <c r="H3482" s="2">
        <v>109.15</v>
      </c>
      <c r="I3482" t="str">
        <f>"MOHAMMAD JURAIMI BIN ABD RASID"</f>
        <v>MOHAMMAD JURAIMI BIN ABD RASID</v>
      </c>
      <c r="J3482" t="str">
        <f t="shared" si="1433"/>
        <v>MAYBANK / MAYBANK ISLAMIC</v>
      </c>
      <c r="K3482" t="str">
        <f>"159012637471"</f>
        <v>159012637471</v>
      </c>
      <c r="L3482" t="str">
        <f t="shared" si="1430"/>
        <v>04-08-2020</v>
      </c>
      <c r="M3482" t="str">
        <f t="shared" si="1430"/>
        <v>04-08-2020</v>
      </c>
      <c r="N3482" t="str">
        <f t="shared" si="1420"/>
        <v>001105018356</v>
      </c>
      <c r="O3482" t="str">
        <f t="shared" si="1421"/>
        <v>MYR</v>
      </c>
      <c r="P3482" t="str">
        <f t="shared" si="1431"/>
        <v>NIL</v>
      </c>
      <c r="Q3482" t="str">
        <f t="shared" si="1431"/>
        <v>NIL</v>
      </c>
      <c r="R3482" t="str">
        <f t="shared" si="1422"/>
        <v>Accepted</v>
      </c>
      <c r="S3482" t="str">
        <f t="shared" si="1423"/>
        <v>Approved</v>
      </c>
      <c r="T3482" t="str">
        <f t="shared" si="1424"/>
        <v>10.20.8.188</v>
      </c>
      <c r="U3482" t="str">
        <f t="shared" si="1425"/>
        <v>AZRAD UMAR BIN SHAARI</v>
      </c>
      <c r="V3482" t="str">
        <f t="shared" si="1426"/>
        <v>FARHANA BINTI MUSTAPA</v>
      </c>
      <c r="W3482" t="str">
        <f t="shared" si="1427"/>
        <v>04-08-2020</v>
      </c>
      <c r="X3482" t="str">
        <f t="shared" si="1428"/>
        <v>RAZIMAH ANSAR AHMAD</v>
      </c>
      <c r="Y3482" t="str">
        <f t="shared" si="1429"/>
        <v>04-08-2020</v>
      </c>
      <c r="Z3482" t="str">
        <f>"COS10200804 5472"</f>
        <v>COS10200804 5472</v>
      </c>
    </row>
    <row r="3483" spans="1:26" x14ac:dyDescent="0.25">
      <c r="A3483" t="str">
        <f t="shared" si="1434"/>
        <v>04-08-2020 12:57:26</v>
      </c>
      <c r="B3483" t="str">
        <f>"0000807460"</f>
        <v>0000807460</v>
      </c>
      <c r="C3483" t="str">
        <f t="shared" si="1435"/>
        <v>0000807389</v>
      </c>
      <c r="D3483" t="str">
        <f t="shared" si="1417"/>
        <v>73185</v>
      </c>
      <c r="E3483" t="str">
        <f t="shared" si="1418"/>
        <v>KFH-OPERATIONS DEPARTMENT</v>
      </c>
      <c r="F3483" t="str">
        <f t="shared" si="1419"/>
        <v>IBG</v>
      </c>
      <c r="G3483" t="str">
        <f t="shared" si="1432"/>
        <v>Refund COSHARE 10</v>
      </c>
      <c r="H3483" s="2">
        <v>92.35</v>
      </c>
      <c r="I3483" t="str">
        <f>"MOHAMMAD JAZLAN BIN HASHIM"</f>
        <v>MOHAMMAD JAZLAN BIN HASHIM</v>
      </c>
      <c r="J3483" t="str">
        <f t="shared" si="1433"/>
        <v>MAYBANK / MAYBANK ISLAMIC</v>
      </c>
      <c r="K3483" t="str">
        <f>"153056085327"</f>
        <v>153056085327</v>
      </c>
      <c r="L3483" t="str">
        <f t="shared" si="1430"/>
        <v>04-08-2020</v>
      </c>
      <c r="M3483" t="str">
        <f t="shared" si="1430"/>
        <v>04-08-2020</v>
      </c>
      <c r="N3483" t="str">
        <f t="shared" si="1420"/>
        <v>001105018356</v>
      </c>
      <c r="O3483" t="str">
        <f t="shared" si="1421"/>
        <v>MYR</v>
      </c>
      <c r="P3483" t="str">
        <f t="shared" si="1431"/>
        <v>NIL</v>
      </c>
      <c r="Q3483" t="str">
        <f t="shared" si="1431"/>
        <v>NIL</v>
      </c>
      <c r="R3483" t="str">
        <f t="shared" si="1422"/>
        <v>Accepted</v>
      </c>
      <c r="S3483" t="str">
        <f t="shared" si="1423"/>
        <v>Approved</v>
      </c>
      <c r="T3483" t="str">
        <f t="shared" si="1424"/>
        <v>10.20.8.188</v>
      </c>
      <c r="U3483" t="str">
        <f t="shared" si="1425"/>
        <v>AZRAD UMAR BIN SHAARI</v>
      </c>
      <c r="V3483" t="str">
        <f t="shared" si="1426"/>
        <v>FARHANA BINTI MUSTAPA</v>
      </c>
      <c r="W3483" t="str">
        <f t="shared" si="1427"/>
        <v>04-08-2020</v>
      </c>
      <c r="X3483" t="str">
        <f t="shared" si="1428"/>
        <v>RAZIMAH ANSAR AHMAD</v>
      </c>
      <c r="Y3483" t="str">
        <f t="shared" si="1429"/>
        <v>04-08-2020</v>
      </c>
      <c r="Z3483" t="str">
        <f>"COS10200804 5471"</f>
        <v>COS10200804 5471</v>
      </c>
    </row>
    <row r="3484" spans="1:26" x14ac:dyDescent="0.25">
      <c r="A3484" t="str">
        <f t="shared" si="1434"/>
        <v>04-08-2020 12:57:26</v>
      </c>
      <c r="B3484" t="str">
        <f>"0000807459"</f>
        <v>0000807459</v>
      </c>
      <c r="C3484" t="str">
        <f t="shared" si="1435"/>
        <v>0000807389</v>
      </c>
      <c r="D3484" t="str">
        <f t="shared" si="1417"/>
        <v>73185</v>
      </c>
      <c r="E3484" t="str">
        <f t="shared" si="1418"/>
        <v>KFH-OPERATIONS DEPARTMENT</v>
      </c>
      <c r="F3484" t="str">
        <f t="shared" si="1419"/>
        <v>IBG</v>
      </c>
      <c r="G3484" t="str">
        <f t="shared" si="1432"/>
        <v>Refund COSHARE 10</v>
      </c>
      <c r="H3484" s="2">
        <v>201.5</v>
      </c>
      <c r="I3484" t="str">
        <f>"MOHAMMAD ISA BIN YUSOFF"</f>
        <v>MOHAMMAD ISA BIN YUSOFF</v>
      </c>
      <c r="J3484" t="str">
        <f t="shared" si="1433"/>
        <v>MAYBANK / MAYBANK ISLAMIC</v>
      </c>
      <c r="K3484" t="str">
        <f>"152107032658"</f>
        <v>152107032658</v>
      </c>
      <c r="L3484" t="str">
        <f t="shared" si="1430"/>
        <v>04-08-2020</v>
      </c>
      <c r="M3484" t="str">
        <f t="shared" si="1430"/>
        <v>04-08-2020</v>
      </c>
      <c r="N3484" t="str">
        <f t="shared" si="1420"/>
        <v>001105018356</v>
      </c>
      <c r="O3484" t="str">
        <f t="shared" si="1421"/>
        <v>MYR</v>
      </c>
      <c r="P3484" t="str">
        <f t="shared" si="1431"/>
        <v>NIL</v>
      </c>
      <c r="Q3484" t="str">
        <f t="shared" si="1431"/>
        <v>NIL</v>
      </c>
      <c r="R3484" t="str">
        <f t="shared" si="1422"/>
        <v>Accepted</v>
      </c>
      <c r="S3484" t="str">
        <f t="shared" si="1423"/>
        <v>Approved</v>
      </c>
      <c r="T3484" t="str">
        <f t="shared" si="1424"/>
        <v>10.20.8.188</v>
      </c>
      <c r="U3484" t="str">
        <f t="shared" si="1425"/>
        <v>AZRAD UMAR BIN SHAARI</v>
      </c>
      <c r="V3484" t="str">
        <f t="shared" si="1426"/>
        <v>FARHANA BINTI MUSTAPA</v>
      </c>
      <c r="W3484" t="str">
        <f t="shared" si="1427"/>
        <v>04-08-2020</v>
      </c>
      <c r="X3484" t="str">
        <f t="shared" si="1428"/>
        <v>RAZIMAH ANSAR AHMAD</v>
      </c>
      <c r="Y3484" t="str">
        <f t="shared" si="1429"/>
        <v>04-08-2020</v>
      </c>
      <c r="Z3484" t="str">
        <f>"COS10200804 5470"</f>
        <v>COS10200804 5470</v>
      </c>
    </row>
    <row r="3485" spans="1:26" x14ac:dyDescent="0.25">
      <c r="A3485" t="str">
        <f t="shared" si="1434"/>
        <v>04-08-2020 12:57:26</v>
      </c>
      <c r="B3485" t="str">
        <f>"0000807458"</f>
        <v>0000807458</v>
      </c>
      <c r="C3485" t="str">
        <f t="shared" si="1435"/>
        <v>0000807389</v>
      </c>
      <c r="D3485" t="str">
        <f t="shared" si="1417"/>
        <v>73185</v>
      </c>
      <c r="E3485" t="str">
        <f t="shared" si="1418"/>
        <v>KFH-OPERATIONS DEPARTMENT</v>
      </c>
      <c r="F3485" t="str">
        <f t="shared" si="1419"/>
        <v>IBG</v>
      </c>
      <c r="G3485" t="str">
        <f t="shared" si="1432"/>
        <v>Refund COSHARE 10</v>
      </c>
      <c r="H3485" s="2">
        <v>42</v>
      </c>
      <c r="I3485" t="str">
        <f>"MOHAMMAD HARITSHAH BIN BAHAROM"</f>
        <v>MOHAMMAD HARITSHAH BIN BAHAROM</v>
      </c>
      <c r="J3485" t="str">
        <f t="shared" si="1433"/>
        <v>MAYBANK / MAYBANK ISLAMIC</v>
      </c>
      <c r="K3485" t="str">
        <f>"164016957340"</f>
        <v>164016957340</v>
      </c>
      <c r="L3485" t="str">
        <f t="shared" si="1430"/>
        <v>04-08-2020</v>
      </c>
      <c r="M3485" t="str">
        <f t="shared" si="1430"/>
        <v>04-08-2020</v>
      </c>
      <c r="N3485" t="str">
        <f t="shared" si="1420"/>
        <v>001105018356</v>
      </c>
      <c r="O3485" t="str">
        <f t="shared" si="1421"/>
        <v>MYR</v>
      </c>
      <c r="P3485" t="str">
        <f t="shared" si="1431"/>
        <v>NIL</v>
      </c>
      <c r="Q3485" t="str">
        <f t="shared" si="1431"/>
        <v>NIL</v>
      </c>
      <c r="R3485" t="str">
        <f t="shared" si="1422"/>
        <v>Accepted</v>
      </c>
      <c r="S3485" t="str">
        <f t="shared" si="1423"/>
        <v>Approved</v>
      </c>
      <c r="T3485" t="str">
        <f t="shared" si="1424"/>
        <v>10.20.8.188</v>
      </c>
      <c r="U3485" t="str">
        <f t="shared" si="1425"/>
        <v>AZRAD UMAR BIN SHAARI</v>
      </c>
      <c r="V3485" t="str">
        <f t="shared" si="1426"/>
        <v>FARHANA BINTI MUSTAPA</v>
      </c>
      <c r="W3485" t="str">
        <f t="shared" si="1427"/>
        <v>04-08-2020</v>
      </c>
      <c r="X3485" t="str">
        <f t="shared" si="1428"/>
        <v>RAZIMAH ANSAR AHMAD</v>
      </c>
      <c r="Y3485" t="str">
        <f t="shared" si="1429"/>
        <v>04-08-2020</v>
      </c>
      <c r="Z3485" t="str">
        <f>"COS10200804 5469"</f>
        <v>COS10200804 5469</v>
      </c>
    </row>
    <row r="3486" spans="1:26" x14ac:dyDescent="0.25">
      <c r="A3486" t="str">
        <f t="shared" si="1434"/>
        <v>04-08-2020 12:57:26</v>
      </c>
      <c r="B3486" t="str">
        <f>"0000807457"</f>
        <v>0000807457</v>
      </c>
      <c r="C3486" t="str">
        <f t="shared" si="1435"/>
        <v>0000807389</v>
      </c>
      <c r="D3486" t="str">
        <f t="shared" si="1417"/>
        <v>73185</v>
      </c>
      <c r="E3486" t="str">
        <f t="shared" si="1418"/>
        <v>KFH-OPERATIONS DEPARTMENT</v>
      </c>
      <c r="F3486" t="str">
        <f t="shared" si="1419"/>
        <v>IBG</v>
      </c>
      <c r="G3486" t="str">
        <f t="shared" si="1432"/>
        <v>Refund COSHARE 10</v>
      </c>
      <c r="H3486" s="2">
        <v>98.25</v>
      </c>
      <c r="I3486" t="str">
        <f>"MOHAMMAD HANIFF BIN HASSAN"</f>
        <v>MOHAMMAD HANIFF BIN HASSAN</v>
      </c>
      <c r="J3486" t="str">
        <f t="shared" si="1433"/>
        <v>MAYBANK / MAYBANK ISLAMIC</v>
      </c>
      <c r="K3486" t="str">
        <f>"151306665014"</f>
        <v>151306665014</v>
      </c>
      <c r="L3486" t="str">
        <f t="shared" si="1430"/>
        <v>04-08-2020</v>
      </c>
      <c r="M3486" t="str">
        <f t="shared" si="1430"/>
        <v>04-08-2020</v>
      </c>
      <c r="N3486" t="str">
        <f t="shared" si="1420"/>
        <v>001105018356</v>
      </c>
      <c r="O3486" t="str">
        <f t="shared" si="1421"/>
        <v>MYR</v>
      </c>
      <c r="P3486" t="str">
        <f t="shared" si="1431"/>
        <v>NIL</v>
      </c>
      <c r="Q3486" t="str">
        <f t="shared" si="1431"/>
        <v>NIL</v>
      </c>
      <c r="R3486" t="str">
        <f t="shared" si="1422"/>
        <v>Accepted</v>
      </c>
      <c r="S3486" t="str">
        <f t="shared" si="1423"/>
        <v>Approved</v>
      </c>
      <c r="T3486" t="str">
        <f t="shared" si="1424"/>
        <v>10.20.8.188</v>
      </c>
      <c r="U3486" t="str">
        <f t="shared" si="1425"/>
        <v>AZRAD UMAR BIN SHAARI</v>
      </c>
      <c r="V3486" t="str">
        <f t="shared" si="1426"/>
        <v>FARHANA BINTI MUSTAPA</v>
      </c>
      <c r="W3486" t="str">
        <f t="shared" si="1427"/>
        <v>04-08-2020</v>
      </c>
      <c r="X3486" t="str">
        <f t="shared" si="1428"/>
        <v>RAZIMAH ANSAR AHMAD</v>
      </c>
      <c r="Y3486" t="str">
        <f t="shared" si="1429"/>
        <v>04-08-2020</v>
      </c>
      <c r="Z3486" t="str">
        <f>"COS10200804 5468"</f>
        <v>COS10200804 5468</v>
      </c>
    </row>
    <row r="3487" spans="1:26" x14ac:dyDescent="0.25">
      <c r="A3487" t="str">
        <f t="shared" si="1434"/>
        <v>04-08-2020 12:57:26</v>
      </c>
      <c r="B3487" t="str">
        <f>"0000807456"</f>
        <v>0000807456</v>
      </c>
      <c r="C3487" t="str">
        <f t="shared" si="1435"/>
        <v>0000807389</v>
      </c>
      <c r="D3487" t="str">
        <f t="shared" si="1417"/>
        <v>73185</v>
      </c>
      <c r="E3487" t="str">
        <f t="shared" si="1418"/>
        <v>KFH-OPERATIONS DEPARTMENT</v>
      </c>
      <c r="F3487" t="str">
        <f t="shared" si="1419"/>
        <v>IBG</v>
      </c>
      <c r="G3487" t="str">
        <f t="shared" si="1432"/>
        <v>Refund COSHARE 10</v>
      </c>
      <c r="H3487" s="2">
        <v>646.45000000000005</v>
      </c>
      <c r="I3487" t="str">
        <f>"MOHAMMAD FRISZUANIE ILHAM BIN ZURAINI"</f>
        <v>MOHAMMAD FRISZUANIE ILHAM BIN ZURAINI</v>
      </c>
      <c r="J3487" t="str">
        <f t="shared" si="1433"/>
        <v>MAYBANK / MAYBANK ISLAMIC</v>
      </c>
      <c r="K3487" t="str">
        <f>"161118915377"</f>
        <v>161118915377</v>
      </c>
      <c r="L3487" t="str">
        <f t="shared" ref="L3487:M3506" si="1436">"04-08-2020"</f>
        <v>04-08-2020</v>
      </c>
      <c r="M3487" t="str">
        <f t="shared" si="1436"/>
        <v>04-08-2020</v>
      </c>
      <c r="N3487" t="str">
        <f t="shared" si="1420"/>
        <v>001105018356</v>
      </c>
      <c r="O3487" t="str">
        <f t="shared" si="1421"/>
        <v>MYR</v>
      </c>
      <c r="P3487" t="str">
        <f t="shared" ref="P3487:Q3506" si="1437">"NIL"</f>
        <v>NIL</v>
      </c>
      <c r="Q3487" t="str">
        <f t="shared" si="1437"/>
        <v>NIL</v>
      </c>
      <c r="R3487" t="str">
        <f t="shared" si="1422"/>
        <v>Accepted</v>
      </c>
      <c r="S3487" t="str">
        <f t="shared" si="1423"/>
        <v>Approved</v>
      </c>
      <c r="T3487" t="str">
        <f t="shared" si="1424"/>
        <v>10.20.8.188</v>
      </c>
      <c r="U3487" t="str">
        <f t="shared" si="1425"/>
        <v>AZRAD UMAR BIN SHAARI</v>
      </c>
      <c r="V3487" t="str">
        <f t="shared" si="1426"/>
        <v>FARHANA BINTI MUSTAPA</v>
      </c>
      <c r="W3487" t="str">
        <f t="shared" si="1427"/>
        <v>04-08-2020</v>
      </c>
      <c r="X3487" t="str">
        <f t="shared" si="1428"/>
        <v>RAZIMAH ANSAR AHMAD</v>
      </c>
      <c r="Y3487" t="str">
        <f t="shared" si="1429"/>
        <v>04-08-2020</v>
      </c>
      <c r="Z3487" t="str">
        <f>"COS10200804 5467"</f>
        <v>COS10200804 5467</v>
      </c>
    </row>
    <row r="3488" spans="1:26" x14ac:dyDescent="0.25">
      <c r="A3488" t="str">
        <f t="shared" si="1434"/>
        <v>04-08-2020 12:57:26</v>
      </c>
      <c r="B3488" t="str">
        <f>"0000807455"</f>
        <v>0000807455</v>
      </c>
      <c r="C3488" t="str">
        <f t="shared" si="1435"/>
        <v>0000807389</v>
      </c>
      <c r="D3488" t="str">
        <f t="shared" si="1417"/>
        <v>73185</v>
      </c>
      <c r="E3488" t="str">
        <f t="shared" si="1418"/>
        <v>KFH-OPERATIONS DEPARTMENT</v>
      </c>
      <c r="F3488" t="str">
        <f t="shared" si="1419"/>
        <v>IBG</v>
      </c>
      <c r="G3488" t="str">
        <f t="shared" si="1432"/>
        <v>Refund COSHARE 10</v>
      </c>
      <c r="H3488" s="2">
        <v>839.5</v>
      </c>
      <c r="I3488" t="str">
        <f>"MOHAMMAD FIRZA BIN AHMAD"</f>
        <v>MOHAMMAD FIRZA BIN AHMAD</v>
      </c>
      <c r="J3488" t="str">
        <f t="shared" si="1433"/>
        <v>MAYBANK / MAYBANK ISLAMIC</v>
      </c>
      <c r="K3488" t="str">
        <f>"112213043253"</f>
        <v>112213043253</v>
      </c>
      <c r="L3488" t="str">
        <f t="shared" si="1436"/>
        <v>04-08-2020</v>
      </c>
      <c r="M3488" t="str">
        <f t="shared" si="1436"/>
        <v>04-08-2020</v>
      </c>
      <c r="N3488" t="str">
        <f t="shared" si="1420"/>
        <v>001105018356</v>
      </c>
      <c r="O3488" t="str">
        <f t="shared" si="1421"/>
        <v>MYR</v>
      </c>
      <c r="P3488" t="str">
        <f t="shared" si="1437"/>
        <v>NIL</v>
      </c>
      <c r="Q3488" t="str">
        <f t="shared" si="1437"/>
        <v>NIL</v>
      </c>
      <c r="R3488" t="str">
        <f t="shared" si="1422"/>
        <v>Accepted</v>
      </c>
      <c r="S3488" t="str">
        <f t="shared" si="1423"/>
        <v>Approved</v>
      </c>
      <c r="T3488" t="str">
        <f t="shared" si="1424"/>
        <v>10.20.8.188</v>
      </c>
      <c r="U3488" t="str">
        <f t="shared" si="1425"/>
        <v>AZRAD UMAR BIN SHAARI</v>
      </c>
      <c r="V3488" t="str">
        <f t="shared" si="1426"/>
        <v>FARHANA BINTI MUSTAPA</v>
      </c>
      <c r="W3488" t="str">
        <f t="shared" si="1427"/>
        <v>04-08-2020</v>
      </c>
      <c r="X3488" t="str">
        <f t="shared" si="1428"/>
        <v>RAZIMAH ANSAR AHMAD</v>
      </c>
      <c r="Y3488" t="str">
        <f t="shared" si="1429"/>
        <v>04-08-2020</v>
      </c>
      <c r="Z3488" t="str">
        <f>"COS10200804 5466"</f>
        <v>COS10200804 5466</v>
      </c>
    </row>
    <row r="3489" spans="1:26" x14ac:dyDescent="0.25">
      <c r="A3489" t="str">
        <f t="shared" si="1434"/>
        <v>04-08-2020 12:57:26</v>
      </c>
      <c r="B3489" t="str">
        <f>"0000807454"</f>
        <v>0000807454</v>
      </c>
      <c r="C3489" t="str">
        <f t="shared" si="1435"/>
        <v>0000807389</v>
      </c>
      <c r="D3489" t="str">
        <f t="shared" si="1417"/>
        <v>73185</v>
      </c>
      <c r="E3489" t="str">
        <f t="shared" si="1418"/>
        <v>KFH-OPERATIONS DEPARTMENT</v>
      </c>
      <c r="F3489" t="str">
        <f t="shared" si="1419"/>
        <v>IBG</v>
      </c>
      <c r="G3489" t="str">
        <f t="shared" si="1432"/>
        <v>Refund COSHARE 10</v>
      </c>
      <c r="H3489" s="2">
        <v>671.6</v>
      </c>
      <c r="I3489" t="str">
        <f>"MOHAMMAD FIRDHAUST BIN ZAINAL"</f>
        <v>MOHAMMAD FIRDHAUST BIN ZAINAL</v>
      </c>
      <c r="J3489" t="str">
        <f t="shared" si="1433"/>
        <v>MAYBANK / MAYBANK ISLAMIC</v>
      </c>
      <c r="K3489" t="str">
        <f>"162375669970"</f>
        <v>162375669970</v>
      </c>
      <c r="L3489" t="str">
        <f t="shared" si="1436"/>
        <v>04-08-2020</v>
      </c>
      <c r="M3489" t="str">
        <f t="shared" si="1436"/>
        <v>04-08-2020</v>
      </c>
      <c r="N3489" t="str">
        <f t="shared" si="1420"/>
        <v>001105018356</v>
      </c>
      <c r="O3489" t="str">
        <f t="shared" si="1421"/>
        <v>MYR</v>
      </c>
      <c r="P3489" t="str">
        <f t="shared" si="1437"/>
        <v>NIL</v>
      </c>
      <c r="Q3489" t="str">
        <f t="shared" si="1437"/>
        <v>NIL</v>
      </c>
      <c r="R3489" t="str">
        <f t="shared" si="1422"/>
        <v>Accepted</v>
      </c>
      <c r="S3489" t="str">
        <f t="shared" si="1423"/>
        <v>Approved</v>
      </c>
      <c r="T3489" t="str">
        <f t="shared" si="1424"/>
        <v>10.20.8.188</v>
      </c>
      <c r="U3489" t="str">
        <f t="shared" si="1425"/>
        <v>AZRAD UMAR BIN SHAARI</v>
      </c>
      <c r="V3489" t="str">
        <f t="shared" si="1426"/>
        <v>FARHANA BINTI MUSTAPA</v>
      </c>
      <c r="W3489" t="str">
        <f t="shared" si="1427"/>
        <v>04-08-2020</v>
      </c>
      <c r="X3489" t="str">
        <f t="shared" si="1428"/>
        <v>RAZIMAH ANSAR AHMAD</v>
      </c>
      <c r="Y3489" t="str">
        <f t="shared" si="1429"/>
        <v>04-08-2020</v>
      </c>
      <c r="Z3489" t="str">
        <f>"COS10200804 5465"</f>
        <v>COS10200804 5465</v>
      </c>
    </row>
    <row r="3490" spans="1:26" x14ac:dyDescent="0.25">
      <c r="A3490" t="str">
        <f t="shared" si="1434"/>
        <v>04-08-2020 12:57:26</v>
      </c>
      <c r="B3490" t="str">
        <f>"0000807453"</f>
        <v>0000807453</v>
      </c>
      <c r="C3490" t="str">
        <f t="shared" si="1435"/>
        <v>0000807389</v>
      </c>
      <c r="D3490" t="str">
        <f t="shared" si="1417"/>
        <v>73185</v>
      </c>
      <c r="E3490" t="str">
        <f t="shared" si="1418"/>
        <v>KFH-OPERATIONS DEPARTMENT</v>
      </c>
      <c r="F3490" t="str">
        <f t="shared" si="1419"/>
        <v>IBG</v>
      </c>
      <c r="G3490" t="str">
        <f t="shared" si="1432"/>
        <v>Refund COSHARE 10</v>
      </c>
      <c r="H3490" s="2">
        <v>76</v>
      </c>
      <c r="I3490" t="str">
        <f>"MOHAMMAD FIRDAUS BIN ARIFFIN"</f>
        <v>MOHAMMAD FIRDAUS BIN ARIFFIN</v>
      </c>
      <c r="J3490" t="str">
        <f t="shared" si="1433"/>
        <v>MAYBANK / MAYBANK ISLAMIC</v>
      </c>
      <c r="K3490" t="str">
        <f>"152068808573"</f>
        <v>152068808573</v>
      </c>
      <c r="L3490" t="str">
        <f t="shared" si="1436"/>
        <v>04-08-2020</v>
      </c>
      <c r="M3490" t="str">
        <f t="shared" si="1436"/>
        <v>04-08-2020</v>
      </c>
      <c r="N3490" t="str">
        <f t="shared" si="1420"/>
        <v>001105018356</v>
      </c>
      <c r="O3490" t="str">
        <f t="shared" si="1421"/>
        <v>MYR</v>
      </c>
      <c r="P3490" t="str">
        <f t="shared" si="1437"/>
        <v>NIL</v>
      </c>
      <c r="Q3490" t="str">
        <f t="shared" si="1437"/>
        <v>NIL</v>
      </c>
      <c r="R3490" t="str">
        <f t="shared" si="1422"/>
        <v>Accepted</v>
      </c>
      <c r="S3490" t="str">
        <f t="shared" si="1423"/>
        <v>Approved</v>
      </c>
      <c r="T3490" t="str">
        <f t="shared" si="1424"/>
        <v>10.20.8.188</v>
      </c>
      <c r="U3490" t="str">
        <f t="shared" si="1425"/>
        <v>AZRAD UMAR BIN SHAARI</v>
      </c>
      <c r="V3490" t="str">
        <f t="shared" si="1426"/>
        <v>FARHANA BINTI MUSTAPA</v>
      </c>
      <c r="W3490" t="str">
        <f t="shared" si="1427"/>
        <v>04-08-2020</v>
      </c>
      <c r="X3490" t="str">
        <f t="shared" si="1428"/>
        <v>RAZIMAH ANSAR AHMAD</v>
      </c>
      <c r="Y3490" t="str">
        <f t="shared" si="1429"/>
        <v>04-08-2020</v>
      </c>
      <c r="Z3490" t="str">
        <f>"COS10200804 5464"</f>
        <v>COS10200804 5464</v>
      </c>
    </row>
    <row r="3491" spans="1:26" x14ac:dyDescent="0.25">
      <c r="A3491" t="str">
        <f t="shared" si="1434"/>
        <v>04-08-2020 12:57:26</v>
      </c>
      <c r="B3491" t="str">
        <f>"0000807452"</f>
        <v>0000807452</v>
      </c>
      <c r="C3491" t="str">
        <f t="shared" si="1435"/>
        <v>0000807389</v>
      </c>
      <c r="D3491" t="str">
        <f t="shared" si="1417"/>
        <v>73185</v>
      </c>
      <c r="E3491" t="str">
        <f t="shared" si="1418"/>
        <v>KFH-OPERATIONS DEPARTMENT</v>
      </c>
      <c r="F3491" t="str">
        <f t="shared" si="1419"/>
        <v>IBG</v>
      </c>
      <c r="G3491" t="str">
        <f t="shared" si="1432"/>
        <v>Refund COSHARE 10</v>
      </c>
      <c r="H3491" s="2">
        <v>260</v>
      </c>
      <c r="I3491" t="str">
        <f>"MOHAMMAD FAUZI BIN ZAINUL"</f>
        <v>MOHAMMAD FAUZI BIN ZAINUL</v>
      </c>
      <c r="J3491" t="str">
        <f t="shared" si="1433"/>
        <v>MAYBANK / MAYBANK ISLAMIC</v>
      </c>
      <c r="K3491" t="str">
        <f>"164230342349"</f>
        <v>164230342349</v>
      </c>
      <c r="L3491" t="str">
        <f t="shared" si="1436"/>
        <v>04-08-2020</v>
      </c>
      <c r="M3491" t="str">
        <f t="shared" si="1436"/>
        <v>04-08-2020</v>
      </c>
      <c r="N3491" t="str">
        <f t="shared" si="1420"/>
        <v>001105018356</v>
      </c>
      <c r="O3491" t="str">
        <f t="shared" si="1421"/>
        <v>MYR</v>
      </c>
      <c r="P3491" t="str">
        <f t="shared" si="1437"/>
        <v>NIL</v>
      </c>
      <c r="Q3491" t="str">
        <f t="shared" si="1437"/>
        <v>NIL</v>
      </c>
      <c r="R3491" t="str">
        <f t="shared" si="1422"/>
        <v>Accepted</v>
      </c>
      <c r="S3491" t="str">
        <f t="shared" si="1423"/>
        <v>Approved</v>
      </c>
      <c r="T3491" t="str">
        <f t="shared" si="1424"/>
        <v>10.20.8.188</v>
      </c>
      <c r="U3491" t="str">
        <f t="shared" si="1425"/>
        <v>AZRAD UMAR BIN SHAARI</v>
      </c>
      <c r="V3491" t="str">
        <f t="shared" si="1426"/>
        <v>FARHANA BINTI MUSTAPA</v>
      </c>
      <c r="W3491" t="str">
        <f t="shared" si="1427"/>
        <v>04-08-2020</v>
      </c>
      <c r="X3491" t="str">
        <f t="shared" si="1428"/>
        <v>RAZIMAH ANSAR AHMAD</v>
      </c>
      <c r="Y3491" t="str">
        <f t="shared" si="1429"/>
        <v>04-08-2020</v>
      </c>
      <c r="Z3491" t="str">
        <f>"COS10200804 5463"</f>
        <v>COS10200804 5463</v>
      </c>
    </row>
    <row r="3492" spans="1:26" x14ac:dyDescent="0.25">
      <c r="A3492" t="str">
        <f t="shared" si="1434"/>
        <v>04-08-2020 12:57:26</v>
      </c>
      <c r="B3492" t="str">
        <f>"0000807451"</f>
        <v>0000807451</v>
      </c>
      <c r="C3492" t="str">
        <f t="shared" si="1435"/>
        <v>0000807389</v>
      </c>
      <c r="D3492" t="str">
        <f t="shared" si="1417"/>
        <v>73185</v>
      </c>
      <c r="E3492" t="str">
        <f t="shared" si="1418"/>
        <v>KFH-OPERATIONS DEPARTMENT</v>
      </c>
      <c r="F3492" t="str">
        <f t="shared" si="1419"/>
        <v>IBG</v>
      </c>
      <c r="G3492" t="str">
        <f t="shared" si="1432"/>
        <v>Refund COSHARE 10</v>
      </c>
      <c r="H3492" s="2">
        <v>343.8</v>
      </c>
      <c r="I3492" t="str">
        <f>"MOHAMMAD FAUZI BIN MOHD SHARIFSARIP"</f>
        <v>MOHAMMAD FAUZI BIN MOHD SHARIFSARIP</v>
      </c>
      <c r="J3492" t="str">
        <f t="shared" si="1433"/>
        <v>MAYBANK / MAYBANK ISLAMIC</v>
      </c>
      <c r="K3492" t="str">
        <f>"101048954206"</f>
        <v>101048954206</v>
      </c>
      <c r="L3492" t="str">
        <f t="shared" si="1436"/>
        <v>04-08-2020</v>
      </c>
      <c r="M3492" t="str">
        <f t="shared" si="1436"/>
        <v>04-08-2020</v>
      </c>
      <c r="N3492" t="str">
        <f t="shared" si="1420"/>
        <v>001105018356</v>
      </c>
      <c r="O3492" t="str">
        <f t="shared" si="1421"/>
        <v>MYR</v>
      </c>
      <c r="P3492" t="str">
        <f t="shared" si="1437"/>
        <v>NIL</v>
      </c>
      <c r="Q3492" t="str">
        <f t="shared" si="1437"/>
        <v>NIL</v>
      </c>
      <c r="R3492" t="str">
        <f t="shared" si="1422"/>
        <v>Accepted</v>
      </c>
      <c r="S3492" t="str">
        <f t="shared" si="1423"/>
        <v>Approved</v>
      </c>
      <c r="T3492" t="str">
        <f t="shared" si="1424"/>
        <v>10.20.8.188</v>
      </c>
      <c r="U3492" t="str">
        <f t="shared" si="1425"/>
        <v>AZRAD UMAR BIN SHAARI</v>
      </c>
      <c r="V3492" t="str">
        <f t="shared" si="1426"/>
        <v>FARHANA BINTI MUSTAPA</v>
      </c>
      <c r="W3492" t="str">
        <f t="shared" si="1427"/>
        <v>04-08-2020</v>
      </c>
      <c r="X3492" t="str">
        <f t="shared" si="1428"/>
        <v>RAZIMAH ANSAR AHMAD</v>
      </c>
      <c r="Y3492" t="str">
        <f t="shared" si="1429"/>
        <v>04-08-2020</v>
      </c>
      <c r="Z3492" t="str">
        <f>"COS10200804 5462"</f>
        <v>COS10200804 5462</v>
      </c>
    </row>
    <row r="3493" spans="1:26" x14ac:dyDescent="0.25">
      <c r="A3493" t="str">
        <f t="shared" si="1434"/>
        <v>04-08-2020 12:57:26</v>
      </c>
      <c r="B3493" t="str">
        <f>"0000807450"</f>
        <v>0000807450</v>
      </c>
      <c r="C3493" t="str">
        <f t="shared" si="1435"/>
        <v>0000807389</v>
      </c>
      <c r="D3493" t="str">
        <f t="shared" si="1417"/>
        <v>73185</v>
      </c>
      <c r="E3493" t="str">
        <f t="shared" si="1418"/>
        <v>KFH-OPERATIONS DEPARTMENT</v>
      </c>
      <c r="F3493" t="str">
        <f t="shared" si="1419"/>
        <v>IBG</v>
      </c>
      <c r="G3493" t="str">
        <f t="shared" si="1432"/>
        <v>Refund COSHARE 10</v>
      </c>
      <c r="H3493" s="2">
        <v>81.900000000000006</v>
      </c>
      <c r="I3493" t="str">
        <f>"MOHAMMAD FAIZUL BIN ISMAIL"</f>
        <v>MOHAMMAD FAIZUL BIN ISMAIL</v>
      </c>
      <c r="J3493" t="str">
        <f t="shared" si="1433"/>
        <v>MAYBANK / MAYBANK ISLAMIC</v>
      </c>
      <c r="K3493" t="str">
        <f>"551089003770"</f>
        <v>551089003770</v>
      </c>
      <c r="L3493" t="str">
        <f t="shared" si="1436"/>
        <v>04-08-2020</v>
      </c>
      <c r="M3493" t="str">
        <f t="shared" si="1436"/>
        <v>04-08-2020</v>
      </c>
      <c r="N3493" t="str">
        <f t="shared" si="1420"/>
        <v>001105018356</v>
      </c>
      <c r="O3493" t="str">
        <f t="shared" si="1421"/>
        <v>MYR</v>
      </c>
      <c r="P3493" t="str">
        <f t="shared" si="1437"/>
        <v>NIL</v>
      </c>
      <c r="Q3493" t="str">
        <f t="shared" si="1437"/>
        <v>NIL</v>
      </c>
      <c r="R3493" t="str">
        <f t="shared" si="1422"/>
        <v>Accepted</v>
      </c>
      <c r="S3493" t="str">
        <f t="shared" si="1423"/>
        <v>Approved</v>
      </c>
      <c r="T3493" t="str">
        <f t="shared" si="1424"/>
        <v>10.20.8.188</v>
      </c>
      <c r="U3493" t="str">
        <f t="shared" si="1425"/>
        <v>AZRAD UMAR BIN SHAARI</v>
      </c>
      <c r="V3493" t="str">
        <f t="shared" si="1426"/>
        <v>FARHANA BINTI MUSTAPA</v>
      </c>
      <c r="W3493" t="str">
        <f t="shared" si="1427"/>
        <v>04-08-2020</v>
      </c>
      <c r="X3493" t="str">
        <f t="shared" si="1428"/>
        <v>RAZIMAH ANSAR AHMAD</v>
      </c>
      <c r="Y3493" t="str">
        <f t="shared" si="1429"/>
        <v>04-08-2020</v>
      </c>
      <c r="Z3493" t="str">
        <f>"COS10200804 5461"</f>
        <v>COS10200804 5461</v>
      </c>
    </row>
    <row r="3494" spans="1:26" x14ac:dyDescent="0.25">
      <c r="A3494" t="str">
        <f t="shared" si="1434"/>
        <v>04-08-2020 12:57:26</v>
      </c>
      <c r="B3494" t="str">
        <f>"0000807449"</f>
        <v>0000807449</v>
      </c>
      <c r="C3494" t="str">
        <f t="shared" si="1435"/>
        <v>0000807389</v>
      </c>
      <c r="D3494" t="str">
        <f t="shared" si="1417"/>
        <v>73185</v>
      </c>
      <c r="E3494" t="str">
        <f t="shared" si="1418"/>
        <v>KFH-OPERATIONS DEPARTMENT</v>
      </c>
      <c r="F3494" t="str">
        <f t="shared" si="1419"/>
        <v>IBG</v>
      </c>
      <c r="G3494" t="str">
        <f t="shared" si="1432"/>
        <v>Refund COSHARE 10</v>
      </c>
      <c r="H3494" s="2">
        <v>419.75</v>
      </c>
      <c r="I3494" t="str">
        <f>"MOHAMMAD FAIZAL HAMSIE BIN HAIRAN"</f>
        <v>MOHAMMAD FAIZAL HAMSIE BIN HAIRAN</v>
      </c>
      <c r="J3494" t="str">
        <f t="shared" si="1433"/>
        <v>MAYBANK / MAYBANK ISLAMIC</v>
      </c>
      <c r="K3494" t="str">
        <f>"161211087737"</f>
        <v>161211087737</v>
      </c>
      <c r="L3494" t="str">
        <f t="shared" si="1436"/>
        <v>04-08-2020</v>
      </c>
      <c r="M3494" t="str">
        <f t="shared" si="1436"/>
        <v>04-08-2020</v>
      </c>
      <c r="N3494" t="str">
        <f t="shared" si="1420"/>
        <v>001105018356</v>
      </c>
      <c r="O3494" t="str">
        <f t="shared" si="1421"/>
        <v>MYR</v>
      </c>
      <c r="P3494" t="str">
        <f t="shared" si="1437"/>
        <v>NIL</v>
      </c>
      <c r="Q3494" t="str">
        <f t="shared" si="1437"/>
        <v>NIL</v>
      </c>
      <c r="R3494" t="str">
        <f t="shared" si="1422"/>
        <v>Accepted</v>
      </c>
      <c r="S3494" t="str">
        <f t="shared" si="1423"/>
        <v>Approved</v>
      </c>
      <c r="T3494" t="str">
        <f t="shared" si="1424"/>
        <v>10.20.8.188</v>
      </c>
      <c r="U3494" t="str">
        <f t="shared" si="1425"/>
        <v>AZRAD UMAR BIN SHAARI</v>
      </c>
      <c r="V3494" t="str">
        <f t="shared" si="1426"/>
        <v>FARHANA BINTI MUSTAPA</v>
      </c>
      <c r="W3494" t="str">
        <f t="shared" si="1427"/>
        <v>04-08-2020</v>
      </c>
      <c r="X3494" t="str">
        <f t="shared" si="1428"/>
        <v>RAZIMAH ANSAR AHMAD</v>
      </c>
      <c r="Y3494" t="str">
        <f t="shared" si="1429"/>
        <v>04-08-2020</v>
      </c>
      <c r="Z3494" t="str">
        <f>"COS10200804 5460"</f>
        <v>COS10200804 5460</v>
      </c>
    </row>
    <row r="3495" spans="1:26" x14ac:dyDescent="0.25">
      <c r="A3495" t="str">
        <f t="shared" si="1434"/>
        <v>04-08-2020 12:57:26</v>
      </c>
      <c r="B3495" t="str">
        <f>"0000807448"</f>
        <v>0000807448</v>
      </c>
      <c r="C3495" t="str">
        <f t="shared" si="1435"/>
        <v>0000807389</v>
      </c>
      <c r="D3495" t="str">
        <f t="shared" si="1417"/>
        <v>73185</v>
      </c>
      <c r="E3495" t="str">
        <f t="shared" si="1418"/>
        <v>KFH-OPERATIONS DEPARTMENT</v>
      </c>
      <c r="F3495" t="str">
        <f t="shared" si="1419"/>
        <v>IBG</v>
      </c>
      <c r="G3495" t="str">
        <f t="shared" si="1432"/>
        <v>Refund COSHARE 10</v>
      </c>
      <c r="H3495" s="2">
        <v>260.25</v>
      </c>
      <c r="I3495" t="str">
        <f>"MOHAMMAD FADILLAH BIN IBRAHIM"</f>
        <v>MOHAMMAD FADILLAH BIN IBRAHIM</v>
      </c>
      <c r="J3495" t="str">
        <f t="shared" si="1433"/>
        <v>MAYBANK / MAYBANK ISLAMIC</v>
      </c>
      <c r="K3495" t="str">
        <f>"151191323389"</f>
        <v>151191323389</v>
      </c>
      <c r="L3495" t="str">
        <f t="shared" si="1436"/>
        <v>04-08-2020</v>
      </c>
      <c r="M3495" t="str">
        <f t="shared" si="1436"/>
        <v>04-08-2020</v>
      </c>
      <c r="N3495" t="str">
        <f t="shared" si="1420"/>
        <v>001105018356</v>
      </c>
      <c r="O3495" t="str">
        <f t="shared" si="1421"/>
        <v>MYR</v>
      </c>
      <c r="P3495" t="str">
        <f t="shared" si="1437"/>
        <v>NIL</v>
      </c>
      <c r="Q3495" t="str">
        <f t="shared" si="1437"/>
        <v>NIL</v>
      </c>
      <c r="R3495" t="str">
        <f t="shared" si="1422"/>
        <v>Accepted</v>
      </c>
      <c r="S3495" t="str">
        <f t="shared" si="1423"/>
        <v>Approved</v>
      </c>
      <c r="T3495" t="str">
        <f t="shared" si="1424"/>
        <v>10.20.8.188</v>
      </c>
      <c r="U3495" t="str">
        <f t="shared" si="1425"/>
        <v>AZRAD UMAR BIN SHAARI</v>
      </c>
      <c r="V3495" t="str">
        <f t="shared" si="1426"/>
        <v>FARHANA BINTI MUSTAPA</v>
      </c>
      <c r="W3495" t="str">
        <f t="shared" si="1427"/>
        <v>04-08-2020</v>
      </c>
      <c r="X3495" t="str">
        <f t="shared" si="1428"/>
        <v>RAZIMAH ANSAR AHMAD</v>
      </c>
      <c r="Y3495" t="str">
        <f t="shared" si="1429"/>
        <v>04-08-2020</v>
      </c>
      <c r="Z3495" t="str">
        <f>"COS10200804 5459"</f>
        <v>COS10200804 5459</v>
      </c>
    </row>
    <row r="3496" spans="1:26" x14ac:dyDescent="0.25">
      <c r="A3496" t="str">
        <f t="shared" si="1434"/>
        <v>04-08-2020 12:57:26</v>
      </c>
      <c r="B3496" t="str">
        <f>"0000807447"</f>
        <v>0000807447</v>
      </c>
      <c r="C3496" t="str">
        <f t="shared" si="1435"/>
        <v>0000807389</v>
      </c>
      <c r="D3496" t="str">
        <f t="shared" si="1417"/>
        <v>73185</v>
      </c>
      <c r="E3496" t="str">
        <f t="shared" si="1418"/>
        <v>KFH-OPERATIONS DEPARTMENT</v>
      </c>
      <c r="F3496" t="str">
        <f t="shared" si="1419"/>
        <v>IBG</v>
      </c>
      <c r="G3496" t="str">
        <f t="shared" si="1432"/>
        <v>Refund COSHARE 10</v>
      </c>
      <c r="H3496" s="2">
        <v>176.3</v>
      </c>
      <c r="I3496" t="str">
        <f>"MOHAMMAD FADILLAH BIN IBRAHIM"</f>
        <v>MOHAMMAD FADILLAH BIN IBRAHIM</v>
      </c>
      <c r="J3496" t="str">
        <f t="shared" si="1433"/>
        <v>MAYBANK / MAYBANK ISLAMIC</v>
      </c>
      <c r="K3496" t="str">
        <f>"151191323389"</f>
        <v>151191323389</v>
      </c>
      <c r="L3496" t="str">
        <f t="shared" si="1436"/>
        <v>04-08-2020</v>
      </c>
      <c r="M3496" t="str">
        <f t="shared" si="1436"/>
        <v>04-08-2020</v>
      </c>
      <c r="N3496" t="str">
        <f t="shared" si="1420"/>
        <v>001105018356</v>
      </c>
      <c r="O3496" t="str">
        <f t="shared" si="1421"/>
        <v>MYR</v>
      </c>
      <c r="P3496" t="str">
        <f t="shared" si="1437"/>
        <v>NIL</v>
      </c>
      <c r="Q3496" t="str">
        <f t="shared" si="1437"/>
        <v>NIL</v>
      </c>
      <c r="R3496" t="str">
        <f t="shared" si="1422"/>
        <v>Accepted</v>
      </c>
      <c r="S3496" t="str">
        <f t="shared" si="1423"/>
        <v>Approved</v>
      </c>
      <c r="T3496" t="str">
        <f t="shared" si="1424"/>
        <v>10.20.8.188</v>
      </c>
      <c r="U3496" t="str">
        <f t="shared" si="1425"/>
        <v>AZRAD UMAR BIN SHAARI</v>
      </c>
      <c r="V3496" t="str">
        <f t="shared" si="1426"/>
        <v>FARHANA BINTI MUSTAPA</v>
      </c>
      <c r="W3496" t="str">
        <f t="shared" si="1427"/>
        <v>04-08-2020</v>
      </c>
      <c r="X3496" t="str">
        <f t="shared" si="1428"/>
        <v>RAZIMAH ANSAR AHMAD</v>
      </c>
      <c r="Y3496" t="str">
        <f t="shared" si="1429"/>
        <v>04-08-2020</v>
      </c>
      <c r="Z3496" t="str">
        <f>"COS10200804 5458"</f>
        <v>COS10200804 5458</v>
      </c>
    </row>
    <row r="3497" spans="1:26" x14ac:dyDescent="0.25">
      <c r="A3497" t="str">
        <f t="shared" si="1434"/>
        <v>04-08-2020 12:57:26</v>
      </c>
      <c r="B3497" t="str">
        <f>"0000807446"</f>
        <v>0000807446</v>
      </c>
      <c r="C3497" t="str">
        <f t="shared" si="1435"/>
        <v>0000807389</v>
      </c>
      <c r="D3497" t="str">
        <f t="shared" si="1417"/>
        <v>73185</v>
      </c>
      <c r="E3497" t="str">
        <f t="shared" si="1418"/>
        <v>KFH-OPERATIONS DEPARTMENT</v>
      </c>
      <c r="F3497" t="str">
        <f t="shared" si="1419"/>
        <v>IBG</v>
      </c>
      <c r="G3497" t="str">
        <f t="shared" si="1432"/>
        <v>Refund COSHARE 10</v>
      </c>
      <c r="H3497" s="2">
        <v>125.95</v>
      </c>
      <c r="I3497" t="str">
        <f>"MOHAMMAD EPHAPZRIEY BIN ABDULLAH"</f>
        <v>MOHAMMAD EPHAPZRIEY BIN ABDULLAH</v>
      </c>
      <c r="J3497" t="str">
        <f t="shared" si="1433"/>
        <v>MAYBANK / MAYBANK ISLAMIC</v>
      </c>
      <c r="K3497" t="str">
        <f>"161136013352"</f>
        <v>161136013352</v>
      </c>
      <c r="L3497" t="str">
        <f t="shared" si="1436"/>
        <v>04-08-2020</v>
      </c>
      <c r="M3497" t="str">
        <f t="shared" si="1436"/>
        <v>04-08-2020</v>
      </c>
      <c r="N3497" t="str">
        <f t="shared" si="1420"/>
        <v>001105018356</v>
      </c>
      <c r="O3497" t="str">
        <f t="shared" si="1421"/>
        <v>MYR</v>
      </c>
      <c r="P3497" t="str">
        <f t="shared" si="1437"/>
        <v>NIL</v>
      </c>
      <c r="Q3497" t="str">
        <f t="shared" si="1437"/>
        <v>NIL</v>
      </c>
      <c r="R3497" t="str">
        <f t="shared" si="1422"/>
        <v>Accepted</v>
      </c>
      <c r="S3497" t="str">
        <f t="shared" si="1423"/>
        <v>Approved</v>
      </c>
      <c r="T3497" t="str">
        <f t="shared" si="1424"/>
        <v>10.20.8.188</v>
      </c>
      <c r="U3497" t="str">
        <f t="shared" si="1425"/>
        <v>AZRAD UMAR BIN SHAARI</v>
      </c>
      <c r="V3497" t="str">
        <f t="shared" si="1426"/>
        <v>FARHANA BINTI MUSTAPA</v>
      </c>
      <c r="W3497" t="str">
        <f t="shared" si="1427"/>
        <v>04-08-2020</v>
      </c>
      <c r="X3497" t="str">
        <f t="shared" si="1428"/>
        <v>RAZIMAH ANSAR AHMAD</v>
      </c>
      <c r="Y3497" t="str">
        <f t="shared" si="1429"/>
        <v>04-08-2020</v>
      </c>
      <c r="Z3497" t="str">
        <f>"COS10200804 5457"</f>
        <v>COS10200804 5457</v>
      </c>
    </row>
    <row r="3498" spans="1:26" x14ac:dyDescent="0.25">
      <c r="A3498" t="str">
        <f t="shared" si="1434"/>
        <v>04-08-2020 12:57:26</v>
      </c>
      <c r="B3498" t="str">
        <f>"0000807445"</f>
        <v>0000807445</v>
      </c>
      <c r="C3498" t="str">
        <f t="shared" si="1435"/>
        <v>0000807389</v>
      </c>
      <c r="D3498" t="str">
        <f t="shared" si="1417"/>
        <v>73185</v>
      </c>
      <c r="E3498" t="str">
        <f t="shared" si="1418"/>
        <v>KFH-OPERATIONS DEPARTMENT</v>
      </c>
      <c r="F3498" t="str">
        <f t="shared" si="1419"/>
        <v>IBG</v>
      </c>
      <c r="G3498" t="str">
        <f t="shared" si="1432"/>
        <v>Refund COSHARE 10</v>
      </c>
      <c r="H3498" s="2">
        <v>596.75</v>
      </c>
      <c r="I3498" t="str">
        <f>"MOHAMMAD DAUD BIN BUYONG"</f>
        <v>MOHAMMAD DAUD BIN BUYONG</v>
      </c>
      <c r="J3498" t="str">
        <f t="shared" si="1433"/>
        <v>MAYBANK / MAYBANK ISLAMIC</v>
      </c>
      <c r="K3498" t="str">
        <f>"158109190311"</f>
        <v>158109190311</v>
      </c>
      <c r="L3498" t="str">
        <f t="shared" si="1436"/>
        <v>04-08-2020</v>
      </c>
      <c r="M3498" t="str">
        <f t="shared" si="1436"/>
        <v>04-08-2020</v>
      </c>
      <c r="N3498" t="str">
        <f t="shared" si="1420"/>
        <v>001105018356</v>
      </c>
      <c r="O3498" t="str">
        <f t="shared" si="1421"/>
        <v>MYR</v>
      </c>
      <c r="P3498" t="str">
        <f t="shared" si="1437"/>
        <v>NIL</v>
      </c>
      <c r="Q3498" t="str">
        <f t="shared" si="1437"/>
        <v>NIL</v>
      </c>
      <c r="R3498" t="str">
        <f t="shared" si="1422"/>
        <v>Accepted</v>
      </c>
      <c r="S3498" t="str">
        <f t="shared" si="1423"/>
        <v>Approved</v>
      </c>
      <c r="T3498" t="str">
        <f t="shared" si="1424"/>
        <v>10.20.8.188</v>
      </c>
      <c r="U3498" t="str">
        <f t="shared" si="1425"/>
        <v>AZRAD UMAR BIN SHAARI</v>
      </c>
      <c r="V3498" t="str">
        <f t="shared" si="1426"/>
        <v>FARHANA BINTI MUSTAPA</v>
      </c>
      <c r="W3498" t="str">
        <f t="shared" si="1427"/>
        <v>04-08-2020</v>
      </c>
      <c r="X3498" t="str">
        <f t="shared" si="1428"/>
        <v>RAZIMAH ANSAR AHMAD</v>
      </c>
      <c r="Y3498" t="str">
        <f t="shared" si="1429"/>
        <v>04-08-2020</v>
      </c>
      <c r="Z3498" t="str">
        <f>"COS10200804 5456"</f>
        <v>COS10200804 5456</v>
      </c>
    </row>
    <row r="3499" spans="1:26" x14ac:dyDescent="0.25">
      <c r="A3499" t="str">
        <f t="shared" si="1434"/>
        <v>04-08-2020 12:57:26</v>
      </c>
      <c r="B3499" t="str">
        <f>"0000807444"</f>
        <v>0000807444</v>
      </c>
      <c r="C3499" t="str">
        <f t="shared" si="1435"/>
        <v>0000807389</v>
      </c>
      <c r="D3499" t="str">
        <f t="shared" si="1417"/>
        <v>73185</v>
      </c>
      <c r="E3499" t="str">
        <f t="shared" si="1418"/>
        <v>KFH-OPERATIONS DEPARTMENT</v>
      </c>
      <c r="F3499" t="str">
        <f t="shared" si="1419"/>
        <v>IBG</v>
      </c>
      <c r="G3499" t="str">
        <f t="shared" si="1432"/>
        <v>Refund COSHARE 10</v>
      </c>
      <c r="H3499" s="2">
        <v>732</v>
      </c>
      <c r="I3499" t="str">
        <f>"MOHAMMAD BIN KAHAR"</f>
        <v>MOHAMMAD BIN KAHAR</v>
      </c>
      <c r="J3499" t="str">
        <f t="shared" si="1433"/>
        <v>MAYBANK / MAYBANK ISLAMIC</v>
      </c>
      <c r="K3499" t="str">
        <f>"101075801478"</f>
        <v>101075801478</v>
      </c>
      <c r="L3499" t="str">
        <f t="shared" si="1436"/>
        <v>04-08-2020</v>
      </c>
      <c r="M3499" t="str">
        <f t="shared" si="1436"/>
        <v>04-08-2020</v>
      </c>
      <c r="N3499" t="str">
        <f t="shared" si="1420"/>
        <v>001105018356</v>
      </c>
      <c r="O3499" t="str">
        <f t="shared" si="1421"/>
        <v>MYR</v>
      </c>
      <c r="P3499" t="str">
        <f t="shared" si="1437"/>
        <v>NIL</v>
      </c>
      <c r="Q3499" t="str">
        <f t="shared" si="1437"/>
        <v>NIL</v>
      </c>
      <c r="R3499" t="str">
        <f t="shared" si="1422"/>
        <v>Accepted</v>
      </c>
      <c r="S3499" t="str">
        <f t="shared" si="1423"/>
        <v>Approved</v>
      </c>
      <c r="T3499" t="str">
        <f t="shared" si="1424"/>
        <v>10.20.8.188</v>
      </c>
      <c r="U3499" t="str">
        <f t="shared" si="1425"/>
        <v>AZRAD UMAR BIN SHAARI</v>
      </c>
      <c r="V3499" t="str">
        <f t="shared" si="1426"/>
        <v>FARHANA BINTI MUSTAPA</v>
      </c>
      <c r="W3499" t="str">
        <f t="shared" si="1427"/>
        <v>04-08-2020</v>
      </c>
      <c r="X3499" t="str">
        <f t="shared" si="1428"/>
        <v>RAZIMAH ANSAR AHMAD</v>
      </c>
      <c r="Y3499" t="str">
        <f t="shared" si="1429"/>
        <v>04-08-2020</v>
      </c>
      <c r="Z3499" t="str">
        <f>"COS10200804 5455"</f>
        <v>COS10200804 5455</v>
      </c>
    </row>
    <row r="3500" spans="1:26" x14ac:dyDescent="0.25">
      <c r="A3500" t="str">
        <f t="shared" si="1434"/>
        <v>04-08-2020 12:57:26</v>
      </c>
      <c r="B3500" t="str">
        <f>"0000807443"</f>
        <v>0000807443</v>
      </c>
      <c r="C3500" t="str">
        <f t="shared" si="1435"/>
        <v>0000807389</v>
      </c>
      <c r="D3500" t="str">
        <f t="shared" si="1417"/>
        <v>73185</v>
      </c>
      <c r="E3500" t="str">
        <f t="shared" si="1418"/>
        <v>KFH-OPERATIONS DEPARTMENT</v>
      </c>
      <c r="F3500" t="str">
        <f t="shared" si="1419"/>
        <v>IBG</v>
      </c>
      <c r="G3500" t="str">
        <f t="shared" si="1432"/>
        <v>Refund COSHARE 10</v>
      </c>
      <c r="H3500" s="2">
        <v>671.6</v>
      </c>
      <c r="I3500" t="str">
        <f>"MOHAMMAD AZRIL HEZRI BIN AHMAD"</f>
        <v>MOHAMMAD AZRIL HEZRI BIN AHMAD</v>
      </c>
      <c r="J3500" t="str">
        <f t="shared" si="1433"/>
        <v>MAYBANK / MAYBANK ISLAMIC</v>
      </c>
      <c r="K3500" t="str">
        <f>"151463033513"</f>
        <v>151463033513</v>
      </c>
      <c r="L3500" t="str">
        <f t="shared" si="1436"/>
        <v>04-08-2020</v>
      </c>
      <c r="M3500" t="str">
        <f t="shared" si="1436"/>
        <v>04-08-2020</v>
      </c>
      <c r="N3500" t="str">
        <f t="shared" si="1420"/>
        <v>001105018356</v>
      </c>
      <c r="O3500" t="str">
        <f t="shared" si="1421"/>
        <v>MYR</v>
      </c>
      <c r="P3500" t="str">
        <f t="shared" si="1437"/>
        <v>NIL</v>
      </c>
      <c r="Q3500" t="str">
        <f t="shared" si="1437"/>
        <v>NIL</v>
      </c>
      <c r="R3500" t="str">
        <f t="shared" si="1422"/>
        <v>Accepted</v>
      </c>
      <c r="S3500" t="str">
        <f t="shared" si="1423"/>
        <v>Approved</v>
      </c>
      <c r="T3500" t="str">
        <f t="shared" si="1424"/>
        <v>10.20.8.188</v>
      </c>
      <c r="U3500" t="str">
        <f t="shared" si="1425"/>
        <v>AZRAD UMAR BIN SHAARI</v>
      </c>
      <c r="V3500" t="str">
        <f t="shared" si="1426"/>
        <v>FARHANA BINTI MUSTAPA</v>
      </c>
      <c r="W3500" t="str">
        <f t="shared" si="1427"/>
        <v>04-08-2020</v>
      </c>
      <c r="X3500" t="str">
        <f t="shared" si="1428"/>
        <v>RAZIMAH ANSAR AHMAD</v>
      </c>
      <c r="Y3500" t="str">
        <f t="shared" si="1429"/>
        <v>04-08-2020</v>
      </c>
      <c r="Z3500" t="str">
        <f>"COS10200804 5454"</f>
        <v>COS10200804 5454</v>
      </c>
    </row>
    <row r="3501" spans="1:26" x14ac:dyDescent="0.25">
      <c r="A3501" t="str">
        <f t="shared" si="1434"/>
        <v>04-08-2020 12:57:26</v>
      </c>
      <c r="B3501" t="str">
        <f>"0000807442"</f>
        <v>0000807442</v>
      </c>
      <c r="C3501" t="str">
        <f t="shared" si="1435"/>
        <v>0000807389</v>
      </c>
      <c r="D3501" t="str">
        <f t="shared" si="1417"/>
        <v>73185</v>
      </c>
      <c r="E3501" t="str">
        <f t="shared" si="1418"/>
        <v>KFH-OPERATIONS DEPARTMENT</v>
      </c>
      <c r="F3501" t="str">
        <f t="shared" si="1419"/>
        <v>IBG</v>
      </c>
      <c r="G3501" t="str">
        <f t="shared" si="1432"/>
        <v>Refund COSHARE 10</v>
      </c>
      <c r="H3501" s="2">
        <v>167.9</v>
      </c>
      <c r="I3501" t="str">
        <f>"MOHAMMAD ASRI BIN ABU HASSAN"</f>
        <v>MOHAMMAD ASRI BIN ABU HASSAN</v>
      </c>
      <c r="J3501" t="str">
        <f t="shared" si="1433"/>
        <v>MAYBANK / MAYBANK ISLAMIC</v>
      </c>
      <c r="K3501" t="str">
        <f>"162013015382"</f>
        <v>162013015382</v>
      </c>
      <c r="L3501" t="str">
        <f t="shared" si="1436"/>
        <v>04-08-2020</v>
      </c>
      <c r="M3501" t="str">
        <f t="shared" si="1436"/>
        <v>04-08-2020</v>
      </c>
      <c r="N3501" t="str">
        <f t="shared" si="1420"/>
        <v>001105018356</v>
      </c>
      <c r="O3501" t="str">
        <f t="shared" si="1421"/>
        <v>MYR</v>
      </c>
      <c r="P3501" t="str">
        <f t="shared" si="1437"/>
        <v>NIL</v>
      </c>
      <c r="Q3501" t="str">
        <f t="shared" si="1437"/>
        <v>NIL</v>
      </c>
      <c r="R3501" t="str">
        <f t="shared" si="1422"/>
        <v>Accepted</v>
      </c>
      <c r="S3501" t="str">
        <f t="shared" si="1423"/>
        <v>Approved</v>
      </c>
      <c r="T3501" t="str">
        <f t="shared" si="1424"/>
        <v>10.20.8.188</v>
      </c>
      <c r="U3501" t="str">
        <f t="shared" si="1425"/>
        <v>AZRAD UMAR BIN SHAARI</v>
      </c>
      <c r="V3501" t="str">
        <f t="shared" si="1426"/>
        <v>FARHANA BINTI MUSTAPA</v>
      </c>
      <c r="W3501" t="str">
        <f t="shared" si="1427"/>
        <v>04-08-2020</v>
      </c>
      <c r="X3501" t="str">
        <f t="shared" si="1428"/>
        <v>RAZIMAH ANSAR AHMAD</v>
      </c>
      <c r="Y3501" t="str">
        <f t="shared" si="1429"/>
        <v>04-08-2020</v>
      </c>
      <c r="Z3501" t="str">
        <f>"COS10200804 5453"</f>
        <v>COS10200804 5453</v>
      </c>
    </row>
    <row r="3502" spans="1:26" x14ac:dyDescent="0.25">
      <c r="A3502" t="str">
        <f t="shared" si="1434"/>
        <v>04-08-2020 12:57:26</v>
      </c>
      <c r="B3502" t="str">
        <f>"0000807441"</f>
        <v>0000807441</v>
      </c>
      <c r="C3502" t="str">
        <f t="shared" si="1435"/>
        <v>0000807389</v>
      </c>
      <c r="D3502" t="str">
        <f t="shared" si="1417"/>
        <v>73185</v>
      </c>
      <c r="E3502" t="str">
        <f t="shared" si="1418"/>
        <v>KFH-OPERATIONS DEPARTMENT</v>
      </c>
      <c r="F3502" t="str">
        <f t="shared" si="1419"/>
        <v>IBG</v>
      </c>
      <c r="G3502" t="str">
        <f t="shared" si="1432"/>
        <v>Refund COSHARE 10</v>
      </c>
      <c r="H3502" s="2">
        <v>973.85</v>
      </c>
      <c r="I3502" t="str">
        <f>"MOHAMMAD ASHRAF BIN IBRAHIM"</f>
        <v>MOHAMMAD ASHRAF BIN IBRAHIM</v>
      </c>
      <c r="J3502" t="str">
        <f t="shared" si="1433"/>
        <v>MAYBANK / MAYBANK ISLAMIC</v>
      </c>
      <c r="K3502" t="str">
        <f>"155096148728"</f>
        <v>155096148728</v>
      </c>
      <c r="L3502" t="str">
        <f t="shared" si="1436"/>
        <v>04-08-2020</v>
      </c>
      <c r="M3502" t="str">
        <f t="shared" si="1436"/>
        <v>04-08-2020</v>
      </c>
      <c r="N3502" t="str">
        <f t="shared" si="1420"/>
        <v>001105018356</v>
      </c>
      <c r="O3502" t="str">
        <f t="shared" si="1421"/>
        <v>MYR</v>
      </c>
      <c r="P3502" t="str">
        <f t="shared" si="1437"/>
        <v>NIL</v>
      </c>
      <c r="Q3502" t="str">
        <f t="shared" si="1437"/>
        <v>NIL</v>
      </c>
      <c r="R3502" t="str">
        <f t="shared" si="1422"/>
        <v>Accepted</v>
      </c>
      <c r="S3502" t="str">
        <f t="shared" si="1423"/>
        <v>Approved</v>
      </c>
      <c r="T3502" t="str">
        <f t="shared" si="1424"/>
        <v>10.20.8.188</v>
      </c>
      <c r="U3502" t="str">
        <f t="shared" si="1425"/>
        <v>AZRAD UMAR BIN SHAARI</v>
      </c>
      <c r="V3502" t="str">
        <f t="shared" si="1426"/>
        <v>FARHANA BINTI MUSTAPA</v>
      </c>
      <c r="W3502" t="str">
        <f t="shared" si="1427"/>
        <v>04-08-2020</v>
      </c>
      <c r="X3502" t="str">
        <f t="shared" si="1428"/>
        <v>RAZIMAH ANSAR AHMAD</v>
      </c>
      <c r="Y3502" t="str">
        <f t="shared" si="1429"/>
        <v>04-08-2020</v>
      </c>
      <c r="Z3502" t="str">
        <f>"COS10200804 5452"</f>
        <v>COS10200804 5452</v>
      </c>
    </row>
    <row r="3503" spans="1:26" x14ac:dyDescent="0.25">
      <c r="A3503" t="str">
        <f t="shared" si="1434"/>
        <v>04-08-2020 12:57:26</v>
      </c>
      <c r="B3503" t="str">
        <f>"0000807440"</f>
        <v>0000807440</v>
      </c>
      <c r="C3503" t="str">
        <f t="shared" si="1435"/>
        <v>0000807389</v>
      </c>
      <c r="D3503" t="str">
        <f t="shared" si="1417"/>
        <v>73185</v>
      </c>
      <c r="E3503" t="str">
        <f t="shared" si="1418"/>
        <v>KFH-OPERATIONS DEPARTMENT</v>
      </c>
      <c r="F3503" t="str">
        <f t="shared" si="1419"/>
        <v>IBG</v>
      </c>
      <c r="G3503" t="str">
        <f t="shared" si="1432"/>
        <v>Refund COSHARE 10</v>
      </c>
      <c r="H3503" s="2">
        <v>545.70000000000005</v>
      </c>
      <c r="I3503" t="str">
        <f>"MOHAMMAD ARIF BIN MUSTAPHA"</f>
        <v>MOHAMMAD ARIF BIN MUSTAPHA</v>
      </c>
      <c r="J3503" t="str">
        <f t="shared" si="1433"/>
        <v>MAYBANK / MAYBANK ISLAMIC</v>
      </c>
      <c r="K3503" t="str">
        <f>"164025895171"</f>
        <v>164025895171</v>
      </c>
      <c r="L3503" t="str">
        <f t="shared" si="1436"/>
        <v>04-08-2020</v>
      </c>
      <c r="M3503" t="str">
        <f t="shared" si="1436"/>
        <v>04-08-2020</v>
      </c>
      <c r="N3503" t="str">
        <f t="shared" si="1420"/>
        <v>001105018356</v>
      </c>
      <c r="O3503" t="str">
        <f t="shared" si="1421"/>
        <v>MYR</v>
      </c>
      <c r="P3503" t="str">
        <f t="shared" si="1437"/>
        <v>NIL</v>
      </c>
      <c r="Q3503" t="str">
        <f t="shared" si="1437"/>
        <v>NIL</v>
      </c>
      <c r="R3503" t="str">
        <f t="shared" si="1422"/>
        <v>Accepted</v>
      </c>
      <c r="S3503" t="str">
        <f t="shared" si="1423"/>
        <v>Approved</v>
      </c>
      <c r="T3503" t="str">
        <f t="shared" si="1424"/>
        <v>10.20.8.188</v>
      </c>
      <c r="U3503" t="str">
        <f t="shared" si="1425"/>
        <v>AZRAD UMAR BIN SHAARI</v>
      </c>
      <c r="V3503" t="str">
        <f t="shared" si="1426"/>
        <v>FARHANA BINTI MUSTAPA</v>
      </c>
      <c r="W3503" t="str">
        <f t="shared" si="1427"/>
        <v>04-08-2020</v>
      </c>
      <c r="X3503" t="str">
        <f t="shared" si="1428"/>
        <v>RAZIMAH ANSAR AHMAD</v>
      </c>
      <c r="Y3503" t="str">
        <f t="shared" si="1429"/>
        <v>04-08-2020</v>
      </c>
      <c r="Z3503" t="str">
        <f>"COS10200804 5451"</f>
        <v>COS10200804 5451</v>
      </c>
    </row>
    <row r="3504" spans="1:26" x14ac:dyDescent="0.25">
      <c r="A3504" t="str">
        <f t="shared" si="1434"/>
        <v>04-08-2020 12:57:26</v>
      </c>
      <c r="B3504" t="str">
        <f>"0000807439"</f>
        <v>0000807439</v>
      </c>
      <c r="C3504" t="str">
        <f t="shared" si="1435"/>
        <v>0000807389</v>
      </c>
      <c r="D3504" t="str">
        <f t="shared" si="1417"/>
        <v>73185</v>
      </c>
      <c r="E3504" t="str">
        <f t="shared" si="1418"/>
        <v>KFH-OPERATIONS DEPARTMENT</v>
      </c>
      <c r="F3504" t="str">
        <f t="shared" si="1419"/>
        <v>IBG</v>
      </c>
      <c r="G3504" t="str">
        <f t="shared" si="1432"/>
        <v>Refund COSHARE 10</v>
      </c>
      <c r="H3504" s="2">
        <v>646.45000000000005</v>
      </c>
      <c r="I3504" t="str">
        <f>"MOHAMED WAHIDI BIN MOHAMED TAWI"</f>
        <v>MOHAMED WAHIDI BIN MOHAMED TAWI</v>
      </c>
      <c r="J3504" t="str">
        <f t="shared" si="1433"/>
        <v>MAYBANK / MAYBANK ISLAMIC</v>
      </c>
      <c r="K3504" t="str">
        <f>"162245667277"</f>
        <v>162245667277</v>
      </c>
      <c r="L3504" t="str">
        <f t="shared" si="1436"/>
        <v>04-08-2020</v>
      </c>
      <c r="M3504" t="str">
        <f t="shared" si="1436"/>
        <v>04-08-2020</v>
      </c>
      <c r="N3504" t="str">
        <f t="shared" si="1420"/>
        <v>001105018356</v>
      </c>
      <c r="O3504" t="str">
        <f t="shared" si="1421"/>
        <v>MYR</v>
      </c>
      <c r="P3504" t="str">
        <f t="shared" si="1437"/>
        <v>NIL</v>
      </c>
      <c r="Q3504" t="str">
        <f t="shared" si="1437"/>
        <v>NIL</v>
      </c>
      <c r="R3504" t="str">
        <f t="shared" si="1422"/>
        <v>Accepted</v>
      </c>
      <c r="S3504" t="str">
        <f t="shared" si="1423"/>
        <v>Approved</v>
      </c>
      <c r="T3504" t="str">
        <f t="shared" si="1424"/>
        <v>10.20.8.188</v>
      </c>
      <c r="U3504" t="str">
        <f t="shared" si="1425"/>
        <v>AZRAD UMAR BIN SHAARI</v>
      </c>
      <c r="V3504" t="str">
        <f t="shared" si="1426"/>
        <v>FARHANA BINTI MUSTAPA</v>
      </c>
      <c r="W3504" t="str">
        <f t="shared" si="1427"/>
        <v>04-08-2020</v>
      </c>
      <c r="X3504" t="str">
        <f t="shared" si="1428"/>
        <v>RAZIMAH ANSAR AHMAD</v>
      </c>
      <c r="Y3504" t="str">
        <f t="shared" si="1429"/>
        <v>04-08-2020</v>
      </c>
      <c r="Z3504" t="str">
        <f>"COS10200804 5450"</f>
        <v>COS10200804 5450</v>
      </c>
    </row>
    <row r="3505" spans="1:26" x14ac:dyDescent="0.25">
      <c r="A3505" t="str">
        <f t="shared" si="1434"/>
        <v>04-08-2020 12:57:26</v>
      </c>
      <c r="B3505" t="str">
        <f>"0000807438"</f>
        <v>0000807438</v>
      </c>
      <c r="C3505" t="str">
        <f t="shared" si="1435"/>
        <v>0000807389</v>
      </c>
      <c r="D3505" t="str">
        <f t="shared" si="1417"/>
        <v>73185</v>
      </c>
      <c r="E3505" t="str">
        <f t="shared" si="1418"/>
        <v>KFH-OPERATIONS DEPARTMENT</v>
      </c>
      <c r="F3505" t="str">
        <f t="shared" si="1419"/>
        <v>IBG</v>
      </c>
      <c r="G3505" t="str">
        <f t="shared" si="1432"/>
        <v>Refund COSHARE 10</v>
      </c>
      <c r="H3505" s="2">
        <v>193.1</v>
      </c>
      <c r="I3505" t="str">
        <f>"MOHAMED SHAFIZZUL AZRIN BIN SAMSUDIN"</f>
        <v>MOHAMED SHAFIZZUL AZRIN BIN SAMSUDIN</v>
      </c>
      <c r="J3505" t="str">
        <f t="shared" si="1433"/>
        <v>MAYBANK / MAYBANK ISLAMIC</v>
      </c>
      <c r="K3505" t="str">
        <f>"154044705566"</f>
        <v>154044705566</v>
      </c>
      <c r="L3505" t="str">
        <f t="shared" si="1436"/>
        <v>04-08-2020</v>
      </c>
      <c r="M3505" t="str">
        <f t="shared" si="1436"/>
        <v>04-08-2020</v>
      </c>
      <c r="N3505" t="str">
        <f t="shared" si="1420"/>
        <v>001105018356</v>
      </c>
      <c r="O3505" t="str">
        <f t="shared" si="1421"/>
        <v>MYR</v>
      </c>
      <c r="P3505" t="str">
        <f t="shared" si="1437"/>
        <v>NIL</v>
      </c>
      <c r="Q3505" t="str">
        <f t="shared" si="1437"/>
        <v>NIL</v>
      </c>
      <c r="R3505" t="str">
        <f t="shared" si="1422"/>
        <v>Accepted</v>
      </c>
      <c r="S3505" t="str">
        <f t="shared" si="1423"/>
        <v>Approved</v>
      </c>
      <c r="T3505" t="str">
        <f t="shared" si="1424"/>
        <v>10.20.8.188</v>
      </c>
      <c r="U3505" t="str">
        <f t="shared" si="1425"/>
        <v>AZRAD UMAR BIN SHAARI</v>
      </c>
      <c r="V3505" t="str">
        <f t="shared" si="1426"/>
        <v>FARHANA BINTI MUSTAPA</v>
      </c>
      <c r="W3505" t="str">
        <f t="shared" si="1427"/>
        <v>04-08-2020</v>
      </c>
      <c r="X3505" t="str">
        <f t="shared" si="1428"/>
        <v>RAZIMAH ANSAR AHMAD</v>
      </c>
      <c r="Y3505" t="str">
        <f t="shared" si="1429"/>
        <v>04-08-2020</v>
      </c>
      <c r="Z3505" t="str">
        <f>"COS10200804 5449"</f>
        <v>COS10200804 5449</v>
      </c>
    </row>
    <row r="3506" spans="1:26" x14ac:dyDescent="0.25">
      <c r="A3506" t="str">
        <f t="shared" si="1434"/>
        <v>04-08-2020 12:57:26</v>
      </c>
      <c r="B3506" t="str">
        <f>"0000807437"</f>
        <v>0000807437</v>
      </c>
      <c r="C3506" t="str">
        <f t="shared" si="1435"/>
        <v>0000807389</v>
      </c>
      <c r="D3506" t="str">
        <f t="shared" si="1417"/>
        <v>73185</v>
      </c>
      <c r="E3506" t="str">
        <f t="shared" si="1418"/>
        <v>KFH-OPERATIONS DEPARTMENT</v>
      </c>
      <c r="F3506" t="str">
        <f t="shared" si="1419"/>
        <v>IBG</v>
      </c>
      <c r="G3506" t="str">
        <f t="shared" si="1432"/>
        <v>Refund COSHARE 10</v>
      </c>
      <c r="H3506" s="2">
        <v>1637.05</v>
      </c>
      <c r="I3506" t="str">
        <f>"MOHAMED NOOR BIN CHE SEMAN"</f>
        <v>MOHAMED NOOR BIN CHE SEMAN</v>
      </c>
      <c r="J3506" t="str">
        <f t="shared" si="1433"/>
        <v>MAYBANK / MAYBANK ISLAMIC</v>
      </c>
      <c r="K3506" t="str">
        <f>"153056077399"</f>
        <v>153056077399</v>
      </c>
      <c r="L3506" t="str">
        <f t="shared" si="1436"/>
        <v>04-08-2020</v>
      </c>
      <c r="M3506" t="str">
        <f t="shared" si="1436"/>
        <v>04-08-2020</v>
      </c>
      <c r="N3506" t="str">
        <f t="shared" si="1420"/>
        <v>001105018356</v>
      </c>
      <c r="O3506" t="str">
        <f t="shared" si="1421"/>
        <v>MYR</v>
      </c>
      <c r="P3506" t="str">
        <f t="shared" si="1437"/>
        <v>NIL</v>
      </c>
      <c r="Q3506" t="str">
        <f t="shared" si="1437"/>
        <v>NIL</v>
      </c>
      <c r="R3506" t="str">
        <f t="shared" si="1422"/>
        <v>Accepted</v>
      </c>
      <c r="S3506" t="str">
        <f t="shared" si="1423"/>
        <v>Approved</v>
      </c>
      <c r="T3506" t="str">
        <f t="shared" si="1424"/>
        <v>10.20.8.188</v>
      </c>
      <c r="U3506" t="str">
        <f t="shared" si="1425"/>
        <v>AZRAD UMAR BIN SHAARI</v>
      </c>
      <c r="V3506" t="str">
        <f t="shared" si="1426"/>
        <v>FARHANA BINTI MUSTAPA</v>
      </c>
      <c r="W3506" t="str">
        <f t="shared" si="1427"/>
        <v>04-08-2020</v>
      </c>
      <c r="X3506" t="str">
        <f t="shared" si="1428"/>
        <v>RAZIMAH ANSAR AHMAD</v>
      </c>
      <c r="Y3506" t="str">
        <f t="shared" si="1429"/>
        <v>04-08-2020</v>
      </c>
      <c r="Z3506" t="str">
        <f>"COS10200804 5448"</f>
        <v>COS10200804 5448</v>
      </c>
    </row>
    <row r="3507" spans="1:26" x14ac:dyDescent="0.25">
      <c r="A3507" t="str">
        <f t="shared" si="1434"/>
        <v>04-08-2020 12:57:26</v>
      </c>
      <c r="B3507" t="str">
        <f>"0000807436"</f>
        <v>0000807436</v>
      </c>
      <c r="C3507" t="str">
        <f t="shared" si="1435"/>
        <v>0000807389</v>
      </c>
      <c r="D3507" t="str">
        <f t="shared" si="1417"/>
        <v>73185</v>
      </c>
      <c r="E3507" t="str">
        <f t="shared" si="1418"/>
        <v>KFH-OPERATIONS DEPARTMENT</v>
      </c>
      <c r="F3507" t="str">
        <f t="shared" si="1419"/>
        <v>IBG</v>
      </c>
      <c r="G3507" t="str">
        <f t="shared" si="1432"/>
        <v>Refund COSHARE 10</v>
      </c>
      <c r="H3507" s="2">
        <v>54.9</v>
      </c>
      <c r="I3507" t="str">
        <f>"MOHAMED JEFFERI BIN MOHAMAD SHUKOR"</f>
        <v>MOHAMED JEFFERI BIN MOHAMAD SHUKOR</v>
      </c>
      <c r="J3507" t="str">
        <f t="shared" si="1433"/>
        <v>MAYBANK / MAYBANK ISLAMIC</v>
      </c>
      <c r="K3507" t="str">
        <f>"161033045583"</f>
        <v>161033045583</v>
      </c>
      <c r="L3507" t="str">
        <f t="shared" ref="L3507:M3526" si="1438">"04-08-2020"</f>
        <v>04-08-2020</v>
      </c>
      <c r="M3507" t="str">
        <f t="shared" si="1438"/>
        <v>04-08-2020</v>
      </c>
      <c r="N3507" t="str">
        <f t="shared" si="1420"/>
        <v>001105018356</v>
      </c>
      <c r="O3507" t="str">
        <f t="shared" si="1421"/>
        <v>MYR</v>
      </c>
      <c r="P3507" t="str">
        <f t="shared" ref="P3507:Q3526" si="1439">"NIL"</f>
        <v>NIL</v>
      </c>
      <c r="Q3507" t="str">
        <f t="shared" si="1439"/>
        <v>NIL</v>
      </c>
      <c r="R3507" t="str">
        <f t="shared" si="1422"/>
        <v>Accepted</v>
      </c>
      <c r="S3507" t="str">
        <f t="shared" si="1423"/>
        <v>Approved</v>
      </c>
      <c r="T3507" t="str">
        <f t="shared" si="1424"/>
        <v>10.20.8.188</v>
      </c>
      <c r="U3507" t="str">
        <f t="shared" si="1425"/>
        <v>AZRAD UMAR BIN SHAARI</v>
      </c>
      <c r="V3507" t="str">
        <f t="shared" si="1426"/>
        <v>FARHANA BINTI MUSTAPA</v>
      </c>
      <c r="W3507" t="str">
        <f t="shared" si="1427"/>
        <v>04-08-2020</v>
      </c>
      <c r="X3507" t="str">
        <f t="shared" si="1428"/>
        <v>RAZIMAH ANSAR AHMAD</v>
      </c>
      <c r="Y3507" t="str">
        <f t="shared" si="1429"/>
        <v>04-08-2020</v>
      </c>
      <c r="Z3507" t="str">
        <f>"COS10200804 5447"</f>
        <v>COS10200804 5447</v>
      </c>
    </row>
    <row r="3508" spans="1:26" x14ac:dyDescent="0.25">
      <c r="A3508" t="str">
        <f t="shared" si="1434"/>
        <v>04-08-2020 12:57:26</v>
      </c>
      <c r="B3508" t="str">
        <f>"0000807435"</f>
        <v>0000807435</v>
      </c>
      <c r="C3508" t="str">
        <f t="shared" si="1435"/>
        <v>0000807389</v>
      </c>
      <c r="D3508" t="str">
        <f t="shared" si="1417"/>
        <v>73185</v>
      </c>
      <c r="E3508" t="str">
        <f t="shared" si="1418"/>
        <v>KFH-OPERATIONS DEPARTMENT</v>
      </c>
      <c r="F3508" t="str">
        <f t="shared" si="1419"/>
        <v>IBG</v>
      </c>
      <c r="G3508" t="str">
        <f t="shared" si="1432"/>
        <v>Refund COSHARE 10</v>
      </c>
      <c r="H3508" s="2">
        <v>428.25</v>
      </c>
      <c r="I3508" t="str">
        <f>"MOHAMED HUSSAIN BIN S KAMALUDEN"</f>
        <v>MOHAMED HUSSAIN BIN S KAMALUDEN</v>
      </c>
      <c r="J3508" t="str">
        <f t="shared" si="1433"/>
        <v>MAYBANK / MAYBANK ISLAMIC</v>
      </c>
      <c r="K3508" t="str">
        <f>"166010085670"</f>
        <v>166010085670</v>
      </c>
      <c r="L3508" t="str">
        <f t="shared" si="1438"/>
        <v>04-08-2020</v>
      </c>
      <c r="M3508" t="str">
        <f t="shared" si="1438"/>
        <v>04-08-2020</v>
      </c>
      <c r="N3508" t="str">
        <f t="shared" si="1420"/>
        <v>001105018356</v>
      </c>
      <c r="O3508" t="str">
        <f t="shared" si="1421"/>
        <v>MYR</v>
      </c>
      <c r="P3508" t="str">
        <f t="shared" si="1439"/>
        <v>NIL</v>
      </c>
      <c r="Q3508" t="str">
        <f t="shared" si="1439"/>
        <v>NIL</v>
      </c>
      <c r="R3508" t="str">
        <f t="shared" si="1422"/>
        <v>Accepted</v>
      </c>
      <c r="S3508" t="str">
        <f t="shared" si="1423"/>
        <v>Approved</v>
      </c>
      <c r="T3508" t="str">
        <f t="shared" si="1424"/>
        <v>10.20.8.188</v>
      </c>
      <c r="U3508" t="str">
        <f t="shared" si="1425"/>
        <v>AZRAD UMAR BIN SHAARI</v>
      </c>
      <c r="V3508" t="str">
        <f t="shared" si="1426"/>
        <v>FARHANA BINTI MUSTAPA</v>
      </c>
      <c r="W3508" t="str">
        <f t="shared" si="1427"/>
        <v>04-08-2020</v>
      </c>
      <c r="X3508" t="str">
        <f t="shared" si="1428"/>
        <v>RAZIMAH ANSAR AHMAD</v>
      </c>
      <c r="Y3508" t="str">
        <f t="shared" si="1429"/>
        <v>04-08-2020</v>
      </c>
      <c r="Z3508" t="str">
        <f>"COS10200804 5446"</f>
        <v>COS10200804 5446</v>
      </c>
    </row>
    <row r="3509" spans="1:26" x14ac:dyDescent="0.25">
      <c r="A3509" t="str">
        <f t="shared" si="1434"/>
        <v>04-08-2020 12:57:26</v>
      </c>
      <c r="B3509" t="str">
        <f>"0000807434"</f>
        <v>0000807434</v>
      </c>
      <c r="C3509" t="str">
        <f t="shared" si="1435"/>
        <v>0000807389</v>
      </c>
      <c r="D3509" t="str">
        <f t="shared" si="1417"/>
        <v>73185</v>
      </c>
      <c r="E3509" t="str">
        <f t="shared" si="1418"/>
        <v>KFH-OPERATIONS DEPARTMENT</v>
      </c>
      <c r="F3509" t="str">
        <f t="shared" si="1419"/>
        <v>IBG</v>
      </c>
      <c r="G3509" t="str">
        <f t="shared" si="1432"/>
        <v>Refund COSHARE 10</v>
      </c>
      <c r="H3509" s="2">
        <v>386.2</v>
      </c>
      <c r="I3509" t="str">
        <f>"MOHAMED HAFIZ BIN ZAHALUDIN"</f>
        <v>MOHAMED HAFIZ BIN ZAHALUDIN</v>
      </c>
      <c r="J3509" t="str">
        <f t="shared" si="1433"/>
        <v>MAYBANK / MAYBANK ISLAMIC</v>
      </c>
      <c r="K3509" t="str">
        <f>"112063046733"</f>
        <v>112063046733</v>
      </c>
      <c r="L3509" t="str">
        <f t="shared" si="1438"/>
        <v>04-08-2020</v>
      </c>
      <c r="M3509" t="str">
        <f t="shared" si="1438"/>
        <v>04-08-2020</v>
      </c>
      <c r="N3509" t="str">
        <f t="shared" si="1420"/>
        <v>001105018356</v>
      </c>
      <c r="O3509" t="str">
        <f t="shared" si="1421"/>
        <v>MYR</v>
      </c>
      <c r="P3509" t="str">
        <f t="shared" si="1439"/>
        <v>NIL</v>
      </c>
      <c r="Q3509" t="str">
        <f t="shared" si="1439"/>
        <v>NIL</v>
      </c>
      <c r="R3509" t="str">
        <f t="shared" si="1422"/>
        <v>Accepted</v>
      </c>
      <c r="S3509" t="str">
        <f t="shared" si="1423"/>
        <v>Approved</v>
      </c>
      <c r="T3509" t="str">
        <f t="shared" si="1424"/>
        <v>10.20.8.188</v>
      </c>
      <c r="U3509" t="str">
        <f t="shared" si="1425"/>
        <v>AZRAD UMAR BIN SHAARI</v>
      </c>
      <c r="V3509" t="str">
        <f t="shared" si="1426"/>
        <v>FARHANA BINTI MUSTAPA</v>
      </c>
      <c r="W3509" t="str">
        <f t="shared" si="1427"/>
        <v>04-08-2020</v>
      </c>
      <c r="X3509" t="str">
        <f t="shared" si="1428"/>
        <v>RAZIMAH ANSAR AHMAD</v>
      </c>
      <c r="Y3509" t="str">
        <f t="shared" si="1429"/>
        <v>04-08-2020</v>
      </c>
      <c r="Z3509" t="str">
        <f>"COS10200804 5445"</f>
        <v>COS10200804 5445</v>
      </c>
    </row>
    <row r="3510" spans="1:26" x14ac:dyDescent="0.25">
      <c r="A3510" t="str">
        <f t="shared" si="1434"/>
        <v>04-08-2020 12:57:26</v>
      </c>
      <c r="B3510" t="str">
        <f>"0000807433"</f>
        <v>0000807433</v>
      </c>
      <c r="C3510" t="str">
        <f t="shared" si="1435"/>
        <v>0000807389</v>
      </c>
      <c r="D3510" t="str">
        <f t="shared" si="1417"/>
        <v>73185</v>
      </c>
      <c r="E3510" t="str">
        <f t="shared" si="1418"/>
        <v>KFH-OPERATIONS DEPARTMENT</v>
      </c>
      <c r="F3510" t="str">
        <f t="shared" si="1419"/>
        <v>IBG</v>
      </c>
      <c r="G3510" t="str">
        <f t="shared" si="1432"/>
        <v>Refund COSHARE 10</v>
      </c>
      <c r="H3510" s="2">
        <v>134.35</v>
      </c>
      <c r="I3510" t="str">
        <f>"MOHAMED FAKRULZAMAN BIN MOHAMED YUSOFF"</f>
        <v>MOHAMED FAKRULZAMAN BIN MOHAMED YUSOFF</v>
      </c>
      <c r="J3510" t="str">
        <f t="shared" si="1433"/>
        <v>MAYBANK / MAYBANK ISLAMIC</v>
      </c>
      <c r="K3510" t="str">
        <f>"158024880871"</f>
        <v>158024880871</v>
      </c>
      <c r="L3510" t="str">
        <f t="shared" si="1438"/>
        <v>04-08-2020</v>
      </c>
      <c r="M3510" t="str">
        <f t="shared" si="1438"/>
        <v>04-08-2020</v>
      </c>
      <c r="N3510" t="str">
        <f t="shared" si="1420"/>
        <v>001105018356</v>
      </c>
      <c r="O3510" t="str">
        <f t="shared" si="1421"/>
        <v>MYR</v>
      </c>
      <c r="P3510" t="str">
        <f t="shared" si="1439"/>
        <v>NIL</v>
      </c>
      <c r="Q3510" t="str">
        <f t="shared" si="1439"/>
        <v>NIL</v>
      </c>
      <c r="R3510" t="str">
        <f t="shared" si="1422"/>
        <v>Accepted</v>
      </c>
      <c r="S3510" t="str">
        <f t="shared" si="1423"/>
        <v>Approved</v>
      </c>
      <c r="T3510" t="str">
        <f t="shared" si="1424"/>
        <v>10.20.8.188</v>
      </c>
      <c r="U3510" t="str">
        <f t="shared" si="1425"/>
        <v>AZRAD UMAR BIN SHAARI</v>
      </c>
      <c r="V3510" t="str">
        <f t="shared" si="1426"/>
        <v>FARHANA BINTI MUSTAPA</v>
      </c>
      <c r="W3510" t="str">
        <f t="shared" si="1427"/>
        <v>04-08-2020</v>
      </c>
      <c r="X3510" t="str">
        <f t="shared" si="1428"/>
        <v>RAZIMAH ANSAR AHMAD</v>
      </c>
      <c r="Y3510" t="str">
        <f t="shared" si="1429"/>
        <v>04-08-2020</v>
      </c>
      <c r="Z3510" t="str">
        <f>"COS10200804 5444"</f>
        <v>COS10200804 5444</v>
      </c>
    </row>
    <row r="3511" spans="1:26" x14ac:dyDescent="0.25">
      <c r="A3511" t="str">
        <f t="shared" si="1434"/>
        <v>04-08-2020 12:57:26</v>
      </c>
      <c r="B3511" t="str">
        <f>"0000807432"</f>
        <v>0000807432</v>
      </c>
      <c r="C3511" t="str">
        <f t="shared" si="1435"/>
        <v>0000807389</v>
      </c>
      <c r="D3511" t="str">
        <f t="shared" si="1417"/>
        <v>73185</v>
      </c>
      <c r="E3511" t="str">
        <f t="shared" si="1418"/>
        <v>KFH-OPERATIONS DEPARTMENT</v>
      </c>
      <c r="F3511" t="str">
        <f t="shared" si="1419"/>
        <v>IBG</v>
      </c>
      <c r="G3511" t="str">
        <f t="shared" si="1432"/>
        <v>Refund COSHARE 10</v>
      </c>
      <c r="H3511" s="2">
        <v>596.04999999999995</v>
      </c>
      <c r="I3511" t="str">
        <f>"MOHAMED FAHMI BIN RAMLI"</f>
        <v>MOHAMED FAHMI BIN RAMLI</v>
      </c>
      <c r="J3511" t="str">
        <f t="shared" si="1433"/>
        <v>MAYBANK / MAYBANK ISLAMIC</v>
      </c>
      <c r="K3511" t="str">
        <f>"110041032940"</f>
        <v>110041032940</v>
      </c>
      <c r="L3511" t="str">
        <f t="shared" si="1438"/>
        <v>04-08-2020</v>
      </c>
      <c r="M3511" t="str">
        <f t="shared" si="1438"/>
        <v>04-08-2020</v>
      </c>
      <c r="N3511" t="str">
        <f t="shared" si="1420"/>
        <v>001105018356</v>
      </c>
      <c r="O3511" t="str">
        <f t="shared" si="1421"/>
        <v>MYR</v>
      </c>
      <c r="P3511" t="str">
        <f t="shared" si="1439"/>
        <v>NIL</v>
      </c>
      <c r="Q3511" t="str">
        <f t="shared" si="1439"/>
        <v>NIL</v>
      </c>
      <c r="R3511" t="str">
        <f t="shared" si="1422"/>
        <v>Accepted</v>
      </c>
      <c r="S3511" t="str">
        <f t="shared" si="1423"/>
        <v>Approved</v>
      </c>
      <c r="T3511" t="str">
        <f t="shared" si="1424"/>
        <v>10.20.8.188</v>
      </c>
      <c r="U3511" t="str">
        <f t="shared" si="1425"/>
        <v>AZRAD UMAR BIN SHAARI</v>
      </c>
      <c r="V3511" t="str">
        <f t="shared" si="1426"/>
        <v>FARHANA BINTI MUSTAPA</v>
      </c>
      <c r="W3511" t="str">
        <f t="shared" si="1427"/>
        <v>04-08-2020</v>
      </c>
      <c r="X3511" t="str">
        <f t="shared" si="1428"/>
        <v>RAZIMAH ANSAR AHMAD</v>
      </c>
      <c r="Y3511" t="str">
        <f t="shared" si="1429"/>
        <v>04-08-2020</v>
      </c>
      <c r="Z3511" t="str">
        <f>"COS10200804 5443"</f>
        <v>COS10200804 5443</v>
      </c>
    </row>
    <row r="3512" spans="1:26" x14ac:dyDescent="0.25">
      <c r="A3512" t="str">
        <f t="shared" si="1434"/>
        <v>04-08-2020 12:57:26</v>
      </c>
      <c r="B3512" t="str">
        <f>"0000807431"</f>
        <v>0000807431</v>
      </c>
      <c r="C3512" t="str">
        <f t="shared" si="1435"/>
        <v>0000807389</v>
      </c>
      <c r="D3512" t="str">
        <f t="shared" si="1417"/>
        <v>73185</v>
      </c>
      <c r="E3512" t="str">
        <f t="shared" si="1418"/>
        <v>KFH-OPERATIONS DEPARTMENT</v>
      </c>
      <c r="F3512" t="str">
        <f t="shared" si="1419"/>
        <v>IBG</v>
      </c>
      <c r="G3512" t="str">
        <f t="shared" si="1432"/>
        <v>Refund COSHARE 10</v>
      </c>
      <c r="H3512" s="2">
        <v>176.3</v>
      </c>
      <c r="I3512" t="str">
        <f>"MOHAMED ASMIZAL BIN YUSOF"</f>
        <v>MOHAMED ASMIZAL BIN YUSOF</v>
      </c>
      <c r="J3512" t="str">
        <f t="shared" si="1433"/>
        <v>MAYBANK / MAYBANK ISLAMIC</v>
      </c>
      <c r="K3512" t="str">
        <f>"108029535197"</f>
        <v>108029535197</v>
      </c>
      <c r="L3512" t="str">
        <f t="shared" si="1438"/>
        <v>04-08-2020</v>
      </c>
      <c r="M3512" t="str">
        <f t="shared" si="1438"/>
        <v>04-08-2020</v>
      </c>
      <c r="N3512" t="str">
        <f t="shared" si="1420"/>
        <v>001105018356</v>
      </c>
      <c r="O3512" t="str">
        <f t="shared" si="1421"/>
        <v>MYR</v>
      </c>
      <c r="P3512" t="str">
        <f t="shared" si="1439"/>
        <v>NIL</v>
      </c>
      <c r="Q3512" t="str">
        <f t="shared" si="1439"/>
        <v>NIL</v>
      </c>
      <c r="R3512" t="str">
        <f t="shared" si="1422"/>
        <v>Accepted</v>
      </c>
      <c r="S3512" t="str">
        <f t="shared" si="1423"/>
        <v>Approved</v>
      </c>
      <c r="T3512" t="str">
        <f t="shared" si="1424"/>
        <v>10.20.8.188</v>
      </c>
      <c r="U3512" t="str">
        <f t="shared" si="1425"/>
        <v>AZRAD UMAR BIN SHAARI</v>
      </c>
      <c r="V3512" t="str">
        <f t="shared" si="1426"/>
        <v>FARHANA BINTI MUSTAPA</v>
      </c>
      <c r="W3512" t="str">
        <f t="shared" si="1427"/>
        <v>04-08-2020</v>
      </c>
      <c r="X3512" t="str">
        <f t="shared" si="1428"/>
        <v>RAZIMAH ANSAR AHMAD</v>
      </c>
      <c r="Y3512" t="str">
        <f t="shared" si="1429"/>
        <v>04-08-2020</v>
      </c>
      <c r="Z3512" t="str">
        <f>"COS10200804 5442"</f>
        <v>COS10200804 5442</v>
      </c>
    </row>
    <row r="3513" spans="1:26" x14ac:dyDescent="0.25">
      <c r="A3513" t="str">
        <f t="shared" si="1434"/>
        <v>04-08-2020 12:57:26</v>
      </c>
      <c r="B3513" t="str">
        <f>"0000807430"</f>
        <v>0000807430</v>
      </c>
      <c r="C3513" t="str">
        <f t="shared" si="1435"/>
        <v>0000807389</v>
      </c>
      <c r="D3513" t="str">
        <f t="shared" si="1417"/>
        <v>73185</v>
      </c>
      <c r="E3513" t="str">
        <f t="shared" si="1418"/>
        <v>KFH-OPERATIONS DEPARTMENT</v>
      </c>
      <c r="F3513" t="str">
        <f t="shared" si="1419"/>
        <v>IBG</v>
      </c>
      <c r="G3513" t="str">
        <f t="shared" si="1432"/>
        <v>Refund COSHARE 10</v>
      </c>
      <c r="H3513" s="2">
        <v>137.25</v>
      </c>
      <c r="I3513" t="str">
        <f>"MOHAMAT BASRI BIN RADZALI"</f>
        <v>MOHAMAT BASRI BIN RADZALI</v>
      </c>
      <c r="J3513" t="str">
        <f t="shared" si="1433"/>
        <v>MAYBANK / MAYBANK ISLAMIC</v>
      </c>
      <c r="K3513" t="str">
        <f>"157072399100"</f>
        <v>157072399100</v>
      </c>
      <c r="L3513" t="str">
        <f t="shared" si="1438"/>
        <v>04-08-2020</v>
      </c>
      <c r="M3513" t="str">
        <f t="shared" si="1438"/>
        <v>04-08-2020</v>
      </c>
      <c r="N3513" t="str">
        <f t="shared" si="1420"/>
        <v>001105018356</v>
      </c>
      <c r="O3513" t="str">
        <f t="shared" si="1421"/>
        <v>MYR</v>
      </c>
      <c r="P3513" t="str">
        <f t="shared" si="1439"/>
        <v>NIL</v>
      </c>
      <c r="Q3513" t="str">
        <f t="shared" si="1439"/>
        <v>NIL</v>
      </c>
      <c r="R3513" t="str">
        <f t="shared" si="1422"/>
        <v>Accepted</v>
      </c>
      <c r="S3513" t="str">
        <f t="shared" si="1423"/>
        <v>Approved</v>
      </c>
      <c r="T3513" t="str">
        <f t="shared" si="1424"/>
        <v>10.20.8.188</v>
      </c>
      <c r="U3513" t="str">
        <f t="shared" si="1425"/>
        <v>AZRAD UMAR BIN SHAARI</v>
      </c>
      <c r="V3513" t="str">
        <f t="shared" si="1426"/>
        <v>FARHANA BINTI MUSTAPA</v>
      </c>
      <c r="W3513" t="str">
        <f t="shared" si="1427"/>
        <v>04-08-2020</v>
      </c>
      <c r="X3513" t="str">
        <f t="shared" si="1428"/>
        <v>RAZIMAH ANSAR AHMAD</v>
      </c>
      <c r="Y3513" t="str">
        <f t="shared" si="1429"/>
        <v>04-08-2020</v>
      </c>
      <c r="Z3513" t="str">
        <f>"COS10200804 5441"</f>
        <v>COS10200804 5441</v>
      </c>
    </row>
    <row r="3514" spans="1:26" x14ac:dyDescent="0.25">
      <c r="A3514" t="str">
        <f t="shared" ref="A3514:A3545" si="1440">"04-08-2020 12:57:26"</f>
        <v>04-08-2020 12:57:26</v>
      </c>
      <c r="B3514" t="str">
        <f>"0000807429"</f>
        <v>0000807429</v>
      </c>
      <c r="C3514" t="str">
        <f t="shared" ref="C3514:C3545" si="1441">"0000807389"</f>
        <v>0000807389</v>
      </c>
      <c r="D3514" t="str">
        <f t="shared" si="1417"/>
        <v>73185</v>
      </c>
      <c r="E3514" t="str">
        <f t="shared" si="1418"/>
        <v>KFH-OPERATIONS DEPARTMENT</v>
      </c>
      <c r="F3514" t="str">
        <f t="shared" si="1419"/>
        <v>IBG</v>
      </c>
      <c r="G3514" t="str">
        <f t="shared" si="1432"/>
        <v>Refund COSHARE 10</v>
      </c>
      <c r="H3514" s="2">
        <v>973.85</v>
      </c>
      <c r="I3514" t="str">
        <f>"MOHAMAD ZAKI BIN ISMAIL"</f>
        <v>MOHAMAD ZAKI BIN ISMAIL</v>
      </c>
      <c r="J3514" t="str">
        <f t="shared" si="1433"/>
        <v>MAYBANK / MAYBANK ISLAMIC</v>
      </c>
      <c r="K3514" t="str">
        <f>"158202119169"</f>
        <v>158202119169</v>
      </c>
      <c r="L3514" t="str">
        <f t="shared" si="1438"/>
        <v>04-08-2020</v>
      </c>
      <c r="M3514" t="str">
        <f t="shared" si="1438"/>
        <v>04-08-2020</v>
      </c>
      <c r="N3514" t="str">
        <f t="shared" si="1420"/>
        <v>001105018356</v>
      </c>
      <c r="O3514" t="str">
        <f t="shared" si="1421"/>
        <v>MYR</v>
      </c>
      <c r="P3514" t="str">
        <f t="shared" si="1439"/>
        <v>NIL</v>
      </c>
      <c r="Q3514" t="str">
        <f t="shared" si="1439"/>
        <v>NIL</v>
      </c>
      <c r="R3514" t="str">
        <f t="shared" si="1422"/>
        <v>Accepted</v>
      </c>
      <c r="S3514" t="str">
        <f t="shared" si="1423"/>
        <v>Approved</v>
      </c>
      <c r="T3514" t="str">
        <f t="shared" si="1424"/>
        <v>10.20.8.188</v>
      </c>
      <c r="U3514" t="str">
        <f t="shared" si="1425"/>
        <v>AZRAD UMAR BIN SHAARI</v>
      </c>
      <c r="V3514" t="str">
        <f t="shared" si="1426"/>
        <v>FARHANA BINTI MUSTAPA</v>
      </c>
      <c r="W3514" t="str">
        <f t="shared" si="1427"/>
        <v>04-08-2020</v>
      </c>
      <c r="X3514" t="str">
        <f t="shared" si="1428"/>
        <v>RAZIMAH ANSAR AHMAD</v>
      </c>
      <c r="Y3514" t="str">
        <f t="shared" si="1429"/>
        <v>04-08-2020</v>
      </c>
      <c r="Z3514" t="str">
        <f>"COS10200804 5440"</f>
        <v>COS10200804 5440</v>
      </c>
    </row>
    <row r="3515" spans="1:26" x14ac:dyDescent="0.25">
      <c r="A3515" t="str">
        <f t="shared" si="1440"/>
        <v>04-08-2020 12:57:26</v>
      </c>
      <c r="B3515" t="str">
        <f>"0000807428"</f>
        <v>0000807428</v>
      </c>
      <c r="C3515" t="str">
        <f t="shared" si="1441"/>
        <v>0000807389</v>
      </c>
      <c r="D3515" t="str">
        <f t="shared" si="1417"/>
        <v>73185</v>
      </c>
      <c r="E3515" t="str">
        <f t="shared" si="1418"/>
        <v>KFH-OPERATIONS DEPARTMENT</v>
      </c>
      <c r="F3515" t="str">
        <f t="shared" si="1419"/>
        <v>IBG</v>
      </c>
      <c r="G3515" t="str">
        <f t="shared" si="1432"/>
        <v>Refund COSHARE 10</v>
      </c>
      <c r="H3515" s="2">
        <v>587.65</v>
      </c>
      <c r="I3515" t="str">
        <f>"MOHAMAD ZAIREE BIN ABDUL AZIZ"</f>
        <v>MOHAMAD ZAIREE BIN ABDUL AZIZ</v>
      </c>
      <c r="J3515" t="str">
        <f t="shared" si="1433"/>
        <v>MAYBANK / MAYBANK ISLAMIC</v>
      </c>
      <c r="K3515" t="str">
        <f>"114150346040"</f>
        <v>114150346040</v>
      </c>
      <c r="L3515" t="str">
        <f t="shared" si="1438"/>
        <v>04-08-2020</v>
      </c>
      <c r="M3515" t="str">
        <f t="shared" si="1438"/>
        <v>04-08-2020</v>
      </c>
      <c r="N3515" t="str">
        <f t="shared" si="1420"/>
        <v>001105018356</v>
      </c>
      <c r="O3515" t="str">
        <f t="shared" si="1421"/>
        <v>MYR</v>
      </c>
      <c r="P3515" t="str">
        <f t="shared" si="1439"/>
        <v>NIL</v>
      </c>
      <c r="Q3515" t="str">
        <f t="shared" si="1439"/>
        <v>NIL</v>
      </c>
      <c r="R3515" t="str">
        <f t="shared" si="1422"/>
        <v>Accepted</v>
      </c>
      <c r="S3515" t="str">
        <f t="shared" si="1423"/>
        <v>Approved</v>
      </c>
      <c r="T3515" t="str">
        <f t="shared" si="1424"/>
        <v>10.20.8.188</v>
      </c>
      <c r="U3515" t="str">
        <f t="shared" si="1425"/>
        <v>AZRAD UMAR BIN SHAARI</v>
      </c>
      <c r="V3515" t="str">
        <f t="shared" si="1426"/>
        <v>FARHANA BINTI MUSTAPA</v>
      </c>
      <c r="W3515" t="str">
        <f t="shared" si="1427"/>
        <v>04-08-2020</v>
      </c>
      <c r="X3515" t="str">
        <f t="shared" si="1428"/>
        <v>RAZIMAH ANSAR AHMAD</v>
      </c>
      <c r="Y3515" t="str">
        <f t="shared" si="1429"/>
        <v>04-08-2020</v>
      </c>
      <c r="Z3515" t="str">
        <f>"COS10200804 5439"</f>
        <v>COS10200804 5439</v>
      </c>
    </row>
    <row r="3516" spans="1:26" x14ac:dyDescent="0.25">
      <c r="A3516" t="str">
        <f t="shared" si="1440"/>
        <v>04-08-2020 12:57:26</v>
      </c>
      <c r="B3516" t="str">
        <f>"0000807427"</f>
        <v>0000807427</v>
      </c>
      <c r="C3516" t="str">
        <f t="shared" si="1441"/>
        <v>0000807389</v>
      </c>
      <c r="D3516" t="str">
        <f t="shared" si="1417"/>
        <v>73185</v>
      </c>
      <c r="E3516" t="str">
        <f t="shared" si="1418"/>
        <v>KFH-OPERATIONS DEPARTMENT</v>
      </c>
      <c r="F3516" t="str">
        <f t="shared" si="1419"/>
        <v>IBG</v>
      </c>
      <c r="G3516" t="str">
        <f t="shared" si="1432"/>
        <v>Refund COSHARE 10</v>
      </c>
      <c r="H3516" s="2">
        <v>98.25</v>
      </c>
      <c r="I3516" t="str">
        <f>"MOHAMAD ZAIDI BIN SHAARI"</f>
        <v>MOHAMAD ZAIDI BIN SHAARI</v>
      </c>
      <c r="J3516" t="str">
        <f t="shared" si="1433"/>
        <v>MAYBANK / MAYBANK ISLAMIC</v>
      </c>
      <c r="K3516" t="str">
        <f>"114132384509"</f>
        <v>114132384509</v>
      </c>
      <c r="L3516" t="str">
        <f t="shared" si="1438"/>
        <v>04-08-2020</v>
      </c>
      <c r="M3516" t="str">
        <f t="shared" si="1438"/>
        <v>04-08-2020</v>
      </c>
      <c r="N3516" t="str">
        <f t="shared" si="1420"/>
        <v>001105018356</v>
      </c>
      <c r="O3516" t="str">
        <f t="shared" si="1421"/>
        <v>MYR</v>
      </c>
      <c r="P3516" t="str">
        <f t="shared" si="1439"/>
        <v>NIL</v>
      </c>
      <c r="Q3516" t="str">
        <f t="shared" si="1439"/>
        <v>NIL</v>
      </c>
      <c r="R3516" t="str">
        <f t="shared" si="1422"/>
        <v>Accepted</v>
      </c>
      <c r="S3516" t="str">
        <f t="shared" si="1423"/>
        <v>Approved</v>
      </c>
      <c r="T3516" t="str">
        <f t="shared" si="1424"/>
        <v>10.20.8.188</v>
      </c>
      <c r="U3516" t="str">
        <f t="shared" si="1425"/>
        <v>AZRAD UMAR BIN SHAARI</v>
      </c>
      <c r="V3516" t="str">
        <f t="shared" si="1426"/>
        <v>FARHANA BINTI MUSTAPA</v>
      </c>
      <c r="W3516" t="str">
        <f t="shared" si="1427"/>
        <v>04-08-2020</v>
      </c>
      <c r="X3516" t="str">
        <f t="shared" si="1428"/>
        <v>RAZIMAH ANSAR AHMAD</v>
      </c>
      <c r="Y3516" t="str">
        <f t="shared" si="1429"/>
        <v>04-08-2020</v>
      </c>
      <c r="Z3516" t="str">
        <f>"COS10200804 5438"</f>
        <v>COS10200804 5438</v>
      </c>
    </row>
    <row r="3517" spans="1:26" x14ac:dyDescent="0.25">
      <c r="A3517" t="str">
        <f t="shared" si="1440"/>
        <v>04-08-2020 12:57:26</v>
      </c>
      <c r="B3517" t="str">
        <f>"0000807426"</f>
        <v>0000807426</v>
      </c>
      <c r="C3517" t="str">
        <f t="shared" si="1441"/>
        <v>0000807389</v>
      </c>
      <c r="D3517" t="str">
        <f t="shared" si="1417"/>
        <v>73185</v>
      </c>
      <c r="E3517" t="str">
        <f t="shared" si="1418"/>
        <v>KFH-OPERATIONS DEPARTMENT</v>
      </c>
      <c r="F3517" t="str">
        <f t="shared" si="1419"/>
        <v>IBG</v>
      </c>
      <c r="G3517" t="str">
        <f t="shared" si="1432"/>
        <v>Refund COSHARE 10</v>
      </c>
      <c r="H3517" s="2">
        <v>221.75</v>
      </c>
      <c r="I3517" t="str">
        <f>"MOHAMAD ZAIDI BIN CHE MORAD"</f>
        <v>MOHAMAD ZAIDI BIN CHE MORAD</v>
      </c>
      <c r="J3517" t="str">
        <f t="shared" si="1433"/>
        <v>MAYBANK / MAYBANK ISLAMIC</v>
      </c>
      <c r="K3517" t="str">
        <f>"153010342025"</f>
        <v>153010342025</v>
      </c>
      <c r="L3517" t="str">
        <f t="shared" si="1438"/>
        <v>04-08-2020</v>
      </c>
      <c r="M3517" t="str">
        <f t="shared" si="1438"/>
        <v>04-08-2020</v>
      </c>
      <c r="N3517" t="str">
        <f t="shared" si="1420"/>
        <v>001105018356</v>
      </c>
      <c r="O3517" t="str">
        <f t="shared" si="1421"/>
        <v>MYR</v>
      </c>
      <c r="P3517" t="str">
        <f t="shared" si="1439"/>
        <v>NIL</v>
      </c>
      <c r="Q3517" t="str">
        <f t="shared" si="1439"/>
        <v>NIL</v>
      </c>
      <c r="R3517" t="str">
        <f t="shared" si="1422"/>
        <v>Accepted</v>
      </c>
      <c r="S3517" t="str">
        <f t="shared" si="1423"/>
        <v>Approved</v>
      </c>
      <c r="T3517" t="str">
        <f t="shared" si="1424"/>
        <v>10.20.8.188</v>
      </c>
      <c r="U3517" t="str">
        <f t="shared" si="1425"/>
        <v>AZRAD UMAR BIN SHAARI</v>
      </c>
      <c r="V3517" t="str">
        <f t="shared" si="1426"/>
        <v>FARHANA BINTI MUSTAPA</v>
      </c>
      <c r="W3517" t="str">
        <f t="shared" si="1427"/>
        <v>04-08-2020</v>
      </c>
      <c r="X3517" t="str">
        <f t="shared" si="1428"/>
        <v>RAZIMAH ANSAR AHMAD</v>
      </c>
      <c r="Y3517" t="str">
        <f t="shared" si="1429"/>
        <v>04-08-2020</v>
      </c>
      <c r="Z3517" t="str">
        <f>"COS10200804 5437"</f>
        <v>COS10200804 5437</v>
      </c>
    </row>
    <row r="3518" spans="1:26" x14ac:dyDescent="0.25">
      <c r="A3518" t="str">
        <f t="shared" si="1440"/>
        <v>04-08-2020 12:57:26</v>
      </c>
      <c r="B3518" t="str">
        <f>"0000807425"</f>
        <v>0000807425</v>
      </c>
      <c r="C3518" t="str">
        <f t="shared" si="1441"/>
        <v>0000807389</v>
      </c>
      <c r="D3518" t="str">
        <f t="shared" si="1417"/>
        <v>73185</v>
      </c>
      <c r="E3518" t="str">
        <f t="shared" si="1418"/>
        <v>KFH-OPERATIONS DEPARTMENT</v>
      </c>
      <c r="F3518" t="str">
        <f t="shared" si="1419"/>
        <v>IBG</v>
      </c>
      <c r="G3518" t="str">
        <f t="shared" si="1432"/>
        <v>Refund COSHARE 10</v>
      </c>
      <c r="H3518" s="2">
        <v>711.4</v>
      </c>
      <c r="I3518" t="str">
        <f>"MOHAMAD ZAID BIN MAMAT"</f>
        <v>MOHAMAD ZAID BIN MAMAT</v>
      </c>
      <c r="J3518" t="str">
        <f t="shared" si="1433"/>
        <v>MAYBANK / MAYBANK ISLAMIC</v>
      </c>
      <c r="K3518" t="str">
        <f>"163064000001"</f>
        <v>163064000001</v>
      </c>
      <c r="L3518" t="str">
        <f t="shared" si="1438"/>
        <v>04-08-2020</v>
      </c>
      <c r="M3518" t="str">
        <f t="shared" si="1438"/>
        <v>04-08-2020</v>
      </c>
      <c r="N3518" t="str">
        <f t="shared" si="1420"/>
        <v>001105018356</v>
      </c>
      <c r="O3518" t="str">
        <f t="shared" si="1421"/>
        <v>MYR</v>
      </c>
      <c r="P3518" t="str">
        <f t="shared" si="1439"/>
        <v>NIL</v>
      </c>
      <c r="Q3518" t="str">
        <f t="shared" si="1439"/>
        <v>NIL</v>
      </c>
      <c r="R3518" t="str">
        <f t="shared" si="1422"/>
        <v>Accepted</v>
      </c>
      <c r="S3518" t="str">
        <f t="shared" si="1423"/>
        <v>Approved</v>
      </c>
      <c r="T3518" t="str">
        <f t="shared" si="1424"/>
        <v>10.20.8.188</v>
      </c>
      <c r="U3518" t="str">
        <f t="shared" si="1425"/>
        <v>AZRAD UMAR BIN SHAARI</v>
      </c>
      <c r="V3518" t="str">
        <f t="shared" si="1426"/>
        <v>FARHANA BINTI MUSTAPA</v>
      </c>
      <c r="W3518" t="str">
        <f t="shared" si="1427"/>
        <v>04-08-2020</v>
      </c>
      <c r="X3518" t="str">
        <f t="shared" si="1428"/>
        <v>RAZIMAH ANSAR AHMAD</v>
      </c>
      <c r="Y3518" t="str">
        <f t="shared" si="1429"/>
        <v>04-08-2020</v>
      </c>
      <c r="Z3518" t="str">
        <f>"COS10200804 5436"</f>
        <v>COS10200804 5436</v>
      </c>
    </row>
    <row r="3519" spans="1:26" x14ac:dyDescent="0.25">
      <c r="A3519" t="str">
        <f t="shared" si="1440"/>
        <v>04-08-2020 12:57:26</v>
      </c>
      <c r="B3519" t="str">
        <f>"0000807424"</f>
        <v>0000807424</v>
      </c>
      <c r="C3519" t="str">
        <f t="shared" si="1441"/>
        <v>0000807389</v>
      </c>
      <c r="D3519" t="str">
        <f t="shared" si="1417"/>
        <v>73185</v>
      </c>
      <c r="E3519" t="str">
        <f t="shared" si="1418"/>
        <v>KFH-OPERATIONS DEPARTMENT</v>
      </c>
      <c r="F3519" t="str">
        <f t="shared" si="1419"/>
        <v>IBG</v>
      </c>
      <c r="G3519" t="str">
        <f t="shared" si="1432"/>
        <v>Refund COSHARE 10</v>
      </c>
      <c r="H3519" s="2">
        <v>125.95</v>
      </c>
      <c r="I3519" t="str">
        <f>"MOHAMAD ZAHAR BIN ABDUL SAMAD"</f>
        <v>MOHAMAD ZAHAR BIN ABDUL SAMAD</v>
      </c>
      <c r="J3519" t="str">
        <f t="shared" si="1433"/>
        <v>MAYBANK / MAYBANK ISLAMIC</v>
      </c>
      <c r="K3519" t="str">
        <f>"151025858091"</f>
        <v>151025858091</v>
      </c>
      <c r="L3519" t="str">
        <f t="shared" si="1438"/>
        <v>04-08-2020</v>
      </c>
      <c r="M3519" t="str">
        <f t="shared" si="1438"/>
        <v>04-08-2020</v>
      </c>
      <c r="N3519" t="str">
        <f t="shared" si="1420"/>
        <v>001105018356</v>
      </c>
      <c r="O3519" t="str">
        <f t="shared" si="1421"/>
        <v>MYR</v>
      </c>
      <c r="P3519" t="str">
        <f t="shared" si="1439"/>
        <v>NIL</v>
      </c>
      <c r="Q3519" t="str">
        <f t="shared" si="1439"/>
        <v>NIL</v>
      </c>
      <c r="R3519" t="str">
        <f t="shared" si="1422"/>
        <v>Accepted</v>
      </c>
      <c r="S3519" t="str">
        <f t="shared" si="1423"/>
        <v>Approved</v>
      </c>
      <c r="T3519" t="str">
        <f t="shared" si="1424"/>
        <v>10.20.8.188</v>
      </c>
      <c r="U3519" t="str">
        <f t="shared" si="1425"/>
        <v>AZRAD UMAR BIN SHAARI</v>
      </c>
      <c r="V3519" t="str">
        <f t="shared" si="1426"/>
        <v>FARHANA BINTI MUSTAPA</v>
      </c>
      <c r="W3519" t="str">
        <f t="shared" si="1427"/>
        <v>04-08-2020</v>
      </c>
      <c r="X3519" t="str">
        <f t="shared" si="1428"/>
        <v>RAZIMAH ANSAR AHMAD</v>
      </c>
      <c r="Y3519" t="str">
        <f t="shared" si="1429"/>
        <v>04-08-2020</v>
      </c>
      <c r="Z3519" t="str">
        <f>"COS10200804 5435"</f>
        <v>COS10200804 5435</v>
      </c>
    </row>
    <row r="3520" spans="1:26" x14ac:dyDescent="0.25">
      <c r="A3520" t="str">
        <f t="shared" si="1440"/>
        <v>04-08-2020 12:57:26</v>
      </c>
      <c r="B3520" t="str">
        <f>"0000807423"</f>
        <v>0000807423</v>
      </c>
      <c r="C3520" t="str">
        <f t="shared" si="1441"/>
        <v>0000807389</v>
      </c>
      <c r="D3520" t="str">
        <f t="shared" si="1417"/>
        <v>73185</v>
      </c>
      <c r="E3520" t="str">
        <f t="shared" si="1418"/>
        <v>KFH-OPERATIONS DEPARTMENT</v>
      </c>
      <c r="F3520" t="str">
        <f t="shared" si="1419"/>
        <v>IBG</v>
      </c>
      <c r="G3520" t="str">
        <f t="shared" si="1432"/>
        <v>Refund COSHARE 10</v>
      </c>
      <c r="H3520" s="2">
        <v>1063</v>
      </c>
      <c r="I3520" t="str">
        <f>"MOHAMAD TAUFIQI BIN MOHAMAD SAED"</f>
        <v>MOHAMAD TAUFIQI BIN MOHAMAD SAED</v>
      </c>
      <c r="J3520" t="str">
        <f t="shared" si="1433"/>
        <v>MAYBANK / MAYBANK ISLAMIC</v>
      </c>
      <c r="K3520" t="str">
        <f>"161079942181"</f>
        <v>161079942181</v>
      </c>
      <c r="L3520" t="str">
        <f t="shared" si="1438"/>
        <v>04-08-2020</v>
      </c>
      <c r="M3520" t="str">
        <f t="shared" si="1438"/>
        <v>04-08-2020</v>
      </c>
      <c r="N3520" t="str">
        <f t="shared" si="1420"/>
        <v>001105018356</v>
      </c>
      <c r="O3520" t="str">
        <f t="shared" si="1421"/>
        <v>MYR</v>
      </c>
      <c r="P3520" t="str">
        <f t="shared" si="1439"/>
        <v>NIL</v>
      </c>
      <c r="Q3520" t="str">
        <f t="shared" si="1439"/>
        <v>NIL</v>
      </c>
      <c r="R3520" t="str">
        <f t="shared" si="1422"/>
        <v>Accepted</v>
      </c>
      <c r="S3520" t="str">
        <f t="shared" si="1423"/>
        <v>Approved</v>
      </c>
      <c r="T3520" t="str">
        <f t="shared" si="1424"/>
        <v>10.20.8.188</v>
      </c>
      <c r="U3520" t="str">
        <f t="shared" si="1425"/>
        <v>AZRAD UMAR BIN SHAARI</v>
      </c>
      <c r="V3520" t="str">
        <f t="shared" si="1426"/>
        <v>FARHANA BINTI MUSTAPA</v>
      </c>
      <c r="W3520" t="str">
        <f t="shared" si="1427"/>
        <v>04-08-2020</v>
      </c>
      <c r="X3520" t="str">
        <f t="shared" si="1428"/>
        <v>RAZIMAH ANSAR AHMAD</v>
      </c>
      <c r="Y3520" t="str">
        <f t="shared" si="1429"/>
        <v>04-08-2020</v>
      </c>
      <c r="Z3520" t="str">
        <f>"COS10200804 5434"</f>
        <v>COS10200804 5434</v>
      </c>
    </row>
    <row r="3521" spans="1:26" x14ac:dyDescent="0.25">
      <c r="A3521" t="str">
        <f t="shared" si="1440"/>
        <v>04-08-2020 12:57:26</v>
      </c>
      <c r="B3521" t="str">
        <f>"0000807422"</f>
        <v>0000807422</v>
      </c>
      <c r="C3521" t="str">
        <f t="shared" si="1441"/>
        <v>0000807389</v>
      </c>
      <c r="D3521" t="str">
        <f t="shared" si="1417"/>
        <v>73185</v>
      </c>
      <c r="E3521" t="str">
        <f t="shared" si="1418"/>
        <v>KFH-OPERATIONS DEPARTMENT</v>
      </c>
      <c r="F3521" t="str">
        <f t="shared" si="1419"/>
        <v>IBG</v>
      </c>
      <c r="G3521" t="str">
        <f t="shared" si="1432"/>
        <v>Refund COSHARE 10</v>
      </c>
      <c r="H3521" s="2">
        <v>83.95</v>
      </c>
      <c r="I3521" t="str">
        <f>"MOHAMAD SYUKRI BIN MAHDI"</f>
        <v>MOHAMAD SYUKRI BIN MAHDI</v>
      </c>
      <c r="J3521" t="str">
        <f t="shared" si="1433"/>
        <v>MAYBANK / MAYBANK ISLAMIC</v>
      </c>
      <c r="K3521" t="str">
        <f>"111114407544"</f>
        <v>111114407544</v>
      </c>
      <c r="L3521" t="str">
        <f t="shared" si="1438"/>
        <v>04-08-2020</v>
      </c>
      <c r="M3521" t="str">
        <f t="shared" si="1438"/>
        <v>04-08-2020</v>
      </c>
      <c r="N3521" t="str">
        <f t="shared" si="1420"/>
        <v>001105018356</v>
      </c>
      <c r="O3521" t="str">
        <f t="shared" si="1421"/>
        <v>MYR</v>
      </c>
      <c r="P3521" t="str">
        <f t="shared" si="1439"/>
        <v>NIL</v>
      </c>
      <c r="Q3521" t="str">
        <f t="shared" si="1439"/>
        <v>NIL</v>
      </c>
      <c r="R3521" t="str">
        <f t="shared" si="1422"/>
        <v>Accepted</v>
      </c>
      <c r="S3521" t="str">
        <f t="shared" si="1423"/>
        <v>Approved</v>
      </c>
      <c r="T3521" t="str">
        <f t="shared" si="1424"/>
        <v>10.20.8.188</v>
      </c>
      <c r="U3521" t="str">
        <f t="shared" si="1425"/>
        <v>AZRAD UMAR BIN SHAARI</v>
      </c>
      <c r="V3521" t="str">
        <f t="shared" si="1426"/>
        <v>FARHANA BINTI MUSTAPA</v>
      </c>
      <c r="W3521" t="str">
        <f t="shared" si="1427"/>
        <v>04-08-2020</v>
      </c>
      <c r="X3521" t="str">
        <f t="shared" si="1428"/>
        <v>RAZIMAH ANSAR AHMAD</v>
      </c>
      <c r="Y3521" t="str">
        <f t="shared" si="1429"/>
        <v>04-08-2020</v>
      </c>
      <c r="Z3521" t="str">
        <f>"COS10200804 5433"</f>
        <v>COS10200804 5433</v>
      </c>
    </row>
    <row r="3522" spans="1:26" x14ac:dyDescent="0.25">
      <c r="A3522" t="str">
        <f t="shared" si="1440"/>
        <v>04-08-2020 12:57:26</v>
      </c>
      <c r="B3522" t="str">
        <f>"0000807421"</f>
        <v>0000807421</v>
      </c>
      <c r="C3522" t="str">
        <f t="shared" si="1441"/>
        <v>0000807389</v>
      </c>
      <c r="D3522" t="str">
        <f t="shared" si="1417"/>
        <v>73185</v>
      </c>
      <c r="E3522" t="str">
        <f t="shared" si="1418"/>
        <v>KFH-OPERATIONS DEPARTMENT</v>
      </c>
      <c r="F3522" t="str">
        <f t="shared" si="1419"/>
        <v>IBG</v>
      </c>
      <c r="G3522" t="str">
        <f t="shared" si="1432"/>
        <v>Refund COSHARE 10</v>
      </c>
      <c r="H3522" s="2">
        <v>957.05</v>
      </c>
      <c r="I3522" t="str">
        <f>"MOHAMAD SYAFFUAN BIN MOHAMAD SANI"</f>
        <v>MOHAMAD SYAFFUAN BIN MOHAMAD SANI</v>
      </c>
      <c r="J3522" t="str">
        <f t="shared" si="1433"/>
        <v>MAYBANK / MAYBANK ISLAMIC</v>
      </c>
      <c r="K3522" t="str">
        <f>"162553010787"</f>
        <v>162553010787</v>
      </c>
      <c r="L3522" t="str">
        <f t="shared" si="1438"/>
        <v>04-08-2020</v>
      </c>
      <c r="M3522" t="str">
        <f t="shared" si="1438"/>
        <v>04-08-2020</v>
      </c>
      <c r="N3522" t="str">
        <f t="shared" si="1420"/>
        <v>001105018356</v>
      </c>
      <c r="O3522" t="str">
        <f t="shared" si="1421"/>
        <v>MYR</v>
      </c>
      <c r="P3522" t="str">
        <f t="shared" si="1439"/>
        <v>NIL</v>
      </c>
      <c r="Q3522" t="str">
        <f t="shared" si="1439"/>
        <v>NIL</v>
      </c>
      <c r="R3522" t="str">
        <f t="shared" si="1422"/>
        <v>Accepted</v>
      </c>
      <c r="S3522" t="str">
        <f t="shared" si="1423"/>
        <v>Approved</v>
      </c>
      <c r="T3522" t="str">
        <f t="shared" si="1424"/>
        <v>10.20.8.188</v>
      </c>
      <c r="U3522" t="str">
        <f t="shared" si="1425"/>
        <v>AZRAD UMAR BIN SHAARI</v>
      </c>
      <c r="V3522" t="str">
        <f t="shared" si="1426"/>
        <v>FARHANA BINTI MUSTAPA</v>
      </c>
      <c r="W3522" t="str">
        <f t="shared" si="1427"/>
        <v>04-08-2020</v>
      </c>
      <c r="X3522" t="str">
        <f t="shared" si="1428"/>
        <v>RAZIMAH ANSAR AHMAD</v>
      </c>
      <c r="Y3522" t="str">
        <f t="shared" si="1429"/>
        <v>04-08-2020</v>
      </c>
      <c r="Z3522" t="str">
        <f>"COS10200804 5432"</f>
        <v>COS10200804 5432</v>
      </c>
    </row>
    <row r="3523" spans="1:26" x14ac:dyDescent="0.25">
      <c r="A3523" t="str">
        <f t="shared" si="1440"/>
        <v>04-08-2020 12:57:26</v>
      </c>
      <c r="B3523" t="str">
        <f>"0000807420"</f>
        <v>0000807420</v>
      </c>
      <c r="C3523" t="str">
        <f t="shared" si="1441"/>
        <v>0000807389</v>
      </c>
      <c r="D3523" t="str">
        <f t="shared" si="1417"/>
        <v>73185</v>
      </c>
      <c r="E3523" t="str">
        <f t="shared" si="1418"/>
        <v>KFH-OPERATIONS DEPARTMENT</v>
      </c>
      <c r="F3523" t="str">
        <f t="shared" si="1419"/>
        <v>IBG</v>
      </c>
      <c r="G3523" t="str">
        <f t="shared" si="1432"/>
        <v>Refund COSHARE 10</v>
      </c>
      <c r="H3523" s="2">
        <v>831.1</v>
      </c>
      <c r="I3523" t="str">
        <f>"MOHAMAD SUHAIDY BIN SHAPIEE"</f>
        <v>MOHAMAD SUHAIDY BIN SHAPIEE</v>
      </c>
      <c r="J3523" t="str">
        <f t="shared" si="1433"/>
        <v>MAYBANK / MAYBANK ISLAMIC</v>
      </c>
      <c r="K3523" t="str">
        <f>"108178726102"</f>
        <v>108178726102</v>
      </c>
      <c r="L3523" t="str">
        <f t="shared" si="1438"/>
        <v>04-08-2020</v>
      </c>
      <c r="M3523" t="str">
        <f t="shared" si="1438"/>
        <v>04-08-2020</v>
      </c>
      <c r="N3523" t="str">
        <f t="shared" si="1420"/>
        <v>001105018356</v>
      </c>
      <c r="O3523" t="str">
        <f t="shared" si="1421"/>
        <v>MYR</v>
      </c>
      <c r="P3523" t="str">
        <f t="shared" si="1439"/>
        <v>NIL</v>
      </c>
      <c r="Q3523" t="str">
        <f t="shared" si="1439"/>
        <v>NIL</v>
      </c>
      <c r="R3523" t="str">
        <f t="shared" si="1422"/>
        <v>Accepted</v>
      </c>
      <c r="S3523" t="str">
        <f t="shared" si="1423"/>
        <v>Approved</v>
      </c>
      <c r="T3523" t="str">
        <f t="shared" si="1424"/>
        <v>10.20.8.188</v>
      </c>
      <c r="U3523" t="str">
        <f t="shared" si="1425"/>
        <v>AZRAD UMAR BIN SHAARI</v>
      </c>
      <c r="V3523" t="str">
        <f t="shared" si="1426"/>
        <v>FARHANA BINTI MUSTAPA</v>
      </c>
      <c r="W3523" t="str">
        <f t="shared" si="1427"/>
        <v>04-08-2020</v>
      </c>
      <c r="X3523" t="str">
        <f t="shared" si="1428"/>
        <v>RAZIMAH ANSAR AHMAD</v>
      </c>
      <c r="Y3523" t="str">
        <f t="shared" si="1429"/>
        <v>04-08-2020</v>
      </c>
      <c r="Z3523" t="str">
        <f>"COS10200804 5431"</f>
        <v>COS10200804 5431</v>
      </c>
    </row>
    <row r="3524" spans="1:26" x14ac:dyDescent="0.25">
      <c r="A3524" t="str">
        <f t="shared" si="1440"/>
        <v>04-08-2020 12:57:26</v>
      </c>
      <c r="B3524" t="str">
        <f>"0000807419"</f>
        <v>0000807419</v>
      </c>
      <c r="C3524" t="str">
        <f t="shared" si="1441"/>
        <v>0000807389</v>
      </c>
      <c r="D3524" t="str">
        <f t="shared" si="1417"/>
        <v>73185</v>
      </c>
      <c r="E3524" t="str">
        <f t="shared" si="1418"/>
        <v>KFH-OPERATIONS DEPARTMENT</v>
      </c>
      <c r="F3524" t="str">
        <f t="shared" si="1419"/>
        <v>IBG</v>
      </c>
      <c r="G3524" t="str">
        <f t="shared" si="1432"/>
        <v>Refund COSHARE 10</v>
      </c>
      <c r="H3524" s="2">
        <v>254.05</v>
      </c>
      <c r="I3524" t="str">
        <f>"MOHAMAD SHUKOR BIN AMIN"</f>
        <v>MOHAMAD SHUKOR BIN AMIN</v>
      </c>
      <c r="J3524" t="str">
        <f t="shared" si="1433"/>
        <v>MAYBANK / MAYBANK ISLAMIC</v>
      </c>
      <c r="K3524" t="str">
        <f>"154053368784"</f>
        <v>154053368784</v>
      </c>
      <c r="L3524" t="str">
        <f t="shared" si="1438"/>
        <v>04-08-2020</v>
      </c>
      <c r="M3524" t="str">
        <f t="shared" si="1438"/>
        <v>04-08-2020</v>
      </c>
      <c r="N3524" t="str">
        <f t="shared" si="1420"/>
        <v>001105018356</v>
      </c>
      <c r="O3524" t="str">
        <f t="shared" si="1421"/>
        <v>MYR</v>
      </c>
      <c r="P3524" t="str">
        <f t="shared" si="1439"/>
        <v>NIL</v>
      </c>
      <c r="Q3524" t="str">
        <f t="shared" si="1439"/>
        <v>NIL</v>
      </c>
      <c r="R3524" t="str">
        <f t="shared" si="1422"/>
        <v>Accepted</v>
      </c>
      <c r="S3524" t="str">
        <f t="shared" si="1423"/>
        <v>Approved</v>
      </c>
      <c r="T3524" t="str">
        <f t="shared" si="1424"/>
        <v>10.20.8.188</v>
      </c>
      <c r="U3524" t="str">
        <f t="shared" si="1425"/>
        <v>AZRAD UMAR BIN SHAARI</v>
      </c>
      <c r="V3524" t="str">
        <f t="shared" si="1426"/>
        <v>FARHANA BINTI MUSTAPA</v>
      </c>
      <c r="W3524" t="str">
        <f t="shared" si="1427"/>
        <v>04-08-2020</v>
      </c>
      <c r="X3524" t="str">
        <f t="shared" si="1428"/>
        <v>RAZIMAH ANSAR AHMAD</v>
      </c>
      <c r="Y3524" t="str">
        <f t="shared" si="1429"/>
        <v>04-08-2020</v>
      </c>
      <c r="Z3524" t="str">
        <f>"COS10200804 5430"</f>
        <v>COS10200804 5430</v>
      </c>
    </row>
    <row r="3525" spans="1:26" x14ac:dyDescent="0.25">
      <c r="A3525" t="str">
        <f t="shared" si="1440"/>
        <v>04-08-2020 12:57:26</v>
      </c>
      <c r="B3525" t="str">
        <f>"0000807418"</f>
        <v>0000807418</v>
      </c>
      <c r="C3525" t="str">
        <f t="shared" si="1441"/>
        <v>0000807389</v>
      </c>
      <c r="D3525" t="str">
        <f t="shared" si="1417"/>
        <v>73185</v>
      </c>
      <c r="E3525" t="str">
        <f t="shared" si="1418"/>
        <v>KFH-OPERATIONS DEPARTMENT</v>
      </c>
      <c r="F3525" t="str">
        <f t="shared" si="1419"/>
        <v>IBG</v>
      </c>
      <c r="G3525" t="str">
        <f t="shared" si="1432"/>
        <v>Refund COSHARE 10</v>
      </c>
      <c r="H3525" s="2">
        <v>839.5</v>
      </c>
      <c r="I3525" t="str">
        <f>"MOHAMAD SHAHRIZAN BIN MOHAMED GHULAM"</f>
        <v>MOHAMAD SHAHRIZAN BIN MOHAMED GHULAM</v>
      </c>
      <c r="J3525" t="str">
        <f t="shared" si="1433"/>
        <v>MAYBANK / MAYBANK ISLAMIC</v>
      </c>
      <c r="K3525" t="str">
        <f>"164409526295"</f>
        <v>164409526295</v>
      </c>
      <c r="L3525" t="str">
        <f t="shared" si="1438"/>
        <v>04-08-2020</v>
      </c>
      <c r="M3525" t="str">
        <f t="shared" si="1438"/>
        <v>04-08-2020</v>
      </c>
      <c r="N3525" t="str">
        <f t="shared" si="1420"/>
        <v>001105018356</v>
      </c>
      <c r="O3525" t="str">
        <f t="shared" si="1421"/>
        <v>MYR</v>
      </c>
      <c r="P3525" t="str">
        <f t="shared" si="1439"/>
        <v>NIL</v>
      </c>
      <c r="Q3525" t="str">
        <f t="shared" si="1439"/>
        <v>NIL</v>
      </c>
      <c r="R3525" t="str">
        <f t="shared" si="1422"/>
        <v>Accepted</v>
      </c>
      <c r="S3525" t="str">
        <f t="shared" si="1423"/>
        <v>Approved</v>
      </c>
      <c r="T3525" t="str">
        <f t="shared" si="1424"/>
        <v>10.20.8.188</v>
      </c>
      <c r="U3525" t="str">
        <f t="shared" si="1425"/>
        <v>AZRAD UMAR BIN SHAARI</v>
      </c>
      <c r="V3525" t="str">
        <f t="shared" si="1426"/>
        <v>FARHANA BINTI MUSTAPA</v>
      </c>
      <c r="W3525" t="str">
        <f t="shared" si="1427"/>
        <v>04-08-2020</v>
      </c>
      <c r="X3525" t="str">
        <f t="shared" si="1428"/>
        <v>RAZIMAH ANSAR AHMAD</v>
      </c>
      <c r="Y3525" t="str">
        <f t="shared" si="1429"/>
        <v>04-08-2020</v>
      </c>
      <c r="Z3525" t="str">
        <f>"COS10200804 5429"</f>
        <v>COS10200804 5429</v>
      </c>
    </row>
    <row r="3526" spans="1:26" x14ac:dyDescent="0.25">
      <c r="A3526" t="str">
        <f t="shared" si="1440"/>
        <v>04-08-2020 12:57:26</v>
      </c>
      <c r="B3526" t="str">
        <f>"0000807417"</f>
        <v>0000807417</v>
      </c>
      <c r="C3526" t="str">
        <f t="shared" si="1441"/>
        <v>0000807389</v>
      </c>
      <c r="D3526" t="str">
        <f t="shared" si="1417"/>
        <v>73185</v>
      </c>
      <c r="E3526" t="str">
        <f t="shared" si="1418"/>
        <v>KFH-OPERATIONS DEPARTMENT</v>
      </c>
      <c r="F3526" t="str">
        <f t="shared" si="1419"/>
        <v>IBG</v>
      </c>
      <c r="G3526" t="str">
        <f t="shared" si="1432"/>
        <v>Refund COSHARE 10</v>
      </c>
      <c r="H3526" s="2">
        <v>1217.3</v>
      </c>
      <c r="I3526" t="str">
        <f>"MOHAMAD SHAFFIE BIN MOHAMED AZHAR"</f>
        <v>MOHAMAD SHAFFIE BIN MOHAMED AZHAR</v>
      </c>
      <c r="J3526" t="str">
        <f t="shared" si="1433"/>
        <v>MAYBANK / MAYBANK ISLAMIC</v>
      </c>
      <c r="K3526" t="str">
        <f>"161109267758"</f>
        <v>161109267758</v>
      </c>
      <c r="L3526" t="str">
        <f t="shared" si="1438"/>
        <v>04-08-2020</v>
      </c>
      <c r="M3526" t="str">
        <f t="shared" si="1438"/>
        <v>04-08-2020</v>
      </c>
      <c r="N3526" t="str">
        <f t="shared" si="1420"/>
        <v>001105018356</v>
      </c>
      <c r="O3526" t="str">
        <f t="shared" si="1421"/>
        <v>MYR</v>
      </c>
      <c r="P3526" t="str">
        <f t="shared" si="1439"/>
        <v>NIL</v>
      </c>
      <c r="Q3526" t="str">
        <f t="shared" si="1439"/>
        <v>NIL</v>
      </c>
      <c r="R3526" t="str">
        <f t="shared" si="1422"/>
        <v>Accepted</v>
      </c>
      <c r="S3526" t="str">
        <f t="shared" si="1423"/>
        <v>Approved</v>
      </c>
      <c r="T3526" t="str">
        <f t="shared" si="1424"/>
        <v>10.20.8.188</v>
      </c>
      <c r="U3526" t="str">
        <f t="shared" si="1425"/>
        <v>AZRAD UMAR BIN SHAARI</v>
      </c>
      <c r="V3526" t="str">
        <f t="shared" si="1426"/>
        <v>FARHANA BINTI MUSTAPA</v>
      </c>
      <c r="W3526" t="str">
        <f t="shared" si="1427"/>
        <v>04-08-2020</v>
      </c>
      <c r="X3526" t="str">
        <f t="shared" si="1428"/>
        <v>RAZIMAH ANSAR AHMAD</v>
      </c>
      <c r="Y3526" t="str">
        <f t="shared" si="1429"/>
        <v>04-08-2020</v>
      </c>
      <c r="Z3526" t="str">
        <f>"COS10200804 5428"</f>
        <v>COS10200804 5428</v>
      </c>
    </row>
    <row r="3527" spans="1:26" x14ac:dyDescent="0.25">
      <c r="A3527" t="str">
        <f t="shared" si="1440"/>
        <v>04-08-2020 12:57:26</v>
      </c>
      <c r="B3527" t="str">
        <f>"0000807416"</f>
        <v>0000807416</v>
      </c>
      <c r="C3527" t="str">
        <f t="shared" si="1441"/>
        <v>0000807389</v>
      </c>
      <c r="D3527" t="str">
        <f t="shared" ref="D3527:D3590" si="1442">"73185"</f>
        <v>73185</v>
      </c>
      <c r="E3527" t="str">
        <f t="shared" ref="E3527:E3590" si="1443">"KFH-OPERATIONS DEPARTMENT"</f>
        <v>KFH-OPERATIONS DEPARTMENT</v>
      </c>
      <c r="F3527" t="str">
        <f t="shared" ref="F3527:F3590" si="1444">"IBG"</f>
        <v>IBG</v>
      </c>
      <c r="G3527" t="str">
        <f t="shared" si="1432"/>
        <v>Refund COSHARE 10</v>
      </c>
      <c r="H3527" s="2">
        <v>839.5</v>
      </c>
      <c r="I3527" t="str">
        <f>"MOHAMAD SANI BIN MAHAT"</f>
        <v>MOHAMAD SANI BIN MAHAT</v>
      </c>
      <c r="J3527" t="str">
        <f t="shared" si="1433"/>
        <v>MAYBANK / MAYBANK ISLAMIC</v>
      </c>
      <c r="K3527" t="str">
        <f>"162263042266"</f>
        <v>162263042266</v>
      </c>
      <c r="L3527" t="str">
        <f t="shared" ref="L3527:M3546" si="1445">"04-08-2020"</f>
        <v>04-08-2020</v>
      </c>
      <c r="M3527" t="str">
        <f t="shared" si="1445"/>
        <v>04-08-2020</v>
      </c>
      <c r="N3527" t="str">
        <f t="shared" ref="N3527:N3590" si="1446">"001105018356"</f>
        <v>001105018356</v>
      </c>
      <c r="O3527" t="str">
        <f t="shared" ref="O3527:O3590" si="1447">"MYR"</f>
        <v>MYR</v>
      </c>
      <c r="P3527" t="str">
        <f t="shared" ref="P3527:Q3546" si="1448">"NIL"</f>
        <v>NIL</v>
      </c>
      <c r="Q3527" t="str">
        <f t="shared" si="1448"/>
        <v>NIL</v>
      </c>
      <c r="R3527" t="str">
        <f t="shared" ref="R3527:R3590" si="1449">"Accepted"</f>
        <v>Accepted</v>
      </c>
      <c r="S3527" t="str">
        <f t="shared" ref="S3527:S3590" si="1450">"Approved"</f>
        <v>Approved</v>
      </c>
      <c r="T3527" t="str">
        <f t="shared" ref="T3527:T3590" si="1451">"10.20.8.188"</f>
        <v>10.20.8.188</v>
      </c>
      <c r="U3527" t="str">
        <f t="shared" ref="U3527:U3590" si="1452">"AZRAD UMAR BIN SHAARI"</f>
        <v>AZRAD UMAR BIN SHAARI</v>
      </c>
      <c r="V3527" t="str">
        <f t="shared" ref="V3527:V3590" si="1453">"FARHANA BINTI MUSTAPA"</f>
        <v>FARHANA BINTI MUSTAPA</v>
      </c>
      <c r="W3527" t="str">
        <f t="shared" ref="W3527:W3590" si="1454">"04-08-2020"</f>
        <v>04-08-2020</v>
      </c>
      <c r="X3527" t="str">
        <f t="shared" ref="X3527:X3590" si="1455">"RAZIMAH ANSAR AHMAD"</f>
        <v>RAZIMAH ANSAR AHMAD</v>
      </c>
      <c r="Y3527" t="str">
        <f t="shared" ref="Y3527:Y3590" si="1456">"04-08-2020"</f>
        <v>04-08-2020</v>
      </c>
      <c r="Z3527" t="str">
        <f>"COS10200804 5427"</f>
        <v>COS10200804 5427</v>
      </c>
    </row>
    <row r="3528" spans="1:26" x14ac:dyDescent="0.25">
      <c r="A3528" t="str">
        <f t="shared" si="1440"/>
        <v>04-08-2020 12:57:26</v>
      </c>
      <c r="B3528" t="str">
        <f>"0000807415"</f>
        <v>0000807415</v>
      </c>
      <c r="C3528" t="str">
        <f t="shared" si="1441"/>
        <v>0000807389</v>
      </c>
      <c r="D3528" t="str">
        <f t="shared" si="1442"/>
        <v>73185</v>
      </c>
      <c r="E3528" t="str">
        <f t="shared" si="1443"/>
        <v>KFH-OPERATIONS DEPARTMENT</v>
      </c>
      <c r="F3528" t="str">
        <f t="shared" si="1444"/>
        <v>IBG</v>
      </c>
      <c r="G3528" t="str">
        <f t="shared" si="1432"/>
        <v>Refund COSHARE 10</v>
      </c>
      <c r="H3528" s="2">
        <v>539</v>
      </c>
      <c r="I3528" t="str">
        <f>"MOHAMAD SAMAN BIN MOHD NOR"</f>
        <v>MOHAMAD SAMAN BIN MOHD NOR</v>
      </c>
      <c r="J3528" t="str">
        <f t="shared" si="1433"/>
        <v>MAYBANK / MAYBANK ISLAMIC</v>
      </c>
      <c r="K3528" t="str">
        <f>"162188014960"</f>
        <v>162188014960</v>
      </c>
      <c r="L3528" t="str">
        <f t="shared" si="1445"/>
        <v>04-08-2020</v>
      </c>
      <c r="M3528" t="str">
        <f t="shared" si="1445"/>
        <v>04-08-2020</v>
      </c>
      <c r="N3528" t="str">
        <f t="shared" si="1446"/>
        <v>001105018356</v>
      </c>
      <c r="O3528" t="str">
        <f t="shared" si="1447"/>
        <v>MYR</v>
      </c>
      <c r="P3528" t="str">
        <f t="shared" si="1448"/>
        <v>NIL</v>
      </c>
      <c r="Q3528" t="str">
        <f t="shared" si="1448"/>
        <v>NIL</v>
      </c>
      <c r="R3528" t="str">
        <f t="shared" si="1449"/>
        <v>Accepted</v>
      </c>
      <c r="S3528" t="str">
        <f t="shared" si="1450"/>
        <v>Approved</v>
      </c>
      <c r="T3528" t="str">
        <f t="shared" si="1451"/>
        <v>10.20.8.188</v>
      </c>
      <c r="U3528" t="str">
        <f t="shared" si="1452"/>
        <v>AZRAD UMAR BIN SHAARI</v>
      </c>
      <c r="V3528" t="str">
        <f t="shared" si="1453"/>
        <v>FARHANA BINTI MUSTAPA</v>
      </c>
      <c r="W3528" t="str">
        <f t="shared" si="1454"/>
        <v>04-08-2020</v>
      </c>
      <c r="X3528" t="str">
        <f t="shared" si="1455"/>
        <v>RAZIMAH ANSAR AHMAD</v>
      </c>
      <c r="Y3528" t="str">
        <f t="shared" si="1456"/>
        <v>04-08-2020</v>
      </c>
      <c r="Z3528" t="str">
        <f>"COS10200804 5426"</f>
        <v>COS10200804 5426</v>
      </c>
    </row>
    <row r="3529" spans="1:26" x14ac:dyDescent="0.25">
      <c r="A3529" t="str">
        <f t="shared" si="1440"/>
        <v>04-08-2020 12:57:26</v>
      </c>
      <c r="B3529" t="str">
        <f>"0000807414"</f>
        <v>0000807414</v>
      </c>
      <c r="C3529" t="str">
        <f t="shared" si="1441"/>
        <v>0000807389</v>
      </c>
      <c r="D3529" t="str">
        <f t="shared" si="1442"/>
        <v>73185</v>
      </c>
      <c r="E3529" t="str">
        <f t="shared" si="1443"/>
        <v>KFH-OPERATIONS DEPARTMENT</v>
      </c>
      <c r="F3529" t="str">
        <f t="shared" si="1444"/>
        <v>IBG</v>
      </c>
      <c r="G3529" t="str">
        <f t="shared" si="1432"/>
        <v>Refund COSHARE 10</v>
      </c>
      <c r="H3529" s="2">
        <v>125.95</v>
      </c>
      <c r="I3529" t="str">
        <f>"MOHAMAD SALLEH BIN KADIR"</f>
        <v>MOHAMAD SALLEH BIN KADIR</v>
      </c>
      <c r="J3529" t="str">
        <f t="shared" si="1433"/>
        <v>MAYBANK / MAYBANK ISLAMIC</v>
      </c>
      <c r="K3529" t="str">
        <f>"151306722288"</f>
        <v>151306722288</v>
      </c>
      <c r="L3529" t="str">
        <f t="shared" si="1445"/>
        <v>04-08-2020</v>
      </c>
      <c r="M3529" t="str">
        <f t="shared" si="1445"/>
        <v>04-08-2020</v>
      </c>
      <c r="N3529" t="str">
        <f t="shared" si="1446"/>
        <v>001105018356</v>
      </c>
      <c r="O3529" t="str">
        <f t="shared" si="1447"/>
        <v>MYR</v>
      </c>
      <c r="P3529" t="str">
        <f t="shared" si="1448"/>
        <v>NIL</v>
      </c>
      <c r="Q3529" t="str">
        <f t="shared" si="1448"/>
        <v>NIL</v>
      </c>
      <c r="R3529" t="str">
        <f t="shared" si="1449"/>
        <v>Accepted</v>
      </c>
      <c r="S3529" t="str">
        <f t="shared" si="1450"/>
        <v>Approved</v>
      </c>
      <c r="T3529" t="str">
        <f t="shared" si="1451"/>
        <v>10.20.8.188</v>
      </c>
      <c r="U3529" t="str">
        <f t="shared" si="1452"/>
        <v>AZRAD UMAR BIN SHAARI</v>
      </c>
      <c r="V3529" t="str">
        <f t="shared" si="1453"/>
        <v>FARHANA BINTI MUSTAPA</v>
      </c>
      <c r="W3529" t="str">
        <f t="shared" si="1454"/>
        <v>04-08-2020</v>
      </c>
      <c r="X3529" t="str">
        <f t="shared" si="1455"/>
        <v>RAZIMAH ANSAR AHMAD</v>
      </c>
      <c r="Y3529" t="str">
        <f t="shared" si="1456"/>
        <v>04-08-2020</v>
      </c>
      <c r="Z3529" t="str">
        <f>"COS10200804 5425"</f>
        <v>COS10200804 5425</v>
      </c>
    </row>
    <row r="3530" spans="1:26" x14ac:dyDescent="0.25">
      <c r="A3530" t="str">
        <f t="shared" si="1440"/>
        <v>04-08-2020 12:57:26</v>
      </c>
      <c r="B3530" t="str">
        <f>"0000807413"</f>
        <v>0000807413</v>
      </c>
      <c r="C3530" t="str">
        <f t="shared" si="1441"/>
        <v>0000807389</v>
      </c>
      <c r="D3530" t="str">
        <f t="shared" si="1442"/>
        <v>73185</v>
      </c>
      <c r="E3530" t="str">
        <f t="shared" si="1443"/>
        <v>KFH-OPERATIONS DEPARTMENT</v>
      </c>
      <c r="F3530" t="str">
        <f t="shared" si="1444"/>
        <v>IBG</v>
      </c>
      <c r="G3530" t="str">
        <f t="shared" si="1432"/>
        <v>Refund COSHARE 10</v>
      </c>
      <c r="H3530" s="2">
        <v>67.2</v>
      </c>
      <c r="I3530" t="str">
        <f>"MOHAMAD SAIFUN ISWANDI BIN GHAZALI"</f>
        <v>MOHAMAD SAIFUN ISWANDI BIN GHAZALI</v>
      </c>
      <c r="J3530" t="str">
        <f t="shared" si="1433"/>
        <v>MAYBANK / MAYBANK ISLAMIC</v>
      </c>
      <c r="K3530" t="str">
        <f>"154026402946"</f>
        <v>154026402946</v>
      </c>
      <c r="L3530" t="str">
        <f t="shared" si="1445"/>
        <v>04-08-2020</v>
      </c>
      <c r="M3530" t="str">
        <f t="shared" si="1445"/>
        <v>04-08-2020</v>
      </c>
      <c r="N3530" t="str">
        <f t="shared" si="1446"/>
        <v>001105018356</v>
      </c>
      <c r="O3530" t="str">
        <f t="shared" si="1447"/>
        <v>MYR</v>
      </c>
      <c r="P3530" t="str">
        <f t="shared" si="1448"/>
        <v>NIL</v>
      </c>
      <c r="Q3530" t="str">
        <f t="shared" si="1448"/>
        <v>NIL</v>
      </c>
      <c r="R3530" t="str">
        <f t="shared" si="1449"/>
        <v>Accepted</v>
      </c>
      <c r="S3530" t="str">
        <f t="shared" si="1450"/>
        <v>Approved</v>
      </c>
      <c r="T3530" t="str">
        <f t="shared" si="1451"/>
        <v>10.20.8.188</v>
      </c>
      <c r="U3530" t="str">
        <f t="shared" si="1452"/>
        <v>AZRAD UMAR BIN SHAARI</v>
      </c>
      <c r="V3530" t="str">
        <f t="shared" si="1453"/>
        <v>FARHANA BINTI MUSTAPA</v>
      </c>
      <c r="W3530" t="str">
        <f t="shared" si="1454"/>
        <v>04-08-2020</v>
      </c>
      <c r="X3530" t="str">
        <f t="shared" si="1455"/>
        <v>RAZIMAH ANSAR AHMAD</v>
      </c>
      <c r="Y3530" t="str">
        <f t="shared" si="1456"/>
        <v>04-08-2020</v>
      </c>
      <c r="Z3530" t="str">
        <f>"COS10200804 5424"</f>
        <v>COS10200804 5424</v>
      </c>
    </row>
    <row r="3531" spans="1:26" x14ac:dyDescent="0.25">
      <c r="A3531" t="str">
        <f t="shared" si="1440"/>
        <v>04-08-2020 12:57:26</v>
      </c>
      <c r="B3531" t="str">
        <f>"0000807412"</f>
        <v>0000807412</v>
      </c>
      <c r="C3531" t="str">
        <f t="shared" si="1441"/>
        <v>0000807389</v>
      </c>
      <c r="D3531" t="str">
        <f t="shared" si="1442"/>
        <v>73185</v>
      </c>
      <c r="E3531" t="str">
        <f t="shared" si="1443"/>
        <v>KFH-OPERATIONS DEPARTMENT</v>
      </c>
      <c r="F3531" t="str">
        <f t="shared" si="1444"/>
        <v>IBG</v>
      </c>
      <c r="G3531" t="str">
        <f t="shared" si="1432"/>
        <v>Refund COSHARE 10</v>
      </c>
      <c r="H3531" s="2">
        <v>1125.95</v>
      </c>
      <c r="I3531" t="str">
        <f>"MOHAMAD SAIFUDIN BIN OTHMAN"</f>
        <v>MOHAMAD SAIFUDIN BIN OTHMAN</v>
      </c>
      <c r="J3531" t="str">
        <f t="shared" si="1433"/>
        <v>MAYBANK / MAYBANK ISLAMIC</v>
      </c>
      <c r="K3531" t="str">
        <f>"164324356239"</f>
        <v>164324356239</v>
      </c>
      <c r="L3531" t="str">
        <f t="shared" si="1445"/>
        <v>04-08-2020</v>
      </c>
      <c r="M3531" t="str">
        <f t="shared" si="1445"/>
        <v>04-08-2020</v>
      </c>
      <c r="N3531" t="str">
        <f t="shared" si="1446"/>
        <v>001105018356</v>
      </c>
      <c r="O3531" t="str">
        <f t="shared" si="1447"/>
        <v>MYR</v>
      </c>
      <c r="P3531" t="str">
        <f t="shared" si="1448"/>
        <v>NIL</v>
      </c>
      <c r="Q3531" t="str">
        <f t="shared" si="1448"/>
        <v>NIL</v>
      </c>
      <c r="R3531" t="str">
        <f t="shared" si="1449"/>
        <v>Accepted</v>
      </c>
      <c r="S3531" t="str">
        <f t="shared" si="1450"/>
        <v>Approved</v>
      </c>
      <c r="T3531" t="str">
        <f t="shared" si="1451"/>
        <v>10.20.8.188</v>
      </c>
      <c r="U3531" t="str">
        <f t="shared" si="1452"/>
        <v>AZRAD UMAR BIN SHAARI</v>
      </c>
      <c r="V3531" t="str">
        <f t="shared" si="1453"/>
        <v>FARHANA BINTI MUSTAPA</v>
      </c>
      <c r="W3531" t="str">
        <f t="shared" si="1454"/>
        <v>04-08-2020</v>
      </c>
      <c r="X3531" t="str">
        <f t="shared" si="1455"/>
        <v>RAZIMAH ANSAR AHMAD</v>
      </c>
      <c r="Y3531" t="str">
        <f t="shared" si="1456"/>
        <v>04-08-2020</v>
      </c>
      <c r="Z3531" t="str">
        <f>"COS10200804 5423"</f>
        <v>COS10200804 5423</v>
      </c>
    </row>
    <row r="3532" spans="1:26" x14ac:dyDescent="0.25">
      <c r="A3532" t="str">
        <f t="shared" si="1440"/>
        <v>04-08-2020 12:57:26</v>
      </c>
      <c r="B3532" t="str">
        <f>"0000807411"</f>
        <v>0000807411</v>
      </c>
      <c r="C3532" t="str">
        <f t="shared" si="1441"/>
        <v>0000807389</v>
      </c>
      <c r="D3532" t="str">
        <f t="shared" si="1442"/>
        <v>73185</v>
      </c>
      <c r="E3532" t="str">
        <f t="shared" si="1443"/>
        <v>KFH-OPERATIONS DEPARTMENT</v>
      </c>
      <c r="F3532" t="str">
        <f t="shared" si="1444"/>
        <v>IBG</v>
      </c>
      <c r="G3532" t="str">
        <f t="shared" ref="G3532:G3595" si="1457">"Refund COSHARE 10"</f>
        <v>Refund COSHARE 10</v>
      </c>
      <c r="H3532" s="2">
        <v>235.1</v>
      </c>
      <c r="I3532" t="str">
        <f>"MOHAMAD SABRI BIN AHMAD"</f>
        <v>MOHAMAD SABRI BIN AHMAD</v>
      </c>
      <c r="J3532" t="str">
        <f t="shared" si="1433"/>
        <v>MAYBANK / MAYBANK ISLAMIC</v>
      </c>
      <c r="K3532" t="str">
        <f>"108178633622"</f>
        <v>108178633622</v>
      </c>
      <c r="L3532" t="str">
        <f t="shared" si="1445"/>
        <v>04-08-2020</v>
      </c>
      <c r="M3532" t="str">
        <f t="shared" si="1445"/>
        <v>04-08-2020</v>
      </c>
      <c r="N3532" t="str">
        <f t="shared" si="1446"/>
        <v>001105018356</v>
      </c>
      <c r="O3532" t="str">
        <f t="shared" si="1447"/>
        <v>MYR</v>
      </c>
      <c r="P3532" t="str">
        <f t="shared" si="1448"/>
        <v>NIL</v>
      </c>
      <c r="Q3532" t="str">
        <f t="shared" si="1448"/>
        <v>NIL</v>
      </c>
      <c r="R3532" t="str">
        <f t="shared" si="1449"/>
        <v>Accepted</v>
      </c>
      <c r="S3532" t="str">
        <f t="shared" si="1450"/>
        <v>Approved</v>
      </c>
      <c r="T3532" t="str">
        <f t="shared" si="1451"/>
        <v>10.20.8.188</v>
      </c>
      <c r="U3532" t="str">
        <f t="shared" si="1452"/>
        <v>AZRAD UMAR BIN SHAARI</v>
      </c>
      <c r="V3532" t="str">
        <f t="shared" si="1453"/>
        <v>FARHANA BINTI MUSTAPA</v>
      </c>
      <c r="W3532" t="str">
        <f t="shared" si="1454"/>
        <v>04-08-2020</v>
      </c>
      <c r="X3532" t="str">
        <f t="shared" si="1455"/>
        <v>RAZIMAH ANSAR AHMAD</v>
      </c>
      <c r="Y3532" t="str">
        <f t="shared" si="1456"/>
        <v>04-08-2020</v>
      </c>
      <c r="Z3532" t="str">
        <f>"COS10200804 5422"</f>
        <v>COS10200804 5422</v>
      </c>
    </row>
    <row r="3533" spans="1:26" x14ac:dyDescent="0.25">
      <c r="A3533" t="str">
        <f t="shared" si="1440"/>
        <v>04-08-2020 12:57:26</v>
      </c>
      <c r="B3533" t="str">
        <f>"0000807410"</f>
        <v>0000807410</v>
      </c>
      <c r="C3533" t="str">
        <f t="shared" si="1441"/>
        <v>0000807389</v>
      </c>
      <c r="D3533" t="str">
        <f t="shared" si="1442"/>
        <v>73185</v>
      </c>
      <c r="E3533" t="str">
        <f t="shared" si="1443"/>
        <v>KFH-OPERATIONS DEPARTMENT</v>
      </c>
      <c r="F3533" t="str">
        <f t="shared" si="1444"/>
        <v>IBG</v>
      </c>
      <c r="G3533" t="str">
        <f t="shared" si="1457"/>
        <v>Refund COSHARE 10</v>
      </c>
      <c r="H3533" s="2">
        <v>42</v>
      </c>
      <c r="I3533" t="str">
        <f>"MOHAMAD RUSTAM BIN SANI"</f>
        <v>MOHAMAD RUSTAM BIN SANI</v>
      </c>
      <c r="J3533" t="str">
        <f t="shared" si="1433"/>
        <v>MAYBANK / MAYBANK ISLAMIC</v>
      </c>
      <c r="K3533" t="str">
        <f>"111075252514"</f>
        <v>111075252514</v>
      </c>
      <c r="L3533" t="str">
        <f t="shared" si="1445"/>
        <v>04-08-2020</v>
      </c>
      <c r="M3533" t="str">
        <f t="shared" si="1445"/>
        <v>04-08-2020</v>
      </c>
      <c r="N3533" t="str">
        <f t="shared" si="1446"/>
        <v>001105018356</v>
      </c>
      <c r="O3533" t="str">
        <f t="shared" si="1447"/>
        <v>MYR</v>
      </c>
      <c r="P3533" t="str">
        <f t="shared" si="1448"/>
        <v>NIL</v>
      </c>
      <c r="Q3533" t="str">
        <f t="shared" si="1448"/>
        <v>NIL</v>
      </c>
      <c r="R3533" t="str">
        <f t="shared" si="1449"/>
        <v>Accepted</v>
      </c>
      <c r="S3533" t="str">
        <f t="shared" si="1450"/>
        <v>Approved</v>
      </c>
      <c r="T3533" t="str">
        <f t="shared" si="1451"/>
        <v>10.20.8.188</v>
      </c>
      <c r="U3533" t="str">
        <f t="shared" si="1452"/>
        <v>AZRAD UMAR BIN SHAARI</v>
      </c>
      <c r="V3533" t="str">
        <f t="shared" si="1453"/>
        <v>FARHANA BINTI MUSTAPA</v>
      </c>
      <c r="W3533" t="str">
        <f t="shared" si="1454"/>
        <v>04-08-2020</v>
      </c>
      <c r="X3533" t="str">
        <f t="shared" si="1455"/>
        <v>RAZIMAH ANSAR AHMAD</v>
      </c>
      <c r="Y3533" t="str">
        <f t="shared" si="1456"/>
        <v>04-08-2020</v>
      </c>
      <c r="Z3533" t="str">
        <f>"COS10200804 5421"</f>
        <v>COS10200804 5421</v>
      </c>
    </row>
    <row r="3534" spans="1:26" x14ac:dyDescent="0.25">
      <c r="A3534" t="str">
        <f t="shared" si="1440"/>
        <v>04-08-2020 12:57:26</v>
      </c>
      <c r="B3534" t="str">
        <f>"0000807409"</f>
        <v>0000807409</v>
      </c>
      <c r="C3534" t="str">
        <f t="shared" si="1441"/>
        <v>0000807389</v>
      </c>
      <c r="D3534" t="str">
        <f t="shared" si="1442"/>
        <v>73185</v>
      </c>
      <c r="E3534" t="str">
        <f t="shared" si="1443"/>
        <v>KFH-OPERATIONS DEPARTMENT</v>
      </c>
      <c r="F3534" t="str">
        <f t="shared" si="1444"/>
        <v>IBG</v>
      </c>
      <c r="G3534" t="str">
        <f t="shared" si="1457"/>
        <v>Refund COSHARE 10</v>
      </c>
      <c r="H3534" s="2">
        <v>1530.95</v>
      </c>
      <c r="I3534" t="str">
        <f>"MOHAMAD ROSLAN BIN JANUDIN"</f>
        <v>MOHAMAD ROSLAN BIN JANUDIN</v>
      </c>
      <c r="J3534" t="str">
        <f t="shared" si="1433"/>
        <v>MAYBANK / MAYBANK ISLAMIC</v>
      </c>
      <c r="K3534" t="str">
        <f>"111075185927"</f>
        <v>111075185927</v>
      </c>
      <c r="L3534" t="str">
        <f t="shared" si="1445"/>
        <v>04-08-2020</v>
      </c>
      <c r="M3534" t="str">
        <f t="shared" si="1445"/>
        <v>04-08-2020</v>
      </c>
      <c r="N3534" t="str">
        <f t="shared" si="1446"/>
        <v>001105018356</v>
      </c>
      <c r="O3534" t="str">
        <f t="shared" si="1447"/>
        <v>MYR</v>
      </c>
      <c r="P3534" t="str">
        <f t="shared" si="1448"/>
        <v>NIL</v>
      </c>
      <c r="Q3534" t="str">
        <f t="shared" si="1448"/>
        <v>NIL</v>
      </c>
      <c r="R3534" t="str">
        <f t="shared" si="1449"/>
        <v>Accepted</v>
      </c>
      <c r="S3534" t="str">
        <f t="shared" si="1450"/>
        <v>Approved</v>
      </c>
      <c r="T3534" t="str">
        <f t="shared" si="1451"/>
        <v>10.20.8.188</v>
      </c>
      <c r="U3534" t="str">
        <f t="shared" si="1452"/>
        <v>AZRAD UMAR BIN SHAARI</v>
      </c>
      <c r="V3534" t="str">
        <f t="shared" si="1453"/>
        <v>FARHANA BINTI MUSTAPA</v>
      </c>
      <c r="W3534" t="str">
        <f t="shared" si="1454"/>
        <v>04-08-2020</v>
      </c>
      <c r="X3534" t="str">
        <f t="shared" si="1455"/>
        <v>RAZIMAH ANSAR AHMAD</v>
      </c>
      <c r="Y3534" t="str">
        <f t="shared" si="1456"/>
        <v>04-08-2020</v>
      </c>
      <c r="Z3534" t="str">
        <f>"COS10200804 5420"</f>
        <v>COS10200804 5420</v>
      </c>
    </row>
    <row r="3535" spans="1:26" x14ac:dyDescent="0.25">
      <c r="A3535" t="str">
        <f t="shared" si="1440"/>
        <v>04-08-2020 12:57:26</v>
      </c>
      <c r="B3535" t="str">
        <f>"0000807408"</f>
        <v>0000807408</v>
      </c>
      <c r="C3535" t="str">
        <f t="shared" si="1441"/>
        <v>0000807389</v>
      </c>
      <c r="D3535" t="str">
        <f t="shared" si="1442"/>
        <v>73185</v>
      </c>
      <c r="E3535" t="str">
        <f t="shared" si="1443"/>
        <v>KFH-OPERATIONS DEPARTMENT</v>
      </c>
      <c r="F3535" t="str">
        <f t="shared" si="1444"/>
        <v>IBG</v>
      </c>
      <c r="G3535" t="str">
        <f t="shared" si="1457"/>
        <v>Refund COSHARE 10</v>
      </c>
      <c r="H3535" s="2">
        <v>63</v>
      </c>
      <c r="I3535" t="str">
        <f>"MOHAMAD ROSLAN BIN JANUDIN"</f>
        <v>MOHAMAD ROSLAN BIN JANUDIN</v>
      </c>
      <c r="J3535" t="str">
        <f t="shared" si="1433"/>
        <v>MAYBANK / MAYBANK ISLAMIC</v>
      </c>
      <c r="K3535" t="str">
        <f>"111075185927"</f>
        <v>111075185927</v>
      </c>
      <c r="L3535" t="str">
        <f t="shared" si="1445"/>
        <v>04-08-2020</v>
      </c>
      <c r="M3535" t="str">
        <f t="shared" si="1445"/>
        <v>04-08-2020</v>
      </c>
      <c r="N3535" t="str">
        <f t="shared" si="1446"/>
        <v>001105018356</v>
      </c>
      <c r="O3535" t="str">
        <f t="shared" si="1447"/>
        <v>MYR</v>
      </c>
      <c r="P3535" t="str">
        <f t="shared" si="1448"/>
        <v>NIL</v>
      </c>
      <c r="Q3535" t="str">
        <f t="shared" si="1448"/>
        <v>NIL</v>
      </c>
      <c r="R3535" t="str">
        <f t="shared" si="1449"/>
        <v>Accepted</v>
      </c>
      <c r="S3535" t="str">
        <f t="shared" si="1450"/>
        <v>Approved</v>
      </c>
      <c r="T3535" t="str">
        <f t="shared" si="1451"/>
        <v>10.20.8.188</v>
      </c>
      <c r="U3535" t="str">
        <f t="shared" si="1452"/>
        <v>AZRAD UMAR BIN SHAARI</v>
      </c>
      <c r="V3535" t="str">
        <f t="shared" si="1453"/>
        <v>FARHANA BINTI MUSTAPA</v>
      </c>
      <c r="W3535" t="str">
        <f t="shared" si="1454"/>
        <v>04-08-2020</v>
      </c>
      <c r="X3535" t="str">
        <f t="shared" si="1455"/>
        <v>RAZIMAH ANSAR AHMAD</v>
      </c>
      <c r="Y3535" t="str">
        <f t="shared" si="1456"/>
        <v>04-08-2020</v>
      </c>
      <c r="Z3535" t="str">
        <f>"COS10200804 5419"</f>
        <v>COS10200804 5419</v>
      </c>
    </row>
    <row r="3536" spans="1:26" x14ac:dyDescent="0.25">
      <c r="A3536" t="str">
        <f t="shared" si="1440"/>
        <v>04-08-2020 12:57:26</v>
      </c>
      <c r="B3536" t="str">
        <f>"0000807407"</f>
        <v>0000807407</v>
      </c>
      <c r="C3536" t="str">
        <f t="shared" si="1441"/>
        <v>0000807389</v>
      </c>
      <c r="D3536" t="str">
        <f t="shared" si="1442"/>
        <v>73185</v>
      </c>
      <c r="E3536" t="str">
        <f t="shared" si="1443"/>
        <v>KFH-OPERATIONS DEPARTMENT</v>
      </c>
      <c r="F3536" t="str">
        <f t="shared" si="1444"/>
        <v>IBG</v>
      </c>
      <c r="G3536" t="str">
        <f t="shared" si="1457"/>
        <v>Refund COSHARE 10</v>
      </c>
      <c r="H3536" s="2">
        <v>278.35000000000002</v>
      </c>
      <c r="I3536" t="str">
        <f>"MOHAMAD ROSLAN BIN JANUDIN"</f>
        <v>MOHAMAD ROSLAN BIN JANUDIN</v>
      </c>
      <c r="J3536" t="str">
        <f t="shared" si="1433"/>
        <v>MAYBANK / MAYBANK ISLAMIC</v>
      </c>
      <c r="K3536" t="str">
        <f>"111075185927"</f>
        <v>111075185927</v>
      </c>
      <c r="L3536" t="str">
        <f t="shared" si="1445"/>
        <v>04-08-2020</v>
      </c>
      <c r="M3536" t="str">
        <f t="shared" si="1445"/>
        <v>04-08-2020</v>
      </c>
      <c r="N3536" t="str">
        <f t="shared" si="1446"/>
        <v>001105018356</v>
      </c>
      <c r="O3536" t="str">
        <f t="shared" si="1447"/>
        <v>MYR</v>
      </c>
      <c r="P3536" t="str">
        <f t="shared" si="1448"/>
        <v>NIL</v>
      </c>
      <c r="Q3536" t="str">
        <f t="shared" si="1448"/>
        <v>NIL</v>
      </c>
      <c r="R3536" t="str">
        <f t="shared" si="1449"/>
        <v>Accepted</v>
      </c>
      <c r="S3536" t="str">
        <f t="shared" si="1450"/>
        <v>Approved</v>
      </c>
      <c r="T3536" t="str">
        <f t="shared" si="1451"/>
        <v>10.20.8.188</v>
      </c>
      <c r="U3536" t="str">
        <f t="shared" si="1452"/>
        <v>AZRAD UMAR BIN SHAARI</v>
      </c>
      <c r="V3536" t="str">
        <f t="shared" si="1453"/>
        <v>FARHANA BINTI MUSTAPA</v>
      </c>
      <c r="W3536" t="str">
        <f t="shared" si="1454"/>
        <v>04-08-2020</v>
      </c>
      <c r="X3536" t="str">
        <f t="shared" si="1455"/>
        <v>RAZIMAH ANSAR AHMAD</v>
      </c>
      <c r="Y3536" t="str">
        <f t="shared" si="1456"/>
        <v>04-08-2020</v>
      </c>
      <c r="Z3536" t="str">
        <f>"COS10200804 5418"</f>
        <v>COS10200804 5418</v>
      </c>
    </row>
    <row r="3537" spans="1:26" x14ac:dyDescent="0.25">
      <c r="A3537" t="str">
        <f t="shared" si="1440"/>
        <v>04-08-2020 12:57:26</v>
      </c>
      <c r="B3537" t="str">
        <f>"0000807406"</f>
        <v>0000807406</v>
      </c>
      <c r="C3537" t="str">
        <f t="shared" si="1441"/>
        <v>0000807389</v>
      </c>
      <c r="D3537" t="str">
        <f t="shared" si="1442"/>
        <v>73185</v>
      </c>
      <c r="E3537" t="str">
        <f t="shared" si="1443"/>
        <v>KFH-OPERATIONS DEPARTMENT</v>
      </c>
      <c r="F3537" t="str">
        <f t="shared" si="1444"/>
        <v>IBG</v>
      </c>
      <c r="G3537" t="str">
        <f t="shared" si="1457"/>
        <v>Refund COSHARE 10</v>
      </c>
      <c r="H3537" s="2">
        <v>273.45</v>
      </c>
      <c r="I3537" t="str">
        <f>"MOHAMAD RODZI BIN ISMAIL"</f>
        <v>MOHAMAD RODZI BIN ISMAIL</v>
      </c>
      <c r="J3537" t="str">
        <f t="shared" ref="J3537:J3600" si="1458">"MAYBANK / MAYBANK ISLAMIC"</f>
        <v>MAYBANK / MAYBANK ISLAMIC</v>
      </c>
      <c r="K3537" t="str">
        <f>"106016775195"</f>
        <v>106016775195</v>
      </c>
      <c r="L3537" t="str">
        <f t="shared" si="1445"/>
        <v>04-08-2020</v>
      </c>
      <c r="M3537" t="str">
        <f t="shared" si="1445"/>
        <v>04-08-2020</v>
      </c>
      <c r="N3537" t="str">
        <f t="shared" si="1446"/>
        <v>001105018356</v>
      </c>
      <c r="O3537" t="str">
        <f t="shared" si="1447"/>
        <v>MYR</v>
      </c>
      <c r="P3537" t="str">
        <f t="shared" si="1448"/>
        <v>NIL</v>
      </c>
      <c r="Q3537" t="str">
        <f t="shared" si="1448"/>
        <v>NIL</v>
      </c>
      <c r="R3537" t="str">
        <f t="shared" si="1449"/>
        <v>Accepted</v>
      </c>
      <c r="S3537" t="str">
        <f t="shared" si="1450"/>
        <v>Approved</v>
      </c>
      <c r="T3537" t="str">
        <f t="shared" si="1451"/>
        <v>10.20.8.188</v>
      </c>
      <c r="U3537" t="str">
        <f t="shared" si="1452"/>
        <v>AZRAD UMAR BIN SHAARI</v>
      </c>
      <c r="V3537" t="str">
        <f t="shared" si="1453"/>
        <v>FARHANA BINTI MUSTAPA</v>
      </c>
      <c r="W3537" t="str">
        <f t="shared" si="1454"/>
        <v>04-08-2020</v>
      </c>
      <c r="X3537" t="str">
        <f t="shared" si="1455"/>
        <v>RAZIMAH ANSAR AHMAD</v>
      </c>
      <c r="Y3537" t="str">
        <f t="shared" si="1456"/>
        <v>04-08-2020</v>
      </c>
      <c r="Z3537" t="str">
        <f>"COS10200804 5417"</f>
        <v>COS10200804 5417</v>
      </c>
    </row>
    <row r="3538" spans="1:26" x14ac:dyDescent="0.25">
      <c r="A3538" t="str">
        <f t="shared" si="1440"/>
        <v>04-08-2020 12:57:26</v>
      </c>
      <c r="B3538" t="str">
        <f>"0000807405"</f>
        <v>0000807405</v>
      </c>
      <c r="C3538" t="str">
        <f t="shared" si="1441"/>
        <v>0000807389</v>
      </c>
      <c r="D3538" t="str">
        <f t="shared" si="1442"/>
        <v>73185</v>
      </c>
      <c r="E3538" t="str">
        <f t="shared" si="1443"/>
        <v>KFH-OPERATIONS DEPARTMENT</v>
      </c>
      <c r="F3538" t="str">
        <f t="shared" si="1444"/>
        <v>IBG</v>
      </c>
      <c r="G3538" t="str">
        <f t="shared" si="1457"/>
        <v>Refund COSHARE 10</v>
      </c>
      <c r="H3538" s="2">
        <v>771.7</v>
      </c>
      <c r="I3538" t="str">
        <f>"MOHAMAD RIZAL BIN OTHMAN"</f>
        <v>MOHAMAD RIZAL BIN OTHMAN</v>
      </c>
      <c r="J3538" t="str">
        <f t="shared" si="1458"/>
        <v>MAYBANK / MAYBANK ISLAMIC</v>
      </c>
      <c r="K3538" t="str">
        <f>"151306991647"</f>
        <v>151306991647</v>
      </c>
      <c r="L3538" t="str">
        <f t="shared" si="1445"/>
        <v>04-08-2020</v>
      </c>
      <c r="M3538" t="str">
        <f t="shared" si="1445"/>
        <v>04-08-2020</v>
      </c>
      <c r="N3538" t="str">
        <f t="shared" si="1446"/>
        <v>001105018356</v>
      </c>
      <c r="O3538" t="str">
        <f t="shared" si="1447"/>
        <v>MYR</v>
      </c>
      <c r="P3538" t="str">
        <f t="shared" si="1448"/>
        <v>NIL</v>
      </c>
      <c r="Q3538" t="str">
        <f t="shared" si="1448"/>
        <v>NIL</v>
      </c>
      <c r="R3538" t="str">
        <f t="shared" si="1449"/>
        <v>Accepted</v>
      </c>
      <c r="S3538" t="str">
        <f t="shared" si="1450"/>
        <v>Approved</v>
      </c>
      <c r="T3538" t="str">
        <f t="shared" si="1451"/>
        <v>10.20.8.188</v>
      </c>
      <c r="U3538" t="str">
        <f t="shared" si="1452"/>
        <v>AZRAD UMAR BIN SHAARI</v>
      </c>
      <c r="V3538" t="str">
        <f t="shared" si="1453"/>
        <v>FARHANA BINTI MUSTAPA</v>
      </c>
      <c r="W3538" t="str">
        <f t="shared" si="1454"/>
        <v>04-08-2020</v>
      </c>
      <c r="X3538" t="str">
        <f t="shared" si="1455"/>
        <v>RAZIMAH ANSAR AHMAD</v>
      </c>
      <c r="Y3538" t="str">
        <f t="shared" si="1456"/>
        <v>04-08-2020</v>
      </c>
      <c r="Z3538" t="str">
        <f>"COS10200804 5416"</f>
        <v>COS10200804 5416</v>
      </c>
    </row>
    <row r="3539" spans="1:26" x14ac:dyDescent="0.25">
      <c r="A3539" t="str">
        <f t="shared" si="1440"/>
        <v>04-08-2020 12:57:26</v>
      </c>
      <c r="B3539" t="str">
        <f>"0000807404"</f>
        <v>0000807404</v>
      </c>
      <c r="C3539" t="str">
        <f t="shared" si="1441"/>
        <v>0000807389</v>
      </c>
      <c r="D3539" t="str">
        <f t="shared" si="1442"/>
        <v>73185</v>
      </c>
      <c r="E3539" t="str">
        <f t="shared" si="1443"/>
        <v>KFH-OPERATIONS DEPARTMENT</v>
      </c>
      <c r="F3539" t="str">
        <f t="shared" si="1444"/>
        <v>IBG</v>
      </c>
      <c r="G3539" t="str">
        <f t="shared" si="1457"/>
        <v>Refund COSHARE 10</v>
      </c>
      <c r="H3539" s="2">
        <v>517.20000000000005</v>
      </c>
      <c r="I3539" t="str">
        <f>"MOHAMAD RIZAL BIN HJ MANSOR"</f>
        <v>MOHAMAD RIZAL BIN HJ MANSOR</v>
      </c>
      <c r="J3539" t="str">
        <f t="shared" si="1458"/>
        <v>MAYBANK / MAYBANK ISLAMIC</v>
      </c>
      <c r="K3539" t="str">
        <f>"156048153001"</f>
        <v>156048153001</v>
      </c>
      <c r="L3539" t="str">
        <f t="shared" si="1445"/>
        <v>04-08-2020</v>
      </c>
      <c r="M3539" t="str">
        <f t="shared" si="1445"/>
        <v>04-08-2020</v>
      </c>
      <c r="N3539" t="str">
        <f t="shared" si="1446"/>
        <v>001105018356</v>
      </c>
      <c r="O3539" t="str">
        <f t="shared" si="1447"/>
        <v>MYR</v>
      </c>
      <c r="P3539" t="str">
        <f t="shared" si="1448"/>
        <v>NIL</v>
      </c>
      <c r="Q3539" t="str">
        <f t="shared" si="1448"/>
        <v>NIL</v>
      </c>
      <c r="R3539" t="str">
        <f t="shared" si="1449"/>
        <v>Accepted</v>
      </c>
      <c r="S3539" t="str">
        <f t="shared" si="1450"/>
        <v>Approved</v>
      </c>
      <c r="T3539" t="str">
        <f t="shared" si="1451"/>
        <v>10.20.8.188</v>
      </c>
      <c r="U3539" t="str">
        <f t="shared" si="1452"/>
        <v>AZRAD UMAR BIN SHAARI</v>
      </c>
      <c r="V3539" t="str">
        <f t="shared" si="1453"/>
        <v>FARHANA BINTI MUSTAPA</v>
      </c>
      <c r="W3539" t="str">
        <f t="shared" si="1454"/>
        <v>04-08-2020</v>
      </c>
      <c r="X3539" t="str">
        <f t="shared" si="1455"/>
        <v>RAZIMAH ANSAR AHMAD</v>
      </c>
      <c r="Y3539" t="str">
        <f t="shared" si="1456"/>
        <v>04-08-2020</v>
      </c>
      <c r="Z3539" t="str">
        <f>"COS10200804 5415"</f>
        <v>COS10200804 5415</v>
      </c>
    </row>
    <row r="3540" spans="1:26" x14ac:dyDescent="0.25">
      <c r="A3540" t="str">
        <f t="shared" si="1440"/>
        <v>04-08-2020 12:57:26</v>
      </c>
      <c r="B3540" t="str">
        <f>"0000807403"</f>
        <v>0000807403</v>
      </c>
      <c r="C3540" t="str">
        <f t="shared" si="1441"/>
        <v>0000807389</v>
      </c>
      <c r="D3540" t="str">
        <f t="shared" si="1442"/>
        <v>73185</v>
      </c>
      <c r="E3540" t="str">
        <f t="shared" si="1443"/>
        <v>KFH-OPERATIONS DEPARTMENT</v>
      </c>
      <c r="F3540" t="str">
        <f t="shared" si="1444"/>
        <v>IBG</v>
      </c>
      <c r="G3540" t="str">
        <f t="shared" si="1457"/>
        <v>Refund COSHARE 10</v>
      </c>
      <c r="H3540" s="2">
        <v>965.45</v>
      </c>
      <c r="I3540" t="str">
        <f>"MOHAMAD RIZAL AZUAN BIN ABDULLAH"</f>
        <v>MOHAMAD RIZAL AZUAN BIN ABDULLAH</v>
      </c>
      <c r="J3540" t="str">
        <f t="shared" si="1458"/>
        <v>MAYBANK / MAYBANK ISLAMIC</v>
      </c>
      <c r="K3540" t="str">
        <f>"156226053949"</f>
        <v>156226053949</v>
      </c>
      <c r="L3540" t="str">
        <f t="shared" si="1445"/>
        <v>04-08-2020</v>
      </c>
      <c r="M3540" t="str">
        <f t="shared" si="1445"/>
        <v>04-08-2020</v>
      </c>
      <c r="N3540" t="str">
        <f t="shared" si="1446"/>
        <v>001105018356</v>
      </c>
      <c r="O3540" t="str">
        <f t="shared" si="1447"/>
        <v>MYR</v>
      </c>
      <c r="P3540" t="str">
        <f t="shared" si="1448"/>
        <v>NIL</v>
      </c>
      <c r="Q3540" t="str">
        <f t="shared" si="1448"/>
        <v>NIL</v>
      </c>
      <c r="R3540" t="str">
        <f t="shared" si="1449"/>
        <v>Accepted</v>
      </c>
      <c r="S3540" t="str">
        <f t="shared" si="1450"/>
        <v>Approved</v>
      </c>
      <c r="T3540" t="str">
        <f t="shared" si="1451"/>
        <v>10.20.8.188</v>
      </c>
      <c r="U3540" t="str">
        <f t="shared" si="1452"/>
        <v>AZRAD UMAR BIN SHAARI</v>
      </c>
      <c r="V3540" t="str">
        <f t="shared" si="1453"/>
        <v>FARHANA BINTI MUSTAPA</v>
      </c>
      <c r="W3540" t="str">
        <f t="shared" si="1454"/>
        <v>04-08-2020</v>
      </c>
      <c r="X3540" t="str">
        <f t="shared" si="1455"/>
        <v>RAZIMAH ANSAR AHMAD</v>
      </c>
      <c r="Y3540" t="str">
        <f t="shared" si="1456"/>
        <v>04-08-2020</v>
      </c>
      <c r="Z3540" t="str">
        <f>"COS10200804 5414"</f>
        <v>COS10200804 5414</v>
      </c>
    </row>
    <row r="3541" spans="1:26" x14ac:dyDescent="0.25">
      <c r="A3541" t="str">
        <f t="shared" si="1440"/>
        <v>04-08-2020 12:57:26</v>
      </c>
      <c r="B3541" t="str">
        <f>"0000807402"</f>
        <v>0000807402</v>
      </c>
      <c r="C3541" t="str">
        <f t="shared" si="1441"/>
        <v>0000807389</v>
      </c>
      <c r="D3541" t="str">
        <f t="shared" si="1442"/>
        <v>73185</v>
      </c>
      <c r="E3541" t="str">
        <f t="shared" si="1443"/>
        <v>KFH-OPERATIONS DEPARTMENT</v>
      </c>
      <c r="F3541" t="str">
        <f t="shared" si="1444"/>
        <v>IBG</v>
      </c>
      <c r="G3541" t="str">
        <f t="shared" si="1457"/>
        <v>Refund COSHARE 10</v>
      </c>
      <c r="H3541" s="2">
        <v>92.35</v>
      </c>
      <c r="I3541" t="str">
        <f>"MOHAMAD RIDZUAN BIN KAMARULZAMAN"</f>
        <v>MOHAMAD RIDZUAN BIN KAMARULZAMAN</v>
      </c>
      <c r="J3541" t="str">
        <f t="shared" si="1458"/>
        <v>MAYBANK / MAYBANK ISLAMIC</v>
      </c>
      <c r="K3541" t="str">
        <f>"164717010916"</f>
        <v>164717010916</v>
      </c>
      <c r="L3541" t="str">
        <f t="shared" si="1445"/>
        <v>04-08-2020</v>
      </c>
      <c r="M3541" t="str">
        <f t="shared" si="1445"/>
        <v>04-08-2020</v>
      </c>
      <c r="N3541" t="str">
        <f t="shared" si="1446"/>
        <v>001105018356</v>
      </c>
      <c r="O3541" t="str">
        <f t="shared" si="1447"/>
        <v>MYR</v>
      </c>
      <c r="P3541" t="str">
        <f t="shared" si="1448"/>
        <v>NIL</v>
      </c>
      <c r="Q3541" t="str">
        <f t="shared" si="1448"/>
        <v>NIL</v>
      </c>
      <c r="R3541" t="str">
        <f t="shared" si="1449"/>
        <v>Accepted</v>
      </c>
      <c r="S3541" t="str">
        <f t="shared" si="1450"/>
        <v>Approved</v>
      </c>
      <c r="T3541" t="str">
        <f t="shared" si="1451"/>
        <v>10.20.8.188</v>
      </c>
      <c r="U3541" t="str">
        <f t="shared" si="1452"/>
        <v>AZRAD UMAR BIN SHAARI</v>
      </c>
      <c r="V3541" t="str">
        <f t="shared" si="1453"/>
        <v>FARHANA BINTI MUSTAPA</v>
      </c>
      <c r="W3541" t="str">
        <f t="shared" si="1454"/>
        <v>04-08-2020</v>
      </c>
      <c r="X3541" t="str">
        <f t="shared" si="1455"/>
        <v>RAZIMAH ANSAR AHMAD</v>
      </c>
      <c r="Y3541" t="str">
        <f t="shared" si="1456"/>
        <v>04-08-2020</v>
      </c>
      <c r="Z3541" t="str">
        <f>"COS10200804 5413"</f>
        <v>COS10200804 5413</v>
      </c>
    </row>
    <row r="3542" spans="1:26" x14ac:dyDescent="0.25">
      <c r="A3542" t="str">
        <f t="shared" si="1440"/>
        <v>04-08-2020 12:57:26</v>
      </c>
      <c r="B3542" t="str">
        <f>"0000807401"</f>
        <v>0000807401</v>
      </c>
      <c r="C3542" t="str">
        <f t="shared" si="1441"/>
        <v>0000807389</v>
      </c>
      <c r="D3542" t="str">
        <f t="shared" si="1442"/>
        <v>73185</v>
      </c>
      <c r="E3542" t="str">
        <f t="shared" si="1443"/>
        <v>KFH-OPERATIONS DEPARTMENT</v>
      </c>
      <c r="F3542" t="str">
        <f t="shared" si="1444"/>
        <v>IBG</v>
      </c>
      <c r="G3542" t="str">
        <f t="shared" si="1457"/>
        <v>Refund COSHARE 10</v>
      </c>
      <c r="H3542" s="2">
        <v>1025</v>
      </c>
      <c r="I3542" t="str">
        <f>"MOHAMAD RASHID BIN KELIWAN"</f>
        <v>MOHAMAD RASHID BIN KELIWAN</v>
      </c>
      <c r="J3542" t="str">
        <f t="shared" si="1458"/>
        <v>MAYBANK / MAYBANK ISLAMIC</v>
      </c>
      <c r="K3542" t="str">
        <f>"151034641792"</f>
        <v>151034641792</v>
      </c>
      <c r="L3542" t="str">
        <f t="shared" si="1445"/>
        <v>04-08-2020</v>
      </c>
      <c r="M3542" t="str">
        <f t="shared" si="1445"/>
        <v>04-08-2020</v>
      </c>
      <c r="N3542" t="str">
        <f t="shared" si="1446"/>
        <v>001105018356</v>
      </c>
      <c r="O3542" t="str">
        <f t="shared" si="1447"/>
        <v>MYR</v>
      </c>
      <c r="P3542" t="str">
        <f t="shared" si="1448"/>
        <v>NIL</v>
      </c>
      <c r="Q3542" t="str">
        <f t="shared" si="1448"/>
        <v>NIL</v>
      </c>
      <c r="R3542" t="str">
        <f t="shared" si="1449"/>
        <v>Accepted</v>
      </c>
      <c r="S3542" t="str">
        <f t="shared" si="1450"/>
        <v>Approved</v>
      </c>
      <c r="T3542" t="str">
        <f t="shared" si="1451"/>
        <v>10.20.8.188</v>
      </c>
      <c r="U3542" t="str">
        <f t="shared" si="1452"/>
        <v>AZRAD UMAR BIN SHAARI</v>
      </c>
      <c r="V3542" t="str">
        <f t="shared" si="1453"/>
        <v>FARHANA BINTI MUSTAPA</v>
      </c>
      <c r="W3542" t="str">
        <f t="shared" si="1454"/>
        <v>04-08-2020</v>
      </c>
      <c r="X3542" t="str">
        <f t="shared" si="1455"/>
        <v>RAZIMAH ANSAR AHMAD</v>
      </c>
      <c r="Y3542" t="str">
        <f t="shared" si="1456"/>
        <v>04-08-2020</v>
      </c>
      <c r="Z3542" t="str">
        <f>"COS10200804 5412"</f>
        <v>COS10200804 5412</v>
      </c>
    </row>
    <row r="3543" spans="1:26" x14ac:dyDescent="0.25">
      <c r="A3543" t="str">
        <f t="shared" si="1440"/>
        <v>04-08-2020 12:57:26</v>
      </c>
      <c r="B3543" t="str">
        <f>"0000807400"</f>
        <v>0000807400</v>
      </c>
      <c r="C3543" t="str">
        <f t="shared" si="1441"/>
        <v>0000807389</v>
      </c>
      <c r="D3543" t="str">
        <f t="shared" si="1442"/>
        <v>73185</v>
      </c>
      <c r="E3543" t="str">
        <f t="shared" si="1443"/>
        <v>KFH-OPERATIONS DEPARTMENT</v>
      </c>
      <c r="F3543" t="str">
        <f t="shared" si="1444"/>
        <v>IBG</v>
      </c>
      <c r="G3543" t="str">
        <f t="shared" si="1457"/>
        <v>Refund COSHARE 10</v>
      </c>
      <c r="H3543" s="2">
        <v>327</v>
      </c>
      <c r="I3543" t="str">
        <f>"MOHAMAD RAFIQUE BIN MOHAMAD KASIM"</f>
        <v>MOHAMAD RAFIQUE BIN MOHAMAD KASIM</v>
      </c>
      <c r="J3543" t="str">
        <f t="shared" si="1458"/>
        <v>MAYBANK / MAYBANK ISLAMIC</v>
      </c>
      <c r="K3543" t="str">
        <f>"158060473439"</f>
        <v>158060473439</v>
      </c>
      <c r="L3543" t="str">
        <f t="shared" si="1445"/>
        <v>04-08-2020</v>
      </c>
      <c r="M3543" t="str">
        <f t="shared" si="1445"/>
        <v>04-08-2020</v>
      </c>
      <c r="N3543" t="str">
        <f t="shared" si="1446"/>
        <v>001105018356</v>
      </c>
      <c r="O3543" t="str">
        <f t="shared" si="1447"/>
        <v>MYR</v>
      </c>
      <c r="P3543" t="str">
        <f t="shared" si="1448"/>
        <v>NIL</v>
      </c>
      <c r="Q3543" t="str">
        <f t="shared" si="1448"/>
        <v>NIL</v>
      </c>
      <c r="R3543" t="str">
        <f t="shared" si="1449"/>
        <v>Accepted</v>
      </c>
      <c r="S3543" t="str">
        <f t="shared" si="1450"/>
        <v>Approved</v>
      </c>
      <c r="T3543" t="str">
        <f t="shared" si="1451"/>
        <v>10.20.8.188</v>
      </c>
      <c r="U3543" t="str">
        <f t="shared" si="1452"/>
        <v>AZRAD UMAR BIN SHAARI</v>
      </c>
      <c r="V3543" t="str">
        <f t="shared" si="1453"/>
        <v>FARHANA BINTI MUSTAPA</v>
      </c>
      <c r="W3543" t="str">
        <f t="shared" si="1454"/>
        <v>04-08-2020</v>
      </c>
      <c r="X3543" t="str">
        <f t="shared" si="1455"/>
        <v>RAZIMAH ANSAR AHMAD</v>
      </c>
      <c r="Y3543" t="str">
        <f t="shared" si="1456"/>
        <v>04-08-2020</v>
      </c>
      <c r="Z3543" t="str">
        <f>"COS10200804 5411"</f>
        <v>COS10200804 5411</v>
      </c>
    </row>
    <row r="3544" spans="1:26" x14ac:dyDescent="0.25">
      <c r="A3544" t="str">
        <f t="shared" si="1440"/>
        <v>04-08-2020 12:57:26</v>
      </c>
      <c r="B3544" t="str">
        <f>"0000807399"</f>
        <v>0000807399</v>
      </c>
      <c r="C3544" t="str">
        <f t="shared" si="1441"/>
        <v>0000807389</v>
      </c>
      <c r="D3544" t="str">
        <f t="shared" si="1442"/>
        <v>73185</v>
      </c>
      <c r="E3544" t="str">
        <f t="shared" si="1443"/>
        <v>KFH-OPERATIONS DEPARTMENT</v>
      </c>
      <c r="F3544" t="str">
        <f t="shared" si="1444"/>
        <v>IBG</v>
      </c>
      <c r="G3544" t="str">
        <f t="shared" si="1457"/>
        <v>Refund COSHARE 10</v>
      </c>
      <c r="H3544" s="2">
        <v>159.5</v>
      </c>
      <c r="I3544" t="str">
        <f>"MOHAMAD RAFI BIN NAIMUMSA"</f>
        <v>MOHAMAD RAFI BIN NAIMUMSA</v>
      </c>
      <c r="J3544" t="str">
        <f t="shared" si="1458"/>
        <v>MAYBANK / MAYBANK ISLAMIC</v>
      </c>
      <c r="K3544" t="str">
        <f>"105037445776"</f>
        <v>105037445776</v>
      </c>
      <c r="L3544" t="str">
        <f t="shared" si="1445"/>
        <v>04-08-2020</v>
      </c>
      <c r="M3544" t="str">
        <f t="shared" si="1445"/>
        <v>04-08-2020</v>
      </c>
      <c r="N3544" t="str">
        <f t="shared" si="1446"/>
        <v>001105018356</v>
      </c>
      <c r="O3544" t="str">
        <f t="shared" si="1447"/>
        <v>MYR</v>
      </c>
      <c r="P3544" t="str">
        <f t="shared" si="1448"/>
        <v>NIL</v>
      </c>
      <c r="Q3544" t="str">
        <f t="shared" si="1448"/>
        <v>NIL</v>
      </c>
      <c r="R3544" t="str">
        <f t="shared" si="1449"/>
        <v>Accepted</v>
      </c>
      <c r="S3544" t="str">
        <f t="shared" si="1450"/>
        <v>Approved</v>
      </c>
      <c r="T3544" t="str">
        <f t="shared" si="1451"/>
        <v>10.20.8.188</v>
      </c>
      <c r="U3544" t="str">
        <f t="shared" si="1452"/>
        <v>AZRAD UMAR BIN SHAARI</v>
      </c>
      <c r="V3544" t="str">
        <f t="shared" si="1453"/>
        <v>FARHANA BINTI MUSTAPA</v>
      </c>
      <c r="W3544" t="str">
        <f t="shared" si="1454"/>
        <v>04-08-2020</v>
      </c>
      <c r="X3544" t="str">
        <f t="shared" si="1455"/>
        <v>RAZIMAH ANSAR AHMAD</v>
      </c>
      <c r="Y3544" t="str">
        <f t="shared" si="1456"/>
        <v>04-08-2020</v>
      </c>
      <c r="Z3544" t="str">
        <f>"COS10200804 5410"</f>
        <v>COS10200804 5410</v>
      </c>
    </row>
    <row r="3545" spans="1:26" x14ac:dyDescent="0.25">
      <c r="A3545" t="str">
        <f t="shared" si="1440"/>
        <v>04-08-2020 12:57:26</v>
      </c>
      <c r="B3545" t="str">
        <f>"0000807398"</f>
        <v>0000807398</v>
      </c>
      <c r="C3545" t="str">
        <f t="shared" si="1441"/>
        <v>0000807389</v>
      </c>
      <c r="D3545" t="str">
        <f t="shared" si="1442"/>
        <v>73185</v>
      </c>
      <c r="E3545" t="str">
        <f t="shared" si="1443"/>
        <v>KFH-OPERATIONS DEPARTMENT</v>
      </c>
      <c r="F3545" t="str">
        <f t="shared" si="1444"/>
        <v>IBG</v>
      </c>
      <c r="G3545" t="str">
        <f t="shared" si="1457"/>
        <v>Refund COSHARE 10</v>
      </c>
      <c r="H3545" s="2">
        <v>125.95</v>
      </c>
      <c r="I3545" t="str">
        <f>"MOHAMAD RAFFIS BIN RAHIM"</f>
        <v>MOHAMAD RAFFIS BIN RAHIM</v>
      </c>
      <c r="J3545" t="str">
        <f t="shared" si="1458"/>
        <v>MAYBANK / MAYBANK ISLAMIC</v>
      </c>
      <c r="K3545" t="str">
        <f>"161257046240"</f>
        <v>161257046240</v>
      </c>
      <c r="L3545" t="str">
        <f t="shared" si="1445"/>
        <v>04-08-2020</v>
      </c>
      <c r="M3545" t="str">
        <f t="shared" si="1445"/>
        <v>04-08-2020</v>
      </c>
      <c r="N3545" t="str">
        <f t="shared" si="1446"/>
        <v>001105018356</v>
      </c>
      <c r="O3545" t="str">
        <f t="shared" si="1447"/>
        <v>MYR</v>
      </c>
      <c r="P3545" t="str">
        <f t="shared" si="1448"/>
        <v>NIL</v>
      </c>
      <c r="Q3545" t="str">
        <f t="shared" si="1448"/>
        <v>NIL</v>
      </c>
      <c r="R3545" t="str">
        <f t="shared" si="1449"/>
        <v>Accepted</v>
      </c>
      <c r="S3545" t="str">
        <f t="shared" si="1450"/>
        <v>Approved</v>
      </c>
      <c r="T3545" t="str">
        <f t="shared" si="1451"/>
        <v>10.20.8.188</v>
      </c>
      <c r="U3545" t="str">
        <f t="shared" si="1452"/>
        <v>AZRAD UMAR BIN SHAARI</v>
      </c>
      <c r="V3545" t="str">
        <f t="shared" si="1453"/>
        <v>FARHANA BINTI MUSTAPA</v>
      </c>
      <c r="W3545" t="str">
        <f t="shared" si="1454"/>
        <v>04-08-2020</v>
      </c>
      <c r="X3545" t="str">
        <f t="shared" si="1455"/>
        <v>RAZIMAH ANSAR AHMAD</v>
      </c>
      <c r="Y3545" t="str">
        <f t="shared" si="1456"/>
        <v>04-08-2020</v>
      </c>
      <c r="Z3545" t="str">
        <f>"COS10200804 5409"</f>
        <v>COS10200804 5409</v>
      </c>
    </row>
    <row r="3546" spans="1:26" x14ac:dyDescent="0.25">
      <c r="A3546" t="str">
        <f t="shared" ref="A3546:A3553" si="1459">"04-08-2020 12:57:26"</f>
        <v>04-08-2020 12:57:26</v>
      </c>
      <c r="B3546" t="str">
        <f>"0000807397"</f>
        <v>0000807397</v>
      </c>
      <c r="C3546" t="str">
        <f t="shared" ref="C3546:C3553" si="1460">"0000807389"</f>
        <v>0000807389</v>
      </c>
      <c r="D3546" t="str">
        <f t="shared" si="1442"/>
        <v>73185</v>
      </c>
      <c r="E3546" t="str">
        <f t="shared" si="1443"/>
        <v>KFH-OPERATIONS DEPARTMENT</v>
      </c>
      <c r="F3546" t="str">
        <f t="shared" si="1444"/>
        <v>IBG</v>
      </c>
      <c r="G3546" t="str">
        <f t="shared" si="1457"/>
        <v>Refund COSHARE 10</v>
      </c>
      <c r="H3546" s="2">
        <v>137.25</v>
      </c>
      <c r="I3546" t="str">
        <f>"MOHAMAD PAISAL BIN AMRI"</f>
        <v>MOHAMAD PAISAL BIN AMRI</v>
      </c>
      <c r="J3546" t="str">
        <f t="shared" si="1458"/>
        <v>MAYBANK / MAYBANK ISLAMIC</v>
      </c>
      <c r="K3546" t="str">
        <f>"157018610338"</f>
        <v>157018610338</v>
      </c>
      <c r="L3546" t="str">
        <f t="shared" si="1445"/>
        <v>04-08-2020</v>
      </c>
      <c r="M3546" t="str">
        <f t="shared" si="1445"/>
        <v>04-08-2020</v>
      </c>
      <c r="N3546" t="str">
        <f t="shared" si="1446"/>
        <v>001105018356</v>
      </c>
      <c r="O3546" t="str">
        <f t="shared" si="1447"/>
        <v>MYR</v>
      </c>
      <c r="P3546" t="str">
        <f t="shared" si="1448"/>
        <v>NIL</v>
      </c>
      <c r="Q3546" t="str">
        <f t="shared" si="1448"/>
        <v>NIL</v>
      </c>
      <c r="R3546" t="str">
        <f t="shared" si="1449"/>
        <v>Accepted</v>
      </c>
      <c r="S3546" t="str">
        <f t="shared" si="1450"/>
        <v>Approved</v>
      </c>
      <c r="T3546" t="str">
        <f t="shared" si="1451"/>
        <v>10.20.8.188</v>
      </c>
      <c r="U3546" t="str">
        <f t="shared" si="1452"/>
        <v>AZRAD UMAR BIN SHAARI</v>
      </c>
      <c r="V3546" t="str">
        <f t="shared" si="1453"/>
        <v>FARHANA BINTI MUSTAPA</v>
      </c>
      <c r="W3546" t="str">
        <f t="shared" si="1454"/>
        <v>04-08-2020</v>
      </c>
      <c r="X3546" t="str">
        <f t="shared" si="1455"/>
        <v>RAZIMAH ANSAR AHMAD</v>
      </c>
      <c r="Y3546" t="str">
        <f t="shared" si="1456"/>
        <v>04-08-2020</v>
      </c>
      <c r="Z3546" t="str">
        <f>"COS10200804 5408"</f>
        <v>COS10200804 5408</v>
      </c>
    </row>
    <row r="3547" spans="1:26" x14ac:dyDescent="0.25">
      <c r="A3547" t="str">
        <f t="shared" si="1459"/>
        <v>04-08-2020 12:57:26</v>
      </c>
      <c r="B3547" t="str">
        <f>"0000807396"</f>
        <v>0000807396</v>
      </c>
      <c r="C3547" t="str">
        <f t="shared" si="1460"/>
        <v>0000807389</v>
      </c>
      <c r="D3547" t="str">
        <f t="shared" si="1442"/>
        <v>73185</v>
      </c>
      <c r="E3547" t="str">
        <f t="shared" si="1443"/>
        <v>KFH-OPERATIONS DEPARTMENT</v>
      </c>
      <c r="F3547" t="str">
        <f t="shared" si="1444"/>
        <v>IBG</v>
      </c>
      <c r="G3547" t="str">
        <f t="shared" si="1457"/>
        <v>Refund COSHARE 10</v>
      </c>
      <c r="H3547" s="2">
        <v>293.85000000000002</v>
      </c>
      <c r="I3547" t="str">
        <f>"MOHAMAD PAISAL BIN AMRI"</f>
        <v>MOHAMAD PAISAL BIN AMRI</v>
      </c>
      <c r="J3547" t="str">
        <f t="shared" si="1458"/>
        <v>MAYBANK / MAYBANK ISLAMIC</v>
      </c>
      <c r="K3547" t="str">
        <f>"157018610338"</f>
        <v>157018610338</v>
      </c>
      <c r="L3547" t="str">
        <f t="shared" ref="L3547:M3566" si="1461">"04-08-2020"</f>
        <v>04-08-2020</v>
      </c>
      <c r="M3547" t="str">
        <f t="shared" si="1461"/>
        <v>04-08-2020</v>
      </c>
      <c r="N3547" t="str">
        <f t="shared" si="1446"/>
        <v>001105018356</v>
      </c>
      <c r="O3547" t="str">
        <f t="shared" si="1447"/>
        <v>MYR</v>
      </c>
      <c r="P3547" t="str">
        <f t="shared" ref="P3547:Q3566" si="1462">"NIL"</f>
        <v>NIL</v>
      </c>
      <c r="Q3547" t="str">
        <f t="shared" si="1462"/>
        <v>NIL</v>
      </c>
      <c r="R3547" t="str">
        <f t="shared" si="1449"/>
        <v>Accepted</v>
      </c>
      <c r="S3547" t="str">
        <f t="shared" si="1450"/>
        <v>Approved</v>
      </c>
      <c r="T3547" t="str">
        <f t="shared" si="1451"/>
        <v>10.20.8.188</v>
      </c>
      <c r="U3547" t="str">
        <f t="shared" si="1452"/>
        <v>AZRAD UMAR BIN SHAARI</v>
      </c>
      <c r="V3547" t="str">
        <f t="shared" si="1453"/>
        <v>FARHANA BINTI MUSTAPA</v>
      </c>
      <c r="W3547" t="str">
        <f t="shared" si="1454"/>
        <v>04-08-2020</v>
      </c>
      <c r="X3547" t="str">
        <f t="shared" si="1455"/>
        <v>RAZIMAH ANSAR AHMAD</v>
      </c>
      <c r="Y3547" t="str">
        <f t="shared" si="1456"/>
        <v>04-08-2020</v>
      </c>
      <c r="Z3547" t="str">
        <f>"COS10200804 5407"</f>
        <v>COS10200804 5407</v>
      </c>
    </row>
    <row r="3548" spans="1:26" x14ac:dyDescent="0.25">
      <c r="A3548" t="str">
        <f t="shared" si="1459"/>
        <v>04-08-2020 12:57:26</v>
      </c>
      <c r="B3548" t="str">
        <f>"0000807395"</f>
        <v>0000807395</v>
      </c>
      <c r="C3548" t="str">
        <f t="shared" si="1460"/>
        <v>0000807389</v>
      </c>
      <c r="D3548" t="str">
        <f t="shared" si="1442"/>
        <v>73185</v>
      </c>
      <c r="E3548" t="str">
        <f t="shared" si="1443"/>
        <v>KFH-OPERATIONS DEPARTMENT</v>
      </c>
      <c r="F3548" t="str">
        <f t="shared" si="1444"/>
        <v>IBG</v>
      </c>
      <c r="G3548" t="str">
        <f t="shared" si="1457"/>
        <v>Refund COSHARE 10</v>
      </c>
      <c r="H3548" s="2">
        <v>839.5</v>
      </c>
      <c r="I3548" t="str">
        <f>"MOHAMAD NURZAINI BIN KASI"</f>
        <v>MOHAMAD NURZAINI BIN KASI</v>
      </c>
      <c r="J3548" t="str">
        <f t="shared" si="1458"/>
        <v>MAYBANK / MAYBANK ISLAMIC</v>
      </c>
      <c r="K3548" t="str">
        <f>"151034595639"</f>
        <v>151034595639</v>
      </c>
      <c r="L3548" t="str">
        <f t="shared" si="1461"/>
        <v>04-08-2020</v>
      </c>
      <c r="M3548" t="str">
        <f t="shared" si="1461"/>
        <v>04-08-2020</v>
      </c>
      <c r="N3548" t="str">
        <f t="shared" si="1446"/>
        <v>001105018356</v>
      </c>
      <c r="O3548" t="str">
        <f t="shared" si="1447"/>
        <v>MYR</v>
      </c>
      <c r="P3548" t="str">
        <f t="shared" si="1462"/>
        <v>NIL</v>
      </c>
      <c r="Q3548" t="str">
        <f t="shared" si="1462"/>
        <v>NIL</v>
      </c>
      <c r="R3548" t="str">
        <f t="shared" si="1449"/>
        <v>Accepted</v>
      </c>
      <c r="S3548" t="str">
        <f t="shared" si="1450"/>
        <v>Approved</v>
      </c>
      <c r="T3548" t="str">
        <f t="shared" si="1451"/>
        <v>10.20.8.188</v>
      </c>
      <c r="U3548" t="str">
        <f t="shared" si="1452"/>
        <v>AZRAD UMAR BIN SHAARI</v>
      </c>
      <c r="V3548" t="str">
        <f t="shared" si="1453"/>
        <v>FARHANA BINTI MUSTAPA</v>
      </c>
      <c r="W3548" t="str">
        <f t="shared" si="1454"/>
        <v>04-08-2020</v>
      </c>
      <c r="X3548" t="str">
        <f t="shared" si="1455"/>
        <v>RAZIMAH ANSAR AHMAD</v>
      </c>
      <c r="Y3548" t="str">
        <f t="shared" si="1456"/>
        <v>04-08-2020</v>
      </c>
      <c r="Z3548" t="str">
        <f>"COS10200804 5406"</f>
        <v>COS10200804 5406</v>
      </c>
    </row>
    <row r="3549" spans="1:26" x14ac:dyDescent="0.25">
      <c r="A3549" t="str">
        <f t="shared" si="1459"/>
        <v>04-08-2020 12:57:26</v>
      </c>
      <c r="B3549" t="str">
        <f>"0000807394"</f>
        <v>0000807394</v>
      </c>
      <c r="C3549" t="str">
        <f t="shared" si="1460"/>
        <v>0000807389</v>
      </c>
      <c r="D3549" t="str">
        <f t="shared" si="1442"/>
        <v>73185</v>
      </c>
      <c r="E3549" t="str">
        <f t="shared" si="1443"/>
        <v>KFH-OPERATIONS DEPARTMENT</v>
      </c>
      <c r="F3549" t="str">
        <f t="shared" si="1444"/>
        <v>IBG</v>
      </c>
      <c r="G3549" t="str">
        <f t="shared" si="1457"/>
        <v>Refund COSHARE 10</v>
      </c>
      <c r="H3549" s="2">
        <v>587.65</v>
      </c>
      <c r="I3549" t="str">
        <f>"MOHAMAD NOZI BIN MOHAMAD ZAKARIA"</f>
        <v>MOHAMAD NOZI BIN MOHAMAD ZAKARIA</v>
      </c>
      <c r="J3549" t="str">
        <f t="shared" si="1458"/>
        <v>MAYBANK / MAYBANK ISLAMIC</v>
      </c>
      <c r="K3549" t="str">
        <f>"101413266540"</f>
        <v>101413266540</v>
      </c>
      <c r="L3549" t="str">
        <f t="shared" si="1461"/>
        <v>04-08-2020</v>
      </c>
      <c r="M3549" t="str">
        <f t="shared" si="1461"/>
        <v>04-08-2020</v>
      </c>
      <c r="N3549" t="str">
        <f t="shared" si="1446"/>
        <v>001105018356</v>
      </c>
      <c r="O3549" t="str">
        <f t="shared" si="1447"/>
        <v>MYR</v>
      </c>
      <c r="P3549" t="str">
        <f t="shared" si="1462"/>
        <v>NIL</v>
      </c>
      <c r="Q3549" t="str">
        <f t="shared" si="1462"/>
        <v>NIL</v>
      </c>
      <c r="R3549" t="str">
        <f t="shared" si="1449"/>
        <v>Accepted</v>
      </c>
      <c r="S3549" t="str">
        <f t="shared" si="1450"/>
        <v>Approved</v>
      </c>
      <c r="T3549" t="str">
        <f t="shared" si="1451"/>
        <v>10.20.8.188</v>
      </c>
      <c r="U3549" t="str">
        <f t="shared" si="1452"/>
        <v>AZRAD UMAR BIN SHAARI</v>
      </c>
      <c r="V3549" t="str">
        <f t="shared" si="1453"/>
        <v>FARHANA BINTI MUSTAPA</v>
      </c>
      <c r="W3549" t="str">
        <f t="shared" si="1454"/>
        <v>04-08-2020</v>
      </c>
      <c r="X3549" t="str">
        <f t="shared" si="1455"/>
        <v>RAZIMAH ANSAR AHMAD</v>
      </c>
      <c r="Y3549" t="str">
        <f t="shared" si="1456"/>
        <v>04-08-2020</v>
      </c>
      <c r="Z3549" t="str">
        <f>"COS10200804 5405"</f>
        <v>COS10200804 5405</v>
      </c>
    </row>
    <row r="3550" spans="1:26" x14ac:dyDescent="0.25">
      <c r="A3550" t="str">
        <f t="shared" si="1459"/>
        <v>04-08-2020 12:57:26</v>
      </c>
      <c r="B3550" t="str">
        <f>"0000807393"</f>
        <v>0000807393</v>
      </c>
      <c r="C3550" t="str">
        <f t="shared" si="1460"/>
        <v>0000807389</v>
      </c>
      <c r="D3550" t="str">
        <f t="shared" si="1442"/>
        <v>73185</v>
      </c>
      <c r="E3550" t="str">
        <f t="shared" si="1443"/>
        <v>KFH-OPERATIONS DEPARTMENT</v>
      </c>
      <c r="F3550" t="str">
        <f t="shared" si="1444"/>
        <v>IBG</v>
      </c>
      <c r="G3550" t="str">
        <f t="shared" si="1457"/>
        <v>Refund COSHARE 10</v>
      </c>
      <c r="H3550" s="2">
        <v>38</v>
      </c>
      <c r="I3550" t="str">
        <f>"MOHAMAD NORDIN BIN MOHAMED NAWI"</f>
        <v>MOHAMAD NORDIN BIN MOHAMED NAWI</v>
      </c>
      <c r="J3550" t="str">
        <f t="shared" si="1458"/>
        <v>MAYBANK / MAYBANK ISLAMIC</v>
      </c>
      <c r="K3550" t="str">
        <f>"166010125315"</f>
        <v>166010125315</v>
      </c>
      <c r="L3550" t="str">
        <f t="shared" si="1461"/>
        <v>04-08-2020</v>
      </c>
      <c r="M3550" t="str">
        <f t="shared" si="1461"/>
        <v>04-08-2020</v>
      </c>
      <c r="N3550" t="str">
        <f t="shared" si="1446"/>
        <v>001105018356</v>
      </c>
      <c r="O3550" t="str">
        <f t="shared" si="1447"/>
        <v>MYR</v>
      </c>
      <c r="P3550" t="str">
        <f t="shared" si="1462"/>
        <v>NIL</v>
      </c>
      <c r="Q3550" t="str">
        <f t="shared" si="1462"/>
        <v>NIL</v>
      </c>
      <c r="R3550" t="str">
        <f t="shared" si="1449"/>
        <v>Accepted</v>
      </c>
      <c r="S3550" t="str">
        <f t="shared" si="1450"/>
        <v>Approved</v>
      </c>
      <c r="T3550" t="str">
        <f t="shared" si="1451"/>
        <v>10.20.8.188</v>
      </c>
      <c r="U3550" t="str">
        <f t="shared" si="1452"/>
        <v>AZRAD UMAR BIN SHAARI</v>
      </c>
      <c r="V3550" t="str">
        <f t="shared" si="1453"/>
        <v>FARHANA BINTI MUSTAPA</v>
      </c>
      <c r="W3550" t="str">
        <f t="shared" si="1454"/>
        <v>04-08-2020</v>
      </c>
      <c r="X3550" t="str">
        <f t="shared" si="1455"/>
        <v>RAZIMAH ANSAR AHMAD</v>
      </c>
      <c r="Y3550" t="str">
        <f t="shared" si="1456"/>
        <v>04-08-2020</v>
      </c>
      <c r="Z3550" t="str">
        <f>"COS10200804 5404"</f>
        <v>COS10200804 5404</v>
      </c>
    </row>
    <row r="3551" spans="1:26" x14ac:dyDescent="0.25">
      <c r="A3551" t="str">
        <f t="shared" si="1459"/>
        <v>04-08-2020 12:57:26</v>
      </c>
      <c r="B3551" t="str">
        <f>"0000807392"</f>
        <v>0000807392</v>
      </c>
      <c r="C3551" t="str">
        <f t="shared" si="1460"/>
        <v>0000807389</v>
      </c>
      <c r="D3551" t="str">
        <f t="shared" si="1442"/>
        <v>73185</v>
      </c>
      <c r="E3551" t="str">
        <f t="shared" si="1443"/>
        <v>KFH-OPERATIONS DEPARTMENT</v>
      </c>
      <c r="F3551" t="str">
        <f t="shared" si="1444"/>
        <v>IBG</v>
      </c>
      <c r="G3551" t="str">
        <f t="shared" si="1457"/>
        <v>Refund COSHARE 10</v>
      </c>
      <c r="H3551" s="2">
        <v>1574</v>
      </c>
      <c r="I3551" t="str">
        <f>"MOHAMAD NOR BIN MD DAUD"</f>
        <v>MOHAMAD NOR BIN MD DAUD</v>
      </c>
      <c r="J3551" t="str">
        <f t="shared" si="1458"/>
        <v>MAYBANK / MAYBANK ISLAMIC</v>
      </c>
      <c r="K3551" t="str">
        <f>"102045175432"</f>
        <v>102045175432</v>
      </c>
      <c r="L3551" t="str">
        <f t="shared" si="1461"/>
        <v>04-08-2020</v>
      </c>
      <c r="M3551" t="str">
        <f t="shared" si="1461"/>
        <v>04-08-2020</v>
      </c>
      <c r="N3551" t="str">
        <f t="shared" si="1446"/>
        <v>001105018356</v>
      </c>
      <c r="O3551" t="str">
        <f t="shared" si="1447"/>
        <v>MYR</v>
      </c>
      <c r="P3551" t="str">
        <f t="shared" si="1462"/>
        <v>NIL</v>
      </c>
      <c r="Q3551" t="str">
        <f t="shared" si="1462"/>
        <v>NIL</v>
      </c>
      <c r="R3551" t="str">
        <f t="shared" si="1449"/>
        <v>Accepted</v>
      </c>
      <c r="S3551" t="str">
        <f t="shared" si="1450"/>
        <v>Approved</v>
      </c>
      <c r="T3551" t="str">
        <f t="shared" si="1451"/>
        <v>10.20.8.188</v>
      </c>
      <c r="U3551" t="str">
        <f t="shared" si="1452"/>
        <v>AZRAD UMAR BIN SHAARI</v>
      </c>
      <c r="V3551" t="str">
        <f t="shared" si="1453"/>
        <v>FARHANA BINTI MUSTAPA</v>
      </c>
      <c r="W3551" t="str">
        <f t="shared" si="1454"/>
        <v>04-08-2020</v>
      </c>
      <c r="X3551" t="str">
        <f t="shared" si="1455"/>
        <v>RAZIMAH ANSAR AHMAD</v>
      </c>
      <c r="Y3551" t="str">
        <f t="shared" si="1456"/>
        <v>04-08-2020</v>
      </c>
      <c r="Z3551" t="str">
        <f>"COS10200804 5403"</f>
        <v>COS10200804 5403</v>
      </c>
    </row>
    <row r="3552" spans="1:26" x14ac:dyDescent="0.25">
      <c r="A3552" t="str">
        <f t="shared" si="1459"/>
        <v>04-08-2020 12:57:26</v>
      </c>
      <c r="B3552" t="str">
        <f>"0000807391"</f>
        <v>0000807391</v>
      </c>
      <c r="C3552" t="str">
        <f t="shared" si="1460"/>
        <v>0000807389</v>
      </c>
      <c r="D3552" t="str">
        <f t="shared" si="1442"/>
        <v>73185</v>
      </c>
      <c r="E3552" t="str">
        <f t="shared" si="1443"/>
        <v>KFH-OPERATIONS DEPARTMENT</v>
      </c>
      <c r="F3552" t="str">
        <f t="shared" si="1444"/>
        <v>IBG</v>
      </c>
      <c r="G3552" t="str">
        <f t="shared" si="1457"/>
        <v>Refund COSHARE 10</v>
      </c>
      <c r="H3552" s="2">
        <v>887.55</v>
      </c>
      <c r="I3552" t="str">
        <f>"MOHAMAD NOOR FAHMI BIN OSMAN"</f>
        <v>MOHAMAD NOOR FAHMI BIN OSMAN</v>
      </c>
      <c r="J3552" t="str">
        <f t="shared" si="1458"/>
        <v>MAYBANK / MAYBANK ISLAMIC</v>
      </c>
      <c r="K3552" t="str">
        <f>"158079000556"</f>
        <v>158079000556</v>
      </c>
      <c r="L3552" t="str">
        <f t="shared" si="1461"/>
        <v>04-08-2020</v>
      </c>
      <c r="M3552" t="str">
        <f t="shared" si="1461"/>
        <v>04-08-2020</v>
      </c>
      <c r="N3552" t="str">
        <f t="shared" si="1446"/>
        <v>001105018356</v>
      </c>
      <c r="O3552" t="str">
        <f t="shared" si="1447"/>
        <v>MYR</v>
      </c>
      <c r="P3552" t="str">
        <f t="shared" si="1462"/>
        <v>NIL</v>
      </c>
      <c r="Q3552" t="str">
        <f t="shared" si="1462"/>
        <v>NIL</v>
      </c>
      <c r="R3552" t="str">
        <f t="shared" si="1449"/>
        <v>Accepted</v>
      </c>
      <c r="S3552" t="str">
        <f t="shared" si="1450"/>
        <v>Approved</v>
      </c>
      <c r="T3552" t="str">
        <f t="shared" si="1451"/>
        <v>10.20.8.188</v>
      </c>
      <c r="U3552" t="str">
        <f t="shared" si="1452"/>
        <v>AZRAD UMAR BIN SHAARI</v>
      </c>
      <c r="V3552" t="str">
        <f t="shared" si="1453"/>
        <v>FARHANA BINTI MUSTAPA</v>
      </c>
      <c r="W3552" t="str">
        <f t="shared" si="1454"/>
        <v>04-08-2020</v>
      </c>
      <c r="X3552" t="str">
        <f t="shared" si="1455"/>
        <v>RAZIMAH ANSAR AHMAD</v>
      </c>
      <c r="Y3552" t="str">
        <f t="shared" si="1456"/>
        <v>04-08-2020</v>
      </c>
      <c r="Z3552" t="str">
        <f>"COS10200804 5402"</f>
        <v>COS10200804 5402</v>
      </c>
    </row>
    <row r="3553" spans="1:26" x14ac:dyDescent="0.25">
      <c r="A3553" t="str">
        <f t="shared" si="1459"/>
        <v>04-08-2020 12:57:26</v>
      </c>
      <c r="B3553" t="str">
        <f>"0000807390"</f>
        <v>0000807390</v>
      </c>
      <c r="C3553" t="str">
        <f t="shared" si="1460"/>
        <v>0000807389</v>
      </c>
      <c r="D3553" t="str">
        <f t="shared" si="1442"/>
        <v>73185</v>
      </c>
      <c r="E3553" t="str">
        <f t="shared" si="1443"/>
        <v>KFH-OPERATIONS DEPARTMENT</v>
      </c>
      <c r="F3553" t="str">
        <f t="shared" si="1444"/>
        <v>IBG</v>
      </c>
      <c r="G3553" t="str">
        <f t="shared" si="1457"/>
        <v>Refund COSHARE 10</v>
      </c>
      <c r="H3553" s="2">
        <v>293.85000000000002</v>
      </c>
      <c r="I3553" t="str">
        <f>"MOHAMAD NIZAM BIN KAMAROL ZAMAN"</f>
        <v>MOHAMAD NIZAM BIN KAMAROL ZAMAN</v>
      </c>
      <c r="J3553" t="str">
        <f t="shared" si="1458"/>
        <v>MAYBANK / MAYBANK ISLAMIC</v>
      </c>
      <c r="K3553" t="str">
        <f>"162049825978"</f>
        <v>162049825978</v>
      </c>
      <c r="L3553" t="str">
        <f t="shared" si="1461"/>
        <v>04-08-2020</v>
      </c>
      <c r="M3553" t="str">
        <f t="shared" si="1461"/>
        <v>04-08-2020</v>
      </c>
      <c r="N3553" t="str">
        <f t="shared" si="1446"/>
        <v>001105018356</v>
      </c>
      <c r="O3553" t="str">
        <f t="shared" si="1447"/>
        <v>MYR</v>
      </c>
      <c r="P3553" t="str">
        <f t="shared" si="1462"/>
        <v>NIL</v>
      </c>
      <c r="Q3553" t="str">
        <f t="shared" si="1462"/>
        <v>NIL</v>
      </c>
      <c r="R3553" t="str">
        <f t="shared" si="1449"/>
        <v>Accepted</v>
      </c>
      <c r="S3553" t="str">
        <f t="shared" si="1450"/>
        <v>Approved</v>
      </c>
      <c r="T3553" t="str">
        <f t="shared" si="1451"/>
        <v>10.20.8.188</v>
      </c>
      <c r="U3553" t="str">
        <f t="shared" si="1452"/>
        <v>AZRAD UMAR BIN SHAARI</v>
      </c>
      <c r="V3553" t="str">
        <f t="shared" si="1453"/>
        <v>FARHANA BINTI MUSTAPA</v>
      </c>
      <c r="W3553" t="str">
        <f t="shared" si="1454"/>
        <v>04-08-2020</v>
      </c>
      <c r="X3553" t="str">
        <f t="shared" si="1455"/>
        <v>RAZIMAH ANSAR AHMAD</v>
      </c>
      <c r="Y3553" t="str">
        <f t="shared" si="1456"/>
        <v>04-08-2020</v>
      </c>
      <c r="Z3553" t="str">
        <f>"COS10200804 5401"</f>
        <v>COS10200804 5401</v>
      </c>
    </row>
    <row r="3554" spans="1:26" x14ac:dyDescent="0.25">
      <c r="A3554" t="str">
        <f t="shared" ref="A3554:A3585" si="1463">"04-08-2020 12:56:45"</f>
        <v>04-08-2020 12:56:45</v>
      </c>
      <c r="B3554" t="str">
        <f>"0000807388"</f>
        <v>0000807388</v>
      </c>
      <c r="C3554" t="str">
        <f t="shared" ref="C3554:C3585" si="1464">"0000807188"</f>
        <v>0000807188</v>
      </c>
      <c r="D3554" t="str">
        <f t="shared" si="1442"/>
        <v>73185</v>
      </c>
      <c r="E3554" t="str">
        <f t="shared" si="1443"/>
        <v>KFH-OPERATIONS DEPARTMENT</v>
      </c>
      <c r="F3554" t="str">
        <f t="shared" si="1444"/>
        <v>IBG</v>
      </c>
      <c r="G3554" t="str">
        <f t="shared" si="1457"/>
        <v>Refund COSHARE 10</v>
      </c>
      <c r="H3554" s="2">
        <v>386.2</v>
      </c>
      <c r="I3554" t="str">
        <f>"MOHAMAD NIZA FAKARUDIN BIN ABDUL WAHAB"</f>
        <v>MOHAMAD NIZA FAKARUDIN BIN ABDUL WAHAB</v>
      </c>
      <c r="J3554" t="str">
        <f t="shared" si="1458"/>
        <v>MAYBANK / MAYBANK ISLAMIC</v>
      </c>
      <c r="K3554" t="str">
        <f>"111114251966"</f>
        <v>111114251966</v>
      </c>
      <c r="L3554" t="str">
        <f t="shared" si="1461"/>
        <v>04-08-2020</v>
      </c>
      <c r="M3554" t="str">
        <f t="shared" si="1461"/>
        <v>04-08-2020</v>
      </c>
      <c r="N3554" t="str">
        <f t="shared" si="1446"/>
        <v>001105018356</v>
      </c>
      <c r="O3554" t="str">
        <f t="shared" si="1447"/>
        <v>MYR</v>
      </c>
      <c r="P3554" t="str">
        <f t="shared" si="1462"/>
        <v>NIL</v>
      </c>
      <c r="Q3554" t="str">
        <f t="shared" si="1462"/>
        <v>NIL</v>
      </c>
      <c r="R3554" t="str">
        <f t="shared" si="1449"/>
        <v>Accepted</v>
      </c>
      <c r="S3554" t="str">
        <f t="shared" si="1450"/>
        <v>Approved</v>
      </c>
      <c r="T3554" t="str">
        <f t="shared" si="1451"/>
        <v>10.20.8.188</v>
      </c>
      <c r="U3554" t="str">
        <f t="shared" si="1452"/>
        <v>AZRAD UMAR BIN SHAARI</v>
      </c>
      <c r="V3554" t="str">
        <f t="shared" si="1453"/>
        <v>FARHANA BINTI MUSTAPA</v>
      </c>
      <c r="W3554" t="str">
        <f t="shared" si="1454"/>
        <v>04-08-2020</v>
      </c>
      <c r="X3554" t="str">
        <f t="shared" si="1455"/>
        <v>RAZIMAH ANSAR AHMAD</v>
      </c>
      <c r="Y3554" t="str">
        <f t="shared" si="1456"/>
        <v>04-08-2020</v>
      </c>
      <c r="Z3554" t="str">
        <f>"COS10200804 5400"</f>
        <v>COS10200804 5400</v>
      </c>
    </row>
    <row r="3555" spans="1:26" x14ac:dyDescent="0.25">
      <c r="A3555" t="str">
        <f t="shared" si="1463"/>
        <v>04-08-2020 12:56:45</v>
      </c>
      <c r="B3555" t="str">
        <f>"0000807387"</f>
        <v>0000807387</v>
      </c>
      <c r="C3555" t="str">
        <f t="shared" si="1464"/>
        <v>0000807188</v>
      </c>
      <c r="D3555" t="str">
        <f t="shared" si="1442"/>
        <v>73185</v>
      </c>
      <c r="E3555" t="str">
        <f t="shared" si="1443"/>
        <v>KFH-OPERATIONS DEPARTMENT</v>
      </c>
      <c r="F3555" t="str">
        <f t="shared" si="1444"/>
        <v>IBG</v>
      </c>
      <c r="G3555" t="str">
        <f t="shared" si="1457"/>
        <v>Refund COSHARE 10</v>
      </c>
      <c r="H3555" s="2">
        <v>83.95</v>
      </c>
      <c r="I3555" t="str">
        <f>"MOHAMAD NAZRI BIN MORAD  ABDULLAH"</f>
        <v>MOHAMAD NAZRI BIN MORAD  ABDULLAH</v>
      </c>
      <c r="J3555" t="str">
        <f t="shared" si="1458"/>
        <v>MAYBANK / MAYBANK ISLAMIC</v>
      </c>
      <c r="K3555" t="str">
        <f>"156020316507"</f>
        <v>156020316507</v>
      </c>
      <c r="L3555" t="str">
        <f t="shared" si="1461"/>
        <v>04-08-2020</v>
      </c>
      <c r="M3555" t="str">
        <f t="shared" si="1461"/>
        <v>04-08-2020</v>
      </c>
      <c r="N3555" t="str">
        <f t="shared" si="1446"/>
        <v>001105018356</v>
      </c>
      <c r="O3555" t="str">
        <f t="shared" si="1447"/>
        <v>MYR</v>
      </c>
      <c r="P3555" t="str">
        <f t="shared" si="1462"/>
        <v>NIL</v>
      </c>
      <c r="Q3555" t="str">
        <f t="shared" si="1462"/>
        <v>NIL</v>
      </c>
      <c r="R3555" t="str">
        <f t="shared" si="1449"/>
        <v>Accepted</v>
      </c>
      <c r="S3555" t="str">
        <f t="shared" si="1450"/>
        <v>Approved</v>
      </c>
      <c r="T3555" t="str">
        <f t="shared" si="1451"/>
        <v>10.20.8.188</v>
      </c>
      <c r="U3555" t="str">
        <f t="shared" si="1452"/>
        <v>AZRAD UMAR BIN SHAARI</v>
      </c>
      <c r="V3555" t="str">
        <f t="shared" si="1453"/>
        <v>FARHANA BINTI MUSTAPA</v>
      </c>
      <c r="W3555" t="str">
        <f t="shared" si="1454"/>
        <v>04-08-2020</v>
      </c>
      <c r="X3555" t="str">
        <f t="shared" si="1455"/>
        <v>RAZIMAH ANSAR AHMAD</v>
      </c>
      <c r="Y3555" t="str">
        <f t="shared" si="1456"/>
        <v>04-08-2020</v>
      </c>
      <c r="Z3555" t="str">
        <f>"COS10200804 5399"</f>
        <v>COS10200804 5399</v>
      </c>
    </row>
    <row r="3556" spans="1:26" x14ac:dyDescent="0.25">
      <c r="A3556" t="str">
        <f t="shared" si="1463"/>
        <v>04-08-2020 12:56:45</v>
      </c>
      <c r="B3556" t="str">
        <f>"0000807386"</f>
        <v>0000807386</v>
      </c>
      <c r="C3556" t="str">
        <f t="shared" si="1464"/>
        <v>0000807188</v>
      </c>
      <c r="D3556" t="str">
        <f t="shared" si="1442"/>
        <v>73185</v>
      </c>
      <c r="E3556" t="str">
        <f t="shared" si="1443"/>
        <v>KFH-OPERATIONS DEPARTMENT</v>
      </c>
      <c r="F3556" t="str">
        <f t="shared" si="1444"/>
        <v>IBG</v>
      </c>
      <c r="G3556" t="str">
        <f t="shared" si="1457"/>
        <v>Refund COSHARE 10</v>
      </c>
      <c r="H3556" s="2">
        <v>167.9</v>
      </c>
      <c r="I3556" t="str">
        <f>"MOHAMAD NAZRI BIN DAUD"</f>
        <v>MOHAMAD NAZRI BIN DAUD</v>
      </c>
      <c r="J3556" t="str">
        <f t="shared" si="1458"/>
        <v>MAYBANK / MAYBANK ISLAMIC</v>
      </c>
      <c r="K3556" t="str">
        <f>"152189074874"</f>
        <v>152189074874</v>
      </c>
      <c r="L3556" t="str">
        <f t="shared" si="1461"/>
        <v>04-08-2020</v>
      </c>
      <c r="M3556" t="str">
        <f t="shared" si="1461"/>
        <v>04-08-2020</v>
      </c>
      <c r="N3556" t="str">
        <f t="shared" si="1446"/>
        <v>001105018356</v>
      </c>
      <c r="O3556" t="str">
        <f t="shared" si="1447"/>
        <v>MYR</v>
      </c>
      <c r="P3556" t="str">
        <f t="shared" si="1462"/>
        <v>NIL</v>
      </c>
      <c r="Q3556" t="str">
        <f t="shared" si="1462"/>
        <v>NIL</v>
      </c>
      <c r="R3556" t="str">
        <f t="shared" si="1449"/>
        <v>Accepted</v>
      </c>
      <c r="S3556" t="str">
        <f t="shared" si="1450"/>
        <v>Approved</v>
      </c>
      <c r="T3556" t="str">
        <f t="shared" si="1451"/>
        <v>10.20.8.188</v>
      </c>
      <c r="U3556" t="str">
        <f t="shared" si="1452"/>
        <v>AZRAD UMAR BIN SHAARI</v>
      </c>
      <c r="V3556" t="str">
        <f t="shared" si="1453"/>
        <v>FARHANA BINTI MUSTAPA</v>
      </c>
      <c r="W3556" t="str">
        <f t="shared" si="1454"/>
        <v>04-08-2020</v>
      </c>
      <c r="X3556" t="str">
        <f t="shared" si="1455"/>
        <v>RAZIMAH ANSAR AHMAD</v>
      </c>
      <c r="Y3556" t="str">
        <f t="shared" si="1456"/>
        <v>04-08-2020</v>
      </c>
      <c r="Z3556" t="str">
        <f>"COS10200804 5398"</f>
        <v>COS10200804 5398</v>
      </c>
    </row>
    <row r="3557" spans="1:26" x14ac:dyDescent="0.25">
      <c r="A3557" t="str">
        <f t="shared" si="1463"/>
        <v>04-08-2020 12:56:45</v>
      </c>
      <c r="B3557" t="str">
        <f>"0000807385"</f>
        <v>0000807385</v>
      </c>
      <c r="C3557" t="str">
        <f t="shared" si="1464"/>
        <v>0000807188</v>
      </c>
      <c r="D3557" t="str">
        <f t="shared" si="1442"/>
        <v>73185</v>
      </c>
      <c r="E3557" t="str">
        <f t="shared" si="1443"/>
        <v>KFH-OPERATIONS DEPARTMENT</v>
      </c>
      <c r="F3557" t="str">
        <f t="shared" si="1444"/>
        <v>IBG</v>
      </c>
      <c r="G3557" t="str">
        <f t="shared" si="1457"/>
        <v>Refund COSHARE 10</v>
      </c>
      <c r="H3557" s="2">
        <v>251.85</v>
      </c>
      <c r="I3557" t="str">
        <f>"MOHAMAD NASIR BIN KAREEM"</f>
        <v>MOHAMAD NASIR BIN KAREEM</v>
      </c>
      <c r="J3557" t="str">
        <f t="shared" si="1458"/>
        <v>MAYBANK / MAYBANK ISLAMIC</v>
      </c>
      <c r="K3557" t="str">
        <f>"157120161642"</f>
        <v>157120161642</v>
      </c>
      <c r="L3557" t="str">
        <f t="shared" si="1461"/>
        <v>04-08-2020</v>
      </c>
      <c r="M3557" t="str">
        <f t="shared" si="1461"/>
        <v>04-08-2020</v>
      </c>
      <c r="N3557" t="str">
        <f t="shared" si="1446"/>
        <v>001105018356</v>
      </c>
      <c r="O3557" t="str">
        <f t="shared" si="1447"/>
        <v>MYR</v>
      </c>
      <c r="P3557" t="str">
        <f t="shared" si="1462"/>
        <v>NIL</v>
      </c>
      <c r="Q3557" t="str">
        <f t="shared" si="1462"/>
        <v>NIL</v>
      </c>
      <c r="R3557" t="str">
        <f t="shared" si="1449"/>
        <v>Accepted</v>
      </c>
      <c r="S3557" t="str">
        <f t="shared" si="1450"/>
        <v>Approved</v>
      </c>
      <c r="T3557" t="str">
        <f t="shared" si="1451"/>
        <v>10.20.8.188</v>
      </c>
      <c r="U3557" t="str">
        <f t="shared" si="1452"/>
        <v>AZRAD UMAR BIN SHAARI</v>
      </c>
      <c r="V3557" t="str">
        <f t="shared" si="1453"/>
        <v>FARHANA BINTI MUSTAPA</v>
      </c>
      <c r="W3557" t="str">
        <f t="shared" si="1454"/>
        <v>04-08-2020</v>
      </c>
      <c r="X3557" t="str">
        <f t="shared" si="1455"/>
        <v>RAZIMAH ANSAR AHMAD</v>
      </c>
      <c r="Y3557" t="str">
        <f t="shared" si="1456"/>
        <v>04-08-2020</v>
      </c>
      <c r="Z3557" t="str">
        <f>"COS10200804 5397"</f>
        <v>COS10200804 5397</v>
      </c>
    </row>
    <row r="3558" spans="1:26" x14ac:dyDescent="0.25">
      <c r="A3558" t="str">
        <f t="shared" si="1463"/>
        <v>04-08-2020 12:56:45</v>
      </c>
      <c r="B3558" t="str">
        <f>"0000807384"</f>
        <v>0000807384</v>
      </c>
      <c r="C3558" t="str">
        <f t="shared" si="1464"/>
        <v>0000807188</v>
      </c>
      <c r="D3558" t="str">
        <f t="shared" si="1442"/>
        <v>73185</v>
      </c>
      <c r="E3558" t="str">
        <f t="shared" si="1443"/>
        <v>KFH-OPERATIONS DEPARTMENT</v>
      </c>
      <c r="F3558" t="str">
        <f t="shared" si="1444"/>
        <v>IBG</v>
      </c>
      <c r="G3558" t="str">
        <f t="shared" si="1457"/>
        <v>Refund COSHARE 10</v>
      </c>
      <c r="H3558" s="2">
        <v>570.85</v>
      </c>
      <c r="I3558" t="str">
        <f>"MOHAMAD NAJIB BIN SHAMIR"</f>
        <v>MOHAMAD NAJIB BIN SHAMIR</v>
      </c>
      <c r="J3558" t="str">
        <f t="shared" si="1458"/>
        <v>MAYBANK / MAYBANK ISLAMIC</v>
      </c>
      <c r="K3558" t="str">
        <f>"114011398942"</f>
        <v>114011398942</v>
      </c>
      <c r="L3558" t="str">
        <f t="shared" si="1461"/>
        <v>04-08-2020</v>
      </c>
      <c r="M3558" t="str">
        <f t="shared" si="1461"/>
        <v>04-08-2020</v>
      </c>
      <c r="N3558" t="str">
        <f t="shared" si="1446"/>
        <v>001105018356</v>
      </c>
      <c r="O3558" t="str">
        <f t="shared" si="1447"/>
        <v>MYR</v>
      </c>
      <c r="P3558" t="str">
        <f t="shared" si="1462"/>
        <v>NIL</v>
      </c>
      <c r="Q3558" t="str">
        <f t="shared" si="1462"/>
        <v>NIL</v>
      </c>
      <c r="R3558" t="str">
        <f t="shared" si="1449"/>
        <v>Accepted</v>
      </c>
      <c r="S3558" t="str">
        <f t="shared" si="1450"/>
        <v>Approved</v>
      </c>
      <c r="T3558" t="str">
        <f t="shared" si="1451"/>
        <v>10.20.8.188</v>
      </c>
      <c r="U3558" t="str">
        <f t="shared" si="1452"/>
        <v>AZRAD UMAR BIN SHAARI</v>
      </c>
      <c r="V3558" t="str">
        <f t="shared" si="1453"/>
        <v>FARHANA BINTI MUSTAPA</v>
      </c>
      <c r="W3558" t="str">
        <f t="shared" si="1454"/>
        <v>04-08-2020</v>
      </c>
      <c r="X3558" t="str">
        <f t="shared" si="1455"/>
        <v>RAZIMAH ANSAR AHMAD</v>
      </c>
      <c r="Y3558" t="str">
        <f t="shared" si="1456"/>
        <v>04-08-2020</v>
      </c>
      <c r="Z3558" t="str">
        <f>"COS10200804 5396"</f>
        <v>COS10200804 5396</v>
      </c>
    </row>
    <row r="3559" spans="1:26" x14ac:dyDescent="0.25">
      <c r="A3559" t="str">
        <f t="shared" si="1463"/>
        <v>04-08-2020 12:56:45</v>
      </c>
      <c r="B3559" t="str">
        <f>"0000807383"</f>
        <v>0000807383</v>
      </c>
      <c r="C3559" t="str">
        <f t="shared" si="1464"/>
        <v>0000807188</v>
      </c>
      <c r="D3559" t="str">
        <f t="shared" si="1442"/>
        <v>73185</v>
      </c>
      <c r="E3559" t="str">
        <f t="shared" si="1443"/>
        <v>KFH-OPERATIONS DEPARTMENT</v>
      </c>
      <c r="F3559" t="str">
        <f t="shared" si="1444"/>
        <v>IBG</v>
      </c>
      <c r="G3559" t="str">
        <f t="shared" si="1457"/>
        <v>Refund COSHARE 10</v>
      </c>
      <c r="H3559" s="2">
        <v>898.3</v>
      </c>
      <c r="I3559" t="str">
        <f>"MOHAMAD NAJIB BIN AHMAD"</f>
        <v>MOHAMAD NAJIB BIN AHMAD</v>
      </c>
      <c r="J3559" t="str">
        <f t="shared" si="1458"/>
        <v>MAYBANK / MAYBANK ISLAMIC</v>
      </c>
      <c r="K3559" t="str">
        <f>"162834100579"</f>
        <v>162834100579</v>
      </c>
      <c r="L3559" t="str">
        <f t="shared" si="1461"/>
        <v>04-08-2020</v>
      </c>
      <c r="M3559" t="str">
        <f t="shared" si="1461"/>
        <v>04-08-2020</v>
      </c>
      <c r="N3559" t="str">
        <f t="shared" si="1446"/>
        <v>001105018356</v>
      </c>
      <c r="O3559" t="str">
        <f t="shared" si="1447"/>
        <v>MYR</v>
      </c>
      <c r="P3559" t="str">
        <f t="shared" si="1462"/>
        <v>NIL</v>
      </c>
      <c r="Q3559" t="str">
        <f t="shared" si="1462"/>
        <v>NIL</v>
      </c>
      <c r="R3559" t="str">
        <f t="shared" si="1449"/>
        <v>Accepted</v>
      </c>
      <c r="S3559" t="str">
        <f t="shared" si="1450"/>
        <v>Approved</v>
      </c>
      <c r="T3559" t="str">
        <f t="shared" si="1451"/>
        <v>10.20.8.188</v>
      </c>
      <c r="U3559" t="str">
        <f t="shared" si="1452"/>
        <v>AZRAD UMAR BIN SHAARI</v>
      </c>
      <c r="V3559" t="str">
        <f t="shared" si="1453"/>
        <v>FARHANA BINTI MUSTAPA</v>
      </c>
      <c r="W3559" t="str">
        <f t="shared" si="1454"/>
        <v>04-08-2020</v>
      </c>
      <c r="X3559" t="str">
        <f t="shared" si="1455"/>
        <v>RAZIMAH ANSAR AHMAD</v>
      </c>
      <c r="Y3559" t="str">
        <f t="shared" si="1456"/>
        <v>04-08-2020</v>
      </c>
      <c r="Z3559" t="str">
        <f>"COS10200804 5395"</f>
        <v>COS10200804 5395</v>
      </c>
    </row>
    <row r="3560" spans="1:26" x14ac:dyDescent="0.25">
      <c r="A3560" t="str">
        <f t="shared" si="1463"/>
        <v>04-08-2020 12:56:45</v>
      </c>
      <c r="B3560" t="str">
        <f>"0000807382"</f>
        <v>0000807382</v>
      </c>
      <c r="C3560" t="str">
        <f t="shared" si="1464"/>
        <v>0000807188</v>
      </c>
      <c r="D3560" t="str">
        <f t="shared" si="1442"/>
        <v>73185</v>
      </c>
      <c r="E3560" t="str">
        <f t="shared" si="1443"/>
        <v>KFH-OPERATIONS DEPARTMENT</v>
      </c>
      <c r="F3560" t="str">
        <f t="shared" si="1444"/>
        <v>IBG</v>
      </c>
      <c r="G3560" t="str">
        <f t="shared" si="1457"/>
        <v>Refund COSHARE 10</v>
      </c>
      <c r="H3560" s="2">
        <v>428.15</v>
      </c>
      <c r="I3560" t="str">
        <f>"MOHAMAD NAIZAM BIN ABU NAIM"</f>
        <v>MOHAMAD NAIZAM BIN ABU NAIM</v>
      </c>
      <c r="J3560" t="str">
        <f t="shared" si="1458"/>
        <v>MAYBANK / MAYBANK ISLAMIC</v>
      </c>
      <c r="K3560" t="str">
        <f>"156093952544"</f>
        <v>156093952544</v>
      </c>
      <c r="L3560" t="str">
        <f t="shared" si="1461"/>
        <v>04-08-2020</v>
      </c>
      <c r="M3560" t="str">
        <f t="shared" si="1461"/>
        <v>04-08-2020</v>
      </c>
      <c r="N3560" t="str">
        <f t="shared" si="1446"/>
        <v>001105018356</v>
      </c>
      <c r="O3560" t="str">
        <f t="shared" si="1447"/>
        <v>MYR</v>
      </c>
      <c r="P3560" t="str">
        <f t="shared" si="1462"/>
        <v>NIL</v>
      </c>
      <c r="Q3560" t="str">
        <f t="shared" si="1462"/>
        <v>NIL</v>
      </c>
      <c r="R3560" t="str">
        <f t="shared" si="1449"/>
        <v>Accepted</v>
      </c>
      <c r="S3560" t="str">
        <f t="shared" si="1450"/>
        <v>Approved</v>
      </c>
      <c r="T3560" t="str">
        <f t="shared" si="1451"/>
        <v>10.20.8.188</v>
      </c>
      <c r="U3560" t="str">
        <f t="shared" si="1452"/>
        <v>AZRAD UMAR BIN SHAARI</v>
      </c>
      <c r="V3560" t="str">
        <f t="shared" si="1453"/>
        <v>FARHANA BINTI MUSTAPA</v>
      </c>
      <c r="W3560" t="str">
        <f t="shared" si="1454"/>
        <v>04-08-2020</v>
      </c>
      <c r="X3560" t="str">
        <f t="shared" si="1455"/>
        <v>RAZIMAH ANSAR AHMAD</v>
      </c>
      <c r="Y3560" t="str">
        <f t="shared" si="1456"/>
        <v>04-08-2020</v>
      </c>
      <c r="Z3560" t="str">
        <f>"COS10200804 5394"</f>
        <v>COS10200804 5394</v>
      </c>
    </row>
    <row r="3561" spans="1:26" x14ac:dyDescent="0.25">
      <c r="A3561" t="str">
        <f t="shared" si="1463"/>
        <v>04-08-2020 12:56:45</v>
      </c>
      <c r="B3561" t="str">
        <f>"0000807381"</f>
        <v>0000807381</v>
      </c>
      <c r="C3561" t="str">
        <f t="shared" si="1464"/>
        <v>0000807188</v>
      </c>
      <c r="D3561" t="str">
        <f t="shared" si="1442"/>
        <v>73185</v>
      </c>
      <c r="E3561" t="str">
        <f t="shared" si="1443"/>
        <v>KFH-OPERATIONS DEPARTMENT</v>
      </c>
      <c r="F3561" t="str">
        <f t="shared" si="1444"/>
        <v>IBG</v>
      </c>
      <c r="G3561" t="str">
        <f t="shared" si="1457"/>
        <v>Refund COSHARE 10</v>
      </c>
      <c r="H3561" s="2">
        <v>151.15</v>
      </c>
      <c r="I3561" t="str">
        <f>"MOHAMAD MAZLI BIN ANUAR"</f>
        <v>MOHAMAD MAZLI BIN ANUAR</v>
      </c>
      <c r="J3561" t="str">
        <f t="shared" si="1458"/>
        <v>MAYBANK / MAYBANK ISLAMIC</v>
      </c>
      <c r="K3561" t="str">
        <f>"164799035104"</f>
        <v>164799035104</v>
      </c>
      <c r="L3561" t="str">
        <f t="shared" si="1461"/>
        <v>04-08-2020</v>
      </c>
      <c r="M3561" t="str">
        <f t="shared" si="1461"/>
        <v>04-08-2020</v>
      </c>
      <c r="N3561" t="str">
        <f t="shared" si="1446"/>
        <v>001105018356</v>
      </c>
      <c r="O3561" t="str">
        <f t="shared" si="1447"/>
        <v>MYR</v>
      </c>
      <c r="P3561" t="str">
        <f t="shared" si="1462"/>
        <v>NIL</v>
      </c>
      <c r="Q3561" t="str">
        <f t="shared" si="1462"/>
        <v>NIL</v>
      </c>
      <c r="R3561" t="str">
        <f t="shared" si="1449"/>
        <v>Accepted</v>
      </c>
      <c r="S3561" t="str">
        <f t="shared" si="1450"/>
        <v>Approved</v>
      </c>
      <c r="T3561" t="str">
        <f t="shared" si="1451"/>
        <v>10.20.8.188</v>
      </c>
      <c r="U3561" t="str">
        <f t="shared" si="1452"/>
        <v>AZRAD UMAR BIN SHAARI</v>
      </c>
      <c r="V3561" t="str">
        <f t="shared" si="1453"/>
        <v>FARHANA BINTI MUSTAPA</v>
      </c>
      <c r="W3561" t="str">
        <f t="shared" si="1454"/>
        <v>04-08-2020</v>
      </c>
      <c r="X3561" t="str">
        <f t="shared" si="1455"/>
        <v>RAZIMAH ANSAR AHMAD</v>
      </c>
      <c r="Y3561" t="str">
        <f t="shared" si="1456"/>
        <v>04-08-2020</v>
      </c>
      <c r="Z3561" t="str">
        <f>"COS10200804 5393"</f>
        <v>COS10200804 5393</v>
      </c>
    </row>
    <row r="3562" spans="1:26" x14ac:dyDescent="0.25">
      <c r="A3562" t="str">
        <f t="shared" si="1463"/>
        <v>04-08-2020 12:56:45</v>
      </c>
      <c r="B3562" t="str">
        <f>"0000807380"</f>
        <v>0000807380</v>
      </c>
      <c r="C3562" t="str">
        <f t="shared" si="1464"/>
        <v>0000807188</v>
      </c>
      <c r="D3562" t="str">
        <f t="shared" si="1442"/>
        <v>73185</v>
      </c>
      <c r="E3562" t="str">
        <f t="shared" si="1443"/>
        <v>KFH-OPERATIONS DEPARTMENT</v>
      </c>
      <c r="F3562" t="str">
        <f t="shared" si="1444"/>
        <v>IBG</v>
      </c>
      <c r="G3562" t="str">
        <f t="shared" si="1457"/>
        <v>Refund COSHARE 10</v>
      </c>
      <c r="H3562" s="2">
        <v>835</v>
      </c>
      <c r="I3562" t="str">
        <f>"MOHAMAD KHASMUNIR BIN JOHARI"</f>
        <v>MOHAMAD KHASMUNIR BIN JOHARI</v>
      </c>
      <c r="J3562" t="str">
        <f t="shared" si="1458"/>
        <v>MAYBANK / MAYBANK ISLAMIC</v>
      </c>
      <c r="K3562" t="str">
        <f>"151043996393"</f>
        <v>151043996393</v>
      </c>
      <c r="L3562" t="str">
        <f t="shared" si="1461"/>
        <v>04-08-2020</v>
      </c>
      <c r="M3562" t="str">
        <f t="shared" si="1461"/>
        <v>04-08-2020</v>
      </c>
      <c r="N3562" t="str">
        <f t="shared" si="1446"/>
        <v>001105018356</v>
      </c>
      <c r="O3562" t="str">
        <f t="shared" si="1447"/>
        <v>MYR</v>
      </c>
      <c r="P3562" t="str">
        <f t="shared" si="1462"/>
        <v>NIL</v>
      </c>
      <c r="Q3562" t="str">
        <f t="shared" si="1462"/>
        <v>NIL</v>
      </c>
      <c r="R3562" t="str">
        <f t="shared" si="1449"/>
        <v>Accepted</v>
      </c>
      <c r="S3562" t="str">
        <f t="shared" si="1450"/>
        <v>Approved</v>
      </c>
      <c r="T3562" t="str">
        <f t="shared" si="1451"/>
        <v>10.20.8.188</v>
      </c>
      <c r="U3562" t="str">
        <f t="shared" si="1452"/>
        <v>AZRAD UMAR BIN SHAARI</v>
      </c>
      <c r="V3562" t="str">
        <f t="shared" si="1453"/>
        <v>FARHANA BINTI MUSTAPA</v>
      </c>
      <c r="W3562" t="str">
        <f t="shared" si="1454"/>
        <v>04-08-2020</v>
      </c>
      <c r="X3562" t="str">
        <f t="shared" si="1455"/>
        <v>RAZIMAH ANSAR AHMAD</v>
      </c>
      <c r="Y3562" t="str">
        <f t="shared" si="1456"/>
        <v>04-08-2020</v>
      </c>
      <c r="Z3562" t="str">
        <f>"COS10200804 5392"</f>
        <v>COS10200804 5392</v>
      </c>
    </row>
    <row r="3563" spans="1:26" x14ac:dyDescent="0.25">
      <c r="A3563" t="str">
        <f t="shared" si="1463"/>
        <v>04-08-2020 12:56:45</v>
      </c>
      <c r="B3563" t="str">
        <f>"0000807379"</f>
        <v>0000807379</v>
      </c>
      <c r="C3563" t="str">
        <f t="shared" si="1464"/>
        <v>0000807188</v>
      </c>
      <c r="D3563" t="str">
        <f t="shared" si="1442"/>
        <v>73185</v>
      </c>
      <c r="E3563" t="str">
        <f t="shared" si="1443"/>
        <v>KFH-OPERATIONS DEPARTMENT</v>
      </c>
      <c r="F3563" t="str">
        <f t="shared" si="1444"/>
        <v>IBG</v>
      </c>
      <c r="G3563" t="str">
        <f t="shared" si="1457"/>
        <v>Refund COSHARE 10</v>
      </c>
      <c r="H3563" s="2">
        <v>152</v>
      </c>
      <c r="I3563" t="str">
        <f>"MOHAMAD KHAIRUN FITRI BIN AHMAD"</f>
        <v>MOHAMAD KHAIRUN FITRI BIN AHMAD</v>
      </c>
      <c r="J3563" t="str">
        <f t="shared" si="1458"/>
        <v>MAYBANK / MAYBANK ISLAMIC</v>
      </c>
      <c r="K3563" t="str">
        <f>"106138050477"</f>
        <v>106138050477</v>
      </c>
      <c r="L3563" t="str">
        <f t="shared" si="1461"/>
        <v>04-08-2020</v>
      </c>
      <c r="M3563" t="str">
        <f t="shared" si="1461"/>
        <v>04-08-2020</v>
      </c>
      <c r="N3563" t="str">
        <f t="shared" si="1446"/>
        <v>001105018356</v>
      </c>
      <c r="O3563" t="str">
        <f t="shared" si="1447"/>
        <v>MYR</v>
      </c>
      <c r="P3563" t="str">
        <f t="shared" si="1462"/>
        <v>NIL</v>
      </c>
      <c r="Q3563" t="str">
        <f t="shared" si="1462"/>
        <v>NIL</v>
      </c>
      <c r="R3563" t="str">
        <f t="shared" si="1449"/>
        <v>Accepted</v>
      </c>
      <c r="S3563" t="str">
        <f t="shared" si="1450"/>
        <v>Approved</v>
      </c>
      <c r="T3563" t="str">
        <f t="shared" si="1451"/>
        <v>10.20.8.188</v>
      </c>
      <c r="U3563" t="str">
        <f t="shared" si="1452"/>
        <v>AZRAD UMAR BIN SHAARI</v>
      </c>
      <c r="V3563" t="str">
        <f t="shared" si="1453"/>
        <v>FARHANA BINTI MUSTAPA</v>
      </c>
      <c r="W3563" t="str">
        <f t="shared" si="1454"/>
        <v>04-08-2020</v>
      </c>
      <c r="X3563" t="str">
        <f t="shared" si="1455"/>
        <v>RAZIMAH ANSAR AHMAD</v>
      </c>
      <c r="Y3563" t="str">
        <f t="shared" si="1456"/>
        <v>04-08-2020</v>
      </c>
      <c r="Z3563" t="str">
        <f>"COS10200804 5391"</f>
        <v>COS10200804 5391</v>
      </c>
    </row>
    <row r="3564" spans="1:26" x14ac:dyDescent="0.25">
      <c r="A3564" t="str">
        <f t="shared" si="1463"/>
        <v>04-08-2020 12:56:45</v>
      </c>
      <c r="B3564" t="str">
        <f>"0000807378"</f>
        <v>0000807378</v>
      </c>
      <c r="C3564" t="str">
        <f t="shared" si="1464"/>
        <v>0000807188</v>
      </c>
      <c r="D3564" t="str">
        <f t="shared" si="1442"/>
        <v>73185</v>
      </c>
      <c r="E3564" t="str">
        <f t="shared" si="1443"/>
        <v>KFH-OPERATIONS DEPARTMENT</v>
      </c>
      <c r="F3564" t="str">
        <f t="shared" si="1444"/>
        <v>IBG</v>
      </c>
      <c r="G3564" t="str">
        <f t="shared" si="1457"/>
        <v>Refund COSHARE 10</v>
      </c>
      <c r="H3564" s="2">
        <v>386.2</v>
      </c>
      <c r="I3564" t="str">
        <f>"MOHAMAD KHAIRUL BIN ABU BAKAR"</f>
        <v>MOHAMAD KHAIRUL BIN ABU BAKAR</v>
      </c>
      <c r="J3564" t="str">
        <f t="shared" si="1458"/>
        <v>MAYBANK / MAYBANK ISLAMIC</v>
      </c>
      <c r="K3564" t="str">
        <f>"101124135461"</f>
        <v>101124135461</v>
      </c>
      <c r="L3564" t="str">
        <f t="shared" si="1461"/>
        <v>04-08-2020</v>
      </c>
      <c r="M3564" t="str">
        <f t="shared" si="1461"/>
        <v>04-08-2020</v>
      </c>
      <c r="N3564" t="str">
        <f t="shared" si="1446"/>
        <v>001105018356</v>
      </c>
      <c r="O3564" t="str">
        <f t="shared" si="1447"/>
        <v>MYR</v>
      </c>
      <c r="P3564" t="str">
        <f t="shared" si="1462"/>
        <v>NIL</v>
      </c>
      <c r="Q3564" t="str">
        <f t="shared" si="1462"/>
        <v>NIL</v>
      </c>
      <c r="R3564" t="str">
        <f t="shared" si="1449"/>
        <v>Accepted</v>
      </c>
      <c r="S3564" t="str">
        <f t="shared" si="1450"/>
        <v>Approved</v>
      </c>
      <c r="T3564" t="str">
        <f t="shared" si="1451"/>
        <v>10.20.8.188</v>
      </c>
      <c r="U3564" t="str">
        <f t="shared" si="1452"/>
        <v>AZRAD UMAR BIN SHAARI</v>
      </c>
      <c r="V3564" t="str">
        <f t="shared" si="1453"/>
        <v>FARHANA BINTI MUSTAPA</v>
      </c>
      <c r="W3564" t="str">
        <f t="shared" si="1454"/>
        <v>04-08-2020</v>
      </c>
      <c r="X3564" t="str">
        <f t="shared" si="1455"/>
        <v>RAZIMAH ANSAR AHMAD</v>
      </c>
      <c r="Y3564" t="str">
        <f t="shared" si="1456"/>
        <v>04-08-2020</v>
      </c>
      <c r="Z3564" t="str">
        <f>"COS10200804 5390"</f>
        <v>COS10200804 5390</v>
      </c>
    </row>
    <row r="3565" spans="1:26" x14ac:dyDescent="0.25">
      <c r="A3565" t="str">
        <f t="shared" si="1463"/>
        <v>04-08-2020 12:56:45</v>
      </c>
      <c r="B3565" t="str">
        <f>"0000807377"</f>
        <v>0000807377</v>
      </c>
      <c r="C3565" t="str">
        <f t="shared" si="1464"/>
        <v>0000807188</v>
      </c>
      <c r="D3565" t="str">
        <f t="shared" si="1442"/>
        <v>73185</v>
      </c>
      <c r="E3565" t="str">
        <f t="shared" si="1443"/>
        <v>KFH-OPERATIONS DEPARTMENT</v>
      </c>
      <c r="F3565" t="str">
        <f t="shared" si="1444"/>
        <v>IBG</v>
      </c>
      <c r="G3565" t="str">
        <f t="shared" si="1457"/>
        <v>Refund COSHARE 10</v>
      </c>
      <c r="H3565" s="2">
        <v>67.2</v>
      </c>
      <c r="I3565" t="str">
        <f>"MOHAMAD KHAIRUL AZWAN BIN ZAHARI MAN"</f>
        <v>MOHAMAD KHAIRUL AZWAN BIN ZAHARI MAN</v>
      </c>
      <c r="J3565" t="str">
        <f t="shared" si="1458"/>
        <v>MAYBANK / MAYBANK ISLAMIC</v>
      </c>
      <c r="K3565" t="str">
        <f>"158220673124"</f>
        <v>158220673124</v>
      </c>
      <c r="L3565" t="str">
        <f t="shared" si="1461"/>
        <v>04-08-2020</v>
      </c>
      <c r="M3565" t="str">
        <f t="shared" si="1461"/>
        <v>04-08-2020</v>
      </c>
      <c r="N3565" t="str">
        <f t="shared" si="1446"/>
        <v>001105018356</v>
      </c>
      <c r="O3565" t="str">
        <f t="shared" si="1447"/>
        <v>MYR</v>
      </c>
      <c r="P3565" t="str">
        <f t="shared" si="1462"/>
        <v>NIL</v>
      </c>
      <c r="Q3565" t="str">
        <f t="shared" si="1462"/>
        <v>NIL</v>
      </c>
      <c r="R3565" t="str">
        <f t="shared" si="1449"/>
        <v>Accepted</v>
      </c>
      <c r="S3565" t="str">
        <f t="shared" si="1450"/>
        <v>Approved</v>
      </c>
      <c r="T3565" t="str">
        <f t="shared" si="1451"/>
        <v>10.20.8.188</v>
      </c>
      <c r="U3565" t="str">
        <f t="shared" si="1452"/>
        <v>AZRAD UMAR BIN SHAARI</v>
      </c>
      <c r="V3565" t="str">
        <f t="shared" si="1453"/>
        <v>FARHANA BINTI MUSTAPA</v>
      </c>
      <c r="W3565" t="str">
        <f t="shared" si="1454"/>
        <v>04-08-2020</v>
      </c>
      <c r="X3565" t="str">
        <f t="shared" si="1455"/>
        <v>RAZIMAH ANSAR AHMAD</v>
      </c>
      <c r="Y3565" t="str">
        <f t="shared" si="1456"/>
        <v>04-08-2020</v>
      </c>
      <c r="Z3565" t="str">
        <f>"COS10200804 5389"</f>
        <v>COS10200804 5389</v>
      </c>
    </row>
    <row r="3566" spans="1:26" x14ac:dyDescent="0.25">
      <c r="A3566" t="str">
        <f t="shared" si="1463"/>
        <v>04-08-2020 12:56:45</v>
      </c>
      <c r="B3566" t="str">
        <f>"0000807376"</f>
        <v>0000807376</v>
      </c>
      <c r="C3566" t="str">
        <f t="shared" si="1464"/>
        <v>0000807188</v>
      </c>
      <c r="D3566" t="str">
        <f t="shared" si="1442"/>
        <v>73185</v>
      </c>
      <c r="E3566" t="str">
        <f t="shared" si="1443"/>
        <v>KFH-OPERATIONS DEPARTMENT</v>
      </c>
      <c r="F3566" t="str">
        <f t="shared" si="1444"/>
        <v>IBG</v>
      </c>
      <c r="G3566" t="str">
        <f t="shared" si="1457"/>
        <v>Refund COSHARE 10</v>
      </c>
      <c r="H3566" s="2">
        <v>835</v>
      </c>
      <c r="I3566" t="str">
        <f>"MOHAMAD KHAIRUL AZWA BIN RABIN"</f>
        <v>MOHAMAD KHAIRUL AZWA BIN RABIN</v>
      </c>
      <c r="J3566" t="str">
        <f t="shared" si="1458"/>
        <v>MAYBANK / MAYBANK ISLAMIC</v>
      </c>
      <c r="K3566" t="str">
        <f>"106071005810"</f>
        <v>106071005810</v>
      </c>
      <c r="L3566" t="str">
        <f t="shared" si="1461"/>
        <v>04-08-2020</v>
      </c>
      <c r="M3566" t="str">
        <f t="shared" si="1461"/>
        <v>04-08-2020</v>
      </c>
      <c r="N3566" t="str">
        <f t="shared" si="1446"/>
        <v>001105018356</v>
      </c>
      <c r="O3566" t="str">
        <f t="shared" si="1447"/>
        <v>MYR</v>
      </c>
      <c r="P3566" t="str">
        <f t="shared" si="1462"/>
        <v>NIL</v>
      </c>
      <c r="Q3566" t="str">
        <f t="shared" si="1462"/>
        <v>NIL</v>
      </c>
      <c r="R3566" t="str">
        <f t="shared" si="1449"/>
        <v>Accepted</v>
      </c>
      <c r="S3566" t="str">
        <f t="shared" si="1450"/>
        <v>Approved</v>
      </c>
      <c r="T3566" t="str">
        <f t="shared" si="1451"/>
        <v>10.20.8.188</v>
      </c>
      <c r="U3566" t="str">
        <f t="shared" si="1452"/>
        <v>AZRAD UMAR BIN SHAARI</v>
      </c>
      <c r="V3566" t="str">
        <f t="shared" si="1453"/>
        <v>FARHANA BINTI MUSTAPA</v>
      </c>
      <c r="W3566" t="str">
        <f t="shared" si="1454"/>
        <v>04-08-2020</v>
      </c>
      <c r="X3566" t="str">
        <f t="shared" si="1455"/>
        <v>RAZIMAH ANSAR AHMAD</v>
      </c>
      <c r="Y3566" t="str">
        <f t="shared" si="1456"/>
        <v>04-08-2020</v>
      </c>
      <c r="Z3566" t="str">
        <f>"COS10200804 5388"</f>
        <v>COS10200804 5388</v>
      </c>
    </row>
    <row r="3567" spans="1:26" x14ac:dyDescent="0.25">
      <c r="A3567" t="str">
        <f t="shared" si="1463"/>
        <v>04-08-2020 12:56:45</v>
      </c>
      <c r="B3567" t="str">
        <f>"0000807375"</f>
        <v>0000807375</v>
      </c>
      <c r="C3567" t="str">
        <f t="shared" si="1464"/>
        <v>0000807188</v>
      </c>
      <c r="D3567" t="str">
        <f t="shared" si="1442"/>
        <v>73185</v>
      </c>
      <c r="E3567" t="str">
        <f t="shared" si="1443"/>
        <v>KFH-OPERATIONS DEPARTMENT</v>
      </c>
      <c r="F3567" t="str">
        <f t="shared" si="1444"/>
        <v>IBG</v>
      </c>
      <c r="G3567" t="str">
        <f t="shared" si="1457"/>
        <v>Refund COSHARE 10</v>
      </c>
      <c r="H3567" s="2">
        <v>835</v>
      </c>
      <c r="I3567" t="str">
        <f>"MOHAMAD KHAIRUL AZWA BIN RABIN"</f>
        <v>MOHAMAD KHAIRUL AZWA BIN RABIN</v>
      </c>
      <c r="J3567" t="str">
        <f t="shared" si="1458"/>
        <v>MAYBANK / MAYBANK ISLAMIC</v>
      </c>
      <c r="K3567" t="str">
        <f>"106071005810"</f>
        <v>106071005810</v>
      </c>
      <c r="L3567" t="str">
        <f t="shared" ref="L3567:M3586" si="1465">"04-08-2020"</f>
        <v>04-08-2020</v>
      </c>
      <c r="M3567" t="str">
        <f t="shared" si="1465"/>
        <v>04-08-2020</v>
      </c>
      <c r="N3567" t="str">
        <f t="shared" si="1446"/>
        <v>001105018356</v>
      </c>
      <c r="O3567" t="str">
        <f t="shared" si="1447"/>
        <v>MYR</v>
      </c>
      <c r="P3567" t="str">
        <f t="shared" ref="P3567:Q3586" si="1466">"NIL"</f>
        <v>NIL</v>
      </c>
      <c r="Q3567" t="str">
        <f t="shared" si="1466"/>
        <v>NIL</v>
      </c>
      <c r="R3567" t="str">
        <f t="shared" si="1449"/>
        <v>Accepted</v>
      </c>
      <c r="S3567" t="str">
        <f t="shared" si="1450"/>
        <v>Approved</v>
      </c>
      <c r="T3567" t="str">
        <f t="shared" si="1451"/>
        <v>10.20.8.188</v>
      </c>
      <c r="U3567" t="str">
        <f t="shared" si="1452"/>
        <v>AZRAD UMAR BIN SHAARI</v>
      </c>
      <c r="V3567" t="str">
        <f t="shared" si="1453"/>
        <v>FARHANA BINTI MUSTAPA</v>
      </c>
      <c r="W3567" t="str">
        <f t="shared" si="1454"/>
        <v>04-08-2020</v>
      </c>
      <c r="X3567" t="str">
        <f t="shared" si="1455"/>
        <v>RAZIMAH ANSAR AHMAD</v>
      </c>
      <c r="Y3567" t="str">
        <f t="shared" si="1456"/>
        <v>04-08-2020</v>
      </c>
      <c r="Z3567" t="str">
        <f>"COS10200804 5387"</f>
        <v>COS10200804 5387</v>
      </c>
    </row>
    <row r="3568" spans="1:26" x14ac:dyDescent="0.25">
      <c r="A3568" t="str">
        <f t="shared" si="1463"/>
        <v>04-08-2020 12:56:45</v>
      </c>
      <c r="B3568" t="str">
        <f>"0000807374"</f>
        <v>0000807374</v>
      </c>
      <c r="C3568" t="str">
        <f t="shared" si="1464"/>
        <v>0000807188</v>
      </c>
      <c r="D3568" t="str">
        <f t="shared" si="1442"/>
        <v>73185</v>
      </c>
      <c r="E3568" t="str">
        <f t="shared" si="1443"/>
        <v>KFH-OPERATIONS DEPARTMENT</v>
      </c>
      <c r="F3568" t="str">
        <f t="shared" si="1444"/>
        <v>IBG</v>
      </c>
      <c r="G3568" t="str">
        <f t="shared" si="1457"/>
        <v>Refund COSHARE 10</v>
      </c>
      <c r="H3568" s="2">
        <v>411.35</v>
      </c>
      <c r="I3568" t="str">
        <f>"MOHAMAD KHAIRIL BIN HASAN"</f>
        <v>MOHAMAD KHAIRIL BIN HASAN</v>
      </c>
      <c r="J3568" t="str">
        <f t="shared" si="1458"/>
        <v>MAYBANK / MAYBANK ISLAMIC</v>
      </c>
      <c r="K3568" t="str">
        <f>"164061732165"</f>
        <v>164061732165</v>
      </c>
      <c r="L3568" t="str">
        <f t="shared" si="1465"/>
        <v>04-08-2020</v>
      </c>
      <c r="M3568" t="str">
        <f t="shared" si="1465"/>
        <v>04-08-2020</v>
      </c>
      <c r="N3568" t="str">
        <f t="shared" si="1446"/>
        <v>001105018356</v>
      </c>
      <c r="O3568" t="str">
        <f t="shared" si="1447"/>
        <v>MYR</v>
      </c>
      <c r="P3568" t="str">
        <f t="shared" si="1466"/>
        <v>NIL</v>
      </c>
      <c r="Q3568" t="str">
        <f t="shared" si="1466"/>
        <v>NIL</v>
      </c>
      <c r="R3568" t="str">
        <f t="shared" si="1449"/>
        <v>Accepted</v>
      </c>
      <c r="S3568" t="str">
        <f t="shared" si="1450"/>
        <v>Approved</v>
      </c>
      <c r="T3568" t="str">
        <f t="shared" si="1451"/>
        <v>10.20.8.188</v>
      </c>
      <c r="U3568" t="str">
        <f t="shared" si="1452"/>
        <v>AZRAD UMAR BIN SHAARI</v>
      </c>
      <c r="V3568" t="str">
        <f t="shared" si="1453"/>
        <v>FARHANA BINTI MUSTAPA</v>
      </c>
      <c r="W3568" t="str">
        <f t="shared" si="1454"/>
        <v>04-08-2020</v>
      </c>
      <c r="X3568" t="str">
        <f t="shared" si="1455"/>
        <v>RAZIMAH ANSAR AHMAD</v>
      </c>
      <c r="Y3568" t="str">
        <f t="shared" si="1456"/>
        <v>04-08-2020</v>
      </c>
      <c r="Z3568" t="str">
        <f>"COS10200804 5386"</f>
        <v>COS10200804 5386</v>
      </c>
    </row>
    <row r="3569" spans="1:26" x14ac:dyDescent="0.25">
      <c r="A3569" t="str">
        <f t="shared" si="1463"/>
        <v>04-08-2020 12:56:45</v>
      </c>
      <c r="B3569" t="str">
        <f>"0000807373"</f>
        <v>0000807373</v>
      </c>
      <c r="C3569" t="str">
        <f t="shared" si="1464"/>
        <v>0000807188</v>
      </c>
      <c r="D3569" t="str">
        <f t="shared" si="1442"/>
        <v>73185</v>
      </c>
      <c r="E3569" t="str">
        <f t="shared" si="1443"/>
        <v>KFH-OPERATIONS DEPARTMENT</v>
      </c>
      <c r="F3569" t="str">
        <f t="shared" si="1444"/>
        <v>IBG</v>
      </c>
      <c r="G3569" t="str">
        <f t="shared" si="1457"/>
        <v>Refund COSHARE 10</v>
      </c>
      <c r="H3569" s="2">
        <v>114</v>
      </c>
      <c r="I3569" t="str">
        <f>"MOHAMAD JEFRI BIN AZIZ"</f>
        <v>MOHAMAD JEFRI BIN AZIZ</v>
      </c>
      <c r="J3569" t="str">
        <f t="shared" si="1458"/>
        <v>MAYBANK / MAYBANK ISLAMIC</v>
      </c>
      <c r="K3569" t="str">
        <f>"157139111851"</f>
        <v>157139111851</v>
      </c>
      <c r="L3569" t="str">
        <f t="shared" si="1465"/>
        <v>04-08-2020</v>
      </c>
      <c r="M3569" t="str">
        <f t="shared" si="1465"/>
        <v>04-08-2020</v>
      </c>
      <c r="N3569" t="str">
        <f t="shared" si="1446"/>
        <v>001105018356</v>
      </c>
      <c r="O3569" t="str">
        <f t="shared" si="1447"/>
        <v>MYR</v>
      </c>
      <c r="P3569" t="str">
        <f t="shared" si="1466"/>
        <v>NIL</v>
      </c>
      <c r="Q3569" t="str">
        <f t="shared" si="1466"/>
        <v>NIL</v>
      </c>
      <c r="R3569" t="str">
        <f t="shared" si="1449"/>
        <v>Accepted</v>
      </c>
      <c r="S3569" t="str">
        <f t="shared" si="1450"/>
        <v>Approved</v>
      </c>
      <c r="T3569" t="str">
        <f t="shared" si="1451"/>
        <v>10.20.8.188</v>
      </c>
      <c r="U3569" t="str">
        <f t="shared" si="1452"/>
        <v>AZRAD UMAR BIN SHAARI</v>
      </c>
      <c r="V3569" t="str">
        <f t="shared" si="1453"/>
        <v>FARHANA BINTI MUSTAPA</v>
      </c>
      <c r="W3569" t="str">
        <f t="shared" si="1454"/>
        <v>04-08-2020</v>
      </c>
      <c r="X3569" t="str">
        <f t="shared" si="1455"/>
        <v>RAZIMAH ANSAR AHMAD</v>
      </c>
      <c r="Y3569" t="str">
        <f t="shared" si="1456"/>
        <v>04-08-2020</v>
      </c>
      <c r="Z3569" t="str">
        <f>"COS10200804 5385"</f>
        <v>COS10200804 5385</v>
      </c>
    </row>
    <row r="3570" spans="1:26" x14ac:dyDescent="0.25">
      <c r="A3570" t="str">
        <f t="shared" si="1463"/>
        <v>04-08-2020 12:56:45</v>
      </c>
      <c r="B3570" t="str">
        <f>"0000807372"</f>
        <v>0000807372</v>
      </c>
      <c r="C3570" t="str">
        <f t="shared" si="1464"/>
        <v>0000807188</v>
      </c>
      <c r="D3570" t="str">
        <f t="shared" si="1442"/>
        <v>73185</v>
      </c>
      <c r="E3570" t="str">
        <f t="shared" si="1443"/>
        <v>KFH-OPERATIONS DEPARTMENT</v>
      </c>
      <c r="F3570" t="str">
        <f t="shared" si="1444"/>
        <v>IBG</v>
      </c>
      <c r="G3570" t="str">
        <f t="shared" si="1457"/>
        <v>Refund COSHARE 10</v>
      </c>
      <c r="H3570" s="2">
        <v>125</v>
      </c>
      <c r="I3570" t="str">
        <f>"MOHAMAD JAMIL BIN HAZALI"</f>
        <v>MOHAMAD JAMIL BIN HAZALI</v>
      </c>
      <c r="J3570" t="str">
        <f t="shared" si="1458"/>
        <v>MAYBANK / MAYBANK ISLAMIC</v>
      </c>
      <c r="K3570" t="str">
        <f>"162666014781"</f>
        <v>162666014781</v>
      </c>
      <c r="L3570" t="str">
        <f t="shared" si="1465"/>
        <v>04-08-2020</v>
      </c>
      <c r="M3570" t="str">
        <f t="shared" si="1465"/>
        <v>04-08-2020</v>
      </c>
      <c r="N3570" t="str">
        <f t="shared" si="1446"/>
        <v>001105018356</v>
      </c>
      <c r="O3570" t="str">
        <f t="shared" si="1447"/>
        <v>MYR</v>
      </c>
      <c r="P3570" t="str">
        <f t="shared" si="1466"/>
        <v>NIL</v>
      </c>
      <c r="Q3570" t="str">
        <f t="shared" si="1466"/>
        <v>NIL</v>
      </c>
      <c r="R3570" t="str">
        <f t="shared" si="1449"/>
        <v>Accepted</v>
      </c>
      <c r="S3570" t="str">
        <f t="shared" si="1450"/>
        <v>Approved</v>
      </c>
      <c r="T3570" t="str">
        <f t="shared" si="1451"/>
        <v>10.20.8.188</v>
      </c>
      <c r="U3570" t="str">
        <f t="shared" si="1452"/>
        <v>AZRAD UMAR BIN SHAARI</v>
      </c>
      <c r="V3570" t="str">
        <f t="shared" si="1453"/>
        <v>FARHANA BINTI MUSTAPA</v>
      </c>
      <c r="W3570" t="str">
        <f t="shared" si="1454"/>
        <v>04-08-2020</v>
      </c>
      <c r="X3570" t="str">
        <f t="shared" si="1455"/>
        <v>RAZIMAH ANSAR AHMAD</v>
      </c>
      <c r="Y3570" t="str">
        <f t="shared" si="1456"/>
        <v>04-08-2020</v>
      </c>
      <c r="Z3570" t="str">
        <f>"COS10200804 5384"</f>
        <v>COS10200804 5384</v>
      </c>
    </row>
    <row r="3571" spans="1:26" x14ac:dyDescent="0.25">
      <c r="A3571" t="str">
        <f t="shared" si="1463"/>
        <v>04-08-2020 12:56:45</v>
      </c>
      <c r="B3571" t="str">
        <f>"0000807371"</f>
        <v>0000807371</v>
      </c>
      <c r="C3571" t="str">
        <f t="shared" si="1464"/>
        <v>0000807188</v>
      </c>
      <c r="D3571" t="str">
        <f t="shared" si="1442"/>
        <v>73185</v>
      </c>
      <c r="E3571" t="str">
        <f t="shared" si="1443"/>
        <v>KFH-OPERATIONS DEPARTMENT</v>
      </c>
      <c r="F3571" t="str">
        <f t="shared" si="1444"/>
        <v>IBG</v>
      </c>
      <c r="G3571" t="str">
        <f t="shared" si="1457"/>
        <v>Refund COSHARE 10</v>
      </c>
      <c r="H3571" s="2">
        <v>302.25</v>
      </c>
      <c r="I3571" t="str">
        <f>"MOHAMAD JAMALUDDIN BIN ZOLKEFELI"</f>
        <v>MOHAMAD JAMALUDDIN BIN ZOLKEFELI</v>
      </c>
      <c r="J3571" t="str">
        <f t="shared" si="1458"/>
        <v>MAYBANK / MAYBANK ISLAMIC</v>
      </c>
      <c r="K3571" t="str">
        <f>"158015197261"</f>
        <v>158015197261</v>
      </c>
      <c r="L3571" t="str">
        <f t="shared" si="1465"/>
        <v>04-08-2020</v>
      </c>
      <c r="M3571" t="str">
        <f t="shared" si="1465"/>
        <v>04-08-2020</v>
      </c>
      <c r="N3571" t="str">
        <f t="shared" si="1446"/>
        <v>001105018356</v>
      </c>
      <c r="O3571" t="str">
        <f t="shared" si="1447"/>
        <v>MYR</v>
      </c>
      <c r="P3571" t="str">
        <f t="shared" si="1466"/>
        <v>NIL</v>
      </c>
      <c r="Q3571" t="str">
        <f t="shared" si="1466"/>
        <v>NIL</v>
      </c>
      <c r="R3571" t="str">
        <f t="shared" si="1449"/>
        <v>Accepted</v>
      </c>
      <c r="S3571" t="str">
        <f t="shared" si="1450"/>
        <v>Approved</v>
      </c>
      <c r="T3571" t="str">
        <f t="shared" si="1451"/>
        <v>10.20.8.188</v>
      </c>
      <c r="U3571" t="str">
        <f t="shared" si="1452"/>
        <v>AZRAD UMAR BIN SHAARI</v>
      </c>
      <c r="V3571" t="str">
        <f t="shared" si="1453"/>
        <v>FARHANA BINTI MUSTAPA</v>
      </c>
      <c r="W3571" t="str">
        <f t="shared" si="1454"/>
        <v>04-08-2020</v>
      </c>
      <c r="X3571" t="str">
        <f t="shared" si="1455"/>
        <v>RAZIMAH ANSAR AHMAD</v>
      </c>
      <c r="Y3571" t="str">
        <f t="shared" si="1456"/>
        <v>04-08-2020</v>
      </c>
      <c r="Z3571" t="str">
        <f>"COS10200804 5383"</f>
        <v>COS10200804 5383</v>
      </c>
    </row>
    <row r="3572" spans="1:26" x14ac:dyDescent="0.25">
      <c r="A3572" t="str">
        <f t="shared" si="1463"/>
        <v>04-08-2020 12:56:45</v>
      </c>
      <c r="B3572" t="str">
        <f>"0000807370"</f>
        <v>0000807370</v>
      </c>
      <c r="C3572" t="str">
        <f t="shared" si="1464"/>
        <v>0000807188</v>
      </c>
      <c r="D3572" t="str">
        <f t="shared" si="1442"/>
        <v>73185</v>
      </c>
      <c r="E3572" t="str">
        <f t="shared" si="1443"/>
        <v>KFH-OPERATIONS DEPARTMENT</v>
      </c>
      <c r="F3572" t="str">
        <f t="shared" si="1444"/>
        <v>IBG</v>
      </c>
      <c r="G3572" t="str">
        <f t="shared" si="1457"/>
        <v>Refund COSHARE 10</v>
      </c>
      <c r="H3572" s="2">
        <v>1208.9000000000001</v>
      </c>
      <c r="I3572" t="str">
        <f>"MOHAMAD ISRAR BIN MOKTAR"</f>
        <v>MOHAMAD ISRAR BIN MOKTAR</v>
      </c>
      <c r="J3572" t="str">
        <f t="shared" si="1458"/>
        <v>MAYBANK / MAYBANK ISLAMIC</v>
      </c>
      <c r="K3572" t="str">
        <f>"162375650596"</f>
        <v>162375650596</v>
      </c>
      <c r="L3572" t="str">
        <f t="shared" si="1465"/>
        <v>04-08-2020</v>
      </c>
      <c r="M3572" t="str">
        <f t="shared" si="1465"/>
        <v>04-08-2020</v>
      </c>
      <c r="N3572" t="str">
        <f t="shared" si="1446"/>
        <v>001105018356</v>
      </c>
      <c r="O3572" t="str">
        <f t="shared" si="1447"/>
        <v>MYR</v>
      </c>
      <c r="P3572" t="str">
        <f t="shared" si="1466"/>
        <v>NIL</v>
      </c>
      <c r="Q3572" t="str">
        <f t="shared" si="1466"/>
        <v>NIL</v>
      </c>
      <c r="R3572" t="str">
        <f t="shared" si="1449"/>
        <v>Accepted</v>
      </c>
      <c r="S3572" t="str">
        <f t="shared" si="1450"/>
        <v>Approved</v>
      </c>
      <c r="T3572" t="str">
        <f t="shared" si="1451"/>
        <v>10.20.8.188</v>
      </c>
      <c r="U3572" t="str">
        <f t="shared" si="1452"/>
        <v>AZRAD UMAR BIN SHAARI</v>
      </c>
      <c r="V3572" t="str">
        <f t="shared" si="1453"/>
        <v>FARHANA BINTI MUSTAPA</v>
      </c>
      <c r="W3572" t="str">
        <f t="shared" si="1454"/>
        <v>04-08-2020</v>
      </c>
      <c r="X3572" t="str">
        <f t="shared" si="1455"/>
        <v>RAZIMAH ANSAR AHMAD</v>
      </c>
      <c r="Y3572" t="str">
        <f t="shared" si="1456"/>
        <v>04-08-2020</v>
      </c>
      <c r="Z3572" t="str">
        <f>"COS10200804 5382"</f>
        <v>COS10200804 5382</v>
      </c>
    </row>
    <row r="3573" spans="1:26" x14ac:dyDescent="0.25">
      <c r="A3573" t="str">
        <f t="shared" si="1463"/>
        <v>04-08-2020 12:56:45</v>
      </c>
      <c r="B3573" t="str">
        <f>"0000807369"</f>
        <v>0000807369</v>
      </c>
      <c r="C3573" t="str">
        <f t="shared" si="1464"/>
        <v>0000807188</v>
      </c>
      <c r="D3573" t="str">
        <f t="shared" si="1442"/>
        <v>73185</v>
      </c>
      <c r="E3573" t="str">
        <f t="shared" si="1443"/>
        <v>KFH-OPERATIONS DEPARTMENT</v>
      </c>
      <c r="F3573" t="str">
        <f t="shared" si="1444"/>
        <v>IBG</v>
      </c>
      <c r="G3573" t="str">
        <f t="shared" si="1457"/>
        <v>Refund COSHARE 10</v>
      </c>
      <c r="H3573" s="2">
        <v>352.6</v>
      </c>
      <c r="I3573" t="str">
        <f>"MOHAMAD ISMAIL BIN BAHAROM"</f>
        <v>MOHAMAD ISMAIL BIN BAHAROM</v>
      </c>
      <c r="J3573" t="str">
        <f t="shared" si="1458"/>
        <v>MAYBANK / MAYBANK ISLAMIC</v>
      </c>
      <c r="K3573" t="str">
        <f>"162143106180"</f>
        <v>162143106180</v>
      </c>
      <c r="L3573" t="str">
        <f t="shared" si="1465"/>
        <v>04-08-2020</v>
      </c>
      <c r="M3573" t="str">
        <f t="shared" si="1465"/>
        <v>04-08-2020</v>
      </c>
      <c r="N3573" t="str">
        <f t="shared" si="1446"/>
        <v>001105018356</v>
      </c>
      <c r="O3573" t="str">
        <f t="shared" si="1447"/>
        <v>MYR</v>
      </c>
      <c r="P3573" t="str">
        <f t="shared" si="1466"/>
        <v>NIL</v>
      </c>
      <c r="Q3573" t="str">
        <f t="shared" si="1466"/>
        <v>NIL</v>
      </c>
      <c r="R3573" t="str">
        <f t="shared" si="1449"/>
        <v>Accepted</v>
      </c>
      <c r="S3573" t="str">
        <f t="shared" si="1450"/>
        <v>Approved</v>
      </c>
      <c r="T3573" t="str">
        <f t="shared" si="1451"/>
        <v>10.20.8.188</v>
      </c>
      <c r="U3573" t="str">
        <f t="shared" si="1452"/>
        <v>AZRAD UMAR BIN SHAARI</v>
      </c>
      <c r="V3573" t="str">
        <f t="shared" si="1453"/>
        <v>FARHANA BINTI MUSTAPA</v>
      </c>
      <c r="W3573" t="str">
        <f t="shared" si="1454"/>
        <v>04-08-2020</v>
      </c>
      <c r="X3573" t="str">
        <f t="shared" si="1455"/>
        <v>RAZIMAH ANSAR AHMAD</v>
      </c>
      <c r="Y3573" t="str">
        <f t="shared" si="1456"/>
        <v>04-08-2020</v>
      </c>
      <c r="Z3573" t="str">
        <f>"COS10200804 5381"</f>
        <v>COS10200804 5381</v>
      </c>
    </row>
    <row r="3574" spans="1:26" x14ac:dyDescent="0.25">
      <c r="A3574" t="str">
        <f t="shared" si="1463"/>
        <v>04-08-2020 12:56:45</v>
      </c>
      <c r="B3574" t="str">
        <f>"0000807368"</f>
        <v>0000807368</v>
      </c>
      <c r="C3574" t="str">
        <f t="shared" si="1464"/>
        <v>0000807188</v>
      </c>
      <c r="D3574" t="str">
        <f t="shared" si="1442"/>
        <v>73185</v>
      </c>
      <c r="E3574" t="str">
        <f t="shared" si="1443"/>
        <v>KFH-OPERATIONS DEPARTMENT</v>
      </c>
      <c r="F3574" t="str">
        <f t="shared" si="1444"/>
        <v>IBG</v>
      </c>
      <c r="G3574" t="str">
        <f t="shared" si="1457"/>
        <v>Refund COSHARE 10</v>
      </c>
      <c r="H3574" s="2">
        <v>126</v>
      </c>
      <c r="I3574" t="str">
        <f>"MOHAMAD IBRAHIM BIN JAPRI"</f>
        <v>MOHAMAD IBRAHIM BIN JAPRI</v>
      </c>
      <c r="J3574" t="str">
        <f t="shared" si="1458"/>
        <v>MAYBANK / MAYBANK ISLAMIC</v>
      </c>
      <c r="K3574" t="str">
        <f>"162049627474"</f>
        <v>162049627474</v>
      </c>
      <c r="L3574" t="str">
        <f t="shared" si="1465"/>
        <v>04-08-2020</v>
      </c>
      <c r="M3574" t="str">
        <f t="shared" si="1465"/>
        <v>04-08-2020</v>
      </c>
      <c r="N3574" t="str">
        <f t="shared" si="1446"/>
        <v>001105018356</v>
      </c>
      <c r="O3574" t="str">
        <f t="shared" si="1447"/>
        <v>MYR</v>
      </c>
      <c r="P3574" t="str">
        <f t="shared" si="1466"/>
        <v>NIL</v>
      </c>
      <c r="Q3574" t="str">
        <f t="shared" si="1466"/>
        <v>NIL</v>
      </c>
      <c r="R3574" t="str">
        <f t="shared" si="1449"/>
        <v>Accepted</v>
      </c>
      <c r="S3574" t="str">
        <f t="shared" si="1450"/>
        <v>Approved</v>
      </c>
      <c r="T3574" t="str">
        <f t="shared" si="1451"/>
        <v>10.20.8.188</v>
      </c>
      <c r="U3574" t="str">
        <f t="shared" si="1452"/>
        <v>AZRAD UMAR BIN SHAARI</v>
      </c>
      <c r="V3574" t="str">
        <f t="shared" si="1453"/>
        <v>FARHANA BINTI MUSTAPA</v>
      </c>
      <c r="W3574" t="str">
        <f t="shared" si="1454"/>
        <v>04-08-2020</v>
      </c>
      <c r="X3574" t="str">
        <f t="shared" si="1455"/>
        <v>RAZIMAH ANSAR AHMAD</v>
      </c>
      <c r="Y3574" t="str">
        <f t="shared" si="1456"/>
        <v>04-08-2020</v>
      </c>
      <c r="Z3574" t="str">
        <f>"COS10200804 5380"</f>
        <v>COS10200804 5380</v>
      </c>
    </row>
    <row r="3575" spans="1:26" x14ac:dyDescent="0.25">
      <c r="A3575" t="str">
        <f t="shared" si="1463"/>
        <v>04-08-2020 12:56:45</v>
      </c>
      <c r="B3575" t="str">
        <f>"0000807367"</f>
        <v>0000807367</v>
      </c>
      <c r="C3575" t="str">
        <f t="shared" si="1464"/>
        <v>0000807188</v>
      </c>
      <c r="D3575" t="str">
        <f t="shared" si="1442"/>
        <v>73185</v>
      </c>
      <c r="E3575" t="str">
        <f t="shared" si="1443"/>
        <v>KFH-OPERATIONS DEPARTMENT</v>
      </c>
      <c r="F3575" t="str">
        <f t="shared" si="1444"/>
        <v>IBG</v>
      </c>
      <c r="G3575" t="str">
        <f t="shared" si="1457"/>
        <v>Refund COSHARE 10</v>
      </c>
      <c r="H3575" s="2">
        <v>755.55</v>
      </c>
      <c r="I3575" t="str">
        <f>"MOHAMAD HUSAINI BIN MAHAMAD ZUKI"</f>
        <v>MOHAMAD HUSAINI BIN MAHAMAD ZUKI</v>
      </c>
      <c r="J3575" t="str">
        <f t="shared" si="1458"/>
        <v>MAYBANK / MAYBANK ISLAMIC</v>
      </c>
      <c r="K3575" t="str">
        <f>"162106576105"</f>
        <v>162106576105</v>
      </c>
      <c r="L3575" t="str">
        <f t="shared" si="1465"/>
        <v>04-08-2020</v>
      </c>
      <c r="M3575" t="str">
        <f t="shared" si="1465"/>
        <v>04-08-2020</v>
      </c>
      <c r="N3575" t="str">
        <f t="shared" si="1446"/>
        <v>001105018356</v>
      </c>
      <c r="O3575" t="str">
        <f t="shared" si="1447"/>
        <v>MYR</v>
      </c>
      <c r="P3575" t="str">
        <f t="shared" si="1466"/>
        <v>NIL</v>
      </c>
      <c r="Q3575" t="str">
        <f t="shared" si="1466"/>
        <v>NIL</v>
      </c>
      <c r="R3575" t="str">
        <f t="shared" si="1449"/>
        <v>Accepted</v>
      </c>
      <c r="S3575" t="str">
        <f t="shared" si="1450"/>
        <v>Approved</v>
      </c>
      <c r="T3575" t="str">
        <f t="shared" si="1451"/>
        <v>10.20.8.188</v>
      </c>
      <c r="U3575" t="str">
        <f t="shared" si="1452"/>
        <v>AZRAD UMAR BIN SHAARI</v>
      </c>
      <c r="V3575" t="str">
        <f t="shared" si="1453"/>
        <v>FARHANA BINTI MUSTAPA</v>
      </c>
      <c r="W3575" t="str">
        <f t="shared" si="1454"/>
        <v>04-08-2020</v>
      </c>
      <c r="X3575" t="str">
        <f t="shared" si="1455"/>
        <v>RAZIMAH ANSAR AHMAD</v>
      </c>
      <c r="Y3575" t="str">
        <f t="shared" si="1456"/>
        <v>04-08-2020</v>
      </c>
      <c r="Z3575" t="str">
        <f>"COS10200804 5379"</f>
        <v>COS10200804 5379</v>
      </c>
    </row>
    <row r="3576" spans="1:26" x14ac:dyDescent="0.25">
      <c r="A3576" t="str">
        <f t="shared" si="1463"/>
        <v>04-08-2020 12:56:45</v>
      </c>
      <c r="B3576" t="str">
        <f>"0000807366"</f>
        <v>0000807366</v>
      </c>
      <c r="C3576" t="str">
        <f t="shared" si="1464"/>
        <v>0000807188</v>
      </c>
      <c r="D3576" t="str">
        <f t="shared" si="1442"/>
        <v>73185</v>
      </c>
      <c r="E3576" t="str">
        <f t="shared" si="1443"/>
        <v>KFH-OPERATIONS DEPARTMENT</v>
      </c>
      <c r="F3576" t="str">
        <f t="shared" si="1444"/>
        <v>IBG</v>
      </c>
      <c r="G3576" t="str">
        <f t="shared" si="1457"/>
        <v>Refund COSHARE 10</v>
      </c>
      <c r="H3576" s="2">
        <v>503.7</v>
      </c>
      <c r="I3576" t="str">
        <f>"MOHAMAD HAZRIN BIN ZULKAFLI"</f>
        <v>MOHAMAD HAZRIN BIN ZULKAFLI</v>
      </c>
      <c r="J3576" t="str">
        <f t="shared" si="1458"/>
        <v>MAYBANK / MAYBANK ISLAMIC</v>
      </c>
      <c r="K3576" t="str">
        <f>"151548021759"</f>
        <v>151548021759</v>
      </c>
      <c r="L3576" t="str">
        <f t="shared" si="1465"/>
        <v>04-08-2020</v>
      </c>
      <c r="M3576" t="str">
        <f t="shared" si="1465"/>
        <v>04-08-2020</v>
      </c>
      <c r="N3576" t="str">
        <f t="shared" si="1446"/>
        <v>001105018356</v>
      </c>
      <c r="O3576" t="str">
        <f t="shared" si="1447"/>
        <v>MYR</v>
      </c>
      <c r="P3576" t="str">
        <f t="shared" si="1466"/>
        <v>NIL</v>
      </c>
      <c r="Q3576" t="str">
        <f t="shared" si="1466"/>
        <v>NIL</v>
      </c>
      <c r="R3576" t="str">
        <f t="shared" si="1449"/>
        <v>Accepted</v>
      </c>
      <c r="S3576" t="str">
        <f t="shared" si="1450"/>
        <v>Approved</v>
      </c>
      <c r="T3576" t="str">
        <f t="shared" si="1451"/>
        <v>10.20.8.188</v>
      </c>
      <c r="U3576" t="str">
        <f t="shared" si="1452"/>
        <v>AZRAD UMAR BIN SHAARI</v>
      </c>
      <c r="V3576" t="str">
        <f t="shared" si="1453"/>
        <v>FARHANA BINTI MUSTAPA</v>
      </c>
      <c r="W3576" t="str">
        <f t="shared" si="1454"/>
        <v>04-08-2020</v>
      </c>
      <c r="X3576" t="str">
        <f t="shared" si="1455"/>
        <v>RAZIMAH ANSAR AHMAD</v>
      </c>
      <c r="Y3576" t="str">
        <f t="shared" si="1456"/>
        <v>04-08-2020</v>
      </c>
      <c r="Z3576" t="str">
        <f>"COS10200804 5378"</f>
        <v>COS10200804 5378</v>
      </c>
    </row>
    <row r="3577" spans="1:26" x14ac:dyDescent="0.25">
      <c r="A3577" t="str">
        <f t="shared" si="1463"/>
        <v>04-08-2020 12:56:45</v>
      </c>
      <c r="B3577" t="str">
        <f>"0000807365"</f>
        <v>0000807365</v>
      </c>
      <c r="C3577" t="str">
        <f t="shared" si="1464"/>
        <v>0000807188</v>
      </c>
      <c r="D3577" t="str">
        <f t="shared" si="1442"/>
        <v>73185</v>
      </c>
      <c r="E3577" t="str">
        <f t="shared" si="1443"/>
        <v>KFH-OPERATIONS DEPARTMENT</v>
      </c>
      <c r="F3577" t="str">
        <f t="shared" si="1444"/>
        <v>IBG</v>
      </c>
      <c r="G3577" t="str">
        <f t="shared" si="1457"/>
        <v>Refund COSHARE 10</v>
      </c>
      <c r="H3577" s="2">
        <v>1428</v>
      </c>
      <c r="I3577" t="str">
        <f>"MOHAMAD HARLIZAN BIN MOHAMAD DARUS"</f>
        <v>MOHAMAD HARLIZAN BIN MOHAMAD DARUS</v>
      </c>
      <c r="J3577" t="str">
        <f t="shared" si="1458"/>
        <v>MAYBANK / MAYBANK ISLAMIC</v>
      </c>
      <c r="K3577" t="str">
        <f>"112026868899"</f>
        <v>112026868899</v>
      </c>
      <c r="L3577" t="str">
        <f t="shared" si="1465"/>
        <v>04-08-2020</v>
      </c>
      <c r="M3577" t="str">
        <f t="shared" si="1465"/>
        <v>04-08-2020</v>
      </c>
      <c r="N3577" t="str">
        <f t="shared" si="1446"/>
        <v>001105018356</v>
      </c>
      <c r="O3577" t="str">
        <f t="shared" si="1447"/>
        <v>MYR</v>
      </c>
      <c r="P3577" t="str">
        <f t="shared" si="1466"/>
        <v>NIL</v>
      </c>
      <c r="Q3577" t="str">
        <f t="shared" si="1466"/>
        <v>NIL</v>
      </c>
      <c r="R3577" t="str">
        <f t="shared" si="1449"/>
        <v>Accepted</v>
      </c>
      <c r="S3577" t="str">
        <f t="shared" si="1450"/>
        <v>Approved</v>
      </c>
      <c r="T3577" t="str">
        <f t="shared" si="1451"/>
        <v>10.20.8.188</v>
      </c>
      <c r="U3577" t="str">
        <f t="shared" si="1452"/>
        <v>AZRAD UMAR BIN SHAARI</v>
      </c>
      <c r="V3577" t="str">
        <f t="shared" si="1453"/>
        <v>FARHANA BINTI MUSTAPA</v>
      </c>
      <c r="W3577" t="str">
        <f t="shared" si="1454"/>
        <v>04-08-2020</v>
      </c>
      <c r="X3577" t="str">
        <f t="shared" si="1455"/>
        <v>RAZIMAH ANSAR AHMAD</v>
      </c>
      <c r="Y3577" t="str">
        <f t="shared" si="1456"/>
        <v>04-08-2020</v>
      </c>
      <c r="Z3577" t="str">
        <f>"COS10200804 5377"</f>
        <v>COS10200804 5377</v>
      </c>
    </row>
    <row r="3578" spans="1:26" x14ac:dyDescent="0.25">
      <c r="A3578" t="str">
        <f t="shared" si="1463"/>
        <v>04-08-2020 12:56:45</v>
      </c>
      <c r="B3578" t="str">
        <f>"0000807364"</f>
        <v>0000807364</v>
      </c>
      <c r="C3578" t="str">
        <f t="shared" si="1464"/>
        <v>0000807188</v>
      </c>
      <c r="D3578" t="str">
        <f t="shared" si="1442"/>
        <v>73185</v>
      </c>
      <c r="E3578" t="str">
        <f t="shared" si="1443"/>
        <v>KFH-OPERATIONS DEPARTMENT</v>
      </c>
      <c r="F3578" t="str">
        <f t="shared" si="1444"/>
        <v>IBG</v>
      </c>
      <c r="G3578" t="str">
        <f t="shared" si="1457"/>
        <v>Refund COSHARE 10</v>
      </c>
      <c r="H3578" s="2">
        <v>822.7</v>
      </c>
      <c r="I3578" t="str">
        <f>"MOHAMAD HAFIZAN BIN MOHD HASSAN"</f>
        <v>MOHAMAD HAFIZAN BIN MOHD HASSAN</v>
      </c>
      <c r="J3578" t="str">
        <f t="shared" si="1458"/>
        <v>MAYBANK / MAYBANK ISLAMIC</v>
      </c>
      <c r="K3578" t="str">
        <f>"158015177144"</f>
        <v>158015177144</v>
      </c>
      <c r="L3578" t="str">
        <f t="shared" si="1465"/>
        <v>04-08-2020</v>
      </c>
      <c r="M3578" t="str">
        <f t="shared" si="1465"/>
        <v>04-08-2020</v>
      </c>
      <c r="N3578" t="str">
        <f t="shared" si="1446"/>
        <v>001105018356</v>
      </c>
      <c r="O3578" t="str">
        <f t="shared" si="1447"/>
        <v>MYR</v>
      </c>
      <c r="P3578" t="str">
        <f t="shared" si="1466"/>
        <v>NIL</v>
      </c>
      <c r="Q3578" t="str">
        <f t="shared" si="1466"/>
        <v>NIL</v>
      </c>
      <c r="R3578" t="str">
        <f t="shared" si="1449"/>
        <v>Accepted</v>
      </c>
      <c r="S3578" t="str">
        <f t="shared" si="1450"/>
        <v>Approved</v>
      </c>
      <c r="T3578" t="str">
        <f t="shared" si="1451"/>
        <v>10.20.8.188</v>
      </c>
      <c r="U3578" t="str">
        <f t="shared" si="1452"/>
        <v>AZRAD UMAR BIN SHAARI</v>
      </c>
      <c r="V3578" t="str">
        <f t="shared" si="1453"/>
        <v>FARHANA BINTI MUSTAPA</v>
      </c>
      <c r="W3578" t="str">
        <f t="shared" si="1454"/>
        <v>04-08-2020</v>
      </c>
      <c r="X3578" t="str">
        <f t="shared" si="1455"/>
        <v>RAZIMAH ANSAR AHMAD</v>
      </c>
      <c r="Y3578" t="str">
        <f t="shared" si="1456"/>
        <v>04-08-2020</v>
      </c>
      <c r="Z3578" t="str">
        <f>"COS10200804 5376"</f>
        <v>COS10200804 5376</v>
      </c>
    </row>
    <row r="3579" spans="1:26" x14ac:dyDescent="0.25">
      <c r="A3579" t="str">
        <f t="shared" si="1463"/>
        <v>04-08-2020 12:56:45</v>
      </c>
      <c r="B3579" t="str">
        <f>"0000807363"</f>
        <v>0000807363</v>
      </c>
      <c r="C3579" t="str">
        <f t="shared" si="1464"/>
        <v>0000807188</v>
      </c>
      <c r="D3579" t="str">
        <f t="shared" si="1442"/>
        <v>73185</v>
      </c>
      <c r="E3579" t="str">
        <f t="shared" si="1443"/>
        <v>KFH-OPERATIONS DEPARTMENT</v>
      </c>
      <c r="F3579" t="str">
        <f t="shared" si="1444"/>
        <v>IBG</v>
      </c>
      <c r="G3579" t="str">
        <f t="shared" si="1457"/>
        <v>Refund COSHARE 10</v>
      </c>
      <c r="H3579" s="2">
        <v>84</v>
      </c>
      <c r="I3579" t="str">
        <f>"MOHAMAD HAFIZA AL BIN MOHAMAD ALI"</f>
        <v>MOHAMAD HAFIZA AL BIN MOHAMAD ALI</v>
      </c>
      <c r="J3579" t="str">
        <f t="shared" si="1458"/>
        <v>MAYBANK / MAYBANK ISLAMIC</v>
      </c>
      <c r="K3579" t="str">
        <f>"151258073719"</f>
        <v>151258073719</v>
      </c>
      <c r="L3579" t="str">
        <f t="shared" si="1465"/>
        <v>04-08-2020</v>
      </c>
      <c r="M3579" t="str">
        <f t="shared" si="1465"/>
        <v>04-08-2020</v>
      </c>
      <c r="N3579" t="str">
        <f t="shared" si="1446"/>
        <v>001105018356</v>
      </c>
      <c r="O3579" t="str">
        <f t="shared" si="1447"/>
        <v>MYR</v>
      </c>
      <c r="P3579" t="str">
        <f t="shared" si="1466"/>
        <v>NIL</v>
      </c>
      <c r="Q3579" t="str">
        <f t="shared" si="1466"/>
        <v>NIL</v>
      </c>
      <c r="R3579" t="str">
        <f t="shared" si="1449"/>
        <v>Accepted</v>
      </c>
      <c r="S3579" t="str">
        <f t="shared" si="1450"/>
        <v>Approved</v>
      </c>
      <c r="T3579" t="str">
        <f t="shared" si="1451"/>
        <v>10.20.8.188</v>
      </c>
      <c r="U3579" t="str">
        <f t="shared" si="1452"/>
        <v>AZRAD UMAR BIN SHAARI</v>
      </c>
      <c r="V3579" t="str">
        <f t="shared" si="1453"/>
        <v>FARHANA BINTI MUSTAPA</v>
      </c>
      <c r="W3579" t="str">
        <f t="shared" si="1454"/>
        <v>04-08-2020</v>
      </c>
      <c r="X3579" t="str">
        <f t="shared" si="1455"/>
        <v>RAZIMAH ANSAR AHMAD</v>
      </c>
      <c r="Y3579" t="str">
        <f t="shared" si="1456"/>
        <v>04-08-2020</v>
      </c>
      <c r="Z3579" t="str">
        <f>"COS10200804 5375"</f>
        <v>COS10200804 5375</v>
      </c>
    </row>
    <row r="3580" spans="1:26" x14ac:dyDescent="0.25">
      <c r="A3580" t="str">
        <f t="shared" si="1463"/>
        <v>04-08-2020 12:56:45</v>
      </c>
      <c r="B3580" t="str">
        <f>"0000807362"</f>
        <v>0000807362</v>
      </c>
      <c r="C3580" t="str">
        <f t="shared" si="1464"/>
        <v>0000807188</v>
      </c>
      <c r="D3580" t="str">
        <f t="shared" si="1442"/>
        <v>73185</v>
      </c>
      <c r="E3580" t="str">
        <f t="shared" si="1443"/>
        <v>KFH-OPERATIONS DEPARTMENT</v>
      </c>
      <c r="F3580" t="str">
        <f t="shared" si="1444"/>
        <v>IBG</v>
      </c>
      <c r="G3580" t="str">
        <f t="shared" si="1457"/>
        <v>Refund COSHARE 10</v>
      </c>
      <c r="H3580" s="2">
        <v>277.05</v>
      </c>
      <c r="I3580" t="str">
        <f>"MOHAMAD HAFIZ BIN MOHD DZAKWAN"</f>
        <v>MOHAMAD HAFIZ BIN MOHD DZAKWAN</v>
      </c>
      <c r="J3580" t="str">
        <f t="shared" si="1458"/>
        <v>MAYBANK / MAYBANK ISLAMIC</v>
      </c>
      <c r="K3580" t="str">
        <f>"101141306869"</f>
        <v>101141306869</v>
      </c>
      <c r="L3580" t="str">
        <f t="shared" si="1465"/>
        <v>04-08-2020</v>
      </c>
      <c r="M3580" t="str">
        <f t="shared" si="1465"/>
        <v>04-08-2020</v>
      </c>
      <c r="N3580" t="str">
        <f t="shared" si="1446"/>
        <v>001105018356</v>
      </c>
      <c r="O3580" t="str">
        <f t="shared" si="1447"/>
        <v>MYR</v>
      </c>
      <c r="P3580" t="str">
        <f t="shared" si="1466"/>
        <v>NIL</v>
      </c>
      <c r="Q3580" t="str">
        <f t="shared" si="1466"/>
        <v>NIL</v>
      </c>
      <c r="R3580" t="str">
        <f t="shared" si="1449"/>
        <v>Accepted</v>
      </c>
      <c r="S3580" t="str">
        <f t="shared" si="1450"/>
        <v>Approved</v>
      </c>
      <c r="T3580" t="str">
        <f t="shared" si="1451"/>
        <v>10.20.8.188</v>
      </c>
      <c r="U3580" t="str">
        <f t="shared" si="1452"/>
        <v>AZRAD UMAR BIN SHAARI</v>
      </c>
      <c r="V3580" t="str">
        <f t="shared" si="1453"/>
        <v>FARHANA BINTI MUSTAPA</v>
      </c>
      <c r="W3580" t="str">
        <f t="shared" si="1454"/>
        <v>04-08-2020</v>
      </c>
      <c r="X3580" t="str">
        <f t="shared" si="1455"/>
        <v>RAZIMAH ANSAR AHMAD</v>
      </c>
      <c r="Y3580" t="str">
        <f t="shared" si="1456"/>
        <v>04-08-2020</v>
      </c>
      <c r="Z3580" t="str">
        <f>"COS10200804 5374"</f>
        <v>COS10200804 5374</v>
      </c>
    </row>
    <row r="3581" spans="1:26" x14ac:dyDescent="0.25">
      <c r="A3581" t="str">
        <f t="shared" si="1463"/>
        <v>04-08-2020 12:56:45</v>
      </c>
      <c r="B3581" t="str">
        <f>"0000807361"</f>
        <v>0000807361</v>
      </c>
      <c r="C3581" t="str">
        <f t="shared" si="1464"/>
        <v>0000807188</v>
      </c>
      <c r="D3581" t="str">
        <f t="shared" si="1442"/>
        <v>73185</v>
      </c>
      <c r="E3581" t="str">
        <f t="shared" si="1443"/>
        <v>KFH-OPERATIONS DEPARTMENT</v>
      </c>
      <c r="F3581" t="str">
        <f t="shared" si="1444"/>
        <v>IBG</v>
      </c>
      <c r="G3581" t="str">
        <f t="shared" si="1457"/>
        <v>Refund COSHARE 10</v>
      </c>
      <c r="H3581" s="2">
        <v>209.9</v>
      </c>
      <c r="I3581" t="str">
        <f>"MOHAMAD HADIE BIN SULIMAN"</f>
        <v>MOHAMAD HADIE BIN SULIMAN</v>
      </c>
      <c r="J3581" t="str">
        <f t="shared" si="1458"/>
        <v>MAYBANK / MAYBANK ISLAMIC</v>
      </c>
      <c r="K3581" t="str">
        <f>"111186082483"</f>
        <v>111186082483</v>
      </c>
      <c r="L3581" t="str">
        <f t="shared" si="1465"/>
        <v>04-08-2020</v>
      </c>
      <c r="M3581" t="str">
        <f t="shared" si="1465"/>
        <v>04-08-2020</v>
      </c>
      <c r="N3581" t="str">
        <f t="shared" si="1446"/>
        <v>001105018356</v>
      </c>
      <c r="O3581" t="str">
        <f t="shared" si="1447"/>
        <v>MYR</v>
      </c>
      <c r="P3581" t="str">
        <f t="shared" si="1466"/>
        <v>NIL</v>
      </c>
      <c r="Q3581" t="str">
        <f t="shared" si="1466"/>
        <v>NIL</v>
      </c>
      <c r="R3581" t="str">
        <f t="shared" si="1449"/>
        <v>Accepted</v>
      </c>
      <c r="S3581" t="str">
        <f t="shared" si="1450"/>
        <v>Approved</v>
      </c>
      <c r="T3581" t="str">
        <f t="shared" si="1451"/>
        <v>10.20.8.188</v>
      </c>
      <c r="U3581" t="str">
        <f t="shared" si="1452"/>
        <v>AZRAD UMAR BIN SHAARI</v>
      </c>
      <c r="V3581" t="str">
        <f t="shared" si="1453"/>
        <v>FARHANA BINTI MUSTAPA</v>
      </c>
      <c r="W3581" t="str">
        <f t="shared" si="1454"/>
        <v>04-08-2020</v>
      </c>
      <c r="X3581" t="str">
        <f t="shared" si="1455"/>
        <v>RAZIMAH ANSAR AHMAD</v>
      </c>
      <c r="Y3581" t="str">
        <f t="shared" si="1456"/>
        <v>04-08-2020</v>
      </c>
      <c r="Z3581" t="str">
        <f>"COS10200804 5373"</f>
        <v>COS10200804 5373</v>
      </c>
    </row>
    <row r="3582" spans="1:26" x14ac:dyDescent="0.25">
      <c r="A3582" t="str">
        <f t="shared" si="1463"/>
        <v>04-08-2020 12:56:45</v>
      </c>
      <c r="B3582" t="str">
        <f>"0000807360"</f>
        <v>0000807360</v>
      </c>
      <c r="C3582" t="str">
        <f t="shared" si="1464"/>
        <v>0000807188</v>
      </c>
      <c r="D3582" t="str">
        <f t="shared" si="1442"/>
        <v>73185</v>
      </c>
      <c r="E3582" t="str">
        <f t="shared" si="1443"/>
        <v>KFH-OPERATIONS DEPARTMENT</v>
      </c>
      <c r="F3582" t="str">
        <f t="shared" si="1444"/>
        <v>IBG</v>
      </c>
      <c r="G3582" t="str">
        <f t="shared" si="1457"/>
        <v>Refund COSHARE 10</v>
      </c>
      <c r="H3582" s="2">
        <v>142.75</v>
      </c>
      <c r="I3582" t="str">
        <f>"MOHAMAD GHADAFFI BIN MOHAMED"</f>
        <v>MOHAMAD GHADAFFI BIN MOHAMED</v>
      </c>
      <c r="J3582" t="str">
        <f t="shared" si="1458"/>
        <v>MAYBANK / MAYBANK ISLAMIC</v>
      </c>
      <c r="K3582" t="str">
        <f>"162085450592"</f>
        <v>162085450592</v>
      </c>
      <c r="L3582" t="str">
        <f t="shared" si="1465"/>
        <v>04-08-2020</v>
      </c>
      <c r="M3582" t="str">
        <f t="shared" si="1465"/>
        <v>04-08-2020</v>
      </c>
      <c r="N3582" t="str">
        <f t="shared" si="1446"/>
        <v>001105018356</v>
      </c>
      <c r="O3582" t="str">
        <f t="shared" si="1447"/>
        <v>MYR</v>
      </c>
      <c r="P3582" t="str">
        <f t="shared" si="1466"/>
        <v>NIL</v>
      </c>
      <c r="Q3582" t="str">
        <f t="shared" si="1466"/>
        <v>NIL</v>
      </c>
      <c r="R3582" t="str">
        <f t="shared" si="1449"/>
        <v>Accepted</v>
      </c>
      <c r="S3582" t="str">
        <f t="shared" si="1450"/>
        <v>Approved</v>
      </c>
      <c r="T3582" t="str">
        <f t="shared" si="1451"/>
        <v>10.20.8.188</v>
      </c>
      <c r="U3582" t="str">
        <f t="shared" si="1452"/>
        <v>AZRAD UMAR BIN SHAARI</v>
      </c>
      <c r="V3582" t="str">
        <f t="shared" si="1453"/>
        <v>FARHANA BINTI MUSTAPA</v>
      </c>
      <c r="W3582" t="str">
        <f t="shared" si="1454"/>
        <v>04-08-2020</v>
      </c>
      <c r="X3582" t="str">
        <f t="shared" si="1455"/>
        <v>RAZIMAH ANSAR AHMAD</v>
      </c>
      <c r="Y3582" t="str">
        <f t="shared" si="1456"/>
        <v>04-08-2020</v>
      </c>
      <c r="Z3582" t="str">
        <f>"COS10200804 5372"</f>
        <v>COS10200804 5372</v>
      </c>
    </row>
    <row r="3583" spans="1:26" x14ac:dyDescent="0.25">
      <c r="A3583" t="str">
        <f t="shared" si="1463"/>
        <v>04-08-2020 12:56:45</v>
      </c>
      <c r="B3583" t="str">
        <f>"0000807359"</f>
        <v>0000807359</v>
      </c>
      <c r="C3583" t="str">
        <f t="shared" si="1464"/>
        <v>0000807188</v>
      </c>
      <c r="D3583" t="str">
        <f t="shared" si="1442"/>
        <v>73185</v>
      </c>
      <c r="E3583" t="str">
        <f t="shared" si="1443"/>
        <v>KFH-OPERATIONS DEPARTMENT</v>
      </c>
      <c r="F3583" t="str">
        <f t="shared" si="1444"/>
        <v>IBG</v>
      </c>
      <c r="G3583" t="str">
        <f t="shared" si="1457"/>
        <v>Refund COSHARE 10</v>
      </c>
      <c r="H3583" s="2">
        <v>654.85</v>
      </c>
      <c r="I3583" t="str">
        <f>"MOHAMAD FIRDAUS AMIR BIN ISMAIL"</f>
        <v>MOHAMAD FIRDAUS AMIR BIN ISMAIL</v>
      </c>
      <c r="J3583" t="str">
        <f t="shared" si="1458"/>
        <v>MAYBANK / MAYBANK ISLAMIC</v>
      </c>
      <c r="K3583" t="str">
        <f>"157081294039"</f>
        <v>157081294039</v>
      </c>
      <c r="L3583" t="str">
        <f t="shared" si="1465"/>
        <v>04-08-2020</v>
      </c>
      <c r="M3583" t="str">
        <f t="shared" si="1465"/>
        <v>04-08-2020</v>
      </c>
      <c r="N3583" t="str">
        <f t="shared" si="1446"/>
        <v>001105018356</v>
      </c>
      <c r="O3583" t="str">
        <f t="shared" si="1447"/>
        <v>MYR</v>
      </c>
      <c r="P3583" t="str">
        <f t="shared" si="1466"/>
        <v>NIL</v>
      </c>
      <c r="Q3583" t="str">
        <f t="shared" si="1466"/>
        <v>NIL</v>
      </c>
      <c r="R3583" t="str">
        <f t="shared" si="1449"/>
        <v>Accepted</v>
      </c>
      <c r="S3583" t="str">
        <f t="shared" si="1450"/>
        <v>Approved</v>
      </c>
      <c r="T3583" t="str">
        <f t="shared" si="1451"/>
        <v>10.20.8.188</v>
      </c>
      <c r="U3583" t="str">
        <f t="shared" si="1452"/>
        <v>AZRAD UMAR BIN SHAARI</v>
      </c>
      <c r="V3583" t="str">
        <f t="shared" si="1453"/>
        <v>FARHANA BINTI MUSTAPA</v>
      </c>
      <c r="W3583" t="str">
        <f t="shared" si="1454"/>
        <v>04-08-2020</v>
      </c>
      <c r="X3583" t="str">
        <f t="shared" si="1455"/>
        <v>RAZIMAH ANSAR AHMAD</v>
      </c>
      <c r="Y3583" t="str">
        <f t="shared" si="1456"/>
        <v>04-08-2020</v>
      </c>
      <c r="Z3583" t="str">
        <f>"COS10200804 5371"</f>
        <v>COS10200804 5371</v>
      </c>
    </row>
    <row r="3584" spans="1:26" x14ac:dyDescent="0.25">
      <c r="A3584" t="str">
        <f t="shared" si="1463"/>
        <v>04-08-2020 12:56:45</v>
      </c>
      <c r="B3584" t="str">
        <f>"0000807358"</f>
        <v>0000807358</v>
      </c>
      <c r="C3584" t="str">
        <f t="shared" si="1464"/>
        <v>0000807188</v>
      </c>
      <c r="D3584" t="str">
        <f t="shared" si="1442"/>
        <v>73185</v>
      </c>
      <c r="E3584" t="str">
        <f t="shared" si="1443"/>
        <v>KFH-OPERATIONS DEPARTMENT</v>
      </c>
      <c r="F3584" t="str">
        <f t="shared" si="1444"/>
        <v>IBG</v>
      </c>
      <c r="G3584" t="str">
        <f t="shared" si="1457"/>
        <v>Refund COSHARE 10</v>
      </c>
      <c r="H3584" s="2">
        <v>621.25</v>
      </c>
      <c r="I3584" t="str">
        <f>"MOHAMAD FAZRULLAH BIN MOHAMMED"</f>
        <v>MOHAMAD FAZRULLAH BIN MOHAMMED</v>
      </c>
      <c r="J3584" t="str">
        <f t="shared" si="1458"/>
        <v>MAYBANK / MAYBANK ISLAMIC</v>
      </c>
      <c r="K3584" t="str">
        <f>"162188457742"</f>
        <v>162188457742</v>
      </c>
      <c r="L3584" t="str">
        <f t="shared" si="1465"/>
        <v>04-08-2020</v>
      </c>
      <c r="M3584" t="str">
        <f t="shared" si="1465"/>
        <v>04-08-2020</v>
      </c>
      <c r="N3584" t="str">
        <f t="shared" si="1446"/>
        <v>001105018356</v>
      </c>
      <c r="O3584" t="str">
        <f t="shared" si="1447"/>
        <v>MYR</v>
      </c>
      <c r="P3584" t="str">
        <f t="shared" si="1466"/>
        <v>NIL</v>
      </c>
      <c r="Q3584" t="str">
        <f t="shared" si="1466"/>
        <v>NIL</v>
      </c>
      <c r="R3584" t="str">
        <f t="shared" si="1449"/>
        <v>Accepted</v>
      </c>
      <c r="S3584" t="str">
        <f t="shared" si="1450"/>
        <v>Approved</v>
      </c>
      <c r="T3584" t="str">
        <f t="shared" si="1451"/>
        <v>10.20.8.188</v>
      </c>
      <c r="U3584" t="str">
        <f t="shared" si="1452"/>
        <v>AZRAD UMAR BIN SHAARI</v>
      </c>
      <c r="V3584" t="str">
        <f t="shared" si="1453"/>
        <v>FARHANA BINTI MUSTAPA</v>
      </c>
      <c r="W3584" t="str">
        <f t="shared" si="1454"/>
        <v>04-08-2020</v>
      </c>
      <c r="X3584" t="str">
        <f t="shared" si="1455"/>
        <v>RAZIMAH ANSAR AHMAD</v>
      </c>
      <c r="Y3584" t="str">
        <f t="shared" si="1456"/>
        <v>04-08-2020</v>
      </c>
      <c r="Z3584" t="str">
        <f>"COS10200804 5370"</f>
        <v>COS10200804 5370</v>
      </c>
    </row>
    <row r="3585" spans="1:26" x14ac:dyDescent="0.25">
      <c r="A3585" t="str">
        <f t="shared" si="1463"/>
        <v>04-08-2020 12:56:45</v>
      </c>
      <c r="B3585" t="str">
        <f>"0000807357"</f>
        <v>0000807357</v>
      </c>
      <c r="C3585" t="str">
        <f t="shared" si="1464"/>
        <v>0000807188</v>
      </c>
      <c r="D3585" t="str">
        <f t="shared" si="1442"/>
        <v>73185</v>
      </c>
      <c r="E3585" t="str">
        <f t="shared" si="1443"/>
        <v>KFH-OPERATIONS DEPARTMENT</v>
      </c>
      <c r="F3585" t="str">
        <f t="shared" si="1444"/>
        <v>IBG</v>
      </c>
      <c r="G3585" t="str">
        <f t="shared" si="1457"/>
        <v>Refund COSHARE 10</v>
      </c>
      <c r="H3585" s="2">
        <v>172</v>
      </c>
      <c r="I3585" t="str">
        <f>"MOHAMAD FAUZOL BIN BAHRON"</f>
        <v>MOHAMAD FAUZOL BIN BAHRON</v>
      </c>
      <c r="J3585" t="str">
        <f t="shared" si="1458"/>
        <v>MAYBANK / MAYBANK ISLAMIC</v>
      </c>
      <c r="K3585" t="str">
        <f>"161190048797"</f>
        <v>161190048797</v>
      </c>
      <c r="L3585" t="str">
        <f t="shared" si="1465"/>
        <v>04-08-2020</v>
      </c>
      <c r="M3585" t="str">
        <f t="shared" si="1465"/>
        <v>04-08-2020</v>
      </c>
      <c r="N3585" t="str">
        <f t="shared" si="1446"/>
        <v>001105018356</v>
      </c>
      <c r="O3585" t="str">
        <f t="shared" si="1447"/>
        <v>MYR</v>
      </c>
      <c r="P3585" t="str">
        <f t="shared" si="1466"/>
        <v>NIL</v>
      </c>
      <c r="Q3585" t="str">
        <f t="shared" si="1466"/>
        <v>NIL</v>
      </c>
      <c r="R3585" t="str">
        <f t="shared" si="1449"/>
        <v>Accepted</v>
      </c>
      <c r="S3585" t="str">
        <f t="shared" si="1450"/>
        <v>Approved</v>
      </c>
      <c r="T3585" t="str">
        <f t="shared" si="1451"/>
        <v>10.20.8.188</v>
      </c>
      <c r="U3585" t="str">
        <f t="shared" si="1452"/>
        <v>AZRAD UMAR BIN SHAARI</v>
      </c>
      <c r="V3585" t="str">
        <f t="shared" si="1453"/>
        <v>FARHANA BINTI MUSTAPA</v>
      </c>
      <c r="W3585" t="str">
        <f t="shared" si="1454"/>
        <v>04-08-2020</v>
      </c>
      <c r="X3585" t="str">
        <f t="shared" si="1455"/>
        <v>RAZIMAH ANSAR AHMAD</v>
      </c>
      <c r="Y3585" t="str">
        <f t="shared" si="1456"/>
        <v>04-08-2020</v>
      </c>
      <c r="Z3585" t="str">
        <f>"COS10200804 5369"</f>
        <v>COS10200804 5369</v>
      </c>
    </row>
    <row r="3586" spans="1:26" x14ac:dyDescent="0.25">
      <c r="A3586" t="str">
        <f t="shared" ref="A3586:A3617" si="1467">"04-08-2020 12:56:45"</f>
        <v>04-08-2020 12:56:45</v>
      </c>
      <c r="B3586" t="str">
        <f>"0000807356"</f>
        <v>0000807356</v>
      </c>
      <c r="C3586" t="str">
        <f t="shared" ref="C3586:C3617" si="1468">"0000807188"</f>
        <v>0000807188</v>
      </c>
      <c r="D3586" t="str">
        <f t="shared" si="1442"/>
        <v>73185</v>
      </c>
      <c r="E3586" t="str">
        <f t="shared" si="1443"/>
        <v>KFH-OPERATIONS DEPARTMENT</v>
      </c>
      <c r="F3586" t="str">
        <f t="shared" si="1444"/>
        <v>IBG</v>
      </c>
      <c r="G3586" t="str">
        <f t="shared" si="1457"/>
        <v>Refund COSHARE 10</v>
      </c>
      <c r="H3586" s="2">
        <v>665.3</v>
      </c>
      <c r="I3586" t="str">
        <f>"MOHAMAD FAUZI BIN ARIFIN"</f>
        <v>MOHAMAD FAUZI BIN ARIFIN</v>
      </c>
      <c r="J3586" t="str">
        <f t="shared" si="1458"/>
        <v>MAYBANK / MAYBANK ISLAMIC</v>
      </c>
      <c r="K3586" t="str">
        <f>"101245161759"</f>
        <v>101245161759</v>
      </c>
      <c r="L3586" t="str">
        <f t="shared" si="1465"/>
        <v>04-08-2020</v>
      </c>
      <c r="M3586" t="str">
        <f t="shared" si="1465"/>
        <v>04-08-2020</v>
      </c>
      <c r="N3586" t="str">
        <f t="shared" si="1446"/>
        <v>001105018356</v>
      </c>
      <c r="O3586" t="str">
        <f t="shared" si="1447"/>
        <v>MYR</v>
      </c>
      <c r="P3586" t="str">
        <f t="shared" si="1466"/>
        <v>NIL</v>
      </c>
      <c r="Q3586" t="str">
        <f t="shared" si="1466"/>
        <v>NIL</v>
      </c>
      <c r="R3586" t="str">
        <f t="shared" si="1449"/>
        <v>Accepted</v>
      </c>
      <c r="S3586" t="str">
        <f t="shared" si="1450"/>
        <v>Approved</v>
      </c>
      <c r="T3586" t="str">
        <f t="shared" si="1451"/>
        <v>10.20.8.188</v>
      </c>
      <c r="U3586" t="str">
        <f t="shared" si="1452"/>
        <v>AZRAD UMAR BIN SHAARI</v>
      </c>
      <c r="V3586" t="str">
        <f t="shared" si="1453"/>
        <v>FARHANA BINTI MUSTAPA</v>
      </c>
      <c r="W3586" t="str">
        <f t="shared" si="1454"/>
        <v>04-08-2020</v>
      </c>
      <c r="X3586" t="str">
        <f t="shared" si="1455"/>
        <v>RAZIMAH ANSAR AHMAD</v>
      </c>
      <c r="Y3586" t="str">
        <f t="shared" si="1456"/>
        <v>04-08-2020</v>
      </c>
      <c r="Z3586" t="str">
        <f>"COS10200804 5368"</f>
        <v>COS10200804 5368</v>
      </c>
    </row>
    <row r="3587" spans="1:26" x14ac:dyDescent="0.25">
      <c r="A3587" t="str">
        <f t="shared" si="1467"/>
        <v>04-08-2020 12:56:45</v>
      </c>
      <c r="B3587" t="str">
        <f>"0000807355"</f>
        <v>0000807355</v>
      </c>
      <c r="C3587" t="str">
        <f t="shared" si="1468"/>
        <v>0000807188</v>
      </c>
      <c r="D3587" t="str">
        <f t="shared" si="1442"/>
        <v>73185</v>
      </c>
      <c r="E3587" t="str">
        <f t="shared" si="1443"/>
        <v>KFH-OPERATIONS DEPARTMENT</v>
      </c>
      <c r="F3587" t="str">
        <f t="shared" si="1444"/>
        <v>IBG</v>
      </c>
      <c r="G3587" t="str">
        <f t="shared" si="1457"/>
        <v>Refund COSHARE 10</v>
      </c>
      <c r="H3587" s="2">
        <v>386</v>
      </c>
      <c r="I3587" t="str">
        <f>"MOHAMAD FAUHIZAL BIN OMAR"</f>
        <v>MOHAMAD FAUHIZAL BIN OMAR</v>
      </c>
      <c r="J3587" t="str">
        <f t="shared" si="1458"/>
        <v>MAYBANK / MAYBANK ISLAMIC</v>
      </c>
      <c r="K3587" t="str">
        <f>"152040332116"</f>
        <v>152040332116</v>
      </c>
      <c r="L3587" t="str">
        <f t="shared" ref="L3587:M3606" si="1469">"04-08-2020"</f>
        <v>04-08-2020</v>
      </c>
      <c r="M3587" t="str">
        <f t="shared" si="1469"/>
        <v>04-08-2020</v>
      </c>
      <c r="N3587" t="str">
        <f t="shared" si="1446"/>
        <v>001105018356</v>
      </c>
      <c r="O3587" t="str">
        <f t="shared" si="1447"/>
        <v>MYR</v>
      </c>
      <c r="P3587" t="str">
        <f t="shared" ref="P3587:Q3606" si="1470">"NIL"</f>
        <v>NIL</v>
      </c>
      <c r="Q3587" t="str">
        <f t="shared" si="1470"/>
        <v>NIL</v>
      </c>
      <c r="R3587" t="str">
        <f t="shared" si="1449"/>
        <v>Accepted</v>
      </c>
      <c r="S3587" t="str">
        <f t="shared" si="1450"/>
        <v>Approved</v>
      </c>
      <c r="T3587" t="str">
        <f t="shared" si="1451"/>
        <v>10.20.8.188</v>
      </c>
      <c r="U3587" t="str">
        <f t="shared" si="1452"/>
        <v>AZRAD UMAR BIN SHAARI</v>
      </c>
      <c r="V3587" t="str">
        <f t="shared" si="1453"/>
        <v>FARHANA BINTI MUSTAPA</v>
      </c>
      <c r="W3587" t="str">
        <f t="shared" si="1454"/>
        <v>04-08-2020</v>
      </c>
      <c r="X3587" t="str">
        <f t="shared" si="1455"/>
        <v>RAZIMAH ANSAR AHMAD</v>
      </c>
      <c r="Y3587" t="str">
        <f t="shared" si="1456"/>
        <v>04-08-2020</v>
      </c>
      <c r="Z3587" t="str">
        <f>"COS10200804 5367"</f>
        <v>COS10200804 5367</v>
      </c>
    </row>
    <row r="3588" spans="1:26" x14ac:dyDescent="0.25">
      <c r="A3588" t="str">
        <f t="shared" si="1467"/>
        <v>04-08-2020 12:56:45</v>
      </c>
      <c r="B3588" t="str">
        <f>"0000807354"</f>
        <v>0000807354</v>
      </c>
      <c r="C3588" t="str">
        <f t="shared" si="1468"/>
        <v>0000807188</v>
      </c>
      <c r="D3588" t="str">
        <f t="shared" si="1442"/>
        <v>73185</v>
      </c>
      <c r="E3588" t="str">
        <f t="shared" si="1443"/>
        <v>KFH-OPERATIONS DEPARTMENT</v>
      </c>
      <c r="F3588" t="str">
        <f t="shared" si="1444"/>
        <v>IBG</v>
      </c>
      <c r="G3588" t="str">
        <f t="shared" si="1457"/>
        <v>Refund COSHARE 10</v>
      </c>
      <c r="H3588" s="2">
        <v>1241.8499999999999</v>
      </c>
      <c r="I3588" t="str">
        <f>"MOHAMAD FAROUK BIN ESHAK"</f>
        <v>MOHAMAD FAROUK BIN ESHAK</v>
      </c>
      <c r="J3588" t="str">
        <f t="shared" si="1458"/>
        <v>MAYBANK / MAYBANK ISLAMIC</v>
      </c>
      <c r="K3588" t="str">
        <f>"102090241491"</f>
        <v>102090241491</v>
      </c>
      <c r="L3588" t="str">
        <f t="shared" si="1469"/>
        <v>04-08-2020</v>
      </c>
      <c r="M3588" t="str">
        <f t="shared" si="1469"/>
        <v>04-08-2020</v>
      </c>
      <c r="N3588" t="str">
        <f t="shared" si="1446"/>
        <v>001105018356</v>
      </c>
      <c r="O3588" t="str">
        <f t="shared" si="1447"/>
        <v>MYR</v>
      </c>
      <c r="P3588" t="str">
        <f t="shared" si="1470"/>
        <v>NIL</v>
      </c>
      <c r="Q3588" t="str">
        <f t="shared" si="1470"/>
        <v>NIL</v>
      </c>
      <c r="R3588" t="str">
        <f t="shared" si="1449"/>
        <v>Accepted</v>
      </c>
      <c r="S3588" t="str">
        <f t="shared" si="1450"/>
        <v>Approved</v>
      </c>
      <c r="T3588" t="str">
        <f t="shared" si="1451"/>
        <v>10.20.8.188</v>
      </c>
      <c r="U3588" t="str">
        <f t="shared" si="1452"/>
        <v>AZRAD UMAR BIN SHAARI</v>
      </c>
      <c r="V3588" t="str">
        <f t="shared" si="1453"/>
        <v>FARHANA BINTI MUSTAPA</v>
      </c>
      <c r="W3588" t="str">
        <f t="shared" si="1454"/>
        <v>04-08-2020</v>
      </c>
      <c r="X3588" t="str">
        <f t="shared" si="1455"/>
        <v>RAZIMAH ANSAR AHMAD</v>
      </c>
      <c r="Y3588" t="str">
        <f t="shared" si="1456"/>
        <v>04-08-2020</v>
      </c>
      <c r="Z3588" t="str">
        <f>"COS10200804 5366"</f>
        <v>COS10200804 5366</v>
      </c>
    </row>
    <row r="3589" spans="1:26" x14ac:dyDescent="0.25">
      <c r="A3589" t="str">
        <f t="shared" si="1467"/>
        <v>04-08-2020 12:56:45</v>
      </c>
      <c r="B3589" t="str">
        <f>"0000807353"</f>
        <v>0000807353</v>
      </c>
      <c r="C3589" t="str">
        <f t="shared" si="1468"/>
        <v>0000807188</v>
      </c>
      <c r="D3589" t="str">
        <f t="shared" si="1442"/>
        <v>73185</v>
      </c>
      <c r="E3589" t="str">
        <f t="shared" si="1443"/>
        <v>KFH-OPERATIONS DEPARTMENT</v>
      </c>
      <c r="F3589" t="str">
        <f t="shared" si="1444"/>
        <v>IBG</v>
      </c>
      <c r="G3589" t="str">
        <f t="shared" si="1457"/>
        <v>Refund COSHARE 10</v>
      </c>
      <c r="H3589" s="2">
        <v>289</v>
      </c>
      <c r="I3589" t="str">
        <f>"MOHAMAD FAIZREEN BIN RAMLI"</f>
        <v>MOHAMAD FAIZREEN BIN RAMLI</v>
      </c>
      <c r="J3589" t="str">
        <f t="shared" si="1458"/>
        <v>MAYBANK / MAYBANK ISLAMIC</v>
      </c>
      <c r="K3589" t="str">
        <f>"151119155577"</f>
        <v>151119155577</v>
      </c>
      <c r="L3589" t="str">
        <f t="shared" si="1469"/>
        <v>04-08-2020</v>
      </c>
      <c r="M3589" t="str">
        <f t="shared" si="1469"/>
        <v>04-08-2020</v>
      </c>
      <c r="N3589" t="str">
        <f t="shared" si="1446"/>
        <v>001105018356</v>
      </c>
      <c r="O3589" t="str">
        <f t="shared" si="1447"/>
        <v>MYR</v>
      </c>
      <c r="P3589" t="str">
        <f t="shared" si="1470"/>
        <v>NIL</v>
      </c>
      <c r="Q3589" t="str">
        <f t="shared" si="1470"/>
        <v>NIL</v>
      </c>
      <c r="R3589" t="str">
        <f t="shared" si="1449"/>
        <v>Accepted</v>
      </c>
      <c r="S3589" t="str">
        <f t="shared" si="1450"/>
        <v>Approved</v>
      </c>
      <c r="T3589" t="str">
        <f t="shared" si="1451"/>
        <v>10.20.8.188</v>
      </c>
      <c r="U3589" t="str">
        <f t="shared" si="1452"/>
        <v>AZRAD UMAR BIN SHAARI</v>
      </c>
      <c r="V3589" t="str">
        <f t="shared" si="1453"/>
        <v>FARHANA BINTI MUSTAPA</v>
      </c>
      <c r="W3589" t="str">
        <f t="shared" si="1454"/>
        <v>04-08-2020</v>
      </c>
      <c r="X3589" t="str">
        <f t="shared" si="1455"/>
        <v>RAZIMAH ANSAR AHMAD</v>
      </c>
      <c r="Y3589" t="str">
        <f t="shared" si="1456"/>
        <v>04-08-2020</v>
      </c>
      <c r="Z3589" t="str">
        <f>"COS10200804 5365"</f>
        <v>COS10200804 5365</v>
      </c>
    </row>
    <row r="3590" spans="1:26" x14ac:dyDescent="0.25">
      <c r="A3590" t="str">
        <f t="shared" si="1467"/>
        <v>04-08-2020 12:56:45</v>
      </c>
      <c r="B3590" t="str">
        <f>"0000807352"</f>
        <v>0000807352</v>
      </c>
      <c r="C3590" t="str">
        <f t="shared" si="1468"/>
        <v>0000807188</v>
      </c>
      <c r="D3590" t="str">
        <f t="shared" si="1442"/>
        <v>73185</v>
      </c>
      <c r="E3590" t="str">
        <f t="shared" si="1443"/>
        <v>KFH-OPERATIONS DEPARTMENT</v>
      </c>
      <c r="F3590" t="str">
        <f t="shared" si="1444"/>
        <v>IBG</v>
      </c>
      <c r="G3590" t="str">
        <f t="shared" si="1457"/>
        <v>Refund COSHARE 10</v>
      </c>
      <c r="H3590" s="2">
        <v>201.5</v>
      </c>
      <c r="I3590" t="str">
        <f>"MOHAMAD FAIZAL BIN HASAN"</f>
        <v>MOHAMAD FAIZAL BIN HASAN</v>
      </c>
      <c r="J3590" t="str">
        <f t="shared" si="1458"/>
        <v>MAYBANK / MAYBANK ISLAMIC</v>
      </c>
      <c r="K3590" t="str">
        <f>"152116031676"</f>
        <v>152116031676</v>
      </c>
      <c r="L3590" t="str">
        <f t="shared" si="1469"/>
        <v>04-08-2020</v>
      </c>
      <c r="M3590" t="str">
        <f t="shared" si="1469"/>
        <v>04-08-2020</v>
      </c>
      <c r="N3590" t="str">
        <f t="shared" si="1446"/>
        <v>001105018356</v>
      </c>
      <c r="O3590" t="str">
        <f t="shared" si="1447"/>
        <v>MYR</v>
      </c>
      <c r="P3590" t="str">
        <f t="shared" si="1470"/>
        <v>NIL</v>
      </c>
      <c r="Q3590" t="str">
        <f t="shared" si="1470"/>
        <v>NIL</v>
      </c>
      <c r="R3590" t="str">
        <f t="shared" si="1449"/>
        <v>Accepted</v>
      </c>
      <c r="S3590" t="str">
        <f t="shared" si="1450"/>
        <v>Approved</v>
      </c>
      <c r="T3590" t="str">
        <f t="shared" si="1451"/>
        <v>10.20.8.188</v>
      </c>
      <c r="U3590" t="str">
        <f t="shared" si="1452"/>
        <v>AZRAD UMAR BIN SHAARI</v>
      </c>
      <c r="V3590" t="str">
        <f t="shared" si="1453"/>
        <v>FARHANA BINTI MUSTAPA</v>
      </c>
      <c r="W3590" t="str">
        <f t="shared" si="1454"/>
        <v>04-08-2020</v>
      </c>
      <c r="X3590" t="str">
        <f t="shared" si="1455"/>
        <v>RAZIMAH ANSAR AHMAD</v>
      </c>
      <c r="Y3590" t="str">
        <f t="shared" si="1456"/>
        <v>04-08-2020</v>
      </c>
      <c r="Z3590" t="str">
        <f>"COS10200804 5364"</f>
        <v>COS10200804 5364</v>
      </c>
    </row>
    <row r="3591" spans="1:26" x14ac:dyDescent="0.25">
      <c r="A3591" t="str">
        <f t="shared" si="1467"/>
        <v>04-08-2020 12:56:45</v>
      </c>
      <c r="B3591" t="str">
        <f>"0000807351"</f>
        <v>0000807351</v>
      </c>
      <c r="C3591" t="str">
        <f t="shared" si="1468"/>
        <v>0000807188</v>
      </c>
      <c r="D3591" t="str">
        <f t="shared" ref="D3591:D3654" si="1471">"73185"</f>
        <v>73185</v>
      </c>
      <c r="E3591" t="str">
        <f t="shared" ref="E3591:E3654" si="1472">"KFH-OPERATIONS DEPARTMENT"</f>
        <v>KFH-OPERATIONS DEPARTMENT</v>
      </c>
      <c r="F3591" t="str">
        <f t="shared" ref="F3591:F3654" si="1473">"IBG"</f>
        <v>IBG</v>
      </c>
      <c r="G3591" t="str">
        <f t="shared" si="1457"/>
        <v>Refund COSHARE 10</v>
      </c>
      <c r="H3591" s="2">
        <v>125.95</v>
      </c>
      <c r="I3591" t="str">
        <f>"MOHAMAD FAISAL BIN JAMALUDIN"</f>
        <v>MOHAMAD FAISAL BIN JAMALUDIN</v>
      </c>
      <c r="J3591" t="str">
        <f t="shared" si="1458"/>
        <v>MAYBANK / MAYBANK ISLAMIC</v>
      </c>
      <c r="K3591" t="str">
        <f>"156141203685"</f>
        <v>156141203685</v>
      </c>
      <c r="L3591" t="str">
        <f t="shared" si="1469"/>
        <v>04-08-2020</v>
      </c>
      <c r="M3591" t="str">
        <f t="shared" si="1469"/>
        <v>04-08-2020</v>
      </c>
      <c r="N3591" t="str">
        <f t="shared" ref="N3591:N3654" si="1474">"001105018356"</f>
        <v>001105018356</v>
      </c>
      <c r="O3591" t="str">
        <f t="shared" ref="O3591:O3654" si="1475">"MYR"</f>
        <v>MYR</v>
      </c>
      <c r="P3591" t="str">
        <f t="shared" si="1470"/>
        <v>NIL</v>
      </c>
      <c r="Q3591" t="str">
        <f t="shared" si="1470"/>
        <v>NIL</v>
      </c>
      <c r="R3591" t="str">
        <f t="shared" ref="R3591:R3654" si="1476">"Accepted"</f>
        <v>Accepted</v>
      </c>
      <c r="S3591" t="str">
        <f t="shared" ref="S3591:S3654" si="1477">"Approved"</f>
        <v>Approved</v>
      </c>
      <c r="T3591" t="str">
        <f t="shared" ref="T3591:T3654" si="1478">"10.20.8.188"</f>
        <v>10.20.8.188</v>
      </c>
      <c r="U3591" t="str">
        <f t="shared" ref="U3591:U3654" si="1479">"AZRAD UMAR BIN SHAARI"</f>
        <v>AZRAD UMAR BIN SHAARI</v>
      </c>
      <c r="V3591" t="str">
        <f t="shared" ref="V3591:V3654" si="1480">"FARHANA BINTI MUSTAPA"</f>
        <v>FARHANA BINTI MUSTAPA</v>
      </c>
      <c r="W3591" t="str">
        <f t="shared" ref="W3591:W3654" si="1481">"04-08-2020"</f>
        <v>04-08-2020</v>
      </c>
      <c r="X3591" t="str">
        <f t="shared" ref="X3591:X3654" si="1482">"RAZIMAH ANSAR AHMAD"</f>
        <v>RAZIMAH ANSAR AHMAD</v>
      </c>
      <c r="Y3591" t="str">
        <f t="shared" ref="Y3591:Y3654" si="1483">"04-08-2020"</f>
        <v>04-08-2020</v>
      </c>
      <c r="Z3591" t="str">
        <f>"COS10200804 5363"</f>
        <v>COS10200804 5363</v>
      </c>
    </row>
    <row r="3592" spans="1:26" x14ac:dyDescent="0.25">
      <c r="A3592" t="str">
        <f t="shared" si="1467"/>
        <v>04-08-2020 12:56:45</v>
      </c>
      <c r="B3592" t="str">
        <f>"0000807350"</f>
        <v>0000807350</v>
      </c>
      <c r="C3592" t="str">
        <f t="shared" si="1468"/>
        <v>0000807188</v>
      </c>
      <c r="D3592" t="str">
        <f t="shared" si="1471"/>
        <v>73185</v>
      </c>
      <c r="E3592" t="str">
        <f t="shared" si="1472"/>
        <v>KFH-OPERATIONS DEPARTMENT</v>
      </c>
      <c r="F3592" t="str">
        <f t="shared" si="1473"/>
        <v>IBG</v>
      </c>
      <c r="G3592" t="str">
        <f t="shared" si="1457"/>
        <v>Refund COSHARE 10</v>
      </c>
      <c r="H3592" s="2">
        <v>226.7</v>
      </c>
      <c r="I3592" t="str">
        <f>"MOHAMAD FAIRUZ BIN JUAKHIR"</f>
        <v>MOHAMAD FAIRUZ BIN JUAKHIR</v>
      </c>
      <c r="J3592" t="str">
        <f t="shared" si="1458"/>
        <v>MAYBANK / MAYBANK ISLAMIC</v>
      </c>
      <c r="K3592" t="str">
        <f>"162049843663"</f>
        <v>162049843663</v>
      </c>
      <c r="L3592" t="str">
        <f t="shared" si="1469"/>
        <v>04-08-2020</v>
      </c>
      <c r="M3592" t="str">
        <f t="shared" si="1469"/>
        <v>04-08-2020</v>
      </c>
      <c r="N3592" t="str">
        <f t="shared" si="1474"/>
        <v>001105018356</v>
      </c>
      <c r="O3592" t="str">
        <f t="shared" si="1475"/>
        <v>MYR</v>
      </c>
      <c r="P3592" t="str">
        <f t="shared" si="1470"/>
        <v>NIL</v>
      </c>
      <c r="Q3592" t="str">
        <f t="shared" si="1470"/>
        <v>NIL</v>
      </c>
      <c r="R3592" t="str">
        <f t="shared" si="1476"/>
        <v>Accepted</v>
      </c>
      <c r="S3592" t="str">
        <f t="shared" si="1477"/>
        <v>Approved</v>
      </c>
      <c r="T3592" t="str">
        <f t="shared" si="1478"/>
        <v>10.20.8.188</v>
      </c>
      <c r="U3592" t="str">
        <f t="shared" si="1479"/>
        <v>AZRAD UMAR BIN SHAARI</v>
      </c>
      <c r="V3592" t="str">
        <f t="shared" si="1480"/>
        <v>FARHANA BINTI MUSTAPA</v>
      </c>
      <c r="W3592" t="str">
        <f t="shared" si="1481"/>
        <v>04-08-2020</v>
      </c>
      <c r="X3592" t="str">
        <f t="shared" si="1482"/>
        <v>RAZIMAH ANSAR AHMAD</v>
      </c>
      <c r="Y3592" t="str">
        <f t="shared" si="1483"/>
        <v>04-08-2020</v>
      </c>
      <c r="Z3592" t="str">
        <f>"COS10200804 5362"</f>
        <v>COS10200804 5362</v>
      </c>
    </row>
    <row r="3593" spans="1:26" x14ac:dyDescent="0.25">
      <c r="A3593" t="str">
        <f t="shared" si="1467"/>
        <v>04-08-2020 12:56:45</v>
      </c>
      <c r="B3593" t="str">
        <f>"0000807349"</f>
        <v>0000807349</v>
      </c>
      <c r="C3593" t="str">
        <f t="shared" si="1468"/>
        <v>0000807188</v>
      </c>
      <c r="D3593" t="str">
        <f t="shared" si="1471"/>
        <v>73185</v>
      </c>
      <c r="E3593" t="str">
        <f t="shared" si="1472"/>
        <v>KFH-OPERATIONS DEPARTMENT</v>
      </c>
      <c r="F3593" t="str">
        <f t="shared" si="1473"/>
        <v>IBG</v>
      </c>
      <c r="G3593" t="str">
        <f t="shared" si="1457"/>
        <v>Refund COSHARE 10</v>
      </c>
      <c r="H3593" s="2">
        <v>683</v>
      </c>
      <c r="I3593" t="str">
        <f>"MOHAMAD FADZLI BIN BAHARUDDIN"</f>
        <v>MOHAMAD FADZLI BIN BAHARUDDIN</v>
      </c>
      <c r="J3593" t="str">
        <f t="shared" si="1458"/>
        <v>MAYBANK / MAYBANK ISLAMIC</v>
      </c>
      <c r="K3593" t="str">
        <f>"105130166177"</f>
        <v>105130166177</v>
      </c>
      <c r="L3593" t="str">
        <f t="shared" si="1469"/>
        <v>04-08-2020</v>
      </c>
      <c r="M3593" t="str">
        <f t="shared" si="1469"/>
        <v>04-08-2020</v>
      </c>
      <c r="N3593" t="str">
        <f t="shared" si="1474"/>
        <v>001105018356</v>
      </c>
      <c r="O3593" t="str">
        <f t="shared" si="1475"/>
        <v>MYR</v>
      </c>
      <c r="P3593" t="str">
        <f t="shared" si="1470"/>
        <v>NIL</v>
      </c>
      <c r="Q3593" t="str">
        <f t="shared" si="1470"/>
        <v>NIL</v>
      </c>
      <c r="R3593" t="str">
        <f t="shared" si="1476"/>
        <v>Accepted</v>
      </c>
      <c r="S3593" t="str">
        <f t="shared" si="1477"/>
        <v>Approved</v>
      </c>
      <c r="T3593" t="str">
        <f t="shared" si="1478"/>
        <v>10.20.8.188</v>
      </c>
      <c r="U3593" t="str">
        <f t="shared" si="1479"/>
        <v>AZRAD UMAR BIN SHAARI</v>
      </c>
      <c r="V3593" t="str">
        <f t="shared" si="1480"/>
        <v>FARHANA BINTI MUSTAPA</v>
      </c>
      <c r="W3593" t="str">
        <f t="shared" si="1481"/>
        <v>04-08-2020</v>
      </c>
      <c r="X3593" t="str">
        <f t="shared" si="1482"/>
        <v>RAZIMAH ANSAR AHMAD</v>
      </c>
      <c r="Y3593" t="str">
        <f t="shared" si="1483"/>
        <v>04-08-2020</v>
      </c>
      <c r="Z3593" t="str">
        <f>"COS10200804 5361"</f>
        <v>COS10200804 5361</v>
      </c>
    </row>
    <row r="3594" spans="1:26" x14ac:dyDescent="0.25">
      <c r="A3594" t="str">
        <f t="shared" si="1467"/>
        <v>04-08-2020 12:56:45</v>
      </c>
      <c r="B3594" t="str">
        <f>"0000807348"</f>
        <v>0000807348</v>
      </c>
      <c r="C3594" t="str">
        <f t="shared" si="1468"/>
        <v>0000807188</v>
      </c>
      <c r="D3594" t="str">
        <f t="shared" si="1471"/>
        <v>73185</v>
      </c>
      <c r="E3594" t="str">
        <f t="shared" si="1472"/>
        <v>KFH-OPERATIONS DEPARTMENT</v>
      </c>
      <c r="F3594" t="str">
        <f t="shared" si="1473"/>
        <v>IBG</v>
      </c>
      <c r="G3594" t="str">
        <f t="shared" si="1457"/>
        <v>Refund COSHARE 10</v>
      </c>
      <c r="H3594" s="2">
        <v>1259.25</v>
      </c>
      <c r="I3594" t="str">
        <f>"MOHAMAD ERWAN BIN AHMAD"</f>
        <v>MOHAMAD ERWAN BIN AHMAD</v>
      </c>
      <c r="J3594" t="str">
        <f t="shared" si="1458"/>
        <v>MAYBANK / MAYBANK ISLAMIC</v>
      </c>
      <c r="K3594" t="str">
        <f>"160018622065"</f>
        <v>160018622065</v>
      </c>
      <c r="L3594" t="str">
        <f t="shared" si="1469"/>
        <v>04-08-2020</v>
      </c>
      <c r="M3594" t="str">
        <f t="shared" si="1469"/>
        <v>04-08-2020</v>
      </c>
      <c r="N3594" t="str">
        <f t="shared" si="1474"/>
        <v>001105018356</v>
      </c>
      <c r="O3594" t="str">
        <f t="shared" si="1475"/>
        <v>MYR</v>
      </c>
      <c r="P3594" t="str">
        <f t="shared" si="1470"/>
        <v>NIL</v>
      </c>
      <c r="Q3594" t="str">
        <f t="shared" si="1470"/>
        <v>NIL</v>
      </c>
      <c r="R3594" t="str">
        <f t="shared" si="1476"/>
        <v>Accepted</v>
      </c>
      <c r="S3594" t="str">
        <f t="shared" si="1477"/>
        <v>Approved</v>
      </c>
      <c r="T3594" t="str">
        <f t="shared" si="1478"/>
        <v>10.20.8.188</v>
      </c>
      <c r="U3594" t="str">
        <f t="shared" si="1479"/>
        <v>AZRAD UMAR BIN SHAARI</v>
      </c>
      <c r="V3594" t="str">
        <f t="shared" si="1480"/>
        <v>FARHANA BINTI MUSTAPA</v>
      </c>
      <c r="W3594" t="str">
        <f t="shared" si="1481"/>
        <v>04-08-2020</v>
      </c>
      <c r="X3594" t="str">
        <f t="shared" si="1482"/>
        <v>RAZIMAH ANSAR AHMAD</v>
      </c>
      <c r="Y3594" t="str">
        <f t="shared" si="1483"/>
        <v>04-08-2020</v>
      </c>
      <c r="Z3594" t="str">
        <f>"COS10200804 5360"</f>
        <v>COS10200804 5360</v>
      </c>
    </row>
    <row r="3595" spans="1:26" x14ac:dyDescent="0.25">
      <c r="A3595" t="str">
        <f t="shared" si="1467"/>
        <v>04-08-2020 12:56:45</v>
      </c>
      <c r="B3595" t="str">
        <f>"0000807347"</f>
        <v>0000807347</v>
      </c>
      <c r="C3595" t="str">
        <f t="shared" si="1468"/>
        <v>0000807188</v>
      </c>
      <c r="D3595" t="str">
        <f t="shared" si="1471"/>
        <v>73185</v>
      </c>
      <c r="E3595" t="str">
        <f t="shared" si="1472"/>
        <v>KFH-OPERATIONS DEPARTMENT</v>
      </c>
      <c r="F3595" t="str">
        <f t="shared" si="1473"/>
        <v>IBG</v>
      </c>
      <c r="G3595" t="str">
        <f t="shared" si="1457"/>
        <v>Refund COSHARE 10</v>
      </c>
      <c r="H3595" s="2">
        <v>940.25</v>
      </c>
      <c r="I3595" t="str">
        <f>"MOHAMAD EDZUAN SHAH BIN ABDUL SANI"</f>
        <v>MOHAMAD EDZUAN SHAH BIN ABDUL SANI</v>
      </c>
      <c r="J3595" t="str">
        <f t="shared" si="1458"/>
        <v>MAYBANK / MAYBANK ISLAMIC</v>
      </c>
      <c r="K3595" t="str">
        <f>"153038522541"</f>
        <v>153038522541</v>
      </c>
      <c r="L3595" t="str">
        <f t="shared" si="1469"/>
        <v>04-08-2020</v>
      </c>
      <c r="M3595" t="str">
        <f t="shared" si="1469"/>
        <v>04-08-2020</v>
      </c>
      <c r="N3595" t="str">
        <f t="shared" si="1474"/>
        <v>001105018356</v>
      </c>
      <c r="O3595" t="str">
        <f t="shared" si="1475"/>
        <v>MYR</v>
      </c>
      <c r="P3595" t="str">
        <f t="shared" si="1470"/>
        <v>NIL</v>
      </c>
      <c r="Q3595" t="str">
        <f t="shared" si="1470"/>
        <v>NIL</v>
      </c>
      <c r="R3595" t="str">
        <f t="shared" si="1476"/>
        <v>Accepted</v>
      </c>
      <c r="S3595" t="str">
        <f t="shared" si="1477"/>
        <v>Approved</v>
      </c>
      <c r="T3595" t="str">
        <f t="shared" si="1478"/>
        <v>10.20.8.188</v>
      </c>
      <c r="U3595" t="str">
        <f t="shared" si="1479"/>
        <v>AZRAD UMAR BIN SHAARI</v>
      </c>
      <c r="V3595" t="str">
        <f t="shared" si="1480"/>
        <v>FARHANA BINTI MUSTAPA</v>
      </c>
      <c r="W3595" t="str">
        <f t="shared" si="1481"/>
        <v>04-08-2020</v>
      </c>
      <c r="X3595" t="str">
        <f t="shared" si="1482"/>
        <v>RAZIMAH ANSAR AHMAD</v>
      </c>
      <c r="Y3595" t="str">
        <f t="shared" si="1483"/>
        <v>04-08-2020</v>
      </c>
      <c r="Z3595" t="str">
        <f>"COS10200804 5359"</f>
        <v>COS10200804 5359</v>
      </c>
    </row>
    <row r="3596" spans="1:26" x14ac:dyDescent="0.25">
      <c r="A3596" t="str">
        <f t="shared" si="1467"/>
        <v>04-08-2020 12:56:45</v>
      </c>
      <c r="B3596" t="str">
        <f>"0000807346"</f>
        <v>0000807346</v>
      </c>
      <c r="C3596" t="str">
        <f t="shared" si="1468"/>
        <v>0000807188</v>
      </c>
      <c r="D3596" t="str">
        <f t="shared" si="1471"/>
        <v>73185</v>
      </c>
      <c r="E3596" t="str">
        <f t="shared" si="1472"/>
        <v>KFH-OPERATIONS DEPARTMENT</v>
      </c>
      <c r="F3596" t="str">
        <f t="shared" si="1473"/>
        <v>IBG</v>
      </c>
      <c r="G3596" t="str">
        <f t="shared" ref="G3596:G3659" si="1484">"Refund COSHARE 10"</f>
        <v>Refund COSHARE 10</v>
      </c>
      <c r="H3596" s="2">
        <v>1374.9</v>
      </c>
      <c r="I3596" t="str">
        <f>"MOHAMAD DESA BIN SHUIB"</f>
        <v>MOHAMAD DESA BIN SHUIB</v>
      </c>
      <c r="J3596" t="str">
        <f t="shared" si="1458"/>
        <v>MAYBANK / MAYBANK ISLAMIC</v>
      </c>
      <c r="K3596" t="str">
        <f>"102055230471"</f>
        <v>102055230471</v>
      </c>
      <c r="L3596" t="str">
        <f t="shared" si="1469"/>
        <v>04-08-2020</v>
      </c>
      <c r="M3596" t="str">
        <f t="shared" si="1469"/>
        <v>04-08-2020</v>
      </c>
      <c r="N3596" t="str">
        <f t="shared" si="1474"/>
        <v>001105018356</v>
      </c>
      <c r="O3596" t="str">
        <f t="shared" si="1475"/>
        <v>MYR</v>
      </c>
      <c r="P3596" t="str">
        <f t="shared" si="1470"/>
        <v>NIL</v>
      </c>
      <c r="Q3596" t="str">
        <f t="shared" si="1470"/>
        <v>NIL</v>
      </c>
      <c r="R3596" t="str">
        <f t="shared" si="1476"/>
        <v>Accepted</v>
      </c>
      <c r="S3596" t="str">
        <f t="shared" si="1477"/>
        <v>Approved</v>
      </c>
      <c r="T3596" t="str">
        <f t="shared" si="1478"/>
        <v>10.20.8.188</v>
      </c>
      <c r="U3596" t="str">
        <f t="shared" si="1479"/>
        <v>AZRAD UMAR BIN SHAARI</v>
      </c>
      <c r="V3596" t="str">
        <f t="shared" si="1480"/>
        <v>FARHANA BINTI MUSTAPA</v>
      </c>
      <c r="W3596" t="str">
        <f t="shared" si="1481"/>
        <v>04-08-2020</v>
      </c>
      <c r="X3596" t="str">
        <f t="shared" si="1482"/>
        <v>RAZIMAH ANSAR AHMAD</v>
      </c>
      <c r="Y3596" t="str">
        <f t="shared" si="1483"/>
        <v>04-08-2020</v>
      </c>
      <c r="Z3596" t="str">
        <f>"COS10200804 5358"</f>
        <v>COS10200804 5358</v>
      </c>
    </row>
    <row r="3597" spans="1:26" x14ac:dyDescent="0.25">
      <c r="A3597" t="str">
        <f t="shared" si="1467"/>
        <v>04-08-2020 12:56:45</v>
      </c>
      <c r="B3597" t="str">
        <f>"0000807345"</f>
        <v>0000807345</v>
      </c>
      <c r="C3597" t="str">
        <f t="shared" si="1468"/>
        <v>0000807188</v>
      </c>
      <c r="D3597" t="str">
        <f t="shared" si="1471"/>
        <v>73185</v>
      </c>
      <c r="E3597" t="str">
        <f t="shared" si="1472"/>
        <v>KFH-OPERATIONS DEPARTMENT</v>
      </c>
      <c r="F3597" t="str">
        <f t="shared" si="1473"/>
        <v>IBG</v>
      </c>
      <c r="G3597" t="str">
        <f t="shared" si="1484"/>
        <v>Refund COSHARE 10</v>
      </c>
      <c r="H3597" s="2">
        <v>56.3</v>
      </c>
      <c r="I3597" t="str">
        <f>"MOHAMAD BUKHAREE BIN OMAR"</f>
        <v>MOHAMAD BUKHAREE BIN OMAR</v>
      </c>
      <c r="J3597" t="str">
        <f t="shared" si="1458"/>
        <v>MAYBANK / MAYBANK ISLAMIC</v>
      </c>
      <c r="K3597" t="str">
        <f>"152023072948"</f>
        <v>152023072948</v>
      </c>
      <c r="L3597" t="str">
        <f t="shared" si="1469"/>
        <v>04-08-2020</v>
      </c>
      <c r="M3597" t="str">
        <f t="shared" si="1469"/>
        <v>04-08-2020</v>
      </c>
      <c r="N3597" t="str">
        <f t="shared" si="1474"/>
        <v>001105018356</v>
      </c>
      <c r="O3597" t="str">
        <f t="shared" si="1475"/>
        <v>MYR</v>
      </c>
      <c r="P3597" t="str">
        <f t="shared" si="1470"/>
        <v>NIL</v>
      </c>
      <c r="Q3597" t="str">
        <f t="shared" si="1470"/>
        <v>NIL</v>
      </c>
      <c r="R3597" t="str">
        <f t="shared" si="1476"/>
        <v>Accepted</v>
      </c>
      <c r="S3597" t="str">
        <f t="shared" si="1477"/>
        <v>Approved</v>
      </c>
      <c r="T3597" t="str">
        <f t="shared" si="1478"/>
        <v>10.20.8.188</v>
      </c>
      <c r="U3597" t="str">
        <f t="shared" si="1479"/>
        <v>AZRAD UMAR BIN SHAARI</v>
      </c>
      <c r="V3597" t="str">
        <f t="shared" si="1480"/>
        <v>FARHANA BINTI MUSTAPA</v>
      </c>
      <c r="W3597" t="str">
        <f t="shared" si="1481"/>
        <v>04-08-2020</v>
      </c>
      <c r="X3597" t="str">
        <f t="shared" si="1482"/>
        <v>RAZIMAH ANSAR AHMAD</v>
      </c>
      <c r="Y3597" t="str">
        <f t="shared" si="1483"/>
        <v>04-08-2020</v>
      </c>
      <c r="Z3597" t="str">
        <f>"COS10200804 5357"</f>
        <v>COS10200804 5357</v>
      </c>
    </row>
    <row r="3598" spans="1:26" x14ac:dyDescent="0.25">
      <c r="A3598" t="str">
        <f t="shared" si="1467"/>
        <v>04-08-2020 12:56:45</v>
      </c>
      <c r="B3598" t="str">
        <f>"0000807344"</f>
        <v>0000807344</v>
      </c>
      <c r="C3598" t="str">
        <f t="shared" si="1468"/>
        <v>0000807188</v>
      </c>
      <c r="D3598" t="str">
        <f t="shared" si="1471"/>
        <v>73185</v>
      </c>
      <c r="E3598" t="str">
        <f t="shared" si="1472"/>
        <v>KFH-OPERATIONS DEPARTMENT</v>
      </c>
      <c r="F3598" t="str">
        <f t="shared" si="1473"/>
        <v>IBG</v>
      </c>
      <c r="G3598" t="str">
        <f t="shared" si="1484"/>
        <v>Refund COSHARE 10</v>
      </c>
      <c r="H3598" s="2">
        <v>604.45000000000005</v>
      </c>
      <c r="I3598" t="str">
        <f>"MOHAMAD BIN ZAINAL ABIDIN"</f>
        <v>MOHAMAD BIN ZAINAL ABIDIN</v>
      </c>
      <c r="J3598" t="str">
        <f t="shared" si="1458"/>
        <v>MAYBANK / MAYBANK ISLAMIC</v>
      </c>
      <c r="K3598" t="str">
        <f>"152022957924"</f>
        <v>152022957924</v>
      </c>
      <c r="L3598" t="str">
        <f t="shared" si="1469"/>
        <v>04-08-2020</v>
      </c>
      <c r="M3598" t="str">
        <f t="shared" si="1469"/>
        <v>04-08-2020</v>
      </c>
      <c r="N3598" t="str">
        <f t="shared" si="1474"/>
        <v>001105018356</v>
      </c>
      <c r="O3598" t="str">
        <f t="shared" si="1475"/>
        <v>MYR</v>
      </c>
      <c r="P3598" t="str">
        <f t="shared" si="1470"/>
        <v>NIL</v>
      </c>
      <c r="Q3598" t="str">
        <f t="shared" si="1470"/>
        <v>NIL</v>
      </c>
      <c r="R3598" t="str">
        <f t="shared" si="1476"/>
        <v>Accepted</v>
      </c>
      <c r="S3598" t="str">
        <f t="shared" si="1477"/>
        <v>Approved</v>
      </c>
      <c r="T3598" t="str">
        <f t="shared" si="1478"/>
        <v>10.20.8.188</v>
      </c>
      <c r="U3598" t="str">
        <f t="shared" si="1479"/>
        <v>AZRAD UMAR BIN SHAARI</v>
      </c>
      <c r="V3598" t="str">
        <f t="shared" si="1480"/>
        <v>FARHANA BINTI MUSTAPA</v>
      </c>
      <c r="W3598" t="str">
        <f t="shared" si="1481"/>
        <v>04-08-2020</v>
      </c>
      <c r="X3598" t="str">
        <f t="shared" si="1482"/>
        <v>RAZIMAH ANSAR AHMAD</v>
      </c>
      <c r="Y3598" t="str">
        <f t="shared" si="1483"/>
        <v>04-08-2020</v>
      </c>
      <c r="Z3598" t="str">
        <f>"COS10200804 5356"</f>
        <v>COS10200804 5356</v>
      </c>
    </row>
    <row r="3599" spans="1:26" x14ac:dyDescent="0.25">
      <c r="A3599" t="str">
        <f t="shared" si="1467"/>
        <v>04-08-2020 12:56:45</v>
      </c>
      <c r="B3599" t="str">
        <f>"0000807343"</f>
        <v>0000807343</v>
      </c>
      <c r="C3599" t="str">
        <f t="shared" si="1468"/>
        <v>0000807188</v>
      </c>
      <c r="D3599" t="str">
        <f t="shared" si="1471"/>
        <v>73185</v>
      </c>
      <c r="E3599" t="str">
        <f t="shared" si="1472"/>
        <v>KFH-OPERATIONS DEPARTMENT</v>
      </c>
      <c r="F3599" t="str">
        <f t="shared" si="1473"/>
        <v>IBG</v>
      </c>
      <c r="G3599" t="str">
        <f t="shared" si="1484"/>
        <v>Refund COSHARE 10</v>
      </c>
      <c r="H3599" s="2">
        <v>549</v>
      </c>
      <c r="I3599" t="str">
        <f>"MOHAMAD BIN HASHIM"</f>
        <v>MOHAMAD BIN HASHIM</v>
      </c>
      <c r="J3599" t="str">
        <f t="shared" si="1458"/>
        <v>MAYBANK / MAYBANK ISLAMIC</v>
      </c>
      <c r="K3599" t="str">
        <f>"102072297153"</f>
        <v>102072297153</v>
      </c>
      <c r="L3599" t="str">
        <f t="shared" si="1469"/>
        <v>04-08-2020</v>
      </c>
      <c r="M3599" t="str">
        <f t="shared" si="1469"/>
        <v>04-08-2020</v>
      </c>
      <c r="N3599" t="str">
        <f t="shared" si="1474"/>
        <v>001105018356</v>
      </c>
      <c r="O3599" t="str">
        <f t="shared" si="1475"/>
        <v>MYR</v>
      </c>
      <c r="P3599" t="str">
        <f t="shared" si="1470"/>
        <v>NIL</v>
      </c>
      <c r="Q3599" t="str">
        <f t="shared" si="1470"/>
        <v>NIL</v>
      </c>
      <c r="R3599" t="str">
        <f t="shared" si="1476"/>
        <v>Accepted</v>
      </c>
      <c r="S3599" t="str">
        <f t="shared" si="1477"/>
        <v>Approved</v>
      </c>
      <c r="T3599" t="str">
        <f t="shared" si="1478"/>
        <v>10.20.8.188</v>
      </c>
      <c r="U3599" t="str">
        <f t="shared" si="1479"/>
        <v>AZRAD UMAR BIN SHAARI</v>
      </c>
      <c r="V3599" t="str">
        <f t="shared" si="1480"/>
        <v>FARHANA BINTI MUSTAPA</v>
      </c>
      <c r="W3599" t="str">
        <f t="shared" si="1481"/>
        <v>04-08-2020</v>
      </c>
      <c r="X3599" t="str">
        <f t="shared" si="1482"/>
        <v>RAZIMAH ANSAR AHMAD</v>
      </c>
      <c r="Y3599" t="str">
        <f t="shared" si="1483"/>
        <v>04-08-2020</v>
      </c>
      <c r="Z3599" t="str">
        <f>"COS10200804 5355"</f>
        <v>COS10200804 5355</v>
      </c>
    </row>
    <row r="3600" spans="1:26" x14ac:dyDescent="0.25">
      <c r="A3600" t="str">
        <f t="shared" si="1467"/>
        <v>04-08-2020 12:56:45</v>
      </c>
      <c r="B3600" t="str">
        <f>"0000807342"</f>
        <v>0000807342</v>
      </c>
      <c r="C3600" t="str">
        <f t="shared" si="1468"/>
        <v>0000807188</v>
      </c>
      <c r="D3600" t="str">
        <f t="shared" si="1471"/>
        <v>73185</v>
      </c>
      <c r="E3600" t="str">
        <f t="shared" si="1472"/>
        <v>KFH-OPERATIONS DEPARTMENT</v>
      </c>
      <c r="F3600" t="str">
        <f t="shared" si="1473"/>
        <v>IBG</v>
      </c>
      <c r="G3600" t="str">
        <f t="shared" si="1484"/>
        <v>Refund COSHARE 10</v>
      </c>
      <c r="H3600" s="2">
        <v>1052.25</v>
      </c>
      <c r="I3600" t="str">
        <f>"MOHAMAD BIN ARIP"</f>
        <v>MOHAMAD BIN ARIP</v>
      </c>
      <c r="J3600" t="str">
        <f t="shared" si="1458"/>
        <v>MAYBANK / MAYBANK ISLAMIC</v>
      </c>
      <c r="K3600" t="str">
        <f>"111114167935"</f>
        <v>111114167935</v>
      </c>
      <c r="L3600" t="str">
        <f t="shared" si="1469"/>
        <v>04-08-2020</v>
      </c>
      <c r="M3600" t="str">
        <f t="shared" si="1469"/>
        <v>04-08-2020</v>
      </c>
      <c r="N3600" t="str">
        <f t="shared" si="1474"/>
        <v>001105018356</v>
      </c>
      <c r="O3600" t="str">
        <f t="shared" si="1475"/>
        <v>MYR</v>
      </c>
      <c r="P3600" t="str">
        <f t="shared" si="1470"/>
        <v>NIL</v>
      </c>
      <c r="Q3600" t="str">
        <f t="shared" si="1470"/>
        <v>NIL</v>
      </c>
      <c r="R3600" t="str">
        <f t="shared" si="1476"/>
        <v>Accepted</v>
      </c>
      <c r="S3600" t="str">
        <f t="shared" si="1477"/>
        <v>Approved</v>
      </c>
      <c r="T3600" t="str">
        <f t="shared" si="1478"/>
        <v>10.20.8.188</v>
      </c>
      <c r="U3600" t="str">
        <f t="shared" si="1479"/>
        <v>AZRAD UMAR BIN SHAARI</v>
      </c>
      <c r="V3600" t="str">
        <f t="shared" si="1480"/>
        <v>FARHANA BINTI MUSTAPA</v>
      </c>
      <c r="W3600" t="str">
        <f t="shared" si="1481"/>
        <v>04-08-2020</v>
      </c>
      <c r="X3600" t="str">
        <f t="shared" si="1482"/>
        <v>RAZIMAH ANSAR AHMAD</v>
      </c>
      <c r="Y3600" t="str">
        <f t="shared" si="1483"/>
        <v>04-08-2020</v>
      </c>
      <c r="Z3600" t="str">
        <f>"COS10200804 5354"</f>
        <v>COS10200804 5354</v>
      </c>
    </row>
    <row r="3601" spans="1:26" x14ac:dyDescent="0.25">
      <c r="A3601" t="str">
        <f t="shared" si="1467"/>
        <v>04-08-2020 12:56:45</v>
      </c>
      <c r="B3601" t="str">
        <f>"0000807341"</f>
        <v>0000807341</v>
      </c>
      <c r="C3601" t="str">
        <f t="shared" si="1468"/>
        <v>0000807188</v>
      </c>
      <c r="D3601" t="str">
        <f t="shared" si="1471"/>
        <v>73185</v>
      </c>
      <c r="E3601" t="str">
        <f t="shared" si="1472"/>
        <v>KFH-OPERATIONS DEPARTMENT</v>
      </c>
      <c r="F3601" t="str">
        <f t="shared" si="1473"/>
        <v>IBG</v>
      </c>
      <c r="G3601" t="str">
        <f t="shared" si="1484"/>
        <v>Refund COSHARE 10</v>
      </c>
      <c r="H3601" s="2">
        <v>554.1</v>
      </c>
      <c r="I3601" t="str">
        <f>"MOHAMAD AZRI BIN SALIM"</f>
        <v>MOHAMAD AZRI BIN SALIM</v>
      </c>
      <c r="J3601" t="str">
        <f t="shared" ref="J3601:J3664" si="1485">"MAYBANK / MAYBANK ISLAMIC"</f>
        <v>MAYBANK / MAYBANK ISLAMIC</v>
      </c>
      <c r="K3601" t="str">
        <f>"162030653232"</f>
        <v>162030653232</v>
      </c>
      <c r="L3601" t="str">
        <f t="shared" si="1469"/>
        <v>04-08-2020</v>
      </c>
      <c r="M3601" t="str">
        <f t="shared" si="1469"/>
        <v>04-08-2020</v>
      </c>
      <c r="N3601" t="str">
        <f t="shared" si="1474"/>
        <v>001105018356</v>
      </c>
      <c r="O3601" t="str">
        <f t="shared" si="1475"/>
        <v>MYR</v>
      </c>
      <c r="P3601" t="str">
        <f t="shared" si="1470"/>
        <v>NIL</v>
      </c>
      <c r="Q3601" t="str">
        <f t="shared" si="1470"/>
        <v>NIL</v>
      </c>
      <c r="R3601" t="str">
        <f t="shared" si="1476"/>
        <v>Accepted</v>
      </c>
      <c r="S3601" t="str">
        <f t="shared" si="1477"/>
        <v>Approved</v>
      </c>
      <c r="T3601" t="str">
        <f t="shared" si="1478"/>
        <v>10.20.8.188</v>
      </c>
      <c r="U3601" t="str">
        <f t="shared" si="1479"/>
        <v>AZRAD UMAR BIN SHAARI</v>
      </c>
      <c r="V3601" t="str">
        <f t="shared" si="1480"/>
        <v>FARHANA BINTI MUSTAPA</v>
      </c>
      <c r="W3601" t="str">
        <f t="shared" si="1481"/>
        <v>04-08-2020</v>
      </c>
      <c r="X3601" t="str">
        <f t="shared" si="1482"/>
        <v>RAZIMAH ANSAR AHMAD</v>
      </c>
      <c r="Y3601" t="str">
        <f t="shared" si="1483"/>
        <v>04-08-2020</v>
      </c>
      <c r="Z3601" t="str">
        <f>"COS10200804 5353"</f>
        <v>COS10200804 5353</v>
      </c>
    </row>
    <row r="3602" spans="1:26" x14ac:dyDescent="0.25">
      <c r="A3602" t="str">
        <f t="shared" si="1467"/>
        <v>04-08-2020 12:56:45</v>
      </c>
      <c r="B3602" t="str">
        <f>"0000807340"</f>
        <v>0000807340</v>
      </c>
      <c r="C3602" t="str">
        <f t="shared" si="1468"/>
        <v>0000807188</v>
      </c>
      <c r="D3602" t="str">
        <f t="shared" si="1471"/>
        <v>73185</v>
      </c>
      <c r="E3602" t="str">
        <f t="shared" si="1472"/>
        <v>KFH-OPERATIONS DEPARTMENT</v>
      </c>
      <c r="F3602" t="str">
        <f t="shared" si="1473"/>
        <v>IBG</v>
      </c>
      <c r="G3602" t="str">
        <f t="shared" si="1484"/>
        <v>Refund COSHARE 10</v>
      </c>
      <c r="H3602" s="2">
        <v>839.5</v>
      </c>
      <c r="I3602" t="str">
        <f>"MOHAMAD AZRI BIN MOHAMAD AZIZ"</f>
        <v>MOHAMAD AZRI BIN MOHAMAD AZIZ</v>
      </c>
      <c r="J3602" t="str">
        <f t="shared" si="1485"/>
        <v>MAYBANK / MAYBANK ISLAMIC</v>
      </c>
      <c r="K3602" t="str">
        <f>"156244035584"</f>
        <v>156244035584</v>
      </c>
      <c r="L3602" t="str">
        <f t="shared" si="1469"/>
        <v>04-08-2020</v>
      </c>
      <c r="M3602" t="str">
        <f t="shared" si="1469"/>
        <v>04-08-2020</v>
      </c>
      <c r="N3602" t="str">
        <f t="shared" si="1474"/>
        <v>001105018356</v>
      </c>
      <c r="O3602" t="str">
        <f t="shared" si="1475"/>
        <v>MYR</v>
      </c>
      <c r="P3602" t="str">
        <f t="shared" si="1470"/>
        <v>NIL</v>
      </c>
      <c r="Q3602" t="str">
        <f t="shared" si="1470"/>
        <v>NIL</v>
      </c>
      <c r="R3602" t="str">
        <f t="shared" si="1476"/>
        <v>Accepted</v>
      </c>
      <c r="S3602" t="str">
        <f t="shared" si="1477"/>
        <v>Approved</v>
      </c>
      <c r="T3602" t="str">
        <f t="shared" si="1478"/>
        <v>10.20.8.188</v>
      </c>
      <c r="U3602" t="str">
        <f t="shared" si="1479"/>
        <v>AZRAD UMAR BIN SHAARI</v>
      </c>
      <c r="V3602" t="str">
        <f t="shared" si="1480"/>
        <v>FARHANA BINTI MUSTAPA</v>
      </c>
      <c r="W3602" t="str">
        <f t="shared" si="1481"/>
        <v>04-08-2020</v>
      </c>
      <c r="X3602" t="str">
        <f t="shared" si="1482"/>
        <v>RAZIMAH ANSAR AHMAD</v>
      </c>
      <c r="Y3602" t="str">
        <f t="shared" si="1483"/>
        <v>04-08-2020</v>
      </c>
      <c r="Z3602" t="str">
        <f>"COS10200804 5352"</f>
        <v>COS10200804 5352</v>
      </c>
    </row>
    <row r="3603" spans="1:26" x14ac:dyDescent="0.25">
      <c r="A3603" t="str">
        <f t="shared" si="1467"/>
        <v>04-08-2020 12:56:45</v>
      </c>
      <c r="B3603" t="str">
        <f>"0000807339"</f>
        <v>0000807339</v>
      </c>
      <c r="C3603" t="str">
        <f t="shared" si="1468"/>
        <v>0000807188</v>
      </c>
      <c r="D3603" t="str">
        <f t="shared" si="1471"/>
        <v>73185</v>
      </c>
      <c r="E3603" t="str">
        <f t="shared" si="1472"/>
        <v>KFH-OPERATIONS DEPARTMENT</v>
      </c>
      <c r="F3603" t="str">
        <f t="shared" si="1473"/>
        <v>IBG</v>
      </c>
      <c r="G3603" t="str">
        <f t="shared" si="1484"/>
        <v>Refund COSHARE 10</v>
      </c>
      <c r="H3603" s="2">
        <v>381.1</v>
      </c>
      <c r="I3603" t="str">
        <f>"MOHAMAD AZIZAN BIN AHMAD"</f>
        <v>MOHAMAD AZIZAN BIN AHMAD</v>
      </c>
      <c r="J3603" t="str">
        <f t="shared" si="1485"/>
        <v>MAYBANK / MAYBANK ISLAMIC</v>
      </c>
      <c r="K3603" t="str">
        <f>"161033052113"</f>
        <v>161033052113</v>
      </c>
      <c r="L3603" t="str">
        <f t="shared" si="1469"/>
        <v>04-08-2020</v>
      </c>
      <c r="M3603" t="str">
        <f t="shared" si="1469"/>
        <v>04-08-2020</v>
      </c>
      <c r="N3603" t="str">
        <f t="shared" si="1474"/>
        <v>001105018356</v>
      </c>
      <c r="O3603" t="str">
        <f t="shared" si="1475"/>
        <v>MYR</v>
      </c>
      <c r="P3603" t="str">
        <f t="shared" si="1470"/>
        <v>NIL</v>
      </c>
      <c r="Q3603" t="str">
        <f t="shared" si="1470"/>
        <v>NIL</v>
      </c>
      <c r="R3603" t="str">
        <f t="shared" si="1476"/>
        <v>Accepted</v>
      </c>
      <c r="S3603" t="str">
        <f t="shared" si="1477"/>
        <v>Approved</v>
      </c>
      <c r="T3603" t="str">
        <f t="shared" si="1478"/>
        <v>10.20.8.188</v>
      </c>
      <c r="U3603" t="str">
        <f t="shared" si="1479"/>
        <v>AZRAD UMAR BIN SHAARI</v>
      </c>
      <c r="V3603" t="str">
        <f t="shared" si="1480"/>
        <v>FARHANA BINTI MUSTAPA</v>
      </c>
      <c r="W3603" t="str">
        <f t="shared" si="1481"/>
        <v>04-08-2020</v>
      </c>
      <c r="X3603" t="str">
        <f t="shared" si="1482"/>
        <v>RAZIMAH ANSAR AHMAD</v>
      </c>
      <c r="Y3603" t="str">
        <f t="shared" si="1483"/>
        <v>04-08-2020</v>
      </c>
      <c r="Z3603" t="str">
        <f>"COS10200804 5351"</f>
        <v>COS10200804 5351</v>
      </c>
    </row>
    <row r="3604" spans="1:26" x14ac:dyDescent="0.25">
      <c r="A3604" t="str">
        <f t="shared" si="1467"/>
        <v>04-08-2020 12:56:45</v>
      </c>
      <c r="B3604" t="str">
        <f>"0000807338"</f>
        <v>0000807338</v>
      </c>
      <c r="C3604" t="str">
        <f t="shared" si="1468"/>
        <v>0000807188</v>
      </c>
      <c r="D3604" t="str">
        <f t="shared" si="1471"/>
        <v>73185</v>
      </c>
      <c r="E3604" t="str">
        <f t="shared" si="1472"/>
        <v>KFH-OPERATIONS DEPARTMENT</v>
      </c>
      <c r="F3604" t="str">
        <f t="shared" si="1473"/>
        <v>IBG</v>
      </c>
      <c r="G3604" t="str">
        <f t="shared" si="1484"/>
        <v>Refund COSHARE 10</v>
      </c>
      <c r="H3604" s="2">
        <v>134.35</v>
      </c>
      <c r="I3604" t="str">
        <f>"MOHAMAD AZERIN BIN MISMAN"</f>
        <v>MOHAMAD AZERIN BIN MISMAN</v>
      </c>
      <c r="J3604" t="str">
        <f t="shared" si="1485"/>
        <v>MAYBANK / MAYBANK ISLAMIC</v>
      </c>
      <c r="K3604" t="str">
        <f>"101468195122"</f>
        <v>101468195122</v>
      </c>
      <c r="L3604" t="str">
        <f t="shared" si="1469"/>
        <v>04-08-2020</v>
      </c>
      <c r="M3604" t="str">
        <f t="shared" si="1469"/>
        <v>04-08-2020</v>
      </c>
      <c r="N3604" t="str">
        <f t="shared" si="1474"/>
        <v>001105018356</v>
      </c>
      <c r="O3604" t="str">
        <f t="shared" si="1475"/>
        <v>MYR</v>
      </c>
      <c r="P3604" t="str">
        <f t="shared" si="1470"/>
        <v>NIL</v>
      </c>
      <c r="Q3604" t="str">
        <f t="shared" si="1470"/>
        <v>NIL</v>
      </c>
      <c r="R3604" t="str">
        <f t="shared" si="1476"/>
        <v>Accepted</v>
      </c>
      <c r="S3604" t="str">
        <f t="shared" si="1477"/>
        <v>Approved</v>
      </c>
      <c r="T3604" t="str">
        <f t="shared" si="1478"/>
        <v>10.20.8.188</v>
      </c>
      <c r="U3604" t="str">
        <f t="shared" si="1479"/>
        <v>AZRAD UMAR BIN SHAARI</v>
      </c>
      <c r="V3604" t="str">
        <f t="shared" si="1480"/>
        <v>FARHANA BINTI MUSTAPA</v>
      </c>
      <c r="W3604" t="str">
        <f t="shared" si="1481"/>
        <v>04-08-2020</v>
      </c>
      <c r="X3604" t="str">
        <f t="shared" si="1482"/>
        <v>RAZIMAH ANSAR AHMAD</v>
      </c>
      <c r="Y3604" t="str">
        <f t="shared" si="1483"/>
        <v>04-08-2020</v>
      </c>
      <c r="Z3604" t="str">
        <f>"COS10200804 5350"</f>
        <v>COS10200804 5350</v>
      </c>
    </row>
    <row r="3605" spans="1:26" x14ac:dyDescent="0.25">
      <c r="A3605" t="str">
        <f t="shared" si="1467"/>
        <v>04-08-2020 12:56:45</v>
      </c>
      <c r="B3605" t="str">
        <f>"0000807337"</f>
        <v>0000807337</v>
      </c>
      <c r="C3605" t="str">
        <f t="shared" si="1468"/>
        <v>0000807188</v>
      </c>
      <c r="D3605" t="str">
        <f t="shared" si="1471"/>
        <v>73185</v>
      </c>
      <c r="E3605" t="str">
        <f t="shared" si="1472"/>
        <v>KFH-OPERATIONS DEPARTMENT</v>
      </c>
      <c r="F3605" t="str">
        <f t="shared" si="1473"/>
        <v>IBG</v>
      </c>
      <c r="G3605" t="str">
        <f t="shared" si="1484"/>
        <v>Refund COSHARE 10</v>
      </c>
      <c r="H3605" s="2">
        <v>1125.95</v>
      </c>
      <c r="I3605" t="str">
        <f>"MOHAMAD AZAM BIN MOHAMAD ZAIDON"</f>
        <v>MOHAMAD AZAM BIN MOHAMAD ZAIDON</v>
      </c>
      <c r="J3605" t="str">
        <f t="shared" si="1485"/>
        <v>MAYBANK / MAYBANK ISLAMIC</v>
      </c>
      <c r="K3605" t="str">
        <f>"112110580521"</f>
        <v>112110580521</v>
      </c>
      <c r="L3605" t="str">
        <f t="shared" si="1469"/>
        <v>04-08-2020</v>
      </c>
      <c r="M3605" t="str">
        <f t="shared" si="1469"/>
        <v>04-08-2020</v>
      </c>
      <c r="N3605" t="str">
        <f t="shared" si="1474"/>
        <v>001105018356</v>
      </c>
      <c r="O3605" t="str">
        <f t="shared" si="1475"/>
        <v>MYR</v>
      </c>
      <c r="P3605" t="str">
        <f t="shared" si="1470"/>
        <v>NIL</v>
      </c>
      <c r="Q3605" t="str">
        <f t="shared" si="1470"/>
        <v>NIL</v>
      </c>
      <c r="R3605" t="str">
        <f t="shared" si="1476"/>
        <v>Accepted</v>
      </c>
      <c r="S3605" t="str">
        <f t="shared" si="1477"/>
        <v>Approved</v>
      </c>
      <c r="T3605" t="str">
        <f t="shared" si="1478"/>
        <v>10.20.8.188</v>
      </c>
      <c r="U3605" t="str">
        <f t="shared" si="1479"/>
        <v>AZRAD UMAR BIN SHAARI</v>
      </c>
      <c r="V3605" t="str">
        <f t="shared" si="1480"/>
        <v>FARHANA BINTI MUSTAPA</v>
      </c>
      <c r="W3605" t="str">
        <f t="shared" si="1481"/>
        <v>04-08-2020</v>
      </c>
      <c r="X3605" t="str">
        <f t="shared" si="1482"/>
        <v>RAZIMAH ANSAR AHMAD</v>
      </c>
      <c r="Y3605" t="str">
        <f t="shared" si="1483"/>
        <v>04-08-2020</v>
      </c>
      <c r="Z3605" t="str">
        <f>"COS10200804 5349"</f>
        <v>COS10200804 5349</v>
      </c>
    </row>
    <row r="3606" spans="1:26" x14ac:dyDescent="0.25">
      <c r="A3606" t="str">
        <f t="shared" si="1467"/>
        <v>04-08-2020 12:56:45</v>
      </c>
      <c r="B3606" t="str">
        <f>"0000807336"</f>
        <v>0000807336</v>
      </c>
      <c r="C3606" t="str">
        <f t="shared" si="1468"/>
        <v>0000807188</v>
      </c>
      <c r="D3606" t="str">
        <f t="shared" si="1471"/>
        <v>73185</v>
      </c>
      <c r="E3606" t="str">
        <f t="shared" si="1472"/>
        <v>KFH-OPERATIONS DEPARTMENT</v>
      </c>
      <c r="F3606" t="str">
        <f t="shared" si="1473"/>
        <v>IBG</v>
      </c>
      <c r="G3606" t="str">
        <f t="shared" si="1484"/>
        <v>Refund COSHARE 10</v>
      </c>
      <c r="H3606" s="2">
        <v>1964.65</v>
      </c>
      <c r="I3606" t="str">
        <f>"MOHAMAD ASNAWI BIN SORONI"</f>
        <v>MOHAMAD ASNAWI BIN SORONI</v>
      </c>
      <c r="J3606" t="str">
        <f t="shared" si="1485"/>
        <v>MAYBANK / MAYBANK ISLAMIC</v>
      </c>
      <c r="K3606" t="str">
        <f>"151089208174"</f>
        <v>151089208174</v>
      </c>
      <c r="L3606" t="str">
        <f t="shared" si="1469"/>
        <v>04-08-2020</v>
      </c>
      <c r="M3606" t="str">
        <f t="shared" si="1469"/>
        <v>04-08-2020</v>
      </c>
      <c r="N3606" t="str">
        <f t="shared" si="1474"/>
        <v>001105018356</v>
      </c>
      <c r="O3606" t="str">
        <f t="shared" si="1475"/>
        <v>MYR</v>
      </c>
      <c r="P3606" t="str">
        <f t="shared" si="1470"/>
        <v>NIL</v>
      </c>
      <c r="Q3606" t="str">
        <f t="shared" si="1470"/>
        <v>NIL</v>
      </c>
      <c r="R3606" t="str">
        <f t="shared" si="1476"/>
        <v>Accepted</v>
      </c>
      <c r="S3606" t="str">
        <f t="shared" si="1477"/>
        <v>Approved</v>
      </c>
      <c r="T3606" t="str">
        <f t="shared" si="1478"/>
        <v>10.20.8.188</v>
      </c>
      <c r="U3606" t="str">
        <f t="shared" si="1479"/>
        <v>AZRAD UMAR BIN SHAARI</v>
      </c>
      <c r="V3606" t="str">
        <f t="shared" si="1480"/>
        <v>FARHANA BINTI MUSTAPA</v>
      </c>
      <c r="W3606" t="str">
        <f t="shared" si="1481"/>
        <v>04-08-2020</v>
      </c>
      <c r="X3606" t="str">
        <f t="shared" si="1482"/>
        <v>RAZIMAH ANSAR AHMAD</v>
      </c>
      <c r="Y3606" t="str">
        <f t="shared" si="1483"/>
        <v>04-08-2020</v>
      </c>
      <c r="Z3606" t="str">
        <f>"COS10200804 5348"</f>
        <v>COS10200804 5348</v>
      </c>
    </row>
    <row r="3607" spans="1:26" x14ac:dyDescent="0.25">
      <c r="A3607" t="str">
        <f t="shared" si="1467"/>
        <v>04-08-2020 12:56:45</v>
      </c>
      <c r="B3607" t="str">
        <f>"0000807335"</f>
        <v>0000807335</v>
      </c>
      <c r="C3607" t="str">
        <f t="shared" si="1468"/>
        <v>0000807188</v>
      </c>
      <c r="D3607" t="str">
        <f t="shared" si="1471"/>
        <v>73185</v>
      </c>
      <c r="E3607" t="str">
        <f t="shared" si="1472"/>
        <v>KFH-OPERATIONS DEPARTMENT</v>
      </c>
      <c r="F3607" t="str">
        <f t="shared" si="1473"/>
        <v>IBG</v>
      </c>
      <c r="G3607" t="str">
        <f t="shared" si="1484"/>
        <v>Refund COSHARE 10</v>
      </c>
      <c r="H3607" s="2">
        <v>655</v>
      </c>
      <c r="I3607" t="str">
        <f>"MOHAMAD ARIFFIN BIN SAID"</f>
        <v>MOHAMAD ARIFFIN BIN SAID</v>
      </c>
      <c r="J3607" t="str">
        <f t="shared" si="1485"/>
        <v>MAYBANK / MAYBANK ISLAMIC</v>
      </c>
      <c r="K3607" t="str">
        <f>"162179612699"</f>
        <v>162179612699</v>
      </c>
      <c r="L3607" t="str">
        <f t="shared" ref="L3607:M3626" si="1486">"04-08-2020"</f>
        <v>04-08-2020</v>
      </c>
      <c r="M3607" t="str">
        <f t="shared" si="1486"/>
        <v>04-08-2020</v>
      </c>
      <c r="N3607" t="str">
        <f t="shared" si="1474"/>
        <v>001105018356</v>
      </c>
      <c r="O3607" t="str">
        <f t="shared" si="1475"/>
        <v>MYR</v>
      </c>
      <c r="P3607" t="str">
        <f t="shared" ref="P3607:Q3626" si="1487">"NIL"</f>
        <v>NIL</v>
      </c>
      <c r="Q3607" t="str">
        <f t="shared" si="1487"/>
        <v>NIL</v>
      </c>
      <c r="R3607" t="str">
        <f t="shared" si="1476"/>
        <v>Accepted</v>
      </c>
      <c r="S3607" t="str">
        <f t="shared" si="1477"/>
        <v>Approved</v>
      </c>
      <c r="T3607" t="str">
        <f t="shared" si="1478"/>
        <v>10.20.8.188</v>
      </c>
      <c r="U3607" t="str">
        <f t="shared" si="1479"/>
        <v>AZRAD UMAR BIN SHAARI</v>
      </c>
      <c r="V3607" t="str">
        <f t="shared" si="1480"/>
        <v>FARHANA BINTI MUSTAPA</v>
      </c>
      <c r="W3607" t="str">
        <f t="shared" si="1481"/>
        <v>04-08-2020</v>
      </c>
      <c r="X3607" t="str">
        <f t="shared" si="1482"/>
        <v>RAZIMAH ANSAR AHMAD</v>
      </c>
      <c r="Y3607" t="str">
        <f t="shared" si="1483"/>
        <v>04-08-2020</v>
      </c>
      <c r="Z3607" t="str">
        <f>"COS10200804 5347"</f>
        <v>COS10200804 5347</v>
      </c>
    </row>
    <row r="3608" spans="1:26" x14ac:dyDescent="0.25">
      <c r="A3608" t="str">
        <f t="shared" si="1467"/>
        <v>04-08-2020 12:56:45</v>
      </c>
      <c r="B3608" t="str">
        <f>"0000807334"</f>
        <v>0000807334</v>
      </c>
      <c r="C3608" t="str">
        <f t="shared" si="1468"/>
        <v>0000807188</v>
      </c>
      <c r="D3608" t="str">
        <f t="shared" si="1471"/>
        <v>73185</v>
      </c>
      <c r="E3608" t="str">
        <f t="shared" si="1472"/>
        <v>KFH-OPERATIONS DEPARTMENT</v>
      </c>
      <c r="F3608" t="str">
        <f t="shared" si="1473"/>
        <v>IBG</v>
      </c>
      <c r="G3608" t="str">
        <f t="shared" si="1484"/>
        <v>Refund COSHARE 10</v>
      </c>
      <c r="H3608" s="2">
        <v>747.15</v>
      </c>
      <c r="I3608" t="str">
        <f>"MOHAMAD ARIFF BIN A WAHAB"</f>
        <v>MOHAMAD ARIFF BIN A WAHAB</v>
      </c>
      <c r="J3608" t="str">
        <f t="shared" si="1485"/>
        <v>MAYBANK / MAYBANK ISLAMIC</v>
      </c>
      <c r="K3608" t="str">
        <f>"151203925680"</f>
        <v>151203925680</v>
      </c>
      <c r="L3608" t="str">
        <f t="shared" si="1486"/>
        <v>04-08-2020</v>
      </c>
      <c r="M3608" t="str">
        <f t="shared" si="1486"/>
        <v>04-08-2020</v>
      </c>
      <c r="N3608" t="str">
        <f t="shared" si="1474"/>
        <v>001105018356</v>
      </c>
      <c r="O3608" t="str">
        <f t="shared" si="1475"/>
        <v>MYR</v>
      </c>
      <c r="P3608" t="str">
        <f t="shared" si="1487"/>
        <v>NIL</v>
      </c>
      <c r="Q3608" t="str">
        <f t="shared" si="1487"/>
        <v>NIL</v>
      </c>
      <c r="R3608" t="str">
        <f t="shared" si="1476"/>
        <v>Accepted</v>
      </c>
      <c r="S3608" t="str">
        <f t="shared" si="1477"/>
        <v>Approved</v>
      </c>
      <c r="T3608" t="str">
        <f t="shared" si="1478"/>
        <v>10.20.8.188</v>
      </c>
      <c r="U3608" t="str">
        <f t="shared" si="1479"/>
        <v>AZRAD UMAR BIN SHAARI</v>
      </c>
      <c r="V3608" t="str">
        <f t="shared" si="1480"/>
        <v>FARHANA BINTI MUSTAPA</v>
      </c>
      <c r="W3608" t="str">
        <f t="shared" si="1481"/>
        <v>04-08-2020</v>
      </c>
      <c r="X3608" t="str">
        <f t="shared" si="1482"/>
        <v>RAZIMAH ANSAR AHMAD</v>
      </c>
      <c r="Y3608" t="str">
        <f t="shared" si="1483"/>
        <v>04-08-2020</v>
      </c>
      <c r="Z3608" t="str">
        <f>"COS10200804 5346"</f>
        <v>COS10200804 5346</v>
      </c>
    </row>
    <row r="3609" spans="1:26" x14ac:dyDescent="0.25">
      <c r="A3609" t="str">
        <f t="shared" si="1467"/>
        <v>04-08-2020 12:56:45</v>
      </c>
      <c r="B3609" t="str">
        <f>"0000807333"</f>
        <v>0000807333</v>
      </c>
      <c r="C3609" t="str">
        <f t="shared" si="1468"/>
        <v>0000807188</v>
      </c>
      <c r="D3609" t="str">
        <f t="shared" si="1471"/>
        <v>73185</v>
      </c>
      <c r="E3609" t="str">
        <f t="shared" si="1472"/>
        <v>KFH-OPERATIONS DEPARTMENT</v>
      </c>
      <c r="F3609" t="str">
        <f t="shared" si="1473"/>
        <v>IBG</v>
      </c>
      <c r="G3609" t="str">
        <f t="shared" si="1484"/>
        <v>Refund COSHARE 10</v>
      </c>
      <c r="H3609" s="2">
        <v>831.1</v>
      </c>
      <c r="I3609" t="str">
        <f>"MOHAMAD AFHAM BIN SULAIMAN"</f>
        <v>MOHAMAD AFHAM BIN SULAIMAN</v>
      </c>
      <c r="J3609" t="str">
        <f t="shared" si="1485"/>
        <v>MAYBANK / MAYBANK ISLAMIC</v>
      </c>
      <c r="K3609" t="str">
        <f>"162197311234"</f>
        <v>162197311234</v>
      </c>
      <c r="L3609" t="str">
        <f t="shared" si="1486"/>
        <v>04-08-2020</v>
      </c>
      <c r="M3609" t="str">
        <f t="shared" si="1486"/>
        <v>04-08-2020</v>
      </c>
      <c r="N3609" t="str">
        <f t="shared" si="1474"/>
        <v>001105018356</v>
      </c>
      <c r="O3609" t="str">
        <f t="shared" si="1475"/>
        <v>MYR</v>
      </c>
      <c r="P3609" t="str">
        <f t="shared" si="1487"/>
        <v>NIL</v>
      </c>
      <c r="Q3609" t="str">
        <f t="shared" si="1487"/>
        <v>NIL</v>
      </c>
      <c r="R3609" t="str">
        <f t="shared" si="1476"/>
        <v>Accepted</v>
      </c>
      <c r="S3609" t="str">
        <f t="shared" si="1477"/>
        <v>Approved</v>
      </c>
      <c r="T3609" t="str">
        <f t="shared" si="1478"/>
        <v>10.20.8.188</v>
      </c>
      <c r="U3609" t="str">
        <f t="shared" si="1479"/>
        <v>AZRAD UMAR BIN SHAARI</v>
      </c>
      <c r="V3609" t="str">
        <f t="shared" si="1480"/>
        <v>FARHANA BINTI MUSTAPA</v>
      </c>
      <c r="W3609" t="str">
        <f t="shared" si="1481"/>
        <v>04-08-2020</v>
      </c>
      <c r="X3609" t="str">
        <f t="shared" si="1482"/>
        <v>RAZIMAH ANSAR AHMAD</v>
      </c>
      <c r="Y3609" t="str">
        <f t="shared" si="1483"/>
        <v>04-08-2020</v>
      </c>
      <c r="Z3609" t="str">
        <f>"COS10200804 5345"</f>
        <v>COS10200804 5345</v>
      </c>
    </row>
    <row r="3610" spans="1:26" x14ac:dyDescent="0.25">
      <c r="A3610" t="str">
        <f t="shared" si="1467"/>
        <v>04-08-2020 12:56:45</v>
      </c>
      <c r="B3610" t="str">
        <f>"0000807332"</f>
        <v>0000807332</v>
      </c>
      <c r="C3610" t="str">
        <f t="shared" si="1468"/>
        <v>0000807188</v>
      </c>
      <c r="D3610" t="str">
        <f t="shared" si="1471"/>
        <v>73185</v>
      </c>
      <c r="E3610" t="str">
        <f t="shared" si="1472"/>
        <v>KFH-OPERATIONS DEPARTMENT</v>
      </c>
      <c r="F3610" t="str">
        <f t="shared" si="1473"/>
        <v>IBG</v>
      </c>
      <c r="G3610" t="str">
        <f t="shared" si="1484"/>
        <v>Refund COSHARE 10</v>
      </c>
      <c r="H3610" s="2">
        <v>243</v>
      </c>
      <c r="I3610" t="str">
        <f>"MOHAMAD ADLIE BIN MOHAMAD NASIR"</f>
        <v>MOHAMAD ADLIE BIN MOHAMAD NASIR</v>
      </c>
      <c r="J3610" t="str">
        <f t="shared" si="1485"/>
        <v>MAYBANK / MAYBANK ISLAMIC</v>
      </c>
      <c r="K3610" t="str">
        <f>"162106574457"</f>
        <v>162106574457</v>
      </c>
      <c r="L3610" t="str">
        <f t="shared" si="1486"/>
        <v>04-08-2020</v>
      </c>
      <c r="M3610" t="str">
        <f t="shared" si="1486"/>
        <v>04-08-2020</v>
      </c>
      <c r="N3610" t="str">
        <f t="shared" si="1474"/>
        <v>001105018356</v>
      </c>
      <c r="O3610" t="str">
        <f t="shared" si="1475"/>
        <v>MYR</v>
      </c>
      <c r="P3610" t="str">
        <f t="shared" si="1487"/>
        <v>NIL</v>
      </c>
      <c r="Q3610" t="str">
        <f t="shared" si="1487"/>
        <v>NIL</v>
      </c>
      <c r="R3610" t="str">
        <f t="shared" si="1476"/>
        <v>Accepted</v>
      </c>
      <c r="S3610" t="str">
        <f t="shared" si="1477"/>
        <v>Approved</v>
      </c>
      <c r="T3610" t="str">
        <f t="shared" si="1478"/>
        <v>10.20.8.188</v>
      </c>
      <c r="U3610" t="str">
        <f t="shared" si="1479"/>
        <v>AZRAD UMAR BIN SHAARI</v>
      </c>
      <c r="V3610" t="str">
        <f t="shared" si="1480"/>
        <v>FARHANA BINTI MUSTAPA</v>
      </c>
      <c r="W3610" t="str">
        <f t="shared" si="1481"/>
        <v>04-08-2020</v>
      </c>
      <c r="X3610" t="str">
        <f t="shared" si="1482"/>
        <v>RAZIMAH ANSAR AHMAD</v>
      </c>
      <c r="Y3610" t="str">
        <f t="shared" si="1483"/>
        <v>04-08-2020</v>
      </c>
      <c r="Z3610" t="str">
        <f>"COS10200804 5344"</f>
        <v>COS10200804 5344</v>
      </c>
    </row>
    <row r="3611" spans="1:26" x14ac:dyDescent="0.25">
      <c r="A3611" t="str">
        <f t="shared" si="1467"/>
        <v>04-08-2020 12:56:45</v>
      </c>
      <c r="B3611" t="str">
        <f>"0000807331"</f>
        <v>0000807331</v>
      </c>
      <c r="C3611" t="str">
        <f t="shared" si="1468"/>
        <v>0000807188</v>
      </c>
      <c r="D3611" t="str">
        <f t="shared" si="1471"/>
        <v>73185</v>
      </c>
      <c r="E3611" t="str">
        <f t="shared" si="1472"/>
        <v>KFH-OPERATIONS DEPARTMENT</v>
      </c>
      <c r="F3611" t="str">
        <f t="shared" si="1473"/>
        <v>IBG</v>
      </c>
      <c r="G3611" t="str">
        <f t="shared" si="1484"/>
        <v>Refund COSHARE 10</v>
      </c>
      <c r="H3611" s="2">
        <v>50.4</v>
      </c>
      <c r="I3611" t="str">
        <f>"MOHAMAD ADIB BIN MAHZAN"</f>
        <v>MOHAMAD ADIB BIN MAHZAN</v>
      </c>
      <c r="J3611" t="str">
        <f t="shared" si="1485"/>
        <v>MAYBANK / MAYBANK ISLAMIC</v>
      </c>
      <c r="K3611" t="str">
        <f>"101049162804"</f>
        <v>101049162804</v>
      </c>
      <c r="L3611" t="str">
        <f t="shared" si="1486"/>
        <v>04-08-2020</v>
      </c>
      <c r="M3611" t="str">
        <f t="shared" si="1486"/>
        <v>04-08-2020</v>
      </c>
      <c r="N3611" t="str">
        <f t="shared" si="1474"/>
        <v>001105018356</v>
      </c>
      <c r="O3611" t="str">
        <f t="shared" si="1475"/>
        <v>MYR</v>
      </c>
      <c r="P3611" t="str">
        <f t="shared" si="1487"/>
        <v>NIL</v>
      </c>
      <c r="Q3611" t="str">
        <f t="shared" si="1487"/>
        <v>NIL</v>
      </c>
      <c r="R3611" t="str">
        <f t="shared" si="1476"/>
        <v>Accepted</v>
      </c>
      <c r="S3611" t="str">
        <f t="shared" si="1477"/>
        <v>Approved</v>
      </c>
      <c r="T3611" t="str">
        <f t="shared" si="1478"/>
        <v>10.20.8.188</v>
      </c>
      <c r="U3611" t="str">
        <f t="shared" si="1479"/>
        <v>AZRAD UMAR BIN SHAARI</v>
      </c>
      <c r="V3611" t="str">
        <f t="shared" si="1480"/>
        <v>FARHANA BINTI MUSTAPA</v>
      </c>
      <c r="W3611" t="str">
        <f t="shared" si="1481"/>
        <v>04-08-2020</v>
      </c>
      <c r="X3611" t="str">
        <f t="shared" si="1482"/>
        <v>RAZIMAH ANSAR AHMAD</v>
      </c>
      <c r="Y3611" t="str">
        <f t="shared" si="1483"/>
        <v>04-08-2020</v>
      </c>
      <c r="Z3611" t="str">
        <f>"COS10200804 5343"</f>
        <v>COS10200804 5343</v>
      </c>
    </row>
    <row r="3612" spans="1:26" x14ac:dyDescent="0.25">
      <c r="A3612" t="str">
        <f t="shared" si="1467"/>
        <v>04-08-2020 12:56:45</v>
      </c>
      <c r="B3612" t="str">
        <f>"0000807330"</f>
        <v>0000807330</v>
      </c>
      <c r="C3612" t="str">
        <f t="shared" si="1468"/>
        <v>0000807188</v>
      </c>
      <c r="D3612" t="str">
        <f t="shared" si="1471"/>
        <v>73185</v>
      </c>
      <c r="E3612" t="str">
        <f t="shared" si="1472"/>
        <v>KFH-OPERATIONS DEPARTMENT</v>
      </c>
      <c r="F3612" t="str">
        <f t="shared" si="1473"/>
        <v>IBG</v>
      </c>
      <c r="G3612" t="str">
        <f t="shared" si="1484"/>
        <v>Refund COSHARE 10</v>
      </c>
      <c r="H3612" s="2">
        <v>201.5</v>
      </c>
      <c r="I3612" t="str">
        <f>"MOHAMAD ADHWA BIN MARSID"</f>
        <v>MOHAMAD ADHWA BIN MARSID</v>
      </c>
      <c r="J3612" t="str">
        <f t="shared" si="1485"/>
        <v>MAYBANK / MAYBANK ISLAMIC</v>
      </c>
      <c r="K3612" t="str">
        <f>"161033139159"</f>
        <v>161033139159</v>
      </c>
      <c r="L3612" t="str">
        <f t="shared" si="1486"/>
        <v>04-08-2020</v>
      </c>
      <c r="M3612" t="str">
        <f t="shared" si="1486"/>
        <v>04-08-2020</v>
      </c>
      <c r="N3612" t="str">
        <f t="shared" si="1474"/>
        <v>001105018356</v>
      </c>
      <c r="O3612" t="str">
        <f t="shared" si="1475"/>
        <v>MYR</v>
      </c>
      <c r="P3612" t="str">
        <f t="shared" si="1487"/>
        <v>NIL</v>
      </c>
      <c r="Q3612" t="str">
        <f t="shared" si="1487"/>
        <v>NIL</v>
      </c>
      <c r="R3612" t="str">
        <f t="shared" si="1476"/>
        <v>Accepted</v>
      </c>
      <c r="S3612" t="str">
        <f t="shared" si="1477"/>
        <v>Approved</v>
      </c>
      <c r="T3612" t="str">
        <f t="shared" si="1478"/>
        <v>10.20.8.188</v>
      </c>
      <c r="U3612" t="str">
        <f t="shared" si="1479"/>
        <v>AZRAD UMAR BIN SHAARI</v>
      </c>
      <c r="V3612" t="str">
        <f t="shared" si="1480"/>
        <v>FARHANA BINTI MUSTAPA</v>
      </c>
      <c r="W3612" t="str">
        <f t="shared" si="1481"/>
        <v>04-08-2020</v>
      </c>
      <c r="X3612" t="str">
        <f t="shared" si="1482"/>
        <v>RAZIMAH ANSAR AHMAD</v>
      </c>
      <c r="Y3612" t="str">
        <f t="shared" si="1483"/>
        <v>04-08-2020</v>
      </c>
      <c r="Z3612" t="str">
        <f>"COS10200804 5342"</f>
        <v>COS10200804 5342</v>
      </c>
    </row>
    <row r="3613" spans="1:26" x14ac:dyDescent="0.25">
      <c r="A3613" t="str">
        <f t="shared" si="1467"/>
        <v>04-08-2020 12:56:45</v>
      </c>
      <c r="B3613" t="str">
        <f>"0000807329"</f>
        <v>0000807329</v>
      </c>
      <c r="C3613" t="str">
        <f t="shared" si="1468"/>
        <v>0000807188</v>
      </c>
      <c r="D3613" t="str">
        <f t="shared" si="1471"/>
        <v>73185</v>
      </c>
      <c r="E3613" t="str">
        <f t="shared" si="1472"/>
        <v>KFH-OPERATIONS DEPARTMENT</v>
      </c>
      <c r="F3613" t="str">
        <f t="shared" si="1473"/>
        <v>IBG</v>
      </c>
      <c r="G3613" t="str">
        <f t="shared" si="1484"/>
        <v>Refund COSHARE 10</v>
      </c>
      <c r="H3613" s="2">
        <v>109.15</v>
      </c>
      <c r="I3613" t="str">
        <f>"MOHAMAD ADAMI BIN MOHAMAD SAUFI"</f>
        <v>MOHAMAD ADAMI BIN MOHAMAD SAUFI</v>
      </c>
      <c r="J3613" t="str">
        <f t="shared" si="1485"/>
        <v>MAYBANK / MAYBANK ISLAMIC</v>
      </c>
      <c r="K3613" t="str">
        <f>"111216039628"</f>
        <v>111216039628</v>
      </c>
      <c r="L3613" t="str">
        <f t="shared" si="1486"/>
        <v>04-08-2020</v>
      </c>
      <c r="M3613" t="str">
        <f t="shared" si="1486"/>
        <v>04-08-2020</v>
      </c>
      <c r="N3613" t="str">
        <f t="shared" si="1474"/>
        <v>001105018356</v>
      </c>
      <c r="O3613" t="str">
        <f t="shared" si="1475"/>
        <v>MYR</v>
      </c>
      <c r="P3613" t="str">
        <f t="shared" si="1487"/>
        <v>NIL</v>
      </c>
      <c r="Q3613" t="str">
        <f t="shared" si="1487"/>
        <v>NIL</v>
      </c>
      <c r="R3613" t="str">
        <f t="shared" si="1476"/>
        <v>Accepted</v>
      </c>
      <c r="S3613" t="str">
        <f t="shared" si="1477"/>
        <v>Approved</v>
      </c>
      <c r="T3613" t="str">
        <f t="shared" si="1478"/>
        <v>10.20.8.188</v>
      </c>
      <c r="U3613" t="str">
        <f t="shared" si="1479"/>
        <v>AZRAD UMAR BIN SHAARI</v>
      </c>
      <c r="V3613" t="str">
        <f t="shared" si="1480"/>
        <v>FARHANA BINTI MUSTAPA</v>
      </c>
      <c r="W3613" t="str">
        <f t="shared" si="1481"/>
        <v>04-08-2020</v>
      </c>
      <c r="X3613" t="str">
        <f t="shared" si="1482"/>
        <v>RAZIMAH ANSAR AHMAD</v>
      </c>
      <c r="Y3613" t="str">
        <f t="shared" si="1483"/>
        <v>04-08-2020</v>
      </c>
      <c r="Z3613" t="str">
        <f>"COS10200804 5341"</f>
        <v>COS10200804 5341</v>
      </c>
    </row>
    <row r="3614" spans="1:26" x14ac:dyDescent="0.25">
      <c r="A3614" t="str">
        <f t="shared" si="1467"/>
        <v>04-08-2020 12:56:45</v>
      </c>
      <c r="B3614" t="str">
        <f>"0000807328"</f>
        <v>0000807328</v>
      </c>
      <c r="C3614" t="str">
        <f t="shared" si="1468"/>
        <v>0000807188</v>
      </c>
      <c r="D3614" t="str">
        <f t="shared" si="1471"/>
        <v>73185</v>
      </c>
      <c r="E3614" t="str">
        <f t="shared" si="1472"/>
        <v>KFH-OPERATIONS DEPARTMENT</v>
      </c>
      <c r="F3614" t="str">
        <f t="shared" si="1473"/>
        <v>IBG</v>
      </c>
      <c r="G3614" t="str">
        <f t="shared" si="1484"/>
        <v>Refund COSHARE 10</v>
      </c>
      <c r="H3614" s="2">
        <v>461.75</v>
      </c>
      <c r="I3614" t="str">
        <f>"MIZATUL HAFIZA BINTI MOHAMAD"</f>
        <v>MIZATUL HAFIZA BINTI MOHAMAD</v>
      </c>
      <c r="J3614" t="str">
        <f t="shared" si="1485"/>
        <v>MAYBANK / MAYBANK ISLAMIC</v>
      </c>
      <c r="K3614" t="str">
        <f>"164913178721"</f>
        <v>164913178721</v>
      </c>
      <c r="L3614" t="str">
        <f t="shared" si="1486"/>
        <v>04-08-2020</v>
      </c>
      <c r="M3614" t="str">
        <f t="shared" si="1486"/>
        <v>04-08-2020</v>
      </c>
      <c r="N3614" t="str">
        <f t="shared" si="1474"/>
        <v>001105018356</v>
      </c>
      <c r="O3614" t="str">
        <f t="shared" si="1475"/>
        <v>MYR</v>
      </c>
      <c r="P3614" t="str">
        <f t="shared" si="1487"/>
        <v>NIL</v>
      </c>
      <c r="Q3614" t="str">
        <f t="shared" si="1487"/>
        <v>NIL</v>
      </c>
      <c r="R3614" t="str">
        <f t="shared" si="1476"/>
        <v>Accepted</v>
      </c>
      <c r="S3614" t="str">
        <f t="shared" si="1477"/>
        <v>Approved</v>
      </c>
      <c r="T3614" t="str">
        <f t="shared" si="1478"/>
        <v>10.20.8.188</v>
      </c>
      <c r="U3614" t="str">
        <f t="shared" si="1479"/>
        <v>AZRAD UMAR BIN SHAARI</v>
      </c>
      <c r="V3614" t="str">
        <f t="shared" si="1480"/>
        <v>FARHANA BINTI MUSTAPA</v>
      </c>
      <c r="W3614" t="str">
        <f t="shared" si="1481"/>
        <v>04-08-2020</v>
      </c>
      <c r="X3614" t="str">
        <f t="shared" si="1482"/>
        <v>RAZIMAH ANSAR AHMAD</v>
      </c>
      <c r="Y3614" t="str">
        <f t="shared" si="1483"/>
        <v>04-08-2020</v>
      </c>
      <c r="Z3614" t="str">
        <f>"COS10200804 5340"</f>
        <v>COS10200804 5340</v>
      </c>
    </row>
    <row r="3615" spans="1:26" x14ac:dyDescent="0.25">
      <c r="A3615" t="str">
        <f t="shared" si="1467"/>
        <v>04-08-2020 12:56:45</v>
      </c>
      <c r="B3615" t="str">
        <f>"0000807327"</f>
        <v>0000807327</v>
      </c>
      <c r="C3615" t="str">
        <f t="shared" si="1468"/>
        <v>0000807188</v>
      </c>
      <c r="D3615" t="str">
        <f t="shared" si="1471"/>
        <v>73185</v>
      </c>
      <c r="E3615" t="str">
        <f t="shared" si="1472"/>
        <v>KFH-OPERATIONS DEPARTMENT</v>
      </c>
      <c r="F3615" t="str">
        <f t="shared" si="1473"/>
        <v>IBG</v>
      </c>
      <c r="G3615" t="str">
        <f t="shared" si="1484"/>
        <v>Refund COSHARE 10</v>
      </c>
      <c r="H3615" s="2">
        <v>235.4</v>
      </c>
      <c r="I3615" t="str">
        <f>"MIZATUL AKMAL BINTI YUSOF"</f>
        <v>MIZATUL AKMAL BINTI YUSOF</v>
      </c>
      <c r="J3615" t="str">
        <f t="shared" si="1485"/>
        <v>MAYBANK / MAYBANK ISLAMIC</v>
      </c>
      <c r="K3615" t="str">
        <f>"104030286115"</f>
        <v>104030286115</v>
      </c>
      <c r="L3615" t="str">
        <f t="shared" si="1486"/>
        <v>04-08-2020</v>
      </c>
      <c r="M3615" t="str">
        <f t="shared" si="1486"/>
        <v>04-08-2020</v>
      </c>
      <c r="N3615" t="str">
        <f t="shared" si="1474"/>
        <v>001105018356</v>
      </c>
      <c r="O3615" t="str">
        <f t="shared" si="1475"/>
        <v>MYR</v>
      </c>
      <c r="P3615" t="str">
        <f t="shared" si="1487"/>
        <v>NIL</v>
      </c>
      <c r="Q3615" t="str">
        <f t="shared" si="1487"/>
        <v>NIL</v>
      </c>
      <c r="R3615" t="str">
        <f t="shared" si="1476"/>
        <v>Accepted</v>
      </c>
      <c r="S3615" t="str">
        <f t="shared" si="1477"/>
        <v>Approved</v>
      </c>
      <c r="T3615" t="str">
        <f t="shared" si="1478"/>
        <v>10.20.8.188</v>
      </c>
      <c r="U3615" t="str">
        <f t="shared" si="1479"/>
        <v>AZRAD UMAR BIN SHAARI</v>
      </c>
      <c r="V3615" t="str">
        <f t="shared" si="1480"/>
        <v>FARHANA BINTI MUSTAPA</v>
      </c>
      <c r="W3615" t="str">
        <f t="shared" si="1481"/>
        <v>04-08-2020</v>
      </c>
      <c r="X3615" t="str">
        <f t="shared" si="1482"/>
        <v>RAZIMAH ANSAR AHMAD</v>
      </c>
      <c r="Y3615" t="str">
        <f t="shared" si="1483"/>
        <v>04-08-2020</v>
      </c>
      <c r="Z3615" t="str">
        <f>"COS10200804 5339"</f>
        <v>COS10200804 5339</v>
      </c>
    </row>
    <row r="3616" spans="1:26" x14ac:dyDescent="0.25">
      <c r="A3616" t="str">
        <f t="shared" si="1467"/>
        <v>04-08-2020 12:56:45</v>
      </c>
      <c r="B3616" t="str">
        <f>"0000807326"</f>
        <v>0000807326</v>
      </c>
      <c r="C3616" t="str">
        <f t="shared" si="1468"/>
        <v>0000807188</v>
      </c>
      <c r="D3616" t="str">
        <f t="shared" si="1471"/>
        <v>73185</v>
      </c>
      <c r="E3616" t="str">
        <f t="shared" si="1472"/>
        <v>KFH-OPERATIONS DEPARTMENT</v>
      </c>
      <c r="F3616" t="str">
        <f t="shared" si="1473"/>
        <v>IBG</v>
      </c>
      <c r="G3616" t="str">
        <f t="shared" si="1484"/>
        <v>Refund COSHARE 10</v>
      </c>
      <c r="H3616" s="2">
        <v>599.25</v>
      </c>
      <c r="I3616" t="str">
        <f>"MISSIE ANAK MERINGGONG"</f>
        <v>MISSIE ANAK MERINGGONG</v>
      </c>
      <c r="J3616" t="str">
        <f t="shared" si="1485"/>
        <v>MAYBANK / MAYBANK ISLAMIC</v>
      </c>
      <c r="K3616" t="str">
        <f>"111113395434"</f>
        <v>111113395434</v>
      </c>
      <c r="L3616" t="str">
        <f t="shared" si="1486"/>
        <v>04-08-2020</v>
      </c>
      <c r="M3616" t="str">
        <f t="shared" si="1486"/>
        <v>04-08-2020</v>
      </c>
      <c r="N3616" t="str">
        <f t="shared" si="1474"/>
        <v>001105018356</v>
      </c>
      <c r="O3616" t="str">
        <f t="shared" si="1475"/>
        <v>MYR</v>
      </c>
      <c r="P3616" t="str">
        <f t="shared" si="1487"/>
        <v>NIL</v>
      </c>
      <c r="Q3616" t="str">
        <f t="shared" si="1487"/>
        <v>NIL</v>
      </c>
      <c r="R3616" t="str">
        <f t="shared" si="1476"/>
        <v>Accepted</v>
      </c>
      <c r="S3616" t="str">
        <f t="shared" si="1477"/>
        <v>Approved</v>
      </c>
      <c r="T3616" t="str">
        <f t="shared" si="1478"/>
        <v>10.20.8.188</v>
      </c>
      <c r="U3616" t="str">
        <f t="shared" si="1479"/>
        <v>AZRAD UMAR BIN SHAARI</v>
      </c>
      <c r="V3616" t="str">
        <f t="shared" si="1480"/>
        <v>FARHANA BINTI MUSTAPA</v>
      </c>
      <c r="W3616" t="str">
        <f t="shared" si="1481"/>
        <v>04-08-2020</v>
      </c>
      <c r="X3616" t="str">
        <f t="shared" si="1482"/>
        <v>RAZIMAH ANSAR AHMAD</v>
      </c>
      <c r="Y3616" t="str">
        <f t="shared" si="1483"/>
        <v>04-08-2020</v>
      </c>
      <c r="Z3616" t="str">
        <f>"COS10200804 5338"</f>
        <v>COS10200804 5338</v>
      </c>
    </row>
    <row r="3617" spans="1:26" x14ac:dyDescent="0.25">
      <c r="A3617" t="str">
        <f t="shared" si="1467"/>
        <v>04-08-2020 12:56:45</v>
      </c>
      <c r="B3617" t="str">
        <f>"0000807325"</f>
        <v>0000807325</v>
      </c>
      <c r="C3617" t="str">
        <f t="shared" si="1468"/>
        <v>0000807188</v>
      </c>
      <c r="D3617" t="str">
        <f t="shared" si="1471"/>
        <v>73185</v>
      </c>
      <c r="E3617" t="str">
        <f t="shared" si="1472"/>
        <v>KFH-OPERATIONS DEPARTMENT</v>
      </c>
      <c r="F3617" t="str">
        <f t="shared" si="1473"/>
        <v>IBG</v>
      </c>
      <c r="G3617" t="str">
        <f t="shared" si="1484"/>
        <v>Refund COSHARE 10</v>
      </c>
      <c r="H3617" s="2">
        <v>1539</v>
      </c>
      <c r="I3617" t="str">
        <f>"MISPAN BIN MOHAMAD SAID"</f>
        <v>MISPAN BIN MOHAMAD SAID</v>
      </c>
      <c r="J3617" t="str">
        <f t="shared" si="1485"/>
        <v>MAYBANK / MAYBANK ISLAMIC</v>
      </c>
      <c r="K3617" t="str">
        <f>"102103002375"</f>
        <v>102103002375</v>
      </c>
      <c r="L3617" t="str">
        <f t="shared" si="1486"/>
        <v>04-08-2020</v>
      </c>
      <c r="M3617" t="str">
        <f t="shared" si="1486"/>
        <v>04-08-2020</v>
      </c>
      <c r="N3617" t="str">
        <f t="shared" si="1474"/>
        <v>001105018356</v>
      </c>
      <c r="O3617" t="str">
        <f t="shared" si="1475"/>
        <v>MYR</v>
      </c>
      <c r="P3617" t="str">
        <f t="shared" si="1487"/>
        <v>NIL</v>
      </c>
      <c r="Q3617" t="str">
        <f t="shared" si="1487"/>
        <v>NIL</v>
      </c>
      <c r="R3617" t="str">
        <f t="shared" si="1476"/>
        <v>Accepted</v>
      </c>
      <c r="S3617" t="str">
        <f t="shared" si="1477"/>
        <v>Approved</v>
      </c>
      <c r="T3617" t="str">
        <f t="shared" si="1478"/>
        <v>10.20.8.188</v>
      </c>
      <c r="U3617" t="str">
        <f t="shared" si="1479"/>
        <v>AZRAD UMAR BIN SHAARI</v>
      </c>
      <c r="V3617" t="str">
        <f t="shared" si="1480"/>
        <v>FARHANA BINTI MUSTAPA</v>
      </c>
      <c r="W3617" t="str">
        <f t="shared" si="1481"/>
        <v>04-08-2020</v>
      </c>
      <c r="X3617" t="str">
        <f t="shared" si="1482"/>
        <v>RAZIMAH ANSAR AHMAD</v>
      </c>
      <c r="Y3617" t="str">
        <f t="shared" si="1483"/>
        <v>04-08-2020</v>
      </c>
      <c r="Z3617" t="str">
        <f>"COS10200804 5337"</f>
        <v>COS10200804 5337</v>
      </c>
    </row>
    <row r="3618" spans="1:26" x14ac:dyDescent="0.25">
      <c r="A3618" t="str">
        <f t="shared" ref="A3618:A3649" si="1488">"04-08-2020 12:56:45"</f>
        <v>04-08-2020 12:56:45</v>
      </c>
      <c r="B3618" t="str">
        <f>"0000807324"</f>
        <v>0000807324</v>
      </c>
      <c r="C3618" t="str">
        <f t="shared" ref="C3618:C3649" si="1489">"0000807188"</f>
        <v>0000807188</v>
      </c>
      <c r="D3618" t="str">
        <f t="shared" si="1471"/>
        <v>73185</v>
      </c>
      <c r="E3618" t="str">
        <f t="shared" si="1472"/>
        <v>KFH-OPERATIONS DEPARTMENT</v>
      </c>
      <c r="F3618" t="str">
        <f t="shared" si="1473"/>
        <v>IBG</v>
      </c>
      <c r="G3618" t="str">
        <f t="shared" si="1484"/>
        <v>Refund COSHARE 10</v>
      </c>
      <c r="H3618" s="2">
        <v>587.65</v>
      </c>
      <c r="I3618" t="str">
        <f>"MISDIFIAN BIN UDDIN"</f>
        <v>MISDIFIAN BIN UDDIN</v>
      </c>
      <c r="J3618" t="str">
        <f t="shared" si="1485"/>
        <v>MAYBANK / MAYBANK ISLAMIC</v>
      </c>
      <c r="K3618" t="str">
        <f>"160036939298"</f>
        <v>160036939298</v>
      </c>
      <c r="L3618" t="str">
        <f t="shared" si="1486"/>
        <v>04-08-2020</v>
      </c>
      <c r="M3618" t="str">
        <f t="shared" si="1486"/>
        <v>04-08-2020</v>
      </c>
      <c r="N3618" t="str">
        <f t="shared" si="1474"/>
        <v>001105018356</v>
      </c>
      <c r="O3618" t="str">
        <f t="shared" si="1475"/>
        <v>MYR</v>
      </c>
      <c r="P3618" t="str">
        <f t="shared" si="1487"/>
        <v>NIL</v>
      </c>
      <c r="Q3618" t="str">
        <f t="shared" si="1487"/>
        <v>NIL</v>
      </c>
      <c r="R3618" t="str">
        <f t="shared" si="1476"/>
        <v>Accepted</v>
      </c>
      <c r="S3618" t="str">
        <f t="shared" si="1477"/>
        <v>Approved</v>
      </c>
      <c r="T3618" t="str">
        <f t="shared" si="1478"/>
        <v>10.20.8.188</v>
      </c>
      <c r="U3618" t="str">
        <f t="shared" si="1479"/>
        <v>AZRAD UMAR BIN SHAARI</v>
      </c>
      <c r="V3618" t="str">
        <f t="shared" si="1480"/>
        <v>FARHANA BINTI MUSTAPA</v>
      </c>
      <c r="W3618" t="str">
        <f t="shared" si="1481"/>
        <v>04-08-2020</v>
      </c>
      <c r="X3618" t="str">
        <f t="shared" si="1482"/>
        <v>RAZIMAH ANSAR AHMAD</v>
      </c>
      <c r="Y3618" t="str">
        <f t="shared" si="1483"/>
        <v>04-08-2020</v>
      </c>
      <c r="Z3618" t="str">
        <f>"COS10200804 5336"</f>
        <v>COS10200804 5336</v>
      </c>
    </row>
    <row r="3619" spans="1:26" x14ac:dyDescent="0.25">
      <c r="A3619" t="str">
        <f t="shared" si="1488"/>
        <v>04-08-2020 12:56:45</v>
      </c>
      <c r="B3619" t="str">
        <f>"0000807323"</f>
        <v>0000807323</v>
      </c>
      <c r="C3619" t="str">
        <f t="shared" si="1489"/>
        <v>0000807188</v>
      </c>
      <c r="D3619" t="str">
        <f t="shared" si="1471"/>
        <v>73185</v>
      </c>
      <c r="E3619" t="str">
        <f t="shared" si="1472"/>
        <v>KFH-OPERATIONS DEPARTMENT</v>
      </c>
      <c r="F3619" t="str">
        <f t="shared" si="1473"/>
        <v>IBG</v>
      </c>
      <c r="G3619" t="str">
        <f t="shared" si="1484"/>
        <v>Refund COSHARE 10</v>
      </c>
      <c r="H3619" s="2">
        <v>267.64999999999998</v>
      </c>
      <c r="I3619" t="str">
        <f>"MISBAH BIN LEE MIN"</f>
        <v>MISBAH BIN LEE MIN</v>
      </c>
      <c r="J3619" t="str">
        <f t="shared" si="1485"/>
        <v>MAYBANK / MAYBANK ISLAMIC</v>
      </c>
      <c r="K3619" t="str">
        <f>"101011099221"</f>
        <v>101011099221</v>
      </c>
      <c r="L3619" t="str">
        <f t="shared" si="1486"/>
        <v>04-08-2020</v>
      </c>
      <c r="M3619" t="str">
        <f t="shared" si="1486"/>
        <v>04-08-2020</v>
      </c>
      <c r="N3619" t="str">
        <f t="shared" si="1474"/>
        <v>001105018356</v>
      </c>
      <c r="O3619" t="str">
        <f t="shared" si="1475"/>
        <v>MYR</v>
      </c>
      <c r="P3619" t="str">
        <f t="shared" si="1487"/>
        <v>NIL</v>
      </c>
      <c r="Q3619" t="str">
        <f t="shared" si="1487"/>
        <v>NIL</v>
      </c>
      <c r="R3619" t="str">
        <f t="shared" si="1476"/>
        <v>Accepted</v>
      </c>
      <c r="S3619" t="str">
        <f t="shared" si="1477"/>
        <v>Approved</v>
      </c>
      <c r="T3619" t="str">
        <f t="shared" si="1478"/>
        <v>10.20.8.188</v>
      </c>
      <c r="U3619" t="str">
        <f t="shared" si="1479"/>
        <v>AZRAD UMAR BIN SHAARI</v>
      </c>
      <c r="V3619" t="str">
        <f t="shared" si="1480"/>
        <v>FARHANA BINTI MUSTAPA</v>
      </c>
      <c r="W3619" t="str">
        <f t="shared" si="1481"/>
        <v>04-08-2020</v>
      </c>
      <c r="X3619" t="str">
        <f t="shared" si="1482"/>
        <v>RAZIMAH ANSAR AHMAD</v>
      </c>
      <c r="Y3619" t="str">
        <f t="shared" si="1483"/>
        <v>04-08-2020</v>
      </c>
      <c r="Z3619" t="str">
        <f>"COS10200804 5335"</f>
        <v>COS10200804 5335</v>
      </c>
    </row>
    <row r="3620" spans="1:26" x14ac:dyDescent="0.25">
      <c r="A3620" t="str">
        <f t="shared" si="1488"/>
        <v>04-08-2020 12:56:45</v>
      </c>
      <c r="B3620" t="str">
        <f>"0000807322"</f>
        <v>0000807322</v>
      </c>
      <c r="C3620" t="str">
        <f t="shared" si="1489"/>
        <v>0000807188</v>
      </c>
      <c r="D3620" t="str">
        <f t="shared" si="1471"/>
        <v>73185</v>
      </c>
      <c r="E3620" t="str">
        <f t="shared" si="1472"/>
        <v>KFH-OPERATIONS DEPARTMENT</v>
      </c>
      <c r="F3620" t="str">
        <f t="shared" si="1473"/>
        <v>IBG</v>
      </c>
      <c r="G3620" t="str">
        <f t="shared" si="1484"/>
        <v>Refund COSHARE 10</v>
      </c>
      <c r="H3620" s="2">
        <v>251.85</v>
      </c>
      <c r="I3620" t="str">
        <f>"MIOR SAZMER BIN MOHAMAD ISA"</f>
        <v>MIOR SAZMER BIN MOHAMAD ISA</v>
      </c>
      <c r="J3620" t="str">
        <f t="shared" si="1485"/>
        <v>MAYBANK / MAYBANK ISLAMIC</v>
      </c>
      <c r="K3620" t="str">
        <f>"164481027535"</f>
        <v>164481027535</v>
      </c>
      <c r="L3620" t="str">
        <f t="shared" si="1486"/>
        <v>04-08-2020</v>
      </c>
      <c r="M3620" t="str">
        <f t="shared" si="1486"/>
        <v>04-08-2020</v>
      </c>
      <c r="N3620" t="str">
        <f t="shared" si="1474"/>
        <v>001105018356</v>
      </c>
      <c r="O3620" t="str">
        <f t="shared" si="1475"/>
        <v>MYR</v>
      </c>
      <c r="P3620" t="str">
        <f t="shared" si="1487"/>
        <v>NIL</v>
      </c>
      <c r="Q3620" t="str">
        <f t="shared" si="1487"/>
        <v>NIL</v>
      </c>
      <c r="R3620" t="str">
        <f t="shared" si="1476"/>
        <v>Accepted</v>
      </c>
      <c r="S3620" t="str">
        <f t="shared" si="1477"/>
        <v>Approved</v>
      </c>
      <c r="T3620" t="str">
        <f t="shared" si="1478"/>
        <v>10.20.8.188</v>
      </c>
      <c r="U3620" t="str">
        <f t="shared" si="1479"/>
        <v>AZRAD UMAR BIN SHAARI</v>
      </c>
      <c r="V3620" t="str">
        <f t="shared" si="1480"/>
        <v>FARHANA BINTI MUSTAPA</v>
      </c>
      <c r="W3620" t="str">
        <f t="shared" si="1481"/>
        <v>04-08-2020</v>
      </c>
      <c r="X3620" t="str">
        <f t="shared" si="1482"/>
        <v>RAZIMAH ANSAR AHMAD</v>
      </c>
      <c r="Y3620" t="str">
        <f t="shared" si="1483"/>
        <v>04-08-2020</v>
      </c>
      <c r="Z3620" t="str">
        <f>"COS10200804 5334"</f>
        <v>COS10200804 5334</v>
      </c>
    </row>
    <row r="3621" spans="1:26" x14ac:dyDescent="0.25">
      <c r="A3621" t="str">
        <f t="shared" si="1488"/>
        <v>04-08-2020 12:56:45</v>
      </c>
      <c r="B3621" t="str">
        <f>"0000807321"</f>
        <v>0000807321</v>
      </c>
      <c r="C3621" t="str">
        <f t="shared" si="1489"/>
        <v>0000807188</v>
      </c>
      <c r="D3621" t="str">
        <f t="shared" si="1471"/>
        <v>73185</v>
      </c>
      <c r="E3621" t="str">
        <f t="shared" si="1472"/>
        <v>KFH-OPERATIONS DEPARTMENT</v>
      </c>
      <c r="F3621" t="str">
        <f t="shared" si="1473"/>
        <v>IBG</v>
      </c>
      <c r="G3621" t="str">
        <f t="shared" si="1484"/>
        <v>Refund COSHARE 10</v>
      </c>
      <c r="H3621" s="2">
        <v>301.7</v>
      </c>
      <c r="I3621" t="str">
        <f>"MIOR MUHAMMAD SYAWALLI"</f>
        <v>MIOR MUHAMMAD SYAWALLI</v>
      </c>
      <c r="J3621" t="str">
        <f t="shared" si="1485"/>
        <v>MAYBANK / MAYBANK ISLAMIC</v>
      </c>
      <c r="K3621" t="str">
        <f>"158015178281"</f>
        <v>158015178281</v>
      </c>
      <c r="L3621" t="str">
        <f t="shared" si="1486"/>
        <v>04-08-2020</v>
      </c>
      <c r="M3621" t="str">
        <f t="shared" si="1486"/>
        <v>04-08-2020</v>
      </c>
      <c r="N3621" t="str">
        <f t="shared" si="1474"/>
        <v>001105018356</v>
      </c>
      <c r="O3621" t="str">
        <f t="shared" si="1475"/>
        <v>MYR</v>
      </c>
      <c r="P3621" t="str">
        <f t="shared" si="1487"/>
        <v>NIL</v>
      </c>
      <c r="Q3621" t="str">
        <f t="shared" si="1487"/>
        <v>NIL</v>
      </c>
      <c r="R3621" t="str">
        <f t="shared" si="1476"/>
        <v>Accepted</v>
      </c>
      <c r="S3621" t="str">
        <f t="shared" si="1477"/>
        <v>Approved</v>
      </c>
      <c r="T3621" t="str">
        <f t="shared" si="1478"/>
        <v>10.20.8.188</v>
      </c>
      <c r="U3621" t="str">
        <f t="shared" si="1479"/>
        <v>AZRAD UMAR BIN SHAARI</v>
      </c>
      <c r="V3621" t="str">
        <f t="shared" si="1480"/>
        <v>FARHANA BINTI MUSTAPA</v>
      </c>
      <c r="W3621" t="str">
        <f t="shared" si="1481"/>
        <v>04-08-2020</v>
      </c>
      <c r="X3621" t="str">
        <f t="shared" si="1482"/>
        <v>RAZIMAH ANSAR AHMAD</v>
      </c>
      <c r="Y3621" t="str">
        <f t="shared" si="1483"/>
        <v>04-08-2020</v>
      </c>
      <c r="Z3621" t="str">
        <f>"COS10200804 5333"</f>
        <v>COS10200804 5333</v>
      </c>
    </row>
    <row r="3622" spans="1:26" x14ac:dyDescent="0.25">
      <c r="A3622" t="str">
        <f t="shared" si="1488"/>
        <v>04-08-2020 12:56:45</v>
      </c>
      <c r="B3622" t="str">
        <f>"0000807320"</f>
        <v>0000807320</v>
      </c>
      <c r="C3622" t="str">
        <f t="shared" si="1489"/>
        <v>0000807188</v>
      </c>
      <c r="D3622" t="str">
        <f t="shared" si="1471"/>
        <v>73185</v>
      </c>
      <c r="E3622" t="str">
        <f t="shared" si="1472"/>
        <v>KFH-OPERATIONS DEPARTMENT</v>
      </c>
      <c r="F3622" t="str">
        <f t="shared" si="1473"/>
        <v>IBG</v>
      </c>
      <c r="G3622" t="str">
        <f t="shared" si="1484"/>
        <v>Refund COSHARE 10</v>
      </c>
      <c r="H3622" s="2">
        <v>1009</v>
      </c>
      <c r="I3622" t="str">
        <f>"MIOR ABDUL RANI BIN BAHARUDIN"</f>
        <v>MIOR ABDUL RANI BIN BAHARUDIN</v>
      </c>
      <c r="J3622" t="str">
        <f t="shared" si="1485"/>
        <v>MAYBANK / MAYBANK ISLAMIC</v>
      </c>
      <c r="K3622" t="str">
        <f>"158015179494"</f>
        <v>158015179494</v>
      </c>
      <c r="L3622" t="str">
        <f t="shared" si="1486"/>
        <v>04-08-2020</v>
      </c>
      <c r="M3622" t="str">
        <f t="shared" si="1486"/>
        <v>04-08-2020</v>
      </c>
      <c r="N3622" t="str">
        <f t="shared" si="1474"/>
        <v>001105018356</v>
      </c>
      <c r="O3622" t="str">
        <f t="shared" si="1475"/>
        <v>MYR</v>
      </c>
      <c r="P3622" t="str">
        <f t="shared" si="1487"/>
        <v>NIL</v>
      </c>
      <c r="Q3622" t="str">
        <f t="shared" si="1487"/>
        <v>NIL</v>
      </c>
      <c r="R3622" t="str">
        <f t="shared" si="1476"/>
        <v>Accepted</v>
      </c>
      <c r="S3622" t="str">
        <f t="shared" si="1477"/>
        <v>Approved</v>
      </c>
      <c r="T3622" t="str">
        <f t="shared" si="1478"/>
        <v>10.20.8.188</v>
      </c>
      <c r="U3622" t="str">
        <f t="shared" si="1479"/>
        <v>AZRAD UMAR BIN SHAARI</v>
      </c>
      <c r="V3622" t="str">
        <f t="shared" si="1480"/>
        <v>FARHANA BINTI MUSTAPA</v>
      </c>
      <c r="W3622" t="str">
        <f t="shared" si="1481"/>
        <v>04-08-2020</v>
      </c>
      <c r="X3622" t="str">
        <f t="shared" si="1482"/>
        <v>RAZIMAH ANSAR AHMAD</v>
      </c>
      <c r="Y3622" t="str">
        <f t="shared" si="1483"/>
        <v>04-08-2020</v>
      </c>
      <c r="Z3622" t="str">
        <f>"COS10200804 5332"</f>
        <v>COS10200804 5332</v>
      </c>
    </row>
    <row r="3623" spans="1:26" x14ac:dyDescent="0.25">
      <c r="A3623" t="str">
        <f t="shared" si="1488"/>
        <v>04-08-2020 12:56:45</v>
      </c>
      <c r="B3623" t="str">
        <f>"0000807319"</f>
        <v>0000807319</v>
      </c>
      <c r="C3623" t="str">
        <f t="shared" si="1489"/>
        <v>0000807188</v>
      </c>
      <c r="D3623" t="str">
        <f t="shared" si="1471"/>
        <v>73185</v>
      </c>
      <c r="E3623" t="str">
        <f t="shared" si="1472"/>
        <v>KFH-OPERATIONS DEPARTMENT</v>
      </c>
      <c r="F3623" t="str">
        <f t="shared" si="1473"/>
        <v>IBG</v>
      </c>
      <c r="G3623" t="str">
        <f t="shared" si="1484"/>
        <v>Refund COSHARE 10</v>
      </c>
      <c r="H3623" s="2">
        <v>226</v>
      </c>
      <c r="I3623" t="str">
        <f>"MINGAT ANAK GUNDANG"</f>
        <v>MINGAT ANAK GUNDANG</v>
      </c>
      <c r="J3623" t="str">
        <f t="shared" si="1485"/>
        <v>MAYBANK / MAYBANK ISLAMIC</v>
      </c>
      <c r="K3623" t="str">
        <f>"161015626190"</f>
        <v>161015626190</v>
      </c>
      <c r="L3623" t="str">
        <f t="shared" si="1486"/>
        <v>04-08-2020</v>
      </c>
      <c r="M3623" t="str">
        <f t="shared" si="1486"/>
        <v>04-08-2020</v>
      </c>
      <c r="N3623" t="str">
        <f t="shared" si="1474"/>
        <v>001105018356</v>
      </c>
      <c r="O3623" t="str">
        <f t="shared" si="1475"/>
        <v>MYR</v>
      </c>
      <c r="P3623" t="str">
        <f t="shared" si="1487"/>
        <v>NIL</v>
      </c>
      <c r="Q3623" t="str">
        <f t="shared" si="1487"/>
        <v>NIL</v>
      </c>
      <c r="R3623" t="str">
        <f t="shared" si="1476"/>
        <v>Accepted</v>
      </c>
      <c r="S3623" t="str">
        <f t="shared" si="1477"/>
        <v>Approved</v>
      </c>
      <c r="T3623" t="str">
        <f t="shared" si="1478"/>
        <v>10.20.8.188</v>
      </c>
      <c r="U3623" t="str">
        <f t="shared" si="1479"/>
        <v>AZRAD UMAR BIN SHAARI</v>
      </c>
      <c r="V3623" t="str">
        <f t="shared" si="1480"/>
        <v>FARHANA BINTI MUSTAPA</v>
      </c>
      <c r="W3623" t="str">
        <f t="shared" si="1481"/>
        <v>04-08-2020</v>
      </c>
      <c r="X3623" t="str">
        <f t="shared" si="1482"/>
        <v>RAZIMAH ANSAR AHMAD</v>
      </c>
      <c r="Y3623" t="str">
        <f t="shared" si="1483"/>
        <v>04-08-2020</v>
      </c>
      <c r="Z3623" t="str">
        <f>"COS10200804 5331"</f>
        <v>COS10200804 5331</v>
      </c>
    </row>
    <row r="3624" spans="1:26" x14ac:dyDescent="0.25">
      <c r="A3624" t="str">
        <f t="shared" si="1488"/>
        <v>04-08-2020 12:56:45</v>
      </c>
      <c r="B3624" t="str">
        <f>"0000807318"</f>
        <v>0000807318</v>
      </c>
      <c r="C3624" t="str">
        <f t="shared" si="1489"/>
        <v>0000807188</v>
      </c>
      <c r="D3624" t="str">
        <f t="shared" si="1471"/>
        <v>73185</v>
      </c>
      <c r="E3624" t="str">
        <f t="shared" si="1472"/>
        <v>KFH-OPERATIONS DEPARTMENT</v>
      </c>
      <c r="F3624" t="str">
        <f t="shared" si="1473"/>
        <v>IBG</v>
      </c>
      <c r="G3624" t="str">
        <f t="shared" si="1484"/>
        <v>Refund COSHARE 10</v>
      </c>
      <c r="H3624" s="2">
        <v>1259.25</v>
      </c>
      <c r="I3624" t="str">
        <f>"MIMI MARLEESA BINTI MOHD FADZIK"</f>
        <v>MIMI MARLEESA BINTI MOHD FADZIK</v>
      </c>
      <c r="J3624" t="str">
        <f t="shared" si="1485"/>
        <v>MAYBANK / MAYBANK ISLAMIC</v>
      </c>
      <c r="K3624" t="str">
        <f>"163019449181"</f>
        <v>163019449181</v>
      </c>
      <c r="L3624" t="str">
        <f t="shared" si="1486"/>
        <v>04-08-2020</v>
      </c>
      <c r="M3624" t="str">
        <f t="shared" si="1486"/>
        <v>04-08-2020</v>
      </c>
      <c r="N3624" t="str">
        <f t="shared" si="1474"/>
        <v>001105018356</v>
      </c>
      <c r="O3624" t="str">
        <f t="shared" si="1475"/>
        <v>MYR</v>
      </c>
      <c r="P3624" t="str">
        <f t="shared" si="1487"/>
        <v>NIL</v>
      </c>
      <c r="Q3624" t="str">
        <f t="shared" si="1487"/>
        <v>NIL</v>
      </c>
      <c r="R3624" t="str">
        <f t="shared" si="1476"/>
        <v>Accepted</v>
      </c>
      <c r="S3624" t="str">
        <f t="shared" si="1477"/>
        <v>Approved</v>
      </c>
      <c r="T3624" t="str">
        <f t="shared" si="1478"/>
        <v>10.20.8.188</v>
      </c>
      <c r="U3624" t="str">
        <f t="shared" si="1479"/>
        <v>AZRAD UMAR BIN SHAARI</v>
      </c>
      <c r="V3624" t="str">
        <f t="shared" si="1480"/>
        <v>FARHANA BINTI MUSTAPA</v>
      </c>
      <c r="W3624" t="str">
        <f t="shared" si="1481"/>
        <v>04-08-2020</v>
      </c>
      <c r="X3624" t="str">
        <f t="shared" si="1482"/>
        <v>RAZIMAH ANSAR AHMAD</v>
      </c>
      <c r="Y3624" t="str">
        <f t="shared" si="1483"/>
        <v>04-08-2020</v>
      </c>
      <c r="Z3624" t="str">
        <f>"COS10200804 5330"</f>
        <v>COS10200804 5330</v>
      </c>
    </row>
    <row r="3625" spans="1:26" x14ac:dyDescent="0.25">
      <c r="A3625" t="str">
        <f t="shared" si="1488"/>
        <v>04-08-2020 12:56:45</v>
      </c>
      <c r="B3625" t="str">
        <f>"0000807317"</f>
        <v>0000807317</v>
      </c>
      <c r="C3625" t="str">
        <f t="shared" si="1489"/>
        <v>0000807188</v>
      </c>
      <c r="D3625" t="str">
        <f t="shared" si="1471"/>
        <v>73185</v>
      </c>
      <c r="E3625" t="str">
        <f t="shared" si="1472"/>
        <v>KFH-OPERATIONS DEPARTMENT</v>
      </c>
      <c r="F3625" t="str">
        <f t="shared" si="1473"/>
        <v>IBG</v>
      </c>
      <c r="G3625" t="str">
        <f t="shared" si="1484"/>
        <v>Refund COSHARE 10</v>
      </c>
      <c r="H3625" s="2">
        <v>84</v>
      </c>
      <c r="I3625" t="str">
        <f>"MIMI AISHAH BINTI ZAKARIA"</f>
        <v>MIMI AISHAH BINTI ZAKARIA</v>
      </c>
      <c r="J3625" t="str">
        <f t="shared" si="1485"/>
        <v>MAYBANK / MAYBANK ISLAMIC</v>
      </c>
      <c r="K3625" t="str">
        <f>"151017135795"</f>
        <v>151017135795</v>
      </c>
      <c r="L3625" t="str">
        <f t="shared" si="1486"/>
        <v>04-08-2020</v>
      </c>
      <c r="M3625" t="str">
        <f t="shared" si="1486"/>
        <v>04-08-2020</v>
      </c>
      <c r="N3625" t="str">
        <f t="shared" si="1474"/>
        <v>001105018356</v>
      </c>
      <c r="O3625" t="str">
        <f t="shared" si="1475"/>
        <v>MYR</v>
      </c>
      <c r="P3625" t="str">
        <f t="shared" si="1487"/>
        <v>NIL</v>
      </c>
      <c r="Q3625" t="str">
        <f t="shared" si="1487"/>
        <v>NIL</v>
      </c>
      <c r="R3625" t="str">
        <f t="shared" si="1476"/>
        <v>Accepted</v>
      </c>
      <c r="S3625" t="str">
        <f t="shared" si="1477"/>
        <v>Approved</v>
      </c>
      <c r="T3625" t="str">
        <f t="shared" si="1478"/>
        <v>10.20.8.188</v>
      </c>
      <c r="U3625" t="str">
        <f t="shared" si="1479"/>
        <v>AZRAD UMAR BIN SHAARI</v>
      </c>
      <c r="V3625" t="str">
        <f t="shared" si="1480"/>
        <v>FARHANA BINTI MUSTAPA</v>
      </c>
      <c r="W3625" t="str">
        <f t="shared" si="1481"/>
        <v>04-08-2020</v>
      </c>
      <c r="X3625" t="str">
        <f t="shared" si="1482"/>
        <v>RAZIMAH ANSAR AHMAD</v>
      </c>
      <c r="Y3625" t="str">
        <f t="shared" si="1483"/>
        <v>04-08-2020</v>
      </c>
      <c r="Z3625" t="str">
        <f>"COS10200804 5329"</f>
        <v>COS10200804 5329</v>
      </c>
    </row>
    <row r="3626" spans="1:26" x14ac:dyDescent="0.25">
      <c r="A3626" t="str">
        <f t="shared" si="1488"/>
        <v>04-08-2020 12:56:45</v>
      </c>
      <c r="B3626" t="str">
        <f>"0000807316"</f>
        <v>0000807316</v>
      </c>
      <c r="C3626" t="str">
        <f t="shared" si="1489"/>
        <v>0000807188</v>
      </c>
      <c r="D3626" t="str">
        <f t="shared" si="1471"/>
        <v>73185</v>
      </c>
      <c r="E3626" t="str">
        <f t="shared" si="1472"/>
        <v>KFH-OPERATIONS DEPARTMENT</v>
      </c>
      <c r="F3626" t="str">
        <f t="shared" si="1473"/>
        <v>IBG</v>
      </c>
      <c r="G3626" t="str">
        <f t="shared" si="1484"/>
        <v>Refund COSHARE 10</v>
      </c>
      <c r="H3626" s="2">
        <v>831.1</v>
      </c>
      <c r="I3626" t="str">
        <f>"MIKE ANAK JOSEPH"</f>
        <v>MIKE ANAK JOSEPH</v>
      </c>
      <c r="J3626" t="str">
        <f t="shared" si="1485"/>
        <v>MAYBANK / MAYBANK ISLAMIC</v>
      </c>
      <c r="K3626" t="str">
        <f>"110050085733"</f>
        <v>110050085733</v>
      </c>
      <c r="L3626" t="str">
        <f t="shared" si="1486"/>
        <v>04-08-2020</v>
      </c>
      <c r="M3626" t="str">
        <f t="shared" si="1486"/>
        <v>04-08-2020</v>
      </c>
      <c r="N3626" t="str">
        <f t="shared" si="1474"/>
        <v>001105018356</v>
      </c>
      <c r="O3626" t="str">
        <f t="shared" si="1475"/>
        <v>MYR</v>
      </c>
      <c r="P3626" t="str">
        <f t="shared" si="1487"/>
        <v>NIL</v>
      </c>
      <c r="Q3626" t="str">
        <f t="shared" si="1487"/>
        <v>NIL</v>
      </c>
      <c r="R3626" t="str">
        <f t="shared" si="1476"/>
        <v>Accepted</v>
      </c>
      <c r="S3626" t="str">
        <f t="shared" si="1477"/>
        <v>Approved</v>
      </c>
      <c r="T3626" t="str">
        <f t="shared" si="1478"/>
        <v>10.20.8.188</v>
      </c>
      <c r="U3626" t="str">
        <f t="shared" si="1479"/>
        <v>AZRAD UMAR BIN SHAARI</v>
      </c>
      <c r="V3626" t="str">
        <f t="shared" si="1480"/>
        <v>FARHANA BINTI MUSTAPA</v>
      </c>
      <c r="W3626" t="str">
        <f t="shared" si="1481"/>
        <v>04-08-2020</v>
      </c>
      <c r="X3626" t="str">
        <f t="shared" si="1482"/>
        <v>RAZIMAH ANSAR AHMAD</v>
      </c>
      <c r="Y3626" t="str">
        <f t="shared" si="1483"/>
        <v>04-08-2020</v>
      </c>
      <c r="Z3626" t="str">
        <f>"COS10200804 5328"</f>
        <v>COS10200804 5328</v>
      </c>
    </row>
    <row r="3627" spans="1:26" x14ac:dyDescent="0.25">
      <c r="A3627" t="str">
        <f t="shared" si="1488"/>
        <v>04-08-2020 12:56:45</v>
      </c>
      <c r="B3627" t="str">
        <f>"0000807315"</f>
        <v>0000807315</v>
      </c>
      <c r="C3627" t="str">
        <f t="shared" si="1489"/>
        <v>0000807188</v>
      </c>
      <c r="D3627" t="str">
        <f t="shared" si="1471"/>
        <v>73185</v>
      </c>
      <c r="E3627" t="str">
        <f t="shared" si="1472"/>
        <v>KFH-OPERATIONS DEPARTMENT</v>
      </c>
      <c r="F3627" t="str">
        <f t="shared" si="1473"/>
        <v>IBG</v>
      </c>
      <c r="G3627" t="str">
        <f t="shared" si="1484"/>
        <v>Refund COSHARE 10</v>
      </c>
      <c r="H3627" s="2">
        <v>235.1</v>
      </c>
      <c r="I3627" t="str">
        <f>"MIDZFAL BIN ABDULLA"</f>
        <v>MIDZFAL BIN ABDULLA</v>
      </c>
      <c r="J3627" t="str">
        <f t="shared" si="1485"/>
        <v>MAYBANK / MAYBANK ISLAMIC</v>
      </c>
      <c r="K3627" t="str">
        <f>"160102256445"</f>
        <v>160102256445</v>
      </c>
      <c r="L3627" t="str">
        <f t="shared" ref="L3627:M3646" si="1490">"04-08-2020"</f>
        <v>04-08-2020</v>
      </c>
      <c r="M3627" t="str">
        <f t="shared" si="1490"/>
        <v>04-08-2020</v>
      </c>
      <c r="N3627" t="str">
        <f t="shared" si="1474"/>
        <v>001105018356</v>
      </c>
      <c r="O3627" t="str">
        <f t="shared" si="1475"/>
        <v>MYR</v>
      </c>
      <c r="P3627" t="str">
        <f t="shared" ref="P3627:Q3646" si="1491">"NIL"</f>
        <v>NIL</v>
      </c>
      <c r="Q3627" t="str">
        <f t="shared" si="1491"/>
        <v>NIL</v>
      </c>
      <c r="R3627" t="str">
        <f t="shared" si="1476"/>
        <v>Accepted</v>
      </c>
      <c r="S3627" t="str">
        <f t="shared" si="1477"/>
        <v>Approved</v>
      </c>
      <c r="T3627" t="str">
        <f t="shared" si="1478"/>
        <v>10.20.8.188</v>
      </c>
      <c r="U3627" t="str">
        <f t="shared" si="1479"/>
        <v>AZRAD UMAR BIN SHAARI</v>
      </c>
      <c r="V3627" t="str">
        <f t="shared" si="1480"/>
        <v>FARHANA BINTI MUSTAPA</v>
      </c>
      <c r="W3627" t="str">
        <f t="shared" si="1481"/>
        <v>04-08-2020</v>
      </c>
      <c r="X3627" t="str">
        <f t="shared" si="1482"/>
        <v>RAZIMAH ANSAR AHMAD</v>
      </c>
      <c r="Y3627" t="str">
        <f t="shared" si="1483"/>
        <v>04-08-2020</v>
      </c>
      <c r="Z3627" t="str">
        <f>"COS10200804 5327"</f>
        <v>COS10200804 5327</v>
      </c>
    </row>
    <row r="3628" spans="1:26" x14ac:dyDescent="0.25">
      <c r="A3628" t="str">
        <f t="shared" si="1488"/>
        <v>04-08-2020 12:56:45</v>
      </c>
      <c r="B3628" t="str">
        <f>"0000807314"</f>
        <v>0000807314</v>
      </c>
      <c r="C3628" t="str">
        <f t="shared" si="1489"/>
        <v>0000807188</v>
      </c>
      <c r="D3628" t="str">
        <f t="shared" si="1471"/>
        <v>73185</v>
      </c>
      <c r="E3628" t="str">
        <f t="shared" si="1472"/>
        <v>KFH-OPERATIONS DEPARTMENT</v>
      </c>
      <c r="F3628" t="str">
        <f t="shared" si="1473"/>
        <v>IBG</v>
      </c>
      <c r="G3628" t="str">
        <f t="shared" si="1484"/>
        <v>Refund COSHARE 10</v>
      </c>
      <c r="H3628" s="2">
        <v>931.85</v>
      </c>
      <c r="I3628" t="str">
        <f>"MERIYAM BINTI GULAM"</f>
        <v>MERIYAM BINTI GULAM</v>
      </c>
      <c r="J3628" t="str">
        <f t="shared" si="1485"/>
        <v>MAYBANK / MAYBANK ISLAMIC</v>
      </c>
      <c r="K3628" t="str">
        <f>"110031450130"</f>
        <v>110031450130</v>
      </c>
      <c r="L3628" t="str">
        <f t="shared" si="1490"/>
        <v>04-08-2020</v>
      </c>
      <c r="M3628" t="str">
        <f t="shared" si="1490"/>
        <v>04-08-2020</v>
      </c>
      <c r="N3628" t="str">
        <f t="shared" si="1474"/>
        <v>001105018356</v>
      </c>
      <c r="O3628" t="str">
        <f t="shared" si="1475"/>
        <v>MYR</v>
      </c>
      <c r="P3628" t="str">
        <f t="shared" si="1491"/>
        <v>NIL</v>
      </c>
      <c r="Q3628" t="str">
        <f t="shared" si="1491"/>
        <v>NIL</v>
      </c>
      <c r="R3628" t="str">
        <f t="shared" si="1476"/>
        <v>Accepted</v>
      </c>
      <c r="S3628" t="str">
        <f t="shared" si="1477"/>
        <v>Approved</v>
      </c>
      <c r="T3628" t="str">
        <f t="shared" si="1478"/>
        <v>10.20.8.188</v>
      </c>
      <c r="U3628" t="str">
        <f t="shared" si="1479"/>
        <v>AZRAD UMAR BIN SHAARI</v>
      </c>
      <c r="V3628" t="str">
        <f t="shared" si="1480"/>
        <v>FARHANA BINTI MUSTAPA</v>
      </c>
      <c r="W3628" t="str">
        <f t="shared" si="1481"/>
        <v>04-08-2020</v>
      </c>
      <c r="X3628" t="str">
        <f t="shared" si="1482"/>
        <v>RAZIMAH ANSAR AHMAD</v>
      </c>
      <c r="Y3628" t="str">
        <f t="shared" si="1483"/>
        <v>04-08-2020</v>
      </c>
      <c r="Z3628" t="str">
        <f>"COS10200804 5326"</f>
        <v>COS10200804 5326</v>
      </c>
    </row>
    <row r="3629" spans="1:26" x14ac:dyDescent="0.25">
      <c r="A3629" t="str">
        <f t="shared" si="1488"/>
        <v>04-08-2020 12:56:45</v>
      </c>
      <c r="B3629" t="str">
        <f>"0000807313"</f>
        <v>0000807313</v>
      </c>
      <c r="C3629" t="str">
        <f t="shared" si="1489"/>
        <v>0000807188</v>
      </c>
      <c r="D3629" t="str">
        <f t="shared" si="1471"/>
        <v>73185</v>
      </c>
      <c r="E3629" t="str">
        <f t="shared" si="1472"/>
        <v>KFH-OPERATIONS DEPARTMENT</v>
      </c>
      <c r="F3629" t="str">
        <f t="shared" si="1473"/>
        <v>IBG</v>
      </c>
      <c r="G3629" t="str">
        <f t="shared" si="1484"/>
        <v>Refund COSHARE 10</v>
      </c>
      <c r="H3629" s="2">
        <v>1536.3</v>
      </c>
      <c r="I3629" t="str">
        <f>"MEOR ZULKARNAIN BIN MAT ALI"</f>
        <v>MEOR ZULKARNAIN BIN MAT ALI</v>
      </c>
      <c r="J3629" t="str">
        <f t="shared" si="1485"/>
        <v>MAYBANK / MAYBANK ISLAMIC</v>
      </c>
      <c r="K3629" t="str">
        <f>"158202008381"</f>
        <v>158202008381</v>
      </c>
      <c r="L3629" t="str">
        <f t="shared" si="1490"/>
        <v>04-08-2020</v>
      </c>
      <c r="M3629" t="str">
        <f t="shared" si="1490"/>
        <v>04-08-2020</v>
      </c>
      <c r="N3629" t="str">
        <f t="shared" si="1474"/>
        <v>001105018356</v>
      </c>
      <c r="O3629" t="str">
        <f t="shared" si="1475"/>
        <v>MYR</v>
      </c>
      <c r="P3629" t="str">
        <f t="shared" si="1491"/>
        <v>NIL</v>
      </c>
      <c r="Q3629" t="str">
        <f t="shared" si="1491"/>
        <v>NIL</v>
      </c>
      <c r="R3629" t="str">
        <f t="shared" si="1476"/>
        <v>Accepted</v>
      </c>
      <c r="S3629" t="str">
        <f t="shared" si="1477"/>
        <v>Approved</v>
      </c>
      <c r="T3629" t="str">
        <f t="shared" si="1478"/>
        <v>10.20.8.188</v>
      </c>
      <c r="U3629" t="str">
        <f t="shared" si="1479"/>
        <v>AZRAD UMAR BIN SHAARI</v>
      </c>
      <c r="V3629" t="str">
        <f t="shared" si="1480"/>
        <v>FARHANA BINTI MUSTAPA</v>
      </c>
      <c r="W3629" t="str">
        <f t="shared" si="1481"/>
        <v>04-08-2020</v>
      </c>
      <c r="X3629" t="str">
        <f t="shared" si="1482"/>
        <v>RAZIMAH ANSAR AHMAD</v>
      </c>
      <c r="Y3629" t="str">
        <f t="shared" si="1483"/>
        <v>04-08-2020</v>
      </c>
      <c r="Z3629" t="str">
        <f>"COS10200804 5325"</f>
        <v>COS10200804 5325</v>
      </c>
    </row>
    <row r="3630" spans="1:26" x14ac:dyDescent="0.25">
      <c r="A3630" t="str">
        <f t="shared" si="1488"/>
        <v>04-08-2020 12:56:45</v>
      </c>
      <c r="B3630" t="str">
        <f>"0000807312"</f>
        <v>0000807312</v>
      </c>
      <c r="C3630" t="str">
        <f t="shared" si="1489"/>
        <v>0000807188</v>
      </c>
      <c r="D3630" t="str">
        <f t="shared" si="1471"/>
        <v>73185</v>
      </c>
      <c r="E3630" t="str">
        <f t="shared" si="1472"/>
        <v>KFH-OPERATIONS DEPARTMENT</v>
      </c>
      <c r="F3630" t="str">
        <f t="shared" si="1473"/>
        <v>IBG</v>
      </c>
      <c r="G3630" t="str">
        <f t="shared" si="1484"/>
        <v>Refund COSHARE 10</v>
      </c>
      <c r="H3630" s="2">
        <v>419.75</v>
      </c>
      <c r="I3630" t="str">
        <f>"MEOR AMIR BIN MEOR MOHD KHALIL"</f>
        <v>MEOR AMIR BIN MEOR MOHD KHALIL</v>
      </c>
      <c r="J3630" t="str">
        <f t="shared" si="1485"/>
        <v>MAYBANK / MAYBANK ISLAMIC</v>
      </c>
      <c r="K3630" t="str">
        <f>"158097727200"</f>
        <v>158097727200</v>
      </c>
      <c r="L3630" t="str">
        <f t="shared" si="1490"/>
        <v>04-08-2020</v>
      </c>
      <c r="M3630" t="str">
        <f t="shared" si="1490"/>
        <v>04-08-2020</v>
      </c>
      <c r="N3630" t="str">
        <f t="shared" si="1474"/>
        <v>001105018356</v>
      </c>
      <c r="O3630" t="str">
        <f t="shared" si="1475"/>
        <v>MYR</v>
      </c>
      <c r="P3630" t="str">
        <f t="shared" si="1491"/>
        <v>NIL</v>
      </c>
      <c r="Q3630" t="str">
        <f t="shared" si="1491"/>
        <v>NIL</v>
      </c>
      <c r="R3630" t="str">
        <f t="shared" si="1476"/>
        <v>Accepted</v>
      </c>
      <c r="S3630" t="str">
        <f t="shared" si="1477"/>
        <v>Approved</v>
      </c>
      <c r="T3630" t="str">
        <f t="shared" si="1478"/>
        <v>10.20.8.188</v>
      </c>
      <c r="U3630" t="str">
        <f t="shared" si="1479"/>
        <v>AZRAD UMAR BIN SHAARI</v>
      </c>
      <c r="V3630" t="str">
        <f t="shared" si="1480"/>
        <v>FARHANA BINTI MUSTAPA</v>
      </c>
      <c r="W3630" t="str">
        <f t="shared" si="1481"/>
        <v>04-08-2020</v>
      </c>
      <c r="X3630" t="str">
        <f t="shared" si="1482"/>
        <v>RAZIMAH ANSAR AHMAD</v>
      </c>
      <c r="Y3630" t="str">
        <f t="shared" si="1483"/>
        <v>04-08-2020</v>
      </c>
      <c r="Z3630" t="str">
        <f>"COS10200804 5324"</f>
        <v>COS10200804 5324</v>
      </c>
    </row>
    <row r="3631" spans="1:26" x14ac:dyDescent="0.25">
      <c r="A3631" t="str">
        <f t="shared" si="1488"/>
        <v>04-08-2020 12:56:45</v>
      </c>
      <c r="B3631" t="str">
        <f>"0000807311"</f>
        <v>0000807311</v>
      </c>
      <c r="C3631" t="str">
        <f t="shared" si="1489"/>
        <v>0000807188</v>
      </c>
      <c r="D3631" t="str">
        <f t="shared" si="1471"/>
        <v>73185</v>
      </c>
      <c r="E3631" t="str">
        <f t="shared" si="1472"/>
        <v>KFH-OPERATIONS DEPARTMENT</v>
      </c>
      <c r="F3631" t="str">
        <f t="shared" si="1473"/>
        <v>IBG</v>
      </c>
      <c r="G3631" t="str">
        <f t="shared" si="1484"/>
        <v>Refund COSHARE 10</v>
      </c>
      <c r="H3631" s="2">
        <v>1175.3</v>
      </c>
      <c r="I3631" t="str">
        <f>"MEOR AHMAD SAZALI BIN DOL HADI"</f>
        <v>MEOR AHMAD SAZALI BIN DOL HADI</v>
      </c>
      <c r="J3631" t="str">
        <f t="shared" si="1485"/>
        <v>MAYBANK / MAYBANK ISLAMIC</v>
      </c>
      <c r="K3631" t="str">
        <f>"112045905780"</f>
        <v>112045905780</v>
      </c>
      <c r="L3631" t="str">
        <f t="shared" si="1490"/>
        <v>04-08-2020</v>
      </c>
      <c r="M3631" t="str">
        <f t="shared" si="1490"/>
        <v>04-08-2020</v>
      </c>
      <c r="N3631" t="str">
        <f t="shared" si="1474"/>
        <v>001105018356</v>
      </c>
      <c r="O3631" t="str">
        <f t="shared" si="1475"/>
        <v>MYR</v>
      </c>
      <c r="P3631" t="str">
        <f t="shared" si="1491"/>
        <v>NIL</v>
      </c>
      <c r="Q3631" t="str">
        <f t="shared" si="1491"/>
        <v>NIL</v>
      </c>
      <c r="R3631" t="str">
        <f t="shared" si="1476"/>
        <v>Accepted</v>
      </c>
      <c r="S3631" t="str">
        <f t="shared" si="1477"/>
        <v>Approved</v>
      </c>
      <c r="T3631" t="str">
        <f t="shared" si="1478"/>
        <v>10.20.8.188</v>
      </c>
      <c r="U3631" t="str">
        <f t="shared" si="1479"/>
        <v>AZRAD UMAR BIN SHAARI</v>
      </c>
      <c r="V3631" t="str">
        <f t="shared" si="1480"/>
        <v>FARHANA BINTI MUSTAPA</v>
      </c>
      <c r="W3631" t="str">
        <f t="shared" si="1481"/>
        <v>04-08-2020</v>
      </c>
      <c r="X3631" t="str">
        <f t="shared" si="1482"/>
        <v>RAZIMAH ANSAR AHMAD</v>
      </c>
      <c r="Y3631" t="str">
        <f t="shared" si="1483"/>
        <v>04-08-2020</v>
      </c>
      <c r="Z3631" t="str">
        <f>"COS10200804 5323"</f>
        <v>COS10200804 5323</v>
      </c>
    </row>
    <row r="3632" spans="1:26" x14ac:dyDescent="0.25">
      <c r="A3632" t="str">
        <f t="shared" si="1488"/>
        <v>04-08-2020 12:56:45</v>
      </c>
      <c r="B3632" t="str">
        <f>"0000807310"</f>
        <v>0000807310</v>
      </c>
      <c r="C3632" t="str">
        <f t="shared" si="1489"/>
        <v>0000807188</v>
      </c>
      <c r="D3632" t="str">
        <f t="shared" si="1471"/>
        <v>73185</v>
      </c>
      <c r="E3632" t="str">
        <f t="shared" si="1472"/>
        <v>KFH-OPERATIONS DEPARTMENT</v>
      </c>
      <c r="F3632" t="str">
        <f t="shared" si="1473"/>
        <v>IBG</v>
      </c>
      <c r="G3632" t="str">
        <f t="shared" si="1484"/>
        <v>Refund COSHARE 10</v>
      </c>
      <c r="H3632" s="2">
        <v>1385.2</v>
      </c>
      <c r="I3632" t="str">
        <f>"MELVIN LINDAN  HENRY"</f>
        <v>MELVIN LINDAN  HENRY</v>
      </c>
      <c r="J3632" t="str">
        <f t="shared" si="1485"/>
        <v>MAYBANK / MAYBANK ISLAMIC</v>
      </c>
      <c r="K3632" t="str">
        <f>"112232222215"</f>
        <v>112232222215</v>
      </c>
      <c r="L3632" t="str">
        <f t="shared" si="1490"/>
        <v>04-08-2020</v>
      </c>
      <c r="M3632" t="str">
        <f t="shared" si="1490"/>
        <v>04-08-2020</v>
      </c>
      <c r="N3632" t="str">
        <f t="shared" si="1474"/>
        <v>001105018356</v>
      </c>
      <c r="O3632" t="str">
        <f t="shared" si="1475"/>
        <v>MYR</v>
      </c>
      <c r="P3632" t="str">
        <f t="shared" si="1491"/>
        <v>NIL</v>
      </c>
      <c r="Q3632" t="str">
        <f t="shared" si="1491"/>
        <v>NIL</v>
      </c>
      <c r="R3632" t="str">
        <f t="shared" si="1476"/>
        <v>Accepted</v>
      </c>
      <c r="S3632" t="str">
        <f t="shared" si="1477"/>
        <v>Approved</v>
      </c>
      <c r="T3632" t="str">
        <f t="shared" si="1478"/>
        <v>10.20.8.188</v>
      </c>
      <c r="U3632" t="str">
        <f t="shared" si="1479"/>
        <v>AZRAD UMAR BIN SHAARI</v>
      </c>
      <c r="V3632" t="str">
        <f t="shared" si="1480"/>
        <v>FARHANA BINTI MUSTAPA</v>
      </c>
      <c r="W3632" t="str">
        <f t="shared" si="1481"/>
        <v>04-08-2020</v>
      </c>
      <c r="X3632" t="str">
        <f t="shared" si="1482"/>
        <v>RAZIMAH ANSAR AHMAD</v>
      </c>
      <c r="Y3632" t="str">
        <f t="shared" si="1483"/>
        <v>04-08-2020</v>
      </c>
      <c r="Z3632" t="str">
        <f>"COS10200804 5322"</f>
        <v>COS10200804 5322</v>
      </c>
    </row>
    <row r="3633" spans="1:26" x14ac:dyDescent="0.25">
      <c r="A3633" t="str">
        <f t="shared" si="1488"/>
        <v>04-08-2020 12:56:45</v>
      </c>
      <c r="B3633" t="str">
        <f>"0000807309"</f>
        <v>0000807309</v>
      </c>
      <c r="C3633" t="str">
        <f t="shared" si="1489"/>
        <v>0000807188</v>
      </c>
      <c r="D3633" t="str">
        <f t="shared" si="1471"/>
        <v>73185</v>
      </c>
      <c r="E3633" t="str">
        <f t="shared" si="1472"/>
        <v>KFH-OPERATIONS DEPARTMENT</v>
      </c>
      <c r="F3633" t="str">
        <f t="shared" si="1473"/>
        <v>IBG</v>
      </c>
      <c r="G3633" t="str">
        <f t="shared" si="1484"/>
        <v>Refund COSHARE 10</v>
      </c>
      <c r="H3633" s="2">
        <v>42</v>
      </c>
      <c r="I3633" t="str">
        <f>"MEGAT ZAMZURI BIN MEGAT HUSSIN"</f>
        <v>MEGAT ZAMZURI BIN MEGAT HUSSIN</v>
      </c>
      <c r="J3633" t="str">
        <f t="shared" si="1485"/>
        <v>MAYBANK / MAYBANK ISLAMIC</v>
      </c>
      <c r="K3633" t="str">
        <f>"153010266332"</f>
        <v>153010266332</v>
      </c>
      <c r="L3633" t="str">
        <f t="shared" si="1490"/>
        <v>04-08-2020</v>
      </c>
      <c r="M3633" t="str">
        <f t="shared" si="1490"/>
        <v>04-08-2020</v>
      </c>
      <c r="N3633" t="str">
        <f t="shared" si="1474"/>
        <v>001105018356</v>
      </c>
      <c r="O3633" t="str">
        <f t="shared" si="1475"/>
        <v>MYR</v>
      </c>
      <c r="P3633" t="str">
        <f t="shared" si="1491"/>
        <v>NIL</v>
      </c>
      <c r="Q3633" t="str">
        <f t="shared" si="1491"/>
        <v>NIL</v>
      </c>
      <c r="R3633" t="str">
        <f t="shared" si="1476"/>
        <v>Accepted</v>
      </c>
      <c r="S3633" t="str">
        <f t="shared" si="1477"/>
        <v>Approved</v>
      </c>
      <c r="T3633" t="str">
        <f t="shared" si="1478"/>
        <v>10.20.8.188</v>
      </c>
      <c r="U3633" t="str">
        <f t="shared" si="1479"/>
        <v>AZRAD UMAR BIN SHAARI</v>
      </c>
      <c r="V3633" t="str">
        <f t="shared" si="1480"/>
        <v>FARHANA BINTI MUSTAPA</v>
      </c>
      <c r="W3633" t="str">
        <f t="shared" si="1481"/>
        <v>04-08-2020</v>
      </c>
      <c r="X3633" t="str">
        <f t="shared" si="1482"/>
        <v>RAZIMAH ANSAR AHMAD</v>
      </c>
      <c r="Y3633" t="str">
        <f t="shared" si="1483"/>
        <v>04-08-2020</v>
      </c>
      <c r="Z3633" t="str">
        <f>"COS10200804 5321"</f>
        <v>COS10200804 5321</v>
      </c>
    </row>
    <row r="3634" spans="1:26" x14ac:dyDescent="0.25">
      <c r="A3634" t="str">
        <f t="shared" si="1488"/>
        <v>04-08-2020 12:56:45</v>
      </c>
      <c r="B3634" t="str">
        <f>"0000807308"</f>
        <v>0000807308</v>
      </c>
      <c r="C3634" t="str">
        <f t="shared" si="1489"/>
        <v>0000807188</v>
      </c>
      <c r="D3634" t="str">
        <f t="shared" si="1471"/>
        <v>73185</v>
      </c>
      <c r="E3634" t="str">
        <f t="shared" si="1472"/>
        <v>KFH-OPERATIONS DEPARTMENT</v>
      </c>
      <c r="F3634" t="str">
        <f t="shared" si="1473"/>
        <v>IBG</v>
      </c>
      <c r="G3634" t="str">
        <f t="shared" si="1484"/>
        <v>Refund COSHARE 10</v>
      </c>
      <c r="H3634" s="2">
        <v>478.5</v>
      </c>
      <c r="I3634" t="str">
        <f>"MEGAT MOHD SAFAWI BIN MEGAT SARUJI"</f>
        <v>MEGAT MOHD SAFAWI BIN MEGAT SARUJI</v>
      </c>
      <c r="J3634" t="str">
        <f t="shared" si="1485"/>
        <v>MAYBANK / MAYBANK ISLAMIC</v>
      </c>
      <c r="K3634" t="str">
        <f>"164155009169"</f>
        <v>164155009169</v>
      </c>
      <c r="L3634" t="str">
        <f t="shared" si="1490"/>
        <v>04-08-2020</v>
      </c>
      <c r="M3634" t="str">
        <f t="shared" si="1490"/>
        <v>04-08-2020</v>
      </c>
      <c r="N3634" t="str">
        <f t="shared" si="1474"/>
        <v>001105018356</v>
      </c>
      <c r="O3634" t="str">
        <f t="shared" si="1475"/>
        <v>MYR</v>
      </c>
      <c r="P3634" t="str">
        <f t="shared" si="1491"/>
        <v>NIL</v>
      </c>
      <c r="Q3634" t="str">
        <f t="shared" si="1491"/>
        <v>NIL</v>
      </c>
      <c r="R3634" t="str">
        <f t="shared" si="1476"/>
        <v>Accepted</v>
      </c>
      <c r="S3634" t="str">
        <f t="shared" si="1477"/>
        <v>Approved</v>
      </c>
      <c r="T3634" t="str">
        <f t="shared" si="1478"/>
        <v>10.20.8.188</v>
      </c>
      <c r="U3634" t="str">
        <f t="shared" si="1479"/>
        <v>AZRAD UMAR BIN SHAARI</v>
      </c>
      <c r="V3634" t="str">
        <f t="shared" si="1480"/>
        <v>FARHANA BINTI MUSTAPA</v>
      </c>
      <c r="W3634" t="str">
        <f t="shared" si="1481"/>
        <v>04-08-2020</v>
      </c>
      <c r="X3634" t="str">
        <f t="shared" si="1482"/>
        <v>RAZIMAH ANSAR AHMAD</v>
      </c>
      <c r="Y3634" t="str">
        <f t="shared" si="1483"/>
        <v>04-08-2020</v>
      </c>
      <c r="Z3634" t="str">
        <f>"COS10200804 5320"</f>
        <v>COS10200804 5320</v>
      </c>
    </row>
    <row r="3635" spans="1:26" x14ac:dyDescent="0.25">
      <c r="A3635" t="str">
        <f t="shared" si="1488"/>
        <v>04-08-2020 12:56:45</v>
      </c>
      <c r="B3635" t="str">
        <f>"0000807307"</f>
        <v>0000807307</v>
      </c>
      <c r="C3635" t="str">
        <f t="shared" si="1489"/>
        <v>0000807188</v>
      </c>
      <c r="D3635" t="str">
        <f t="shared" si="1471"/>
        <v>73185</v>
      </c>
      <c r="E3635" t="str">
        <f t="shared" si="1472"/>
        <v>KFH-OPERATIONS DEPARTMENT</v>
      </c>
      <c r="F3635" t="str">
        <f t="shared" si="1473"/>
        <v>IBG</v>
      </c>
      <c r="G3635" t="str">
        <f t="shared" si="1484"/>
        <v>Refund COSHARE 10</v>
      </c>
      <c r="H3635" s="2">
        <v>755.6</v>
      </c>
      <c r="I3635" t="str">
        <f>"MEDILAN ANAK NYUTIM"</f>
        <v>MEDILAN ANAK NYUTIM</v>
      </c>
      <c r="J3635" t="str">
        <f t="shared" si="1485"/>
        <v>MAYBANK / MAYBANK ISLAMIC</v>
      </c>
      <c r="K3635" t="str">
        <f>"111038534461"</f>
        <v>111038534461</v>
      </c>
      <c r="L3635" t="str">
        <f t="shared" si="1490"/>
        <v>04-08-2020</v>
      </c>
      <c r="M3635" t="str">
        <f t="shared" si="1490"/>
        <v>04-08-2020</v>
      </c>
      <c r="N3635" t="str">
        <f t="shared" si="1474"/>
        <v>001105018356</v>
      </c>
      <c r="O3635" t="str">
        <f t="shared" si="1475"/>
        <v>MYR</v>
      </c>
      <c r="P3635" t="str">
        <f t="shared" si="1491"/>
        <v>NIL</v>
      </c>
      <c r="Q3635" t="str">
        <f t="shared" si="1491"/>
        <v>NIL</v>
      </c>
      <c r="R3635" t="str">
        <f t="shared" si="1476"/>
        <v>Accepted</v>
      </c>
      <c r="S3635" t="str">
        <f t="shared" si="1477"/>
        <v>Approved</v>
      </c>
      <c r="T3635" t="str">
        <f t="shared" si="1478"/>
        <v>10.20.8.188</v>
      </c>
      <c r="U3635" t="str">
        <f t="shared" si="1479"/>
        <v>AZRAD UMAR BIN SHAARI</v>
      </c>
      <c r="V3635" t="str">
        <f t="shared" si="1480"/>
        <v>FARHANA BINTI MUSTAPA</v>
      </c>
      <c r="W3635" t="str">
        <f t="shared" si="1481"/>
        <v>04-08-2020</v>
      </c>
      <c r="X3635" t="str">
        <f t="shared" si="1482"/>
        <v>RAZIMAH ANSAR AHMAD</v>
      </c>
      <c r="Y3635" t="str">
        <f t="shared" si="1483"/>
        <v>04-08-2020</v>
      </c>
      <c r="Z3635" t="str">
        <f>"COS10200804 5319"</f>
        <v>COS10200804 5319</v>
      </c>
    </row>
    <row r="3636" spans="1:26" x14ac:dyDescent="0.25">
      <c r="A3636" t="str">
        <f t="shared" si="1488"/>
        <v>04-08-2020 12:56:45</v>
      </c>
      <c r="B3636" t="str">
        <f>"0000807306"</f>
        <v>0000807306</v>
      </c>
      <c r="C3636" t="str">
        <f t="shared" si="1489"/>
        <v>0000807188</v>
      </c>
      <c r="D3636" t="str">
        <f t="shared" si="1471"/>
        <v>73185</v>
      </c>
      <c r="E3636" t="str">
        <f t="shared" si="1472"/>
        <v>KFH-OPERATIONS DEPARTMENT</v>
      </c>
      <c r="F3636" t="str">
        <f t="shared" si="1473"/>
        <v>IBG</v>
      </c>
      <c r="G3636" t="str">
        <f t="shared" si="1484"/>
        <v>Refund COSHARE 10</v>
      </c>
      <c r="H3636" s="2">
        <v>394.1</v>
      </c>
      <c r="I3636" t="str">
        <f>"MD JOHANUDDIN BIN MD JOHARI"</f>
        <v>MD JOHANUDDIN BIN MD JOHARI</v>
      </c>
      <c r="J3636" t="str">
        <f t="shared" si="1485"/>
        <v>MAYBANK / MAYBANK ISLAMIC</v>
      </c>
      <c r="K3636" t="str">
        <f>"164539065037"</f>
        <v>164539065037</v>
      </c>
      <c r="L3636" t="str">
        <f t="shared" si="1490"/>
        <v>04-08-2020</v>
      </c>
      <c r="M3636" t="str">
        <f t="shared" si="1490"/>
        <v>04-08-2020</v>
      </c>
      <c r="N3636" t="str">
        <f t="shared" si="1474"/>
        <v>001105018356</v>
      </c>
      <c r="O3636" t="str">
        <f t="shared" si="1475"/>
        <v>MYR</v>
      </c>
      <c r="P3636" t="str">
        <f t="shared" si="1491"/>
        <v>NIL</v>
      </c>
      <c r="Q3636" t="str">
        <f t="shared" si="1491"/>
        <v>NIL</v>
      </c>
      <c r="R3636" t="str">
        <f t="shared" si="1476"/>
        <v>Accepted</v>
      </c>
      <c r="S3636" t="str">
        <f t="shared" si="1477"/>
        <v>Approved</v>
      </c>
      <c r="T3636" t="str">
        <f t="shared" si="1478"/>
        <v>10.20.8.188</v>
      </c>
      <c r="U3636" t="str">
        <f t="shared" si="1479"/>
        <v>AZRAD UMAR BIN SHAARI</v>
      </c>
      <c r="V3636" t="str">
        <f t="shared" si="1480"/>
        <v>FARHANA BINTI MUSTAPA</v>
      </c>
      <c r="W3636" t="str">
        <f t="shared" si="1481"/>
        <v>04-08-2020</v>
      </c>
      <c r="X3636" t="str">
        <f t="shared" si="1482"/>
        <v>RAZIMAH ANSAR AHMAD</v>
      </c>
      <c r="Y3636" t="str">
        <f t="shared" si="1483"/>
        <v>04-08-2020</v>
      </c>
      <c r="Z3636" t="str">
        <f>"COS10200804 5318"</f>
        <v>COS10200804 5318</v>
      </c>
    </row>
    <row r="3637" spans="1:26" x14ac:dyDescent="0.25">
      <c r="A3637" t="str">
        <f t="shared" si="1488"/>
        <v>04-08-2020 12:56:45</v>
      </c>
      <c r="B3637" t="str">
        <f>"0000807305"</f>
        <v>0000807305</v>
      </c>
      <c r="C3637" t="str">
        <f t="shared" si="1489"/>
        <v>0000807188</v>
      </c>
      <c r="D3637" t="str">
        <f t="shared" si="1471"/>
        <v>73185</v>
      </c>
      <c r="E3637" t="str">
        <f t="shared" si="1472"/>
        <v>KFH-OPERATIONS DEPARTMENT</v>
      </c>
      <c r="F3637" t="str">
        <f t="shared" si="1473"/>
        <v>IBG</v>
      </c>
      <c r="G3637" t="str">
        <f t="shared" si="1484"/>
        <v>Refund COSHARE 10</v>
      </c>
      <c r="H3637" s="2">
        <v>839.5</v>
      </c>
      <c r="I3637" t="str">
        <f>"MD ZAKI BIN ZAINAL"</f>
        <v>MD ZAKI BIN ZAINAL</v>
      </c>
      <c r="J3637" t="str">
        <f t="shared" si="1485"/>
        <v>MAYBANK / MAYBANK ISLAMIC</v>
      </c>
      <c r="K3637" t="str">
        <f>"114093408490"</f>
        <v>114093408490</v>
      </c>
      <c r="L3637" t="str">
        <f t="shared" si="1490"/>
        <v>04-08-2020</v>
      </c>
      <c r="M3637" t="str">
        <f t="shared" si="1490"/>
        <v>04-08-2020</v>
      </c>
      <c r="N3637" t="str">
        <f t="shared" si="1474"/>
        <v>001105018356</v>
      </c>
      <c r="O3637" t="str">
        <f t="shared" si="1475"/>
        <v>MYR</v>
      </c>
      <c r="P3637" t="str">
        <f t="shared" si="1491"/>
        <v>NIL</v>
      </c>
      <c r="Q3637" t="str">
        <f t="shared" si="1491"/>
        <v>NIL</v>
      </c>
      <c r="R3637" t="str">
        <f t="shared" si="1476"/>
        <v>Accepted</v>
      </c>
      <c r="S3637" t="str">
        <f t="shared" si="1477"/>
        <v>Approved</v>
      </c>
      <c r="T3637" t="str">
        <f t="shared" si="1478"/>
        <v>10.20.8.188</v>
      </c>
      <c r="U3637" t="str">
        <f t="shared" si="1479"/>
        <v>AZRAD UMAR BIN SHAARI</v>
      </c>
      <c r="V3637" t="str">
        <f t="shared" si="1480"/>
        <v>FARHANA BINTI MUSTAPA</v>
      </c>
      <c r="W3637" t="str">
        <f t="shared" si="1481"/>
        <v>04-08-2020</v>
      </c>
      <c r="X3637" t="str">
        <f t="shared" si="1482"/>
        <v>RAZIMAH ANSAR AHMAD</v>
      </c>
      <c r="Y3637" t="str">
        <f t="shared" si="1483"/>
        <v>04-08-2020</v>
      </c>
      <c r="Z3637" t="str">
        <f>"COS10200804 5317"</f>
        <v>COS10200804 5317</v>
      </c>
    </row>
    <row r="3638" spans="1:26" x14ac:dyDescent="0.25">
      <c r="A3638" t="str">
        <f t="shared" si="1488"/>
        <v>04-08-2020 12:56:45</v>
      </c>
      <c r="B3638" t="str">
        <f>"0000807304"</f>
        <v>0000807304</v>
      </c>
      <c r="C3638" t="str">
        <f t="shared" si="1489"/>
        <v>0000807188</v>
      </c>
      <c r="D3638" t="str">
        <f t="shared" si="1471"/>
        <v>73185</v>
      </c>
      <c r="E3638" t="str">
        <f t="shared" si="1472"/>
        <v>KFH-OPERATIONS DEPARTMENT</v>
      </c>
      <c r="F3638" t="str">
        <f t="shared" si="1473"/>
        <v>IBG</v>
      </c>
      <c r="G3638" t="str">
        <f t="shared" si="1484"/>
        <v>Refund COSHARE 10</v>
      </c>
      <c r="H3638" s="2">
        <v>67.2</v>
      </c>
      <c r="I3638" t="str">
        <f>"MD YAZID BIN MAJID"</f>
        <v>MD YAZID BIN MAJID</v>
      </c>
      <c r="J3638" t="str">
        <f t="shared" si="1485"/>
        <v>MAYBANK / MAYBANK ISLAMIC</v>
      </c>
      <c r="K3638" t="str">
        <f>"151258338930"</f>
        <v>151258338930</v>
      </c>
      <c r="L3638" t="str">
        <f t="shared" si="1490"/>
        <v>04-08-2020</v>
      </c>
      <c r="M3638" t="str">
        <f t="shared" si="1490"/>
        <v>04-08-2020</v>
      </c>
      <c r="N3638" t="str">
        <f t="shared" si="1474"/>
        <v>001105018356</v>
      </c>
      <c r="O3638" t="str">
        <f t="shared" si="1475"/>
        <v>MYR</v>
      </c>
      <c r="P3638" t="str">
        <f t="shared" si="1491"/>
        <v>NIL</v>
      </c>
      <c r="Q3638" t="str">
        <f t="shared" si="1491"/>
        <v>NIL</v>
      </c>
      <c r="R3638" t="str">
        <f t="shared" si="1476"/>
        <v>Accepted</v>
      </c>
      <c r="S3638" t="str">
        <f t="shared" si="1477"/>
        <v>Approved</v>
      </c>
      <c r="T3638" t="str">
        <f t="shared" si="1478"/>
        <v>10.20.8.188</v>
      </c>
      <c r="U3638" t="str">
        <f t="shared" si="1479"/>
        <v>AZRAD UMAR BIN SHAARI</v>
      </c>
      <c r="V3638" t="str">
        <f t="shared" si="1480"/>
        <v>FARHANA BINTI MUSTAPA</v>
      </c>
      <c r="W3638" t="str">
        <f t="shared" si="1481"/>
        <v>04-08-2020</v>
      </c>
      <c r="X3638" t="str">
        <f t="shared" si="1482"/>
        <v>RAZIMAH ANSAR AHMAD</v>
      </c>
      <c r="Y3638" t="str">
        <f t="shared" si="1483"/>
        <v>04-08-2020</v>
      </c>
      <c r="Z3638" t="str">
        <f>"COS10200804 5316"</f>
        <v>COS10200804 5316</v>
      </c>
    </row>
    <row r="3639" spans="1:26" x14ac:dyDescent="0.25">
      <c r="A3639" t="str">
        <f t="shared" si="1488"/>
        <v>04-08-2020 12:56:45</v>
      </c>
      <c r="B3639" t="str">
        <f>"0000807303"</f>
        <v>0000807303</v>
      </c>
      <c r="C3639" t="str">
        <f t="shared" si="1489"/>
        <v>0000807188</v>
      </c>
      <c r="D3639" t="str">
        <f t="shared" si="1471"/>
        <v>73185</v>
      </c>
      <c r="E3639" t="str">
        <f t="shared" si="1472"/>
        <v>KFH-OPERATIONS DEPARTMENT</v>
      </c>
      <c r="F3639" t="str">
        <f t="shared" si="1473"/>
        <v>IBG</v>
      </c>
      <c r="G3639" t="str">
        <f t="shared" si="1484"/>
        <v>Refund COSHARE 10</v>
      </c>
      <c r="H3639" s="2">
        <v>700.45</v>
      </c>
      <c r="I3639" t="str">
        <f>"MD SANUSI BIN ISMAIL"</f>
        <v>MD SANUSI BIN ISMAIL</v>
      </c>
      <c r="J3639" t="str">
        <f t="shared" si="1485"/>
        <v>MAYBANK / MAYBANK ISLAMIC</v>
      </c>
      <c r="K3639" t="str">
        <f>"107108041607"</f>
        <v>107108041607</v>
      </c>
      <c r="L3639" t="str">
        <f t="shared" si="1490"/>
        <v>04-08-2020</v>
      </c>
      <c r="M3639" t="str">
        <f t="shared" si="1490"/>
        <v>04-08-2020</v>
      </c>
      <c r="N3639" t="str">
        <f t="shared" si="1474"/>
        <v>001105018356</v>
      </c>
      <c r="O3639" t="str">
        <f t="shared" si="1475"/>
        <v>MYR</v>
      </c>
      <c r="P3639" t="str">
        <f t="shared" si="1491"/>
        <v>NIL</v>
      </c>
      <c r="Q3639" t="str">
        <f t="shared" si="1491"/>
        <v>NIL</v>
      </c>
      <c r="R3639" t="str">
        <f t="shared" si="1476"/>
        <v>Accepted</v>
      </c>
      <c r="S3639" t="str">
        <f t="shared" si="1477"/>
        <v>Approved</v>
      </c>
      <c r="T3639" t="str">
        <f t="shared" si="1478"/>
        <v>10.20.8.188</v>
      </c>
      <c r="U3639" t="str">
        <f t="shared" si="1479"/>
        <v>AZRAD UMAR BIN SHAARI</v>
      </c>
      <c r="V3639" t="str">
        <f t="shared" si="1480"/>
        <v>FARHANA BINTI MUSTAPA</v>
      </c>
      <c r="W3639" t="str">
        <f t="shared" si="1481"/>
        <v>04-08-2020</v>
      </c>
      <c r="X3639" t="str">
        <f t="shared" si="1482"/>
        <v>RAZIMAH ANSAR AHMAD</v>
      </c>
      <c r="Y3639" t="str">
        <f t="shared" si="1483"/>
        <v>04-08-2020</v>
      </c>
      <c r="Z3639" t="str">
        <f>"COS10200804 5315"</f>
        <v>COS10200804 5315</v>
      </c>
    </row>
    <row r="3640" spans="1:26" x14ac:dyDescent="0.25">
      <c r="A3640" t="str">
        <f t="shared" si="1488"/>
        <v>04-08-2020 12:56:45</v>
      </c>
      <c r="B3640" t="str">
        <f>"0000807302"</f>
        <v>0000807302</v>
      </c>
      <c r="C3640" t="str">
        <f t="shared" si="1489"/>
        <v>0000807188</v>
      </c>
      <c r="D3640" t="str">
        <f t="shared" si="1471"/>
        <v>73185</v>
      </c>
      <c r="E3640" t="str">
        <f t="shared" si="1472"/>
        <v>KFH-OPERATIONS DEPARTMENT</v>
      </c>
      <c r="F3640" t="str">
        <f t="shared" si="1473"/>
        <v>IBG</v>
      </c>
      <c r="G3640" t="str">
        <f t="shared" si="1484"/>
        <v>Refund COSHARE 10</v>
      </c>
      <c r="H3640" s="2">
        <v>335.8</v>
      </c>
      <c r="I3640" t="str">
        <f>"MD SAID BIN ZAIN"</f>
        <v>MD SAID BIN ZAIN</v>
      </c>
      <c r="J3640" t="str">
        <f t="shared" si="1485"/>
        <v>MAYBANK / MAYBANK ISLAMIC</v>
      </c>
      <c r="K3640" t="str">
        <f>"106061329362"</f>
        <v>106061329362</v>
      </c>
      <c r="L3640" t="str">
        <f t="shared" si="1490"/>
        <v>04-08-2020</v>
      </c>
      <c r="M3640" t="str">
        <f t="shared" si="1490"/>
        <v>04-08-2020</v>
      </c>
      <c r="N3640" t="str">
        <f t="shared" si="1474"/>
        <v>001105018356</v>
      </c>
      <c r="O3640" t="str">
        <f t="shared" si="1475"/>
        <v>MYR</v>
      </c>
      <c r="P3640" t="str">
        <f t="shared" si="1491"/>
        <v>NIL</v>
      </c>
      <c r="Q3640" t="str">
        <f t="shared" si="1491"/>
        <v>NIL</v>
      </c>
      <c r="R3640" t="str">
        <f t="shared" si="1476"/>
        <v>Accepted</v>
      </c>
      <c r="S3640" t="str">
        <f t="shared" si="1477"/>
        <v>Approved</v>
      </c>
      <c r="T3640" t="str">
        <f t="shared" si="1478"/>
        <v>10.20.8.188</v>
      </c>
      <c r="U3640" t="str">
        <f t="shared" si="1479"/>
        <v>AZRAD UMAR BIN SHAARI</v>
      </c>
      <c r="V3640" t="str">
        <f t="shared" si="1480"/>
        <v>FARHANA BINTI MUSTAPA</v>
      </c>
      <c r="W3640" t="str">
        <f t="shared" si="1481"/>
        <v>04-08-2020</v>
      </c>
      <c r="X3640" t="str">
        <f t="shared" si="1482"/>
        <v>RAZIMAH ANSAR AHMAD</v>
      </c>
      <c r="Y3640" t="str">
        <f t="shared" si="1483"/>
        <v>04-08-2020</v>
      </c>
      <c r="Z3640" t="str">
        <f>"COS10200804 5314"</f>
        <v>COS10200804 5314</v>
      </c>
    </row>
    <row r="3641" spans="1:26" x14ac:dyDescent="0.25">
      <c r="A3641" t="str">
        <f t="shared" si="1488"/>
        <v>04-08-2020 12:56:45</v>
      </c>
      <c r="B3641" t="str">
        <f>"0000807301"</f>
        <v>0000807301</v>
      </c>
      <c r="C3641" t="str">
        <f t="shared" si="1489"/>
        <v>0000807188</v>
      </c>
      <c r="D3641" t="str">
        <f t="shared" si="1471"/>
        <v>73185</v>
      </c>
      <c r="E3641" t="str">
        <f t="shared" si="1472"/>
        <v>KFH-OPERATIONS DEPARTMENT</v>
      </c>
      <c r="F3641" t="str">
        <f t="shared" si="1473"/>
        <v>IBG</v>
      </c>
      <c r="G3641" t="str">
        <f t="shared" si="1484"/>
        <v>Refund COSHARE 10</v>
      </c>
      <c r="H3641" s="2">
        <v>271</v>
      </c>
      <c r="I3641" t="str">
        <f>"MD SAAD BIN MAN"</f>
        <v>MD SAAD BIN MAN</v>
      </c>
      <c r="J3641" t="str">
        <f t="shared" si="1485"/>
        <v>MAYBANK / MAYBANK ISLAMIC</v>
      </c>
      <c r="K3641" t="str">
        <f>"152108034886"</f>
        <v>152108034886</v>
      </c>
      <c r="L3641" t="str">
        <f t="shared" si="1490"/>
        <v>04-08-2020</v>
      </c>
      <c r="M3641" t="str">
        <f t="shared" si="1490"/>
        <v>04-08-2020</v>
      </c>
      <c r="N3641" t="str">
        <f t="shared" si="1474"/>
        <v>001105018356</v>
      </c>
      <c r="O3641" t="str">
        <f t="shared" si="1475"/>
        <v>MYR</v>
      </c>
      <c r="P3641" t="str">
        <f t="shared" si="1491"/>
        <v>NIL</v>
      </c>
      <c r="Q3641" t="str">
        <f t="shared" si="1491"/>
        <v>NIL</v>
      </c>
      <c r="R3641" t="str">
        <f t="shared" si="1476"/>
        <v>Accepted</v>
      </c>
      <c r="S3641" t="str">
        <f t="shared" si="1477"/>
        <v>Approved</v>
      </c>
      <c r="T3641" t="str">
        <f t="shared" si="1478"/>
        <v>10.20.8.188</v>
      </c>
      <c r="U3641" t="str">
        <f t="shared" si="1479"/>
        <v>AZRAD UMAR BIN SHAARI</v>
      </c>
      <c r="V3641" t="str">
        <f t="shared" si="1480"/>
        <v>FARHANA BINTI MUSTAPA</v>
      </c>
      <c r="W3641" t="str">
        <f t="shared" si="1481"/>
        <v>04-08-2020</v>
      </c>
      <c r="X3641" t="str">
        <f t="shared" si="1482"/>
        <v>RAZIMAH ANSAR AHMAD</v>
      </c>
      <c r="Y3641" t="str">
        <f t="shared" si="1483"/>
        <v>04-08-2020</v>
      </c>
      <c r="Z3641" t="str">
        <f>"COS10200804 5313"</f>
        <v>COS10200804 5313</v>
      </c>
    </row>
    <row r="3642" spans="1:26" x14ac:dyDescent="0.25">
      <c r="A3642" t="str">
        <f t="shared" si="1488"/>
        <v>04-08-2020 12:56:45</v>
      </c>
      <c r="B3642" t="str">
        <f>"0000807300"</f>
        <v>0000807300</v>
      </c>
      <c r="C3642" t="str">
        <f t="shared" si="1489"/>
        <v>0000807188</v>
      </c>
      <c r="D3642" t="str">
        <f t="shared" si="1471"/>
        <v>73185</v>
      </c>
      <c r="E3642" t="str">
        <f t="shared" si="1472"/>
        <v>KFH-OPERATIONS DEPARTMENT</v>
      </c>
      <c r="F3642" t="str">
        <f t="shared" si="1473"/>
        <v>IBG</v>
      </c>
      <c r="G3642" t="str">
        <f t="shared" si="1484"/>
        <v>Refund COSHARE 10</v>
      </c>
      <c r="H3642" s="2">
        <v>226.7</v>
      </c>
      <c r="I3642" t="str">
        <f>"MD ROSDI BIN IBRAHIM"</f>
        <v>MD ROSDI BIN IBRAHIM</v>
      </c>
      <c r="J3642" t="str">
        <f t="shared" si="1485"/>
        <v>MAYBANK / MAYBANK ISLAMIC</v>
      </c>
      <c r="K3642" t="str">
        <f>"164070488272"</f>
        <v>164070488272</v>
      </c>
      <c r="L3642" t="str">
        <f t="shared" si="1490"/>
        <v>04-08-2020</v>
      </c>
      <c r="M3642" t="str">
        <f t="shared" si="1490"/>
        <v>04-08-2020</v>
      </c>
      <c r="N3642" t="str">
        <f t="shared" si="1474"/>
        <v>001105018356</v>
      </c>
      <c r="O3642" t="str">
        <f t="shared" si="1475"/>
        <v>MYR</v>
      </c>
      <c r="P3642" t="str">
        <f t="shared" si="1491"/>
        <v>NIL</v>
      </c>
      <c r="Q3642" t="str">
        <f t="shared" si="1491"/>
        <v>NIL</v>
      </c>
      <c r="R3642" t="str">
        <f t="shared" si="1476"/>
        <v>Accepted</v>
      </c>
      <c r="S3642" t="str">
        <f t="shared" si="1477"/>
        <v>Approved</v>
      </c>
      <c r="T3642" t="str">
        <f t="shared" si="1478"/>
        <v>10.20.8.188</v>
      </c>
      <c r="U3642" t="str">
        <f t="shared" si="1479"/>
        <v>AZRAD UMAR BIN SHAARI</v>
      </c>
      <c r="V3642" t="str">
        <f t="shared" si="1480"/>
        <v>FARHANA BINTI MUSTAPA</v>
      </c>
      <c r="W3642" t="str">
        <f t="shared" si="1481"/>
        <v>04-08-2020</v>
      </c>
      <c r="X3642" t="str">
        <f t="shared" si="1482"/>
        <v>RAZIMAH ANSAR AHMAD</v>
      </c>
      <c r="Y3642" t="str">
        <f t="shared" si="1483"/>
        <v>04-08-2020</v>
      </c>
      <c r="Z3642" t="str">
        <f>"COS10200804 5312"</f>
        <v>COS10200804 5312</v>
      </c>
    </row>
    <row r="3643" spans="1:26" x14ac:dyDescent="0.25">
      <c r="A3643" t="str">
        <f t="shared" si="1488"/>
        <v>04-08-2020 12:56:45</v>
      </c>
      <c r="B3643" t="str">
        <f>"0000807299"</f>
        <v>0000807299</v>
      </c>
      <c r="C3643" t="str">
        <f t="shared" si="1489"/>
        <v>0000807188</v>
      </c>
      <c r="D3643" t="str">
        <f t="shared" si="1471"/>
        <v>73185</v>
      </c>
      <c r="E3643" t="str">
        <f t="shared" si="1472"/>
        <v>KFH-OPERATIONS DEPARTMENT</v>
      </c>
      <c r="F3643" t="str">
        <f t="shared" si="1473"/>
        <v>IBG</v>
      </c>
      <c r="G3643" t="str">
        <f t="shared" si="1484"/>
        <v>Refund COSHARE 10</v>
      </c>
      <c r="H3643" s="2">
        <v>91</v>
      </c>
      <c r="I3643" t="str">
        <f>"MD NAWI BIN ISMAIL"</f>
        <v>MD NAWI BIN ISMAIL</v>
      </c>
      <c r="J3643" t="str">
        <f t="shared" si="1485"/>
        <v>MAYBANK / MAYBANK ISLAMIC</v>
      </c>
      <c r="K3643" t="str">
        <f>"151061201273"</f>
        <v>151061201273</v>
      </c>
      <c r="L3643" t="str">
        <f t="shared" si="1490"/>
        <v>04-08-2020</v>
      </c>
      <c r="M3643" t="str">
        <f t="shared" si="1490"/>
        <v>04-08-2020</v>
      </c>
      <c r="N3643" t="str">
        <f t="shared" si="1474"/>
        <v>001105018356</v>
      </c>
      <c r="O3643" t="str">
        <f t="shared" si="1475"/>
        <v>MYR</v>
      </c>
      <c r="P3643" t="str">
        <f t="shared" si="1491"/>
        <v>NIL</v>
      </c>
      <c r="Q3643" t="str">
        <f t="shared" si="1491"/>
        <v>NIL</v>
      </c>
      <c r="R3643" t="str">
        <f t="shared" si="1476"/>
        <v>Accepted</v>
      </c>
      <c r="S3643" t="str">
        <f t="shared" si="1477"/>
        <v>Approved</v>
      </c>
      <c r="T3643" t="str">
        <f t="shared" si="1478"/>
        <v>10.20.8.188</v>
      </c>
      <c r="U3643" t="str">
        <f t="shared" si="1479"/>
        <v>AZRAD UMAR BIN SHAARI</v>
      </c>
      <c r="V3643" t="str">
        <f t="shared" si="1480"/>
        <v>FARHANA BINTI MUSTAPA</v>
      </c>
      <c r="W3643" t="str">
        <f t="shared" si="1481"/>
        <v>04-08-2020</v>
      </c>
      <c r="X3643" t="str">
        <f t="shared" si="1482"/>
        <v>RAZIMAH ANSAR AHMAD</v>
      </c>
      <c r="Y3643" t="str">
        <f t="shared" si="1483"/>
        <v>04-08-2020</v>
      </c>
      <c r="Z3643" t="str">
        <f>"COS10200804 5311"</f>
        <v>COS10200804 5311</v>
      </c>
    </row>
    <row r="3644" spans="1:26" x14ac:dyDescent="0.25">
      <c r="A3644" t="str">
        <f t="shared" si="1488"/>
        <v>04-08-2020 12:56:45</v>
      </c>
      <c r="B3644" t="str">
        <f>"0000807298"</f>
        <v>0000807298</v>
      </c>
      <c r="C3644" t="str">
        <f t="shared" si="1489"/>
        <v>0000807188</v>
      </c>
      <c r="D3644" t="str">
        <f t="shared" si="1471"/>
        <v>73185</v>
      </c>
      <c r="E3644" t="str">
        <f t="shared" si="1472"/>
        <v>KFH-OPERATIONS DEPARTMENT</v>
      </c>
      <c r="F3644" t="str">
        <f t="shared" si="1473"/>
        <v>IBG</v>
      </c>
      <c r="G3644" t="str">
        <f t="shared" si="1484"/>
        <v>Refund COSHARE 10</v>
      </c>
      <c r="H3644" s="2">
        <v>317.60000000000002</v>
      </c>
      <c r="I3644" t="str">
        <f>"MD LUTFILLAH BIN IBRAHIM"</f>
        <v>MD LUTFILLAH BIN IBRAHIM</v>
      </c>
      <c r="J3644" t="str">
        <f t="shared" si="1485"/>
        <v>MAYBANK / MAYBANK ISLAMIC</v>
      </c>
      <c r="K3644" t="str">
        <f>"163028506860"</f>
        <v>163028506860</v>
      </c>
      <c r="L3644" t="str">
        <f t="shared" si="1490"/>
        <v>04-08-2020</v>
      </c>
      <c r="M3644" t="str">
        <f t="shared" si="1490"/>
        <v>04-08-2020</v>
      </c>
      <c r="N3644" t="str">
        <f t="shared" si="1474"/>
        <v>001105018356</v>
      </c>
      <c r="O3644" t="str">
        <f t="shared" si="1475"/>
        <v>MYR</v>
      </c>
      <c r="P3644" t="str">
        <f t="shared" si="1491"/>
        <v>NIL</v>
      </c>
      <c r="Q3644" t="str">
        <f t="shared" si="1491"/>
        <v>NIL</v>
      </c>
      <c r="R3644" t="str">
        <f t="shared" si="1476"/>
        <v>Accepted</v>
      </c>
      <c r="S3644" t="str">
        <f t="shared" si="1477"/>
        <v>Approved</v>
      </c>
      <c r="T3644" t="str">
        <f t="shared" si="1478"/>
        <v>10.20.8.188</v>
      </c>
      <c r="U3644" t="str">
        <f t="shared" si="1479"/>
        <v>AZRAD UMAR BIN SHAARI</v>
      </c>
      <c r="V3644" t="str">
        <f t="shared" si="1480"/>
        <v>FARHANA BINTI MUSTAPA</v>
      </c>
      <c r="W3644" t="str">
        <f t="shared" si="1481"/>
        <v>04-08-2020</v>
      </c>
      <c r="X3644" t="str">
        <f t="shared" si="1482"/>
        <v>RAZIMAH ANSAR AHMAD</v>
      </c>
      <c r="Y3644" t="str">
        <f t="shared" si="1483"/>
        <v>04-08-2020</v>
      </c>
      <c r="Z3644" t="str">
        <f>"COS10200804 5310"</f>
        <v>COS10200804 5310</v>
      </c>
    </row>
    <row r="3645" spans="1:26" x14ac:dyDescent="0.25">
      <c r="A3645" t="str">
        <f t="shared" si="1488"/>
        <v>04-08-2020 12:56:45</v>
      </c>
      <c r="B3645" t="str">
        <f>"0000807297"</f>
        <v>0000807297</v>
      </c>
      <c r="C3645" t="str">
        <f t="shared" si="1489"/>
        <v>0000807188</v>
      </c>
      <c r="D3645" t="str">
        <f t="shared" si="1471"/>
        <v>73185</v>
      </c>
      <c r="E3645" t="str">
        <f t="shared" si="1472"/>
        <v>KFH-OPERATIONS DEPARTMENT</v>
      </c>
      <c r="F3645" t="str">
        <f t="shared" si="1473"/>
        <v>IBG</v>
      </c>
      <c r="G3645" t="str">
        <f t="shared" si="1484"/>
        <v>Refund COSHARE 10</v>
      </c>
      <c r="H3645" s="2">
        <v>545.70000000000005</v>
      </c>
      <c r="I3645" t="str">
        <f>"MD HUZAINI BIN MOHAMED"</f>
        <v>MD HUZAINI BIN MOHAMED</v>
      </c>
      <c r="J3645" t="str">
        <f t="shared" si="1485"/>
        <v>MAYBANK / MAYBANK ISLAMIC</v>
      </c>
      <c r="K3645" t="str">
        <f>"164285521210"</f>
        <v>164285521210</v>
      </c>
      <c r="L3645" t="str">
        <f t="shared" si="1490"/>
        <v>04-08-2020</v>
      </c>
      <c r="M3645" t="str">
        <f t="shared" si="1490"/>
        <v>04-08-2020</v>
      </c>
      <c r="N3645" t="str">
        <f t="shared" si="1474"/>
        <v>001105018356</v>
      </c>
      <c r="O3645" t="str">
        <f t="shared" si="1475"/>
        <v>MYR</v>
      </c>
      <c r="P3645" t="str">
        <f t="shared" si="1491"/>
        <v>NIL</v>
      </c>
      <c r="Q3645" t="str">
        <f t="shared" si="1491"/>
        <v>NIL</v>
      </c>
      <c r="R3645" t="str">
        <f t="shared" si="1476"/>
        <v>Accepted</v>
      </c>
      <c r="S3645" t="str">
        <f t="shared" si="1477"/>
        <v>Approved</v>
      </c>
      <c r="T3645" t="str">
        <f t="shared" si="1478"/>
        <v>10.20.8.188</v>
      </c>
      <c r="U3645" t="str">
        <f t="shared" si="1479"/>
        <v>AZRAD UMAR BIN SHAARI</v>
      </c>
      <c r="V3645" t="str">
        <f t="shared" si="1480"/>
        <v>FARHANA BINTI MUSTAPA</v>
      </c>
      <c r="W3645" t="str">
        <f t="shared" si="1481"/>
        <v>04-08-2020</v>
      </c>
      <c r="X3645" t="str">
        <f t="shared" si="1482"/>
        <v>RAZIMAH ANSAR AHMAD</v>
      </c>
      <c r="Y3645" t="str">
        <f t="shared" si="1483"/>
        <v>04-08-2020</v>
      </c>
      <c r="Z3645" t="str">
        <f>"COS10200804 5309"</f>
        <v>COS10200804 5309</v>
      </c>
    </row>
    <row r="3646" spans="1:26" x14ac:dyDescent="0.25">
      <c r="A3646" t="str">
        <f t="shared" si="1488"/>
        <v>04-08-2020 12:56:45</v>
      </c>
      <c r="B3646" t="str">
        <f>"0000807296"</f>
        <v>0000807296</v>
      </c>
      <c r="C3646" t="str">
        <f t="shared" si="1489"/>
        <v>0000807188</v>
      </c>
      <c r="D3646" t="str">
        <f t="shared" si="1471"/>
        <v>73185</v>
      </c>
      <c r="E3646" t="str">
        <f t="shared" si="1472"/>
        <v>KFH-OPERATIONS DEPARTMENT</v>
      </c>
      <c r="F3646" t="str">
        <f t="shared" si="1473"/>
        <v>IBG</v>
      </c>
      <c r="G3646" t="str">
        <f t="shared" si="1484"/>
        <v>Refund COSHARE 10</v>
      </c>
      <c r="H3646" s="2">
        <v>587.65</v>
      </c>
      <c r="I3646" t="str">
        <f>"MD HASMALIZAN BIN MD HUSSIN"</f>
        <v>MD HASMALIZAN BIN MD HUSSIN</v>
      </c>
      <c r="J3646" t="str">
        <f t="shared" si="1485"/>
        <v>MAYBANK / MAYBANK ISLAMIC</v>
      </c>
      <c r="K3646" t="str">
        <f>"155126924163"</f>
        <v>155126924163</v>
      </c>
      <c r="L3646" t="str">
        <f t="shared" si="1490"/>
        <v>04-08-2020</v>
      </c>
      <c r="M3646" t="str">
        <f t="shared" si="1490"/>
        <v>04-08-2020</v>
      </c>
      <c r="N3646" t="str">
        <f t="shared" si="1474"/>
        <v>001105018356</v>
      </c>
      <c r="O3646" t="str">
        <f t="shared" si="1475"/>
        <v>MYR</v>
      </c>
      <c r="P3646" t="str">
        <f t="shared" si="1491"/>
        <v>NIL</v>
      </c>
      <c r="Q3646" t="str">
        <f t="shared" si="1491"/>
        <v>NIL</v>
      </c>
      <c r="R3646" t="str">
        <f t="shared" si="1476"/>
        <v>Accepted</v>
      </c>
      <c r="S3646" t="str">
        <f t="shared" si="1477"/>
        <v>Approved</v>
      </c>
      <c r="T3646" t="str">
        <f t="shared" si="1478"/>
        <v>10.20.8.188</v>
      </c>
      <c r="U3646" t="str">
        <f t="shared" si="1479"/>
        <v>AZRAD UMAR BIN SHAARI</v>
      </c>
      <c r="V3646" t="str">
        <f t="shared" si="1480"/>
        <v>FARHANA BINTI MUSTAPA</v>
      </c>
      <c r="W3646" t="str">
        <f t="shared" si="1481"/>
        <v>04-08-2020</v>
      </c>
      <c r="X3646" t="str">
        <f t="shared" si="1482"/>
        <v>RAZIMAH ANSAR AHMAD</v>
      </c>
      <c r="Y3646" t="str">
        <f t="shared" si="1483"/>
        <v>04-08-2020</v>
      </c>
      <c r="Z3646" t="str">
        <f>"COS10200804 5308"</f>
        <v>COS10200804 5308</v>
      </c>
    </row>
    <row r="3647" spans="1:26" x14ac:dyDescent="0.25">
      <c r="A3647" t="str">
        <f t="shared" si="1488"/>
        <v>04-08-2020 12:56:45</v>
      </c>
      <c r="B3647" t="str">
        <f>"0000807295"</f>
        <v>0000807295</v>
      </c>
      <c r="C3647" t="str">
        <f t="shared" si="1489"/>
        <v>0000807188</v>
      </c>
      <c r="D3647" t="str">
        <f t="shared" si="1471"/>
        <v>73185</v>
      </c>
      <c r="E3647" t="str">
        <f t="shared" si="1472"/>
        <v>KFH-OPERATIONS DEPARTMENT</v>
      </c>
      <c r="F3647" t="str">
        <f t="shared" si="1473"/>
        <v>IBG</v>
      </c>
      <c r="G3647" t="str">
        <f t="shared" si="1484"/>
        <v>Refund COSHARE 10</v>
      </c>
      <c r="H3647" s="2">
        <v>924</v>
      </c>
      <c r="I3647" t="str">
        <f>"MD FARID BIN AHMAD SANUSI"</f>
        <v>MD FARID BIN AHMAD SANUSI</v>
      </c>
      <c r="J3647" t="str">
        <f t="shared" si="1485"/>
        <v>MAYBANK / MAYBANK ISLAMIC</v>
      </c>
      <c r="K3647" t="str">
        <f>"101209195135"</f>
        <v>101209195135</v>
      </c>
      <c r="L3647" t="str">
        <f t="shared" ref="L3647:M3666" si="1492">"04-08-2020"</f>
        <v>04-08-2020</v>
      </c>
      <c r="M3647" t="str">
        <f t="shared" si="1492"/>
        <v>04-08-2020</v>
      </c>
      <c r="N3647" t="str">
        <f t="shared" si="1474"/>
        <v>001105018356</v>
      </c>
      <c r="O3647" t="str">
        <f t="shared" si="1475"/>
        <v>MYR</v>
      </c>
      <c r="P3647" t="str">
        <f t="shared" ref="P3647:Q3666" si="1493">"NIL"</f>
        <v>NIL</v>
      </c>
      <c r="Q3647" t="str">
        <f t="shared" si="1493"/>
        <v>NIL</v>
      </c>
      <c r="R3647" t="str">
        <f t="shared" si="1476"/>
        <v>Accepted</v>
      </c>
      <c r="S3647" t="str">
        <f t="shared" si="1477"/>
        <v>Approved</v>
      </c>
      <c r="T3647" t="str">
        <f t="shared" si="1478"/>
        <v>10.20.8.188</v>
      </c>
      <c r="U3647" t="str">
        <f t="shared" si="1479"/>
        <v>AZRAD UMAR BIN SHAARI</v>
      </c>
      <c r="V3647" t="str">
        <f t="shared" si="1480"/>
        <v>FARHANA BINTI MUSTAPA</v>
      </c>
      <c r="W3647" t="str">
        <f t="shared" si="1481"/>
        <v>04-08-2020</v>
      </c>
      <c r="X3647" t="str">
        <f t="shared" si="1482"/>
        <v>RAZIMAH ANSAR AHMAD</v>
      </c>
      <c r="Y3647" t="str">
        <f t="shared" si="1483"/>
        <v>04-08-2020</v>
      </c>
      <c r="Z3647" t="str">
        <f>"COS10200804 5307"</f>
        <v>COS10200804 5307</v>
      </c>
    </row>
    <row r="3648" spans="1:26" x14ac:dyDescent="0.25">
      <c r="A3648" t="str">
        <f t="shared" si="1488"/>
        <v>04-08-2020 12:56:45</v>
      </c>
      <c r="B3648" t="str">
        <f>"0000807294"</f>
        <v>0000807294</v>
      </c>
      <c r="C3648" t="str">
        <f t="shared" si="1489"/>
        <v>0000807188</v>
      </c>
      <c r="D3648" t="str">
        <f t="shared" si="1471"/>
        <v>73185</v>
      </c>
      <c r="E3648" t="str">
        <f t="shared" si="1472"/>
        <v>KFH-OPERATIONS DEPARTMENT</v>
      </c>
      <c r="F3648" t="str">
        <f t="shared" si="1473"/>
        <v>IBG</v>
      </c>
      <c r="G3648" t="str">
        <f t="shared" si="1484"/>
        <v>Refund COSHARE 10</v>
      </c>
      <c r="H3648" s="2">
        <v>189.3</v>
      </c>
      <c r="I3648" t="str">
        <f>"MD FADULLAH BIN ISHAK"</f>
        <v>MD FADULLAH BIN ISHAK</v>
      </c>
      <c r="J3648" t="str">
        <f t="shared" si="1485"/>
        <v>MAYBANK / MAYBANK ISLAMIC</v>
      </c>
      <c r="K3648" t="str">
        <f>"101011461262"</f>
        <v>101011461262</v>
      </c>
      <c r="L3648" t="str">
        <f t="shared" si="1492"/>
        <v>04-08-2020</v>
      </c>
      <c r="M3648" t="str">
        <f t="shared" si="1492"/>
        <v>04-08-2020</v>
      </c>
      <c r="N3648" t="str">
        <f t="shared" si="1474"/>
        <v>001105018356</v>
      </c>
      <c r="O3648" t="str">
        <f t="shared" si="1475"/>
        <v>MYR</v>
      </c>
      <c r="P3648" t="str">
        <f t="shared" si="1493"/>
        <v>NIL</v>
      </c>
      <c r="Q3648" t="str">
        <f t="shared" si="1493"/>
        <v>NIL</v>
      </c>
      <c r="R3648" t="str">
        <f t="shared" si="1476"/>
        <v>Accepted</v>
      </c>
      <c r="S3648" t="str">
        <f t="shared" si="1477"/>
        <v>Approved</v>
      </c>
      <c r="T3648" t="str">
        <f t="shared" si="1478"/>
        <v>10.20.8.188</v>
      </c>
      <c r="U3648" t="str">
        <f t="shared" si="1479"/>
        <v>AZRAD UMAR BIN SHAARI</v>
      </c>
      <c r="V3648" t="str">
        <f t="shared" si="1480"/>
        <v>FARHANA BINTI MUSTAPA</v>
      </c>
      <c r="W3648" t="str">
        <f t="shared" si="1481"/>
        <v>04-08-2020</v>
      </c>
      <c r="X3648" t="str">
        <f t="shared" si="1482"/>
        <v>RAZIMAH ANSAR AHMAD</v>
      </c>
      <c r="Y3648" t="str">
        <f t="shared" si="1483"/>
        <v>04-08-2020</v>
      </c>
      <c r="Z3648" t="str">
        <f>"COS10200804 5306"</f>
        <v>COS10200804 5306</v>
      </c>
    </row>
    <row r="3649" spans="1:26" x14ac:dyDescent="0.25">
      <c r="A3649" t="str">
        <f t="shared" si="1488"/>
        <v>04-08-2020 12:56:45</v>
      </c>
      <c r="B3649" t="str">
        <f>"0000807293"</f>
        <v>0000807293</v>
      </c>
      <c r="C3649" t="str">
        <f t="shared" si="1489"/>
        <v>0000807188</v>
      </c>
      <c r="D3649" t="str">
        <f t="shared" si="1471"/>
        <v>73185</v>
      </c>
      <c r="E3649" t="str">
        <f t="shared" si="1472"/>
        <v>KFH-OPERATIONS DEPARTMENT</v>
      </c>
      <c r="F3649" t="str">
        <f t="shared" si="1473"/>
        <v>IBG</v>
      </c>
      <c r="G3649" t="str">
        <f t="shared" si="1484"/>
        <v>Refund COSHARE 10</v>
      </c>
      <c r="H3649" s="2">
        <v>100.75</v>
      </c>
      <c r="I3649" t="str">
        <f>"MD AZRUL BIN TOMIZAN"</f>
        <v>MD AZRUL BIN TOMIZAN</v>
      </c>
      <c r="J3649" t="str">
        <f t="shared" si="1485"/>
        <v>MAYBANK / MAYBANK ISLAMIC</v>
      </c>
      <c r="K3649" t="str">
        <f>"114338061606"</f>
        <v>114338061606</v>
      </c>
      <c r="L3649" t="str">
        <f t="shared" si="1492"/>
        <v>04-08-2020</v>
      </c>
      <c r="M3649" t="str">
        <f t="shared" si="1492"/>
        <v>04-08-2020</v>
      </c>
      <c r="N3649" t="str">
        <f t="shared" si="1474"/>
        <v>001105018356</v>
      </c>
      <c r="O3649" t="str">
        <f t="shared" si="1475"/>
        <v>MYR</v>
      </c>
      <c r="P3649" t="str">
        <f t="shared" si="1493"/>
        <v>NIL</v>
      </c>
      <c r="Q3649" t="str">
        <f t="shared" si="1493"/>
        <v>NIL</v>
      </c>
      <c r="R3649" t="str">
        <f t="shared" si="1476"/>
        <v>Accepted</v>
      </c>
      <c r="S3649" t="str">
        <f t="shared" si="1477"/>
        <v>Approved</v>
      </c>
      <c r="T3649" t="str">
        <f t="shared" si="1478"/>
        <v>10.20.8.188</v>
      </c>
      <c r="U3649" t="str">
        <f t="shared" si="1479"/>
        <v>AZRAD UMAR BIN SHAARI</v>
      </c>
      <c r="V3649" t="str">
        <f t="shared" si="1480"/>
        <v>FARHANA BINTI MUSTAPA</v>
      </c>
      <c r="W3649" t="str">
        <f t="shared" si="1481"/>
        <v>04-08-2020</v>
      </c>
      <c r="X3649" t="str">
        <f t="shared" si="1482"/>
        <v>RAZIMAH ANSAR AHMAD</v>
      </c>
      <c r="Y3649" t="str">
        <f t="shared" si="1483"/>
        <v>04-08-2020</v>
      </c>
      <c r="Z3649" t="str">
        <f>"COS10200804 5305"</f>
        <v>COS10200804 5305</v>
      </c>
    </row>
    <row r="3650" spans="1:26" x14ac:dyDescent="0.25">
      <c r="A3650" t="str">
        <f t="shared" ref="A3650:A3681" si="1494">"04-08-2020 12:56:45"</f>
        <v>04-08-2020 12:56:45</v>
      </c>
      <c r="B3650" t="str">
        <f>"0000807292"</f>
        <v>0000807292</v>
      </c>
      <c r="C3650" t="str">
        <f t="shared" ref="C3650:C3681" si="1495">"0000807188"</f>
        <v>0000807188</v>
      </c>
      <c r="D3650" t="str">
        <f t="shared" si="1471"/>
        <v>73185</v>
      </c>
      <c r="E3650" t="str">
        <f t="shared" si="1472"/>
        <v>KFH-OPERATIONS DEPARTMENT</v>
      </c>
      <c r="F3650" t="str">
        <f t="shared" si="1473"/>
        <v>IBG</v>
      </c>
      <c r="G3650" t="str">
        <f t="shared" si="1484"/>
        <v>Refund COSHARE 10</v>
      </c>
      <c r="H3650" s="2">
        <v>167.9</v>
      </c>
      <c r="I3650" t="str">
        <f>"MD AZALI BIN ZAINAL"</f>
        <v>MD AZALI BIN ZAINAL</v>
      </c>
      <c r="J3650" t="str">
        <f t="shared" si="1485"/>
        <v>MAYBANK / MAYBANK ISLAMIC</v>
      </c>
      <c r="K3650" t="str">
        <f>"162067384643"</f>
        <v>162067384643</v>
      </c>
      <c r="L3650" t="str">
        <f t="shared" si="1492"/>
        <v>04-08-2020</v>
      </c>
      <c r="M3650" t="str">
        <f t="shared" si="1492"/>
        <v>04-08-2020</v>
      </c>
      <c r="N3650" t="str">
        <f t="shared" si="1474"/>
        <v>001105018356</v>
      </c>
      <c r="O3650" t="str">
        <f t="shared" si="1475"/>
        <v>MYR</v>
      </c>
      <c r="P3650" t="str">
        <f t="shared" si="1493"/>
        <v>NIL</v>
      </c>
      <c r="Q3650" t="str">
        <f t="shared" si="1493"/>
        <v>NIL</v>
      </c>
      <c r="R3650" t="str">
        <f t="shared" si="1476"/>
        <v>Accepted</v>
      </c>
      <c r="S3650" t="str">
        <f t="shared" si="1477"/>
        <v>Approved</v>
      </c>
      <c r="T3650" t="str">
        <f t="shared" si="1478"/>
        <v>10.20.8.188</v>
      </c>
      <c r="U3650" t="str">
        <f t="shared" si="1479"/>
        <v>AZRAD UMAR BIN SHAARI</v>
      </c>
      <c r="V3650" t="str">
        <f t="shared" si="1480"/>
        <v>FARHANA BINTI MUSTAPA</v>
      </c>
      <c r="W3650" t="str">
        <f t="shared" si="1481"/>
        <v>04-08-2020</v>
      </c>
      <c r="X3650" t="str">
        <f t="shared" si="1482"/>
        <v>RAZIMAH ANSAR AHMAD</v>
      </c>
      <c r="Y3650" t="str">
        <f t="shared" si="1483"/>
        <v>04-08-2020</v>
      </c>
      <c r="Z3650" t="str">
        <f>"COS10200804 5304"</f>
        <v>COS10200804 5304</v>
      </c>
    </row>
    <row r="3651" spans="1:26" x14ac:dyDescent="0.25">
      <c r="A3651" t="str">
        <f t="shared" si="1494"/>
        <v>04-08-2020 12:56:45</v>
      </c>
      <c r="B3651" t="str">
        <f>"0000807291"</f>
        <v>0000807291</v>
      </c>
      <c r="C3651" t="str">
        <f t="shared" si="1495"/>
        <v>0000807188</v>
      </c>
      <c r="D3651" t="str">
        <f t="shared" si="1471"/>
        <v>73185</v>
      </c>
      <c r="E3651" t="str">
        <f t="shared" si="1472"/>
        <v>KFH-OPERATIONS DEPARTMENT</v>
      </c>
      <c r="F3651" t="str">
        <f t="shared" si="1473"/>
        <v>IBG</v>
      </c>
      <c r="G3651" t="str">
        <f t="shared" si="1484"/>
        <v>Refund COSHARE 10</v>
      </c>
      <c r="H3651" s="2">
        <v>274.5</v>
      </c>
      <c r="I3651" t="str">
        <f>"MD ASRI BIN MD JOHAR"</f>
        <v>MD ASRI BIN MD JOHAR</v>
      </c>
      <c r="J3651" t="str">
        <f t="shared" si="1485"/>
        <v>MAYBANK / MAYBANK ISLAMIC</v>
      </c>
      <c r="K3651" t="str">
        <f>"104058105362"</f>
        <v>104058105362</v>
      </c>
      <c r="L3651" t="str">
        <f t="shared" si="1492"/>
        <v>04-08-2020</v>
      </c>
      <c r="M3651" t="str">
        <f t="shared" si="1492"/>
        <v>04-08-2020</v>
      </c>
      <c r="N3651" t="str">
        <f t="shared" si="1474"/>
        <v>001105018356</v>
      </c>
      <c r="O3651" t="str">
        <f t="shared" si="1475"/>
        <v>MYR</v>
      </c>
      <c r="P3651" t="str">
        <f t="shared" si="1493"/>
        <v>NIL</v>
      </c>
      <c r="Q3651" t="str">
        <f t="shared" si="1493"/>
        <v>NIL</v>
      </c>
      <c r="R3651" t="str">
        <f t="shared" si="1476"/>
        <v>Accepted</v>
      </c>
      <c r="S3651" t="str">
        <f t="shared" si="1477"/>
        <v>Approved</v>
      </c>
      <c r="T3651" t="str">
        <f t="shared" si="1478"/>
        <v>10.20.8.188</v>
      </c>
      <c r="U3651" t="str">
        <f t="shared" si="1479"/>
        <v>AZRAD UMAR BIN SHAARI</v>
      </c>
      <c r="V3651" t="str">
        <f t="shared" si="1480"/>
        <v>FARHANA BINTI MUSTAPA</v>
      </c>
      <c r="W3651" t="str">
        <f t="shared" si="1481"/>
        <v>04-08-2020</v>
      </c>
      <c r="X3651" t="str">
        <f t="shared" si="1482"/>
        <v>RAZIMAH ANSAR AHMAD</v>
      </c>
      <c r="Y3651" t="str">
        <f t="shared" si="1483"/>
        <v>04-08-2020</v>
      </c>
      <c r="Z3651" t="str">
        <f>"COS10200804 5303"</f>
        <v>COS10200804 5303</v>
      </c>
    </row>
    <row r="3652" spans="1:26" x14ac:dyDescent="0.25">
      <c r="A3652" t="str">
        <f t="shared" si="1494"/>
        <v>04-08-2020 12:56:45</v>
      </c>
      <c r="B3652" t="str">
        <f>"0000807290"</f>
        <v>0000807290</v>
      </c>
      <c r="C3652" t="str">
        <f t="shared" si="1495"/>
        <v>0000807188</v>
      </c>
      <c r="D3652" t="str">
        <f t="shared" si="1471"/>
        <v>73185</v>
      </c>
      <c r="E3652" t="str">
        <f t="shared" si="1472"/>
        <v>KFH-OPERATIONS DEPARTMENT</v>
      </c>
      <c r="F3652" t="str">
        <f t="shared" si="1473"/>
        <v>IBG</v>
      </c>
      <c r="G3652" t="str">
        <f t="shared" si="1484"/>
        <v>Refund COSHARE 10</v>
      </c>
      <c r="H3652" s="2">
        <v>839.5</v>
      </c>
      <c r="I3652" t="str">
        <f>"MD AMKA BIN MOHD POHARI"</f>
        <v>MD AMKA BIN MOHD POHARI</v>
      </c>
      <c r="J3652" t="str">
        <f t="shared" si="1485"/>
        <v>MAYBANK / MAYBANK ISLAMIC</v>
      </c>
      <c r="K3652" t="str">
        <f>"114226222716"</f>
        <v>114226222716</v>
      </c>
      <c r="L3652" t="str">
        <f t="shared" si="1492"/>
        <v>04-08-2020</v>
      </c>
      <c r="M3652" t="str">
        <f t="shared" si="1492"/>
        <v>04-08-2020</v>
      </c>
      <c r="N3652" t="str">
        <f t="shared" si="1474"/>
        <v>001105018356</v>
      </c>
      <c r="O3652" t="str">
        <f t="shared" si="1475"/>
        <v>MYR</v>
      </c>
      <c r="P3652" t="str">
        <f t="shared" si="1493"/>
        <v>NIL</v>
      </c>
      <c r="Q3652" t="str">
        <f t="shared" si="1493"/>
        <v>NIL</v>
      </c>
      <c r="R3652" t="str">
        <f t="shared" si="1476"/>
        <v>Accepted</v>
      </c>
      <c r="S3652" t="str">
        <f t="shared" si="1477"/>
        <v>Approved</v>
      </c>
      <c r="T3652" t="str">
        <f t="shared" si="1478"/>
        <v>10.20.8.188</v>
      </c>
      <c r="U3652" t="str">
        <f t="shared" si="1479"/>
        <v>AZRAD UMAR BIN SHAARI</v>
      </c>
      <c r="V3652" t="str">
        <f t="shared" si="1480"/>
        <v>FARHANA BINTI MUSTAPA</v>
      </c>
      <c r="W3652" t="str">
        <f t="shared" si="1481"/>
        <v>04-08-2020</v>
      </c>
      <c r="X3652" t="str">
        <f t="shared" si="1482"/>
        <v>RAZIMAH ANSAR AHMAD</v>
      </c>
      <c r="Y3652" t="str">
        <f t="shared" si="1483"/>
        <v>04-08-2020</v>
      </c>
      <c r="Z3652" t="str">
        <f>"COS10200804 5302"</f>
        <v>COS10200804 5302</v>
      </c>
    </row>
    <row r="3653" spans="1:26" x14ac:dyDescent="0.25">
      <c r="A3653" t="str">
        <f t="shared" si="1494"/>
        <v>04-08-2020 12:56:45</v>
      </c>
      <c r="B3653" t="str">
        <f>"0000807289"</f>
        <v>0000807289</v>
      </c>
      <c r="C3653" t="str">
        <f t="shared" si="1495"/>
        <v>0000807188</v>
      </c>
      <c r="D3653" t="str">
        <f t="shared" si="1471"/>
        <v>73185</v>
      </c>
      <c r="E3653" t="str">
        <f t="shared" si="1472"/>
        <v>KFH-OPERATIONS DEPARTMENT</v>
      </c>
      <c r="F3653" t="str">
        <f t="shared" si="1473"/>
        <v>IBG</v>
      </c>
      <c r="G3653" t="str">
        <f t="shared" si="1484"/>
        <v>Refund COSHARE 10</v>
      </c>
      <c r="H3653" s="2">
        <v>603.4</v>
      </c>
      <c r="I3653" t="str">
        <f>"MAZZURA BINTI MOHAMMAD"</f>
        <v>MAZZURA BINTI MOHAMMAD</v>
      </c>
      <c r="J3653" t="str">
        <f t="shared" si="1485"/>
        <v>MAYBANK / MAYBANK ISLAMIC</v>
      </c>
      <c r="K3653" t="str">
        <f>"158136705061"</f>
        <v>158136705061</v>
      </c>
      <c r="L3653" t="str">
        <f t="shared" si="1492"/>
        <v>04-08-2020</v>
      </c>
      <c r="M3653" t="str">
        <f t="shared" si="1492"/>
        <v>04-08-2020</v>
      </c>
      <c r="N3653" t="str">
        <f t="shared" si="1474"/>
        <v>001105018356</v>
      </c>
      <c r="O3653" t="str">
        <f t="shared" si="1475"/>
        <v>MYR</v>
      </c>
      <c r="P3653" t="str">
        <f t="shared" si="1493"/>
        <v>NIL</v>
      </c>
      <c r="Q3653" t="str">
        <f t="shared" si="1493"/>
        <v>NIL</v>
      </c>
      <c r="R3653" t="str">
        <f t="shared" si="1476"/>
        <v>Accepted</v>
      </c>
      <c r="S3653" t="str">
        <f t="shared" si="1477"/>
        <v>Approved</v>
      </c>
      <c r="T3653" t="str">
        <f t="shared" si="1478"/>
        <v>10.20.8.188</v>
      </c>
      <c r="U3653" t="str">
        <f t="shared" si="1479"/>
        <v>AZRAD UMAR BIN SHAARI</v>
      </c>
      <c r="V3653" t="str">
        <f t="shared" si="1480"/>
        <v>FARHANA BINTI MUSTAPA</v>
      </c>
      <c r="W3653" t="str">
        <f t="shared" si="1481"/>
        <v>04-08-2020</v>
      </c>
      <c r="X3653" t="str">
        <f t="shared" si="1482"/>
        <v>RAZIMAH ANSAR AHMAD</v>
      </c>
      <c r="Y3653" t="str">
        <f t="shared" si="1483"/>
        <v>04-08-2020</v>
      </c>
      <c r="Z3653" t="str">
        <f>"COS10200804 5301"</f>
        <v>COS10200804 5301</v>
      </c>
    </row>
    <row r="3654" spans="1:26" x14ac:dyDescent="0.25">
      <c r="A3654" t="str">
        <f t="shared" si="1494"/>
        <v>04-08-2020 12:56:45</v>
      </c>
      <c r="B3654" t="str">
        <f>"0000807288"</f>
        <v>0000807288</v>
      </c>
      <c r="C3654" t="str">
        <f t="shared" si="1495"/>
        <v>0000807188</v>
      </c>
      <c r="D3654" t="str">
        <f t="shared" si="1471"/>
        <v>73185</v>
      </c>
      <c r="E3654" t="str">
        <f t="shared" si="1472"/>
        <v>KFH-OPERATIONS DEPARTMENT</v>
      </c>
      <c r="F3654" t="str">
        <f t="shared" si="1473"/>
        <v>IBG</v>
      </c>
      <c r="G3654" t="str">
        <f t="shared" si="1484"/>
        <v>Refund COSHARE 10</v>
      </c>
      <c r="H3654" s="2">
        <v>1679</v>
      </c>
      <c r="I3654" t="str">
        <f>"MAZZREEMIE BIN ZAINAL ABIDIN"</f>
        <v>MAZZREEMIE BIN ZAINAL ABIDIN</v>
      </c>
      <c r="J3654" t="str">
        <f t="shared" si="1485"/>
        <v>MAYBANK / MAYBANK ISLAMIC</v>
      </c>
      <c r="K3654" t="str">
        <f>"158305146239"</f>
        <v>158305146239</v>
      </c>
      <c r="L3654" t="str">
        <f t="shared" si="1492"/>
        <v>04-08-2020</v>
      </c>
      <c r="M3654" t="str">
        <f t="shared" si="1492"/>
        <v>04-08-2020</v>
      </c>
      <c r="N3654" t="str">
        <f t="shared" si="1474"/>
        <v>001105018356</v>
      </c>
      <c r="O3654" t="str">
        <f t="shared" si="1475"/>
        <v>MYR</v>
      </c>
      <c r="P3654" t="str">
        <f t="shared" si="1493"/>
        <v>NIL</v>
      </c>
      <c r="Q3654" t="str">
        <f t="shared" si="1493"/>
        <v>NIL</v>
      </c>
      <c r="R3654" t="str">
        <f t="shared" si="1476"/>
        <v>Accepted</v>
      </c>
      <c r="S3654" t="str">
        <f t="shared" si="1477"/>
        <v>Approved</v>
      </c>
      <c r="T3654" t="str">
        <f t="shared" si="1478"/>
        <v>10.20.8.188</v>
      </c>
      <c r="U3654" t="str">
        <f t="shared" si="1479"/>
        <v>AZRAD UMAR BIN SHAARI</v>
      </c>
      <c r="V3654" t="str">
        <f t="shared" si="1480"/>
        <v>FARHANA BINTI MUSTAPA</v>
      </c>
      <c r="W3654" t="str">
        <f t="shared" si="1481"/>
        <v>04-08-2020</v>
      </c>
      <c r="X3654" t="str">
        <f t="shared" si="1482"/>
        <v>RAZIMAH ANSAR AHMAD</v>
      </c>
      <c r="Y3654" t="str">
        <f t="shared" si="1483"/>
        <v>04-08-2020</v>
      </c>
      <c r="Z3654" t="str">
        <f>"COS10200804 5300"</f>
        <v>COS10200804 5300</v>
      </c>
    </row>
    <row r="3655" spans="1:26" x14ac:dyDescent="0.25">
      <c r="A3655" t="str">
        <f t="shared" si="1494"/>
        <v>04-08-2020 12:56:45</v>
      </c>
      <c r="B3655" t="str">
        <f>"0000807287"</f>
        <v>0000807287</v>
      </c>
      <c r="C3655" t="str">
        <f t="shared" si="1495"/>
        <v>0000807188</v>
      </c>
      <c r="D3655" t="str">
        <f t="shared" ref="D3655:D3718" si="1496">"73185"</f>
        <v>73185</v>
      </c>
      <c r="E3655" t="str">
        <f t="shared" ref="E3655:E3718" si="1497">"KFH-OPERATIONS DEPARTMENT"</f>
        <v>KFH-OPERATIONS DEPARTMENT</v>
      </c>
      <c r="F3655" t="str">
        <f t="shared" ref="F3655:F3718" si="1498">"IBG"</f>
        <v>IBG</v>
      </c>
      <c r="G3655" t="str">
        <f t="shared" si="1484"/>
        <v>Refund COSHARE 10</v>
      </c>
      <c r="H3655" s="2">
        <v>75.599999999999994</v>
      </c>
      <c r="I3655" t="str">
        <f>"MAZWAN EFFENDI BIN MOHAMAD"</f>
        <v>MAZWAN EFFENDI BIN MOHAMAD</v>
      </c>
      <c r="J3655" t="str">
        <f t="shared" si="1485"/>
        <v>MAYBANK / MAYBANK ISLAMIC</v>
      </c>
      <c r="K3655" t="str">
        <f>"114366083199"</f>
        <v>114366083199</v>
      </c>
      <c r="L3655" t="str">
        <f t="shared" si="1492"/>
        <v>04-08-2020</v>
      </c>
      <c r="M3655" t="str">
        <f t="shared" si="1492"/>
        <v>04-08-2020</v>
      </c>
      <c r="N3655" t="str">
        <f t="shared" ref="N3655:N3718" si="1499">"001105018356"</f>
        <v>001105018356</v>
      </c>
      <c r="O3655" t="str">
        <f t="shared" ref="O3655:O3718" si="1500">"MYR"</f>
        <v>MYR</v>
      </c>
      <c r="P3655" t="str">
        <f t="shared" si="1493"/>
        <v>NIL</v>
      </c>
      <c r="Q3655" t="str">
        <f t="shared" si="1493"/>
        <v>NIL</v>
      </c>
      <c r="R3655" t="str">
        <f t="shared" ref="R3655:R3718" si="1501">"Accepted"</f>
        <v>Accepted</v>
      </c>
      <c r="S3655" t="str">
        <f t="shared" ref="S3655:S3718" si="1502">"Approved"</f>
        <v>Approved</v>
      </c>
      <c r="T3655" t="str">
        <f t="shared" ref="T3655:T3718" si="1503">"10.20.8.188"</f>
        <v>10.20.8.188</v>
      </c>
      <c r="U3655" t="str">
        <f t="shared" ref="U3655:U3718" si="1504">"AZRAD UMAR BIN SHAARI"</f>
        <v>AZRAD UMAR BIN SHAARI</v>
      </c>
      <c r="V3655" t="str">
        <f t="shared" ref="V3655:V3718" si="1505">"FARHANA BINTI MUSTAPA"</f>
        <v>FARHANA BINTI MUSTAPA</v>
      </c>
      <c r="W3655" t="str">
        <f t="shared" ref="W3655:W3718" si="1506">"04-08-2020"</f>
        <v>04-08-2020</v>
      </c>
      <c r="X3655" t="str">
        <f t="shared" ref="X3655:X3718" si="1507">"RAZIMAH ANSAR AHMAD"</f>
        <v>RAZIMAH ANSAR AHMAD</v>
      </c>
      <c r="Y3655" t="str">
        <f t="shared" ref="Y3655:Y3718" si="1508">"04-08-2020"</f>
        <v>04-08-2020</v>
      </c>
      <c r="Z3655" t="str">
        <f>"COS10200804 5299"</f>
        <v>COS10200804 5299</v>
      </c>
    </row>
    <row r="3656" spans="1:26" x14ac:dyDescent="0.25">
      <c r="A3656" t="str">
        <f t="shared" si="1494"/>
        <v>04-08-2020 12:56:45</v>
      </c>
      <c r="B3656" t="str">
        <f>"0000807286"</f>
        <v>0000807286</v>
      </c>
      <c r="C3656" t="str">
        <f t="shared" si="1495"/>
        <v>0000807188</v>
      </c>
      <c r="D3656" t="str">
        <f t="shared" si="1496"/>
        <v>73185</v>
      </c>
      <c r="E3656" t="str">
        <f t="shared" si="1497"/>
        <v>KFH-OPERATIONS DEPARTMENT</v>
      </c>
      <c r="F3656" t="str">
        <f t="shared" si="1498"/>
        <v>IBG</v>
      </c>
      <c r="G3656" t="str">
        <f t="shared" si="1484"/>
        <v>Refund COSHARE 10</v>
      </c>
      <c r="H3656" s="2">
        <v>151.15</v>
      </c>
      <c r="I3656" t="str">
        <f>"MAZRI BIN RAHMAD"</f>
        <v>MAZRI BIN RAHMAD</v>
      </c>
      <c r="J3656" t="str">
        <f t="shared" si="1485"/>
        <v>MAYBANK / MAYBANK ISLAMIC</v>
      </c>
      <c r="K3656" t="str">
        <f>"161051400509"</f>
        <v>161051400509</v>
      </c>
      <c r="L3656" t="str">
        <f t="shared" si="1492"/>
        <v>04-08-2020</v>
      </c>
      <c r="M3656" t="str">
        <f t="shared" si="1492"/>
        <v>04-08-2020</v>
      </c>
      <c r="N3656" t="str">
        <f t="shared" si="1499"/>
        <v>001105018356</v>
      </c>
      <c r="O3656" t="str">
        <f t="shared" si="1500"/>
        <v>MYR</v>
      </c>
      <c r="P3656" t="str">
        <f t="shared" si="1493"/>
        <v>NIL</v>
      </c>
      <c r="Q3656" t="str">
        <f t="shared" si="1493"/>
        <v>NIL</v>
      </c>
      <c r="R3656" t="str">
        <f t="shared" si="1501"/>
        <v>Accepted</v>
      </c>
      <c r="S3656" t="str">
        <f t="shared" si="1502"/>
        <v>Approved</v>
      </c>
      <c r="T3656" t="str">
        <f t="shared" si="1503"/>
        <v>10.20.8.188</v>
      </c>
      <c r="U3656" t="str">
        <f t="shared" si="1504"/>
        <v>AZRAD UMAR BIN SHAARI</v>
      </c>
      <c r="V3656" t="str">
        <f t="shared" si="1505"/>
        <v>FARHANA BINTI MUSTAPA</v>
      </c>
      <c r="W3656" t="str">
        <f t="shared" si="1506"/>
        <v>04-08-2020</v>
      </c>
      <c r="X3656" t="str">
        <f t="shared" si="1507"/>
        <v>RAZIMAH ANSAR AHMAD</v>
      </c>
      <c r="Y3656" t="str">
        <f t="shared" si="1508"/>
        <v>04-08-2020</v>
      </c>
      <c r="Z3656" t="str">
        <f>"COS10200804 5298"</f>
        <v>COS10200804 5298</v>
      </c>
    </row>
    <row r="3657" spans="1:26" x14ac:dyDescent="0.25">
      <c r="A3657" t="str">
        <f t="shared" si="1494"/>
        <v>04-08-2020 12:56:45</v>
      </c>
      <c r="B3657" t="str">
        <f>"0000807285"</f>
        <v>0000807285</v>
      </c>
      <c r="C3657" t="str">
        <f t="shared" si="1495"/>
        <v>0000807188</v>
      </c>
      <c r="D3657" t="str">
        <f t="shared" si="1496"/>
        <v>73185</v>
      </c>
      <c r="E3657" t="str">
        <f t="shared" si="1497"/>
        <v>KFH-OPERATIONS DEPARTMENT</v>
      </c>
      <c r="F3657" t="str">
        <f t="shared" si="1498"/>
        <v>IBG</v>
      </c>
      <c r="G3657" t="str">
        <f t="shared" si="1484"/>
        <v>Refund COSHARE 10</v>
      </c>
      <c r="H3657" s="2">
        <v>672.35</v>
      </c>
      <c r="I3657" t="str">
        <f>"MAZNON BINTI KAMIN"</f>
        <v>MAZNON BINTI KAMIN</v>
      </c>
      <c r="J3657" t="str">
        <f t="shared" si="1485"/>
        <v>MAYBANK / MAYBANK ISLAMIC</v>
      </c>
      <c r="K3657" t="str">
        <f>"153047015027"</f>
        <v>153047015027</v>
      </c>
      <c r="L3657" t="str">
        <f t="shared" si="1492"/>
        <v>04-08-2020</v>
      </c>
      <c r="M3657" t="str">
        <f t="shared" si="1492"/>
        <v>04-08-2020</v>
      </c>
      <c r="N3657" t="str">
        <f t="shared" si="1499"/>
        <v>001105018356</v>
      </c>
      <c r="O3657" t="str">
        <f t="shared" si="1500"/>
        <v>MYR</v>
      </c>
      <c r="P3657" t="str">
        <f t="shared" si="1493"/>
        <v>NIL</v>
      </c>
      <c r="Q3657" t="str">
        <f t="shared" si="1493"/>
        <v>NIL</v>
      </c>
      <c r="R3657" t="str">
        <f t="shared" si="1501"/>
        <v>Accepted</v>
      </c>
      <c r="S3657" t="str">
        <f t="shared" si="1502"/>
        <v>Approved</v>
      </c>
      <c r="T3657" t="str">
        <f t="shared" si="1503"/>
        <v>10.20.8.188</v>
      </c>
      <c r="U3657" t="str">
        <f t="shared" si="1504"/>
        <v>AZRAD UMAR BIN SHAARI</v>
      </c>
      <c r="V3657" t="str">
        <f t="shared" si="1505"/>
        <v>FARHANA BINTI MUSTAPA</v>
      </c>
      <c r="W3657" t="str">
        <f t="shared" si="1506"/>
        <v>04-08-2020</v>
      </c>
      <c r="X3657" t="str">
        <f t="shared" si="1507"/>
        <v>RAZIMAH ANSAR AHMAD</v>
      </c>
      <c r="Y3657" t="str">
        <f t="shared" si="1508"/>
        <v>04-08-2020</v>
      </c>
      <c r="Z3657" t="str">
        <f>"COS10200804 5297"</f>
        <v>COS10200804 5297</v>
      </c>
    </row>
    <row r="3658" spans="1:26" x14ac:dyDescent="0.25">
      <c r="A3658" t="str">
        <f t="shared" si="1494"/>
        <v>04-08-2020 12:56:45</v>
      </c>
      <c r="B3658" t="str">
        <f>"0000807284"</f>
        <v>0000807284</v>
      </c>
      <c r="C3658" t="str">
        <f t="shared" si="1495"/>
        <v>0000807188</v>
      </c>
      <c r="D3658" t="str">
        <f t="shared" si="1496"/>
        <v>73185</v>
      </c>
      <c r="E3658" t="str">
        <f t="shared" si="1497"/>
        <v>KFH-OPERATIONS DEPARTMENT</v>
      </c>
      <c r="F3658" t="str">
        <f t="shared" si="1498"/>
        <v>IBG</v>
      </c>
      <c r="G3658" t="str">
        <f t="shared" si="1484"/>
        <v>Refund COSHARE 10</v>
      </c>
      <c r="H3658" s="2">
        <v>1679</v>
      </c>
      <c r="I3658" t="str">
        <f>"MAZNI BINTI RAHIM"</f>
        <v>MAZNI BINTI RAHIM</v>
      </c>
      <c r="J3658" t="str">
        <f t="shared" si="1485"/>
        <v>MAYBANK / MAYBANK ISLAMIC</v>
      </c>
      <c r="K3658" t="str">
        <f>"151017002617"</f>
        <v>151017002617</v>
      </c>
      <c r="L3658" t="str">
        <f t="shared" si="1492"/>
        <v>04-08-2020</v>
      </c>
      <c r="M3658" t="str">
        <f t="shared" si="1492"/>
        <v>04-08-2020</v>
      </c>
      <c r="N3658" t="str">
        <f t="shared" si="1499"/>
        <v>001105018356</v>
      </c>
      <c r="O3658" t="str">
        <f t="shared" si="1500"/>
        <v>MYR</v>
      </c>
      <c r="P3658" t="str">
        <f t="shared" si="1493"/>
        <v>NIL</v>
      </c>
      <c r="Q3658" t="str">
        <f t="shared" si="1493"/>
        <v>NIL</v>
      </c>
      <c r="R3658" t="str">
        <f t="shared" si="1501"/>
        <v>Accepted</v>
      </c>
      <c r="S3658" t="str">
        <f t="shared" si="1502"/>
        <v>Approved</v>
      </c>
      <c r="T3658" t="str">
        <f t="shared" si="1503"/>
        <v>10.20.8.188</v>
      </c>
      <c r="U3658" t="str">
        <f t="shared" si="1504"/>
        <v>AZRAD UMAR BIN SHAARI</v>
      </c>
      <c r="V3658" t="str">
        <f t="shared" si="1505"/>
        <v>FARHANA BINTI MUSTAPA</v>
      </c>
      <c r="W3658" t="str">
        <f t="shared" si="1506"/>
        <v>04-08-2020</v>
      </c>
      <c r="X3658" t="str">
        <f t="shared" si="1507"/>
        <v>RAZIMAH ANSAR AHMAD</v>
      </c>
      <c r="Y3658" t="str">
        <f t="shared" si="1508"/>
        <v>04-08-2020</v>
      </c>
      <c r="Z3658" t="str">
        <f>"COS10200804 5296"</f>
        <v>COS10200804 5296</v>
      </c>
    </row>
    <row r="3659" spans="1:26" x14ac:dyDescent="0.25">
      <c r="A3659" t="str">
        <f t="shared" si="1494"/>
        <v>04-08-2020 12:56:45</v>
      </c>
      <c r="B3659" t="str">
        <f>"0000807283"</f>
        <v>0000807283</v>
      </c>
      <c r="C3659" t="str">
        <f t="shared" si="1495"/>
        <v>0000807188</v>
      </c>
      <c r="D3659" t="str">
        <f t="shared" si="1496"/>
        <v>73185</v>
      </c>
      <c r="E3659" t="str">
        <f t="shared" si="1497"/>
        <v>KFH-OPERATIONS DEPARTMENT</v>
      </c>
      <c r="F3659" t="str">
        <f t="shared" si="1498"/>
        <v>IBG</v>
      </c>
      <c r="G3659" t="str">
        <f t="shared" si="1484"/>
        <v>Refund COSHARE 10</v>
      </c>
      <c r="H3659" s="2">
        <v>71.650000000000006</v>
      </c>
      <c r="I3659" t="str">
        <f>"MAZNAH BT MOHAMED"</f>
        <v>MAZNAH BT MOHAMED</v>
      </c>
      <c r="J3659" t="str">
        <f t="shared" si="1485"/>
        <v>MAYBANK / MAYBANK ISLAMIC</v>
      </c>
      <c r="K3659" t="str">
        <f>"101020283166"</f>
        <v>101020283166</v>
      </c>
      <c r="L3659" t="str">
        <f t="shared" si="1492"/>
        <v>04-08-2020</v>
      </c>
      <c r="M3659" t="str">
        <f t="shared" si="1492"/>
        <v>04-08-2020</v>
      </c>
      <c r="N3659" t="str">
        <f t="shared" si="1499"/>
        <v>001105018356</v>
      </c>
      <c r="O3659" t="str">
        <f t="shared" si="1500"/>
        <v>MYR</v>
      </c>
      <c r="P3659" t="str">
        <f t="shared" si="1493"/>
        <v>NIL</v>
      </c>
      <c r="Q3659" t="str">
        <f t="shared" si="1493"/>
        <v>NIL</v>
      </c>
      <c r="R3659" t="str">
        <f t="shared" si="1501"/>
        <v>Accepted</v>
      </c>
      <c r="S3659" t="str">
        <f t="shared" si="1502"/>
        <v>Approved</v>
      </c>
      <c r="T3659" t="str">
        <f t="shared" si="1503"/>
        <v>10.20.8.188</v>
      </c>
      <c r="U3659" t="str">
        <f t="shared" si="1504"/>
        <v>AZRAD UMAR BIN SHAARI</v>
      </c>
      <c r="V3659" t="str">
        <f t="shared" si="1505"/>
        <v>FARHANA BINTI MUSTAPA</v>
      </c>
      <c r="W3659" t="str">
        <f t="shared" si="1506"/>
        <v>04-08-2020</v>
      </c>
      <c r="X3659" t="str">
        <f t="shared" si="1507"/>
        <v>RAZIMAH ANSAR AHMAD</v>
      </c>
      <c r="Y3659" t="str">
        <f t="shared" si="1508"/>
        <v>04-08-2020</v>
      </c>
      <c r="Z3659" t="str">
        <f>"COS10200804 5295"</f>
        <v>COS10200804 5295</v>
      </c>
    </row>
    <row r="3660" spans="1:26" x14ac:dyDescent="0.25">
      <c r="A3660" t="str">
        <f t="shared" si="1494"/>
        <v>04-08-2020 12:56:45</v>
      </c>
      <c r="B3660" t="str">
        <f>"0000807282"</f>
        <v>0000807282</v>
      </c>
      <c r="C3660" t="str">
        <f t="shared" si="1495"/>
        <v>0000807188</v>
      </c>
      <c r="D3660" t="str">
        <f t="shared" si="1496"/>
        <v>73185</v>
      </c>
      <c r="E3660" t="str">
        <f t="shared" si="1497"/>
        <v>KFH-OPERATIONS DEPARTMENT</v>
      </c>
      <c r="F3660" t="str">
        <f t="shared" si="1498"/>
        <v>IBG</v>
      </c>
      <c r="G3660" t="str">
        <f t="shared" ref="G3660:G3723" si="1509">"Refund COSHARE 10"</f>
        <v>Refund COSHARE 10</v>
      </c>
      <c r="H3660" s="2">
        <v>1032.5999999999999</v>
      </c>
      <c r="I3660" t="str">
        <f>"MAZNAH BINTI IBRAHIM"</f>
        <v>MAZNAH BINTI IBRAHIM</v>
      </c>
      <c r="J3660" t="str">
        <f t="shared" si="1485"/>
        <v>MAYBANK / MAYBANK ISLAMIC</v>
      </c>
      <c r="K3660" t="str">
        <f>"104068145534"</f>
        <v>104068145534</v>
      </c>
      <c r="L3660" t="str">
        <f t="shared" si="1492"/>
        <v>04-08-2020</v>
      </c>
      <c r="M3660" t="str">
        <f t="shared" si="1492"/>
        <v>04-08-2020</v>
      </c>
      <c r="N3660" t="str">
        <f t="shared" si="1499"/>
        <v>001105018356</v>
      </c>
      <c r="O3660" t="str">
        <f t="shared" si="1500"/>
        <v>MYR</v>
      </c>
      <c r="P3660" t="str">
        <f t="shared" si="1493"/>
        <v>NIL</v>
      </c>
      <c r="Q3660" t="str">
        <f t="shared" si="1493"/>
        <v>NIL</v>
      </c>
      <c r="R3660" t="str">
        <f t="shared" si="1501"/>
        <v>Accepted</v>
      </c>
      <c r="S3660" t="str">
        <f t="shared" si="1502"/>
        <v>Approved</v>
      </c>
      <c r="T3660" t="str">
        <f t="shared" si="1503"/>
        <v>10.20.8.188</v>
      </c>
      <c r="U3660" t="str">
        <f t="shared" si="1504"/>
        <v>AZRAD UMAR BIN SHAARI</v>
      </c>
      <c r="V3660" t="str">
        <f t="shared" si="1505"/>
        <v>FARHANA BINTI MUSTAPA</v>
      </c>
      <c r="W3660" t="str">
        <f t="shared" si="1506"/>
        <v>04-08-2020</v>
      </c>
      <c r="X3660" t="str">
        <f t="shared" si="1507"/>
        <v>RAZIMAH ANSAR AHMAD</v>
      </c>
      <c r="Y3660" t="str">
        <f t="shared" si="1508"/>
        <v>04-08-2020</v>
      </c>
      <c r="Z3660" t="str">
        <f>"COS10200804 5294"</f>
        <v>COS10200804 5294</v>
      </c>
    </row>
    <row r="3661" spans="1:26" x14ac:dyDescent="0.25">
      <c r="A3661" t="str">
        <f t="shared" si="1494"/>
        <v>04-08-2020 12:56:45</v>
      </c>
      <c r="B3661" t="str">
        <f>"0000807281"</f>
        <v>0000807281</v>
      </c>
      <c r="C3661" t="str">
        <f t="shared" si="1495"/>
        <v>0000807188</v>
      </c>
      <c r="D3661" t="str">
        <f t="shared" si="1496"/>
        <v>73185</v>
      </c>
      <c r="E3661" t="str">
        <f t="shared" si="1497"/>
        <v>KFH-OPERATIONS DEPARTMENT</v>
      </c>
      <c r="F3661" t="str">
        <f t="shared" si="1498"/>
        <v>IBG</v>
      </c>
      <c r="G3661" t="str">
        <f t="shared" si="1509"/>
        <v>Refund COSHARE 10</v>
      </c>
      <c r="H3661" s="2">
        <v>167.9</v>
      </c>
      <c r="I3661" t="str">
        <f>"MAZLINDA BINTI MAZLI"</f>
        <v>MAZLINDA BINTI MAZLI</v>
      </c>
      <c r="J3661" t="str">
        <f t="shared" si="1485"/>
        <v>MAYBANK / MAYBANK ISLAMIC</v>
      </c>
      <c r="K3661" t="str">
        <f>"164481067314"</f>
        <v>164481067314</v>
      </c>
      <c r="L3661" t="str">
        <f t="shared" si="1492"/>
        <v>04-08-2020</v>
      </c>
      <c r="M3661" t="str">
        <f t="shared" si="1492"/>
        <v>04-08-2020</v>
      </c>
      <c r="N3661" t="str">
        <f t="shared" si="1499"/>
        <v>001105018356</v>
      </c>
      <c r="O3661" t="str">
        <f t="shared" si="1500"/>
        <v>MYR</v>
      </c>
      <c r="P3661" t="str">
        <f t="shared" si="1493"/>
        <v>NIL</v>
      </c>
      <c r="Q3661" t="str">
        <f t="shared" si="1493"/>
        <v>NIL</v>
      </c>
      <c r="R3661" t="str">
        <f t="shared" si="1501"/>
        <v>Accepted</v>
      </c>
      <c r="S3661" t="str">
        <f t="shared" si="1502"/>
        <v>Approved</v>
      </c>
      <c r="T3661" t="str">
        <f t="shared" si="1503"/>
        <v>10.20.8.188</v>
      </c>
      <c r="U3661" t="str">
        <f t="shared" si="1504"/>
        <v>AZRAD UMAR BIN SHAARI</v>
      </c>
      <c r="V3661" t="str">
        <f t="shared" si="1505"/>
        <v>FARHANA BINTI MUSTAPA</v>
      </c>
      <c r="W3661" t="str">
        <f t="shared" si="1506"/>
        <v>04-08-2020</v>
      </c>
      <c r="X3661" t="str">
        <f t="shared" si="1507"/>
        <v>RAZIMAH ANSAR AHMAD</v>
      </c>
      <c r="Y3661" t="str">
        <f t="shared" si="1508"/>
        <v>04-08-2020</v>
      </c>
      <c r="Z3661" t="str">
        <f>"COS10200804 5293"</f>
        <v>COS10200804 5293</v>
      </c>
    </row>
    <row r="3662" spans="1:26" x14ac:dyDescent="0.25">
      <c r="A3662" t="str">
        <f t="shared" si="1494"/>
        <v>04-08-2020 12:56:45</v>
      </c>
      <c r="B3662" t="str">
        <f>"0000807280"</f>
        <v>0000807280</v>
      </c>
      <c r="C3662" t="str">
        <f t="shared" si="1495"/>
        <v>0000807188</v>
      </c>
      <c r="D3662" t="str">
        <f t="shared" si="1496"/>
        <v>73185</v>
      </c>
      <c r="E3662" t="str">
        <f t="shared" si="1497"/>
        <v>KFH-OPERATIONS DEPARTMENT</v>
      </c>
      <c r="F3662" t="str">
        <f t="shared" si="1498"/>
        <v>IBG</v>
      </c>
      <c r="G3662" t="str">
        <f t="shared" si="1509"/>
        <v>Refund COSHARE 10</v>
      </c>
      <c r="H3662" s="2">
        <v>42</v>
      </c>
      <c r="I3662" t="str">
        <f>"MAZLINA BINTI MUSTAFA"</f>
        <v>MAZLINA BINTI MUSTAFA</v>
      </c>
      <c r="J3662" t="str">
        <f t="shared" si="1485"/>
        <v>MAYBANK / MAYBANK ISLAMIC</v>
      </c>
      <c r="K3662" t="str">
        <f>"164016939463"</f>
        <v>164016939463</v>
      </c>
      <c r="L3662" t="str">
        <f t="shared" si="1492"/>
        <v>04-08-2020</v>
      </c>
      <c r="M3662" t="str">
        <f t="shared" si="1492"/>
        <v>04-08-2020</v>
      </c>
      <c r="N3662" t="str">
        <f t="shared" si="1499"/>
        <v>001105018356</v>
      </c>
      <c r="O3662" t="str">
        <f t="shared" si="1500"/>
        <v>MYR</v>
      </c>
      <c r="P3662" t="str">
        <f t="shared" si="1493"/>
        <v>NIL</v>
      </c>
      <c r="Q3662" t="str">
        <f t="shared" si="1493"/>
        <v>NIL</v>
      </c>
      <c r="R3662" t="str">
        <f t="shared" si="1501"/>
        <v>Accepted</v>
      </c>
      <c r="S3662" t="str">
        <f t="shared" si="1502"/>
        <v>Approved</v>
      </c>
      <c r="T3662" t="str">
        <f t="shared" si="1503"/>
        <v>10.20.8.188</v>
      </c>
      <c r="U3662" t="str">
        <f t="shared" si="1504"/>
        <v>AZRAD UMAR BIN SHAARI</v>
      </c>
      <c r="V3662" t="str">
        <f t="shared" si="1505"/>
        <v>FARHANA BINTI MUSTAPA</v>
      </c>
      <c r="W3662" t="str">
        <f t="shared" si="1506"/>
        <v>04-08-2020</v>
      </c>
      <c r="X3662" t="str">
        <f t="shared" si="1507"/>
        <v>RAZIMAH ANSAR AHMAD</v>
      </c>
      <c r="Y3662" t="str">
        <f t="shared" si="1508"/>
        <v>04-08-2020</v>
      </c>
      <c r="Z3662" t="str">
        <f>"COS10200804 5292"</f>
        <v>COS10200804 5292</v>
      </c>
    </row>
    <row r="3663" spans="1:26" x14ac:dyDescent="0.25">
      <c r="A3663" t="str">
        <f t="shared" si="1494"/>
        <v>04-08-2020 12:56:45</v>
      </c>
      <c r="B3663" t="str">
        <f>"0000807279"</f>
        <v>0000807279</v>
      </c>
      <c r="C3663" t="str">
        <f t="shared" si="1495"/>
        <v>0000807188</v>
      </c>
      <c r="D3663" t="str">
        <f t="shared" si="1496"/>
        <v>73185</v>
      </c>
      <c r="E3663" t="str">
        <f t="shared" si="1497"/>
        <v>KFH-OPERATIONS DEPARTMENT</v>
      </c>
      <c r="F3663" t="str">
        <f t="shared" si="1498"/>
        <v>IBG</v>
      </c>
      <c r="G3663" t="str">
        <f t="shared" si="1509"/>
        <v>Refund COSHARE 10</v>
      </c>
      <c r="H3663" s="2">
        <v>1518</v>
      </c>
      <c r="I3663" t="str">
        <f>"MAZLINA BINTI MOHD TAIB"</f>
        <v>MAZLINA BINTI MOHD TAIB</v>
      </c>
      <c r="J3663" t="str">
        <f t="shared" si="1485"/>
        <v>MAYBANK / MAYBANK ISLAMIC</v>
      </c>
      <c r="K3663" t="str">
        <f>"151098000610"</f>
        <v>151098000610</v>
      </c>
      <c r="L3663" t="str">
        <f t="shared" si="1492"/>
        <v>04-08-2020</v>
      </c>
      <c r="M3663" t="str">
        <f t="shared" si="1492"/>
        <v>04-08-2020</v>
      </c>
      <c r="N3663" t="str">
        <f t="shared" si="1499"/>
        <v>001105018356</v>
      </c>
      <c r="O3663" t="str">
        <f t="shared" si="1500"/>
        <v>MYR</v>
      </c>
      <c r="P3663" t="str">
        <f t="shared" si="1493"/>
        <v>NIL</v>
      </c>
      <c r="Q3663" t="str">
        <f t="shared" si="1493"/>
        <v>NIL</v>
      </c>
      <c r="R3663" t="str">
        <f t="shared" si="1501"/>
        <v>Accepted</v>
      </c>
      <c r="S3663" t="str">
        <f t="shared" si="1502"/>
        <v>Approved</v>
      </c>
      <c r="T3663" t="str">
        <f t="shared" si="1503"/>
        <v>10.20.8.188</v>
      </c>
      <c r="U3663" t="str">
        <f t="shared" si="1504"/>
        <v>AZRAD UMAR BIN SHAARI</v>
      </c>
      <c r="V3663" t="str">
        <f t="shared" si="1505"/>
        <v>FARHANA BINTI MUSTAPA</v>
      </c>
      <c r="W3663" t="str">
        <f t="shared" si="1506"/>
        <v>04-08-2020</v>
      </c>
      <c r="X3663" t="str">
        <f t="shared" si="1507"/>
        <v>RAZIMAH ANSAR AHMAD</v>
      </c>
      <c r="Y3663" t="str">
        <f t="shared" si="1508"/>
        <v>04-08-2020</v>
      </c>
      <c r="Z3663" t="str">
        <f>"COS10200804 5291"</f>
        <v>COS10200804 5291</v>
      </c>
    </row>
    <row r="3664" spans="1:26" x14ac:dyDescent="0.25">
      <c r="A3664" t="str">
        <f t="shared" si="1494"/>
        <v>04-08-2020 12:56:45</v>
      </c>
      <c r="B3664" t="str">
        <f>"0000807278"</f>
        <v>0000807278</v>
      </c>
      <c r="C3664" t="str">
        <f t="shared" si="1495"/>
        <v>0000807188</v>
      </c>
      <c r="D3664" t="str">
        <f t="shared" si="1496"/>
        <v>73185</v>
      </c>
      <c r="E3664" t="str">
        <f t="shared" si="1497"/>
        <v>KFH-OPERATIONS DEPARTMENT</v>
      </c>
      <c r="F3664" t="str">
        <f t="shared" si="1498"/>
        <v>IBG</v>
      </c>
      <c r="G3664" t="str">
        <f t="shared" si="1509"/>
        <v>Refund COSHARE 10</v>
      </c>
      <c r="H3664" s="2">
        <v>134.35</v>
      </c>
      <c r="I3664" t="str">
        <f>"MAZLINA BINTI MOHAMED YAHYA"</f>
        <v>MAZLINA BINTI MOHAMED YAHYA</v>
      </c>
      <c r="J3664" t="str">
        <f t="shared" si="1485"/>
        <v>MAYBANK / MAYBANK ISLAMIC</v>
      </c>
      <c r="K3664" t="str">
        <f>"158024001856"</f>
        <v>158024001856</v>
      </c>
      <c r="L3664" t="str">
        <f t="shared" si="1492"/>
        <v>04-08-2020</v>
      </c>
      <c r="M3664" t="str">
        <f t="shared" si="1492"/>
        <v>04-08-2020</v>
      </c>
      <c r="N3664" t="str">
        <f t="shared" si="1499"/>
        <v>001105018356</v>
      </c>
      <c r="O3664" t="str">
        <f t="shared" si="1500"/>
        <v>MYR</v>
      </c>
      <c r="P3664" t="str">
        <f t="shared" si="1493"/>
        <v>NIL</v>
      </c>
      <c r="Q3664" t="str">
        <f t="shared" si="1493"/>
        <v>NIL</v>
      </c>
      <c r="R3664" t="str">
        <f t="shared" si="1501"/>
        <v>Accepted</v>
      </c>
      <c r="S3664" t="str">
        <f t="shared" si="1502"/>
        <v>Approved</v>
      </c>
      <c r="T3664" t="str">
        <f t="shared" si="1503"/>
        <v>10.20.8.188</v>
      </c>
      <c r="U3664" t="str">
        <f t="shared" si="1504"/>
        <v>AZRAD UMAR BIN SHAARI</v>
      </c>
      <c r="V3664" t="str">
        <f t="shared" si="1505"/>
        <v>FARHANA BINTI MUSTAPA</v>
      </c>
      <c r="W3664" t="str">
        <f t="shared" si="1506"/>
        <v>04-08-2020</v>
      </c>
      <c r="X3664" t="str">
        <f t="shared" si="1507"/>
        <v>RAZIMAH ANSAR AHMAD</v>
      </c>
      <c r="Y3664" t="str">
        <f t="shared" si="1508"/>
        <v>04-08-2020</v>
      </c>
      <c r="Z3664" t="str">
        <f>"COS10200804 5290"</f>
        <v>COS10200804 5290</v>
      </c>
    </row>
    <row r="3665" spans="1:26" x14ac:dyDescent="0.25">
      <c r="A3665" t="str">
        <f t="shared" si="1494"/>
        <v>04-08-2020 12:56:45</v>
      </c>
      <c r="B3665" t="str">
        <f>"0000807277"</f>
        <v>0000807277</v>
      </c>
      <c r="C3665" t="str">
        <f t="shared" si="1495"/>
        <v>0000807188</v>
      </c>
      <c r="D3665" t="str">
        <f t="shared" si="1496"/>
        <v>73185</v>
      </c>
      <c r="E3665" t="str">
        <f t="shared" si="1497"/>
        <v>KFH-OPERATIONS DEPARTMENT</v>
      </c>
      <c r="F3665" t="str">
        <f t="shared" si="1498"/>
        <v>IBG</v>
      </c>
      <c r="G3665" t="str">
        <f t="shared" si="1509"/>
        <v>Refund COSHARE 10</v>
      </c>
      <c r="H3665" s="2">
        <v>1063</v>
      </c>
      <c r="I3665" t="str">
        <f>"MAZLIANA BINTI JAIS"</f>
        <v>MAZLIANA BINTI JAIS</v>
      </c>
      <c r="J3665" t="str">
        <f t="shared" ref="J3665:J3728" si="1510">"MAYBANK / MAYBANK ISLAMIC"</f>
        <v>MAYBANK / MAYBANK ISLAMIC</v>
      </c>
      <c r="K3665" t="str">
        <f>"151098416233"</f>
        <v>151098416233</v>
      </c>
      <c r="L3665" t="str">
        <f t="shared" si="1492"/>
        <v>04-08-2020</v>
      </c>
      <c r="M3665" t="str">
        <f t="shared" si="1492"/>
        <v>04-08-2020</v>
      </c>
      <c r="N3665" t="str">
        <f t="shared" si="1499"/>
        <v>001105018356</v>
      </c>
      <c r="O3665" t="str">
        <f t="shared" si="1500"/>
        <v>MYR</v>
      </c>
      <c r="P3665" t="str">
        <f t="shared" si="1493"/>
        <v>NIL</v>
      </c>
      <c r="Q3665" t="str">
        <f t="shared" si="1493"/>
        <v>NIL</v>
      </c>
      <c r="R3665" t="str">
        <f t="shared" si="1501"/>
        <v>Accepted</v>
      </c>
      <c r="S3665" t="str">
        <f t="shared" si="1502"/>
        <v>Approved</v>
      </c>
      <c r="T3665" t="str">
        <f t="shared" si="1503"/>
        <v>10.20.8.188</v>
      </c>
      <c r="U3665" t="str">
        <f t="shared" si="1504"/>
        <v>AZRAD UMAR BIN SHAARI</v>
      </c>
      <c r="V3665" t="str">
        <f t="shared" si="1505"/>
        <v>FARHANA BINTI MUSTAPA</v>
      </c>
      <c r="W3665" t="str">
        <f t="shared" si="1506"/>
        <v>04-08-2020</v>
      </c>
      <c r="X3665" t="str">
        <f t="shared" si="1507"/>
        <v>RAZIMAH ANSAR AHMAD</v>
      </c>
      <c r="Y3665" t="str">
        <f t="shared" si="1508"/>
        <v>04-08-2020</v>
      </c>
      <c r="Z3665" t="str">
        <f>"COS10200804 5289"</f>
        <v>COS10200804 5289</v>
      </c>
    </row>
    <row r="3666" spans="1:26" x14ac:dyDescent="0.25">
      <c r="A3666" t="str">
        <f t="shared" si="1494"/>
        <v>04-08-2020 12:56:45</v>
      </c>
      <c r="B3666" t="str">
        <f>"0000807276"</f>
        <v>0000807276</v>
      </c>
      <c r="C3666" t="str">
        <f t="shared" si="1495"/>
        <v>0000807188</v>
      </c>
      <c r="D3666" t="str">
        <f t="shared" si="1496"/>
        <v>73185</v>
      </c>
      <c r="E3666" t="str">
        <f t="shared" si="1497"/>
        <v>KFH-OPERATIONS DEPARTMENT</v>
      </c>
      <c r="F3666" t="str">
        <f t="shared" si="1498"/>
        <v>IBG</v>
      </c>
      <c r="G3666" t="str">
        <f t="shared" si="1509"/>
        <v>Refund COSHARE 10</v>
      </c>
      <c r="H3666" s="2">
        <v>663.2</v>
      </c>
      <c r="I3666" t="str">
        <f>"MAZLI BIN YUSOH"</f>
        <v>MAZLI BIN YUSOH</v>
      </c>
      <c r="J3666" t="str">
        <f t="shared" si="1510"/>
        <v>MAYBANK / MAYBANK ISLAMIC</v>
      </c>
      <c r="K3666" t="str">
        <f>"151061212786"</f>
        <v>151061212786</v>
      </c>
      <c r="L3666" t="str">
        <f t="shared" si="1492"/>
        <v>04-08-2020</v>
      </c>
      <c r="M3666" t="str">
        <f t="shared" si="1492"/>
        <v>04-08-2020</v>
      </c>
      <c r="N3666" t="str">
        <f t="shared" si="1499"/>
        <v>001105018356</v>
      </c>
      <c r="O3666" t="str">
        <f t="shared" si="1500"/>
        <v>MYR</v>
      </c>
      <c r="P3666" t="str">
        <f t="shared" si="1493"/>
        <v>NIL</v>
      </c>
      <c r="Q3666" t="str">
        <f t="shared" si="1493"/>
        <v>NIL</v>
      </c>
      <c r="R3666" t="str">
        <f t="shared" si="1501"/>
        <v>Accepted</v>
      </c>
      <c r="S3666" t="str">
        <f t="shared" si="1502"/>
        <v>Approved</v>
      </c>
      <c r="T3666" t="str">
        <f t="shared" si="1503"/>
        <v>10.20.8.188</v>
      </c>
      <c r="U3666" t="str">
        <f t="shared" si="1504"/>
        <v>AZRAD UMAR BIN SHAARI</v>
      </c>
      <c r="V3666" t="str">
        <f t="shared" si="1505"/>
        <v>FARHANA BINTI MUSTAPA</v>
      </c>
      <c r="W3666" t="str">
        <f t="shared" si="1506"/>
        <v>04-08-2020</v>
      </c>
      <c r="X3666" t="str">
        <f t="shared" si="1507"/>
        <v>RAZIMAH ANSAR AHMAD</v>
      </c>
      <c r="Y3666" t="str">
        <f t="shared" si="1508"/>
        <v>04-08-2020</v>
      </c>
      <c r="Z3666" t="str">
        <f>"COS10200804 5288"</f>
        <v>COS10200804 5288</v>
      </c>
    </row>
    <row r="3667" spans="1:26" x14ac:dyDescent="0.25">
      <c r="A3667" t="str">
        <f t="shared" si="1494"/>
        <v>04-08-2020 12:56:45</v>
      </c>
      <c r="B3667" t="str">
        <f>"0000807275"</f>
        <v>0000807275</v>
      </c>
      <c r="C3667" t="str">
        <f t="shared" si="1495"/>
        <v>0000807188</v>
      </c>
      <c r="D3667" t="str">
        <f t="shared" si="1496"/>
        <v>73185</v>
      </c>
      <c r="E3667" t="str">
        <f t="shared" si="1497"/>
        <v>KFH-OPERATIONS DEPARTMENT</v>
      </c>
      <c r="F3667" t="str">
        <f t="shared" si="1498"/>
        <v>IBG</v>
      </c>
      <c r="G3667" t="str">
        <f t="shared" si="1509"/>
        <v>Refund COSHARE 10</v>
      </c>
      <c r="H3667" s="2">
        <v>94.65</v>
      </c>
      <c r="I3667" t="str">
        <f>"MAZLAN BIN ZAINOL"</f>
        <v>MAZLAN BIN ZAINOL</v>
      </c>
      <c r="J3667" t="str">
        <f t="shared" si="1510"/>
        <v>MAYBANK / MAYBANK ISLAMIC</v>
      </c>
      <c r="K3667" t="str">
        <f>"114393078781"</f>
        <v>114393078781</v>
      </c>
      <c r="L3667" t="str">
        <f t="shared" ref="L3667:M3686" si="1511">"04-08-2020"</f>
        <v>04-08-2020</v>
      </c>
      <c r="M3667" t="str">
        <f t="shared" si="1511"/>
        <v>04-08-2020</v>
      </c>
      <c r="N3667" t="str">
        <f t="shared" si="1499"/>
        <v>001105018356</v>
      </c>
      <c r="O3667" t="str">
        <f t="shared" si="1500"/>
        <v>MYR</v>
      </c>
      <c r="P3667" t="str">
        <f t="shared" ref="P3667:Q3686" si="1512">"NIL"</f>
        <v>NIL</v>
      </c>
      <c r="Q3667" t="str">
        <f t="shared" si="1512"/>
        <v>NIL</v>
      </c>
      <c r="R3667" t="str">
        <f t="shared" si="1501"/>
        <v>Accepted</v>
      </c>
      <c r="S3667" t="str">
        <f t="shared" si="1502"/>
        <v>Approved</v>
      </c>
      <c r="T3667" t="str">
        <f t="shared" si="1503"/>
        <v>10.20.8.188</v>
      </c>
      <c r="U3667" t="str">
        <f t="shared" si="1504"/>
        <v>AZRAD UMAR BIN SHAARI</v>
      </c>
      <c r="V3667" t="str">
        <f t="shared" si="1505"/>
        <v>FARHANA BINTI MUSTAPA</v>
      </c>
      <c r="W3667" t="str">
        <f t="shared" si="1506"/>
        <v>04-08-2020</v>
      </c>
      <c r="X3667" t="str">
        <f t="shared" si="1507"/>
        <v>RAZIMAH ANSAR AHMAD</v>
      </c>
      <c r="Y3667" t="str">
        <f t="shared" si="1508"/>
        <v>04-08-2020</v>
      </c>
      <c r="Z3667" t="str">
        <f>"COS10200804 5287"</f>
        <v>COS10200804 5287</v>
      </c>
    </row>
    <row r="3668" spans="1:26" x14ac:dyDescent="0.25">
      <c r="A3668" t="str">
        <f t="shared" si="1494"/>
        <v>04-08-2020 12:56:45</v>
      </c>
      <c r="B3668" t="str">
        <f>"0000807274"</f>
        <v>0000807274</v>
      </c>
      <c r="C3668" t="str">
        <f t="shared" si="1495"/>
        <v>0000807188</v>
      </c>
      <c r="D3668" t="str">
        <f t="shared" si="1496"/>
        <v>73185</v>
      </c>
      <c r="E3668" t="str">
        <f t="shared" si="1497"/>
        <v>KFH-OPERATIONS DEPARTMENT</v>
      </c>
      <c r="F3668" t="str">
        <f t="shared" si="1498"/>
        <v>IBG</v>
      </c>
      <c r="G3668" t="str">
        <f t="shared" si="1509"/>
        <v>Refund COSHARE 10</v>
      </c>
      <c r="H3668" s="2">
        <v>671.6</v>
      </c>
      <c r="I3668" t="str">
        <f>"MAZLAN BIN MUSTAFA"</f>
        <v>MAZLAN BIN MUSTAFA</v>
      </c>
      <c r="J3668" t="str">
        <f t="shared" si="1510"/>
        <v>MAYBANK / MAYBANK ISLAMIC</v>
      </c>
      <c r="K3668" t="str">
        <f>"164098471132"</f>
        <v>164098471132</v>
      </c>
      <c r="L3668" t="str">
        <f t="shared" si="1511"/>
        <v>04-08-2020</v>
      </c>
      <c r="M3668" t="str">
        <f t="shared" si="1511"/>
        <v>04-08-2020</v>
      </c>
      <c r="N3668" t="str">
        <f t="shared" si="1499"/>
        <v>001105018356</v>
      </c>
      <c r="O3668" t="str">
        <f t="shared" si="1500"/>
        <v>MYR</v>
      </c>
      <c r="P3668" t="str">
        <f t="shared" si="1512"/>
        <v>NIL</v>
      </c>
      <c r="Q3668" t="str">
        <f t="shared" si="1512"/>
        <v>NIL</v>
      </c>
      <c r="R3668" t="str">
        <f t="shared" si="1501"/>
        <v>Accepted</v>
      </c>
      <c r="S3668" t="str">
        <f t="shared" si="1502"/>
        <v>Approved</v>
      </c>
      <c r="T3668" t="str">
        <f t="shared" si="1503"/>
        <v>10.20.8.188</v>
      </c>
      <c r="U3668" t="str">
        <f t="shared" si="1504"/>
        <v>AZRAD UMAR BIN SHAARI</v>
      </c>
      <c r="V3668" t="str">
        <f t="shared" si="1505"/>
        <v>FARHANA BINTI MUSTAPA</v>
      </c>
      <c r="W3668" t="str">
        <f t="shared" si="1506"/>
        <v>04-08-2020</v>
      </c>
      <c r="X3668" t="str">
        <f t="shared" si="1507"/>
        <v>RAZIMAH ANSAR AHMAD</v>
      </c>
      <c r="Y3668" t="str">
        <f t="shared" si="1508"/>
        <v>04-08-2020</v>
      </c>
      <c r="Z3668" t="str">
        <f>"COS10200804 5286"</f>
        <v>COS10200804 5286</v>
      </c>
    </row>
    <row r="3669" spans="1:26" x14ac:dyDescent="0.25">
      <c r="A3669" t="str">
        <f t="shared" si="1494"/>
        <v>04-08-2020 12:56:45</v>
      </c>
      <c r="B3669" t="str">
        <f>"0000807273"</f>
        <v>0000807273</v>
      </c>
      <c r="C3669" t="str">
        <f t="shared" si="1495"/>
        <v>0000807188</v>
      </c>
      <c r="D3669" t="str">
        <f t="shared" si="1496"/>
        <v>73185</v>
      </c>
      <c r="E3669" t="str">
        <f t="shared" si="1497"/>
        <v>KFH-OPERATIONS DEPARTMENT</v>
      </c>
      <c r="F3669" t="str">
        <f t="shared" si="1498"/>
        <v>IBG</v>
      </c>
      <c r="G3669" t="str">
        <f t="shared" si="1509"/>
        <v>Refund COSHARE 10</v>
      </c>
      <c r="H3669" s="2">
        <v>377.8</v>
      </c>
      <c r="I3669" t="str">
        <f>"MAZLAN BIN CHE MOHD GHAZALI"</f>
        <v>MAZLAN BIN CHE MOHD GHAZALI</v>
      </c>
      <c r="J3669" t="str">
        <f t="shared" si="1510"/>
        <v>MAYBANK / MAYBANK ISLAMIC</v>
      </c>
      <c r="K3669" t="str">
        <f>"158024747616"</f>
        <v>158024747616</v>
      </c>
      <c r="L3669" t="str">
        <f t="shared" si="1511"/>
        <v>04-08-2020</v>
      </c>
      <c r="M3669" t="str">
        <f t="shared" si="1511"/>
        <v>04-08-2020</v>
      </c>
      <c r="N3669" t="str">
        <f t="shared" si="1499"/>
        <v>001105018356</v>
      </c>
      <c r="O3669" t="str">
        <f t="shared" si="1500"/>
        <v>MYR</v>
      </c>
      <c r="P3669" t="str">
        <f t="shared" si="1512"/>
        <v>NIL</v>
      </c>
      <c r="Q3669" t="str">
        <f t="shared" si="1512"/>
        <v>NIL</v>
      </c>
      <c r="R3669" t="str">
        <f t="shared" si="1501"/>
        <v>Accepted</v>
      </c>
      <c r="S3669" t="str">
        <f t="shared" si="1502"/>
        <v>Approved</v>
      </c>
      <c r="T3669" t="str">
        <f t="shared" si="1503"/>
        <v>10.20.8.188</v>
      </c>
      <c r="U3669" t="str">
        <f t="shared" si="1504"/>
        <v>AZRAD UMAR BIN SHAARI</v>
      </c>
      <c r="V3669" t="str">
        <f t="shared" si="1505"/>
        <v>FARHANA BINTI MUSTAPA</v>
      </c>
      <c r="W3669" t="str">
        <f t="shared" si="1506"/>
        <v>04-08-2020</v>
      </c>
      <c r="X3669" t="str">
        <f t="shared" si="1507"/>
        <v>RAZIMAH ANSAR AHMAD</v>
      </c>
      <c r="Y3669" t="str">
        <f t="shared" si="1508"/>
        <v>04-08-2020</v>
      </c>
      <c r="Z3669" t="str">
        <f>"COS10200804 5285"</f>
        <v>COS10200804 5285</v>
      </c>
    </row>
    <row r="3670" spans="1:26" x14ac:dyDescent="0.25">
      <c r="A3670" t="str">
        <f t="shared" si="1494"/>
        <v>04-08-2020 12:56:45</v>
      </c>
      <c r="B3670" t="str">
        <f>"0000807272"</f>
        <v>0000807272</v>
      </c>
      <c r="C3670" t="str">
        <f t="shared" si="1495"/>
        <v>0000807188</v>
      </c>
      <c r="D3670" t="str">
        <f t="shared" si="1496"/>
        <v>73185</v>
      </c>
      <c r="E3670" t="str">
        <f t="shared" si="1497"/>
        <v>KFH-OPERATIONS DEPARTMENT</v>
      </c>
      <c r="F3670" t="str">
        <f t="shared" si="1498"/>
        <v>IBG</v>
      </c>
      <c r="G3670" t="str">
        <f t="shared" si="1509"/>
        <v>Refund COSHARE 10</v>
      </c>
      <c r="H3670" s="2">
        <v>815</v>
      </c>
      <c r="I3670" t="str">
        <f>"MAZITA BINTI PAAT"</f>
        <v>MAZITA BINTI PAAT</v>
      </c>
      <c r="J3670" t="str">
        <f t="shared" si="1510"/>
        <v>MAYBANK / MAYBANK ISLAMIC</v>
      </c>
      <c r="K3670" t="str">
        <f>"101066823409"</f>
        <v>101066823409</v>
      </c>
      <c r="L3670" t="str">
        <f t="shared" si="1511"/>
        <v>04-08-2020</v>
      </c>
      <c r="M3670" t="str">
        <f t="shared" si="1511"/>
        <v>04-08-2020</v>
      </c>
      <c r="N3670" t="str">
        <f t="shared" si="1499"/>
        <v>001105018356</v>
      </c>
      <c r="O3670" t="str">
        <f t="shared" si="1500"/>
        <v>MYR</v>
      </c>
      <c r="P3670" t="str">
        <f t="shared" si="1512"/>
        <v>NIL</v>
      </c>
      <c r="Q3670" t="str">
        <f t="shared" si="1512"/>
        <v>NIL</v>
      </c>
      <c r="R3670" t="str">
        <f t="shared" si="1501"/>
        <v>Accepted</v>
      </c>
      <c r="S3670" t="str">
        <f t="shared" si="1502"/>
        <v>Approved</v>
      </c>
      <c r="T3670" t="str">
        <f t="shared" si="1503"/>
        <v>10.20.8.188</v>
      </c>
      <c r="U3670" t="str">
        <f t="shared" si="1504"/>
        <v>AZRAD UMAR BIN SHAARI</v>
      </c>
      <c r="V3670" t="str">
        <f t="shared" si="1505"/>
        <v>FARHANA BINTI MUSTAPA</v>
      </c>
      <c r="W3670" t="str">
        <f t="shared" si="1506"/>
        <v>04-08-2020</v>
      </c>
      <c r="X3670" t="str">
        <f t="shared" si="1507"/>
        <v>RAZIMAH ANSAR AHMAD</v>
      </c>
      <c r="Y3670" t="str">
        <f t="shared" si="1508"/>
        <v>04-08-2020</v>
      </c>
      <c r="Z3670" t="str">
        <f>"COS10200804 5284"</f>
        <v>COS10200804 5284</v>
      </c>
    </row>
    <row r="3671" spans="1:26" x14ac:dyDescent="0.25">
      <c r="A3671" t="str">
        <f t="shared" si="1494"/>
        <v>04-08-2020 12:56:45</v>
      </c>
      <c r="B3671" t="str">
        <f>"0000807271"</f>
        <v>0000807271</v>
      </c>
      <c r="C3671" t="str">
        <f t="shared" si="1495"/>
        <v>0000807188</v>
      </c>
      <c r="D3671" t="str">
        <f t="shared" si="1496"/>
        <v>73185</v>
      </c>
      <c r="E3671" t="str">
        <f t="shared" si="1497"/>
        <v>KFH-OPERATIONS DEPARTMENT</v>
      </c>
      <c r="F3671" t="str">
        <f t="shared" si="1498"/>
        <v>IBG</v>
      </c>
      <c r="G3671" t="str">
        <f t="shared" si="1509"/>
        <v>Refund COSHARE 10</v>
      </c>
      <c r="H3671" s="2">
        <v>691</v>
      </c>
      <c r="I3671" t="str">
        <f>"MAZIDI BIN RAJAEE"</f>
        <v>MAZIDI BIN RAJAEE</v>
      </c>
      <c r="J3671" t="str">
        <f t="shared" si="1510"/>
        <v>MAYBANK / MAYBANK ISLAMIC</v>
      </c>
      <c r="K3671" t="str">
        <f>"111056276402"</f>
        <v>111056276402</v>
      </c>
      <c r="L3671" t="str">
        <f t="shared" si="1511"/>
        <v>04-08-2020</v>
      </c>
      <c r="M3671" t="str">
        <f t="shared" si="1511"/>
        <v>04-08-2020</v>
      </c>
      <c r="N3671" t="str">
        <f t="shared" si="1499"/>
        <v>001105018356</v>
      </c>
      <c r="O3671" t="str">
        <f t="shared" si="1500"/>
        <v>MYR</v>
      </c>
      <c r="P3671" t="str">
        <f t="shared" si="1512"/>
        <v>NIL</v>
      </c>
      <c r="Q3671" t="str">
        <f t="shared" si="1512"/>
        <v>NIL</v>
      </c>
      <c r="R3671" t="str">
        <f t="shared" si="1501"/>
        <v>Accepted</v>
      </c>
      <c r="S3671" t="str">
        <f t="shared" si="1502"/>
        <v>Approved</v>
      </c>
      <c r="T3671" t="str">
        <f t="shared" si="1503"/>
        <v>10.20.8.188</v>
      </c>
      <c r="U3671" t="str">
        <f t="shared" si="1504"/>
        <v>AZRAD UMAR BIN SHAARI</v>
      </c>
      <c r="V3671" t="str">
        <f t="shared" si="1505"/>
        <v>FARHANA BINTI MUSTAPA</v>
      </c>
      <c r="W3671" t="str">
        <f t="shared" si="1506"/>
        <v>04-08-2020</v>
      </c>
      <c r="X3671" t="str">
        <f t="shared" si="1507"/>
        <v>RAZIMAH ANSAR AHMAD</v>
      </c>
      <c r="Y3671" t="str">
        <f t="shared" si="1508"/>
        <v>04-08-2020</v>
      </c>
      <c r="Z3671" t="str">
        <f>"COS10200804 5283"</f>
        <v>COS10200804 5283</v>
      </c>
    </row>
    <row r="3672" spans="1:26" x14ac:dyDescent="0.25">
      <c r="A3672" t="str">
        <f t="shared" si="1494"/>
        <v>04-08-2020 12:56:45</v>
      </c>
      <c r="B3672" t="str">
        <f>"0000807270"</f>
        <v>0000807270</v>
      </c>
      <c r="C3672" t="str">
        <f t="shared" si="1495"/>
        <v>0000807188</v>
      </c>
      <c r="D3672" t="str">
        <f t="shared" si="1496"/>
        <v>73185</v>
      </c>
      <c r="E3672" t="str">
        <f t="shared" si="1497"/>
        <v>KFH-OPERATIONS DEPARTMENT</v>
      </c>
      <c r="F3672" t="str">
        <f t="shared" si="1498"/>
        <v>IBG</v>
      </c>
      <c r="G3672" t="str">
        <f t="shared" si="1509"/>
        <v>Refund COSHARE 10</v>
      </c>
      <c r="H3672" s="2">
        <v>142.75</v>
      </c>
      <c r="I3672" t="str">
        <f>"MAZIDAH BINTI MAMAT"</f>
        <v>MAZIDAH BINTI MAMAT</v>
      </c>
      <c r="J3672" t="str">
        <f t="shared" si="1510"/>
        <v>MAYBANK / MAYBANK ISLAMIC</v>
      </c>
      <c r="K3672" t="str">
        <f>"163019319231"</f>
        <v>163019319231</v>
      </c>
      <c r="L3672" t="str">
        <f t="shared" si="1511"/>
        <v>04-08-2020</v>
      </c>
      <c r="M3672" t="str">
        <f t="shared" si="1511"/>
        <v>04-08-2020</v>
      </c>
      <c r="N3672" t="str">
        <f t="shared" si="1499"/>
        <v>001105018356</v>
      </c>
      <c r="O3672" t="str">
        <f t="shared" si="1500"/>
        <v>MYR</v>
      </c>
      <c r="P3672" t="str">
        <f t="shared" si="1512"/>
        <v>NIL</v>
      </c>
      <c r="Q3672" t="str">
        <f t="shared" si="1512"/>
        <v>NIL</v>
      </c>
      <c r="R3672" t="str">
        <f t="shared" si="1501"/>
        <v>Accepted</v>
      </c>
      <c r="S3672" t="str">
        <f t="shared" si="1502"/>
        <v>Approved</v>
      </c>
      <c r="T3672" t="str">
        <f t="shared" si="1503"/>
        <v>10.20.8.188</v>
      </c>
      <c r="U3672" t="str">
        <f t="shared" si="1504"/>
        <v>AZRAD UMAR BIN SHAARI</v>
      </c>
      <c r="V3672" t="str">
        <f t="shared" si="1505"/>
        <v>FARHANA BINTI MUSTAPA</v>
      </c>
      <c r="W3672" t="str">
        <f t="shared" si="1506"/>
        <v>04-08-2020</v>
      </c>
      <c r="X3672" t="str">
        <f t="shared" si="1507"/>
        <v>RAZIMAH ANSAR AHMAD</v>
      </c>
      <c r="Y3672" t="str">
        <f t="shared" si="1508"/>
        <v>04-08-2020</v>
      </c>
      <c r="Z3672" t="str">
        <f>"COS10200804 5282"</f>
        <v>COS10200804 5282</v>
      </c>
    </row>
    <row r="3673" spans="1:26" x14ac:dyDescent="0.25">
      <c r="A3673" t="str">
        <f t="shared" si="1494"/>
        <v>04-08-2020 12:56:45</v>
      </c>
      <c r="B3673" t="str">
        <f>"0000807269"</f>
        <v>0000807269</v>
      </c>
      <c r="C3673" t="str">
        <f t="shared" si="1495"/>
        <v>0000807188</v>
      </c>
      <c r="D3673" t="str">
        <f t="shared" si="1496"/>
        <v>73185</v>
      </c>
      <c r="E3673" t="str">
        <f t="shared" si="1497"/>
        <v>KFH-OPERATIONS DEPARTMENT</v>
      </c>
      <c r="F3673" t="str">
        <f t="shared" si="1498"/>
        <v>IBG</v>
      </c>
      <c r="G3673" t="str">
        <f t="shared" si="1509"/>
        <v>Refund COSHARE 10</v>
      </c>
      <c r="H3673" s="2">
        <v>732.7</v>
      </c>
      <c r="I3673" t="str">
        <f>"MAZIAN BIN MOHAMAD ZAIN"</f>
        <v>MAZIAN BIN MOHAMAD ZAIN</v>
      </c>
      <c r="J3673" t="str">
        <f t="shared" si="1510"/>
        <v>MAYBANK / MAYBANK ISLAMIC</v>
      </c>
      <c r="K3673" t="str">
        <f>"105019864838"</f>
        <v>105019864838</v>
      </c>
      <c r="L3673" t="str">
        <f t="shared" si="1511"/>
        <v>04-08-2020</v>
      </c>
      <c r="M3673" t="str">
        <f t="shared" si="1511"/>
        <v>04-08-2020</v>
      </c>
      <c r="N3673" t="str">
        <f t="shared" si="1499"/>
        <v>001105018356</v>
      </c>
      <c r="O3673" t="str">
        <f t="shared" si="1500"/>
        <v>MYR</v>
      </c>
      <c r="P3673" t="str">
        <f t="shared" si="1512"/>
        <v>NIL</v>
      </c>
      <c r="Q3673" t="str">
        <f t="shared" si="1512"/>
        <v>NIL</v>
      </c>
      <c r="R3673" t="str">
        <f t="shared" si="1501"/>
        <v>Accepted</v>
      </c>
      <c r="S3673" t="str">
        <f t="shared" si="1502"/>
        <v>Approved</v>
      </c>
      <c r="T3673" t="str">
        <f t="shared" si="1503"/>
        <v>10.20.8.188</v>
      </c>
      <c r="U3673" t="str">
        <f t="shared" si="1504"/>
        <v>AZRAD UMAR BIN SHAARI</v>
      </c>
      <c r="V3673" t="str">
        <f t="shared" si="1505"/>
        <v>FARHANA BINTI MUSTAPA</v>
      </c>
      <c r="W3673" t="str">
        <f t="shared" si="1506"/>
        <v>04-08-2020</v>
      </c>
      <c r="X3673" t="str">
        <f t="shared" si="1507"/>
        <v>RAZIMAH ANSAR AHMAD</v>
      </c>
      <c r="Y3673" t="str">
        <f t="shared" si="1508"/>
        <v>04-08-2020</v>
      </c>
      <c r="Z3673" t="str">
        <f>"COS10200804 5281"</f>
        <v>COS10200804 5281</v>
      </c>
    </row>
    <row r="3674" spans="1:26" x14ac:dyDescent="0.25">
      <c r="A3674" t="str">
        <f t="shared" si="1494"/>
        <v>04-08-2020 12:56:45</v>
      </c>
      <c r="B3674" t="str">
        <f>"0000807268"</f>
        <v>0000807268</v>
      </c>
      <c r="C3674" t="str">
        <f t="shared" si="1495"/>
        <v>0000807188</v>
      </c>
      <c r="D3674" t="str">
        <f t="shared" si="1496"/>
        <v>73185</v>
      </c>
      <c r="E3674" t="str">
        <f t="shared" si="1497"/>
        <v>KFH-OPERATIONS DEPARTMENT</v>
      </c>
      <c r="F3674" t="str">
        <f t="shared" si="1498"/>
        <v>IBG</v>
      </c>
      <c r="G3674" t="str">
        <f t="shared" si="1509"/>
        <v>Refund COSHARE 10</v>
      </c>
      <c r="H3674" s="2">
        <v>42</v>
      </c>
      <c r="I3674" t="str">
        <f>"MAZIAHWATI BINTI TAIB"</f>
        <v>MAZIAHWATI BINTI TAIB</v>
      </c>
      <c r="J3674" t="str">
        <f t="shared" si="1510"/>
        <v>MAYBANK / MAYBANK ISLAMIC</v>
      </c>
      <c r="K3674" t="str">
        <f>"152077315302"</f>
        <v>152077315302</v>
      </c>
      <c r="L3674" t="str">
        <f t="shared" si="1511"/>
        <v>04-08-2020</v>
      </c>
      <c r="M3674" t="str">
        <f t="shared" si="1511"/>
        <v>04-08-2020</v>
      </c>
      <c r="N3674" t="str">
        <f t="shared" si="1499"/>
        <v>001105018356</v>
      </c>
      <c r="O3674" t="str">
        <f t="shared" si="1500"/>
        <v>MYR</v>
      </c>
      <c r="P3674" t="str">
        <f t="shared" si="1512"/>
        <v>NIL</v>
      </c>
      <c r="Q3674" t="str">
        <f t="shared" si="1512"/>
        <v>NIL</v>
      </c>
      <c r="R3674" t="str">
        <f t="shared" si="1501"/>
        <v>Accepted</v>
      </c>
      <c r="S3674" t="str">
        <f t="shared" si="1502"/>
        <v>Approved</v>
      </c>
      <c r="T3674" t="str">
        <f t="shared" si="1503"/>
        <v>10.20.8.188</v>
      </c>
      <c r="U3674" t="str">
        <f t="shared" si="1504"/>
        <v>AZRAD UMAR BIN SHAARI</v>
      </c>
      <c r="V3674" t="str">
        <f t="shared" si="1505"/>
        <v>FARHANA BINTI MUSTAPA</v>
      </c>
      <c r="W3674" t="str">
        <f t="shared" si="1506"/>
        <v>04-08-2020</v>
      </c>
      <c r="X3674" t="str">
        <f t="shared" si="1507"/>
        <v>RAZIMAH ANSAR AHMAD</v>
      </c>
      <c r="Y3674" t="str">
        <f t="shared" si="1508"/>
        <v>04-08-2020</v>
      </c>
      <c r="Z3674" t="str">
        <f>"COS10200804 5280"</f>
        <v>COS10200804 5280</v>
      </c>
    </row>
    <row r="3675" spans="1:26" x14ac:dyDescent="0.25">
      <c r="A3675" t="str">
        <f t="shared" si="1494"/>
        <v>04-08-2020 12:56:45</v>
      </c>
      <c r="B3675" t="str">
        <f>"0000807267"</f>
        <v>0000807267</v>
      </c>
      <c r="C3675" t="str">
        <f t="shared" si="1495"/>
        <v>0000807188</v>
      </c>
      <c r="D3675" t="str">
        <f t="shared" si="1496"/>
        <v>73185</v>
      </c>
      <c r="E3675" t="str">
        <f t="shared" si="1497"/>
        <v>KFH-OPERATIONS DEPARTMENT</v>
      </c>
      <c r="F3675" t="str">
        <f t="shared" si="1498"/>
        <v>IBG</v>
      </c>
      <c r="G3675" t="str">
        <f t="shared" si="1509"/>
        <v>Refund COSHARE 10</v>
      </c>
      <c r="H3675" s="2">
        <v>1334.8</v>
      </c>
      <c r="I3675" t="str">
        <f>"MAZIA AZURA BINTI MAZIUN"</f>
        <v>MAZIA AZURA BINTI MAZIUN</v>
      </c>
      <c r="J3675" t="str">
        <f t="shared" si="1510"/>
        <v>MAYBANK / MAYBANK ISLAMIC</v>
      </c>
      <c r="K3675" t="str">
        <f>"164481009916"</f>
        <v>164481009916</v>
      </c>
      <c r="L3675" t="str">
        <f t="shared" si="1511"/>
        <v>04-08-2020</v>
      </c>
      <c r="M3675" t="str">
        <f t="shared" si="1511"/>
        <v>04-08-2020</v>
      </c>
      <c r="N3675" t="str">
        <f t="shared" si="1499"/>
        <v>001105018356</v>
      </c>
      <c r="O3675" t="str">
        <f t="shared" si="1500"/>
        <v>MYR</v>
      </c>
      <c r="P3675" t="str">
        <f t="shared" si="1512"/>
        <v>NIL</v>
      </c>
      <c r="Q3675" t="str">
        <f t="shared" si="1512"/>
        <v>NIL</v>
      </c>
      <c r="R3675" t="str">
        <f t="shared" si="1501"/>
        <v>Accepted</v>
      </c>
      <c r="S3675" t="str">
        <f t="shared" si="1502"/>
        <v>Approved</v>
      </c>
      <c r="T3675" t="str">
        <f t="shared" si="1503"/>
        <v>10.20.8.188</v>
      </c>
      <c r="U3675" t="str">
        <f t="shared" si="1504"/>
        <v>AZRAD UMAR BIN SHAARI</v>
      </c>
      <c r="V3675" t="str">
        <f t="shared" si="1505"/>
        <v>FARHANA BINTI MUSTAPA</v>
      </c>
      <c r="W3675" t="str">
        <f t="shared" si="1506"/>
        <v>04-08-2020</v>
      </c>
      <c r="X3675" t="str">
        <f t="shared" si="1507"/>
        <v>RAZIMAH ANSAR AHMAD</v>
      </c>
      <c r="Y3675" t="str">
        <f t="shared" si="1508"/>
        <v>04-08-2020</v>
      </c>
      <c r="Z3675" t="str">
        <f>"COS10200804 5279"</f>
        <v>COS10200804 5279</v>
      </c>
    </row>
    <row r="3676" spans="1:26" x14ac:dyDescent="0.25">
      <c r="A3676" t="str">
        <f t="shared" si="1494"/>
        <v>04-08-2020 12:56:45</v>
      </c>
      <c r="B3676" t="str">
        <f>"0000807266"</f>
        <v>0000807266</v>
      </c>
      <c r="C3676" t="str">
        <f t="shared" si="1495"/>
        <v>0000807188</v>
      </c>
      <c r="D3676" t="str">
        <f t="shared" si="1496"/>
        <v>73185</v>
      </c>
      <c r="E3676" t="str">
        <f t="shared" si="1497"/>
        <v>KFH-OPERATIONS DEPARTMENT</v>
      </c>
      <c r="F3676" t="str">
        <f t="shared" si="1498"/>
        <v>IBG</v>
      </c>
      <c r="G3676" t="str">
        <f t="shared" si="1509"/>
        <v>Refund COSHARE 10</v>
      </c>
      <c r="H3676" s="2">
        <v>503.7</v>
      </c>
      <c r="I3676" t="str">
        <f>"MAZDIANA BINTI MOHDDIN"</f>
        <v>MAZDIANA BINTI MOHDDIN</v>
      </c>
      <c r="J3676" t="str">
        <f t="shared" si="1510"/>
        <v>MAYBANK / MAYBANK ISLAMIC</v>
      </c>
      <c r="K3676" t="str">
        <f>"114106006207"</f>
        <v>114106006207</v>
      </c>
      <c r="L3676" t="str">
        <f t="shared" si="1511"/>
        <v>04-08-2020</v>
      </c>
      <c r="M3676" t="str">
        <f t="shared" si="1511"/>
        <v>04-08-2020</v>
      </c>
      <c r="N3676" t="str">
        <f t="shared" si="1499"/>
        <v>001105018356</v>
      </c>
      <c r="O3676" t="str">
        <f t="shared" si="1500"/>
        <v>MYR</v>
      </c>
      <c r="P3676" t="str">
        <f t="shared" si="1512"/>
        <v>NIL</v>
      </c>
      <c r="Q3676" t="str">
        <f t="shared" si="1512"/>
        <v>NIL</v>
      </c>
      <c r="R3676" t="str">
        <f t="shared" si="1501"/>
        <v>Accepted</v>
      </c>
      <c r="S3676" t="str">
        <f t="shared" si="1502"/>
        <v>Approved</v>
      </c>
      <c r="T3676" t="str">
        <f t="shared" si="1503"/>
        <v>10.20.8.188</v>
      </c>
      <c r="U3676" t="str">
        <f t="shared" si="1504"/>
        <v>AZRAD UMAR BIN SHAARI</v>
      </c>
      <c r="V3676" t="str">
        <f t="shared" si="1505"/>
        <v>FARHANA BINTI MUSTAPA</v>
      </c>
      <c r="W3676" t="str">
        <f t="shared" si="1506"/>
        <v>04-08-2020</v>
      </c>
      <c r="X3676" t="str">
        <f t="shared" si="1507"/>
        <v>RAZIMAH ANSAR AHMAD</v>
      </c>
      <c r="Y3676" t="str">
        <f t="shared" si="1508"/>
        <v>04-08-2020</v>
      </c>
      <c r="Z3676" t="str">
        <f>"COS10200804 5278"</f>
        <v>COS10200804 5278</v>
      </c>
    </row>
    <row r="3677" spans="1:26" x14ac:dyDescent="0.25">
      <c r="A3677" t="str">
        <f t="shared" si="1494"/>
        <v>04-08-2020 12:56:45</v>
      </c>
      <c r="B3677" t="str">
        <f>"0000807265"</f>
        <v>0000807265</v>
      </c>
      <c r="C3677" t="str">
        <f t="shared" si="1495"/>
        <v>0000807188</v>
      </c>
      <c r="D3677" t="str">
        <f t="shared" si="1496"/>
        <v>73185</v>
      </c>
      <c r="E3677" t="str">
        <f t="shared" si="1497"/>
        <v>KFH-OPERATIONS DEPARTMENT</v>
      </c>
      <c r="F3677" t="str">
        <f t="shared" si="1498"/>
        <v>IBG</v>
      </c>
      <c r="G3677" t="str">
        <f t="shared" si="1509"/>
        <v>Refund COSHARE 10</v>
      </c>
      <c r="H3677" s="2">
        <v>1082.1500000000001</v>
      </c>
      <c r="I3677" t="str">
        <f>"MAZDALINA BINTI MAT DESA"</f>
        <v>MAZDALINA BINTI MAT DESA</v>
      </c>
      <c r="J3677" t="str">
        <f t="shared" si="1510"/>
        <v>MAYBANK / MAYBANK ISLAMIC</v>
      </c>
      <c r="K3677" t="str">
        <f>"164016914627"</f>
        <v>164016914627</v>
      </c>
      <c r="L3677" t="str">
        <f t="shared" si="1511"/>
        <v>04-08-2020</v>
      </c>
      <c r="M3677" t="str">
        <f t="shared" si="1511"/>
        <v>04-08-2020</v>
      </c>
      <c r="N3677" t="str">
        <f t="shared" si="1499"/>
        <v>001105018356</v>
      </c>
      <c r="O3677" t="str">
        <f t="shared" si="1500"/>
        <v>MYR</v>
      </c>
      <c r="P3677" t="str">
        <f t="shared" si="1512"/>
        <v>NIL</v>
      </c>
      <c r="Q3677" t="str">
        <f t="shared" si="1512"/>
        <v>NIL</v>
      </c>
      <c r="R3677" t="str">
        <f t="shared" si="1501"/>
        <v>Accepted</v>
      </c>
      <c r="S3677" t="str">
        <f t="shared" si="1502"/>
        <v>Approved</v>
      </c>
      <c r="T3677" t="str">
        <f t="shared" si="1503"/>
        <v>10.20.8.188</v>
      </c>
      <c r="U3677" t="str">
        <f t="shared" si="1504"/>
        <v>AZRAD UMAR BIN SHAARI</v>
      </c>
      <c r="V3677" t="str">
        <f t="shared" si="1505"/>
        <v>FARHANA BINTI MUSTAPA</v>
      </c>
      <c r="W3677" t="str">
        <f t="shared" si="1506"/>
        <v>04-08-2020</v>
      </c>
      <c r="X3677" t="str">
        <f t="shared" si="1507"/>
        <v>RAZIMAH ANSAR AHMAD</v>
      </c>
      <c r="Y3677" t="str">
        <f t="shared" si="1508"/>
        <v>04-08-2020</v>
      </c>
      <c r="Z3677" t="str">
        <f>"COS10200804 5277"</f>
        <v>COS10200804 5277</v>
      </c>
    </row>
    <row r="3678" spans="1:26" x14ac:dyDescent="0.25">
      <c r="A3678" t="str">
        <f t="shared" si="1494"/>
        <v>04-08-2020 12:56:45</v>
      </c>
      <c r="B3678" t="str">
        <f>"0000807264"</f>
        <v>0000807264</v>
      </c>
      <c r="C3678" t="str">
        <f t="shared" si="1495"/>
        <v>0000807188</v>
      </c>
      <c r="D3678" t="str">
        <f t="shared" si="1496"/>
        <v>73185</v>
      </c>
      <c r="E3678" t="str">
        <f t="shared" si="1497"/>
        <v>KFH-OPERATIONS DEPARTMENT</v>
      </c>
      <c r="F3678" t="str">
        <f t="shared" si="1498"/>
        <v>IBG</v>
      </c>
      <c r="G3678" t="str">
        <f t="shared" si="1509"/>
        <v>Refund COSHARE 10</v>
      </c>
      <c r="H3678" s="2">
        <v>671.6</v>
      </c>
      <c r="I3678" t="str">
        <f>"MAZANI BIN ABDUL KADIR"</f>
        <v>MAZANI BIN ABDUL KADIR</v>
      </c>
      <c r="J3678" t="str">
        <f t="shared" si="1510"/>
        <v>MAYBANK / MAYBANK ISLAMIC</v>
      </c>
      <c r="K3678" t="str">
        <f>"162124274868"</f>
        <v>162124274868</v>
      </c>
      <c r="L3678" t="str">
        <f t="shared" si="1511"/>
        <v>04-08-2020</v>
      </c>
      <c r="M3678" t="str">
        <f t="shared" si="1511"/>
        <v>04-08-2020</v>
      </c>
      <c r="N3678" t="str">
        <f t="shared" si="1499"/>
        <v>001105018356</v>
      </c>
      <c r="O3678" t="str">
        <f t="shared" si="1500"/>
        <v>MYR</v>
      </c>
      <c r="P3678" t="str">
        <f t="shared" si="1512"/>
        <v>NIL</v>
      </c>
      <c r="Q3678" t="str">
        <f t="shared" si="1512"/>
        <v>NIL</v>
      </c>
      <c r="R3678" t="str">
        <f t="shared" si="1501"/>
        <v>Accepted</v>
      </c>
      <c r="S3678" t="str">
        <f t="shared" si="1502"/>
        <v>Approved</v>
      </c>
      <c r="T3678" t="str">
        <f t="shared" si="1503"/>
        <v>10.20.8.188</v>
      </c>
      <c r="U3678" t="str">
        <f t="shared" si="1504"/>
        <v>AZRAD UMAR BIN SHAARI</v>
      </c>
      <c r="V3678" t="str">
        <f t="shared" si="1505"/>
        <v>FARHANA BINTI MUSTAPA</v>
      </c>
      <c r="W3678" t="str">
        <f t="shared" si="1506"/>
        <v>04-08-2020</v>
      </c>
      <c r="X3678" t="str">
        <f t="shared" si="1507"/>
        <v>RAZIMAH ANSAR AHMAD</v>
      </c>
      <c r="Y3678" t="str">
        <f t="shared" si="1508"/>
        <v>04-08-2020</v>
      </c>
      <c r="Z3678" t="str">
        <f>"COS10200804 5276"</f>
        <v>COS10200804 5276</v>
      </c>
    </row>
    <row r="3679" spans="1:26" x14ac:dyDescent="0.25">
      <c r="A3679" t="str">
        <f t="shared" si="1494"/>
        <v>04-08-2020 12:56:45</v>
      </c>
      <c r="B3679" t="str">
        <f>"0000807263"</f>
        <v>0000807263</v>
      </c>
      <c r="C3679" t="str">
        <f t="shared" si="1495"/>
        <v>0000807188</v>
      </c>
      <c r="D3679" t="str">
        <f t="shared" si="1496"/>
        <v>73185</v>
      </c>
      <c r="E3679" t="str">
        <f t="shared" si="1497"/>
        <v>KFH-OPERATIONS DEPARTMENT</v>
      </c>
      <c r="F3679" t="str">
        <f t="shared" si="1498"/>
        <v>IBG</v>
      </c>
      <c r="G3679" t="str">
        <f t="shared" si="1509"/>
        <v>Refund COSHARE 10</v>
      </c>
      <c r="H3679" s="2">
        <v>554.1</v>
      </c>
      <c r="I3679" t="str">
        <f>"MAU HAN KEE"</f>
        <v>MAU HAN KEE</v>
      </c>
      <c r="J3679" t="str">
        <f t="shared" si="1510"/>
        <v>MAYBANK / MAYBANK ISLAMIC</v>
      </c>
      <c r="K3679" t="str">
        <f>"159021046735"</f>
        <v>159021046735</v>
      </c>
      <c r="L3679" t="str">
        <f t="shared" si="1511"/>
        <v>04-08-2020</v>
      </c>
      <c r="M3679" t="str">
        <f t="shared" si="1511"/>
        <v>04-08-2020</v>
      </c>
      <c r="N3679" t="str">
        <f t="shared" si="1499"/>
        <v>001105018356</v>
      </c>
      <c r="O3679" t="str">
        <f t="shared" si="1500"/>
        <v>MYR</v>
      </c>
      <c r="P3679" t="str">
        <f t="shared" si="1512"/>
        <v>NIL</v>
      </c>
      <c r="Q3679" t="str">
        <f t="shared" si="1512"/>
        <v>NIL</v>
      </c>
      <c r="R3679" t="str">
        <f t="shared" si="1501"/>
        <v>Accepted</v>
      </c>
      <c r="S3679" t="str">
        <f t="shared" si="1502"/>
        <v>Approved</v>
      </c>
      <c r="T3679" t="str">
        <f t="shared" si="1503"/>
        <v>10.20.8.188</v>
      </c>
      <c r="U3679" t="str">
        <f t="shared" si="1504"/>
        <v>AZRAD UMAR BIN SHAARI</v>
      </c>
      <c r="V3679" t="str">
        <f t="shared" si="1505"/>
        <v>FARHANA BINTI MUSTAPA</v>
      </c>
      <c r="W3679" t="str">
        <f t="shared" si="1506"/>
        <v>04-08-2020</v>
      </c>
      <c r="X3679" t="str">
        <f t="shared" si="1507"/>
        <v>RAZIMAH ANSAR AHMAD</v>
      </c>
      <c r="Y3679" t="str">
        <f t="shared" si="1508"/>
        <v>04-08-2020</v>
      </c>
      <c r="Z3679" t="str">
        <f>"COS10200804 5275"</f>
        <v>COS10200804 5275</v>
      </c>
    </row>
    <row r="3680" spans="1:26" x14ac:dyDescent="0.25">
      <c r="A3680" t="str">
        <f t="shared" si="1494"/>
        <v>04-08-2020 12:56:45</v>
      </c>
      <c r="B3680" t="str">
        <f>"0000807262"</f>
        <v>0000807262</v>
      </c>
      <c r="C3680" t="str">
        <f t="shared" si="1495"/>
        <v>0000807188</v>
      </c>
      <c r="D3680" t="str">
        <f t="shared" si="1496"/>
        <v>73185</v>
      </c>
      <c r="E3680" t="str">
        <f t="shared" si="1497"/>
        <v>KFH-OPERATIONS DEPARTMENT</v>
      </c>
      <c r="F3680" t="str">
        <f t="shared" si="1498"/>
        <v>IBG</v>
      </c>
      <c r="G3680" t="str">
        <f t="shared" si="1509"/>
        <v>Refund COSHARE 10</v>
      </c>
      <c r="H3680" s="2">
        <v>922.5</v>
      </c>
      <c r="I3680" t="str">
        <f>"MATIUS MALASI"</f>
        <v>MATIUS MALASI</v>
      </c>
      <c r="J3680" t="str">
        <f t="shared" si="1510"/>
        <v>MAYBANK / MAYBANK ISLAMIC</v>
      </c>
      <c r="K3680" t="str">
        <f>"110032049449"</f>
        <v>110032049449</v>
      </c>
      <c r="L3680" t="str">
        <f t="shared" si="1511"/>
        <v>04-08-2020</v>
      </c>
      <c r="M3680" t="str">
        <f t="shared" si="1511"/>
        <v>04-08-2020</v>
      </c>
      <c r="N3680" t="str">
        <f t="shared" si="1499"/>
        <v>001105018356</v>
      </c>
      <c r="O3680" t="str">
        <f t="shared" si="1500"/>
        <v>MYR</v>
      </c>
      <c r="P3680" t="str">
        <f t="shared" si="1512"/>
        <v>NIL</v>
      </c>
      <c r="Q3680" t="str">
        <f t="shared" si="1512"/>
        <v>NIL</v>
      </c>
      <c r="R3680" t="str">
        <f t="shared" si="1501"/>
        <v>Accepted</v>
      </c>
      <c r="S3680" t="str">
        <f t="shared" si="1502"/>
        <v>Approved</v>
      </c>
      <c r="T3680" t="str">
        <f t="shared" si="1503"/>
        <v>10.20.8.188</v>
      </c>
      <c r="U3680" t="str">
        <f t="shared" si="1504"/>
        <v>AZRAD UMAR BIN SHAARI</v>
      </c>
      <c r="V3680" t="str">
        <f t="shared" si="1505"/>
        <v>FARHANA BINTI MUSTAPA</v>
      </c>
      <c r="W3680" t="str">
        <f t="shared" si="1506"/>
        <v>04-08-2020</v>
      </c>
      <c r="X3680" t="str">
        <f t="shared" si="1507"/>
        <v>RAZIMAH ANSAR AHMAD</v>
      </c>
      <c r="Y3680" t="str">
        <f t="shared" si="1508"/>
        <v>04-08-2020</v>
      </c>
      <c r="Z3680" t="str">
        <f>"COS10200804 5274"</f>
        <v>COS10200804 5274</v>
      </c>
    </row>
    <row r="3681" spans="1:26" x14ac:dyDescent="0.25">
      <c r="A3681" t="str">
        <f t="shared" si="1494"/>
        <v>04-08-2020 12:56:45</v>
      </c>
      <c r="B3681" t="str">
        <f>"0000807261"</f>
        <v>0000807261</v>
      </c>
      <c r="C3681" t="str">
        <f t="shared" si="1495"/>
        <v>0000807188</v>
      </c>
      <c r="D3681" t="str">
        <f t="shared" si="1496"/>
        <v>73185</v>
      </c>
      <c r="E3681" t="str">
        <f t="shared" si="1497"/>
        <v>KFH-OPERATIONS DEPARTMENT</v>
      </c>
      <c r="F3681" t="str">
        <f t="shared" si="1498"/>
        <v>IBG</v>
      </c>
      <c r="G3681" t="str">
        <f t="shared" si="1509"/>
        <v>Refund COSHARE 10</v>
      </c>
      <c r="H3681" s="2">
        <v>1511.1</v>
      </c>
      <c r="I3681" t="str">
        <f>"MATHUSUTHANAN AL KALIMUTHU"</f>
        <v>MATHUSUTHANAN AL KALIMUTHU</v>
      </c>
      <c r="J3681" t="str">
        <f t="shared" si="1510"/>
        <v>MAYBANK / MAYBANK ISLAMIC</v>
      </c>
      <c r="K3681" t="str">
        <f>"108208040649"</f>
        <v>108208040649</v>
      </c>
      <c r="L3681" t="str">
        <f t="shared" si="1511"/>
        <v>04-08-2020</v>
      </c>
      <c r="M3681" t="str">
        <f t="shared" si="1511"/>
        <v>04-08-2020</v>
      </c>
      <c r="N3681" t="str">
        <f t="shared" si="1499"/>
        <v>001105018356</v>
      </c>
      <c r="O3681" t="str">
        <f t="shared" si="1500"/>
        <v>MYR</v>
      </c>
      <c r="P3681" t="str">
        <f t="shared" si="1512"/>
        <v>NIL</v>
      </c>
      <c r="Q3681" t="str">
        <f t="shared" si="1512"/>
        <v>NIL</v>
      </c>
      <c r="R3681" t="str">
        <f t="shared" si="1501"/>
        <v>Accepted</v>
      </c>
      <c r="S3681" t="str">
        <f t="shared" si="1502"/>
        <v>Approved</v>
      </c>
      <c r="T3681" t="str">
        <f t="shared" si="1503"/>
        <v>10.20.8.188</v>
      </c>
      <c r="U3681" t="str">
        <f t="shared" si="1504"/>
        <v>AZRAD UMAR BIN SHAARI</v>
      </c>
      <c r="V3681" t="str">
        <f t="shared" si="1505"/>
        <v>FARHANA BINTI MUSTAPA</v>
      </c>
      <c r="W3681" t="str">
        <f t="shared" si="1506"/>
        <v>04-08-2020</v>
      </c>
      <c r="X3681" t="str">
        <f t="shared" si="1507"/>
        <v>RAZIMAH ANSAR AHMAD</v>
      </c>
      <c r="Y3681" t="str">
        <f t="shared" si="1508"/>
        <v>04-08-2020</v>
      </c>
      <c r="Z3681" t="str">
        <f>"COS10200804 5273"</f>
        <v>COS10200804 5273</v>
      </c>
    </row>
    <row r="3682" spans="1:26" x14ac:dyDescent="0.25">
      <c r="A3682" t="str">
        <f t="shared" ref="A3682:A3713" si="1513">"04-08-2020 12:56:45"</f>
        <v>04-08-2020 12:56:45</v>
      </c>
      <c r="B3682" t="str">
        <f>"0000807260"</f>
        <v>0000807260</v>
      </c>
      <c r="C3682" t="str">
        <f t="shared" ref="C3682:C3713" si="1514">"0000807188"</f>
        <v>0000807188</v>
      </c>
      <c r="D3682" t="str">
        <f t="shared" si="1496"/>
        <v>73185</v>
      </c>
      <c r="E3682" t="str">
        <f t="shared" si="1497"/>
        <v>KFH-OPERATIONS DEPARTMENT</v>
      </c>
      <c r="F3682" t="str">
        <f t="shared" si="1498"/>
        <v>IBG</v>
      </c>
      <c r="G3682" t="str">
        <f t="shared" si="1509"/>
        <v>Refund COSHARE 10</v>
      </c>
      <c r="H3682" s="2">
        <v>236.65</v>
      </c>
      <c r="I3682" t="str">
        <f>"MAT SEDI BIN YUNUS"</f>
        <v>MAT SEDI BIN YUNUS</v>
      </c>
      <c r="J3682" t="str">
        <f t="shared" si="1510"/>
        <v>MAYBANK / MAYBANK ISLAMIC</v>
      </c>
      <c r="K3682" t="str">
        <f>"103024316926"</f>
        <v>103024316926</v>
      </c>
      <c r="L3682" t="str">
        <f t="shared" si="1511"/>
        <v>04-08-2020</v>
      </c>
      <c r="M3682" t="str">
        <f t="shared" si="1511"/>
        <v>04-08-2020</v>
      </c>
      <c r="N3682" t="str">
        <f t="shared" si="1499"/>
        <v>001105018356</v>
      </c>
      <c r="O3682" t="str">
        <f t="shared" si="1500"/>
        <v>MYR</v>
      </c>
      <c r="P3682" t="str">
        <f t="shared" si="1512"/>
        <v>NIL</v>
      </c>
      <c r="Q3682" t="str">
        <f t="shared" si="1512"/>
        <v>NIL</v>
      </c>
      <c r="R3682" t="str">
        <f t="shared" si="1501"/>
        <v>Accepted</v>
      </c>
      <c r="S3682" t="str">
        <f t="shared" si="1502"/>
        <v>Approved</v>
      </c>
      <c r="T3682" t="str">
        <f t="shared" si="1503"/>
        <v>10.20.8.188</v>
      </c>
      <c r="U3682" t="str">
        <f t="shared" si="1504"/>
        <v>AZRAD UMAR BIN SHAARI</v>
      </c>
      <c r="V3682" t="str">
        <f t="shared" si="1505"/>
        <v>FARHANA BINTI MUSTAPA</v>
      </c>
      <c r="W3682" t="str">
        <f t="shared" si="1506"/>
        <v>04-08-2020</v>
      </c>
      <c r="X3682" t="str">
        <f t="shared" si="1507"/>
        <v>RAZIMAH ANSAR AHMAD</v>
      </c>
      <c r="Y3682" t="str">
        <f t="shared" si="1508"/>
        <v>04-08-2020</v>
      </c>
      <c r="Z3682" t="str">
        <f>"COS10200804 5272"</f>
        <v>COS10200804 5272</v>
      </c>
    </row>
    <row r="3683" spans="1:26" x14ac:dyDescent="0.25">
      <c r="A3683" t="str">
        <f t="shared" si="1513"/>
        <v>04-08-2020 12:56:45</v>
      </c>
      <c r="B3683" t="str">
        <f>"0000807259"</f>
        <v>0000807259</v>
      </c>
      <c r="C3683" t="str">
        <f t="shared" si="1514"/>
        <v>0000807188</v>
      </c>
      <c r="D3683" t="str">
        <f t="shared" si="1496"/>
        <v>73185</v>
      </c>
      <c r="E3683" t="str">
        <f t="shared" si="1497"/>
        <v>KFH-OPERATIONS DEPARTMENT</v>
      </c>
      <c r="F3683" t="str">
        <f t="shared" si="1498"/>
        <v>IBG</v>
      </c>
      <c r="G3683" t="str">
        <f t="shared" si="1509"/>
        <v>Refund COSHARE 10</v>
      </c>
      <c r="H3683" s="2">
        <v>939.6</v>
      </c>
      <c r="I3683" t="str">
        <f>"MAT RAZI BIN ISMAIL"</f>
        <v>MAT RAZI BIN ISMAIL</v>
      </c>
      <c r="J3683" t="str">
        <f t="shared" si="1510"/>
        <v>MAYBANK / MAYBANK ISLAMIC</v>
      </c>
      <c r="K3683" t="str">
        <f>"153065004702"</f>
        <v>153065004702</v>
      </c>
      <c r="L3683" t="str">
        <f t="shared" si="1511"/>
        <v>04-08-2020</v>
      </c>
      <c r="M3683" t="str">
        <f t="shared" si="1511"/>
        <v>04-08-2020</v>
      </c>
      <c r="N3683" t="str">
        <f t="shared" si="1499"/>
        <v>001105018356</v>
      </c>
      <c r="O3683" t="str">
        <f t="shared" si="1500"/>
        <v>MYR</v>
      </c>
      <c r="P3683" t="str">
        <f t="shared" si="1512"/>
        <v>NIL</v>
      </c>
      <c r="Q3683" t="str">
        <f t="shared" si="1512"/>
        <v>NIL</v>
      </c>
      <c r="R3683" t="str">
        <f t="shared" si="1501"/>
        <v>Accepted</v>
      </c>
      <c r="S3683" t="str">
        <f t="shared" si="1502"/>
        <v>Approved</v>
      </c>
      <c r="T3683" t="str">
        <f t="shared" si="1503"/>
        <v>10.20.8.188</v>
      </c>
      <c r="U3683" t="str">
        <f t="shared" si="1504"/>
        <v>AZRAD UMAR BIN SHAARI</v>
      </c>
      <c r="V3683" t="str">
        <f t="shared" si="1505"/>
        <v>FARHANA BINTI MUSTAPA</v>
      </c>
      <c r="W3683" t="str">
        <f t="shared" si="1506"/>
        <v>04-08-2020</v>
      </c>
      <c r="X3683" t="str">
        <f t="shared" si="1507"/>
        <v>RAZIMAH ANSAR AHMAD</v>
      </c>
      <c r="Y3683" t="str">
        <f t="shared" si="1508"/>
        <v>04-08-2020</v>
      </c>
      <c r="Z3683" t="str">
        <f>"COS10200804 5271"</f>
        <v>COS10200804 5271</v>
      </c>
    </row>
    <row r="3684" spans="1:26" x14ac:dyDescent="0.25">
      <c r="A3684" t="str">
        <f t="shared" si="1513"/>
        <v>04-08-2020 12:56:45</v>
      </c>
      <c r="B3684" t="str">
        <f>"0000807258"</f>
        <v>0000807258</v>
      </c>
      <c r="C3684" t="str">
        <f t="shared" si="1514"/>
        <v>0000807188</v>
      </c>
      <c r="D3684" t="str">
        <f t="shared" si="1496"/>
        <v>73185</v>
      </c>
      <c r="E3684" t="str">
        <f t="shared" si="1497"/>
        <v>KFH-OPERATIONS DEPARTMENT</v>
      </c>
      <c r="F3684" t="str">
        <f t="shared" si="1498"/>
        <v>IBG</v>
      </c>
      <c r="G3684" t="str">
        <f t="shared" si="1509"/>
        <v>Refund COSHARE 10</v>
      </c>
      <c r="H3684" s="2">
        <v>539.54999999999995</v>
      </c>
      <c r="I3684" t="str">
        <f>"MAT PIAH BIN MOHD ALI"</f>
        <v>MAT PIAH BIN MOHD ALI</v>
      </c>
      <c r="J3684" t="str">
        <f t="shared" si="1510"/>
        <v>MAYBANK / MAYBANK ISLAMIC</v>
      </c>
      <c r="K3684" t="str">
        <f>"156012139534"</f>
        <v>156012139534</v>
      </c>
      <c r="L3684" t="str">
        <f t="shared" si="1511"/>
        <v>04-08-2020</v>
      </c>
      <c r="M3684" t="str">
        <f t="shared" si="1511"/>
        <v>04-08-2020</v>
      </c>
      <c r="N3684" t="str">
        <f t="shared" si="1499"/>
        <v>001105018356</v>
      </c>
      <c r="O3684" t="str">
        <f t="shared" si="1500"/>
        <v>MYR</v>
      </c>
      <c r="P3684" t="str">
        <f t="shared" si="1512"/>
        <v>NIL</v>
      </c>
      <c r="Q3684" t="str">
        <f t="shared" si="1512"/>
        <v>NIL</v>
      </c>
      <c r="R3684" t="str">
        <f t="shared" si="1501"/>
        <v>Accepted</v>
      </c>
      <c r="S3684" t="str">
        <f t="shared" si="1502"/>
        <v>Approved</v>
      </c>
      <c r="T3684" t="str">
        <f t="shared" si="1503"/>
        <v>10.20.8.188</v>
      </c>
      <c r="U3684" t="str">
        <f t="shared" si="1504"/>
        <v>AZRAD UMAR BIN SHAARI</v>
      </c>
      <c r="V3684" t="str">
        <f t="shared" si="1505"/>
        <v>FARHANA BINTI MUSTAPA</v>
      </c>
      <c r="W3684" t="str">
        <f t="shared" si="1506"/>
        <v>04-08-2020</v>
      </c>
      <c r="X3684" t="str">
        <f t="shared" si="1507"/>
        <v>RAZIMAH ANSAR AHMAD</v>
      </c>
      <c r="Y3684" t="str">
        <f t="shared" si="1508"/>
        <v>04-08-2020</v>
      </c>
      <c r="Z3684" t="str">
        <f>"COS10200804 5270"</f>
        <v>COS10200804 5270</v>
      </c>
    </row>
    <row r="3685" spans="1:26" x14ac:dyDescent="0.25">
      <c r="A3685" t="str">
        <f t="shared" si="1513"/>
        <v>04-08-2020 12:56:45</v>
      </c>
      <c r="B3685" t="str">
        <f>"0000807257"</f>
        <v>0000807257</v>
      </c>
      <c r="C3685" t="str">
        <f t="shared" si="1514"/>
        <v>0000807188</v>
      </c>
      <c r="D3685" t="str">
        <f t="shared" si="1496"/>
        <v>73185</v>
      </c>
      <c r="E3685" t="str">
        <f t="shared" si="1497"/>
        <v>KFH-OPERATIONS DEPARTMENT</v>
      </c>
      <c r="F3685" t="str">
        <f t="shared" si="1498"/>
        <v>IBG</v>
      </c>
      <c r="G3685" t="str">
        <f t="shared" si="1509"/>
        <v>Refund COSHARE 10</v>
      </c>
      <c r="H3685" s="2">
        <v>785.85</v>
      </c>
      <c r="I3685" t="str">
        <f>"MAT LAZIM BIN YAAKUB"</f>
        <v>MAT LAZIM BIN YAAKUB</v>
      </c>
      <c r="J3685" t="str">
        <f t="shared" si="1510"/>
        <v>MAYBANK / MAYBANK ISLAMIC</v>
      </c>
      <c r="K3685" t="str">
        <f>"155126979595"</f>
        <v>155126979595</v>
      </c>
      <c r="L3685" t="str">
        <f t="shared" si="1511"/>
        <v>04-08-2020</v>
      </c>
      <c r="M3685" t="str">
        <f t="shared" si="1511"/>
        <v>04-08-2020</v>
      </c>
      <c r="N3685" t="str">
        <f t="shared" si="1499"/>
        <v>001105018356</v>
      </c>
      <c r="O3685" t="str">
        <f t="shared" si="1500"/>
        <v>MYR</v>
      </c>
      <c r="P3685" t="str">
        <f t="shared" si="1512"/>
        <v>NIL</v>
      </c>
      <c r="Q3685" t="str">
        <f t="shared" si="1512"/>
        <v>NIL</v>
      </c>
      <c r="R3685" t="str">
        <f t="shared" si="1501"/>
        <v>Accepted</v>
      </c>
      <c r="S3685" t="str">
        <f t="shared" si="1502"/>
        <v>Approved</v>
      </c>
      <c r="T3685" t="str">
        <f t="shared" si="1503"/>
        <v>10.20.8.188</v>
      </c>
      <c r="U3685" t="str">
        <f t="shared" si="1504"/>
        <v>AZRAD UMAR BIN SHAARI</v>
      </c>
      <c r="V3685" t="str">
        <f t="shared" si="1505"/>
        <v>FARHANA BINTI MUSTAPA</v>
      </c>
      <c r="W3685" t="str">
        <f t="shared" si="1506"/>
        <v>04-08-2020</v>
      </c>
      <c r="X3685" t="str">
        <f t="shared" si="1507"/>
        <v>RAZIMAH ANSAR AHMAD</v>
      </c>
      <c r="Y3685" t="str">
        <f t="shared" si="1508"/>
        <v>04-08-2020</v>
      </c>
      <c r="Z3685" t="str">
        <f>"COS10200804 5269"</f>
        <v>COS10200804 5269</v>
      </c>
    </row>
    <row r="3686" spans="1:26" x14ac:dyDescent="0.25">
      <c r="A3686" t="str">
        <f t="shared" si="1513"/>
        <v>04-08-2020 12:56:45</v>
      </c>
      <c r="B3686" t="str">
        <f>"0000807256"</f>
        <v>0000807256</v>
      </c>
      <c r="C3686" t="str">
        <f t="shared" si="1514"/>
        <v>0000807188</v>
      </c>
      <c r="D3686" t="str">
        <f t="shared" si="1496"/>
        <v>73185</v>
      </c>
      <c r="E3686" t="str">
        <f t="shared" si="1497"/>
        <v>KFH-OPERATIONS DEPARTMENT</v>
      </c>
      <c r="F3686" t="str">
        <f t="shared" si="1498"/>
        <v>IBG</v>
      </c>
      <c r="G3686" t="str">
        <f t="shared" si="1509"/>
        <v>Refund COSHARE 10</v>
      </c>
      <c r="H3686" s="2">
        <v>1763.55</v>
      </c>
      <c r="I3686" t="str">
        <f>"MAT KASIM BIN TALIB"</f>
        <v>MAT KASIM BIN TALIB</v>
      </c>
      <c r="J3686" t="str">
        <f t="shared" si="1510"/>
        <v>MAYBANK / MAYBANK ISLAMIC</v>
      </c>
      <c r="K3686" t="str">
        <f>"109035027480"</f>
        <v>109035027480</v>
      </c>
      <c r="L3686" t="str">
        <f t="shared" si="1511"/>
        <v>04-08-2020</v>
      </c>
      <c r="M3686" t="str">
        <f t="shared" si="1511"/>
        <v>04-08-2020</v>
      </c>
      <c r="N3686" t="str">
        <f t="shared" si="1499"/>
        <v>001105018356</v>
      </c>
      <c r="O3686" t="str">
        <f t="shared" si="1500"/>
        <v>MYR</v>
      </c>
      <c r="P3686" t="str">
        <f t="shared" si="1512"/>
        <v>NIL</v>
      </c>
      <c r="Q3686" t="str">
        <f t="shared" si="1512"/>
        <v>NIL</v>
      </c>
      <c r="R3686" t="str">
        <f t="shared" si="1501"/>
        <v>Accepted</v>
      </c>
      <c r="S3686" t="str">
        <f t="shared" si="1502"/>
        <v>Approved</v>
      </c>
      <c r="T3686" t="str">
        <f t="shared" si="1503"/>
        <v>10.20.8.188</v>
      </c>
      <c r="U3686" t="str">
        <f t="shared" si="1504"/>
        <v>AZRAD UMAR BIN SHAARI</v>
      </c>
      <c r="V3686" t="str">
        <f t="shared" si="1505"/>
        <v>FARHANA BINTI MUSTAPA</v>
      </c>
      <c r="W3686" t="str">
        <f t="shared" si="1506"/>
        <v>04-08-2020</v>
      </c>
      <c r="X3686" t="str">
        <f t="shared" si="1507"/>
        <v>RAZIMAH ANSAR AHMAD</v>
      </c>
      <c r="Y3686" t="str">
        <f t="shared" si="1508"/>
        <v>04-08-2020</v>
      </c>
      <c r="Z3686" t="str">
        <f>"COS10200804 5268"</f>
        <v>COS10200804 5268</v>
      </c>
    </row>
    <row r="3687" spans="1:26" x14ac:dyDescent="0.25">
      <c r="A3687" t="str">
        <f t="shared" si="1513"/>
        <v>04-08-2020 12:56:45</v>
      </c>
      <c r="B3687" t="str">
        <f>"0000807255"</f>
        <v>0000807255</v>
      </c>
      <c r="C3687" t="str">
        <f t="shared" si="1514"/>
        <v>0000807188</v>
      </c>
      <c r="D3687" t="str">
        <f t="shared" si="1496"/>
        <v>73185</v>
      </c>
      <c r="E3687" t="str">
        <f t="shared" si="1497"/>
        <v>KFH-OPERATIONS DEPARTMENT</v>
      </c>
      <c r="F3687" t="str">
        <f t="shared" si="1498"/>
        <v>IBG</v>
      </c>
      <c r="G3687" t="str">
        <f t="shared" si="1509"/>
        <v>Refund COSHARE 10</v>
      </c>
      <c r="H3687" s="2">
        <v>304.55</v>
      </c>
      <c r="I3687" t="str">
        <f>"MAT ISA BIN CHE OMAR"</f>
        <v>MAT ISA BIN CHE OMAR</v>
      </c>
      <c r="J3687" t="str">
        <f t="shared" si="1510"/>
        <v>MAYBANK / MAYBANK ISLAMIC</v>
      </c>
      <c r="K3687" t="str">
        <f>"152031400513"</f>
        <v>152031400513</v>
      </c>
      <c r="L3687" t="str">
        <f t="shared" ref="L3687:M3706" si="1515">"04-08-2020"</f>
        <v>04-08-2020</v>
      </c>
      <c r="M3687" t="str">
        <f t="shared" si="1515"/>
        <v>04-08-2020</v>
      </c>
      <c r="N3687" t="str">
        <f t="shared" si="1499"/>
        <v>001105018356</v>
      </c>
      <c r="O3687" t="str">
        <f t="shared" si="1500"/>
        <v>MYR</v>
      </c>
      <c r="P3687" t="str">
        <f t="shared" ref="P3687:Q3706" si="1516">"NIL"</f>
        <v>NIL</v>
      </c>
      <c r="Q3687" t="str">
        <f t="shared" si="1516"/>
        <v>NIL</v>
      </c>
      <c r="R3687" t="str">
        <f t="shared" si="1501"/>
        <v>Accepted</v>
      </c>
      <c r="S3687" t="str">
        <f t="shared" si="1502"/>
        <v>Approved</v>
      </c>
      <c r="T3687" t="str">
        <f t="shared" si="1503"/>
        <v>10.20.8.188</v>
      </c>
      <c r="U3687" t="str">
        <f t="shared" si="1504"/>
        <v>AZRAD UMAR BIN SHAARI</v>
      </c>
      <c r="V3687" t="str">
        <f t="shared" si="1505"/>
        <v>FARHANA BINTI MUSTAPA</v>
      </c>
      <c r="W3687" t="str">
        <f t="shared" si="1506"/>
        <v>04-08-2020</v>
      </c>
      <c r="X3687" t="str">
        <f t="shared" si="1507"/>
        <v>RAZIMAH ANSAR AHMAD</v>
      </c>
      <c r="Y3687" t="str">
        <f t="shared" si="1508"/>
        <v>04-08-2020</v>
      </c>
      <c r="Z3687" t="str">
        <f>"COS10200804 5267"</f>
        <v>COS10200804 5267</v>
      </c>
    </row>
    <row r="3688" spans="1:26" x14ac:dyDescent="0.25">
      <c r="A3688" t="str">
        <f t="shared" si="1513"/>
        <v>04-08-2020 12:56:45</v>
      </c>
      <c r="B3688" t="str">
        <f>"0000807254"</f>
        <v>0000807254</v>
      </c>
      <c r="C3688" t="str">
        <f t="shared" si="1514"/>
        <v>0000807188</v>
      </c>
      <c r="D3688" t="str">
        <f t="shared" si="1496"/>
        <v>73185</v>
      </c>
      <c r="E3688" t="str">
        <f t="shared" si="1497"/>
        <v>KFH-OPERATIONS DEPARTMENT</v>
      </c>
      <c r="F3688" t="str">
        <f t="shared" si="1498"/>
        <v>IBG</v>
      </c>
      <c r="G3688" t="str">
        <f t="shared" si="1509"/>
        <v>Refund COSHARE 10</v>
      </c>
      <c r="H3688" s="2">
        <v>225.2</v>
      </c>
      <c r="I3688" t="str">
        <f>"MAT AMIN BIN  MAT GHAUS"</f>
        <v>MAT AMIN BIN  MAT GHAUS</v>
      </c>
      <c r="J3688" t="str">
        <f t="shared" si="1510"/>
        <v>MAYBANK / MAYBANK ISLAMIC</v>
      </c>
      <c r="K3688" t="str">
        <f>"158109001008"</f>
        <v>158109001008</v>
      </c>
      <c r="L3688" t="str">
        <f t="shared" si="1515"/>
        <v>04-08-2020</v>
      </c>
      <c r="M3688" t="str">
        <f t="shared" si="1515"/>
        <v>04-08-2020</v>
      </c>
      <c r="N3688" t="str">
        <f t="shared" si="1499"/>
        <v>001105018356</v>
      </c>
      <c r="O3688" t="str">
        <f t="shared" si="1500"/>
        <v>MYR</v>
      </c>
      <c r="P3688" t="str">
        <f t="shared" si="1516"/>
        <v>NIL</v>
      </c>
      <c r="Q3688" t="str">
        <f t="shared" si="1516"/>
        <v>NIL</v>
      </c>
      <c r="R3688" t="str">
        <f t="shared" si="1501"/>
        <v>Accepted</v>
      </c>
      <c r="S3688" t="str">
        <f t="shared" si="1502"/>
        <v>Approved</v>
      </c>
      <c r="T3688" t="str">
        <f t="shared" si="1503"/>
        <v>10.20.8.188</v>
      </c>
      <c r="U3688" t="str">
        <f t="shared" si="1504"/>
        <v>AZRAD UMAR BIN SHAARI</v>
      </c>
      <c r="V3688" t="str">
        <f t="shared" si="1505"/>
        <v>FARHANA BINTI MUSTAPA</v>
      </c>
      <c r="W3688" t="str">
        <f t="shared" si="1506"/>
        <v>04-08-2020</v>
      </c>
      <c r="X3688" t="str">
        <f t="shared" si="1507"/>
        <v>RAZIMAH ANSAR AHMAD</v>
      </c>
      <c r="Y3688" t="str">
        <f t="shared" si="1508"/>
        <v>04-08-2020</v>
      </c>
      <c r="Z3688" t="str">
        <f>"COS10200804 5266"</f>
        <v>COS10200804 5266</v>
      </c>
    </row>
    <row r="3689" spans="1:26" x14ac:dyDescent="0.25">
      <c r="A3689" t="str">
        <f t="shared" si="1513"/>
        <v>04-08-2020 12:56:45</v>
      </c>
      <c r="B3689" t="str">
        <f>"0000807253"</f>
        <v>0000807253</v>
      </c>
      <c r="C3689" t="str">
        <f t="shared" si="1514"/>
        <v>0000807188</v>
      </c>
      <c r="D3689" t="str">
        <f t="shared" si="1496"/>
        <v>73185</v>
      </c>
      <c r="E3689" t="str">
        <f t="shared" si="1497"/>
        <v>KFH-OPERATIONS DEPARTMENT</v>
      </c>
      <c r="F3689" t="str">
        <f t="shared" si="1498"/>
        <v>IBG</v>
      </c>
      <c r="G3689" t="str">
        <f t="shared" si="1509"/>
        <v>Refund COSHARE 10</v>
      </c>
      <c r="H3689" s="2">
        <v>664.3</v>
      </c>
      <c r="I3689" t="str">
        <f>"MAT AKHIR BIN SAAD"</f>
        <v>MAT AKHIR BIN SAAD</v>
      </c>
      <c r="J3689" t="str">
        <f t="shared" si="1510"/>
        <v>MAYBANK / MAYBANK ISLAMIC</v>
      </c>
      <c r="K3689" t="str">
        <f>"152125105318"</f>
        <v>152125105318</v>
      </c>
      <c r="L3689" t="str">
        <f t="shared" si="1515"/>
        <v>04-08-2020</v>
      </c>
      <c r="M3689" t="str">
        <f t="shared" si="1515"/>
        <v>04-08-2020</v>
      </c>
      <c r="N3689" t="str">
        <f t="shared" si="1499"/>
        <v>001105018356</v>
      </c>
      <c r="O3689" t="str">
        <f t="shared" si="1500"/>
        <v>MYR</v>
      </c>
      <c r="P3689" t="str">
        <f t="shared" si="1516"/>
        <v>NIL</v>
      </c>
      <c r="Q3689" t="str">
        <f t="shared" si="1516"/>
        <v>NIL</v>
      </c>
      <c r="R3689" t="str">
        <f t="shared" si="1501"/>
        <v>Accepted</v>
      </c>
      <c r="S3689" t="str">
        <f t="shared" si="1502"/>
        <v>Approved</v>
      </c>
      <c r="T3689" t="str">
        <f t="shared" si="1503"/>
        <v>10.20.8.188</v>
      </c>
      <c r="U3689" t="str">
        <f t="shared" si="1504"/>
        <v>AZRAD UMAR BIN SHAARI</v>
      </c>
      <c r="V3689" t="str">
        <f t="shared" si="1505"/>
        <v>FARHANA BINTI MUSTAPA</v>
      </c>
      <c r="W3689" t="str">
        <f t="shared" si="1506"/>
        <v>04-08-2020</v>
      </c>
      <c r="X3689" t="str">
        <f t="shared" si="1507"/>
        <v>RAZIMAH ANSAR AHMAD</v>
      </c>
      <c r="Y3689" t="str">
        <f t="shared" si="1508"/>
        <v>04-08-2020</v>
      </c>
      <c r="Z3689" t="str">
        <f>"COS10200804 5265"</f>
        <v>COS10200804 5265</v>
      </c>
    </row>
    <row r="3690" spans="1:26" x14ac:dyDescent="0.25">
      <c r="A3690" t="str">
        <f t="shared" si="1513"/>
        <v>04-08-2020 12:56:45</v>
      </c>
      <c r="B3690" t="str">
        <f>"0000807252"</f>
        <v>0000807252</v>
      </c>
      <c r="C3690" t="str">
        <f t="shared" si="1514"/>
        <v>0000807188</v>
      </c>
      <c r="D3690" t="str">
        <f t="shared" si="1496"/>
        <v>73185</v>
      </c>
      <c r="E3690" t="str">
        <f t="shared" si="1497"/>
        <v>KFH-OPERATIONS DEPARTMENT</v>
      </c>
      <c r="F3690" t="str">
        <f t="shared" si="1498"/>
        <v>IBG</v>
      </c>
      <c r="G3690" t="str">
        <f t="shared" si="1509"/>
        <v>Refund COSHARE 10</v>
      </c>
      <c r="H3690" s="2">
        <v>839.5</v>
      </c>
      <c r="I3690" t="str">
        <f>"MASZLINA BINTI RAMLI"</f>
        <v>MASZLINA BINTI RAMLI</v>
      </c>
      <c r="J3690" t="str">
        <f t="shared" si="1510"/>
        <v>MAYBANK / MAYBANK ISLAMIC</v>
      </c>
      <c r="K3690" t="str">
        <f>"158145007604"</f>
        <v>158145007604</v>
      </c>
      <c r="L3690" t="str">
        <f t="shared" si="1515"/>
        <v>04-08-2020</v>
      </c>
      <c r="M3690" t="str">
        <f t="shared" si="1515"/>
        <v>04-08-2020</v>
      </c>
      <c r="N3690" t="str">
        <f t="shared" si="1499"/>
        <v>001105018356</v>
      </c>
      <c r="O3690" t="str">
        <f t="shared" si="1500"/>
        <v>MYR</v>
      </c>
      <c r="P3690" t="str">
        <f t="shared" si="1516"/>
        <v>NIL</v>
      </c>
      <c r="Q3690" t="str">
        <f t="shared" si="1516"/>
        <v>NIL</v>
      </c>
      <c r="R3690" t="str">
        <f t="shared" si="1501"/>
        <v>Accepted</v>
      </c>
      <c r="S3690" t="str">
        <f t="shared" si="1502"/>
        <v>Approved</v>
      </c>
      <c r="T3690" t="str">
        <f t="shared" si="1503"/>
        <v>10.20.8.188</v>
      </c>
      <c r="U3690" t="str">
        <f t="shared" si="1504"/>
        <v>AZRAD UMAR BIN SHAARI</v>
      </c>
      <c r="V3690" t="str">
        <f t="shared" si="1505"/>
        <v>FARHANA BINTI MUSTAPA</v>
      </c>
      <c r="W3690" t="str">
        <f t="shared" si="1506"/>
        <v>04-08-2020</v>
      </c>
      <c r="X3690" t="str">
        <f t="shared" si="1507"/>
        <v>RAZIMAH ANSAR AHMAD</v>
      </c>
      <c r="Y3690" t="str">
        <f t="shared" si="1508"/>
        <v>04-08-2020</v>
      </c>
      <c r="Z3690" t="str">
        <f>"COS10200804 5264"</f>
        <v>COS10200804 5264</v>
      </c>
    </row>
    <row r="3691" spans="1:26" x14ac:dyDescent="0.25">
      <c r="A3691" t="str">
        <f t="shared" si="1513"/>
        <v>04-08-2020 12:56:45</v>
      </c>
      <c r="B3691" t="str">
        <f>"0000807251"</f>
        <v>0000807251</v>
      </c>
      <c r="C3691" t="str">
        <f t="shared" si="1514"/>
        <v>0000807188</v>
      </c>
      <c r="D3691" t="str">
        <f t="shared" si="1496"/>
        <v>73185</v>
      </c>
      <c r="E3691" t="str">
        <f t="shared" si="1497"/>
        <v>KFH-OPERATIONS DEPARTMENT</v>
      </c>
      <c r="F3691" t="str">
        <f t="shared" si="1498"/>
        <v>IBG</v>
      </c>
      <c r="G3691" t="str">
        <f t="shared" si="1509"/>
        <v>Refund COSHARE 10</v>
      </c>
      <c r="H3691" s="2">
        <v>705.2</v>
      </c>
      <c r="I3691" t="str">
        <f>"MASZIANA BINTI MOSTOR"</f>
        <v>MASZIANA BINTI MOSTOR</v>
      </c>
      <c r="J3691" t="str">
        <f t="shared" si="1510"/>
        <v>MAYBANK / MAYBANK ISLAMIC</v>
      </c>
      <c r="K3691" t="str">
        <f>"158051322144"</f>
        <v>158051322144</v>
      </c>
      <c r="L3691" t="str">
        <f t="shared" si="1515"/>
        <v>04-08-2020</v>
      </c>
      <c r="M3691" t="str">
        <f t="shared" si="1515"/>
        <v>04-08-2020</v>
      </c>
      <c r="N3691" t="str">
        <f t="shared" si="1499"/>
        <v>001105018356</v>
      </c>
      <c r="O3691" t="str">
        <f t="shared" si="1500"/>
        <v>MYR</v>
      </c>
      <c r="P3691" t="str">
        <f t="shared" si="1516"/>
        <v>NIL</v>
      </c>
      <c r="Q3691" t="str">
        <f t="shared" si="1516"/>
        <v>NIL</v>
      </c>
      <c r="R3691" t="str">
        <f t="shared" si="1501"/>
        <v>Accepted</v>
      </c>
      <c r="S3691" t="str">
        <f t="shared" si="1502"/>
        <v>Approved</v>
      </c>
      <c r="T3691" t="str">
        <f t="shared" si="1503"/>
        <v>10.20.8.188</v>
      </c>
      <c r="U3691" t="str">
        <f t="shared" si="1504"/>
        <v>AZRAD UMAR BIN SHAARI</v>
      </c>
      <c r="V3691" t="str">
        <f t="shared" si="1505"/>
        <v>FARHANA BINTI MUSTAPA</v>
      </c>
      <c r="W3691" t="str">
        <f t="shared" si="1506"/>
        <v>04-08-2020</v>
      </c>
      <c r="X3691" t="str">
        <f t="shared" si="1507"/>
        <v>RAZIMAH ANSAR AHMAD</v>
      </c>
      <c r="Y3691" t="str">
        <f t="shared" si="1508"/>
        <v>04-08-2020</v>
      </c>
      <c r="Z3691" t="str">
        <f>"COS10200804 5263"</f>
        <v>COS10200804 5263</v>
      </c>
    </row>
    <row r="3692" spans="1:26" x14ac:dyDescent="0.25">
      <c r="A3692" t="str">
        <f t="shared" si="1513"/>
        <v>04-08-2020 12:56:45</v>
      </c>
      <c r="B3692" t="str">
        <f>"0000807250"</f>
        <v>0000807250</v>
      </c>
      <c r="C3692" t="str">
        <f t="shared" si="1514"/>
        <v>0000807188</v>
      </c>
      <c r="D3692" t="str">
        <f t="shared" si="1496"/>
        <v>73185</v>
      </c>
      <c r="E3692" t="str">
        <f t="shared" si="1497"/>
        <v>KFH-OPERATIONS DEPARTMENT</v>
      </c>
      <c r="F3692" t="str">
        <f t="shared" si="1498"/>
        <v>IBG</v>
      </c>
      <c r="G3692" t="str">
        <f t="shared" si="1509"/>
        <v>Refund COSHARE 10</v>
      </c>
      <c r="H3692" s="2">
        <v>42</v>
      </c>
      <c r="I3692" t="str">
        <f>"MASYALDI BIN MAT HASSAN"</f>
        <v>MASYALDI BIN MAT HASSAN</v>
      </c>
      <c r="J3692" t="str">
        <f t="shared" si="1510"/>
        <v>MAYBANK / MAYBANK ISLAMIC</v>
      </c>
      <c r="K3692" t="str">
        <f>"162076575133"</f>
        <v>162076575133</v>
      </c>
      <c r="L3692" t="str">
        <f t="shared" si="1515"/>
        <v>04-08-2020</v>
      </c>
      <c r="M3692" t="str">
        <f t="shared" si="1515"/>
        <v>04-08-2020</v>
      </c>
      <c r="N3692" t="str">
        <f t="shared" si="1499"/>
        <v>001105018356</v>
      </c>
      <c r="O3692" t="str">
        <f t="shared" si="1500"/>
        <v>MYR</v>
      </c>
      <c r="P3692" t="str">
        <f t="shared" si="1516"/>
        <v>NIL</v>
      </c>
      <c r="Q3692" t="str">
        <f t="shared" si="1516"/>
        <v>NIL</v>
      </c>
      <c r="R3692" t="str">
        <f t="shared" si="1501"/>
        <v>Accepted</v>
      </c>
      <c r="S3692" t="str">
        <f t="shared" si="1502"/>
        <v>Approved</v>
      </c>
      <c r="T3692" t="str">
        <f t="shared" si="1503"/>
        <v>10.20.8.188</v>
      </c>
      <c r="U3692" t="str">
        <f t="shared" si="1504"/>
        <v>AZRAD UMAR BIN SHAARI</v>
      </c>
      <c r="V3692" t="str">
        <f t="shared" si="1505"/>
        <v>FARHANA BINTI MUSTAPA</v>
      </c>
      <c r="W3692" t="str">
        <f t="shared" si="1506"/>
        <v>04-08-2020</v>
      </c>
      <c r="X3692" t="str">
        <f t="shared" si="1507"/>
        <v>RAZIMAH ANSAR AHMAD</v>
      </c>
      <c r="Y3692" t="str">
        <f t="shared" si="1508"/>
        <v>04-08-2020</v>
      </c>
      <c r="Z3692" t="str">
        <f>"COS10200804 5262"</f>
        <v>COS10200804 5262</v>
      </c>
    </row>
    <row r="3693" spans="1:26" x14ac:dyDescent="0.25">
      <c r="A3693" t="str">
        <f t="shared" si="1513"/>
        <v>04-08-2020 12:56:45</v>
      </c>
      <c r="B3693" t="str">
        <f>"0000807249"</f>
        <v>0000807249</v>
      </c>
      <c r="C3693" t="str">
        <f t="shared" si="1514"/>
        <v>0000807188</v>
      </c>
      <c r="D3693" t="str">
        <f t="shared" si="1496"/>
        <v>73185</v>
      </c>
      <c r="E3693" t="str">
        <f t="shared" si="1497"/>
        <v>KFH-OPERATIONS DEPARTMENT</v>
      </c>
      <c r="F3693" t="str">
        <f t="shared" si="1498"/>
        <v>IBG</v>
      </c>
      <c r="G3693" t="str">
        <f t="shared" si="1509"/>
        <v>Refund COSHARE 10</v>
      </c>
      <c r="H3693" s="2">
        <v>226.7</v>
      </c>
      <c r="I3693" t="str">
        <f>"MASTURA BINTI ABDUL SAMEK"</f>
        <v>MASTURA BINTI ABDUL SAMEK</v>
      </c>
      <c r="J3693" t="str">
        <f t="shared" si="1510"/>
        <v>MAYBANK / MAYBANK ISLAMIC</v>
      </c>
      <c r="K3693" t="str">
        <f>"162188333649"</f>
        <v>162188333649</v>
      </c>
      <c r="L3693" t="str">
        <f t="shared" si="1515"/>
        <v>04-08-2020</v>
      </c>
      <c r="M3693" t="str">
        <f t="shared" si="1515"/>
        <v>04-08-2020</v>
      </c>
      <c r="N3693" t="str">
        <f t="shared" si="1499"/>
        <v>001105018356</v>
      </c>
      <c r="O3693" t="str">
        <f t="shared" si="1500"/>
        <v>MYR</v>
      </c>
      <c r="P3693" t="str">
        <f t="shared" si="1516"/>
        <v>NIL</v>
      </c>
      <c r="Q3693" t="str">
        <f t="shared" si="1516"/>
        <v>NIL</v>
      </c>
      <c r="R3693" t="str">
        <f t="shared" si="1501"/>
        <v>Accepted</v>
      </c>
      <c r="S3693" t="str">
        <f t="shared" si="1502"/>
        <v>Approved</v>
      </c>
      <c r="T3693" t="str">
        <f t="shared" si="1503"/>
        <v>10.20.8.188</v>
      </c>
      <c r="U3693" t="str">
        <f t="shared" si="1504"/>
        <v>AZRAD UMAR BIN SHAARI</v>
      </c>
      <c r="V3693" t="str">
        <f t="shared" si="1505"/>
        <v>FARHANA BINTI MUSTAPA</v>
      </c>
      <c r="W3693" t="str">
        <f t="shared" si="1506"/>
        <v>04-08-2020</v>
      </c>
      <c r="X3693" t="str">
        <f t="shared" si="1507"/>
        <v>RAZIMAH ANSAR AHMAD</v>
      </c>
      <c r="Y3693" t="str">
        <f t="shared" si="1508"/>
        <v>04-08-2020</v>
      </c>
      <c r="Z3693" t="str">
        <f>"COS10200804 5261"</f>
        <v>COS10200804 5261</v>
      </c>
    </row>
    <row r="3694" spans="1:26" x14ac:dyDescent="0.25">
      <c r="A3694" t="str">
        <f t="shared" si="1513"/>
        <v>04-08-2020 12:56:45</v>
      </c>
      <c r="B3694" t="str">
        <f>"0000807248"</f>
        <v>0000807248</v>
      </c>
      <c r="C3694" t="str">
        <f t="shared" si="1514"/>
        <v>0000807188</v>
      </c>
      <c r="D3694" t="str">
        <f t="shared" si="1496"/>
        <v>73185</v>
      </c>
      <c r="E3694" t="str">
        <f t="shared" si="1497"/>
        <v>KFH-OPERATIONS DEPARTMENT</v>
      </c>
      <c r="F3694" t="str">
        <f t="shared" si="1498"/>
        <v>IBG</v>
      </c>
      <c r="G3694" t="str">
        <f t="shared" si="1509"/>
        <v>Refund COSHARE 10</v>
      </c>
      <c r="H3694" s="2">
        <v>609.79999999999995</v>
      </c>
      <c r="I3694" t="str">
        <f>"MASTORI BIN SALIM"</f>
        <v>MASTORI BIN SALIM</v>
      </c>
      <c r="J3694" t="str">
        <f t="shared" si="1510"/>
        <v>MAYBANK / MAYBANK ISLAMIC</v>
      </c>
      <c r="K3694" t="str">
        <f>"162263015283"</f>
        <v>162263015283</v>
      </c>
      <c r="L3694" t="str">
        <f t="shared" si="1515"/>
        <v>04-08-2020</v>
      </c>
      <c r="M3694" t="str">
        <f t="shared" si="1515"/>
        <v>04-08-2020</v>
      </c>
      <c r="N3694" t="str">
        <f t="shared" si="1499"/>
        <v>001105018356</v>
      </c>
      <c r="O3694" t="str">
        <f t="shared" si="1500"/>
        <v>MYR</v>
      </c>
      <c r="P3694" t="str">
        <f t="shared" si="1516"/>
        <v>NIL</v>
      </c>
      <c r="Q3694" t="str">
        <f t="shared" si="1516"/>
        <v>NIL</v>
      </c>
      <c r="R3694" t="str">
        <f t="shared" si="1501"/>
        <v>Accepted</v>
      </c>
      <c r="S3694" t="str">
        <f t="shared" si="1502"/>
        <v>Approved</v>
      </c>
      <c r="T3694" t="str">
        <f t="shared" si="1503"/>
        <v>10.20.8.188</v>
      </c>
      <c r="U3694" t="str">
        <f t="shared" si="1504"/>
        <v>AZRAD UMAR BIN SHAARI</v>
      </c>
      <c r="V3694" t="str">
        <f t="shared" si="1505"/>
        <v>FARHANA BINTI MUSTAPA</v>
      </c>
      <c r="W3694" t="str">
        <f t="shared" si="1506"/>
        <v>04-08-2020</v>
      </c>
      <c r="X3694" t="str">
        <f t="shared" si="1507"/>
        <v>RAZIMAH ANSAR AHMAD</v>
      </c>
      <c r="Y3694" t="str">
        <f t="shared" si="1508"/>
        <v>04-08-2020</v>
      </c>
      <c r="Z3694" t="str">
        <f>"COS10200804 5260"</f>
        <v>COS10200804 5260</v>
      </c>
    </row>
    <row r="3695" spans="1:26" x14ac:dyDescent="0.25">
      <c r="A3695" t="str">
        <f t="shared" si="1513"/>
        <v>04-08-2020 12:56:45</v>
      </c>
      <c r="B3695" t="str">
        <f>"0000807247"</f>
        <v>0000807247</v>
      </c>
      <c r="C3695" t="str">
        <f t="shared" si="1514"/>
        <v>0000807188</v>
      </c>
      <c r="D3695" t="str">
        <f t="shared" si="1496"/>
        <v>73185</v>
      </c>
      <c r="E3695" t="str">
        <f t="shared" si="1497"/>
        <v>KFH-OPERATIONS DEPARTMENT</v>
      </c>
      <c r="F3695" t="str">
        <f t="shared" si="1498"/>
        <v>IBG</v>
      </c>
      <c r="G3695" t="str">
        <f t="shared" si="1509"/>
        <v>Refund COSHARE 10</v>
      </c>
      <c r="H3695" s="2">
        <v>159.5</v>
      </c>
      <c r="I3695" t="str">
        <f>"MASTIAH BINTI MOHAMAD"</f>
        <v>MASTIAH BINTI MOHAMAD</v>
      </c>
      <c r="J3695" t="str">
        <f t="shared" si="1510"/>
        <v>MAYBANK / MAYBANK ISLAMIC</v>
      </c>
      <c r="K3695" t="str">
        <f>"161024460974"</f>
        <v>161024460974</v>
      </c>
      <c r="L3695" t="str">
        <f t="shared" si="1515"/>
        <v>04-08-2020</v>
      </c>
      <c r="M3695" t="str">
        <f t="shared" si="1515"/>
        <v>04-08-2020</v>
      </c>
      <c r="N3695" t="str">
        <f t="shared" si="1499"/>
        <v>001105018356</v>
      </c>
      <c r="O3695" t="str">
        <f t="shared" si="1500"/>
        <v>MYR</v>
      </c>
      <c r="P3695" t="str">
        <f t="shared" si="1516"/>
        <v>NIL</v>
      </c>
      <c r="Q3695" t="str">
        <f t="shared" si="1516"/>
        <v>NIL</v>
      </c>
      <c r="R3695" t="str">
        <f t="shared" si="1501"/>
        <v>Accepted</v>
      </c>
      <c r="S3695" t="str">
        <f t="shared" si="1502"/>
        <v>Approved</v>
      </c>
      <c r="T3695" t="str">
        <f t="shared" si="1503"/>
        <v>10.20.8.188</v>
      </c>
      <c r="U3695" t="str">
        <f t="shared" si="1504"/>
        <v>AZRAD UMAR BIN SHAARI</v>
      </c>
      <c r="V3695" t="str">
        <f t="shared" si="1505"/>
        <v>FARHANA BINTI MUSTAPA</v>
      </c>
      <c r="W3695" t="str">
        <f t="shared" si="1506"/>
        <v>04-08-2020</v>
      </c>
      <c r="X3695" t="str">
        <f t="shared" si="1507"/>
        <v>RAZIMAH ANSAR AHMAD</v>
      </c>
      <c r="Y3695" t="str">
        <f t="shared" si="1508"/>
        <v>04-08-2020</v>
      </c>
      <c r="Z3695" t="str">
        <f>"COS10200804 5259"</f>
        <v>COS10200804 5259</v>
      </c>
    </row>
    <row r="3696" spans="1:26" x14ac:dyDescent="0.25">
      <c r="A3696" t="str">
        <f t="shared" si="1513"/>
        <v>04-08-2020 12:56:45</v>
      </c>
      <c r="B3696" t="str">
        <f>"0000807246"</f>
        <v>0000807246</v>
      </c>
      <c r="C3696" t="str">
        <f t="shared" si="1514"/>
        <v>0000807188</v>
      </c>
      <c r="D3696" t="str">
        <f t="shared" si="1496"/>
        <v>73185</v>
      </c>
      <c r="E3696" t="str">
        <f t="shared" si="1497"/>
        <v>KFH-OPERATIONS DEPARTMENT</v>
      </c>
      <c r="F3696" t="str">
        <f t="shared" si="1498"/>
        <v>IBG</v>
      </c>
      <c r="G3696" t="str">
        <f t="shared" si="1509"/>
        <v>Refund COSHARE 10</v>
      </c>
      <c r="H3696" s="2">
        <v>1259.25</v>
      </c>
      <c r="I3696" t="str">
        <f>"MASSLAN BIN SOPIRI"</f>
        <v>MASSLAN BIN SOPIRI</v>
      </c>
      <c r="J3696" t="str">
        <f t="shared" si="1510"/>
        <v>MAYBANK / MAYBANK ISLAMIC</v>
      </c>
      <c r="K3696" t="str">
        <f>"164100260297"</f>
        <v>164100260297</v>
      </c>
      <c r="L3696" t="str">
        <f t="shared" si="1515"/>
        <v>04-08-2020</v>
      </c>
      <c r="M3696" t="str">
        <f t="shared" si="1515"/>
        <v>04-08-2020</v>
      </c>
      <c r="N3696" t="str">
        <f t="shared" si="1499"/>
        <v>001105018356</v>
      </c>
      <c r="O3696" t="str">
        <f t="shared" si="1500"/>
        <v>MYR</v>
      </c>
      <c r="P3696" t="str">
        <f t="shared" si="1516"/>
        <v>NIL</v>
      </c>
      <c r="Q3696" t="str">
        <f t="shared" si="1516"/>
        <v>NIL</v>
      </c>
      <c r="R3696" t="str">
        <f t="shared" si="1501"/>
        <v>Accepted</v>
      </c>
      <c r="S3696" t="str">
        <f t="shared" si="1502"/>
        <v>Approved</v>
      </c>
      <c r="T3696" t="str">
        <f t="shared" si="1503"/>
        <v>10.20.8.188</v>
      </c>
      <c r="U3696" t="str">
        <f t="shared" si="1504"/>
        <v>AZRAD UMAR BIN SHAARI</v>
      </c>
      <c r="V3696" t="str">
        <f t="shared" si="1505"/>
        <v>FARHANA BINTI MUSTAPA</v>
      </c>
      <c r="W3696" t="str">
        <f t="shared" si="1506"/>
        <v>04-08-2020</v>
      </c>
      <c r="X3696" t="str">
        <f t="shared" si="1507"/>
        <v>RAZIMAH ANSAR AHMAD</v>
      </c>
      <c r="Y3696" t="str">
        <f t="shared" si="1508"/>
        <v>04-08-2020</v>
      </c>
      <c r="Z3696" t="str">
        <f>"COS10200804 5258"</f>
        <v>COS10200804 5258</v>
      </c>
    </row>
    <row r="3697" spans="1:26" x14ac:dyDescent="0.25">
      <c r="A3697" t="str">
        <f t="shared" si="1513"/>
        <v>04-08-2020 12:56:45</v>
      </c>
      <c r="B3697" t="str">
        <f>"0000807245"</f>
        <v>0000807245</v>
      </c>
      <c r="C3697" t="str">
        <f t="shared" si="1514"/>
        <v>0000807188</v>
      </c>
      <c r="D3697" t="str">
        <f t="shared" si="1496"/>
        <v>73185</v>
      </c>
      <c r="E3697" t="str">
        <f t="shared" si="1497"/>
        <v>KFH-OPERATIONS DEPARTMENT</v>
      </c>
      <c r="F3697" t="str">
        <f t="shared" si="1498"/>
        <v>IBG</v>
      </c>
      <c r="G3697" t="str">
        <f t="shared" si="1509"/>
        <v>Refund COSHARE 10</v>
      </c>
      <c r="H3697" s="2">
        <v>277.05</v>
      </c>
      <c r="I3697" t="str">
        <f>"MASRULHIDAYAH BINTI HAJI MUHAMMAD"</f>
        <v>MASRULHIDAYAH BINTI HAJI MUHAMMAD</v>
      </c>
      <c r="J3697" t="str">
        <f t="shared" si="1510"/>
        <v>MAYBANK / MAYBANK ISLAMIC</v>
      </c>
      <c r="K3697" t="str">
        <f>"151025639004"</f>
        <v>151025639004</v>
      </c>
      <c r="L3697" t="str">
        <f t="shared" si="1515"/>
        <v>04-08-2020</v>
      </c>
      <c r="M3697" t="str">
        <f t="shared" si="1515"/>
        <v>04-08-2020</v>
      </c>
      <c r="N3697" t="str">
        <f t="shared" si="1499"/>
        <v>001105018356</v>
      </c>
      <c r="O3697" t="str">
        <f t="shared" si="1500"/>
        <v>MYR</v>
      </c>
      <c r="P3697" t="str">
        <f t="shared" si="1516"/>
        <v>NIL</v>
      </c>
      <c r="Q3697" t="str">
        <f t="shared" si="1516"/>
        <v>NIL</v>
      </c>
      <c r="R3697" t="str">
        <f t="shared" si="1501"/>
        <v>Accepted</v>
      </c>
      <c r="S3697" t="str">
        <f t="shared" si="1502"/>
        <v>Approved</v>
      </c>
      <c r="T3697" t="str">
        <f t="shared" si="1503"/>
        <v>10.20.8.188</v>
      </c>
      <c r="U3697" t="str">
        <f t="shared" si="1504"/>
        <v>AZRAD UMAR BIN SHAARI</v>
      </c>
      <c r="V3697" t="str">
        <f t="shared" si="1505"/>
        <v>FARHANA BINTI MUSTAPA</v>
      </c>
      <c r="W3697" t="str">
        <f t="shared" si="1506"/>
        <v>04-08-2020</v>
      </c>
      <c r="X3697" t="str">
        <f t="shared" si="1507"/>
        <v>RAZIMAH ANSAR AHMAD</v>
      </c>
      <c r="Y3697" t="str">
        <f t="shared" si="1508"/>
        <v>04-08-2020</v>
      </c>
      <c r="Z3697" t="str">
        <f>"COS10200804 5257"</f>
        <v>COS10200804 5257</v>
      </c>
    </row>
    <row r="3698" spans="1:26" x14ac:dyDescent="0.25">
      <c r="A3698" t="str">
        <f t="shared" si="1513"/>
        <v>04-08-2020 12:56:45</v>
      </c>
      <c r="B3698" t="str">
        <f>"0000807244"</f>
        <v>0000807244</v>
      </c>
      <c r="C3698" t="str">
        <f t="shared" si="1514"/>
        <v>0000807188</v>
      </c>
      <c r="D3698" t="str">
        <f t="shared" si="1496"/>
        <v>73185</v>
      </c>
      <c r="E3698" t="str">
        <f t="shared" si="1497"/>
        <v>KFH-OPERATIONS DEPARTMENT</v>
      </c>
      <c r="F3698" t="str">
        <f t="shared" si="1498"/>
        <v>IBG</v>
      </c>
      <c r="G3698" t="str">
        <f t="shared" si="1509"/>
        <v>Refund COSHARE 10</v>
      </c>
      <c r="H3698" s="2">
        <v>209.9</v>
      </c>
      <c r="I3698" t="str">
        <f>"MASRINI BINTI BADONG"</f>
        <v>MASRINI BINTI BADONG</v>
      </c>
      <c r="J3698" t="str">
        <f t="shared" si="1510"/>
        <v>MAYBANK / MAYBANK ISLAMIC</v>
      </c>
      <c r="K3698" t="str">
        <f>"160027301096"</f>
        <v>160027301096</v>
      </c>
      <c r="L3698" t="str">
        <f t="shared" si="1515"/>
        <v>04-08-2020</v>
      </c>
      <c r="M3698" t="str">
        <f t="shared" si="1515"/>
        <v>04-08-2020</v>
      </c>
      <c r="N3698" t="str">
        <f t="shared" si="1499"/>
        <v>001105018356</v>
      </c>
      <c r="O3698" t="str">
        <f t="shared" si="1500"/>
        <v>MYR</v>
      </c>
      <c r="P3698" t="str">
        <f t="shared" si="1516"/>
        <v>NIL</v>
      </c>
      <c r="Q3698" t="str">
        <f t="shared" si="1516"/>
        <v>NIL</v>
      </c>
      <c r="R3698" t="str">
        <f t="shared" si="1501"/>
        <v>Accepted</v>
      </c>
      <c r="S3698" t="str">
        <f t="shared" si="1502"/>
        <v>Approved</v>
      </c>
      <c r="T3698" t="str">
        <f t="shared" si="1503"/>
        <v>10.20.8.188</v>
      </c>
      <c r="U3698" t="str">
        <f t="shared" si="1504"/>
        <v>AZRAD UMAR BIN SHAARI</v>
      </c>
      <c r="V3698" t="str">
        <f t="shared" si="1505"/>
        <v>FARHANA BINTI MUSTAPA</v>
      </c>
      <c r="W3698" t="str">
        <f t="shared" si="1506"/>
        <v>04-08-2020</v>
      </c>
      <c r="X3698" t="str">
        <f t="shared" si="1507"/>
        <v>RAZIMAH ANSAR AHMAD</v>
      </c>
      <c r="Y3698" t="str">
        <f t="shared" si="1508"/>
        <v>04-08-2020</v>
      </c>
      <c r="Z3698" t="str">
        <f>"COS10200804 5256"</f>
        <v>COS10200804 5256</v>
      </c>
    </row>
    <row r="3699" spans="1:26" x14ac:dyDescent="0.25">
      <c r="A3699" t="str">
        <f t="shared" si="1513"/>
        <v>04-08-2020 12:56:45</v>
      </c>
      <c r="B3699" t="str">
        <f>"0000807243"</f>
        <v>0000807243</v>
      </c>
      <c r="C3699" t="str">
        <f t="shared" si="1514"/>
        <v>0000807188</v>
      </c>
      <c r="D3699" t="str">
        <f t="shared" si="1496"/>
        <v>73185</v>
      </c>
      <c r="E3699" t="str">
        <f t="shared" si="1497"/>
        <v>KFH-OPERATIONS DEPARTMENT</v>
      </c>
      <c r="F3699" t="str">
        <f t="shared" si="1498"/>
        <v>IBG</v>
      </c>
      <c r="G3699" t="str">
        <f t="shared" si="1509"/>
        <v>Refund COSHARE 10</v>
      </c>
      <c r="H3699" s="2">
        <v>454</v>
      </c>
      <c r="I3699" t="str">
        <f>"MASRIN BIN ZAINI"</f>
        <v>MASRIN BIN ZAINI</v>
      </c>
      <c r="J3699" t="str">
        <f t="shared" si="1510"/>
        <v>MAYBANK / MAYBANK ISLAMIC</v>
      </c>
      <c r="K3699" t="str">
        <f>"160214084546"</f>
        <v>160214084546</v>
      </c>
      <c r="L3699" t="str">
        <f t="shared" si="1515"/>
        <v>04-08-2020</v>
      </c>
      <c r="M3699" t="str">
        <f t="shared" si="1515"/>
        <v>04-08-2020</v>
      </c>
      <c r="N3699" t="str">
        <f t="shared" si="1499"/>
        <v>001105018356</v>
      </c>
      <c r="O3699" t="str">
        <f t="shared" si="1500"/>
        <v>MYR</v>
      </c>
      <c r="P3699" t="str">
        <f t="shared" si="1516"/>
        <v>NIL</v>
      </c>
      <c r="Q3699" t="str">
        <f t="shared" si="1516"/>
        <v>NIL</v>
      </c>
      <c r="R3699" t="str">
        <f t="shared" si="1501"/>
        <v>Accepted</v>
      </c>
      <c r="S3699" t="str">
        <f t="shared" si="1502"/>
        <v>Approved</v>
      </c>
      <c r="T3699" t="str">
        <f t="shared" si="1503"/>
        <v>10.20.8.188</v>
      </c>
      <c r="U3699" t="str">
        <f t="shared" si="1504"/>
        <v>AZRAD UMAR BIN SHAARI</v>
      </c>
      <c r="V3699" t="str">
        <f t="shared" si="1505"/>
        <v>FARHANA BINTI MUSTAPA</v>
      </c>
      <c r="W3699" t="str">
        <f t="shared" si="1506"/>
        <v>04-08-2020</v>
      </c>
      <c r="X3699" t="str">
        <f t="shared" si="1507"/>
        <v>RAZIMAH ANSAR AHMAD</v>
      </c>
      <c r="Y3699" t="str">
        <f t="shared" si="1508"/>
        <v>04-08-2020</v>
      </c>
      <c r="Z3699" t="str">
        <f>"COS10200804 5255"</f>
        <v>COS10200804 5255</v>
      </c>
    </row>
    <row r="3700" spans="1:26" x14ac:dyDescent="0.25">
      <c r="A3700" t="str">
        <f t="shared" si="1513"/>
        <v>04-08-2020 12:56:45</v>
      </c>
      <c r="B3700" t="str">
        <f>"0000807242"</f>
        <v>0000807242</v>
      </c>
      <c r="C3700" t="str">
        <f t="shared" si="1514"/>
        <v>0000807188</v>
      </c>
      <c r="D3700" t="str">
        <f t="shared" si="1496"/>
        <v>73185</v>
      </c>
      <c r="E3700" t="str">
        <f t="shared" si="1497"/>
        <v>KFH-OPERATIONS DEPARTMENT</v>
      </c>
      <c r="F3700" t="str">
        <f t="shared" si="1498"/>
        <v>IBG</v>
      </c>
      <c r="G3700" t="str">
        <f t="shared" si="1509"/>
        <v>Refund COSHARE 10</v>
      </c>
      <c r="H3700" s="2">
        <v>46</v>
      </c>
      <c r="I3700" t="str">
        <f>"MASRI BIN MAT ZAIN"</f>
        <v>MASRI BIN MAT ZAIN</v>
      </c>
      <c r="J3700" t="str">
        <f t="shared" si="1510"/>
        <v>MAYBANK / MAYBANK ISLAMIC</v>
      </c>
      <c r="K3700" t="str">
        <f>"102054831130"</f>
        <v>102054831130</v>
      </c>
      <c r="L3700" t="str">
        <f t="shared" si="1515"/>
        <v>04-08-2020</v>
      </c>
      <c r="M3700" t="str">
        <f t="shared" si="1515"/>
        <v>04-08-2020</v>
      </c>
      <c r="N3700" t="str">
        <f t="shared" si="1499"/>
        <v>001105018356</v>
      </c>
      <c r="O3700" t="str">
        <f t="shared" si="1500"/>
        <v>MYR</v>
      </c>
      <c r="P3700" t="str">
        <f t="shared" si="1516"/>
        <v>NIL</v>
      </c>
      <c r="Q3700" t="str">
        <f t="shared" si="1516"/>
        <v>NIL</v>
      </c>
      <c r="R3700" t="str">
        <f t="shared" si="1501"/>
        <v>Accepted</v>
      </c>
      <c r="S3700" t="str">
        <f t="shared" si="1502"/>
        <v>Approved</v>
      </c>
      <c r="T3700" t="str">
        <f t="shared" si="1503"/>
        <v>10.20.8.188</v>
      </c>
      <c r="U3700" t="str">
        <f t="shared" si="1504"/>
        <v>AZRAD UMAR BIN SHAARI</v>
      </c>
      <c r="V3700" t="str">
        <f t="shared" si="1505"/>
        <v>FARHANA BINTI MUSTAPA</v>
      </c>
      <c r="W3700" t="str">
        <f t="shared" si="1506"/>
        <v>04-08-2020</v>
      </c>
      <c r="X3700" t="str">
        <f t="shared" si="1507"/>
        <v>RAZIMAH ANSAR AHMAD</v>
      </c>
      <c r="Y3700" t="str">
        <f t="shared" si="1508"/>
        <v>04-08-2020</v>
      </c>
      <c r="Z3700" t="str">
        <f>"COS10200804 5254"</f>
        <v>COS10200804 5254</v>
      </c>
    </row>
    <row r="3701" spans="1:26" x14ac:dyDescent="0.25">
      <c r="A3701" t="str">
        <f t="shared" si="1513"/>
        <v>04-08-2020 12:56:45</v>
      </c>
      <c r="B3701" t="str">
        <f>"0000807241"</f>
        <v>0000807241</v>
      </c>
      <c r="C3701" t="str">
        <f t="shared" si="1514"/>
        <v>0000807188</v>
      </c>
      <c r="D3701" t="str">
        <f t="shared" si="1496"/>
        <v>73185</v>
      </c>
      <c r="E3701" t="str">
        <f t="shared" si="1497"/>
        <v>KFH-OPERATIONS DEPARTMENT</v>
      </c>
      <c r="F3701" t="str">
        <f t="shared" si="1498"/>
        <v>IBG</v>
      </c>
      <c r="G3701" t="str">
        <f t="shared" si="1509"/>
        <v>Refund COSHARE 10</v>
      </c>
      <c r="H3701" s="2">
        <v>151.15</v>
      </c>
      <c r="I3701" t="str">
        <f>"MASRI BIN MAT ZAIN"</f>
        <v>MASRI BIN MAT ZAIN</v>
      </c>
      <c r="J3701" t="str">
        <f t="shared" si="1510"/>
        <v>MAYBANK / MAYBANK ISLAMIC</v>
      </c>
      <c r="K3701" t="str">
        <f>"102054831130"</f>
        <v>102054831130</v>
      </c>
      <c r="L3701" t="str">
        <f t="shared" si="1515"/>
        <v>04-08-2020</v>
      </c>
      <c r="M3701" t="str">
        <f t="shared" si="1515"/>
        <v>04-08-2020</v>
      </c>
      <c r="N3701" t="str">
        <f t="shared" si="1499"/>
        <v>001105018356</v>
      </c>
      <c r="O3701" t="str">
        <f t="shared" si="1500"/>
        <v>MYR</v>
      </c>
      <c r="P3701" t="str">
        <f t="shared" si="1516"/>
        <v>NIL</v>
      </c>
      <c r="Q3701" t="str">
        <f t="shared" si="1516"/>
        <v>NIL</v>
      </c>
      <c r="R3701" t="str">
        <f t="shared" si="1501"/>
        <v>Accepted</v>
      </c>
      <c r="S3701" t="str">
        <f t="shared" si="1502"/>
        <v>Approved</v>
      </c>
      <c r="T3701" t="str">
        <f t="shared" si="1503"/>
        <v>10.20.8.188</v>
      </c>
      <c r="U3701" t="str">
        <f t="shared" si="1504"/>
        <v>AZRAD UMAR BIN SHAARI</v>
      </c>
      <c r="V3701" t="str">
        <f t="shared" si="1505"/>
        <v>FARHANA BINTI MUSTAPA</v>
      </c>
      <c r="W3701" t="str">
        <f t="shared" si="1506"/>
        <v>04-08-2020</v>
      </c>
      <c r="X3701" t="str">
        <f t="shared" si="1507"/>
        <v>RAZIMAH ANSAR AHMAD</v>
      </c>
      <c r="Y3701" t="str">
        <f t="shared" si="1508"/>
        <v>04-08-2020</v>
      </c>
      <c r="Z3701" t="str">
        <f>"COS10200804 5253"</f>
        <v>COS10200804 5253</v>
      </c>
    </row>
    <row r="3702" spans="1:26" x14ac:dyDescent="0.25">
      <c r="A3702" t="str">
        <f t="shared" si="1513"/>
        <v>04-08-2020 12:56:45</v>
      </c>
      <c r="B3702" t="str">
        <f>"0000807240"</f>
        <v>0000807240</v>
      </c>
      <c r="C3702" t="str">
        <f t="shared" si="1514"/>
        <v>0000807188</v>
      </c>
      <c r="D3702" t="str">
        <f t="shared" si="1496"/>
        <v>73185</v>
      </c>
      <c r="E3702" t="str">
        <f t="shared" si="1497"/>
        <v>KFH-OPERATIONS DEPARTMENT</v>
      </c>
      <c r="F3702" t="str">
        <f t="shared" si="1498"/>
        <v>IBG</v>
      </c>
      <c r="G3702" t="str">
        <f t="shared" si="1509"/>
        <v>Refund COSHARE 10</v>
      </c>
      <c r="H3702" s="2">
        <v>822.7</v>
      </c>
      <c r="I3702" t="str">
        <f>"MASRI BIN HALIT"</f>
        <v>MASRI BIN HALIT</v>
      </c>
      <c r="J3702" t="str">
        <f t="shared" si="1510"/>
        <v>MAYBANK / MAYBANK ISLAMIC</v>
      </c>
      <c r="K3702" t="str">
        <f>"114075717444"</f>
        <v>114075717444</v>
      </c>
      <c r="L3702" t="str">
        <f t="shared" si="1515"/>
        <v>04-08-2020</v>
      </c>
      <c r="M3702" t="str">
        <f t="shared" si="1515"/>
        <v>04-08-2020</v>
      </c>
      <c r="N3702" t="str">
        <f t="shared" si="1499"/>
        <v>001105018356</v>
      </c>
      <c r="O3702" t="str">
        <f t="shared" si="1500"/>
        <v>MYR</v>
      </c>
      <c r="P3702" t="str">
        <f t="shared" si="1516"/>
        <v>NIL</v>
      </c>
      <c r="Q3702" t="str">
        <f t="shared" si="1516"/>
        <v>NIL</v>
      </c>
      <c r="R3702" t="str">
        <f t="shared" si="1501"/>
        <v>Accepted</v>
      </c>
      <c r="S3702" t="str">
        <f t="shared" si="1502"/>
        <v>Approved</v>
      </c>
      <c r="T3702" t="str">
        <f t="shared" si="1503"/>
        <v>10.20.8.188</v>
      </c>
      <c r="U3702" t="str">
        <f t="shared" si="1504"/>
        <v>AZRAD UMAR BIN SHAARI</v>
      </c>
      <c r="V3702" t="str">
        <f t="shared" si="1505"/>
        <v>FARHANA BINTI MUSTAPA</v>
      </c>
      <c r="W3702" t="str">
        <f t="shared" si="1506"/>
        <v>04-08-2020</v>
      </c>
      <c r="X3702" t="str">
        <f t="shared" si="1507"/>
        <v>RAZIMAH ANSAR AHMAD</v>
      </c>
      <c r="Y3702" t="str">
        <f t="shared" si="1508"/>
        <v>04-08-2020</v>
      </c>
      <c r="Z3702" t="str">
        <f>"COS10200804 5252"</f>
        <v>COS10200804 5252</v>
      </c>
    </row>
    <row r="3703" spans="1:26" x14ac:dyDescent="0.25">
      <c r="A3703" t="str">
        <f t="shared" si="1513"/>
        <v>04-08-2020 12:56:45</v>
      </c>
      <c r="B3703" t="str">
        <f>"0000807239"</f>
        <v>0000807239</v>
      </c>
      <c r="C3703" t="str">
        <f t="shared" si="1514"/>
        <v>0000807188</v>
      </c>
      <c r="D3703" t="str">
        <f t="shared" si="1496"/>
        <v>73185</v>
      </c>
      <c r="E3703" t="str">
        <f t="shared" si="1497"/>
        <v>KFH-OPERATIONS DEPARTMENT</v>
      </c>
      <c r="F3703" t="str">
        <f t="shared" si="1498"/>
        <v>IBG</v>
      </c>
      <c r="G3703" t="str">
        <f t="shared" si="1509"/>
        <v>Refund COSHARE 10</v>
      </c>
      <c r="H3703" s="2">
        <v>1435.55</v>
      </c>
      <c r="I3703" t="str">
        <f>"MASNITA BINTI MAIDIN"</f>
        <v>MASNITA BINTI MAIDIN</v>
      </c>
      <c r="J3703" t="str">
        <f t="shared" si="1510"/>
        <v>MAYBANK / MAYBANK ISLAMIC</v>
      </c>
      <c r="K3703" t="str">
        <f>"153010227096"</f>
        <v>153010227096</v>
      </c>
      <c r="L3703" t="str">
        <f t="shared" si="1515"/>
        <v>04-08-2020</v>
      </c>
      <c r="M3703" t="str">
        <f t="shared" si="1515"/>
        <v>04-08-2020</v>
      </c>
      <c r="N3703" t="str">
        <f t="shared" si="1499"/>
        <v>001105018356</v>
      </c>
      <c r="O3703" t="str">
        <f t="shared" si="1500"/>
        <v>MYR</v>
      </c>
      <c r="P3703" t="str">
        <f t="shared" si="1516"/>
        <v>NIL</v>
      </c>
      <c r="Q3703" t="str">
        <f t="shared" si="1516"/>
        <v>NIL</v>
      </c>
      <c r="R3703" t="str">
        <f t="shared" si="1501"/>
        <v>Accepted</v>
      </c>
      <c r="S3703" t="str">
        <f t="shared" si="1502"/>
        <v>Approved</v>
      </c>
      <c r="T3703" t="str">
        <f t="shared" si="1503"/>
        <v>10.20.8.188</v>
      </c>
      <c r="U3703" t="str">
        <f t="shared" si="1504"/>
        <v>AZRAD UMAR BIN SHAARI</v>
      </c>
      <c r="V3703" t="str">
        <f t="shared" si="1505"/>
        <v>FARHANA BINTI MUSTAPA</v>
      </c>
      <c r="W3703" t="str">
        <f t="shared" si="1506"/>
        <v>04-08-2020</v>
      </c>
      <c r="X3703" t="str">
        <f t="shared" si="1507"/>
        <v>RAZIMAH ANSAR AHMAD</v>
      </c>
      <c r="Y3703" t="str">
        <f t="shared" si="1508"/>
        <v>04-08-2020</v>
      </c>
      <c r="Z3703" t="str">
        <f>"COS10200804 5251"</f>
        <v>COS10200804 5251</v>
      </c>
    </row>
    <row r="3704" spans="1:26" x14ac:dyDescent="0.25">
      <c r="A3704" t="str">
        <f t="shared" si="1513"/>
        <v>04-08-2020 12:56:45</v>
      </c>
      <c r="B3704" t="str">
        <f>"0000807238"</f>
        <v>0000807238</v>
      </c>
      <c r="C3704" t="str">
        <f t="shared" si="1514"/>
        <v>0000807188</v>
      </c>
      <c r="D3704" t="str">
        <f t="shared" si="1496"/>
        <v>73185</v>
      </c>
      <c r="E3704" t="str">
        <f t="shared" si="1497"/>
        <v>KFH-OPERATIONS DEPARTMENT</v>
      </c>
      <c r="F3704" t="str">
        <f t="shared" si="1498"/>
        <v>IBG</v>
      </c>
      <c r="G3704" t="str">
        <f t="shared" si="1509"/>
        <v>Refund COSHARE 10</v>
      </c>
      <c r="H3704" s="2">
        <v>461.75</v>
      </c>
      <c r="I3704" t="str">
        <f>"MASNIH BINTI ASMARI"</f>
        <v>MASNIH BINTI ASMARI</v>
      </c>
      <c r="J3704" t="str">
        <f t="shared" si="1510"/>
        <v>MAYBANK / MAYBANK ISLAMIC</v>
      </c>
      <c r="K3704" t="str">
        <f>"160102011877"</f>
        <v>160102011877</v>
      </c>
      <c r="L3704" t="str">
        <f t="shared" si="1515"/>
        <v>04-08-2020</v>
      </c>
      <c r="M3704" t="str">
        <f t="shared" si="1515"/>
        <v>04-08-2020</v>
      </c>
      <c r="N3704" t="str">
        <f t="shared" si="1499"/>
        <v>001105018356</v>
      </c>
      <c r="O3704" t="str">
        <f t="shared" si="1500"/>
        <v>MYR</v>
      </c>
      <c r="P3704" t="str">
        <f t="shared" si="1516"/>
        <v>NIL</v>
      </c>
      <c r="Q3704" t="str">
        <f t="shared" si="1516"/>
        <v>NIL</v>
      </c>
      <c r="R3704" t="str">
        <f t="shared" si="1501"/>
        <v>Accepted</v>
      </c>
      <c r="S3704" t="str">
        <f t="shared" si="1502"/>
        <v>Approved</v>
      </c>
      <c r="T3704" t="str">
        <f t="shared" si="1503"/>
        <v>10.20.8.188</v>
      </c>
      <c r="U3704" t="str">
        <f t="shared" si="1504"/>
        <v>AZRAD UMAR BIN SHAARI</v>
      </c>
      <c r="V3704" t="str">
        <f t="shared" si="1505"/>
        <v>FARHANA BINTI MUSTAPA</v>
      </c>
      <c r="W3704" t="str">
        <f t="shared" si="1506"/>
        <v>04-08-2020</v>
      </c>
      <c r="X3704" t="str">
        <f t="shared" si="1507"/>
        <v>RAZIMAH ANSAR AHMAD</v>
      </c>
      <c r="Y3704" t="str">
        <f t="shared" si="1508"/>
        <v>04-08-2020</v>
      </c>
      <c r="Z3704" t="str">
        <f>"COS10200804 5250"</f>
        <v>COS10200804 5250</v>
      </c>
    </row>
    <row r="3705" spans="1:26" x14ac:dyDescent="0.25">
      <c r="A3705" t="str">
        <f t="shared" si="1513"/>
        <v>04-08-2020 12:56:45</v>
      </c>
      <c r="B3705" t="str">
        <f>"0000807237"</f>
        <v>0000807237</v>
      </c>
      <c r="C3705" t="str">
        <f t="shared" si="1514"/>
        <v>0000807188</v>
      </c>
      <c r="D3705" t="str">
        <f t="shared" si="1496"/>
        <v>73185</v>
      </c>
      <c r="E3705" t="str">
        <f t="shared" si="1497"/>
        <v>KFH-OPERATIONS DEPARTMENT</v>
      </c>
      <c r="F3705" t="str">
        <f t="shared" si="1498"/>
        <v>IBG</v>
      </c>
      <c r="G3705" t="str">
        <f t="shared" si="1509"/>
        <v>Refund COSHARE 10</v>
      </c>
      <c r="H3705" s="2">
        <v>1679</v>
      </c>
      <c r="I3705" t="str">
        <f>"MASNI BINTI JAAFAR"</f>
        <v>MASNI BINTI JAAFAR</v>
      </c>
      <c r="J3705" t="str">
        <f t="shared" si="1510"/>
        <v>MAYBANK / MAYBANK ISLAMIC</v>
      </c>
      <c r="K3705" t="str">
        <f>"155032257362"</f>
        <v>155032257362</v>
      </c>
      <c r="L3705" t="str">
        <f t="shared" si="1515"/>
        <v>04-08-2020</v>
      </c>
      <c r="M3705" t="str">
        <f t="shared" si="1515"/>
        <v>04-08-2020</v>
      </c>
      <c r="N3705" t="str">
        <f t="shared" si="1499"/>
        <v>001105018356</v>
      </c>
      <c r="O3705" t="str">
        <f t="shared" si="1500"/>
        <v>MYR</v>
      </c>
      <c r="P3705" t="str">
        <f t="shared" si="1516"/>
        <v>NIL</v>
      </c>
      <c r="Q3705" t="str">
        <f t="shared" si="1516"/>
        <v>NIL</v>
      </c>
      <c r="R3705" t="str">
        <f t="shared" si="1501"/>
        <v>Accepted</v>
      </c>
      <c r="S3705" t="str">
        <f t="shared" si="1502"/>
        <v>Approved</v>
      </c>
      <c r="T3705" t="str">
        <f t="shared" si="1503"/>
        <v>10.20.8.188</v>
      </c>
      <c r="U3705" t="str">
        <f t="shared" si="1504"/>
        <v>AZRAD UMAR BIN SHAARI</v>
      </c>
      <c r="V3705" t="str">
        <f t="shared" si="1505"/>
        <v>FARHANA BINTI MUSTAPA</v>
      </c>
      <c r="W3705" t="str">
        <f t="shared" si="1506"/>
        <v>04-08-2020</v>
      </c>
      <c r="X3705" t="str">
        <f t="shared" si="1507"/>
        <v>RAZIMAH ANSAR AHMAD</v>
      </c>
      <c r="Y3705" t="str">
        <f t="shared" si="1508"/>
        <v>04-08-2020</v>
      </c>
      <c r="Z3705" t="str">
        <f>"COS10200804 5249"</f>
        <v>COS10200804 5249</v>
      </c>
    </row>
    <row r="3706" spans="1:26" x14ac:dyDescent="0.25">
      <c r="A3706" t="str">
        <f t="shared" si="1513"/>
        <v>04-08-2020 12:56:45</v>
      </c>
      <c r="B3706" t="str">
        <f>"0000807236"</f>
        <v>0000807236</v>
      </c>
      <c r="C3706" t="str">
        <f t="shared" si="1514"/>
        <v>0000807188</v>
      </c>
      <c r="D3706" t="str">
        <f t="shared" si="1496"/>
        <v>73185</v>
      </c>
      <c r="E3706" t="str">
        <f t="shared" si="1497"/>
        <v>KFH-OPERATIONS DEPARTMENT</v>
      </c>
      <c r="F3706" t="str">
        <f t="shared" si="1498"/>
        <v>IBG</v>
      </c>
      <c r="G3706" t="str">
        <f t="shared" si="1509"/>
        <v>Refund COSHARE 10</v>
      </c>
      <c r="H3706" s="2">
        <v>193.1</v>
      </c>
      <c r="I3706" t="str">
        <f>"MASNI BINTI ABDULLAH"</f>
        <v>MASNI BINTI ABDULLAH</v>
      </c>
      <c r="J3706" t="str">
        <f t="shared" si="1510"/>
        <v>MAYBANK / MAYBANK ISLAMIC</v>
      </c>
      <c r="K3706" t="str">
        <f>"164397931360"</f>
        <v>164397931360</v>
      </c>
      <c r="L3706" t="str">
        <f t="shared" si="1515"/>
        <v>04-08-2020</v>
      </c>
      <c r="M3706" t="str">
        <f t="shared" si="1515"/>
        <v>04-08-2020</v>
      </c>
      <c r="N3706" t="str">
        <f t="shared" si="1499"/>
        <v>001105018356</v>
      </c>
      <c r="O3706" t="str">
        <f t="shared" si="1500"/>
        <v>MYR</v>
      </c>
      <c r="P3706" t="str">
        <f t="shared" si="1516"/>
        <v>NIL</v>
      </c>
      <c r="Q3706" t="str">
        <f t="shared" si="1516"/>
        <v>NIL</v>
      </c>
      <c r="R3706" t="str">
        <f t="shared" si="1501"/>
        <v>Accepted</v>
      </c>
      <c r="S3706" t="str">
        <f t="shared" si="1502"/>
        <v>Approved</v>
      </c>
      <c r="T3706" t="str">
        <f t="shared" si="1503"/>
        <v>10.20.8.188</v>
      </c>
      <c r="U3706" t="str">
        <f t="shared" si="1504"/>
        <v>AZRAD UMAR BIN SHAARI</v>
      </c>
      <c r="V3706" t="str">
        <f t="shared" si="1505"/>
        <v>FARHANA BINTI MUSTAPA</v>
      </c>
      <c r="W3706" t="str">
        <f t="shared" si="1506"/>
        <v>04-08-2020</v>
      </c>
      <c r="X3706" t="str">
        <f t="shared" si="1507"/>
        <v>RAZIMAH ANSAR AHMAD</v>
      </c>
      <c r="Y3706" t="str">
        <f t="shared" si="1508"/>
        <v>04-08-2020</v>
      </c>
      <c r="Z3706" t="str">
        <f>"COS10200804 5248"</f>
        <v>COS10200804 5248</v>
      </c>
    </row>
    <row r="3707" spans="1:26" x14ac:dyDescent="0.25">
      <c r="A3707" t="str">
        <f t="shared" si="1513"/>
        <v>04-08-2020 12:56:45</v>
      </c>
      <c r="B3707" t="str">
        <f>"0000807235"</f>
        <v>0000807235</v>
      </c>
      <c r="C3707" t="str">
        <f t="shared" si="1514"/>
        <v>0000807188</v>
      </c>
      <c r="D3707" t="str">
        <f t="shared" si="1496"/>
        <v>73185</v>
      </c>
      <c r="E3707" t="str">
        <f t="shared" si="1497"/>
        <v>KFH-OPERATIONS DEPARTMENT</v>
      </c>
      <c r="F3707" t="str">
        <f t="shared" si="1498"/>
        <v>IBG</v>
      </c>
      <c r="G3707" t="str">
        <f t="shared" si="1509"/>
        <v>Refund COSHARE 10</v>
      </c>
      <c r="H3707" s="2">
        <v>1396</v>
      </c>
      <c r="I3707" t="str">
        <f>"MASNAN BIN BUSRAH"</f>
        <v>MASNAN BIN BUSRAH</v>
      </c>
      <c r="J3707" t="str">
        <f t="shared" si="1510"/>
        <v>MAYBANK / MAYBANK ISLAMIC</v>
      </c>
      <c r="K3707" t="str">
        <f>"161190072285"</f>
        <v>161190072285</v>
      </c>
      <c r="L3707" t="str">
        <f t="shared" ref="L3707:M3726" si="1517">"04-08-2020"</f>
        <v>04-08-2020</v>
      </c>
      <c r="M3707" t="str">
        <f t="shared" si="1517"/>
        <v>04-08-2020</v>
      </c>
      <c r="N3707" t="str">
        <f t="shared" si="1499"/>
        <v>001105018356</v>
      </c>
      <c r="O3707" t="str">
        <f t="shared" si="1500"/>
        <v>MYR</v>
      </c>
      <c r="P3707" t="str">
        <f t="shared" ref="P3707:Q3726" si="1518">"NIL"</f>
        <v>NIL</v>
      </c>
      <c r="Q3707" t="str">
        <f t="shared" si="1518"/>
        <v>NIL</v>
      </c>
      <c r="R3707" t="str">
        <f t="shared" si="1501"/>
        <v>Accepted</v>
      </c>
      <c r="S3707" t="str">
        <f t="shared" si="1502"/>
        <v>Approved</v>
      </c>
      <c r="T3707" t="str">
        <f t="shared" si="1503"/>
        <v>10.20.8.188</v>
      </c>
      <c r="U3707" t="str">
        <f t="shared" si="1504"/>
        <v>AZRAD UMAR BIN SHAARI</v>
      </c>
      <c r="V3707" t="str">
        <f t="shared" si="1505"/>
        <v>FARHANA BINTI MUSTAPA</v>
      </c>
      <c r="W3707" t="str">
        <f t="shared" si="1506"/>
        <v>04-08-2020</v>
      </c>
      <c r="X3707" t="str">
        <f t="shared" si="1507"/>
        <v>RAZIMAH ANSAR AHMAD</v>
      </c>
      <c r="Y3707" t="str">
        <f t="shared" si="1508"/>
        <v>04-08-2020</v>
      </c>
      <c r="Z3707" t="str">
        <f>"COS10200804 5247"</f>
        <v>COS10200804 5247</v>
      </c>
    </row>
    <row r="3708" spans="1:26" x14ac:dyDescent="0.25">
      <c r="A3708" t="str">
        <f t="shared" si="1513"/>
        <v>04-08-2020 12:56:45</v>
      </c>
      <c r="B3708" t="str">
        <f>"0000807234"</f>
        <v>0000807234</v>
      </c>
      <c r="C3708" t="str">
        <f t="shared" si="1514"/>
        <v>0000807188</v>
      </c>
      <c r="D3708" t="str">
        <f t="shared" si="1496"/>
        <v>73185</v>
      </c>
      <c r="E3708" t="str">
        <f t="shared" si="1497"/>
        <v>KFH-OPERATIONS DEPARTMENT</v>
      </c>
      <c r="F3708" t="str">
        <f t="shared" si="1498"/>
        <v>IBG</v>
      </c>
      <c r="G3708" t="str">
        <f t="shared" si="1509"/>
        <v>Refund COSHARE 10</v>
      </c>
      <c r="H3708" s="2">
        <v>183</v>
      </c>
      <c r="I3708" t="str">
        <f>"MASLIZAH BINTI ISMAIL"</f>
        <v>MASLIZAH BINTI ISMAIL</v>
      </c>
      <c r="J3708" t="str">
        <f t="shared" si="1510"/>
        <v>MAYBANK / MAYBANK ISLAMIC</v>
      </c>
      <c r="K3708" t="str">
        <f>"151061325287"</f>
        <v>151061325287</v>
      </c>
      <c r="L3708" t="str">
        <f t="shared" si="1517"/>
        <v>04-08-2020</v>
      </c>
      <c r="M3708" t="str">
        <f t="shared" si="1517"/>
        <v>04-08-2020</v>
      </c>
      <c r="N3708" t="str">
        <f t="shared" si="1499"/>
        <v>001105018356</v>
      </c>
      <c r="O3708" t="str">
        <f t="shared" si="1500"/>
        <v>MYR</v>
      </c>
      <c r="P3708" t="str">
        <f t="shared" si="1518"/>
        <v>NIL</v>
      </c>
      <c r="Q3708" t="str">
        <f t="shared" si="1518"/>
        <v>NIL</v>
      </c>
      <c r="R3708" t="str">
        <f t="shared" si="1501"/>
        <v>Accepted</v>
      </c>
      <c r="S3708" t="str">
        <f t="shared" si="1502"/>
        <v>Approved</v>
      </c>
      <c r="T3708" t="str">
        <f t="shared" si="1503"/>
        <v>10.20.8.188</v>
      </c>
      <c r="U3708" t="str">
        <f t="shared" si="1504"/>
        <v>AZRAD UMAR BIN SHAARI</v>
      </c>
      <c r="V3708" t="str">
        <f t="shared" si="1505"/>
        <v>FARHANA BINTI MUSTAPA</v>
      </c>
      <c r="W3708" t="str">
        <f t="shared" si="1506"/>
        <v>04-08-2020</v>
      </c>
      <c r="X3708" t="str">
        <f t="shared" si="1507"/>
        <v>RAZIMAH ANSAR AHMAD</v>
      </c>
      <c r="Y3708" t="str">
        <f t="shared" si="1508"/>
        <v>04-08-2020</v>
      </c>
      <c r="Z3708" t="str">
        <f>"COS10200804 5246"</f>
        <v>COS10200804 5246</v>
      </c>
    </row>
    <row r="3709" spans="1:26" x14ac:dyDescent="0.25">
      <c r="A3709" t="str">
        <f t="shared" si="1513"/>
        <v>04-08-2020 12:56:45</v>
      </c>
      <c r="B3709" t="str">
        <f>"0000807233"</f>
        <v>0000807233</v>
      </c>
      <c r="C3709" t="str">
        <f t="shared" si="1514"/>
        <v>0000807188</v>
      </c>
      <c r="D3709" t="str">
        <f t="shared" si="1496"/>
        <v>73185</v>
      </c>
      <c r="E3709" t="str">
        <f t="shared" si="1497"/>
        <v>KFH-OPERATIONS DEPARTMENT</v>
      </c>
      <c r="F3709" t="str">
        <f t="shared" si="1498"/>
        <v>IBG</v>
      </c>
      <c r="G3709" t="str">
        <f t="shared" si="1509"/>
        <v>Refund COSHARE 10</v>
      </c>
      <c r="H3709" s="2">
        <v>1066.1500000000001</v>
      </c>
      <c r="I3709" t="str">
        <f>"MASLINDA BINTI MOKHTAR"</f>
        <v>MASLINDA BINTI MOKHTAR</v>
      </c>
      <c r="J3709" t="str">
        <f t="shared" si="1510"/>
        <v>MAYBANK / MAYBANK ISLAMIC</v>
      </c>
      <c r="K3709" t="str">
        <f>"101133261784"</f>
        <v>101133261784</v>
      </c>
      <c r="L3709" t="str">
        <f t="shared" si="1517"/>
        <v>04-08-2020</v>
      </c>
      <c r="M3709" t="str">
        <f t="shared" si="1517"/>
        <v>04-08-2020</v>
      </c>
      <c r="N3709" t="str">
        <f t="shared" si="1499"/>
        <v>001105018356</v>
      </c>
      <c r="O3709" t="str">
        <f t="shared" si="1500"/>
        <v>MYR</v>
      </c>
      <c r="P3709" t="str">
        <f t="shared" si="1518"/>
        <v>NIL</v>
      </c>
      <c r="Q3709" t="str">
        <f t="shared" si="1518"/>
        <v>NIL</v>
      </c>
      <c r="R3709" t="str">
        <f t="shared" si="1501"/>
        <v>Accepted</v>
      </c>
      <c r="S3709" t="str">
        <f t="shared" si="1502"/>
        <v>Approved</v>
      </c>
      <c r="T3709" t="str">
        <f t="shared" si="1503"/>
        <v>10.20.8.188</v>
      </c>
      <c r="U3709" t="str">
        <f t="shared" si="1504"/>
        <v>AZRAD UMAR BIN SHAARI</v>
      </c>
      <c r="V3709" t="str">
        <f t="shared" si="1505"/>
        <v>FARHANA BINTI MUSTAPA</v>
      </c>
      <c r="W3709" t="str">
        <f t="shared" si="1506"/>
        <v>04-08-2020</v>
      </c>
      <c r="X3709" t="str">
        <f t="shared" si="1507"/>
        <v>RAZIMAH ANSAR AHMAD</v>
      </c>
      <c r="Y3709" t="str">
        <f t="shared" si="1508"/>
        <v>04-08-2020</v>
      </c>
      <c r="Z3709" t="str">
        <f>"COS10200804 5245"</f>
        <v>COS10200804 5245</v>
      </c>
    </row>
    <row r="3710" spans="1:26" x14ac:dyDescent="0.25">
      <c r="A3710" t="str">
        <f t="shared" si="1513"/>
        <v>04-08-2020 12:56:45</v>
      </c>
      <c r="B3710" t="str">
        <f>"0000807232"</f>
        <v>0000807232</v>
      </c>
      <c r="C3710" t="str">
        <f t="shared" si="1514"/>
        <v>0000807188</v>
      </c>
      <c r="D3710" t="str">
        <f t="shared" si="1496"/>
        <v>73185</v>
      </c>
      <c r="E3710" t="str">
        <f t="shared" si="1497"/>
        <v>KFH-OPERATIONS DEPARTMENT</v>
      </c>
      <c r="F3710" t="str">
        <f t="shared" si="1498"/>
        <v>IBG</v>
      </c>
      <c r="G3710" t="str">
        <f t="shared" si="1509"/>
        <v>Refund COSHARE 10</v>
      </c>
      <c r="H3710" s="2">
        <v>358</v>
      </c>
      <c r="I3710" t="str">
        <f>"MASLINA BINTI YUSOP"</f>
        <v>MASLINA BINTI YUSOP</v>
      </c>
      <c r="J3710" t="str">
        <f t="shared" si="1510"/>
        <v>MAYBANK / MAYBANK ISLAMIC</v>
      </c>
      <c r="K3710" t="str">
        <f>"162834016442"</f>
        <v>162834016442</v>
      </c>
      <c r="L3710" t="str">
        <f t="shared" si="1517"/>
        <v>04-08-2020</v>
      </c>
      <c r="M3710" t="str">
        <f t="shared" si="1517"/>
        <v>04-08-2020</v>
      </c>
      <c r="N3710" t="str">
        <f t="shared" si="1499"/>
        <v>001105018356</v>
      </c>
      <c r="O3710" t="str">
        <f t="shared" si="1500"/>
        <v>MYR</v>
      </c>
      <c r="P3710" t="str">
        <f t="shared" si="1518"/>
        <v>NIL</v>
      </c>
      <c r="Q3710" t="str">
        <f t="shared" si="1518"/>
        <v>NIL</v>
      </c>
      <c r="R3710" t="str">
        <f t="shared" si="1501"/>
        <v>Accepted</v>
      </c>
      <c r="S3710" t="str">
        <f t="shared" si="1502"/>
        <v>Approved</v>
      </c>
      <c r="T3710" t="str">
        <f t="shared" si="1503"/>
        <v>10.20.8.188</v>
      </c>
      <c r="U3710" t="str">
        <f t="shared" si="1504"/>
        <v>AZRAD UMAR BIN SHAARI</v>
      </c>
      <c r="V3710" t="str">
        <f t="shared" si="1505"/>
        <v>FARHANA BINTI MUSTAPA</v>
      </c>
      <c r="W3710" t="str">
        <f t="shared" si="1506"/>
        <v>04-08-2020</v>
      </c>
      <c r="X3710" t="str">
        <f t="shared" si="1507"/>
        <v>RAZIMAH ANSAR AHMAD</v>
      </c>
      <c r="Y3710" t="str">
        <f t="shared" si="1508"/>
        <v>04-08-2020</v>
      </c>
      <c r="Z3710" t="str">
        <f>"COS10200804 5244"</f>
        <v>COS10200804 5244</v>
      </c>
    </row>
    <row r="3711" spans="1:26" x14ac:dyDescent="0.25">
      <c r="A3711" t="str">
        <f t="shared" si="1513"/>
        <v>04-08-2020 12:56:45</v>
      </c>
      <c r="B3711" t="str">
        <f>"0000807231"</f>
        <v>0000807231</v>
      </c>
      <c r="C3711" t="str">
        <f t="shared" si="1514"/>
        <v>0000807188</v>
      </c>
      <c r="D3711" t="str">
        <f t="shared" si="1496"/>
        <v>73185</v>
      </c>
      <c r="E3711" t="str">
        <f t="shared" si="1497"/>
        <v>KFH-OPERATIONS DEPARTMENT</v>
      </c>
      <c r="F3711" t="str">
        <f t="shared" si="1498"/>
        <v>IBG</v>
      </c>
      <c r="G3711" t="str">
        <f t="shared" si="1509"/>
        <v>Refund COSHARE 10</v>
      </c>
      <c r="H3711" s="2">
        <v>2026.65</v>
      </c>
      <c r="I3711" t="str">
        <f>"MASLINA BINTI REJOH"</f>
        <v>MASLINA BINTI REJOH</v>
      </c>
      <c r="J3711" t="str">
        <f t="shared" si="1510"/>
        <v>MAYBANK / MAYBANK ISLAMIC</v>
      </c>
      <c r="K3711" t="str">
        <f>"151100041842"</f>
        <v>151100041842</v>
      </c>
      <c r="L3711" t="str">
        <f t="shared" si="1517"/>
        <v>04-08-2020</v>
      </c>
      <c r="M3711" t="str">
        <f t="shared" si="1517"/>
        <v>04-08-2020</v>
      </c>
      <c r="N3711" t="str">
        <f t="shared" si="1499"/>
        <v>001105018356</v>
      </c>
      <c r="O3711" t="str">
        <f t="shared" si="1500"/>
        <v>MYR</v>
      </c>
      <c r="P3711" t="str">
        <f t="shared" si="1518"/>
        <v>NIL</v>
      </c>
      <c r="Q3711" t="str">
        <f t="shared" si="1518"/>
        <v>NIL</v>
      </c>
      <c r="R3711" t="str">
        <f t="shared" si="1501"/>
        <v>Accepted</v>
      </c>
      <c r="S3711" t="str">
        <f t="shared" si="1502"/>
        <v>Approved</v>
      </c>
      <c r="T3711" t="str">
        <f t="shared" si="1503"/>
        <v>10.20.8.188</v>
      </c>
      <c r="U3711" t="str">
        <f t="shared" si="1504"/>
        <v>AZRAD UMAR BIN SHAARI</v>
      </c>
      <c r="V3711" t="str">
        <f t="shared" si="1505"/>
        <v>FARHANA BINTI MUSTAPA</v>
      </c>
      <c r="W3711" t="str">
        <f t="shared" si="1506"/>
        <v>04-08-2020</v>
      </c>
      <c r="X3711" t="str">
        <f t="shared" si="1507"/>
        <v>RAZIMAH ANSAR AHMAD</v>
      </c>
      <c r="Y3711" t="str">
        <f t="shared" si="1508"/>
        <v>04-08-2020</v>
      </c>
      <c r="Z3711" t="str">
        <f>"COS10200804 5243"</f>
        <v>COS10200804 5243</v>
      </c>
    </row>
    <row r="3712" spans="1:26" x14ac:dyDescent="0.25">
      <c r="A3712" t="str">
        <f t="shared" si="1513"/>
        <v>04-08-2020 12:56:45</v>
      </c>
      <c r="B3712" t="str">
        <f>"0000807230"</f>
        <v>0000807230</v>
      </c>
      <c r="C3712" t="str">
        <f t="shared" si="1514"/>
        <v>0000807188</v>
      </c>
      <c r="D3712" t="str">
        <f t="shared" si="1496"/>
        <v>73185</v>
      </c>
      <c r="E3712" t="str">
        <f t="shared" si="1497"/>
        <v>KFH-OPERATIONS DEPARTMENT</v>
      </c>
      <c r="F3712" t="str">
        <f t="shared" si="1498"/>
        <v>IBG</v>
      </c>
      <c r="G3712" t="str">
        <f t="shared" si="1509"/>
        <v>Refund COSHARE 10</v>
      </c>
      <c r="H3712" s="2">
        <v>83.95</v>
      </c>
      <c r="I3712" t="str">
        <f>"MASLINA BINTI RAMBALI"</f>
        <v>MASLINA BINTI RAMBALI</v>
      </c>
      <c r="J3712" t="str">
        <f t="shared" si="1510"/>
        <v>MAYBANK / MAYBANK ISLAMIC</v>
      </c>
      <c r="K3712" t="str">
        <f>"108113497493"</f>
        <v>108113497493</v>
      </c>
      <c r="L3712" t="str">
        <f t="shared" si="1517"/>
        <v>04-08-2020</v>
      </c>
      <c r="M3712" t="str">
        <f t="shared" si="1517"/>
        <v>04-08-2020</v>
      </c>
      <c r="N3712" t="str">
        <f t="shared" si="1499"/>
        <v>001105018356</v>
      </c>
      <c r="O3712" t="str">
        <f t="shared" si="1500"/>
        <v>MYR</v>
      </c>
      <c r="P3712" t="str">
        <f t="shared" si="1518"/>
        <v>NIL</v>
      </c>
      <c r="Q3712" t="str">
        <f t="shared" si="1518"/>
        <v>NIL</v>
      </c>
      <c r="R3712" t="str">
        <f t="shared" si="1501"/>
        <v>Accepted</v>
      </c>
      <c r="S3712" t="str">
        <f t="shared" si="1502"/>
        <v>Approved</v>
      </c>
      <c r="T3712" t="str">
        <f t="shared" si="1503"/>
        <v>10.20.8.188</v>
      </c>
      <c r="U3712" t="str">
        <f t="shared" si="1504"/>
        <v>AZRAD UMAR BIN SHAARI</v>
      </c>
      <c r="V3712" t="str">
        <f t="shared" si="1505"/>
        <v>FARHANA BINTI MUSTAPA</v>
      </c>
      <c r="W3712" t="str">
        <f t="shared" si="1506"/>
        <v>04-08-2020</v>
      </c>
      <c r="X3712" t="str">
        <f t="shared" si="1507"/>
        <v>RAZIMAH ANSAR AHMAD</v>
      </c>
      <c r="Y3712" t="str">
        <f t="shared" si="1508"/>
        <v>04-08-2020</v>
      </c>
      <c r="Z3712" t="str">
        <f>"COS10200804 5242"</f>
        <v>COS10200804 5242</v>
      </c>
    </row>
    <row r="3713" spans="1:26" x14ac:dyDescent="0.25">
      <c r="A3713" t="str">
        <f t="shared" si="1513"/>
        <v>04-08-2020 12:56:45</v>
      </c>
      <c r="B3713" t="str">
        <f>"0000807229"</f>
        <v>0000807229</v>
      </c>
      <c r="C3713" t="str">
        <f t="shared" si="1514"/>
        <v>0000807188</v>
      </c>
      <c r="D3713" t="str">
        <f t="shared" si="1496"/>
        <v>73185</v>
      </c>
      <c r="E3713" t="str">
        <f t="shared" si="1497"/>
        <v>KFH-OPERATIONS DEPARTMENT</v>
      </c>
      <c r="F3713" t="str">
        <f t="shared" si="1498"/>
        <v>IBG</v>
      </c>
      <c r="G3713" t="str">
        <f t="shared" si="1509"/>
        <v>Refund COSHARE 10</v>
      </c>
      <c r="H3713" s="2">
        <v>352.6</v>
      </c>
      <c r="I3713" t="str">
        <f>"MASLINA BINTI MARLI"</f>
        <v>MASLINA BINTI MARLI</v>
      </c>
      <c r="J3713" t="str">
        <f t="shared" si="1510"/>
        <v>MAYBANK / MAYBANK ISLAMIC</v>
      </c>
      <c r="K3713" t="str">
        <f>"166010028523"</f>
        <v>166010028523</v>
      </c>
      <c r="L3713" t="str">
        <f t="shared" si="1517"/>
        <v>04-08-2020</v>
      </c>
      <c r="M3713" t="str">
        <f t="shared" si="1517"/>
        <v>04-08-2020</v>
      </c>
      <c r="N3713" t="str">
        <f t="shared" si="1499"/>
        <v>001105018356</v>
      </c>
      <c r="O3713" t="str">
        <f t="shared" si="1500"/>
        <v>MYR</v>
      </c>
      <c r="P3713" t="str">
        <f t="shared" si="1518"/>
        <v>NIL</v>
      </c>
      <c r="Q3713" t="str">
        <f t="shared" si="1518"/>
        <v>NIL</v>
      </c>
      <c r="R3713" t="str">
        <f t="shared" si="1501"/>
        <v>Accepted</v>
      </c>
      <c r="S3713" t="str">
        <f t="shared" si="1502"/>
        <v>Approved</v>
      </c>
      <c r="T3713" t="str">
        <f t="shared" si="1503"/>
        <v>10.20.8.188</v>
      </c>
      <c r="U3713" t="str">
        <f t="shared" si="1504"/>
        <v>AZRAD UMAR BIN SHAARI</v>
      </c>
      <c r="V3713" t="str">
        <f t="shared" si="1505"/>
        <v>FARHANA BINTI MUSTAPA</v>
      </c>
      <c r="W3713" t="str">
        <f t="shared" si="1506"/>
        <v>04-08-2020</v>
      </c>
      <c r="X3713" t="str">
        <f t="shared" si="1507"/>
        <v>RAZIMAH ANSAR AHMAD</v>
      </c>
      <c r="Y3713" t="str">
        <f t="shared" si="1508"/>
        <v>04-08-2020</v>
      </c>
      <c r="Z3713" t="str">
        <f>"COS10200804 5241"</f>
        <v>COS10200804 5241</v>
      </c>
    </row>
    <row r="3714" spans="1:26" x14ac:dyDescent="0.25">
      <c r="A3714" t="str">
        <f t="shared" ref="A3714:A3745" si="1519">"04-08-2020 12:56:45"</f>
        <v>04-08-2020 12:56:45</v>
      </c>
      <c r="B3714" t="str">
        <f>"0000807228"</f>
        <v>0000807228</v>
      </c>
      <c r="C3714" t="str">
        <f t="shared" ref="C3714:C3745" si="1520">"0000807188"</f>
        <v>0000807188</v>
      </c>
      <c r="D3714" t="str">
        <f t="shared" si="1496"/>
        <v>73185</v>
      </c>
      <c r="E3714" t="str">
        <f t="shared" si="1497"/>
        <v>KFH-OPERATIONS DEPARTMENT</v>
      </c>
      <c r="F3714" t="str">
        <f t="shared" si="1498"/>
        <v>IBG</v>
      </c>
      <c r="G3714" t="str">
        <f t="shared" si="1509"/>
        <v>Refund COSHARE 10</v>
      </c>
      <c r="H3714" s="2">
        <v>491.15</v>
      </c>
      <c r="I3714" t="str">
        <f>"MASLINA BINTI AZEMIN"</f>
        <v>MASLINA BINTI AZEMIN</v>
      </c>
      <c r="J3714" t="str">
        <f t="shared" si="1510"/>
        <v>MAYBANK / MAYBANK ISLAMIC</v>
      </c>
      <c r="K3714" t="str">
        <f>"164490097521"</f>
        <v>164490097521</v>
      </c>
      <c r="L3714" t="str">
        <f t="shared" si="1517"/>
        <v>04-08-2020</v>
      </c>
      <c r="M3714" t="str">
        <f t="shared" si="1517"/>
        <v>04-08-2020</v>
      </c>
      <c r="N3714" t="str">
        <f t="shared" si="1499"/>
        <v>001105018356</v>
      </c>
      <c r="O3714" t="str">
        <f t="shared" si="1500"/>
        <v>MYR</v>
      </c>
      <c r="P3714" t="str">
        <f t="shared" si="1518"/>
        <v>NIL</v>
      </c>
      <c r="Q3714" t="str">
        <f t="shared" si="1518"/>
        <v>NIL</v>
      </c>
      <c r="R3714" t="str">
        <f t="shared" si="1501"/>
        <v>Accepted</v>
      </c>
      <c r="S3714" t="str">
        <f t="shared" si="1502"/>
        <v>Approved</v>
      </c>
      <c r="T3714" t="str">
        <f t="shared" si="1503"/>
        <v>10.20.8.188</v>
      </c>
      <c r="U3714" t="str">
        <f t="shared" si="1504"/>
        <v>AZRAD UMAR BIN SHAARI</v>
      </c>
      <c r="V3714" t="str">
        <f t="shared" si="1505"/>
        <v>FARHANA BINTI MUSTAPA</v>
      </c>
      <c r="W3714" t="str">
        <f t="shared" si="1506"/>
        <v>04-08-2020</v>
      </c>
      <c r="X3714" t="str">
        <f t="shared" si="1507"/>
        <v>RAZIMAH ANSAR AHMAD</v>
      </c>
      <c r="Y3714" t="str">
        <f t="shared" si="1508"/>
        <v>04-08-2020</v>
      </c>
      <c r="Z3714" t="str">
        <f>"COS10200804 5240"</f>
        <v>COS10200804 5240</v>
      </c>
    </row>
    <row r="3715" spans="1:26" x14ac:dyDescent="0.25">
      <c r="A3715" t="str">
        <f t="shared" si="1519"/>
        <v>04-08-2020 12:56:45</v>
      </c>
      <c r="B3715" t="str">
        <f>"0000807227"</f>
        <v>0000807227</v>
      </c>
      <c r="C3715" t="str">
        <f t="shared" si="1520"/>
        <v>0000807188</v>
      </c>
      <c r="D3715" t="str">
        <f t="shared" si="1496"/>
        <v>73185</v>
      </c>
      <c r="E3715" t="str">
        <f t="shared" si="1497"/>
        <v>KFH-OPERATIONS DEPARTMENT</v>
      </c>
      <c r="F3715" t="str">
        <f t="shared" si="1498"/>
        <v>IBG</v>
      </c>
      <c r="G3715" t="str">
        <f t="shared" si="1509"/>
        <v>Refund COSHARE 10</v>
      </c>
      <c r="H3715" s="2">
        <v>42</v>
      </c>
      <c r="I3715" t="str">
        <f>"MASLINA BINTI ABDULLAH"</f>
        <v>MASLINA BINTI ABDULLAH</v>
      </c>
      <c r="J3715" t="str">
        <f t="shared" si="1510"/>
        <v>MAYBANK / MAYBANK ISLAMIC</v>
      </c>
      <c r="K3715" t="str">
        <f>"151575077475"</f>
        <v>151575077475</v>
      </c>
      <c r="L3715" t="str">
        <f t="shared" si="1517"/>
        <v>04-08-2020</v>
      </c>
      <c r="M3715" t="str">
        <f t="shared" si="1517"/>
        <v>04-08-2020</v>
      </c>
      <c r="N3715" t="str">
        <f t="shared" si="1499"/>
        <v>001105018356</v>
      </c>
      <c r="O3715" t="str">
        <f t="shared" si="1500"/>
        <v>MYR</v>
      </c>
      <c r="P3715" t="str">
        <f t="shared" si="1518"/>
        <v>NIL</v>
      </c>
      <c r="Q3715" t="str">
        <f t="shared" si="1518"/>
        <v>NIL</v>
      </c>
      <c r="R3715" t="str">
        <f t="shared" si="1501"/>
        <v>Accepted</v>
      </c>
      <c r="S3715" t="str">
        <f t="shared" si="1502"/>
        <v>Approved</v>
      </c>
      <c r="T3715" t="str">
        <f t="shared" si="1503"/>
        <v>10.20.8.188</v>
      </c>
      <c r="U3715" t="str">
        <f t="shared" si="1504"/>
        <v>AZRAD UMAR BIN SHAARI</v>
      </c>
      <c r="V3715" t="str">
        <f t="shared" si="1505"/>
        <v>FARHANA BINTI MUSTAPA</v>
      </c>
      <c r="W3715" t="str">
        <f t="shared" si="1506"/>
        <v>04-08-2020</v>
      </c>
      <c r="X3715" t="str">
        <f t="shared" si="1507"/>
        <v>RAZIMAH ANSAR AHMAD</v>
      </c>
      <c r="Y3715" t="str">
        <f t="shared" si="1508"/>
        <v>04-08-2020</v>
      </c>
      <c r="Z3715" t="str">
        <f>"COS10200804 5239"</f>
        <v>COS10200804 5239</v>
      </c>
    </row>
    <row r="3716" spans="1:26" x14ac:dyDescent="0.25">
      <c r="A3716" t="str">
        <f t="shared" si="1519"/>
        <v>04-08-2020 12:56:45</v>
      </c>
      <c r="B3716" t="str">
        <f>"0000807226"</f>
        <v>0000807226</v>
      </c>
      <c r="C3716" t="str">
        <f t="shared" si="1520"/>
        <v>0000807188</v>
      </c>
      <c r="D3716" t="str">
        <f t="shared" si="1496"/>
        <v>73185</v>
      </c>
      <c r="E3716" t="str">
        <f t="shared" si="1497"/>
        <v>KFH-OPERATIONS DEPARTMENT</v>
      </c>
      <c r="F3716" t="str">
        <f t="shared" si="1498"/>
        <v>IBG</v>
      </c>
      <c r="G3716" t="str">
        <f t="shared" si="1509"/>
        <v>Refund COSHARE 10</v>
      </c>
      <c r="H3716" s="2">
        <v>1259.25</v>
      </c>
      <c r="I3716" t="str">
        <f>"MASLIN BINTI MINHAT"</f>
        <v>MASLIN BINTI MINHAT</v>
      </c>
      <c r="J3716" t="str">
        <f t="shared" si="1510"/>
        <v>MAYBANK / MAYBANK ISLAMIC</v>
      </c>
      <c r="K3716" t="str">
        <f>"155032257348"</f>
        <v>155032257348</v>
      </c>
      <c r="L3716" t="str">
        <f t="shared" si="1517"/>
        <v>04-08-2020</v>
      </c>
      <c r="M3716" t="str">
        <f t="shared" si="1517"/>
        <v>04-08-2020</v>
      </c>
      <c r="N3716" t="str">
        <f t="shared" si="1499"/>
        <v>001105018356</v>
      </c>
      <c r="O3716" t="str">
        <f t="shared" si="1500"/>
        <v>MYR</v>
      </c>
      <c r="P3716" t="str">
        <f t="shared" si="1518"/>
        <v>NIL</v>
      </c>
      <c r="Q3716" t="str">
        <f t="shared" si="1518"/>
        <v>NIL</v>
      </c>
      <c r="R3716" t="str">
        <f t="shared" si="1501"/>
        <v>Accepted</v>
      </c>
      <c r="S3716" t="str">
        <f t="shared" si="1502"/>
        <v>Approved</v>
      </c>
      <c r="T3716" t="str">
        <f t="shared" si="1503"/>
        <v>10.20.8.188</v>
      </c>
      <c r="U3716" t="str">
        <f t="shared" si="1504"/>
        <v>AZRAD UMAR BIN SHAARI</v>
      </c>
      <c r="V3716" t="str">
        <f t="shared" si="1505"/>
        <v>FARHANA BINTI MUSTAPA</v>
      </c>
      <c r="W3716" t="str">
        <f t="shared" si="1506"/>
        <v>04-08-2020</v>
      </c>
      <c r="X3716" t="str">
        <f t="shared" si="1507"/>
        <v>RAZIMAH ANSAR AHMAD</v>
      </c>
      <c r="Y3716" t="str">
        <f t="shared" si="1508"/>
        <v>04-08-2020</v>
      </c>
      <c r="Z3716" t="str">
        <f>"COS10200804 5238"</f>
        <v>COS10200804 5238</v>
      </c>
    </row>
    <row r="3717" spans="1:26" x14ac:dyDescent="0.25">
      <c r="A3717" t="str">
        <f t="shared" si="1519"/>
        <v>04-08-2020 12:56:45</v>
      </c>
      <c r="B3717" t="str">
        <f>"0000807225"</f>
        <v>0000807225</v>
      </c>
      <c r="C3717" t="str">
        <f t="shared" si="1520"/>
        <v>0000807188</v>
      </c>
      <c r="D3717" t="str">
        <f t="shared" si="1496"/>
        <v>73185</v>
      </c>
      <c r="E3717" t="str">
        <f t="shared" si="1497"/>
        <v>KFH-OPERATIONS DEPARTMENT</v>
      </c>
      <c r="F3717" t="str">
        <f t="shared" si="1498"/>
        <v>IBG</v>
      </c>
      <c r="G3717" t="str">
        <f t="shared" si="1509"/>
        <v>Refund COSHARE 10</v>
      </c>
      <c r="H3717" s="2">
        <v>117.55</v>
      </c>
      <c r="I3717" t="str">
        <f>"MASLIA BINTI ABU"</f>
        <v>MASLIA BINTI ABU</v>
      </c>
      <c r="J3717" t="str">
        <f t="shared" si="1510"/>
        <v>MAYBANK / MAYBANK ISLAMIC</v>
      </c>
      <c r="K3717" t="str">
        <f>"158024750275"</f>
        <v>158024750275</v>
      </c>
      <c r="L3717" t="str">
        <f t="shared" si="1517"/>
        <v>04-08-2020</v>
      </c>
      <c r="M3717" t="str">
        <f t="shared" si="1517"/>
        <v>04-08-2020</v>
      </c>
      <c r="N3717" t="str">
        <f t="shared" si="1499"/>
        <v>001105018356</v>
      </c>
      <c r="O3717" t="str">
        <f t="shared" si="1500"/>
        <v>MYR</v>
      </c>
      <c r="P3717" t="str">
        <f t="shared" si="1518"/>
        <v>NIL</v>
      </c>
      <c r="Q3717" t="str">
        <f t="shared" si="1518"/>
        <v>NIL</v>
      </c>
      <c r="R3717" t="str">
        <f t="shared" si="1501"/>
        <v>Accepted</v>
      </c>
      <c r="S3717" t="str">
        <f t="shared" si="1502"/>
        <v>Approved</v>
      </c>
      <c r="T3717" t="str">
        <f t="shared" si="1503"/>
        <v>10.20.8.188</v>
      </c>
      <c r="U3717" t="str">
        <f t="shared" si="1504"/>
        <v>AZRAD UMAR BIN SHAARI</v>
      </c>
      <c r="V3717" t="str">
        <f t="shared" si="1505"/>
        <v>FARHANA BINTI MUSTAPA</v>
      </c>
      <c r="W3717" t="str">
        <f t="shared" si="1506"/>
        <v>04-08-2020</v>
      </c>
      <c r="X3717" t="str">
        <f t="shared" si="1507"/>
        <v>RAZIMAH ANSAR AHMAD</v>
      </c>
      <c r="Y3717" t="str">
        <f t="shared" si="1508"/>
        <v>04-08-2020</v>
      </c>
      <c r="Z3717" t="str">
        <f>"COS10200804 5237"</f>
        <v>COS10200804 5237</v>
      </c>
    </row>
    <row r="3718" spans="1:26" x14ac:dyDescent="0.25">
      <c r="A3718" t="str">
        <f t="shared" si="1519"/>
        <v>04-08-2020 12:56:45</v>
      </c>
      <c r="B3718" t="str">
        <f>"0000807224"</f>
        <v>0000807224</v>
      </c>
      <c r="C3718" t="str">
        <f t="shared" si="1520"/>
        <v>0000807188</v>
      </c>
      <c r="D3718" t="str">
        <f t="shared" si="1496"/>
        <v>73185</v>
      </c>
      <c r="E3718" t="str">
        <f t="shared" si="1497"/>
        <v>KFH-OPERATIONS DEPARTMENT</v>
      </c>
      <c r="F3718" t="str">
        <f t="shared" si="1498"/>
        <v>IBG</v>
      </c>
      <c r="G3718" t="str">
        <f t="shared" si="1509"/>
        <v>Refund COSHARE 10</v>
      </c>
      <c r="H3718" s="2">
        <v>805</v>
      </c>
      <c r="I3718" t="str">
        <f>"MASLAN BIN ARIFFIN"</f>
        <v>MASLAN BIN ARIFFIN</v>
      </c>
      <c r="J3718" t="str">
        <f t="shared" si="1510"/>
        <v>MAYBANK / MAYBANK ISLAMIC</v>
      </c>
      <c r="K3718" t="str">
        <f>"155015060381"</f>
        <v>155015060381</v>
      </c>
      <c r="L3718" t="str">
        <f t="shared" si="1517"/>
        <v>04-08-2020</v>
      </c>
      <c r="M3718" t="str">
        <f t="shared" si="1517"/>
        <v>04-08-2020</v>
      </c>
      <c r="N3718" t="str">
        <f t="shared" si="1499"/>
        <v>001105018356</v>
      </c>
      <c r="O3718" t="str">
        <f t="shared" si="1500"/>
        <v>MYR</v>
      </c>
      <c r="P3718" t="str">
        <f t="shared" si="1518"/>
        <v>NIL</v>
      </c>
      <c r="Q3718" t="str">
        <f t="shared" si="1518"/>
        <v>NIL</v>
      </c>
      <c r="R3718" t="str">
        <f t="shared" si="1501"/>
        <v>Accepted</v>
      </c>
      <c r="S3718" t="str">
        <f t="shared" si="1502"/>
        <v>Approved</v>
      </c>
      <c r="T3718" t="str">
        <f t="shared" si="1503"/>
        <v>10.20.8.188</v>
      </c>
      <c r="U3718" t="str">
        <f t="shared" si="1504"/>
        <v>AZRAD UMAR BIN SHAARI</v>
      </c>
      <c r="V3718" t="str">
        <f t="shared" si="1505"/>
        <v>FARHANA BINTI MUSTAPA</v>
      </c>
      <c r="W3718" t="str">
        <f t="shared" si="1506"/>
        <v>04-08-2020</v>
      </c>
      <c r="X3718" t="str">
        <f t="shared" si="1507"/>
        <v>RAZIMAH ANSAR AHMAD</v>
      </c>
      <c r="Y3718" t="str">
        <f t="shared" si="1508"/>
        <v>04-08-2020</v>
      </c>
      <c r="Z3718" t="str">
        <f>"COS10200804 5236"</f>
        <v>COS10200804 5236</v>
      </c>
    </row>
    <row r="3719" spans="1:26" x14ac:dyDescent="0.25">
      <c r="A3719" t="str">
        <f t="shared" si="1519"/>
        <v>04-08-2020 12:56:45</v>
      </c>
      <c r="B3719" t="str">
        <f>"0000807223"</f>
        <v>0000807223</v>
      </c>
      <c r="C3719" t="str">
        <f t="shared" si="1520"/>
        <v>0000807188</v>
      </c>
      <c r="D3719" t="str">
        <f t="shared" ref="D3719:D3782" si="1521">"73185"</f>
        <v>73185</v>
      </c>
      <c r="E3719" t="str">
        <f t="shared" ref="E3719:E3782" si="1522">"KFH-OPERATIONS DEPARTMENT"</f>
        <v>KFH-OPERATIONS DEPARTMENT</v>
      </c>
      <c r="F3719" t="str">
        <f t="shared" ref="F3719:F3782" si="1523">"IBG"</f>
        <v>IBG</v>
      </c>
      <c r="G3719" t="str">
        <f t="shared" si="1509"/>
        <v>Refund COSHARE 10</v>
      </c>
      <c r="H3719" s="2">
        <v>1373</v>
      </c>
      <c r="I3719" t="str">
        <f>"MASKINAH BINTI MAHMUD"</f>
        <v>MASKINAH BINTI MAHMUD</v>
      </c>
      <c r="J3719" t="str">
        <f t="shared" si="1510"/>
        <v>MAYBANK / MAYBANK ISLAMIC</v>
      </c>
      <c r="K3719" t="str">
        <f>"111104087641"</f>
        <v>111104087641</v>
      </c>
      <c r="L3719" t="str">
        <f t="shared" si="1517"/>
        <v>04-08-2020</v>
      </c>
      <c r="M3719" t="str">
        <f t="shared" si="1517"/>
        <v>04-08-2020</v>
      </c>
      <c r="N3719" t="str">
        <f t="shared" ref="N3719:N3782" si="1524">"001105018356"</f>
        <v>001105018356</v>
      </c>
      <c r="O3719" t="str">
        <f t="shared" ref="O3719:O3782" si="1525">"MYR"</f>
        <v>MYR</v>
      </c>
      <c r="P3719" t="str">
        <f t="shared" si="1518"/>
        <v>NIL</v>
      </c>
      <c r="Q3719" t="str">
        <f t="shared" si="1518"/>
        <v>NIL</v>
      </c>
      <c r="R3719" t="str">
        <f t="shared" ref="R3719:R3782" si="1526">"Accepted"</f>
        <v>Accepted</v>
      </c>
      <c r="S3719" t="str">
        <f t="shared" ref="S3719:S3782" si="1527">"Approved"</f>
        <v>Approved</v>
      </c>
      <c r="T3719" t="str">
        <f t="shared" ref="T3719:T3782" si="1528">"10.20.8.188"</f>
        <v>10.20.8.188</v>
      </c>
      <c r="U3719" t="str">
        <f t="shared" ref="U3719:U3782" si="1529">"AZRAD UMAR BIN SHAARI"</f>
        <v>AZRAD UMAR BIN SHAARI</v>
      </c>
      <c r="V3719" t="str">
        <f t="shared" ref="V3719:V3782" si="1530">"FARHANA BINTI MUSTAPA"</f>
        <v>FARHANA BINTI MUSTAPA</v>
      </c>
      <c r="W3719" t="str">
        <f t="shared" ref="W3719:W3782" si="1531">"04-08-2020"</f>
        <v>04-08-2020</v>
      </c>
      <c r="X3719" t="str">
        <f t="shared" ref="X3719:X3782" si="1532">"RAZIMAH ANSAR AHMAD"</f>
        <v>RAZIMAH ANSAR AHMAD</v>
      </c>
      <c r="Y3719" t="str">
        <f t="shared" ref="Y3719:Y3782" si="1533">"04-08-2020"</f>
        <v>04-08-2020</v>
      </c>
      <c r="Z3719" t="str">
        <f>"COS10200804 5235"</f>
        <v>COS10200804 5235</v>
      </c>
    </row>
    <row r="3720" spans="1:26" x14ac:dyDescent="0.25">
      <c r="A3720" t="str">
        <f t="shared" si="1519"/>
        <v>04-08-2020 12:56:45</v>
      </c>
      <c r="B3720" t="str">
        <f>"0000807222"</f>
        <v>0000807222</v>
      </c>
      <c r="C3720" t="str">
        <f t="shared" si="1520"/>
        <v>0000807188</v>
      </c>
      <c r="D3720" t="str">
        <f t="shared" si="1521"/>
        <v>73185</v>
      </c>
      <c r="E3720" t="str">
        <f t="shared" si="1522"/>
        <v>KFH-OPERATIONS DEPARTMENT</v>
      </c>
      <c r="F3720" t="str">
        <f t="shared" si="1523"/>
        <v>IBG</v>
      </c>
      <c r="G3720" t="str">
        <f t="shared" si="1509"/>
        <v>Refund COSHARE 10</v>
      </c>
      <c r="H3720" s="2">
        <v>965.45</v>
      </c>
      <c r="I3720" t="str">
        <f>"MASITAH BINTI MOHAMED"</f>
        <v>MASITAH BINTI MOHAMED</v>
      </c>
      <c r="J3720" t="str">
        <f t="shared" si="1510"/>
        <v>MAYBANK / MAYBANK ISLAMIC</v>
      </c>
      <c r="K3720" t="str">
        <f>"162106298887"</f>
        <v>162106298887</v>
      </c>
      <c r="L3720" t="str">
        <f t="shared" si="1517"/>
        <v>04-08-2020</v>
      </c>
      <c r="M3720" t="str">
        <f t="shared" si="1517"/>
        <v>04-08-2020</v>
      </c>
      <c r="N3720" t="str">
        <f t="shared" si="1524"/>
        <v>001105018356</v>
      </c>
      <c r="O3720" t="str">
        <f t="shared" si="1525"/>
        <v>MYR</v>
      </c>
      <c r="P3720" t="str">
        <f t="shared" si="1518"/>
        <v>NIL</v>
      </c>
      <c r="Q3720" t="str">
        <f t="shared" si="1518"/>
        <v>NIL</v>
      </c>
      <c r="R3720" t="str">
        <f t="shared" si="1526"/>
        <v>Accepted</v>
      </c>
      <c r="S3720" t="str">
        <f t="shared" si="1527"/>
        <v>Approved</v>
      </c>
      <c r="T3720" t="str">
        <f t="shared" si="1528"/>
        <v>10.20.8.188</v>
      </c>
      <c r="U3720" t="str">
        <f t="shared" si="1529"/>
        <v>AZRAD UMAR BIN SHAARI</v>
      </c>
      <c r="V3720" t="str">
        <f t="shared" si="1530"/>
        <v>FARHANA BINTI MUSTAPA</v>
      </c>
      <c r="W3720" t="str">
        <f t="shared" si="1531"/>
        <v>04-08-2020</v>
      </c>
      <c r="X3720" t="str">
        <f t="shared" si="1532"/>
        <v>RAZIMAH ANSAR AHMAD</v>
      </c>
      <c r="Y3720" t="str">
        <f t="shared" si="1533"/>
        <v>04-08-2020</v>
      </c>
      <c r="Z3720" t="str">
        <f>"COS10200804 5234"</f>
        <v>COS10200804 5234</v>
      </c>
    </row>
    <row r="3721" spans="1:26" x14ac:dyDescent="0.25">
      <c r="A3721" t="str">
        <f t="shared" si="1519"/>
        <v>04-08-2020 12:56:45</v>
      </c>
      <c r="B3721" t="str">
        <f>"0000807221"</f>
        <v>0000807221</v>
      </c>
      <c r="C3721" t="str">
        <f t="shared" si="1520"/>
        <v>0000807188</v>
      </c>
      <c r="D3721" t="str">
        <f t="shared" si="1521"/>
        <v>73185</v>
      </c>
      <c r="E3721" t="str">
        <f t="shared" si="1522"/>
        <v>KFH-OPERATIONS DEPARTMENT</v>
      </c>
      <c r="F3721" t="str">
        <f t="shared" si="1523"/>
        <v>IBG</v>
      </c>
      <c r="G3721" t="str">
        <f t="shared" si="1509"/>
        <v>Refund COSHARE 10</v>
      </c>
      <c r="H3721" s="2">
        <v>167.9</v>
      </c>
      <c r="I3721" t="str">
        <f>"MASITA BINTI MD MAHFODZ"</f>
        <v>MASITA BINTI MD MAHFODZ</v>
      </c>
      <c r="J3721" t="str">
        <f t="shared" si="1510"/>
        <v>MAYBANK / MAYBANK ISLAMIC</v>
      </c>
      <c r="K3721" t="str">
        <f>"162106609820"</f>
        <v>162106609820</v>
      </c>
      <c r="L3721" t="str">
        <f t="shared" si="1517"/>
        <v>04-08-2020</v>
      </c>
      <c r="M3721" t="str">
        <f t="shared" si="1517"/>
        <v>04-08-2020</v>
      </c>
      <c r="N3721" t="str">
        <f t="shared" si="1524"/>
        <v>001105018356</v>
      </c>
      <c r="O3721" t="str">
        <f t="shared" si="1525"/>
        <v>MYR</v>
      </c>
      <c r="P3721" t="str">
        <f t="shared" si="1518"/>
        <v>NIL</v>
      </c>
      <c r="Q3721" t="str">
        <f t="shared" si="1518"/>
        <v>NIL</v>
      </c>
      <c r="R3721" t="str">
        <f t="shared" si="1526"/>
        <v>Accepted</v>
      </c>
      <c r="S3721" t="str">
        <f t="shared" si="1527"/>
        <v>Approved</v>
      </c>
      <c r="T3721" t="str">
        <f t="shared" si="1528"/>
        <v>10.20.8.188</v>
      </c>
      <c r="U3721" t="str">
        <f t="shared" si="1529"/>
        <v>AZRAD UMAR BIN SHAARI</v>
      </c>
      <c r="V3721" t="str">
        <f t="shared" si="1530"/>
        <v>FARHANA BINTI MUSTAPA</v>
      </c>
      <c r="W3721" t="str">
        <f t="shared" si="1531"/>
        <v>04-08-2020</v>
      </c>
      <c r="X3721" t="str">
        <f t="shared" si="1532"/>
        <v>RAZIMAH ANSAR AHMAD</v>
      </c>
      <c r="Y3721" t="str">
        <f t="shared" si="1533"/>
        <v>04-08-2020</v>
      </c>
      <c r="Z3721" t="str">
        <f>"COS10200804 5233"</f>
        <v>COS10200804 5233</v>
      </c>
    </row>
    <row r="3722" spans="1:26" x14ac:dyDescent="0.25">
      <c r="A3722" t="str">
        <f t="shared" si="1519"/>
        <v>04-08-2020 12:56:45</v>
      </c>
      <c r="B3722" t="str">
        <f>"0000807220"</f>
        <v>0000807220</v>
      </c>
      <c r="C3722" t="str">
        <f t="shared" si="1520"/>
        <v>0000807188</v>
      </c>
      <c r="D3722" t="str">
        <f t="shared" si="1521"/>
        <v>73185</v>
      </c>
      <c r="E3722" t="str">
        <f t="shared" si="1522"/>
        <v>KFH-OPERATIONS DEPARTMENT</v>
      </c>
      <c r="F3722" t="str">
        <f t="shared" si="1523"/>
        <v>IBG</v>
      </c>
      <c r="G3722" t="str">
        <f t="shared" si="1509"/>
        <v>Refund COSHARE 10</v>
      </c>
      <c r="H3722" s="2">
        <v>125.95</v>
      </c>
      <c r="I3722" t="str">
        <f>"MASHITAH BINTI LED"</f>
        <v>MASHITAH BINTI LED</v>
      </c>
      <c r="J3722" t="str">
        <f t="shared" si="1510"/>
        <v>MAYBANK / MAYBANK ISLAMIC</v>
      </c>
      <c r="K3722" t="str">
        <f>"111114093002"</f>
        <v>111114093002</v>
      </c>
      <c r="L3722" t="str">
        <f t="shared" si="1517"/>
        <v>04-08-2020</v>
      </c>
      <c r="M3722" t="str">
        <f t="shared" si="1517"/>
        <v>04-08-2020</v>
      </c>
      <c r="N3722" t="str">
        <f t="shared" si="1524"/>
        <v>001105018356</v>
      </c>
      <c r="O3722" t="str">
        <f t="shared" si="1525"/>
        <v>MYR</v>
      </c>
      <c r="P3722" t="str">
        <f t="shared" si="1518"/>
        <v>NIL</v>
      </c>
      <c r="Q3722" t="str">
        <f t="shared" si="1518"/>
        <v>NIL</v>
      </c>
      <c r="R3722" t="str">
        <f t="shared" si="1526"/>
        <v>Accepted</v>
      </c>
      <c r="S3722" t="str">
        <f t="shared" si="1527"/>
        <v>Approved</v>
      </c>
      <c r="T3722" t="str">
        <f t="shared" si="1528"/>
        <v>10.20.8.188</v>
      </c>
      <c r="U3722" t="str">
        <f t="shared" si="1529"/>
        <v>AZRAD UMAR BIN SHAARI</v>
      </c>
      <c r="V3722" t="str">
        <f t="shared" si="1530"/>
        <v>FARHANA BINTI MUSTAPA</v>
      </c>
      <c r="W3722" t="str">
        <f t="shared" si="1531"/>
        <v>04-08-2020</v>
      </c>
      <c r="X3722" t="str">
        <f t="shared" si="1532"/>
        <v>RAZIMAH ANSAR AHMAD</v>
      </c>
      <c r="Y3722" t="str">
        <f t="shared" si="1533"/>
        <v>04-08-2020</v>
      </c>
      <c r="Z3722" t="str">
        <f>"COS10200804 5232"</f>
        <v>COS10200804 5232</v>
      </c>
    </row>
    <row r="3723" spans="1:26" x14ac:dyDescent="0.25">
      <c r="A3723" t="str">
        <f t="shared" si="1519"/>
        <v>04-08-2020 12:56:45</v>
      </c>
      <c r="B3723" t="str">
        <f>"0000807219"</f>
        <v>0000807219</v>
      </c>
      <c r="C3723" t="str">
        <f t="shared" si="1520"/>
        <v>0000807188</v>
      </c>
      <c r="D3723" t="str">
        <f t="shared" si="1521"/>
        <v>73185</v>
      </c>
      <c r="E3723" t="str">
        <f t="shared" si="1522"/>
        <v>KFH-OPERATIONS DEPARTMENT</v>
      </c>
      <c r="F3723" t="str">
        <f t="shared" si="1523"/>
        <v>IBG</v>
      </c>
      <c r="G3723" t="str">
        <f t="shared" si="1509"/>
        <v>Refund COSHARE 10</v>
      </c>
      <c r="H3723" s="2">
        <v>1330.55</v>
      </c>
      <c r="I3723" t="str">
        <f>"MASHITAH BINTI AHMAD SABRI"</f>
        <v>MASHITAH BINTI AHMAD SABRI</v>
      </c>
      <c r="J3723" t="str">
        <f t="shared" si="1510"/>
        <v>MAYBANK / MAYBANK ISLAMIC</v>
      </c>
      <c r="K3723" t="str">
        <f>"156093984900"</f>
        <v>156093984900</v>
      </c>
      <c r="L3723" t="str">
        <f t="shared" si="1517"/>
        <v>04-08-2020</v>
      </c>
      <c r="M3723" t="str">
        <f t="shared" si="1517"/>
        <v>04-08-2020</v>
      </c>
      <c r="N3723" t="str">
        <f t="shared" si="1524"/>
        <v>001105018356</v>
      </c>
      <c r="O3723" t="str">
        <f t="shared" si="1525"/>
        <v>MYR</v>
      </c>
      <c r="P3723" t="str">
        <f t="shared" si="1518"/>
        <v>NIL</v>
      </c>
      <c r="Q3723" t="str">
        <f t="shared" si="1518"/>
        <v>NIL</v>
      </c>
      <c r="R3723" t="str">
        <f t="shared" si="1526"/>
        <v>Accepted</v>
      </c>
      <c r="S3723" t="str">
        <f t="shared" si="1527"/>
        <v>Approved</v>
      </c>
      <c r="T3723" t="str">
        <f t="shared" si="1528"/>
        <v>10.20.8.188</v>
      </c>
      <c r="U3723" t="str">
        <f t="shared" si="1529"/>
        <v>AZRAD UMAR BIN SHAARI</v>
      </c>
      <c r="V3723" t="str">
        <f t="shared" si="1530"/>
        <v>FARHANA BINTI MUSTAPA</v>
      </c>
      <c r="W3723" t="str">
        <f t="shared" si="1531"/>
        <v>04-08-2020</v>
      </c>
      <c r="X3723" t="str">
        <f t="shared" si="1532"/>
        <v>RAZIMAH ANSAR AHMAD</v>
      </c>
      <c r="Y3723" t="str">
        <f t="shared" si="1533"/>
        <v>04-08-2020</v>
      </c>
      <c r="Z3723" t="str">
        <f>"COS10200804 5231"</f>
        <v>COS10200804 5231</v>
      </c>
    </row>
    <row r="3724" spans="1:26" x14ac:dyDescent="0.25">
      <c r="A3724" t="str">
        <f t="shared" si="1519"/>
        <v>04-08-2020 12:56:45</v>
      </c>
      <c r="B3724" t="str">
        <f>"0000807218"</f>
        <v>0000807218</v>
      </c>
      <c r="C3724" t="str">
        <f t="shared" si="1520"/>
        <v>0000807188</v>
      </c>
      <c r="D3724" t="str">
        <f t="shared" si="1521"/>
        <v>73185</v>
      </c>
      <c r="E3724" t="str">
        <f t="shared" si="1522"/>
        <v>KFH-OPERATIONS DEPARTMENT</v>
      </c>
      <c r="F3724" t="str">
        <f t="shared" si="1523"/>
        <v>IBG</v>
      </c>
      <c r="G3724" t="str">
        <f t="shared" ref="G3724:G3787" si="1534">"Refund COSHARE 10"</f>
        <v>Refund COSHARE 10</v>
      </c>
      <c r="H3724" s="2">
        <v>491.15</v>
      </c>
      <c r="I3724" t="str">
        <f>"MASHITAH BINTI AHMAD SABRI"</f>
        <v>MASHITAH BINTI AHMAD SABRI</v>
      </c>
      <c r="J3724" t="str">
        <f t="shared" si="1510"/>
        <v>MAYBANK / MAYBANK ISLAMIC</v>
      </c>
      <c r="K3724" t="str">
        <f>"156093984900"</f>
        <v>156093984900</v>
      </c>
      <c r="L3724" t="str">
        <f t="shared" si="1517"/>
        <v>04-08-2020</v>
      </c>
      <c r="M3724" t="str">
        <f t="shared" si="1517"/>
        <v>04-08-2020</v>
      </c>
      <c r="N3724" t="str">
        <f t="shared" si="1524"/>
        <v>001105018356</v>
      </c>
      <c r="O3724" t="str">
        <f t="shared" si="1525"/>
        <v>MYR</v>
      </c>
      <c r="P3724" t="str">
        <f t="shared" si="1518"/>
        <v>NIL</v>
      </c>
      <c r="Q3724" t="str">
        <f t="shared" si="1518"/>
        <v>NIL</v>
      </c>
      <c r="R3724" t="str">
        <f t="shared" si="1526"/>
        <v>Accepted</v>
      </c>
      <c r="S3724" t="str">
        <f t="shared" si="1527"/>
        <v>Approved</v>
      </c>
      <c r="T3724" t="str">
        <f t="shared" si="1528"/>
        <v>10.20.8.188</v>
      </c>
      <c r="U3724" t="str">
        <f t="shared" si="1529"/>
        <v>AZRAD UMAR BIN SHAARI</v>
      </c>
      <c r="V3724" t="str">
        <f t="shared" si="1530"/>
        <v>FARHANA BINTI MUSTAPA</v>
      </c>
      <c r="W3724" t="str">
        <f t="shared" si="1531"/>
        <v>04-08-2020</v>
      </c>
      <c r="X3724" t="str">
        <f t="shared" si="1532"/>
        <v>RAZIMAH ANSAR AHMAD</v>
      </c>
      <c r="Y3724" t="str">
        <f t="shared" si="1533"/>
        <v>04-08-2020</v>
      </c>
      <c r="Z3724" t="str">
        <f>"COS10200804 5230"</f>
        <v>COS10200804 5230</v>
      </c>
    </row>
    <row r="3725" spans="1:26" x14ac:dyDescent="0.25">
      <c r="A3725" t="str">
        <f t="shared" si="1519"/>
        <v>04-08-2020 12:56:45</v>
      </c>
      <c r="B3725" t="str">
        <f>"0000807217"</f>
        <v>0000807217</v>
      </c>
      <c r="C3725" t="str">
        <f t="shared" si="1520"/>
        <v>0000807188</v>
      </c>
      <c r="D3725" t="str">
        <f t="shared" si="1521"/>
        <v>73185</v>
      </c>
      <c r="E3725" t="str">
        <f t="shared" si="1522"/>
        <v>KFH-OPERATIONS DEPARTMENT</v>
      </c>
      <c r="F3725" t="str">
        <f t="shared" si="1523"/>
        <v>IBG</v>
      </c>
      <c r="G3725" t="str">
        <f t="shared" si="1534"/>
        <v>Refund COSHARE 10</v>
      </c>
      <c r="H3725" s="2">
        <v>1712.95</v>
      </c>
      <c r="I3725" t="str">
        <f>"MASHITAH BINTI A RAHMAN"</f>
        <v>MASHITAH BINTI A RAHMAN</v>
      </c>
      <c r="J3725" t="str">
        <f t="shared" si="1510"/>
        <v>MAYBANK / MAYBANK ISLAMIC</v>
      </c>
      <c r="K3725" t="str">
        <f>"101066975795"</f>
        <v>101066975795</v>
      </c>
      <c r="L3725" t="str">
        <f t="shared" si="1517"/>
        <v>04-08-2020</v>
      </c>
      <c r="M3725" t="str">
        <f t="shared" si="1517"/>
        <v>04-08-2020</v>
      </c>
      <c r="N3725" t="str">
        <f t="shared" si="1524"/>
        <v>001105018356</v>
      </c>
      <c r="O3725" t="str">
        <f t="shared" si="1525"/>
        <v>MYR</v>
      </c>
      <c r="P3725" t="str">
        <f t="shared" si="1518"/>
        <v>NIL</v>
      </c>
      <c r="Q3725" t="str">
        <f t="shared" si="1518"/>
        <v>NIL</v>
      </c>
      <c r="R3725" t="str">
        <f t="shared" si="1526"/>
        <v>Accepted</v>
      </c>
      <c r="S3725" t="str">
        <f t="shared" si="1527"/>
        <v>Approved</v>
      </c>
      <c r="T3725" t="str">
        <f t="shared" si="1528"/>
        <v>10.20.8.188</v>
      </c>
      <c r="U3725" t="str">
        <f t="shared" si="1529"/>
        <v>AZRAD UMAR BIN SHAARI</v>
      </c>
      <c r="V3725" t="str">
        <f t="shared" si="1530"/>
        <v>FARHANA BINTI MUSTAPA</v>
      </c>
      <c r="W3725" t="str">
        <f t="shared" si="1531"/>
        <v>04-08-2020</v>
      </c>
      <c r="X3725" t="str">
        <f t="shared" si="1532"/>
        <v>RAZIMAH ANSAR AHMAD</v>
      </c>
      <c r="Y3725" t="str">
        <f t="shared" si="1533"/>
        <v>04-08-2020</v>
      </c>
      <c r="Z3725" t="str">
        <f>"COS10200804 5229"</f>
        <v>COS10200804 5229</v>
      </c>
    </row>
    <row r="3726" spans="1:26" x14ac:dyDescent="0.25">
      <c r="A3726" t="str">
        <f t="shared" si="1519"/>
        <v>04-08-2020 12:56:45</v>
      </c>
      <c r="B3726" t="str">
        <f>"0000807216"</f>
        <v>0000807216</v>
      </c>
      <c r="C3726" t="str">
        <f t="shared" si="1520"/>
        <v>0000807188</v>
      </c>
      <c r="D3726" t="str">
        <f t="shared" si="1521"/>
        <v>73185</v>
      </c>
      <c r="E3726" t="str">
        <f t="shared" si="1522"/>
        <v>KFH-OPERATIONS DEPARTMENT</v>
      </c>
      <c r="F3726" t="str">
        <f t="shared" si="1523"/>
        <v>IBG</v>
      </c>
      <c r="G3726" t="str">
        <f t="shared" si="1534"/>
        <v>Refund COSHARE 10</v>
      </c>
      <c r="H3726" s="2">
        <v>473.3</v>
      </c>
      <c r="I3726" t="str">
        <f>"MASAYU BINTI ELIAS"</f>
        <v>MASAYU BINTI ELIAS</v>
      </c>
      <c r="J3726" t="str">
        <f t="shared" si="1510"/>
        <v>MAYBANK / MAYBANK ISLAMIC</v>
      </c>
      <c r="K3726" t="str">
        <f>"151016046688"</f>
        <v>151016046688</v>
      </c>
      <c r="L3726" t="str">
        <f t="shared" si="1517"/>
        <v>04-08-2020</v>
      </c>
      <c r="M3726" t="str">
        <f t="shared" si="1517"/>
        <v>04-08-2020</v>
      </c>
      <c r="N3726" t="str">
        <f t="shared" si="1524"/>
        <v>001105018356</v>
      </c>
      <c r="O3726" t="str">
        <f t="shared" si="1525"/>
        <v>MYR</v>
      </c>
      <c r="P3726" t="str">
        <f t="shared" si="1518"/>
        <v>NIL</v>
      </c>
      <c r="Q3726" t="str">
        <f t="shared" si="1518"/>
        <v>NIL</v>
      </c>
      <c r="R3726" t="str">
        <f t="shared" si="1526"/>
        <v>Accepted</v>
      </c>
      <c r="S3726" t="str">
        <f t="shared" si="1527"/>
        <v>Approved</v>
      </c>
      <c r="T3726" t="str">
        <f t="shared" si="1528"/>
        <v>10.20.8.188</v>
      </c>
      <c r="U3726" t="str">
        <f t="shared" si="1529"/>
        <v>AZRAD UMAR BIN SHAARI</v>
      </c>
      <c r="V3726" t="str">
        <f t="shared" si="1530"/>
        <v>FARHANA BINTI MUSTAPA</v>
      </c>
      <c r="W3726" t="str">
        <f t="shared" si="1531"/>
        <v>04-08-2020</v>
      </c>
      <c r="X3726" t="str">
        <f t="shared" si="1532"/>
        <v>RAZIMAH ANSAR AHMAD</v>
      </c>
      <c r="Y3726" t="str">
        <f t="shared" si="1533"/>
        <v>04-08-2020</v>
      </c>
      <c r="Z3726" t="str">
        <f>"COS10200804 5228"</f>
        <v>COS10200804 5228</v>
      </c>
    </row>
    <row r="3727" spans="1:26" x14ac:dyDescent="0.25">
      <c r="A3727" t="str">
        <f t="shared" si="1519"/>
        <v>04-08-2020 12:56:45</v>
      </c>
      <c r="B3727" t="str">
        <f>"0000807215"</f>
        <v>0000807215</v>
      </c>
      <c r="C3727" t="str">
        <f t="shared" si="1520"/>
        <v>0000807188</v>
      </c>
      <c r="D3727" t="str">
        <f t="shared" si="1521"/>
        <v>73185</v>
      </c>
      <c r="E3727" t="str">
        <f t="shared" si="1522"/>
        <v>KFH-OPERATIONS DEPARTMENT</v>
      </c>
      <c r="F3727" t="str">
        <f t="shared" si="1523"/>
        <v>IBG</v>
      </c>
      <c r="G3727" t="str">
        <f t="shared" si="1534"/>
        <v>Refund COSHARE 10</v>
      </c>
      <c r="H3727" s="2">
        <v>503.7</v>
      </c>
      <c r="I3727" t="str">
        <f>"MASARIFAH BINTI MAIDIN"</f>
        <v>MASARIFAH BINTI MAIDIN</v>
      </c>
      <c r="J3727" t="str">
        <f t="shared" si="1510"/>
        <v>MAYBANK / MAYBANK ISLAMIC</v>
      </c>
      <c r="K3727" t="str">
        <f>"160148800723"</f>
        <v>160148800723</v>
      </c>
      <c r="L3727" t="str">
        <f t="shared" ref="L3727:M3746" si="1535">"04-08-2020"</f>
        <v>04-08-2020</v>
      </c>
      <c r="M3727" t="str">
        <f t="shared" si="1535"/>
        <v>04-08-2020</v>
      </c>
      <c r="N3727" t="str">
        <f t="shared" si="1524"/>
        <v>001105018356</v>
      </c>
      <c r="O3727" t="str">
        <f t="shared" si="1525"/>
        <v>MYR</v>
      </c>
      <c r="P3727" t="str">
        <f t="shared" ref="P3727:Q3746" si="1536">"NIL"</f>
        <v>NIL</v>
      </c>
      <c r="Q3727" t="str">
        <f t="shared" si="1536"/>
        <v>NIL</v>
      </c>
      <c r="R3727" t="str">
        <f t="shared" si="1526"/>
        <v>Accepted</v>
      </c>
      <c r="S3727" t="str">
        <f t="shared" si="1527"/>
        <v>Approved</v>
      </c>
      <c r="T3727" t="str">
        <f t="shared" si="1528"/>
        <v>10.20.8.188</v>
      </c>
      <c r="U3727" t="str">
        <f t="shared" si="1529"/>
        <v>AZRAD UMAR BIN SHAARI</v>
      </c>
      <c r="V3727" t="str">
        <f t="shared" si="1530"/>
        <v>FARHANA BINTI MUSTAPA</v>
      </c>
      <c r="W3727" t="str">
        <f t="shared" si="1531"/>
        <v>04-08-2020</v>
      </c>
      <c r="X3727" t="str">
        <f t="shared" si="1532"/>
        <v>RAZIMAH ANSAR AHMAD</v>
      </c>
      <c r="Y3727" t="str">
        <f t="shared" si="1533"/>
        <v>04-08-2020</v>
      </c>
      <c r="Z3727" t="str">
        <f>"COS10200804 5227"</f>
        <v>COS10200804 5227</v>
      </c>
    </row>
    <row r="3728" spans="1:26" x14ac:dyDescent="0.25">
      <c r="A3728" t="str">
        <f t="shared" si="1519"/>
        <v>04-08-2020 12:56:45</v>
      </c>
      <c r="B3728" t="str">
        <f>"0000807214"</f>
        <v>0000807214</v>
      </c>
      <c r="C3728" t="str">
        <f t="shared" si="1520"/>
        <v>0000807188</v>
      </c>
      <c r="D3728" t="str">
        <f t="shared" si="1521"/>
        <v>73185</v>
      </c>
      <c r="E3728" t="str">
        <f t="shared" si="1522"/>
        <v>KFH-OPERATIONS DEPARTMENT</v>
      </c>
      <c r="F3728" t="str">
        <f t="shared" si="1523"/>
        <v>IBG</v>
      </c>
      <c r="G3728" t="str">
        <f t="shared" si="1534"/>
        <v>Refund COSHARE 10</v>
      </c>
      <c r="H3728" s="2">
        <v>646.45000000000005</v>
      </c>
      <c r="I3728" t="str">
        <f>"MAS TENTY IRDAWATY BINTI SAINDON"</f>
        <v>MAS TENTY IRDAWATY BINTI SAINDON</v>
      </c>
      <c r="J3728" t="str">
        <f t="shared" si="1510"/>
        <v>MAYBANK / MAYBANK ISLAMIC</v>
      </c>
      <c r="K3728" t="str">
        <f>"151445043436"</f>
        <v>151445043436</v>
      </c>
      <c r="L3728" t="str">
        <f t="shared" si="1535"/>
        <v>04-08-2020</v>
      </c>
      <c r="M3728" t="str">
        <f t="shared" si="1535"/>
        <v>04-08-2020</v>
      </c>
      <c r="N3728" t="str">
        <f t="shared" si="1524"/>
        <v>001105018356</v>
      </c>
      <c r="O3728" t="str">
        <f t="shared" si="1525"/>
        <v>MYR</v>
      </c>
      <c r="P3728" t="str">
        <f t="shared" si="1536"/>
        <v>NIL</v>
      </c>
      <c r="Q3728" t="str">
        <f t="shared" si="1536"/>
        <v>NIL</v>
      </c>
      <c r="R3728" t="str">
        <f t="shared" si="1526"/>
        <v>Accepted</v>
      </c>
      <c r="S3728" t="str">
        <f t="shared" si="1527"/>
        <v>Approved</v>
      </c>
      <c r="T3728" t="str">
        <f t="shared" si="1528"/>
        <v>10.20.8.188</v>
      </c>
      <c r="U3728" t="str">
        <f t="shared" si="1529"/>
        <v>AZRAD UMAR BIN SHAARI</v>
      </c>
      <c r="V3728" t="str">
        <f t="shared" si="1530"/>
        <v>FARHANA BINTI MUSTAPA</v>
      </c>
      <c r="W3728" t="str">
        <f t="shared" si="1531"/>
        <v>04-08-2020</v>
      </c>
      <c r="X3728" t="str">
        <f t="shared" si="1532"/>
        <v>RAZIMAH ANSAR AHMAD</v>
      </c>
      <c r="Y3728" t="str">
        <f t="shared" si="1533"/>
        <v>04-08-2020</v>
      </c>
      <c r="Z3728" t="str">
        <f>"COS10200804 5226"</f>
        <v>COS10200804 5226</v>
      </c>
    </row>
    <row r="3729" spans="1:26" x14ac:dyDescent="0.25">
      <c r="A3729" t="str">
        <f t="shared" si="1519"/>
        <v>04-08-2020 12:56:45</v>
      </c>
      <c r="B3729" t="str">
        <f>"0000807213"</f>
        <v>0000807213</v>
      </c>
      <c r="C3729" t="str">
        <f t="shared" si="1520"/>
        <v>0000807188</v>
      </c>
      <c r="D3729" t="str">
        <f t="shared" si="1521"/>
        <v>73185</v>
      </c>
      <c r="E3729" t="str">
        <f t="shared" si="1522"/>
        <v>KFH-OPERATIONS DEPARTMENT</v>
      </c>
      <c r="F3729" t="str">
        <f t="shared" si="1523"/>
        <v>IBG</v>
      </c>
      <c r="G3729" t="str">
        <f t="shared" si="1534"/>
        <v>Refund COSHARE 10</v>
      </c>
      <c r="H3729" s="2">
        <v>68.8</v>
      </c>
      <c r="I3729" t="str">
        <f>"MAS MUHAMAD SHAFAWE BIN SHARIF"</f>
        <v>MAS MUHAMAD SHAFAWE BIN SHARIF</v>
      </c>
      <c r="J3729" t="str">
        <f t="shared" ref="J3729:J3792" si="1537">"MAYBANK / MAYBANK ISLAMIC"</f>
        <v>MAYBANK / MAYBANK ISLAMIC</v>
      </c>
      <c r="K3729" t="str">
        <f>"106061437779"</f>
        <v>106061437779</v>
      </c>
      <c r="L3729" t="str">
        <f t="shared" si="1535"/>
        <v>04-08-2020</v>
      </c>
      <c r="M3729" t="str">
        <f t="shared" si="1535"/>
        <v>04-08-2020</v>
      </c>
      <c r="N3729" t="str">
        <f t="shared" si="1524"/>
        <v>001105018356</v>
      </c>
      <c r="O3729" t="str">
        <f t="shared" si="1525"/>
        <v>MYR</v>
      </c>
      <c r="P3729" t="str">
        <f t="shared" si="1536"/>
        <v>NIL</v>
      </c>
      <c r="Q3729" t="str">
        <f t="shared" si="1536"/>
        <v>NIL</v>
      </c>
      <c r="R3729" t="str">
        <f t="shared" si="1526"/>
        <v>Accepted</v>
      </c>
      <c r="S3729" t="str">
        <f t="shared" si="1527"/>
        <v>Approved</v>
      </c>
      <c r="T3729" t="str">
        <f t="shared" si="1528"/>
        <v>10.20.8.188</v>
      </c>
      <c r="U3729" t="str">
        <f t="shared" si="1529"/>
        <v>AZRAD UMAR BIN SHAARI</v>
      </c>
      <c r="V3729" t="str">
        <f t="shared" si="1530"/>
        <v>FARHANA BINTI MUSTAPA</v>
      </c>
      <c r="W3729" t="str">
        <f t="shared" si="1531"/>
        <v>04-08-2020</v>
      </c>
      <c r="X3729" t="str">
        <f t="shared" si="1532"/>
        <v>RAZIMAH ANSAR AHMAD</v>
      </c>
      <c r="Y3729" t="str">
        <f t="shared" si="1533"/>
        <v>04-08-2020</v>
      </c>
      <c r="Z3729" t="str">
        <f>"COS10200804 5225"</f>
        <v>COS10200804 5225</v>
      </c>
    </row>
    <row r="3730" spans="1:26" x14ac:dyDescent="0.25">
      <c r="A3730" t="str">
        <f t="shared" si="1519"/>
        <v>04-08-2020 12:56:45</v>
      </c>
      <c r="B3730" t="str">
        <f>"0000807212"</f>
        <v>0000807212</v>
      </c>
      <c r="C3730" t="str">
        <f t="shared" si="1520"/>
        <v>0000807188</v>
      </c>
      <c r="D3730" t="str">
        <f t="shared" si="1521"/>
        <v>73185</v>
      </c>
      <c r="E3730" t="str">
        <f t="shared" si="1522"/>
        <v>KFH-OPERATIONS DEPARTMENT</v>
      </c>
      <c r="F3730" t="str">
        <f t="shared" si="1523"/>
        <v>IBG</v>
      </c>
      <c r="G3730" t="str">
        <f t="shared" si="1534"/>
        <v>Refund COSHARE 10</v>
      </c>
      <c r="H3730" s="2">
        <v>504</v>
      </c>
      <c r="I3730" t="str">
        <f>"MAS IDAYU BINTI ABU MANSOR"</f>
        <v>MAS IDAYU BINTI ABU MANSOR</v>
      </c>
      <c r="J3730" t="str">
        <f t="shared" si="1537"/>
        <v>MAYBANK / MAYBANK ISLAMIC</v>
      </c>
      <c r="K3730" t="str">
        <f>"166010079242"</f>
        <v>166010079242</v>
      </c>
      <c r="L3730" t="str">
        <f t="shared" si="1535"/>
        <v>04-08-2020</v>
      </c>
      <c r="M3730" t="str">
        <f t="shared" si="1535"/>
        <v>04-08-2020</v>
      </c>
      <c r="N3730" t="str">
        <f t="shared" si="1524"/>
        <v>001105018356</v>
      </c>
      <c r="O3730" t="str">
        <f t="shared" si="1525"/>
        <v>MYR</v>
      </c>
      <c r="P3730" t="str">
        <f t="shared" si="1536"/>
        <v>NIL</v>
      </c>
      <c r="Q3730" t="str">
        <f t="shared" si="1536"/>
        <v>NIL</v>
      </c>
      <c r="R3730" t="str">
        <f t="shared" si="1526"/>
        <v>Accepted</v>
      </c>
      <c r="S3730" t="str">
        <f t="shared" si="1527"/>
        <v>Approved</v>
      </c>
      <c r="T3730" t="str">
        <f t="shared" si="1528"/>
        <v>10.20.8.188</v>
      </c>
      <c r="U3730" t="str">
        <f t="shared" si="1529"/>
        <v>AZRAD UMAR BIN SHAARI</v>
      </c>
      <c r="V3730" t="str">
        <f t="shared" si="1530"/>
        <v>FARHANA BINTI MUSTAPA</v>
      </c>
      <c r="W3730" t="str">
        <f t="shared" si="1531"/>
        <v>04-08-2020</v>
      </c>
      <c r="X3730" t="str">
        <f t="shared" si="1532"/>
        <v>RAZIMAH ANSAR AHMAD</v>
      </c>
      <c r="Y3730" t="str">
        <f t="shared" si="1533"/>
        <v>04-08-2020</v>
      </c>
      <c r="Z3730" t="str">
        <f>"COS10200804 5224"</f>
        <v>COS10200804 5224</v>
      </c>
    </row>
    <row r="3731" spans="1:26" x14ac:dyDescent="0.25">
      <c r="A3731" t="str">
        <f t="shared" si="1519"/>
        <v>04-08-2020 12:56:45</v>
      </c>
      <c r="B3731" t="str">
        <f>"0000807211"</f>
        <v>0000807211</v>
      </c>
      <c r="C3731" t="str">
        <f t="shared" si="1520"/>
        <v>0000807188</v>
      </c>
      <c r="D3731" t="str">
        <f t="shared" si="1521"/>
        <v>73185</v>
      </c>
      <c r="E3731" t="str">
        <f t="shared" si="1522"/>
        <v>KFH-OPERATIONS DEPARTMENT</v>
      </c>
      <c r="F3731" t="str">
        <f t="shared" si="1523"/>
        <v>IBG</v>
      </c>
      <c r="G3731" t="str">
        <f t="shared" si="1534"/>
        <v>Refund COSHARE 10</v>
      </c>
      <c r="H3731" s="2">
        <v>1385.2</v>
      </c>
      <c r="I3731" t="str">
        <f>"MAS AZLINA BINTI MOHD ALIAS"</f>
        <v>MAS AZLINA BINTI MOHD ALIAS</v>
      </c>
      <c r="J3731" t="str">
        <f t="shared" si="1537"/>
        <v>MAYBANK / MAYBANK ISLAMIC</v>
      </c>
      <c r="K3731" t="str">
        <f>"162012735447"</f>
        <v>162012735447</v>
      </c>
      <c r="L3731" t="str">
        <f t="shared" si="1535"/>
        <v>04-08-2020</v>
      </c>
      <c r="M3731" t="str">
        <f t="shared" si="1535"/>
        <v>04-08-2020</v>
      </c>
      <c r="N3731" t="str">
        <f t="shared" si="1524"/>
        <v>001105018356</v>
      </c>
      <c r="O3731" t="str">
        <f t="shared" si="1525"/>
        <v>MYR</v>
      </c>
      <c r="P3731" t="str">
        <f t="shared" si="1536"/>
        <v>NIL</v>
      </c>
      <c r="Q3731" t="str">
        <f t="shared" si="1536"/>
        <v>NIL</v>
      </c>
      <c r="R3731" t="str">
        <f t="shared" si="1526"/>
        <v>Accepted</v>
      </c>
      <c r="S3731" t="str">
        <f t="shared" si="1527"/>
        <v>Approved</v>
      </c>
      <c r="T3731" t="str">
        <f t="shared" si="1528"/>
        <v>10.20.8.188</v>
      </c>
      <c r="U3731" t="str">
        <f t="shared" si="1529"/>
        <v>AZRAD UMAR BIN SHAARI</v>
      </c>
      <c r="V3731" t="str">
        <f t="shared" si="1530"/>
        <v>FARHANA BINTI MUSTAPA</v>
      </c>
      <c r="W3731" t="str">
        <f t="shared" si="1531"/>
        <v>04-08-2020</v>
      </c>
      <c r="X3731" t="str">
        <f t="shared" si="1532"/>
        <v>RAZIMAH ANSAR AHMAD</v>
      </c>
      <c r="Y3731" t="str">
        <f t="shared" si="1533"/>
        <v>04-08-2020</v>
      </c>
      <c r="Z3731" t="str">
        <f>"COS10200804 5223"</f>
        <v>COS10200804 5223</v>
      </c>
    </row>
    <row r="3732" spans="1:26" x14ac:dyDescent="0.25">
      <c r="A3732" t="str">
        <f t="shared" si="1519"/>
        <v>04-08-2020 12:56:45</v>
      </c>
      <c r="B3732" t="str">
        <f>"0000807210"</f>
        <v>0000807210</v>
      </c>
      <c r="C3732" t="str">
        <f t="shared" si="1520"/>
        <v>0000807188</v>
      </c>
      <c r="D3732" t="str">
        <f t="shared" si="1521"/>
        <v>73185</v>
      </c>
      <c r="E3732" t="str">
        <f t="shared" si="1522"/>
        <v>KFH-OPERATIONS DEPARTMENT</v>
      </c>
      <c r="F3732" t="str">
        <f t="shared" si="1523"/>
        <v>IBG</v>
      </c>
      <c r="G3732" t="str">
        <f t="shared" si="1534"/>
        <v>Refund COSHARE 10</v>
      </c>
      <c r="H3732" s="2">
        <v>473</v>
      </c>
      <c r="I3732" t="str">
        <f>"MARZITA BINTI MOHAMAD NOR"</f>
        <v>MARZITA BINTI MOHAMAD NOR</v>
      </c>
      <c r="J3732" t="str">
        <f t="shared" si="1537"/>
        <v>MAYBANK / MAYBANK ISLAMIC</v>
      </c>
      <c r="K3732" t="str">
        <f>"158042001301"</f>
        <v>158042001301</v>
      </c>
      <c r="L3732" t="str">
        <f t="shared" si="1535"/>
        <v>04-08-2020</v>
      </c>
      <c r="M3732" t="str">
        <f t="shared" si="1535"/>
        <v>04-08-2020</v>
      </c>
      <c r="N3732" t="str">
        <f t="shared" si="1524"/>
        <v>001105018356</v>
      </c>
      <c r="O3732" t="str">
        <f t="shared" si="1525"/>
        <v>MYR</v>
      </c>
      <c r="P3732" t="str">
        <f t="shared" si="1536"/>
        <v>NIL</v>
      </c>
      <c r="Q3732" t="str">
        <f t="shared" si="1536"/>
        <v>NIL</v>
      </c>
      <c r="R3732" t="str">
        <f t="shared" si="1526"/>
        <v>Accepted</v>
      </c>
      <c r="S3732" t="str">
        <f t="shared" si="1527"/>
        <v>Approved</v>
      </c>
      <c r="T3732" t="str">
        <f t="shared" si="1528"/>
        <v>10.20.8.188</v>
      </c>
      <c r="U3732" t="str">
        <f t="shared" si="1529"/>
        <v>AZRAD UMAR BIN SHAARI</v>
      </c>
      <c r="V3732" t="str">
        <f t="shared" si="1530"/>
        <v>FARHANA BINTI MUSTAPA</v>
      </c>
      <c r="W3732" t="str">
        <f t="shared" si="1531"/>
        <v>04-08-2020</v>
      </c>
      <c r="X3732" t="str">
        <f t="shared" si="1532"/>
        <v>RAZIMAH ANSAR AHMAD</v>
      </c>
      <c r="Y3732" t="str">
        <f t="shared" si="1533"/>
        <v>04-08-2020</v>
      </c>
      <c r="Z3732" t="str">
        <f>"COS10200804 5222"</f>
        <v>COS10200804 5222</v>
      </c>
    </row>
    <row r="3733" spans="1:26" x14ac:dyDescent="0.25">
      <c r="A3733" t="str">
        <f t="shared" si="1519"/>
        <v>04-08-2020 12:56:45</v>
      </c>
      <c r="B3733" t="str">
        <f>"0000807209"</f>
        <v>0000807209</v>
      </c>
      <c r="C3733" t="str">
        <f t="shared" si="1520"/>
        <v>0000807188</v>
      </c>
      <c r="D3733" t="str">
        <f t="shared" si="1521"/>
        <v>73185</v>
      </c>
      <c r="E3733" t="str">
        <f t="shared" si="1522"/>
        <v>KFH-OPERATIONS DEPARTMENT</v>
      </c>
      <c r="F3733" t="str">
        <f t="shared" si="1523"/>
        <v>IBG</v>
      </c>
      <c r="G3733" t="str">
        <f t="shared" si="1534"/>
        <v>Refund COSHARE 10</v>
      </c>
      <c r="H3733" s="2">
        <v>864.7</v>
      </c>
      <c r="I3733" t="str">
        <f>"MARZATUL SHIMA BINTI ABDOL RAHIM"</f>
        <v>MARZATUL SHIMA BINTI ABDOL RAHIM</v>
      </c>
      <c r="J3733" t="str">
        <f t="shared" si="1537"/>
        <v>MAYBANK / MAYBANK ISLAMIC</v>
      </c>
      <c r="K3733" t="str">
        <f>"107117256643"</f>
        <v>107117256643</v>
      </c>
      <c r="L3733" t="str">
        <f t="shared" si="1535"/>
        <v>04-08-2020</v>
      </c>
      <c r="M3733" t="str">
        <f t="shared" si="1535"/>
        <v>04-08-2020</v>
      </c>
      <c r="N3733" t="str">
        <f t="shared" si="1524"/>
        <v>001105018356</v>
      </c>
      <c r="O3733" t="str">
        <f t="shared" si="1525"/>
        <v>MYR</v>
      </c>
      <c r="P3733" t="str">
        <f t="shared" si="1536"/>
        <v>NIL</v>
      </c>
      <c r="Q3733" t="str">
        <f t="shared" si="1536"/>
        <v>NIL</v>
      </c>
      <c r="R3733" t="str">
        <f t="shared" si="1526"/>
        <v>Accepted</v>
      </c>
      <c r="S3733" t="str">
        <f t="shared" si="1527"/>
        <v>Approved</v>
      </c>
      <c r="T3733" t="str">
        <f t="shared" si="1528"/>
        <v>10.20.8.188</v>
      </c>
      <c r="U3733" t="str">
        <f t="shared" si="1529"/>
        <v>AZRAD UMAR BIN SHAARI</v>
      </c>
      <c r="V3733" t="str">
        <f t="shared" si="1530"/>
        <v>FARHANA BINTI MUSTAPA</v>
      </c>
      <c r="W3733" t="str">
        <f t="shared" si="1531"/>
        <v>04-08-2020</v>
      </c>
      <c r="X3733" t="str">
        <f t="shared" si="1532"/>
        <v>RAZIMAH ANSAR AHMAD</v>
      </c>
      <c r="Y3733" t="str">
        <f t="shared" si="1533"/>
        <v>04-08-2020</v>
      </c>
      <c r="Z3733" t="str">
        <f>"COS10200804 5221"</f>
        <v>COS10200804 5221</v>
      </c>
    </row>
    <row r="3734" spans="1:26" x14ac:dyDescent="0.25">
      <c r="A3734" t="str">
        <f t="shared" si="1519"/>
        <v>04-08-2020 12:56:45</v>
      </c>
      <c r="B3734" t="str">
        <f>"0000807208"</f>
        <v>0000807208</v>
      </c>
      <c r="C3734" t="str">
        <f t="shared" si="1520"/>
        <v>0000807188</v>
      </c>
      <c r="D3734" t="str">
        <f t="shared" si="1521"/>
        <v>73185</v>
      </c>
      <c r="E3734" t="str">
        <f t="shared" si="1522"/>
        <v>KFH-OPERATIONS DEPARTMENT</v>
      </c>
      <c r="F3734" t="str">
        <f t="shared" si="1523"/>
        <v>IBG</v>
      </c>
      <c r="G3734" t="str">
        <f t="shared" si="1534"/>
        <v>Refund COSHARE 10</v>
      </c>
      <c r="H3734" s="2">
        <v>683</v>
      </c>
      <c r="I3734" t="str">
        <f>"MARZALINA BINTI GHADZALI"</f>
        <v>MARZALINA BINTI GHADZALI</v>
      </c>
      <c r="J3734" t="str">
        <f t="shared" si="1537"/>
        <v>MAYBANK / MAYBANK ISLAMIC</v>
      </c>
      <c r="K3734" t="str">
        <f>"157157735111"</f>
        <v>157157735111</v>
      </c>
      <c r="L3734" t="str">
        <f t="shared" si="1535"/>
        <v>04-08-2020</v>
      </c>
      <c r="M3734" t="str">
        <f t="shared" si="1535"/>
        <v>04-08-2020</v>
      </c>
      <c r="N3734" t="str">
        <f t="shared" si="1524"/>
        <v>001105018356</v>
      </c>
      <c r="O3734" t="str">
        <f t="shared" si="1525"/>
        <v>MYR</v>
      </c>
      <c r="P3734" t="str">
        <f t="shared" si="1536"/>
        <v>NIL</v>
      </c>
      <c r="Q3734" t="str">
        <f t="shared" si="1536"/>
        <v>NIL</v>
      </c>
      <c r="R3734" t="str">
        <f t="shared" si="1526"/>
        <v>Accepted</v>
      </c>
      <c r="S3734" t="str">
        <f t="shared" si="1527"/>
        <v>Approved</v>
      </c>
      <c r="T3734" t="str">
        <f t="shared" si="1528"/>
        <v>10.20.8.188</v>
      </c>
      <c r="U3734" t="str">
        <f t="shared" si="1529"/>
        <v>AZRAD UMAR BIN SHAARI</v>
      </c>
      <c r="V3734" t="str">
        <f t="shared" si="1530"/>
        <v>FARHANA BINTI MUSTAPA</v>
      </c>
      <c r="W3734" t="str">
        <f t="shared" si="1531"/>
        <v>04-08-2020</v>
      </c>
      <c r="X3734" t="str">
        <f t="shared" si="1532"/>
        <v>RAZIMAH ANSAR AHMAD</v>
      </c>
      <c r="Y3734" t="str">
        <f t="shared" si="1533"/>
        <v>04-08-2020</v>
      </c>
      <c r="Z3734" t="str">
        <f>"COS10200804 5220"</f>
        <v>COS10200804 5220</v>
      </c>
    </row>
    <row r="3735" spans="1:26" x14ac:dyDescent="0.25">
      <c r="A3735" t="str">
        <f t="shared" si="1519"/>
        <v>04-08-2020 12:56:45</v>
      </c>
      <c r="B3735" t="str">
        <f>"0000807207"</f>
        <v>0000807207</v>
      </c>
      <c r="C3735" t="str">
        <f t="shared" si="1520"/>
        <v>0000807188</v>
      </c>
      <c r="D3735" t="str">
        <f t="shared" si="1521"/>
        <v>73185</v>
      </c>
      <c r="E3735" t="str">
        <f t="shared" si="1522"/>
        <v>KFH-OPERATIONS DEPARTMENT</v>
      </c>
      <c r="F3735" t="str">
        <f t="shared" si="1523"/>
        <v>IBG</v>
      </c>
      <c r="G3735" t="str">
        <f t="shared" si="1534"/>
        <v>Refund COSHARE 10</v>
      </c>
      <c r="H3735" s="2">
        <v>69</v>
      </c>
      <c r="I3735" t="str">
        <f>"MARZALAN BIN MD ALI"</f>
        <v>MARZALAN BIN MD ALI</v>
      </c>
      <c r="J3735" t="str">
        <f t="shared" si="1537"/>
        <v>MAYBANK / MAYBANK ISLAMIC</v>
      </c>
      <c r="K3735" t="str">
        <f>"114235797529"</f>
        <v>114235797529</v>
      </c>
      <c r="L3735" t="str">
        <f t="shared" si="1535"/>
        <v>04-08-2020</v>
      </c>
      <c r="M3735" t="str">
        <f t="shared" si="1535"/>
        <v>04-08-2020</v>
      </c>
      <c r="N3735" t="str">
        <f t="shared" si="1524"/>
        <v>001105018356</v>
      </c>
      <c r="O3735" t="str">
        <f t="shared" si="1525"/>
        <v>MYR</v>
      </c>
      <c r="P3735" t="str">
        <f t="shared" si="1536"/>
        <v>NIL</v>
      </c>
      <c r="Q3735" t="str">
        <f t="shared" si="1536"/>
        <v>NIL</v>
      </c>
      <c r="R3735" t="str">
        <f t="shared" si="1526"/>
        <v>Accepted</v>
      </c>
      <c r="S3735" t="str">
        <f t="shared" si="1527"/>
        <v>Approved</v>
      </c>
      <c r="T3735" t="str">
        <f t="shared" si="1528"/>
        <v>10.20.8.188</v>
      </c>
      <c r="U3735" t="str">
        <f t="shared" si="1529"/>
        <v>AZRAD UMAR BIN SHAARI</v>
      </c>
      <c r="V3735" t="str">
        <f t="shared" si="1530"/>
        <v>FARHANA BINTI MUSTAPA</v>
      </c>
      <c r="W3735" t="str">
        <f t="shared" si="1531"/>
        <v>04-08-2020</v>
      </c>
      <c r="X3735" t="str">
        <f t="shared" si="1532"/>
        <v>RAZIMAH ANSAR AHMAD</v>
      </c>
      <c r="Y3735" t="str">
        <f t="shared" si="1533"/>
        <v>04-08-2020</v>
      </c>
      <c r="Z3735" t="str">
        <f>"COS10200804 5219"</f>
        <v>COS10200804 5219</v>
      </c>
    </row>
    <row r="3736" spans="1:26" x14ac:dyDescent="0.25">
      <c r="A3736" t="str">
        <f t="shared" si="1519"/>
        <v>04-08-2020 12:56:45</v>
      </c>
      <c r="B3736" t="str">
        <f>"0000807206"</f>
        <v>0000807206</v>
      </c>
      <c r="C3736" t="str">
        <f t="shared" si="1520"/>
        <v>0000807188</v>
      </c>
      <c r="D3736" t="str">
        <f t="shared" si="1521"/>
        <v>73185</v>
      </c>
      <c r="E3736" t="str">
        <f t="shared" si="1522"/>
        <v>KFH-OPERATIONS DEPARTMENT</v>
      </c>
      <c r="F3736" t="str">
        <f t="shared" si="1523"/>
        <v>IBG</v>
      </c>
      <c r="G3736" t="str">
        <f t="shared" si="1534"/>
        <v>Refund COSHARE 10</v>
      </c>
      <c r="H3736" s="2">
        <v>982.25</v>
      </c>
      <c r="I3736" t="str">
        <f>"MARYANA BINTI ISHAK"</f>
        <v>MARYANA BINTI ISHAK</v>
      </c>
      <c r="J3736" t="str">
        <f t="shared" si="1537"/>
        <v>MAYBANK / MAYBANK ISLAMIC</v>
      </c>
      <c r="K3736" t="str">
        <f>"111105040949"</f>
        <v>111105040949</v>
      </c>
      <c r="L3736" t="str">
        <f t="shared" si="1535"/>
        <v>04-08-2020</v>
      </c>
      <c r="M3736" t="str">
        <f t="shared" si="1535"/>
        <v>04-08-2020</v>
      </c>
      <c r="N3736" t="str">
        <f t="shared" si="1524"/>
        <v>001105018356</v>
      </c>
      <c r="O3736" t="str">
        <f t="shared" si="1525"/>
        <v>MYR</v>
      </c>
      <c r="P3736" t="str">
        <f t="shared" si="1536"/>
        <v>NIL</v>
      </c>
      <c r="Q3736" t="str">
        <f t="shared" si="1536"/>
        <v>NIL</v>
      </c>
      <c r="R3736" t="str">
        <f t="shared" si="1526"/>
        <v>Accepted</v>
      </c>
      <c r="S3736" t="str">
        <f t="shared" si="1527"/>
        <v>Approved</v>
      </c>
      <c r="T3736" t="str">
        <f t="shared" si="1528"/>
        <v>10.20.8.188</v>
      </c>
      <c r="U3736" t="str">
        <f t="shared" si="1529"/>
        <v>AZRAD UMAR BIN SHAARI</v>
      </c>
      <c r="V3736" t="str">
        <f t="shared" si="1530"/>
        <v>FARHANA BINTI MUSTAPA</v>
      </c>
      <c r="W3736" t="str">
        <f t="shared" si="1531"/>
        <v>04-08-2020</v>
      </c>
      <c r="X3736" t="str">
        <f t="shared" si="1532"/>
        <v>RAZIMAH ANSAR AHMAD</v>
      </c>
      <c r="Y3736" t="str">
        <f t="shared" si="1533"/>
        <v>04-08-2020</v>
      </c>
      <c r="Z3736" t="str">
        <f>"COS10200804 5218"</f>
        <v>COS10200804 5218</v>
      </c>
    </row>
    <row r="3737" spans="1:26" x14ac:dyDescent="0.25">
      <c r="A3737" t="str">
        <f t="shared" si="1519"/>
        <v>04-08-2020 12:56:45</v>
      </c>
      <c r="B3737" t="str">
        <f>"0000807205"</f>
        <v>0000807205</v>
      </c>
      <c r="C3737" t="str">
        <f t="shared" si="1520"/>
        <v>0000807188</v>
      </c>
      <c r="D3737" t="str">
        <f t="shared" si="1521"/>
        <v>73185</v>
      </c>
      <c r="E3737" t="str">
        <f t="shared" si="1522"/>
        <v>KFH-OPERATIONS DEPARTMENT</v>
      </c>
      <c r="F3737" t="str">
        <f t="shared" si="1523"/>
        <v>IBG</v>
      </c>
      <c r="G3737" t="str">
        <f t="shared" si="1534"/>
        <v>Refund COSHARE 10</v>
      </c>
      <c r="H3737" s="2">
        <v>922.35</v>
      </c>
      <c r="I3737" t="str">
        <f>"MARY MAGDALEN  MARY MAGDALENA"</f>
        <v>MARY MAGDALEN  MARY MAGDALENA</v>
      </c>
      <c r="J3737" t="str">
        <f t="shared" si="1537"/>
        <v>MAYBANK / MAYBANK ISLAMIC</v>
      </c>
      <c r="K3737" t="str">
        <f>"161051356702"</f>
        <v>161051356702</v>
      </c>
      <c r="L3737" t="str">
        <f t="shared" si="1535"/>
        <v>04-08-2020</v>
      </c>
      <c r="M3737" t="str">
        <f t="shared" si="1535"/>
        <v>04-08-2020</v>
      </c>
      <c r="N3737" t="str">
        <f t="shared" si="1524"/>
        <v>001105018356</v>
      </c>
      <c r="O3737" t="str">
        <f t="shared" si="1525"/>
        <v>MYR</v>
      </c>
      <c r="P3737" t="str">
        <f t="shared" si="1536"/>
        <v>NIL</v>
      </c>
      <c r="Q3737" t="str">
        <f t="shared" si="1536"/>
        <v>NIL</v>
      </c>
      <c r="R3737" t="str">
        <f t="shared" si="1526"/>
        <v>Accepted</v>
      </c>
      <c r="S3737" t="str">
        <f t="shared" si="1527"/>
        <v>Approved</v>
      </c>
      <c r="T3737" t="str">
        <f t="shared" si="1528"/>
        <v>10.20.8.188</v>
      </c>
      <c r="U3737" t="str">
        <f t="shared" si="1529"/>
        <v>AZRAD UMAR BIN SHAARI</v>
      </c>
      <c r="V3737" t="str">
        <f t="shared" si="1530"/>
        <v>FARHANA BINTI MUSTAPA</v>
      </c>
      <c r="W3737" t="str">
        <f t="shared" si="1531"/>
        <v>04-08-2020</v>
      </c>
      <c r="X3737" t="str">
        <f t="shared" si="1532"/>
        <v>RAZIMAH ANSAR AHMAD</v>
      </c>
      <c r="Y3737" t="str">
        <f t="shared" si="1533"/>
        <v>04-08-2020</v>
      </c>
      <c r="Z3737" t="str">
        <f>"COS10200804 5217"</f>
        <v>COS10200804 5217</v>
      </c>
    </row>
    <row r="3738" spans="1:26" x14ac:dyDescent="0.25">
      <c r="A3738" t="str">
        <f t="shared" si="1519"/>
        <v>04-08-2020 12:56:45</v>
      </c>
      <c r="B3738" t="str">
        <f>"0000807204"</f>
        <v>0000807204</v>
      </c>
      <c r="C3738" t="str">
        <f t="shared" si="1520"/>
        <v>0000807188</v>
      </c>
      <c r="D3738" t="str">
        <f t="shared" si="1521"/>
        <v>73185</v>
      </c>
      <c r="E3738" t="str">
        <f t="shared" si="1522"/>
        <v>KFH-OPERATIONS DEPARTMENT</v>
      </c>
      <c r="F3738" t="str">
        <f t="shared" si="1523"/>
        <v>IBG</v>
      </c>
      <c r="G3738" t="str">
        <f t="shared" si="1534"/>
        <v>Refund COSHARE 10</v>
      </c>
      <c r="H3738" s="2">
        <v>100.75</v>
      </c>
      <c r="I3738" t="str">
        <f>"MARTINI BINTI MOHD RAZAK"</f>
        <v>MARTINI BINTI MOHD RAZAK</v>
      </c>
      <c r="J3738" t="str">
        <f t="shared" si="1537"/>
        <v>MAYBANK / MAYBANK ISLAMIC</v>
      </c>
      <c r="K3738" t="str">
        <f>"101094030429"</f>
        <v>101094030429</v>
      </c>
      <c r="L3738" t="str">
        <f t="shared" si="1535"/>
        <v>04-08-2020</v>
      </c>
      <c r="M3738" t="str">
        <f t="shared" si="1535"/>
        <v>04-08-2020</v>
      </c>
      <c r="N3738" t="str">
        <f t="shared" si="1524"/>
        <v>001105018356</v>
      </c>
      <c r="O3738" t="str">
        <f t="shared" si="1525"/>
        <v>MYR</v>
      </c>
      <c r="P3738" t="str">
        <f t="shared" si="1536"/>
        <v>NIL</v>
      </c>
      <c r="Q3738" t="str">
        <f t="shared" si="1536"/>
        <v>NIL</v>
      </c>
      <c r="R3738" t="str">
        <f t="shared" si="1526"/>
        <v>Accepted</v>
      </c>
      <c r="S3738" t="str">
        <f t="shared" si="1527"/>
        <v>Approved</v>
      </c>
      <c r="T3738" t="str">
        <f t="shared" si="1528"/>
        <v>10.20.8.188</v>
      </c>
      <c r="U3738" t="str">
        <f t="shared" si="1529"/>
        <v>AZRAD UMAR BIN SHAARI</v>
      </c>
      <c r="V3738" t="str">
        <f t="shared" si="1530"/>
        <v>FARHANA BINTI MUSTAPA</v>
      </c>
      <c r="W3738" t="str">
        <f t="shared" si="1531"/>
        <v>04-08-2020</v>
      </c>
      <c r="X3738" t="str">
        <f t="shared" si="1532"/>
        <v>RAZIMAH ANSAR AHMAD</v>
      </c>
      <c r="Y3738" t="str">
        <f t="shared" si="1533"/>
        <v>04-08-2020</v>
      </c>
      <c r="Z3738" t="str">
        <f>"COS10200804 5216"</f>
        <v>COS10200804 5216</v>
      </c>
    </row>
    <row r="3739" spans="1:26" x14ac:dyDescent="0.25">
      <c r="A3739" t="str">
        <f t="shared" si="1519"/>
        <v>04-08-2020 12:56:45</v>
      </c>
      <c r="B3739" t="str">
        <f>"0000807203"</f>
        <v>0000807203</v>
      </c>
      <c r="C3739" t="str">
        <f t="shared" si="1520"/>
        <v>0000807188</v>
      </c>
      <c r="D3739" t="str">
        <f t="shared" si="1521"/>
        <v>73185</v>
      </c>
      <c r="E3739" t="str">
        <f t="shared" si="1522"/>
        <v>KFH-OPERATIONS DEPARTMENT</v>
      </c>
      <c r="F3739" t="str">
        <f t="shared" si="1523"/>
        <v>IBG</v>
      </c>
      <c r="G3739" t="str">
        <f t="shared" si="1534"/>
        <v>Refund COSHARE 10</v>
      </c>
      <c r="H3739" s="2">
        <v>167.9</v>
      </c>
      <c r="I3739" t="str">
        <f>"MARSITA BINTI MANSHOR"</f>
        <v>MARSITA BINTI MANSHOR</v>
      </c>
      <c r="J3739" t="str">
        <f t="shared" si="1537"/>
        <v>MAYBANK / MAYBANK ISLAMIC</v>
      </c>
      <c r="K3739" t="str">
        <f>"156039282696"</f>
        <v>156039282696</v>
      </c>
      <c r="L3739" t="str">
        <f t="shared" si="1535"/>
        <v>04-08-2020</v>
      </c>
      <c r="M3739" t="str">
        <f t="shared" si="1535"/>
        <v>04-08-2020</v>
      </c>
      <c r="N3739" t="str">
        <f t="shared" si="1524"/>
        <v>001105018356</v>
      </c>
      <c r="O3739" t="str">
        <f t="shared" si="1525"/>
        <v>MYR</v>
      </c>
      <c r="P3739" t="str">
        <f t="shared" si="1536"/>
        <v>NIL</v>
      </c>
      <c r="Q3739" t="str">
        <f t="shared" si="1536"/>
        <v>NIL</v>
      </c>
      <c r="R3739" t="str">
        <f t="shared" si="1526"/>
        <v>Accepted</v>
      </c>
      <c r="S3739" t="str">
        <f t="shared" si="1527"/>
        <v>Approved</v>
      </c>
      <c r="T3739" t="str">
        <f t="shared" si="1528"/>
        <v>10.20.8.188</v>
      </c>
      <c r="U3739" t="str">
        <f t="shared" si="1529"/>
        <v>AZRAD UMAR BIN SHAARI</v>
      </c>
      <c r="V3739" t="str">
        <f t="shared" si="1530"/>
        <v>FARHANA BINTI MUSTAPA</v>
      </c>
      <c r="W3739" t="str">
        <f t="shared" si="1531"/>
        <v>04-08-2020</v>
      </c>
      <c r="X3739" t="str">
        <f t="shared" si="1532"/>
        <v>RAZIMAH ANSAR AHMAD</v>
      </c>
      <c r="Y3739" t="str">
        <f t="shared" si="1533"/>
        <v>04-08-2020</v>
      </c>
      <c r="Z3739" t="str">
        <f>"COS10200804 5215"</f>
        <v>COS10200804 5215</v>
      </c>
    </row>
    <row r="3740" spans="1:26" x14ac:dyDescent="0.25">
      <c r="A3740" t="str">
        <f t="shared" si="1519"/>
        <v>04-08-2020 12:56:45</v>
      </c>
      <c r="B3740" t="str">
        <f>"0000807202"</f>
        <v>0000807202</v>
      </c>
      <c r="C3740" t="str">
        <f t="shared" si="1520"/>
        <v>0000807188</v>
      </c>
      <c r="D3740" t="str">
        <f t="shared" si="1521"/>
        <v>73185</v>
      </c>
      <c r="E3740" t="str">
        <f t="shared" si="1522"/>
        <v>KFH-OPERATIONS DEPARTMENT</v>
      </c>
      <c r="F3740" t="str">
        <f t="shared" si="1523"/>
        <v>IBG</v>
      </c>
      <c r="G3740" t="str">
        <f t="shared" si="1534"/>
        <v>Refund COSHARE 10</v>
      </c>
      <c r="H3740" s="2">
        <v>67.2</v>
      </c>
      <c r="I3740" t="str">
        <f>"MARLINDA BINTI NGALIMAN"</f>
        <v>MARLINDA BINTI NGALIMAN</v>
      </c>
      <c r="J3740" t="str">
        <f t="shared" si="1537"/>
        <v>MAYBANK / MAYBANK ISLAMIC</v>
      </c>
      <c r="K3740" t="str">
        <f>"151017007760"</f>
        <v>151017007760</v>
      </c>
      <c r="L3740" t="str">
        <f t="shared" si="1535"/>
        <v>04-08-2020</v>
      </c>
      <c r="M3740" t="str">
        <f t="shared" si="1535"/>
        <v>04-08-2020</v>
      </c>
      <c r="N3740" t="str">
        <f t="shared" si="1524"/>
        <v>001105018356</v>
      </c>
      <c r="O3740" t="str">
        <f t="shared" si="1525"/>
        <v>MYR</v>
      </c>
      <c r="P3740" t="str">
        <f t="shared" si="1536"/>
        <v>NIL</v>
      </c>
      <c r="Q3740" t="str">
        <f t="shared" si="1536"/>
        <v>NIL</v>
      </c>
      <c r="R3740" t="str">
        <f t="shared" si="1526"/>
        <v>Accepted</v>
      </c>
      <c r="S3740" t="str">
        <f t="shared" si="1527"/>
        <v>Approved</v>
      </c>
      <c r="T3740" t="str">
        <f t="shared" si="1528"/>
        <v>10.20.8.188</v>
      </c>
      <c r="U3740" t="str">
        <f t="shared" si="1529"/>
        <v>AZRAD UMAR BIN SHAARI</v>
      </c>
      <c r="V3740" t="str">
        <f t="shared" si="1530"/>
        <v>FARHANA BINTI MUSTAPA</v>
      </c>
      <c r="W3740" t="str">
        <f t="shared" si="1531"/>
        <v>04-08-2020</v>
      </c>
      <c r="X3740" t="str">
        <f t="shared" si="1532"/>
        <v>RAZIMAH ANSAR AHMAD</v>
      </c>
      <c r="Y3740" t="str">
        <f t="shared" si="1533"/>
        <v>04-08-2020</v>
      </c>
      <c r="Z3740" t="str">
        <f>"COS10200804 5214"</f>
        <v>COS10200804 5214</v>
      </c>
    </row>
    <row r="3741" spans="1:26" x14ac:dyDescent="0.25">
      <c r="A3741" t="str">
        <f t="shared" si="1519"/>
        <v>04-08-2020 12:56:45</v>
      </c>
      <c r="B3741" t="str">
        <f>"0000807201"</f>
        <v>0000807201</v>
      </c>
      <c r="C3741" t="str">
        <f t="shared" si="1520"/>
        <v>0000807188</v>
      </c>
      <c r="D3741" t="str">
        <f t="shared" si="1521"/>
        <v>73185</v>
      </c>
      <c r="E3741" t="str">
        <f t="shared" si="1522"/>
        <v>KFH-OPERATIONS DEPARTMENT</v>
      </c>
      <c r="F3741" t="str">
        <f t="shared" si="1523"/>
        <v>IBG</v>
      </c>
      <c r="G3741" t="str">
        <f t="shared" si="1534"/>
        <v>Refund COSHARE 10</v>
      </c>
      <c r="H3741" s="2">
        <v>503.7</v>
      </c>
      <c r="I3741" t="str">
        <f>"MARLINAH BINTI ABDUL SANI"</f>
        <v>MARLINAH BINTI ABDUL SANI</v>
      </c>
      <c r="J3741" t="str">
        <f t="shared" si="1537"/>
        <v>MAYBANK / MAYBANK ISLAMIC</v>
      </c>
      <c r="K3741" t="str">
        <f>"160036812972"</f>
        <v>160036812972</v>
      </c>
      <c r="L3741" t="str">
        <f t="shared" si="1535"/>
        <v>04-08-2020</v>
      </c>
      <c r="M3741" t="str">
        <f t="shared" si="1535"/>
        <v>04-08-2020</v>
      </c>
      <c r="N3741" t="str">
        <f t="shared" si="1524"/>
        <v>001105018356</v>
      </c>
      <c r="O3741" t="str">
        <f t="shared" si="1525"/>
        <v>MYR</v>
      </c>
      <c r="P3741" t="str">
        <f t="shared" si="1536"/>
        <v>NIL</v>
      </c>
      <c r="Q3741" t="str">
        <f t="shared" si="1536"/>
        <v>NIL</v>
      </c>
      <c r="R3741" t="str">
        <f t="shared" si="1526"/>
        <v>Accepted</v>
      </c>
      <c r="S3741" t="str">
        <f t="shared" si="1527"/>
        <v>Approved</v>
      </c>
      <c r="T3741" t="str">
        <f t="shared" si="1528"/>
        <v>10.20.8.188</v>
      </c>
      <c r="U3741" t="str">
        <f t="shared" si="1529"/>
        <v>AZRAD UMAR BIN SHAARI</v>
      </c>
      <c r="V3741" t="str">
        <f t="shared" si="1530"/>
        <v>FARHANA BINTI MUSTAPA</v>
      </c>
      <c r="W3741" t="str">
        <f t="shared" si="1531"/>
        <v>04-08-2020</v>
      </c>
      <c r="X3741" t="str">
        <f t="shared" si="1532"/>
        <v>RAZIMAH ANSAR AHMAD</v>
      </c>
      <c r="Y3741" t="str">
        <f t="shared" si="1533"/>
        <v>04-08-2020</v>
      </c>
      <c r="Z3741" t="str">
        <f>"COS10200804 5213"</f>
        <v>COS10200804 5213</v>
      </c>
    </row>
    <row r="3742" spans="1:26" x14ac:dyDescent="0.25">
      <c r="A3742" t="str">
        <f t="shared" si="1519"/>
        <v>04-08-2020 12:56:45</v>
      </c>
      <c r="B3742" t="str">
        <f>"0000807200"</f>
        <v>0000807200</v>
      </c>
      <c r="C3742" t="str">
        <f t="shared" si="1520"/>
        <v>0000807188</v>
      </c>
      <c r="D3742" t="str">
        <f t="shared" si="1521"/>
        <v>73185</v>
      </c>
      <c r="E3742" t="str">
        <f t="shared" si="1522"/>
        <v>KFH-OPERATIONS DEPARTMENT</v>
      </c>
      <c r="F3742" t="str">
        <f t="shared" si="1523"/>
        <v>IBG</v>
      </c>
      <c r="G3742" t="str">
        <f t="shared" si="1534"/>
        <v>Refund COSHARE 10</v>
      </c>
      <c r="H3742" s="2">
        <v>839.5</v>
      </c>
      <c r="I3742" t="str">
        <f>"MARLINA BINTI MOHAMED"</f>
        <v>MARLINA BINTI MOHAMED</v>
      </c>
      <c r="J3742" t="str">
        <f t="shared" si="1537"/>
        <v>MAYBANK / MAYBANK ISLAMIC</v>
      </c>
      <c r="K3742" t="str">
        <f>"164342229268"</f>
        <v>164342229268</v>
      </c>
      <c r="L3742" t="str">
        <f t="shared" si="1535"/>
        <v>04-08-2020</v>
      </c>
      <c r="M3742" t="str">
        <f t="shared" si="1535"/>
        <v>04-08-2020</v>
      </c>
      <c r="N3742" t="str">
        <f t="shared" si="1524"/>
        <v>001105018356</v>
      </c>
      <c r="O3742" t="str">
        <f t="shared" si="1525"/>
        <v>MYR</v>
      </c>
      <c r="P3742" t="str">
        <f t="shared" si="1536"/>
        <v>NIL</v>
      </c>
      <c r="Q3742" t="str">
        <f t="shared" si="1536"/>
        <v>NIL</v>
      </c>
      <c r="R3742" t="str">
        <f t="shared" si="1526"/>
        <v>Accepted</v>
      </c>
      <c r="S3742" t="str">
        <f t="shared" si="1527"/>
        <v>Approved</v>
      </c>
      <c r="T3742" t="str">
        <f t="shared" si="1528"/>
        <v>10.20.8.188</v>
      </c>
      <c r="U3742" t="str">
        <f t="shared" si="1529"/>
        <v>AZRAD UMAR BIN SHAARI</v>
      </c>
      <c r="V3742" t="str">
        <f t="shared" si="1530"/>
        <v>FARHANA BINTI MUSTAPA</v>
      </c>
      <c r="W3742" t="str">
        <f t="shared" si="1531"/>
        <v>04-08-2020</v>
      </c>
      <c r="X3742" t="str">
        <f t="shared" si="1532"/>
        <v>RAZIMAH ANSAR AHMAD</v>
      </c>
      <c r="Y3742" t="str">
        <f t="shared" si="1533"/>
        <v>04-08-2020</v>
      </c>
      <c r="Z3742" t="str">
        <f>"COS10200804 5212"</f>
        <v>COS10200804 5212</v>
      </c>
    </row>
    <row r="3743" spans="1:26" x14ac:dyDescent="0.25">
      <c r="A3743" t="str">
        <f t="shared" si="1519"/>
        <v>04-08-2020 12:56:45</v>
      </c>
      <c r="B3743" t="str">
        <f>"0000807199"</f>
        <v>0000807199</v>
      </c>
      <c r="C3743" t="str">
        <f t="shared" si="1520"/>
        <v>0000807188</v>
      </c>
      <c r="D3743" t="str">
        <f t="shared" si="1521"/>
        <v>73185</v>
      </c>
      <c r="E3743" t="str">
        <f t="shared" si="1522"/>
        <v>KFH-OPERATIONS DEPARTMENT</v>
      </c>
      <c r="F3743" t="str">
        <f t="shared" si="1523"/>
        <v>IBG</v>
      </c>
      <c r="G3743" t="str">
        <f t="shared" si="1534"/>
        <v>Refund COSHARE 10</v>
      </c>
      <c r="H3743" s="2">
        <v>197</v>
      </c>
      <c r="I3743" t="str">
        <f>"MARLIANA BINTI TORIMAN"</f>
        <v>MARLIANA BINTI TORIMAN</v>
      </c>
      <c r="J3743" t="str">
        <f t="shared" si="1537"/>
        <v>MAYBANK / MAYBANK ISLAMIC</v>
      </c>
      <c r="K3743" t="str">
        <f>"153010693091"</f>
        <v>153010693091</v>
      </c>
      <c r="L3743" t="str">
        <f t="shared" si="1535"/>
        <v>04-08-2020</v>
      </c>
      <c r="M3743" t="str">
        <f t="shared" si="1535"/>
        <v>04-08-2020</v>
      </c>
      <c r="N3743" t="str">
        <f t="shared" si="1524"/>
        <v>001105018356</v>
      </c>
      <c r="O3743" t="str">
        <f t="shared" si="1525"/>
        <v>MYR</v>
      </c>
      <c r="P3743" t="str">
        <f t="shared" si="1536"/>
        <v>NIL</v>
      </c>
      <c r="Q3743" t="str">
        <f t="shared" si="1536"/>
        <v>NIL</v>
      </c>
      <c r="R3743" t="str">
        <f t="shared" si="1526"/>
        <v>Accepted</v>
      </c>
      <c r="S3743" t="str">
        <f t="shared" si="1527"/>
        <v>Approved</v>
      </c>
      <c r="T3743" t="str">
        <f t="shared" si="1528"/>
        <v>10.20.8.188</v>
      </c>
      <c r="U3743" t="str">
        <f t="shared" si="1529"/>
        <v>AZRAD UMAR BIN SHAARI</v>
      </c>
      <c r="V3743" t="str">
        <f t="shared" si="1530"/>
        <v>FARHANA BINTI MUSTAPA</v>
      </c>
      <c r="W3743" t="str">
        <f t="shared" si="1531"/>
        <v>04-08-2020</v>
      </c>
      <c r="X3743" t="str">
        <f t="shared" si="1532"/>
        <v>RAZIMAH ANSAR AHMAD</v>
      </c>
      <c r="Y3743" t="str">
        <f t="shared" si="1533"/>
        <v>04-08-2020</v>
      </c>
      <c r="Z3743" t="str">
        <f>"COS10200804 5211"</f>
        <v>COS10200804 5211</v>
      </c>
    </row>
    <row r="3744" spans="1:26" x14ac:dyDescent="0.25">
      <c r="A3744" t="str">
        <f t="shared" si="1519"/>
        <v>04-08-2020 12:56:45</v>
      </c>
      <c r="B3744" t="str">
        <f>"0000807198"</f>
        <v>0000807198</v>
      </c>
      <c r="C3744" t="str">
        <f t="shared" si="1520"/>
        <v>0000807188</v>
      </c>
      <c r="D3744" t="str">
        <f t="shared" si="1521"/>
        <v>73185</v>
      </c>
      <c r="E3744" t="str">
        <f t="shared" si="1522"/>
        <v>KFH-OPERATIONS DEPARTMENT</v>
      </c>
      <c r="F3744" t="str">
        <f t="shared" si="1523"/>
        <v>IBG</v>
      </c>
      <c r="G3744" t="str">
        <f t="shared" si="1534"/>
        <v>Refund COSHARE 10</v>
      </c>
      <c r="H3744" s="2">
        <v>122</v>
      </c>
      <c r="I3744" t="str">
        <f>"MARLIA BINTI MOHD SHAH"</f>
        <v>MARLIA BINTI MOHD SHAH</v>
      </c>
      <c r="J3744" t="str">
        <f t="shared" si="1537"/>
        <v>MAYBANK / MAYBANK ISLAMIC</v>
      </c>
      <c r="K3744" t="str">
        <f>"101124008504"</f>
        <v>101124008504</v>
      </c>
      <c r="L3744" t="str">
        <f t="shared" si="1535"/>
        <v>04-08-2020</v>
      </c>
      <c r="M3744" t="str">
        <f t="shared" si="1535"/>
        <v>04-08-2020</v>
      </c>
      <c r="N3744" t="str">
        <f t="shared" si="1524"/>
        <v>001105018356</v>
      </c>
      <c r="O3744" t="str">
        <f t="shared" si="1525"/>
        <v>MYR</v>
      </c>
      <c r="P3744" t="str">
        <f t="shared" si="1536"/>
        <v>NIL</v>
      </c>
      <c r="Q3744" t="str">
        <f t="shared" si="1536"/>
        <v>NIL</v>
      </c>
      <c r="R3744" t="str">
        <f t="shared" si="1526"/>
        <v>Accepted</v>
      </c>
      <c r="S3744" t="str">
        <f t="shared" si="1527"/>
        <v>Approved</v>
      </c>
      <c r="T3744" t="str">
        <f t="shared" si="1528"/>
        <v>10.20.8.188</v>
      </c>
      <c r="U3744" t="str">
        <f t="shared" si="1529"/>
        <v>AZRAD UMAR BIN SHAARI</v>
      </c>
      <c r="V3744" t="str">
        <f t="shared" si="1530"/>
        <v>FARHANA BINTI MUSTAPA</v>
      </c>
      <c r="W3744" t="str">
        <f t="shared" si="1531"/>
        <v>04-08-2020</v>
      </c>
      <c r="X3744" t="str">
        <f t="shared" si="1532"/>
        <v>RAZIMAH ANSAR AHMAD</v>
      </c>
      <c r="Y3744" t="str">
        <f t="shared" si="1533"/>
        <v>04-08-2020</v>
      </c>
      <c r="Z3744" t="str">
        <f>"COS10200804 5210"</f>
        <v>COS10200804 5210</v>
      </c>
    </row>
    <row r="3745" spans="1:26" x14ac:dyDescent="0.25">
      <c r="A3745" t="str">
        <f t="shared" si="1519"/>
        <v>04-08-2020 12:56:45</v>
      </c>
      <c r="B3745" t="str">
        <f>"0000807197"</f>
        <v>0000807197</v>
      </c>
      <c r="C3745" t="str">
        <f t="shared" si="1520"/>
        <v>0000807188</v>
      </c>
      <c r="D3745" t="str">
        <f t="shared" si="1521"/>
        <v>73185</v>
      </c>
      <c r="E3745" t="str">
        <f t="shared" si="1522"/>
        <v>KFH-OPERATIONS DEPARTMENT</v>
      </c>
      <c r="F3745" t="str">
        <f t="shared" si="1523"/>
        <v>IBG</v>
      </c>
      <c r="G3745" t="str">
        <f t="shared" si="1534"/>
        <v>Refund COSHARE 10</v>
      </c>
      <c r="H3745" s="2">
        <v>759</v>
      </c>
      <c r="I3745" t="str">
        <f>"MARIYANE BINTI MD DESA"</f>
        <v>MARIYANE BINTI MD DESA</v>
      </c>
      <c r="J3745" t="str">
        <f t="shared" si="1537"/>
        <v>MAYBANK / MAYBANK ISLAMIC</v>
      </c>
      <c r="K3745" t="str">
        <f>"152059107320"</f>
        <v>152059107320</v>
      </c>
      <c r="L3745" t="str">
        <f t="shared" si="1535"/>
        <v>04-08-2020</v>
      </c>
      <c r="M3745" t="str">
        <f t="shared" si="1535"/>
        <v>04-08-2020</v>
      </c>
      <c r="N3745" t="str">
        <f t="shared" si="1524"/>
        <v>001105018356</v>
      </c>
      <c r="O3745" t="str">
        <f t="shared" si="1525"/>
        <v>MYR</v>
      </c>
      <c r="P3745" t="str">
        <f t="shared" si="1536"/>
        <v>NIL</v>
      </c>
      <c r="Q3745" t="str">
        <f t="shared" si="1536"/>
        <v>NIL</v>
      </c>
      <c r="R3745" t="str">
        <f t="shared" si="1526"/>
        <v>Accepted</v>
      </c>
      <c r="S3745" t="str">
        <f t="shared" si="1527"/>
        <v>Approved</v>
      </c>
      <c r="T3745" t="str">
        <f t="shared" si="1528"/>
        <v>10.20.8.188</v>
      </c>
      <c r="U3745" t="str">
        <f t="shared" si="1529"/>
        <v>AZRAD UMAR BIN SHAARI</v>
      </c>
      <c r="V3745" t="str">
        <f t="shared" si="1530"/>
        <v>FARHANA BINTI MUSTAPA</v>
      </c>
      <c r="W3745" t="str">
        <f t="shared" si="1531"/>
        <v>04-08-2020</v>
      </c>
      <c r="X3745" t="str">
        <f t="shared" si="1532"/>
        <v>RAZIMAH ANSAR AHMAD</v>
      </c>
      <c r="Y3745" t="str">
        <f t="shared" si="1533"/>
        <v>04-08-2020</v>
      </c>
      <c r="Z3745" t="str">
        <f>"COS10200804 5209"</f>
        <v>COS10200804 5209</v>
      </c>
    </row>
    <row r="3746" spans="1:26" x14ac:dyDescent="0.25">
      <c r="A3746" t="str">
        <f t="shared" ref="A3746:A3753" si="1538">"04-08-2020 12:56:45"</f>
        <v>04-08-2020 12:56:45</v>
      </c>
      <c r="B3746" t="str">
        <f>"0000807196"</f>
        <v>0000807196</v>
      </c>
      <c r="C3746" t="str">
        <f t="shared" ref="C3746:C3753" si="1539">"0000807188"</f>
        <v>0000807188</v>
      </c>
      <c r="D3746" t="str">
        <f t="shared" si="1521"/>
        <v>73185</v>
      </c>
      <c r="E3746" t="str">
        <f t="shared" si="1522"/>
        <v>KFH-OPERATIONS DEPARTMENT</v>
      </c>
      <c r="F3746" t="str">
        <f t="shared" si="1523"/>
        <v>IBG</v>
      </c>
      <c r="G3746" t="str">
        <f t="shared" si="1534"/>
        <v>Refund COSHARE 10</v>
      </c>
      <c r="H3746" s="2">
        <v>1620.25</v>
      </c>
      <c r="I3746" t="str">
        <f>"MARIYANA BINTI ABDUL MANAF"</f>
        <v>MARIYANA BINTI ABDUL MANAF</v>
      </c>
      <c r="J3746" t="str">
        <f t="shared" si="1537"/>
        <v>MAYBANK / MAYBANK ISLAMIC</v>
      </c>
      <c r="K3746" t="str">
        <f>"164838004076"</f>
        <v>164838004076</v>
      </c>
      <c r="L3746" t="str">
        <f t="shared" si="1535"/>
        <v>04-08-2020</v>
      </c>
      <c r="M3746" t="str">
        <f t="shared" si="1535"/>
        <v>04-08-2020</v>
      </c>
      <c r="N3746" t="str">
        <f t="shared" si="1524"/>
        <v>001105018356</v>
      </c>
      <c r="O3746" t="str">
        <f t="shared" si="1525"/>
        <v>MYR</v>
      </c>
      <c r="P3746" t="str">
        <f t="shared" si="1536"/>
        <v>NIL</v>
      </c>
      <c r="Q3746" t="str">
        <f t="shared" si="1536"/>
        <v>NIL</v>
      </c>
      <c r="R3746" t="str">
        <f t="shared" si="1526"/>
        <v>Accepted</v>
      </c>
      <c r="S3746" t="str">
        <f t="shared" si="1527"/>
        <v>Approved</v>
      </c>
      <c r="T3746" t="str">
        <f t="shared" si="1528"/>
        <v>10.20.8.188</v>
      </c>
      <c r="U3746" t="str">
        <f t="shared" si="1529"/>
        <v>AZRAD UMAR BIN SHAARI</v>
      </c>
      <c r="V3746" t="str">
        <f t="shared" si="1530"/>
        <v>FARHANA BINTI MUSTAPA</v>
      </c>
      <c r="W3746" t="str">
        <f t="shared" si="1531"/>
        <v>04-08-2020</v>
      </c>
      <c r="X3746" t="str">
        <f t="shared" si="1532"/>
        <v>RAZIMAH ANSAR AHMAD</v>
      </c>
      <c r="Y3746" t="str">
        <f t="shared" si="1533"/>
        <v>04-08-2020</v>
      </c>
      <c r="Z3746" t="str">
        <f>"COS10200804 5208"</f>
        <v>COS10200804 5208</v>
      </c>
    </row>
    <row r="3747" spans="1:26" x14ac:dyDescent="0.25">
      <c r="A3747" t="str">
        <f t="shared" si="1538"/>
        <v>04-08-2020 12:56:45</v>
      </c>
      <c r="B3747" t="str">
        <f>"0000807195"</f>
        <v>0000807195</v>
      </c>
      <c r="C3747" t="str">
        <f t="shared" si="1539"/>
        <v>0000807188</v>
      </c>
      <c r="D3747" t="str">
        <f t="shared" si="1521"/>
        <v>73185</v>
      </c>
      <c r="E3747" t="str">
        <f t="shared" si="1522"/>
        <v>KFH-OPERATIONS DEPARTMENT</v>
      </c>
      <c r="F3747" t="str">
        <f t="shared" si="1523"/>
        <v>IBG</v>
      </c>
      <c r="G3747" t="str">
        <f t="shared" si="1534"/>
        <v>Refund COSHARE 10</v>
      </c>
      <c r="H3747" s="2">
        <v>167.9</v>
      </c>
      <c r="I3747" t="str">
        <f>"MARINI BT AHMAD NAWI"</f>
        <v>MARINI BT AHMAD NAWI</v>
      </c>
      <c r="J3747" t="str">
        <f t="shared" si="1537"/>
        <v>MAYBANK / MAYBANK ISLAMIC</v>
      </c>
      <c r="K3747" t="str">
        <f>"153104074421"</f>
        <v>153104074421</v>
      </c>
      <c r="L3747" t="str">
        <f t="shared" ref="L3747:M3766" si="1540">"04-08-2020"</f>
        <v>04-08-2020</v>
      </c>
      <c r="M3747" t="str">
        <f t="shared" si="1540"/>
        <v>04-08-2020</v>
      </c>
      <c r="N3747" t="str">
        <f t="shared" si="1524"/>
        <v>001105018356</v>
      </c>
      <c r="O3747" t="str">
        <f t="shared" si="1525"/>
        <v>MYR</v>
      </c>
      <c r="P3747" t="str">
        <f t="shared" ref="P3747:Q3766" si="1541">"NIL"</f>
        <v>NIL</v>
      </c>
      <c r="Q3747" t="str">
        <f t="shared" si="1541"/>
        <v>NIL</v>
      </c>
      <c r="R3747" t="str">
        <f t="shared" si="1526"/>
        <v>Accepted</v>
      </c>
      <c r="S3747" t="str">
        <f t="shared" si="1527"/>
        <v>Approved</v>
      </c>
      <c r="T3747" t="str">
        <f t="shared" si="1528"/>
        <v>10.20.8.188</v>
      </c>
      <c r="U3747" t="str">
        <f t="shared" si="1529"/>
        <v>AZRAD UMAR BIN SHAARI</v>
      </c>
      <c r="V3747" t="str">
        <f t="shared" si="1530"/>
        <v>FARHANA BINTI MUSTAPA</v>
      </c>
      <c r="W3747" t="str">
        <f t="shared" si="1531"/>
        <v>04-08-2020</v>
      </c>
      <c r="X3747" t="str">
        <f t="shared" si="1532"/>
        <v>RAZIMAH ANSAR AHMAD</v>
      </c>
      <c r="Y3747" t="str">
        <f t="shared" si="1533"/>
        <v>04-08-2020</v>
      </c>
      <c r="Z3747" t="str">
        <f>"COS10200804 5207"</f>
        <v>COS10200804 5207</v>
      </c>
    </row>
    <row r="3748" spans="1:26" x14ac:dyDescent="0.25">
      <c r="A3748" t="str">
        <f t="shared" si="1538"/>
        <v>04-08-2020 12:56:45</v>
      </c>
      <c r="B3748" t="str">
        <f>"0000807194"</f>
        <v>0000807194</v>
      </c>
      <c r="C3748" t="str">
        <f t="shared" si="1539"/>
        <v>0000807188</v>
      </c>
      <c r="D3748" t="str">
        <f t="shared" si="1521"/>
        <v>73185</v>
      </c>
      <c r="E3748" t="str">
        <f t="shared" si="1522"/>
        <v>KFH-OPERATIONS DEPARTMENT</v>
      </c>
      <c r="F3748" t="str">
        <f t="shared" si="1523"/>
        <v>IBG</v>
      </c>
      <c r="G3748" t="str">
        <f t="shared" si="1534"/>
        <v>Refund COSHARE 10</v>
      </c>
      <c r="H3748" s="2">
        <v>879.25</v>
      </c>
      <c r="I3748" t="str">
        <f>"MARINAH BINTI USMAN"</f>
        <v>MARINAH BINTI USMAN</v>
      </c>
      <c r="J3748" t="str">
        <f t="shared" si="1537"/>
        <v>MAYBANK / MAYBANK ISLAMIC</v>
      </c>
      <c r="K3748" t="str">
        <f>"160036875649"</f>
        <v>160036875649</v>
      </c>
      <c r="L3748" t="str">
        <f t="shared" si="1540"/>
        <v>04-08-2020</v>
      </c>
      <c r="M3748" t="str">
        <f t="shared" si="1540"/>
        <v>04-08-2020</v>
      </c>
      <c r="N3748" t="str">
        <f t="shared" si="1524"/>
        <v>001105018356</v>
      </c>
      <c r="O3748" t="str">
        <f t="shared" si="1525"/>
        <v>MYR</v>
      </c>
      <c r="P3748" t="str">
        <f t="shared" si="1541"/>
        <v>NIL</v>
      </c>
      <c r="Q3748" t="str">
        <f t="shared" si="1541"/>
        <v>NIL</v>
      </c>
      <c r="R3748" t="str">
        <f t="shared" si="1526"/>
        <v>Accepted</v>
      </c>
      <c r="S3748" t="str">
        <f t="shared" si="1527"/>
        <v>Approved</v>
      </c>
      <c r="T3748" t="str">
        <f t="shared" si="1528"/>
        <v>10.20.8.188</v>
      </c>
      <c r="U3748" t="str">
        <f t="shared" si="1529"/>
        <v>AZRAD UMAR BIN SHAARI</v>
      </c>
      <c r="V3748" t="str">
        <f t="shared" si="1530"/>
        <v>FARHANA BINTI MUSTAPA</v>
      </c>
      <c r="W3748" t="str">
        <f t="shared" si="1531"/>
        <v>04-08-2020</v>
      </c>
      <c r="X3748" t="str">
        <f t="shared" si="1532"/>
        <v>RAZIMAH ANSAR AHMAD</v>
      </c>
      <c r="Y3748" t="str">
        <f t="shared" si="1533"/>
        <v>04-08-2020</v>
      </c>
      <c r="Z3748" t="str">
        <f>"COS10200804 5206"</f>
        <v>COS10200804 5206</v>
      </c>
    </row>
    <row r="3749" spans="1:26" x14ac:dyDescent="0.25">
      <c r="A3749" t="str">
        <f t="shared" si="1538"/>
        <v>04-08-2020 12:56:45</v>
      </c>
      <c r="B3749" t="str">
        <f>"0000807193"</f>
        <v>0000807193</v>
      </c>
      <c r="C3749" t="str">
        <f t="shared" si="1539"/>
        <v>0000807188</v>
      </c>
      <c r="D3749" t="str">
        <f t="shared" si="1521"/>
        <v>73185</v>
      </c>
      <c r="E3749" t="str">
        <f t="shared" si="1522"/>
        <v>KFH-OPERATIONS DEPARTMENT</v>
      </c>
      <c r="F3749" t="str">
        <f t="shared" si="1523"/>
        <v>IBG</v>
      </c>
      <c r="G3749" t="str">
        <f t="shared" si="1534"/>
        <v>Refund COSHARE 10</v>
      </c>
      <c r="H3749" s="2">
        <v>654.85</v>
      </c>
      <c r="I3749" t="str">
        <f>"MARINA BINTI YAHAYA"</f>
        <v>MARINA BINTI YAHAYA</v>
      </c>
      <c r="J3749" t="str">
        <f t="shared" si="1537"/>
        <v>MAYBANK / MAYBANK ISLAMIC</v>
      </c>
      <c r="K3749" t="str">
        <f>"109017409774"</f>
        <v>109017409774</v>
      </c>
      <c r="L3749" t="str">
        <f t="shared" si="1540"/>
        <v>04-08-2020</v>
      </c>
      <c r="M3749" t="str">
        <f t="shared" si="1540"/>
        <v>04-08-2020</v>
      </c>
      <c r="N3749" t="str">
        <f t="shared" si="1524"/>
        <v>001105018356</v>
      </c>
      <c r="O3749" t="str">
        <f t="shared" si="1525"/>
        <v>MYR</v>
      </c>
      <c r="P3749" t="str">
        <f t="shared" si="1541"/>
        <v>NIL</v>
      </c>
      <c r="Q3749" t="str">
        <f t="shared" si="1541"/>
        <v>NIL</v>
      </c>
      <c r="R3749" t="str">
        <f t="shared" si="1526"/>
        <v>Accepted</v>
      </c>
      <c r="S3749" t="str">
        <f t="shared" si="1527"/>
        <v>Approved</v>
      </c>
      <c r="T3749" t="str">
        <f t="shared" si="1528"/>
        <v>10.20.8.188</v>
      </c>
      <c r="U3749" t="str">
        <f t="shared" si="1529"/>
        <v>AZRAD UMAR BIN SHAARI</v>
      </c>
      <c r="V3749" t="str">
        <f t="shared" si="1530"/>
        <v>FARHANA BINTI MUSTAPA</v>
      </c>
      <c r="W3749" t="str">
        <f t="shared" si="1531"/>
        <v>04-08-2020</v>
      </c>
      <c r="X3749" t="str">
        <f t="shared" si="1532"/>
        <v>RAZIMAH ANSAR AHMAD</v>
      </c>
      <c r="Y3749" t="str">
        <f t="shared" si="1533"/>
        <v>04-08-2020</v>
      </c>
      <c r="Z3749" t="str">
        <f>"COS10200804 5205"</f>
        <v>COS10200804 5205</v>
      </c>
    </row>
    <row r="3750" spans="1:26" x14ac:dyDescent="0.25">
      <c r="A3750" t="str">
        <f t="shared" si="1538"/>
        <v>04-08-2020 12:56:45</v>
      </c>
      <c r="B3750" t="str">
        <f>"0000807192"</f>
        <v>0000807192</v>
      </c>
      <c r="C3750" t="str">
        <f t="shared" si="1539"/>
        <v>0000807188</v>
      </c>
      <c r="D3750" t="str">
        <f t="shared" si="1521"/>
        <v>73185</v>
      </c>
      <c r="E3750" t="str">
        <f t="shared" si="1522"/>
        <v>KFH-OPERATIONS DEPARTMENT</v>
      </c>
      <c r="F3750" t="str">
        <f t="shared" si="1523"/>
        <v>IBG</v>
      </c>
      <c r="G3750" t="str">
        <f t="shared" si="1534"/>
        <v>Refund COSHARE 10</v>
      </c>
      <c r="H3750" s="2">
        <v>587.65</v>
      </c>
      <c r="I3750" t="str">
        <f>"MARINA BINTI SAEDEN"</f>
        <v>MARINA BINTI SAEDEN</v>
      </c>
      <c r="J3750" t="str">
        <f t="shared" si="1537"/>
        <v>MAYBANK / MAYBANK ISLAMIC</v>
      </c>
      <c r="K3750" t="str">
        <f>"162272528010"</f>
        <v>162272528010</v>
      </c>
      <c r="L3750" t="str">
        <f t="shared" si="1540"/>
        <v>04-08-2020</v>
      </c>
      <c r="M3750" t="str">
        <f t="shared" si="1540"/>
        <v>04-08-2020</v>
      </c>
      <c r="N3750" t="str">
        <f t="shared" si="1524"/>
        <v>001105018356</v>
      </c>
      <c r="O3750" t="str">
        <f t="shared" si="1525"/>
        <v>MYR</v>
      </c>
      <c r="P3750" t="str">
        <f t="shared" si="1541"/>
        <v>NIL</v>
      </c>
      <c r="Q3750" t="str">
        <f t="shared" si="1541"/>
        <v>NIL</v>
      </c>
      <c r="R3750" t="str">
        <f t="shared" si="1526"/>
        <v>Accepted</v>
      </c>
      <c r="S3750" t="str">
        <f t="shared" si="1527"/>
        <v>Approved</v>
      </c>
      <c r="T3750" t="str">
        <f t="shared" si="1528"/>
        <v>10.20.8.188</v>
      </c>
      <c r="U3750" t="str">
        <f t="shared" si="1529"/>
        <v>AZRAD UMAR BIN SHAARI</v>
      </c>
      <c r="V3750" t="str">
        <f t="shared" si="1530"/>
        <v>FARHANA BINTI MUSTAPA</v>
      </c>
      <c r="W3750" t="str">
        <f t="shared" si="1531"/>
        <v>04-08-2020</v>
      </c>
      <c r="X3750" t="str">
        <f t="shared" si="1532"/>
        <v>RAZIMAH ANSAR AHMAD</v>
      </c>
      <c r="Y3750" t="str">
        <f t="shared" si="1533"/>
        <v>04-08-2020</v>
      </c>
      <c r="Z3750" t="str">
        <f>"COS10200804 5204"</f>
        <v>COS10200804 5204</v>
      </c>
    </row>
    <row r="3751" spans="1:26" x14ac:dyDescent="0.25">
      <c r="A3751" t="str">
        <f t="shared" si="1538"/>
        <v>04-08-2020 12:56:45</v>
      </c>
      <c r="B3751" t="str">
        <f>"0000807191"</f>
        <v>0000807191</v>
      </c>
      <c r="C3751" t="str">
        <f t="shared" si="1539"/>
        <v>0000807188</v>
      </c>
      <c r="D3751" t="str">
        <f t="shared" si="1521"/>
        <v>73185</v>
      </c>
      <c r="E3751" t="str">
        <f t="shared" si="1522"/>
        <v>KFH-OPERATIONS DEPARTMENT</v>
      </c>
      <c r="F3751" t="str">
        <f t="shared" si="1523"/>
        <v>IBG</v>
      </c>
      <c r="G3751" t="str">
        <f t="shared" si="1534"/>
        <v>Refund COSHARE 10</v>
      </c>
      <c r="H3751" s="2">
        <v>269</v>
      </c>
      <c r="I3751" t="str">
        <f>"MARINA BINTI MOHD YUSOP"</f>
        <v>MARINA BINTI MOHD YUSOP</v>
      </c>
      <c r="J3751" t="str">
        <f t="shared" si="1537"/>
        <v>MAYBANK / MAYBANK ISLAMIC</v>
      </c>
      <c r="K3751" t="str">
        <f>"102018156723"</f>
        <v>102018156723</v>
      </c>
      <c r="L3751" t="str">
        <f t="shared" si="1540"/>
        <v>04-08-2020</v>
      </c>
      <c r="M3751" t="str">
        <f t="shared" si="1540"/>
        <v>04-08-2020</v>
      </c>
      <c r="N3751" t="str">
        <f t="shared" si="1524"/>
        <v>001105018356</v>
      </c>
      <c r="O3751" t="str">
        <f t="shared" si="1525"/>
        <v>MYR</v>
      </c>
      <c r="P3751" t="str">
        <f t="shared" si="1541"/>
        <v>NIL</v>
      </c>
      <c r="Q3751" t="str">
        <f t="shared" si="1541"/>
        <v>NIL</v>
      </c>
      <c r="R3751" t="str">
        <f t="shared" si="1526"/>
        <v>Accepted</v>
      </c>
      <c r="S3751" t="str">
        <f t="shared" si="1527"/>
        <v>Approved</v>
      </c>
      <c r="T3751" t="str">
        <f t="shared" si="1528"/>
        <v>10.20.8.188</v>
      </c>
      <c r="U3751" t="str">
        <f t="shared" si="1529"/>
        <v>AZRAD UMAR BIN SHAARI</v>
      </c>
      <c r="V3751" t="str">
        <f t="shared" si="1530"/>
        <v>FARHANA BINTI MUSTAPA</v>
      </c>
      <c r="W3751" t="str">
        <f t="shared" si="1531"/>
        <v>04-08-2020</v>
      </c>
      <c r="X3751" t="str">
        <f t="shared" si="1532"/>
        <v>RAZIMAH ANSAR AHMAD</v>
      </c>
      <c r="Y3751" t="str">
        <f t="shared" si="1533"/>
        <v>04-08-2020</v>
      </c>
      <c r="Z3751" t="str">
        <f>"COS10200804 5203"</f>
        <v>COS10200804 5203</v>
      </c>
    </row>
    <row r="3752" spans="1:26" x14ac:dyDescent="0.25">
      <c r="A3752" t="str">
        <f t="shared" si="1538"/>
        <v>04-08-2020 12:56:45</v>
      </c>
      <c r="B3752" t="str">
        <f>"0000807190"</f>
        <v>0000807190</v>
      </c>
      <c r="C3752" t="str">
        <f t="shared" si="1539"/>
        <v>0000807188</v>
      </c>
      <c r="D3752" t="str">
        <f t="shared" si="1521"/>
        <v>73185</v>
      </c>
      <c r="E3752" t="str">
        <f t="shared" si="1522"/>
        <v>KFH-OPERATIONS DEPARTMENT</v>
      </c>
      <c r="F3752" t="str">
        <f t="shared" si="1523"/>
        <v>IBG</v>
      </c>
      <c r="G3752" t="str">
        <f t="shared" si="1534"/>
        <v>Refund COSHARE 10</v>
      </c>
      <c r="H3752" s="2">
        <v>151.15</v>
      </c>
      <c r="I3752" t="str">
        <f>"MARINA BINTI ABDUL MALIR"</f>
        <v>MARINA BINTI ABDUL MALIR</v>
      </c>
      <c r="J3752" t="str">
        <f t="shared" si="1537"/>
        <v>MAYBANK / MAYBANK ISLAMIC</v>
      </c>
      <c r="K3752" t="str">
        <f>"154026116443"</f>
        <v>154026116443</v>
      </c>
      <c r="L3752" t="str">
        <f t="shared" si="1540"/>
        <v>04-08-2020</v>
      </c>
      <c r="M3752" t="str">
        <f t="shared" si="1540"/>
        <v>04-08-2020</v>
      </c>
      <c r="N3752" t="str">
        <f t="shared" si="1524"/>
        <v>001105018356</v>
      </c>
      <c r="O3752" t="str">
        <f t="shared" si="1525"/>
        <v>MYR</v>
      </c>
      <c r="P3752" t="str">
        <f t="shared" si="1541"/>
        <v>NIL</v>
      </c>
      <c r="Q3752" t="str">
        <f t="shared" si="1541"/>
        <v>NIL</v>
      </c>
      <c r="R3752" t="str">
        <f t="shared" si="1526"/>
        <v>Accepted</v>
      </c>
      <c r="S3752" t="str">
        <f t="shared" si="1527"/>
        <v>Approved</v>
      </c>
      <c r="T3752" t="str">
        <f t="shared" si="1528"/>
        <v>10.20.8.188</v>
      </c>
      <c r="U3752" t="str">
        <f t="shared" si="1529"/>
        <v>AZRAD UMAR BIN SHAARI</v>
      </c>
      <c r="V3752" t="str">
        <f t="shared" si="1530"/>
        <v>FARHANA BINTI MUSTAPA</v>
      </c>
      <c r="W3752" t="str">
        <f t="shared" si="1531"/>
        <v>04-08-2020</v>
      </c>
      <c r="X3752" t="str">
        <f t="shared" si="1532"/>
        <v>RAZIMAH ANSAR AHMAD</v>
      </c>
      <c r="Y3752" t="str">
        <f t="shared" si="1533"/>
        <v>04-08-2020</v>
      </c>
      <c r="Z3752" t="str">
        <f>"COS10200804 5202"</f>
        <v>COS10200804 5202</v>
      </c>
    </row>
    <row r="3753" spans="1:26" x14ac:dyDescent="0.25">
      <c r="A3753" t="str">
        <f t="shared" si="1538"/>
        <v>04-08-2020 12:56:45</v>
      </c>
      <c r="B3753" t="str">
        <f>"0000807189"</f>
        <v>0000807189</v>
      </c>
      <c r="C3753" t="str">
        <f t="shared" si="1539"/>
        <v>0000807188</v>
      </c>
      <c r="D3753" t="str">
        <f t="shared" si="1521"/>
        <v>73185</v>
      </c>
      <c r="E3753" t="str">
        <f t="shared" si="1522"/>
        <v>KFH-OPERATIONS DEPARTMENT</v>
      </c>
      <c r="F3753" t="str">
        <f t="shared" si="1523"/>
        <v>IBG</v>
      </c>
      <c r="G3753" t="str">
        <f t="shared" si="1534"/>
        <v>Refund COSHARE 10</v>
      </c>
      <c r="H3753" s="2">
        <v>1357.15</v>
      </c>
      <c r="I3753" t="str">
        <f>"MARILYN DAVID DIN"</f>
        <v>MARILYN DAVID DIN</v>
      </c>
      <c r="J3753" t="str">
        <f t="shared" si="1537"/>
        <v>MAYBANK / MAYBANK ISLAMIC</v>
      </c>
      <c r="K3753" t="str">
        <f>"110134056410"</f>
        <v>110134056410</v>
      </c>
      <c r="L3753" t="str">
        <f t="shared" si="1540"/>
        <v>04-08-2020</v>
      </c>
      <c r="M3753" t="str">
        <f t="shared" si="1540"/>
        <v>04-08-2020</v>
      </c>
      <c r="N3753" t="str">
        <f t="shared" si="1524"/>
        <v>001105018356</v>
      </c>
      <c r="O3753" t="str">
        <f t="shared" si="1525"/>
        <v>MYR</v>
      </c>
      <c r="P3753" t="str">
        <f t="shared" si="1541"/>
        <v>NIL</v>
      </c>
      <c r="Q3753" t="str">
        <f t="shared" si="1541"/>
        <v>NIL</v>
      </c>
      <c r="R3753" t="str">
        <f t="shared" si="1526"/>
        <v>Accepted</v>
      </c>
      <c r="S3753" t="str">
        <f t="shared" si="1527"/>
        <v>Approved</v>
      </c>
      <c r="T3753" t="str">
        <f t="shared" si="1528"/>
        <v>10.20.8.188</v>
      </c>
      <c r="U3753" t="str">
        <f t="shared" si="1529"/>
        <v>AZRAD UMAR BIN SHAARI</v>
      </c>
      <c r="V3753" t="str">
        <f t="shared" si="1530"/>
        <v>FARHANA BINTI MUSTAPA</v>
      </c>
      <c r="W3753" t="str">
        <f t="shared" si="1531"/>
        <v>04-08-2020</v>
      </c>
      <c r="X3753" t="str">
        <f t="shared" si="1532"/>
        <v>RAZIMAH ANSAR AHMAD</v>
      </c>
      <c r="Y3753" t="str">
        <f t="shared" si="1533"/>
        <v>04-08-2020</v>
      </c>
      <c r="Z3753" t="str">
        <f>"COS10200804 5201"</f>
        <v>COS10200804 5201</v>
      </c>
    </row>
    <row r="3754" spans="1:26" x14ac:dyDescent="0.25">
      <c r="A3754" t="str">
        <f t="shared" ref="A3754:A3785" si="1542">"04-08-2020 12:56:11"</f>
        <v>04-08-2020 12:56:11</v>
      </c>
      <c r="B3754" t="str">
        <f>"0000807187"</f>
        <v>0000807187</v>
      </c>
      <c r="C3754" t="str">
        <f t="shared" ref="C3754:C3785" si="1543">"0000806987"</f>
        <v>0000806987</v>
      </c>
      <c r="D3754" t="str">
        <f t="shared" si="1521"/>
        <v>73185</v>
      </c>
      <c r="E3754" t="str">
        <f t="shared" si="1522"/>
        <v>KFH-OPERATIONS DEPARTMENT</v>
      </c>
      <c r="F3754" t="str">
        <f t="shared" si="1523"/>
        <v>IBG</v>
      </c>
      <c r="G3754" t="str">
        <f t="shared" si="1534"/>
        <v>Refund COSHARE 10</v>
      </c>
      <c r="H3754" s="2">
        <v>782</v>
      </c>
      <c r="I3754" t="str">
        <f>"MOHD RAFI BIN JASMAN"</f>
        <v>MOHD RAFI BIN JASMAN</v>
      </c>
      <c r="J3754" t="str">
        <f t="shared" si="1537"/>
        <v>MAYBANK / MAYBANK ISLAMIC</v>
      </c>
      <c r="K3754" t="str">
        <f>"151017044977"</f>
        <v>151017044977</v>
      </c>
      <c r="L3754" t="str">
        <f t="shared" si="1540"/>
        <v>04-08-2020</v>
      </c>
      <c r="M3754" t="str">
        <f t="shared" si="1540"/>
        <v>04-08-2020</v>
      </c>
      <c r="N3754" t="str">
        <f t="shared" si="1524"/>
        <v>001105018356</v>
      </c>
      <c r="O3754" t="str">
        <f t="shared" si="1525"/>
        <v>MYR</v>
      </c>
      <c r="P3754" t="str">
        <f t="shared" si="1541"/>
        <v>NIL</v>
      </c>
      <c r="Q3754" t="str">
        <f t="shared" si="1541"/>
        <v>NIL</v>
      </c>
      <c r="R3754" t="str">
        <f t="shared" si="1526"/>
        <v>Accepted</v>
      </c>
      <c r="S3754" t="str">
        <f t="shared" si="1527"/>
        <v>Approved</v>
      </c>
      <c r="T3754" t="str">
        <f t="shared" si="1528"/>
        <v>10.20.8.188</v>
      </c>
      <c r="U3754" t="str">
        <f t="shared" si="1529"/>
        <v>AZRAD UMAR BIN SHAARI</v>
      </c>
      <c r="V3754" t="str">
        <f t="shared" si="1530"/>
        <v>FARHANA BINTI MUSTAPA</v>
      </c>
      <c r="W3754" t="str">
        <f t="shared" si="1531"/>
        <v>04-08-2020</v>
      </c>
      <c r="X3754" t="str">
        <f t="shared" si="1532"/>
        <v>RAZIMAH ANSAR AHMAD</v>
      </c>
      <c r="Y3754" t="str">
        <f t="shared" si="1533"/>
        <v>04-08-2020</v>
      </c>
      <c r="Z3754" t="str">
        <f>"COS10200804 5800"</f>
        <v>COS10200804 5800</v>
      </c>
    </row>
    <row r="3755" spans="1:26" x14ac:dyDescent="0.25">
      <c r="A3755" t="str">
        <f t="shared" si="1542"/>
        <v>04-08-2020 12:56:11</v>
      </c>
      <c r="B3755" t="str">
        <f>"0000807186"</f>
        <v>0000807186</v>
      </c>
      <c r="C3755" t="str">
        <f t="shared" si="1543"/>
        <v>0000806987</v>
      </c>
      <c r="D3755" t="str">
        <f t="shared" si="1521"/>
        <v>73185</v>
      </c>
      <c r="E3755" t="str">
        <f t="shared" si="1522"/>
        <v>KFH-OPERATIONS DEPARTMENT</v>
      </c>
      <c r="F3755" t="str">
        <f t="shared" si="1523"/>
        <v>IBG</v>
      </c>
      <c r="G3755" t="str">
        <f t="shared" si="1534"/>
        <v>Refund COSHARE 10</v>
      </c>
      <c r="H3755" s="2">
        <v>196.5</v>
      </c>
      <c r="I3755" t="str">
        <f>"MOHD RADI BIN YAHAYA"</f>
        <v>MOHD RADI BIN YAHAYA</v>
      </c>
      <c r="J3755" t="str">
        <f t="shared" si="1537"/>
        <v>MAYBANK / MAYBANK ISLAMIC</v>
      </c>
      <c r="K3755" t="str">
        <f>"114253212317"</f>
        <v>114253212317</v>
      </c>
      <c r="L3755" t="str">
        <f t="shared" si="1540"/>
        <v>04-08-2020</v>
      </c>
      <c r="M3755" t="str">
        <f t="shared" si="1540"/>
        <v>04-08-2020</v>
      </c>
      <c r="N3755" t="str">
        <f t="shared" si="1524"/>
        <v>001105018356</v>
      </c>
      <c r="O3755" t="str">
        <f t="shared" si="1525"/>
        <v>MYR</v>
      </c>
      <c r="P3755" t="str">
        <f t="shared" si="1541"/>
        <v>NIL</v>
      </c>
      <c r="Q3755" t="str">
        <f t="shared" si="1541"/>
        <v>NIL</v>
      </c>
      <c r="R3755" t="str">
        <f t="shared" si="1526"/>
        <v>Accepted</v>
      </c>
      <c r="S3755" t="str">
        <f t="shared" si="1527"/>
        <v>Approved</v>
      </c>
      <c r="T3755" t="str">
        <f t="shared" si="1528"/>
        <v>10.20.8.188</v>
      </c>
      <c r="U3755" t="str">
        <f t="shared" si="1529"/>
        <v>AZRAD UMAR BIN SHAARI</v>
      </c>
      <c r="V3755" t="str">
        <f t="shared" si="1530"/>
        <v>FARHANA BINTI MUSTAPA</v>
      </c>
      <c r="W3755" t="str">
        <f t="shared" si="1531"/>
        <v>04-08-2020</v>
      </c>
      <c r="X3755" t="str">
        <f t="shared" si="1532"/>
        <v>RAZIMAH ANSAR AHMAD</v>
      </c>
      <c r="Y3755" t="str">
        <f t="shared" si="1533"/>
        <v>04-08-2020</v>
      </c>
      <c r="Z3755" t="str">
        <f>"COS10200804 5799"</f>
        <v>COS10200804 5799</v>
      </c>
    </row>
    <row r="3756" spans="1:26" x14ac:dyDescent="0.25">
      <c r="A3756" t="str">
        <f t="shared" si="1542"/>
        <v>04-08-2020 12:56:11</v>
      </c>
      <c r="B3756" t="str">
        <f>"0000807185"</f>
        <v>0000807185</v>
      </c>
      <c r="C3756" t="str">
        <f t="shared" si="1543"/>
        <v>0000806987</v>
      </c>
      <c r="D3756" t="str">
        <f t="shared" si="1521"/>
        <v>73185</v>
      </c>
      <c r="E3756" t="str">
        <f t="shared" si="1522"/>
        <v>KFH-OPERATIONS DEPARTMENT</v>
      </c>
      <c r="F3756" t="str">
        <f t="shared" si="1523"/>
        <v>IBG</v>
      </c>
      <c r="G3756" t="str">
        <f t="shared" si="1534"/>
        <v>Refund COSHARE 10</v>
      </c>
      <c r="H3756" s="2">
        <v>142.75</v>
      </c>
      <c r="I3756" t="str">
        <f>"MOHD PADLI BIN ISMAIL"</f>
        <v>MOHD PADLI BIN ISMAIL</v>
      </c>
      <c r="J3756" t="str">
        <f t="shared" si="1537"/>
        <v>MAYBANK / MAYBANK ISLAMIC</v>
      </c>
      <c r="K3756" t="str">
        <f>"160072398471"</f>
        <v>160072398471</v>
      </c>
      <c r="L3756" t="str">
        <f t="shared" si="1540"/>
        <v>04-08-2020</v>
      </c>
      <c r="M3756" t="str">
        <f t="shared" si="1540"/>
        <v>04-08-2020</v>
      </c>
      <c r="N3756" t="str">
        <f t="shared" si="1524"/>
        <v>001105018356</v>
      </c>
      <c r="O3756" t="str">
        <f t="shared" si="1525"/>
        <v>MYR</v>
      </c>
      <c r="P3756" t="str">
        <f t="shared" si="1541"/>
        <v>NIL</v>
      </c>
      <c r="Q3756" t="str">
        <f t="shared" si="1541"/>
        <v>NIL</v>
      </c>
      <c r="R3756" t="str">
        <f t="shared" si="1526"/>
        <v>Accepted</v>
      </c>
      <c r="S3756" t="str">
        <f t="shared" si="1527"/>
        <v>Approved</v>
      </c>
      <c r="T3756" t="str">
        <f t="shared" si="1528"/>
        <v>10.20.8.188</v>
      </c>
      <c r="U3756" t="str">
        <f t="shared" si="1529"/>
        <v>AZRAD UMAR BIN SHAARI</v>
      </c>
      <c r="V3756" t="str">
        <f t="shared" si="1530"/>
        <v>FARHANA BINTI MUSTAPA</v>
      </c>
      <c r="W3756" t="str">
        <f t="shared" si="1531"/>
        <v>04-08-2020</v>
      </c>
      <c r="X3756" t="str">
        <f t="shared" si="1532"/>
        <v>RAZIMAH ANSAR AHMAD</v>
      </c>
      <c r="Y3756" t="str">
        <f t="shared" si="1533"/>
        <v>04-08-2020</v>
      </c>
      <c r="Z3756" t="str">
        <f>"COS10200804 5798"</f>
        <v>COS10200804 5798</v>
      </c>
    </row>
    <row r="3757" spans="1:26" x14ac:dyDescent="0.25">
      <c r="A3757" t="str">
        <f t="shared" si="1542"/>
        <v>04-08-2020 12:56:11</v>
      </c>
      <c r="B3757" t="str">
        <f>"0000807184"</f>
        <v>0000807184</v>
      </c>
      <c r="C3757" t="str">
        <f t="shared" si="1543"/>
        <v>0000806987</v>
      </c>
      <c r="D3757" t="str">
        <f t="shared" si="1521"/>
        <v>73185</v>
      </c>
      <c r="E3757" t="str">
        <f t="shared" si="1522"/>
        <v>KFH-OPERATIONS DEPARTMENT</v>
      </c>
      <c r="F3757" t="str">
        <f t="shared" si="1523"/>
        <v>IBG</v>
      </c>
      <c r="G3757" t="str">
        <f t="shared" si="1534"/>
        <v>Refund COSHARE 10</v>
      </c>
      <c r="H3757" s="2">
        <v>419.75</v>
      </c>
      <c r="I3757" t="str">
        <f>"MOHD NURUL HAFIZ BIN ALAWI"</f>
        <v>MOHD NURUL HAFIZ BIN ALAWI</v>
      </c>
      <c r="J3757" t="str">
        <f t="shared" si="1537"/>
        <v>MAYBANK / MAYBANK ISLAMIC</v>
      </c>
      <c r="K3757" t="str">
        <f>"151098346290"</f>
        <v>151098346290</v>
      </c>
      <c r="L3757" t="str">
        <f t="shared" si="1540"/>
        <v>04-08-2020</v>
      </c>
      <c r="M3757" t="str">
        <f t="shared" si="1540"/>
        <v>04-08-2020</v>
      </c>
      <c r="N3757" t="str">
        <f t="shared" si="1524"/>
        <v>001105018356</v>
      </c>
      <c r="O3757" t="str">
        <f t="shared" si="1525"/>
        <v>MYR</v>
      </c>
      <c r="P3757" t="str">
        <f t="shared" si="1541"/>
        <v>NIL</v>
      </c>
      <c r="Q3757" t="str">
        <f t="shared" si="1541"/>
        <v>NIL</v>
      </c>
      <c r="R3757" t="str">
        <f t="shared" si="1526"/>
        <v>Accepted</v>
      </c>
      <c r="S3757" t="str">
        <f t="shared" si="1527"/>
        <v>Approved</v>
      </c>
      <c r="T3757" t="str">
        <f t="shared" si="1528"/>
        <v>10.20.8.188</v>
      </c>
      <c r="U3757" t="str">
        <f t="shared" si="1529"/>
        <v>AZRAD UMAR BIN SHAARI</v>
      </c>
      <c r="V3757" t="str">
        <f t="shared" si="1530"/>
        <v>FARHANA BINTI MUSTAPA</v>
      </c>
      <c r="W3757" t="str">
        <f t="shared" si="1531"/>
        <v>04-08-2020</v>
      </c>
      <c r="X3757" t="str">
        <f t="shared" si="1532"/>
        <v>RAZIMAH ANSAR AHMAD</v>
      </c>
      <c r="Y3757" t="str">
        <f t="shared" si="1533"/>
        <v>04-08-2020</v>
      </c>
      <c r="Z3757" t="str">
        <f>"COS10200804 5797"</f>
        <v>COS10200804 5797</v>
      </c>
    </row>
    <row r="3758" spans="1:26" x14ac:dyDescent="0.25">
      <c r="A3758" t="str">
        <f t="shared" si="1542"/>
        <v>04-08-2020 12:56:11</v>
      </c>
      <c r="B3758" t="str">
        <f>"0000807183"</f>
        <v>0000807183</v>
      </c>
      <c r="C3758" t="str">
        <f t="shared" si="1543"/>
        <v>0000806987</v>
      </c>
      <c r="D3758" t="str">
        <f t="shared" si="1521"/>
        <v>73185</v>
      </c>
      <c r="E3758" t="str">
        <f t="shared" si="1522"/>
        <v>KFH-OPERATIONS DEPARTMENT</v>
      </c>
      <c r="F3758" t="str">
        <f t="shared" si="1523"/>
        <v>IBG</v>
      </c>
      <c r="G3758" t="str">
        <f t="shared" si="1534"/>
        <v>Refund COSHARE 10</v>
      </c>
      <c r="H3758" s="2">
        <v>251.85</v>
      </c>
      <c r="I3758" t="str">
        <f>"MOHD NURHAIZAM SYAH BIN MAHAT"</f>
        <v>MOHD NURHAIZAM SYAH BIN MAHAT</v>
      </c>
      <c r="J3758" t="str">
        <f t="shared" si="1537"/>
        <v>MAYBANK / MAYBANK ISLAMIC</v>
      </c>
      <c r="K3758" t="str">
        <f>"114262369070"</f>
        <v>114262369070</v>
      </c>
      <c r="L3758" t="str">
        <f t="shared" si="1540"/>
        <v>04-08-2020</v>
      </c>
      <c r="M3758" t="str">
        <f t="shared" si="1540"/>
        <v>04-08-2020</v>
      </c>
      <c r="N3758" t="str">
        <f t="shared" si="1524"/>
        <v>001105018356</v>
      </c>
      <c r="O3758" t="str">
        <f t="shared" si="1525"/>
        <v>MYR</v>
      </c>
      <c r="P3758" t="str">
        <f t="shared" si="1541"/>
        <v>NIL</v>
      </c>
      <c r="Q3758" t="str">
        <f t="shared" si="1541"/>
        <v>NIL</v>
      </c>
      <c r="R3758" t="str">
        <f t="shared" si="1526"/>
        <v>Accepted</v>
      </c>
      <c r="S3758" t="str">
        <f t="shared" si="1527"/>
        <v>Approved</v>
      </c>
      <c r="T3758" t="str">
        <f t="shared" si="1528"/>
        <v>10.20.8.188</v>
      </c>
      <c r="U3758" t="str">
        <f t="shared" si="1529"/>
        <v>AZRAD UMAR BIN SHAARI</v>
      </c>
      <c r="V3758" t="str">
        <f t="shared" si="1530"/>
        <v>FARHANA BINTI MUSTAPA</v>
      </c>
      <c r="W3758" t="str">
        <f t="shared" si="1531"/>
        <v>04-08-2020</v>
      </c>
      <c r="X3758" t="str">
        <f t="shared" si="1532"/>
        <v>RAZIMAH ANSAR AHMAD</v>
      </c>
      <c r="Y3758" t="str">
        <f t="shared" si="1533"/>
        <v>04-08-2020</v>
      </c>
      <c r="Z3758" t="str">
        <f>"COS10200804 5796"</f>
        <v>COS10200804 5796</v>
      </c>
    </row>
    <row r="3759" spans="1:26" x14ac:dyDescent="0.25">
      <c r="A3759" t="str">
        <f t="shared" si="1542"/>
        <v>04-08-2020 12:56:11</v>
      </c>
      <c r="B3759" t="str">
        <f>"0000807182"</f>
        <v>0000807182</v>
      </c>
      <c r="C3759" t="str">
        <f t="shared" si="1543"/>
        <v>0000806987</v>
      </c>
      <c r="D3759" t="str">
        <f t="shared" si="1521"/>
        <v>73185</v>
      </c>
      <c r="E3759" t="str">
        <f t="shared" si="1522"/>
        <v>KFH-OPERATIONS DEPARTMENT</v>
      </c>
      <c r="F3759" t="str">
        <f t="shared" si="1523"/>
        <v>IBG</v>
      </c>
      <c r="G3759" t="str">
        <f t="shared" si="1534"/>
        <v>Refund COSHARE 10</v>
      </c>
      <c r="H3759" s="2">
        <v>134.35</v>
      </c>
      <c r="I3759" t="str">
        <f>"MOHD NUR FIRDAUS B HARIS"</f>
        <v>MOHD NUR FIRDAUS B HARIS</v>
      </c>
      <c r="J3759" t="str">
        <f t="shared" si="1537"/>
        <v>MAYBANK / MAYBANK ISLAMIC</v>
      </c>
      <c r="K3759" t="str">
        <f>"155087221225"</f>
        <v>155087221225</v>
      </c>
      <c r="L3759" t="str">
        <f t="shared" si="1540"/>
        <v>04-08-2020</v>
      </c>
      <c r="M3759" t="str">
        <f t="shared" si="1540"/>
        <v>04-08-2020</v>
      </c>
      <c r="N3759" t="str">
        <f t="shared" si="1524"/>
        <v>001105018356</v>
      </c>
      <c r="O3759" t="str">
        <f t="shared" si="1525"/>
        <v>MYR</v>
      </c>
      <c r="P3759" t="str">
        <f t="shared" si="1541"/>
        <v>NIL</v>
      </c>
      <c r="Q3759" t="str">
        <f t="shared" si="1541"/>
        <v>NIL</v>
      </c>
      <c r="R3759" t="str">
        <f t="shared" si="1526"/>
        <v>Accepted</v>
      </c>
      <c r="S3759" t="str">
        <f t="shared" si="1527"/>
        <v>Approved</v>
      </c>
      <c r="T3759" t="str">
        <f t="shared" si="1528"/>
        <v>10.20.8.188</v>
      </c>
      <c r="U3759" t="str">
        <f t="shared" si="1529"/>
        <v>AZRAD UMAR BIN SHAARI</v>
      </c>
      <c r="V3759" t="str">
        <f t="shared" si="1530"/>
        <v>FARHANA BINTI MUSTAPA</v>
      </c>
      <c r="W3759" t="str">
        <f t="shared" si="1531"/>
        <v>04-08-2020</v>
      </c>
      <c r="X3759" t="str">
        <f t="shared" si="1532"/>
        <v>RAZIMAH ANSAR AHMAD</v>
      </c>
      <c r="Y3759" t="str">
        <f t="shared" si="1533"/>
        <v>04-08-2020</v>
      </c>
      <c r="Z3759" t="str">
        <f>"COS10200804 5795"</f>
        <v>COS10200804 5795</v>
      </c>
    </row>
    <row r="3760" spans="1:26" x14ac:dyDescent="0.25">
      <c r="A3760" t="str">
        <f t="shared" si="1542"/>
        <v>04-08-2020 12:56:11</v>
      </c>
      <c r="B3760" t="str">
        <f>"0000807181"</f>
        <v>0000807181</v>
      </c>
      <c r="C3760" t="str">
        <f t="shared" si="1543"/>
        <v>0000806987</v>
      </c>
      <c r="D3760" t="str">
        <f t="shared" si="1521"/>
        <v>73185</v>
      </c>
      <c r="E3760" t="str">
        <f t="shared" si="1522"/>
        <v>KFH-OPERATIONS DEPARTMENT</v>
      </c>
      <c r="F3760" t="str">
        <f t="shared" si="1523"/>
        <v>IBG</v>
      </c>
      <c r="G3760" t="str">
        <f t="shared" si="1534"/>
        <v>Refund COSHARE 10</v>
      </c>
      <c r="H3760" s="2">
        <v>1108.1500000000001</v>
      </c>
      <c r="I3760" t="str">
        <f>"MOHD NORUL HAFFISZ BIN NORDIN"</f>
        <v>MOHD NORUL HAFFISZ BIN NORDIN</v>
      </c>
      <c r="J3760" t="str">
        <f t="shared" si="1537"/>
        <v>MAYBANK / MAYBANK ISLAMIC</v>
      </c>
      <c r="K3760" t="str">
        <f>"151052095285"</f>
        <v>151052095285</v>
      </c>
      <c r="L3760" t="str">
        <f t="shared" si="1540"/>
        <v>04-08-2020</v>
      </c>
      <c r="M3760" t="str">
        <f t="shared" si="1540"/>
        <v>04-08-2020</v>
      </c>
      <c r="N3760" t="str">
        <f t="shared" si="1524"/>
        <v>001105018356</v>
      </c>
      <c r="O3760" t="str">
        <f t="shared" si="1525"/>
        <v>MYR</v>
      </c>
      <c r="P3760" t="str">
        <f t="shared" si="1541"/>
        <v>NIL</v>
      </c>
      <c r="Q3760" t="str">
        <f t="shared" si="1541"/>
        <v>NIL</v>
      </c>
      <c r="R3760" t="str">
        <f t="shared" si="1526"/>
        <v>Accepted</v>
      </c>
      <c r="S3760" t="str">
        <f t="shared" si="1527"/>
        <v>Approved</v>
      </c>
      <c r="T3760" t="str">
        <f t="shared" si="1528"/>
        <v>10.20.8.188</v>
      </c>
      <c r="U3760" t="str">
        <f t="shared" si="1529"/>
        <v>AZRAD UMAR BIN SHAARI</v>
      </c>
      <c r="V3760" t="str">
        <f t="shared" si="1530"/>
        <v>FARHANA BINTI MUSTAPA</v>
      </c>
      <c r="W3760" t="str">
        <f t="shared" si="1531"/>
        <v>04-08-2020</v>
      </c>
      <c r="X3760" t="str">
        <f t="shared" si="1532"/>
        <v>RAZIMAH ANSAR AHMAD</v>
      </c>
      <c r="Y3760" t="str">
        <f t="shared" si="1533"/>
        <v>04-08-2020</v>
      </c>
      <c r="Z3760" t="str">
        <f>"COS10200804 5794"</f>
        <v>COS10200804 5794</v>
      </c>
    </row>
    <row r="3761" spans="1:26" x14ac:dyDescent="0.25">
      <c r="A3761" t="str">
        <f t="shared" si="1542"/>
        <v>04-08-2020 12:56:11</v>
      </c>
      <c r="B3761" t="str">
        <f>"0000807180"</f>
        <v>0000807180</v>
      </c>
      <c r="C3761" t="str">
        <f t="shared" si="1543"/>
        <v>0000806987</v>
      </c>
      <c r="D3761" t="str">
        <f t="shared" si="1521"/>
        <v>73185</v>
      </c>
      <c r="E3761" t="str">
        <f t="shared" si="1522"/>
        <v>KFH-OPERATIONS DEPARTMENT</v>
      </c>
      <c r="F3761" t="str">
        <f t="shared" si="1523"/>
        <v>IBG</v>
      </c>
      <c r="G3761" t="str">
        <f t="shared" si="1534"/>
        <v>Refund COSHARE 10</v>
      </c>
      <c r="H3761" s="2">
        <v>1178.8</v>
      </c>
      <c r="I3761" t="str">
        <f>"MOHD NORSHAHNAZ BIN MD ZAHIR"</f>
        <v>MOHD NORSHAHNAZ BIN MD ZAHIR</v>
      </c>
      <c r="J3761" t="str">
        <f t="shared" si="1537"/>
        <v>MAYBANK / MAYBANK ISLAMIC</v>
      </c>
      <c r="K3761" t="str">
        <f>"164490043519"</f>
        <v>164490043519</v>
      </c>
      <c r="L3761" t="str">
        <f t="shared" si="1540"/>
        <v>04-08-2020</v>
      </c>
      <c r="M3761" t="str">
        <f t="shared" si="1540"/>
        <v>04-08-2020</v>
      </c>
      <c r="N3761" t="str">
        <f t="shared" si="1524"/>
        <v>001105018356</v>
      </c>
      <c r="O3761" t="str">
        <f t="shared" si="1525"/>
        <v>MYR</v>
      </c>
      <c r="P3761" t="str">
        <f t="shared" si="1541"/>
        <v>NIL</v>
      </c>
      <c r="Q3761" t="str">
        <f t="shared" si="1541"/>
        <v>NIL</v>
      </c>
      <c r="R3761" t="str">
        <f t="shared" si="1526"/>
        <v>Accepted</v>
      </c>
      <c r="S3761" t="str">
        <f t="shared" si="1527"/>
        <v>Approved</v>
      </c>
      <c r="T3761" t="str">
        <f t="shared" si="1528"/>
        <v>10.20.8.188</v>
      </c>
      <c r="U3761" t="str">
        <f t="shared" si="1529"/>
        <v>AZRAD UMAR BIN SHAARI</v>
      </c>
      <c r="V3761" t="str">
        <f t="shared" si="1530"/>
        <v>FARHANA BINTI MUSTAPA</v>
      </c>
      <c r="W3761" t="str">
        <f t="shared" si="1531"/>
        <v>04-08-2020</v>
      </c>
      <c r="X3761" t="str">
        <f t="shared" si="1532"/>
        <v>RAZIMAH ANSAR AHMAD</v>
      </c>
      <c r="Y3761" t="str">
        <f t="shared" si="1533"/>
        <v>04-08-2020</v>
      </c>
      <c r="Z3761" t="str">
        <f>"COS10200804 5793"</f>
        <v>COS10200804 5793</v>
      </c>
    </row>
    <row r="3762" spans="1:26" x14ac:dyDescent="0.25">
      <c r="A3762" t="str">
        <f t="shared" si="1542"/>
        <v>04-08-2020 12:56:11</v>
      </c>
      <c r="B3762" t="str">
        <f>"0000807179"</f>
        <v>0000807179</v>
      </c>
      <c r="C3762" t="str">
        <f t="shared" si="1543"/>
        <v>0000806987</v>
      </c>
      <c r="D3762" t="str">
        <f t="shared" si="1521"/>
        <v>73185</v>
      </c>
      <c r="E3762" t="str">
        <f t="shared" si="1522"/>
        <v>KFH-OPERATIONS DEPARTMENT</v>
      </c>
      <c r="F3762" t="str">
        <f t="shared" si="1523"/>
        <v>IBG</v>
      </c>
      <c r="G3762" t="str">
        <f t="shared" si="1534"/>
        <v>Refund COSHARE 10</v>
      </c>
      <c r="H3762" s="2">
        <v>1679</v>
      </c>
      <c r="I3762" t="str">
        <f>"MOHD NORSAM BIN ABDUL RAHMAN"</f>
        <v>MOHD NORSAM BIN ABDUL RAHMAN</v>
      </c>
      <c r="J3762" t="str">
        <f t="shared" si="1537"/>
        <v>MAYBANK / MAYBANK ISLAMIC</v>
      </c>
      <c r="K3762" t="str">
        <f>"160045290364"</f>
        <v>160045290364</v>
      </c>
      <c r="L3762" t="str">
        <f t="shared" si="1540"/>
        <v>04-08-2020</v>
      </c>
      <c r="M3762" t="str">
        <f t="shared" si="1540"/>
        <v>04-08-2020</v>
      </c>
      <c r="N3762" t="str">
        <f t="shared" si="1524"/>
        <v>001105018356</v>
      </c>
      <c r="O3762" t="str">
        <f t="shared" si="1525"/>
        <v>MYR</v>
      </c>
      <c r="P3762" t="str">
        <f t="shared" si="1541"/>
        <v>NIL</v>
      </c>
      <c r="Q3762" t="str">
        <f t="shared" si="1541"/>
        <v>NIL</v>
      </c>
      <c r="R3762" t="str">
        <f t="shared" si="1526"/>
        <v>Accepted</v>
      </c>
      <c r="S3762" t="str">
        <f t="shared" si="1527"/>
        <v>Approved</v>
      </c>
      <c r="T3762" t="str">
        <f t="shared" si="1528"/>
        <v>10.20.8.188</v>
      </c>
      <c r="U3762" t="str">
        <f t="shared" si="1529"/>
        <v>AZRAD UMAR BIN SHAARI</v>
      </c>
      <c r="V3762" t="str">
        <f t="shared" si="1530"/>
        <v>FARHANA BINTI MUSTAPA</v>
      </c>
      <c r="W3762" t="str">
        <f t="shared" si="1531"/>
        <v>04-08-2020</v>
      </c>
      <c r="X3762" t="str">
        <f t="shared" si="1532"/>
        <v>RAZIMAH ANSAR AHMAD</v>
      </c>
      <c r="Y3762" t="str">
        <f t="shared" si="1533"/>
        <v>04-08-2020</v>
      </c>
      <c r="Z3762" t="str">
        <f>"COS10200804 5792"</f>
        <v>COS10200804 5792</v>
      </c>
    </row>
    <row r="3763" spans="1:26" x14ac:dyDescent="0.25">
      <c r="A3763" t="str">
        <f t="shared" si="1542"/>
        <v>04-08-2020 12:56:11</v>
      </c>
      <c r="B3763" t="str">
        <f>"0000807178"</f>
        <v>0000807178</v>
      </c>
      <c r="C3763" t="str">
        <f t="shared" si="1543"/>
        <v>0000806987</v>
      </c>
      <c r="D3763" t="str">
        <f t="shared" si="1521"/>
        <v>73185</v>
      </c>
      <c r="E3763" t="str">
        <f t="shared" si="1522"/>
        <v>KFH-OPERATIONS DEPARTMENT</v>
      </c>
      <c r="F3763" t="str">
        <f t="shared" si="1523"/>
        <v>IBG</v>
      </c>
      <c r="G3763" t="str">
        <f t="shared" si="1534"/>
        <v>Refund COSHARE 10</v>
      </c>
      <c r="H3763" s="2">
        <v>127.05</v>
      </c>
      <c r="I3763" t="str">
        <f>"MOHD NORSAH BIN NORDIN"</f>
        <v>MOHD NORSAH BIN NORDIN</v>
      </c>
      <c r="J3763" t="str">
        <f t="shared" si="1537"/>
        <v>MAYBANK / MAYBANK ISLAMIC</v>
      </c>
      <c r="K3763" t="str">
        <f>"162647037940"</f>
        <v>162647037940</v>
      </c>
      <c r="L3763" t="str">
        <f t="shared" si="1540"/>
        <v>04-08-2020</v>
      </c>
      <c r="M3763" t="str">
        <f t="shared" si="1540"/>
        <v>04-08-2020</v>
      </c>
      <c r="N3763" t="str">
        <f t="shared" si="1524"/>
        <v>001105018356</v>
      </c>
      <c r="O3763" t="str">
        <f t="shared" si="1525"/>
        <v>MYR</v>
      </c>
      <c r="P3763" t="str">
        <f t="shared" si="1541"/>
        <v>NIL</v>
      </c>
      <c r="Q3763" t="str">
        <f t="shared" si="1541"/>
        <v>NIL</v>
      </c>
      <c r="R3763" t="str">
        <f t="shared" si="1526"/>
        <v>Accepted</v>
      </c>
      <c r="S3763" t="str">
        <f t="shared" si="1527"/>
        <v>Approved</v>
      </c>
      <c r="T3763" t="str">
        <f t="shared" si="1528"/>
        <v>10.20.8.188</v>
      </c>
      <c r="U3763" t="str">
        <f t="shared" si="1529"/>
        <v>AZRAD UMAR BIN SHAARI</v>
      </c>
      <c r="V3763" t="str">
        <f t="shared" si="1530"/>
        <v>FARHANA BINTI MUSTAPA</v>
      </c>
      <c r="W3763" t="str">
        <f t="shared" si="1531"/>
        <v>04-08-2020</v>
      </c>
      <c r="X3763" t="str">
        <f t="shared" si="1532"/>
        <v>RAZIMAH ANSAR AHMAD</v>
      </c>
      <c r="Y3763" t="str">
        <f t="shared" si="1533"/>
        <v>04-08-2020</v>
      </c>
      <c r="Z3763" t="str">
        <f>"COS10200804 5791"</f>
        <v>COS10200804 5791</v>
      </c>
    </row>
    <row r="3764" spans="1:26" x14ac:dyDescent="0.25">
      <c r="A3764" t="str">
        <f t="shared" si="1542"/>
        <v>04-08-2020 12:56:11</v>
      </c>
      <c r="B3764" t="str">
        <f>"0000807177"</f>
        <v>0000807177</v>
      </c>
      <c r="C3764" t="str">
        <f t="shared" si="1543"/>
        <v>0000806987</v>
      </c>
      <c r="D3764" t="str">
        <f t="shared" si="1521"/>
        <v>73185</v>
      </c>
      <c r="E3764" t="str">
        <f t="shared" si="1522"/>
        <v>KFH-OPERATIONS DEPARTMENT</v>
      </c>
      <c r="F3764" t="str">
        <f t="shared" si="1523"/>
        <v>IBG</v>
      </c>
      <c r="G3764" t="str">
        <f t="shared" si="1534"/>
        <v>Refund COSHARE 10</v>
      </c>
      <c r="H3764" s="2">
        <v>503.7</v>
      </c>
      <c r="I3764" t="str">
        <f>"MOHD NORIZI BIN ABD MANAH"</f>
        <v>MOHD NORIZI BIN ABD MANAH</v>
      </c>
      <c r="J3764" t="str">
        <f t="shared" si="1537"/>
        <v>MAYBANK / MAYBANK ISLAMIC</v>
      </c>
      <c r="K3764" t="str">
        <f>"166010158332"</f>
        <v>166010158332</v>
      </c>
      <c r="L3764" t="str">
        <f t="shared" si="1540"/>
        <v>04-08-2020</v>
      </c>
      <c r="M3764" t="str">
        <f t="shared" si="1540"/>
        <v>04-08-2020</v>
      </c>
      <c r="N3764" t="str">
        <f t="shared" si="1524"/>
        <v>001105018356</v>
      </c>
      <c r="O3764" t="str">
        <f t="shared" si="1525"/>
        <v>MYR</v>
      </c>
      <c r="P3764" t="str">
        <f t="shared" si="1541"/>
        <v>NIL</v>
      </c>
      <c r="Q3764" t="str">
        <f t="shared" si="1541"/>
        <v>NIL</v>
      </c>
      <c r="R3764" t="str">
        <f t="shared" si="1526"/>
        <v>Accepted</v>
      </c>
      <c r="S3764" t="str">
        <f t="shared" si="1527"/>
        <v>Approved</v>
      </c>
      <c r="T3764" t="str">
        <f t="shared" si="1528"/>
        <v>10.20.8.188</v>
      </c>
      <c r="U3764" t="str">
        <f t="shared" si="1529"/>
        <v>AZRAD UMAR BIN SHAARI</v>
      </c>
      <c r="V3764" t="str">
        <f t="shared" si="1530"/>
        <v>FARHANA BINTI MUSTAPA</v>
      </c>
      <c r="W3764" t="str">
        <f t="shared" si="1531"/>
        <v>04-08-2020</v>
      </c>
      <c r="X3764" t="str">
        <f t="shared" si="1532"/>
        <v>RAZIMAH ANSAR AHMAD</v>
      </c>
      <c r="Y3764" t="str">
        <f t="shared" si="1533"/>
        <v>04-08-2020</v>
      </c>
      <c r="Z3764" t="str">
        <f>"COS10200804 5790"</f>
        <v>COS10200804 5790</v>
      </c>
    </row>
    <row r="3765" spans="1:26" x14ac:dyDescent="0.25">
      <c r="A3765" t="str">
        <f t="shared" si="1542"/>
        <v>04-08-2020 12:56:11</v>
      </c>
      <c r="B3765" t="str">
        <f>"0000807176"</f>
        <v>0000807176</v>
      </c>
      <c r="C3765" t="str">
        <f t="shared" si="1543"/>
        <v>0000806987</v>
      </c>
      <c r="D3765" t="str">
        <f t="shared" si="1521"/>
        <v>73185</v>
      </c>
      <c r="E3765" t="str">
        <f t="shared" si="1522"/>
        <v>KFH-OPERATIONS DEPARTMENT</v>
      </c>
      <c r="F3765" t="str">
        <f t="shared" si="1523"/>
        <v>IBG</v>
      </c>
      <c r="G3765" t="str">
        <f t="shared" si="1534"/>
        <v>Refund COSHARE 10</v>
      </c>
      <c r="H3765" s="2">
        <v>75.599999999999994</v>
      </c>
      <c r="I3765" t="str">
        <f>"MOHD NORISMAN BIN AHMAD TARMIDI"</f>
        <v>MOHD NORISMAN BIN AHMAD TARMIDI</v>
      </c>
      <c r="J3765" t="str">
        <f t="shared" si="1537"/>
        <v>MAYBANK / MAYBANK ISLAMIC</v>
      </c>
      <c r="K3765" t="str">
        <f>"158088164877"</f>
        <v>158088164877</v>
      </c>
      <c r="L3765" t="str">
        <f t="shared" si="1540"/>
        <v>04-08-2020</v>
      </c>
      <c r="M3765" t="str">
        <f t="shared" si="1540"/>
        <v>04-08-2020</v>
      </c>
      <c r="N3765" t="str">
        <f t="shared" si="1524"/>
        <v>001105018356</v>
      </c>
      <c r="O3765" t="str">
        <f t="shared" si="1525"/>
        <v>MYR</v>
      </c>
      <c r="P3765" t="str">
        <f t="shared" si="1541"/>
        <v>NIL</v>
      </c>
      <c r="Q3765" t="str">
        <f t="shared" si="1541"/>
        <v>NIL</v>
      </c>
      <c r="R3765" t="str">
        <f t="shared" si="1526"/>
        <v>Accepted</v>
      </c>
      <c r="S3765" t="str">
        <f t="shared" si="1527"/>
        <v>Approved</v>
      </c>
      <c r="T3765" t="str">
        <f t="shared" si="1528"/>
        <v>10.20.8.188</v>
      </c>
      <c r="U3765" t="str">
        <f t="shared" si="1529"/>
        <v>AZRAD UMAR BIN SHAARI</v>
      </c>
      <c r="V3765" t="str">
        <f t="shared" si="1530"/>
        <v>FARHANA BINTI MUSTAPA</v>
      </c>
      <c r="W3765" t="str">
        <f t="shared" si="1531"/>
        <v>04-08-2020</v>
      </c>
      <c r="X3765" t="str">
        <f t="shared" si="1532"/>
        <v>RAZIMAH ANSAR AHMAD</v>
      </c>
      <c r="Y3765" t="str">
        <f t="shared" si="1533"/>
        <v>04-08-2020</v>
      </c>
      <c r="Z3765" t="str">
        <f>"COS10200804 5789"</f>
        <v>COS10200804 5789</v>
      </c>
    </row>
    <row r="3766" spans="1:26" x14ac:dyDescent="0.25">
      <c r="A3766" t="str">
        <f t="shared" si="1542"/>
        <v>04-08-2020 12:56:11</v>
      </c>
      <c r="B3766" t="str">
        <f>"0000807175"</f>
        <v>0000807175</v>
      </c>
      <c r="C3766" t="str">
        <f t="shared" si="1543"/>
        <v>0000806987</v>
      </c>
      <c r="D3766" t="str">
        <f t="shared" si="1521"/>
        <v>73185</v>
      </c>
      <c r="E3766" t="str">
        <f t="shared" si="1522"/>
        <v>KFH-OPERATIONS DEPARTMENT</v>
      </c>
      <c r="F3766" t="str">
        <f t="shared" si="1523"/>
        <v>IBG</v>
      </c>
      <c r="G3766" t="str">
        <f t="shared" si="1534"/>
        <v>Refund COSHARE 10</v>
      </c>
      <c r="H3766" s="2">
        <v>117.55</v>
      </c>
      <c r="I3766" t="str">
        <f>"MOHD NORHISYAM BIN MOHD RANGGI"</f>
        <v>MOHD NORHISYAM BIN MOHD RANGGI</v>
      </c>
      <c r="J3766" t="str">
        <f t="shared" si="1537"/>
        <v>MAYBANK / MAYBANK ISLAMIC</v>
      </c>
      <c r="K3766" t="str">
        <f>"156123702477"</f>
        <v>156123702477</v>
      </c>
      <c r="L3766" t="str">
        <f t="shared" si="1540"/>
        <v>04-08-2020</v>
      </c>
      <c r="M3766" t="str">
        <f t="shared" si="1540"/>
        <v>04-08-2020</v>
      </c>
      <c r="N3766" t="str">
        <f t="shared" si="1524"/>
        <v>001105018356</v>
      </c>
      <c r="O3766" t="str">
        <f t="shared" si="1525"/>
        <v>MYR</v>
      </c>
      <c r="P3766" t="str">
        <f t="shared" si="1541"/>
        <v>NIL</v>
      </c>
      <c r="Q3766" t="str">
        <f t="shared" si="1541"/>
        <v>NIL</v>
      </c>
      <c r="R3766" t="str">
        <f t="shared" si="1526"/>
        <v>Accepted</v>
      </c>
      <c r="S3766" t="str">
        <f t="shared" si="1527"/>
        <v>Approved</v>
      </c>
      <c r="T3766" t="str">
        <f t="shared" si="1528"/>
        <v>10.20.8.188</v>
      </c>
      <c r="U3766" t="str">
        <f t="shared" si="1529"/>
        <v>AZRAD UMAR BIN SHAARI</v>
      </c>
      <c r="V3766" t="str">
        <f t="shared" si="1530"/>
        <v>FARHANA BINTI MUSTAPA</v>
      </c>
      <c r="W3766" t="str">
        <f t="shared" si="1531"/>
        <v>04-08-2020</v>
      </c>
      <c r="X3766" t="str">
        <f t="shared" si="1532"/>
        <v>RAZIMAH ANSAR AHMAD</v>
      </c>
      <c r="Y3766" t="str">
        <f t="shared" si="1533"/>
        <v>04-08-2020</v>
      </c>
      <c r="Z3766" t="str">
        <f>"COS10200804 5788"</f>
        <v>COS10200804 5788</v>
      </c>
    </row>
    <row r="3767" spans="1:26" x14ac:dyDescent="0.25">
      <c r="A3767" t="str">
        <f t="shared" si="1542"/>
        <v>04-08-2020 12:56:11</v>
      </c>
      <c r="B3767" t="str">
        <f>"0000807174"</f>
        <v>0000807174</v>
      </c>
      <c r="C3767" t="str">
        <f t="shared" si="1543"/>
        <v>0000806987</v>
      </c>
      <c r="D3767" t="str">
        <f t="shared" si="1521"/>
        <v>73185</v>
      </c>
      <c r="E3767" t="str">
        <f t="shared" si="1522"/>
        <v>KFH-OPERATIONS DEPARTMENT</v>
      </c>
      <c r="F3767" t="str">
        <f t="shared" si="1523"/>
        <v>IBG</v>
      </c>
      <c r="G3767" t="str">
        <f t="shared" si="1534"/>
        <v>Refund COSHARE 10</v>
      </c>
      <c r="H3767" s="2">
        <v>243.5</v>
      </c>
      <c r="I3767" t="str">
        <f>"MOHD NORHISAM BIN MOHD YUSOF"</f>
        <v>MOHD NORHISAM BIN MOHD YUSOF</v>
      </c>
      <c r="J3767" t="str">
        <f t="shared" si="1537"/>
        <v>MAYBANK / MAYBANK ISLAMIC</v>
      </c>
      <c r="K3767" t="str">
        <f>"166010142124"</f>
        <v>166010142124</v>
      </c>
      <c r="L3767" t="str">
        <f t="shared" ref="L3767:M3786" si="1544">"04-08-2020"</f>
        <v>04-08-2020</v>
      </c>
      <c r="M3767" t="str">
        <f t="shared" si="1544"/>
        <v>04-08-2020</v>
      </c>
      <c r="N3767" t="str">
        <f t="shared" si="1524"/>
        <v>001105018356</v>
      </c>
      <c r="O3767" t="str">
        <f t="shared" si="1525"/>
        <v>MYR</v>
      </c>
      <c r="P3767" t="str">
        <f t="shared" ref="P3767:Q3786" si="1545">"NIL"</f>
        <v>NIL</v>
      </c>
      <c r="Q3767" t="str">
        <f t="shared" si="1545"/>
        <v>NIL</v>
      </c>
      <c r="R3767" t="str">
        <f t="shared" si="1526"/>
        <v>Accepted</v>
      </c>
      <c r="S3767" t="str">
        <f t="shared" si="1527"/>
        <v>Approved</v>
      </c>
      <c r="T3767" t="str">
        <f t="shared" si="1528"/>
        <v>10.20.8.188</v>
      </c>
      <c r="U3767" t="str">
        <f t="shared" si="1529"/>
        <v>AZRAD UMAR BIN SHAARI</v>
      </c>
      <c r="V3767" t="str">
        <f t="shared" si="1530"/>
        <v>FARHANA BINTI MUSTAPA</v>
      </c>
      <c r="W3767" t="str">
        <f t="shared" si="1531"/>
        <v>04-08-2020</v>
      </c>
      <c r="X3767" t="str">
        <f t="shared" si="1532"/>
        <v>RAZIMAH ANSAR AHMAD</v>
      </c>
      <c r="Y3767" t="str">
        <f t="shared" si="1533"/>
        <v>04-08-2020</v>
      </c>
      <c r="Z3767" t="str">
        <f>"COS10200804 5787"</f>
        <v>COS10200804 5787</v>
      </c>
    </row>
    <row r="3768" spans="1:26" x14ac:dyDescent="0.25">
      <c r="A3768" t="str">
        <f t="shared" si="1542"/>
        <v>04-08-2020 12:56:11</v>
      </c>
      <c r="B3768" t="str">
        <f>"0000807173"</f>
        <v>0000807173</v>
      </c>
      <c r="C3768" t="str">
        <f t="shared" si="1543"/>
        <v>0000806987</v>
      </c>
      <c r="D3768" t="str">
        <f t="shared" si="1521"/>
        <v>73185</v>
      </c>
      <c r="E3768" t="str">
        <f t="shared" si="1522"/>
        <v>KFH-OPERATIONS DEPARTMENT</v>
      </c>
      <c r="F3768" t="str">
        <f t="shared" si="1523"/>
        <v>IBG</v>
      </c>
      <c r="G3768" t="str">
        <f t="shared" si="1534"/>
        <v>Refund COSHARE 10</v>
      </c>
      <c r="H3768" s="2">
        <v>159.5</v>
      </c>
      <c r="I3768" t="str">
        <f>"MOHD NORHAZRI BIN NAFIRAM"</f>
        <v>MOHD NORHAZRI BIN NAFIRAM</v>
      </c>
      <c r="J3768" t="str">
        <f t="shared" si="1537"/>
        <v>MAYBANK / MAYBANK ISLAMIC</v>
      </c>
      <c r="K3768" t="str">
        <f>"151017097641"</f>
        <v>151017097641</v>
      </c>
      <c r="L3768" t="str">
        <f t="shared" si="1544"/>
        <v>04-08-2020</v>
      </c>
      <c r="M3768" t="str">
        <f t="shared" si="1544"/>
        <v>04-08-2020</v>
      </c>
      <c r="N3768" t="str">
        <f t="shared" si="1524"/>
        <v>001105018356</v>
      </c>
      <c r="O3768" t="str">
        <f t="shared" si="1525"/>
        <v>MYR</v>
      </c>
      <c r="P3768" t="str">
        <f t="shared" si="1545"/>
        <v>NIL</v>
      </c>
      <c r="Q3768" t="str">
        <f t="shared" si="1545"/>
        <v>NIL</v>
      </c>
      <c r="R3768" t="str">
        <f t="shared" si="1526"/>
        <v>Accepted</v>
      </c>
      <c r="S3768" t="str">
        <f t="shared" si="1527"/>
        <v>Approved</v>
      </c>
      <c r="T3768" t="str">
        <f t="shared" si="1528"/>
        <v>10.20.8.188</v>
      </c>
      <c r="U3768" t="str">
        <f t="shared" si="1529"/>
        <v>AZRAD UMAR BIN SHAARI</v>
      </c>
      <c r="V3768" t="str">
        <f t="shared" si="1530"/>
        <v>FARHANA BINTI MUSTAPA</v>
      </c>
      <c r="W3768" t="str">
        <f t="shared" si="1531"/>
        <v>04-08-2020</v>
      </c>
      <c r="X3768" t="str">
        <f t="shared" si="1532"/>
        <v>RAZIMAH ANSAR AHMAD</v>
      </c>
      <c r="Y3768" t="str">
        <f t="shared" si="1533"/>
        <v>04-08-2020</v>
      </c>
      <c r="Z3768" t="str">
        <f>"COS10200804 5786"</f>
        <v>COS10200804 5786</v>
      </c>
    </row>
    <row r="3769" spans="1:26" x14ac:dyDescent="0.25">
      <c r="A3769" t="str">
        <f t="shared" si="1542"/>
        <v>04-08-2020 12:56:11</v>
      </c>
      <c r="B3769" t="str">
        <f>"0000807172"</f>
        <v>0000807172</v>
      </c>
      <c r="C3769" t="str">
        <f t="shared" si="1543"/>
        <v>0000806987</v>
      </c>
      <c r="D3769" t="str">
        <f t="shared" si="1521"/>
        <v>73185</v>
      </c>
      <c r="E3769" t="str">
        <f t="shared" si="1522"/>
        <v>KFH-OPERATIONS DEPARTMENT</v>
      </c>
      <c r="F3769" t="str">
        <f t="shared" si="1523"/>
        <v>IBG</v>
      </c>
      <c r="G3769" t="str">
        <f t="shared" si="1534"/>
        <v>Refund COSHARE 10</v>
      </c>
      <c r="H3769" s="2">
        <v>736.75</v>
      </c>
      <c r="I3769" t="str">
        <f>"MOHD NORHADIP BIN NORAZLAN"</f>
        <v>MOHD NORHADIP BIN NORAZLAN</v>
      </c>
      <c r="J3769" t="str">
        <f t="shared" si="1537"/>
        <v>MAYBANK / MAYBANK ISLAMIC</v>
      </c>
      <c r="K3769" t="str">
        <f>"164324285032"</f>
        <v>164324285032</v>
      </c>
      <c r="L3769" t="str">
        <f t="shared" si="1544"/>
        <v>04-08-2020</v>
      </c>
      <c r="M3769" t="str">
        <f t="shared" si="1544"/>
        <v>04-08-2020</v>
      </c>
      <c r="N3769" t="str">
        <f t="shared" si="1524"/>
        <v>001105018356</v>
      </c>
      <c r="O3769" t="str">
        <f t="shared" si="1525"/>
        <v>MYR</v>
      </c>
      <c r="P3769" t="str">
        <f t="shared" si="1545"/>
        <v>NIL</v>
      </c>
      <c r="Q3769" t="str">
        <f t="shared" si="1545"/>
        <v>NIL</v>
      </c>
      <c r="R3769" t="str">
        <f t="shared" si="1526"/>
        <v>Accepted</v>
      </c>
      <c r="S3769" t="str">
        <f t="shared" si="1527"/>
        <v>Approved</v>
      </c>
      <c r="T3769" t="str">
        <f t="shared" si="1528"/>
        <v>10.20.8.188</v>
      </c>
      <c r="U3769" t="str">
        <f t="shared" si="1529"/>
        <v>AZRAD UMAR BIN SHAARI</v>
      </c>
      <c r="V3769" t="str">
        <f t="shared" si="1530"/>
        <v>FARHANA BINTI MUSTAPA</v>
      </c>
      <c r="W3769" t="str">
        <f t="shared" si="1531"/>
        <v>04-08-2020</v>
      </c>
      <c r="X3769" t="str">
        <f t="shared" si="1532"/>
        <v>RAZIMAH ANSAR AHMAD</v>
      </c>
      <c r="Y3769" t="str">
        <f t="shared" si="1533"/>
        <v>04-08-2020</v>
      </c>
      <c r="Z3769" t="str">
        <f>"COS10200804 5785"</f>
        <v>COS10200804 5785</v>
      </c>
    </row>
    <row r="3770" spans="1:26" x14ac:dyDescent="0.25">
      <c r="A3770" t="str">
        <f t="shared" si="1542"/>
        <v>04-08-2020 12:56:11</v>
      </c>
      <c r="B3770" t="str">
        <f>"0000807171"</f>
        <v>0000807171</v>
      </c>
      <c r="C3770" t="str">
        <f t="shared" si="1543"/>
        <v>0000806987</v>
      </c>
      <c r="D3770" t="str">
        <f t="shared" si="1521"/>
        <v>73185</v>
      </c>
      <c r="E3770" t="str">
        <f t="shared" si="1522"/>
        <v>KFH-OPERATIONS DEPARTMENT</v>
      </c>
      <c r="F3770" t="str">
        <f t="shared" si="1523"/>
        <v>IBG</v>
      </c>
      <c r="G3770" t="str">
        <f t="shared" si="1534"/>
        <v>Refund COSHARE 10</v>
      </c>
      <c r="H3770" s="2">
        <v>905.55</v>
      </c>
      <c r="I3770" t="str">
        <f>"MOHD NORDIN BIN SHAARI"</f>
        <v>MOHD NORDIN BIN SHAARI</v>
      </c>
      <c r="J3770" t="str">
        <f t="shared" si="1537"/>
        <v>MAYBANK / MAYBANK ISLAMIC</v>
      </c>
      <c r="K3770" t="str">
        <f>"108010619824"</f>
        <v>108010619824</v>
      </c>
      <c r="L3770" t="str">
        <f t="shared" si="1544"/>
        <v>04-08-2020</v>
      </c>
      <c r="M3770" t="str">
        <f t="shared" si="1544"/>
        <v>04-08-2020</v>
      </c>
      <c r="N3770" t="str">
        <f t="shared" si="1524"/>
        <v>001105018356</v>
      </c>
      <c r="O3770" t="str">
        <f t="shared" si="1525"/>
        <v>MYR</v>
      </c>
      <c r="P3770" t="str">
        <f t="shared" si="1545"/>
        <v>NIL</v>
      </c>
      <c r="Q3770" t="str">
        <f t="shared" si="1545"/>
        <v>NIL</v>
      </c>
      <c r="R3770" t="str">
        <f t="shared" si="1526"/>
        <v>Accepted</v>
      </c>
      <c r="S3770" t="str">
        <f t="shared" si="1527"/>
        <v>Approved</v>
      </c>
      <c r="T3770" t="str">
        <f t="shared" si="1528"/>
        <v>10.20.8.188</v>
      </c>
      <c r="U3770" t="str">
        <f t="shared" si="1529"/>
        <v>AZRAD UMAR BIN SHAARI</v>
      </c>
      <c r="V3770" t="str">
        <f t="shared" si="1530"/>
        <v>FARHANA BINTI MUSTAPA</v>
      </c>
      <c r="W3770" t="str">
        <f t="shared" si="1531"/>
        <v>04-08-2020</v>
      </c>
      <c r="X3770" t="str">
        <f t="shared" si="1532"/>
        <v>RAZIMAH ANSAR AHMAD</v>
      </c>
      <c r="Y3770" t="str">
        <f t="shared" si="1533"/>
        <v>04-08-2020</v>
      </c>
      <c r="Z3770" t="str">
        <f>"COS10200804 5784"</f>
        <v>COS10200804 5784</v>
      </c>
    </row>
    <row r="3771" spans="1:26" x14ac:dyDescent="0.25">
      <c r="A3771" t="str">
        <f t="shared" si="1542"/>
        <v>04-08-2020 12:56:11</v>
      </c>
      <c r="B3771" t="str">
        <f>"0000807170"</f>
        <v>0000807170</v>
      </c>
      <c r="C3771" t="str">
        <f t="shared" si="1543"/>
        <v>0000806987</v>
      </c>
      <c r="D3771" t="str">
        <f t="shared" si="1521"/>
        <v>73185</v>
      </c>
      <c r="E3771" t="str">
        <f t="shared" si="1522"/>
        <v>KFH-OPERATIONS DEPARTMENT</v>
      </c>
      <c r="F3771" t="str">
        <f t="shared" si="1523"/>
        <v>IBG</v>
      </c>
      <c r="G3771" t="str">
        <f t="shared" si="1534"/>
        <v>Refund COSHARE 10</v>
      </c>
      <c r="H3771" s="2">
        <v>840</v>
      </c>
      <c r="I3771" t="str">
        <f>"MOHD NORAZAM BIN MOHAMED ZAIN"</f>
        <v>MOHD NORAZAM BIN MOHAMED ZAIN</v>
      </c>
      <c r="J3771" t="str">
        <f t="shared" si="1537"/>
        <v>MAYBANK / MAYBANK ISLAMIC</v>
      </c>
      <c r="K3771" t="str">
        <f>"101133233828"</f>
        <v>101133233828</v>
      </c>
      <c r="L3771" t="str">
        <f t="shared" si="1544"/>
        <v>04-08-2020</v>
      </c>
      <c r="M3771" t="str">
        <f t="shared" si="1544"/>
        <v>04-08-2020</v>
      </c>
      <c r="N3771" t="str">
        <f t="shared" si="1524"/>
        <v>001105018356</v>
      </c>
      <c r="O3771" t="str">
        <f t="shared" si="1525"/>
        <v>MYR</v>
      </c>
      <c r="P3771" t="str">
        <f t="shared" si="1545"/>
        <v>NIL</v>
      </c>
      <c r="Q3771" t="str">
        <f t="shared" si="1545"/>
        <v>NIL</v>
      </c>
      <c r="R3771" t="str">
        <f t="shared" si="1526"/>
        <v>Accepted</v>
      </c>
      <c r="S3771" t="str">
        <f t="shared" si="1527"/>
        <v>Approved</v>
      </c>
      <c r="T3771" t="str">
        <f t="shared" si="1528"/>
        <v>10.20.8.188</v>
      </c>
      <c r="U3771" t="str">
        <f t="shared" si="1529"/>
        <v>AZRAD UMAR BIN SHAARI</v>
      </c>
      <c r="V3771" t="str">
        <f t="shared" si="1530"/>
        <v>FARHANA BINTI MUSTAPA</v>
      </c>
      <c r="W3771" t="str">
        <f t="shared" si="1531"/>
        <v>04-08-2020</v>
      </c>
      <c r="X3771" t="str">
        <f t="shared" si="1532"/>
        <v>RAZIMAH ANSAR AHMAD</v>
      </c>
      <c r="Y3771" t="str">
        <f t="shared" si="1533"/>
        <v>04-08-2020</v>
      </c>
      <c r="Z3771" t="str">
        <f>"COS10200804 5783"</f>
        <v>COS10200804 5783</v>
      </c>
    </row>
    <row r="3772" spans="1:26" x14ac:dyDescent="0.25">
      <c r="A3772" t="str">
        <f t="shared" si="1542"/>
        <v>04-08-2020 12:56:11</v>
      </c>
      <c r="B3772" t="str">
        <f>"0000807169"</f>
        <v>0000807169</v>
      </c>
      <c r="C3772" t="str">
        <f t="shared" si="1543"/>
        <v>0000806987</v>
      </c>
      <c r="D3772" t="str">
        <f t="shared" si="1521"/>
        <v>73185</v>
      </c>
      <c r="E3772" t="str">
        <f t="shared" si="1522"/>
        <v>KFH-OPERATIONS DEPARTMENT</v>
      </c>
      <c r="F3772" t="str">
        <f t="shared" si="1523"/>
        <v>IBG</v>
      </c>
      <c r="G3772" t="str">
        <f t="shared" si="1534"/>
        <v>Refund COSHARE 10</v>
      </c>
      <c r="H3772" s="2">
        <v>260.25</v>
      </c>
      <c r="I3772" t="str">
        <f>"MOHD NORAMIN BIN HUSSIN"</f>
        <v>MOHD NORAMIN BIN HUSSIN</v>
      </c>
      <c r="J3772" t="str">
        <f t="shared" si="1537"/>
        <v>MAYBANK / MAYBANK ISLAMIC</v>
      </c>
      <c r="K3772" t="str">
        <f>"159013086744"</f>
        <v>159013086744</v>
      </c>
      <c r="L3772" t="str">
        <f t="shared" si="1544"/>
        <v>04-08-2020</v>
      </c>
      <c r="M3772" t="str">
        <f t="shared" si="1544"/>
        <v>04-08-2020</v>
      </c>
      <c r="N3772" t="str">
        <f t="shared" si="1524"/>
        <v>001105018356</v>
      </c>
      <c r="O3772" t="str">
        <f t="shared" si="1525"/>
        <v>MYR</v>
      </c>
      <c r="P3772" t="str">
        <f t="shared" si="1545"/>
        <v>NIL</v>
      </c>
      <c r="Q3772" t="str">
        <f t="shared" si="1545"/>
        <v>NIL</v>
      </c>
      <c r="R3772" t="str">
        <f t="shared" si="1526"/>
        <v>Accepted</v>
      </c>
      <c r="S3772" t="str">
        <f t="shared" si="1527"/>
        <v>Approved</v>
      </c>
      <c r="T3772" t="str">
        <f t="shared" si="1528"/>
        <v>10.20.8.188</v>
      </c>
      <c r="U3772" t="str">
        <f t="shared" si="1529"/>
        <v>AZRAD UMAR BIN SHAARI</v>
      </c>
      <c r="V3772" t="str">
        <f t="shared" si="1530"/>
        <v>FARHANA BINTI MUSTAPA</v>
      </c>
      <c r="W3772" t="str">
        <f t="shared" si="1531"/>
        <v>04-08-2020</v>
      </c>
      <c r="X3772" t="str">
        <f t="shared" si="1532"/>
        <v>RAZIMAH ANSAR AHMAD</v>
      </c>
      <c r="Y3772" t="str">
        <f t="shared" si="1533"/>
        <v>04-08-2020</v>
      </c>
      <c r="Z3772" t="str">
        <f>"COS10200804 5782"</f>
        <v>COS10200804 5782</v>
      </c>
    </row>
    <row r="3773" spans="1:26" x14ac:dyDescent="0.25">
      <c r="A3773" t="str">
        <f t="shared" si="1542"/>
        <v>04-08-2020 12:56:11</v>
      </c>
      <c r="B3773" t="str">
        <f>"0000807168"</f>
        <v>0000807168</v>
      </c>
      <c r="C3773" t="str">
        <f t="shared" si="1543"/>
        <v>0000806987</v>
      </c>
      <c r="D3773" t="str">
        <f t="shared" si="1521"/>
        <v>73185</v>
      </c>
      <c r="E3773" t="str">
        <f t="shared" si="1522"/>
        <v>KFH-OPERATIONS DEPARTMENT</v>
      </c>
      <c r="F3773" t="str">
        <f t="shared" si="1523"/>
        <v>IBG</v>
      </c>
      <c r="G3773" t="str">
        <f t="shared" si="1534"/>
        <v>Refund COSHARE 10</v>
      </c>
      <c r="H3773" s="2">
        <v>543.04999999999995</v>
      </c>
      <c r="I3773" t="str">
        <f>"MOHD NOR HISHAM BIN IBRAHIM"</f>
        <v>MOHD NOR HISHAM BIN IBRAHIM</v>
      </c>
      <c r="J3773" t="str">
        <f t="shared" si="1537"/>
        <v>MAYBANK / MAYBANK ISLAMIC</v>
      </c>
      <c r="K3773" t="str">
        <f>"114374037407"</f>
        <v>114374037407</v>
      </c>
      <c r="L3773" t="str">
        <f t="shared" si="1544"/>
        <v>04-08-2020</v>
      </c>
      <c r="M3773" t="str">
        <f t="shared" si="1544"/>
        <v>04-08-2020</v>
      </c>
      <c r="N3773" t="str">
        <f t="shared" si="1524"/>
        <v>001105018356</v>
      </c>
      <c r="O3773" t="str">
        <f t="shared" si="1525"/>
        <v>MYR</v>
      </c>
      <c r="P3773" t="str">
        <f t="shared" si="1545"/>
        <v>NIL</v>
      </c>
      <c r="Q3773" t="str">
        <f t="shared" si="1545"/>
        <v>NIL</v>
      </c>
      <c r="R3773" t="str">
        <f t="shared" si="1526"/>
        <v>Accepted</v>
      </c>
      <c r="S3773" t="str">
        <f t="shared" si="1527"/>
        <v>Approved</v>
      </c>
      <c r="T3773" t="str">
        <f t="shared" si="1528"/>
        <v>10.20.8.188</v>
      </c>
      <c r="U3773" t="str">
        <f t="shared" si="1529"/>
        <v>AZRAD UMAR BIN SHAARI</v>
      </c>
      <c r="V3773" t="str">
        <f t="shared" si="1530"/>
        <v>FARHANA BINTI MUSTAPA</v>
      </c>
      <c r="W3773" t="str">
        <f t="shared" si="1531"/>
        <v>04-08-2020</v>
      </c>
      <c r="X3773" t="str">
        <f t="shared" si="1532"/>
        <v>RAZIMAH ANSAR AHMAD</v>
      </c>
      <c r="Y3773" t="str">
        <f t="shared" si="1533"/>
        <v>04-08-2020</v>
      </c>
      <c r="Z3773" t="str">
        <f>"COS10200804 5781"</f>
        <v>COS10200804 5781</v>
      </c>
    </row>
    <row r="3774" spans="1:26" x14ac:dyDescent="0.25">
      <c r="A3774" t="str">
        <f t="shared" si="1542"/>
        <v>04-08-2020 12:56:11</v>
      </c>
      <c r="B3774" t="str">
        <f>"0000807167"</f>
        <v>0000807167</v>
      </c>
      <c r="C3774" t="str">
        <f t="shared" si="1543"/>
        <v>0000806987</v>
      </c>
      <c r="D3774" t="str">
        <f t="shared" si="1521"/>
        <v>73185</v>
      </c>
      <c r="E3774" t="str">
        <f t="shared" si="1522"/>
        <v>KFH-OPERATIONS DEPARTMENT</v>
      </c>
      <c r="F3774" t="str">
        <f t="shared" si="1523"/>
        <v>IBG</v>
      </c>
      <c r="G3774" t="str">
        <f t="shared" si="1534"/>
        <v>Refund COSHARE 10</v>
      </c>
      <c r="H3774" s="2">
        <v>369.4</v>
      </c>
      <c r="I3774" t="str">
        <f>"MOHD NOR BIN DRIS"</f>
        <v>MOHD NOR BIN DRIS</v>
      </c>
      <c r="J3774" t="str">
        <f t="shared" si="1537"/>
        <v>MAYBANK / MAYBANK ISLAMIC</v>
      </c>
      <c r="K3774" t="str">
        <f>"151212870190"</f>
        <v>151212870190</v>
      </c>
      <c r="L3774" t="str">
        <f t="shared" si="1544"/>
        <v>04-08-2020</v>
      </c>
      <c r="M3774" t="str">
        <f t="shared" si="1544"/>
        <v>04-08-2020</v>
      </c>
      <c r="N3774" t="str">
        <f t="shared" si="1524"/>
        <v>001105018356</v>
      </c>
      <c r="O3774" t="str">
        <f t="shared" si="1525"/>
        <v>MYR</v>
      </c>
      <c r="P3774" t="str">
        <f t="shared" si="1545"/>
        <v>NIL</v>
      </c>
      <c r="Q3774" t="str">
        <f t="shared" si="1545"/>
        <v>NIL</v>
      </c>
      <c r="R3774" t="str">
        <f t="shared" si="1526"/>
        <v>Accepted</v>
      </c>
      <c r="S3774" t="str">
        <f t="shared" si="1527"/>
        <v>Approved</v>
      </c>
      <c r="T3774" t="str">
        <f t="shared" si="1528"/>
        <v>10.20.8.188</v>
      </c>
      <c r="U3774" t="str">
        <f t="shared" si="1529"/>
        <v>AZRAD UMAR BIN SHAARI</v>
      </c>
      <c r="V3774" t="str">
        <f t="shared" si="1530"/>
        <v>FARHANA BINTI MUSTAPA</v>
      </c>
      <c r="W3774" t="str">
        <f t="shared" si="1531"/>
        <v>04-08-2020</v>
      </c>
      <c r="X3774" t="str">
        <f t="shared" si="1532"/>
        <v>RAZIMAH ANSAR AHMAD</v>
      </c>
      <c r="Y3774" t="str">
        <f t="shared" si="1533"/>
        <v>04-08-2020</v>
      </c>
      <c r="Z3774" t="str">
        <f>"COS10200804 5780"</f>
        <v>COS10200804 5780</v>
      </c>
    </row>
    <row r="3775" spans="1:26" x14ac:dyDescent="0.25">
      <c r="A3775" t="str">
        <f t="shared" si="1542"/>
        <v>04-08-2020 12:56:11</v>
      </c>
      <c r="B3775" t="str">
        <f>"0000807166"</f>
        <v>0000807166</v>
      </c>
      <c r="C3775" t="str">
        <f t="shared" si="1543"/>
        <v>0000806987</v>
      </c>
      <c r="D3775" t="str">
        <f t="shared" si="1521"/>
        <v>73185</v>
      </c>
      <c r="E3775" t="str">
        <f t="shared" si="1522"/>
        <v>KFH-OPERATIONS DEPARTMENT</v>
      </c>
      <c r="F3775" t="str">
        <f t="shared" si="1523"/>
        <v>IBG</v>
      </c>
      <c r="G3775" t="str">
        <f t="shared" si="1534"/>
        <v>Refund COSHARE 10</v>
      </c>
      <c r="H3775" s="2">
        <v>125.95</v>
      </c>
      <c r="I3775" t="str">
        <f>"MOHD NOORZAIDY BIN MAHMOOD"</f>
        <v>MOHD NOORZAIDY BIN MAHMOOD</v>
      </c>
      <c r="J3775" t="str">
        <f t="shared" si="1537"/>
        <v>MAYBANK / MAYBANK ISLAMIC</v>
      </c>
      <c r="K3775" t="str">
        <f>"106098439006"</f>
        <v>106098439006</v>
      </c>
      <c r="L3775" t="str">
        <f t="shared" si="1544"/>
        <v>04-08-2020</v>
      </c>
      <c r="M3775" t="str">
        <f t="shared" si="1544"/>
        <v>04-08-2020</v>
      </c>
      <c r="N3775" t="str">
        <f t="shared" si="1524"/>
        <v>001105018356</v>
      </c>
      <c r="O3775" t="str">
        <f t="shared" si="1525"/>
        <v>MYR</v>
      </c>
      <c r="P3775" t="str">
        <f t="shared" si="1545"/>
        <v>NIL</v>
      </c>
      <c r="Q3775" t="str">
        <f t="shared" si="1545"/>
        <v>NIL</v>
      </c>
      <c r="R3775" t="str">
        <f t="shared" si="1526"/>
        <v>Accepted</v>
      </c>
      <c r="S3775" t="str">
        <f t="shared" si="1527"/>
        <v>Approved</v>
      </c>
      <c r="T3775" t="str">
        <f t="shared" si="1528"/>
        <v>10.20.8.188</v>
      </c>
      <c r="U3775" t="str">
        <f t="shared" si="1529"/>
        <v>AZRAD UMAR BIN SHAARI</v>
      </c>
      <c r="V3775" t="str">
        <f t="shared" si="1530"/>
        <v>FARHANA BINTI MUSTAPA</v>
      </c>
      <c r="W3775" t="str">
        <f t="shared" si="1531"/>
        <v>04-08-2020</v>
      </c>
      <c r="X3775" t="str">
        <f t="shared" si="1532"/>
        <v>RAZIMAH ANSAR AHMAD</v>
      </c>
      <c r="Y3775" t="str">
        <f t="shared" si="1533"/>
        <v>04-08-2020</v>
      </c>
      <c r="Z3775" t="str">
        <f>"COS10200804 5779"</f>
        <v>COS10200804 5779</v>
      </c>
    </row>
    <row r="3776" spans="1:26" x14ac:dyDescent="0.25">
      <c r="A3776" t="str">
        <f t="shared" si="1542"/>
        <v>04-08-2020 12:56:11</v>
      </c>
      <c r="B3776" t="str">
        <f>"0000807165"</f>
        <v>0000807165</v>
      </c>
      <c r="C3776" t="str">
        <f t="shared" si="1543"/>
        <v>0000806987</v>
      </c>
      <c r="D3776" t="str">
        <f t="shared" si="1521"/>
        <v>73185</v>
      </c>
      <c r="E3776" t="str">
        <f t="shared" si="1522"/>
        <v>KFH-OPERATIONS DEPARTMENT</v>
      </c>
      <c r="F3776" t="str">
        <f t="shared" si="1523"/>
        <v>IBG</v>
      </c>
      <c r="G3776" t="str">
        <f t="shared" si="1534"/>
        <v>Refund COSHARE 10</v>
      </c>
      <c r="H3776" s="2">
        <v>175</v>
      </c>
      <c r="I3776" t="str">
        <f>"MOHD NOORAIMI BIN MD HUSSAIN"</f>
        <v>MOHD NOORAIMI BIN MD HUSSAIN</v>
      </c>
      <c r="J3776" t="str">
        <f t="shared" si="1537"/>
        <v>MAYBANK / MAYBANK ISLAMIC</v>
      </c>
      <c r="K3776" t="str">
        <f>"107032035490"</f>
        <v>107032035490</v>
      </c>
      <c r="L3776" t="str">
        <f t="shared" si="1544"/>
        <v>04-08-2020</v>
      </c>
      <c r="M3776" t="str">
        <f t="shared" si="1544"/>
        <v>04-08-2020</v>
      </c>
      <c r="N3776" t="str">
        <f t="shared" si="1524"/>
        <v>001105018356</v>
      </c>
      <c r="O3776" t="str">
        <f t="shared" si="1525"/>
        <v>MYR</v>
      </c>
      <c r="P3776" t="str">
        <f t="shared" si="1545"/>
        <v>NIL</v>
      </c>
      <c r="Q3776" t="str">
        <f t="shared" si="1545"/>
        <v>NIL</v>
      </c>
      <c r="R3776" t="str">
        <f t="shared" si="1526"/>
        <v>Accepted</v>
      </c>
      <c r="S3776" t="str">
        <f t="shared" si="1527"/>
        <v>Approved</v>
      </c>
      <c r="T3776" t="str">
        <f t="shared" si="1528"/>
        <v>10.20.8.188</v>
      </c>
      <c r="U3776" t="str">
        <f t="shared" si="1529"/>
        <v>AZRAD UMAR BIN SHAARI</v>
      </c>
      <c r="V3776" t="str">
        <f t="shared" si="1530"/>
        <v>FARHANA BINTI MUSTAPA</v>
      </c>
      <c r="W3776" t="str">
        <f t="shared" si="1531"/>
        <v>04-08-2020</v>
      </c>
      <c r="X3776" t="str">
        <f t="shared" si="1532"/>
        <v>RAZIMAH ANSAR AHMAD</v>
      </c>
      <c r="Y3776" t="str">
        <f t="shared" si="1533"/>
        <v>04-08-2020</v>
      </c>
      <c r="Z3776" t="str">
        <f>"COS10200804 5778"</f>
        <v>COS10200804 5778</v>
      </c>
    </row>
    <row r="3777" spans="1:26" x14ac:dyDescent="0.25">
      <c r="A3777" t="str">
        <f t="shared" si="1542"/>
        <v>04-08-2020 12:56:11</v>
      </c>
      <c r="B3777" t="str">
        <f>"0000807164"</f>
        <v>0000807164</v>
      </c>
      <c r="C3777" t="str">
        <f t="shared" si="1543"/>
        <v>0000806987</v>
      </c>
      <c r="D3777" t="str">
        <f t="shared" si="1521"/>
        <v>73185</v>
      </c>
      <c r="E3777" t="str">
        <f t="shared" si="1522"/>
        <v>KFH-OPERATIONS DEPARTMENT</v>
      </c>
      <c r="F3777" t="str">
        <f t="shared" si="1523"/>
        <v>IBG</v>
      </c>
      <c r="G3777" t="str">
        <f t="shared" si="1534"/>
        <v>Refund COSHARE 10</v>
      </c>
      <c r="H3777" s="2">
        <v>419.75</v>
      </c>
      <c r="I3777" t="str">
        <f>"MOHD NOOR SYAWAL BIN MUSTARI"</f>
        <v>MOHD NOOR SYAWAL BIN MUSTARI</v>
      </c>
      <c r="J3777" t="str">
        <f t="shared" si="1537"/>
        <v>MAYBANK / MAYBANK ISLAMIC</v>
      </c>
      <c r="K3777" t="str">
        <f>"162030005223"</f>
        <v>162030005223</v>
      </c>
      <c r="L3777" t="str">
        <f t="shared" si="1544"/>
        <v>04-08-2020</v>
      </c>
      <c r="M3777" t="str">
        <f t="shared" si="1544"/>
        <v>04-08-2020</v>
      </c>
      <c r="N3777" t="str">
        <f t="shared" si="1524"/>
        <v>001105018356</v>
      </c>
      <c r="O3777" t="str">
        <f t="shared" si="1525"/>
        <v>MYR</v>
      </c>
      <c r="P3777" t="str">
        <f t="shared" si="1545"/>
        <v>NIL</v>
      </c>
      <c r="Q3777" t="str">
        <f t="shared" si="1545"/>
        <v>NIL</v>
      </c>
      <c r="R3777" t="str">
        <f t="shared" si="1526"/>
        <v>Accepted</v>
      </c>
      <c r="S3777" t="str">
        <f t="shared" si="1527"/>
        <v>Approved</v>
      </c>
      <c r="T3777" t="str">
        <f t="shared" si="1528"/>
        <v>10.20.8.188</v>
      </c>
      <c r="U3777" t="str">
        <f t="shared" si="1529"/>
        <v>AZRAD UMAR BIN SHAARI</v>
      </c>
      <c r="V3777" t="str">
        <f t="shared" si="1530"/>
        <v>FARHANA BINTI MUSTAPA</v>
      </c>
      <c r="W3777" t="str">
        <f t="shared" si="1531"/>
        <v>04-08-2020</v>
      </c>
      <c r="X3777" t="str">
        <f t="shared" si="1532"/>
        <v>RAZIMAH ANSAR AHMAD</v>
      </c>
      <c r="Y3777" t="str">
        <f t="shared" si="1533"/>
        <v>04-08-2020</v>
      </c>
      <c r="Z3777" t="str">
        <f>"COS10200804 5777"</f>
        <v>COS10200804 5777</v>
      </c>
    </row>
    <row r="3778" spans="1:26" x14ac:dyDescent="0.25">
      <c r="A3778" t="str">
        <f t="shared" si="1542"/>
        <v>04-08-2020 12:56:11</v>
      </c>
      <c r="B3778" t="str">
        <f>"0000807163"</f>
        <v>0000807163</v>
      </c>
      <c r="C3778" t="str">
        <f t="shared" si="1543"/>
        <v>0000806987</v>
      </c>
      <c r="D3778" t="str">
        <f t="shared" si="1521"/>
        <v>73185</v>
      </c>
      <c r="E3778" t="str">
        <f t="shared" si="1522"/>
        <v>KFH-OPERATIONS DEPARTMENT</v>
      </c>
      <c r="F3778" t="str">
        <f t="shared" si="1523"/>
        <v>IBG</v>
      </c>
      <c r="G3778" t="str">
        <f t="shared" si="1534"/>
        <v>Refund COSHARE 10</v>
      </c>
      <c r="H3778" s="2">
        <v>293.85000000000002</v>
      </c>
      <c r="I3778" t="str">
        <f>"MOHD NOOR HAZRIL BIN MD JUKI"</f>
        <v>MOHD NOOR HAZRIL BIN MD JUKI</v>
      </c>
      <c r="J3778" t="str">
        <f t="shared" si="1537"/>
        <v>MAYBANK / MAYBANK ISLAMIC</v>
      </c>
      <c r="K3778" t="str">
        <f>"156048200309"</f>
        <v>156048200309</v>
      </c>
      <c r="L3778" t="str">
        <f t="shared" si="1544"/>
        <v>04-08-2020</v>
      </c>
      <c r="M3778" t="str">
        <f t="shared" si="1544"/>
        <v>04-08-2020</v>
      </c>
      <c r="N3778" t="str">
        <f t="shared" si="1524"/>
        <v>001105018356</v>
      </c>
      <c r="O3778" t="str">
        <f t="shared" si="1525"/>
        <v>MYR</v>
      </c>
      <c r="P3778" t="str">
        <f t="shared" si="1545"/>
        <v>NIL</v>
      </c>
      <c r="Q3778" t="str">
        <f t="shared" si="1545"/>
        <v>NIL</v>
      </c>
      <c r="R3778" t="str">
        <f t="shared" si="1526"/>
        <v>Accepted</v>
      </c>
      <c r="S3778" t="str">
        <f t="shared" si="1527"/>
        <v>Approved</v>
      </c>
      <c r="T3778" t="str">
        <f t="shared" si="1528"/>
        <v>10.20.8.188</v>
      </c>
      <c r="U3778" t="str">
        <f t="shared" si="1529"/>
        <v>AZRAD UMAR BIN SHAARI</v>
      </c>
      <c r="V3778" t="str">
        <f t="shared" si="1530"/>
        <v>FARHANA BINTI MUSTAPA</v>
      </c>
      <c r="W3778" t="str">
        <f t="shared" si="1531"/>
        <v>04-08-2020</v>
      </c>
      <c r="X3778" t="str">
        <f t="shared" si="1532"/>
        <v>RAZIMAH ANSAR AHMAD</v>
      </c>
      <c r="Y3778" t="str">
        <f t="shared" si="1533"/>
        <v>04-08-2020</v>
      </c>
      <c r="Z3778" t="str">
        <f>"COS10200804 5776"</f>
        <v>COS10200804 5776</v>
      </c>
    </row>
    <row r="3779" spans="1:26" x14ac:dyDescent="0.25">
      <c r="A3779" t="str">
        <f t="shared" si="1542"/>
        <v>04-08-2020 12:56:11</v>
      </c>
      <c r="B3779" t="str">
        <f>"0000807162"</f>
        <v>0000807162</v>
      </c>
      <c r="C3779" t="str">
        <f t="shared" si="1543"/>
        <v>0000806987</v>
      </c>
      <c r="D3779" t="str">
        <f t="shared" si="1521"/>
        <v>73185</v>
      </c>
      <c r="E3779" t="str">
        <f t="shared" si="1522"/>
        <v>KFH-OPERATIONS DEPARTMENT</v>
      </c>
      <c r="F3779" t="str">
        <f t="shared" si="1523"/>
        <v>IBG</v>
      </c>
      <c r="G3779" t="str">
        <f t="shared" si="1534"/>
        <v>Refund COSHARE 10</v>
      </c>
      <c r="H3779" s="2">
        <v>100</v>
      </c>
      <c r="I3779" t="str">
        <f>"MOHD NOOR HASHRIQ BIN MAT SAID"</f>
        <v>MOHD NOOR HASHRIQ BIN MAT SAID</v>
      </c>
      <c r="J3779" t="str">
        <f t="shared" si="1537"/>
        <v>MAYBANK / MAYBANK ISLAMIC</v>
      </c>
      <c r="K3779" t="str">
        <f>"157091033647"</f>
        <v>157091033647</v>
      </c>
      <c r="L3779" t="str">
        <f t="shared" si="1544"/>
        <v>04-08-2020</v>
      </c>
      <c r="M3779" t="str">
        <f t="shared" si="1544"/>
        <v>04-08-2020</v>
      </c>
      <c r="N3779" t="str">
        <f t="shared" si="1524"/>
        <v>001105018356</v>
      </c>
      <c r="O3779" t="str">
        <f t="shared" si="1525"/>
        <v>MYR</v>
      </c>
      <c r="P3779" t="str">
        <f t="shared" si="1545"/>
        <v>NIL</v>
      </c>
      <c r="Q3779" t="str">
        <f t="shared" si="1545"/>
        <v>NIL</v>
      </c>
      <c r="R3779" t="str">
        <f t="shared" si="1526"/>
        <v>Accepted</v>
      </c>
      <c r="S3779" t="str">
        <f t="shared" si="1527"/>
        <v>Approved</v>
      </c>
      <c r="T3779" t="str">
        <f t="shared" si="1528"/>
        <v>10.20.8.188</v>
      </c>
      <c r="U3779" t="str">
        <f t="shared" si="1529"/>
        <v>AZRAD UMAR BIN SHAARI</v>
      </c>
      <c r="V3779" t="str">
        <f t="shared" si="1530"/>
        <v>FARHANA BINTI MUSTAPA</v>
      </c>
      <c r="W3779" t="str">
        <f t="shared" si="1531"/>
        <v>04-08-2020</v>
      </c>
      <c r="X3779" t="str">
        <f t="shared" si="1532"/>
        <v>RAZIMAH ANSAR AHMAD</v>
      </c>
      <c r="Y3779" t="str">
        <f t="shared" si="1533"/>
        <v>04-08-2020</v>
      </c>
      <c r="Z3779" t="str">
        <f>"COS10200804 5775"</f>
        <v>COS10200804 5775</v>
      </c>
    </row>
    <row r="3780" spans="1:26" x14ac:dyDescent="0.25">
      <c r="A3780" t="str">
        <f t="shared" si="1542"/>
        <v>04-08-2020 12:56:11</v>
      </c>
      <c r="B3780" t="str">
        <f>"0000807161"</f>
        <v>0000807161</v>
      </c>
      <c r="C3780" t="str">
        <f t="shared" si="1543"/>
        <v>0000806987</v>
      </c>
      <c r="D3780" t="str">
        <f t="shared" si="1521"/>
        <v>73185</v>
      </c>
      <c r="E3780" t="str">
        <f t="shared" si="1522"/>
        <v>KFH-OPERATIONS DEPARTMENT</v>
      </c>
      <c r="F3780" t="str">
        <f t="shared" si="1523"/>
        <v>IBG</v>
      </c>
      <c r="G3780" t="str">
        <f t="shared" si="1534"/>
        <v>Refund COSHARE 10</v>
      </c>
      <c r="H3780" s="2">
        <v>76.25</v>
      </c>
      <c r="I3780" t="str">
        <f>"MOHD NOOR BIN AJIS"</f>
        <v>MOHD NOOR BIN AJIS</v>
      </c>
      <c r="J3780" t="str">
        <f t="shared" si="1537"/>
        <v>MAYBANK / MAYBANK ISLAMIC</v>
      </c>
      <c r="K3780" t="str">
        <f>"104021488388"</f>
        <v>104021488388</v>
      </c>
      <c r="L3780" t="str">
        <f t="shared" si="1544"/>
        <v>04-08-2020</v>
      </c>
      <c r="M3780" t="str">
        <f t="shared" si="1544"/>
        <v>04-08-2020</v>
      </c>
      <c r="N3780" t="str">
        <f t="shared" si="1524"/>
        <v>001105018356</v>
      </c>
      <c r="O3780" t="str">
        <f t="shared" si="1525"/>
        <v>MYR</v>
      </c>
      <c r="P3780" t="str">
        <f t="shared" si="1545"/>
        <v>NIL</v>
      </c>
      <c r="Q3780" t="str">
        <f t="shared" si="1545"/>
        <v>NIL</v>
      </c>
      <c r="R3780" t="str">
        <f t="shared" si="1526"/>
        <v>Accepted</v>
      </c>
      <c r="S3780" t="str">
        <f t="shared" si="1527"/>
        <v>Approved</v>
      </c>
      <c r="T3780" t="str">
        <f t="shared" si="1528"/>
        <v>10.20.8.188</v>
      </c>
      <c r="U3780" t="str">
        <f t="shared" si="1529"/>
        <v>AZRAD UMAR BIN SHAARI</v>
      </c>
      <c r="V3780" t="str">
        <f t="shared" si="1530"/>
        <v>FARHANA BINTI MUSTAPA</v>
      </c>
      <c r="W3780" t="str">
        <f t="shared" si="1531"/>
        <v>04-08-2020</v>
      </c>
      <c r="X3780" t="str">
        <f t="shared" si="1532"/>
        <v>RAZIMAH ANSAR AHMAD</v>
      </c>
      <c r="Y3780" t="str">
        <f t="shared" si="1533"/>
        <v>04-08-2020</v>
      </c>
      <c r="Z3780" t="str">
        <f>"COS10200804 5774"</f>
        <v>COS10200804 5774</v>
      </c>
    </row>
    <row r="3781" spans="1:26" x14ac:dyDescent="0.25">
      <c r="A3781" t="str">
        <f t="shared" si="1542"/>
        <v>04-08-2020 12:56:11</v>
      </c>
      <c r="B3781" t="str">
        <f>"0000807160"</f>
        <v>0000807160</v>
      </c>
      <c r="C3781" t="str">
        <f t="shared" si="1543"/>
        <v>0000806987</v>
      </c>
      <c r="D3781" t="str">
        <f t="shared" si="1521"/>
        <v>73185</v>
      </c>
      <c r="E3781" t="str">
        <f t="shared" si="1522"/>
        <v>KFH-OPERATIONS DEPARTMENT</v>
      </c>
      <c r="F3781" t="str">
        <f t="shared" si="1523"/>
        <v>IBG</v>
      </c>
      <c r="G3781" t="str">
        <f t="shared" si="1534"/>
        <v>Refund COSHARE 10</v>
      </c>
      <c r="H3781" s="2">
        <v>117.55</v>
      </c>
      <c r="I3781" t="str">
        <f>"MOHD NOOR AZREY BIN NORDIN"</f>
        <v>MOHD NOOR AZREY BIN NORDIN</v>
      </c>
      <c r="J3781" t="str">
        <f t="shared" si="1537"/>
        <v>MAYBANK / MAYBANK ISLAMIC</v>
      </c>
      <c r="K3781" t="str">
        <f>"166010062739"</f>
        <v>166010062739</v>
      </c>
      <c r="L3781" t="str">
        <f t="shared" si="1544"/>
        <v>04-08-2020</v>
      </c>
      <c r="M3781" t="str">
        <f t="shared" si="1544"/>
        <v>04-08-2020</v>
      </c>
      <c r="N3781" t="str">
        <f t="shared" si="1524"/>
        <v>001105018356</v>
      </c>
      <c r="O3781" t="str">
        <f t="shared" si="1525"/>
        <v>MYR</v>
      </c>
      <c r="P3781" t="str">
        <f t="shared" si="1545"/>
        <v>NIL</v>
      </c>
      <c r="Q3781" t="str">
        <f t="shared" si="1545"/>
        <v>NIL</v>
      </c>
      <c r="R3781" t="str">
        <f t="shared" si="1526"/>
        <v>Accepted</v>
      </c>
      <c r="S3781" t="str">
        <f t="shared" si="1527"/>
        <v>Approved</v>
      </c>
      <c r="T3781" t="str">
        <f t="shared" si="1528"/>
        <v>10.20.8.188</v>
      </c>
      <c r="U3781" t="str">
        <f t="shared" si="1529"/>
        <v>AZRAD UMAR BIN SHAARI</v>
      </c>
      <c r="V3781" t="str">
        <f t="shared" si="1530"/>
        <v>FARHANA BINTI MUSTAPA</v>
      </c>
      <c r="W3781" t="str">
        <f t="shared" si="1531"/>
        <v>04-08-2020</v>
      </c>
      <c r="X3781" t="str">
        <f t="shared" si="1532"/>
        <v>RAZIMAH ANSAR AHMAD</v>
      </c>
      <c r="Y3781" t="str">
        <f t="shared" si="1533"/>
        <v>04-08-2020</v>
      </c>
      <c r="Z3781" t="str">
        <f>"COS10200804 5773"</f>
        <v>COS10200804 5773</v>
      </c>
    </row>
    <row r="3782" spans="1:26" x14ac:dyDescent="0.25">
      <c r="A3782" t="str">
        <f t="shared" si="1542"/>
        <v>04-08-2020 12:56:11</v>
      </c>
      <c r="B3782" t="str">
        <f>"0000807159"</f>
        <v>0000807159</v>
      </c>
      <c r="C3782" t="str">
        <f t="shared" si="1543"/>
        <v>0000806987</v>
      </c>
      <c r="D3782" t="str">
        <f t="shared" si="1521"/>
        <v>73185</v>
      </c>
      <c r="E3782" t="str">
        <f t="shared" si="1522"/>
        <v>KFH-OPERATIONS DEPARTMENT</v>
      </c>
      <c r="F3782" t="str">
        <f t="shared" si="1523"/>
        <v>IBG</v>
      </c>
      <c r="G3782" t="str">
        <f t="shared" si="1534"/>
        <v>Refund COSHARE 10</v>
      </c>
      <c r="H3782" s="2">
        <v>125.95</v>
      </c>
      <c r="I3782" t="str">
        <f>"MOHD NOOR AZREY BIN NORDIN"</f>
        <v>MOHD NOOR AZREY BIN NORDIN</v>
      </c>
      <c r="J3782" t="str">
        <f t="shared" si="1537"/>
        <v>MAYBANK / MAYBANK ISLAMIC</v>
      </c>
      <c r="K3782" t="str">
        <f>"166010062739"</f>
        <v>166010062739</v>
      </c>
      <c r="L3782" t="str">
        <f t="shared" si="1544"/>
        <v>04-08-2020</v>
      </c>
      <c r="M3782" t="str">
        <f t="shared" si="1544"/>
        <v>04-08-2020</v>
      </c>
      <c r="N3782" t="str">
        <f t="shared" si="1524"/>
        <v>001105018356</v>
      </c>
      <c r="O3782" t="str">
        <f t="shared" si="1525"/>
        <v>MYR</v>
      </c>
      <c r="P3782" t="str">
        <f t="shared" si="1545"/>
        <v>NIL</v>
      </c>
      <c r="Q3782" t="str">
        <f t="shared" si="1545"/>
        <v>NIL</v>
      </c>
      <c r="R3782" t="str">
        <f t="shared" si="1526"/>
        <v>Accepted</v>
      </c>
      <c r="S3782" t="str">
        <f t="shared" si="1527"/>
        <v>Approved</v>
      </c>
      <c r="T3782" t="str">
        <f t="shared" si="1528"/>
        <v>10.20.8.188</v>
      </c>
      <c r="U3782" t="str">
        <f t="shared" si="1529"/>
        <v>AZRAD UMAR BIN SHAARI</v>
      </c>
      <c r="V3782" t="str">
        <f t="shared" si="1530"/>
        <v>FARHANA BINTI MUSTAPA</v>
      </c>
      <c r="W3782" t="str">
        <f t="shared" si="1531"/>
        <v>04-08-2020</v>
      </c>
      <c r="X3782" t="str">
        <f t="shared" si="1532"/>
        <v>RAZIMAH ANSAR AHMAD</v>
      </c>
      <c r="Y3782" t="str">
        <f t="shared" si="1533"/>
        <v>04-08-2020</v>
      </c>
      <c r="Z3782" t="str">
        <f>"COS10200804 5772"</f>
        <v>COS10200804 5772</v>
      </c>
    </row>
    <row r="3783" spans="1:26" x14ac:dyDescent="0.25">
      <c r="A3783" t="str">
        <f t="shared" si="1542"/>
        <v>04-08-2020 12:56:11</v>
      </c>
      <c r="B3783" t="str">
        <f>"0000807158"</f>
        <v>0000807158</v>
      </c>
      <c r="C3783" t="str">
        <f t="shared" si="1543"/>
        <v>0000806987</v>
      </c>
      <c r="D3783" t="str">
        <f t="shared" ref="D3783:D3846" si="1546">"73185"</f>
        <v>73185</v>
      </c>
      <c r="E3783" t="str">
        <f t="shared" ref="E3783:E3846" si="1547">"KFH-OPERATIONS DEPARTMENT"</f>
        <v>KFH-OPERATIONS DEPARTMENT</v>
      </c>
      <c r="F3783" t="str">
        <f t="shared" ref="F3783:F3846" si="1548">"IBG"</f>
        <v>IBG</v>
      </c>
      <c r="G3783" t="str">
        <f t="shared" si="1534"/>
        <v>Refund COSHARE 10</v>
      </c>
      <c r="H3783" s="2">
        <v>88.45</v>
      </c>
      <c r="I3783" t="str">
        <f>"MOHD NOH BIN AWI"</f>
        <v>MOHD NOH BIN AWI</v>
      </c>
      <c r="J3783" t="str">
        <f t="shared" si="1537"/>
        <v>MAYBANK / MAYBANK ISLAMIC</v>
      </c>
      <c r="K3783" t="str">
        <f>"101048534657"</f>
        <v>101048534657</v>
      </c>
      <c r="L3783" t="str">
        <f t="shared" si="1544"/>
        <v>04-08-2020</v>
      </c>
      <c r="M3783" t="str">
        <f t="shared" si="1544"/>
        <v>04-08-2020</v>
      </c>
      <c r="N3783" t="str">
        <f t="shared" ref="N3783:N3846" si="1549">"001105018356"</f>
        <v>001105018356</v>
      </c>
      <c r="O3783" t="str">
        <f t="shared" ref="O3783:O3846" si="1550">"MYR"</f>
        <v>MYR</v>
      </c>
      <c r="P3783" t="str">
        <f t="shared" si="1545"/>
        <v>NIL</v>
      </c>
      <c r="Q3783" t="str">
        <f t="shared" si="1545"/>
        <v>NIL</v>
      </c>
      <c r="R3783" t="str">
        <f t="shared" ref="R3783:R3846" si="1551">"Accepted"</f>
        <v>Accepted</v>
      </c>
      <c r="S3783" t="str">
        <f t="shared" ref="S3783:S3846" si="1552">"Approved"</f>
        <v>Approved</v>
      </c>
      <c r="T3783" t="str">
        <f t="shared" ref="T3783:T3846" si="1553">"10.20.8.188"</f>
        <v>10.20.8.188</v>
      </c>
      <c r="U3783" t="str">
        <f t="shared" ref="U3783:U3846" si="1554">"AZRAD UMAR BIN SHAARI"</f>
        <v>AZRAD UMAR BIN SHAARI</v>
      </c>
      <c r="V3783" t="str">
        <f t="shared" ref="V3783:V3846" si="1555">"FARHANA BINTI MUSTAPA"</f>
        <v>FARHANA BINTI MUSTAPA</v>
      </c>
      <c r="W3783" t="str">
        <f t="shared" ref="W3783:W3846" si="1556">"04-08-2020"</f>
        <v>04-08-2020</v>
      </c>
      <c r="X3783" t="str">
        <f t="shared" ref="X3783:X3846" si="1557">"RAZIMAH ANSAR AHMAD"</f>
        <v>RAZIMAH ANSAR AHMAD</v>
      </c>
      <c r="Y3783" t="str">
        <f t="shared" ref="Y3783:Y3846" si="1558">"04-08-2020"</f>
        <v>04-08-2020</v>
      </c>
      <c r="Z3783" t="str">
        <f>"COS10200804 5771"</f>
        <v>COS10200804 5771</v>
      </c>
    </row>
    <row r="3784" spans="1:26" x14ac:dyDescent="0.25">
      <c r="A3784" t="str">
        <f t="shared" si="1542"/>
        <v>04-08-2020 12:56:11</v>
      </c>
      <c r="B3784" t="str">
        <f>"0000807157"</f>
        <v>0000807157</v>
      </c>
      <c r="C3784" t="str">
        <f t="shared" si="1543"/>
        <v>0000806987</v>
      </c>
      <c r="D3784" t="str">
        <f t="shared" si="1546"/>
        <v>73185</v>
      </c>
      <c r="E3784" t="str">
        <f t="shared" si="1547"/>
        <v>KFH-OPERATIONS DEPARTMENT</v>
      </c>
      <c r="F3784" t="str">
        <f t="shared" si="1548"/>
        <v>IBG</v>
      </c>
      <c r="G3784" t="str">
        <f t="shared" si="1534"/>
        <v>Refund COSHARE 10</v>
      </c>
      <c r="H3784" s="2">
        <v>114</v>
      </c>
      <c r="I3784" t="str">
        <f>"MOHD NIZAM BIN MOHD NOOR"</f>
        <v>MOHD NIZAM BIN MOHD NOOR</v>
      </c>
      <c r="J3784" t="str">
        <f t="shared" si="1537"/>
        <v>MAYBANK / MAYBANK ISLAMIC</v>
      </c>
      <c r="K3784" t="str">
        <f>"152023034631"</f>
        <v>152023034631</v>
      </c>
      <c r="L3784" t="str">
        <f t="shared" si="1544"/>
        <v>04-08-2020</v>
      </c>
      <c r="M3784" t="str">
        <f t="shared" si="1544"/>
        <v>04-08-2020</v>
      </c>
      <c r="N3784" t="str">
        <f t="shared" si="1549"/>
        <v>001105018356</v>
      </c>
      <c r="O3784" t="str">
        <f t="shared" si="1550"/>
        <v>MYR</v>
      </c>
      <c r="P3784" t="str">
        <f t="shared" si="1545"/>
        <v>NIL</v>
      </c>
      <c r="Q3784" t="str">
        <f t="shared" si="1545"/>
        <v>NIL</v>
      </c>
      <c r="R3784" t="str">
        <f t="shared" si="1551"/>
        <v>Accepted</v>
      </c>
      <c r="S3784" t="str">
        <f t="shared" si="1552"/>
        <v>Approved</v>
      </c>
      <c r="T3784" t="str">
        <f t="shared" si="1553"/>
        <v>10.20.8.188</v>
      </c>
      <c r="U3784" t="str">
        <f t="shared" si="1554"/>
        <v>AZRAD UMAR BIN SHAARI</v>
      </c>
      <c r="V3784" t="str">
        <f t="shared" si="1555"/>
        <v>FARHANA BINTI MUSTAPA</v>
      </c>
      <c r="W3784" t="str">
        <f t="shared" si="1556"/>
        <v>04-08-2020</v>
      </c>
      <c r="X3784" t="str">
        <f t="shared" si="1557"/>
        <v>RAZIMAH ANSAR AHMAD</v>
      </c>
      <c r="Y3784" t="str">
        <f t="shared" si="1558"/>
        <v>04-08-2020</v>
      </c>
      <c r="Z3784" t="str">
        <f>"COS10200804 5770"</f>
        <v>COS10200804 5770</v>
      </c>
    </row>
    <row r="3785" spans="1:26" x14ac:dyDescent="0.25">
      <c r="A3785" t="str">
        <f t="shared" si="1542"/>
        <v>04-08-2020 12:56:11</v>
      </c>
      <c r="B3785" t="str">
        <f>"0000807156"</f>
        <v>0000807156</v>
      </c>
      <c r="C3785" t="str">
        <f t="shared" si="1543"/>
        <v>0000806987</v>
      </c>
      <c r="D3785" t="str">
        <f t="shared" si="1546"/>
        <v>73185</v>
      </c>
      <c r="E3785" t="str">
        <f t="shared" si="1547"/>
        <v>KFH-OPERATIONS DEPARTMENT</v>
      </c>
      <c r="F3785" t="str">
        <f t="shared" si="1548"/>
        <v>IBG</v>
      </c>
      <c r="G3785" t="str">
        <f t="shared" si="1534"/>
        <v>Refund COSHARE 10</v>
      </c>
      <c r="H3785" s="2">
        <v>125.95</v>
      </c>
      <c r="I3785" t="str">
        <f>"MOHD NAZRI BIN ROSLI"</f>
        <v>MOHD NAZRI BIN ROSLI</v>
      </c>
      <c r="J3785" t="str">
        <f t="shared" si="1537"/>
        <v>MAYBANK / MAYBANK ISLAMIC</v>
      </c>
      <c r="K3785" t="str">
        <f>"153010379899"</f>
        <v>153010379899</v>
      </c>
      <c r="L3785" t="str">
        <f t="shared" si="1544"/>
        <v>04-08-2020</v>
      </c>
      <c r="M3785" t="str">
        <f t="shared" si="1544"/>
        <v>04-08-2020</v>
      </c>
      <c r="N3785" t="str">
        <f t="shared" si="1549"/>
        <v>001105018356</v>
      </c>
      <c r="O3785" t="str">
        <f t="shared" si="1550"/>
        <v>MYR</v>
      </c>
      <c r="P3785" t="str">
        <f t="shared" si="1545"/>
        <v>NIL</v>
      </c>
      <c r="Q3785" t="str">
        <f t="shared" si="1545"/>
        <v>NIL</v>
      </c>
      <c r="R3785" t="str">
        <f t="shared" si="1551"/>
        <v>Accepted</v>
      </c>
      <c r="S3785" t="str">
        <f t="shared" si="1552"/>
        <v>Approved</v>
      </c>
      <c r="T3785" t="str">
        <f t="shared" si="1553"/>
        <v>10.20.8.188</v>
      </c>
      <c r="U3785" t="str">
        <f t="shared" si="1554"/>
        <v>AZRAD UMAR BIN SHAARI</v>
      </c>
      <c r="V3785" t="str">
        <f t="shared" si="1555"/>
        <v>FARHANA BINTI MUSTAPA</v>
      </c>
      <c r="W3785" t="str">
        <f t="shared" si="1556"/>
        <v>04-08-2020</v>
      </c>
      <c r="X3785" t="str">
        <f t="shared" si="1557"/>
        <v>RAZIMAH ANSAR AHMAD</v>
      </c>
      <c r="Y3785" t="str">
        <f t="shared" si="1558"/>
        <v>04-08-2020</v>
      </c>
      <c r="Z3785" t="str">
        <f>"COS10200804 5769"</f>
        <v>COS10200804 5769</v>
      </c>
    </row>
    <row r="3786" spans="1:26" x14ac:dyDescent="0.25">
      <c r="A3786" t="str">
        <f t="shared" ref="A3786:A3817" si="1559">"04-08-2020 12:56:11"</f>
        <v>04-08-2020 12:56:11</v>
      </c>
      <c r="B3786" t="str">
        <f>"0000807155"</f>
        <v>0000807155</v>
      </c>
      <c r="C3786" t="str">
        <f t="shared" ref="C3786:C3817" si="1560">"0000806987"</f>
        <v>0000806987</v>
      </c>
      <c r="D3786" t="str">
        <f t="shared" si="1546"/>
        <v>73185</v>
      </c>
      <c r="E3786" t="str">
        <f t="shared" si="1547"/>
        <v>KFH-OPERATIONS DEPARTMENT</v>
      </c>
      <c r="F3786" t="str">
        <f t="shared" si="1548"/>
        <v>IBG</v>
      </c>
      <c r="G3786" t="str">
        <f t="shared" si="1534"/>
        <v>Refund COSHARE 10</v>
      </c>
      <c r="H3786" s="2">
        <v>42</v>
      </c>
      <c r="I3786" t="str">
        <f>"MOHD NAZRI BIN MOHD SENAWI"</f>
        <v>MOHD NAZRI BIN MOHD SENAWI</v>
      </c>
      <c r="J3786" t="str">
        <f t="shared" si="1537"/>
        <v>MAYBANK / MAYBANK ISLAMIC</v>
      </c>
      <c r="K3786" t="str">
        <f>"151071185498"</f>
        <v>151071185498</v>
      </c>
      <c r="L3786" t="str">
        <f t="shared" si="1544"/>
        <v>04-08-2020</v>
      </c>
      <c r="M3786" t="str">
        <f t="shared" si="1544"/>
        <v>04-08-2020</v>
      </c>
      <c r="N3786" t="str">
        <f t="shared" si="1549"/>
        <v>001105018356</v>
      </c>
      <c r="O3786" t="str">
        <f t="shared" si="1550"/>
        <v>MYR</v>
      </c>
      <c r="P3786" t="str">
        <f t="shared" si="1545"/>
        <v>NIL</v>
      </c>
      <c r="Q3786" t="str">
        <f t="shared" si="1545"/>
        <v>NIL</v>
      </c>
      <c r="R3786" t="str">
        <f t="shared" si="1551"/>
        <v>Accepted</v>
      </c>
      <c r="S3786" t="str">
        <f t="shared" si="1552"/>
        <v>Approved</v>
      </c>
      <c r="T3786" t="str">
        <f t="shared" si="1553"/>
        <v>10.20.8.188</v>
      </c>
      <c r="U3786" t="str">
        <f t="shared" si="1554"/>
        <v>AZRAD UMAR BIN SHAARI</v>
      </c>
      <c r="V3786" t="str">
        <f t="shared" si="1555"/>
        <v>FARHANA BINTI MUSTAPA</v>
      </c>
      <c r="W3786" t="str">
        <f t="shared" si="1556"/>
        <v>04-08-2020</v>
      </c>
      <c r="X3786" t="str">
        <f t="shared" si="1557"/>
        <v>RAZIMAH ANSAR AHMAD</v>
      </c>
      <c r="Y3786" t="str">
        <f t="shared" si="1558"/>
        <v>04-08-2020</v>
      </c>
      <c r="Z3786" t="str">
        <f>"COS10200804 5768"</f>
        <v>COS10200804 5768</v>
      </c>
    </row>
    <row r="3787" spans="1:26" x14ac:dyDescent="0.25">
      <c r="A3787" t="str">
        <f t="shared" si="1559"/>
        <v>04-08-2020 12:56:11</v>
      </c>
      <c r="B3787" t="str">
        <f>"0000807154"</f>
        <v>0000807154</v>
      </c>
      <c r="C3787" t="str">
        <f t="shared" si="1560"/>
        <v>0000806987</v>
      </c>
      <c r="D3787" t="str">
        <f t="shared" si="1546"/>
        <v>73185</v>
      </c>
      <c r="E3787" t="str">
        <f t="shared" si="1547"/>
        <v>KFH-OPERATIONS DEPARTMENT</v>
      </c>
      <c r="F3787" t="str">
        <f t="shared" si="1548"/>
        <v>IBG</v>
      </c>
      <c r="G3787" t="str">
        <f t="shared" si="1534"/>
        <v>Refund COSHARE 10</v>
      </c>
      <c r="H3787" s="2">
        <v>1679</v>
      </c>
      <c r="I3787" t="str">
        <f>"MOHD NAZRI BIN MOHD RAMLI"</f>
        <v>MOHD NAZRI BIN MOHD RAMLI</v>
      </c>
      <c r="J3787" t="str">
        <f t="shared" si="1537"/>
        <v>MAYBANK / MAYBANK ISLAMIC</v>
      </c>
      <c r="K3787" t="str">
        <f>"158154211910"</f>
        <v>158154211910</v>
      </c>
      <c r="L3787" t="str">
        <f t="shared" ref="L3787:M3806" si="1561">"04-08-2020"</f>
        <v>04-08-2020</v>
      </c>
      <c r="M3787" t="str">
        <f t="shared" si="1561"/>
        <v>04-08-2020</v>
      </c>
      <c r="N3787" t="str">
        <f t="shared" si="1549"/>
        <v>001105018356</v>
      </c>
      <c r="O3787" t="str">
        <f t="shared" si="1550"/>
        <v>MYR</v>
      </c>
      <c r="P3787" t="str">
        <f t="shared" ref="P3787:Q3806" si="1562">"NIL"</f>
        <v>NIL</v>
      </c>
      <c r="Q3787" t="str">
        <f t="shared" si="1562"/>
        <v>NIL</v>
      </c>
      <c r="R3787" t="str">
        <f t="shared" si="1551"/>
        <v>Accepted</v>
      </c>
      <c r="S3787" t="str">
        <f t="shared" si="1552"/>
        <v>Approved</v>
      </c>
      <c r="T3787" t="str">
        <f t="shared" si="1553"/>
        <v>10.20.8.188</v>
      </c>
      <c r="U3787" t="str">
        <f t="shared" si="1554"/>
        <v>AZRAD UMAR BIN SHAARI</v>
      </c>
      <c r="V3787" t="str">
        <f t="shared" si="1555"/>
        <v>FARHANA BINTI MUSTAPA</v>
      </c>
      <c r="W3787" t="str">
        <f t="shared" si="1556"/>
        <v>04-08-2020</v>
      </c>
      <c r="X3787" t="str">
        <f t="shared" si="1557"/>
        <v>RAZIMAH ANSAR AHMAD</v>
      </c>
      <c r="Y3787" t="str">
        <f t="shared" si="1558"/>
        <v>04-08-2020</v>
      </c>
      <c r="Z3787" t="str">
        <f>"COS10200804 5767"</f>
        <v>COS10200804 5767</v>
      </c>
    </row>
    <row r="3788" spans="1:26" x14ac:dyDescent="0.25">
      <c r="A3788" t="str">
        <f t="shared" si="1559"/>
        <v>04-08-2020 12:56:11</v>
      </c>
      <c r="B3788" t="str">
        <f>"0000807153"</f>
        <v>0000807153</v>
      </c>
      <c r="C3788" t="str">
        <f t="shared" si="1560"/>
        <v>0000806987</v>
      </c>
      <c r="D3788" t="str">
        <f t="shared" si="1546"/>
        <v>73185</v>
      </c>
      <c r="E3788" t="str">
        <f t="shared" si="1547"/>
        <v>KFH-OPERATIONS DEPARTMENT</v>
      </c>
      <c r="F3788" t="str">
        <f t="shared" si="1548"/>
        <v>IBG</v>
      </c>
      <c r="G3788" t="str">
        <f t="shared" ref="G3788:G3851" si="1563">"Refund COSHARE 10"</f>
        <v>Refund COSHARE 10</v>
      </c>
      <c r="H3788" s="2">
        <v>327</v>
      </c>
      <c r="I3788" t="str">
        <f>"MOHD NAZRI BIN MOHD NOOR"</f>
        <v>MOHD NAZRI BIN MOHD NOOR</v>
      </c>
      <c r="J3788" t="str">
        <f t="shared" si="1537"/>
        <v>MAYBANK / MAYBANK ISLAMIC</v>
      </c>
      <c r="K3788" t="str">
        <f>"155014945812"</f>
        <v>155014945812</v>
      </c>
      <c r="L3788" t="str">
        <f t="shared" si="1561"/>
        <v>04-08-2020</v>
      </c>
      <c r="M3788" t="str">
        <f t="shared" si="1561"/>
        <v>04-08-2020</v>
      </c>
      <c r="N3788" t="str">
        <f t="shared" si="1549"/>
        <v>001105018356</v>
      </c>
      <c r="O3788" t="str">
        <f t="shared" si="1550"/>
        <v>MYR</v>
      </c>
      <c r="P3788" t="str">
        <f t="shared" si="1562"/>
        <v>NIL</v>
      </c>
      <c r="Q3788" t="str">
        <f t="shared" si="1562"/>
        <v>NIL</v>
      </c>
      <c r="R3788" t="str">
        <f t="shared" si="1551"/>
        <v>Accepted</v>
      </c>
      <c r="S3788" t="str">
        <f t="shared" si="1552"/>
        <v>Approved</v>
      </c>
      <c r="T3788" t="str">
        <f t="shared" si="1553"/>
        <v>10.20.8.188</v>
      </c>
      <c r="U3788" t="str">
        <f t="shared" si="1554"/>
        <v>AZRAD UMAR BIN SHAARI</v>
      </c>
      <c r="V3788" t="str">
        <f t="shared" si="1555"/>
        <v>FARHANA BINTI MUSTAPA</v>
      </c>
      <c r="W3788" t="str">
        <f t="shared" si="1556"/>
        <v>04-08-2020</v>
      </c>
      <c r="X3788" t="str">
        <f t="shared" si="1557"/>
        <v>RAZIMAH ANSAR AHMAD</v>
      </c>
      <c r="Y3788" t="str">
        <f t="shared" si="1558"/>
        <v>04-08-2020</v>
      </c>
      <c r="Z3788" t="str">
        <f>"COS10200804 5766"</f>
        <v>COS10200804 5766</v>
      </c>
    </row>
    <row r="3789" spans="1:26" x14ac:dyDescent="0.25">
      <c r="A3789" t="str">
        <f t="shared" si="1559"/>
        <v>04-08-2020 12:56:11</v>
      </c>
      <c r="B3789" t="str">
        <f>"0000807152"</f>
        <v>0000807152</v>
      </c>
      <c r="C3789" t="str">
        <f t="shared" si="1560"/>
        <v>0000806987</v>
      </c>
      <c r="D3789" t="str">
        <f t="shared" si="1546"/>
        <v>73185</v>
      </c>
      <c r="E3789" t="str">
        <f t="shared" si="1547"/>
        <v>KFH-OPERATIONS DEPARTMENT</v>
      </c>
      <c r="F3789" t="str">
        <f t="shared" si="1548"/>
        <v>IBG</v>
      </c>
      <c r="G3789" t="str">
        <f t="shared" si="1563"/>
        <v>Refund COSHARE 10</v>
      </c>
      <c r="H3789" s="2">
        <v>167.9</v>
      </c>
      <c r="I3789" t="str">
        <f>"MOHD NAZRI BIN MOHAMAD"</f>
        <v>MOHD NAZRI BIN MOHAMAD</v>
      </c>
      <c r="J3789" t="str">
        <f t="shared" si="1537"/>
        <v>MAYBANK / MAYBANK ISLAMIC</v>
      </c>
      <c r="K3789" t="str">
        <f>"160036828788"</f>
        <v>160036828788</v>
      </c>
      <c r="L3789" t="str">
        <f t="shared" si="1561"/>
        <v>04-08-2020</v>
      </c>
      <c r="M3789" t="str">
        <f t="shared" si="1561"/>
        <v>04-08-2020</v>
      </c>
      <c r="N3789" t="str">
        <f t="shared" si="1549"/>
        <v>001105018356</v>
      </c>
      <c r="O3789" t="str">
        <f t="shared" si="1550"/>
        <v>MYR</v>
      </c>
      <c r="P3789" t="str">
        <f t="shared" si="1562"/>
        <v>NIL</v>
      </c>
      <c r="Q3789" t="str">
        <f t="shared" si="1562"/>
        <v>NIL</v>
      </c>
      <c r="R3789" t="str">
        <f t="shared" si="1551"/>
        <v>Accepted</v>
      </c>
      <c r="S3789" t="str">
        <f t="shared" si="1552"/>
        <v>Approved</v>
      </c>
      <c r="T3789" t="str">
        <f t="shared" si="1553"/>
        <v>10.20.8.188</v>
      </c>
      <c r="U3789" t="str">
        <f t="shared" si="1554"/>
        <v>AZRAD UMAR BIN SHAARI</v>
      </c>
      <c r="V3789" t="str">
        <f t="shared" si="1555"/>
        <v>FARHANA BINTI MUSTAPA</v>
      </c>
      <c r="W3789" t="str">
        <f t="shared" si="1556"/>
        <v>04-08-2020</v>
      </c>
      <c r="X3789" t="str">
        <f t="shared" si="1557"/>
        <v>RAZIMAH ANSAR AHMAD</v>
      </c>
      <c r="Y3789" t="str">
        <f t="shared" si="1558"/>
        <v>04-08-2020</v>
      </c>
      <c r="Z3789" t="str">
        <f>"COS10200804 5765"</f>
        <v>COS10200804 5765</v>
      </c>
    </row>
    <row r="3790" spans="1:26" x14ac:dyDescent="0.25">
      <c r="A3790" t="str">
        <f t="shared" si="1559"/>
        <v>04-08-2020 12:56:11</v>
      </c>
      <c r="B3790" t="str">
        <f>"0000807151"</f>
        <v>0000807151</v>
      </c>
      <c r="C3790" t="str">
        <f t="shared" si="1560"/>
        <v>0000806987</v>
      </c>
      <c r="D3790" t="str">
        <f t="shared" si="1546"/>
        <v>73185</v>
      </c>
      <c r="E3790" t="str">
        <f t="shared" si="1547"/>
        <v>KFH-OPERATIONS DEPARTMENT</v>
      </c>
      <c r="F3790" t="str">
        <f t="shared" si="1548"/>
        <v>IBG</v>
      </c>
      <c r="G3790" t="str">
        <f t="shared" si="1563"/>
        <v>Refund COSHARE 10</v>
      </c>
      <c r="H3790" s="2">
        <v>856.3</v>
      </c>
      <c r="I3790" t="str">
        <f>"MOHD NAZIR BIN PUNGOT"</f>
        <v>MOHD NAZIR BIN PUNGOT</v>
      </c>
      <c r="J3790" t="str">
        <f t="shared" si="1537"/>
        <v>MAYBANK / MAYBANK ISLAMIC</v>
      </c>
      <c r="K3790" t="str">
        <f>"111114107145"</f>
        <v>111114107145</v>
      </c>
      <c r="L3790" t="str">
        <f t="shared" si="1561"/>
        <v>04-08-2020</v>
      </c>
      <c r="M3790" t="str">
        <f t="shared" si="1561"/>
        <v>04-08-2020</v>
      </c>
      <c r="N3790" t="str">
        <f t="shared" si="1549"/>
        <v>001105018356</v>
      </c>
      <c r="O3790" t="str">
        <f t="shared" si="1550"/>
        <v>MYR</v>
      </c>
      <c r="P3790" t="str">
        <f t="shared" si="1562"/>
        <v>NIL</v>
      </c>
      <c r="Q3790" t="str">
        <f t="shared" si="1562"/>
        <v>NIL</v>
      </c>
      <c r="R3790" t="str">
        <f t="shared" si="1551"/>
        <v>Accepted</v>
      </c>
      <c r="S3790" t="str">
        <f t="shared" si="1552"/>
        <v>Approved</v>
      </c>
      <c r="T3790" t="str">
        <f t="shared" si="1553"/>
        <v>10.20.8.188</v>
      </c>
      <c r="U3790" t="str">
        <f t="shared" si="1554"/>
        <v>AZRAD UMAR BIN SHAARI</v>
      </c>
      <c r="V3790" t="str">
        <f t="shared" si="1555"/>
        <v>FARHANA BINTI MUSTAPA</v>
      </c>
      <c r="W3790" t="str">
        <f t="shared" si="1556"/>
        <v>04-08-2020</v>
      </c>
      <c r="X3790" t="str">
        <f t="shared" si="1557"/>
        <v>RAZIMAH ANSAR AHMAD</v>
      </c>
      <c r="Y3790" t="str">
        <f t="shared" si="1558"/>
        <v>04-08-2020</v>
      </c>
      <c r="Z3790" t="str">
        <f>"COS10200804 5764"</f>
        <v>COS10200804 5764</v>
      </c>
    </row>
    <row r="3791" spans="1:26" x14ac:dyDescent="0.25">
      <c r="A3791" t="str">
        <f t="shared" si="1559"/>
        <v>04-08-2020 12:56:11</v>
      </c>
      <c r="B3791" t="str">
        <f>"0000807150"</f>
        <v>0000807150</v>
      </c>
      <c r="C3791" t="str">
        <f t="shared" si="1560"/>
        <v>0000806987</v>
      </c>
      <c r="D3791" t="str">
        <f t="shared" si="1546"/>
        <v>73185</v>
      </c>
      <c r="E3791" t="str">
        <f t="shared" si="1547"/>
        <v>KFH-OPERATIONS DEPARTMENT</v>
      </c>
      <c r="F3791" t="str">
        <f t="shared" si="1548"/>
        <v>IBG</v>
      </c>
      <c r="G3791" t="str">
        <f t="shared" si="1563"/>
        <v>Refund COSHARE 10</v>
      </c>
      <c r="H3791" s="2">
        <v>337.8</v>
      </c>
      <c r="I3791" t="str">
        <f>"MOHD NAZIM BIN MOHAMED IDERUS"</f>
        <v>MOHD NAZIM BIN MOHAMED IDERUS</v>
      </c>
      <c r="J3791" t="str">
        <f t="shared" si="1537"/>
        <v>MAYBANK / MAYBANK ISLAMIC</v>
      </c>
      <c r="K3791" t="str">
        <f>"156132017677"</f>
        <v>156132017677</v>
      </c>
      <c r="L3791" t="str">
        <f t="shared" si="1561"/>
        <v>04-08-2020</v>
      </c>
      <c r="M3791" t="str">
        <f t="shared" si="1561"/>
        <v>04-08-2020</v>
      </c>
      <c r="N3791" t="str">
        <f t="shared" si="1549"/>
        <v>001105018356</v>
      </c>
      <c r="O3791" t="str">
        <f t="shared" si="1550"/>
        <v>MYR</v>
      </c>
      <c r="P3791" t="str">
        <f t="shared" si="1562"/>
        <v>NIL</v>
      </c>
      <c r="Q3791" t="str">
        <f t="shared" si="1562"/>
        <v>NIL</v>
      </c>
      <c r="R3791" t="str">
        <f t="shared" si="1551"/>
        <v>Accepted</v>
      </c>
      <c r="S3791" t="str">
        <f t="shared" si="1552"/>
        <v>Approved</v>
      </c>
      <c r="T3791" t="str">
        <f t="shared" si="1553"/>
        <v>10.20.8.188</v>
      </c>
      <c r="U3791" t="str">
        <f t="shared" si="1554"/>
        <v>AZRAD UMAR BIN SHAARI</v>
      </c>
      <c r="V3791" t="str">
        <f t="shared" si="1555"/>
        <v>FARHANA BINTI MUSTAPA</v>
      </c>
      <c r="W3791" t="str">
        <f t="shared" si="1556"/>
        <v>04-08-2020</v>
      </c>
      <c r="X3791" t="str">
        <f t="shared" si="1557"/>
        <v>RAZIMAH ANSAR AHMAD</v>
      </c>
      <c r="Y3791" t="str">
        <f t="shared" si="1558"/>
        <v>04-08-2020</v>
      </c>
      <c r="Z3791" t="str">
        <f>"COS10200804 5763"</f>
        <v>COS10200804 5763</v>
      </c>
    </row>
    <row r="3792" spans="1:26" x14ac:dyDescent="0.25">
      <c r="A3792" t="str">
        <f t="shared" si="1559"/>
        <v>04-08-2020 12:56:11</v>
      </c>
      <c r="B3792" t="str">
        <f>"0000807149"</f>
        <v>0000807149</v>
      </c>
      <c r="C3792" t="str">
        <f t="shared" si="1560"/>
        <v>0000806987</v>
      </c>
      <c r="D3792" t="str">
        <f t="shared" si="1546"/>
        <v>73185</v>
      </c>
      <c r="E3792" t="str">
        <f t="shared" si="1547"/>
        <v>KFH-OPERATIONS DEPARTMENT</v>
      </c>
      <c r="F3792" t="str">
        <f t="shared" si="1548"/>
        <v>IBG</v>
      </c>
      <c r="G3792" t="str">
        <f t="shared" si="1563"/>
        <v>Refund COSHARE 10</v>
      </c>
      <c r="H3792" s="2">
        <v>1176</v>
      </c>
      <c r="I3792" t="str">
        <f>"MOHD NAZEROL BIN SHAMSUDDIN"</f>
        <v>MOHD NAZEROL BIN SHAMSUDDIN</v>
      </c>
      <c r="J3792" t="str">
        <f t="shared" si="1537"/>
        <v>MAYBANK / MAYBANK ISLAMIC</v>
      </c>
      <c r="K3792" t="str">
        <f>"158154272892"</f>
        <v>158154272892</v>
      </c>
      <c r="L3792" t="str">
        <f t="shared" si="1561"/>
        <v>04-08-2020</v>
      </c>
      <c r="M3792" t="str">
        <f t="shared" si="1561"/>
        <v>04-08-2020</v>
      </c>
      <c r="N3792" t="str">
        <f t="shared" si="1549"/>
        <v>001105018356</v>
      </c>
      <c r="O3792" t="str">
        <f t="shared" si="1550"/>
        <v>MYR</v>
      </c>
      <c r="P3792" t="str">
        <f t="shared" si="1562"/>
        <v>NIL</v>
      </c>
      <c r="Q3792" t="str">
        <f t="shared" si="1562"/>
        <v>NIL</v>
      </c>
      <c r="R3792" t="str">
        <f t="shared" si="1551"/>
        <v>Accepted</v>
      </c>
      <c r="S3792" t="str">
        <f t="shared" si="1552"/>
        <v>Approved</v>
      </c>
      <c r="T3792" t="str">
        <f t="shared" si="1553"/>
        <v>10.20.8.188</v>
      </c>
      <c r="U3792" t="str">
        <f t="shared" si="1554"/>
        <v>AZRAD UMAR BIN SHAARI</v>
      </c>
      <c r="V3792" t="str">
        <f t="shared" si="1555"/>
        <v>FARHANA BINTI MUSTAPA</v>
      </c>
      <c r="W3792" t="str">
        <f t="shared" si="1556"/>
        <v>04-08-2020</v>
      </c>
      <c r="X3792" t="str">
        <f t="shared" si="1557"/>
        <v>RAZIMAH ANSAR AHMAD</v>
      </c>
      <c r="Y3792" t="str">
        <f t="shared" si="1558"/>
        <v>04-08-2020</v>
      </c>
      <c r="Z3792" t="str">
        <f>"COS10200804 5762"</f>
        <v>COS10200804 5762</v>
      </c>
    </row>
    <row r="3793" spans="1:26" x14ac:dyDescent="0.25">
      <c r="A3793" t="str">
        <f t="shared" si="1559"/>
        <v>04-08-2020 12:56:11</v>
      </c>
      <c r="B3793" t="str">
        <f>"0000807148"</f>
        <v>0000807148</v>
      </c>
      <c r="C3793" t="str">
        <f t="shared" si="1560"/>
        <v>0000806987</v>
      </c>
      <c r="D3793" t="str">
        <f t="shared" si="1546"/>
        <v>73185</v>
      </c>
      <c r="E3793" t="str">
        <f t="shared" si="1547"/>
        <v>KFH-OPERATIONS DEPARTMENT</v>
      </c>
      <c r="F3793" t="str">
        <f t="shared" si="1548"/>
        <v>IBG</v>
      </c>
      <c r="G3793" t="str">
        <f t="shared" si="1563"/>
        <v>Refund COSHARE 10</v>
      </c>
      <c r="H3793" s="2">
        <v>646.5</v>
      </c>
      <c r="I3793" t="str">
        <f>"MOHD NAZARUDDIN BIN MOHD NOH"</f>
        <v>MOHD NAZARUDDIN BIN MOHD NOH</v>
      </c>
      <c r="J3793" t="str">
        <f t="shared" ref="J3793:J3856" si="1564">"MAYBANK / MAYBANK ISLAMIC"</f>
        <v>MAYBANK / MAYBANK ISLAMIC</v>
      </c>
      <c r="K3793" t="str">
        <f>"151212202392"</f>
        <v>151212202392</v>
      </c>
      <c r="L3793" t="str">
        <f t="shared" si="1561"/>
        <v>04-08-2020</v>
      </c>
      <c r="M3793" t="str">
        <f t="shared" si="1561"/>
        <v>04-08-2020</v>
      </c>
      <c r="N3793" t="str">
        <f t="shared" si="1549"/>
        <v>001105018356</v>
      </c>
      <c r="O3793" t="str">
        <f t="shared" si="1550"/>
        <v>MYR</v>
      </c>
      <c r="P3793" t="str">
        <f t="shared" si="1562"/>
        <v>NIL</v>
      </c>
      <c r="Q3793" t="str">
        <f t="shared" si="1562"/>
        <v>NIL</v>
      </c>
      <c r="R3793" t="str">
        <f t="shared" si="1551"/>
        <v>Accepted</v>
      </c>
      <c r="S3793" t="str">
        <f t="shared" si="1552"/>
        <v>Approved</v>
      </c>
      <c r="T3793" t="str">
        <f t="shared" si="1553"/>
        <v>10.20.8.188</v>
      </c>
      <c r="U3793" t="str">
        <f t="shared" si="1554"/>
        <v>AZRAD UMAR BIN SHAARI</v>
      </c>
      <c r="V3793" t="str">
        <f t="shared" si="1555"/>
        <v>FARHANA BINTI MUSTAPA</v>
      </c>
      <c r="W3793" t="str">
        <f t="shared" si="1556"/>
        <v>04-08-2020</v>
      </c>
      <c r="X3793" t="str">
        <f t="shared" si="1557"/>
        <v>RAZIMAH ANSAR AHMAD</v>
      </c>
      <c r="Y3793" t="str">
        <f t="shared" si="1558"/>
        <v>04-08-2020</v>
      </c>
      <c r="Z3793" t="str">
        <f>"COS10200804 5761"</f>
        <v>COS10200804 5761</v>
      </c>
    </row>
    <row r="3794" spans="1:26" x14ac:dyDescent="0.25">
      <c r="A3794" t="str">
        <f t="shared" si="1559"/>
        <v>04-08-2020 12:56:11</v>
      </c>
      <c r="B3794" t="str">
        <f>"0000807147"</f>
        <v>0000807147</v>
      </c>
      <c r="C3794" t="str">
        <f t="shared" si="1560"/>
        <v>0000806987</v>
      </c>
      <c r="D3794" t="str">
        <f t="shared" si="1546"/>
        <v>73185</v>
      </c>
      <c r="E3794" t="str">
        <f t="shared" si="1547"/>
        <v>KFH-OPERATIONS DEPARTMENT</v>
      </c>
      <c r="F3794" t="str">
        <f t="shared" si="1548"/>
        <v>IBG</v>
      </c>
      <c r="G3794" t="str">
        <f t="shared" si="1563"/>
        <v>Refund COSHARE 10</v>
      </c>
      <c r="H3794" s="2">
        <v>839.5</v>
      </c>
      <c r="I3794" t="str">
        <f>"MOHD NAZARUDDIN BIN ISMAIL"</f>
        <v>MOHD NAZARUDDIN BIN ISMAIL</v>
      </c>
      <c r="J3794" t="str">
        <f t="shared" si="1564"/>
        <v>MAYBANK / MAYBANK ISLAMIC</v>
      </c>
      <c r="K3794" t="str">
        <f>"112044778591"</f>
        <v>112044778591</v>
      </c>
      <c r="L3794" t="str">
        <f t="shared" si="1561"/>
        <v>04-08-2020</v>
      </c>
      <c r="M3794" t="str">
        <f t="shared" si="1561"/>
        <v>04-08-2020</v>
      </c>
      <c r="N3794" t="str">
        <f t="shared" si="1549"/>
        <v>001105018356</v>
      </c>
      <c r="O3794" t="str">
        <f t="shared" si="1550"/>
        <v>MYR</v>
      </c>
      <c r="P3794" t="str">
        <f t="shared" si="1562"/>
        <v>NIL</v>
      </c>
      <c r="Q3794" t="str">
        <f t="shared" si="1562"/>
        <v>NIL</v>
      </c>
      <c r="R3794" t="str">
        <f t="shared" si="1551"/>
        <v>Accepted</v>
      </c>
      <c r="S3794" t="str">
        <f t="shared" si="1552"/>
        <v>Approved</v>
      </c>
      <c r="T3794" t="str">
        <f t="shared" si="1553"/>
        <v>10.20.8.188</v>
      </c>
      <c r="U3794" t="str">
        <f t="shared" si="1554"/>
        <v>AZRAD UMAR BIN SHAARI</v>
      </c>
      <c r="V3794" t="str">
        <f t="shared" si="1555"/>
        <v>FARHANA BINTI MUSTAPA</v>
      </c>
      <c r="W3794" t="str">
        <f t="shared" si="1556"/>
        <v>04-08-2020</v>
      </c>
      <c r="X3794" t="str">
        <f t="shared" si="1557"/>
        <v>RAZIMAH ANSAR AHMAD</v>
      </c>
      <c r="Y3794" t="str">
        <f t="shared" si="1558"/>
        <v>04-08-2020</v>
      </c>
      <c r="Z3794" t="str">
        <f>"COS10200804 5760"</f>
        <v>COS10200804 5760</v>
      </c>
    </row>
    <row r="3795" spans="1:26" x14ac:dyDescent="0.25">
      <c r="A3795" t="str">
        <f t="shared" si="1559"/>
        <v>04-08-2020 12:56:11</v>
      </c>
      <c r="B3795" t="str">
        <f>"0000807146"</f>
        <v>0000807146</v>
      </c>
      <c r="C3795" t="str">
        <f t="shared" si="1560"/>
        <v>0000806987</v>
      </c>
      <c r="D3795" t="str">
        <f t="shared" si="1546"/>
        <v>73185</v>
      </c>
      <c r="E3795" t="str">
        <f t="shared" si="1547"/>
        <v>KFH-OPERATIONS DEPARTMENT</v>
      </c>
      <c r="F3795" t="str">
        <f t="shared" si="1548"/>
        <v>IBG</v>
      </c>
      <c r="G3795" t="str">
        <f t="shared" si="1563"/>
        <v>Refund COSHARE 10</v>
      </c>
      <c r="H3795" s="2">
        <v>671.6</v>
      </c>
      <c r="I3795" t="str">
        <f>"MOHD NAZAM BIN MANJA"</f>
        <v>MOHD NAZAM BIN MANJA</v>
      </c>
      <c r="J3795" t="str">
        <f t="shared" si="1564"/>
        <v>MAYBANK / MAYBANK ISLAMIC</v>
      </c>
      <c r="K3795" t="str">
        <f>"156020291376"</f>
        <v>156020291376</v>
      </c>
      <c r="L3795" t="str">
        <f t="shared" si="1561"/>
        <v>04-08-2020</v>
      </c>
      <c r="M3795" t="str">
        <f t="shared" si="1561"/>
        <v>04-08-2020</v>
      </c>
      <c r="N3795" t="str">
        <f t="shared" si="1549"/>
        <v>001105018356</v>
      </c>
      <c r="O3795" t="str">
        <f t="shared" si="1550"/>
        <v>MYR</v>
      </c>
      <c r="P3795" t="str">
        <f t="shared" si="1562"/>
        <v>NIL</v>
      </c>
      <c r="Q3795" t="str">
        <f t="shared" si="1562"/>
        <v>NIL</v>
      </c>
      <c r="R3795" t="str">
        <f t="shared" si="1551"/>
        <v>Accepted</v>
      </c>
      <c r="S3795" t="str">
        <f t="shared" si="1552"/>
        <v>Approved</v>
      </c>
      <c r="T3795" t="str">
        <f t="shared" si="1553"/>
        <v>10.20.8.188</v>
      </c>
      <c r="U3795" t="str">
        <f t="shared" si="1554"/>
        <v>AZRAD UMAR BIN SHAARI</v>
      </c>
      <c r="V3795" t="str">
        <f t="shared" si="1555"/>
        <v>FARHANA BINTI MUSTAPA</v>
      </c>
      <c r="W3795" t="str">
        <f t="shared" si="1556"/>
        <v>04-08-2020</v>
      </c>
      <c r="X3795" t="str">
        <f t="shared" si="1557"/>
        <v>RAZIMAH ANSAR AHMAD</v>
      </c>
      <c r="Y3795" t="str">
        <f t="shared" si="1558"/>
        <v>04-08-2020</v>
      </c>
      <c r="Z3795" t="str">
        <f>"COS10200804 5759"</f>
        <v>COS10200804 5759</v>
      </c>
    </row>
    <row r="3796" spans="1:26" x14ac:dyDescent="0.25">
      <c r="A3796" t="str">
        <f t="shared" si="1559"/>
        <v>04-08-2020 12:56:11</v>
      </c>
      <c r="B3796" t="str">
        <f>"0000807145"</f>
        <v>0000807145</v>
      </c>
      <c r="C3796" t="str">
        <f t="shared" si="1560"/>
        <v>0000806987</v>
      </c>
      <c r="D3796" t="str">
        <f t="shared" si="1546"/>
        <v>73185</v>
      </c>
      <c r="E3796" t="str">
        <f t="shared" si="1547"/>
        <v>KFH-OPERATIONS DEPARTMENT</v>
      </c>
      <c r="F3796" t="str">
        <f t="shared" si="1548"/>
        <v>IBG</v>
      </c>
      <c r="G3796" t="str">
        <f t="shared" si="1563"/>
        <v>Refund COSHARE 10</v>
      </c>
      <c r="H3796" s="2">
        <v>442.05</v>
      </c>
      <c r="I3796" t="str">
        <f>"MOHD NAZAM BIN ATAN"</f>
        <v>MOHD NAZAM BIN ATAN</v>
      </c>
      <c r="J3796" t="str">
        <f t="shared" si="1564"/>
        <v>MAYBANK / MAYBANK ISLAMIC</v>
      </c>
      <c r="K3796" t="str">
        <f>"101093212718"</f>
        <v>101093212718</v>
      </c>
      <c r="L3796" t="str">
        <f t="shared" si="1561"/>
        <v>04-08-2020</v>
      </c>
      <c r="M3796" t="str">
        <f t="shared" si="1561"/>
        <v>04-08-2020</v>
      </c>
      <c r="N3796" t="str">
        <f t="shared" si="1549"/>
        <v>001105018356</v>
      </c>
      <c r="O3796" t="str">
        <f t="shared" si="1550"/>
        <v>MYR</v>
      </c>
      <c r="P3796" t="str">
        <f t="shared" si="1562"/>
        <v>NIL</v>
      </c>
      <c r="Q3796" t="str">
        <f t="shared" si="1562"/>
        <v>NIL</v>
      </c>
      <c r="R3796" t="str">
        <f t="shared" si="1551"/>
        <v>Accepted</v>
      </c>
      <c r="S3796" t="str">
        <f t="shared" si="1552"/>
        <v>Approved</v>
      </c>
      <c r="T3796" t="str">
        <f t="shared" si="1553"/>
        <v>10.20.8.188</v>
      </c>
      <c r="U3796" t="str">
        <f t="shared" si="1554"/>
        <v>AZRAD UMAR BIN SHAARI</v>
      </c>
      <c r="V3796" t="str">
        <f t="shared" si="1555"/>
        <v>FARHANA BINTI MUSTAPA</v>
      </c>
      <c r="W3796" t="str">
        <f t="shared" si="1556"/>
        <v>04-08-2020</v>
      </c>
      <c r="X3796" t="str">
        <f t="shared" si="1557"/>
        <v>RAZIMAH ANSAR AHMAD</v>
      </c>
      <c r="Y3796" t="str">
        <f t="shared" si="1558"/>
        <v>04-08-2020</v>
      </c>
      <c r="Z3796" t="str">
        <f>"COS10200804 5758"</f>
        <v>COS10200804 5758</v>
      </c>
    </row>
    <row r="3797" spans="1:26" x14ac:dyDescent="0.25">
      <c r="A3797" t="str">
        <f t="shared" si="1559"/>
        <v>04-08-2020 12:56:11</v>
      </c>
      <c r="B3797" t="str">
        <f>"0000807144"</f>
        <v>0000807144</v>
      </c>
      <c r="C3797" t="str">
        <f t="shared" si="1560"/>
        <v>0000806987</v>
      </c>
      <c r="D3797" t="str">
        <f t="shared" si="1546"/>
        <v>73185</v>
      </c>
      <c r="E3797" t="str">
        <f t="shared" si="1547"/>
        <v>KFH-OPERATIONS DEPARTMENT</v>
      </c>
      <c r="F3797" t="str">
        <f t="shared" si="1548"/>
        <v>IBG</v>
      </c>
      <c r="G3797" t="str">
        <f t="shared" si="1563"/>
        <v>Refund COSHARE 10</v>
      </c>
      <c r="H3797" s="2">
        <v>461.75</v>
      </c>
      <c r="I3797" t="str">
        <f>"MOHD NATHIR BIN MOHD KAMARI"</f>
        <v>MOHD NATHIR BIN MOHD KAMARI</v>
      </c>
      <c r="J3797" t="str">
        <f t="shared" si="1564"/>
        <v>MAYBANK / MAYBANK ISLAMIC</v>
      </c>
      <c r="K3797" t="str">
        <f>"162151658840"</f>
        <v>162151658840</v>
      </c>
      <c r="L3797" t="str">
        <f t="shared" si="1561"/>
        <v>04-08-2020</v>
      </c>
      <c r="M3797" t="str">
        <f t="shared" si="1561"/>
        <v>04-08-2020</v>
      </c>
      <c r="N3797" t="str">
        <f t="shared" si="1549"/>
        <v>001105018356</v>
      </c>
      <c r="O3797" t="str">
        <f t="shared" si="1550"/>
        <v>MYR</v>
      </c>
      <c r="P3797" t="str">
        <f t="shared" si="1562"/>
        <v>NIL</v>
      </c>
      <c r="Q3797" t="str">
        <f t="shared" si="1562"/>
        <v>NIL</v>
      </c>
      <c r="R3797" t="str">
        <f t="shared" si="1551"/>
        <v>Accepted</v>
      </c>
      <c r="S3797" t="str">
        <f t="shared" si="1552"/>
        <v>Approved</v>
      </c>
      <c r="T3797" t="str">
        <f t="shared" si="1553"/>
        <v>10.20.8.188</v>
      </c>
      <c r="U3797" t="str">
        <f t="shared" si="1554"/>
        <v>AZRAD UMAR BIN SHAARI</v>
      </c>
      <c r="V3797" t="str">
        <f t="shared" si="1555"/>
        <v>FARHANA BINTI MUSTAPA</v>
      </c>
      <c r="W3797" t="str">
        <f t="shared" si="1556"/>
        <v>04-08-2020</v>
      </c>
      <c r="X3797" t="str">
        <f t="shared" si="1557"/>
        <v>RAZIMAH ANSAR AHMAD</v>
      </c>
      <c r="Y3797" t="str">
        <f t="shared" si="1558"/>
        <v>04-08-2020</v>
      </c>
      <c r="Z3797" t="str">
        <f>"COS10200804 5757"</f>
        <v>COS10200804 5757</v>
      </c>
    </row>
    <row r="3798" spans="1:26" x14ac:dyDescent="0.25">
      <c r="A3798" t="str">
        <f t="shared" si="1559"/>
        <v>04-08-2020 12:56:11</v>
      </c>
      <c r="B3798" t="str">
        <f>"0000807143"</f>
        <v>0000807143</v>
      </c>
      <c r="C3798" t="str">
        <f t="shared" si="1560"/>
        <v>0000806987</v>
      </c>
      <c r="D3798" t="str">
        <f t="shared" si="1546"/>
        <v>73185</v>
      </c>
      <c r="E3798" t="str">
        <f t="shared" si="1547"/>
        <v>KFH-OPERATIONS DEPARTMENT</v>
      </c>
      <c r="F3798" t="str">
        <f t="shared" si="1548"/>
        <v>IBG</v>
      </c>
      <c r="G3798" t="str">
        <f t="shared" si="1563"/>
        <v>Refund COSHARE 10</v>
      </c>
      <c r="H3798" s="2">
        <v>125.95</v>
      </c>
      <c r="I3798" t="str">
        <f>"MOHD NASRULLAH MANIS BIN MURI"</f>
        <v>MOHD NASRULLAH MANIS BIN MURI</v>
      </c>
      <c r="J3798" t="str">
        <f t="shared" si="1564"/>
        <v>MAYBANK / MAYBANK ISLAMIC</v>
      </c>
      <c r="K3798" t="str">
        <f>"154080021639"</f>
        <v>154080021639</v>
      </c>
      <c r="L3798" t="str">
        <f t="shared" si="1561"/>
        <v>04-08-2020</v>
      </c>
      <c r="M3798" t="str">
        <f t="shared" si="1561"/>
        <v>04-08-2020</v>
      </c>
      <c r="N3798" t="str">
        <f t="shared" si="1549"/>
        <v>001105018356</v>
      </c>
      <c r="O3798" t="str">
        <f t="shared" si="1550"/>
        <v>MYR</v>
      </c>
      <c r="P3798" t="str">
        <f t="shared" si="1562"/>
        <v>NIL</v>
      </c>
      <c r="Q3798" t="str">
        <f t="shared" si="1562"/>
        <v>NIL</v>
      </c>
      <c r="R3798" t="str">
        <f t="shared" si="1551"/>
        <v>Accepted</v>
      </c>
      <c r="S3798" t="str">
        <f t="shared" si="1552"/>
        <v>Approved</v>
      </c>
      <c r="T3798" t="str">
        <f t="shared" si="1553"/>
        <v>10.20.8.188</v>
      </c>
      <c r="U3798" t="str">
        <f t="shared" si="1554"/>
        <v>AZRAD UMAR BIN SHAARI</v>
      </c>
      <c r="V3798" t="str">
        <f t="shared" si="1555"/>
        <v>FARHANA BINTI MUSTAPA</v>
      </c>
      <c r="W3798" t="str">
        <f t="shared" si="1556"/>
        <v>04-08-2020</v>
      </c>
      <c r="X3798" t="str">
        <f t="shared" si="1557"/>
        <v>RAZIMAH ANSAR AHMAD</v>
      </c>
      <c r="Y3798" t="str">
        <f t="shared" si="1558"/>
        <v>04-08-2020</v>
      </c>
      <c r="Z3798" t="str">
        <f>"COS10200804 5756"</f>
        <v>COS10200804 5756</v>
      </c>
    </row>
    <row r="3799" spans="1:26" x14ac:dyDescent="0.25">
      <c r="A3799" t="str">
        <f t="shared" si="1559"/>
        <v>04-08-2020 12:56:11</v>
      </c>
      <c r="B3799" t="str">
        <f>"0000807142"</f>
        <v>0000807142</v>
      </c>
      <c r="C3799" t="str">
        <f t="shared" si="1560"/>
        <v>0000806987</v>
      </c>
      <c r="D3799" t="str">
        <f t="shared" si="1546"/>
        <v>73185</v>
      </c>
      <c r="E3799" t="str">
        <f t="shared" si="1547"/>
        <v>KFH-OPERATIONS DEPARTMENT</v>
      </c>
      <c r="F3799" t="str">
        <f t="shared" si="1548"/>
        <v>IBG</v>
      </c>
      <c r="G3799" t="str">
        <f t="shared" si="1563"/>
        <v>Refund COSHARE 10</v>
      </c>
      <c r="H3799" s="2">
        <v>302.25</v>
      </c>
      <c r="I3799" t="str">
        <f>"MOHD NASRUL HISYAM BIN ZAUKAFALI"</f>
        <v>MOHD NASRUL HISYAM BIN ZAUKAFALI</v>
      </c>
      <c r="J3799" t="str">
        <f t="shared" si="1564"/>
        <v>MAYBANK / MAYBANK ISLAMIC</v>
      </c>
      <c r="K3799" t="str">
        <f>"103118007736"</f>
        <v>103118007736</v>
      </c>
      <c r="L3799" t="str">
        <f t="shared" si="1561"/>
        <v>04-08-2020</v>
      </c>
      <c r="M3799" t="str">
        <f t="shared" si="1561"/>
        <v>04-08-2020</v>
      </c>
      <c r="N3799" t="str">
        <f t="shared" si="1549"/>
        <v>001105018356</v>
      </c>
      <c r="O3799" t="str">
        <f t="shared" si="1550"/>
        <v>MYR</v>
      </c>
      <c r="P3799" t="str">
        <f t="shared" si="1562"/>
        <v>NIL</v>
      </c>
      <c r="Q3799" t="str">
        <f t="shared" si="1562"/>
        <v>NIL</v>
      </c>
      <c r="R3799" t="str">
        <f t="shared" si="1551"/>
        <v>Accepted</v>
      </c>
      <c r="S3799" t="str">
        <f t="shared" si="1552"/>
        <v>Approved</v>
      </c>
      <c r="T3799" t="str">
        <f t="shared" si="1553"/>
        <v>10.20.8.188</v>
      </c>
      <c r="U3799" t="str">
        <f t="shared" si="1554"/>
        <v>AZRAD UMAR BIN SHAARI</v>
      </c>
      <c r="V3799" t="str">
        <f t="shared" si="1555"/>
        <v>FARHANA BINTI MUSTAPA</v>
      </c>
      <c r="W3799" t="str">
        <f t="shared" si="1556"/>
        <v>04-08-2020</v>
      </c>
      <c r="X3799" t="str">
        <f t="shared" si="1557"/>
        <v>RAZIMAH ANSAR AHMAD</v>
      </c>
      <c r="Y3799" t="str">
        <f t="shared" si="1558"/>
        <v>04-08-2020</v>
      </c>
      <c r="Z3799" t="str">
        <f>"COS10200804 5755"</f>
        <v>COS10200804 5755</v>
      </c>
    </row>
    <row r="3800" spans="1:26" x14ac:dyDescent="0.25">
      <c r="A3800" t="str">
        <f t="shared" si="1559"/>
        <v>04-08-2020 12:56:11</v>
      </c>
      <c r="B3800" t="str">
        <f>"0000807141"</f>
        <v>0000807141</v>
      </c>
      <c r="C3800" t="str">
        <f t="shared" si="1560"/>
        <v>0000806987</v>
      </c>
      <c r="D3800" t="str">
        <f t="shared" si="1546"/>
        <v>73185</v>
      </c>
      <c r="E3800" t="str">
        <f t="shared" si="1547"/>
        <v>KFH-OPERATIONS DEPARTMENT</v>
      </c>
      <c r="F3800" t="str">
        <f t="shared" si="1548"/>
        <v>IBG</v>
      </c>
      <c r="G3800" t="str">
        <f t="shared" si="1563"/>
        <v>Refund COSHARE 10</v>
      </c>
      <c r="H3800" s="2">
        <v>418</v>
      </c>
      <c r="I3800" t="str">
        <f>"MOHD NASRUL EKRAM BIN ADZAHAR"</f>
        <v>MOHD NASRUL EKRAM BIN ADZAHAR</v>
      </c>
      <c r="J3800" t="str">
        <f t="shared" si="1564"/>
        <v>MAYBANK / MAYBANK ISLAMIC</v>
      </c>
      <c r="K3800" t="str">
        <f>"166010172131"</f>
        <v>166010172131</v>
      </c>
      <c r="L3800" t="str">
        <f t="shared" si="1561"/>
        <v>04-08-2020</v>
      </c>
      <c r="M3800" t="str">
        <f t="shared" si="1561"/>
        <v>04-08-2020</v>
      </c>
      <c r="N3800" t="str">
        <f t="shared" si="1549"/>
        <v>001105018356</v>
      </c>
      <c r="O3800" t="str">
        <f t="shared" si="1550"/>
        <v>MYR</v>
      </c>
      <c r="P3800" t="str">
        <f t="shared" si="1562"/>
        <v>NIL</v>
      </c>
      <c r="Q3800" t="str">
        <f t="shared" si="1562"/>
        <v>NIL</v>
      </c>
      <c r="R3800" t="str">
        <f t="shared" si="1551"/>
        <v>Accepted</v>
      </c>
      <c r="S3800" t="str">
        <f t="shared" si="1552"/>
        <v>Approved</v>
      </c>
      <c r="T3800" t="str">
        <f t="shared" si="1553"/>
        <v>10.20.8.188</v>
      </c>
      <c r="U3800" t="str">
        <f t="shared" si="1554"/>
        <v>AZRAD UMAR BIN SHAARI</v>
      </c>
      <c r="V3800" t="str">
        <f t="shared" si="1555"/>
        <v>FARHANA BINTI MUSTAPA</v>
      </c>
      <c r="W3800" t="str">
        <f t="shared" si="1556"/>
        <v>04-08-2020</v>
      </c>
      <c r="X3800" t="str">
        <f t="shared" si="1557"/>
        <v>RAZIMAH ANSAR AHMAD</v>
      </c>
      <c r="Y3800" t="str">
        <f t="shared" si="1558"/>
        <v>04-08-2020</v>
      </c>
      <c r="Z3800" t="str">
        <f>"COS10200804 5754"</f>
        <v>COS10200804 5754</v>
      </c>
    </row>
    <row r="3801" spans="1:26" x14ac:dyDescent="0.25">
      <c r="A3801" t="str">
        <f t="shared" si="1559"/>
        <v>04-08-2020 12:56:11</v>
      </c>
      <c r="B3801" t="str">
        <f>"0000807140"</f>
        <v>0000807140</v>
      </c>
      <c r="C3801" t="str">
        <f t="shared" si="1560"/>
        <v>0000806987</v>
      </c>
      <c r="D3801" t="str">
        <f t="shared" si="1546"/>
        <v>73185</v>
      </c>
      <c r="E3801" t="str">
        <f t="shared" si="1547"/>
        <v>KFH-OPERATIONS DEPARTMENT</v>
      </c>
      <c r="F3801" t="str">
        <f t="shared" si="1548"/>
        <v>IBG</v>
      </c>
      <c r="G3801" t="str">
        <f t="shared" si="1563"/>
        <v>Refund COSHARE 10</v>
      </c>
      <c r="H3801" s="2">
        <v>486.95</v>
      </c>
      <c r="I3801" t="str">
        <f>"MOHD NASIR BIN JONGGANG"</f>
        <v>MOHD NASIR BIN JONGGANG</v>
      </c>
      <c r="J3801" t="str">
        <f t="shared" si="1564"/>
        <v>MAYBANK / MAYBANK ISLAMIC</v>
      </c>
      <c r="K3801" t="str">
        <f>"160036839794"</f>
        <v>160036839794</v>
      </c>
      <c r="L3801" t="str">
        <f t="shared" si="1561"/>
        <v>04-08-2020</v>
      </c>
      <c r="M3801" t="str">
        <f t="shared" si="1561"/>
        <v>04-08-2020</v>
      </c>
      <c r="N3801" t="str">
        <f t="shared" si="1549"/>
        <v>001105018356</v>
      </c>
      <c r="O3801" t="str">
        <f t="shared" si="1550"/>
        <v>MYR</v>
      </c>
      <c r="P3801" t="str">
        <f t="shared" si="1562"/>
        <v>NIL</v>
      </c>
      <c r="Q3801" t="str">
        <f t="shared" si="1562"/>
        <v>NIL</v>
      </c>
      <c r="R3801" t="str">
        <f t="shared" si="1551"/>
        <v>Accepted</v>
      </c>
      <c r="S3801" t="str">
        <f t="shared" si="1552"/>
        <v>Approved</v>
      </c>
      <c r="T3801" t="str">
        <f t="shared" si="1553"/>
        <v>10.20.8.188</v>
      </c>
      <c r="U3801" t="str">
        <f t="shared" si="1554"/>
        <v>AZRAD UMAR BIN SHAARI</v>
      </c>
      <c r="V3801" t="str">
        <f t="shared" si="1555"/>
        <v>FARHANA BINTI MUSTAPA</v>
      </c>
      <c r="W3801" t="str">
        <f t="shared" si="1556"/>
        <v>04-08-2020</v>
      </c>
      <c r="X3801" t="str">
        <f t="shared" si="1557"/>
        <v>RAZIMAH ANSAR AHMAD</v>
      </c>
      <c r="Y3801" t="str">
        <f t="shared" si="1558"/>
        <v>04-08-2020</v>
      </c>
      <c r="Z3801" t="str">
        <f>"COS10200804 5753"</f>
        <v>COS10200804 5753</v>
      </c>
    </row>
    <row r="3802" spans="1:26" x14ac:dyDescent="0.25">
      <c r="A3802" t="str">
        <f t="shared" si="1559"/>
        <v>04-08-2020 12:56:11</v>
      </c>
      <c r="B3802" t="str">
        <f>"0000807139"</f>
        <v>0000807139</v>
      </c>
      <c r="C3802" t="str">
        <f t="shared" si="1560"/>
        <v>0000806987</v>
      </c>
      <c r="D3802" t="str">
        <f t="shared" si="1546"/>
        <v>73185</v>
      </c>
      <c r="E3802" t="str">
        <f t="shared" si="1547"/>
        <v>KFH-OPERATIONS DEPARTMENT</v>
      </c>
      <c r="F3802" t="str">
        <f t="shared" si="1548"/>
        <v>IBG</v>
      </c>
      <c r="G3802" t="str">
        <f t="shared" si="1563"/>
        <v>Refund COSHARE 10</v>
      </c>
      <c r="H3802" s="2">
        <v>1518</v>
      </c>
      <c r="I3802" t="str">
        <f>"MOHD NASIR BIN ISMAIL"</f>
        <v>MOHD NASIR BIN ISMAIL</v>
      </c>
      <c r="J3802" t="str">
        <f t="shared" si="1564"/>
        <v>MAYBANK / MAYBANK ISLAMIC</v>
      </c>
      <c r="K3802" t="str">
        <f>"160045347087"</f>
        <v>160045347087</v>
      </c>
      <c r="L3802" t="str">
        <f t="shared" si="1561"/>
        <v>04-08-2020</v>
      </c>
      <c r="M3802" t="str">
        <f t="shared" si="1561"/>
        <v>04-08-2020</v>
      </c>
      <c r="N3802" t="str">
        <f t="shared" si="1549"/>
        <v>001105018356</v>
      </c>
      <c r="O3802" t="str">
        <f t="shared" si="1550"/>
        <v>MYR</v>
      </c>
      <c r="P3802" t="str">
        <f t="shared" si="1562"/>
        <v>NIL</v>
      </c>
      <c r="Q3802" t="str">
        <f t="shared" si="1562"/>
        <v>NIL</v>
      </c>
      <c r="R3802" t="str">
        <f t="shared" si="1551"/>
        <v>Accepted</v>
      </c>
      <c r="S3802" t="str">
        <f t="shared" si="1552"/>
        <v>Approved</v>
      </c>
      <c r="T3802" t="str">
        <f t="shared" si="1553"/>
        <v>10.20.8.188</v>
      </c>
      <c r="U3802" t="str">
        <f t="shared" si="1554"/>
        <v>AZRAD UMAR BIN SHAARI</v>
      </c>
      <c r="V3802" t="str">
        <f t="shared" si="1555"/>
        <v>FARHANA BINTI MUSTAPA</v>
      </c>
      <c r="W3802" t="str">
        <f t="shared" si="1556"/>
        <v>04-08-2020</v>
      </c>
      <c r="X3802" t="str">
        <f t="shared" si="1557"/>
        <v>RAZIMAH ANSAR AHMAD</v>
      </c>
      <c r="Y3802" t="str">
        <f t="shared" si="1558"/>
        <v>04-08-2020</v>
      </c>
      <c r="Z3802" t="str">
        <f>"COS10200804 5752"</f>
        <v>COS10200804 5752</v>
      </c>
    </row>
    <row r="3803" spans="1:26" x14ac:dyDescent="0.25">
      <c r="A3803" t="str">
        <f t="shared" si="1559"/>
        <v>04-08-2020 12:56:11</v>
      </c>
      <c r="B3803" t="str">
        <f>"0000807138"</f>
        <v>0000807138</v>
      </c>
      <c r="C3803" t="str">
        <f t="shared" si="1560"/>
        <v>0000806987</v>
      </c>
      <c r="D3803" t="str">
        <f t="shared" si="1546"/>
        <v>73185</v>
      </c>
      <c r="E3803" t="str">
        <f t="shared" si="1547"/>
        <v>KFH-OPERATIONS DEPARTMENT</v>
      </c>
      <c r="F3803" t="str">
        <f t="shared" si="1548"/>
        <v>IBG</v>
      </c>
      <c r="G3803" t="str">
        <f t="shared" si="1563"/>
        <v>Refund COSHARE 10</v>
      </c>
      <c r="H3803" s="2">
        <v>125.95</v>
      </c>
      <c r="I3803" t="str">
        <f>"MOHD NASHRIN BIN MAPPIATI"</f>
        <v>MOHD NASHRIN BIN MAPPIATI</v>
      </c>
      <c r="J3803" t="str">
        <f t="shared" si="1564"/>
        <v>MAYBANK / MAYBANK ISLAMIC</v>
      </c>
      <c r="K3803" t="str">
        <f>"155108689379"</f>
        <v>155108689379</v>
      </c>
      <c r="L3803" t="str">
        <f t="shared" si="1561"/>
        <v>04-08-2020</v>
      </c>
      <c r="M3803" t="str">
        <f t="shared" si="1561"/>
        <v>04-08-2020</v>
      </c>
      <c r="N3803" t="str">
        <f t="shared" si="1549"/>
        <v>001105018356</v>
      </c>
      <c r="O3803" t="str">
        <f t="shared" si="1550"/>
        <v>MYR</v>
      </c>
      <c r="P3803" t="str">
        <f t="shared" si="1562"/>
        <v>NIL</v>
      </c>
      <c r="Q3803" t="str">
        <f t="shared" si="1562"/>
        <v>NIL</v>
      </c>
      <c r="R3803" t="str">
        <f t="shared" si="1551"/>
        <v>Accepted</v>
      </c>
      <c r="S3803" t="str">
        <f t="shared" si="1552"/>
        <v>Approved</v>
      </c>
      <c r="T3803" t="str">
        <f t="shared" si="1553"/>
        <v>10.20.8.188</v>
      </c>
      <c r="U3803" t="str">
        <f t="shared" si="1554"/>
        <v>AZRAD UMAR BIN SHAARI</v>
      </c>
      <c r="V3803" t="str">
        <f t="shared" si="1555"/>
        <v>FARHANA BINTI MUSTAPA</v>
      </c>
      <c r="W3803" t="str">
        <f t="shared" si="1556"/>
        <v>04-08-2020</v>
      </c>
      <c r="X3803" t="str">
        <f t="shared" si="1557"/>
        <v>RAZIMAH ANSAR AHMAD</v>
      </c>
      <c r="Y3803" t="str">
        <f t="shared" si="1558"/>
        <v>04-08-2020</v>
      </c>
      <c r="Z3803" t="str">
        <f>"COS10200804 5751"</f>
        <v>COS10200804 5751</v>
      </c>
    </row>
    <row r="3804" spans="1:26" x14ac:dyDescent="0.25">
      <c r="A3804" t="str">
        <f t="shared" si="1559"/>
        <v>04-08-2020 12:56:11</v>
      </c>
      <c r="B3804" t="str">
        <f>"0000807137"</f>
        <v>0000807137</v>
      </c>
      <c r="C3804" t="str">
        <f t="shared" si="1560"/>
        <v>0000806987</v>
      </c>
      <c r="D3804" t="str">
        <f t="shared" si="1546"/>
        <v>73185</v>
      </c>
      <c r="E3804" t="str">
        <f t="shared" si="1547"/>
        <v>KFH-OPERATIONS DEPARTMENT</v>
      </c>
      <c r="F3804" t="str">
        <f t="shared" si="1548"/>
        <v>IBG</v>
      </c>
      <c r="G3804" t="str">
        <f t="shared" si="1563"/>
        <v>Refund COSHARE 10</v>
      </c>
      <c r="H3804" s="2">
        <v>100.75</v>
      </c>
      <c r="I3804" t="str">
        <f>"MOHD NASARUDDIN BIN MOHD TAIB"</f>
        <v>MOHD NASARUDDIN BIN MOHD TAIB</v>
      </c>
      <c r="J3804" t="str">
        <f t="shared" si="1564"/>
        <v>MAYBANK / MAYBANK ISLAMIC</v>
      </c>
      <c r="K3804" t="str">
        <f>"166010160531"</f>
        <v>166010160531</v>
      </c>
      <c r="L3804" t="str">
        <f t="shared" si="1561"/>
        <v>04-08-2020</v>
      </c>
      <c r="M3804" t="str">
        <f t="shared" si="1561"/>
        <v>04-08-2020</v>
      </c>
      <c r="N3804" t="str">
        <f t="shared" si="1549"/>
        <v>001105018356</v>
      </c>
      <c r="O3804" t="str">
        <f t="shared" si="1550"/>
        <v>MYR</v>
      </c>
      <c r="P3804" t="str">
        <f t="shared" si="1562"/>
        <v>NIL</v>
      </c>
      <c r="Q3804" t="str">
        <f t="shared" si="1562"/>
        <v>NIL</v>
      </c>
      <c r="R3804" t="str">
        <f t="shared" si="1551"/>
        <v>Accepted</v>
      </c>
      <c r="S3804" t="str">
        <f t="shared" si="1552"/>
        <v>Approved</v>
      </c>
      <c r="T3804" t="str">
        <f t="shared" si="1553"/>
        <v>10.20.8.188</v>
      </c>
      <c r="U3804" t="str">
        <f t="shared" si="1554"/>
        <v>AZRAD UMAR BIN SHAARI</v>
      </c>
      <c r="V3804" t="str">
        <f t="shared" si="1555"/>
        <v>FARHANA BINTI MUSTAPA</v>
      </c>
      <c r="W3804" t="str">
        <f t="shared" si="1556"/>
        <v>04-08-2020</v>
      </c>
      <c r="X3804" t="str">
        <f t="shared" si="1557"/>
        <v>RAZIMAH ANSAR AHMAD</v>
      </c>
      <c r="Y3804" t="str">
        <f t="shared" si="1558"/>
        <v>04-08-2020</v>
      </c>
      <c r="Z3804" t="str">
        <f>"COS10200804 5750"</f>
        <v>COS10200804 5750</v>
      </c>
    </row>
    <row r="3805" spans="1:26" x14ac:dyDescent="0.25">
      <c r="A3805" t="str">
        <f t="shared" si="1559"/>
        <v>04-08-2020 12:56:11</v>
      </c>
      <c r="B3805" t="str">
        <f>"0000807136"</f>
        <v>0000807136</v>
      </c>
      <c r="C3805" t="str">
        <f t="shared" si="1560"/>
        <v>0000806987</v>
      </c>
      <c r="D3805" t="str">
        <f t="shared" si="1546"/>
        <v>73185</v>
      </c>
      <c r="E3805" t="str">
        <f t="shared" si="1547"/>
        <v>KFH-OPERATIONS DEPARTMENT</v>
      </c>
      <c r="F3805" t="str">
        <f t="shared" si="1548"/>
        <v>IBG</v>
      </c>
      <c r="G3805" t="str">
        <f t="shared" si="1563"/>
        <v>Refund COSHARE 10</v>
      </c>
      <c r="H3805" s="2">
        <v>1015.8</v>
      </c>
      <c r="I3805" t="str">
        <f>"MOHD NAJIB BIN ZULKURNAIN"</f>
        <v>MOHD NAJIB BIN ZULKURNAIN</v>
      </c>
      <c r="J3805" t="str">
        <f t="shared" si="1564"/>
        <v>MAYBANK / MAYBANK ISLAMIC</v>
      </c>
      <c r="K3805" t="str">
        <f>"163019348518"</f>
        <v>163019348518</v>
      </c>
      <c r="L3805" t="str">
        <f t="shared" si="1561"/>
        <v>04-08-2020</v>
      </c>
      <c r="M3805" t="str">
        <f t="shared" si="1561"/>
        <v>04-08-2020</v>
      </c>
      <c r="N3805" t="str">
        <f t="shared" si="1549"/>
        <v>001105018356</v>
      </c>
      <c r="O3805" t="str">
        <f t="shared" si="1550"/>
        <v>MYR</v>
      </c>
      <c r="P3805" t="str">
        <f t="shared" si="1562"/>
        <v>NIL</v>
      </c>
      <c r="Q3805" t="str">
        <f t="shared" si="1562"/>
        <v>NIL</v>
      </c>
      <c r="R3805" t="str">
        <f t="shared" si="1551"/>
        <v>Accepted</v>
      </c>
      <c r="S3805" t="str">
        <f t="shared" si="1552"/>
        <v>Approved</v>
      </c>
      <c r="T3805" t="str">
        <f t="shared" si="1553"/>
        <v>10.20.8.188</v>
      </c>
      <c r="U3805" t="str">
        <f t="shared" si="1554"/>
        <v>AZRAD UMAR BIN SHAARI</v>
      </c>
      <c r="V3805" t="str">
        <f t="shared" si="1555"/>
        <v>FARHANA BINTI MUSTAPA</v>
      </c>
      <c r="W3805" t="str">
        <f t="shared" si="1556"/>
        <v>04-08-2020</v>
      </c>
      <c r="X3805" t="str">
        <f t="shared" si="1557"/>
        <v>RAZIMAH ANSAR AHMAD</v>
      </c>
      <c r="Y3805" t="str">
        <f t="shared" si="1558"/>
        <v>04-08-2020</v>
      </c>
      <c r="Z3805" t="str">
        <f>"COS10200804 5749"</f>
        <v>COS10200804 5749</v>
      </c>
    </row>
    <row r="3806" spans="1:26" x14ac:dyDescent="0.25">
      <c r="A3806" t="str">
        <f t="shared" si="1559"/>
        <v>04-08-2020 12:56:11</v>
      </c>
      <c r="B3806" t="str">
        <f>"0000807135"</f>
        <v>0000807135</v>
      </c>
      <c r="C3806" t="str">
        <f t="shared" si="1560"/>
        <v>0000806987</v>
      </c>
      <c r="D3806" t="str">
        <f t="shared" si="1546"/>
        <v>73185</v>
      </c>
      <c r="E3806" t="str">
        <f t="shared" si="1547"/>
        <v>KFH-OPERATIONS DEPARTMENT</v>
      </c>
      <c r="F3806" t="str">
        <f t="shared" si="1548"/>
        <v>IBG</v>
      </c>
      <c r="G3806" t="str">
        <f t="shared" si="1563"/>
        <v>Refund COSHARE 10</v>
      </c>
      <c r="H3806" s="2">
        <v>117.55</v>
      </c>
      <c r="I3806" t="str">
        <f>"MOHD NAJIB BIN ZAKARIA"</f>
        <v>MOHD NAJIB BIN ZAKARIA</v>
      </c>
      <c r="J3806" t="str">
        <f t="shared" si="1564"/>
        <v>MAYBANK / MAYBANK ISLAMIC</v>
      </c>
      <c r="K3806" t="str">
        <f>"166010053783"</f>
        <v>166010053783</v>
      </c>
      <c r="L3806" t="str">
        <f t="shared" si="1561"/>
        <v>04-08-2020</v>
      </c>
      <c r="M3806" t="str">
        <f t="shared" si="1561"/>
        <v>04-08-2020</v>
      </c>
      <c r="N3806" t="str">
        <f t="shared" si="1549"/>
        <v>001105018356</v>
      </c>
      <c r="O3806" t="str">
        <f t="shared" si="1550"/>
        <v>MYR</v>
      </c>
      <c r="P3806" t="str">
        <f t="shared" si="1562"/>
        <v>NIL</v>
      </c>
      <c r="Q3806" t="str">
        <f t="shared" si="1562"/>
        <v>NIL</v>
      </c>
      <c r="R3806" t="str">
        <f t="shared" si="1551"/>
        <v>Accepted</v>
      </c>
      <c r="S3806" t="str">
        <f t="shared" si="1552"/>
        <v>Approved</v>
      </c>
      <c r="T3806" t="str">
        <f t="shared" si="1553"/>
        <v>10.20.8.188</v>
      </c>
      <c r="U3806" t="str">
        <f t="shared" si="1554"/>
        <v>AZRAD UMAR BIN SHAARI</v>
      </c>
      <c r="V3806" t="str">
        <f t="shared" si="1555"/>
        <v>FARHANA BINTI MUSTAPA</v>
      </c>
      <c r="W3806" t="str">
        <f t="shared" si="1556"/>
        <v>04-08-2020</v>
      </c>
      <c r="X3806" t="str">
        <f t="shared" si="1557"/>
        <v>RAZIMAH ANSAR AHMAD</v>
      </c>
      <c r="Y3806" t="str">
        <f t="shared" si="1558"/>
        <v>04-08-2020</v>
      </c>
      <c r="Z3806" t="str">
        <f>"COS10200804 5748"</f>
        <v>COS10200804 5748</v>
      </c>
    </row>
    <row r="3807" spans="1:26" x14ac:dyDescent="0.25">
      <c r="A3807" t="str">
        <f t="shared" si="1559"/>
        <v>04-08-2020 12:56:11</v>
      </c>
      <c r="B3807" t="str">
        <f>"0000807134"</f>
        <v>0000807134</v>
      </c>
      <c r="C3807" t="str">
        <f t="shared" si="1560"/>
        <v>0000806987</v>
      </c>
      <c r="D3807" t="str">
        <f t="shared" si="1546"/>
        <v>73185</v>
      </c>
      <c r="E3807" t="str">
        <f t="shared" si="1547"/>
        <v>KFH-OPERATIONS DEPARTMENT</v>
      </c>
      <c r="F3807" t="str">
        <f t="shared" si="1548"/>
        <v>IBG</v>
      </c>
      <c r="G3807" t="str">
        <f t="shared" si="1563"/>
        <v>Refund COSHARE 10</v>
      </c>
      <c r="H3807" s="2">
        <v>190</v>
      </c>
      <c r="I3807" t="str">
        <f>"MOHD NAJIB BIN KAMARULZAMAN"</f>
        <v>MOHD NAJIB BIN KAMARULZAMAN</v>
      </c>
      <c r="J3807" t="str">
        <f t="shared" si="1564"/>
        <v>MAYBANK / MAYBANK ISLAMIC</v>
      </c>
      <c r="K3807" t="str">
        <f>"151043783540"</f>
        <v>151043783540</v>
      </c>
      <c r="L3807" t="str">
        <f t="shared" ref="L3807:M3826" si="1565">"04-08-2020"</f>
        <v>04-08-2020</v>
      </c>
      <c r="M3807" t="str">
        <f t="shared" si="1565"/>
        <v>04-08-2020</v>
      </c>
      <c r="N3807" t="str">
        <f t="shared" si="1549"/>
        <v>001105018356</v>
      </c>
      <c r="O3807" t="str">
        <f t="shared" si="1550"/>
        <v>MYR</v>
      </c>
      <c r="P3807" t="str">
        <f t="shared" ref="P3807:Q3826" si="1566">"NIL"</f>
        <v>NIL</v>
      </c>
      <c r="Q3807" t="str">
        <f t="shared" si="1566"/>
        <v>NIL</v>
      </c>
      <c r="R3807" t="str">
        <f t="shared" si="1551"/>
        <v>Accepted</v>
      </c>
      <c r="S3807" t="str">
        <f t="shared" si="1552"/>
        <v>Approved</v>
      </c>
      <c r="T3807" t="str">
        <f t="shared" si="1553"/>
        <v>10.20.8.188</v>
      </c>
      <c r="U3807" t="str">
        <f t="shared" si="1554"/>
        <v>AZRAD UMAR BIN SHAARI</v>
      </c>
      <c r="V3807" t="str">
        <f t="shared" si="1555"/>
        <v>FARHANA BINTI MUSTAPA</v>
      </c>
      <c r="W3807" t="str">
        <f t="shared" si="1556"/>
        <v>04-08-2020</v>
      </c>
      <c r="X3807" t="str">
        <f t="shared" si="1557"/>
        <v>RAZIMAH ANSAR AHMAD</v>
      </c>
      <c r="Y3807" t="str">
        <f t="shared" si="1558"/>
        <v>04-08-2020</v>
      </c>
      <c r="Z3807" t="str">
        <f>"COS10200804 5747"</f>
        <v>COS10200804 5747</v>
      </c>
    </row>
    <row r="3808" spans="1:26" x14ac:dyDescent="0.25">
      <c r="A3808" t="str">
        <f t="shared" si="1559"/>
        <v>04-08-2020 12:56:11</v>
      </c>
      <c r="B3808" t="str">
        <f>"0000807133"</f>
        <v>0000807133</v>
      </c>
      <c r="C3808" t="str">
        <f t="shared" si="1560"/>
        <v>0000806987</v>
      </c>
      <c r="D3808" t="str">
        <f t="shared" si="1546"/>
        <v>73185</v>
      </c>
      <c r="E3808" t="str">
        <f t="shared" si="1547"/>
        <v>KFH-OPERATIONS DEPARTMENT</v>
      </c>
      <c r="F3808" t="str">
        <f t="shared" si="1548"/>
        <v>IBG</v>
      </c>
      <c r="G3808" t="str">
        <f t="shared" si="1563"/>
        <v>Refund COSHARE 10</v>
      </c>
      <c r="H3808" s="2">
        <v>1159</v>
      </c>
      <c r="I3808" t="str">
        <f>"MOHD NAJIB BIN HALIM"</f>
        <v>MOHD NAJIB BIN HALIM</v>
      </c>
      <c r="J3808" t="str">
        <f t="shared" si="1564"/>
        <v>MAYBANK / MAYBANK ISLAMIC</v>
      </c>
      <c r="K3808" t="str">
        <f>"152189017528"</f>
        <v>152189017528</v>
      </c>
      <c r="L3808" t="str">
        <f t="shared" si="1565"/>
        <v>04-08-2020</v>
      </c>
      <c r="M3808" t="str">
        <f t="shared" si="1565"/>
        <v>04-08-2020</v>
      </c>
      <c r="N3808" t="str">
        <f t="shared" si="1549"/>
        <v>001105018356</v>
      </c>
      <c r="O3808" t="str">
        <f t="shared" si="1550"/>
        <v>MYR</v>
      </c>
      <c r="P3808" t="str">
        <f t="shared" si="1566"/>
        <v>NIL</v>
      </c>
      <c r="Q3808" t="str">
        <f t="shared" si="1566"/>
        <v>NIL</v>
      </c>
      <c r="R3808" t="str">
        <f t="shared" si="1551"/>
        <v>Accepted</v>
      </c>
      <c r="S3808" t="str">
        <f t="shared" si="1552"/>
        <v>Approved</v>
      </c>
      <c r="T3808" t="str">
        <f t="shared" si="1553"/>
        <v>10.20.8.188</v>
      </c>
      <c r="U3808" t="str">
        <f t="shared" si="1554"/>
        <v>AZRAD UMAR BIN SHAARI</v>
      </c>
      <c r="V3808" t="str">
        <f t="shared" si="1555"/>
        <v>FARHANA BINTI MUSTAPA</v>
      </c>
      <c r="W3808" t="str">
        <f t="shared" si="1556"/>
        <v>04-08-2020</v>
      </c>
      <c r="X3808" t="str">
        <f t="shared" si="1557"/>
        <v>RAZIMAH ANSAR AHMAD</v>
      </c>
      <c r="Y3808" t="str">
        <f t="shared" si="1558"/>
        <v>04-08-2020</v>
      </c>
      <c r="Z3808" t="str">
        <f>"COS10200804 5746"</f>
        <v>COS10200804 5746</v>
      </c>
    </row>
    <row r="3809" spans="1:26" x14ac:dyDescent="0.25">
      <c r="A3809" t="str">
        <f t="shared" si="1559"/>
        <v>04-08-2020 12:56:11</v>
      </c>
      <c r="B3809" t="str">
        <f>"0000807132"</f>
        <v>0000807132</v>
      </c>
      <c r="C3809" t="str">
        <f t="shared" si="1560"/>
        <v>0000806987</v>
      </c>
      <c r="D3809" t="str">
        <f t="shared" si="1546"/>
        <v>73185</v>
      </c>
      <c r="E3809" t="str">
        <f t="shared" si="1547"/>
        <v>KFH-OPERATIONS DEPARTMENT</v>
      </c>
      <c r="F3809" t="str">
        <f t="shared" si="1548"/>
        <v>IBG</v>
      </c>
      <c r="G3809" t="str">
        <f t="shared" si="1563"/>
        <v>Refund COSHARE 10</v>
      </c>
      <c r="H3809" s="2">
        <v>115.35</v>
      </c>
      <c r="I3809" t="str">
        <f>"MOHD NAIM BIN DAHALAN"</f>
        <v>MOHD NAIM BIN DAHALAN</v>
      </c>
      <c r="J3809" t="str">
        <f t="shared" si="1564"/>
        <v>MAYBANK / MAYBANK ISLAMIC</v>
      </c>
      <c r="K3809" t="str">
        <f>"152050105828"</f>
        <v>152050105828</v>
      </c>
      <c r="L3809" t="str">
        <f t="shared" si="1565"/>
        <v>04-08-2020</v>
      </c>
      <c r="M3809" t="str">
        <f t="shared" si="1565"/>
        <v>04-08-2020</v>
      </c>
      <c r="N3809" t="str">
        <f t="shared" si="1549"/>
        <v>001105018356</v>
      </c>
      <c r="O3809" t="str">
        <f t="shared" si="1550"/>
        <v>MYR</v>
      </c>
      <c r="P3809" t="str">
        <f t="shared" si="1566"/>
        <v>NIL</v>
      </c>
      <c r="Q3809" t="str">
        <f t="shared" si="1566"/>
        <v>NIL</v>
      </c>
      <c r="R3809" t="str">
        <f t="shared" si="1551"/>
        <v>Accepted</v>
      </c>
      <c r="S3809" t="str">
        <f t="shared" si="1552"/>
        <v>Approved</v>
      </c>
      <c r="T3809" t="str">
        <f t="shared" si="1553"/>
        <v>10.20.8.188</v>
      </c>
      <c r="U3809" t="str">
        <f t="shared" si="1554"/>
        <v>AZRAD UMAR BIN SHAARI</v>
      </c>
      <c r="V3809" t="str">
        <f t="shared" si="1555"/>
        <v>FARHANA BINTI MUSTAPA</v>
      </c>
      <c r="W3809" t="str">
        <f t="shared" si="1556"/>
        <v>04-08-2020</v>
      </c>
      <c r="X3809" t="str">
        <f t="shared" si="1557"/>
        <v>RAZIMAH ANSAR AHMAD</v>
      </c>
      <c r="Y3809" t="str">
        <f t="shared" si="1558"/>
        <v>04-08-2020</v>
      </c>
      <c r="Z3809" t="str">
        <f>"COS10200804 5745"</f>
        <v>COS10200804 5745</v>
      </c>
    </row>
    <row r="3810" spans="1:26" x14ac:dyDescent="0.25">
      <c r="A3810" t="str">
        <f t="shared" si="1559"/>
        <v>04-08-2020 12:56:11</v>
      </c>
      <c r="B3810" t="str">
        <f>"0000807131"</f>
        <v>0000807131</v>
      </c>
      <c r="C3810" t="str">
        <f t="shared" si="1560"/>
        <v>0000806987</v>
      </c>
      <c r="D3810" t="str">
        <f t="shared" si="1546"/>
        <v>73185</v>
      </c>
      <c r="E3810" t="str">
        <f t="shared" si="1547"/>
        <v>KFH-OPERATIONS DEPARTMENT</v>
      </c>
      <c r="F3810" t="str">
        <f t="shared" si="1548"/>
        <v>IBG</v>
      </c>
      <c r="G3810" t="str">
        <f t="shared" si="1563"/>
        <v>Refund COSHARE 10</v>
      </c>
      <c r="H3810" s="2">
        <v>75.599999999999994</v>
      </c>
      <c r="I3810" t="str">
        <f>"MOHD NAIM BIN CHE HAMID"</f>
        <v>MOHD NAIM BIN CHE HAMID</v>
      </c>
      <c r="J3810" t="str">
        <f t="shared" si="1564"/>
        <v>MAYBANK / MAYBANK ISLAMIC</v>
      </c>
      <c r="K3810" t="str">
        <f>"153047825363"</f>
        <v>153047825363</v>
      </c>
      <c r="L3810" t="str">
        <f t="shared" si="1565"/>
        <v>04-08-2020</v>
      </c>
      <c r="M3810" t="str">
        <f t="shared" si="1565"/>
        <v>04-08-2020</v>
      </c>
      <c r="N3810" t="str">
        <f t="shared" si="1549"/>
        <v>001105018356</v>
      </c>
      <c r="O3810" t="str">
        <f t="shared" si="1550"/>
        <v>MYR</v>
      </c>
      <c r="P3810" t="str">
        <f t="shared" si="1566"/>
        <v>NIL</v>
      </c>
      <c r="Q3810" t="str">
        <f t="shared" si="1566"/>
        <v>NIL</v>
      </c>
      <c r="R3810" t="str">
        <f t="shared" si="1551"/>
        <v>Accepted</v>
      </c>
      <c r="S3810" t="str">
        <f t="shared" si="1552"/>
        <v>Approved</v>
      </c>
      <c r="T3810" t="str">
        <f t="shared" si="1553"/>
        <v>10.20.8.188</v>
      </c>
      <c r="U3810" t="str">
        <f t="shared" si="1554"/>
        <v>AZRAD UMAR BIN SHAARI</v>
      </c>
      <c r="V3810" t="str">
        <f t="shared" si="1555"/>
        <v>FARHANA BINTI MUSTAPA</v>
      </c>
      <c r="W3810" t="str">
        <f t="shared" si="1556"/>
        <v>04-08-2020</v>
      </c>
      <c r="X3810" t="str">
        <f t="shared" si="1557"/>
        <v>RAZIMAH ANSAR AHMAD</v>
      </c>
      <c r="Y3810" t="str">
        <f t="shared" si="1558"/>
        <v>04-08-2020</v>
      </c>
      <c r="Z3810" t="str">
        <f>"COS10200804 5744"</f>
        <v>COS10200804 5744</v>
      </c>
    </row>
    <row r="3811" spans="1:26" x14ac:dyDescent="0.25">
      <c r="A3811" t="str">
        <f t="shared" si="1559"/>
        <v>04-08-2020 12:56:11</v>
      </c>
      <c r="B3811" t="str">
        <f>"0000807130"</f>
        <v>0000807130</v>
      </c>
      <c r="C3811" t="str">
        <f t="shared" si="1560"/>
        <v>0000806987</v>
      </c>
      <c r="D3811" t="str">
        <f t="shared" si="1546"/>
        <v>73185</v>
      </c>
      <c r="E3811" t="str">
        <f t="shared" si="1547"/>
        <v>KFH-OPERATIONS DEPARTMENT</v>
      </c>
      <c r="F3811" t="str">
        <f t="shared" si="1548"/>
        <v>IBG</v>
      </c>
      <c r="G3811" t="str">
        <f t="shared" si="1563"/>
        <v>Refund COSHARE 10</v>
      </c>
      <c r="H3811" s="2">
        <v>261</v>
      </c>
      <c r="I3811" t="str">
        <f>"MOHD NAFIS BIN MAKMOR"</f>
        <v>MOHD NAFIS BIN MAKMOR</v>
      </c>
      <c r="J3811" t="str">
        <f t="shared" si="1564"/>
        <v>MAYBANK / MAYBANK ISLAMIC</v>
      </c>
      <c r="K3811" t="str">
        <f>"162115938875"</f>
        <v>162115938875</v>
      </c>
      <c r="L3811" t="str">
        <f t="shared" si="1565"/>
        <v>04-08-2020</v>
      </c>
      <c r="M3811" t="str">
        <f t="shared" si="1565"/>
        <v>04-08-2020</v>
      </c>
      <c r="N3811" t="str">
        <f t="shared" si="1549"/>
        <v>001105018356</v>
      </c>
      <c r="O3811" t="str">
        <f t="shared" si="1550"/>
        <v>MYR</v>
      </c>
      <c r="P3811" t="str">
        <f t="shared" si="1566"/>
        <v>NIL</v>
      </c>
      <c r="Q3811" t="str">
        <f t="shared" si="1566"/>
        <v>NIL</v>
      </c>
      <c r="R3811" t="str">
        <f t="shared" si="1551"/>
        <v>Accepted</v>
      </c>
      <c r="S3811" t="str">
        <f t="shared" si="1552"/>
        <v>Approved</v>
      </c>
      <c r="T3811" t="str">
        <f t="shared" si="1553"/>
        <v>10.20.8.188</v>
      </c>
      <c r="U3811" t="str">
        <f t="shared" si="1554"/>
        <v>AZRAD UMAR BIN SHAARI</v>
      </c>
      <c r="V3811" t="str">
        <f t="shared" si="1555"/>
        <v>FARHANA BINTI MUSTAPA</v>
      </c>
      <c r="W3811" t="str">
        <f t="shared" si="1556"/>
        <v>04-08-2020</v>
      </c>
      <c r="X3811" t="str">
        <f t="shared" si="1557"/>
        <v>RAZIMAH ANSAR AHMAD</v>
      </c>
      <c r="Y3811" t="str">
        <f t="shared" si="1558"/>
        <v>04-08-2020</v>
      </c>
      <c r="Z3811" t="str">
        <f>"COS10200804 5743"</f>
        <v>COS10200804 5743</v>
      </c>
    </row>
    <row r="3812" spans="1:26" x14ac:dyDescent="0.25">
      <c r="A3812" t="str">
        <f t="shared" si="1559"/>
        <v>04-08-2020 12:56:11</v>
      </c>
      <c r="B3812" t="str">
        <f>"0000807129"</f>
        <v>0000807129</v>
      </c>
      <c r="C3812" t="str">
        <f t="shared" si="1560"/>
        <v>0000806987</v>
      </c>
      <c r="D3812" t="str">
        <f t="shared" si="1546"/>
        <v>73185</v>
      </c>
      <c r="E3812" t="str">
        <f t="shared" si="1547"/>
        <v>KFH-OPERATIONS DEPARTMENT</v>
      </c>
      <c r="F3812" t="str">
        <f t="shared" si="1548"/>
        <v>IBG</v>
      </c>
      <c r="G3812" t="str">
        <f t="shared" si="1563"/>
        <v>Refund COSHARE 10</v>
      </c>
      <c r="H3812" s="2">
        <v>354</v>
      </c>
      <c r="I3812" t="str">
        <f>"MOHD NADZRI BIN ZAKARIA"</f>
        <v>MOHD NADZRI BIN ZAKARIA</v>
      </c>
      <c r="J3812" t="str">
        <f t="shared" si="1564"/>
        <v>MAYBANK / MAYBANK ISLAMIC</v>
      </c>
      <c r="K3812" t="str">
        <f>"112110953725"</f>
        <v>112110953725</v>
      </c>
      <c r="L3812" t="str">
        <f t="shared" si="1565"/>
        <v>04-08-2020</v>
      </c>
      <c r="M3812" t="str">
        <f t="shared" si="1565"/>
        <v>04-08-2020</v>
      </c>
      <c r="N3812" t="str">
        <f t="shared" si="1549"/>
        <v>001105018356</v>
      </c>
      <c r="O3812" t="str">
        <f t="shared" si="1550"/>
        <v>MYR</v>
      </c>
      <c r="P3812" t="str">
        <f t="shared" si="1566"/>
        <v>NIL</v>
      </c>
      <c r="Q3812" t="str">
        <f t="shared" si="1566"/>
        <v>NIL</v>
      </c>
      <c r="R3812" t="str">
        <f t="shared" si="1551"/>
        <v>Accepted</v>
      </c>
      <c r="S3812" t="str">
        <f t="shared" si="1552"/>
        <v>Approved</v>
      </c>
      <c r="T3812" t="str">
        <f t="shared" si="1553"/>
        <v>10.20.8.188</v>
      </c>
      <c r="U3812" t="str">
        <f t="shared" si="1554"/>
        <v>AZRAD UMAR BIN SHAARI</v>
      </c>
      <c r="V3812" t="str">
        <f t="shared" si="1555"/>
        <v>FARHANA BINTI MUSTAPA</v>
      </c>
      <c r="W3812" t="str">
        <f t="shared" si="1556"/>
        <v>04-08-2020</v>
      </c>
      <c r="X3812" t="str">
        <f t="shared" si="1557"/>
        <v>RAZIMAH ANSAR AHMAD</v>
      </c>
      <c r="Y3812" t="str">
        <f t="shared" si="1558"/>
        <v>04-08-2020</v>
      </c>
      <c r="Z3812" t="str">
        <f>"COS10200804 5742"</f>
        <v>COS10200804 5742</v>
      </c>
    </row>
    <row r="3813" spans="1:26" x14ac:dyDescent="0.25">
      <c r="A3813" t="str">
        <f t="shared" si="1559"/>
        <v>04-08-2020 12:56:11</v>
      </c>
      <c r="B3813" t="str">
        <f>"0000807128"</f>
        <v>0000807128</v>
      </c>
      <c r="C3813" t="str">
        <f t="shared" si="1560"/>
        <v>0000806987</v>
      </c>
      <c r="D3813" t="str">
        <f t="shared" si="1546"/>
        <v>73185</v>
      </c>
      <c r="E3813" t="str">
        <f t="shared" si="1547"/>
        <v>KFH-OPERATIONS DEPARTMENT</v>
      </c>
      <c r="F3813" t="str">
        <f t="shared" si="1548"/>
        <v>IBG</v>
      </c>
      <c r="G3813" t="str">
        <f t="shared" si="1563"/>
        <v>Refund COSHARE 10</v>
      </c>
      <c r="H3813" s="2">
        <v>51.75</v>
      </c>
      <c r="I3813" t="str">
        <f>"MOHD NADZRI BIN MOHD YUSOF  MAT JUSOH"</f>
        <v>MOHD NADZRI BIN MOHD YUSOF  MAT JUSOH</v>
      </c>
      <c r="J3813" t="str">
        <f t="shared" si="1564"/>
        <v>MAYBANK / MAYBANK ISLAMIC</v>
      </c>
      <c r="K3813" t="str">
        <f>"162432006985"</f>
        <v>162432006985</v>
      </c>
      <c r="L3813" t="str">
        <f t="shared" si="1565"/>
        <v>04-08-2020</v>
      </c>
      <c r="M3813" t="str">
        <f t="shared" si="1565"/>
        <v>04-08-2020</v>
      </c>
      <c r="N3813" t="str">
        <f t="shared" si="1549"/>
        <v>001105018356</v>
      </c>
      <c r="O3813" t="str">
        <f t="shared" si="1550"/>
        <v>MYR</v>
      </c>
      <c r="P3813" t="str">
        <f t="shared" si="1566"/>
        <v>NIL</v>
      </c>
      <c r="Q3813" t="str">
        <f t="shared" si="1566"/>
        <v>NIL</v>
      </c>
      <c r="R3813" t="str">
        <f t="shared" si="1551"/>
        <v>Accepted</v>
      </c>
      <c r="S3813" t="str">
        <f t="shared" si="1552"/>
        <v>Approved</v>
      </c>
      <c r="T3813" t="str">
        <f t="shared" si="1553"/>
        <v>10.20.8.188</v>
      </c>
      <c r="U3813" t="str">
        <f t="shared" si="1554"/>
        <v>AZRAD UMAR BIN SHAARI</v>
      </c>
      <c r="V3813" t="str">
        <f t="shared" si="1555"/>
        <v>FARHANA BINTI MUSTAPA</v>
      </c>
      <c r="W3813" t="str">
        <f t="shared" si="1556"/>
        <v>04-08-2020</v>
      </c>
      <c r="X3813" t="str">
        <f t="shared" si="1557"/>
        <v>RAZIMAH ANSAR AHMAD</v>
      </c>
      <c r="Y3813" t="str">
        <f t="shared" si="1558"/>
        <v>04-08-2020</v>
      </c>
      <c r="Z3813" t="str">
        <f>"COS10200804 5741"</f>
        <v>COS10200804 5741</v>
      </c>
    </row>
    <row r="3814" spans="1:26" x14ac:dyDescent="0.25">
      <c r="A3814" t="str">
        <f t="shared" si="1559"/>
        <v>04-08-2020 12:56:11</v>
      </c>
      <c r="B3814" t="str">
        <f>"0000807127"</f>
        <v>0000807127</v>
      </c>
      <c r="C3814" t="str">
        <f t="shared" si="1560"/>
        <v>0000806987</v>
      </c>
      <c r="D3814" t="str">
        <f t="shared" si="1546"/>
        <v>73185</v>
      </c>
      <c r="E3814" t="str">
        <f t="shared" si="1547"/>
        <v>KFH-OPERATIONS DEPARTMENT</v>
      </c>
      <c r="F3814" t="str">
        <f t="shared" si="1548"/>
        <v>IBG</v>
      </c>
      <c r="G3814" t="str">
        <f t="shared" si="1563"/>
        <v>Refund COSHARE 10</v>
      </c>
      <c r="H3814" s="2">
        <v>503.7</v>
      </c>
      <c r="I3814" t="str">
        <f>"MOHD NADHIR BIN KASSIM"</f>
        <v>MOHD NADHIR BIN KASSIM</v>
      </c>
      <c r="J3814" t="str">
        <f t="shared" si="1564"/>
        <v>MAYBANK / MAYBANK ISLAMIC</v>
      </c>
      <c r="K3814" t="str">
        <f>"164258382789"</f>
        <v>164258382789</v>
      </c>
      <c r="L3814" t="str">
        <f t="shared" si="1565"/>
        <v>04-08-2020</v>
      </c>
      <c r="M3814" t="str">
        <f t="shared" si="1565"/>
        <v>04-08-2020</v>
      </c>
      <c r="N3814" t="str">
        <f t="shared" si="1549"/>
        <v>001105018356</v>
      </c>
      <c r="O3814" t="str">
        <f t="shared" si="1550"/>
        <v>MYR</v>
      </c>
      <c r="P3814" t="str">
        <f t="shared" si="1566"/>
        <v>NIL</v>
      </c>
      <c r="Q3814" t="str">
        <f t="shared" si="1566"/>
        <v>NIL</v>
      </c>
      <c r="R3814" t="str">
        <f t="shared" si="1551"/>
        <v>Accepted</v>
      </c>
      <c r="S3814" t="str">
        <f t="shared" si="1552"/>
        <v>Approved</v>
      </c>
      <c r="T3814" t="str">
        <f t="shared" si="1553"/>
        <v>10.20.8.188</v>
      </c>
      <c r="U3814" t="str">
        <f t="shared" si="1554"/>
        <v>AZRAD UMAR BIN SHAARI</v>
      </c>
      <c r="V3814" t="str">
        <f t="shared" si="1555"/>
        <v>FARHANA BINTI MUSTAPA</v>
      </c>
      <c r="W3814" t="str">
        <f t="shared" si="1556"/>
        <v>04-08-2020</v>
      </c>
      <c r="X3814" t="str">
        <f t="shared" si="1557"/>
        <v>RAZIMAH ANSAR AHMAD</v>
      </c>
      <c r="Y3814" t="str">
        <f t="shared" si="1558"/>
        <v>04-08-2020</v>
      </c>
      <c r="Z3814" t="str">
        <f>"COS10200804 5740"</f>
        <v>COS10200804 5740</v>
      </c>
    </row>
    <row r="3815" spans="1:26" x14ac:dyDescent="0.25">
      <c r="A3815" t="str">
        <f t="shared" si="1559"/>
        <v>04-08-2020 12:56:11</v>
      </c>
      <c r="B3815" t="str">
        <f>"0000807126"</f>
        <v>0000807126</v>
      </c>
      <c r="C3815" t="str">
        <f t="shared" si="1560"/>
        <v>0000806987</v>
      </c>
      <c r="D3815" t="str">
        <f t="shared" si="1546"/>
        <v>73185</v>
      </c>
      <c r="E3815" t="str">
        <f t="shared" si="1547"/>
        <v>KFH-OPERATIONS DEPARTMENT</v>
      </c>
      <c r="F3815" t="str">
        <f t="shared" si="1548"/>
        <v>IBG</v>
      </c>
      <c r="G3815" t="str">
        <f t="shared" si="1563"/>
        <v>Refund COSHARE 10</v>
      </c>
      <c r="H3815" s="2">
        <v>293.85000000000002</v>
      </c>
      <c r="I3815" t="str">
        <f>"MOHD MUKHAIYURI BIN ABDULLAH MUTALIB"</f>
        <v>MOHD MUKHAIYURI BIN ABDULLAH MUTALIB</v>
      </c>
      <c r="J3815" t="str">
        <f t="shared" si="1564"/>
        <v>MAYBANK / MAYBANK ISLAMIC</v>
      </c>
      <c r="K3815" t="str">
        <f>"158314073641"</f>
        <v>158314073641</v>
      </c>
      <c r="L3815" t="str">
        <f t="shared" si="1565"/>
        <v>04-08-2020</v>
      </c>
      <c r="M3815" t="str">
        <f t="shared" si="1565"/>
        <v>04-08-2020</v>
      </c>
      <c r="N3815" t="str">
        <f t="shared" si="1549"/>
        <v>001105018356</v>
      </c>
      <c r="O3815" t="str">
        <f t="shared" si="1550"/>
        <v>MYR</v>
      </c>
      <c r="P3815" t="str">
        <f t="shared" si="1566"/>
        <v>NIL</v>
      </c>
      <c r="Q3815" t="str">
        <f t="shared" si="1566"/>
        <v>NIL</v>
      </c>
      <c r="R3815" t="str">
        <f t="shared" si="1551"/>
        <v>Accepted</v>
      </c>
      <c r="S3815" t="str">
        <f t="shared" si="1552"/>
        <v>Approved</v>
      </c>
      <c r="T3815" t="str">
        <f t="shared" si="1553"/>
        <v>10.20.8.188</v>
      </c>
      <c r="U3815" t="str">
        <f t="shared" si="1554"/>
        <v>AZRAD UMAR BIN SHAARI</v>
      </c>
      <c r="V3815" t="str">
        <f t="shared" si="1555"/>
        <v>FARHANA BINTI MUSTAPA</v>
      </c>
      <c r="W3815" t="str">
        <f t="shared" si="1556"/>
        <v>04-08-2020</v>
      </c>
      <c r="X3815" t="str">
        <f t="shared" si="1557"/>
        <v>RAZIMAH ANSAR AHMAD</v>
      </c>
      <c r="Y3815" t="str">
        <f t="shared" si="1558"/>
        <v>04-08-2020</v>
      </c>
      <c r="Z3815" t="str">
        <f>"COS10200804 5739"</f>
        <v>COS10200804 5739</v>
      </c>
    </row>
    <row r="3816" spans="1:26" x14ac:dyDescent="0.25">
      <c r="A3816" t="str">
        <f t="shared" si="1559"/>
        <v>04-08-2020 12:56:11</v>
      </c>
      <c r="B3816" t="str">
        <f>"0000807125"</f>
        <v>0000807125</v>
      </c>
      <c r="C3816" t="str">
        <f t="shared" si="1560"/>
        <v>0000806987</v>
      </c>
      <c r="D3816" t="str">
        <f t="shared" si="1546"/>
        <v>73185</v>
      </c>
      <c r="E3816" t="str">
        <f t="shared" si="1547"/>
        <v>KFH-OPERATIONS DEPARTMENT</v>
      </c>
      <c r="F3816" t="str">
        <f t="shared" si="1548"/>
        <v>IBG</v>
      </c>
      <c r="G3816" t="str">
        <f t="shared" si="1563"/>
        <v>Refund COSHARE 10</v>
      </c>
      <c r="H3816" s="2">
        <v>1259.25</v>
      </c>
      <c r="I3816" t="str">
        <f>"MOHD MOKHZAMIN BIN MOKHTAR"</f>
        <v>MOHD MOKHZAMIN BIN MOKHTAR</v>
      </c>
      <c r="J3816" t="str">
        <f t="shared" si="1564"/>
        <v>MAYBANK / MAYBANK ISLAMIC</v>
      </c>
      <c r="K3816" t="str">
        <f>"109017393492"</f>
        <v>109017393492</v>
      </c>
      <c r="L3816" t="str">
        <f t="shared" si="1565"/>
        <v>04-08-2020</v>
      </c>
      <c r="M3816" t="str">
        <f t="shared" si="1565"/>
        <v>04-08-2020</v>
      </c>
      <c r="N3816" t="str">
        <f t="shared" si="1549"/>
        <v>001105018356</v>
      </c>
      <c r="O3816" t="str">
        <f t="shared" si="1550"/>
        <v>MYR</v>
      </c>
      <c r="P3816" t="str">
        <f t="shared" si="1566"/>
        <v>NIL</v>
      </c>
      <c r="Q3816" t="str">
        <f t="shared" si="1566"/>
        <v>NIL</v>
      </c>
      <c r="R3816" t="str">
        <f t="shared" si="1551"/>
        <v>Accepted</v>
      </c>
      <c r="S3816" t="str">
        <f t="shared" si="1552"/>
        <v>Approved</v>
      </c>
      <c r="T3816" t="str">
        <f t="shared" si="1553"/>
        <v>10.20.8.188</v>
      </c>
      <c r="U3816" t="str">
        <f t="shared" si="1554"/>
        <v>AZRAD UMAR BIN SHAARI</v>
      </c>
      <c r="V3816" t="str">
        <f t="shared" si="1555"/>
        <v>FARHANA BINTI MUSTAPA</v>
      </c>
      <c r="W3816" t="str">
        <f t="shared" si="1556"/>
        <v>04-08-2020</v>
      </c>
      <c r="X3816" t="str">
        <f t="shared" si="1557"/>
        <v>RAZIMAH ANSAR AHMAD</v>
      </c>
      <c r="Y3816" t="str">
        <f t="shared" si="1558"/>
        <v>04-08-2020</v>
      </c>
      <c r="Z3816" t="str">
        <f>"COS10200804 5738"</f>
        <v>COS10200804 5738</v>
      </c>
    </row>
    <row r="3817" spans="1:26" x14ac:dyDescent="0.25">
      <c r="A3817" t="str">
        <f t="shared" si="1559"/>
        <v>04-08-2020 12:56:11</v>
      </c>
      <c r="B3817" t="str">
        <f>"0000807124"</f>
        <v>0000807124</v>
      </c>
      <c r="C3817" t="str">
        <f t="shared" si="1560"/>
        <v>0000806987</v>
      </c>
      <c r="D3817" t="str">
        <f t="shared" si="1546"/>
        <v>73185</v>
      </c>
      <c r="E3817" t="str">
        <f t="shared" si="1547"/>
        <v>KFH-OPERATIONS DEPARTMENT</v>
      </c>
      <c r="F3817" t="str">
        <f t="shared" si="1548"/>
        <v>IBG</v>
      </c>
      <c r="G3817" t="str">
        <f t="shared" si="1563"/>
        <v>Refund COSHARE 10</v>
      </c>
      <c r="H3817" s="2">
        <v>1284.45</v>
      </c>
      <c r="I3817" t="str">
        <f>"MOHD MIZWAN BIN MININ"</f>
        <v>MOHD MIZWAN BIN MININ</v>
      </c>
      <c r="J3817" t="str">
        <f t="shared" si="1564"/>
        <v>MAYBANK / MAYBANK ISLAMIC</v>
      </c>
      <c r="K3817" t="str">
        <f>"110096070828"</f>
        <v>110096070828</v>
      </c>
      <c r="L3817" t="str">
        <f t="shared" si="1565"/>
        <v>04-08-2020</v>
      </c>
      <c r="M3817" t="str">
        <f t="shared" si="1565"/>
        <v>04-08-2020</v>
      </c>
      <c r="N3817" t="str">
        <f t="shared" si="1549"/>
        <v>001105018356</v>
      </c>
      <c r="O3817" t="str">
        <f t="shared" si="1550"/>
        <v>MYR</v>
      </c>
      <c r="P3817" t="str">
        <f t="shared" si="1566"/>
        <v>NIL</v>
      </c>
      <c r="Q3817" t="str">
        <f t="shared" si="1566"/>
        <v>NIL</v>
      </c>
      <c r="R3817" t="str">
        <f t="shared" si="1551"/>
        <v>Accepted</v>
      </c>
      <c r="S3817" t="str">
        <f t="shared" si="1552"/>
        <v>Approved</v>
      </c>
      <c r="T3817" t="str">
        <f t="shared" si="1553"/>
        <v>10.20.8.188</v>
      </c>
      <c r="U3817" t="str">
        <f t="shared" si="1554"/>
        <v>AZRAD UMAR BIN SHAARI</v>
      </c>
      <c r="V3817" t="str">
        <f t="shared" si="1555"/>
        <v>FARHANA BINTI MUSTAPA</v>
      </c>
      <c r="W3817" t="str">
        <f t="shared" si="1556"/>
        <v>04-08-2020</v>
      </c>
      <c r="X3817" t="str">
        <f t="shared" si="1557"/>
        <v>RAZIMAH ANSAR AHMAD</v>
      </c>
      <c r="Y3817" t="str">
        <f t="shared" si="1558"/>
        <v>04-08-2020</v>
      </c>
      <c r="Z3817" t="str">
        <f>"COS10200804 5737"</f>
        <v>COS10200804 5737</v>
      </c>
    </row>
    <row r="3818" spans="1:26" x14ac:dyDescent="0.25">
      <c r="A3818" t="str">
        <f t="shared" ref="A3818:A3849" si="1567">"04-08-2020 12:56:11"</f>
        <v>04-08-2020 12:56:11</v>
      </c>
      <c r="B3818" t="str">
        <f>"0000807123"</f>
        <v>0000807123</v>
      </c>
      <c r="C3818" t="str">
        <f t="shared" ref="C3818:C3849" si="1568">"0000806987"</f>
        <v>0000806987</v>
      </c>
      <c r="D3818" t="str">
        <f t="shared" si="1546"/>
        <v>73185</v>
      </c>
      <c r="E3818" t="str">
        <f t="shared" si="1547"/>
        <v>KFH-OPERATIONS DEPARTMENT</v>
      </c>
      <c r="F3818" t="str">
        <f t="shared" si="1548"/>
        <v>IBG</v>
      </c>
      <c r="G3818" t="str">
        <f t="shared" si="1563"/>
        <v>Refund COSHARE 10</v>
      </c>
      <c r="H3818" s="2">
        <v>1386</v>
      </c>
      <c r="I3818" t="str">
        <f>"MOHD MISAOURIE BIN MAT HASAN"</f>
        <v>MOHD MISAOURIE BIN MAT HASAN</v>
      </c>
      <c r="J3818" t="str">
        <f t="shared" si="1564"/>
        <v>MAYBANK / MAYBANK ISLAMIC</v>
      </c>
      <c r="K3818" t="str">
        <f>"164221624861"</f>
        <v>164221624861</v>
      </c>
      <c r="L3818" t="str">
        <f t="shared" si="1565"/>
        <v>04-08-2020</v>
      </c>
      <c r="M3818" t="str">
        <f t="shared" si="1565"/>
        <v>04-08-2020</v>
      </c>
      <c r="N3818" t="str">
        <f t="shared" si="1549"/>
        <v>001105018356</v>
      </c>
      <c r="O3818" t="str">
        <f t="shared" si="1550"/>
        <v>MYR</v>
      </c>
      <c r="P3818" t="str">
        <f t="shared" si="1566"/>
        <v>NIL</v>
      </c>
      <c r="Q3818" t="str">
        <f t="shared" si="1566"/>
        <v>NIL</v>
      </c>
      <c r="R3818" t="str">
        <f t="shared" si="1551"/>
        <v>Accepted</v>
      </c>
      <c r="S3818" t="str">
        <f t="shared" si="1552"/>
        <v>Approved</v>
      </c>
      <c r="T3818" t="str">
        <f t="shared" si="1553"/>
        <v>10.20.8.188</v>
      </c>
      <c r="U3818" t="str">
        <f t="shared" si="1554"/>
        <v>AZRAD UMAR BIN SHAARI</v>
      </c>
      <c r="V3818" t="str">
        <f t="shared" si="1555"/>
        <v>FARHANA BINTI MUSTAPA</v>
      </c>
      <c r="W3818" t="str">
        <f t="shared" si="1556"/>
        <v>04-08-2020</v>
      </c>
      <c r="X3818" t="str">
        <f t="shared" si="1557"/>
        <v>RAZIMAH ANSAR AHMAD</v>
      </c>
      <c r="Y3818" t="str">
        <f t="shared" si="1558"/>
        <v>04-08-2020</v>
      </c>
      <c r="Z3818" t="str">
        <f>"COS10200804 5736"</f>
        <v>COS10200804 5736</v>
      </c>
    </row>
    <row r="3819" spans="1:26" x14ac:dyDescent="0.25">
      <c r="A3819" t="str">
        <f t="shared" si="1567"/>
        <v>04-08-2020 12:56:11</v>
      </c>
      <c r="B3819" t="str">
        <f>"0000807122"</f>
        <v>0000807122</v>
      </c>
      <c r="C3819" t="str">
        <f t="shared" si="1568"/>
        <v>0000806987</v>
      </c>
      <c r="D3819" t="str">
        <f t="shared" si="1546"/>
        <v>73185</v>
      </c>
      <c r="E3819" t="str">
        <f t="shared" si="1547"/>
        <v>KFH-OPERATIONS DEPARTMENT</v>
      </c>
      <c r="F3819" t="str">
        <f t="shared" si="1548"/>
        <v>IBG</v>
      </c>
      <c r="G3819" t="str">
        <f t="shared" si="1563"/>
        <v>Refund COSHARE 10</v>
      </c>
      <c r="H3819" s="2">
        <v>293.85000000000002</v>
      </c>
      <c r="I3819" t="str">
        <f>"MOHD MAZLAN BIN MANSOR"</f>
        <v>MOHD MAZLAN BIN MANSOR</v>
      </c>
      <c r="J3819" t="str">
        <f t="shared" si="1564"/>
        <v>MAYBANK / MAYBANK ISLAMIC</v>
      </c>
      <c r="K3819" t="str">
        <f>"112111116322"</f>
        <v>112111116322</v>
      </c>
      <c r="L3819" t="str">
        <f t="shared" si="1565"/>
        <v>04-08-2020</v>
      </c>
      <c r="M3819" t="str">
        <f t="shared" si="1565"/>
        <v>04-08-2020</v>
      </c>
      <c r="N3819" t="str">
        <f t="shared" si="1549"/>
        <v>001105018356</v>
      </c>
      <c r="O3819" t="str">
        <f t="shared" si="1550"/>
        <v>MYR</v>
      </c>
      <c r="P3819" t="str">
        <f t="shared" si="1566"/>
        <v>NIL</v>
      </c>
      <c r="Q3819" t="str">
        <f t="shared" si="1566"/>
        <v>NIL</v>
      </c>
      <c r="R3819" t="str">
        <f t="shared" si="1551"/>
        <v>Accepted</v>
      </c>
      <c r="S3819" t="str">
        <f t="shared" si="1552"/>
        <v>Approved</v>
      </c>
      <c r="T3819" t="str">
        <f t="shared" si="1553"/>
        <v>10.20.8.188</v>
      </c>
      <c r="U3819" t="str">
        <f t="shared" si="1554"/>
        <v>AZRAD UMAR BIN SHAARI</v>
      </c>
      <c r="V3819" t="str">
        <f t="shared" si="1555"/>
        <v>FARHANA BINTI MUSTAPA</v>
      </c>
      <c r="W3819" t="str">
        <f t="shared" si="1556"/>
        <v>04-08-2020</v>
      </c>
      <c r="X3819" t="str">
        <f t="shared" si="1557"/>
        <v>RAZIMAH ANSAR AHMAD</v>
      </c>
      <c r="Y3819" t="str">
        <f t="shared" si="1558"/>
        <v>04-08-2020</v>
      </c>
      <c r="Z3819" t="str">
        <f>"COS10200804 5735"</f>
        <v>COS10200804 5735</v>
      </c>
    </row>
    <row r="3820" spans="1:26" x14ac:dyDescent="0.25">
      <c r="A3820" t="str">
        <f t="shared" si="1567"/>
        <v>04-08-2020 12:56:11</v>
      </c>
      <c r="B3820" t="str">
        <f>"0000807121"</f>
        <v>0000807121</v>
      </c>
      <c r="C3820" t="str">
        <f t="shared" si="1568"/>
        <v>0000806987</v>
      </c>
      <c r="D3820" t="str">
        <f t="shared" si="1546"/>
        <v>73185</v>
      </c>
      <c r="E3820" t="str">
        <f t="shared" si="1547"/>
        <v>KFH-OPERATIONS DEPARTMENT</v>
      </c>
      <c r="F3820" t="str">
        <f t="shared" si="1548"/>
        <v>IBG</v>
      </c>
      <c r="G3820" t="str">
        <f t="shared" si="1563"/>
        <v>Refund COSHARE 10</v>
      </c>
      <c r="H3820" s="2">
        <v>358</v>
      </c>
      <c r="I3820" t="str">
        <f>"MOHD MAZLAN BIN ABU BAKAR"</f>
        <v>MOHD MAZLAN BIN ABU BAKAR</v>
      </c>
      <c r="J3820" t="str">
        <f t="shared" si="1564"/>
        <v>MAYBANK / MAYBANK ISLAMIC</v>
      </c>
      <c r="K3820" t="str">
        <f>"114011566635"</f>
        <v>114011566635</v>
      </c>
      <c r="L3820" t="str">
        <f t="shared" si="1565"/>
        <v>04-08-2020</v>
      </c>
      <c r="M3820" t="str">
        <f t="shared" si="1565"/>
        <v>04-08-2020</v>
      </c>
      <c r="N3820" t="str">
        <f t="shared" si="1549"/>
        <v>001105018356</v>
      </c>
      <c r="O3820" t="str">
        <f t="shared" si="1550"/>
        <v>MYR</v>
      </c>
      <c r="P3820" t="str">
        <f t="shared" si="1566"/>
        <v>NIL</v>
      </c>
      <c r="Q3820" t="str">
        <f t="shared" si="1566"/>
        <v>NIL</v>
      </c>
      <c r="R3820" t="str">
        <f t="shared" si="1551"/>
        <v>Accepted</v>
      </c>
      <c r="S3820" t="str">
        <f t="shared" si="1552"/>
        <v>Approved</v>
      </c>
      <c r="T3820" t="str">
        <f t="shared" si="1553"/>
        <v>10.20.8.188</v>
      </c>
      <c r="U3820" t="str">
        <f t="shared" si="1554"/>
        <v>AZRAD UMAR BIN SHAARI</v>
      </c>
      <c r="V3820" t="str">
        <f t="shared" si="1555"/>
        <v>FARHANA BINTI MUSTAPA</v>
      </c>
      <c r="W3820" t="str">
        <f t="shared" si="1556"/>
        <v>04-08-2020</v>
      </c>
      <c r="X3820" t="str">
        <f t="shared" si="1557"/>
        <v>RAZIMAH ANSAR AHMAD</v>
      </c>
      <c r="Y3820" t="str">
        <f t="shared" si="1558"/>
        <v>04-08-2020</v>
      </c>
      <c r="Z3820" t="str">
        <f>"COS10200804 5734"</f>
        <v>COS10200804 5734</v>
      </c>
    </row>
    <row r="3821" spans="1:26" x14ac:dyDescent="0.25">
      <c r="A3821" t="str">
        <f t="shared" si="1567"/>
        <v>04-08-2020 12:56:11</v>
      </c>
      <c r="B3821" t="str">
        <f>"0000807120"</f>
        <v>0000807120</v>
      </c>
      <c r="C3821" t="str">
        <f t="shared" si="1568"/>
        <v>0000806987</v>
      </c>
      <c r="D3821" t="str">
        <f t="shared" si="1546"/>
        <v>73185</v>
      </c>
      <c r="E3821" t="str">
        <f t="shared" si="1547"/>
        <v>KFH-OPERATIONS DEPARTMENT</v>
      </c>
      <c r="F3821" t="str">
        <f t="shared" si="1548"/>
        <v>IBG</v>
      </c>
      <c r="G3821" t="str">
        <f t="shared" si="1563"/>
        <v>Refund COSHARE 10</v>
      </c>
      <c r="H3821" s="2">
        <v>456</v>
      </c>
      <c r="I3821" t="str">
        <f>"MOHD MARZUKI BIN SHANIF"</f>
        <v>MOHD MARZUKI BIN SHANIF</v>
      </c>
      <c r="J3821" t="str">
        <f t="shared" si="1564"/>
        <v>MAYBANK / MAYBANK ISLAMIC</v>
      </c>
      <c r="K3821" t="str">
        <f>"112120014039"</f>
        <v>112120014039</v>
      </c>
      <c r="L3821" t="str">
        <f t="shared" si="1565"/>
        <v>04-08-2020</v>
      </c>
      <c r="M3821" t="str">
        <f t="shared" si="1565"/>
        <v>04-08-2020</v>
      </c>
      <c r="N3821" t="str">
        <f t="shared" si="1549"/>
        <v>001105018356</v>
      </c>
      <c r="O3821" t="str">
        <f t="shared" si="1550"/>
        <v>MYR</v>
      </c>
      <c r="P3821" t="str">
        <f t="shared" si="1566"/>
        <v>NIL</v>
      </c>
      <c r="Q3821" t="str">
        <f t="shared" si="1566"/>
        <v>NIL</v>
      </c>
      <c r="R3821" t="str">
        <f t="shared" si="1551"/>
        <v>Accepted</v>
      </c>
      <c r="S3821" t="str">
        <f t="shared" si="1552"/>
        <v>Approved</v>
      </c>
      <c r="T3821" t="str">
        <f t="shared" si="1553"/>
        <v>10.20.8.188</v>
      </c>
      <c r="U3821" t="str">
        <f t="shared" si="1554"/>
        <v>AZRAD UMAR BIN SHAARI</v>
      </c>
      <c r="V3821" t="str">
        <f t="shared" si="1555"/>
        <v>FARHANA BINTI MUSTAPA</v>
      </c>
      <c r="W3821" t="str">
        <f t="shared" si="1556"/>
        <v>04-08-2020</v>
      </c>
      <c r="X3821" t="str">
        <f t="shared" si="1557"/>
        <v>RAZIMAH ANSAR AHMAD</v>
      </c>
      <c r="Y3821" t="str">
        <f t="shared" si="1558"/>
        <v>04-08-2020</v>
      </c>
      <c r="Z3821" t="str">
        <f>"COS10200804 5733"</f>
        <v>COS10200804 5733</v>
      </c>
    </row>
    <row r="3822" spans="1:26" x14ac:dyDescent="0.25">
      <c r="A3822" t="str">
        <f t="shared" si="1567"/>
        <v>04-08-2020 12:56:11</v>
      </c>
      <c r="B3822" t="str">
        <f>"0000807119"</f>
        <v>0000807119</v>
      </c>
      <c r="C3822" t="str">
        <f t="shared" si="1568"/>
        <v>0000806987</v>
      </c>
      <c r="D3822" t="str">
        <f t="shared" si="1546"/>
        <v>73185</v>
      </c>
      <c r="E3822" t="str">
        <f t="shared" si="1547"/>
        <v>KFH-OPERATIONS DEPARTMENT</v>
      </c>
      <c r="F3822" t="str">
        <f t="shared" si="1548"/>
        <v>IBG</v>
      </c>
      <c r="G3822" t="str">
        <f t="shared" si="1563"/>
        <v>Refund COSHARE 10</v>
      </c>
      <c r="H3822" s="2">
        <v>129</v>
      </c>
      <c r="I3822" t="str">
        <f>"MOHD LUTFI BIN JUSOH"</f>
        <v>MOHD LUTFI BIN JUSOH</v>
      </c>
      <c r="J3822" t="str">
        <f t="shared" si="1564"/>
        <v>MAYBANK / MAYBANK ISLAMIC</v>
      </c>
      <c r="K3822" t="str">
        <f>"153104028036"</f>
        <v>153104028036</v>
      </c>
      <c r="L3822" t="str">
        <f t="shared" si="1565"/>
        <v>04-08-2020</v>
      </c>
      <c r="M3822" t="str">
        <f t="shared" si="1565"/>
        <v>04-08-2020</v>
      </c>
      <c r="N3822" t="str">
        <f t="shared" si="1549"/>
        <v>001105018356</v>
      </c>
      <c r="O3822" t="str">
        <f t="shared" si="1550"/>
        <v>MYR</v>
      </c>
      <c r="P3822" t="str">
        <f t="shared" si="1566"/>
        <v>NIL</v>
      </c>
      <c r="Q3822" t="str">
        <f t="shared" si="1566"/>
        <v>NIL</v>
      </c>
      <c r="R3822" t="str">
        <f t="shared" si="1551"/>
        <v>Accepted</v>
      </c>
      <c r="S3822" t="str">
        <f t="shared" si="1552"/>
        <v>Approved</v>
      </c>
      <c r="T3822" t="str">
        <f t="shared" si="1553"/>
        <v>10.20.8.188</v>
      </c>
      <c r="U3822" t="str">
        <f t="shared" si="1554"/>
        <v>AZRAD UMAR BIN SHAARI</v>
      </c>
      <c r="V3822" t="str">
        <f t="shared" si="1555"/>
        <v>FARHANA BINTI MUSTAPA</v>
      </c>
      <c r="W3822" t="str">
        <f t="shared" si="1556"/>
        <v>04-08-2020</v>
      </c>
      <c r="X3822" t="str">
        <f t="shared" si="1557"/>
        <v>RAZIMAH ANSAR AHMAD</v>
      </c>
      <c r="Y3822" t="str">
        <f t="shared" si="1558"/>
        <v>04-08-2020</v>
      </c>
      <c r="Z3822" t="str">
        <f>"COS10200804 5732"</f>
        <v>COS10200804 5732</v>
      </c>
    </row>
    <row r="3823" spans="1:26" x14ac:dyDescent="0.25">
      <c r="A3823" t="str">
        <f t="shared" si="1567"/>
        <v>04-08-2020 12:56:11</v>
      </c>
      <c r="B3823" t="str">
        <f>"0000807118"</f>
        <v>0000807118</v>
      </c>
      <c r="C3823" t="str">
        <f t="shared" si="1568"/>
        <v>0000806987</v>
      </c>
      <c r="D3823" t="str">
        <f t="shared" si="1546"/>
        <v>73185</v>
      </c>
      <c r="E3823" t="str">
        <f t="shared" si="1547"/>
        <v>KFH-OPERATIONS DEPARTMENT</v>
      </c>
      <c r="F3823" t="str">
        <f t="shared" si="1548"/>
        <v>IBG</v>
      </c>
      <c r="G3823" t="str">
        <f t="shared" si="1563"/>
        <v>Refund COSHARE 10</v>
      </c>
      <c r="H3823" s="2">
        <v>127.05</v>
      </c>
      <c r="I3823" t="str">
        <f>"MOHD LUTFI BIN JUSOH"</f>
        <v>MOHD LUTFI BIN JUSOH</v>
      </c>
      <c r="J3823" t="str">
        <f t="shared" si="1564"/>
        <v>MAYBANK / MAYBANK ISLAMIC</v>
      </c>
      <c r="K3823" t="str">
        <f>"153104028036"</f>
        <v>153104028036</v>
      </c>
      <c r="L3823" t="str">
        <f t="shared" si="1565"/>
        <v>04-08-2020</v>
      </c>
      <c r="M3823" t="str">
        <f t="shared" si="1565"/>
        <v>04-08-2020</v>
      </c>
      <c r="N3823" t="str">
        <f t="shared" si="1549"/>
        <v>001105018356</v>
      </c>
      <c r="O3823" t="str">
        <f t="shared" si="1550"/>
        <v>MYR</v>
      </c>
      <c r="P3823" t="str">
        <f t="shared" si="1566"/>
        <v>NIL</v>
      </c>
      <c r="Q3823" t="str">
        <f t="shared" si="1566"/>
        <v>NIL</v>
      </c>
      <c r="R3823" t="str">
        <f t="shared" si="1551"/>
        <v>Accepted</v>
      </c>
      <c r="S3823" t="str">
        <f t="shared" si="1552"/>
        <v>Approved</v>
      </c>
      <c r="T3823" t="str">
        <f t="shared" si="1553"/>
        <v>10.20.8.188</v>
      </c>
      <c r="U3823" t="str">
        <f t="shared" si="1554"/>
        <v>AZRAD UMAR BIN SHAARI</v>
      </c>
      <c r="V3823" t="str">
        <f t="shared" si="1555"/>
        <v>FARHANA BINTI MUSTAPA</v>
      </c>
      <c r="W3823" t="str">
        <f t="shared" si="1556"/>
        <v>04-08-2020</v>
      </c>
      <c r="X3823" t="str">
        <f t="shared" si="1557"/>
        <v>RAZIMAH ANSAR AHMAD</v>
      </c>
      <c r="Y3823" t="str">
        <f t="shared" si="1558"/>
        <v>04-08-2020</v>
      </c>
      <c r="Z3823" t="str">
        <f>"COS10200804 5731"</f>
        <v>COS10200804 5731</v>
      </c>
    </row>
    <row r="3824" spans="1:26" x14ac:dyDescent="0.25">
      <c r="A3824" t="str">
        <f t="shared" si="1567"/>
        <v>04-08-2020 12:56:11</v>
      </c>
      <c r="B3824" t="str">
        <f>"0000807117"</f>
        <v>0000807117</v>
      </c>
      <c r="C3824" t="str">
        <f t="shared" si="1568"/>
        <v>0000806987</v>
      </c>
      <c r="D3824" t="str">
        <f t="shared" si="1546"/>
        <v>73185</v>
      </c>
      <c r="E3824" t="str">
        <f t="shared" si="1547"/>
        <v>KFH-OPERATIONS DEPARTMENT</v>
      </c>
      <c r="F3824" t="str">
        <f t="shared" si="1548"/>
        <v>IBG</v>
      </c>
      <c r="G3824" t="str">
        <f t="shared" si="1563"/>
        <v>Refund COSHARE 10</v>
      </c>
      <c r="H3824" s="2">
        <v>713.6</v>
      </c>
      <c r="I3824" t="str">
        <f>"MOHD LUTFI BIN JOHARI"</f>
        <v>MOHD LUTFI BIN JOHARI</v>
      </c>
      <c r="J3824" t="str">
        <f t="shared" si="1564"/>
        <v>MAYBANK / MAYBANK ISLAMIC</v>
      </c>
      <c r="K3824" t="str">
        <f>"101133256708"</f>
        <v>101133256708</v>
      </c>
      <c r="L3824" t="str">
        <f t="shared" si="1565"/>
        <v>04-08-2020</v>
      </c>
      <c r="M3824" t="str">
        <f t="shared" si="1565"/>
        <v>04-08-2020</v>
      </c>
      <c r="N3824" t="str">
        <f t="shared" si="1549"/>
        <v>001105018356</v>
      </c>
      <c r="O3824" t="str">
        <f t="shared" si="1550"/>
        <v>MYR</v>
      </c>
      <c r="P3824" t="str">
        <f t="shared" si="1566"/>
        <v>NIL</v>
      </c>
      <c r="Q3824" t="str">
        <f t="shared" si="1566"/>
        <v>NIL</v>
      </c>
      <c r="R3824" t="str">
        <f t="shared" si="1551"/>
        <v>Accepted</v>
      </c>
      <c r="S3824" t="str">
        <f t="shared" si="1552"/>
        <v>Approved</v>
      </c>
      <c r="T3824" t="str">
        <f t="shared" si="1553"/>
        <v>10.20.8.188</v>
      </c>
      <c r="U3824" t="str">
        <f t="shared" si="1554"/>
        <v>AZRAD UMAR BIN SHAARI</v>
      </c>
      <c r="V3824" t="str">
        <f t="shared" si="1555"/>
        <v>FARHANA BINTI MUSTAPA</v>
      </c>
      <c r="W3824" t="str">
        <f t="shared" si="1556"/>
        <v>04-08-2020</v>
      </c>
      <c r="X3824" t="str">
        <f t="shared" si="1557"/>
        <v>RAZIMAH ANSAR AHMAD</v>
      </c>
      <c r="Y3824" t="str">
        <f t="shared" si="1558"/>
        <v>04-08-2020</v>
      </c>
      <c r="Z3824" t="str">
        <f>"COS10200804 5730"</f>
        <v>COS10200804 5730</v>
      </c>
    </row>
    <row r="3825" spans="1:26" x14ac:dyDescent="0.25">
      <c r="A3825" t="str">
        <f t="shared" si="1567"/>
        <v>04-08-2020 12:56:11</v>
      </c>
      <c r="B3825" t="str">
        <f>"0000807116"</f>
        <v>0000807116</v>
      </c>
      <c r="C3825" t="str">
        <f t="shared" si="1568"/>
        <v>0000806987</v>
      </c>
      <c r="D3825" t="str">
        <f t="shared" si="1546"/>
        <v>73185</v>
      </c>
      <c r="E3825" t="str">
        <f t="shared" si="1547"/>
        <v>KFH-OPERATIONS DEPARTMENT</v>
      </c>
      <c r="F3825" t="str">
        <f t="shared" si="1548"/>
        <v>IBG</v>
      </c>
      <c r="G3825" t="str">
        <f t="shared" si="1563"/>
        <v>Refund COSHARE 10</v>
      </c>
      <c r="H3825" s="2">
        <v>176.3</v>
      </c>
      <c r="I3825" t="str">
        <f>"MOHD KYIZZAD BIN MESRAN"</f>
        <v>MOHD KYIZZAD BIN MESRAN</v>
      </c>
      <c r="J3825" t="str">
        <f t="shared" si="1564"/>
        <v>MAYBANK / MAYBANK ISLAMIC</v>
      </c>
      <c r="K3825" t="str">
        <f>"151137881112"</f>
        <v>151137881112</v>
      </c>
      <c r="L3825" t="str">
        <f t="shared" si="1565"/>
        <v>04-08-2020</v>
      </c>
      <c r="M3825" t="str">
        <f t="shared" si="1565"/>
        <v>04-08-2020</v>
      </c>
      <c r="N3825" t="str">
        <f t="shared" si="1549"/>
        <v>001105018356</v>
      </c>
      <c r="O3825" t="str">
        <f t="shared" si="1550"/>
        <v>MYR</v>
      </c>
      <c r="P3825" t="str">
        <f t="shared" si="1566"/>
        <v>NIL</v>
      </c>
      <c r="Q3825" t="str">
        <f t="shared" si="1566"/>
        <v>NIL</v>
      </c>
      <c r="R3825" t="str">
        <f t="shared" si="1551"/>
        <v>Accepted</v>
      </c>
      <c r="S3825" t="str">
        <f t="shared" si="1552"/>
        <v>Approved</v>
      </c>
      <c r="T3825" t="str">
        <f t="shared" si="1553"/>
        <v>10.20.8.188</v>
      </c>
      <c r="U3825" t="str">
        <f t="shared" si="1554"/>
        <v>AZRAD UMAR BIN SHAARI</v>
      </c>
      <c r="V3825" t="str">
        <f t="shared" si="1555"/>
        <v>FARHANA BINTI MUSTAPA</v>
      </c>
      <c r="W3825" t="str">
        <f t="shared" si="1556"/>
        <v>04-08-2020</v>
      </c>
      <c r="X3825" t="str">
        <f t="shared" si="1557"/>
        <v>RAZIMAH ANSAR AHMAD</v>
      </c>
      <c r="Y3825" t="str">
        <f t="shared" si="1558"/>
        <v>04-08-2020</v>
      </c>
      <c r="Z3825" t="str">
        <f>"COS10200804 5729"</f>
        <v>COS10200804 5729</v>
      </c>
    </row>
    <row r="3826" spans="1:26" x14ac:dyDescent="0.25">
      <c r="A3826" t="str">
        <f t="shared" si="1567"/>
        <v>04-08-2020 12:56:11</v>
      </c>
      <c r="B3826" t="str">
        <f>"0000807115"</f>
        <v>0000807115</v>
      </c>
      <c r="C3826" t="str">
        <f t="shared" si="1568"/>
        <v>0000806987</v>
      </c>
      <c r="D3826" t="str">
        <f t="shared" si="1546"/>
        <v>73185</v>
      </c>
      <c r="E3826" t="str">
        <f t="shared" si="1547"/>
        <v>KFH-OPERATIONS DEPARTMENT</v>
      </c>
      <c r="F3826" t="str">
        <f t="shared" si="1548"/>
        <v>IBG</v>
      </c>
      <c r="G3826" t="str">
        <f t="shared" si="1563"/>
        <v>Refund COSHARE 10</v>
      </c>
      <c r="H3826" s="2">
        <v>1614.4</v>
      </c>
      <c r="I3826" t="str">
        <f>"MOHD KOLEK BIN MOHAMAD NOR"</f>
        <v>MOHD KOLEK BIN MOHAMAD NOR</v>
      </c>
      <c r="J3826" t="str">
        <f t="shared" si="1564"/>
        <v>MAYBANK / MAYBANK ISLAMIC</v>
      </c>
      <c r="K3826" t="str">
        <f>"162021379051"</f>
        <v>162021379051</v>
      </c>
      <c r="L3826" t="str">
        <f t="shared" si="1565"/>
        <v>04-08-2020</v>
      </c>
      <c r="M3826" t="str">
        <f t="shared" si="1565"/>
        <v>04-08-2020</v>
      </c>
      <c r="N3826" t="str">
        <f t="shared" si="1549"/>
        <v>001105018356</v>
      </c>
      <c r="O3826" t="str">
        <f t="shared" si="1550"/>
        <v>MYR</v>
      </c>
      <c r="P3826" t="str">
        <f t="shared" si="1566"/>
        <v>NIL</v>
      </c>
      <c r="Q3826" t="str">
        <f t="shared" si="1566"/>
        <v>NIL</v>
      </c>
      <c r="R3826" t="str">
        <f t="shared" si="1551"/>
        <v>Accepted</v>
      </c>
      <c r="S3826" t="str">
        <f t="shared" si="1552"/>
        <v>Approved</v>
      </c>
      <c r="T3826" t="str">
        <f t="shared" si="1553"/>
        <v>10.20.8.188</v>
      </c>
      <c r="U3826" t="str">
        <f t="shared" si="1554"/>
        <v>AZRAD UMAR BIN SHAARI</v>
      </c>
      <c r="V3826" t="str">
        <f t="shared" si="1555"/>
        <v>FARHANA BINTI MUSTAPA</v>
      </c>
      <c r="W3826" t="str">
        <f t="shared" si="1556"/>
        <v>04-08-2020</v>
      </c>
      <c r="X3826" t="str">
        <f t="shared" si="1557"/>
        <v>RAZIMAH ANSAR AHMAD</v>
      </c>
      <c r="Y3826" t="str">
        <f t="shared" si="1558"/>
        <v>04-08-2020</v>
      </c>
      <c r="Z3826" t="str">
        <f>"COS10200804 5728"</f>
        <v>COS10200804 5728</v>
      </c>
    </row>
    <row r="3827" spans="1:26" x14ac:dyDescent="0.25">
      <c r="A3827" t="str">
        <f t="shared" si="1567"/>
        <v>04-08-2020 12:56:11</v>
      </c>
      <c r="B3827" t="str">
        <f>"0000807114"</f>
        <v>0000807114</v>
      </c>
      <c r="C3827" t="str">
        <f t="shared" si="1568"/>
        <v>0000806987</v>
      </c>
      <c r="D3827" t="str">
        <f t="shared" si="1546"/>
        <v>73185</v>
      </c>
      <c r="E3827" t="str">
        <f t="shared" si="1547"/>
        <v>KFH-OPERATIONS DEPARTMENT</v>
      </c>
      <c r="F3827" t="str">
        <f t="shared" si="1548"/>
        <v>IBG</v>
      </c>
      <c r="G3827" t="str">
        <f t="shared" si="1563"/>
        <v>Refund COSHARE 10</v>
      </c>
      <c r="H3827" s="2">
        <v>635.20000000000005</v>
      </c>
      <c r="I3827" t="str">
        <f>"MOHD KHUSHAIRI BIN SARBAINI"</f>
        <v>MOHD KHUSHAIRI BIN SARBAINI</v>
      </c>
      <c r="J3827" t="str">
        <f t="shared" si="1564"/>
        <v>MAYBANK / MAYBANK ISLAMIC</v>
      </c>
      <c r="K3827" t="str">
        <f>"156208030882"</f>
        <v>156208030882</v>
      </c>
      <c r="L3827" t="str">
        <f t="shared" ref="L3827:M3846" si="1569">"04-08-2020"</f>
        <v>04-08-2020</v>
      </c>
      <c r="M3827" t="str">
        <f t="shared" si="1569"/>
        <v>04-08-2020</v>
      </c>
      <c r="N3827" t="str">
        <f t="shared" si="1549"/>
        <v>001105018356</v>
      </c>
      <c r="O3827" t="str">
        <f t="shared" si="1550"/>
        <v>MYR</v>
      </c>
      <c r="P3827" t="str">
        <f t="shared" ref="P3827:Q3846" si="1570">"NIL"</f>
        <v>NIL</v>
      </c>
      <c r="Q3827" t="str">
        <f t="shared" si="1570"/>
        <v>NIL</v>
      </c>
      <c r="R3827" t="str">
        <f t="shared" si="1551"/>
        <v>Accepted</v>
      </c>
      <c r="S3827" t="str">
        <f t="shared" si="1552"/>
        <v>Approved</v>
      </c>
      <c r="T3827" t="str">
        <f t="shared" si="1553"/>
        <v>10.20.8.188</v>
      </c>
      <c r="U3827" t="str">
        <f t="shared" si="1554"/>
        <v>AZRAD UMAR BIN SHAARI</v>
      </c>
      <c r="V3827" t="str">
        <f t="shared" si="1555"/>
        <v>FARHANA BINTI MUSTAPA</v>
      </c>
      <c r="W3827" t="str">
        <f t="shared" si="1556"/>
        <v>04-08-2020</v>
      </c>
      <c r="X3827" t="str">
        <f t="shared" si="1557"/>
        <v>RAZIMAH ANSAR AHMAD</v>
      </c>
      <c r="Y3827" t="str">
        <f t="shared" si="1558"/>
        <v>04-08-2020</v>
      </c>
      <c r="Z3827" t="str">
        <f>"COS10200804 5727"</f>
        <v>COS10200804 5727</v>
      </c>
    </row>
    <row r="3828" spans="1:26" x14ac:dyDescent="0.25">
      <c r="A3828" t="str">
        <f t="shared" si="1567"/>
        <v>04-08-2020 12:56:11</v>
      </c>
      <c r="B3828" t="str">
        <f>"0000807113"</f>
        <v>0000807113</v>
      </c>
      <c r="C3828" t="str">
        <f t="shared" si="1568"/>
        <v>0000806987</v>
      </c>
      <c r="D3828" t="str">
        <f t="shared" si="1546"/>
        <v>73185</v>
      </c>
      <c r="E3828" t="str">
        <f t="shared" si="1547"/>
        <v>KFH-OPERATIONS DEPARTMENT</v>
      </c>
      <c r="F3828" t="str">
        <f t="shared" si="1548"/>
        <v>IBG</v>
      </c>
      <c r="G3828" t="str">
        <f t="shared" si="1563"/>
        <v>Refund COSHARE 10</v>
      </c>
      <c r="H3828" s="2">
        <v>646.45000000000005</v>
      </c>
      <c r="I3828" t="str">
        <f>"MOHD KHALID BIN ISMAIL"</f>
        <v>MOHD KHALID BIN ISMAIL</v>
      </c>
      <c r="J3828" t="str">
        <f t="shared" si="1564"/>
        <v>MAYBANK / MAYBANK ISLAMIC</v>
      </c>
      <c r="K3828" t="str">
        <f>"156208107744"</f>
        <v>156208107744</v>
      </c>
      <c r="L3828" t="str">
        <f t="shared" si="1569"/>
        <v>04-08-2020</v>
      </c>
      <c r="M3828" t="str">
        <f t="shared" si="1569"/>
        <v>04-08-2020</v>
      </c>
      <c r="N3828" t="str">
        <f t="shared" si="1549"/>
        <v>001105018356</v>
      </c>
      <c r="O3828" t="str">
        <f t="shared" si="1550"/>
        <v>MYR</v>
      </c>
      <c r="P3828" t="str">
        <f t="shared" si="1570"/>
        <v>NIL</v>
      </c>
      <c r="Q3828" t="str">
        <f t="shared" si="1570"/>
        <v>NIL</v>
      </c>
      <c r="R3828" t="str">
        <f t="shared" si="1551"/>
        <v>Accepted</v>
      </c>
      <c r="S3828" t="str">
        <f t="shared" si="1552"/>
        <v>Approved</v>
      </c>
      <c r="T3828" t="str">
        <f t="shared" si="1553"/>
        <v>10.20.8.188</v>
      </c>
      <c r="U3828" t="str">
        <f t="shared" si="1554"/>
        <v>AZRAD UMAR BIN SHAARI</v>
      </c>
      <c r="V3828" t="str">
        <f t="shared" si="1555"/>
        <v>FARHANA BINTI MUSTAPA</v>
      </c>
      <c r="W3828" t="str">
        <f t="shared" si="1556"/>
        <v>04-08-2020</v>
      </c>
      <c r="X3828" t="str">
        <f t="shared" si="1557"/>
        <v>RAZIMAH ANSAR AHMAD</v>
      </c>
      <c r="Y3828" t="str">
        <f t="shared" si="1558"/>
        <v>04-08-2020</v>
      </c>
      <c r="Z3828" t="str">
        <f>"COS10200804 5726"</f>
        <v>COS10200804 5726</v>
      </c>
    </row>
    <row r="3829" spans="1:26" x14ac:dyDescent="0.25">
      <c r="A3829" t="str">
        <f t="shared" si="1567"/>
        <v>04-08-2020 12:56:11</v>
      </c>
      <c r="B3829" t="str">
        <f>"0000807112"</f>
        <v>0000807112</v>
      </c>
      <c r="C3829" t="str">
        <f t="shared" si="1568"/>
        <v>0000806987</v>
      </c>
      <c r="D3829" t="str">
        <f t="shared" si="1546"/>
        <v>73185</v>
      </c>
      <c r="E3829" t="str">
        <f t="shared" si="1547"/>
        <v>KFH-OPERATIONS DEPARTMENT</v>
      </c>
      <c r="F3829" t="str">
        <f t="shared" si="1548"/>
        <v>IBG</v>
      </c>
      <c r="G3829" t="str">
        <f t="shared" si="1563"/>
        <v>Refund COSHARE 10</v>
      </c>
      <c r="H3829" s="2">
        <v>1175.3</v>
      </c>
      <c r="I3829" t="str">
        <f>"MOHD KHAIZUR BIN KHAIRUDDIN"</f>
        <v>MOHD KHAIZUR BIN KHAIRUDDIN</v>
      </c>
      <c r="J3829" t="str">
        <f t="shared" si="1564"/>
        <v>MAYBANK / MAYBANK ISLAMIC</v>
      </c>
      <c r="K3829" t="str">
        <f>"162768007603"</f>
        <v>162768007603</v>
      </c>
      <c r="L3829" t="str">
        <f t="shared" si="1569"/>
        <v>04-08-2020</v>
      </c>
      <c r="M3829" t="str">
        <f t="shared" si="1569"/>
        <v>04-08-2020</v>
      </c>
      <c r="N3829" t="str">
        <f t="shared" si="1549"/>
        <v>001105018356</v>
      </c>
      <c r="O3829" t="str">
        <f t="shared" si="1550"/>
        <v>MYR</v>
      </c>
      <c r="P3829" t="str">
        <f t="shared" si="1570"/>
        <v>NIL</v>
      </c>
      <c r="Q3829" t="str">
        <f t="shared" si="1570"/>
        <v>NIL</v>
      </c>
      <c r="R3829" t="str">
        <f t="shared" si="1551"/>
        <v>Accepted</v>
      </c>
      <c r="S3829" t="str">
        <f t="shared" si="1552"/>
        <v>Approved</v>
      </c>
      <c r="T3829" t="str">
        <f t="shared" si="1553"/>
        <v>10.20.8.188</v>
      </c>
      <c r="U3829" t="str">
        <f t="shared" si="1554"/>
        <v>AZRAD UMAR BIN SHAARI</v>
      </c>
      <c r="V3829" t="str">
        <f t="shared" si="1555"/>
        <v>FARHANA BINTI MUSTAPA</v>
      </c>
      <c r="W3829" t="str">
        <f t="shared" si="1556"/>
        <v>04-08-2020</v>
      </c>
      <c r="X3829" t="str">
        <f t="shared" si="1557"/>
        <v>RAZIMAH ANSAR AHMAD</v>
      </c>
      <c r="Y3829" t="str">
        <f t="shared" si="1558"/>
        <v>04-08-2020</v>
      </c>
      <c r="Z3829" t="str">
        <f>"COS10200804 5725"</f>
        <v>COS10200804 5725</v>
      </c>
    </row>
    <row r="3830" spans="1:26" x14ac:dyDescent="0.25">
      <c r="A3830" t="str">
        <f t="shared" si="1567"/>
        <v>04-08-2020 12:56:11</v>
      </c>
      <c r="B3830" t="str">
        <f>"0000807111"</f>
        <v>0000807111</v>
      </c>
      <c r="C3830" t="str">
        <f t="shared" si="1568"/>
        <v>0000806987</v>
      </c>
      <c r="D3830" t="str">
        <f t="shared" si="1546"/>
        <v>73185</v>
      </c>
      <c r="E3830" t="str">
        <f t="shared" si="1547"/>
        <v>KFH-OPERATIONS DEPARTMENT</v>
      </c>
      <c r="F3830" t="str">
        <f t="shared" si="1548"/>
        <v>IBG</v>
      </c>
      <c r="G3830" t="str">
        <f t="shared" si="1563"/>
        <v>Refund COSHARE 10</v>
      </c>
      <c r="H3830" s="2">
        <v>302.25</v>
      </c>
      <c r="I3830" t="str">
        <f>"MOHD KHAIRULNIZAM SHAH BIN AHMAD"</f>
        <v>MOHD KHAIRULNIZAM SHAH BIN AHMAD</v>
      </c>
      <c r="J3830" t="str">
        <f t="shared" si="1564"/>
        <v>MAYBANK / MAYBANK ISLAMIC</v>
      </c>
      <c r="K3830" t="str">
        <f>"106098443108"</f>
        <v>106098443108</v>
      </c>
      <c r="L3830" t="str">
        <f t="shared" si="1569"/>
        <v>04-08-2020</v>
      </c>
      <c r="M3830" t="str">
        <f t="shared" si="1569"/>
        <v>04-08-2020</v>
      </c>
      <c r="N3830" t="str">
        <f t="shared" si="1549"/>
        <v>001105018356</v>
      </c>
      <c r="O3830" t="str">
        <f t="shared" si="1550"/>
        <v>MYR</v>
      </c>
      <c r="P3830" t="str">
        <f t="shared" si="1570"/>
        <v>NIL</v>
      </c>
      <c r="Q3830" t="str">
        <f t="shared" si="1570"/>
        <v>NIL</v>
      </c>
      <c r="R3830" t="str">
        <f t="shared" si="1551"/>
        <v>Accepted</v>
      </c>
      <c r="S3830" t="str">
        <f t="shared" si="1552"/>
        <v>Approved</v>
      </c>
      <c r="T3830" t="str">
        <f t="shared" si="1553"/>
        <v>10.20.8.188</v>
      </c>
      <c r="U3830" t="str">
        <f t="shared" si="1554"/>
        <v>AZRAD UMAR BIN SHAARI</v>
      </c>
      <c r="V3830" t="str">
        <f t="shared" si="1555"/>
        <v>FARHANA BINTI MUSTAPA</v>
      </c>
      <c r="W3830" t="str">
        <f t="shared" si="1556"/>
        <v>04-08-2020</v>
      </c>
      <c r="X3830" t="str">
        <f t="shared" si="1557"/>
        <v>RAZIMAH ANSAR AHMAD</v>
      </c>
      <c r="Y3830" t="str">
        <f t="shared" si="1558"/>
        <v>04-08-2020</v>
      </c>
      <c r="Z3830" t="str">
        <f>"COS10200804 5724"</f>
        <v>COS10200804 5724</v>
      </c>
    </row>
    <row r="3831" spans="1:26" x14ac:dyDescent="0.25">
      <c r="A3831" t="str">
        <f t="shared" si="1567"/>
        <v>04-08-2020 12:56:11</v>
      </c>
      <c r="B3831" t="str">
        <f>"0000807110"</f>
        <v>0000807110</v>
      </c>
      <c r="C3831" t="str">
        <f t="shared" si="1568"/>
        <v>0000806987</v>
      </c>
      <c r="D3831" t="str">
        <f t="shared" si="1546"/>
        <v>73185</v>
      </c>
      <c r="E3831" t="str">
        <f t="shared" si="1547"/>
        <v>KFH-OPERATIONS DEPARTMENT</v>
      </c>
      <c r="F3831" t="str">
        <f t="shared" si="1548"/>
        <v>IBG</v>
      </c>
      <c r="G3831" t="str">
        <f t="shared" si="1563"/>
        <v>Refund COSHARE 10</v>
      </c>
      <c r="H3831" s="2">
        <v>668</v>
      </c>
      <c r="I3831" t="str">
        <f>"MOHD KHAIRULNIZAL BIN IBRAHIM"</f>
        <v>MOHD KHAIRULNIZAL BIN IBRAHIM</v>
      </c>
      <c r="J3831" t="str">
        <f t="shared" si="1564"/>
        <v>MAYBANK / MAYBANK ISLAMIC</v>
      </c>
      <c r="K3831" t="str">
        <f>"158220549232"</f>
        <v>158220549232</v>
      </c>
      <c r="L3831" t="str">
        <f t="shared" si="1569"/>
        <v>04-08-2020</v>
      </c>
      <c r="M3831" t="str">
        <f t="shared" si="1569"/>
        <v>04-08-2020</v>
      </c>
      <c r="N3831" t="str">
        <f t="shared" si="1549"/>
        <v>001105018356</v>
      </c>
      <c r="O3831" t="str">
        <f t="shared" si="1550"/>
        <v>MYR</v>
      </c>
      <c r="P3831" t="str">
        <f t="shared" si="1570"/>
        <v>NIL</v>
      </c>
      <c r="Q3831" t="str">
        <f t="shared" si="1570"/>
        <v>NIL</v>
      </c>
      <c r="R3831" t="str">
        <f t="shared" si="1551"/>
        <v>Accepted</v>
      </c>
      <c r="S3831" t="str">
        <f t="shared" si="1552"/>
        <v>Approved</v>
      </c>
      <c r="T3831" t="str">
        <f t="shared" si="1553"/>
        <v>10.20.8.188</v>
      </c>
      <c r="U3831" t="str">
        <f t="shared" si="1554"/>
        <v>AZRAD UMAR BIN SHAARI</v>
      </c>
      <c r="V3831" t="str">
        <f t="shared" si="1555"/>
        <v>FARHANA BINTI MUSTAPA</v>
      </c>
      <c r="W3831" t="str">
        <f t="shared" si="1556"/>
        <v>04-08-2020</v>
      </c>
      <c r="X3831" t="str">
        <f t="shared" si="1557"/>
        <v>RAZIMAH ANSAR AHMAD</v>
      </c>
      <c r="Y3831" t="str">
        <f t="shared" si="1558"/>
        <v>04-08-2020</v>
      </c>
      <c r="Z3831" t="str">
        <f>"COS10200804 5723"</f>
        <v>COS10200804 5723</v>
      </c>
    </row>
    <row r="3832" spans="1:26" x14ac:dyDescent="0.25">
      <c r="A3832" t="str">
        <f t="shared" si="1567"/>
        <v>04-08-2020 12:56:11</v>
      </c>
      <c r="B3832" t="str">
        <f>"0000807109"</f>
        <v>0000807109</v>
      </c>
      <c r="C3832" t="str">
        <f t="shared" si="1568"/>
        <v>0000806987</v>
      </c>
      <c r="D3832" t="str">
        <f t="shared" si="1546"/>
        <v>73185</v>
      </c>
      <c r="E3832" t="str">
        <f t="shared" si="1547"/>
        <v>KFH-OPERATIONS DEPARTMENT</v>
      </c>
      <c r="F3832" t="str">
        <f t="shared" si="1548"/>
        <v>IBG</v>
      </c>
      <c r="G3832" t="str">
        <f t="shared" si="1563"/>
        <v>Refund COSHARE 10</v>
      </c>
      <c r="H3832" s="2">
        <v>973.85</v>
      </c>
      <c r="I3832" t="str">
        <f>"MOHD KHAIRUL NAZRI BIN GHAZALI"</f>
        <v>MOHD KHAIRUL NAZRI BIN GHAZALI</v>
      </c>
      <c r="J3832" t="str">
        <f t="shared" si="1564"/>
        <v>MAYBANK / MAYBANK ISLAMIC</v>
      </c>
      <c r="K3832" t="str">
        <f>"164276013773"</f>
        <v>164276013773</v>
      </c>
      <c r="L3832" t="str">
        <f t="shared" si="1569"/>
        <v>04-08-2020</v>
      </c>
      <c r="M3832" t="str">
        <f t="shared" si="1569"/>
        <v>04-08-2020</v>
      </c>
      <c r="N3832" t="str">
        <f t="shared" si="1549"/>
        <v>001105018356</v>
      </c>
      <c r="O3832" t="str">
        <f t="shared" si="1550"/>
        <v>MYR</v>
      </c>
      <c r="P3832" t="str">
        <f t="shared" si="1570"/>
        <v>NIL</v>
      </c>
      <c r="Q3832" t="str">
        <f t="shared" si="1570"/>
        <v>NIL</v>
      </c>
      <c r="R3832" t="str">
        <f t="shared" si="1551"/>
        <v>Accepted</v>
      </c>
      <c r="S3832" t="str">
        <f t="shared" si="1552"/>
        <v>Approved</v>
      </c>
      <c r="T3832" t="str">
        <f t="shared" si="1553"/>
        <v>10.20.8.188</v>
      </c>
      <c r="U3832" t="str">
        <f t="shared" si="1554"/>
        <v>AZRAD UMAR BIN SHAARI</v>
      </c>
      <c r="V3832" t="str">
        <f t="shared" si="1555"/>
        <v>FARHANA BINTI MUSTAPA</v>
      </c>
      <c r="W3832" t="str">
        <f t="shared" si="1556"/>
        <v>04-08-2020</v>
      </c>
      <c r="X3832" t="str">
        <f t="shared" si="1557"/>
        <v>RAZIMAH ANSAR AHMAD</v>
      </c>
      <c r="Y3832" t="str">
        <f t="shared" si="1558"/>
        <v>04-08-2020</v>
      </c>
      <c r="Z3832" t="str">
        <f>"COS10200804 5722"</f>
        <v>COS10200804 5722</v>
      </c>
    </row>
    <row r="3833" spans="1:26" x14ac:dyDescent="0.25">
      <c r="A3833" t="str">
        <f t="shared" si="1567"/>
        <v>04-08-2020 12:56:11</v>
      </c>
      <c r="B3833" t="str">
        <f>"0000807108"</f>
        <v>0000807108</v>
      </c>
      <c r="C3833" t="str">
        <f t="shared" si="1568"/>
        <v>0000806987</v>
      </c>
      <c r="D3833" t="str">
        <f t="shared" si="1546"/>
        <v>73185</v>
      </c>
      <c r="E3833" t="str">
        <f t="shared" si="1547"/>
        <v>KFH-OPERATIONS DEPARTMENT</v>
      </c>
      <c r="F3833" t="str">
        <f t="shared" si="1548"/>
        <v>IBG</v>
      </c>
      <c r="G3833" t="str">
        <f t="shared" si="1563"/>
        <v>Refund COSHARE 10</v>
      </c>
      <c r="H3833" s="2">
        <v>347.7</v>
      </c>
      <c r="I3833" t="str">
        <f>"MOHD KHAIRUL FAUDZI BIN YAACOB"</f>
        <v>MOHD KHAIRUL FAUDZI BIN YAACOB</v>
      </c>
      <c r="J3833" t="str">
        <f t="shared" si="1564"/>
        <v>MAYBANK / MAYBANK ISLAMIC</v>
      </c>
      <c r="K3833" t="str">
        <f>"102054496269"</f>
        <v>102054496269</v>
      </c>
      <c r="L3833" t="str">
        <f t="shared" si="1569"/>
        <v>04-08-2020</v>
      </c>
      <c r="M3833" t="str">
        <f t="shared" si="1569"/>
        <v>04-08-2020</v>
      </c>
      <c r="N3833" t="str">
        <f t="shared" si="1549"/>
        <v>001105018356</v>
      </c>
      <c r="O3833" t="str">
        <f t="shared" si="1550"/>
        <v>MYR</v>
      </c>
      <c r="P3833" t="str">
        <f t="shared" si="1570"/>
        <v>NIL</v>
      </c>
      <c r="Q3833" t="str">
        <f t="shared" si="1570"/>
        <v>NIL</v>
      </c>
      <c r="R3833" t="str">
        <f t="shared" si="1551"/>
        <v>Accepted</v>
      </c>
      <c r="S3833" t="str">
        <f t="shared" si="1552"/>
        <v>Approved</v>
      </c>
      <c r="T3833" t="str">
        <f t="shared" si="1553"/>
        <v>10.20.8.188</v>
      </c>
      <c r="U3833" t="str">
        <f t="shared" si="1554"/>
        <v>AZRAD UMAR BIN SHAARI</v>
      </c>
      <c r="V3833" t="str">
        <f t="shared" si="1555"/>
        <v>FARHANA BINTI MUSTAPA</v>
      </c>
      <c r="W3833" t="str">
        <f t="shared" si="1556"/>
        <v>04-08-2020</v>
      </c>
      <c r="X3833" t="str">
        <f t="shared" si="1557"/>
        <v>RAZIMAH ANSAR AHMAD</v>
      </c>
      <c r="Y3833" t="str">
        <f t="shared" si="1558"/>
        <v>04-08-2020</v>
      </c>
      <c r="Z3833" t="str">
        <f>"COS10200804 5721"</f>
        <v>COS10200804 5721</v>
      </c>
    </row>
    <row r="3834" spans="1:26" x14ac:dyDescent="0.25">
      <c r="A3834" t="str">
        <f t="shared" si="1567"/>
        <v>04-08-2020 12:56:11</v>
      </c>
      <c r="B3834" t="str">
        <f>"0000807107"</f>
        <v>0000807107</v>
      </c>
      <c r="C3834" t="str">
        <f t="shared" si="1568"/>
        <v>0000806987</v>
      </c>
      <c r="D3834" t="str">
        <f t="shared" si="1546"/>
        <v>73185</v>
      </c>
      <c r="E3834" t="str">
        <f t="shared" si="1547"/>
        <v>KFH-OPERATIONS DEPARTMENT</v>
      </c>
      <c r="F3834" t="str">
        <f t="shared" si="1548"/>
        <v>IBG</v>
      </c>
      <c r="G3834" t="str">
        <f t="shared" si="1563"/>
        <v>Refund COSHARE 10</v>
      </c>
      <c r="H3834" s="2">
        <v>503.7</v>
      </c>
      <c r="I3834" t="str">
        <f>"MOHD KHAIRUL BIN IBRAHIM"</f>
        <v>MOHD KHAIRUL BIN IBRAHIM</v>
      </c>
      <c r="J3834" t="str">
        <f t="shared" si="1564"/>
        <v>MAYBANK / MAYBANK ISLAMIC</v>
      </c>
      <c r="K3834" t="str">
        <f>"108225431611"</f>
        <v>108225431611</v>
      </c>
      <c r="L3834" t="str">
        <f t="shared" si="1569"/>
        <v>04-08-2020</v>
      </c>
      <c r="M3834" t="str">
        <f t="shared" si="1569"/>
        <v>04-08-2020</v>
      </c>
      <c r="N3834" t="str">
        <f t="shared" si="1549"/>
        <v>001105018356</v>
      </c>
      <c r="O3834" t="str">
        <f t="shared" si="1550"/>
        <v>MYR</v>
      </c>
      <c r="P3834" t="str">
        <f t="shared" si="1570"/>
        <v>NIL</v>
      </c>
      <c r="Q3834" t="str">
        <f t="shared" si="1570"/>
        <v>NIL</v>
      </c>
      <c r="R3834" t="str">
        <f t="shared" si="1551"/>
        <v>Accepted</v>
      </c>
      <c r="S3834" t="str">
        <f t="shared" si="1552"/>
        <v>Approved</v>
      </c>
      <c r="T3834" t="str">
        <f t="shared" si="1553"/>
        <v>10.20.8.188</v>
      </c>
      <c r="U3834" t="str">
        <f t="shared" si="1554"/>
        <v>AZRAD UMAR BIN SHAARI</v>
      </c>
      <c r="V3834" t="str">
        <f t="shared" si="1555"/>
        <v>FARHANA BINTI MUSTAPA</v>
      </c>
      <c r="W3834" t="str">
        <f t="shared" si="1556"/>
        <v>04-08-2020</v>
      </c>
      <c r="X3834" t="str">
        <f t="shared" si="1557"/>
        <v>RAZIMAH ANSAR AHMAD</v>
      </c>
      <c r="Y3834" t="str">
        <f t="shared" si="1558"/>
        <v>04-08-2020</v>
      </c>
      <c r="Z3834" t="str">
        <f>"COS10200804 5720"</f>
        <v>COS10200804 5720</v>
      </c>
    </row>
    <row r="3835" spans="1:26" x14ac:dyDescent="0.25">
      <c r="A3835" t="str">
        <f t="shared" si="1567"/>
        <v>04-08-2020 12:56:11</v>
      </c>
      <c r="B3835" t="str">
        <f>"0000807106"</f>
        <v>0000807106</v>
      </c>
      <c r="C3835" t="str">
        <f t="shared" si="1568"/>
        <v>0000806987</v>
      </c>
      <c r="D3835" t="str">
        <f t="shared" si="1546"/>
        <v>73185</v>
      </c>
      <c r="E3835" t="str">
        <f t="shared" si="1547"/>
        <v>KFH-OPERATIONS DEPARTMENT</v>
      </c>
      <c r="F3835" t="str">
        <f t="shared" si="1548"/>
        <v>IBG</v>
      </c>
      <c r="G3835" t="str">
        <f t="shared" si="1563"/>
        <v>Refund COSHARE 10</v>
      </c>
      <c r="H3835" s="2">
        <v>219</v>
      </c>
      <c r="I3835" t="str">
        <f>"MOHD KHAIRUL BIN ANWAR"</f>
        <v>MOHD KHAIRUL BIN ANWAR</v>
      </c>
      <c r="J3835" t="str">
        <f t="shared" si="1564"/>
        <v>MAYBANK / MAYBANK ISLAMIC</v>
      </c>
      <c r="K3835" t="str">
        <f>"153010186449"</f>
        <v>153010186449</v>
      </c>
      <c r="L3835" t="str">
        <f t="shared" si="1569"/>
        <v>04-08-2020</v>
      </c>
      <c r="M3835" t="str">
        <f t="shared" si="1569"/>
        <v>04-08-2020</v>
      </c>
      <c r="N3835" t="str">
        <f t="shared" si="1549"/>
        <v>001105018356</v>
      </c>
      <c r="O3835" t="str">
        <f t="shared" si="1550"/>
        <v>MYR</v>
      </c>
      <c r="P3835" t="str">
        <f t="shared" si="1570"/>
        <v>NIL</v>
      </c>
      <c r="Q3835" t="str">
        <f t="shared" si="1570"/>
        <v>NIL</v>
      </c>
      <c r="R3835" t="str">
        <f t="shared" si="1551"/>
        <v>Accepted</v>
      </c>
      <c r="S3835" t="str">
        <f t="shared" si="1552"/>
        <v>Approved</v>
      </c>
      <c r="T3835" t="str">
        <f t="shared" si="1553"/>
        <v>10.20.8.188</v>
      </c>
      <c r="U3835" t="str">
        <f t="shared" si="1554"/>
        <v>AZRAD UMAR BIN SHAARI</v>
      </c>
      <c r="V3835" t="str">
        <f t="shared" si="1555"/>
        <v>FARHANA BINTI MUSTAPA</v>
      </c>
      <c r="W3835" t="str">
        <f t="shared" si="1556"/>
        <v>04-08-2020</v>
      </c>
      <c r="X3835" t="str">
        <f t="shared" si="1557"/>
        <v>RAZIMAH ANSAR AHMAD</v>
      </c>
      <c r="Y3835" t="str">
        <f t="shared" si="1558"/>
        <v>04-08-2020</v>
      </c>
      <c r="Z3835" t="str">
        <f>"COS10200804 5719"</f>
        <v>COS10200804 5719</v>
      </c>
    </row>
    <row r="3836" spans="1:26" x14ac:dyDescent="0.25">
      <c r="A3836" t="str">
        <f t="shared" si="1567"/>
        <v>04-08-2020 12:56:11</v>
      </c>
      <c r="B3836" t="str">
        <f>"0000807105"</f>
        <v>0000807105</v>
      </c>
      <c r="C3836" t="str">
        <f t="shared" si="1568"/>
        <v>0000806987</v>
      </c>
      <c r="D3836" t="str">
        <f t="shared" si="1546"/>
        <v>73185</v>
      </c>
      <c r="E3836" t="str">
        <f t="shared" si="1547"/>
        <v>KFH-OPERATIONS DEPARTMENT</v>
      </c>
      <c r="F3836" t="str">
        <f t="shared" si="1548"/>
        <v>IBG</v>
      </c>
      <c r="G3836" t="str">
        <f t="shared" si="1563"/>
        <v>Refund COSHARE 10</v>
      </c>
      <c r="H3836" s="2">
        <v>495.3</v>
      </c>
      <c r="I3836" t="str">
        <f>"MOHD KHAIRUL AZHAR B KAMIRUNSAMAN"</f>
        <v>MOHD KHAIRUL AZHAR B KAMIRUNSAMAN</v>
      </c>
      <c r="J3836" t="str">
        <f t="shared" si="1564"/>
        <v>MAYBANK / MAYBANK ISLAMIC</v>
      </c>
      <c r="K3836" t="str">
        <f>"164409520646"</f>
        <v>164409520646</v>
      </c>
      <c r="L3836" t="str">
        <f t="shared" si="1569"/>
        <v>04-08-2020</v>
      </c>
      <c r="M3836" t="str">
        <f t="shared" si="1569"/>
        <v>04-08-2020</v>
      </c>
      <c r="N3836" t="str">
        <f t="shared" si="1549"/>
        <v>001105018356</v>
      </c>
      <c r="O3836" t="str">
        <f t="shared" si="1550"/>
        <v>MYR</v>
      </c>
      <c r="P3836" t="str">
        <f t="shared" si="1570"/>
        <v>NIL</v>
      </c>
      <c r="Q3836" t="str">
        <f t="shared" si="1570"/>
        <v>NIL</v>
      </c>
      <c r="R3836" t="str">
        <f t="shared" si="1551"/>
        <v>Accepted</v>
      </c>
      <c r="S3836" t="str">
        <f t="shared" si="1552"/>
        <v>Approved</v>
      </c>
      <c r="T3836" t="str">
        <f t="shared" si="1553"/>
        <v>10.20.8.188</v>
      </c>
      <c r="U3836" t="str">
        <f t="shared" si="1554"/>
        <v>AZRAD UMAR BIN SHAARI</v>
      </c>
      <c r="V3836" t="str">
        <f t="shared" si="1555"/>
        <v>FARHANA BINTI MUSTAPA</v>
      </c>
      <c r="W3836" t="str">
        <f t="shared" si="1556"/>
        <v>04-08-2020</v>
      </c>
      <c r="X3836" t="str">
        <f t="shared" si="1557"/>
        <v>RAZIMAH ANSAR AHMAD</v>
      </c>
      <c r="Y3836" t="str">
        <f t="shared" si="1558"/>
        <v>04-08-2020</v>
      </c>
      <c r="Z3836" t="str">
        <f>"COS10200804 5718"</f>
        <v>COS10200804 5718</v>
      </c>
    </row>
    <row r="3837" spans="1:26" x14ac:dyDescent="0.25">
      <c r="A3837" t="str">
        <f t="shared" si="1567"/>
        <v>04-08-2020 12:56:11</v>
      </c>
      <c r="B3837" t="str">
        <f>"0000807104"</f>
        <v>0000807104</v>
      </c>
      <c r="C3837" t="str">
        <f t="shared" si="1568"/>
        <v>0000806987</v>
      </c>
      <c r="D3837" t="str">
        <f t="shared" si="1546"/>
        <v>73185</v>
      </c>
      <c r="E3837" t="str">
        <f t="shared" si="1547"/>
        <v>KFH-OPERATIONS DEPARTMENT</v>
      </c>
      <c r="F3837" t="str">
        <f t="shared" si="1548"/>
        <v>IBG</v>
      </c>
      <c r="G3837" t="str">
        <f t="shared" si="1563"/>
        <v>Refund COSHARE 10</v>
      </c>
      <c r="H3837" s="2">
        <v>839.5</v>
      </c>
      <c r="I3837" t="str">
        <f>"MOHD KHAIRUL ANUAR BIN ABU KHAMIS"</f>
        <v>MOHD KHAIRUL ANUAR BIN ABU KHAMIS</v>
      </c>
      <c r="J3837" t="str">
        <f t="shared" si="1564"/>
        <v>MAYBANK / MAYBANK ISLAMIC</v>
      </c>
      <c r="K3837" t="str">
        <f>"101013026094"</f>
        <v>101013026094</v>
      </c>
      <c r="L3837" t="str">
        <f t="shared" si="1569"/>
        <v>04-08-2020</v>
      </c>
      <c r="M3837" t="str">
        <f t="shared" si="1569"/>
        <v>04-08-2020</v>
      </c>
      <c r="N3837" t="str">
        <f t="shared" si="1549"/>
        <v>001105018356</v>
      </c>
      <c r="O3837" t="str">
        <f t="shared" si="1550"/>
        <v>MYR</v>
      </c>
      <c r="P3837" t="str">
        <f t="shared" si="1570"/>
        <v>NIL</v>
      </c>
      <c r="Q3837" t="str">
        <f t="shared" si="1570"/>
        <v>NIL</v>
      </c>
      <c r="R3837" t="str">
        <f t="shared" si="1551"/>
        <v>Accepted</v>
      </c>
      <c r="S3837" t="str">
        <f t="shared" si="1552"/>
        <v>Approved</v>
      </c>
      <c r="T3837" t="str">
        <f t="shared" si="1553"/>
        <v>10.20.8.188</v>
      </c>
      <c r="U3837" t="str">
        <f t="shared" si="1554"/>
        <v>AZRAD UMAR BIN SHAARI</v>
      </c>
      <c r="V3837" t="str">
        <f t="shared" si="1555"/>
        <v>FARHANA BINTI MUSTAPA</v>
      </c>
      <c r="W3837" t="str">
        <f t="shared" si="1556"/>
        <v>04-08-2020</v>
      </c>
      <c r="X3837" t="str">
        <f t="shared" si="1557"/>
        <v>RAZIMAH ANSAR AHMAD</v>
      </c>
      <c r="Y3837" t="str">
        <f t="shared" si="1558"/>
        <v>04-08-2020</v>
      </c>
      <c r="Z3837" t="str">
        <f>"COS10200804 5717"</f>
        <v>COS10200804 5717</v>
      </c>
    </row>
    <row r="3838" spans="1:26" x14ac:dyDescent="0.25">
      <c r="A3838" t="str">
        <f t="shared" si="1567"/>
        <v>04-08-2020 12:56:11</v>
      </c>
      <c r="B3838" t="str">
        <f>"0000807103"</f>
        <v>0000807103</v>
      </c>
      <c r="C3838" t="str">
        <f t="shared" si="1568"/>
        <v>0000806987</v>
      </c>
      <c r="D3838" t="str">
        <f t="shared" si="1546"/>
        <v>73185</v>
      </c>
      <c r="E3838" t="str">
        <f t="shared" si="1547"/>
        <v>KFH-OPERATIONS DEPARTMENT</v>
      </c>
      <c r="F3838" t="str">
        <f t="shared" si="1548"/>
        <v>IBG</v>
      </c>
      <c r="G3838" t="str">
        <f t="shared" si="1563"/>
        <v>Refund COSHARE 10</v>
      </c>
      <c r="H3838" s="2">
        <v>100.75</v>
      </c>
      <c r="I3838" t="str">
        <f>"MOHD KHAIRUL ADENI BIN BAHGIA"</f>
        <v>MOHD KHAIRUL ADENI BIN BAHGIA</v>
      </c>
      <c r="J3838" t="str">
        <f t="shared" si="1564"/>
        <v>MAYBANK / MAYBANK ISLAMIC</v>
      </c>
      <c r="K3838" t="str">
        <f>"111132081976"</f>
        <v>111132081976</v>
      </c>
      <c r="L3838" t="str">
        <f t="shared" si="1569"/>
        <v>04-08-2020</v>
      </c>
      <c r="M3838" t="str">
        <f t="shared" si="1569"/>
        <v>04-08-2020</v>
      </c>
      <c r="N3838" t="str">
        <f t="shared" si="1549"/>
        <v>001105018356</v>
      </c>
      <c r="O3838" t="str">
        <f t="shared" si="1550"/>
        <v>MYR</v>
      </c>
      <c r="P3838" t="str">
        <f t="shared" si="1570"/>
        <v>NIL</v>
      </c>
      <c r="Q3838" t="str">
        <f t="shared" si="1570"/>
        <v>NIL</v>
      </c>
      <c r="R3838" t="str">
        <f t="shared" si="1551"/>
        <v>Accepted</v>
      </c>
      <c r="S3838" t="str">
        <f t="shared" si="1552"/>
        <v>Approved</v>
      </c>
      <c r="T3838" t="str">
        <f t="shared" si="1553"/>
        <v>10.20.8.188</v>
      </c>
      <c r="U3838" t="str">
        <f t="shared" si="1554"/>
        <v>AZRAD UMAR BIN SHAARI</v>
      </c>
      <c r="V3838" t="str">
        <f t="shared" si="1555"/>
        <v>FARHANA BINTI MUSTAPA</v>
      </c>
      <c r="W3838" t="str">
        <f t="shared" si="1556"/>
        <v>04-08-2020</v>
      </c>
      <c r="X3838" t="str">
        <f t="shared" si="1557"/>
        <v>RAZIMAH ANSAR AHMAD</v>
      </c>
      <c r="Y3838" t="str">
        <f t="shared" si="1558"/>
        <v>04-08-2020</v>
      </c>
      <c r="Z3838" t="str">
        <f>"COS10200804 5716"</f>
        <v>COS10200804 5716</v>
      </c>
    </row>
    <row r="3839" spans="1:26" x14ac:dyDescent="0.25">
      <c r="A3839" t="str">
        <f t="shared" si="1567"/>
        <v>04-08-2020 12:56:11</v>
      </c>
      <c r="B3839" t="str">
        <f>"0000807102"</f>
        <v>0000807102</v>
      </c>
      <c r="C3839" t="str">
        <f t="shared" si="1568"/>
        <v>0000806987</v>
      </c>
      <c r="D3839" t="str">
        <f t="shared" si="1546"/>
        <v>73185</v>
      </c>
      <c r="E3839" t="str">
        <f t="shared" si="1547"/>
        <v>KFH-OPERATIONS DEPARTMENT</v>
      </c>
      <c r="F3839" t="str">
        <f t="shared" si="1548"/>
        <v>IBG</v>
      </c>
      <c r="G3839" t="str">
        <f t="shared" si="1563"/>
        <v>Refund COSHARE 10</v>
      </c>
      <c r="H3839" s="2">
        <v>587.65</v>
      </c>
      <c r="I3839" t="str">
        <f>"MOHD KHAIROLNIZAM BIN MOHD NAZIM"</f>
        <v>MOHD KHAIROLNIZAM BIN MOHD NAZIM</v>
      </c>
      <c r="J3839" t="str">
        <f t="shared" si="1564"/>
        <v>MAYBANK / MAYBANK ISLAMIC</v>
      </c>
      <c r="K3839" t="str">
        <f>"153056212787"</f>
        <v>153056212787</v>
      </c>
      <c r="L3839" t="str">
        <f t="shared" si="1569"/>
        <v>04-08-2020</v>
      </c>
      <c r="M3839" t="str">
        <f t="shared" si="1569"/>
        <v>04-08-2020</v>
      </c>
      <c r="N3839" t="str">
        <f t="shared" si="1549"/>
        <v>001105018356</v>
      </c>
      <c r="O3839" t="str">
        <f t="shared" si="1550"/>
        <v>MYR</v>
      </c>
      <c r="P3839" t="str">
        <f t="shared" si="1570"/>
        <v>NIL</v>
      </c>
      <c r="Q3839" t="str">
        <f t="shared" si="1570"/>
        <v>NIL</v>
      </c>
      <c r="R3839" t="str">
        <f t="shared" si="1551"/>
        <v>Accepted</v>
      </c>
      <c r="S3839" t="str">
        <f t="shared" si="1552"/>
        <v>Approved</v>
      </c>
      <c r="T3839" t="str">
        <f t="shared" si="1553"/>
        <v>10.20.8.188</v>
      </c>
      <c r="U3839" t="str">
        <f t="shared" si="1554"/>
        <v>AZRAD UMAR BIN SHAARI</v>
      </c>
      <c r="V3839" t="str">
        <f t="shared" si="1555"/>
        <v>FARHANA BINTI MUSTAPA</v>
      </c>
      <c r="W3839" t="str">
        <f t="shared" si="1556"/>
        <v>04-08-2020</v>
      </c>
      <c r="X3839" t="str">
        <f t="shared" si="1557"/>
        <v>RAZIMAH ANSAR AHMAD</v>
      </c>
      <c r="Y3839" t="str">
        <f t="shared" si="1558"/>
        <v>04-08-2020</v>
      </c>
      <c r="Z3839" t="str">
        <f>"COS10200804 5715"</f>
        <v>COS10200804 5715</v>
      </c>
    </row>
    <row r="3840" spans="1:26" x14ac:dyDescent="0.25">
      <c r="A3840" t="str">
        <f t="shared" si="1567"/>
        <v>04-08-2020 12:56:11</v>
      </c>
      <c r="B3840" t="str">
        <f>"0000807101"</f>
        <v>0000807101</v>
      </c>
      <c r="C3840" t="str">
        <f t="shared" si="1568"/>
        <v>0000806987</v>
      </c>
      <c r="D3840" t="str">
        <f t="shared" si="1546"/>
        <v>73185</v>
      </c>
      <c r="E3840" t="str">
        <f t="shared" si="1547"/>
        <v>KFH-OPERATIONS DEPARTMENT</v>
      </c>
      <c r="F3840" t="str">
        <f t="shared" si="1548"/>
        <v>IBG</v>
      </c>
      <c r="G3840" t="str">
        <f t="shared" si="1563"/>
        <v>Refund COSHARE 10</v>
      </c>
      <c r="H3840" s="2">
        <v>587.65</v>
      </c>
      <c r="I3840" t="str">
        <f>"MOHD KHAIRIL BIN ISMAIL"</f>
        <v>MOHD KHAIRIL BIN ISMAIL</v>
      </c>
      <c r="J3840" t="str">
        <f t="shared" si="1564"/>
        <v>MAYBANK / MAYBANK ISLAMIC</v>
      </c>
      <c r="K3840" t="str">
        <f>"156011862672"</f>
        <v>156011862672</v>
      </c>
      <c r="L3840" t="str">
        <f t="shared" si="1569"/>
        <v>04-08-2020</v>
      </c>
      <c r="M3840" t="str">
        <f t="shared" si="1569"/>
        <v>04-08-2020</v>
      </c>
      <c r="N3840" t="str">
        <f t="shared" si="1549"/>
        <v>001105018356</v>
      </c>
      <c r="O3840" t="str">
        <f t="shared" si="1550"/>
        <v>MYR</v>
      </c>
      <c r="P3840" t="str">
        <f t="shared" si="1570"/>
        <v>NIL</v>
      </c>
      <c r="Q3840" t="str">
        <f t="shared" si="1570"/>
        <v>NIL</v>
      </c>
      <c r="R3840" t="str">
        <f t="shared" si="1551"/>
        <v>Accepted</v>
      </c>
      <c r="S3840" t="str">
        <f t="shared" si="1552"/>
        <v>Approved</v>
      </c>
      <c r="T3840" t="str">
        <f t="shared" si="1553"/>
        <v>10.20.8.188</v>
      </c>
      <c r="U3840" t="str">
        <f t="shared" si="1554"/>
        <v>AZRAD UMAR BIN SHAARI</v>
      </c>
      <c r="V3840" t="str">
        <f t="shared" si="1555"/>
        <v>FARHANA BINTI MUSTAPA</v>
      </c>
      <c r="W3840" t="str">
        <f t="shared" si="1556"/>
        <v>04-08-2020</v>
      </c>
      <c r="X3840" t="str">
        <f t="shared" si="1557"/>
        <v>RAZIMAH ANSAR AHMAD</v>
      </c>
      <c r="Y3840" t="str">
        <f t="shared" si="1558"/>
        <v>04-08-2020</v>
      </c>
      <c r="Z3840" t="str">
        <f>"COS10200804 5714"</f>
        <v>COS10200804 5714</v>
      </c>
    </row>
    <row r="3841" spans="1:26" x14ac:dyDescent="0.25">
      <c r="A3841" t="str">
        <f t="shared" si="1567"/>
        <v>04-08-2020 12:56:11</v>
      </c>
      <c r="B3841" t="str">
        <f>"0000807100"</f>
        <v>0000807100</v>
      </c>
      <c r="C3841" t="str">
        <f t="shared" si="1568"/>
        <v>0000806987</v>
      </c>
      <c r="D3841" t="str">
        <f t="shared" si="1546"/>
        <v>73185</v>
      </c>
      <c r="E3841" t="str">
        <f t="shared" si="1547"/>
        <v>KFH-OPERATIONS DEPARTMENT</v>
      </c>
      <c r="F3841" t="str">
        <f t="shared" si="1548"/>
        <v>IBG</v>
      </c>
      <c r="G3841" t="str">
        <f t="shared" si="1563"/>
        <v>Refund COSHARE 10</v>
      </c>
      <c r="H3841" s="2">
        <v>227</v>
      </c>
      <c r="I3841" t="str">
        <f>"MOHD KHAIRI BIN MOHD ARIS"</f>
        <v>MOHD KHAIRI BIN MOHD ARIS</v>
      </c>
      <c r="J3841" t="str">
        <f t="shared" si="1564"/>
        <v>MAYBANK / MAYBANK ISLAMIC</v>
      </c>
      <c r="K3841" t="str">
        <f>"158314093328"</f>
        <v>158314093328</v>
      </c>
      <c r="L3841" t="str">
        <f t="shared" si="1569"/>
        <v>04-08-2020</v>
      </c>
      <c r="M3841" t="str">
        <f t="shared" si="1569"/>
        <v>04-08-2020</v>
      </c>
      <c r="N3841" t="str">
        <f t="shared" si="1549"/>
        <v>001105018356</v>
      </c>
      <c r="O3841" t="str">
        <f t="shared" si="1550"/>
        <v>MYR</v>
      </c>
      <c r="P3841" t="str">
        <f t="shared" si="1570"/>
        <v>NIL</v>
      </c>
      <c r="Q3841" t="str">
        <f t="shared" si="1570"/>
        <v>NIL</v>
      </c>
      <c r="R3841" t="str">
        <f t="shared" si="1551"/>
        <v>Accepted</v>
      </c>
      <c r="S3841" t="str">
        <f t="shared" si="1552"/>
        <v>Approved</v>
      </c>
      <c r="T3841" t="str">
        <f t="shared" si="1553"/>
        <v>10.20.8.188</v>
      </c>
      <c r="U3841" t="str">
        <f t="shared" si="1554"/>
        <v>AZRAD UMAR BIN SHAARI</v>
      </c>
      <c r="V3841" t="str">
        <f t="shared" si="1555"/>
        <v>FARHANA BINTI MUSTAPA</v>
      </c>
      <c r="W3841" t="str">
        <f t="shared" si="1556"/>
        <v>04-08-2020</v>
      </c>
      <c r="X3841" t="str">
        <f t="shared" si="1557"/>
        <v>RAZIMAH ANSAR AHMAD</v>
      </c>
      <c r="Y3841" t="str">
        <f t="shared" si="1558"/>
        <v>04-08-2020</v>
      </c>
      <c r="Z3841" t="str">
        <f>"COS10200804 5713"</f>
        <v>COS10200804 5713</v>
      </c>
    </row>
    <row r="3842" spans="1:26" x14ac:dyDescent="0.25">
      <c r="A3842" t="str">
        <f t="shared" si="1567"/>
        <v>04-08-2020 12:56:11</v>
      </c>
      <c r="B3842" t="str">
        <f>"0000807099"</f>
        <v>0000807099</v>
      </c>
      <c r="C3842" t="str">
        <f t="shared" si="1568"/>
        <v>0000806987</v>
      </c>
      <c r="D3842" t="str">
        <f t="shared" si="1546"/>
        <v>73185</v>
      </c>
      <c r="E3842" t="str">
        <f t="shared" si="1547"/>
        <v>KFH-OPERATIONS DEPARTMENT</v>
      </c>
      <c r="F3842" t="str">
        <f t="shared" si="1548"/>
        <v>IBG</v>
      </c>
      <c r="G3842" t="str">
        <f t="shared" si="1563"/>
        <v>Refund COSHARE 10</v>
      </c>
      <c r="H3842" s="2">
        <v>696.8</v>
      </c>
      <c r="I3842" t="str">
        <f>"MOHD KHAIRI BIN JAMALUDIN"</f>
        <v>MOHD KHAIRI BIN JAMALUDIN</v>
      </c>
      <c r="J3842" t="str">
        <f t="shared" si="1564"/>
        <v>MAYBANK / MAYBANK ISLAMIC</v>
      </c>
      <c r="K3842" t="str">
        <f>"166010057051"</f>
        <v>166010057051</v>
      </c>
      <c r="L3842" t="str">
        <f t="shared" si="1569"/>
        <v>04-08-2020</v>
      </c>
      <c r="M3842" t="str">
        <f t="shared" si="1569"/>
        <v>04-08-2020</v>
      </c>
      <c r="N3842" t="str">
        <f t="shared" si="1549"/>
        <v>001105018356</v>
      </c>
      <c r="O3842" t="str">
        <f t="shared" si="1550"/>
        <v>MYR</v>
      </c>
      <c r="P3842" t="str">
        <f t="shared" si="1570"/>
        <v>NIL</v>
      </c>
      <c r="Q3842" t="str">
        <f t="shared" si="1570"/>
        <v>NIL</v>
      </c>
      <c r="R3842" t="str">
        <f t="shared" si="1551"/>
        <v>Accepted</v>
      </c>
      <c r="S3842" t="str">
        <f t="shared" si="1552"/>
        <v>Approved</v>
      </c>
      <c r="T3842" t="str">
        <f t="shared" si="1553"/>
        <v>10.20.8.188</v>
      </c>
      <c r="U3842" t="str">
        <f t="shared" si="1554"/>
        <v>AZRAD UMAR BIN SHAARI</v>
      </c>
      <c r="V3842" t="str">
        <f t="shared" si="1555"/>
        <v>FARHANA BINTI MUSTAPA</v>
      </c>
      <c r="W3842" t="str">
        <f t="shared" si="1556"/>
        <v>04-08-2020</v>
      </c>
      <c r="X3842" t="str">
        <f t="shared" si="1557"/>
        <v>RAZIMAH ANSAR AHMAD</v>
      </c>
      <c r="Y3842" t="str">
        <f t="shared" si="1558"/>
        <v>04-08-2020</v>
      </c>
      <c r="Z3842" t="str">
        <f>"COS10200804 5712"</f>
        <v>COS10200804 5712</v>
      </c>
    </row>
    <row r="3843" spans="1:26" x14ac:dyDescent="0.25">
      <c r="A3843" t="str">
        <f t="shared" si="1567"/>
        <v>04-08-2020 12:56:11</v>
      </c>
      <c r="B3843" t="str">
        <f>"0000807098"</f>
        <v>0000807098</v>
      </c>
      <c r="C3843" t="str">
        <f t="shared" si="1568"/>
        <v>0000806987</v>
      </c>
      <c r="D3843" t="str">
        <f t="shared" si="1546"/>
        <v>73185</v>
      </c>
      <c r="E3843" t="str">
        <f t="shared" si="1547"/>
        <v>KFH-OPERATIONS DEPARTMENT</v>
      </c>
      <c r="F3843" t="str">
        <f t="shared" si="1548"/>
        <v>IBG</v>
      </c>
      <c r="G3843" t="str">
        <f t="shared" si="1563"/>
        <v>Refund COSHARE 10</v>
      </c>
      <c r="H3843" s="2">
        <v>109.15</v>
      </c>
      <c r="I3843" t="str">
        <f>"MOHD KHAIRI BIN ALI OTHMAN"</f>
        <v>MOHD KHAIRI BIN ALI OTHMAN</v>
      </c>
      <c r="J3843" t="str">
        <f t="shared" si="1564"/>
        <v>MAYBANK / MAYBANK ISLAMIC</v>
      </c>
      <c r="K3843" t="str">
        <f>"164258316709"</f>
        <v>164258316709</v>
      </c>
      <c r="L3843" t="str">
        <f t="shared" si="1569"/>
        <v>04-08-2020</v>
      </c>
      <c r="M3843" t="str">
        <f t="shared" si="1569"/>
        <v>04-08-2020</v>
      </c>
      <c r="N3843" t="str">
        <f t="shared" si="1549"/>
        <v>001105018356</v>
      </c>
      <c r="O3843" t="str">
        <f t="shared" si="1550"/>
        <v>MYR</v>
      </c>
      <c r="P3843" t="str">
        <f t="shared" si="1570"/>
        <v>NIL</v>
      </c>
      <c r="Q3843" t="str">
        <f t="shared" si="1570"/>
        <v>NIL</v>
      </c>
      <c r="R3843" t="str">
        <f t="shared" si="1551"/>
        <v>Accepted</v>
      </c>
      <c r="S3843" t="str">
        <f t="shared" si="1552"/>
        <v>Approved</v>
      </c>
      <c r="T3843" t="str">
        <f t="shared" si="1553"/>
        <v>10.20.8.188</v>
      </c>
      <c r="U3843" t="str">
        <f t="shared" si="1554"/>
        <v>AZRAD UMAR BIN SHAARI</v>
      </c>
      <c r="V3843" t="str">
        <f t="shared" si="1555"/>
        <v>FARHANA BINTI MUSTAPA</v>
      </c>
      <c r="W3843" t="str">
        <f t="shared" si="1556"/>
        <v>04-08-2020</v>
      </c>
      <c r="X3843" t="str">
        <f t="shared" si="1557"/>
        <v>RAZIMAH ANSAR AHMAD</v>
      </c>
      <c r="Y3843" t="str">
        <f t="shared" si="1558"/>
        <v>04-08-2020</v>
      </c>
      <c r="Z3843" t="str">
        <f>"COS10200804 5711"</f>
        <v>COS10200804 5711</v>
      </c>
    </row>
    <row r="3844" spans="1:26" x14ac:dyDescent="0.25">
      <c r="A3844" t="str">
        <f t="shared" si="1567"/>
        <v>04-08-2020 12:56:11</v>
      </c>
      <c r="B3844" t="str">
        <f>"0000807097"</f>
        <v>0000807097</v>
      </c>
      <c r="C3844" t="str">
        <f t="shared" si="1568"/>
        <v>0000806987</v>
      </c>
      <c r="D3844" t="str">
        <f t="shared" si="1546"/>
        <v>73185</v>
      </c>
      <c r="E3844" t="str">
        <f t="shared" si="1547"/>
        <v>KFH-OPERATIONS DEPARTMENT</v>
      </c>
      <c r="F3844" t="str">
        <f t="shared" si="1548"/>
        <v>IBG</v>
      </c>
      <c r="G3844" t="str">
        <f t="shared" si="1563"/>
        <v>Refund COSHARE 10</v>
      </c>
      <c r="H3844" s="2">
        <v>738.8</v>
      </c>
      <c r="I3844" t="str">
        <f>"MOHD KHAIRI ADHAM BIN ZAHARI"</f>
        <v>MOHD KHAIRI ADHAM BIN ZAHARI</v>
      </c>
      <c r="J3844" t="str">
        <f t="shared" si="1564"/>
        <v>MAYBANK / MAYBANK ISLAMIC</v>
      </c>
      <c r="K3844" t="str">
        <f>"151044046281"</f>
        <v>151044046281</v>
      </c>
      <c r="L3844" t="str">
        <f t="shared" si="1569"/>
        <v>04-08-2020</v>
      </c>
      <c r="M3844" t="str">
        <f t="shared" si="1569"/>
        <v>04-08-2020</v>
      </c>
      <c r="N3844" t="str">
        <f t="shared" si="1549"/>
        <v>001105018356</v>
      </c>
      <c r="O3844" t="str">
        <f t="shared" si="1550"/>
        <v>MYR</v>
      </c>
      <c r="P3844" t="str">
        <f t="shared" si="1570"/>
        <v>NIL</v>
      </c>
      <c r="Q3844" t="str">
        <f t="shared" si="1570"/>
        <v>NIL</v>
      </c>
      <c r="R3844" t="str">
        <f t="shared" si="1551"/>
        <v>Accepted</v>
      </c>
      <c r="S3844" t="str">
        <f t="shared" si="1552"/>
        <v>Approved</v>
      </c>
      <c r="T3844" t="str">
        <f t="shared" si="1553"/>
        <v>10.20.8.188</v>
      </c>
      <c r="U3844" t="str">
        <f t="shared" si="1554"/>
        <v>AZRAD UMAR BIN SHAARI</v>
      </c>
      <c r="V3844" t="str">
        <f t="shared" si="1555"/>
        <v>FARHANA BINTI MUSTAPA</v>
      </c>
      <c r="W3844" t="str">
        <f t="shared" si="1556"/>
        <v>04-08-2020</v>
      </c>
      <c r="X3844" t="str">
        <f t="shared" si="1557"/>
        <v>RAZIMAH ANSAR AHMAD</v>
      </c>
      <c r="Y3844" t="str">
        <f t="shared" si="1558"/>
        <v>04-08-2020</v>
      </c>
      <c r="Z3844" t="str">
        <f>"COS10200804 5710"</f>
        <v>COS10200804 5710</v>
      </c>
    </row>
    <row r="3845" spans="1:26" x14ac:dyDescent="0.25">
      <c r="A3845" t="str">
        <f t="shared" si="1567"/>
        <v>04-08-2020 12:56:11</v>
      </c>
      <c r="B3845" t="str">
        <f>"0000807096"</f>
        <v>0000807096</v>
      </c>
      <c r="C3845" t="str">
        <f t="shared" si="1568"/>
        <v>0000806987</v>
      </c>
      <c r="D3845" t="str">
        <f t="shared" si="1546"/>
        <v>73185</v>
      </c>
      <c r="E3845" t="str">
        <f t="shared" si="1547"/>
        <v>KFH-OPERATIONS DEPARTMENT</v>
      </c>
      <c r="F3845" t="str">
        <f t="shared" si="1548"/>
        <v>IBG</v>
      </c>
      <c r="G3845" t="str">
        <f t="shared" si="1563"/>
        <v>Refund COSHARE 10</v>
      </c>
      <c r="H3845" s="2">
        <v>620.65</v>
      </c>
      <c r="I3845" t="str">
        <f>"MOHD KAMSANI BIN ABDUL AZIZ"</f>
        <v>MOHD KAMSANI BIN ABDUL AZIZ</v>
      </c>
      <c r="J3845" t="str">
        <f t="shared" si="1564"/>
        <v>MAYBANK / MAYBANK ISLAMIC</v>
      </c>
      <c r="K3845" t="str">
        <f>"114105246269"</f>
        <v>114105246269</v>
      </c>
      <c r="L3845" t="str">
        <f t="shared" si="1569"/>
        <v>04-08-2020</v>
      </c>
      <c r="M3845" t="str">
        <f t="shared" si="1569"/>
        <v>04-08-2020</v>
      </c>
      <c r="N3845" t="str">
        <f t="shared" si="1549"/>
        <v>001105018356</v>
      </c>
      <c r="O3845" t="str">
        <f t="shared" si="1550"/>
        <v>MYR</v>
      </c>
      <c r="P3845" t="str">
        <f t="shared" si="1570"/>
        <v>NIL</v>
      </c>
      <c r="Q3845" t="str">
        <f t="shared" si="1570"/>
        <v>NIL</v>
      </c>
      <c r="R3845" t="str">
        <f t="shared" si="1551"/>
        <v>Accepted</v>
      </c>
      <c r="S3845" t="str">
        <f t="shared" si="1552"/>
        <v>Approved</v>
      </c>
      <c r="T3845" t="str">
        <f t="shared" si="1553"/>
        <v>10.20.8.188</v>
      </c>
      <c r="U3845" t="str">
        <f t="shared" si="1554"/>
        <v>AZRAD UMAR BIN SHAARI</v>
      </c>
      <c r="V3845" t="str">
        <f t="shared" si="1555"/>
        <v>FARHANA BINTI MUSTAPA</v>
      </c>
      <c r="W3845" t="str">
        <f t="shared" si="1556"/>
        <v>04-08-2020</v>
      </c>
      <c r="X3845" t="str">
        <f t="shared" si="1557"/>
        <v>RAZIMAH ANSAR AHMAD</v>
      </c>
      <c r="Y3845" t="str">
        <f t="shared" si="1558"/>
        <v>04-08-2020</v>
      </c>
      <c r="Z3845" t="str">
        <f>"COS10200804 5709"</f>
        <v>COS10200804 5709</v>
      </c>
    </row>
    <row r="3846" spans="1:26" x14ac:dyDescent="0.25">
      <c r="A3846" t="str">
        <f t="shared" si="1567"/>
        <v>04-08-2020 12:56:11</v>
      </c>
      <c r="B3846" t="str">
        <f>"0000807095"</f>
        <v>0000807095</v>
      </c>
      <c r="C3846" t="str">
        <f t="shared" si="1568"/>
        <v>0000806987</v>
      </c>
      <c r="D3846" t="str">
        <f t="shared" si="1546"/>
        <v>73185</v>
      </c>
      <c r="E3846" t="str">
        <f t="shared" si="1547"/>
        <v>KFH-OPERATIONS DEPARTMENT</v>
      </c>
      <c r="F3846" t="str">
        <f t="shared" si="1548"/>
        <v>IBG</v>
      </c>
      <c r="G3846" t="str">
        <f t="shared" si="1563"/>
        <v>Refund COSHARE 10</v>
      </c>
      <c r="H3846" s="2">
        <v>410.15</v>
      </c>
      <c r="I3846" t="str">
        <f>"MOHD KAMIL BIN YUSUF"</f>
        <v>MOHD KAMIL BIN YUSUF</v>
      </c>
      <c r="J3846" t="str">
        <f t="shared" si="1564"/>
        <v>MAYBANK / MAYBANK ISLAMIC</v>
      </c>
      <c r="K3846" t="str">
        <f>"106110028767"</f>
        <v>106110028767</v>
      </c>
      <c r="L3846" t="str">
        <f t="shared" si="1569"/>
        <v>04-08-2020</v>
      </c>
      <c r="M3846" t="str">
        <f t="shared" si="1569"/>
        <v>04-08-2020</v>
      </c>
      <c r="N3846" t="str">
        <f t="shared" si="1549"/>
        <v>001105018356</v>
      </c>
      <c r="O3846" t="str">
        <f t="shared" si="1550"/>
        <v>MYR</v>
      </c>
      <c r="P3846" t="str">
        <f t="shared" si="1570"/>
        <v>NIL</v>
      </c>
      <c r="Q3846" t="str">
        <f t="shared" si="1570"/>
        <v>NIL</v>
      </c>
      <c r="R3846" t="str">
        <f t="shared" si="1551"/>
        <v>Accepted</v>
      </c>
      <c r="S3846" t="str">
        <f t="shared" si="1552"/>
        <v>Approved</v>
      </c>
      <c r="T3846" t="str">
        <f t="shared" si="1553"/>
        <v>10.20.8.188</v>
      </c>
      <c r="U3846" t="str">
        <f t="shared" si="1554"/>
        <v>AZRAD UMAR BIN SHAARI</v>
      </c>
      <c r="V3846" t="str">
        <f t="shared" si="1555"/>
        <v>FARHANA BINTI MUSTAPA</v>
      </c>
      <c r="W3846" t="str">
        <f t="shared" si="1556"/>
        <v>04-08-2020</v>
      </c>
      <c r="X3846" t="str">
        <f t="shared" si="1557"/>
        <v>RAZIMAH ANSAR AHMAD</v>
      </c>
      <c r="Y3846" t="str">
        <f t="shared" si="1558"/>
        <v>04-08-2020</v>
      </c>
      <c r="Z3846" t="str">
        <f>"COS10200804 5708"</f>
        <v>COS10200804 5708</v>
      </c>
    </row>
    <row r="3847" spans="1:26" x14ac:dyDescent="0.25">
      <c r="A3847" t="str">
        <f t="shared" si="1567"/>
        <v>04-08-2020 12:56:11</v>
      </c>
      <c r="B3847" t="str">
        <f>"0000807094"</f>
        <v>0000807094</v>
      </c>
      <c r="C3847" t="str">
        <f t="shared" si="1568"/>
        <v>0000806987</v>
      </c>
      <c r="D3847" t="str">
        <f t="shared" ref="D3847:D3910" si="1571">"73185"</f>
        <v>73185</v>
      </c>
      <c r="E3847" t="str">
        <f t="shared" ref="E3847:E3910" si="1572">"KFH-OPERATIONS DEPARTMENT"</f>
        <v>KFH-OPERATIONS DEPARTMENT</v>
      </c>
      <c r="F3847" t="str">
        <f t="shared" ref="F3847:F3910" si="1573">"IBG"</f>
        <v>IBG</v>
      </c>
      <c r="G3847" t="str">
        <f t="shared" si="1563"/>
        <v>Refund COSHARE 10</v>
      </c>
      <c r="H3847" s="2">
        <v>671.6</v>
      </c>
      <c r="I3847" t="str">
        <f>"MOHD KAMARUDDIN BIN MOHD NOOR"</f>
        <v>MOHD KAMARUDDIN BIN MOHD NOOR</v>
      </c>
      <c r="J3847" t="str">
        <f t="shared" si="1564"/>
        <v>MAYBANK / MAYBANK ISLAMIC</v>
      </c>
      <c r="K3847" t="str">
        <f>"163046211483"</f>
        <v>163046211483</v>
      </c>
      <c r="L3847" t="str">
        <f t="shared" ref="L3847:M3866" si="1574">"04-08-2020"</f>
        <v>04-08-2020</v>
      </c>
      <c r="M3847" t="str">
        <f t="shared" si="1574"/>
        <v>04-08-2020</v>
      </c>
      <c r="N3847" t="str">
        <f t="shared" ref="N3847:N3910" si="1575">"001105018356"</f>
        <v>001105018356</v>
      </c>
      <c r="O3847" t="str">
        <f t="shared" ref="O3847:O3910" si="1576">"MYR"</f>
        <v>MYR</v>
      </c>
      <c r="P3847" t="str">
        <f t="shared" ref="P3847:Q3866" si="1577">"NIL"</f>
        <v>NIL</v>
      </c>
      <c r="Q3847" t="str">
        <f t="shared" si="1577"/>
        <v>NIL</v>
      </c>
      <c r="R3847" t="str">
        <f t="shared" ref="R3847:R3910" si="1578">"Accepted"</f>
        <v>Accepted</v>
      </c>
      <c r="S3847" t="str">
        <f t="shared" ref="S3847:S3910" si="1579">"Approved"</f>
        <v>Approved</v>
      </c>
      <c r="T3847" t="str">
        <f t="shared" ref="T3847:T3910" si="1580">"10.20.8.188"</f>
        <v>10.20.8.188</v>
      </c>
      <c r="U3847" t="str">
        <f t="shared" ref="U3847:U3910" si="1581">"AZRAD UMAR BIN SHAARI"</f>
        <v>AZRAD UMAR BIN SHAARI</v>
      </c>
      <c r="V3847" t="str">
        <f t="shared" ref="V3847:V3910" si="1582">"FARHANA BINTI MUSTAPA"</f>
        <v>FARHANA BINTI MUSTAPA</v>
      </c>
      <c r="W3847" t="str">
        <f t="shared" ref="W3847:W3910" si="1583">"04-08-2020"</f>
        <v>04-08-2020</v>
      </c>
      <c r="X3847" t="str">
        <f t="shared" ref="X3847:X3910" si="1584">"RAZIMAH ANSAR AHMAD"</f>
        <v>RAZIMAH ANSAR AHMAD</v>
      </c>
      <c r="Y3847" t="str">
        <f t="shared" ref="Y3847:Y3910" si="1585">"04-08-2020"</f>
        <v>04-08-2020</v>
      </c>
      <c r="Z3847" t="str">
        <f>"COS10200804 5707"</f>
        <v>COS10200804 5707</v>
      </c>
    </row>
    <row r="3848" spans="1:26" x14ac:dyDescent="0.25">
      <c r="A3848" t="str">
        <f t="shared" si="1567"/>
        <v>04-08-2020 12:56:11</v>
      </c>
      <c r="B3848" t="str">
        <f>"0000807093"</f>
        <v>0000807093</v>
      </c>
      <c r="C3848" t="str">
        <f t="shared" si="1568"/>
        <v>0000806987</v>
      </c>
      <c r="D3848" t="str">
        <f t="shared" si="1571"/>
        <v>73185</v>
      </c>
      <c r="E3848" t="str">
        <f t="shared" si="1572"/>
        <v>KFH-OPERATIONS DEPARTMENT</v>
      </c>
      <c r="F3848" t="str">
        <f t="shared" si="1573"/>
        <v>IBG</v>
      </c>
      <c r="G3848" t="str">
        <f t="shared" si="1563"/>
        <v>Refund COSHARE 10</v>
      </c>
      <c r="H3848" s="2">
        <v>851.9</v>
      </c>
      <c r="I3848" t="str">
        <f>"MOHD JUMADI BIN RIMON"</f>
        <v>MOHD JUMADI BIN RIMON</v>
      </c>
      <c r="J3848" t="str">
        <f t="shared" si="1564"/>
        <v>MAYBANK / MAYBANK ISLAMIC</v>
      </c>
      <c r="K3848" t="str">
        <f>"112036017805"</f>
        <v>112036017805</v>
      </c>
      <c r="L3848" t="str">
        <f t="shared" si="1574"/>
        <v>04-08-2020</v>
      </c>
      <c r="M3848" t="str">
        <f t="shared" si="1574"/>
        <v>04-08-2020</v>
      </c>
      <c r="N3848" t="str">
        <f t="shared" si="1575"/>
        <v>001105018356</v>
      </c>
      <c r="O3848" t="str">
        <f t="shared" si="1576"/>
        <v>MYR</v>
      </c>
      <c r="P3848" t="str">
        <f t="shared" si="1577"/>
        <v>NIL</v>
      </c>
      <c r="Q3848" t="str">
        <f t="shared" si="1577"/>
        <v>NIL</v>
      </c>
      <c r="R3848" t="str">
        <f t="shared" si="1578"/>
        <v>Accepted</v>
      </c>
      <c r="S3848" t="str">
        <f t="shared" si="1579"/>
        <v>Approved</v>
      </c>
      <c r="T3848" t="str">
        <f t="shared" si="1580"/>
        <v>10.20.8.188</v>
      </c>
      <c r="U3848" t="str">
        <f t="shared" si="1581"/>
        <v>AZRAD UMAR BIN SHAARI</v>
      </c>
      <c r="V3848" t="str">
        <f t="shared" si="1582"/>
        <v>FARHANA BINTI MUSTAPA</v>
      </c>
      <c r="W3848" t="str">
        <f t="shared" si="1583"/>
        <v>04-08-2020</v>
      </c>
      <c r="X3848" t="str">
        <f t="shared" si="1584"/>
        <v>RAZIMAH ANSAR AHMAD</v>
      </c>
      <c r="Y3848" t="str">
        <f t="shared" si="1585"/>
        <v>04-08-2020</v>
      </c>
      <c r="Z3848" t="str">
        <f>"COS10200804 5706"</f>
        <v>COS10200804 5706</v>
      </c>
    </row>
    <row r="3849" spans="1:26" x14ac:dyDescent="0.25">
      <c r="A3849" t="str">
        <f t="shared" si="1567"/>
        <v>04-08-2020 12:56:11</v>
      </c>
      <c r="B3849" t="str">
        <f>"0000807092"</f>
        <v>0000807092</v>
      </c>
      <c r="C3849" t="str">
        <f t="shared" si="1568"/>
        <v>0000806987</v>
      </c>
      <c r="D3849" t="str">
        <f t="shared" si="1571"/>
        <v>73185</v>
      </c>
      <c r="E3849" t="str">
        <f t="shared" si="1572"/>
        <v>KFH-OPERATIONS DEPARTMENT</v>
      </c>
      <c r="F3849" t="str">
        <f t="shared" si="1573"/>
        <v>IBG</v>
      </c>
      <c r="G3849" t="str">
        <f t="shared" si="1563"/>
        <v>Refund COSHARE 10</v>
      </c>
      <c r="H3849" s="2">
        <v>125.95</v>
      </c>
      <c r="I3849" t="str">
        <f>"MOHD JOHARI BIN ISHAK"</f>
        <v>MOHD JOHARI BIN ISHAK</v>
      </c>
      <c r="J3849" t="str">
        <f t="shared" si="1564"/>
        <v>MAYBANK / MAYBANK ISLAMIC</v>
      </c>
      <c r="K3849" t="str">
        <f>"108075030713"</f>
        <v>108075030713</v>
      </c>
      <c r="L3849" t="str">
        <f t="shared" si="1574"/>
        <v>04-08-2020</v>
      </c>
      <c r="M3849" t="str">
        <f t="shared" si="1574"/>
        <v>04-08-2020</v>
      </c>
      <c r="N3849" t="str">
        <f t="shared" si="1575"/>
        <v>001105018356</v>
      </c>
      <c r="O3849" t="str">
        <f t="shared" si="1576"/>
        <v>MYR</v>
      </c>
      <c r="P3849" t="str">
        <f t="shared" si="1577"/>
        <v>NIL</v>
      </c>
      <c r="Q3849" t="str">
        <f t="shared" si="1577"/>
        <v>NIL</v>
      </c>
      <c r="R3849" t="str">
        <f t="shared" si="1578"/>
        <v>Accepted</v>
      </c>
      <c r="S3849" t="str">
        <f t="shared" si="1579"/>
        <v>Approved</v>
      </c>
      <c r="T3849" t="str">
        <f t="shared" si="1580"/>
        <v>10.20.8.188</v>
      </c>
      <c r="U3849" t="str">
        <f t="shared" si="1581"/>
        <v>AZRAD UMAR BIN SHAARI</v>
      </c>
      <c r="V3849" t="str">
        <f t="shared" si="1582"/>
        <v>FARHANA BINTI MUSTAPA</v>
      </c>
      <c r="W3849" t="str">
        <f t="shared" si="1583"/>
        <v>04-08-2020</v>
      </c>
      <c r="X3849" t="str">
        <f t="shared" si="1584"/>
        <v>RAZIMAH ANSAR AHMAD</v>
      </c>
      <c r="Y3849" t="str">
        <f t="shared" si="1585"/>
        <v>04-08-2020</v>
      </c>
      <c r="Z3849" t="str">
        <f>"COS10200804 5705"</f>
        <v>COS10200804 5705</v>
      </c>
    </row>
    <row r="3850" spans="1:26" x14ac:dyDescent="0.25">
      <c r="A3850" t="str">
        <f t="shared" ref="A3850:A3881" si="1586">"04-08-2020 12:56:11"</f>
        <v>04-08-2020 12:56:11</v>
      </c>
      <c r="B3850" t="str">
        <f>"0000807091"</f>
        <v>0000807091</v>
      </c>
      <c r="C3850" t="str">
        <f t="shared" ref="C3850:C3881" si="1587">"0000806987"</f>
        <v>0000806987</v>
      </c>
      <c r="D3850" t="str">
        <f t="shared" si="1571"/>
        <v>73185</v>
      </c>
      <c r="E3850" t="str">
        <f t="shared" si="1572"/>
        <v>KFH-OPERATIONS DEPARTMENT</v>
      </c>
      <c r="F3850" t="str">
        <f t="shared" si="1573"/>
        <v>IBG</v>
      </c>
      <c r="G3850" t="str">
        <f t="shared" si="1563"/>
        <v>Refund COSHARE 10</v>
      </c>
      <c r="H3850" s="2">
        <v>125.95</v>
      </c>
      <c r="I3850" t="str">
        <f>"MOHD JOHARI BIN ISHAK"</f>
        <v>MOHD JOHARI BIN ISHAK</v>
      </c>
      <c r="J3850" t="str">
        <f t="shared" si="1564"/>
        <v>MAYBANK / MAYBANK ISLAMIC</v>
      </c>
      <c r="K3850" t="str">
        <f>"108075030713"</f>
        <v>108075030713</v>
      </c>
      <c r="L3850" t="str">
        <f t="shared" si="1574"/>
        <v>04-08-2020</v>
      </c>
      <c r="M3850" t="str">
        <f t="shared" si="1574"/>
        <v>04-08-2020</v>
      </c>
      <c r="N3850" t="str">
        <f t="shared" si="1575"/>
        <v>001105018356</v>
      </c>
      <c r="O3850" t="str">
        <f t="shared" si="1576"/>
        <v>MYR</v>
      </c>
      <c r="P3850" t="str">
        <f t="shared" si="1577"/>
        <v>NIL</v>
      </c>
      <c r="Q3850" t="str">
        <f t="shared" si="1577"/>
        <v>NIL</v>
      </c>
      <c r="R3850" t="str">
        <f t="shared" si="1578"/>
        <v>Accepted</v>
      </c>
      <c r="S3850" t="str">
        <f t="shared" si="1579"/>
        <v>Approved</v>
      </c>
      <c r="T3850" t="str">
        <f t="shared" si="1580"/>
        <v>10.20.8.188</v>
      </c>
      <c r="U3850" t="str">
        <f t="shared" si="1581"/>
        <v>AZRAD UMAR BIN SHAARI</v>
      </c>
      <c r="V3850" t="str">
        <f t="shared" si="1582"/>
        <v>FARHANA BINTI MUSTAPA</v>
      </c>
      <c r="W3850" t="str">
        <f t="shared" si="1583"/>
        <v>04-08-2020</v>
      </c>
      <c r="X3850" t="str">
        <f t="shared" si="1584"/>
        <v>RAZIMAH ANSAR AHMAD</v>
      </c>
      <c r="Y3850" t="str">
        <f t="shared" si="1585"/>
        <v>04-08-2020</v>
      </c>
      <c r="Z3850" t="str">
        <f>"COS10200804 5704"</f>
        <v>COS10200804 5704</v>
      </c>
    </row>
    <row r="3851" spans="1:26" x14ac:dyDescent="0.25">
      <c r="A3851" t="str">
        <f t="shared" si="1586"/>
        <v>04-08-2020 12:56:11</v>
      </c>
      <c r="B3851" t="str">
        <f>"0000807090"</f>
        <v>0000807090</v>
      </c>
      <c r="C3851" t="str">
        <f t="shared" si="1587"/>
        <v>0000806987</v>
      </c>
      <c r="D3851" t="str">
        <f t="shared" si="1571"/>
        <v>73185</v>
      </c>
      <c r="E3851" t="str">
        <f t="shared" si="1572"/>
        <v>KFH-OPERATIONS DEPARTMENT</v>
      </c>
      <c r="F3851" t="str">
        <f t="shared" si="1573"/>
        <v>IBG</v>
      </c>
      <c r="G3851" t="str">
        <f t="shared" si="1563"/>
        <v>Refund COSHARE 10</v>
      </c>
      <c r="H3851" s="2">
        <v>134.35</v>
      </c>
      <c r="I3851" t="str">
        <f>"MOHD JOHARI BIN ABD KHALID"</f>
        <v>MOHD JOHARI BIN ABD KHALID</v>
      </c>
      <c r="J3851" t="str">
        <f t="shared" si="1564"/>
        <v>MAYBANK / MAYBANK ISLAMIC</v>
      </c>
      <c r="K3851" t="str">
        <f>"156075832874"</f>
        <v>156075832874</v>
      </c>
      <c r="L3851" t="str">
        <f t="shared" si="1574"/>
        <v>04-08-2020</v>
      </c>
      <c r="M3851" t="str">
        <f t="shared" si="1574"/>
        <v>04-08-2020</v>
      </c>
      <c r="N3851" t="str">
        <f t="shared" si="1575"/>
        <v>001105018356</v>
      </c>
      <c r="O3851" t="str">
        <f t="shared" si="1576"/>
        <v>MYR</v>
      </c>
      <c r="P3851" t="str">
        <f t="shared" si="1577"/>
        <v>NIL</v>
      </c>
      <c r="Q3851" t="str">
        <f t="shared" si="1577"/>
        <v>NIL</v>
      </c>
      <c r="R3851" t="str">
        <f t="shared" si="1578"/>
        <v>Accepted</v>
      </c>
      <c r="S3851" t="str">
        <f t="shared" si="1579"/>
        <v>Approved</v>
      </c>
      <c r="T3851" t="str">
        <f t="shared" si="1580"/>
        <v>10.20.8.188</v>
      </c>
      <c r="U3851" t="str">
        <f t="shared" si="1581"/>
        <v>AZRAD UMAR BIN SHAARI</v>
      </c>
      <c r="V3851" t="str">
        <f t="shared" si="1582"/>
        <v>FARHANA BINTI MUSTAPA</v>
      </c>
      <c r="W3851" t="str">
        <f t="shared" si="1583"/>
        <v>04-08-2020</v>
      </c>
      <c r="X3851" t="str">
        <f t="shared" si="1584"/>
        <v>RAZIMAH ANSAR AHMAD</v>
      </c>
      <c r="Y3851" t="str">
        <f t="shared" si="1585"/>
        <v>04-08-2020</v>
      </c>
      <c r="Z3851" t="str">
        <f>"COS10200804 5703"</f>
        <v>COS10200804 5703</v>
      </c>
    </row>
    <row r="3852" spans="1:26" x14ac:dyDescent="0.25">
      <c r="A3852" t="str">
        <f t="shared" si="1586"/>
        <v>04-08-2020 12:56:11</v>
      </c>
      <c r="B3852" t="str">
        <f>"0000807089"</f>
        <v>0000807089</v>
      </c>
      <c r="C3852" t="str">
        <f t="shared" si="1587"/>
        <v>0000806987</v>
      </c>
      <c r="D3852" t="str">
        <f t="shared" si="1571"/>
        <v>73185</v>
      </c>
      <c r="E3852" t="str">
        <f t="shared" si="1572"/>
        <v>KFH-OPERATIONS DEPARTMENT</v>
      </c>
      <c r="F3852" t="str">
        <f t="shared" si="1573"/>
        <v>IBG</v>
      </c>
      <c r="G3852" t="str">
        <f t="shared" ref="G3852:G3915" si="1588">"Refund COSHARE 10"</f>
        <v>Refund COSHARE 10</v>
      </c>
      <c r="H3852" s="2">
        <v>696.8</v>
      </c>
      <c r="I3852" t="str">
        <f>"MOHD JOHAN BIN MOHD RIDZWAN"</f>
        <v>MOHD JOHAN BIN MOHD RIDZWAN</v>
      </c>
      <c r="J3852" t="str">
        <f t="shared" si="1564"/>
        <v>MAYBANK / MAYBANK ISLAMIC</v>
      </c>
      <c r="K3852" t="str">
        <f>"164717054306"</f>
        <v>164717054306</v>
      </c>
      <c r="L3852" t="str">
        <f t="shared" si="1574"/>
        <v>04-08-2020</v>
      </c>
      <c r="M3852" t="str">
        <f t="shared" si="1574"/>
        <v>04-08-2020</v>
      </c>
      <c r="N3852" t="str">
        <f t="shared" si="1575"/>
        <v>001105018356</v>
      </c>
      <c r="O3852" t="str">
        <f t="shared" si="1576"/>
        <v>MYR</v>
      </c>
      <c r="P3852" t="str">
        <f t="shared" si="1577"/>
        <v>NIL</v>
      </c>
      <c r="Q3852" t="str">
        <f t="shared" si="1577"/>
        <v>NIL</v>
      </c>
      <c r="R3852" t="str">
        <f t="shared" si="1578"/>
        <v>Accepted</v>
      </c>
      <c r="S3852" t="str">
        <f t="shared" si="1579"/>
        <v>Approved</v>
      </c>
      <c r="T3852" t="str">
        <f t="shared" si="1580"/>
        <v>10.20.8.188</v>
      </c>
      <c r="U3852" t="str">
        <f t="shared" si="1581"/>
        <v>AZRAD UMAR BIN SHAARI</v>
      </c>
      <c r="V3852" t="str">
        <f t="shared" si="1582"/>
        <v>FARHANA BINTI MUSTAPA</v>
      </c>
      <c r="W3852" t="str">
        <f t="shared" si="1583"/>
        <v>04-08-2020</v>
      </c>
      <c r="X3852" t="str">
        <f t="shared" si="1584"/>
        <v>RAZIMAH ANSAR AHMAD</v>
      </c>
      <c r="Y3852" t="str">
        <f t="shared" si="1585"/>
        <v>04-08-2020</v>
      </c>
      <c r="Z3852" t="str">
        <f>"COS10200804 5702"</f>
        <v>COS10200804 5702</v>
      </c>
    </row>
    <row r="3853" spans="1:26" x14ac:dyDescent="0.25">
      <c r="A3853" t="str">
        <f t="shared" si="1586"/>
        <v>04-08-2020 12:56:11</v>
      </c>
      <c r="B3853" t="str">
        <f>"0000807088"</f>
        <v>0000807088</v>
      </c>
      <c r="C3853" t="str">
        <f t="shared" si="1587"/>
        <v>0000806987</v>
      </c>
      <c r="D3853" t="str">
        <f t="shared" si="1571"/>
        <v>73185</v>
      </c>
      <c r="E3853" t="str">
        <f t="shared" si="1572"/>
        <v>KFH-OPERATIONS DEPARTMENT</v>
      </c>
      <c r="F3853" t="str">
        <f t="shared" si="1573"/>
        <v>IBG</v>
      </c>
      <c r="G3853" t="str">
        <f t="shared" si="1588"/>
        <v>Refund COSHARE 10</v>
      </c>
      <c r="H3853" s="2">
        <v>755.55</v>
      </c>
      <c r="I3853" t="str">
        <f>"MOHD JAMILY BIN RAMNA"</f>
        <v>MOHD JAMILY BIN RAMNA</v>
      </c>
      <c r="J3853" t="str">
        <f t="shared" si="1564"/>
        <v>MAYBANK / MAYBANK ISLAMIC</v>
      </c>
      <c r="K3853" t="str">
        <f>"158136709128"</f>
        <v>158136709128</v>
      </c>
      <c r="L3853" t="str">
        <f t="shared" si="1574"/>
        <v>04-08-2020</v>
      </c>
      <c r="M3853" t="str">
        <f t="shared" si="1574"/>
        <v>04-08-2020</v>
      </c>
      <c r="N3853" t="str">
        <f t="shared" si="1575"/>
        <v>001105018356</v>
      </c>
      <c r="O3853" t="str">
        <f t="shared" si="1576"/>
        <v>MYR</v>
      </c>
      <c r="P3853" t="str">
        <f t="shared" si="1577"/>
        <v>NIL</v>
      </c>
      <c r="Q3853" t="str">
        <f t="shared" si="1577"/>
        <v>NIL</v>
      </c>
      <c r="R3853" t="str">
        <f t="shared" si="1578"/>
        <v>Accepted</v>
      </c>
      <c r="S3853" t="str">
        <f t="shared" si="1579"/>
        <v>Approved</v>
      </c>
      <c r="T3853" t="str">
        <f t="shared" si="1580"/>
        <v>10.20.8.188</v>
      </c>
      <c r="U3853" t="str">
        <f t="shared" si="1581"/>
        <v>AZRAD UMAR BIN SHAARI</v>
      </c>
      <c r="V3853" t="str">
        <f t="shared" si="1582"/>
        <v>FARHANA BINTI MUSTAPA</v>
      </c>
      <c r="W3853" t="str">
        <f t="shared" si="1583"/>
        <v>04-08-2020</v>
      </c>
      <c r="X3853" t="str">
        <f t="shared" si="1584"/>
        <v>RAZIMAH ANSAR AHMAD</v>
      </c>
      <c r="Y3853" t="str">
        <f t="shared" si="1585"/>
        <v>04-08-2020</v>
      </c>
      <c r="Z3853" t="str">
        <f>"COS10200804 5701"</f>
        <v>COS10200804 5701</v>
      </c>
    </row>
    <row r="3854" spans="1:26" x14ac:dyDescent="0.25">
      <c r="A3854" t="str">
        <f t="shared" si="1586"/>
        <v>04-08-2020 12:56:11</v>
      </c>
      <c r="B3854" t="str">
        <f>"0000807087"</f>
        <v>0000807087</v>
      </c>
      <c r="C3854" t="str">
        <f t="shared" si="1587"/>
        <v>0000806987</v>
      </c>
      <c r="D3854" t="str">
        <f t="shared" si="1571"/>
        <v>73185</v>
      </c>
      <c r="E3854" t="str">
        <f t="shared" si="1572"/>
        <v>KFH-OPERATIONS DEPARTMENT</v>
      </c>
      <c r="F3854" t="str">
        <f t="shared" si="1573"/>
        <v>IBG</v>
      </c>
      <c r="G3854" t="str">
        <f t="shared" si="1588"/>
        <v>Refund COSHARE 10</v>
      </c>
      <c r="H3854" s="2">
        <v>755.55</v>
      </c>
      <c r="I3854" t="str">
        <f>"MOHD JAMILY BIN RAMNA"</f>
        <v>MOHD JAMILY BIN RAMNA</v>
      </c>
      <c r="J3854" t="str">
        <f t="shared" si="1564"/>
        <v>MAYBANK / MAYBANK ISLAMIC</v>
      </c>
      <c r="K3854" t="str">
        <f>"158136709128"</f>
        <v>158136709128</v>
      </c>
      <c r="L3854" t="str">
        <f t="shared" si="1574"/>
        <v>04-08-2020</v>
      </c>
      <c r="M3854" t="str">
        <f t="shared" si="1574"/>
        <v>04-08-2020</v>
      </c>
      <c r="N3854" t="str">
        <f t="shared" si="1575"/>
        <v>001105018356</v>
      </c>
      <c r="O3854" t="str">
        <f t="shared" si="1576"/>
        <v>MYR</v>
      </c>
      <c r="P3854" t="str">
        <f t="shared" si="1577"/>
        <v>NIL</v>
      </c>
      <c r="Q3854" t="str">
        <f t="shared" si="1577"/>
        <v>NIL</v>
      </c>
      <c r="R3854" t="str">
        <f t="shared" si="1578"/>
        <v>Accepted</v>
      </c>
      <c r="S3854" t="str">
        <f t="shared" si="1579"/>
        <v>Approved</v>
      </c>
      <c r="T3854" t="str">
        <f t="shared" si="1580"/>
        <v>10.20.8.188</v>
      </c>
      <c r="U3854" t="str">
        <f t="shared" si="1581"/>
        <v>AZRAD UMAR BIN SHAARI</v>
      </c>
      <c r="V3854" t="str">
        <f t="shared" si="1582"/>
        <v>FARHANA BINTI MUSTAPA</v>
      </c>
      <c r="W3854" t="str">
        <f t="shared" si="1583"/>
        <v>04-08-2020</v>
      </c>
      <c r="X3854" t="str">
        <f t="shared" si="1584"/>
        <v>RAZIMAH ANSAR AHMAD</v>
      </c>
      <c r="Y3854" t="str">
        <f t="shared" si="1585"/>
        <v>04-08-2020</v>
      </c>
      <c r="Z3854" t="str">
        <f>"COS10200804 5700"</f>
        <v>COS10200804 5700</v>
      </c>
    </row>
    <row r="3855" spans="1:26" x14ac:dyDescent="0.25">
      <c r="A3855" t="str">
        <f t="shared" si="1586"/>
        <v>04-08-2020 12:56:11</v>
      </c>
      <c r="B3855" t="str">
        <f>"0000807086"</f>
        <v>0000807086</v>
      </c>
      <c r="C3855" t="str">
        <f t="shared" si="1587"/>
        <v>0000806987</v>
      </c>
      <c r="D3855" t="str">
        <f t="shared" si="1571"/>
        <v>73185</v>
      </c>
      <c r="E3855" t="str">
        <f t="shared" si="1572"/>
        <v>KFH-OPERATIONS DEPARTMENT</v>
      </c>
      <c r="F3855" t="str">
        <f t="shared" si="1573"/>
        <v>IBG</v>
      </c>
      <c r="G3855" t="str">
        <f t="shared" si="1588"/>
        <v>Refund COSHARE 10</v>
      </c>
      <c r="H3855" s="2">
        <v>176.3</v>
      </c>
      <c r="I3855" t="str">
        <f>"MOHD IZHARUL FARDAUS BIN MOHAMAD ISA"</f>
        <v>MOHD IZHARUL FARDAUS BIN MOHAMAD ISA</v>
      </c>
      <c r="J3855" t="str">
        <f t="shared" si="1564"/>
        <v>MAYBANK / MAYBANK ISLAMIC</v>
      </c>
      <c r="K3855" t="str">
        <f>"151212807062"</f>
        <v>151212807062</v>
      </c>
      <c r="L3855" t="str">
        <f t="shared" si="1574"/>
        <v>04-08-2020</v>
      </c>
      <c r="M3855" t="str">
        <f t="shared" si="1574"/>
        <v>04-08-2020</v>
      </c>
      <c r="N3855" t="str">
        <f t="shared" si="1575"/>
        <v>001105018356</v>
      </c>
      <c r="O3855" t="str">
        <f t="shared" si="1576"/>
        <v>MYR</v>
      </c>
      <c r="P3855" t="str">
        <f t="shared" si="1577"/>
        <v>NIL</v>
      </c>
      <c r="Q3855" t="str">
        <f t="shared" si="1577"/>
        <v>NIL</v>
      </c>
      <c r="R3855" t="str">
        <f t="shared" si="1578"/>
        <v>Accepted</v>
      </c>
      <c r="S3855" t="str">
        <f t="shared" si="1579"/>
        <v>Approved</v>
      </c>
      <c r="T3855" t="str">
        <f t="shared" si="1580"/>
        <v>10.20.8.188</v>
      </c>
      <c r="U3855" t="str">
        <f t="shared" si="1581"/>
        <v>AZRAD UMAR BIN SHAARI</v>
      </c>
      <c r="V3855" t="str">
        <f t="shared" si="1582"/>
        <v>FARHANA BINTI MUSTAPA</v>
      </c>
      <c r="W3855" t="str">
        <f t="shared" si="1583"/>
        <v>04-08-2020</v>
      </c>
      <c r="X3855" t="str">
        <f t="shared" si="1584"/>
        <v>RAZIMAH ANSAR AHMAD</v>
      </c>
      <c r="Y3855" t="str">
        <f t="shared" si="1585"/>
        <v>04-08-2020</v>
      </c>
      <c r="Z3855" t="str">
        <f>"COS10200804 5699"</f>
        <v>COS10200804 5699</v>
      </c>
    </row>
    <row r="3856" spans="1:26" x14ac:dyDescent="0.25">
      <c r="A3856" t="str">
        <f t="shared" si="1586"/>
        <v>04-08-2020 12:56:11</v>
      </c>
      <c r="B3856" t="str">
        <f>"0000807085"</f>
        <v>0000807085</v>
      </c>
      <c r="C3856" t="str">
        <f t="shared" si="1587"/>
        <v>0000806987</v>
      </c>
      <c r="D3856" t="str">
        <f t="shared" si="1571"/>
        <v>73185</v>
      </c>
      <c r="E3856" t="str">
        <f t="shared" si="1572"/>
        <v>KFH-OPERATIONS DEPARTMENT</v>
      </c>
      <c r="F3856" t="str">
        <f t="shared" si="1573"/>
        <v>IBG</v>
      </c>
      <c r="G3856" t="str">
        <f t="shared" si="1588"/>
        <v>Refund COSHARE 10</v>
      </c>
      <c r="H3856" s="2">
        <v>889.9</v>
      </c>
      <c r="I3856" t="str">
        <f>"MOHD IZANI BIN CHE JAAFAR  MOHD ZAINAL"</f>
        <v>MOHD IZANI BIN CHE JAAFAR  MOHD ZAINAL</v>
      </c>
      <c r="J3856" t="str">
        <f t="shared" si="1564"/>
        <v>MAYBANK / MAYBANK ISLAMIC</v>
      </c>
      <c r="K3856" t="str">
        <f>"164098458574"</f>
        <v>164098458574</v>
      </c>
      <c r="L3856" t="str">
        <f t="shared" si="1574"/>
        <v>04-08-2020</v>
      </c>
      <c r="M3856" t="str">
        <f t="shared" si="1574"/>
        <v>04-08-2020</v>
      </c>
      <c r="N3856" t="str">
        <f t="shared" si="1575"/>
        <v>001105018356</v>
      </c>
      <c r="O3856" t="str">
        <f t="shared" si="1576"/>
        <v>MYR</v>
      </c>
      <c r="P3856" t="str">
        <f t="shared" si="1577"/>
        <v>NIL</v>
      </c>
      <c r="Q3856" t="str">
        <f t="shared" si="1577"/>
        <v>NIL</v>
      </c>
      <c r="R3856" t="str">
        <f t="shared" si="1578"/>
        <v>Accepted</v>
      </c>
      <c r="S3856" t="str">
        <f t="shared" si="1579"/>
        <v>Approved</v>
      </c>
      <c r="T3856" t="str">
        <f t="shared" si="1580"/>
        <v>10.20.8.188</v>
      </c>
      <c r="U3856" t="str">
        <f t="shared" si="1581"/>
        <v>AZRAD UMAR BIN SHAARI</v>
      </c>
      <c r="V3856" t="str">
        <f t="shared" si="1582"/>
        <v>FARHANA BINTI MUSTAPA</v>
      </c>
      <c r="W3856" t="str">
        <f t="shared" si="1583"/>
        <v>04-08-2020</v>
      </c>
      <c r="X3856" t="str">
        <f t="shared" si="1584"/>
        <v>RAZIMAH ANSAR AHMAD</v>
      </c>
      <c r="Y3856" t="str">
        <f t="shared" si="1585"/>
        <v>04-08-2020</v>
      </c>
      <c r="Z3856" t="str">
        <f>"COS10200804 5698"</f>
        <v>COS10200804 5698</v>
      </c>
    </row>
    <row r="3857" spans="1:26" x14ac:dyDescent="0.25">
      <c r="A3857" t="str">
        <f t="shared" si="1586"/>
        <v>04-08-2020 12:56:11</v>
      </c>
      <c r="B3857" t="str">
        <f>"0000807084"</f>
        <v>0000807084</v>
      </c>
      <c r="C3857" t="str">
        <f t="shared" si="1587"/>
        <v>0000806987</v>
      </c>
      <c r="D3857" t="str">
        <f t="shared" si="1571"/>
        <v>73185</v>
      </c>
      <c r="E3857" t="str">
        <f t="shared" si="1572"/>
        <v>KFH-OPERATIONS DEPARTMENT</v>
      </c>
      <c r="F3857" t="str">
        <f t="shared" si="1573"/>
        <v>IBG</v>
      </c>
      <c r="G3857" t="str">
        <f t="shared" si="1588"/>
        <v>Refund COSHARE 10</v>
      </c>
      <c r="H3857" s="2">
        <v>1007.4</v>
      </c>
      <c r="I3857" t="str">
        <f>"MOHD IZANEE BIN MOHD ILIAS"</f>
        <v>MOHD IZANEE BIN MOHD ILIAS</v>
      </c>
      <c r="J3857" t="str">
        <f t="shared" ref="J3857:J3920" si="1589">"MAYBANK / MAYBANK ISLAMIC"</f>
        <v>MAYBANK / MAYBANK ISLAMIC</v>
      </c>
      <c r="K3857" t="str">
        <f>"164490315410"</f>
        <v>164490315410</v>
      </c>
      <c r="L3857" t="str">
        <f t="shared" si="1574"/>
        <v>04-08-2020</v>
      </c>
      <c r="M3857" t="str">
        <f t="shared" si="1574"/>
        <v>04-08-2020</v>
      </c>
      <c r="N3857" t="str">
        <f t="shared" si="1575"/>
        <v>001105018356</v>
      </c>
      <c r="O3857" t="str">
        <f t="shared" si="1576"/>
        <v>MYR</v>
      </c>
      <c r="P3857" t="str">
        <f t="shared" si="1577"/>
        <v>NIL</v>
      </c>
      <c r="Q3857" t="str">
        <f t="shared" si="1577"/>
        <v>NIL</v>
      </c>
      <c r="R3857" t="str">
        <f t="shared" si="1578"/>
        <v>Accepted</v>
      </c>
      <c r="S3857" t="str">
        <f t="shared" si="1579"/>
        <v>Approved</v>
      </c>
      <c r="T3857" t="str">
        <f t="shared" si="1580"/>
        <v>10.20.8.188</v>
      </c>
      <c r="U3857" t="str">
        <f t="shared" si="1581"/>
        <v>AZRAD UMAR BIN SHAARI</v>
      </c>
      <c r="V3857" t="str">
        <f t="shared" si="1582"/>
        <v>FARHANA BINTI MUSTAPA</v>
      </c>
      <c r="W3857" t="str">
        <f t="shared" si="1583"/>
        <v>04-08-2020</v>
      </c>
      <c r="X3857" t="str">
        <f t="shared" si="1584"/>
        <v>RAZIMAH ANSAR AHMAD</v>
      </c>
      <c r="Y3857" t="str">
        <f t="shared" si="1585"/>
        <v>04-08-2020</v>
      </c>
      <c r="Z3857" t="str">
        <f>"COS10200804 5697"</f>
        <v>COS10200804 5697</v>
      </c>
    </row>
    <row r="3858" spans="1:26" x14ac:dyDescent="0.25">
      <c r="A3858" t="str">
        <f t="shared" si="1586"/>
        <v>04-08-2020 12:56:11</v>
      </c>
      <c r="B3858" t="str">
        <f>"0000807083"</f>
        <v>0000807083</v>
      </c>
      <c r="C3858" t="str">
        <f t="shared" si="1587"/>
        <v>0000806987</v>
      </c>
      <c r="D3858" t="str">
        <f t="shared" si="1571"/>
        <v>73185</v>
      </c>
      <c r="E3858" t="str">
        <f t="shared" si="1572"/>
        <v>KFH-OPERATIONS DEPARTMENT</v>
      </c>
      <c r="F3858" t="str">
        <f t="shared" si="1573"/>
        <v>IBG</v>
      </c>
      <c r="G3858" t="str">
        <f t="shared" si="1588"/>
        <v>Refund COSHARE 10</v>
      </c>
      <c r="H3858" s="2">
        <v>152</v>
      </c>
      <c r="I3858" t="str">
        <f>"MOHD ISKANDAR BIN ISININ"</f>
        <v>MOHD ISKANDAR BIN ISININ</v>
      </c>
      <c r="J3858" t="str">
        <f t="shared" si="1589"/>
        <v>MAYBANK / MAYBANK ISLAMIC</v>
      </c>
      <c r="K3858" t="str">
        <f>"151294776602"</f>
        <v>151294776602</v>
      </c>
      <c r="L3858" t="str">
        <f t="shared" si="1574"/>
        <v>04-08-2020</v>
      </c>
      <c r="M3858" t="str">
        <f t="shared" si="1574"/>
        <v>04-08-2020</v>
      </c>
      <c r="N3858" t="str">
        <f t="shared" si="1575"/>
        <v>001105018356</v>
      </c>
      <c r="O3858" t="str">
        <f t="shared" si="1576"/>
        <v>MYR</v>
      </c>
      <c r="P3858" t="str">
        <f t="shared" si="1577"/>
        <v>NIL</v>
      </c>
      <c r="Q3858" t="str">
        <f t="shared" si="1577"/>
        <v>NIL</v>
      </c>
      <c r="R3858" t="str">
        <f t="shared" si="1578"/>
        <v>Accepted</v>
      </c>
      <c r="S3858" t="str">
        <f t="shared" si="1579"/>
        <v>Approved</v>
      </c>
      <c r="T3858" t="str">
        <f t="shared" si="1580"/>
        <v>10.20.8.188</v>
      </c>
      <c r="U3858" t="str">
        <f t="shared" si="1581"/>
        <v>AZRAD UMAR BIN SHAARI</v>
      </c>
      <c r="V3858" t="str">
        <f t="shared" si="1582"/>
        <v>FARHANA BINTI MUSTAPA</v>
      </c>
      <c r="W3858" t="str">
        <f t="shared" si="1583"/>
        <v>04-08-2020</v>
      </c>
      <c r="X3858" t="str">
        <f t="shared" si="1584"/>
        <v>RAZIMAH ANSAR AHMAD</v>
      </c>
      <c r="Y3858" t="str">
        <f t="shared" si="1585"/>
        <v>04-08-2020</v>
      </c>
      <c r="Z3858" t="str">
        <f>"COS10200804 5696"</f>
        <v>COS10200804 5696</v>
      </c>
    </row>
    <row r="3859" spans="1:26" x14ac:dyDescent="0.25">
      <c r="A3859" t="str">
        <f t="shared" si="1586"/>
        <v>04-08-2020 12:56:11</v>
      </c>
      <c r="B3859" t="str">
        <f>"0000807082"</f>
        <v>0000807082</v>
      </c>
      <c r="C3859" t="str">
        <f t="shared" si="1587"/>
        <v>0000806987</v>
      </c>
      <c r="D3859" t="str">
        <f t="shared" si="1571"/>
        <v>73185</v>
      </c>
      <c r="E3859" t="str">
        <f t="shared" si="1572"/>
        <v>KFH-OPERATIONS DEPARTMENT</v>
      </c>
      <c r="F3859" t="str">
        <f t="shared" si="1573"/>
        <v>IBG</v>
      </c>
      <c r="G3859" t="str">
        <f t="shared" si="1588"/>
        <v>Refund COSHARE 10</v>
      </c>
      <c r="H3859" s="2">
        <v>839.5</v>
      </c>
      <c r="I3859" t="str">
        <f>"MOHD ISHAK BIN ABU AHMAD"</f>
        <v>MOHD ISHAK BIN ABU AHMAD</v>
      </c>
      <c r="J3859" t="str">
        <f t="shared" si="1589"/>
        <v>MAYBANK / MAYBANK ISLAMIC</v>
      </c>
      <c r="K3859" t="str">
        <f>"114020960778"</f>
        <v>114020960778</v>
      </c>
      <c r="L3859" t="str">
        <f t="shared" si="1574"/>
        <v>04-08-2020</v>
      </c>
      <c r="M3859" t="str">
        <f t="shared" si="1574"/>
        <v>04-08-2020</v>
      </c>
      <c r="N3859" t="str">
        <f t="shared" si="1575"/>
        <v>001105018356</v>
      </c>
      <c r="O3859" t="str">
        <f t="shared" si="1576"/>
        <v>MYR</v>
      </c>
      <c r="P3859" t="str">
        <f t="shared" si="1577"/>
        <v>NIL</v>
      </c>
      <c r="Q3859" t="str">
        <f t="shared" si="1577"/>
        <v>NIL</v>
      </c>
      <c r="R3859" t="str">
        <f t="shared" si="1578"/>
        <v>Accepted</v>
      </c>
      <c r="S3859" t="str">
        <f t="shared" si="1579"/>
        <v>Approved</v>
      </c>
      <c r="T3859" t="str">
        <f t="shared" si="1580"/>
        <v>10.20.8.188</v>
      </c>
      <c r="U3859" t="str">
        <f t="shared" si="1581"/>
        <v>AZRAD UMAR BIN SHAARI</v>
      </c>
      <c r="V3859" t="str">
        <f t="shared" si="1582"/>
        <v>FARHANA BINTI MUSTAPA</v>
      </c>
      <c r="W3859" t="str">
        <f t="shared" si="1583"/>
        <v>04-08-2020</v>
      </c>
      <c r="X3859" t="str">
        <f t="shared" si="1584"/>
        <v>RAZIMAH ANSAR AHMAD</v>
      </c>
      <c r="Y3859" t="str">
        <f t="shared" si="1585"/>
        <v>04-08-2020</v>
      </c>
      <c r="Z3859" t="str">
        <f>"COS10200804 5695"</f>
        <v>COS10200804 5695</v>
      </c>
    </row>
    <row r="3860" spans="1:26" x14ac:dyDescent="0.25">
      <c r="A3860" t="str">
        <f t="shared" si="1586"/>
        <v>04-08-2020 12:56:11</v>
      </c>
      <c r="B3860" t="str">
        <f>"0000807081"</f>
        <v>0000807081</v>
      </c>
      <c r="C3860" t="str">
        <f t="shared" si="1587"/>
        <v>0000806987</v>
      </c>
      <c r="D3860" t="str">
        <f t="shared" si="1571"/>
        <v>73185</v>
      </c>
      <c r="E3860" t="str">
        <f t="shared" si="1572"/>
        <v>KFH-OPERATIONS DEPARTMENT</v>
      </c>
      <c r="F3860" t="str">
        <f t="shared" si="1573"/>
        <v>IBG</v>
      </c>
      <c r="G3860" t="str">
        <f t="shared" si="1588"/>
        <v>Refund COSHARE 10</v>
      </c>
      <c r="H3860" s="2">
        <v>335.8</v>
      </c>
      <c r="I3860" t="str">
        <f>"MOHD IDZHAM BIN ASRAN"</f>
        <v>MOHD IDZHAM BIN ASRAN</v>
      </c>
      <c r="J3860" t="str">
        <f t="shared" si="1589"/>
        <v>MAYBANK / MAYBANK ISLAMIC</v>
      </c>
      <c r="K3860" t="str">
        <f>"114301502210"</f>
        <v>114301502210</v>
      </c>
      <c r="L3860" t="str">
        <f t="shared" si="1574"/>
        <v>04-08-2020</v>
      </c>
      <c r="M3860" t="str">
        <f t="shared" si="1574"/>
        <v>04-08-2020</v>
      </c>
      <c r="N3860" t="str">
        <f t="shared" si="1575"/>
        <v>001105018356</v>
      </c>
      <c r="O3860" t="str">
        <f t="shared" si="1576"/>
        <v>MYR</v>
      </c>
      <c r="P3860" t="str">
        <f t="shared" si="1577"/>
        <v>NIL</v>
      </c>
      <c r="Q3860" t="str">
        <f t="shared" si="1577"/>
        <v>NIL</v>
      </c>
      <c r="R3860" t="str">
        <f t="shared" si="1578"/>
        <v>Accepted</v>
      </c>
      <c r="S3860" t="str">
        <f t="shared" si="1579"/>
        <v>Approved</v>
      </c>
      <c r="T3860" t="str">
        <f t="shared" si="1580"/>
        <v>10.20.8.188</v>
      </c>
      <c r="U3860" t="str">
        <f t="shared" si="1581"/>
        <v>AZRAD UMAR BIN SHAARI</v>
      </c>
      <c r="V3860" t="str">
        <f t="shared" si="1582"/>
        <v>FARHANA BINTI MUSTAPA</v>
      </c>
      <c r="W3860" t="str">
        <f t="shared" si="1583"/>
        <v>04-08-2020</v>
      </c>
      <c r="X3860" t="str">
        <f t="shared" si="1584"/>
        <v>RAZIMAH ANSAR AHMAD</v>
      </c>
      <c r="Y3860" t="str">
        <f t="shared" si="1585"/>
        <v>04-08-2020</v>
      </c>
      <c r="Z3860" t="str">
        <f>"COS10200804 5694"</f>
        <v>COS10200804 5694</v>
      </c>
    </row>
    <row r="3861" spans="1:26" x14ac:dyDescent="0.25">
      <c r="A3861" t="str">
        <f t="shared" si="1586"/>
        <v>04-08-2020 12:56:11</v>
      </c>
      <c r="B3861" t="str">
        <f>"0000807080"</f>
        <v>0000807080</v>
      </c>
      <c r="C3861" t="str">
        <f t="shared" si="1587"/>
        <v>0000806987</v>
      </c>
      <c r="D3861" t="str">
        <f t="shared" si="1571"/>
        <v>73185</v>
      </c>
      <c r="E3861" t="str">
        <f t="shared" si="1572"/>
        <v>KFH-OPERATIONS DEPARTMENT</v>
      </c>
      <c r="F3861" t="str">
        <f t="shared" si="1573"/>
        <v>IBG</v>
      </c>
      <c r="G3861" t="str">
        <f t="shared" si="1588"/>
        <v>Refund COSHARE 10</v>
      </c>
      <c r="H3861" s="2">
        <v>378.65</v>
      </c>
      <c r="I3861" t="str">
        <f>"MOHD HUZAIDI BIN HASSAN"</f>
        <v>MOHD HUZAIDI BIN HASSAN</v>
      </c>
      <c r="J3861" t="str">
        <f t="shared" si="1589"/>
        <v>MAYBANK / MAYBANK ISLAMIC</v>
      </c>
      <c r="K3861" t="str">
        <f>"162076505258"</f>
        <v>162076505258</v>
      </c>
      <c r="L3861" t="str">
        <f t="shared" si="1574"/>
        <v>04-08-2020</v>
      </c>
      <c r="M3861" t="str">
        <f t="shared" si="1574"/>
        <v>04-08-2020</v>
      </c>
      <c r="N3861" t="str">
        <f t="shared" si="1575"/>
        <v>001105018356</v>
      </c>
      <c r="O3861" t="str">
        <f t="shared" si="1576"/>
        <v>MYR</v>
      </c>
      <c r="P3861" t="str">
        <f t="shared" si="1577"/>
        <v>NIL</v>
      </c>
      <c r="Q3861" t="str">
        <f t="shared" si="1577"/>
        <v>NIL</v>
      </c>
      <c r="R3861" t="str">
        <f t="shared" si="1578"/>
        <v>Accepted</v>
      </c>
      <c r="S3861" t="str">
        <f t="shared" si="1579"/>
        <v>Approved</v>
      </c>
      <c r="T3861" t="str">
        <f t="shared" si="1580"/>
        <v>10.20.8.188</v>
      </c>
      <c r="U3861" t="str">
        <f t="shared" si="1581"/>
        <v>AZRAD UMAR BIN SHAARI</v>
      </c>
      <c r="V3861" t="str">
        <f t="shared" si="1582"/>
        <v>FARHANA BINTI MUSTAPA</v>
      </c>
      <c r="W3861" t="str">
        <f t="shared" si="1583"/>
        <v>04-08-2020</v>
      </c>
      <c r="X3861" t="str">
        <f t="shared" si="1584"/>
        <v>RAZIMAH ANSAR AHMAD</v>
      </c>
      <c r="Y3861" t="str">
        <f t="shared" si="1585"/>
        <v>04-08-2020</v>
      </c>
      <c r="Z3861" t="str">
        <f>"COS10200804 5693"</f>
        <v>COS10200804 5693</v>
      </c>
    </row>
    <row r="3862" spans="1:26" x14ac:dyDescent="0.25">
      <c r="A3862" t="str">
        <f t="shared" si="1586"/>
        <v>04-08-2020 12:56:11</v>
      </c>
      <c r="B3862" t="str">
        <f>"0000807079"</f>
        <v>0000807079</v>
      </c>
      <c r="C3862" t="str">
        <f t="shared" si="1587"/>
        <v>0000806987</v>
      </c>
      <c r="D3862" t="str">
        <f t="shared" si="1571"/>
        <v>73185</v>
      </c>
      <c r="E3862" t="str">
        <f t="shared" si="1572"/>
        <v>KFH-OPERATIONS DEPARTMENT</v>
      </c>
      <c r="F3862" t="str">
        <f t="shared" si="1573"/>
        <v>IBG</v>
      </c>
      <c r="G3862" t="str">
        <f t="shared" si="1588"/>
        <v>Refund COSHARE 10</v>
      </c>
      <c r="H3862" s="2">
        <v>209.9</v>
      </c>
      <c r="I3862" t="str">
        <f>"MOHD HUSSIN BIN MUSA"</f>
        <v>MOHD HUSSIN BIN MUSA</v>
      </c>
      <c r="J3862" t="str">
        <f t="shared" si="1589"/>
        <v>MAYBANK / MAYBANK ISLAMIC</v>
      </c>
      <c r="K3862" t="str">
        <f>"110134084702"</f>
        <v>110134084702</v>
      </c>
      <c r="L3862" t="str">
        <f t="shared" si="1574"/>
        <v>04-08-2020</v>
      </c>
      <c r="M3862" t="str">
        <f t="shared" si="1574"/>
        <v>04-08-2020</v>
      </c>
      <c r="N3862" t="str">
        <f t="shared" si="1575"/>
        <v>001105018356</v>
      </c>
      <c r="O3862" t="str">
        <f t="shared" si="1576"/>
        <v>MYR</v>
      </c>
      <c r="P3862" t="str">
        <f t="shared" si="1577"/>
        <v>NIL</v>
      </c>
      <c r="Q3862" t="str">
        <f t="shared" si="1577"/>
        <v>NIL</v>
      </c>
      <c r="R3862" t="str">
        <f t="shared" si="1578"/>
        <v>Accepted</v>
      </c>
      <c r="S3862" t="str">
        <f t="shared" si="1579"/>
        <v>Approved</v>
      </c>
      <c r="T3862" t="str">
        <f t="shared" si="1580"/>
        <v>10.20.8.188</v>
      </c>
      <c r="U3862" t="str">
        <f t="shared" si="1581"/>
        <v>AZRAD UMAR BIN SHAARI</v>
      </c>
      <c r="V3862" t="str">
        <f t="shared" si="1582"/>
        <v>FARHANA BINTI MUSTAPA</v>
      </c>
      <c r="W3862" t="str">
        <f t="shared" si="1583"/>
        <v>04-08-2020</v>
      </c>
      <c r="X3862" t="str">
        <f t="shared" si="1584"/>
        <v>RAZIMAH ANSAR AHMAD</v>
      </c>
      <c r="Y3862" t="str">
        <f t="shared" si="1585"/>
        <v>04-08-2020</v>
      </c>
      <c r="Z3862" t="str">
        <f>"COS10200804 5692"</f>
        <v>COS10200804 5692</v>
      </c>
    </row>
    <row r="3863" spans="1:26" x14ac:dyDescent="0.25">
      <c r="A3863" t="str">
        <f t="shared" si="1586"/>
        <v>04-08-2020 12:56:11</v>
      </c>
      <c r="B3863" t="str">
        <f>"0000807078"</f>
        <v>0000807078</v>
      </c>
      <c r="C3863" t="str">
        <f t="shared" si="1587"/>
        <v>0000806987</v>
      </c>
      <c r="D3863" t="str">
        <f t="shared" si="1571"/>
        <v>73185</v>
      </c>
      <c r="E3863" t="str">
        <f t="shared" si="1572"/>
        <v>KFH-OPERATIONS DEPARTMENT</v>
      </c>
      <c r="F3863" t="str">
        <f t="shared" si="1573"/>
        <v>IBG</v>
      </c>
      <c r="G3863" t="str">
        <f t="shared" si="1588"/>
        <v>Refund COSHARE 10</v>
      </c>
      <c r="H3863" s="2">
        <v>335.8</v>
      </c>
      <c r="I3863" t="str">
        <f>"MOHD HISYAM BIN RASIDI"</f>
        <v>MOHD HISYAM BIN RASIDI</v>
      </c>
      <c r="J3863" t="str">
        <f t="shared" si="1589"/>
        <v>MAYBANK / MAYBANK ISLAMIC</v>
      </c>
      <c r="K3863" t="str">
        <f>"112204177841"</f>
        <v>112204177841</v>
      </c>
      <c r="L3863" t="str">
        <f t="shared" si="1574"/>
        <v>04-08-2020</v>
      </c>
      <c r="M3863" t="str">
        <f t="shared" si="1574"/>
        <v>04-08-2020</v>
      </c>
      <c r="N3863" t="str">
        <f t="shared" si="1575"/>
        <v>001105018356</v>
      </c>
      <c r="O3863" t="str">
        <f t="shared" si="1576"/>
        <v>MYR</v>
      </c>
      <c r="P3863" t="str">
        <f t="shared" si="1577"/>
        <v>NIL</v>
      </c>
      <c r="Q3863" t="str">
        <f t="shared" si="1577"/>
        <v>NIL</v>
      </c>
      <c r="R3863" t="str">
        <f t="shared" si="1578"/>
        <v>Accepted</v>
      </c>
      <c r="S3863" t="str">
        <f t="shared" si="1579"/>
        <v>Approved</v>
      </c>
      <c r="T3863" t="str">
        <f t="shared" si="1580"/>
        <v>10.20.8.188</v>
      </c>
      <c r="U3863" t="str">
        <f t="shared" si="1581"/>
        <v>AZRAD UMAR BIN SHAARI</v>
      </c>
      <c r="V3863" t="str">
        <f t="shared" si="1582"/>
        <v>FARHANA BINTI MUSTAPA</v>
      </c>
      <c r="W3863" t="str">
        <f t="shared" si="1583"/>
        <v>04-08-2020</v>
      </c>
      <c r="X3863" t="str">
        <f t="shared" si="1584"/>
        <v>RAZIMAH ANSAR AHMAD</v>
      </c>
      <c r="Y3863" t="str">
        <f t="shared" si="1585"/>
        <v>04-08-2020</v>
      </c>
      <c r="Z3863" t="str">
        <f>"COS10200804 5691"</f>
        <v>COS10200804 5691</v>
      </c>
    </row>
    <row r="3864" spans="1:26" x14ac:dyDescent="0.25">
      <c r="A3864" t="str">
        <f t="shared" si="1586"/>
        <v>04-08-2020 12:56:11</v>
      </c>
      <c r="B3864" t="str">
        <f>"0000807077"</f>
        <v>0000807077</v>
      </c>
      <c r="C3864" t="str">
        <f t="shared" si="1587"/>
        <v>0000806987</v>
      </c>
      <c r="D3864" t="str">
        <f t="shared" si="1571"/>
        <v>73185</v>
      </c>
      <c r="E3864" t="str">
        <f t="shared" si="1572"/>
        <v>KFH-OPERATIONS DEPARTMENT</v>
      </c>
      <c r="F3864" t="str">
        <f t="shared" si="1573"/>
        <v>IBG</v>
      </c>
      <c r="G3864" t="str">
        <f t="shared" si="1588"/>
        <v>Refund COSHARE 10</v>
      </c>
      <c r="H3864" s="2">
        <v>67.2</v>
      </c>
      <c r="I3864" t="str">
        <f>"MOHD HISHAMUDIN BIN MD ALIAS"</f>
        <v>MOHD HISHAMUDIN BIN MD ALIAS</v>
      </c>
      <c r="J3864" t="str">
        <f t="shared" si="1589"/>
        <v>MAYBANK / MAYBANK ISLAMIC</v>
      </c>
      <c r="K3864" t="str">
        <f>"103051205589"</f>
        <v>103051205589</v>
      </c>
      <c r="L3864" t="str">
        <f t="shared" si="1574"/>
        <v>04-08-2020</v>
      </c>
      <c r="M3864" t="str">
        <f t="shared" si="1574"/>
        <v>04-08-2020</v>
      </c>
      <c r="N3864" t="str">
        <f t="shared" si="1575"/>
        <v>001105018356</v>
      </c>
      <c r="O3864" t="str">
        <f t="shared" si="1576"/>
        <v>MYR</v>
      </c>
      <c r="P3864" t="str">
        <f t="shared" si="1577"/>
        <v>NIL</v>
      </c>
      <c r="Q3864" t="str">
        <f t="shared" si="1577"/>
        <v>NIL</v>
      </c>
      <c r="R3864" t="str">
        <f t="shared" si="1578"/>
        <v>Accepted</v>
      </c>
      <c r="S3864" t="str">
        <f t="shared" si="1579"/>
        <v>Approved</v>
      </c>
      <c r="T3864" t="str">
        <f t="shared" si="1580"/>
        <v>10.20.8.188</v>
      </c>
      <c r="U3864" t="str">
        <f t="shared" si="1581"/>
        <v>AZRAD UMAR BIN SHAARI</v>
      </c>
      <c r="V3864" t="str">
        <f t="shared" si="1582"/>
        <v>FARHANA BINTI MUSTAPA</v>
      </c>
      <c r="W3864" t="str">
        <f t="shared" si="1583"/>
        <v>04-08-2020</v>
      </c>
      <c r="X3864" t="str">
        <f t="shared" si="1584"/>
        <v>RAZIMAH ANSAR AHMAD</v>
      </c>
      <c r="Y3864" t="str">
        <f t="shared" si="1585"/>
        <v>04-08-2020</v>
      </c>
      <c r="Z3864" t="str">
        <f>"COS10200804 5690"</f>
        <v>COS10200804 5690</v>
      </c>
    </row>
    <row r="3865" spans="1:26" x14ac:dyDescent="0.25">
      <c r="A3865" t="str">
        <f t="shared" si="1586"/>
        <v>04-08-2020 12:56:11</v>
      </c>
      <c r="B3865" t="str">
        <f>"0000807076"</f>
        <v>0000807076</v>
      </c>
      <c r="C3865" t="str">
        <f t="shared" si="1587"/>
        <v>0000806987</v>
      </c>
      <c r="D3865" t="str">
        <f t="shared" si="1571"/>
        <v>73185</v>
      </c>
      <c r="E3865" t="str">
        <f t="shared" si="1572"/>
        <v>KFH-OPERATIONS DEPARTMENT</v>
      </c>
      <c r="F3865" t="str">
        <f t="shared" si="1573"/>
        <v>IBG</v>
      </c>
      <c r="G3865" t="str">
        <f t="shared" si="1588"/>
        <v>Refund COSHARE 10</v>
      </c>
      <c r="H3865" s="2">
        <v>1473.5</v>
      </c>
      <c r="I3865" t="str">
        <f>"MOHD HISHAM BIN SABTU"</f>
        <v>MOHD HISHAM BIN SABTU</v>
      </c>
      <c r="J3865" t="str">
        <f t="shared" si="1589"/>
        <v>MAYBANK / MAYBANK ISLAMIC</v>
      </c>
      <c r="K3865" t="str">
        <f>"104012514923"</f>
        <v>104012514923</v>
      </c>
      <c r="L3865" t="str">
        <f t="shared" si="1574"/>
        <v>04-08-2020</v>
      </c>
      <c r="M3865" t="str">
        <f t="shared" si="1574"/>
        <v>04-08-2020</v>
      </c>
      <c r="N3865" t="str">
        <f t="shared" si="1575"/>
        <v>001105018356</v>
      </c>
      <c r="O3865" t="str">
        <f t="shared" si="1576"/>
        <v>MYR</v>
      </c>
      <c r="P3865" t="str">
        <f t="shared" si="1577"/>
        <v>NIL</v>
      </c>
      <c r="Q3865" t="str">
        <f t="shared" si="1577"/>
        <v>NIL</v>
      </c>
      <c r="R3865" t="str">
        <f t="shared" si="1578"/>
        <v>Accepted</v>
      </c>
      <c r="S3865" t="str">
        <f t="shared" si="1579"/>
        <v>Approved</v>
      </c>
      <c r="T3865" t="str">
        <f t="shared" si="1580"/>
        <v>10.20.8.188</v>
      </c>
      <c r="U3865" t="str">
        <f t="shared" si="1581"/>
        <v>AZRAD UMAR BIN SHAARI</v>
      </c>
      <c r="V3865" t="str">
        <f t="shared" si="1582"/>
        <v>FARHANA BINTI MUSTAPA</v>
      </c>
      <c r="W3865" t="str">
        <f t="shared" si="1583"/>
        <v>04-08-2020</v>
      </c>
      <c r="X3865" t="str">
        <f t="shared" si="1584"/>
        <v>RAZIMAH ANSAR AHMAD</v>
      </c>
      <c r="Y3865" t="str">
        <f t="shared" si="1585"/>
        <v>04-08-2020</v>
      </c>
      <c r="Z3865" t="str">
        <f>"COS10200804 5689"</f>
        <v>COS10200804 5689</v>
      </c>
    </row>
    <row r="3866" spans="1:26" x14ac:dyDescent="0.25">
      <c r="A3866" t="str">
        <f t="shared" si="1586"/>
        <v>04-08-2020 12:56:11</v>
      </c>
      <c r="B3866" t="str">
        <f>"0000807075"</f>
        <v>0000807075</v>
      </c>
      <c r="C3866" t="str">
        <f t="shared" si="1587"/>
        <v>0000806987</v>
      </c>
      <c r="D3866" t="str">
        <f t="shared" si="1571"/>
        <v>73185</v>
      </c>
      <c r="E3866" t="str">
        <f t="shared" si="1572"/>
        <v>KFH-OPERATIONS DEPARTMENT</v>
      </c>
      <c r="F3866" t="str">
        <f t="shared" si="1573"/>
        <v>IBG</v>
      </c>
      <c r="G3866" t="str">
        <f t="shared" si="1588"/>
        <v>Refund COSHARE 10</v>
      </c>
      <c r="H3866" s="2">
        <v>251.85</v>
      </c>
      <c r="I3866" t="str">
        <f>"MOHD HISHAM BIN MOHD TAHIR"</f>
        <v>MOHD HISHAM BIN MOHD TAHIR</v>
      </c>
      <c r="J3866" t="str">
        <f t="shared" si="1589"/>
        <v>MAYBANK / MAYBANK ISLAMIC</v>
      </c>
      <c r="K3866" t="str">
        <f>"108114039119"</f>
        <v>108114039119</v>
      </c>
      <c r="L3866" t="str">
        <f t="shared" si="1574"/>
        <v>04-08-2020</v>
      </c>
      <c r="M3866" t="str">
        <f t="shared" si="1574"/>
        <v>04-08-2020</v>
      </c>
      <c r="N3866" t="str">
        <f t="shared" si="1575"/>
        <v>001105018356</v>
      </c>
      <c r="O3866" t="str">
        <f t="shared" si="1576"/>
        <v>MYR</v>
      </c>
      <c r="P3866" t="str">
        <f t="shared" si="1577"/>
        <v>NIL</v>
      </c>
      <c r="Q3866" t="str">
        <f t="shared" si="1577"/>
        <v>NIL</v>
      </c>
      <c r="R3866" t="str">
        <f t="shared" si="1578"/>
        <v>Accepted</v>
      </c>
      <c r="S3866" t="str">
        <f t="shared" si="1579"/>
        <v>Approved</v>
      </c>
      <c r="T3866" t="str">
        <f t="shared" si="1580"/>
        <v>10.20.8.188</v>
      </c>
      <c r="U3866" t="str">
        <f t="shared" si="1581"/>
        <v>AZRAD UMAR BIN SHAARI</v>
      </c>
      <c r="V3866" t="str">
        <f t="shared" si="1582"/>
        <v>FARHANA BINTI MUSTAPA</v>
      </c>
      <c r="W3866" t="str">
        <f t="shared" si="1583"/>
        <v>04-08-2020</v>
      </c>
      <c r="X3866" t="str">
        <f t="shared" si="1584"/>
        <v>RAZIMAH ANSAR AHMAD</v>
      </c>
      <c r="Y3866" t="str">
        <f t="shared" si="1585"/>
        <v>04-08-2020</v>
      </c>
      <c r="Z3866" t="str">
        <f>"COS10200804 5688"</f>
        <v>COS10200804 5688</v>
      </c>
    </row>
    <row r="3867" spans="1:26" x14ac:dyDescent="0.25">
      <c r="A3867" t="str">
        <f t="shared" si="1586"/>
        <v>04-08-2020 12:56:11</v>
      </c>
      <c r="B3867" t="str">
        <f>"0000807074"</f>
        <v>0000807074</v>
      </c>
      <c r="C3867" t="str">
        <f t="shared" si="1587"/>
        <v>0000806987</v>
      </c>
      <c r="D3867" t="str">
        <f t="shared" si="1571"/>
        <v>73185</v>
      </c>
      <c r="E3867" t="str">
        <f t="shared" si="1572"/>
        <v>KFH-OPERATIONS DEPARTMENT</v>
      </c>
      <c r="F3867" t="str">
        <f t="shared" si="1573"/>
        <v>IBG</v>
      </c>
      <c r="G3867" t="str">
        <f t="shared" si="1588"/>
        <v>Refund COSHARE 10</v>
      </c>
      <c r="H3867" s="2">
        <v>142.75</v>
      </c>
      <c r="I3867" t="str">
        <f>"MOHD HIESAM BIN ABD RAHMAN"</f>
        <v>MOHD HIESAM BIN ABD RAHMAN</v>
      </c>
      <c r="J3867" t="str">
        <f t="shared" si="1589"/>
        <v>MAYBANK / MAYBANK ISLAMIC</v>
      </c>
      <c r="K3867" t="str">
        <f>"152040292399"</f>
        <v>152040292399</v>
      </c>
      <c r="L3867" t="str">
        <f t="shared" ref="L3867:M3886" si="1590">"04-08-2020"</f>
        <v>04-08-2020</v>
      </c>
      <c r="M3867" t="str">
        <f t="shared" si="1590"/>
        <v>04-08-2020</v>
      </c>
      <c r="N3867" t="str">
        <f t="shared" si="1575"/>
        <v>001105018356</v>
      </c>
      <c r="O3867" t="str">
        <f t="shared" si="1576"/>
        <v>MYR</v>
      </c>
      <c r="P3867" t="str">
        <f t="shared" ref="P3867:Q3886" si="1591">"NIL"</f>
        <v>NIL</v>
      </c>
      <c r="Q3867" t="str">
        <f t="shared" si="1591"/>
        <v>NIL</v>
      </c>
      <c r="R3867" t="str">
        <f t="shared" si="1578"/>
        <v>Accepted</v>
      </c>
      <c r="S3867" t="str">
        <f t="shared" si="1579"/>
        <v>Approved</v>
      </c>
      <c r="T3867" t="str">
        <f t="shared" si="1580"/>
        <v>10.20.8.188</v>
      </c>
      <c r="U3867" t="str">
        <f t="shared" si="1581"/>
        <v>AZRAD UMAR BIN SHAARI</v>
      </c>
      <c r="V3867" t="str">
        <f t="shared" si="1582"/>
        <v>FARHANA BINTI MUSTAPA</v>
      </c>
      <c r="W3867" t="str">
        <f t="shared" si="1583"/>
        <v>04-08-2020</v>
      </c>
      <c r="X3867" t="str">
        <f t="shared" si="1584"/>
        <v>RAZIMAH ANSAR AHMAD</v>
      </c>
      <c r="Y3867" t="str">
        <f t="shared" si="1585"/>
        <v>04-08-2020</v>
      </c>
      <c r="Z3867" t="str">
        <f>"COS10200804 5687"</f>
        <v>COS10200804 5687</v>
      </c>
    </row>
    <row r="3868" spans="1:26" x14ac:dyDescent="0.25">
      <c r="A3868" t="str">
        <f t="shared" si="1586"/>
        <v>04-08-2020 12:56:11</v>
      </c>
      <c r="B3868" t="str">
        <f>"0000807073"</f>
        <v>0000807073</v>
      </c>
      <c r="C3868" t="str">
        <f t="shared" si="1587"/>
        <v>0000806987</v>
      </c>
      <c r="D3868" t="str">
        <f t="shared" si="1571"/>
        <v>73185</v>
      </c>
      <c r="E3868" t="str">
        <f t="shared" si="1572"/>
        <v>KFH-OPERATIONS DEPARTMENT</v>
      </c>
      <c r="F3868" t="str">
        <f t="shared" si="1573"/>
        <v>IBG</v>
      </c>
      <c r="G3868" t="str">
        <f t="shared" si="1588"/>
        <v>Refund COSHARE 10</v>
      </c>
      <c r="H3868" s="2">
        <v>209.9</v>
      </c>
      <c r="I3868" t="str">
        <f>"MOHD HELMY BIN NOHROWI"</f>
        <v>MOHD HELMY BIN NOHROWI</v>
      </c>
      <c r="J3868" t="str">
        <f t="shared" si="1589"/>
        <v>MAYBANK / MAYBANK ISLAMIC</v>
      </c>
      <c r="K3868" t="str">
        <f>"151306755102"</f>
        <v>151306755102</v>
      </c>
      <c r="L3868" t="str">
        <f t="shared" si="1590"/>
        <v>04-08-2020</v>
      </c>
      <c r="M3868" t="str">
        <f t="shared" si="1590"/>
        <v>04-08-2020</v>
      </c>
      <c r="N3868" t="str">
        <f t="shared" si="1575"/>
        <v>001105018356</v>
      </c>
      <c r="O3868" t="str">
        <f t="shared" si="1576"/>
        <v>MYR</v>
      </c>
      <c r="P3868" t="str">
        <f t="shared" si="1591"/>
        <v>NIL</v>
      </c>
      <c r="Q3868" t="str">
        <f t="shared" si="1591"/>
        <v>NIL</v>
      </c>
      <c r="R3868" t="str">
        <f t="shared" si="1578"/>
        <v>Accepted</v>
      </c>
      <c r="S3868" t="str">
        <f t="shared" si="1579"/>
        <v>Approved</v>
      </c>
      <c r="T3868" t="str">
        <f t="shared" si="1580"/>
        <v>10.20.8.188</v>
      </c>
      <c r="U3868" t="str">
        <f t="shared" si="1581"/>
        <v>AZRAD UMAR BIN SHAARI</v>
      </c>
      <c r="V3868" t="str">
        <f t="shared" si="1582"/>
        <v>FARHANA BINTI MUSTAPA</v>
      </c>
      <c r="W3868" t="str">
        <f t="shared" si="1583"/>
        <v>04-08-2020</v>
      </c>
      <c r="X3868" t="str">
        <f t="shared" si="1584"/>
        <v>RAZIMAH ANSAR AHMAD</v>
      </c>
      <c r="Y3868" t="str">
        <f t="shared" si="1585"/>
        <v>04-08-2020</v>
      </c>
      <c r="Z3868" t="str">
        <f>"COS10200804 5686"</f>
        <v>COS10200804 5686</v>
      </c>
    </row>
    <row r="3869" spans="1:26" x14ac:dyDescent="0.25">
      <c r="A3869" t="str">
        <f t="shared" si="1586"/>
        <v>04-08-2020 12:56:11</v>
      </c>
      <c r="B3869" t="str">
        <f>"0000807072"</f>
        <v>0000807072</v>
      </c>
      <c r="C3869" t="str">
        <f t="shared" si="1587"/>
        <v>0000806987</v>
      </c>
      <c r="D3869" t="str">
        <f t="shared" si="1571"/>
        <v>73185</v>
      </c>
      <c r="E3869" t="str">
        <f t="shared" si="1572"/>
        <v>KFH-OPERATIONS DEPARTMENT</v>
      </c>
      <c r="F3869" t="str">
        <f t="shared" si="1573"/>
        <v>IBG</v>
      </c>
      <c r="G3869" t="str">
        <f t="shared" si="1588"/>
        <v>Refund COSHARE 10</v>
      </c>
      <c r="H3869" s="2">
        <v>335.8</v>
      </c>
      <c r="I3869" t="str">
        <f>"MOHD HELMIZAM BIN HARON"</f>
        <v>MOHD HELMIZAM BIN HARON</v>
      </c>
      <c r="J3869" t="str">
        <f t="shared" si="1589"/>
        <v>MAYBANK / MAYBANK ISLAMIC</v>
      </c>
      <c r="K3869" t="str">
        <f>"112147627618"</f>
        <v>112147627618</v>
      </c>
      <c r="L3869" t="str">
        <f t="shared" si="1590"/>
        <v>04-08-2020</v>
      </c>
      <c r="M3869" t="str">
        <f t="shared" si="1590"/>
        <v>04-08-2020</v>
      </c>
      <c r="N3869" t="str">
        <f t="shared" si="1575"/>
        <v>001105018356</v>
      </c>
      <c r="O3869" t="str">
        <f t="shared" si="1576"/>
        <v>MYR</v>
      </c>
      <c r="P3869" t="str">
        <f t="shared" si="1591"/>
        <v>NIL</v>
      </c>
      <c r="Q3869" t="str">
        <f t="shared" si="1591"/>
        <v>NIL</v>
      </c>
      <c r="R3869" t="str">
        <f t="shared" si="1578"/>
        <v>Accepted</v>
      </c>
      <c r="S3869" t="str">
        <f t="shared" si="1579"/>
        <v>Approved</v>
      </c>
      <c r="T3869" t="str">
        <f t="shared" si="1580"/>
        <v>10.20.8.188</v>
      </c>
      <c r="U3869" t="str">
        <f t="shared" si="1581"/>
        <v>AZRAD UMAR BIN SHAARI</v>
      </c>
      <c r="V3869" t="str">
        <f t="shared" si="1582"/>
        <v>FARHANA BINTI MUSTAPA</v>
      </c>
      <c r="W3869" t="str">
        <f t="shared" si="1583"/>
        <v>04-08-2020</v>
      </c>
      <c r="X3869" t="str">
        <f t="shared" si="1584"/>
        <v>RAZIMAH ANSAR AHMAD</v>
      </c>
      <c r="Y3869" t="str">
        <f t="shared" si="1585"/>
        <v>04-08-2020</v>
      </c>
      <c r="Z3869" t="str">
        <f>"COS10200804 5685"</f>
        <v>COS10200804 5685</v>
      </c>
    </row>
    <row r="3870" spans="1:26" x14ac:dyDescent="0.25">
      <c r="A3870" t="str">
        <f t="shared" si="1586"/>
        <v>04-08-2020 12:56:11</v>
      </c>
      <c r="B3870" t="str">
        <f>"0000807071"</f>
        <v>0000807071</v>
      </c>
      <c r="C3870" t="str">
        <f t="shared" si="1587"/>
        <v>0000806987</v>
      </c>
      <c r="D3870" t="str">
        <f t="shared" si="1571"/>
        <v>73185</v>
      </c>
      <c r="E3870" t="str">
        <f t="shared" si="1572"/>
        <v>KFH-OPERATIONS DEPARTMENT</v>
      </c>
      <c r="F3870" t="str">
        <f t="shared" si="1573"/>
        <v>IBG</v>
      </c>
      <c r="G3870" t="str">
        <f t="shared" si="1588"/>
        <v>Refund COSHARE 10</v>
      </c>
      <c r="H3870" s="2">
        <v>109.15</v>
      </c>
      <c r="I3870" t="str">
        <f>"MOHD HELME BIN WAHAB"</f>
        <v>MOHD HELME BIN WAHAB</v>
      </c>
      <c r="J3870" t="str">
        <f t="shared" si="1589"/>
        <v>MAYBANK / MAYBANK ISLAMIC</v>
      </c>
      <c r="K3870" t="str">
        <f>"151071167387"</f>
        <v>151071167387</v>
      </c>
      <c r="L3870" t="str">
        <f t="shared" si="1590"/>
        <v>04-08-2020</v>
      </c>
      <c r="M3870" t="str">
        <f t="shared" si="1590"/>
        <v>04-08-2020</v>
      </c>
      <c r="N3870" t="str">
        <f t="shared" si="1575"/>
        <v>001105018356</v>
      </c>
      <c r="O3870" t="str">
        <f t="shared" si="1576"/>
        <v>MYR</v>
      </c>
      <c r="P3870" t="str">
        <f t="shared" si="1591"/>
        <v>NIL</v>
      </c>
      <c r="Q3870" t="str">
        <f t="shared" si="1591"/>
        <v>NIL</v>
      </c>
      <c r="R3870" t="str">
        <f t="shared" si="1578"/>
        <v>Accepted</v>
      </c>
      <c r="S3870" t="str">
        <f t="shared" si="1579"/>
        <v>Approved</v>
      </c>
      <c r="T3870" t="str">
        <f t="shared" si="1580"/>
        <v>10.20.8.188</v>
      </c>
      <c r="U3870" t="str">
        <f t="shared" si="1581"/>
        <v>AZRAD UMAR BIN SHAARI</v>
      </c>
      <c r="V3870" t="str">
        <f t="shared" si="1582"/>
        <v>FARHANA BINTI MUSTAPA</v>
      </c>
      <c r="W3870" t="str">
        <f t="shared" si="1583"/>
        <v>04-08-2020</v>
      </c>
      <c r="X3870" t="str">
        <f t="shared" si="1584"/>
        <v>RAZIMAH ANSAR AHMAD</v>
      </c>
      <c r="Y3870" t="str">
        <f t="shared" si="1585"/>
        <v>04-08-2020</v>
      </c>
      <c r="Z3870" t="str">
        <f>"COS10200804 5684"</f>
        <v>COS10200804 5684</v>
      </c>
    </row>
    <row r="3871" spans="1:26" x14ac:dyDescent="0.25">
      <c r="A3871" t="str">
        <f t="shared" si="1586"/>
        <v>04-08-2020 12:56:11</v>
      </c>
      <c r="B3871" t="str">
        <f>"0000807070"</f>
        <v>0000807070</v>
      </c>
      <c r="C3871" t="str">
        <f t="shared" si="1587"/>
        <v>0000806987</v>
      </c>
      <c r="D3871" t="str">
        <f t="shared" si="1571"/>
        <v>73185</v>
      </c>
      <c r="E3871" t="str">
        <f t="shared" si="1572"/>
        <v>KFH-OPERATIONS DEPARTMENT</v>
      </c>
      <c r="F3871" t="str">
        <f t="shared" si="1573"/>
        <v>IBG</v>
      </c>
      <c r="G3871" t="str">
        <f t="shared" si="1588"/>
        <v>Refund COSHARE 10</v>
      </c>
      <c r="H3871" s="2">
        <v>839.5</v>
      </c>
      <c r="I3871" t="str">
        <f>"MOHD HEIRRI BIN MAT NAWI"</f>
        <v>MOHD HEIRRI BIN MAT NAWI</v>
      </c>
      <c r="J3871" t="str">
        <f t="shared" si="1589"/>
        <v>MAYBANK / MAYBANK ISLAMIC</v>
      </c>
      <c r="K3871" t="str">
        <f>"158088146074"</f>
        <v>158088146074</v>
      </c>
      <c r="L3871" t="str">
        <f t="shared" si="1590"/>
        <v>04-08-2020</v>
      </c>
      <c r="M3871" t="str">
        <f t="shared" si="1590"/>
        <v>04-08-2020</v>
      </c>
      <c r="N3871" t="str">
        <f t="shared" si="1575"/>
        <v>001105018356</v>
      </c>
      <c r="O3871" t="str">
        <f t="shared" si="1576"/>
        <v>MYR</v>
      </c>
      <c r="P3871" t="str">
        <f t="shared" si="1591"/>
        <v>NIL</v>
      </c>
      <c r="Q3871" t="str">
        <f t="shared" si="1591"/>
        <v>NIL</v>
      </c>
      <c r="R3871" t="str">
        <f t="shared" si="1578"/>
        <v>Accepted</v>
      </c>
      <c r="S3871" t="str">
        <f t="shared" si="1579"/>
        <v>Approved</v>
      </c>
      <c r="T3871" t="str">
        <f t="shared" si="1580"/>
        <v>10.20.8.188</v>
      </c>
      <c r="U3871" t="str">
        <f t="shared" si="1581"/>
        <v>AZRAD UMAR BIN SHAARI</v>
      </c>
      <c r="V3871" t="str">
        <f t="shared" si="1582"/>
        <v>FARHANA BINTI MUSTAPA</v>
      </c>
      <c r="W3871" t="str">
        <f t="shared" si="1583"/>
        <v>04-08-2020</v>
      </c>
      <c r="X3871" t="str">
        <f t="shared" si="1584"/>
        <v>RAZIMAH ANSAR AHMAD</v>
      </c>
      <c r="Y3871" t="str">
        <f t="shared" si="1585"/>
        <v>04-08-2020</v>
      </c>
      <c r="Z3871" t="str">
        <f>"COS10200804 5683"</f>
        <v>COS10200804 5683</v>
      </c>
    </row>
    <row r="3872" spans="1:26" x14ac:dyDescent="0.25">
      <c r="A3872" t="str">
        <f t="shared" si="1586"/>
        <v>04-08-2020 12:56:11</v>
      </c>
      <c r="B3872" t="str">
        <f>"0000807069"</f>
        <v>0000807069</v>
      </c>
      <c r="C3872" t="str">
        <f t="shared" si="1587"/>
        <v>0000806987</v>
      </c>
      <c r="D3872" t="str">
        <f t="shared" si="1571"/>
        <v>73185</v>
      </c>
      <c r="E3872" t="str">
        <f t="shared" si="1572"/>
        <v>KFH-OPERATIONS DEPARTMENT</v>
      </c>
      <c r="F3872" t="str">
        <f t="shared" si="1573"/>
        <v>IBG</v>
      </c>
      <c r="G3872" t="str">
        <f t="shared" si="1588"/>
        <v>Refund COSHARE 10</v>
      </c>
      <c r="H3872" s="2">
        <v>587.65</v>
      </c>
      <c r="I3872" t="str">
        <f>"MOHD HAZULLAH BIN ZULKIFLI"</f>
        <v>MOHD HAZULLAH BIN ZULKIFLI</v>
      </c>
      <c r="J3872" t="str">
        <f t="shared" si="1589"/>
        <v>MAYBANK / MAYBANK ISLAMIC</v>
      </c>
      <c r="K3872" t="str">
        <f>"162188296367"</f>
        <v>162188296367</v>
      </c>
      <c r="L3872" t="str">
        <f t="shared" si="1590"/>
        <v>04-08-2020</v>
      </c>
      <c r="M3872" t="str">
        <f t="shared" si="1590"/>
        <v>04-08-2020</v>
      </c>
      <c r="N3872" t="str">
        <f t="shared" si="1575"/>
        <v>001105018356</v>
      </c>
      <c r="O3872" t="str">
        <f t="shared" si="1576"/>
        <v>MYR</v>
      </c>
      <c r="P3872" t="str">
        <f t="shared" si="1591"/>
        <v>NIL</v>
      </c>
      <c r="Q3872" t="str">
        <f t="shared" si="1591"/>
        <v>NIL</v>
      </c>
      <c r="R3872" t="str">
        <f t="shared" si="1578"/>
        <v>Accepted</v>
      </c>
      <c r="S3872" t="str">
        <f t="shared" si="1579"/>
        <v>Approved</v>
      </c>
      <c r="T3872" t="str">
        <f t="shared" si="1580"/>
        <v>10.20.8.188</v>
      </c>
      <c r="U3872" t="str">
        <f t="shared" si="1581"/>
        <v>AZRAD UMAR BIN SHAARI</v>
      </c>
      <c r="V3872" t="str">
        <f t="shared" si="1582"/>
        <v>FARHANA BINTI MUSTAPA</v>
      </c>
      <c r="W3872" t="str">
        <f t="shared" si="1583"/>
        <v>04-08-2020</v>
      </c>
      <c r="X3872" t="str">
        <f t="shared" si="1584"/>
        <v>RAZIMAH ANSAR AHMAD</v>
      </c>
      <c r="Y3872" t="str">
        <f t="shared" si="1585"/>
        <v>04-08-2020</v>
      </c>
      <c r="Z3872" t="str">
        <f>"COS10200804 5682"</f>
        <v>COS10200804 5682</v>
      </c>
    </row>
    <row r="3873" spans="1:26" x14ac:dyDescent="0.25">
      <c r="A3873" t="str">
        <f t="shared" si="1586"/>
        <v>04-08-2020 12:56:11</v>
      </c>
      <c r="B3873" t="str">
        <f>"0000807068"</f>
        <v>0000807068</v>
      </c>
      <c r="C3873" t="str">
        <f t="shared" si="1587"/>
        <v>0000806987</v>
      </c>
      <c r="D3873" t="str">
        <f t="shared" si="1571"/>
        <v>73185</v>
      </c>
      <c r="E3873" t="str">
        <f t="shared" si="1572"/>
        <v>KFH-OPERATIONS DEPARTMENT</v>
      </c>
      <c r="F3873" t="str">
        <f t="shared" si="1573"/>
        <v>IBG</v>
      </c>
      <c r="G3873" t="str">
        <f t="shared" si="1588"/>
        <v>Refund COSHARE 10</v>
      </c>
      <c r="H3873" s="2">
        <v>50.4</v>
      </c>
      <c r="I3873" t="str">
        <f>"MOHD HAZLIN BIN HASSAN"</f>
        <v>MOHD HAZLIN BIN HASSAN</v>
      </c>
      <c r="J3873" t="str">
        <f t="shared" si="1589"/>
        <v>MAYBANK / MAYBANK ISLAMIC</v>
      </c>
      <c r="K3873" t="str">
        <f>"151249906607"</f>
        <v>151249906607</v>
      </c>
      <c r="L3873" t="str">
        <f t="shared" si="1590"/>
        <v>04-08-2020</v>
      </c>
      <c r="M3873" t="str">
        <f t="shared" si="1590"/>
        <v>04-08-2020</v>
      </c>
      <c r="N3873" t="str">
        <f t="shared" si="1575"/>
        <v>001105018356</v>
      </c>
      <c r="O3873" t="str">
        <f t="shared" si="1576"/>
        <v>MYR</v>
      </c>
      <c r="P3873" t="str">
        <f t="shared" si="1591"/>
        <v>NIL</v>
      </c>
      <c r="Q3873" t="str">
        <f t="shared" si="1591"/>
        <v>NIL</v>
      </c>
      <c r="R3873" t="str">
        <f t="shared" si="1578"/>
        <v>Accepted</v>
      </c>
      <c r="S3873" t="str">
        <f t="shared" si="1579"/>
        <v>Approved</v>
      </c>
      <c r="T3873" t="str">
        <f t="shared" si="1580"/>
        <v>10.20.8.188</v>
      </c>
      <c r="U3873" t="str">
        <f t="shared" si="1581"/>
        <v>AZRAD UMAR BIN SHAARI</v>
      </c>
      <c r="V3873" t="str">
        <f t="shared" si="1582"/>
        <v>FARHANA BINTI MUSTAPA</v>
      </c>
      <c r="W3873" t="str">
        <f t="shared" si="1583"/>
        <v>04-08-2020</v>
      </c>
      <c r="X3873" t="str">
        <f t="shared" si="1584"/>
        <v>RAZIMAH ANSAR AHMAD</v>
      </c>
      <c r="Y3873" t="str">
        <f t="shared" si="1585"/>
        <v>04-08-2020</v>
      </c>
      <c r="Z3873" t="str">
        <f>"COS10200804 5681"</f>
        <v>COS10200804 5681</v>
      </c>
    </row>
    <row r="3874" spans="1:26" x14ac:dyDescent="0.25">
      <c r="A3874" t="str">
        <f t="shared" si="1586"/>
        <v>04-08-2020 12:56:11</v>
      </c>
      <c r="B3874" t="str">
        <f>"0000807067"</f>
        <v>0000807067</v>
      </c>
      <c r="C3874" t="str">
        <f t="shared" si="1587"/>
        <v>0000806987</v>
      </c>
      <c r="D3874" t="str">
        <f t="shared" si="1571"/>
        <v>73185</v>
      </c>
      <c r="E3874" t="str">
        <f t="shared" si="1572"/>
        <v>KFH-OPERATIONS DEPARTMENT</v>
      </c>
      <c r="F3874" t="str">
        <f t="shared" si="1573"/>
        <v>IBG</v>
      </c>
      <c r="G3874" t="str">
        <f t="shared" si="1588"/>
        <v>Refund COSHARE 10</v>
      </c>
      <c r="H3874" s="2">
        <v>839.5</v>
      </c>
      <c r="I3874" t="str">
        <f>"MOHD HAZIM BIN MOHD REJAB"</f>
        <v>MOHD HAZIM BIN MOHD REJAB</v>
      </c>
      <c r="J3874" t="str">
        <f t="shared" si="1589"/>
        <v>MAYBANK / MAYBANK ISLAMIC</v>
      </c>
      <c r="K3874" t="str">
        <f>"164360611070"</f>
        <v>164360611070</v>
      </c>
      <c r="L3874" t="str">
        <f t="shared" si="1590"/>
        <v>04-08-2020</v>
      </c>
      <c r="M3874" t="str">
        <f t="shared" si="1590"/>
        <v>04-08-2020</v>
      </c>
      <c r="N3874" t="str">
        <f t="shared" si="1575"/>
        <v>001105018356</v>
      </c>
      <c r="O3874" t="str">
        <f t="shared" si="1576"/>
        <v>MYR</v>
      </c>
      <c r="P3874" t="str">
        <f t="shared" si="1591"/>
        <v>NIL</v>
      </c>
      <c r="Q3874" t="str">
        <f t="shared" si="1591"/>
        <v>NIL</v>
      </c>
      <c r="R3874" t="str">
        <f t="shared" si="1578"/>
        <v>Accepted</v>
      </c>
      <c r="S3874" t="str">
        <f t="shared" si="1579"/>
        <v>Approved</v>
      </c>
      <c r="T3874" t="str">
        <f t="shared" si="1580"/>
        <v>10.20.8.188</v>
      </c>
      <c r="U3874" t="str">
        <f t="shared" si="1581"/>
        <v>AZRAD UMAR BIN SHAARI</v>
      </c>
      <c r="V3874" t="str">
        <f t="shared" si="1582"/>
        <v>FARHANA BINTI MUSTAPA</v>
      </c>
      <c r="W3874" t="str">
        <f t="shared" si="1583"/>
        <v>04-08-2020</v>
      </c>
      <c r="X3874" t="str">
        <f t="shared" si="1584"/>
        <v>RAZIMAH ANSAR AHMAD</v>
      </c>
      <c r="Y3874" t="str">
        <f t="shared" si="1585"/>
        <v>04-08-2020</v>
      </c>
      <c r="Z3874" t="str">
        <f>"COS10200804 5680"</f>
        <v>COS10200804 5680</v>
      </c>
    </row>
    <row r="3875" spans="1:26" x14ac:dyDescent="0.25">
      <c r="A3875" t="str">
        <f t="shared" si="1586"/>
        <v>04-08-2020 12:56:11</v>
      </c>
      <c r="B3875" t="str">
        <f>"0000807066"</f>
        <v>0000807066</v>
      </c>
      <c r="C3875" t="str">
        <f t="shared" si="1587"/>
        <v>0000806987</v>
      </c>
      <c r="D3875" t="str">
        <f t="shared" si="1571"/>
        <v>73185</v>
      </c>
      <c r="E3875" t="str">
        <f t="shared" si="1572"/>
        <v>KFH-OPERATIONS DEPARTMENT</v>
      </c>
      <c r="F3875" t="str">
        <f t="shared" si="1573"/>
        <v>IBG</v>
      </c>
      <c r="G3875" t="str">
        <f t="shared" si="1588"/>
        <v>Refund COSHARE 10</v>
      </c>
      <c r="H3875" s="2">
        <v>839.5</v>
      </c>
      <c r="I3875" t="str">
        <f>"MOHD HAZIM BIN MOHD REJAB"</f>
        <v>MOHD HAZIM BIN MOHD REJAB</v>
      </c>
      <c r="J3875" t="str">
        <f t="shared" si="1589"/>
        <v>MAYBANK / MAYBANK ISLAMIC</v>
      </c>
      <c r="K3875" t="str">
        <f>"164360611070"</f>
        <v>164360611070</v>
      </c>
      <c r="L3875" t="str">
        <f t="shared" si="1590"/>
        <v>04-08-2020</v>
      </c>
      <c r="M3875" t="str">
        <f t="shared" si="1590"/>
        <v>04-08-2020</v>
      </c>
      <c r="N3875" t="str">
        <f t="shared" si="1575"/>
        <v>001105018356</v>
      </c>
      <c r="O3875" t="str">
        <f t="shared" si="1576"/>
        <v>MYR</v>
      </c>
      <c r="P3875" t="str">
        <f t="shared" si="1591"/>
        <v>NIL</v>
      </c>
      <c r="Q3875" t="str">
        <f t="shared" si="1591"/>
        <v>NIL</v>
      </c>
      <c r="R3875" t="str">
        <f t="shared" si="1578"/>
        <v>Accepted</v>
      </c>
      <c r="S3875" t="str">
        <f t="shared" si="1579"/>
        <v>Approved</v>
      </c>
      <c r="T3875" t="str">
        <f t="shared" si="1580"/>
        <v>10.20.8.188</v>
      </c>
      <c r="U3875" t="str">
        <f t="shared" si="1581"/>
        <v>AZRAD UMAR BIN SHAARI</v>
      </c>
      <c r="V3875" t="str">
        <f t="shared" si="1582"/>
        <v>FARHANA BINTI MUSTAPA</v>
      </c>
      <c r="W3875" t="str">
        <f t="shared" si="1583"/>
        <v>04-08-2020</v>
      </c>
      <c r="X3875" t="str">
        <f t="shared" si="1584"/>
        <v>RAZIMAH ANSAR AHMAD</v>
      </c>
      <c r="Y3875" t="str">
        <f t="shared" si="1585"/>
        <v>04-08-2020</v>
      </c>
      <c r="Z3875" t="str">
        <f>"COS10200804 5679"</f>
        <v>COS10200804 5679</v>
      </c>
    </row>
    <row r="3876" spans="1:26" x14ac:dyDescent="0.25">
      <c r="A3876" t="str">
        <f t="shared" si="1586"/>
        <v>04-08-2020 12:56:11</v>
      </c>
      <c r="B3876" t="str">
        <f>"0000807065"</f>
        <v>0000807065</v>
      </c>
      <c r="C3876" t="str">
        <f t="shared" si="1587"/>
        <v>0000806987</v>
      </c>
      <c r="D3876" t="str">
        <f t="shared" si="1571"/>
        <v>73185</v>
      </c>
      <c r="E3876" t="str">
        <f t="shared" si="1572"/>
        <v>KFH-OPERATIONS DEPARTMENT</v>
      </c>
      <c r="F3876" t="str">
        <f t="shared" si="1573"/>
        <v>IBG</v>
      </c>
      <c r="G3876" t="str">
        <f t="shared" si="1588"/>
        <v>Refund COSHARE 10</v>
      </c>
      <c r="H3876" s="2">
        <v>254.1</v>
      </c>
      <c r="I3876" t="str">
        <f>"MOHD HASRULNIZAR BIN CHIN"</f>
        <v>MOHD HASRULNIZAR BIN CHIN</v>
      </c>
      <c r="J3876" t="str">
        <f t="shared" si="1589"/>
        <v>MAYBANK / MAYBANK ISLAMIC</v>
      </c>
      <c r="K3876" t="str">
        <f>"162366933378"</f>
        <v>162366933378</v>
      </c>
      <c r="L3876" t="str">
        <f t="shared" si="1590"/>
        <v>04-08-2020</v>
      </c>
      <c r="M3876" t="str">
        <f t="shared" si="1590"/>
        <v>04-08-2020</v>
      </c>
      <c r="N3876" t="str">
        <f t="shared" si="1575"/>
        <v>001105018356</v>
      </c>
      <c r="O3876" t="str">
        <f t="shared" si="1576"/>
        <v>MYR</v>
      </c>
      <c r="P3876" t="str">
        <f t="shared" si="1591"/>
        <v>NIL</v>
      </c>
      <c r="Q3876" t="str">
        <f t="shared" si="1591"/>
        <v>NIL</v>
      </c>
      <c r="R3876" t="str">
        <f t="shared" si="1578"/>
        <v>Accepted</v>
      </c>
      <c r="S3876" t="str">
        <f t="shared" si="1579"/>
        <v>Approved</v>
      </c>
      <c r="T3876" t="str">
        <f t="shared" si="1580"/>
        <v>10.20.8.188</v>
      </c>
      <c r="U3876" t="str">
        <f t="shared" si="1581"/>
        <v>AZRAD UMAR BIN SHAARI</v>
      </c>
      <c r="V3876" t="str">
        <f t="shared" si="1582"/>
        <v>FARHANA BINTI MUSTAPA</v>
      </c>
      <c r="W3876" t="str">
        <f t="shared" si="1583"/>
        <v>04-08-2020</v>
      </c>
      <c r="X3876" t="str">
        <f t="shared" si="1584"/>
        <v>RAZIMAH ANSAR AHMAD</v>
      </c>
      <c r="Y3876" t="str">
        <f t="shared" si="1585"/>
        <v>04-08-2020</v>
      </c>
      <c r="Z3876" t="str">
        <f>"COS10200804 5678"</f>
        <v>COS10200804 5678</v>
      </c>
    </row>
    <row r="3877" spans="1:26" x14ac:dyDescent="0.25">
      <c r="A3877" t="str">
        <f t="shared" si="1586"/>
        <v>04-08-2020 12:56:11</v>
      </c>
      <c r="B3877" t="str">
        <f>"0000807064"</f>
        <v>0000807064</v>
      </c>
      <c r="C3877" t="str">
        <f t="shared" si="1587"/>
        <v>0000806987</v>
      </c>
      <c r="D3877" t="str">
        <f t="shared" si="1571"/>
        <v>73185</v>
      </c>
      <c r="E3877" t="str">
        <f t="shared" si="1572"/>
        <v>KFH-OPERATIONS DEPARTMENT</v>
      </c>
      <c r="F3877" t="str">
        <f t="shared" si="1573"/>
        <v>IBG</v>
      </c>
      <c r="G3877" t="str">
        <f t="shared" si="1588"/>
        <v>Refund COSHARE 10</v>
      </c>
      <c r="H3877" s="2">
        <v>76</v>
      </c>
      <c r="I3877" t="str">
        <f>"MOHD HASNI BIN BAWO"</f>
        <v>MOHD HASNI BIN BAWO</v>
      </c>
      <c r="J3877" t="str">
        <f t="shared" si="1589"/>
        <v>MAYBANK / MAYBANK ISLAMIC</v>
      </c>
      <c r="K3877" t="str">
        <f>"101413149180"</f>
        <v>101413149180</v>
      </c>
      <c r="L3877" t="str">
        <f t="shared" si="1590"/>
        <v>04-08-2020</v>
      </c>
      <c r="M3877" t="str">
        <f t="shared" si="1590"/>
        <v>04-08-2020</v>
      </c>
      <c r="N3877" t="str">
        <f t="shared" si="1575"/>
        <v>001105018356</v>
      </c>
      <c r="O3877" t="str">
        <f t="shared" si="1576"/>
        <v>MYR</v>
      </c>
      <c r="P3877" t="str">
        <f t="shared" si="1591"/>
        <v>NIL</v>
      </c>
      <c r="Q3877" t="str">
        <f t="shared" si="1591"/>
        <v>NIL</v>
      </c>
      <c r="R3877" t="str">
        <f t="shared" si="1578"/>
        <v>Accepted</v>
      </c>
      <c r="S3877" t="str">
        <f t="shared" si="1579"/>
        <v>Approved</v>
      </c>
      <c r="T3877" t="str">
        <f t="shared" si="1580"/>
        <v>10.20.8.188</v>
      </c>
      <c r="U3877" t="str">
        <f t="shared" si="1581"/>
        <v>AZRAD UMAR BIN SHAARI</v>
      </c>
      <c r="V3877" t="str">
        <f t="shared" si="1582"/>
        <v>FARHANA BINTI MUSTAPA</v>
      </c>
      <c r="W3877" t="str">
        <f t="shared" si="1583"/>
        <v>04-08-2020</v>
      </c>
      <c r="X3877" t="str">
        <f t="shared" si="1584"/>
        <v>RAZIMAH ANSAR AHMAD</v>
      </c>
      <c r="Y3877" t="str">
        <f t="shared" si="1585"/>
        <v>04-08-2020</v>
      </c>
      <c r="Z3877" t="str">
        <f>"COS10200804 5677"</f>
        <v>COS10200804 5677</v>
      </c>
    </row>
    <row r="3878" spans="1:26" x14ac:dyDescent="0.25">
      <c r="A3878" t="str">
        <f t="shared" si="1586"/>
        <v>04-08-2020 12:56:11</v>
      </c>
      <c r="B3878" t="str">
        <f>"0000807063"</f>
        <v>0000807063</v>
      </c>
      <c r="C3878" t="str">
        <f t="shared" si="1587"/>
        <v>0000806987</v>
      </c>
      <c r="D3878" t="str">
        <f t="shared" si="1571"/>
        <v>73185</v>
      </c>
      <c r="E3878" t="str">
        <f t="shared" si="1572"/>
        <v>KFH-OPERATIONS DEPARTMENT</v>
      </c>
      <c r="F3878" t="str">
        <f t="shared" si="1573"/>
        <v>IBG</v>
      </c>
      <c r="G3878" t="str">
        <f t="shared" si="1588"/>
        <v>Refund COSHARE 10</v>
      </c>
      <c r="H3878" s="2">
        <v>335.8</v>
      </c>
      <c r="I3878" t="str">
        <f>"MOHD HASNAN BIN YUNUS"</f>
        <v>MOHD HASNAN BIN YUNUS</v>
      </c>
      <c r="J3878" t="str">
        <f t="shared" si="1589"/>
        <v>MAYBANK / MAYBANK ISLAMIC</v>
      </c>
      <c r="K3878" t="str">
        <f>"153038954206"</f>
        <v>153038954206</v>
      </c>
      <c r="L3878" t="str">
        <f t="shared" si="1590"/>
        <v>04-08-2020</v>
      </c>
      <c r="M3878" t="str">
        <f t="shared" si="1590"/>
        <v>04-08-2020</v>
      </c>
      <c r="N3878" t="str">
        <f t="shared" si="1575"/>
        <v>001105018356</v>
      </c>
      <c r="O3878" t="str">
        <f t="shared" si="1576"/>
        <v>MYR</v>
      </c>
      <c r="P3878" t="str">
        <f t="shared" si="1591"/>
        <v>NIL</v>
      </c>
      <c r="Q3878" t="str">
        <f t="shared" si="1591"/>
        <v>NIL</v>
      </c>
      <c r="R3878" t="str">
        <f t="shared" si="1578"/>
        <v>Accepted</v>
      </c>
      <c r="S3878" t="str">
        <f t="shared" si="1579"/>
        <v>Approved</v>
      </c>
      <c r="T3878" t="str">
        <f t="shared" si="1580"/>
        <v>10.20.8.188</v>
      </c>
      <c r="U3878" t="str">
        <f t="shared" si="1581"/>
        <v>AZRAD UMAR BIN SHAARI</v>
      </c>
      <c r="V3878" t="str">
        <f t="shared" si="1582"/>
        <v>FARHANA BINTI MUSTAPA</v>
      </c>
      <c r="W3878" t="str">
        <f t="shared" si="1583"/>
        <v>04-08-2020</v>
      </c>
      <c r="X3878" t="str">
        <f t="shared" si="1584"/>
        <v>RAZIMAH ANSAR AHMAD</v>
      </c>
      <c r="Y3878" t="str">
        <f t="shared" si="1585"/>
        <v>04-08-2020</v>
      </c>
      <c r="Z3878" t="str">
        <f>"COS10200804 5676"</f>
        <v>COS10200804 5676</v>
      </c>
    </row>
    <row r="3879" spans="1:26" x14ac:dyDescent="0.25">
      <c r="A3879" t="str">
        <f t="shared" si="1586"/>
        <v>04-08-2020 12:56:11</v>
      </c>
      <c r="B3879" t="str">
        <f>"0000807062"</f>
        <v>0000807062</v>
      </c>
      <c r="C3879" t="str">
        <f t="shared" si="1587"/>
        <v>0000806987</v>
      </c>
      <c r="D3879" t="str">
        <f t="shared" si="1571"/>
        <v>73185</v>
      </c>
      <c r="E3879" t="str">
        <f t="shared" si="1572"/>
        <v>KFH-OPERATIONS DEPARTMENT</v>
      </c>
      <c r="F3879" t="str">
        <f t="shared" si="1573"/>
        <v>IBG</v>
      </c>
      <c r="G3879" t="str">
        <f t="shared" si="1588"/>
        <v>Refund COSHARE 10</v>
      </c>
      <c r="H3879" s="2">
        <v>663.2</v>
      </c>
      <c r="I3879" t="str">
        <f>"MOHD HASNAN BIN YUNUS"</f>
        <v>MOHD HASNAN BIN YUNUS</v>
      </c>
      <c r="J3879" t="str">
        <f t="shared" si="1589"/>
        <v>MAYBANK / MAYBANK ISLAMIC</v>
      </c>
      <c r="K3879" t="str">
        <f>"153038954206"</f>
        <v>153038954206</v>
      </c>
      <c r="L3879" t="str">
        <f t="shared" si="1590"/>
        <v>04-08-2020</v>
      </c>
      <c r="M3879" t="str">
        <f t="shared" si="1590"/>
        <v>04-08-2020</v>
      </c>
      <c r="N3879" t="str">
        <f t="shared" si="1575"/>
        <v>001105018356</v>
      </c>
      <c r="O3879" t="str">
        <f t="shared" si="1576"/>
        <v>MYR</v>
      </c>
      <c r="P3879" t="str">
        <f t="shared" si="1591"/>
        <v>NIL</v>
      </c>
      <c r="Q3879" t="str">
        <f t="shared" si="1591"/>
        <v>NIL</v>
      </c>
      <c r="R3879" t="str">
        <f t="shared" si="1578"/>
        <v>Accepted</v>
      </c>
      <c r="S3879" t="str">
        <f t="shared" si="1579"/>
        <v>Approved</v>
      </c>
      <c r="T3879" t="str">
        <f t="shared" si="1580"/>
        <v>10.20.8.188</v>
      </c>
      <c r="U3879" t="str">
        <f t="shared" si="1581"/>
        <v>AZRAD UMAR BIN SHAARI</v>
      </c>
      <c r="V3879" t="str">
        <f t="shared" si="1582"/>
        <v>FARHANA BINTI MUSTAPA</v>
      </c>
      <c r="W3879" t="str">
        <f t="shared" si="1583"/>
        <v>04-08-2020</v>
      </c>
      <c r="X3879" t="str">
        <f t="shared" si="1584"/>
        <v>RAZIMAH ANSAR AHMAD</v>
      </c>
      <c r="Y3879" t="str">
        <f t="shared" si="1585"/>
        <v>04-08-2020</v>
      </c>
      <c r="Z3879" t="str">
        <f>"COS10200804 5675"</f>
        <v>COS10200804 5675</v>
      </c>
    </row>
    <row r="3880" spans="1:26" x14ac:dyDescent="0.25">
      <c r="A3880" t="str">
        <f t="shared" si="1586"/>
        <v>04-08-2020 12:56:11</v>
      </c>
      <c r="B3880" t="str">
        <f>"0000807061"</f>
        <v>0000807061</v>
      </c>
      <c r="C3880" t="str">
        <f t="shared" si="1587"/>
        <v>0000806987</v>
      </c>
      <c r="D3880" t="str">
        <f t="shared" si="1571"/>
        <v>73185</v>
      </c>
      <c r="E3880" t="str">
        <f t="shared" si="1572"/>
        <v>KFH-OPERATIONS DEPARTMENT</v>
      </c>
      <c r="F3880" t="str">
        <f t="shared" si="1573"/>
        <v>IBG</v>
      </c>
      <c r="G3880" t="str">
        <f t="shared" si="1588"/>
        <v>Refund COSHARE 10</v>
      </c>
      <c r="H3880" s="2">
        <v>285.45</v>
      </c>
      <c r="I3880" t="str">
        <f>"MOHD HASBULLAH BIN MAZLAN"</f>
        <v>MOHD HASBULLAH BIN MAZLAN</v>
      </c>
      <c r="J3880" t="str">
        <f t="shared" si="1589"/>
        <v>MAYBANK / MAYBANK ISLAMIC</v>
      </c>
      <c r="K3880" t="str">
        <f>"158118087957"</f>
        <v>158118087957</v>
      </c>
      <c r="L3880" t="str">
        <f t="shared" si="1590"/>
        <v>04-08-2020</v>
      </c>
      <c r="M3880" t="str">
        <f t="shared" si="1590"/>
        <v>04-08-2020</v>
      </c>
      <c r="N3880" t="str">
        <f t="shared" si="1575"/>
        <v>001105018356</v>
      </c>
      <c r="O3880" t="str">
        <f t="shared" si="1576"/>
        <v>MYR</v>
      </c>
      <c r="P3880" t="str">
        <f t="shared" si="1591"/>
        <v>NIL</v>
      </c>
      <c r="Q3880" t="str">
        <f t="shared" si="1591"/>
        <v>NIL</v>
      </c>
      <c r="R3880" t="str">
        <f t="shared" si="1578"/>
        <v>Accepted</v>
      </c>
      <c r="S3880" t="str">
        <f t="shared" si="1579"/>
        <v>Approved</v>
      </c>
      <c r="T3880" t="str">
        <f t="shared" si="1580"/>
        <v>10.20.8.188</v>
      </c>
      <c r="U3880" t="str">
        <f t="shared" si="1581"/>
        <v>AZRAD UMAR BIN SHAARI</v>
      </c>
      <c r="V3880" t="str">
        <f t="shared" si="1582"/>
        <v>FARHANA BINTI MUSTAPA</v>
      </c>
      <c r="W3880" t="str">
        <f t="shared" si="1583"/>
        <v>04-08-2020</v>
      </c>
      <c r="X3880" t="str">
        <f t="shared" si="1584"/>
        <v>RAZIMAH ANSAR AHMAD</v>
      </c>
      <c r="Y3880" t="str">
        <f t="shared" si="1585"/>
        <v>04-08-2020</v>
      </c>
      <c r="Z3880" t="str">
        <f>"COS10200804 5674"</f>
        <v>COS10200804 5674</v>
      </c>
    </row>
    <row r="3881" spans="1:26" x14ac:dyDescent="0.25">
      <c r="A3881" t="str">
        <f t="shared" si="1586"/>
        <v>04-08-2020 12:56:11</v>
      </c>
      <c r="B3881" t="str">
        <f>"0000807060"</f>
        <v>0000807060</v>
      </c>
      <c r="C3881" t="str">
        <f t="shared" si="1587"/>
        <v>0000806987</v>
      </c>
      <c r="D3881" t="str">
        <f t="shared" si="1571"/>
        <v>73185</v>
      </c>
      <c r="E3881" t="str">
        <f t="shared" si="1572"/>
        <v>KFH-OPERATIONS DEPARTMENT</v>
      </c>
      <c r="F3881" t="str">
        <f t="shared" si="1573"/>
        <v>IBG</v>
      </c>
      <c r="G3881" t="str">
        <f t="shared" si="1588"/>
        <v>Refund COSHARE 10</v>
      </c>
      <c r="H3881" s="2">
        <v>1326.75</v>
      </c>
      <c r="I3881" t="str">
        <f>"MOHD HARJAZI BIN MOHD HASHIM"</f>
        <v>MOHD HARJAZI BIN MOHD HASHIM</v>
      </c>
      <c r="J3881" t="str">
        <f t="shared" si="1589"/>
        <v>MAYBANK / MAYBANK ISLAMIC</v>
      </c>
      <c r="K3881" t="str">
        <f>"164137415919"</f>
        <v>164137415919</v>
      </c>
      <c r="L3881" t="str">
        <f t="shared" si="1590"/>
        <v>04-08-2020</v>
      </c>
      <c r="M3881" t="str">
        <f t="shared" si="1590"/>
        <v>04-08-2020</v>
      </c>
      <c r="N3881" t="str">
        <f t="shared" si="1575"/>
        <v>001105018356</v>
      </c>
      <c r="O3881" t="str">
        <f t="shared" si="1576"/>
        <v>MYR</v>
      </c>
      <c r="P3881" t="str">
        <f t="shared" si="1591"/>
        <v>NIL</v>
      </c>
      <c r="Q3881" t="str">
        <f t="shared" si="1591"/>
        <v>NIL</v>
      </c>
      <c r="R3881" t="str">
        <f t="shared" si="1578"/>
        <v>Accepted</v>
      </c>
      <c r="S3881" t="str">
        <f t="shared" si="1579"/>
        <v>Approved</v>
      </c>
      <c r="T3881" t="str">
        <f t="shared" si="1580"/>
        <v>10.20.8.188</v>
      </c>
      <c r="U3881" t="str">
        <f t="shared" si="1581"/>
        <v>AZRAD UMAR BIN SHAARI</v>
      </c>
      <c r="V3881" t="str">
        <f t="shared" si="1582"/>
        <v>FARHANA BINTI MUSTAPA</v>
      </c>
      <c r="W3881" t="str">
        <f t="shared" si="1583"/>
        <v>04-08-2020</v>
      </c>
      <c r="X3881" t="str">
        <f t="shared" si="1584"/>
        <v>RAZIMAH ANSAR AHMAD</v>
      </c>
      <c r="Y3881" t="str">
        <f t="shared" si="1585"/>
        <v>04-08-2020</v>
      </c>
      <c r="Z3881" t="str">
        <f>"COS10200804 5673"</f>
        <v>COS10200804 5673</v>
      </c>
    </row>
    <row r="3882" spans="1:26" x14ac:dyDescent="0.25">
      <c r="A3882" t="str">
        <f t="shared" ref="A3882:A3913" si="1592">"04-08-2020 12:56:11"</f>
        <v>04-08-2020 12:56:11</v>
      </c>
      <c r="B3882" t="str">
        <f>"0000807059"</f>
        <v>0000807059</v>
      </c>
      <c r="C3882" t="str">
        <f t="shared" ref="C3882:C3913" si="1593">"0000806987"</f>
        <v>0000806987</v>
      </c>
      <c r="D3882" t="str">
        <f t="shared" si="1571"/>
        <v>73185</v>
      </c>
      <c r="E3882" t="str">
        <f t="shared" si="1572"/>
        <v>KFH-OPERATIONS DEPARTMENT</v>
      </c>
      <c r="F3882" t="str">
        <f t="shared" si="1573"/>
        <v>IBG</v>
      </c>
      <c r="G3882" t="str">
        <f t="shared" si="1588"/>
        <v>Refund COSHARE 10</v>
      </c>
      <c r="H3882" s="2">
        <v>1326</v>
      </c>
      <c r="I3882" t="str">
        <f>"MOHD HARITH BIN MOHD RAHIM  MOHD NOOR"</f>
        <v>MOHD HARITH BIN MOHD RAHIM  MOHD NOOR</v>
      </c>
      <c r="J3882" t="str">
        <f t="shared" si="1589"/>
        <v>MAYBANK / MAYBANK ISLAMIC</v>
      </c>
      <c r="K3882" t="str">
        <f>"152116080260"</f>
        <v>152116080260</v>
      </c>
      <c r="L3882" t="str">
        <f t="shared" si="1590"/>
        <v>04-08-2020</v>
      </c>
      <c r="M3882" t="str">
        <f t="shared" si="1590"/>
        <v>04-08-2020</v>
      </c>
      <c r="N3882" t="str">
        <f t="shared" si="1575"/>
        <v>001105018356</v>
      </c>
      <c r="O3882" t="str">
        <f t="shared" si="1576"/>
        <v>MYR</v>
      </c>
      <c r="P3882" t="str">
        <f t="shared" si="1591"/>
        <v>NIL</v>
      </c>
      <c r="Q3882" t="str">
        <f t="shared" si="1591"/>
        <v>NIL</v>
      </c>
      <c r="R3882" t="str">
        <f t="shared" si="1578"/>
        <v>Accepted</v>
      </c>
      <c r="S3882" t="str">
        <f t="shared" si="1579"/>
        <v>Approved</v>
      </c>
      <c r="T3882" t="str">
        <f t="shared" si="1580"/>
        <v>10.20.8.188</v>
      </c>
      <c r="U3882" t="str">
        <f t="shared" si="1581"/>
        <v>AZRAD UMAR BIN SHAARI</v>
      </c>
      <c r="V3882" t="str">
        <f t="shared" si="1582"/>
        <v>FARHANA BINTI MUSTAPA</v>
      </c>
      <c r="W3882" t="str">
        <f t="shared" si="1583"/>
        <v>04-08-2020</v>
      </c>
      <c r="X3882" t="str">
        <f t="shared" si="1584"/>
        <v>RAZIMAH ANSAR AHMAD</v>
      </c>
      <c r="Y3882" t="str">
        <f t="shared" si="1585"/>
        <v>04-08-2020</v>
      </c>
      <c r="Z3882" t="str">
        <f>"COS10200804 5672"</f>
        <v>COS10200804 5672</v>
      </c>
    </row>
    <row r="3883" spans="1:26" x14ac:dyDescent="0.25">
      <c r="A3883" t="str">
        <f t="shared" si="1592"/>
        <v>04-08-2020 12:56:11</v>
      </c>
      <c r="B3883" t="str">
        <f>"0000807058"</f>
        <v>0000807058</v>
      </c>
      <c r="C3883" t="str">
        <f t="shared" si="1593"/>
        <v>0000806987</v>
      </c>
      <c r="D3883" t="str">
        <f t="shared" si="1571"/>
        <v>73185</v>
      </c>
      <c r="E3883" t="str">
        <f t="shared" si="1572"/>
        <v>KFH-OPERATIONS DEPARTMENT</v>
      </c>
      <c r="F3883" t="str">
        <f t="shared" si="1573"/>
        <v>IBG</v>
      </c>
      <c r="G3883" t="str">
        <f t="shared" si="1588"/>
        <v>Refund COSHARE 10</v>
      </c>
      <c r="H3883" s="2">
        <v>906.65</v>
      </c>
      <c r="I3883" t="str">
        <f>"MOHD HANIS BIN HAMDI"</f>
        <v>MOHD HANIS BIN HAMDI</v>
      </c>
      <c r="J3883" t="str">
        <f t="shared" si="1589"/>
        <v>MAYBANK / MAYBANK ISLAMIC</v>
      </c>
      <c r="K3883" t="str">
        <f>"157166954265"</f>
        <v>157166954265</v>
      </c>
      <c r="L3883" t="str">
        <f t="shared" si="1590"/>
        <v>04-08-2020</v>
      </c>
      <c r="M3883" t="str">
        <f t="shared" si="1590"/>
        <v>04-08-2020</v>
      </c>
      <c r="N3883" t="str">
        <f t="shared" si="1575"/>
        <v>001105018356</v>
      </c>
      <c r="O3883" t="str">
        <f t="shared" si="1576"/>
        <v>MYR</v>
      </c>
      <c r="P3883" t="str">
        <f t="shared" si="1591"/>
        <v>NIL</v>
      </c>
      <c r="Q3883" t="str">
        <f t="shared" si="1591"/>
        <v>NIL</v>
      </c>
      <c r="R3883" t="str">
        <f t="shared" si="1578"/>
        <v>Accepted</v>
      </c>
      <c r="S3883" t="str">
        <f t="shared" si="1579"/>
        <v>Approved</v>
      </c>
      <c r="T3883" t="str">
        <f t="shared" si="1580"/>
        <v>10.20.8.188</v>
      </c>
      <c r="U3883" t="str">
        <f t="shared" si="1581"/>
        <v>AZRAD UMAR BIN SHAARI</v>
      </c>
      <c r="V3883" t="str">
        <f t="shared" si="1582"/>
        <v>FARHANA BINTI MUSTAPA</v>
      </c>
      <c r="W3883" t="str">
        <f t="shared" si="1583"/>
        <v>04-08-2020</v>
      </c>
      <c r="X3883" t="str">
        <f t="shared" si="1584"/>
        <v>RAZIMAH ANSAR AHMAD</v>
      </c>
      <c r="Y3883" t="str">
        <f t="shared" si="1585"/>
        <v>04-08-2020</v>
      </c>
      <c r="Z3883" t="str">
        <f>"COS10200804 5671"</f>
        <v>COS10200804 5671</v>
      </c>
    </row>
    <row r="3884" spans="1:26" x14ac:dyDescent="0.25">
      <c r="A3884" t="str">
        <f t="shared" si="1592"/>
        <v>04-08-2020 12:56:11</v>
      </c>
      <c r="B3884" t="str">
        <f>"0000807057"</f>
        <v>0000807057</v>
      </c>
      <c r="C3884" t="str">
        <f t="shared" si="1593"/>
        <v>0000806987</v>
      </c>
      <c r="D3884" t="str">
        <f t="shared" si="1571"/>
        <v>73185</v>
      </c>
      <c r="E3884" t="str">
        <f t="shared" si="1572"/>
        <v>KFH-OPERATIONS DEPARTMENT</v>
      </c>
      <c r="F3884" t="str">
        <f t="shared" si="1573"/>
        <v>IBG</v>
      </c>
      <c r="G3884" t="str">
        <f t="shared" si="1588"/>
        <v>Refund COSHARE 10</v>
      </c>
      <c r="H3884" s="2">
        <v>1494.3</v>
      </c>
      <c r="I3884" t="str">
        <f>"MOHD HANIF BIN HARUN"</f>
        <v>MOHD HANIF BIN HARUN</v>
      </c>
      <c r="J3884" t="str">
        <f t="shared" si="1589"/>
        <v>MAYBANK / MAYBANK ISLAMIC</v>
      </c>
      <c r="K3884" t="str">
        <f>"164258316574"</f>
        <v>164258316574</v>
      </c>
      <c r="L3884" t="str">
        <f t="shared" si="1590"/>
        <v>04-08-2020</v>
      </c>
      <c r="M3884" t="str">
        <f t="shared" si="1590"/>
        <v>04-08-2020</v>
      </c>
      <c r="N3884" t="str">
        <f t="shared" si="1575"/>
        <v>001105018356</v>
      </c>
      <c r="O3884" t="str">
        <f t="shared" si="1576"/>
        <v>MYR</v>
      </c>
      <c r="P3884" t="str">
        <f t="shared" si="1591"/>
        <v>NIL</v>
      </c>
      <c r="Q3884" t="str">
        <f t="shared" si="1591"/>
        <v>NIL</v>
      </c>
      <c r="R3884" t="str">
        <f t="shared" si="1578"/>
        <v>Accepted</v>
      </c>
      <c r="S3884" t="str">
        <f t="shared" si="1579"/>
        <v>Approved</v>
      </c>
      <c r="T3884" t="str">
        <f t="shared" si="1580"/>
        <v>10.20.8.188</v>
      </c>
      <c r="U3884" t="str">
        <f t="shared" si="1581"/>
        <v>AZRAD UMAR BIN SHAARI</v>
      </c>
      <c r="V3884" t="str">
        <f t="shared" si="1582"/>
        <v>FARHANA BINTI MUSTAPA</v>
      </c>
      <c r="W3884" t="str">
        <f t="shared" si="1583"/>
        <v>04-08-2020</v>
      </c>
      <c r="X3884" t="str">
        <f t="shared" si="1584"/>
        <v>RAZIMAH ANSAR AHMAD</v>
      </c>
      <c r="Y3884" t="str">
        <f t="shared" si="1585"/>
        <v>04-08-2020</v>
      </c>
      <c r="Z3884" t="str">
        <f>"COS10200804 5670"</f>
        <v>COS10200804 5670</v>
      </c>
    </row>
    <row r="3885" spans="1:26" x14ac:dyDescent="0.25">
      <c r="A3885" t="str">
        <f t="shared" si="1592"/>
        <v>04-08-2020 12:56:11</v>
      </c>
      <c r="B3885" t="str">
        <f>"0000807056"</f>
        <v>0000807056</v>
      </c>
      <c r="C3885" t="str">
        <f t="shared" si="1593"/>
        <v>0000806987</v>
      </c>
      <c r="D3885" t="str">
        <f t="shared" si="1571"/>
        <v>73185</v>
      </c>
      <c r="E3885" t="str">
        <f t="shared" si="1572"/>
        <v>KFH-OPERATIONS DEPARTMENT</v>
      </c>
      <c r="F3885" t="str">
        <f t="shared" si="1573"/>
        <v>IBG</v>
      </c>
      <c r="G3885" t="str">
        <f t="shared" si="1588"/>
        <v>Refund COSHARE 10</v>
      </c>
      <c r="H3885" s="2">
        <v>193.1</v>
      </c>
      <c r="I3885" t="str">
        <f>"MOHD HANAFI BIN MOHD SALLEH"</f>
        <v>MOHD HANAFI BIN MOHD SALLEH</v>
      </c>
      <c r="J3885" t="str">
        <f t="shared" si="1589"/>
        <v>MAYBANK / MAYBANK ISLAMIC</v>
      </c>
      <c r="K3885" t="str">
        <f>"152050057591"</f>
        <v>152050057591</v>
      </c>
      <c r="L3885" t="str">
        <f t="shared" si="1590"/>
        <v>04-08-2020</v>
      </c>
      <c r="M3885" t="str">
        <f t="shared" si="1590"/>
        <v>04-08-2020</v>
      </c>
      <c r="N3885" t="str">
        <f t="shared" si="1575"/>
        <v>001105018356</v>
      </c>
      <c r="O3885" t="str">
        <f t="shared" si="1576"/>
        <v>MYR</v>
      </c>
      <c r="P3885" t="str">
        <f t="shared" si="1591"/>
        <v>NIL</v>
      </c>
      <c r="Q3885" t="str">
        <f t="shared" si="1591"/>
        <v>NIL</v>
      </c>
      <c r="R3885" t="str">
        <f t="shared" si="1578"/>
        <v>Accepted</v>
      </c>
      <c r="S3885" t="str">
        <f t="shared" si="1579"/>
        <v>Approved</v>
      </c>
      <c r="T3885" t="str">
        <f t="shared" si="1580"/>
        <v>10.20.8.188</v>
      </c>
      <c r="U3885" t="str">
        <f t="shared" si="1581"/>
        <v>AZRAD UMAR BIN SHAARI</v>
      </c>
      <c r="V3885" t="str">
        <f t="shared" si="1582"/>
        <v>FARHANA BINTI MUSTAPA</v>
      </c>
      <c r="W3885" t="str">
        <f t="shared" si="1583"/>
        <v>04-08-2020</v>
      </c>
      <c r="X3885" t="str">
        <f t="shared" si="1584"/>
        <v>RAZIMAH ANSAR AHMAD</v>
      </c>
      <c r="Y3885" t="str">
        <f t="shared" si="1585"/>
        <v>04-08-2020</v>
      </c>
      <c r="Z3885" t="str">
        <f>"COS10200804 5669"</f>
        <v>COS10200804 5669</v>
      </c>
    </row>
    <row r="3886" spans="1:26" x14ac:dyDescent="0.25">
      <c r="A3886" t="str">
        <f t="shared" si="1592"/>
        <v>04-08-2020 12:56:11</v>
      </c>
      <c r="B3886" t="str">
        <f>"0000807055"</f>
        <v>0000807055</v>
      </c>
      <c r="C3886" t="str">
        <f t="shared" si="1593"/>
        <v>0000806987</v>
      </c>
      <c r="D3886" t="str">
        <f t="shared" si="1571"/>
        <v>73185</v>
      </c>
      <c r="E3886" t="str">
        <f t="shared" si="1572"/>
        <v>KFH-OPERATIONS DEPARTMENT</v>
      </c>
      <c r="F3886" t="str">
        <f t="shared" si="1573"/>
        <v>IBG</v>
      </c>
      <c r="G3886" t="str">
        <f t="shared" si="1588"/>
        <v>Refund COSHARE 10</v>
      </c>
      <c r="H3886" s="2">
        <v>1032</v>
      </c>
      <c r="I3886" t="str">
        <f>"MOHD HAMDAN BIN HUSSIN"</f>
        <v>MOHD HAMDAN BIN HUSSIN</v>
      </c>
      <c r="J3886" t="str">
        <f t="shared" si="1589"/>
        <v>MAYBANK / MAYBANK ISLAMIC</v>
      </c>
      <c r="K3886" t="str">
        <f>"152031732221"</f>
        <v>152031732221</v>
      </c>
      <c r="L3886" t="str">
        <f t="shared" si="1590"/>
        <v>04-08-2020</v>
      </c>
      <c r="M3886" t="str">
        <f t="shared" si="1590"/>
        <v>04-08-2020</v>
      </c>
      <c r="N3886" t="str">
        <f t="shared" si="1575"/>
        <v>001105018356</v>
      </c>
      <c r="O3886" t="str">
        <f t="shared" si="1576"/>
        <v>MYR</v>
      </c>
      <c r="P3886" t="str">
        <f t="shared" si="1591"/>
        <v>NIL</v>
      </c>
      <c r="Q3886" t="str">
        <f t="shared" si="1591"/>
        <v>NIL</v>
      </c>
      <c r="R3886" t="str">
        <f t="shared" si="1578"/>
        <v>Accepted</v>
      </c>
      <c r="S3886" t="str">
        <f t="shared" si="1579"/>
        <v>Approved</v>
      </c>
      <c r="T3886" t="str">
        <f t="shared" si="1580"/>
        <v>10.20.8.188</v>
      </c>
      <c r="U3886" t="str">
        <f t="shared" si="1581"/>
        <v>AZRAD UMAR BIN SHAARI</v>
      </c>
      <c r="V3886" t="str">
        <f t="shared" si="1582"/>
        <v>FARHANA BINTI MUSTAPA</v>
      </c>
      <c r="W3886" t="str">
        <f t="shared" si="1583"/>
        <v>04-08-2020</v>
      </c>
      <c r="X3886" t="str">
        <f t="shared" si="1584"/>
        <v>RAZIMAH ANSAR AHMAD</v>
      </c>
      <c r="Y3886" t="str">
        <f t="shared" si="1585"/>
        <v>04-08-2020</v>
      </c>
      <c r="Z3886" t="str">
        <f>"COS10200804 5668"</f>
        <v>COS10200804 5668</v>
      </c>
    </row>
    <row r="3887" spans="1:26" x14ac:dyDescent="0.25">
      <c r="A3887" t="str">
        <f t="shared" si="1592"/>
        <v>04-08-2020 12:56:11</v>
      </c>
      <c r="B3887" t="str">
        <f>"0000807054"</f>
        <v>0000807054</v>
      </c>
      <c r="C3887" t="str">
        <f t="shared" si="1593"/>
        <v>0000806987</v>
      </c>
      <c r="D3887" t="str">
        <f t="shared" si="1571"/>
        <v>73185</v>
      </c>
      <c r="E3887" t="str">
        <f t="shared" si="1572"/>
        <v>KFH-OPERATIONS DEPARTMENT</v>
      </c>
      <c r="F3887" t="str">
        <f t="shared" si="1573"/>
        <v>IBG</v>
      </c>
      <c r="G3887" t="str">
        <f t="shared" si="1588"/>
        <v>Refund COSHARE 10</v>
      </c>
      <c r="H3887" s="2">
        <v>797.55</v>
      </c>
      <c r="I3887" t="str">
        <f>"MOHD HAKIMI BIN HUSSIN"</f>
        <v>MOHD HAKIMI BIN HUSSIN</v>
      </c>
      <c r="J3887" t="str">
        <f t="shared" si="1589"/>
        <v>MAYBANK / MAYBANK ISLAMIC</v>
      </c>
      <c r="K3887" t="str">
        <f>"162142995246"</f>
        <v>162142995246</v>
      </c>
      <c r="L3887" t="str">
        <f t="shared" ref="L3887:M3906" si="1594">"04-08-2020"</f>
        <v>04-08-2020</v>
      </c>
      <c r="M3887" t="str">
        <f t="shared" si="1594"/>
        <v>04-08-2020</v>
      </c>
      <c r="N3887" t="str">
        <f t="shared" si="1575"/>
        <v>001105018356</v>
      </c>
      <c r="O3887" t="str">
        <f t="shared" si="1576"/>
        <v>MYR</v>
      </c>
      <c r="P3887" t="str">
        <f t="shared" ref="P3887:Q3906" si="1595">"NIL"</f>
        <v>NIL</v>
      </c>
      <c r="Q3887" t="str">
        <f t="shared" si="1595"/>
        <v>NIL</v>
      </c>
      <c r="R3887" t="str">
        <f t="shared" si="1578"/>
        <v>Accepted</v>
      </c>
      <c r="S3887" t="str">
        <f t="shared" si="1579"/>
        <v>Approved</v>
      </c>
      <c r="T3887" t="str">
        <f t="shared" si="1580"/>
        <v>10.20.8.188</v>
      </c>
      <c r="U3887" t="str">
        <f t="shared" si="1581"/>
        <v>AZRAD UMAR BIN SHAARI</v>
      </c>
      <c r="V3887" t="str">
        <f t="shared" si="1582"/>
        <v>FARHANA BINTI MUSTAPA</v>
      </c>
      <c r="W3887" t="str">
        <f t="shared" si="1583"/>
        <v>04-08-2020</v>
      </c>
      <c r="X3887" t="str">
        <f t="shared" si="1584"/>
        <v>RAZIMAH ANSAR AHMAD</v>
      </c>
      <c r="Y3887" t="str">
        <f t="shared" si="1585"/>
        <v>04-08-2020</v>
      </c>
      <c r="Z3887" t="str">
        <f>"COS10200804 5667"</f>
        <v>COS10200804 5667</v>
      </c>
    </row>
    <row r="3888" spans="1:26" x14ac:dyDescent="0.25">
      <c r="A3888" t="str">
        <f t="shared" si="1592"/>
        <v>04-08-2020 12:56:11</v>
      </c>
      <c r="B3888" t="str">
        <f>"0000807053"</f>
        <v>0000807053</v>
      </c>
      <c r="C3888" t="str">
        <f t="shared" si="1593"/>
        <v>0000806987</v>
      </c>
      <c r="D3888" t="str">
        <f t="shared" si="1571"/>
        <v>73185</v>
      </c>
      <c r="E3888" t="str">
        <f t="shared" si="1572"/>
        <v>KFH-OPERATIONS DEPARTMENT</v>
      </c>
      <c r="F3888" t="str">
        <f t="shared" si="1573"/>
        <v>IBG</v>
      </c>
      <c r="G3888" t="str">
        <f t="shared" si="1588"/>
        <v>Refund COSHARE 10</v>
      </c>
      <c r="H3888" s="2">
        <v>570.85</v>
      </c>
      <c r="I3888" t="str">
        <f>"MOHD HAKIM BIN MAT LUDIN"</f>
        <v>MOHD HAKIM BIN MAT LUDIN</v>
      </c>
      <c r="J3888" t="str">
        <f t="shared" si="1589"/>
        <v>MAYBANK / MAYBANK ISLAMIC</v>
      </c>
      <c r="K3888" t="str">
        <f>"160184149622"</f>
        <v>160184149622</v>
      </c>
      <c r="L3888" t="str">
        <f t="shared" si="1594"/>
        <v>04-08-2020</v>
      </c>
      <c r="M3888" t="str">
        <f t="shared" si="1594"/>
        <v>04-08-2020</v>
      </c>
      <c r="N3888" t="str">
        <f t="shared" si="1575"/>
        <v>001105018356</v>
      </c>
      <c r="O3888" t="str">
        <f t="shared" si="1576"/>
        <v>MYR</v>
      </c>
      <c r="P3888" t="str">
        <f t="shared" si="1595"/>
        <v>NIL</v>
      </c>
      <c r="Q3888" t="str">
        <f t="shared" si="1595"/>
        <v>NIL</v>
      </c>
      <c r="R3888" t="str">
        <f t="shared" si="1578"/>
        <v>Accepted</v>
      </c>
      <c r="S3888" t="str">
        <f t="shared" si="1579"/>
        <v>Approved</v>
      </c>
      <c r="T3888" t="str">
        <f t="shared" si="1580"/>
        <v>10.20.8.188</v>
      </c>
      <c r="U3888" t="str">
        <f t="shared" si="1581"/>
        <v>AZRAD UMAR BIN SHAARI</v>
      </c>
      <c r="V3888" t="str">
        <f t="shared" si="1582"/>
        <v>FARHANA BINTI MUSTAPA</v>
      </c>
      <c r="W3888" t="str">
        <f t="shared" si="1583"/>
        <v>04-08-2020</v>
      </c>
      <c r="X3888" t="str">
        <f t="shared" si="1584"/>
        <v>RAZIMAH ANSAR AHMAD</v>
      </c>
      <c r="Y3888" t="str">
        <f t="shared" si="1585"/>
        <v>04-08-2020</v>
      </c>
      <c r="Z3888" t="str">
        <f>"COS10200804 5666"</f>
        <v>COS10200804 5666</v>
      </c>
    </row>
    <row r="3889" spans="1:26" x14ac:dyDescent="0.25">
      <c r="A3889" t="str">
        <f t="shared" si="1592"/>
        <v>04-08-2020 12:56:11</v>
      </c>
      <c r="B3889" t="str">
        <f>"0000807052"</f>
        <v>0000807052</v>
      </c>
      <c r="C3889" t="str">
        <f t="shared" si="1593"/>
        <v>0000806987</v>
      </c>
      <c r="D3889" t="str">
        <f t="shared" si="1571"/>
        <v>73185</v>
      </c>
      <c r="E3889" t="str">
        <f t="shared" si="1572"/>
        <v>KFH-OPERATIONS DEPARTMENT</v>
      </c>
      <c r="F3889" t="str">
        <f t="shared" si="1573"/>
        <v>IBG</v>
      </c>
      <c r="G3889" t="str">
        <f t="shared" si="1588"/>
        <v>Refund COSHARE 10</v>
      </c>
      <c r="H3889" s="2">
        <v>762.2</v>
      </c>
      <c r="I3889" t="str">
        <f>"MOHD HAIZA BIN HUSSIN"</f>
        <v>MOHD HAIZA BIN HUSSIN</v>
      </c>
      <c r="J3889" t="str">
        <f t="shared" si="1589"/>
        <v>MAYBANK / MAYBANK ISLAMIC</v>
      </c>
      <c r="K3889" t="str">
        <f>"114374094054"</f>
        <v>114374094054</v>
      </c>
      <c r="L3889" t="str">
        <f t="shared" si="1594"/>
        <v>04-08-2020</v>
      </c>
      <c r="M3889" t="str">
        <f t="shared" si="1594"/>
        <v>04-08-2020</v>
      </c>
      <c r="N3889" t="str">
        <f t="shared" si="1575"/>
        <v>001105018356</v>
      </c>
      <c r="O3889" t="str">
        <f t="shared" si="1576"/>
        <v>MYR</v>
      </c>
      <c r="P3889" t="str">
        <f t="shared" si="1595"/>
        <v>NIL</v>
      </c>
      <c r="Q3889" t="str">
        <f t="shared" si="1595"/>
        <v>NIL</v>
      </c>
      <c r="R3889" t="str">
        <f t="shared" si="1578"/>
        <v>Accepted</v>
      </c>
      <c r="S3889" t="str">
        <f t="shared" si="1579"/>
        <v>Approved</v>
      </c>
      <c r="T3889" t="str">
        <f t="shared" si="1580"/>
        <v>10.20.8.188</v>
      </c>
      <c r="U3889" t="str">
        <f t="shared" si="1581"/>
        <v>AZRAD UMAR BIN SHAARI</v>
      </c>
      <c r="V3889" t="str">
        <f t="shared" si="1582"/>
        <v>FARHANA BINTI MUSTAPA</v>
      </c>
      <c r="W3889" t="str">
        <f t="shared" si="1583"/>
        <v>04-08-2020</v>
      </c>
      <c r="X3889" t="str">
        <f t="shared" si="1584"/>
        <v>RAZIMAH ANSAR AHMAD</v>
      </c>
      <c r="Y3889" t="str">
        <f t="shared" si="1585"/>
        <v>04-08-2020</v>
      </c>
      <c r="Z3889" t="str">
        <f>"COS10200804 5665"</f>
        <v>COS10200804 5665</v>
      </c>
    </row>
    <row r="3890" spans="1:26" x14ac:dyDescent="0.25">
      <c r="A3890" t="str">
        <f t="shared" si="1592"/>
        <v>04-08-2020 12:56:11</v>
      </c>
      <c r="B3890" t="str">
        <f>"0000807051"</f>
        <v>0000807051</v>
      </c>
      <c r="C3890" t="str">
        <f t="shared" si="1593"/>
        <v>0000806987</v>
      </c>
      <c r="D3890" t="str">
        <f t="shared" si="1571"/>
        <v>73185</v>
      </c>
      <c r="E3890" t="str">
        <f t="shared" si="1572"/>
        <v>KFH-OPERATIONS DEPARTMENT</v>
      </c>
      <c r="F3890" t="str">
        <f t="shared" si="1573"/>
        <v>IBG</v>
      </c>
      <c r="G3890" t="str">
        <f t="shared" si="1588"/>
        <v>Refund COSHARE 10</v>
      </c>
      <c r="H3890" s="2">
        <v>167.9</v>
      </c>
      <c r="I3890" t="str">
        <f>"MOHD HAIRULANUAR BIN MOHD ADROS"</f>
        <v>MOHD HAIRULANUAR BIN MOHD ADROS</v>
      </c>
      <c r="J3890" t="str">
        <f t="shared" si="1589"/>
        <v>MAYBANK / MAYBANK ISLAMIC</v>
      </c>
      <c r="K3890" t="str">
        <f>"101413252057"</f>
        <v>101413252057</v>
      </c>
      <c r="L3890" t="str">
        <f t="shared" si="1594"/>
        <v>04-08-2020</v>
      </c>
      <c r="M3890" t="str">
        <f t="shared" si="1594"/>
        <v>04-08-2020</v>
      </c>
      <c r="N3890" t="str">
        <f t="shared" si="1575"/>
        <v>001105018356</v>
      </c>
      <c r="O3890" t="str">
        <f t="shared" si="1576"/>
        <v>MYR</v>
      </c>
      <c r="P3890" t="str">
        <f t="shared" si="1595"/>
        <v>NIL</v>
      </c>
      <c r="Q3890" t="str">
        <f t="shared" si="1595"/>
        <v>NIL</v>
      </c>
      <c r="R3890" t="str">
        <f t="shared" si="1578"/>
        <v>Accepted</v>
      </c>
      <c r="S3890" t="str">
        <f t="shared" si="1579"/>
        <v>Approved</v>
      </c>
      <c r="T3890" t="str">
        <f t="shared" si="1580"/>
        <v>10.20.8.188</v>
      </c>
      <c r="U3890" t="str">
        <f t="shared" si="1581"/>
        <v>AZRAD UMAR BIN SHAARI</v>
      </c>
      <c r="V3890" t="str">
        <f t="shared" si="1582"/>
        <v>FARHANA BINTI MUSTAPA</v>
      </c>
      <c r="W3890" t="str">
        <f t="shared" si="1583"/>
        <v>04-08-2020</v>
      </c>
      <c r="X3890" t="str">
        <f t="shared" si="1584"/>
        <v>RAZIMAH ANSAR AHMAD</v>
      </c>
      <c r="Y3890" t="str">
        <f t="shared" si="1585"/>
        <v>04-08-2020</v>
      </c>
      <c r="Z3890" t="str">
        <f>"COS10200804 5664"</f>
        <v>COS10200804 5664</v>
      </c>
    </row>
    <row r="3891" spans="1:26" x14ac:dyDescent="0.25">
      <c r="A3891" t="str">
        <f t="shared" si="1592"/>
        <v>04-08-2020 12:56:11</v>
      </c>
      <c r="B3891" t="str">
        <f>"0000807050"</f>
        <v>0000807050</v>
      </c>
      <c r="C3891" t="str">
        <f t="shared" si="1593"/>
        <v>0000806987</v>
      </c>
      <c r="D3891" t="str">
        <f t="shared" si="1571"/>
        <v>73185</v>
      </c>
      <c r="E3891" t="str">
        <f t="shared" si="1572"/>
        <v>KFH-OPERATIONS DEPARTMENT</v>
      </c>
      <c r="F3891" t="str">
        <f t="shared" si="1573"/>
        <v>IBG</v>
      </c>
      <c r="G3891" t="str">
        <f t="shared" si="1588"/>
        <v>Refund COSHARE 10</v>
      </c>
      <c r="H3891" s="2">
        <v>797.55</v>
      </c>
      <c r="I3891" t="str">
        <f>"MOHD HAIRUL NAIM BIN AHMAD RADZALI"</f>
        <v>MOHD HAIRUL NAIM BIN AHMAD RADZALI</v>
      </c>
      <c r="J3891" t="str">
        <f t="shared" si="1589"/>
        <v>MAYBANK / MAYBANK ISLAMIC</v>
      </c>
      <c r="K3891" t="str">
        <f>"162151805928"</f>
        <v>162151805928</v>
      </c>
      <c r="L3891" t="str">
        <f t="shared" si="1594"/>
        <v>04-08-2020</v>
      </c>
      <c r="M3891" t="str">
        <f t="shared" si="1594"/>
        <v>04-08-2020</v>
      </c>
      <c r="N3891" t="str">
        <f t="shared" si="1575"/>
        <v>001105018356</v>
      </c>
      <c r="O3891" t="str">
        <f t="shared" si="1576"/>
        <v>MYR</v>
      </c>
      <c r="P3891" t="str">
        <f t="shared" si="1595"/>
        <v>NIL</v>
      </c>
      <c r="Q3891" t="str">
        <f t="shared" si="1595"/>
        <v>NIL</v>
      </c>
      <c r="R3891" t="str">
        <f t="shared" si="1578"/>
        <v>Accepted</v>
      </c>
      <c r="S3891" t="str">
        <f t="shared" si="1579"/>
        <v>Approved</v>
      </c>
      <c r="T3891" t="str">
        <f t="shared" si="1580"/>
        <v>10.20.8.188</v>
      </c>
      <c r="U3891" t="str">
        <f t="shared" si="1581"/>
        <v>AZRAD UMAR BIN SHAARI</v>
      </c>
      <c r="V3891" t="str">
        <f t="shared" si="1582"/>
        <v>FARHANA BINTI MUSTAPA</v>
      </c>
      <c r="W3891" t="str">
        <f t="shared" si="1583"/>
        <v>04-08-2020</v>
      </c>
      <c r="X3891" t="str">
        <f t="shared" si="1584"/>
        <v>RAZIMAH ANSAR AHMAD</v>
      </c>
      <c r="Y3891" t="str">
        <f t="shared" si="1585"/>
        <v>04-08-2020</v>
      </c>
      <c r="Z3891" t="str">
        <f>"COS10200804 5663"</f>
        <v>COS10200804 5663</v>
      </c>
    </row>
    <row r="3892" spans="1:26" x14ac:dyDescent="0.25">
      <c r="A3892" t="str">
        <f t="shared" si="1592"/>
        <v>04-08-2020 12:56:11</v>
      </c>
      <c r="B3892" t="str">
        <f>"0000807049"</f>
        <v>0000807049</v>
      </c>
      <c r="C3892" t="str">
        <f t="shared" si="1593"/>
        <v>0000806987</v>
      </c>
      <c r="D3892" t="str">
        <f t="shared" si="1571"/>
        <v>73185</v>
      </c>
      <c r="E3892" t="str">
        <f t="shared" si="1572"/>
        <v>KFH-OPERATIONS DEPARTMENT</v>
      </c>
      <c r="F3892" t="str">
        <f t="shared" si="1573"/>
        <v>IBG</v>
      </c>
      <c r="G3892" t="str">
        <f t="shared" si="1588"/>
        <v>Refund COSHARE 10</v>
      </c>
      <c r="H3892" s="2">
        <v>461.75</v>
      </c>
      <c r="I3892" t="str">
        <f>"MOHD HAIRI BIN SHARIF"</f>
        <v>MOHD HAIRI BIN SHARIF</v>
      </c>
      <c r="J3892" t="str">
        <f t="shared" si="1589"/>
        <v>MAYBANK / MAYBANK ISLAMIC</v>
      </c>
      <c r="K3892" t="str">
        <f>"151427049702"</f>
        <v>151427049702</v>
      </c>
      <c r="L3892" t="str">
        <f t="shared" si="1594"/>
        <v>04-08-2020</v>
      </c>
      <c r="M3892" t="str">
        <f t="shared" si="1594"/>
        <v>04-08-2020</v>
      </c>
      <c r="N3892" t="str">
        <f t="shared" si="1575"/>
        <v>001105018356</v>
      </c>
      <c r="O3892" t="str">
        <f t="shared" si="1576"/>
        <v>MYR</v>
      </c>
      <c r="P3892" t="str">
        <f t="shared" si="1595"/>
        <v>NIL</v>
      </c>
      <c r="Q3892" t="str">
        <f t="shared" si="1595"/>
        <v>NIL</v>
      </c>
      <c r="R3892" t="str">
        <f t="shared" si="1578"/>
        <v>Accepted</v>
      </c>
      <c r="S3892" t="str">
        <f t="shared" si="1579"/>
        <v>Approved</v>
      </c>
      <c r="T3892" t="str">
        <f t="shared" si="1580"/>
        <v>10.20.8.188</v>
      </c>
      <c r="U3892" t="str">
        <f t="shared" si="1581"/>
        <v>AZRAD UMAR BIN SHAARI</v>
      </c>
      <c r="V3892" t="str">
        <f t="shared" si="1582"/>
        <v>FARHANA BINTI MUSTAPA</v>
      </c>
      <c r="W3892" t="str">
        <f t="shared" si="1583"/>
        <v>04-08-2020</v>
      </c>
      <c r="X3892" t="str">
        <f t="shared" si="1584"/>
        <v>RAZIMAH ANSAR AHMAD</v>
      </c>
      <c r="Y3892" t="str">
        <f t="shared" si="1585"/>
        <v>04-08-2020</v>
      </c>
      <c r="Z3892" t="str">
        <f>"COS10200804 5662"</f>
        <v>COS10200804 5662</v>
      </c>
    </row>
    <row r="3893" spans="1:26" x14ac:dyDescent="0.25">
      <c r="A3893" t="str">
        <f t="shared" si="1592"/>
        <v>04-08-2020 12:56:11</v>
      </c>
      <c r="B3893" t="str">
        <f>"0000807048"</f>
        <v>0000807048</v>
      </c>
      <c r="C3893" t="str">
        <f t="shared" si="1593"/>
        <v>0000806987</v>
      </c>
      <c r="D3893" t="str">
        <f t="shared" si="1571"/>
        <v>73185</v>
      </c>
      <c r="E3893" t="str">
        <f t="shared" si="1572"/>
        <v>KFH-OPERATIONS DEPARTMENT</v>
      </c>
      <c r="F3893" t="str">
        <f t="shared" si="1573"/>
        <v>IBG</v>
      </c>
      <c r="G3893" t="str">
        <f t="shared" si="1588"/>
        <v>Refund COSHARE 10</v>
      </c>
      <c r="H3893" s="2">
        <v>120.7</v>
      </c>
      <c r="I3893" t="str">
        <f>"MOHD HAFIZZUDDIN EDMUND ABDULLAH"</f>
        <v>MOHD HAFIZZUDDIN EDMUND ABDULLAH</v>
      </c>
      <c r="J3893" t="str">
        <f t="shared" si="1589"/>
        <v>MAYBANK / MAYBANK ISLAMIC</v>
      </c>
      <c r="K3893" t="str">
        <f>"110116076188"</f>
        <v>110116076188</v>
      </c>
      <c r="L3893" t="str">
        <f t="shared" si="1594"/>
        <v>04-08-2020</v>
      </c>
      <c r="M3893" t="str">
        <f t="shared" si="1594"/>
        <v>04-08-2020</v>
      </c>
      <c r="N3893" t="str">
        <f t="shared" si="1575"/>
        <v>001105018356</v>
      </c>
      <c r="O3893" t="str">
        <f t="shared" si="1576"/>
        <v>MYR</v>
      </c>
      <c r="P3893" t="str">
        <f t="shared" si="1595"/>
        <v>NIL</v>
      </c>
      <c r="Q3893" t="str">
        <f t="shared" si="1595"/>
        <v>NIL</v>
      </c>
      <c r="R3893" t="str">
        <f t="shared" si="1578"/>
        <v>Accepted</v>
      </c>
      <c r="S3893" t="str">
        <f t="shared" si="1579"/>
        <v>Approved</v>
      </c>
      <c r="T3893" t="str">
        <f t="shared" si="1580"/>
        <v>10.20.8.188</v>
      </c>
      <c r="U3893" t="str">
        <f t="shared" si="1581"/>
        <v>AZRAD UMAR BIN SHAARI</v>
      </c>
      <c r="V3893" t="str">
        <f t="shared" si="1582"/>
        <v>FARHANA BINTI MUSTAPA</v>
      </c>
      <c r="W3893" t="str">
        <f t="shared" si="1583"/>
        <v>04-08-2020</v>
      </c>
      <c r="X3893" t="str">
        <f t="shared" si="1584"/>
        <v>RAZIMAH ANSAR AHMAD</v>
      </c>
      <c r="Y3893" t="str">
        <f t="shared" si="1585"/>
        <v>04-08-2020</v>
      </c>
      <c r="Z3893" t="str">
        <f>"COS10200804 5661"</f>
        <v>COS10200804 5661</v>
      </c>
    </row>
    <row r="3894" spans="1:26" x14ac:dyDescent="0.25">
      <c r="A3894" t="str">
        <f t="shared" si="1592"/>
        <v>04-08-2020 12:56:11</v>
      </c>
      <c r="B3894" t="str">
        <f>"0000807047"</f>
        <v>0000807047</v>
      </c>
      <c r="C3894" t="str">
        <f t="shared" si="1593"/>
        <v>0000806987</v>
      </c>
      <c r="D3894" t="str">
        <f t="shared" si="1571"/>
        <v>73185</v>
      </c>
      <c r="E3894" t="str">
        <f t="shared" si="1572"/>
        <v>KFH-OPERATIONS DEPARTMENT</v>
      </c>
      <c r="F3894" t="str">
        <f t="shared" si="1573"/>
        <v>IBG</v>
      </c>
      <c r="G3894" t="str">
        <f t="shared" si="1588"/>
        <v>Refund COSHARE 10</v>
      </c>
      <c r="H3894" s="2">
        <v>471</v>
      </c>
      <c r="I3894" t="str">
        <f>"MOHD HAFIZUL AMRI BIN ABDUL MAJID"</f>
        <v>MOHD HAFIZUL AMRI BIN ABDUL MAJID</v>
      </c>
      <c r="J3894" t="str">
        <f t="shared" si="1589"/>
        <v>MAYBANK / MAYBANK ISLAMIC</v>
      </c>
      <c r="K3894" t="str">
        <f>"162469150069"</f>
        <v>162469150069</v>
      </c>
      <c r="L3894" t="str">
        <f t="shared" si="1594"/>
        <v>04-08-2020</v>
      </c>
      <c r="M3894" t="str">
        <f t="shared" si="1594"/>
        <v>04-08-2020</v>
      </c>
      <c r="N3894" t="str">
        <f t="shared" si="1575"/>
        <v>001105018356</v>
      </c>
      <c r="O3894" t="str">
        <f t="shared" si="1576"/>
        <v>MYR</v>
      </c>
      <c r="P3894" t="str">
        <f t="shared" si="1595"/>
        <v>NIL</v>
      </c>
      <c r="Q3894" t="str">
        <f t="shared" si="1595"/>
        <v>NIL</v>
      </c>
      <c r="R3894" t="str">
        <f t="shared" si="1578"/>
        <v>Accepted</v>
      </c>
      <c r="S3894" t="str">
        <f t="shared" si="1579"/>
        <v>Approved</v>
      </c>
      <c r="T3894" t="str">
        <f t="shared" si="1580"/>
        <v>10.20.8.188</v>
      </c>
      <c r="U3894" t="str">
        <f t="shared" si="1581"/>
        <v>AZRAD UMAR BIN SHAARI</v>
      </c>
      <c r="V3894" t="str">
        <f t="shared" si="1582"/>
        <v>FARHANA BINTI MUSTAPA</v>
      </c>
      <c r="W3894" t="str">
        <f t="shared" si="1583"/>
        <v>04-08-2020</v>
      </c>
      <c r="X3894" t="str">
        <f t="shared" si="1584"/>
        <v>RAZIMAH ANSAR AHMAD</v>
      </c>
      <c r="Y3894" t="str">
        <f t="shared" si="1585"/>
        <v>04-08-2020</v>
      </c>
      <c r="Z3894" t="str">
        <f>"COS10200804 5660"</f>
        <v>COS10200804 5660</v>
      </c>
    </row>
    <row r="3895" spans="1:26" x14ac:dyDescent="0.25">
      <c r="A3895" t="str">
        <f t="shared" si="1592"/>
        <v>04-08-2020 12:56:11</v>
      </c>
      <c r="B3895" t="str">
        <f>"0000807046"</f>
        <v>0000807046</v>
      </c>
      <c r="C3895" t="str">
        <f t="shared" si="1593"/>
        <v>0000806987</v>
      </c>
      <c r="D3895" t="str">
        <f t="shared" si="1571"/>
        <v>73185</v>
      </c>
      <c r="E3895" t="str">
        <f t="shared" si="1572"/>
        <v>KFH-OPERATIONS DEPARTMENT</v>
      </c>
      <c r="F3895" t="str">
        <f t="shared" si="1573"/>
        <v>IBG</v>
      </c>
      <c r="G3895" t="str">
        <f t="shared" si="1588"/>
        <v>Refund COSHARE 10</v>
      </c>
      <c r="H3895" s="2">
        <v>319</v>
      </c>
      <c r="I3895" t="str">
        <f>"MOHD HAFIZUL AMIN BIN ZULKIPLI"</f>
        <v>MOHD HAFIZUL AMIN BIN ZULKIPLI</v>
      </c>
      <c r="J3895" t="str">
        <f t="shared" si="1589"/>
        <v>MAYBANK / MAYBANK ISLAMIC</v>
      </c>
      <c r="K3895" t="str">
        <f>"162795017255"</f>
        <v>162795017255</v>
      </c>
      <c r="L3895" t="str">
        <f t="shared" si="1594"/>
        <v>04-08-2020</v>
      </c>
      <c r="M3895" t="str">
        <f t="shared" si="1594"/>
        <v>04-08-2020</v>
      </c>
      <c r="N3895" t="str">
        <f t="shared" si="1575"/>
        <v>001105018356</v>
      </c>
      <c r="O3895" t="str">
        <f t="shared" si="1576"/>
        <v>MYR</v>
      </c>
      <c r="P3895" t="str">
        <f t="shared" si="1595"/>
        <v>NIL</v>
      </c>
      <c r="Q3895" t="str">
        <f t="shared" si="1595"/>
        <v>NIL</v>
      </c>
      <c r="R3895" t="str">
        <f t="shared" si="1578"/>
        <v>Accepted</v>
      </c>
      <c r="S3895" t="str">
        <f t="shared" si="1579"/>
        <v>Approved</v>
      </c>
      <c r="T3895" t="str">
        <f t="shared" si="1580"/>
        <v>10.20.8.188</v>
      </c>
      <c r="U3895" t="str">
        <f t="shared" si="1581"/>
        <v>AZRAD UMAR BIN SHAARI</v>
      </c>
      <c r="V3895" t="str">
        <f t="shared" si="1582"/>
        <v>FARHANA BINTI MUSTAPA</v>
      </c>
      <c r="W3895" t="str">
        <f t="shared" si="1583"/>
        <v>04-08-2020</v>
      </c>
      <c r="X3895" t="str">
        <f t="shared" si="1584"/>
        <v>RAZIMAH ANSAR AHMAD</v>
      </c>
      <c r="Y3895" t="str">
        <f t="shared" si="1585"/>
        <v>04-08-2020</v>
      </c>
      <c r="Z3895" t="str">
        <f>"COS10200804 5659"</f>
        <v>COS10200804 5659</v>
      </c>
    </row>
    <row r="3896" spans="1:26" x14ac:dyDescent="0.25">
      <c r="A3896" t="str">
        <f t="shared" si="1592"/>
        <v>04-08-2020 12:56:11</v>
      </c>
      <c r="B3896" t="str">
        <f>"0000807045"</f>
        <v>0000807045</v>
      </c>
      <c r="C3896" t="str">
        <f t="shared" si="1593"/>
        <v>0000806987</v>
      </c>
      <c r="D3896" t="str">
        <f t="shared" si="1571"/>
        <v>73185</v>
      </c>
      <c r="E3896" t="str">
        <f t="shared" si="1572"/>
        <v>KFH-OPERATIONS DEPARTMENT</v>
      </c>
      <c r="F3896" t="str">
        <f t="shared" si="1573"/>
        <v>IBG</v>
      </c>
      <c r="G3896" t="str">
        <f t="shared" si="1588"/>
        <v>Refund COSHARE 10</v>
      </c>
      <c r="H3896" s="2">
        <v>83.95</v>
      </c>
      <c r="I3896" t="str">
        <f>"MOHD HAFIZE BIN OTHMAN"</f>
        <v>MOHD HAFIZE BIN OTHMAN</v>
      </c>
      <c r="J3896" t="str">
        <f t="shared" si="1589"/>
        <v>MAYBANK / MAYBANK ISLAMIC</v>
      </c>
      <c r="K3896" t="str">
        <f>"155127047556"</f>
        <v>155127047556</v>
      </c>
      <c r="L3896" t="str">
        <f t="shared" si="1594"/>
        <v>04-08-2020</v>
      </c>
      <c r="M3896" t="str">
        <f t="shared" si="1594"/>
        <v>04-08-2020</v>
      </c>
      <c r="N3896" t="str">
        <f t="shared" si="1575"/>
        <v>001105018356</v>
      </c>
      <c r="O3896" t="str">
        <f t="shared" si="1576"/>
        <v>MYR</v>
      </c>
      <c r="P3896" t="str">
        <f t="shared" si="1595"/>
        <v>NIL</v>
      </c>
      <c r="Q3896" t="str">
        <f t="shared" si="1595"/>
        <v>NIL</v>
      </c>
      <c r="R3896" t="str">
        <f t="shared" si="1578"/>
        <v>Accepted</v>
      </c>
      <c r="S3896" t="str">
        <f t="shared" si="1579"/>
        <v>Approved</v>
      </c>
      <c r="T3896" t="str">
        <f t="shared" si="1580"/>
        <v>10.20.8.188</v>
      </c>
      <c r="U3896" t="str">
        <f t="shared" si="1581"/>
        <v>AZRAD UMAR BIN SHAARI</v>
      </c>
      <c r="V3896" t="str">
        <f t="shared" si="1582"/>
        <v>FARHANA BINTI MUSTAPA</v>
      </c>
      <c r="W3896" t="str">
        <f t="shared" si="1583"/>
        <v>04-08-2020</v>
      </c>
      <c r="X3896" t="str">
        <f t="shared" si="1584"/>
        <v>RAZIMAH ANSAR AHMAD</v>
      </c>
      <c r="Y3896" t="str">
        <f t="shared" si="1585"/>
        <v>04-08-2020</v>
      </c>
      <c r="Z3896" t="str">
        <f>"COS10200804 5658"</f>
        <v>COS10200804 5658</v>
      </c>
    </row>
    <row r="3897" spans="1:26" x14ac:dyDescent="0.25">
      <c r="A3897" t="str">
        <f t="shared" si="1592"/>
        <v>04-08-2020 12:56:11</v>
      </c>
      <c r="B3897" t="str">
        <f>"0000807044"</f>
        <v>0000807044</v>
      </c>
      <c r="C3897" t="str">
        <f t="shared" si="1593"/>
        <v>0000806987</v>
      </c>
      <c r="D3897" t="str">
        <f t="shared" si="1571"/>
        <v>73185</v>
      </c>
      <c r="E3897" t="str">
        <f t="shared" si="1572"/>
        <v>KFH-OPERATIONS DEPARTMENT</v>
      </c>
      <c r="F3897" t="str">
        <f t="shared" si="1573"/>
        <v>IBG</v>
      </c>
      <c r="G3897" t="str">
        <f t="shared" si="1588"/>
        <v>Refund COSHARE 10</v>
      </c>
      <c r="H3897" s="2">
        <v>1328</v>
      </c>
      <c r="I3897" t="str">
        <f>"MOHD HAFIZAN BIN PAIMIN"</f>
        <v>MOHD HAFIZAN BIN PAIMIN</v>
      </c>
      <c r="J3897" t="str">
        <f t="shared" si="1589"/>
        <v>MAYBANK / MAYBANK ISLAMIC</v>
      </c>
      <c r="K3897" t="str">
        <f>"151427089892"</f>
        <v>151427089892</v>
      </c>
      <c r="L3897" t="str">
        <f t="shared" si="1594"/>
        <v>04-08-2020</v>
      </c>
      <c r="M3897" t="str">
        <f t="shared" si="1594"/>
        <v>04-08-2020</v>
      </c>
      <c r="N3897" t="str">
        <f t="shared" si="1575"/>
        <v>001105018356</v>
      </c>
      <c r="O3897" t="str">
        <f t="shared" si="1576"/>
        <v>MYR</v>
      </c>
      <c r="P3897" t="str">
        <f t="shared" si="1595"/>
        <v>NIL</v>
      </c>
      <c r="Q3897" t="str">
        <f t="shared" si="1595"/>
        <v>NIL</v>
      </c>
      <c r="R3897" t="str">
        <f t="shared" si="1578"/>
        <v>Accepted</v>
      </c>
      <c r="S3897" t="str">
        <f t="shared" si="1579"/>
        <v>Approved</v>
      </c>
      <c r="T3897" t="str">
        <f t="shared" si="1580"/>
        <v>10.20.8.188</v>
      </c>
      <c r="U3897" t="str">
        <f t="shared" si="1581"/>
        <v>AZRAD UMAR BIN SHAARI</v>
      </c>
      <c r="V3897" t="str">
        <f t="shared" si="1582"/>
        <v>FARHANA BINTI MUSTAPA</v>
      </c>
      <c r="W3897" t="str">
        <f t="shared" si="1583"/>
        <v>04-08-2020</v>
      </c>
      <c r="X3897" t="str">
        <f t="shared" si="1584"/>
        <v>RAZIMAH ANSAR AHMAD</v>
      </c>
      <c r="Y3897" t="str">
        <f t="shared" si="1585"/>
        <v>04-08-2020</v>
      </c>
      <c r="Z3897" t="str">
        <f>"COS10200804 5657"</f>
        <v>COS10200804 5657</v>
      </c>
    </row>
    <row r="3898" spans="1:26" x14ac:dyDescent="0.25">
      <c r="A3898" t="str">
        <f t="shared" si="1592"/>
        <v>04-08-2020 12:56:11</v>
      </c>
      <c r="B3898" t="str">
        <f>"0000807043"</f>
        <v>0000807043</v>
      </c>
      <c r="C3898" t="str">
        <f t="shared" si="1593"/>
        <v>0000806987</v>
      </c>
      <c r="D3898" t="str">
        <f t="shared" si="1571"/>
        <v>73185</v>
      </c>
      <c r="E3898" t="str">
        <f t="shared" si="1572"/>
        <v>KFH-OPERATIONS DEPARTMENT</v>
      </c>
      <c r="F3898" t="str">
        <f t="shared" si="1573"/>
        <v>IBG</v>
      </c>
      <c r="G3898" t="str">
        <f t="shared" si="1588"/>
        <v>Refund COSHARE 10</v>
      </c>
      <c r="H3898" s="2">
        <v>839.5</v>
      </c>
      <c r="I3898" t="str">
        <f>"MOHD HAFIZ BIN SUPIAN"</f>
        <v>MOHD HAFIZ BIN SUPIAN</v>
      </c>
      <c r="J3898" t="str">
        <f t="shared" si="1589"/>
        <v>MAYBANK / MAYBANK ISLAMIC</v>
      </c>
      <c r="K3898" t="str">
        <f>"154026305627"</f>
        <v>154026305627</v>
      </c>
      <c r="L3898" t="str">
        <f t="shared" si="1594"/>
        <v>04-08-2020</v>
      </c>
      <c r="M3898" t="str">
        <f t="shared" si="1594"/>
        <v>04-08-2020</v>
      </c>
      <c r="N3898" t="str">
        <f t="shared" si="1575"/>
        <v>001105018356</v>
      </c>
      <c r="O3898" t="str">
        <f t="shared" si="1576"/>
        <v>MYR</v>
      </c>
      <c r="P3898" t="str">
        <f t="shared" si="1595"/>
        <v>NIL</v>
      </c>
      <c r="Q3898" t="str">
        <f t="shared" si="1595"/>
        <v>NIL</v>
      </c>
      <c r="R3898" t="str">
        <f t="shared" si="1578"/>
        <v>Accepted</v>
      </c>
      <c r="S3898" t="str">
        <f t="shared" si="1579"/>
        <v>Approved</v>
      </c>
      <c r="T3898" t="str">
        <f t="shared" si="1580"/>
        <v>10.20.8.188</v>
      </c>
      <c r="U3898" t="str">
        <f t="shared" si="1581"/>
        <v>AZRAD UMAR BIN SHAARI</v>
      </c>
      <c r="V3898" t="str">
        <f t="shared" si="1582"/>
        <v>FARHANA BINTI MUSTAPA</v>
      </c>
      <c r="W3898" t="str">
        <f t="shared" si="1583"/>
        <v>04-08-2020</v>
      </c>
      <c r="X3898" t="str">
        <f t="shared" si="1584"/>
        <v>RAZIMAH ANSAR AHMAD</v>
      </c>
      <c r="Y3898" t="str">
        <f t="shared" si="1585"/>
        <v>04-08-2020</v>
      </c>
      <c r="Z3898" t="str">
        <f>"COS10200804 5656"</f>
        <v>COS10200804 5656</v>
      </c>
    </row>
    <row r="3899" spans="1:26" x14ac:dyDescent="0.25">
      <c r="A3899" t="str">
        <f t="shared" si="1592"/>
        <v>04-08-2020 12:56:11</v>
      </c>
      <c r="B3899" t="str">
        <f>"0000807042"</f>
        <v>0000807042</v>
      </c>
      <c r="C3899" t="str">
        <f t="shared" si="1593"/>
        <v>0000806987</v>
      </c>
      <c r="D3899" t="str">
        <f t="shared" si="1571"/>
        <v>73185</v>
      </c>
      <c r="E3899" t="str">
        <f t="shared" si="1572"/>
        <v>KFH-OPERATIONS DEPARTMENT</v>
      </c>
      <c r="F3899" t="str">
        <f t="shared" si="1573"/>
        <v>IBG</v>
      </c>
      <c r="G3899" t="str">
        <f t="shared" si="1588"/>
        <v>Refund COSHARE 10</v>
      </c>
      <c r="H3899" s="2">
        <v>420</v>
      </c>
      <c r="I3899" t="str">
        <f>"MOHD HAFIZ BIN RUSLI"</f>
        <v>MOHD HAFIZ BIN RUSLI</v>
      </c>
      <c r="J3899" t="str">
        <f t="shared" si="1589"/>
        <v>MAYBANK / MAYBANK ISLAMIC</v>
      </c>
      <c r="K3899" t="str">
        <f>"155050240944"</f>
        <v>155050240944</v>
      </c>
      <c r="L3899" t="str">
        <f t="shared" si="1594"/>
        <v>04-08-2020</v>
      </c>
      <c r="M3899" t="str">
        <f t="shared" si="1594"/>
        <v>04-08-2020</v>
      </c>
      <c r="N3899" t="str">
        <f t="shared" si="1575"/>
        <v>001105018356</v>
      </c>
      <c r="O3899" t="str">
        <f t="shared" si="1576"/>
        <v>MYR</v>
      </c>
      <c r="P3899" t="str">
        <f t="shared" si="1595"/>
        <v>NIL</v>
      </c>
      <c r="Q3899" t="str">
        <f t="shared" si="1595"/>
        <v>NIL</v>
      </c>
      <c r="R3899" t="str">
        <f t="shared" si="1578"/>
        <v>Accepted</v>
      </c>
      <c r="S3899" t="str">
        <f t="shared" si="1579"/>
        <v>Approved</v>
      </c>
      <c r="T3899" t="str">
        <f t="shared" si="1580"/>
        <v>10.20.8.188</v>
      </c>
      <c r="U3899" t="str">
        <f t="shared" si="1581"/>
        <v>AZRAD UMAR BIN SHAARI</v>
      </c>
      <c r="V3899" t="str">
        <f t="shared" si="1582"/>
        <v>FARHANA BINTI MUSTAPA</v>
      </c>
      <c r="W3899" t="str">
        <f t="shared" si="1583"/>
        <v>04-08-2020</v>
      </c>
      <c r="X3899" t="str">
        <f t="shared" si="1584"/>
        <v>RAZIMAH ANSAR AHMAD</v>
      </c>
      <c r="Y3899" t="str">
        <f t="shared" si="1585"/>
        <v>04-08-2020</v>
      </c>
      <c r="Z3899" t="str">
        <f>"COS10200804 5655"</f>
        <v>COS10200804 5655</v>
      </c>
    </row>
    <row r="3900" spans="1:26" x14ac:dyDescent="0.25">
      <c r="A3900" t="str">
        <f t="shared" si="1592"/>
        <v>04-08-2020 12:56:11</v>
      </c>
      <c r="B3900" t="str">
        <f>"0000807041"</f>
        <v>0000807041</v>
      </c>
      <c r="C3900" t="str">
        <f t="shared" si="1593"/>
        <v>0000806987</v>
      </c>
      <c r="D3900" t="str">
        <f t="shared" si="1571"/>
        <v>73185</v>
      </c>
      <c r="E3900" t="str">
        <f t="shared" si="1572"/>
        <v>KFH-OPERATIONS DEPARTMENT</v>
      </c>
      <c r="F3900" t="str">
        <f t="shared" si="1573"/>
        <v>IBG</v>
      </c>
      <c r="G3900" t="str">
        <f t="shared" si="1588"/>
        <v>Refund COSHARE 10</v>
      </c>
      <c r="H3900" s="2">
        <v>503.7</v>
      </c>
      <c r="I3900" t="str">
        <f>"MOHD HAFIZ BIN OMAR BAKI"</f>
        <v>MOHD HAFIZ BIN OMAR BAKI</v>
      </c>
      <c r="J3900" t="str">
        <f t="shared" si="1589"/>
        <v>MAYBANK / MAYBANK ISLAMIC</v>
      </c>
      <c r="K3900" t="str">
        <f>"158042565729"</f>
        <v>158042565729</v>
      </c>
      <c r="L3900" t="str">
        <f t="shared" si="1594"/>
        <v>04-08-2020</v>
      </c>
      <c r="M3900" t="str">
        <f t="shared" si="1594"/>
        <v>04-08-2020</v>
      </c>
      <c r="N3900" t="str">
        <f t="shared" si="1575"/>
        <v>001105018356</v>
      </c>
      <c r="O3900" t="str">
        <f t="shared" si="1576"/>
        <v>MYR</v>
      </c>
      <c r="P3900" t="str">
        <f t="shared" si="1595"/>
        <v>NIL</v>
      </c>
      <c r="Q3900" t="str">
        <f t="shared" si="1595"/>
        <v>NIL</v>
      </c>
      <c r="R3900" t="str">
        <f t="shared" si="1578"/>
        <v>Accepted</v>
      </c>
      <c r="S3900" t="str">
        <f t="shared" si="1579"/>
        <v>Approved</v>
      </c>
      <c r="T3900" t="str">
        <f t="shared" si="1580"/>
        <v>10.20.8.188</v>
      </c>
      <c r="U3900" t="str">
        <f t="shared" si="1581"/>
        <v>AZRAD UMAR BIN SHAARI</v>
      </c>
      <c r="V3900" t="str">
        <f t="shared" si="1582"/>
        <v>FARHANA BINTI MUSTAPA</v>
      </c>
      <c r="W3900" t="str">
        <f t="shared" si="1583"/>
        <v>04-08-2020</v>
      </c>
      <c r="X3900" t="str">
        <f t="shared" si="1584"/>
        <v>RAZIMAH ANSAR AHMAD</v>
      </c>
      <c r="Y3900" t="str">
        <f t="shared" si="1585"/>
        <v>04-08-2020</v>
      </c>
      <c r="Z3900" t="str">
        <f>"COS10200804 5654"</f>
        <v>COS10200804 5654</v>
      </c>
    </row>
    <row r="3901" spans="1:26" x14ac:dyDescent="0.25">
      <c r="A3901" t="str">
        <f t="shared" si="1592"/>
        <v>04-08-2020 12:56:11</v>
      </c>
      <c r="B3901" t="str">
        <f>"0000807040"</f>
        <v>0000807040</v>
      </c>
      <c r="C3901" t="str">
        <f t="shared" si="1593"/>
        <v>0000806987</v>
      </c>
      <c r="D3901" t="str">
        <f t="shared" si="1571"/>
        <v>73185</v>
      </c>
      <c r="E3901" t="str">
        <f t="shared" si="1572"/>
        <v>KFH-OPERATIONS DEPARTMENT</v>
      </c>
      <c r="F3901" t="str">
        <f t="shared" si="1573"/>
        <v>IBG</v>
      </c>
      <c r="G3901" t="str">
        <f t="shared" si="1588"/>
        <v>Refund COSHARE 10</v>
      </c>
      <c r="H3901" s="2">
        <v>503.7</v>
      </c>
      <c r="I3901" t="str">
        <f>"MOHD HAFIZ BIN OMAR BAKI"</f>
        <v>MOHD HAFIZ BIN OMAR BAKI</v>
      </c>
      <c r="J3901" t="str">
        <f t="shared" si="1589"/>
        <v>MAYBANK / MAYBANK ISLAMIC</v>
      </c>
      <c r="K3901" t="str">
        <f>"158042565729"</f>
        <v>158042565729</v>
      </c>
      <c r="L3901" t="str">
        <f t="shared" si="1594"/>
        <v>04-08-2020</v>
      </c>
      <c r="M3901" t="str">
        <f t="shared" si="1594"/>
        <v>04-08-2020</v>
      </c>
      <c r="N3901" t="str">
        <f t="shared" si="1575"/>
        <v>001105018356</v>
      </c>
      <c r="O3901" t="str">
        <f t="shared" si="1576"/>
        <v>MYR</v>
      </c>
      <c r="P3901" t="str">
        <f t="shared" si="1595"/>
        <v>NIL</v>
      </c>
      <c r="Q3901" t="str">
        <f t="shared" si="1595"/>
        <v>NIL</v>
      </c>
      <c r="R3901" t="str">
        <f t="shared" si="1578"/>
        <v>Accepted</v>
      </c>
      <c r="S3901" t="str">
        <f t="shared" si="1579"/>
        <v>Approved</v>
      </c>
      <c r="T3901" t="str">
        <f t="shared" si="1580"/>
        <v>10.20.8.188</v>
      </c>
      <c r="U3901" t="str">
        <f t="shared" si="1581"/>
        <v>AZRAD UMAR BIN SHAARI</v>
      </c>
      <c r="V3901" t="str">
        <f t="shared" si="1582"/>
        <v>FARHANA BINTI MUSTAPA</v>
      </c>
      <c r="W3901" t="str">
        <f t="shared" si="1583"/>
        <v>04-08-2020</v>
      </c>
      <c r="X3901" t="str">
        <f t="shared" si="1584"/>
        <v>RAZIMAH ANSAR AHMAD</v>
      </c>
      <c r="Y3901" t="str">
        <f t="shared" si="1585"/>
        <v>04-08-2020</v>
      </c>
      <c r="Z3901" t="str">
        <f>"COS10200804 5653"</f>
        <v>COS10200804 5653</v>
      </c>
    </row>
    <row r="3902" spans="1:26" x14ac:dyDescent="0.25">
      <c r="A3902" t="str">
        <f t="shared" si="1592"/>
        <v>04-08-2020 12:56:11</v>
      </c>
      <c r="B3902" t="str">
        <f>"0000807039"</f>
        <v>0000807039</v>
      </c>
      <c r="C3902" t="str">
        <f t="shared" si="1593"/>
        <v>0000806987</v>
      </c>
      <c r="D3902" t="str">
        <f t="shared" si="1571"/>
        <v>73185</v>
      </c>
      <c r="E3902" t="str">
        <f t="shared" si="1572"/>
        <v>KFH-OPERATIONS DEPARTMENT</v>
      </c>
      <c r="F3902" t="str">
        <f t="shared" si="1573"/>
        <v>IBG</v>
      </c>
      <c r="G3902" t="str">
        <f t="shared" si="1588"/>
        <v>Refund COSHARE 10</v>
      </c>
      <c r="H3902" s="2">
        <v>218.3</v>
      </c>
      <c r="I3902" t="str">
        <f>"MOHD HAFIZ BIN MOHD ZIN"</f>
        <v>MOHD HAFIZ BIN MOHD ZIN</v>
      </c>
      <c r="J3902" t="str">
        <f t="shared" si="1589"/>
        <v>MAYBANK / MAYBANK ISLAMIC</v>
      </c>
      <c r="K3902" t="str">
        <f>"153038850549"</f>
        <v>153038850549</v>
      </c>
      <c r="L3902" t="str">
        <f t="shared" si="1594"/>
        <v>04-08-2020</v>
      </c>
      <c r="M3902" t="str">
        <f t="shared" si="1594"/>
        <v>04-08-2020</v>
      </c>
      <c r="N3902" t="str">
        <f t="shared" si="1575"/>
        <v>001105018356</v>
      </c>
      <c r="O3902" t="str">
        <f t="shared" si="1576"/>
        <v>MYR</v>
      </c>
      <c r="P3902" t="str">
        <f t="shared" si="1595"/>
        <v>NIL</v>
      </c>
      <c r="Q3902" t="str">
        <f t="shared" si="1595"/>
        <v>NIL</v>
      </c>
      <c r="R3902" t="str">
        <f t="shared" si="1578"/>
        <v>Accepted</v>
      </c>
      <c r="S3902" t="str">
        <f t="shared" si="1579"/>
        <v>Approved</v>
      </c>
      <c r="T3902" t="str">
        <f t="shared" si="1580"/>
        <v>10.20.8.188</v>
      </c>
      <c r="U3902" t="str">
        <f t="shared" si="1581"/>
        <v>AZRAD UMAR BIN SHAARI</v>
      </c>
      <c r="V3902" t="str">
        <f t="shared" si="1582"/>
        <v>FARHANA BINTI MUSTAPA</v>
      </c>
      <c r="W3902" t="str">
        <f t="shared" si="1583"/>
        <v>04-08-2020</v>
      </c>
      <c r="X3902" t="str">
        <f t="shared" si="1584"/>
        <v>RAZIMAH ANSAR AHMAD</v>
      </c>
      <c r="Y3902" t="str">
        <f t="shared" si="1585"/>
        <v>04-08-2020</v>
      </c>
      <c r="Z3902" t="str">
        <f>"COS10200804 5652"</f>
        <v>COS10200804 5652</v>
      </c>
    </row>
    <row r="3903" spans="1:26" x14ac:dyDescent="0.25">
      <c r="A3903" t="str">
        <f t="shared" si="1592"/>
        <v>04-08-2020 12:56:11</v>
      </c>
      <c r="B3903" t="str">
        <f>"0000807038"</f>
        <v>0000807038</v>
      </c>
      <c r="C3903" t="str">
        <f t="shared" si="1593"/>
        <v>0000806987</v>
      </c>
      <c r="D3903" t="str">
        <f t="shared" si="1571"/>
        <v>73185</v>
      </c>
      <c r="E3903" t="str">
        <f t="shared" si="1572"/>
        <v>KFH-OPERATIONS DEPARTMENT</v>
      </c>
      <c r="F3903" t="str">
        <f t="shared" si="1573"/>
        <v>IBG</v>
      </c>
      <c r="G3903" t="str">
        <f t="shared" si="1588"/>
        <v>Refund COSHARE 10</v>
      </c>
      <c r="H3903" s="2">
        <v>1428</v>
      </c>
      <c r="I3903" t="str">
        <f>"MOHD HAFIZ BIN KHAR"</f>
        <v>MOHD HAFIZ BIN KHAR</v>
      </c>
      <c r="J3903" t="str">
        <f t="shared" si="1589"/>
        <v>MAYBANK / MAYBANK ISLAMIC</v>
      </c>
      <c r="K3903" t="str">
        <f>"162348344105"</f>
        <v>162348344105</v>
      </c>
      <c r="L3903" t="str">
        <f t="shared" si="1594"/>
        <v>04-08-2020</v>
      </c>
      <c r="M3903" t="str">
        <f t="shared" si="1594"/>
        <v>04-08-2020</v>
      </c>
      <c r="N3903" t="str">
        <f t="shared" si="1575"/>
        <v>001105018356</v>
      </c>
      <c r="O3903" t="str">
        <f t="shared" si="1576"/>
        <v>MYR</v>
      </c>
      <c r="P3903" t="str">
        <f t="shared" si="1595"/>
        <v>NIL</v>
      </c>
      <c r="Q3903" t="str">
        <f t="shared" si="1595"/>
        <v>NIL</v>
      </c>
      <c r="R3903" t="str">
        <f t="shared" si="1578"/>
        <v>Accepted</v>
      </c>
      <c r="S3903" t="str">
        <f t="shared" si="1579"/>
        <v>Approved</v>
      </c>
      <c r="T3903" t="str">
        <f t="shared" si="1580"/>
        <v>10.20.8.188</v>
      </c>
      <c r="U3903" t="str">
        <f t="shared" si="1581"/>
        <v>AZRAD UMAR BIN SHAARI</v>
      </c>
      <c r="V3903" t="str">
        <f t="shared" si="1582"/>
        <v>FARHANA BINTI MUSTAPA</v>
      </c>
      <c r="W3903" t="str">
        <f t="shared" si="1583"/>
        <v>04-08-2020</v>
      </c>
      <c r="X3903" t="str">
        <f t="shared" si="1584"/>
        <v>RAZIMAH ANSAR AHMAD</v>
      </c>
      <c r="Y3903" t="str">
        <f t="shared" si="1585"/>
        <v>04-08-2020</v>
      </c>
      <c r="Z3903" t="str">
        <f>"COS10200804 5651"</f>
        <v>COS10200804 5651</v>
      </c>
    </row>
    <row r="3904" spans="1:26" x14ac:dyDescent="0.25">
      <c r="A3904" t="str">
        <f t="shared" si="1592"/>
        <v>04-08-2020 12:56:11</v>
      </c>
      <c r="B3904" t="str">
        <f>"0000807037"</f>
        <v>0000807037</v>
      </c>
      <c r="C3904" t="str">
        <f t="shared" si="1593"/>
        <v>0000806987</v>
      </c>
      <c r="D3904" t="str">
        <f t="shared" si="1571"/>
        <v>73185</v>
      </c>
      <c r="E3904" t="str">
        <f t="shared" si="1572"/>
        <v>KFH-OPERATIONS DEPARTMENT</v>
      </c>
      <c r="F3904" t="str">
        <f t="shared" si="1573"/>
        <v>IBG</v>
      </c>
      <c r="G3904" t="str">
        <f t="shared" si="1588"/>
        <v>Refund COSHARE 10</v>
      </c>
      <c r="H3904" s="2">
        <v>612.85</v>
      </c>
      <c r="I3904" t="str">
        <f>"MOHD HAFIZ BIN KAMIR"</f>
        <v>MOHD HAFIZ BIN KAMIR</v>
      </c>
      <c r="J3904" t="str">
        <f t="shared" si="1589"/>
        <v>MAYBANK / MAYBANK ISLAMIC</v>
      </c>
      <c r="K3904" t="str">
        <f>"164799092890"</f>
        <v>164799092890</v>
      </c>
      <c r="L3904" t="str">
        <f t="shared" si="1594"/>
        <v>04-08-2020</v>
      </c>
      <c r="M3904" t="str">
        <f t="shared" si="1594"/>
        <v>04-08-2020</v>
      </c>
      <c r="N3904" t="str">
        <f t="shared" si="1575"/>
        <v>001105018356</v>
      </c>
      <c r="O3904" t="str">
        <f t="shared" si="1576"/>
        <v>MYR</v>
      </c>
      <c r="P3904" t="str">
        <f t="shared" si="1595"/>
        <v>NIL</v>
      </c>
      <c r="Q3904" t="str">
        <f t="shared" si="1595"/>
        <v>NIL</v>
      </c>
      <c r="R3904" t="str">
        <f t="shared" si="1578"/>
        <v>Accepted</v>
      </c>
      <c r="S3904" t="str">
        <f t="shared" si="1579"/>
        <v>Approved</v>
      </c>
      <c r="T3904" t="str">
        <f t="shared" si="1580"/>
        <v>10.20.8.188</v>
      </c>
      <c r="U3904" t="str">
        <f t="shared" si="1581"/>
        <v>AZRAD UMAR BIN SHAARI</v>
      </c>
      <c r="V3904" t="str">
        <f t="shared" si="1582"/>
        <v>FARHANA BINTI MUSTAPA</v>
      </c>
      <c r="W3904" t="str">
        <f t="shared" si="1583"/>
        <v>04-08-2020</v>
      </c>
      <c r="X3904" t="str">
        <f t="shared" si="1584"/>
        <v>RAZIMAH ANSAR AHMAD</v>
      </c>
      <c r="Y3904" t="str">
        <f t="shared" si="1585"/>
        <v>04-08-2020</v>
      </c>
      <c r="Z3904" t="str">
        <f>"COS10200804 5650"</f>
        <v>COS10200804 5650</v>
      </c>
    </row>
    <row r="3905" spans="1:26" x14ac:dyDescent="0.25">
      <c r="A3905" t="str">
        <f t="shared" si="1592"/>
        <v>04-08-2020 12:56:11</v>
      </c>
      <c r="B3905" t="str">
        <f>"0000807036"</f>
        <v>0000807036</v>
      </c>
      <c r="C3905" t="str">
        <f t="shared" si="1593"/>
        <v>0000806987</v>
      </c>
      <c r="D3905" t="str">
        <f t="shared" si="1571"/>
        <v>73185</v>
      </c>
      <c r="E3905" t="str">
        <f t="shared" si="1572"/>
        <v>KFH-OPERATIONS DEPARTMENT</v>
      </c>
      <c r="F3905" t="str">
        <f t="shared" si="1573"/>
        <v>IBG</v>
      </c>
      <c r="G3905" t="str">
        <f t="shared" si="1588"/>
        <v>Refund COSHARE 10</v>
      </c>
      <c r="H3905" s="2">
        <v>797.55</v>
      </c>
      <c r="I3905" t="str">
        <f>"MOHD HAFIZ BIN HAMIDIN"</f>
        <v>MOHD HAFIZ BIN HAMIDIN</v>
      </c>
      <c r="J3905" t="str">
        <f t="shared" si="1589"/>
        <v>MAYBANK / MAYBANK ISLAMIC</v>
      </c>
      <c r="K3905" t="str">
        <f>"164418034414"</f>
        <v>164418034414</v>
      </c>
      <c r="L3905" t="str">
        <f t="shared" si="1594"/>
        <v>04-08-2020</v>
      </c>
      <c r="M3905" t="str">
        <f t="shared" si="1594"/>
        <v>04-08-2020</v>
      </c>
      <c r="N3905" t="str">
        <f t="shared" si="1575"/>
        <v>001105018356</v>
      </c>
      <c r="O3905" t="str">
        <f t="shared" si="1576"/>
        <v>MYR</v>
      </c>
      <c r="P3905" t="str">
        <f t="shared" si="1595"/>
        <v>NIL</v>
      </c>
      <c r="Q3905" t="str">
        <f t="shared" si="1595"/>
        <v>NIL</v>
      </c>
      <c r="R3905" t="str">
        <f t="shared" si="1578"/>
        <v>Accepted</v>
      </c>
      <c r="S3905" t="str">
        <f t="shared" si="1579"/>
        <v>Approved</v>
      </c>
      <c r="T3905" t="str">
        <f t="shared" si="1580"/>
        <v>10.20.8.188</v>
      </c>
      <c r="U3905" t="str">
        <f t="shared" si="1581"/>
        <v>AZRAD UMAR BIN SHAARI</v>
      </c>
      <c r="V3905" t="str">
        <f t="shared" si="1582"/>
        <v>FARHANA BINTI MUSTAPA</v>
      </c>
      <c r="W3905" t="str">
        <f t="shared" si="1583"/>
        <v>04-08-2020</v>
      </c>
      <c r="X3905" t="str">
        <f t="shared" si="1584"/>
        <v>RAZIMAH ANSAR AHMAD</v>
      </c>
      <c r="Y3905" t="str">
        <f t="shared" si="1585"/>
        <v>04-08-2020</v>
      </c>
      <c r="Z3905" t="str">
        <f>"COS10200804 5649"</f>
        <v>COS10200804 5649</v>
      </c>
    </row>
    <row r="3906" spans="1:26" x14ac:dyDescent="0.25">
      <c r="A3906" t="str">
        <f t="shared" si="1592"/>
        <v>04-08-2020 12:56:11</v>
      </c>
      <c r="B3906" t="str">
        <f>"0000807035"</f>
        <v>0000807035</v>
      </c>
      <c r="C3906" t="str">
        <f t="shared" si="1593"/>
        <v>0000806987</v>
      </c>
      <c r="D3906" t="str">
        <f t="shared" si="1571"/>
        <v>73185</v>
      </c>
      <c r="E3906" t="str">
        <f t="shared" si="1572"/>
        <v>KFH-OPERATIONS DEPARTMENT</v>
      </c>
      <c r="F3906" t="str">
        <f t="shared" si="1573"/>
        <v>IBG</v>
      </c>
      <c r="G3906" t="str">
        <f t="shared" si="1588"/>
        <v>Refund COSHARE 10</v>
      </c>
      <c r="H3906" s="2">
        <v>822.7</v>
      </c>
      <c r="I3906" t="str">
        <f>"MOHD HAFIZ BIN CHE ME"</f>
        <v>MOHD HAFIZ BIN CHE ME</v>
      </c>
      <c r="J3906" t="str">
        <f t="shared" si="1589"/>
        <v>MAYBANK / MAYBANK ISLAMIC</v>
      </c>
      <c r="K3906" t="str">
        <f>"102055397705"</f>
        <v>102055397705</v>
      </c>
      <c r="L3906" t="str">
        <f t="shared" si="1594"/>
        <v>04-08-2020</v>
      </c>
      <c r="M3906" t="str">
        <f t="shared" si="1594"/>
        <v>04-08-2020</v>
      </c>
      <c r="N3906" t="str">
        <f t="shared" si="1575"/>
        <v>001105018356</v>
      </c>
      <c r="O3906" t="str">
        <f t="shared" si="1576"/>
        <v>MYR</v>
      </c>
      <c r="P3906" t="str">
        <f t="shared" si="1595"/>
        <v>NIL</v>
      </c>
      <c r="Q3906" t="str">
        <f t="shared" si="1595"/>
        <v>NIL</v>
      </c>
      <c r="R3906" t="str">
        <f t="shared" si="1578"/>
        <v>Accepted</v>
      </c>
      <c r="S3906" t="str">
        <f t="shared" si="1579"/>
        <v>Approved</v>
      </c>
      <c r="T3906" t="str">
        <f t="shared" si="1580"/>
        <v>10.20.8.188</v>
      </c>
      <c r="U3906" t="str">
        <f t="shared" si="1581"/>
        <v>AZRAD UMAR BIN SHAARI</v>
      </c>
      <c r="V3906" t="str">
        <f t="shared" si="1582"/>
        <v>FARHANA BINTI MUSTAPA</v>
      </c>
      <c r="W3906" t="str">
        <f t="shared" si="1583"/>
        <v>04-08-2020</v>
      </c>
      <c r="X3906" t="str">
        <f t="shared" si="1584"/>
        <v>RAZIMAH ANSAR AHMAD</v>
      </c>
      <c r="Y3906" t="str">
        <f t="shared" si="1585"/>
        <v>04-08-2020</v>
      </c>
      <c r="Z3906" t="str">
        <f>"COS10200804 5648"</f>
        <v>COS10200804 5648</v>
      </c>
    </row>
    <row r="3907" spans="1:26" x14ac:dyDescent="0.25">
      <c r="A3907" t="str">
        <f t="shared" si="1592"/>
        <v>04-08-2020 12:56:11</v>
      </c>
      <c r="B3907" t="str">
        <f>"0000807034"</f>
        <v>0000807034</v>
      </c>
      <c r="C3907" t="str">
        <f t="shared" si="1593"/>
        <v>0000806987</v>
      </c>
      <c r="D3907" t="str">
        <f t="shared" si="1571"/>
        <v>73185</v>
      </c>
      <c r="E3907" t="str">
        <f t="shared" si="1572"/>
        <v>KFH-OPERATIONS DEPARTMENT</v>
      </c>
      <c r="F3907" t="str">
        <f t="shared" si="1573"/>
        <v>IBG</v>
      </c>
      <c r="G3907" t="str">
        <f t="shared" si="1588"/>
        <v>Refund COSHARE 10</v>
      </c>
      <c r="H3907" s="2">
        <v>457.5</v>
      </c>
      <c r="I3907" t="str">
        <f>"MOHD HAFIZ BIN AKIL"</f>
        <v>MOHD HAFIZ BIN AKIL</v>
      </c>
      <c r="J3907" t="str">
        <f t="shared" si="1589"/>
        <v>MAYBANK / MAYBANK ISLAMIC</v>
      </c>
      <c r="K3907" t="str">
        <f>"152189188648"</f>
        <v>152189188648</v>
      </c>
      <c r="L3907" t="str">
        <f t="shared" ref="L3907:M3926" si="1596">"04-08-2020"</f>
        <v>04-08-2020</v>
      </c>
      <c r="M3907" t="str">
        <f t="shared" si="1596"/>
        <v>04-08-2020</v>
      </c>
      <c r="N3907" t="str">
        <f t="shared" si="1575"/>
        <v>001105018356</v>
      </c>
      <c r="O3907" t="str">
        <f t="shared" si="1576"/>
        <v>MYR</v>
      </c>
      <c r="P3907" t="str">
        <f t="shared" ref="P3907:Q3926" si="1597">"NIL"</f>
        <v>NIL</v>
      </c>
      <c r="Q3907" t="str">
        <f t="shared" si="1597"/>
        <v>NIL</v>
      </c>
      <c r="R3907" t="str">
        <f t="shared" si="1578"/>
        <v>Accepted</v>
      </c>
      <c r="S3907" t="str">
        <f t="shared" si="1579"/>
        <v>Approved</v>
      </c>
      <c r="T3907" t="str">
        <f t="shared" si="1580"/>
        <v>10.20.8.188</v>
      </c>
      <c r="U3907" t="str">
        <f t="shared" si="1581"/>
        <v>AZRAD UMAR BIN SHAARI</v>
      </c>
      <c r="V3907" t="str">
        <f t="shared" si="1582"/>
        <v>FARHANA BINTI MUSTAPA</v>
      </c>
      <c r="W3907" t="str">
        <f t="shared" si="1583"/>
        <v>04-08-2020</v>
      </c>
      <c r="X3907" t="str">
        <f t="shared" si="1584"/>
        <v>RAZIMAH ANSAR AHMAD</v>
      </c>
      <c r="Y3907" t="str">
        <f t="shared" si="1585"/>
        <v>04-08-2020</v>
      </c>
      <c r="Z3907" t="str">
        <f>"COS10200804 5647"</f>
        <v>COS10200804 5647</v>
      </c>
    </row>
    <row r="3908" spans="1:26" x14ac:dyDescent="0.25">
      <c r="A3908" t="str">
        <f t="shared" si="1592"/>
        <v>04-08-2020 12:56:11</v>
      </c>
      <c r="B3908" t="str">
        <f>"0000807033"</f>
        <v>0000807033</v>
      </c>
      <c r="C3908" t="str">
        <f t="shared" si="1593"/>
        <v>0000806987</v>
      </c>
      <c r="D3908" t="str">
        <f t="shared" si="1571"/>
        <v>73185</v>
      </c>
      <c r="E3908" t="str">
        <f t="shared" si="1572"/>
        <v>KFH-OPERATIONS DEPARTMENT</v>
      </c>
      <c r="F3908" t="str">
        <f t="shared" si="1573"/>
        <v>IBG</v>
      </c>
      <c r="G3908" t="str">
        <f t="shared" si="1588"/>
        <v>Refund COSHARE 10</v>
      </c>
      <c r="H3908" s="2">
        <v>142.75</v>
      </c>
      <c r="I3908" t="str">
        <f>"MOHD HAFIDZUL BIN ABD MAJID"</f>
        <v>MOHD HAFIDZUL BIN ABD MAJID</v>
      </c>
      <c r="J3908" t="str">
        <f t="shared" si="1589"/>
        <v>MAYBANK / MAYBANK ISLAMIC</v>
      </c>
      <c r="K3908" t="str">
        <f>"158172905841"</f>
        <v>158172905841</v>
      </c>
      <c r="L3908" t="str">
        <f t="shared" si="1596"/>
        <v>04-08-2020</v>
      </c>
      <c r="M3908" t="str">
        <f t="shared" si="1596"/>
        <v>04-08-2020</v>
      </c>
      <c r="N3908" t="str">
        <f t="shared" si="1575"/>
        <v>001105018356</v>
      </c>
      <c r="O3908" t="str">
        <f t="shared" si="1576"/>
        <v>MYR</v>
      </c>
      <c r="P3908" t="str">
        <f t="shared" si="1597"/>
        <v>NIL</v>
      </c>
      <c r="Q3908" t="str">
        <f t="shared" si="1597"/>
        <v>NIL</v>
      </c>
      <c r="R3908" t="str">
        <f t="shared" si="1578"/>
        <v>Accepted</v>
      </c>
      <c r="S3908" t="str">
        <f t="shared" si="1579"/>
        <v>Approved</v>
      </c>
      <c r="T3908" t="str">
        <f t="shared" si="1580"/>
        <v>10.20.8.188</v>
      </c>
      <c r="U3908" t="str">
        <f t="shared" si="1581"/>
        <v>AZRAD UMAR BIN SHAARI</v>
      </c>
      <c r="V3908" t="str">
        <f t="shared" si="1582"/>
        <v>FARHANA BINTI MUSTAPA</v>
      </c>
      <c r="W3908" t="str">
        <f t="shared" si="1583"/>
        <v>04-08-2020</v>
      </c>
      <c r="X3908" t="str">
        <f t="shared" si="1584"/>
        <v>RAZIMAH ANSAR AHMAD</v>
      </c>
      <c r="Y3908" t="str">
        <f t="shared" si="1585"/>
        <v>04-08-2020</v>
      </c>
      <c r="Z3908" t="str">
        <f>"COS10200804 5646"</f>
        <v>COS10200804 5646</v>
      </c>
    </row>
    <row r="3909" spans="1:26" x14ac:dyDescent="0.25">
      <c r="A3909" t="str">
        <f t="shared" si="1592"/>
        <v>04-08-2020 12:56:11</v>
      </c>
      <c r="B3909" t="str">
        <f>"0000807032"</f>
        <v>0000807032</v>
      </c>
      <c r="C3909" t="str">
        <f t="shared" si="1593"/>
        <v>0000806987</v>
      </c>
      <c r="D3909" t="str">
        <f t="shared" si="1571"/>
        <v>73185</v>
      </c>
      <c r="E3909" t="str">
        <f t="shared" si="1572"/>
        <v>KFH-OPERATIONS DEPARTMENT</v>
      </c>
      <c r="F3909" t="str">
        <f t="shared" si="1573"/>
        <v>IBG</v>
      </c>
      <c r="G3909" t="str">
        <f t="shared" si="1588"/>
        <v>Refund COSHARE 10</v>
      </c>
      <c r="H3909" s="2">
        <v>1292.8499999999999</v>
      </c>
      <c r="I3909" t="str">
        <f>"MOHD HAFEZ BIN TAHA"</f>
        <v>MOHD HAFEZ BIN TAHA</v>
      </c>
      <c r="J3909" t="str">
        <f t="shared" si="1589"/>
        <v>MAYBANK / MAYBANK ISLAMIC</v>
      </c>
      <c r="K3909" t="str">
        <f>"152077352124"</f>
        <v>152077352124</v>
      </c>
      <c r="L3909" t="str">
        <f t="shared" si="1596"/>
        <v>04-08-2020</v>
      </c>
      <c r="M3909" t="str">
        <f t="shared" si="1596"/>
        <v>04-08-2020</v>
      </c>
      <c r="N3909" t="str">
        <f t="shared" si="1575"/>
        <v>001105018356</v>
      </c>
      <c r="O3909" t="str">
        <f t="shared" si="1576"/>
        <v>MYR</v>
      </c>
      <c r="P3909" t="str">
        <f t="shared" si="1597"/>
        <v>NIL</v>
      </c>
      <c r="Q3909" t="str">
        <f t="shared" si="1597"/>
        <v>NIL</v>
      </c>
      <c r="R3909" t="str">
        <f t="shared" si="1578"/>
        <v>Accepted</v>
      </c>
      <c r="S3909" t="str">
        <f t="shared" si="1579"/>
        <v>Approved</v>
      </c>
      <c r="T3909" t="str">
        <f t="shared" si="1580"/>
        <v>10.20.8.188</v>
      </c>
      <c r="U3909" t="str">
        <f t="shared" si="1581"/>
        <v>AZRAD UMAR BIN SHAARI</v>
      </c>
      <c r="V3909" t="str">
        <f t="shared" si="1582"/>
        <v>FARHANA BINTI MUSTAPA</v>
      </c>
      <c r="W3909" t="str">
        <f t="shared" si="1583"/>
        <v>04-08-2020</v>
      </c>
      <c r="X3909" t="str">
        <f t="shared" si="1584"/>
        <v>RAZIMAH ANSAR AHMAD</v>
      </c>
      <c r="Y3909" t="str">
        <f t="shared" si="1585"/>
        <v>04-08-2020</v>
      </c>
      <c r="Z3909" t="str">
        <f>"COS10200804 5645"</f>
        <v>COS10200804 5645</v>
      </c>
    </row>
    <row r="3910" spans="1:26" x14ac:dyDescent="0.25">
      <c r="A3910" t="str">
        <f t="shared" si="1592"/>
        <v>04-08-2020 12:56:11</v>
      </c>
      <c r="B3910" t="str">
        <f>"0000807031"</f>
        <v>0000807031</v>
      </c>
      <c r="C3910" t="str">
        <f t="shared" si="1593"/>
        <v>0000806987</v>
      </c>
      <c r="D3910" t="str">
        <f t="shared" si="1571"/>
        <v>73185</v>
      </c>
      <c r="E3910" t="str">
        <f t="shared" si="1572"/>
        <v>KFH-OPERATIONS DEPARTMENT</v>
      </c>
      <c r="F3910" t="str">
        <f t="shared" si="1573"/>
        <v>IBG</v>
      </c>
      <c r="G3910" t="str">
        <f t="shared" si="1588"/>
        <v>Refund COSHARE 10</v>
      </c>
      <c r="H3910" s="2">
        <v>251.85</v>
      </c>
      <c r="I3910" t="str">
        <f>"MOHD HADI BIN ABDUL GHANI"</f>
        <v>MOHD HADI BIN ABDUL GHANI</v>
      </c>
      <c r="J3910" t="str">
        <f t="shared" si="1589"/>
        <v>MAYBANK / MAYBANK ISLAMIC</v>
      </c>
      <c r="K3910" t="str">
        <f>"101123697723"</f>
        <v>101123697723</v>
      </c>
      <c r="L3910" t="str">
        <f t="shared" si="1596"/>
        <v>04-08-2020</v>
      </c>
      <c r="M3910" t="str">
        <f t="shared" si="1596"/>
        <v>04-08-2020</v>
      </c>
      <c r="N3910" t="str">
        <f t="shared" si="1575"/>
        <v>001105018356</v>
      </c>
      <c r="O3910" t="str">
        <f t="shared" si="1576"/>
        <v>MYR</v>
      </c>
      <c r="P3910" t="str">
        <f t="shared" si="1597"/>
        <v>NIL</v>
      </c>
      <c r="Q3910" t="str">
        <f t="shared" si="1597"/>
        <v>NIL</v>
      </c>
      <c r="R3910" t="str">
        <f t="shared" si="1578"/>
        <v>Accepted</v>
      </c>
      <c r="S3910" t="str">
        <f t="shared" si="1579"/>
        <v>Approved</v>
      </c>
      <c r="T3910" t="str">
        <f t="shared" si="1580"/>
        <v>10.20.8.188</v>
      </c>
      <c r="U3910" t="str">
        <f t="shared" si="1581"/>
        <v>AZRAD UMAR BIN SHAARI</v>
      </c>
      <c r="V3910" t="str">
        <f t="shared" si="1582"/>
        <v>FARHANA BINTI MUSTAPA</v>
      </c>
      <c r="W3910" t="str">
        <f t="shared" si="1583"/>
        <v>04-08-2020</v>
      </c>
      <c r="X3910" t="str">
        <f t="shared" si="1584"/>
        <v>RAZIMAH ANSAR AHMAD</v>
      </c>
      <c r="Y3910" t="str">
        <f t="shared" si="1585"/>
        <v>04-08-2020</v>
      </c>
      <c r="Z3910" t="str">
        <f>"COS10200804 5644"</f>
        <v>COS10200804 5644</v>
      </c>
    </row>
    <row r="3911" spans="1:26" x14ac:dyDescent="0.25">
      <c r="A3911" t="str">
        <f t="shared" si="1592"/>
        <v>04-08-2020 12:56:11</v>
      </c>
      <c r="B3911" t="str">
        <f>"0000807030"</f>
        <v>0000807030</v>
      </c>
      <c r="C3911" t="str">
        <f t="shared" si="1593"/>
        <v>0000806987</v>
      </c>
      <c r="D3911" t="str">
        <f t="shared" ref="D3911:D3974" si="1598">"73185"</f>
        <v>73185</v>
      </c>
      <c r="E3911" t="str">
        <f t="shared" ref="E3911:E3974" si="1599">"KFH-OPERATIONS DEPARTMENT"</f>
        <v>KFH-OPERATIONS DEPARTMENT</v>
      </c>
      <c r="F3911" t="str">
        <f t="shared" ref="F3911:F3974" si="1600">"IBG"</f>
        <v>IBG</v>
      </c>
      <c r="G3911" t="str">
        <f t="shared" si="1588"/>
        <v>Refund COSHARE 10</v>
      </c>
      <c r="H3911" s="2">
        <v>777</v>
      </c>
      <c r="I3911" t="str">
        <f>"MOHD FUZI BIN HUSIN"</f>
        <v>MOHD FUZI BIN HUSIN</v>
      </c>
      <c r="J3911" t="str">
        <f t="shared" si="1589"/>
        <v>MAYBANK / MAYBANK ISLAMIC</v>
      </c>
      <c r="K3911" t="str">
        <f>"152040003427"</f>
        <v>152040003427</v>
      </c>
      <c r="L3911" t="str">
        <f t="shared" si="1596"/>
        <v>04-08-2020</v>
      </c>
      <c r="M3911" t="str">
        <f t="shared" si="1596"/>
        <v>04-08-2020</v>
      </c>
      <c r="N3911" t="str">
        <f t="shared" ref="N3911:N3974" si="1601">"001105018356"</f>
        <v>001105018356</v>
      </c>
      <c r="O3911" t="str">
        <f t="shared" ref="O3911:O3974" si="1602">"MYR"</f>
        <v>MYR</v>
      </c>
      <c r="P3911" t="str">
        <f t="shared" si="1597"/>
        <v>NIL</v>
      </c>
      <c r="Q3911" t="str">
        <f t="shared" si="1597"/>
        <v>NIL</v>
      </c>
      <c r="R3911" t="str">
        <f t="shared" ref="R3911:R3974" si="1603">"Accepted"</f>
        <v>Accepted</v>
      </c>
      <c r="S3911" t="str">
        <f t="shared" ref="S3911:S3974" si="1604">"Approved"</f>
        <v>Approved</v>
      </c>
      <c r="T3911" t="str">
        <f t="shared" ref="T3911:T3974" si="1605">"10.20.8.188"</f>
        <v>10.20.8.188</v>
      </c>
      <c r="U3911" t="str">
        <f t="shared" ref="U3911:U3974" si="1606">"AZRAD UMAR BIN SHAARI"</f>
        <v>AZRAD UMAR BIN SHAARI</v>
      </c>
      <c r="V3911" t="str">
        <f t="shared" ref="V3911:V3974" si="1607">"FARHANA BINTI MUSTAPA"</f>
        <v>FARHANA BINTI MUSTAPA</v>
      </c>
      <c r="W3911" t="str">
        <f t="shared" ref="W3911:W3974" si="1608">"04-08-2020"</f>
        <v>04-08-2020</v>
      </c>
      <c r="X3911" t="str">
        <f t="shared" ref="X3911:X3974" si="1609">"RAZIMAH ANSAR AHMAD"</f>
        <v>RAZIMAH ANSAR AHMAD</v>
      </c>
      <c r="Y3911" t="str">
        <f t="shared" ref="Y3911:Y3974" si="1610">"04-08-2020"</f>
        <v>04-08-2020</v>
      </c>
      <c r="Z3911" t="str">
        <f>"COS10200804 5643"</f>
        <v>COS10200804 5643</v>
      </c>
    </row>
    <row r="3912" spans="1:26" x14ac:dyDescent="0.25">
      <c r="A3912" t="str">
        <f t="shared" si="1592"/>
        <v>04-08-2020 12:56:11</v>
      </c>
      <c r="B3912" t="str">
        <f>"0000807029"</f>
        <v>0000807029</v>
      </c>
      <c r="C3912" t="str">
        <f t="shared" si="1593"/>
        <v>0000806987</v>
      </c>
      <c r="D3912" t="str">
        <f t="shared" si="1598"/>
        <v>73185</v>
      </c>
      <c r="E3912" t="str">
        <f t="shared" si="1599"/>
        <v>KFH-OPERATIONS DEPARTMENT</v>
      </c>
      <c r="F3912" t="str">
        <f t="shared" si="1600"/>
        <v>IBG</v>
      </c>
      <c r="G3912" t="str">
        <f t="shared" si="1588"/>
        <v>Refund COSHARE 10</v>
      </c>
      <c r="H3912" s="2">
        <v>75.599999999999994</v>
      </c>
      <c r="I3912" t="str">
        <f>"MOHD FIZUAN BIN AG SAMARA"</f>
        <v>MOHD FIZUAN BIN AG SAMARA</v>
      </c>
      <c r="J3912" t="str">
        <f t="shared" si="1589"/>
        <v>MAYBANK / MAYBANK ISLAMIC</v>
      </c>
      <c r="K3912" t="str">
        <f>"160214083738"</f>
        <v>160214083738</v>
      </c>
      <c r="L3912" t="str">
        <f t="shared" si="1596"/>
        <v>04-08-2020</v>
      </c>
      <c r="M3912" t="str">
        <f t="shared" si="1596"/>
        <v>04-08-2020</v>
      </c>
      <c r="N3912" t="str">
        <f t="shared" si="1601"/>
        <v>001105018356</v>
      </c>
      <c r="O3912" t="str">
        <f t="shared" si="1602"/>
        <v>MYR</v>
      </c>
      <c r="P3912" t="str">
        <f t="shared" si="1597"/>
        <v>NIL</v>
      </c>
      <c r="Q3912" t="str">
        <f t="shared" si="1597"/>
        <v>NIL</v>
      </c>
      <c r="R3912" t="str">
        <f t="shared" si="1603"/>
        <v>Accepted</v>
      </c>
      <c r="S3912" t="str">
        <f t="shared" si="1604"/>
        <v>Approved</v>
      </c>
      <c r="T3912" t="str">
        <f t="shared" si="1605"/>
        <v>10.20.8.188</v>
      </c>
      <c r="U3912" t="str">
        <f t="shared" si="1606"/>
        <v>AZRAD UMAR BIN SHAARI</v>
      </c>
      <c r="V3912" t="str">
        <f t="shared" si="1607"/>
        <v>FARHANA BINTI MUSTAPA</v>
      </c>
      <c r="W3912" t="str">
        <f t="shared" si="1608"/>
        <v>04-08-2020</v>
      </c>
      <c r="X3912" t="str">
        <f t="shared" si="1609"/>
        <v>RAZIMAH ANSAR AHMAD</v>
      </c>
      <c r="Y3912" t="str">
        <f t="shared" si="1610"/>
        <v>04-08-2020</v>
      </c>
      <c r="Z3912" t="str">
        <f>"COS10200804 5642"</f>
        <v>COS10200804 5642</v>
      </c>
    </row>
    <row r="3913" spans="1:26" x14ac:dyDescent="0.25">
      <c r="A3913" t="str">
        <f t="shared" si="1592"/>
        <v>04-08-2020 12:56:11</v>
      </c>
      <c r="B3913" t="str">
        <f>"0000807028"</f>
        <v>0000807028</v>
      </c>
      <c r="C3913" t="str">
        <f t="shared" si="1593"/>
        <v>0000806987</v>
      </c>
      <c r="D3913" t="str">
        <f t="shared" si="1598"/>
        <v>73185</v>
      </c>
      <c r="E3913" t="str">
        <f t="shared" si="1599"/>
        <v>KFH-OPERATIONS DEPARTMENT</v>
      </c>
      <c r="F3913" t="str">
        <f t="shared" si="1600"/>
        <v>IBG</v>
      </c>
      <c r="G3913" t="str">
        <f t="shared" si="1588"/>
        <v>Refund COSHARE 10</v>
      </c>
      <c r="H3913" s="2">
        <v>782</v>
      </c>
      <c r="I3913" t="str">
        <f>"MOHD FITRI BIN SOBRI"</f>
        <v>MOHD FITRI BIN SOBRI</v>
      </c>
      <c r="J3913" t="str">
        <f t="shared" si="1589"/>
        <v>MAYBANK / MAYBANK ISLAMIC</v>
      </c>
      <c r="K3913" t="str">
        <f>"152116240200"</f>
        <v>152116240200</v>
      </c>
      <c r="L3913" t="str">
        <f t="shared" si="1596"/>
        <v>04-08-2020</v>
      </c>
      <c r="M3913" t="str">
        <f t="shared" si="1596"/>
        <v>04-08-2020</v>
      </c>
      <c r="N3913" t="str">
        <f t="shared" si="1601"/>
        <v>001105018356</v>
      </c>
      <c r="O3913" t="str">
        <f t="shared" si="1602"/>
        <v>MYR</v>
      </c>
      <c r="P3913" t="str">
        <f t="shared" si="1597"/>
        <v>NIL</v>
      </c>
      <c r="Q3913" t="str">
        <f t="shared" si="1597"/>
        <v>NIL</v>
      </c>
      <c r="R3913" t="str">
        <f t="shared" si="1603"/>
        <v>Accepted</v>
      </c>
      <c r="S3913" t="str">
        <f t="shared" si="1604"/>
        <v>Approved</v>
      </c>
      <c r="T3913" t="str">
        <f t="shared" si="1605"/>
        <v>10.20.8.188</v>
      </c>
      <c r="U3913" t="str">
        <f t="shared" si="1606"/>
        <v>AZRAD UMAR BIN SHAARI</v>
      </c>
      <c r="V3913" t="str">
        <f t="shared" si="1607"/>
        <v>FARHANA BINTI MUSTAPA</v>
      </c>
      <c r="W3913" t="str">
        <f t="shared" si="1608"/>
        <v>04-08-2020</v>
      </c>
      <c r="X3913" t="str">
        <f t="shared" si="1609"/>
        <v>RAZIMAH ANSAR AHMAD</v>
      </c>
      <c r="Y3913" t="str">
        <f t="shared" si="1610"/>
        <v>04-08-2020</v>
      </c>
      <c r="Z3913" t="str">
        <f>"COS10200804 5641"</f>
        <v>COS10200804 5641</v>
      </c>
    </row>
    <row r="3914" spans="1:26" x14ac:dyDescent="0.25">
      <c r="A3914" t="str">
        <f t="shared" ref="A3914:A3945" si="1611">"04-08-2020 12:56:11"</f>
        <v>04-08-2020 12:56:11</v>
      </c>
      <c r="B3914" t="str">
        <f>"0000807027"</f>
        <v>0000807027</v>
      </c>
      <c r="C3914" t="str">
        <f t="shared" ref="C3914:C3945" si="1612">"0000806987"</f>
        <v>0000806987</v>
      </c>
      <c r="D3914" t="str">
        <f t="shared" si="1598"/>
        <v>73185</v>
      </c>
      <c r="E3914" t="str">
        <f t="shared" si="1599"/>
        <v>KFH-OPERATIONS DEPARTMENT</v>
      </c>
      <c r="F3914" t="str">
        <f t="shared" si="1600"/>
        <v>IBG</v>
      </c>
      <c r="G3914" t="str">
        <f t="shared" si="1588"/>
        <v>Refund COSHARE 10</v>
      </c>
      <c r="H3914" s="2">
        <v>159.5</v>
      </c>
      <c r="I3914" t="str">
        <f>"MOHD FITRI BIN MUHAMAD"</f>
        <v>MOHD FITRI BIN MUHAMAD</v>
      </c>
      <c r="J3914" t="str">
        <f t="shared" si="1589"/>
        <v>MAYBANK / MAYBANK ISLAMIC</v>
      </c>
      <c r="K3914" t="str">
        <f>"162076604142"</f>
        <v>162076604142</v>
      </c>
      <c r="L3914" t="str">
        <f t="shared" si="1596"/>
        <v>04-08-2020</v>
      </c>
      <c r="M3914" t="str">
        <f t="shared" si="1596"/>
        <v>04-08-2020</v>
      </c>
      <c r="N3914" t="str">
        <f t="shared" si="1601"/>
        <v>001105018356</v>
      </c>
      <c r="O3914" t="str">
        <f t="shared" si="1602"/>
        <v>MYR</v>
      </c>
      <c r="P3914" t="str">
        <f t="shared" si="1597"/>
        <v>NIL</v>
      </c>
      <c r="Q3914" t="str">
        <f t="shared" si="1597"/>
        <v>NIL</v>
      </c>
      <c r="R3914" t="str">
        <f t="shared" si="1603"/>
        <v>Accepted</v>
      </c>
      <c r="S3914" t="str">
        <f t="shared" si="1604"/>
        <v>Approved</v>
      </c>
      <c r="T3914" t="str">
        <f t="shared" si="1605"/>
        <v>10.20.8.188</v>
      </c>
      <c r="U3914" t="str">
        <f t="shared" si="1606"/>
        <v>AZRAD UMAR BIN SHAARI</v>
      </c>
      <c r="V3914" t="str">
        <f t="shared" si="1607"/>
        <v>FARHANA BINTI MUSTAPA</v>
      </c>
      <c r="W3914" t="str">
        <f t="shared" si="1608"/>
        <v>04-08-2020</v>
      </c>
      <c r="X3914" t="str">
        <f t="shared" si="1609"/>
        <v>RAZIMAH ANSAR AHMAD</v>
      </c>
      <c r="Y3914" t="str">
        <f t="shared" si="1610"/>
        <v>04-08-2020</v>
      </c>
      <c r="Z3914" t="str">
        <f>"COS10200804 5640"</f>
        <v>COS10200804 5640</v>
      </c>
    </row>
    <row r="3915" spans="1:26" x14ac:dyDescent="0.25">
      <c r="A3915" t="str">
        <f t="shared" si="1611"/>
        <v>04-08-2020 12:56:11</v>
      </c>
      <c r="B3915" t="str">
        <f>"0000807026"</f>
        <v>0000807026</v>
      </c>
      <c r="C3915" t="str">
        <f t="shared" si="1612"/>
        <v>0000806987</v>
      </c>
      <c r="D3915" t="str">
        <f t="shared" si="1598"/>
        <v>73185</v>
      </c>
      <c r="E3915" t="str">
        <f t="shared" si="1599"/>
        <v>KFH-OPERATIONS DEPARTMENT</v>
      </c>
      <c r="F3915" t="str">
        <f t="shared" si="1600"/>
        <v>IBG</v>
      </c>
      <c r="G3915" t="str">
        <f t="shared" si="1588"/>
        <v>Refund COSHARE 10</v>
      </c>
      <c r="H3915" s="2">
        <v>209.9</v>
      </c>
      <c r="I3915" t="str">
        <f>"MOHD FITRI BIN ABDULLAH"</f>
        <v>MOHD FITRI BIN ABDULLAH</v>
      </c>
      <c r="J3915" t="str">
        <f t="shared" si="1589"/>
        <v>MAYBANK / MAYBANK ISLAMIC</v>
      </c>
      <c r="K3915" t="str">
        <f>"102120042238"</f>
        <v>102120042238</v>
      </c>
      <c r="L3915" t="str">
        <f t="shared" si="1596"/>
        <v>04-08-2020</v>
      </c>
      <c r="M3915" t="str">
        <f t="shared" si="1596"/>
        <v>04-08-2020</v>
      </c>
      <c r="N3915" t="str">
        <f t="shared" si="1601"/>
        <v>001105018356</v>
      </c>
      <c r="O3915" t="str">
        <f t="shared" si="1602"/>
        <v>MYR</v>
      </c>
      <c r="P3915" t="str">
        <f t="shared" si="1597"/>
        <v>NIL</v>
      </c>
      <c r="Q3915" t="str">
        <f t="shared" si="1597"/>
        <v>NIL</v>
      </c>
      <c r="R3915" t="str">
        <f t="shared" si="1603"/>
        <v>Accepted</v>
      </c>
      <c r="S3915" t="str">
        <f t="shared" si="1604"/>
        <v>Approved</v>
      </c>
      <c r="T3915" t="str">
        <f t="shared" si="1605"/>
        <v>10.20.8.188</v>
      </c>
      <c r="U3915" t="str">
        <f t="shared" si="1606"/>
        <v>AZRAD UMAR BIN SHAARI</v>
      </c>
      <c r="V3915" t="str">
        <f t="shared" si="1607"/>
        <v>FARHANA BINTI MUSTAPA</v>
      </c>
      <c r="W3915" t="str">
        <f t="shared" si="1608"/>
        <v>04-08-2020</v>
      </c>
      <c r="X3915" t="str">
        <f t="shared" si="1609"/>
        <v>RAZIMAH ANSAR AHMAD</v>
      </c>
      <c r="Y3915" t="str">
        <f t="shared" si="1610"/>
        <v>04-08-2020</v>
      </c>
      <c r="Z3915" t="str">
        <f>"COS10200804 5639"</f>
        <v>COS10200804 5639</v>
      </c>
    </row>
    <row r="3916" spans="1:26" x14ac:dyDescent="0.25">
      <c r="A3916" t="str">
        <f t="shared" si="1611"/>
        <v>04-08-2020 12:56:11</v>
      </c>
      <c r="B3916" t="str">
        <f>"0000807025"</f>
        <v>0000807025</v>
      </c>
      <c r="C3916" t="str">
        <f t="shared" si="1612"/>
        <v>0000806987</v>
      </c>
      <c r="D3916" t="str">
        <f t="shared" si="1598"/>
        <v>73185</v>
      </c>
      <c r="E3916" t="str">
        <f t="shared" si="1599"/>
        <v>KFH-OPERATIONS DEPARTMENT</v>
      </c>
      <c r="F3916" t="str">
        <f t="shared" si="1600"/>
        <v>IBG</v>
      </c>
      <c r="G3916" t="str">
        <f t="shared" ref="G3916:G3979" si="1613">"Refund COSHARE 10"</f>
        <v>Refund COSHARE 10</v>
      </c>
      <c r="H3916" s="2">
        <v>254.1</v>
      </c>
      <c r="I3916" t="str">
        <f>"MOHD FITRI BIN ABDUL AZIZ"</f>
        <v>MOHD FITRI BIN ABDUL AZIZ</v>
      </c>
      <c r="J3916" t="str">
        <f t="shared" si="1589"/>
        <v>MAYBANK / MAYBANK ISLAMIC</v>
      </c>
      <c r="K3916" t="str">
        <f>"164128593390"</f>
        <v>164128593390</v>
      </c>
      <c r="L3916" t="str">
        <f t="shared" si="1596"/>
        <v>04-08-2020</v>
      </c>
      <c r="M3916" t="str">
        <f t="shared" si="1596"/>
        <v>04-08-2020</v>
      </c>
      <c r="N3916" t="str">
        <f t="shared" si="1601"/>
        <v>001105018356</v>
      </c>
      <c r="O3916" t="str">
        <f t="shared" si="1602"/>
        <v>MYR</v>
      </c>
      <c r="P3916" t="str">
        <f t="shared" si="1597"/>
        <v>NIL</v>
      </c>
      <c r="Q3916" t="str">
        <f t="shared" si="1597"/>
        <v>NIL</v>
      </c>
      <c r="R3916" t="str">
        <f t="shared" si="1603"/>
        <v>Accepted</v>
      </c>
      <c r="S3916" t="str">
        <f t="shared" si="1604"/>
        <v>Approved</v>
      </c>
      <c r="T3916" t="str">
        <f t="shared" si="1605"/>
        <v>10.20.8.188</v>
      </c>
      <c r="U3916" t="str">
        <f t="shared" si="1606"/>
        <v>AZRAD UMAR BIN SHAARI</v>
      </c>
      <c r="V3916" t="str">
        <f t="shared" si="1607"/>
        <v>FARHANA BINTI MUSTAPA</v>
      </c>
      <c r="W3916" t="str">
        <f t="shared" si="1608"/>
        <v>04-08-2020</v>
      </c>
      <c r="X3916" t="str">
        <f t="shared" si="1609"/>
        <v>RAZIMAH ANSAR AHMAD</v>
      </c>
      <c r="Y3916" t="str">
        <f t="shared" si="1610"/>
        <v>04-08-2020</v>
      </c>
      <c r="Z3916" t="str">
        <f>"COS10200804 5638"</f>
        <v>COS10200804 5638</v>
      </c>
    </row>
    <row r="3917" spans="1:26" x14ac:dyDescent="0.25">
      <c r="A3917" t="str">
        <f t="shared" si="1611"/>
        <v>04-08-2020 12:56:11</v>
      </c>
      <c r="B3917" t="str">
        <f>"0000807024"</f>
        <v>0000807024</v>
      </c>
      <c r="C3917" t="str">
        <f t="shared" si="1612"/>
        <v>0000806987</v>
      </c>
      <c r="D3917" t="str">
        <f t="shared" si="1598"/>
        <v>73185</v>
      </c>
      <c r="E3917" t="str">
        <f t="shared" si="1599"/>
        <v>KFH-OPERATIONS DEPARTMENT</v>
      </c>
      <c r="F3917" t="str">
        <f t="shared" si="1600"/>
        <v>IBG</v>
      </c>
      <c r="G3917" t="str">
        <f t="shared" si="1613"/>
        <v>Refund COSHARE 10</v>
      </c>
      <c r="H3917" s="2">
        <v>394.6</v>
      </c>
      <c r="I3917" t="str">
        <f>"MOHD FIRDAUS BIN SHUIB"</f>
        <v>MOHD FIRDAUS BIN SHUIB</v>
      </c>
      <c r="J3917" t="str">
        <f t="shared" si="1589"/>
        <v>MAYBANK / MAYBANK ISLAMIC</v>
      </c>
      <c r="K3917" t="str">
        <f>"152170026013"</f>
        <v>152170026013</v>
      </c>
      <c r="L3917" t="str">
        <f t="shared" si="1596"/>
        <v>04-08-2020</v>
      </c>
      <c r="M3917" t="str">
        <f t="shared" si="1596"/>
        <v>04-08-2020</v>
      </c>
      <c r="N3917" t="str">
        <f t="shared" si="1601"/>
        <v>001105018356</v>
      </c>
      <c r="O3917" t="str">
        <f t="shared" si="1602"/>
        <v>MYR</v>
      </c>
      <c r="P3917" t="str">
        <f t="shared" si="1597"/>
        <v>NIL</v>
      </c>
      <c r="Q3917" t="str">
        <f t="shared" si="1597"/>
        <v>NIL</v>
      </c>
      <c r="R3917" t="str">
        <f t="shared" si="1603"/>
        <v>Accepted</v>
      </c>
      <c r="S3917" t="str">
        <f t="shared" si="1604"/>
        <v>Approved</v>
      </c>
      <c r="T3917" t="str">
        <f t="shared" si="1605"/>
        <v>10.20.8.188</v>
      </c>
      <c r="U3917" t="str">
        <f t="shared" si="1606"/>
        <v>AZRAD UMAR BIN SHAARI</v>
      </c>
      <c r="V3917" t="str">
        <f t="shared" si="1607"/>
        <v>FARHANA BINTI MUSTAPA</v>
      </c>
      <c r="W3917" t="str">
        <f t="shared" si="1608"/>
        <v>04-08-2020</v>
      </c>
      <c r="X3917" t="str">
        <f t="shared" si="1609"/>
        <v>RAZIMAH ANSAR AHMAD</v>
      </c>
      <c r="Y3917" t="str">
        <f t="shared" si="1610"/>
        <v>04-08-2020</v>
      </c>
      <c r="Z3917" t="str">
        <f>"COS10200804 5637"</f>
        <v>COS10200804 5637</v>
      </c>
    </row>
    <row r="3918" spans="1:26" x14ac:dyDescent="0.25">
      <c r="A3918" t="str">
        <f t="shared" si="1611"/>
        <v>04-08-2020 12:56:11</v>
      </c>
      <c r="B3918" t="str">
        <f>"0000807023"</f>
        <v>0000807023</v>
      </c>
      <c r="C3918" t="str">
        <f t="shared" si="1612"/>
        <v>0000806987</v>
      </c>
      <c r="D3918" t="str">
        <f t="shared" si="1598"/>
        <v>73185</v>
      </c>
      <c r="E3918" t="str">
        <f t="shared" si="1599"/>
        <v>KFH-OPERATIONS DEPARTMENT</v>
      </c>
      <c r="F3918" t="str">
        <f t="shared" si="1600"/>
        <v>IBG</v>
      </c>
      <c r="G3918" t="str">
        <f t="shared" si="1613"/>
        <v>Refund COSHARE 10</v>
      </c>
      <c r="H3918" s="2">
        <v>1066.1500000000001</v>
      </c>
      <c r="I3918" t="str">
        <f>"MOHD FIRDAUS BIN MOKHTAR"</f>
        <v>MOHD FIRDAUS BIN MOKHTAR</v>
      </c>
      <c r="J3918" t="str">
        <f t="shared" si="1589"/>
        <v>MAYBANK / MAYBANK ISLAMIC</v>
      </c>
      <c r="K3918" t="str">
        <f>"164856007150"</f>
        <v>164856007150</v>
      </c>
      <c r="L3918" t="str">
        <f t="shared" si="1596"/>
        <v>04-08-2020</v>
      </c>
      <c r="M3918" t="str">
        <f t="shared" si="1596"/>
        <v>04-08-2020</v>
      </c>
      <c r="N3918" t="str">
        <f t="shared" si="1601"/>
        <v>001105018356</v>
      </c>
      <c r="O3918" t="str">
        <f t="shared" si="1602"/>
        <v>MYR</v>
      </c>
      <c r="P3918" t="str">
        <f t="shared" si="1597"/>
        <v>NIL</v>
      </c>
      <c r="Q3918" t="str">
        <f t="shared" si="1597"/>
        <v>NIL</v>
      </c>
      <c r="R3918" t="str">
        <f t="shared" si="1603"/>
        <v>Accepted</v>
      </c>
      <c r="S3918" t="str">
        <f t="shared" si="1604"/>
        <v>Approved</v>
      </c>
      <c r="T3918" t="str">
        <f t="shared" si="1605"/>
        <v>10.20.8.188</v>
      </c>
      <c r="U3918" t="str">
        <f t="shared" si="1606"/>
        <v>AZRAD UMAR BIN SHAARI</v>
      </c>
      <c r="V3918" t="str">
        <f t="shared" si="1607"/>
        <v>FARHANA BINTI MUSTAPA</v>
      </c>
      <c r="W3918" t="str">
        <f t="shared" si="1608"/>
        <v>04-08-2020</v>
      </c>
      <c r="X3918" t="str">
        <f t="shared" si="1609"/>
        <v>RAZIMAH ANSAR AHMAD</v>
      </c>
      <c r="Y3918" t="str">
        <f t="shared" si="1610"/>
        <v>04-08-2020</v>
      </c>
      <c r="Z3918" t="str">
        <f>"COS10200804 5636"</f>
        <v>COS10200804 5636</v>
      </c>
    </row>
    <row r="3919" spans="1:26" x14ac:dyDescent="0.25">
      <c r="A3919" t="str">
        <f t="shared" si="1611"/>
        <v>04-08-2020 12:56:11</v>
      </c>
      <c r="B3919" t="str">
        <f>"0000807022"</f>
        <v>0000807022</v>
      </c>
      <c r="C3919" t="str">
        <f t="shared" si="1612"/>
        <v>0000806987</v>
      </c>
      <c r="D3919" t="str">
        <f t="shared" si="1598"/>
        <v>73185</v>
      </c>
      <c r="E3919" t="str">
        <f t="shared" si="1599"/>
        <v>KFH-OPERATIONS DEPARTMENT</v>
      </c>
      <c r="F3919" t="str">
        <f t="shared" si="1600"/>
        <v>IBG</v>
      </c>
      <c r="G3919" t="str">
        <f t="shared" si="1613"/>
        <v>Refund COSHARE 10</v>
      </c>
      <c r="H3919" s="2">
        <v>911</v>
      </c>
      <c r="I3919" t="str">
        <f>"MOHD FIRDAUS BIN MOHAMAD ALI"</f>
        <v>MOHD FIRDAUS BIN MOHAMAD ALI</v>
      </c>
      <c r="J3919" t="str">
        <f t="shared" si="1589"/>
        <v>MAYBANK / MAYBANK ISLAMIC</v>
      </c>
      <c r="K3919" t="str">
        <f>"151155716719"</f>
        <v>151155716719</v>
      </c>
      <c r="L3919" t="str">
        <f t="shared" si="1596"/>
        <v>04-08-2020</v>
      </c>
      <c r="M3919" t="str">
        <f t="shared" si="1596"/>
        <v>04-08-2020</v>
      </c>
      <c r="N3919" t="str">
        <f t="shared" si="1601"/>
        <v>001105018356</v>
      </c>
      <c r="O3919" t="str">
        <f t="shared" si="1602"/>
        <v>MYR</v>
      </c>
      <c r="P3919" t="str">
        <f t="shared" si="1597"/>
        <v>NIL</v>
      </c>
      <c r="Q3919" t="str">
        <f t="shared" si="1597"/>
        <v>NIL</v>
      </c>
      <c r="R3919" t="str">
        <f t="shared" si="1603"/>
        <v>Accepted</v>
      </c>
      <c r="S3919" t="str">
        <f t="shared" si="1604"/>
        <v>Approved</v>
      </c>
      <c r="T3919" t="str">
        <f t="shared" si="1605"/>
        <v>10.20.8.188</v>
      </c>
      <c r="U3919" t="str">
        <f t="shared" si="1606"/>
        <v>AZRAD UMAR BIN SHAARI</v>
      </c>
      <c r="V3919" t="str">
        <f t="shared" si="1607"/>
        <v>FARHANA BINTI MUSTAPA</v>
      </c>
      <c r="W3919" t="str">
        <f t="shared" si="1608"/>
        <v>04-08-2020</v>
      </c>
      <c r="X3919" t="str">
        <f t="shared" si="1609"/>
        <v>RAZIMAH ANSAR AHMAD</v>
      </c>
      <c r="Y3919" t="str">
        <f t="shared" si="1610"/>
        <v>04-08-2020</v>
      </c>
      <c r="Z3919" t="str">
        <f>"COS10200804 5635"</f>
        <v>COS10200804 5635</v>
      </c>
    </row>
    <row r="3920" spans="1:26" x14ac:dyDescent="0.25">
      <c r="A3920" t="str">
        <f t="shared" si="1611"/>
        <v>04-08-2020 12:56:11</v>
      </c>
      <c r="B3920" t="str">
        <f>"0000807021"</f>
        <v>0000807021</v>
      </c>
      <c r="C3920" t="str">
        <f t="shared" si="1612"/>
        <v>0000806987</v>
      </c>
      <c r="D3920" t="str">
        <f t="shared" si="1598"/>
        <v>73185</v>
      </c>
      <c r="E3920" t="str">
        <f t="shared" si="1599"/>
        <v>KFH-OPERATIONS DEPARTMENT</v>
      </c>
      <c r="F3920" t="str">
        <f t="shared" si="1600"/>
        <v>IBG</v>
      </c>
      <c r="G3920" t="str">
        <f t="shared" si="1613"/>
        <v>Refund COSHARE 10</v>
      </c>
      <c r="H3920" s="2">
        <v>613</v>
      </c>
      <c r="I3920" t="str">
        <f>"MOHD FIRDAUS BIN LATIF"</f>
        <v>MOHD FIRDAUS BIN LATIF</v>
      </c>
      <c r="J3920" t="str">
        <f t="shared" si="1589"/>
        <v>MAYBANK / MAYBANK ISLAMIC</v>
      </c>
      <c r="K3920" t="str">
        <f>"101124201635"</f>
        <v>101124201635</v>
      </c>
      <c r="L3920" t="str">
        <f t="shared" si="1596"/>
        <v>04-08-2020</v>
      </c>
      <c r="M3920" t="str">
        <f t="shared" si="1596"/>
        <v>04-08-2020</v>
      </c>
      <c r="N3920" t="str">
        <f t="shared" si="1601"/>
        <v>001105018356</v>
      </c>
      <c r="O3920" t="str">
        <f t="shared" si="1602"/>
        <v>MYR</v>
      </c>
      <c r="P3920" t="str">
        <f t="shared" si="1597"/>
        <v>NIL</v>
      </c>
      <c r="Q3920" t="str">
        <f t="shared" si="1597"/>
        <v>NIL</v>
      </c>
      <c r="R3920" t="str">
        <f t="shared" si="1603"/>
        <v>Accepted</v>
      </c>
      <c r="S3920" t="str">
        <f t="shared" si="1604"/>
        <v>Approved</v>
      </c>
      <c r="T3920" t="str">
        <f t="shared" si="1605"/>
        <v>10.20.8.188</v>
      </c>
      <c r="U3920" t="str">
        <f t="shared" si="1606"/>
        <v>AZRAD UMAR BIN SHAARI</v>
      </c>
      <c r="V3920" t="str">
        <f t="shared" si="1607"/>
        <v>FARHANA BINTI MUSTAPA</v>
      </c>
      <c r="W3920" t="str">
        <f t="shared" si="1608"/>
        <v>04-08-2020</v>
      </c>
      <c r="X3920" t="str">
        <f t="shared" si="1609"/>
        <v>RAZIMAH ANSAR AHMAD</v>
      </c>
      <c r="Y3920" t="str">
        <f t="shared" si="1610"/>
        <v>04-08-2020</v>
      </c>
      <c r="Z3920" t="str">
        <f>"COS10200804 5634"</f>
        <v>COS10200804 5634</v>
      </c>
    </row>
    <row r="3921" spans="1:26" x14ac:dyDescent="0.25">
      <c r="A3921" t="str">
        <f t="shared" si="1611"/>
        <v>04-08-2020 12:56:11</v>
      </c>
      <c r="B3921" t="str">
        <f>"0000807020"</f>
        <v>0000807020</v>
      </c>
      <c r="C3921" t="str">
        <f t="shared" si="1612"/>
        <v>0000806987</v>
      </c>
      <c r="D3921" t="str">
        <f t="shared" si="1598"/>
        <v>73185</v>
      </c>
      <c r="E3921" t="str">
        <f t="shared" si="1599"/>
        <v>KFH-OPERATIONS DEPARTMENT</v>
      </c>
      <c r="F3921" t="str">
        <f t="shared" si="1600"/>
        <v>IBG</v>
      </c>
      <c r="G3921" t="str">
        <f t="shared" si="1613"/>
        <v>Refund COSHARE 10</v>
      </c>
      <c r="H3921" s="2">
        <v>1217.3</v>
      </c>
      <c r="I3921" t="str">
        <f>"MOHD FIRDAUS BIN ABU SEMAN"</f>
        <v>MOHD FIRDAUS BIN ABU SEMAN</v>
      </c>
      <c r="J3921" t="str">
        <f t="shared" ref="J3921:J3984" si="1614">"MAYBANK / MAYBANK ISLAMIC"</f>
        <v>MAYBANK / MAYBANK ISLAMIC</v>
      </c>
      <c r="K3921" t="str">
        <f>"164034241166"</f>
        <v>164034241166</v>
      </c>
      <c r="L3921" t="str">
        <f t="shared" si="1596"/>
        <v>04-08-2020</v>
      </c>
      <c r="M3921" t="str">
        <f t="shared" si="1596"/>
        <v>04-08-2020</v>
      </c>
      <c r="N3921" t="str">
        <f t="shared" si="1601"/>
        <v>001105018356</v>
      </c>
      <c r="O3921" t="str">
        <f t="shared" si="1602"/>
        <v>MYR</v>
      </c>
      <c r="P3921" t="str">
        <f t="shared" si="1597"/>
        <v>NIL</v>
      </c>
      <c r="Q3921" t="str">
        <f t="shared" si="1597"/>
        <v>NIL</v>
      </c>
      <c r="R3921" t="str">
        <f t="shared" si="1603"/>
        <v>Accepted</v>
      </c>
      <c r="S3921" t="str">
        <f t="shared" si="1604"/>
        <v>Approved</v>
      </c>
      <c r="T3921" t="str">
        <f t="shared" si="1605"/>
        <v>10.20.8.188</v>
      </c>
      <c r="U3921" t="str">
        <f t="shared" si="1606"/>
        <v>AZRAD UMAR BIN SHAARI</v>
      </c>
      <c r="V3921" t="str">
        <f t="shared" si="1607"/>
        <v>FARHANA BINTI MUSTAPA</v>
      </c>
      <c r="W3921" t="str">
        <f t="shared" si="1608"/>
        <v>04-08-2020</v>
      </c>
      <c r="X3921" t="str">
        <f t="shared" si="1609"/>
        <v>RAZIMAH ANSAR AHMAD</v>
      </c>
      <c r="Y3921" t="str">
        <f t="shared" si="1610"/>
        <v>04-08-2020</v>
      </c>
      <c r="Z3921" t="str">
        <f>"COS10200804 5633"</f>
        <v>COS10200804 5633</v>
      </c>
    </row>
    <row r="3922" spans="1:26" x14ac:dyDescent="0.25">
      <c r="A3922" t="str">
        <f t="shared" si="1611"/>
        <v>04-08-2020 12:56:11</v>
      </c>
      <c r="B3922" t="str">
        <f>"0000807019"</f>
        <v>0000807019</v>
      </c>
      <c r="C3922" t="str">
        <f t="shared" si="1612"/>
        <v>0000806987</v>
      </c>
      <c r="D3922" t="str">
        <f t="shared" si="1598"/>
        <v>73185</v>
      </c>
      <c r="E3922" t="str">
        <f t="shared" si="1599"/>
        <v>KFH-OPERATIONS DEPARTMENT</v>
      </c>
      <c r="F3922" t="str">
        <f t="shared" si="1600"/>
        <v>IBG</v>
      </c>
      <c r="G3922" t="str">
        <f t="shared" si="1613"/>
        <v>Refund COSHARE 10</v>
      </c>
      <c r="H3922" s="2">
        <v>772.35</v>
      </c>
      <c r="I3922" t="str">
        <f>"MOHD FIKRI BIN CHE HUSSAIN"</f>
        <v>MOHD FIKRI BIN CHE HUSSAIN</v>
      </c>
      <c r="J3922" t="str">
        <f t="shared" si="1614"/>
        <v>MAYBANK / MAYBANK ISLAMIC</v>
      </c>
      <c r="K3922" t="str">
        <f>"106053021611"</f>
        <v>106053021611</v>
      </c>
      <c r="L3922" t="str">
        <f t="shared" si="1596"/>
        <v>04-08-2020</v>
      </c>
      <c r="M3922" t="str">
        <f t="shared" si="1596"/>
        <v>04-08-2020</v>
      </c>
      <c r="N3922" t="str">
        <f t="shared" si="1601"/>
        <v>001105018356</v>
      </c>
      <c r="O3922" t="str">
        <f t="shared" si="1602"/>
        <v>MYR</v>
      </c>
      <c r="P3922" t="str">
        <f t="shared" si="1597"/>
        <v>NIL</v>
      </c>
      <c r="Q3922" t="str">
        <f t="shared" si="1597"/>
        <v>NIL</v>
      </c>
      <c r="R3922" t="str">
        <f t="shared" si="1603"/>
        <v>Accepted</v>
      </c>
      <c r="S3922" t="str">
        <f t="shared" si="1604"/>
        <v>Approved</v>
      </c>
      <c r="T3922" t="str">
        <f t="shared" si="1605"/>
        <v>10.20.8.188</v>
      </c>
      <c r="U3922" t="str">
        <f t="shared" si="1606"/>
        <v>AZRAD UMAR BIN SHAARI</v>
      </c>
      <c r="V3922" t="str">
        <f t="shared" si="1607"/>
        <v>FARHANA BINTI MUSTAPA</v>
      </c>
      <c r="W3922" t="str">
        <f t="shared" si="1608"/>
        <v>04-08-2020</v>
      </c>
      <c r="X3922" t="str">
        <f t="shared" si="1609"/>
        <v>RAZIMAH ANSAR AHMAD</v>
      </c>
      <c r="Y3922" t="str">
        <f t="shared" si="1610"/>
        <v>04-08-2020</v>
      </c>
      <c r="Z3922" t="str">
        <f>"COS10200804 5632"</f>
        <v>COS10200804 5632</v>
      </c>
    </row>
    <row r="3923" spans="1:26" x14ac:dyDescent="0.25">
      <c r="A3923" t="str">
        <f t="shared" si="1611"/>
        <v>04-08-2020 12:56:11</v>
      </c>
      <c r="B3923" t="str">
        <f>"0000807018"</f>
        <v>0000807018</v>
      </c>
      <c r="C3923" t="str">
        <f t="shared" si="1612"/>
        <v>0000806987</v>
      </c>
      <c r="D3923" t="str">
        <f t="shared" si="1598"/>
        <v>73185</v>
      </c>
      <c r="E3923" t="str">
        <f t="shared" si="1599"/>
        <v>KFH-OPERATIONS DEPARTMENT</v>
      </c>
      <c r="F3923" t="str">
        <f t="shared" si="1600"/>
        <v>IBG</v>
      </c>
      <c r="G3923" t="str">
        <f t="shared" si="1613"/>
        <v>Refund COSHARE 10</v>
      </c>
      <c r="H3923" s="2">
        <v>167.9</v>
      </c>
      <c r="I3923" t="str">
        <f>"MOHD FIDREE HAIZI B MOHAMED REHAN  AZIZ"</f>
        <v>MOHD FIDREE HAIZI B MOHAMED REHAN  AZIZ</v>
      </c>
      <c r="J3923" t="str">
        <f t="shared" si="1614"/>
        <v>MAYBANK / MAYBANK ISLAMIC</v>
      </c>
      <c r="K3923" t="str">
        <f>"101302061542"</f>
        <v>101302061542</v>
      </c>
      <c r="L3923" t="str">
        <f t="shared" si="1596"/>
        <v>04-08-2020</v>
      </c>
      <c r="M3923" t="str">
        <f t="shared" si="1596"/>
        <v>04-08-2020</v>
      </c>
      <c r="N3923" t="str">
        <f t="shared" si="1601"/>
        <v>001105018356</v>
      </c>
      <c r="O3923" t="str">
        <f t="shared" si="1602"/>
        <v>MYR</v>
      </c>
      <c r="P3923" t="str">
        <f t="shared" si="1597"/>
        <v>NIL</v>
      </c>
      <c r="Q3923" t="str">
        <f t="shared" si="1597"/>
        <v>NIL</v>
      </c>
      <c r="R3923" t="str">
        <f t="shared" si="1603"/>
        <v>Accepted</v>
      </c>
      <c r="S3923" t="str">
        <f t="shared" si="1604"/>
        <v>Approved</v>
      </c>
      <c r="T3923" t="str">
        <f t="shared" si="1605"/>
        <v>10.20.8.188</v>
      </c>
      <c r="U3923" t="str">
        <f t="shared" si="1606"/>
        <v>AZRAD UMAR BIN SHAARI</v>
      </c>
      <c r="V3923" t="str">
        <f t="shared" si="1607"/>
        <v>FARHANA BINTI MUSTAPA</v>
      </c>
      <c r="W3923" t="str">
        <f t="shared" si="1608"/>
        <v>04-08-2020</v>
      </c>
      <c r="X3923" t="str">
        <f t="shared" si="1609"/>
        <v>RAZIMAH ANSAR AHMAD</v>
      </c>
      <c r="Y3923" t="str">
        <f t="shared" si="1610"/>
        <v>04-08-2020</v>
      </c>
      <c r="Z3923" t="str">
        <f>"COS10200804 5631"</f>
        <v>COS10200804 5631</v>
      </c>
    </row>
    <row r="3924" spans="1:26" x14ac:dyDescent="0.25">
      <c r="A3924" t="str">
        <f t="shared" si="1611"/>
        <v>04-08-2020 12:56:11</v>
      </c>
      <c r="B3924" t="str">
        <f>"0000807017"</f>
        <v>0000807017</v>
      </c>
      <c r="C3924" t="str">
        <f t="shared" si="1612"/>
        <v>0000806987</v>
      </c>
      <c r="D3924" t="str">
        <f t="shared" si="1598"/>
        <v>73185</v>
      </c>
      <c r="E3924" t="str">
        <f t="shared" si="1599"/>
        <v>KFH-OPERATIONS DEPARTMENT</v>
      </c>
      <c r="F3924" t="str">
        <f t="shared" si="1600"/>
        <v>IBG</v>
      </c>
      <c r="G3924" t="str">
        <f t="shared" si="1613"/>
        <v>Refund COSHARE 10</v>
      </c>
      <c r="H3924" s="2">
        <v>671.6</v>
      </c>
      <c r="I3924" t="str">
        <f>"MOHD FHARID BIN SAIDU"</f>
        <v>MOHD FHARID BIN SAIDU</v>
      </c>
      <c r="J3924" t="str">
        <f t="shared" si="1614"/>
        <v>MAYBANK / MAYBANK ISLAMIC</v>
      </c>
      <c r="K3924" t="str">
        <f>"162030006294"</f>
        <v>162030006294</v>
      </c>
      <c r="L3924" t="str">
        <f t="shared" si="1596"/>
        <v>04-08-2020</v>
      </c>
      <c r="M3924" t="str">
        <f t="shared" si="1596"/>
        <v>04-08-2020</v>
      </c>
      <c r="N3924" t="str">
        <f t="shared" si="1601"/>
        <v>001105018356</v>
      </c>
      <c r="O3924" t="str">
        <f t="shared" si="1602"/>
        <v>MYR</v>
      </c>
      <c r="P3924" t="str">
        <f t="shared" si="1597"/>
        <v>NIL</v>
      </c>
      <c r="Q3924" t="str">
        <f t="shared" si="1597"/>
        <v>NIL</v>
      </c>
      <c r="R3924" t="str">
        <f t="shared" si="1603"/>
        <v>Accepted</v>
      </c>
      <c r="S3924" t="str">
        <f t="shared" si="1604"/>
        <v>Approved</v>
      </c>
      <c r="T3924" t="str">
        <f t="shared" si="1605"/>
        <v>10.20.8.188</v>
      </c>
      <c r="U3924" t="str">
        <f t="shared" si="1606"/>
        <v>AZRAD UMAR BIN SHAARI</v>
      </c>
      <c r="V3924" t="str">
        <f t="shared" si="1607"/>
        <v>FARHANA BINTI MUSTAPA</v>
      </c>
      <c r="W3924" t="str">
        <f t="shared" si="1608"/>
        <v>04-08-2020</v>
      </c>
      <c r="X3924" t="str">
        <f t="shared" si="1609"/>
        <v>RAZIMAH ANSAR AHMAD</v>
      </c>
      <c r="Y3924" t="str">
        <f t="shared" si="1610"/>
        <v>04-08-2020</v>
      </c>
      <c r="Z3924" t="str">
        <f>"COS10200804 5630"</f>
        <v>COS10200804 5630</v>
      </c>
    </row>
    <row r="3925" spans="1:26" x14ac:dyDescent="0.25">
      <c r="A3925" t="str">
        <f t="shared" si="1611"/>
        <v>04-08-2020 12:56:11</v>
      </c>
      <c r="B3925" t="str">
        <f>"0000807016"</f>
        <v>0000807016</v>
      </c>
      <c r="C3925" t="str">
        <f t="shared" si="1612"/>
        <v>0000806987</v>
      </c>
      <c r="D3925" t="str">
        <f t="shared" si="1598"/>
        <v>73185</v>
      </c>
      <c r="E3925" t="str">
        <f t="shared" si="1599"/>
        <v>KFH-OPERATIONS DEPARTMENT</v>
      </c>
      <c r="F3925" t="str">
        <f t="shared" si="1600"/>
        <v>IBG</v>
      </c>
      <c r="G3925" t="str">
        <f t="shared" si="1613"/>
        <v>Refund COSHARE 10</v>
      </c>
      <c r="H3925" s="2">
        <v>587.65</v>
      </c>
      <c r="I3925" t="str">
        <f>"MOHD FERDAUS BIN ISMAIL"</f>
        <v>MOHD FERDAUS BIN ISMAIL</v>
      </c>
      <c r="J3925" t="str">
        <f t="shared" si="1614"/>
        <v>MAYBANK / MAYBANK ISLAMIC</v>
      </c>
      <c r="K3925" t="str">
        <f>"157139105357"</f>
        <v>157139105357</v>
      </c>
      <c r="L3925" t="str">
        <f t="shared" si="1596"/>
        <v>04-08-2020</v>
      </c>
      <c r="M3925" t="str">
        <f t="shared" si="1596"/>
        <v>04-08-2020</v>
      </c>
      <c r="N3925" t="str">
        <f t="shared" si="1601"/>
        <v>001105018356</v>
      </c>
      <c r="O3925" t="str">
        <f t="shared" si="1602"/>
        <v>MYR</v>
      </c>
      <c r="P3925" t="str">
        <f t="shared" si="1597"/>
        <v>NIL</v>
      </c>
      <c r="Q3925" t="str">
        <f t="shared" si="1597"/>
        <v>NIL</v>
      </c>
      <c r="R3925" t="str">
        <f t="shared" si="1603"/>
        <v>Accepted</v>
      </c>
      <c r="S3925" t="str">
        <f t="shared" si="1604"/>
        <v>Approved</v>
      </c>
      <c r="T3925" t="str">
        <f t="shared" si="1605"/>
        <v>10.20.8.188</v>
      </c>
      <c r="U3925" t="str">
        <f t="shared" si="1606"/>
        <v>AZRAD UMAR BIN SHAARI</v>
      </c>
      <c r="V3925" t="str">
        <f t="shared" si="1607"/>
        <v>FARHANA BINTI MUSTAPA</v>
      </c>
      <c r="W3925" t="str">
        <f t="shared" si="1608"/>
        <v>04-08-2020</v>
      </c>
      <c r="X3925" t="str">
        <f t="shared" si="1609"/>
        <v>RAZIMAH ANSAR AHMAD</v>
      </c>
      <c r="Y3925" t="str">
        <f t="shared" si="1610"/>
        <v>04-08-2020</v>
      </c>
      <c r="Z3925" t="str">
        <f>"COS10200804 5629"</f>
        <v>COS10200804 5629</v>
      </c>
    </row>
    <row r="3926" spans="1:26" x14ac:dyDescent="0.25">
      <c r="A3926" t="str">
        <f t="shared" si="1611"/>
        <v>04-08-2020 12:56:11</v>
      </c>
      <c r="B3926" t="str">
        <f>"0000807015"</f>
        <v>0000807015</v>
      </c>
      <c r="C3926" t="str">
        <f t="shared" si="1612"/>
        <v>0000806987</v>
      </c>
      <c r="D3926" t="str">
        <f t="shared" si="1598"/>
        <v>73185</v>
      </c>
      <c r="E3926" t="str">
        <f t="shared" si="1599"/>
        <v>KFH-OPERATIONS DEPARTMENT</v>
      </c>
      <c r="F3926" t="str">
        <f t="shared" si="1600"/>
        <v>IBG</v>
      </c>
      <c r="G3926" t="str">
        <f t="shared" si="1613"/>
        <v>Refund COSHARE 10</v>
      </c>
      <c r="H3926" s="2">
        <v>335.8</v>
      </c>
      <c r="I3926" t="str">
        <f>"MOHD FAZLI BIN LONG"</f>
        <v>MOHD FAZLI BIN LONG</v>
      </c>
      <c r="J3926" t="str">
        <f t="shared" si="1614"/>
        <v>MAYBANK / MAYBANK ISLAMIC</v>
      </c>
      <c r="K3926" t="str">
        <f>"162450078000"</f>
        <v>162450078000</v>
      </c>
      <c r="L3926" t="str">
        <f t="shared" si="1596"/>
        <v>04-08-2020</v>
      </c>
      <c r="M3926" t="str">
        <f t="shared" si="1596"/>
        <v>04-08-2020</v>
      </c>
      <c r="N3926" t="str">
        <f t="shared" si="1601"/>
        <v>001105018356</v>
      </c>
      <c r="O3926" t="str">
        <f t="shared" si="1602"/>
        <v>MYR</v>
      </c>
      <c r="P3926" t="str">
        <f t="shared" si="1597"/>
        <v>NIL</v>
      </c>
      <c r="Q3926" t="str">
        <f t="shared" si="1597"/>
        <v>NIL</v>
      </c>
      <c r="R3926" t="str">
        <f t="shared" si="1603"/>
        <v>Accepted</v>
      </c>
      <c r="S3926" t="str">
        <f t="shared" si="1604"/>
        <v>Approved</v>
      </c>
      <c r="T3926" t="str">
        <f t="shared" si="1605"/>
        <v>10.20.8.188</v>
      </c>
      <c r="U3926" t="str">
        <f t="shared" si="1606"/>
        <v>AZRAD UMAR BIN SHAARI</v>
      </c>
      <c r="V3926" t="str">
        <f t="shared" si="1607"/>
        <v>FARHANA BINTI MUSTAPA</v>
      </c>
      <c r="W3926" t="str">
        <f t="shared" si="1608"/>
        <v>04-08-2020</v>
      </c>
      <c r="X3926" t="str">
        <f t="shared" si="1609"/>
        <v>RAZIMAH ANSAR AHMAD</v>
      </c>
      <c r="Y3926" t="str">
        <f t="shared" si="1610"/>
        <v>04-08-2020</v>
      </c>
      <c r="Z3926" t="str">
        <f>"COS10200804 5628"</f>
        <v>COS10200804 5628</v>
      </c>
    </row>
    <row r="3927" spans="1:26" x14ac:dyDescent="0.25">
      <c r="A3927" t="str">
        <f t="shared" si="1611"/>
        <v>04-08-2020 12:56:11</v>
      </c>
      <c r="B3927" t="str">
        <f>"0000807014"</f>
        <v>0000807014</v>
      </c>
      <c r="C3927" t="str">
        <f t="shared" si="1612"/>
        <v>0000806987</v>
      </c>
      <c r="D3927" t="str">
        <f t="shared" si="1598"/>
        <v>73185</v>
      </c>
      <c r="E3927" t="str">
        <f t="shared" si="1599"/>
        <v>KFH-OPERATIONS DEPARTMENT</v>
      </c>
      <c r="F3927" t="str">
        <f t="shared" si="1600"/>
        <v>IBG</v>
      </c>
      <c r="G3927" t="str">
        <f t="shared" si="1613"/>
        <v>Refund COSHARE 10</v>
      </c>
      <c r="H3927" s="2">
        <v>419.75</v>
      </c>
      <c r="I3927" t="str">
        <f>"MOHD FAZIZI SHAH BIN NASIR"</f>
        <v>MOHD FAZIZI SHAH BIN NASIR</v>
      </c>
      <c r="J3927" t="str">
        <f t="shared" si="1614"/>
        <v>MAYBANK / MAYBANK ISLAMIC</v>
      </c>
      <c r="K3927" t="str">
        <f>"151593064216"</f>
        <v>151593064216</v>
      </c>
      <c r="L3927" t="str">
        <f t="shared" ref="L3927:M3946" si="1615">"04-08-2020"</f>
        <v>04-08-2020</v>
      </c>
      <c r="M3927" t="str">
        <f t="shared" si="1615"/>
        <v>04-08-2020</v>
      </c>
      <c r="N3927" t="str">
        <f t="shared" si="1601"/>
        <v>001105018356</v>
      </c>
      <c r="O3927" t="str">
        <f t="shared" si="1602"/>
        <v>MYR</v>
      </c>
      <c r="P3927" t="str">
        <f t="shared" ref="P3927:Q3946" si="1616">"NIL"</f>
        <v>NIL</v>
      </c>
      <c r="Q3927" t="str">
        <f t="shared" si="1616"/>
        <v>NIL</v>
      </c>
      <c r="R3927" t="str">
        <f t="shared" si="1603"/>
        <v>Accepted</v>
      </c>
      <c r="S3927" t="str">
        <f t="shared" si="1604"/>
        <v>Approved</v>
      </c>
      <c r="T3927" t="str">
        <f t="shared" si="1605"/>
        <v>10.20.8.188</v>
      </c>
      <c r="U3927" t="str">
        <f t="shared" si="1606"/>
        <v>AZRAD UMAR BIN SHAARI</v>
      </c>
      <c r="V3927" t="str">
        <f t="shared" si="1607"/>
        <v>FARHANA BINTI MUSTAPA</v>
      </c>
      <c r="W3927" t="str">
        <f t="shared" si="1608"/>
        <v>04-08-2020</v>
      </c>
      <c r="X3927" t="str">
        <f t="shared" si="1609"/>
        <v>RAZIMAH ANSAR AHMAD</v>
      </c>
      <c r="Y3927" t="str">
        <f t="shared" si="1610"/>
        <v>04-08-2020</v>
      </c>
      <c r="Z3927" t="str">
        <f>"COS10200804 5627"</f>
        <v>COS10200804 5627</v>
      </c>
    </row>
    <row r="3928" spans="1:26" x14ac:dyDescent="0.25">
      <c r="A3928" t="str">
        <f t="shared" si="1611"/>
        <v>04-08-2020 12:56:11</v>
      </c>
      <c r="B3928" t="str">
        <f>"0000807013"</f>
        <v>0000807013</v>
      </c>
      <c r="C3928" t="str">
        <f t="shared" si="1612"/>
        <v>0000806987</v>
      </c>
      <c r="D3928" t="str">
        <f t="shared" si="1598"/>
        <v>73185</v>
      </c>
      <c r="E3928" t="str">
        <f t="shared" si="1599"/>
        <v>KFH-OPERATIONS DEPARTMENT</v>
      </c>
      <c r="F3928" t="str">
        <f t="shared" si="1600"/>
        <v>IBG</v>
      </c>
      <c r="G3928" t="str">
        <f t="shared" si="1613"/>
        <v>Refund COSHARE 10</v>
      </c>
      <c r="H3928" s="2">
        <v>1259.25</v>
      </c>
      <c r="I3928" t="str">
        <f>"MOHD FAZIL BIN KIPNIH"</f>
        <v>MOHD FAZIL BIN KIPNIH</v>
      </c>
      <c r="J3928" t="str">
        <f t="shared" si="1614"/>
        <v>MAYBANK / MAYBANK ISLAMIC</v>
      </c>
      <c r="K3928" t="str">
        <f>"160139269664"</f>
        <v>160139269664</v>
      </c>
      <c r="L3928" t="str">
        <f t="shared" si="1615"/>
        <v>04-08-2020</v>
      </c>
      <c r="M3928" t="str">
        <f t="shared" si="1615"/>
        <v>04-08-2020</v>
      </c>
      <c r="N3928" t="str">
        <f t="shared" si="1601"/>
        <v>001105018356</v>
      </c>
      <c r="O3928" t="str">
        <f t="shared" si="1602"/>
        <v>MYR</v>
      </c>
      <c r="P3928" t="str">
        <f t="shared" si="1616"/>
        <v>NIL</v>
      </c>
      <c r="Q3928" t="str">
        <f t="shared" si="1616"/>
        <v>NIL</v>
      </c>
      <c r="R3928" t="str">
        <f t="shared" si="1603"/>
        <v>Accepted</v>
      </c>
      <c r="S3928" t="str">
        <f t="shared" si="1604"/>
        <v>Approved</v>
      </c>
      <c r="T3928" t="str">
        <f t="shared" si="1605"/>
        <v>10.20.8.188</v>
      </c>
      <c r="U3928" t="str">
        <f t="shared" si="1606"/>
        <v>AZRAD UMAR BIN SHAARI</v>
      </c>
      <c r="V3928" t="str">
        <f t="shared" si="1607"/>
        <v>FARHANA BINTI MUSTAPA</v>
      </c>
      <c r="W3928" t="str">
        <f t="shared" si="1608"/>
        <v>04-08-2020</v>
      </c>
      <c r="X3928" t="str">
        <f t="shared" si="1609"/>
        <v>RAZIMAH ANSAR AHMAD</v>
      </c>
      <c r="Y3928" t="str">
        <f t="shared" si="1610"/>
        <v>04-08-2020</v>
      </c>
      <c r="Z3928" t="str">
        <f>"COS10200804 5626"</f>
        <v>COS10200804 5626</v>
      </c>
    </row>
    <row r="3929" spans="1:26" x14ac:dyDescent="0.25">
      <c r="A3929" t="str">
        <f t="shared" si="1611"/>
        <v>04-08-2020 12:56:11</v>
      </c>
      <c r="B3929" t="str">
        <f>"0000807012"</f>
        <v>0000807012</v>
      </c>
      <c r="C3929" t="str">
        <f t="shared" si="1612"/>
        <v>0000806987</v>
      </c>
      <c r="D3929" t="str">
        <f t="shared" si="1598"/>
        <v>73185</v>
      </c>
      <c r="E3929" t="str">
        <f t="shared" si="1599"/>
        <v>KFH-OPERATIONS DEPARTMENT</v>
      </c>
      <c r="F3929" t="str">
        <f t="shared" si="1600"/>
        <v>IBG</v>
      </c>
      <c r="G3929" t="str">
        <f t="shared" si="1613"/>
        <v>Refund COSHARE 10</v>
      </c>
      <c r="H3929" s="2">
        <v>335.8</v>
      </c>
      <c r="I3929" t="str">
        <f>"MOHD FAUZLEI BIN MOHD ZAID"</f>
        <v>MOHD FAUZLEI BIN MOHD ZAID</v>
      </c>
      <c r="J3929" t="str">
        <f t="shared" si="1614"/>
        <v>MAYBANK / MAYBANK ISLAMIC</v>
      </c>
      <c r="K3929" t="str">
        <f>"151267065484"</f>
        <v>151267065484</v>
      </c>
      <c r="L3929" t="str">
        <f t="shared" si="1615"/>
        <v>04-08-2020</v>
      </c>
      <c r="M3929" t="str">
        <f t="shared" si="1615"/>
        <v>04-08-2020</v>
      </c>
      <c r="N3929" t="str">
        <f t="shared" si="1601"/>
        <v>001105018356</v>
      </c>
      <c r="O3929" t="str">
        <f t="shared" si="1602"/>
        <v>MYR</v>
      </c>
      <c r="P3929" t="str">
        <f t="shared" si="1616"/>
        <v>NIL</v>
      </c>
      <c r="Q3929" t="str">
        <f t="shared" si="1616"/>
        <v>NIL</v>
      </c>
      <c r="R3929" t="str">
        <f t="shared" si="1603"/>
        <v>Accepted</v>
      </c>
      <c r="S3929" t="str">
        <f t="shared" si="1604"/>
        <v>Approved</v>
      </c>
      <c r="T3929" t="str">
        <f t="shared" si="1605"/>
        <v>10.20.8.188</v>
      </c>
      <c r="U3929" t="str">
        <f t="shared" si="1606"/>
        <v>AZRAD UMAR BIN SHAARI</v>
      </c>
      <c r="V3929" t="str">
        <f t="shared" si="1607"/>
        <v>FARHANA BINTI MUSTAPA</v>
      </c>
      <c r="W3929" t="str">
        <f t="shared" si="1608"/>
        <v>04-08-2020</v>
      </c>
      <c r="X3929" t="str">
        <f t="shared" si="1609"/>
        <v>RAZIMAH ANSAR AHMAD</v>
      </c>
      <c r="Y3929" t="str">
        <f t="shared" si="1610"/>
        <v>04-08-2020</v>
      </c>
      <c r="Z3929" t="str">
        <f>"COS10200804 5625"</f>
        <v>COS10200804 5625</v>
      </c>
    </row>
    <row r="3930" spans="1:26" x14ac:dyDescent="0.25">
      <c r="A3930" t="str">
        <f t="shared" si="1611"/>
        <v>04-08-2020 12:56:11</v>
      </c>
      <c r="B3930" t="str">
        <f>"0000807011"</f>
        <v>0000807011</v>
      </c>
      <c r="C3930" t="str">
        <f t="shared" si="1612"/>
        <v>0000806987</v>
      </c>
      <c r="D3930" t="str">
        <f t="shared" si="1598"/>
        <v>73185</v>
      </c>
      <c r="E3930" t="str">
        <f t="shared" si="1599"/>
        <v>KFH-OPERATIONS DEPARTMENT</v>
      </c>
      <c r="F3930" t="str">
        <f t="shared" si="1600"/>
        <v>IBG</v>
      </c>
      <c r="G3930" t="str">
        <f t="shared" si="1613"/>
        <v>Refund COSHARE 10</v>
      </c>
      <c r="H3930" s="2">
        <v>688.4</v>
      </c>
      <c r="I3930" t="str">
        <f>"MOHD FAUZIE BIN MD ZININ"</f>
        <v>MOHD FAUZIE BIN MD ZININ</v>
      </c>
      <c r="J3930" t="str">
        <f t="shared" si="1614"/>
        <v>MAYBANK / MAYBANK ISLAMIC</v>
      </c>
      <c r="K3930" t="str">
        <f>"164315289248"</f>
        <v>164315289248</v>
      </c>
      <c r="L3930" t="str">
        <f t="shared" si="1615"/>
        <v>04-08-2020</v>
      </c>
      <c r="M3930" t="str">
        <f t="shared" si="1615"/>
        <v>04-08-2020</v>
      </c>
      <c r="N3930" t="str">
        <f t="shared" si="1601"/>
        <v>001105018356</v>
      </c>
      <c r="O3930" t="str">
        <f t="shared" si="1602"/>
        <v>MYR</v>
      </c>
      <c r="P3930" t="str">
        <f t="shared" si="1616"/>
        <v>NIL</v>
      </c>
      <c r="Q3930" t="str">
        <f t="shared" si="1616"/>
        <v>NIL</v>
      </c>
      <c r="R3930" t="str">
        <f t="shared" si="1603"/>
        <v>Accepted</v>
      </c>
      <c r="S3930" t="str">
        <f t="shared" si="1604"/>
        <v>Approved</v>
      </c>
      <c r="T3930" t="str">
        <f t="shared" si="1605"/>
        <v>10.20.8.188</v>
      </c>
      <c r="U3930" t="str">
        <f t="shared" si="1606"/>
        <v>AZRAD UMAR BIN SHAARI</v>
      </c>
      <c r="V3930" t="str">
        <f t="shared" si="1607"/>
        <v>FARHANA BINTI MUSTAPA</v>
      </c>
      <c r="W3930" t="str">
        <f t="shared" si="1608"/>
        <v>04-08-2020</v>
      </c>
      <c r="X3930" t="str">
        <f t="shared" si="1609"/>
        <v>RAZIMAH ANSAR AHMAD</v>
      </c>
      <c r="Y3930" t="str">
        <f t="shared" si="1610"/>
        <v>04-08-2020</v>
      </c>
      <c r="Z3930" t="str">
        <f>"COS10200804 5624"</f>
        <v>COS10200804 5624</v>
      </c>
    </row>
    <row r="3931" spans="1:26" x14ac:dyDescent="0.25">
      <c r="A3931" t="str">
        <f t="shared" si="1611"/>
        <v>04-08-2020 12:56:11</v>
      </c>
      <c r="B3931" t="str">
        <f>"0000807010"</f>
        <v>0000807010</v>
      </c>
      <c r="C3931" t="str">
        <f t="shared" si="1612"/>
        <v>0000806987</v>
      </c>
      <c r="D3931" t="str">
        <f t="shared" si="1598"/>
        <v>73185</v>
      </c>
      <c r="E3931" t="str">
        <f t="shared" si="1599"/>
        <v>KFH-OPERATIONS DEPARTMENT</v>
      </c>
      <c r="F3931" t="str">
        <f t="shared" si="1600"/>
        <v>IBG</v>
      </c>
      <c r="G3931" t="str">
        <f t="shared" si="1613"/>
        <v>Refund COSHARE 10</v>
      </c>
      <c r="H3931" s="2">
        <v>251.85</v>
      </c>
      <c r="I3931" t="str">
        <f>"MOHD FAUZI BIN OTHMAN"</f>
        <v>MOHD FAUZI BIN OTHMAN</v>
      </c>
      <c r="J3931" t="str">
        <f t="shared" si="1614"/>
        <v>MAYBANK / MAYBANK ISLAMIC</v>
      </c>
      <c r="K3931" t="str">
        <f>"158088237168"</f>
        <v>158088237168</v>
      </c>
      <c r="L3931" t="str">
        <f t="shared" si="1615"/>
        <v>04-08-2020</v>
      </c>
      <c r="M3931" t="str">
        <f t="shared" si="1615"/>
        <v>04-08-2020</v>
      </c>
      <c r="N3931" t="str">
        <f t="shared" si="1601"/>
        <v>001105018356</v>
      </c>
      <c r="O3931" t="str">
        <f t="shared" si="1602"/>
        <v>MYR</v>
      </c>
      <c r="P3931" t="str">
        <f t="shared" si="1616"/>
        <v>NIL</v>
      </c>
      <c r="Q3931" t="str">
        <f t="shared" si="1616"/>
        <v>NIL</v>
      </c>
      <c r="R3931" t="str">
        <f t="shared" si="1603"/>
        <v>Accepted</v>
      </c>
      <c r="S3931" t="str">
        <f t="shared" si="1604"/>
        <v>Approved</v>
      </c>
      <c r="T3931" t="str">
        <f t="shared" si="1605"/>
        <v>10.20.8.188</v>
      </c>
      <c r="U3931" t="str">
        <f t="shared" si="1606"/>
        <v>AZRAD UMAR BIN SHAARI</v>
      </c>
      <c r="V3931" t="str">
        <f t="shared" si="1607"/>
        <v>FARHANA BINTI MUSTAPA</v>
      </c>
      <c r="W3931" t="str">
        <f t="shared" si="1608"/>
        <v>04-08-2020</v>
      </c>
      <c r="X3931" t="str">
        <f t="shared" si="1609"/>
        <v>RAZIMAH ANSAR AHMAD</v>
      </c>
      <c r="Y3931" t="str">
        <f t="shared" si="1610"/>
        <v>04-08-2020</v>
      </c>
      <c r="Z3931" t="str">
        <f>"COS10200804 5623"</f>
        <v>COS10200804 5623</v>
      </c>
    </row>
    <row r="3932" spans="1:26" x14ac:dyDescent="0.25">
      <c r="A3932" t="str">
        <f t="shared" si="1611"/>
        <v>04-08-2020 12:56:11</v>
      </c>
      <c r="B3932" t="str">
        <f>"0000807009"</f>
        <v>0000807009</v>
      </c>
      <c r="C3932" t="str">
        <f t="shared" si="1612"/>
        <v>0000806987</v>
      </c>
      <c r="D3932" t="str">
        <f t="shared" si="1598"/>
        <v>73185</v>
      </c>
      <c r="E3932" t="str">
        <f t="shared" si="1599"/>
        <v>KFH-OPERATIONS DEPARTMENT</v>
      </c>
      <c r="F3932" t="str">
        <f t="shared" si="1600"/>
        <v>IBG</v>
      </c>
      <c r="G3932" t="str">
        <f t="shared" si="1613"/>
        <v>Refund COSHARE 10</v>
      </c>
      <c r="H3932" s="2">
        <v>436.55</v>
      </c>
      <c r="I3932" t="str">
        <f>"MOHD FAUZI BIN OSMAN"</f>
        <v>MOHD FAUZI BIN OSMAN</v>
      </c>
      <c r="J3932" t="str">
        <f t="shared" si="1614"/>
        <v>MAYBANK / MAYBANK ISLAMIC</v>
      </c>
      <c r="K3932" t="str">
        <f>"159012676076"</f>
        <v>159012676076</v>
      </c>
      <c r="L3932" t="str">
        <f t="shared" si="1615"/>
        <v>04-08-2020</v>
      </c>
      <c r="M3932" t="str">
        <f t="shared" si="1615"/>
        <v>04-08-2020</v>
      </c>
      <c r="N3932" t="str">
        <f t="shared" si="1601"/>
        <v>001105018356</v>
      </c>
      <c r="O3932" t="str">
        <f t="shared" si="1602"/>
        <v>MYR</v>
      </c>
      <c r="P3932" t="str">
        <f t="shared" si="1616"/>
        <v>NIL</v>
      </c>
      <c r="Q3932" t="str">
        <f t="shared" si="1616"/>
        <v>NIL</v>
      </c>
      <c r="R3932" t="str">
        <f t="shared" si="1603"/>
        <v>Accepted</v>
      </c>
      <c r="S3932" t="str">
        <f t="shared" si="1604"/>
        <v>Approved</v>
      </c>
      <c r="T3932" t="str">
        <f t="shared" si="1605"/>
        <v>10.20.8.188</v>
      </c>
      <c r="U3932" t="str">
        <f t="shared" si="1606"/>
        <v>AZRAD UMAR BIN SHAARI</v>
      </c>
      <c r="V3932" t="str">
        <f t="shared" si="1607"/>
        <v>FARHANA BINTI MUSTAPA</v>
      </c>
      <c r="W3932" t="str">
        <f t="shared" si="1608"/>
        <v>04-08-2020</v>
      </c>
      <c r="X3932" t="str">
        <f t="shared" si="1609"/>
        <v>RAZIMAH ANSAR AHMAD</v>
      </c>
      <c r="Y3932" t="str">
        <f t="shared" si="1610"/>
        <v>04-08-2020</v>
      </c>
      <c r="Z3932" t="str">
        <f>"COS10200804 5622"</f>
        <v>COS10200804 5622</v>
      </c>
    </row>
    <row r="3933" spans="1:26" x14ac:dyDescent="0.25">
      <c r="A3933" t="str">
        <f t="shared" si="1611"/>
        <v>04-08-2020 12:56:11</v>
      </c>
      <c r="B3933" t="str">
        <f>"0000807008"</f>
        <v>0000807008</v>
      </c>
      <c r="C3933" t="str">
        <f t="shared" si="1612"/>
        <v>0000806987</v>
      </c>
      <c r="D3933" t="str">
        <f t="shared" si="1598"/>
        <v>73185</v>
      </c>
      <c r="E3933" t="str">
        <f t="shared" si="1599"/>
        <v>KFH-OPERATIONS DEPARTMENT</v>
      </c>
      <c r="F3933" t="str">
        <f t="shared" si="1600"/>
        <v>IBG</v>
      </c>
      <c r="G3933" t="str">
        <f t="shared" si="1613"/>
        <v>Refund COSHARE 10</v>
      </c>
      <c r="H3933" s="2">
        <v>1427.15</v>
      </c>
      <c r="I3933" t="str">
        <f>"MOHD FAUZI BIN MOHD NOOR"</f>
        <v>MOHD FAUZI BIN MOHD NOOR</v>
      </c>
      <c r="J3933" t="str">
        <f t="shared" si="1614"/>
        <v>MAYBANK / MAYBANK ISLAMIC</v>
      </c>
      <c r="K3933" t="str">
        <f>"157157719947"</f>
        <v>157157719947</v>
      </c>
      <c r="L3933" t="str">
        <f t="shared" si="1615"/>
        <v>04-08-2020</v>
      </c>
      <c r="M3933" t="str">
        <f t="shared" si="1615"/>
        <v>04-08-2020</v>
      </c>
      <c r="N3933" t="str">
        <f t="shared" si="1601"/>
        <v>001105018356</v>
      </c>
      <c r="O3933" t="str">
        <f t="shared" si="1602"/>
        <v>MYR</v>
      </c>
      <c r="P3933" t="str">
        <f t="shared" si="1616"/>
        <v>NIL</v>
      </c>
      <c r="Q3933" t="str">
        <f t="shared" si="1616"/>
        <v>NIL</v>
      </c>
      <c r="R3933" t="str">
        <f t="shared" si="1603"/>
        <v>Accepted</v>
      </c>
      <c r="S3933" t="str">
        <f t="shared" si="1604"/>
        <v>Approved</v>
      </c>
      <c r="T3933" t="str">
        <f t="shared" si="1605"/>
        <v>10.20.8.188</v>
      </c>
      <c r="U3933" t="str">
        <f t="shared" si="1606"/>
        <v>AZRAD UMAR BIN SHAARI</v>
      </c>
      <c r="V3933" t="str">
        <f t="shared" si="1607"/>
        <v>FARHANA BINTI MUSTAPA</v>
      </c>
      <c r="W3933" t="str">
        <f t="shared" si="1608"/>
        <v>04-08-2020</v>
      </c>
      <c r="X3933" t="str">
        <f t="shared" si="1609"/>
        <v>RAZIMAH ANSAR AHMAD</v>
      </c>
      <c r="Y3933" t="str">
        <f t="shared" si="1610"/>
        <v>04-08-2020</v>
      </c>
      <c r="Z3933" t="str">
        <f>"COS10200804 5621"</f>
        <v>COS10200804 5621</v>
      </c>
    </row>
    <row r="3934" spans="1:26" x14ac:dyDescent="0.25">
      <c r="A3934" t="str">
        <f t="shared" si="1611"/>
        <v>04-08-2020 12:56:11</v>
      </c>
      <c r="B3934" t="str">
        <f>"0000807007"</f>
        <v>0000807007</v>
      </c>
      <c r="C3934" t="str">
        <f t="shared" si="1612"/>
        <v>0000806987</v>
      </c>
      <c r="D3934" t="str">
        <f t="shared" si="1598"/>
        <v>73185</v>
      </c>
      <c r="E3934" t="str">
        <f t="shared" si="1599"/>
        <v>KFH-OPERATIONS DEPARTMENT</v>
      </c>
      <c r="F3934" t="str">
        <f t="shared" si="1600"/>
        <v>IBG</v>
      </c>
      <c r="G3934" t="str">
        <f t="shared" si="1613"/>
        <v>Refund COSHARE 10</v>
      </c>
      <c r="H3934" s="2">
        <v>117.55</v>
      </c>
      <c r="I3934" t="str">
        <f>"MOHD FAUZI BIN HAJI SALAM"</f>
        <v>MOHD FAUZI BIN HAJI SALAM</v>
      </c>
      <c r="J3934" t="str">
        <f t="shared" si="1614"/>
        <v>MAYBANK / MAYBANK ISLAMIC</v>
      </c>
      <c r="K3934" t="str">
        <f>"161181032187"</f>
        <v>161181032187</v>
      </c>
      <c r="L3934" t="str">
        <f t="shared" si="1615"/>
        <v>04-08-2020</v>
      </c>
      <c r="M3934" t="str">
        <f t="shared" si="1615"/>
        <v>04-08-2020</v>
      </c>
      <c r="N3934" t="str">
        <f t="shared" si="1601"/>
        <v>001105018356</v>
      </c>
      <c r="O3934" t="str">
        <f t="shared" si="1602"/>
        <v>MYR</v>
      </c>
      <c r="P3934" t="str">
        <f t="shared" si="1616"/>
        <v>NIL</v>
      </c>
      <c r="Q3934" t="str">
        <f t="shared" si="1616"/>
        <v>NIL</v>
      </c>
      <c r="R3934" t="str">
        <f t="shared" si="1603"/>
        <v>Accepted</v>
      </c>
      <c r="S3934" t="str">
        <f t="shared" si="1604"/>
        <v>Approved</v>
      </c>
      <c r="T3934" t="str">
        <f t="shared" si="1605"/>
        <v>10.20.8.188</v>
      </c>
      <c r="U3934" t="str">
        <f t="shared" si="1606"/>
        <v>AZRAD UMAR BIN SHAARI</v>
      </c>
      <c r="V3934" t="str">
        <f t="shared" si="1607"/>
        <v>FARHANA BINTI MUSTAPA</v>
      </c>
      <c r="W3934" t="str">
        <f t="shared" si="1608"/>
        <v>04-08-2020</v>
      </c>
      <c r="X3934" t="str">
        <f t="shared" si="1609"/>
        <v>RAZIMAH ANSAR AHMAD</v>
      </c>
      <c r="Y3934" t="str">
        <f t="shared" si="1610"/>
        <v>04-08-2020</v>
      </c>
      <c r="Z3934" t="str">
        <f>"COS10200804 5620"</f>
        <v>COS10200804 5620</v>
      </c>
    </row>
    <row r="3935" spans="1:26" x14ac:dyDescent="0.25">
      <c r="A3935" t="str">
        <f t="shared" si="1611"/>
        <v>04-08-2020 12:56:11</v>
      </c>
      <c r="B3935" t="str">
        <f>"0000807006"</f>
        <v>0000807006</v>
      </c>
      <c r="C3935" t="str">
        <f t="shared" si="1612"/>
        <v>0000806987</v>
      </c>
      <c r="D3935" t="str">
        <f t="shared" si="1598"/>
        <v>73185</v>
      </c>
      <c r="E3935" t="str">
        <f t="shared" si="1599"/>
        <v>KFH-OPERATIONS DEPARTMENT</v>
      </c>
      <c r="F3935" t="str">
        <f t="shared" si="1600"/>
        <v>IBG</v>
      </c>
      <c r="G3935" t="str">
        <f t="shared" si="1613"/>
        <v>Refund COSHARE 10</v>
      </c>
      <c r="H3935" s="2">
        <v>119.15</v>
      </c>
      <c r="I3935" t="str">
        <f>"MOHD FAUZI BIN ABU HASSAN"</f>
        <v>MOHD FAUZI BIN ABU HASSAN</v>
      </c>
      <c r="J3935" t="str">
        <f t="shared" si="1614"/>
        <v>MAYBANK / MAYBANK ISLAMIC</v>
      </c>
      <c r="K3935" t="str">
        <f>"151137817139"</f>
        <v>151137817139</v>
      </c>
      <c r="L3935" t="str">
        <f t="shared" si="1615"/>
        <v>04-08-2020</v>
      </c>
      <c r="M3935" t="str">
        <f t="shared" si="1615"/>
        <v>04-08-2020</v>
      </c>
      <c r="N3935" t="str">
        <f t="shared" si="1601"/>
        <v>001105018356</v>
      </c>
      <c r="O3935" t="str">
        <f t="shared" si="1602"/>
        <v>MYR</v>
      </c>
      <c r="P3935" t="str">
        <f t="shared" si="1616"/>
        <v>NIL</v>
      </c>
      <c r="Q3935" t="str">
        <f t="shared" si="1616"/>
        <v>NIL</v>
      </c>
      <c r="R3935" t="str">
        <f t="shared" si="1603"/>
        <v>Accepted</v>
      </c>
      <c r="S3935" t="str">
        <f t="shared" si="1604"/>
        <v>Approved</v>
      </c>
      <c r="T3935" t="str">
        <f t="shared" si="1605"/>
        <v>10.20.8.188</v>
      </c>
      <c r="U3935" t="str">
        <f t="shared" si="1606"/>
        <v>AZRAD UMAR BIN SHAARI</v>
      </c>
      <c r="V3935" t="str">
        <f t="shared" si="1607"/>
        <v>FARHANA BINTI MUSTAPA</v>
      </c>
      <c r="W3935" t="str">
        <f t="shared" si="1608"/>
        <v>04-08-2020</v>
      </c>
      <c r="X3935" t="str">
        <f t="shared" si="1609"/>
        <v>RAZIMAH ANSAR AHMAD</v>
      </c>
      <c r="Y3935" t="str">
        <f t="shared" si="1610"/>
        <v>04-08-2020</v>
      </c>
      <c r="Z3935" t="str">
        <f>"COS10200804 5619"</f>
        <v>COS10200804 5619</v>
      </c>
    </row>
    <row r="3936" spans="1:26" x14ac:dyDescent="0.25">
      <c r="A3936" t="str">
        <f t="shared" si="1611"/>
        <v>04-08-2020 12:56:11</v>
      </c>
      <c r="B3936" t="str">
        <f>"0000807005"</f>
        <v>0000807005</v>
      </c>
      <c r="C3936" t="str">
        <f t="shared" si="1612"/>
        <v>0000806987</v>
      </c>
      <c r="D3936" t="str">
        <f t="shared" si="1598"/>
        <v>73185</v>
      </c>
      <c r="E3936" t="str">
        <f t="shared" si="1599"/>
        <v>KFH-OPERATIONS DEPARTMENT</v>
      </c>
      <c r="F3936" t="str">
        <f t="shared" si="1600"/>
        <v>IBG</v>
      </c>
      <c r="G3936" t="str">
        <f t="shared" si="1613"/>
        <v>Refund COSHARE 10</v>
      </c>
      <c r="H3936" s="2">
        <v>1083</v>
      </c>
      <c r="I3936" t="str">
        <f>"MOHD FAUZI BIN ABDUL RAZAK"</f>
        <v>MOHD FAUZI BIN ABDUL RAZAK</v>
      </c>
      <c r="J3936" t="str">
        <f t="shared" si="1614"/>
        <v>MAYBANK / MAYBANK ISLAMIC</v>
      </c>
      <c r="K3936" t="str">
        <f>"158015216052"</f>
        <v>158015216052</v>
      </c>
      <c r="L3936" t="str">
        <f t="shared" si="1615"/>
        <v>04-08-2020</v>
      </c>
      <c r="M3936" t="str">
        <f t="shared" si="1615"/>
        <v>04-08-2020</v>
      </c>
      <c r="N3936" t="str">
        <f t="shared" si="1601"/>
        <v>001105018356</v>
      </c>
      <c r="O3936" t="str">
        <f t="shared" si="1602"/>
        <v>MYR</v>
      </c>
      <c r="P3936" t="str">
        <f t="shared" si="1616"/>
        <v>NIL</v>
      </c>
      <c r="Q3936" t="str">
        <f t="shared" si="1616"/>
        <v>NIL</v>
      </c>
      <c r="R3936" t="str">
        <f t="shared" si="1603"/>
        <v>Accepted</v>
      </c>
      <c r="S3936" t="str">
        <f t="shared" si="1604"/>
        <v>Approved</v>
      </c>
      <c r="T3936" t="str">
        <f t="shared" si="1605"/>
        <v>10.20.8.188</v>
      </c>
      <c r="U3936" t="str">
        <f t="shared" si="1606"/>
        <v>AZRAD UMAR BIN SHAARI</v>
      </c>
      <c r="V3936" t="str">
        <f t="shared" si="1607"/>
        <v>FARHANA BINTI MUSTAPA</v>
      </c>
      <c r="W3936" t="str">
        <f t="shared" si="1608"/>
        <v>04-08-2020</v>
      </c>
      <c r="X3936" t="str">
        <f t="shared" si="1609"/>
        <v>RAZIMAH ANSAR AHMAD</v>
      </c>
      <c r="Y3936" t="str">
        <f t="shared" si="1610"/>
        <v>04-08-2020</v>
      </c>
      <c r="Z3936" t="str">
        <f>"COS10200804 5618"</f>
        <v>COS10200804 5618</v>
      </c>
    </row>
    <row r="3937" spans="1:26" x14ac:dyDescent="0.25">
      <c r="A3937" t="str">
        <f t="shared" si="1611"/>
        <v>04-08-2020 12:56:11</v>
      </c>
      <c r="B3937" t="str">
        <f>"0000807004"</f>
        <v>0000807004</v>
      </c>
      <c r="C3937" t="str">
        <f t="shared" si="1612"/>
        <v>0000806987</v>
      </c>
      <c r="D3937" t="str">
        <f t="shared" si="1598"/>
        <v>73185</v>
      </c>
      <c r="E3937" t="str">
        <f t="shared" si="1599"/>
        <v>KFH-OPERATIONS DEPARTMENT</v>
      </c>
      <c r="F3937" t="str">
        <f t="shared" si="1600"/>
        <v>IBG</v>
      </c>
      <c r="G3937" t="str">
        <f t="shared" si="1613"/>
        <v>Refund COSHARE 10</v>
      </c>
      <c r="H3937" s="2">
        <v>98.25</v>
      </c>
      <c r="I3937" t="str">
        <f>"MOHD FARIZ BIN RAMLAN"</f>
        <v>MOHD FARIZ BIN RAMLAN</v>
      </c>
      <c r="J3937" t="str">
        <f t="shared" si="1614"/>
        <v>MAYBANK / MAYBANK ISLAMIC</v>
      </c>
      <c r="K3937" t="str">
        <f>"101245011012"</f>
        <v>101245011012</v>
      </c>
      <c r="L3937" t="str">
        <f t="shared" si="1615"/>
        <v>04-08-2020</v>
      </c>
      <c r="M3937" t="str">
        <f t="shared" si="1615"/>
        <v>04-08-2020</v>
      </c>
      <c r="N3937" t="str">
        <f t="shared" si="1601"/>
        <v>001105018356</v>
      </c>
      <c r="O3937" t="str">
        <f t="shared" si="1602"/>
        <v>MYR</v>
      </c>
      <c r="P3937" t="str">
        <f t="shared" si="1616"/>
        <v>NIL</v>
      </c>
      <c r="Q3937" t="str">
        <f t="shared" si="1616"/>
        <v>NIL</v>
      </c>
      <c r="R3937" t="str">
        <f t="shared" si="1603"/>
        <v>Accepted</v>
      </c>
      <c r="S3937" t="str">
        <f t="shared" si="1604"/>
        <v>Approved</v>
      </c>
      <c r="T3937" t="str">
        <f t="shared" si="1605"/>
        <v>10.20.8.188</v>
      </c>
      <c r="U3937" t="str">
        <f t="shared" si="1606"/>
        <v>AZRAD UMAR BIN SHAARI</v>
      </c>
      <c r="V3937" t="str">
        <f t="shared" si="1607"/>
        <v>FARHANA BINTI MUSTAPA</v>
      </c>
      <c r="W3937" t="str">
        <f t="shared" si="1608"/>
        <v>04-08-2020</v>
      </c>
      <c r="X3937" t="str">
        <f t="shared" si="1609"/>
        <v>RAZIMAH ANSAR AHMAD</v>
      </c>
      <c r="Y3937" t="str">
        <f t="shared" si="1610"/>
        <v>04-08-2020</v>
      </c>
      <c r="Z3937" t="str">
        <f>"COS10200804 5617"</f>
        <v>COS10200804 5617</v>
      </c>
    </row>
    <row r="3938" spans="1:26" x14ac:dyDescent="0.25">
      <c r="A3938" t="str">
        <f t="shared" si="1611"/>
        <v>04-08-2020 12:56:11</v>
      </c>
      <c r="B3938" t="str">
        <f>"0000807003"</f>
        <v>0000807003</v>
      </c>
      <c r="C3938" t="str">
        <f t="shared" si="1612"/>
        <v>0000806987</v>
      </c>
      <c r="D3938" t="str">
        <f t="shared" si="1598"/>
        <v>73185</v>
      </c>
      <c r="E3938" t="str">
        <f t="shared" si="1599"/>
        <v>KFH-OPERATIONS DEPARTMENT</v>
      </c>
      <c r="F3938" t="str">
        <f t="shared" si="1600"/>
        <v>IBG</v>
      </c>
      <c r="G3938" t="str">
        <f t="shared" si="1613"/>
        <v>Refund COSHARE 10</v>
      </c>
      <c r="H3938" s="2">
        <v>310.64999999999998</v>
      </c>
      <c r="I3938" t="str">
        <f>"MOHD FARIZ BIN ABD HASSIM"</f>
        <v>MOHD FARIZ BIN ABD HASSIM</v>
      </c>
      <c r="J3938" t="str">
        <f t="shared" si="1614"/>
        <v>MAYBANK / MAYBANK ISLAMIC</v>
      </c>
      <c r="K3938" t="str">
        <f>"108299096399"</f>
        <v>108299096399</v>
      </c>
      <c r="L3938" t="str">
        <f t="shared" si="1615"/>
        <v>04-08-2020</v>
      </c>
      <c r="M3938" t="str">
        <f t="shared" si="1615"/>
        <v>04-08-2020</v>
      </c>
      <c r="N3938" t="str">
        <f t="shared" si="1601"/>
        <v>001105018356</v>
      </c>
      <c r="O3938" t="str">
        <f t="shared" si="1602"/>
        <v>MYR</v>
      </c>
      <c r="P3938" t="str">
        <f t="shared" si="1616"/>
        <v>NIL</v>
      </c>
      <c r="Q3938" t="str">
        <f t="shared" si="1616"/>
        <v>NIL</v>
      </c>
      <c r="R3938" t="str">
        <f t="shared" si="1603"/>
        <v>Accepted</v>
      </c>
      <c r="S3938" t="str">
        <f t="shared" si="1604"/>
        <v>Approved</v>
      </c>
      <c r="T3938" t="str">
        <f t="shared" si="1605"/>
        <v>10.20.8.188</v>
      </c>
      <c r="U3938" t="str">
        <f t="shared" si="1606"/>
        <v>AZRAD UMAR BIN SHAARI</v>
      </c>
      <c r="V3938" t="str">
        <f t="shared" si="1607"/>
        <v>FARHANA BINTI MUSTAPA</v>
      </c>
      <c r="W3938" t="str">
        <f t="shared" si="1608"/>
        <v>04-08-2020</v>
      </c>
      <c r="X3938" t="str">
        <f t="shared" si="1609"/>
        <v>RAZIMAH ANSAR AHMAD</v>
      </c>
      <c r="Y3938" t="str">
        <f t="shared" si="1610"/>
        <v>04-08-2020</v>
      </c>
      <c r="Z3938" t="str">
        <f>"COS10200804 5616"</f>
        <v>COS10200804 5616</v>
      </c>
    </row>
    <row r="3939" spans="1:26" x14ac:dyDescent="0.25">
      <c r="A3939" t="str">
        <f t="shared" si="1611"/>
        <v>04-08-2020 12:56:11</v>
      </c>
      <c r="B3939" t="str">
        <f>"0000807002"</f>
        <v>0000807002</v>
      </c>
      <c r="C3939" t="str">
        <f t="shared" si="1612"/>
        <v>0000806987</v>
      </c>
      <c r="D3939" t="str">
        <f t="shared" si="1598"/>
        <v>73185</v>
      </c>
      <c r="E3939" t="str">
        <f t="shared" si="1599"/>
        <v>KFH-OPERATIONS DEPARTMENT</v>
      </c>
      <c r="F3939" t="str">
        <f t="shared" si="1600"/>
        <v>IBG</v>
      </c>
      <c r="G3939" t="str">
        <f t="shared" si="1613"/>
        <v>Refund COSHARE 10</v>
      </c>
      <c r="H3939" s="2">
        <v>83.95</v>
      </c>
      <c r="I3939" t="str">
        <f>"MOHD FARIS BIN MAZLAN"</f>
        <v>MOHD FARIS BIN MAZLAN</v>
      </c>
      <c r="J3939" t="str">
        <f t="shared" si="1614"/>
        <v>MAYBANK / MAYBANK ISLAMIC</v>
      </c>
      <c r="K3939" t="str">
        <f>"101254087647"</f>
        <v>101254087647</v>
      </c>
      <c r="L3939" t="str">
        <f t="shared" si="1615"/>
        <v>04-08-2020</v>
      </c>
      <c r="M3939" t="str">
        <f t="shared" si="1615"/>
        <v>04-08-2020</v>
      </c>
      <c r="N3939" t="str">
        <f t="shared" si="1601"/>
        <v>001105018356</v>
      </c>
      <c r="O3939" t="str">
        <f t="shared" si="1602"/>
        <v>MYR</v>
      </c>
      <c r="P3939" t="str">
        <f t="shared" si="1616"/>
        <v>NIL</v>
      </c>
      <c r="Q3939" t="str">
        <f t="shared" si="1616"/>
        <v>NIL</v>
      </c>
      <c r="R3939" t="str">
        <f t="shared" si="1603"/>
        <v>Accepted</v>
      </c>
      <c r="S3939" t="str">
        <f t="shared" si="1604"/>
        <v>Approved</v>
      </c>
      <c r="T3939" t="str">
        <f t="shared" si="1605"/>
        <v>10.20.8.188</v>
      </c>
      <c r="U3939" t="str">
        <f t="shared" si="1606"/>
        <v>AZRAD UMAR BIN SHAARI</v>
      </c>
      <c r="V3939" t="str">
        <f t="shared" si="1607"/>
        <v>FARHANA BINTI MUSTAPA</v>
      </c>
      <c r="W3939" t="str">
        <f t="shared" si="1608"/>
        <v>04-08-2020</v>
      </c>
      <c r="X3939" t="str">
        <f t="shared" si="1609"/>
        <v>RAZIMAH ANSAR AHMAD</v>
      </c>
      <c r="Y3939" t="str">
        <f t="shared" si="1610"/>
        <v>04-08-2020</v>
      </c>
      <c r="Z3939" t="str">
        <f>"COS10200804 5615"</f>
        <v>COS10200804 5615</v>
      </c>
    </row>
    <row r="3940" spans="1:26" x14ac:dyDescent="0.25">
      <c r="A3940" t="str">
        <f t="shared" si="1611"/>
        <v>04-08-2020 12:56:11</v>
      </c>
      <c r="B3940" t="str">
        <f>"0000807001"</f>
        <v>0000807001</v>
      </c>
      <c r="C3940" t="str">
        <f t="shared" si="1612"/>
        <v>0000806987</v>
      </c>
      <c r="D3940" t="str">
        <f t="shared" si="1598"/>
        <v>73185</v>
      </c>
      <c r="E3940" t="str">
        <f t="shared" si="1599"/>
        <v>KFH-OPERATIONS DEPARTMENT</v>
      </c>
      <c r="F3940" t="str">
        <f t="shared" si="1600"/>
        <v>IBG</v>
      </c>
      <c r="G3940" t="str">
        <f t="shared" si="1613"/>
        <v>Refund COSHARE 10</v>
      </c>
      <c r="H3940" s="2">
        <v>262.14999999999998</v>
      </c>
      <c r="I3940" t="str">
        <f>"MOHD FARIS BIN ISMAIL"</f>
        <v>MOHD FARIS BIN ISMAIL</v>
      </c>
      <c r="J3940" t="str">
        <f t="shared" si="1614"/>
        <v>MAYBANK / MAYBANK ISLAMIC</v>
      </c>
      <c r="K3940" t="str">
        <f>"162106432453"</f>
        <v>162106432453</v>
      </c>
      <c r="L3940" t="str">
        <f t="shared" si="1615"/>
        <v>04-08-2020</v>
      </c>
      <c r="M3940" t="str">
        <f t="shared" si="1615"/>
        <v>04-08-2020</v>
      </c>
      <c r="N3940" t="str">
        <f t="shared" si="1601"/>
        <v>001105018356</v>
      </c>
      <c r="O3940" t="str">
        <f t="shared" si="1602"/>
        <v>MYR</v>
      </c>
      <c r="P3940" t="str">
        <f t="shared" si="1616"/>
        <v>NIL</v>
      </c>
      <c r="Q3940" t="str">
        <f t="shared" si="1616"/>
        <v>NIL</v>
      </c>
      <c r="R3940" t="str">
        <f t="shared" si="1603"/>
        <v>Accepted</v>
      </c>
      <c r="S3940" t="str">
        <f t="shared" si="1604"/>
        <v>Approved</v>
      </c>
      <c r="T3940" t="str">
        <f t="shared" si="1605"/>
        <v>10.20.8.188</v>
      </c>
      <c r="U3940" t="str">
        <f t="shared" si="1606"/>
        <v>AZRAD UMAR BIN SHAARI</v>
      </c>
      <c r="V3940" t="str">
        <f t="shared" si="1607"/>
        <v>FARHANA BINTI MUSTAPA</v>
      </c>
      <c r="W3940" t="str">
        <f t="shared" si="1608"/>
        <v>04-08-2020</v>
      </c>
      <c r="X3940" t="str">
        <f t="shared" si="1609"/>
        <v>RAZIMAH ANSAR AHMAD</v>
      </c>
      <c r="Y3940" t="str">
        <f t="shared" si="1610"/>
        <v>04-08-2020</v>
      </c>
      <c r="Z3940" t="str">
        <f>"COS10200804 5614"</f>
        <v>COS10200804 5614</v>
      </c>
    </row>
    <row r="3941" spans="1:26" x14ac:dyDescent="0.25">
      <c r="A3941" t="str">
        <f t="shared" si="1611"/>
        <v>04-08-2020 12:56:11</v>
      </c>
      <c r="B3941" t="str">
        <f>"0000807000"</f>
        <v>0000807000</v>
      </c>
      <c r="C3941" t="str">
        <f t="shared" si="1612"/>
        <v>0000806987</v>
      </c>
      <c r="D3941" t="str">
        <f t="shared" si="1598"/>
        <v>73185</v>
      </c>
      <c r="E3941" t="str">
        <f t="shared" si="1599"/>
        <v>KFH-OPERATIONS DEPARTMENT</v>
      </c>
      <c r="F3941" t="str">
        <f t="shared" si="1600"/>
        <v>IBG</v>
      </c>
      <c r="G3941" t="str">
        <f t="shared" si="1613"/>
        <v>Refund COSHARE 10</v>
      </c>
      <c r="H3941" s="2">
        <v>145</v>
      </c>
      <c r="I3941" t="str">
        <f>"MOHD FARID BIN RAIS"</f>
        <v>MOHD FARID BIN RAIS</v>
      </c>
      <c r="J3941" t="str">
        <f t="shared" si="1614"/>
        <v>MAYBANK / MAYBANK ISLAMIC</v>
      </c>
      <c r="K3941" t="str">
        <f>"151212815334"</f>
        <v>151212815334</v>
      </c>
      <c r="L3941" t="str">
        <f t="shared" si="1615"/>
        <v>04-08-2020</v>
      </c>
      <c r="M3941" t="str">
        <f t="shared" si="1615"/>
        <v>04-08-2020</v>
      </c>
      <c r="N3941" t="str">
        <f t="shared" si="1601"/>
        <v>001105018356</v>
      </c>
      <c r="O3941" t="str">
        <f t="shared" si="1602"/>
        <v>MYR</v>
      </c>
      <c r="P3941" t="str">
        <f t="shared" si="1616"/>
        <v>NIL</v>
      </c>
      <c r="Q3941" t="str">
        <f t="shared" si="1616"/>
        <v>NIL</v>
      </c>
      <c r="R3941" t="str">
        <f t="shared" si="1603"/>
        <v>Accepted</v>
      </c>
      <c r="S3941" t="str">
        <f t="shared" si="1604"/>
        <v>Approved</v>
      </c>
      <c r="T3941" t="str">
        <f t="shared" si="1605"/>
        <v>10.20.8.188</v>
      </c>
      <c r="U3941" t="str">
        <f t="shared" si="1606"/>
        <v>AZRAD UMAR BIN SHAARI</v>
      </c>
      <c r="V3941" t="str">
        <f t="shared" si="1607"/>
        <v>FARHANA BINTI MUSTAPA</v>
      </c>
      <c r="W3941" t="str">
        <f t="shared" si="1608"/>
        <v>04-08-2020</v>
      </c>
      <c r="X3941" t="str">
        <f t="shared" si="1609"/>
        <v>RAZIMAH ANSAR AHMAD</v>
      </c>
      <c r="Y3941" t="str">
        <f t="shared" si="1610"/>
        <v>04-08-2020</v>
      </c>
      <c r="Z3941" t="str">
        <f>"COS10200804 5613"</f>
        <v>COS10200804 5613</v>
      </c>
    </row>
    <row r="3942" spans="1:26" x14ac:dyDescent="0.25">
      <c r="A3942" t="str">
        <f t="shared" si="1611"/>
        <v>04-08-2020 12:56:11</v>
      </c>
      <c r="B3942" t="str">
        <f>"0000806999"</f>
        <v>0000806999</v>
      </c>
      <c r="C3942" t="str">
        <f t="shared" si="1612"/>
        <v>0000806987</v>
      </c>
      <c r="D3942" t="str">
        <f t="shared" si="1598"/>
        <v>73185</v>
      </c>
      <c r="E3942" t="str">
        <f t="shared" si="1599"/>
        <v>KFH-OPERATIONS DEPARTMENT</v>
      </c>
      <c r="F3942" t="str">
        <f t="shared" si="1600"/>
        <v>IBG</v>
      </c>
      <c r="G3942" t="str">
        <f t="shared" si="1613"/>
        <v>Refund COSHARE 10</v>
      </c>
      <c r="H3942" s="2">
        <v>1150.1500000000001</v>
      </c>
      <c r="I3942" t="str">
        <f>"MOHD FARID BIN MUSTAPHA"</f>
        <v>MOHD FARID BIN MUSTAPHA</v>
      </c>
      <c r="J3942" t="str">
        <f t="shared" si="1614"/>
        <v>MAYBANK / MAYBANK ISLAMIC</v>
      </c>
      <c r="K3942" t="str">
        <f>"114141405449"</f>
        <v>114141405449</v>
      </c>
      <c r="L3942" t="str">
        <f t="shared" si="1615"/>
        <v>04-08-2020</v>
      </c>
      <c r="M3942" t="str">
        <f t="shared" si="1615"/>
        <v>04-08-2020</v>
      </c>
      <c r="N3942" t="str">
        <f t="shared" si="1601"/>
        <v>001105018356</v>
      </c>
      <c r="O3942" t="str">
        <f t="shared" si="1602"/>
        <v>MYR</v>
      </c>
      <c r="P3942" t="str">
        <f t="shared" si="1616"/>
        <v>NIL</v>
      </c>
      <c r="Q3942" t="str">
        <f t="shared" si="1616"/>
        <v>NIL</v>
      </c>
      <c r="R3942" t="str">
        <f t="shared" si="1603"/>
        <v>Accepted</v>
      </c>
      <c r="S3942" t="str">
        <f t="shared" si="1604"/>
        <v>Approved</v>
      </c>
      <c r="T3942" t="str">
        <f t="shared" si="1605"/>
        <v>10.20.8.188</v>
      </c>
      <c r="U3942" t="str">
        <f t="shared" si="1606"/>
        <v>AZRAD UMAR BIN SHAARI</v>
      </c>
      <c r="V3942" t="str">
        <f t="shared" si="1607"/>
        <v>FARHANA BINTI MUSTAPA</v>
      </c>
      <c r="W3942" t="str">
        <f t="shared" si="1608"/>
        <v>04-08-2020</v>
      </c>
      <c r="X3942" t="str">
        <f t="shared" si="1609"/>
        <v>RAZIMAH ANSAR AHMAD</v>
      </c>
      <c r="Y3942" t="str">
        <f t="shared" si="1610"/>
        <v>04-08-2020</v>
      </c>
      <c r="Z3942" t="str">
        <f>"COS10200804 5612"</f>
        <v>COS10200804 5612</v>
      </c>
    </row>
    <row r="3943" spans="1:26" x14ac:dyDescent="0.25">
      <c r="A3943" t="str">
        <f t="shared" si="1611"/>
        <v>04-08-2020 12:56:11</v>
      </c>
      <c r="B3943" t="str">
        <f>"0000806998"</f>
        <v>0000806998</v>
      </c>
      <c r="C3943" t="str">
        <f t="shared" si="1612"/>
        <v>0000806987</v>
      </c>
      <c r="D3943" t="str">
        <f t="shared" si="1598"/>
        <v>73185</v>
      </c>
      <c r="E3943" t="str">
        <f t="shared" si="1599"/>
        <v>KFH-OPERATIONS DEPARTMENT</v>
      </c>
      <c r="F3943" t="str">
        <f t="shared" si="1600"/>
        <v>IBG</v>
      </c>
      <c r="G3943" t="str">
        <f t="shared" si="1613"/>
        <v>Refund COSHARE 10</v>
      </c>
      <c r="H3943" s="2">
        <v>293.85000000000002</v>
      </c>
      <c r="I3943" t="str">
        <f>"MOHD FARID BIN MOHD KHALIDAYOB"</f>
        <v>MOHD FARID BIN MOHD KHALIDAYOB</v>
      </c>
      <c r="J3943" t="str">
        <f t="shared" si="1614"/>
        <v>MAYBANK / MAYBANK ISLAMIC</v>
      </c>
      <c r="K3943" t="str">
        <f>"101217580910"</f>
        <v>101217580910</v>
      </c>
      <c r="L3943" t="str">
        <f t="shared" si="1615"/>
        <v>04-08-2020</v>
      </c>
      <c r="M3943" t="str">
        <f t="shared" si="1615"/>
        <v>04-08-2020</v>
      </c>
      <c r="N3943" t="str">
        <f t="shared" si="1601"/>
        <v>001105018356</v>
      </c>
      <c r="O3943" t="str">
        <f t="shared" si="1602"/>
        <v>MYR</v>
      </c>
      <c r="P3943" t="str">
        <f t="shared" si="1616"/>
        <v>NIL</v>
      </c>
      <c r="Q3943" t="str">
        <f t="shared" si="1616"/>
        <v>NIL</v>
      </c>
      <c r="R3943" t="str">
        <f t="shared" si="1603"/>
        <v>Accepted</v>
      </c>
      <c r="S3943" t="str">
        <f t="shared" si="1604"/>
        <v>Approved</v>
      </c>
      <c r="T3943" t="str">
        <f t="shared" si="1605"/>
        <v>10.20.8.188</v>
      </c>
      <c r="U3943" t="str">
        <f t="shared" si="1606"/>
        <v>AZRAD UMAR BIN SHAARI</v>
      </c>
      <c r="V3943" t="str">
        <f t="shared" si="1607"/>
        <v>FARHANA BINTI MUSTAPA</v>
      </c>
      <c r="W3943" t="str">
        <f t="shared" si="1608"/>
        <v>04-08-2020</v>
      </c>
      <c r="X3943" t="str">
        <f t="shared" si="1609"/>
        <v>RAZIMAH ANSAR AHMAD</v>
      </c>
      <c r="Y3943" t="str">
        <f t="shared" si="1610"/>
        <v>04-08-2020</v>
      </c>
      <c r="Z3943" t="str">
        <f>"COS10200804 5611"</f>
        <v>COS10200804 5611</v>
      </c>
    </row>
    <row r="3944" spans="1:26" x14ac:dyDescent="0.25">
      <c r="A3944" t="str">
        <f t="shared" si="1611"/>
        <v>04-08-2020 12:56:11</v>
      </c>
      <c r="B3944" t="str">
        <f>"0000806997"</f>
        <v>0000806997</v>
      </c>
      <c r="C3944" t="str">
        <f t="shared" si="1612"/>
        <v>0000806987</v>
      </c>
      <c r="D3944" t="str">
        <f t="shared" si="1598"/>
        <v>73185</v>
      </c>
      <c r="E3944" t="str">
        <f t="shared" si="1599"/>
        <v>KFH-OPERATIONS DEPARTMENT</v>
      </c>
      <c r="F3944" t="str">
        <f t="shared" si="1600"/>
        <v>IBG</v>
      </c>
      <c r="G3944" t="str">
        <f t="shared" si="1613"/>
        <v>Refund COSHARE 10</v>
      </c>
      <c r="H3944" s="2">
        <v>965.45</v>
      </c>
      <c r="I3944" t="str">
        <f>"MOHD FARID BIN MD SALLEH"</f>
        <v>MOHD FARID BIN MD SALLEH</v>
      </c>
      <c r="J3944" t="str">
        <f t="shared" si="1614"/>
        <v>MAYBANK / MAYBANK ISLAMIC</v>
      </c>
      <c r="K3944" t="str">
        <f>"162375723809"</f>
        <v>162375723809</v>
      </c>
      <c r="L3944" t="str">
        <f t="shared" si="1615"/>
        <v>04-08-2020</v>
      </c>
      <c r="M3944" t="str">
        <f t="shared" si="1615"/>
        <v>04-08-2020</v>
      </c>
      <c r="N3944" t="str">
        <f t="shared" si="1601"/>
        <v>001105018356</v>
      </c>
      <c r="O3944" t="str">
        <f t="shared" si="1602"/>
        <v>MYR</v>
      </c>
      <c r="P3944" t="str">
        <f t="shared" si="1616"/>
        <v>NIL</v>
      </c>
      <c r="Q3944" t="str">
        <f t="shared" si="1616"/>
        <v>NIL</v>
      </c>
      <c r="R3944" t="str">
        <f t="shared" si="1603"/>
        <v>Accepted</v>
      </c>
      <c r="S3944" t="str">
        <f t="shared" si="1604"/>
        <v>Approved</v>
      </c>
      <c r="T3944" t="str">
        <f t="shared" si="1605"/>
        <v>10.20.8.188</v>
      </c>
      <c r="U3944" t="str">
        <f t="shared" si="1606"/>
        <v>AZRAD UMAR BIN SHAARI</v>
      </c>
      <c r="V3944" t="str">
        <f t="shared" si="1607"/>
        <v>FARHANA BINTI MUSTAPA</v>
      </c>
      <c r="W3944" t="str">
        <f t="shared" si="1608"/>
        <v>04-08-2020</v>
      </c>
      <c r="X3944" t="str">
        <f t="shared" si="1609"/>
        <v>RAZIMAH ANSAR AHMAD</v>
      </c>
      <c r="Y3944" t="str">
        <f t="shared" si="1610"/>
        <v>04-08-2020</v>
      </c>
      <c r="Z3944" t="str">
        <f>"COS10200804 5610"</f>
        <v>COS10200804 5610</v>
      </c>
    </row>
    <row r="3945" spans="1:26" x14ac:dyDescent="0.25">
      <c r="A3945" t="str">
        <f t="shared" si="1611"/>
        <v>04-08-2020 12:56:11</v>
      </c>
      <c r="B3945" t="str">
        <f>"0000806996"</f>
        <v>0000806996</v>
      </c>
      <c r="C3945" t="str">
        <f t="shared" si="1612"/>
        <v>0000806987</v>
      </c>
      <c r="D3945" t="str">
        <f t="shared" si="1598"/>
        <v>73185</v>
      </c>
      <c r="E3945" t="str">
        <f t="shared" si="1599"/>
        <v>KFH-OPERATIONS DEPARTMENT</v>
      </c>
      <c r="F3945" t="str">
        <f t="shared" si="1600"/>
        <v>IBG</v>
      </c>
      <c r="G3945" t="str">
        <f t="shared" si="1613"/>
        <v>Refund COSHARE 10</v>
      </c>
      <c r="H3945" s="2">
        <v>327</v>
      </c>
      <c r="I3945" t="str">
        <f>"MOHD FARDAUS BIN  NORDIN"</f>
        <v>MOHD FARDAUS BIN  NORDIN</v>
      </c>
      <c r="J3945" t="str">
        <f t="shared" si="1614"/>
        <v>MAYBANK / MAYBANK ISLAMIC</v>
      </c>
      <c r="K3945" t="str">
        <f>"156048176986"</f>
        <v>156048176986</v>
      </c>
      <c r="L3945" t="str">
        <f t="shared" si="1615"/>
        <v>04-08-2020</v>
      </c>
      <c r="M3945" t="str">
        <f t="shared" si="1615"/>
        <v>04-08-2020</v>
      </c>
      <c r="N3945" t="str">
        <f t="shared" si="1601"/>
        <v>001105018356</v>
      </c>
      <c r="O3945" t="str">
        <f t="shared" si="1602"/>
        <v>MYR</v>
      </c>
      <c r="P3945" t="str">
        <f t="shared" si="1616"/>
        <v>NIL</v>
      </c>
      <c r="Q3945" t="str">
        <f t="shared" si="1616"/>
        <v>NIL</v>
      </c>
      <c r="R3945" t="str">
        <f t="shared" si="1603"/>
        <v>Accepted</v>
      </c>
      <c r="S3945" t="str">
        <f t="shared" si="1604"/>
        <v>Approved</v>
      </c>
      <c r="T3945" t="str">
        <f t="shared" si="1605"/>
        <v>10.20.8.188</v>
      </c>
      <c r="U3945" t="str">
        <f t="shared" si="1606"/>
        <v>AZRAD UMAR BIN SHAARI</v>
      </c>
      <c r="V3945" t="str">
        <f t="shared" si="1607"/>
        <v>FARHANA BINTI MUSTAPA</v>
      </c>
      <c r="W3945" t="str">
        <f t="shared" si="1608"/>
        <v>04-08-2020</v>
      </c>
      <c r="X3945" t="str">
        <f t="shared" si="1609"/>
        <v>RAZIMAH ANSAR AHMAD</v>
      </c>
      <c r="Y3945" t="str">
        <f t="shared" si="1610"/>
        <v>04-08-2020</v>
      </c>
      <c r="Z3945" t="str">
        <f>"COS10200804 5609"</f>
        <v>COS10200804 5609</v>
      </c>
    </row>
    <row r="3946" spans="1:26" x14ac:dyDescent="0.25">
      <c r="A3946" t="str">
        <f t="shared" ref="A3946:A3953" si="1617">"04-08-2020 12:56:11"</f>
        <v>04-08-2020 12:56:11</v>
      </c>
      <c r="B3946" t="str">
        <f>"0000806995"</f>
        <v>0000806995</v>
      </c>
      <c r="C3946" t="str">
        <f t="shared" ref="C3946:C3953" si="1618">"0000806987"</f>
        <v>0000806987</v>
      </c>
      <c r="D3946" t="str">
        <f t="shared" si="1598"/>
        <v>73185</v>
      </c>
      <c r="E3946" t="str">
        <f t="shared" si="1599"/>
        <v>KFH-OPERATIONS DEPARTMENT</v>
      </c>
      <c r="F3946" t="str">
        <f t="shared" si="1600"/>
        <v>IBG</v>
      </c>
      <c r="G3946" t="str">
        <f t="shared" si="1613"/>
        <v>Refund COSHARE 10</v>
      </c>
      <c r="H3946" s="2">
        <v>495.3</v>
      </c>
      <c r="I3946" t="str">
        <f>"MOHD FAKURUZI BIN ISMAIL"</f>
        <v>MOHD FAKURUZI BIN ISMAIL</v>
      </c>
      <c r="J3946" t="str">
        <f t="shared" si="1614"/>
        <v>MAYBANK / MAYBANK ISLAMIC</v>
      </c>
      <c r="K3946" t="str">
        <f>"151017192024"</f>
        <v>151017192024</v>
      </c>
      <c r="L3946" t="str">
        <f t="shared" si="1615"/>
        <v>04-08-2020</v>
      </c>
      <c r="M3946" t="str">
        <f t="shared" si="1615"/>
        <v>04-08-2020</v>
      </c>
      <c r="N3946" t="str">
        <f t="shared" si="1601"/>
        <v>001105018356</v>
      </c>
      <c r="O3946" t="str">
        <f t="shared" si="1602"/>
        <v>MYR</v>
      </c>
      <c r="P3946" t="str">
        <f t="shared" si="1616"/>
        <v>NIL</v>
      </c>
      <c r="Q3946" t="str">
        <f t="shared" si="1616"/>
        <v>NIL</v>
      </c>
      <c r="R3946" t="str">
        <f t="shared" si="1603"/>
        <v>Accepted</v>
      </c>
      <c r="S3946" t="str">
        <f t="shared" si="1604"/>
        <v>Approved</v>
      </c>
      <c r="T3946" t="str">
        <f t="shared" si="1605"/>
        <v>10.20.8.188</v>
      </c>
      <c r="U3946" t="str">
        <f t="shared" si="1606"/>
        <v>AZRAD UMAR BIN SHAARI</v>
      </c>
      <c r="V3946" t="str">
        <f t="shared" si="1607"/>
        <v>FARHANA BINTI MUSTAPA</v>
      </c>
      <c r="W3946" t="str">
        <f t="shared" si="1608"/>
        <v>04-08-2020</v>
      </c>
      <c r="X3946" t="str">
        <f t="shared" si="1609"/>
        <v>RAZIMAH ANSAR AHMAD</v>
      </c>
      <c r="Y3946" t="str">
        <f t="shared" si="1610"/>
        <v>04-08-2020</v>
      </c>
      <c r="Z3946" t="str">
        <f>"COS10200804 5608"</f>
        <v>COS10200804 5608</v>
      </c>
    </row>
    <row r="3947" spans="1:26" x14ac:dyDescent="0.25">
      <c r="A3947" t="str">
        <f t="shared" si="1617"/>
        <v>04-08-2020 12:56:11</v>
      </c>
      <c r="B3947" t="str">
        <f>"0000806994"</f>
        <v>0000806994</v>
      </c>
      <c r="C3947" t="str">
        <f t="shared" si="1618"/>
        <v>0000806987</v>
      </c>
      <c r="D3947" t="str">
        <f t="shared" si="1598"/>
        <v>73185</v>
      </c>
      <c r="E3947" t="str">
        <f t="shared" si="1599"/>
        <v>KFH-OPERATIONS DEPARTMENT</v>
      </c>
      <c r="F3947" t="str">
        <f t="shared" si="1600"/>
        <v>IBG</v>
      </c>
      <c r="G3947" t="str">
        <f t="shared" si="1613"/>
        <v>Refund COSHARE 10</v>
      </c>
      <c r="H3947" s="2">
        <v>392.95</v>
      </c>
      <c r="I3947" t="str">
        <f>"MOHD FAKHZAN AS SAFARI BIN MT ISA"</f>
        <v>MOHD FAKHZAN AS SAFARI BIN MT ISA</v>
      </c>
      <c r="J3947" t="str">
        <f t="shared" si="1614"/>
        <v>MAYBANK / MAYBANK ISLAMIC</v>
      </c>
      <c r="K3947" t="str">
        <f>"152040330280"</f>
        <v>152040330280</v>
      </c>
      <c r="L3947" t="str">
        <f t="shared" ref="L3947:M3966" si="1619">"04-08-2020"</f>
        <v>04-08-2020</v>
      </c>
      <c r="M3947" t="str">
        <f t="shared" si="1619"/>
        <v>04-08-2020</v>
      </c>
      <c r="N3947" t="str">
        <f t="shared" si="1601"/>
        <v>001105018356</v>
      </c>
      <c r="O3947" t="str">
        <f t="shared" si="1602"/>
        <v>MYR</v>
      </c>
      <c r="P3947" t="str">
        <f t="shared" ref="P3947:Q3966" si="1620">"NIL"</f>
        <v>NIL</v>
      </c>
      <c r="Q3947" t="str">
        <f t="shared" si="1620"/>
        <v>NIL</v>
      </c>
      <c r="R3947" t="str">
        <f t="shared" si="1603"/>
        <v>Accepted</v>
      </c>
      <c r="S3947" t="str">
        <f t="shared" si="1604"/>
        <v>Approved</v>
      </c>
      <c r="T3947" t="str">
        <f t="shared" si="1605"/>
        <v>10.20.8.188</v>
      </c>
      <c r="U3947" t="str">
        <f t="shared" si="1606"/>
        <v>AZRAD UMAR BIN SHAARI</v>
      </c>
      <c r="V3947" t="str">
        <f t="shared" si="1607"/>
        <v>FARHANA BINTI MUSTAPA</v>
      </c>
      <c r="W3947" t="str">
        <f t="shared" si="1608"/>
        <v>04-08-2020</v>
      </c>
      <c r="X3947" t="str">
        <f t="shared" si="1609"/>
        <v>RAZIMAH ANSAR AHMAD</v>
      </c>
      <c r="Y3947" t="str">
        <f t="shared" si="1610"/>
        <v>04-08-2020</v>
      </c>
      <c r="Z3947" t="str">
        <f>"COS10200804 5607"</f>
        <v>COS10200804 5607</v>
      </c>
    </row>
    <row r="3948" spans="1:26" x14ac:dyDescent="0.25">
      <c r="A3948" t="str">
        <f t="shared" si="1617"/>
        <v>04-08-2020 12:56:11</v>
      </c>
      <c r="B3948" t="str">
        <f>"0000806993"</f>
        <v>0000806993</v>
      </c>
      <c r="C3948" t="str">
        <f t="shared" si="1618"/>
        <v>0000806987</v>
      </c>
      <c r="D3948" t="str">
        <f t="shared" si="1598"/>
        <v>73185</v>
      </c>
      <c r="E3948" t="str">
        <f t="shared" si="1599"/>
        <v>KFH-OPERATIONS DEPARTMENT</v>
      </c>
      <c r="F3948" t="str">
        <f t="shared" si="1600"/>
        <v>IBG</v>
      </c>
      <c r="G3948" t="str">
        <f t="shared" si="1613"/>
        <v>Refund COSHARE 10</v>
      </c>
      <c r="H3948" s="2">
        <v>218.3</v>
      </c>
      <c r="I3948" t="str">
        <f>"MOHD FAKHRULRAZI BIN TALIB"</f>
        <v>MOHD FAKHRULRAZI BIN TALIB</v>
      </c>
      <c r="J3948" t="str">
        <f t="shared" si="1614"/>
        <v>MAYBANK / MAYBANK ISLAMIC</v>
      </c>
      <c r="K3948" t="str">
        <f>"110108142934"</f>
        <v>110108142934</v>
      </c>
      <c r="L3948" t="str">
        <f t="shared" si="1619"/>
        <v>04-08-2020</v>
      </c>
      <c r="M3948" t="str">
        <f t="shared" si="1619"/>
        <v>04-08-2020</v>
      </c>
      <c r="N3948" t="str">
        <f t="shared" si="1601"/>
        <v>001105018356</v>
      </c>
      <c r="O3948" t="str">
        <f t="shared" si="1602"/>
        <v>MYR</v>
      </c>
      <c r="P3948" t="str">
        <f t="shared" si="1620"/>
        <v>NIL</v>
      </c>
      <c r="Q3948" t="str">
        <f t="shared" si="1620"/>
        <v>NIL</v>
      </c>
      <c r="R3948" t="str">
        <f t="shared" si="1603"/>
        <v>Accepted</v>
      </c>
      <c r="S3948" t="str">
        <f t="shared" si="1604"/>
        <v>Approved</v>
      </c>
      <c r="T3948" t="str">
        <f t="shared" si="1605"/>
        <v>10.20.8.188</v>
      </c>
      <c r="U3948" t="str">
        <f t="shared" si="1606"/>
        <v>AZRAD UMAR BIN SHAARI</v>
      </c>
      <c r="V3948" t="str">
        <f t="shared" si="1607"/>
        <v>FARHANA BINTI MUSTAPA</v>
      </c>
      <c r="W3948" t="str">
        <f t="shared" si="1608"/>
        <v>04-08-2020</v>
      </c>
      <c r="X3948" t="str">
        <f t="shared" si="1609"/>
        <v>RAZIMAH ANSAR AHMAD</v>
      </c>
      <c r="Y3948" t="str">
        <f t="shared" si="1610"/>
        <v>04-08-2020</v>
      </c>
      <c r="Z3948" t="str">
        <f>"COS10200804 5606"</f>
        <v>COS10200804 5606</v>
      </c>
    </row>
    <row r="3949" spans="1:26" x14ac:dyDescent="0.25">
      <c r="A3949" t="str">
        <f t="shared" si="1617"/>
        <v>04-08-2020 12:56:11</v>
      </c>
      <c r="B3949" t="str">
        <f>"0000806992"</f>
        <v>0000806992</v>
      </c>
      <c r="C3949" t="str">
        <f t="shared" si="1618"/>
        <v>0000806987</v>
      </c>
      <c r="D3949" t="str">
        <f t="shared" si="1598"/>
        <v>73185</v>
      </c>
      <c r="E3949" t="str">
        <f t="shared" si="1599"/>
        <v>KFH-OPERATIONS DEPARTMENT</v>
      </c>
      <c r="F3949" t="str">
        <f t="shared" si="1600"/>
        <v>IBG</v>
      </c>
      <c r="G3949" t="str">
        <f t="shared" si="1613"/>
        <v>Refund COSHARE 10</v>
      </c>
      <c r="H3949" s="2">
        <v>251.85</v>
      </c>
      <c r="I3949" t="str">
        <f>"MOHD FAKHRUL MUNIR BIN MOHD ISA"</f>
        <v>MOHD FAKHRUL MUNIR BIN MOHD ISA</v>
      </c>
      <c r="J3949" t="str">
        <f t="shared" si="1614"/>
        <v>MAYBANK / MAYBANK ISLAMIC</v>
      </c>
      <c r="K3949" t="str">
        <f>"157090916042"</f>
        <v>157090916042</v>
      </c>
      <c r="L3949" t="str">
        <f t="shared" si="1619"/>
        <v>04-08-2020</v>
      </c>
      <c r="M3949" t="str">
        <f t="shared" si="1619"/>
        <v>04-08-2020</v>
      </c>
      <c r="N3949" t="str">
        <f t="shared" si="1601"/>
        <v>001105018356</v>
      </c>
      <c r="O3949" t="str">
        <f t="shared" si="1602"/>
        <v>MYR</v>
      </c>
      <c r="P3949" t="str">
        <f t="shared" si="1620"/>
        <v>NIL</v>
      </c>
      <c r="Q3949" t="str">
        <f t="shared" si="1620"/>
        <v>NIL</v>
      </c>
      <c r="R3949" t="str">
        <f t="shared" si="1603"/>
        <v>Accepted</v>
      </c>
      <c r="S3949" t="str">
        <f t="shared" si="1604"/>
        <v>Approved</v>
      </c>
      <c r="T3949" t="str">
        <f t="shared" si="1605"/>
        <v>10.20.8.188</v>
      </c>
      <c r="U3949" t="str">
        <f t="shared" si="1606"/>
        <v>AZRAD UMAR BIN SHAARI</v>
      </c>
      <c r="V3949" t="str">
        <f t="shared" si="1607"/>
        <v>FARHANA BINTI MUSTAPA</v>
      </c>
      <c r="W3949" t="str">
        <f t="shared" si="1608"/>
        <v>04-08-2020</v>
      </c>
      <c r="X3949" t="str">
        <f t="shared" si="1609"/>
        <v>RAZIMAH ANSAR AHMAD</v>
      </c>
      <c r="Y3949" t="str">
        <f t="shared" si="1610"/>
        <v>04-08-2020</v>
      </c>
      <c r="Z3949" t="str">
        <f>"COS10200804 5605"</f>
        <v>COS10200804 5605</v>
      </c>
    </row>
    <row r="3950" spans="1:26" x14ac:dyDescent="0.25">
      <c r="A3950" t="str">
        <f t="shared" si="1617"/>
        <v>04-08-2020 12:56:11</v>
      </c>
      <c r="B3950" t="str">
        <f>"0000806991"</f>
        <v>0000806991</v>
      </c>
      <c r="C3950" t="str">
        <f t="shared" si="1618"/>
        <v>0000806987</v>
      </c>
      <c r="D3950" t="str">
        <f t="shared" si="1598"/>
        <v>73185</v>
      </c>
      <c r="E3950" t="str">
        <f t="shared" si="1599"/>
        <v>KFH-OPERATIONS DEPARTMENT</v>
      </c>
      <c r="F3950" t="str">
        <f t="shared" si="1600"/>
        <v>IBG</v>
      </c>
      <c r="G3950" t="str">
        <f t="shared" si="1613"/>
        <v>Refund COSHARE 10</v>
      </c>
      <c r="H3950" s="2">
        <v>335.8</v>
      </c>
      <c r="I3950" t="str">
        <f>"MOHD FAKHRUDIN BIN ARIFIN"</f>
        <v>MOHD FAKHRUDIN BIN ARIFIN</v>
      </c>
      <c r="J3950" t="str">
        <f t="shared" si="1614"/>
        <v>MAYBANK / MAYBANK ISLAMIC</v>
      </c>
      <c r="K3950" t="str">
        <f>"151427122490"</f>
        <v>151427122490</v>
      </c>
      <c r="L3950" t="str">
        <f t="shared" si="1619"/>
        <v>04-08-2020</v>
      </c>
      <c r="M3950" t="str">
        <f t="shared" si="1619"/>
        <v>04-08-2020</v>
      </c>
      <c r="N3950" t="str">
        <f t="shared" si="1601"/>
        <v>001105018356</v>
      </c>
      <c r="O3950" t="str">
        <f t="shared" si="1602"/>
        <v>MYR</v>
      </c>
      <c r="P3950" t="str">
        <f t="shared" si="1620"/>
        <v>NIL</v>
      </c>
      <c r="Q3950" t="str">
        <f t="shared" si="1620"/>
        <v>NIL</v>
      </c>
      <c r="R3950" t="str">
        <f t="shared" si="1603"/>
        <v>Accepted</v>
      </c>
      <c r="S3950" t="str">
        <f t="shared" si="1604"/>
        <v>Approved</v>
      </c>
      <c r="T3950" t="str">
        <f t="shared" si="1605"/>
        <v>10.20.8.188</v>
      </c>
      <c r="U3950" t="str">
        <f t="shared" si="1606"/>
        <v>AZRAD UMAR BIN SHAARI</v>
      </c>
      <c r="V3950" t="str">
        <f t="shared" si="1607"/>
        <v>FARHANA BINTI MUSTAPA</v>
      </c>
      <c r="W3950" t="str">
        <f t="shared" si="1608"/>
        <v>04-08-2020</v>
      </c>
      <c r="X3950" t="str">
        <f t="shared" si="1609"/>
        <v>RAZIMAH ANSAR AHMAD</v>
      </c>
      <c r="Y3950" t="str">
        <f t="shared" si="1610"/>
        <v>04-08-2020</v>
      </c>
      <c r="Z3950" t="str">
        <f>"COS10200804 5604"</f>
        <v>COS10200804 5604</v>
      </c>
    </row>
    <row r="3951" spans="1:26" x14ac:dyDescent="0.25">
      <c r="A3951" t="str">
        <f t="shared" si="1617"/>
        <v>04-08-2020 12:56:11</v>
      </c>
      <c r="B3951" t="str">
        <f>"0000806990"</f>
        <v>0000806990</v>
      </c>
      <c r="C3951" t="str">
        <f t="shared" si="1618"/>
        <v>0000806987</v>
      </c>
      <c r="D3951" t="str">
        <f t="shared" si="1598"/>
        <v>73185</v>
      </c>
      <c r="E3951" t="str">
        <f t="shared" si="1599"/>
        <v>KFH-OPERATIONS DEPARTMENT</v>
      </c>
      <c r="F3951" t="str">
        <f t="shared" si="1600"/>
        <v>IBG</v>
      </c>
      <c r="G3951" t="str">
        <f t="shared" si="1613"/>
        <v>Refund COSHARE 10</v>
      </c>
      <c r="H3951" s="2">
        <v>1393.6</v>
      </c>
      <c r="I3951" t="str">
        <f>"MOHD FAIZUL NAZWAN BIN FOIZI"</f>
        <v>MOHD FAIZUL NAZWAN BIN FOIZI</v>
      </c>
      <c r="J3951" t="str">
        <f t="shared" si="1614"/>
        <v>MAYBANK / MAYBANK ISLAMIC</v>
      </c>
      <c r="K3951" t="str">
        <f>"153056079901"</f>
        <v>153056079901</v>
      </c>
      <c r="L3951" t="str">
        <f t="shared" si="1619"/>
        <v>04-08-2020</v>
      </c>
      <c r="M3951" t="str">
        <f t="shared" si="1619"/>
        <v>04-08-2020</v>
      </c>
      <c r="N3951" t="str">
        <f t="shared" si="1601"/>
        <v>001105018356</v>
      </c>
      <c r="O3951" t="str">
        <f t="shared" si="1602"/>
        <v>MYR</v>
      </c>
      <c r="P3951" t="str">
        <f t="shared" si="1620"/>
        <v>NIL</v>
      </c>
      <c r="Q3951" t="str">
        <f t="shared" si="1620"/>
        <v>NIL</v>
      </c>
      <c r="R3951" t="str">
        <f t="shared" si="1603"/>
        <v>Accepted</v>
      </c>
      <c r="S3951" t="str">
        <f t="shared" si="1604"/>
        <v>Approved</v>
      </c>
      <c r="T3951" t="str">
        <f t="shared" si="1605"/>
        <v>10.20.8.188</v>
      </c>
      <c r="U3951" t="str">
        <f t="shared" si="1606"/>
        <v>AZRAD UMAR BIN SHAARI</v>
      </c>
      <c r="V3951" t="str">
        <f t="shared" si="1607"/>
        <v>FARHANA BINTI MUSTAPA</v>
      </c>
      <c r="W3951" t="str">
        <f t="shared" si="1608"/>
        <v>04-08-2020</v>
      </c>
      <c r="X3951" t="str">
        <f t="shared" si="1609"/>
        <v>RAZIMAH ANSAR AHMAD</v>
      </c>
      <c r="Y3951" t="str">
        <f t="shared" si="1610"/>
        <v>04-08-2020</v>
      </c>
      <c r="Z3951" t="str">
        <f>"COS10200804 5603"</f>
        <v>COS10200804 5603</v>
      </c>
    </row>
    <row r="3952" spans="1:26" x14ac:dyDescent="0.25">
      <c r="A3952" t="str">
        <f t="shared" si="1617"/>
        <v>04-08-2020 12:56:11</v>
      </c>
      <c r="B3952" t="str">
        <f>"0000806989"</f>
        <v>0000806989</v>
      </c>
      <c r="C3952" t="str">
        <f t="shared" si="1618"/>
        <v>0000806987</v>
      </c>
      <c r="D3952" t="str">
        <f t="shared" si="1598"/>
        <v>73185</v>
      </c>
      <c r="E3952" t="str">
        <f t="shared" si="1599"/>
        <v>KFH-OPERATIONS DEPARTMENT</v>
      </c>
      <c r="F3952" t="str">
        <f t="shared" si="1600"/>
        <v>IBG</v>
      </c>
      <c r="G3952" t="str">
        <f t="shared" si="1613"/>
        <v>Refund COSHARE 10</v>
      </c>
      <c r="H3952" s="2">
        <v>704</v>
      </c>
      <c r="I3952" t="str">
        <f>"MOHD FAIZUL BIN ZAKARIA"</f>
        <v>MOHD FAIZUL BIN ZAKARIA</v>
      </c>
      <c r="J3952" t="str">
        <f t="shared" si="1614"/>
        <v>MAYBANK / MAYBANK ISLAMIC</v>
      </c>
      <c r="K3952" t="str">
        <f>"112353046211"</f>
        <v>112353046211</v>
      </c>
      <c r="L3952" t="str">
        <f t="shared" si="1619"/>
        <v>04-08-2020</v>
      </c>
      <c r="M3952" t="str">
        <f t="shared" si="1619"/>
        <v>04-08-2020</v>
      </c>
      <c r="N3952" t="str">
        <f t="shared" si="1601"/>
        <v>001105018356</v>
      </c>
      <c r="O3952" t="str">
        <f t="shared" si="1602"/>
        <v>MYR</v>
      </c>
      <c r="P3952" t="str">
        <f t="shared" si="1620"/>
        <v>NIL</v>
      </c>
      <c r="Q3952" t="str">
        <f t="shared" si="1620"/>
        <v>NIL</v>
      </c>
      <c r="R3952" t="str">
        <f t="shared" si="1603"/>
        <v>Accepted</v>
      </c>
      <c r="S3952" t="str">
        <f t="shared" si="1604"/>
        <v>Approved</v>
      </c>
      <c r="T3952" t="str">
        <f t="shared" si="1605"/>
        <v>10.20.8.188</v>
      </c>
      <c r="U3952" t="str">
        <f t="shared" si="1606"/>
        <v>AZRAD UMAR BIN SHAARI</v>
      </c>
      <c r="V3952" t="str">
        <f t="shared" si="1607"/>
        <v>FARHANA BINTI MUSTAPA</v>
      </c>
      <c r="W3952" t="str">
        <f t="shared" si="1608"/>
        <v>04-08-2020</v>
      </c>
      <c r="X3952" t="str">
        <f t="shared" si="1609"/>
        <v>RAZIMAH ANSAR AHMAD</v>
      </c>
      <c r="Y3952" t="str">
        <f t="shared" si="1610"/>
        <v>04-08-2020</v>
      </c>
      <c r="Z3952" t="str">
        <f>"COS10200804 5602"</f>
        <v>COS10200804 5602</v>
      </c>
    </row>
    <row r="3953" spans="1:26" x14ac:dyDescent="0.25">
      <c r="A3953" t="str">
        <f t="shared" si="1617"/>
        <v>04-08-2020 12:56:11</v>
      </c>
      <c r="B3953" t="str">
        <f>"0000806988"</f>
        <v>0000806988</v>
      </c>
      <c r="C3953" t="str">
        <f t="shared" si="1618"/>
        <v>0000806987</v>
      </c>
      <c r="D3953" t="str">
        <f t="shared" si="1598"/>
        <v>73185</v>
      </c>
      <c r="E3953" t="str">
        <f t="shared" si="1599"/>
        <v>KFH-OPERATIONS DEPARTMENT</v>
      </c>
      <c r="F3953" t="str">
        <f t="shared" si="1600"/>
        <v>IBG</v>
      </c>
      <c r="G3953" t="str">
        <f t="shared" si="1613"/>
        <v>Refund COSHARE 10</v>
      </c>
      <c r="H3953" s="2">
        <v>906.65</v>
      </c>
      <c r="I3953" t="str">
        <f>"MOHD FAIZATUL AKMAL BIN TALHIS"</f>
        <v>MOHD FAIZATUL AKMAL BIN TALHIS</v>
      </c>
      <c r="J3953" t="str">
        <f t="shared" si="1614"/>
        <v>MAYBANK / MAYBANK ISLAMIC</v>
      </c>
      <c r="K3953" t="str">
        <f>"162375604492"</f>
        <v>162375604492</v>
      </c>
      <c r="L3953" t="str">
        <f t="shared" si="1619"/>
        <v>04-08-2020</v>
      </c>
      <c r="M3953" t="str">
        <f t="shared" si="1619"/>
        <v>04-08-2020</v>
      </c>
      <c r="N3953" t="str">
        <f t="shared" si="1601"/>
        <v>001105018356</v>
      </c>
      <c r="O3953" t="str">
        <f t="shared" si="1602"/>
        <v>MYR</v>
      </c>
      <c r="P3953" t="str">
        <f t="shared" si="1620"/>
        <v>NIL</v>
      </c>
      <c r="Q3953" t="str">
        <f t="shared" si="1620"/>
        <v>NIL</v>
      </c>
      <c r="R3953" t="str">
        <f t="shared" si="1603"/>
        <v>Accepted</v>
      </c>
      <c r="S3953" t="str">
        <f t="shared" si="1604"/>
        <v>Approved</v>
      </c>
      <c r="T3953" t="str">
        <f t="shared" si="1605"/>
        <v>10.20.8.188</v>
      </c>
      <c r="U3953" t="str">
        <f t="shared" si="1606"/>
        <v>AZRAD UMAR BIN SHAARI</v>
      </c>
      <c r="V3953" t="str">
        <f t="shared" si="1607"/>
        <v>FARHANA BINTI MUSTAPA</v>
      </c>
      <c r="W3953" t="str">
        <f t="shared" si="1608"/>
        <v>04-08-2020</v>
      </c>
      <c r="X3953" t="str">
        <f t="shared" si="1609"/>
        <v>RAZIMAH ANSAR AHMAD</v>
      </c>
      <c r="Y3953" t="str">
        <f t="shared" si="1610"/>
        <v>04-08-2020</v>
      </c>
      <c r="Z3953" t="str">
        <f>"COS10200804 5601"</f>
        <v>COS10200804 5601</v>
      </c>
    </row>
    <row r="3954" spans="1:26" x14ac:dyDescent="0.25">
      <c r="A3954" t="str">
        <f t="shared" ref="A3954:A3985" si="1621">"04-08-2020 12:55:04"</f>
        <v>04-08-2020 12:55:04</v>
      </c>
      <c r="B3954" t="str">
        <f>"0000806986"</f>
        <v>0000806986</v>
      </c>
      <c r="C3954" t="str">
        <f t="shared" ref="C3954:C3985" si="1622">"0000806786"</f>
        <v>0000806786</v>
      </c>
      <c r="D3954" t="str">
        <f t="shared" si="1598"/>
        <v>73185</v>
      </c>
      <c r="E3954" t="str">
        <f t="shared" si="1599"/>
        <v>KFH-OPERATIONS DEPARTMENT</v>
      </c>
      <c r="F3954" t="str">
        <f t="shared" si="1600"/>
        <v>IBG</v>
      </c>
      <c r="G3954" t="str">
        <f t="shared" si="1613"/>
        <v>Refund COSHARE 10</v>
      </c>
      <c r="H3954" s="2">
        <v>528.9</v>
      </c>
      <c r="I3954" t="str">
        <f>"MARIATUL HAFIZA BINTI MOHD SULAIMAN"</f>
        <v>MARIATUL HAFIZA BINTI MOHD SULAIMAN</v>
      </c>
      <c r="J3954" t="str">
        <f t="shared" si="1614"/>
        <v>MAYBANK / MAYBANK ISLAMIC</v>
      </c>
      <c r="K3954" t="str">
        <f>"158079649361"</f>
        <v>158079649361</v>
      </c>
      <c r="L3954" t="str">
        <f t="shared" si="1619"/>
        <v>04-08-2020</v>
      </c>
      <c r="M3954" t="str">
        <f t="shared" si="1619"/>
        <v>04-08-2020</v>
      </c>
      <c r="N3954" t="str">
        <f t="shared" si="1601"/>
        <v>001105018356</v>
      </c>
      <c r="O3954" t="str">
        <f t="shared" si="1602"/>
        <v>MYR</v>
      </c>
      <c r="P3954" t="str">
        <f t="shared" si="1620"/>
        <v>NIL</v>
      </c>
      <c r="Q3954" t="str">
        <f t="shared" si="1620"/>
        <v>NIL</v>
      </c>
      <c r="R3954" t="str">
        <f t="shared" si="1603"/>
        <v>Accepted</v>
      </c>
      <c r="S3954" t="str">
        <f t="shared" si="1604"/>
        <v>Approved</v>
      </c>
      <c r="T3954" t="str">
        <f t="shared" si="1605"/>
        <v>10.20.8.188</v>
      </c>
      <c r="U3954" t="str">
        <f t="shared" si="1606"/>
        <v>AZRAD UMAR BIN SHAARI</v>
      </c>
      <c r="V3954" t="str">
        <f t="shared" si="1607"/>
        <v>FARHANA BINTI MUSTAPA</v>
      </c>
      <c r="W3954" t="str">
        <f t="shared" si="1608"/>
        <v>04-08-2020</v>
      </c>
      <c r="X3954" t="str">
        <f t="shared" si="1609"/>
        <v>RAZIMAH ANSAR AHMAD</v>
      </c>
      <c r="Y3954" t="str">
        <f t="shared" si="1610"/>
        <v>04-08-2020</v>
      </c>
      <c r="Z3954" t="str">
        <f>"COS10200804 5200"</f>
        <v>COS10200804 5200</v>
      </c>
    </row>
    <row r="3955" spans="1:26" x14ac:dyDescent="0.25">
      <c r="A3955" t="str">
        <f t="shared" si="1621"/>
        <v>04-08-2020 12:55:04</v>
      </c>
      <c r="B3955" t="str">
        <f>"0000806985"</f>
        <v>0000806985</v>
      </c>
      <c r="C3955" t="str">
        <f t="shared" si="1622"/>
        <v>0000806786</v>
      </c>
      <c r="D3955" t="str">
        <f t="shared" si="1598"/>
        <v>73185</v>
      </c>
      <c r="E3955" t="str">
        <f t="shared" si="1599"/>
        <v>KFH-OPERATIONS DEPARTMENT</v>
      </c>
      <c r="F3955" t="str">
        <f t="shared" si="1600"/>
        <v>IBG</v>
      </c>
      <c r="G3955" t="str">
        <f t="shared" si="1613"/>
        <v>Refund COSHARE 10</v>
      </c>
      <c r="H3955" s="2">
        <v>990.65</v>
      </c>
      <c r="I3955" t="str">
        <f>"MARIATUL HAFIZA BINTI MOHD SULAIMAN"</f>
        <v>MARIATUL HAFIZA BINTI MOHD SULAIMAN</v>
      </c>
      <c r="J3955" t="str">
        <f t="shared" si="1614"/>
        <v>MAYBANK / MAYBANK ISLAMIC</v>
      </c>
      <c r="K3955" t="str">
        <f>"158079649361"</f>
        <v>158079649361</v>
      </c>
      <c r="L3955" t="str">
        <f t="shared" si="1619"/>
        <v>04-08-2020</v>
      </c>
      <c r="M3955" t="str">
        <f t="shared" si="1619"/>
        <v>04-08-2020</v>
      </c>
      <c r="N3955" t="str">
        <f t="shared" si="1601"/>
        <v>001105018356</v>
      </c>
      <c r="O3955" t="str">
        <f t="shared" si="1602"/>
        <v>MYR</v>
      </c>
      <c r="P3955" t="str">
        <f t="shared" si="1620"/>
        <v>NIL</v>
      </c>
      <c r="Q3955" t="str">
        <f t="shared" si="1620"/>
        <v>NIL</v>
      </c>
      <c r="R3955" t="str">
        <f t="shared" si="1603"/>
        <v>Accepted</v>
      </c>
      <c r="S3955" t="str">
        <f t="shared" si="1604"/>
        <v>Approved</v>
      </c>
      <c r="T3955" t="str">
        <f t="shared" si="1605"/>
        <v>10.20.8.188</v>
      </c>
      <c r="U3955" t="str">
        <f t="shared" si="1606"/>
        <v>AZRAD UMAR BIN SHAARI</v>
      </c>
      <c r="V3955" t="str">
        <f t="shared" si="1607"/>
        <v>FARHANA BINTI MUSTAPA</v>
      </c>
      <c r="W3955" t="str">
        <f t="shared" si="1608"/>
        <v>04-08-2020</v>
      </c>
      <c r="X3955" t="str">
        <f t="shared" si="1609"/>
        <v>RAZIMAH ANSAR AHMAD</v>
      </c>
      <c r="Y3955" t="str">
        <f t="shared" si="1610"/>
        <v>04-08-2020</v>
      </c>
      <c r="Z3955" t="str">
        <f>"COS10200804 5199"</f>
        <v>COS10200804 5199</v>
      </c>
    </row>
    <row r="3956" spans="1:26" x14ac:dyDescent="0.25">
      <c r="A3956" t="str">
        <f t="shared" si="1621"/>
        <v>04-08-2020 12:55:04</v>
      </c>
      <c r="B3956" t="str">
        <f>"0000806984"</f>
        <v>0000806984</v>
      </c>
      <c r="C3956" t="str">
        <f t="shared" si="1622"/>
        <v>0000806786</v>
      </c>
      <c r="D3956" t="str">
        <f t="shared" si="1598"/>
        <v>73185</v>
      </c>
      <c r="E3956" t="str">
        <f t="shared" si="1599"/>
        <v>KFH-OPERATIONS DEPARTMENT</v>
      </c>
      <c r="F3956" t="str">
        <f t="shared" si="1600"/>
        <v>IBG</v>
      </c>
      <c r="G3956" t="str">
        <f t="shared" si="1613"/>
        <v>Refund COSHARE 10</v>
      </c>
      <c r="H3956" s="2">
        <v>84</v>
      </c>
      <c r="I3956" t="str">
        <f>"MARIANIE BINTI OMAR"</f>
        <v>MARIANIE BINTI OMAR</v>
      </c>
      <c r="J3956" t="str">
        <f t="shared" si="1614"/>
        <v>MAYBANK / MAYBANK ISLAMIC</v>
      </c>
      <c r="K3956" t="str">
        <f>"162339038730"</f>
        <v>162339038730</v>
      </c>
      <c r="L3956" t="str">
        <f t="shared" si="1619"/>
        <v>04-08-2020</v>
      </c>
      <c r="M3956" t="str">
        <f t="shared" si="1619"/>
        <v>04-08-2020</v>
      </c>
      <c r="N3956" t="str">
        <f t="shared" si="1601"/>
        <v>001105018356</v>
      </c>
      <c r="O3956" t="str">
        <f t="shared" si="1602"/>
        <v>MYR</v>
      </c>
      <c r="P3956" t="str">
        <f t="shared" si="1620"/>
        <v>NIL</v>
      </c>
      <c r="Q3956" t="str">
        <f t="shared" si="1620"/>
        <v>NIL</v>
      </c>
      <c r="R3956" t="str">
        <f t="shared" si="1603"/>
        <v>Accepted</v>
      </c>
      <c r="S3956" t="str">
        <f t="shared" si="1604"/>
        <v>Approved</v>
      </c>
      <c r="T3956" t="str">
        <f t="shared" si="1605"/>
        <v>10.20.8.188</v>
      </c>
      <c r="U3956" t="str">
        <f t="shared" si="1606"/>
        <v>AZRAD UMAR BIN SHAARI</v>
      </c>
      <c r="V3956" t="str">
        <f t="shared" si="1607"/>
        <v>FARHANA BINTI MUSTAPA</v>
      </c>
      <c r="W3956" t="str">
        <f t="shared" si="1608"/>
        <v>04-08-2020</v>
      </c>
      <c r="X3956" t="str">
        <f t="shared" si="1609"/>
        <v>RAZIMAH ANSAR AHMAD</v>
      </c>
      <c r="Y3956" t="str">
        <f t="shared" si="1610"/>
        <v>04-08-2020</v>
      </c>
      <c r="Z3956" t="str">
        <f>"COS10200804 5198"</f>
        <v>COS10200804 5198</v>
      </c>
    </row>
    <row r="3957" spans="1:26" x14ac:dyDescent="0.25">
      <c r="A3957" t="str">
        <f t="shared" si="1621"/>
        <v>04-08-2020 12:55:04</v>
      </c>
      <c r="B3957" t="str">
        <f>"0000806983"</f>
        <v>0000806983</v>
      </c>
      <c r="C3957" t="str">
        <f t="shared" si="1622"/>
        <v>0000806786</v>
      </c>
      <c r="D3957" t="str">
        <f t="shared" si="1598"/>
        <v>73185</v>
      </c>
      <c r="E3957" t="str">
        <f t="shared" si="1599"/>
        <v>KFH-OPERATIONS DEPARTMENT</v>
      </c>
      <c r="F3957" t="str">
        <f t="shared" si="1600"/>
        <v>IBG</v>
      </c>
      <c r="G3957" t="str">
        <f t="shared" si="1613"/>
        <v>Refund COSHARE 10</v>
      </c>
      <c r="H3957" s="2">
        <v>83.95</v>
      </c>
      <c r="I3957" t="str">
        <f>"MARIANI BINTI SAIDIN  ZAKARIA"</f>
        <v>MARIANI BINTI SAIDIN  ZAKARIA</v>
      </c>
      <c r="J3957" t="str">
        <f t="shared" si="1614"/>
        <v>MAYBANK / MAYBANK ISLAMIC</v>
      </c>
      <c r="K3957" t="str">
        <f>"157063800067"</f>
        <v>157063800067</v>
      </c>
      <c r="L3957" t="str">
        <f t="shared" si="1619"/>
        <v>04-08-2020</v>
      </c>
      <c r="M3957" t="str">
        <f t="shared" si="1619"/>
        <v>04-08-2020</v>
      </c>
      <c r="N3957" t="str">
        <f t="shared" si="1601"/>
        <v>001105018356</v>
      </c>
      <c r="O3957" t="str">
        <f t="shared" si="1602"/>
        <v>MYR</v>
      </c>
      <c r="P3957" t="str">
        <f t="shared" si="1620"/>
        <v>NIL</v>
      </c>
      <c r="Q3957" t="str">
        <f t="shared" si="1620"/>
        <v>NIL</v>
      </c>
      <c r="R3957" t="str">
        <f t="shared" si="1603"/>
        <v>Accepted</v>
      </c>
      <c r="S3957" t="str">
        <f t="shared" si="1604"/>
        <v>Approved</v>
      </c>
      <c r="T3957" t="str">
        <f t="shared" si="1605"/>
        <v>10.20.8.188</v>
      </c>
      <c r="U3957" t="str">
        <f t="shared" si="1606"/>
        <v>AZRAD UMAR BIN SHAARI</v>
      </c>
      <c r="V3957" t="str">
        <f t="shared" si="1607"/>
        <v>FARHANA BINTI MUSTAPA</v>
      </c>
      <c r="W3957" t="str">
        <f t="shared" si="1608"/>
        <v>04-08-2020</v>
      </c>
      <c r="X3957" t="str">
        <f t="shared" si="1609"/>
        <v>RAZIMAH ANSAR AHMAD</v>
      </c>
      <c r="Y3957" t="str">
        <f t="shared" si="1610"/>
        <v>04-08-2020</v>
      </c>
      <c r="Z3957" t="str">
        <f>"COS10200804 5197"</f>
        <v>COS10200804 5197</v>
      </c>
    </row>
    <row r="3958" spans="1:26" x14ac:dyDescent="0.25">
      <c r="A3958" t="str">
        <f t="shared" si="1621"/>
        <v>04-08-2020 12:55:04</v>
      </c>
      <c r="B3958" t="str">
        <f>"0000806982"</f>
        <v>0000806982</v>
      </c>
      <c r="C3958" t="str">
        <f t="shared" si="1622"/>
        <v>0000806786</v>
      </c>
      <c r="D3958" t="str">
        <f t="shared" si="1598"/>
        <v>73185</v>
      </c>
      <c r="E3958" t="str">
        <f t="shared" si="1599"/>
        <v>KFH-OPERATIONS DEPARTMENT</v>
      </c>
      <c r="F3958" t="str">
        <f t="shared" si="1600"/>
        <v>IBG</v>
      </c>
      <c r="G3958" t="str">
        <f t="shared" si="1613"/>
        <v>Refund COSHARE 10</v>
      </c>
      <c r="H3958" s="2">
        <v>999</v>
      </c>
      <c r="I3958" t="str">
        <f>"MARIANI BINTI MOHAMED YUSOF"</f>
        <v>MARIANI BINTI MOHAMED YUSOF</v>
      </c>
      <c r="J3958" t="str">
        <f t="shared" si="1614"/>
        <v>MAYBANK / MAYBANK ISLAMIC</v>
      </c>
      <c r="K3958" t="str">
        <f>"158097040588"</f>
        <v>158097040588</v>
      </c>
      <c r="L3958" t="str">
        <f t="shared" si="1619"/>
        <v>04-08-2020</v>
      </c>
      <c r="M3958" t="str">
        <f t="shared" si="1619"/>
        <v>04-08-2020</v>
      </c>
      <c r="N3958" t="str">
        <f t="shared" si="1601"/>
        <v>001105018356</v>
      </c>
      <c r="O3958" t="str">
        <f t="shared" si="1602"/>
        <v>MYR</v>
      </c>
      <c r="P3958" t="str">
        <f t="shared" si="1620"/>
        <v>NIL</v>
      </c>
      <c r="Q3958" t="str">
        <f t="shared" si="1620"/>
        <v>NIL</v>
      </c>
      <c r="R3958" t="str">
        <f t="shared" si="1603"/>
        <v>Accepted</v>
      </c>
      <c r="S3958" t="str">
        <f t="shared" si="1604"/>
        <v>Approved</v>
      </c>
      <c r="T3958" t="str">
        <f t="shared" si="1605"/>
        <v>10.20.8.188</v>
      </c>
      <c r="U3958" t="str">
        <f t="shared" si="1606"/>
        <v>AZRAD UMAR BIN SHAARI</v>
      </c>
      <c r="V3958" t="str">
        <f t="shared" si="1607"/>
        <v>FARHANA BINTI MUSTAPA</v>
      </c>
      <c r="W3958" t="str">
        <f t="shared" si="1608"/>
        <v>04-08-2020</v>
      </c>
      <c r="X3958" t="str">
        <f t="shared" si="1609"/>
        <v>RAZIMAH ANSAR AHMAD</v>
      </c>
      <c r="Y3958" t="str">
        <f t="shared" si="1610"/>
        <v>04-08-2020</v>
      </c>
      <c r="Z3958" t="str">
        <f>"COS10200804 5196"</f>
        <v>COS10200804 5196</v>
      </c>
    </row>
    <row r="3959" spans="1:26" x14ac:dyDescent="0.25">
      <c r="A3959" t="str">
        <f t="shared" si="1621"/>
        <v>04-08-2020 12:55:04</v>
      </c>
      <c r="B3959" t="str">
        <f>"0000806981"</f>
        <v>0000806981</v>
      </c>
      <c r="C3959" t="str">
        <f t="shared" si="1622"/>
        <v>0000806786</v>
      </c>
      <c r="D3959" t="str">
        <f t="shared" si="1598"/>
        <v>73185</v>
      </c>
      <c r="E3959" t="str">
        <f t="shared" si="1599"/>
        <v>KFH-OPERATIONS DEPARTMENT</v>
      </c>
      <c r="F3959" t="str">
        <f t="shared" si="1600"/>
        <v>IBG</v>
      </c>
      <c r="G3959" t="str">
        <f t="shared" si="1613"/>
        <v>Refund COSHARE 10</v>
      </c>
      <c r="H3959" s="2">
        <v>496</v>
      </c>
      <c r="I3959" t="str">
        <f>"MARIANI BINTI MAT GHANI"</f>
        <v>MARIANI BINTI MAT GHANI</v>
      </c>
      <c r="J3959" t="str">
        <f t="shared" si="1614"/>
        <v>MAYBANK / MAYBANK ISLAMIC</v>
      </c>
      <c r="K3959" t="str">
        <f>"162209909708"</f>
        <v>162209909708</v>
      </c>
      <c r="L3959" t="str">
        <f t="shared" si="1619"/>
        <v>04-08-2020</v>
      </c>
      <c r="M3959" t="str">
        <f t="shared" si="1619"/>
        <v>04-08-2020</v>
      </c>
      <c r="N3959" t="str">
        <f t="shared" si="1601"/>
        <v>001105018356</v>
      </c>
      <c r="O3959" t="str">
        <f t="shared" si="1602"/>
        <v>MYR</v>
      </c>
      <c r="P3959" t="str">
        <f t="shared" si="1620"/>
        <v>NIL</v>
      </c>
      <c r="Q3959" t="str">
        <f t="shared" si="1620"/>
        <v>NIL</v>
      </c>
      <c r="R3959" t="str">
        <f t="shared" si="1603"/>
        <v>Accepted</v>
      </c>
      <c r="S3959" t="str">
        <f t="shared" si="1604"/>
        <v>Approved</v>
      </c>
      <c r="T3959" t="str">
        <f t="shared" si="1605"/>
        <v>10.20.8.188</v>
      </c>
      <c r="U3959" t="str">
        <f t="shared" si="1606"/>
        <v>AZRAD UMAR BIN SHAARI</v>
      </c>
      <c r="V3959" t="str">
        <f t="shared" si="1607"/>
        <v>FARHANA BINTI MUSTAPA</v>
      </c>
      <c r="W3959" t="str">
        <f t="shared" si="1608"/>
        <v>04-08-2020</v>
      </c>
      <c r="X3959" t="str">
        <f t="shared" si="1609"/>
        <v>RAZIMAH ANSAR AHMAD</v>
      </c>
      <c r="Y3959" t="str">
        <f t="shared" si="1610"/>
        <v>04-08-2020</v>
      </c>
      <c r="Z3959" t="str">
        <f>"COS10200804 5195"</f>
        <v>COS10200804 5195</v>
      </c>
    </row>
    <row r="3960" spans="1:26" x14ac:dyDescent="0.25">
      <c r="A3960" t="str">
        <f t="shared" si="1621"/>
        <v>04-08-2020 12:55:04</v>
      </c>
      <c r="B3960" t="str">
        <f>"0000806980"</f>
        <v>0000806980</v>
      </c>
      <c r="C3960" t="str">
        <f t="shared" si="1622"/>
        <v>0000806786</v>
      </c>
      <c r="D3960" t="str">
        <f t="shared" si="1598"/>
        <v>73185</v>
      </c>
      <c r="E3960" t="str">
        <f t="shared" si="1599"/>
        <v>KFH-OPERATIONS DEPARTMENT</v>
      </c>
      <c r="F3960" t="str">
        <f t="shared" si="1600"/>
        <v>IBG</v>
      </c>
      <c r="G3960" t="str">
        <f t="shared" si="1613"/>
        <v>Refund COSHARE 10</v>
      </c>
      <c r="H3960" s="2">
        <v>126</v>
      </c>
      <c r="I3960" t="str">
        <f>"MARIANA BINTI FOH"</f>
        <v>MARIANA BINTI FOH</v>
      </c>
      <c r="J3960" t="str">
        <f t="shared" si="1614"/>
        <v>MAYBANK / MAYBANK ISLAMIC</v>
      </c>
      <c r="K3960" t="str">
        <f>"110032146633"</f>
        <v>110032146633</v>
      </c>
      <c r="L3960" t="str">
        <f t="shared" si="1619"/>
        <v>04-08-2020</v>
      </c>
      <c r="M3960" t="str">
        <f t="shared" si="1619"/>
        <v>04-08-2020</v>
      </c>
      <c r="N3960" t="str">
        <f t="shared" si="1601"/>
        <v>001105018356</v>
      </c>
      <c r="O3960" t="str">
        <f t="shared" si="1602"/>
        <v>MYR</v>
      </c>
      <c r="P3960" t="str">
        <f t="shared" si="1620"/>
        <v>NIL</v>
      </c>
      <c r="Q3960" t="str">
        <f t="shared" si="1620"/>
        <v>NIL</v>
      </c>
      <c r="R3960" t="str">
        <f t="shared" si="1603"/>
        <v>Accepted</v>
      </c>
      <c r="S3960" t="str">
        <f t="shared" si="1604"/>
        <v>Approved</v>
      </c>
      <c r="T3960" t="str">
        <f t="shared" si="1605"/>
        <v>10.20.8.188</v>
      </c>
      <c r="U3960" t="str">
        <f t="shared" si="1606"/>
        <v>AZRAD UMAR BIN SHAARI</v>
      </c>
      <c r="V3960" t="str">
        <f t="shared" si="1607"/>
        <v>FARHANA BINTI MUSTAPA</v>
      </c>
      <c r="W3960" t="str">
        <f t="shared" si="1608"/>
        <v>04-08-2020</v>
      </c>
      <c r="X3960" t="str">
        <f t="shared" si="1609"/>
        <v>RAZIMAH ANSAR AHMAD</v>
      </c>
      <c r="Y3960" t="str">
        <f t="shared" si="1610"/>
        <v>04-08-2020</v>
      </c>
      <c r="Z3960" t="str">
        <f>"COS10200804 5194"</f>
        <v>COS10200804 5194</v>
      </c>
    </row>
    <row r="3961" spans="1:26" x14ac:dyDescent="0.25">
      <c r="A3961" t="str">
        <f t="shared" si="1621"/>
        <v>04-08-2020 12:55:04</v>
      </c>
      <c r="B3961" t="str">
        <f>"0000806979"</f>
        <v>0000806979</v>
      </c>
      <c r="C3961" t="str">
        <f t="shared" si="1622"/>
        <v>0000806786</v>
      </c>
      <c r="D3961" t="str">
        <f t="shared" si="1598"/>
        <v>73185</v>
      </c>
      <c r="E3961" t="str">
        <f t="shared" si="1599"/>
        <v>KFH-OPERATIONS DEPARTMENT</v>
      </c>
      <c r="F3961" t="str">
        <f t="shared" si="1600"/>
        <v>IBG</v>
      </c>
      <c r="G3961" t="str">
        <f t="shared" si="1613"/>
        <v>Refund COSHARE 10</v>
      </c>
      <c r="H3961" s="2">
        <v>337.8</v>
      </c>
      <c r="I3961" t="str">
        <f>"MARIAM BINTI TUGIMAN  USMAN"</f>
        <v>MARIAM BINTI TUGIMAN  USMAN</v>
      </c>
      <c r="J3961" t="str">
        <f t="shared" si="1614"/>
        <v>MAYBANK / MAYBANK ISLAMIC</v>
      </c>
      <c r="K3961" t="str">
        <f>"160027299143"</f>
        <v>160027299143</v>
      </c>
      <c r="L3961" t="str">
        <f t="shared" si="1619"/>
        <v>04-08-2020</v>
      </c>
      <c r="M3961" t="str">
        <f t="shared" si="1619"/>
        <v>04-08-2020</v>
      </c>
      <c r="N3961" t="str">
        <f t="shared" si="1601"/>
        <v>001105018356</v>
      </c>
      <c r="O3961" t="str">
        <f t="shared" si="1602"/>
        <v>MYR</v>
      </c>
      <c r="P3961" t="str">
        <f t="shared" si="1620"/>
        <v>NIL</v>
      </c>
      <c r="Q3961" t="str">
        <f t="shared" si="1620"/>
        <v>NIL</v>
      </c>
      <c r="R3961" t="str">
        <f t="shared" si="1603"/>
        <v>Accepted</v>
      </c>
      <c r="S3961" t="str">
        <f t="shared" si="1604"/>
        <v>Approved</v>
      </c>
      <c r="T3961" t="str">
        <f t="shared" si="1605"/>
        <v>10.20.8.188</v>
      </c>
      <c r="U3961" t="str">
        <f t="shared" si="1606"/>
        <v>AZRAD UMAR BIN SHAARI</v>
      </c>
      <c r="V3961" t="str">
        <f t="shared" si="1607"/>
        <v>FARHANA BINTI MUSTAPA</v>
      </c>
      <c r="W3961" t="str">
        <f t="shared" si="1608"/>
        <v>04-08-2020</v>
      </c>
      <c r="X3961" t="str">
        <f t="shared" si="1609"/>
        <v>RAZIMAH ANSAR AHMAD</v>
      </c>
      <c r="Y3961" t="str">
        <f t="shared" si="1610"/>
        <v>04-08-2020</v>
      </c>
      <c r="Z3961" t="str">
        <f>"COS10200804 5193"</f>
        <v>COS10200804 5193</v>
      </c>
    </row>
    <row r="3962" spans="1:26" x14ac:dyDescent="0.25">
      <c r="A3962" t="str">
        <f t="shared" si="1621"/>
        <v>04-08-2020 12:55:04</v>
      </c>
      <c r="B3962" t="str">
        <f>"0000806978"</f>
        <v>0000806978</v>
      </c>
      <c r="C3962" t="str">
        <f t="shared" si="1622"/>
        <v>0000806786</v>
      </c>
      <c r="D3962" t="str">
        <f t="shared" si="1598"/>
        <v>73185</v>
      </c>
      <c r="E3962" t="str">
        <f t="shared" si="1599"/>
        <v>KFH-OPERATIONS DEPARTMENT</v>
      </c>
      <c r="F3962" t="str">
        <f t="shared" si="1600"/>
        <v>IBG</v>
      </c>
      <c r="G3962" t="str">
        <f t="shared" si="1613"/>
        <v>Refund COSHARE 10</v>
      </c>
      <c r="H3962" s="2">
        <v>1068</v>
      </c>
      <c r="I3962" t="str">
        <f>"MARIAM BINTI SULAIMAN"</f>
        <v>MARIAM BINTI SULAIMAN</v>
      </c>
      <c r="J3962" t="str">
        <f t="shared" si="1614"/>
        <v>MAYBANK / MAYBANK ISLAMIC</v>
      </c>
      <c r="K3962" t="str">
        <f>"151258615089"</f>
        <v>151258615089</v>
      </c>
      <c r="L3962" t="str">
        <f t="shared" si="1619"/>
        <v>04-08-2020</v>
      </c>
      <c r="M3962" t="str">
        <f t="shared" si="1619"/>
        <v>04-08-2020</v>
      </c>
      <c r="N3962" t="str">
        <f t="shared" si="1601"/>
        <v>001105018356</v>
      </c>
      <c r="O3962" t="str">
        <f t="shared" si="1602"/>
        <v>MYR</v>
      </c>
      <c r="P3962" t="str">
        <f t="shared" si="1620"/>
        <v>NIL</v>
      </c>
      <c r="Q3962" t="str">
        <f t="shared" si="1620"/>
        <v>NIL</v>
      </c>
      <c r="R3962" t="str">
        <f t="shared" si="1603"/>
        <v>Accepted</v>
      </c>
      <c r="S3962" t="str">
        <f t="shared" si="1604"/>
        <v>Approved</v>
      </c>
      <c r="T3962" t="str">
        <f t="shared" si="1605"/>
        <v>10.20.8.188</v>
      </c>
      <c r="U3962" t="str">
        <f t="shared" si="1606"/>
        <v>AZRAD UMAR BIN SHAARI</v>
      </c>
      <c r="V3962" t="str">
        <f t="shared" si="1607"/>
        <v>FARHANA BINTI MUSTAPA</v>
      </c>
      <c r="W3962" t="str">
        <f t="shared" si="1608"/>
        <v>04-08-2020</v>
      </c>
      <c r="X3962" t="str">
        <f t="shared" si="1609"/>
        <v>RAZIMAH ANSAR AHMAD</v>
      </c>
      <c r="Y3962" t="str">
        <f t="shared" si="1610"/>
        <v>04-08-2020</v>
      </c>
      <c r="Z3962" t="str">
        <f>"COS10200804 5192"</f>
        <v>COS10200804 5192</v>
      </c>
    </row>
    <row r="3963" spans="1:26" x14ac:dyDescent="0.25">
      <c r="A3963" t="str">
        <f t="shared" si="1621"/>
        <v>04-08-2020 12:55:04</v>
      </c>
      <c r="B3963" t="str">
        <f>"0000806977"</f>
        <v>0000806977</v>
      </c>
      <c r="C3963" t="str">
        <f t="shared" si="1622"/>
        <v>0000806786</v>
      </c>
      <c r="D3963" t="str">
        <f t="shared" si="1598"/>
        <v>73185</v>
      </c>
      <c r="E3963" t="str">
        <f t="shared" si="1599"/>
        <v>KFH-OPERATIONS DEPARTMENT</v>
      </c>
      <c r="F3963" t="str">
        <f t="shared" si="1600"/>
        <v>IBG</v>
      </c>
      <c r="G3963" t="str">
        <f t="shared" si="1613"/>
        <v>Refund COSHARE 10</v>
      </c>
      <c r="H3963" s="2">
        <v>461.75</v>
      </c>
      <c r="I3963" t="str">
        <f>"MARIAM BINTI ALI"</f>
        <v>MARIAM BINTI ALI</v>
      </c>
      <c r="J3963" t="str">
        <f t="shared" si="1614"/>
        <v>MAYBANK / MAYBANK ISLAMIC</v>
      </c>
      <c r="K3963" t="str">
        <f>"151017147037"</f>
        <v>151017147037</v>
      </c>
      <c r="L3963" t="str">
        <f t="shared" si="1619"/>
        <v>04-08-2020</v>
      </c>
      <c r="M3963" t="str">
        <f t="shared" si="1619"/>
        <v>04-08-2020</v>
      </c>
      <c r="N3963" t="str">
        <f t="shared" si="1601"/>
        <v>001105018356</v>
      </c>
      <c r="O3963" t="str">
        <f t="shared" si="1602"/>
        <v>MYR</v>
      </c>
      <c r="P3963" t="str">
        <f t="shared" si="1620"/>
        <v>NIL</v>
      </c>
      <c r="Q3963" t="str">
        <f t="shared" si="1620"/>
        <v>NIL</v>
      </c>
      <c r="R3963" t="str">
        <f t="shared" si="1603"/>
        <v>Accepted</v>
      </c>
      <c r="S3963" t="str">
        <f t="shared" si="1604"/>
        <v>Approved</v>
      </c>
      <c r="T3963" t="str">
        <f t="shared" si="1605"/>
        <v>10.20.8.188</v>
      </c>
      <c r="U3963" t="str">
        <f t="shared" si="1606"/>
        <v>AZRAD UMAR BIN SHAARI</v>
      </c>
      <c r="V3963" t="str">
        <f t="shared" si="1607"/>
        <v>FARHANA BINTI MUSTAPA</v>
      </c>
      <c r="W3963" t="str">
        <f t="shared" si="1608"/>
        <v>04-08-2020</v>
      </c>
      <c r="X3963" t="str">
        <f t="shared" si="1609"/>
        <v>RAZIMAH ANSAR AHMAD</v>
      </c>
      <c r="Y3963" t="str">
        <f t="shared" si="1610"/>
        <v>04-08-2020</v>
      </c>
      <c r="Z3963" t="str">
        <f>"COS10200804 5191"</f>
        <v>COS10200804 5191</v>
      </c>
    </row>
    <row r="3964" spans="1:26" x14ac:dyDescent="0.25">
      <c r="A3964" t="str">
        <f t="shared" si="1621"/>
        <v>04-08-2020 12:55:04</v>
      </c>
      <c r="B3964" t="str">
        <f>"0000806976"</f>
        <v>0000806976</v>
      </c>
      <c r="C3964" t="str">
        <f t="shared" si="1622"/>
        <v>0000806786</v>
      </c>
      <c r="D3964" t="str">
        <f t="shared" si="1598"/>
        <v>73185</v>
      </c>
      <c r="E3964" t="str">
        <f t="shared" si="1599"/>
        <v>KFH-OPERATIONS DEPARTMENT</v>
      </c>
      <c r="F3964" t="str">
        <f t="shared" si="1600"/>
        <v>IBG</v>
      </c>
      <c r="G3964" t="str">
        <f t="shared" si="1613"/>
        <v>Refund COSHARE 10</v>
      </c>
      <c r="H3964" s="2">
        <v>324.2</v>
      </c>
      <c r="I3964" t="str">
        <f>"MARIA BINTI ALIMAT"</f>
        <v>MARIA BINTI ALIMAT</v>
      </c>
      <c r="J3964" t="str">
        <f t="shared" si="1614"/>
        <v>MAYBANK / MAYBANK ISLAMIC</v>
      </c>
      <c r="K3964" t="str">
        <f>"165125389271"</f>
        <v>165125389271</v>
      </c>
      <c r="L3964" t="str">
        <f t="shared" si="1619"/>
        <v>04-08-2020</v>
      </c>
      <c r="M3964" t="str">
        <f t="shared" si="1619"/>
        <v>04-08-2020</v>
      </c>
      <c r="N3964" t="str">
        <f t="shared" si="1601"/>
        <v>001105018356</v>
      </c>
      <c r="O3964" t="str">
        <f t="shared" si="1602"/>
        <v>MYR</v>
      </c>
      <c r="P3964" t="str">
        <f t="shared" si="1620"/>
        <v>NIL</v>
      </c>
      <c r="Q3964" t="str">
        <f t="shared" si="1620"/>
        <v>NIL</v>
      </c>
      <c r="R3964" t="str">
        <f t="shared" si="1603"/>
        <v>Accepted</v>
      </c>
      <c r="S3964" t="str">
        <f t="shared" si="1604"/>
        <v>Approved</v>
      </c>
      <c r="T3964" t="str">
        <f t="shared" si="1605"/>
        <v>10.20.8.188</v>
      </c>
      <c r="U3964" t="str">
        <f t="shared" si="1606"/>
        <v>AZRAD UMAR BIN SHAARI</v>
      </c>
      <c r="V3964" t="str">
        <f t="shared" si="1607"/>
        <v>FARHANA BINTI MUSTAPA</v>
      </c>
      <c r="W3964" t="str">
        <f t="shared" si="1608"/>
        <v>04-08-2020</v>
      </c>
      <c r="X3964" t="str">
        <f t="shared" si="1609"/>
        <v>RAZIMAH ANSAR AHMAD</v>
      </c>
      <c r="Y3964" t="str">
        <f t="shared" si="1610"/>
        <v>04-08-2020</v>
      </c>
      <c r="Z3964" t="str">
        <f>"COS10200804 5190"</f>
        <v>COS10200804 5190</v>
      </c>
    </row>
    <row r="3965" spans="1:26" x14ac:dyDescent="0.25">
      <c r="A3965" t="str">
        <f t="shared" si="1621"/>
        <v>04-08-2020 12:55:04</v>
      </c>
      <c r="B3965" t="str">
        <f>"0000806975"</f>
        <v>0000806975</v>
      </c>
      <c r="C3965" t="str">
        <f t="shared" si="1622"/>
        <v>0000806786</v>
      </c>
      <c r="D3965" t="str">
        <f t="shared" si="1598"/>
        <v>73185</v>
      </c>
      <c r="E3965" t="str">
        <f t="shared" si="1599"/>
        <v>KFH-OPERATIONS DEPARTMENT</v>
      </c>
      <c r="F3965" t="str">
        <f t="shared" si="1600"/>
        <v>IBG</v>
      </c>
      <c r="G3965" t="str">
        <f t="shared" si="1613"/>
        <v>Refund COSHARE 10</v>
      </c>
      <c r="H3965" s="2">
        <v>862</v>
      </c>
      <c r="I3965" t="str">
        <f>"MARHANA BINTI ISMAIL"</f>
        <v>MARHANA BINTI ISMAIL</v>
      </c>
      <c r="J3965" t="str">
        <f t="shared" si="1614"/>
        <v>MAYBANK / MAYBANK ISLAMIC</v>
      </c>
      <c r="K3965" t="str">
        <f>"157018695896"</f>
        <v>157018695896</v>
      </c>
      <c r="L3965" t="str">
        <f t="shared" si="1619"/>
        <v>04-08-2020</v>
      </c>
      <c r="M3965" t="str">
        <f t="shared" si="1619"/>
        <v>04-08-2020</v>
      </c>
      <c r="N3965" t="str">
        <f t="shared" si="1601"/>
        <v>001105018356</v>
      </c>
      <c r="O3965" t="str">
        <f t="shared" si="1602"/>
        <v>MYR</v>
      </c>
      <c r="P3965" t="str">
        <f t="shared" si="1620"/>
        <v>NIL</v>
      </c>
      <c r="Q3965" t="str">
        <f t="shared" si="1620"/>
        <v>NIL</v>
      </c>
      <c r="R3965" t="str">
        <f t="shared" si="1603"/>
        <v>Accepted</v>
      </c>
      <c r="S3965" t="str">
        <f t="shared" si="1604"/>
        <v>Approved</v>
      </c>
      <c r="T3965" t="str">
        <f t="shared" si="1605"/>
        <v>10.20.8.188</v>
      </c>
      <c r="U3965" t="str">
        <f t="shared" si="1606"/>
        <v>AZRAD UMAR BIN SHAARI</v>
      </c>
      <c r="V3965" t="str">
        <f t="shared" si="1607"/>
        <v>FARHANA BINTI MUSTAPA</v>
      </c>
      <c r="W3965" t="str">
        <f t="shared" si="1608"/>
        <v>04-08-2020</v>
      </c>
      <c r="X3965" t="str">
        <f t="shared" si="1609"/>
        <v>RAZIMAH ANSAR AHMAD</v>
      </c>
      <c r="Y3965" t="str">
        <f t="shared" si="1610"/>
        <v>04-08-2020</v>
      </c>
      <c r="Z3965" t="str">
        <f>"COS10200804 5189"</f>
        <v>COS10200804 5189</v>
      </c>
    </row>
    <row r="3966" spans="1:26" x14ac:dyDescent="0.25">
      <c r="A3966" t="str">
        <f t="shared" si="1621"/>
        <v>04-08-2020 12:55:04</v>
      </c>
      <c r="B3966" t="str">
        <f>"0000806974"</f>
        <v>0000806974</v>
      </c>
      <c r="C3966" t="str">
        <f t="shared" si="1622"/>
        <v>0000806786</v>
      </c>
      <c r="D3966" t="str">
        <f t="shared" si="1598"/>
        <v>73185</v>
      </c>
      <c r="E3966" t="str">
        <f t="shared" si="1599"/>
        <v>KFH-OPERATIONS DEPARTMENT</v>
      </c>
      <c r="F3966" t="str">
        <f t="shared" si="1600"/>
        <v>IBG</v>
      </c>
      <c r="G3966" t="str">
        <f t="shared" si="1613"/>
        <v>Refund COSHARE 10</v>
      </c>
      <c r="H3966" s="2">
        <v>354</v>
      </c>
      <c r="I3966" t="str">
        <f>"MARHAN BIN MOHD ARAPIAH"</f>
        <v>MARHAN BIN MOHD ARAPIAH</v>
      </c>
      <c r="J3966" t="str">
        <f t="shared" si="1614"/>
        <v>MAYBANK / MAYBANK ISLAMIC</v>
      </c>
      <c r="K3966" t="str">
        <f>"153038841624"</f>
        <v>153038841624</v>
      </c>
      <c r="L3966" t="str">
        <f t="shared" si="1619"/>
        <v>04-08-2020</v>
      </c>
      <c r="M3966" t="str">
        <f t="shared" si="1619"/>
        <v>04-08-2020</v>
      </c>
      <c r="N3966" t="str">
        <f t="shared" si="1601"/>
        <v>001105018356</v>
      </c>
      <c r="O3966" t="str">
        <f t="shared" si="1602"/>
        <v>MYR</v>
      </c>
      <c r="P3966" t="str">
        <f t="shared" si="1620"/>
        <v>NIL</v>
      </c>
      <c r="Q3966" t="str">
        <f t="shared" si="1620"/>
        <v>NIL</v>
      </c>
      <c r="R3966" t="str">
        <f t="shared" si="1603"/>
        <v>Accepted</v>
      </c>
      <c r="S3966" t="str">
        <f t="shared" si="1604"/>
        <v>Approved</v>
      </c>
      <c r="T3966" t="str">
        <f t="shared" si="1605"/>
        <v>10.20.8.188</v>
      </c>
      <c r="U3966" t="str">
        <f t="shared" si="1606"/>
        <v>AZRAD UMAR BIN SHAARI</v>
      </c>
      <c r="V3966" t="str">
        <f t="shared" si="1607"/>
        <v>FARHANA BINTI MUSTAPA</v>
      </c>
      <c r="W3966" t="str">
        <f t="shared" si="1608"/>
        <v>04-08-2020</v>
      </c>
      <c r="X3966" t="str">
        <f t="shared" si="1609"/>
        <v>RAZIMAH ANSAR AHMAD</v>
      </c>
      <c r="Y3966" t="str">
        <f t="shared" si="1610"/>
        <v>04-08-2020</v>
      </c>
      <c r="Z3966" t="str">
        <f>"COS10200804 5188"</f>
        <v>COS10200804 5188</v>
      </c>
    </row>
    <row r="3967" spans="1:26" x14ac:dyDescent="0.25">
      <c r="A3967" t="str">
        <f t="shared" si="1621"/>
        <v>04-08-2020 12:55:04</v>
      </c>
      <c r="B3967" t="str">
        <f>"0000806973"</f>
        <v>0000806973</v>
      </c>
      <c r="C3967" t="str">
        <f t="shared" si="1622"/>
        <v>0000806786</v>
      </c>
      <c r="D3967" t="str">
        <f t="shared" si="1598"/>
        <v>73185</v>
      </c>
      <c r="E3967" t="str">
        <f t="shared" si="1599"/>
        <v>KFH-OPERATIONS DEPARTMENT</v>
      </c>
      <c r="F3967" t="str">
        <f t="shared" si="1600"/>
        <v>IBG</v>
      </c>
      <c r="G3967" t="str">
        <f t="shared" si="1613"/>
        <v>Refund COSHARE 10</v>
      </c>
      <c r="H3967" s="2">
        <v>503.7</v>
      </c>
      <c r="I3967" t="str">
        <f>"MARHAIZAN BIN MAT ISHAK"</f>
        <v>MARHAIZAN BIN MAT ISHAK</v>
      </c>
      <c r="J3967" t="str">
        <f t="shared" si="1614"/>
        <v>MAYBANK / MAYBANK ISLAMIC</v>
      </c>
      <c r="K3967" t="str">
        <f>"157410033304"</f>
        <v>157410033304</v>
      </c>
      <c r="L3967" t="str">
        <f t="shared" ref="L3967:M3986" si="1623">"04-08-2020"</f>
        <v>04-08-2020</v>
      </c>
      <c r="M3967" t="str">
        <f t="shared" si="1623"/>
        <v>04-08-2020</v>
      </c>
      <c r="N3967" t="str">
        <f t="shared" si="1601"/>
        <v>001105018356</v>
      </c>
      <c r="O3967" t="str">
        <f t="shared" si="1602"/>
        <v>MYR</v>
      </c>
      <c r="P3967" t="str">
        <f t="shared" ref="P3967:Q3986" si="1624">"NIL"</f>
        <v>NIL</v>
      </c>
      <c r="Q3967" t="str">
        <f t="shared" si="1624"/>
        <v>NIL</v>
      </c>
      <c r="R3967" t="str">
        <f t="shared" si="1603"/>
        <v>Accepted</v>
      </c>
      <c r="S3967" t="str">
        <f t="shared" si="1604"/>
        <v>Approved</v>
      </c>
      <c r="T3967" t="str">
        <f t="shared" si="1605"/>
        <v>10.20.8.188</v>
      </c>
      <c r="U3967" t="str">
        <f t="shared" si="1606"/>
        <v>AZRAD UMAR BIN SHAARI</v>
      </c>
      <c r="V3967" t="str">
        <f t="shared" si="1607"/>
        <v>FARHANA BINTI MUSTAPA</v>
      </c>
      <c r="W3967" t="str">
        <f t="shared" si="1608"/>
        <v>04-08-2020</v>
      </c>
      <c r="X3967" t="str">
        <f t="shared" si="1609"/>
        <v>RAZIMAH ANSAR AHMAD</v>
      </c>
      <c r="Y3967" t="str">
        <f t="shared" si="1610"/>
        <v>04-08-2020</v>
      </c>
      <c r="Z3967" t="str">
        <f>"COS10200804 5187"</f>
        <v>COS10200804 5187</v>
      </c>
    </row>
    <row r="3968" spans="1:26" x14ac:dyDescent="0.25">
      <c r="A3968" t="str">
        <f t="shared" si="1621"/>
        <v>04-08-2020 12:55:04</v>
      </c>
      <c r="B3968" t="str">
        <f>"0000806972"</f>
        <v>0000806972</v>
      </c>
      <c r="C3968" t="str">
        <f t="shared" si="1622"/>
        <v>0000806786</v>
      </c>
      <c r="D3968" t="str">
        <f t="shared" si="1598"/>
        <v>73185</v>
      </c>
      <c r="E3968" t="str">
        <f t="shared" si="1599"/>
        <v>KFH-OPERATIONS DEPARTMENT</v>
      </c>
      <c r="F3968" t="str">
        <f t="shared" si="1600"/>
        <v>IBG</v>
      </c>
      <c r="G3968" t="str">
        <f t="shared" si="1613"/>
        <v>Refund COSHARE 10</v>
      </c>
      <c r="H3968" s="2">
        <v>147.35</v>
      </c>
      <c r="I3968" t="str">
        <f>"MARHAINI BINTI MOHD NASOHAH"</f>
        <v>MARHAINI BINTI MOHD NASOHAH</v>
      </c>
      <c r="J3968" t="str">
        <f t="shared" si="1614"/>
        <v>MAYBANK / MAYBANK ISLAMIC</v>
      </c>
      <c r="K3968" t="str">
        <f>"101067611601"</f>
        <v>101067611601</v>
      </c>
      <c r="L3968" t="str">
        <f t="shared" si="1623"/>
        <v>04-08-2020</v>
      </c>
      <c r="M3968" t="str">
        <f t="shared" si="1623"/>
        <v>04-08-2020</v>
      </c>
      <c r="N3968" t="str">
        <f t="shared" si="1601"/>
        <v>001105018356</v>
      </c>
      <c r="O3968" t="str">
        <f t="shared" si="1602"/>
        <v>MYR</v>
      </c>
      <c r="P3968" t="str">
        <f t="shared" si="1624"/>
        <v>NIL</v>
      </c>
      <c r="Q3968" t="str">
        <f t="shared" si="1624"/>
        <v>NIL</v>
      </c>
      <c r="R3968" t="str">
        <f t="shared" si="1603"/>
        <v>Accepted</v>
      </c>
      <c r="S3968" t="str">
        <f t="shared" si="1604"/>
        <v>Approved</v>
      </c>
      <c r="T3968" t="str">
        <f t="shared" si="1605"/>
        <v>10.20.8.188</v>
      </c>
      <c r="U3968" t="str">
        <f t="shared" si="1606"/>
        <v>AZRAD UMAR BIN SHAARI</v>
      </c>
      <c r="V3968" t="str">
        <f t="shared" si="1607"/>
        <v>FARHANA BINTI MUSTAPA</v>
      </c>
      <c r="W3968" t="str">
        <f t="shared" si="1608"/>
        <v>04-08-2020</v>
      </c>
      <c r="X3968" t="str">
        <f t="shared" si="1609"/>
        <v>RAZIMAH ANSAR AHMAD</v>
      </c>
      <c r="Y3968" t="str">
        <f t="shared" si="1610"/>
        <v>04-08-2020</v>
      </c>
      <c r="Z3968" t="str">
        <f>"COS10200804 5186"</f>
        <v>COS10200804 5186</v>
      </c>
    </row>
    <row r="3969" spans="1:26" x14ac:dyDescent="0.25">
      <c r="A3969" t="str">
        <f t="shared" si="1621"/>
        <v>04-08-2020 12:55:04</v>
      </c>
      <c r="B3969" t="str">
        <f>"0000806971"</f>
        <v>0000806971</v>
      </c>
      <c r="C3969" t="str">
        <f t="shared" si="1622"/>
        <v>0000806786</v>
      </c>
      <c r="D3969" t="str">
        <f t="shared" si="1598"/>
        <v>73185</v>
      </c>
      <c r="E3969" t="str">
        <f t="shared" si="1599"/>
        <v>KFH-OPERATIONS DEPARTMENT</v>
      </c>
      <c r="F3969" t="str">
        <f t="shared" si="1600"/>
        <v>IBG</v>
      </c>
      <c r="G3969" t="str">
        <f t="shared" si="1613"/>
        <v>Refund COSHARE 10</v>
      </c>
      <c r="H3969" s="2">
        <v>373.3</v>
      </c>
      <c r="I3969" t="str">
        <f>"MARDINA BINTI MAT AROP"</f>
        <v>MARDINA BINTI MAT AROP</v>
      </c>
      <c r="J3969" t="str">
        <f t="shared" si="1614"/>
        <v>MAYBANK / MAYBANK ISLAMIC</v>
      </c>
      <c r="K3969" t="str">
        <f>"158109010246"</f>
        <v>158109010246</v>
      </c>
      <c r="L3969" t="str">
        <f t="shared" si="1623"/>
        <v>04-08-2020</v>
      </c>
      <c r="M3969" t="str">
        <f t="shared" si="1623"/>
        <v>04-08-2020</v>
      </c>
      <c r="N3969" t="str">
        <f t="shared" si="1601"/>
        <v>001105018356</v>
      </c>
      <c r="O3969" t="str">
        <f t="shared" si="1602"/>
        <v>MYR</v>
      </c>
      <c r="P3969" t="str">
        <f t="shared" si="1624"/>
        <v>NIL</v>
      </c>
      <c r="Q3969" t="str">
        <f t="shared" si="1624"/>
        <v>NIL</v>
      </c>
      <c r="R3969" t="str">
        <f t="shared" si="1603"/>
        <v>Accepted</v>
      </c>
      <c r="S3969" t="str">
        <f t="shared" si="1604"/>
        <v>Approved</v>
      </c>
      <c r="T3969" t="str">
        <f t="shared" si="1605"/>
        <v>10.20.8.188</v>
      </c>
      <c r="U3969" t="str">
        <f t="shared" si="1606"/>
        <v>AZRAD UMAR BIN SHAARI</v>
      </c>
      <c r="V3969" t="str">
        <f t="shared" si="1607"/>
        <v>FARHANA BINTI MUSTAPA</v>
      </c>
      <c r="W3969" t="str">
        <f t="shared" si="1608"/>
        <v>04-08-2020</v>
      </c>
      <c r="X3969" t="str">
        <f t="shared" si="1609"/>
        <v>RAZIMAH ANSAR AHMAD</v>
      </c>
      <c r="Y3969" t="str">
        <f t="shared" si="1610"/>
        <v>04-08-2020</v>
      </c>
      <c r="Z3969" t="str">
        <f>"COS10200804 5185"</f>
        <v>COS10200804 5185</v>
      </c>
    </row>
    <row r="3970" spans="1:26" x14ac:dyDescent="0.25">
      <c r="A3970" t="str">
        <f t="shared" si="1621"/>
        <v>04-08-2020 12:55:04</v>
      </c>
      <c r="B3970" t="str">
        <f>"0000806970"</f>
        <v>0000806970</v>
      </c>
      <c r="C3970" t="str">
        <f t="shared" si="1622"/>
        <v>0000806786</v>
      </c>
      <c r="D3970" t="str">
        <f t="shared" si="1598"/>
        <v>73185</v>
      </c>
      <c r="E3970" t="str">
        <f t="shared" si="1599"/>
        <v>KFH-OPERATIONS DEPARTMENT</v>
      </c>
      <c r="F3970" t="str">
        <f t="shared" si="1600"/>
        <v>IBG</v>
      </c>
      <c r="G3970" t="str">
        <f t="shared" si="1613"/>
        <v>Refund COSHARE 10</v>
      </c>
      <c r="H3970" s="2">
        <v>612.85</v>
      </c>
      <c r="I3970" t="str">
        <f>"MARDIANA BINTI MAHARI"</f>
        <v>MARDIANA BINTI MAHARI</v>
      </c>
      <c r="J3970" t="str">
        <f t="shared" si="1614"/>
        <v>MAYBANK / MAYBANK ISLAMIC</v>
      </c>
      <c r="K3970" t="str">
        <f>"114106001377"</f>
        <v>114106001377</v>
      </c>
      <c r="L3970" t="str">
        <f t="shared" si="1623"/>
        <v>04-08-2020</v>
      </c>
      <c r="M3970" t="str">
        <f t="shared" si="1623"/>
        <v>04-08-2020</v>
      </c>
      <c r="N3970" t="str">
        <f t="shared" si="1601"/>
        <v>001105018356</v>
      </c>
      <c r="O3970" t="str">
        <f t="shared" si="1602"/>
        <v>MYR</v>
      </c>
      <c r="P3970" t="str">
        <f t="shared" si="1624"/>
        <v>NIL</v>
      </c>
      <c r="Q3970" t="str">
        <f t="shared" si="1624"/>
        <v>NIL</v>
      </c>
      <c r="R3970" t="str">
        <f t="shared" si="1603"/>
        <v>Accepted</v>
      </c>
      <c r="S3970" t="str">
        <f t="shared" si="1604"/>
        <v>Approved</v>
      </c>
      <c r="T3970" t="str">
        <f t="shared" si="1605"/>
        <v>10.20.8.188</v>
      </c>
      <c r="U3970" t="str">
        <f t="shared" si="1606"/>
        <v>AZRAD UMAR BIN SHAARI</v>
      </c>
      <c r="V3970" t="str">
        <f t="shared" si="1607"/>
        <v>FARHANA BINTI MUSTAPA</v>
      </c>
      <c r="W3970" t="str">
        <f t="shared" si="1608"/>
        <v>04-08-2020</v>
      </c>
      <c r="X3970" t="str">
        <f t="shared" si="1609"/>
        <v>RAZIMAH ANSAR AHMAD</v>
      </c>
      <c r="Y3970" t="str">
        <f t="shared" si="1610"/>
        <v>04-08-2020</v>
      </c>
      <c r="Z3970" t="str">
        <f>"COS10200804 5184"</f>
        <v>COS10200804 5184</v>
      </c>
    </row>
    <row r="3971" spans="1:26" x14ac:dyDescent="0.25">
      <c r="A3971" t="str">
        <f t="shared" si="1621"/>
        <v>04-08-2020 12:55:04</v>
      </c>
      <c r="B3971" t="str">
        <f>"0000806969"</f>
        <v>0000806969</v>
      </c>
      <c r="C3971" t="str">
        <f t="shared" si="1622"/>
        <v>0000806786</v>
      </c>
      <c r="D3971" t="str">
        <f t="shared" si="1598"/>
        <v>73185</v>
      </c>
      <c r="E3971" t="str">
        <f t="shared" si="1599"/>
        <v>KFH-OPERATIONS DEPARTMENT</v>
      </c>
      <c r="F3971" t="str">
        <f t="shared" si="1600"/>
        <v>IBG</v>
      </c>
      <c r="G3971" t="str">
        <f t="shared" si="1613"/>
        <v>Refund COSHARE 10</v>
      </c>
      <c r="H3971" s="2">
        <v>289</v>
      </c>
      <c r="I3971" t="str">
        <f>"MARDIANA BINTI ARMIA"</f>
        <v>MARDIANA BINTI ARMIA</v>
      </c>
      <c r="J3971" t="str">
        <f t="shared" si="1614"/>
        <v>MAYBANK / MAYBANK ISLAMIC</v>
      </c>
      <c r="K3971" t="str">
        <f>"158220476153"</f>
        <v>158220476153</v>
      </c>
      <c r="L3971" t="str">
        <f t="shared" si="1623"/>
        <v>04-08-2020</v>
      </c>
      <c r="M3971" t="str">
        <f t="shared" si="1623"/>
        <v>04-08-2020</v>
      </c>
      <c r="N3971" t="str">
        <f t="shared" si="1601"/>
        <v>001105018356</v>
      </c>
      <c r="O3971" t="str">
        <f t="shared" si="1602"/>
        <v>MYR</v>
      </c>
      <c r="P3971" t="str">
        <f t="shared" si="1624"/>
        <v>NIL</v>
      </c>
      <c r="Q3971" t="str">
        <f t="shared" si="1624"/>
        <v>NIL</v>
      </c>
      <c r="R3971" t="str">
        <f t="shared" si="1603"/>
        <v>Accepted</v>
      </c>
      <c r="S3971" t="str">
        <f t="shared" si="1604"/>
        <v>Approved</v>
      </c>
      <c r="T3971" t="str">
        <f t="shared" si="1605"/>
        <v>10.20.8.188</v>
      </c>
      <c r="U3971" t="str">
        <f t="shared" si="1606"/>
        <v>AZRAD UMAR BIN SHAARI</v>
      </c>
      <c r="V3971" t="str">
        <f t="shared" si="1607"/>
        <v>FARHANA BINTI MUSTAPA</v>
      </c>
      <c r="W3971" t="str">
        <f t="shared" si="1608"/>
        <v>04-08-2020</v>
      </c>
      <c r="X3971" t="str">
        <f t="shared" si="1609"/>
        <v>RAZIMAH ANSAR AHMAD</v>
      </c>
      <c r="Y3971" t="str">
        <f t="shared" si="1610"/>
        <v>04-08-2020</v>
      </c>
      <c r="Z3971" t="str">
        <f>"COS10200804 5183"</f>
        <v>COS10200804 5183</v>
      </c>
    </row>
    <row r="3972" spans="1:26" x14ac:dyDescent="0.25">
      <c r="A3972" t="str">
        <f t="shared" si="1621"/>
        <v>04-08-2020 12:55:04</v>
      </c>
      <c r="B3972" t="str">
        <f>"0000806968"</f>
        <v>0000806968</v>
      </c>
      <c r="C3972" t="str">
        <f t="shared" si="1622"/>
        <v>0000806786</v>
      </c>
      <c r="D3972" t="str">
        <f t="shared" si="1598"/>
        <v>73185</v>
      </c>
      <c r="E3972" t="str">
        <f t="shared" si="1599"/>
        <v>KFH-OPERATIONS DEPARTMENT</v>
      </c>
      <c r="F3972" t="str">
        <f t="shared" si="1600"/>
        <v>IBG</v>
      </c>
      <c r="G3972" t="str">
        <f t="shared" si="1613"/>
        <v>Refund COSHARE 10</v>
      </c>
      <c r="H3972" s="2">
        <v>251.85</v>
      </c>
      <c r="I3972" t="str">
        <f>"MARDIAHNA BINTI IBRAHIM"</f>
        <v>MARDIAHNA BINTI IBRAHIM</v>
      </c>
      <c r="J3972" t="str">
        <f t="shared" si="1614"/>
        <v>MAYBANK / MAYBANK ISLAMIC</v>
      </c>
      <c r="K3972" t="str">
        <f>"151137884211"</f>
        <v>151137884211</v>
      </c>
      <c r="L3972" t="str">
        <f t="shared" si="1623"/>
        <v>04-08-2020</v>
      </c>
      <c r="M3972" t="str">
        <f t="shared" si="1623"/>
        <v>04-08-2020</v>
      </c>
      <c r="N3972" t="str">
        <f t="shared" si="1601"/>
        <v>001105018356</v>
      </c>
      <c r="O3972" t="str">
        <f t="shared" si="1602"/>
        <v>MYR</v>
      </c>
      <c r="P3972" t="str">
        <f t="shared" si="1624"/>
        <v>NIL</v>
      </c>
      <c r="Q3972" t="str">
        <f t="shared" si="1624"/>
        <v>NIL</v>
      </c>
      <c r="R3972" t="str">
        <f t="shared" si="1603"/>
        <v>Accepted</v>
      </c>
      <c r="S3972" t="str">
        <f t="shared" si="1604"/>
        <v>Approved</v>
      </c>
      <c r="T3972" t="str">
        <f t="shared" si="1605"/>
        <v>10.20.8.188</v>
      </c>
      <c r="U3972" t="str">
        <f t="shared" si="1606"/>
        <v>AZRAD UMAR BIN SHAARI</v>
      </c>
      <c r="V3972" t="str">
        <f t="shared" si="1607"/>
        <v>FARHANA BINTI MUSTAPA</v>
      </c>
      <c r="W3972" t="str">
        <f t="shared" si="1608"/>
        <v>04-08-2020</v>
      </c>
      <c r="X3972" t="str">
        <f t="shared" si="1609"/>
        <v>RAZIMAH ANSAR AHMAD</v>
      </c>
      <c r="Y3972" t="str">
        <f t="shared" si="1610"/>
        <v>04-08-2020</v>
      </c>
      <c r="Z3972" t="str">
        <f>"COS10200804 5182"</f>
        <v>COS10200804 5182</v>
      </c>
    </row>
    <row r="3973" spans="1:26" x14ac:dyDescent="0.25">
      <c r="A3973" t="str">
        <f t="shared" si="1621"/>
        <v>04-08-2020 12:55:04</v>
      </c>
      <c r="B3973" t="str">
        <f>"0000806967"</f>
        <v>0000806967</v>
      </c>
      <c r="C3973" t="str">
        <f t="shared" si="1622"/>
        <v>0000806786</v>
      </c>
      <c r="D3973" t="str">
        <f t="shared" si="1598"/>
        <v>73185</v>
      </c>
      <c r="E3973" t="str">
        <f t="shared" si="1599"/>
        <v>KFH-OPERATIONS DEPARTMENT</v>
      </c>
      <c r="F3973" t="str">
        <f t="shared" si="1600"/>
        <v>IBG</v>
      </c>
      <c r="G3973" t="str">
        <f t="shared" si="1613"/>
        <v>Refund COSHARE 10</v>
      </c>
      <c r="H3973" s="2">
        <v>1518</v>
      </c>
      <c r="I3973" t="str">
        <f>"MARCUS DIRI BINTANG BIN KOPONG"</f>
        <v>MARCUS DIRI BINTANG BIN KOPONG</v>
      </c>
      <c r="J3973" t="str">
        <f t="shared" si="1614"/>
        <v>MAYBANK / MAYBANK ISLAMIC</v>
      </c>
      <c r="K3973" t="str">
        <f>"160072410718"</f>
        <v>160072410718</v>
      </c>
      <c r="L3973" t="str">
        <f t="shared" si="1623"/>
        <v>04-08-2020</v>
      </c>
      <c r="M3973" t="str">
        <f t="shared" si="1623"/>
        <v>04-08-2020</v>
      </c>
      <c r="N3973" t="str">
        <f t="shared" si="1601"/>
        <v>001105018356</v>
      </c>
      <c r="O3973" t="str">
        <f t="shared" si="1602"/>
        <v>MYR</v>
      </c>
      <c r="P3973" t="str">
        <f t="shared" si="1624"/>
        <v>NIL</v>
      </c>
      <c r="Q3973" t="str">
        <f t="shared" si="1624"/>
        <v>NIL</v>
      </c>
      <c r="R3973" t="str">
        <f t="shared" si="1603"/>
        <v>Accepted</v>
      </c>
      <c r="S3973" t="str">
        <f t="shared" si="1604"/>
        <v>Approved</v>
      </c>
      <c r="T3973" t="str">
        <f t="shared" si="1605"/>
        <v>10.20.8.188</v>
      </c>
      <c r="U3973" t="str">
        <f t="shared" si="1606"/>
        <v>AZRAD UMAR BIN SHAARI</v>
      </c>
      <c r="V3973" t="str">
        <f t="shared" si="1607"/>
        <v>FARHANA BINTI MUSTAPA</v>
      </c>
      <c r="W3973" t="str">
        <f t="shared" si="1608"/>
        <v>04-08-2020</v>
      </c>
      <c r="X3973" t="str">
        <f t="shared" si="1609"/>
        <v>RAZIMAH ANSAR AHMAD</v>
      </c>
      <c r="Y3973" t="str">
        <f t="shared" si="1610"/>
        <v>04-08-2020</v>
      </c>
      <c r="Z3973" t="str">
        <f>"COS10200804 5181"</f>
        <v>COS10200804 5181</v>
      </c>
    </row>
    <row r="3974" spans="1:26" x14ac:dyDescent="0.25">
      <c r="A3974" t="str">
        <f t="shared" si="1621"/>
        <v>04-08-2020 12:55:04</v>
      </c>
      <c r="B3974" t="str">
        <f>"0000806966"</f>
        <v>0000806966</v>
      </c>
      <c r="C3974" t="str">
        <f t="shared" si="1622"/>
        <v>0000806786</v>
      </c>
      <c r="D3974" t="str">
        <f t="shared" si="1598"/>
        <v>73185</v>
      </c>
      <c r="E3974" t="str">
        <f t="shared" si="1599"/>
        <v>KFH-OPERATIONS DEPARTMENT</v>
      </c>
      <c r="F3974" t="str">
        <f t="shared" si="1600"/>
        <v>IBG</v>
      </c>
      <c r="G3974" t="str">
        <f t="shared" si="1613"/>
        <v>Refund COSHARE 10</v>
      </c>
      <c r="H3974" s="2">
        <v>1150.1500000000001</v>
      </c>
      <c r="I3974" t="str">
        <f>"MARCIANA BINTI MAJAKUM"</f>
        <v>MARCIANA BINTI MAJAKUM</v>
      </c>
      <c r="J3974" t="str">
        <f t="shared" si="1614"/>
        <v>MAYBANK / MAYBANK ISLAMIC</v>
      </c>
      <c r="K3974" t="str">
        <f>"101013345109"</f>
        <v>101013345109</v>
      </c>
      <c r="L3974" t="str">
        <f t="shared" si="1623"/>
        <v>04-08-2020</v>
      </c>
      <c r="M3974" t="str">
        <f t="shared" si="1623"/>
        <v>04-08-2020</v>
      </c>
      <c r="N3974" t="str">
        <f t="shared" si="1601"/>
        <v>001105018356</v>
      </c>
      <c r="O3974" t="str">
        <f t="shared" si="1602"/>
        <v>MYR</v>
      </c>
      <c r="P3974" t="str">
        <f t="shared" si="1624"/>
        <v>NIL</v>
      </c>
      <c r="Q3974" t="str">
        <f t="shared" si="1624"/>
        <v>NIL</v>
      </c>
      <c r="R3974" t="str">
        <f t="shared" si="1603"/>
        <v>Accepted</v>
      </c>
      <c r="S3974" t="str">
        <f t="shared" si="1604"/>
        <v>Approved</v>
      </c>
      <c r="T3974" t="str">
        <f t="shared" si="1605"/>
        <v>10.20.8.188</v>
      </c>
      <c r="U3974" t="str">
        <f t="shared" si="1606"/>
        <v>AZRAD UMAR BIN SHAARI</v>
      </c>
      <c r="V3974" t="str">
        <f t="shared" si="1607"/>
        <v>FARHANA BINTI MUSTAPA</v>
      </c>
      <c r="W3974" t="str">
        <f t="shared" si="1608"/>
        <v>04-08-2020</v>
      </c>
      <c r="X3974" t="str">
        <f t="shared" si="1609"/>
        <v>RAZIMAH ANSAR AHMAD</v>
      </c>
      <c r="Y3974" t="str">
        <f t="shared" si="1610"/>
        <v>04-08-2020</v>
      </c>
      <c r="Z3974" t="str">
        <f>"COS10200804 5180"</f>
        <v>COS10200804 5180</v>
      </c>
    </row>
    <row r="3975" spans="1:26" x14ac:dyDescent="0.25">
      <c r="A3975" t="str">
        <f t="shared" si="1621"/>
        <v>04-08-2020 12:55:04</v>
      </c>
      <c r="B3975" t="str">
        <f>"0000806965"</f>
        <v>0000806965</v>
      </c>
      <c r="C3975" t="str">
        <f t="shared" si="1622"/>
        <v>0000806786</v>
      </c>
      <c r="D3975" t="str">
        <f t="shared" ref="D3975:D4038" si="1625">"73185"</f>
        <v>73185</v>
      </c>
      <c r="E3975" t="str">
        <f t="shared" ref="E3975:E4038" si="1626">"KFH-OPERATIONS DEPARTMENT"</f>
        <v>KFH-OPERATIONS DEPARTMENT</v>
      </c>
      <c r="F3975" t="str">
        <f t="shared" ref="F3975:F4038" si="1627">"IBG"</f>
        <v>IBG</v>
      </c>
      <c r="G3975" t="str">
        <f t="shared" si="1613"/>
        <v>Refund COSHARE 10</v>
      </c>
      <c r="H3975" s="2">
        <v>142.75</v>
      </c>
      <c r="I3975" t="str">
        <f>"MANSUR BIN MOHAMAD"</f>
        <v>MANSUR BIN MOHAMAD</v>
      </c>
      <c r="J3975" t="str">
        <f t="shared" si="1614"/>
        <v>MAYBANK / MAYBANK ISLAMIC</v>
      </c>
      <c r="K3975" t="str">
        <f>"152022954214"</f>
        <v>152022954214</v>
      </c>
      <c r="L3975" t="str">
        <f t="shared" si="1623"/>
        <v>04-08-2020</v>
      </c>
      <c r="M3975" t="str">
        <f t="shared" si="1623"/>
        <v>04-08-2020</v>
      </c>
      <c r="N3975" t="str">
        <f t="shared" ref="N3975:N4038" si="1628">"001105018356"</f>
        <v>001105018356</v>
      </c>
      <c r="O3975" t="str">
        <f t="shared" ref="O3975:O4038" si="1629">"MYR"</f>
        <v>MYR</v>
      </c>
      <c r="P3975" t="str">
        <f t="shared" si="1624"/>
        <v>NIL</v>
      </c>
      <c r="Q3975" t="str">
        <f t="shared" si="1624"/>
        <v>NIL</v>
      </c>
      <c r="R3975" t="str">
        <f t="shared" ref="R3975:R4038" si="1630">"Accepted"</f>
        <v>Accepted</v>
      </c>
      <c r="S3975" t="str">
        <f t="shared" ref="S3975:S4038" si="1631">"Approved"</f>
        <v>Approved</v>
      </c>
      <c r="T3975" t="str">
        <f t="shared" ref="T3975:T4038" si="1632">"10.20.8.188"</f>
        <v>10.20.8.188</v>
      </c>
      <c r="U3975" t="str">
        <f t="shared" ref="U3975:U4038" si="1633">"AZRAD UMAR BIN SHAARI"</f>
        <v>AZRAD UMAR BIN SHAARI</v>
      </c>
      <c r="V3975" t="str">
        <f t="shared" ref="V3975:V4038" si="1634">"FARHANA BINTI MUSTAPA"</f>
        <v>FARHANA BINTI MUSTAPA</v>
      </c>
      <c r="W3975" t="str">
        <f t="shared" ref="W3975:W4038" si="1635">"04-08-2020"</f>
        <v>04-08-2020</v>
      </c>
      <c r="X3975" t="str">
        <f t="shared" ref="X3975:X4038" si="1636">"RAZIMAH ANSAR AHMAD"</f>
        <v>RAZIMAH ANSAR AHMAD</v>
      </c>
      <c r="Y3975" t="str">
        <f t="shared" ref="Y3975:Y4038" si="1637">"04-08-2020"</f>
        <v>04-08-2020</v>
      </c>
      <c r="Z3975" t="str">
        <f>"COS10200804 5179"</f>
        <v>COS10200804 5179</v>
      </c>
    </row>
    <row r="3976" spans="1:26" x14ac:dyDescent="0.25">
      <c r="A3976" t="str">
        <f t="shared" si="1621"/>
        <v>04-08-2020 12:55:04</v>
      </c>
      <c r="B3976" t="str">
        <f>"0000806964"</f>
        <v>0000806964</v>
      </c>
      <c r="C3976" t="str">
        <f t="shared" si="1622"/>
        <v>0000806786</v>
      </c>
      <c r="D3976" t="str">
        <f t="shared" si="1625"/>
        <v>73185</v>
      </c>
      <c r="E3976" t="str">
        <f t="shared" si="1626"/>
        <v>KFH-OPERATIONS DEPARTMENT</v>
      </c>
      <c r="F3976" t="str">
        <f t="shared" si="1627"/>
        <v>IBG</v>
      </c>
      <c r="G3976" t="str">
        <f t="shared" si="1613"/>
        <v>Refund COSHARE 10</v>
      </c>
      <c r="H3976" s="2">
        <v>134.35</v>
      </c>
      <c r="I3976" t="str">
        <f>"MANSOR BIN ESA"</f>
        <v>MANSOR BIN ESA</v>
      </c>
      <c r="J3976" t="str">
        <f t="shared" si="1614"/>
        <v>MAYBANK / MAYBANK ISLAMIC</v>
      </c>
      <c r="K3976" t="str">
        <f>"164034254162"</f>
        <v>164034254162</v>
      </c>
      <c r="L3976" t="str">
        <f t="shared" si="1623"/>
        <v>04-08-2020</v>
      </c>
      <c r="M3976" t="str">
        <f t="shared" si="1623"/>
        <v>04-08-2020</v>
      </c>
      <c r="N3976" t="str">
        <f t="shared" si="1628"/>
        <v>001105018356</v>
      </c>
      <c r="O3976" t="str">
        <f t="shared" si="1629"/>
        <v>MYR</v>
      </c>
      <c r="P3976" t="str">
        <f t="shared" si="1624"/>
        <v>NIL</v>
      </c>
      <c r="Q3976" t="str">
        <f t="shared" si="1624"/>
        <v>NIL</v>
      </c>
      <c r="R3976" t="str">
        <f t="shared" si="1630"/>
        <v>Accepted</v>
      </c>
      <c r="S3976" t="str">
        <f t="shared" si="1631"/>
        <v>Approved</v>
      </c>
      <c r="T3976" t="str">
        <f t="shared" si="1632"/>
        <v>10.20.8.188</v>
      </c>
      <c r="U3976" t="str">
        <f t="shared" si="1633"/>
        <v>AZRAD UMAR BIN SHAARI</v>
      </c>
      <c r="V3976" t="str">
        <f t="shared" si="1634"/>
        <v>FARHANA BINTI MUSTAPA</v>
      </c>
      <c r="W3976" t="str">
        <f t="shared" si="1635"/>
        <v>04-08-2020</v>
      </c>
      <c r="X3976" t="str">
        <f t="shared" si="1636"/>
        <v>RAZIMAH ANSAR AHMAD</v>
      </c>
      <c r="Y3976" t="str">
        <f t="shared" si="1637"/>
        <v>04-08-2020</v>
      </c>
      <c r="Z3976" t="str">
        <f>"COS10200804 5178"</f>
        <v>COS10200804 5178</v>
      </c>
    </row>
    <row r="3977" spans="1:26" x14ac:dyDescent="0.25">
      <c r="A3977" t="str">
        <f t="shared" si="1621"/>
        <v>04-08-2020 12:55:04</v>
      </c>
      <c r="B3977" t="str">
        <f>"0000806963"</f>
        <v>0000806963</v>
      </c>
      <c r="C3977" t="str">
        <f t="shared" si="1622"/>
        <v>0000806786</v>
      </c>
      <c r="D3977" t="str">
        <f t="shared" si="1625"/>
        <v>73185</v>
      </c>
      <c r="E3977" t="str">
        <f t="shared" si="1626"/>
        <v>KFH-OPERATIONS DEPARTMENT</v>
      </c>
      <c r="F3977" t="str">
        <f t="shared" si="1627"/>
        <v>IBG</v>
      </c>
      <c r="G3977" t="str">
        <f t="shared" si="1613"/>
        <v>Refund COSHARE 10</v>
      </c>
      <c r="H3977" s="2">
        <v>1614</v>
      </c>
      <c r="I3977" t="str">
        <f>"MANSOR BIN BARAN"</f>
        <v>MANSOR BIN BARAN</v>
      </c>
      <c r="J3977" t="str">
        <f t="shared" si="1614"/>
        <v>MAYBANK / MAYBANK ISLAMIC</v>
      </c>
      <c r="K3977" t="str">
        <f>"110041001164"</f>
        <v>110041001164</v>
      </c>
      <c r="L3977" t="str">
        <f t="shared" si="1623"/>
        <v>04-08-2020</v>
      </c>
      <c r="M3977" t="str">
        <f t="shared" si="1623"/>
        <v>04-08-2020</v>
      </c>
      <c r="N3977" t="str">
        <f t="shared" si="1628"/>
        <v>001105018356</v>
      </c>
      <c r="O3977" t="str">
        <f t="shared" si="1629"/>
        <v>MYR</v>
      </c>
      <c r="P3977" t="str">
        <f t="shared" si="1624"/>
        <v>NIL</v>
      </c>
      <c r="Q3977" t="str">
        <f t="shared" si="1624"/>
        <v>NIL</v>
      </c>
      <c r="R3977" t="str">
        <f t="shared" si="1630"/>
        <v>Accepted</v>
      </c>
      <c r="S3977" t="str">
        <f t="shared" si="1631"/>
        <v>Approved</v>
      </c>
      <c r="T3977" t="str">
        <f t="shared" si="1632"/>
        <v>10.20.8.188</v>
      </c>
      <c r="U3977" t="str">
        <f t="shared" si="1633"/>
        <v>AZRAD UMAR BIN SHAARI</v>
      </c>
      <c r="V3977" t="str">
        <f t="shared" si="1634"/>
        <v>FARHANA BINTI MUSTAPA</v>
      </c>
      <c r="W3977" t="str">
        <f t="shared" si="1635"/>
        <v>04-08-2020</v>
      </c>
      <c r="X3977" t="str">
        <f t="shared" si="1636"/>
        <v>RAZIMAH ANSAR AHMAD</v>
      </c>
      <c r="Y3977" t="str">
        <f t="shared" si="1637"/>
        <v>04-08-2020</v>
      </c>
      <c r="Z3977" t="str">
        <f>"COS10200804 5177"</f>
        <v>COS10200804 5177</v>
      </c>
    </row>
    <row r="3978" spans="1:26" x14ac:dyDescent="0.25">
      <c r="A3978" t="str">
        <f t="shared" si="1621"/>
        <v>04-08-2020 12:55:04</v>
      </c>
      <c r="B3978" t="str">
        <f>"0000806962"</f>
        <v>0000806962</v>
      </c>
      <c r="C3978" t="str">
        <f t="shared" si="1622"/>
        <v>0000806786</v>
      </c>
      <c r="D3978" t="str">
        <f t="shared" si="1625"/>
        <v>73185</v>
      </c>
      <c r="E3978" t="str">
        <f t="shared" si="1626"/>
        <v>KFH-OPERATIONS DEPARTMENT</v>
      </c>
      <c r="F3978" t="str">
        <f t="shared" si="1627"/>
        <v>IBG</v>
      </c>
      <c r="G3978" t="str">
        <f t="shared" si="1613"/>
        <v>Refund COSHARE 10</v>
      </c>
      <c r="H3978" s="2">
        <v>83.95</v>
      </c>
      <c r="I3978" t="str">
        <f>"MANIZAM BIN ABDUL MALIK"</f>
        <v>MANIZAM BIN ABDUL MALIK</v>
      </c>
      <c r="J3978" t="str">
        <f t="shared" si="1614"/>
        <v>MAYBANK / MAYBANK ISLAMIC</v>
      </c>
      <c r="K3978" t="str">
        <f>"162384641924"</f>
        <v>162384641924</v>
      </c>
      <c r="L3978" t="str">
        <f t="shared" si="1623"/>
        <v>04-08-2020</v>
      </c>
      <c r="M3978" t="str">
        <f t="shared" si="1623"/>
        <v>04-08-2020</v>
      </c>
      <c r="N3978" t="str">
        <f t="shared" si="1628"/>
        <v>001105018356</v>
      </c>
      <c r="O3978" t="str">
        <f t="shared" si="1629"/>
        <v>MYR</v>
      </c>
      <c r="P3978" t="str">
        <f t="shared" si="1624"/>
        <v>NIL</v>
      </c>
      <c r="Q3978" t="str">
        <f t="shared" si="1624"/>
        <v>NIL</v>
      </c>
      <c r="R3978" t="str">
        <f t="shared" si="1630"/>
        <v>Accepted</v>
      </c>
      <c r="S3978" t="str">
        <f t="shared" si="1631"/>
        <v>Approved</v>
      </c>
      <c r="T3978" t="str">
        <f t="shared" si="1632"/>
        <v>10.20.8.188</v>
      </c>
      <c r="U3978" t="str">
        <f t="shared" si="1633"/>
        <v>AZRAD UMAR BIN SHAARI</v>
      </c>
      <c r="V3978" t="str">
        <f t="shared" si="1634"/>
        <v>FARHANA BINTI MUSTAPA</v>
      </c>
      <c r="W3978" t="str">
        <f t="shared" si="1635"/>
        <v>04-08-2020</v>
      </c>
      <c r="X3978" t="str">
        <f t="shared" si="1636"/>
        <v>RAZIMAH ANSAR AHMAD</v>
      </c>
      <c r="Y3978" t="str">
        <f t="shared" si="1637"/>
        <v>04-08-2020</v>
      </c>
      <c r="Z3978" t="str">
        <f>"COS10200804 5176"</f>
        <v>COS10200804 5176</v>
      </c>
    </row>
    <row r="3979" spans="1:26" x14ac:dyDescent="0.25">
      <c r="A3979" t="str">
        <f t="shared" si="1621"/>
        <v>04-08-2020 12:55:04</v>
      </c>
      <c r="B3979" t="str">
        <f>"0000806961"</f>
        <v>0000806961</v>
      </c>
      <c r="C3979" t="str">
        <f t="shared" si="1622"/>
        <v>0000806786</v>
      </c>
      <c r="D3979" t="str">
        <f t="shared" si="1625"/>
        <v>73185</v>
      </c>
      <c r="E3979" t="str">
        <f t="shared" si="1626"/>
        <v>KFH-OPERATIONS DEPARTMENT</v>
      </c>
      <c r="F3979" t="str">
        <f t="shared" si="1627"/>
        <v>IBG</v>
      </c>
      <c r="G3979" t="str">
        <f t="shared" si="1613"/>
        <v>Refund COSHARE 10</v>
      </c>
      <c r="H3979" s="2">
        <v>1268.45</v>
      </c>
      <c r="I3979" t="str">
        <f>"MANISAH BINTI AHMAD YUSOP"</f>
        <v>MANISAH BINTI AHMAD YUSOP</v>
      </c>
      <c r="J3979" t="str">
        <f t="shared" si="1614"/>
        <v>MAYBANK / MAYBANK ISLAMIC</v>
      </c>
      <c r="K3979" t="str">
        <f>"164397935403"</f>
        <v>164397935403</v>
      </c>
      <c r="L3979" t="str">
        <f t="shared" si="1623"/>
        <v>04-08-2020</v>
      </c>
      <c r="M3979" t="str">
        <f t="shared" si="1623"/>
        <v>04-08-2020</v>
      </c>
      <c r="N3979" t="str">
        <f t="shared" si="1628"/>
        <v>001105018356</v>
      </c>
      <c r="O3979" t="str">
        <f t="shared" si="1629"/>
        <v>MYR</v>
      </c>
      <c r="P3979" t="str">
        <f t="shared" si="1624"/>
        <v>NIL</v>
      </c>
      <c r="Q3979" t="str">
        <f t="shared" si="1624"/>
        <v>NIL</v>
      </c>
      <c r="R3979" t="str">
        <f t="shared" si="1630"/>
        <v>Accepted</v>
      </c>
      <c r="S3979" t="str">
        <f t="shared" si="1631"/>
        <v>Approved</v>
      </c>
      <c r="T3979" t="str">
        <f t="shared" si="1632"/>
        <v>10.20.8.188</v>
      </c>
      <c r="U3979" t="str">
        <f t="shared" si="1633"/>
        <v>AZRAD UMAR BIN SHAARI</v>
      </c>
      <c r="V3979" t="str">
        <f t="shared" si="1634"/>
        <v>FARHANA BINTI MUSTAPA</v>
      </c>
      <c r="W3979" t="str">
        <f t="shared" si="1635"/>
        <v>04-08-2020</v>
      </c>
      <c r="X3979" t="str">
        <f t="shared" si="1636"/>
        <v>RAZIMAH ANSAR AHMAD</v>
      </c>
      <c r="Y3979" t="str">
        <f t="shared" si="1637"/>
        <v>04-08-2020</v>
      </c>
      <c r="Z3979" t="str">
        <f>"COS10200804 5175"</f>
        <v>COS10200804 5175</v>
      </c>
    </row>
    <row r="3980" spans="1:26" x14ac:dyDescent="0.25">
      <c r="A3980" t="str">
        <f t="shared" si="1621"/>
        <v>04-08-2020 12:55:04</v>
      </c>
      <c r="B3980" t="str">
        <f>"0000806960"</f>
        <v>0000806960</v>
      </c>
      <c r="C3980" t="str">
        <f t="shared" si="1622"/>
        <v>0000806786</v>
      </c>
      <c r="D3980" t="str">
        <f t="shared" si="1625"/>
        <v>73185</v>
      </c>
      <c r="E3980" t="str">
        <f t="shared" si="1626"/>
        <v>KFH-OPERATIONS DEPARTMENT</v>
      </c>
      <c r="F3980" t="str">
        <f t="shared" si="1627"/>
        <v>IBG</v>
      </c>
      <c r="G3980" t="str">
        <f t="shared" ref="G3980:G4043" si="1638">"Refund COSHARE 10"</f>
        <v>Refund COSHARE 10</v>
      </c>
      <c r="H3980" s="2">
        <v>177.75</v>
      </c>
      <c r="I3980" t="str">
        <f>"MANIMARAN AL RAMASAMY"</f>
        <v>MANIMARAN AL RAMASAMY</v>
      </c>
      <c r="J3980" t="str">
        <f t="shared" si="1614"/>
        <v>MAYBANK / MAYBANK ISLAMIC</v>
      </c>
      <c r="K3980" t="str">
        <f>"106043157160"</f>
        <v>106043157160</v>
      </c>
      <c r="L3980" t="str">
        <f t="shared" si="1623"/>
        <v>04-08-2020</v>
      </c>
      <c r="M3980" t="str">
        <f t="shared" si="1623"/>
        <v>04-08-2020</v>
      </c>
      <c r="N3980" t="str">
        <f t="shared" si="1628"/>
        <v>001105018356</v>
      </c>
      <c r="O3980" t="str">
        <f t="shared" si="1629"/>
        <v>MYR</v>
      </c>
      <c r="P3980" t="str">
        <f t="shared" si="1624"/>
        <v>NIL</v>
      </c>
      <c r="Q3980" t="str">
        <f t="shared" si="1624"/>
        <v>NIL</v>
      </c>
      <c r="R3980" t="str">
        <f t="shared" si="1630"/>
        <v>Accepted</v>
      </c>
      <c r="S3980" t="str">
        <f t="shared" si="1631"/>
        <v>Approved</v>
      </c>
      <c r="T3980" t="str">
        <f t="shared" si="1632"/>
        <v>10.20.8.188</v>
      </c>
      <c r="U3980" t="str">
        <f t="shared" si="1633"/>
        <v>AZRAD UMAR BIN SHAARI</v>
      </c>
      <c r="V3980" t="str">
        <f t="shared" si="1634"/>
        <v>FARHANA BINTI MUSTAPA</v>
      </c>
      <c r="W3980" t="str">
        <f t="shared" si="1635"/>
        <v>04-08-2020</v>
      </c>
      <c r="X3980" t="str">
        <f t="shared" si="1636"/>
        <v>RAZIMAH ANSAR AHMAD</v>
      </c>
      <c r="Y3980" t="str">
        <f t="shared" si="1637"/>
        <v>04-08-2020</v>
      </c>
      <c r="Z3980" t="str">
        <f>"COS10200804 5174"</f>
        <v>COS10200804 5174</v>
      </c>
    </row>
    <row r="3981" spans="1:26" x14ac:dyDescent="0.25">
      <c r="A3981" t="str">
        <f t="shared" si="1621"/>
        <v>04-08-2020 12:55:04</v>
      </c>
      <c r="B3981" t="str">
        <f>"0000806959"</f>
        <v>0000806959</v>
      </c>
      <c r="C3981" t="str">
        <f t="shared" si="1622"/>
        <v>0000806786</v>
      </c>
      <c r="D3981" t="str">
        <f t="shared" si="1625"/>
        <v>73185</v>
      </c>
      <c r="E3981" t="str">
        <f t="shared" si="1626"/>
        <v>KFH-OPERATIONS DEPARTMENT</v>
      </c>
      <c r="F3981" t="str">
        <f t="shared" si="1627"/>
        <v>IBG</v>
      </c>
      <c r="G3981" t="str">
        <f t="shared" si="1638"/>
        <v>Refund COSHARE 10</v>
      </c>
      <c r="H3981" s="2">
        <v>747.15</v>
      </c>
      <c r="I3981" t="str">
        <f>"MALUDZIN BIN MASONGIU"</f>
        <v>MALUDZIN BIN MASONGIU</v>
      </c>
      <c r="J3981" t="str">
        <f t="shared" si="1614"/>
        <v>MAYBANK / MAYBANK ISLAMIC</v>
      </c>
      <c r="K3981" t="str">
        <f>"164182409804"</f>
        <v>164182409804</v>
      </c>
      <c r="L3981" t="str">
        <f t="shared" si="1623"/>
        <v>04-08-2020</v>
      </c>
      <c r="M3981" t="str">
        <f t="shared" si="1623"/>
        <v>04-08-2020</v>
      </c>
      <c r="N3981" t="str">
        <f t="shared" si="1628"/>
        <v>001105018356</v>
      </c>
      <c r="O3981" t="str">
        <f t="shared" si="1629"/>
        <v>MYR</v>
      </c>
      <c r="P3981" t="str">
        <f t="shared" si="1624"/>
        <v>NIL</v>
      </c>
      <c r="Q3981" t="str">
        <f t="shared" si="1624"/>
        <v>NIL</v>
      </c>
      <c r="R3981" t="str">
        <f t="shared" si="1630"/>
        <v>Accepted</v>
      </c>
      <c r="S3981" t="str">
        <f t="shared" si="1631"/>
        <v>Approved</v>
      </c>
      <c r="T3981" t="str">
        <f t="shared" si="1632"/>
        <v>10.20.8.188</v>
      </c>
      <c r="U3981" t="str">
        <f t="shared" si="1633"/>
        <v>AZRAD UMAR BIN SHAARI</v>
      </c>
      <c r="V3981" t="str">
        <f t="shared" si="1634"/>
        <v>FARHANA BINTI MUSTAPA</v>
      </c>
      <c r="W3981" t="str">
        <f t="shared" si="1635"/>
        <v>04-08-2020</v>
      </c>
      <c r="X3981" t="str">
        <f t="shared" si="1636"/>
        <v>RAZIMAH ANSAR AHMAD</v>
      </c>
      <c r="Y3981" t="str">
        <f t="shared" si="1637"/>
        <v>04-08-2020</v>
      </c>
      <c r="Z3981" t="str">
        <f>"COS10200804 5173"</f>
        <v>COS10200804 5173</v>
      </c>
    </row>
    <row r="3982" spans="1:26" x14ac:dyDescent="0.25">
      <c r="A3982" t="str">
        <f t="shared" si="1621"/>
        <v>04-08-2020 12:55:04</v>
      </c>
      <c r="B3982" t="str">
        <f>"0000806958"</f>
        <v>0000806958</v>
      </c>
      <c r="C3982" t="str">
        <f t="shared" si="1622"/>
        <v>0000806786</v>
      </c>
      <c r="D3982" t="str">
        <f t="shared" si="1625"/>
        <v>73185</v>
      </c>
      <c r="E3982" t="str">
        <f t="shared" si="1626"/>
        <v>KFH-OPERATIONS DEPARTMENT</v>
      </c>
      <c r="F3982" t="str">
        <f t="shared" si="1627"/>
        <v>IBG</v>
      </c>
      <c r="G3982" t="str">
        <f t="shared" si="1638"/>
        <v>Refund COSHARE 10</v>
      </c>
      <c r="H3982" s="2">
        <v>289.05</v>
      </c>
      <c r="I3982" t="str">
        <f>"MALLAR SELIVE AP KRISHNASAMY"</f>
        <v>MALLAR SELIVE AP KRISHNASAMY</v>
      </c>
      <c r="J3982" t="str">
        <f t="shared" si="1614"/>
        <v>MAYBANK / MAYBANK ISLAMIC</v>
      </c>
      <c r="K3982" t="str">
        <f>"101114444072"</f>
        <v>101114444072</v>
      </c>
      <c r="L3982" t="str">
        <f t="shared" si="1623"/>
        <v>04-08-2020</v>
      </c>
      <c r="M3982" t="str">
        <f t="shared" si="1623"/>
        <v>04-08-2020</v>
      </c>
      <c r="N3982" t="str">
        <f t="shared" si="1628"/>
        <v>001105018356</v>
      </c>
      <c r="O3982" t="str">
        <f t="shared" si="1629"/>
        <v>MYR</v>
      </c>
      <c r="P3982" t="str">
        <f t="shared" si="1624"/>
        <v>NIL</v>
      </c>
      <c r="Q3982" t="str">
        <f t="shared" si="1624"/>
        <v>NIL</v>
      </c>
      <c r="R3982" t="str">
        <f t="shared" si="1630"/>
        <v>Accepted</v>
      </c>
      <c r="S3982" t="str">
        <f t="shared" si="1631"/>
        <v>Approved</v>
      </c>
      <c r="T3982" t="str">
        <f t="shared" si="1632"/>
        <v>10.20.8.188</v>
      </c>
      <c r="U3982" t="str">
        <f t="shared" si="1633"/>
        <v>AZRAD UMAR BIN SHAARI</v>
      </c>
      <c r="V3982" t="str">
        <f t="shared" si="1634"/>
        <v>FARHANA BINTI MUSTAPA</v>
      </c>
      <c r="W3982" t="str">
        <f t="shared" si="1635"/>
        <v>04-08-2020</v>
      </c>
      <c r="X3982" t="str">
        <f t="shared" si="1636"/>
        <v>RAZIMAH ANSAR AHMAD</v>
      </c>
      <c r="Y3982" t="str">
        <f t="shared" si="1637"/>
        <v>04-08-2020</v>
      </c>
      <c r="Z3982" t="str">
        <f>"COS10200804 5172"</f>
        <v>COS10200804 5172</v>
      </c>
    </row>
    <row r="3983" spans="1:26" x14ac:dyDescent="0.25">
      <c r="A3983" t="str">
        <f t="shared" si="1621"/>
        <v>04-08-2020 12:55:04</v>
      </c>
      <c r="B3983" t="str">
        <f>"0000806957"</f>
        <v>0000806957</v>
      </c>
      <c r="C3983" t="str">
        <f t="shared" si="1622"/>
        <v>0000806786</v>
      </c>
      <c r="D3983" t="str">
        <f t="shared" si="1625"/>
        <v>73185</v>
      </c>
      <c r="E3983" t="str">
        <f t="shared" si="1626"/>
        <v>KFH-OPERATIONS DEPARTMENT</v>
      </c>
      <c r="F3983" t="str">
        <f t="shared" si="1627"/>
        <v>IBG</v>
      </c>
      <c r="G3983" t="str">
        <f t="shared" si="1638"/>
        <v>Refund COSHARE 10</v>
      </c>
      <c r="H3983" s="2">
        <v>193.1</v>
      </c>
      <c r="I3983" t="str">
        <f>"MALIANAH BINTI MAJAKUM"</f>
        <v>MALIANAH BINTI MAJAKUM</v>
      </c>
      <c r="J3983" t="str">
        <f t="shared" si="1614"/>
        <v>MAYBANK / MAYBANK ISLAMIC</v>
      </c>
      <c r="K3983" t="str">
        <f>"160090324388"</f>
        <v>160090324388</v>
      </c>
      <c r="L3983" t="str">
        <f t="shared" si="1623"/>
        <v>04-08-2020</v>
      </c>
      <c r="M3983" t="str">
        <f t="shared" si="1623"/>
        <v>04-08-2020</v>
      </c>
      <c r="N3983" t="str">
        <f t="shared" si="1628"/>
        <v>001105018356</v>
      </c>
      <c r="O3983" t="str">
        <f t="shared" si="1629"/>
        <v>MYR</v>
      </c>
      <c r="P3983" t="str">
        <f t="shared" si="1624"/>
        <v>NIL</v>
      </c>
      <c r="Q3983" t="str">
        <f t="shared" si="1624"/>
        <v>NIL</v>
      </c>
      <c r="R3983" t="str">
        <f t="shared" si="1630"/>
        <v>Accepted</v>
      </c>
      <c r="S3983" t="str">
        <f t="shared" si="1631"/>
        <v>Approved</v>
      </c>
      <c r="T3983" t="str">
        <f t="shared" si="1632"/>
        <v>10.20.8.188</v>
      </c>
      <c r="U3983" t="str">
        <f t="shared" si="1633"/>
        <v>AZRAD UMAR BIN SHAARI</v>
      </c>
      <c r="V3983" t="str">
        <f t="shared" si="1634"/>
        <v>FARHANA BINTI MUSTAPA</v>
      </c>
      <c r="W3983" t="str">
        <f t="shared" si="1635"/>
        <v>04-08-2020</v>
      </c>
      <c r="X3983" t="str">
        <f t="shared" si="1636"/>
        <v>RAZIMAH ANSAR AHMAD</v>
      </c>
      <c r="Y3983" t="str">
        <f t="shared" si="1637"/>
        <v>04-08-2020</v>
      </c>
      <c r="Z3983" t="str">
        <f>"COS10200804 5171"</f>
        <v>COS10200804 5171</v>
      </c>
    </row>
    <row r="3984" spans="1:26" x14ac:dyDescent="0.25">
      <c r="A3984" t="str">
        <f t="shared" si="1621"/>
        <v>04-08-2020 12:55:04</v>
      </c>
      <c r="B3984" t="str">
        <f>"0000806956"</f>
        <v>0000806956</v>
      </c>
      <c r="C3984" t="str">
        <f t="shared" si="1622"/>
        <v>0000806786</v>
      </c>
      <c r="D3984" t="str">
        <f t="shared" si="1625"/>
        <v>73185</v>
      </c>
      <c r="E3984" t="str">
        <f t="shared" si="1626"/>
        <v>KFH-OPERATIONS DEPARTMENT</v>
      </c>
      <c r="F3984" t="str">
        <f t="shared" si="1627"/>
        <v>IBG</v>
      </c>
      <c r="G3984" t="str">
        <f t="shared" si="1638"/>
        <v>Refund COSHARE 10</v>
      </c>
      <c r="H3984" s="2">
        <v>1344</v>
      </c>
      <c r="I3984" t="str">
        <f>"MALI BIN JULIN"</f>
        <v>MALI BIN JULIN</v>
      </c>
      <c r="J3984" t="str">
        <f t="shared" si="1614"/>
        <v>MAYBANK / MAYBANK ISLAMIC</v>
      </c>
      <c r="K3984" t="str">
        <f>"111113376707"</f>
        <v>111113376707</v>
      </c>
      <c r="L3984" t="str">
        <f t="shared" si="1623"/>
        <v>04-08-2020</v>
      </c>
      <c r="M3984" t="str">
        <f t="shared" si="1623"/>
        <v>04-08-2020</v>
      </c>
      <c r="N3984" t="str">
        <f t="shared" si="1628"/>
        <v>001105018356</v>
      </c>
      <c r="O3984" t="str">
        <f t="shared" si="1629"/>
        <v>MYR</v>
      </c>
      <c r="P3984" t="str">
        <f t="shared" si="1624"/>
        <v>NIL</v>
      </c>
      <c r="Q3984" t="str">
        <f t="shared" si="1624"/>
        <v>NIL</v>
      </c>
      <c r="R3984" t="str">
        <f t="shared" si="1630"/>
        <v>Accepted</v>
      </c>
      <c r="S3984" t="str">
        <f t="shared" si="1631"/>
        <v>Approved</v>
      </c>
      <c r="T3984" t="str">
        <f t="shared" si="1632"/>
        <v>10.20.8.188</v>
      </c>
      <c r="U3984" t="str">
        <f t="shared" si="1633"/>
        <v>AZRAD UMAR BIN SHAARI</v>
      </c>
      <c r="V3984" t="str">
        <f t="shared" si="1634"/>
        <v>FARHANA BINTI MUSTAPA</v>
      </c>
      <c r="W3984" t="str">
        <f t="shared" si="1635"/>
        <v>04-08-2020</v>
      </c>
      <c r="X3984" t="str">
        <f t="shared" si="1636"/>
        <v>RAZIMAH ANSAR AHMAD</v>
      </c>
      <c r="Y3984" t="str">
        <f t="shared" si="1637"/>
        <v>04-08-2020</v>
      </c>
      <c r="Z3984" t="str">
        <f>"COS10200804 5170"</f>
        <v>COS10200804 5170</v>
      </c>
    </row>
    <row r="3985" spans="1:26" x14ac:dyDescent="0.25">
      <c r="A3985" t="str">
        <f t="shared" si="1621"/>
        <v>04-08-2020 12:55:04</v>
      </c>
      <c r="B3985" t="str">
        <f>"0000806955"</f>
        <v>0000806955</v>
      </c>
      <c r="C3985" t="str">
        <f t="shared" si="1622"/>
        <v>0000806786</v>
      </c>
      <c r="D3985" t="str">
        <f t="shared" si="1625"/>
        <v>73185</v>
      </c>
      <c r="E3985" t="str">
        <f t="shared" si="1626"/>
        <v>KFH-OPERATIONS DEPARTMENT</v>
      </c>
      <c r="F3985" t="str">
        <f t="shared" si="1627"/>
        <v>IBG</v>
      </c>
      <c r="G3985" t="str">
        <f t="shared" si="1638"/>
        <v>Refund COSHARE 10</v>
      </c>
      <c r="H3985" s="2">
        <v>972</v>
      </c>
      <c r="I3985" t="str">
        <f>"MAKAU ANAK SUMPING"</f>
        <v>MAKAU ANAK SUMPING</v>
      </c>
      <c r="J3985" t="str">
        <f t="shared" ref="J3985:J4048" si="1639">"MAYBANK / MAYBANK ISLAMIC"</f>
        <v>MAYBANK / MAYBANK ISLAMIC</v>
      </c>
      <c r="K3985" t="str">
        <f>"110144249026"</f>
        <v>110144249026</v>
      </c>
      <c r="L3985" t="str">
        <f t="shared" si="1623"/>
        <v>04-08-2020</v>
      </c>
      <c r="M3985" t="str">
        <f t="shared" si="1623"/>
        <v>04-08-2020</v>
      </c>
      <c r="N3985" t="str">
        <f t="shared" si="1628"/>
        <v>001105018356</v>
      </c>
      <c r="O3985" t="str">
        <f t="shared" si="1629"/>
        <v>MYR</v>
      </c>
      <c r="P3985" t="str">
        <f t="shared" si="1624"/>
        <v>NIL</v>
      </c>
      <c r="Q3985" t="str">
        <f t="shared" si="1624"/>
        <v>NIL</v>
      </c>
      <c r="R3985" t="str">
        <f t="shared" si="1630"/>
        <v>Accepted</v>
      </c>
      <c r="S3985" t="str">
        <f t="shared" si="1631"/>
        <v>Approved</v>
      </c>
      <c r="T3985" t="str">
        <f t="shared" si="1632"/>
        <v>10.20.8.188</v>
      </c>
      <c r="U3985" t="str">
        <f t="shared" si="1633"/>
        <v>AZRAD UMAR BIN SHAARI</v>
      </c>
      <c r="V3985" t="str">
        <f t="shared" si="1634"/>
        <v>FARHANA BINTI MUSTAPA</v>
      </c>
      <c r="W3985" t="str">
        <f t="shared" si="1635"/>
        <v>04-08-2020</v>
      </c>
      <c r="X3985" t="str">
        <f t="shared" si="1636"/>
        <v>RAZIMAH ANSAR AHMAD</v>
      </c>
      <c r="Y3985" t="str">
        <f t="shared" si="1637"/>
        <v>04-08-2020</v>
      </c>
      <c r="Z3985" t="str">
        <f>"COS10200804 5169"</f>
        <v>COS10200804 5169</v>
      </c>
    </row>
    <row r="3986" spans="1:26" x14ac:dyDescent="0.25">
      <c r="A3986" t="str">
        <f t="shared" ref="A3986:A4017" si="1640">"04-08-2020 12:55:04"</f>
        <v>04-08-2020 12:55:04</v>
      </c>
      <c r="B3986" t="str">
        <f>"0000806954"</f>
        <v>0000806954</v>
      </c>
      <c r="C3986" t="str">
        <f t="shared" ref="C3986:C4017" si="1641">"0000806786"</f>
        <v>0000806786</v>
      </c>
      <c r="D3986" t="str">
        <f t="shared" si="1625"/>
        <v>73185</v>
      </c>
      <c r="E3986" t="str">
        <f t="shared" si="1626"/>
        <v>KFH-OPERATIONS DEPARTMENT</v>
      </c>
      <c r="F3986" t="str">
        <f t="shared" si="1627"/>
        <v>IBG</v>
      </c>
      <c r="G3986" t="str">
        <f t="shared" si="1638"/>
        <v>Refund COSHARE 10</v>
      </c>
      <c r="H3986" s="2">
        <v>125.95</v>
      </c>
      <c r="I3986" t="str">
        <f>"MAIZURA BINTI MOHAMAD"</f>
        <v>MAIZURA BINTI MOHAMAD</v>
      </c>
      <c r="J3986" t="str">
        <f t="shared" si="1639"/>
        <v>MAYBANK / MAYBANK ISLAMIC</v>
      </c>
      <c r="K3986" t="str">
        <f>"158015104995"</f>
        <v>158015104995</v>
      </c>
      <c r="L3986" t="str">
        <f t="shared" si="1623"/>
        <v>04-08-2020</v>
      </c>
      <c r="M3986" t="str">
        <f t="shared" si="1623"/>
        <v>04-08-2020</v>
      </c>
      <c r="N3986" t="str">
        <f t="shared" si="1628"/>
        <v>001105018356</v>
      </c>
      <c r="O3986" t="str">
        <f t="shared" si="1629"/>
        <v>MYR</v>
      </c>
      <c r="P3986" t="str">
        <f t="shared" si="1624"/>
        <v>NIL</v>
      </c>
      <c r="Q3986" t="str">
        <f t="shared" si="1624"/>
        <v>NIL</v>
      </c>
      <c r="R3986" t="str">
        <f t="shared" si="1630"/>
        <v>Accepted</v>
      </c>
      <c r="S3986" t="str">
        <f t="shared" si="1631"/>
        <v>Approved</v>
      </c>
      <c r="T3986" t="str">
        <f t="shared" si="1632"/>
        <v>10.20.8.188</v>
      </c>
      <c r="U3986" t="str">
        <f t="shared" si="1633"/>
        <v>AZRAD UMAR BIN SHAARI</v>
      </c>
      <c r="V3986" t="str">
        <f t="shared" si="1634"/>
        <v>FARHANA BINTI MUSTAPA</v>
      </c>
      <c r="W3986" t="str">
        <f t="shared" si="1635"/>
        <v>04-08-2020</v>
      </c>
      <c r="X3986" t="str">
        <f t="shared" si="1636"/>
        <v>RAZIMAH ANSAR AHMAD</v>
      </c>
      <c r="Y3986" t="str">
        <f t="shared" si="1637"/>
        <v>04-08-2020</v>
      </c>
      <c r="Z3986" t="str">
        <f>"COS10200804 5168"</f>
        <v>COS10200804 5168</v>
      </c>
    </row>
    <row r="3987" spans="1:26" x14ac:dyDescent="0.25">
      <c r="A3987" t="str">
        <f t="shared" si="1640"/>
        <v>04-08-2020 12:55:04</v>
      </c>
      <c r="B3987" t="str">
        <f>"0000806953"</f>
        <v>0000806953</v>
      </c>
      <c r="C3987" t="str">
        <f t="shared" si="1641"/>
        <v>0000806786</v>
      </c>
      <c r="D3987" t="str">
        <f t="shared" si="1625"/>
        <v>73185</v>
      </c>
      <c r="E3987" t="str">
        <f t="shared" si="1626"/>
        <v>KFH-OPERATIONS DEPARTMENT</v>
      </c>
      <c r="F3987" t="str">
        <f t="shared" si="1627"/>
        <v>IBG</v>
      </c>
      <c r="G3987" t="str">
        <f t="shared" si="1638"/>
        <v>Refund COSHARE 10</v>
      </c>
      <c r="H3987" s="2">
        <v>839.5</v>
      </c>
      <c r="I3987" t="str">
        <f>"MAIZUNAZIAN BINTI AKIAH"</f>
        <v>MAIZUNAZIAN BINTI AKIAH</v>
      </c>
      <c r="J3987" t="str">
        <f t="shared" si="1639"/>
        <v>MAYBANK / MAYBANK ISLAMIC</v>
      </c>
      <c r="K3987" t="str">
        <f>"112482098588"</f>
        <v>112482098588</v>
      </c>
      <c r="L3987" t="str">
        <f t="shared" ref="L3987:M4006" si="1642">"04-08-2020"</f>
        <v>04-08-2020</v>
      </c>
      <c r="M3987" t="str">
        <f t="shared" si="1642"/>
        <v>04-08-2020</v>
      </c>
      <c r="N3987" t="str">
        <f t="shared" si="1628"/>
        <v>001105018356</v>
      </c>
      <c r="O3987" t="str">
        <f t="shared" si="1629"/>
        <v>MYR</v>
      </c>
      <c r="P3987" t="str">
        <f t="shared" ref="P3987:Q4006" si="1643">"NIL"</f>
        <v>NIL</v>
      </c>
      <c r="Q3987" t="str">
        <f t="shared" si="1643"/>
        <v>NIL</v>
      </c>
      <c r="R3987" t="str">
        <f t="shared" si="1630"/>
        <v>Accepted</v>
      </c>
      <c r="S3987" t="str">
        <f t="shared" si="1631"/>
        <v>Approved</v>
      </c>
      <c r="T3987" t="str">
        <f t="shared" si="1632"/>
        <v>10.20.8.188</v>
      </c>
      <c r="U3987" t="str">
        <f t="shared" si="1633"/>
        <v>AZRAD UMAR BIN SHAARI</v>
      </c>
      <c r="V3987" t="str">
        <f t="shared" si="1634"/>
        <v>FARHANA BINTI MUSTAPA</v>
      </c>
      <c r="W3987" t="str">
        <f t="shared" si="1635"/>
        <v>04-08-2020</v>
      </c>
      <c r="X3987" t="str">
        <f t="shared" si="1636"/>
        <v>RAZIMAH ANSAR AHMAD</v>
      </c>
      <c r="Y3987" t="str">
        <f t="shared" si="1637"/>
        <v>04-08-2020</v>
      </c>
      <c r="Z3987" t="str">
        <f>"COS10200804 5167"</f>
        <v>COS10200804 5167</v>
      </c>
    </row>
    <row r="3988" spans="1:26" x14ac:dyDescent="0.25">
      <c r="A3988" t="str">
        <f t="shared" si="1640"/>
        <v>04-08-2020 12:55:04</v>
      </c>
      <c r="B3988" t="str">
        <f>"0000806952"</f>
        <v>0000806952</v>
      </c>
      <c r="C3988" t="str">
        <f t="shared" si="1641"/>
        <v>0000806786</v>
      </c>
      <c r="D3988" t="str">
        <f t="shared" si="1625"/>
        <v>73185</v>
      </c>
      <c r="E3988" t="str">
        <f t="shared" si="1626"/>
        <v>KFH-OPERATIONS DEPARTMENT</v>
      </c>
      <c r="F3988" t="str">
        <f t="shared" si="1627"/>
        <v>IBG</v>
      </c>
      <c r="G3988" t="str">
        <f t="shared" si="1638"/>
        <v>Refund COSHARE 10</v>
      </c>
      <c r="H3988" s="2">
        <v>671.6</v>
      </c>
      <c r="I3988" t="str">
        <f>"MAIZATUL SHIMA BINTI ZULKIFLI"</f>
        <v>MAIZATUL SHIMA BINTI ZULKIFLI</v>
      </c>
      <c r="J3988" t="str">
        <f t="shared" si="1639"/>
        <v>MAYBANK / MAYBANK ISLAMIC</v>
      </c>
      <c r="K3988" t="str">
        <f>"114039363201"</f>
        <v>114039363201</v>
      </c>
      <c r="L3988" t="str">
        <f t="shared" si="1642"/>
        <v>04-08-2020</v>
      </c>
      <c r="M3988" t="str">
        <f t="shared" si="1642"/>
        <v>04-08-2020</v>
      </c>
      <c r="N3988" t="str">
        <f t="shared" si="1628"/>
        <v>001105018356</v>
      </c>
      <c r="O3988" t="str">
        <f t="shared" si="1629"/>
        <v>MYR</v>
      </c>
      <c r="P3988" t="str">
        <f t="shared" si="1643"/>
        <v>NIL</v>
      </c>
      <c r="Q3988" t="str">
        <f t="shared" si="1643"/>
        <v>NIL</v>
      </c>
      <c r="R3988" t="str">
        <f t="shared" si="1630"/>
        <v>Accepted</v>
      </c>
      <c r="S3988" t="str">
        <f t="shared" si="1631"/>
        <v>Approved</v>
      </c>
      <c r="T3988" t="str">
        <f t="shared" si="1632"/>
        <v>10.20.8.188</v>
      </c>
      <c r="U3988" t="str">
        <f t="shared" si="1633"/>
        <v>AZRAD UMAR BIN SHAARI</v>
      </c>
      <c r="V3988" t="str">
        <f t="shared" si="1634"/>
        <v>FARHANA BINTI MUSTAPA</v>
      </c>
      <c r="W3988" t="str">
        <f t="shared" si="1635"/>
        <v>04-08-2020</v>
      </c>
      <c r="X3988" t="str">
        <f t="shared" si="1636"/>
        <v>RAZIMAH ANSAR AHMAD</v>
      </c>
      <c r="Y3988" t="str">
        <f t="shared" si="1637"/>
        <v>04-08-2020</v>
      </c>
      <c r="Z3988" t="str">
        <f>"COS10200804 5166"</f>
        <v>COS10200804 5166</v>
      </c>
    </row>
    <row r="3989" spans="1:26" x14ac:dyDescent="0.25">
      <c r="A3989" t="str">
        <f t="shared" si="1640"/>
        <v>04-08-2020 12:55:04</v>
      </c>
      <c r="B3989" t="str">
        <f>"0000806951"</f>
        <v>0000806951</v>
      </c>
      <c r="C3989" t="str">
        <f t="shared" si="1641"/>
        <v>0000806786</v>
      </c>
      <c r="D3989" t="str">
        <f t="shared" si="1625"/>
        <v>73185</v>
      </c>
      <c r="E3989" t="str">
        <f t="shared" si="1626"/>
        <v>KFH-OPERATIONS DEPARTMENT</v>
      </c>
      <c r="F3989" t="str">
        <f t="shared" si="1627"/>
        <v>IBG</v>
      </c>
      <c r="G3989" t="str">
        <f t="shared" si="1638"/>
        <v>Refund COSHARE 10</v>
      </c>
      <c r="H3989" s="2">
        <v>1007.4</v>
      </c>
      <c r="I3989" t="str">
        <f>"MAIZATUL BAHIRAH BINTI ABDUL AZIZ"</f>
        <v>MAIZATUL BAHIRAH BINTI ABDUL AZIZ</v>
      </c>
      <c r="J3989" t="str">
        <f t="shared" si="1639"/>
        <v>MAYBANK / MAYBANK ISLAMIC</v>
      </c>
      <c r="K3989" t="str">
        <f>"162106460365"</f>
        <v>162106460365</v>
      </c>
      <c r="L3989" t="str">
        <f t="shared" si="1642"/>
        <v>04-08-2020</v>
      </c>
      <c r="M3989" t="str">
        <f t="shared" si="1642"/>
        <v>04-08-2020</v>
      </c>
      <c r="N3989" t="str">
        <f t="shared" si="1628"/>
        <v>001105018356</v>
      </c>
      <c r="O3989" t="str">
        <f t="shared" si="1629"/>
        <v>MYR</v>
      </c>
      <c r="P3989" t="str">
        <f t="shared" si="1643"/>
        <v>NIL</v>
      </c>
      <c r="Q3989" t="str">
        <f t="shared" si="1643"/>
        <v>NIL</v>
      </c>
      <c r="R3989" t="str">
        <f t="shared" si="1630"/>
        <v>Accepted</v>
      </c>
      <c r="S3989" t="str">
        <f t="shared" si="1631"/>
        <v>Approved</v>
      </c>
      <c r="T3989" t="str">
        <f t="shared" si="1632"/>
        <v>10.20.8.188</v>
      </c>
      <c r="U3989" t="str">
        <f t="shared" si="1633"/>
        <v>AZRAD UMAR BIN SHAARI</v>
      </c>
      <c r="V3989" t="str">
        <f t="shared" si="1634"/>
        <v>FARHANA BINTI MUSTAPA</v>
      </c>
      <c r="W3989" t="str">
        <f t="shared" si="1635"/>
        <v>04-08-2020</v>
      </c>
      <c r="X3989" t="str">
        <f t="shared" si="1636"/>
        <v>RAZIMAH ANSAR AHMAD</v>
      </c>
      <c r="Y3989" t="str">
        <f t="shared" si="1637"/>
        <v>04-08-2020</v>
      </c>
      <c r="Z3989" t="str">
        <f>"COS10200804 5165"</f>
        <v>COS10200804 5165</v>
      </c>
    </row>
    <row r="3990" spans="1:26" x14ac:dyDescent="0.25">
      <c r="A3990" t="str">
        <f t="shared" si="1640"/>
        <v>04-08-2020 12:55:04</v>
      </c>
      <c r="B3990" t="str">
        <f>"0000806950"</f>
        <v>0000806950</v>
      </c>
      <c r="C3990" t="str">
        <f t="shared" si="1641"/>
        <v>0000806786</v>
      </c>
      <c r="D3990" t="str">
        <f t="shared" si="1625"/>
        <v>73185</v>
      </c>
      <c r="E3990" t="str">
        <f t="shared" si="1626"/>
        <v>KFH-OPERATIONS DEPARTMENT</v>
      </c>
      <c r="F3990" t="str">
        <f t="shared" si="1627"/>
        <v>IBG</v>
      </c>
      <c r="G3990" t="str">
        <f t="shared" si="1638"/>
        <v>Refund COSHARE 10</v>
      </c>
      <c r="H3990" s="2">
        <v>814</v>
      </c>
      <c r="I3990" t="str">
        <f>"MAISARAH BINTI MAT SHARIFF"</f>
        <v>MAISARAH BINTI MAT SHARIFF</v>
      </c>
      <c r="J3990" t="str">
        <f t="shared" si="1639"/>
        <v>MAYBANK / MAYBANK ISLAMIC</v>
      </c>
      <c r="K3990" t="str">
        <f>"107125470649"</f>
        <v>107125470649</v>
      </c>
      <c r="L3990" t="str">
        <f t="shared" si="1642"/>
        <v>04-08-2020</v>
      </c>
      <c r="M3990" t="str">
        <f t="shared" si="1642"/>
        <v>04-08-2020</v>
      </c>
      <c r="N3990" t="str">
        <f t="shared" si="1628"/>
        <v>001105018356</v>
      </c>
      <c r="O3990" t="str">
        <f t="shared" si="1629"/>
        <v>MYR</v>
      </c>
      <c r="P3990" t="str">
        <f t="shared" si="1643"/>
        <v>NIL</v>
      </c>
      <c r="Q3990" t="str">
        <f t="shared" si="1643"/>
        <v>NIL</v>
      </c>
      <c r="R3990" t="str">
        <f t="shared" si="1630"/>
        <v>Accepted</v>
      </c>
      <c r="S3990" t="str">
        <f t="shared" si="1631"/>
        <v>Approved</v>
      </c>
      <c r="T3990" t="str">
        <f t="shared" si="1632"/>
        <v>10.20.8.188</v>
      </c>
      <c r="U3990" t="str">
        <f t="shared" si="1633"/>
        <v>AZRAD UMAR BIN SHAARI</v>
      </c>
      <c r="V3990" t="str">
        <f t="shared" si="1634"/>
        <v>FARHANA BINTI MUSTAPA</v>
      </c>
      <c r="W3990" t="str">
        <f t="shared" si="1635"/>
        <v>04-08-2020</v>
      </c>
      <c r="X3990" t="str">
        <f t="shared" si="1636"/>
        <v>RAZIMAH ANSAR AHMAD</v>
      </c>
      <c r="Y3990" t="str">
        <f t="shared" si="1637"/>
        <v>04-08-2020</v>
      </c>
      <c r="Z3990" t="str">
        <f>"COS10200804 5164"</f>
        <v>COS10200804 5164</v>
      </c>
    </row>
    <row r="3991" spans="1:26" x14ac:dyDescent="0.25">
      <c r="A3991" t="str">
        <f t="shared" si="1640"/>
        <v>04-08-2020 12:55:04</v>
      </c>
      <c r="B3991" t="str">
        <f>"0000806949"</f>
        <v>0000806949</v>
      </c>
      <c r="C3991" t="str">
        <f t="shared" si="1641"/>
        <v>0000806786</v>
      </c>
      <c r="D3991" t="str">
        <f t="shared" si="1625"/>
        <v>73185</v>
      </c>
      <c r="E3991" t="str">
        <f t="shared" si="1626"/>
        <v>KFH-OPERATIONS DEPARTMENT</v>
      </c>
      <c r="F3991" t="str">
        <f t="shared" si="1627"/>
        <v>IBG</v>
      </c>
      <c r="G3991" t="str">
        <f t="shared" si="1638"/>
        <v>Refund COSHARE 10</v>
      </c>
      <c r="H3991" s="2">
        <v>965.45</v>
      </c>
      <c r="I3991" t="str">
        <f>"MAISARAH BINTI MAT DAUD"</f>
        <v>MAISARAH BINTI MAT DAUD</v>
      </c>
      <c r="J3991" t="str">
        <f t="shared" si="1639"/>
        <v>MAYBANK / MAYBANK ISLAMIC</v>
      </c>
      <c r="K3991" t="str">
        <f>"156039010003"</f>
        <v>156039010003</v>
      </c>
      <c r="L3991" t="str">
        <f t="shared" si="1642"/>
        <v>04-08-2020</v>
      </c>
      <c r="M3991" t="str">
        <f t="shared" si="1642"/>
        <v>04-08-2020</v>
      </c>
      <c r="N3991" t="str">
        <f t="shared" si="1628"/>
        <v>001105018356</v>
      </c>
      <c r="O3991" t="str">
        <f t="shared" si="1629"/>
        <v>MYR</v>
      </c>
      <c r="P3991" t="str">
        <f t="shared" si="1643"/>
        <v>NIL</v>
      </c>
      <c r="Q3991" t="str">
        <f t="shared" si="1643"/>
        <v>NIL</v>
      </c>
      <c r="R3991" t="str">
        <f t="shared" si="1630"/>
        <v>Accepted</v>
      </c>
      <c r="S3991" t="str">
        <f t="shared" si="1631"/>
        <v>Approved</v>
      </c>
      <c r="T3991" t="str">
        <f t="shared" si="1632"/>
        <v>10.20.8.188</v>
      </c>
      <c r="U3991" t="str">
        <f t="shared" si="1633"/>
        <v>AZRAD UMAR BIN SHAARI</v>
      </c>
      <c r="V3991" t="str">
        <f t="shared" si="1634"/>
        <v>FARHANA BINTI MUSTAPA</v>
      </c>
      <c r="W3991" t="str">
        <f t="shared" si="1635"/>
        <v>04-08-2020</v>
      </c>
      <c r="X3991" t="str">
        <f t="shared" si="1636"/>
        <v>RAZIMAH ANSAR AHMAD</v>
      </c>
      <c r="Y3991" t="str">
        <f t="shared" si="1637"/>
        <v>04-08-2020</v>
      </c>
      <c r="Z3991" t="str">
        <f>"COS10200804 5163"</f>
        <v>COS10200804 5163</v>
      </c>
    </row>
    <row r="3992" spans="1:26" x14ac:dyDescent="0.25">
      <c r="A3992" t="str">
        <f t="shared" si="1640"/>
        <v>04-08-2020 12:55:04</v>
      </c>
      <c r="B3992" t="str">
        <f>"0000806948"</f>
        <v>0000806948</v>
      </c>
      <c r="C3992" t="str">
        <f t="shared" si="1641"/>
        <v>0000806786</v>
      </c>
      <c r="D3992" t="str">
        <f t="shared" si="1625"/>
        <v>73185</v>
      </c>
      <c r="E3992" t="str">
        <f t="shared" si="1626"/>
        <v>KFH-OPERATIONS DEPARTMENT</v>
      </c>
      <c r="F3992" t="str">
        <f t="shared" si="1627"/>
        <v>IBG</v>
      </c>
      <c r="G3992" t="str">
        <f t="shared" si="1638"/>
        <v>Refund COSHARE 10</v>
      </c>
      <c r="H3992" s="2">
        <v>683</v>
      </c>
      <c r="I3992" t="str">
        <f>"MAISARAH BINTI AB HAMID"</f>
        <v>MAISARAH BINTI AB HAMID</v>
      </c>
      <c r="J3992" t="str">
        <f t="shared" si="1639"/>
        <v>MAYBANK / MAYBANK ISLAMIC</v>
      </c>
      <c r="K3992" t="str">
        <f>"163037127370"</f>
        <v>163037127370</v>
      </c>
      <c r="L3992" t="str">
        <f t="shared" si="1642"/>
        <v>04-08-2020</v>
      </c>
      <c r="M3992" t="str">
        <f t="shared" si="1642"/>
        <v>04-08-2020</v>
      </c>
      <c r="N3992" t="str">
        <f t="shared" si="1628"/>
        <v>001105018356</v>
      </c>
      <c r="O3992" t="str">
        <f t="shared" si="1629"/>
        <v>MYR</v>
      </c>
      <c r="P3992" t="str">
        <f t="shared" si="1643"/>
        <v>NIL</v>
      </c>
      <c r="Q3992" t="str">
        <f t="shared" si="1643"/>
        <v>NIL</v>
      </c>
      <c r="R3992" t="str">
        <f t="shared" si="1630"/>
        <v>Accepted</v>
      </c>
      <c r="S3992" t="str">
        <f t="shared" si="1631"/>
        <v>Approved</v>
      </c>
      <c r="T3992" t="str">
        <f t="shared" si="1632"/>
        <v>10.20.8.188</v>
      </c>
      <c r="U3992" t="str">
        <f t="shared" si="1633"/>
        <v>AZRAD UMAR BIN SHAARI</v>
      </c>
      <c r="V3992" t="str">
        <f t="shared" si="1634"/>
        <v>FARHANA BINTI MUSTAPA</v>
      </c>
      <c r="W3992" t="str">
        <f t="shared" si="1635"/>
        <v>04-08-2020</v>
      </c>
      <c r="X3992" t="str">
        <f t="shared" si="1636"/>
        <v>RAZIMAH ANSAR AHMAD</v>
      </c>
      <c r="Y3992" t="str">
        <f t="shared" si="1637"/>
        <v>04-08-2020</v>
      </c>
      <c r="Z3992" t="str">
        <f>"COS10200804 5162"</f>
        <v>COS10200804 5162</v>
      </c>
    </row>
    <row r="3993" spans="1:26" x14ac:dyDescent="0.25">
      <c r="A3993" t="str">
        <f t="shared" si="1640"/>
        <v>04-08-2020 12:55:04</v>
      </c>
      <c r="B3993" t="str">
        <f>"0000806947"</f>
        <v>0000806947</v>
      </c>
      <c r="C3993" t="str">
        <f t="shared" si="1641"/>
        <v>0000806786</v>
      </c>
      <c r="D3993" t="str">
        <f t="shared" si="1625"/>
        <v>73185</v>
      </c>
      <c r="E3993" t="str">
        <f t="shared" si="1626"/>
        <v>KFH-OPERATIONS DEPARTMENT</v>
      </c>
      <c r="F3993" t="str">
        <f t="shared" si="1627"/>
        <v>IBG</v>
      </c>
      <c r="G3993" t="str">
        <f t="shared" si="1638"/>
        <v>Refund COSHARE 10</v>
      </c>
      <c r="H3993" s="2">
        <v>42</v>
      </c>
      <c r="I3993" t="str">
        <f>"MAIMUNAH BINTI RAMLI"</f>
        <v>MAIMUNAH BINTI RAMLI</v>
      </c>
      <c r="J3993" t="str">
        <f t="shared" si="1639"/>
        <v>MAYBANK / MAYBANK ISLAMIC</v>
      </c>
      <c r="K3993" t="str">
        <f>"108113480860"</f>
        <v>108113480860</v>
      </c>
      <c r="L3993" t="str">
        <f t="shared" si="1642"/>
        <v>04-08-2020</v>
      </c>
      <c r="M3993" t="str">
        <f t="shared" si="1642"/>
        <v>04-08-2020</v>
      </c>
      <c r="N3993" t="str">
        <f t="shared" si="1628"/>
        <v>001105018356</v>
      </c>
      <c r="O3993" t="str">
        <f t="shared" si="1629"/>
        <v>MYR</v>
      </c>
      <c r="P3993" t="str">
        <f t="shared" si="1643"/>
        <v>NIL</v>
      </c>
      <c r="Q3993" t="str">
        <f t="shared" si="1643"/>
        <v>NIL</v>
      </c>
      <c r="R3993" t="str">
        <f t="shared" si="1630"/>
        <v>Accepted</v>
      </c>
      <c r="S3993" t="str">
        <f t="shared" si="1631"/>
        <v>Approved</v>
      </c>
      <c r="T3993" t="str">
        <f t="shared" si="1632"/>
        <v>10.20.8.188</v>
      </c>
      <c r="U3993" t="str">
        <f t="shared" si="1633"/>
        <v>AZRAD UMAR BIN SHAARI</v>
      </c>
      <c r="V3993" t="str">
        <f t="shared" si="1634"/>
        <v>FARHANA BINTI MUSTAPA</v>
      </c>
      <c r="W3993" t="str">
        <f t="shared" si="1635"/>
        <v>04-08-2020</v>
      </c>
      <c r="X3993" t="str">
        <f t="shared" si="1636"/>
        <v>RAZIMAH ANSAR AHMAD</v>
      </c>
      <c r="Y3993" t="str">
        <f t="shared" si="1637"/>
        <v>04-08-2020</v>
      </c>
      <c r="Z3993" t="str">
        <f>"COS10200804 5161"</f>
        <v>COS10200804 5161</v>
      </c>
    </row>
    <row r="3994" spans="1:26" x14ac:dyDescent="0.25">
      <c r="A3994" t="str">
        <f t="shared" si="1640"/>
        <v>04-08-2020 12:55:04</v>
      </c>
      <c r="B3994" t="str">
        <f>"0000806946"</f>
        <v>0000806946</v>
      </c>
      <c r="C3994" t="str">
        <f t="shared" si="1641"/>
        <v>0000806786</v>
      </c>
      <c r="D3994" t="str">
        <f t="shared" si="1625"/>
        <v>73185</v>
      </c>
      <c r="E3994" t="str">
        <f t="shared" si="1626"/>
        <v>KFH-OPERATIONS DEPARTMENT</v>
      </c>
      <c r="F3994" t="str">
        <f t="shared" si="1627"/>
        <v>IBG</v>
      </c>
      <c r="G3994" t="str">
        <f t="shared" si="1638"/>
        <v>Refund COSHARE 10</v>
      </c>
      <c r="H3994" s="2">
        <v>635.20000000000005</v>
      </c>
      <c r="I3994" t="str">
        <f>"MAIMUNAH BINTI MASROM"</f>
        <v>MAIMUNAH BINTI MASROM</v>
      </c>
      <c r="J3994" t="str">
        <f t="shared" si="1639"/>
        <v>MAYBANK / MAYBANK ISLAMIC</v>
      </c>
      <c r="K3994" t="str">
        <f>"114011178094"</f>
        <v>114011178094</v>
      </c>
      <c r="L3994" t="str">
        <f t="shared" si="1642"/>
        <v>04-08-2020</v>
      </c>
      <c r="M3994" t="str">
        <f t="shared" si="1642"/>
        <v>04-08-2020</v>
      </c>
      <c r="N3994" t="str">
        <f t="shared" si="1628"/>
        <v>001105018356</v>
      </c>
      <c r="O3994" t="str">
        <f t="shared" si="1629"/>
        <v>MYR</v>
      </c>
      <c r="P3994" t="str">
        <f t="shared" si="1643"/>
        <v>NIL</v>
      </c>
      <c r="Q3994" t="str">
        <f t="shared" si="1643"/>
        <v>NIL</v>
      </c>
      <c r="R3994" t="str">
        <f t="shared" si="1630"/>
        <v>Accepted</v>
      </c>
      <c r="S3994" t="str">
        <f t="shared" si="1631"/>
        <v>Approved</v>
      </c>
      <c r="T3994" t="str">
        <f t="shared" si="1632"/>
        <v>10.20.8.188</v>
      </c>
      <c r="U3994" t="str">
        <f t="shared" si="1633"/>
        <v>AZRAD UMAR BIN SHAARI</v>
      </c>
      <c r="V3994" t="str">
        <f t="shared" si="1634"/>
        <v>FARHANA BINTI MUSTAPA</v>
      </c>
      <c r="W3994" t="str">
        <f t="shared" si="1635"/>
        <v>04-08-2020</v>
      </c>
      <c r="X3994" t="str">
        <f t="shared" si="1636"/>
        <v>RAZIMAH ANSAR AHMAD</v>
      </c>
      <c r="Y3994" t="str">
        <f t="shared" si="1637"/>
        <v>04-08-2020</v>
      </c>
      <c r="Z3994" t="str">
        <f>"COS10200804 5160"</f>
        <v>COS10200804 5160</v>
      </c>
    </row>
    <row r="3995" spans="1:26" x14ac:dyDescent="0.25">
      <c r="A3995" t="str">
        <f t="shared" si="1640"/>
        <v>04-08-2020 12:55:04</v>
      </c>
      <c r="B3995" t="str">
        <f>"0000806945"</f>
        <v>0000806945</v>
      </c>
      <c r="C3995" t="str">
        <f t="shared" si="1641"/>
        <v>0000806786</v>
      </c>
      <c r="D3995" t="str">
        <f t="shared" si="1625"/>
        <v>73185</v>
      </c>
      <c r="E3995" t="str">
        <f t="shared" si="1626"/>
        <v>KFH-OPERATIONS DEPARTMENT</v>
      </c>
      <c r="F3995" t="str">
        <f t="shared" si="1627"/>
        <v>IBG</v>
      </c>
      <c r="G3995" t="str">
        <f t="shared" si="1638"/>
        <v>Refund COSHARE 10</v>
      </c>
      <c r="H3995" s="2">
        <v>491.2</v>
      </c>
      <c r="I3995" t="str">
        <f>"MAIMUNAH BINTI KMOHAIDEEN"</f>
        <v>MAIMUNAH BINTI KMOHAIDEEN</v>
      </c>
      <c r="J3995" t="str">
        <f t="shared" si="1639"/>
        <v>MAYBANK / MAYBANK ISLAMIC</v>
      </c>
      <c r="K3995" t="str">
        <f>"112268079863"</f>
        <v>112268079863</v>
      </c>
      <c r="L3995" t="str">
        <f t="shared" si="1642"/>
        <v>04-08-2020</v>
      </c>
      <c r="M3995" t="str">
        <f t="shared" si="1642"/>
        <v>04-08-2020</v>
      </c>
      <c r="N3995" t="str">
        <f t="shared" si="1628"/>
        <v>001105018356</v>
      </c>
      <c r="O3995" t="str">
        <f t="shared" si="1629"/>
        <v>MYR</v>
      </c>
      <c r="P3995" t="str">
        <f t="shared" si="1643"/>
        <v>NIL</v>
      </c>
      <c r="Q3995" t="str">
        <f t="shared" si="1643"/>
        <v>NIL</v>
      </c>
      <c r="R3995" t="str">
        <f t="shared" si="1630"/>
        <v>Accepted</v>
      </c>
      <c r="S3995" t="str">
        <f t="shared" si="1631"/>
        <v>Approved</v>
      </c>
      <c r="T3995" t="str">
        <f t="shared" si="1632"/>
        <v>10.20.8.188</v>
      </c>
      <c r="U3995" t="str">
        <f t="shared" si="1633"/>
        <v>AZRAD UMAR BIN SHAARI</v>
      </c>
      <c r="V3995" t="str">
        <f t="shared" si="1634"/>
        <v>FARHANA BINTI MUSTAPA</v>
      </c>
      <c r="W3995" t="str">
        <f t="shared" si="1635"/>
        <v>04-08-2020</v>
      </c>
      <c r="X3995" t="str">
        <f t="shared" si="1636"/>
        <v>RAZIMAH ANSAR AHMAD</v>
      </c>
      <c r="Y3995" t="str">
        <f t="shared" si="1637"/>
        <v>04-08-2020</v>
      </c>
      <c r="Z3995" t="str">
        <f>"COS10200804 5159"</f>
        <v>COS10200804 5159</v>
      </c>
    </row>
    <row r="3996" spans="1:26" x14ac:dyDescent="0.25">
      <c r="A3996" t="str">
        <f t="shared" si="1640"/>
        <v>04-08-2020 12:55:04</v>
      </c>
      <c r="B3996" t="str">
        <f>"0000806944"</f>
        <v>0000806944</v>
      </c>
      <c r="C3996" t="str">
        <f t="shared" si="1641"/>
        <v>0000806786</v>
      </c>
      <c r="D3996" t="str">
        <f t="shared" si="1625"/>
        <v>73185</v>
      </c>
      <c r="E3996" t="str">
        <f t="shared" si="1626"/>
        <v>KFH-OPERATIONS DEPARTMENT</v>
      </c>
      <c r="F3996" t="str">
        <f t="shared" si="1627"/>
        <v>IBG</v>
      </c>
      <c r="G3996" t="str">
        <f t="shared" si="1638"/>
        <v>Refund COSHARE 10</v>
      </c>
      <c r="H3996" s="2">
        <v>145</v>
      </c>
      <c r="I3996" t="str">
        <f>"MAIMUNAH BINTI IBRAHIM"</f>
        <v>MAIMUNAH BINTI IBRAHIM</v>
      </c>
      <c r="J3996" t="str">
        <f t="shared" si="1639"/>
        <v>MAYBANK / MAYBANK ISLAMIC</v>
      </c>
      <c r="K3996" t="str">
        <f>"166010025745"</f>
        <v>166010025745</v>
      </c>
      <c r="L3996" t="str">
        <f t="shared" si="1642"/>
        <v>04-08-2020</v>
      </c>
      <c r="M3996" t="str">
        <f t="shared" si="1642"/>
        <v>04-08-2020</v>
      </c>
      <c r="N3996" t="str">
        <f t="shared" si="1628"/>
        <v>001105018356</v>
      </c>
      <c r="O3996" t="str">
        <f t="shared" si="1629"/>
        <v>MYR</v>
      </c>
      <c r="P3996" t="str">
        <f t="shared" si="1643"/>
        <v>NIL</v>
      </c>
      <c r="Q3996" t="str">
        <f t="shared" si="1643"/>
        <v>NIL</v>
      </c>
      <c r="R3996" t="str">
        <f t="shared" si="1630"/>
        <v>Accepted</v>
      </c>
      <c r="S3996" t="str">
        <f t="shared" si="1631"/>
        <v>Approved</v>
      </c>
      <c r="T3996" t="str">
        <f t="shared" si="1632"/>
        <v>10.20.8.188</v>
      </c>
      <c r="U3996" t="str">
        <f t="shared" si="1633"/>
        <v>AZRAD UMAR BIN SHAARI</v>
      </c>
      <c r="V3996" t="str">
        <f t="shared" si="1634"/>
        <v>FARHANA BINTI MUSTAPA</v>
      </c>
      <c r="W3996" t="str">
        <f t="shared" si="1635"/>
        <v>04-08-2020</v>
      </c>
      <c r="X3996" t="str">
        <f t="shared" si="1636"/>
        <v>RAZIMAH ANSAR AHMAD</v>
      </c>
      <c r="Y3996" t="str">
        <f t="shared" si="1637"/>
        <v>04-08-2020</v>
      </c>
      <c r="Z3996" t="str">
        <f>"COS10200804 5158"</f>
        <v>COS10200804 5158</v>
      </c>
    </row>
    <row r="3997" spans="1:26" x14ac:dyDescent="0.25">
      <c r="A3997" t="str">
        <f t="shared" si="1640"/>
        <v>04-08-2020 12:55:04</v>
      </c>
      <c r="B3997" t="str">
        <f>"0000806943"</f>
        <v>0000806943</v>
      </c>
      <c r="C3997" t="str">
        <f t="shared" si="1641"/>
        <v>0000806786</v>
      </c>
      <c r="D3997" t="str">
        <f t="shared" si="1625"/>
        <v>73185</v>
      </c>
      <c r="E3997" t="str">
        <f t="shared" si="1626"/>
        <v>KFH-OPERATIONS DEPARTMENT</v>
      </c>
      <c r="F3997" t="str">
        <f t="shared" si="1627"/>
        <v>IBG</v>
      </c>
      <c r="G3997" t="str">
        <f t="shared" si="1638"/>
        <v>Refund COSHARE 10</v>
      </c>
      <c r="H3997" s="2">
        <v>545.70000000000005</v>
      </c>
      <c r="I3997" t="str">
        <f>"MAIMUNAH BINTI BADURA SAKEK"</f>
        <v>MAIMUNAH BINTI BADURA SAKEK</v>
      </c>
      <c r="J3997" t="str">
        <f t="shared" si="1639"/>
        <v>MAYBANK / MAYBANK ISLAMIC</v>
      </c>
      <c r="K3997" t="str">
        <f>"101076054021"</f>
        <v>101076054021</v>
      </c>
      <c r="L3997" t="str">
        <f t="shared" si="1642"/>
        <v>04-08-2020</v>
      </c>
      <c r="M3997" t="str">
        <f t="shared" si="1642"/>
        <v>04-08-2020</v>
      </c>
      <c r="N3997" t="str">
        <f t="shared" si="1628"/>
        <v>001105018356</v>
      </c>
      <c r="O3997" t="str">
        <f t="shared" si="1629"/>
        <v>MYR</v>
      </c>
      <c r="P3997" t="str">
        <f t="shared" si="1643"/>
        <v>NIL</v>
      </c>
      <c r="Q3997" t="str">
        <f t="shared" si="1643"/>
        <v>NIL</v>
      </c>
      <c r="R3997" t="str">
        <f t="shared" si="1630"/>
        <v>Accepted</v>
      </c>
      <c r="S3997" t="str">
        <f t="shared" si="1631"/>
        <v>Approved</v>
      </c>
      <c r="T3997" t="str">
        <f t="shared" si="1632"/>
        <v>10.20.8.188</v>
      </c>
      <c r="U3997" t="str">
        <f t="shared" si="1633"/>
        <v>AZRAD UMAR BIN SHAARI</v>
      </c>
      <c r="V3997" t="str">
        <f t="shared" si="1634"/>
        <v>FARHANA BINTI MUSTAPA</v>
      </c>
      <c r="W3997" t="str">
        <f t="shared" si="1635"/>
        <v>04-08-2020</v>
      </c>
      <c r="X3997" t="str">
        <f t="shared" si="1636"/>
        <v>RAZIMAH ANSAR AHMAD</v>
      </c>
      <c r="Y3997" t="str">
        <f t="shared" si="1637"/>
        <v>04-08-2020</v>
      </c>
      <c r="Z3997" t="str">
        <f>"COS10200804 5157"</f>
        <v>COS10200804 5157</v>
      </c>
    </row>
    <row r="3998" spans="1:26" x14ac:dyDescent="0.25">
      <c r="A3998" t="str">
        <f t="shared" si="1640"/>
        <v>04-08-2020 12:55:04</v>
      </c>
      <c r="B3998" t="str">
        <f>"0000806942"</f>
        <v>0000806942</v>
      </c>
      <c r="C3998" t="str">
        <f t="shared" si="1641"/>
        <v>0000806786</v>
      </c>
      <c r="D3998" t="str">
        <f t="shared" si="1625"/>
        <v>73185</v>
      </c>
      <c r="E3998" t="str">
        <f t="shared" si="1626"/>
        <v>KFH-OPERATIONS DEPARTMENT</v>
      </c>
      <c r="F3998" t="str">
        <f t="shared" si="1627"/>
        <v>IBG</v>
      </c>
      <c r="G3998" t="str">
        <f t="shared" si="1638"/>
        <v>Refund COSHARE 10</v>
      </c>
      <c r="H3998" s="2">
        <v>1595.05</v>
      </c>
      <c r="I3998" t="str">
        <f>"MAHZIAN BINTI MUSLI"</f>
        <v>MAHZIAN BINTI MUSLI</v>
      </c>
      <c r="J3998" t="str">
        <f t="shared" si="1639"/>
        <v>MAYBANK / MAYBANK ISLAMIC</v>
      </c>
      <c r="K3998" t="str">
        <f>"110032167552"</f>
        <v>110032167552</v>
      </c>
      <c r="L3998" t="str">
        <f t="shared" si="1642"/>
        <v>04-08-2020</v>
      </c>
      <c r="M3998" t="str">
        <f t="shared" si="1642"/>
        <v>04-08-2020</v>
      </c>
      <c r="N3998" t="str">
        <f t="shared" si="1628"/>
        <v>001105018356</v>
      </c>
      <c r="O3998" t="str">
        <f t="shared" si="1629"/>
        <v>MYR</v>
      </c>
      <c r="P3998" t="str">
        <f t="shared" si="1643"/>
        <v>NIL</v>
      </c>
      <c r="Q3998" t="str">
        <f t="shared" si="1643"/>
        <v>NIL</v>
      </c>
      <c r="R3998" t="str">
        <f t="shared" si="1630"/>
        <v>Accepted</v>
      </c>
      <c r="S3998" t="str">
        <f t="shared" si="1631"/>
        <v>Approved</v>
      </c>
      <c r="T3998" t="str">
        <f t="shared" si="1632"/>
        <v>10.20.8.188</v>
      </c>
      <c r="U3998" t="str">
        <f t="shared" si="1633"/>
        <v>AZRAD UMAR BIN SHAARI</v>
      </c>
      <c r="V3998" t="str">
        <f t="shared" si="1634"/>
        <v>FARHANA BINTI MUSTAPA</v>
      </c>
      <c r="W3998" t="str">
        <f t="shared" si="1635"/>
        <v>04-08-2020</v>
      </c>
      <c r="X3998" t="str">
        <f t="shared" si="1636"/>
        <v>RAZIMAH ANSAR AHMAD</v>
      </c>
      <c r="Y3998" t="str">
        <f t="shared" si="1637"/>
        <v>04-08-2020</v>
      </c>
      <c r="Z3998" t="str">
        <f>"COS10200804 5156"</f>
        <v>COS10200804 5156</v>
      </c>
    </row>
    <row r="3999" spans="1:26" x14ac:dyDescent="0.25">
      <c r="A3999" t="str">
        <f t="shared" si="1640"/>
        <v>04-08-2020 12:55:04</v>
      </c>
      <c r="B3999" t="str">
        <f>"0000806941"</f>
        <v>0000806941</v>
      </c>
      <c r="C3999" t="str">
        <f t="shared" si="1641"/>
        <v>0000806786</v>
      </c>
      <c r="D3999" t="str">
        <f t="shared" si="1625"/>
        <v>73185</v>
      </c>
      <c r="E3999" t="str">
        <f t="shared" si="1626"/>
        <v>KFH-OPERATIONS DEPARTMENT</v>
      </c>
      <c r="F3999" t="str">
        <f t="shared" si="1627"/>
        <v>IBG</v>
      </c>
      <c r="G3999" t="str">
        <f t="shared" si="1638"/>
        <v>Refund COSHARE 10</v>
      </c>
      <c r="H3999" s="2">
        <v>1156.05</v>
      </c>
      <c r="I3999" t="str">
        <f>"MAHYUDDIN BIN OMAR"</f>
        <v>MAHYUDDIN BIN OMAR</v>
      </c>
      <c r="J3999" t="str">
        <f t="shared" si="1639"/>
        <v>MAYBANK / MAYBANK ISLAMIC</v>
      </c>
      <c r="K3999" t="str">
        <f>"162076685726"</f>
        <v>162076685726</v>
      </c>
      <c r="L3999" t="str">
        <f t="shared" si="1642"/>
        <v>04-08-2020</v>
      </c>
      <c r="M3999" t="str">
        <f t="shared" si="1642"/>
        <v>04-08-2020</v>
      </c>
      <c r="N3999" t="str">
        <f t="shared" si="1628"/>
        <v>001105018356</v>
      </c>
      <c r="O3999" t="str">
        <f t="shared" si="1629"/>
        <v>MYR</v>
      </c>
      <c r="P3999" t="str">
        <f t="shared" si="1643"/>
        <v>NIL</v>
      </c>
      <c r="Q3999" t="str">
        <f t="shared" si="1643"/>
        <v>NIL</v>
      </c>
      <c r="R3999" t="str">
        <f t="shared" si="1630"/>
        <v>Accepted</v>
      </c>
      <c r="S3999" t="str">
        <f t="shared" si="1631"/>
        <v>Approved</v>
      </c>
      <c r="T3999" t="str">
        <f t="shared" si="1632"/>
        <v>10.20.8.188</v>
      </c>
      <c r="U3999" t="str">
        <f t="shared" si="1633"/>
        <v>AZRAD UMAR BIN SHAARI</v>
      </c>
      <c r="V3999" t="str">
        <f t="shared" si="1634"/>
        <v>FARHANA BINTI MUSTAPA</v>
      </c>
      <c r="W3999" t="str">
        <f t="shared" si="1635"/>
        <v>04-08-2020</v>
      </c>
      <c r="X3999" t="str">
        <f t="shared" si="1636"/>
        <v>RAZIMAH ANSAR AHMAD</v>
      </c>
      <c r="Y3999" t="str">
        <f t="shared" si="1637"/>
        <v>04-08-2020</v>
      </c>
      <c r="Z3999" t="str">
        <f>"COS10200804 5155"</f>
        <v>COS10200804 5155</v>
      </c>
    </row>
    <row r="4000" spans="1:26" x14ac:dyDescent="0.25">
      <c r="A4000" t="str">
        <f t="shared" si="1640"/>
        <v>04-08-2020 12:55:04</v>
      </c>
      <c r="B4000" t="str">
        <f>"0000806940"</f>
        <v>0000806940</v>
      </c>
      <c r="C4000" t="str">
        <f t="shared" si="1641"/>
        <v>0000806786</v>
      </c>
      <c r="D4000" t="str">
        <f t="shared" si="1625"/>
        <v>73185</v>
      </c>
      <c r="E4000" t="str">
        <f t="shared" si="1626"/>
        <v>KFH-OPERATIONS DEPARTMENT</v>
      </c>
      <c r="F4000" t="str">
        <f t="shared" si="1627"/>
        <v>IBG</v>
      </c>
      <c r="G4000" t="str">
        <f t="shared" si="1638"/>
        <v>Refund COSHARE 10</v>
      </c>
      <c r="H4000" s="2">
        <v>42</v>
      </c>
      <c r="I4000" t="str">
        <f>"MAHISYAMRY BIN MUHAMAD"</f>
        <v>MAHISYAMRY BIN MUHAMAD</v>
      </c>
      <c r="J4000" t="str">
        <f t="shared" si="1639"/>
        <v>MAYBANK / MAYBANK ISLAMIC</v>
      </c>
      <c r="K4000" t="str">
        <f>"153010956334"</f>
        <v>153010956334</v>
      </c>
      <c r="L4000" t="str">
        <f t="shared" si="1642"/>
        <v>04-08-2020</v>
      </c>
      <c r="M4000" t="str">
        <f t="shared" si="1642"/>
        <v>04-08-2020</v>
      </c>
      <c r="N4000" t="str">
        <f t="shared" si="1628"/>
        <v>001105018356</v>
      </c>
      <c r="O4000" t="str">
        <f t="shared" si="1629"/>
        <v>MYR</v>
      </c>
      <c r="P4000" t="str">
        <f t="shared" si="1643"/>
        <v>NIL</v>
      </c>
      <c r="Q4000" t="str">
        <f t="shared" si="1643"/>
        <v>NIL</v>
      </c>
      <c r="R4000" t="str">
        <f t="shared" si="1630"/>
        <v>Accepted</v>
      </c>
      <c r="S4000" t="str">
        <f t="shared" si="1631"/>
        <v>Approved</v>
      </c>
      <c r="T4000" t="str">
        <f t="shared" si="1632"/>
        <v>10.20.8.188</v>
      </c>
      <c r="U4000" t="str">
        <f t="shared" si="1633"/>
        <v>AZRAD UMAR BIN SHAARI</v>
      </c>
      <c r="V4000" t="str">
        <f t="shared" si="1634"/>
        <v>FARHANA BINTI MUSTAPA</v>
      </c>
      <c r="W4000" t="str">
        <f t="shared" si="1635"/>
        <v>04-08-2020</v>
      </c>
      <c r="X4000" t="str">
        <f t="shared" si="1636"/>
        <v>RAZIMAH ANSAR AHMAD</v>
      </c>
      <c r="Y4000" t="str">
        <f t="shared" si="1637"/>
        <v>04-08-2020</v>
      </c>
      <c r="Z4000" t="str">
        <f>"COS10200804 5154"</f>
        <v>COS10200804 5154</v>
      </c>
    </row>
    <row r="4001" spans="1:26" x14ac:dyDescent="0.25">
      <c r="A4001" t="str">
        <f t="shared" si="1640"/>
        <v>04-08-2020 12:55:04</v>
      </c>
      <c r="B4001" t="str">
        <f>"0000806939"</f>
        <v>0000806939</v>
      </c>
      <c r="C4001" t="str">
        <f t="shared" si="1641"/>
        <v>0000806786</v>
      </c>
      <c r="D4001" t="str">
        <f t="shared" si="1625"/>
        <v>73185</v>
      </c>
      <c r="E4001" t="str">
        <f t="shared" si="1626"/>
        <v>KFH-OPERATIONS DEPARTMENT</v>
      </c>
      <c r="F4001" t="str">
        <f t="shared" si="1627"/>
        <v>IBG</v>
      </c>
      <c r="G4001" t="str">
        <f t="shared" si="1638"/>
        <v>Refund COSHARE 10</v>
      </c>
      <c r="H4001" s="2">
        <v>25.2</v>
      </c>
      <c r="I4001" t="str">
        <f>"MAHISHAFUDIN BIN ISMAIL"</f>
        <v>MAHISHAFUDIN BIN ISMAIL</v>
      </c>
      <c r="J4001" t="str">
        <f t="shared" si="1639"/>
        <v>MAYBANK / MAYBANK ISLAMIC</v>
      </c>
      <c r="K4001" t="str">
        <f>"154110079797"</f>
        <v>154110079797</v>
      </c>
      <c r="L4001" t="str">
        <f t="shared" si="1642"/>
        <v>04-08-2020</v>
      </c>
      <c r="M4001" t="str">
        <f t="shared" si="1642"/>
        <v>04-08-2020</v>
      </c>
      <c r="N4001" t="str">
        <f t="shared" si="1628"/>
        <v>001105018356</v>
      </c>
      <c r="O4001" t="str">
        <f t="shared" si="1629"/>
        <v>MYR</v>
      </c>
      <c r="P4001" t="str">
        <f t="shared" si="1643"/>
        <v>NIL</v>
      </c>
      <c r="Q4001" t="str">
        <f t="shared" si="1643"/>
        <v>NIL</v>
      </c>
      <c r="R4001" t="str">
        <f t="shared" si="1630"/>
        <v>Accepted</v>
      </c>
      <c r="S4001" t="str">
        <f t="shared" si="1631"/>
        <v>Approved</v>
      </c>
      <c r="T4001" t="str">
        <f t="shared" si="1632"/>
        <v>10.20.8.188</v>
      </c>
      <c r="U4001" t="str">
        <f t="shared" si="1633"/>
        <v>AZRAD UMAR BIN SHAARI</v>
      </c>
      <c r="V4001" t="str">
        <f t="shared" si="1634"/>
        <v>FARHANA BINTI MUSTAPA</v>
      </c>
      <c r="W4001" t="str">
        <f t="shared" si="1635"/>
        <v>04-08-2020</v>
      </c>
      <c r="X4001" t="str">
        <f t="shared" si="1636"/>
        <v>RAZIMAH ANSAR AHMAD</v>
      </c>
      <c r="Y4001" t="str">
        <f t="shared" si="1637"/>
        <v>04-08-2020</v>
      </c>
      <c r="Z4001" t="str">
        <f>"COS10200804 5153"</f>
        <v>COS10200804 5153</v>
      </c>
    </row>
    <row r="4002" spans="1:26" x14ac:dyDescent="0.25">
      <c r="A4002" t="str">
        <f t="shared" si="1640"/>
        <v>04-08-2020 12:55:04</v>
      </c>
      <c r="B4002" t="str">
        <f>"0000806938"</f>
        <v>0000806938</v>
      </c>
      <c r="C4002" t="str">
        <f t="shared" si="1641"/>
        <v>0000806786</v>
      </c>
      <c r="D4002" t="str">
        <f t="shared" si="1625"/>
        <v>73185</v>
      </c>
      <c r="E4002" t="str">
        <f t="shared" si="1626"/>
        <v>KFH-OPERATIONS DEPARTMENT</v>
      </c>
      <c r="F4002" t="str">
        <f t="shared" si="1627"/>
        <v>IBG</v>
      </c>
      <c r="G4002" t="str">
        <f t="shared" si="1638"/>
        <v>Refund COSHARE 10</v>
      </c>
      <c r="H4002" s="2">
        <v>380</v>
      </c>
      <c r="I4002" t="str">
        <f>"MAHIRAH BINTI MOHD YUSOF"</f>
        <v>MAHIRAH BINTI MOHD YUSOF</v>
      </c>
      <c r="J4002" t="str">
        <f t="shared" si="1639"/>
        <v>MAYBANK / MAYBANK ISLAMIC</v>
      </c>
      <c r="K4002" t="str">
        <f>"112072125838"</f>
        <v>112072125838</v>
      </c>
      <c r="L4002" t="str">
        <f t="shared" si="1642"/>
        <v>04-08-2020</v>
      </c>
      <c r="M4002" t="str">
        <f t="shared" si="1642"/>
        <v>04-08-2020</v>
      </c>
      <c r="N4002" t="str">
        <f t="shared" si="1628"/>
        <v>001105018356</v>
      </c>
      <c r="O4002" t="str">
        <f t="shared" si="1629"/>
        <v>MYR</v>
      </c>
      <c r="P4002" t="str">
        <f t="shared" si="1643"/>
        <v>NIL</v>
      </c>
      <c r="Q4002" t="str">
        <f t="shared" si="1643"/>
        <v>NIL</v>
      </c>
      <c r="R4002" t="str">
        <f t="shared" si="1630"/>
        <v>Accepted</v>
      </c>
      <c r="S4002" t="str">
        <f t="shared" si="1631"/>
        <v>Approved</v>
      </c>
      <c r="T4002" t="str">
        <f t="shared" si="1632"/>
        <v>10.20.8.188</v>
      </c>
      <c r="U4002" t="str">
        <f t="shared" si="1633"/>
        <v>AZRAD UMAR BIN SHAARI</v>
      </c>
      <c r="V4002" t="str">
        <f t="shared" si="1634"/>
        <v>FARHANA BINTI MUSTAPA</v>
      </c>
      <c r="W4002" t="str">
        <f t="shared" si="1635"/>
        <v>04-08-2020</v>
      </c>
      <c r="X4002" t="str">
        <f t="shared" si="1636"/>
        <v>RAZIMAH ANSAR AHMAD</v>
      </c>
      <c r="Y4002" t="str">
        <f t="shared" si="1637"/>
        <v>04-08-2020</v>
      </c>
      <c r="Z4002" t="str">
        <f>"COS10200804 5152"</f>
        <v>COS10200804 5152</v>
      </c>
    </row>
    <row r="4003" spans="1:26" x14ac:dyDescent="0.25">
      <c r="A4003" t="str">
        <f t="shared" si="1640"/>
        <v>04-08-2020 12:55:04</v>
      </c>
      <c r="B4003" t="str">
        <f>"0000806937"</f>
        <v>0000806937</v>
      </c>
      <c r="C4003" t="str">
        <f t="shared" si="1641"/>
        <v>0000806786</v>
      </c>
      <c r="D4003" t="str">
        <f t="shared" si="1625"/>
        <v>73185</v>
      </c>
      <c r="E4003" t="str">
        <f t="shared" si="1626"/>
        <v>KFH-OPERATIONS DEPARTMENT</v>
      </c>
      <c r="F4003" t="str">
        <f t="shared" si="1627"/>
        <v>IBG</v>
      </c>
      <c r="G4003" t="str">
        <f t="shared" si="1638"/>
        <v>Refund COSHARE 10</v>
      </c>
      <c r="H4003" s="2">
        <v>638.04999999999995</v>
      </c>
      <c r="I4003" t="str">
        <f>"MAHIMAD BIN PETRUS"</f>
        <v>MAHIMAD BIN PETRUS</v>
      </c>
      <c r="J4003" t="str">
        <f t="shared" si="1639"/>
        <v>MAYBANK / MAYBANK ISLAMIC</v>
      </c>
      <c r="K4003" t="str">
        <f>"160193024494"</f>
        <v>160193024494</v>
      </c>
      <c r="L4003" t="str">
        <f t="shared" si="1642"/>
        <v>04-08-2020</v>
      </c>
      <c r="M4003" t="str">
        <f t="shared" si="1642"/>
        <v>04-08-2020</v>
      </c>
      <c r="N4003" t="str">
        <f t="shared" si="1628"/>
        <v>001105018356</v>
      </c>
      <c r="O4003" t="str">
        <f t="shared" si="1629"/>
        <v>MYR</v>
      </c>
      <c r="P4003" t="str">
        <f t="shared" si="1643"/>
        <v>NIL</v>
      </c>
      <c r="Q4003" t="str">
        <f t="shared" si="1643"/>
        <v>NIL</v>
      </c>
      <c r="R4003" t="str">
        <f t="shared" si="1630"/>
        <v>Accepted</v>
      </c>
      <c r="S4003" t="str">
        <f t="shared" si="1631"/>
        <v>Approved</v>
      </c>
      <c r="T4003" t="str">
        <f t="shared" si="1632"/>
        <v>10.20.8.188</v>
      </c>
      <c r="U4003" t="str">
        <f t="shared" si="1633"/>
        <v>AZRAD UMAR BIN SHAARI</v>
      </c>
      <c r="V4003" t="str">
        <f t="shared" si="1634"/>
        <v>FARHANA BINTI MUSTAPA</v>
      </c>
      <c r="W4003" t="str">
        <f t="shared" si="1635"/>
        <v>04-08-2020</v>
      </c>
      <c r="X4003" t="str">
        <f t="shared" si="1636"/>
        <v>RAZIMAH ANSAR AHMAD</v>
      </c>
      <c r="Y4003" t="str">
        <f t="shared" si="1637"/>
        <v>04-08-2020</v>
      </c>
      <c r="Z4003" t="str">
        <f>"COS10200804 5151"</f>
        <v>COS10200804 5151</v>
      </c>
    </row>
    <row r="4004" spans="1:26" x14ac:dyDescent="0.25">
      <c r="A4004" t="str">
        <f t="shared" si="1640"/>
        <v>04-08-2020 12:55:04</v>
      </c>
      <c r="B4004" t="str">
        <f>"0000806936"</f>
        <v>0000806936</v>
      </c>
      <c r="C4004" t="str">
        <f t="shared" si="1641"/>
        <v>0000806786</v>
      </c>
      <c r="D4004" t="str">
        <f t="shared" si="1625"/>
        <v>73185</v>
      </c>
      <c r="E4004" t="str">
        <f t="shared" si="1626"/>
        <v>KFH-OPERATIONS DEPARTMENT</v>
      </c>
      <c r="F4004" t="str">
        <f t="shared" si="1627"/>
        <v>IBG</v>
      </c>
      <c r="G4004" t="str">
        <f t="shared" si="1638"/>
        <v>Refund COSHARE 10</v>
      </c>
      <c r="H4004" s="2">
        <v>117.55</v>
      </c>
      <c r="I4004" t="str">
        <f>"MAHENDRAN AL JAYAGOPAL"</f>
        <v>MAHENDRAN AL JAYAGOPAL</v>
      </c>
      <c r="J4004" t="str">
        <f t="shared" si="1639"/>
        <v>MAYBANK / MAYBANK ISLAMIC</v>
      </c>
      <c r="K4004" t="str">
        <f>"158109171920"</f>
        <v>158109171920</v>
      </c>
      <c r="L4004" t="str">
        <f t="shared" si="1642"/>
        <v>04-08-2020</v>
      </c>
      <c r="M4004" t="str">
        <f t="shared" si="1642"/>
        <v>04-08-2020</v>
      </c>
      <c r="N4004" t="str">
        <f t="shared" si="1628"/>
        <v>001105018356</v>
      </c>
      <c r="O4004" t="str">
        <f t="shared" si="1629"/>
        <v>MYR</v>
      </c>
      <c r="P4004" t="str">
        <f t="shared" si="1643"/>
        <v>NIL</v>
      </c>
      <c r="Q4004" t="str">
        <f t="shared" si="1643"/>
        <v>NIL</v>
      </c>
      <c r="R4004" t="str">
        <f t="shared" si="1630"/>
        <v>Accepted</v>
      </c>
      <c r="S4004" t="str">
        <f t="shared" si="1631"/>
        <v>Approved</v>
      </c>
      <c r="T4004" t="str">
        <f t="shared" si="1632"/>
        <v>10.20.8.188</v>
      </c>
      <c r="U4004" t="str">
        <f t="shared" si="1633"/>
        <v>AZRAD UMAR BIN SHAARI</v>
      </c>
      <c r="V4004" t="str">
        <f t="shared" si="1634"/>
        <v>FARHANA BINTI MUSTAPA</v>
      </c>
      <c r="W4004" t="str">
        <f t="shared" si="1635"/>
        <v>04-08-2020</v>
      </c>
      <c r="X4004" t="str">
        <f t="shared" si="1636"/>
        <v>RAZIMAH ANSAR AHMAD</v>
      </c>
      <c r="Y4004" t="str">
        <f t="shared" si="1637"/>
        <v>04-08-2020</v>
      </c>
      <c r="Z4004" t="str">
        <f>"COS10200804 5150"</f>
        <v>COS10200804 5150</v>
      </c>
    </row>
    <row r="4005" spans="1:26" x14ac:dyDescent="0.25">
      <c r="A4005" t="str">
        <f t="shared" si="1640"/>
        <v>04-08-2020 12:55:04</v>
      </c>
      <c r="B4005" t="str">
        <f>"0000806935"</f>
        <v>0000806935</v>
      </c>
      <c r="C4005" t="str">
        <f t="shared" si="1641"/>
        <v>0000806786</v>
      </c>
      <c r="D4005" t="str">
        <f t="shared" si="1625"/>
        <v>73185</v>
      </c>
      <c r="E4005" t="str">
        <f t="shared" si="1626"/>
        <v>KFH-OPERATIONS DEPARTMENT</v>
      </c>
      <c r="F4005" t="str">
        <f t="shared" si="1627"/>
        <v>IBG</v>
      </c>
      <c r="G4005" t="str">
        <f t="shared" si="1638"/>
        <v>Refund COSHARE 10</v>
      </c>
      <c r="H4005" s="2">
        <v>839.5</v>
      </c>
      <c r="I4005" t="str">
        <f>"MAHATHIR BIN OTHMAN"</f>
        <v>MAHATHIR BIN OTHMAN</v>
      </c>
      <c r="J4005" t="str">
        <f t="shared" si="1639"/>
        <v>MAYBANK / MAYBANK ISLAMIC</v>
      </c>
      <c r="K4005" t="str">
        <f>"159012627491"</f>
        <v>159012627491</v>
      </c>
      <c r="L4005" t="str">
        <f t="shared" si="1642"/>
        <v>04-08-2020</v>
      </c>
      <c r="M4005" t="str">
        <f t="shared" si="1642"/>
        <v>04-08-2020</v>
      </c>
      <c r="N4005" t="str">
        <f t="shared" si="1628"/>
        <v>001105018356</v>
      </c>
      <c r="O4005" t="str">
        <f t="shared" si="1629"/>
        <v>MYR</v>
      </c>
      <c r="P4005" t="str">
        <f t="shared" si="1643"/>
        <v>NIL</v>
      </c>
      <c r="Q4005" t="str">
        <f t="shared" si="1643"/>
        <v>NIL</v>
      </c>
      <c r="R4005" t="str">
        <f t="shared" si="1630"/>
        <v>Accepted</v>
      </c>
      <c r="S4005" t="str">
        <f t="shared" si="1631"/>
        <v>Approved</v>
      </c>
      <c r="T4005" t="str">
        <f t="shared" si="1632"/>
        <v>10.20.8.188</v>
      </c>
      <c r="U4005" t="str">
        <f t="shared" si="1633"/>
        <v>AZRAD UMAR BIN SHAARI</v>
      </c>
      <c r="V4005" t="str">
        <f t="shared" si="1634"/>
        <v>FARHANA BINTI MUSTAPA</v>
      </c>
      <c r="W4005" t="str">
        <f t="shared" si="1635"/>
        <v>04-08-2020</v>
      </c>
      <c r="X4005" t="str">
        <f t="shared" si="1636"/>
        <v>RAZIMAH ANSAR AHMAD</v>
      </c>
      <c r="Y4005" t="str">
        <f t="shared" si="1637"/>
        <v>04-08-2020</v>
      </c>
      <c r="Z4005" t="str">
        <f>"COS10200804 5149"</f>
        <v>COS10200804 5149</v>
      </c>
    </row>
    <row r="4006" spans="1:26" x14ac:dyDescent="0.25">
      <c r="A4006" t="str">
        <f t="shared" si="1640"/>
        <v>04-08-2020 12:55:04</v>
      </c>
      <c r="B4006" t="str">
        <f>"0000806934"</f>
        <v>0000806934</v>
      </c>
      <c r="C4006" t="str">
        <f t="shared" si="1641"/>
        <v>0000806786</v>
      </c>
      <c r="D4006" t="str">
        <f t="shared" si="1625"/>
        <v>73185</v>
      </c>
      <c r="E4006" t="str">
        <f t="shared" si="1626"/>
        <v>KFH-OPERATIONS DEPARTMENT</v>
      </c>
      <c r="F4006" t="str">
        <f t="shared" si="1627"/>
        <v>IBG</v>
      </c>
      <c r="G4006" t="str">
        <f t="shared" si="1638"/>
        <v>Refund COSHARE 10</v>
      </c>
      <c r="H4006" s="2">
        <v>196.5</v>
      </c>
      <c r="I4006" t="str">
        <f>"MAHANUM BINTI A HAMID"</f>
        <v>MAHANUM BINTI A HAMID</v>
      </c>
      <c r="J4006" t="str">
        <f t="shared" si="1639"/>
        <v>MAYBANK / MAYBANK ISLAMIC</v>
      </c>
      <c r="K4006" t="str">
        <f>"163046441138"</f>
        <v>163046441138</v>
      </c>
      <c r="L4006" t="str">
        <f t="shared" si="1642"/>
        <v>04-08-2020</v>
      </c>
      <c r="M4006" t="str">
        <f t="shared" si="1642"/>
        <v>04-08-2020</v>
      </c>
      <c r="N4006" t="str">
        <f t="shared" si="1628"/>
        <v>001105018356</v>
      </c>
      <c r="O4006" t="str">
        <f t="shared" si="1629"/>
        <v>MYR</v>
      </c>
      <c r="P4006" t="str">
        <f t="shared" si="1643"/>
        <v>NIL</v>
      </c>
      <c r="Q4006" t="str">
        <f t="shared" si="1643"/>
        <v>NIL</v>
      </c>
      <c r="R4006" t="str">
        <f t="shared" si="1630"/>
        <v>Accepted</v>
      </c>
      <c r="S4006" t="str">
        <f t="shared" si="1631"/>
        <v>Approved</v>
      </c>
      <c r="T4006" t="str">
        <f t="shared" si="1632"/>
        <v>10.20.8.188</v>
      </c>
      <c r="U4006" t="str">
        <f t="shared" si="1633"/>
        <v>AZRAD UMAR BIN SHAARI</v>
      </c>
      <c r="V4006" t="str">
        <f t="shared" si="1634"/>
        <v>FARHANA BINTI MUSTAPA</v>
      </c>
      <c r="W4006" t="str">
        <f t="shared" si="1635"/>
        <v>04-08-2020</v>
      </c>
      <c r="X4006" t="str">
        <f t="shared" si="1636"/>
        <v>RAZIMAH ANSAR AHMAD</v>
      </c>
      <c r="Y4006" t="str">
        <f t="shared" si="1637"/>
        <v>04-08-2020</v>
      </c>
      <c r="Z4006" t="str">
        <f>"COS10200804 5148"</f>
        <v>COS10200804 5148</v>
      </c>
    </row>
    <row r="4007" spans="1:26" x14ac:dyDescent="0.25">
      <c r="A4007" t="str">
        <f t="shared" si="1640"/>
        <v>04-08-2020 12:55:04</v>
      </c>
      <c r="B4007" t="str">
        <f>"0000806933"</f>
        <v>0000806933</v>
      </c>
      <c r="C4007" t="str">
        <f t="shared" si="1641"/>
        <v>0000806786</v>
      </c>
      <c r="D4007" t="str">
        <f t="shared" si="1625"/>
        <v>73185</v>
      </c>
      <c r="E4007" t="str">
        <f t="shared" si="1626"/>
        <v>KFH-OPERATIONS DEPARTMENT</v>
      </c>
      <c r="F4007" t="str">
        <f t="shared" si="1627"/>
        <v>IBG</v>
      </c>
      <c r="G4007" t="str">
        <f t="shared" si="1638"/>
        <v>Refund COSHARE 10</v>
      </c>
      <c r="H4007" s="2">
        <v>896.5</v>
      </c>
      <c r="I4007" t="str">
        <f>"MAHANOM BINTI ISMAIL"</f>
        <v>MAHANOM BINTI ISMAIL</v>
      </c>
      <c r="J4007" t="str">
        <f t="shared" si="1639"/>
        <v>MAYBANK / MAYBANK ISLAMIC</v>
      </c>
      <c r="K4007" t="str">
        <f>"151427044627"</f>
        <v>151427044627</v>
      </c>
      <c r="L4007" t="str">
        <f t="shared" ref="L4007:M4026" si="1644">"04-08-2020"</f>
        <v>04-08-2020</v>
      </c>
      <c r="M4007" t="str">
        <f t="shared" si="1644"/>
        <v>04-08-2020</v>
      </c>
      <c r="N4007" t="str">
        <f t="shared" si="1628"/>
        <v>001105018356</v>
      </c>
      <c r="O4007" t="str">
        <f t="shared" si="1629"/>
        <v>MYR</v>
      </c>
      <c r="P4007" t="str">
        <f t="shared" ref="P4007:Q4026" si="1645">"NIL"</f>
        <v>NIL</v>
      </c>
      <c r="Q4007" t="str">
        <f t="shared" si="1645"/>
        <v>NIL</v>
      </c>
      <c r="R4007" t="str">
        <f t="shared" si="1630"/>
        <v>Accepted</v>
      </c>
      <c r="S4007" t="str">
        <f t="shared" si="1631"/>
        <v>Approved</v>
      </c>
      <c r="T4007" t="str">
        <f t="shared" si="1632"/>
        <v>10.20.8.188</v>
      </c>
      <c r="U4007" t="str">
        <f t="shared" si="1633"/>
        <v>AZRAD UMAR BIN SHAARI</v>
      </c>
      <c r="V4007" t="str">
        <f t="shared" si="1634"/>
        <v>FARHANA BINTI MUSTAPA</v>
      </c>
      <c r="W4007" t="str">
        <f t="shared" si="1635"/>
        <v>04-08-2020</v>
      </c>
      <c r="X4007" t="str">
        <f t="shared" si="1636"/>
        <v>RAZIMAH ANSAR AHMAD</v>
      </c>
      <c r="Y4007" t="str">
        <f t="shared" si="1637"/>
        <v>04-08-2020</v>
      </c>
      <c r="Z4007" t="str">
        <f>"COS10200804 5147"</f>
        <v>COS10200804 5147</v>
      </c>
    </row>
    <row r="4008" spans="1:26" x14ac:dyDescent="0.25">
      <c r="A4008" t="str">
        <f t="shared" si="1640"/>
        <v>04-08-2020 12:55:04</v>
      </c>
      <c r="B4008" t="str">
        <f>"0000806932"</f>
        <v>0000806932</v>
      </c>
      <c r="C4008" t="str">
        <f t="shared" si="1641"/>
        <v>0000806786</v>
      </c>
      <c r="D4008" t="str">
        <f t="shared" si="1625"/>
        <v>73185</v>
      </c>
      <c r="E4008" t="str">
        <f t="shared" si="1626"/>
        <v>KFH-OPERATIONS DEPARTMENT</v>
      </c>
      <c r="F4008" t="str">
        <f t="shared" si="1627"/>
        <v>IBG</v>
      </c>
      <c r="G4008" t="str">
        <f t="shared" si="1638"/>
        <v>Refund COSHARE 10</v>
      </c>
      <c r="H4008" s="2">
        <v>594.75</v>
      </c>
      <c r="I4008" t="str">
        <f>"MAHANI BINTI NAWI"</f>
        <v>MAHANI BINTI NAWI</v>
      </c>
      <c r="J4008" t="str">
        <f t="shared" si="1639"/>
        <v>MAYBANK / MAYBANK ISLAMIC</v>
      </c>
      <c r="K4008" t="str">
        <f>"112317103412"</f>
        <v>112317103412</v>
      </c>
      <c r="L4008" t="str">
        <f t="shared" si="1644"/>
        <v>04-08-2020</v>
      </c>
      <c r="M4008" t="str">
        <f t="shared" si="1644"/>
        <v>04-08-2020</v>
      </c>
      <c r="N4008" t="str">
        <f t="shared" si="1628"/>
        <v>001105018356</v>
      </c>
      <c r="O4008" t="str">
        <f t="shared" si="1629"/>
        <v>MYR</v>
      </c>
      <c r="P4008" t="str">
        <f t="shared" si="1645"/>
        <v>NIL</v>
      </c>
      <c r="Q4008" t="str">
        <f t="shared" si="1645"/>
        <v>NIL</v>
      </c>
      <c r="R4008" t="str">
        <f t="shared" si="1630"/>
        <v>Accepted</v>
      </c>
      <c r="S4008" t="str">
        <f t="shared" si="1631"/>
        <v>Approved</v>
      </c>
      <c r="T4008" t="str">
        <f t="shared" si="1632"/>
        <v>10.20.8.188</v>
      </c>
      <c r="U4008" t="str">
        <f t="shared" si="1633"/>
        <v>AZRAD UMAR BIN SHAARI</v>
      </c>
      <c r="V4008" t="str">
        <f t="shared" si="1634"/>
        <v>FARHANA BINTI MUSTAPA</v>
      </c>
      <c r="W4008" t="str">
        <f t="shared" si="1635"/>
        <v>04-08-2020</v>
      </c>
      <c r="X4008" t="str">
        <f t="shared" si="1636"/>
        <v>RAZIMAH ANSAR AHMAD</v>
      </c>
      <c r="Y4008" t="str">
        <f t="shared" si="1637"/>
        <v>04-08-2020</v>
      </c>
      <c r="Z4008" t="str">
        <f>"COS10200804 5146"</f>
        <v>COS10200804 5146</v>
      </c>
    </row>
    <row r="4009" spans="1:26" x14ac:dyDescent="0.25">
      <c r="A4009" t="str">
        <f t="shared" si="1640"/>
        <v>04-08-2020 12:55:04</v>
      </c>
      <c r="B4009" t="str">
        <f>"0000806931"</f>
        <v>0000806931</v>
      </c>
      <c r="C4009" t="str">
        <f t="shared" si="1641"/>
        <v>0000806786</v>
      </c>
      <c r="D4009" t="str">
        <f t="shared" si="1625"/>
        <v>73185</v>
      </c>
      <c r="E4009" t="str">
        <f t="shared" si="1626"/>
        <v>KFH-OPERATIONS DEPARTMENT</v>
      </c>
      <c r="F4009" t="str">
        <f t="shared" si="1627"/>
        <v>IBG</v>
      </c>
      <c r="G4009" t="str">
        <f t="shared" si="1638"/>
        <v>Refund COSHARE 10</v>
      </c>
      <c r="H4009" s="2">
        <v>275.05</v>
      </c>
      <c r="I4009" t="str">
        <f>"MAHANI BINTI MOHD YUSOFF"</f>
        <v>MAHANI BINTI MOHD YUSOFF</v>
      </c>
      <c r="J4009" t="str">
        <f t="shared" si="1639"/>
        <v>MAYBANK / MAYBANK ISLAMIC</v>
      </c>
      <c r="K4009" t="str">
        <f>"158033246774"</f>
        <v>158033246774</v>
      </c>
      <c r="L4009" t="str">
        <f t="shared" si="1644"/>
        <v>04-08-2020</v>
      </c>
      <c r="M4009" t="str">
        <f t="shared" si="1644"/>
        <v>04-08-2020</v>
      </c>
      <c r="N4009" t="str">
        <f t="shared" si="1628"/>
        <v>001105018356</v>
      </c>
      <c r="O4009" t="str">
        <f t="shared" si="1629"/>
        <v>MYR</v>
      </c>
      <c r="P4009" t="str">
        <f t="shared" si="1645"/>
        <v>NIL</v>
      </c>
      <c r="Q4009" t="str">
        <f t="shared" si="1645"/>
        <v>NIL</v>
      </c>
      <c r="R4009" t="str">
        <f t="shared" si="1630"/>
        <v>Accepted</v>
      </c>
      <c r="S4009" t="str">
        <f t="shared" si="1631"/>
        <v>Approved</v>
      </c>
      <c r="T4009" t="str">
        <f t="shared" si="1632"/>
        <v>10.20.8.188</v>
      </c>
      <c r="U4009" t="str">
        <f t="shared" si="1633"/>
        <v>AZRAD UMAR BIN SHAARI</v>
      </c>
      <c r="V4009" t="str">
        <f t="shared" si="1634"/>
        <v>FARHANA BINTI MUSTAPA</v>
      </c>
      <c r="W4009" t="str">
        <f t="shared" si="1635"/>
        <v>04-08-2020</v>
      </c>
      <c r="X4009" t="str">
        <f t="shared" si="1636"/>
        <v>RAZIMAH ANSAR AHMAD</v>
      </c>
      <c r="Y4009" t="str">
        <f t="shared" si="1637"/>
        <v>04-08-2020</v>
      </c>
      <c r="Z4009" t="str">
        <f>"COS10200804 5145"</f>
        <v>COS10200804 5145</v>
      </c>
    </row>
    <row r="4010" spans="1:26" x14ac:dyDescent="0.25">
      <c r="A4010" t="str">
        <f t="shared" si="1640"/>
        <v>04-08-2020 12:55:04</v>
      </c>
      <c r="B4010" t="str">
        <f>"0000806930"</f>
        <v>0000806930</v>
      </c>
      <c r="C4010" t="str">
        <f t="shared" si="1641"/>
        <v>0000806786</v>
      </c>
      <c r="D4010" t="str">
        <f t="shared" si="1625"/>
        <v>73185</v>
      </c>
      <c r="E4010" t="str">
        <f t="shared" si="1626"/>
        <v>KFH-OPERATIONS DEPARTMENT</v>
      </c>
      <c r="F4010" t="str">
        <f t="shared" si="1627"/>
        <v>IBG</v>
      </c>
      <c r="G4010" t="str">
        <f t="shared" si="1638"/>
        <v>Refund COSHARE 10</v>
      </c>
      <c r="H4010" s="2">
        <v>250</v>
      </c>
      <c r="I4010" t="str">
        <f>"MAHANI BINTI AHMAD"</f>
        <v>MAHANI BINTI AHMAD</v>
      </c>
      <c r="J4010" t="str">
        <f t="shared" si="1639"/>
        <v>MAYBANK / MAYBANK ISLAMIC</v>
      </c>
      <c r="K4010" t="str">
        <f>"155015172185"</f>
        <v>155015172185</v>
      </c>
      <c r="L4010" t="str">
        <f t="shared" si="1644"/>
        <v>04-08-2020</v>
      </c>
      <c r="M4010" t="str">
        <f t="shared" si="1644"/>
        <v>04-08-2020</v>
      </c>
      <c r="N4010" t="str">
        <f t="shared" si="1628"/>
        <v>001105018356</v>
      </c>
      <c r="O4010" t="str">
        <f t="shared" si="1629"/>
        <v>MYR</v>
      </c>
      <c r="P4010" t="str">
        <f t="shared" si="1645"/>
        <v>NIL</v>
      </c>
      <c r="Q4010" t="str">
        <f t="shared" si="1645"/>
        <v>NIL</v>
      </c>
      <c r="R4010" t="str">
        <f t="shared" si="1630"/>
        <v>Accepted</v>
      </c>
      <c r="S4010" t="str">
        <f t="shared" si="1631"/>
        <v>Approved</v>
      </c>
      <c r="T4010" t="str">
        <f t="shared" si="1632"/>
        <v>10.20.8.188</v>
      </c>
      <c r="U4010" t="str">
        <f t="shared" si="1633"/>
        <v>AZRAD UMAR BIN SHAARI</v>
      </c>
      <c r="V4010" t="str">
        <f t="shared" si="1634"/>
        <v>FARHANA BINTI MUSTAPA</v>
      </c>
      <c r="W4010" t="str">
        <f t="shared" si="1635"/>
        <v>04-08-2020</v>
      </c>
      <c r="X4010" t="str">
        <f t="shared" si="1636"/>
        <v>RAZIMAH ANSAR AHMAD</v>
      </c>
      <c r="Y4010" t="str">
        <f t="shared" si="1637"/>
        <v>04-08-2020</v>
      </c>
      <c r="Z4010" t="str">
        <f>"COS10200804 5144"</f>
        <v>COS10200804 5144</v>
      </c>
    </row>
    <row r="4011" spans="1:26" x14ac:dyDescent="0.25">
      <c r="A4011" t="str">
        <f t="shared" si="1640"/>
        <v>04-08-2020 12:55:04</v>
      </c>
      <c r="B4011" t="str">
        <f>"0000806929"</f>
        <v>0000806929</v>
      </c>
      <c r="C4011" t="str">
        <f t="shared" si="1641"/>
        <v>0000806786</v>
      </c>
      <c r="D4011" t="str">
        <f t="shared" si="1625"/>
        <v>73185</v>
      </c>
      <c r="E4011" t="str">
        <f t="shared" si="1626"/>
        <v>KFH-OPERATIONS DEPARTMENT</v>
      </c>
      <c r="F4011" t="str">
        <f t="shared" si="1627"/>
        <v>IBG</v>
      </c>
      <c r="G4011" t="str">
        <f t="shared" si="1638"/>
        <v>Refund COSHARE 10</v>
      </c>
      <c r="H4011" s="2">
        <v>319</v>
      </c>
      <c r="I4011" t="str">
        <f>"MAHAIZAWATI BINTI MAHAD"</f>
        <v>MAHAIZAWATI BINTI MAHAD</v>
      </c>
      <c r="J4011" t="str">
        <f t="shared" si="1639"/>
        <v>MAYBANK / MAYBANK ISLAMIC</v>
      </c>
      <c r="K4011" t="str">
        <f>"101048969659"</f>
        <v>101048969659</v>
      </c>
      <c r="L4011" t="str">
        <f t="shared" si="1644"/>
        <v>04-08-2020</v>
      </c>
      <c r="M4011" t="str">
        <f t="shared" si="1644"/>
        <v>04-08-2020</v>
      </c>
      <c r="N4011" t="str">
        <f t="shared" si="1628"/>
        <v>001105018356</v>
      </c>
      <c r="O4011" t="str">
        <f t="shared" si="1629"/>
        <v>MYR</v>
      </c>
      <c r="P4011" t="str">
        <f t="shared" si="1645"/>
        <v>NIL</v>
      </c>
      <c r="Q4011" t="str">
        <f t="shared" si="1645"/>
        <v>NIL</v>
      </c>
      <c r="R4011" t="str">
        <f t="shared" si="1630"/>
        <v>Accepted</v>
      </c>
      <c r="S4011" t="str">
        <f t="shared" si="1631"/>
        <v>Approved</v>
      </c>
      <c r="T4011" t="str">
        <f t="shared" si="1632"/>
        <v>10.20.8.188</v>
      </c>
      <c r="U4011" t="str">
        <f t="shared" si="1633"/>
        <v>AZRAD UMAR BIN SHAARI</v>
      </c>
      <c r="V4011" t="str">
        <f t="shared" si="1634"/>
        <v>FARHANA BINTI MUSTAPA</v>
      </c>
      <c r="W4011" t="str">
        <f t="shared" si="1635"/>
        <v>04-08-2020</v>
      </c>
      <c r="X4011" t="str">
        <f t="shared" si="1636"/>
        <v>RAZIMAH ANSAR AHMAD</v>
      </c>
      <c r="Y4011" t="str">
        <f t="shared" si="1637"/>
        <v>04-08-2020</v>
      </c>
      <c r="Z4011" t="str">
        <f>"COS10200804 5143"</f>
        <v>COS10200804 5143</v>
      </c>
    </row>
    <row r="4012" spans="1:26" x14ac:dyDescent="0.25">
      <c r="A4012" t="str">
        <f t="shared" si="1640"/>
        <v>04-08-2020 12:55:04</v>
      </c>
      <c r="B4012" t="str">
        <f>"0000806928"</f>
        <v>0000806928</v>
      </c>
      <c r="C4012" t="str">
        <f t="shared" si="1641"/>
        <v>0000806786</v>
      </c>
      <c r="D4012" t="str">
        <f t="shared" si="1625"/>
        <v>73185</v>
      </c>
      <c r="E4012" t="str">
        <f t="shared" si="1626"/>
        <v>KFH-OPERATIONS DEPARTMENT</v>
      </c>
      <c r="F4012" t="str">
        <f t="shared" si="1627"/>
        <v>IBG</v>
      </c>
      <c r="G4012" t="str">
        <f t="shared" si="1638"/>
        <v>Refund COSHARE 10</v>
      </c>
      <c r="H4012" s="2">
        <v>393.45</v>
      </c>
      <c r="I4012" t="str">
        <f>"MAHADZIR BIN MOHAMAD NOR"</f>
        <v>MAHADZIR BIN MOHAMAD NOR</v>
      </c>
      <c r="J4012" t="str">
        <f t="shared" si="1639"/>
        <v>MAYBANK / MAYBANK ISLAMIC</v>
      </c>
      <c r="K4012" t="str">
        <f>"162759019176"</f>
        <v>162759019176</v>
      </c>
      <c r="L4012" t="str">
        <f t="shared" si="1644"/>
        <v>04-08-2020</v>
      </c>
      <c r="M4012" t="str">
        <f t="shared" si="1644"/>
        <v>04-08-2020</v>
      </c>
      <c r="N4012" t="str">
        <f t="shared" si="1628"/>
        <v>001105018356</v>
      </c>
      <c r="O4012" t="str">
        <f t="shared" si="1629"/>
        <v>MYR</v>
      </c>
      <c r="P4012" t="str">
        <f t="shared" si="1645"/>
        <v>NIL</v>
      </c>
      <c r="Q4012" t="str">
        <f t="shared" si="1645"/>
        <v>NIL</v>
      </c>
      <c r="R4012" t="str">
        <f t="shared" si="1630"/>
        <v>Accepted</v>
      </c>
      <c r="S4012" t="str">
        <f t="shared" si="1631"/>
        <v>Approved</v>
      </c>
      <c r="T4012" t="str">
        <f t="shared" si="1632"/>
        <v>10.20.8.188</v>
      </c>
      <c r="U4012" t="str">
        <f t="shared" si="1633"/>
        <v>AZRAD UMAR BIN SHAARI</v>
      </c>
      <c r="V4012" t="str">
        <f t="shared" si="1634"/>
        <v>FARHANA BINTI MUSTAPA</v>
      </c>
      <c r="W4012" t="str">
        <f t="shared" si="1635"/>
        <v>04-08-2020</v>
      </c>
      <c r="X4012" t="str">
        <f t="shared" si="1636"/>
        <v>RAZIMAH ANSAR AHMAD</v>
      </c>
      <c r="Y4012" t="str">
        <f t="shared" si="1637"/>
        <v>04-08-2020</v>
      </c>
      <c r="Z4012" t="str">
        <f>"COS10200804 5142"</f>
        <v>COS10200804 5142</v>
      </c>
    </row>
    <row r="4013" spans="1:26" x14ac:dyDescent="0.25">
      <c r="A4013" t="str">
        <f t="shared" si="1640"/>
        <v>04-08-2020 12:55:04</v>
      </c>
      <c r="B4013" t="str">
        <f>"0000806927"</f>
        <v>0000806927</v>
      </c>
      <c r="C4013" t="str">
        <f t="shared" si="1641"/>
        <v>0000806786</v>
      </c>
      <c r="D4013" t="str">
        <f t="shared" si="1625"/>
        <v>73185</v>
      </c>
      <c r="E4013" t="str">
        <f t="shared" si="1626"/>
        <v>KFH-OPERATIONS DEPARTMENT</v>
      </c>
      <c r="F4013" t="str">
        <f t="shared" si="1627"/>
        <v>IBG</v>
      </c>
      <c r="G4013" t="str">
        <f t="shared" si="1638"/>
        <v>Refund COSHARE 10</v>
      </c>
      <c r="H4013" s="2">
        <v>1183.7</v>
      </c>
      <c r="I4013" t="str">
        <f>"MAGESVAARAN AL PALANISAMY"</f>
        <v>MAGESVAARAN AL PALANISAMY</v>
      </c>
      <c r="J4013" t="str">
        <f t="shared" si="1639"/>
        <v>MAYBANK / MAYBANK ISLAMIC</v>
      </c>
      <c r="K4013" t="str">
        <f>"107107368545"</f>
        <v>107107368545</v>
      </c>
      <c r="L4013" t="str">
        <f t="shared" si="1644"/>
        <v>04-08-2020</v>
      </c>
      <c r="M4013" t="str">
        <f t="shared" si="1644"/>
        <v>04-08-2020</v>
      </c>
      <c r="N4013" t="str">
        <f t="shared" si="1628"/>
        <v>001105018356</v>
      </c>
      <c r="O4013" t="str">
        <f t="shared" si="1629"/>
        <v>MYR</v>
      </c>
      <c r="P4013" t="str">
        <f t="shared" si="1645"/>
        <v>NIL</v>
      </c>
      <c r="Q4013" t="str">
        <f t="shared" si="1645"/>
        <v>NIL</v>
      </c>
      <c r="R4013" t="str">
        <f t="shared" si="1630"/>
        <v>Accepted</v>
      </c>
      <c r="S4013" t="str">
        <f t="shared" si="1631"/>
        <v>Approved</v>
      </c>
      <c r="T4013" t="str">
        <f t="shared" si="1632"/>
        <v>10.20.8.188</v>
      </c>
      <c r="U4013" t="str">
        <f t="shared" si="1633"/>
        <v>AZRAD UMAR BIN SHAARI</v>
      </c>
      <c r="V4013" t="str">
        <f t="shared" si="1634"/>
        <v>FARHANA BINTI MUSTAPA</v>
      </c>
      <c r="W4013" t="str">
        <f t="shared" si="1635"/>
        <v>04-08-2020</v>
      </c>
      <c r="X4013" t="str">
        <f t="shared" si="1636"/>
        <v>RAZIMAH ANSAR AHMAD</v>
      </c>
      <c r="Y4013" t="str">
        <f t="shared" si="1637"/>
        <v>04-08-2020</v>
      </c>
      <c r="Z4013" t="str">
        <f>"COS10200804 5141"</f>
        <v>COS10200804 5141</v>
      </c>
    </row>
    <row r="4014" spans="1:26" x14ac:dyDescent="0.25">
      <c r="A4014" t="str">
        <f t="shared" si="1640"/>
        <v>04-08-2020 12:55:04</v>
      </c>
      <c r="B4014" t="str">
        <f>"0000806926"</f>
        <v>0000806926</v>
      </c>
      <c r="C4014" t="str">
        <f t="shared" si="1641"/>
        <v>0000806786</v>
      </c>
      <c r="D4014" t="str">
        <f t="shared" si="1625"/>
        <v>73185</v>
      </c>
      <c r="E4014" t="str">
        <f t="shared" si="1626"/>
        <v>KFH-OPERATIONS DEPARTMENT</v>
      </c>
      <c r="F4014" t="str">
        <f t="shared" si="1627"/>
        <v>IBG</v>
      </c>
      <c r="G4014" t="str">
        <f t="shared" si="1638"/>
        <v>Refund COSHARE 10</v>
      </c>
      <c r="H4014" s="2">
        <v>645</v>
      </c>
      <c r="I4014" t="str">
        <f>"MAGDALINA BARU"</f>
        <v>MAGDALINA BARU</v>
      </c>
      <c r="J4014" t="str">
        <f t="shared" si="1639"/>
        <v>MAYBANK / MAYBANK ISLAMIC</v>
      </c>
      <c r="K4014" t="str">
        <f>"161042107505"</f>
        <v>161042107505</v>
      </c>
      <c r="L4014" t="str">
        <f t="shared" si="1644"/>
        <v>04-08-2020</v>
      </c>
      <c r="M4014" t="str">
        <f t="shared" si="1644"/>
        <v>04-08-2020</v>
      </c>
      <c r="N4014" t="str">
        <f t="shared" si="1628"/>
        <v>001105018356</v>
      </c>
      <c r="O4014" t="str">
        <f t="shared" si="1629"/>
        <v>MYR</v>
      </c>
      <c r="P4014" t="str">
        <f t="shared" si="1645"/>
        <v>NIL</v>
      </c>
      <c r="Q4014" t="str">
        <f t="shared" si="1645"/>
        <v>NIL</v>
      </c>
      <c r="R4014" t="str">
        <f t="shared" si="1630"/>
        <v>Accepted</v>
      </c>
      <c r="S4014" t="str">
        <f t="shared" si="1631"/>
        <v>Approved</v>
      </c>
      <c r="T4014" t="str">
        <f t="shared" si="1632"/>
        <v>10.20.8.188</v>
      </c>
      <c r="U4014" t="str">
        <f t="shared" si="1633"/>
        <v>AZRAD UMAR BIN SHAARI</v>
      </c>
      <c r="V4014" t="str">
        <f t="shared" si="1634"/>
        <v>FARHANA BINTI MUSTAPA</v>
      </c>
      <c r="W4014" t="str">
        <f t="shared" si="1635"/>
        <v>04-08-2020</v>
      </c>
      <c r="X4014" t="str">
        <f t="shared" si="1636"/>
        <v>RAZIMAH ANSAR AHMAD</v>
      </c>
      <c r="Y4014" t="str">
        <f t="shared" si="1637"/>
        <v>04-08-2020</v>
      </c>
      <c r="Z4014" t="str">
        <f>"COS10200804 5140"</f>
        <v>COS10200804 5140</v>
      </c>
    </row>
    <row r="4015" spans="1:26" x14ac:dyDescent="0.25">
      <c r="A4015" t="str">
        <f t="shared" si="1640"/>
        <v>04-08-2020 12:55:04</v>
      </c>
      <c r="B4015" t="str">
        <f>"0000806925"</f>
        <v>0000806925</v>
      </c>
      <c r="C4015" t="str">
        <f t="shared" si="1641"/>
        <v>0000806786</v>
      </c>
      <c r="D4015" t="str">
        <f t="shared" si="1625"/>
        <v>73185</v>
      </c>
      <c r="E4015" t="str">
        <f t="shared" si="1626"/>
        <v>KFH-OPERATIONS DEPARTMENT</v>
      </c>
      <c r="F4015" t="str">
        <f t="shared" si="1627"/>
        <v>IBG</v>
      </c>
      <c r="G4015" t="str">
        <f t="shared" si="1638"/>
        <v>Refund COSHARE 10</v>
      </c>
      <c r="H4015" s="2">
        <v>190.55</v>
      </c>
      <c r="I4015" t="str">
        <f>"MAFIZAN BIN SHOBARI"</f>
        <v>MAFIZAN BIN SHOBARI</v>
      </c>
      <c r="J4015" t="str">
        <f t="shared" si="1639"/>
        <v>MAYBANK / MAYBANK ISLAMIC</v>
      </c>
      <c r="K4015" t="str">
        <f>"152095686567"</f>
        <v>152095686567</v>
      </c>
      <c r="L4015" t="str">
        <f t="shared" si="1644"/>
        <v>04-08-2020</v>
      </c>
      <c r="M4015" t="str">
        <f t="shared" si="1644"/>
        <v>04-08-2020</v>
      </c>
      <c r="N4015" t="str">
        <f t="shared" si="1628"/>
        <v>001105018356</v>
      </c>
      <c r="O4015" t="str">
        <f t="shared" si="1629"/>
        <v>MYR</v>
      </c>
      <c r="P4015" t="str">
        <f t="shared" si="1645"/>
        <v>NIL</v>
      </c>
      <c r="Q4015" t="str">
        <f t="shared" si="1645"/>
        <v>NIL</v>
      </c>
      <c r="R4015" t="str">
        <f t="shared" si="1630"/>
        <v>Accepted</v>
      </c>
      <c r="S4015" t="str">
        <f t="shared" si="1631"/>
        <v>Approved</v>
      </c>
      <c r="T4015" t="str">
        <f t="shared" si="1632"/>
        <v>10.20.8.188</v>
      </c>
      <c r="U4015" t="str">
        <f t="shared" si="1633"/>
        <v>AZRAD UMAR BIN SHAARI</v>
      </c>
      <c r="V4015" t="str">
        <f t="shared" si="1634"/>
        <v>FARHANA BINTI MUSTAPA</v>
      </c>
      <c r="W4015" t="str">
        <f t="shared" si="1635"/>
        <v>04-08-2020</v>
      </c>
      <c r="X4015" t="str">
        <f t="shared" si="1636"/>
        <v>RAZIMAH ANSAR AHMAD</v>
      </c>
      <c r="Y4015" t="str">
        <f t="shared" si="1637"/>
        <v>04-08-2020</v>
      </c>
      <c r="Z4015" t="str">
        <f>"COS10200804 5139"</f>
        <v>COS10200804 5139</v>
      </c>
    </row>
    <row r="4016" spans="1:26" x14ac:dyDescent="0.25">
      <c r="A4016" t="str">
        <f t="shared" si="1640"/>
        <v>04-08-2020 12:55:04</v>
      </c>
      <c r="B4016" t="str">
        <f>"0000806924"</f>
        <v>0000806924</v>
      </c>
      <c r="C4016" t="str">
        <f t="shared" si="1641"/>
        <v>0000806786</v>
      </c>
      <c r="D4016" t="str">
        <f t="shared" si="1625"/>
        <v>73185</v>
      </c>
      <c r="E4016" t="str">
        <f t="shared" si="1626"/>
        <v>KFH-OPERATIONS DEPARTMENT</v>
      </c>
      <c r="F4016" t="str">
        <f t="shared" si="1627"/>
        <v>IBG</v>
      </c>
      <c r="G4016" t="str">
        <f t="shared" si="1638"/>
        <v>Refund COSHARE 10</v>
      </c>
      <c r="H4016" s="2">
        <v>1259.25</v>
      </c>
      <c r="I4016" t="str">
        <f>"MADIHA BINTI MAMAT  MUHAMMAD"</f>
        <v>MADIHA BINTI MAMAT  MUHAMMAD</v>
      </c>
      <c r="J4016" t="str">
        <f t="shared" si="1639"/>
        <v>MAYBANK / MAYBANK ISLAMIC</v>
      </c>
      <c r="K4016" t="str">
        <f>"158079587691"</f>
        <v>158079587691</v>
      </c>
      <c r="L4016" t="str">
        <f t="shared" si="1644"/>
        <v>04-08-2020</v>
      </c>
      <c r="M4016" t="str">
        <f t="shared" si="1644"/>
        <v>04-08-2020</v>
      </c>
      <c r="N4016" t="str">
        <f t="shared" si="1628"/>
        <v>001105018356</v>
      </c>
      <c r="O4016" t="str">
        <f t="shared" si="1629"/>
        <v>MYR</v>
      </c>
      <c r="P4016" t="str">
        <f t="shared" si="1645"/>
        <v>NIL</v>
      </c>
      <c r="Q4016" t="str">
        <f t="shared" si="1645"/>
        <v>NIL</v>
      </c>
      <c r="R4016" t="str">
        <f t="shared" si="1630"/>
        <v>Accepted</v>
      </c>
      <c r="S4016" t="str">
        <f t="shared" si="1631"/>
        <v>Approved</v>
      </c>
      <c r="T4016" t="str">
        <f t="shared" si="1632"/>
        <v>10.20.8.188</v>
      </c>
      <c r="U4016" t="str">
        <f t="shared" si="1633"/>
        <v>AZRAD UMAR BIN SHAARI</v>
      </c>
      <c r="V4016" t="str">
        <f t="shared" si="1634"/>
        <v>FARHANA BINTI MUSTAPA</v>
      </c>
      <c r="W4016" t="str">
        <f t="shared" si="1635"/>
        <v>04-08-2020</v>
      </c>
      <c r="X4016" t="str">
        <f t="shared" si="1636"/>
        <v>RAZIMAH ANSAR AHMAD</v>
      </c>
      <c r="Y4016" t="str">
        <f t="shared" si="1637"/>
        <v>04-08-2020</v>
      </c>
      <c r="Z4016" t="str">
        <f>"COS10200804 5138"</f>
        <v>COS10200804 5138</v>
      </c>
    </row>
    <row r="4017" spans="1:26" x14ac:dyDescent="0.25">
      <c r="A4017" t="str">
        <f t="shared" si="1640"/>
        <v>04-08-2020 12:55:04</v>
      </c>
      <c r="B4017" t="str">
        <f>"0000806923"</f>
        <v>0000806923</v>
      </c>
      <c r="C4017" t="str">
        <f t="shared" si="1641"/>
        <v>0000806786</v>
      </c>
      <c r="D4017" t="str">
        <f t="shared" si="1625"/>
        <v>73185</v>
      </c>
      <c r="E4017" t="str">
        <f t="shared" si="1626"/>
        <v>KFH-OPERATIONS DEPARTMENT</v>
      </c>
      <c r="F4017" t="str">
        <f t="shared" si="1627"/>
        <v>IBG</v>
      </c>
      <c r="G4017" t="str">
        <f t="shared" si="1638"/>
        <v>Refund COSHARE 10</v>
      </c>
      <c r="H4017" s="2">
        <v>1040</v>
      </c>
      <c r="I4017" t="str">
        <f>"MAD SOFI BIN KAMARULZAMAN"</f>
        <v>MAD SOFI BIN KAMARULZAMAN</v>
      </c>
      <c r="J4017" t="str">
        <f t="shared" si="1639"/>
        <v>MAYBANK / MAYBANK ISLAMIC</v>
      </c>
      <c r="K4017" t="str">
        <f>"158024810973"</f>
        <v>158024810973</v>
      </c>
      <c r="L4017" t="str">
        <f t="shared" si="1644"/>
        <v>04-08-2020</v>
      </c>
      <c r="M4017" t="str">
        <f t="shared" si="1644"/>
        <v>04-08-2020</v>
      </c>
      <c r="N4017" t="str">
        <f t="shared" si="1628"/>
        <v>001105018356</v>
      </c>
      <c r="O4017" t="str">
        <f t="shared" si="1629"/>
        <v>MYR</v>
      </c>
      <c r="P4017" t="str">
        <f t="shared" si="1645"/>
        <v>NIL</v>
      </c>
      <c r="Q4017" t="str">
        <f t="shared" si="1645"/>
        <v>NIL</v>
      </c>
      <c r="R4017" t="str">
        <f t="shared" si="1630"/>
        <v>Accepted</v>
      </c>
      <c r="S4017" t="str">
        <f t="shared" si="1631"/>
        <v>Approved</v>
      </c>
      <c r="T4017" t="str">
        <f t="shared" si="1632"/>
        <v>10.20.8.188</v>
      </c>
      <c r="U4017" t="str">
        <f t="shared" si="1633"/>
        <v>AZRAD UMAR BIN SHAARI</v>
      </c>
      <c r="V4017" t="str">
        <f t="shared" si="1634"/>
        <v>FARHANA BINTI MUSTAPA</v>
      </c>
      <c r="W4017" t="str">
        <f t="shared" si="1635"/>
        <v>04-08-2020</v>
      </c>
      <c r="X4017" t="str">
        <f t="shared" si="1636"/>
        <v>RAZIMAH ANSAR AHMAD</v>
      </c>
      <c r="Y4017" t="str">
        <f t="shared" si="1637"/>
        <v>04-08-2020</v>
      </c>
      <c r="Z4017" t="str">
        <f>"COS10200804 5137"</f>
        <v>COS10200804 5137</v>
      </c>
    </row>
    <row r="4018" spans="1:26" x14ac:dyDescent="0.25">
      <c r="A4018" t="str">
        <f t="shared" ref="A4018:A4049" si="1646">"04-08-2020 12:55:04"</f>
        <v>04-08-2020 12:55:04</v>
      </c>
      <c r="B4018" t="str">
        <f>"0000806922"</f>
        <v>0000806922</v>
      </c>
      <c r="C4018" t="str">
        <f t="shared" ref="C4018:C4049" si="1647">"0000806786"</f>
        <v>0000806786</v>
      </c>
      <c r="D4018" t="str">
        <f t="shared" si="1625"/>
        <v>73185</v>
      </c>
      <c r="E4018" t="str">
        <f t="shared" si="1626"/>
        <v>KFH-OPERATIONS DEPARTMENT</v>
      </c>
      <c r="F4018" t="str">
        <f t="shared" si="1627"/>
        <v>IBG</v>
      </c>
      <c r="G4018" t="str">
        <f t="shared" si="1638"/>
        <v>Refund COSHARE 10</v>
      </c>
      <c r="H4018" s="2">
        <v>1040</v>
      </c>
      <c r="I4018" t="str">
        <f>"MAD SOFI BIN KAMARULZAMAN"</f>
        <v>MAD SOFI BIN KAMARULZAMAN</v>
      </c>
      <c r="J4018" t="str">
        <f t="shared" si="1639"/>
        <v>MAYBANK / MAYBANK ISLAMIC</v>
      </c>
      <c r="K4018" t="str">
        <f>"158024810973"</f>
        <v>158024810973</v>
      </c>
      <c r="L4018" t="str">
        <f t="shared" si="1644"/>
        <v>04-08-2020</v>
      </c>
      <c r="M4018" t="str">
        <f t="shared" si="1644"/>
        <v>04-08-2020</v>
      </c>
      <c r="N4018" t="str">
        <f t="shared" si="1628"/>
        <v>001105018356</v>
      </c>
      <c r="O4018" t="str">
        <f t="shared" si="1629"/>
        <v>MYR</v>
      </c>
      <c r="P4018" t="str">
        <f t="shared" si="1645"/>
        <v>NIL</v>
      </c>
      <c r="Q4018" t="str">
        <f t="shared" si="1645"/>
        <v>NIL</v>
      </c>
      <c r="R4018" t="str">
        <f t="shared" si="1630"/>
        <v>Accepted</v>
      </c>
      <c r="S4018" t="str">
        <f t="shared" si="1631"/>
        <v>Approved</v>
      </c>
      <c r="T4018" t="str">
        <f t="shared" si="1632"/>
        <v>10.20.8.188</v>
      </c>
      <c r="U4018" t="str">
        <f t="shared" si="1633"/>
        <v>AZRAD UMAR BIN SHAARI</v>
      </c>
      <c r="V4018" t="str">
        <f t="shared" si="1634"/>
        <v>FARHANA BINTI MUSTAPA</v>
      </c>
      <c r="W4018" t="str">
        <f t="shared" si="1635"/>
        <v>04-08-2020</v>
      </c>
      <c r="X4018" t="str">
        <f t="shared" si="1636"/>
        <v>RAZIMAH ANSAR AHMAD</v>
      </c>
      <c r="Y4018" t="str">
        <f t="shared" si="1637"/>
        <v>04-08-2020</v>
      </c>
      <c r="Z4018" t="str">
        <f>"COS10200804 5136"</f>
        <v>COS10200804 5136</v>
      </c>
    </row>
    <row r="4019" spans="1:26" x14ac:dyDescent="0.25">
      <c r="A4019" t="str">
        <f t="shared" si="1646"/>
        <v>04-08-2020 12:55:04</v>
      </c>
      <c r="B4019" t="str">
        <f>"0000806921"</f>
        <v>0000806921</v>
      </c>
      <c r="C4019" t="str">
        <f t="shared" si="1647"/>
        <v>0000806786</v>
      </c>
      <c r="D4019" t="str">
        <f t="shared" si="1625"/>
        <v>73185</v>
      </c>
      <c r="E4019" t="str">
        <f t="shared" si="1626"/>
        <v>KFH-OPERATIONS DEPARTMENT</v>
      </c>
      <c r="F4019" t="str">
        <f t="shared" si="1627"/>
        <v>IBG</v>
      </c>
      <c r="G4019" t="str">
        <f t="shared" si="1638"/>
        <v>Refund COSHARE 10</v>
      </c>
      <c r="H4019" s="2">
        <v>839.5</v>
      </c>
      <c r="I4019" t="str">
        <f>"MAD LAKIM BIN MENAN"</f>
        <v>MAD LAKIM BIN MENAN</v>
      </c>
      <c r="J4019" t="str">
        <f t="shared" si="1639"/>
        <v>MAYBANK / MAYBANK ISLAMIC</v>
      </c>
      <c r="K4019" t="str">
        <f>"160036919803"</f>
        <v>160036919803</v>
      </c>
      <c r="L4019" t="str">
        <f t="shared" si="1644"/>
        <v>04-08-2020</v>
      </c>
      <c r="M4019" t="str">
        <f t="shared" si="1644"/>
        <v>04-08-2020</v>
      </c>
      <c r="N4019" t="str">
        <f t="shared" si="1628"/>
        <v>001105018356</v>
      </c>
      <c r="O4019" t="str">
        <f t="shared" si="1629"/>
        <v>MYR</v>
      </c>
      <c r="P4019" t="str">
        <f t="shared" si="1645"/>
        <v>NIL</v>
      </c>
      <c r="Q4019" t="str">
        <f t="shared" si="1645"/>
        <v>NIL</v>
      </c>
      <c r="R4019" t="str">
        <f t="shared" si="1630"/>
        <v>Accepted</v>
      </c>
      <c r="S4019" t="str">
        <f t="shared" si="1631"/>
        <v>Approved</v>
      </c>
      <c r="T4019" t="str">
        <f t="shared" si="1632"/>
        <v>10.20.8.188</v>
      </c>
      <c r="U4019" t="str">
        <f t="shared" si="1633"/>
        <v>AZRAD UMAR BIN SHAARI</v>
      </c>
      <c r="V4019" t="str">
        <f t="shared" si="1634"/>
        <v>FARHANA BINTI MUSTAPA</v>
      </c>
      <c r="W4019" t="str">
        <f t="shared" si="1635"/>
        <v>04-08-2020</v>
      </c>
      <c r="X4019" t="str">
        <f t="shared" si="1636"/>
        <v>RAZIMAH ANSAR AHMAD</v>
      </c>
      <c r="Y4019" t="str">
        <f t="shared" si="1637"/>
        <v>04-08-2020</v>
      </c>
      <c r="Z4019" t="str">
        <f>"COS10200804 5135"</f>
        <v>COS10200804 5135</v>
      </c>
    </row>
    <row r="4020" spans="1:26" x14ac:dyDescent="0.25">
      <c r="A4020" t="str">
        <f t="shared" si="1646"/>
        <v>04-08-2020 12:55:04</v>
      </c>
      <c r="B4020" t="str">
        <f>"0000806920"</f>
        <v>0000806920</v>
      </c>
      <c r="C4020" t="str">
        <f t="shared" si="1647"/>
        <v>0000806786</v>
      </c>
      <c r="D4020" t="str">
        <f t="shared" si="1625"/>
        <v>73185</v>
      </c>
      <c r="E4020" t="str">
        <f t="shared" si="1626"/>
        <v>KFH-OPERATIONS DEPARTMENT</v>
      </c>
      <c r="F4020" t="str">
        <f t="shared" si="1627"/>
        <v>IBG</v>
      </c>
      <c r="G4020" t="str">
        <f t="shared" si="1638"/>
        <v>Refund COSHARE 10</v>
      </c>
      <c r="H4020" s="2">
        <v>101.65</v>
      </c>
      <c r="I4020" t="str">
        <f>"MRAVICHANTHARAN AL MATHAVAN"</f>
        <v>MRAVICHANTHARAN AL MATHAVAN</v>
      </c>
      <c r="J4020" t="str">
        <f t="shared" si="1639"/>
        <v>MAYBANK / MAYBANK ISLAMIC</v>
      </c>
      <c r="K4020" t="str">
        <f>"151306630989"</f>
        <v>151306630989</v>
      </c>
      <c r="L4020" t="str">
        <f t="shared" si="1644"/>
        <v>04-08-2020</v>
      </c>
      <c r="M4020" t="str">
        <f t="shared" si="1644"/>
        <v>04-08-2020</v>
      </c>
      <c r="N4020" t="str">
        <f t="shared" si="1628"/>
        <v>001105018356</v>
      </c>
      <c r="O4020" t="str">
        <f t="shared" si="1629"/>
        <v>MYR</v>
      </c>
      <c r="P4020" t="str">
        <f t="shared" si="1645"/>
        <v>NIL</v>
      </c>
      <c r="Q4020" t="str">
        <f t="shared" si="1645"/>
        <v>NIL</v>
      </c>
      <c r="R4020" t="str">
        <f t="shared" si="1630"/>
        <v>Accepted</v>
      </c>
      <c r="S4020" t="str">
        <f t="shared" si="1631"/>
        <v>Approved</v>
      </c>
      <c r="T4020" t="str">
        <f t="shared" si="1632"/>
        <v>10.20.8.188</v>
      </c>
      <c r="U4020" t="str">
        <f t="shared" si="1633"/>
        <v>AZRAD UMAR BIN SHAARI</v>
      </c>
      <c r="V4020" t="str">
        <f t="shared" si="1634"/>
        <v>FARHANA BINTI MUSTAPA</v>
      </c>
      <c r="W4020" t="str">
        <f t="shared" si="1635"/>
        <v>04-08-2020</v>
      </c>
      <c r="X4020" t="str">
        <f t="shared" si="1636"/>
        <v>RAZIMAH ANSAR AHMAD</v>
      </c>
      <c r="Y4020" t="str">
        <f t="shared" si="1637"/>
        <v>04-08-2020</v>
      </c>
      <c r="Z4020" t="str">
        <f>"COS10200804 5134"</f>
        <v>COS10200804 5134</v>
      </c>
    </row>
    <row r="4021" spans="1:26" x14ac:dyDescent="0.25">
      <c r="A4021" t="str">
        <f t="shared" si="1646"/>
        <v>04-08-2020 12:55:04</v>
      </c>
      <c r="B4021" t="str">
        <f>"0000806919"</f>
        <v>0000806919</v>
      </c>
      <c r="C4021" t="str">
        <f t="shared" si="1647"/>
        <v>0000806786</v>
      </c>
      <c r="D4021" t="str">
        <f t="shared" si="1625"/>
        <v>73185</v>
      </c>
      <c r="E4021" t="str">
        <f t="shared" si="1626"/>
        <v>KFH-OPERATIONS DEPARTMENT</v>
      </c>
      <c r="F4021" t="str">
        <f t="shared" si="1627"/>
        <v>IBG</v>
      </c>
      <c r="G4021" t="str">
        <f t="shared" si="1638"/>
        <v>Refund COSHARE 10</v>
      </c>
      <c r="H4021" s="2">
        <v>1178.8</v>
      </c>
      <c r="I4021" t="str">
        <f>"LUTHER BIN MOGUUP  JOHN"</f>
        <v>LUTHER BIN MOGUUP  JOHN</v>
      </c>
      <c r="J4021" t="str">
        <f t="shared" si="1639"/>
        <v>MAYBANK / MAYBANK ISLAMIC</v>
      </c>
      <c r="K4021" t="str">
        <f>"114290037986"</f>
        <v>114290037986</v>
      </c>
      <c r="L4021" t="str">
        <f t="shared" si="1644"/>
        <v>04-08-2020</v>
      </c>
      <c r="M4021" t="str">
        <f t="shared" si="1644"/>
        <v>04-08-2020</v>
      </c>
      <c r="N4021" t="str">
        <f t="shared" si="1628"/>
        <v>001105018356</v>
      </c>
      <c r="O4021" t="str">
        <f t="shared" si="1629"/>
        <v>MYR</v>
      </c>
      <c r="P4021" t="str">
        <f t="shared" si="1645"/>
        <v>NIL</v>
      </c>
      <c r="Q4021" t="str">
        <f t="shared" si="1645"/>
        <v>NIL</v>
      </c>
      <c r="R4021" t="str">
        <f t="shared" si="1630"/>
        <v>Accepted</v>
      </c>
      <c r="S4021" t="str">
        <f t="shared" si="1631"/>
        <v>Approved</v>
      </c>
      <c r="T4021" t="str">
        <f t="shared" si="1632"/>
        <v>10.20.8.188</v>
      </c>
      <c r="U4021" t="str">
        <f t="shared" si="1633"/>
        <v>AZRAD UMAR BIN SHAARI</v>
      </c>
      <c r="V4021" t="str">
        <f t="shared" si="1634"/>
        <v>FARHANA BINTI MUSTAPA</v>
      </c>
      <c r="W4021" t="str">
        <f t="shared" si="1635"/>
        <v>04-08-2020</v>
      </c>
      <c r="X4021" t="str">
        <f t="shared" si="1636"/>
        <v>RAZIMAH ANSAR AHMAD</v>
      </c>
      <c r="Y4021" t="str">
        <f t="shared" si="1637"/>
        <v>04-08-2020</v>
      </c>
      <c r="Z4021" t="str">
        <f>"COS10200804 5133"</f>
        <v>COS10200804 5133</v>
      </c>
    </row>
    <row r="4022" spans="1:26" x14ac:dyDescent="0.25">
      <c r="A4022" t="str">
        <f t="shared" si="1646"/>
        <v>04-08-2020 12:55:04</v>
      </c>
      <c r="B4022" t="str">
        <f>"0000806918"</f>
        <v>0000806918</v>
      </c>
      <c r="C4022" t="str">
        <f t="shared" si="1647"/>
        <v>0000806786</v>
      </c>
      <c r="D4022" t="str">
        <f t="shared" si="1625"/>
        <v>73185</v>
      </c>
      <c r="E4022" t="str">
        <f t="shared" si="1626"/>
        <v>KFH-OPERATIONS DEPARTMENT</v>
      </c>
      <c r="F4022" t="str">
        <f t="shared" si="1627"/>
        <v>IBG</v>
      </c>
      <c r="G4022" t="str">
        <f t="shared" si="1638"/>
        <v>Refund COSHARE 10</v>
      </c>
      <c r="H4022" s="2">
        <v>176.3</v>
      </c>
      <c r="I4022" t="str">
        <f>"LUQMAN FAIZ BIN ABAKAR"</f>
        <v>LUQMAN FAIZ BIN ABAKAR</v>
      </c>
      <c r="J4022" t="str">
        <f t="shared" si="1639"/>
        <v>MAYBANK / MAYBANK ISLAMIC</v>
      </c>
      <c r="K4022" t="str">
        <f>"162058687250"</f>
        <v>162058687250</v>
      </c>
      <c r="L4022" t="str">
        <f t="shared" si="1644"/>
        <v>04-08-2020</v>
      </c>
      <c r="M4022" t="str">
        <f t="shared" si="1644"/>
        <v>04-08-2020</v>
      </c>
      <c r="N4022" t="str">
        <f t="shared" si="1628"/>
        <v>001105018356</v>
      </c>
      <c r="O4022" t="str">
        <f t="shared" si="1629"/>
        <v>MYR</v>
      </c>
      <c r="P4022" t="str">
        <f t="shared" si="1645"/>
        <v>NIL</v>
      </c>
      <c r="Q4022" t="str">
        <f t="shared" si="1645"/>
        <v>NIL</v>
      </c>
      <c r="R4022" t="str">
        <f t="shared" si="1630"/>
        <v>Accepted</v>
      </c>
      <c r="S4022" t="str">
        <f t="shared" si="1631"/>
        <v>Approved</v>
      </c>
      <c r="T4022" t="str">
        <f t="shared" si="1632"/>
        <v>10.20.8.188</v>
      </c>
      <c r="U4022" t="str">
        <f t="shared" si="1633"/>
        <v>AZRAD UMAR BIN SHAARI</v>
      </c>
      <c r="V4022" t="str">
        <f t="shared" si="1634"/>
        <v>FARHANA BINTI MUSTAPA</v>
      </c>
      <c r="W4022" t="str">
        <f t="shared" si="1635"/>
        <v>04-08-2020</v>
      </c>
      <c r="X4022" t="str">
        <f t="shared" si="1636"/>
        <v>RAZIMAH ANSAR AHMAD</v>
      </c>
      <c r="Y4022" t="str">
        <f t="shared" si="1637"/>
        <v>04-08-2020</v>
      </c>
      <c r="Z4022" t="str">
        <f>"COS10200804 5132"</f>
        <v>COS10200804 5132</v>
      </c>
    </row>
    <row r="4023" spans="1:26" x14ac:dyDescent="0.25">
      <c r="A4023" t="str">
        <f t="shared" si="1646"/>
        <v>04-08-2020 12:55:04</v>
      </c>
      <c r="B4023" t="str">
        <f>"0000806917"</f>
        <v>0000806917</v>
      </c>
      <c r="C4023" t="str">
        <f t="shared" si="1647"/>
        <v>0000806786</v>
      </c>
      <c r="D4023" t="str">
        <f t="shared" si="1625"/>
        <v>73185</v>
      </c>
      <c r="E4023" t="str">
        <f t="shared" si="1626"/>
        <v>KFH-OPERATIONS DEPARTMENT</v>
      </c>
      <c r="F4023" t="str">
        <f t="shared" si="1627"/>
        <v>IBG</v>
      </c>
      <c r="G4023" t="str">
        <f t="shared" si="1638"/>
        <v>Refund COSHARE 10</v>
      </c>
      <c r="H4023" s="2">
        <v>353.3</v>
      </c>
      <c r="I4023" t="str">
        <f>"LUKMAN HAKIM BIN ABDULLAH"</f>
        <v>LUKMAN HAKIM BIN ABDULLAH</v>
      </c>
      <c r="J4023" t="str">
        <f t="shared" si="1639"/>
        <v>MAYBANK / MAYBANK ISLAMIC</v>
      </c>
      <c r="K4023" t="str">
        <f>"156114124487"</f>
        <v>156114124487</v>
      </c>
      <c r="L4023" t="str">
        <f t="shared" si="1644"/>
        <v>04-08-2020</v>
      </c>
      <c r="M4023" t="str">
        <f t="shared" si="1644"/>
        <v>04-08-2020</v>
      </c>
      <c r="N4023" t="str">
        <f t="shared" si="1628"/>
        <v>001105018356</v>
      </c>
      <c r="O4023" t="str">
        <f t="shared" si="1629"/>
        <v>MYR</v>
      </c>
      <c r="P4023" t="str">
        <f t="shared" si="1645"/>
        <v>NIL</v>
      </c>
      <c r="Q4023" t="str">
        <f t="shared" si="1645"/>
        <v>NIL</v>
      </c>
      <c r="R4023" t="str">
        <f t="shared" si="1630"/>
        <v>Accepted</v>
      </c>
      <c r="S4023" t="str">
        <f t="shared" si="1631"/>
        <v>Approved</v>
      </c>
      <c r="T4023" t="str">
        <f t="shared" si="1632"/>
        <v>10.20.8.188</v>
      </c>
      <c r="U4023" t="str">
        <f t="shared" si="1633"/>
        <v>AZRAD UMAR BIN SHAARI</v>
      </c>
      <c r="V4023" t="str">
        <f t="shared" si="1634"/>
        <v>FARHANA BINTI MUSTAPA</v>
      </c>
      <c r="W4023" t="str">
        <f t="shared" si="1635"/>
        <v>04-08-2020</v>
      </c>
      <c r="X4023" t="str">
        <f t="shared" si="1636"/>
        <v>RAZIMAH ANSAR AHMAD</v>
      </c>
      <c r="Y4023" t="str">
        <f t="shared" si="1637"/>
        <v>04-08-2020</v>
      </c>
      <c r="Z4023" t="str">
        <f>"COS10200804 5131"</f>
        <v>COS10200804 5131</v>
      </c>
    </row>
    <row r="4024" spans="1:26" x14ac:dyDescent="0.25">
      <c r="A4024" t="str">
        <f t="shared" si="1646"/>
        <v>04-08-2020 12:55:04</v>
      </c>
      <c r="B4024" t="str">
        <f>"0000806916"</f>
        <v>0000806916</v>
      </c>
      <c r="C4024" t="str">
        <f t="shared" si="1647"/>
        <v>0000806786</v>
      </c>
      <c r="D4024" t="str">
        <f t="shared" si="1625"/>
        <v>73185</v>
      </c>
      <c r="E4024" t="str">
        <f t="shared" si="1626"/>
        <v>KFH-OPERATIONS DEPARTMENT</v>
      </c>
      <c r="F4024" t="str">
        <f t="shared" si="1627"/>
        <v>IBG</v>
      </c>
      <c r="G4024" t="str">
        <f t="shared" si="1638"/>
        <v>Refund COSHARE 10</v>
      </c>
      <c r="H4024" s="2">
        <v>167.9</v>
      </c>
      <c r="I4024" t="str">
        <f>"LUKMAN BIN SHAMSUDDIN"</f>
        <v>LUKMAN BIN SHAMSUDDIN</v>
      </c>
      <c r="J4024" t="str">
        <f t="shared" si="1639"/>
        <v>MAYBANK / MAYBANK ISLAMIC</v>
      </c>
      <c r="K4024" t="str">
        <f>"153047872158"</f>
        <v>153047872158</v>
      </c>
      <c r="L4024" t="str">
        <f t="shared" si="1644"/>
        <v>04-08-2020</v>
      </c>
      <c r="M4024" t="str">
        <f t="shared" si="1644"/>
        <v>04-08-2020</v>
      </c>
      <c r="N4024" t="str">
        <f t="shared" si="1628"/>
        <v>001105018356</v>
      </c>
      <c r="O4024" t="str">
        <f t="shared" si="1629"/>
        <v>MYR</v>
      </c>
      <c r="P4024" t="str">
        <f t="shared" si="1645"/>
        <v>NIL</v>
      </c>
      <c r="Q4024" t="str">
        <f t="shared" si="1645"/>
        <v>NIL</v>
      </c>
      <c r="R4024" t="str">
        <f t="shared" si="1630"/>
        <v>Accepted</v>
      </c>
      <c r="S4024" t="str">
        <f t="shared" si="1631"/>
        <v>Approved</v>
      </c>
      <c r="T4024" t="str">
        <f t="shared" si="1632"/>
        <v>10.20.8.188</v>
      </c>
      <c r="U4024" t="str">
        <f t="shared" si="1633"/>
        <v>AZRAD UMAR BIN SHAARI</v>
      </c>
      <c r="V4024" t="str">
        <f t="shared" si="1634"/>
        <v>FARHANA BINTI MUSTAPA</v>
      </c>
      <c r="W4024" t="str">
        <f t="shared" si="1635"/>
        <v>04-08-2020</v>
      </c>
      <c r="X4024" t="str">
        <f t="shared" si="1636"/>
        <v>RAZIMAH ANSAR AHMAD</v>
      </c>
      <c r="Y4024" t="str">
        <f t="shared" si="1637"/>
        <v>04-08-2020</v>
      </c>
      <c r="Z4024" t="str">
        <f>"COS10200804 5130"</f>
        <v>COS10200804 5130</v>
      </c>
    </row>
    <row r="4025" spans="1:26" x14ac:dyDescent="0.25">
      <c r="A4025" t="str">
        <f t="shared" si="1646"/>
        <v>04-08-2020 12:55:04</v>
      </c>
      <c r="B4025" t="str">
        <f>"0000806915"</f>
        <v>0000806915</v>
      </c>
      <c r="C4025" t="str">
        <f t="shared" si="1647"/>
        <v>0000806786</v>
      </c>
      <c r="D4025" t="str">
        <f t="shared" si="1625"/>
        <v>73185</v>
      </c>
      <c r="E4025" t="str">
        <f t="shared" si="1626"/>
        <v>KFH-OPERATIONS DEPARTMENT</v>
      </c>
      <c r="F4025" t="str">
        <f t="shared" si="1627"/>
        <v>IBG</v>
      </c>
      <c r="G4025" t="str">
        <f t="shared" si="1638"/>
        <v>Refund COSHARE 10</v>
      </c>
      <c r="H4025" s="2">
        <v>516</v>
      </c>
      <c r="I4025" t="str">
        <f>"LUKMAN BIN HASSAN"</f>
        <v>LUKMAN BIN HASSAN</v>
      </c>
      <c r="J4025" t="str">
        <f t="shared" si="1639"/>
        <v>MAYBANK / MAYBANK ISLAMIC</v>
      </c>
      <c r="K4025" t="str">
        <f>"151397125435"</f>
        <v>151397125435</v>
      </c>
      <c r="L4025" t="str">
        <f t="shared" si="1644"/>
        <v>04-08-2020</v>
      </c>
      <c r="M4025" t="str">
        <f t="shared" si="1644"/>
        <v>04-08-2020</v>
      </c>
      <c r="N4025" t="str">
        <f t="shared" si="1628"/>
        <v>001105018356</v>
      </c>
      <c r="O4025" t="str">
        <f t="shared" si="1629"/>
        <v>MYR</v>
      </c>
      <c r="P4025" t="str">
        <f t="shared" si="1645"/>
        <v>NIL</v>
      </c>
      <c r="Q4025" t="str">
        <f t="shared" si="1645"/>
        <v>NIL</v>
      </c>
      <c r="R4025" t="str">
        <f t="shared" si="1630"/>
        <v>Accepted</v>
      </c>
      <c r="S4025" t="str">
        <f t="shared" si="1631"/>
        <v>Approved</v>
      </c>
      <c r="T4025" t="str">
        <f t="shared" si="1632"/>
        <v>10.20.8.188</v>
      </c>
      <c r="U4025" t="str">
        <f t="shared" si="1633"/>
        <v>AZRAD UMAR BIN SHAARI</v>
      </c>
      <c r="V4025" t="str">
        <f t="shared" si="1634"/>
        <v>FARHANA BINTI MUSTAPA</v>
      </c>
      <c r="W4025" t="str">
        <f t="shared" si="1635"/>
        <v>04-08-2020</v>
      </c>
      <c r="X4025" t="str">
        <f t="shared" si="1636"/>
        <v>RAZIMAH ANSAR AHMAD</v>
      </c>
      <c r="Y4025" t="str">
        <f t="shared" si="1637"/>
        <v>04-08-2020</v>
      </c>
      <c r="Z4025" t="str">
        <f>"COS10200804 5129"</f>
        <v>COS10200804 5129</v>
      </c>
    </row>
    <row r="4026" spans="1:26" x14ac:dyDescent="0.25">
      <c r="A4026" t="str">
        <f t="shared" si="1646"/>
        <v>04-08-2020 12:55:04</v>
      </c>
      <c r="B4026" t="str">
        <f>"0000806914"</f>
        <v>0000806914</v>
      </c>
      <c r="C4026" t="str">
        <f t="shared" si="1647"/>
        <v>0000806786</v>
      </c>
      <c r="D4026" t="str">
        <f t="shared" si="1625"/>
        <v>73185</v>
      </c>
      <c r="E4026" t="str">
        <f t="shared" si="1626"/>
        <v>KFH-OPERATIONS DEPARTMENT</v>
      </c>
      <c r="F4026" t="str">
        <f t="shared" si="1627"/>
        <v>IBG</v>
      </c>
      <c r="G4026" t="str">
        <f t="shared" si="1638"/>
        <v>Refund COSHARE 10</v>
      </c>
      <c r="H4026" s="2">
        <v>114</v>
      </c>
      <c r="I4026" t="str">
        <f>"LUCUS BIN MALIBIN"</f>
        <v>LUCUS BIN MALIBIN</v>
      </c>
      <c r="J4026" t="str">
        <f t="shared" si="1639"/>
        <v>MAYBANK / MAYBANK ISLAMIC</v>
      </c>
      <c r="K4026" t="str">
        <f>"160090287233"</f>
        <v>160090287233</v>
      </c>
      <c r="L4026" t="str">
        <f t="shared" si="1644"/>
        <v>04-08-2020</v>
      </c>
      <c r="M4026" t="str">
        <f t="shared" si="1644"/>
        <v>04-08-2020</v>
      </c>
      <c r="N4026" t="str">
        <f t="shared" si="1628"/>
        <v>001105018356</v>
      </c>
      <c r="O4026" t="str">
        <f t="shared" si="1629"/>
        <v>MYR</v>
      </c>
      <c r="P4026" t="str">
        <f t="shared" si="1645"/>
        <v>NIL</v>
      </c>
      <c r="Q4026" t="str">
        <f t="shared" si="1645"/>
        <v>NIL</v>
      </c>
      <c r="R4026" t="str">
        <f t="shared" si="1630"/>
        <v>Accepted</v>
      </c>
      <c r="S4026" t="str">
        <f t="shared" si="1631"/>
        <v>Approved</v>
      </c>
      <c r="T4026" t="str">
        <f t="shared" si="1632"/>
        <v>10.20.8.188</v>
      </c>
      <c r="U4026" t="str">
        <f t="shared" si="1633"/>
        <v>AZRAD UMAR BIN SHAARI</v>
      </c>
      <c r="V4026" t="str">
        <f t="shared" si="1634"/>
        <v>FARHANA BINTI MUSTAPA</v>
      </c>
      <c r="W4026" t="str">
        <f t="shared" si="1635"/>
        <v>04-08-2020</v>
      </c>
      <c r="X4026" t="str">
        <f t="shared" si="1636"/>
        <v>RAZIMAH ANSAR AHMAD</v>
      </c>
      <c r="Y4026" t="str">
        <f t="shared" si="1637"/>
        <v>04-08-2020</v>
      </c>
      <c r="Z4026" t="str">
        <f>"COS10200804 5128"</f>
        <v>COS10200804 5128</v>
      </c>
    </row>
    <row r="4027" spans="1:26" x14ac:dyDescent="0.25">
      <c r="A4027" t="str">
        <f t="shared" si="1646"/>
        <v>04-08-2020 12:55:04</v>
      </c>
      <c r="B4027" t="str">
        <f>"0000806913"</f>
        <v>0000806913</v>
      </c>
      <c r="C4027" t="str">
        <f t="shared" si="1647"/>
        <v>0000806786</v>
      </c>
      <c r="D4027" t="str">
        <f t="shared" si="1625"/>
        <v>73185</v>
      </c>
      <c r="E4027" t="str">
        <f t="shared" si="1626"/>
        <v>KFH-OPERATIONS DEPARTMENT</v>
      </c>
      <c r="F4027" t="str">
        <f t="shared" si="1627"/>
        <v>IBG</v>
      </c>
      <c r="G4027" t="str">
        <f t="shared" si="1638"/>
        <v>Refund COSHARE 10</v>
      </c>
      <c r="H4027" s="2">
        <v>411.35</v>
      </c>
      <c r="I4027" t="str">
        <f>"LOW PEI CHENG"</f>
        <v>LOW PEI CHENG</v>
      </c>
      <c r="J4027" t="str">
        <f t="shared" si="1639"/>
        <v>MAYBANK / MAYBANK ISLAMIC</v>
      </c>
      <c r="K4027" t="str">
        <f>"114030075638"</f>
        <v>114030075638</v>
      </c>
      <c r="L4027" t="str">
        <f t="shared" ref="L4027:M4046" si="1648">"04-08-2020"</f>
        <v>04-08-2020</v>
      </c>
      <c r="M4027" t="str">
        <f t="shared" si="1648"/>
        <v>04-08-2020</v>
      </c>
      <c r="N4027" t="str">
        <f t="shared" si="1628"/>
        <v>001105018356</v>
      </c>
      <c r="O4027" t="str">
        <f t="shared" si="1629"/>
        <v>MYR</v>
      </c>
      <c r="P4027" t="str">
        <f t="shared" ref="P4027:Q4046" si="1649">"NIL"</f>
        <v>NIL</v>
      </c>
      <c r="Q4027" t="str">
        <f t="shared" si="1649"/>
        <v>NIL</v>
      </c>
      <c r="R4027" t="str">
        <f t="shared" si="1630"/>
        <v>Accepted</v>
      </c>
      <c r="S4027" t="str">
        <f t="shared" si="1631"/>
        <v>Approved</v>
      </c>
      <c r="T4027" t="str">
        <f t="shared" si="1632"/>
        <v>10.20.8.188</v>
      </c>
      <c r="U4027" t="str">
        <f t="shared" si="1633"/>
        <v>AZRAD UMAR BIN SHAARI</v>
      </c>
      <c r="V4027" t="str">
        <f t="shared" si="1634"/>
        <v>FARHANA BINTI MUSTAPA</v>
      </c>
      <c r="W4027" t="str">
        <f t="shared" si="1635"/>
        <v>04-08-2020</v>
      </c>
      <c r="X4027" t="str">
        <f t="shared" si="1636"/>
        <v>RAZIMAH ANSAR AHMAD</v>
      </c>
      <c r="Y4027" t="str">
        <f t="shared" si="1637"/>
        <v>04-08-2020</v>
      </c>
      <c r="Z4027" t="str">
        <f>"COS10200804 5127"</f>
        <v>COS10200804 5127</v>
      </c>
    </row>
    <row r="4028" spans="1:26" x14ac:dyDescent="0.25">
      <c r="A4028" t="str">
        <f t="shared" si="1646"/>
        <v>04-08-2020 12:55:04</v>
      </c>
      <c r="B4028" t="str">
        <f>"0000806912"</f>
        <v>0000806912</v>
      </c>
      <c r="C4028" t="str">
        <f t="shared" si="1647"/>
        <v>0000806786</v>
      </c>
      <c r="D4028" t="str">
        <f t="shared" si="1625"/>
        <v>73185</v>
      </c>
      <c r="E4028" t="str">
        <f t="shared" si="1626"/>
        <v>KFH-OPERATIONS DEPARTMENT</v>
      </c>
      <c r="F4028" t="str">
        <f t="shared" si="1627"/>
        <v>IBG</v>
      </c>
      <c r="G4028" t="str">
        <f t="shared" si="1638"/>
        <v>Refund COSHARE 10</v>
      </c>
      <c r="H4028" s="2">
        <v>251.85</v>
      </c>
      <c r="I4028" t="str">
        <f>"LOVINA VERONICA ANAK HENRY"</f>
        <v>LOVINA VERONICA ANAK HENRY</v>
      </c>
      <c r="J4028" t="str">
        <f t="shared" si="1639"/>
        <v>MAYBANK / MAYBANK ISLAMIC</v>
      </c>
      <c r="K4028" t="str">
        <f>"161190090685"</f>
        <v>161190090685</v>
      </c>
      <c r="L4028" t="str">
        <f t="shared" si="1648"/>
        <v>04-08-2020</v>
      </c>
      <c r="M4028" t="str">
        <f t="shared" si="1648"/>
        <v>04-08-2020</v>
      </c>
      <c r="N4028" t="str">
        <f t="shared" si="1628"/>
        <v>001105018356</v>
      </c>
      <c r="O4028" t="str">
        <f t="shared" si="1629"/>
        <v>MYR</v>
      </c>
      <c r="P4028" t="str">
        <f t="shared" si="1649"/>
        <v>NIL</v>
      </c>
      <c r="Q4028" t="str">
        <f t="shared" si="1649"/>
        <v>NIL</v>
      </c>
      <c r="R4028" t="str">
        <f t="shared" si="1630"/>
        <v>Accepted</v>
      </c>
      <c r="S4028" t="str">
        <f t="shared" si="1631"/>
        <v>Approved</v>
      </c>
      <c r="T4028" t="str">
        <f t="shared" si="1632"/>
        <v>10.20.8.188</v>
      </c>
      <c r="U4028" t="str">
        <f t="shared" si="1633"/>
        <v>AZRAD UMAR BIN SHAARI</v>
      </c>
      <c r="V4028" t="str">
        <f t="shared" si="1634"/>
        <v>FARHANA BINTI MUSTAPA</v>
      </c>
      <c r="W4028" t="str">
        <f t="shared" si="1635"/>
        <v>04-08-2020</v>
      </c>
      <c r="X4028" t="str">
        <f t="shared" si="1636"/>
        <v>RAZIMAH ANSAR AHMAD</v>
      </c>
      <c r="Y4028" t="str">
        <f t="shared" si="1637"/>
        <v>04-08-2020</v>
      </c>
      <c r="Z4028" t="str">
        <f>"COS10200804 5126"</f>
        <v>COS10200804 5126</v>
      </c>
    </row>
    <row r="4029" spans="1:26" x14ac:dyDescent="0.25">
      <c r="A4029" t="str">
        <f t="shared" si="1646"/>
        <v>04-08-2020 12:55:04</v>
      </c>
      <c r="B4029" t="str">
        <f>"0000806911"</f>
        <v>0000806911</v>
      </c>
      <c r="C4029" t="str">
        <f t="shared" si="1647"/>
        <v>0000806786</v>
      </c>
      <c r="D4029" t="str">
        <f t="shared" si="1625"/>
        <v>73185</v>
      </c>
      <c r="E4029" t="str">
        <f t="shared" si="1626"/>
        <v>KFH-OPERATIONS DEPARTMENT</v>
      </c>
      <c r="F4029" t="str">
        <f t="shared" si="1627"/>
        <v>IBG</v>
      </c>
      <c r="G4029" t="str">
        <f t="shared" si="1638"/>
        <v>Refund COSHARE 10</v>
      </c>
      <c r="H4029" s="2">
        <v>1259.25</v>
      </c>
      <c r="I4029" t="str">
        <f>"LORETHA ANAK HENRY YAN"</f>
        <v>LORETHA ANAK HENRY YAN</v>
      </c>
      <c r="J4029" t="str">
        <f t="shared" si="1639"/>
        <v>MAYBANK / MAYBANK ISLAMIC</v>
      </c>
      <c r="K4029" t="str">
        <f>"161088526436"</f>
        <v>161088526436</v>
      </c>
      <c r="L4029" t="str">
        <f t="shared" si="1648"/>
        <v>04-08-2020</v>
      </c>
      <c r="M4029" t="str">
        <f t="shared" si="1648"/>
        <v>04-08-2020</v>
      </c>
      <c r="N4029" t="str">
        <f t="shared" si="1628"/>
        <v>001105018356</v>
      </c>
      <c r="O4029" t="str">
        <f t="shared" si="1629"/>
        <v>MYR</v>
      </c>
      <c r="P4029" t="str">
        <f t="shared" si="1649"/>
        <v>NIL</v>
      </c>
      <c r="Q4029" t="str">
        <f t="shared" si="1649"/>
        <v>NIL</v>
      </c>
      <c r="R4029" t="str">
        <f t="shared" si="1630"/>
        <v>Accepted</v>
      </c>
      <c r="S4029" t="str">
        <f t="shared" si="1631"/>
        <v>Approved</v>
      </c>
      <c r="T4029" t="str">
        <f t="shared" si="1632"/>
        <v>10.20.8.188</v>
      </c>
      <c r="U4029" t="str">
        <f t="shared" si="1633"/>
        <v>AZRAD UMAR BIN SHAARI</v>
      </c>
      <c r="V4029" t="str">
        <f t="shared" si="1634"/>
        <v>FARHANA BINTI MUSTAPA</v>
      </c>
      <c r="W4029" t="str">
        <f t="shared" si="1635"/>
        <v>04-08-2020</v>
      </c>
      <c r="X4029" t="str">
        <f t="shared" si="1636"/>
        <v>RAZIMAH ANSAR AHMAD</v>
      </c>
      <c r="Y4029" t="str">
        <f t="shared" si="1637"/>
        <v>04-08-2020</v>
      </c>
      <c r="Z4029" t="str">
        <f>"COS10200804 5125"</f>
        <v>COS10200804 5125</v>
      </c>
    </row>
    <row r="4030" spans="1:26" x14ac:dyDescent="0.25">
      <c r="A4030" t="str">
        <f t="shared" si="1646"/>
        <v>04-08-2020 12:55:04</v>
      </c>
      <c r="B4030" t="str">
        <f>"0000806910"</f>
        <v>0000806910</v>
      </c>
      <c r="C4030" t="str">
        <f t="shared" si="1647"/>
        <v>0000806786</v>
      </c>
      <c r="D4030" t="str">
        <f t="shared" si="1625"/>
        <v>73185</v>
      </c>
      <c r="E4030" t="str">
        <f t="shared" si="1626"/>
        <v>KFH-OPERATIONS DEPARTMENT</v>
      </c>
      <c r="F4030" t="str">
        <f t="shared" si="1627"/>
        <v>IBG</v>
      </c>
      <c r="G4030" t="str">
        <f t="shared" si="1638"/>
        <v>Refund COSHARE 10</v>
      </c>
      <c r="H4030" s="2">
        <v>812</v>
      </c>
      <c r="I4030" t="str">
        <f>"LOGANATHAN AL ARUMUGAM"</f>
        <v>LOGANATHAN AL ARUMUGAM</v>
      </c>
      <c r="J4030" t="str">
        <f t="shared" si="1639"/>
        <v>MAYBANK / MAYBANK ISLAMIC</v>
      </c>
      <c r="K4030" t="str">
        <f>"158284018004"</f>
        <v>158284018004</v>
      </c>
      <c r="L4030" t="str">
        <f t="shared" si="1648"/>
        <v>04-08-2020</v>
      </c>
      <c r="M4030" t="str">
        <f t="shared" si="1648"/>
        <v>04-08-2020</v>
      </c>
      <c r="N4030" t="str">
        <f t="shared" si="1628"/>
        <v>001105018356</v>
      </c>
      <c r="O4030" t="str">
        <f t="shared" si="1629"/>
        <v>MYR</v>
      </c>
      <c r="P4030" t="str">
        <f t="shared" si="1649"/>
        <v>NIL</v>
      </c>
      <c r="Q4030" t="str">
        <f t="shared" si="1649"/>
        <v>NIL</v>
      </c>
      <c r="R4030" t="str">
        <f t="shared" si="1630"/>
        <v>Accepted</v>
      </c>
      <c r="S4030" t="str">
        <f t="shared" si="1631"/>
        <v>Approved</v>
      </c>
      <c r="T4030" t="str">
        <f t="shared" si="1632"/>
        <v>10.20.8.188</v>
      </c>
      <c r="U4030" t="str">
        <f t="shared" si="1633"/>
        <v>AZRAD UMAR BIN SHAARI</v>
      </c>
      <c r="V4030" t="str">
        <f t="shared" si="1634"/>
        <v>FARHANA BINTI MUSTAPA</v>
      </c>
      <c r="W4030" t="str">
        <f t="shared" si="1635"/>
        <v>04-08-2020</v>
      </c>
      <c r="X4030" t="str">
        <f t="shared" si="1636"/>
        <v>RAZIMAH ANSAR AHMAD</v>
      </c>
      <c r="Y4030" t="str">
        <f t="shared" si="1637"/>
        <v>04-08-2020</v>
      </c>
      <c r="Z4030" t="str">
        <f>"COS10200804 5124"</f>
        <v>COS10200804 5124</v>
      </c>
    </row>
    <row r="4031" spans="1:26" x14ac:dyDescent="0.25">
      <c r="A4031" t="str">
        <f t="shared" si="1646"/>
        <v>04-08-2020 12:55:04</v>
      </c>
      <c r="B4031" t="str">
        <f>"0000806909"</f>
        <v>0000806909</v>
      </c>
      <c r="C4031" t="str">
        <f t="shared" si="1647"/>
        <v>0000806786</v>
      </c>
      <c r="D4031" t="str">
        <f t="shared" si="1625"/>
        <v>73185</v>
      </c>
      <c r="E4031" t="str">
        <f t="shared" si="1626"/>
        <v>KFH-OPERATIONS DEPARTMENT</v>
      </c>
      <c r="F4031" t="str">
        <f t="shared" si="1627"/>
        <v>IBG</v>
      </c>
      <c r="G4031" t="str">
        <f t="shared" si="1638"/>
        <v>Refund COSHARE 10</v>
      </c>
      <c r="H4031" s="2">
        <v>254.1</v>
      </c>
      <c r="I4031" t="str">
        <f>"LOCK HOCK AN"</f>
        <v>LOCK HOCK AN</v>
      </c>
      <c r="J4031" t="str">
        <f t="shared" si="1639"/>
        <v>MAYBANK / MAYBANK ISLAMIC</v>
      </c>
      <c r="K4031" t="str">
        <f>"103033014579"</f>
        <v>103033014579</v>
      </c>
      <c r="L4031" t="str">
        <f t="shared" si="1648"/>
        <v>04-08-2020</v>
      </c>
      <c r="M4031" t="str">
        <f t="shared" si="1648"/>
        <v>04-08-2020</v>
      </c>
      <c r="N4031" t="str">
        <f t="shared" si="1628"/>
        <v>001105018356</v>
      </c>
      <c r="O4031" t="str">
        <f t="shared" si="1629"/>
        <v>MYR</v>
      </c>
      <c r="P4031" t="str">
        <f t="shared" si="1649"/>
        <v>NIL</v>
      </c>
      <c r="Q4031" t="str">
        <f t="shared" si="1649"/>
        <v>NIL</v>
      </c>
      <c r="R4031" t="str">
        <f t="shared" si="1630"/>
        <v>Accepted</v>
      </c>
      <c r="S4031" t="str">
        <f t="shared" si="1631"/>
        <v>Approved</v>
      </c>
      <c r="T4031" t="str">
        <f t="shared" si="1632"/>
        <v>10.20.8.188</v>
      </c>
      <c r="U4031" t="str">
        <f t="shared" si="1633"/>
        <v>AZRAD UMAR BIN SHAARI</v>
      </c>
      <c r="V4031" t="str">
        <f t="shared" si="1634"/>
        <v>FARHANA BINTI MUSTAPA</v>
      </c>
      <c r="W4031" t="str">
        <f t="shared" si="1635"/>
        <v>04-08-2020</v>
      </c>
      <c r="X4031" t="str">
        <f t="shared" si="1636"/>
        <v>RAZIMAH ANSAR AHMAD</v>
      </c>
      <c r="Y4031" t="str">
        <f t="shared" si="1637"/>
        <v>04-08-2020</v>
      </c>
      <c r="Z4031" t="str">
        <f>"COS10200804 5123"</f>
        <v>COS10200804 5123</v>
      </c>
    </row>
    <row r="4032" spans="1:26" x14ac:dyDescent="0.25">
      <c r="A4032" t="str">
        <f t="shared" si="1646"/>
        <v>04-08-2020 12:55:04</v>
      </c>
      <c r="B4032" t="str">
        <f>"0000806908"</f>
        <v>0000806908</v>
      </c>
      <c r="C4032" t="str">
        <f t="shared" si="1647"/>
        <v>0000806786</v>
      </c>
      <c r="D4032" t="str">
        <f t="shared" si="1625"/>
        <v>73185</v>
      </c>
      <c r="E4032" t="str">
        <f t="shared" si="1626"/>
        <v>KFH-OPERATIONS DEPARTMENT</v>
      </c>
      <c r="F4032" t="str">
        <f t="shared" si="1627"/>
        <v>IBG</v>
      </c>
      <c r="G4032" t="str">
        <f t="shared" si="1638"/>
        <v>Refund COSHARE 10</v>
      </c>
      <c r="H4032" s="2">
        <v>108</v>
      </c>
      <c r="I4032" t="str">
        <f>"LO YAP NONG"</f>
        <v>LO YAP NONG</v>
      </c>
      <c r="J4032" t="str">
        <f t="shared" si="1639"/>
        <v>MAYBANK / MAYBANK ISLAMIC</v>
      </c>
      <c r="K4032" t="str">
        <f>"101150226678"</f>
        <v>101150226678</v>
      </c>
      <c r="L4032" t="str">
        <f t="shared" si="1648"/>
        <v>04-08-2020</v>
      </c>
      <c r="M4032" t="str">
        <f t="shared" si="1648"/>
        <v>04-08-2020</v>
      </c>
      <c r="N4032" t="str">
        <f t="shared" si="1628"/>
        <v>001105018356</v>
      </c>
      <c r="O4032" t="str">
        <f t="shared" si="1629"/>
        <v>MYR</v>
      </c>
      <c r="P4032" t="str">
        <f t="shared" si="1649"/>
        <v>NIL</v>
      </c>
      <c r="Q4032" t="str">
        <f t="shared" si="1649"/>
        <v>NIL</v>
      </c>
      <c r="R4032" t="str">
        <f t="shared" si="1630"/>
        <v>Accepted</v>
      </c>
      <c r="S4032" t="str">
        <f t="shared" si="1631"/>
        <v>Approved</v>
      </c>
      <c r="T4032" t="str">
        <f t="shared" si="1632"/>
        <v>10.20.8.188</v>
      </c>
      <c r="U4032" t="str">
        <f t="shared" si="1633"/>
        <v>AZRAD UMAR BIN SHAARI</v>
      </c>
      <c r="V4032" t="str">
        <f t="shared" si="1634"/>
        <v>FARHANA BINTI MUSTAPA</v>
      </c>
      <c r="W4032" t="str">
        <f t="shared" si="1635"/>
        <v>04-08-2020</v>
      </c>
      <c r="X4032" t="str">
        <f t="shared" si="1636"/>
        <v>RAZIMAH ANSAR AHMAD</v>
      </c>
      <c r="Y4032" t="str">
        <f t="shared" si="1637"/>
        <v>04-08-2020</v>
      </c>
      <c r="Z4032" t="str">
        <f>"COS10200804 5122"</f>
        <v>COS10200804 5122</v>
      </c>
    </row>
    <row r="4033" spans="1:26" x14ac:dyDescent="0.25">
      <c r="A4033" t="str">
        <f t="shared" si="1646"/>
        <v>04-08-2020 12:55:04</v>
      </c>
      <c r="B4033" t="str">
        <f>"0000806907"</f>
        <v>0000806907</v>
      </c>
      <c r="C4033" t="str">
        <f t="shared" si="1647"/>
        <v>0000806786</v>
      </c>
      <c r="D4033" t="str">
        <f t="shared" si="1625"/>
        <v>73185</v>
      </c>
      <c r="E4033" t="str">
        <f t="shared" si="1626"/>
        <v>KFH-OPERATIONS DEPARTMENT</v>
      </c>
      <c r="F4033" t="str">
        <f t="shared" si="1627"/>
        <v>IBG</v>
      </c>
      <c r="G4033" t="str">
        <f t="shared" si="1638"/>
        <v>Refund COSHARE 10</v>
      </c>
      <c r="H4033" s="2">
        <v>151</v>
      </c>
      <c r="I4033" t="str">
        <f>"LIZAWANA BINTI HALIDIN"</f>
        <v>LIZAWANA BINTI HALIDIN</v>
      </c>
      <c r="J4033" t="str">
        <f t="shared" si="1639"/>
        <v>MAYBANK / MAYBANK ISLAMIC</v>
      </c>
      <c r="K4033" t="str">
        <f>"152189095035"</f>
        <v>152189095035</v>
      </c>
      <c r="L4033" t="str">
        <f t="shared" si="1648"/>
        <v>04-08-2020</v>
      </c>
      <c r="M4033" t="str">
        <f t="shared" si="1648"/>
        <v>04-08-2020</v>
      </c>
      <c r="N4033" t="str">
        <f t="shared" si="1628"/>
        <v>001105018356</v>
      </c>
      <c r="O4033" t="str">
        <f t="shared" si="1629"/>
        <v>MYR</v>
      </c>
      <c r="P4033" t="str">
        <f t="shared" si="1649"/>
        <v>NIL</v>
      </c>
      <c r="Q4033" t="str">
        <f t="shared" si="1649"/>
        <v>NIL</v>
      </c>
      <c r="R4033" t="str">
        <f t="shared" si="1630"/>
        <v>Accepted</v>
      </c>
      <c r="S4033" t="str">
        <f t="shared" si="1631"/>
        <v>Approved</v>
      </c>
      <c r="T4033" t="str">
        <f t="shared" si="1632"/>
        <v>10.20.8.188</v>
      </c>
      <c r="U4033" t="str">
        <f t="shared" si="1633"/>
        <v>AZRAD UMAR BIN SHAARI</v>
      </c>
      <c r="V4033" t="str">
        <f t="shared" si="1634"/>
        <v>FARHANA BINTI MUSTAPA</v>
      </c>
      <c r="W4033" t="str">
        <f t="shared" si="1635"/>
        <v>04-08-2020</v>
      </c>
      <c r="X4033" t="str">
        <f t="shared" si="1636"/>
        <v>RAZIMAH ANSAR AHMAD</v>
      </c>
      <c r="Y4033" t="str">
        <f t="shared" si="1637"/>
        <v>04-08-2020</v>
      </c>
      <c r="Z4033" t="str">
        <f>"COS10200804 5121"</f>
        <v>COS10200804 5121</v>
      </c>
    </row>
    <row r="4034" spans="1:26" x14ac:dyDescent="0.25">
      <c r="A4034" t="str">
        <f t="shared" si="1646"/>
        <v>04-08-2020 12:55:04</v>
      </c>
      <c r="B4034" t="str">
        <f>"0000806906"</f>
        <v>0000806906</v>
      </c>
      <c r="C4034" t="str">
        <f t="shared" si="1647"/>
        <v>0000806786</v>
      </c>
      <c r="D4034" t="str">
        <f t="shared" si="1625"/>
        <v>73185</v>
      </c>
      <c r="E4034" t="str">
        <f t="shared" si="1626"/>
        <v>KFH-OPERATIONS DEPARTMENT</v>
      </c>
      <c r="F4034" t="str">
        <f t="shared" si="1627"/>
        <v>IBG</v>
      </c>
      <c r="G4034" t="str">
        <f t="shared" si="1638"/>
        <v>Refund COSHARE 10</v>
      </c>
      <c r="H4034" s="2">
        <v>51.75</v>
      </c>
      <c r="I4034" t="str">
        <f>"LIZA BINTI MD ISA"</f>
        <v>LIZA BINTI MD ISA</v>
      </c>
      <c r="J4034" t="str">
        <f t="shared" si="1639"/>
        <v>MAYBANK / MAYBANK ISLAMIC</v>
      </c>
      <c r="K4034" t="str">
        <f>"162021323034"</f>
        <v>162021323034</v>
      </c>
      <c r="L4034" t="str">
        <f t="shared" si="1648"/>
        <v>04-08-2020</v>
      </c>
      <c r="M4034" t="str">
        <f t="shared" si="1648"/>
        <v>04-08-2020</v>
      </c>
      <c r="N4034" t="str">
        <f t="shared" si="1628"/>
        <v>001105018356</v>
      </c>
      <c r="O4034" t="str">
        <f t="shared" si="1629"/>
        <v>MYR</v>
      </c>
      <c r="P4034" t="str">
        <f t="shared" si="1649"/>
        <v>NIL</v>
      </c>
      <c r="Q4034" t="str">
        <f t="shared" si="1649"/>
        <v>NIL</v>
      </c>
      <c r="R4034" t="str">
        <f t="shared" si="1630"/>
        <v>Accepted</v>
      </c>
      <c r="S4034" t="str">
        <f t="shared" si="1631"/>
        <v>Approved</v>
      </c>
      <c r="T4034" t="str">
        <f t="shared" si="1632"/>
        <v>10.20.8.188</v>
      </c>
      <c r="U4034" t="str">
        <f t="shared" si="1633"/>
        <v>AZRAD UMAR BIN SHAARI</v>
      </c>
      <c r="V4034" t="str">
        <f t="shared" si="1634"/>
        <v>FARHANA BINTI MUSTAPA</v>
      </c>
      <c r="W4034" t="str">
        <f t="shared" si="1635"/>
        <v>04-08-2020</v>
      </c>
      <c r="X4034" t="str">
        <f t="shared" si="1636"/>
        <v>RAZIMAH ANSAR AHMAD</v>
      </c>
      <c r="Y4034" t="str">
        <f t="shared" si="1637"/>
        <v>04-08-2020</v>
      </c>
      <c r="Z4034" t="str">
        <f>"COS10200804 5120"</f>
        <v>COS10200804 5120</v>
      </c>
    </row>
    <row r="4035" spans="1:26" x14ac:dyDescent="0.25">
      <c r="A4035" t="str">
        <f t="shared" si="1646"/>
        <v>04-08-2020 12:55:04</v>
      </c>
      <c r="B4035" t="str">
        <f>"0000806905"</f>
        <v>0000806905</v>
      </c>
      <c r="C4035" t="str">
        <f t="shared" si="1647"/>
        <v>0000806786</v>
      </c>
      <c r="D4035" t="str">
        <f t="shared" si="1625"/>
        <v>73185</v>
      </c>
      <c r="E4035" t="str">
        <f t="shared" si="1626"/>
        <v>KFH-OPERATIONS DEPARTMENT</v>
      </c>
      <c r="F4035" t="str">
        <f t="shared" si="1627"/>
        <v>IBG</v>
      </c>
      <c r="G4035" t="str">
        <f t="shared" si="1638"/>
        <v>Refund COSHARE 10</v>
      </c>
      <c r="H4035" s="2">
        <v>310.64999999999998</v>
      </c>
      <c r="I4035" t="str">
        <f>"LIZA BINTI LUMBIDAU"</f>
        <v>LIZA BINTI LUMBIDAU</v>
      </c>
      <c r="J4035" t="str">
        <f t="shared" si="1639"/>
        <v>MAYBANK / MAYBANK ISLAMIC</v>
      </c>
      <c r="K4035" t="str">
        <f>"110031476975"</f>
        <v>110031476975</v>
      </c>
      <c r="L4035" t="str">
        <f t="shared" si="1648"/>
        <v>04-08-2020</v>
      </c>
      <c r="M4035" t="str">
        <f t="shared" si="1648"/>
        <v>04-08-2020</v>
      </c>
      <c r="N4035" t="str">
        <f t="shared" si="1628"/>
        <v>001105018356</v>
      </c>
      <c r="O4035" t="str">
        <f t="shared" si="1629"/>
        <v>MYR</v>
      </c>
      <c r="P4035" t="str">
        <f t="shared" si="1649"/>
        <v>NIL</v>
      </c>
      <c r="Q4035" t="str">
        <f t="shared" si="1649"/>
        <v>NIL</v>
      </c>
      <c r="R4035" t="str">
        <f t="shared" si="1630"/>
        <v>Accepted</v>
      </c>
      <c r="S4035" t="str">
        <f t="shared" si="1631"/>
        <v>Approved</v>
      </c>
      <c r="T4035" t="str">
        <f t="shared" si="1632"/>
        <v>10.20.8.188</v>
      </c>
      <c r="U4035" t="str">
        <f t="shared" si="1633"/>
        <v>AZRAD UMAR BIN SHAARI</v>
      </c>
      <c r="V4035" t="str">
        <f t="shared" si="1634"/>
        <v>FARHANA BINTI MUSTAPA</v>
      </c>
      <c r="W4035" t="str">
        <f t="shared" si="1635"/>
        <v>04-08-2020</v>
      </c>
      <c r="X4035" t="str">
        <f t="shared" si="1636"/>
        <v>RAZIMAH ANSAR AHMAD</v>
      </c>
      <c r="Y4035" t="str">
        <f t="shared" si="1637"/>
        <v>04-08-2020</v>
      </c>
      <c r="Z4035" t="str">
        <f>"COS10200804 5119"</f>
        <v>COS10200804 5119</v>
      </c>
    </row>
    <row r="4036" spans="1:26" x14ac:dyDescent="0.25">
      <c r="A4036" t="str">
        <f t="shared" si="1646"/>
        <v>04-08-2020 12:55:04</v>
      </c>
      <c r="B4036" t="str">
        <f>"0000806904"</f>
        <v>0000806904</v>
      </c>
      <c r="C4036" t="str">
        <f t="shared" si="1647"/>
        <v>0000806786</v>
      </c>
      <c r="D4036" t="str">
        <f t="shared" si="1625"/>
        <v>73185</v>
      </c>
      <c r="E4036" t="str">
        <f t="shared" si="1626"/>
        <v>KFH-OPERATIONS DEPARTMENT</v>
      </c>
      <c r="F4036" t="str">
        <f t="shared" si="1627"/>
        <v>IBG</v>
      </c>
      <c r="G4036" t="str">
        <f t="shared" si="1638"/>
        <v>Refund COSHARE 10</v>
      </c>
      <c r="H4036" s="2">
        <v>304</v>
      </c>
      <c r="I4036" t="str">
        <f>"LIZA BINTI LUMBIDAU"</f>
        <v>LIZA BINTI LUMBIDAU</v>
      </c>
      <c r="J4036" t="str">
        <f t="shared" si="1639"/>
        <v>MAYBANK / MAYBANK ISLAMIC</v>
      </c>
      <c r="K4036" t="str">
        <f>"110031476975"</f>
        <v>110031476975</v>
      </c>
      <c r="L4036" t="str">
        <f t="shared" si="1648"/>
        <v>04-08-2020</v>
      </c>
      <c r="M4036" t="str">
        <f t="shared" si="1648"/>
        <v>04-08-2020</v>
      </c>
      <c r="N4036" t="str">
        <f t="shared" si="1628"/>
        <v>001105018356</v>
      </c>
      <c r="O4036" t="str">
        <f t="shared" si="1629"/>
        <v>MYR</v>
      </c>
      <c r="P4036" t="str">
        <f t="shared" si="1649"/>
        <v>NIL</v>
      </c>
      <c r="Q4036" t="str">
        <f t="shared" si="1649"/>
        <v>NIL</v>
      </c>
      <c r="R4036" t="str">
        <f t="shared" si="1630"/>
        <v>Accepted</v>
      </c>
      <c r="S4036" t="str">
        <f t="shared" si="1631"/>
        <v>Approved</v>
      </c>
      <c r="T4036" t="str">
        <f t="shared" si="1632"/>
        <v>10.20.8.188</v>
      </c>
      <c r="U4036" t="str">
        <f t="shared" si="1633"/>
        <v>AZRAD UMAR BIN SHAARI</v>
      </c>
      <c r="V4036" t="str">
        <f t="shared" si="1634"/>
        <v>FARHANA BINTI MUSTAPA</v>
      </c>
      <c r="W4036" t="str">
        <f t="shared" si="1635"/>
        <v>04-08-2020</v>
      </c>
      <c r="X4036" t="str">
        <f t="shared" si="1636"/>
        <v>RAZIMAH ANSAR AHMAD</v>
      </c>
      <c r="Y4036" t="str">
        <f t="shared" si="1637"/>
        <v>04-08-2020</v>
      </c>
      <c r="Z4036" t="str">
        <f>"COS10200804 5118"</f>
        <v>COS10200804 5118</v>
      </c>
    </row>
    <row r="4037" spans="1:26" x14ac:dyDescent="0.25">
      <c r="A4037" t="str">
        <f t="shared" si="1646"/>
        <v>04-08-2020 12:55:04</v>
      </c>
      <c r="B4037" t="str">
        <f>"0000806903"</f>
        <v>0000806903</v>
      </c>
      <c r="C4037" t="str">
        <f t="shared" si="1647"/>
        <v>0000806786</v>
      </c>
      <c r="D4037" t="str">
        <f t="shared" si="1625"/>
        <v>73185</v>
      </c>
      <c r="E4037" t="str">
        <f t="shared" si="1626"/>
        <v>KFH-OPERATIONS DEPARTMENT</v>
      </c>
      <c r="F4037" t="str">
        <f t="shared" si="1627"/>
        <v>IBG</v>
      </c>
      <c r="G4037" t="str">
        <f t="shared" si="1638"/>
        <v>Refund COSHARE 10</v>
      </c>
      <c r="H4037" s="2">
        <v>798.35</v>
      </c>
      <c r="I4037" t="str">
        <f>"LIZA BINTI ABDUL RAHMAN"</f>
        <v>LIZA BINTI ABDUL RAHMAN</v>
      </c>
      <c r="J4037" t="str">
        <f t="shared" si="1639"/>
        <v>MAYBANK / MAYBANK ISLAMIC</v>
      </c>
      <c r="K4037" t="str">
        <f>"151061497856"</f>
        <v>151061497856</v>
      </c>
      <c r="L4037" t="str">
        <f t="shared" si="1648"/>
        <v>04-08-2020</v>
      </c>
      <c r="M4037" t="str">
        <f t="shared" si="1648"/>
        <v>04-08-2020</v>
      </c>
      <c r="N4037" t="str">
        <f t="shared" si="1628"/>
        <v>001105018356</v>
      </c>
      <c r="O4037" t="str">
        <f t="shared" si="1629"/>
        <v>MYR</v>
      </c>
      <c r="P4037" t="str">
        <f t="shared" si="1649"/>
        <v>NIL</v>
      </c>
      <c r="Q4037" t="str">
        <f t="shared" si="1649"/>
        <v>NIL</v>
      </c>
      <c r="R4037" t="str">
        <f t="shared" si="1630"/>
        <v>Accepted</v>
      </c>
      <c r="S4037" t="str">
        <f t="shared" si="1631"/>
        <v>Approved</v>
      </c>
      <c r="T4037" t="str">
        <f t="shared" si="1632"/>
        <v>10.20.8.188</v>
      </c>
      <c r="U4037" t="str">
        <f t="shared" si="1633"/>
        <v>AZRAD UMAR BIN SHAARI</v>
      </c>
      <c r="V4037" t="str">
        <f t="shared" si="1634"/>
        <v>FARHANA BINTI MUSTAPA</v>
      </c>
      <c r="W4037" t="str">
        <f t="shared" si="1635"/>
        <v>04-08-2020</v>
      </c>
      <c r="X4037" t="str">
        <f t="shared" si="1636"/>
        <v>RAZIMAH ANSAR AHMAD</v>
      </c>
      <c r="Y4037" t="str">
        <f t="shared" si="1637"/>
        <v>04-08-2020</v>
      </c>
      <c r="Z4037" t="str">
        <f>"COS10200804 5117"</f>
        <v>COS10200804 5117</v>
      </c>
    </row>
    <row r="4038" spans="1:26" x14ac:dyDescent="0.25">
      <c r="A4038" t="str">
        <f t="shared" si="1646"/>
        <v>04-08-2020 12:55:04</v>
      </c>
      <c r="B4038" t="str">
        <f>"0000806902"</f>
        <v>0000806902</v>
      </c>
      <c r="C4038" t="str">
        <f t="shared" si="1647"/>
        <v>0000806786</v>
      </c>
      <c r="D4038" t="str">
        <f t="shared" si="1625"/>
        <v>73185</v>
      </c>
      <c r="E4038" t="str">
        <f t="shared" si="1626"/>
        <v>KFH-OPERATIONS DEPARTMENT</v>
      </c>
      <c r="F4038" t="str">
        <f t="shared" si="1627"/>
        <v>IBG</v>
      </c>
      <c r="G4038" t="str">
        <f t="shared" si="1638"/>
        <v>Refund COSHARE 10</v>
      </c>
      <c r="H4038" s="2">
        <v>612.85</v>
      </c>
      <c r="I4038" t="str">
        <f>"LIU CHIN HEE"</f>
        <v>LIU CHIN HEE</v>
      </c>
      <c r="J4038" t="str">
        <f t="shared" si="1639"/>
        <v>MAYBANK / MAYBANK ISLAMIC</v>
      </c>
      <c r="K4038" t="str">
        <f>"108057077243"</f>
        <v>108057077243</v>
      </c>
      <c r="L4038" t="str">
        <f t="shared" si="1648"/>
        <v>04-08-2020</v>
      </c>
      <c r="M4038" t="str">
        <f t="shared" si="1648"/>
        <v>04-08-2020</v>
      </c>
      <c r="N4038" t="str">
        <f t="shared" si="1628"/>
        <v>001105018356</v>
      </c>
      <c r="O4038" t="str">
        <f t="shared" si="1629"/>
        <v>MYR</v>
      </c>
      <c r="P4038" t="str">
        <f t="shared" si="1649"/>
        <v>NIL</v>
      </c>
      <c r="Q4038" t="str">
        <f t="shared" si="1649"/>
        <v>NIL</v>
      </c>
      <c r="R4038" t="str">
        <f t="shared" si="1630"/>
        <v>Accepted</v>
      </c>
      <c r="S4038" t="str">
        <f t="shared" si="1631"/>
        <v>Approved</v>
      </c>
      <c r="T4038" t="str">
        <f t="shared" si="1632"/>
        <v>10.20.8.188</v>
      </c>
      <c r="U4038" t="str">
        <f t="shared" si="1633"/>
        <v>AZRAD UMAR BIN SHAARI</v>
      </c>
      <c r="V4038" t="str">
        <f t="shared" si="1634"/>
        <v>FARHANA BINTI MUSTAPA</v>
      </c>
      <c r="W4038" t="str">
        <f t="shared" si="1635"/>
        <v>04-08-2020</v>
      </c>
      <c r="X4038" t="str">
        <f t="shared" si="1636"/>
        <v>RAZIMAH ANSAR AHMAD</v>
      </c>
      <c r="Y4038" t="str">
        <f t="shared" si="1637"/>
        <v>04-08-2020</v>
      </c>
      <c r="Z4038" t="str">
        <f>"COS10200804 5116"</f>
        <v>COS10200804 5116</v>
      </c>
    </row>
    <row r="4039" spans="1:26" x14ac:dyDescent="0.25">
      <c r="A4039" t="str">
        <f t="shared" si="1646"/>
        <v>04-08-2020 12:55:04</v>
      </c>
      <c r="B4039" t="str">
        <f>"0000806901"</f>
        <v>0000806901</v>
      </c>
      <c r="C4039" t="str">
        <f t="shared" si="1647"/>
        <v>0000806786</v>
      </c>
      <c r="D4039" t="str">
        <f t="shared" ref="D4039:D4102" si="1650">"73185"</f>
        <v>73185</v>
      </c>
      <c r="E4039" t="str">
        <f t="shared" ref="E4039:E4102" si="1651">"KFH-OPERATIONS DEPARTMENT"</f>
        <v>KFH-OPERATIONS DEPARTMENT</v>
      </c>
      <c r="F4039" t="str">
        <f t="shared" ref="F4039:F4102" si="1652">"IBG"</f>
        <v>IBG</v>
      </c>
      <c r="G4039" t="str">
        <f t="shared" si="1638"/>
        <v>Refund COSHARE 10</v>
      </c>
      <c r="H4039" s="2">
        <v>946</v>
      </c>
      <c r="I4039" t="str">
        <f>"LISTER JONIMOL"</f>
        <v>LISTER JONIMOL</v>
      </c>
      <c r="J4039" t="str">
        <f t="shared" si="1639"/>
        <v>MAYBANK / MAYBANK ISLAMIC</v>
      </c>
      <c r="K4039" t="str">
        <f>"110144032019"</f>
        <v>110144032019</v>
      </c>
      <c r="L4039" t="str">
        <f t="shared" si="1648"/>
        <v>04-08-2020</v>
      </c>
      <c r="M4039" t="str">
        <f t="shared" si="1648"/>
        <v>04-08-2020</v>
      </c>
      <c r="N4039" t="str">
        <f t="shared" ref="N4039:N4102" si="1653">"001105018356"</f>
        <v>001105018356</v>
      </c>
      <c r="O4039" t="str">
        <f t="shared" ref="O4039:O4102" si="1654">"MYR"</f>
        <v>MYR</v>
      </c>
      <c r="P4039" t="str">
        <f t="shared" si="1649"/>
        <v>NIL</v>
      </c>
      <c r="Q4039" t="str">
        <f t="shared" si="1649"/>
        <v>NIL</v>
      </c>
      <c r="R4039" t="str">
        <f t="shared" ref="R4039:R4102" si="1655">"Accepted"</f>
        <v>Accepted</v>
      </c>
      <c r="S4039" t="str">
        <f t="shared" ref="S4039:S4102" si="1656">"Approved"</f>
        <v>Approved</v>
      </c>
      <c r="T4039" t="str">
        <f t="shared" ref="T4039:T4102" si="1657">"10.20.8.188"</f>
        <v>10.20.8.188</v>
      </c>
      <c r="U4039" t="str">
        <f t="shared" ref="U4039:U4102" si="1658">"AZRAD UMAR BIN SHAARI"</f>
        <v>AZRAD UMAR BIN SHAARI</v>
      </c>
      <c r="V4039" t="str">
        <f t="shared" ref="V4039:V4102" si="1659">"FARHANA BINTI MUSTAPA"</f>
        <v>FARHANA BINTI MUSTAPA</v>
      </c>
      <c r="W4039" t="str">
        <f t="shared" ref="W4039:W4102" si="1660">"04-08-2020"</f>
        <v>04-08-2020</v>
      </c>
      <c r="X4039" t="str">
        <f t="shared" ref="X4039:X4102" si="1661">"RAZIMAH ANSAR AHMAD"</f>
        <v>RAZIMAH ANSAR AHMAD</v>
      </c>
      <c r="Y4039" t="str">
        <f t="shared" ref="Y4039:Y4102" si="1662">"04-08-2020"</f>
        <v>04-08-2020</v>
      </c>
      <c r="Z4039" t="str">
        <f>"COS10200804 5115"</f>
        <v>COS10200804 5115</v>
      </c>
    </row>
    <row r="4040" spans="1:26" x14ac:dyDescent="0.25">
      <c r="A4040" t="str">
        <f t="shared" si="1646"/>
        <v>04-08-2020 12:55:04</v>
      </c>
      <c r="B4040" t="str">
        <f>"0000806900"</f>
        <v>0000806900</v>
      </c>
      <c r="C4040" t="str">
        <f t="shared" si="1647"/>
        <v>0000806786</v>
      </c>
      <c r="D4040" t="str">
        <f t="shared" si="1650"/>
        <v>73185</v>
      </c>
      <c r="E4040" t="str">
        <f t="shared" si="1651"/>
        <v>KFH-OPERATIONS DEPARTMENT</v>
      </c>
      <c r="F4040" t="str">
        <f t="shared" si="1652"/>
        <v>IBG</v>
      </c>
      <c r="G4040" t="str">
        <f t="shared" si="1638"/>
        <v>Refund COSHARE 10</v>
      </c>
      <c r="H4040" s="2">
        <v>1091.3499999999999</v>
      </c>
      <c r="I4040" t="str">
        <f>"LISA YAPP SIAW FUNG"</f>
        <v>LISA YAPP SIAW FUNG</v>
      </c>
      <c r="J4040" t="str">
        <f t="shared" si="1639"/>
        <v>MAYBANK / MAYBANK ISLAMIC</v>
      </c>
      <c r="K4040" t="str">
        <f>"110023054515"</f>
        <v>110023054515</v>
      </c>
      <c r="L4040" t="str">
        <f t="shared" si="1648"/>
        <v>04-08-2020</v>
      </c>
      <c r="M4040" t="str">
        <f t="shared" si="1648"/>
        <v>04-08-2020</v>
      </c>
      <c r="N4040" t="str">
        <f t="shared" si="1653"/>
        <v>001105018356</v>
      </c>
      <c r="O4040" t="str">
        <f t="shared" si="1654"/>
        <v>MYR</v>
      </c>
      <c r="P4040" t="str">
        <f t="shared" si="1649"/>
        <v>NIL</v>
      </c>
      <c r="Q4040" t="str">
        <f t="shared" si="1649"/>
        <v>NIL</v>
      </c>
      <c r="R4040" t="str">
        <f t="shared" si="1655"/>
        <v>Accepted</v>
      </c>
      <c r="S4040" t="str">
        <f t="shared" si="1656"/>
        <v>Approved</v>
      </c>
      <c r="T4040" t="str">
        <f t="shared" si="1657"/>
        <v>10.20.8.188</v>
      </c>
      <c r="U4040" t="str">
        <f t="shared" si="1658"/>
        <v>AZRAD UMAR BIN SHAARI</v>
      </c>
      <c r="V4040" t="str">
        <f t="shared" si="1659"/>
        <v>FARHANA BINTI MUSTAPA</v>
      </c>
      <c r="W4040" t="str">
        <f t="shared" si="1660"/>
        <v>04-08-2020</v>
      </c>
      <c r="X4040" t="str">
        <f t="shared" si="1661"/>
        <v>RAZIMAH ANSAR AHMAD</v>
      </c>
      <c r="Y4040" t="str">
        <f t="shared" si="1662"/>
        <v>04-08-2020</v>
      </c>
      <c r="Z4040" t="str">
        <f>"COS10200804 5114"</f>
        <v>COS10200804 5114</v>
      </c>
    </row>
    <row r="4041" spans="1:26" x14ac:dyDescent="0.25">
      <c r="A4041" t="str">
        <f t="shared" si="1646"/>
        <v>04-08-2020 12:55:04</v>
      </c>
      <c r="B4041" t="str">
        <f>"0000806899"</f>
        <v>0000806899</v>
      </c>
      <c r="C4041" t="str">
        <f t="shared" si="1647"/>
        <v>0000806786</v>
      </c>
      <c r="D4041" t="str">
        <f t="shared" si="1650"/>
        <v>73185</v>
      </c>
      <c r="E4041" t="str">
        <f t="shared" si="1651"/>
        <v>KFH-OPERATIONS DEPARTMENT</v>
      </c>
      <c r="F4041" t="str">
        <f t="shared" si="1652"/>
        <v>IBG</v>
      </c>
      <c r="G4041" t="str">
        <f t="shared" si="1638"/>
        <v>Refund COSHARE 10</v>
      </c>
      <c r="H4041" s="2">
        <v>226.7</v>
      </c>
      <c r="I4041" t="str">
        <f>"LISA BINTI AG YAHYA"</f>
        <v>LISA BINTI AG YAHYA</v>
      </c>
      <c r="J4041" t="str">
        <f t="shared" si="1639"/>
        <v>MAYBANK / MAYBANK ISLAMIC</v>
      </c>
      <c r="K4041" t="str">
        <f>"160090281034"</f>
        <v>160090281034</v>
      </c>
      <c r="L4041" t="str">
        <f t="shared" si="1648"/>
        <v>04-08-2020</v>
      </c>
      <c r="M4041" t="str">
        <f t="shared" si="1648"/>
        <v>04-08-2020</v>
      </c>
      <c r="N4041" t="str">
        <f t="shared" si="1653"/>
        <v>001105018356</v>
      </c>
      <c r="O4041" t="str">
        <f t="shared" si="1654"/>
        <v>MYR</v>
      </c>
      <c r="P4041" t="str">
        <f t="shared" si="1649"/>
        <v>NIL</v>
      </c>
      <c r="Q4041" t="str">
        <f t="shared" si="1649"/>
        <v>NIL</v>
      </c>
      <c r="R4041" t="str">
        <f t="shared" si="1655"/>
        <v>Accepted</v>
      </c>
      <c r="S4041" t="str">
        <f t="shared" si="1656"/>
        <v>Approved</v>
      </c>
      <c r="T4041" t="str">
        <f t="shared" si="1657"/>
        <v>10.20.8.188</v>
      </c>
      <c r="U4041" t="str">
        <f t="shared" si="1658"/>
        <v>AZRAD UMAR BIN SHAARI</v>
      </c>
      <c r="V4041" t="str">
        <f t="shared" si="1659"/>
        <v>FARHANA BINTI MUSTAPA</v>
      </c>
      <c r="W4041" t="str">
        <f t="shared" si="1660"/>
        <v>04-08-2020</v>
      </c>
      <c r="X4041" t="str">
        <f t="shared" si="1661"/>
        <v>RAZIMAH ANSAR AHMAD</v>
      </c>
      <c r="Y4041" t="str">
        <f t="shared" si="1662"/>
        <v>04-08-2020</v>
      </c>
      <c r="Z4041" t="str">
        <f>"COS10200804 5113"</f>
        <v>COS10200804 5113</v>
      </c>
    </row>
    <row r="4042" spans="1:26" x14ac:dyDescent="0.25">
      <c r="A4042" t="str">
        <f t="shared" si="1646"/>
        <v>04-08-2020 12:55:04</v>
      </c>
      <c r="B4042" t="str">
        <f>"0000806898"</f>
        <v>0000806898</v>
      </c>
      <c r="C4042" t="str">
        <f t="shared" si="1647"/>
        <v>0000806786</v>
      </c>
      <c r="D4042" t="str">
        <f t="shared" si="1650"/>
        <v>73185</v>
      </c>
      <c r="E4042" t="str">
        <f t="shared" si="1651"/>
        <v>KFH-OPERATIONS DEPARTMENT</v>
      </c>
      <c r="F4042" t="str">
        <f t="shared" si="1652"/>
        <v>IBG</v>
      </c>
      <c r="G4042" t="str">
        <f t="shared" si="1638"/>
        <v>Refund COSHARE 10</v>
      </c>
      <c r="H4042" s="2">
        <v>251.85</v>
      </c>
      <c r="I4042" t="str">
        <f>"LISA ANAK GANI"</f>
        <v>LISA ANAK GANI</v>
      </c>
      <c r="J4042" t="str">
        <f t="shared" si="1639"/>
        <v>MAYBANK / MAYBANK ISLAMIC</v>
      </c>
      <c r="K4042" t="str">
        <f>"114160948988"</f>
        <v>114160948988</v>
      </c>
      <c r="L4042" t="str">
        <f t="shared" si="1648"/>
        <v>04-08-2020</v>
      </c>
      <c r="M4042" t="str">
        <f t="shared" si="1648"/>
        <v>04-08-2020</v>
      </c>
      <c r="N4042" t="str">
        <f t="shared" si="1653"/>
        <v>001105018356</v>
      </c>
      <c r="O4042" t="str">
        <f t="shared" si="1654"/>
        <v>MYR</v>
      </c>
      <c r="P4042" t="str">
        <f t="shared" si="1649"/>
        <v>NIL</v>
      </c>
      <c r="Q4042" t="str">
        <f t="shared" si="1649"/>
        <v>NIL</v>
      </c>
      <c r="R4042" t="str">
        <f t="shared" si="1655"/>
        <v>Accepted</v>
      </c>
      <c r="S4042" t="str">
        <f t="shared" si="1656"/>
        <v>Approved</v>
      </c>
      <c r="T4042" t="str">
        <f t="shared" si="1657"/>
        <v>10.20.8.188</v>
      </c>
      <c r="U4042" t="str">
        <f t="shared" si="1658"/>
        <v>AZRAD UMAR BIN SHAARI</v>
      </c>
      <c r="V4042" t="str">
        <f t="shared" si="1659"/>
        <v>FARHANA BINTI MUSTAPA</v>
      </c>
      <c r="W4042" t="str">
        <f t="shared" si="1660"/>
        <v>04-08-2020</v>
      </c>
      <c r="X4042" t="str">
        <f t="shared" si="1661"/>
        <v>RAZIMAH ANSAR AHMAD</v>
      </c>
      <c r="Y4042" t="str">
        <f t="shared" si="1662"/>
        <v>04-08-2020</v>
      </c>
      <c r="Z4042" t="str">
        <f>"COS10200804 5112"</f>
        <v>COS10200804 5112</v>
      </c>
    </row>
    <row r="4043" spans="1:26" x14ac:dyDescent="0.25">
      <c r="A4043" t="str">
        <f t="shared" si="1646"/>
        <v>04-08-2020 12:55:04</v>
      </c>
      <c r="B4043" t="str">
        <f>"0000806897"</f>
        <v>0000806897</v>
      </c>
      <c r="C4043" t="str">
        <f t="shared" si="1647"/>
        <v>0000806786</v>
      </c>
      <c r="D4043" t="str">
        <f t="shared" si="1650"/>
        <v>73185</v>
      </c>
      <c r="E4043" t="str">
        <f t="shared" si="1651"/>
        <v>KFH-OPERATIONS DEPARTMENT</v>
      </c>
      <c r="F4043" t="str">
        <f t="shared" si="1652"/>
        <v>IBG</v>
      </c>
      <c r="G4043" t="str">
        <f t="shared" si="1638"/>
        <v>Refund COSHARE 10</v>
      </c>
      <c r="H4043" s="2">
        <v>965.45</v>
      </c>
      <c r="I4043" t="str">
        <f>"LIP KEN YUNG"</f>
        <v>LIP KEN YUNG</v>
      </c>
      <c r="J4043" t="str">
        <f t="shared" si="1639"/>
        <v>MAYBANK / MAYBANK ISLAMIC</v>
      </c>
      <c r="K4043" t="str">
        <f>"110014101758"</f>
        <v>110014101758</v>
      </c>
      <c r="L4043" t="str">
        <f t="shared" si="1648"/>
        <v>04-08-2020</v>
      </c>
      <c r="M4043" t="str">
        <f t="shared" si="1648"/>
        <v>04-08-2020</v>
      </c>
      <c r="N4043" t="str">
        <f t="shared" si="1653"/>
        <v>001105018356</v>
      </c>
      <c r="O4043" t="str">
        <f t="shared" si="1654"/>
        <v>MYR</v>
      </c>
      <c r="P4043" t="str">
        <f t="shared" si="1649"/>
        <v>NIL</v>
      </c>
      <c r="Q4043" t="str">
        <f t="shared" si="1649"/>
        <v>NIL</v>
      </c>
      <c r="R4043" t="str">
        <f t="shared" si="1655"/>
        <v>Accepted</v>
      </c>
      <c r="S4043" t="str">
        <f t="shared" si="1656"/>
        <v>Approved</v>
      </c>
      <c r="T4043" t="str">
        <f t="shared" si="1657"/>
        <v>10.20.8.188</v>
      </c>
      <c r="U4043" t="str">
        <f t="shared" si="1658"/>
        <v>AZRAD UMAR BIN SHAARI</v>
      </c>
      <c r="V4043" t="str">
        <f t="shared" si="1659"/>
        <v>FARHANA BINTI MUSTAPA</v>
      </c>
      <c r="W4043" t="str">
        <f t="shared" si="1660"/>
        <v>04-08-2020</v>
      </c>
      <c r="X4043" t="str">
        <f t="shared" si="1661"/>
        <v>RAZIMAH ANSAR AHMAD</v>
      </c>
      <c r="Y4043" t="str">
        <f t="shared" si="1662"/>
        <v>04-08-2020</v>
      </c>
      <c r="Z4043" t="str">
        <f>"COS10200804 5111"</f>
        <v>COS10200804 5111</v>
      </c>
    </row>
    <row r="4044" spans="1:26" x14ac:dyDescent="0.25">
      <c r="A4044" t="str">
        <f t="shared" si="1646"/>
        <v>04-08-2020 12:55:04</v>
      </c>
      <c r="B4044" t="str">
        <f>"0000806896"</f>
        <v>0000806896</v>
      </c>
      <c r="C4044" t="str">
        <f t="shared" si="1647"/>
        <v>0000806786</v>
      </c>
      <c r="D4044" t="str">
        <f t="shared" si="1650"/>
        <v>73185</v>
      </c>
      <c r="E4044" t="str">
        <f t="shared" si="1651"/>
        <v>KFH-OPERATIONS DEPARTMENT</v>
      </c>
      <c r="F4044" t="str">
        <f t="shared" si="1652"/>
        <v>IBG</v>
      </c>
      <c r="G4044" t="str">
        <f t="shared" ref="G4044:G4107" si="1663">"Refund COSHARE 10"</f>
        <v>Refund COSHARE 10</v>
      </c>
      <c r="H4044" s="2">
        <v>361</v>
      </c>
      <c r="I4044" t="str">
        <f>"LING HOCK LEE"</f>
        <v>LING HOCK LEE</v>
      </c>
      <c r="J4044" t="str">
        <f t="shared" si="1639"/>
        <v>MAYBANK / MAYBANK ISLAMIC</v>
      </c>
      <c r="K4044" t="str">
        <f>"111029380175"</f>
        <v>111029380175</v>
      </c>
      <c r="L4044" t="str">
        <f t="shared" si="1648"/>
        <v>04-08-2020</v>
      </c>
      <c r="M4044" t="str">
        <f t="shared" si="1648"/>
        <v>04-08-2020</v>
      </c>
      <c r="N4044" t="str">
        <f t="shared" si="1653"/>
        <v>001105018356</v>
      </c>
      <c r="O4044" t="str">
        <f t="shared" si="1654"/>
        <v>MYR</v>
      </c>
      <c r="P4044" t="str">
        <f t="shared" si="1649"/>
        <v>NIL</v>
      </c>
      <c r="Q4044" t="str">
        <f t="shared" si="1649"/>
        <v>NIL</v>
      </c>
      <c r="R4044" t="str">
        <f t="shared" si="1655"/>
        <v>Accepted</v>
      </c>
      <c r="S4044" t="str">
        <f t="shared" si="1656"/>
        <v>Approved</v>
      </c>
      <c r="T4044" t="str">
        <f t="shared" si="1657"/>
        <v>10.20.8.188</v>
      </c>
      <c r="U4044" t="str">
        <f t="shared" si="1658"/>
        <v>AZRAD UMAR BIN SHAARI</v>
      </c>
      <c r="V4044" t="str">
        <f t="shared" si="1659"/>
        <v>FARHANA BINTI MUSTAPA</v>
      </c>
      <c r="W4044" t="str">
        <f t="shared" si="1660"/>
        <v>04-08-2020</v>
      </c>
      <c r="X4044" t="str">
        <f t="shared" si="1661"/>
        <v>RAZIMAH ANSAR AHMAD</v>
      </c>
      <c r="Y4044" t="str">
        <f t="shared" si="1662"/>
        <v>04-08-2020</v>
      </c>
      <c r="Z4044" t="str">
        <f>"COS10200804 5110"</f>
        <v>COS10200804 5110</v>
      </c>
    </row>
    <row r="4045" spans="1:26" x14ac:dyDescent="0.25">
      <c r="A4045" t="str">
        <f t="shared" si="1646"/>
        <v>04-08-2020 12:55:04</v>
      </c>
      <c r="B4045" t="str">
        <f>"0000806895"</f>
        <v>0000806895</v>
      </c>
      <c r="C4045" t="str">
        <f t="shared" si="1647"/>
        <v>0000806786</v>
      </c>
      <c r="D4045" t="str">
        <f t="shared" si="1650"/>
        <v>73185</v>
      </c>
      <c r="E4045" t="str">
        <f t="shared" si="1651"/>
        <v>KFH-OPERATIONS DEPARTMENT</v>
      </c>
      <c r="F4045" t="str">
        <f t="shared" si="1652"/>
        <v>IBG</v>
      </c>
      <c r="G4045" t="str">
        <f t="shared" si="1663"/>
        <v>Refund COSHARE 10</v>
      </c>
      <c r="H4045" s="2">
        <v>1024.2</v>
      </c>
      <c r="I4045" t="str">
        <f>"LINDA GRACE AP NARANNASAMY"</f>
        <v>LINDA GRACE AP NARANNASAMY</v>
      </c>
      <c r="J4045" t="str">
        <f t="shared" si="1639"/>
        <v>MAYBANK / MAYBANK ISLAMIC</v>
      </c>
      <c r="K4045" t="str">
        <f>"108226065677"</f>
        <v>108226065677</v>
      </c>
      <c r="L4045" t="str">
        <f t="shared" si="1648"/>
        <v>04-08-2020</v>
      </c>
      <c r="M4045" t="str">
        <f t="shared" si="1648"/>
        <v>04-08-2020</v>
      </c>
      <c r="N4045" t="str">
        <f t="shared" si="1653"/>
        <v>001105018356</v>
      </c>
      <c r="O4045" t="str">
        <f t="shared" si="1654"/>
        <v>MYR</v>
      </c>
      <c r="P4045" t="str">
        <f t="shared" si="1649"/>
        <v>NIL</v>
      </c>
      <c r="Q4045" t="str">
        <f t="shared" si="1649"/>
        <v>NIL</v>
      </c>
      <c r="R4045" t="str">
        <f t="shared" si="1655"/>
        <v>Accepted</v>
      </c>
      <c r="S4045" t="str">
        <f t="shared" si="1656"/>
        <v>Approved</v>
      </c>
      <c r="T4045" t="str">
        <f t="shared" si="1657"/>
        <v>10.20.8.188</v>
      </c>
      <c r="U4045" t="str">
        <f t="shared" si="1658"/>
        <v>AZRAD UMAR BIN SHAARI</v>
      </c>
      <c r="V4045" t="str">
        <f t="shared" si="1659"/>
        <v>FARHANA BINTI MUSTAPA</v>
      </c>
      <c r="W4045" t="str">
        <f t="shared" si="1660"/>
        <v>04-08-2020</v>
      </c>
      <c r="X4045" t="str">
        <f t="shared" si="1661"/>
        <v>RAZIMAH ANSAR AHMAD</v>
      </c>
      <c r="Y4045" t="str">
        <f t="shared" si="1662"/>
        <v>04-08-2020</v>
      </c>
      <c r="Z4045" t="str">
        <f>"COS10200804 5109"</f>
        <v>COS10200804 5109</v>
      </c>
    </row>
    <row r="4046" spans="1:26" x14ac:dyDescent="0.25">
      <c r="A4046" t="str">
        <f t="shared" si="1646"/>
        <v>04-08-2020 12:55:04</v>
      </c>
      <c r="B4046" t="str">
        <f>"0000806894"</f>
        <v>0000806894</v>
      </c>
      <c r="C4046" t="str">
        <f t="shared" si="1647"/>
        <v>0000806786</v>
      </c>
      <c r="D4046" t="str">
        <f t="shared" si="1650"/>
        <v>73185</v>
      </c>
      <c r="E4046" t="str">
        <f t="shared" si="1651"/>
        <v>KFH-OPERATIONS DEPARTMENT</v>
      </c>
      <c r="F4046" t="str">
        <f t="shared" si="1652"/>
        <v>IBG</v>
      </c>
      <c r="G4046" t="str">
        <f t="shared" si="1663"/>
        <v>Refund COSHARE 10</v>
      </c>
      <c r="H4046" s="2">
        <v>1154.8</v>
      </c>
      <c r="I4046" t="str">
        <f>"LINA BINTI SHAMRI"</f>
        <v>LINA BINTI SHAMRI</v>
      </c>
      <c r="J4046" t="str">
        <f t="shared" si="1639"/>
        <v>MAYBANK / MAYBANK ISLAMIC</v>
      </c>
      <c r="K4046" t="str">
        <f>"164146470119"</f>
        <v>164146470119</v>
      </c>
      <c r="L4046" t="str">
        <f t="shared" si="1648"/>
        <v>04-08-2020</v>
      </c>
      <c r="M4046" t="str">
        <f t="shared" si="1648"/>
        <v>04-08-2020</v>
      </c>
      <c r="N4046" t="str">
        <f t="shared" si="1653"/>
        <v>001105018356</v>
      </c>
      <c r="O4046" t="str">
        <f t="shared" si="1654"/>
        <v>MYR</v>
      </c>
      <c r="P4046" t="str">
        <f t="shared" si="1649"/>
        <v>NIL</v>
      </c>
      <c r="Q4046" t="str">
        <f t="shared" si="1649"/>
        <v>NIL</v>
      </c>
      <c r="R4046" t="str">
        <f t="shared" si="1655"/>
        <v>Accepted</v>
      </c>
      <c r="S4046" t="str">
        <f t="shared" si="1656"/>
        <v>Approved</v>
      </c>
      <c r="T4046" t="str">
        <f t="shared" si="1657"/>
        <v>10.20.8.188</v>
      </c>
      <c r="U4046" t="str">
        <f t="shared" si="1658"/>
        <v>AZRAD UMAR BIN SHAARI</v>
      </c>
      <c r="V4046" t="str">
        <f t="shared" si="1659"/>
        <v>FARHANA BINTI MUSTAPA</v>
      </c>
      <c r="W4046" t="str">
        <f t="shared" si="1660"/>
        <v>04-08-2020</v>
      </c>
      <c r="X4046" t="str">
        <f t="shared" si="1661"/>
        <v>RAZIMAH ANSAR AHMAD</v>
      </c>
      <c r="Y4046" t="str">
        <f t="shared" si="1662"/>
        <v>04-08-2020</v>
      </c>
      <c r="Z4046" t="str">
        <f>"COS10200804 5108"</f>
        <v>COS10200804 5108</v>
      </c>
    </row>
    <row r="4047" spans="1:26" x14ac:dyDescent="0.25">
      <c r="A4047" t="str">
        <f t="shared" si="1646"/>
        <v>04-08-2020 12:55:04</v>
      </c>
      <c r="B4047" t="str">
        <f>"0000806893"</f>
        <v>0000806893</v>
      </c>
      <c r="C4047" t="str">
        <f t="shared" si="1647"/>
        <v>0000806786</v>
      </c>
      <c r="D4047" t="str">
        <f t="shared" si="1650"/>
        <v>73185</v>
      </c>
      <c r="E4047" t="str">
        <f t="shared" si="1651"/>
        <v>KFH-OPERATIONS DEPARTMENT</v>
      </c>
      <c r="F4047" t="str">
        <f t="shared" si="1652"/>
        <v>IBG</v>
      </c>
      <c r="G4047" t="str">
        <f t="shared" si="1663"/>
        <v>Refund COSHARE 10</v>
      </c>
      <c r="H4047" s="2">
        <v>109</v>
      </c>
      <c r="I4047" t="str">
        <f>"LIM YONG YEE"</f>
        <v>LIM YONG YEE</v>
      </c>
      <c r="J4047" t="str">
        <f t="shared" si="1639"/>
        <v>MAYBANK / MAYBANK ISLAMIC</v>
      </c>
      <c r="K4047" t="str">
        <f>"104013110723"</f>
        <v>104013110723</v>
      </c>
      <c r="L4047" t="str">
        <f t="shared" ref="L4047:M4066" si="1664">"04-08-2020"</f>
        <v>04-08-2020</v>
      </c>
      <c r="M4047" t="str">
        <f t="shared" si="1664"/>
        <v>04-08-2020</v>
      </c>
      <c r="N4047" t="str">
        <f t="shared" si="1653"/>
        <v>001105018356</v>
      </c>
      <c r="O4047" t="str">
        <f t="shared" si="1654"/>
        <v>MYR</v>
      </c>
      <c r="P4047" t="str">
        <f t="shared" ref="P4047:Q4066" si="1665">"NIL"</f>
        <v>NIL</v>
      </c>
      <c r="Q4047" t="str">
        <f t="shared" si="1665"/>
        <v>NIL</v>
      </c>
      <c r="R4047" t="str">
        <f t="shared" si="1655"/>
        <v>Accepted</v>
      </c>
      <c r="S4047" t="str">
        <f t="shared" si="1656"/>
        <v>Approved</v>
      </c>
      <c r="T4047" t="str">
        <f t="shared" si="1657"/>
        <v>10.20.8.188</v>
      </c>
      <c r="U4047" t="str">
        <f t="shared" si="1658"/>
        <v>AZRAD UMAR BIN SHAARI</v>
      </c>
      <c r="V4047" t="str">
        <f t="shared" si="1659"/>
        <v>FARHANA BINTI MUSTAPA</v>
      </c>
      <c r="W4047" t="str">
        <f t="shared" si="1660"/>
        <v>04-08-2020</v>
      </c>
      <c r="X4047" t="str">
        <f t="shared" si="1661"/>
        <v>RAZIMAH ANSAR AHMAD</v>
      </c>
      <c r="Y4047" t="str">
        <f t="shared" si="1662"/>
        <v>04-08-2020</v>
      </c>
      <c r="Z4047" t="str">
        <f>"COS10200804 5107"</f>
        <v>COS10200804 5107</v>
      </c>
    </row>
    <row r="4048" spans="1:26" x14ac:dyDescent="0.25">
      <c r="A4048" t="str">
        <f t="shared" si="1646"/>
        <v>04-08-2020 12:55:04</v>
      </c>
      <c r="B4048" t="str">
        <f>"0000806892"</f>
        <v>0000806892</v>
      </c>
      <c r="C4048" t="str">
        <f t="shared" si="1647"/>
        <v>0000806786</v>
      </c>
      <c r="D4048" t="str">
        <f t="shared" si="1650"/>
        <v>73185</v>
      </c>
      <c r="E4048" t="str">
        <f t="shared" si="1651"/>
        <v>KFH-OPERATIONS DEPARTMENT</v>
      </c>
      <c r="F4048" t="str">
        <f t="shared" si="1652"/>
        <v>IBG</v>
      </c>
      <c r="G4048" t="str">
        <f t="shared" si="1663"/>
        <v>Refund COSHARE 10</v>
      </c>
      <c r="H4048" s="2">
        <v>1175.3</v>
      </c>
      <c r="I4048" t="str">
        <f>"LIM SIU WAN"</f>
        <v>LIM SIU WAN</v>
      </c>
      <c r="J4048" t="str">
        <f t="shared" si="1639"/>
        <v>MAYBANK / MAYBANK ISLAMIC</v>
      </c>
      <c r="K4048" t="str">
        <f>"114245084900"</f>
        <v>114245084900</v>
      </c>
      <c r="L4048" t="str">
        <f t="shared" si="1664"/>
        <v>04-08-2020</v>
      </c>
      <c r="M4048" t="str">
        <f t="shared" si="1664"/>
        <v>04-08-2020</v>
      </c>
      <c r="N4048" t="str">
        <f t="shared" si="1653"/>
        <v>001105018356</v>
      </c>
      <c r="O4048" t="str">
        <f t="shared" si="1654"/>
        <v>MYR</v>
      </c>
      <c r="P4048" t="str">
        <f t="shared" si="1665"/>
        <v>NIL</v>
      </c>
      <c r="Q4048" t="str">
        <f t="shared" si="1665"/>
        <v>NIL</v>
      </c>
      <c r="R4048" t="str">
        <f t="shared" si="1655"/>
        <v>Accepted</v>
      </c>
      <c r="S4048" t="str">
        <f t="shared" si="1656"/>
        <v>Approved</v>
      </c>
      <c r="T4048" t="str">
        <f t="shared" si="1657"/>
        <v>10.20.8.188</v>
      </c>
      <c r="U4048" t="str">
        <f t="shared" si="1658"/>
        <v>AZRAD UMAR BIN SHAARI</v>
      </c>
      <c r="V4048" t="str">
        <f t="shared" si="1659"/>
        <v>FARHANA BINTI MUSTAPA</v>
      </c>
      <c r="W4048" t="str">
        <f t="shared" si="1660"/>
        <v>04-08-2020</v>
      </c>
      <c r="X4048" t="str">
        <f t="shared" si="1661"/>
        <v>RAZIMAH ANSAR AHMAD</v>
      </c>
      <c r="Y4048" t="str">
        <f t="shared" si="1662"/>
        <v>04-08-2020</v>
      </c>
      <c r="Z4048" t="str">
        <f>"COS10200804 5106"</f>
        <v>COS10200804 5106</v>
      </c>
    </row>
    <row r="4049" spans="1:26" x14ac:dyDescent="0.25">
      <c r="A4049" t="str">
        <f t="shared" si="1646"/>
        <v>04-08-2020 12:55:04</v>
      </c>
      <c r="B4049" t="str">
        <f>"0000806891"</f>
        <v>0000806891</v>
      </c>
      <c r="C4049" t="str">
        <f t="shared" si="1647"/>
        <v>0000806786</v>
      </c>
      <c r="D4049" t="str">
        <f t="shared" si="1650"/>
        <v>73185</v>
      </c>
      <c r="E4049" t="str">
        <f t="shared" si="1651"/>
        <v>KFH-OPERATIONS DEPARTMENT</v>
      </c>
      <c r="F4049" t="str">
        <f t="shared" si="1652"/>
        <v>IBG</v>
      </c>
      <c r="G4049" t="str">
        <f t="shared" si="1663"/>
        <v>Refund COSHARE 10</v>
      </c>
      <c r="H4049" s="2">
        <v>262</v>
      </c>
      <c r="I4049" t="str">
        <f>"LIM NYUK PHEN"</f>
        <v>LIM NYUK PHEN</v>
      </c>
      <c r="J4049" t="str">
        <f t="shared" ref="J4049:J4112" si="1666">"MAYBANK / MAYBANK ISLAMIC"</f>
        <v>MAYBANK / MAYBANK ISLAMIC</v>
      </c>
      <c r="K4049" t="str">
        <f>"110014028023"</f>
        <v>110014028023</v>
      </c>
      <c r="L4049" t="str">
        <f t="shared" si="1664"/>
        <v>04-08-2020</v>
      </c>
      <c r="M4049" t="str">
        <f t="shared" si="1664"/>
        <v>04-08-2020</v>
      </c>
      <c r="N4049" t="str">
        <f t="shared" si="1653"/>
        <v>001105018356</v>
      </c>
      <c r="O4049" t="str">
        <f t="shared" si="1654"/>
        <v>MYR</v>
      </c>
      <c r="P4049" t="str">
        <f t="shared" si="1665"/>
        <v>NIL</v>
      </c>
      <c r="Q4049" t="str">
        <f t="shared" si="1665"/>
        <v>NIL</v>
      </c>
      <c r="R4049" t="str">
        <f t="shared" si="1655"/>
        <v>Accepted</v>
      </c>
      <c r="S4049" t="str">
        <f t="shared" si="1656"/>
        <v>Approved</v>
      </c>
      <c r="T4049" t="str">
        <f t="shared" si="1657"/>
        <v>10.20.8.188</v>
      </c>
      <c r="U4049" t="str">
        <f t="shared" si="1658"/>
        <v>AZRAD UMAR BIN SHAARI</v>
      </c>
      <c r="V4049" t="str">
        <f t="shared" si="1659"/>
        <v>FARHANA BINTI MUSTAPA</v>
      </c>
      <c r="W4049" t="str">
        <f t="shared" si="1660"/>
        <v>04-08-2020</v>
      </c>
      <c r="X4049" t="str">
        <f t="shared" si="1661"/>
        <v>RAZIMAH ANSAR AHMAD</v>
      </c>
      <c r="Y4049" t="str">
        <f t="shared" si="1662"/>
        <v>04-08-2020</v>
      </c>
      <c r="Z4049" t="str">
        <f>"COS10200804 5105"</f>
        <v>COS10200804 5105</v>
      </c>
    </row>
    <row r="4050" spans="1:26" x14ac:dyDescent="0.25">
      <c r="A4050" t="str">
        <f t="shared" ref="A4050:A4081" si="1667">"04-08-2020 12:55:04"</f>
        <v>04-08-2020 12:55:04</v>
      </c>
      <c r="B4050" t="str">
        <f>"0000806890"</f>
        <v>0000806890</v>
      </c>
      <c r="C4050" t="str">
        <f t="shared" ref="C4050:C4081" si="1668">"0000806786"</f>
        <v>0000806786</v>
      </c>
      <c r="D4050" t="str">
        <f t="shared" si="1650"/>
        <v>73185</v>
      </c>
      <c r="E4050" t="str">
        <f t="shared" si="1651"/>
        <v>KFH-OPERATIONS DEPARTMENT</v>
      </c>
      <c r="F4050" t="str">
        <f t="shared" si="1652"/>
        <v>IBG</v>
      </c>
      <c r="G4050" t="str">
        <f t="shared" si="1663"/>
        <v>Refund COSHARE 10</v>
      </c>
      <c r="H4050" s="2">
        <v>184.7</v>
      </c>
      <c r="I4050" t="str">
        <f>"LIANA BINTI MUSTAPA"</f>
        <v>LIANA BINTI MUSTAPA</v>
      </c>
      <c r="J4050" t="str">
        <f t="shared" si="1666"/>
        <v>MAYBANK / MAYBANK ISLAMIC</v>
      </c>
      <c r="K4050" t="str">
        <f>"154053317337"</f>
        <v>154053317337</v>
      </c>
      <c r="L4050" t="str">
        <f t="shared" si="1664"/>
        <v>04-08-2020</v>
      </c>
      <c r="M4050" t="str">
        <f t="shared" si="1664"/>
        <v>04-08-2020</v>
      </c>
      <c r="N4050" t="str">
        <f t="shared" si="1653"/>
        <v>001105018356</v>
      </c>
      <c r="O4050" t="str">
        <f t="shared" si="1654"/>
        <v>MYR</v>
      </c>
      <c r="P4050" t="str">
        <f t="shared" si="1665"/>
        <v>NIL</v>
      </c>
      <c r="Q4050" t="str">
        <f t="shared" si="1665"/>
        <v>NIL</v>
      </c>
      <c r="R4050" t="str">
        <f t="shared" si="1655"/>
        <v>Accepted</v>
      </c>
      <c r="S4050" t="str">
        <f t="shared" si="1656"/>
        <v>Approved</v>
      </c>
      <c r="T4050" t="str">
        <f t="shared" si="1657"/>
        <v>10.20.8.188</v>
      </c>
      <c r="U4050" t="str">
        <f t="shared" si="1658"/>
        <v>AZRAD UMAR BIN SHAARI</v>
      </c>
      <c r="V4050" t="str">
        <f t="shared" si="1659"/>
        <v>FARHANA BINTI MUSTAPA</v>
      </c>
      <c r="W4050" t="str">
        <f t="shared" si="1660"/>
        <v>04-08-2020</v>
      </c>
      <c r="X4050" t="str">
        <f t="shared" si="1661"/>
        <v>RAZIMAH ANSAR AHMAD</v>
      </c>
      <c r="Y4050" t="str">
        <f t="shared" si="1662"/>
        <v>04-08-2020</v>
      </c>
      <c r="Z4050" t="str">
        <f>"COS10200804 5104"</f>
        <v>COS10200804 5104</v>
      </c>
    </row>
    <row r="4051" spans="1:26" x14ac:dyDescent="0.25">
      <c r="A4051" t="str">
        <f t="shared" si="1667"/>
        <v>04-08-2020 12:55:04</v>
      </c>
      <c r="B4051" t="str">
        <f>"0000806889"</f>
        <v>0000806889</v>
      </c>
      <c r="C4051" t="str">
        <f t="shared" si="1668"/>
        <v>0000806786</v>
      </c>
      <c r="D4051" t="str">
        <f t="shared" si="1650"/>
        <v>73185</v>
      </c>
      <c r="E4051" t="str">
        <f t="shared" si="1651"/>
        <v>KFH-OPERATIONS DEPARTMENT</v>
      </c>
      <c r="F4051" t="str">
        <f t="shared" si="1652"/>
        <v>IBG</v>
      </c>
      <c r="G4051" t="str">
        <f t="shared" si="1663"/>
        <v>Refund COSHARE 10</v>
      </c>
      <c r="H4051" s="2">
        <v>416.9</v>
      </c>
      <c r="I4051" t="str">
        <f>"LETCUMI AP KATHIRASAN"</f>
        <v>LETCUMI AP KATHIRASAN</v>
      </c>
      <c r="J4051" t="str">
        <f t="shared" si="1666"/>
        <v>MAYBANK / MAYBANK ISLAMIC</v>
      </c>
      <c r="K4051" t="str">
        <f>"107031613862"</f>
        <v>107031613862</v>
      </c>
      <c r="L4051" t="str">
        <f t="shared" si="1664"/>
        <v>04-08-2020</v>
      </c>
      <c r="M4051" t="str">
        <f t="shared" si="1664"/>
        <v>04-08-2020</v>
      </c>
      <c r="N4051" t="str">
        <f t="shared" si="1653"/>
        <v>001105018356</v>
      </c>
      <c r="O4051" t="str">
        <f t="shared" si="1654"/>
        <v>MYR</v>
      </c>
      <c r="P4051" t="str">
        <f t="shared" si="1665"/>
        <v>NIL</v>
      </c>
      <c r="Q4051" t="str">
        <f t="shared" si="1665"/>
        <v>NIL</v>
      </c>
      <c r="R4051" t="str">
        <f t="shared" si="1655"/>
        <v>Accepted</v>
      </c>
      <c r="S4051" t="str">
        <f t="shared" si="1656"/>
        <v>Approved</v>
      </c>
      <c r="T4051" t="str">
        <f t="shared" si="1657"/>
        <v>10.20.8.188</v>
      </c>
      <c r="U4051" t="str">
        <f t="shared" si="1658"/>
        <v>AZRAD UMAR BIN SHAARI</v>
      </c>
      <c r="V4051" t="str">
        <f t="shared" si="1659"/>
        <v>FARHANA BINTI MUSTAPA</v>
      </c>
      <c r="W4051" t="str">
        <f t="shared" si="1660"/>
        <v>04-08-2020</v>
      </c>
      <c r="X4051" t="str">
        <f t="shared" si="1661"/>
        <v>RAZIMAH ANSAR AHMAD</v>
      </c>
      <c r="Y4051" t="str">
        <f t="shared" si="1662"/>
        <v>04-08-2020</v>
      </c>
      <c r="Z4051" t="str">
        <f>"COS10200804 5103"</f>
        <v>COS10200804 5103</v>
      </c>
    </row>
    <row r="4052" spans="1:26" x14ac:dyDescent="0.25">
      <c r="A4052" t="str">
        <f t="shared" si="1667"/>
        <v>04-08-2020 12:55:04</v>
      </c>
      <c r="B4052" t="str">
        <f>"0000806888"</f>
        <v>0000806888</v>
      </c>
      <c r="C4052" t="str">
        <f t="shared" si="1668"/>
        <v>0000806786</v>
      </c>
      <c r="D4052" t="str">
        <f t="shared" si="1650"/>
        <v>73185</v>
      </c>
      <c r="E4052" t="str">
        <f t="shared" si="1651"/>
        <v>KFH-OPERATIONS DEPARTMENT</v>
      </c>
      <c r="F4052" t="str">
        <f t="shared" si="1652"/>
        <v>IBG</v>
      </c>
      <c r="G4052" t="str">
        <f t="shared" si="1663"/>
        <v>Refund COSHARE 10</v>
      </c>
      <c r="H4052" s="2">
        <v>76</v>
      </c>
      <c r="I4052" t="str">
        <f>"LETCHUMI AP SELVIA"</f>
        <v>LETCHUMI AP SELVIA</v>
      </c>
      <c r="J4052" t="str">
        <f t="shared" si="1666"/>
        <v>MAYBANK / MAYBANK ISLAMIC</v>
      </c>
      <c r="K4052" t="str">
        <f>"108039073723"</f>
        <v>108039073723</v>
      </c>
      <c r="L4052" t="str">
        <f t="shared" si="1664"/>
        <v>04-08-2020</v>
      </c>
      <c r="M4052" t="str">
        <f t="shared" si="1664"/>
        <v>04-08-2020</v>
      </c>
      <c r="N4052" t="str">
        <f t="shared" si="1653"/>
        <v>001105018356</v>
      </c>
      <c r="O4052" t="str">
        <f t="shared" si="1654"/>
        <v>MYR</v>
      </c>
      <c r="P4052" t="str">
        <f t="shared" si="1665"/>
        <v>NIL</v>
      </c>
      <c r="Q4052" t="str">
        <f t="shared" si="1665"/>
        <v>NIL</v>
      </c>
      <c r="R4052" t="str">
        <f t="shared" si="1655"/>
        <v>Accepted</v>
      </c>
      <c r="S4052" t="str">
        <f t="shared" si="1656"/>
        <v>Approved</v>
      </c>
      <c r="T4052" t="str">
        <f t="shared" si="1657"/>
        <v>10.20.8.188</v>
      </c>
      <c r="U4052" t="str">
        <f t="shared" si="1658"/>
        <v>AZRAD UMAR BIN SHAARI</v>
      </c>
      <c r="V4052" t="str">
        <f t="shared" si="1659"/>
        <v>FARHANA BINTI MUSTAPA</v>
      </c>
      <c r="W4052" t="str">
        <f t="shared" si="1660"/>
        <v>04-08-2020</v>
      </c>
      <c r="X4052" t="str">
        <f t="shared" si="1661"/>
        <v>RAZIMAH ANSAR AHMAD</v>
      </c>
      <c r="Y4052" t="str">
        <f t="shared" si="1662"/>
        <v>04-08-2020</v>
      </c>
      <c r="Z4052" t="str">
        <f>"COS10200804 5102"</f>
        <v>COS10200804 5102</v>
      </c>
    </row>
    <row r="4053" spans="1:26" x14ac:dyDescent="0.25">
      <c r="A4053" t="str">
        <f t="shared" si="1667"/>
        <v>04-08-2020 12:55:04</v>
      </c>
      <c r="B4053" t="str">
        <f>"0000806887"</f>
        <v>0000806887</v>
      </c>
      <c r="C4053" t="str">
        <f t="shared" si="1668"/>
        <v>0000806786</v>
      </c>
      <c r="D4053" t="str">
        <f t="shared" si="1650"/>
        <v>73185</v>
      </c>
      <c r="E4053" t="str">
        <f t="shared" si="1651"/>
        <v>KFH-OPERATIONS DEPARTMENT</v>
      </c>
      <c r="F4053" t="str">
        <f t="shared" si="1652"/>
        <v>IBG</v>
      </c>
      <c r="G4053" t="str">
        <f t="shared" si="1663"/>
        <v>Refund COSHARE 10</v>
      </c>
      <c r="H4053" s="2">
        <v>419.75</v>
      </c>
      <c r="I4053" t="str">
        <f>"LESSINA JOHNNY"</f>
        <v>LESSINA JOHNNY</v>
      </c>
      <c r="J4053" t="str">
        <f t="shared" si="1666"/>
        <v>MAYBANK / MAYBANK ISLAMIC</v>
      </c>
      <c r="K4053" t="str">
        <f>"114197073705"</f>
        <v>114197073705</v>
      </c>
      <c r="L4053" t="str">
        <f t="shared" si="1664"/>
        <v>04-08-2020</v>
      </c>
      <c r="M4053" t="str">
        <f t="shared" si="1664"/>
        <v>04-08-2020</v>
      </c>
      <c r="N4053" t="str">
        <f t="shared" si="1653"/>
        <v>001105018356</v>
      </c>
      <c r="O4053" t="str">
        <f t="shared" si="1654"/>
        <v>MYR</v>
      </c>
      <c r="P4053" t="str">
        <f t="shared" si="1665"/>
        <v>NIL</v>
      </c>
      <c r="Q4053" t="str">
        <f t="shared" si="1665"/>
        <v>NIL</v>
      </c>
      <c r="R4053" t="str">
        <f t="shared" si="1655"/>
        <v>Accepted</v>
      </c>
      <c r="S4053" t="str">
        <f t="shared" si="1656"/>
        <v>Approved</v>
      </c>
      <c r="T4053" t="str">
        <f t="shared" si="1657"/>
        <v>10.20.8.188</v>
      </c>
      <c r="U4053" t="str">
        <f t="shared" si="1658"/>
        <v>AZRAD UMAR BIN SHAARI</v>
      </c>
      <c r="V4053" t="str">
        <f t="shared" si="1659"/>
        <v>FARHANA BINTI MUSTAPA</v>
      </c>
      <c r="W4053" t="str">
        <f t="shared" si="1660"/>
        <v>04-08-2020</v>
      </c>
      <c r="X4053" t="str">
        <f t="shared" si="1661"/>
        <v>RAZIMAH ANSAR AHMAD</v>
      </c>
      <c r="Y4053" t="str">
        <f t="shared" si="1662"/>
        <v>04-08-2020</v>
      </c>
      <c r="Z4053" t="str">
        <f>"COS10200804 5101"</f>
        <v>COS10200804 5101</v>
      </c>
    </row>
    <row r="4054" spans="1:26" x14ac:dyDescent="0.25">
      <c r="A4054" t="str">
        <f t="shared" si="1667"/>
        <v>04-08-2020 12:55:04</v>
      </c>
      <c r="B4054" t="str">
        <f>"0000806886"</f>
        <v>0000806886</v>
      </c>
      <c r="C4054" t="str">
        <f t="shared" si="1668"/>
        <v>0000806786</v>
      </c>
      <c r="D4054" t="str">
        <f t="shared" si="1650"/>
        <v>73185</v>
      </c>
      <c r="E4054" t="str">
        <f t="shared" si="1651"/>
        <v>KFH-OPERATIONS DEPARTMENT</v>
      </c>
      <c r="F4054" t="str">
        <f t="shared" si="1652"/>
        <v>IBG</v>
      </c>
      <c r="G4054" t="str">
        <f t="shared" si="1663"/>
        <v>Refund COSHARE 10</v>
      </c>
      <c r="H4054" s="2">
        <v>750.3</v>
      </c>
      <c r="I4054" t="str">
        <f>"LEONY ANAK KUWAK"</f>
        <v>LEONY ANAK KUWAK</v>
      </c>
      <c r="J4054" t="str">
        <f t="shared" si="1666"/>
        <v>MAYBANK / MAYBANK ISLAMIC</v>
      </c>
      <c r="K4054" t="str">
        <f>"161079989341"</f>
        <v>161079989341</v>
      </c>
      <c r="L4054" t="str">
        <f t="shared" si="1664"/>
        <v>04-08-2020</v>
      </c>
      <c r="M4054" t="str">
        <f t="shared" si="1664"/>
        <v>04-08-2020</v>
      </c>
      <c r="N4054" t="str">
        <f t="shared" si="1653"/>
        <v>001105018356</v>
      </c>
      <c r="O4054" t="str">
        <f t="shared" si="1654"/>
        <v>MYR</v>
      </c>
      <c r="P4054" t="str">
        <f t="shared" si="1665"/>
        <v>NIL</v>
      </c>
      <c r="Q4054" t="str">
        <f t="shared" si="1665"/>
        <v>NIL</v>
      </c>
      <c r="R4054" t="str">
        <f t="shared" si="1655"/>
        <v>Accepted</v>
      </c>
      <c r="S4054" t="str">
        <f t="shared" si="1656"/>
        <v>Approved</v>
      </c>
      <c r="T4054" t="str">
        <f t="shared" si="1657"/>
        <v>10.20.8.188</v>
      </c>
      <c r="U4054" t="str">
        <f t="shared" si="1658"/>
        <v>AZRAD UMAR BIN SHAARI</v>
      </c>
      <c r="V4054" t="str">
        <f t="shared" si="1659"/>
        <v>FARHANA BINTI MUSTAPA</v>
      </c>
      <c r="W4054" t="str">
        <f t="shared" si="1660"/>
        <v>04-08-2020</v>
      </c>
      <c r="X4054" t="str">
        <f t="shared" si="1661"/>
        <v>RAZIMAH ANSAR AHMAD</v>
      </c>
      <c r="Y4054" t="str">
        <f t="shared" si="1662"/>
        <v>04-08-2020</v>
      </c>
      <c r="Z4054" t="str">
        <f>"COS10200804 5100"</f>
        <v>COS10200804 5100</v>
      </c>
    </row>
    <row r="4055" spans="1:26" x14ac:dyDescent="0.25">
      <c r="A4055" t="str">
        <f t="shared" si="1667"/>
        <v>04-08-2020 12:55:04</v>
      </c>
      <c r="B4055" t="str">
        <f>"0000806885"</f>
        <v>0000806885</v>
      </c>
      <c r="C4055" t="str">
        <f t="shared" si="1668"/>
        <v>0000806786</v>
      </c>
      <c r="D4055" t="str">
        <f t="shared" si="1650"/>
        <v>73185</v>
      </c>
      <c r="E4055" t="str">
        <f t="shared" si="1651"/>
        <v>KFH-OPERATIONS DEPARTMENT</v>
      </c>
      <c r="F4055" t="str">
        <f t="shared" si="1652"/>
        <v>IBG</v>
      </c>
      <c r="G4055" t="str">
        <f t="shared" si="1663"/>
        <v>Refund COSHARE 10</v>
      </c>
      <c r="H4055" s="2">
        <v>902</v>
      </c>
      <c r="I4055" t="str">
        <f>"LEONY ANAK KUWAK"</f>
        <v>LEONY ANAK KUWAK</v>
      </c>
      <c r="J4055" t="str">
        <f t="shared" si="1666"/>
        <v>MAYBANK / MAYBANK ISLAMIC</v>
      </c>
      <c r="K4055" t="str">
        <f>"161079989341"</f>
        <v>161079989341</v>
      </c>
      <c r="L4055" t="str">
        <f t="shared" si="1664"/>
        <v>04-08-2020</v>
      </c>
      <c r="M4055" t="str">
        <f t="shared" si="1664"/>
        <v>04-08-2020</v>
      </c>
      <c r="N4055" t="str">
        <f t="shared" si="1653"/>
        <v>001105018356</v>
      </c>
      <c r="O4055" t="str">
        <f t="shared" si="1654"/>
        <v>MYR</v>
      </c>
      <c r="P4055" t="str">
        <f t="shared" si="1665"/>
        <v>NIL</v>
      </c>
      <c r="Q4055" t="str">
        <f t="shared" si="1665"/>
        <v>NIL</v>
      </c>
      <c r="R4055" t="str">
        <f t="shared" si="1655"/>
        <v>Accepted</v>
      </c>
      <c r="S4055" t="str">
        <f t="shared" si="1656"/>
        <v>Approved</v>
      </c>
      <c r="T4055" t="str">
        <f t="shared" si="1657"/>
        <v>10.20.8.188</v>
      </c>
      <c r="U4055" t="str">
        <f t="shared" si="1658"/>
        <v>AZRAD UMAR BIN SHAARI</v>
      </c>
      <c r="V4055" t="str">
        <f t="shared" si="1659"/>
        <v>FARHANA BINTI MUSTAPA</v>
      </c>
      <c r="W4055" t="str">
        <f t="shared" si="1660"/>
        <v>04-08-2020</v>
      </c>
      <c r="X4055" t="str">
        <f t="shared" si="1661"/>
        <v>RAZIMAH ANSAR AHMAD</v>
      </c>
      <c r="Y4055" t="str">
        <f t="shared" si="1662"/>
        <v>04-08-2020</v>
      </c>
      <c r="Z4055" t="str">
        <f>"COS10200804 5099"</f>
        <v>COS10200804 5099</v>
      </c>
    </row>
    <row r="4056" spans="1:26" x14ac:dyDescent="0.25">
      <c r="A4056" t="str">
        <f t="shared" si="1667"/>
        <v>04-08-2020 12:55:04</v>
      </c>
      <c r="B4056" t="str">
        <f>"0000806884"</f>
        <v>0000806884</v>
      </c>
      <c r="C4056" t="str">
        <f t="shared" si="1668"/>
        <v>0000806786</v>
      </c>
      <c r="D4056" t="str">
        <f t="shared" si="1650"/>
        <v>73185</v>
      </c>
      <c r="E4056" t="str">
        <f t="shared" si="1651"/>
        <v>KFH-OPERATIONS DEPARTMENT</v>
      </c>
      <c r="F4056" t="str">
        <f t="shared" si="1652"/>
        <v>IBG</v>
      </c>
      <c r="G4056" t="str">
        <f t="shared" si="1663"/>
        <v>Refund COSHARE 10</v>
      </c>
      <c r="H4056" s="2">
        <v>545.70000000000005</v>
      </c>
      <c r="I4056" t="str">
        <f>"LEO ANAK SAGA"</f>
        <v>LEO ANAK SAGA</v>
      </c>
      <c r="J4056" t="str">
        <f t="shared" si="1666"/>
        <v>MAYBANK / MAYBANK ISLAMIC</v>
      </c>
      <c r="K4056" t="str">
        <f>"114013078974"</f>
        <v>114013078974</v>
      </c>
      <c r="L4056" t="str">
        <f t="shared" si="1664"/>
        <v>04-08-2020</v>
      </c>
      <c r="M4056" t="str">
        <f t="shared" si="1664"/>
        <v>04-08-2020</v>
      </c>
      <c r="N4056" t="str">
        <f t="shared" si="1653"/>
        <v>001105018356</v>
      </c>
      <c r="O4056" t="str">
        <f t="shared" si="1654"/>
        <v>MYR</v>
      </c>
      <c r="P4056" t="str">
        <f t="shared" si="1665"/>
        <v>NIL</v>
      </c>
      <c r="Q4056" t="str">
        <f t="shared" si="1665"/>
        <v>NIL</v>
      </c>
      <c r="R4056" t="str">
        <f t="shared" si="1655"/>
        <v>Accepted</v>
      </c>
      <c r="S4056" t="str">
        <f t="shared" si="1656"/>
        <v>Approved</v>
      </c>
      <c r="T4056" t="str">
        <f t="shared" si="1657"/>
        <v>10.20.8.188</v>
      </c>
      <c r="U4056" t="str">
        <f t="shared" si="1658"/>
        <v>AZRAD UMAR BIN SHAARI</v>
      </c>
      <c r="V4056" t="str">
        <f t="shared" si="1659"/>
        <v>FARHANA BINTI MUSTAPA</v>
      </c>
      <c r="W4056" t="str">
        <f t="shared" si="1660"/>
        <v>04-08-2020</v>
      </c>
      <c r="X4056" t="str">
        <f t="shared" si="1661"/>
        <v>RAZIMAH ANSAR AHMAD</v>
      </c>
      <c r="Y4056" t="str">
        <f t="shared" si="1662"/>
        <v>04-08-2020</v>
      </c>
      <c r="Z4056" t="str">
        <f>"COS10200804 5098"</f>
        <v>COS10200804 5098</v>
      </c>
    </row>
    <row r="4057" spans="1:26" x14ac:dyDescent="0.25">
      <c r="A4057" t="str">
        <f t="shared" si="1667"/>
        <v>04-08-2020 12:55:04</v>
      </c>
      <c r="B4057" t="str">
        <f>"0000806883"</f>
        <v>0000806883</v>
      </c>
      <c r="C4057" t="str">
        <f t="shared" si="1668"/>
        <v>0000806786</v>
      </c>
      <c r="D4057" t="str">
        <f t="shared" si="1650"/>
        <v>73185</v>
      </c>
      <c r="E4057" t="str">
        <f t="shared" si="1651"/>
        <v>KFH-OPERATIONS DEPARTMENT</v>
      </c>
      <c r="F4057" t="str">
        <f t="shared" si="1652"/>
        <v>IBG</v>
      </c>
      <c r="G4057" t="str">
        <f t="shared" si="1663"/>
        <v>Refund COSHARE 10</v>
      </c>
      <c r="H4057" s="2">
        <v>419.75</v>
      </c>
      <c r="I4057" t="str">
        <f>"LELA MASOMARTO NORAZAHAR HAN B UMAR"</f>
        <v>LELA MASOMARTO NORAZAHAR HAN B UMAR</v>
      </c>
      <c r="J4057" t="str">
        <f t="shared" si="1666"/>
        <v>MAYBANK / MAYBANK ISLAMIC</v>
      </c>
      <c r="K4057" t="str">
        <f>"161051447110"</f>
        <v>161051447110</v>
      </c>
      <c r="L4057" t="str">
        <f t="shared" si="1664"/>
        <v>04-08-2020</v>
      </c>
      <c r="M4057" t="str">
        <f t="shared" si="1664"/>
        <v>04-08-2020</v>
      </c>
      <c r="N4057" t="str">
        <f t="shared" si="1653"/>
        <v>001105018356</v>
      </c>
      <c r="O4057" t="str">
        <f t="shared" si="1654"/>
        <v>MYR</v>
      </c>
      <c r="P4057" t="str">
        <f t="shared" si="1665"/>
        <v>NIL</v>
      </c>
      <c r="Q4057" t="str">
        <f t="shared" si="1665"/>
        <v>NIL</v>
      </c>
      <c r="R4057" t="str">
        <f t="shared" si="1655"/>
        <v>Accepted</v>
      </c>
      <c r="S4057" t="str">
        <f t="shared" si="1656"/>
        <v>Approved</v>
      </c>
      <c r="T4057" t="str">
        <f t="shared" si="1657"/>
        <v>10.20.8.188</v>
      </c>
      <c r="U4057" t="str">
        <f t="shared" si="1658"/>
        <v>AZRAD UMAR BIN SHAARI</v>
      </c>
      <c r="V4057" t="str">
        <f t="shared" si="1659"/>
        <v>FARHANA BINTI MUSTAPA</v>
      </c>
      <c r="W4057" t="str">
        <f t="shared" si="1660"/>
        <v>04-08-2020</v>
      </c>
      <c r="X4057" t="str">
        <f t="shared" si="1661"/>
        <v>RAZIMAH ANSAR AHMAD</v>
      </c>
      <c r="Y4057" t="str">
        <f t="shared" si="1662"/>
        <v>04-08-2020</v>
      </c>
      <c r="Z4057" t="str">
        <f>"COS10200804 5097"</f>
        <v>COS10200804 5097</v>
      </c>
    </row>
    <row r="4058" spans="1:26" x14ac:dyDescent="0.25">
      <c r="A4058" t="str">
        <f t="shared" si="1667"/>
        <v>04-08-2020 12:55:04</v>
      </c>
      <c r="B4058" t="str">
        <f>"0000806882"</f>
        <v>0000806882</v>
      </c>
      <c r="C4058" t="str">
        <f t="shared" si="1668"/>
        <v>0000806786</v>
      </c>
      <c r="D4058" t="str">
        <f t="shared" si="1650"/>
        <v>73185</v>
      </c>
      <c r="E4058" t="str">
        <f t="shared" si="1651"/>
        <v>KFH-OPERATIONS DEPARTMENT</v>
      </c>
      <c r="F4058" t="str">
        <f t="shared" si="1652"/>
        <v>IBG</v>
      </c>
      <c r="G4058" t="str">
        <f t="shared" si="1663"/>
        <v>Refund COSHARE 10</v>
      </c>
      <c r="H4058" s="2">
        <v>1679</v>
      </c>
      <c r="I4058" t="str">
        <f>"LEISA BINTI BAKRI"</f>
        <v>LEISA BINTI BAKRI</v>
      </c>
      <c r="J4058" t="str">
        <f t="shared" si="1666"/>
        <v>MAYBANK / MAYBANK ISLAMIC</v>
      </c>
      <c r="K4058" t="str">
        <f>"160036926134"</f>
        <v>160036926134</v>
      </c>
      <c r="L4058" t="str">
        <f t="shared" si="1664"/>
        <v>04-08-2020</v>
      </c>
      <c r="M4058" t="str">
        <f t="shared" si="1664"/>
        <v>04-08-2020</v>
      </c>
      <c r="N4058" t="str">
        <f t="shared" si="1653"/>
        <v>001105018356</v>
      </c>
      <c r="O4058" t="str">
        <f t="shared" si="1654"/>
        <v>MYR</v>
      </c>
      <c r="P4058" t="str">
        <f t="shared" si="1665"/>
        <v>NIL</v>
      </c>
      <c r="Q4058" t="str">
        <f t="shared" si="1665"/>
        <v>NIL</v>
      </c>
      <c r="R4058" t="str">
        <f t="shared" si="1655"/>
        <v>Accepted</v>
      </c>
      <c r="S4058" t="str">
        <f t="shared" si="1656"/>
        <v>Approved</v>
      </c>
      <c r="T4058" t="str">
        <f t="shared" si="1657"/>
        <v>10.20.8.188</v>
      </c>
      <c r="U4058" t="str">
        <f t="shared" si="1658"/>
        <v>AZRAD UMAR BIN SHAARI</v>
      </c>
      <c r="V4058" t="str">
        <f t="shared" si="1659"/>
        <v>FARHANA BINTI MUSTAPA</v>
      </c>
      <c r="W4058" t="str">
        <f t="shared" si="1660"/>
        <v>04-08-2020</v>
      </c>
      <c r="X4058" t="str">
        <f t="shared" si="1661"/>
        <v>RAZIMAH ANSAR AHMAD</v>
      </c>
      <c r="Y4058" t="str">
        <f t="shared" si="1662"/>
        <v>04-08-2020</v>
      </c>
      <c r="Z4058" t="str">
        <f>"COS10200804 5096"</f>
        <v>COS10200804 5096</v>
      </c>
    </row>
    <row r="4059" spans="1:26" x14ac:dyDescent="0.25">
      <c r="A4059" t="str">
        <f t="shared" si="1667"/>
        <v>04-08-2020 12:55:04</v>
      </c>
      <c r="B4059" t="str">
        <f>"0000806881"</f>
        <v>0000806881</v>
      </c>
      <c r="C4059" t="str">
        <f t="shared" si="1668"/>
        <v>0000806786</v>
      </c>
      <c r="D4059" t="str">
        <f t="shared" si="1650"/>
        <v>73185</v>
      </c>
      <c r="E4059" t="str">
        <f t="shared" si="1651"/>
        <v>KFH-OPERATIONS DEPARTMENT</v>
      </c>
      <c r="F4059" t="str">
        <f t="shared" si="1652"/>
        <v>IBG</v>
      </c>
      <c r="G4059" t="str">
        <f t="shared" si="1663"/>
        <v>Refund COSHARE 10</v>
      </c>
      <c r="H4059" s="2">
        <v>671.6</v>
      </c>
      <c r="I4059" t="str">
        <f>"LEE YEN LEONG"</f>
        <v>LEE YEN LEONG</v>
      </c>
      <c r="J4059" t="str">
        <f t="shared" si="1666"/>
        <v>MAYBANK / MAYBANK ISLAMIC</v>
      </c>
      <c r="K4059" t="str">
        <f>"110108154989"</f>
        <v>110108154989</v>
      </c>
      <c r="L4059" t="str">
        <f t="shared" si="1664"/>
        <v>04-08-2020</v>
      </c>
      <c r="M4059" t="str">
        <f t="shared" si="1664"/>
        <v>04-08-2020</v>
      </c>
      <c r="N4059" t="str">
        <f t="shared" si="1653"/>
        <v>001105018356</v>
      </c>
      <c r="O4059" t="str">
        <f t="shared" si="1654"/>
        <v>MYR</v>
      </c>
      <c r="P4059" t="str">
        <f t="shared" si="1665"/>
        <v>NIL</v>
      </c>
      <c r="Q4059" t="str">
        <f t="shared" si="1665"/>
        <v>NIL</v>
      </c>
      <c r="R4059" t="str">
        <f t="shared" si="1655"/>
        <v>Accepted</v>
      </c>
      <c r="S4059" t="str">
        <f t="shared" si="1656"/>
        <v>Approved</v>
      </c>
      <c r="T4059" t="str">
        <f t="shared" si="1657"/>
        <v>10.20.8.188</v>
      </c>
      <c r="U4059" t="str">
        <f t="shared" si="1658"/>
        <v>AZRAD UMAR BIN SHAARI</v>
      </c>
      <c r="V4059" t="str">
        <f t="shared" si="1659"/>
        <v>FARHANA BINTI MUSTAPA</v>
      </c>
      <c r="W4059" t="str">
        <f t="shared" si="1660"/>
        <v>04-08-2020</v>
      </c>
      <c r="X4059" t="str">
        <f t="shared" si="1661"/>
        <v>RAZIMAH ANSAR AHMAD</v>
      </c>
      <c r="Y4059" t="str">
        <f t="shared" si="1662"/>
        <v>04-08-2020</v>
      </c>
      <c r="Z4059" t="str">
        <f>"COS10200804 5095"</f>
        <v>COS10200804 5095</v>
      </c>
    </row>
    <row r="4060" spans="1:26" x14ac:dyDescent="0.25">
      <c r="A4060" t="str">
        <f t="shared" si="1667"/>
        <v>04-08-2020 12:55:04</v>
      </c>
      <c r="B4060" t="str">
        <f>"0000806880"</f>
        <v>0000806880</v>
      </c>
      <c r="C4060" t="str">
        <f t="shared" si="1668"/>
        <v>0000806786</v>
      </c>
      <c r="D4060" t="str">
        <f t="shared" si="1650"/>
        <v>73185</v>
      </c>
      <c r="E4060" t="str">
        <f t="shared" si="1651"/>
        <v>KFH-OPERATIONS DEPARTMENT</v>
      </c>
      <c r="F4060" t="str">
        <f t="shared" si="1652"/>
        <v>IBG</v>
      </c>
      <c r="G4060" t="str">
        <f t="shared" si="1663"/>
        <v>Refund COSHARE 10</v>
      </c>
      <c r="H4060" s="2">
        <v>1679</v>
      </c>
      <c r="I4060" t="str">
        <f>"LEE SOO WEN"</f>
        <v>LEE SOO WEN</v>
      </c>
      <c r="J4060" t="str">
        <f t="shared" si="1666"/>
        <v>MAYBANK / MAYBANK ISLAMIC</v>
      </c>
      <c r="K4060" t="str">
        <f>"114338084466"</f>
        <v>114338084466</v>
      </c>
      <c r="L4060" t="str">
        <f t="shared" si="1664"/>
        <v>04-08-2020</v>
      </c>
      <c r="M4060" t="str">
        <f t="shared" si="1664"/>
        <v>04-08-2020</v>
      </c>
      <c r="N4060" t="str">
        <f t="shared" si="1653"/>
        <v>001105018356</v>
      </c>
      <c r="O4060" t="str">
        <f t="shared" si="1654"/>
        <v>MYR</v>
      </c>
      <c r="P4060" t="str">
        <f t="shared" si="1665"/>
        <v>NIL</v>
      </c>
      <c r="Q4060" t="str">
        <f t="shared" si="1665"/>
        <v>NIL</v>
      </c>
      <c r="R4060" t="str">
        <f t="shared" si="1655"/>
        <v>Accepted</v>
      </c>
      <c r="S4060" t="str">
        <f t="shared" si="1656"/>
        <v>Approved</v>
      </c>
      <c r="T4060" t="str">
        <f t="shared" si="1657"/>
        <v>10.20.8.188</v>
      </c>
      <c r="U4060" t="str">
        <f t="shared" si="1658"/>
        <v>AZRAD UMAR BIN SHAARI</v>
      </c>
      <c r="V4060" t="str">
        <f t="shared" si="1659"/>
        <v>FARHANA BINTI MUSTAPA</v>
      </c>
      <c r="W4060" t="str">
        <f t="shared" si="1660"/>
        <v>04-08-2020</v>
      </c>
      <c r="X4060" t="str">
        <f t="shared" si="1661"/>
        <v>RAZIMAH ANSAR AHMAD</v>
      </c>
      <c r="Y4060" t="str">
        <f t="shared" si="1662"/>
        <v>04-08-2020</v>
      </c>
      <c r="Z4060" t="str">
        <f>"COS10200804 5094"</f>
        <v>COS10200804 5094</v>
      </c>
    </row>
    <row r="4061" spans="1:26" x14ac:dyDescent="0.25">
      <c r="A4061" t="str">
        <f t="shared" si="1667"/>
        <v>04-08-2020 12:55:04</v>
      </c>
      <c r="B4061" t="str">
        <f>"0000806879"</f>
        <v>0000806879</v>
      </c>
      <c r="C4061" t="str">
        <f t="shared" si="1668"/>
        <v>0000806786</v>
      </c>
      <c r="D4061" t="str">
        <f t="shared" si="1650"/>
        <v>73185</v>
      </c>
      <c r="E4061" t="str">
        <f t="shared" si="1651"/>
        <v>KFH-OPERATIONS DEPARTMENT</v>
      </c>
      <c r="F4061" t="str">
        <f t="shared" si="1652"/>
        <v>IBG</v>
      </c>
      <c r="G4061" t="str">
        <f t="shared" si="1663"/>
        <v>Refund COSHARE 10</v>
      </c>
      <c r="H4061" s="2">
        <v>1679</v>
      </c>
      <c r="I4061" t="str">
        <f>"LEE LEE SEANG"</f>
        <v>LEE LEE SEANG</v>
      </c>
      <c r="J4061" t="str">
        <f t="shared" si="1666"/>
        <v>MAYBANK / MAYBANK ISLAMIC</v>
      </c>
      <c r="K4061" t="str">
        <f>"106098441607"</f>
        <v>106098441607</v>
      </c>
      <c r="L4061" t="str">
        <f t="shared" si="1664"/>
        <v>04-08-2020</v>
      </c>
      <c r="M4061" t="str">
        <f t="shared" si="1664"/>
        <v>04-08-2020</v>
      </c>
      <c r="N4061" t="str">
        <f t="shared" si="1653"/>
        <v>001105018356</v>
      </c>
      <c r="O4061" t="str">
        <f t="shared" si="1654"/>
        <v>MYR</v>
      </c>
      <c r="P4061" t="str">
        <f t="shared" si="1665"/>
        <v>NIL</v>
      </c>
      <c r="Q4061" t="str">
        <f t="shared" si="1665"/>
        <v>NIL</v>
      </c>
      <c r="R4061" t="str">
        <f t="shared" si="1655"/>
        <v>Accepted</v>
      </c>
      <c r="S4061" t="str">
        <f t="shared" si="1656"/>
        <v>Approved</v>
      </c>
      <c r="T4061" t="str">
        <f t="shared" si="1657"/>
        <v>10.20.8.188</v>
      </c>
      <c r="U4061" t="str">
        <f t="shared" si="1658"/>
        <v>AZRAD UMAR BIN SHAARI</v>
      </c>
      <c r="V4061" t="str">
        <f t="shared" si="1659"/>
        <v>FARHANA BINTI MUSTAPA</v>
      </c>
      <c r="W4061" t="str">
        <f t="shared" si="1660"/>
        <v>04-08-2020</v>
      </c>
      <c r="X4061" t="str">
        <f t="shared" si="1661"/>
        <v>RAZIMAH ANSAR AHMAD</v>
      </c>
      <c r="Y4061" t="str">
        <f t="shared" si="1662"/>
        <v>04-08-2020</v>
      </c>
      <c r="Z4061" t="str">
        <f>"COS10200804 5093"</f>
        <v>COS10200804 5093</v>
      </c>
    </row>
    <row r="4062" spans="1:26" x14ac:dyDescent="0.25">
      <c r="A4062" t="str">
        <f t="shared" si="1667"/>
        <v>04-08-2020 12:55:04</v>
      </c>
      <c r="B4062" t="str">
        <f>"0000806878"</f>
        <v>0000806878</v>
      </c>
      <c r="C4062" t="str">
        <f t="shared" si="1668"/>
        <v>0000806786</v>
      </c>
      <c r="D4062" t="str">
        <f t="shared" si="1650"/>
        <v>73185</v>
      </c>
      <c r="E4062" t="str">
        <f t="shared" si="1651"/>
        <v>KFH-OPERATIONS DEPARTMENT</v>
      </c>
      <c r="F4062" t="str">
        <f t="shared" si="1652"/>
        <v>IBG</v>
      </c>
      <c r="G4062" t="str">
        <f t="shared" si="1663"/>
        <v>Refund COSHARE 10</v>
      </c>
      <c r="H4062" s="2">
        <v>691</v>
      </c>
      <c r="I4062" t="str">
        <f>"LEE HWEE KIAN"</f>
        <v>LEE HWEE KIAN</v>
      </c>
      <c r="J4062" t="str">
        <f t="shared" si="1666"/>
        <v>MAYBANK / MAYBANK ISLAMIC</v>
      </c>
      <c r="K4062" t="str">
        <f>"151100972005"</f>
        <v>151100972005</v>
      </c>
      <c r="L4062" t="str">
        <f t="shared" si="1664"/>
        <v>04-08-2020</v>
      </c>
      <c r="M4062" t="str">
        <f t="shared" si="1664"/>
        <v>04-08-2020</v>
      </c>
      <c r="N4062" t="str">
        <f t="shared" si="1653"/>
        <v>001105018356</v>
      </c>
      <c r="O4062" t="str">
        <f t="shared" si="1654"/>
        <v>MYR</v>
      </c>
      <c r="P4062" t="str">
        <f t="shared" si="1665"/>
        <v>NIL</v>
      </c>
      <c r="Q4062" t="str">
        <f t="shared" si="1665"/>
        <v>NIL</v>
      </c>
      <c r="R4062" t="str">
        <f t="shared" si="1655"/>
        <v>Accepted</v>
      </c>
      <c r="S4062" t="str">
        <f t="shared" si="1656"/>
        <v>Approved</v>
      </c>
      <c r="T4062" t="str">
        <f t="shared" si="1657"/>
        <v>10.20.8.188</v>
      </c>
      <c r="U4062" t="str">
        <f t="shared" si="1658"/>
        <v>AZRAD UMAR BIN SHAARI</v>
      </c>
      <c r="V4062" t="str">
        <f t="shared" si="1659"/>
        <v>FARHANA BINTI MUSTAPA</v>
      </c>
      <c r="W4062" t="str">
        <f t="shared" si="1660"/>
        <v>04-08-2020</v>
      </c>
      <c r="X4062" t="str">
        <f t="shared" si="1661"/>
        <v>RAZIMAH ANSAR AHMAD</v>
      </c>
      <c r="Y4062" t="str">
        <f t="shared" si="1662"/>
        <v>04-08-2020</v>
      </c>
      <c r="Z4062" t="str">
        <f>"COS10200804 5092"</f>
        <v>COS10200804 5092</v>
      </c>
    </row>
    <row r="4063" spans="1:26" x14ac:dyDescent="0.25">
      <c r="A4063" t="str">
        <f t="shared" si="1667"/>
        <v>04-08-2020 12:55:04</v>
      </c>
      <c r="B4063" t="str">
        <f>"0000806877"</f>
        <v>0000806877</v>
      </c>
      <c r="C4063" t="str">
        <f t="shared" si="1668"/>
        <v>0000806786</v>
      </c>
      <c r="D4063" t="str">
        <f t="shared" si="1650"/>
        <v>73185</v>
      </c>
      <c r="E4063" t="str">
        <f t="shared" si="1651"/>
        <v>KFH-OPERATIONS DEPARTMENT</v>
      </c>
      <c r="F4063" t="str">
        <f t="shared" si="1652"/>
        <v>IBG</v>
      </c>
      <c r="G4063" t="str">
        <f t="shared" si="1663"/>
        <v>Refund COSHARE 10</v>
      </c>
      <c r="H4063" s="2">
        <v>289</v>
      </c>
      <c r="I4063" t="str">
        <f>"LAZALUS  LAZARUS BIN FRANCIS"</f>
        <v>LAZALUS  LAZARUS BIN FRANCIS</v>
      </c>
      <c r="J4063" t="str">
        <f t="shared" si="1666"/>
        <v>MAYBANK / MAYBANK ISLAMIC</v>
      </c>
      <c r="K4063" t="str">
        <f>"160054007211"</f>
        <v>160054007211</v>
      </c>
      <c r="L4063" t="str">
        <f t="shared" si="1664"/>
        <v>04-08-2020</v>
      </c>
      <c r="M4063" t="str">
        <f t="shared" si="1664"/>
        <v>04-08-2020</v>
      </c>
      <c r="N4063" t="str">
        <f t="shared" si="1653"/>
        <v>001105018356</v>
      </c>
      <c r="O4063" t="str">
        <f t="shared" si="1654"/>
        <v>MYR</v>
      </c>
      <c r="P4063" t="str">
        <f t="shared" si="1665"/>
        <v>NIL</v>
      </c>
      <c r="Q4063" t="str">
        <f t="shared" si="1665"/>
        <v>NIL</v>
      </c>
      <c r="R4063" t="str">
        <f t="shared" si="1655"/>
        <v>Accepted</v>
      </c>
      <c r="S4063" t="str">
        <f t="shared" si="1656"/>
        <v>Approved</v>
      </c>
      <c r="T4063" t="str">
        <f t="shared" si="1657"/>
        <v>10.20.8.188</v>
      </c>
      <c r="U4063" t="str">
        <f t="shared" si="1658"/>
        <v>AZRAD UMAR BIN SHAARI</v>
      </c>
      <c r="V4063" t="str">
        <f t="shared" si="1659"/>
        <v>FARHANA BINTI MUSTAPA</v>
      </c>
      <c r="W4063" t="str">
        <f t="shared" si="1660"/>
        <v>04-08-2020</v>
      </c>
      <c r="X4063" t="str">
        <f t="shared" si="1661"/>
        <v>RAZIMAH ANSAR AHMAD</v>
      </c>
      <c r="Y4063" t="str">
        <f t="shared" si="1662"/>
        <v>04-08-2020</v>
      </c>
      <c r="Z4063" t="str">
        <f>"COS10200804 5091"</f>
        <v>COS10200804 5091</v>
      </c>
    </row>
    <row r="4064" spans="1:26" x14ac:dyDescent="0.25">
      <c r="A4064" t="str">
        <f t="shared" si="1667"/>
        <v>04-08-2020 12:55:04</v>
      </c>
      <c r="B4064" t="str">
        <f>"0000806876"</f>
        <v>0000806876</v>
      </c>
      <c r="C4064" t="str">
        <f t="shared" si="1668"/>
        <v>0000806786</v>
      </c>
      <c r="D4064" t="str">
        <f t="shared" si="1650"/>
        <v>73185</v>
      </c>
      <c r="E4064" t="str">
        <f t="shared" si="1651"/>
        <v>KFH-OPERATIONS DEPARTMENT</v>
      </c>
      <c r="F4064" t="str">
        <f t="shared" si="1652"/>
        <v>IBG</v>
      </c>
      <c r="G4064" t="str">
        <f t="shared" si="1663"/>
        <v>Refund COSHARE 10</v>
      </c>
      <c r="H4064" s="2">
        <v>1650.3</v>
      </c>
      <c r="I4064" t="str">
        <f>"LAU KHENG CHEN"</f>
        <v>LAU KHENG CHEN</v>
      </c>
      <c r="J4064" t="str">
        <f t="shared" si="1666"/>
        <v>MAYBANK / MAYBANK ISLAMIC</v>
      </c>
      <c r="K4064" t="str">
        <f>"111056453890"</f>
        <v>111056453890</v>
      </c>
      <c r="L4064" t="str">
        <f t="shared" si="1664"/>
        <v>04-08-2020</v>
      </c>
      <c r="M4064" t="str">
        <f t="shared" si="1664"/>
        <v>04-08-2020</v>
      </c>
      <c r="N4064" t="str">
        <f t="shared" si="1653"/>
        <v>001105018356</v>
      </c>
      <c r="O4064" t="str">
        <f t="shared" si="1654"/>
        <v>MYR</v>
      </c>
      <c r="P4064" t="str">
        <f t="shared" si="1665"/>
        <v>NIL</v>
      </c>
      <c r="Q4064" t="str">
        <f t="shared" si="1665"/>
        <v>NIL</v>
      </c>
      <c r="R4064" t="str">
        <f t="shared" si="1655"/>
        <v>Accepted</v>
      </c>
      <c r="S4064" t="str">
        <f t="shared" si="1656"/>
        <v>Approved</v>
      </c>
      <c r="T4064" t="str">
        <f t="shared" si="1657"/>
        <v>10.20.8.188</v>
      </c>
      <c r="U4064" t="str">
        <f t="shared" si="1658"/>
        <v>AZRAD UMAR BIN SHAARI</v>
      </c>
      <c r="V4064" t="str">
        <f t="shared" si="1659"/>
        <v>FARHANA BINTI MUSTAPA</v>
      </c>
      <c r="W4064" t="str">
        <f t="shared" si="1660"/>
        <v>04-08-2020</v>
      </c>
      <c r="X4064" t="str">
        <f t="shared" si="1661"/>
        <v>RAZIMAH ANSAR AHMAD</v>
      </c>
      <c r="Y4064" t="str">
        <f t="shared" si="1662"/>
        <v>04-08-2020</v>
      </c>
      <c r="Z4064" t="str">
        <f>"COS10200804 5090"</f>
        <v>COS10200804 5090</v>
      </c>
    </row>
    <row r="4065" spans="1:26" x14ac:dyDescent="0.25">
      <c r="A4065" t="str">
        <f t="shared" si="1667"/>
        <v>04-08-2020 12:55:04</v>
      </c>
      <c r="B4065" t="str">
        <f>"0000806875"</f>
        <v>0000806875</v>
      </c>
      <c r="C4065" t="str">
        <f t="shared" si="1668"/>
        <v>0000806786</v>
      </c>
      <c r="D4065" t="str">
        <f t="shared" si="1650"/>
        <v>73185</v>
      </c>
      <c r="E4065" t="str">
        <f t="shared" si="1651"/>
        <v>KFH-OPERATIONS DEPARTMENT</v>
      </c>
      <c r="F4065" t="str">
        <f t="shared" si="1652"/>
        <v>IBG</v>
      </c>
      <c r="G4065" t="str">
        <f t="shared" si="1663"/>
        <v>Refund COSHARE 10</v>
      </c>
      <c r="H4065" s="2">
        <v>92.35</v>
      </c>
      <c r="I4065" t="str">
        <f>"LAU HENG SING"</f>
        <v>LAU HENG SING</v>
      </c>
      <c r="J4065" t="str">
        <f t="shared" si="1666"/>
        <v>MAYBANK / MAYBANK ISLAMIC</v>
      </c>
      <c r="K4065" t="str">
        <f>"161136269955"</f>
        <v>161136269955</v>
      </c>
      <c r="L4065" t="str">
        <f t="shared" si="1664"/>
        <v>04-08-2020</v>
      </c>
      <c r="M4065" t="str">
        <f t="shared" si="1664"/>
        <v>04-08-2020</v>
      </c>
      <c r="N4065" t="str">
        <f t="shared" si="1653"/>
        <v>001105018356</v>
      </c>
      <c r="O4065" t="str">
        <f t="shared" si="1654"/>
        <v>MYR</v>
      </c>
      <c r="P4065" t="str">
        <f t="shared" si="1665"/>
        <v>NIL</v>
      </c>
      <c r="Q4065" t="str">
        <f t="shared" si="1665"/>
        <v>NIL</v>
      </c>
      <c r="R4065" t="str">
        <f t="shared" si="1655"/>
        <v>Accepted</v>
      </c>
      <c r="S4065" t="str">
        <f t="shared" si="1656"/>
        <v>Approved</v>
      </c>
      <c r="T4065" t="str">
        <f t="shared" si="1657"/>
        <v>10.20.8.188</v>
      </c>
      <c r="U4065" t="str">
        <f t="shared" si="1658"/>
        <v>AZRAD UMAR BIN SHAARI</v>
      </c>
      <c r="V4065" t="str">
        <f t="shared" si="1659"/>
        <v>FARHANA BINTI MUSTAPA</v>
      </c>
      <c r="W4065" t="str">
        <f t="shared" si="1660"/>
        <v>04-08-2020</v>
      </c>
      <c r="X4065" t="str">
        <f t="shared" si="1661"/>
        <v>RAZIMAH ANSAR AHMAD</v>
      </c>
      <c r="Y4065" t="str">
        <f t="shared" si="1662"/>
        <v>04-08-2020</v>
      </c>
      <c r="Z4065" t="str">
        <f>"COS10200804 5089"</f>
        <v>COS10200804 5089</v>
      </c>
    </row>
    <row r="4066" spans="1:26" x14ac:dyDescent="0.25">
      <c r="A4066" t="str">
        <f t="shared" si="1667"/>
        <v>04-08-2020 12:55:04</v>
      </c>
      <c r="B4066" t="str">
        <f>"0000806874"</f>
        <v>0000806874</v>
      </c>
      <c r="C4066" t="str">
        <f t="shared" si="1668"/>
        <v>0000806786</v>
      </c>
      <c r="D4066" t="str">
        <f t="shared" si="1650"/>
        <v>73185</v>
      </c>
      <c r="E4066" t="str">
        <f t="shared" si="1651"/>
        <v>KFH-OPERATIONS DEPARTMENT</v>
      </c>
      <c r="F4066" t="str">
        <f t="shared" si="1652"/>
        <v>IBG</v>
      </c>
      <c r="G4066" t="str">
        <f t="shared" si="1663"/>
        <v>Refund COSHARE 10</v>
      </c>
      <c r="H4066" s="2">
        <v>545.70000000000005</v>
      </c>
      <c r="I4066" t="str">
        <f>"LATIPAH BINTI JUSOH"</f>
        <v>LATIPAH BINTI JUSOH</v>
      </c>
      <c r="J4066" t="str">
        <f t="shared" si="1666"/>
        <v>MAYBANK / MAYBANK ISLAMIC</v>
      </c>
      <c r="K4066" t="str">
        <f>"114085883397"</f>
        <v>114085883397</v>
      </c>
      <c r="L4066" t="str">
        <f t="shared" si="1664"/>
        <v>04-08-2020</v>
      </c>
      <c r="M4066" t="str">
        <f t="shared" si="1664"/>
        <v>04-08-2020</v>
      </c>
      <c r="N4066" t="str">
        <f t="shared" si="1653"/>
        <v>001105018356</v>
      </c>
      <c r="O4066" t="str">
        <f t="shared" si="1654"/>
        <v>MYR</v>
      </c>
      <c r="P4066" t="str">
        <f t="shared" si="1665"/>
        <v>NIL</v>
      </c>
      <c r="Q4066" t="str">
        <f t="shared" si="1665"/>
        <v>NIL</v>
      </c>
      <c r="R4066" t="str">
        <f t="shared" si="1655"/>
        <v>Accepted</v>
      </c>
      <c r="S4066" t="str">
        <f t="shared" si="1656"/>
        <v>Approved</v>
      </c>
      <c r="T4066" t="str">
        <f t="shared" si="1657"/>
        <v>10.20.8.188</v>
      </c>
      <c r="U4066" t="str">
        <f t="shared" si="1658"/>
        <v>AZRAD UMAR BIN SHAARI</v>
      </c>
      <c r="V4066" t="str">
        <f t="shared" si="1659"/>
        <v>FARHANA BINTI MUSTAPA</v>
      </c>
      <c r="W4066" t="str">
        <f t="shared" si="1660"/>
        <v>04-08-2020</v>
      </c>
      <c r="X4066" t="str">
        <f t="shared" si="1661"/>
        <v>RAZIMAH ANSAR AHMAD</v>
      </c>
      <c r="Y4066" t="str">
        <f t="shared" si="1662"/>
        <v>04-08-2020</v>
      </c>
      <c r="Z4066" t="str">
        <f>"COS10200804 5088"</f>
        <v>COS10200804 5088</v>
      </c>
    </row>
    <row r="4067" spans="1:26" x14ac:dyDescent="0.25">
      <c r="A4067" t="str">
        <f t="shared" si="1667"/>
        <v>04-08-2020 12:55:04</v>
      </c>
      <c r="B4067" t="str">
        <f>"0000806873"</f>
        <v>0000806873</v>
      </c>
      <c r="C4067" t="str">
        <f t="shared" si="1668"/>
        <v>0000806786</v>
      </c>
      <c r="D4067" t="str">
        <f t="shared" si="1650"/>
        <v>73185</v>
      </c>
      <c r="E4067" t="str">
        <f t="shared" si="1651"/>
        <v>KFH-OPERATIONS DEPARTMENT</v>
      </c>
      <c r="F4067" t="str">
        <f t="shared" si="1652"/>
        <v>IBG</v>
      </c>
      <c r="G4067" t="str">
        <f t="shared" si="1663"/>
        <v>Refund COSHARE 10</v>
      </c>
      <c r="H4067" s="2">
        <v>76</v>
      </c>
      <c r="I4067" t="str">
        <f>"LAILATULL AIDAA BINTI TANLIKAA"</f>
        <v>LAILATULL AIDAA BINTI TANLIKAA</v>
      </c>
      <c r="J4067" t="str">
        <f t="shared" si="1666"/>
        <v>MAYBANK / MAYBANK ISLAMIC</v>
      </c>
      <c r="K4067" t="str">
        <f>"158220613362"</f>
        <v>158220613362</v>
      </c>
      <c r="L4067" t="str">
        <f t="shared" ref="L4067:M4086" si="1669">"04-08-2020"</f>
        <v>04-08-2020</v>
      </c>
      <c r="M4067" t="str">
        <f t="shared" si="1669"/>
        <v>04-08-2020</v>
      </c>
      <c r="N4067" t="str">
        <f t="shared" si="1653"/>
        <v>001105018356</v>
      </c>
      <c r="O4067" t="str">
        <f t="shared" si="1654"/>
        <v>MYR</v>
      </c>
      <c r="P4067" t="str">
        <f t="shared" ref="P4067:Q4086" si="1670">"NIL"</f>
        <v>NIL</v>
      </c>
      <c r="Q4067" t="str">
        <f t="shared" si="1670"/>
        <v>NIL</v>
      </c>
      <c r="R4067" t="str">
        <f t="shared" si="1655"/>
        <v>Accepted</v>
      </c>
      <c r="S4067" t="str">
        <f t="shared" si="1656"/>
        <v>Approved</v>
      </c>
      <c r="T4067" t="str">
        <f t="shared" si="1657"/>
        <v>10.20.8.188</v>
      </c>
      <c r="U4067" t="str">
        <f t="shared" si="1658"/>
        <v>AZRAD UMAR BIN SHAARI</v>
      </c>
      <c r="V4067" t="str">
        <f t="shared" si="1659"/>
        <v>FARHANA BINTI MUSTAPA</v>
      </c>
      <c r="W4067" t="str">
        <f t="shared" si="1660"/>
        <v>04-08-2020</v>
      </c>
      <c r="X4067" t="str">
        <f t="shared" si="1661"/>
        <v>RAZIMAH ANSAR AHMAD</v>
      </c>
      <c r="Y4067" t="str">
        <f t="shared" si="1662"/>
        <v>04-08-2020</v>
      </c>
      <c r="Z4067" t="str">
        <f>"COS10200804 5087"</f>
        <v>COS10200804 5087</v>
      </c>
    </row>
    <row r="4068" spans="1:26" x14ac:dyDescent="0.25">
      <c r="A4068" t="str">
        <f t="shared" si="1667"/>
        <v>04-08-2020 12:55:04</v>
      </c>
      <c r="B4068" t="str">
        <f>"0000806872"</f>
        <v>0000806872</v>
      </c>
      <c r="C4068" t="str">
        <f t="shared" si="1668"/>
        <v>0000806786</v>
      </c>
      <c r="D4068" t="str">
        <f t="shared" si="1650"/>
        <v>73185</v>
      </c>
      <c r="E4068" t="str">
        <f t="shared" si="1651"/>
        <v>KFH-OPERATIONS DEPARTMENT</v>
      </c>
      <c r="F4068" t="str">
        <f t="shared" si="1652"/>
        <v>IBG</v>
      </c>
      <c r="G4068" t="str">
        <f t="shared" si="1663"/>
        <v>Refund COSHARE 10</v>
      </c>
      <c r="H4068" s="2">
        <v>380</v>
      </c>
      <c r="I4068" t="str">
        <f>"LAILATUL QADRI BINTI SAHARUDDIN"</f>
        <v>LAILATUL QADRI BINTI SAHARUDDIN</v>
      </c>
      <c r="J4068" t="str">
        <f t="shared" si="1666"/>
        <v>MAYBANK / MAYBANK ISLAMIC</v>
      </c>
      <c r="K4068" t="str">
        <f>"162012630926"</f>
        <v>162012630926</v>
      </c>
      <c r="L4068" t="str">
        <f t="shared" si="1669"/>
        <v>04-08-2020</v>
      </c>
      <c r="M4068" t="str">
        <f t="shared" si="1669"/>
        <v>04-08-2020</v>
      </c>
      <c r="N4068" t="str">
        <f t="shared" si="1653"/>
        <v>001105018356</v>
      </c>
      <c r="O4068" t="str">
        <f t="shared" si="1654"/>
        <v>MYR</v>
      </c>
      <c r="P4068" t="str">
        <f t="shared" si="1670"/>
        <v>NIL</v>
      </c>
      <c r="Q4068" t="str">
        <f t="shared" si="1670"/>
        <v>NIL</v>
      </c>
      <c r="R4068" t="str">
        <f t="shared" si="1655"/>
        <v>Accepted</v>
      </c>
      <c r="S4068" t="str">
        <f t="shared" si="1656"/>
        <v>Approved</v>
      </c>
      <c r="T4068" t="str">
        <f t="shared" si="1657"/>
        <v>10.20.8.188</v>
      </c>
      <c r="U4068" t="str">
        <f t="shared" si="1658"/>
        <v>AZRAD UMAR BIN SHAARI</v>
      </c>
      <c r="V4068" t="str">
        <f t="shared" si="1659"/>
        <v>FARHANA BINTI MUSTAPA</v>
      </c>
      <c r="W4068" t="str">
        <f t="shared" si="1660"/>
        <v>04-08-2020</v>
      </c>
      <c r="X4068" t="str">
        <f t="shared" si="1661"/>
        <v>RAZIMAH ANSAR AHMAD</v>
      </c>
      <c r="Y4068" t="str">
        <f t="shared" si="1662"/>
        <v>04-08-2020</v>
      </c>
      <c r="Z4068" t="str">
        <f>"COS10200804 5086"</f>
        <v>COS10200804 5086</v>
      </c>
    </row>
    <row r="4069" spans="1:26" x14ac:dyDescent="0.25">
      <c r="A4069" t="str">
        <f t="shared" si="1667"/>
        <v>04-08-2020 12:55:04</v>
      </c>
      <c r="B4069" t="str">
        <f>"0000806871"</f>
        <v>0000806871</v>
      </c>
      <c r="C4069" t="str">
        <f t="shared" si="1668"/>
        <v>0000806786</v>
      </c>
      <c r="D4069" t="str">
        <f t="shared" si="1650"/>
        <v>73185</v>
      </c>
      <c r="E4069" t="str">
        <f t="shared" si="1651"/>
        <v>KFH-OPERATIONS DEPARTMENT</v>
      </c>
      <c r="F4069" t="str">
        <f t="shared" si="1652"/>
        <v>IBG</v>
      </c>
      <c r="G4069" t="str">
        <f t="shared" si="1663"/>
        <v>Refund COSHARE 10</v>
      </c>
      <c r="H4069" s="2">
        <v>83.95</v>
      </c>
      <c r="I4069" t="str">
        <f>"LAILATUL AYSIKIN BINTI ABDUL LATIF"</f>
        <v>LAILATUL AYSIKIN BINTI ABDUL LATIF</v>
      </c>
      <c r="J4069" t="str">
        <f t="shared" si="1666"/>
        <v>MAYBANK / MAYBANK ISLAMIC</v>
      </c>
      <c r="K4069" t="str">
        <f>"162085388819"</f>
        <v>162085388819</v>
      </c>
      <c r="L4069" t="str">
        <f t="shared" si="1669"/>
        <v>04-08-2020</v>
      </c>
      <c r="M4069" t="str">
        <f t="shared" si="1669"/>
        <v>04-08-2020</v>
      </c>
      <c r="N4069" t="str">
        <f t="shared" si="1653"/>
        <v>001105018356</v>
      </c>
      <c r="O4069" t="str">
        <f t="shared" si="1654"/>
        <v>MYR</v>
      </c>
      <c r="P4069" t="str">
        <f t="shared" si="1670"/>
        <v>NIL</v>
      </c>
      <c r="Q4069" t="str">
        <f t="shared" si="1670"/>
        <v>NIL</v>
      </c>
      <c r="R4069" t="str">
        <f t="shared" si="1655"/>
        <v>Accepted</v>
      </c>
      <c r="S4069" t="str">
        <f t="shared" si="1656"/>
        <v>Approved</v>
      </c>
      <c r="T4069" t="str">
        <f t="shared" si="1657"/>
        <v>10.20.8.188</v>
      </c>
      <c r="U4069" t="str">
        <f t="shared" si="1658"/>
        <v>AZRAD UMAR BIN SHAARI</v>
      </c>
      <c r="V4069" t="str">
        <f t="shared" si="1659"/>
        <v>FARHANA BINTI MUSTAPA</v>
      </c>
      <c r="W4069" t="str">
        <f t="shared" si="1660"/>
        <v>04-08-2020</v>
      </c>
      <c r="X4069" t="str">
        <f t="shared" si="1661"/>
        <v>RAZIMAH ANSAR AHMAD</v>
      </c>
      <c r="Y4069" t="str">
        <f t="shared" si="1662"/>
        <v>04-08-2020</v>
      </c>
      <c r="Z4069" t="str">
        <f>"COS10200804 5085"</f>
        <v>COS10200804 5085</v>
      </c>
    </row>
    <row r="4070" spans="1:26" x14ac:dyDescent="0.25">
      <c r="A4070" t="str">
        <f t="shared" si="1667"/>
        <v>04-08-2020 12:55:04</v>
      </c>
      <c r="B4070" t="str">
        <f>"0000806870"</f>
        <v>0000806870</v>
      </c>
      <c r="C4070" t="str">
        <f t="shared" si="1668"/>
        <v>0000806786</v>
      </c>
      <c r="D4070" t="str">
        <f t="shared" si="1650"/>
        <v>73185</v>
      </c>
      <c r="E4070" t="str">
        <f t="shared" si="1651"/>
        <v>KFH-OPERATIONS DEPARTMENT</v>
      </c>
      <c r="F4070" t="str">
        <f t="shared" si="1652"/>
        <v>IBG</v>
      </c>
      <c r="G4070" t="str">
        <f t="shared" si="1663"/>
        <v>Refund COSHARE 10</v>
      </c>
      <c r="H4070" s="2">
        <v>50.4</v>
      </c>
      <c r="I4070" t="str">
        <f>"LADY  GARY BIN GAIDIM"</f>
        <v>LADY  GARY BIN GAIDIM</v>
      </c>
      <c r="J4070" t="str">
        <f t="shared" si="1666"/>
        <v>MAYBANK / MAYBANK ISLAMIC</v>
      </c>
      <c r="K4070" t="str">
        <f>"110032045315"</f>
        <v>110032045315</v>
      </c>
      <c r="L4070" t="str">
        <f t="shared" si="1669"/>
        <v>04-08-2020</v>
      </c>
      <c r="M4070" t="str">
        <f t="shared" si="1669"/>
        <v>04-08-2020</v>
      </c>
      <c r="N4070" t="str">
        <f t="shared" si="1653"/>
        <v>001105018356</v>
      </c>
      <c r="O4070" t="str">
        <f t="shared" si="1654"/>
        <v>MYR</v>
      </c>
      <c r="P4070" t="str">
        <f t="shared" si="1670"/>
        <v>NIL</v>
      </c>
      <c r="Q4070" t="str">
        <f t="shared" si="1670"/>
        <v>NIL</v>
      </c>
      <c r="R4070" t="str">
        <f t="shared" si="1655"/>
        <v>Accepted</v>
      </c>
      <c r="S4070" t="str">
        <f t="shared" si="1656"/>
        <v>Approved</v>
      </c>
      <c r="T4070" t="str">
        <f t="shared" si="1657"/>
        <v>10.20.8.188</v>
      </c>
      <c r="U4070" t="str">
        <f t="shared" si="1658"/>
        <v>AZRAD UMAR BIN SHAARI</v>
      </c>
      <c r="V4070" t="str">
        <f t="shared" si="1659"/>
        <v>FARHANA BINTI MUSTAPA</v>
      </c>
      <c r="W4070" t="str">
        <f t="shared" si="1660"/>
        <v>04-08-2020</v>
      </c>
      <c r="X4070" t="str">
        <f t="shared" si="1661"/>
        <v>RAZIMAH ANSAR AHMAD</v>
      </c>
      <c r="Y4070" t="str">
        <f t="shared" si="1662"/>
        <v>04-08-2020</v>
      </c>
      <c r="Z4070" t="str">
        <f>"COS10200804 5084"</f>
        <v>COS10200804 5084</v>
      </c>
    </row>
    <row r="4071" spans="1:26" x14ac:dyDescent="0.25">
      <c r="A4071" t="str">
        <f t="shared" si="1667"/>
        <v>04-08-2020 12:55:04</v>
      </c>
      <c r="B4071" t="str">
        <f>"0000806869"</f>
        <v>0000806869</v>
      </c>
      <c r="C4071" t="str">
        <f t="shared" si="1668"/>
        <v>0000806786</v>
      </c>
      <c r="D4071" t="str">
        <f t="shared" si="1650"/>
        <v>73185</v>
      </c>
      <c r="E4071" t="str">
        <f t="shared" si="1651"/>
        <v>KFH-OPERATIONS DEPARTMENT</v>
      </c>
      <c r="F4071" t="str">
        <f t="shared" si="1652"/>
        <v>IBG</v>
      </c>
      <c r="G4071" t="str">
        <f t="shared" si="1663"/>
        <v>Refund COSHARE 10</v>
      </c>
      <c r="H4071" s="2">
        <v>193.1</v>
      </c>
      <c r="I4071" t="str">
        <f>"L HARTONO BIN LATATU"</f>
        <v>L HARTONO BIN LATATU</v>
      </c>
      <c r="J4071" t="str">
        <f t="shared" si="1666"/>
        <v>MAYBANK / MAYBANK ISLAMIC</v>
      </c>
      <c r="K4071" t="str">
        <f>"164016959772"</f>
        <v>164016959772</v>
      </c>
      <c r="L4071" t="str">
        <f t="shared" si="1669"/>
        <v>04-08-2020</v>
      </c>
      <c r="M4071" t="str">
        <f t="shared" si="1669"/>
        <v>04-08-2020</v>
      </c>
      <c r="N4071" t="str">
        <f t="shared" si="1653"/>
        <v>001105018356</v>
      </c>
      <c r="O4071" t="str">
        <f t="shared" si="1654"/>
        <v>MYR</v>
      </c>
      <c r="P4071" t="str">
        <f t="shared" si="1670"/>
        <v>NIL</v>
      </c>
      <c r="Q4071" t="str">
        <f t="shared" si="1670"/>
        <v>NIL</v>
      </c>
      <c r="R4071" t="str">
        <f t="shared" si="1655"/>
        <v>Accepted</v>
      </c>
      <c r="S4071" t="str">
        <f t="shared" si="1656"/>
        <v>Approved</v>
      </c>
      <c r="T4071" t="str">
        <f t="shared" si="1657"/>
        <v>10.20.8.188</v>
      </c>
      <c r="U4071" t="str">
        <f t="shared" si="1658"/>
        <v>AZRAD UMAR BIN SHAARI</v>
      </c>
      <c r="V4071" t="str">
        <f t="shared" si="1659"/>
        <v>FARHANA BINTI MUSTAPA</v>
      </c>
      <c r="W4071" t="str">
        <f t="shared" si="1660"/>
        <v>04-08-2020</v>
      </c>
      <c r="X4071" t="str">
        <f t="shared" si="1661"/>
        <v>RAZIMAH ANSAR AHMAD</v>
      </c>
      <c r="Y4071" t="str">
        <f t="shared" si="1662"/>
        <v>04-08-2020</v>
      </c>
      <c r="Z4071" t="str">
        <f>"COS10200804 5083"</f>
        <v>COS10200804 5083</v>
      </c>
    </row>
    <row r="4072" spans="1:26" x14ac:dyDescent="0.25">
      <c r="A4072" t="str">
        <f t="shared" si="1667"/>
        <v>04-08-2020 12:55:04</v>
      </c>
      <c r="B4072" t="str">
        <f>"0000806868"</f>
        <v>0000806868</v>
      </c>
      <c r="C4072" t="str">
        <f t="shared" si="1668"/>
        <v>0000806786</v>
      </c>
      <c r="D4072" t="str">
        <f t="shared" si="1650"/>
        <v>73185</v>
      </c>
      <c r="E4072" t="str">
        <f t="shared" si="1651"/>
        <v>KFH-OPERATIONS DEPARTMENT</v>
      </c>
      <c r="F4072" t="str">
        <f t="shared" si="1652"/>
        <v>IBG</v>
      </c>
      <c r="G4072" t="str">
        <f t="shared" si="1663"/>
        <v>Refund COSHARE 10</v>
      </c>
      <c r="H4072" s="2">
        <v>975.75</v>
      </c>
      <c r="I4072" t="str">
        <f>"KUZAIRI SUZLY BIN HAMZAH"</f>
        <v>KUZAIRI SUZLY BIN HAMZAH</v>
      </c>
      <c r="J4072" t="str">
        <f t="shared" si="1666"/>
        <v>MAYBANK / MAYBANK ISLAMIC</v>
      </c>
      <c r="K4072" t="str">
        <f>"158015116921"</f>
        <v>158015116921</v>
      </c>
      <c r="L4072" t="str">
        <f t="shared" si="1669"/>
        <v>04-08-2020</v>
      </c>
      <c r="M4072" t="str">
        <f t="shared" si="1669"/>
        <v>04-08-2020</v>
      </c>
      <c r="N4072" t="str">
        <f t="shared" si="1653"/>
        <v>001105018356</v>
      </c>
      <c r="O4072" t="str">
        <f t="shared" si="1654"/>
        <v>MYR</v>
      </c>
      <c r="P4072" t="str">
        <f t="shared" si="1670"/>
        <v>NIL</v>
      </c>
      <c r="Q4072" t="str">
        <f t="shared" si="1670"/>
        <v>NIL</v>
      </c>
      <c r="R4072" t="str">
        <f t="shared" si="1655"/>
        <v>Accepted</v>
      </c>
      <c r="S4072" t="str">
        <f t="shared" si="1656"/>
        <v>Approved</v>
      </c>
      <c r="T4072" t="str">
        <f t="shared" si="1657"/>
        <v>10.20.8.188</v>
      </c>
      <c r="U4072" t="str">
        <f t="shared" si="1658"/>
        <v>AZRAD UMAR BIN SHAARI</v>
      </c>
      <c r="V4072" t="str">
        <f t="shared" si="1659"/>
        <v>FARHANA BINTI MUSTAPA</v>
      </c>
      <c r="W4072" t="str">
        <f t="shared" si="1660"/>
        <v>04-08-2020</v>
      </c>
      <c r="X4072" t="str">
        <f t="shared" si="1661"/>
        <v>RAZIMAH ANSAR AHMAD</v>
      </c>
      <c r="Y4072" t="str">
        <f t="shared" si="1662"/>
        <v>04-08-2020</v>
      </c>
      <c r="Z4072" t="str">
        <f>"COS10200804 5082"</f>
        <v>COS10200804 5082</v>
      </c>
    </row>
    <row r="4073" spans="1:26" x14ac:dyDescent="0.25">
      <c r="A4073" t="str">
        <f t="shared" si="1667"/>
        <v>04-08-2020 12:55:04</v>
      </c>
      <c r="B4073" t="str">
        <f>"0000806867"</f>
        <v>0000806867</v>
      </c>
      <c r="C4073" t="str">
        <f t="shared" si="1668"/>
        <v>0000806786</v>
      </c>
      <c r="D4073" t="str">
        <f t="shared" si="1650"/>
        <v>73185</v>
      </c>
      <c r="E4073" t="str">
        <f t="shared" si="1651"/>
        <v>KFH-OPERATIONS DEPARTMENT</v>
      </c>
      <c r="F4073" t="str">
        <f t="shared" si="1652"/>
        <v>IBG</v>
      </c>
      <c r="G4073" t="str">
        <f t="shared" si="1663"/>
        <v>Refund COSHARE 10</v>
      </c>
      <c r="H4073" s="2">
        <v>361</v>
      </c>
      <c r="I4073" t="str">
        <f>"KUSLELA MONABELLA BINTI KUSIN"</f>
        <v>KUSLELA MONABELLA BINTI KUSIN</v>
      </c>
      <c r="J4073" t="str">
        <f t="shared" si="1666"/>
        <v>MAYBANK / MAYBANK ISLAMIC</v>
      </c>
      <c r="K4073" t="str">
        <f>"160102321251"</f>
        <v>160102321251</v>
      </c>
      <c r="L4073" t="str">
        <f t="shared" si="1669"/>
        <v>04-08-2020</v>
      </c>
      <c r="M4073" t="str">
        <f t="shared" si="1669"/>
        <v>04-08-2020</v>
      </c>
      <c r="N4073" t="str">
        <f t="shared" si="1653"/>
        <v>001105018356</v>
      </c>
      <c r="O4073" t="str">
        <f t="shared" si="1654"/>
        <v>MYR</v>
      </c>
      <c r="P4073" t="str">
        <f t="shared" si="1670"/>
        <v>NIL</v>
      </c>
      <c r="Q4073" t="str">
        <f t="shared" si="1670"/>
        <v>NIL</v>
      </c>
      <c r="R4073" t="str">
        <f t="shared" si="1655"/>
        <v>Accepted</v>
      </c>
      <c r="S4073" t="str">
        <f t="shared" si="1656"/>
        <v>Approved</v>
      </c>
      <c r="T4073" t="str">
        <f t="shared" si="1657"/>
        <v>10.20.8.188</v>
      </c>
      <c r="U4073" t="str">
        <f t="shared" si="1658"/>
        <v>AZRAD UMAR BIN SHAARI</v>
      </c>
      <c r="V4073" t="str">
        <f t="shared" si="1659"/>
        <v>FARHANA BINTI MUSTAPA</v>
      </c>
      <c r="W4073" t="str">
        <f t="shared" si="1660"/>
        <v>04-08-2020</v>
      </c>
      <c r="X4073" t="str">
        <f t="shared" si="1661"/>
        <v>RAZIMAH ANSAR AHMAD</v>
      </c>
      <c r="Y4073" t="str">
        <f t="shared" si="1662"/>
        <v>04-08-2020</v>
      </c>
      <c r="Z4073" t="str">
        <f>"COS10200804 5081"</f>
        <v>COS10200804 5081</v>
      </c>
    </row>
    <row r="4074" spans="1:26" x14ac:dyDescent="0.25">
      <c r="A4074" t="str">
        <f t="shared" si="1667"/>
        <v>04-08-2020 12:55:04</v>
      </c>
      <c r="B4074" t="str">
        <f>"0000806866"</f>
        <v>0000806866</v>
      </c>
      <c r="C4074" t="str">
        <f t="shared" si="1668"/>
        <v>0000806786</v>
      </c>
      <c r="D4074" t="str">
        <f t="shared" si="1650"/>
        <v>73185</v>
      </c>
      <c r="E4074" t="str">
        <f t="shared" si="1651"/>
        <v>KFH-OPERATIONS DEPARTMENT</v>
      </c>
      <c r="F4074" t="str">
        <f t="shared" si="1652"/>
        <v>IBG</v>
      </c>
      <c r="G4074" t="str">
        <f t="shared" si="1663"/>
        <v>Refund COSHARE 10</v>
      </c>
      <c r="H4074" s="2">
        <v>587.65</v>
      </c>
      <c r="I4074" t="str">
        <f>"KURSIAH BINTI RAMLEI"</f>
        <v>KURSIAH BINTI RAMLEI</v>
      </c>
      <c r="J4074" t="str">
        <f t="shared" si="1666"/>
        <v>MAYBANK / MAYBANK ISLAMIC</v>
      </c>
      <c r="K4074" t="str">
        <f>"151098304481"</f>
        <v>151098304481</v>
      </c>
      <c r="L4074" t="str">
        <f t="shared" si="1669"/>
        <v>04-08-2020</v>
      </c>
      <c r="M4074" t="str">
        <f t="shared" si="1669"/>
        <v>04-08-2020</v>
      </c>
      <c r="N4074" t="str">
        <f t="shared" si="1653"/>
        <v>001105018356</v>
      </c>
      <c r="O4074" t="str">
        <f t="shared" si="1654"/>
        <v>MYR</v>
      </c>
      <c r="P4074" t="str">
        <f t="shared" si="1670"/>
        <v>NIL</v>
      </c>
      <c r="Q4074" t="str">
        <f t="shared" si="1670"/>
        <v>NIL</v>
      </c>
      <c r="R4074" t="str">
        <f t="shared" si="1655"/>
        <v>Accepted</v>
      </c>
      <c r="S4074" t="str">
        <f t="shared" si="1656"/>
        <v>Approved</v>
      </c>
      <c r="T4074" t="str">
        <f t="shared" si="1657"/>
        <v>10.20.8.188</v>
      </c>
      <c r="U4074" t="str">
        <f t="shared" si="1658"/>
        <v>AZRAD UMAR BIN SHAARI</v>
      </c>
      <c r="V4074" t="str">
        <f t="shared" si="1659"/>
        <v>FARHANA BINTI MUSTAPA</v>
      </c>
      <c r="W4074" t="str">
        <f t="shared" si="1660"/>
        <v>04-08-2020</v>
      </c>
      <c r="X4074" t="str">
        <f t="shared" si="1661"/>
        <v>RAZIMAH ANSAR AHMAD</v>
      </c>
      <c r="Y4074" t="str">
        <f t="shared" si="1662"/>
        <v>04-08-2020</v>
      </c>
      <c r="Z4074" t="str">
        <f>"COS10200804 5080"</f>
        <v>COS10200804 5080</v>
      </c>
    </row>
    <row r="4075" spans="1:26" x14ac:dyDescent="0.25">
      <c r="A4075" t="str">
        <f t="shared" si="1667"/>
        <v>04-08-2020 12:55:04</v>
      </c>
      <c r="B4075" t="str">
        <f>"0000806865"</f>
        <v>0000806865</v>
      </c>
      <c r="C4075" t="str">
        <f t="shared" si="1668"/>
        <v>0000806786</v>
      </c>
      <c r="D4075" t="str">
        <f t="shared" si="1650"/>
        <v>73185</v>
      </c>
      <c r="E4075" t="str">
        <f t="shared" si="1651"/>
        <v>KFH-OPERATIONS DEPARTMENT</v>
      </c>
      <c r="F4075" t="str">
        <f t="shared" si="1652"/>
        <v>IBG</v>
      </c>
      <c r="G4075" t="str">
        <f t="shared" si="1663"/>
        <v>Refund COSHARE 10</v>
      </c>
      <c r="H4075" s="2">
        <v>442.05</v>
      </c>
      <c r="I4075" t="str">
        <f>"KUMUTHAMALAR AP SHANMUGAM"</f>
        <v>KUMUTHAMALAR AP SHANMUGAM</v>
      </c>
      <c r="J4075" t="str">
        <f t="shared" si="1666"/>
        <v>MAYBANK / MAYBANK ISLAMIC</v>
      </c>
      <c r="K4075" t="str">
        <f>"107078024054"</f>
        <v>107078024054</v>
      </c>
      <c r="L4075" t="str">
        <f t="shared" si="1669"/>
        <v>04-08-2020</v>
      </c>
      <c r="M4075" t="str">
        <f t="shared" si="1669"/>
        <v>04-08-2020</v>
      </c>
      <c r="N4075" t="str">
        <f t="shared" si="1653"/>
        <v>001105018356</v>
      </c>
      <c r="O4075" t="str">
        <f t="shared" si="1654"/>
        <v>MYR</v>
      </c>
      <c r="P4075" t="str">
        <f t="shared" si="1670"/>
        <v>NIL</v>
      </c>
      <c r="Q4075" t="str">
        <f t="shared" si="1670"/>
        <v>NIL</v>
      </c>
      <c r="R4075" t="str">
        <f t="shared" si="1655"/>
        <v>Accepted</v>
      </c>
      <c r="S4075" t="str">
        <f t="shared" si="1656"/>
        <v>Approved</v>
      </c>
      <c r="T4075" t="str">
        <f t="shared" si="1657"/>
        <v>10.20.8.188</v>
      </c>
      <c r="U4075" t="str">
        <f t="shared" si="1658"/>
        <v>AZRAD UMAR BIN SHAARI</v>
      </c>
      <c r="V4075" t="str">
        <f t="shared" si="1659"/>
        <v>FARHANA BINTI MUSTAPA</v>
      </c>
      <c r="W4075" t="str">
        <f t="shared" si="1660"/>
        <v>04-08-2020</v>
      </c>
      <c r="X4075" t="str">
        <f t="shared" si="1661"/>
        <v>RAZIMAH ANSAR AHMAD</v>
      </c>
      <c r="Y4075" t="str">
        <f t="shared" si="1662"/>
        <v>04-08-2020</v>
      </c>
      <c r="Z4075" t="str">
        <f>"COS10200804 5079"</f>
        <v>COS10200804 5079</v>
      </c>
    </row>
    <row r="4076" spans="1:26" x14ac:dyDescent="0.25">
      <c r="A4076" t="str">
        <f t="shared" si="1667"/>
        <v>04-08-2020 12:55:04</v>
      </c>
      <c r="B4076" t="str">
        <f>"0000806864"</f>
        <v>0000806864</v>
      </c>
      <c r="C4076" t="str">
        <f t="shared" si="1668"/>
        <v>0000806786</v>
      </c>
      <c r="D4076" t="str">
        <f t="shared" si="1650"/>
        <v>73185</v>
      </c>
      <c r="E4076" t="str">
        <f t="shared" si="1651"/>
        <v>KFH-OPERATIONS DEPARTMENT</v>
      </c>
      <c r="F4076" t="str">
        <f t="shared" si="1652"/>
        <v>IBG</v>
      </c>
      <c r="G4076" t="str">
        <f t="shared" si="1663"/>
        <v>Refund COSHARE 10</v>
      </c>
      <c r="H4076" s="2">
        <v>83.95</v>
      </c>
      <c r="I4076" t="str">
        <f>"KUMARESAN AL KARUNANEETHI"</f>
        <v>KUMARESAN AL KARUNANEETHI</v>
      </c>
      <c r="J4076" t="str">
        <f t="shared" si="1666"/>
        <v>MAYBANK / MAYBANK ISLAMIC</v>
      </c>
      <c r="K4076" t="str">
        <f>"106089278522"</f>
        <v>106089278522</v>
      </c>
      <c r="L4076" t="str">
        <f t="shared" si="1669"/>
        <v>04-08-2020</v>
      </c>
      <c r="M4076" t="str">
        <f t="shared" si="1669"/>
        <v>04-08-2020</v>
      </c>
      <c r="N4076" t="str">
        <f t="shared" si="1653"/>
        <v>001105018356</v>
      </c>
      <c r="O4076" t="str">
        <f t="shared" si="1654"/>
        <v>MYR</v>
      </c>
      <c r="P4076" t="str">
        <f t="shared" si="1670"/>
        <v>NIL</v>
      </c>
      <c r="Q4076" t="str">
        <f t="shared" si="1670"/>
        <v>NIL</v>
      </c>
      <c r="R4076" t="str">
        <f t="shared" si="1655"/>
        <v>Accepted</v>
      </c>
      <c r="S4076" t="str">
        <f t="shared" si="1656"/>
        <v>Approved</v>
      </c>
      <c r="T4076" t="str">
        <f t="shared" si="1657"/>
        <v>10.20.8.188</v>
      </c>
      <c r="U4076" t="str">
        <f t="shared" si="1658"/>
        <v>AZRAD UMAR BIN SHAARI</v>
      </c>
      <c r="V4076" t="str">
        <f t="shared" si="1659"/>
        <v>FARHANA BINTI MUSTAPA</v>
      </c>
      <c r="W4076" t="str">
        <f t="shared" si="1660"/>
        <v>04-08-2020</v>
      </c>
      <c r="X4076" t="str">
        <f t="shared" si="1661"/>
        <v>RAZIMAH ANSAR AHMAD</v>
      </c>
      <c r="Y4076" t="str">
        <f t="shared" si="1662"/>
        <v>04-08-2020</v>
      </c>
      <c r="Z4076" t="str">
        <f>"COS10200804 5078"</f>
        <v>COS10200804 5078</v>
      </c>
    </row>
    <row r="4077" spans="1:26" x14ac:dyDescent="0.25">
      <c r="A4077" t="str">
        <f t="shared" si="1667"/>
        <v>04-08-2020 12:55:04</v>
      </c>
      <c r="B4077" t="str">
        <f>"0000806863"</f>
        <v>0000806863</v>
      </c>
      <c r="C4077" t="str">
        <f t="shared" si="1668"/>
        <v>0000806786</v>
      </c>
      <c r="D4077" t="str">
        <f t="shared" si="1650"/>
        <v>73185</v>
      </c>
      <c r="E4077" t="str">
        <f t="shared" si="1651"/>
        <v>KFH-OPERATIONS DEPARTMENT</v>
      </c>
      <c r="F4077" t="str">
        <f t="shared" si="1652"/>
        <v>IBG</v>
      </c>
      <c r="G4077" t="str">
        <f t="shared" si="1663"/>
        <v>Refund COSHARE 10</v>
      </c>
      <c r="H4077" s="2">
        <v>189.3</v>
      </c>
      <c r="I4077" t="str">
        <f>"KUMAR AL SUBRAMANIAM"</f>
        <v>KUMAR AL SUBRAMANIAM</v>
      </c>
      <c r="J4077" t="str">
        <f t="shared" si="1666"/>
        <v>MAYBANK / MAYBANK ISLAMIC</v>
      </c>
      <c r="K4077" t="str">
        <f>"108216160574"</f>
        <v>108216160574</v>
      </c>
      <c r="L4077" t="str">
        <f t="shared" si="1669"/>
        <v>04-08-2020</v>
      </c>
      <c r="M4077" t="str">
        <f t="shared" si="1669"/>
        <v>04-08-2020</v>
      </c>
      <c r="N4077" t="str">
        <f t="shared" si="1653"/>
        <v>001105018356</v>
      </c>
      <c r="O4077" t="str">
        <f t="shared" si="1654"/>
        <v>MYR</v>
      </c>
      <c r="P4077" t="str">
        <f t="shared" si="1670"/>
        <v>NIL</v>
      </c>
      <c r="Q4077" t="str">
        <f t="shared" si="1670"/>
        <v>NIL</v>
      </c>
      <c r="R4077" t="str">
        <f t="shared" si="1655"/>
        <v>Accepted</v>
      </c>
      <c r="S4077" t="str">
        <f t="shared" si="1656"/>
        <v>Approved</v>
      </c>
      <c r="T4077" t="str">
        <f t="shared" si="1657"/>
        <v>10.20.8.188</v>
      </c>
      <c r="U4077" t="str">
        <f t="shared" si="1658"/>
        <v>AZRAD UMAR BIN SHAARI</v>
      </c>
      <c r="V4077" t="str">
        <f t="shared" si="1659"/>
        <v>FARHANA BINTI MUSTAPA</v>
      </c>
      <c r="W4077" t="str">
        <f t="shared" si="1660"/>
        <v>04-08-2020</v>
      </c>
      <c r="X4077" t="str">
        <f t="shared" si="1661"/>
        <v>RAZIMAH ANSAR AHMAD</v>
      </c>
      <c r="Y4077" t="str">
        <f t="shared" si="1662"/>
        <v>04-08-2020</v>
      </c>
      <c r="Z4077" t="str">
        <f>"COS10200804 5077"</f>
        <v>COS10200804 5077</v>
      </c>
    </row>
    <row r="4078" spans="1:26" x14ac:dyDescent="0.25">
      <c r="A4078" t="str">
        <f t="shared" si="1667"/>
        <v>04-08-2020 12:55:04</v>
      </c>
      <c r="B4078" t="str">
        <f>"0000806862"</f>
        <v>0000806862</v>
      </c>
      <c r="C4078" t="str">
        <f t="shared" si="1668"/>
        <v>0000806786</v>
      </c>
      <c r="D4078" t="str">
        <f t="shared" si="1650"/>
        <v>73185</v>
      </c>
      <c r="E4078" t="str">
        <f t="shared" si="1651"/>
        <v>KFH-OPERATIONS DEPARTMENT</v>
      </c>
      <c r="F4078" t="str">
        <f t="shared" si="1652"/>
        <v>IBG</v>
      </c>
      <c r="G4078" t="str">
        <f t="shared" si="1663"/>
        <v>Refund COSHARE 10</v>
      </c>
      <c r="H4078" s="2">
        <v>189.3</v>
      </c>
      <c r="I4078" t="str">
        <f>"KUMAR AL SUBRAMANIAM"</f>
        <v>KUMAR AL SUBRAMANIAM</v>
      </c>
      <c r="J4078" t="str">
        <f t="shared" si="1666"/>
        <v>MAYBANK / MAYBANK ISLAMIC</v>
      </c>
      <c r="K4078" t="str">
        <f>"108216160574"</f>
        <v>108216160574</v>
      </c>
      <c r="L4078" t="str">
        <f t="shared" si="1669"/>
        <v>04-08-2020</v>
      </c>
      <c r="M4078" t="str">
        <f t="shared" si="1669"/>
        <v>04-08-2020</v>
      </c>
      <c r="N4078" t="str">
        <f t="shared" si="1653"/>
        <v>001105018356</v>
      </c>
      <c r="O4078" t="str">
        <f t="shared" si="1654"/>
        <v>MYR</v>
      </c>
      <c r="P4078" t="str">
        <f t="shared" si="1670"/>
        <v>NIL</v>
      </c>
      <c r="Q4078" t="str">
        <f t="shared" si="1670"/>
        <v>NIL</v>
      </c>
      <c r="R4078" t="str">
        <f t="shared" si="1655"/>
        <v>Accepted</v>
      </c>
      <c r="S4078" t="str">
        <f t="shared" si="1656"/>
        <v>Approved</v>
      </c>
      <c r="T4078" t="str">
        <f t="shared" si="1657"/>
        <v>10.20.8.188</v>
      </c>
      <c r="U4078" t="str">
        <f t="shared" si="1658"/>
        <v>AZRAD UMAR BIN SHAARI</v>
      </c>
      <c r="V4078" t="str">
        <f t="shared" si="1659"/>
        <v>FARHANA BINTI MUSTAPA</v>
      </c>
      <c r="W4078" t="str">
        <f t="shared" si="1660"/>
        <v>04-08-2020</v>
      </c>
      <c r="X4078" t="str">
        <f t="shared" si="1661"/>
        <v>RAZIMAH ANSAR AHMAD</v>
      </c>
      <c r="Y4078" t="str">
        <f t="shared" si="1662"/>
        <v>04-08-2020</v>
      </c>
      <c r="Z4078" t="str">
        <f>"COS10200804 5076"</f>
        <v>COS10200804 5076</v>
      </c>
    </row>
    <row r="4079" spans="1:26" x14ac:dyDescent="0.25">
      <c r="A4079" t="str">
        <f t="shared" si="1667"/>
        <v>04-08-2020 12:55:04</v>
      </c>
      <c r="B4079" t="str">
        <f>"0000806861"</f>
        <v>0000806861</v>
      </c>
      <c r="C4079" t="str">
        <f t="shared" si="1668"/>
        <v>0000806786</v>
      </c>
      <c r="D4079" t="str">
        <f t="shared" si="1650"/>
        <v>73185</v>
      </c>
      <c r="E4079" t="str">
        <f t="shared" si="1651"/>
        <v>KFH-OPERATIONS DEPARTMENT</v>
      </c>
      <c r="F4079" t="str">
        <f t="shared" si="1652"/>
        <v>IBG</v>
      </c>
      <c r="G4079" t="str">
        <f t="shared" si="1663"/>
        <v>Refund COSHARE 10</v>
      </c>
      <c r="H4079" s="2">
        <v>267.64999999999998</v>
      </c>
      <c r="I4079" t="str">
        <f>"KUAH LEE PENG"</f>
        <v>KUAH LEE PENG</v>
      </c>
      <c r="J4079" t="str">
        <f t="shared" si="1666"/>
        <v>MAYBANK / MAYBANK ISLAMIC</v>
      </c>
      <c r="K4079" t="str">
        <f>"108065199451"</f>
        <v>108065199451</v>
      </c>
      <c r="L4079" t="str">
        <f t="shared" si="1669"/>
        <v>04-08-2020</v>
      </c>
      <c r="M4079" t="str">
        <f t="shared" si="1669"/>
        <v>04-08-2020</v>
      </c>
      <c r="N4079" t="str">
        <f t="shared" si="1653"/>
        <v>001105018356</v>
      </c>
      <c r="O4079" t="str">
        <f t="shared" si="1654"/>
        <v>MYR</v>
      </c>
      <c r="P4079" t="str">
        <f t="shared" si="1670"/>
        <v>NIL</v>
      </c>
      <c r="Q4079" t="str">
        <f t="shared" si="1670"/>
        <v>NIL</v>
      </c>
      <c r="R4079" t="str">
        <f t="shared" si="1655"/>
        <v>Accepted</v>
      </c>
      <c r="S4079" t="str">
        <f t="shared" si="1656"/>
        <v>Approved</v>
      </c>
      <c r="T4079" t="str">
        <f t="shared" si="1657"/>
        <v>10.20.8.188</v>
      </c>
      <c r="U4079" t="str">
        <f t="shared" si="1658"/>
        <v>AZRAD UMAR BIN SHAARI</v>
      </c>
      <c r="V4079" t="str">
        <f t="shared" si="1659"/>
        <v>FARHANA BINTI MUSTAPA</v>
      </c>
      <c r="W4079" t="str">
        <f t="shared" si="1660"/>
        <v>04-08-2020</v>
      </c>
      <c r="X4079" t="str">
        <f t="shared" si="1661"/>
        <v>RAZIMAH ANSAR AHMAD</v>
      </c>
      <c r="Y4079" t="str">
        <f t="shared" si="1662"/>
        <v>04-08-2020</v>
      </c>
      <c r="Z4079" t="str">
        <f>"COS10200804 5075"</f>
        <v>COS10200804 5075</v>
      </c>
    </row>
    <row r="4080" spans="1:26" x14ac:dyDescent="0.25">
      <c r="A4080" t="str">
        <f t="shared" si="1667"/>
        <v>04-08-2020 12:55:04</v>
      </c>
      <c r="B4080" t="str">
        <f>"0000806860"</f>
        <v>0000806860</v>
      </c>
      <c r="C4080" t="str">
        <f t="shared" si="1668"/>
        <v>0000806786</v>
      </c>
      <c r="D4080" t="str">
        <f t="shared" si="1650"/>
        <v>73185</v>
      </c>
      <c r="E4080" t="str">
        <f t="shared" si="1651"/>
        <v>KFH-OPERATIONS DEPARTMENT</v>
      </c>
      <c r="F4080" t="str">
        <f t="shared" si="1652"/>
        <v>IBG</v>
      </c>
      <c r="G4080" t="str">
        <f t="shared" si="1663"/>
        <v>Refund COSHARE 10</v>
      </c>
      <c r="H4080" s="2">
        <v>705.2</v>
      </c>
      <c r="I4080" t="str">
        <f>"KRISYNAMURTY AL MUNISAMY"</f>
        <v>KRISYNAMURTY AL MUNISAMY</v>
      </c>
      <c r="J4080" t="str">
        <f t="shared" si="1666"/>
        <v>MAYBANK / MAYBANK ISLAMIC</v>
      </c>
      <c r="K4080" t="str">
        <f>"151155561613"</f>
        <v>151155561613</v>
      </c>
      <c r="L4080" t="str">
        <f t="shared" si="1669"/>
        <v>04-08-2020</v>
      </c>
      <c r="M4080" t="str">
        <f t="shared" si="1669"/>
        <v>04-08-2020</v>
      </c>
      <c r="N4080" t="str">
        <f t="shared" si="1653"/>
        <v>001105018356</v>
      </c>
      <c r="O4080" t="str">
        <f t="shared" si="1654"/>
        <v>MYR</v>
      </c>
      <c r="P4080" t="str">
        <f t="shared" si="1670"/>
        <v>NIL</v>
      </c>
      <c r="Q4080" t="str">
        <f t="shared" si="1670"/>
        <v>NIL</v>
      </c>
      <c r="R4080" t="str">
        <f t="shared" si="1655"/>
        <v>Accepted</v>
      </c>
      <c r="S4080" t="str">
        <f t="shared" si="1656"/>
        <v>Approved</v>
      </c>
      <c r="T4080" t="str">
        <f t="shared" si="1657"/>
        <v>10.20.8.188</v>
      </c>
      <c r="U4080" t="str">
        <f t="shared" si="1658"/>
        <v>AZRAD UMAR BIN SHAARI</v>
      </c>
      <c r="V4080" t="str">
        <f t="shared" si="1659"/>
        <v>FARHANA BINTI MUSTAPA</v>
      </c>
      <c r="W4080" t="str">
        <f t="shared" si="1660"/>
        <v>04-08-2020</v>
      </c>
      <c r="X4080" t="str">
        <f t="shared" si="1661"/>
        <v>RAZIMAH ANSAR AHMAD</v>
      </c>
      <c r="Y4080" t="str">
        <f t="shared" si="1662"/>
        <v>04-08-2020</v>
      </c>
      <c r="Z4080" t="str">
        <f>"COS10200804 5074"</f>
        <v>COS10200804 5074</v>
      </c>
    </row>
    <row r="4081" spans="1:26" x14ac:dyDescent="0.25">
      <c r="A4081" t="str">
        <f t="shared" si="1667"/>
        <v>04-08-2020 12:55:04</v>
      </c>
      <c r="B4081" t="str">
        <f>"0000806859"</f>
        <v>0000806859</v>
      </c>
      <c r="C4081" t="str">
        <f t="shared" si="1668"/>
        <v>0000806786</v>
      </c>
      <c r="D4081" t="str">
        <f t="shared" si="1650"/>
        <v>73185</v>
      </c>
      <c r="E4081" t="str">
        <f t="shared" si="1651"/>
        <v>KFH-OPERATIONS DEPARTMENT</v>
      </c>
      <c r="F4081" t="str">
        <f t="shared" si="1652"/>
        <v>IBG</v>
      </c>
      <c r="G4081" t="str">
        <f t="shared" si="1663"/>
        <v>Refund COSHARE 10</v>
      </c>
      <c r="H4081" s="2">
        <v>420</v>
      </c>
      <c r="I4081" t="str">
        <f>"KOKILA AP SANDRASEGARAM"</f>
        <v>KOKILA AP SANDRASEGARAM</v>
      </c>
      <c r="J4081" t="str">
        <f t="shared" si="1666"/>
        <v>MAYBANK / MAYBANK ISLAMIC</v>
      </c>
      <c r="K4081" t="str">
        <f>"158220582227"</f>
        <v>158220582227</v>
      </c>
      <c r="L4081" t="str">
        <f t="shared" si="1669"/>
        <v>04-08-2020</v>
      </c>
      <c r="M4081" t="str">
        <f t="shared" si="1669"/>
        <v>04-08-2020</v>
      </c>
      <c r="N4081" t="str">
        <f t="shared" si="1653"/>
        <v>001105018356</v>
      </c>
      <c r="O4081" t="str">
        <f t="shared" si="1654"/>
        <v>MYR</v>
      </c>
      <c r="P4081" t="str">
        <f t="shared" si="1670"/>
        <v>NIL</v>
      </c>
      <c r="Q4081" t="str">
        <f t="shared" si="1670"/>
        <v>NIL</v>
      </c>
      <c r="R4081" t="str">
        <f t="shared" si="1655"/>
        <v>Accepted</v>
      </c>
      <c r="S4081" t="str">
        <f t="shared" si="1656"/>
        <v>Approved</v>
      </c>
      <c r="T4081" t="str">
        <f t="shared" si="1657"/>
        <v>10.20.8.188</v>
      </c>
      <c r="U4081" t="str">
        <f t="shared" si="1658"/>
        <v>AZRAD UMAR BIN SHAARI</v>
      </c>
      <c r="V4081" t="str">
        <f t="shared" si="1659"/>
        <v>FARHANA BINTI MUSTAPA</v>
      </c>
      <c r="W4081" t="str">
        <f t="shared" si="1660"/>
        <v>04-08-2020</v>
      </c>
      <c r="X4081" t="str">
        <f t="shared" si="1661"/>
        <v>RAZIMAH ANSAR AHMAD</v>
      </c>
      <c r="Y4081" t="str">
        <f t="shared" si="1662"/>
        <v>04-08-2020</v>
      </c>
      <c r="Z4081" t="str">
        <f>"COS10200804 5073"</f>
        <v>COS10200804 5073</v>
      </c>
    </row>
    <row r="4082" spans="1:26" x14ac:dyDescent="0.25">
      <c r="A4082" t="str">
        <f t="shared" ref="A4082:A4113" si="1671">"04-08-2020 12:55:04"</f>
        <v>04-08-2020 12:55:04</v>
      </c>
      <c r="B4082" t="str">
        <f>"0000806858"</f>
        <v>0000806858</v>
      </c>
      <c r="C4082" t="str">
        <f t="shared" ref="C4082:C4113" si="1672">"0000806786"</f>
        <v>0000806786</v>
      </c>
      <c r="D4082" t="str">
        <f t="shared" si="1650"/>
        <v>73185</v>
      </c>
      <c r="E4082" t="str">
        <f t="shared" si="1651"/>
        <v>KFH-OPERATIONS DEPARTMENT</v>
      </c>
      <c r="F4082" t="str">
        <f t="shared" si="1652"/>
        <v>IBG</v>
      </c>
      <c r="G4082" t="str">
        <f t="shared" si="1663"/>
        <v>Refund COSHARE 10</v>
      </c>
      <c r="H4082" s="2">
        <v>1518</v>
      </c>
      <c r="I4082" t="str">
        <f>"KIPLI BIN JEMAN"</f>
        <v>KIPLI BIN JEMAN</v>
      </c>
      <c r="J4082" t="str">
        <f t="shared" si="1666"/>
        <v>MAYBANK / MAYBANK ISLAMIC</v>
      </c>
      <c r="K4082" t="str">
        <f>"151043073095"</f>
        <v>151043073095</v>
      </c>
      <c r="L4082" t="str">
        <f t="shared" si="1669"/>
        <v>04-08-2020</v>
      </c>
      <c r="M4082" t="str">
        <f t="shared" si="1669"/>
        <v>04-08-2020</v>
      </c>
      <c r="N4082" t="str">
        <f t="shared" si="1653"/>
        <v>001105018356</v>
      </c>
      <c r="O4082" t="str">
        <f t="shared" si="1654"/>
        <v>MYR</v>
      </c>
      <c r="P4082" t="str">
        <f t="shared" si="1670"/>
        <v>NIL</v>
      </c>
      <c r="Q4082" t="str">
        <f t="shared" si="1670"/>
        <v>NIL</v>
      </c>
      <c r="R4082" t="str">
        <f t="shared" si="1655"/>
        <v>Accepted</v>
      </c>
      <c r="S4082" t="str">
        <f t="shared" si="1656"/>
        <v>Approved</v>
      </c>
      <c r="T4082" t="str">
        <f t="shared" si="1657"/>
        <v>10.20.8.188</v>
      </c>
      <c r="U4082" t="str">
        <f t="shared" si="1658"/>
        <v>AZRAD UMAR BIN SHAARI</v>
      </c>
      <c r="V4082" t="str">
        <f t="shared" si="1659"/>
        <v>FARHANA BINTI MUSTAPA</v>
      </c>
      <c r="W4082" t="str">
        <f t="shared" si="1660"/>
        <v>04-08-2020</v>
      </c>
      <c r="X4082" t="str">
        <f t="shared" si="1661"/>
        <v>RAZIMAH ANSAR AHMAD</v>
      </c>
      <c r="Y4082" t="str">
        <f t="shared" si="1662"/>
        <v>04-08-2020</v>
      </c>
      <c r="Z4082" t="str">
        <f>"COS10200804 5072"</f>
        <v>COS10200804 5072</v>
      </c>
    </row>
    <row r="4083" spans="1:26" x14ac:dyDescent="0.25">
      <c r="A4083" t="str">
        <f t="shared" si="1671"/>
        <v>04-08-2020 12:55:04</v>
      </c>
      <c r="B4083" t="str">
        <f>"0000806857"</f>
        <v>0000806857</v>
      </c>
      <c r="C4083" t="str">
        <f t="shared" si="1672"/>
        <v>0000806786</v>
      </c>
      <c r="D4083" t="str">
        <f t="shared" si="1650"/>
        <v>73185</v>
      </c>
      <c r="E4083" t="str">
        <f t="shared" si="1651"/>
        <v>KFH-OPERATIONS DEPARTMENT</v>
      </c>
      <c r="F4083" t="str">
        <f t="shared" si="1652"/>
        <v>IBG</v>
      </c>
      <c r="G4083" t="str">
        <f t="shared" si="1663"/>
        <v>Refund COSHARE 10</v>
      </c>
      <c r="H4083" s="2">
        <v>503.7</v>
      </c>
      <c r="I4083" t="str">
        <f>"KIA ANAK JUMOI"</f>
        <v>KIA ANAK JUMOI</v>
      </c>
      <c r="J4083" t="str">
        <f t="shared" si="1666"/>
        <v>MAYBANK / MAYBANK ISLAMIC</v>
      </c>
      <c r="K4083" t="str">
        <f>"111084027559"</f>
        <v>111084027559</v>
      </c>
      <c r="L4083" t="str">
        <f t="shared" si="1669"/>
        <v>04-08-2020</v>
      </c>
      <c r="M4083" t="str">
        <f t="shared" si="1669"/>
        <v>04-08-2020</v>
      </c>
      <c r="N4083" t="str">
        <f t="shared" si="1653"/>
        <v>001105018356</v>
      </c>
      <c r="O4083" t="str">
        <f t="shared" si="1654"/>
        <v>MYR</v>
      </c>
      <c r="P4083" t="str">
        <f t="shared" si="1670"/>
        <v>NIL</v>
      </c>
      <c r="Q4083" t="str">
        <f t="shared" si="1670"/>
        <v>NIL</v>
      </c>
      <c r="R4083" t="str">
        <f t="shared" si="1655"/>
        <v>Accepted</v>
      </c>
      <c r="S4083" t="str">
        <f t="shared" si="1656"/>
        <v>Approved</v>
      </c>
      <c r="T4083" t="str">
        <f t="shared" si="1657"/>
        <v>10.20.8.188</v>
      </c>
      <c r="U4083" t="str">
        <f t="shared" si="1658"/>
        <v>AZRAD UMAR BIN SHAARI</v>
      </c>
      <c r="V4083" t="str">
        <f t="shared" si="1659"/>
        <v>FARHANA BINTI MUSTAPA</v>
      </c>
      <c r="W4083" t="str">
        <f t="shared" si="1660"/>
        <v>04-08-2020</v>
      </c>
      <c r="X4083" t="str">
        <f t="shared" si="1661"/>
        <v>RAZIMAH ANSAR AHMAD</v>
      </c>
      <c r="Y4083" t="str">
        <f t="shared" si="1662"/>
        <v>04-08-2020</v>
      </c>
      <c r="Z4083" t="str">
        <f>"COS10200804 5071"</f>
        <v>COS10200804 5071</v>
      </c>
    </row>
    <row r="4084" spans="1:26" x14ac:dyDescent="0.25">
      <c r="A4084" t="str">
        <f t="shared" si="1671"/>
        <v>04-08-2020 12:55:04</v>
      </c>
      <c r="B4084" t="str">
        <f>"0000806856"</f>
        <v>0000806856</v>
      </c>
      <c r="C4084" t="str">
        <f t="shared" si="1672"/>
        <v>0000806786</v>
      </c>
      <c r="D4084" t="str">
        <f t="shared" si="1650"/>
        <v>73185</v>
      </c>
      <c r="E4084" t="str">
        <f t="shared" si="1651"/>
        <v>KFH-OPERATIONS DEPARTMENT</v>
      </c>
      <c r="F4084" t="str">
        <f t="shared" si="1652"/>
        <v>IBG</v>
      </c>
      <c r="G4084" t="str">
        <f t="shared" si="1663"/>
        <v>Refund COSHARE 10</v>
      </c>
      <c r="H4084" s="2">
        <v>822.7</v>
      </c>
      <c r="I4084" t="str">
        <f>"KHOTIJAH BINTI MD YAZID"</f>
        <v>KHOTIJAH BINTI MD YAZID</v>
      </c>
      <c r="J4084" t="str">
        <f t="shared" si="1666"/>
        <v>MAYBANK / MAYBANK ISLAMIC</v>
      </c>
      <c r="K4084" t="str">
        <f>"152050321756"</f>
        <v>152050321756</v>
      </c>
      <c r="L4084" t="str">
        <f t="shared" si="1669"/>
        <v>04-08-2020</v>
      </c>
      <c r="M4084" t="str">
        <f t="shared" si="1669"/>
        <v>04-08-2020</v>
      </c>
      <c r="N4084" t="str">
        <f t="shared" si="1653"/>
        <v>001105018356</v>
      </c>
      <c r="O4084" t="str">
        <f t="shared" si="1654"/>
        <v>MYR</v>
      </c>
      <c r="P4084" t="str">
        <f t="shared" si="1670"/>
        <v>NIL</v>
      </c>
      <c r="Q4084" t="str">
        <f t="shared" si="1670"/>
        <v>NIL</v>
      </c>
      <c r="R4084" t="str">
        <f t="shared" si="1655"/>
        <v>Accepted</v>
      </c>
      <c r="S4084" t="str">
        <f t="shared" si="1656"/>
        <v>Approved</v>
      </c>
      <c r="T4084" t="str">
        <f t="shared" si="1657"/>
        <v>10.20.8.188</v>
      </c>
      <c r="U4084" t="str">
        <f t="shared" si="1658"/>
        <v>AZRAD UMAR BIN SHAARI</v>
      </c>
      <c r="V4084" t="str">
        <f t="shared" si="1659"/>
        <v>FARHANA BINTI MUSTAPA</v>
      </c>
      <c r="W4084" t="str">
        <f t="shared" si="1660"/>
        <v>04-08-2020</v>
      </c>
      <c r="X4084" t="str">
        <f t="shared" si="1661"/>
        <v>RAZIMAH ANSAR AHMAD</v>
      </c>
      <c r="Y4084" t="str">
        <f t="shared" si="1662"/>
        <v>04-08-2020</v>
      </c>
      <c r="Z4084" t="str">
        <f>"COS10200804 5070"</f>
        <v>COS10200804 5070</v>
      </c>
    </row>
    <row r="4085" spans="1:26" x14ac:dyDescent="0.25">
      <c r="A4085" t="str">
        <f t="shared" si="1671"/>
        <v>04-08-2020 12:55:04</v>
      </c>
      <c r="B4085" t="str">
        <f>"0000806855"</f>
        <v>0000806855</v>
      </c>
      <c r="C4085" t="str">
        <f t="shared" si="1672"/>
        <v>0000806786</v>
      </c>
      <c r="D4085" t="str">
        <f t="shared" si="1650"/>
        <v>73185</v>
      </c>
      <c r="E4085" t="str">
        <f t="shared" si="1651"/>
        <v>KFH-OPERATIONS DEPARTMENT</v>
      </c>
      <c r="F4085" t="str">
        <f t="shared" si="1652"/>
        <v>IBG</v>
      </c>
      <c r="G4085" t="str">
        <f t="shared" si="1663"/>
        <v>Refund COSHARE 10</v>
      </c>
      <c r="H4085" s="2">
        <v>42</v>
      </c>
      <c r="I4085" t="str">
        <f>"KHOSIM BIN ZAKARIA"</f>
        <v>KHOSIM BIN ZAKARIA</v>
      </c>
      <c r="J4085" t="str">
        <f t="shared" si="1666"/>
        <v>MAYBANK / MAYBANK ISLAMIC</v>
      </c>
      <c r="K4085" t="str">
        <f>"102102106206"</f>
        <v>102102106206</v>
      </c>
      <c r="L4085" t="str">
        <f t="shared" si="1669"/>
        <v>04-08-2020</v>
      </c>
      <c r="M4085" t="str">
        <f t="shared" si="1669"/>
        <v>04-08-2020</v>
      </c>
      <c r="N4085" t="str">
        <f t="shared" si="1653"/>
        <v>001105018356</v>
      </c>
      <c r="O4085" t="str">
        <f t="shared" si="1654"/>
        <v>MYR</v>
      </c>
      <c r="P4085" t="str">
        <f t="shared" si="1670"/>
        <v>NIL</v>
      </c>
      <c r="Q4085" t="str">
        <f t="shared" si="1670"/>
        <v>NIL</v>
      </c>
      <c r="R4085" t="str">
        <f t="shared" si="1655"/>
        <v>Accepted</v>
      </c>
      <c r="S4085" t="str">
        <f t="shared" si="1656"/>
        <v>Approved</v>
      </c>
      <c r="T4085" t="str">
        <f t="shared" si="1657"/>
        <v>10.20.8.188</v>
      </c>
      <c r="U4085" t="str">
        <f t="shared" si="1658"/>
        <v>AZRAD UMAR BIN SHAARI</v>
      </c>
      <c r="V4085" t="str">
        <f t="shared" si="1659"/>
        <v>FARHANA BINTI MUSTAPA</v>
      </c>
      <c r="W4085" t="str">
        <f t="shared" si="1660"/>
        <v>04-08-2020</v>
      </c>
      <c r="X4085" t="str">
        <f t="shared" si="1661"/>
        <v>RAZIMAH ANSAR AHMAD</v>
      </c>
      <c r="Y4085" t="str">
        <f t="shared" si="1662"/>
        <v>04-08-2020</v>
      </c>
      <c r="Z4085" t="str">
        <f>"COS10200804 5069"</f>
        <v>COS10200804 5069</v>
      </c>
    </row>
    <row r="4086" spans="1:26" x14ac:dyDescent="0.25">
      <c r="A4086" t="str">
        <f t="shared" si="1671"/>
        <v>04-08-2020 12:55:04</v>
      </c>
      <c r="B4086" t="str">
        <f>"0000806854"</f>
        <v>0000806854</v>
      </c>
      <c r="C4086" t="str">
        <f t="shared" si="1672"/>
        <v>0000806786</v>
      </c>
      <c r="D4086" t="str">
        <f t="shared" si="1650"/>
        <v>73185</v>
      </c>
      <c r="E4086" t="str">
        <f t="shared" si="1651"/>
        <v>KFH-OPERATIONS DEPARTMENT</v>
      </c>
      <c r="F4086" t="str">
        <f t="shared" si="1652"/>
        <v>IBG</v>
      </c>
      <c r="G4086" t="str">
        <f t="shared" si="1663"/>
        <v>Refund COSHARE 10</v>
      </c>
      <c r="H4086" s="2">
        <v>277.05</v>
      </c>
      <c r="I4086" t="str">
        <f>"KHOR SIEW KHENG"</f>
        <v>KHOR SIEW KHENG</v>
      </c>
      <c r="J4086" t="str">
        <f t="shared" si="1666"/>
        <v>MAYBANK / MAYBANK ISLAMIC</v>
      </c>
      <c r="K4086" t="str">
        <f>"101290108695"</f>
        <v>101290108695</v>
      </c>
      <c r="L4086" t="str">
        <f t="shared" si="1669"/>
        <v>04-08-2020</v>
      </c>
      <c r="M4086" t="str">
        <f t="shared" si="1669"/>
        <v>04-08-2020</v>
      </c>
      <c r="N4086" t="str">
        <f t="shared" si="1653"/>
        <v>001105018356</v>
      </c>
      <c r="O4086" t="str">
        <f t="shared" si="1654"/>
        <v>MYR</v>
      </c>
      <c r="P4086" t="str">
        <f t="shared" si="1670"/>
        <v>NIL</v>
      </c>
      <c r="Q4086" t="str">
        <f t="shared" si="1670"/>
        <v>NIL</v>
      </c>
      <c r="R4086" t="str">
        <f t="shared" si="1655"/>
        <v>Accepted</v>
      </c>
      <c r="S4086" t="str">
        <f t="shared" si="1656"/>
        <v>Approved</v>
      </c>
      <c r="T4086" t="str">
        <f t="shared" si="1657"/>
        <v>10.20.8.188</v>
      </c>
      <c r="U4086" t="str">
        <f t="shared" si="1658"/>
        <v>AZRAD UMAR BIN SHAARI</v>
      </c>
      <c r="V4086" t="str">
        <f t="shared" si="1659"/>
        <v>FARHANA BINTI MUSTAPA</v>
      </c>
      <c r="W4086" t="str">
        <f t="shared" si="1660"/>
        <v>04-08-2020</v>
      </c>
      <c r="X4086" t="str">
        <f t="shared" si="1661"/>
        <v>RAZIMAH ANSAR AHMAD</v>
      </c>
      <c r="Y4086" t="str">
        <f t="shared" si="1662"/>
        <v>04-08-2020</v>
      </c>
      <c r="Z4086" t="str">
        <f>"COS10200804 5068"</f>
        <v>COS10200804 5068</v>
      </c>
    </row>
    <row r="4087" spans="1:26" x14ac:dyDescent="0.25">
      <c r="A4087" t="str">
        <f t="shared" si="1671"/>
        <v>04-08-2020 12:55:04</v>
      </c>
      <c r="B4087" t="str">
        <f>"0000806853"</f>
        <v>0000806853</v>
      </c>
      <c r="C4087" t="str">
        <f t="shared" si="1672"/>
        <v>0000806786</v>
      </c>
      <c r="D4087" t="str">
        <f t="shared" si="1650"/>
        <v>73185</v>
      </c>
      <c r="E4087" t="str">
        <f t="shared" si="1651"/>
        <v>KFH-OPERATIONS DEPARTMENT</v>
      </c>
      <c r="F4087" t="str">
        <f t="shared" si="1652"/>
        <v>IBG</v>
      </c>
      <c r="G4087" t="str">
        <f t="shared" si="1663"/>
        <v>Refund COSHARE 10</v>
      </c>
      <c r="H4087" s="2">
        <v>125.95</v>
      </c>
      <c r="I4087" t="str">
        <f>"KHO SET THENG"</f>
        <v>KHO SET THENG</v>
      </c>
      <c r="J4087" t="str">
        <f t="shared" si="1666"/>
        <v>MAYBANK / MAYBANK ISLAMIC</v>
      </c>
      <c r="K4087" t="str">
        <f>"108020273541"</f>
        <v>108020273541</v>
      </c>
      <c r="L4087" t="str">
        <f t="shared" ref="L4087:M4106" si="1673">"04-08-2020"</f>
        <v>04-08-2020</v>
      </c>
      <c r="M4087" t="str">
        <f t="shared" si="1673"/>
        <v>04-08-2020</v>
      </c>
      <c r="N4087" t="str">
        <f t="shared" si="1653"/>
        <v>001105018356</v>
      </c>
      <c r="O4087" t="str">
        <f t="shared" si="1654"/>
        <v>MYR</v>
      </c>
      <c r="P4087" t="str">
        <f t="shared" ref="P4087:Q4106" si="1674">"NIL"</f>
        <v>NIL</v>
      </c>
      <c r="Q4087" t="str">
        <f t="shared" si="1674"/>
        <v>NIL</v>
      </c>
      <c r="R4087" t="str">
        <f t="shared" si="1655"/>
        <v>Accepted</v>
      </c>
      <c r="S4087" t="str">
        <f t="shared" si="1656"/>
        <v>Approved</v>
      </c>
      <c r="T4087" t="str">
        <f t="shared" si="1657"/>
        <v>10.20.8.188</v>
      </c>
      <c r="U4087" t="str">
        <f t="shared" si="1658"/>
        <v>AZRAD UMAR BIN SHAARI</v>
      </c>
      <c r="V4087" t="str">
        <f t="shared" si="1659"/>
        <v>FARHANA BINTI MUSTAPA</v>
      </c>
      <c r="W4087" t="str">
        <f t="shared" si="1660"/>
        <v>04-08-2020</v>
      </c>
      <c r="X4087" t="str">
        <f t="shared" si="1661"/>
        <v>RAZIMAH ANSAR AHMAD</v>
      </c>
      <c r="Y4087" t="str">
        <f t="shared" si="1662"/>
        <v>04-08-2020</v>
      </c>
      <c r="Z4087" t="str">
        <f>"COS10200804 5067"</f>
        <v>COS10200804 5067</v>
      </c>
    </row>
    <row r="4088" spans="1:26" x14ac:dyDescent="0.25">
      <c r="A4088" t="str">
        <f t="shared" si="1671"/>
        <v>04-08-2020 12:55:04</v>
      </c>
      <c r="B4088" t="str">
        <f>"0000806852"</f>
        <v>0000806852</v>
      </c>
      <c r="C4088" t="str">
        <f t="shared" si="1672"/>
        <v>0000806786</v>
      </c>
      <c r="D4088" t="str">
        <f t="shared" si="1650"/>
        <v>73185</v>
      </c>
      <c r="E4088" t="str">
        <f t="shared" si="1651"/>
        <v>KFH-OPERATIONS DEPARTMENT</v>
      </c>
      <c r="F4088" t="str">
        <f t="shared" si="1652"/>
        <v>IBG</v>
      </c>
      <c r="G4088" t="str">
        <f t="shared" si="1663"/>
        <v>Refund COSHARE 10</v>
      </c>
      <c r="H4088" s="2">
        <v>151</v>
      </c>
      <c r="I4088" t="str">
        <f>"KHERWANFELANI BIN AHMAD AMIN"</f>
        <v>KHERWANFELANI BIN AHMAD AMIN</v>
      </c>
      <c r="J4088" t="str">
        <f t="shared" si="1666"/>
        <v>MAYBANK / MAYBANK ISLAMIC</v>
      </c>
      <c r="K4088" t="str">
        <f>"158145752257"</f>
        <v>158145752257</v>
      </c>
      <c r="L4088" t="str">
        <f t="shared" si="1673"/>
        <v>04-08-2020</v>
      </c>
      <c r="M4088" t="str">
        <f t="shared" si="1673"/>
        <v>04-08-2020</v>
      </c>
      <c r="N4088" t="str">
        <f t="shared" si="1653"/>
        <v>001105018356</v>
      </c>
      <c r="O4088" t="str">
        <f t="shared" si="1654"/>
        <v>MYR</v>
      </c>
      <c r="P4088" t="str">
        <f t="shared" si="1674"/>
        <v>NIL</v>
      </c>
      <c r="Q4088" t="str">
        <f t="shared" si="1674"/>
        <v>NIL</v>
      </c>
      <c r="R4088" t="str">
        <f t="shared" si="1655"/>
        <v>Accepted</v>
      </c>
      <c r="S4088" t="str">
        <f t="shared" si="1656"/>
        <v>Approved</v>
      </c>
      <c r="T4088" t="str">
        <f t="shared" si="1657"/>
        <v>10.20.8.188</v>
      </c>
      <c r="U4088" t="str">
        <f t="shared" si="1658"/>
        <v>AZRAD UMAR BIN SHAARI</v>
      </c>
      <c r="V4088" t="str">
        <f t="shared" si="1659"/>
        <v>FARHANA BINTI MUSTAPA</v>
      </c>
      <c r="W4088" t="str">
        <f t="shared" si="1660"/>
        <v>04-08-2020</v>
      </c>
      <c r="X4088" t="str">
        <f t="shared" si="1661"/>
        <v>RAZIMAH ANSAR AHMAD</v>
      </c>
      <c r="Y4088" t="str">
        <f t="shared" si="1662"/>
        <v>04-08-2020</v>
      </c>
      <c r="Z4088" t="str">
        <f>"COS10200804 5066"</f>
        <v>COS10200804 5066</v>
      </c>
    </row>
    <row r="4089" spans="1:26" x14ac:dyDescent="0.25">
      <c r="A4089" t="str">
        <f t="shared" si="1671"/>
        <v>04-08-2020 12:55:04</v>
      </c>
      <c r="B4089" t="str">
        <f>"0000806851"</f>
        <v>0000806851</v>
      </c>
      <c r="C4089" t="str">
        <f t="shared" si="1672"/>
        <v>0000806786</v>
      </c>
      <c r="D4089" t="str">
        <f t="shared" si="1650"/>
        <v>73185</v>
      </c>
      <c r="E4089" t="str">
        <f t="shared" si="1651"/>
        <v>KFH-OPERATIONS DEPARTMENT</v>
      </c>
      <c r="F4089" t="str">
        <f t="shared" si="1652"/>
        <v>IBG</v>
      </c>
      <c r="G4089" t="str">
        <f t="shared" si="1663"/>
        <v>Refund COSHARE 10</v>
      </c>
      <c r="H4089" s="2">
        <v>151</v>
      </c>
      <c r="I4089" t="str">
        <f>"KHERWANFELANI BIN AHMAD AMIN"</f>
        <v>KHERWANFELANI BIN AHMAD AMIN</v>
      </c>
      <c r="J4089" t="str">
        <f t="shared" si="1666"/>
        <v>MAYBANK / MAYBANK ISLAMIC</v>
      </c>
      <c r="K4089" t="str">
        <f>"158145752257"</f>
        <v>158145752257</v>
      </c>
      <c r="L4089" t="str">
        <f t="shared" si="1673"/>
        <v>04-08-2020</v>
      </c>
      <c r="M4089" t="str">
        <f t="shared" si="1673"/>
        <v>04-08-2020</v>
      </c>
      <c r="N4089" t="str">
        <f t="shared" si="1653"/>
        <v>001105018356</v>
      </c>
      <c r="O4089" t="str">
        <f t="shared" si="1654"/>
        <v>MYR</v>
      </c>
      <c r="P4089" t="str">
        <f t="shared" si="1674"/>
        <v>NIL</v>
      </c>
      <c r="Q4089" t="str">
        <f t="shared" si="1674"/>
        <v>NIL</v>
      </c>
      <c r="R4089" t="str">
        <f t="shared" si="1655"/>
        <v>Accepted</v>
      </c>
      <c r="S4089" t="str">
        <f t="shared" si="1656"/>
        <v>Approved</v>
      </c>
      <c r="T4089" t="str">
        <f t="shared" si="1657"/>
        <v>10.20.8.188</v>
      </c>
      <c r="U4089" t="str">
        <f t="shared" si="1658"/>
        <v>AZRAD UMAR BIN SHAARI</v>
      </c>
      <c r="V4089" t="str">
        <f t="shared" si="1659"/>
        <v>FARHANA BINTI MUSTAPA</v>
      </c>
      <c r="W4089" t="str">
        <f t="shared" si="1660"/>
        <v>04-08-2020</v>
      </c>
      <c r="X4089" t="str">
        <f t="shared" si="1661"/>
        <v>RAZIMAH ANSAR AHMAD</v>
      </c>
      <c r="Y4089" t="str">
        <f t="shared" si="1662"/>
        <v>04-08-2020</v>
      </c>
      <c r="Z4089" t="str">
        <f>"COS10200804 5065"</f>
        <v>COS10200804 5065</v>
      </c>
    </row>
    <row r="4090" spans="1:26" x14ac:dyDescent="0.25">
      <c r="A4090" t="str">
        <f t="shared" si="1671"/>
        <v>04-08-2020 12:55:04</v>
      </c>
      <c r="B4090" t="str">
        <f>"0000806850"</f>
        <v>0000806850</v>
      </c>
      <c r="C4090" t="str">
        <f t="shared" si="1672"/>
        <v>0000806786</v>
      </c>
      <c r="D4090" t="str">
        <f t="shared" si="1650"/>
        <v>73185</v>
      </c>
      <c r="E4090" t="str">
        <f t="shared" si="1651"/>
        <v>KFH-OPERATIONS DEPARTMENT</v>
      </c>
      <c r="F4090" t="str">
        <f t="shared" si="1652"/>
        <v>IBG</v>
      </c>
      <c r="G4090" t="str">
        <f t="shared" si="1663"/>
        <v>Refund COSHARE 10</v>
      </c>
      <c r="H4090" s="2">
        <v>51</v>
      </c>
      <c r="I4090" t="str">
        <f>"KHATIJAH BINTI AHMAD HAMIDI"</f>
        <v>KHATIJAH BINTI AHMAD HAMIDI</v>
      </c>
      <c r="J4090" t="str">
        <f t="shared" si="1666"/>
        <v>MAYBANK / MAYBANK ISLAMIC</v>
      </c>
      <c r="K4090" t="str">
        <f>"162209998579"</f>
        <v>162209998579</v>
      </c>
      <c r="L4090" t="str">
        <f t="shared" si="1673"/>
        <v>04-08-2020</v>
      </c>
      <c r="M4090" t="str">
        <f t="shared" si="1673"/>
        <v>04-08-2020</v>
      </c>
      <c r="N4090" t="str">
        <f t="shared" si="1653"/>
        <v>001105018356</v>
      </c>
      <c r="O4090" t="str">
        <f t="shared" si="1654"/>
        <v>MYR</v>
      </c>
      <c r="P4090" t="str">
        <f t="shared" si="1674"/>
        <v>NIL</v>
      </c>
      <c r="Q4090" t="str">
        <f t="shared" si="1674"/>
        <v>NIL</v>
      </c>
      <c r="R4090" t="str">
        <f t="shared" si="1655"/>
        <v>Accepted</v>
      </c>
      <c r="S4090" t="str">
        <f t="shared" si="1656"/>
        <v>Approved</v>
      </c>
      <c r="T4090" t="str">
        <f t="shared" si="1657"/>
        <v>10.20.8.188</v>
      </c>
      <c r="U4090" t="str">
        <f t="shared" si="1658"/>
        <v>AZRAD UMAR BIN SHAARI</v>
      </c>
      <c r="V4090" t="str">
        <f t="shared" si="1659"/>
        <v>FARHANA BINTI MUSTAPA</v>
      </c>
      <c r="W4090" t="str">
        <f t="shared" si="1660"/>
        <v>04-08-2020</v>
      </c>
      <c r="X4090" t="str">
        <f t="shared" si="1661"/>
        <v>RAZIMAH ANSAR AHMAD</v>
      </c>
      <c r="Y4090" t="str">
        <f t="shared" si="1662"/>
        <v>04-08-2020</v>
      </c>
      <c r="Z4090" t="str">
        <f>"COS10200804 5064"</f>
        <v>COS10200804 5064</v>
      </c>
    </row>
    <row r="4091" spans="1:26" x14ac:dyDescent="0.25">
      <c r="A4091" t="str">
        <f t="shared" si="1671"/>
        <v>04-08-2020 12:55:04</v>
      </c>
      <c r="B4091" t="str">
        <f>"0000806849"</f>
        <v>0000806849</v>
      </c>
      <c r="C4091" t="str">
        <f t="shared" si="1672"/>
        <v>0000806786</v>
      </c>
      <c r="D4091" t="str">
        <f t="shared" si="1650"/>
        <v>73185</v>
      </c>
      <c r="E4091" t="str">
        <f t="shared" si="1651"/>
        <v>KFH-OPERATIONS DEPARTMENT</v>
      </c>
      <c r="F4091" t="str">
        <f t="shared" si="1652"/>
        <v>IBG</v>
      </c>
      <c r="G4091" t="str">
        <f t="shared" si="1663"/>
        <v>Refund COSHARE 10</v>
      </c>
      <c r="H4091" s="2">
        <v>83.95</v>
      </c>
      <c r="I4091" t="str">
        <f>"KHATIJAH BINTI AHMAD HAMIDI"</f>
        <v>KHATIJAH BINTI AHMAD HAMIDI</v>
      </c>
      <c r="J4091" t="str">
        <f t="shared" si="1666"/>
        <v>MAYBANK / MAYBANK ISLAMIC</v>
      </c>
      <c r="K4091" t="str">
        <f>"162209998579"</f>
        <v>162209998579</v>
      </c>
      <c r="L4091" t="str">
        <f t="shared" si="1673"/>
        <v>04-08-2020</v>
      </c>
      <c r="M4091" t="str">
        <f t="shared" si="1673"/>
        <v>04-08-2020</v>
      </c>
      <c r="N4091" t="str">
        <f t="shared" si="1653"/>
        <v>001105018356</v>
      </c>
      <c r="O4091" t="str">
        <f t="shared" si="1654"/>
        <v>MYR</v>
      </c>
      <c r="P4091" t="str">
        <f t="shared" si="1674"/>
        <v>NIL</v>
      </c>
      <c r="Q4091" t="str">
        <f t="shared" si="1674"/>
        <v>NIL</v>
      </c>
      <c r="R4091" t="str">
        <f t="shared" si="1655"/>
        <v>Accepted</v>
      </c>
      <c r="S4091" t="str">
        <f t="shared" si="1656"/>
        <v>Approved</v>
      </c>
      <c r="T4091" t="str">
        <f t="shared" si="1657"/>
        <v>10.20.8.188</v>
      </c>
      <c r="U4091" t="str">
        <f t="shared" si="1658"/>
        <v>AZRAD UMAR BIN SHAARI</v>
      </c>
      <c r="V4091" t="str">
        <f t="shared" si="1659"/>
        <v>FARHANA BINTI MUSTAPA</v>
      </c>
      <c r="W4091" t="str">
        <f t="shared" si="1660"/>
        <v>04-08-2020</v>
      </c>
      <c r="X4091" t="str">
        <f t="shared" si="1661"/>
        <v>RAZIMAH ANSAR AHMAD</v>
      </c>
      <c r="Y4091" t="str">
        <f t="shared" si="1662"/>
        <v>04-08-2020</v>
      </c>
      <c r="Z4091" t="str">
        <f>"COS10200804 5063"</f>
        <v>COS10200804 5063</v>
      </c>
    </row>
    <row r="4092" spans="1:26" x14ac:dyDescent="0.25">
      <c r="A4092" t="str">
        <f t="shared" si="1671"/>
        <v>04-08-2020 12:55:04</v>
      </c>
      <c r="B4092" t="str">
        <f>"0000806848"</f>
        <v>0000806848</v>
      </c>
      <c r="C4092" t="str">
        <f t="shared" si="1672"/>
        <v>0000806786</v>
      </c>
      <c r="D4092" t="str">
        <f t="shared" si="1650"/>
        <v>73185</v>
      </c>
      <c r="E4092" t="str">
        <f t="shared" si="1651"/>
        <v>KFH-OPERATIONS DEPARTMENT</v>
      </c>
      <c r="F4092" t="str">
        <f t="shared" si="1652"/>
        <v>IBG</v>
      </c>
      <c r="G4092" t="str">
        <f t="shared" si="1663"/>
        <v>Refund COSHARE 10</v>
      </c>
      <c r="H4092" s="2">
        <v>127.05</v>
      </c>
      <c r="I4092" t="str">
        <f>"KHATIJAH BINTI AHMAD"</f>
        <v>KHATIJAH BINTI AHMAD</v>
      </c>
      <c r="J4092" t="str">
        <f t="shared" si="1666"/>
        <v>MAYBANK / MAYBANK ISLAMIC</v>
      </c>
      <c r="K4092" t="str">
        <f>"164052379622"</f>
        <v>164052379622</v>
      </c>
      <c r="L4092" t="str">
        <f t="shared" si="1673"/>
        <v>04-08-2020</v>
      </c>
      <c r="M4092" t="str">
        <f t="shared" si="1673"/>
        <v>04-08-2020</v>
      </c>
      <c r="N4092" t="str">
        <f t="shared" si="1653"/>
        <v>001105018356</v>
      </c>
      <c r="O4092" t="str">
        <f t="shared" si="1654"/>
        <v>MYR</v>
      </c>
      <c r="P4092" t="str">
        <f t="shared" si="1674"/>
        <v>NIL</v>
      </c>
      <c r="Q4092" t="str">
        <f t="shared" si="1674"/>
        <v>NIL</v>
      </c>
      <c r="R4092" t="str">
        <f t="shared" si="1655"/>
        <v>Accepted</v>
      </c>
      <c r="S4092" t="str">
        <f t="shared" si="1656"/>
        <v>Approved</v>
      </c>
      <c r="T4092" t="str">
        <f t="shared" si="1657"/>
        <v>10.20.8.188</v>
      </c>
      <c r="U4092" t="str">
        <f t="shared" si="1658"/>
        <v>AZRAD UMAR BIN SHAARI</v>
      </c>
      <c r="V4092" t="str">
        <f t="shared" si="1659"/>
        <v>FARHANA BINTI MUSTAPA</v>
      </c>
      <c r="W4092" t="str">
        <f t="shared" si="1660"/>
        <v>04-08-2020</v>
      </c>
      <c r="X4092" t="str">
        <f t="shared" si="1661"/>
        <v>RAZIMAH ANSAR AHMAD</v>
      </c>
      <c r="Y4092" t="str">
        <f t="shared" si="1662"/>
        <v>04-08-2020</v>
      </c>
      <c r="Z4092" t="str">
        <f>"COS10200804 5062"</f>
        <v>COS10200804 5062</v>
      </c>
    </row>
    <row r="4093" spans="1:26" x14ac:dyDescent="0.25">
      <c r="A4093" t="str">
        <f t="shared" si="1671"/>
        <v>04-08-2020 12:55:04</v>
      </c>
      <c r="B4093" t="str">
        <f>"0000806847"</f>
        <v>0000806847</v>
      </c>
      <c r="C4093" t="str">
        <f t="shared" si="1672"/>
        <v>0000806786</v>
      </c>
      <c r="D4093" t="str">
        <f t="shared" si="1650"/>
        <v>73185</v>
      </c>
      <c r="E4093" t="str">
        <f t="shared" si="1651"/>
        <v>KFH-OPERATIONS DEPARTMENT</v>
      </c>
      <c r="F4093" t="str">
        <f t="shared" si="1652"/>
        <v>IBG</v>
      </c>
      <c r="G4093" t="str">
        <f t="shared" si="1663"/>
        <v>Refund COSHARE 10</v>
      </c>
      <c r="H4093" s="2">
        <v>785.85</v>
      </c>
      <c r="I4093" t="str">
        <f>"KHASIAH BINTI JA AFAR"</f>
        <v>KHASIAH BINTI JA AFAR</v>
      </c>
      <c r="J4093" t="str">
        <f t="shared" si="1666"/>
        <v>MAYBANK / MAYBANK ISLAMIC</v>
      </c>
      <c r="K4093" t="str">
        <f>"102054861787"</f>
        <v>102054861787</v>
      </c>
      <c r="L4093" t="str">
        <f t="shared" si="1673"/>
        <v>04-08-2020</v>
      </c>
      <c r="M4093" t="str">
        <f t="shared" si="1673"/>
        <v>04-08-2020</v>
      </c>
      <c r="N4093" t="str">
        <f t="shared" si="1653"/>
        <v>001105018356</v>
      </c>
      <c r="O4093" t="str">
        <f t="shared" si="1654"/>
        <v>MYR</v>
      </c>
      <c r="P4093" t="str">
        <f t="shared" si="1674"/>
        <v>NIL</v>
      </c>
      <c r="Q4093" t="str">
        <f t="shared" si="1674"/>
        <v>NIL</v>
      </c>
      <c r="R4093" t="str">
        <f t="shared" si="1655"/>
        <v>Accepted</v>
      </c>
      <c r="S4093" t="str">
        <f t="shared" si="1656"/>
        <v>Approved</v>
      </c>
      <c r="T4093" t="str">
        <f t="shared" si="1657"/>
        <v>10.20.8.188</v>
      </c>
      <c r="U4093" t="str">
        <f t="shared" si="1658"/>
        <v>AZRAD UMAR BIN SHAARI</v>
      </c>
      <c r="V4093" t="str">
        <f t="shared" si="1659"/>
        <v>FARHANA BINTI MUSTAPA</v>
      </c>
      <c r="W4093" t="str">
        <f t="shared" si="1660"/>
        <v>04-08-2020</v>
      </c>
      <c r="X4093" t="str">
        <f t="shared" si="1661"/>
        <v>RAZIMAH ANSAR AHMAD</v>
      </c>
      <c r="Y4093" t="str">
        <f t="shared" si="1662"/>
        <v>04-08-2020</v>
      </c>
      <c r="Z4093" t="str">
        <f>"COS10200804 5061"</f>
        <v>COS10200804 5061</v>
      </c>
    </row>
    <row r="4094" spans="1:26" x14ac:dyDescent="0.25">
      <c r="A4094" t="str">
        <f t="shared" si="1671"/>
        <v>04-08-2020 12:55:04</v>
      </c>
      <c r="B4094" t="str">
        <f>"0000806846"</f>
        <v>0000806846</v>
      </c>
      <c r="C4094" t="str">
        <f t="shared" si="1672"/>
        <v>0000806786</v>
      </c>
      <c r="D4094" t="str">
        <f t="shared" si="1650"/>
        <v>73185</v>
      </c>
      <c r="E4094" t="str">
        <f t="shared" si="1651"/>
        <v>KFH-OPERATIONS DEPARTMENT</v>
      </c>
      <c r="F4094" t="str">
        <f t="shared" si="1652"/>
        <v>IBG</v>
      </c>
      <c r="G4094" t="str">
        <f t="shared" si="1663"/>
        <v>Refund COSHARE 10</v>
      </c>
      <c r="H4094" s="2">
        <v>755.55</v>
      </c>
      <c r="I4094" t="str">
        <f>"KHARUL ANWAR BIN CHE HASIM"</f>
        <v>KHARUL ANWAR BIN CHE HASIM</v>
      </c>
      <c r="J4094" t="str">
        <f t="shared" si="1666"/>
        <v>MAYBANK / MAYBANK ISLAMIC</v>
      </c>
      <c r="K4094" t="str">
        <f>"156094121214"</f>
        <v>156094121214</v>
      </c>
      <c r="L4094" t="str">
        <f t="shared" si="1673"/>
        <v>04-08-2020</v>
      </c>
      <c r="M4094" t="str">
        <f t="shared" si="1673"/>
        <v>04-08-2020</v>
      </c>
      <c r="N4094" t="str">
        <f t="shared" si="1653"/>
        <v>001105018356</v>
      </c>
      <c r="O4094" t="str">
        <f t="shared" si="1654"/>
        <v>MYR</v>
      </c>
      <c r="P4094" t="str">
        <f t="shared" si="1674"/>
        <v>NIL</v>
      </c>
      <c r="Q4094" t="str">
        <f t="shared" si="1674"/>
        <v>NIL</v>
      </c>
      <c r="R4094" t="str">
        <f t="shared" si="1655"/>
        <v>Accepted</v>
      </c>
      <c r="S4094" t="str">
        <f t="shared" si="1656"/>
        <v>Approved</v>
      </c>
      <c r="T4094" t="str">
        <f t="shared" si="1657"/>
        <v>10.20.8.188</v>
      </c>
      <c r="U4094" t="str">
        <f t="shared" si="1658"/>
        <v>AZRAD UMAR BIN SHAARI</v>
      </c>
      <c r="V4094" t="str">
        <f t="shared" si="1659"/>
        <v>FARHANA BINTI MUSTAPA</v>
      </c>
      <c r="W4094" t="str">
        <f t="shared" si="1660"/>
        <v>04-08-2020</v>
      </c>
      <c r="X4094" t="str">
        <f t="shared" si="1661"/>
        <v>RAZIMAH ANSAR AHMAD</v>
      </c>
      <c r="Y4094" t="str">
        <f t="shared" si="1662"/>
        <v>04-08-2020</v>
      </c>
      <c r="Z4094" t="str">
        <f>"COS10200804 5060"</f>
        <v>COS10200804 5060</v>
      </c>
    </row>
    <row r="4095" spans="1:26" x14ac:dyDescent="0.25">
      <c r="A4095" t="str">
        <f t="shared" si="1671"/>
        <v>04-08-2020 12:55:04</v>
      </c>
      <c r="B4095" t="str">
        <f>"0000806845"</f>
        <v>0000806845</v>
      </c>
      <c r="C4095" t="str">
        <f t="shared" si="1672"/>
        <v>0000806786</v>
      </c>
      <c r="D4095" t="str">
        <f t="shared" si="1650"/>
        <v>73185</v>
      </c>
      <c r="E4095" t="str">
        <f t="shared" si="1651"/>
        <v>KFH-OPERATIONS DEPARTMENT</v>
      </c>
      <c r="F4095" t="str">
        <f t="shared" si="1652"/>
        <v>IBG</v>
      </c>
      <c r="G4095" t="str">
        <f t="shared" si="1663"/>
        <v>Refund COSHARE 10</v>
      </c>
      <c r="H4095" s="2">
        <v>228</v>
      </c>
      <c r="I4095" t="str">
        <f>"KHARTINA BINTI BUSRAH"</f>
        <v>KHARTINA BINTI BUSRAH</v>
      </c>
      <c r="J4095" t="str">
        <f t="shared" si="1666"/>
        <v>MAYBANK / MAYBANK ISLAMIC</v>
      </c>
      <c r="K4095" t="str">
        <f>"111114250961"</f>
        <v>111114250961</v>
      </c>
      <c r="L4095" t="str">
        <f t="shared" si="1673"/>
        <v>04-08-2020</v>
      </c>
      <c r="M4095" t="str">
        <f t="shared" si="1673"/>
        <v>04-08-2020</v>
      </c>
      <c r="N4095" t="str">
        <f t="shared" si="1653"/>
        <v>001105018356</v>
      </c>
      <c r="O4095" t="str">
        <f t="shared" si="1654"/>
        <v>MYR</v>
      </c>
      <c r="P4095" t="str">
        <f t="shared" si="1674"/>
        <v>NIL</v>
      </c>
      <c r="Q4095" t="str">
        <f t="shared" si="1674"/>
        <v>NIL</v>
      </c>
      <c r="R4095" t="str">
        <f t="shared" si="1655"/>
        <v>Accepted</v>
      </c>
      <c r="S4095" t="str">
        <f t="shared" si="1656"/>
        <v>Approved</v>
      </c>
      <c r="T4095" t="str">
        <f t="shared" si="1657"/>
        <v>10.20.8.188</v>
      </c>
      <c r="U4095" t="str">
        <f t="shared" si="1658"/>
        <v>AZRAD UMAR BIN SHAARI</v>
      </c>
      <c r="V4095" t="str">
        <f t="shared" si="1659"/>
        <v>FARHANA BINTI MUSTAPA</v>
      </c>
      <c r="W4095" t="str">
        <f t="shared" si="1660"/>
        <v>04-08-2020</v>
      </c>
      <c r="X4095" t="str">
        <f t="shared" si="1661"/>
        <v>RAZIMAH ANSAR AHMAD</v>
      </c>
      <c r="Y4095" t="str">
        <f t="shared" si="1662"/>
        <v>04-08-2020</v>
      </c>
      <c r="Z4095" t="str">
        <f>"COS10200804 5059"</f>
        <v>COS10200804 5059</v>
      </c>
    </row>
    <row r="4096" spans="1:26" x14ac:dyDescent="0.25">
      <c r="A4096" t="str">
        <f t="shared" si="1671"/>
        <v>04-08-2020 12:55:04</v>
      </c>
      <c r="B4096" t="str">
        <f>"0000806844"</f>
        <v>0000806844</v>
      </c>
      <c r="C4096" t="str">
        <f t="shared" si="1672"/>
        <v>0000806786</v>
      </c>
      <c r="D4096" t="str">
        <f t="shared" si="1650"/>
        <v>73185</v>
      </c>
      <c r="E4096" t="str">
        <f t="shared" si="1651"/>
        <v>KFH-OPERATIONS DEPARTMENT</v>
      </c>
      <c r="F4096" t="str">
        <f t="shared" si="1652"/>
        <v>IBG</v>
      </c>
      <c r="G4096" t="str">
        <f t="shared" si="1663"/>
        <v>Refund COSHARE 10</v>
      </c>
      <c r="H4096" s="2">
        <v>1108.8</v>
      </c>
      <c r="I4096" t="str">
        <f>"KHARIS BIN BUSTAMAM"</f>
        <v>KHARIS BIN BUSTAMAM</v>
      </c>
      <c r="J4096" t="str">
        <f t="shared" si="1666"/>
        <v>MAYBANK / MAYBANK ISLAMIC</v>
      </c>
      <c r="K4096" t="str">
        <f>"112317002468"</f>
        <v>112317002468</v>
      </c>
      <c r="L4096" t="str">
        <f t="shared" si="1673"/>
        <v>04-08-2020</v>
      </c>
      <c r="M4096" t="str">
        <f t="shared" si="1673"/>
        <v>04-08-2020</v>
      </c>
      <c r="N4096" t="str">
        <f t="shared" si="1653"/>
        <v>001105018356</v>
      </c>
      <c r="O4096" t="str">
        <f t="shared" si="1654"/>
        <v>MYR</v>
      </c>
      <c r="P4096" t="str">
        <f t="shared" si="1674"/>
        <v>NIL</v>
      </c>
      <c r="Q4096" t="str">
        <f t="shared" si="1674"/>
        <v>NIL</v>
      </c>
      <c r="R4096" t="str">
        <f t="shared" si="1655"/>
        <v>Accepted</v>
      </c>
      <c r="S4096" t="str">
        <f t="shared" si="1656"/>
        <v>Approved</v>
      </c>
      <c r="T4096" t="str">
        <f t="shared" si="1657"/>
        <v>10.20.8.188</v>
      </c>
      <c r="U4096" t="str">
        <f t="shared" si="1658"/>
        <v>AZRAD UMAR BIN SHAARI</v>
      </c>
      <c r="V4096" t="str">
        <f t="shared" si="1659"/>
        <v>FARHANA BINTI MUSTAPA</v>
      </c>
      <c r="W4096" t="str">
        <f t="shared" si="1660"/>
        <v>04-08-2020</v>
      </c>
      <c r="X4096" t="str">
        <f t="shared" si="1661"/>
        <v>RAZIMAH ANSAR AHMAD</v>
      </c>
      <c r="Y4096" t="str">
        <f t="shared" si="1662"/>
        <v>04-08-2020</v>
      </c>
      <c r="Z4096" t="str">
        <f>"COS10200804 5058"</f>
        <v>COS10200804 5058</v>
      </c>
    </row>
    <row r="4097" spans="1:26" x14ac:dyDescent="0.25">
      <c r="A4097" t="str">
        <f t="shared" si="1671"/>
        <v>04-08-2020 12:55:04</v>
      </c>
      <c r="B4097" t="str">
        <f>"0000806843"</f>
        <v>0000806843</v>
      </c>
      <c r="C4097" t="str">
        <f t="shared" si="1672"/>
        <v>0000806786</v>
      </c>
      <c r="D4097" t="str">
        <f t="shared" si="1650"/>
        <v>73185</v>
      </c>
      <c r="E4097" t="str">
        <f t="shared" si="1651"/>
        <v>KFH-OPERATIONS DEPARTMENT</v>
      </c>
      <c r="F4097" t="str">
        <f t="shared" si="1652"/>
        <v>IBG</v>
      </c>
      <c r="G4097" t="str">
        <f t="shared" si="1663"/>
        <v>Refund COSHARE 10</v>
      </c>
      <c r="H4097" s="2">
        <v>293.85000000000002</v>
      </c>
      <c r="I4097" t="str">
        <f>"KHAMISAH BINTI HASSAN"</f>
        <v>KHAMISAH BINTI HASSAN</v>
      </c>
      <c r="J4097" t="str">
        <f t="shared" si="1666"/>
        <v>MAYBANK / MAYBANK ISLAMIC</v>
      </c>
      <c r="K4097" t="str">
        <f>"160166112004"</f>
        <v>160166112004</v>
      </c>
      <c r="L4097" t="str">
        <f t="shared" si="1673"/>
        <v>04-08-2020</v>
      </c>
      <c r="M4097" t="str">
        <f t="shared" si="1673"/>
        <v>04-08-2020</v>
      </c>
      <c r="N4097" t="str">
        <f t="shared" si="1653"/>
        <v>001105018356</v>
      </c>
      <c r="O4097" t="str">
        <f t="shared" si="1654"/>
        <v>MYR</v>
      </c>
      <c r="P4097" t="str">
        <f t="shared" si="1674"/>
        <v>NIL</v>
      </c>
      <c r="Q4097" t="str">
        <f t="shared" si="1674"/>
        <v>NIL</v>
      </c>
      <c r="R4097" t="str">
        <f t="shared" si="1655"/>
        <v>Accepted</v>
      </c>
      <c r="S4097" t="str">
        <f t="shared" si="1656"/>
        <v>Approved</v>
      </c>
      <c r="T4097" t="str">
        <f t="shared" si="1657"/>
        <v>10.20.8.188</v>
      </c>
      <c r="U4097" t="str">
        <f t="shared" si="1658"/>
        <v>AZRAD UMAR BIN SHAARI</v>
      </c>
      <c r="V4097" t="str">
        <f t="shared" si="1659"/>
        <v>FARHANA BINTI MUSTAPA</v>
      </c>
      <c r="W4097" t="str">
        <f t="shared" si="1660"/>
        <v>04-08-2020</v>
      </c>
      <c r="X4097" t="str">
        <f t="shared" si="1661"/>
        <v>RAZIMAH ANSAR AHMAD</v>
      </c>
      <c r="Y4097" t="str">
        <f t="shared" si="1662"/>
        <v>04-08-2020</v>
      </c>
      <c r="Z4097" t="str">
        <f>"COS10200804 5057"</f>
        <v>COS10200804 5057</v>
      </c>
    </row>
    <row r="4098" spans="1:26" x14ac:dyDescent="0.25">
      <c r="A4098" t="str">
        <f t="shared" si="1671"/>
        <v>04-08-2020 12:55:04</v>
      </c>
      <c r="B4098" t="str">
        <f>"0000806842"</f>
        <v>0000806842</v>
      </c>
      <c r="C4098" t="str">
        <f t="shared" si="1672"/>
        <v>0000806786</v>
      </c>
      <c r="D4098" t="str">
        <f t="shared" si="1650"/>
        <v>73185</v>
      </c>
      <c r="E4098" t="str">
        <f t="shared" si="1651"/>
        <v>KFH-OPERATIONS DEPARTMENT</v>
      </c>
      <c r="F4098" t="str">
        <f t="shared" si="1652"/>
        <v>IBG</v>
      </c>
      <c r="G4098" t="str">
        <f t="shared" si="1663"/>
        <v>Refund COSHARE 10</v>
      </c>
      <c r="H4098" s="2">
        <v>125.95</v>
      </c>
      <c r="I4098" t="str">
        <f>"KHAMARUL NIZAM BIN ZAINI"</f>
        <v>KHAMARUL NIZAM BIN ZAINI</v>
      </c>
      <c r="J4098" t="str">
        <f t="shared" si="1666"/>
        <v>MAYBANK / MAYBANK ISLAMIC</v>
      </c>
      <c r="K4098" t="str">
        <f>"104022858592"</f>
        <v>104022858592</v>
      </c>
      <c r="L4098" t="str">
        <f t="shared" si="1673"/>
        <v>04-08-2020</v>
      </c>
      <c r="M4098" t="str">
        <f t="shared" si="1673"/>
        <v>04-08-2020</v>
      </c>
      <c r="N4098" t="str">
        <f t="shared" si="1653"/>
        <v>001105018356</v>
      </c>
      <c r="O4098" t="str">
        <f t="shared" si="1654"/>
        <v>MYR</v>
      </c>
      <c r="P4098" t="str">
        <f t="shared" si="1674"/>
        <v>NIL</v>
      </c>
      <c r="Q4098" t="str">
        <f t="shared" si="1674"/>
        <v>NIL</v>
      </c>
      <c r="R4098" t="str">
        <f t="shared" si="1655"/>
        <v>Accepted</v>
      </c>
      <c r="S4098" t="str">
        <f t="shared" si="1656"/>
        <v>Approved</v>
      </c>
      <c r="T4098" t="str">
        <f t="shared" si="1657"/>
        <v>10.20.8.188</v>
      </c>
      <c r="U4098" t="str">
        <f t="shared" si="1658"/>
        <v>AZRAD UMAR BIN SHAARI</v>
      </c>
      <c r="V4098" t="str">
        <f t="shared" si="1659"/>
        <v>FARHANA BINTI MUSTAPA</v>
      </c>
      <c r="W4098" t="str">
        <f t="shared" si="1660"/>
        <v>04-08-2020</v>
      </c>
      <c r="X4098" t="str">
        <f t="shared" si="1661"/>
        <v>RAZIMAH ANSAR AHMAD</v>
      </c>
      <c r="Y4098" t="str">
        <f t="shared" si="1662"/>
        <v>04-08-2020</v>
      </c>
      <c r="Z4098" t="str">
        <f>"COS10200804 5056"</f>
        <v>COS10200804 5056</v>
      </c>
    </row>
    <row r="4099" spans="1:26" x14ac:dyDescent="0.25">
      <c r="A4099" t="str">
        <f t="shared" si="1671"/>
        <v>04-08-2020 12:55:04</v>
      </c>
      <c r="B4099" t="str">
        <f>"0000806841"</f>
        <v>0000806841</v>
      </c>
      <c r="C4099" t="str">
        <f t="shared" si="1672"/>
        <v>0000806786</v>
      </c>
      <c r="D4099" t="str">
        <f t="shared" si="1650"/>
        <v>73185</v>
      </c>
      <c r="E4099" t="str">
        <f t="shared" si="1651"/>
        <v>KFH-OPERATIONS DEPARTMENT</v>
      </c>
      <c r="F4099" t="str">
        <f t="shared" si="1652"/>
        <v>IBG</v>
      </c>
      <c r="G4099" t="str">
        <f t="shared" si="1663"/>
        <v>Refund COSHARE 10</v>
      </c>
      <c r="H4099" s="2">
        <v>432.25</v>
      </c>
      <c r="I4099" t="str">
        <f>"KHALMI BIN KALUNI"</f>
        <v>KHALMI BIN KALUNI</v>
      </c>
      <c r="J4099" t="str">
        <f t="shared" si="1666"/>
        <v>MAYBANK / MAYBANK ISLAMIC</v>
      </c>
      <c r="K4099" t="str">
        <f>"111011191743"</f>
        <v>111011191743</v>
      </c>
      <c r="L4099" t="str">
        <f t="shared" si="1673"/>
        <v>04-08-2020</v>
      </c>
      <c r="M4099" t="str">
        <f t="shared" si="1673"/>
        <v>04-08-2020</v>
      </c>
      <c r="N4099" t="str">
        <f t="shared" si="1653"/>
        <v>001105018356</v>
      </c>
      <c r="O4099" t="str">
        <f t="shared" si="1654"/>
        <v>MYR</v>
      </c>
      <c r="P4099" t="str">
        <f t="shared" si="1674"/>
        <v>NIL</v>
      </c>
      <c r="Q4099" t="str">
        <f t="shared" si="1674"/>
        <v>NIL</v>
      </c>
      <c r="R4099" t="str">
        <f t="shared" si="1655"/>
        <v>Accepted</v>
      </c>
      <c r="S4099" t="str">
        <f t="shared" si="1656"/>
        <v>Approved</v>
      </c>
      <c r="T4099" t="str">
        <f t="shared" si="1657"/>
        <v>10.20.8.188</v>
      </c>
      <c r="U4099" t="str">
        <f t="shared" si="1658"/>
        <v>AZRAD UMAR BIN SHAARI</v>
      </c>
      <c r="V4099" t="str">
        <f t="shared" si="1659"/>
        <v>FARHANA BINTI MUSTAPA</v>
      </c>
      <c r="W4099" t="str">
        <f t="shared" si="1660"/>
        <v>04-08-2020</v>
      </c>
      <c r="X4099" t="str">
        <f t="shared" si="1661"/>
        <v>RAZIMAH ANSAR AHMAD</v>
      </c>
      <c r="Y4099" t="str">
        <f t="shared" si="1662"/>
        <v>04-08-2020</v>
      </c>
      <c r="Z4099" t="str">
        <f>"COS10200804 5055"</f>
        <v>COS10200804 5055</v>
      </c>
    </row>
    <row r="4100" spans="1:26" x14ac:dyDescent="0.25">
      <c r="A4100" t="str">
        <f t="shared" si="1671"/>
        <v>04-08-2020 12:55:04</v>
      </c>
      <c r="B4100" t="str">
        <f>"0000806840"</f>
        <v>0000806840</v>
      </c>
      <c r="C4100" t="str">
        <f t="shared" si="1672"/>
        <v>0000806786</v>
      </c>
      <c r="D4100" t="str">
        <f t="shared" si="1650"/>
        <v>73185</v>
      </c>
      <c r="E4100" t="str">
        <f t="shared" si="1651"/>
        <v>KFH-OPERATIONS DEPARTMENT</v>
      </c>
      <c r="F4100" t="str">
        <f t="shared" si="1652"/>
        <v>IBG</v>
      </c>
      <c r="G4100" t="str">
        <f t="shared" si="1663"/>
        <v>Refund COSHARE 10</v>
      </c>
      <c r="H4100" s="2">
        <v>1032</v>
      </c>
      <c r="I4100" t="str">
        <f>"KHALID BIN ALI"</f>
        <v>KHALID BIN ALI</v>
      </c>
      <c r="J4100" t="str">
        <f t="shared" si="1666"/>
        <v>MAYBANK / MAYBANK ISLAMIC</v>
      </c>
      <c r="K4100" t="str">
        <f>"102072339325"</f>
        <v>102072339325</v>
      </c>
      <c r="L4100" t="str">
        <f t="shared" si="1673"/>
        <v>04-08-2020</v>
      </c>
      <c r="M4100" t="str">
        <f t="shared" si="1673"/>
        <v>04-08-2020</v>
      </c>
      <c r="N4100" t="str">
        <f t="shared" si="1653"/>
        <v>001105018356</v>
      </c>
      <c r="O4100" t="str">
        <f t="shared" si="1654"/>
        <v>MYR</v>
      </c>
      <c r="P4100" t="str">
        <f t="shared" si="1674"/>
        <v>NIL</v>
      </c>
      <c r="Q4100" t="str">
        <f t="shared" si="1674"/>
        <v>NIL</v>
      </c>
      <c r="R4100" t="str">
        <f t="shared" si="1655"/>
        <v>Accepted</v>
      </c>
      <c r="S4100" t="str">
        <f t="shared" si="1656"/>
        <v>Approved</v>
      </c>
      <c r="T4100" t="str">
        <f t="shared" si="1657"/>
        <v>10.20.8.188</v>
      </c>
      <c r="U4100" t="str">
        <f t="shared" si="1658"/>
        <v>AZRAD UMAR BIN SHAARI</v>
      </c>
      <c r="V4100" t="str">
        <f t="shared" si="1659"/>
        <v>FARHANA BINTI MUSTAPA</v>
      </c>
      <c r="W4100" t="str">
        <f t="shared" si="1660"/>
        <v>04-08-2020</v>
      </c>
      <c r="X4100" t="str">
        <f t="shared" si="1661"/>
        <v>RAZIMAH ANSAR AHMAD</v>
      </c>
      <c r="Y4100" t="str">
        <f t="shared" si="1662"/>
        <v>04-08-2020</v>
      </c>
      <c r="Z4100" t="str">
        <f>"COS10200804 5054"</f>
        <v>COS10200804 5054</v>
      </c>
    </row>
    <row r="4101" spans="1:26" x14ac:dyDescent="0.25">
      <c r="A4101" t="str">
        <f t="shared" si="1671"/>
        <v>04-08-2020 12:55:04</v>
      </c>
      <c r="B4101" t="str">
        <f>"0000806839"</f>
        <v>0000806839</v>
      </c>
      <c r="C4101" t="str">
        <f t="shared" si="1672"/>
        <v>0000806786</v>
      </c>
      <c r="D4101" t="str">
        <f t="shared" si="1650"/>
        <v>73185</v>
      </c>
      <c r="E4101" t="str">
        <f t="shared" si="1651"/>
        <v>KFH-OPERATIONS DEPARTMENT</v>
      </c>
      <c r="F4101" t="str">
        <f t="shared" si="1652"/>
        <v>IBG</v>
      </c>
      <c r="G4101" t="str">
        <f t="shared" si="1663"/>
        <v>Refund COSHARE 10</v>
      </c>
      <c r="H4101" s="2">
        <v>251.85</v>
      </c>
      <c r="I4101" t="str">
        <f>"KHAIRUNNISA BINTI JASMIN"</f>
        <v>KHAIRUNNISA BINTI JASMIN</v>
      </c>
      <c r="J4101" t="str">
        <f t="shared" si="1666"/>
        <v>MAYBANK / MAYBANK ISLAMIC</v>
      </c>
      <c r="K4101" t="str">
        <f>"151101033989"</f>
        <v>151101033989</v>
      </c>
      <c r="L4101" t="str">
        <f t="shared" si="1673"/>
        <v>04-08-2020</v>
      </c>
      <c r="M4101" t="str">
        <f t="shared" si="1673"/>
        <v>04-08-2020</v>
      </c>
      <c r="N4101" t="str">
        <f t="shared" si="1653"/>
        <v>001105018356</v>
      </c>
      <c r="O4101" t="str">
        <f t="shared" si="1654"/>
        <v>MYR</v>
      </c>
      <c r="P4101" t="str">
        <f t="shared" si="1674"/>
        <v>NIL</v>
      </c>
      <c r="Q4101" t="str">
        <f t="shared" si="1674"/>
        <v>NIL</v>
      </c>
      <c r="R4101" t="str">
        <f t="shared" si="1655"/>
        <v>Accepted</v>
      </c>
      <c r="S4101" t="str">
        <f t="shared" si="1656"/>
        <v>Approved</v>
      </c>
      <c r="T4101" t="str">
        <f t="shared" si="1657"/>
        <v>10.20.8.188</v>
      </c>
      <c r="U4101" t="str">
        <f t="shared" si="1658"/>
        <v>AZRAD UMAR BIN SHAARI</v>
      </c>
      <c r="V4101" t="str">
        <f t="shared" si="1659"/>
        <v>FARHANA BINTI MUSTAPA</v>
      </c>
      <c r="W4101" t="str">
        <f t="shared" si="1660"/>
        <v>04-08-2020</v>
      </c>
      <c r="X4101" t="str">
        <f t="shared" si="1661"/>
        <v>RAZIMAH ANSAR AHMAD</v>
      </c>
      <c r="Y4101" t="str">
        <f t="shared" si="1662"/>
        <v>04-08-2020</v>
      </c>
      <c r="Z4101" t="str">
        <f>"COS10200804 5053"</f>
        <v>COS10200804 5053</v>
      </c>
    </row>
    <row r="4102" spans="1:26" x14ac:dyDescent="0.25">
      <c r="A4102" t="str">
        <f t="shared" si="1671"/>
        <v>04-08-2020 12:55:04</v>
      </c>
      <c r="B4102" t="str">
        <f>"0000806838"</f>
        <v>0000806838</v>
      </c>
      <c r="C4102" t="str">
        <f t="shared" si="1672"/>
        <v>0000806786</v>
      </c>
      <c r="D4102" t="str">
        <f t="shared" si="1650"/>
        <v>73185</v>
      </c>
      <c r="E4102" t="str">
        <f t="shared" si="1651"/>
        <v>KFH-OPERATIONS DEPARTMENT</v>
      </c>
      <c r="F4102" t="str">
        <f t="shared" si="1652"/>
        <v>IBG</v>
      </c>
      <c r="G4102" t="str">
        <f t="shared" si="1663"/>
        <v>Refund COSHARE 10</v>
      </c>
      <c r="H4102" s="2">
        <v>167.9</v>
      </c>
      <c r="I4102" t="str">
        <f>"KHAIRUNNISA BINTI ABD HAMID"</f>
        <v>KHAIRUNNISA BINTI ABD HAMID</v>
      </c>
      <c r="J4102" t="str">
        <f t="shared" si="1666"/>
        <v>MAYBANK / MAYBANK ISLAMIC</v>
      </c>
      <c r="K4102" t="str">
        <f>"161051439070"</f>
        <v>161051439070</v>
      </c>
      <c r="L4102" t="str">
        <f t="shared" si="1673"/>
        <v>04-08-2020</v>
      </c>
      <c r="M4102" t="str">
        <f t="shared" si="1673"/>
        <v>04-08-2020</v>
      </c>
      <c r="N4102" t="str">
        <f t="shared" si="1653"/>
        <v>001105018356</v>
      </c>
      <c r="O4102" t="str">
        <f t="shared" si="1654"/>
        <v>MYR</v>
      </c>
      <c r="P4102" t="str">
        <f t="shared" si="1674"/>
        <v>NIL</v>
      </c>
      <c r="Q4102" t="str">
        <f t="shared" si="1674"/>
        <v>NIL</v>
      </c>
      <c r="R4102" t="str">
        <f t="shared" si="1655"/>
        <v>Accepted</v>
      </c>
      <c r="S4102" t="str">
        <f t="shared" si="1656"/>
        <v>Approved</v>
      </c>
      <c r="T4102" t="str">
        <f t="shared" si="1657"/>
        <v>10.20.8.188</v>
      </c>
      <c r="U4102" t="str">
        <f t="shared" si="1658"/>
        <v>AZRAD UMAR BIN SHAARI</v>
      </c>
      <c r="V4102" t="str">
        <f t="shared" si="1659"/>
        <v>FARHANA BINTI MUSTAPA</v>
      </c>
      <c r="W4102" t="str">
        <f t="shared" si="1660"/>
        <v>04-08-2020</v>
      </c>
      <c r="X4102" t="str">
        <f t="shared" si="1661"/>
        <v>RAZIMAH ANSAR AHMAD</v>
      </c>
      <c r="Y4102" t="str">
        <f t="shared" si="1662"/>
        <v>04-08-2020</v>
      </c>
      <c r="Z4102" t="str">
        <f>"COS10200804 5052"</f>
        <v>COS10200804 5052</v>
      </c>
    </row>
    <row r="4103" spans="1:26" x14ac:dyDescent="0.25">
      <c r="A4103" t="str">
        <f t="shared" si="1671"/>
        <v>04-08-2020 12:55:04</v>
      </c>
      <c r="B4103" t="str">
        <f>"0000806837"</f>
        <v>0000806837</v>
      </c>
      <c r="C4103" t="str">
        <f t="shared" si="1672"/>
        <v>0000806786</v>
      </c>
      <c r="D4103" t="str">
        <f t="shared" ref="D4103:D4166" si="1675">"73185"</f>
        <v>73185</v>
      </c>
      <c r="E4103" t="str">
        <f t="shared" ref="E4103:E4166" si="1676">"KFH-OPERATIONS DEPARTMENT"</f>
        <v>KFH-OPERATIONS DEPARTMENT</v>
      </c>
      <c r="F4103" t="str">
        <f t="shared" ref="F4103:F4166" si="1677">"IBG"</f>
        <v>IBG</v>
      </c>
      <c r="G4103" t="str">
        <f t="shared" si="1663"/>
        <v>Refund COSHARE 10</v>
      </c>
      <c r="H4103" s="2">
        <v>587.65</v>
      </c>
      <c r="I4103" t="str">
        <f>"KHAIRUN NISYAK BINTI ZAKARIA"</f>
        <v>KHAIRUN NISYAK BINTI ZAKARIA</v>
      </c>
      <c r="J4103" t="str">
        <f t="shared" si="1666"/>
        <v>MAYBANK / MAYBANK ISLAMIC</v>
      </c>
      <c r="K4103" t="str">
        <f>"108020039274"</f>
        <v>108020039274</v>
      </c>
      <c r="L4103" t="str">
        <f t="shared" si="1673"/>
        <v>04-08-2020</v>
      </c>
      <c r="M4103" t="str">
        <f t="shared" si="1673"/>
        <v>04-08-2020</v>
      </c>
      <c r="N4103" t="str">
        <f t="shared" ref="N4103:N4166" si="1678">"001105018356"</f>
        <v>001105018356</v>
      </c>
      <c r="O4103" t="str">
        <f t="shared" ref="O4103:O4166" si="1679">"MYR"</f>
        <v>MYR</v>
      </c>
      <c r="P4103" t="str">
        <f t="shared" si="1674"/>
        <v>NIL</v>
      </c>
      <c r="Q4103" t="str">
        <f t="shared" si="1674"/>
        <v>NIL</v>
      </c>
      <c r="R4103" t="str">
        <f t="shared" ref="R4103:R4166" si="1680">"Accepted"</f>
        <v>Accepted</v>
      </c>
      <c r="S4103" t="str">
        <f t="shared" ref="S4103:S4166" si="1681">"Approved"</f>
        <v>Approved</v>
      </c>
      <c r="T4103" t="str">
        <f t="shared" ref="T4103:T4166" si="1682">"10.20.8.188"</f>
        <v>10.20.8.188</v>
      </c>
      <c r="U4103" t="str">
        <f t="shared" ref="U4103:U4166" si="1683">"AZRAD UMAR BIN SHAARI"</f>
        <v>AZRAD UMAR BIN SHAARI</v>
      </c>
      <c r="V4103" t="str">
        <f t="shared" ref="V4103:V4166" si="1684">"FARHANA BINTI MUSTAPA"</f>
        <v>FARHANA BINTI MUSTAPA</v>
      </c>
      <c r="W4103" t="str">
        <f t="shared" ref="W4103:W4166" si="1685">"04-08-2020"</f>
        <v>04-08-2020</v>
      </c>
      <c r="X4103" t="str">
        <f t="shared" ref="X4103:X4166" si="1686">"RAZIMAH ANSAR AHMAD"</f>
        <v>RAZIMAH ANSAR AHMAD</v>
      </c>
      <c r="Y4103" t="str">
        <f t="shared" ref="Y4103:Y4166" si="1687">"04-08-2020"</f>
        <v>04-08-2020</v>
      </c>
      <c r="Z4103" t="str">
        <f>"COS10200804 5051"</f>
        <v>COS10200804 5051</v>
      </c>
    </row>
    <row r="4104" spans="1:26" x14ac:dyDescent="0.25">
      <c r="A4104" t="str">
        <f t="shared" si="1671"/>
        <v>04-08-2020 12:55:04</v>
      </c>
      <c r="B4104" t="str">
        <f>"0000806836"</f>
        <v>0000806836</v>
      </c>
      <c r="C4104" t="str">
        <f t="shared" si="1672"/>
        <v>0000806786</v>
      </c>
      <c r="D4104" t="str">
        <f t="shared" si="1675"/>
        <v>73185</v>
      </c>
      <c r="E4104" t="str">
        <f t="shared" si="1676"/>
        <v>KFH-OPERATIONS DEPARTMENT</v>
      </c>
      <c r="F4104" t="str">
        <f t="shared" si="1677"/>
        <v>IBG</v>
      </c>
      <c r="G4104" t="str">
        <f t="shared" si="1663"/>
        <v>Refund COSHARE 10</v>
      </c>
      <c r="H4104" s="2">
        <v>1250.8499999999999</v>
      </c>
      <c r="I4104" t="str">
        <f>"KHAIRULNIZAM BIN MOHD ZIN"</f>
        <v>KHAIRULNIZAM BIN MOHD ZIN</v>
      </c>
      <c r="J4104" t="str">
        <f t="shared" si="1666"/>
        <v>MAYBANK / MAYBANK ISLAMIC</v>
      </c>
      <c r="K4104" t="str">
        <f>"162272517208"</f>
        <v>162272517208</v>
      </c>
      <c r="L4104" t="str">
        <f t="shared" si="1673"/>
        <v>04-08-2020</v>
      </c>
      <c r="M4104" t="str">
        <f t="shared" si="1673"/>
        <v>04-08-2020</v>
      </c>
      <c r="N4104" t="str">
        <f t="shared" si="1678"/>
        <v>001105018356</v>
      </c>
      <c r="O4104" t="str">
        <f t="shared" si="1679"/>
        <v>MYR</v>
      </c>
      <c r="P4104" t="str">
        <f t="shared" si="1674"/>
        <v>NIL</v>
      </c>
      <c r="Q4104" t="str">
        <f t="shared" si="1674"/>
        <v>NIL</v>
      </c>
      <c r="R4104" t="str">
        <f t="shared" si="1680"/>
        <v>Accepted</v>
      </c>
      <c r="S4104" t="str">
        <f t="shared" si="1681"/>
        <v>Approved</v>
      </c>
      <c r="T4104" t="str">
        <f t="shared" si="1682"/>
        <v>10.20.8.188</v>
      </c>
      <c r="U4104" t="str">
        <f t="shared" si="1683"/>
        <v>AZRAD UMAR BIN SHAARI</v>
      </c>
      <c r="V4104" t="str">
        <f t="shared" si="1684"/>
        <v>FARHANA BINTI MUSTAPA</v>
      </c>
      <c r="W4104" t="str">
        <f t="shared" si="1685"/>
        <v>04-08-2020</v>
      </c>
      <c r="X4104" t="str">
        <f t="shared" si="1686"/>
        <v>RAZIMAH ANSAR AHMAD</v>
      </c>
      <c r="Y4104" t="str">
        <f t="shared" si="1687"/>
        <v>04-08-2020</v>
      </c>
      <c r="Z4104" t="str">
        <f>"COS10200804 5050"</f>
        <v>COS10200804 5050</v>
      </c>
    </row>
    <row r="4105" spans="1:26" x14ac:dyDescent="0.25">
      <c r="A4105" t="str">
        <f t="shared" si="1671"/>
        <v>04-08-2020 12:55:04</v>
      </c>
      <c r="B4105" t="str">
        <f>"0000806835"</f>
        <v>0000806835</v>
      </c>
      <c r="C4105" t="str">
        <f t="shared" si="1672"/>
        <v>0000806786</v>
      </c>
      <c r="D4105" t="str">
        <f t="shared" si="1675"/>
        <v>73185</v>
      </c>
      <c r="E4105" t="str">
        <f t="shared" si="1676"/>
        <v>KFH-OPERATIONS DEPARTMENT</v>
      </c>
      <c r="F4105" t="str">
        <f t="shared" si="1677"/>
        <v>IBG</v>
      </c>
      <c r="G4105" t="str">
        <f t="shared" si="1663"/>
        <v>Refund COSHARE 10</v>
      </c>
      <c r="H4105" s="2">
        <v>649.65</v>
      </c>
      <c r="I4105" t="str">
        <f>"KHAIRULNIZAM BIN KHAIRUDIN"</f>
        <v>KHAIRULNIZAM BIN KHAIRUDIN</v>
      </c>
      <c r="J4105" t="str">
        <f t="shared" si="1666"/>
        <v>MAYBANK / MAYBANK ISLAMIC</v>
      </c>
      <c r="K4105" t="str">
        <f>"162021345426"</f>
        <v>162021345426</v>
      </c>
      <c r="L4105" t="str">
        <f t="shared" si="1673"/>
        <v>04-08-2020</v>
      </c>
      <c r="M4105" t="str">
        <f t="shared" si="1673"/>
        <v>04-08-2020</v>
      </c>
      <c r="N4105" t="str">
        <f t="shared" si="1678"/>
        <v>001105018356</v>
      </c>
      <c r="O4105" t="str">
        <f t="shared" si="1679"/>
        <v>MYR</v>
      </c>
      <c r="P4105" t="str">
        <f t="shared" si="1674"/>
        <v>NIL</v>
      </c>
      <c r="Q4105" t="str">
        <f t="shared" si="1674"/>
        <v>NIL</v>
      </c>
      <c r="R4105" t="str">
        <f t="shared" si="1680"/>
        <v>Accepted</v>
      </c>
      <c r="S4105" t="str">
        <f t="shared" si="1681"/>
        <v>Approved</v>
      </c>
      <c r="T4105" t="str">
        <f t="shared" si="1682"/>
        <v>10.20.8.188</v>
      </c>
      <c r="U4105" t="str">
        <f t="shared" si="1683"/>
        <v>AZRAD UMAR BIN SHAARI</v>
      </c>
      <c r="V4105" t="str">
        <f t="shared" si="1684"/>
        <v>FARHANA BINTI MUSTAPA</v>
      </c>
      <c r="W4105" t="str">
        <f t="shared" si="1685"/>
        <v>04-08-2020</v>
      </c>
      <c r="X4105" t="str">
        <f t="shared" si="1686"/>
        <v>RAZIMAH ANSAR AHMAD</v>
      </c>
      <c r="Y4105" t="str">
        <f t="shared" si="1687"/>
        <v>04-08-2020</v>
      </c>
      <c r="Z4105" t="str">
        <f>"COS10200804 5049"</f>
        <v>COS10200804 5049</v>
      </c>
    </row>
    <row r="4106" spans="1:26" x14ac:dyDescent="0.25">
      <c r="A4106" t="str">
        <f t="shared" si="1671"/>
        <v>04-08-2020 12:55:04</v>
      </c>
      <c r="B4106" t="str">
        <f>"0000806834"</f>
        <v>0000806834</v>
      </c>
      <c r="C4106" t="str">
        <f t="shared" si="1672"/>
        <v>0000806786</v>
      </c>
      <c r="D4106" t="str">
        <f t="shared" si="1675"/>
        <v>73185</v>
      </c>
      <c r="E4106" t="str">
        <f t="shared" si="1676"/>
        <v>KFH-OPERATIONS DEPARTMENT</v>
      </c>
      <c r="F4106" t="str">
        <f t="shared" si="1677"/>
        <v>IBG</v>
      </c>
      <c r="G4106" t="str">
        <f t="shared" si="1663"/>
        <v>Refund COSHARE 10</v>
      </c>
      <c r="H4106" s="2">
        <v>184.7</v>
      </c>
      <c r="I4106" t="str">
        <f>"KHAIRULIZAM BIN MORSHIDI  RAMZI"</f>
        <v>KHAIRULIZAM BIN MORSHIDI  RAMZI</v>
      </c>
      <c r="J4106" t="str">
        <f t="shared" si="1666"/>
        <v>MAYBANK / MAYBANK ISLAMIC</v>
      </c>
      <c r="K4106" t="str">
        <f>"161109262748"</f>
        <v>161109262748</v>
      </c>
      <c r="L4106" t="str">
        <f t="shared" si="1673"/>
        <v>04-08-2020</v>
      </c>
      <c r="M4106" t="str">
        <f t="shared" si="1673"/>
        <v>04-08-2020</v>
      </c>
      <c r="N4106" t="str">
        <f t="shared" si="1678"/>
        <v>001105018356</v>
      </c>
      <c r="O4106" t="str">
        <f t="shared" si="1679"/>
        <v>MYR</v>
      </c>
      <c r="P4106" t="str">
        <f t="shared" si="1674"/>
        <v>NIL</v>
      </c>
      <c r="Q4106" t="str">
        <f t="shared" si="1674"/>
        <v>NIL</v>
      </c>
      <c r="R4106" t="str">
        <f t="shared" si="1680"/>
        <v>Accepted</v>
      </c>
      <c r="S4106" t="str">
        <f t="shared" si="1681"/>
        <v>Approved</v>
      </c>
      <c r="T4106" t="str">
        <f t="shared" si="1682"/>
        <v>10.20.8.188</v>
      </c>
      <c r="U4106" t="str">
        <f t="shared" si="1683"/>
        <v>AZRAD UMAR BIN SHAARI</v>
      </c>
      <c r="V4106" t="str">
        <f t="shared" si="1684"/>
        <v>FARHANA BINTI MUSTAPA</v>
      </c>
      <c r="W4106" t="str">
        <f t="shared" si="1685"/>
        <v>04-08-2020</v>
      </c>
      <c r="X4106" t="str">
        <f t="shared" si="1686"/>
        <v>RAZIMAH ANSAR AHMAD</v>
      </c>
      <c r="Y4106" t="str">
        <f t="shared" si="1687"/>
        <v>04-08-2020</v>
      </c>
      <c r="Z4106" t="str">
        <f>"COS10200804 5048"</f>
        <v>COS10200804 5048</v>
      </c>
    </row>
    <row r="4107" spans="1:26" x14ac:dyDescent="0.25">
      <c r="A4107" t="str">
        <f t="shared" si="1671"/>
        <v>04-08-2020 12:55:04</v>
      </c>
      <c r="B4107" t="str">
        <f>"0000806833"</f>
        <v>0000806833</v>
      </c>
      <c r="C4107" t="str">
        <f t="shared" si="1672"/>
        <v>0000806786</v>
      </c>
      <c r="D4107" t="str">
        <f t="shared" si="1675"/>
        <v>73185</v>
      </c>
      <c r="E4107" t="str">
        <f t="shared" si="1676"/>
        <v>KFH-OPERATIONS DEPARTMENT</v>
      </c>
      <c r="F4107" t="str">
        <f t="shared" si="1677"/>
        <v>IBG</v>
      </c>
      <c r="G4107" t="str">
        <f t="shared" si="1663"/>
        <v>Refund COSHARE 10</v>
      </c>
      <c r="H4107" s="2">
        <v>629.65</v>
      </c>
      <c r="I4107" t="str">
        <f>"KHAIRULIDZA BINTI KHALID"</f>
        <v>KHAIRULIDZA BINTI KHALID</v>
      </c>
      <c r="J4107" t="str">
        <f t="shared" si="1666"/>
        <v>MAYBANK / MAYBANK ISLAMIC</v>
      </c>
      <c r="K4107" t="str">
        <f>"101302021555"</f>
        <v>101302021555</v>
      </c>
      <c r="L4107" t="str">
        <f t="shared" ref="L4107:M4126" si="1688">"04-08-2020"</f>
        <v>04-08-2020</v>
      </c>
      <c r="M4107" t="str">
        <f t="shared" si="1688"/>
        <v>04-08-2020</v>
      </c>
      <c r="N4107" t="str">
        <f t="shared" si="1678"/>
        <v>001105018356</v>
      </c>
      <c r="O4107" t="str">
        <f t="shared" si="1679"/>
        <v>MYR</v>
      </c>
      <c r="P4107" t="str">
        <f t="shared" ref="P4107:Q4126" si="1689">"NIL"</f>
        <v>NIL</v>
      </c>
      <c r="Q4107" t="str">
        <f t="shared" si="1689"/>
        <v>NIL</v>
      </c>
      <c r="R4107" t="str">
        <f t="shared" si="1680"/>
        <v>Accepted</v>
      </c>
      <c r="S4107" t="str">
        <f t="shared" si="1681"/>
        <v>Approved</v>
      </c>
      <c r="T4107" t="str">
        <f t="shared" si="1682"/>
        <v>10.20.8.188</v>
      </c>
      <c r="U4107" t="str">
        <f t="shared" si="1683"/>
        <v>AZRAD UMAR BIN SHAARI</v>
      </c>
      <c r="V4107" t="str">
        <f t="shared" si="1684"/>
        <v>FARHANA BINTI MUSTAPA</v>
      </c>
      <c r="W4107" t="str">
        <f t="shared" si="1685"/>
        <v>04-08-2020</v>
      </c>
      <c r="X4107" t="str">
        <f t="shared" si="1686"/>
        <v>RAZIMAH ANSAR AHMAD</v>
      </c>
      <c r="Y4107" t="str">
        <f t="shared" si="1687"/>
        <v>04-08-2020</v>
      </c>
      <c r="Z4107" t="str">
        <f>"COS10200804 5047"</f>
        <v>COS10200804 5047</v>
      </c>
    </row>
    <row r="4108" spans="1:26" x14ac:dyDescent="0.25">
      <c r="A4108" t="str">
        <f t="shared" si="1671"/>
        <v>04-08-2020 12:55:04</v>
      </c>
      <c r="B4108" t="str">
        <f>"0000806832"</f>
        <v>0000806832</v>
      </c>
      <c r="C4108" t="str">
        <f t="shared" si="1672"/>
        <v>0000806786</v>
      </c>
      <c r="D4108" t="str">
        <f t="shared" si="1675"/>
        <v>73185</v>
      </c>
      <c r="E4108" t="str">
        <f t="shared" si="1676"/>
        <v>KFH-OPERATIONS DEPARTMENT</v>
      </c>
      <c r="F4108" t="str">
        <f t="shared" si="1677"/>
        <v>IBG</v>
      </c>
      <c r="G4108" t="str">
        <f t="shared" ref="G4108:G4171" si="1690">"Refund COSHARE 10"</f>
        <v>Refund COSHARE 10</v>
      </c>
      <c r="H4108" s="2">
        <v>251.85</v>
      </c>
      <c r="I4108" t="str">
        <f>"KHAIRULAIDAH BINTI SAMAH"</f>
        <v>KHAIRULAIDAH BINTI SAMAH</v>
      </c>
      <c r="J4108" t="str">
        <f t="shared" si="1666"/>
        <v>MAYBANK / MAYBANK ISLAMIC</v>
      </c>
      <c r="K4108" t="str">
        <f>"512268056877"</f>
        <v>512268056877</v>
      </c>
      <c r="L4108" t="str">
        <f t="shared" si="1688"/>
        <v>04-08-2020</v>
      </c>
      <c r="M4108" t="str">
        <f t="shared" si="1688"/>
        <v>04-08-2020</v>
      </c>
      <c r="N4108" t="str">
        <f t="shared" si="1678"/>
        <v>001105018356</v>
      </c>
      <c r="O4108" t="str">
        <f t="shared" si="1679"/>
        <v>MYR</v>
      </c>
      <c r="P4108" t="str">
        <f t="shared" si="1689"/>
        <v>NIL</v>
      </c>
      <c r="Q4108" t="str">
        <f t="shared" si="1689"/>
        <v>NIL</v>
      </c>
      <c r="R4108" t="str">
        <f t="shared" si="1680"/>
        <v>Accepted</v>
      </c>
      <c r="S4108" t="str">
        <f t="shared" si="1681"/>
        <v>Approved</v>
      </c>
      <c r="T4108" t="str">
        <f t="shared" si="1682"/>
        <v>10.20.8.188</v>
      </c>
      <c r="U4108" t="str">
        <f t="shared" si="1683"/>
        <v>AZRAD UMAR BIN SHAARI</v>
      </c>
      <c r="V4108" t="str">
        <f t="shared" si="1684"/>
        <v>FARHANA BINTI MUSTAPA</v>
      </c>
      <c r="W4108" t="str">
        <f t="shared" si="1685"/>
        <v>04-08-2020</v>
      </c>
      <c r="X4108" t="str">
        <f t="shared" si="1686"/>
        <v>RAZIMAH ANSAR AHMAD</v>
      </c>
      <c r="Y4108" t="str">
        <f t="shared" si="1687"/>
        <v>04-08-2020</v>
      </c>
      <c r="Z4108" t="str">
        <f>"COS10200804 5046"</f>
        <v>COS10200804 5046</v>
      </c>
    </row>
    <row r="4109" spans="1:26" x14ac:dyDescent="0.25">
      <c r="A4109" t="str">
        <f t="shared" si="1671"/>
        <v>04-08-2020 12:55:04</v>
      </c>
      <c r="B4109" t="str">
        <f>"0000806831"</f>
        <v>0000806831</v>
      </c>
      <c r="C4109" t="str">
        <f t="shared" si="1672"/>
        <v>0000806786</v>
      </c>
      <c r="D4109" t="str">
        <f t="shared" si="1675"/>
        <v>73185</v>
      </c>
      <c r="E4109" t="str">
        <f t="shared" si="1676"/>
        <v>KFH-OPERATIONS DEPARTMENT</v>
      </c>
      <c r="F4109" t="str">
        <f t="shared" si="1677"/>
        <v>IBG</v>
      </c>
      <c r="G4109" t="str">
        <f t="shared" si="1690"/>
        <v>Refund COSHARE 10</v>
      </c>
      <c r="H4109" s="2">
        <v>1133.3499999999999</v>
      </c>
      <c r="I4109" t="str">
        <f>"KHAIRUL SYAIFULNIZAM BIN AWANG"</f>
        <v>KHAIRUL SYAIFULNIZAM BIN AWANG</v>
      </c>
      <c r="J4109" t="str">
        <f t="shared" si="1666"/>
        <v>MAYBANK / MAYBANK ISLAMIC</v>
      </c>
      <c r="K4109" t="str">
        <f>"112241048607"</f>
        <v>112241048607</v>
      </c>
      <c r="L4109" t="str">
        <f t="shared" si="1688"/>
        <v>04-08-2020</v>
      </c>
      <c r="M4109" t="str">
        <f t="shared" si="1688"/>
        <v>04-08-2020</v>
      </c>
      <c r="N4109" t="str">
        <f t="shared" si="1678"/>
        <v>001105018356</v>
      </c>
      <c r="O4109" t="str">
        <f t="shared" si="1679"/>
        <v>MYR</v>
      </c>
      <c r="P4109" t="str">
        <f t="shared" si="1689"/>
        <v>NIL</v>
      </c>
      <c r="Q4109" t="str">
        <f t="shared" si="1689"/>
        <v>NIL</v>
      </c>
      <c r="R4109" t="str">
        <f t="shared" si="1680"/>
        <v>Accepted</v>
      </c>
      <c r="S4109" t="str">
        <f t="shared" si="1681"/>
        <v>Approved</v>
      </c>
      <c r="T4109" t="str">
        <f t="shared" si="1682"/>
        <v>10.20.8.188</v>
      </c>
      <c r="U4109" t="str">
        <f t="shared" si="1683"/>
        <v>AZRAD UMAR BIN SHAARI</v>
      </c>
      <c r="V4109" t="str">
        <f t="shared" si="1684"/>
        <v>FARHANA BINTI MUSTAPA</v>
      </c>
      <c r="W4109" t="str">
        <f t="shared" si="1685"/>
        <v>04-08-2020</v>
      </c>
      <c r="X4109" t="str">
        <f t="shared" si="1686"/>
        <v>RAZIMAH ANSAR AHMAD</v>
      </c>
      <c r="Y4109" t="str">
        <f t="shared" si="1687"/>
        <v>04-08-2020</v>
      </c>
      <c r="Z4109" t="str">
        <f>"COS10200804 5045"</f>
        <v>COS10200804 5045</v>
      </c>
    </row>
    <row r="4110" spans="1:26" x14ac:dyDescent="0.25">
      <c r="A4110" t="str">
        <f t="shared" si="1671"/>
        <v>04-08-2020 12:55:04</v>
      </c>
      <c r="B4110" t="str">
        <f>"0000806830"</f>
        <v>0000806830</v>
      </c>
      <c r="C4110" t="str">
        <f t="shared" si="1672"/>
        <v>0000806786</v>
      </c>
      <c r="D4110" t="str">
        <f t="shared" si="1675"/>
        <v>73185</v>
      </c>
      <c r="E4110" t="str">
        <f t="shared" si="1676"/>
        <v>KFH-OPERATIONS DEPARTMENT</v>
      </c>
      <c r="F4110" t="str">
        <f t="shared" si="1677"/>
        <v>IBG</v>
      </c>
      <c r="G4110" t="str">
        <f t="shared" si="1690"/>
        <v>Refund COSHARE 10</v>
      </c>
      <c r="H4110" s="2">
        <v>251.85</v>
      </c>
      <c r="I4110" t="str">
        <f>"KHAIRUL SALEH BIN ABD KARIM"</f>
        <v>KHAIRUL SALEH BIN ABD KARIM</v>
      </c>
      <c r="J4110" t="str">
        <f t="shared" si="1666"/>
        <v>MAYBANK / MAYBANK ISLAMIC</v>
      </c>
      <c r="K4110" t="str">
        <f>"158109186174"</f>
        <v>158109186174</v>
      </c>
      <c r="L4110" t="str">
        <f t="shared" si="1688"/>
        <v>04-08-2020</v>
      </c>
      <c r="M4110" t="str">
        <f t="shared" si="1688"/>
        <v>04-08-2020</v>
      </c>
      <c r="N4110" t="str">
        <f t="shared" si="1678"/>
        <v>001105018356</v>
      </c>
      <c r="O4110" t="str">
        <f t="shared" si="1679"/>
        <v>MYR</v>
      </c>
      <c r="P4110" t="str">
        <f t="shared" si="1689"/>
        <v>NIL</v>
      </c>
      <c r="Q4110" t="str">
        <f t="shared" si="1689"/>
        <v>NIL</v>
      </c>
      <c r="R4110" t="str">
        <f t="shared" si="1680"/>
        <v>Accepted</v>
      </c>
      <c r="S4110" t="str">
        <f t="shared" si="1681"/>
        <v>Approved</v>
      </c>
      <c r="T4110" t="str">
        <f t="shared" si="1682"/>
        <v>10.20.8.188</v>
      </c>
      <c r="U4110" t="str">
        <f t="shared" si="1683"/>
        <v>AZRAD UMAR BIN SHAARI</v>
      </c>
      <c r="V4110" t="str">
        <f t="shared" si="1684"/>
        <v>FARHANA BINTI MUSTAPA</v>
      </c>
      <c r="W4110" t="str">
        <f t="shared" si="1685"/>
        <v>04-08-2020</v>
      </c>
      <c r="X4110" t="str">
        <f t="shared" si="1686"/>
        <v>RAZIMAH ANSAR AHMAD</v>
      </c>
      <c r="Y4110" t="str">
        <f t="shared" si="1687"/>
        <v>04-08-2020</v>
      </c>
      <c r="Z4110" t="str">
        <f>"COS10200804 5044"</f>
        <v>COS10200804 5044</v>
      </c>
    </row>
    <row r="4111" spans="1:26" x14ac:dyDescent="0.25">
      <c r="A4111" t="str">
        <f t="shared" si="1671"/>
        <v>04-08-2020 12:55:04</v>
      </c>
      <c r="B4111" t="str">
        <f>"0000806829"</f>
        <v>0000806829</v>
      </c>
      <c r="C4111" t="str">
        <f t="shared" si="1672"/>
        <v>0000806786</v>
      </c>
      <c r="D4111" t="str">
        <f t="shared" si="1675"/>
        <v>73185</v>
      </c>
      <c r="E4111" t="str">
        <f t="shared" si="1676"/>
        <v>KFH-OPERATIONS DEPARTMENT</v>
      </c>
      <c r="F4111" t="str">
        <f t="shared" si="1677"/>
        <v>IBG</v>
      </c>
      <c r="G4111" t="str">
        <f t="shared" si="1690"/>
        <v>Refund COSHARE 10</v>
      </c>
      <c r="H4111" s="2">
        <v>428.15</v>
      </c>
      <c r="I4111" t="str">
        <f>"KHAIRUL NIZAM BIN MOHD LAZIM"</f>
        <v>KHAIRUL NIZAM BIN MOHD LAZIM</v>
      </c>
      <c r="J4111" t="str">
        <f t="shared" si="1666"/>
        <v>MAYBANK / MAYBANK ISLAMIC</v>
      </c>
      <c r="K4111" t="str">
        <f>"151463028706"</f>
        <v>151463028706</v>
      </c>
      <c r="L4111" t="str">
        <f t="shared" si="1688"/>
        <v>04-08-2020</v>
      </c>
      <c r="M4111" t="str">
        <f t="shared" si="1688"/>
        <v>04-08-2020</v>
      </c>
      <c r="N4111" t="str">
        <f t="shared" si="1678"/>
        <v>001105018356</v>
      </c>
      <c r="O4111" t="str">
        <f t="shared" si="1679"/>
        <v>MYR</v>
      </c>
      <c r="P4111" t="str">
        <f t="shared" si="1689"/>
        <v>NIL</v>
      </c>
      <c r="Q4111" t="str">
        <f t="shared" si="1689"/>
        <v>NIL</v>
      </c>
      <c r="R4111" t="str">
        <f t="shared" si="1680"/>
        <v>Accepted</v>
      </c>
      <c r="S4111" t="str">
        <f t="shared" si="1681"/>
        <v>Approved</v>
      </c>
      <c r="T4111" t="str">
        <f t="shared" si="1682"/>
        <v>10.20.8.188</v>
      </c>
      <c r="U4111" t="str">
        <f t="shared" si="1683"/>
        <v>AZRAD UMAR BIN SHAARI</v>
      </c>
      <c r="V4111" t="str">
        <f t="shared" si="1684"/>
        <v>FARHANA BINTI MUSTAPA</v>
      </c>
      <c r="W4111" t="str">
        <f t="shared" si="1685"/>
        <v>04-08-2020</v>
      </c>
      <c r="X4111" t="str">
        <f t="shared" si="1686"/>
        <v>RAZIMAH ANSAR AHMAD</v>
      </c>
      <c r="Y4111" t="str">
        <f t="shared" si="1687"/>
        <v>04-08-2020</v>
      </c>
      <c r="Z4111" t="str">
        <f>"COS10200804 5043"</f>
        <v>COS10200804 5043</v>
      </c>
    </row>
    <row r="4112" spans="1:26" x14ac:dyDescent="0.25">
      <c r="A4112" t="str">
        <f t="shared" si="1671"/>
        <v>04-08-2020 12:55:04</v>
      </c>
      <c r="B4112" t="str">
        <f>"0000806828"</f>
        <v>0000806828</v>
      </c>
      <c r="C4112" t="str">
        <f t="shared" si="1672"/>
        <v>0000806786</v>
      </c>
      <c r="D4112" t="str">
        <f t="shared" si="1675"/>
        <v>73185</v>
      </c>
      <c r="E4112" t="str">
        <f t="shared" si="1676"/>
        <v>KFH-OPERATIONS DEPARTMENT</v>
      </c>
      <c r="F4112" t="str">
        <f t="shared" si="1677"/>
        <v>IBG</v>
      </c>
      <c r="G4112" t="str">
        <f t="shared" si="1690"/>
        <v>Refund COSHARE 10</v>
      </c>
      <c r="H4112" s="2">
        <v>1041</v>
      </c>
      <c r="I4112" t="str">
        <f>"KHAIRUL NIZAM BIN MD KAMARY"</f>
        <v>KHAIRUL NIZAM BIN MD KAMARY</v>
      </c>
      <c r="J4112" t="str">
        <f t="shared" si="1666"/>
        <v>MAYBANK / MAYBANK ISLAMIC</v>
      </c>
      <c r="K4112" t="str">
        <f>"162058661635"</f>
        <v>162058661635</v>
      </c>
      <c r="L4112" t="str">
        <f t="shared" si="1688"/>
        <v>04-08-2020</v>
      </c>
      <c r="M4112" t="str">
        <f t="shared" si="1688"/>
        <v>04-08-2020</v>
      </c>
      <c r="N4112" t="str">
        <f t="shared" si="1678"/>
        <v>001105018356</v>
      </c>
      <c r="O4112" t="str">
        <f t="shared" si="1679"/>
        <v>MYR</v>
      </c>
      <c r="P4112" t="str">
        <f t="shared" si="1689"/>
        <v>NIL</v>
      </c>
      <c r="Q4112" t="str">
        <f t="shared" si="1689"/>
        <v>NIL</v>
      </c>
      <c r="R4112" t="str">
        <f t="shared" si="1680"/>
        <v>Accepted</v>
      </c>
      <c r="S4112" t="str">
        <f t="shared" si="1681"/>
        <v>Approved</v>
      </c>
      <c r="T4112" t="str">
        <f t="shared" si="1682"/>
        <v>10.20.8.188</v>
      </c>
      <c r="U4112" t="str">
        <f t="shared" si="1683"/>
        <v>AZRAD UMAR BIN SHAARI</v>
      </c>
      <c r="V4112" t="str">
        <f t="shared" si="1684"/>
        <v>FARHANA BINTI MUSTAPA</v>
      </c>
      <c r="W4112" t="str">
        <f t="shared" si="1685"/>
        <v>04-08-2020</v>
      </c>
      <c r="X4112" t="str">
        <f t="shared" si="1686"/>
        <v>RAZIMAH ANSAR AHMAD</v>
      </c>
      <c r="Y4112" t="str">
        <f t="shared" si="1687"/>
        <v>04-08-2020</v>
      </c>
      <c r="Z4112" t="str">
        <f>"COS10200804 5042"</f>
        <v>COS10200804 5042</v>
      </c>
    </row>
    <row r="4113" spans="1:26" x14ac:dyDescent="0.25">
      <c r="A4113" t="str">
        <f t="shared" si="1671"/>
        <v>04-08-2020 12:55:04</v>
      </c>
      <c r="B4113" t="str">
        <f>"0000806827"</f>
        <v>0000806827</v>
      </c>
      <c r="C4113" t="str">
        <f t="shared" si="1672"/>
        <v>0000806786</v>
      </c>
      <c r="D4113" t="str">
        <f t="shared" si="1675"/>
        <v>73185</v>
      </c>
      <c r="E4113" t="str">
        <f t="shared" si="1676"/>
        <v>KFH-OPERATIONS DEPARTMENT</v>
      </c>
      <c r="F4113" t="str">
        <f t="shared" si="1677"/>
        <v>IBG</v>
      </c>
      <c r="G4113" t="str">
        <f t="shared" si="1690"/>
        <v>Refund COSHARE 10</v>
      </c>
      <c r="H4113" s="2">
        <v>1518</v>
      </c>
      <c r="I4113" t="str">
        <f>"KHAIRUL NIZAM BIN HASHIM"</f>
        <v>KHAIRUL NIZAM BIN HASHIM</v>
      </c>
      <c r="J4113" t="str">
        <f t="shared" ref="J4113:J4176" si="1691">"MAYBANK / MAYBANK ISLAMIC"</f>
        <v>MAYBANK / MAYBANK ISLAMIC</v>
      </c>
      <c r="K4113" t="str">
        <f>"162049023987"</f>
        <v>162049023987</v>
      </c>
      <c r="L4113" t="str">
        <f t="shared" si="1688"/>
        <v>04-08-2020</v>
      </c>
      <c r="M4113" t="str">
        <f t="shared" si="1688"/>
        <v>04-08-2020</v>
      </c>
      <c r="N4113" t="str">
        <f t="shared" si="1678"/>
        <v>001105018356</v>
      </c>
      <c r="O4113" t="str">
        <f t="shared" si="1679"/>
        <v>MYR</v>
      </c>
      <c r="P4113" t="str">
        <f t="shared" si="1689"/>
        <v>NIL</v>
      </c>
      <c r="Q4113" t="str">
        <f t="shared" si="1689"/>
        <v>NIL</v>
      </c>
      <c r="R4113" t="str">
        <f t="shared" si="1680"/>
        <v>Accepted</v>
      </c>
      <c r="S4113" t="str">
        <f t="shared" si="1681"/>
        <v>Approved</v>
      </c>
      <c r="T4113" t="str">
        <f t="shared" si="1682"/>
        <v>10.20.8.188</v>
      </c>
      <c r="U4113" t="str">
        <f t="shared" si="1683"/>
        <v>AZRAD UMAR BIN SHAARI</v>
      </c>
      <c r="V4113" t="str">
        <f t="shared" si="1684"/>
        <v>FARHANA BINTI MUSTAPA</v>
      </c>
      <c r="W4113" t="str">
        <f t="shared" si="1685"/>
        <v>04-08-2020</v>
      </c>
      <c r="X4113" t="str">
        <f t="shared" si="1686"/>
        <v>RAZIMAH ANSAR AHMAD</v>
      </c>
      <c r="Y4113" t="str">
        <f t="shared" si="1687"/>
        <v>04-08-2020</v>
      </c>
      <c r="Z4113" t="str">
        <f>"COS10200804 5041"</f>
        <v>COS10200804 5041</v>
      </c>
    </row>
    <row r="4114" spans="1:26" x14ac:dyDescent="0.25">
      <c r="A4114" t="str">
        <f t="shared" ref="A4114:A4145" si="1692">"04-08-2020 12:55:04"</f>
        <v>04-08-2020 12:55:04</v>
      </c>
      <c r="B4114" t="str">
        <f>"0000806826"</f>
        <v>0000806826</v>
      </c>
      <c r="C4114" t="str">
        <f t="shared" ref="C4114:C4145" si="1693">"0000806786"</f>
        <v>0000806786</v>
      </c>
      <c r="D4114" t="str">
        <f t="shared" si="1675"/>
        <v>73185</v>
      </c>
      <c r="E4114" t="str">
        <f t="shared" si="1676"/>
        <v>KFH-OPERATIONS DEPARTMENT</v>
      </c>
      <c r="F4114" t="str">
        <f t="shared" si="1677"/>
        <v>IBG</v>
      </c>
      <c r="G4114" t="str">
        <f t="shared" si="1690"/>
        <v>Refund COSHARE 10</v>
      </c>
      <c r="H4114" s="2">
        <v>831.1</v>
      </c>
      <c r="I4114" t="str">
        <f>"KHAIRUL NIZAM BIN GHAZALI"</f>
        <v>KHAIRUL NIZAM BIN GHAZALI</v>
      </c>
      <c r="J4114" t="str">
        <f t="shared" si="1691"/>
        <v>MAYBANK / MAYBANK ISLAMIC</v>
      </c>
      <c r="K4114" t="str">
        <f>"164388743560"</f>
        <v>164388743560</v>
      </c>
      <c r="L4114" t="str">
        <f t="shared" si="1688"/>
        <v>04-08-2020</v>
      </c>
      <c r="M4114" t="str">
        <f t="shared" si="1688"/>
        <v>04-08-2020</v>
      </c>
      <c r="N4114" t="str">
        <f t="shared" si="1678"/>
        <v>001105018356</v>
      </c>
      <c r="O4114" t="str">
        <f t="shared" si="1679"/>
        <v>MYR</v>
      </c>
      <c r="P4114" t="str">
        <f t="shared" si="1689"/>
        <v>NIL</v>
      </c>
      <c r="Q4114" t="str">
        <f t="shared" si="1689"/>
        <v>NIL</v>
      </c>
      <c r="R4114" t="str">
        <f t="shared" si="1680"/>
        <v>Accepted</v>
      </c>
      <c r="S4114" t="str">
        <f t="shared" si="1681"/>
        <v>Approved</v>
      </c>
      <c r="T4114" t="str">
        <f t="shared" si="1682"/>
        <v>10.20.8.188</v>
      </c>
      <c r="U4114" t="str">
        <f t="shared" si="1683"/>
        <v>AZRAD UMAR BIN SHAARI</v>
      </c>
      <c r="V4114" t="str">
        <f t="shared" si="1684"/>
        <v>FARHANA BINTI MUSTAPA</v>
      </c>
      <c r="W4114" t="str">
        <f t="shared" si="1685"/>
        <v>04-08-2020</v>
      </c>
      <c r="X4114" t="str">
        <f t="shared" si="1686"/>
        <v>RAZIMAH ANSAR AHMAD</v>
      </c>
      <c r="Y4114" t="str">
        <f t="shared" si="1687"/>
        <v>04-08-2020</v>
      </c>
      <c r="Z4114" t="str">
        <f>"COS10200804 5040"</f>
        <v>COS10200804 5040</v>
      </c>
    </row>
    <row r="4115" spans="1:26" x14ac:dyDescent="0.25">
      <c r="A4115" t="str">
        <f t="shared" si="1692"/>
        <v>04-08-2020 12:55:04</v>
      </c>
      <c r="B4115" t="str">
        <f>"0000806825"</f>
        <v>0000806825</v>
      </c>
      <c r="C4115" t="str">
        <f t="shared" si="1693"/>
        <v>0000806786</v>
      </c>
      <c r="D4115" t="str">
        <f t="shared" si="1675"/>
        <v>73185</v>
      </c>
      <c r="E4115" t="str">
        <f t="shared" si="1676"/>
        <v>KFH-OPERATIONS DEPARTMENT</v>
      </c>
      <c r="F4115" t="str">
        <f t="shared" si="1677"/>
        <v>IBG</v>
      </c>
      <c r="G4115" t="str">
        <f t="shared" si="1690"/>
        <v>Refund COSHARE 10</v>
      </c>
      <c r="H4115" s="2">
        <v>81</v>
      </c>
      <c r="I4115" t="str">
        <f>"KHAIRUL NIZAM BIN BOHARI"</f>
        <v>KHAIRUL NIZAM BIN BOHARI</v>
      </c>
      <c r="J4115" t="str">
        <f t="shared" si="1691"/>
        <v>MAYBANK / MAYBANK ISLAMIC</v>
      </c>
      <c r="K4115" t="str">
        <f>"152059990073"</f>
        <v>152059990073</v>
      </c>
      <c r="L4115" t="str">
        <f t="shared" si="1688"/>
        <v>04-08-2020</v>
      </c>
      <c r="M4115" t="str">
        <f t="shared" si="1688"/>
        <v>04-08-2020</v>
      </c>
      <c r="N4115" t="str">
        <f t="shared" si="1678"/>
        <v>001105018356</v>
      </c>
      <c r="O4115" t="str">
        <f t="shared" si="1679"/>
        <v>MYR</v>
      </c>
      <c r="P4115" t="str">
        <f t="shared" si="1689"/>
        <v>NIL</v>
      </c>
      <c r="Q4115" t="str">
        <f t="shared" si="1689"/>
        <v>NIL</v>
      </c>
      <c r="R4115" t="str">
        <f t="shared" si="1680"/>
        <v>Accepted</v>
      </c>
      <c r="S4115" t="str">
        <f t="shared" si="1681"/>
        <v>Approved</v>
      </c>
      <c r="T4115" t="str">
        <f t="shared" si="1682"/>
        <v>10.20.8.188</v>
      </c>
      <c r="U4115" t="str">
        <f t="shared" si="1683"/>
        <v>AZRAD UMAR BIN SHAARI</v>
      </c>
      <c r="V4115" t="str">
        <f t="shared" si="1684"/>
        <v>FARHANA BINTI MUSTAPA</v>
      </c>
      <c r="W4115" t="str">
        <f t="shared" si="1685"/>
        <v>04-08-2020</v>
      </c>
      <c r="X4115" t="str">
        <f t="shared" si="1686"/>
        <v>RAZIMAH ANSAR AHMAD</v>
      </c>
      <c r="Y4115" t="str">
        <f t="shared" si="1687"/>
        <v>04-08-2020</v>
      </c>
      <c r="Z4115" t="str">
        <f>"COS10200804 5039"</f>
        <v>COS10200804 5039</v>
      </c>
    </row>
    <row r="4116" spans="1:26" x14ac:dyDescent="0.25">
      <c r="A4116" t="str">
        <f t="shared" si="1692"/>
        <v>04-08-2020 12:55:04</v>
      </c>
      <c r="B4116" t="str">
        <f>"0000806824"</f>
        <v>0000806824</v>
      </c>
      <c r="C4116" t="str">
        <f t="shared" si="1693"/>
        <v>0000806786</v>
      </c>
      <c r="D4116" t="str">
        <f t="shared" si="1675"/>
        <v>73185</v>
      </c>
      <c r="E4116" t="str">
        <f t="shared" si="1676"/>
        <v>KFH-OPERATIONS DEPARTMENT</v>
      </c>
      <c r="F4116" t="str">
        <f t="shared" si="1677"/>
        <v>IBG</v>
      </c>
      <c r="G4116" t="str">
        <f t="shared" si="1690"/>
        <v>Refund COSHARE 10</v>
      </c>
      <c r="H4116" s="2">
        <v>125.95</v>
      </c>
      <c r="I4116" t="str">
        <f>"KHAIRUL NAZRI BIN MD YUSOF"</f>
        <v>KHAIRUL NAZRI BIN MD YUSOF</v>
      </c>
      <c r="J4116" t="str">
        <f t="shared" si="1691"/>
        <v>MAYBANK / MAYBANK ISLAMIC</v>
      </c>
      <c r="K4116" t="str">
        <f>"107116527617"</f>
        <v>107116527617</v>
      </c>
      <c r="L4116" t="str">
        <f t="shared" si="1688"/>
        <v>04-08-2020</v>
      </c>
      <c r="M4116" t="str">
        <f t="shared" si="1688"/>
        <v>04-08-2020</v>
      </c>
      <c r="N4116" t="str">
        <f t="shared" si="1678"/>
        <v>001105018356</v>
      </c>
      <c r="O4116" t="str">
        <f t="shared" si="1679"/>
        <v>MYR</v>
      </c>
      <c r="P4116" t="str">
        <f t="shared" si="1689"/>
        <v>NIL</v>
      </c>
      <c r="Q4116" t="str">
        <f t="shared" si="1689"/>
        <v>NIL</v>
      </c>
      <c r="R4116" t="str">
        <f t="shared" si="1680"/>
        <v>Accepted</v>
      </c>
      <c r="S4116" t="str">
        <f t="shared" si="1681"/>
        <v>Approved</v>
      </c>
      <c r="T4116" t="str">
        <f t="shared" si="1682"/>
        <v>10.20.8.188</v>
      </c>
      <c r="U4116" t="str">
        <f t="shared" si="1683"/>
        <v>AZRAD UMAR BIN SHAARI</v>
      </c>
      <c r="V4116" t="str">
        <f t="shared" si="1684"/>
        <v>FARHANA BINTI MUSTAPA</v>
      </c>
      <c r="W4116" t="str">
        <f t="shared" si="1685"/>
        <v>04-08-2020</v>
      </c>
      <c r="X4116" t="str">
        <f t="shared" si="1686"/>
        <v>RAZIMAH ANSAR AHMAD</v>
      </c>
      <c r="Y4116" t="str">
        <f t="shared" si="1687"/>
        <v>04-08-2020</v>
      </c>
      <c r="Z4116" t="str">
        <f>"COS10200804 5038"</f>
        <v>COS10200804 5038</v>
      </c>
    </row>
    <row r="4117" spans="1:26" x14ac:dyDescent="0.25">
      <c r="A4117" t="str">
        <f t="shared" si="1692"/>
        <v>04-08-2020 12:55:04</v>
      </c>
      <c r="B4117" t="str">
        <f>"0000806823"</f>
        <v>0000806823</v>
      </c>
      <c r="C4117" t="str">
        <f t="shared" si="1693"/>
        <v>0000806786</v>
      </c>
      <c r="D4117" t="str">
        <f t="shared" si="1675"/>
        <v>73185</v>
      </c>
      <c r="E4117" t="str">
        <f t="shared" si="1676"/>
        <v>KFH-OPERATIONS DEPARTMENT</v>
      </c>
      <c r="F4117" t="str">
        <f t="shared" si="1677"/>
        <v>IBG</v>
      </c>
      <c r="G4117" t="str">
        <f t="shared" si="1690"/>
        <v>Refund COSHARE 10</v>
      </c>
      <c r="H4117" s="2">
        <v>663.2</v>
      </c>
      <c r="I4117" t="str">
        <f>"KHAIRUL IZHAM BIN ZAKARIA"</f>
        <v>KHAIRUL IZHAM BIN ZAKARIA</v>
      </c>
      <c r="J4117" t="str">
        <f t="shared" si="1691"/>
        <v>MAYBANK / MAYBANK ISLAMIC</v>
      </c>
      <c r="K4117" t="str">
        <f>"164098477271"</f>
        <v>164098477271</v>
      </c>
      <c r="L4117" t="str">
        <f t="shared" si="1688"/>
        <v>04-08-2020</v>
      </c>
      <c r="M4117" t="str">
        <f t="shared" si="1688"/>
        <v>04-08-2020</v>
      </c>
      <c r="N4117" t="str">
        <f t="shared" si="1678"/>
        <v>001105018356</v>
      </c>
      <c r="O4117" t="str">
        <f t="shared" si="1679"/>
        <v>MYR</v>
      </c>
      <c r="P4117" t="str">
        <f t="shared" si="1689"/>
        <v>NIL</v>
      </c>
      <c r="Q4117" t="str">
        <f t="shared" si="1689"/>
        <v>NIL</v>
      </c>
      <c r="R4117" t="str">
        <f t="shared" si="1680"/>
        <v>Accepted</v>
      </c>
      <c r="S4117" t="str">
        <f t="shared" si="1681"/>
        <v>Approved</v>
      </c>
      <c r="T4117" t="str">
        <f t="shared" si="1682"/>
        <v>10.20.8.188</v>
      </c>
      <c r="U4117" t="str">
        <f t="shared" si="1683"/>
        <v>AZRAD UMAR BIN SHAARI</v>
      </c>
      <c r="V4117" t="str">
        <f t="shared" si="1684"/>
        <v>FARHANA BINTI MUSTAPA</v>
      </c>
      <c r="W4117" t="str">
        <f t="shared" si="1685"/>
        <v>04-08-2020</v>
      </c>
      <c r="X4117" t="str">
        <f t="shared" si="1686"/>
        <v>RAZIMAH ANSAR AHMAD</v>
      </c>
      <c r="Y4117" t="str">
        <f t="shared" si="1687"/>
        <v>04-08-2020</v>
      </c>
      <c r="Z4117" t="str">
        <f>"COS10200804 5037"</f>
        <v>COS10200804 5037</v>
      </c>
    </row>
    <row r="4118" spans="1:26" x14ac:dyDescent="0.25">
      <c r="A4118" t="str">
        <f t="shared" si="1692"/>
        <v>04-08-2020 12:55:04</v>
      </c>
      <c r="B4118" t="str">
        <f>"0000806822"</f>
        <v>0000806822</v>
      </c>
      <c r="C4118" t="str">
        <f t="shared" si="1693"/>
        <v>0000806786</v>
      </c>
      <c r="D4118" t="str">
        <f t="shared" si="1675"/>
        <v>73185</v>
      </c>
      <c r="E4118" t="str">
        <f t="shared" si="1676"/>
        <v>KFH-OPERATIONS DEPARTMENT</v>
      </c>
      <c r="F4118" t="str">
        <f t="shared" si="1677"/>
        <v>IBG</v>
      </c>
      <c r="G4118" t="str">
        <f t="shared" si="1690"/>
        <v>Refund COSHARE 10</v>
      </c>
      <c r="H4118" s="2">
        <v>604.45000000000005</v>
      </c>
      <c r="I4118" t="str">
        <f>"KHAIRUL HISYAM BIN ABDULLAH"</f>
        <v>KHAIRUL HISYAM BIN ABDULLAH</v>
      </c>
      <c r="J4118" t="str">
        <f t="shared" si="1691"/>
        <v>MAYBANK / MAYBANK ISLAMIC</v>
      </c>
      <c r="K4118" t="str">
        <f>"155144008095"</f>
        <v>155144008095</v>
      </c>
      <c r="L4118" t="str">
        <f t="shared" si="1688"/>
        <v>04-08-2020</v>
      </c>
      <c r="M4118" t="str">
        <f t="shared" si="1688"/>
        <v>04-08-2020</v>
      </c>
      <c r="N4118" t="str">
        <f t="shared" si="1678"/>
        <v>001105018356</v>
      </c>
      <c r="O4118" t="str">
        <f t="shared" si="1679"/>
        <v>MYR</v>
      </c>
      <c r="P4118" t="str">
        <f t="shared" si="1689"/>
        <v>NIL</v>
      </c>
      <c r="Q4118" t="str">
        <f t="shared" si="1689"/>
        <v>NIL</v>
      </c>
      <c r="R4118" t="str">
        <f t="shared" si="1680"/>
        <v>Accepted</v>
      </c>
      <c r="S4118" t="str">
        <f t="shared" si="1681"/>
        <v>Approved</v>
      </c>
      <c r="T4118" t="str">
        <f t="shared" si="1682"/>
        <v>10.20.8.188</v>
      </c>
      <c r="U4118" t="str">
        <f t="shared" si="1683"/>
        <v>AZRAD UMAR BIN SHAARI</v>
      </c>
      <c r="V4118" t="str">
        <f t="shared" si="1684"/>
        <v>FARHANA BINTI MUSTAPA</v>
      </c>
      <c r="W4118" t="str">
        <f t="shared" si="1685"/>
        <v>04-08-2020</v>
      </c>
      <c r="X4118" t="str">
        <f t="shared" si="1686"/>
        <v>RAZIMAH ANSAR AHMAD</v>
      </c>
      <c r="Y4118" t="str">
        <f t="shared" si="1687"/>
        <v>04-08-2020</v>
      </c>
      <c r="Z4118" t="str">
        <f>"COS10200804 5036"</f>
        <v>COS10200804 5036</v>
      </c>
    </row>
    <row r="4119" spans="1:26" x14ac:dyDescent="0.25">
      <c r="A4119" t="str">
        <f t="shared" si="1692"/>
        <v>04-08-2020 12:55:04</v>
      </c>
      <c r="B4119" t="str">
        <f>"0000806821"</f>
        <v>0000806821</v>
      </c>
      <c r="C4119" t="str">
        <f t="shared" si="1693"/>
        <v>0000806786</v>
      </c>
      <c r="D4119" t="str">
        <f t="shared" si="1675"/>
        <v>73185</v>
      </c>
      <c r="E4119" t="str">
        <f t="shared" si="1676"/>
        <v>KFH-OPERATIONS DEPARTMENT</v>
      </c>
      <c r="F4119" t="str">
        <f t="shared" si="1677"/>
        <v>IBG</v>
      </c>
      <c r="G4119" t="str">
        <f t="shared" si="1690"/>
        <v>Refund COSHARE 10</v>
      </c>
      <c r="H4119" s="2">
        <v>668</v>
      </c>
      <c r="I4119" t="str">
        <f>"KHAIRUL FADZLI BIN YASIN"</f>
        <v>KHAIRUL FADZLI BIN YASIN</v>
      </c>
      <c r="J4119" t="str">
        <f t="shared" si="1691"/>
        <v>MAYBANK / MAYBANK ISLAMIC</v>
      </c>
      <c r="K4119" t="str">
        <f>"162263197239"</f>
        <v>162263197239</v>
      </c>
      <c r="L4119" t="str">
        <f t="shared" si="1688"/>
        <v>04-08-2020</v>
      </c>
      <c r="M4119" t="str">
        <f t="shared" si="1688"/>
        <v>04-08-2020</v>
      </c>
      <c r="N4119" t="str">
        <f t="shared" si="1678"/>
        <v>001105018356</v>
      </c>
      <c r="O4119" t="str">
        <f t="shared" si="1679"/>
        <v>MYR</v>
      </c>
      <c r="P4119" t="str">
        <f t="shared" si="1689"/>
        <v>NIL</v>
      </c>
      <c r="Q4119" t="str">
        <f t="shared" si="1689"/>
        <v>NIL</v>
      </c>
      <c r="R4119" t="str">
        <f t="shared" si="1680"/>
        <v>Accepted</v>
      </c>
      <c r="S4119" t="str">
        <f t="shared" si="1681"/>
        <v>Approved</v>
      </c>
      <c r="T4119" t="str">
        <f t="shared" si="1682"/>
        <v>10.20.8.188</v>
      </c>
      <c r="U4119" t="str">
        <f t="shared" si="1683"/>
        <v>AZRAD UMAR BIN SHAARI</v>
      </c>
      <c r="V4119" t="str">
        <f t="shared" si="1684"/>
        <v>FARHANA BINTI MUSTAPA</v>
      </c>
      <c r="W4119" t="str">
        <f t="shared" si="1685"/>
        <v>04-08-2020</v>
      </c>
      <c r="X4119" t="str">
        <f t="shared" si="1686"/>
        <v>RAZIMAH ANSAR AHMAD</v>
      </c>
      <c r="Y4119" t="str">
        <f t="shared" si="1687"/>
        <v>04-08-2020</v>
      </c>
      <c r="Z4119" t="str">
        <f>"COS10200804 5035"</f>
        <v>COS10200804 5035</v>
      </c>
    </row>
    <row r="4120" spans="1:26" x14ac:dyDescent="0.25">
      <c r="A4120" t="str">
        <f t="shared" si="1692"/>
        <v>04-08-2020 12:55:04</v>
      </c>
      <c r="B4120" t="str">
        <f>"0000806820"</f>
        <v>0000806820</v>
      </c>
      <c r="C4120" t="str">
        <f t="shared" si="1693"/>
        <v>0000806786</v>
      </c>
      <c r="D4120" t="str">
        <f t="shared" si="1675"/>
        <v>73185</v>
      </c>
      <c r="E4120" t="str">
        <f t="shared" si="1676"/>
        <v>KFH-OPERATIONS DEPARTMENT</v>
      </c>
      <c r="F4120" t="str">
        <f t="shared" si="1677"/>
        <v>IBG</v>
      </c>
      <c r="G4120" t="str">
        <f t="shared" si="1690"/>
        <v>Refund COSHARE 10</v>
      </c>
      <c r="H4120" s="2">
        <v>1028</v>
      </c>
      <c r="I4120" t="str">
        <f>"KHAIRUL AZWANI BIN KAMARUDDIN"</f>
        <v>KHAIRUL AZWANI BIN KAMARUDDIN</v>
      </c>
      <c r="J4120" t="str">
        <f t="shared" si="1691"/>
        <v>MAYBANK / MAYBANK ISLAMIC</v>
      </c>
      <c r="K4120" t="str">
        <f>"101013132637"</f>
        <v>101013132637</v>
      </c>
      <c r="L4120" t="str">
        <f t="shared" si="1688"/>
        <v>04-08-2020</v>
      </c>
      <c r="M4120" t="str">
        <f t="shared" si="1688"/>
        <v>04-08-2020</v>
      </c>
      <c r="N4120" t="str">
        <f t="shared" si="1678"/>
        <v>001105018356</v>
      </c>
      <c r="O4120" t="str">
        <f t="shared" si="1679"/>
        <v>MYR</v>
      </c>
      <c r="P4120" t="str">
        <f t="shared" si="1689"/>
        <v>NIL</v>
      </c>
      <c r="Q4120" t="str">
        <f t="shared" si="1689"/>
        <v>NIL</v>
      </c>
      <c r="R4120" t="str">
        <f t="shared" si="1680"/>
        <v>Accepted</v>
      </c>
      <c r="S4120" t="str">
        <f t="shared" si="1681"/>
        <v>Approved</v>
      </c>
      <c r="T4120" t="str">
        <f t="shared" si="1682"/>
        <v>10.20.8.188</v>
      </c>
      <c r="U4120" t="str">
        <f t="shared" si="1683"/>
        <v>AZRAD UMAR BIN SHAARI</v>
      </c>
      <c r="V4120" t="str">
        <f t="shared" si="1684"/>
        <v>FARHANA BINTI MUSTAPA</v>
      </c>
      <c r="W4120" t="str">
        <f t="shared" si="1685"/>
        <v>04-08-2020</v>
      </c>
      <c r="X4120" t="str">
        <f t="shared" si="1686"/>
        <v>RAZIMAH ANSAR AHMAD</v>
      </c>
      <c r="Y4120" t="str">
        <f t="shared" si="1687"/>
        <v>04-08-2020</v>
      </c>
      <c r="Z4120" t="str">
        <f>"COS10200804 5034"</f>
        <v>COS10200804 5034</v>
      </c>
    </row>
    <row r="4121" spans="1:26" x14ac:dyDescent="0.25">
      <c r="A4121" t="str">
        <f t="shared" si="1692"/>
        <v>04-08-2020 12:55:04</v>
      </c>
      <c r="B4121" t="str">
        <f>"0000806819"</f>
        <v>0000806819</v>
      </c>
      <c r="C4121" t="str">
        <f t="shared" si="1693"/>
        <v>0000806786</v>
      </c>
      <c r="D4121" t="str">
        <f t="shared" si="1675"/>
        <v>73185</v>
      </c>
      <c r="E4121" t="str">
        <f t="shared" si="1676"/>
        <v>KFH-OPERATIONS DEPARTMENT</v>
      </c>
      <c r="F4121" t="str">
        <f t="shared" si="1677"/>
        <v>IBG</v>
      </c>
      <c r="G4121" t="str">
        <f t="shared" si="1690"/>
        <v>Refund COSHARE 10</v>
      </c>
      <c r="H4121" s="2">
        <v>251.85</v>
      </c>
      <c r="I4121" t="str">
        <f>"KHAIRUL AZUAN BIN KHALID"</f>
        <v>KHAIRUL AZUAN BIN KHALID</v>
      </c>
      <c r="J4121" t="str">
        <f t="shared" si="1691"/>
        <v>MAYBANK / MAYBANK ISLAMIC</v>
      </c>
      <c r="K4121" t="str">
        <f>"156208114388"</f>
        <v>156208114388</v>
      </c>
      <c r="L4121" t="str">
        <f t="shared" si="1688"/>
        <v>04-08-2020</v>
      </c>
      <c r="M4121" t="str">
        <f t="shared" si="1688"/>
        <v>04-08-2020</v>
      </c>
      <c r="N4121" t="str">
        <f t="shared" si="1678"/>
        <v>001105018356</v>
      </c>
      <c r="O4121" t="str">
        <f t="shared" si="1679"/>
        <v>MYR</v>
      </c>
      <c r="P4121" t="str">
        <f t="shared" si="1689"/>
        <v>NIL</v>
      </c>
      <c r="Q4121" t="str">
        <f t="shared" si="1689"/>
        <v>NIL</v>
      </c>
      <c r="R4121" t="str">
        <f t="shared" si="1680"/>
        <v>Accepted</v>
      </c>
      <c r="S4121" t="str">
        <f t="shared" si="1681"/>
        <v>Approved</v>
      </c>
      <c r="T4121" t="str">
        <f t="shared" si="1682"/>
        <v>10.20.8.188</v>
      </c>
      <c r="U4121" t="str">
        <f t="shared" si="1683"/>
        <v>AZRAD UMAR BIN SHAARI</v>
      </c>
      <c r="V4121" t="str">
        <f t="shared" si="1684"/>
        <v>FARHANA BINTI MUSTAPA</v>
      </c>
      <c r="W4121" t="str">
        <f t="shared" si="1685"/>
        <v>04-08-2020</v>
      </c>
      <c r="X4121" t="str">
        <f t="shared" si="1686"/>
        <v>RAZIMAH ANSAR AHMAD</v>
      </c>
      <c r="Y4121" t="str">
        <f t="shared" si="1687"/>
        <v>04-08-2020</v>
      </c>
      <c r="Z4121" t="str">
        <f>"COS10200804 5033"</f>
        <v>COS10200804 5033</v>
      </c>
    </row>
    <row r="4122" spans="1:26" x14ac:dyDescent="0.25">
      <c r="A4122" t="str">
        <f t="shared" si="1692"/>
        <v>04-08-2020 12:55:04</v>
      </c>
      <c r="B4122" t="str">
        <f>"0000806818"</f>
        <v>0000806818</v>
      </c>
      <c r="C4122" t="str">
        <f t="shared" si="1693"/>
        <v>0000806786</v>
      </c>
      <c r="D4122" t="str">
        <f t="shared" si="1675"/>
        <v>73185</v>
      </c>
      <c r="E4122" t="str">
        <f t="shared" si="1676"/>
        <v>KFH-OPERATIONS DEPARTMENT</v>
      </c>
      <c r="F4122" t="str">
        <f t="shared" si="1677"/>
        <v>IBG</v>
      </c>
      <c r="G4122" t="str">
        <f t="shared" si="1690"/>
        <v>Refund COSHARE 10</v>
      </c>
      <c r="H4122" s="2">
        <v>42</v>
      </c>
      <c r="I4122" t="str">
        <f>"KHAIRUL AZMI BIN AHMAD"</f>
        <v>KHAIRUL AZMI BIN AHMAD</v>
      </c>
      <c r="J4122" t="str">
        <f t="shared" si="1691"/>
        <v>MAYBANK / MAYBANK ISLAMIC</v>
      </c>
      <c r="K4122" t="str">
        <f>"151388100786"</f>
        <v>151388100786</v>
      </c>
      <c r="L4122" t="str">
        <f t="shared" si="1688"/>
        <v>04-08-2020</v>
      </c>
      <c r="M4122" t="str">
        <f t="shared" si="1688"/>
        <v>04-08-2020</v>
      </c>
      <c r="N4122" t="str">
        <f t="shared" si="1678"/>
        <v>001105018356</v>
      </c>
      <c r="O4122" t="str">
        <f t="shared" si="1679"/>
        <v>MYR</v>
      </c>
      <c r="P4122" t="str">
        <f t="shared" si="1689"/>
        <v>NIL</v>
      </c>
      <c r="Q4122" t="str">
        <f t="shared" si="1689"/>
        <v>NIL</v>
      </c>
      <c r="R4122" t="str">
        <f t="shared" si="1680"/>
        <v>Accepted</v>
      </c>
      <c r="S4122" t="str">
        <f t="shared" si="1681"/>
        <v>Approved</v>
      </c>
      <c r="T4122" t="str">
        <f t="shared" si="1682"/>
        <v>10.20.8.188</v>
      </c>
      <c r="U4122" t="str">
        <f t="shared" si="1683"/>
        <v>AZRAD UMAR BIN SHAARI</v>
      </c>
      <c r="V4122" t="str">
        <f t="shared" si="1684"/>
        <v>FARHANA BINTI MUSTAPA</v>
      </c>
      <c r="W4122" t="str">
        <f t="shared" si="1685"/>
        <v>04-08-2020</v>
      </c>
      <c r="X4122" t="str">
        <f t="shared" si="1686"/>
        <v>RAZIMAH ANSAR AHMAD</v>
      </c>
      <c r="Y4122" t="str">
        <f t="shared" si="1687"/>
        <v>04-08-2020</v>
      </c>
      <c r="Z4122" t="str">
        <f>"COS10200804 5032"</f>
        <v>COS10200804 5032</v>
      </c>
    </row>
    <row r="4123" spans="1:26" x14ac:dyDescent="0.25">
      <c r="A4123" t="str">
        <f t="shared" si="1692"/>
        <v>04-08-2020 12:55:04</v>
      </c>
      <c r="B4123" t="str">
        <f>"0000806817"</f>
        <v>0000806817</v>
      </c>
      <c r="C4123" t="str">
        <f t="shared" si="1693"/>
        <v>0000806786</v>
      </c>
      <c r="D4123" t="str">
        <f t="shared" si="1675"/>
        <v>73185</v>
      </c>
      <c r="E4123" t="str">
        <f t="shared" si="1676"/>
        <v>KFH-OPERATIONS DEPARTMENT</v>
      </c>
      <c r="F4123" t="str">
        <f t="shared" si="1677"/>
        <v>IBG</v>
      </c>
      <c r="G4123" t="str">
        <f t="shared" si="1690"/>
        <v>Refund COSHARE 10</v>
      </c>
      <c r="H4123" s="2">
        <v>61</v>
      </c>
      <c r="I4123" t="str">
        <f>"KHAIRUL AZMEE BIN ABDRASHID"</f>
        <v>KHAIRUL AZMEE BIN ABDRASHID</v>
      </c>
      <c r="J4123" t="str">
        <f t="shared" si="1691"/>
        <v>MAYBANK / MAYBANK ISLAMIC</v>
      </c>
      <c r="K4123" t="str">
        <f>"155023274679"</f>
        <v>155023274679</v>
      </c>
      <c r="L4123" t="str">
        <f t="shared" si="1688"/>
        <v>04-08-2020</v>
      </c>
      <c r="M4123" t="str">
        <f t="shared" si="1688"/>
        <v>04-08-2020</v>
      </c>
      <c r="N4123" t="str">
        <f t="shared" si="1678"/>
        <v>001105018356</v>
      </c>
      <c r="O4123" t="str">
        <f t="shared" si="1679"/>
        <v>MYR</v>
      </c>
      <c r="P4123" t="str">
        <f t="shared" si="1689"/>
        <v>NIL</v>
      </c>
      <c r="Q4123" t="str">
        <f t="shared" si="1689"/>
        <v>NIL</v>
      </c>
      <c r="R4123" t="str">
        <f t="shared" si="1680"/>
        <v>Accepted</v>
      </c>
      <c r="S4123" t="str">
        <f t="shared" si="1681"/>
        <v>Approved</v>
      </c>
      <c r="T4123" t="str">
        <f t="shared" si="1682"/>
        <v>10.20.8.188</v>
      </c>
      <c r="U4123" t="str">
        <f t="shared" si="1683"/>
        <v>AZRAD UMAR BIN SHAARI</v>
      </c>
      <c r="V4123" t="str">
        <f t="shared" si="1684"/>
        <v>FARHANA BINTI MUSTAPA</v>
      </c>
      <c r="W4123" t="str">
        <f t="shared" si="1685"/>
        <v>04-08-2020</v>
      </c>
      <c r="X4123" t="str">
        <f t="shared" si="1686"/>
        <v>RAZIMAH ANSAR AHMAD</v>
      </c>
      <c r="Y4123" t="str">
        <f t="shared" si="1687"/>
        <v>04-08-2020</v>
      </c>
      <c r="Z4123" t="str">
        <f>"COS10200804 5031"</f>
        <v>COS10200804 5031</v>
      </c>
    </row>
    <row r="4124" spans="1:26" x14ac:dyDescent="0.25">
      <c r="A4124" t="str">
        <f t="shared" si="1692"/>
        <v>04-08-2020 12:55:04</v>
      </c>
      <c r="B4124" t="str">
        <f>"0000806816"</f>
        <v>0000806816</v>
      </c>
      <c r="C4124" t="str">
        <f t="shared" si="1693"/>
        <v>0000806786</v>
      </c>
      <c r="D4124" t="str">
        <f t="shared" si="1675"/>
        <v>73185</v>
      </c>
      <c r="E4124" t="str">
        <f t="shared" si="1676"/>
        <v>KFH-OPERATIONS DEPARTMENT</v>
      </c>
      <c r="F4124" t="str">
        <f t="shared" si="1677"/>
        <v>IBG</v>
      </c>
      <c r="G4124" t="str">
        <f t="shared" si="1690"/>
        <v>Refund COSHARE 10</v>
      </c>
      <c r="H4124" s="2">
        <v>167.9</v>
      </c>
      <c r="I4124" t="str">
        <f>"KHAIRUL AZHAR BIN ADNAN"</f>
        <v>KHAIRUL AZHAR BIN ADNAN</v>
      </c>
      <c r="J4124" t="str">
        <f t="shared" si="1691"/>
        <v>MAYBANK / MAYBANK ISLAMIC</v>
      </c>
      <c r="K4124" t="str">
        <f>"166010125732"</f>
        <v>166010125732</v>
      </c>
      <c r="L4124" t="str">
        <f t="shared" si="1688"/>
        <v>04-08-2020</v>
      </c>
      <c r="M4124" t="str">
        <f t="shared" si="1688"/>
        <v>04-08-2020</v>
      </c>
      <c r="N4124" t="str">
        <f t="shared" si="1678"/>
        <v>001105018356</v>
      </c>
      <c r="O4124" t="str">
        <f t="shared" si="1679"/>
        <v>MYR</v>
      </c>
      <c r="P4124" t="str">
        <f t="shared" si="1689"/>
        <v>NIL</v>
      </c>
      <c r="Q4124" t="str">
        <f t="shared" si="1689"/>
        <v>NIL</v>
      </c>
      <c r="R4124" t="str">
        <f t="shared" si="1680"/>
        <v>Accepted</v>
      </c>
      <c r="S4124" t="str">
        <f t="shared" si="1681"/>
        <v>Approved</v>
      </c>
      <c r="T4124" t="str">
        <f t="shared" si="1682"/>
        <v>10.20.8.188</v>
      </c>
      <c r="U4124" t="str">
        <f t="shared" si="1683"/>
        <v>AZRAD UMAR BIN SHAARI</v>
      </c>
      <c r="V4124" t="str">
        <f t="shared" si="1684"/>
        <v>FARHANA BINTI MUSTAPA</v>
      </c>
      <c r="W4124" t="str">
        <f t="shared" si="1685"/>
        <v>04-08-2020</v>
      </c>
      <c r="X4124" t="str">
        <f t="shared" si="1686"/>
        <v>RAZIMAH ANSAR AHMAD</v>
      </c>
      <c r="Y4124" t="str">
        <f t="shared" si="1687"/>
        <v>04-08-2020</v>
      </c>
      <c r="Z4124" t="str">
        <f>"COS10200804 5030"</f>
        <v>COS10200804 5030</v>
      </c>
    </row>
    <row r="4125" spans="1:26" x14ac:dyDescent="0.25">
      <c r="A4125" t="str">
        <f t="shared" si="1692"/>
        <v>04-08-2020 12:55:04</v>
      </c>
      <c r="B4125" t="str">
        <f>"0000806815"</f>
        <v>0000806815</v>
      </c>
      <c r="C4125" t="str">
        <f t="shared" si="1693"/>
        <v>0000806786</v>
      </c>
      <c r="D4125" t="str">
        <f t="shared" si="1675"/>
        <v>73185</v>
      </c>
      <c r="E4125" t="str">
        <f t="shared" si="1676"/>
        <v>KFH-OPERATIONS DEPARTMENT</v>
      </c>
      <c r="F4125" t="str">
        <f t="shared" si="1677"/>
        <v>IBG</v>
      </c>
      <c r="G4125" t="str">
        <f t="shared" si="1690"/>
        <v>Refund COSHARE 10</v>
      </c>
      <c r="H4125" s="2">
        <v>755.55</v>
      </c>
      <c r="I4125" t="str">
        <f>"KHAIRUL AZHAR BIN ABDULLAH"</f>
        <v>KHAIRUL AZHAR BIN ABDULLAH</v>
      </c>
      <c r="J4125" t="str">
        <f t="shared" si="1691"/>
        <v>MAYBANK / MAYBANK ISLAMIC</v>
      </c>
      <c r="K4125" t="str">
        <f>"107117994176"</f>
        <v>107117994176</v>
      </c>
      <c r="L4125" t="str">
        <f t="shared" si="1688"/>
        <v>04-08-2020</v>
      </c>
      <c r="M4125" t="str">
        <f t="shared" si="1688"/>
        <v>04-08-2020</v>
      </c>
      <c r="N4125" t="str">
        <f t="shared" si="1678"/>
        <v>001105018356</v>
      </c>
      <c r="O4125" t="str">
        <f t="shared" si="1679"/>
        <v>MYR</v>
      </c>
      <c r="P4125" t="str">
        <f t="shared" si="1689"/>
        <v>NIL</v>
      </c>
      <c r="Q4125" t="str">
        <f t="shared" si="1689"/>
        <v>NIL</v>
      </c>
      <c r="R4125" t="str">
        <f t="shared" si="1680"/>
        <v>Accepted</v>
      </c>
      <c r="S4125" t="str">
        <f t="shared" si="1681"/>
        <v>Approved</v>
      </c>
      <c r="T4125" t="str">
        <f t="shared" si="1682"/>
        <v>10.20.8.188</v>
      </c>
      <c r="U4125" t="str">
        <f t="shared" si="1683"/>
        <v>AZRAD UMAR BIN SHAARI</v>
      </c>
      <c r="V4125" t="str">
        <f t="shared" si="1684"/>
        <v>FARHANA BINTI MUSTAPA</v>
      </c>
      <c r="W4125" t="str">
        <f t="shared" si="1685"/>
        <v>04-08-2020</v>
      </c>
      <c r="X4125" t="str">
        <f t="shared" si="1686"/>
        <v>RAZIMAH ANSAR AHMAD</v>
      </c>
      <c r="Y4125" t="str">
        <f t="shared" si="1687"/>
        <v>04-08-2020</v>
      </c>
      <c r="Z4125" t="str">
        <f>"COS10200804 5029"</f>
        <v>COS10200804 5029</v>
      </c>
    </row>
    <row r="4126" spans="1:26" x14ac:dyDescent="0.25">
      <c r="A4126" t="str">
        <f t="shared" si="1692"/>
        <v>04-08-2020 12:55:04</v>
      </c>
      <c r="B4126" t="str">
        <f>"0000806814"</f>
        <v>0000806814</v>
      </c>
      <c r="C4126" t="str">
        <f t="shared" si="1693"/>
        <v>0000806786</v>
      </c>
      <c r="D4126" t="str">
        <f t="shared" si="1675"/>
        <v>73185</v>
      </c>
      <c r="E4126" t="str">
        <f t="shared" si="1676"/>
        <v>KFH-OPERATIONS DEPARTMENT</v>
      </c>
      <c r="F4126" t="str">
        <f t="shared" si="1677"/>
        <v>IBG</v>
      </c>
      <c r="G4126" t="str">
        <f t="shared" si="1690"/>
        <v>Refund COSHARE 10</v>
      </c>
      <c r="H4126" s="2">
        <v>311</v>
      </c>
      <c r="I4126" t="str">
        <f>"KHAIRUL ANUAR BIN SHAHRIN"</f>
        <v>KHAIRUL ANUAR BIN SHAHRIN</v>
      </c>
      <c r="J4126" t="str">
        <f t="shared" si="1691"/>
        <v>MAYBANK / MAYBANK ISLAMIC</v>
      </c>
      <c r="K4126" t="str">
        <f>"151025689530"</f>
        <v>151025689530</v>
      </c>
      <c r="L4126" t="str">
        <f t="shared" si="1688"/>
        <v>04-08-2020</v>
      </c>
      <c r="M4126" t="str">
        <f t="shared" si="1688"/>
        <v>04-08-2020</v>
      </c>
      <c r="N4126" t="str">
        <f t="shared" si="1678"/>
        <v>001105018356</v>
      </c>
      <c r="O4126" t="str">
        <f t="shared" si="1679"/>
        <v>MYR</v>
      </c>
      <c r="P4126" t="str">
        <f t="shared" si="1689"/>
        <v>NIL</v>
      </c>
      <c r="Q4126" t="str">
        <f t="shared" si="1689"/>
        <v>NIL</v>
      </c>
      <c r="R4126" t="str">
        <f t="shared" si="1680"/>
        <v>Accepted</v>
      </c>
      <c r="S4126" t="str">
        <f t="shared" si="1681"/>
        <v>Approved</v>
      </c>
      <c r="T4126" t="str">
        <f t="shared" si="1682"/>
        <v>10.20.8.188</v>
      </c>
      <c r="U4126" t="str">
        <f t="shared" si="1683"/>
        <v>AZRAD UMAR BIN SHAARI</v>
      </c>
      <c r="V4126" t="str">
        <f t="shared" si="1684"/>
        <v>FARHANA BINTI MUSTAPA</v>
      </c>
      <c r="W4126" t="str">
        <f t="shared" si="1685"/>
        <v>04-08-2020</v>
      </c>
      <c r="X4126" t="str">
        <f t="shared" si="1686"/>
        <v>RAZIMAH ANSAR AHMAD</v>
      </c>
      <c r="Y4126" t="str">
        <f t="shared" si="1687"/>
        <v>04-08-2020</v>
      </c>
      <c r="Z4126" t="str">
        <f>"COS10200804 5028"</f>
        <v>COS10200804 5028</v>
      </c>
    </row>
    <row r="4127" spans="1:26" x14ac:dyDescent="0.25">
      <c r="A4127" t="str">
        <f t="shared" si="1692"/>
        <v>04-08-2020 12:55:04</v>
      </c>
      <c r="B4127" t="str">
        <f>"0000806813"</f>
        <v>0000806813</v>
      </c>
      <c r="C4127" t="str">
        <f t="shared" si="1693"/>
        <v>0000806786</v>
      </c>
      <c r="D4127" t="str">
        <f t="shared" si="1675"/>
        <v>73185</v>
      </c>
      <c r="E4127" t="str">
        <f t="shared" si="1676"/>
        <v>KFH-OPERATIONS DEPARTMENT</v>
      </c>
      <c r="F4127" t="str">
        <f t="shared" si="1677"/>
        <v>IBG</v>
      </c>
      <c r="G4127" t="str">
        <f t="shared" si="1690"/>
        <v>Refund COSHARE 10</v>
      </c>
      <c r="H4127" s="2">
        <v>109.15</v>
      </c>
      <c r="I4127" t="str">
        <f>"KHAIRUL AMRAN BIN MUSA"</f>
        <v>KHAIRUL AMRAN BIN MUSA</v>
      </c>
      <c r="J4127" t="str">
        <f t="shared" si="1691"/>
        <v>MAYBANK / MAYBANK ISLAMIC</v>
      </c>
      <c r="K4127" t="str">
        <f>"151017109018"</f>
        <v>151017109018</v>
      </c>
      <c r="L4127" t="str">
        <f t="shared" ref="L4127:M4146" si="1694">"04-08-2020"</f>
        <v>04-08-2020</v>
      </c>
      <c r="M4127" t="str">
        <f t="shared" si="1694"/>
        <v>04-08-2020</v>
      </c>
      <c r="N4127" t="str">
        <f t="shared" si="1678"/>
        <v>001105018356</v>
      </c>
      <c r="O4127" t="str">
        <f t="shared" si="1679"/>
        <v>MYR</v>
      </c>
      <c r="P4127" t="str">
        <f t="shared" ref="P4127:Q4146" si="1695">"NIL"</f>
        <v>NIL</v>
      </c>
      <c r="Q4127" t="str">
        <f t="shared" si="1695"/>
        <v>NIL</v>
      </c>
      <c r="R4127" t="str">
        <f t="shared" si="1680"/>
        <v>Accepted</v>
      </c>
      <c r="S4127" t="str">
        <f t="shared" si="1681"/>
        <v>Approved</v>
      </c>
      <c r="T4127" t="str">
        <f t="shared" si="1682"/>
        <v>10.20.8.188</v>
      </c>
      <c r="U4127" t="str">
        <f t="shared" si="1683"/>
        <v>AZRAD UMAR BIN SHAARI</v>
      </c>
      <c r="V4127" t="str">
        <f t="shared" si="1684"/>
        <v>FARHANA BINTI MUSTAPA</v>
      </c>
      <c r="W4127" t="str">
        <f t="shared" si="1685"/>
        <v>04-08-2020</v>
      </c>
      <c r="X4127" t="str">
        <f t="shared" si="1686"/>
        <v>RAZIMAH ANSAR AHMAD</v>
      </c>
      <c r="Y4127" t="str">
        <f t="shared" si="1687"/>
        <v>04-08-2020</v>
      </c>
      <c r="Z4127" t="str">
        <f>"COS10200804 5027"</f>
        <v>COS10200804 5027</v>
      </c>
    </row>
    <row r="4128" spans="1:26" x14ac:dyDescent="0.25">
      <c r="A4128" t="str">
        <f t="shared" si="1692"/>
        <v>04-08-2020 12:55:04</v>
      </c>
      <c r="B4128" t="str">
        <f>"0000806812"</f>
        <v>0000806812</v>
      </c>
      <c r="C4128" t="str">
        <f t="shared" si="1693"/>
        <v>0000806786</v>
      </c>
      <c r="D4128" t="str">
        <f t="shared" si="1675"/>
        <v>73185</v>
      </c>
      <c r="E4128" t="str">
        <f t="shared" si="1676"/>
        <v>KFH-OPERATIONS DEPARTMENT</v>
      </c>
      <c r="F4128" t="str">
        <f t="shared" si="1677"/>
        <v>IBG</v>
      </c>
      <c r="G4128" t="str">
        <f t="shared" si="1690"/>
        <v>Refund COSHARE 10</v>
      </c>
      <c r="H4128" s="2">
        <v>50.4</v>
      </c>
      <c r="I4128" t="str">
        <f>"KHAIRUDIN BIN TAIB"</f>
        <v>KHAIRUDIN BIN TAIB</v>
      </c>
      <c r="J4128" t="str">
        <f t="shared" si="1691"/>
        <v>MAYBANK / MAYBANK ISLAMIC</v>
      </c>
      <c r="K4128" t="str">
        <f>"151119097199"</f>
        <v>151119097199</v>
      </c>
      <c r="L4128" t="str">
        <f t="shared" si="1694"/>
        <v>04-08-2020</v>
      </c>
      <c r="M4128" t="str">
        <f t="shared" si="1694"/>
        <v>04-08-2020</v>
      </c>
      <c r="N4128" t="str">
        <f t="shared" si="1678"/>
        <v>001105018356</v>
      </c>
      <c r="O4128" t="str">
        <f t="shared" si="1679"/>
        <v>MYR</v>
      </c>
      <c r="P4128" t="str">
        <f t="shared" si="1695"/>
        <v>NIL</v>
      </c>
      <c r="Q4128" t="str">
        <f t="shared" si="1695"/>
        <v>NIL</v>
      </c>
      <c r="R4128" t="str">
        <f t="shared" si="1680"/>
        <v>Accepted</v>
      </c>
      <c r="S4128" t="str">
        <f t="shared" si="1681"/>
        <v>Approved</v>
      </c>
      <c r="T4128" t="str">
        <f t="shared" si="1682"/>
        <v>10.20.8.188</v>
      </c>
      <c r="U4128" t="str">
        <f t="shared" si="1683"/>
        <v>AZRAD UMAR BIN SHAARI</v>
      </c>
      <c r="V4128" t="str">
        <f t="shared" si="1684"/>
        <v>FARHANA BINTI MUSTAPA</v>
      </c>
      <c r="W4128" t="str">
        <f t="shared" si="1685"/>
        <v>04-08-2020</v>
      </c>
      <c r="X4128" t="str">
        <f t="shared" si="1686"/>
        <v>RAZIMAH ANSAR AHMAD</v>
      </c>
      <c r="Y4128" t="str">
        <f t="shared" si="1687"/>
        <v>04-08-2020</v>
      </c>
      <c r="Z4128" t="str">
        <f>"COS10200804 5026"</f>
        <v>COS10200804 5026</v>
      </c>
    </row>
    <row r="4129" spans="1:26" x14ac:dyDescent="0.25">
      <c r="A4129" t="str">
        <f t="shared" si="1692"/>
        <v>04-08-2020 12:55:04</v>
      </c>
      <c r="B4129" t="str">
        <f>"0000806811"</f>
        <v>0000806811</v>
      </c>
      <c r="C4129" t="str">
        <f t="shared" si="1693"/>
        <v>0000806786</v>
      </c>
      <c r="D4129" t="str">
        <f t="shared" si="1675"/>
        <v>73185</v>
      </c>
      <c r="E4129" t="str">
        <f t="shared" si="1676"/>
        <v>KFH-OPERATIONS DEPARTMENT</v>
      </c>
      <c r="F4129" t="str">
        <f t="shared" si="1677"/>
        <v>IBG</v>
      </c>
      <c r="G4129" t="str">
        <f t="shared" si="1690"/>
        <v>Refund COSHARE 10</v>
      </c>
      <c r="H4129" s="2">
        <v>1022</v>
      </c>
      <c r="I4129" t="str">
        <f>"KHAIRUDIN BIN JAAFAR"</f>
        <v>KHAIRUDIN BIN JAAFAR</v>
      </c>
      <c r="J4129" t="str">
        <f t="shared" si="1691"/>
        <v>MAYBANK / MAYBANK ISLAMIC</v>
      </c>
      <c r="K4129" t="str">
        <f>"101133019675"</f>
        <v>101133019675</v>
      </c>
      <c r="L4129" t="str">
        <f t="shared" si="1694"/>
        <v>04-08-2020</v>
      </c>
      <c r="M4129" t="str">
        <f t="shared" si="1694"/>
        <v>04-08-2020</v>
      </c>
      <c r="N4129" t="str">
        <f t="shared" si="1678"/>
        <v>001105018356</v>
      </c>
      <c r="O4129" t="str">
        <f t="shared" si="1679"/>
        <v>MYR</v>
      </c>
      <c r="P4129" t="str">
        <f t="shared" si="1695"/>
        <v>NIL</v>
      </c>
      <c r="Q4129" t="str">
        <f t="shared" si="1695"/>
        <v>NIL</v>
      </c>
      <c r="R4129" t="str">
        <f t="shared" si="1680"/>
        <v>Accepted</v>
      </c>
      <c r="S4129" t="str">
        <f t="shared" si="1681"/>
        <v>Approved</v>
      </c>
      <c r="T4129" t="str">
        <f t="shared" si="1682"/>
        <v>10.20.8.188</v>
      </c>
      <c r="U4129" t="str">
        <f t="shared" si="1683"/>
        <v>AZRAD UMAR BIN SHAARI</v>
      </c>
      <c r="V4129" t="str">
        <f t="shared" si="1684"/>
        <v>FARHANA BINTI MUSTAPA</v>
      </c>
      <c r="W4129" t="str">
        <f t="shared" si="1685"/>
        <v>04-08-2020</v>
      </c>
      <c r="X4129" t="str">
        <f t="shared" si="1686"/>
        <v>RAZIMAH ANSAR AHMAD</v>
      </c>
      <c r="Y4129" t="str">
        <f t="shared" si="1687"/>
        <v>04-08-2020</v>
      </c>
      <c r="Z4129" t="str">
        <f>"COS10200804 5025"</f>
        <v>COS10200804 5025</v>
      </c>
    </row>
    <row r="4130" spans="1:26" x14ac:dyDescent="0.25">
      <c r="A4130" t="str">
        <f t="shared" si="1692"/>
        <v>04-08-2020 12:55:04</v>
      </c>
      <c r="B4130" t="str">
        <f>"0000806810"</f>
        <v>0000806810</v>
      </c>
      <c r="C4130" t="str">
        <f t="shared" si="1693"/>
        <v>0000806786</v>
      </c>
      <c r="D4130" t="str">
        <f t="shared" si="1675"/>
        <v>73185</v>
      </c>
      <c r="E4130" t="str">
        <f t="shared" si="1676"/>
        <v>KFH-OPERATIONS DEPARTMENT</v>
      </c>
      <c r="F4130" t="str">
        <f t="shared" si="1677"/>
        <v>IBG</v>
      </c>
      <c r="G4130" t="str">
        <f t="shared" si="1690"/>
        <v>Refund COSHARE 10</v>
      </c>
      <c r="H4130" s="2">
        <v>1376.8</v>
      </c>
      <c r="I4130" t="str">
        <f>"KHAIRUDIN BIN ABDUL AZIZ"</f>
        <v>KHAIRUDIN BIN ABDUL AZIZ</v>
      </c>
      <c r="J4130" t="str">
        <f t="shared" si="1691"/>
        <v>MAYBANK / MAYBANK ISLAMIC</v>
      </c>
      <c r="K4130" t="str">
        <f>"156048157292"</f>
        <v>156048157292</v>
      </c>
      <c r="L4130" t="str">
        <f t="shared" si="1694"/>
        <v>04-08-2020</v>
      </c>
      <c r="M4130" t="str">
        <f t="shared" si="1694"/>
        <v>04-08-2020</v>
      </c>
      <c r="N4130" t="str">
        <f t="shared" si="1678"/>
        <v>001105018356</v>
      </c>
      <c r="O4130" t="str">
        <f t="shared" si="1679"/>
        <v>MYR</v>
      </c>
      <c r="P4130" t="str">
        <f t="shared" si="1695"/>
        <v>NIL</v>
      </c>
      <c r="Q4130" t="str">
        <f t="shared" si="1695"/>
        <v>NIL</v>
      </c>
      <c r="R4130" t="str">
        <f t="shared" si="1680"/>
        <v>Accepted</v>
      </c>
      <c r="S4130" t="str">
        <f t="shared" si="1681"/>
        <v>Approved</v>
      </c>
      <c r="T4130" t="str">
        <f t="shared" si="1682"/>
        <v>10.20.8.188</v>
      </c>
      <c r="U4130" t="str">
        <f t="shared" si="1683"/>
        <v>AZRAD UMAR BIN SHAARI</v>
      </c>
      <c r="V4130" t="str">
        <f t="shared" si="1684"/>
        <v>FARHANA BINTI MUSTAPA</v>
      </c>
      <c r="W4130" t="str">
        <f t="shared" si="1685"/>
        <v>04-08-2020</v>
      </c>
      <c r="X4130" t="str">
        <f t="shared" si="1686"/>
        <v>RAZIMAH ANSAR AHMAD</v>
      </c>
      <c r="Y4130" t="str">
        <f t="shared" si="1687"/>
        <v>04-08-2020</v>
      </c>
      <c r="Z4130" t="str">
        <f>"COS10200804 5024"</f>
        <v>COS10200804 5024</v>
      </c>
    </row>
    <row r="4131" spans="1:26" x14ac:dyDescent="0.25">
      <c r="A4131" t="str">
        <f t="shared" si="1692"/>
        <v>04-08-2020 12:55:04</v>
      </c>
      <c r="B4131" t="str">
        <f>"0000806809"</f>
        <v>0000806809</v>
      </c>
      <c r="C4131" t="str">
        <f t="shared" si="1693"/>
        <v>0000806786</v>
      </c>
      <c r="D4131" t="str">
        <f t="shared" si="1675"/>
        <v>73185</v>
      </c>
      <c r="E4131" t="str">
        <f t="shared" si="1676"/>
        <v>KFH-OPERATIONS DEPARTMENT</v>
      </c>
      <c r="F4131" t="str">
        <f t="shared" si="1677"/>
        <v>IBG</v>
      </c>
      <c r="G4131" t="str">
        <f t="shared" si="1690"/>
        <v>Refund COSHARE 10</v>
      </c>
      <c r="H4131" s="2">
        <v>419.75</v>
      </c>
      <c r="I4131" t="str">
        <f>"KHAIROL BIN HARON"</f>
        <v>KHAIROL BIN HARON</v>
      </c>
      <c r="J4131" t="str">
        <f t="shared" si="1691"/>
        <v>MAYBANK / MAYBANK ISLAMIC</v>
      </c>
      <c r="K4131" t="str">
        <f>"111114291039"</f>
        <v>111114291039</v>
      </c>
      <c r="L4131" t="str">
        <f t="shared" si="1694"/>
        <v>04-08-2020</v>
      </c>
      <c r="M4131" t="str">
        <f t="shared" si="1694"/>
        <v>04-08-2020</v>
      </c>
      <c r="N4131" t="str">
        <f t="shared" si="1678"/>
        <v>001105018356</v>
      </c>
      <c r="O4131" t="str">
        <f t="shared" si="1679"/>
        <v>MYR</v>
      </c>
      <c r="P4131" t="str">
        <f t="shared" si="1695"/>
        <v>NIL</v>
      </c>
      <c r="Q4131" t="str">
        <f t="shared" si="1695"/>
        <v>NIL</v>
      </c>
      <c r="R4131" t="str">
        <f t="shared" si="1680"/>
        <v>Accepted</v>
      </c>
      <c r="S4131" t="str">
        <f t="shared" si="1681"/>
        <v>Approved</v>
      </c>
      <c r="T4131" t="str">
        <f t="shared" si="1682"/>
        <v>10.20.8.188</v>
      </c>
      <c r="U4131" t="str">
        <f t="shared" si="1683"/>
        <v>AZRAD UMAR BIN SHAARI</v>
      </c>
      <c r="V4131" t="str">
        <f t="shared" si="1684"/>
        <v>FARHANA BINTI MUSTAPA</v>
      </c>
      <c r="W4131" t="str">
        <f t="shared" si="1685"/>
        <v>04-08-2020</v>
      </c>
      <c r="X4131" t="str">
        <f t="shared" si="1686"/>
        <v>RAZIMAH ANSAR AHMAD</v>
      </c>
      <c r="Y4131" t="str">
        <f t="shared" si="1687"/>
        <v>04-08-2020</v>
      </c>
      <c r="Z4131" t="str">
        <f>"COS10200804 5023"</f>
        <v>COS10200804 5023</v>
      </c>
    </row>
    <row r="4132" spans="1:26" x14ac:dyDescent="0.25">
      <c r="A4132" t="str">
        <f t="shared" si="1692"/>
        <v>04-08-2020 12:55:04</v>
      </c>
      <c r="B4132" t="str">
        <f>"0000806808"</f>
        <v>0000806808</v>
      </c>
      <c r="C4132" t="str">
        <f t="shared" si="1693"/>
        <v>0000806786</v>
      </c>
      <c r="D4132" t="str">
        <f t="shared" si="1675"/>
        <v>73185</v>
      </c>
      <c r="E4132" t="str">
        <f t="shared" si="1676"/>
        <v>KFH-OPERATIONS DEPARTMENT</v>
      </c>
      <c r="F4132" t="str">
        <f t="shared" si="1677"/>
        <v>IBG</v>
      </c>
      <c r="G4132" t="str">
        <f t="shared" si="1690"/>
        <v>Refund COSHARE 10</v>
      </c>
      <c r="H4132" s="2">
        <v>363.45</v>
      </c>
      <c r="I4132" t="str">
        <f>"KHAIRILLIZAM BIN SAAIM"</f>
        <v>KHAIRILLIZAM BIN SAAIM</v>
      </c>
      <c r="J4132" t="str">
        <f t="shared" si="1691"/>
        <v>MAYBANK / MAYBANK ISLAMIC</v>
      </c>
      <c r="K4132" t="str">
        <f>"162263256931"</f>
        <v>162263256931</v>
      </c>
      <c r="L4132" t="str">
        <f t="shared" si="1694"/>
        <v>04-08-2020</v>
      </c>
      <c r="M4132" t="str">
        <f t="shared" si="1694"/>
        <v>04-08-2020</v>
      </c>
      <c r="N4132" t="str">
        <f t="shared" si="1678"/>
        <v>001105018356</v>
      </c>
      <c r="O4132" t="str">
        <f t="shared" si="1679"/>
        <v>MYR</v>
      </c>
      <c r="P4132" t="str">
        <f t="shared" si="1695"/>
        <v>NIL</v>
      </c>
      <c r="Q4132" t="str">
        <f t="shared" si="1695"/>
        <v>NIL</v>
      </c>
      <c r="R4132" t="str">
        <f t="shared" si="1680"/>
        <v>Accepted</v>
      </c>
      <c r="S4132" t="str">
        <f t="shared" si="1681"/>
        <v>Approved</v>
      </c>
      <c r="T4132" t="str">
        <f t="shared" si="1682"/>
        <v>10.20.8.188</v>
      </c>
      <c r="U4132" t="str">
        <f t="shared" si="1683"/>
        <v>AZRAD UMAR BIN SHAARI</v>
      </c>
      <c r="V4132" t="str">
        <f t="shared" si="1684"/>
        <v>FARHANA BINTI MUSTAPA</v>
      </c>
      <c r="W4132" t="str">
        <f t="shared" si="1685"/>
        <v>04-08-2020</v>
      </c>
      <c r="X4132" t="str">
        <f t="shared" si="1686"/>
        <v>RAZIMAH ANSAR AHMAD</v>
      </c>
      <c r="Y4132" t="str">
        <f t="shared" si="1687"/>
        <v>04-08-2020</v>
      </c>
      <c r="Z4132" t="str">
        <f>"COS10200804 5022"</f>
        <v>COS10200804 5022</v>
      </c>
    </row>
    <row r="4133" spans="1:26" x14ac:dyDescent="0.25">
      <c r="A4133" t="str">
        <f t="shared" si="1692"/>
        <v>04-08-2020 12:55:04</v>
      </c>
      <c r="B4133" t="str">
        <f>"0000806807"</f>
        <v>0000806807</v>
      </c>
      <c r="C4133" t="str">
        <f t="shared" si="1693"/>
        <v>0000806786</v>
      </c>
      <c r="D4133" t="str">
        <f t="shared" si="1675"/>
        <v>73185</v>
      </c>
      <c r="E4133" t="str">
        <f t="shared" si="1676"/>
        <v>KFH-OPERATIONS DEPARTMENT</v>
      </c>
      <c r="F4133" t="str">
        <f t="shared" si="1677"/>
        <v>IBG</v>
      </c>
      <c r="G4133" t="str">
        <f t="shared" si="1690"/>
        <v>Refund COSHARE 10</v>
      </c>
      <c r="H4133" s="2">
        <v>965.45</v>
      </c>
      <c r="I4133" t="str">
        <f>"KHAIRIL BIN MUHAMAD SHAFAR"</f>
        <v>KHAIRIL BIN MUHAMAD SHAFAR</v>
      </c>
      <c r="J4133" t="str">
        <f t="shared" si="1691"/>
        <v>MAYBANK / MAYBANK ISLAMIC</v>
      </c>
      <c r="K4133" t="str">
        <f>"101123573466"</f>
        <v>101123573466</v>
      </c>
      <c r="L4133" t="str">
        <f t="shared" si="1694"/>
        <v>04-08-2020</v>
      </c>
      <c r="M4133" t="str">
        <f t="shared" si="1694"/>
        <v>04-08-2020</v>
      </c>
      <c r="N4133" t="str">
        <f t="shared" si="1678"/>
        <v>001105018356</v>
      </c>
      <c r="O4133" t="str">
        <f t="shared" si="1679"/>
        <v>MYR</v>
      </c>
      <c r="P4133" t="str">
        <f t="shared" si="1695"/>
        <v>NIL</v>
      </c>
      <c r="Q4133" t="str">
        <f t="shared" si="1695"/>
        <v>NIL</v>
      </c>
      <c r="R4133" t="str">
        <f t="shared" si="1680"/>
        <v>Accepted</v>
      </c>
      <c r="S4133" t="str">
        <f t="shared" si="1681"/>
        <v>Approved</v>
      </c>
      <c r="T4133" t="str">
        <f t="shared" si="1682"/>
        <v>10.20.8.188</v>
      </c>
      <c r="U4133" t="str">
        <f t="shared" si="1683"/>
        <v>AZRAD UMAR BIN SHAARI</v>
      </c>
      <c r="V4133" t="str">
        <f t="shared" si="1684"/>
        <v>FARHANA BINTI MUSTAPA</v>
      </c>
      <c r="W4133" t="str">
        <f t="shared" si="1685"/>
        <v>04-08-2020</v>
      </c>
      <c r="X4133" t="str">
        <f t="shared" si="1686"/>
        <v>RAZIMAH ANSAR AHMAD</v>
      </c>
      <c r="Y4133" t="str">
        <f t="shared" si="1687"/>
        <v>04-08-2020</v>
      </c>
      <c r="Z4133" t="str">
        <f>"COS10200804 5021"</f>
        <v>COS10200804 5021</v>
      </c>
    </row>
    <row r="4134" spans="1:26" x14ac:dyDescent="0.25">
      <c r="A4134" t="str">
        <f t="shared" si="1692"/>
        <v>04-08-2020 12:55:04</v>
      </c>
      <c r="B4134" t="str">
        <f>"0000806806"</f>
        <v>0000806806</v>
      </c>
      <c r="C4134" t="str">
        <f t="shared" si="1693"/>
        <v>0000806786</v>
      </c>
      <c r="D4134" t="str">
        <f t="shared" si="1675"/>
        <v>73185</v>
      </c>
      <c r="E4134" t="str">
        <f t="shared" si="1676"/>
        <v>KFH-OPERATIONS DEPARTMENT</v>
      </c>
      <c r="F4134" t="str">
        <f t="shared" si="1677"/>
        <v>IBG</v>
      </c>
      <c r="G4134" t="str">
        <f t="shared" si="1690"/>
        <v>Refund COSHARE 10</v>
      </c>
      <c r="H4134" s="2">
        <v>491.15</v>
      </c>
      <c r="I4134" t="str">
        <f>"KHAIRIL AZUAR BIN MOHD NOOR"</f>
        <v>KHAIRIL AZUAR BIN MOHD NOOR</v>
      </c>
      <c r="J4134" t="str">
        <f t="shared" si="1691"/>
        <v>MAYBANK / MAYBANK ISLAMIC</v>
      </c>
      <c r="K4134" t="str">
        <f>"155041655667"</f>
        <v>155041655667</v>
      </c>
      <c r="L4134" t="str">
        <f t="shared" si="1694"/>
        <v>04-08-2020</v>
      </c>
      <c r="M4134" t="str">
        <f t="shared" si="1694"/>
        <v>04-08-2020</v>
      </c>
      <c r="N4134" t="str">
        <f t="shared" si="1678"/>
        <v>001105018356</v>
      </c>
      <c r="O4134" t="str">
        <f t="shared" si="1679"/>
        <v>MYR</v>
      </c>
      <c r="P4134" t="str">
        <f t="shared" si="1695"/>
        <v>NIL</v>
      </c>
      <c r="Q4134" t="str">
        <f t="shared" si="1695"/>
        <v>NIL</v>
      </c>
      <c r="R4134" t="str">
        <f t="shared" si="1680"/>
        <v>Accepted</v>
      </c>
      <c r="S4134" t="str">
        <f t="shared" si="1681"/>
        <v>Approved</v>
      </c>
      <c r="T4134" t="str">
        <f t="shared" si="1682"/>
        <v>10.20.8.188</v>
      </c>
      <c r="U4134" t="str">
        <f t="shared" si="1683"/>
        <v>AZRAD UMAR BIN SHAARI</v>
      </c>
      <c r="V4134" t="str">
        <f t="shared" si="1684"/>
        <v>FARHANA BINTI MUSTAPA</v>
      </c>
      <c r="W4134" t="str">
        <f t="shared" si="1685"/>
        <v>04-08-2020</v>
      </c>
      <c r="X4134" t="str">
        <f t="shared" si="1686"/>
        <v>RAZIMAH ANSAR AHMAD</v>
      </c>
      <c r="Y4134" t="str">
        <f t="shared" si="1687"/>
        <v>04-08-2020</v>
      </c>
      <c r="Z4134" t="str">
        <f>"COS10200804 5020"</f>
        <v>COS10200804 5020</v>
      </c>
    </row>
    <row r="4135" spans="1:26" x14ac:dyDescent="0.25">
      <c r="A4135" t="str">
        <f t="shared" si="1692"/>
        <v>04-08-2020 12:55:04</v>
      </c>
      <c r="B4135" t="str">
        <f>"0000806805"</f>
        <v>0000806805</v>
      </c>
      <c r="C4135" t="str">
        <f t="shared" si="1693"/>
        <v>0000806786</v>
      </c>
      <c r="D4135" t="str">
        <f t="shared" si="1675"/>
        <v>73185</v>
      </c>
      <c r="E4135" t="str">
        <f t="shared" si="1676"/>
        <v>KFH-OPERATIONS DEPARTMENT</v>
      </c>
      <c r="F4135" t="str">
        <f t="shared" si="1677"/>
        <v>IBG</v>
      </c>
      <c r="G4135" t="str">
        <f t="shared" si="1690"/>
        <v>Refund COSHARE 10</v>
      </c>
      <c r="H4135" s="2">
        <v>772.35</v>
      </c>
      <c r="I4135" t="str">
        <f>"KHAIRIL ANUAR BIN AZALI"</f>
        <v>KHAIRIL ANUAR BIN AZALI</v>
      </c>
      <c r="J4135" t="str">
        <f t="shared" si="1691"/>
        <v>MAYBANK / MAYBANK ISLAMIC</v>
      </c>
      <c r="K4135" t="str">
        <f>"162133004265"</f>
        <v>162133004265</v>
      </c>
      <c r="L4135" t="str">
        <f t="shared" si="1694"/>
        <v>04-08-2020</v>
      </c>
      <c r="M4135" t="str">
        <f t="shared" si="1694"/>
        <v>04-08-2020</v>
      </c>
      <c r="N4135" t="str">
        <f t="shared" si="1678"/>
        <v>001105018356</v>
      </c>
      <c r="O4135" t="str">
        <f t="shared" si="1679"/>
        <v>MYR</v>
      </c>
      <c r="P4135" t="str">
        <f t="shared" si="1695"/>
        <v>NIL</v>
      </c>
      <c r="Q4135" t="str">
        <f t="shared" si="1695"/>
        <v>NIL</v>
      </c>
      <c r="R4135" t="str">
        <f t="shared" si="1680"/>
        <v>Accepted</v>
      </c>
      <c r="S4135" t="str">
        <f t="shared" si="1681"/>
        <v>Approved</v>
      </c>
      <c r="T4135" t="str">
        <f t="shared" si="1682"/>
        <v>10.20.8.188</v>
      </c>
      <c r="U4135" t="str">
        <f t="shared" si="1683"/>
        <v>AZRAD UMAR BIN SHAARI</v>
      </c>
      <c r="V4135" t="str">
        <f t="shared" si="1684"/>
        <v>FARHANA BINTI MUSTAPA</v>
      </c>
      <c r="W4135" t="str">
        <f t="shared" si="1685"/>
        <v>04-08-2020</v>
      </c>
      <c r="X4135" t="str">
        <f t="shared" si="1686"/>
        <v>RAZIMAH ANSAR AHMAD</v>
      </c>
      <c r="Y4135" t="str">
        <f t="shared" si="1687"/>
        <v>04-08-2020</v>
      </c>
      <c r="Z4135" t="str">
        <f>"COS10200804 5019"</f>
        <v>COS10200804 5019</v>
      </c>
    </row>
    <row r="4136" spans="1:26" x14ac:dyDescent="0.25">
      <c r="A4136" t="str">
        <f t="shared" si="1692"/>
        <v>04-08-2020 12:55:04</v>
      </c>
      <c r="B4136" t="str">
        <f>"0000806804"</f>
        <v>0000806804</v>
      </c>
      <c r="C4136" t="str">
        <f t="shared" si="1693"/>
        <v>0000806786</v>
      </c>
      <c r="D4136" t="str">
        <f t="shared" si="1675"/>
        <v>73185</v>
      </c>
      <c r="E4136" t="str">
        <f t="shared" si="1676"/>
        <v>KFH-OPERATIONS DEPARTMENT</v>
      </c>
      <c r="F4136" t="str">
        <f t="shared" si="1677"/>
        <v>IBG</v>
      </c>
      <c r="G4136" t="str">
        <f t="shared" si="1690"/>
        <v>Refund COSHARE 10</v>
      </c>
      <c r="H4136" s="2">
        <v>1603.45</v>
      </c>
      <c r="I4136" t="str">
        <f>"KHAIRI SHAH BIN KADERAN"</f>
        <v>KHAIRI SHAH BIN KADERAN</v>
      </c>
      <c r="J4136" t="str">
        <f t="shared" si="1691"/>
        <v>MAYBANK / MAYBANK ISLAMIC</v>
      </c>
      <c r="K4136" t="str">
        <f>"158293532594"</f>
        <v>158293532594</v>
      </c>
      <c r="L4136" t="str">
        <f t="shared" si="1694"/>
        <v>04-08-2020</v>
      </c>
      <c r="M4136" t="str">
        <f t="shared" si="1694"/>
        <v>04-08-2020</v>
      </c>
      <c r="N4136" t="str">
        <f t="shared" si="1678"/>
        <v>001105018356</v>
      </c>
      <c r="O4136" t="str">
        <f t="shared" si="1679"/>
        <v>MYR</v>
      </c>
      <c r="P4136" t="str">
        <f t="shared" si="1695"/>
        <v>NIL</v>
      </c>
      <c r="Q4136" t="str">
        <f t="shared" si="1695"/>
        <v>NIL</v>
      </c>
      <c r="R4136" t="str">
        <f t="shared" si="1680"/>
        <v>Accepted</v>
      </c>
      <c r="S4136" t="str">
        <f t="shared" si="1681"/>
        <v>Approved</v>
      </c>
      <c r="T4136" t="str">
        <f t="shared" si="1682"/>
        <v>10.20.8.188</v>
      </c>
      <c r="U4136" t="str">
        <f t="shared" si="1683"/>
        <v>AZRAD UMAR BIN SHAARI</v>
      </c>
      <c r="V4136" t="str">
        <f t="shared" si="1684"/>
        <v>FARHANA BINTI MUSTAPA</v>
      </c>
      <c r="W4136" t="str">
        <f t="shared" si="1685"/>
        <v>04-08-2020</v>
      </c>
      <c r="X4136" t="str">
        <f t="shared" si="1686"/>
        <v>RAZIMAH ANSAR AHMAD</v>
      </c>
      <c r="Y4136" t="str">
        <f t="shared" si="1687"/>
        <v>04-08-2020</v>
      </c>
      <c r="Z4136" t="str">
        <f>"COS10200804 5018"</f>
        <v>COS10200804 5018</v>
      </c>
    </row>
    <row r="4137" spans="1:26" x14ac:dyDescent="0.25">
      <c r="A4137" t="str">
        <f t="shared" si="1692"/>
        <v>04-08-2020 12:55:04</v>
      </c>
      <c r="B4137" t="str">
        <f>"0000806803"</f>
        <v>0000806803</v>
      </c>
      <c r="C4137" t="str">
        <f t="shared" si="1693"/>
        <v>0000806786</v>
      </c>
      <c r="D4137" t="str">
        <f t="shared" si="1675"/>
        <v>73185</v>
      </c>
      <c r="E4137" t="str">
        <f t="shared" si="1676"/>
        <v>KFH-OPERATIONS DEPARTMENT</v>
      </c>
      <c r="F4137" t="str">
        <f t="shared" si="1677"/>
        <v>IBG</v>
      </c>
      <c r="G4137" t="str">
        <f t="shared" si="1690"/>
        <v>Refund COSHARE 10</v>
      </c>
      <c r="H4137" s="2">
        <v>152</v>
      </c>
      <c r="I4137" t="str">
        <f>"KHAIRI BIN MOHAMED  BASHARUDDIN"</f>
        <v>KHAIRI BIN MOHAMED  BASHARUDDIN</v>
      </c>
      <c r="J4137" t="str">
        <f t="shared" si="1691"/>
        <v>MAYBANK / MAYBANK ISLAMIC</v>
      </c>
      <c r="K4137" t="str">
        <f>"164025877381"</f>
        <v>164025877381</v>
      </c>
      <c r="L4137" t="str">
        <f t="shared" si="1694"/>
        <v>04-08-2020</v>
      </c>
      <c r="M4137" t="str">
        <f t="shared" si="1694"/>
        <v>04-08-2020</v>
      </c>
      <c r="N4137" t="str">
        <f t="shared" si="1678"/>
        <v>001105018356</v>
      </c>
      <c r="O4137" t="str">
        <f t="shared" si="1679"/>
        <v>MYR</v>
      </c>
      <c r="P4137" t="str">
        <f t="shared" si="1695"/>
        <v>NIL</v>
      </c>
      <c r="Q4137" t="str">
        <f t="shared" si="1695"/>
        <v>NIL</v>
      </c>
      <c r="R4137" t="str">
        <f t="shared" si="1680"/>
        <v>Accepted</v>
      </c>
      <c r="S4137" t="str">
        <f t="shared" si="1681"/>
        <v>Approved</v>
      </c>
      <c r="T4137" t="str">
        <f t="shared" si="1682"/>
        <v>10.20.8.188</v>
      </c>
      <c r="U4137" t="str">
        <f t="shared" si="1683"/>
        <v>AZRAD UMAR BIN SHAARI</v>
      </c>
      <c r="V4137" t="str">
        <f t="shared" si="1684"/>
        <v>FARHANA BINTI MUSTAPA</v>
      </c>
      <c r="W4137" t="str">
        <f t="shared" si="1685"/>
        <v>04-08-2020</v>
      </c>
      <c r="X4137" t="str">
        <f t="shared" si="1686"/>
        <v>RAZIMAH ANSAR AHMAD</v>
      </c>
      <c r="Y4137" t="str">
        <f t="shared" si="1687"/>
        <v>04-08-2020</v>
      </c>
      <c r="Z4137" t="str">
        <f>"COS10200804 5017"</f>
        <v>COS10200804 5017</v>
      </c>
    </row>
    <row r="4138" spans="1:26" x14ac:dyDescent="0.25">
      <c r="A4138" t="str">
        <f t="shared" si="1692"/>
        <v>04-08-2020 12:55:04</v>
      </c>
      <c r="B4138" t="str">
        <f>"0000806802"</f>
        <v>0000806802</v>
      </c>
      <c r="C4138" t="str">
        <f t="shared" si="1693"/>
        <v>0000806786</v>
      </c>
      <c r="D4138" t="str">
        <f t="shared" si="1675"/>
        <v>73185</v>
      </c>
      <c r="E4138" t="str">
        <f t="shared" si="1676"/>
        <v>KFH-OPERATIONS DEPARTMENT</v>
      </c>
      <c r="F4138" t="str">
        <f t="shared" si="1677"/>
        <v>IBG</v>
      </c>
      <c r="G4138" t="str">
        <f t="shared" si="1690"/>
        <v>Refund COSHARE 10</v>
      </c>
      <c r="H4138" s="2">
        <v>260.25</v>
      </c>
      <c r="I4138" t="str">
        <f>"KHAIRALMASULIN BINTI JAMALUDIN"</f>
        <v>KHAIRALMASULIN BINTI JAMALUDIN</v>
      </c>
      <c r="J4138" t="str">
        <f t="shared" si="1691"/>
        <v>MAYBANK / MAYBANK ISLAMIC</v>
      </c>
      <c r="K4138" t="str">
        <f>"154044711130"</f>
        <v>154044711130</v>
      </c>
      <c r="L4138" t="str">
        <f t="shared" si="1694"/>
        <v>04-08-2020</v>
      </c>
      <c r="M4138" t="str">
        <f t="shared" si="1694"/>
        <v>04-08-2020</v>
      </c>
      <c r="N4138" t="str">
        <f t="shared" si="1678"/>
        <v>001105018356</v>
      </c>
      <c r="O4138" t="str">
        <f t="shared" si="1679"/>
        <v>MYR</v>
      </c>
      <c r="P4138" t="str">
        <f t="shared" si="1695"/>
        <v>NIL</v>
      </c>
      <c r="Q4138" t="str">
        <f t="shared" si="1695"/>
        <v>NIL</v>
      </c>
      <c r="R4138" t="str">
        <f t="shared" si="1680"/>
        <v>Accepted</v>
      </c>
      <c r="S4138" t="str">
        <f t="shared" si="1681"/>
        <v>Approved</v>
      </c>
      <c r="T4138" t="str">
        <f t="shared" si="1682"/>
        <v>10.20.8.188</v>
      </c>
      <c r="U4138" t="str">
        <f t="shared" si="1683"/>
        <v>AZRAD UMAR BIN SHAARI</v>
      </c>
      <c r="V4138" t="str">
        <f t="shared" si="1684"/>
        <v>FARHANA BINTI MUSTAPA</v>
      </c>
      <c r="W4138" t="str">
        <f t="shared" si="1685"/>
        <v>04-08-2020</v>
      </c>
      <c r="X4138" t="str">
        <f t="shared" si="1686"/>
        <v>RAZIMAH ANSAR AHMAD</v>
      </c>
      <c r="Y4138" t="str">
        <f t="shared" si="1687"/>
        <v>04-08-2020</v>
      </c>
      <c r="Z4138" t="str">
        <f>"COS10200804 5016"</f>
        <v>COS10200804 5016</v>
      </c>
    </row>
    <row r="4139" spans="1:26" x14ac:dyDescent="0.25">
      <c r="A4139" t="str">
        <f t="shared" si="1692"/>
        <v>04-08-2020 12:55:04</v>
      </c>
      <c r="B4139" t="str">
        <f>"0000806801"</f>
        <v>0000806801</v>
      </c>
      <c r="C4139" t="str">
        <f t="shared" si="1693"/>
        <v>0000806786</v>
      </c>
      <c r="D4139" t="str">
        <f t="shared" si="1675"/>
        <v>73185</v>
      </c>
      <c r="E4139" t="str">
        <f t="shared" si="1676"/>
        <v>KFH-OPERATIONS DEPARTMENT</v>
      </c>
      <c r="F4139" t="str">
        <f t="shared" si="1677"/>
        <v>IBG</v>
      </c>
      <c r="G4139" t="str">
        <f t="shared" si="1690"/>
        <v>Refund COSHARE 10</v>
      </c>
      <c r="H4139" s="2">
        <v>75.599999999999994</v>
      </c>
      <c r="I4139" t="str">
        <f>"KHAIR AMIRUDDIN BIN TAHARIM"</f>
        <v>KHAIR AMIRUDDIN BIN TAHARIM</v>
      </c>
      <c r="J4139" t="str">
        <f t="shared" si="1691"/>
        <v>MAYBANK / MAYBANK ISLAMIC</v>
      </c>
      <c r="K4139" t="str">
        <f>"114169763817"</f>
        <v>114169763817</v>
      </c>
      <c r="L4139" t="str">
        <f t="shared" si="1694"/>
        <v>04-08-2020</v>
      </c>
      <c r="M4139" t="str">
        <f t="shared" si="1694"/>
        <v>04-08-2020</v>
      </c>
      <c r="N4139" t="str">
        <f t="shared" si="1678"/>
        <v>001105018356</v>
      </c>
      <c r="O4139" t="str">
        <f t="shared" si="1679"/>
        <v>MYR</v>
      </c>
      <c r="P4139" t="str">
        <f t="shared" si="1695"/>
        <v>NIL</v>
      </c>
      <c r="Q4139" t="str">
        <f t="shared" si="1695"/>
        <v>NIL</v>
      </c>
      <c r="R4139" t="str">
        <f t="shared" si="1680"/>
        <v>Accepted</v>
      </c>
      <c r="S4139" t="str">
        <f t="shared" si="1681"/>
        <v>Approved</v>
      </c>
      <c r="T4139" t="str">
        <f t="shared" si="1682"/>
        <v>10.20.8.188</v>
      </c>
      <c r="U4139" t="str">
        <f t="shared" si="1683"/>
        <v>AZRAD UMAR BIN SHAARI</v>
      </c>
      <c r="V4139" t="str">
        <f t="shared" si="1684"/>
        <v>FARHANA BINTI MUSTAPA</v>
      </c>
      <c r="W4139" t="str">
        <f t="shared" si="1685"/>
        <v>04-08-2020</v>
      </c>
      <c r="X4139" t="str">
        <f t="shared" si="1686"/>
        <v>RAZIMAH ANSAR AHMAD</v>
      </c>
      <c r="Y4139" t="str">
        <f t="shared" si="1687"/>
        <v>04-08-2020</v>
      </c>
      <c r="Z4139" t="str">
        <f>"COS10200804 5015"</f>
        <v>COS10200804 5015</v>
      </c>
    </row>
    <row r="4140" spans="1:26" x14ac:dyDescent="0.25">
      <c r="A4140" t="str">
        <f t="shared" si="1692"/>
        <v>04-08-2020 12:55:04</v>
      </c>
      <c r="B4140" t="str">
        <f>"0000806800"</f>
        <v>0000806800</v>
      </c>
      <c r="C4140" t="str">
        <f t="shared" si="1693"/>
        <v>0000806786</v>
      </c>
      <c r="D4140" t="str">
        <f t="shared" si="1675"/>
        <v>73185</v>
      </c>
      <c r="E4140" t="str">
        <f t="shared" si="1676"/>
        <v>KFH-OPERATIONS DEPARTMENT</v>
      </c>
      <c r="F4140" t="str">
        <f t="shared" si="1677"/>
        <v>IBG</v>
      </c>
      <c r="G4140" t="str">
        <f t="shared" si="1690"/>
        <v>Refund COSHARE 10</v>
      </c>
      <c r="H4140" s="2">
        <v>92.35</v>
      </c>
      <c r="I4140" t="str">
        <f>"KEOH CHEE WEI"</f>
        <v>KEOH CHEE WEI</v>
      </c>
      <c r="J4140" t="str">
        <f t="shared" si="1691"/>
        <v>MAYBANK / MAYBANK ISLAMIC</v>
      </c>
      <c r="K4140" t="str">
        <f>"157120183798"</f>
        <v>157120183798</v>
      </c>
      <c r="L4140" t="str">
        <f t="shared" si="1694"/>
        <v>04-08-2020</v>
      </c>
      <c r="M4140" t="str">
        <f t="shared" si="1694"/>
        <v>04-08-2020</v>
      </c>
      <c r="N4140" t="str">
        <f t="shared" si="1678"/>
        <v>001105018356</v>
      </c>
      <c r="O4140" t="str">
        <f t="shared" si="1679"/>
        <v>MYR</v>
      </c>
      <c r="P4140" t="str">
        <f t="shared" si="1695"/>
        <v>NIL</v>
      </c>
      <c r="Q4140" t="str">
        <f t="shared" si="1695"/>
        <v>NIL</v>
      </c>
      <c r="R4140" t="str">
        <f t="shared" si="1680"/>
        <v>Accepted</v>
      </c>
      <c r="S4140" t="str">
        <f t="shared" si="1681"/>
        <v>Approved</v>
      </c>
      <c r="T4140" t="str">
        <f t="shared" si="1682"/>
        <v>10.20.8.188</v>
      </c>
      <c r="U4140" t="str">
        <f t="shared" si="1683"/>
        <v>AZRAD UMAR BIN SHAARI</v>
      </c>
      <c r="V4140" t="str">
        <f t="shared" si="1684"/>
        <v>FARHANA BINTI MUSTAPA</v>
      </c>
      <c r="W4140" t="str">
        <f t="shared" si="1685"/>
        <v>04-08-2020</v>
      </c>
      <c r="X4140" t="str">
        <f t="shared" si="1686"/>
        <v>RAZIMAH ANSAR AHMAD</v>
      </c>
      <c r="Y4140" t="str">
        <f t="shared" si="1687"/>
        <v>04-08-2020</v>
      </c>
      <c r="Z4140" t="str">
        <f>"COS10200804 5014"</f>
        <v>COS10200804 5014</v>
      </c>
    </row>
    <row r="4141" spans="1:26" x14ac:dyDescent="0.25">
      <c r="A4141" t="str">
        <f t="shared" si="1692"/>
        <v>04-08-2020 12:55:04</v>
      </c>
      <c r="B4141" t="str">
        <f>"0000806799"</f>
        <v>0000806799</v>
      </c>
      <c r="C4141" t="str">
        <f t="shared" si="1693"/>
        <v>0000806786</v>
      </c>
      <c r="D4141" t="str">
        <f t="shared" si="1675"/>
        <v>73185</v>
      </c>
      <c r="E4141" t="str">
        <f t="shared" si="1676"/>
        <v>KFH-OPERATIONS DEPARTMENT</v>
      </c>
      <c r="F4141" t="str">
        <f t="shared" si="1677"/>
        <v>IBG</v>
      </c>
      <c r="G4141" t="str">
        <f t="shared" si="1690"/>
        <v>Refund COSHARE 10</v>
      </c>
      <c r="H4141" s="2">
        <v>147.35</v>
      </c>
      <c r="I4141" t="str">
        <f>"KENNETH KASAU JARRAW"</f>
        <v>KENNETH KASAU JARRAW</v>
      </c>
      <c r="J4141" t="str">
        <f t="shared" si="1691"/>
        <v>MAYBANK / MAYBANK ISLAMIC</v>
      </c>
      <c r="K4141" t="str">
        <f>"161097076483"</f>
        <v>161097076483</v>
      </c>
      <c r="L4141" t="str">
        <f t="shared" si="1694"/>
        <v>04-08-2020</v>
      </c>
      <c r="M4141" t="str">
        <f t="shared" si="1694"/>
        <v>04-08-2020</v>
      </c>
      <c r="N4141" t="str">
        <f t="shared" si="1678"/>
        <v>001105018356</v>
      </c>
      <c r="O4141" t="str">
        <f t="shared" si="1679"/>
        <v>MYR</v>
      </c>
      <c r="P4141" t="str">
        <f t="shared" si="1695"/>
        <v>NIL</v>
      </c>
      <c r="Q4141" t="str">
        <f t="shared" si="1695"/>
        <v>NIL</v>
      </c>
      <c r="R4141" t="str">
        <f t="shared" si="1680"/>
        <v>Accepted</v>
      </c>
      <c r="S4141" t="str">
        <f t="shared" si="1681"/>
        <v>Approved</v>
      </c>
      <c r="T4141" t="str">
        <f t="shared" si="1682"/>
        <v>10.20.8.188</v>
      </c>
      <c r="U4141" t="str">
        <f t="shared" si="1683"/>
        <v>AZRAD UMAR BIN SHAARI</v>
      </c>
      <c r="V4141" t="str">
        <f t="shared" si="1684"/>
        <v>FARHANA BINTI MUSTAPA</v>
      </c>
      <c r="W4141" t="str">
        <f t="shared" si="1685"/>
        <v>04-08-2020</v>
      </c>
      <c r="X4141" t="str">
        <f t="shared" si="1686"/>
        <v>RAZIMAH ANSAR AHMAD</v>
      </c>
      <c r="Y4141" t="str">
        <f t="shared" si="1687"/>
        <v>04-08-2020</v>
      </c>
      <c r="Z4141" t="str">
        <f>"COS10200804 5013"</f>
        <v>COS10200804 5013</v>
      </c>
    </row>
    <row r="4142" spans="1:26" x14ac:dyDescent="0.25">
      <c r="A4142" t="str">
        <f t="shared" si="1692"/>
        <v>04-08-2020 12:55:04</v>
      </c>
      <c r="B4142" t="str">
        <f>"0000806798"</f>
        <v>0000806798</v>
      </c>
      <c r="C4142" t="str">
        <f t="shared" si="1693"/>
        <v>0000806786</v>
      </c>
      <c r="D4142" t="str">
        <f t="shared" si="1675"/>
        <v>73185</v>
      </c>
      <c r="E4142" t="str">
        <f t="shared" si="1676"/>
        <v>KFH-OPERATIONS DEPARTMENT</v>
      </c>
      <c r="F4142" t="str">
        <f t="shared" si="1677"/>
        <v>IBG</v>
      </c>
      <c r="G4142" t="str">
        <f t="shared" si="1690"/>
        <v>Refund COSHARE 10</v>
      </c>
      <c r="H4142" s="2">
        <v>293.85000000000002</v>
      </c>
      <c r="I4142" t="str">
        <f>"KELVINDIRAN AL ULARKANAZAN"</f>
        <v>KELVINDIRAN AL ULARKANAZAN</v>
      </c>
      <c r="J4142" t="str">
        <f t="shared" si="1691"/>
        <v>MAYBANK / MAYBANK ISLAMIC</v>
      </c>
      <c r="K4142" t="str">
        <f>"157166920711"</f>
        <v>157166920711</v>
      </c>
      <c r="L4142" t="str">
        <f t="shared" si="1694"/>
        <v>04-08-2020</v>
      </c>
      <c r="M4142" t="str">
        <f t="shared" si="1694"/>
        <v>04-08-2020</v>
      </c>
      <c r="N4142" t="str">
        <f t="shared" si="1678"/>
        <v>001105018356</v>
      </c>
      <c r="O4142" t="str">
        <f t="shared" si="1679"/>
        <v>MYR</v>
      </c>
      <c r="P4142" t="str">
        <f t="shared" si="1695"/>
        <v>NIL</v>
      </c>
      <c r="Q4142" t="str">
        <f t="shared" si="1695"/>
        <v>NIL</v>
      </c>
      <c r="R4142" t="str">
        <f t="shared" si="1680"/>
        <v>Accepted</v>
      </c>
      <c r="S4142" t="str">
        <f t="shared" si="1681"/>
        <v>Approved</v>
      </c>
      <c r="T4142" t="str">
        <f t="shared" si="1682"/>
        <v>10.20.8.188</v>
      </c>
      <c r="U4142" t="str">
        <f t="shared" si="1683"/>
        <v>AZRAD UMAR BIN SHAARI</v>
      </c>
      <c r="V4142" t="str">
        <f t="shared" si="1684"/>
        <v>FARHANA BINTI MUSTAPA</v>
      </c>
      <c r="W4142" t="str">
        <f t="shared" si="1685"/>
        <v>04-08-2020</v>
      </c>
      <c r="X4142" t="str">
        <f t="shared" si="1686"/>
        <v>RAZIMAH ANSAR AHMAD</v>
      </c>
      <c r="Y4142" t="str">
        <f t="shared" si="1687"/>
        <v>04-08-2020</v>
      </c>
      <c r="Z4142" t="str">
        <f>"COS10200804 5012"</f>
        <v>COS10200804 5012</v>
      </c>
    </row>
    <row r="4143" spans="1:26" x14ac:dyDescent="0.25">
      <c r="A4143" t="str">
        <f t="shared" si="1692"/>
        <v>04-08-2020 12:55:04</v>
      </c>
      <c r="B4143" t="str">
        <f>"0000806797"</f>
        <v>0000806797</v>
      </c>
      <c r="C4143" t="str">
        <f t="shared" si="1693"/>
        <v>0000806786</v>
      </c>
      <c r="D4143" t="str">
        <f t="shared" si="1675"/>
        <v>73185</v>
      </c>
      <c r="E4143" t="str">
        <f t="shared" si="1676"/>
        <v>KFH-OPERATIONS DEPARTMENT</v>
      </c>
      <c r="F4143" t="str">
        <f t="shared" si="1677"/>
        <v>IBG</v>
      </c>
      <c r="G4143" t="str">
        <f t="shared" si="1690"/>
        <v>Refund COSHARE 10</v>
      </c>
      <c r="H4143" s="2">
        <v>1023.25</v>
      </c>
      <c r="I4143" t="str">
        <f>"KAVIDAH AP SOCKANATHAN"</f>
        <v>KAVIDAH AP SOCKANATHAN</v>
      </c>
      <c r="J4143" t="str">
        <f t="shared" si="1691"/>
        <v>MAYBANK / MAYBANK ISLAMIC</v>
      </c>
      <c r="K4143" t="str">
        <f>"112343027331"</f>
        <v>112343027331</v>
      </c>
      <c r="L4143" t="str">
        <f t="shared" si="1694"/>
        <v>04-08-2020</v>
      </c>
      <c r="M4143" t="str">
        <f t="shared" si="1694"/>
        <v>04-08-2020</v>
      </c>
      <c r="N4143" t="str">
        <f t="shared" si="1678"/>
        <v>001105018356</v>
      </c>
      <c r="O4143" t="str">
        <f t="shared" si="1679"/>
        <v>MYR</v>
      </c>
      <c r="P4143" t="str">
        <f t="shared" si="1695"/>
        <v>NIL</v>
      </c>
      <c r="Q4143" t="str">
        <f t="shared" si="1695"/>
        <v>NIL</v>
      </c>
      <c r="R4143" t="str">
        <f t="shared" si="1680"/>
        <v>Accepted</v>
      </c>
      <c r="S4143" t="str">
        <f t="shared" si="1681"/>
        <v>Approved</v>
      </c>
      <c r="T4143" t="str">
        <f t="shared" si="1682"/>
        <v>10.20.8.188</v>
      </c>
      <c r="U4143" t="str">
        <f t="shared" si="1683"/>
        <v>AZRAD UMAR BIN SHAARI</v>
      </c>
      <c r="V4143" t="str">
        <f t="shared" si="1684"/>
        <v>FARHANA BINTI MUSTAPA</v>
      </c>
      <c r="W4143" t="str">
        <f t="shared" si="1685"/>
        <v>04-08-2020</v>
      </c>
      <c r="X4143" t="str">
        <f t="shared" si="1686"/>
        <v>RAZIMAH ANSAR AHMAD</v>
      </c>
      <c r="Y4143" t="str">
        <f t="shared" si="1687"/>
        <v>04-08-2020</v>
      </c>
      <c r="Z4143" t="str">
        <f>"COS10200804 5011"</f>
        <v>COS10200804 5011</v>
      </c>
    </row>
    <row r="4144" spans="1:26" x14ac:dyDescent="0.25">
      <c r="A4144" t="str">
        <f t="shared" si="1692"/>
        <v>04-08-2020 12:55:04</v>
      </c>
      <c r="B4144" t="str">
        <f>"0000806796"</f>
        <v>0000806796</v>
      </c>
      <c r="C4144" t="str">
        <f t="shared" si="1693"/>
        <v>0000806786</v>
      </c>
      <c r="D4144" t="str">
        <f t="shared" si="1675"/>
        <v>73185</v>
      </c>
      <c r="E4144" t="str">
        <f t="shared" si="1676"/>
        <v>KFH-OPERATIONS DEPARTMENT</v>
      </c>
      <c r="F4144" t="str">
        <f t="shared" si="1677"/>
        <v>IBG</v>
      </c>
      <c r="G4144" t="str">
        <f t="shared" si="1690"/>
        <v>Refund COSHARE 10</v>
      </c>
      <c r="H4144" s="2">
        <v>103.45</v>
      </c>
      <c r="I4144" t="str">
        <f>"KASUMAYANTI BINTI MOHAMAD KASSIM"</f>
        <v>KASUMAYANTI BINTI MOHAMAD KASSIM</v>
      </c>
      <c r="J4144" t="str">
        <f t="shared" si="1691"/>
        <v>MAYBANK / MAYBANK ISLAMIC</v>
      </c>
      <c r="K4144" t="str">
        <f>"164294251117"</f>
        <v>164294251117</v>
      </c>
      <c r="L4144" t="str">
        <f t="shared" si="1694"/>
        <v>04-08-2020</v>
      </c>
      <c r="M4144" t="str">
        <f t="shared" si="1694"/>
        <v>04-08-2020</v>
      </c>
      <c r="N4144" t="str">
        <f t="shared" si="1678"/>
        <v>001105018356</v>
      </c>
      <c r="O4144" t="str">
        <f t="shared" si="1679"/>
        <v>MYR</v>
      </c>
      <c r="P4144" t="str">
        <f t="shared" si="1695"/>
        <v>NIL</v>
      </c>
      <c r="Q4144" t="str">
        <f t="shared" si="1695"/>
        <v>NIL</v>
      </c>
      <c r="R4144" t="str">
        <f t="shared" si="1680"/>
        <v>Accepted</v>
      </c>
      <c r="S4144" t="str">
        <f t="shared" si="1681"/>
        <v>Approved</v>
      </c>
      <c r="T4144" t="str">
        <f t="shared" si="1682"/>
        <v>10.20.8.188</v>
      </c>
      <c r="U4144" t="str">
        <f t="shared" si="1683"/>
        <v>AZRAD UMAR BIN SHAARI</v>
      </c>
      <c r="V4144" t="str">
        <f t="shared" si="1684"/>
        <v>FARHANA BINTI MUSTAPA</v>
      </c>
      <c r="W4144" t="str">
        <f t="shared" si="1685"/>
        <v>04-08-2020</v>
      </c>
      <c r="X4144" t="str">
        <f t="shared" si="1686"/>
        <v>RAZIMAH ANSAR AHMAD</v>
      </c>
      <c r="Y4144" t="str">
        <f t="shared" si="1687"/>
        <v>04-08-2020</v>
      </c>
      <c r="Z4144" t="str">
        <f>"COS10200804 5010"</f>
        <v>COS10200804 5010</v>
      </c>
    </row>
    <row r="4145" spans="1:26" x14ac:dyDescent="0.25">
      <c r="A4145" t="str">
        <f t="shared" si="1692"/>
        <v>04-08-2020 12:55:04</v>
      </c>
      <c r="B4145" t="str">
        <f>"0000806795"</f>
        <v>0000806795</v>
      </c>
      <c r="C4145" t="str">
        <f t="shared" si="1693"/>
        <v>0000806786</v>
      </c>
      <c r="D4145" t="str">
        <f t="shared" si="1675"/>
        <v>73185</v>
      </c>
      <c r="E4145" t="str">
        <f t="shared" si="1676"/>
        <v>KFH-OPERATIONS DEPARTMENT</v>
      </c>
      <c r="F4145" t="str">
        <f t="shared" si="1677"/>
        <v>IBG</v>
      </c>
      <c r="G4145" t="str">
        <f t="shared" si="1690"/>
        <v>Refund COSHARE 10</v>
      </c>
      <c r="H4145" s="2">
        <v>125.95</v>
      </c>
      <c r="I4145" t="str">
        <f>"KASRIATIKA BINTI KASSIM"</f>
        <v>KASRIATIKA BINTI KASSIM</v>
      </c>
      <c r="J4145" t="str">
        <f t="shared" si="1691"/>
        <v>MAYBANK / MAYBANK ISLAMIC</v>
      </c>
      <c r="K4145" t="str">
        <f>"160027240779"</f>
        <v>160027240779</v>
      </c>
      <c r="L4145" t="str">
        <f t="shared" si="1694"/>
        <v>04-08-2020</v>
      </c>
      <c r="M4145" t="str">
        <f t="shared" si="1694"/>
        <v>04-08-2020</v>
      </c>
      <c r="N4145" t="str">
        <f t="shared" si="1678"/>
        <v>001105018356</v>
      </c>
      <c r="O4145" t="str">
        <f t="shared" si="1679"/>
        <v>MYR</v>
      </c>
      <c r="P4145" t="str">
        <f t="shared" si="1695"/>
        <v>NIL</v>
      </c>
      <c r="Q4145" t="str">
        <f t="shared" si="1695"/>
        <v>NIL</v>
      </c>
      <c r="R4145" t="str">
        <f t="shared" si="1680"/>
        <v>Accepted</v>
      </c>
      <c r="S4145" t="str">
        <f t="shared" si="1681"/>
        <v>Approved</v>
      </c>
      <c r="T4145" t="str">
        <f t="shared" si="1682"/>
        <v>10.20.8.188</v>
      </c>
      <c r="U4145" t="str">
        <f t="shared" si="1683"/>
        <v>AZRAD UMAR BIN SHAARI</v>
      </c>
      <c r="V4145" t="str">
        <f t="shared" si="1684"/>
        <v>FARHANA BINTI MUSTAPA</v>
      </c>
      <c r="W4145" t="str">
        <f t="shared" si="1685"/>
        <v>04-08-2020</v>
      </c>
      <c r="X4145" t="str">
        <f t="shared" si="1686"/>
        <v>RAZIMAH ANSAR AHMAD</v>
      </c>
      <c r="Y4145" t="str">
        <f t="shared" si="1687"/>
        <v>04-08-2020</v>
      </c>
      <c r="Z4145" t="str">
        <f>"COS10200804 5009"</f>
        <v>COS10200804 5009</v>
      </c>
    </row>
    <row r="4146" spans="1:26" x14ac:dyDescent="0.25">
      <c r="A4146" t="str">
        <f t="shared" ref="A4146:A4153" si="1696">"04-08-2020 12:55:04"</f>
        <v>04-08-2020 12:55:04</v>
      </c>
      <c r="B4146" t="str">
        <f>"0000806794"</f>
        <v>0000806794</v>
      </c>
      <c r="C4146" t="str">
        <f t="shared" ref="C4146:C4153" si="1697">"0000806786"</f>
        <v>0000806786</v>
      </c>
      <c r="D4146" t="str">
        <f t="shared" si="1675"/>
        <v>73185</v>
      </c>
      <c r="E4146" t="str">
        <f t="shared" si="1676"/>
        <v>KFH-OPERATIONS DEPARTMENT</v>
      </c>
      <c r="F4146" t="str">
        <f t="shared" si="1677"/>
        <v>IBG</v>
      </c>
      <c r="G4146" t="str">
        <f t="shared" si="1690"/>
        <v>Refund COSHARE 10</v>
      </c>
      <c r="H4146" s="2">
        <v>1024.2</v>
      </c>
      <c r="I4146" t="str">
        <f>"KASMAH BINTI KASSIM"</f>
        <v>KASMAH BINTI KASSIM</v>
      </c>
      <c r="J4146" t="str">
        <f t="shared" si="1691"/>
        <v>MAYBANK / MAYBANK ISLAMIC</v>
      </c>
      <c r="K4146" t="str">
        <f>"161109368487"</f>
        <v>161109368487</v>
      </c>
      <c r="L4146" t="str">
        <f t="shared" si="1694"/>
        <v>04-08-2020</v>
      </c>
      <c r="M4146" t="str">
        <f t="shared" si="1694"/>
        <v>04-08-2020</v>
      </c>
      <c r="N4146" t="str">
        <f t="shared" si="1678"/>
        <v>001105018356</v>
      </c>
      <c r="O4146" t="str">
        <f t="shared" si="1679"/>
        <v>MYR</v>
      </c>
      <c r="P4146" t="str">
        <f t="shared" si="1695"/>
        <v>NIL</v>
      </c>
      <c r="Q4146" t="str">
        <f t="shared" si="1695"/>
        <v>NIL</v>
      </c>
      <c r="R4146" t="str">
        <f t="shared" si="1680"/>
        <v>Accepted</v>
      </c>
      <c r="S4146" t="str">
        <f t="shared" si="1681"/>
        <v>Approved</v>
      </c>
      <c r="T4146" t="str">
        <f t="shared" si="1682"/>
        <v>10.20.8.188</v>
      </c>
      <c r="U4146" t="str">
        <f t="shared" si="1683"/>
        <v>AZRAD UMAR BIN SHAARI</v>
      </c>
      <c r="V4146" t="str">
        <f t="shared" si="1684"/>
        <v>FARHANA BINTI MUSTAPA</v>
      </c>
      <c r="W4146" t="str">
        <f t="shared" si="1685"/>
        <v>04-08-2020</v>
      </c>
      <c r="X4146" t="str">
        <f t="shared" si="1686"/>
        <v>RAZIMAH ANSAR AHMAD</v>
      </c>
      <c r="Y4146" t="str">
        <f t="shared" si="1687"/>
        <v>04-08-2020</v>
      </c>
      <c r="Z4146" t="str">
        <f>"COS10200804 5008"</f>
        <v>COS10200804 5008</v>
      </c>
    </row>
    <row r="4147" spans="1:26" x14ac:dyDescent="0.25">
      <c r="A4147" t="str">
        <f t="shared" si="1696"/>
        <v>04-08-2020 12:55:04</v>
      </c>
      <c r="B4147" t="str">
        <f>"0000806793"</f>
        <v>0000806793</v>
      </c>
      <c r="C4147" t="str">
        <f t="shared" si="1697"/>
        <v>0000806786</v>
      </c>
      <c r="D4147" t="str">
        <f t="shared" si="1675"/>
        <v>73185</v>
      </c>
      <c r="E4147" t="str">
        <f t="shared" si="1676"/>
        <v>KFH-OPERATIONS DEPARTMENT</v>
      </c>
      <c r="F4147" t="str">
        <f t="shared" si="1677"/>
        <v>IBG</v>
      </c>
      <c r="G4147" t="str">
        <f t="shared" si="1690"/>
        <v>Refund COSHARE 10</v>
      </c>
      <c r="H4147" s="2">
        <v>1423.9</v>
      </c>
      <c r="I4147" t="str">
        <f>"KASMAH BINTI IBRAHIM"</f>
        <v>KASMAH BINTI IBRAHIM</v>
      </c>
      <c r="J4147" t="str">
        <f t="shared" si="1691"/>
        <v>MAYBANK / MAYBANK ISLAMIC</v>
      </c>
      <c r="K4147" t="str">
        <f>"113032100181"</f>
        <v>113032100181</v>
      </c>
      <c r="L4147" t="str">
        <f t="shared" ref="L4147:M4166" si="1698">"04-08-2020"</f>
        <v>04-08-2020</v>
      </c>
      <c r="M4147" t="str">
        <f t="shared" si="1698"/>
        <v>04-08-2020</v>
      </c>
      <c r="N4147" t="str">
        <f t="shared" si="1678"/>
        <v>001105018356</v>
      </c>
      <c r="O4147" t="str">
        <f t="shared" si="1679"/>
        <v>MYR</v>
      </c>
      <c r="P4147" t="str">
        <f t="shared" ref="P4147:Q4166" si="1699">"NIL"</f>
        <v>NIL</v>
      </c>
      <c r="Q4147" t="str">
        <f t="shared" si="1699"/>
        <v>NIL</v>
      </c>
      <c r="R4147" t="str">
        <f t="shared" si="1680"/>
        <v>Accepted</v>
      </c>
      <c r="S4147" t="str">
        <f t="shared" si="1681"/>
        <v>Approved</v>
      </c>
      <c r="T4147" t="str">
        <f t="shared" si="1682"/>
        <v>10.20.8.188</v>
      </c>
      <c r="U4147" t="str">
        <f t="shared" si="1683"/>
        <v>AZRAD UMAR BIN SHAARI</v>
      </c>
      <c r="V4147" t="str">
        <f t="shared" si="1684"/>
        <v>FARHANA BINTI MUSTAPA</v>
      </c>
      <c r="W4147" t="str">
        <f t="shared" si="1685"/>
        <v>04-08-2020</v>
      </c>
      <c r="X4147" t="str">
        <f t="shared" si="1686"/>
        <v>RAZIMAH ANSAR AHMAD</v>
      </c>
      <c r="Y4147" t="str">
        <f t="shared" si="1687"/>
        <v>04-08-2020</v>
      </c>
      <c r="Z4147" t="str">
        <f>"COS10200804 5007"</f>
        <v>COS10200804 5007</v>
      </c>
    </row>
    <row r="4148" spans="1:26" x14ac:dyDescent="0.25">
      <c r="A4148" t="str">
        <f t="shared" si="1696"/>
        <v>04-08-2020 12:55:04</v>
      </c>
      <c r="B4148" t="str">
        <f>"0000806792"</f>
        <v>0000806792</v>
      </c>
      <c r="C4148" t="str">
        <f t="shared" si="1697"/>
        <v>0000806786</v>
      </c>
      <c r="D4148" t="str">
        <f t="shared" si="1675"/>
        <v>73185</v>
      </c>
      <c r="E4148" t="str">
        <f t="shared" si="1676"/>
        <v>KFH-OPERATIONS DEPARTMENT</v>
      </c>
      <c r="F4148" t="str">
        <f t="shared" si="1677"/>
        <v>IBG</v>
      </c>
      <c r="G4148" t="str">
        <f t="shared" si="1690"/>
        <v>Refund COSHARE 10</v>
      </c>
      <c r="H4148" s="2">
        <v>982.3</v>
      </c>
      <c r="I4148" t="str">
        <f>"KARTINI BINTI NOSERI  NAZRI"</f>
        <v>KARTINI BINTI NOSERI  NAZRI</v>
      </c>
      <c r="J4148" t="str">
        <f t="shared" si="1691"/>
        <v>MAYBANK / MAYBANK ISLAMIC</v>
      </c>
      <c r="K4148" t="str">
        <f>"162450219889"</f>
        <v>162450219889</v>
      </c>
      <c r="L4148" t="str">
        <f t="shared" si="1698"/>
        <v>04-08-2020</v>
      </c>
      <c r="M4148" t="str">
        <f t="shared" si="1698"/>
        <v>04-08-2020</v>
      </c>
      <c r="N4148" t="str">
        <f t="shared" si="1678"/>
        <v>001105018356</v>
      </c>
      <c r="O4148" t="str">
        <f t="shared" si="1679"/>
        <v>MYR</v>
      </c>
      <c r="P4148" t="str">
        <f t="shared" si="1699"/>
        <v>NIL</v>
      </c>
      <c r="Q4148" t="str">
        <f t="shared" si="1699"/>
        <v>NIL</v>
      </c>
      <c r="R4148" t="str">
        <f t="shared" si="1680"/>
        <v>Accepted</v>
      </c>
      <c r="S4148" t="str">
        <f t="shared" si="1681"/>
        <v>Approved</v>
      </c>
      <c r="T4148" t="str">
        <f t="shared" si="1682"/>
        <v>10.20.8.188</v>
      </c>
      <c r="U4148" t="str">
        <f t="shared" si="1683"/>
        <v>AZRAD UMAR BIN SHAARI</v>
      </c>
      <c r="V4148" t="str">
        <f t="shared" si="1684"/>
        <v>FARHANA BINTI MUSTAPA</v>
      </c>
      <c r="W4148" t="str">
        <f t="shared" si="1685"/>
        <v>04-08-2020</v>
      </c>
      <c r="X4148" t="str">
        <f t="shared" si="1686"/>
        <v>RAZIMAH ANSAR AHMAD</v>
      </c>
      <c r="Y4148" t="str">
        <f t="shared" si="1687"/>
        <v>04-08-2020</v>
      </c>
      <c r="Z4148" t="str">
        <f>"COS10200804 5006"</f>
        <v>COS10200804 5006</v>
      </c>
    </row>
    <row r="4149" spans="1:26" x14ac:dyDescent="0.25">
      <c r="A4149" t="str">
        <f t="shared" si="1696"/>
        <v>04-08-2020 12:55:04</v>
      </c>
      <c r="B4149" t="str">
        <f>"0000806791"</f>
        <v>0000806791</v>
      </c>
      <c r="C4149" t="str">
        <f t="shared" si="1697"/>
        <v>0000806786</v>
      </c>
      <c r="D4149" t="str">
        <f t="shared" si="1675"/>
        <v>73185</v>
      </c>
      <c r="E4149" t="str">
        <f t="shared" si="1676"/>
        <v>KFH-OPERATIONS DEPARTMENT</v>
      </c>
      <c r="F4149" t="str">
        <f t="shared" si="1677"/>
        <v>IBG</v>
      </c>
      <c r="G4149" t="str">
        <f t="shared" si="1690"/>
        <v>Refund COSHARE 10</v>
      </c>
      <c r="H4149" s="2">
        <v>1041</v>
      </c>
      <c r="I4149" t="str">
        <f>"KARTINI BINTI ABDUL RAHIM"</f>
        <v>KARTINI BINTI ABDUL RAHIM</v>
      </c>
      <c r="J4149" t="str">
        <f t="shared" si="1691"/>
        <v>MAYBANK / MAYBANK ISLAMIC</v>
      </c>
      <c r="K4149" t="str">
        <f>"164061675122"</f>
        <v>164061675122</v>
      </c>
      <c r="L4149" t="str">
        <f t="shared" si="1698"/>
        <v>04-08-2020</v>
      </c>
      <c r="M4149" t="str">
        <f t="shared" si="1698"/>
        <v>04-08-2020</v>
      </c>
      <c r="N4149" t="str">
        <f t="shared" si="1678"/>
        <v>001105018356</v>
      </c>
      <c r="O4149" t="str">
        <f t="shared" si="1679"/>
        <v>MYR</v>
      </c>
      <c r="P4149" t="str">
        <f t="shared" si="1699"/>
        <v>NIL</v>
      </c>
      <c r="Q4149" t="str">
        <f t="shared" si="1699"/>
        <v>NIL</v>
      </c>
      <c r="R4149" t="str">
        <f t="shared" si="1680"/>
        <v>Accepted</v>
      </c>
      <c r="S4149" t="str">
        <f t="shared" si="1681"/>
        <v>Approved</v>
      </c>
      <c r="T4149" t="str">
        <f t="shared" si="1682"/>
        <v>10.20.8.188</v>
      </c>
      <c r="U4149" t="str">
        <f t="shared" si="1683"/>
        <v>AZRAD UMAR BIN SHAARI</v>
      </c>
      <c r="V4149" t="str">
        <f t="shared" si="1684"/>
        <v>FARHANA BINTI MUSTAPA</v>
      </c>
      <c r="W4149" t="str">
        <f t="shared" si="1685"/>
        <v>04-08-2020</v>
      </c>
      <c r="X4149" t="str">
        <f t="shared" si="1686"/>
        <v>RAZIMAH ANSAR AHMAD</v>
      </c>
      <c r="Y4149" t="str">
        <f t="shared" si="1687"/>
        <v>04-08-2020</v>
      </c>
      <c r="Z4149" t="str">
        <f>"COS10200804 5005"</f>
        <v>COS10200804 5005</v>
      </c>
    </row>
    <row r="4150" spans="1:26" x14ac:dyDescent="0.25">
      <c r="A4150" t="str">
        <f t="shared" si="1696"/>
        <v>04-08-2020 12:55:04</v>
      </c>
      <c r="B4150" t="str">
        <f>"0000806790"</f>
        <v>0000806790</v>
      </c>
      <c r="C4150" t="str">
        <f t="shared" si="1697"/>
        <v>0000806786</v>
      </c>
      <c r="D4150" t="str">
        <f t="shared" si="1675"/>
        <v>73185</v>
      </c>
      <c r="E4150" t="str">
        <f t="shared" si="1676"/>
        <v>KFH-OPERATIONS DEPARTMENT</v>
      </c>
      <c r="F4150" t="str">
        <f t="shared" si="1677"/>
        <v>IBG</v>
      </c>
      <c r="G4150" t="str">
        <f t="shared" si="1690"/>
        <v>Refund COSHARE 10</v>
      </c>
      <c r="H4150" s="2">
        <v>1485.95</v>
      </c>
      <c r="I4150" t="str">
        <f>"KARTHIGESU AL MURUGAN"</f>
        <v>KARTHIGESU AL MURUGAN</v>
      </c>
      <c r="J4150" t="str">
        <f t="shared" si="1691"/>
        <v>MAYBANK / MAYBANK ISLAMIC</v>
      </c>
      <c r="K4150" t="str">
        <f>"108048157001"</f>
        <v>108048157001</v>
      </c>
      <c r="L4150" t="str">
        <f t="shared" si="1698"/>
        <v>04-08-2020</v>
      </c>
      <c r="M4150" t="str">
        <f t="shared" si="1698"/>
        <v>04-08-2020</v>
      </c>
      <c r="N4150" t="str">
        <f t="shared" si="1678"/>
        <v>001105018356</v>
      </c>
      <c r="O4150" t="str">
        <f t="shared" si="1679"/>
        <v>MYR</v>
      </c>
      <c r="P4150" t="str">
        <f t="shared" si="1699"/>
        <v>NIL</v>
      </c>
      <c r="Q4150" t="str">
        <f t="shared" si="1699"/>
        <v>NIL</v>
      </c>
      <c r="R4150" t="str">
        <f t="shared" si="1680"/>
        <v>Accepted</v>
      </c>
      <c r="S4150" t="str">
        <f t="shared" si="1681"/>
        <v>Approved</v>
      </c>
      <c r="T4150" t="str">
        <f t="shared" si="1682"/>
        <v>10.20.8.188</v>
      </c>
      <c r="U4150" t="str">
        <f t="shared" si="1683"/>
        <v>AZRAD UMAR BIN SHAARI</v>
      </c>
      <c r="V4150" t="str">
        <f t="shared" si="1684"/>
        <v>FARHANA BINTI MUSTAPA</v>
      </c>
      <c r="W4150" t="str">
        <f t="shared" si="1685"/>
        <v>04-08-2020</v>
      </c>
      <c r="X4150" t="str">
        <f t="shared" si="1686"/>
        <v>RAZIMAH ANSAR AHMAD</v>
      </c>
      <c r="Y4150" t="str">
        <f t="shared" si="1687"/>
        <v>04-08-2020</v>
      </c>
      <c r="Z4150" t="str">
        <f>"COS10200804 5004"</f>
        <v>COS10200804 5004</v>
      </c>
    </row>
    <row r="4151" spans="1:26" x14ac:dyDescent="0.25">
      <c r="A4151" t="str">
        <f t="shared" si="1696"/>
        <v>04-08-2020 12:55:04</v>
      </c>
      <c r="B4151" t="str">
        <f>"0000806789"</f>
        <v>0000806789</v>
      </c>
      <c r="C4151" t="str">
        <f t="shared" si="1697"/>
        <v>0000806786</v>
      </c>
      <c r="D4151" t="str">
        <f t="shared" si="1675"/>
        <v>73185</v>
      </c>
      <c r="E4151" t="str">
        <f t="shared" si="1676"/>
        <v>KFH-OPERATIONS DEPARTMENT</v>
      </c>
      <c r="F4151" t="str">
        <f t="shared" si="1677"/>
        <v>IBG</v>
      </c>
      <c r="G4151" t="str">
        <f t="shared" si="1690"/>
        <v>Refund COSHARE 10</v>
      </c>
      <c r="H4151" s="2">
        <v>103.45</v>
      </c>
      <c r="I4151" t="str">
        <f>"KARMAH BINTI ABDURAHMAN"</f>
        <v>KARMAH BINTI ABDURAHMAN</v>
      </c>
      <c r="J4151" t="str">
        <f t="shared" si="1691"/>
        <v>MAYBANK / MAYBANK ISLAMIC</v>
      </c>
      <c r="K4151" t="str">
        <f>"160166128355"</f>
        <v>160166128355</v>
      </c>
      <c r="L4151" t="str">
        <f t="shared" si="1698"/>
        <v>04-08-2020</v>
      </c>
      <c r="M4151" t="str">
        <f t="shared" si="1698"/>
        <v>04-08-2020</v>
      </c>
      <c r="N4151" t="str">
        <f t="shared" si="1678"/>
        <v>001105018356</v>
      </c>
      <c r="O4151" t="str">
        <f t="shared" si="1679"/>
        <v>MYR</v>
      </c>
      <c r="P4151" t="str">
        <f t="shared" si="1699"/>
        <v>NIL</v>
      </c>
      <c r="Q4151" t="str">
        <f t="shared" si="1699"/>
        <v>NIL</v>
      </c>
      <c r="R4151" t="str">
        <f t="shared" si="1680"/>
        <v>Accepted</v>
      </c>
      <c r="S4151" t="str">
        <f t="shared" si="1681"/>
        <v>Approved</v>
      </c>
      <c r="T4151" t="str">
        <f t="shared" si="1682"/>
        <v>10.20.8.188</v>
      </c>
      <c r="U4151" t="str">
        <f t="shared" si="1683"/>
        <v>AZRAD UMAR BIN SHAARI</v>
      </c>
      <c r="V4151" t="str">
        <f t="shared" si="1684"/>
        <v>FARHANA BINTI MUSTAPA</v>
      </c>
      <c r="W4151" t="str">
        <f t="shared" si="1685"/>
        <v>04-08-2020</v>
      </c>
      <c r="X4151" t="str">
        <f t="shared" si="1686"/>
        <v>RAZIMAH ANSAR AHMAD</v>
      </c>
      <c r="Y4151" t="str">
        <f t="shared" si="1687"/>
        <v>04-08-2020</v>
      </c>
      <c r="Z4151" t="str">
        <f>"COS10200804 5003"</f>
        <v>COS10200804 5003</v>
      </c>
    </row>
    <row r="4152" spans="1:26" x14ac:dyDescent="0.25">
      <c r="A4152" t="str">
        <f t="shared" si="1696"/>
        <v>04-08-2020 12:55:04</v>
      </c>
      <c r="B4152" t="str">
        <f>"0000806788"</f>
        <v>0000806788</v>
      </c>
      <c r="C4152" t="str">
        <f t="shared" si="1697"/>
        <v>0000806786</v>
      </c>
      <c r="D4152" t="str">
        <f t="shared" si="1675"/>
        <v>73185</v>
      </c>
      <c r="E4152" t="str">
        <f t="shared" si="1676"/>
        <v>KFH-OPERATIONS DEPARTMENT</v>
      </c>
      <c r="F4152" t="str">
        <f t="shared" si="1677"/>
        <v>IBG</v>
      </c>
      <c r="G4152" t="str">
        <f t="shared" si="1690"/>
        <v>Refund COSHARE 10</v>
      </c>
      <c r="H4152" s="2">
        <v>587.65</v>
      </c>
      <c r="I4152" t="str">
        <f>"KANTHA DEVI AP SUBRAMANIAM"</f>
        <v>KANTHA DEVI AP SUBRAMANIAM</v>
      </c>
      <c r="J4152" t="str">
        <f t="shared" si="1691"/>
        <v>MAYBANK / MAYBANK ISLAMIC</v>
      </c>
      <c r="K4152" t="str">
        <f>"102055163176"</f>
        <v>102055163176</v>
      </c>
      <c r="L4152" t="str">
        <f t="shared" si="1698"/>
        <v>04-08-2020</v>
      </c>
      <c r="M4152" t="str">
        <f t="shared" si="1698"/>
        <v>04-08-2020</v>
      </c>
      <c r="N4152" t="str">
        <f t="shared" si="1678"/>
        <v>001105018356</v>
      </c>
      <c r="O4152" t="str">
        <f t="shared" si="1679"/>
        <v>MYR</v>
      </c>
      <c r="P4152" t="str">
        <f t="shared" si="1699"/>
        <v>NIL</v>
      </c>
      <c r="Q4152" t="str">
        <f t="shared" si="1699"/>
        <v>NIL</v>
      </c>
      <c r="R4152" t="str">
        <f t="shared" si="1680"/>
        <v>Accepted</v>
      </c>
      <c r="S4152" t="str">
        <f t="shared" si="1681"/>
        <v>Approved</v>
      </c>
      <c r="T4152" t="str">
        <f t="shared" si="1682"/>
        <v>10.20.8.188</v>
      </c>
      <c r="U4152" t="str">
        <f t="shared" si="1683"/>
        <v>AZRAD UMAR BIN SHAARI</v>
      </c>
      <c r="V4152" t="str">
        <f t="shared" si="1684"/>
        <v>FARHANA BINTI MUSTAPA</v>
      </c>
      <c r="W4152" t="str">
        <f t="shared" si="1685"/>
        <v>04-08-2020</v>
      </c>
      <c r="X4152" t="str">
        <f t="shared" si="1686"/>
        <v>RAZIMAH ANSAR AHMAD</v>
      </c>
      <c r="Y4152" t="str">
        <f t="shared" si="1687"/>
        <v>04-08-2020</v>
      </c>
      <c r="Z4152" t="str">
        <f>"COS10200804 5002"</f>
        <v>COS10200804 5002</v>
      </c>
    </row>
    <row r="4153" spans="1:26" x14ac:dyDescent="0.25">
      <c r="A4153" t="str">
        <f t="shared" si="1696"/>
        <v>04-08-2020 12:55:04</v>
      </c>
      <c r="B4153" t="str">
        <f>"0000806787"</f>
        <v>0000806787</v>
      </c>
      <c r="C4153" t="str">
        <f t="shared" si="1697"/>
        <v>0000806786</v>
      </c>
      <c r="D4153" t="str">
        <f t="shared" si="1675"/>
        <v>73185</v>
      </c>
      <c r="E4153" t="str">
        <f t="shared" si="1676"/>
        <v>KFH-OPERATIONS DEPARTMENT</v>
      </c>
      <c r="F4153" t="str">
        <f t="shared" si="1677"/>
        <v>IBG</v>
      </c>
      <c r="G4153" t="str">
        <f t="shared" si="1690"/>
        <v>Refund COSHARE 10</v>
      </c>
      <c r="H4153" s="2">
        <v>1214</v>
      </c>
      <c r="I4153" t="str">
        <f>"KANNIGA AP NAGESWARAN"</f>
        <v>KANNIGA AP NAGESWARAN</v>
      </c>
      <c r="J4153" t="str">
        <f t="shared" si="1691"/>
        <v>MAYBANK / MAYBANK ISLAMIC</v>
      </c>
      <c r="K4153" t="str">
        <f>"151043826634"</f>
        <v>151043826634</v>
      </c>
      <c r="L4153" t="str">
        <f t="shared" si="1698"/>
        <v>04-08-2020</v>
      </c>
      <c r="M4153" t="str">
        <f t="shared" si="1698"/>
        <v>04-08-2020</v>
      </c>
      <c r="N4153" t="str">
        <f t="shared" si="1678"/>
        <v>001105018356</v>
      </c>
      <c r="O4153" t="str">
        <f t="shared" si="1679"/>
        <v>MYR</v>
      </c>
      <c r="P4153" t="str">
        <f t="shared" si="1699"/>
        <v>NIL</v>
      </c>
      <c r="Q4153" t="str">
        <f t="shared" si="1699"/>
        <v>NIL</v>
      </c>
      <c r="R4153" t="str">
        <f t="shared" si="1680"/>
        <v>Accepted</v>
      </c>
      <c r="S4153" t="str">
        <f t="shared" si="1681"/>
        <v>Approved</v>
      </c>
      <c r="T4153" t="str">
        <f t="shared" si="1682"/>
        <v>10.20.8.188</v>
      </c>
      <c r="U4153" t="str">
        <f t="shared" si="1683"/>
        <v>AZRAD UMAR BIN SHAARI</v>
      </c>
      <c r="V4153" t="str">
        <f t="shared" si="1684"/>
        <v>FARHANA BINTI MUSTAPA</v>
      </c>
      <c r="W4153" t="str">
        <f t="shared" si="1685"/>
        <v>04-08-2020</v>
      </c>
      <c r="X4153" t="str">
        <f t="shared" si="1686"/>
        <v>RAZIMAH ANSAR AHMAD</v>
      </c>
      <c r="Y4153" t="str">
        <f t="shared" si="1687"/>
        <v>04-08-2020</v>
      </c>
      <c r="Z4153" t="str">
        <f>"COS10200804 5001"</f>
        <v>COS10200804 5001</v>
      </c>
    </row>
    <row r="4154" spans="1:26" x14ac:dyDescent="0.25">
      <c r="A4154" t="str">
        <f t="shared" ref="A4154:A4185" si="1700">"04-08-2020 12:53:46"</f>
        <v>04-08-2020 12:53:46</v>
      </c>
      <c r="B4154" t="str">
        <f>"0000806785"</f>
        <v>0000806785</v>
      </c>
      <c r="C4154" t="str">
        <f t="shared" ref="C4154:C4185" si="1701">"0000806585"</f>
        <v>0000806585</v>
      </c>
      <c r="D4154" t="str">
        <f t="shared" si="1675"/>
        <v>73185</v>
      </c>
      <c r="E4154" t="str">
        <f t="shared" si="1676"/>
        <v>KFH-OPERATIONS DEPARTMENT</v>
      </c>
      <c r="F4154" t="str">
        <f t="shared" si="1677"/>
        <v>IBG</v>
      </c>
      <c r="G4154" t="str">
        <f t="shared" si="1690"/>
        <v>Refund COSHARE 10</v>
      </c>
      <c r="H4154" s="2">
        <v>67.2</v>
      </c>
      <c r="I4154" t="str">
        <f>"KANNAN AL KRISHNAN"</f>
        <v>KANNAN AL KRISHNAN</v>
      </c>
      <c r="J4154" t="str">
        <f t="shared" si="1691"/>
        <v>MAYBANK / MAYBANK ISLAMIC</v>
      </c>
      <c r="K4154" t="str">
        <f>"106062044166"</f>
        <v>106062044166</v>
      </c>
      <c r="L4154" t="str">
        <f t="shared" si="1698"/>
        <v>04-08-2020</v>
      </c>
      <c r="M4154" t="str">
        <f t="shared" si="1698"/>
        <v>04-08-2020</v>
      </c>
      <c r="N4154" t="str">
        <f t="shared" si="1678"/>
        <v>001105018356</v>
      </c>
      <c r="O4154" t="str">
        <f t="shared" si="1679"/>
        <v>MYR</v>
      </c>
      <c r="P4154" t="str">
        <f t="shared" si="1699"/>
        <v>NIL</v>
      </c>
      <c r="Q4154" t="str">
        <f t="shared" si="1699"/>
        <v>NIL</v>
      </c>
      <c r="R4154" t="str">
        <f t="shared" si="1680"/>
        <v>Accepted</v>
      </c>
      <c r="S4154" t="str">
        <f t="shared" si="1681"/>
        <v>Approved</v>
      </c>
      <c r="T4154" t="str">
        <f t="shared" si="1682"/>
        <v>10.20.8.188</v>
      </c>
      <c r="U4154" t="str">
        <f t="shared" si="1683"/>
        <v>AZRAD UMAR BIN SHAARI</v>
      </c>
      <c r="V4154" t="str">
        <f t="shared" si="1684"/>
        <v>FARHANA BINTI MUSTAPA</v>
      </c>
      <c r="W4154" t="str">
        <f t="shared" si="1685"/>
        <v>04-08-2020</v>
      </c>
      <c r="X4154" t="str">
        <f t="shared" si="1686"/>
        <v>RAZIMAH ANSAR AHMAD</v>
      </c>
      <c r="Y4154" t="str">
        <f t="shared" si="1687"/>
        <v>04-08-2020</v>
      </c>
      <c r="Z4154" t="str">
        <f>"COS10200804 5000"</f>
        <v>COS10200804 5000</v>
      </c>
    </row>
    <row r="4155" spans="1:26" x14ac:dyDescent="0.25">
      <c r="A4155" t="str">
        <f t="shared" si="1700"/>
        <v>04-08-2020 12:53:46</v>
      </c>
      <c r="B4155" t="str">
        <f>"0000806784"</f>
        <v>0000806784</v>
      </c>
      <c r="C4155" t="str">
        <f t="shared" si="1701"/>
        <v>0000806585</v>
      </c>
      <c r="D4155" t="str">
        <f t="shared" si="1675"/>
        <v>73185</v>
      </c>
      <c r="E4155" t="str">
        <f t="shared" si="1676"/>
        <v>KFH-OPERATIONS DEPARTMENT</v>
      </c>
      <c r="F4155" t="str">
        <f t="shared" si="1677"/>
        <v>IBG</v>
      </c>
      <c r="G4155" t="str">
        <f t="shared" si="1690"/>
        <v>Refund COSHARE 10</v>
      </c>
      <c r="H4155" s="2">
        <v>75.599999999999994</v>
      </c>
      <c r="I4155" t="str">
        <f>"KANISAH BINTI YUNUS"</f>
        <v>KANISAH BINTI YUNUS</v>
      </c>
      <c r="J4155" t="str">
        <f t="shared" si="1691"/>
        <v>MAYBANK / MAYBANK ISLAMIC</v>
      </c>
      <c r="K4155" t="str">
        <f>"110096054761"</f>
        <v>110096054761</v>
      </c>
      <c r="L4155" t="str">
        <f t="shared" si="1698"/>
        <v>04-08-2020</v>
      </c>
      <c r="M4155" t="str">
        <f t="shared" si="1698"/>
        <v>04-08-2020</v>
      </c>
      <c r="N4155" t="str">
        <f t="shared" si="1678"/>
        <v>001105018356</v>
      </c>
      <c r="O4155" t="str">
        <f t="shared" si="1679"/>
        <v>MYR</v>
      </c>
      <c r="P4155" t="str">
        <f t="shared" si="1699"/>
        <v>NIL</v>
      </c>
      <c r="Q4155" t="str">
        <f t="shared" si="1699"/>
        <v>NIL</v>
      </c>
      <c r="R4155" t="str">
        <f t="shared" si="1680"/>
        <v>Accepted</v>
      </c>
      <c r="S4155" t="str">
        <f t="shared" si="1681"/>
        <v>Approved</v>
      </c>
      <c r="T4155" t="str">
        <f t="shared" si="1682"/>
        <v>10.20.8.188</v>
      </c>
      <c r="U4155" t="str">
        <f t="shared" si="1683"/>
        <v>AZRAD UMAR BIN SHAARI</v>
      </c>
      <c r="V4155" t="str">
        <f t="shared" si="1684"/>
        <v>FARHANA BINTI MUSTAPA</v>
      </c>
      <c r="W4155" t="str">
        <f t="shared" si="1685"/>
        <v>04-08-2020</v>
      </c>
      <c r="X4155" t="str">
        <f t="shared" si="1686"/>
        <v>RAZIMAH ANSAR AHMAD</v>
      </c>
      <c r="Y4155" t="str">
        <f t="shared" si="1687"/>
        <v>04-08-2020</v>
      </c>
      <c r="Z4155" t="str">
        <f>"COS10200804 4999"</f>
        <v>COS10200804 4999</v>
      </c>
    </row>
    <row r="4156" spans="1:26" x14ac:dyDescent="0.25">
      <c r="A4156" t="str">
        <f t="shared" si="1700"/>
        <v>04-08-2020 12:53:46</v>
      </c>
      <c r="B4156" t="str">
        <f>"0000806783"</f>
        <v>0000806783</v>
      </c>
      <c r="C4156" t="str">
        <f t="shared" si="1701"/>
        <v>0000806585</v>
      </c>
      <c r="D4156" t="str">
        <f t="shared" si="1675"/>
        <v>73185</v>
      </c>
      <c r="E4156" t="str">
        <f t="shared" si="1676"/>
        <v>KFH-OPERATIONS DEPARTMENT</v>
      </c>
      <c r="F4156" t="str">
        <f t="shared" si="1677"/>
        <v>IBG</v>
      </c>
      <c r="G4156" t="str">
        <f t="shared" si="1690"/>
        <v>Refund COSHARE 10</v>
      </c>
      <c r="H4156" s="2">
        <v>319</v>
      </c>
      <c r="I4156" t="str">
        <f>"KANIMOHLI AP KANNASAMY"</f>
        <v>KANIMOHLI AP KANNASAMY</v>
      </c>
      <c r="J4156" t="str">
        <f t="shared" si="1691"/>
        <v>MAYBANK / MAYBANK ISLAMIC</v>
      </c>
      <c r="K4156" t="str">
        <f>"162414042909"</f>
        <v>162414042909</v>
      </c>
      <c r="L4156" t="str">
        <f t="shared" si="1698"/>
        <v>04-08-2020</v>
      </c>
      <c r="M4156" t="str">
        <f t="shared" si="1698"/>
        <v>04-08-2020</v>
      </c>
      <c r="N4156" t="str">
        <f t="shared" si="1678"/>
        <v>001105018356</v>
      </c>
      <c r="O4156" t="str">
        <f t="shared" si="1679"/>
        <v>MYR</v>
      </c>
      <c r="P4156" t="str">
        <f t="shared" si="1699"/>
        <v>NIL</v>
      </c>
      <c r="Q4156" t="str">
        <f t="shared" si="1699"/>
        <v>NIL</v>
      </c>
      <c r="R4156" t="str">
        <f t="shared" si="1680"/>
        <v>Accepted</v>
      </c>
      <c r="S4156" t="str">
        <f t="shared" si="1681"/>
        <v>Approved</v>
      </c>
      <c r="T4156" t="str">
        <f t="shared" si="1682"/>
        <v>10.20.8.188</v>
      </c>
      <c r="U4156" t="str">
        <f t="shared" si="1683"/>
        <v>AZRAD UMAR BIN SHAARI</v>
      </c>
      <c r="V4156" t="str">
        <f t="shared" si="1684"/>
        <v>FARHANA BINTI MUSTAPA</v>
      </c>
      <c r="W4156" t="str">
        <f t="shared" si="1685"/>
        <v>04-08-2020</v>
      </c>
      <c r="X4156" t="str">
        <f t="shared" si="1686"/>
        <v>RAZIMAH ANSAR AHMAD</v>
      </c>
      <c r="Y4156" t="str">
        <f t="shared" si="1687"/>
        <v>04-08-2020</v>
      </c>
      <c r="Z4156" t="str">
        <f>"COS10200804 4998"</f>
        <v>COS10200804 4998</v>
      </c>
    </row>
    <row r="4157" spans="1:26" x14ac:dyDescent="0.25">
      <c r="A4157" t="str">
        <f t="shared" si="1700"/>
        <v>04-08-2020 12:53:46</v>
      </c>
      <c r="B4157" t="str">
        <f>"0000806782"</f>
        <v>0000806782</v>
      </c>
      <c r="C4157" t="str">
        <f t="shared" si="1701"/>
        <v>0000806585</v>
      </c>
      <c r="D4157" t="str">
        <f t="shared" si="1675"/>
        <v>73185</v>
      </c>
      <c r="E4157" t="str">
        <f t="shared" si="1676"/>
        <v>KFH-OPERATIONS DEPARTMENT</v>
      </c>
      <c r="F4157" t="str">
        <f t="shared" si="1677"/>
        <v>IBG</v>
      </c>
      <c r="G4157" t="str">
        <f t="shared" si="1690"/>
        <v>Refund COSHARE 10</v>
      </c>
      <c r="H4157" s="2">
        <v>98.25</v>
      </c>
      <c r="I4157" t="str">
        <f>"KANAGAVALI AP MURUGASU"</f>
        <v>KANAGAVALI AP MURUGASU</v>
      </c>
      <c r="J4157" t="str">
        <f t="shared" si="1691"/>
        <v>MAYBANK / MAYBANK ISLAMIC</v>
      </c>
      <c r="K4157" t="str">
        <f>"106026002539"</f>
        <v>106026002539</v>
      </c>
      <c r="L4157" t="str">
        <f t="shared" si="1698"/>
        <v>04-08-2020</v>
      </c>
      <c r="M4157" t="str">
        <f t="shared" si="1698"/>
        <v>04-08-2020</v>
      </c>
      <c r="N4157" t="str">
        <f t="shared" si="1678"/>
        <v>001105018356</v>
      </c>
      <c r="O4157" t="str">
        <f t="shared" si="1679"/>
        <v>MYR</v>
      </c>
      <c r="P4157" t="str">
        <f t="shared" si="1699"/>
        <v>NIL</v>
      </c>
      <c r="Q4157" t="str">
        <f t="shared" si="1699"/>
        <v>NIL</v>
      </c>
      <c r="R4157" t="str">
        <f t="shared" si="1680"/>
        <v>Accepted</v>
      </c>
      <c r="S4157" t="str">
        <f t="shared" si="1681"/>
        <v>Approved</v>
      </c>
      <c r="T4157" t="str">
        <f t="shared" si="1682"/>
        <v>10.20.8.188</v>
      </c>
      <c r="U4157" t="str">
        <f t="shared" si="1683"/>
        <v>AZRAD UMAR BIN SHAARI</v>
      </c>
      <c r="V4157" t="str">
        <f t="shared" si="1684"/>
        <v>FARHANA BINTI MUSTAPA</v>
      </c>
      <c r="W4157" t="str">
        <f t="shared" si="1685"/>
        <v>04-08-2020</v>
      </c>
      <c r="X4157" t="str">
        <f t="shared" si="1686"/>
        <v>RAZIMAH ANSAR AHMAD</v>
      </c>
      <c r="Y4157" t="str">
        <f t="shared" si="1687"/>
        <v>04-08-2020</v>
      </c>
      <c r="Z4157" t="str">
        <f>"COS10200804 4997"</f>
        <v>COS10200804 4997</v>
      </c>
    </row>
    <row r="4158" spans="1:26" x14ac:dyDescent="0.25">
      <c r="A4158" t="str">
        <f t="shared" si="1700"/>
        <v>04-08-2020 12:53:46</v>
      </c>
      <c r="B4158" t="str">
        <f>"0000806781"</f>
        <v>0000806781</v>
      </c>
      <c r="C4158" t="str">
        <f t="shared" si="1701"/>
        <v>0000806585</v>
      </c>
      <c r="D4158" t="str">
        <f t="shared" si="1675"/>
        <v>73185</v>
      </c>
      <c r="E4158" t="str">
        <f t="shared" si="1676"/>
        <v>KFH-OPERATIONS DEPARTMENT</v>
      </c>
      <c r="F4158" t="str">
        <f t="shared" si="1677"/>
        <v>IBG</v>
      </c>
      <c r="G4158" t="str">
        <f t="shared" si="1690"/>
        <v>Refund COSHARE 10</v>
      </c>
      <c r="H4158" s="2">
        <v>255.4</v>
      </c>
      <c r="I4158" t="str">
        <f>"KANAGA RAJA AL ARUMAINATHAN"</f>
        <v>KANAGA RAJA AL ARUMAINATHAN</v>
      </c>
      <c r="J4158" t="str">
        <f t="shared" si="1691"/>
        <v>MAYBANK / MAYBANK ISLAMIC</v>
      </c>
      <c r="K4158" t="str">
        <f>"162339092591"</f>
        <v>162339092591</v>
      </c>
      <c r="L4158" t="str">
        <f t="shared" si="1698"/>
        <v>04-08-2020</v>
      </c>
      <c r="M4158" t="str">
        <f t="shared" si="1698"/>
        <v>04-08-2020</v>
      </c>
      <c r="N4158" t="str">
        <f t="shared" si="1678"/>
        <v>001105018356</v>
      </c>
      <c r="O4158" t="str">
        <f t="shared" si="1679"/>
        <v>MYR</v>
      </c>
      <c r="P4158" t="str">
        <f t="shared" si="1699"/>
        <v>NIL</v>
      </c>
      <c r="Q4158" t="str">
        <f t="shared" si="1699"/>
        <v>NIL</v>
      </c>
      <c r="R4158" t="str">
        <f t="shared" si="1680"/>
        <v>Accepted</v>
      </c>
      <c r="S4158" t="str">
        <f t="shared" si="1681"/>
        <v>Approved</v>
      </c>
      <c r="T4158" t="str">
        <f t="shared" si="1682"/>
        <v>10.20.8.188</v>
      </c>
      <c r="U4158" t="str">
        <f t="shared" si="1683"/>
        <v>AZRAD UMAR BIN SHAARI</v>
      </c>
      <c r="V4158" t="str">
        <f t="shared" si="1684"/>
        <v>FARHANA BINTI MUSTAPA</v>
      </c>
      <c r="W4158" t="str">
        <f t="shared" si="1685"/>
        <v>04-08-2020</v>
      </c>
      <c r="X4158" t="str">
        <f t="shared" si="1686"/>
        <v>RAZIMAH ANSAR AHMAD</v>
      </c>
      <c r="Y4158" t="str">
        <f t="shared" si="1687"/>
        <v>04-08-2020</v>
      </c>
      <c r="Z4158" t="str">
        <f>"COS10200804 4996"</f>
        <v>COS10200804 4996</v>
      </c>
    </row>
    <row r="4159" spans="1:26" x14ac:dyDescent="0.25">
      <c r="A4159" t="str">
        <f t="shared" si="1700"/>
        <v>04-08-2020 12:53:46</v>
      </c>
      <c r="B4159" t="str">
        <f>"0000806780"</f>
        <v>0000806780</v>
      </c>
      <c r="C4159" t="str">
        <f t="shared" si="1701"/>
        <v>0000806585</v>
      </c>
      <c r="D4159" t="str">
        <f t="shared" si="1675"/>
        <v>73185</v>
      </c>
      <c r="E4159" t="str">
        <f t="shared" si="1676"/>
        <v>KFH-OPERATIONS DEPARTMENT</v>
      </c>
      <c r="F4159" t="str">
        <f t="shared" si="1677"/>
        <v>IBG</v>
      </c>
      <c r="G4159" t="str">
        <f t="shared" si="1690"/>
        <v>Refund COSHARE 10</v>
      </c>
      <c r="H4159" s="2">
        <v>1400.85</v>
      </c>
      <c r="I4159" t="str">
        <f>"KAMSIAH BINTI NEKMAT"</f>
        <v>KAMSIAH BINTI NEKMAT</v>
      </c>
      <c r="J4159" t="str">
        <f t="shared" si="1691"/>
        <v>MAYBANK / MAYBANK ISLAMIC</v>
      </c>
      <c r="K4159" t="str">
        <f>"155069001084"</f>
        <v>155069001084</v>
      </c>
      <c r="L4159" t="str">
        <f t="shared" si="1698"/>
        <v>04-08-2020</v>
      </c>
      <c r="M4159" t="str">
        <f t="shared" si="1698"/>
        <v>04-08-2020</v>
      </c>
      <c r="N4159" t="str">
        <f t="shared" si="1678"/>
        <v>001105018356</v>
      </c>
      <c r="O4159" t="str">
        <f t="shared" si="1679"/>
        <v>MYR</v>
      </c>
      <c r="P4159" t="str">
        <f t="shared" si="1699"/>
        <v>NIL</v>
      </c>
      <c r="Q4159" t="str">
        <f t="shared" si="1699"/>
        <v>NIL</v>
      </c>
      <c r="R4159" t="str">
        <f t="shared" si="1680"/>
        <v>Accepted</v>
      </c>
      <c r="S4159" t="str">
        <f t="shared" si="1681"/>
        <v>Approved</v>
      </c>
      <c r="T4159" t="str">
        <f t="shared" si="1682"/>
        <v>10.20.8.188</v>
      </c>
      <c r="U4159" t="str">
        <f t="shared" si="1683"/>
        <v>AZRAD UMAR BIN SHAARI</v>
      </c>
      <c r="V4159" t="str">
        <f t="shared" si="1684"/>
        <v>FARHANA BINTI MUSTAPA</v>
      </c>
      <c r="W4159" t="str">
        <f t="shared" si="1685"/>
        <v>04-08-2020</v>
      </c>
      <c r="X4159" t="str">
        <f t="shared" si="1686"/>
        <v>RAZIMAH ANSAR AHMAD</v>
      </c>
      <c r="Y4159" t="str">
        <f t="shared" si="1687"/>
        <v>04-08-2020</v>
      </c>
      <c r="Z4159" t="str">
        <f>"COS10200804 4995"</f>
        <v>COS10200804 4995</v>
      </c>
    </row>
    <row r="4160" spans="1:26" x14ac:dyDescent="0.25">
      <c r="A4160" t="str">
        <f t="shared" si="1700"/>
        <v>04-08-2020 12:53:46</v>
      </c>
      <c r="B4160" t="str">
        <f>"0000806779"</f>
        <v>0000806779</v>
      </c>
      <c r="C4160" t="str">
        <f t="shared" si="1701"/>
        <v>0000806585</v>
      </c>
      <c r="D4160" t="str">
        <f t="shared" si="1675"/>
        <v>73185</v>
      </c>
      <c r="E4160" t="str">
        <f t="shared" si="1676"/>
        <v>KFH-OPERATIONS DEPARTMENT</v>
      </c>
      <c r="F4160" t="str">
        <f t="shared" si="1677"/>
        <v>IBG</v>
      </c>
      <c r="G4160" t="str">
        <f t="shared" si="1690"/>
        <v>Refund COSHARE 10</v>
      </c>
      <c r="H4160" s="2">
        <v>167.9</v>
      </c>
      <c r="I4160" t="str">
        <f>"KAMSIAH BINTI KASSIM"</f>
        <v>KAMSIAH BINTI KASSIM</v>
      </c>
      <c r="J4160" t="str">
        <f t="shared" si="1691"/>
        <v>MAYBANK / MAYBANK ISLAMIC</v>
      </c>
      <c r="K4160" t="str">
        <f>"101067768679"</f>
        <v>101067768679</v>
      </c>
      <c r="L4160" t="str">
        <f t="shared" si="1698"/>
        <v>04-08-2020</v>
      </c>
      <c r="M4160" t="str">
        <f t="shared" si="1698"/>
        <v>04-08-2020</v>
      </c>
      <c r="N4160" t="str">
        <f t="shared" si="1678"/>
        <v>001105018356</v>
      </c>
      <c r="O4160" t="str">
        <f t="shared" si="1679"/>
        <v>MYR</v>
      </c>
      <c r="P4160" t="str">
        <f t="shared" si="1699"/>
        <v>NIL</v>
      </c>
      <c r="Q4160" t="str">
        <f t="shared" si="1699"/>
        <v>NIL</v>
      </c>
      <c r="R4160" t="str">
        <f t="shared" si="1680"/>
        <v>Accepted</v>
      </c>
      <c r="S4160" t="str">
        <f t="shared" si="1681"/>
        <v>Approved</v>
      </c>
      <c r="T4160" t="str">
        <f t="shared" si="1682"/>
        <v>10.20.8.188</v>
      </c>
      <c r="U4160" t="str">
        <f t="shared" si="1683"/>
        <v>AZRAD UMAR BIN SHAARI</v>
      </c>
      <c r="V4160" t="str">
        <f t="shared" si="1684"/>
        <v>FARHANA BINTI MUSTAPA</v>
      </c>
      <c r="W4160" t="str">
        <f t="shared" si="1685"/>
        <v>04-08-2020</v>
      </c>
      <c r="X4160" t="str">
        <f t="shared" si="1686"/>
        <v>RAZIMAH ANSAR AHMAD</v>
      </c>
      <c r="Y4160" t="str">
        <f t="shared" si="1687"/>
        <v>04-08-2020</v>
      </c>
      <c r="Z4160" t="str">
        <f>"COS10200804 4994"</f>
        <v>COS10200804 4994</v>
      </c>
    </row>
    <row r="4161" spans="1:26" x14ac:dyDescent="0.25">
      <c r="A4161" t="str">
        <f t="shared" si="1700"/>
        <v>04-08-2020 12:53:46</v>
      </c>
      <c r="B4161" t="str">
        <f>"0000806778"</f>
        <v>0000806778</v>
      </c>
      <c r="C4161" t="str">
        <f t="shared" si="1701"/>
        <v>0000806585</v>
      </c>
      <c r="D4161" t="str">
        <f t="shared" si="1675"/>
        <v>73185</v>
      </c>
      <c r="E4161" t="str">
        <f t="shared" si="1676"/>
        <v>KFH-OPERATIONS DEPARTMENT</v>
      </c>
      <c r="F4161" t="str">
        <f t="shared" si="1677"/>
        <v>IBG</v>
      </c>
      <c r="G4161" t="str">
        <f t="shared" si="1690"/>
        <v>Refund COSHARE 10</v>
      </c>
      <c r="H4161" s="2">
        <v>504</v>
      </c>
      <c r="I4161" t="str">
        <f>"KAMIZAN BIN MAT"</f>
        <v>KAMIZAN BIN MAT</v>
      </c>
      <c r="J4161" t="str">
        <f t="shared" si="1691"/>
        <v>MAYBANK / MAYBANK ISLAMIC</v>
      </c>
      <c r="K4161" t="str">
        <f>"111039068151"</f>
        <v>111039068151</v>
      </c>
      <c r="L4161" t="str">
        <f t="shared" si="1698"/>
        <v>04-08-2020</v>
      </c>
      <c r="M4161" t="str">
        <f t="shared" si="1698"/>
        <v>04-08-2020</v>
      </c>
      <c r="N4161" t="str">
        <f t="shared" si="1678"/>
        <v>001105018356</v>
      </c>
      <c r="O4161" t="str">
        <f t="shared" si="1679"/>
        <v>MYR</v>
      </c>
      <c r="P4161" t="str">
        <f t="shared" si="1699"/>
        <v>NIL</v>
      </c>
      <c r="Q4161" t="str">
        <f t="shared" si="1699"/>
        <v>NIL</v>
      </c>
      <c r="R4161" t="str">
        <f t="shared" si="1680"/>
        <v>Accepted</v>
      </c>
      <c r="S4161" t="str">
        <f t="shared" si="1681"/>
        <v>Approved</v>
      </c>
      <c r="T4161" t="str">
        <f t="shared" si="1682"/>
        <v>10.20.8.188</v>
      </c>
      <c r="U4161" t="str">
        <f t="shared" si="1683"/>
        <v>AZRAD UMAR BIN SHAARI</v>
      </c>
      <c r="V4161" t="str">
        <f t="shared" si="1684"/>
        <v>FARHANA BINTI MUSTAPA</v>
      </c>
      <c r="W4161" t="str">
        <f t="shared" si="1685"/>
        <v>04-08-2020</v>
      </c>
      <c r="X4161" t="str">
        <f t="shared" si="1686"/>
        <v>RAZIMAH ANSAR AHMAD</v>
      </c>
      <c r="Y4161" t="str">
        <f t="shared" si="1687"/>
        <v>04-08-2020</v>
      </c>
      <c r="Z4161" t="str">
        <f>"COS10200804 4993"</f>
        <v>COS10200804 4993</v>
      </c>
    </row>
    <row r="4162" spans="1:26" x14ac:dyDescent="0.25">
      <c r="A4162" t="str">
        <f t="shared" si="1700"/>
        <v>04-08-2020 12:53:46</v>
      </c>
      <c r="B4162" t="str">
        <f>"0000806777"</f>
        <v>0000806777</v>
      </c>
      <c r="C4162" t="str">
        <f t="shared" si="1701"/>
        <v>0000806585</v>
      </c>
      <c r="D4162" t="str">
        <f t="shared" si="1675"/>
        <v>73185</v>
      </c>
      <c r="E4162" t="str">
        <f t="shared" si="1676"/>
        <v>KFH-OPERATIONS DEPARTMENT</v>
      </c>
      <c r="F4162" t="str">
        <f t="shared" si="1677"/>
        <v>IBG</v>
      </c>
      <c r="G4162" t="str">
        <f t="shared" si="1690"/>
        <v>Refund COSHARE 10</v>
      </c>
      <c r="H4162" s="2">
        <v>915.05</v>
      </c>
      <c r="I4162" t="str">
        <f>"KAMISAH BINTI NORNI"</f>
        <v>KAMISAH BINTI NORNI</v>
      </c>
      <c r="J4162" t="str">
        <f t="shared" si="1691"/>
        <v>MAYBANK / MAYBANK ISLAMIC</v>
      </c>
      <c r="K4162" t="str">
        <f>"111114139970"</f>
        <v>111114139970</v>
      </c>
      <c r="L4162" t="str">
        <f t="shared" si="1698"/>
        <v>04-08-2020</v>
      </c>
      <c r="M4162" t="str">
        <f t="shared" si="1698"/>
        <v>04-08-2020</v>
      </c>
      <c r="N4162" t="str">
        <f t="shared" si="1678"/>
        <v>001105018356</v>
      </c>
      <c r="O4162" t="str">
        <f t="shared" si="1679"/>
        <v>MYR</v>
      </c>
      <c r="P4162" t="str">
        <f t="shared" si="1699"/>
        <v>NIL</v>
      </c>
      <c r="Q4162" t="str">
        <f t="shared" si="1699"/>
        <v>NIL</v>
      </c>
      <c r="R4162" t="str">
        <f t="shared" si="1680"/>
        <v>Accepted</v>
      </c>
      <c r="S4162" t="str">
        <f t="shared" si="1681"/>
        <v>Approved</v>
      </c>
      <c r="T4162" t="str">
        <f t="shared" si="1682"/>
        <v>10.20.8.188</v>
      </c>
      <c r="U4162" t="str">
        <f t="shared" si="1683"/>
        <v>AZRAD UMAR BIN SHAARI</v>
      </c>
      <c r="V4162" t="str">
        <f t="shared" si="1684"/>
        <v>FARHANA BINTI MUSTAPA</v>
      </c>
      <c r="W4162" t="str">
        <f t="shared" si="1685"/>
        <v>04-08-2020</v>
      </c>
      <c r="X4162" t="str">
        <f t="shared" si="1686"/>
        <v>RAZIMAH ANSAR AHMAD</v>
      </c>
      <c r="Y4162" t="str">
        <f t="shared" si="1687"/>
        <v>04-08-2020</v>
      </c>
      <c r="Z4162" t="str">
        <f>"COS10200804 4992"</f>
        <v>COS10200804 4992</v>
      </c>
    </row>
    <row r="4163" spans="1:26" x14ac:dyDescent="0.25">
      <c r="A4163" t="str">
        <f t="shared" si="1700"/>
        <v>04-08-2020 12:53:46</v>
      </c>
      <c r="B4163" t="str">
        <f>"0000806776"</f>
        <v>0000806776</v>
      </c>
      <c r="C4163" t="str">
        <f t="shared" si="1701"/>
        <v>0000806585</v>
      </c>
      <c r="D4163" t="str">
        <f t="shared" si="1675"/>
        <v>73185</v>
      </c>
      <c r="E4163" t="str">
        <f t="shared" si="1676"/>
        <v>KFH-OPERATIONS DEPARTMENT</v>
      </c>
      <c r="F4163" t="str">
        <f t="shared" si="1677"/>
        <v>IBG</v>
      </c>
      <c r="G4163" t="str">
        <f t="shared" si="1690"/>
        <v>Refund COSHARE 10</v>
      </c>
      <c r="H4163" s="2">
        <v>677.8</v>
      </c>
      <c r="I4163" t="str">
        <f>"KAMISAH BINTI KASSIM"</f>
        <v>KAMISAH BINTI KASSIM</v>
      </c>
      <c r="J4163" t="str">
        <f t="shared" si="1691"/>
        <v>MAYBANK / MAYBANK ISLAMIC</v>
      </c>
      <c r="K4163" t="str">
        <f>"105028196474"</f>
        <v>105028196474</v>
      </c>
      <c r="L4163" t="str">
        <f t="shared" si="1698"/>
        <v>04-08-2020</v>
      </c>
      <c r="M4163" t="str">
        <f t="shared" si="1698"/>
        <v>04-08-2020</v>
      </c>
      <c r="N4163" t="str">
        <f t="shared" si="1678"/>
        <v>001105018356</v>
      </c>
      <c r="O4163" t="str">
        <f t="shared" si="1679"/>
        <v>MYR</v>
      </c>
      <c r="P4163" t="str">
        <f t="shared" si="1699"/>
        <v>NIL</v>
      </c>
      <c r="Q4163" t="str">
        <f t="shared" si="1699"/>
        <v>NIL</v>
      </c>
      <c r="R4163" t="str">
        <f t="shared" si="1680"/>
        <v>Accepted</v>
      </c>
      <c r="S4163" t="str">
        <f t="shared" si="1681"/>
        <v>Approved</v>
      </c>
      <c r="T4163" t="str">
        <f t="shared" si="1682"/>
        <v>10.20.8.188</v>
      </c>
      <c r="U4163" t="str">
        <f t="shared" si="1683"/>
        <v>AZRAD UMAR BIN SHAARI</v>
      </c>
      <c r="V4163" t="str">
        <f t="shared" si="1684"/>
        <v>FARHANA BINTI MUSTAPA</v>
      </c>
      <c r="W4163" t="str">
        <f t="shared" si="1685"/>
        <v>04-08-2020</v>
      </c>
      <c r="X4163" t="str">
        <f t="shared" si="1686"/>
        <v>RAZIMAH ANSAR AHMAD</v>
      </c>
      <c r="Y4163" t="str">
        <f t="shared" si="1687"/>
        <v>04-08-2020</v>
      </c>
      <c r="Z4163" t="str">
        <f>"COS10200804 4991"</f>
        <v>COS10200804 4991</v>
      </c>
    </row>
    <row r="4164" spans="1:26" x14ac:dyDescent="0.25">
      <c r="A4164" t="str">
        <f t="shared" si="1700"/>
        <v>04-08-2020 12:53:46</v>
      </c>
      <c r="B4164" t="str">
        <f>"0000806775"</f>
        <v>0000806775</v>
      </c>
      <c r="C4164" t="str">
        <f t="shared" si="1701"/>
        <v>0000806585</v>
      </c>
      <c r="D4164" t="str">
        <f t="shared" si="1675"/>
        <v>73185</v>
      </c>
      <c r="E4164" t="str">
        <f t="shared" si="1676"/>
        <v>KFH-OPERATIONS DEPARTMENT</v>
      </c>
      <c r="F4164" t="str">
        <f t="shared" si="1677"/>
        <v>IBG</v>
      </c>
      <c r="G4164" t="str">
        <f t="shared" si="1690"/>
        <v>Refund COSHARE 10</v>
      </c>
      <c r="H4164" s="2">
        <v>235.1</v>
      </c>
      <c r="I4164" t="str">
        <f>"KAMARUZAMAN BIN HASHIM"</f>
        <v>KAMARUZAMAN BIN HASHIM</v>
      </c>
      <c r="J4164" t="str">
        <f t="shared" si="1691"/>
        <v>MAYBANK / MAYBANK ISLAMIC</v>
      </c>
      <c r="K4164" t="str">
        <f>"162106944136"</f>
        <v>162106944136</v>
      </c>
      <c r="L4164" t="str">
        <f t="shared" si="1698"/>
        <v>04-08-2020</v>
      </c>
      <c r="M4164" t="str">
        <f t="shared" si="1698"/>
        <v>04-08-2020</v>
      </c>
      <c r="N4164" t="str">
        <f t="shared" si="1678"/>
        <v>001105018356</v>
      </c>
      <c r="O4164" t="str">
        <f t="shared" si="1679"/>
        <v>MYR</v>
      </c>
      <c r="P4164" t="str">
        <f t="shared" si="1699"/>
        <v>NIL</v>
      </c>
      <c r="Q4164" t="str">
        <f t="shared" si="1699"/>
        <v>NIL</v>
      </c>
      <c r="R4164" t="str">
        <f t="shared" si="1680"/>
        <v>Accepted</v>
      </c>
      <c r="S4164" t="str">
        <f t="shared" si="1681"/>
        <v>Approved</v>
      </c>
      <c r="T4164" t="str">
        <f t="shared" si="1682"/>
        <v>10.20.8.188</v>
      </c>
      <c r="U4164" t="str">
        <f t="shared" si="1683"/>
        <v>AZRAD UMAR BIN SHAARI</v>
      </c>
      <c r="V4164" t="str">
        <f t="shared" si="1684"/>
        <v>FARHANA BINTI MUSTAPA</v>
      </c>
      <c r="W4164" t="str">
        <f t="shared" si="1685"/>
        <v>04-08-2020</v>
      </c>
      <c r="X4164" t="str">
        <f t="shared" si="1686"/>
        <v>RAZIMAH ANSAR AHMAD</v>
      </c>
      <c r="Y4164" t="str">
        <f t="shared" si="1687"/>
        <v>04-08-2020</v>
      </c>
      <c r="Z4164" t="str">
        <f>"COS10200804 4990"</f>
        <v>COS10200804 4990</v>
      </c>
    </row>
    <row r="4165" spans="1:26" x14ac:dyDescent="0.25">
      <c r="A4165" t="str">
        <f t="shared" si="1700"/>
        <v>04-08-2020 12:53:46</v>
      </c>
      <c r="B4165" t="str">
        <f>"0000806774"</f>
        <v>0000806774</v>
      </c>
      <c r="C4165" t="str">
        <f t="shared" si="1701"/>
        <v>0000806585</v>
      </c>
      <c r="D4165" t="str">
        <f t="shared" si="1675"/>
        <v>73185</v>
      </c>
      <c r="E4165" t="str">
        <f t="shared" si="1676"/>
        <v>KFH-OPERATIONS DEPARTMENT</v>
      </c>
      <c r="F4165" t="str">
        <f t="shared" si="1677"/>
        <v>IBG</v>
      </c>
      <c r="G4165" t="str">
        <f t="shared" si="1690"/>
        <v>Refund COSHARE 10</v>
      </c>
      <c r="H4165" s="2">
        <v>1066.3499999999999</v>
      </c>
      <c r="I4165" t="str">
        <f>"KAMARUNNIZA BIN MOHD YUSOFF"</f>
        <v>KAMARUNNIZA BIN MOHD YUSOFF</v>
      </c>
      <c r="J4165" t="str">
        <f t="shared" si="1691"/>
        <v>MAYBANK / MAYBANK ISLAMIC</v>
      </c>
      <c r="K4165" t="str">
        <f>"114105226009"</f>
        <v>114105226009</v>
      </c>
      <c r="L4165" t="str">
        <f t="shared" si="1698"/>
        <v>04-08-2020</v>
      </c>
      <c r="M4165" t="str">
        <f t="shared" si="1698"/>
        <v>04-08-2020</v>
      </c>
      <c r="N4165" t="str">
        <f t="shared" si="1678"/>
        <v>001105018356</v>
      </c>
      <c r="O4165" t="str">
        <f t="shared" si="1679"/>
        <v>MYR</v>
      </c>
      <c r="P4165" t="str">
        <f t="shared" si="1699"/>
        <v>NIL</v>
      </c>
      <c r="Q4165" t="str">
        <f t="shared" si="1699"/>
        <v>NIL</v>
      </c>
      <c r="R4165" t="str">
        <f t="shared" si="1680"/>
        <v>Accepted</v>
      </c>
      <c r="S4165" t="str">
        <f t="shared" si="1681"/>
        <v>Approved</v>
      </c>
      <c r="T4165" t="str">
        <f t="shared" si="1682"/>
        <v>10.20.8.188</v>
      </c>
      <c r="U4165" t="str">
        <f t="shared" si="1683"/>
        <v>AZRAD UMAR BIN SHAARI</v>
      </c>
      <c r="V4165" t="str">
        <f t="shared" si="1684"/>
        <v>FARHANA BINTI MUSTAPA</v>
      </c>
      <c r="W4165" t="str">
        <f t="shared" si="1685"/>
        <v>04-08-2020</v>
      </c>
      <c r="X4165" t="str">
        <f t="shared" si="1686"/>
        <v>RAZIMAH ANSAR AHMAD</v>
      </c>
      <c r="Y4165" t="str">
        <f t="shared" si="1687"/>
        <v>04-08-2020</v>
      </c>
      <c r="Z4165" t="str">
        <f>"COS10200804 4989"</f>
        <v>COS10200804 4989</v>
      </c>
    </row>
    <row r="4166" spans="1:26" x14ac:dyDescent="0.25">
      <c r="A4166" t="str">
        <f t="shared" si="1700"/>
        <v>04-08-2020 12:53:46</v>
      </c>
      <c r="B4166" t="str">
        <f>"0000806773"</f>
        <v>0000806773</v>
      </c>
      <c r="C4166" t="str">
        <f t="shared" si="1701"/>
        <v>0000806585</v>
      </c>
      <c r="D4166" t="str">
        <f t="shared" si="1675"/>
        <v>73185</v>
      </c>
      <c r="E4166" t="str">
        <f t="shared" si="1676"/>
        <v>KFH-OPERATIONS DEPARTMENT</v>
      </c>
      <c r="F4166" t="str">
        <f t="shared" si="1677"/>
        <v>IBG</v>
      </c>
      <c r="G4166" t="str">
        <f t="shared" si="1690"/>
        <v>Refund COSHARE 10</v>
      </c>
      <c r="H4166" s="2">
        <v>251.85</v>
      </c>
      <c r="I4166" t="str">
        <f>"KAMARULZAMAN BIN ADNAN"</f>
        <v>KAMARULZAMAN BIN ADNAN</v>
      </c>
      <c r="J4166" t="str">
        <f t="shared" si="1691"/>
        <v>MAYBANK / MAYBANK ISLAMIC</v>
      </c>
      <c r="K4166" t="str">
        <f>"162143122201"</f>
        <v>162143122201</v>
      </c>
      <c r="L4166" t="str">
        <f t="shared" si="1698"/>
        <v>04-08-2020</v>
      </c>
      <c r="M4166" t="str">
        <f t="shared" si="1698"/>
        <v>04-08-2020</v>
      </c>
      <c r="N4166" t="str">
        <f t="shared" si="1678"/>
        <v>001105018356</v>
      </c>
      <c r="O4166" t="str">
        <f t="shared" si="1679"/>
        <v>MYR</v>
      </c>
      <c r="P4166" t="str">
        <f t="shared" si="1699"/>
        <v>NIL</v>
      </c>
      <c r="Q4166" t="str">
        <f t="shared" si="1699"/>
        <v>NIL</v>
      </c>
      <c r="R4166" t="str">
        <f t="shared" si="1680"/>
        <v>Accepted</v>
      </c>
      <c r="S4166" t="str">
        <f t="shared" si="1681"/>
        <v>Approved</v>
      </c>
      <c r="T4166" t="str">
        <f t="shared" si="1682"/>
        <v>10.20.8.188</v>
      </c>
      <c r="U4166" t="str">
        <f t="shared" si="1683"/>
        <v>AZRAD UMAR BIN SHAARI</v>
      </c>
      <c r="V4166" t="str">
        <f t="shared" si="1684"/>
        <v>FARHANA BINTI MUSTAPA</v>
      </c>
      <c r="W4166" t="str">
        <f t="shared" si="1685"/>
        <v>04-08-2020</v>
      </c>
      <c r="X4166" t="str">
        <f t="shared" si="1686"/>
        <v>RAZIMAH ANSAR AHMAD</v>
      </c>
      <c r="Y4166" t="str">
        <f t="shared" si="1687"/>
        <v>04-08-2020</v>
      </c>
      <c r="Z4166" t="str">
        <f>"COS10200804 4988"</f>
        <v>COS10200804 4988</v>
      </c>
    </row>
    <row r="4167" spans="1:26" x14ac:dyDescent="0.25">
      <c r="A4167" t="str">
        <f t="shared" si="1700"/>
        <v>04-08-2020 12:53:46</v>
      </c>
      <c r="B4167" t="str">
        <f>"0000806772"</f>
        <v>0000806772</v>
      </c>
      <c r="C4167" t="str">
        <f t="shared" si="1701"/>
        <v>0000806585</v>
      </c>
      <c r="D4167" t="str">
        <f t="shared" ref="D4167:D4230" si="1702">"73185"</f>
        <v>73185</v>
      </c>
      <c r="E4167" t="str">
        <f t="shared" ref="E4167:E4230" si="1703">"KFH-OPERATIONS DEPARTMENT"</f>
        <v>KFH-OPERATIONS DEPARTMENT</v>
      </c>
      <c r="F4167" t="str">
        <f t="shared" ref="F4167:F4230" si="1704">"IBG"</f>
        <v>IBG</v>
      </c>
      <c r="G4167" t="str">
        <f t="shared" si="1690"/>
        <v>Refund COSHARE 10</v>
      </c>
      <c r="H4167" s="2">
        <v>1309.6500000000001</v>
      </c>
      <c r="I4167" t="str">
        <f>"KAMARUL ZAMAN BIN A RAHIM"</f>
        <v>KAMARUL ZAMAN BIN A RAHIM</v>
      </c>
      <c r="J4167" t="str">
        <f t="shared" si="1691"/>
        <v>MAYBANK / MAYBANK ISLAMIC</v>
      </c>
      <c r="K4167" t="str">
        <f>"164164825962"</f>
        <v>164164825962</v>
      </c>
      <c r="L4167" t="str">
        <f t="shared" ref="L4167:M4186" si="1705">"04-08-2020"</f>
        <v>04-08-2020</v>
      </c>
      <c r="M4167" t="str">
        <f t="shared" si="1705"/>
        <v>04-08-2020</v>
      </c>
      <c r="N4167" t="str">
        <f t="shared" ref="N4167:N4230" si="1706">"001105018356"</f>
        <v>001105018356</v>
      </c>
      <c r="O4167" t="str">
        <f t="shared" ref="O4167:O4230" si="1707">"MYR"</f>
        <v>MYR</v>
      </c>
      <c r="P4167" t="str">
        <f t="shared" ref="P4167:Q4186" si="1708">"NIL"</f>
        <v>NIL</v>
      </c>
      <c r="Q4167" t="str">
        <f t="shared" si="1708"/>
        <v>NIL</v>
      </c>
      <c r="R4167" t="str">
        <f t="shared" ref="R4167:R4230" si="1709">"Accepted"</f>
        <v>Accepted</v>
      </c>
      <c r="S4167" t="str">
        <f t="shared" ref="S4167:S4230" si="1710">"Approved"</f>
        <v>Approved</v>
      </c>
      <c r="T4167" t="str">
        <f t="shared" ref="T4167:T4230" si="1711">"10.20.8.188"</f>
        <v>10.20.8.188</v>
      </c>
      <c r="U4167" t="str">
        <f t="shared" ref="U4167:U4230" si="1712">"AZRAD UMAR BIN SHAARI"</f>
        <v>AZRAD UMAR BIN SHAARI</v>
      </c>
      <c r="V4167" t="str">
        <f t="shared" ref="V4167:V4230" si="1713">"FARHANA BINTI MUSTAPA"</f>
        <v>FARHANA BINTI MUSTAPA</v>
      </c>
      <c r="W4167" t="str">
        <f t="shared" ref="W4167:W4230" si="1714">"04-08-2020"</f>
        <v>04-08-2020</v>
      </c>
      <c r="X4167" t="str">
        <f t="shared" ref="X4167:X4230" si="1715">"RAZIMAH ANSAR AHMAD"</f>
        <v>RAZIMAH ANSAR AHMAD</v>
      </c>
      <c r="Y4167" t="str">
        <f t="shared" ref="Y4167:Y4230" si="1716">"04-08-2020"</f>
        <v>04-08-2020</v>
      </c>
      <c r="Z4167" t="str">
        <f>"COS10200804 4987"</f>
        <v>COS10200804 4987</v>
      </c>
    </row>
    <row r="4168" spans="1:26" x14ac:dyDescent="0.25">
      <c r="A4168" t="str">
        <f t="shared" si="1700"/>
        <v>04-08-2020 12:53:46</v>
      </c>
      <c r="B4168" t="str">
        <f>"0000806771"</f>
        <v>0000806771</v>
      </c>
      <c r="C4168" t="str">
        <f t="shared" si="1701"/>
        <v>0000806585</v>
      </c>
      <c r="D4168" t="str">
        <f t="shared" si="1702"/>
        <v>73185</v>
      </c>
      <c r="E4168" t="str">
        <f t="shared" si="1703"/>
        <v>KFH-OPERATIONS DEPARTMENT</v>
      </c>
      <c r="F4168" t="str">
        <f t="shared" si="1704"/>
        <v>IBG</v>
      </c>
      <c r="G4168" t="str">
        <f t="shared" si="1690"/>
        <v>Refund COSHARE 10</v>
      </c>
      <c r="H4168" s="2">
        <v>747.15</v>
      </c>
      <c r="I4168" t="str">
        <f>"KAMARUL NIZAM BIN ABDUL AZIZ"</f>
        <v>KAMARUL NIZAM BIN ABDUL AZIZ</v>
      </c>
      <c r="J4168" t="str">
        <f t="shared" si="1691"/>
        <v>MAYBANK / MAYBANK ISLAMIC</v>
      </c>
      <c r="K4168" t="str">
        <f>"158015183246"</f>
        <v>158015183246</v>
      </c>
      <c r="L4168" t="str">
        <f t="shared" si="1705"/>
        <v>04-08-2020</v>
      </c>
      <c r="M4168" t="str">
        <f t="shared" si="1705"/>
        <v>04-08-2020</v>
      </c>
      <c r="N4168" t="str">
        <f t="shared" si="1706"/>
        <v>001105018356</v>
      </c>
      <c r="O4168" t="str">
        <f t="shared" si="1707"/>
        <v>MYR</v>
      </c>
      <c r="P4168" t="str">
        <f t="shared" si="1708"/>
        <v>NIL</v>
      </c>
      <c r="Q4168" t="str">
        <f t="shared" si="1708"/>
        <v>NIL</v>
      </c>
      <c r="R4168" t="str">
        <f t="shared" si="1709"/>
        <v>Accepted</v>
      </c>
      <c r="S4168" t="str">
        <f t="shared" si="1710"/>
        <v>Approved</v>
      </c>
      <c r="T4168" t="str">
        <f t="shared" si="1711"/>
        <v>10.20.8.188</v>
      </c>
      <c r="U4168" t="str">
        <f t="shared" si="1712"/>
        <v>AZRAD UMAR BIN SHAARI</v>
      </c>
      <c r="V4168" t="str">
        <f t="shared" si="1713"/>
        <v>FARHANA BINTI MUSTAPA</v>
      </c>
      <c r="W4168" t="str">
        <f t="shared" si="1714"/>
        <v>04-08-2020</v>
      </c>
      <c r="X4168" t="str">
        <f t="shared" si="1715"/>
        <v>RAZIMAH ANSAR AHMAD</v>
      </c>
      <c r="Y4168" t="str">
        <f t="shared" si="1716"/>
        <v>04-08-2020</v>
      </c>
      <c r="Z4168" t="str">
        <f>"COS10200804 4986"</f>
        <v>COS10200804 4986</v>
      </c>
    </row>
    <row r="4169" spans="1:26" x14ac:dyDescent="0.25">
      <c r="A4169" t="str">
        <f t="shared" si="1700"/>
        <v>04-08-2020 12:53:46</v>
      </c>
      <c r="B4169" t="str">
        <f>"0000806770"</f>
        <v>0000806770</v>
      </c>
      <c r="C4169" t="str">
        <f t="shared" si="1701"/>
        <v>0000806585</v>
      </c>
      <c r="D4169" t="str">
        <f t="shared" si="1702"/>
        <v>73185</v>
      </c>
      <c r="E4169" t="str">
        <f t="shared" si="1703"/>
        <v>KFH-OPERATIONS DEPARTMENT</v>
      </c>
      <c r="F4169" t="str">
        <f t="shared" si="1704"/>
        <v>IBG</v>
      </c>
      <c r="G4169" t="str">
        <f t="shared" si="1690"/>
        <v>Refund COSHARE 10</v>
      </c>
      <c r="H4169" s="2">
        <v>1679</v>
      </c>
      <c r="I4169" t="str">
        <f>"KAMARUL ISKANDAR BIN NORDIN"</f>
        <v>KAMARUL ISKANDAR BIN NORDIN</v>
      </c>
      <c r="J4169" t="str">
        <f t="shared" si="1691"/>
        <v>MAYBANK / MAYBANK ISLAMIC</v>
      </c>
      <c r="K4169" t="str">
        <f>"156132500881"</f>
        <v>156132500881</v>
      </c>
      <c r="L4169" t="str">
        <f t="shared" si="1705"/>
        <v>04-08-2020</v>
      </c>
      <c r="M4169" t="str">
        <f t="shared" si="1705"/>
        <v>04-08-2020</v>
      </c>
      <c r="N4169" t="str">
        <f t="shared" si="1706"/>
        <v>001105018356</v>
      </c>
      <c r="O4169" t="str">
        <f t="shared" si="1707"/>
        <v>MYR</v>
      </c>
      <c r="P4169" t="str">
        <f t="shared" si="1708"/>
        <v>NIL</v>
      </c>
      <c r="Q4169" t="str">
        <f t="shared" si="1708"/>
        <v>NIL</v>
      </c>
      <c r="R4169" t="str">
        <f t="shared" si="1709"/>
        <v>Accepted</v>
      </c>
      <c r="S4169" t="str">
        <f t="shared" si="1710"/>
        <v>Approved</v>
      </c>
      <c r="T4169" t="str">
        <f t="shared" si="1711"/>
        <v>10.20.8.188</v>
      </c>
      <c r="U4169" t="str">
        <f t="shared" si="1712"/>
        <v>AZRAD UMAR BIN SHAARI</v>
      </c>
      <c r="V4169" t="str">
        <f t="shared" si="1713"/>
        <v>FARHANA BINTI MUSTAPA</v>
      </c>
      <c r="W4169" t="str">
        <f t="shared" si="1714"/>
        <v>04-08-2020</v>
      </c>
      <c r="X4169" t="str">
        <f t="shared" si="1715"/>
        <v>RAZIMAH ANSAR AHMAD</v>
      </c>
      <c r="Y4169" t="str">
        <f t="shared" si="1716"/>
        <v>04-08-2020</v>
      </c>
      <c r="Z4169" t="str">
        <f>"COS10200804 4985"</f>
        <v>COS10200804 4985</v>
      </c>
    </row>
    <row r="4170" spans="1:26" x14ac:dyDescent="0.25">
      <c r="A4170" t="str">
        <f t="shared" si="1700"/>
        <v>04-08-2020 12:53:46</v>
      </c>
      <c r="B4170" t="str">
        <f>"0000806769"</f>
        <v>0000806769</v>
      </c>
      <c r="C4170" t="str">
        <f t="shared" si="1701"/>
        <v>0000806585</v>
      </c>
      <c r="D4170" t="str">
        <f t="shared" si="1702"/>
        <v>73185</v>
      </c>
      <c r="E4170" t="str">
        <f t="shared" si="1703"/>
        <v>KFH-OPERATIONS DEPARTMENT</v>
      </c>
      <c r="F4170" t="str">
        <f t="shared" si="1704"/>
        <v>IBG</v>
      </c>
      <c r="G4170" t="str">
        <f t="shared" si="1690"/>
        <v>Refund COSHARE 10</v>
      </c>
      <c r="H4170" s="2">
        <v>184.7</v>
      </c>
      <c r="I4170" t="str">
        <f>"KAMARUL IKRAM BIN SIDEK"</f>
        <v>KAMARUL IKRAM BIN SIDEK</v>
      </c>
      <c r="J4170" t="str">
        <f t="shared" si="1691"/>
        <v>MAYBANK / MAYBANK ISLAMIC</v>
      </c>
      <c r="K4170" t="str">
        <f>"162508115823"</f>
        <v>162508115823</v>
      </c>
      <c r="L4170" t="str">
        <f t="shared" si="1705"/>
        <v>04-08-2020</v>
      </c>
      <c r="M4170" t="str">
        <f t="shared" si="1705"/>
        <v>04-08-2020</v>
      </c>
      <c r="N4170" t="str">
        <f t="shared" si="1706"/>
        <v>001105018356</v>
      </c>
      <c r="O4170" t="str">
        <f t="shared" si="1707"/>
        <v>MYR</v>
      </c>
      <c r="P4170" t="str">
        <f t="shared" si="1708"/>
        <v>NIL</v>
      </c>
      <c r="Q4170" t="str">
        <f t="shared" si="1708"/>
        <v>NIL</v>
      </c>
      <c r="R4170" t="str">
        <f t="shared" si="1709"/>
        <v>Accepted</v>
      </c>
      <c r="S4170" t="str">
        <f t="shared" si="1710"/>
        <v>Approved</v>
      </c>
      <c r="T4170" t="str">
        <f t="shared" si="1711"/>
        <v>10.20.8.188</v>
      </c>
      <c r="U4170" t="str">
        <f t="shared" si="1712"/>
        <v>AZRAD UMAR BIN SHAARI</v>
      </c>
      <c r="V4170" t="str">
        <f t="shared" si="1713"/>
        <v>FARHANA BINTI MUSTAPA</v>
      </c>
      <c r="W4170" t="str">
        <f t="shared" si="1714"/>
        <v>04-08-2020</v>
      </c>
      <c r="X4170" t="str">
        <f t="shared" si="1715"/>
        <v>RAZIMAH ANSAR AHMAD</v>
      </c>
      <c r="Y4170" t="str">
        <f t="shared" si="1716"/>
        <v>04-08-2020</v>
      </c>
      <c r="Z4170" t="str">
        <f>"COS10200804 4984"</f>
        <v>COS10200804 4984</v>
      </c>
    </row>
    <row r="4171" spans="1:26" x14ac:dyDescent="0.25">
      <c r="A4171" t="str">
        <f t="shared" si="1700"/>
        <v>04-08-2020 12:53:46</v>
      </c>
      <c r="B4171" t="str">
        <f>"0000806768"</f>
        <v>0000806768</v>
      </c>
      <c r="C4171" t="str">
        <f t="shared" si="1701"/>
        <v>0000806585</v>
      </c>
      <c r="D4171" t="str">
        <f t="shared" si="1702"/>
        <v>73185</v>
      </c>
      <c r="E4171" t="str">
        <f t="shared" si="1703"/>
        <v>KFH-OPERATIONS DEPARTMENT</v>
      </c>
      <c r="F4171" t="str">
        <f t="shared" si="1704"/>
        <v>IBG</v>
      </c>
      <c r="G4171" t="str">
        <f t="shared" si="1690"/>
        <v>Refund COSHARE 10</v>
      </c>
      <c r="H4171" s="2">
        <v>587.65</v>
      </c>
      <c r="I4171" t="str">
        <f>"KAMARUL BIN MAT AKIL"</f>
        <v>KAMARUL BIN MAT AKIL</v>
      </c>
      <c r="J4171" t="str">
        <f t="shared" si="1691"/>
        <v>MAYBANK / MAYBANK ISLAMIC</v>
      </c>
      <c r="K4171" t="str">
        <f>"156114139879"</f>
        <v>156114139879</v>
      </c>
      <c r="L4171" t="str">
        <f t="shared" si="1705"/>
        <v>04-08-2020</v>
      </c>
      <c r="M4171" t="str">
        <f t="shared" si="1705"/>
        <v>04-08-2020</v>
      </c>
      <c r="N4171" t="str">
        <f t="shared" si="1706"/>
        <v>001105018356</v>
      </c>
      <c r="O4171" t="str">
        <f t="shared" si="1707"/>
        <v>MYR</v>
      </c>
      <c r="P4171" t="str">
        <f t="shared" si="1708"/>
        <v>NIL</v>
      </c>
      <c r="Q4171" t="str">
        <f t="shared" si="1708"/>
        <v>NIL</v>
      </c>
      <c r="R4171" t="str">
        <f t="shared" si="1709"/>
        <v>Accepted</v>
      </c>
      <c r="S4171" t="str">
        <f t="shared" si="1710"/>
        <v>Approved</v>
      </c>
      <c r="T4171" t="str">
        <f t="shared" si="1711"/>
        <v>10.20.8.188</v>
      </c>
      <c r="U4171" t="str">
        <f t="shared" si="1712"/>
        <v>AZRAD UMAR BIN SHAARI</v>
      </c>
      <c r="V4171" t="str">
        <f t="shared" si="1713"/>
        <v>FARHANA BINTI MUSTAPA</v>
      </c>
      <c r="W4171" t="str">
        <f t="shared" si="1714"/>
        <v>04-08-2020</v>
      </c>
      <c r="X4171" t="str">
        <f t="shared" si="1715"/>
        <v>RAZIMAH ANSAR AHMAD</v>
      </c>
      <c r="Y4171" t="str">
        <f t="shared" si="1716"/>
        <v>04-08-2020</v>
      </c>
      <c r="Z4171" t="str">
        <f>"COS10200804 4983"</f>
        <v>COS10200804 4983</v>
      </c>
    </row>
    <row r="4172" spans="1:26" x14ac:dyDescent="0.25">
      <c r="A4172" t="str">
        <f t="shared" si="1700"/>
        <v>04-08-2020 12:53:46</v>
      </c>
      <c r="B4172" t="str">
        <f>"0000806767"</f>
        <v>0000806767</v>
      </c>
      <c r="C4172" t="str">
        <f t="shared" si="1701"/>
        <v>0000806585</v>
      </c>
      <c r="D4172" t="str">
        <f t="shared" si="1702"/>
        <v>73185</v>
      </c>
      <c r="E4172" t="str">
        <f t="shared" si="1703"/>
        <v>KFH-OPERATIONS DEPARTMENT</v>
      </c>
      <c r="F4172" t="str">
        <f t="shared" si="1704"/>
        <v>IBG</v>
      </c>
      <c r="G4172" t="str">
        <f t="shared" ref="G4172:G4235" si="1717">"Refund COSHARE 10"</f>
        <v>Refund COSHARE 10</v>
      </c>
      <c r="H4172" s="2">
        <v>588</v>
      </c>
      <c r="I4172" t="str">
        <f>"KAMARUL AZMI BIN HASHIM"</f>
        <v>KAMARUL AZMI BIN HASHIM</v>
      </c>
      <c r="J4172" t="str">
        <f t="shared" si="1691"/>
        <v>MAYBANK / MAYBANK ISLAMIC</v>
      </c>
      <c r="K4172" t="str">
        <f>"164258352392"</f>
        <v>164258352392</v>
      </c>
      <c r="L4172" t="str">
        <f t="shared" si="1705"/>
        <v>04-08-2020</v>
      </c>
      <c r="M4172" t="str">
        <f t="shared" si="1705"/>
        <v>04-08-2020</v>
      </c>
      <c r="N4172" t="str">
        <f t="shared" si="1706"/>
        <v>001105018356</v>
      </c>
      <c r="O4172" t="str">
        <f t="shared" si="1707"/>
        <v>MYR</v>
      </c>
      <c r="P4172" t="str">
        <f t="shared" si="1708"/>
        <v>NIL</v>
      </c>
      <c r="Q4172" t="str">
        <f t="shared" si="1708"/>
        <v>NIL</v>
      </c>
      <c r="R4172" t="str">
        <f t="shared" si="1709"/>
        <v>Accepted</v>
      </c>
      <c r="S4172" t="str">
        <f t="shared" si="1710"/>
        <v>Approved</v>
      </c>
      <c r="T4172" t="str">
        <f t="shared" si="1711"/>
        <v>10.20.8.188</v>
      </c>
      <c r="U4172" t="str">
        <f t="shared" si="1712"/>
        <v>AZRAD UMAR BIN SHAARI</v>
      </c>
      <c r="V4172" t="str">
        <f t="shared" si="1713"/>
        <v>FARHANA BINTI MUSTAPA</v>
      </c>
      <c r="W4172" t="str">
        <f t="shared" si="1714"/>
        <v>04-08-2020</v>
      </c>
      <c r="X4172" t="str">
        <f t="shared" si="1715"/>
        <v>RAZIMAH ANSAR AHMAD</v>
      </c>
      <c r="Y4172" t="str">
        <f t="shared" si="1716"/>
        <v>04-08-2020</v>
      </c>
      <c r="Z4172" t="str">
        <f>"COS10200804 4982"</f>
        <v>COS10200804 4982</v>
      </c>
    </row>
    <row r="4173" spans="1:26" x14ac:dyDescent="0.25">
      <c r="A4173" t="str">
        <f t="shared" si="1700"/>
        <v>04-08-2020 12:53:46</v>
      </c>
      <c r="B4173" t="str">
        <f>"0000806766"</f>
        <v>0000806766</v>
      </c>
      <c r="C4173" t="str">
        <f t="shared" si="1701"/>
        <v>0000806585</v>
      </c>
      <c r="D4173" t="str">
        <f t="shared" si="1702"/>
        <v>73185</v>
      </c>
      <c r="E4173" t="str">
        <f t="shared" si="1703"/>
        <v>KFH-OPERATIONS DEPARTMENT</v>
      </c>
      <c r="F4173" t="str">
        <f t="shared" si="1704"/>
        <v>IBG</v>
      </c>
      <c r="G4173" t="str">
        <f t="shared" si="1717"/>
        <v>Refund COSHARE 10</v>
      </c>
      <c r="H4173" s="2">
        <v>50.4</v>
      </c>
      <c r="I4173" t="str">
        <f>"KAMARUL ARIFFIN BIN MAAFUS"</f>
        <v>KAMARUL ARIFFIN BIN MAAFUS</v>
      </c>
      <c r="J4173" t="str">
        <f t="shared" si="1691"/>
        <v>MAYBANK / MAYBANK ISLAMIC</v>
      </c>
      <c r="K4173" t="str">
        <f>"114272034166"</f>
        <v>114272034166</v>
      </c>
      <c r="L4173" t="str">
        <f t="shared" si="1705"/>
        <v>04-08-2020</v>
      </c>
      <c r="M4173" t="str">
        <f t="shared" si="1705"/>
        <v>04-08-2020</v>
      </c>
      <c r="N4173" t="str">
        <f t="shared" si="1706"/>
        <v>001105018356</v>
      </c>
      <c r="O4173" t="str">
        <f t="shared" si="1707"/>
        <v>MYR</v>
      </c>
      <c r="P4173" t="str">
        <f t="shared" si="1708"/>
        <v>NIL</v>
      </c>
      <c r="Q4173" t="str">
        <f t="shared" si="1708"/>
        <v>NIL</v>
      </c>
      <c r="R4173" t="str">
        <f t="shared" si="1709"/>
        <v>Accepted</v>
      </c>
      <c r="S4173" t="str">
        <f t="shared" si="1710"/>
        <v>Approved</v>
      </c>
      <c r="T4173" t="str">
        <f t="shared" si="1711"/>
        <v>10.20.8.188</v>
      </c>
      <c r="U4173" t="str">
        <f t="shared" si="1712"/>
        <v>AZRAD UMAR BIN SHAARI</v>
      </c>
      <c r="V4173" t="str">
        <f t="shared" si="1713"/>
        <v>FARHANA BINTI MUSTAPA</v>
      </c>
      <c r="W4173" t="str">
        <f t="shared" si="1714"/>
        <v>04-08-2020</v>
      </c>
      <c r="X4173" t="str">
        <f t="shared" si="1715"/>
        <v>RAZIMAH ANSAR AHMAD</v>
      </c>
      <c r="Y4173" t="str">
        <f t="shared" si="1716"/>
        <v>04-08-2020</v>
      </c>
      <c r="Z4173" t="str">
        <f>"COS10200804 4981"</f>
        <v>COS10200804 4981</v>
      </c>
    </row>
    <row r="4174" spans="1:26" x14ac:dyDescent="0.25">
      <c r="A4174" t="str">
        <f t="shared" si="1700"/>
        <v>04-08-2020 12:53:46</v>
      </c>
      <c r="B4174" t="str">
        <f>"0000806765"</f>
        <v>0000806765</v>
      </c>
      <c r="C4174" t="str">
        <f t="shared" si="1701"/>
        <v>0000806585</v>
      </c>
      <c r="D4174" t="str">
        <f t="shared" si="1702"/>
        <v>73185</v>
      </c>
      <c r="E4174" t="str">
        <f t="shared" si="1703"/>
        <v>KFH-OPERATIONS DEPARTMENT</v>
      </c>
      <c r="F4174" t="str">
        <f t="shared" si="1704"/>
        <v>IBG</v>
      </c>
      <c r="G4174" t="str">
        <f t="shared" si="1717"/>
        <v>Refund COSHARE 10</v>
      </c>
      <c r="H4174" s="2">
        <v>1711.95</v>
      </c>
      <c r="I4174" t="str">
        <f>"KAMARUDIN BIN SIMUN"</f>
        <v>KAMARUDIN BIN SIMUN</v>
      </c>
      <c r="J4174" t="str">
        <f t="shared" si="1691"/>
        <v>MAYBANK / MAYBANK ISLAMIC</v>
      </c>
      <c r="K4174" t="str">
        <f>"158172823349"</f>
        <v>158172823349</v>
      </c>
      <c r="L4174" t="str">
        <f t="shared" si="1705"/>
        <v>04-08-2020</v>
      </c>
      <c r="M4174" t="str">
        <f t="shared" si="1705"/>
        <v>04-08-2020</v>
      </c>
      <c r="N4174" t="str">
        <f t="shared" si="1706"/>
        <v>001105018356</v>
      </c>
      <c r="O4174" t="str">
        <f t="shared" si="1707"/>
        <v>MYR</v>
      </c>
      <c r="P4174" t="str">
        <f t="shared" si="1708"/>
        <v>NIL</v>
      </c>
      <c r="Q4174" t="str">
        <f t="shared" si="1708"/>
        <v>NIL</v>
      </c>
      <c r="R4174" t="str">
        <f t="shared" si="1709"/>
        <v>Accepted</v>
      </c>
      <c r="S4174" t="str">
        <f t="shared" si="1710"/>
        <v>Approved</v>
      </c>
      <c r="T4174" t="str">
        <f t="shared" si="1711"/>
        <v>10.20.8.188</v>
      </c>
      <c r="U4174" t="str">
        <f t="shared" si="1712"/>
        <v>AZRAD UMAR BIN SHAARI</v>
      </c>
      <c r="V4174" t="str">
        <f t="shared" si="1713"/>
        <v>FARHANA BINTI MUSTAPA</v>
      </c>
      <c r="W4174" t="str">
        <f t="shared" si="1714"/>
        <v>04-08-2020</v>
      </c>
      <c r="X4174" t="str">
        <f t="shared" si="1715"/>
        <v>RAZIMAH ANSAR AHMAD</v>
      </c>
      <c r="Y4174" t="str">
        <f t="shared" si="1716"/>
        <v>04-08-2020</v>
      </c>
      <c r="Z4174" t="str">
        <f>"COS10200804 4980"</f>
        <v>COS10200804 4980</v>
      </c>
    </row>
    <row r="4175" spans="1:26" x14ac:dyDescent="0.25">
      <c r="A4175" t="str">
        <f t="shared" si="1700"/>
        <v>04-08-2020 12:53:46</v>
      </c>
      <c r="B4175" t="str">
        <f>"0000806764"</f>
        <v>0000806764</v>
      </c>
      <c r="C4175" t="str">
        <f t="shared" si="1701"/>
        <v>0000806585</v>
      </c>
      <c r="D4175" t="str">
        <f t="shared" si="1702"/>
        <v>73185</v>
      </c>
      <c r="E4175" t="str">
        <f t="shared" si="1703"/>
        <v>KFH-OPERATIONS DEPARTMENT</v>
      </c>
      <c r="F4175" t="str">
        <f t="shared" si="1704"/>
        <v>IBG</v>
      </c>
      <c r="G4175" t="str">
        <f t="shared" si="1717"/>
        <v>Refund COSHARE 10</v>
      </c>
      <c r="H4175" s="2">
        <v>618</v>
      </c>
      <c r="I4175" t="str">
        <f>"KAMARUDDIN BIN MD RIPIN"</f>
        <v>KAMARUDDIN BIN MD RIPIN</v>
      </c>
      <c r="J4175" t="str">
        <f t="shared" si="1691"/>
        <v>MAYBANK / MAYBANK ISLAMIC</v>
      </c>
      <c r="K4175" t="str">
        <f>"106053128147"</f>
        <v>106053128147</v>
      </c>
      <c r="L4175" t="str">
        <f t="shared" si="1705"/>
        <v>04-08-2020</v>
      </c>
      <c r="M4175" t="str">
        <f t="shared" si="1705"/>
        <v>04-08-2020</v>
      </c>
      <c r="N4175" t="str">
        <f t="shared" si="1706"/>
        <v>001105018356</v>
      </c>
      <c r="O4175" t="str">
        <f t="shared" si="1707"/>
        <v>MYR</v>
      </c>
      <c r="P4175" t="str">
        <f t="shared" si="1708"/>
        <v>NIL</v>
      </c>
      <c r="Q4175" t="str">
        <f t="shared" si="1708"/>
        <v>NIL</v>
      </c>
      <c r="R4175" t="str">
        <f t="shared" si="1709"/>
        <v>Accepted</v>
      </c>
      <c r="S4175" t="str">
        <f t="shared" si="1710"/>
        <v>Approved</v>
      </c>
      <c r="T4175" t="str">
        <f t="shared" si="1711"/>
        <v>10.20.8.188</v>
      </c>
      <c r="U4175" t="str">
        <f t="shared" si="1712"/>
        <v>AZRAD UMAR BIN SHAARI</v>
      </c>
      <c r="V4175" t="str">
        <f t="shared" si="1713"/>
        <v>FARHANA BINTI MUSTAPA</v>
      </c>
      <c r="W4175" t="str">
        <f t="shared" si="1714"/>
        <v>04-08-2020</v>
      </c>
      <c r="X4175" t="str">
        <f t="shared" si="1715"/>
        <v>RAZIMAH ANSAR AHMAD</v>
      </c>
      <c r="Y4175" t="str">
        <f t="shared" si="1716"/>
        <v>04-08-2020</v>
      </c>
      <c r="Z4175" t="str">
        <f>"COS10200804 4979"</f>
        <v>COS10200804 4979</v>
      </c>
    </row>
    <row r="4176" spans="1:26" x14ac:dyDescent="0.25">
      <c r="A4176" t="str">
        <f t="shared" si="1700"/>
        <v>04-08-2020 12:53:46</v>
      </c>
      <c r="B4176" t="str">
        <f>"0000806763"</f>
        <v>0000806763</v>
      </c>
      <c r="C4176" t="str">
        <f t="shared" si="1701"/>
        <v>0000806585</v>
      </c>
      <c r="D4176" t="str">
        <f t="shared" si="1702"/>
        <v>73185</v>
      </c>
      <c r="E4176" t="str">
        <f t="shared" si="1703"/>
        <v>KFH-OPERATIONS DEPARTMENT</v>
      </c>
      <c r="F4176" t="str">
        <f t="shared" si="1704"/>
        <v>IBG</v>
      </c>
      <c r="G4176" t="str">
        <f t="shared" si="1717"/>
        <v>Refund COSHARE 10</v>
      </c>
      <c r="H4176" s="2">
        <v>520.5</v>
      </c>
      <c r="I4176" t="str">
        <f>"KAMAROLAINI BINTI SAPIEI"</f>
        <v>KAMAROLAINI BINTI SAPIEI</v>
      </c>
      <c r="J4176" t="str">
        <f t="shared" si="1691"/>
        <v>MAYBANK / MAYBANK ISLAMIC</v>
      </c>
      <c r="K4176" t="str">
        <f>"164098564572"</f>
        <v>164098564572</v>
      </c>
      <c r="L4176" t="str">
        <f t="shared" si="1705"/>
        <v>04-08-2020</v>
      </c>
      <c r="M4176" t="str">
        <f t="shared" si="1705"/>
        <v>04-08-2020</v>
      </c>
      <c r="N4176" t="str">
        <f t="shared" si="1706"/>
        <v>001105018356</v>
      </c>
      <c r="O4176" t="str">
        <f t="shared" si="1707"/>
        <v>MYR</v>
      </c>
      <c r="P4176" t="str">
        <f t="shared" si="1708"/>
        <v>NIL</v>
      </c>
      <c r="Q4176" t="str">
        <f t="shared" si="1708"/>
        <v>NIL</v>
      </c>
      <c r="R4176" t="str">
        <f t="shared" si="1709"/>
        <v>Accepted</v>
      </c>
      <c r="S4176" t="str">
        <f t="shared" si="1710"/>
        <v>Approved</v>
      </c>
      <c r="T4176" t="str">
        <f t="shared" si="1711"/>
        <v>10.20.8.188</v>
      </c>
      <c r="U4176" t="str">
        <f t="shared" si="1712"/>
        <v>AZRAD UMAR BIN SHAARI</v>
      </c>
      <c r="V4176" t="str">
        <f t="shared" si="1713"/>
        <v>FARHANA BINTI MUSTAPA</v>
      </c>
      <c r="W4176" t="str">
        <f t="shared" si="1714"/>
        <v>04-08-2020</v>
      </c>
      <c r="X4176" t="str">
        <f t="shared" si="1715"/>
        <v>RAZIMAH ANSAR AHMAD</v>
      </c>
      <c r="Y4176" t="str">
        <f t="shared" si="1716"/>
        <v>04-08-2020</v>
      </c>
      <c r="Z4176" t="str">
        <f>"COS10200804 4978"</f>
        <v>COS10200804 4978</v>
      </c>
    </row>
    <row r="4177" spans="1:26" x14ac:dyDescent="0.25">
      <c r="A4177" t="str">
        <f t="shared" si="1700"/>
        <v>04-08-2020 12:53:46</v>
      </c>
      <c r="B4177" t="str">
        <f>"0000806762"</f>
        <v>0000806762</v>
      </c>
      <c r="C4177" t="str">
        <f t="shared" si="1701"/>
        <v>0000806585</v>
      </c>
      <c r="D4177" t="str">
        <f t="shared" si="1702"/>
        <v>73185</v>
      </c>
      <c r="E4177" t="str">
        <f t="shared" si="1703"/>
        <v>KFH-OPERATIONS DEPARTMENT</v>
      </c>
      <c r="F4177" t="str">
        <f t="shared" si="1704"/>
        <v>IBG</v>
      </c>
      <c r="G4177" t="str">
        <f t="shared" si="1717"/>
        <v>Refund COSHARE 10</v>
      </c>
      <c r="H4177" s="2">
        <v>266</v>
      </c>
      <c r="I4177" t="str">
        <f>"KAMARIAH BINTI MUJIR"</f>
        <v>KAMARIAH BINTI MUJIR</v>
      </c>
      <c r="J4177" t="str">
        <f t="shared" ref="J4177:J4240" si="1718">"MAYBANK / MAYBANK ISLAMIC"</f>
        <v>MAYBANK / MAYBANK ISLAMIC</v>
      </c>
      <c r="K4177" t="str">
        <f>"151593043282"</f>
        <v>151593043282</v>
      </c>
      <c r="L4177" t="str">
        <f t="shared" si="1705"/>
        <v>04-08-2020</v>
      </c>
      <c r="M4177" t="str">
        <f t="shared" si="1705"/>
        <v>04-08-2020</v>
      </c>
      <c r="N4177" t="str">
        <f t="shared" si="1706"/>
        <v>001105018356</v>
      </c>
      <c r="O4177" t="str">
        <f t="shared" si="1707"/>
        <v>MYR</v>
      </c>
      <c r="P4177" t="str">
        <f t="shared" si="1708"/>
        <v>NIL</v>
      </c>
      <c r="Q4177" t="str">
        <f t="shared" si="1708"/>
        <v>NIL</v>
      </c>
      <c r="R4177" t="str">
        <f t="shared" si="1709"/>
        <v>Accepted</v>
      </c>
      <c r="S4177" t="str">
        <f t="shared" si="1710"/>
        <v>Approved</v>
      </c>
      <c r="T4177" t="str">
        <f t="shared" si="1711"/>
        <v>10.20.8.188</v>
      </c>
      <c r="U4177" t="str">
        <f t="shared" si="1712"/>
        <v>AZRAD UMAR BIN SHAARI</v>
      </c>
      <c r="V4177" t="str">
        <f t="shared" si="1713"/>
        <v>FARHANA BINTI MUSTAPA</v>
      </c>
      <c r="W4177" t="str">
        <f t="shared" si="1714"/>
        <v>04-08-2020</v>
      </c>
      <c r="X4177" t="str">
        <f t="shared" si="1715"/>
        <v>RAZIMAH ANSAR AHMAD</v>
      </c>
      <c r="Y4177" t="str">
        <f t="shared" si="1716"/>
        <v>04-08-2020</v>
      </c>
      <c r="Z4177" t="str">
        <f>"COS10200804 4977"</f>
        <v>COS10200804 4977</v>
      </c>
    </row>
    <row r="4178" spans="1:26" x14ac:dyDescent="0.25">
      <c r="A4178" t="str">
        <f t="shared" si="1700"/>
        <v>04-08-2020 12:53:46</v>
      </c>
      <c r="B4178" t="str">
        <f>"0000806761"</f>
        <v>0000806761</v>
      </c>
      <c r="C4178" t="str">
        <f t="shared" si="1701"/>
        <v>0000806585</v>
      </c>
      <c r="D4178" t="str">
        <f t="shared" si="1702"/>
        <v>73185</v>
      </c>
      <c r="E4178" t="str">
        <f t="shared" si="1703"/>
        <v>KFH-OPERATIONS DEPARTMENT</v>
      </c>
      <c r="F4178" t="str">
        <f t="shared" si="1704"/>
        <v>IBG</v>
      </c>
      <c r="G4178" t="str">
        <f t="shared" si="1717"/>
        <v>Refund COSHARE 10</v>
      </c>
      <c r="H4178" s="2">
        <v>713.6</v>
      </c>
      <c r="I4178" t="str">
        <f>"KAMALIA BINTI WAGIMAN"</f>
        <v>KAMALIA BINTI WAGIMAN</v>
      </c>
      <c r="J4178" t="str">
        <f t="shared" si="1718"/>
        <v>MAYBANK / MAYBANK ISLAMIC</v>
      </c>
      <c r="K4178" t="str">
        <f>"151258038441"</f>
        <v>151258038441</v>
      </c>
      <c r="L4178" t="str">
        <f t="shared" si="1705"/>
        <v>04-08-2020</v>
      </c>
      <c r="M4178" t="str">
        <f t="shared" si="1705"/>
        <v>04-08-2020</v>
      </c>
      <c r="N4178" t="str">
        <f t="shared" si="1706"/>
        <v>001105018356</v>
      </c>
      <c r="O4178" t="str">
        <f t="shared" si="1707"/>
        <v>MYR</v>
      </c>
      <c r="P4178" t="str">
        <f t="shared" si="1708"/>
        <v>NIL</v>
      </c>
      <c r="Q4178" t="str">
        <f t="shared" si="1708"/>
        <v>NIL</v>
      </c>
      <c r="R4178" t="str">
        <f t="shared" si="1709"/>
        <v>Accepted</v>
      </c>
      <c r="S4178" t="str">
        <f t="shared" si="1710"/>
        <v>Approved</v>
      </c>
      <c r="T4178" t="str">
        <f t="shared" si="1711"/>
        <v>10.20.8.188</v>
      </c>
      <c r="U4178" t="str">
        <f t="shared" si="1712"/>
        <v>AZRAD UMAR BIN SHAARI</v>
      </c>
      <c r="V4178" t="str">
        <f t="shared" si="1713"/>
        <v>FARHANA BINTI MUSTAPA</v>
      </c>
      <c r="W4178" t="str">
        <f t="shared" si="1714"/>
        <v>04-08-2020</v>
      </c>
      <c r="X4178" t="str">
        <f t="shared" si="1715"/>
        <v>RAZIMAH ANSAR AHMAD</v>
      </c>
      <c r="Y4178" t="str">
        <f t="shared" si="1716"/>
        <v>04-08-2020</v>
      </c>
      <c r="Z4178" t="str">
        <f>"COS10200804 4976"</f>
        <v>COS10200804 4976</v>
      </c>
    </row>
    <row r="4179" spans="1:26" x14ac:dyDescent="0.25">
      <c r="A4179" t="str">
        <f t="shared" si="1700"/>
        <v>04-08-2020 12:53:46</v>
      </c>
      <c r="B4179" t="str">
        <f>"0000806760"</f>
        <v>0000806760</v>
      </c>
      <c r="C4179" t="str">
        <f t="shared" si="1701"/>
        <v>0000806585</v>
      </c>
      <c r="D4179" t="str">
        <f t="shared" si="1702"/>
        <v>73185</v>
      </c>
      <c r="E4179" t="str">
        <f t="shared" si="1703"/>
        <v>KFH-OPERATIONS DEPARTMENT</v>
      </c>
      <c r="F4179" t="str">
        <f t="shared" si="1704"/>
        <v>IBG</v>
      </c>
      <c r="G4179" t="str">
        <f t="shared" si="1717"/>
        <v>Refund COSHARE 10</v>
      </c>
      <c r="H4179" s="2">
        <v>1603.45</v>
      </c>
      <c r="I4179" t="str">
        <f>"KAMAL HUSNI BIN JAAFAR"</f>
        <v>KAMAL HUSNI BIN JAAFAR</v>
      </c>
      <c r="J4179" t="str">
        <f t="shared" si="1718"/>
        <v>MAYBANK / MAYBANK ISLAMIC</v>
      </c>
      <c r="K4179" t="str">
        <f>"162106386520"</f>
        <v>162106386520</v>
      </c>
      <c r="L4179" t="str">
        <f t="shared" si="1705"/>
        <v>04-08-2020</v>
      </c>
      <c r="M4179" t="str">
        <f t="shared" si="1705"/>
        <v>04-08-2020</v>
      </c>
      <c r="N4179" t="str">
        <f t="shared" si="1706"/>
        <v>001105018356</v>
      </c>
      <c r="O4179" t="str">
        <f t="shared" si="1707"/>
        <v>MYR</v>
      </c>
      <c r="P4179" t="str">
        <f t="shared" si="1708"/>
        <v>NIL</v>
      </c>
      <c r="Q4179" t="str">
        <f t="shared" si="1708"/>
        <v>NIL</v>
      </c>
      <c r="R4179" t="str">
        <f t="shared" si="1709"/>
        <v>Accepted</v>
      </c>
      <c r="S4179" t="str">
        <f t="shared" si="1710"/>
        <v>Approved</v>
      </c>
      <c r="T4179" t="str">
        <f t="shared" si="1711"/>
        <v>10.20.8.188</v>
      </c>
      <c r="U4179" t="str">
        <f t="shared" si="1712"/>
        <v>AZRAD UMAR BIN SHAARI</v>
      </c>
      <c r="V4179" t="str">
        <f t="shared" si="1713"/>
        <v>FARHANA BINTI MUSTAPA</v>
      </c>
      <c r="W4179" t="str">
        <f t="shared" si="1714"/>
        <v>04-08-2020</v>
      </c>
      <c r="X4179" t="str">
        <f t="shared" si="1715"/>
        <v>RAZIMAH ANSAR AHMAD</v>
      </c>
      <c r="Y4179" t="str">
        <f t="shared" si="1716"/>
        <v>04-08-2020</v>
      </c>
      <c r="Z4179" t="str">
        <f>"COS10200804 4975"</f>
        <v>COS10200804 4975</v>
      </c>
    </row>
    <row r="4180" spans="1:26" x14ac:dyDescent="0.25">
      <c r="A4180" t="str">
        <f t="shared" si="1700"/>
        <v>04-08-2020 12:53:46</v>
      </c>
      <c r="B4180" t="str">
        <f>"0000806759"</f>
        <v>0000806759</v>
      </c>
      <c r="C4180" t="str">
        <f t="shared" si="1701"/>
        <v>0000806585</v>
      </c>
      <c r="D4180" t="str">
        <f t="shared" si="1702"/>
        <v>73185</v>
      </c>
      <c r="E4180" t="str">
        <f t="shared" si="1703"/>
        <v>KFH-OPERATIONS DEPARTMENT</v>
      </c>
      <c r="F4180" t="str">
        <f t="shared" si="1704"/>
        <v>IBG</v>
      </c>
      <c r="G4180" t="str">
        <f t="shared" si="1717"/>
        <v>Refund COSHARE 10</v>
      </c>
      <c r="H4180" s="2">
        <v>419.75</v>
      </c>
      <c r="I4180" t="str">
        <f>"KAMAL BAHARI BIN KALIB"</f>
        <v>KAMAL BAHARI BIN KALIB</v>
      </c>
      <c r="J4180" t="str">
        <f t="shared" si="1718"/>
        <v>MAYBANK / MAYBANK ISLAMIC</v>
      </c>
      <c r="K4180" t="str">
        <f>"156093937892"</f>
        <v>156093937892</v>
      </c>
      <c r="L4180" t="str">
        <f t="shared" si="1705"/>
        <v>04-08-2020</v>
      </c>
      <c r="M4180" t="str">
        <f t="shared" si="1705"/>
        <v>04-08-2020</v>
      </c>
      <c r="N4180" t="str">
        <f t="shared" si="1706"/>
        <v>001105018356</v>
      </c>
      <c r="O4180" t="str">
        <f t="shared" si="1707"/>
        <v>MYR</v>
      </c>
      <c r="P4180" t="str">
        <f t="shared" si="1708"/>
        <v>NIL</v>
      </c>
      <c r="Q4180" t="str">
        <f t="shared" si="1708"/>
        <v>NIL</v>
      </c>
      <c r="R4180" t="str">
        <f t="shared" si="1709"/>
        <v>Accepted</v>
      </c>
      <c r="S4180" t="str">
        <f t="shared" si="1710"/>
        <v>Approved</v>
      </c>
      <c r="T4180" t="str">
        <f t="shared" si="1711"/>
        <v>10.20.8.188</v>
      </c>
      <c r="U4180" t="str">
        <f t="shared" si="1712"/>
        <v>AZRAD UMAR BIN SHAARI</v>
      </c>
      <c r="V4180" t="str">
        <f t="shared" si="1713"/>
        <v>FARHANA BINTI MUSTAPA</v>
      </c>
      <c r="W4180" t="str">
        <f t="shared" si="1714"/>
        <v>04-08-2020</v>
      </c>
      <c r="X4180" t="str">
        <f t="shared" si="1715"/>
        <v>RAZIMAH ANSAR AHMAD</v>
      </c>
      <c r="Y4180" t="str">
        <f t="shared" si="1716"/>
        <v>04-08-2020</v>
      </c>
      <c r="Z4180" t="str">
        <f>"COS10200804 4974"</f>
        <v>COS10200804 4974</v>
      </c>
    </row>
    <row r="4181" spans="1:26" x14ac:dyDescent="0.25">
      <c r="A4181" t="str">
        <f t="shared" si="1700"/>
        <v>04-08-2020 12:53:46</v>
      </c>
      <c r="B4181" t="str">
        <f>"0000806758"</f>
        <v>0000806758</v>
      </c>
      <c r="C4181" t="str">
        <f t="shared" si="1701"/>
        <v>0000806585</v>
      </c>
      <c r="D4181" t="str">
        <f t="shared" si="1702"/>
        <v>73185</v>
      </c>
      <c r="E4181" t="str">
        <f t="shared" si="1703"/>
        <v>KFH-OPERATIONS DEPARTMENT</v>
      </c>
      <c r="F4181" t="str">
        <f t="shared" si="1704"/>
        <v>IBG</v>
      </c>
      <c r="G4181" t="str">
        <f t="shared" si="1717"/>
        <v>Refund COSHARE 10</v>
      </c>
      <c r="H4181" s="2">
        <v>1679</v>
      </c>
      <c r="I4181" t="str">
        <f>"KAMAL ASYRAFF BIN NODIN"</f>
        <v>KAMAL ASYRAFF BIN NODIN</v>
      </c>
      <c r="J4181" t="str">
        <f t="shared" si="1718"/>
        <v>MAYBANK / MAYBANK ISLAMIC</v>
      </c>
      <c r="K4181" t="str">
        <f>"113042018741"</f>
        <v>113042018741</v>
      </c>
      <c r="L4181" t="str">
        <f t="shared" si="1705"/>
        <v>04-08-2020</v>
      </c>
      <c r="M4181" t="str">
        <f t="shared" si="1705"/>
        <v>04-08-2020</v>
      </c>
      <c r="N4181" t="str">
        <f t="shared" si="1706"/>
        <v>001105018356</v>
      </c>
      <c r="O4181" t="str">
        <f t="shared" si="1707"/>
        <v>MYR</v>
      </c>
      <c r="P4181" t="str">
        <f t="shared" si="1708"/>
        <v>NIL</v>
      </c>
      <c r="Q4181" t="str">
        <f t="shared" si="1708"/>
        <v>NIL</v>
      </c>
      <c r="R4181" t="str">
        <f t="shared" si="1709"/>
        <v>Accepted</v>
      </c>
      <c r="S4181" t="str">
        <f t="shared" si="1710"/>
        <v>Approved</v>
      </c>
      <c r="T4181" t="str">
        <f t="shared" si="1711"/>
        <v>10.20.8.188</v>
      </c>
      <c r="U4181" t="str">
        <f t="shared" si="1712"/>
        <v>AZRAD UMAR BIN SHAARI</v>
      </c>
      <c r="V4181" t="str">
        <f t="shared" si="1713"/>
        <v>FARHANA BINTI MUSTAPA</v>
      </c>
      <c r="W4181" t="str">
        <f t="shared" si="1714"/>
        <v>04-08-2020</v>
      </c>
      <c r="X4181" t="str">
        <f t="shared" si="1715"/>
        <v>RAZIMAH ANSAR AHMAD</v>
      </c>
      <c r="Y4181" t="str">
        <f t="shared" si="1716"/>
        <v>04-08-2020</v>
      </c>
      <c r="Z4181" t="str">
        <f>"COS10200804 4973"</f>
        <v>COS10200804 4973</v>
      </c>
    </row>
    <row r="4182" spans="1:26" x14ac:dyDescent="0.25">
      <c r="A4182" t="str">
        <f t="shared" si="1700"/>
        <v>04-08-2020 12:53:46</v>
      </c>
      <c r="B4182" t="str">
        <f>"0000806757"</f>
        <v>0000806757</v>
      </c>
      <c r="C4182" t="str">
        <f t="shared" si="1701"/>
        <v>0000806585</v>
      </c>
      <c r="D4182" t="str">
        <f t="shared" si="1702"/>
        <v>73185</v>
      </c>
      <c r="E4182" t="str">
        <f t="shared" si="1703"/>
        <v>KFH-OPERATIONS DEPARTMENT</v>
      </c>
      <c r="F4182" t="str">
        <f t="shared" si="1704"/>
        <v>IBG</v>
      </c>
      <c r="G4182" t="str">
        <f t="shared" si="1717"/>
        <v>Refund COSHARE 10</v>
      </c>
      <c r="H4182" s="2">
        <v>1434.2</v>
      </c>
      <c r="I4182" t="str">
        <f>"KALSUM BINTI ABDULLAH"</f>
        <v>KALSUM BINTI ABDULLAH</v>
      </c>
      <c r="J4182" t="str">
        <f t="shared" si="1718"/>
        <v>MAYBANK / MAYBANK ISLAMIC</v>
      </c>
      <c r="K4182" t="str">
        <f>"112183195134"</f>
        <v>112183195134</v>
      </c>
      <c r="L4182" t="str">
        <f t="shared" si="1705"/>
        <v>04-08-2020</v>
      </c>
      <c r="M4182" t="str">
        <f t="shared" si="1705"/>
        <v>04-08-2020</v>
      </c>
      <c r="N4182" t="str">
        <f t="shared" si="1706"/>
        <v>001105018356</v>
      </c>
      <c r="O4182" t="str">
        <f t="shared" si="1707"/>
        <v>MYR</v>
      </c>
      <c r="P4182" t="str">
        <f t="shared" si="1708"/>
        <v>NIL</v>
      </c>
      <c r="Q4182" t="str">
        <f t="shared" si="1708"/>
        <v>NIL</v>
      </c>
      <c r="R4182" t="str">
        <f t="shared" si="1709"/>
        <v>Accepted</v>
      </c>
      <c r="S4182" t="str">
        <f t="shared" si="1710"/>
        <v>Approved</v>
      </c>
      <c r="T4182" t="str">
        <f t="shared" si="1711"/>
        <v>10.20.8.188</v>
      </c>
      <c r="U4182" t="str">
        <f t="shared" si="1712"/>
        <v>AZRAD UMAR BIN SHAARI</v>
      </c>
      <c r="V4182" t="str">
        <f t="shared" si="1713"/>
        <v>FARHANA BINTI MUSTAPA</v>
      </c>
      <c r="W4182" t="str">
        <f t="shared" si="1714"/>
        <v>04-08-2020</v>
      </c>
      <c r="X4182" t="str">
        <f t="shared" si="1715"/>
        <v>RAZIMAH ANSAR AHMAD</v>
      </c>
      <c r="Y4182" t="str">
        <f t="shared" si="1716"/>
        <v>04-08-2020</v>
      </c>
      <c r="Z4182" t="str">
        <f>"COS10200804 4972"</f>
        <v>COS10200804 4972</v>
      </c>
    </row>
    <row r="4183" spans="1:26" x14ac:dyDescent="0.25">
      <c r="A4183" t="str">
        <f t="shared" si="1700"/>
        <v>04-08-2020 12:53:46</v>
      </c>
      <c r="B4183" t="str">
        <f>"0000806756"</f>
        <v>0000806756</v>
      </c>
      <c r="C4183" t="str">
        <f t="shared" si="1701"/>
        <v>0000806585</v>
      </c>
      <c r="D4183" t="str">
        <f t="shared" si="1702"/>
        <v>73185</v>
      </c>
      <c r="E4183" t="str">
        <f t="shared" si="1703"/>
        <v>KFH-OPERATIONS DEPARTMENT</v>
      </c>
      <c r="F4183" t="str">
        <f t="shared" si="1704"/>
        <v>IBG</v>
      </c>
      <c r="G4183" t="str">
        <f t="shared" si="1717"/>
        <v>Refund COSHARE 10</v>
      </c>
      <c r="H4183" s="2">
        <v>67.2</v>
      </c>
      <c r="I4183" t="str">
        <f>"KALAICHELVE AP RAJANGAM"</f>
        <v>KALAICHELVE AP RAJANGAM</v>
      </c>
      <c r="J4183" t="str">
        <f t="shared" si="1718"/>
        <v>MAYBANK / MAYBANK ISLAMIC</v>
      </c>
      <c r="K4183" t="str">
        <f>"114842040915"</f>
        <v>114842040915</v>
      </c>
      <c r="L4183" t="str">
        <f t="shared" si="1705"/>
        <v>04-08-2020</v>
      </c>
      <c r="M4183" t="str">
        <f t="shared" si="1705"/>
        <v>04-08-2020</v>
      </c>
      <c r="N4183" t="str">
        <f t="shared" si="1706"/>
        <v>001105018356</v>
      </c>
      <c r="O4183" t="str">
        <f t="shared" si="1707"/>
        <v>MYR</v>
      </c>
      <c r="P4183" t="str">
        <f t="shared" si="1708"/>
        <v>NIL</v>
      </c>
      <c r="Q4183" t="str">
        <f t="shared" si="1708"/>
        <v>NIL</v>
      </c>
      <c r="R4183" t="str">
        <f t="shared" si="1709"/>
        <v>Accepted</v>
      </c>
      <c r="S4183" t="str">
        <f t="shared" si="1710"/>
        <v>Approved</v>
      </c>
      <c r="T4183" t="str">
        <f t="shared" si="1711"/>
        <v>10.20.8.188</v>
      </c>
      <c r="U4183" t="str">
        <f t="shared" si="1712"/>
        <v>AZRAD UMAR BIN SHAARI</v>
      </c>
      <c r="V4183" t="str">
        <f t="shared" si="1713"/>
        <v>FARHANA BINTI MUSTAPA</v>
      </c>
      <c r="W4183" t="str">
        <f t="shared" si="1714"/>
        <v>04-08-2020</v>
      </c>
      <c r="X4183" t="str">
        <f t="shared" si="1715"/>
        <v>RAZIMAH ANSAR AHMAD</v>
      </c>
      <c r="Y4183" t="str">
        <f t="shared" si="1716"/>
        <v>04-08-2020</v>
      </c>
      <c r="Z4183" t="str">
        <f>"COS10200804 4971"</f>
        <v>COS10200804 4971</v>
      </c>
    </row>
    <row r="4184" spans="1:26" x14ac:dyDescent="0.25">
      <c r="A4184" t="str">
        <f t="shared" si="1700"/>
        <v>04-08-2020 12:53:46</v>
      </c>
      <c r="B4184" t="str">
        <f>"0000806755"</f>
        <v>0000806755</v>
      </c>
      <c r="C4184" t="str">
        <f t="shared" si="1701"/>
        <v>0000806585</v>
      </c>
      <c r="D4184" t="str">
        <f t="shared" si="1702"/>
        <v>73185</v>
      </c>
      <c r="E4184" t="str">
        <f t="shared" si="1703"/>
        <v>KFH-OPERATIONS DEPARTMENT</v>
      </c>
      <c r="F4184" t="str">
        <f t="shared" si="1704"/>
        <v>IBG</v>
      </c>
      <c r="G4184" t="str">
        <f t="shared" si="1717"/>
        <v>Refund COSHARE 10</v>
      </c>
      <c r="H4184" s="2">
        <v>293.85000000000002</v>
      </c>
      <c r="I4184" t="str">
        <f>"KADIR BIN MOHD NORSUDDIN"</f>
        <v>KADIR BIN MOHD NORSUDDIN</v>
      </c>
      <c r="J4184" t="str">
        <f t="shared" si="1718"/>
        <v>MAYBANK / MAYBANK ISLAMIC</v>
      </c>
      <c r="K4184" t="str">
        <f>"151089291605"</f>
        <v>151089291605</v>
      </c>
      <c r="L4184" t="str">
        <f t="shared" si="1705"/>
        <v>04-08-2020</v>
      </c>
      <c r="M4184" t="str">
        <f t="shared" si="1705"/>
        <v>04-08-2020</v>
      </c>
      <c r="N4184" t="str">
        <f t="shared" si="1706"/>
        <v>001105018356</v>
      </c>
      <c r="O4184" t="str">
        <f t="shared" si="1707"/>
        <v>MYR</v>
      </c>
      <c r="P4184" t="str">
        <f t="shared" si="1708"/>
        <v>NIL</v>
      </c>
      <c r="Q4184" t="str">
        <f t="shared" si="1708"/>
        <v>NIL</v>
      </c>
      <c r="R4184" t="str">
        <f t="shared" si="1709"/>
        <v>Accepted</v>
      </c>
      <c r="S4184" t="str">
        <f t="shared" si="1710"/>
        <v>Approved</v>
      </c>
      <c r="T4184" t="str">
        <f t="shared" si="1711"/>
        <v>10.20.8.188</v>
      </c>
      <c r="U4184" t="str">
        <f t="shared" si="1712"/>
        <v>AZRAD UMAR BIN SHAARI</v>
      </c>
      <c r="V4184" t="str">
        <f t="shared" si="1713"/>
        <v>FARHANA BINTI MUSTAPA</v>
      </c>
      <c r="W4184" t="str">
        <f t="shared" si="1714"/>
        <v>04-08-2020</v>
      </c>
      <c r="X4184" t="str">
        <f t="shared" si="1715"/>
        <v>RAZIMAH ANSAR AHMAD</v>
      </c>
      <c r="Y4184" t="str">
        <f t="shared" si="1716"/>
        <v>04-08-2020</v>
      </c>
      <c r="Z4184" t="str">
        <f>"COS10200804 4970"</f>
        <v>COS10200804 4970</v>
      </c>
    </row>
    <row r="4185" spans="1:26" x14ac:dyDescent="0.25">
      <c r="A4185" t="str">
        <f t="shared" si="1700"/>
        <v>04-08-2020 12:53:46</v>
      </c>
      <c r="B4185" t="str">
        <f>"0000806754"</f>
        <v>0000806754</v>
      </c>
      <c r="C4185" t="str">
        <f t="shared" si="1701"/>
        <v>0000806585</v>
      </c>
      <c r="D4185" t="str">
        <f t="shared" si="1702"/>
        <v>73185</v>
      </c>
      <c r="E4185" t="str">
        <f t="shared" si="1703"/>
        <v>KFH-OPERATIONS DEPARTMENT</v>
      </c>
      <c r="F4185" t="str">
        <f t="shared" si="1704"/>
        <v>IBG</v>
      </c>
      <c r="G4185" t="str">
        <f t="shared" si="1717"/>
        <v>Refund COSHARE 10</v>
      </c>
      <c r="H4185" s="2">
        <v>722</v>
      </c>
      <c r="I4185" t="str">
        <f>"KAABZAH BINTI ROSLI"</f>
        <v>KAABZAH BINTI ROSLI</v>
      </c>
      <c r="J4185" t="str">
        <f t="shared" si="1718"/>
        <v>MAYBANK / MAYBANK ISLAMIC</v>
      </c>
      <c r="K4185" t="str">
        <f>"114263078211"</f>
        <v>114263078211</v>
      </c>
      <c r="L4185" t="str">
        <f t="shared" si="1705"/>
        <v>04-08-2020</v>
      </c>
      <c r="M4185" t="str">
        <f t="shared" si="1705"/>
        <v>04-08-2020</v>
      </c>
      <c r="N4185" t="str">
        <f t="shared" si="1706"/>
        <v>001105018356</v>
      </c>
      <c r="O4185" t="str">
        <f t="shared" si="1707"/>
        <v>MYR</v>
      </c>
      <c r="P4185" t="str">
        <f t="shared" si="1708"/>
        <v>NIL</v>
      </c>
      <c r="Q4185" t="str">
        <f t="shared" si="1708"/>
        <v>NIL</v>
      </c>
      <c r="R4185" t="str">
        <f t="shared" si="1709"/>
        <v>Accepted</v>
      </c>
      <c r="S4185" t="str">
        <f t="shared" si="1710"/>
        <v>Approved</v>
      </c>
      <c r="T4185" t="str">
        <f t="shared" si="1711"/>
        <v>10.20.8.188</v>
      </c>
      <c r="U4185" t="str">
        <f t="shared" si="1712"/>
        <v>AZRAD UMAR BIN SHAARI</v>
      </c>
      <c r="V4185" t="str">
        <f t="shared" si="1713"/>
        <v>FARHANA BINTI MUSTAPA</v>
      </c>
      <c r="W4185" t="str">
        <f t="shared" si="1714"/>
        <v>04-08-2020</v>
      </c>
      <c r="X4185" t="str">
        <f t="shared" si="1715"/>
        <v>RAZIMAH ANSAR AHMAD</v>
      </c>
      <c r="Y4185" t="str">
        <f t="shared" si="1716"/>
        <v>04-08-2020</v>
      </c>
      <c r="Z4185" t="str">
        <f>"COS10200804 4969"</f>
        <v>COS10200804 4969</v>
      </c>
    </row>
    <row r="4186" spans="1:26" x14ac:dyDescent="0.25">
      <c r="A4186" t="str">
        <f t="shared" ref="A4186:A4217" si="1719">"04-08-2020 12:53:46"</f>
        <v>04-08-2020 12:53:46</v>
      </c>
      <c r="B4186" t="str">
        <f>"0000806753"</f>
        <v>0000806753</v>
      </c>
      <c r="C4186" t="str">
        <f t="shared" ref="C4186:C4217" si="1720">"0000806585"</f>
        <v>0000806585</v>
      </c>
      <c r="D4186" t="str">
        <f t="shared" si="1702"/>
        <v>73185</v>
      </c>
      <c r="E4186" t="str">
        <f t="shared" si="1703"/>
        <v>KFH-OPERATIONS DEPARTMENT</v>
      </c>
      <c r="F4186" t="str">
        <f t="shared" si="1704"/>
        <v>IBG</v>
      </c>
      <c r="G4186" t="str">
        <f t="shared" si="1717"/>
        <v>Refund COSHARE 10</v>
      </c>
      <c r="H4186" s="2">
        <v>671.6</v>
      </c>
      <c r="I4186" t="str">
        <f>"K SUBAASHINIDEVI AP KANESVARAN"</f>
        <v>K SUBAASHINIDEVI AP KANESVARAN</v>
      </c>
      <c r="J4186" t="str">
        <f t="shared" si="1718"/>
        <v>MAYBANK / MAYBANK ISLAMIC</v>
      </c>
      <c r="K4186" t="str">
        <f>"112278004541"</f>
        <v>112278004541</v>
      </c>
      <c r="L4186" t="str">
        <f t="shared" si="1705"/>
        <v>04-08-2020</v>
      </c>
      <c r="M4186" t="str">
        <f t="shared" si="1705"/>
        <v>04-08-2020</v>
      </c>
      <c r="N4186" t="str">
        <f t="shared" si="1706"/>
        <v>001105018356</v>
      </c>
      <c r="O4186" t="str">
        <f t="shared" si="1707"/>
        <v>MYR</v>
      </c>
      <c r="P4186" t="str">
        <f t="shared" si="1708"/>
        <v>NIL</v>
      </c>
      <c r="Q4186" t="str">
        <f t="shared" si="1708"/>
        <v>NIL</v>
      </c>
      <c r="R4186" t="str">
        <f t="shared" si="1709"/>
        <v>Accepted</v>
      </c>
      <c r="S4186" t="str">
        <f t="shared" si="1710"/>
        <v>Approved</v>
      </c>
      <c r="T4186" t="str">
        <f t="shared" si="1711"/>
        <v>10.20.8.188</v>
      </c>
      <c r="U4186" t="str">
        <f t="shared" si="1712"/>
        <v>AZRAD UMAR BIN SHAARI</v>
      </c>
      <c r="V4186" t="str">
        <f t="shared" si="1713"/>
        <v>FARHANA BINTI MUSTAPA</v>
      </c>
      <c r="W4186" t="str">
        <f t="shared" si="1714"/>
        <v>04-08-2020</v>
      </c>
      <c r="X4186" t="str">
        <f t="shared" si="1715"/>
        <v>RAZIMAH ANSAR AHMAD</v>
      </c>
      <c r="Y4186" t="str">
        <f t="shared" si="1716"/>
        <v>04-08-2020</v>
      </c>
      <c r="Z4186" t="str">
        <f>"COS10200804 4968"</f>
        <v>COS10200804 4968</v>
      </c>
    </row>
    <row r="4187" spans="1:26" x14ac:dyDescent="0.25">
      <c r="A4187" t="str">
        <f t="shared" si="1719"/>
        <v>04-08-2020 12:53:46</v>
      </c>
      <c r="B4187" t="str">
        <f>"0000806752"</f>
        <v>0000806752</v>
      </c>
      <c r="C4187" t="str">
        <f t="shared" si="1720"/>
        <v>0000806585</v>
      </c>
      <c r="D4187" t="str">
        <f t="shared" si="1702"/>
        <v>73185</v>
      </c>
      <c r="E4187" t="str">
        <f t="shared" si="1703"/>
        <v>KFH-OPERATIONS DEPARTMENT</v>
      </c>
      <c r="F4187" t="str">
        <f t="shared" si="1704"/>
        <v>IBG</v>
      </c>
      <c r="G4187" t="str">
        <f t="shared" si="1717"/>
        <v>Refund COSHARE 10</v>
      </c>
      <c r="H4187" s="2">
        <v>755.55</v>
      </c>
      <c r="I4187" t="str">
        <f>"JURINA BT TAIP"</f>
        <v>JURINA BT TAIP</v>
      </c>
      <c r="J4187" t="str">
        <f t="shared" si="1718"/>
        <v>MAYBANK / MAYBANK ISLAMIC</v>
      </c>
      <c r="K4187" t="str">
        <f>"161033177928"</f>
        <v>161033177928</v>
      </c>
      <c r="L4187" t="str">
        <f t="shared" ref="L4187:M4206" si="1721">"04-08-2020"</f>
        <v>04-08-2020</v>
      </c>
      <c r="M4187" t="str">
        <f t="shared" si="1721"/>
        <v>04-08-2020</v>
      </c>
      <c r="N4187" t="str">
        <f t="shared" si="1706"/>
        <v>001105018356</v>
      </c>
      <c r="O4187" t="str">
        <f t="shared" si="1707"/>
        <v>MYR</v>
      </c>
      <c r="P4187" t="str">
        <f t="shared" ref="P4187:Q4206" si="1722">"NIL"</f>
        <v>NIL</v>
      </c>
      <c r="Q4187" t="str">
        <f t="shared" si="1722"/>
        <v>NIL</v>
      </c>
      <c r="R4187" t="str">
        <f t="shared" si="1709"/>
        <v>Accepted</v>
      </c>
      <c r="S4187" t="str">
        <f t="shared" si="1710"/>
        <v>Approved</v>
      </c>
      <c r="T4187" t="str">
        <f t="shared" si="1711"/>
        <v>10.20.8.188</v>
      </c>
      <c r="U4187" t="str">
        <f t="shared" si="1712"/>
        <v>AZRAD UMAR BIN SHAARI</v>
      </c>
      <c r="V4187" t="str">
        <f t="shared" si="1713"/>
        <v>FARHANA BINTI MUSTAPA</v>
      </c>
      <c r="W4187" t="str">
        <f t="shared" si="1714"/>
        <v>04-08-2020</v>
      </c>
      <c r="X4187" t="str">
        <f t="shared" si="1715"/>
        <v>RAZIMAH ANSAR AHMAD</v>
      </c>
      <c r="Y4187" t="str">
        <f t="shared" si="1716"/>
        <v>04-08-2020</v>
      </c>
      <c r="Z4187" t="str">
        <f>"COS10200804 4967"</f>
        <v>COS10200804 4967</v>
      </c>
    </row>
    <row r="4188" spans="1:26" x14ac:dyDescent="0.25">
      <c r="A4188" t="str">
        <f t="shared" si="1719"/>
        <v>04-08-2020 12:53:46</v>
      </c>
      <c r="B4188" t="str">
        <f>"0000806751"</f>
        <v>0000806751</v>
      </c>
      <c r="C4188" t="str">
        <f t="shared" si="1720"/>
        <v>0000806585</v>
      </c>
      <c r="D4188" t="str">
        <f t="shared" si="1702"/>
        <v>73185</v>
      </c>
      <c r="E4188" t="str">
        <f t="shared" si="1703"/>
        <v>KFH-OPERATIONS DEPARTMENT</v>
      </c>
      <c r="F4188" t="str">
        <f t="shared" si="1704"/>
        <v>IBG</v>
      </c>
      <c r="G4188" t="str">
        <f t="shared" si="1717"/>
        <v>Refund COSHARE 10</v>
      </c>
      <c r="H4188" s="2">
        <v>419.75</v>
      </c>
      <c r="I4188" t="str">
        <f>"JURINA BINTI TAIP"</f>
        <v>JURINA BINTI TAIP</v>
      </c>
      <c r="J4188" t="str">
        <f t="shared" si="1718"/>
        <v>MAYBANK / MAYBANK ISLAMIC</v>
      </c>
      <c r="K4188" t="str">
        <f>"161033177928"</f>
        <v>161033177928</v>
      </c>
      <c r="L4188" t="str">
        <f t="shared" si="1721"/>
        <v>04-08-2020</v>
      </c>
      <c r="M4188" t="str">
        <f t="shared" si="1721"/>
        <v>04-08-2020</v>
      </c>
      <c r="N4188" t="str">
        <f t="shared" si="1706"/>
        <v>001105018356</v>
      </c>
      <c r="O4188" t="str">
        <f t="shared" si="1707"/>
        <v>MYR</v>
      </c>
      <c r="P4188" t="str">
        <f t="shared" si="1722"/>
        <v>NIL</v>
      </c>
      <c r="Q4188" t="str">
        <f t="shared" si="1722"/>
        <v>NIL</v>
      </c>
      <c r="R4188" t="str">
        <f t="shared" si="1709"/>
        <v>Accepted</v>
      </c>
      <c r="S4188" t="str">
        <f t="shared" si="1710"/>
        <v>Approved</v>
      </c>
      <c r="T4188" t="str">
        <f t="shared" si="1711"/>
        <v>10.20.8.188</v>
      </c>
      <c r="U4188" t="str">
        <f t="shared" si="1712"/>
        <v>AZRAD UMAR BIN SHAARI</v>
      </c>
      <c r="V4188" t="str">
        <f t="shared" si="1713"/>
        <v>FARHANA BINTI MUSTAPA</v>
      </c>
      <c r="W4188" t="str">
        <f t="shared" si="1714"/>
        <v>04-08-2020</v>
      </c>
      <c r="X4188" t="str">
        <f t="shared" si="1715"/>
        <v>RAZIMAH ANSAR AHMAD</v>
      </c>
      <c r="Y4188" t="str">
        <f t="shared" si="1716"/>
        <v>04-08-2020</v>
      </c>
      <c r="Z4188" t="str">
        <f>"COS10200804 4966"</f>
        <v>COS10200804 4966</v>
      </c>
    </row>
    <row r="4189" spans="1:26" x14ac:dyDescent="0.25">
      <c r="A4189" t="str">
        <f t="shared" si="1719"/>
        <v>04-08-2020 12:53:46</v>
      </c>
      <c r="B4189" t="str">
        <f>"0000806750"</f>
        <v>0000806750</v>
      </c>
      <c r="C4189" t="str">
        <f t="shared" si="1720"/>
        <v>0000806585</v>
      </c>
      <c r="D4189" t="str">
        <f t="shared" si="1702"/>
        <v>73185</v>
      </c>
      <c r="E4189" t="str">
        <f t="shared" si="1703"/>
        <v>KFH-OPERATIONS DEPARTMENT</v>
      </c>
      <c r="F4189" t="str">
        <f t="shared" si="1704"/>
        <v>IBG</v>
      </c>
      <c r="G4189" t="str">
        <f t="shared" si="1717"/>
        <v>Refund COSHARE 10</v>
      </c>
      <c r="H4189" s="2">
        <v>1418.75</v>
      </c>
      <c r="I4189" t="str">
        <f>"JURIN UMAT"</f>
        <v>JURIN UMAT</v>
      </c>
      <c r="J4189" t="str">
        <f t="shared" si="1718"/>
        <v>MAYBANK / MAYBANK ISLAMIC</v>
      </c>
      <c r="K4189" t="str">
        <f>"160269110499"</f>
        <v>160269110499</v>
      </c>
      <c r="L4189" t="str">
        <f t="shared" si="1721"/>
        <v>04-08-2020</v>
      </c>
      <c r="M4189" t="str">
        <f t="shared" si="1721"/>
        <v>04-08-2020</v>
      </c>
      <c r="N4189" t="str">
        <f t="shared" si="1706"/>
        <v>001105018356</v>
      </c>
      <c r="O4189" t="str">
        <f t="shared" si="1707"/>
        <v>MYR</v>
      </c>
      <c r="P4189" t="str">
        <f t="shared" si="1722"/>
        <v>NIL</v>
      </c>
      <c r="Q4189" t="str">
        <f t="shared" si="1722"/>
        <v>NIL</v>
      </c>
      <c r="R4189" t="str">
        <f t="shared" si="1709"/>
        <v>Accepted</v>
      </c>
      <c r="S4189" t="str">
        <f t="shared" si="1710"/>
        <v>Approved</v>
      </c>
      <c r="T4189" t="str">
        <f t="shared" si="1711"/>
        <v>10.20.8.188</v>
      </c>
      <c r="U4189" t="str">
        <f t="shared" si="1712"/>
        <v>AZRAD UMAR BIN SHAARI</v>
      </c>
      <c r="V4189" t="str">
        <f t="shared" si="1713"/>
        <v>FARHANA BINTI MUSTAPA</v>
      </c>
      <c r="W4189" t="str">
        <f t="shared" si="1714"/>
        <v>04-08-2020</v>
      </c>
      <c r="X4189" t="str">
        <f t="shared" si="1715"/>
        <v>RAZIMAH ANSAR AHMAD</v>
      </c>
      <c r="Y4189" t="str">
        <f t="shared" si="1716"/>
        <v>04-08-2020</v>
      </c>
      <c r="Z4189" t="str">
        <f>"COS10200804 4965"</f>
        <v>COS10200804 4965</v>
      </c>
    </row>
    <row r="4190" spans="1:26" x14ac:dyDescent="0.25">
      <c r="A4190" t="str">
        <f t="shared" si="1719"/>
        <v>04-08-2020 12:53:46</v>
      </c>
      <c r="B4190" t="str">
        <f>"0000806749"</f>
        <v>0000806749</v>
      </c>
      <c r="C4190" t="str">
        <f t="shared" si="1720"/>
        <v>0000806585</v>
      </c>
      <c r="D4190" t="str">
        <f t="shared" si="1702"/>
        <v>73185</v>
      </c>
      <c r="E4190" t="str">
        <f t="shared" si="1703"/>
        <v>KFH-OPERATIONS DEPARTMENT</v>
      </c>
      <c r="F4190" t="str">
        <f t="shared" si="1704"/>
        <v>IBG</v>
      </c>
      <c r="G4190" t="str">
        <f t="shared" si="1717"/>
        <v>Refund COSHARE 10</v>
      </c>
      <c r="H4190" s="2">
        <v>84</v>
      </c>
      <c r="I4190" t="str">
        <f>"JURAIDAH BINTI ASPARAH"</f>
        <v>JURAIDAH BINTI ASPARAH</v>
      </c>
      <c r="J4190" t="str">
        <f t="shared" si="1718"/>
        <v>MAYBANK / MAYBANK ISLAMIC</v>
      </c>
      <c r="K4190" t="str">
        <f>"110041016242"</f>
        <v>110041016242</v>
      </c>
      <c r="L4190" t="str">
        <f t="shared" si="1721"/>
        <v>04-08-2020</v>
      </c>
      <c r="M4190" t="str">
        <f t="shared" si="1721"/>
        <v>04-08-2020</v>
      </c>
      <c r="N4190" t="str">
        <f t="shared" si="1706"/>
        <v>001105018356</v>
      </c>
      <c r="O4190" t="str">
        <f t="shared" si="1707"/>
        <v>MYR</v>
      </c>
      <c r="P4190" t="str">
        <f t="shared" si="1722"/>
        <v>NIL</v>
      </c>
      <c r="Q4190" t="str">
        <f t="shared" si="1722"/>
        <v>NIL</v>
      </c>
      <c r="R4190" t="str">
        <f t="shared" si="1709"/>
        <v>Accepted</v>
      </c>
      <c r="S4190" t="str">
        <f t="shared" si="1710"/>
        <v>Approved</v>
      </c>
      <c r="T4190" t="str">
        <f t="shared" si="1711"/>
        <v>10.20.8.188</v>
      </c>
      <c r="U4190" t="str">
        <f t="shared" si="1712"/>
        <v>AZRAD UMAR BIN SHAARI</v>
      </c>
      <c r="V4190" t="str">
        <f t="shared" si="1713"/>
        <v>FARHANA BINTI MUSTAPA</v>
      </c>
      <c r="W4190" t="str">
        <f t="shared" si="1714"/>
        <v>04-08-2020</v>
      </c>
      <c r="X4190" t="str">
        <f t="shared" si="1715"/>
        <v>RAZIMAH ANSAR AHMAD</v>
      </c>
      <c r="Y4190" t="str">
        <f t="shared" si="1716"/>
        <v>04-08-2020</v>
      </c>
      <c r="Z4190" t="str">
        <f>"COS10200804 4964"</f>
        <v>COS10200804 4964</v>
      </c>
    </row>
    <row r="4191" spans="1:26" x14ac:dyDescent="0.25">
      <c r="A4191" t="str">
        <f t="shared" si="1719"/>
        <v>04-08-2020 12:53:46</v>
      </c>
      <c r="B4191" t="str">
        <f>"0000806748"</f>
        <v>0000806748</v>
      </c>
      <c r="C4191" t="str">
        <f t="shared" si="1720"/>
        <v>0000806585</v>
      </c>
      <c r="D4191" t="str">
        <f t="shared" si="1702"/>
        <v>73185</v>
      </c>
      <c r="E4191" t="str">
        <f t="shared" si="1703"/>
        <v>KFH-OPERATIONS DEPARTMENT</v>
      </c>
      <c r="F4191" t="str">
        <f t="shared" si="1704"/>
        <v>IBG</v>
      </c>
      <c r="G4191" t="str">
        <f t="shared" si="1717"/>
        <v>Refund COSHARE 10</v>
      </c>
      <c r="H4191" s="2">
        <v>915.05</v>
      </c>
      <c r="I4191" t="str">
        <f>"JUNITA MUSLIHA BINTI IBRAHIM"</f>
        <v>JUNITA MUSLIHA BINTI IBRAHIM</v>
      </c>
      <c r="J4191" t="str">
        <f t="shared" si="1718"/>
        <v>MAYBANK / MAYBANK ISLAMIC</v>
      </c>
      <c r="K4191" t="str">
        <f>"106053017378"</f>
        <v>106053017378</v>
      </c>
      <c r="L4191" t="str">
        <f t="shared" si="1721"/>
        <v>04-08-2020</v>
      </c>
      <c r="M4191" t="str">
        <f t="shared" si="1721"/>
        <v>04-08-2020</v>
      </c>
      <c r="N4191" t="str">
        <f t="shared" si="1706"/>
        <v>001105018356</v>
      </c>
      <c r="O4191" t="str">
        <f t="shared" si="1707"/>
        <v>MYR</v>
      </c>
      <c r="P4191" t="str">
        <f t="shared" si="1722"/>
        <v>NIL</v>
      </c>
      <c r="Q4191" t="str">
        <f t="shared" si="1722"/>
        <v>NIL</v>
      </c>
      <c r="R4191" t="str">
        <f t="shared" si="1709"/>
        <v>Accepted</v>
      </c>
      <c r="S4191" t="str">
        <f t="shared" si="1710"/>
        <v>Approved</v>
      </c>
      <c r="T4191" t="str">
        <f t="shared" si="1711"/>
        <v>10.20.8.188</v>
      </c>
      <c r="U4191" t="str">
        <f t="shared" si="1712"/>
        <v>AZRAD UMAR BIN SHAARI</v>
      </c>
      <c r="V4191" t="str">
        <f t="shared" si="1713"/>
        <v>FARHANA BINTI MUSTAPA</v>
      </c>
      <c r="W4191" t="str">
        <f t="shared" si="1714"/>
        <v>04-08-2020</v>
      </c>
      <c r="X4191" t="str">
        <f t="shared" si="1715"/>
        <v>RAZIMAH ANSAR AHMAD</v>
      </c>
      <c r="Y4191" t="str">
        <f t="shared" si="1716"/>
        <v>04-08-2020</v>
      </c>
      <c r="Z4191" t="str">
        <f>"COS10200804 4963"</f>
        <v>COS10200804 4963</v>
      </c>
    </row>
    <row r="4192" spans="1:26" x14ac:dyDescent="0.25">
      <c r="A4192" t="str">
        <f t="shared" si="1719"/>
        <v>04-08-2020 12:53:46</v>
      </c>
      <c r="B4192" t="str">
        <f>"0000806747"</f>
        <v>0000806747</v>
      </c>
      <c r="C4192" t="str">
        <f t="shared" si="1720"/>
        <v>0000806585</v>
      </c>
      <c r="D4192" t="str">
        <f t="shared" si="1702"/>
        <v>73185</v>
      </c>
      <c r="E4192" t="str">
        <f t="shared" si="1703"/>
        <v>KFH-OPERATIONS DEPARTMENT</v>
      </c>
      <c r="F4192" t="str">
        <f t="shared" si="1704"/>
        <v>IBG</v>
      </c>
      <c r="G4192" t="str">
        <f t="shared" si="1717"/>
        <v>Refund COSHARE 10</v>
      </c>
      <c r="H4192" s="2">
        <v>335.8</v>
      </c>
      <c r="I4192" t="str">
        <f>"JUNITA DALINA BINTI MOHAMMED SHAARI"</f>
        <v>JUNITA DALINA BINTI MOHAMMED SHAARI</v>
      </c>
      <c r="J4192" t="str">
        <f t="shared" si="1718"/>
        <v>MAYBANK / MAYBANK ISLAMIC</v>
      </c>
      <c r="K4192" t="str">
        <f>"158127001252"</f>
        <v>158127001252</v>
      </c>
      <c r="L4192" t="str">
        <f t="shared" si="1721"/>
        <v>04-08-2020</v>
      </c>
      <c r="M4192" t="str">
        <f t="shared" si="1721"/>
        <v>04-08-2020</v>
      </c>
      <c r="N4192" t="str">
        <f t="shared" si="1706"/>
        <v>001105018356</v>
      </c>
      <c r="O4192" t="str">
        <f t="shared" si="1707"/>
        <v>MYR</v>
      </c>
      <c r="P4192" t="str">
        <f t="shared" si="1722"/>
        <v>NIL</v>
      </c>
      <c r="Q4192" t="str">
        <f t="shared" si="1722"/>
        <v>NIL</v>
      </c>
      <c r="R4192" t="str">
        <f t="shared" si="1709"/>
        <v>Accepted</v>
      </c>
      <c r="S4192" t="str">
        <f t="shared" si="1710"/>
        <v>Approved</v>
      </c>
      <c r="T4192" t="str">
        <f t="shared" si="1711"/>
        <v>10.20.8.188</v>
      </c>
      <c r="U4192" t="str">
        <f t="shared" si="1712"/>
        <v>AZRAD UMAR BIN SHAARI</v>
      </c>
      <c r="V4192" t="str">
        <f t="shared" si="1713"/>
        <v>FARHANA BINTI MUSTAPA</v>
      </c>
      <c r="W4192" t="str">
        <f t="shared" si="1714"/>
        <v>04-08-2020</v>
      </c>
      <c r="X4192" t="str">
        <f t="shared" si="1715"/>
        <v>RAZIMAH ANSAR AHMAD</v>
      </c>
      <c r="Y4192" t="str">
        <f t="shared" si="1716"/>
        <v>04-08-2020</v>
      </c>
      <c r="Z4192" t="str">
        <f>"COS10200804 4962"</f>
        <v>COS10200804 4962</v>
      </c>
    </row>
    <row r="4193" spans="1:26" x14ac:dyDescent="0.25">
      <c r="A4193" t="str">
        <f t="shared" si="1719"/>
        <v>04-08-2020 12:53:46</v>
      </c>
      <c r="B4193" t="str">
        <f>"0000806746"</f>
        <v>0000806746</v>
      </c>
      <c r="C4193" t="str">
        <f t="shared" si="1720"/>
        <v>0000806585</v>
      </c>
      <c r="D4193" t="str">
        <f t="shared" si="1702"/>
        <v>73185</v>
      </c>
      <c r="E4193" t="str">
        <f t="shared" si="1703"/>
        <v>KFH-OPERATIONS DEPARTMENT</v>
      </c>
      <c r="F4193" t="str">
        <f t="shared" si="1704"/>
        <v>IBG</v>
      </c>
      <c r="G4193" t="str">
        <f t="shared" si="1717"/>
        <v>Refund COSHARE 10</v>
      </c>
      <c r="H4193" s="2">
        <v>923.45</v>
      </c>
      <c r="I4193" t="str">
        <f>"JUNISHA HANI BINTI BAHARUDIN"</f>
        <v>JUNISHA HANI BINTI BAHARUDIN</v>
      </c>
      <c r="J4193" t="str">
        <f t="shared" si="1718"/>
        <v>MAYBANK / MAYBANK ISLAMIC</v>
      </c>
      <c r="K4193" t="str">
        <f>"154026451234"</f>
        <v>154026451234</v>
      </c>
      <c r="L4193" t="str">
        <f t="shared" si="1721"/>
        <v>04-08-2020</v>
      </c>
      <c r="M4193" t="str">
        <f t="shared" si="1721"/>
        <v>04-08-2020</v>
      </c>
      <c r="N4193" t="str">
        <f t="shared" si="1706"/>
        <v>001105018356</v>
      </c>
      <c r="O4193" t="str">
        <f t="shared" si="1707"/>
        <v>MYR</v>
      </c>
      <c r="P4193" t="str">
        <f t="shared" si="1722"/>
        <v>NIL</v>
      </c>
      <c r="Q4193" t="str">
        <f t="shared" si="1722"/>
        <v>NIL</v>
      </c>
      <c r="R4193" t="str">
        <f t="shared" si="1709"/>
        <v>Accepted</v>
      </c>
      <c r="S4193" t="str">
        <f t="shared" si="1710"/>
        <v>Approved</v>
      </c>
      <c r="T4193" t="str">
        <f t="shared" si="1711"/>
        <v>10.20.8.188</v>
      </c>
      <c r="U4193" t="str">
        <f t="shared" si="1712"/>
        <v>AZRAD UMAR BIN SHAARI</v>
      </c>
      <c r="V4193" t="str">
        <f t="shared" si="1713"/>
        <v>FARHANA BINTI MUSTAPA</v>
      </c>
      <c r="W4193" t="str">
        <f t="shared" si="1714"/>
        <v>04-08-2020</v>
      </c>
      <c r="X4193" t="str">
        <f t="shared" si="1715"/>
        <v>RAZIMAH ANSAR AHMAD</v>
      </c>
      <c r="Y4193" t="str">
        <f t="shared" si="1716"/>
        <v>04-08-2020</v>
      </c>
      <c r="Z4193" t="str">
        <f>"COS10200804 4961"</f>
        <v>COS10200804 4961</v>
      </c>
    </row>
    <row r="4194" spans="1:26" x14ac:dyDescent="0.25">
      <c r="A4194" t="str">
        <f t="shared" si="1719"/>
        <v>04-08-2020 12:53:46</v>
      </c>
      <c r="B4194" t="str">
        <f>"0000806745"</f>
        <v>0000806745</v>
      </c>
      <c r="C4194" t="str">
        <f t="shared" si="1720"/>
        <v>0000806585</v>
      </c>
      <c r="D4194" t="str">
        <f t="shared" si="1702"/>
        <v>73185</v>
      </c>
      <c r="E4194" t="str">
        <f t="shared" si="1703"/>
        <v>KFH-OPERATIONS DEPARTMENT</v>
      </c>
      <c r="F4194" t="str">
        <f t="shared" si="1704"/>
        <v>IBG</v>
      </c>
      <c r="G4194" t="str">
        <f t="shared" si="1717"/>
        <v>Refund COSHARE 10</v>
      </c>
      <c r="H4194" s="2">
        <v>420</v>
      </c>
      <c r="I4194" t="str">
        <f>"JUNAINAH BINTI MOHAMED"</f>
        <v>JUNAINAH BINTI MOHAMED</v>
      </c>
      <c r="J4194" t="str">
        <f t="shared" si="1718"/>
        <v>MAYBANK / MAYBANK ISLAMIC</v>
      </c>
      <c r="K4194" t="str">
        <f>"151173555385"</f>
        <v>151173555385</v>
      </c>
      <c r="L4194" t="str">
        <f t="shared" si="1721"/>
        <v>04-08-2020</v>
      </c>
      <c r="M4194" t="str">
        <f t="shared" si="1721"/>
        <v>04-08-2020</v>
      </c>
      <c r="N4194" t="str">
        <f t="shared" si="1706"/>
        <v>001105018356</v>
      </c>
      <c r="O4194" t="str">
        <f t="shared" si="1707"/>
        <v>MYR</v>
      </c>
      <c r="P4194" t="str">
        <f t="shared" si="1722"/>
        <v>NIL</v>
      </c>
      <c r="Q4194" t="str">
        <f t="shared" si="1722"/>
        <v>NIL</v>
      </c>
      <c r="R4194" t="str">
        <f t="shared" si="1709"/>
        <v>Accepted</v>
      </c>
      <c r="S4194" t="str">
        <f t="shared" si="1710"/>
        <v>Approved</v>
      </c>
      <c r="T4194" t="str">
        <f t="shared" si="1711"/>
        <v>10.20.8.188</v>
      </c>
      <c r="U4194" t="str">
        <f t="shared" si="1712"/>
        <v>AZRAD UMAR BIN SHAARI</v>
      </c>
      <c r="V4194" t="str">
        <f t="shared" si="1713"/>
        <v>FARHANA BINTI MUSTAPA</v>
      </c>
      <c r="W4194" t="str">
        <f t="shared" si="1714"/>
        <v>04-08-2020</v>
      </c>
      <c r="X4194" t="str">
        <f t="shared" si="1715"/>
        <v>RAZIMAH ANSAR AHMAD</v>
      </c>
      <c r="Y4194" t="str">
        <f t="shared" si="1716"/>
        <v>04-08-2020</v>
      </c>
      <c r="Z4194" t="str">
        <f>"COS10200804 4960"</f>
        <v>COS10200804 4960</v>
      </c>
    </row>
    <row r="4195" spans="1:26" x14ac:dyDescent="0.25">
      <c r="A4195" t="str">
        <f t="shared" si="1719"/>
        <v>04-08-2020 12:53:46</v>
      </c>
      <c r="B4195" t="str">
        <f>"0000806744"</f>
        <v>0000806744</v>
      </c>
      <c r="C4195" t="str">
        <f t="shared" si="1720"/>
        <v>0000806585</v>
      </c>
      <c r="D4195" t="str">
        <f t="shared" si="1702"/>
        <v>73185</v>
      </c>
      <c r="E4195" t="str">
        <f t="shared" si="1703"/>
        <v>KFH-OPERATIONS DEPARTMENT</v>
      </c>
      <c r="F4195" t="str">
        <f t="shared" si="1704"/>
        <v>IBG</v>
      </c>
      <c r="G4195" t="str">
        <f t="shared" si="1717"/>
        <v>Refund COSHARE 10</v>
      </c>
      <c r="H4195" s="2">
        <v>167.9</v>
      </c>
      <c r="I4195" t="str">
        <f>"JUNAINAH BINTI MOHAMAD ZAIN"</f>
        <v>JUNAINAH BINTI MOHAMAD ZAIN</v>
      </c>
      <c r="J4195" t="str">
        <f t="shared" si="1718"/>
        <v>MAYBANK / MAYBANK ISLAMIC</v>
      </c>
      <c r="K4195" t="str">
        <f>"158172870799"</f>
        <v>158172870799</v>
      </c>
      <c r="L4195" t="str">
        <f t="shared" si="1721"/>
        <v>04-08-2020</v>
      </c>
      <c r="M4195" t="str">
        <f t="shared" si="1721"/>
        <v>04-08-2020</v>
      </c>
      <c r="N4195" t="str">
        <f t="shared" si="1706"/>
        <v>001105018356</v>
      </c>
      <c r="O4195" t="str">
        <f t="shared" si="1707"/>
        <v>MYR</v>
      </c>
      <c r="P4195" t="str">
        <f t="shared" si="1722"/>
        <v>NIL</v>
      </c>
      <c r="Q4195" t="str">
        <f t="shared" si="1722"/>
        <v>NIL</v>
      </c>
      <c r="R4195" t="str">
        <f t="shared" si="1709"/>
        <v>Accepted</v>
      </c>
      <c r="S4195" t="str">
        <f t="shared" si="1710"/>
        <v>Approved</v>
      </c>
      <c r="T4195" t="str">
        <f t="shared" si="1711"/>
        <v>10.20.8.188</v>
      </c>
      <c r="U4195" t="str">
        <f t="shared" si="1712"/>
        <v>AZRAD UMAR BIN SHAARI</v>
      </c>
      <c r="V4195" t="str">
        <f t="shared" si="1713"/>
        <v>FARHANA BINTI MUSTAPA</v>
      </c>
      <c r="W4195" t="str">
        <f t="shared" si="1714"/>
        <v>04-08-2020</v>
      </c>
      <c r="X4195" t="str">
        <f t="shared" si="1715"/>
        <v>RAZIMAH ANSAR AHMAD</v>
      </c>
      <c r="Y4195" t="str">
        <f t="shared" si="1716"/>
        <v>04-08-2020</v>
      </c>
      <c r="Z4195" t="str">
        <f>"COS10200804 4959"</f>
        <v>COS10200804 4959</v>
      </c>
    </row>
    <row r="4196" spans="1:26" x14ac:dyDescent="0.25">
      <c r="A4196" t="str">
        <f t="shared" si="1719"/>
        <v>04-08-2020 12:53:46</v>
      </c>
      <c r="B4196" t="str">
        <f>"0000806743"</f>
        <v>0000806743</v>
      </c>
      <c r="C4196" t="str">
        <f t="shared" si="1720"/>
        <v>0000806585</v>
      </c>
      <c r="D4196" t="str">
        <f t="shared" si="1702"/>
        <v>73185</v>
      </c>
      <c r="E4196" t="str">
        <f t="shared" si="1703"/>
        <v>KFH-OPERATIONS DEPARTMENT</v>
      </c>
      <c r="F4196" t="str">
        <f t="shared" si="1704"/>
        <v>IBG</v>
      </c>
      <c r="G4196" t="str">
        <f t="shared" si="1717"/>
        <v>Refund COSHARE 10</v>
      </c>
      <c r="H4196" s="2">
        <v>277.05</v>
      </c>
      <c r="I4196" t="str">
        <f>"JUNAIDI BIN SUHAILI"</f>
        <v>JUNAIDI BIN SUHAILI</v>
      </c>
      <c r="J4196" t="str">
        <f t="shared" si="1718"/>
        <v>MAYBANK / MAYBANK ISLAMIC</v>
      </c>
      <c r="K4196" t="str">
        <f>"157072008792"</f>
        <v>157072008792</v>
      </c>
      <c r="L4196" t="str">
        <f t="shared" si="1721"/>
        <v>04-08-2020</v>
      </c>
      <c r="M4196" t="str">
        <f t="shared" si="1721"/>
        <v>04-08-2020</v>
      </c>
      <c r="N4196" t="str">
        <f t="shared" si="1706"/>
        <v>001105018356</v>
      </c>
      <c r="O4196" t="str">
        <f t="shared" si="1707"/>
        <v>MYR</v>
      </c>
      <c r="P4196" t="str">
        <f t="shared" si="1722"/>
        <v>NIL</v>
      </c>
      <c r="Q4196" t="str">
        <f t="shared" si="1722"/>
        <v>NIL</v>
      </c>
      <c r="R4196" t="str">
        <f t="shared" si="1709"/>
        <v>Accepted</v>
      </c>
      <c r="S4196" t="str">
        <f t="shared" si="1710"/>
        <v>Approved</v>
      </c>
      <c r="T4196" t="str">
        <f t="shared" si="1711"/>
        <v>10.20.8.188</v>
      </c>
      <c r="U4196" t="str">
        <f t="shared" si="1712"/>
        <v>AZRAD UMAR BIN SHAARI</v>
      </c>
      <c r="V4196" t="str">
        <f t="shared" si="1713"/>
        <v>FARHANA BINTI MUSTAPA</v>
      </c>
      <c r="W4196" t="str">
        <f t="shared" si="1714"/>
        <v>04-08-2020</v>
      </c>
      <c r="X4196" t="str">
        <f t="shared" si="1715"/>
        <v>RAZIMAH ANSAR AHMAD</v>
      </c>
      <c r="Y4196" t="str">
        <f t="shared" si="1716"/>
        <v>04-08-2020</v>
      </c>
      <c r="Z4196" t="str">
        <f>"COS10200804 4958"</f>
        <v>COS10200804 4958</v>
      </c>
    </row>
    <row r="4197" spans="1:26" x14ac:dyDescent="0.25">
      <c r="A4197" t="str">
        <f t="shared" si="1719"/>
        <v>04-08-2020 12:53:46</v>
      </c>
      <c r="B4197" t="str">
        <f>"0000806742"</f>
        <v>0000806742</v>
      </c>
      <c r="C4197" t="str">
        <f t="shared" si="1720"/>
        <v>0000806585</v>
      </c>
      <c r="D4197" t="str">
        <f t="shared" si="1702"/>
        <v>73185</v>
      </c>
      <c r="E4197" t="str">
        <f t="shared" si="1703"/>
        <v>KFH-OPERATIONS DEPARTMENT</v>
      </c>
      <c r="F4197" t="str">
        <f t="shared" si="1704"/>
        <v>IBG</v>
      </c>
      <c r="G4197" t="str">
        <f t="shared" si="1717"/>
        <v>Refund COSHARE 10</v>
      </c>
      <c r="H4197" s="2">
        <v>2141.1999999999998</v>
      </c>
      <c r="I4197" t="str">
        <f>"JUNAIDI BIN ABIDIN"</f>
        <v>JUNAIDI BIN ABIDIN</v>
      </c>
      <c r="J4197" t="str">
        <f t="shared" si="1718"/>
        <v>MAYBANK / MAYBANK ISLAMIC</v>
      </c>
      <c r="K4197" t="str">
        <f>"110144097363"</f>
        <v>110144097363</v>
      </c>
      <c r="L4197" t="str">
        <f t="shared" si="1721"/>
        <v>04-08-2020</v>
      </c>
      <c r="M4197" t="str">
        <f t="shared" si="1721"/>
        <v>04-08-2020</v>
      </c>
      <c r="N4197" t="str">
        <f t="shared" si="1706"/>
        <v>001105018356</v>
      </c>
      <c r="O4197" t="str">
        <f t="shared" si="1707"/>
        <v>MYR</v>
      </c>
      <c r="P4197" t="str">
        <f t="shared" si="1722"/>
        <v>NIL</v>
      </c>
      <c r="Q4197" t="str">
        <f t="shared" si="1722"/>
        <v>NIL</v>
      </c>
      <c r="R4197" t="str">
        <f t="shared" si="1709"/>
        <v>Accepted</v>
      </c>
      <c r="S4197" t="str">
        <f t="shared" si="1710"/>
        <v>Approved</v>
      </c>
      <c r="T4197" t="str">
        <f t="shared" si="1711"/>
        <v>10.20.8.188</v>
      </c>
      <c r="U4197" t="str">
        <f t="shared" si="1712"/>
        <v>AZRAD UMAR BIN SHAARI</v>
      </c>
      <c r="V4197" t="str">
        <f t="shared" si="1713"/>
        <v>FARHANA BINTI MUSTAPA</v>
      </c>
      <c r="W4197" t="str">
        <f t="shared" si="1714"/>
        <v>04-08-2020</v>
      </c>
      <c r="X4197" t="str">
        <f t="shared" si="1715"/>
        <v>RAZIMAH ANSAR AHMAD</v>
      </c>
      <c r="Y4197" t="str">
        <f t="shared" si="1716"/>
        <v>04-08-2020</v>
      </c>
      <c r="Z4197" t="str">
        <f>"COS10200804 4957"</f>
        <v>COS10200804 4957</v>
      </c>
    </row>
    <row r="4198" spans="1:26" x14ac:dyDescent="0.25">
      <c r="A4198" t="str">
        <f t="shared" si="1719"/>
        <v>04-08-2020 12:53:46</v>
      </c>
      <c r="B4198" t="str">
        <f>"0000806741"</f>
        <v>0000806741</v>
      </c>
      <c r="C4198" t="str">
        <f t="shared" si="1720"/>
        <v>0000806585</v>
      </c>
      <c r="D4198" t="str">
        <f t="shared" si="1702"/>
        <v>73185</v>
      </c>
      <c r="E4198" t="str">
        <f t="shared" si="1703"/>
        <v>KFH-OPERATIONS DEPARTMENT</v>
      </c>
      <c r="F4198" t="str">
        <f t="shared" si="1704"/>
        <v>IBG</v>
      </c>
      <c r="G4198" t="str">
        <f t="shared" si="1717"/>
        <v>Refund COSHARE 10</v>
      </c>
      <c r="H4198" s="2">
        <v>293.85000000000002</v>
      </c>
      <c r="I4198" t="str">
        <f>"JUNAIDAH BINTI RAHIM"</f>
        <v>JUNAIDAH BINTI RAHIM</v>
      </c>
      <c r="J4198" t="str">
        <f t="shared" si="1718"/>
        <v>MAYBANK / MAYBANK ISLAMIC</v>
      </c>
      <c r="K4198" t="str">
        <f>"157081273098"</f>
        <v>157081273098</v>
      </c>
      <c r="L4198" t="str">
        <f t="shared" si="1721"/>
        <v>04-08-2020</v>
      </c>
      <c r="M4198" t="str">
        <f t="shared" si="1721"/>
        <v>04-08-2020</v>
      </c>
      <c r="N4198" t="str">
        <f t="shared" si="1706"/>
        <v>001105018356</v>
      </c>
      <c r="O4198" t="str">
        <f t="shared" si="1707"/>
        <v>MYR</v>
      </c>
      <c r="P4198" t="str">
        <f t="shared" si="1722"/>
        <v>NIL</v>
      </c>
      <c r="Q4198" t="str">
        <f t="shared" si="1722"/>
        <v>NIL</v>
      </c>
      <c r="R4198" t="str">
        <f t="shared" si="1709"/>
        <v>Accepted</v>
      </c>
      <c r="S4198" t="str">
        <f t="shared" si="1710"/>
        <v>Approved</v>
      </c>
      <c r="T4198" t="str">
        <f t="shared" si="1711"/>
        <v>10.20.8.188</v>
      </c>
      <c r="U4198" t="str">
        <f t="shared" si="1712"/>
        <v>AZRAD UMAR BIN SHAARI</v>
      </c>
      <c r="V4198" t="str">
        <f t="shared" si="1713"/>
        <v>FARHANA BINTI MUSTAPA</v>
      </c>
      <c r="W4198" t="str">
        <f t="shared" si="1714"/>
        <v>04-08-2020</v>
      </c>
      <c r="X4198" t="str">
        <f t="shared" si="1715"/>
        <v>RAZIMAH ANSAR AHMAD</v>
      </c>
      <c r="Y4198" t="str">
        <f t="shared" si="1716"/>
        <v>04-08-2020</v>
      </c>
      <c r="Z4198" t="str">
        <f>"COS10200804 4956"</f>
        <v>COS10200804 4956</v>
      </c>
    </row>
    <row r="4199" spans="1:26" x14ac:dyDescent="0.25">
      <c r="A4199" t="str">
        <f t="shared" si="1719"/>
        <v>04-08-2020 12:53:46</v>
      </c>
      <c r="B4199" t="str">
        <f>"0000806740"</f>
        <v>0000806740</v>
      </c>
      <c r="C4199" t="str">
        <f t="shared" si="1720"/>
        <v>0000806585</v>
      </c>
      <c r="D4199" t="str">
        <f t="shared" si="1702"/>
        <v>73185</v>
      </c>
      <c r="E4199" t="str">
        <f t="shared" si="1703"/>
        <v>KFH-OPERATIONS DEPARTMENT</v>
      </c>
      <c r="F4199" t="str">
        <f t="shared" si="1704"/>
        <v>IBG</v>
      </c>
      <c r="G4199" t="str">
        <f t="shared" si="1717"/>
        <v>Refund COSHARE 10</v>
      </c>
      <c r="H4199" s="2">
        <v>196.5</v>
      </c>
      <c r="I4199" t="str">
        <f>"JUNAIDAH BINTI PAKA"</f>
        <v>JUNAIDAH BINTI PAKA</v>
      </c>
      <c r="J4199" t="str">
        <f t="shared" si="1718"/>
        <v>MAYBANK / MAYBANK ISLAMIC</v>
      </c>
      <c r="K4199" t="str">
        <f>"160018616888"</f>
        <v>160018616888</v>
      </c>
      <c r="L4199" t="str">
        <f t="shared" si="1721"/>
        <v>04-08-2020</v>
      </c>
      <c r="M4199" t="str">
        <f t="shared" si="1721"/>
        <v>04-08-2020</v>
      </c>
      <c r="N4199" t="str">
        <f t="shared" si="1706"/>
        <v>001105018356</v>
      </c>
      <c r="O4199" t="str">
        <f t="shared" si="1707"/>
        <v>MYR</v>
      </c>
      <c r="P4199" t="str">
        <f t="shared" si="1722"/>
        <v>NIL</v>
      </c>
      <c r="Q4199" t="str">
        <f t="shared" si="1722"/>
        <v>NIL</v>
      </c>
      <c r="R4199" t="str">
        <f t="shared" si="1709"/>
        <v>Accepted</v>
      </c>
      <c r="S4199" t="str">
        <f t="shared" si="1710"/>
        <v>Approved</v>
      </c>
      <c r="T4199" t="str">
        <f t="shared" si="1711"/>
        <v>10.20.8.188</v>
      </c>
      <c r="U4199" t="str">
        <f t="shared" si="1712"/>
        <v>AZRAD UMAR BIN SHAARI</v>
      </c>
      <c r="V4199" t="str">
        <f t="shared" si="1713"/>
        <v>FARHANA BINTI MUSTAPA</v>
      </c>
      <c r="W4199" t="str">
        <f t="shared" si="1714"/>
        <v>04-08-2020</v>
      </c>
      <c r="X4199" t="str">
        <f t="shared" si="1715"/>
        <v>RAZIMAH ANSAR AHMAD</v>
      </c>
      <c r="Y4199" t="str">
        <f t="shared" si="1716"/>
        <v>04-08-2020</v>
      </c>
      <c r="Z4199" t="str">
        <f>"COS10200804 4955"</f>
        <v>COS10200804 4955</v>
      </c>
    </row>
    <row r="4200" spans="1:26" x14ac:dyDescent="0.25">
      <c r="A4200" t="str">
        <f t="shared" si="1719"/>
        <v>04-08-2020 12:53:46</v>
      </c>
      <c r="B4200" t="str">
        <f>"0000806739"</f>
        <v>0000806739</v>
      </c>
      <c r="C4200" t="str">
        <f t="shared" si="1720"/>
        <v>0000806585</v>
      </c>
      <c r="D4200" t="str">
        <f t="shared" si="1702"/>
        <v>73185</v>
      </c>
      <c r="E4200" t="str">
        <f t="shared" si="1703"/>
        <v>KFH-OPERATIONS DEPARTMENT</v>
      </c>
      <c r="F4200" t="str">
        <f t="shared" si="1704"/>
        <v>IBG</v>
      </c>
      <c r="G4200" t="str">
        <f t="shared" si="1717"/>
        <v>Refund COSHARE 10</v>
      </c>
      <c r="H4200" s="2">
        <v>168</v>
      </c>
      <c r="I4200" t="str">
        <f>"JUNAIDAH BINTI MOHD NOOR"</f>
        <v>JUNAIDAH BINTI MOHD NOOR</v>
      </c>
      <c r="J4200" t="str">
        <f t="shared" si="1718"/>
        <v>MAYBANK / MAYBANK ISLAMIC</v>
      </c>
      <c r="K4200" t="str">
        <f>"112268225559"</f>
        <v>112268225559</v>
      </c>
      <c r="L4200" t="str">
        <f t="shared" si="1721"/>
        <v>04-08-2020</v>
      </c>
      <c r="M4200" t="str">
        <f t="shared" si="1721"/>
        <v>04-08-2020</v>
      </c>
      <c r="N4200" t="str">
        <f t="shared" si="1706"/>
        <v>001105018356</v>
      </c>
      <c r="O4200" t="str">
        <f t="shared" si="1707"/>
        <v>MYR</v>
      </c>
      <c r="P4200" t="str">
        <f t="shared" si="1722"/>
        <v>NIL</v>
      </c>
      <c r="Q4200" t="str">
        <f t="shared" si="1722"/>
        <v>NIL</v>
      </c>
      <c r="R4200" t="str">
        <f t="shared" si="1709"/>
        <v>Accepted</v>
      </c>
      <c r="S4200" t="str">
        <f t="shared" si="1710"/>
        <v>Approved</v>
      </c>
      <c r="T4200" t="str">
        <f t="shared" si="1711"/>
        <v>10.20.8.188</v>
      </c>
      <c r="U4200" t="str">
        <f t="shared" si="1712"/>
        <v>AZRAD UMAR BIN SHAARI</v>
      </c>
      <c r="V4200" t="str">
        <f t="shared" si="1713"/>
        <v>FARHANA BINTI MUSTAPA</v>
      </c>
      <c r="W4200" t="str">
        <f t="shared" si="1714"/>
        <v>04-08-2020</v>
      </c>
      <c r="X4200" t="str">
        <f t="shared" si="1715"/>
        <v>RAZIMAH ANSAR AHMAD</v>
      </c>
      <c r="Y4200" t="str">
        <f t="shared" si="1716"/>
        <v>04-08-2020</v>
      </c>
      <c r="Z4200" t="str">
        <f>"COS10200804 4954"</f>
        <v>COS10200804 4954</v>
      </c>
    </row>
    <row r="4201" spans="1:26" x14ac:dyDescent="0.25">
      <c r="A4201" t="str">
        <f t="shared" si="1719"/>
        <v>04-08-2020 12:53:46</v>
      </c>
      <c r="B4201" t="str">
        <f>"0000806738"</f>
        <v>0000806738</v>
      </c>
      <c r="C4201" t="str">
        <f t="shared" si="1720"/>
        <v>0000806585</v>
      </c>
      <c r="D4201" t="str">
        <f t="shared" si="1702"/>
        <v>73185</v>
      </c>
      <c r="E4201" t="str">
        <f t="shared" si="1703"/>
        <v>KFH-OPERATIONS DEPARTMENT</v>
      </c>
      <c r="F4201" t="str">
        <f t="shared" si="1704"/>
        <v>IBG</v>
      </c>
      <c r="G4201" t="str">
        <f t="shared" si="1717"/>
        <v>Refund COSHARE 10</v>
      </c>
      <c r="H4201" s="2">
        <v>125.95</v>
      </c>
      <c r="I4201" t="str">
        <f>"JUNAIDAH BINTI MOHD NOOR"</f>
        <v>JUNAIDAH BINTI MOHD NOOR</v>
      </c>
      <c r="J4201" t="str">
        <f t="shared" si="1718"/>
        <v>MAYBANK / MAYBANK ISLAMIC</v>
      </c>
      <c r="K4201" t="str">
        <f>"112268225559"</f>
        <v>112268225559</v>
      </c>
      <c r="L4201" t="str">
        <f t="shared" si="1721"/>
        <v>04-08-2020</v>
      </c>
      <c r="M4201" t="str">
        <f t="shared" si="1721"/>
        <v>04-08-2020</v>
      </c>
      <c r="N4201" t="str">
        <f t="shared" si="1706"/>
        <v>001105018356</v>
      </c>
      <c r="O4201" t="str">
        <f t="shared" si="1707"/>
        <v>MYR</v>
      </c>
      <c r="P4201" t="str">
        <f t="shared" si="1722"/>
        <v>NIL</v>
      </c>
      <c r="Q4201" t="str">
        <f t="shared" si="1722"/>
        <v>NIL</v>
      </c>
      <c r="R4201" t="str">
        <f t="shared" si="1709"/>
        <v>Accepted</v>
      </c>
      <c r="S4201" t="str">
        <f t="shared" si="1710"/>
        <v>Approved</v>
      </c>
      <c r="T4201" t="str">
        <f t="shared" si="1711"/>
        <v>10.20.8.188</v>
      </c>
      <c r="U4201" t="str">
        <f t="shared" si="1712"/>
        <v>AZRAD UMAR BIN SHAARI</v>
      </c>
      <c r="V4201" t="str">
        <f t="shared" si="1713"/>
        <v>FARHANA BINTI MUSTAPA</v>
      </c>
      <c r="W4201" t="str">
        <f t="shared" si="1714"/>
        <v>04-08-2020</v>
      </c>
      <c r="X4201" t="str">
        <f t="shared" si="1715"/>
        <v>RAZIMAH ANSAR AHMAD</v>
      </c>
      <c r="Y4201" t="str">
        <f t="shared" si="1716"/>
        <v>04-08-2020</v>
      </c>
      <c r="Z4201" t="str">
        <f>"COS10200804 4953"</f>
        <v>COS10200804 4953</v>
      </c>
    </row>
    <row r="4202" spans="1:26" x14ac:dyDescent="0.25">
      <c r="A4202" t="str">
        <f t="shared" si="1719"/>
        <v>04-08-2020 12:53:46</v>
      </c>
      <c r="B4202" t="str">
        <f>"0000806737"</f>
        <v>0000806737</v>
      </c>
      <c r="C4202" t="str">
        <f t="shared" si="1720"/>
        <v>0000806585</v>
      </c>
      <c r="D4202" t="str">
        <f t="shared" si="1702"/>
        <v>73185</v>
      </c>
      <c r="E4202" t="str">
        <f t="shared" si="1703"/>
        <v>KFH-OPERATIONS DEPARTMENT</v>
      </c>
      <c r="F4202" t="str">
        <f t="shared" si="1704"/>
        <v>IBG</v>
      </c>
      <c r="G4202" t="str">
        <f t="shared" si="1717"/>
        <v>Refund COSHARE 10</v>
      </c>
      <c r="H4202" s="2">
        <v>963.55</v>
      </c>
      <c r="I4202" t="str">
        <f>"JUNAIDAH BINTI JOHARI"</f>
        <v>JUNAIDAH BINTI JOHARI</v>
      </c>
      <c r="J4202" t="str">
        <f t="shared" si="1718"/>
        <v>MAYBANK / MAYBANK ISLAMIC</v>
      </c>
      <c r="K4202" t="str">
        <f>"164070476167"</f>
        <v>164070476167</v>
      </c>
      <c r="L4202" t="str">
        <f t="shared" si="1721"/>
        <v>04-08-2020</v>
      </c>
      <c r="M4202" t="str">
        <f t="shared" si="1721"/>
        <v>04-08-2020</v>
      </c>
      <c r="N4202" t="str">
        <f t="shared" si="1706"/>
        <v>001105018356</v>
      </c>
      <c r="O4202" t="str">
        <f t="shared" si="1707"/>
        <v>MYR</v>
      </c>
      <c r="P4202" t="str">
        <f t="shared" si="1722"/>
        <v>NIL</v>
      </c>
      <c r="Q4202" t="str">
        <f t="shared" si="1722"/>
        <v>NIL</v>
      </c>
      <c r="R4202" t="str">
        <f t="shared" si="1709"/>
        <v>Accepted</v>
      </c>
      <c r="S4202" t="str">
        <f t="shared" si="1710"/>
        <v>Approved</v>
      </c>
      <c r="T4202" t="str">
        <f t="shared" si="1711"/>
        <v>10.20.8.188</v>
      </c>
      <c r="U4202" t="str">
        <f t="shared" si="1712"/>
        <v>AZRAD UMAR BIN SHAARI</v>
      </c>
      <c r="V4202" t="str">
        <f t="shared" si="1713"/>
        <v>FARHANA BINTI MUSTAPA</v>
      </c>
      <c r="W4202" t="str">
        <f t="shared" si="1714"/>
        <v>04-08-2020</v>
      </c>
      <c r="X4202" t="str">
        <f t="shared" si="1715"/>
        <v>RAZIMAH ANSAR AHMAD</v>
      </c>
      <c r="Y4202" t="str">
        <f t="shared" si="1716"/>
        <v>04-08-2020</v>
      </c>
      <c r="Z4202" t="str">
        <f>"COS10200804 4952"</f>
        <v>COS10200804 4952</v>
      </c>
    </row>
    <row r="4203" spans="1:26" x14ac:dyDescent="0.25">
      <c r="A4203" t="str">
        <f t="shared" si="1719"/>
        <v>04-08-2020 12:53:46</v>
      </c>
      <c r="B4203" t="str">
        <f>"0000806736"</f>
        <v>0000806736</v>
      </c>
      <c r="C4203" t="str">
        <f t="shared" si="1720"/>
        <v>0000806585</v>
      </c>
      <c r="D4203" t="str">
        <f t="shared" si="1702"/>
        <v>73185</v>
      </c>
      <c r="E4203" t="str">
        <f t="shared" si="1703"/>
        <v>KFH-OPERATIONS DEPARTMENT</v>
      </c>
      <c r="F4203" t="str">
        <f t="shared" si="1704"/>
        <v>IBG</v>
      </c>
      <c r="G4203" t="str">
        <f t="shared" si="1717"/>
        <v>Refund COSHARE 10</v>
      </c>
      <c r="H4203" s="2">
        <v>133.05000000000001</v>
      </c>
      <c r="I4203" t="str">
        <f>"JUMAH BINTI AMIT"</f>
        <v>JUMAH BINTI AMIT</v>
      </c>
      <c r="J4203" t="str">
        <f t="shared" si="1718"/>
        <v>MAYBANK / MAYBANK ISLAMIC</v>
      </c>
      <c r="K4203" t="str">
        <f>"110023087943"</f>
        <v>110023087943</v>
      </c>
      <c r="L4203" t="str">
        <f t="shared" si="1721"/>
        <v>04-08-2020</v>
      </c>
      <c r="M4203" t="str">
        <f t="shared" si="1721"/>
        <v>04-08-2020</v>
      </c>
      <c r="N4203" t="str">
        <f t="shared" si="1706"/>
        <v>001105018356</v>
      </c>
      <c r="O4203" t="str">
        <f t="shared" si="1707"/>
        <v>MYR</v>
      </c>
      <c r="P4203" t="str">
        <f t="shared" si="1722"/>
        <v>NIL</v>
      </c>
      <c r="Q4203" t="str">
        <f t="shared" si="1722"/>
        <v>NIL</v>
      </c>
      <c r="R4203" t="str">
        <f t="shared" si="1709"/>
        <v>Accepted</v>
      </c>
      <c r="S4203" t="str">
        <f t="shared" si="1710"/>
        <v>Approved</v>
      </c>
      <c r="T4203" t="str">
        <f t="shared" si="1711"/>
        <v>10.20.8.188</v>
      </c>
      <c r="U4203" t="str">
        <f t="shared" si="1712"/>
        <v>AZRAD UMAR BIN SHAARI</v>
      </c>
      <c r="V4203" t="str">
        <f t="shared" si="1713"/>
        <v>FARHANA BINTI MUSTAPA</v>
      </c>
      <c r="W4203" t="str">
        <f t="shared" si="1714"/>
        <v>04-08-2020</v>
      </c>
      <c r="X4203" t="str">
        <f t="shared" si="1715"/>
        <v>RAZIMAH ANSAR AHMAD</v>
      </c>
      <c r="Y4203" t="str">
        <f t="shared" si="1716"/>
        <v>04-08-2020</v>
      </c>
      <c r="Z4203" t="str">
        <f>"COS10200804 4951"</f>
        <v>COS10200804 4951</v>
      </c>
    </row>
    <row r="4204" spans="1:26" x14ac:dyDescent="0.25">
      <c r="A4204" t="str">
        <f t="shared" si="1719"/>
        <v>04-08-2020 12:53:46</v>
      </c>
      <c r="B4204" t="str">
        <f>"0000806735"</f>
        <v>0000806735</v>
      </c>
      <c r="C4204" t="str">
        <f t="shared" si="1720"/>
        <v>0000806585</v>
      </c>
      <c r="D4204" t="str">
        <f t="shared" si="1702"/>
        <v>73185</v>
      </c>
      <c r="E4204" t="str">
        <f t="shared" si="1703"/>
        <v>KFH-OPERATIONS DEPARTMENT</v>
      </c>
      <c r="F4204" t="str">
        <f t="shared" si="1704"/>
        <v>IBG</v>
      </c>
      <c r="G4204" t="str">
        <f t="shared" si="1717"/>
        <v>Refund COSHARE 10</v>
      </c>
      <c r="H4204" s="2">
        <v>780.75</v>
      </c>
      <c r="I4204" t="str">
        <f>"JUMAATI ADAWIAH BT ABDULLAH  RAMLI"</f>
        <v>JUMAATI ADAWIAH BT ABDULLAH  RAMLI</v>
      </c>
      <c r="J4204" t="str">
        <f t="shared" si="1718"/>
        <v>MAYBANK / MAYBANK ISLAMIC</v>
      </c>
      <c r="K4204" t="str">
        <f>"164212264837"</f>
        <v>164212264837</v>
      </c>
      <c r="L4204" t="str">
        <f t="shared" si="1721"/>
        <v>04-08-2020</v>
      </c>
      <c r="M4204" t="str">
        <f t="shared" si="1721"/>
        <v>04-08-2020</v>
      </c>
      <c r="N4204" t="str">
        <f t="shared" si="1706"/>
        <v>001105018356</v>
      </c>
      <c r="O4204" t="str">
        <f t="shared" si="1707"/>
        <v>MYR</v>
      </c>
      <c r="P4204" t="str">
        <f t="shared" si="1722"/>
        <v>NIL</v>
      </c>
      <c r="Q4204" t="str">
        <f t="shared" si="1722"/>
        <v>NIL</v>
      </c>
      <c r="R4204" t="str">
        <f t="shared" si="1709"/>
        <v>Accepted</v>
      </c>
      <c r="S4204" t="str">
        <f t="shared" si="1710"/>
        <v>Approved</v>
      </c>
      <c r="T4204" t="str">
        <f t="shared" si="1711"/>
        <v>10.20.8.188</v>
      </c>
      <c r="U4204" t="str">
        <f t="shared" si="1712"/>
        <v>AZRAD UMAR BIN SHAARI</v>
      </c>
      <c r="V4204" t="str">
        <f t="shared" si="1713"/>
        <v>FARHANA BINTI MUSTAPA</v>
      </c>
      <c r="W4204" t="str">
        <f t="shared" si="1714"/>
        <v>04-08-2020</v>
      </c>
      <c r="X4204" t="str">
        <f t="shared" si="1715"/>
        <v>RAZIMAH ANSAR AHMAD</v>
      </c>
      <c r="Y4204" t="str">
        <f t="shared" si="1716"/>
        <v>04-08-2020</v>
      </c>
      <c r="Z4204" t="str">
        <f>"COS10200804 4950"</f>
        <v>COS10200804 4950</v>
      </c>
    </row>
    <row r="4205" spans="1:26" x14ac:dyDescent="0.25">
      <c r="A4205" t="str">
        <f t="shared" si="1719"/>
        <v>04-08-2020 12:53:46</v>
      </c>
      <c r="B4205" t="str">
        <f>"0000806734"</f>
        <v>0000806734</v>
      </c>
      <c r="C4205" t="str">
        <f t="shared" si="1720"/>
        <v>0000806585</v>
      </c>
      <c r="D4205" t="str">
        <f t="shared" si="1702"/>
        <v>73185</v>
      </c>
      <c r="E4205" t="str">
        <f t="shared" si="1703"/>
        <v>KFH-OPERATIONS DEPARTMENT</v>
      </c>
      <c r="F4205" t="str">
        <f t="shared" si="1704"/>
        <v>IBG</v>
      </c>
      <c r="G4205" t="str">
        <f t="shared" si="1717"/>
        <v>Refund COSHARE 10</v>
      </c>
      <c r="H4205" s="2">
        <v>293.85000000000002</v>
      </c>
      <c r="I4205" t="str">
        <f>"JULIYANA BINTI HUSSAIN"</f>
        <v>JULIYANA BINTI HUSSAIN</v>
      </c>
      <c r="J4205" t="str">
        <f t="shared" si="1718"/>
        <v>MAYBANK / MAYBANK ISLAMIC</v>
      </c>
      <c r="K4205" t="str">
        <f>"114254143608"</f>
        <v>114254143608</v>
      </c>
      <c r="L4205" t="str">
        <f t="shared" si="1721"/>
        <v>04-08-2020</v>
      </c>
      <c r="M4205" t="str">
        <f t="shared" si="1721"/>
        <v>04-08-2020</v>
      </c>
      <c r="N4205" t="str">
        <f t="shared" si="1706"/>
        <v>001105018356</v>
      </c>
      <c r="O4205" t="str">
        <f t="shared" si="1707"/>
        <v>MYR</v>
      </c>
      <c r="P4205" t="str">
        <f t="shared" si="1722"/>
        <v>NIL</v>
      </c>
      <c r="Q4205" t="str">
        <f t="shared" si="1722"/>
        <v>NIL</v>
      </c>
      <c r="R4205" t="str">
        <f t="shared" si="1709"/>
        <v>Accepted</v>
      </c>
      <c r="S4205" t="str">
        <f t="shared" si="1710"/>
        <v>Approved</v>
      </c>
      <c r="T4205" t="str">
        <f t="shared" si="1711"/>
        <v>10.20.8.188</v>
      </c>
      <c r="U4205" t="str">
        <f t="shared" si="1712"/>
        <v>AZRAD UMAR BIN SHAARI</v>
      </c>
      <c r="V4205" t="str">
        <f t="shared" si="1713"/>
        <v>FARHANA BINTI MUSTAPA</v>
      </c>
      <c r="W4205" t="str">
        <f t="shared" si="1714"/>
        <v>04-08-2020</v>
      </c>
      <c r="X4205" t="str">
        <f t="shared" si="1715"/>
        <v>RAZIMAH ANSAR AHMAD</v>
      </c>
      <c r="Y4205" t="str">
        <f t="shared" si="1716"/>
        <v>04-08-2020</v>
      </c>
      <c r="Z4205" t="str">
        <f>"COS10200804 4949"</f>
        <v>COS10200804 4949</v>
      </c>
    </row>
    <row r="4206" spans="1:26" x14ac:dyDescent="0.25">
      <c r="A4206" t="str">
        <f t="shared" si="1719"/>
        <v>04-08-2020 12:53:46</v>
      </c>
      <c r="B4206" t="str">
        <f>"0000806733"</f>
        <v>0000806733</v>
      </c>
      <c r="C4206" t="str">
        <f t="shared" si="1720"/>
        <v>0000806585</v>
      </c>
      <c r="D4206" t="str">
        <f t="shared" si="1702"/>
        <v>73185</v>
      </c>
      <c r="E4206" t="str">
        <f t="shared" si="1703"/>
        <v>KFH-OPERATIONS DEPARTMENT</v>
      </c>
      <c r="F4206" t="str">
        <f t="shared" si="1704"/>
        <v>IBG</v>
      </c>
      <c r="G4206" t="str">
        <f t="shared" si="1717"/>
        <v>Refund COSHARE 10</v>
      </c>
      <c r="H4206" s="2">
        <v>738.75</v>
      </c>
      <c r="I4206" t="str">
        <f>"JULIEMASIDAYU BINTI JAMALDIN"</f>
        <v>JULIEMASIDAYU BINTI JAMALDIN</v>
      </c>
      <c r="J4206" t="str">
        <f t="shared" si="1718"/>
        <v>MAYBANK / MAYBANK ISLAMIC</v>
      </c>
      <c r="K4206" t="str">
        <f>"157072356654"</f>
        <v>157072356654</v>
      </c>
      <c r="L4206" t="str">
        <f t="shared" si="1721"/>
        <v>04-08-2020</v>
      </c>
      <c r="M4206" t="str">
        <f t="shared" si="1721"/>
        <v>04-08-2020</v>
      </c>
      <c r="N4206" t="str">
        <f t="shared" si="1706"/>
        <v>001105018356</v>
      </c>
      <c r="O4206" t="str">
        <f t="shared" si="1707"/>
        <v>MYR</v>
      </c>
      <c r="P4206" t="str">
        <f t="shared" si="1722"/>
        <v>NIL</v>
      </c>
      <c r="Q4206" t="str">
        <f t="shared" si="1722"/>
        <v>NIL</v>
      </c>
      <c r="R4206" t="str">
        <f t="shared" si="1709"/>
        <v>Accepted</v>
      </c>
      <c r="S4206" t="str">
        <f t="shared" si="1710"/>
        <v>Approved</v>
      </c>
      <c r="T4206" t="str">
        <f t="shared" si="1711"/>
        <v>10.20.8.188</v>
      </c>
      <c r="U4206" t="str">
        <f t="shared" si="1712"/>
        <v>AZRAD UMAR BIN SHAARI</v>
      </c>
      <c r="V4206" t="str">
        <f t="shared" si="1713"/>
        <v>FARHANA BINTI MUSTAPA</v>
      </c>
      <c r="W4206" t="str">
        <f t="shared" si="1714"/>
        <v>04-08-2020</v>
      </c>
      <c r="X4206" t="str">
        <f t="shared" si="1715"/>
        <v>RAZIMAH ANSAR AHMAD</v>
      </c>
      <c r="Y4206" t="str">
        <f t="shared" si="1716"/>
        <v>04-08-2020</v>
      </c>
      <c r="Z4206" t="str">
        <f>"COS10200804 4948"</f>
        <v>COS10200804 4948</v>
      </c>
    </row>
    <row r="4207" spans="1:26" x14ac:dyDescent="0.25">
      <c r="A4207" t="str">
        <f t="shared" si="1719"/>
        <v>04-08-2020 12:53:46</v>
      </c>
      <c r="B4207" t="str">
        <f>"0000806732"</f>
        <v>0000806732</v>
      </c>
      <c r="C4207" t="str">
        <f t="shared" si="1720"/>
        <v>0000806585</v>
      </c>
      <c r="D4207" t="str">
        <f t="shared" si="1702"/>
        <v>73185</v>
      </c>
      <c r="E4207" t="str">
        <f t="shared" si="1703"/>
        <v>KFH-OPERATIONS DEPARTMENT</v>
      </c>
      <c r="F4207" t="str">
        <f t="shared" si="1704"/>
        <v>IBG</v>
      </c>
      <c r="G4207" t="str">
        <f t="shared" si="1717"/>
        <v>Refund COSHARE 10</v>
      </c>
      <c r="H4207" s="2">
        <v>137</v>
      </c>
      <c r="I4207" t="str">
        <f>"JULIAWATI BINTI ALI"</f>
        <v>JULIAWATI BINTI ALI</v>
      </c>
      <c r="J4207" t="str">
        <f t="shared" si="1718"/>
        <v>MAYBANK / MAYBANK ISLAMIC</v>
      </c>
      <c r="K4207" t="str">
        <f>"163037171600"</f>
        <v>163037171600</v>
      </c>
      <c r="L4207" t="str">
        <f t="shared" ref="L4207:M4226" si="1723">"04-08-2020"</f>
        <v>04-08-2020</v>
      </c>
      <c r="M4207" t="str">
        <f t="shared" si="1723"/>
        <v>04-08-2020</v>
      </c>
      <c r="N4207" t="str">
        <f t="shared" si="1706"/>
        <v>001105018356</v>
      </c>
      <c r="O4207" t="str">
        <f t="shared" si="1707"/>
        <v>MYR</v>
      </c>
      <c r="P4207" t="str">
        <f t="shared" ref="P4207:Q4226" si="1724">"NIL"</f>
        <v>NIL</v>
      </c>
      <c r="Q4207" t="str">
        <f t="shared" si="1724"/>
        <v>NIL</v>
      </c>
      <c r="R4207" t="str">
        <f t="shared" si="1709"/>
        <v>Accepted</v>
      </c>
      <c r="S4207" t="str">
        <f t="shared" si="1710"/>
        <v>Approved</v>
      </c>
      <c r="T4207" t="str">
        <f t="shared" si="1711"/>
        <v>10.20.8.188</v>
      </c>
      <c r="U4207" t="str">
        <f t="shared" si="1712"/>
        <v>AZRAD UMAR BIN SHAARI</v>
      </c>
      <c r="V4207" t="str">
        <f t="shared" si="1713"/>
        <v>FARHANA BINTI MUSTAPA</v>
      </c>
      <c r="W4207" t="str">
        <f t="shared" si="1714"/>
        <v>04-08-2020</v>
      </c>
      <c r="X4207" t="str">
        <f t="shared" si="1715"/>
        <v>RAZIMAH ANSAR AHMAD</v>
      </c>
      <c r="Y4207" t="str">
        <f t="shared" si="1716"/>
        <v>04-08-2020</v>
      </c>
      <c r="Z4207" t="str">
        <f>"COS10200804 4947"</f>
        <v>COS10200804 4947</v>
      </c>
    </row>
    <row r="4208" spans="1:26" x14ac:dyDescent="0.25">
      <c r="A4208" t="str">
        <f t="shared" si="1719"/>
        <v>04-08-2020 12:53:46</v>
      </c>
      <c r="B4208" t="str">
        <f>"0000806731"</f>
        <v>0000806731</v>
      </c>
      <c r="C4208" t="str">
        <f t="shared" si="1720"/>
        <v>0000806585</v>
      </c>
      <c r="D4208" t="str">
        <f t="shared" si="1702"/>
        <v>73185</v>
      </c>
      <c r="E4208" t="str">
        <f t="shared" si="1703"/>
        <v>KFH-OPERATIONS DEPARTMENT</v>
      </c>
      <c r="F4208" t="str">
        <f t="shared" si="1704"/>
        <v>IBG</v>
      </c>
      <c r="G4208" t="str">
        <f t="shared" si="1717"/>
        <v>Refund COSHARE 10</v>
      </c>
      <c r="H4208" s="2">
        <v>209.9</v>
      </c>
      <c r="I4208" t="str">
        <f>"JULIATI BT FADZILLAH  FADZLILLAH"</f>
        <v>JULIATI BT FADZILLAH  FADZLILLAH</v>
      </c>
      <c r="J4208" t="str">
        <f t="shared" si="1718"/>
        <v>MAYBANK / MAYBANK ISLAMIC</v>
      </c>
      <c r="K4208" t="str">
        <f>"162188336078"</f>
        <v>162188336078</v>
      </c>
      <c r="L4208" t="str">
        <f t="shared" si="1723"/>
        <v>04-08-2020</v>
      </c>
      <c r="M4208" t="str">
        <f t="shared" si="1723"/>
        <v>04-08-2020</v>
      </c>
      <c r="N4208" t="str">
        <f t="shared" si="1706"/>
        <v>001105018356</v>
      </c>
      <c r="O4208" t="str">
        <f t="shared" si="1707"/>
        <v>MYR</v>
      </c>
      <c r="P4208" t="str">
        <f t="shared" si="1724"/>
        <v>NIL</v>
      </c>
      <c r="Q4208" t="str">
        <f t="shared" si="1724"/>
        <v>NIL</v>
      </c>
      <c r="R4208" t="str">
        <f t="shared" si="1709"/>
        <v>Accepted</v>
      </c>
      <c r="S4208" t="str">
        <f t="shared" si="1710"/>
        <v>Approved</v>
      </c>
      <c r="T4208" t="str">
        <f t="shared" si="1711"/>
        <v>10.20.8.188</v>
      </c>
      <c r="U4208" t="str">
        <f t="shared" si="1712"/>
        <v>AZRAD UMAR BIN SHAARI</v>
      </c>
      <c r="V4208" t="str">
        <f t="shared" si="1713"/>
        <v>FARHANA BINTI MUSTAPA</v>
      </c>
      <c r="W4208" t="str">
        <f t="shared" si="1714"/>
        <v>04-08-2020</v>
      </c>
      <c r="X4208" t="str">
        <f t="shared" si="1715"/>
        <v>RAZIMAH ANSAR AHMAD</v>
      </c>
      <c r="Y4208" t="str">
        <f t="shared" si="1716"/>
        <v>04-08-2020</v>
      </c>
      <c r="Z4208" t="str">
        <f>"COS10200804 4946"</f>
        <v>COS10200804 4946</v>
      </c>
    </row>
    <row r="4209" spans="1:26" x14ac:dyDescent="0.25">
      <c r="A4209" t="str">
        <f t="shared" si="1719"/>
        <v>04-08-2020 12:53:46</v>
      </c>
      <c r="B4209" t="str">
        <f>"0000806730"</f>
        <v>0000806730</v>
      </c>
      <c r="C4209" t="str">
        <f t="shared" si="1720"/>
        <v>0000806585</v>
      </c>
      <c r="D4209" t="str">
        <f t="shared" si="1702"/>
        <v>73185</v>
      </c>
      <c r="E4209" t="str">
        <f t="shared" si="1703"/>
        <v>KFH-OPERATIONS DEPARTMENT</v>
      </c>
      <c r="F4209" t="str">
        <f t="shared" si="1704"/>
        <v>IBG</v>
      </c>
      <c r="G4209" t="str">
        <f t="shared" si="1717"/>
        <v>Refund COSHARE 10</v>
      </c>
      <c r="H4209" s="2">
        <v>957.05</v>
      </c>
      <c r="I4209" t="str">
        <f>"JULIANAH BINTI SARINDO"</f>
        <v>JULIANAH BINTI SARINDO</v>
      </c>
      <c r="J4209" t="str">
        <f t="shared" si="1718"/>
        <v>MAYBANK / MAYBANK ISLAMIC</v>
      </c>
      <c r="K4209" t="str">
        <f>"160166233478"</f>
        <v>160166233478</v>
      </c>
      <c r="L4209" t="str">
        <f t="shared" si="1723"/>
        <v>04-08-2020</v>
      </c>
      <c r="M4209" t="str">
        <f t="shared" si="1723"/>
        <v>04-08-2020</v>
      </c>
      <c r="N4209" t="str">
        <f t="shared" si="1706"/>
        <v>001105018356</v>
      </c>
      <c r="O4209" t="str">
        <f t="shared" si="1707"/>
        <v>MYR</v>
      </c>
      <c r="P4209" t="str">
        <f t="shared" si="1724"/>
        <v>NIL</v>
      </c>
      <c r="Q4209" t="str">
        <f t="shared" si="1724"/>
        <v>NIL</v>
      </c>
      <c r="R4209" t="str">
        <f t="shared" si="1709"/>
        <v>Accepted</v>
      </c>
      <c r="S4209" t="str">
        <f t="shared" si="1710"/>
        <v>Approved</v>
      </c>
      <c r="T4209" t="str">
        <f t="shared" si="1711"/>
        <v>10.20.8.188</v>
      </c>
      <c r="U4209" t="str">
        <f t="shared" si="1712"/>
        <v>AZRAD UMAR BIN SHAARI</v>
      </c>
      <c r="V4209" t="str">
        <f t="shared" si="1713"/>
        <v>FARHANA BINTI MUSTAPA</v>
      </c>
      <c r="W4209" t="str">
        <f t="shared" si="1714"/>
        <v>04-08-2020</v>
      </c>
      <c r="X4209" t="str">
        <f t="shared" si="1715"/>
        <v>RAZIMAH ANSAR AHMAD</v>
      </c>
      <c r="Y4209" t="str">
        <f t="shared" si="1716"/>
        <v>04-08-2020</v>
      </c>
      <c r="Z4209" t="str">
        <f>"COS10200804 4945"</f>
        <v>COS10200804 4945</v>
      </c>
    </row>
    <row r="4210" spans="1:26" x14ac:dyDescent="0.25">
      <c r="A4210" t="str">
        <f t="shared" si="1719"/>
        <v>04-08-2020 12:53:46</v>
      </c>
      <c r="B4210" t="str">
        <f>"0000806729"</f>
        <v>0000806729</v>
      </c>
      <c r="C4210" t="str">
        <f t="shared" si="1720"/>
        <v>0000806585</v>
      </c>
      <c r="D4210" t="str">
        <f t="shared" si="1702"/>
        <v>73185</v>
      </c>
      <c r="E4210" t="str">
        <f t="shared" si="1703"/>
        <v>KFH-OPERATIONS DEPARTMENT</v>
      </c>
      <c r="F4210" t="str">
        <f t="shared" si="1704"/>
        <v>IBG</v>
      </c>
      <c r="G4210" t="str">
        <f t="shared" si="1717"/>
        <v>Refund COSHARE 10</v>
      </c>
      <c r="H4210" s="2">
        <v>789.15</v>
      </c>
      <c r="I4210" t="str">
        <f>"JULIANA BINTI SUWARDI  SURIP"</f>
        <v>JULIANA BINTI SUWARDI  SURIP</v>
      </c>
      <c r="J4210" t="str">
        <f t="shared" si="1718"/>
        <v>MAYBANK / MAYBANK ISLAMIC</v>
      </c>
      <c r="K4210" t="str">
        <f>"162058014838"</f>
        <v>162058014838</v>
      </c>
      <c r="L4210" t="str">
        <f t="shared" si="1723"/>
        <v>04-08-2020</v>
      </c>
      <c r="M4210" t="str">
        <f t="shared" si="1723"/>
        <v>04-08-2020</v>
      </c>
      <c r="N4210" t="str">
        <f t="shared" si="1706"/>
        <v>001105018356</v>
      </c>
      <c r="O4210" t="str">
        <f t="shared" si="1707"/>
        <v>MYR</v>
      </c>
      <c r="P4210" t="str">
        <f t="shared" si="1724"/>
        <v>NIL</v>
      </c>
      <c r="Q4210" t="str">
        <f t="shared" si="1724"/>
        <v>NIL</v>
      </c>
      <c r="R4210" t="str">
        <f t="shared" si="1709"/>
        <v>Accepted</v>
      </c>
      <c r="S4210" t="str">
        <f t="shared" si="1710"/>
        <v>Approved</v>
      </c>
      <c r="T4210" t="str">
        <f t="shared" si="1711"/>
        <v>10.20.8.188</v>
      </c>
      <c r="U4210" t="str">
        <f t="shared" si="1712"/>
        <v>AZRAD UMAR BIN SHAARI</v>
      </c>
      <c r="V4210" t="str">
        <f t="shared" si="1713"/>
        <v>FARHANA BINTI MUSTAPA</v>
      </c>
      <c r="W4210" t="str">
        <f t="shared" si="1714"/>
        <v>04-08-2020</v>
      </c>
      <c r="X4210" t="str">
        <f t="shared" si="1715"/>
        <v>RAZIMAH ANSAR AHMAD</v>
      </c>
      <c r="Y4210" t="str">
        <f t="shared" si="1716"/>
        <v>04-08-2020</v>
      </c>
      <c r="Z4210" t="str">
        <f>"COS10200804 4944"</f>
        <v>COS10200804 4944</v>
      </c>
    </row>
    <row r="4211" spans="1:26" x14ac:dyDescent="0.25">
      <c r="A4211" t="str">
        <f t="shared" si="1719"/>
        <v>04-08-2020 12:53:46</v>
      </c>
      <c r="B4211" t="str">
        <f>"0000806728"</f>
        <v>0000806728</v>
      </c>
      <c r="C4211" t="str">
        <f t="shared" si="1720"/>
        <v>0000806585</v>
      </c>
      <c r="D4211" t="str">
        <f t="shared" si="1702"/>
        <v>73185</v>
      </c>
      <c r="E4211" t="str">
        <f t="shared" si="1703"/>
        <v>KFH-OPERATIONS DEPARTMENT</v>
      </c>
      <c r="F4211" t="str">
        <f t="shared" si="1704"/>
        <v>IBG</v>
      </c>
      <c r="G4211" t="str">
        <f t="shared" si="1717"/>
        <v>Refund COSHARE 10</v>
      </c>
      <c r="H4211" s="2">
        <v>532</v>
      </c>
      <c r="I4211" t="str">
        <f>"JULIANA BINTI RAMLI"</f>
        <v>JULIANA BINTI RAMLI</v>
      </c>
      <c r="J4211" t="str">
        <f t="shared" si="1718"/>
        <v>MAYBANK / MAYBANK ISLAMIC</v>
      </c>
      <c r="K4211" t="str">
        <f>"164221262174"</f>
        <v>164221262174</v>
      </c>
      <c r="L4211" t="str">
        <f t="shared" si="1723"/>
        <v>04-08-2020</v>
      </c>
      <c r="M4211" t="str">
        <f t="shared" si="1723"/>
        <v>04-08-2020</v>
      </c>
      <c r="N4211" t="str">
        <f t="shared" si="1706"/>
        <v>001105018356</v>
      </c>
      <c r="O4211" t="str">
        <f t="shared" si="1707"/>
        <v>MYR</v>
      </c>
      <c r="P4211" t="str">
        <f t="shared" si="1724"/>
        <v>NIL</v>
      </c>
      <c r="Q4211" t="str">
        <f t="shared" si="1724"/>
        <v>NIL</v>
      </c>
      <c r="R4211" t="str">
        <f t="shared" si="1709"/>
        <v>Accepted</v>
      </c>
      <c r="S4211" t="str">
        <f t="shared" si="1710"/>
        <v>Approved</v>
      </c>
      <c r="T4211" t="str">
        <f t="shared" si="1711"/>
        <v>10.20.8.188</v>
      </c>
      <c r="U4211" t="str">
        <f t="shared" si="1712"/>
        <v>AZRAD UMAR BIN SHAARI</v>
      </c>
      <c r="V4211" t="str">
        <f t="shared" si="1713"/>
        <v>FARHANA BINTI MUSTAPA</v>
      </c>
      <c r="W4211" t="str">
        <f t="shared" si="1714"/>
        <v>04-08-2020</v>
      </c>
      <c r="X4211" t="str">
        <f t="shared" si="1715"/>
        <v>RAZIMAH ANSAR AHMAD</v>
      </c>
      <c r="Y4211" t="str">
        <f t="shared" si="1716"/>
        <v>04-08-2020</v>
      </c>
      <c r="Z4211" t="str">
        <f>"COS10200804 4943"</f>
        <v>COS10200804 4943</v>
      </c>
    </row>
    <row r="4212" spans="1:26" x14ac:dyDescent="0.25">
      <c r="A4212" t="str">
        <f t="shared" si="1719"/>
        <v>04-08-2020 12:53:46</v>
      </c>
      <c r="B4212" t="str">
        <f>"0000806727"</f>
        <v>0000806727</v>
      </c>
      <c r="C4212" t="str">
        <f t="shared" si="1720"/>
        <v>0000806585</v>
      </c>
      <c r="D4212" t="str">
        <f t="shared" si="1702"/>
        <v>73185</v>
      </c>
      <c r="E4212" t="str">
        <f t="shared" si="1703"/>
        <v>KFH-OPERATIONS DEPARTMENT</v>
      </c>
      <c r="F4212" t="str">
        <f t="shared" si="1704"/>
        <v>IBG</v>
      </c>
      <c r="G4212" t="str">
        <f t="shared" si="1717"/>
        <v>Refund COSHARE 10</v>
      </c>
      <c r="H4212" s="2">
        <v>839.5</v>
      </c>
      <c r="I4212" t="str">
        <f>"JULIANA BINTI MOHD YUNUS"</f>
        <v>JULIANA BINTI MOHD YUNUS</v>
      </c>
      <c r="J4212" t="str">
        <f t="shared" si="1718"/>
        <v>MAYBANK / MAYBANK ISLAMIC</v>
      </c>
      <c r="K4212" t="str">
        <f>"162450181921"</f>
        <v>162450181921</v>
      </c>
      <c r="L4212" t="str">
        <f t="shared" si="1723"/>
        <v>04-08-2020</v>
      </c>
      <c r="M4212" t="str">
        <f t="shared" si="1723"/>
        <v>04-08-2020</v>
      </c>
      <c r="N4212" t="str">
        <f t="shared" si="1706"/>
        <v>001105018356</v>
      </c>
      <c r="O4212" t="str">
        <f t="shared" si="1707"/>
        <v>MYR</v>
      </c>
      <c r="P4212" t="str">
        <f t="shared" si="1724"/>
        <v>NIL</v>
      </c>
      <c r="Q4212" t="str">
        <f t="shared" si="1724"/>
        <v>NIL</v>
      </c>
      <c r="R4212" t="str">
        <f t="shared" si="1709"/>
        <v>Accepted</v>
      </c>
      <c r="S4212" t="str">
        <f t="shared" si="1710"/>
        <v>Approved</v>
      </c>
      <c r="T4212" t="str">
        <f t="shared" si="1711"/>
        <v>10.20.8.188</v>
      </c>
      <c r="U4212" t="str">
        <f t="shared" si="1712"/>
        <v>AZRAD UMAR BIN SHAARI</v>
      </c>
      <c r="V4212" t="str">
        <f t="shared" si="1713"/>
        <v>FARHANA BINTI MUSTAPA</v>
      </c>
      <c r="W4212" t="str">
        <f t="shared" si="1714"/>
        <v>04-08-2020</v>
      </c>
      <c r="X4212" t="str">
        <f t="shared" si="1715"/>
        <v>RAZIMAH ANSAR AHMAD</v>
      </c>
      <c r="Y4212" t="str">
        <f t="shared" si="1716"/>
        <v>04-08-2020</v>
      </c>
      <c r="Z4212" t="str">
        <f>"COS10200804 4942"</f>
        <v>COS10200804 4942</v>
      </c>
    </row>
    <row r="4213" spans="1:26" x14ac:dyDescent="0.25">
      <c r="A4213" t="str">
        <f t="shared" si="1719"/>
        <v>04-08-2020 12:53:46</v>
      </c>
      <c r="B4213" t="str">
        <f>"0000806726"</f>
        <v>0000806726</v>
      </c>
      <c r="C4213" t="str">
        <f t="shared" si="1720"/>
        <v>0000806585</v>
      </c>
      <c r="D4213" t="str">
        <f t="shared" si="1702"/>
        <v>73185</v>
      </c>
      <c r="E4213" t="str">
        <f t="shared" si="1703"/>
        <v>KFH-OPERATIONS DEPARTMENT</v>
      </c>
      <c r="F4213" t="str">
        <f t="shared" si="1704"/>
        <v>IBG</v>
      </c>
      <c r="G4213" t="str">
        <f t="shared" si="1717"/>
        <v>Refund COSHARE 10</v>
      </c>
      <c r="H4213" s="2">
        <v>125.95</v>
      </c>
      <c r="I4213" t="str">
        <f>"JULIANA BINTI MOHAMAD"</f>
        <v>JULIANA BINTI MOHAMAD</v>
      </c>
      <c r="J4213" t="str">
        <f t="shared" si="1718"/>
        <v>MAYBANK / MAYBANK ISLAMIC</v>
      </c>
      <c r="K4213" t="str">
        <f>"162197303713"</f>
        <v>162197303713</v>
      </c>
      <c r="L4213" t="str">
        <f t="shared" si="1723"/>
        <v>04-08-2020</v>
      </c>
      <c r="M4213" t="str">
        <f t="shared" si="1723"/>
        <v>04-08-2020</v>
      </c>
      <c r="N4213" t="str">
        <f t="shared" si="1706"/>
        <v>001105018356</v>
      </c>
      <c r="O4213" t="str">
        <f t="shared" si="1707"/>
        <v>MYR</v>
      </c>
      <c r="P4213" t="str">
        <f t="shared" si="1724"/>
        <v>NIL</v>
      </c>
      <c r="Q4213" t="str">
        <f t="shared" si="1724"/>
        <v>NIL</v>
      </c>
      <c r="R4213" t="str">
        <f t="shared" si="1709"/>
        <v>Accepted</v>
      </c>
      <c r="S4213" t="str">
        <f t="shared" si="1710"/>
        <v>Approved</v>
      </c>
      <c r="T4213" t="str">
        <f t="shared" si="1711"/>
        <v>10.20.8.188</v>
      </c>
      <c r="U4213" t="str">
        <f t="shared" si="1712"/>
        <v>AZRAD UMAR BIN SHAARI</v>
      </c>
      <c r="V4213" t="str">
        <f t="shared" si="1713"/>
        <v>FARHANA BINTI MUSTAPA</v>
      </c>
      <c r="W4213" t="str">
        <f t="shared" si="1714"/>
        <v>04-08-2020</v>
      </c>
      <c r="X4213" t="str">
        <f t="shared" si="1715"/>
        <v>RAZIMAH ANSAR AHMAD</v>
      </c>
      <c r="Y4213" t="str">
        <f t="shared" si="1716"/>
        <v>04-08-2020</v>
      </c>
      <c r="Z4213" t="str">
        <f>"COS10200804 4941"</f>
        <v>COS10200804 4941</v>
      </c>
    </row>
    <row r="4214" spans="1:26" x14ac:dyDescent="0.25">
      <c r="A4214" t="str">
        <f t="shared" si="1719"/>
        <v>04-08-2020 12:53:46</v>
      </c>
      <c r="B4214" t="str">
        <f>"0000806725"</f>
        <v>0000806725</v>
      </c>
      <c r="C4214" t="str">
        <f t="shared" si="1720"/>
        <v>0000806585</v>
      </c>
      <c r="D4214" t="str">
        <f t="shared" si="1702"/>
        <v>73185</v>
      </c>
      <c r="E4214" t="str">
        <f t="shared" si="1703"/>
        <v>KFH-OPERATIONS DEPARTMENT</v>
      </c>
      <c r="F4214" t="str">
        <f t="shared" si="1704"/>
        <v>IBG</v>
      </c>
      <c r="G4214" t="str">
        <f t="shared" si="1717"/>
        <v>Refund COSHARE 10</v>
      </c>
      <c r="H4214" s="2">
        <v>386.2</v>
      </c>
      <c r="I4214" t="str">
        <f>"JULIANA BINTI KHAILANI"</f>
        <v>JULIANA BINTI KHAILANI</v>
      </c>
      <c r="J4214" t="str">
        <f t="shared" si="1718"/>
        <v>MAYBANK / MAYBANK ISLAMIC</v>
      </c>
      <c r="K4214" t="str">
        <f>"162058640425"</f>
        <v>162058640425</v>
      </c>
      <c r="L4214" t="str">
        <f t="shared" si="1723"/>
        <v>04-08-2020</v>
      </c>
      <c r="M4214" t="str">
        <f t="shared" si="1723"/>
        <v>04-08-2020</v>
      </c>
      <c r="N4214" t="str">
        <f t="shared" si="1706"/>
        <v>001105018356</v>
      </c>
      <c r="O4214" t="str">
        <f t="shared" si="1707"/>
        <v>MYR</v>
      </c>
      <c r="P4214" t="str">
        <f t="shared" si="1724"/>
        <v>NIL</v>
      </c>
      <c r="Q4214" t="str">
        <f t="shared" si="1724"/>
        <v>NIL</v>
      </c>
      <c r="R4214" t="str">
        <f t="shared" si="1709"/>
        <v>Accepted</v>
      </c>
      <c r="S4214" t="str">
        <f t="shared" si="1710"/>
        <v>Approved</v>
      </c>
      <c r="T4214" t="str">
        <f t="shared" si="1711"/>
        <v>10.20.8.188</v>
      </c>
      <c r="U4214" t="str">
        <f t="shared" si="1712"/>
        <v>AZRAD UMAR BIN SHAARI</v>
      </c>
      <c r="V4214" t="str">
        <f t="shared" si="1713"/>
        <v>FARHANA BINTI MUSTAPA</v>
      </c>
      <c r="W4214" t="str">
        <f t="shared" si="1714"/>
        <v>04-08-2020</v>
      </c>
      <c r="X4214" t="str">
        <f t="shared" si="1715"/>
        <v>RAZIMAH ANSAR AHMAD</v>
      </c>
      <c r="Y4214" t="str">
        <f t="shared" si="1716"/>
        <v>04-08-2020</v>
      </c>
      <c r="Z4214" t="str">
        <f>"COS10200804 4940"</f>
        <v>COS10200804 4940</v>
      </c>
    </row>
    <row r="4215" spans="1:26" x14ac:dyDescent="0.25">
      <c r="A4215" t="str">
        <f t="shared" si="1719"/>
        <v>04-08-2020 12:53:46</v>
      </c>
      <c r="B4215" t="str">
        <f>"0000806724"</f>
        <v>0000806724</v>
      </c>
      <c r="C4215" t="str">
        <f t="shared" si="1720"/>
        <v>0000806585</v>
      </c>
      <c r="D4215" t="str">
        <f t="shared" si="1702"/>
        <v>73185</v>
      </c>
      <c r="E4215" t="str">
        <f t="shared" si="1703"/>
        <v>KFH-OPERATIONS DEPARTMENT</v>
      </c>
      <c r="F4215" t="str">
        <f t="shared" si="1704"/>
        <v>IBG</v>
      </c>
      <c r="G4215" t="str">
        <f t="shared" si="1717"/>
        <v>Refund COSHARE 10</v>
      </c>
      <c r="H4215" s="2">
        <v>159.5</v>
      </c>
      <c r="I4215" t="str">
        <f>"JULIANA BINTI JAAFAR"</f>
        <v>JULIANA BINTI JAAFAR</v>
      </c>
      <c r="J4215" t="str">
        <f t="shared" si="1718"/>
        <v>MAYBANK / MAYBANK ISLAMIC</v>
      </c>
      <c r="K4215" t="str">
        <f>"164025841064"</f>
        <v>164025841064</v>
      </c>
      <c r="L4215" t="str">
        <f t="shared" si="1723"/>
        <v>04-08-2020</v>
      </c>
      <c r="M4215" t="str">
        <f t="shared" si="1723"/>
        <v>04-08-2020</v>
      </c>
      <c r="N4215" t="str">
        <f t="shared" si="1706"/>
        <v>001105018356</v>
      </c>
      <c r="O4215" t="str">
        <f t="shared" si="1707"/>
        <v>MYR</v>
      </c>
      <c r="P4215" t="str">
        <f t="shared" si="1724"/>
        <v>NIL</v>
      </c>
      <c r="Q4215" t="str">
        <f t="shared" si="1724"/>
        <v>NIL</v>
      </c>
      <c r="R4215" t="str">
        <f t="shared" si="1709"/>
        <v>Accepted</v>
      </c>
      <c r="S4215" t="str">
        <f t="shared" si="1710"/>
        <v>Approved</v>
      </c>
      <c r="T4215" t="str">
        <f t="shared" si="1711"/>
        <v>10.20.8.188</v>
      </c>
      <c r="U4215" t="str">
        <f t="shared" si="1712"/>
        <v>AZRAD UMAR BIN SHAARI</v>
      </c>
      <c r="V4215" t="str">
        <f t="shared" si="1713"/>
        <v>FARHANA BINTI MUSTAPA</v>
      </c>
      <c r="W4215" t="str">
        <f t="shared" si="1714"/>
        <v>04-08-2020</v>
      </c>
      <c r="X4215" t="str">
        <f t="shared" si="1715"/>
        <v>RAZIMAH ANSAR AHMAD</v>
      </c>
      <c r="Y4215" t="str">
        <f t="shared" si="1716"/>
        <v>04-08-2020</v>
      </c>
      <c r="Z4215" t="str">
        <f>"COS10200804 4939"</f>
        <v>COS10200804 4939</v>
      </c>
    </row>
    <row r="4216" spans="1:26" x14ac:dyDescent="0.25">
      <c r="A4216" t="str">
        <f t="shared" si="1719"/>
        <v>04-08-2020 12:53:46</v>
      </c>
      <c r="B4216" t="str">
        <f>"0000806723"</f>
        <v>0000806723</v>
      </c>
      <c r="C4216" t="str">
        <f t="shared" si="1720"/>
        <v>0000806585</v>
      </c>
      <c r="D4216" t="str">
        <f t="shared" si="1702"/>
        <v>73185</v>
      </c>
      <c r="E4216" t="str">
        <f t="shared" si="1703"/>
        <v>KFH-OPERATIONS DEPARTMENT</v>
      </c>
      <c r="F4216" t="str">
        <f t="shared" si="1704"/>
        <v>IBG</v>
      </c>
      <c r="G4216" t="str">
        <f t="shared" si="1717"/>
        <v>Refund COSHARE 10</v>
      </c>
      <c r="H4216" s="2">
        <v>1679</v>
      </c>
      <c r="I4216" t="str">
        <f>"JULIANA BINTI ARSAD"</f>
        <v>JULIANA BINTI ARSAD</v>
      </c>
      <c r="J4216" t="str">
        <f t="shared" si="1718"/>
        <v>MAYBANK / MAYBANK ISLAMIC</v>
      </c>
      <c r="K4216" t="str">
        <f>"112214119772"</f>
        <v>112214119772</v>
      </c>
      <c r="L4216" t="str">
        <f t="shared" si="1723"/>
        <v>04-08-2020</v>
      </c>
      <c r="M4216" t="str">
        <f t="shared" si="1723"/>
        <v>04-08-2020</v>
      </c>
      <c r="N4216" t="str">
        <f t="shared" si="1706"/>
        <v>001105018356</v>
      </c>
      <c r="O4216" t="str">
        <f t="shared" si="1707"/>
        <v>MYR</v>
      </c>
      <c r="P4216" t="str">
        <f t="shared" si="1724"/>
        <v>NIL</v>
      </c>
      <c r="Q4216" t="str">
        <f t="shared" si="1724"/>
        <v>NIL</v>
      </c>
      <c r="R4216" t="str">
        <f t="shared" si="1709"/>
        <v>Accepted</v>
      </c>
      <c r="S4216" t="str">
        <f t="shared" si="1710"/>
        <v>Approved</v>
      </c>
      <c r="T4216" t="str">
        <f t="shared" si="1711"/>
        <v>10.20.8.188</v>
      </c>
      <c r="U4216" t="str">
        <f t="shared" si="1712"/>
        <v>AZRAD UMAR BIN SHAARI</v>
      </c>
      <c r="V4216" t="str">
        <f t="shared" si="1713"/>
        <v>FARHANA BINTI MUSTAPA</v>
      </c>
      <c r="W4216" t="str">
        <f t="shared" si="1714"/>
        <v>04-08-2020</v>
      </c>
      <c r="X4216" t="str">
        <f t="shared" si="1715"/>
        <v>RAZIMAH ANSAR AHMAD</v>
      </c>
      <c r="Y4216" t="str">
        <f t="shared" si="1716"/>
        <v>04-08-2020</v>
      </c>
      <c r="Z4216" t="str">
        <f>"COS10200804 4938"</f>
        <v>COS10200804 4938</v>
      </c>
    </row>
    <row r="4217" spans="1:26" x14ac:dyDescent="0.25">
      <c r="A4217" t="str">
        <f t="shared" si="1719"/>
        <v>04-08-2020 12:53:46</v>
      </c>
      <c r="B4217" t="str">
        <f>"0000806722"</f>
        <v>0000806722</v>
      </c>
      <c r="C4217" t="str">
        <f t="shared" si="1720"/>
        <v>0000806585</v>
      </c>
      <c r="D4217" t="str">
        <f t="shared" si="1702"/>
        <v>73185</v>
      </c>
      <c r="E4217" t="str">
        <f t="shared" si="1703"/>
        <v>KFH-OPERATIONS DEPARTMENT</v>
      </c>
      <c r="F4217" t="str">
        <f t="shared" si="1704"/>
        <v>IBG</v>
      </c>
      <c r="G4217" t="str">
        <f t="shared" si="1717"/>
        <v>Refund COSHARE 10</v>
      </c>
      <c r="H4217" s="2">
        <v>805.95</v>
      </c>
      <c r="I4217" t="str">
        <f>"JULIA BINTI ABAN"</f>
        <v>JULIA BINTI ABAN</v>
      </c>
      <c r="J4217" t="str">
        <f t="shared" si="1718"/>
        <v>MAYBANK / MAYBANK ISLAMIC</v>
      </c>
      <c r="K4217" t="str">
        <f>"111114059587"</f>
        <v>111114059587</v>
      </c>
      <c r="L4217" t="str">
        <f t="shared" si="1723"/>
        <v>04-08-2020</v>
      </c>
      <c r="M4217" t="str">
        <f t="shared" si="1723"/>
        <v>04-08-2020</v>
      </c>
      <c r="N4217" t="str">
        <f t="shared" si="1706"/>
        <v>001105018356</v>
      </c>
      <c r="O4217" t="str">
        <f t="shared" si="1707"/>
        <v>MYR</v>
      </c>
      <c r="P4217" t="str">
        <f t="shared" si="1724"/>
        <v>NIL</v>
      </c>
      <c r="Q4217" t="str">
        <f t="shared" si="1724"/>
        <v>NIL</v>
      </c>
      <c r="R4217" t="str">
        <f t="shared" si="1709"/>
        <v>Accepted</v>
      </c>
      <c r="S4217" t="str">
        <f t="shared" si="1710"/>
        <v>Approved</v>
      </c>
      <c r="T4217" t="str">
        <f t="shared" si="1711"/>
        <v>10.20.8.188</v>
      </c>
      <c r="U4217" t="str">
        <f t="shared" si="1712"/>
        <v>AZRAD UMAR BIN SHAARI</v>
      </c>
      <c r="V4217" t="str">
        <f t="shared" si="1713"/>
        <v>FARHANA BINTI MUSTAPA</v>
      </c>
      <c r="W4217" t="str">
        <f t="shared" si="1714"/>
        <v>04-08-2020</v>
      </c>
      <c r="X4217" t="str">
        <f t="shared" si="1715"/>
        <v>RAZIMAH ANSAR AHMAD</v>
      </c>
      <c r="Y4217" t="str">
        <f t="shared" si="1716"/>
        <v>04-08-2020</v>
      </c>
      <c r="Z4217" t="str">
        <f>"COS10200804 4937"</f>
        <v>COS10200804 4937</v>
      </c>
    </row>
    <row r="4218" spans="1:26" x14ac:dyDescent="0.25">
      <c r="A4218" t="str">
        <f t="shared" ref="A4218:A4249" si="1725">"04-08-2020 12:53:46"</f>
        <v>04-08-2020 12:53:46</v>
      </c>
      <c r="B4218" t="str">
        <f>"0000806721"</f>
        <v>0000806721</v>
      </c>
      <c r="C4218" t="str">
        <f t="shared" ref="C4218:C4249" si="1726">"0000806585"</f>
        <v>0000806585</v>
      </c>
      <c r="D4218" t="str">
        <f t="shared" si="1702"/>
        <v>73185</v>
      </c>
      <c r="E4218" t="str">
        <f t="shared" si="1703"/>
        <v>KFH-OPERATIONS DEPARTMENT</v>
      </c>
      <c r="F4218" t="str">
        <f t="shared" si="1704"/>
        <v>IBG</v>
      </c>
      <c r="G4218" t="str">
        <f t="shared" si="1717"/>
        <v>Refund COSHARE 10</v>
      </c>
      <c r="H4218" s="2">
        <v>167.9</v>
      </c>
      <c r="I4218" t="str">
        <f>"JULAIDAH BINTI JOHANI"</f>
        <v>JULAIDAH BINTI JOHANI</v>
      </c>
      <c r="J4218" t="str">
        <f t="shared" si="1718"/>
        <v>MAYBANK / MAYBANK ISLAMIC</v>
      </c>
      <c r="K4218" t="str">
        <f>"101021083756"</f>
        <v>101021083756</v>
      </c>
      <c r="L4218" t="str">
        <f t="shared" si="1723"/>
        <v>04-08-2020</v>
      </c>
      <c r="M4218" t="str">
        <f t="shared" si="1723"/>
        <v>04-08-2020</v>
      </c>
      <c r="N4218" t="str">
        <f t="shared" si="1706"/>
        <v>001105018356</v>
      </c>
      <c r="O4218" t="str">
        <f t="shared" si="1707"/>
        <v>MYR</v>
      </c>
      <c r="P4218" t="str">
        <f t="shared" si="1724"/>
        <v>NIL</v>
      </c>
      <c r="Q4218" t="str">
        <f t="shared" si="1724"/>
        <v>NIL</v>
      </c>
      <c r="R4218" t="str">
        <f t="shared" si="1709"/>
        <v>Accepted</v>
      </c>
      <c r="S4218" t="str">
        <f t="shared" si="1710"/>
        <v>Approved</v>
      </c>
      <c r="T4218" t="str">
        <f t="shared" si="1711"/>
        <v>10.20.8.188</v>
      </c>
      <c r="U4218" t="str">
        <f t="shared" si="1712"/>
        <v>AZRAD UMAR BIN SHAARI</v>
      </c>
      <c r="V4218" t="str">
        <f t="shared" si="1713"/>
        <v>FARHANA BINTI MUSTAPA</v>
      </c>
      <c r="W4218" t="str">
        <f t="shared" si="1714"/>
        <v>04-08-2020</v>
      </c>
      <c r="X4218" t="str">
        <f t="shared" si="1715"/>
        <v>RAZIMAH ANSAR AHMAD</v>
      </c>
      <c r="Y4218" t="str">
        <f t="shared" si="1716"/>
        <v>04-08-2020</v>
      </c>
      <c r="Z4218" t="str">
        <f>"COS10200804 4936"</f>
        <v>COS10200804 4936</v>
      </c>
    </row>
    <row r="4219" spans="1:26" x14ac:dyDescent="0.25">
      <c r="A4219" t="str">
        <f t="shared" si="1725"/>
        <v>04-08-2020 12:53:46</v>
      </c>
      <c r="B4219" t="str">
        <f>"0000806720"</f>
        <v>0000806720</v>
      </c>
      <c r="C4219" t="str">
        <f t="shared" si="1726"/>
        <v>0000806585</v>
      </c>
      <c r="D4219" t="str">
        <f t="shared" si="1702"/>
        <v>73185</v>
      </c>
      <c r="E4219" t="str">
        <f t="shared" si="1703"/>
        <v>KFH-OPERATIONS DEPARTMENT</v>
      </c>
      <c r="F4219" t="str">
        <f t="shared" si="1704"/>
        <v>IBG</v>
      </c>
      <c r="G4219" t="str">
        <f t="shared" si="1717"/>
        <v>Refund COSHARE 10</v>
      </c>
      <c r="H4219" s="2">
        <v>1563</v>
      </c>
      <c r="I4219" t="str">
        <f>"JUITA BINTI SINI"</f>
        <v>JUITA BINTI SINI</v>
      </c>
      <c r="J4219" t="str">
        <f t="shared" si="1718"/>
        <v>MAYBANK / MAYBANK ISLAMIC</v>
      </c>
      <c r="K4219" t="str">
        <f>"160184000565"</f>
        <v>160184000565</v>
      </c>
      <c r="L4219" t="str">
        <f t="shared" si="1723"/>
        <v>04-08-2020</v>
      </c>
      <c r="M4219" t="str">
        <f t="shared" si="1723"/>
        <v>04-08-2020</v>
      </c>
      <c r="N4219" t="str">
        <f t="shared" si="1706"/>
        <v>001105018356</v>
      </c>
      <c r="O4219" t="str">
        <f t="shared" si="1707"/>
        <v>MYR</v>
      </c>
      <c r="P4219" t="str">
        <f t="shared" si="1724"/>
        <v>NIL</v>
      </c>
      <c r="Q4219" t="str">
        <f t="shared" si="1724"/>
        <v>NIL</v>
      </c>
      <c r="R4219" t="str">
        <f t="shared" si="1709"/>
        <v>Accepted</v>
      </c>
      <c r="S4219" t="str">
        <f t="shared" si="1710"/>
        <v>Approved</v>
      </c>
      <c r="T4219" t="str">
        <f t="shared" si="1711"/>
        <v>10.20.8.188</v>
      </c>
      <c r="U4219" t="str">
        <f t="shared" si="1712"/>
        <v>AZRAD UMAR BIN SHAARI</v>
      </c>
      <c r="V4219" t="str">
        <f t="shared" si="1713"/>
        <v>FARHANA BINTI MUSTAPA</v>
      </c>
      <c r="W4219" t="str">
        <f t="shared" si="1714"/>
        <v>04-08-2020</v>
      </c>
      <c r="X4219" t="str">
        <f t="shared" si="1715"/>
        <v>RAZIMAH ANSAR AHMAD</v>
      </c>
      <c r="Y4219" t="str">
        <f t="shared" si="1716"/>
        <v>04-08-2020</v>
      </c>
      <c r="Z4219" t="str">
        <f>"COS10200804 4935"</f>
        <v>COS10200804 4935</v>
      </c>
    </row>
    <row r="4220" spans="1:26" x14ac:dyDescent="0.25">
      <c r="A4220" t="str">
        <f t="shared" si="1725"/>
        <v>04-08-2020 12:53:46</v>
      </c>
      <c r="B4220" t="str">
        <f>"0000806719"</f>
        <v>0000806719</v>
      </c>
      <c r="C4220" t="str">
        <f t="shared" si="1726"/>
        <v>0000806585</v>
      </c>
      <c r="D4220" t="str">
        <f t="shared" si="1702"/>
        <v>73185</v>
      </c>
      <c r="E4220" t="str">
        <f t="shared" si="1703"/>
        <v>KFH-OPERATIONS DEPARTMENT</v>
      </c>
      <c r="F4220" t="str">
        <f t="shared" si="1704"/>
        <v>IBG</v>
      </c>
      <c r="G4220" t="str">
        <f t="shared" si="1717"/>
        <v>Refund COSHARE 10</v>
      </c>
      <c r="H4220" s="2">
        <v>833</v>
      </c>
      <c r="I4220" t="str">
        <f>"JUHARA BINTI JUHIMIN  JAHUMIN"</f>
        <v>JUHARA BINTI JUHIMIN  JAHUMIN</v>
      </c>
      <c r="J4220" t="str">
        <f t="shared" si="1718"/>
        <v>MAYBANK / MAYBANK ISLAMIC</v>
      </c>
      <c r="K4220" t="str">
        <f>"160269128273"</f>
        <v>160269128273</v>
      </c>
      <c r="L4220" t="str">
        <f t="shared" si="1723"/>
        <v>04-08-2020</v>
      </c>
      <c r="M4220" t="str">
        <f t="shared" si="1723"/>
        <v>04-08-2020</v>
      </c>
      <c r="N4220" t="str">
        <f t="shared" si="1706"/>
        <v>001105018356</v>
      </c>
      <c r="O4220" t="str">
        <f t="shared" si="1707"/>
        <v>MYR</v>
      </c>
      <c r="P4220" t="str">
        <f t="shared" si="1724"/>
        <v>NIL</v>
      </c>
      <c r="Q4220" t="str">
        <f t="shared" si="1724"/>
        <v>NIL</v>
      </c>
      <c r="R4220" t="str">
        <f t="shared" si="1709"/>
        <v>Accepted</v>
      </c>
      <c r="S4220" t="str">
        <f t="shared" si="1710"/>
        <v>Approved</v>
      </c>
      <c r="T4220" t="str">
        <f t="shared" si="1711"/>
        <v>10.20.8.188</v>
      </c>
      <c r="U4220" t="str">
        <f t="shared" si="1712"/>
        <v>AZRAD UMAR BIN SHAARI</v>
      </c>
      <c r="V4220" t="str">
        <f t="shared" si="1713"/>
        <v>FARHANA BINTI MUSTAPA</v>
      </c>
      <c r="W4220" t="str">
        <f t="shared" si="1714"/>
        <v>04-08-2020</v>
      </c>
      <c r="X4220" t="str">
        <f t="shared" si="1715"/>
        <v>RAZIMAH ANSAR AHMAD</v>
      </c>
      <c r="Y4220" t="str">
        <f t="shared" si="1716"/>
        <v>04-08-2020</v>
      </c>
      <c r="Z4220" t="str">
        <f>"COS10200804 4934"</f>
        <v>COS10200804 4934</v>
      </c>
    </row>
    <row r="4221" spans="1:26" x14ac:dyDescent="0.25">
      <c r="A4221" t="str">
        <f t="shared" si="1725"/>
        <v>04-08-2020 12:53:46</v>
      </c>
      <c r="B4221" t="str">
        <f>"0000806718"</f>
        <v>0000806718</v>
      </c>
      <c r="C4221" t="str">
        <f t="shared" si="1726"/>
        <v>0000806585</v>
      </c>
      <c r="D4221" t="str">
        <f t="shared" si="1702"/>
        <v>73185</v>
      </c>
      <c r="E4221" t="str">
        <f t="shared" si="1703"/>
        <v>KFH-OPERATIONS DEPARTMENT</v>
      </c>
      <c r="F4221" t="str">
        <f t="shared" si="1704"/>
        <v>IBG</v>
      </c>
      <c r="G4221" t="str">
        <f t="shared" si="1717"/>
        <v>Refund COSHARE 10</v>
      </c>
      <c r="H4221" s="2">
        <v>210.45</v>
      </c>
      <c r="I4221" t="str">
        <f>"JUHARA BINTI JUHIMIN  JAHUMIN"</f>
        <v>JUHARA BINTI JUHIMIN  JAHUMIN</v>
      </c>
      <c r="J4221" t="str">
        <f t="shared" si="1718"/>
        <v>MAYBANK / MAYBANK ISLAMIC</v>
      </c>
      <c r="K4221" t="str">
        <f>"160269128273"</f>
        <v>160269128273</v>
      </c>
      <c r="L4221" t="str">
        <f t="shared" si="1723"/>
        <v>04-08-2020</v>
      </c>
      <c r="M4221" t="str">
        <f t="shared" si="1723"/>
        <v>04-08-2020</v>
      </c>
      <c r="N4221" t="str">
        <f t="shared" si="1706"/>
        <v>001105018356</v>
      </c>
      <c r="O4221" t="str">
        <f t="shared" si="1707"/>
        <v>MYR</v>
      </c>
      <c r="P4221" t="str">
        <f t="shared" si="1724"/>
        <v>NIL</v>
      </c>
      <c r="Q4221" t="str">
        <f t="shared" si="1724"/>
        <v>NIL</v>
      </c>
      <c r="R4221" t="str">
        <f t="shared" si="1709"/>
        <v>Accepted</v>
      </c>
      <c r="S4221" t="str">
        <f t="shared" si="1710"/>
        <v>Approved</v>
      </c>
      <c r="T4221" t="str">
        <f t="shared" si="1711"/>
        <v>10.20.8.188</v>
      </c>
      <c r="U4221" t="str">
        <f t="shared" si="1712"/>
        <v>AZRAD UMAR BIN SHAARI</v>
      </c>
      <c r="V4221" t="str">
        <f t="shared" si="1713"/>
        <v>FARHANA BINTI MUSTAPA</v>
      </c>
      <c r="W4221" t="str">
        <f t="shared" si="1714"/>
        <v>04-08-2020</v>
      </c>
      <c r="X4221" t="str">
        <f t="shared" si="1715"/>
        <v>RAZIMAH ANSAR AHMAD</v>
      </c>
      <c r="Y4221" t="str">
        <f t="shared" si="1716"/>
        <v>04-08-2020</v>
      </c>
      <c r="Z4221" t="str">
        <f>"COS10200804 4933"</f>
        <v>COS10200804 4933</v>
      </c>
    </row>
    <row r="4222" spans="1:26" x14ac:dyDescent="0.25">
      <c r="A4222" t="str">
        <f t="shared" si="1725"/>
        <v>04-08-2020 12:53:46</v>
      </c>
      <c r="B4222" t="str">
        <f>"0000806717"</f>
        <v>0000806717</v>
      </c>
      <c r="C4222" t="str">
        <f t="shared" si="1726"/>
        <v>0000806585</v>
      </c>
      <c r="D4222" t="str">
        <f t="shared" si="1702"/>
        <v>73185</v>
      </c>
      <c r="E4222" t="str">
        <f t="shared" si="1703"/>
        <v>KFH-OPERATIONS DEPARTMENT</v>
      </c>
      <c r="F4222" t="str">
        <f t="shared" si="1704"/>
        <v>IBG</v>
      </c>
      <c r="G4222" t="str">
        <f t="shared" si="1717"/>
        <v>Refund COSHARE 10</v>
      </c>
      <c r="H4222" s="2">
        <v>167.9</v>
      </c>
      <c r="I4222" t="str">
        <f>"JUFRI BIN BAHARUDDIN"</f>
        <v>JUFRI BIN BAHARUDDIN</v>
      </c>
      <c r="J4222" t="str">
        <f t="shared" si="1718"/>
        <v>MAYBANK / MAYBANK ISLAMIC</v>
      </c>
      <c r="K4222" t="str">
        <f>"151025678316"</f>
        <v>151025678316</v>
      </c>
      <c r="L4222" t="str">
        <f t="shared" si="1723"/>
        <v>04-08-2020</v>
      </c>
      <c r="M4222" t="str">
        <f t="shared" si="1723"/>
        <v>04-08-2020</v>
      </c>
      <c r="N4222" t="str">
        <f t="shared" si="1706"/>
        <v>001105018356</v>
      </c>
      <c r="O4222" t="str">
        <f t="shared" si="1707"/>
        <v>MYR</v>
      </c>
      <c r="P4222" t="str">
        <f t="shared" si="1724"/>
        <v>NIL</v>
      </c>
      <c r="Q4222" t="str">
        <f t="shared" si="1724"/>
        <v>NIL</v>
      </c>
      <c r="R4222" t="str">
        <f t="shared" si="1709"/>
        <v>Accepted</v>
      </c>
      <c r="S4222" t="str">
        <f t="shared" si="1710"/>
        <v>Approved</v>
      </c>
      <c r="T4222" t="str">
        <f t="shared" si="1711"/>
        <v>10.20.8.188</v>
      </c>
      <c r="U4222" t="str">
        <f t="shared" si="1712"/>
        <v>AZRAD UMAR BIN SHAARI</v>
      </c>
      <c r="V4222" t="str">
        <f t="shared" si="1713"/>
        <v>FARHANA BINTI MUSTAPA</v>
      </c>
      <c r="W4222" t="str">
        <f t="shared" si="1714"/>
        <v>04-08-2020</v>
      </c>
      <c r="X4222" t="str">
        <f t="shared" si="1715"/>
        <v>RAZIMAH ANSAR AHMAD</v>
      </c>
      <c r="Y4222" t="str">
        <f t="shared" si="1716"/>
        <v>04-08-2020</v>
      </c>
      <c r="Z4222" t="str">
        <f>"COS10200804 4932"</f>
        <v>COS10200804 4932</v>
      </c>
    </row>
    <row r="4223" spans="1:26" x14ac:dyDescent="0.25">
      <c r="A4223" t="str">
        <f t="shared" si="1725"/>
        <v>04-08-2020 12:53:46</v>
      </c>
      <c r="B4223" t="str">
        <f>"0000806716"</f>
        <v>0000806716</v>
      </c>
      <c r="C4223" t="str">
        <f t="shared" si="1726"/>
        <v>0000806585</v>
      </c>
      <c r="D4223" t="str">
        <f t="shared" si="1702"/>
        <v>73185</v>
      </c>
      <c r="E4223" t="str">
        <f t="shared" si="1703"/>
        <v>KFH-OPERATIONS DEPARTMENT</v>
      </c>
      <c r="F4223" t="str">
        <f t="shared" si="1704"/>
        <v>IBG</v>
      </c>
      <c r="G4223" t="str">
        <f t="shared" si="1717"/>
        <v>Refund COSHARE 10</v>
      </c>
      <c r="H4223" s="2">
        <v>1296.75</v>
      </c>
      <c r="I4223" t="str">
        <f>"JUANAH BT ISMAIL  JUANAH BT SAMUNTING"</f>
        <v>JUANAH BT ISMAIL  JUANAH BT SAMUNTING</v>
      </c>
      <c r="J4223" t="str">
        <f t="shared" si="1718"/>
        <v>MAYBANK / MAYBANK ISLAMIC</v>
      </c>
      <c r="K4223" t="str">
        <f>"160214048178"</f>
        <v>160214048178</v>
      </c>
      <c r="L4223" t="str">
        <f t="shared" si="1723"/>
        <v>04-08-2020</v>
      </c>
      <c r="M4223" t="str">
        <f t="shared" si="1723"/>
        <v>04-08-2020</v>
      </c>
      <c r="N4223" t="str">
        <f t="shared" si="1706"/>
        <v>001105018356</v>
      </c>
      <c r="O4223" t="str">
        <f t="shared" si="1707"/>
        <v>MYR</v>
      </c>
      <c r="P4223" t="str">
        <f t="shared" si="1724"/>
        <v>NIL</v>
      </c>
      <c r="Q4223" t="str">
        <f t="shared" si="1724"/>
        <v>NIL</v>
      </c>
      <c r="R4223" t="str">
        <f t="shared" si="1709"/>
        <v>Accepted</v>
      </c>
      <c r="S4223" t="str">
        <f t="shared" si="1710"/>
        <v>Approved</v>
      </c>
      <c r="T4223" t="str">
        <f t="shared" si="1711"/>
        <v>10.20.8.188</v>
      </c>
      <c r="U4223" t="str">
        <f t="shared" si="1712"/>
        <v>AZRAD UMAR BIN SHAARI</v>
      </c>
      <c r="V4223" t="str">
        <f t="shared" si="1713"/>
        <v>FARHANA BINTI MUSTAPA</v>
      </c>
      <c r="W4223" t="str">
        <f t="shared" si="1714"/>
        <v>04-08-2020</v>
      </c>
      <c r="X4223" t="str">
        <f t="shared" si="1715"/>
        <v>RAZIMAH ANSAR AHMAD</v>
      </c>
      <c r="Y4223" t="str">
        <f t="shared" si="1716"/>
        <v>04-08-2020</v>
      </c>
      <c r="Z4223" t="str">
        <f>"COS10200804 4931"</f>
        <v>COS10200804 4931</v>
      </c>
    </row>
    <row r="4224" spans="1:26" x14ac:dyDescent="0.25">
      <c r="A4224" t="str">
        <f t="shared" si="1725"/>
        <v>04-08-2020 12:53:46</v>
      </c>
      <c r="B4224" t="str">
        <f>"0000806715"</f>
        <v>0000806715</v>
      </c>
      <c r="C4224" t="str">
        <f t="shared" si="1726"/>
        <v>0000806585</v>
      </c>
      <c r="D4224" t="str">
        <f t="shared" si="1702"/>
        <v>73185</v>
      </c>
      <c r="E4224" t="str">
        <f t="shared" si="1703"/>
        <v>KFH-OPERATIONS DEPARTMENT</v>
      </c>
      <c r="F4224" t="str">
        <f t="shared" si="1704"/>
        <v>IBG</v>
      </c>
      <c r="G4224" t="str">
        <f t="shared" si="1717"/>
        <v>Refund COSHARE 10</v>
      </c>
      <c r="H4224" s="2">
        <v>898.3</v>
      </c>
      <c r="I4224" t="str">
        <f>"JOZIMANRIYO BIN SIBLI"</f>
        <v>JOZIMANRIYO BIN SIBLI</v>
      </c>
      <c r="J4224" t="str">
        <f t="shared" si="1718"/>
        <v>MAYBANK / MAYBANK ISLAMIC</v>
      </c>
      <c r="K4224" t="str">
        <f>"111114119155"</f>
        <v>111114119155</v>
      </c>
      <c r="L4224" t="str">
        <f t="shared" si="1723"/>
        <v>04-08-2020</v>
      </c>
      <c r="M4224" t="str">
        <f t="shared" si="1723"/>
        <v>04-08-2020</v>
      </c>
      <c r="N4224" t="str">
        <f t="shared" si="1706"/>
        <v>001105018356</v>
      </c>
      <c r="O4224" t="str">
        <f t="shared" si="1707"/>
        <v>MYR</v>
      </c>
      <c r="P4224" t="str">
        <f t="shared" si="1724"/>
        <v>NIL</v>
      </c>
      <c r="Q4224" t="str">
        <f t="shared" si="1724"/>
        <v>NIL</v>
      </c>
      <c r="R4224" t="str">
        <f t="shared" si="1709"/>
        <v>Accepted</v>
      </c>
      <c r="S4224" t="str">
        <f t="shared" si="1710"/>
        <v>Approved</v>
      </c>
      <c r="T4224" t="str">
        <f t="shared" si="1711"/>
        <v>10.20.8.188</v>
      </c>
      <c r="U4224" t="str">
        <f t="shared" si="1712"/>
        <v>AZRAD UMAR BIN SHAARI</v>
      </c>
      <c r="V4224" t="str">
        <f t="shared" si="1713"/>
        <v>FARHANA BINTI MUSTAPA</v>
      </c>
      <c r="W4224" t="str">
        <f t="shared" si="1714"/>
        <v>04-08-2020</v>
      </c>
      <c r="X4224" t="str">
        <f t="shared" si="1715"/>
        <v>RAZIMAH ANSAR AHMAD</v>
      </c>
      <c r="Y4224" t="str">
        <f t="shared" si="1716"/>
        <v>04-08-2020</v>
      </c>
      <c r="Z4224" t="str">
        <f>"COS10200804 4930"</f>
        <v>COS10200804 4930</v>
      </c>
    </row>
    <row r="4225" spans="1:26" x14ac:dyDescent="0.25">
      <c r="A4225" t="str">
        <f t="shared" si="1725"/>
        <v>04-08-2020 12:53:46</v>
      </c>
      <c r="B4225" t="str">
        <f>"0000806714"</f>
        <v>0000806714</v>
      </c>
      <c r="C4225" t="str">
        <f t="shared" si="1726"/>
        <v>0000806585</v>
      </c>
      <c r="D4225" t="str">
        <f t="shared" si="1702"/>
        <v>73185</v>
      </c>
      <c r="E4225" t="str">
        <f t="shared" si="1703"/>
        <v>KFH-OPERATIONS DEPARTMENT</v>
      </c>
      <c r="F4225" t="str">
        <f t="shared" si="1704"/>
        <v>IBG</v>
      </c>
      <c r="G4225" t="str">
        <f t="shared" si="1717"/>
        <v>Refund COSHARE 10</v>
      </c>
      <c r="H4225" s="2">
        <v>634.20000000000005</v>
      </c>
      <c r="I4225" t="str">
        <f>"JOVITA BINTI KADAM"</f>
        <v>JOVITA BINTI KADAM</v>
      </c>
      <c r="J4225" t="str">
        <f t="shared" si="1718"/>
        <v>MAYBANK / MAYBANK ISLAMIC</v>
      </c>
      <c r="K4225" t="str">
        <f>"110014082087"</f>
        <v>110014082087</v>
      </c>
      <c r="L4225" t="str">
        <f t="shared" si="1723"/>
        <v>04-08-2020</v>
      </c>
      <c r="M4225" t="str">
        <f t="shared" si="1723"/>
        <v>04-08-2020</v>
      </c>
      <c r="N4225" t="str">
        <f t="shared" si="1706"/>
        <v>001105018356</v>
      </c>
      <c r="O4225" t="str">
        <f t="shared" si="1707"/>
        <v>MYR</v>
      </c>
      <c r="P4225" t="str">
        <f t="shared" si="1724"/>
        <v>NIL</v>
      </c>
      <c r="Q4225" t="str">
        <f t="shared" si="1724"/>
        <v>NIL</v>
      </c>
      <c r="R4225" t="str">
        <f t="shared" si="1709"/>
        <v>Accepted</v>
      </c>
      <c r="S4225" t="str">
        <f t="shared" si="1710"/>
        <v>Approved</v>
      </c>
      <c r="T4225" t="str">
        <f t="shared" si="1711"/>
        <v>10.20.8.188</v>
      </c>
      <c r="U4225" t="str">
        <f t="shared" si="1712"/>
        <v>AZRAD UMAR BIN SHAARI</v>
      </c>
      <c r="V4225" t="str">
        <f t="shared" si="1713"/>
        <v>FARHANA BINTI MUSTAPA</v>
      </c>
      <c r="W4225" t="str">
        <f t="shared" si="1714"/>
        <v>04-08-2020</v>
      </c>
      <c r="X4225" t="str">
        <f t="shared" si="1715"/>
        <v>RAZIMAH ANSAR AHMAD</v>
      </c>
      <c r="Y4225" t="str">
        <f t="shared" si="1716"/>
        <v>04-08-2020</v>
      </c>
      <c r="Z4225" t="str">
        <f>"COS10200804 4929"</f>
        <v>COS10200804 4929</v>
      </c>
    </row>
    <row r="4226" spans="1:26" x14ac:dyDescent="0.25">
      <c r="A4226" t="str">
        <f t="shared" si="1725"/>
        <v>04-08-2020 12:53:46</v>
      </c>
      <c r="B4226" t="str">
        <f>"0000806713"</f>
        <v>0000806713</v>
      </c>
      <c r="C4226" t="str">
        <f t="shared" si="1726"/>
        <v>0000806585</v>
      </c>
      <c r="D4226" t="str">
        <f t="shared" si="1702"/>
        <v>73185</v>
      </c>
      <c r="E4226" t="str">
        <f t="shared" si="1703"/>
        <v>KFH-OPERATIONS DEPARTMENT</v>
      </c>
      <c r="F4226" t="str">
        <f t="shared" si="1704"/>
        <v>IBG</v>
      </c>
      <c r="G4226" t="str">
        <f t="shared" si="1717"/>
        <v>Refund COSHARE 10</v>
      </c>
      <c r="H4226" s="2">
        <v>319</v>
      </c>
      <c r="I4226" t="str">
        <f>"JOTHI AP SIMASAMY"</f>
        <v>JOTHI AP SIMASAMY</v>
      </c>
      <c r="J4226" t="str">
        <f t="shared" si="1718"/>
        <v>MAYBANK / MAYBANK ISLAMIC</v>
      </c>
      <c r="K4226" t="str">
        <f>"106099238267"</f>
        <v>106099238267</v>
      </c>
      <c r="L4226" t="str">
        <f t="shared" si="1723"/>
        <v>04-08-2020</v>
      </c>
      <c r="M4226" t="str">
        <f t="shared" si="1723"/>
        <v>04-08-2020</v>
      </c>
      <c r="N4226" t="str">
        <f t="shared" si="1706"/>
        <v>001105018356</v>
      </c>
      <c r="O4226" t="str">
        <f t="shared" si="1707"/>
        <v>MYR</v>
      </c>
      <c r="P4226" t="str">
        <f t="shared" si="1724"/>
        <v>NIL</v>
      </c>
      <c r="Q4226" t="str">
        <f t="shared" si="1724"/>
        <v>NIL</v>
      </c>
      <c r="R4226" t="str">
        <f t="shared" si="1709"/>
        <v>Accepted</v>
      </c>
      <c r="S4226" t="str">
        <f t="shared" si="1710"/>
        <v>Approved</v>
      </c>
      <c r="T4226" t="str">
        <f t="shared" si="1711"/>
        <v>10.20.8.188</v>
      </c>
      <c r="U4226" t="str">
        <f t="shared" si="1712"/>
        <v>AZRAD UMAR BIN SHAARI</v>
      </c>
      <c r="V4226" t="str">
        <f t="shared" si="1713"/>
        <v>FARHANA BINTI MUSTAPA</v>
      </c>
      <c r="W4226" t="str">
        <f t="shared" si="1714"/>
        <v>04-08-2020</v>
      </c>
      <c r="X4226" t="str">
        <f t="shared" si="1715"/>
        <v>RAZIMAH ANSAR AHMAD</v>
      </c>
      <c r="Y4226" t="str">
        <f t="shared" si="1716"/>
        <v>04-08-2020</v>
      </c>
      <c r="Z4226" t="str">
        <f>"COS10200804 4928"</f>
        <v>COS10200804 4928</v>
      </c>
    </row>
    <row r="4227" spans="1:26" x14ac:dyDescent="0.25">
      <c r="A4227" t="str">
        <f t="shared" si="1725"/>
        <v>04-08-2020 12:53:46</v>
      </c>
      <c r="B4227" t="str">
        <f>"0000806712"</f>
        <v>0000806712</v>
      </c>
      <c r="C4227" t="str">
        <f t="shared" si="1726"/>
        <v>0000806585</v>
      </c>
      <c r="D4227" t="str">
        <f t="shared" si="1702"/>
        <v>73185</v>
      </c>
      <c r="E4227" t="str">
        <f t="shared" si="1703"/>
        <v>KFH-OPERATIONS DEPARTMENT</v>
      </c>
      <c r="F4227" t="str">
        <f t="shared" si="1704"/>
        <v>IBG</v>
      </c>
      <c r="G4227" t="str">
        <f t="shared" si="1717"/>
        <v>Refund COSHARE 10</v>
      </c>
      <c r="H4227" s="2">
        <v>1500</v>
      </c>
      <c r="I4227" t="str">
        <f>"JOSMAN BIN KISAT  GEORGE BIN KISAT"</f>
        <v>JOSMAN BIN KISAT  GEORGE BIN KISAT</v>
      </c>
      <c r="J4227" t="str">
        <f t="shared" si="1718"/>
        <v>MAYBANK / MAYBANK ISLAMIC</v>
      </c>
      <c r="K4227" t="str">
        <f>"160018580966"</f>
        <v>160018580966</v>
      </c>
      <c r="L4227" t="str">
        <f t="shared" ref="L4227:M4246" si="1727">"04-08-2020"</f>
        <v>04-08-2020</v>
      </c>
      <c r="M4227" t="str">
        <f t="shared" si="1727"/>
        <v>04-08-2020</v>
      </c>
      <c r="N4227" t="str">
        <f t="shared" si="1706"/>
        <v>001105018356</v>
      </c>
      <c r="O4227" t="str">
        <f t="shared" si="1707"/>
        <v>MYR</v>
      </c>
      <c r="P4227" t="str">
        <f t="shared" ref="P4227:Q4246" si="1728">"NIL"</f>
        <v>NIL</v>
      </c>
      <c r="Q4227" t="str">
        <f t="shared" si="1728"/>
        <v>NIL</v>
      </c>
      <c r="R4227" t="str">
        <f t="shared" si="1709"/>
        <v>Accepted</v>
      </c>
      <c r="S4227" t="str">
        <f t="shared" si="1710"/>
        <v>Approved</v>
      </c>
      <c r="T4227" t="str">
        <f t="shared" si="1711"/>
        <v>10.20.8.188</v>
      </c>
      <c r="U4227" t="str">
        <f t="shared" si="1712"/>
        <v>AZRAD UMAR BIN SHAARI</v>
      </c>
      <c r="V4227" t="str">
        <f t="shared" si="1713"/>
        <v>FARHANA BINTI MUSTAPA</v>
      </c>
      <c r="W4227" t="str">
        <f t="shared" si="1714"/>
        <v>04-08-2020</v>
      </c>
      <c r="X4227" t="str">
        <f t="shared" si="1715"/>
        <v>RAZIMAH ANSAR AHMAD</v>
      </c>
      <c r="Y4227" t="str">
        <f t="shared" si="1716"/>
        <v>04-08-2020</v>
      </c>
      <c r="Z4227" t="str">
        <f>"COS10200804 4927"</f>
        <v>COS10200804 4927</v>
      </c>
    </row>
    <row r="4228" spans="1:26" x14ac:dyDescent="0.25">
      <c r="A4228" t="str">
        <f t="shared" si="1725"/>
        <v>04-08-2020 12:53:46</v>
      </c>
      <c r="B4228" t="str">
        <f>"0000806711"</f>
        <v>0000806711</v>
      </c>
      <c r="C4228" t="str">
        <f t="shared" si="1726"/>
        <v>0000806585</v>
      </c>
      <c r="D4228" t="str">
        <f t="shared" si="1702"/>
        <v>73185</v>
      </c>
      <c r="E4228" t="str">
        <f t="shared" si="1703"/>
        <v>KFH-OPERATIONS DEPARTMENT</v>
      </c>
      <c r="F4228" t="str">
        <f t="shared" si="1704"/>
        <v>IBG</v>
      </c>
      <c r="G4228" t="str">
        <f t="shared" si="1717"/>
        <v>Refund COSHARE 10</v>
      </c>
      <c r="H4228" s="2">
        <v>377.8</v>
      </c>
      <c r="I4228" t="str">
        <f>"JORINA BINTI LAJIM"</f>
        <v>JORINA BINTI LAJIM</v>
      </c>
      <c r="J4228" t="str">
        <f t="shared" si="1718"/>
        <v>MAYBANK / MAYBANK ISLAMIC</v>
      </c>
      <c r="K4228" t="str">
        <f>"160139276916"</f>
        <v>160139276916</v>
      </c>
      <c r="L4228" t="str">
        <f t="shared" si="1727"/>
        <v>04-08-2020</v>
      </c>
      <c r="M4228" t="str">
        <f t="shared" si="1727"/>
        <v>04-08-2020</v>
      </c>
      <c r="N4228" t="str">
        <f t="shared" si="1706"/>
        <v>001105018356</v>
      </c>
      <c r="O4228" t="str">
        <f t="shared" si="1707"/>
        <v>MYR</v>
      </c>
      <c r="P4228" t="str">
        <f t="shared" si="1728"/>
        <v>NIL</v>
      </c>
      <c r="Q4228" t="str">
        <f t="shared" si="1728"/>
        <v>NIL</v>
      </c>
      <c r="R4228" t="str">
        <f t="shared" si="1709"/>
        <v>Accepted</v>
      </c>
      <c r="S4228" t="str">
        <f t="shared" si="1710"/>
        <v>Approved</v>
      </c>
      <c r="T4228" t="str">
        <f t="shared" si="1711"/>
        <v>10.20.8.188</v>
      </c>
      <c r="U4228" t="str">
        <f t="shared" si="1712"/>
        <v>AZRAD UMAR BIN SHAARI</v>
      </c>
      <c r="V4228" t="str">
        <f t="shared" si="1713"/>
        <v>FARHANA BINTI MUSTAPA</v>
      </c>
      <c r="W4228" t="str">
        <f t="shared" si="1714"/>
        <v>04-08-2020</v>
      </c>
      <c r="X4228" t="str">
        <f t="shared" si="1715"/>
        <v>RAZIMAH ANSAR AHMAD</v>
      </c>
      <c r="Y4228" t="str">
        <f t="shared" si="1716"/>
        <v>04-08-2020</v>
      </c>
      <c r="Z4228" t="str">
        <f>"COS10200804 4926"</f>
        <v>COS10200804 4926</v>
      </c>
    </row>
    <row r="4229" spans="1:26" x14ac:dyDescent="0.25">
      <c r="A4229" t="str">
        <f t="shared" si="1725"/>
        <v>04-08-2020 12:53:46</v>
      </c>
      <c r="B4229" t="str">
        <f>"0000806710"</f>
        <v>0000806710</v>
      </c>
      <c r="C4229" t="str">
        <f t="shared" si="1726"/>
        <v>0000806585</v>
      </c>
      <c r="D4229" t="str">
        <f t="shared" si="1702"/>
        <v>73185</v>
      </c>
      <c r="E4229" t="str">
        <f t="shared" si="1703"/>
        <v>KFH-OPERATIONS DEPARTMENT</v>
      </c>
      <c r="F4229" t="str">
        <f t="shared" si="1704"/>
        <v>IBG</v>
      </c>
      <c r="G4229" t="str">
        <f t="shared" si="1717"/>
        <v>Refund COSHARE 10</v>
      </c>
      <c r="H4229" s="2">
        <v>528.9</v>
      </c>
      <c r="I4229" t="str">
        <f>"JOPIOL BIN MONGINTAL"</f>
        <v>JOPIOL BIN MONGINTAL</v>
      </c>
      <c r="J4229" t="str">
        <f t="shared" si="1718"/>
        <v>MAYBANK / MAYBANK ISLAMIC</v>
      </c>
      <c r="K4229" t="str">
        <f>"110068185185"</f>
        <v>110068185185</v>
      </c>
      <c r="L4229" t="str">
        <f t="shared" si="1727"/>
        <v>04-08-2020</v>
      </c>
      <c r="M4229" t="str">
        <f t="shared" si="1727"/>
        <v>04-08-2020</v>
      </c>
      <c r="N4229" t="str">
        <f t="shared" si="1706"/>
        <v>001105018356</v>
      </c>
      <c r="O4229" t="str">
        <f t="shared" si="1707"/>
        <v>MYR</v>
      </c>
      <c r="P4229" t="str">
        <f t="shared" si="1728"/>
        <v>NIL</v>
      </c>
      <c r="Q4229" t="str">
        <f t="shared" si="1728"/>
        <v>NIL</v>
      </c>
      <c r="R4229" t="str">
        <f t="shared" si="1709"/>
        <v>Accepted</v>
      </c>
      <c r="S4229" t="str">
        <f t="shared" si="1710"/>
        <v>Approved</v>
      </c>
      <c r="T4229" t="str">
        <f t="shared" si="1711"/>
        <v>10.20.8.188</v>
      </c>
      <c r="U4229" t="str">
        <f t="shared" si="1712"/>
        <v>AZRAD UMAR BIN SHAARI</v>
      </c>
      <c r="V4229" t="str">
        <f t="shared" si="1713"/>
        <v>FARHANA BINTI MUSTAPA</v>
      </c>
      <c r="W4229" t="str">
        <f t="shared" si="1714"/>
        <v>04-08-2020</v>
      </c>
      <c r="X4229" t="str">
        <f t="shared" si="1715"/>
        <v>RAZIMAH ANSAR AHMAD</v>
      </c>
      <c r="Y4229" t="str">
        <f t="shared" si="1716"/>
        <v>04-08-2020</v>
      </c>
      <c r="Z4229" t="str">
        <f>"COS10200804 4925"</f>
        <v>COS10200804 4925</v>
      </c>
    </row>
    <row r="4230" spans="1:26" x14ac:dyDescent="0.25">
      <c r="A4230" t="str">
        <f t="shared" si="1725"/>
        <v>04-08-2020 12:53:46</v>
      </c>
      <c r="B4230" t="str">
        <f>"0000806709"</f>
        <v>0000806709</v>
      </c>
      <c r="C4230" t="str">
        <f t="shared" si="1726"/>
        <v>0000806585</v>
      </c>
      <c r="D4230" t="str">
        <f t="shared" si="1702"/>
        <v>73185</v>
      </c>
      <c r="E4230" t="str">
        <f t="shared" si="1703"/>
        <v>KFH-OPERATIONS DEPARTMENT</v>
      </c>
      <c r="F4230" t="str">
        <f t="shared" si="1704"/>
        <v>IBG</v>
      </c>
      <c r="G4230" t="str">
        <f t="shared" si="1717"/>
        <v>Refund COSHARE 10</v>
      </c>
      <c r="H4230" s="2">
        <v>635</v>
      </c>
      <c r="I4230" t="str">
        <f>"JONIS BIN UPIN"</f>
        <v>JONIS BIN UPIN</v>
      </c>
      <c r="J4230" t="str">
        <f t="shared" si="1718"/>
        <v>MAYBANK / MAYBANK ISLAMIC</v>
      </c>
      <c r="K4230" t="str">
        <f>"160063253534"</f>
        <v>160063253534</v>
      </c>
      <c r="L4230" t="str">
        <f t="shared" si="1727"/>
        <v>04-08-2020</v>
      </c>
      <c r="M4230" t="str">
        <f t="shared" si="1727"/>
        <v>04-08-2020</v>
      </c>
      <c r="N4230" t="str">
        <f t="shared" si="1706"/>
        <v>001105018356</v>
      </c>
      <c r="O4230" t="str">
        <f t="shared" si="1707"/>
        <v>MYR</v>
      </c>
      <c r="P4230" t="str">
        <f t="shared" si="1728"/>
        <v>NIL</v>
      </c>
      <c r="Q4230" t="str">
        <f t="shared" si="1728"/>
        <v>NIL</v>
      </c>
      <c r="R4230" t="str">
        <f t="shared" si="1709"/>
        <v>Accepted</v>
      </c>
      <c r="S4230" t="str">
        <f t="shared" si="1710"/>
        <v>Approved</v>
      </c>
      <c r="T4230" t="str">
        <f t="shared" si="1711"/>
        <v>10.20.8.188</v>
      </c>
      <c r="U4230" t="str">
        <f t="shared" si="1712"/>
        <v>AZRAD UMAR BIN SHAARI</v>
      </c>
      <c r="V4230" t="str">
        <f t="shared" si="1713"/>
        <v>FARHANA BINTI MUSTAPA</v>
      </c>
      <c r="W4230" t="str">
        <f t="shared" si="1714"/>
        <v>04-08-2020</v>
      </c>
      <c r="X4230" t="str">
        <f t="shared" si="1715"/>
        <v>RAZIMAH ANSAR AHMAD</v>
      </c>
      <c r="Y4230" t="str">
        <f t="shared" si="1716"/>
        <v>04-08-2020</v>
      </c>
      <c r="Z4230" t="str">
        <f>"COS10200804 4924"</f>
        <v>COS10200804 4924</v>
      </c>
    </row>
    <row r="4231" spans="1:26" x14ac:dyDescent="0.25">
      <c r="A4231" t="str">
        <f t="shared" si="1725"/>
        <v>04-08-2020 12:53:46</v>
      </c>
      <c r="B4231" t="str">
        <f>"0000806708"</f>
        <v>0000806708</v>
      </c>
      <c r="C4231" t="str">
        <f t="shared" si="1726"/>
        <v>0000806585</v>
      </c>
      <c r="D4231" t="str">
        <f t="shared" ref="D4231:D4294" si="1729">"73185"</f>
        <v>73185</v>
      </c>
      <c r="E4231" t="str">
        <f t="shared" ref="E4231:E4294" si="1730">"KFH-OPERATIONS DEPARTMENT"</f>
        <v>KFH-OPERATIONS DEPARTMENT</v>
      </c>
      <c r="F4231" t="str">
        <f t="shared" ref="F4231:F4294" si="1731">"IBG"</f>
        <v>IBG</v>
      </c>
      <c r="G4231" t="str">
        <f t="shared" si="1717"/>
        <v>Refund COSHARE 10</v>
      </c>
      <c r="H4231" s="2">
        <v>92.35</v>
      </c>
      <c r="I4231" t="str">
        <f>"JOL BIN JAMIL"</f>
        <v>JOL BIN JAMIL</v>
      </c>
      <c r="J4231" t="str">
        <f t="shared" si="1718"/>
        <v>MAYBANK / MAYBANK ISLAMIC</v>
      </c>
      <c r="K4231" t="str">
        <f>"162106333261"</f>
        <v>162106333261</v>
      </c>
      <c r="L4231" t="str">
        <f t="shared" si="1727"/>
        <v>04-08-2020</v>
      </c>
      <c r="M4231" t="str">
        <f t="shared" si="1727"/>
        <v>04-08-2020</v>
      </c>
      <c r="N4231" t="str">
        <f t="shared" ref="N4231:N4294" si="1732">"001105018356"</f>
        <v>001105018356</v>
      </c>
      <c r="O4231" t="str">
        <f t="shared" ref="O4231:O4294" si="1733">"MYR"</f>
        <v>MYR</v>
      </c>
      <c r="P4231" t="str">
        <f t="shared" si="1728"/>
        <v>NIL</v>
      </c>
      <c r="Q4231" t="str">
        <f t="shared" si="1728"/>
        <v>NIL</v>
      </c>
      <c r="R4231" t="str">
        <f t="shared" ref="R4231:R4294" si="1734">"Accepted"</f>
        <v>Accepted</v>
      </c>
      <c r="S4231" t="str">
        <f t="shared" ref="S4231:S4294" si="1735">"Approved"</f>
        <v>Approved</v>
      </c>
      <c r="T4231" t="str">
        <f t="shared" ref="T4231:T4294" si="1736">"10.20.8.188"</f>
        <v>10.20.8.188</v>
      </c>
      <c r="U4231" t="str">
        <f t="shared" ref="U4231:U4294" si="1737">"AZRAD UMAR BIN SHAARI"</f>
        <v>AZRAD UMAR BIN SHAARI</v>
      </c>
      <c r="V4231" t="str">
        <f t="shared" ref="V4231:V4294" si="1738">"FARHANA BINTI MUSTAPA"</f>
        <v>FARHANA BINTI MUSTAPA</v>
      </c>
      <c r="W4231" t="str">
        <f t="shared" ref="W4231:W4294" si="1739">"04-08-2020"</f>
        <v>04-08-2020</v>
      </c>
      <c r="X4231" t="str">
        <f t="shared" ref="X4231:X4294" si="1740">"RAZIMAH ANSAR AHMAD"</f>
        <v>RAZIMAH ANSAR AHMAD</v>
      </c>
      <c r="Y4231" t="str">
        <f t="shared" ref="Y4231:Y4294" si="1741">"04-08-2020"</f>
        <v>04-08-2020</v>
      </c>
      <c r="Z4231" t="str">
        <f>"COS10200804 4923"</f>
        <v>COS10200804 4923</v>
      </c>
    </row>
    <row r="4232" spans="1:26" x14ac:dyDescent="0.25">
      <c r="A4232" t="str">
        <f t="shared" si="1725"/>
        <v>04-08-2020 12:53:46</v>
      </c>
      <c r="B4232" t="str">
        <f>"0000806707"</f>
        <v>0000806707</v>
      </c>
      <c r="C4232" t="str">
        <f t="shared" si="1726"/>
        <v>0000806585</v>
      </c>
      <c r="D4232" t="str">
        <f t="shared" si="1729"/>
        <v>73185</v>
      </c>
      <c r="E4232" t="str">
        <f t="shared" si="1730"/>
        <v>KFH-OPERATIONS DEPARTMENT</v>
      </c>
      <c r="F4232" t="str">
        <f t="shared" si="1731"/>
        <v>IBG</v>
      </c>
      <c r="G4232" t="str">
        <f t="shared" si="1717"/>
        <v>Refund COSHARE 10</v>
      </c>
      <c r="H4232" s="2">
        <v>1175.3</v>
      </c>
      <c r="I4232" t="str">
        <f>"JOKOPURWANTO BIN JIMIN"</f>
        <v>JOKOPURWANTO BIN JIMIN</v>
      </c>
      <c r="J4232" t="str">
        <f t="shared" si="1718"/>
        <v>MAYBANK / MAYBANK ISLAMIC</v>
      </c>
      <c r="K4232" t="str">
        <f>"160063278519"</f>
        <v>160063278519</v>
      </c>
      <c r="L4232" t="str">
        <f t="shared" si="1727"/>
        <v>04-08-2020</v>
      </c>
      <c r="M4232" t="str">
        <f t="shared" si="1727"/>
        <v>04-08-2020</v>
      </c>
      <c r="N4232" t="str">
        <f t="shared" si="1732"/>
        <v>001105018356</v>
      </c>
      <c r="O4232" t="str">
        <f t="shared" si="1733"/>
        <v>MYR</v>
      </c>
      <c r="P4232" t="str">
        <f t="shared" si="1728"/>
        <v>NIL</v>
      </c>
      <c r="Q4232" t="str">
        <f t="shared" si="1728"/>
        <v>NIL</v>
      </c>
      <c r="R4232" t="str">
        <f t="shared" si="1734"/>
        <v>Accepted</v>
      </c>
      <c r="S4232" t="str">
        <f t="shared" si="1735"/>
        <v>Approved</v>
      </c>
      <c r="T4232" t="str">
        <f t="shared" si="1736"/>
        <v>10.20.8.188</v>
      </c>
      <c r="U4232" t="str">
        <f t="shared" si="1737"/>
        <v>AZRAD UMAR BIN SHAARI</v>
      </c>
      <c r="V4232" t="str">
        <f t="shared" si="1738"/>
        <v>FARHANA BINTI MUSTAPA</v>
      </c>
      <c r="W4232" t="str">
        <f t="shared" si="1739"/>
        <v>04-08-2020</v>
      </c>
      <c r="X4232" t="str">
        <f t="shared" si="1740"/>
        <v>RAZIMAH ANSAR AHMAD</v>
      </c>
      <c r="Y4232" t="str">
        <f t="shared" si="1741"/>
        <v>04-08-2020</v>
      </c>
      <c r="Z4232" t="str">
        <f>"COS10200804 4922"</f>
        <v>COS10200804 4922</v>
      </c>
    </row>
    <row r="4233" spans="1:26" x14ac:dyDescent="0.25">
      <c r="A4233" t="str">
        <f t="shared" si="1725"/>
        <v>04-08-2020 12:53:46</v>
      </c>
      <c r="B4233" t="str">
        <f>"0000806706"</f>
        <v>0000806706</v>
      </c>
      <c r="C4233" t="str">
        <f t="shared" si="1726"/>
        <v>0000806585</v>
      </c>
      <c r="D4233" t="str">
        <f t="shared" si="1729"/>
        <v>73185</v>
      </c>
      <c r="E4233" t="str">
        <f t="shared" si="1730"/>
        <v>KFH-OPERATIONS DEPARTMENT</v>
      </c>
      <c r="F4233" t="str">
        <f t="shared" si="1731"/>
        <v>IBG</v>
      </c>
      <c r="G4233" t="str">
        <f t="shared" si="1717"/>
        <v>Refund COSHARE 10</v>
      </c>
      <c r="H4233" s="2">
        <v>609</v>
      </c>
      <c r="I4233" t="str">
        <f>"JOHNY BIN MOHAMAD ROSLI"</f>
        <v>JOHNY BIN MOHAMAD ROSLI</v>
      </c>
      <c r="J4233" t="str">
        <f t="shared" si="1718"/>
        <v>MAYBANK / MAYBANK ISLAMIC</v>
      </c>
      <c r="K4233" t="str">
        <f>"111114060976"</f>
        <v>111114060976</v>
      </c>
      <c r="L4233" t="str">
        <f t="shared" si="1727"/>
        <v>04-08-2020</v>
      </c>
      <c r="M4233" t="str">
        <f t="shared" si="1727"/>
        <v>04-08-2020</v>
      </c>
      <c r="N4233" t="str">
        <f t="shared" si="1732"/>
        <v>001105018356</v>
      </c>
      <c r="O4233" t="str">
        <f t="shared" si="1733"/>
        <v>MYR</v>
      </c>
      <c r="P4233" t="str">
        <f t="shared" si="1728"/>
        <v>NIL</v>
      </c>
      <c r="Q4233" t="str">
        <f t="shared" si="1728"/>
        <v>NIL</v>
      </c>
      <c r="R4233" t="str">
        <f t="shared" si="1734"/>
        <v>Accepted</v>
      </c>
      <c r="S4233" t="str">
        <f t="shared" si="1735"/>
        <v>Approved</v>
      </c>
      <c r="T4233" t="str">
        <f t="shared" si="1736"/>
        <v>10.20.8.188</v>
      </c>
      <c r="U4233" t="str">
        <f t="shared" si="1737"/>
        <v>AZRAD UMAR BIN SHAARI</v>
      </c>
      <c r="V4233" t="str">
        <f t="shared" si="1738"/>
        <v>FARHANA BINTI MUSTAPA</v>
      </c>
      <c r="W4233" t="str">
        <f t="shared" si="1739"/>
        <v>04-08-2020</v>
      </c>
      <c r="X4233" t="str">
        <f t="shared" si="1740"/>
        <v>RAZIMAH ANSAR AHMAD</v>
      </c>
      <c r="Y4233" t="str">
        <f t="shared" si="1741"/>
        <v>04-08-2020</v>
      </c>
      <c r="Z4233" t="str">
        <f>"COS10200804 4921"</f>
        <v>COS10200804 4921</v>
      </c>
    </row>
    <row r="4234" spans="1:26" x14ac:dyDescent="0.25">
      <c r="A4234" t="str">
        <f t="shared" si="1725"/>
        <v>04-08-2020 12:53:46</v>
      </c>
      <c r="B4234" t="str">
        <f>"0000806705"</f>
        <v>0000806705</v>
      </c>
      <c r="C4234" t="str">
        <f t="shared" si="1726"/>
        <v>0000806585</v>
      </c>
      <c r="D4234" t="str">
        <f t="shared" si="1729"/>
        <v>73185</v>
      </c>
      <c r="E4234" t="str">
        <f t="shared" si="1730"/>
        <v>KFH-OPERATIONS DEPARTMENT</v>
      </c>
      <c r="F4234" t="str">
        <f t="shared" si="1731"/>
        <v>IBG</v>
      </c>
      <c r="G4234" t="str">
        <f t="shared" si="1717"/>
        <v>Refund COSHARE 10</v>
      </c>
      <c r="H4234" s="2">
        <v>298</v>
      </c>
      <c r="I4234" t="str">
        <f>"JOHNATHAN KINTAI BAJOT"</f>
        <v>JOHNATHAN KINTAI BAJOT</v>
      </c>
      <c r="J4234" t="str">
        <f t="shared" si="1718"/>
        <v>MAYBANK / MAYBANK ISLAMIC</v>
      </c>
      <c r="K4234" t="str">
        <f>"113014483554"</f>
        <v>113014483554</v>
      </c>
      <c r="L4234" t="str">
        <f t="shared" si="1727"/>
        <v>04-08-2020</v>
      </c>
      <c r="M4234" t="str">
        <f t="shared" si="1727"/>
        <v>04-08-2020</v>
      </c>
      <c r="N4234" t="str">
        <f t="shared" si="1732"/>
        <v>001105018356</v>
      </c>
      <c r="O4234" t="str">
        <f t="shared" si="1733"/>
        <v>MYR</v>
      </c>
      <c r="P4234" t="str">
        <f t="shared" si="1728"/>
        <v>NIL</v>
      </c>
      <c r="Q4234" t="str">
        <f t="shared" si="1728"/>
        <v>NIL</v>
      </c>
      <c r="R4234" t="str">
        <f t="shared" si="1734"/>
        <v>Accepted</v>
      </c>
      <c r="S4234" t="str">
        <f t="shared" si="1735"/>
        <v>Approved</v>
      </c>
      <c r="T4234" t="str">
        <f t="shared" si="1736"/>
        <v>10.20.8.188</v>
      </c>
      <c r="U4234" t="str">
        <f t="shared" si="1737"/>
        <v>AZRAD UMAR BIN SHAARI</v>
      </c>
      <c r="V4234" t="str">
        <f t="shared" si="1738"/>
        <v>FARHANA BINTI MUSTAPA</v>
      </c>
      <c r="W4234" t="str">
        <f t="shared" si="1739"/>
        <v>04-08-2020</v>
      </c>
      <c r="X4234" t="str">
        <f t="shared" si="1740"/>
        <v>RAZIMAH ANSAR AHMAD</v>
      </c>
      <c r="Y4234" t="str">
        <f t="shared" si="1741"/>
        <v>04-08-2020</v>
      </c>
      <c r="Z4234" t="str">
        <f>"COS10200804 4920"</f>
        <v>COS10200804 4920</v>
      </c>
    </row>
    <row r="4235" spans="1:26" x14ac:dyDescent="0.25">
      <c r="A4235" t="str">
        <f t="shared" si="1725"/>
        <v>04-08-2020 12:53:46</v>
      </c>
      <c r="B4235" t="str">
        <f>"0000806704"</f>
        <v>0000806704</v>
      </c>
      <c r="C4235" t="str">
        <f t="shared" si="1726"/>
        <v>0000806585</v>
      </c>
      <c r="D4235" t="str">
        <f t="shared" si="1729"/>
        <v>73185</v>
      </c>
      <c r="E4235" t="str">
        <f t="shared" si="1730"/>
        <v>KFH-OPERATIONS DEPARTMENT</v>
      </c>
      <c r="F4235" t="str">
        <f t="shared" si="1731"/>
        <v>IBG</v>
      </c>
      <c r="G4235" t="str">
        <f t="shared" si="1717"/>
        <v>Refund COSHARE 10</v>
      </c>
      <c r="H4235" s="2">
        <v>335.8</v>
      </c>
      <c r="I4235" t="str">
        <f>"JOHARUDIN BIN RAHIM"</f>
        <v>JOHARUDIN BIN RAHIM</v>
      </c>
      <c r="J4235" t="str">
        <f t="shared" si="1718"/>
        <v>MAYBANK / MAYBANK ISLAMIC</v>
      </c>
      <c r="K4235" t="str">
        <f>"155171009796"</f>
        <v>155171009796</v>
      </c>
      <c r="L4235" t="str">
        <f t="shared" si="1727"/>
        <v>04-08-2020</v>
      </c>
      <c r="M4235" t="str">
        <f t="shared" si="1727"/>
        <v>04-08-2020</v>
      </c>
      <c r="N4235" t="str">
        <f t="shared" si="1732"/>
        <v>001105018356</v>
      </c>
      <c r="O4235" t="str">
        <f t="shared" si="1733"/>
        <v>MYR</v>
      </c>
      <c r="P4235" t="str">
        <f t="shared" si="1728"/>
        <v>NIL</v>
      </c>
      <c r="Q4235" t="str">
        <f t="shared" si="1728"/>
        <v>NIL</v>
      </c>
      <c r="R4235" t="str">
        <f t="shared" si="1734"/>
        <v>Accepted</v>
      </c>
      <c r="S4235" t="str">
        <f t="shared" si="1735"/>
        <v>Approved</v>
      </c>
      <c r="T4235" t="str">
        <f t="shared" si="1736"/>
        <v>10.20.8.188</v>
      </c>
      <c r="U4235" t="str">
        <f t="shared" si="1737"/>
        <v>AZRAD UMAR BIN SHAARI</v>
      </c>
      <c r="V4235" t="str">
        <f t="shared" si="1738"/>
        <v>FARHANA BINTI MUSTAPA</v>
      </c>
      <c r="W4235" t="str">
        <f t="shared" si="1739"/>
        <v>04-08-2020</v>
      </c>
      <c r="X4235" t="str">
        <f t="shared" si="1740"/>
        <v>RAZIMAH ANSAR AHMAD</v>
      </c>
      <c r="Y4235" t="str">
        <f t="shared" si="1741"/>
        <v>04-08-2020</v>
      </c>
      <c r="Z4235" t="str">
        <f>"COS10200804 4919"</f>
        <v>COS10200804 4919</v>
      </c>
    </row>
    <row r="4236" spans="1:26" x14ac:dyDescent="0.25">
      <c r="A4236" t="str">
        <f t="shared" si="1725"/>
        <v>04-08-2020 12:53:46</v>
      </c>
      <c r="B4236" t="str">
        <f>"0000806703"</f>
        <v>0000806703</v>
      </c>
      <c r="C4236" t="str">
        <f t="shared" si="1726"/>
        <v>0000806585</v>
      </c>
      <c r="D4236" t="str">
        <f t="shared" si="1729"/>
        <v>73185</v>
      </c>
      <c r="E4236" t="str">
        <f t="shared" si="1730"/>
        <v>KFH-OPERATIONS DEPARTMENT</v>
      </c>
      <c r="F4236" t="str">
        <f t="shared" si="1731"/>
        <v>IBG</v>
      </c>
      <c r="G4236" t="str">
        <f t="shared" ref="G4236:G4299" si="1742">"Refund COSHARE 10"</f>
        <v>Refund COSHARE 10</v>
      </c>
      <c r="H4236" s="2">
        <v>461.75</v>
      </c>
      <c r="I4236" t="str">
        <f>"JOHARI BIN YUOP AZAZID"</f>
        <v>JOHARI BIN YUOP AZAZID</v>
      </c>
      <c r="J4236" t="str">
        <f t="shared" si="1718"/>
        <v>MAYBANK / MAYBANK ISLAMIC</v>
      </c>
      <c r="K4236" t="str">
        <f>"158097621573"</f>
        <v>158097621573</v>
      </c>
      <c r="L4236" t="str">
        <f t="shared" si="1727"/>
        <v>04-08-2020</v>
      </c>
      <c r="M4236" t="str">
        <f t="shared" si="1727"/>
        <v>04-08-2020</v>
      </c>
      <c r="N4236" t="str">
        <f t="shared" si="1732"/>
        <v>001105018356</v>
      </c>
      <c r="O4236" t="str">
        <f t="shared" si="1733"/>
        <v>MYR</v>
      </c>
      <c r="P4236" t="str">
        <f t="shared" si="1728"/>
        <v>NIL</v>
      </c>
      <c r="Q4236" t="str">
        <f t="shared" si="1728"/>
        <v>NIL</v>
      </c>
      <c r="R4236" t="str">
        <f t="shared" si="1734"/>
        <v>Accepted</v>
      </c>
      <c r="S4236" t="str">
        <f t="shared" si="1735"/>
        <v>Approved</v>
      </c>
      <c r="T4236" t="str">
        <f t="shared" si="1736"/>
        <v>10.20.8.188</v>
      </c>
      <c r="U4236" t="str">
        <f t="shared" si="1737"/>
        <v>AZRAD UMAR BIN SHAARI</v>
      </c>
      <c r="V4236" t="str">
        <f t="shared" si="1738"/>
        <v>FARHANA BINTI MUSTAPA</v>
      </c>
      <c r="W4236" t="str">
        <f t="shared" si="1739"/>
        <v>04-08-2020</v>
      </c>
      <c r="X4236" t="str">
        <f t="shared" si="1740"/>
        <v>RAZIMAH ANSAR AHMAD</v>
      </c>
      <c r="Y4236" t="str">
        <f t="shared" si="1741"/>
        <v>04-08-2020</v>
      </c>
      <c r="Z4236" t="str">
        <f>"COS10200804 4918"</f>
        <v>COS10200804 4918</v>
      </c>
    </row>
    <row r="4237" spans="1:26" x14ac:dyDescent="0.25">
      <c r="A4237" t="str">
        <f t="shared" si="1725"/>
        <v>04-08-2020 12:53:46</v>
      </c>
      <c r="B4237" t="str">
        <f>"0000806702"</f>
        <v>0000806702</v>
      </c>
      <c r="C4237" t="str">
        <f t="shared" si="1726"/>
        <v>0000806585</v>
      </c>
      <c r="D4237" t="str">
        <f t="shared" si="1729"/>
        <v>73185</v>
      </c>
      <c r="E4237" t="str">
        <f t="shared" si="1730"/>
        <v>KFH-OPERATIONS DEPARTMENT</v>
      </c>
      <c r="F4237" t="str">
        <f t="shared" si="1731"/>
        <v>IBG</v>
      </c>
      <c r="G4237" t="str">
        <f t="shared" si="1742"/>
        <v>Refund COSHARE 10</v>
      </c>
      <c r="H4237" s="2">
        <v>291</v>
      </c>
      <c r="I4237" t="str">
        <f>"JOHARI BIN SUDIN"</f>
        <v>JOHARI BIN SUDIN</v>
      </c>
      <c r="J4237" t="str">
        <f t="shared" si="1718"/>
        <v>MAYBANK / MAYBANK ISLAMIC</v>
      </c>
      <c r="K4237" t="str">
        <f>"114187365725"</f>
        <v>114187365725</v>
      </c>
      <c r="L4237" t="str">
        <f t="shared" si="1727"/>
        <v>04-08-2020</v>
      </c>
      <c r="M4237" t="str">
        <f t="shared" si="1727"/>
        <v>04-08-2020</v>
      </c>
      <c r="N4237" t="str">
        <f t="shared" si="1732"/>
        <v>001105018356</v>
      </c>
      <c r="O4237" t="str">
        <f t="shared" si="1733"/>
        <v>MYR</v>
      </c>
      <c r="P4237" t="str">
        <f t="shared" si="1728"/>
        <v>NIL</v>
      </c>
      <c r="Q4237" t="str">
        <f t="shared" si="1728"/>
        <v>NIL</v>
      </c>
      <c r="R4237" t="str">
        <f t="shared" si="1734"/>
        <v>Accepted</v>
      </c>
      <c r="S4237" t="str">
        <f t="shared" si="1735"/>
        <v>Approved</v>
      </c>
      <c r="T4237" t="str">
        <f t="shared" si="1736"/>
        <v>10.20.8.188</v>
      </c>
      <c r="U4237" t="str">
        <f t="shared" si="1737"/>
        <v>AZRAD UMAR BIN SHAARI</v>
      </c>
      <c r="V4237" t="str">
        <f t="shared" si="1738"/>
        <v>FARHANA BINTI MUSTAPA</v>
      </c>
      <c r="W4237" t="str">
        <f t="shared" si="1739"/>
        <v>04-08-2020</v>
      </c>
      <c r="X4237" t="str">
        <f t="shared" si="1740"/>
        <v>RAZIMAH ANSAR AHMAD</v>
      </c>
      <c r="Y4237" t="str">
        <f t="shared" si="1741"/>
        <v>04-08-2020</v>
      </c>
      <c r="Z4237" t="str">
        <f>"COS10200804 4917"</f>
        <v>COS10200804 4917</v>
      </c>
    </row>
    <row r="4238" spans="1:26" x14ac:dyDescent="0.25">
      <c r="A4238" t="str">
        <f t="shared" si="1725"/>
        <v>04-08-2020 12:53:46</v>
      </c>
      <c r="B4238" t="str">
        <f>"0000806701"</f>
        <v>0000806701</v>
      </c>
      <c r="C4238" t="str">
        <f t="shared" si="1726"/>
        <v>0000806585</v>
      </c>
      <c r="D4238" t="str">
        <f t="shared" si="1729"/>
        <v>73185</v>
      </c>
      <c r="E4238" t="str">
        <f t="shared" si="1730"/>
        <v>KFH-OPERATIONS DEPARTMENT</v>
      </c>
      <c r="F4238" t="str">
        <f t="shared" si="1731"/>
        <v>IBG</v>
      </c>
      <c r="G4238" t="str">
        <f t="shared" si="1742"/>
        <v>Refund COSHARE 10</v>
      </c>
      <c r="H4238" s="2">
        <v>1519.5</v>
      </c>
      <c r="I4238" t="str">
        <f>"JOHARI BIN RAZALI"</f>
        <v>JOHARI BIN RAZALI</v>
      </c>
      <c r="J4238" t="str">
        <f t="shared" si="1718"/>
        <v>MAYBANK / MAYBANK ISLAMIC</v>
      </c>
      <c r="K4238" t="str">
        <f>"160027259855"</f>
        <v>160027259855</v>
      </c>
      <c r="L4238" t="str">
        <f t="shared" si="1727"/>
        <v>04-08-2020</v>
      </c>
      <c r="M4238" t="str">
        <f t="shared" si="1727"/>
        <v>04-08-2020</v>
      </c>
      <c r="N4238" t="str">
        <f t="shared" si="1732"/>
        <v>001105018356</v>
      </c>
      <c r="O4238" t="str">
        <f t="shared" si="1733"/>
        <v>MYR</v>
      </c>
      <c r="P4238" t="str">
        <f t="shared" si="1728"/>
        <v>NIL</v>
      </c>
      <c r="Q4238" t="str">
        <f t="shared" si="1728"/>
        <v>NIL</v>
      </c>
      <c r="R4238" t="str">
        <f t="shared" si="1734"/>
        <v>Accepted</v>
      </c>
      <c r="S4238" t="str">
        <f t="shared" si="1735"/>
        <v>Approved</v>
      </c>
      <c r="T4238" t="str">
        <f t="shared" si="1736"/>
        <v>10.20.8.188</v>
      </c>
      <c r="U4238" t="str">
        <f t="shared" si="1737"/>
        <v>AZRAD UMAR BIN SHAARI</v>
      </c>
      <c r="V4238" t="str">
        <f t="shared" si="1738"/>
        <v>FARHANA BINTI MUSTAPA</v>
      </c>
      <c r="W4238" t="str">
        <f t="shared" si="1739"/>
        <v>04-08-2020</v>
      </c>
      <c r="X4238" t="str">
        <f t="shared" si="1740"/>
        <v>RAZIMAH ANSAR AHMAD</v>
      </c>
      <c r="Y4238" t="str">
        <f t="shared" si="1741"/>
        <v>04-08-2020</v>
      </c>
      <c r="Z4238" t="str">
        <f>"COS10200804 4916"</f>
        <v>COS10200804 4916</v>
      </c>
    </row>
    <row r="4239" spans="1:26" x14ac:dyDescent="0.25">
      <c r="A4239" t="str">
        <f t="shared" si="1725"/>
        <v>04-08-2020 12:53:46</v>
      </c>
      <c r="B4239" t="str">
        <f>"0000806700"</f>
        <v>0000806700</v>
      </c>
      <c r="C4239" t="str">
        <f t="shared" si="1726"/>
        <v>0000806585</v>
      </c>
      <c r="D4239" t="str">
        <f t="shared" si="1729"/>
        <v>73185</v>
      </c>
      <c r="E4239" t="str">
        <f t="shared" si="1730"/>
        <v>KFH-OPERATIONS DEPARTMENT</v>
      </c>
      <c r="F4239" t="str">
        <f t="shared" si="1731"/>
        <v>IBG</v>
      </c>
      <c r="G4239" t="str">
        <f t="shared" si="1742"/>
        <v>Refund COSHARE 10</v>
      </c>
      <c r="H4239" s="2">
        <v>263</v>
      </c>
      <c r="I4239" t="str">
        <f>"JOHARI BIN ABD RASHID"</f>
        <v>JOHARI BIN ABD RASHID</v>
      </c>
      <c r="J4239" t="str">
        <f t="shared" si="1718"/>
        <v>MAYBANK / MAYBANK ISLAMIC</v>
      </c>
      <c r="K4239" t="str">
        <f>"114150131989"</f>
        <v>114150131989</v>
      </c>
      <c r="L4239" t="str">
        <f t="shared" si="1727"/>
        <v>04-08-2020</v>
      </c>
      <c r="M4239" t="str">
        <f t="shared" si="1727"/>
        <v>04-08-2020</v>
      </c>
      <c r="N4239" t="str">
        <f t="shared" si="1732"/>
        <v>001105018356</v>
      </c>
      <c r="O4239" t="str">
        <f t="shared" si="1733"/>
        <v>MYR</v>
      </c>
      <c r="P4239" t="str">
        <f t="shared" si="1728"/>
        <v>NIL</v>
      </c>
      <c r="Q4239" t="str">
        <f t="shared" si="1728"/>
        <v>NIL</v>
      </c>
      <c r="R4239" t="str">
        <f t="shared" si="1734"/>
        <v>Accepted</v>
      </c>
      <c r="S4239" t="str">
        <f t="shared" si="1735"/>
        <v>Approved</v>
      </c>
      <c r="T4239" t="str">
        <f t="shared" si="1736"/>
        <v>10.20.8.188</v>
      </c>
      <c r="U4239" t="str">
        <f t="shared" si="1737"/>
        <v>AZRAD UMAR BIN SHAARI</v>
      </c>
      <c r="V4239" t="str">
        <f t="shared" si="1738"/>
        <v>FARHANA BINTI MUSTAPA</v>
      </c>
      <c r="W4239" t="str">
        <f t="shared" si="1739"/>
        <v>04-08-2020</v>
      </c>
      <c r="X4239" t="str">
        <f t="shared" si="1740"/>
        <v>RAZIMAH ANSAR AHMAD</v>
      </c>
      <c r="Y4239" t="str">
        <f t="shared" si="1741"/>
        <v>04-08-2020</v>
      </c>
      <c r="Z4239" t="str">
        <f>"COS10200804 4915"</f>
        <v>COS10200804 4915</v>
      </c>
    </row>
    <row r="4240" spans="1:26" x14ac:dyDescent="0.25">
      <c r="A4240" t="str">
        <f t="shared" si="1725"/>
        <v>04-08-2020 12:53:46</v>
      </c>
      <c r="B4240" t="str">
        <f>"0000806699"</f>
        <v>0000806699</v>
      </c>
      <c r="C4240" t="str">
        <f t="shared" si="1726"/>
        <v>0000806585</v>
      </c>
      <c r="D4240" t="str">
        <f t="shared" si="1729"/>
        <v>73185</v>
      </c>
      <c r="E4240" t="str">
        <f t="shared" si="1730"/>
        <v>KFH-OPERATIONS DEPARTMENT</v>
      </c>
      <c r="F4240" t="str">
        <f t="shared" si="1731"/>
        <v>IBG</v>
      </c>
      <c r="G4240" t="str">
        <f t="shared" si="1742"/>
        <v>Refund COSHARE 10</v>
      </c>
      <c r="H4240" s="2">
        <v>2141.1999999999998</v>
      </c>
      <c r="I4240" t="str">
        <f>"JOHANNA SIBYL DISIMOND"</f>
        <v>JOHANNA SIBYL DISIMOND</v>
      </c>
      <c r="J4240" t="str">
        <f t="shared" si="1718"/>
        <v>MAYBANK / MAYBANK ISLAMIC</v>
      </c>
      <c r="K4240" t="str">
        <f>"110013421658"</f>
        <v>110013421658</v>
      </c>
      <c r="L4240" t="str">
        <f t="shared" si="1727"/>
        <v>04-08-2020</v>
      </c>
      <c r="M4240" t="str">
        <f t="shared" si="1727"/>
        <v>04-08-2020</v>
      </c>
      <c r="N4240" t="str">
        <f t="shared" si="1732"/>
        <v>001105018356</v>
      </c>
      <c r="O4240" t="str">
        <f t="shared" si="1733"/>
        <v>MYR</v>
      </c>
      <c r="P4240" t="str">
        <f t="shared" si="1728"/>
        <v>NIL</v>
      </c>
      <c r="Q4240" t="str">
        <f t="shared" si="1728"/>
        <v>NIL</v>
      </c>
      <c r="R4240" t="str">
        <f t="shared" si="1734"/>
        <v>Accepted</v>
      </c>
      <c r="S4240" t="str">
        <f t="shared" si="1735"/>
        <v>Approved</v>
      </c>
      <c r="T4240" t="str">
        <f t="shared" si="1736"/>
        <v>10.20.8.188</v>
      </c>
      <c r="U4240" t="str">
        <f t="shared" si="1737"/>
        <v>AZRAD UMAR BIN SHAARI</v>
      </c>
      <c r="V4240" t="str">
        <f t="shared" si="1738"/>
        <v>FARHANA BINTI MUSTAPA</v>
      </c>
      <c r="W4240" t="str">
        <f t="shared" si="1739"/>
        <v>04-08-2020</v>
      </c>
      <c r="X4240" t="str">
        <f t="shared" si="1740"/>
        <v>RAZIMAH ANSAR AHMAD</v>
      </c>
      <c r="Y4240" t="str">
        <f t="shared" si="1741"/>
        <v>04-08-2020</v>
      </c>
      <c r="Z4240" t="str">
        <f>"COS10200804 4914"</f>
        <v>COS10200804 4914</v>
      </c>
    </row>
    <row r="4241" spans="1:26" x14ac:dyDescent="0.25">
      <c r="A4241" t="str">
        <f t="shared" si="1725"/>
        <v>04-08-2020 12:53:46</v>
      </c>
      <c r="B4241" t="str">
        <f>"0000806698"</f>
        <v>0000806698</v>
      </c>
      <c r="C4241" t="str">
        <f t="shared" si="1726"/>
        <v>0000806585</v>
      </c>
      <c r="D4241" t="str">
        <f t="shared" si="1729"/>
        <v>73185</v>
      </c>
      <c r="E4241" t="str">
        <f t="shared" si="1730"/>
        <v>KFH-OPERATIONS DEPARTMENT</v>
      </c>
      <c r="F4241" t="str">
        <f t="shared" si="1731"/>
        <v>IBG</v>
      </c>
      <c r="G4241" t="str">
        <f t="shared" si="1742"/>
        <v>Refund COSHARE 10</v>
      </c>
      <c r="H4241" s="2">
        <v>1124.95</v>
      </c>
      <c r="I4241" t="str">
        <f>"JOHAN BIN ABDUL RANI"</f>
        <v>JOHAN BIN ABDUL RANI</v>
      </c>
      <c r="J4241" t="str">
        <f t="shared" ref="J4241:J4304" si="1743">"MAYBANK / MAYBANK ISLAMIC"</f>
        <v>MAYBANK / MAYBANK ISLAMIC</v>
      </c>
      <c r="K4241" t="str">
        <f>"164137418771"</f>
        <v>164137418771</v>
      </c>
      <c r="L4241" t="str">
        <f t="shared" si="1727"/>
        <v>04-08-2020</v>
      </c>
      <c r="M4241" t="str">
        <f t="shared" si="1727"/>
        <v>04-08-2020</v>
      </c>
      <c r="N4241" t="str">
        <f t="shared" si="1732"/>
        <v>001105018356</v>
      </c>
      <c r="O4241" t="str">
        <f t="shared" si="1733"/>
        <v>MYR</v>
      </c>
      <c r="P4241" t="str">
        <f t="shared" si="1728"/>
        <v>NIL</v>
      </c>
      <c r="Q4241" t="str">
        <f t="shared" si="1728"/>
        <v>NIL</v>
      </c>
      <c r="R4241" t="str">
        <f t="shared" si="1734"/>
        <v>Accepted</v>
      </c>
      <c r="S4241" t="str">
        <f t="shared" si="1735"/>
        <v>Approved</v>
      </c>
      <c r="T4241" t="str">
        <f t="shared" si="1736"/>
        <v>10.20.8.188</v>
      </c>
      <c r="U4241" t="str">
        <f t="shared" si="1737"/>
        <v>AZRAD UMAR BIN SHAARI</v>
      </c>
      <c r="V4241" t="str">
        <f t="shared" si="1738"/>
        <v>FARHANA BINTI MUSTAPA</v>
      </c>
      <c r="W4241" t="str">
        <f t="shared" si="1739"/>
        <v>04-08-2020</v>
      </c>
      <c r="X4241" t="str">
        <f t="shared" si="1740"/>
        <v>RAZIMAH ANSAR AHMAD</v>
      </c>
      <c r="Y4241" t="str">
        <f t="shared" si="1741"/>
        <v>04-08-2020</v>
      </c>
      <c r="Z4241" t="str">
        <f>"COS10200804 4913"</f>
        <v>COS10200804 4913</v>
      </c>
    </row>
    <row r="4242" spans="1:26" x14ac:dyDescent="0.25">
      <c r="A4242" t="str">
        <f t="shared" si="1725"/>
        <v>04-08-2020 12:53:46</v>
      </c>
      <c r="B4242" t="str">
        <f>"0000806697"</f>
        <v>0000806697</v>
      </c>
      <c r="C4242" t="str">
        <f t="shared" si="1726"/>
        <v>0000806585</v>
      </c>
      <c r="D4242" t="str">
        <f t="shared" si="1729"/>
        <v>73185</v>
      </c>
      <c r="E4242" t="str">
        <f t="shared" si="1730"/>
        <v>KFH-OPERATIONS DEPARTMENT</v>
      </c>
      <c r="F4242" t="str">
        <f t="shared" si="1731"/>
        <v>IBG</v>
      </c>
      <c r="G4242" t="str">
        <f t="shared" si="1742"/>
        <v>Refund COSHARE 10</v>
      </c>
      <c r="H4242" s="2">
        <v>671.6</v>
      </c>
      <c r="I4242" t="str">
        <f>"JIMSTONE BIN MAGIAN"</f>
        <v>JIMSTONE BIN MAGIAN</v>
      </c>
      <c r="J4242" t="str">
        <f t="shared" si="1743"/>
        <v>MAYBANK / MAYBANK ISLAMIC</v>
      </c>
      <c r="K4242" t="str">
        <f>"110023195309"</f>
        <v>110023195309</v>
      </c>
      <c r="L4242" t="str">
        <f t="shared" si="1727"/>
        <v>04-08-2020</v>
      </c>
      <c r="M4242" t="str">
        <f t="shared" si="1727"/>
        <v>04-08-2020</v>
      </c>
      <c r="N4242" t="str">
        <f t="shared" si="1732"/>
        <v>001105018356</v>
      </c>
      <c r="O4242" t="str">
        <f t="shared" si="1733"/>
        <v>MYR</v>
      </c>
      <c r="P4242" t="str">
        <f t="shared" si="1728"/>
        <v>NIL</v>
      </c>
      <c r="Q4242" t="str">
        <f t="shared" si="1728"/>
        <v>NIL</v>
      </c>
      <c r="R4242" t="str">
        <f t="shared" si="1734"/>
        <v>Accepted</v>
      </c>
      <c r="S4242" t="str">
        <f t="shared" si="1735"/>
        <v>Approved</v>
      </c>
      <c r="T4242" t="str">
        <f t="shared" si="1736"/>
        <v>10.20.8.188</v>
      </c>
      <c r="U4242" t="str">
        <f t="shared" si="1737"/>
        <v>AZRAD UMAR BIN SHAARI</v>
      </c>
      <c r="V4242" t="str">
        <f t="shared" si="1738"/>
        <v>FARHANA BINTI MUSTAPA</v>
      </c>
      <c r="W4242" t="str">
        <f t="shared" si="1739"/>
        <v>04-08-2020</v>
      </c>
      <c r="X4242" t="str">
        <f t="shared" si="1740"/>
        <v>RAZIMAH ANSAR AHMAD</v>
      </c>
      <c r="Y4242" t="str">
        <f t="shared" si="1741"/>
        <v>04-08-2020</v>
      </c>
      <c r="Z4242" t="str">
        <f>"COS10200804 4912"</f>
        <v>COS10200804 4912</v>
      </c>
    </row>
    <row r="4243" spans="1:26" x14ac:dyDescent="0.25">
      <c r="A4243" t="str">
        <f t="shared" si="1725"/>
        <v>04-08-2020 12:53:46</v>
      </c>
      <c r="B4243" t="str">
        <f>"0000806696"</f>
        <v>0000806696</v>
      </c>
      <c r="C4243" t="str">
        <f t="shared" si="1726"/>
        <v>0000806585</v>
      </c>
      <c r="D4243" t="str">
        <f t="shared" si="1729"/>
        <v>73185</v>
      </c>
      <c r="E4243" t="str">
        <f t="shared" si="1730"/>
        <v>KFH-OPERATIONS DEPARTMENT</v>
      </c>
      <c r="F4243" t="str">
        <f t="shared" si="1731"/>
        <v>IBG</v>
      </c>
      <c r="G4243" t="str">
        <f t="shared" si="1742"/>
        <v>Refund COSHARE 10</v>
      </c>
      <c r="H4243" s="2">
        <v>461.75</v>
      </c>
      <c r="I4243" t="str">
        <f>"JIBAH BINTI NORDIN"</f>
        <v>JIBAH BINTI NORDIN</v>
      </c>
      <c r="J4243" t="str">
        <f t="shared" si="1743"/>
        <v>MAYBANK / MAYBANK ISLAMIC</v>
      </c>
      <c r="K4243" t="str">
        <f>"162030674754"</f>
        <v>162030674754</v>
      </c>
      <c r="L4243" t="str">
        <f t="shared" si="1727"/>
        <v>04-08-2020</v>
      </c>
      <c r="M4243" t="str">
        <f t="shared" si="1727"/>
        <v>04-08-2020</v>
      </c>
      <c r="N4243" t="str">
        <f t="shared" si="1732"/>
        <v>001105018356</v>
      </c>
      <c r="O4243" t="str">
        <f t="shared" si="1733"/>
        <v>MYR</v>
      </c>
      <c r="P4243" t="str">
        <f t="shared" si="1728"/>
        <v>NIL</v>
      </c>
      <c r="Q4243" t="str">
        <f t="shared" si="1728"/>
        <v>NIL</v>
      </c>
      <c r="R4243" t="str">
        <f t="shared" si="1734"/>
        <v>Accepted</v>
      </c>
      <c r="S4243" t="str">
        <f t="shared" si="1735"/>
        <v>Approved</v>
      </c>
      <c r="T4243" t="str">
        <f t="shared" si="1736"/>
        <v>10.20.8.188</v>
      </c>
      <c r="U4243" t="str">
        <f t="shared" si="1737"/>
        <v>AZRAD UMAR BIN SHAARI</v>
      </c>
      <c r="V4243" t="str">
        <f t="shared" si="1738"/>
        <v>FARHANA BINTI MUSTAPA</v>
      </c>
      <c r="W4243" t="str">
        <f t="shared" si="1739"/>
        <v>04-08-2020</v>
      </c>
      <c r="X4243" t="str">
        <f t="shared" si="1740"/>
        <v>RAZIMAH ANSAR AHMAD</v>
      </c>
      <c r="Y4243" t="str">
        <f t="shared" si="1741"/>
        <v>04-08-2020</v>
      </c>
      <c r="Z4243" t="str">
        <f>"COS10200804 4911"</f>
        <v>COS10200804 4911</v>
      </c>
    </row>
    <row r="4244" spans="1:26" x14ac:dyDescent="0.25">
      <c r="A4244" t="str">
        <f t="shared" si="1725"/>
        <v>04-08-2020 12:53:46</v>
      </c>
      <c r="B4244" t="str">
        <f>"0000806695"</f>
        <v>0000806695</v>
      </c>
      <c r="C4244" t="str">
        <f t="shared" si="1726"/>
        <v>0000806585</v>
      </c>
      <c r="D4244" t="str">
        <f t="shared" si="1729"/>
        <v>73185</v>
      </c>
      <c r="E4244" t="str">
        <f t="shared" si="1730"/>
        <v>KFH-OPERATIONS DEPARTMENT</v>
      </c>
      <c r="F4244" t="str">
        <f t="shared" si="1731"/>
        <v>IBG</v>
      </c>
      <c r="G4244" t="str">
        <f t="shared" si="1742"/>
        <v>Refund COSHARE 10</v>
      </c>
      <c r="H4244" s="2">
        <v>60.35</v>
      </c>
      <c r="I4244" t="str">
        <f>"JEZESHAMRUL BIN JAMALLUDIN"</f>
        <v>JEZESHAMRUL BIN JAMALLUDIN</v>
      </c>
      <c r="J4244" t="str">
        <f t="shared" si="1743"/>
        <v>MAYBANK / MAYBANK ISLAMIC</v>
      </c>
      <c r="K4244" t="str">
        <f>"114150386893"</f>
        <v>114150386893</v>
      </c>
      <c r="L4244" t="str">
        <f t="shared" si="1727"/>
        <v>04-08-2020</v>
      </c>
      <c r="M4244" t="str">
        <f t="shared" si="1727"/>
        <v>04-08-2020</v>
      </c>
      <c r="N4244" t="str">
        <f t="shared" si="1732"/>
        <v>001105018356</v>
      </c>
      <c r="O4244" t="str">
        <f t="shared" si="1733"/>
        <v>MYR</v>
      </c>
      <c r="P4244" t="str">
        <f t="shared" si="1728"/>
        <v>NIL</v>
      </c>
      <c r="Q4244" t="str">
        <f t="shared" si="1728"/>
        <v>NIL</v>
      </c>
      <c r="R4244" t="str">
        <f t="shared" si="1734"/>
        <v>Accepted</v>
      </c>
      <c r="S4244" t="str">
        <f t="shared" si="1735"/>
        <v>Approved</v>
      </c>
      <c r="T4244" t="str">
        <f t="shared" si="1736"/>
        <v>10.20.8.188</v>
      </c>
      <c r="U4244" t="str">
        <f t="shared" si="1737"/>
        <v>AZRAD UMAR BIN SHAARI</v>
      </c>
      <c r="V4244" t="str">
        <f t="shared" si="1738"/>
        <v>FARHANA BINTI MUSTAPA</v>
      </c>
      <c r="W4244" t="str">
        <f t="shared" si="1739"/>
        <v>04-08-2020</v>
      </c>
      <c r="X4244" t="str">
        <f t="shared" si="1740"/>
        <v>RAZIMAH ANSAR AHMAD</v>
      </c>
      <c r="Y4244" t="str">
        <f t="shared" si="1741"/>
        <v>04-08-2020</v>
      </c>
      <c r="Z4244" t="str">
        <f>"COS10200804 4910"</f>
        <v>COS10200804 4910</v>
      </c>
    </row>
    <row r="4245" spans="1:26" x14ac:dyDescent="0.25">
      <c r="A4245" t="str">
        <f t="shared" si="1725"/>
        <v>04-08-2020 12:53:46</v>
      </c>
      <c r="B4245" t="str">
        <f>"0000806694"</f>
        <v>0000806694</v>
      </c>
      <c r="C4245" t="str">
        <f t="shared" si="1726"/>
        <v>0000806585</v>
      </c>
      <c r="D4245" t="str">
        <f t="shared" si="1729"/>
        <v>73185</v>
      </c>
      <c r="E4245" t="str">
        <f t="shared" si="1730"/>
        <v>KFH-OPERATIONS DEPARTMENT</v>
      </c>
      <c r="F4245" t="str">
        <f t="shared" si="1731"/>
        <v>IBG</v>
      </c>
      <c r="G4245" t="str">
        <f t="shared" si="1742"/>
        <v>Refund COSHARE 10</v>
      </c>
      <c r="H4245" s="2">
        <v>1679</v>
      </c>
      <c r="I4245" t="str">
        <f>"JEVARATNAM AP RAMASAMY"</f>
        <v>JEVARATNAM AP RAMASAMY</v>
      </c>
      <c r="J4245" t="str">
        <f t="shared" si="1743"/>
        <v>MAYBANK / MAYBANK ISLAMIC</v>
      </c>
      <c r="K4245" t="str">
        <f>"158088190477"</f>
        <v>158088190477</v>
      </c>
      <c r="L4245" t="str">
        <f t="shared" si="1727"/>
        <v>04-08-2020</v>
      </c>
      <c r="M4245" t="str">
        <f t="shared" si="1727"/>
        <v>04-08-2020</v>
      </c>
      <c r="N4245" t="str">
        <f t="shared" si="1732"/>
        <v>001105018356</v>
      </c>
      <c r="O4245" t="str">
        <f t="shared" si="1733"/>
        <v>MYR</v>
      </c>
      <c r="P4245" t="str">
        <f t="shared" si="1728"/>
        <v>NIL</v>
      </c>
      <c r="Q4245" t="str">
        <f t="shared" si="1728"/>
        <v>NIL</v>
      </c>
      <c r="R4245" t="str">
        <f t="shared" si="1734"/>
        <v>Accepted</v>
      </c>
      <c r="S4245" t="str">
        <f t="shared" si="1735"/>
        <v>Approved</v>
      </c>
      <c r="T4245" t="str">
        <f t="shared" si="1736"/>
        <v>10.20.8.188</v>
      </c>
      <c r="U4245" t="str">
        <f t="shared" si="1737"/>
        <v>AZRAD UMAR BIN SHAARI</v>
      </c>
      <c r="V4245" t="str">
        <f t="shared" si="1738"/>
        <v>FARHANA BINTI MUSTAPA</v>
      </c>
      <c r="W4245" t="str">
        <f t="shared" si="1739"/>
        <v>04-08-2020</v>
      </c>
      <c r="X4245" t="str">
        <f t="shared" si="1740"/>
        <v>RAZIMAH ANSAR AHMAD</v>
      </c>
      <c r="Y4245" t="str">
        <f t="shared" si="1741"/>
        <v>04-08-2020</v>
      </c>
      <c r="Z4245" t="str">
        <f>"COS10200804 4909"</f>
        <v>COS10200804 4909</v>
      </c>
    </row>
    <row r="4246" spans="1:26" x14ac:dyDescent="0.25">
      <c r="A4246" t="str">
        <f t="shared" si="1725"/>
        <v>04-08-2020 12:53:46</v>
      </c>
      <c r="B4246" t="str">
        <f>"0000806693"</f>
        <v>0000806693</v>
      </c>
      <c r="C4246" t="str">
        <f t="shared" si="1726"/>
        <v>0000806585</v>
      </c>
      <c r="D4246" t="str">
        <f t="shared" si="1729"/>
        <v>73185</v>
      </c>
      <c r="E4246" t="str">
        <f t="shared" si="1730"/>
        <v>KFH-OPERATIONS DEPARTMENT</v>
      </c>
      <c r="F4246" t="str">
        <f t="shared" si="1731"/>
        <v>IBG</v>
      </c>
      <c r="G4246" t="str">
        <f t="shared" si="1742"/>
        <v>Refund COSHARE 10</v>
      </c>
      <c r="H4246" s="2">
        <v>1087</v>
      </c>
      <c r="I4246" t="str">
        <f>"JESTRICE LILIAN PAPNA"</f>
        <v>JESTRICE LILIAN PAPNA</v>
      </c>
      <c r="J4246" t="str">
        <f t="shared" si="1743"/>
        <v>MAYBANK / MAYBANK ISLAMIC</v>
      </c>
      <c r="K4246" t="str">
        <f>"160184064623"</f>
        <v>160184064623</v>
      </c>
      <c r="L4246" t="str">
        <f t="shared" si="1727"/>
        <v>04-08-2020</v>
      </c>
      <c r="M4246" t="str">
        <f t="shared" si="1727"/>
        <v>04-08-2020</v>
      </c>
      <c r="N4246" t="str">
        <f t="shared" si="1732"/>
        <v>001105018356</v>
      </c>
      <c r="O4246" t="str">
        <f t="shared" si="1733"/>
        <v>MYR</v>
      </c>
      <c r="P4246" t="str">
        <f t="shared" si="1728"/>
        <v>NIL</v>
      </c>
      <c r="Q4246" t="str">
        <f t="shared" si="1728"/>
        <v>NIL</v>
      </c>
      <c r="R4246" t="str">
        <f t="shared" si="1734"/>
        <v>Accepted</v>
      </c>
      <c r="S4246" t="str">
        <f t="shared" si="1735"/>
        <v>Approved</v>
      </c>
      <c r="T4246" t="str">
        <f t="shared" si="1736"/>
        <v>10.20.8.188</v>
      </c>
      <c r="U4246" t="str">
        <f t="shared" si="1737"/>
        <v>AZRAD UMAR BIN SHAARI</v>
      </c>
      <c r="V4246" t="str">
        <f t="shared" si="1738"/>
        <v>FARHANA BINTI MUSTAPA</v>
      </c>
      <c r="W4246" t="str">
        <f t="shared" si="1739"/>
        <v>04-08-2020</v>
      </c>
      <c r="X4246" t="str">
        <f t="shared" si="1740"/>
        <v>RAZIMAH ANSAR AHMAD</v>
      </c>
      <c r="Y4246" t="str">
        <f t="shared" si="1741"/>
        <v>04-08-2020</v>
      </c>
      <c r="Z4246" t="str">
        <f>"COS10200804 4908"</f>
        <v>COS10200804 4908</v>
      </c>
    </row>
    <row r="4247" spans="1:26" x14ac:dyDescent="0.25">
      <c r="A4247" t="str">
        <f t="shared" si="1725"/>
        <v>04-08-2020 12:53:46</v>
      </c>
      <c r="B4247" t="str">
        <f>"0000806692"</f>
        <v>0000806692</v>
      </c>
      <c r="C4247" t="str">
        <f t="shared" si="1726"/>
        <v>0000806585</v>
      </c>
      <c r="D4247" t="str">
        <f t="shared" si="1729"/>
        <v>73185</v>
      </c>
      <c r="E4247" t="str">
        <f t="shared" si="1730"/>
        <v>KFH-OPERATIONS DEPARTMENT</v>
      </c>
      <c r="F4247" t="str">
        <f t="shared" si="1731"/>
        <v>IBG</v>
      </c>
      <c r="G4247" t="str">
        <f t="shared" si="1742"/>
        <v>Refund COSHARE 10</v>
      </c>
      <c r="H4247" s="2">
        <v>376</v>
      </c>
      <c r="I4247" t="str">
        <f>"JESSEN CHABU ANAK AUGUSTINE MAPANG"</f>
        <v>JESSEN CHABU ANAK AUGUSTINE MAPANG</v>
      </c>
      <c r="J4247" t="str">
        <f t="shared" si="1743"/>
        <v>MAYBANK / MAYBANK ISLAMIC</v>
      </c>
      <c r="K4247" t="str">
        <f>"161051480142"</f>
        <v>161051480142</v>
      </c>
      <c r="L4247" t="str">
        <f t="shared" ref="L4247:M4266" si="1744">"04-08-2020"</f>
        <v>04-08-2020</v>
      </c>
      <c r="M4247" t="str">
        <f t="shared" si="1744"/>
        <v>04-08-2020</v>
      </c>
      <c r="N4247" t="str">
        <f t="shared" si="1732"/>
        <v>001105018356</v>
      </c>
      <c r="O4247" t="str">
        <f t="shared" si="1733"/>
        <v>MYR</v>
      </c>
      <c r="P4247" t="str">
        <f t="shared" ref="P4247:Q4266" si="1745">"NIL"</f>
        <v>NIL</v>
      </c>
      <c r="Q4247" t="str">
        <f t="shared" si="1745"/>
        <v>NIL</v>
      </c>
      <c r="R4247" t="str">
        <f t="shared" si="1734"/>
        <v>Accepted</v>
      </c>
      <c r="S4247" t="str">
        <f t="shared" si="1735"/>
        <v>Approved</v>
      </c>
      <c r="T4247" t="str">
        <f t="shared" si="1736"/>
        <v>10.20.8.188</v>
      </c>
      <c r="U4247" t="str">
        <f t="shared" si="1737"/>
        <v>AZRAD UMAR BIN SHAARI</v>
      </c>
      <c r="V4247" t="str">
        <f t="shared" si="1738"/>
        <v>FARHANA BINTI MUSTAPA</v>
      </c>
      <c r="W4247" t="str">
        <f t="shared" si="1739"/>
        <v>04-08-2020</v>
      </c>
      <c r="X4247" t="str">
        <f t="shared" si="1740"/>
        <v>RAZIMAH ANSAR AHMAD</v>
      </c>
      <c r="Y4247" t="str">
        <f t="shared" si="1741"/>
        <v>04-08-2020</v>
      </c>
      <c r="Z4247" t="str">
        <f>"COS10200804 4907"</f>
        <v>COS10200804 4907</v>
      </c>
    </row>
    <row r="4248" spans="1:26" x14ac:dyDescent="0.25">
      <c r="A4248" t="str">
        <f t="shared" si="1725"/>
        <v>04-08-2020 12:53:46</v>
      </c>
      <c r="B4248" t="str">
        <f>"0000806691"</f>
        <v>0000806691</v>
      </c>
      <c r="C4248" t="str">
        <f t="shared" si="1726"/>
        <v>0000806585</v>
      </c>
      <c r="D4248" t="str">
        <f t="shared" si="1729"/>
        <v>73185</v>
      </c>
      <c r="E4248" t="str">
        <f t="shared" si="1730"/>
        <v>KFH-OPERATIONS DEPARTMENT</v>
      </c>
      <c r="F4248" t="str">
        <f t="shared" si="1731"/>
        <v>IBG</v>
      </c>
      <c r="G4248" t="str">
        <f t="shared" si="1742"/>
        <v>Refund COSHARE 10</v>
      </c>
      <c r="H4248" s="2">
        <v>67.2</v>
      </c>
      <c r="I4248" t="str">
        <f>"JESSE QUIBAN"</f>
        <v>JESSE QUIBAN</v>
      </c>
      <c r="J4248" t="str">
        <f t="shared" si="1743"/>
        <v>MAYBANK / MAYBANK ISLAMIC</v>
      </c>
      <c r="K4248" t="str">
        <f>"110031494997"</f>
        <v>110031494997</v>
      </c>
      <c r="L4248" t="str">
        <f t="shared" si="1744"/>
        <v>04-08-2020</v>
      </c>
      <c r="M4248" t="str">
        <f t="shared" si="1744"/>
        <v>04-08-2020</v>
      </c>
      <c r="N4248" t="str">
        <f t="shared" si="1732"/>
        <v>001105018356</v>
      </c>
      <c r="O4248" t="str">
        <f t="shared" si="1733"/>
        <v>MYR</v>
      </c>
      <c r="P4248" t="str">
        <f t="shared" si="1745"/>
        <v>NIL</v>
      </c>
      <c r="Q4248" t="str">
        <f t="shared" si="1745"/>
        <v>NIL</v>
      </c>
      <c r="R4248" t="str">
        <f t="shared" si="1734"/>
        <v>Accepted</v>
      </c>
      <c r="S4248" t="str">
        <f t="shared" si="1735"/>
        <v>Approved</v>
      </c>
      <c r="T4248" t="str">
        <f t="shared" si="1736"/>
        <v>10.20.8.188</v>
      </c>
      <c r="U4248" t="str">
        <f t="shared" si="1737"/>
        <v>AZRAD UMAR BIN SHAARI</v>
      </c>
      <c r="V4248" t="str">
        <f t="shared" si="1738"/>
        <v>FARHANA BINTI MUSTAPA</v>
      </c>
      <c r="W4248" t="str">
        <f t="shared" si="1739"/>
        <v>04-08-2020</v>
      </c>
      <c r="X4248" t="str">
        <f t="shared" si="1740"/>
        <v>RAZIMAH ANSAR AHMAD</v>
      </c>
      <c r="Y4248" t="str">
        <f t="shared" si="1741"/>
        <v>04-08-2020</v>
      </c>
      <c r="Z4248" t="str">
        <f>"COS10200804 4906"</f>
        <v>COS10200804 4906</v>
      </c>
    </row>
    <row r="4249" spans="1:26" x14ac:dyDescent="0.25">
      <c r="A4249" t="str">
        <f t="shared" si="1725"/>
        <v>04-08-2020 12:53:46</v>
      </c>
      <c r="B4249" t="str">
        <f>"0000806690"</f>
        <v>0000806690</v>
      </c>
      <c r="C4249" t="str">
        <f t="shared" si="1726"/>
        <v>0000806585</v>
      </c>
      <c r="D4249" t="str">
        <f t="shared" si="1729"/>
        <v>73185</v>
      </c>
      <c r="E4249" t="str">
        <f t="shared" si="1730"/>
        <v>KFH-OPERATIONS DEPARTMENT</v>
      </c>
      <c r="F4249" t="str">
        <f t="shared" si="1731"/>
        <v>IBG</v>
      </c>
      <c r="G4249" t="str">
        <f t="shared" si="1742"/>
        <v>Refund COSHARE 10</v>
      </c>
      <c r="H4249" s="2">
        <v>201.5</v>
      </c>
      <c r="I4249" t="str">
        <f>"JENNY PATRICKETUS"</f>
        <v>JENNY PATRICKETUS</v>
      </c>
      <c r="J4249" t="str">
        <f t="shared" si="1743"/>
        <v>MAYBANK / MAYBANK ISLAMIC</v>
      </c>
      <c r="K4249" t="str">
        <f>"115120095533"</f>
        <v>115120095533</v>
      </c>
      <c r="L4249" t="str">
        <f t="shared" si="1744"/>
        <v>04-08-2020</v>
      </c>
      <c r="M4249" t="str">
        <f t="shared" si="1744"/>
        <v>04-08-2020</v>
      </c>
      <c r="N4249" t="str">
        <f t="shared" si="1732"/>
        <v>001105018356</v>
      </c>
      <c r="O4249" t="str">
        <f t="shared" si="1733"/>
        <v>MYR</v>
      </c>
      <c r="P4249" t="str">
        <f t="shared" si="1745"/>
        <v>NIL</v>
      </c>
      <c r="Q4249" t="str">
        <f t="shared" si="1745"/>
        <v>NIL</v>
      </c>
      <c r="R4249" t="str">
        <f t="shared" si="1734"/>
        <v>Accepted</v>
      </c>
      <c r="S4249" t="str">
        <f t="shared" si="1735"/>
        <v>Approved</v>
      </c>
      <c r="T4249" t="str">
        <f t="shared" si="1736"/>
        <v>10.20.8.188</v>
      </c>
      <c r="U4249" t="str">
        <f t="shared" si="1737"/>
        <v>AZRAD UMAR BIN SHAARI</v>
      </c>
      <c r="V4249" t="str">
        <f t="shared" si="1738"/>
        <v>FARHANA BINTI MUSTAPA</v>
      </c>
      <c r="W4249" t="str">
        <f t="shared" si="1739"/>
        <v>04-08-2020</v>
      </c>
      <c r="X4249" t="str">
        <f t="shared" si="1740"/>
        <v>RAZIMAH ANSAR AHMAD</v>
      </c>
      <c r="Y4249" t="str">
        <f t="shared" si="1741"/>
        <v>04-08-2020</v>
      </c>
      <c r="Z4249" t="str">
        <f>"COS10200804 4905"</f>
        <v>COS10200804 4905</v>
      </c>
    </row>
    <row r="4250" spans="1:26" x14ac:dyDescent="0.25">
      <c r="A4250" t="str">
        <f t="shared" ref="A4250:A4281" si="1746">"04-08-2020 12:53:46"</f>
        <v>04-08-2020 12:53:46</v>
      </c>
      <c r="B4250" t="str">
        <f>"0000806689"</f>
        <v>0000806689</v>
      </c>
      <c r="C4250" t="str">
        <f t="shared" ref="C4250:C4281" si="1747">"0000806585"</f>
        <v>0000806585</v>
      </c>
      <c r="D4250" t="str">
        <f t="shared" si="1729"/>
        <v>73185</v>
      </c>
      <c r="E4250" t="str">
        <f t="shared" si="1730"/>
        <v>KFH-OPERATIONS DEPARTMENT</v>
      </c>
      <c r="F4250" t="str">
        <f t="shared" si="1731"/>
        <v>IBG</v>
      </c>
      <c r="G4250" t="str">
        <f t="shared" si="1742"/>
        <v>Refund COSHARE 10</v>
      </c>
      <c r="H4250" s="2">
        <v>293.85000000000002</v>
      </c>
      <c r="I4250" t="str">
        <f>"JENNY  JANE BINTI SUNTANIN"</f>
        <v>JENNY  JANE BINTI SUNTANIN</v>
      </c>
      <c r="J4250" t="str">
        <f t="shared" si="1743"/>
        <v>MAYBANK / MAYBANK ISLAMIC</v>
      </c>
      <c r="K4250" t="str">
        <f>"160072329881"</f>
        <v>160072329881</v>
      </c>
      <c r="L4250" t="str">
        <f t="shared" si="1744"/>
        <v>04-08-2020</v>
      </c>
      <c r="M4250" t="str">
        <f t="shared" si="1744"/>
        <v>04-08-2020</v>
      </c>
      <c r="N4250" t="str">
        <f t="shared" si="1732"/>
        <v>001105018356</v>
      </c>
      <c r="O4250" t="str">
        <f t="shared" si="1733"/>
        <v>MYR</v>
      </c>
      <c r="P4250" t="str">
        <f t="shared" si="1745"/>
        <v>NIL</v>
      </c>
      <c r="Q4250" t="str">
        <f t="shared" si="1745"/>
        <v>NIL</v>
      </c>
      <c r="R4250" t="str">
        <f t="shared" si="1734"/>
        <v>Accepted</v>
      </c>
      <c r="S4250" t="str">
        <f t="shared" si="1735"/>
        <v>Approved</v>
      </c>
      <c r="T4250" t="str">
        <f t="shared" si="1736"/>
        <v>10.20.8.188</v>
      </c>
      <c r="U4250" t="str">
        <f t="shared" si="1737"/>
        <v>AZRAD UMAR BIN SHAARI</v>
      </c>
      <c r="V4250" t="str">
        <f t="shared" si="1738"/>
        <v>FARHANA BINTI MUSTAPA</v>
      </c>
      <c r="W4250" t="str">
        <f t="shared" si="1739"/>
        <v>04-08-2020</v>
      </c>
      <c r="X4250" t="str">
        <f t="shared" si="1740"/>
        <v>RAZIMAH ANSAR AHMAD</v>
      </c>
      <c r="Y4250" t="str">
        <f t="shared" si="1741"/>
        <v>04-08-2020</v>
      </c>
      <c r="Z4250" t="str">
        <f>"COS10200804 4904"</f>
        <v>COS10200804 4904</v>
      </c>
    </row>
    <row r="4251" spans="1:26" x14ac:dyDescent="0.25">
      <c r="A4251" t="str">
        <f t="shared" si="1746"/>
        <v>04-08-2020 12:53:46</v>
      </c>
      <c r="B4251" t="str">
        <f>"0000806688"</f>
        <v>0000806688</v>
      </c>
      <c r="C4251" t="str">
        <f t="shared" si="1747"/>
        <v>0000806585</v>
      </c>
      <c r="D4251" t="str">
        <f t="shared" si="1729"/>
        <v>73185</v>
      </c>
      <c r="E4251" t="str">
        <f t="shared" si="1730"/>
        <v>KFH-OPERATIONS DEPARTMENT</v>
      </c>
      <c r="F4251" t="str">
        <f t="shared" si="1731"/>
        <v>IBG</v>
      </c>
      <c r="G4251" t="str">
        <f t="shared" si="1742"/>
        <v>Refund COSHARE 10</v>
      </c>
      <c r="H4251" s="2">
        <v>911</v>
      </c>
      <c r="I4251" t="str">
        <f>"JEMAT ANAK KANCHIN"</f>
        <v>JEMAT ANAK KANCHIN</v>
      </c>
      <c r="J4251" t="str">
        <f t="shared" si="1743"/>
        <v>MAYBANK / MAYBANK ISLAMIC</v>
      </c>
      <c r="K4251" t="str">
        <f>"111093012286"</f>
        <v>111093012286</v>
      </c>
      <c r="L4251" t="str">
        <f t="shared" si="1744"/>
        <v>04-08-2020</v>
      </c>
      <c r="M4251" t="str">
        <f t="shared" si="1744"/>
        <v>04-08-2020</v>
      </c>
      <c r="N4251" t="str">
        <f t="shared" si="1732"/>
        <v>001105018356</v>
      </c>
      <c r="O4251" t="str">
        <f t="shared" si="1733"/>
        <v>MYR</v>
      </c>
      <c r="P4251" t="str">
        <f t="shared" si="1745"/>
        <v>NIL</v>
      </c>
      <c r="Q4251" t="str">
        <f t="shared" si="1745"/>
        <v>NIL</v>
      </c>
      <c r="R4251" t="str">
        <f t="shared" si="1734"/>
        <v>Accepted</v>
      </c>
      <c r="S4251" t="str">
        <f t="shared" si="1735"/>
        <v>Approved</v>
      </c>
      <c r="T4251" t="str">
        <f t="shared" si="1736"/>
        <v>10.20.8.188</v>
      </c>
      <c r="U4251" t="str">
        <f t="shared" si="1737"/>
        <v>AZRAD UMAR BIN SHAARI</v>
      </c>
      <c r="V4251" t="str">
        <f t="shared" si="1738"/>
        <v>FARHANA BINTI MUSTAPA</v>
      </c>
      <c r="W4251" t="str">
        <f t="shared" si="1739"/>
        <v>04-08-2020</v>
      </c>
      <c r="X4251" t="str">
        <f t="shared" si="1740"/>
        <v>RAZIMAH ANSAR AHMAD</v>
      </c>
      <c r="Y4251" t="str">
        <f t="shared" si="1741"/>
        <v>04-08-2020</v>
      </c>
      <c r="Z4251" t="str">
        <f>"COS10200804 4903"</f>
        <v>COS10200804 4903</v>
      </c>
    </row>
    <row r="4252" spans="1:26" x14ac:dyDescent="0.25">
      <c r="A4252" t="str">
        <f t="shared" si="1746"/>
        <v>04-08-2020 12:53:46</v>
      </c>
      <c r="B4252" t="str">
        <f>"0000806687"</f>
        <v>0000806687</v>
      </c>
      <c r="C4252" t="str">
        <f t="shared" si="1747"/>
        <v>0000806585</v>
      </c>
      <c r="D4252" t="str">
        <f t="shared" si="1729"/>
        <v>73185</v>
      </c>
      <c r="E4252" t="str">
        <f t="shared" si="1730"/>
        <v>KFH-OPERATIONS DEPARTMENT</v>
      </c>
      <c r="F4252" t="str">
        <f t="shared" si="1731"/>
        <v>IBG</v>
      </c>
      <c r="G4252" t="str">
        <f t="shared" si="1742"/>
        <v>Refund COSHARE 10</v>
      </c>
      <c r="H4252" s="2">
        <v>69</v>
      </c>
      <c r="I4252" t="str">
        <f>"JEKRIN BIN JUNAIDI"</f>
        <v>JEKRIN BIN JUNAIDI</v>
      </c>
      <c r="J4252" t="str">
        <f t="shared" si="1743"/>
        <v>MAYBANK / MAYBANK ISLAMIC</v>
      </c>
      <c r="K4252" t="str">
        <f>"160148873140"</f>
        <v>160148873140</v>
      </c>
      <c r="L4252" t="str">
        <f t="shared" si="1744"/>
        <v>04-08-2020</v>
      </c>
      <c r="M4252" t="str">
        <f t="shared" si="1744"/>
        <v>04-08-2020</v>
      </c>
      <c r="N4252" t="str">
        <f t="shared" si="1732"/>
        <v>001105018356</v>
      </c>
      <c r="O4252" t="str">
        <f t="shared" si="1733"/>
        <v>MYR</v>
      </c>
      <c r="P4252" t="str">
        <f t="shared" si="1745"/>
        <v>NIL</v>
      </c>
      <c r="Q4252" t="str">
        <f t="shared" si="1745"/>
        <v>NIL</v>
      </c>
      <c r="R4252" t="str">
        <f t="shared" si="1734"/>
        <v>Accepted</v>
      </c>
      <c r="S4252" t="str">
        <f t="shared" si="1735"/>
        <v>Approved</v>
      </c>
      <c r="T4252" t="str">
        <f t="shared" si="1736"/>
        <v>10.20.8.188</v>
      </c>
      <c r="U4252" t="str">
        <f t="shared" si="1737"/>
        <v>AZRAD UMAR BIN SHAARI</v>
      </c>
      <c r="V4252" t="str">
        <f t="shared" si="1738"/>
        <v>FARHANA BINTI MUSTAPA</v>
      </c>
      <c r="W4252" t="str">
        <f t="shared" si="1739"/>
        <v>04-08-2020</v>
      </c>
      <c r="X4252" t="str">
        <f t="shared" si="1740"/>
        <v>RAZIMAH ANSAR AHMAD</v>
      </c>
      <c r="Y4252" t="str">
        <f t="shared" si="1741"/>
        <v>04-08-2020</v>
      </c>
      <c r="Z4252" t="str">
        <f>"COS10200804 4902"</f>
        <v>COS10200804 4902</v>
      </c>
    </row>
    <row r="4253" spans="1:26" x14ac:dyDescent="0.25">
      <c r="A4253" t="str">
        <f t="shared" si="1746"/>
        <v>04-08-2020 12:53:46</v>
      </c>
      <c r="B4253" t="str">
        <f>"0000806686"</f>
        <v>0000806686</v>
      </c>
      <c r="C4253" t="str">
        <f t="shared" si="1747"/>
        <v>0000806585</v>
      </c>
      <c r="D4253" t="str">
        <f t="shared" si="1729"/>
        <v>73185</v>
      </c>
      <c r="E4253" t="str">
        <f t="shared" si="1730"/>
        <v>KFH-OPERATIONS DEPARTMENT</v>
      </c>
      <c r="F4253" t="str">
        <f t="shared" si="1731"/>
        <v>IBG</v>
      </c>
      <c r="G4253" t="str">
        <f t="shared" si="1742"/>
        <v>Refund COSHARE 10</v>
      </c>
      <c r="H4253" s="2">
        <v>775.8</v>
      </c>
      <c r="I4253" t="str">
        <f>"JEHAN FARAH BINTI MOHD NOR"</f>
        <v>JEHAN FARAH BINTI MOHD NOR</v>
      </c>
      <c r="J4253" t="str">
        <f t="shared" si="1743"/>
        <v>MAYBANK / MAYBANK ISLAMIC</v>
      </c>
      <c r="K4253" t="str">
        <f>"114058000330"</f>
        <v>114058000330</v>
      </c>
      <c r="L4253" t="str">
        <f t="shared" si="1744"/>
        <v>04-08-2020</v>
      </c>
      <c r="M4253" t="str">
        <f t="shared" si="1744"/>
        <v>04-08-2020</v>
      </c>
      <c r="N4253" t="str">
        <f t="shared" si="1732"/>
        <v>001105018356</v>
      </c>
      <c r="O4253" t="str">
        <f t="shared" si="1733"/>
        <v>MYR</v>
      </c>
      <c r="P4253" t="str">
        <f t="shared" si="1745"/>
        <v>NIL</v>
      </c>
      <c r="Q4253" t="str">
        <f t="shared" si="1745"/>
        <v>NIL</v>
      </c>
      <c r="R4253" t="str">
        <f t="shared" si="1734"/>
        <v>Accepted</v>
      </c>
      <c r="S4253" t="str">
        <f t="shared" si="1735"/>
        <v>Approved</v>
      </c>
      <c r="T4253" t="str">
        <f t="shared" si="1736"/>
        <v>10.20.8.188</v>
      </c>
      <c r="U4253" t="str">
        <f t="shared" si="1737"/>
        <v>AZRAD UMAR BIN SHAARI</v>
      </c>
      <c r="V4253" t="str">
        <f t="shared" si="1738"/>
        <v>FARHANA BINTI MUSTAPA</v>
      </c>
      <c r="W4253" t="str">
        <f t="shared" si="1739"/>
        <v>04-08-2020</v>
      </c>
      <c r="X4253" t="str">
        <f t="shared" si="1740"/>
        <v>RAZIMAH ANSAR AHMAD</v>
      </c>
      <c r="Y4253" t="str">
        <f t="shared" si="1741"/>
        <v>04-08-2020</v>
      </c>
      <c r="Z4253" t="str">
        <f>"COS10200804 4901"</f>
        <v>COS10200804 4901</v>
      </c>
    </row>
    <row r="4254" spans="1:26" x14ac:dyDescent="0.25">
      <c r="A4254" t="str">
        <f t="shared" si="1746"/>
        <v>04-08-2020 12:53:46</v>
      </c>
      <c r="B4254" t="str">
        <f>"0000806685"</f>
        <v>0000806685</v>
      </c>
      <c r="C4254" t="str">
        <f t="shared" si="1747"/>
        <v>0000806585</v>
      </c>
      <c r="D4254" t="str">
        <f t="shared" si="1729"/>
        <v>73185</v>
      </c>
      <c r="E4254" t="str">
        <f t="shared" si="1730"/>
        <v>KFH-OPERATIONS DEPARTMENT</v>
      </c>
      <c r="F4254" t="str">
        <f t="shared" si="1731"/>
        <v>IBG</v>
      </c>
      <c r="G4254" t="str">
        <f t="shared" si="1742"/>
        <v>Refund COSHARE 10</v>
      </c>
      <c r="H4254" s="2">
        <v>713.7</v>
      </c>
      <c r="I4254" t="str">
        <f>"JEGANATHAN AL MADHAVAN"</f>
        <v>JEGANATHAN AL MADHAVAN</v>
      </c>
      <c r="J4254" t="str">
        <f t="shared" si="1743"/>
        <v>MAYBANK / MAYBANK ISLAMIC</v>
      </c>
      <c r="K4254" t="str">
        <f>"108010993844"</f>
        <v>108010993844</v>
      </c>
      <c r="L4254" t="str">
        <f t="shared" si="1744"/>
        <v>04-08-2020</v>
      </c>
      <c r="M4254" t="str">
        <f t="shared" si="1744"/>
        <v>04-08-2020</v>
      </c>
      <c r="N4254" t="str">
        <f t="shared" si="1732"/>
        <v>001105018356</v>
      </c>
      <c r="O4254" t="str">
        <f t="shared" si="1733"/>
        <v>MYR</v>
      </c>
      <c r="P4254" t="str">
        <f t="shared" si="1745"/>
        <v>NIL</v>
      </c>
      <c r="Q4254" t="str">
        <f t="shared" si="1745"/>
        <v>NIL</v>
      </c>
      <c r="R4254" t="str">
        <f t="shared" si="1734"/>
        <v>Accepted</v>
      </c>
      <c r="S4254" t="str">
        <f t="shared" si="1735"/>
        <v>Approved</v>
      </c>
      <c r="T4254" t="str">
        <f t="shared" si="1736"/>
        <v>10.20.8.188</v>
      </c>
      <c r="U4254" t="str">
        <f t="shared" si="1737"/>
        <v>AZRAD UMAR BIN SHAARI</v>
      </c>
      <c r="V4254" t="str">
        <f t="shared" si="1738"/>
        <v>FARHANA BINTI MUSTAPA</v>
      </c>
      <c r="W4254" t="str">
        <f t="shared" si="1739"/>
        <v>04-08-2020</v>
      </c>
      <c r="X4254" t="str">
        <f t="shared" si="1740"/>
        <v>RAZIMAH ANSAR AHMAD</v>
      </c>
      <c r="Y4254" t="str">
        <f t="shared" si="1741"/>
        <v>04-08-2020</v>
      </c>
      <c r="Z4254" t="str">
        <f>"COS10200804 4900"</f>
        <v>COS10200804 4900</v>
      </c>
    </row>
    <row r="4255" spans="1:26" x14ac:dyDescent="0.25">
      <c r="A4255" t="str">
        <f t="shared" si="1746"/>
        <v>04-08-2020 12:53:46</v>
      </c>
      <c r="B4255" t="str">
        <f>"0000806684"</f>
        <v>0000806684</v>
      </c>
      <c r="C4255" t="str">
        <f t="shared" si="1747"/>
        <v>0000806585</v>
      </c>
      <c r="D4255" t="str">
        <f t="shared" si="1729"/>
        <v>73185</v>
      </c>
      <c r="E4255" t="str">
        <f t="shared" si="1730"/>
        <v>KFH-OPERATIONS DEPARTMENT</v>
      </c>
      <c r="F4255" t="str">
        <f t="shared" si="1731"/>
        <v>IBG</v>
      </c>
      <c r="G4255" t="str">
        <f t="shared" si="1742"/>
        <v>Refund COSHARE 10</v>
      </c>
      <c r="H4255" s="2">
        <v>92</v>
      </c>
      <c r="I4255" t="str">
        <f>"JEFRIZOL BIN CHEK MAT"</f>
        <v>JEFRIZOL BIN CHEK MAT</v>
      </c>
      <c r="J4255" t="str">
        <f t="shared" si="1743"/>
        <v>MAYBANK / MAYBANK ISLAMIC</v>
      </c>
      <c r="K4255" t="str">
        <f>"104021845551"</f>
        <v>104021845551</v>
      </c>
      <c r="L4255" t="str">
        <f t="shared" si="1744"/>
        <v>04-08-2020</v>
      </c>
      <c r="M4255" t="str">
        <f t="shared" si="1744"/>
        <v>04-08-2020</v>
      </c>
      <c r="N4255" t="str">
        <f t="shared" si="1732"/>
        <v>001105018356</v>
      </c>
      <c r="O4255" t="str">
        <f t="shared" si="1733"/>
        <v>MYR</v>
      </c>
      <c r="P4255" t="str">
        <f t="shared" si="1745"/>
        <v>NIL</v>
      </c>
      <c r="Q4255" t="str">
        <f t="shared" si="1745"/>
        <v>NIL</v>
      </c>
      <c r="R4255" t="str">
        <f t="shared" si="1734"/>
        <v>Accepted</v>
      </c>
      <c r="S4255" t="str">
        <f t="shared" si="1735"/>
        <v>Approved</v>
      </c>
      <c r="T4255" t="str">
        <f t="shared" si="1736"/>
        <v>10.20.8.188</v>
      </c>
      <c r="U4255" t="str">
        <f t="shared" si="1737"/>
        <v>AZRAD UMAR BIN SHAARI</v>
      </c>
      <c r="V4255" t="str">
        <f t="shared" si="1738"/>
        <v>FARHANA BINTI MUSTAPA</v>
      </c>
      <c r="W4255" t="str">
        <f t="shared" si="1739"/>
        <v>04-08-2020</v>
      </c>
      <c r="X4255" t="str">
        <f t="shared" si="1740"/>
        <v>RAZIMAH ANSAR AHMAD</v>
      </c>
      <c r="Y4255" t="str">
        <f t="shared" si="1741"/>
        <v>04-08-2020</v>
      </c>
      <c r="Z4255" t="str">
        <f>"COS10200804 4899"</f>
        <v>COS10200804 4899</v>
      </c>
    </row>
    <row r="4256" spans="1:26" x14ac:dyDescent="0.25">
      <c r="A4256" t="str">
        <f t="shared" si="1746"/>
        <v>04-08-2020 12:53:46</v>
      </c>
      <c r="B4256" t="str">
        <f>"0000806683"</f>
        <v>0000806683</v>
      </c>
      <c r="C4256" t="str">
        <f t="shared" si="1747"/>
        <v>0000806585</v>
      </c>
      <c r="D4256" t="str">
        <f t="shared" si="1729"/>
        <v>73185</v>
      </c>
      <c r="E4256" t="str">
        <f t="shared" si="1730"/>
        <v>KFH-OPERATIONS DEPARTMENT</v>
      </c>
      <c r="F4256" t="str">
        <f t="shared" si="1731"/>
        <v>IBG</v>
      </c>
      <c r="G4256" t="str">
        <f t="shared" si="1742"/>
        <v>Refund COSHARE 10</v>
      </c>
      <c r="H4256" s="2">
        <v>250</v>
      </c>
      <c r="I4256" t="str">
        <f>"JEFRIDIN ANAK REBA"</f>
        <v>JEFRIDIN ANAK REBA</v>
      </c>
      <c r="J4256" t="str">
        <f t="shared" si="1743"/>
        <v>MAYBANK / MAYBANK ISLAMIC</v>
      </c>
      <c r="K4256" t="str">
        <f>"161051669194"</f>
        <v>161051669194</v>
      </c>
      <c r="L4256" t="str">
        <f t="shared" si="1744"/>
        <v>04-08-2020</v>
      </c>
      <c r="M4256" t="str">
        <f t="shared" si="1744"/>
        <v>04-08-2020</v>
      </c>
      <c r="N4256" t="str">
        <f t="shared" si="1732"/>
        <v>001105018356</v>
      </c>
      <c r="O4256" t="str">
        <f t="shared" si="1733"/>
        <v>MYR</v>
      </c>
      <c r="P4256" t="str">
        <f t="shared" si="1745"/>
        <v>NIL</v>
      </c>
      <c r="Q4256" t="str">
        <f t="shared" si="1745"/>
        <v>NIL</v>
      </c>
      <c r="R4256" t="str">
        <f t="shared" si="1734"/>
        <v>Accepted</v>
      </c>
      <c r="S4256" t="str">
        <f t="shared" si="1735"/>
        <v>Approved</v>
      </c>
      <c r="T4256" t="str">
        <f t="shared" si="1736"/>
        <v>10.20.8.188</v>
      </c>
      <c r="U4256" t="str">
        <f t="shared" si="1737"/>
        <v>AZRAD UMAR BIN SHAARI</v>
      </c>
      <c r="V4256" t="str">
        <f t="shared" si="1738"/>
        <v>FARHANA BINTI MUSTAPA</v>
      </c>
      <c r="W4256" t="str">
        <f t="shared" si="1739"/>
        <v>04-08-2020</v>
      </c>
      <c r="X4256" t="str">
        <f t="shared" si="1740"/>
        <v>RAZIMAH ANSAR AHMAD</v>
      </c>
      <c r="Y4256" t="str">
        <f t="shared" si="1741"/>
        <v>04-08-2020</v>
      </c>
      <c r="Z4256" t="str">
        <f>"COS10200804 4898"</f>
        <v>COS10200804 4898</v>
      </c>
    </row>
    <row r="4257" spans="1:26" x14ac:dyDescent="0.25">
      <c r="A4257" t="str">
        <f t="shared" si="1746"/>
        <v>04-08-2020 12:53:46</v>
      </c>
      <c r="B4257" t="str">
        <f>"0000806682"</f>
        <v>0000806682</v>
      </c>
      <c r="C4257" t="str">
        <f t="shared" si="1747"/>
        <v>0000806585</v>
      </c>
      <c r="D4257" t="str">
        <f t="shared" si="1729"/>
        <v>73185</v>
      </c>
      <c r="E4257" t="str">
        <f t="shared" si="1730"/>
        <v>KFH-OPERATIONS DEPARTMENT</v>
      </c>
      <c r="F4257" t="str">
        <f t="shared" si="1731"/>
        <v>IBG</v>
      </c>
      <c r="G4257" t="str">
        <f t="shared" si="1742"/>
        <v>Refund COSHARE 10</v>
      </c>
      <c r="H4257" s="2">
        <v>222</v>
      </c>
      <c r="I4257" t="str">
        <f>"JEFFRY BIN JAMALLUDIN"</f>
        <v>JEFFRY BIN JAMALLUDIN</v>
      </c>
      <c r="J4257" t="str">
        <f t="shared" si="1743"/>
        <v>MAYBANK / MAYBANK ISLAMIC</v>
      </c>
      <c r="K4257" t="str">
        <f>"157380011079"</f>
        <v>157380011079</v>
      </c>
      <c r="L4257" t="str">
        <f t="shared" si="1744"/>
        <v>04-08-2020</v>
      </c>
      <c r="M4257" t="str">
        <f t="shared" si="1744"/>
        <v>04-08-2020</v>
      </c>
      <c r="N4257" t="str">
        <f t="shared" si="1732"/>
        <v>001105018356</v>
      </c>
      <c r="O4257" t="str">
        <f t="shared" si="1733"/>
        <v>MYR</v>
      </c>
      <c r="P4257" t="str">
        <f t="shared" si="1745"/>
        <v>NIL</v>
      </c>
      <c r="Q4257" t="str">
        <f t="shared" si="1745"/>
        <v>NIL</v>
      </c>
      <c r="R4257" t="str">
        <f t="shared" si="1734"/>
        <v>Accepted</v>
      </c>
      <c r="S4257" t="str">
        <f t="shared" si="1735"/>
        <v>Approved</v>
      </c>
      <c r="T4257" t="str">
        <f t="shared" si="1736"/>
        <v>10.20.8.188</v>
      </c>
      <c r="U4257" t="str">
        <f t="shared" si="1737"/>
        <v>AZRAD UMAR BIN SHAARI</v>
      </c>
      <c r="V4257" t="str">
        <f t="shared" si="1738"/>
        <v>FARHANA BINTI MUSTAPA</v>
      </c>
      <c r="W4257" t="str">
        <f t="shared" si="1739"/>
        <v>04-08-2020</v>
      </c>
      <c r="X4257" t="str">
        <f t="shared" si="1740"/>
        <v>RAZIMAH ANSAR AHMAD</v>
      </c>
      <c r="Y4257" t="str">
        <f t="shared" si="1741"/>
        <v>04-08-2020</v>
      </c>
      <c r="Z4257" t="str">
        <f>"COS10200804 4897"</f>
        <v>COS10200804 4897</v>
      </c>
    </row>
    <row r="4258" spans="1:26" x14ac:dyDescent="0.25">
      <c r="A4258" t="str">
        <f t="shared" si="1746"/>
        <v>04-08-2020 12:53:46</v>
      </c>
      <c r="B4258" t="str">
        <f>"0000806681"</f>
        <v>0000806681</v>
      </c>
      <c r="C4258" t="str">
        <f t="shared" si="1747"/>
        <v>0000806585</v>
      </c>
      <c r="D4258" t="str">
        <f t="shared" si="1729"/>
        <v>73185</v>
      </c>
      <c r="E4258" t="str">
        <f t="shared" si="1730"/>
        <v>KFH-OPERATIONS DEPARTMENT</v>
      </c>
      <c r="F4258" t="str">
        <f t="shared" si="1731"/>
        <v>IBG</v>
      </c>
      <c r="G4258" t="str">
        <f t="shared" si="1742"/>
        <v>Refund COSHARE 10</v>
      </c>
      <c r="H4258" s="2">
        <v>64.25</v>
      </c>
      <c r="I4258" t="str">
        <f>"JEBIN BIN TAMIN"</f>
        <v>JEBIN BIN TAMIN</v>
      </c>
      <c r="J4258" t="str">
        <f t="shared" si="1743"/>
        <v>MAYBANK / MAYBANK ISLAMIC</v>
      </c>
      <c r="K4258" t="str">
        <f>"160090289076"</f>
        <v>160090289076</v>
      </c>
      <c r="L4258" t="str">
        <f t="shared" si="1744"/>
        <v>04-08-2020</v>
      </c>
      <c r="M4258" t="str">
        <f t="shared" si="1744"/>
        <v>04-08-2020</v>
      </c>
      <c r="N4258" t="str">
        <f t="shared" si="1732"/>
        <v>001105018356</v>
      </c>
      <c r="O4258" t="str">
        <f t="shared" si="1733"/>
        <v>MYR</v>
      </c>
      <c r="P4258" t="str">
        <f t="shared" si="1745"/>
        <v>NIL</v>
      </c>
      <c r="Q4258" t="str">
        <f t="shared" si="1745"/>
        <v>NIL</v>
      </c>
      <c r="R4258" t="str">
        <f t="shared" si="1734"/>
        <v>Accepted</v>
      </c>
      <c r="S4258" t="str">
        <f t="shared" si="1735"/>
        <v>Approved</v>
      </c>
      <c r="T4258" t="str">
        <f t="shared" si="1736"/>
        <v>10.20.8.188</v>
      </c>
      <c r="U4258" t="str">
        <f t="shared" si="1737"/>
        <v>AZRAD UMAR BIN SHAARI</v>
      </c>
      <c r="V4258" t="str">
        <f t="shared" si="1738"/>
        <v>FARHANA BINTI MUSTAPA</v>
      </c>
      <c r="W4258" t="str">
        <f t="shared" si="1739"/>
        <v>04-08-2020</v>
      </c>
      <c r="X4258" t="str">
        <f t="shared" si="1740"/>
        <v>RAZIMAH ANSAR AHMAD</v>
      </c>
      <c r="Y4258" t="str">
        <f t="shared" si="1741"/>
        <v>04-08-2020</v>
      </c>
      <c r="Z4258" t="str">
        <f>"COS10200804 4896"</f>
        <v>COS10200804 4896</v>
      </c>
    </row>
    <row r="4259" spans="1:26" x14ac:dyDescent="0.25">
      <c r="A4259" t="str">
        <f t="shared" si="1746"/>
        <v>04-08-2020 12:53:46</v>
      </c>
      <c r="B4259" t="str">
        <f>"0000806680"</f>
        <v>0000806680</v>
      </c>
      <c r="C4259" t="str">
        <f t="shared" si="1747"/>
        <v>0000806585</v>
      </c>
      <c r="D4259" t="str">
        <f t="shared" si="1729"/>
        <v>73185</v>
      </c>
      <c r="E4259" t="str">
        <f t="shared" si="1730"/>
        <v>KFH-OPERATIONS DEPARTMENT</v>
      </c>
      <c r="F4259" t="str">
        <f t="shared" si="1731"/>
        <v>IBG</v>
      </c>
      <c r="G4259" t="str">
        <f t="shared" si="1742"/>
        <v>Refund COSHARE 10</v>
      </c>
      <c r="H4259" s="2">
        <v>84</v>
      </c>
      <c r="I4259" t="str">
        <f>"JAYA SUDHA AP SUBRAMANIAM"</f>
        <v>JAYA SUDHA AP SUBRAMANIAM</v>
      </c>
      <c r="J4259" t="str">
        <f t="shared" si="1743"/>
        <v>MAYBANK / MAYBANK ISLAMIC</v>
      </c>
      <c r="K4259" t="str">
        <f>"112380230242"</f>
        <v>112380230242</v>
      </c>
      <c r="L4259" t="str">
        <f t="shared" si="1744"/>
        <v>04-08-2020</v>
      </c>
      <c r="M4259" t="str">
        <f t="shared" si="1744"/>
        <v>04-08-2020</v>
      </c>
      <c r="N4259" t="str">
        <f t="shared" si="1732"/>
        <v>001105018356</v>
      </c>
      <c r="O4259" t="str">
        <f t="shared" si="1733"/>
        <v>MYR</v>
      </c>
      <c r="P4259" t="str">
        <f t="shared" si="1745"/>
        <v>NIL</v>
      </c>
      <c r="Q4259" t="str">
        <f t="shared" si="1745"/>
        <v>NIL</v>
      </c>
      <c r="R4259" t="str">
        <f t="shared" si="1734"/>
        <v>Accepted</v>
      </c>
      <c r="S4259" t="str">
        <f t="shared" si="1735"/>
        <v>Approved</v>
      </c>
      <c r="T4259" t="str">
        <f t="shared" si="1736"/>
        <v>10.20.8.188</v>
      </c>
      <c r="U4259" t="str">
        <f t="shared" si="1737"/>
        <v>AZRAD UMAR BIN SHAARI</v>
      </c>
      <c r="V4259" t="str">
        <f t="shared" si="1738"/>
        <v>FARHANA BINTI MUSTAPA</v>
      </c>
      <c r="W4259" t="str">
        <f t="shared" si="1739"/>
        <v>04-08-2020</v>
      </c>
      <c r="X4259" t="str">
        <f t="shared" si="1740"/>
        <v>RAZIMAH ANSAR AHMAD</v>
      </c>
      <c r="Y4259" t="str">
        <f t="shared" si="1741"/>
        <v>04-08-2020</v>
      </c>
      <c r="Z4259" t="str">
        <f>"COS10200804 4895"</f>
        <v>COS10200804 4895</v>
      </c>
    </row>
    <row r="4260" spans="1:26" x14ac:dyDescent="0.25">
      <c r="A4260" t="str">
        <f t="shared" si="1746"/>
        <v>04-08-2020 12:53:46</v>
      </c>
      <c r="B4260" t="str">
        <f>"0000806679"</f>
        <v>0000806679</v>
      </c>
      <c r="C4260" t="str">
        <f t="shared" si="1747"/>
        <v>0000806585</v>
      </c>
      <c r="D4260" t="str">
        <f t="shared" si="1729"/>
        <v>73185</v>
      </c>
      <c r="E4260" t="str">
        <f t="shared" si="1730"/>
        <v>KFH-OPERATIONS DEPARTMENT</v>
      </c>
      <c r="F4260" t="str">
        <f t="shared" si="1731"/>
        <v>IBG</v>
      </c>
      <c r="G4260" t="str">
        <f t="shared" si="1742"/>
        <v>Refund COSHARE 10</v>
      </c>
      <c r="H4260" s="2">
        <v>344.8</v>
      </c>
      <c r="I4260" t="str">
        <f>"JAYA RAJ AL RAJAPUTHURI"</f>
        <v>JAYA RAJ AL RAJAPUTHURI</v>
      </c>
      <c r="J4260" t="str">
        <f t="shared" si="1743"/>
        <v>MAYBANK / MAYBANK ISLAMIC</v>
      </c>
      <c r="K4260" t="str">
        <f>"114075679077"</f>
        <v>114075679077</v>
      </c>
      <c r="L4260" t="str">
        <f t="shared" si="1744"/>
        <v>04-08-2020</v>
      </c>
      <c r="M4260" t="str">
        <f t="shared" si="1744"/>
        <v>04-08-2020</v>
      </c>
      <c r="N4260" t="str">
        <f t="shared" si="1732"/>
        <v>001105018356</v>
      </c>
      <c r="O4260" t="str">
        <f t="shared" si="1733"/>
        <v>MYR</v>
      </c>
      <c r="P4260" t="str">
        <f t="shared" si="1745"/>
        <v>NIL</v>
      </c>
      <c r="Q4260" t="str">
        <f t="shared" si="1745"/>
        <v>NIL</v>
      </c>
      <c r="R4260" t="str">
        <f t="shared" si="1734"/>
        <v>Accepted</v>
      </c>
      <c r="S4260" t="str">
        <f t="shared" si="1735"/>
        <v>Approved</v>
      </c>
      <c r="T4260" t="str">
        <f t="shared" si="1736"/>
        <v>10.20.8.188</v>
      </c>
      <c r="U4260" t="str">
        <f t="shared" si="1737"/>
        <v>AZRAD UMAR BIN SHAARI</v>
      </c>
      <c r="V4260" t="str">
        <f t="shared" si="1738"/>
        <v>FARHANA BINTI MUSTAPA</v>
      </c>
      <c r="W4260" t="str">
        <f t="shared" si="1739"/>
        <v>04-08-2020</v>
      </c>
      <c r="X4260" t="str">
        <f t="shared" si="1740"/>
        <v>RAZIMAH ANSAR AHMAD</v>
      </c>
      <c r="Y4260" t="str">
        <f t="shared" si="1741"/>
        <v>04-08-2020</v>
      </c>
      <c r="Z4260" t="str">
        <f>"COS10200804 4894"</f>
        <v>COS10200804 4894</v>
      </c>
    </row>
    <row r="4261" spans="1:26" x14ac:dyDescent="0.25">
      <c r="A4261" t="str">
        <f t="shared" si="1746"/>
        <v>04-08-2020 12:53:46</v>
      </c>
      <c r="B4261" t="str">
        <f>"0000806678"</f>
        <v>0000806678</v>
      </c>
      <c r="C4261" t="str">
        <f t="shared" si="1747"/>
        <v>0000806585</v>
      </c>
      <c r="D4261" t="str">
        <f t="shared" si="1729"/>
        <v>73185</v>
      </c>
      <c r="E4261" t="str">
        <f t="shared" si="1730"/>
        <v>KFH-OPERATIONS DEPARTMENT</v>
      </c>
      <c r="F4261" t="str">
        <f t="shared" si="1731"/>
        <v>IBG</v>
      </c>
      <c r="G4261" t="str">
        <f t="shared" si="1742"/>
        <v>Refund COSHARE 10</v>
      </c>
      <c r="H4261" s="2">
        <v>177.4</v>
      </c>
      <c r="I4261" t="str">
        <f>"JAYA LETCHIMY AP PANNEERSELVAM"</f>
        <v>JAYA LETCHIMY AP PANNEERSELVAM</v>
      </c>
      <c r="J4261" t="str">
        <f t="shared" si="1743"/>
        <v>MAYBANK / MAYBANK ISLAMIC</v>
      </c>
      <c r="K4261" t="str">
        <f>"101142034334"</f>
        <v>101142034334</v>
      </c>
      <c r="L4261" t="str">
        <f t="shared" si="1744"/>
        <v>04-08-2020</v>
      </c>
      <c r="M4261" t="str">
        <f t="shared" si="1744"/>
        <v>04-08-2020</v>
      </c>
      <c r="N4261" t="str">
        <f t="shared" si="1732"/>
        <v>001105018356</v>
      </c>
      <c r="O4261" t="str">
        <f t="shared" si="1733"/>
        <v>MYR</v>
      </c>
      <c r="P4261" t="str">
        <f t="shared" si="1745"/>
        <v>NIL</v>
      </c>
      <c r="Q4261" t="str">
        <f t="shared" si="1745"/>
        <v>NIL</v>
      </c>
      <c r="R4261" t="str">
        <f t="shared" si="1734"/>
        <v>Accepted</v>
      </c>
      <c r="S4261" t="str">
        <f t="shared" si="1735"/>
        <v>Approved</v>
      </c>
      <c r="T4261" t="str">
        <f t="shared" si="1736"/>
        <v>10.20.8.188</v>
      </c>
      <c r="U4261" t="str">
        <f t="shared" si="1737"/>
        <v>AZRAD UMAR BIN SHAARI</v>
      </c>
      <c r="V4261" t="str">
        <f t="shared" si="1738"/>
        <v>FARHANA BINTI MUSTAPA</v>
      </c>
      <c r="W4261" t="str">
        <f t="shared" si="1739"/>
        <v>04-08-2020</v>
      </c>
      <c r="X4261" t="str">
        <f t="shared" si="1740"/>
        <v>RAZIMAH ANSAR AHMAD</v>
      </c>
      <c r="Y4261" t="str">
        <f t="shared" si="1741"/>
        <v>04-08-2020</v>
      </c>
      <c r="Z4261" t="str">
        <f>"COS10200804 4893"</f>
        <v>COS10200804 4893</v>
      </c>
    </row>
    <row r="4262" spans="1:26" x14ac:dyDescent="0.25">
      <c r="A4262" t="str">
        <f t="shared" si="1746"/>
        <v>04-08-2020 12:53:46</v>
      </c>
      <c r="B4262" t="str">
        <f>"0000806677"</f>
        <v>0000806677</v>
      </c>
      <c r="C4262" t="str">
        <f t="shared" si="1747"/>
        <v>0000806585</v>
      </c>
      <c r="D4262" t="str">
        <f t="shared" si="1729"/>
        <v>73185</v>
      </c>
      <c r="E4262" t="str">
        <f t="shared" si="1730"/>
        <v>KFH-OPERATIONS DEPARTMENT</v>
      </c>
      <c r="F4262" t="str">
        <f t="shared" si="1731"/>
        <v>IBG</v>
      </c>
      <c r="G4262" t="str">
        <f t="shared" si="1742"/>
        <v>Refund COSHARE 10</v>
      </c>
      <c r="H4262" s="2">
        <v>1123</v>
      </c>
      <c r="I4262" t="str">
        <f>"JAUHARAH WAHIDAH BINTI JUSOH"</f>
        <v>JAUHARAH WAHIDAH BINTI JUSOH</v>
      </c>
      <c r="J4262" t="str">
        <f t="shared" si="1743"/>
        <v>MAYBANK / MAYBANK ISLAMIC</v>
      </c>
      <c r="K4262" t="str">
        <f>"163019438770"</f>
        <v>163019438770</v>
      </c>
      <c r="L4262" t="str">
        <f t="shared" si="1744"/>
        <v>04-08-2020</v>
      </c>
      <c r="M4262" t="str">
        <f t="shared" si="1744"/>
        <v>04-08-2020</v>
      </c>
      <c r="N4262" t="str">
        <f t="shared" si="1732"/>
        <v>001105018356</v>
      </c>
      <c r="O4262" t="str">
        <f t="shared" si="1733"/>
        <v>MYR</v>
      </c>
      <c r="P4262" t="str">
        <f t="shared" si="1745"/>
        <v>NIL</v>
      </c>
      <c r="Q4262" t="str">
        <f t="shared" si="1745"/>
        <v>NIL</v>
      </c>
      <c r="R4262" t="str">
        <f t="shared" si="1734"/>
        <v>Accepted</v>
      </c>
      <c r="S4262" t="str">
        <f t="shared" si="1735"/>
        <v>Approved</v>
      </c>
      <c r="T4262" t="str">
        <f t="shared" si="1736"/>
        <v>10.20.8.188</v>
      </c>
      <c r="U4262" t="str">
        <f t="shared" si="1737"/>
        <v>AZRAD UMAR BIN SHAARI</v>
      </c>
      <c r="V4262" t="str">
        <f t="shared" si="1738"/>
        <v>FARHANA BINTI MUSTAPA</v>
      </c>
      <c r="W4262" t="str">
        <f t="shared" si="1739"/>
        <v>04-08-2020</v>
      </c>
      <c r="X4262" t="str">
        <f t="shared" si="1740"/>
        <v>RAZIMAH ANSAR AHMAD</v>
      </c>
      <c r="Y4262" t="str">
        <f t="shared" si="1741"/>
        <v>04-08-2020</v>
      </c>
      <c r="Z4262" t="str">
        <f>"COS10200804 4892"</f>
        <v>COS10200804 4892</v>
      </c>
    </row>
    <row r="4263" spans="1:26" x14ac:dyDescent="0.25">
      <c r="A4263" t="str">
        <f t="shared" si="1746"/>
        <v>04-08-2020 12:53:46</v>
      </c>
      <c r="B4263" t="str">
        <f>"0000806676"</f>
        <v>0000806676</v>
      </c>
      <c r="C4263" t="str">
        <f t="shared" si="1747"/>
        <v>0000806585</v>
      </c>
      <c r="D4263" t="str">
        <f t="shared" si="1729"/>
        <v>73185</v>
      </c>
      <c r="E4263" t="str">
        <f t="shared" si="1730"/>
        <v>KFH-OPERATIONS DEPARTMENT</v>
      </c>
      <c r="F4263" t="str">
        <f t="shared" si="1731"/>
        <v>IBG</v>
      </c>
      <c r="G4263" t="str">
        <f t="shared" si="1742"/>
        <v>Refund COSHARE 10</v>
      </c>
      <c r="H4263" s="2">
        <v>1473.6</v>
      </c>
      <c r="I4263" t="str">
        <f>"JASNI BIN OSAMAN  OSMAN"</f>
        <v>JASNI BIN OSAMAN  OSMAN</v>
      </c>
      <c r="J4263" t="str">
        <f t="shared" si="1743"/>
        <v>MAYBANK / MAYBANK ISLAMIC</v>
      </c>
      <c r="K4263" t="str">
        <f>"108010927387"</f>
        <v>108010927387</v>
      </c>
      <c r="L4263" t="str">
        <f t="shared" si="1744"/>
        <v>04-08-2020</v>
      </c>
      <c r="M4263" t="str">
        <f t="shared" si="1744"/>
        <v>04-08-2020</v>
      </c>
      <c r="N4263" t="str">
        <f t="shared" si="1732"/>
        <v>001105018356</v>
      </c>
      <c r="O4263" t="str">
        <f t="shared" si="1733"/>
        <v>MYR</v>
      </c>
      <c r="P4263" t="str">
        <f t="shared" si="1745"/>
        <v>NIL</v>
      </c>
      <c r="Q4263" t="str">
        <f t="shared" si="1745"/>
        <v>NIL</v>
      </c>
      <c r="R4263" t="str">
        <f t="shared" si="1734"/>
        <v>Accepted</v>
      </c>
      <c r="S4263" t="str">
        <f t="shared" si="1735"/>
        <v>Approved</v>
      </c>
      <c r="T4263" t="str">
        <f t="shared" si="1736"/>
        <v>10.20.8.188</v>
      </c>
      <c r="U4263" t="str">
        <f t="shared" si="1737"/>
        <v>AZRAD UMAR BIN SHAARI</v>
      </c>
      <c r="V4263" t="str">
        <f t="shared" si="1738"/>
        <v>FARHANA BINTI MUSTAPA</v>
      </c>
      <c r="W4263" t="str">
        <f t="shared" si="1739"/>
        <v>04-08-2020</v>
      </c>
      <c r="X4263" t="str">
        <f t="shared" si="1740"/>
        <v>RAZIMAH ANSAR AHMAD</v>
      </c>
      <c r="Y4263" t="str">
        <f t="shared" si="1741"/>
        <v>04-08-2020</v>
      </c>
      <c r="Z4263" t="str">
        <f>"COS10200804 4891"</f>
        <v>COS10200804 4891</v>
      </c>
    </row>
    <row r="4264" spans="1:26" x14ac:dyDescent="0.25">
      <c r="A4264" t="str">
        <f t="shared" si="1746"/>
        <v>04-08-2020 12:53:46</v>
      </c>
      <c r="B4264" t="str">
        <f>"0000806675"</f>
        <v>0000806675</v>
      </c>
      <c r="C4264" t="str">
        <f t="shared" si="1747"/>
        <v>0000806585</v>
      </c>
      <c r="D4264" t="str">
        <f t="shared" si="1729"/>
        <v>73185</v>
      </c>
      <c r="E4264" t="str">
        <f t="shared" si="1730"/>
        <v>KFH-OPERATIONS DEPARTMENT</v>
      </c>
      <c r="F4264" t="str">
        <f t="shared" si="1731"/>
        <v>IBG</v>
      </c>
      <c r="G4264" t="str">
        <f t="shared" si="1742"/>
        <v>Refund COSHARE 10</v>
      </c>
      <c r="H4264" s="2">
        <v>85.2</v>
      </c>
      <c r="I4264" t="str">
        <f>"JASNI BIN NAKMAN"</f>
        <v>JASNI BIN NAKMAN</v>
      </c>
      <c r="J4264" t="str">
        <f t="shared" si="1743"/>
        <v>MAYBANK / MAYBANK ISLAMIC</v>
      </c>
      <c r="K4264" t="str">
        <f>"164128649071"</f>
        <v>164128649071</v>
      </c>
      <c r="L4264" t="str">
        <f t="shared" si="1744"/>
        <v>04-08-2020</v>
      </c>
      <c r="M4264" t="str">
        <f t="shared" si="1744"/>
        <v>04-08-2020</v>
      </c>
      <c r="N4264" t="str">
        <f t="shared" si="1732"/>
        <v>001105018356</v>
      </c>
      <c r="O4264" t="str">
        <f t="shared" si="1733"/>
        <v>MYR</v>
      </c>
      <c r="P4264" t="str">
        <f t="shared" si="1745"/>
        <v>NIL</v>
      </c>
      <c r="Q4264" t="str">
        <f t="shared" si="1745"/>
        <v>NIL</v>
      </c>
      <c r="R4264" t="str">
        <f t="shared" si="1734"/>
        <v>Accepted</v>
      </c>
      <c r="S4264" t="str">
        <f t="shared" si="1735"/>
        <v>Approved</v>
      </c>
      <c r="T4264" t="str">
        <f t="shared" si="1736"/>
        <v>10.20.8.188</v>
      </c>
      <c r="U4264" t="str">
        <f t="shared" si="1737"/>
        <v>AZRAD UMAR BIN SHAARI</v>
      </c>
      <c r="V4264" t="str">
        <f t="shared" si="1738"/>
        <v>FARHANA BINTI MUSTAPA</v>
      </c>
      <c r="W4264" t="str">
        <f t="shared" si="1739"/>
        <v>04-08-2020</v>
      </c>
      <c r="X4264" t="str">
        <f t="shared" si="1740"/>
        <v>RAZIMAH ANSAR AHMAD</v>
      </c>
      <c r="Y4264" t="str">
        <f t="shared" si="1741"/>
        <v>04-08-2020</v>
      </c>
      <c r="Z4264" t="str">
        <f>"COS10200804 4890"</f>
        <v>COS10200804 4890</v>
      </c>
    </row>
    <row r="4265" spans="1:26" x14ac:dyDescent="0.25">
      <c r="A4265" t="str">
        <f t="shared" si="1746"/>
        <v>04-08-2020 12:53:46</v>
      </c>
      <c r="B4265" t="str">
        <f>"0000806674"</f>
        <v>0000806674</v>
      </c>
      <c r="C4265" t="str">
        <f t="shared" si="1747"/>
        <v>0000806585</v>
      </c>
      <c r="D4265" t="str">
        <f t="shared" si="1729"/>
        <v>73185</v>
      </c>
      <c r="E4265" t="str">
        <f t="shared" si="1730"/>
        <v>KFH-OPERATIONS DEPARTMENT</v>
      </c>
      <c r="F4265" t="str">
        <f t="shared" si="1731"/>
        <v>IBG</v>
      </c>
      <c r="G4265" t="str">
        <f t="shared" si="1742"/>
        <v>Refund COSHARE 10</v>
      </c>
      <c r="H4265" s="2">
        <v>181.05</v>
      </c>
      <c r="I4265" t="str">
        <f>"JASMIN BIN OTHMAN"</f>
        <v>JASMIN BIN OTHMAN</v>
      </c>
      <c r="J4265" t="str">
        <f t="shared" si="1743"/>
        <v>MAYBANK / MAYBANK ISLAMIC</v>
      </c>
      <c r="K4265" t="str">
        <f>"114084003281"</f>
        <v>114084003281</v>
      </c>
      <c r="L4265" t="str">
        <f t="shared" si="1744"/>
        <v>04-08-2020</v>
      </c>
      <c r="M4265" t="str">
        <f t="shared" si="1744"/>
        <v>04-08-2020</v>
      </c>
      <c r="N4265" t="str">
        <f t="shared" si="1732"/>
        <v>001105018356</v>
      </c>
      <c r="O4265" t="str">
        <f t="shared" si="1733"/>
        <v>MYR</v>
      </c>
      <c r="P4265" t="str">
        <f t="shared" si="1745"/>
        <v>NIL</v>
      </c>
      <c r="Q4265" t="str">
        <f t="shared" si="1745"/>
        <v>NIL</v>
      </c>
      <c r="R4265" t="str">
        <f t="shared" si="1734"/>
        <v>Accepted</v>
      </c>
      <c r="S4265" t="str">
        <f t="shared" si="1735"/>
        <v>Approved</v>
      </c>
      <c r="T4265" t="str">
        <f t="shared" si="1736"/>
        <v>10.20.8.188</v>
      </c>
      <c r="U4265" t="str">
        <f t="shared" si="1737"/>
        <v>AZRAD UMAR BIN SHAARI</v>
      </c>
      <c r="V4265" t="str">
        <f t="shared" si="1738"/>
        <v>FARHANA BINTI MUSTAPA</v>
      </c>
      <c r="W4265" t="str">
        <f t="shared" si="1739"/>
        <v>04-08-2020</v>
      </c>
      <c r="X4265" t="str">
        <f t="shared" si="1740"/>
        <v>RAZIMAH ANSAR AHMAD</v>
      </c>
      <c r="Y4265" t="str">
        <f t="shared" si="1741"/>
        <v>04-08-2020</v>
      </c>
      <c r="Z4265" t="str">
        <f>"COS10200804 4889"</f>
        <v>COS10200804 4889</v>
      </c>
    </row>
    <row r="4266" spans="1:26" x14ac:dyDescent="0.25">
      <c r="A4266" t="str">
        <f t="shared" si="1746"/>
        <v>04-08-2020 12:53:46</v>
      </c>
      <c r="B4266" t="str">
        <f>"0000806673"</f>
        <v>0000806673</v>
      </c>
      <c r="C4266" t="str">
        <f t="shared" si="1747"/>
        <v>0000806585</v>
      </c>
      <c r="D4266" t="str">
        <f t="shared" si="1729"/>
        <v>73185</v>
      </c>
      <c r="E4266" t="str">
        <f t="shared" si="1730"/>
        <v>KFH-OPERATIONS DEPARTMENT</v>
      </c>
      <c r="F4266" t="str">
        <f t="shared" si="1731"/>
        <v>IBG</v>
      </c>
      <c r="G4266" t="str">
        <f t="shared" si="1742"/>
        <v>Refund COSHARE 10</v>
      </c>
      <c r="H4266" s="2">
        <v>289</v>
      </c>
      <c r="I4266" t="str">
        <f>"JASMI BIN BAHARUM"</f>
        <v>JASMI BIN BAHARUM</v>
      </c>
      <c r="J4266" t="str">
        <f t="shared" si="1743"/>
        <v>MAYBANK / MAYBANK ISLAMIC</v>
      </c>
      <c r="K4266" t="str">
        <f>"158314120211"</f>
        <v>158314120211</v>
      </c>
      <c r="L4266" t="str">
        <f t="shared" si="1744"/>
        <v>04-08-2020</v>
      </c>
      <c r="M4266" t="str">
        <f t="shared" si="1744"/>
        <v>04-08-2020</v>
      </c>
      <c r="N4266" t="str">
        <f t="shared" si="1732"/>
        <v>001105018356</v>
      </c>
      <c r="O4266" t="str">
        <f t="shared" si="1733"/>
        <v>MYR</v>
      </c>
      <c r="P4266" t="str">
        <f t="shared" si="1745"/>
        <v>NIL</v>
      </c>
      <c r="Q4266" t="str">
        <f t="shared" si="1745"/>
        <v>NIL</v>
      </c>
      <c r="R4266" t="str">
        <f t="shared" si="1734"/>
        <v>Accepted</v>
      </c>
      <c r="S4266" t="str">
        <f t="shared" si="1735"/>
        <v>Approved</v>
      </c>
      <c r="T4266" t="str">
        <f t="shared" si="1736"/>
        <v>10.20.8.188</v>
      </c>
      <c r="U4266" t="str">
        <f t="shared" si="1737"/>
        <v>AZRAD UMAR BIN SHAARI</v>
      </c>
      <c r="V4266" t="str">
        <f t="shared" si="1738"/>
        <v>FARHANA BINTI MUSTAPA</v>
      </c>
      <c r="W4266" t="str">
        <f t="shared" si="1739"/>
        <v>04-08-2020</v>
      </c>
      <c r="X4266" t="str">
        <f t="shared" si="1740"/>
        <v>RAZIMAH ANSAR AHMAD</v>
      </c>
      <c r="Y4266" t="str">
        <f t="shared" si="1741"/>
        <v>04-08-2020</v>
      </c>
      <c r="Z4266" t="str">
        <f>"COS10200804 4888"</f>
        <v>COS10200804 4888</v>
      </c>
    </row>
    <row r="4267" spans="1:26" x14ac:dyDescent="0.25">
      <c r="A4267" t="str">
        <f t="shared" si="1746"/>
        <v>04-08-2020 12:53:46</v>
      </c>
      <c r="B4267" t="str">
        <f>"0000806672"</f>
        <v>0000806672</v>
      </c>
      <c r="C4267" t="str">
        <f t="shared" si="1747"/>
        <v>0000806585</v>
      </c>
      <c r="D4267" t="str">
        <f t="shared" si="1729"/>
        <v>73185</v>
      </c>
      <c r="E4267" t="str">
        <f t="shared" si="1730"/>
        <v>KFH-OPERATIONS DEPARTMENT</v>
      </c>
      <c r="F4267" t="str">
        <f t="shared" si="1731"/>
        <v>IBG</v>
      </c>
      <c r="G4267" t="str">
        <f t="shared" si="1742"/>
        <v>Refund COSHARE 10</v>
      </c>
      <c r="H4267" s="2">
        <v>1023.25</v>
      </c>
      <c r="I4267" t="str">
        <f>"JASMI BIN ALI"</f>
        <v>JASMI BIN ALI</v>
      </c>
      <c r="J4267" t="str">
        <f t="shared" si="1743"/>
        <v>MAYBANK / MAYBANK ISLAMIC</v>
      </c>
      <c r="K4267" t="str">
        <f>"164137000615"</f>
        <v>164137000615</v>
      </c>
      <c r="L4267" t="str">
        <f t="shared" ref="L4267:M4286" si="1748">"04-08-2020"</f>
        <v>04-08-2020</v>
      </c>
      <c r="M4267" t="str">
        <f t="shared" si="1748"/>
        <v>04-08-2020</v>
      </c>
      <c r="N4267" t="str">
        <f t="shared" si="1732"/>
        <v>001105018356</v>
      </c>
      <c r="O4267" t="str">
        <f t="shared" si="1733"/>
        <v>MYR</v>
      </c>
      <c r="P4267" t="str">
        <f t="shared" ref="P4267:Q4286" si="1749">"NIL"</f>
        <v>NIL</v>
      </c>
      <c r="Q4267" t="str">
        <f t="shared" si="1749"/>
        <v>NIL</v>
      </c>
      <c r="R4267" t="str">
        <f t="shared" si="1734"/>
        <v>Accepted</v>
      </c>
      <c r="S4267" t="str">
        <f t="shared" si="1735"/>
        <v>Approved</v>
      </c>
      <c r="T4267" t="str">
        <f t="shared" si="1736"/>
        <v>10.20.8.188</v>
      </c>
      <c r="U4267" t="str">
        <f t="shared" si="1737"/>
        <v>AZRAD UMAR BIN SHAARI</v>
      </c>
      <c r="V4267" t="str">
        <f t="shared" si="1738"/>
        <v>FARHANA BINTI MUSTAPA</v>
      </c>
      <c r="W4267" t="str">
        <f t="shared" si="1739"/>
        <v>04-08-2020</v>
      </c>
      <c r="X4267" t="str">
        <f t="shared" si="1740"/>
        <v>RAZIMAH ANSAR AHMAD</v>
      </c>
      <c r="Y4267" t="str">
        <f t="shared" si="1741"/>
        <v>04-08-2020</v>
      </c>
      <c r="Z4267" t="str">
        <f>"COS10200804 4887"</f>
        <v>COS10200804 4887</v>
      </c>
    </row>
    <row r="4268" spans="1:26" x14ac:dyDescent="0.25">
      <c r="A4268" t="str">
        <f t="shared" si="1746"/>
        <v>04-08-2020 12:53:46</v>
      </c>
      <c r="B4268" t="str">
        <f>"0000806671"</f>
        <v>0000806671</v>
      </c>
      <c r="C4268" t="str">
        <f t="shared" si="1747"/>
        <v>0000806585</v>
      </c>
      <c r="D4268" t="str">
        <f t="shared" si="1729"/>
        <v>73185</v>
      </c>
      <c r="E4268" t="str">
        <f t="shared" si="1730"/>
        <v>KFH-OPERATIONS DEPARTMENT</v>
      </c>
      <c r="F4268" t="str">
        <f t="shared" si="1731"/>
        <v>IBG</v>
      </c>
      <c r="G4268" t="str">
        <f t="shared" si="1742"/>
        <v>Refund COSHARE 10</v>
      </c>
      <c r="H4268" s="2">
        <v>491.15</v>
      </c>
      <c r="I4268" t="str">
        <f>"JASMI BIN ALI"</f>
        <v>JASMI BIN ALI</v>
      </c>
      <c r="J4268" t="str">
        <f t="shared" si="1743"/>
        <v>MAYBANK / MAYBANK ISLAMIC</v>
      </c>
      <c r="K4268" t="str">
        <f>"164137000615"</f>
        <v>164137000615</v>
      </c>
      <c r="L4268" t="str">
        <f t="shared" si="1748"/>
        <v>04-08-2020</v>
      </c>
      <c r="M4268" t="str">
        <f t="shared" si="1748"/>
        <v>04-08-2020</v>
      </c>
      <c r="N4268" t="str">
        <f t="shared" si="1732"/>
        <v>001105018356</v>
      </c>
      <c r="O4268" t="str">
        <f t="shared" si="1733"/>
        <v>MYR</v>
      </c>
      <c r="P4268" t="str">
        <f t="shared" si="1749"/>
        <v>NIL</v>
      </c>
      <c r="Q4268" t="str">
        <f t="shared" si="1749"/>
        <v>NIL</v>
      </c>
      <c r="R4268" t="str">
        <f t="shared" si="1734"/>
        <v>Accepted</v>
      </c>
      <c r="S4268" t="str">
        <f t="shared" si="1735"/>
        <v>Approved</v>
      </c>
      <c r="T4268" t="str">
        <f t="shared" si="1736"/>
        <v>10.20.8.188</v>
      </c>
      <c r="U4268" t="str">
        <f t="shared" si="1737"/>
        <v>AZRAD UMAR BIN SHAARI</v>
      </c>
      <c r="V4268" t="str">
        <f t="shared" si="1738"/>
        <v>FARHANA BINTI MUSTAPA</v>
      </c>
      <c r="W4268" t="str">
        <f t="shared" si="1739"/>
        <v>04-08-2020</v>
      </c>
      <c r="X4268" t="str">
        <f t="shared" si="1740"/>
        <v>RAZIMAH ANSAR AHMAD</v>
      </c>
      <c r="Y4268" t="str">
        <f t="shared" si="1741"/>
        <v>04-08-2020</v>
      </c>
      <c r="Z4268" t="str">
        <f>"COS10200804 4886"</f>
        <v>COS10200804 4886</v>
      </c>
    </row>
    <row r="4269" spans="1:26" x14ac:dyDescent="0.25">
      <c r="A4269" t="str">
        <f t="shared" si="1746"/>
        <v>04-08-2020 12:53:46</v>
      </c>
      <c r="B4269" t="str">
        <f>"0000806670"</f>
        <v>0000806670</v>
      </c>
      <c r="C4269" t="str">
        <f t="shared" si="1747"/>
        <v>0000806585</v>
      </c>
      <c r="D4269" t="str">
        <f t="shared" si="1729"/>
        <v>73185</v>
      </c>
      <c r="E4269" t="str">
        <f t="shared" si="1730"/>
        <v>KFH-OPERATIONS DEPARTMENT</v>
      </c>
      <c r="F4269" t="str">
        <f t="shared" si="1731"/>
        <v>IBG</v>
      </c>
      <c r="G4269" t="str">
        <f t="shared" si="1742"/>
        <v>Refund COSHARE 10</v>
      </c>
      <c r="H4269" s="2">
        <v>83.95</v>
      </c>
      <c r="I4269" t="str">
        <f>"JASMEEN BIN ABD RAZAK"</f>
        <v>JASMEEN BIN ABD RAZAK</v>
      </c>
      <c r="J4269" t="str">
        <f t="shared" si="1743"/>
        <v>MAYBANK / MAYBANK ISLAMIC</v>
      </c>
      <c r="K4269" t="str">
        <f>"112183195952"</f>
        <v>112183195952</v>
      </c>
      <c r="L4269" t="str">
        <f t="shared" si="1748"/>
        <v>04-08-2020</v>
      </c>
      <c r="M4269" t="str">
        <f t="shared" si="1748"/>
        <v>04-08-2020</v>
      </c>
      <c r="N4269" t="str">
        <f t="shared" si="1732"/>
        <v>001105018356</v>
      </c>
      <c r="O4269" t="str">
        <f t="shared" si="1733"/>
        <v>MYR</v>
      </c>
      <c r="P4269" t="str">
        <f t="shared" si="1749"/>
        <v>NIL</v>
      </c>
      <c r="Q4269" t="str">
        <f t="shared" si="1749"/>
        <v>NIL</v>
      </c>
      <c r="R4269" t="str">
        <f t="shared" si="1734"/>
        <v>Accepted</v>
      </c>
      <c r="S4269" t="str">
        <f t="shared" si="1735"/>
        <v>Approved</v>
      </c>
      <c r="T4269" t="str">
        <f t="shared" si="1736"/>
        <v>10.20.8.188</v>
      </c>
      <c r="U4269" t="str">
        <f t="shared" si="1737"/>
        <v>AZRAD UMAR BIN SHAARI</v>
      </c>
      <c r="V4269" t="str">
        <f t="shared" si="1738"/>
        <v>FARHANA BINTI MUSTAPA</v>
      </c>
      <c r="W4269" t="str">
        <f t="shared" si="1739"/>
        <v>04-08-2020</v>
      </c>
      <c r="X4269" t="str">
        <f t="shared" si="1740"/>
        <v>RAZIMAH ANSAR AHMAD</v>
      </c>
      <c r="Y4269" t="str">
        <f t="shared" si="1741"/>
        <v>04-08-2020</v>
      </c>
      <c r="Z4269" t="str">
        <f>"COS10200804 4885"</f>
        <v>COS10200804 4885</v>
      </c>
    </row>
    <row r="4270" spans="1:26" x14ac:dyDescent="0.25">
      <c r="A4270" t="str">
        <f t="shared" si="1746"/>
        <v>04-08-2020 12:53:46</v>
      </c>
      <c r="B4270" t="str">
        <f>"0000806669"</f>
        <v>0000806669</v>
      </c>
      <c r="C4270" t="str">
        <f t="shared" si="1747"/>
        <v>0000806585</v>
      </c>
      <c r="D4270" t="str">
        <f t="shared" si="1729"/>
        <v>73185</v>
      </c>
      <c r="E4270" t="str">
        <f t="shared" si="1730"/>
        <v>KFH-OPERATIONS DEPARTMENT</v>
      </c>
      <c r="F4270" t="str">
        <f t="shared" si="1731"/>
        <v>IBG</v>
      </c>
      <c r="G4270" t="str">
        <f t="shared" si="1742"/>
        <v>Refund COSHARE 10</v>
      </c>
      <c r="H4270" s="2">
        <v>201.5</v>
      </c>
      <c r="I4270" t="str">
        <f>"JARIAH BINTI ON"</f>
        <v>JARIAH BINTI ON</v>
      </c>
      <c r="J4270" t="str">
        <f t="shared" si="1743"/>
        <v>MAYBANK / MAYBANK ISLAMIC</v>
      </c>
      <c r="K4270" t="str">
        <f>"151472007911"</f>
        <v>151472007911</v>
      </c>
      <c r="L4270" t="str">
        <f t="shared" si="1748"/>
        <v>04-08-2020</v>
      </c>
      <c r="M4270" t="str">
        <f t="shared" si="1748"/>
        <v>04-08-2020</v>
      </c>
      <c r="N4270" t="str">
        <f t="shared" si="1732"/>
        <v>001105018356</v>
      </c>
      <c r="O4270" t="str">
        <f t="shared" si="1733"/>
        <v>MYR</v>
      </c>
      <c r="P4270" t="str">
        <f t="shared" si="1749"/>
        <v>NIL</v>
      </c>
      <c r="Q4270" t="str">
        <f t="shared" si="1749"/>
        <v>NIL</v>
      </c>
      <c r="R4270" t="str">
        <f t="shared" si="1734"/>
        <v>Accepted</v>
      </c>
      <c r="S4270" t="str">
        <f t="shared" si="1735"/>
        <v>Approved</v>
      </c>
      <c r="T4270" t="str">
        <f t="shared" si="1736"/>
        <v>10.20.8.188</v>
      </c>
      <c r="U4270" t="str">
        <f t="shared" si="1737"/>
        <v>AZRAD UMAR BIN SHAARI</v>
      </c>
      <c r="V4270" t="str">
        <f t="shared" si="1738"/>
        <v>FARHANA BINTI MUSTAPA</v>
      </c>
      <c r="W4270" t="str">
        <f t="shared" si="1739"/>
        <v>04-08-2020</v>
      </c>
      <c r="X4270" t="str">
        <f t="shared" si="1740"/>
        <v>RAZIMAH ANSAR AHMAD</v>
      </c>
      <c r="Y4270" t="str">
        <f t="shared" si="1741"/>
        <v>04-08-2020</v>
      </c>
      <c r="Z4270" t="str">
        <f>"COS10200804 4884"</f>
        <v>COS10200804 4884</v>
      </c>
    </row>
    <row r="4271" spans="1:26" x14ac:dyDescent="0.25">
      <c r="A4271" t="str">
        <f t="shared" si="1746"/>
        <v>04-08-2020 12:53:46</v>
      </c>
      <c r="B4271" t="str">
        <f>"0000806668"</f>
        <v>0000806668</v>
      </c>
      <c r="C4271" t="str">
        <f t="shared" si="1747"/>
        <v>0000806585</v>
      </c>
      <c r="D4271" t="str">
        <f t="shared" si="1729"/>
        <v>73185</v>
      </c>
      <c r="E4271" t="str">
        <f t="shared" si="1730"/>
        <v>KFH-OPERATIONS DEPARTMENT</v>
      </c>
      <c r="F4271" t="str">
        <f t="shared" si="1731"/>
        <v>IBG</v>
      </c>
      <c r="G4271" t="str">
        <f t="shared" si="1742"/>
        <v>Refund COSHARE 10</v>
      </c>
      <c r="H4271" s="2">
        <v>381.1</v>
      </c>
      <c r="I4271" t="str">
        <f>"JANTANG ANAK AMBU"</f>
        <v>JANTANG ANAK AMBU</v>
      </c>
      <c r="J4271" t="str">
        <f t="shared" si="1743"/>
        <v>MAYBANK / MAYBANK ISLAMIC</v>
      </c>
      <c r="K4271" t="str">
        <f>"111075045356"</f>
        <v>111075045356</v>
      </c>
      <c r="L4271" t="str">
        <f t="shared" si="1748"/>
        <v>04-08-2020</v>
      </c>
      <c r="M4271" t="str">
        <f t="shared" si="1748"/>
        <v>04-08-2020</v>
      </c>
      <c r="N4271" t="str">
        <f t="shared" si="1732"/>
        <v>001105018356</v>
      </c>
      <c r="O4271" t="str">
        <f t="shared" si="1733"/>
        <v>MYR</v>
      </c>
      <c r="P4271" t="str">
        <f t="shared" si="1749"/>
        <v>NIL</v>
      </c>
      <c r="Q4271" t="str">
        <f t="shared" si="1749"/>
        <v>NIL</v>
      </c>
      <c r="R4271" t="str">
        <f t="shared" si="1734"/>
        <v>Accepted</v>
      </c>
      <c r="S4271" t="str">
        <f t="shared" si="1735"/>
        <v>Approved</v>
      </c>
      <c r="T4271" t="str">
        <f t="shared" si="1736"/>
        <v>10.20.8.188</v>
      </c>
      <c r="U4271" t="str">
        <f t="shared" si="1737"/>
        <v>AZRAD UMAR BIN SHAARI</v>
      </c>
      <c r="V4271" t="str">
        <f t="shared" si="1738"/>
        <v>FARHANA BINTI MUSTAPA</v>
      </c>
      <c r="W4271" t="str">
        <f t="shared" si="1739"/>
        <v>04-08-2020</v>
      </c>
      <c r="X4271" t="str">
        <f t="shared" si="1740"/>
        <v>RAZIMAH ANSAR AHMAD</v>
      </c>
      <c r="Y4271" t="str">
        <f t="shared" si="1741"/>
        <v>04-08-2020</v>
      </c>
      <c r="Z4271" t="str">
        <f>"COS10200804 4883"</f>
        <v>COS10200804 4883</v>
      </c>
    </row>
    <row r="4272" spans="1:26" x14ac:dyDescent="0.25">
      <c r="A4272" t="str">
        <f t="shared" si="1746"/>
        <v>04-08-2020 12:53:46</v>
      </c>
      <c r="B4272" t="str">
        <f>"0000806667"</f>
        <v>0000806667</v>
      </c>
      <c r="C4272" t="str">
        <f t="shared" si="1747"/>
        <v>0000806585</v>
      </c>
      <c r="D4272" t="str">
        <f t="shared" si="1729"/>
        <v>73185</v>
      </c>
      <c r="E4272" t="str">
        <f t="shared" si="1730"/>
        <v>KFH-OPERATIONS DEPARTMENT</v>
      </c>
      <c r="F4272" t="str">
        <f t="shared" si="1731"/>
        <v>IBG</v>
      </c>
      <c r="G4272" t="str">
        <f t="shared" si="1742"/>
        <v>Refund COSHARE 10</v>
      </c>
      <c r="H4272" s="2">
        <v>435</v>
      </c>
      <c r="I4272" t="str">
        <f>"JANAWATI BT HUSSEIN"</f>
        <v>JANAWATI BT HUSSEIN</v>
      </c>
      <c r="J4272" t="str">
        <f t="shared" si="1743"/>
        <v>MAYBANK / MAYBANK ISLAMIC</v>
      </c>
      <c r="K4272" t="str">
        <f>"101105502502"</f>
        <v>101105502502</v>
      </c>
      <c r="L4272" t="str">
        <f t="shared" si="1748"/>
        <v>04-08-2020</v>
      </c>
      <c r="M4272" t="str">
        <f t="shared" si="1748"/>
        <v>04-08-2020</v>
      </c>
      <c r="N4272" t="str">
        <f t="shared" si="1732"/>
        <v>001105018356</v>
      </c>
      <c r="O4272" t="str">
        <f t="shared" si="1733"/>
        <v>MYR</v>
      </c>
      <c r="P4272" t="str">
        <f t="shared" si="1749"/>
        <v>NIL</v>
      </c>
      <c r="Q4272" t="str">
        <f t="shared" si="1749"/>
        <v>NIL</v>
      </c>
      <c r="R4272" t="str">
        <f t="shared" si="1734"/>
        <v>Accepted</v>
      </c>
      <c r="S4272" t="str">
        <f t="shared" si="1735"/>
        <v>Approved</v>
      </c>
      <c r="T4272" t="str">
        <f t="shared" si="1736"/>
        <v>10.20.8.188</v>
      </c>
      <c r="U4272" t="str">
        <f t="shared" si="1737"/>
        <v>AZRAD UMAR BIN SHAARI</v>
      </c>
      <c r="V4272" t="str">
        <f t="shared" si="1738"/>
        <v>FARHANA BINTI MUSTAPA</v>
      </c>
      <c r="W4272" t="str">
        <f t="shared" si="1739"/>
        <v>04-08-2020</v>
      </c>
      <c r="X4272" t="str">
        <f t="shared" si="1740"/>
        <v>RAZIMAH ANSAR AHMAD</v>
      </c>
      <c r="Y4272" t="str">
        <f t="shared" si="1741"/>
        <v>04-08-2020</v>
      </c>
      <c r="Z4272" t="str">
        <f>"COS10200804 4882"</f>
        <v>COS10200804 4882</v>
      </c>
    </row>
    <row r="4273" spans="1:26" x14ac:dyDescent="0.25">
      <c r="A4273" t="str">
        <f t="shared" si="1746"/>
        <v>04-08-2020 12:53:46</v>
      </c>
      <c r="B4273" t="str">
        <f>"0000806666"</f>
        <v>0000806666</v>
      </c>
      <c r="C4273" t="str">
        <f t="shared" si="1747"/>
        <v>0000806585</v>
      </c>
      <c r="D4273" t="str">
        <f t="shared" si="1729"/>
        <v>73185</v>
      </c>
      <c r="E4273" t="str">
        <f t="shared" si="1730"/>
        <v>KFH-OPERATIONS DEPARTMENT</v>
      </c>
      <c r="F4273" t="str">
        <f t="shared" si="1731"/>
        <v>IBG</v>
      </c>
      <c r="G4273" t="str">
        <f t="shared" si="1742"/>
        <v>Refund COSHARE 10</v>
      </c>
      <c r="H4273" s="2">
        <v>1551.6</v>
      </c>
      <c r="I4273" t="str">
        <f>"JAMILI BIN MOHD NORDIN"</f>
        <v>JAMILI BIN MOHD NORDIN</v>
      </c>
      <c r="J4273" t="str">
        <f t="shared" si="1743"/>
        <v>MAYBANK / MAYBANK ISLAMIC</v>
      </c>
      <c r="K4273" t="str">
        <f>"158202020264"</f>
        <v>158202020264</v>
      </c>
      <c r="L4273" t="str">
        <f t="shared" si="1748"/>
        <v>04-08-2020</v>
      </c>
      <c r="M4273" t="str">
        <f t="shared" si="1748"/>
        <v>04-08-2020</v>
      </c>
      <c r="N4273" t="str">
        <f t="shared" si="1732"/>
        <v>001105018356</v>
      </c>
      <c r="O4273" t="str">
        <f t="shared" si="1733"/>
        <v>MYR</v>
      </c>
      <c r="P4273" t="str">
        <f t="shared" si="1749"/>
        <v>NIL</v>
      </c>
      <c r="Q4273" t="str">
        <f t="shared" si="1749"/>
        <v>NIL</v>
      </c>
      <c r="R4273" t="str">
        <f t="shared" si="1734"/>
        <v>Accepted</v>
      </c>
      <c r="S4273" t="str">
        <f t="shared" si="1735"/>
        <v>Approved</v>
      </c>
      <c r="T4273" t="str">
        <f t="shared" si="1736"/>
        <v>10.20.8.188</v>
      </c>
      <c r="U4273" t="str">
        <f t="shared" si="1737"/>
        <v>AZRAD UMAR BIN SHAARI</v>
      </c>
      <c r="V4273" t="str">
        <f t="shared" si="1738"/>
        <v>FARHANA BINTI MUSTAPA</v>
      </c>
      <c r="W4273" t="str">
        <f t="shared" si="1739"/>
        <v>04-08-2020</v>
      </c>
      <c r="X4273" t="str">
        <f t="shared" si="1740"/>
        <v>RAZIMAH ANSAR AHMAD</v>
      </c>
      <c r="Y4273" t="str">
        <f t="shared" si="1741"/>
        <v>04-08-2020</v>
      </c>
      <c r="Z4273" t="str">
        <f>"COS10200804 4881"</f>
        <v>COS10200804 4881</v>
      </c>
    </row>
    <row r="4274" spans="1:26" x14ac:dyDescent="0.25">
      <c r="A4274" t="str">
        <f t="shared" si="1746"/>
        <v>04-08-2020 12:53:46</v>
      </c>
      <c r="B4274" t="str">
        <f>"0000806665"</f>
        <v>0000806665</v>
      </c>
      <c r="C4274" t="str">
        <f t="shared" si="1747"/>
        <v>0000806585</v>
      </c>
      <c r="D4274" t="str">
        <f t="shared" si="1729"/>
        <v>73185</v>
      </c>
      <c r="E4274" t="str">
        <f t="shared" si="1730"/>
        <v>KFH-OPERATIONS DEPARTMENT</v>
      </c>
      <c r="F4274" t="str">
        <f t="shared" si="1731"/>
        <v>IBG</v>
      </c>
      <c r="G4274" t="str">
        <f t="shared" si="1742"/>
        <v>Refund COSHARE 10</v>
      </c>
      <c r="H4274" s="2">
        <v>206.9</v>
      </c>
      <c r="I4274" t="str">
        <f>"JAMILATON RABAIEE BINTI HARIS"</f>
        <v>JAMILATON RABAIEE BINTI HARIS</v>
      </c>
      <c r="J4274" t="str">
        <f t="shared" si="1743"/>
        <v>MAYBANK / MAYBANK ISLAMIC</v>
      </c>
      <c r="K4274" t="str">
        <f>"159012999044"</f>
        <v>159012999044</v>
      </c>
      <c r="L4274" t="str">
        <f t="shared" si="1748"/>
        <v>04-08-2020</v>
      </c>
      <c r="M4274" t="str">
        <f t="shared" si="1748"/>
        <v>04-08-2020</v>
      </c>
      <c r="N4274" t="str">
        <f t="shared" si="1732"/>
        <v>001105018356</v>
      </c>
      <c r="O4274" t="str">
        <f t="shared" si="1733"/>
        <v>MYR</v>
      </c>
      <c r="P4274" t="str">
        <f t="shared" si="1749"/>
        <v>NIL</v>
      </c>
      <c r="Q4274" t="str">
        <f t="shared" si="1749"/>
        <v>NIL</v>
      </c>
      <c r="R4274" t="str">
        <f t="shared" si="1734"/>
        <v>Accepted</v>
      </c>
      <c r="S4274" t="str">
        <f t="shared" si="1735"/>
        <v>Approved</v>
      </c>
      <c r="T4274" t="str">
        <f t="shared" si="1736"/>
        <v>10.20.8.188</v>
      </c>
      <c r="U4274" t="str">
        <f t="shared" si="1737"/>
        <v>AZRAD UMAR BIN SHAARI</v>
      </c>
      <c r="V4274" t="str">
        <f t="shared" si="1738"/>
        <v>FARHANA BINTI MUSTAPA</v>
      </c>
      <c r="W4274" t="str">
        <f t="shared" si="1739"/>
        <v>04-08-2020</v>
      </c>
      <c r="X4274" t="str">
        <f t="shared" si="1740"/>
        <v>RAZIMAH ANSAR AHMAD</v>
      </c>
      <c r="Y4274" t="str">
        <f t="shared" si="1741"/>
        <v>04-08-2020</v>
      </c>
      <c r="Z4274" t="str">
        <f>"COS10200804 4880"</f>
        <v>COS10200804 4880</v>
      </c>
    </row>
    <row r="4275" spans="1:26" x14ac:dyDescent="0.25">
      <c r="A4275" t="str">
        <f t="shared" si="1746"/>
        <v>04-08-2020 12:53:46</v>
      </c>
      <c r="B4275" t="str">
        <f>"0000806664"</f>
        <v>0000806664</v>
      </c>
      <c r="C4275" t="str">
        <f t="shared" si="1747"/>
        <v>0000806585</v>
      </c>
      <c r="D4275" t="str">
        <f t="shared" si="1729"/>
        <v>73185</v>
      </c>
      <c r="E4275" t="str">
        <f t="shared" si="1730"/>
        <v>KFH-OPERATIONS DEPARTMENT</v>
      </c>
      <c r="F4275" t="str">
        <f t="shared" si="1731"/>
        <v>IBG</v>
      </c>
      <c r="G4275" t="str">
        <f t="shared" si="1742"/>
        <v>Refund COSHARE 10</v>
      </c>
      <c r="H4275" s="2">
        <v>75.75</v>
      </c>
      <c r="I4275" t="str">
        <f>"JAMILATON RABAIEE BINTI HARIS"</f>
        <v>JAMILATON RABAIEE BINTI HARIS</v>
      </c>
      <c r="J4275" t="str">
        <f t="shared" si="1743"/>
        <v>MAYBANK / MAYBANK ISLAMIC</v>
      </c>
      <c r="K4275" t="str">
        <f>"159012999044"</f>
        <v>159012999044</v>
      </c>
      <c r="L4275" t="str">
        <f t="shared" si="1748"/>
        <v>04-08-2020</v>
      </c>
      <c r="M4275" t="str">
        <f t="shared" si="1748"/>
        <v>04-08-2020</v>
      </c>
      <c r="N4275" t="str">
        <f t="shared" si="1732"/>
        <v>001105018356</v>
      </c>
      <c r="O4275" t="str">
        <f t="shared" si="1733"/>
        <v>MYR</v>
      </c>
      <c r="P4275" t="str">
        <f t="shared" si="1749"/>
        <v>NIL</v>
      </c>
      <c r="Q4275" t="str">
        <f t="shared" si="1749"/>
        <v>NIL</v>
      </c>
      <c r="R4275" t="str">
        <f t="shared" si="1734"/>
        <v>Accepted</v>
      </c>
      <c r="S4275" t="str">
        <f t="shared" si="1735"/>
        <v>Approved</v>
      </c>
      <c r="T4275" t="str">
        <f t="shared" si="1736"/>
        <v>10.20.8.188</v>
      </c>
      <c r="U4275" t="str">
        <f t="shared" si="1737"/>
        <v>AZRAD UMAR BIN SHAARI</v>
      </c>
      <c r="V4275" t="str">
        <f t="shared" si="1738"/>
        <v>FARHANA BINTI MUSTAPA</v>
      </c>
      <c r="W4275" t="str">
        <f t="shared" si="1739"/>
        <v>04-08-2020</v>
      </c>
      <c r="X4275" t="str">
        <f t="shared" si="1740"/>
        <v>RAZIMAH ANSAR AHMAD</v>
      </c>
      <c r="Y4275" t="str">
        <f t="shared" si="1741"/>
        <v>04-08-2020</v>
      </c>
      <c r="Z4275" t="str">
        <f>"COS10200804 4879"</f>
        <v>COS10200804 4879</v>
      </c>
    </row>
    <row r="4276" spans="1:26" x14ac:dyDescent="0.25">
      <c r="A4276" t="str">
        <f t="shared" si="1746"/>
        <v>04-08-2020 12:53:46</v>
      </c>
      <c r="B4276" t="str">
        <f>"0000806663"</f>
        <v>0000806663</v>
      </c>
      <c r="C4276" t="str">
        <f t="shared" si="1747"/>
        <v>0000806585</v>
      </c>
      <c r="D4276" t="str">
        <f t="shared" si="1729"/>
        <v>73185</v>
      </c>
      <c r="E4276" t="str">
        <f t="shared" si="1730"/>
        <v>KFH-OPERATIONS DEPARTMENT</v>
      </c>
      <c r="F4276" t="str">
        <f t="shared" si="1731"/>
        <v>IBG</v>
      </c>
      <c r="G4276" t="str">
        <f t="shared" si="1742"/>
        <v>Refund COSHARE 10</v>
      </c>
      <c r="H4276" s="2">
        <v>685.2</v>
      </c>
      <c r="I4276" t="str">
        <f>"JAMILAH BINTI PANJANG AHMAD"</f>
        <v>JAMILAH BINTI PANJANG AHMAD</v>
      </c>
      <c r="J4276" t="str">
        <f t="shared" si="1743"/>
        <v>MAYBANK / MAYBANK ISLAMIC</v>
      </c>
      <c r="K4276" t="str">
        <f>"158314091983"</f>
        <v>158314091983</v>
      </c>
      <c r="L4276" t="str">
        <f t="shared" si="1748"/>
        <v>04-08-2020</v>
      </c>
      <c r="M4276" t="str">
        <f t="shared" si="1748"/>
        <v>04-08-2020</v>
      </c>
      <c r="N4276" t="str">
        <f t="shared" si="1732"/>
        <v>001105018356</v>
      </c>
      <c r="O4276" t="str">
        <f t="shared" si="1733"/>
        <v>MYR</v>
      </c>
      <c r="P4276" t="str">
        <f t="shared" si="1749"/>
        <v>NIL</v>
      </c>
      <c r="Q4276" t="str">
        <f t="shared" si="1749"/>
        <v>NIL</v>
      </c>
      <c r="R4276" t="str">
        <f t="shared" si="1734"/>
        <v>Accepted</v>
      </c>
      <c r="S4276" t="str">
        <f t="shared" si="1735"/>
        <v>Approved</v>
      </c>
      <c r="T4276" t="str">
        <f t="shared" si="1736"/>
        <v>10.20.8.188</v>
      </c>
      <c r="U4276" t="str">
        <f t="shared" si="1737"/>
        <v>AZRAD UMAR BIN SHAARI</v>
      </c>
      <c r="V4276" t="str">
        <f t="shared" si="1738"/>
        <v>FARHANA BINTI MUSTAPA</v>
      </c>
      <c r="W4276" t="str">
        <f t="shared" si="1739"/>
        <v>04-08-2020</v>
      </c>
      <c r="X4276" t="str">
        <f t="shared" si="1740"/>
        <v>RAZIMAH ANSAR AHMAD</v>
      </c>
      <c r="Y4276" t="str">
        <f t="shared" si="1741"/>
        <v>04-08-2020</v>
      </c>
      <c r="Z4276" t="str">
        <f>"COS10200804 4878"</f>
        <v>COS10200804 4878</v>
      </c>
    </row>
    <row r="4277" spans="1:26" x14ac:dyDescent="0.25">
      <c r="A4277" t="str">
        <f t="shared" si="1746"/>
        <v>04-08-2020 12:53:46</v>
      </c>
      <c r="B4277" t="str">
        <f>"0000806662"</f>
        <v>0000806662</v>
      </c>
      <c r="C4277" t="str">
        <f t="shared" si="1747"/>
        <v>0000806585</v>
      </c>
      <c r="D4277" t="str">
        <f t="shared" si="1729"/>
        <v>73185</v>
      </c>
      <c r="E4277" t="str">
        <f t="shared" si="1730"/>
        <v>KFH-OPERATIONS DEPARTMENT</v>
      </c>
      <c r="F4277" t="str">
        <f t="shared" si="1731"/>
        <v>IBG</v>
      </c>
      <c r="G4277" t="str">
        <f t="shared" si="1742"/>
        <v>Refund COSHARE 10</v>
      </c>
      <c r="H4277" s="2">
        <v>317.60000000000002</v>
      </c>
      <c r="I4277" t="str">
        <f>"JAMILAH BINTI ISMAIL"</f>
        <v>JAMILAH BINTI ISMAIL</v>
      </c>
      <c r="J4277" t="str">
        <f t="shared" si="1743"/>
        <v>MAYBANK / MAYBANK ISLAMIC</v>
      </c>
      <c r="K4277" t="str">
        <f>"103033232678"</f>
        <v>103033232678</v>
      </c>
      <c r="L4277" t="str">
        <f t="shared" si="1748"/>
        <v>04-08-2020</v>
      </c>
      <c r="M4277" t="str">
        <f t="shared" si="1748"/>
        <v>04-08-2020</v>
      </c>
      <c r="N4277" t="str">
        <f t="shared" si="1732"/>
        <v>001105018356</v>
      </c>
      <c r="O4277" t="str">
        <f t="shared" si="1733"/>
        <v>MYR</v>
      </c>
      <c r="P4277" t="str">
        <f t="shared" si="1749"/>
        <v>NIL</v>
      </c>
      <c r="Q4277" t="str">
        <f t="shared" si="1749"/>
        <v>NIL</v>
      </c>
      <c r="R4277" t="str">
        <f t="shared" si="1734"/>
        <v>Accepted</v>
      </c>
      <c r="S4277" t="str">
        <f t="shared" si="1735"/>
        <v>Approved</v>
      </c>
      <c r="T4277" t="str">
        <f t="shared" si="1736"/>
        <v>10.20.8.188</v>
      </c>
      <c r="U4277" t="str">
        <f t="shared" si="1737"/>
        <v>AZRAD UMAR BIN SHAARI</v>
      </c>
      <c r="V4277" t="str">
        <f t="shared" si="1738"/>
        <v>FARHANA BINTI MUSTAPA</v>
      </c>
      <c r="W4277" t="str">
        <f t="shared" si="1739"/>
        <v>04-08-2020</v>
      </c>
      <c r="X4277" t="str">
        <f t="shared" si="1740"/>
        <v>RAZIMAH ANSAR AHMAD</v>
      </c>
      <c r="Y4277" t="str">
        <f t="shared" si="1741"/>
        <v>04-08-2020</v>
      </c>
      <c r="Z4277" t="str">
        <f>"COS10200804 4877"</f>
        <v>COS10200804 4877</v>
      </c>
    </row>
    <row r="4278" spans="1:26" x14ac:dyDescent="0.25">
      <c r="A4278" t="str">
        <f t="shared" si="1746"/>
        <v>04-08-2020 12:53:46</v>
      </c>
      <c r="B4278" t="str">
        <f>"0000806661"</f>
        <v>0000806661</v>
      </c>
      <c r="C4278" t="str">
        <f t="shared" si="1747"/>
        <v>0000806585</v>
      </c>
      <c r="D4278" t="str">
        <f t="shared" si="1729"/>
        <v>73185</v>
      </c>
      <c r="E4278" t="str">
        <f t="shared" si="1730"/>
        <v>KFH-OPERATIONS DEPARTMENT</v>
      </c>
      <c r="F4278" t="str">
        <f t="shared" si="1731"/>
        <v>IBG</v>
      </c>
      <c r="G4278" t="str">
        <f t="shared" si="1742"/>
        <v>Refund COSHARE 10</v>
      </c>
      <c r="H4278" s="2">
        <v>814.35</v>
      </c>
      <c r="I4278" t="str">
        <f>"JAMIAH BINTI DUAJI"</f>
        <v>JAMIAH BINTI DUAJI</v>
      </c>
      <c r="J4278" t="str">
        <f t="shared" si="1743"/>
        <v>MAYBANK / MAYBANK ISLAMIC</v>
      </c>
      <c r="K4278" t="str">
        <f>"164481002944"</f>
        <v>164481002944</v>
      </c>
      <c r="L4278" t="str">
        <f t="shared" si="1748"/>
        <v>04-08-2020</v>
      </c>
      <c r="M4278" t="str">
        <f t="shared" si="1748"/>
        <v>04-08-2020</v>
      </c>
      <c r="N4278" t="str">
        <f t="shared" si="1732"/>
        <v>001105018356</v>
      </c>
      <c r="O4278" t="str">
        <f t="shared" si="1733"/>
        <v>MYR</v>
      </c>
      <c r="P4278" t="str">
        <f t="shared" si="1749"/>
        <v>NIL</v>
      </c>
      <c r="Q4278" t="str">
        <f t="shared" si="1749"/>
        <v>NIL</v>
      </c>
      <c r="R4278" t="str">
        <f t="shared" si="1734"/>
        <v>Accepted</v>
      </c>
      <c r="S4278" t="str">
        <f t="shared" si="1735"/>
        <v>Approved</v>
      </c>
      <c r="T4278" t="str">
        <f t="shared" si="1736"/>
        <v>10.20.8.188</v>
      </c>
      <c r="U4278" t="str">
        <f t="shared" si="1737"/>
        <v>AZRAD UMAR BIN SHAARI</v>
      </c>
      <c r="V4278" t="str">
        <f t="shared" si="1738"/>
        <v>FARHANA BINTI MUSTAPA</v>
      </c>
      <c r="W4278" t="str">
        <f t="shared" si="1739"/>
        <v>04-08-2020</v>
      </c>
      <c r="X4278" t="str">
        <f t="shared" si="1740"/>
        <v>RAZIMAH ANSAR AHMAD</v>
      </c>
      <c r="Y4278" t="str">
        <f t="shared" si="1741"/>
        <v>04-08-2020</v>
      </c>
      <c r="Z4278" t="str">
        <f>"COS10200804 4876"</f>
        <v>COS10200804 4876</v>
      </c>
    </row>
    <row r="4279" spans="1:26" x14ac:dyDescent="0.25">
      <c r="A4279" t="str">
        <f t="shared" si="1746"/>
        <v>04-08-2020 12:53:46</v>
      </c>
      <c r="B4279" t="str">
        <f>"0000806660"</f>
        <v>0000806660</v>
      </c>
      <c r="C4279" t="str">
        <f t="shared" si="1747"/>
        <v>0000806585</v>
      </c>
      <c r="D4279" t="str">
        <f t="shared" si="1729"/>
        <v>73185</v>
      </c>
      <c r="E4279" t="str">
        <f t="shared" si="1730"/>
        <v>KFH-OPERATIONS DEPARTMENT</v>
      </c>
      <c r="F4279" t="str">
        <f t="shared" si="1731"/>
        <v>IBG</v>
      </c>
      <c r="G4279" t="str">
        <f t="shared" si="1742"/>
        <v>Refund COSHARE 10</v>
      </c>
      <c r="H4279" s="2">
        <v>781</v>
      </c>
      <c r="I4279" t="str">
        <f>"JAMEL BIN SULAIMAN"</f>
        <v>JAMEL BIN SULAIMAN</v>
      </c>
      <c r="J4279" t="str">
        <f t="shared" si="1743"/>
        <v>MAYBANK / MAYBANK ISLAMIC</v>
      </c>
      <c r="K4279" t="str">
        <f>"161190030559"</f>
        <v>161190030559</v>
      </c>
      <c r="L4279" t="str">
        <f t="shared" si="1748"/>
        <v>04-08-2020</v>
      </c>
      <c r="M4279" t="str">
        <f t="shared" si="1748"/>
        <v>04-08-2020</v>
      </c>
      <c r="N4279" t="str">
        <f t="shared" si="1732"/>
        <v>001105018356</v>
      </c>
      <c r="O4279" t="str">
        <f t="shared" si="1733"/>
        <v>MYR</v>
      </c>
      <c r="P4279" t="str">
        <f t="shared" si="1749"/>
        <v>NIL</v>
      </c>
      <c r="Q4279" t="str">
        <f t="shared" si="1749"/>
        <v>NIL</v>
      </c>
      <c r="R4279" t="str">
        <f t="shared" si="1734"/>
        <v>Accepted</v>
      </c>
      <c r="S4279" t="str">
        <f t="shared" si="1735"/>
        <v>Approved</v>
      </c>
      <c r="T4279" t="str">
        <f t="shared" si="1736"/>
        <v>10.20.8.188</v>
      </c>
      <c r="U4279" t="str">
        <f t="shared" si="1737"/>
        <v>AZRAD UMAR BIN SHAARI</v>
      </c>
      <c r="V4279" t="str">
        <f t="shared" si="1738"/>
        <v>FARHANA BINTI MUSTAPA</v>
      </c>
      <c r="W4279" t="str">
        <f t="shared" si="1739"/>
        <v>04-08-2020</v>
      </c>
      <c r="X4279" t="str">
        <f t="shared" si="1740"/>
        <v>RAZIMAH ANSAR AHMAD</v>
      </c>
      <c r="Y4279" t="str">
        <f t="shared" si="1741"/>
        <v>04-08-2020</v>
      </c>
      <c r="Z4279" t="str">
        <f>"COS10200804 4875"</f>
        <v>COS10200804 4875</v>
      </c>
    </row>
    <row r="4280" spans="1:26" x14ac:dyDescent="0.25">
      <c r="A4280" t="str">
        <f t="shared" si="1746"/>
        <v>04-08-2020 12:53:46</v>
      </c>
      <c r="B4280" t="str">
        <f>"0000806659"</f>
        <v>0000806659</v>
      </c>
      <c r="C4280" t="str">
        <f t="shared" si="1747"/>
        <v>0000806585</v>
      </c>
      <c r="D4280" t="str">
        <f t="shared" si="1729"/>
        <v>73185</v>
      </c>
      <c r="E4280" t="str">
        <f t="shared" si="1730"/>
        <v>KFH-OPERATIONS DEPARTMENT</v>
      </c>
      <c r="F4280" t="str">
        <f t="shared" si="1731"/>
        <v>IBG</v>
      </c>
      <c r="G4280" t="str">
        <f t="shared" si="1742"/>
        <v>Refund COSHARE 10</v>
      </c>
      <c r="H4280" s="2">
        <v>867</v>
      </c>
      <c r="I4280" t="str">
        <f>"JAMALULUIL BIN MOHD ZAMANI"</f>
        <v>JAMALULUIL BIN MOHD ZAMANI</v>
      </c>
      <c r="J4280" t="str">
        <f t="shared" si="1743"/>
        <v>MAYBANK / MAYBANK ISLAMIC</v>
      </c>
      <c r="K4280" t="str">
        <f>"162049741140"</f>
        <v>162049741140</v>
      </c>
      <c r="L4280" t="str">
        <f t="shared" si="1748"/>
        <v>04-08-2020</v>
      </c>
      <c r="M4280" t="str">
        <f t="shared" si="1748"/>
        <v>04-08-2020</v>
      </c>
      <c r="N4280" t="str">
        <f t="shared" si="1732"/>
        <v>001105018356</v>
      </c>
      <c r="O4280" t="str">
        <f t="shared" si="1733"/>
        <v>MYR</v>
      </c>
      <c r="P4280" t="str">
        <f t="shared" si="1749"/>
        <v>NIL</v>
      </c>
      <c r="Q4280" t="str">
        <f t="shared" si="1749"/>
        <v>NIL</v>
      </c>
      <c r="R4280" t="str">
        <f t="shared" si="1734"/>
        <v>Accepted</v>
      </c>
      <c r="S4280" t="str">
        <f t="shared" si="1735"/>
        <v>Approved</v>
      </c>
      <c r="T4280" t="str">
        <f t="shared" si="1736"/>
        <v>10.20.8.188</v>
      </c>
      <c r="U4280" t="str">
        <f t="shared" si="1737"/>
        <v>AZRAD UMAR BIN SHAARI</v>
      </c>
      <c r="V4280" t="str">
        <f t="shared" si="1738"/>
        <v>FARHANA BINTI MUSTAPA</v>
      </c>
      <c r="W4280" t="str">
        <f t="shared" si="1739"/>
        <v>04-08-2020</v>
      </c>
      <c r="X4280" t="str">
        <f t="shared" si="1740"/>
        <v>RAZIMAH ANSAR AHMAD</v>
      </c>
      <c r="Y4280" t="str">
        <f t="shared" si="1741"/>
        <v>04-08-2020</v>
      </c>
      <c r="Z4280" t="str">
        <f>"COS10200804 4874"</f>
        <v>COS10200804 4874</v>
      </c>
    </row>
    <row r="4281" spans="1:26" x14ac:dyDescent="0.25">
      <c r="A4281" t="str">
        <f t="shared" si="1746"/>
        <v>04-08-2020 12:53:46</v>
      </c>
      <c r="B4281" t="str">
        <f>"0000806658"</f>
        <v>0000806658</v>
      </c>
      <c r="C4281" t="str">
        <f t="shared" si="1747"/>
        <v>0000806585</v>
      </c>
      <c r="D4281" t="str">
        <f t="shared" si="1729"/>
        <v>73185</v>
      </c>
      <c r="E4281" t="str">
        <f t="shared" si="1730"/>
        <v>KFH-OPERATIONS DEPARTMENT</v>
      </c>
      <c r="F4281" t="str">
        <f t="shared" si="1731"/>
        <v>IBG</v>
      </c>
      <c r="G4281" t="str">
        <f t="shared" si="1742"/>
        <v>Refund COSHARE 10</v>
      </c>
      <c r="H4281" s="2">
        <v>257.25</v>
      </c>
      <c r="I4281" t="str">
        <f>"JAMALULAILI BIN SELAMAT"</f>
        <v>JAMALULAILI BIN SELAMAT</v>
      </c>
      <c r="J4281" t="str">
        <f t="shared" si="1743"/>
        <v>MAYBANK / MAYBANK ISLAMIC</v>
      </c>
      <c r="K4281" t="str">
        <f>"101254115684"</f>
        <v>101254115684</v>
      </c>
      <c r="L4281" t="str">
        <f t="shared" si="1748"/>
        <v>04-08-2020</v>
      </c>
      <c r="M4281" t="str">
        <f t="shared" si="1748"/>
        <v>04-08-2020</v>
      </c>
      <c r="N4281" t="str">
        <f t="shared" si="1732"/>
        <v>001105018356</v>
      </c>
      <c r="O4281" t="str">
        <f t="shared" si="1733"/>
        <v>MYR</v>
      </c>
      <c r="P4281" t="str">
        <f t="shared" si="1749"/>
        <v>NIL</v>
      </c>
      <c r="Q4281" t="str">
        <f t="shared" si="1749"/>
        <v>NIL</v>
      </c>
      <c r="R4281" t="str">
        <f t="shared" si="1734"/>
        <v>Accepted</v>
      </c>
      <c r="S4281" t="str">
        <f t="shared" si="1735"/>
        <v>Approved</v>
      </c>
      <c r="T4281" t="str">
        <f t="shared" si="1736"/>
        <v>10.20.8.188</v>
      </c>
      <c r="U4281" t="str">
        <f t="shared" si="1737"/>
        <v>AZRAD UMAR BIN SHAARI</v>
      </c>
      <c r="V4281" t="str">
        <f t="shared" si="1738"/>
        <v>FARHANA BINTI MUSTAPA</v>
      </c>
      <c r="W4281" t="str">
        <f t="shared" si="1739"/>
        <v>04-08-2020</v>
      </c>
      <c r="X4281" t="str">
        <f t="shared" si="1740"/>
        <v>RAZIMAH ANSAR AHMAD</v>
      </c>
      <c r="Y4281" t="str">
        <f t="shared" si="1741"/>
        <v>04-08-2020</v>
      </c>
      <c r="Z4281" t="str">
        <f>"COS10200804 4873"</f>
        <v>COS10200804 4873</v>
      </c>
    </row>
    <row r="4282" spans="1:26" x14ac:dyDescent="0.25">
      <c r="A4282" t="str">
        <f t="shared" ref="A4282:A4313" si="1750">"04-08-2020 12:53:46"</f>
        <v>04-08-2020 12:53:46</v>
      </c>
      <c r="B4282" t="str">
        <f>"0000806657"</f>
        <v>0000806657</v>
      </c>
      <c r="C4282" t="str">
        <f t="shared" ref="C4282:C4313" si="1751">"0000806585"</f>
        <v>0000806585</v>
      </c>
      <c r="D4282" t="str">
        <f t="shared" si="1729"/>
        <v>73185</v>
      </c>
      <c r="E4282" t="str">
        <f t="shared" si="1730"/>
        <v>KFH-OPERATIONS DEPARTMENT</v>
      </c>
      <c r="F4282" t="str">
        <f t="shared" si="1731"/>
        <v>IBG</v>
      </c>
      <c r="G4282" t="str">
        <f t="shared" si="1742"/>
        <v>Refund COSHARE 10</v>
      </c>
      <c r="H4282" s="2">
        <v>292.75</v>
      </c>
      <c r="I4282" t="str">
        <f>"JAMALUDDIN BIN HASHIM"</f>
        <v>JAMALUDDIN BIN HASHIM</v>
      </c>
      <c r="J4282" t="str">
        <f t="shared" si="1743"/>
        <v>MAYBANK / MAYBANK ISLAMIC</v>
      </c>
      <c r="K4282" t="str">
        <f>"151212682138"</f>
        <v>151212682138</v>
      </c>
      <c r="L4282" t="str">
        <f t="shared" si="1748"/>
        <v>04-08-2020</v>
      </c>
      <c r="M4282" t="str">
        <f t="shared" si="1748"/>
        <v>04-08-2020</v>
      </c>
      <c r="N4282" t="str">
        <f t="shared" si="1732"/>
        <v>001105018356</v>
      </c>
      <c r="O4282" t="str">
        <f t="shared" si="1733"/>
        <v>MYR</v>
      </c>
      <c r="P4282" t="str">
        <f t="shared" si="1749"/>
        <v>NIL</v>
      </c>
      <c r="Q4282" t="str">
        <f t="shared" si="1749"/>
        <v>NIL</v>
      </c>
      <c r="R4282" t="str">
        <f t="shared" si="1734"/>
        <v>Accepted</v>
      </c>
      <c r="S4282" t="str">
        <f t="shared" si="1735"/>
        <v>Approved</v>
      </c>
      <c r="T4282" t="str">
        <f t="shared" si="1736"/>
        <v>10.20.8.188</v>
      </c>
      <c r="U4282" t="str">
        <f t="shared" si="1737"/>
        <v>AZRAD UMAR BIN SHAARI</v>
      </c>
      <c r="V4282" t="str">
        <f t="shared" si="1738"/>
        <v>FARHANA BINTI MUSTAPA</v>
      </c>
      <c r="W4282" t="str">
        <f t="shared" si="1739"/>
        <v>04-08-2020</v>
      </c>
      <c r="X4282" t="str">
        <f t="shared" si="1740"/>
        <v>RAZIMAH ANSAR AHMAD</v>
      </c>
      <c r="Y4282" t="str">
        <f t="shared" si="1741"/>
        <v>04-08-2020</v>
      </c>
      <c r="Z4282" t="str">
        <f>"COS10200804 4872"</f>
        <v>COS10200804 4872</v>
      </c>
    </row>
    <row r="4283" spans="1:26" x14ac:dyDescent="0.25">
      <c r="A4283" t="str">
        <f t="shared" si="1750"/>
        <v>04-08-2020 12:53:46</v>
      </c>
      <c r="B4283" t="str">
        <f>"0000806656"</f>
        <v>0000806656</v>
      </c>
      <c r="C4283" t="str">
        <f t="shared" si="1751"/>
        <v>0000806585</v>
      </c>
      <c r="D4283" t="str">
        <f t="shared" si="1729"/>
        <v>73185</v>
      </c>
      <c r="E4283" t="str">
        <f t="shared" si="1730"/>
        <v>KFH-OPERATIONS DEPARTMENT</v>
      </c>
      <c r="F4283" t="str">
        <f t="shared" si="1731"/>
        <v>IBG</v>
      </c>
      <c r="G4283" t="str">
        <f t="shared" si="1742"/>
        <v>Refund COSHARE 10</v>
      </c>
      <c r="H4283" s="2">
        <v>982</v>
      </c>
      <c r="I4283" t="str">
        <f>"JAMALIAH BINTI MOHAMED YUSOP"</f>
        <v>JAMALIAH BINTI MOHAMED YUSOP</v>
      </c>
      <c r="J4283" t="str">
        <f t="shared" si="1743"/>
        <v>MAYBANK / MAYBANK ISLAMIC</v>
      </c>
      <c r="K4283" t="str">
        <f>"151306667951"</f>
        <v>151306667951</v>
      </c>
      <c r="L4283" t="str">
        <f t="shared" si="1748"/>
        <v>04-08-2020</v>
      </c>
      <c r="M4283" t="str">
        <f t="shared" si="1748"/>
        <v>04-08-2020</v>
      </c>
      <c r="N4283" t="str">
        <f t="shared" si="1732"/>
        <v>001105018356</v>
      </c>
      <c r="O4283" t="str">
        <f t="shared" si="1733"/>
        <v>MYR</v>
      </c>
      <c r="P4283" t="str">
        <f t="shared" si="1749"/>
        <v>NIL</v>
      </c>
      <c r="Q4283" t="str">
        <f t="shared" si="1749"/>
        <v>NIL</v>
      </c>
      <c r="R4283" t="str">
        <f t="shared" si="1734"/>
        <v>Accepted</v>
      </c>
      <c r="S4283" t="str">
        <f t="shared" si="1735"/>
        <v>Approved</v>
      </c>
      <c r="T4283" t="str">
        <f t="shared" si="1736"/>
        <v>10.20.8.188</v>
      </c>
      <c r="U4283" t="str">
        <f t="shared" si="1737"/>
        <v>AZRAD UMAR BIN SHAARI</v>
      </c>
      <c r="V4283" t="str">
        <f t="shared" si="1738"/>
        <v>FARHANA BINTI MUSTAPA</v>
      </c>
      <c r="W4283" t="str">
        <f t="shared" si="1739"/>
        <v>04-08-2020</v>
      </c>
      <c r="X4283" t="str">
        <f t="shared" si="1740"/>
        <v>RAZIMAH ANSAR AHMAD</v>
      </c>
      <c r="Y4283" t="str">
        <f t="shared" si="1741"/>
        <v>04-08-2020</v>
      </c>
      <c r="Z4283" t="str">
        <f>"COS10200804 4871"</f>
        <v>COS10200804 4871</v>
      </c>
    </row>
    <row r="4284" spans="1:26" x14ac:dyDescent="0.25">
      <c r="A4284" t="str">
        <f t="shared" si="1750"/>
        <v>04-08-2020 12:53:46</v>
      </c>
      <c r="B4284" t="str">
        <f>"0000806655"</f>
        <v>0000806655</v>
      </c>
      <c r="C4284" t="str">
        <f t="shared" si="1751"/>
        <v>0000806585</v>
      </c>
      <c r="D4284" t="str">
        <f t="shared" si="1729"/>
        <v>73185</v>
      </c>
      <c r="E4284" t="str">
        <f t="shared" si="1730"/>
        <v>KFH-OPERATIONS DEPARTMENT</v>
      </c>
      <c r="F4284" t="str">
        <f t="shared" si="1731"/>
        <v>IBG</v>
      </c>
      <c r="G4284" t="str">
        <f t="shared" si="1742"/>
        <v>Refund COSHARE 10</v>
      </c>
      <c r="H4284" s="2">
        <v>671.6</v>
      </c>
      <c r="I4284" t="str">
        <f>"JAMALIAH BINTI KAMARUDIN"</f>
        <v>JAMALIAH BINTI KAMARUDIN</v>
      </c>
      <c r="J4284" t="str">
        <f t="shared" si="1743"/>
        <v>MAYBANK / MAYBANK ISLAMIC</v>
      </c>
      <c r="K4284" t="str">
        <f>"162133175823"</f>
        <v>162133175823</v>
      </c>
      <c r="L4284" t="str">
        <f t="shared" si="1748"/>
        <v>04-08-2020</v>
      </c>
      <c r="M4284" t="str">
        <f t="shared" si="1748"/>
        <v>04-08-2020</v>
      </c>
      <c r="N4284" t="str">
        <f t="shared" si="1732"/>
        <v>001105018356</v>
      </c>
      <c r="O4284" t="str">
        <f t="shared" si="1733"/>
        <v>MYR</v>
      </c>
      <c r="P4284" t="str">
        <f t="shared" si="1749"/>
        <v>NIL</v>
      </c>
      <c r="Q4284" t="str">
        <f t="shared" si="1749"/>
        <v>NIL</v>
      </c>
      <c r="R4284" t="str">
        <f t="shared" si="1734"/>
        <v>Accepted</v>
      </c>
      <c r="S4284" t="str">
        <f t="shared" si="1735"/>
        <v>Approved</v>
      </c>
      <c r="T4284" t="str">
        <f t="shared" si="1736"/>
        <v>10.20.8.188</v>
      </c>
      <c r="U4284" t="str">
        <f t="shared" si="1737"/>
        <v>AZRAD UMAR BIN SHAARI</v>
      </c>
      <c r="V4284" t="str">
        <f t="shared" si="1738"/>
        <v>FARHANA BINTI MUSTAPA</v>
      </c>
      <c r="W4284" t="str">
        <f t="shared" si="1739"/>
        <v>04-08-2020</v>
      </c>
      <c r="X4284" t="str">
        <f t="shared" si="1740"/>
        <v>RAZIMAH ANSAR AHMAD</v>
      </c>
      <c r="Y4284" t="str">
        <f t="shared" si="1741"/>
        <v>04-08-2020</v>
      </c>
      <c r="Z4284" t="str">
        <f>"COS10200804 4870"</f>
        <v>COS10200804 4870</v>
      </c>
    </row>
    <row r="4285" spans="1:26" x14ac:dyDescent="0.25">
      <c r="A4285" t="str">
        <f t="shared" si="1750"/>
        <v>04-08-2020 12:53:46</v>
      </c>
      <c r="B4285" t="str">
        <f>"0000806654"</f>
        <v>0000806654</v>
      </c>
      <c r="C4285" t="str">
        <f t="shared" si="1751"/>
        <v>0000806585</v>
      </c>
      <c r="D4285" t="str">
        <f t="shared" si="1729"/>
        <v>73185</v>
      </c>
      <c r="E4285" t="str">
        <f t="shared" si="1730"/>
        <v>KFH-OPERATIONS DEPARTMENT</v>
      </c>
      <c r="F4285" t="str">
        <f t="shared" si="1731"/>
        <v>IBG</v>
      </c>
      <c r="G4285" t="str">
        <f t="shared" si="1742"/>
        <v>Refund COSHARE 10</v>
      </c>
      <c r="H4285" s="2">
        <v>142.75</v>
      </c>
      <c r="I4285" t="str">
        <f>"JAMAAH BINTI ABU"</f>
        <v>JAMAAH BINTI ABU</v>
      </c>
      <c r="J4285" t="str">
        <f t="shared" si="1743"/>
        <v>MAYBANK / MAYBANK ISLAMIC</v>
      </c>
      <c r="K4285" t="str">
        <f>"162133180042"</f>
        <v>162133180042</v>
      </c>
      <c r="L4285" t="str">
        <f t="shared" si="1748"/>
        <v>04-08-2020</v>
      </c>
      <c r="M4285" t="str">
        <f t="shared" si="1748"/>
        <v>04-08-2020</v>
      </c>
      <c r="N4285" t="str">
        <f t="shared" si="1732"/>
        <v>001105018356</v>
      </c>
      <c r="O4285" t="str">
        <f t="shared" si="1733"/>
        <v>MYR</v>
      </c>
      <c r="P4285" t="str">
        <f t="shared" si="1749"/>
        <v>NIL</v>
      </c>
      <c r="Q4285" t="str">
        <f t="shared" si="1749"/>
        <v>NIL</v>
      </c>
      <c r="R4285" t="str">
        <f t="shared" si="1734"/>
        <v>Accepted</v>
      </c>
      <c r="S4285" t="str">
        <f t="shared" si="1735"/>
        <v>Approved</v>
      </c>
      <c r="T4285" t="str">
        <f t="shared" si="1736"/>
        <v>10.20.8.188</v>
      </c>
      <c r="U4285" t="str">
        <f t="shared" si="1737"/>
        <v>AZRAD UMAR BIN SHAARI</v>
      </c>
      <c r="V4285" t="str">
        <f t="shared" si="1738"/>
        <v>FARHANA BINTI MUSTAPA</v>
      </c>
      <c r="W4285" t="str">
        <f t="shared" si="1739"/>
        <v>04-08-2020</v>
      </c>
      <c r="X4285" t="str">
        <f t="shared" si="1740"/>
        <v>RAZIMAH ANSAR AHMAD</v>
      </c>
      <c r="Y4285" t="str">
        <f t="shared" si="1741"/>
        <v>04-08-2020</v>
      </c>
      <c r="Z4285" t="str">
        <f>"COS10200804 4869"</f>
        <v>COS10200804 4869</v>
      </c>
    </row>
    <row r="4286" spans="1:26" x14ac:dyDescent="0.25">
      <c r="A4286" t="str">
        <f t="shared" si="1750"/>
        <v>04-08-2020 12:53:46</v>
      </c>
      <c r="B4286" t="str">
        <f>"0000806653"</f>
        <v>0000806653</v>
      </c>
      <c r="C4286" t="str">
        <f t="shared" si="1751"/>
        <v>0000806585</v>
      </c>
      <c r="D4286" t="str">
        <f t="shared" si="1729"/>
        <v>73185</v>
      </c>
      <c r="E4286" t="str">
        <f t="shared" si="1730"/>
        <v>KFH-OPERATIONS DEPARTMENT</v>
      </c>
      <c r="F4286" t="str">
        <f t="shared" si="1731"/>
        <v>IBG</v>
      </c>
      <c r="G4286" t="str">
        <f t="shared" si="1742"/>
        <v>Refund COSHARE 10</v>
      </c>
      <c r="H4286" s="2">
        <v>508.15</v>
      </c>
      <c r="I4286" t="str">
        <f>"JAM ARIF BIN ABD WAHAB"</f>
        <v>JAM ARIF BIN ABD WAHAB</v>
      </c>
      <c r="J4286" t="str">
        <f t="shared" si="1743"/>
        <v>MAYBANK / MAYBANK ISLAMIC</v>
      </c>
      <c r="K4286" t="str">
        <f>"158118083131"</f>
        <v>158118083131</v>
      </c>
      <c r="L4286" t="str">
        <f t="shared" si="1748"/>
        <v>04-08-2020</v>
      </c>
      <c r="M4286" t="str">
        <f t="shared" si="1748"/>
        <v>04-08-2020</v>
      </c>
      <c r="N4286" t="str">
        <f t="shared" si="1732"/>
        <v>001105018356</v>
      </c>
      <c r="O4286" t="str">
        <f t="shared" si="1733"/>
        <v>MYR</v>
      </c>
      <c r="P4286" t="str">
        <f t="shared" si="1749"/>
        <v>NIL</v>
      </c>
      <c r="Q4286" t="str">
        <f t="shared" si="1749"/>
        <v>NIL</v>
      </c>
      <c r="R4286" t="str">
        <f t="shared" si="1734"/>
        <v>Accepted</v>
      </c>
      <c r="S4286" t="str">
        <f t="shared" si="1735"/>
        <v>Approved</v>
      </c>
      <c r="T4286" t="str">
        <f t="shared" si="1736"/>
        <v>10.20.8.188</v>
      </c>
      <c r="U4286" t="str">
        <f t="shared" si="1737"/>
        <v>AZRAD UMAR BIN SHAARI</v>
      </c>
      <c r="V4286" t="str">
        <f t="shared" si="1738"/>
        <v>FARHANA BINTI MUSTAPA</v>
      </c>
      <c r="W4286" t="str">
        <f t="shared" si="1739"/>
        <v>04-08-2020</v>
      </c>
      <c r="X4286" t="str">
        <f t="shared" si="1740"/>
        <v>RAZIMAH ANSAR AHMAD</v>
      </c>
      <c r="Y4286" t="str">
        <f t="shared" si="1741"/>
        <v>04-08-2020</v>
      </c>
      <c r="Z4286" t="str">
        <f>"COS10200804 4868"</f>
        <v>COS10200804 4868</v>
      </c>
    </row>
    <row r="4287" spans="1:26" x14ac:dyDescent="0.25">
      <c r="A4287" t="str">
        <f t="shared" si="1750"/>
        <v>04-08-2020 12:53:46</v>
      </c>
      <c r="B4287" t="str">
        <f>"0000806652"</f>
        <v>0000806652</v>
      </c>
      <c r="C4287" t="str">
        <f t="shared" si="1751"/>
        <v>0000806585</v>
      </c>
      <c r="D4287" t="str">
        <f t="shared" si="1729"/>
        <v>73185</v>
      </c>
      <c r="E4287" t="str">
        <f t="shared" si="1730"/>
        <v>KFH-OPERATIONS DEPARTMENT</v>
      </c>
      <c r="F4287" t="str">
        <f t="shared" si="1731"/>
        <v>IBG</v>
      </c>
      <c r="G4287" t="str">
        <f t="shared" si="1742"/>
        <v>Refund COSHARE 10</v>
      </c>
      <c r="H4287" s="2">
        <v>260.25</v>
      </c>
      <c r="I4287" t="str">
        <f>"JALIL BIN PARASIL"</f>
        <v>JALIL BIN PARASIL</v>
      </c>
      <c r="J4287" t="str">
        <f t="shared" si="1743"/>
        <v>MAYBANK / MAYBANK ISLAMIC</v>
      </c>
      <c r="K4287" t="str">
        <f>"110023059391"</f>
        <v>110023059391</v>
      </c>
      <c r="L4287" t="str">
        <f t="shared" ref="L4287:M4306" si="1752">"04-08-2020"</f>
        <v>04-08-2020</v>
      </c>
      <c r="M4287" t="str">
        <f t="shared" si="1752"/>
        <v>04-08-2020</v>
      </c>
      <c r="N4287" t="str">
        <f t="shared" si="1732"/>
        <v>001105018356</v>
      </c>
      <c r="O4287" t="str">
        <f t="shared" si="1733"/>
        <v>MYR</v>
      </c>
      <c r="P4287" t="str">
        <f t="shared" ref="P4287:Q4306" si="1753">"NIL"</f>
        <v>NIL</v>
      </c>
      <c r="Q4287" t="str">
        <f t="shared" si="1753"/>
        <v>NIL</v>
      </c>
      <c r="R4287" t="str">
        <f t="shared" si="1734"/>
        <v>Accepted</v>
      </c>
      <c r="S4287" t="str">
        <f t="shared" si="1735"/>
        <v>Approved</v>
      </c>
      <c r="T4287" t="str">
        <f t="shared" si="1736"/>
        <v>10.20.8.188</v>
      </c>
      <c r="U4287" t="str">
        <f t="shared" si="1737"/>
        <v>AZRAD UMAR BIN SHAARI</v>
      </c>
      <c r="V4287" t="str">
        <f t="shared" si="1738"/>
        <v>FARHANA BINTI MUSTAPA</v>
      </c>
      <c r="W4287" t="str">
        <f t="shared" si="1739"/>
        <v>04-08-2020</v>
      </c>
      <c r="X4287" t="str">
        <f t="shared" si="1740"/>
        <v>RAZIMAH ANSAR AHMAD</v>
      </c>
      <c r="Y4287" t="str">
        <f t="shared" si="1741"/>
        <v>04-08-2020</v>
      </c>
      <c r="Z4287" t="str">
        <f>"COS10200804 4867"</f>
        <v>COS10200804 4867</v>
      </c>
    </row>
    <row r="4288" spans="1:26" x14ac:dyDescent="0.25">
      <c r="A4288" t="str">
        <f t="shared" si="1750"/>
        <v>04-08-2020 12:53:46</v>
      </c>
      <c r="B4288" t="str">
        <f>"0000806651"</f>
        <v>0000806651</v>
      </c>
      <c r="C4288" t="str">
        <f t="shared" si="1751"/>
        <v>0000806585</v>
      </c>
      <c r="D4288" t="str">
        <f t="shared" si="1729"/>
        <v>73185</v>
      </c>
      <c r="E4288" t="str">
        <f t="shared" si="1730"/>
        <v>KFH-OPERATIONS DEPARTMENT</v>
      </c>
      <c r="F4288" t="str">
        <f t="shared" si="1731"/>
        <v>IBG</v>
      </c>
      <c r="G4288" t="str">
        <f t="shared" si="1742"/>
        <v>Refund COSHARE 10</v>
      </c>
      <c r="H4288" s="2">
        <v>83.95</v>
      </c>
      <c r="I4288" t="str">
        <f>"JAKIMIN BIN MANGGI"</f>
        <v>JAKIMIN BIN MANGGI</v>
      </c>
      <c r="J4288" t="str">
        <f t="shared" si="1743"/>
        <v>MAYBANK / MAYBANK ISLAMIC</v>
      </c>
      <c r="K4288" t="str">
        <f>"110022370425"</f>
        <v>110022370425</v>
      </c>
      <c r="L4288" t="str">
        <f t="shared" si="1752"/>
        <v>04-08-2020</v>
      </c>
      <c r="M4288" t="str">
        <f t="shared" si="1752"/>
        <v>04-08-2020</v>
      </c>
      <c r="N4288" t="str">
        <f t="shared" si="1732"/>
        <v>001105018356</v>
      </c>
      <c r="O4288" t="str">
        <f t="shared" si="1733"/>
        <v>MYR</v>
      </c>
      <c r="P4288" t="str">
        <f t="shared" si="1753"/>
        <v>NIL</v>
      </c>
      <c r="Q4288" t="str">
        <f t="shared" si="1753"/>
        <v>NIL</v>
      </c>
      <c r="R4288" t="str">
        <f t="shared" si="1734"/>
        <v>Accepted</v>
      </c>
      <c r="S4288" t="str">
        <f t="shared" si="1735"/>
        <v>Approved</v>
      </c>
      <c r="T4288" t="str">
        <f t="shared" si="1736"/>
        <v>10.20.8.188</v>
      </c>
      <c r="U4288" t="str">
        <f t="shared" si="1737"/>
        <v>AZRAD UMAR BIN SHAARI</v>
      </c>
      <c r="V4288" t="str">
        <f t="shared" si="1738"/>
        <v>FARHANA BINTI MUSTAPA</v>
      </c>
      <c r="W4288" t="str">
        <f t="shared" si="1739"/>
        <v>04-08-2020</v>
      </c>
      <c r="X4288" t="str">
        <f t="shared" si="1740"/>
        <v>RAZIMAH ANSAR AHMAD</v>
      </c>
      <c r="Y4288" t="str">
        <f t="shared" si="1741"/>
        <v>04-08-2020</v>
      </c>
      <c r="Z4288" t="str">
        <f>"COS10200804 4866"</f>
        <v>COS10200804 4866</v>
      </c>
    </row>
    <row r="4289" spans="1:26" x14ac:dyDescent="0.25">
      <c r="A4289" t="str">
        <f t="shared" si="1750"/>
        <v>04-08-2020 12:53:46</v>
      </c>
      <c r="B4289" t="str">
        <f>"0000806650"</f>
        <v>0000806650</v>
      </c>
      <c r="C4289" t="str">
        <f t="shared" si="1751"/>
        <v>0000806585</v>
      </c>
      <c r="D4289" t="str">
        <f t="shared" si="1729"/>
        <v>73185</v>
      </c>
      <c r="E4289" t="str">
        <f t="shared" si="1730"/>
        <v>KFH-OPERATIONS DEPARTMENT</v>
      </c>
      <c r="F4289" t="str">
        <f t="shared" si="1731"/>
        <v>IBG</v>
      </c>
      <c r="G4289" t="str">
        <f t="shared" si="1742"/>
        <v>Refund COSHARE 10</v>
      </c>
      <c r="H4289" s="2">
        <v>1724</v>
      </c>
      <c r="I4289" t="str">
        <f>"JAILANI BIN ABDULLAH"</f>
        <v>JAILANI BIN ABDULLAH</v>
      </c>
      <c r="J4289" t="str">
        <f t="shared" si="1743"/>
        <v>MAYBANK / MAYBANK ISLAMIC</v>
      </c>
      <c r="K4289" t="str">
        <f>"162218018736"</f>
        <v>162218018736</v>
      </c>
      <c r="L4289" t="str">
        <f t="shared" si="1752"/>
        <v>04-08-2020</v>
      </c>
      <c r="M4289" t="str">
        <f t="shared" si="1752"/>
        <v>04-08-2020</v>
      </c>
      <c r="N4289" t="str">
        <f t="shared" si="1732"/>
        <v>001105018356</v>
      </c>
      <c r="O4289" t="str">
        <f t="shared" si="1733"/>
        <v>MYR</v>
      </c>
      <c r="P4289" t="str">
        <f t="shared" si="1753"/>
        <v>NIL</v>
      </c>
      <c r="Q4289" t="str">
        <f t="shared" si="1753"/>
        <v>NIL</v>
      </c>
      <c r="R4289" t="str">
        <f t="shared" si="1734"/>
        <v>Accepted</v>
      </c>
      <c r="S4289" t="str">
        <f t="shared" si="1735"/>
        <v>Approved</v>
      </c>
      <c r="T4289" t="str">
        <f t="shared" si="1736"/>
        <v>10.20.8.188</v>
      </c>
      <c r="U4289" t="str">
        <f t="shared" si="1737"/>
        <v>AZRAD UMAR BIN SHAARI</v>
      </c>
      <c r="V4289" t="str">
        <f t="shared" si="1738"/>
        <v>FARHANA BINTI MUSTAPA</v>
      </c>
      <c r="W4289" t="str">
        <f t="shared" si="1739"/>
        <v>04-08-2020</v>
      </c>
      <c r="X4289" t="str">
        <f t="shared" si="1740"/>
        <v>RAZIMAH ANSAR AHMAD</v>
      </c>
      <c r="Y4289" t="str">
        <f t="shared" si="1741"/>
        <v>04-08-2020</v>
      </c>
      <c r="Z4289" t="str">
        <f>"COS10200804 4865"</f>
        <v>COS10200804 4865</v>
      </c>
    </row>
    <row r="4290" spans="1:26" x14ac:dyDescent="0.25">
      <c r="A4290" t="str">
        <f t="shared" si="1750"/>
        <v>04-08-2020 12:53:46</v>
      </c>
      <c r="B4290" t="str">
        <f>"0000806649"</f>
        <v>0000806649</v>
      </c>
      <c r="C4290" t="str">
        <f t="shared" si="1751"/>
        <v>0000806585</v>
      </c>
      <c r="D4290" t="str">
        <f t="shared" si="1729"/>
        <v>73185</v>
      </c>
      <c r="E4290" t="str">
        <f t="shared" si="1730"/>
        <v>KFH-OPERATIONS DEPARTMENT</v>
      </c>
      <c r="F4290" t="str">
        <f t="shared" si="1731"/>
        <v>IBG</v>
      </c>
      <c r="G4290" t="str">
        <f t="shared" si="1742"/>
        <v>Refund COSHARE 10</v>
      </c>
      <c r="H4290" s="2">
        <v>251.85</v>
      </c>
      <c r="I4290" t="str">
        <f>"JAIDIN BIN NURDIN"</f>
        <v>JAIDIN BIN NURDIN</v>
      </c>
      <c r="J4290" t="str">
        <f t="shared" si="1743"/>
        <v>MAYBANK / MAYBANK ISLAMIC</v>
      </c>
      <c r="K4290" t="str">
        <f>"164164866008"</f>
        <v>164164866008</v>
      </c>
      <c r="L4290" t="str">
        <f t="shared" si="1752"/>
        <v>04-08-2020</v>
      </c>
      <c r="M4290" t="str">
        <f t="shared" si="1752"/>
        <v>04-08-2020</v>
      </c>
      <c r="N4290" t="str">
        <f t="shared" si="1732"/>
        <v>001105018356</v>
      </c>
      <c r="O4290" t="str">
        <f t="shared" si="1733"/>
        <v>MYR</v>
      </c>
      <c r="P4290" t="str">
        <f t="shared" si="1753"/>
        <v>NIL</v>
      </c>
      <c r="Q4290" t="str">
        <f t="shared" si="1753"/>
        <v>NIL</v>
      </c>
      <c r="R4290" t="str">
        <f t="shared" si="1734"/>
        <v>Accepted</v>
      </c>
      <c r="S4290" t="str">
        <f t="shared" si="1735"/>
        <v>Approved</v>
      </c>
      <c r="T4290" t="str">
        <f t="shared" si="1736"/>
        <v>10.20.8.188</v>
      </c>
      <c r="U4290" t="str">
        <f t="shared" si="1737"/>
        <v>AZRAD UMAR BIN SHAARI</v>
      </c>
      <c r="V4290" t="str">
        <f t="shared" si="1738"/>
        <v>FARHANA BINTI MUSTAPA</v>
      </c>
      <c r="W4290" t="str">
        <f t="shared" si="1739"/>
        <v>04-08-2020</v>
      </c>
      <c r="X4290" t="str">
        <f t="shared" si="1740"/>
        <v>RAZIMAH ANSAR AHMAD</v>
      </c>
      <c r="Y4290" t="str">
        <f t="shared" si="1741"/>
        <v>04-08-2020</v>
      </c>
      <c r="Z4290" t="str">
        <f>"COS10200804 4864"</f>
        <v>COS10200804 4864</v>
      </c>
    </row>
    <row r="4291" spans="1:26" x14ac:dyDescent="0.25">
      <c r="A4291" t="str">
        <f t="shared" si="1750"/>
        <v>04-08-2020 12:53:46</v>
      </c>
      <c r="B4291" t="str">
        <f>"0000806648"</f>
        <v>0000806648</v>
      </c>
      <c r="C4291" t="str">
        <f t="shared" si="1751"/>
        <v>0000806585</v>
      </c>
      <c r="D4291" t="str">
        <f t="shared" si="1729"/>
        <v>73185</v>
      </c>
      <c r="E4291" t="str">
        <f t="shared" si="1730"/>
        <v>KFH-OPERATIONS DEPARTMENT</v>
      </c>
      <c r="F4291" t="str">
        <f t="shared" si="1731"/>
        <v>IBG</v>
      </c>
      <c r="G4291" t="str">
        <f t="shared" si="1742"/>
        <v>Refund COSHARE 10</v>
      </c>
      <c r="H4291" s="2">
        <v>100.75</v>
      </c>
      <c r="I4291" t="str">
        <f>"JAFRIN BIN EMPOK"</f>
        <v>JAFRIN BIN EMPOK</v>
      </c>
      <c r="J4291" t="str">
        <f t="shared" si="1743"/>
        <v>MAYBANK / MAYBANK ISLAMIC</v>
      </c>
      <c r="K4291" t="str">
        <f>"160027291615"</f>
        <v>160027291615</v>
      </c>
      <c r="L4291" t="str">
        <f t="shared" si="1752"/>
        <v>04-08-2020</v>
      </c>
      <c r="M4291" t="str">
        <f t="shared" si="1752"/>
        <v>04-08-2020</v>
      </c>
      <c r="N4291" t="str">
        <f t="shared" si="1732"/>
        <v>001105018356</v>
      </c>
      <c r="O4291" t="str">
        <f t="shared" si="1733"/>
        <v>MYR</v>
      </c>
      <c r="P4291" t="str">
        <f t="shared" si="1753"/>
        <v>NIL</v>
      </c>
      <c r="Q4291" t="str">
        <f t="shared" si="1753"/>
        <v>NIL</v>
      </c>
      <c r="R4291" t="str">
        <f t="shared" si="1734"/>
        <v>Accepted</v>
      </c>
      <c r="S4291" t="str">
        <f t="shared" si="1735"/>
        <v>Approved</v>
      </c>
      <c r="T4291" t="str">
        <f t="shared" si="1736"/>
        <v>10.20.8.188</v>
      </c>
      <c r="U4291" t="str">
        <f t="shared" si="1737"/>
        <v>AZRAD UMAR BIN SHAARI</v>
      </c>
      <c r="V4291" t="str">
        <f t="shared" si="1738"/>
        <v>FARHANA BINTI MUSTAPA</v>
      </c>
      <c r="W4291" t="str">
        <f t="shared" si="1739"/>
        <v>04-08-2020</v>
      </c>
      <c r="X4291" t="str">
        <f t="shared" si="1740"/>
        <v>RAZIMAH ANSAR AHMAD</v>
      </c>
      <c r="Y4291" t="str">
        <f t="shared" si="1741"/>
        <v>04-08-2020</v>
      </c>
      <c r="Z4291" t="str">
        <f>"COS10200804 4863"</f>
        <v>COS10200804 4863</v>
      </c>
    </row>
    <row r="4292" spans="1:26" x14ac:dyDescent="0.25">
      <c r="A4292" t="str">
        <f t="shared" si="1750"/>
        <v>04-08-2020 12:53:46</v>
      </c>
      <c r="B4292" t="str">
        <f>"0000806647"</f>
        <v>0000806647</v>
      </c>
      <c r="C4292" t="str">
        <f t="shared" si="1751"/>
        <v>0000806585</v>
      </c>
      <c r="D4292" t="str">
        <f t="shared" si="1729"/>
        <v>73185</v>
      </c>
      <c r="E4292" t="str">
        <f t="shared" si="1730"/>
        <v>KFH-OPERATIONS DEPARTMENT</v>
      </c>
      <c r="F4292" t="str">
        <f t="shared" si="1731"/>
        <v>IBG</v>
      </c>
      <c r="G4292" t="str">
        <f t="shared" si="1742"/>
        <v>Refund COSHARE 10</v>
      </c>
      <c r="H4292" s="2">
        <v>117.55</v>
      </c>
      <c r="I4292" t="str">
        <f>"JAFFARIZA BIN ISMAIL"</f>
        <v>JAFFARIZA BIN ISMAIL</v>
      </c>
      <c r="J4292" t="str">
        <f t="shared" si="1743"/>
        <v>MAYBANK / MAYBANK ISLAMIC</v>
      </c>
      <c r="K4292" t="str">
        <f>"161136249153"</f>
        <v>161136249153</v>
      </c>
      <c r="L4292" t="str">
        <f t="shared" si="1752"/>
        <v>04-08-2020</v>
      </c>
      <c r="M4292" t="str">
        <f t="shared" si="1752"/>
        <v>04-08-2020</v>
      </c>
      <c r="N4292" t="str">
        <f t="shared" si="1732"/>
        <v>001105018356</v>
      </c>
      <c r="O4292" t="str">
        <f t="shared" si="1733"/>
        <v>MYR</v>
      </c>
      <c r="P4292" t="str">
        <f t="shared" si="1753"/>
        <v>NIL</v>
      </c>
      <c r="Q4292" t="str">
        <f t="shared" si="1753"/>
        <v>NIL</v>
      </c>
      <c r="R4292" t="str">
        <f t="shared" si="1734"/>
        <v>Accepted</v>
      </c>
      <c r="S4292" t="str">
        <f t="shared" si="1735"/>
        <v>Approved</v>
      </c>
      <c r="T4292" t="str">
        <f t="shared" si="1736"/>
        <v>10.20.8.188</v>
      </c>
      <c r="U4292" t="str">
        <f t="shared" si="1737"/>
        <v>AZRAD UMAR BIN SHAARI</v>
      </c>
      <c r="V4292" t="str">
        <f t="shared" si="1738"/>
        <v>FARHANA BINTI MUSTAPA</v>
      </c>
      <c r="W4292" t="str">
        <f t="shared" si="1739"/>
        <v>04-08-2020</v>
      </c>
      <c r="X4292" t="str">
        <f t="shared" si="1740"/>
        <v>RAZIMAH ANSAR AHMAD</v>
      </c>
      <c r="Y4292" t="str">
        <f t="shared" si="1741"/>
        <v>04-08-2020</v>
      </c>
      <c r="Z4292" t="str">
        <f>"COS10200804 4862"</f>
        <v>COS10200804 4862</v>
      </c>
    </row>
    <row r="4293" spans="1:26" x14ac:dyDescent="0.25">
      <c r="A4293" t="str">
        <f t="shared" si="1750"/>
        <v>04-08-2020 12:53:46</v>
      </c>
      <c r="B4293" t="str">
        <f>"0000806646"</f>
        <v>0000806646</v>
      </c>
      <c r="C4293" t="str">
        <f t="shared" si="1751"/>
        <v>0000806585</v>
      </c>
      <c r="D4293" t="str">
        <f t="shared" si="1729"/>
        <v>73185</v>
      </c>
      <c r="E4293" t="str">
        <f t="shared" si="1730"/>
        <v>KFH-OPERATIONS DEPARTMENT</v>
      </c>
      <c r="F4293" t="str">
        <f t="shared" si="1731"/>
        <v>IBG</v>
      </c>
      <c r="G4293" t="str">
        <f t="shared" si="1742"/>
        <v>Refund COSHARE 10</v>
      </c>
      <c r="H4293" s="2">
        <v>251.85</v>
      </c>
      <c r="I4293" t="str">
        <f>"JAESSICANEETHIYA AP MICHAEL"</f>
        <v>JAESSICANEETHIYA AP MICHAEL</v>
      </c>
      <c r="J4293" t="str">
        <f t="shared" si="1743"/>
        <v>MAYBANK / MAYBANK ISLAMIC</v>
      </c>
      <c r="K4293" t="str">
        <f>"157167023527"</f>
        <v>157167023527</v>
      </c>
      <c r="L4293" t="str">
        <f t="shared" si="1752"/>
        <v>04-08-2020</v>
      </c>
      <c r="M4293" t="str">
        <f t="shared" si="1752"/>
        <v>04-08-2020</v>
      </c>
      <c r="N4293" t="str">
        <f t="shared" si="1732"/>
        <v>001105018356</v>
      </c>
      <c r="O4293" t="str">
        <f t="shared" si="1733"/>
        <v>MYR</v>
      </c>
      <c r="P4293" t="str">
        <f t="shared" si="1753"/>
        <v>NIL</v>
      </c>
      <c r="Q4293" t="str">
        <f t="shared" si="1753"/>
        <v>NIL</v>
      </c>
      <c r="R4293" t="str">
        <f t="shared" si="1734"/>
        <v>Accepted</v>
      </c>
      <c r="S4293" t="str">
        <f t="shared" si="1735"/>
        <v>Approved</v>
      </c>
      <c r="T4293" t="str">
        <f t="shared" si="1736"/>
        <v>10.20.8.188</v>
      </c>
      <c r="U4293" t="str">
        <f t="shared" si="1737"/>
        <v>AZRAD UMAR BIN SHAARI</v>
      </c>
      <c r="V4293" t="str">
        <f t="shared" si="1738"/>
        <v>FARHANA BINTI MUSTAPA</v>
      </c>
      <c r="W4293" t="str">
        <f t="shared" si="1739"/>
        <v>04-08-2020</v>
      </c>
      <c r="X4293" t="str">
        <f t="shared" si="1740"/>
        <v>RAZIMAH ANSAR AHMAD</v>
      </c>
      <c r="Y4293" t="str">
        <f t="shared" si="1741"/>
        <v>04-08-2020</v>
      </c>
      <c r="Z4293" t="str">
        <f>"COS10200804 4861"</f>
        <v>COS10200804 4861</v>
      </c>
    </row>
    <row r="4294" spans="1:26" x14ac:dyDescent="0.25">
      <c r="A4294" t="str">
        <f t="shared" si="1750"/>
        <v>04-08-2020 12:53:46</v>
      </c>
      <c r="B4294" t="str">
        <f>"0000806645"</f>
        <v>0000806645</v>
      </c>
      <c r="C4294" t="str">
        <f t="shared" si="1751"/>
        <v>0000806585</v>
      </c>
      <c r="D4294" t="str">
        <f t="shared" si="1729"/>
        <v>73185</v>
      </c>
      <c r="E4294" t="str">
        <f t="shared" si="1730"/>
        <v>KFH-OPERATIONS DEPARTMENT</v>
      </c>
      <c r="F4294" t="str">
        <f t="shared" si="1731"/>
        <v>IBG</v>
      </c>
      <c r="G4294" t="str">
        <f t="shared" si="1742"/>
        <v>Refund COSHARE 10</v>
      </c>
      <c r="H4294" s="2">
        <v>839.5</v>
      </c>
      <c r="I4294" t="str">
        <f>"JACLYN  MARILYN GEORGE"</f>
        <v>JACLYN  MARILYN GEORGE</v>
      </c>
      <c r="J4294" t="str">
        <f t="shared" si="1743"/>
        <v>MAYBANK / MAYBANK ISLAMIC</v>
      </c>
      <c r="K4294" t="str">
        <f>"110032081774"</f>
        <v>110032081774</v>
      </c>
      <c r="L4294" t="str">
        <f t="shared" si="1752"/>
        <v>04-08-2020</v>
      </c>
      <c r="M4294" t="str">
        <f t="shared" si="1752"/>
        <v>04-08-2020</v>
      </c>
      <c r="N4294" t="str">
        <f t="shared" si="1732"/>
        <v>001105018356</v>
      </c>
      <c r="O4294" t="str">
        <f t="shared" si="1733"/>
        <v>MYR</v>
      </c>
      <c r="P4294" t="str">
        <f t="shared" si="1753"/>
        <v>NIL</v>
      </c>
      <c r="Q4294" t="str">
        <f t="shared" si="1753"/>
        <v>NIL</v>
      </c>
      <c r="R4294" t="str">
        <f t="shared" si="1734"/>
        <v>Accepted</v>
      </c>
      <c r="S4294" t="str">
        <f t="shared" si="1735"/>
        <v>Approved</v>
      </c>
      <c r="T4294" t="str">
        <f t="shared" si="1736"/>
        <v>10.20.8.188</v>
      </c>
      <c r="U4294" t="str">
        <f t="shared" si="1737"/>
        <v>AZRAD UMAR BIN SHAARI</v>
      </c>
      <c r="V4294" t="str">
        <f t="shared" si="1738"/>
        <v>FARHANA BINTI MUSTAPA</v>
      </c>
      <c r="W4294" t="str">
        <f t="shared" si="1739"/>
        <v>04-08-2020</v>
      </c>
      <c r="X4294" t="str">
        <f t="shared" si="1740"/>
        <v>RAZIMAH ANSAR AHMAD</v>
      </c>
      <c r="Y4294" t="str">
        <f t="shared" si="1741"/>
        <v>04-08-2020</v>
      </c>
      <c r="Z4294" t="str">
        <f>"COS10200804 4860"</f>
        <v>COS10200804 4860</v>
      </c>
    </row>
    <row r="4295" spans="1:26" x14ac:dyDescent="0.25">
      <c r="A4295" t="str">
        <f t="shared" si="1750"/>
        <v>04-08-2020 12:53:46</v>
      </c>
      <c r="B4295" t="str">
        <f>"0000806644"</f>
        <v>0000806644</v>
      </c>
      <c r="C4295" t="str">
        <f t="shared" si="1751"/>
        <v>0000806585</v>
      </c>
      <c r="D4295" t="str">
        <f t="shared" ref="D4295:D4358" si="1754">"73185"</f>
        <v>73185</v>
      </c>
      <c r="E4295" t="str">
        <f t="shared" ref="E4295:E4358" si="1755">"KFH-OPERATIONS DEPARTMENT"</f>
        <v>KFH-OPERATIONS DEPARTMENT</v>
      </c>
      <c r="F4295" t="str">
        <f t="shared" ref="F4295:F4358" si="1756">"IBG"</f>
        <v>IBG</v>
      </c>
      <c r="G4295" t="str">
        <f t="shared" si="1742"/>
        <v>Refund COSHARE 10</v>
      </c>
      <c r="H4295" s="2">
        <v>98.25</v>
      </c>
      <c r="I4295" t="str">
        <f>"JAARAH BINTI HJ ABDUL SHUKUR"</f>
        <v>JAARAH BINTI HJ ABDUL SHUKUR</v>
      </c>
      <c r="J4295" t="str">
        <f t="shared" si="1743"/>
        <v>MAYBANK / MAYBANK ISLAMIC</v>
      </c>
      <c r="K4295" t="str">
        <f>"162115002407"</f>
        <v>162115002407</v>
      </c>
      <c r="L4295" t="str">
        <f t="shared" si="1752"/>
        <v>04-08-2020</v>
      </c>
      <c r="M4295" t="str">
        <f t="shared" si="1752"/>
        <v>04-08-2020</v>
      </c>
      <c r="N4295" t="str">
        <f t="shared" ref="N4295:N4358" si="1757">"001105018356"</f>
        <v>001105018356</v>
      </c>
      <c r="O4295" t="str">
        <f t="shared" ref="O4295:O4358" si="1758">"MYR"</f>
        <v>MYR</v>
      </c>
      <c r="P4295" t="str">
        <f t="shared" si="1753"/>
        <v>NIL</v>
      </c>
      <c r="Q4295" t="str">
        <f t="shared" si="1753"/>
        <v>NIL</v>
      </c>
      <c r="R4295" t="str">
        <f t="shared" ref="R4295:R4358" si="1759">"Accepted"</f>
        <v>Accepted</v>
      </c>
      <c r="S4295" t="str">
        <f t="shared" ref="S4295:S4358" si="1760">"Approved"</f>
        <v>Approved</v>
      </c>
      <c r="T4295" t="str">
        <f t="shared" ref="T4295:T4358" si="1761">"10.20.8.188"</f>
        <v>10.20.8.188</v>
      </c>
      <c r="U4295" t="str">
        <f t="shared" ref="U4295:U4358" si="1762">"AZRAD UMAR BIN SHAARI"</f>
        <v>AZRAD UMAR BIN SHAARI</v>
      </c>
      <c r="V4295" t="str">
        <f t="shared" ref="V4295:V4358" si="1763">"FARHANA BINTI MUSTAPA"</f>
        <v>FARHANA BINTI MUSTAPA</v>
      </c>
      <c r="W4295" t="str">
        <f t="shared" ref="W4295:W4358" si="1764">"04-08-2020"</f>
        <v>04-08-2020</v>
      </c>
      <c r="X4295" t="str">
        <f t="shared" ref="X4295:X4358" si="1765">"RAZIMAH ANSAR AHMAD"</f>
        <v>RAZIMAH ANSAR AHMAD</v>
      </c>
      <c r="Y4295" t="str">
        <f t="shared" ref="Y4295:Y4358" si="1766">"04-08-2020"</f>
        <v>04-08-2020</v>
      </c>
      <c r="Z4295" t="str">
        <f>"COS10200804 4859"</f>
        <v>COS10200804 4859</v>
      </c>
    </row>
    <row r="4296" spans="1:26" x14ac:dyDescent="0.25">
      <c r="A4296" t="str">
        <f t="shared" si="1750"/>
        <v>04-08-2020 12:53:46</v>
      </c>
      <c r="B4296" t="str">
        <f>"0000806643"</f>
        <v>0000806643</v>
      </c>
      <c r="C4296" t="str">
        <f t="shared" si="1751"/>
        <v>0000806585</v>
      </c>
      <c r="D4296" t="str">
        <f t="shared" si="1754"/>
        <v>73185</v>
      </c>
      <c r="E4296" t="str">
        <f t="shared" si="1755"/>
        <v>KFH-OPERATIONS DEPARTMENT</v>
      </c>
      <c r="F4296" t="str">
        <f t="shared" si="1756"/>
        <v>IBG</v>
      </c>
      <c r="G4296" t="str">
        <f t="shared" si="1742"/>
        <v>Refund COSHARE 10</v>
      </c>
      <c r="H4296" s="2">
        <v>419.25</v>
      </c>
      <c r="I4296" t="str">
        <f>"JAAFAR BIN ABDULLAH"</f>
        <v>JAAFAR BIN ABDULLAH</v>
      </c>
      <c r="J4296" t="str">
        <f t="shared" si="1743"/>
        <v>MAYBANK / MAYBANK ISLAMIC</v>
      </c>
      <c r="K4296" t="str">
        <f>"562740050126"</f>
        <v>562740050126</v>
      </c>
      <c r="L4296" t="str">
        <f t="shared" si="1752"/>
        <v>04-08-2020</v>
      </c>
      <c r="M4296" t="str">
        <f t="shared" si="1752"/>
        <v>04-08-2020</v>
      </c>
      <c r="N4296" t="str">
        <f t="shared" si="1757"/>
        <v>001105018356</v>
      </c>
      <c r="O4296" t="str">
        <f t="shared" si="1758"/>
        <v>MYR</v>
      </c>
      <c r="P4296" t="str">
        <f t="shared" si="1753"/>
        <v>NIL</v>
      </c>
      <c r="Q4296" t="str">
        <f t="shared" si="1753"/>
        <v>NIL</v>
      </c>
      <c r="R4296" t="str">
        <f t="shared" si="1759"/>
        <v>Accepted</v>
      </c>
      <c r="S4296" t="str">
        <f t="shared" si="1760"/>
        <v>Approved</v>
      </c>
      <c r="T4296" t="str">
        <f t="shared" si="1761"/>
        <v>10.20.8.188</v>
      </c>
      <c r="U4296" t="str">
        <f t="shared" si="1762"/>
        <v>AZRAD UMAR BIN SHAARI</v>
      </c>
      <c r="V4296" t="str">
        <f t="shared" si="1763"/>
        <v>FARHANA BINTI MUSTAPA</v>
      </c>
      <c r="W4296" t="str">
        <f t="shared" si="1764"/>
        <v>04-08-2020</v>
      </c>
      <c r="X4296" t="str">
        <f t="shared" si="1765"/>
        <v>RAZIMAH ANSAR AHMAD</v>
      </c>
      <c r="Y4296" t="str">
        <f t="shared" si="1766"/>
        <v>04-08-2020</v>
      </c>
      <c r="Z4296" t="str">
        <f>"COS10200804 4858"</f>
        <v>COS10200804 4858</v>
      </c>
    </row>
    <row r="4297" spans="1:26" x14ac:dyDescent="0.25">
      <c r="A4297" t="str">
        <f t="shared" si="1750"/>
        <v>04-08-2020 12:53:46</v>
      </c>
      <c r="B4297" t="str">
        <f>"0000806642"</f>
        <v>0000806642</v>
      </c>
      <c r="C4297" t="str">
        <f t="shared" si="1751"/>
        <v>0000806585</v>
      </c>
      <c r="D4297" t="str">
        <f t="shared" si="1754"/>
        <v>73185</v>
      </c>
      <c r="E4297" t="str">
        <f t="shared" si="1755"/>
        <v>KFH-OPERATIONS DEPARTMENT</v>
      </c>
      <c r="F4297" t="str">
        <f t="shared" si="1756"/>
        <v>IBG</v>
      </c>
      <c r="G4297" t="str">
        <f t="shared" si="1742"/>
        <v>Refund COSHARE 10</v>
      </c>
      <c r="H4297" s="2">
        <v>834.7</v>
      </c>
      <c r="I4297" t="str">
        <f>"J ROLYZEIN BIN JUMRAH"</f>
        <v>J ROLYZEIN BIN JUMRAH</v>
      </c>
      <c r="J4297" t="str">
        <f t="shared" si="1743"/>
        <v>MAYBANK / MAYBANK ISLAMIC</v>
      </c>
      <c r="K4297" t="str">
        <f>"160036876500"</f>
        <v>160036876500</v>
      </c>
      <c r="L4297" t="str">
        <f t="shared" si="1752"/>
        <v>04-08-2020</v>
      </c>
      <c r="M4297" t="str">
        <f t="shared" si="1752"/>
        <v>04-08-2020</v>
      </c>
      <c r="N4297" t="str">
        <f t="shared" si="1757"/>
        <v>001105018356</v>
      </c>
      <c r="O4297" t="str">
        <f t="shared" si="1758"/>
        <v>MYR</v>
      </c>
      <c r="P4297" t="str">
        <f t="shared" si="1753"/>
        <v>NIL</v>
      </c>
      <c r="Q4297" t="str">
        <f t="shared" si="1753"/>
        <v>NIL</v>
      </c>
      <c r="R4297" t="str">
        <f t="shared" si="1759"/>
        <v>Accepted</v>
      </c>
      <c r="S4297" t="str">
        <f t="shared" si="1760"/>
        <v>Approved</v>
      </c>
      <c r="T4297" t="str">
        <f t="shared" si="1761"/>
        <v>10.20.8.188</v>
      </c>
      <c r="U4297" t="str">
        <f t="shared" si="1762"/>
        <v>AZRAD UMAR BIN SHAARI</v>
      </c>
      <c r="V4297" t="str">
        <f t="shared" si="1763"/>
        <v>FARHANA BINTI MUSTAPA</v>
      </c>
      <c r="W4297" t="str">
        <f t="shared" si="1764"/>
        <v>04-08-2020</v>
      </c>
      <c r="X4297" t="str">
        <f t="shared" si="1765"/>
        <v>RAZIMAH ANSAR AHMAD</v>
      </c>
      <c r="Y4297" t="str">
        <f t="shared" si="1766"/>
        <v>04-08-2020</v>
      </c>
      <c r="Z4297" t="str">
        <f>"COS10200804 4857"</f>
        <v>COS10200804 4857</v>
      </c>
    </row>
    <row r="4298" spans="1:26" x14ac:dyDescent="0.25">
      <c r="A4298" t="str">
        <f t="shared" si="1750"/>
        <v>04-08-2020 12:53:46</v>
      </c>
      <c r="B4298" t="str">
        <f>"0000806641"</f>
        <v>0000806641</v>
      </c>
      <c r="C4298" t="str">
        <f t="shared" si="1751"/>
        <v>0000806585</v>
      </c>
      <c r="D4298" t="str">
        <f t="shared" si="1754"/>
        <v>73185</v>
      </c>
      <c r="E4298" t="str">
        <f t="shared" si="1755"/>
        <v>KFH-OPERATIONS DEPARTMENT</v>
      </c>
      <c r="F4298" t="str">
        <f t="shared" si="1756"/>
        <v>IBG</v>
      </c>
      <c r="G4298" t="str">
        <f t="shared" si="1742"/>
        <v>Refund COSHARE 10</v>
      </c>
      <c r="H4298" s="2">
        <v>167.9</v>
      </c>
      <c r="I4298" t="str">
        <f>"IZWAN SHAH BIN IDRIS"</f>
        <v>IZWAN SHAH BIN IDRIS</v>
      </c>
      <c r="J4298" t="str">
        <f t="shared" si="1743"/>
        <v>MAYBANK / MAYBANK ISLAMIC</v>
      </c>
      <c r="K4298" t="str">
        <f>"551593050332"</f>
        <v>551593050332</v>
      </c>
      <c r="L4298" t="str">
        <f t="shared" si="1752"/>
        <v>04-08-2020</v>
      </c>
      <c r="M4298" t="str">
        <f t="shared" si="1752"/>
        <v>04-08-2020</v>
      </c>
      <c r="N4298" t="str">
        <f t="shared" si="1757"/>
        <v>001105018356</v>
      </c>
      <c r="O4298" t="str">
        <f t="shared" si="1758"/>
        <v>MYR</v>
      </c>
      <c r="P4298" t="str">
        <f t="shared" si="1753"/>
        <v>NIL</v>
      </c>
      <c r="Q4298" t="str">
        <f t="shared" si="1753"/>
        <v>NIL</v>
      </c>
      <c r="R4298" t="str">
        <f t="shared" si="1759"/>
        <v>Accepted</v>
      </c>
      <c r="S4298" t="str">
        <f t="shared" si="1760"/>
        <v>Approved</v>
      </c>
      <c r="T4298" t="str">
        <f t="shared" si="1761"/>
        <v>10.20.8.188</v>
      </c>
      <c r="U4298" t="str">
        <f t="shared" si="1762"/>
        <v>AZRAD UMAR BIN SHAARI</v>
      </c>
      <c r="V4298" t="str">
        <f t="shared" si="1763"/>
        <v>FARHANA BINTI MUSTAPA</v>
      </c>
      <c r="W4298" t="str">
        <f t="shared" si="1764"/>
        <v>04-08-2020</v>
      </c>
      <c r="X4298" t="str">
        <f t="shared" si="1765"/>
        <v>RAZIMAH ANSAR AHMAD</v>
      </c>
      <c r="Y4298" t="str">
        <f t="shared" si="1766"/>
        <v>04-08-2020</v>
      </c>
      <c r="Z4298" t="str">
        <f>"COS10200804 4856"</f>
        <v>COS10200804 4856</v>
      </c>
    </row>
    <row r="4299" spans="1:26" x14ac:dyDescent="0.25">
      <c r="A4299" t="str">
        <f t="shared" si="1750"/>
        <v>04-08-2020 12:53:46</v>
      </c>
      <c r="B4299" t="str">
        <f>"0000806640"</f>
        <v>0000806640</v>
      </c>
      <c r="C4299" t="str">
        <f t="shared" si="1751"/>
        <v>0000806585</v>
      </c>
      <c r="D4299" t="str">
        <f t="shared" si="1754"/>
        <v>73185</v>
      </c>
      <c r="E4299" t="str">
        <f t="shared" si="1755"/>
        <v>KFH-OPERATIONS DEPARTMENT</v>
      </c>
      <c r="F4299" t="str">
        <f t="shared" si="1756"/>
        <v>IBG</v>
      </c>
      <c r="G4299" t="str">
        <f t="shared" si="1742"/>
        <v>Refund COSHARE 10</v>
      </c>
      <c r="H4299" s="2">
        <v>193.1</v>
      </c>
      <c r="I4299" t="str">
        <f>"IZMAWATI BINTI SULAIMAN"</f>
        <v>IZMAWATI BINTI SULAIMAN</v>
      </c>
      <c r="J4299" t="str">
        <f t="shared" si="1743"/>
        <v>MAYBANK / MAYBANK ISLAMIC</v>
      </c>
      <c r="K4299" t="str">
        <f>"153010058301"</f>
        <v>153010058301</v>
      </c>
      <c r="L4299" t="str">
        <f t="shared" si="1752"/>
        <v>04-08-2020</v>
      </c>
      <c r="M4299" t="str">
        <f t="shared" si="1752"/>
        <v>04-08-2020</v>
      </c>
      <c r="N4299" t="str">
        <f t="shared" si="1757"/>
        <v>001105018356</v>
      </c>
      <c r="O4299" t="str">
        <f t="shared" si="1758"/>
        <v>MYR</v>
      </c>
      <c r="P4299" t="str">
        <f t="shared" si="1753"/>
        <v>NIL</v>
      </c>
      <c r="Q4299" t="str">
        <f t="shared" si="1753"/>
        <v>NIL</v>
      </c>
      <c r="R4299" t="str">
        <f t="shared" si="1759"/>
        <v>Accepted</v>
      </c>
      <c r="S4299" t="str">
        <f t="shared" si="1760"/>
        <v>Approved</v>
      </c>
      <c r="T4299" t="str">
        <f t="shared" si="1761"/>
        <v>10.20.8.188</v>
      </c>
      <c r="U4299" t="str">
        <f t="shared" si="1762"/>
        <v>AZRAD UMAR BIN SHAARI</v>
      </c>
      <c r="V4299" t="str">
        <f t="shared" si="1763"/>
        <v>FARHANA BINTI MUSTAPA</v>
      </c>
      <c r="W4299" t="str">
        <f t="shared" si="1764"/>
        <v>04-08-2020</v>
      </c>
      <c r="X4299" t="str">
        <f t="shared" si="1765"/>
        <v>RAZIMAH ANSAR AHMAD</v>
      </c>
      <c r="Y4299" t="str">
        <f t="shared" si="1766"/>
        <v>04-08-2020</v>
      </c>
      <c r="Z4299" t="str">
        <f>"COS10200804 4855"</f>
        <v>COS10200804 4855</v>
      </c>
    </row>
    <row r="4300" spans="1:26" x14ac:dyDescent="0.25">
      <c r="A4300" t="str">
        <f t="shared" si="1750"/>
        <v>04-08-2020 12:53:46</v>
      </c>
      <c r="B4300" t="str">
        <f>"0000806639"</f>
        <v>0000806639</v>
      </c>
      <c r="C4300" t="str">
        <f t="shared" si="1751"/>
        <v>0000806585</v>
      </c>
      <c r="D4300" t="str">
        <f t="shared" si="1754"/>
        <v>73185</v>
      </c>
      <c r="E4300" t="str">
        <f t="shared" si="1755"/>
        <v>KFH-OPERATIONS DEPARTMENT</v>
      </c>
      <c r="F4300" t="str">
        <f t="shared" si="1756"/>
        <v>IBG</v>
      </c>
      <c r="G4300" t="str">
        <f t="shared" ref="G4300:G4363" si="1767">"Refund COSHARE 10"</f>
        <v>Refund COSHARE 10</v>
      </c>
      <c r="H4300" s="2">
        <v>84</v>
      </c>
      <c r="I4300" t="str">
        <f>"IZMALIZA BINTI MD SUFIAN"</f>
        <v>IZMALIZA BINTI MD SUFIAN</v>
      </c>
      <c r="J4300" t="str">
        <f t="shared" si="1743"/>
        <v>MAYBANK / MAYBANK ISLAMIC</v>
      </c>
      <c r="K4300" t="str">
        <f>"158015153156"</f>
        <v>158015153156</v>
      </c>
      <c r="L4300" t="str">
        <f t="shared" si="1752"/>
        <v>04-08-2020</v>
      </c>
      <c r="M4300" t="str">
        <f t="shared" si="1752"/>
        <v>04-08-2020</v>
      </c>
      <c r="N4300" t="str">
        <f t="shared" si="1757"/>
        <v>001105018356</v>
      </c>
      <c r="O4300" t="str">
        <f t="shared" si="1758"/>
        <v>MYR</v>
      </c>
      <c r="P4300" t="str">
        <f t="shared" si="1753"/>
        <v>NIL</v>
      </c>
      <c r="Q4300" t="str">
        <f t="shared" si="1753"/>
        <v>NIL</v>
      </c>
      <c r="R4300" t="str">
        <f t="shared" si="1759"/>
        <v>Accepted</v>
      </c>
      <c r="S4300" t="str">
        <f t="shared" si="1760"/>
        <v>Approved</v>
      </c>
      <c r="T4300" t="str">
        <f t="shared" si="1761"/>
        <v>10.20.8.188</v>
      </c>
      <c r="U4300" t="str">
        <f t="shared" si="1762"/>
        <v>AZRAD UMAR BIN SHAARI</v>
      </c>
      <c r="V4300" t="str">
        <f t="shared" si="1763"/>
        <v>FARHANA BINTI MUSTAPA</v>
      </c>
      <c r="W4300" t="str">
        <f t="shared" si="1764"/>
        <v>04-08-2020</v>
      </c>
      <c r="X4300" t="str">
        <f t="shared" si="1765"/>
        <v>RAZIMAH ANSAR AHMAD</v>
      </c>
      <c r="Y4300" t="str">
        <f t="shared" si="1766"/>
        <v>04-08-2020</v>
      </c>
      <c r="Z4300" t="str">
        <f>"COS10200804 4854"</f>
        <v>COS10200804 4854</v>
      </c>
    </row>
    <row r="4301" spans="1:26" x14ac:dyDescent="0.25">
      <c r="A4301" t="str">
        <f t="shared" si="1750"/>
        <v>04-08-2020 12:53:46</v>
      </c>
      <c r="B4301" t="str">
        <f>"0000806638"</f>
        <v>0000806638</v>
      </c>
      <c r="C4301" t="str">
        <f t="shared" si="1751"/>
        <v>0000806585</v>
      </c>
      <c r="D4301" t="str">
        <f t="shared" si="1754"/>
        <v>73185</v>
      </c>
      <c r="E4301" t="str">
        <f t="shared" si="1755"/>
        <v>KFH-OPERATIONS DEPARTMENT</v>
      </c>
      <c r="F4301" t="str">
        <f t="shared" si="1756"/>
        <v>IBG</v>
      </c>
      <c r="G4301" t="str">
        <f t="shared" si="1767"/>
        <v>Refund COSHARE 10</v>
      </c>
      <c r="H4301" s="2">
        <v>562.5</v>
      </c>
      <c r="I4301" t="str">
        <f>"IZAZUL HAZMAN BIN WAHAD"</f>
        <v>IZAZUL HAZMAN BIN WAHAD</v>
      </c>
      <c r="J4301" t="str">
        <f t="shared" si="1743"/>
        <v>MAYBANK / MAYBANK ISLAMIC</v>
      </c>
      <c r="K4301" t="str">
        <f>"161033076408"</f>
        <v>161033076408</v>
      </c>
      <c r="L4301" t="str">
        <f t="shared" si="1752"/>
        <v>04-08-2020</v>
      </c>
      <c r="M4301" t="str">
        <f t="shared" si="1752"/>
        <v>04-08-2020</v>
      </c>
      <c r="N4301" t="str">
        <f t="shared" si="1757"/>
        <v>001105018356</v>
      </c>
      <c r="O4301" t="str">
        <f t="shared" si="1758"/>
        <v>MYR</v>
      </c>
      <c r="P4301" t="str">
        <f t="shared" si="1753"/>
        <v>NIL</v>
      </c>
      <c r="Q4301" t="str">
        <f t="shared" si="1753"/>
        <v>NIL</v>
      </c>
      <c r="R4301" t="str">
        <f t="shared" si="1759"/>
        <v>Accepted</v>
      </c>
      <c r="S4301" t="str">
        <f t="shared" si="1760"/>
        <v>Approved</v>
      </c>
      <c r="T4301" t="str">
        <f t="shared" si="1761"/>
        <v>10.20.8.188</v>
      </c>
      <c r="U4301" t="str">
        <f t="shared" si="1762"/>
        <v>AZRAD UMAR BIN SHAARI</v>
      </c>
      <c r="V4301" t="str">
        <f t="shared" si="1763"/>
        <v>FARHANA BINTI MUSTAPA</v>
      </c>
      <c r="W4301" t="str">
        <f t="shared" si="1764"/>
        <v>04-08-2020</v>
      </c>
      <c r="X4301" t="str">
        <f t="shared" si="1765"/>
        <v>RAZIMAH ANSAR AHMAD</v>
      </c>
      <c r="Y4301" t="str">
        <f t="shared" si="1766"/>
        <v>04-08-2020</v>
      </c>
      <c r="Z4301" t="str">
        <f>"COS10200804 4853"</f>
        <v>COS10200804 4853</v>
      </c>
    </row>
    <row r="4302" spans="1:26" x14ac:dyDescent="0.25">
      <c r="A4302" t="str">
        <f t="shared" si="1750"/>
        <v>04-08-2020 12:53:46</v>
      </c>
      <c r="B4302" t="str">
        <f>"0000806637"</f>
        <v>0000806637</v>
      </c>
      <c r="C4302" t="str">
        <f t="shared" si="1751"/>
        <v>0000806585</v>
      </c>
      <c r="D4302" t="str">
        <f t="shared" si="1754"/>
        <v>73185</v>
      </c>
      <c r="E4302" t="str">
        <f t="shared" si="1755"/>
        <v>KFH-OPERATIONS DEPARTMENT</v>
      </c>
      <c r="F4302" t="str">
        <f t="shared" si="1756"/>
        <v>IBG</v>
      </c>
      <c r="G4302" t="str">
        <f t="shared" si="1767"/>
        <v>Refund COSHARE 10</v>
      </c>
      <c r="H4302" s="2">
        <v>209.9</v>
      </c>
      <c r="I4302" t="str">
        <f>"IZALHAZIRA BT IBRAHIM"</f>
        <v>IZALHAZIRA BT IBRAHIM</v>
      </c>
      <c r="J4302" t="str">
        <f t="shared" si="1743"/>
        <v>MAYBANK / MAYBANK ISLAMIC</v>
      </c>
      <c r="K4302" t="str">
        <f>"162106294695"</f>
        <v>162106294695</v>
      </c>
      <c r="L4302" t="str">
        <f t="shared" si="1752"/>
        <v>04-08-2020</v>
      </c>
      <c r="M4302" t="str">
        <f t="shared" si="1752"/>
        <v>04-08-2020</v>
      </c>
      <c r="N4302" t="str">
        <f t="shared" si="1757"/>
        <v>001105018356</v>
      </c>
      <c r="O4302" t="str">
        <f t="shared" si="1758"/>
        <v>MYR</v>
      </c>
      <c r="P4302" t="str">
        <f t="shared" si="1753"/>
        <v>NIL</v>
      </c>
      <c r="Q4302" t="str">
        <f t="shared" si="1753"/>
        <v>NIL</v>
      </c>
      <c r="R4302" t="str">
        <f t="shared" si="1759"/>
        <v>Accepted</v>
      </c>
      <c r="S4302" t="str">
        <f t="shared" si="1760"/>
        <v>Approved</v>
      </c>
      <c r="T4302" t="str">
        <f t="shared" si="1761"/>
        <v>10.20.8.188</v>
      </c>
      <c r="U4302" t="str">
        <f t="shared" si="1762"/>
        <v>AZRAD UMAR BIN SHAARI</v>
      </c>
      <c r="V4302" t="str">
        <f t="shared" si="1763"/>
        <v>FARHANA BINTI MUSTAPA</v>
      </c>
      <c r="W4302" t="str">
        <f t="shared" si="1764"/>
        <v>04-08-2020</v>
      </c>
      <c r="X4302" t="str">
        <f t="shared" si="1765"/>
        <v>RAZIMAH ANSAR AHMAD</v>
      </c>
      <c r="Y4302" t="str">
        <f t="shared" si="1766"/>
        <v>04-08-2020</v>
      </c>
      <c r="Z4302" t="str">
        <f>"COS10200804 4852"</f>
        <v>COS10200804 4852</v>
      </c>
    </row>
    <row r="4303" spans="1:26" x14ac:dyDescent="0.25">
      <c r="A4303" t="str">
        <f t="shared" si="1750"/>
        <v>04-08-2020 12:53:46</v>
      </c>
      <c r="B4303" t="str">
        <f>"0000806636"</f>
        <v>0000806636</v>
      </c>
      <c r="C4303" t="str">
        <f t="shared" si="1751"/>
        <v>0000806585</v>
      </c>
      <c r="D4303" t="str">
        <f t="shared" si="1754"/>
        <v>73185</v>
      </c>
      <c r="E4303" t="str">
        <f t="shared" si="1755"/>
        <v>KFH-OPERATIONS DEPARTMENT</v>
      </c>
      <c r="F4303" t="str">
        <f t="shared" si="1756"/>
        <v>IBG</v>
      </c>
      <c r="G4303" t="str">
        <f t="shared" si="1767"/>
        <v>Refund COSHARE 10</v>
      </c>
      <c r="H4303" s="2">
        <v>1049.4000000000001</v>
      </c>
      <c r="I4303" t="str">
        <f>"IZADY BIN IBRAHIM"</f>
        <v>IZADY BIN IBRAHIM</v>
      </c>
      <c r="J4303" t="str">
        <f t="shared" si="1743"/>
        <v>MAYBANK / MAYBANK ISLAMIC</v>
      </c>
      <c r="K4303" t="str">
        <f>"157018638317"</f>
        <v>157018638317</v>
      </c>
      <c r="L4303" t="str">
        <f t="shared" si="1752"/>
        <v>04-08-2020</v>
      </c>
      <c r="M4303" t="str">
        <f t="shared" si="1752"/>
        <v>04-08-2020</v>
      </c>
      <c r="N4303" t="str">
        <f t="shared" si="1757"/>
        <v>001105018356</v>
      </c>
      <c r="O4303" t="str">
        <f t="shared" si="1758"/>
        <v>MYR</v>
      </c>
      <c r="P4303" t="str">
        <f t="shared" si="1753"/>
        <v>NIL</v>
      </c>
      <c r="Q4303" t="str">
        <f t="shared" si="1753"/>
        <v>NIL</v>
      </c>
      <c r="R4303" t="str">
        <f t="shared" si="1759"/>
        <v>Accepted</v>
      </c>
      <c r="S4303" t="str">
        <f t="shared" si="1760"/>
        <v>Approved</v>
      </c>
      <c r="T4303" t="str">
        <f t="shared" si="1761"/>
        <v>10.20.8.188</v>
      </c>
      <c r="U4303" t="str">
        <f t="shared" si="1762"/>
        <v>AZRAD UMAR BIN SHAARI</v>
      </c>
      <c r="V4303" t="str">
        <f t="shared" si="1763"/>
        <v>FARHANA BINTI MUSTAPA</v>
      </c>
      <c r="W4303" t="str">
        <f t="shared" si="1764"/>
        <v>04-08-2020</v>
      </c>
      <c r="X4303" t="str">
        <f t="shared" si="1765"/>
        <v>RAZIMAH ANSAR AHMAD</v>
      </c>
      <c r="Y4303" t="str">
        <f t="shared" si="1766"/>
        <v>04-08-2020</v>
      </c>
      <c r="Z4303" t="str">
        <f>"COS10200804 4851"</f>
        <v>COS10200804 4851</v>
      </c>
    </row>
    <row r="4304" spans="1:26" x14ac:dyDescent="0.25">
      <c r="A4304" t="str">
        <f t="shared" si="1750"/>
        <v>04-08-2020 12:53:46</v>
      </c>
      <c r="B4304" t="str">
        <f>"0000806635"</f>
        <v>0000806635</v>
      </c>
      <c r="C4304" t="str">
        <f t="shared" si="1751"/>
        <v>0000806585</v>
      </c>
      <c r="D4304" t="str">
        <f t="shared" si="1754"/>
        <v>73185</v>
      </c>
      <c r="E4304" t="str">
        <f t="shared" si="1755"/>
        <v>KFH-OPERATIONS DEPARTMENT</v>
      </c>
      <c r="F4304" t="str">
        <f t="shared" si="1756"/>
        <v>IBG</v>
      </c>
      <c r="G4304" t="str">
        <f t="shared" si="1767"/>
        <v>Refund COSHARE 10</v>
      </c>
      <c r="H4304" s="2">
        <v>251.85</v>
      </c>
      <c r="I4304" t="str">
        <f>"IZAD AMIR BIN MOHAMED ALI"</f>
        <v>IZAD AMIR BIN MOHAMED ALI</v>
      </c>
      <c r="J4304" t="str">
        <f t="shared" si="1743"/>
        <v>MAYBANK / MAYBANK ISLAMIC</v>
      </c>
      <c r="K4304" t="str">
        <f>"151212875558"</f>
        <v>151212875558</v>
      </c>
      <c r="L4304" t="str">
        <f t="shared" si="1752"/>
        <v>04-08-2020</v>
      </c>
      <c r="M4304" t="str">
        <f t="shared" si="1752"/>
        <v>04-08-2020</v>
      </c>
      <c r="N4304" t="str">
        <f t="shared" si="1757"/>
        <v>001105018356</v>
      </c>
      <c r="O4304" t="str">
        <f t="shared" si="1758"/>
        <v>MYR</v>
      </c>
      <c r="P4304" t="str">
        <f t="shared" si="1753"/>
        <v>NIL</v>
      </c>
      <c r="Q4304" t="str">
        <f t="shared" si="1753"/>
        <v>NIL</v>
      </c>
      <c r="R4304" t="str">
        <f t="shared" si="1759"/>
        <v>Accepted</v>
      </c>
      <c r="S4304" t="str">
        <f t="shared" si="1760"/>
        <v>Approved</v>
      </c>
      <c r="T4304" t="str">
        <f t="shared" si="1761"/>
        <v>10.20.8.188</v>
      </c>
      <c r="U4304" t="str">
        <f t="shared" si="1762"/>
        <v>AZRAD UMAR BIN SHAARI</v>
      </c>
      <c r="V4304" t="str">
        <f t="shared" si="1763"/>
        <v>FARHANA BINTI MUSTAPA</v>
      </c>
      <c r="W4304" t="str">
        <f t="shared" si="1764"/>
        <v>04-08-2020</v>
      </c>
      <c r="X4304" t="str">
        <f t="shared" si="1765"/>
        <v>RAZIMAH ANSAR AHMAD</v>
      </c>
      <c r="Y4304" t="str">
        <f t="shared" si="1766"/>
        <v>04-08-2020</v>
      </c>
      <c r="Z4304" t="str">
        <f>"COS10200804 4850"</f>
        <v>COS10200804 4850</v>
      </c>
    </row>
    <row r="4305" spans="1:26" x14ac:dyDescent="0.25">
      <c r="A4305" t="str">
        <f t="shared" si="1750"/>
        <v>04-08-2020 12:53:46</v>
      </c>
      <c r="B4305" t="str">
        <f>"0000806634"</f>
        <v>0000806634</v>
      </c>
      <c r="C4305" t="str">
        <f t="shared" si="1751"/>
        <v>0000806585</v>
      </c>
      <c r="D4305" t="str">
        <f t="shared" si="1754"/>
        <v>73185</v>
      </c>
      <c r="E4305" t="str">
        <f t="shared" si="1755"/>
        <v>KFH-OPERATIONS DEPARTMENT</v>
      </c>
      <c r="F4305" t="str">
        <f t="shared" si="1756"/>
        <v>IBG</v>
      </c>
      <c r="G4305" t="str">
        <f t="shared" si="1767"/>
        <v>Refund COSHARE 10</v>
      </c>
      <c r="H4305" s="2">
        <v>683</v>
      </c>
      <c r="I4305" t="str">
        <f>"IYLIA BINTI NAZARI"</f>
        <v>IYLIA BINTI NAZARI</v>
      </c>
      <c r="J4305" t="str">
        <f t="shared" ref="J4305:J4368" si="1768">"MAYBANK / MAYBANK ISLAMIC"</f>
        <v>MAYBANK / MAYBANK ISLAMIC</v>
      </c>
      <c r="K4305" t="str">
        <f>"157157732639"</f>
        <v>157157732639</v>
      </c>
      <c r="L4305" t="str">
        <f t="shared" si="1752"/>
        <v>04-08-2020</v>
      </c>
      <c r="M4305" t="str">
        <f t="shared" si="1752"/>
        <v>04-08-2020</v>
      </c>
      <c r="N4305" t="str">
        <f t="shared" si="1757"/>
        <v>001105018356</v>
      </c>
      <c r="O4305" t="str">
        <f t="shared" si="1758"/>
        <v>MYR</v>
      </c>
      <c r="P4305" t="str">
        <f t="shared" si="1753"/>
        <v>NIL</v>
      </c>
      <c r="Q4305" t="str">
        <f t="shared" si="1753"/>
        <v>NIL</v>
      </c>
      <c r="R4305" t="str">
        <f t="shared" si="1759"/>
        <v>Accepted</v>
      </c>
      <c r="S4305" t="str">
        <f t="shared" si="1760"/>
        <v>Approved</v>
      </c>
      <c r="T4305" t="str">
        <f t="shared" si="1761"/>
        <v>10.20.8.188</v>
      </c>
      <c r="U4305" t="str">
        <f t="shared" si="1762"/>
        <v>AZRAD UMAR BIN SHAARI</v>
      </c>
      <c r="V4305" t="str">
        <f t="shared" si="1763"/>
        <v>FARHANA BINTI MUSTAPA</v>
      </c>
      <c r="W4305" t="str">
        <f t="shared" si="1764"/>
        <v>04-08-2020</v>
      </c>
      <c r="X4305" t="str">
        <f t="shared" si="1765"/>
        <v>RAZIMAH ANSAR AHMAD</v>
      </c>
      <c r="Y4305" t="str">
        <f t="shared" si="1766"/>
        <v>04-08-2020</v>
      </c>
      <c r="Z4305" t="str">
        <f>"COS10200804 4849"</f>
        <v>COS10200804 4849</v>
      </c>
    </row>
    <row r="4306" spans="1:26" x14ac:dyDescent="0.25">
      <c r="A4306" t="str">
        <f t="shared" si="1750"/>
        <v>04-08-2020 12:53:46</v>
      </c>
      <c r="B4306" t="str">
        <f>"0000806633"</f>
        <v>0000806633</v>
      </c>
      <c r="C4306" t="str">
        <f t="shared" si="1751"/>
        <v>0000806585</v>
      </c>
      <c r="D4306" t="str">
        <f t="shared" si="1754"/>
        <v>73185</v>
      </c>
      <c r="E4306" t="str">
        <f t="shared" si="1755"/>
        <v>KFH-OPERATIONS DEPARTMENT</v>
      </c>
      <c r="F4306" t="str">
        <f t="shared" si="1756"/>
        <v>IBG</v>
      </c>
      <c r="G4306" t="str">
        <f t="shared" si="1767"/>
        <v>Refund COSHARE 10</v>
      </c>
      <c r="H4306" s="2">
        <v>327</v>
      </c>
      <c r="I4306" t="str">
        <f>"ISZANIRA BINTI ISMAIL"</f>
        <v>ISZANIRA BINTI ISMAIL</v>
      </c>
      <c r="J4306" t="str">
        <f t="shared" si="1768"/>
        <v>MAYBANK / MAYBANK ISLAMIC</v>
      </c>
      <c r="K4306" t="str">
        <f>"156057233193"</f>
        <v>156057233193</v>
      </c>
      <c r="L4306" t="str">
        <f t="shared" si="1752"/>
        <v>04-08-2020</v>
      </c>
      <c r="M4306" t="str">
        <f t="shared" si="1752"/>
        <v>04-08-2020</v>
      </c>
      <c r="N4306" t="str">
        <f t="shared" si="1757"/>
        <v>001105018356</v>
      </c>
      <c r="O4306" t="str">
        <f t="shared" si="1758"/>
        <v>MYR</v>
      </c>
      <c r="P4306" t="str">
        <f t="shared" si="1753"/>
        <v>NIL</v>
      </c>
      <c r="Q4306" t="str">
        <f t="shared" si="1753"/>
        <v>NIL</v>
      </c>
      <c r="R4306" t="str">
        <f t="shared" si="1759"/>
        <v>Accepted</v>
      </c>
      <c r="S4306" t="str">
        <f t="shared" si="1760"/>
        <v>Approved</v>
      </c>
      <c r="T4306" t="str">
        <f t="shared" si="1761"/>
        <v>10.20.8.188</v>
      </c>
      <c r="U4306" t="str">
        <f t="shared" si="1762"/>
        <v>AZRAD UMAR BIN SHAARI</v>
      </c>
      <c r="V4306" t="str">
        <f t="shared" si="1763"/>
        <v>FARHANA BINTI MUSTAPA</v>
      </c>
      <c r="W4306" t="str">
        <f t="shared" si="1764"/>
        <v>04-08-2020</v>
      </c>
      <c r="X4306" t="str">
        <f t="shared" si="1765"/>
        <v>RAZIMAH ANSAR AHMAD</v>
      </c>
      <c r="Y4306" t="str">
        <f t="shared" si="1766"/>
        <v>04-08-2020</v>
      </c>
      <c r="Z4306" t="str">
        <f>"COS10200804 4848"</f>
        <v>COS10200804 4848</v>
      </c>
    </row>
    <row r="4307" spans="1:26" x14ac:dyDescent="0.25">
      <c r="A4307" t="str">
        <f t="shared" si="1750"/>
        <v>04-08-2020 12:53:46</v>
      </c>
      <c r="B4307" t="str">
        <f>"0000806632"</f>
        <v>0000806632</v>
      </c>
      <c r="C4307" t="str">
        <f t="shared" si="1751"/>
        <v>0000806585</v>
      </c>
      <c r="D4307" t="str">
        <f t="shared" si="1754"/>
        <v>73185</v>
      </c>
      <c r="E4307" t="str">
        <f t="shared" si="1755"/>
        <v>KFH-OPERATIONS DEPARTMENT</v>
      </c>
      <c r="F4307" t="str">
        <f t="shared" si="1756"/>
        <v>IBG</v>
      </c>
      <c r="G4307" t="str">
        <f t="shared" si="1767"/>
        <v>Refund COSHARE 10</v>
      </c>
      <c r="H4307" s="2">
        <v>92.35</v>
      </c>
      <c r="I4307" t="str">
        <f>"ISWARDI BIN CHE JAMIL"</f>
        <v>ISWARDI BIN CHE JAMIL</v>
      </c>
      <c r="J4307" t="str">
        <f t="shared" si="1768"/>
        <v>MAYBANK / MAYBANK ISLAMIC</v>
      </c>
      <c r="K4307" t="str">
        <f>"158172788535"</f>
        <v>158172788535</v>
      </c>
      <c r="L4307" t="str">
        <f t="shared" ref="L4307:M4326" si="1769">"04-08-2020"</f>
        <v>04-08-2020</v>
      </c>
      <c r="M4307" t="str">
        <f t="shared" si="1769"/>
        <v>04-08-2020</v>
      </c>
      <c r="N4307" t="str">
        <f t="shared" si="1757"/>
        <v>001105018356</v>
      </c>
      <c r="O4307" t="str">
        <f t="shared" si="1758"/>
        <v>MYR</v>
      </c>
      <c r="P4307" t="str">
        <f t="shared" ref="P4307:Q4326" si="1770">"NIL"</f>
        <v>NIL</v>
      </c>
      <c r="Q4307" t="str">
        <f t="shared" si="1770"/>
        <v>NIL</v>
      </c>
      <c r="R4307" t="str">
        <f t="shared" si="1759"/>
        <v>Accepted</v>
      </c>
      <c r="S4307" t="str">
        <f t="shared" si="1760"/>
        <v>Approved</v>
      </c>
      <c r="T4307" t="str">
        <f t="shared" si="1761"/>
        <v>10.20.8.188</v>
      </c>
      <c r="U4307" t="str">
        <f t="shared" si="1762"/>
        <v>AZRAD UMAR BIN SHAARI</v>
      </c>
      <c r="V4307" t="str">
        <f t="shared" si="1763"/>
        <v>FARHANA BINTI MUSTAPA</v>
      </c>
      <c r="W4307" t="str">
        <f t="shared" si="1764"/>
        <v>04-08-2020</v>
      </c>
      <c r="X4307" t="str">
        <f t="shared" si="1765"/>
        <v>RAZIMAH ANSAR AHMAD</v>
      </c>
      <c r="Y4307" t="str">
        <f t="shared" si="1766"/>
        <v>04-08-2020</v>
      </c>
      <c r="Z4307" t="str">
        <f>"COS10200804 4847"</f>
        <v>COS10200804 4847</v>
      </c>
    </row>
    <row r="4308" spans="1:26" x14ac:dyDescent="0.25">
      <c r="A4308" t="str">
        <f t="shared" si="1750"/>
        <v>04-08-2020 12:53:46</v>
      </c>
      <c r="B4308" t="str">
        <f>"0000806631"</f>
        <v>0000806631</v>
      </c>
      <c r="C4308" t="str">
        <f t="shared" si="1751"/>
        <v>0000806585</v>
      </c>
      <c r="D4308" t="str">
        <f t="shared" si="1754"/>
        <v>73185</v>
      </c>
      <c r="E4308" t="str">
        <f t="shared" si="1755"/>
        <v>KFH-OPERATIONS DEPARTMENT</v>
      </c>
      <c r="F4308" t="str">
        <f t="shared" si="1756"/>
        <v>IBG</v>
      </c>
      <c r="G4308" t="str">
        <f t="shared" si="1767"/>
        <v>Refund COSHARE 10</v>
      </c>
      <c r="H4308" s="2">
        <v>159.5</v>
      </c>
      <c r="I4308" t="str">
        <f>"ISWANDIE BIN MOHAMMID ALI"</f>
        <v>ISWANDIE BIN MOHAMMID ALI</v>
      </c>
      <c r="J4308" t="str">
        <f t="shared" si="1768"/>
        <v>MAYBANK / MAYBANK ISLAMIC</v>
      </c>
      <c r="K4308" t="str">
        <f>"111114062738"</f>
        <v>111114062738</v>
      </c>
      <c r="L4308" t="str">
        <f t="shared" si="1769"/>
        <v>04-08-2020</v>
      </c>
      <c r="M4308" t="str">
        <f t="shared" si="1769"/>
        <v>04-08-2020</v>
      </c>
      <c r="N4308" t="str">
        <f t="shared" si="1757"/>
        <v>001105018356</v>
      </c>
      <c r="O4308" t="str">
        <f t="shared" si="1758"/>
        <v>MYR</v>
      </c>
      <c r="P4308" t="str">
        <f t="shared" si="1770"/>
        <v>NIL</v>
      </c>
      <c r="Q4308" t="str">
        <f t="shared" si="1770"/>
        <v>NIL</v>
      </c>
      <c r="R4308" t="str">
        <f t="shared" si="1759"/>
        <v>Accepted</v>
      </c>
      <c r="S4308" t="str">
        <f t="shared" si="1760"/>
        <v>Approved</v>
      </c>
      <c r="T4308" t="str">
        <f t="shared" si="1761"/>
        <v>10.20.8.188</v>
      </c>
      <c r="U4308" t="str">
        <f t="shared" si="1762"/>
        <v>AZRAD UMAR BIN SHAARI</v>
      </c>
      <c r="V4308" t="str">
        <f t="shared" si="1763"/>
        <v>FARHANA BINTI MUSTAPA</v>
      </c>
      <c r="W4308" t="str">
        <f t="shared" si="1764"/>
        <v>04-08-2020</v>
      </c>
      <c r="X4308" t="str">
        <f t="shared" si="1765"/>
        <v>RAZIMAH ANSAR AHMAD</v>
      </c>
      <c r="Y4308" t="str">
        <f t="shared" si="1766"/>
        <v>04-08-2020</v>
      </c>
      <c r="Z4308" t="str">
        <f>"COS10200804 4846"</f>
        <v>COS10200804 4846</v>
      </c>
    </row>
    <row r="4309" spans="1:26" x14ac:dyDescent="0.25">
      <c r="A4309" t="str">
        <f t="shared" si="1750"/>
        <v>04-08-2020 12:53:46</v>
      </c>
      <c r="B4309" t="str">
        <f>"0000806630"</f>
        <v>0000806630</v>
      </c>
      <c r="C4309" t="str">
        <f t="shared" si="1751"/>
        <v>0000806585</v>
      </c>
      <c r="D4309" t="str">
        <f t="shared" si="1754"/>
        <v>73185</v>
      </c>
      <c r="E4309" t="str">
        <f t="shared" si="1755"/>
        <v>KFH-OPERATIONS DEPARTMENT</v>
      </c>
      <c r="F4309" t="str">
        <f t="shared" si="1756"/>
        <v>IBG</v>
      </c>
      <c r="G4309" t="str">
        <f t="shared" si="1767"/>
        <v>Refund COSHARE 10</v>
      </c>
      <c r="H4309" s="2">
        <v>366</v>
      </c>
      <c r="I4309" t="str">
        <f>"ISTAZZ HARDYAN BIN EIDDROS"</f>
        <v>ISTAZZ HARDYAN BIN EIDDROS</v>
      </c>
      <c r="J4309" t="str">
        <f t="shared" si="1768"/>
        <v>MAYBANK / MAYBANK ISLAMIC</v>
      </c>
      <c r="K4309" t="str">
        <f>"114348125101"</f>
        <v>114348125101</v>
      </c>
      <c r="L4309" t="str">
        <f t="shared" si="1769"/>
        <v>04-08-2020</v>
      </c>
      <c r="M4309" t="str">
        <f t="shared" si="1769"/>
        <v>04-08-2020</v>
      </c>
      <c r="N4309" t="str">
        <f t="shared" si="1757"/>
        <v>001105018356</v>
      </c>
      <c r="O4309" t="str">
        <f t="shared" si="1758"/>
        <v>MYR</v>
      </c>
      <c r="P4309" t="str">
        <f t="shared" si="1770"/>
        <v>NIL</v>
      </c>
      <c r="Q4309" t="str">
        <f t="shared" si="1770"/>
        <v>NIL</v>
      </c>
      <c r="R4309" t="str">
        <f t="shared" si="1759"/>
        <v>Accepted</v>
      </c>
      <c r="S4309" t="str">
        <f t="shared" si="1760"/>
        <v>Approved</v>
      </c>
      <c r="T4309" t="str">
        <f t="shared" si="1761"/>
        <v>10.20.8.188</v>
      </c>
      <c r="U4309" t="str">
        <f t="shared" si="1762"/>
        <v>AZRAD UMAR BIN SHAARI</v>
      </c>
      <c r="V4309" t="str">
        <f t="shared" si="1763"/>
        <v>FARHANA BINTI MUSTAPA</v>
      </c>
      <c r="W4309" t="str">
        <f t="shared" si="1764"/>
        <v>04-08-2020</v>
      </c>
      <c r="X4309" t="str">
        <f t="shared" si="1765"/>
        <v>RAZIMAH ANSAR AHMAD</v>
      </c>
      <c r="Y4309" t="str">
        <f t="shared" si="1766"/>
        <v>04-08-2020</v>
      </c>
      <c r="Z4309" t="str">
        <f>"COS10200804 4845"</f>
        <v>COS10200804 4845</v>
      </c>
    </row>
    <row r="4310" spans="1:26" x14ac:dyDescent="0.25">
      <c r="A4310" t="str">
        <f t="shared" si="1750"/>
        <v>04-08-2020 12:53:46</v>
      </c>
      <c r="B4310" t="str">
        <f>"0000806629"</f>
        <v>0000806629</v>
      </c>
      <c r="C4310" t="str">
        <f t="shared" si="1751"/>
        <v>0000806585</v>
      </c>
      <c r="D4310" t="str">
        <f t="shared" si="1754"/>
        <v>73185</v>
      </c>
      <c r="E4310" t="str">
        <f t="shared" si="1755"/>
        <v>KFH-OPERATIONS DEPARTMENT</v>
      </c>
      <c r="F4310" t="str">
        <f t="shared" si="1756"/>
        <v>IBG</v>
      </c>
      <c r="G4310" t="str">
        <f t="shared" si="1767"/>
        <v>Refund COSHARE 10</v>
      </c>
      <c r="H4310" s="2">
        <v>649</v>
      </c>
      <c r="I4310" t="str">
        <f>"ISNALYNEE ADINAH BINTI ISMAIL"</f>
        <v>ISNALYNEE ADINAH BINTI ISMAIL</v>
      </c>
      <c r="J4310" t="str">
        <f t="shared" si="1768"/>
        <v>MAYBANK / MAYBANK ISLAMIC</v>
      </c>
      <c r="K4310" t="str">
        <f>"151070005036"</f>
        <v>151070005036</v>
      </c>
      <c r="L4310" t="str">
        <f t="shared" si="1769"/>
        <v>04-08-2020</v>
      </c>
      <c r="M4310" t="str">
        <f t="shared" si="1769"/>
        <v>04-08-2020</v>
      </c>
      <c r="N4310" t="str">
        <f t="shared" si="1757"/>
        <v>001105018356</v>
      </c>
      <c r="O4310" t="str">
        <f t="shared" si="1758"/>
        <v>MYR</v>
      </c>
      <c r="P4310" t="str">
        <f t="shared" si="1770"/>
        <v>NIL</v>
      </c>
      <c r="Q4310" t="str">
        <f t="shared" si="1770"/>
        <v>NIL</v>
      </c>
      <c r="R4310" t="str">
        <f t="shared" si="1759"/>
        <v>Accepted</v>
      </c>
      <c r="S4310" t="str">
        <f t="shared" si="1760"/>
        <v>Approved</v>
      </c>
      <c r="T4310" t="str">
        <f t="shared" si="1761"/>
        <v>10.20.8.188</v>
      </c>
      <c r="U4310" t="str">
        <f t="shared" si="1762"/>
        <v>AZRAD UMAR BIN SHAARI</v>
      </c>
      <c r="V4310" t="str">
        <f t="shared" si="1763"/>
        <v>FARHANA BINTI MUSTAPA</v>
      </c>
      <c r="W4310" t="str">
        <f t="shared" si="1764"/>
        <v>04-08-2020</v>
      </c>
      <c r="X4310" t="str">
        <f t="shared" si="1765"/>
        <v>RAZIMAH ANSAR AHMAD</v>
      </c>
      <c r="Y4310" t="str">
        <f t="shared" si="1766"/>
        <v>04-08-2020</v>
      </c>
      <c r="Z4310" t="str">
        <f>"COS10200804 4844"</f>
        <v>COS10200804 4844</v>
      </c>
    </row>
    <row r="4311" spans="1:26" x14ac:dyDescent="0.25">
      <c r="A4311" t="str">
        <f t="shared" si="1750"/>
        <v>04-08-2020 12:53:46</v>
      </c>
      <c r="B4311" t="str">
        <f>"0000806628"</f>
        <v>0000806628</v>
      </c>
      <c r="C4311" t="str">
        <f t="shared" si="1751"/>
        <v>0000806585</v>
      </c>
      <c r="D4311" t="str">
        <f t="shared" si="1754"/>
        <v>73185</v>
      </c>
      <c r="E4311" t="str">
        <f t="shared" si="1755"/>
        <v>KFH-OPERATIONS DEPARTMENT</v>
      </c>
      <c r="F4311" t="str">
        <f t="shared" si="1756"/>
        <v>IBG</v>
      </c>
      <c r="G4311" t="str">
        <f t="shared" si="1767"/>
        <v>Refund COSHARE 10</v>
      </c>
      <c r="H4311" s="2">
        <v>44.35</v>
      </c>
      <c r="I4311" t="str">
        <f>"ISNAINI BINTI SAPUAN"</f>
        <v>ISNAINI BINTI SAPUAN</v>
      </c>
      <c r="J4311" t="str">
        <f t="shared" si="1768"/>
        <v>MAYBANK / MAYBANK ISLAMIC</v>
      </c>
      <c r="K4311" t="str">
        <f>"151397072933"</f>
        <v>151397072933</v>
      </c>
      <c r="L4311" t="str">
        <f t="shared" si="1769"/>
        <v>04-08-2020</v>
      </c>
      <c r="M4311" t="str">
        <f t="shared" si="1769"/>
        <v>04-08-2020</v>
      </c>
      <c r="N4311" t="str">
        <f t="shared" si="1757"/>
        <v>001105018356</v>
      </c>
      <c r="O4311" t="str">
        <f t="shared" si="1758"/>
        <v>MYR</v>
      </c>
      <c r="P4311" t="str">
        <f t="shared" si="1770"/>
        <v>NIL</v>
      </c>
      <c r="Q4311" t="str">
        <f t="shared" si="1770"/>
        <v>NIL</v>
      </c>
      <c r="R4311" t="str">
        <f t="shared" si="1759"/>
        <v>Accepted</v>
      </c>
      <c r="S4311" t="str">
        <f t="shared" si="1760"/>
        <v>Approved</v>
      </c>
      <c r="T4311" t="str">
        <f t="shared" si="1761"/>
        <v>10.20.8.188</v>
      </c>
      <c r="U4311" t="str">
        <f t="shared" si="1762"/>
        <v>AZRAD UMAR BIN SHAARI</v>
      </c>
      <c r="V4311" t="str">
        <f t="shared" si="1763"/>
        <v>FARHANA BINTI MUSTAPA</v>
      </c>
      <c r="W4311" t="str">
        <f t="shared" si="1764"/>
        <v>04-08-2020</v>
      </c>
      <c r="X4311" t="str">
        <f t="shared" si="1765"/>
        <v>RAZIMAH ANSAR AHMAD</v>
      </c>
      <c r="Y4311" t="str">
        <f t="shared" si="1766"/>
        <v>04-08-2020</v>
      </c>
      <c r="Z4311" t="str">
        <f>"COS10200804 4843"</f>
        <v>COS10200804 4843</v>
      </c>
    </row>
    <row r="4312" spans="1:26" x14ac:dyDescent="0.25">
      <c r="A4312" t="str">
        <f t="shared" si="1750"/>
        <v>04-08-2020 12:53:46</v>
      </c>
      <c r="B4312" t="str">
        <f>"0000806627"</f>
        <v>0000806627</v>
      </c>
      <c r="C4312" t="str">
        <f t="shared" si="1751"/>
        <v>0000806585</v>
      </c>
      <c r="D4312" t="str">
        <f t="shared" si="1754"/>
        <v>73185</v>
      </c>
      <c r="E4312" t="str">
        <f t="shared" si="1755"/>
        <v>KFH-OPERATIONS DEPARTMENT</v>
      </c>
      <c r="F4312" t="str">
        <f t="shared" si="1756"/>
        <v>IBG</v>
      </c>
      <c r="G4312" t="str">
        <f t="shared" si="1767"/>
        <v>Refund COSHARE 10</v>
      </c>
      <c r="H4312" s="2">
        <v>125.95</v>
      </c>
      <c r="I4312" t="str">
        <f>"ISMAZULFARID BIN ISHAK"</f>
        <v>ISMAZULFARID BIN ISHAK</v>
      </c>
      <c r="J4312" t="str">
        <f t="shared" si="1768"/>
        <v>MAYBANK / MAYBANK ISLAMIC</v>
      </c>
      <c r="K4312" t="str">
        <f>"156208075670"</f>
        <v>156208075670</v>
      </c>
      <c r="L4312" t="str">
        <f t="shared" si="1769"/>
        <v>04-08-2020</v>
      </c>
      <c r="M4312" t="str">
        <f t="shared" si="1769"/>
        <v>04-08-2020</v>
      </c>
      <c r="N4312" t="str">
        <f t="shared" si="1757"/>
        <v>001105018356</v>
      </c>
      <c r="O4312" t="str">
        <f t="shared" si="1758"/>
        <v>MYR</v>
      </c>
      <c r="P4312" t="str">
        <f t="shared" si="1770"/>
        <v>NIL</v>
      </c>
      <c r="Q4312" t="str">
        <f t="shared" si="1770"/>
        <v>NIL</v>
      </c>
      <c r="R4312" t="str">
        <f t="shared" si="1759"/>
        <v>Accepted</v>
      </c>
      <c r="S4312" t="str">
        <f t="shared" si="1760"/>
        <v>Approved</v>
      </c>
      <c r="T4312" t="str">
        <f t="shared" si="1761"/>
        <v>10.20.8.188</v>
      </c>
      <c r="U4312" t="str">
        <f t="shared" si="1762"/>
        <v>AZRAD UMAR BIN SHAARI</v>
      </c>
      <c r="V4312" t="str">
        <f t="shared" si="1763"/>
        <v>FARHANA BINTI MUSTAPA</v>
      </c>
      <c r="W4312" t="str">
        <f t="shared" si="1764"/>
        <v>04-08-2020</v>
      </c>
      <c r="X4312" t="str">
        <f t="shared" si="1765"/>
        <v>RAZIMAH ANSAR AHMAD</v>
      </c>
      <c r="Y4312" t="str">
        <f t="shared" si="1766"/>
        <v>04-08-2020</v>
      </c>
      <c r="Z4312" t="str">
        <f>"COS10200804 4842"</f>
        <v>COS10200804 4842</v>
      </c>
    </row>
    <row r="4313" spans="1:26" x14ac:dyDescent="0.25">
      <c r="A4313" t="str">
        <f t="shared" si="1750"/>
        <v>04-08-2020 12:53:46</v>
      </c>
      <c r="B4313" t="str">
        <f>"0000806626"</f>
        <v>0000806626</v>
      </c>
      <c r="C4313" t="str">
        <f t="shared" si="1751"/>
        <v>0000806585</v>
      </c>
      <c r="D4313" t="str">
        <f t="shared" si="1754"/>
        <v>73185</v>
      </c>
      <c r="E4313" t="str">
        <f t="shared" si="1755"/>
        <v>KFH-OPERATIONS DEPARTMENT</v>
      </c>
      <c r="F4313" t="str">
        <f t="shared" si="1756"/>
        <v>IBG</v>
      </c>
      <c r="G4313" t="str">
        <f t="shared" si="1767"/>
        <v>Refund COSHARE 10</v>
      </c>
      <c r="H4313" s="2">
        <v>117.55</v>
      </c>
      <c r="I4313" t="str">
        <f>"ISMAROBIROHAIZAD BINTI ISMAYATIM"</f>
        <v>ISMAROBIROHAIZAD BINTI ISMAYATIM</v>
      </c>
      <c r="J4313" t="str">
        <f t="shared" si="1768"/>
        <v>MAYBANK / MAYBANK ISLAMIC</v>
      </c>
      <c r="K4313" t="str">
        <f>"157157759987"</f>
        <v>157157759987</v>
      </c>
      <c r="L4313" t="str">
        <f t="shared" si="1769"/>
        <v>04-08-2020</v>
      </c>
      <c r="M4313" t="str">
        <f t="shared" si="1769"/>
        <v>04-08-2020</v>
      </c>
      <c r="N4313" t="str">
        <f t="shared" si="1757"/>
        <v>001105018356</v>
      </c>
      <c r="O4313" t="str">
        <f t="shared" si="1758"/>
        <v>MYR</v>
      </c>
      <c r="P4313" t="str">
        <f t="shared" si="1770"/>
        <v>NIL</v>
      </c>
      <c r="Q4313" t="str">
        <f t="shared" si="1770"/>
        <v>NIL</v>
      </c>
      <c r="R4313" t="str">
        <f t="shared" si="1759"/>
        <v>Accepted</v>
      </c>
      <c r="S4313" t="str">
        <f t="shared" si="1760"/>
        <v>Approved</v>
      </c>
      <c r="T4313" t="str">
        <f t="shared" si="1761"/>
        <v>10.20.8.188</v>
      </c>
      <c r="U4313" t="str">
        <f t="shared" si="1762"/>
        <v>AZRAD UMAR BIN SHAARI</v>
      </c>
      <c r="V4313" t="str">
        <f t="shared" si="1763"/>
        <v>FARHANA BINTI MUSTAPA</v>
      </c>
      <c r="W4313" t="str">
        <f t="shared" si="1764"/>
        <v>04-08-2020</v>
      </c>
      <c r="X4313" t="str">
        <f t="shared" si="1765"/>
        <v>RAZIMAH ANSAR AHMAD</v>
      </c>
      <c r="Y4313" t="str">
        <f t="shared" si="1766"/>
        <v>04-08-2020</v>
      </c>
      <c r="Z4313" t="str">
        <f>"COS10200804 4841"</f>
        <v>COS10200804 4841</v>
      </c>
    </row>
    <row r="4314" spans="1:26" x14ac:dyDescent="0.25">
      <c r="A4314" t="str">
        <f t="shared" ref="A4314:A4345" si="1771">"04-08-2020 12:53:46"</f>
        <v>04-08-2020 12:53:46</v>
      </c>
      <c r="B4314" t="str">
        <f>"0000806625"</f>
        <v>0000806625</v>
      </c>
      <c r="C4314" t="str">
        <f t="shared" ref="C4314:C4345" si="1772">"0000806585"</f>
        <v>0000806585</v>
      </c>
      <c r="D4314" t="str">
        <f t="shared" si="1754"/>
        <v>73185</v>
      </c>
      <c r="E4314" t="str">
        <f t="shared" si="1755"/>
        <v>KFH-OPERATIONS DEPARTMENT</v>
      </c>
      <c r="F4314" t="str">
        <f t="shared" si="1756"/>
        <v>IBG</v>
      </c>
      <c r="G4314" t="str">
        <f t="shared" si="1767"/>
        <v>Refund COSHARE 10</v>
      </c>
      <c r="H4314" s="2">
        <v>260.25</v>
      </c>
      <c r="I4314" t="str">
        <f>"ISMALIZAWATI BINTI ISMAIL"</f>
        <v>ISMALIZAWATI BINTI ISMAIL</v>
      </c>
      <c r="J4314" t="str">
        <f t="shared" si="1768"/>
        <v>MAYBANK / MAYBANK ISLAMIC</v>
      </c>
      <c r="K4314" t="str">
        <f>"164052033388"</f>
        <v>164052033388</v>
      </c>
      <c r="L4314" t="str">
        <f t="shared" si="1769"/>
        <v>04-08-2020</v>
      </c>
      <c r="M4314" t="str">
        <f t="shared" si="1769"/>
        <v>04-08-2020</v>
      </c>
      <c r="N4314" t="str">
        <f t="shared" si="1757"/>
        <v>001105018356</v>
      </c>
      <c r="O4314" t="str">
        <f t="shared" si="1758"/>
        <v>MYR</v>
      </c>
      <c r="P4314" t="str">
        <f t="shared" si="1770"/>
        <v>NIL</v>
      </c>
      <c r="Q4314" t="str">
        <f t="shared" si="1770"/>
        <v>NIL</v>
      </c>
      <c r="R4314" t="str">
        <f t="shared" si="1759"/>
        <v>Accepted</v>
      </c>
      <c r="S4314" t="str">
        <f t="shared" si="1760"/>
        <v>Approved</v>
      </c>
      <c r="T4314" t="str">
        <f t="shared" si="1761"/>
        <v>10.20.8.188</v>
      </c>
      <c r="U4314" t="str">
        <f t="shared" si="1762"/>
        <v>AZRAD UMAR BIN SHAARI</v>
      </c>
      <c r="V4314" t="str">
        <f t="shared" si="1763"/>
        <v>FARHANA BINTI MUSTAPA</v>
      </c>
      <c r="W4314" t="str">
        <f t="shared" si="1764"/>
        <v>04-08-2020</v>
      </c>
      <c r="X4314" t="str">
        <f t="shared" si="1765"/>
        <v>RAZIMAH ANSAR AHMAD</v>
      </c>
      <c r="Y4314" t="str">
        <f t="shared" si="1766"/>
        <v>04-08-2020</v>
      </c>
      <c r="Z4314" t="str">
        <f>"COS10200804 4840"</f>
        <v>COS10200804 4840</v>
      </c>
    </row>
    <row r="4315" spans="1:26" x14ac:dyDescent="0.25">
      <c r="A4315" t="str">
        <f t="shared" si="1771"/>
        <v>04-08-2020 12:53:46</v>
      </c>
      <c r="B4315" t="str">
        <f>"0000806624"</f>
        <v>0000806624</v>
      </c>
      <c r="C4315" t="str">
        <f t="shared" si="1772"/>
        <v>0000806585</v>
      </c>
      <c r="D4315" t="str">
        <f t="shared" si="1754"/>
        <v>73185</v>
      </c>
      <c r="E4315" t="str">
        <f t="shared" si="1755"/>
        <v>KFH-OPERATIONS DEPARTMENT</v>
      </c>
      <c r="F4315" t="str">
        <f t="shared" si="1756"/>
        <v>IBG</v>
      </c>
      <c r="G4315" t="str">
        <f t="shared" si="1767"/>
        <v>Refund COSHARE 10</v>
      </c>
      <c r="H4315" s="2">
        <v>204.65</v>
      </c>
      <c r="I4315" t="str">
        <f>"ISMAIL BIN YON"</f>
        <v>ISMAIL BIN YON</v>
      </c>
      <c r="J4315" t="str">
        <f t="shared" si="1768"/>
        <v>MAYBANK / MAYBANK ISLAMIC</v>
      </c>
      <c r="K4315" t="str">
        <f>"101067076937"</f>
        <v>101067076937</v>
      </c>
      <c r="L4315" t="str">
        <f t="shared" si="1769"/>
        <v>04-08-2020</v>
      </c>
      <c r="M4315" t="str">
        <f t="shared" si="1769"/>
        <v>04-08-2020</v>
      </c>
      <c r="N4315" t="str">
        <f t="shared" si="1757"/>
        <v>001105018356</v>
      </c>
      <c r="O4315" t="str">
        <f t="shared" si="1758"/>
        <v>MYR</v>
      </c>
      <c r="P4315" t="str">
        <f t="shared" si="1770"/>
        <v>NIL</v>
      </c>
      <c r="Q4315" t="str">
        <f t="shared" si="1770"/>
        <v>NIL</v>
      </c>
      <c r="R4315" t="str">
        <f t="shared" si="1759"/>
        <v>Accepted</v>
      </c>
      <c r="S4315" t="str">
        <f t="shared" si="1760"/>
        <v>Approved</v>
      </c>
      <c r="T4315" t="str">
        <f t="shared" si="1761"/>
        <v>10.20.8.188</v>
      </c>
      <c r="U4315" t="str">
        <f t="shared" si="1762"/>
        <v>AZRAD UMAR BIN SHAARI</v>
      </c>
      <c r="V4315" t="str">
        <f t="shared" si="1763"/>
        <v>FARHANA BINTI MUSTAPA</v>
      </c>
      <c r="W4315" t="str">
        <f t="shared" si="1764"/>
        <v>04-08-2020</v>
      </c>
      <c r="X4315" t="str">
        <f t="shared" si="1765"/>
        <v>RAZIMAH ANSAR AHMAD</v>
      </c>
      <c r="Y4315" t="str">
        <f t="shared" si="1766"/>
        <v>04-08-2020</v>
      </c>
      <c r="Z4315" t="str">
        <f>"COS10200804 4839"</f>
        <v>COS10200804 4839</v>
      </c>
    </row>
    <row r="4316" spans="1:26" x14ac:dyDescent="0.25">
      <c r="A4316" t="str">
        <f t="shared" si="1771"/>
        <v>04-08-2020 12:53:46</v>
      </c>
      <c r="B4316" t="str">
        <f>"0000806623"</f>
        <v>0000806623</v>
      </c>
      <c r="C4316" t="str">
        <f t="shared" si="1772"/>
        <v>0000806585</v>
      </c>
      <c r="D4316" t="str">
        <f t="shared" si="1754"/>
        <v>73185</v>
      </c>
      <c r="E4316" t="str">
        <f t="shared" si="1755"/>
        <v>KFH-OPERATIONS DEPARTMENT</v>
      </c>
      <c r="F4316" t="str">
        <f t="shared" si="1756"/>
        <v>IBG</v>
      </c>
      <c r="G4316" t="str">
        <f t="shared" si="1767"/>
        <v>Refund COSHARE 10</v>
      </c>
      <c r="H4316" s="2">
        <v>372</v>
      </c>
      <c r="I4316" t="str">
        <f>"ISMAIL BIN WAGIMAN"</f>
        <v>ISMAIL BIN WAGIMAN</v>
      </c>
      <c r="J4316" t="str">
        <f t="shared" si="1768"/>
        <v>MAYBANK / MAYBANK ISLAMIC</v>
      </c>
      <c r="K4316" t="str">
        <f>"151070985526"</f>
        <v>151070985526</v>
      </c>
      <c r="L4316" t="str">
        <f t="shared" si="1769"/>
        <v>04-08-2020</v>
      </c>
      <c r="M4316" t="str">
        <f t="shared" si="1769"/>
        <v>04-08-2020</v>
      </c>
      <c r="N4316" t="str">
        <f t="shared" si="1757"/>
        <v>001105018356</v>
      </c>
      <c r="O4316" t="str">
        <f t="shared" si="1758"/>
        <v>MYR</v>
      </c>
      <c r="P4316" t="str">
        <f t="shared" si="1770"/>
        <v>NIL</v>
      </c>
      <c r="Q4316" t="str">
        <f t="shared" si="1770"/>
        <v>NIL</v>
      </c>
      <c r="R4316" t="str">
        <f t="shared" si="1759"/>
        <v>Accepted</v>
      </c>
      <c r="S4316" t="str">
        <f t="shared" si="1760"/>
        <v>Approved</v>
      </c>
      <c r="T4316" t="str">
        <f t="shared" si="1761"/>
        <v>10.20.8.188</v>
      </c>
      <c r="U4316" t="str">
        <f t="shared" si="1762"/>
        <v>AZRAD UMAR BIN SHAARI</v>
      </c>
      <c r="V4316" t="str">
        <f t="shared" si="1763"/>
        <v>FARHANA BINTI MUSTAPA</v>
      </c>
      <c r="W4316" t="str">
        <f t="shared" si="1764"/>
        <v>04-08-2020</v>
      </c>
      <c r="X4316" t="str">
        <f t="shared" si="1765"/>
        <v>RAZIMAH ANSAR AHMAD</v>
      </c>
      <c r="Y4316" t="str">
        <f t="shared" si="1766"/>
        <v>04-08-2020</v>
      </c>
      <c r="Z4316" t="str">
        <f>"COS10200804 4838"</f>
        <v>COS10200804 4838</v>
      </c>
    </row>
    <row r="4317" spans="1:26" x14ac:dyDescent="0.25">
      <c r="A4317" t="str">
        <f t="shared" si="1771"/>
        <v>04-08-2020 12:53:46</v>
      </c>
      <c r="B4317" t="str">
        <f>"0000806622"</f>
        <v>0000806622</v>
      </c>
      <c r="C4317" t="str">
        <f t="shared" si="1772"/>
        <v>0000806585</v>
      </c>
      <c r="D4317" t="str">
        <f t="shared" si="1754"/>
        <v>73185</v>
      </c>
      <c r="E4317" t="str">
        <f t="shared" si="1755"/>
        <v>KFH-OPERATIONS DEPARTMENT</v>
      </c>
      <c r="F4317" t="str">
        <f t="shared" si="1756"/>
        <v>IBG</v>
      </c>
      <c r="G4317" t="str">
        <f t="shared" si="1767"/>
        <v>Refund COSHARE 10</v>
      </c>
      <c r="H4317" s="2">
        <v>889.25</v>
      </c>
      <c r="I4317" t="str">
        <f>"ISMAIL BIN SHAFIE"</f>
        <v>ISMAIL BIN SHAFIE</v>
      </c>
      <c r="J4317" t="str">
        <f t="shared" si="1768"/>
        <v>MAYBANK / MAYBANK ISLAMIC</v>
      </c>
      <c r="K4317" t="str">
        <f>"114187211912"</f>
        <v>114187211912</v>
      </c>
      <c r="L4317" t="str">
        <f t="shared" si="1769"/>
        <v>04-08-2020</v>
      </c>
      <c r="M4317" t="str">
        <f t="shared" si="1769"/>
        <v>04-08-2020</v>
      </c>
      <c r="N4317" t="str">
        <f t="shared" si="1757"/>
        <v>001105018356</v>
      </c>
      <c r="O4317" t="str">
        <f t="shared" si="1758"/>
        <v>MYR</v>
      </c>
      <c r="P4317" t="str">
        <f t="shared" si="1770"/>
        <v>NIL</v>
      </c>
      <c r="Q4317" t="str">
        <f t="shared" si="1770"/>
        <v>NIL</v>
      </c>
      <c r="R4317" t="str">
        <f t="shared" si="1759"/>
        <v>Accepted</v>
      </c>
      <c r="S4317" t="str">
        <f t="shared" si="1760"/>
        <v>Approved</v>
      </c>
      <c r="T4317" t="str">
        <f t="shared" si="1761"/>
        <v>10.20.8.188</v>
      </c>
      <c r="U4317" t="str">
        <f t="shared" si="1762"/>
        <v>AZRAD UMAR BIN SHAARI</v>
      </c>
      <c r="V4317" t="str">
        <f t="shared" si="1763"/>
        <v>FARHANA BINTI MUSTAPA</v>
      </c>
      <c r="W4317" t="str">
        <f t="shared" si="1764"/>
        <v>04-08-2020</v>
      </c>
      <c r="X4317" t="str">
        <f t="shared" si="1765"/>
        <v>RAZIMAH ANSAR AHMAD</v>
      </c>
      <c r="Y4317" t="str">
        <f t="shared" si="1766"/>
        <v>04-08-2020</v>
      </c>
      <c r="Z4317" t="str">
        <f>"COS10200804 4837"</f>
        <v>COS10200804 4837</v>
      </c>
    </row>
    <row r="4318" spans="1:26" x14ac:dyDescent="0.25">
      <c r="A4318" t="str">
        <f t="shared" si="1771"/>
        <v>04-08-2020 12:53:46</v>
      </c>
      <c r="B4318" t="str">
        <f>"0000806621"</f>
        <v>0000806621</v>
      </c>
      <c r="C4318" t="str">
        <f t="shared" si="1772"/>
        <v>0000806585</v>
      </c>
      <c r="D4318" t="str">
        <f t="shared" si="1754"/>
        <v>73185</v>
      </c>
      <c r="E4318" t="str">
        <f t="shared" si="1755"/>
        <v>KFH-OPERATIONS DEPARTMENT</v>
      </c>
      <c r="F4318" t="str">
        <f t="shared" si="1756"/>
        <v>IBG</v>
      </c>
      <c r="G4318" t="str">
        <f t="shared" si="1767"/>
        <v>Refund COSHARE 10</v>
      </c>
      <c r="H4318" s="2">
        <v>655</v>
      </c>
      <c r="I4318" t="str">
        <f>"ISMAIL BIN MOHAMAD HASHIM"</f>
        <v>ISMAIL BIN MOHAMAD HASHIM</v>
      </c>
      <c r="J4318" t="str">
        <f t="shared" si="1768"/>
        <v>MAYBANK / MAYBANK ISLAMIC</v>
      </c>
      <c r="K4318" t="str">
        <f>"164052301526"</f>
        <v>164052301526</v>
      </c>
      <c r="L4318" t="str">
        <f t="shared" si="1769"/>
        <v>04-08-2020</v>
      </c>
      <c r="M4318" t="str">
        <f t="shared" si="1769"/>
        <v>04-08-2020</v>
      </c>
      <c r="N4318" t="str">
        <f t="shared" si="1757"/>
        <v>001105018356</v>
      </c>
      <c r="O4318" t="str">
        <f t="shared" si="1758"/>
        <v>MYR</v>
      </c>
      <c r="P4318" t="str">
        <f t="shared" si="1770"/>
        <v>NIL</v>
      </c>
      <c r="Q4318" t="str">
        <f t="shared" si="1770"/>
        <v>NIL</v>
      </c>
      <c r="R4318" t="str">
        <f t="shared" si="1759"/>
        <v>Accepted</v>
      </c>
      <c r="S4318" t="str">
        <f t="shared" si="1760"/>
        <v>Approved</v>
      </c>
      <c r="T4318" t="str">
        <f t="shared" si="1761"/>
        <v>10.20.8.188</v>
      </c>
      <c r="U4318" t="str">
        <f t="shared" si="1762"/>
        <v>AZRAD UMAR BIN SHAARI</v>
      </c>
      <c r="V4318" t="str">
        <f t="shared" si="1763"/>
        <v>FARHANA BINTI MUSTAPA</v>
      </c>
      <c r="W4318" t="str">
        <f t="shared" si="1764"/>
        <v>04-08-2020</v>
      </c>
      <c r="X4318" t="str">
        <f t="shared" si="1765"/>
        <v>RAZIMAH ANSAR AHMAD</v>
      </c>
      <c r="Y4318" t="str">
        <f t="shared" si="1766"/>
        <v>04-08-2020</v>
      </c>
      <c r="Z4318" t="str">
        <f>"COS10200804 4836"</f>
        <v>COS10200804 4836</v>
      </c>
    </row>
    <row r="4319" spans="1:26" x14ac:dyDescent="0.25">
      <c r="A4319" t="str">
        <f t="shared" si="1771"/>
        <v>04-08-2020 12:53:46</v>
      </c>
      <c r="B4319" t="str">
        <f>"0000806620"</f>
        <v>0000806620</v>
      </c>
      <c r="C4319" t="str">
        <f t="shared" si="1772"/>
        <v>0000806585</v>
      </c>
      <c r="D4319" t="str">
        <f t="shared" si="1754"/>
        <v>73185</v>
      </c>
      <c r="E4319" t="str">
        <f t="shared" si="1755"/>
        <v>KFH-OPERATIONS DEPARTMENT</v>
      </c>
      <c r="F4319" t="str">
        <f t="shared" si="1756"/>
        <v>IBG</v>
      </c>
      <c r="G4319" t="str">
        <f t="shared" si="1767"/>
        <v>Refund COSHARE 10</v>
      </c>
      <c r="H4319" s="2">
        <v>260.25</v>
      </c>
      <c r="I4319" t="str">
        <f>"ISMAIL BIN MOHAMAD HANAFIAH"</f>
        <v>ISMAIL BIN MOHAMAD HANAFIAH</v>
      </c>
      <c r="J4319" t="str">
        <f t="shared" si="1768"/>
        <v>MAYBANK / MAYBANK ISLAMIC</v>
      </c>
      <c r="K4319" t="str">
        <f>"162441023500"</f>
        <v>162441023500</v>
      </c>
      <c r="L4319" t="str">
        <f t="shared" si="1769"/>
        <v>04-08-2020</v>
      </c>
      <c r="M4319" t="str">
        <f t="shared" si="1769"/>
        <v>04-08-2020</v>
      </c>
      <c r="N4319" t="str">
        <f t="shared" si="1757"/>
        <v>001105018356</v>
      </c>
      <c r="O4319" t="str">
        <f t="shared" si="1758"/>
        <v>MYR</v>
      </c>
      <c r="P4319" t="str">
        <f t="shared" si="1770"/>
        <v>NIL</v>
      </c>
      <c r="Q4319" t="str">
        <f t="shared" si="1770"/>
        <v>NIL</v>
      </c>
      <c r="R4319" t="str">
        <f t="shared" si="1759"/>
        <v>Accepted</v>
      </c>
      <c r="S4319" t="str">
        <f t="shared" si="1760"/>
        <v>Approved</v>
      </c>
      <c r="T4319" t="str">
        <f t="shared" si="1761"/>
        <v>10.20.8.188</v>
      </c>
      <c r="U4319" t="str">
        <f t="shared" si="1762"/>
        <v>AZRAD UMAR BIN SHAARI</v>
      </c>
      <c r="V4319" t="str">
        <f t="shared" si="1763"/>
        <v>FARHANA BINTI MUSTAPA</v>
      </c>
      <c r="W4319" t="str">
        <f t="shared" si="1764"/>
        <v>04-08-2020</v>
      </c>
      <c r="X4319" t="str">
        <f t="shared" si="1765"/>
        <v>RAZIMAH ANSAR AHMAD</v>
      </c>
      <c r="Y4319" t="str">
        <f t="shared" si="1766"/>
        <v>04-08-2020</v>
      </c>
      <c r="Z4319" t="str">
        <f>"COS10200804 4835"</f>
        <v>COS10200804 4835</v>
      </c>
    </row>
    <row r="4320" spans="1:26" x14ac:dyDescent="0.25">
      <c r="A4320" t="str">
        <f t="shared" si="1771"/>
        <v>04-08-2020 12:53:46</v>
      </c>
      <c r="B4320" t="str">
        <f>"0000806619"</f>
        <v>0000806619</v>
      </c>
      <c r="C4320" t="str">
        <f t="shared" si="1772"/>
        <v>0000806585</v>
      </c>
      <c r="D4320" t="str">
        <f t="shared" si="1754"/>
        <v>73185</v>
      </c>
      <c r="E4320" t="str">
        <f t="shared" si="1755"/>
        <v>KFH-OPERATIONS DEPARTMENT</v>
      </c>
      <c r="F4320" t="str">
        <f t="shared" si="1756"/>
        <v>IBG</v>
      </c>
      <c r="G4320" t="str">
        <f t="shared" si="1767"/>
        <v>Refund COSHARE 10</v>
      </c>
      <c r="H4320" s="2">
        <v>461.75</v>
      </c>
      <c r="I4320" t="str">
        <f>"ISMAIL BIN MOHAMAD ALI"</f>
        <v>ISMAIL BIN MOHAMAD ALI</v>
      </c>
      <c r="J4320" t="str">
        <f t="shared" si="1768"/>
        <v>MAYBANK / MAYBANK ISLAMIC</v>
      </c>
      <c r="K4320" t="str">
        <f>"164128559817"</f>
        <v>164128559817</v>
      </c>
      <c r="L4320" t="str">
        <f t="shared" si="1769"/>
        <v>04-08-2020</v>
      </c>
      <c r="M4320" t="str">
        <f t="shared" si="1769"/>
        <v>04-08-2020</v>
      </c>
      <c r="N4320" t="str">
        <f t="shared" si="1757"/>
        <v>001105018356</v>
      </c>
      <c r="O4320" t="str">
        <f t="shared" si="1758"/>
        <v>MYR</v>
      </c>
      <c r="P4320" t="str">
        <f t="shared" si="1770"/>
        <v>NIL</v>
      </c>
      <c r="Q4320" t="str">
        <f t="shared" si="1770"/>
        <v>NIL</v>
      </c>
      <c r="R4320" t="str">
        <f t="shared" si="1759"/>
        <v>Accepted</v>
      </c>
      <c r="S4320" t="str">
        <f t="shared" si="1760"/>
        <v>Approved</v>
      </c>
      <c r="T4320" t="str">
        <f t="shared" si="1761"/>
        <v>10.20.8.188</v>
      </c>
      <c r="U4320" t="str">
        <f t="shared" si="1762"/>
        <v>AZRAD UMAR BIN SHAARI</v>
      </c>
      <c r="V4320" t="str">
        <f t="shared" si="1763"/>
        <v>FARHANA BINTI MUSTAPA</v>
      </c>
      <c r="W4320" t="str">
        <f t="shared" si="1764"/>
        <v>04-08-2020</v>
      </c>
      <c r="X4320" t="str">
        <f t="shared" si="1765"/>
        <v>RAZIMAH ANSAR AHMAD</v>
      </c>
      <c r="Y4320" t="str">
        <f t="shared" si="1766"/>
        <v>04-08-2020</v>
      </c>
      <c r="Z4320" t="str">
        <f>"COS10200804 4834"</f>
        <v>COS10200804 4834</v>
      </c>
    </row>
    <row r="4321" spans="1:26" x14ac:dyDescent="0.25">
      <c r="A4321" t="str">
        <f t="shared" si="1771"/>
        <v>04-08-2020 12:53:46</v>
      </c>
      <c r="B4321" t="str">
        <f>"0000806618"</f>
        <v>0000806618</v>
      </c>
      <c r="C4321" t="str">
        <f t="shared" si="1772"/>
        <v>0000806585</v>
      </c>
      <c r="D4321" t="str">
        <f t="shared" si="1754"/>
        <v>73185</v>
      </c>
      <c r="E4321" t="str">
        <f t="shared" si="1755"/>
        <v>KFH-OPERATIONS DEPARTMENT</v>
      </c>
      <c r="F4321" t="str">
        <f t="shared" si="1756"/>
        <v>IBG</v>
      </c>
      <c r="G4321" t="str">
        <f t="shared" si="1767"/>
        <v>Refund COSHARE 10</v>
      </c>
      <c r="H4321" s="2">
        <v>225.95</v>
      </c>
      <c r="I4321" t="str">
        <f>"ISMAIL BIN MD AMIN"</f>
        <v>ISMAIL BIN MD AMIN</v>
      </c>
      <c r="J4321" t="str">
        <f t="shared" si="1768"/>
        <v>MAYBANK / MAYBANK ISLAMIC</v>
      </c>
      <c r="K4321" t="str">
        <f>"101075445949"</f>
        <v>101075445949</v>
      </c>
      <c r="L4321" t="str">
        <f t="shared" si="1769"/>
        <v>04-08-2020</v>
      </c>
      <c r="M4321" t="str">
        <f t="shared" si="1769"/>
        <v>04-08-2020</v>
      </c>
      <c r="N4321" t="str">
        <f t="shared" si="1757"/>
        <v>001105018356</v>
      </c>
      <c r="O4321" t="str">
        <f t="shared" si="1758"/>
        <v>MYR</v>
      </c>
      <c r="P4321" t="str">
        <f t="shared" si="1770"/>
        <v>NIL</v>
      </c>
      <c r="Q4321" t="str">
        <f t="shared" si="1770"/>
        <v>NIL</v>
      </c>
      <c r="R4321" t="str">
        <f t="shared" si="1759"/>
        <v>Accepted</v>
      </c>
      <c r="S4321" t="str">
        <f t="shared" si="1760"/>
        <v>Approved</v>
      </c>
      <c r="T4321" t="str">
        <f t="shared" si="1761"/>
        <v>10.20.8.188</v>
      </c>
      <c r="U4321" t="str">
        <f t="shared" si="1762"/>
        <v>AZRAD UMAR BIN SHAARI</v>
      </c>
      <c r="V4321" t="str">
        <f t="shared" si="1763"/>
        <v>FARHANA BINTI MUSTAPA</v>
      </c>
      <c r="W4321" t="str">
        <f t="shared" si="1764"/>
        <v>04-08-2020</v>
      </c>
      <c r="X4321" t="str">
        <f t="shared" si="1765"/>
        <v>RAZIMAH ANSAR AHMAD</v>
      </c>
      <c r="Y4321" t="str">
        <f t="shared" si="1766"/>
        <v>04-08-2020</v>
      </c>
      <c r="Z4321" t="str">
        <f>"COS10200804 4833"</f>
        <v>COS10200804 4833</v>
      </c>
    </row>
    <row r="4322" spans="1:26" x14ac:dyDescent="0.25">
      <c r="A4322" t="str">
        <f t="shared" si="1771"/>
        <v>04-08-2020 12:53:46</v>
      </c>
      <c r="B4322" t="str">
        <f>"0000806617"</f>
        <v>0000806617</v>
      </c>
      <c r="C4322" t="str">
        <f t="shared" si="1772"/>
        <v>0000806585</v>
      </c>
      <c r="D4322" t="str">
        <f t="shared" si="1754"/>
        <v>73185</v>
      </c>
      <c r="E4322" t="str">
        <f t="shared" si="1755"/>
        <v>KFH-OPERATIONS DEPARTMENT</v>
      </c>
      <c r="F4322" t="str">
        <f t="shared" si="1756"/>
        <v>IBG</v>
      </c>
      <c r="G4322" t="str">
        <f t="shared" si="1767"/>
        <v>Refund COSHARE 10</v>
      </c>
      <c r="H4322" s="2">
        <v>69</v>
      </c>
      <c r="I4322" t="str">
        <f>"ISMAIL BIN MD AMIN"</f>
        <v>ISMAIL BIN MD AMIN</v>
      </c>
      <c r="J4322" t="str">
        <f t="shared" si="1768"/>
        <v>MAYBANK / MAYBANK ISLAMIC</v>
      </c>
      <c r="K4322" t="str">
        <f>"101075445949"</f>
        <v>101075445949</v>
      </c>
      <c r="L4322" t="str">
        <f t="shared" si="1769"/>
        <v>04-08-2020</v>
      </c>
      <c r="M4322" t="str">
        <f t="shared" si="1769"/>
        <v>04-08-2020</v>
      </c>
      <c r="N4322" t="str">
        <f t="shared" si="1757"/>
        <v>001105018356</v>
      </c>
      <c r="O4322" t="str">
        <f t="shared" si="1758"/>
        <v>MYR</v>
      </c>
      <c r="P4322" t="str">
        <f t="shared" si="1770"/>
        <v>NIL</v>
      </c>
      <c r="Q4322" t="str">
        <f t="shared" si="1770"/>
        <v>NIL</v>
      </c>
      <c r="R4322" t="str">
        <f t="shared" si="1759"/>
        <v>Accepted</v>
      </c>
      <c r="S4322" t="str">
        <f t="shared" si="1760"/>
        <v>Approved</v>
      </c>
      <c r="T4322" t="str">
        <f t="shared" si="1761"/>
        <v>10.20.8.188</v>
      </c>
      <c r="U4322" t="str">
        <f t="shared" si="1762"/>
        <v>AZRAD UMAR BIN SHAARI</v>
      </c>
      <c r="V4322" t="str">
        <f t="shared" si="1763"/>
        <v>FARHANA BINTI MUSTAPA</v>
      </c>
      <c r="W4322" t="str">
        <f t="shared" si="1764"/>
        <v>04-08-2020</v>
      </c>
      <c r="X4322" t="str">
        <f t="shared" si="1765"/>
        <v>RAZIMAH ANSAR AHMAD</v>
      </c>
      <c r="Y4322" t="str">
        <f t="shared" si="1766"/>
        <v>04-08-2020</v>
      </c>
      <c r="Z4322" t="str">
        <f>"COS10200804 4832"</f>
        <v>COS10200804 4832</v>
      </c>
    </row>
    <row r="4323" spans="1:26" x14ac:dyDescent="0.25">
      <c r="A4323" t="str">
        <f t="shared" si="1771"/>
        <v>04-08-2020 12:53:46</v>
      </c>
      <c r="B4323" t="str">
        <f>"0000806616"</f>
        <v>0000806616</v>
      </c>
      <c r="C4323" t="str">
        <f t="shared" si="1772"/>
        <v>0000806585</v>
      </c>
      <c r="D4323" t="str">
        <f t="shared" si="1754"/>
        <v>73185</v>
      </c>
      <c r="E4323" t="str">
        <f t="shared" si="1755"/>
        <v>KFH-OPERATIONS DEPARTMENT</v>
      </c>
      <c r="F4323" t="str">
        <f t="shared" si="1756"/>
        <v>IBG</v>
      </c>
      <c r="G4323" t="str">
        <f t="shared" si="1767"/>
        <v>Refund COSHARE 10</v>
      </c>
      <c r="H4323" s="2">
        <v>58.95</v>
      </c>
      <c r="I4323" t="str">
        <f>"ISMAIL BIN MAAROF"</f>
        <v>ISMAIL BIN MAAROF</v>
      </c>
      <c r="J4323" t="str">
        <f t="shared" si="1768"/>
        <v>MAYBANK / MAYBANK ISLAMIC</v>
      </c>
      <c r="K4323" t="str">
        <f>"110040124524"</f>
        <v>110040124524</v>
      </c>
      <c r="L4323" t="str">
        <f t="shared" si="1769"/>
        <v>04-08-2020</v>
      </c>
      <c r="M4323" t="str">
        <f t="shared" si="1769"/>
        <v>04-08-2020</v>
      </c>
      <c r="N4323" t="str">
        <f t="shared" si="1757"/>
        <v>001105018356</v>
      </c>
      <c r="O4323" t="str">
        <f t="shared" si="1758"/>
        <v>MYR</v>
      </c>
      <c r="P4323" t="str">
        <f t="shared" si="1770"/>
        <v>NIL</v>
      </c>
      <c r="Q4323" t="str">
        <f t="shared" si="1770"/>
        <v>NIL</v>
      </c>
      <c r="R4323" t="str">
        <f t="shared" si="1759"/>
        <v>Accepted</v>
      </c>
      <c r="S4323" t="str">
        <f t="shared" si="1760"/>
        <v>Approved</v>
      </c>
      <c r="T4323" t="str">
        <f t="shared" si="1761"/>
        <v>10.20.8.188</v>
      </c>
      <c r="U4323" t="str">
        <f t="shared" si="1762"/>
        <v>AZRAD UMAR BIN SHAARI</v>
      </c>
      <c r="V4323" t="str">
        <f t="shared" si="1763"/>
        <v>FARHANA BINTI MUSTAPA</v>
      </c>
      <c r="W4323" t="str">
        <f t="shared" si="1764"/>
        <v>04-08-2020</v>
      </c>
      <c r="X4323" t="str">
        <f t="shared" si="1765"/>
        <v>RAZIMAH ANSAR AHMAD</v>
      </c>
      <c r="Y4323" t="str">
        <f t="shared" si="1766"/>
        <v>04-08-2020</v>
      </c>
      <c r="Z4323" t="str">
        <f>"COS10200804 4831"</f>
        <v>COS10200804 4831</v>
      </c>
    </row>
    <row r="4324" spans="1:26" x14ac:dyDescent="0.25">
      <c r="A4324" t="str">
        <f t="shared" si="1771"/>
        <v>04-08-2020 12:53:46</v>
      </c>
      <c r="B4324" t="str">
        <f>"0000806615"</f>
        <v>0000806615</v>
      </c>
      <c r="C4324" t="str">
        <f t="shared" si="1772"/>
        <v>0000806585</v>
      </c>
      <c r="D4324" t="str">
        <f t="shared" si="1754"/>
        <v>73185</v>
      </c>
      <c r="E4324" t="str">
        <f t="shared" si="1755"/>
        <v>KFH-OPERATIONS DEPARTMENT</v>
      </c>
      <c r="F4324" t="str">
        <f t="shared" si="1756"/>
        <v>IBG</v>
      </c>
      <c r="G4324" t="str">
        <f t="shared" si="1767"/>
        <v>Refund COSHARE 10</v>
      </c>
      <c r="H4324" s="2">
        <v>225.2</v>
      </c>
      <c r="I4324" t="str">
        <f>"ISMAIL BIN ABU BAKAR"</f>
        <v>ISMAIL BIN ABU BAKAR</v>
      </c>
      <c r="J4324" t="str">
        <f t="shared" si="1768"/>
        <v>MAYBANK / MAYBANK ISLAMIC</v>
      </c>
      <c r="K4324" t="str">
        <f>"101011320601"</f>
        <v>101011320601</v>
      </c>
      <c r="L4324" t="str">
        <f t="shared" si="1769"/>
        <v>04-08-2020</v>
      </c>
      <c r="M4324" t="str">
        <f t="shared" si="1769"/>
        <v>04-08-2020</v>
      </c>
      <c r="N4324" t="str">
        <f t="shared" si="1757"/>
        <v>001105018356</v>
      </c>
      <c r="O4324" t="str">
        <f t="shared" si="1758"/>
        <v>MYR</v>
      </c>
      <c r="P4324" t="str">
        <f t="shared" si="1770"/>
        <v>NIL</v>
      </c>
      <c r="Q4324" t="str">
        <f t="shared" si="1770"/>
        <v>NIL</v>
      </c>
      <c r="R4324" t="str">
        <f t="shared" si="1759"/>
        <v>Accepted</v>
      </c>
      <c r="S4324" t="str">
        <f t="shared" si="1760"/>
        <v>Approved</v>
      </c>
      <c r="T4324" t="str">
        <f t="shared" si="1761"/>
        <v>10.20.8.188</v>
      </c>
      <c r="U4324" t="str">
        <f t="shared" si="1762"/>
        <v>AZRAD UMAR BIN SHAARI</v>
      </c>
      <c r="V4324" t="str">
        <f t="shared" si="1763"/>
        <v>FARHANA BINTI MUSTAPA</v>
      </c>
      <c r="W4324" t="str">
        <f t="shared" si="1764"/>
        <v>04-08-2020</v>
      </c>
      <c r="X4324" t="str">
        <f t="shared" si="1765"/>
        <v>RAZIMAH ANSAR AHMAD</v>
      </c>
      <c r="Y4324" t="str">
        <f t="shared" si="1766"/>
        <v>04-08-2020</v>
      </c>
      <c r="Z4324" t="str">
        <f>"COS10200804 4830"</f>
        <v>COS10200804 4830</v>
      </c>
    </row>
    <row r="4325" spans="1:26" x14ac:dyDescent="0.25">
      <c r="A4325" t="str">
        <f t="shared" si="1771"/>
        <v>04-08-2020 12:53:46</v>
      </c>
      <c r="B4325" t="str">
        <f>"0000806614"</f>
        <v>0000806614</v>
      </c>
      <c r="C4325" t="str">
        <f t="shared" si="1772"/>
        <v>0000806585</v>
      </c>
      <c r="D4325" t="str">
        <f t="shared" si="1754"/>
        <v>73185</v>
      </c>
      <c r="E4325" t="str">
        <f t="shared" si="1755"/>
        <v>KFH-OPERATIONS DEPARTMENT</v>
      </c>
      <c r="F4325" t="str">
        <f t="shared" si="1756"/>
        <v>IBG</v>
      </c>
      <c r="G4325" t="str">
        <f t="shared" si="1767"/>
        <v>Refund COSHARE 10</v>
      </c>
      <c r="H4325" s="2">
        <v>251.85</v>
      </c>
      <c r="I4325" t="str">
        <f>"ISMAIL BIN ABDULLAH"</f>
        <v>ISMAIL BIN ABDULLAH</v>
      </c>
      <c r="J4325" t="str">
        <f t="shared" si="1768"/>
        <v>MAYBANK / MAYBANK ISLAMIC</v>
      </c>
      <c r="K4325" t="str">
        <f>"160102340134"</f>
        <v>160102340134</v>
      </c>
      <c r="L4325" t="str">
        <f t="shared" si="1769"/>
        <v>04-08-2020</v>
      </c>
      <c r="M4325" t="str">
        <f t="shared" si="1769"/>
        <v>04-08-2020</v>
      </c>
      <c r="N4325" t="str">
        <f t="shared" si="1757"/>
        <v>001105018356</v>
      </c>
      <c r="O4325" t="str">
        <f t="shared" si="1758"/>
        <v>MYR</v>
      </c>
      <c r="P4325" t="str">
        <f t="shared" si="1770"/>
        <v>NIL</v>
      </c>
      <c r="Q4325" t="str">
        <f t="shared" si="1770"/>
        <v>NIL</v>
      </c>
      <c r="R4325" t="str">
        <f t="shared" si="1759"/>
        <v>Accepted</v>
      </c>
      <c r="S4325" t="str">
        <f t="shared" si="1760"/>
        <v>Approved</v>
      </c>
      <c r="T4325" t="str">
        <f t="shared" si="1761"/>
        <v>10.20.8.188</v>
      </c>
      <c r="U4325" t="str">
        <f t="shared" si="1762"/>
        <v>AZRAD UMAR BIN SHAARI</v>
      </c>
      <c r="V4325" t="str">
        <f t="shared" si="1763"/>
        <v>FARHANA BINTI MUSTAPA</v>
      </c>
      <c r="W4325" t="str">
        <f t="shared" si="1764"/>
        <v>04-08-2020</v>
      </c>
      <c r="X4325" t="str">
        <f t="shared" si="1765"/>
        <v>RAZIMAH ANSAR AHMAD</v>
      </c>
      <c r="Y4325" t="str">
        <f t="shared" si="1766"/>
        <v>04-08-2020</v>
      </c>
      <c r="Z4325" t="str">
        <f>"COS10200804 4829"</f>
        <v>COS10200804 4829</v>
      </c>
    </row>
    <row r="4326" spans="1:26" x14ac:dyDescent="0.25">
      <c r="A4326" t="str">
        <f t="shared" si="1771"/>
        <v>04-08-2020 12:53:46</v>
      </c>
      <c r="B4326" t="str">
        <f>"0000806613"</f>
        <v>0000806613</v>
      </c>
      <c r="C4326" t="str">
        <f t="shared" si="1772"/>
        <v>0000806585</v>
      </c>
      <c r="D4326" t="str">
        <f t="shared" si="1754"/>
        <v>73185</v>
      </c>
      <c r="E4326" t="str">
        <f t="shared" si="1755"/>
        <v>KFH-OPERATIONS DEPARTMENT</v>
      </c>
      <c r="F4326" t="str">
        <f t="shared" si="1756"/>
        <v>IBG</v>
      </c>
      <c r="G4326" t="str">
        <f t="shared" si="1767"/>
        <v>Refund COSHARE 10</v>
      </c>
      <c r="H4326" s="2">
        <v>1318</v>
      </c>
      <c r="I4326" t="str">
        <f>"ISMAHANI BINTI AZIMEE"</f>
        <v>ISMAHANI BINTI AZIMEE</v>
      </c>
      <c r="J4326" t="str">
        <f t="shared" si="1768"/>
        <v>MAYBANK / MAYBANK ISLAMIC</v>
      </c>
      <c r="K4326" t="str">
        <f>"107117219770"</f>
        <v>107117219770</v>
      </c>
      <c r="L4326" t="str">
        <f t="shared" si="1769"/>
        <v>04-08-2020</v>
      </c>
      <c r="M4326" t="str">
        <f t="shared" si="1769"/>
        <v>04-08-2020</v>
      </c>
      <c r="N4326" t="str">
        <f t="shared" si="1757"/>
        <v>001105018356</v>
      </c>
      <c r="O4326" t="str">
        <f t="shared" si="1758"/>
        <v>MYR</v>
      </c>
      <c r="P4326" t="str">
        <f t="shared" si="1770"/>
        <v>NIL</v>
      </c>
      <c r="Q4326" t="str">
        <f t="shared" si="1770"/>
        <v>NIL</v>
      </c>
      <c r="R4326" t="str">
        <f t="shared" si="1759"/>
        <v>Accepted</v>
      </c>
      <c r="S4326" t="str">
        <f t="shared" si="1760"/>
        <v>Approved</v>
      </c>
      <c r="T4326" t="str">
        <f t="shared" si="1761"/>
        <v>10.20.8.188</v>
      </c>
      <c r="U4326" t="str">
        <f t="shared" si="1762"/>
        <v>AZRAD UMAR BIN SHAARI</v>
      </c>
      <c r="V4326" t="str">
        <f t="shared" si="1763"/>
        <v>FARHANA BINTI MUSTAPA</v>
      </c>
      <c r="W4326" t="str">
        <f t="shared" si="1764"/>
        <v>04-08-2020</v>
      </c>
      <c r="X4326" t="str">
        <f t="shared" si="1765"/>
        <v>RAZIMAH ANSAR AHMAD</v>
      </c>
      <c r="Y4326" t="str">
        <f t="shared" si="1766"/>
        <v>04-08-2020</v>
      </c>
      <c r="Z4326" t="str">
        <f>"COS10200804 4828"</f>
        <v>COS10200804 4828</v>
      </c>
    </row>
    <row r="4327" spans="1:26" x14ac:dyDescent="0.25">
      <c r="A4327" t="str">
        <f t="shared" si="1771"/>
        <v>04-08-2020 12:53:46</v>
      </c>
      <c r="B4327" t="str">
        <f>"0000806612"</f>
        <v>0000806612</v>
      </c>
      <c r="C4327" t="str">
        <f t="shared" si="1772"/>
        <v>0000806585</v>
      </c>
      <c r="D4327" t="str">
        <f t="shared" si="1754"/>
        <v>73185</v>
      </c>
      <c r="E4327" t="str">
        <f t="shared" si="1755"/>
        <v>KFH-OPERATIONS DEPARTMENT</v>
      </c>
      <c r="F4327" t="str">
        <f t="shared" si="1756"/>
        <v>IBG</v>
      </c>
      <c r="G4327" t="str">
        <f t="shared" si="1767"/>
        <v>Refund COSHARE 10</v>
      </c>
      <c r="H4327" s="2">
        <v>114</v>
      </c>
      <c r="I4327" t="str">
        <f>"ISMADI BIN ISMAIL"</f>
        <v>ISMADI BIN ISMAIL</v>
      </c>
      <c r="J4327" t="str">
        <f t="shared" si="1768"/>
        <v>MAYBANK / MAYBANK ISLAMIC</v>
      </c>
      <c r="K4327" t="str">
        <f>"162384755607"</f>
        <v>162384755607</v>
      </c>
      <c r="L4327" t="str">
        <f t="shared" ref="L4327:M4346" si="1773">"04-08-2020"</f>
        <v>04-08-2020</v>
      </c>
      <c r="M4327" t="str">
        <f t="shared" si="1773"/>
        <v>04-08-2020</v>
      </c>
      <c r="N4327" t="str">
        <f t="shared" si="1757"/>
        <v>001105018356</v>
      </c>
      <c r="O4327" t="str">
        <f t="shared" si="1758"/>
        <v>MYR</v>
      </c>
      <c r="P4327" t="str">
        <f t="shared" ref="P4327:Q4346" si="1774">"NIL"</f>
        <v>NIL</v>
      </c>
      <c r="Q4327" t="str">
        <f t="shared" si="1774"/>
        <v>NIL</v>
      </c>
      <c r="R4327" t="str">
        <f t="shared" si="1759"/>
        <v>Accepted</v>
      </c>
      <c r="S4327" t="str">
        <f t="shared" si="1760"/>
        <v>Approved</v>
      </c>
      <c r="T4327" t="str">
        <f t="shared" si="1761"/>
        <v>10.20.8.188</v>
      </c>
      <c r="U4327" t="str">
        <f t="shared" si="1762"/>
        <v>AZRAD UMAR BIN SHAARI</v>
      </c>
      <c r="V4327" t="str">
        <f t="shared" si="1763"/>
        <v>FARHANA BINTI MUSTAPA</v>
      </c>
      <c r="W4327" t="str">
        <f t="shared" si="1764"/>
        <v>04-08-2020</v>
      </c>
      <c r="X4327" t="str">
        <f t="shared" si="1765"/>
        <v>RAZIMAH ANSAR AHMAD</v>
      </c>
      <c r="Y4327" t="str">
        <f t="shared" si="1766"/>
        <v>04-08-2020</v>
      </c>
      <c r="Z4327" t="str">
        <f>"COS10200804 4827"</f>
        <v>COS10200804 4827</v>
      </c>
    </row>
    <row r="4328" spans="1:26" x14ac:dyDescent="0.25">
      <c r="A4328" t="str">
        <f t="shared" si="1771"/>
        <v>04-08-2020 12:53:46</v>
      </c>
      <c r="B4328" t="str">
        <f>"0000806611"</f>
        <v>0000806611</v>
      </c>
      <c r="C4328" t="str">
        <f t="shared" si="1772"/>
        <v>0000806585</v>
      </c>
      <c r="D4328" t="str">
        <f t="shared" si="1754"/>
        <v>73185</v>
      </c>
      <c r="E4328" t="str">
        <f t="shared" si="1755"/>
        <v>KFH-OPERATIONS DEPARTMENT</v>
      </c>
      <c r="F4328" t="str">
        <f t="shared" si="1756"/>
        <v>IBG</v>
      </c>
      <c r="G4328" t="str">
        <f t="shared" si="1767"/>
        <v>Refund COSHARE 10</v>
      </c>
      <c r="H4328" s="2">
        <v>396.1</v>
      </c>
      <c r="I4328" t="str">
        <f>"ISMADI BIN ISMAIL"</f>
        <v>ISMADI BIN ISMAIL</v>
      </c>
      <c r="J4328" t="str">
        <f t="shared" si="1768"/>
        <v>MAYBANK / MAYBANK ISLAMIC</v>
      </c>
      <c r="K4328" t="str">
        <f>"153010136637"</f>
        <v>153010136637</v>
      </c>
      <c r="L4328" t="str">
        <f t="shared" si="1773"/>
        <v>04-08-2020</v>
      </c>
      <c r="M4328" t="str">
        <f t="shared" si="1773"/>
        <v>04-08-2020</v>
      </c>
      <c r="N4328" t="str">
        <f t="shared" si="1757"/>
        <v>001105018356</v>
      </c>
      <c r="O4328" t="str">
        <f t="shared" si="1758"/>
        <v>MYR</v>
      </c>
      <c r="P4328" t="str">
        <f t="shared" si="1774"/>
        <v>NIL</v>
      </c>
      <c r="Q4328" t="str">
        <f t="shared" si="1774"/>
        <v>NIL</v>
      </c>
      <c r="R4328" t="str">
        <f t="shared" si="1759"/>
        <v>Accepted</v>
      </c>
      <c r="S4328" t="str">
        <f t="shared" si="1760"/>
        <v>Approved</v>
      </c>
      <c r="T4328" t="str">
        <f t="shared" si="1761"/>
        <v>10.20.8.188</v>
      </c>
      <c r="U4328" t="str">
        <f t="shared" si="1762"/>
        <v>AZRAD UMAR BIN SHAARI</v>
      </c>
      <c r="V4328" t="str">
        <f t="shared" si="1763"/>
        <v>FARHANA BINTI MUSTAPA</v>
      </c>
      <c r="W4328" t="str">
        <f t="shared" si="1764"/>
        <v>04-08-2020</v>
      </c>
      <c r="X4328" t="str">
        <f t="shared" si="1765"/>
        <v>RAZIMAH ANSAR AHMAD</v>
      </c>
      <c r="Y4328" t="str">
        <f t="shared" si="1766"/>
        <v>04-08-2020</v>
      </c>
      <c r="Z4328" t="str">
        <f>"COS10200804 4826"</f>
        <v>COS10200804 4826</v>
      </c>
    </row>
    <row r="4329" spans="1:26" x14ac:dyDescent="0.25">
      <c r="A4329" t="str">
        <f t="shared" si="1771"/>
        <v>04-08-2020 12:53:46</v>
      </c>
      <c r="B4329" t="str">
        <f>"0000806610"</f>
        <v>0000806610</v>
      </c>
      <c r="C4329" t="str">
        <f t="shared" si="1772"/>
        <v>0000806585</v>
      </c>
      <c r="D4329" t="str">
        <f t="shared" si="1754"/>
        <v>73185</v>
      </c>
      <c r="E4329" t="str">
        <f t="shared" si="1755"/>
        <v>KFH-OPERATIONS DEPARTMENT</v>
      </c>
      <c r="F4329" t="str">
        <f t="shared" si="1756"/>
        <v>IBG</v>
      </c>
      <c r="G4329" t="str">
        <f t="shared" si="1767"/>
        <v>Refund COSHARE 10</v>
      </c>
      <c r="H4329" s="2">
        <v>302.25</v>
      </c>
      <c r="I4329" t="str">
        <f>"ISLAMIAH BINTI RAMLYSHAM"</f>
        <v>ISLAMIAH BINTI RAMLYSHAM</v>
      </c>
      <c r="J4329" t="str">
        <f t="shared" si="1768"/>
        <v>MAYBANK / MAYBANK ISLAMIC</v>
      </c>
      <c r="K4329" t="str">
        <f>"160214006964"</f>
        <v>160214006964</v>
      </c>
      <c r="L4329" t="str">
        <f t="shared" si="1773"/>
        <v>04-08-2020</v>
      </c>
      <c r="M4329" t="str">
        <f t="shared" si="1773"/>
        <v>04-08-2020</v>
      </c>
      <c r="N4329" t="str">
        <f t="shared" si="1757"/>
        <v>001105018356</v>
      </c>
      <c r="O4329" t="str">
        <f t="shared" si="1758"/>
        <v>MYR</v>
      </c>
      <c r="P4329" t="str">
        <f t="shared" si="1774"/>
        <v>NIL</v>
      </c>
      <c r="Q4329" t="str">
        <f t="shared" si="1774"/>
        <v>NIL</v>
      </c>
      <c r="R4329" t="str">
        <f t="shared" si="1759"/>
        <v>Accepted</v>
      </c>
      <c r="S4329" t="str">
        <f t="shared" si="1760"/>
        <v>Approved</v>
      </c>
      <c r="T4329" t="str">
        <f t="shared" si="1761"/>
        <v>10.20.8.188</v>
      </c>
      <c r="U4329" t="str">
        <f t="shared" si="1762"/>
        <v>AZRAD UMAR BIN SHAARI</v>
      </c>
      <c r="V4329" t="str">
        <f t="shared" si="1763"/>
        <v>FARHANA BINTI MUSTAPA</v>
      </c>
      <c r="W4329" t="str">
        <f t="shared" si="1764"/>
        <v>04-08-2020</v>
      </c>
      <c r="X4329" t="str">
        <f t="shared" si="1765"/>
        <v>RAZIMAH ANSAR AHMAD</v>
      </c>
      <c r="Y4329" t="str">
        <f t="shared" si="1766"/>
        <v>04-08-2020</v>
      </c>
      <c r="Z4329" t="str">
        <f>"COS10200804 4825"</f>
        <v>COS10200804 4825</v>
      </c>
    </row>
    <row r="4330" spans="1:26" x14ac:dyDescent="0.25">
      <c r="A4330" t="str">
        <f t="shared" si="1771"/>
        <v>04-08-2020 12:53:46</v>
      </c>
      <c r="B4330" t="str">
        <f>"0000806609"</f>
        <v>0000806609</v>
      </c>
      <c r="C4330" t="str">
        <f t="shared" si="1772"/>
        <v>0000806585</v>
      </c>
      <c r="D4330" t="str">
        <f t="shared" si="1754"/>
        <v>73185</v>
      </c>
      <c r="E4330" t="str">
        <f t="shared" si="1755"/>
        <v>KFH-OPERATIONS DEPARTMENT</v>
      </c>
      <c r="F4330" t="str">
        <f t="shared" si="1756"/>
        <v>IBG</v>
      </c>
      <c r="G4330" t="str">
        <f t="shared" si="1767"/>
        <v>Refund COSHARE 10</v>
      </c>
      <c r="H4330" s="2">
        <v>251.85</v>
      </c>
      <c r="I4330" t="str">
        <f>"ISKANDAR BIN ABDUL KADIR"</f>
        <v>ISKANDAR BIN ABDUL KADIR</v>
      </c>
      <c r="J4330" t="str">
        <f t="shared" si="1768"/>
        <v>MAYBANK / MAYBANK ISLAMIC</v>
      </c>
      <c r="K4330" t="str">
        <f>"151071035593"</f>
        <v>151071035593</v>
      </c>
      <c r="L4330" t="str">
        <f t="shared" si="1773"/>
        <v>04-08-2020</v>
      </c>
      <c r="M4330" t="str">
        <f t="shared" si="1773"/>
        <v>04-08-2020</v>
      </c>
      <c r="N4330" t="str">
        <f t="shared" si="1757"/>
        <v>001105018356</v>
      </c>
      <c r="O4330" t="str">
        <f t="shared" si="1758"/>
        <v>MYR</v>
      </c>
      <c r="P4330" t="str">
        <f t="shared" si="1774"/>
        <v>NIL</v>
      </c>
      <c r="Q4330" t="str">
        <f t="shared" si="1774"/>
        <v>NIL</v>
      </c>
      <c r="R4330" t="str">
        <f t="shared" si="1759"/>
        <v>Accepted</v>
      </c>
      <c r="S4330" t="str">
        <f t="shared" si="1760"/>
        <v>Approved</v>
      </c>
      <c r="T4330" t="str">
        <f t="shared" si="1761"/>
        <v>10.20.8.188</v>
      </c>
      <c r="U4330" t="str">
        <f t="shared" si="1762"/>
        <v>AZRAD UMAR BIN SHAARI</v>
      </c>
      <c r="V4330" t="str">
        <f t="shared" si="1763"/>
        <v>FARHANA BINTI MUSTAPA</v>
      </c>
      <c r="W4330" t="str">
        <f t="shared" si="1764"/>
        <v>04-08-2020</v>
      </c>
      <c r="X4330" t="str">
        <f t="shared" si="1765"/>
        <v>RAZIMAH ANSAR AHMAD</v>
      </c>
      <c r="Y4330" t="str">
        <f t="shared" si="1766"/>
        <v>04-08-2020</v>
      </c>
      <c r="Z4330" t="str">
        <f>"COS10200804 4824"</f>
        <v>COS10200804 4824</v>
      </c>
    </row>
    <row r="4331" spans="1:26" x14ac:dyDescent="0.25">
      <c r="A4331" t="str">
        <f t="shared" si="1771"/>
        <v>04-08-2020 12:53:46</v>
      </c>
      <c r="B4331" t="str">
        <f>"0000806608"</f>
        <v>0000806608</v>
      </c>
      <c r="C4331" t="str">
        <f t="shared" si="1772"/>
        <v>0000806585</v>
      </c>
      <c r="D4331" t="str">
        <f t="shared" si="1754"/>
        <v>73185</v>
      </c>
      <c r="E4331" t="str">
        <f t="shared" si="1755"/>
        <v>KFH-OPERATIONS DEPARTMENT</v>
      </c>
      <c r="F4331" t="str">
        <f t="shared" si="1756"/>
        <v>IBG</v>
      </c>
      <c r="G4331" t="str">
        <f t="shared" si="1767"/>
        <v>Refund COSHARE 10</v>
      </c>
      <c r="H4331" s="2">
        <v>1553.1</v>
      </c>
      <c r="I4331" t="str">
        <f>"ISHAK BIN MAMAT"</f>
        <v>ISHAK BIN MAMAT</v>
      </c>
      <c r="J4331" t="str">
        <f t="shared" si="1768"/>
        <v>MAYBANK / MAYBANK ISLAMIC</v>
      </c>
      <c r="K4331" t="str">
        <f>"112745157860"</f>
        <v>112745157860</v>
      </c>
      <c r="L4331" t="str">
        <f t="shared" si="1773"/>
        <v>04-08-2020</v>
      </c>
      <c r="M4331" t="str">
        <f t="shared" si="1773"/>
        <v>04-08-2020</v>
      </c>
      <c r="N4331" t="str">
        <f t="shared" si="1757"/>
        <v>001105018356</v>
      </c>
      <c r="O4331" t="str">
        <f t="shared" si="1758"/>
        <v>MYR</v>
      </c>
      <c r="P4331" t="str">
        <f t="shared" si="1774"/>
        <v>NIL</v>
      </c>
      <c r="Q4331" t="str">
        <f t="shared" si="1774"/>
        <v>NIL</v>
      </c>
      <c r="R4331" t="str">
        <f t="shared" si="1759"/>
        <v>Accepted</v>
      </c>
      <c r="S4331" t="str">
        <f t="shared" si="1760"/>
        <v>Approved</v>
      </c>
      <c r="T4331" t="str">
        <f t="shared" si="1761"/>
        <v>10.20.8.188</v>
      </c>
      <c r="U4331" t="str">
        <f t="shared" si="1762"/>
        <v>AZRAD UMAR BIN SHAARI</v>
      </c>
      <c r="V4331" t="str">
        <f t="shared" si="1763"/>
        <v>FARHANA BINTI MUSTAPA</v>
      </c>
      <c r="W4331" t="str">
        <f t="shared" si="1764"/>
        <v>04-08-2020</v>
      </c>
      <c r="X4331" t="str">
        <f t="shared" si="1765"/>
        <v>RAZIMAH ANSAR AHMAD</v>
      </c>
      <c r="Y4331" t="str">
        <f t="shared" si="1766"/>
        <v>04-08-2020</v>
      </c>
      <c r="Z4331" t="str">
        <f>"COS10200804 4823"</f>
        <v>COS10200804 4823</v>
      </c>
    </row>
    <row r="4332" spans="1:26" x14ac:dyDescent="0.25">
      <c r="A4332" t="str">
        <f t="shared" si="1771"/>
        <v>04-08-2020 12:53:46</v>
      </c>
      <c r="B4332" t="str">
        <f>"0000806607"</f>
        <v>0000806607</v>
      </c>
      <c r="C4332" t="str">
        <f t="shared" si="1772"/>
        <v>0000806585</v>
      </c>
      <c r="D4332" t="str">
        <f t="shared" si="1754"/>
        <v>73185</v>
      </c>
      <c r="E4332" t="str">
        <f t="shared" si="1755"/>
        <v>KFH-OPERATIONS DEPARTMENT</v>
      </c>
      <c r="F4332" t="str">
        <f t="shared" si="1756"/>
        <v>IBG</v>
      </c>
      <c r="G4332" t="str">
        <f t="shared" si="1767"/>
        <v>Refund COSHARE 10</v>
      </c>
      <c r="H4332" s="2">
        <v>92.35</v>
      </c>
      <c r="I4332" t="str">
        <f>"ISARABUNI BIN ISMAIL"</f>
        <v>ISARABUNI BIN ISMAIL</v>
      </c>
      <c r="J4332" t="str">
        <f t="shared" si="1768"/>
        <v>MAYBANK / MAYBANK ISLAMIC</v>
      </c>
      <c r="K4332" t="str">
        <f>"111114037180"</f>
        <v>111114037180</v>
      </c>
      <c r="L4332" t="str">
        <f t="shared" si="1773"/>
        <v>04-08-2020</v>
      </c>
      <c r="M4332" t="str">
        <f t="shared" si="1773"/>
        <v>04-08-2020</v>
      </c>
      <c r="N4332" t="str">
        <f t="shared" si="1757"/>
        <v>001105018356</v>
      </c>
      <c r="O4332" t="str">
        <f t="shared" si="1758"/>
        <v>MYR</v>
      </c>
      <c r="P4332" t="str">
        <f t="shared" si="1774"/>
        <v>NIL</v>
      </c>
      <c r="Q4332" t="str">
        <f t="shared" si="1774"/>
        <v>NIL</v>
      </c>
      <c r="R4332" t="str">
        <f t="shared" si="1759"/>
        <v>Accepted</v>
      </c>
      <c r="S4332" t="str">
        <f t="shared" si="1760"/>
        <v>Approved</v>
      </c>
      <c r="T4332" t="str">
        <f t="shared" si="1761"/>
        <v>10.20.8.188</v>
      </c>
      <c r="U4332" t="str">
        <f t="shared" si="1762"/>
        <v>AZRAD UMAR BIN SHAARI</v>
      </c>
      <c r="V4332" t="str">
        <f t="shared" si="1763"/>
        <v>FARHANA BINTI MUSTAPA</v>
      </c>
      <c r="W4332" t="str">
        <f t="shared" si="1764"/>
        <v>04-08-2020</v>
      </c>
      <c r="X4332" t="str">
        <f t="shared" si="1765"/>
        <v>RAZIMAH ANSAR AHMAD</v>
      </c>
      <c r="Y4332" t="str">
        <f t="shared" si="1766"/>
        <v>04-08-2020</v>
      </c>
      <c r="Z4332" t="str">
        <f>"COS10200804 4822"</f>
        <v>COS10200804 4822</v>
      </c>
    </row>
    <row r="4333" spans="1:26" x14ac:dyDescent="0.25">
      <c r="A4333" t="str">
        <f t="shared" si="1771"/>
        <v>04-08-2020 12:53:46</v>
      </c>
      <c r="B4333" t="str">
        <f>"0000806606"</f>
        <v>0000806606</v>
      </c>
      <c r="C4333" t="str">
        <f t="shared" si="1772"/>
        <v>0000806585</v>
      </c>
      <c r="D4333" t="str">
        <f t="shared" si="1754"/>
        <v>73185</v>
      </c>
      <c r="E4333" t="str">
        <f t="shared" si="1755"/>
        <v>KFH-OPERATIONS DEPARTMENT</v>
      </c>
      <c r="F4333" t="str">
        <f t="shared" si="1756"/>
        <v>IBG</v>
      </c>
      <c r="G4333" t="str">
        <f t="shared" si="1767"/>
        <v>Refund COSHARE 10</v>
      </c>
      <c r="H4333" s="2">
        <v>587.65</v>
      </c>
      <c r="I4333" t="str">
        <f>"IRWAN SUHARDI BIN MOHD NEJIB"</f>
        <v>IRWAN SUHARDI BIN MOHD NEJIB</v>
      </c>
      <c r="J4333" t="str">
        <f t="shared" si="1768"/>
        <v>MAYBANK / MAYBANK ISLAMIC</v>
      </c>
      <c r="K4333" t="str">
        <f>"114383532049"</f>
        <v>114383532049</v>
      </c>
      <c r="L4333" t="str">
        <f t="shared" si="1773"/>
        <v>04-08-2020</v>
      </c>
      <c r="M4333" t="str">
        <f t="shared" si="1773"/>
        <v>04-08-2020</v>
      </c>
      <c r="N4333" t="str">
        <f t="shared" si="1757"/>
        <v>001105018356</v>
      </c>
      <c r="O4333" t="str">
        <f t="shared" si="1758"/>
        <v>MYR</v>
      </c>
      <c r="P4333" t="str">
        <f t="shared" si="1774"/>
        <v>NIL</v>
      </c>
      <c r="Q4333" t="str">
        <f t="shared" si="1774"/>
        <v>NIL</v>
      </c>
      <c r="R4333" t="str">
        <f t="shared" si="1759"/>
        <v>Accepted</v>
      </c>
      <c r="S4333" t="str">
        <f t="shared" si="1760"/>
        <v>Approved</v>
      </c>
      <c r="T4333" t="str">
        <f t="shared" si="1761"/>
        <v>10.20.8.188</v>
      </c>
      <c r="U4333" t="str">
        <f t="shared" si="1762"/>
        <v>AZRAD UMAR BIN SHAARI</v>
      </c>
      <c r="V4333" t="str">
        <f t="shared" si="1763"/>
        <v>FARHANA BINTI MUSTAPA</v>
      </c>
      <c r="W4333" t="str">
        <f t="shared" si="1764"/>
        <v>04-08-2020</v>
      </c>
      <c r="X4333" t="str">
        <f t="shared" si="1765"/>
        <v>RAZIMAH ANSAR AHMAD</v>
      </c>
      <c r="Y4333" t="str">
        <f t="shared" si="1766"/>
        <v>04-08-2020</v>
      </c>
      <c r="Z4333" t="str">
        <f>"COS10200804 4821"</f>
        <v>COS10200804 4821</v>
      </c>
    </row>
    <row r="4334" spans="1:26" x14ac:dyDescent="0.25">
      <c r="A4334" t="str">
        <f t="shared" si="1771"/>
        <v>04-08-2020 12:53:46</v>
      </c>
      <c r="B4334" t="str">
        <f>"0000806605"</f>
        <v>0000806605</v>
      </c>
      <c r="C4334" t="str">
        <f t="shared" si="1772"/>
        <v>0000806585</v>
      </c>
      <c r="D4334" t="str">
        <f t="shared" si="1754"/>
        <v>73185</v>
      </c>
      <c r="E4334" t="str">
        <f t="shared" si="1755"/>
        <v>KFH-OPERATIONS DEPARTMENT</v>
      </c>
      <c r="F4334" t="str">
        <f t="shared" si="1756"/>
        <v>IBG</v>
      </c>
      <c r="G4334" t="str">
        <f t="shared" si="1767"/>
        <v>Refund COSHARE 10</v>
      </c>
      <c r="H4334" s="2">
        <v>335.8</v>
      </c>
      <c r="I4334" t="str">
        <f>"IRWAN BIN ZAMAHRI"</f>
        <v>IRWAN BIN ZAMAHRI</v>
      </c>
      <c r="J4334" t="str">
        <f t="shared" si="1768"/>
        <v>MAYBANK / MAYBANK ISLAMIC</v>
      </c>
      <c r="K4334" t="str">
        <f>"511074529948"</f>
        <v>511074529948</v>
      </c>
      <c r="L4334" t="str">
        <f t="shared" si="1773"/>
        <v>04-08-2020</v>
      </c>
      <c r="M4334" t="str">
        <f t="shared" si="1773"/>
        <v>04-08-2020</v>
      </c>
      <c r="N4334" t="str">
        <f t="shared" si="1757"/>
        <v>001105018356</v>
      </c>
      <c r="O4334" t="str">
        <f t="shared" si="1758"/>
        <v>MYR</v>
      </c>
      <c r="P4334" t="str">
        <f t="shared" si="1774"/>
        <v>NIL</v>
      </c>
      <c r="Q4334" t="str">
        <f t="shared" si="1774"/>
        <v>NIL</v>
      </c>
      <c r="R4334" t="str">
        <f t="shared" si="1759"/>
        <v>Accepted</v>
      </c>
      <c r="S4334" t="str">
        <f t="shared" si="1760"/>
        <v>Approved</v>
      </c>
      <c r="T4334" t="str">
        <f t="shared" si="1761"/>
        <v>10.20.8.188</v>
      </c>
      <c r="U4334" t="str">
        <f t="shared" si="1762"/>
        <v>AZRAD UMAR BIN SHAARI</v>
      </c>
      <c r="V4334" t="str">
        <f t="shared" si="1763"/>
        <v>FARHANA BINTI MUSTAPA</v>
      </c>
      <c r="W4334" t="str">
        <f t="shared" si="1764"/>
        <v>04-08-2020</v>
      </c>
      <c r="X4334" t="str">
        <f t="shared" si="1765"/>
        <v>RAZIMAH ANSAR AHMAD</v>
      </c>
      <c r="Y4334" t="str">
        <f t="shared" si="1766"/>
        <v>04-08-2020</v>
      </c>
      <c r="Z4334" t="str">
        <f>"COS10200804 4820"</f>
        <v>COS10200804 4820</v>
      </c>
    </row>
    <row r="4335" spans="1:26" x14ac:dyDescent="0.25">
      <c r="A4335" t="str">
        <f t="shared" si="1771"/>
        <v>04-08-2020 12:53:46</v>
      </c>
      <c r="B4335" t="str">
        <f>"0000806604"</f>
        <v>0000806604</v>
      </c>
      <c r="C4335" t="str">
        <f t="shared" si="1772"/>
        <v>0000806585</v>
      </c>
      <c r="D4335" t="str">
        <f t="shared" si="1754"/>
        <v>73185</v>
      </c>
      <c r="E4335" t="str">
        <f t="shared" si="1755"/>
        <v>KFH-OPERATIONS DEPARTMENT</v>
      </c>
      <c r="F4335" t="str">
        <f t="shared" si="1756"/>
        <v>IBG</v>
      </c>
      <c r="G4335" t="str">
        <f t="shared" si="1767"/>
        <v>Refund COSHARE 10</v>
      </c>
      <c r="H4335" s="2">
        <v>212.9</v>
      </c>
      <c r="I4335" t="str">
        <f>"IRWAN BIN MOHD YUSOF"</f>
        <v>IRWAN BIN MOHD YUSOF</v>
      </c>
      <c r="J4335" t="str">
        <f t="shared" si="1768"/>
        <v>MAYBANK / MAYBANK ISLAMIC</v>
      </c>
      <c r="K4335" t="str">
        <f>"110014067285"</f>
        <v>110014067285</v>
      </c>
      <c r="L4335" t="str">
        <f t="shared" si="1773"/>
        <v>04-08-2020</v>
      </c>
      <c r="M4335" t="str">
        <f t="shared" si="1773"/>
        <v>04-08-2020</v>
      </c>
      <c r="N4335" t="str">
        <f t="shared" si="1757"/>
        <v>001105018356</v>
      </c>
      <c r="O4335" t="str">
        <f t="shared" si="1758"/>
        <v>MYR</v>
      </c>
      <c r="P4335" t="str">
        <f t="shared" si="1774"/>
        <v>NIL</v>
      </c>
      <c r="Q4335" t="str">
        <f t="shared" si="1774"/>
        <v>NIL</v>
      </c>
      <c r="R4335" t="str">
        <f t="shared" si="1759"/>
        <v>Accepted</v>
      </c>
      <c r="S4335" t="str">
        <f t="shared" si="1760"/>
        <v>Approved</v>
      </c>
      <c r="T4335" t="str">
        <f t="shared" si="1761"/>
        <v>10.20.8.188</v>
      </c>
      <c r="U4335" t="str">
        <f t="shared" si="1762"/>
        <v>AZRAD UMAR BIN SHAARI</v>
      </c>
      <c r="V4335" t="str">
        <f t="shared" si="1763"/>
        <v>FARHANA BINTI MUSTAPA</v>
      </c>
      <c r="W4335" t="str">
        <f t="shared" si="1764"/>
        <v>04-08-2020</v>
      </c>
      <c r="X4335" t="str">
        <f t="shared" si="1765"/>
        <v>RAZIMAH ANSAR AHMAD</v>
      </c>
      <c r="Y4335" t="str">
        <f t="shared" si="1766"/>
        <v>04-08-2020</v>
      </c>
      <c r="Z4335" t="str">
        <f>"COS10200804 4819"</f>
        <v>COS10200804 4819</v>
      </c>
    </row>
    <row r="4336" spans="1:26" x14ac:dyDescent="0.25">
      <c r="A4336" t="str">
        <f t="shared" si="1771"/>
        <v>04-08-2020 12:53:46</v>
      </c>
      <c r="B4336" t="str">
        <f>"0000806603"</f>
        <v>0000806603</v>
      </c>
      <c r="C4336" t="str">
        <f t="shared" si="1772"/>
        <v>0000806585</v>
      </c>
      <c r="D4336" t="str">
        <f t="shared" si="1754"/>
        <v>73185</v>
      </c>
      <c r="E4336" t="str">
        <f t="shared" si="1755"/>
        <v>KFH-OPERATIONS DEPARTMENT</v>
      </c>
      <c r="F4336" t="str">
        <f t="shared" si="1756"/>
        <v>IBG</v>
      </c>
      <c r="G4336" t="str">
        <f t="shared" si="1767"/>
        <v>Refund COSHARE 10</v>
      </c>
      <c r="H4336" s="2">
        <v>58.8</v>
      </c>
      <c r="I4336" t="str">
        <f>"IRWAN BIN JAHNI"</f>
        <v>IRWAN BIN JAHNI</v>
      </c>
      <c r="J4336" t="str">
        <f t="shared" si="1768"/>
        <v>MAYBANK / MAYBANK ISLAMIC</v>
      </c>
      <c r="K4336" t="str">
        <f>"164388758504"</f>
        <v>164388758504</v>
      </c>
      <c r="L4336" t="str">
        <f t="shared" si="1773"/>
        <v>04-08-2020</v>
      </c>
      <c r="M4336" t="str">
        <f t="shared" si="1773"/>
        <v>04-08-2020</v>
      </c>
      <c r="N4336" t="str">
        <f t="shared" si="1757"/>
        <v>001105018356</v>
      </c>
      <c r="O4336" t="str">
        <f t="shared" si="1758"/>
        <v>MYR</v>
      </c>
      <c r="P4336" t="str">
        <f t="shared" si="1774"/>
        <v>NIL</v>
      </c>
      <c r="Q4336" t="str">
        <f t="shared" si="1774"/>
        <v>NIL</v>
      </c>
      <c r="R4336" t="str">
        <f t="shared" si="1759"/>
        <v>Accepted</v>
      </c>
      <c r="S4336" t="str">
        <f t="shared" si="1760"/>
        <v>Approved</v>
      </c>
      <c r="T4336" t="str">
        <f t="shared" si="1761"/>
        <v>10.20.8.188</v>
      </c>
      <c r="U4336" t="str">
        <f t="shared" si="1762"/>
        <v>AZRAD UMAR BIN SHAARI</v>
      </c>
      <c r="V4336" t="str">
        <f t="shared" si="1763"/>
        <v>FARHANA BINTI MUSTAPA</v>
      </c>
      <c r="W4336" t="str">
        <f t="shared" si="1764"/>
        <v>04-08-2020</v>
      </c>
      <c r="X4336" t="str">
        <f t="shared" si="1765"/>
        <v>RAZIMAH ANSAR AHMAD</v>
      </c>
      <c r="Y4336" t="str">
        <f t="shared" si="1766"/>
        <v>04-08-2020</v>
      </c>
      <c r="Z4336" t="str">
        <f>"COS10200804 4818"</f>
        <v>COS10200804 4818</v>
      </c>
    </row>
    <row r="4337" spans="1:26" x14ac:dyDescent="0.25">
      <c r="A4337" t="str">
        <f t="shared" si="1771"/>
        <v>04-08-2020 12:53:46</v>
      </c>
      <c r="B4337" t="str">
        <f>"0000806602"</f>
        <v>0000806602</v>
      </c>
      <c r="C4337" t="str">
        <f t="shared" si="1772"/>
        <v>0000806585</v>
      </c>
      <c r="D4337" t="str">
        <f t="shared" si="1754"/>
        <v>73185</v>
      </c>
      <c r="E4337" t="str">
        <f t="shared" si="1755"/>
        <v>KFH-OPERATIONS DEPARTMENT</v>
      </c>
      <c r="F4337" t="str">
        <f t="shared" si="1756"/>
        <v>IBG</v>
      </c>
      <c r="G4337" t="str">
        <f t="shared" si="1767"/>
        <v>Refund COSHARE 10</v>
      </c>
      <c r="H4337" s="2">
        <v>151.15</v>
      </c>
      <c r="I4337" t="str">
        <f>"IRWAN BIN HASMADI"</f>
        <v>IRWAN BIN HASMADI</v>
      </c>
      <c r="J4337" t="str">
        <f t="shared" si="1768"/>
        <v>MAYBANK / MAYBANK ISLAMIC</v>
      </c>
      <c r="K4337" t="str">
        <f>"162076569488"</f>
        <v>162076569488</v>
      </c>
      <c r="L4337" t="str">
        <f t="shared" si="1773"/>
        <v>04-08-2020</v>
      </c>
      <c r="M4337" t="str">
        <f t="shared" si="1773"/>
        <v>04-08-2020</v>
      </c>
      <c r="N4337" t="str">
        <f t="shared" si="1757"/>
        <v>001105018356</v>
      </c>
      <c r="O4337" t="str">
        <f t="shared" si="1758"/>
        <v>MYR</v>
      </c>
      <c r="P4337" t="str">
        <f t="shared" si="1774"/>
        <v>NIL</v>
      </c>
      <c r="Q4337" t="str">
        <f t="shared" si="1774"/>
        <v>NIL</v>
      </c>
      <c r="R4337" t="str">
        <f t="shared" si="1759"/>
        <v>Accepted</v>
      </c>
      <c r="S4337" t="str">
        <f t="shared" si="1760"/>
        <v>Approved</v>
      </c>
      <c r="T4337" t="str">
        <f t="shared" si="1761"/>
        <v>10.20.8.188</v>
      </c>
      <c r="U4337" t="str">
        <f t="shared" si="1762"/>
        <v>AZRAD UMAR BIN SHAARI</v>
      </c>
      <c r="V4337" t="str">
        <f t="shared" si="1763"/>
        <v>FARHANA BINTI MUSTAPA</v>
      </c>
      <c r="W4337" t="str">
        <f t="shared" si="1764"/>
        <v>04-08-2020</v>
      </c>
      <c r="X4337" t="str">
        <f t="shared" si="1765"/>
        <v>RAZIMAH ANSAR AHMAD</v>
      </c>
      <c r="Y4337" t="str">
        <f t="shared" si="1766"/>
        <v>04-08-2020</v>
      </c>
      <c r="Z4337" t="str">
        <f>"COS10200804 4817"</f>
        <v>COS10200804 4817</v>
      </c>
    </row>
    <row r="4338" spans="1:26" x14ac:dyDescent="0.25">
      <c r="A4338" t="str">
        <f t="shared" si="1771"/>
        <v>04-08-2020 12:53:46</v>
      </c>
      <c r="B4338" t="str">
        <f>"0000806601"</f>
        <v>0000806601</v>
      </c>
      <c r="C4338" t="str">
        <f t="shared" si="1772"/>
        <v>0000806585</v>
      </c>
      <c r="D4338" t="str">
        <f t="shared" si="1754"/>
        <v>73185</v>
      </c>
      <c r="E4338" t="str">
        <f t="shared" si="1755"/>
        <v>KFH-OPERATIONS DEPARTMENT</v>
      </c>
      <c r="F4338" t="str">
        <f t="shared" si="1756"/>
        <v>IBG</v>
      </c>
      <c r="G4338" t="str">
        <f t="shared" si="1767"/>
        <v>Refund COSHARE 10</v>
      </c>
      <c r="H4338" s="2">
        <v>75.599999999999994</v>
      </c>
      <c r="I4338" t="str">
        <f>"IRNEY BINTI JAMIL"</f>
        <v>IRNEY BINTI JAMIL</v>
      </c>
      <c r="J4338" t="str">
        <f t="shared" si="1768"/>
        <v>MAYBANK / MAYBANK ISLAMIC</v>
      </c>
      <c r="K4338" t="str">
        <f>"151034609087"</f>
        <v>151034609087</v>
      </c>
      <c r="L4338" t="str">
        <f t="shared" si="1773"/>
        <v>04-08-2020</v>
      </c>
      <c r="M4338" t="str">
        <f t="shared" si="1773"/>
        <v>04-08-2020</v>
      </c>
      <c r="N4338" t="str">
        <f t="shared" si="1757"/>
        <v>001105018356</v>
      </c>
      <c r="O4338" t="str">
        <f t="shared" si="1758"/>
        <v>MYR</v>
      </c>
      <c r="P4338" t="str">
        <f t="shared" si="1774"/>
        <v>NIL</v>
      </c>
      <c r="Q4338" t="str">
        <f t="shared" si="1774"/>
        <v>NIL</v>
      </c>
      <c r="R4338" t="str">
        <f t="shared" si="1759"/>
        <v>Accepted</v>
      </c>
      <c r="S4338" t="str">
        <f t="shared" si="1760"/>
        <v>Approved</v>
      </c>
      <c r="T4338" t="str">
        <f t="shared" si="1761"/>
        <v>10.20.8.188</v>
      </c>
      <c r="U4338" t="str">
        <f t="shared" si="1762"/>
        <v>AZRAD UMAR BIN SHAARI</v>
      </c>
      <c r="V4338" t="str">
        <f t="shared" si="1763"/>
        <v>FARHANA BINTI MUSTAPA</v>
      </c>
      <c r="W4338" t="str">
        <f t="shared" si="1764"/>
        <v>04-08-2020</v>
      </c>
      <c r="X4338" t="str">
        <f t="shared" si="1765"/>
        <v>RAZIMAH ANSAR AHMAD</v>
      </c>
      <c r="Y4338" t="str">
        <f t="shared" si="1766"/>
        <v>04-08-2020</v>
      </c>
      <c r="Z4338" t="str">
        <f>"COS10200804 4816"</f>
        <v>COS10200804 4816</v>
      </c>
    </row>
    <row r="4339" spans="1:26" x14ac:dyDescent="0.25">
      <c r="A4339" t="str">
        <f t="shared" si="1771"/>
        <v>04-08-2020 12:53:46</v>
      </c>
      <c r="B4339" t="str">
        <f>"0000806600"</f>
        <v>0000806600</v>
      </c>
      <c r="C4339" t="str">
        <f t="shared" si="1772"/>
        <v>0000806585</v>
      </c>
      <c r="D4339" t="str">
        <f t="shared" si="1754"/>
        <v>73185</v>
      </c>
      <c r="E4339" t="str">
        <f t="shared" si="1755"/>
        <v>KFH-OPERATIONS DEPARTMENT</v>
      </c>
      <c r="F4339" t="str">
        <f t="shared" si="1756"/>
        <v>IBG</v>
      </c>
      <c r="G4339" t="str">
        <f t="shared" si="1767"/>
        <v>Refund COSHARE 10</v>
      </c>
      <c r="H4339" s="2">
        <v>898.3</v>
      </c>
      <c r="I4339" t="str">
        <f>"IRMASUZILA BINTI NGOPIL"</f>
        <v>IRMASUZILA BINTI NGOPIL</v>
      </c>
      <c r="J4339" t="str">
        <f t="shared" si="1768"/>
        <v>MAYBANK / MAYBANK ISLAMIC</v>
      </c>
      <c r="K4339" t="str">
        <f>"162197313263"</f>
        <v>162197313263</v>
      </c>
      <c r="L4339" t="str">
        <f t="shared" si="1773"/>
        <v>04-08-2020</v>
      </c>
      <c r="M4339" t="str">
        <f t="shared" si="1773"/>
        <v>04-08-2020</v>
      </c>
      <c r="N4339" t="str">
        <f t="shared" si="1757"/>
        <v>001105018356</v>
      </c>
      <c r="O4339" t="str">
        <f t="shared" si="1758"/>
        <v>MYR</v>
      </c>
      <c r="P4339" t="str">
        <f t="shared" si="1774"/>
        <v>NIL</v>
      </c>
      <c r="Q4339" t="str">
        <f t="shared" si="1774"/>
        <v>NIL</v>
      </c>
      <c r="R4339" t="str">
        <f t="shared" si="1759"/>
        <v>Accepted</v>
      </c>
      <c r="S4339" t="str">
        <f t="shared" si="1760"/>
        <v>Approved</v>
      </c>
      <c r="T4339" t="str">
        <f t="shared" si="1761"/>
        <v>10.20.8.188</v>
      </c>
      <c r="U4339" t="str">
        <f t="shared" si="1762"/>
        <v>AZRAD UMAR BIN SHAARI</v>
      </c>
      <c r="V4339" t="str">
        <f t="shared" si="1763"/>
        <v>FARHANA BINTI MUSTAPA</v>
      </c>
      <c r="W4339" t="str">
        <f t="shared" si="1764"/>
        <v>04-08-2020</v>
      </c>
      <c r="X4339" t="str">
        <f t="shared" si="1765"/>
        <v>RAZIMAH ANSAR AHMAD</v>
      </c>
      <c r="Y4339" t="str">
        <f t="shared" si="1766"/>
        <v>04-08-2020</v>
      </c>
      <c r="Z4339" t="str">
        <f>"COS10200804 4815"</f>
        <v>COS10200804 4815</v>
      </c>
    </row>
    <row r="4340" spans="1:26" x14ac:dyDescent="0.25">
      <c r="A4340" t="str">
        <f t="shared" si="1771"/>
        <v>04-08-2020 12:53:46</v>
      </c>
      <c r="B4340" t="str">
        <f>"0000806599"</f>
        <v>0000806599</v>
      </c>
      <c r="C4340" t="str">
        <f t="shared" si="1772"/>
        <v>0000806585</v>
      </c>
      <c r="D4340" t="str">
        <f t="shared" si="1754"/>
        <v>73185</v>
      </c>
      <c r="E4340" t="str">
        <f t="shared" si="1755"/>
        <v>KFH-OPERATIONS DEPARTMENT</v>
      </c>
      <c r="F4340" t="str">
        <f t="shared" si="1756"/>
        <v>IBG</v>
      </c>
      <c r="G4340" t="str">
        <f t="shared" si="1767"/>
        <v>Refund COSHARE 10</v>
      </c>
      <c r="H4340" s="2">
        <v>152</v>
      </c>
      <c r="I4340" t="str">
        <f>"IRLIANA BINTI LANDASAN"</f>
        <v>IRLIANA BINTI LANDASAN</v>
      </c>
      <c r="J4340" t="str">
        <f t="shared" si="1768"/>
        <v>MAYBANK / MAYBANK ISLAMIC</v>
      </c>
      <c r="K4340" t="str">
        <f>"110189029848"</f>
        <v>110189029848</v>
      </c>
      <c r="L4340" t="str">
        <f t="shared" si="1773"/>
        <v>04-08-2020</v>
      </c>
      <c r="M4340" t="str">
        <f t="shared" si="1773"/>
        <v>04-08-2020</v>
      </c>
      <c r="N4340" t="str">
        <f t="shared" si="1757"/>
        <v>001105018356</v>
      </c>
      <c r="O4340" t="str">
        <f t="shared" si="1758"/>
        <v>MYR</v>
      </c>
      <c r="P4340" t="str">
        <f t="shared" si="1774"/>
        <v>NIL</v>
      </c>
      <c r="Q4340" t="str">
        <f t="shared" si="1774"/>
        <v>NIL</v>
      </c>
      <c r="R4340" t="str">
        <f t="shared" si="1759"/>
        <v>Accepted</v>
      </c>
      <c r="S4340" t="str">
        <f t="shared" si="1760"/>
        <v>Approved</v>
      </c>
      <c r="T4340" t="str">
        <f t="shared" si="1761"/>
        <v>10.20.8.188</v>
      </c>
      <c r="U4340" t="str">
        <f t="shared" si="1762"/>
        <v>AZRAD UMAR BIN SHAARI</v>
      </c>
      <c r="V4340" t="str">
        <f t="shared" si="1763"/>
        <v>FARHANA BINTI MUSTAPA</v>
      </c>
      <c r="W4340" t="str">
        <f t="shared" si="1764"/>
        <v>04-08-2020</v>
      </c>
      <c r="X4340" t="str">
        <f t="shared" si="1765"/>
        <v>RAZIMAH ANSAR AHMAD</v>
      </c>
      <c r="Y4340" t="str">
        <f t="shared" si="1766"/>
        <v>04-08-2020</v>
      </c>
      <c r="Z4340" t="str">
        <f>"COS10200804 4814"</f>
        <v>COS10200804 4814</v>
      </c>
    </row>
    <row r="4341" spans="1:26" x14ac:dyDescent="0.25">
      <c r="A4341" t="str">
        <f t="shared" si="1771"/>
        <v>04-08-2020 12:53:46</v>
      </c>
      <c r="B4341" t="str">
        <f>"0000806598"</f>
        <v>0000806598</v>
      </c>
      <c r="C4341" t="str">
        <f t="shared" si="1772"/>
        <v>0000806585</v>
      </c>
      <c r="D4341" t="str">
        <f t="shared" si="1754"/>
        <v>73185</v>
      </c>
      <c r="E4341" t="str">
        <f t="shared" si="1755"/>
        <v>KFH-OPERATIONS DEPARTMENT</v>
      </c>
      <c r="F4341" t="str">
        <f t="shared" si="1756"/>
        <v>IBG</v>
      </c>
      <c r="G4341" t="str">
        <f t="shared" si="1767"/>
        <v>Refund COSHARE 10</v>
      </c>
      <c r="H4341" s="2">
        <v>109.15</v>
      </c>
      <c r="I4341" t="str">
        <f>"IRDHA FEAZAH BINTI ZULKEFLEY"</f>
        <v>IRDHA FEAZAH BINTI ZULKEFLEY</v>
      </c>
      <c r="J4341" t="str">
        <f t="shared" si="1768"/>
        <v>MAYBANK / MAYBANK ISLAMIC</v>
      </c>
      <c r="K4341" t="str">
        <f>"112268418258"</f>
        <v>112268418258</v>
      </c>
      <c r="L4341" t="str">
        <f t="shared" si="1773"/>
        <v>04-08-2020</v>
      </c>
      <c r="M4341" t="str">
        <f t="shared" si="1773"/>
        <v>04-08-2020</v>
      </c>
      <c r="N4341" t="str">
        <f t="shared" si="1757"/>
        <v>001105018356</v>
      </c>
      <c r="O4341" t="str">
        <f t="shared" si="1758"/>
        <v>MYR</v>
      </c>
      <c r="P4341" t="str">
        <f t="shared" si="1774"/>
        <v>NIL</v>
      </c>
      <c r="Q4341" t="str">
        <f t="shared" si="1774"/>
        <v>NIL</v>
      </c>
      <c r="R4341" t="str">
        <f t="shared" si="1759"/>
        <v>Accepted</v>
      </c>
      <c r="S4341" t="str">
        <f t="shared" si="1760"/>
        <v>Approved</v>
      </c>
      <c r="T4341" t="str">
        <f t="shared" si="1761"/>
        <v>10.20.8.188</v>
      </c>
      <c r="U4341" t="str">
        <f t="shared" si="1762"/>
        <v>AZRAD UMAR BIN SHAARI</v>
      </c>
      <c r="V4341" t="str">
        <f t="shared" si="1763"/>
        <v>FARHANA BINTI MUSTAPA</v>
      </c>
      <c r="W4341" t="str">
        <f t="shared" si="1764"/>
        <v>04-08-2020</v>
      </c>
      <c r="X4341" t="str">
        <f t="shared" si="1765"/>
        <v>RAZIMAH ANSAR AHMAD</v>
      </c>
      <c r="Y4341" t="str">
        <f t="shared" si="1766"/>
        <v>04-08-2020</v>
      </c>
      <c r="Z4341" t="str">
        <f>"COS10200804 4813"</f>
        <v>COS10200804 4813</v>
      </c>
    </row>
    <row r="4342" spans="1:26" x14ac:dyDescent="0.25">
      <c r="A4342" t="str">
        <f t="shared" si="1771"/>
        <v>04-08-2020 12:53:46</v>
      </c>
      <c r="B4342" t="str">
        <f>"0000806597"</f>
        <v>0000806597</v>
      </c>
      <c r="C4342" t="str">
        <f t="shared" si="1772"/>
        <v>0000806585</v>
      </c>
      <c r="D4342" t="str">
        <f t="shared" si="1754"/>
        <v>73185</v>
      </c>
      <c r="E4342" t="str">
        <f t="shared" si="1755"/>
        <v>KFH-OPERATIONS DEPARTMENT</v>
      </c>
      <c r="F4342" t="str">
        <f t="shared" si="1756"/>
        <v>IBG</v>
      </c>
      <c r="G4342" t="str">
        <f t="shared" si="1767"/>
        <v>Refund COSHARE 10</v>
      </c>
      <c r="H4342" s="2">
        <v>83.95</v>
      </c>
      <c r="I4342" t="str">
        <f>"IRAWANDY MALEK BIN MAHADI"</f>
        <v>IRAWANDY MALEK BIN MAHADI</v>
      </c>
      <c r="J4342" t="str">
        <f t="shared" si="1768"/>
        <v>MAYBANK / MAYBANK ISLAMIC</v>
      </c>
      <c r="K4342" t="str">
        <f>"160102005627"</f>
        <v>160102005627</v>
      </c>
      <c r="L4342" t="str">
        <f t="shared" si="1773"/>
        <v>04-08-2020</v>
      </c>
      <c r="M4342" t="str">
        <f t="shared" si="1773"/>
        <v>04-08-2020</v>
      </c>
      <c r="N4342" t="str">
        <f t="shared" si="1757"/>
        <v>001105018356</v>
      </c>
      <c r="O4342" t="str">
        <f t="shared" si="1758"/>
        <v>MYR</v>
      </c>
      <c r="P4342" t="str">
        <f t="shared" si="1774"/>
        <v>NIL</v>
      </c>
      <c r="Q4342" t="str">
        <f t="shared" si="1774"/>
        <v>NIL</v>
      </c>
      <c r="R4342" t="str">
        <f t="shared" si="1759"/>
        <v>Accepted</v>
      </c>
      <c r="S4342" t="str">
        <f t="shared" si="1760"/>
        <v>Approved</v>
      </c>
      <c r="T4342" t="str">
        <f t="shared" si="1761"/>
        <v>10.20.8.188</v>
      </c>
      <c r="U4342" t="str">
        <f t="shared" si="1762"/>
        <v>AZRAD UMAR BIN SHAARI</v>
      </c>
      <c r="V4342" t="str">
        <f t="shared" si="1763"/>
        <v>FARHANA BINTI MUSTAPA</v>
      </c>
      <c r="W4342" t="str">
        <f t="shared" si="1764"/>
        <v>04-08-2020</v>
      </c>
      <c r="X4342" t="str">
        <f t="shared" si="1765"/>
        <v>RAZIMAH ANSAR AHMAD</v>
      </c>
      <c r="Y4342" t="str">
        <f t="shared" si="1766"/>
        <v>04-08-2020</v>
      </c>
      <c r="Z4342" t="str">
        <f>"COS10200804 4812"</f>
        <v>COS10200804 4812</v>
      </c>
    </row>
    <row r="4343" spans="1:26" x14ac:dyDescent="0.25">
      <c r="A4343" t="str">
        <f t="shared" si="1771"/>
        <v>04-08-2020 12:53:46</v>
      </c>
      <c r="B4343" t="str">
        <f>"0000806596"</f>
        <v>0000806596</v>
      </c>
      <c r="C4343" t="str">
        <f t="shared" si="1772"/>
        <v>0000806585</v>
      </c>
      <c r="D4343" t="str">
        <f t="shared" si="1754"/>
        <v>73185</v>
      </c>
      <c r="E4343" t="str">
        <f t="shared" si="1755"/>
        <v>KFH-OPERATIONS DEPARTMENT</v>
      </c>
      <c r="F4343" t="str">
        <f t="shared" si="1756"/>
        <v>IBG</v>
      </c>
      <c r="G4343" t="str">
        <f t="shared" si="1767"/>
        <v>Refund COSHARE 10</v>
      </c>
      <c r="H4343" s="2">
        <v>579</v>
      </c>
      <c r="I4343" t="str">
        <f>"IQBAL HAIRI BIN MASHUDI"</f>
        <v>IQBAL HAIRI BIN MASHUDI</v>
      </c>
      <c r="J4343" t="str">
        <f t="shared" si="1768"/>
        <v>MAYBANK / MAYBANK ISLAMIC</v>
      </c>
      <c r="K4343" t="str">
        <f>"162469194671"</f>
        <v>162469194671</v>
      </c>
      <c r="L4343" t="str">
        <f t="shared" si="1773"/>
        <v>04-08-2020</v>
      </c>
      <c r="M4343" t="str">
        <f t="shared" si="1773"/>
        <v>04-08-2020</v>
      </c>
      <c r="N4343" t="str">
        <f t="shared" si="1757"/>
        <v>001105018356</v>
      </c>
      <c r="O4343" t="str">
        <f t="shared" si="1758"/>
        <v>MYR</v>
      </c>
      <c r="P4343" t="str">
        <f t="shared" si="1774"/>
        <v>NIL</v>
      </c>
      <c r="Q4343" t="str">
        <f t="shared" si="1774"/>
        <v>NIL</v>
      </c>
      <c r="R4343" t="str">
        <f t="shared" si="1759"/>
        <v>Accepted</v>
      </c>
      <c r="S4343" t="str">
        <f t="shared" si="1760"/>
        <v>Approved</v>
      </c>
      <c r="T4343" t="str">
        <f t="shared" si="1761"/>
        <v>10.20.8.188</v>
      </c>
      <c r="U4343" t="str">
        <f t="shared" si="1762"/>
        <v>AZRAD UMAR BIN SHAARI</v>
      </c>
      <c r="V4343" t="str">
        <f t="shared" si="1763"/>
        <v>FARHANA BINTI MUSTAPA</v>
      </c>
      <c r="W4343" t="str">
        <f t="shared" si="1764"/>
        <v>04-08-2020</v>
      </c>
      <c r="X4343" t="str">
        <f t="shared" si="1765"/>
        <v>RAZIMAH ANSAR AHMAD</v>
      </c>
      <c r="Y4343" t="str">
        <f t="shared" si="1766"/>
        <v>04-08-2020</v>
      </c>
      <c r="Z4343" t="str">
        <f>"COS10200804 4811"</f>
        <v>COS10200804 4811</v>
      </c>
    </row>
    <row r="4344" spans="1:26" x14ac:dyDescent="0.25">
      <c r="A4344" t="str">
        <f t="shared" si="1771"/>
        <v>04-08-2020 12:53:46</v>
      </c>
      <c r="B4344" t="str">
        <f>"0000806595"</f>
        <v>0000806595</v>
      </c>
      <c r="C4344" t="str">
        <f t="shared" si="1772"/>
        <v>0000806585</v>
      </c>
      <c r="D4344" t="str">
        <f t="shared" si="1754"/>
        <v>73185</v>
      </c>
      <c r="E4344" t="str">
        <f t="shared" si="1755"/>
        <v>KFH-OPERATIONS DEPARTMENT</v>
      </c>
      <c r="F4344" t="str">
        <f t="shared" si="1756"/>
        <v>IBG</v>
      </c>
      <c r="G4344" t="str">
        <f t="shared" si="1767"/>
        <v>Refund COSHARE 10</v>
      </c>
      <c r="H4344" s="2">
        <v>95.7</v>
      </c>
      <c r="I4344" t="str">
        <f>"INUN BINTI AHMAD"</f>
        <v>INUN BINTI AHMAD</v>
      </c>
      <c r="J4344" t="str">
        <f t="shared" si="1768"/>
        <v>MAYBANK / MAYBANK ISLAMIC</v>
      </c>
      <c r="K4344" t="str">
        <f>"114048542233"</f>
        <v>114048542233</v>
      </c>
      <c r="L4344" t="str">
        <f t="shared" si="1773"/>
        <v>04-08-2020</v>
      </c>
      <c r="M4344" t="str">
        <f t="shared" si="1773"/>
        <v>04-08-2020</v>
      </c>
      <c r="N4344" t="str">
        <f t="shared" si="1757"/>
        <v>001105018356</v>
      </c>
      <c r="O4344" t="str">
        <f t="shared" si="1758"/>
        <v>MYR</v>
      </c>
      <c r="P4344" t="str">
        <f t="shared" si="1774"/>
        <v>NIL</v>
      </c>
      <c r="Q4344" t="str">
        <f t="shared" si="1774"/>
        <v>NIL</v>
      </c>
      <c r="R4344" t="str">
        <f t="shared" si="1759"/>
        <v>Accepted</v>
      </c>
      <c r="S4344" t="str">
        <f t="shared" si="1760"/>
        <v>Approved</v>
      </c>
      <c r="T4344" t="str">
        <f t="shared" si="1761"/>
        <v>10.20.8.188</v>
      </c>
      <c r="U4344" t="str">
        <f t="shared" si="1762"/>
        <v>AZRAD UMAR BIN SHAARI</v>
      </c>
      <c r="V4344" t="str">
        <f t="shared" si="1763"/>
        <v>FARHANA BINTI MUSTAPA</v>
      </c>
      <c r="W4344" t="str">
        <f t="shared" si="1764"/>
        <v>04-08-2020</v>
      </c>
      <c r="X4344" t="str">
        <f t="shared" si="1765"/>
        <v>RAZIMAH ANSAR AHMAD</v>
      </c>
      <c r="Y4344" t="str">
        <f t="shared" si="1766"/>
        <v>04-08-2020</v>
      </c>
      <c r="Z4344" t="str">
        <f>"COS10200804 4810"</f>
        <v>COS10200804 4810</v>
      </c>
    </row>
    <row r="4345" spans="1:26" x14ac:dyDescent="0.25">
      <c r="A4345" t="str">
        <f t="shared" si="1771"/>
        <v>04-08-2020 12:53:46</v>
      </c>
      <c r="B4345" t="str">
        <f>"0000806594"</f>
        <v>0000806594</v>
      </c>
      <c r="C4345" t="str">
        <f t="shared" si="1772"/>
        <v>0000806585</v>
      </c>
      <c r="D4345" t="str">
        <f t="shared" si="1754"/>
        <v>73185</v>
      </c>
      <c r="E4345" t="str">
        <f t="shared" si="1755"/>
        <v>KFH-OPERATIONS DEPARTMENT</v>
      </c>
      <c r="F4345" t="str">
        <f t="shared" si="1756"/>
        <v>IBG</v>
      </c>
      <c r="G4345" t="str">
        <f t="shared" si="1767"/>
        <v>Refund COSHARE 10</v>
      </c>
      <c r="H4345" s="2">
        <v>201.5</v>
      </c>
      <c r="I4345" t="str">
        <f>"INU HASSIM BIN MOSTEN"</f>
        <v>INU HASSIM BIN MOSTEN</v>
      </c>
      <c r="J4345" t="str">
        <f t="shared" si="1768"/>
        <v>MAYBANK / MAYBANK ISLAMIC</v>
      </c>
      <c r="K4345" t="str">
        <f>"164409514671"</f>
        <v>164409514671</v>
      </c>
      <c r="L4345" t="str">
        <f t="shared" si="1773"/>
        <v>04-08-2020</v>
      </c>
      <c r="M4345" t="str">
        <f t="shared" si="1773"/>
        <v>04-08-2020</v>
      </c>
      <c r="N4345" t="str">
        <f t="shared" si="1757"/>
        <v>001105018356</v>
      </c>
      <c r="O4345" t="str">
        <f t="shared" si="1758"/>
        <v>MYR</v>
      </c>
      <c r="P4345" t="str">
        <f t="shared" si="1774"/>
        <v>NIL</v>
      </c>
      <c r="Q4345" t="str">
        <f t="shared" si="1774"/>
        <v>NIL</v>
      </c>
      <c r="R4345" t="str">
        <f t="shared" si="1759"/>
        <v>Accepted</v>
      </c>
      <c r="S4345" t="str">
        <f t="shared" si="1760"/>
        <v>Approved</v>
      </c>
      <c r="T4345" t="str">
        <f t="shared" si="1761"/>
        <v>10.20.8.188</v>
      </c>
      <c r="U4345" t="str">
        <f t="shared" si="1762"/>
        <v>AZRAD UMAR BIN SHAARI</v>
      </c>
      <c r="V4345" t="str">
        <f t="shared" si="1763"/>
        <v>FARHANA BINTI MUSTAPA</v>
      </c>
      <c r="W4345" t="str">
        <f t="shared" si="1764"/>
        <v>04-08-2020</v>
      </c>
      <c r="X4345" t="str">
        <f t="shared" si="1765"/>
        <v>RAZIMAH ANSAR AHMAD</v>
      </c>
      <c r="Y4345" t="str">
        <f t="shared" si="1766"/>
        <v>04-08-2020</v>
      </c>
      <c r="Z4345" t="str">
        <f>"COS10200804 4809"</f>
        <v>COS10200804 4809</v>
      </c>
    </row>
    <row r="4346" spans="1:26" x14ac:dyDescent="0.25">
      <c r="A4346" t="str">
        <f t="shared" ref="A4346:A4353" si="1775">"04-08-2020 12:53:46"</f>
        <v>04-08-2020 12:53:46</v>
      </c>
      <c r="B4346" t="str">
        <f>"0000806593"</f>
        <v>0000806593</v>
      </c>
      <c r="C4346" t="str">
        <f t="shared" ref="C4346:C4353" si="1776">"0000806585"</f>
        <v>0000806585</v>
      </c>
      <c r="D4346" t="str">
        <f t="shared" si="1754"/>
        <v>73185</v>
      </c>
      <c r="E4346" t="str">
        <f t="shared" si="1755"/>
        <v>KFH-OPERATIONS DEPARTMENT</v>
      </c>
      <c r="F4346" t="str">
        <f t="shared" si="1756"/>
        <v>IBG</v>
      </c>
      <c r="G4346" t="str">
        <f t="shared" si="1767"/>
        <v>Refund COSHARE 10</v>
      </c>
      <c r="H4346" s="2">
        <v>328</v>
      </c>
      <c r="I4346" t="str">
        <f>"INTAN SURIANA BINTI ABD MAJID"</f>
        <v>INTAN SURIANA BINTI ABD MAJID</v>
      </c>
      <c r="J4346" t="str">
        <f t="shared" si="1768"/>
        <v>MAYBANK / MAYBANK ISLAMIC</v>
      </c>
      <c r="K4346" t="str">
        <f>"106110011412"</f>
        <v>106110011412</v>
      </c>
      <c r="L4346" t="str">
        <f t="shared" si="1773"/>
        <v>04-08-2020</v>
      </c>
      <c r="M4346" t="str">
        <f t="shared" si="1773"/>
        <v>04-08-2020</v>
      </c>
      <c r="N4346" t="str">
        <f t="shared" si="1757"/>
        <v>001105018356</v>
      </c>
      <c r="O4346" t="str">
        <f t="shared" si="1758"/>
        <v>MYR</v>
      </c>
      <c r="P4346" t="str">
        <f t="shared" si="1774"/>
        <v>NIL</v>
      </c>
      <c r="Q4346" t="str">
        <f t="shared" si="1774"/>
        <v>NIL</v>
      </c>
      <c r="R4346" t="str">
        <f t="shared" si="1759"/>
        <v>Accepted</v>
      </c>
      <c r="S4346" t="str">
        <f t="shared" si="1760"/>
        <v>Approved</v>
      </c>
      <c r="T4346" t="str">
        <f t="shared" si="1761"/>
        <v>10.20.8.188</v>
      </c>
      <c r="U4346" t="str">
        <f t="shared" si="1762"/>
        <v>AZRAD UMAR BIN SHAARI</v>
      </c>
      <c r="V4346" t="str">
        <f t="shared" si="1763"/>
        <v>FARHANA BINTI MUSTAPA</v>
      </c>
      <c r="W4346" t="str">
        <f t="shared" si="1764"/>
        <v>04-08-2020</v>
      </c>
      <c r="X4346" t="str">
        <f t="shared" si="1765"/>
        <v>RAZIMAH ANSAR AHMAD</v>
      </c>
      <c r="Y4346" t="str">
        <f t="shared" si="1766"/>
        <v>04-08-2020</v>
      </c>
      <c r="Z4346" t="str">
        <f>"COS10200804 4808"</f>
        <v>COS10200804 4808</v>
      </c>
    </row>
    <row r="4347" spans="1:26" x14ac:dyDescent="0.25">
      <c r="A4347" t="str">
        <f t="shared" si="1775"/>
        <v>04-08-2020 12:53:46</v>
      </c>
      <c r="B4347" t="str">
        <f>"0000806592"</f>
        <v>0000806592</v>
      </c>
      <c r="C4347" t="str">
        <f t="shared" si="1776"/>
        <v>0000806585</v>
      </c>
      <c r="D4347" t="str">
        <f t="shared" si="1754"/>
        <v>73185</v>
      </c>
      <c r="E4347" t="str">
        <f t="shared" si="1755"/>
        <v>KFH-OPERATIONS DEPARTMENT</v>
      </c>
      <c r="F4347" t="str">
        <f t="shared" si="1756"/>
        <v>IBG</v>
      </c>
      <c r="G4347" t="str">
        <f t="shared" si="1767"/>
        <v>Refund COSHARE 10</v>
      </c>
      <c r="H4347" s="2">
        <v>100.75</v>
      </c>
      <c r="I4347" t="str">
        <f>"INTAN SUHAINA BT JAMALUDDIN"</f>
        <v>INTAN SUHAINA BT JAMALUDDIN</v>
      </c>
      <c r="J4347" t="str">
        <f t="shared" si="1768"/>
        <v>MAYBANK / MAYBANK ISLAMIC</v>
      </c>
      <c r="K4347" t="str">
        <f>"112317147502"</f>
        <v>112317147502</v>
      </c>
      <c r="L4347" t="str">
        <f t="shared" ref="L4347:M4366" si="1777">"04-08-2020"</f>
        <v>04-08-2020</v>
      </c>
      <c r="M4347" t="str">
        <f t="shared" si="1777"/>
        <v>04-08-2020</v>
      </c>
      <c r="N4347" t="str">
        <f t="shared" si="1757"/>
        <v>001105018356</v>
      </c>
      <c r="O4347" t="str">
        <f t="shared" si="1758"/>
        <v>MYR</v>
      </c>
      <c r="P4347" t="str">
        <f t="shared" ref="P4347:Q4366" si="1778">"NIL"</f>
        <v>NIL</v>
      </c>
      <c r="Q4347" t="str">
        <f t="shared" si="1778"/>
        <v>NIL</v>
      </c>
      <c r="R4347" t="str">
        <f t="shared" si="1759"/>
        <v>Accepted</v>
      </c>
      <c r="S4347" t="str">
        <f t="shared" si="1760"/>
        <v>Approved</v>
      </c>
      <c r="T4347" t="str">
        <f t="shared" si="1761"/>
        <v>10.20.8.188</v>
      </c>
      <c r="U4347" t="str">
        <f t="shared" si="1762"/>
        <v>AZRAD UMAR BIN SHAARI</v>
      </c>
      <c r="V4347" t="str">
        <f t="shared" si="1763"/>
        <v>FARHANA BINTI MUSTAPA</v>
      </c>
      <c r="W4347" t="str">
        <f t="shared" si="1764"/>
        <v>04-08-2020</v>
      </c>
      <c r="X4347" t="str">
        <f t="shared" si="1765"/>
        <v>RAZIMAH ANSAR AHMAD</v>
      </c>
      <c r="Y4347" t="str">
        <f t="shared" si="1766"/>
        <v>04-08-2020</v>
      </c>
      <c r="Z4347" t="str">
        <f>"COS10200804 4807"</f>
        <v>COS10200804 4807</v>
      </c>
    </row>
    <row r="4348" spans="1:26" x14ac:dyDescent="0.25">
      <c r="A4348" t="str">
        <f t="shared" si="1775"/>
        <v>04-08-2020 12:53:46</v>
      </c>
      <c r="B4348" t="str">
        <f>"0000806591"</f>
        <v>0000806591</v>
      </c>
      <c r="C4348" t="str">
        <f t="shared" si="1776"/>
        <v>0000806585</v>
      </c>
      <c r="D4348" t="str">
        <f t="shared" si="1754"/>
        <v>73185</v>
      </c>
      <c r="E4348" t="str">
        <f t="shared" si="1755"/>
        <v>KFH-OPERATIONS DEPARTMENT</v>
      </c>
      <c r="F4348" t="str">
        <f t="shared" si="1756"/>
        <v>IBG</v>
      </c>
      <c r="G4348" t="str">
        <f t="shared" si="1767"/>
        <v>Refund COSHARE 10</v>
      </c>
      <c r="H4348" s="2">
        <v>335.8</v>
      </c>
      <c r="I4348" t="str">
        <f>"INTAN SUHAINA BT JAMALUDDIN"</f>
        <v>INTAN SUHAINA BT JAMALUDDIN</v>
      </c>
      <c r="J4348" t="str">
        <f t="shared" si="1768"/>
        <v>MAYBANK / MAYBANK ISLAMIC</v>
      </c>
      <c r="K4348" t="str">
        <f>"112317147502"</f>
        <v>112317147502</v>
      </c>
      <c r="L4348" t="str">
        <f t="shared" si="1777"/>
        <v>04-08-2020</v>
      </c>
      <c r="M4348" t="str">
        <f t="shared" si="1777"/>
        <v>04-08-2020</v>
      </c>
      <c r="N4348" t="str">
        <f t="shared" si="1757"/>
        <v>001105018356</v>
      </c>
      <c r="O4348" t="str">
        <f t="shared" si="1758"/>
        <v>MYR</v>
      </c>
      <c r="P4348" t="str">
        <f t="shared" si="1778"/>
        <v>NIL</v>
      </c>
      <c r="Q4348" t="str">
        <f t="shared" si="1778"/>
        <v>NIL</v>
      </c>
      <c r="R4348" t="str">
        <f t="shared" si="1759"/>
        <v>Accepted</v>
      </c>
      <c r="S4348" t="str">
        <f t="shared" si="1760"/>
        <v>Approved</v>
      </c>
      <c r="T4348" t="str">
        <f t="shared" si="1761"/>
        <v>10.20.8.188</v>
      </c>
      <c r="U4348" t="str">
        <f t="shared" si="1762"/>
        <v>AZRAD UMAR BIN SHAARI</v>
      </c>
      <c r="V4348" t="str">
        <f t="shared" si="1763"/>
        <v>FARHANA BINTI MUSTAPA</v>
      </c>
      <c r="W4348" t="str">
        <f t="shared" si="1764"/>
        <v>04-08-2020</v>
      </c>
      <c r="X4348" t="str">
        <f t="shared" si="1765"/>
        <v>RAZIMAH ANSAR AHMAD</v>
      </c>
      <c r="Y4348" t="str">
        <f t="shared" si="1766"/>
        <v>04-08-2020</v>
      </c>
      <c r="Z4348" t="str">
        <f>"COS10200804 4806"</f>
        <v>COS10200804 4806</v>
      </c>
    </row>
    <row r="4349" spans="1:26" x14ac:dyDescent="0.25">
      <c r="A4349" t="str">
        <f t="shared" si="1775"/>
        <v>04-08-2020 12:53:46</v>
      </c>
      <c r="B4349" t="str">
        <f>"0000806590"</f>
        <v>0000806590</v>
      </c>
      <c r="C4349" t="str">
        <f t="shared" si="1776"/>
        <v>0000806585</v>
      </c>
      <c r="D4349" t="str">
        <f t="shared" si="1754"/>
        <v>73185</v>
      </c>
      <c r="E4349" t="str">
        <f t="shared" si="1755"/>
        <v>KFH-OPERATIONS DEPARTMENT</v>
      </c>
      <c r="F4349" t="str">
        <f t="shared" si="1756"/>
        <v>IBG</v>
      </c>
      <c r="G4349" t="str">
        <f t="shared" si="1767"/>
        <v>Refund COSHARE 10</v>
      </c>
      <c r="H4349" s="2">
        <v>251.85</v>
      </c>
      <c r="I4349" t="str">
        <f>"INTAN BELINA BINTI AMIRUDIN"</f>
        <v>INTAN BELINA BINTI AMIRUDIN</v>
      </c>
      <c r="J4349" t="str">
        <f t="shared" si="1768"/>
        <v>MAYBANK / MAYBANK ISLAMIC</v>
      </c>
      <c r="K4349" t="str">
        <f>"164481065435"</f>
        <v>164481065435</v>
      </c>
      <c r="L4349" t="str">
        <f t="shared" si="1777"/>
        <v>04-08-2020</v>
      </c>
      <c r="M4349" t="str">
        <f t="shared" si="1777"/>
        <v>04-08-2020</v>
      </c>
      <c r="N4349" t="str">
        <f t="shared" si="1757"/>
        <v>001105018356</v>
      </c>
      <c r="O4349" t="str">
        <f t="shared" si="1758"/>
        <v>MYR</v>
      </c>
      <c r="P4349" t="str">
        <f t="shared" si="1778"/>
        <v>NIL</v>
      </c>
      <c r="Q4349" t="str">
        <f t="shared" si="1778"/>
        <v>NIL</v>
      </c>
      <c r="R4349" t="str">
        <f t="shared" si="1759"/>
        <v>Accepted</v>
      </c>
      <c r="S4349" t="str">
        <f t="shared" si="1760"/>
        <v>Approved</v>
      </c>
      <c r="T4349" t="str">
        <f t="shared" si="1761"/>
        <v>10.20.8.188</v>
      </c>
      <c r="U4349" t="str">
        <f t="shared" si="1762"/>
        <v>AZRAD UMAR BIN SHAARI</v>
      </c>
      <c r="V4349" t="str">
        <f t="shared" si="1763"/>
        <v>FARHANA BINTI MUSTAPA</v>
      </c>
      <c r="W4349" t="str">
        <f t="shared" si="1764"/>
        <v>04-08-2020</v>
      </c>
      <c r="X4349" t="str">
        <f t="shared" si="1765"/>
        <v>RAZIMAH ANSAR AHMAD</v>
      </c>
      <c r="Y4349" t="str">
        <f t="shared" si="1766"/>
        <v>04-08-2020</v>
      </c>
      <c r="Z4349" t="str">
        <f>"COS10200804 4805"</f>
        <v>COS10200804 4805</v>
      </c>
    </row>
    <row r="4350" spans="1:26" x14ac:dyDescent="0.25">
      <c r="A4350" t="str">
        <f t="shared" si="1775"/>
        <v>04-08-2020 12:53:46</v>
      </c>
      <c r="B4350" t="str">
        <f>"0000806589"</f>
        <v>0000806589</v>
      </c>
      <c r="C4350" t="str">
        <f t="shared" si="1776"/>
        <v>0000806585</v>
      </c>
      <c r="D4350" t="str">
        <f t="shared" si="1754"/>
        <v>73185</v>
      </c>
      <c r="E4350" t="str">
        <f t="shared" si="1755"/>
        <v>KFH-OPERATIONS DEPARTMENT</v>
      </c>
      <c r="F4350" t="str">
        <f t="shared" si="1756"/>
        <v>IBG</v>
      </c>
      <c r="G4350" t="str">
        <f t="shared" si="1767"/>
        <v>Refund COSHARE 10</v>
      </c>
      <c r="H4350" s="2">
        <v>100</v>
      </c>
      <c r="I4350" t="str">
        <f>"INTAN ASHIA BINTI MANADO"</f>
        <v>INTAN ASHIA BINTI MANADO</v>
      </c>
      <c r="J4350" t="str">
        <f t="shared" si="1768"/>
        <v>MAYBANK / MAYBANK ISLAMIC</v>
      </c>
      <c r="K4350" t="str">
        <f>"158248438319"</f>
        <v>158248438319</v>
      </c>
      <c r="L4350" t="str">
        <f t="shared" si="1777"/>
        <v>04-08-2020</v>
      </c>
      <c r="M4350" t="str">
        <f t="shared" si="1777"/>
        <v>04-08-2020</v>
      </c>
      <c r="N4350" t="str">
        <f t="shared" si="1757"/>
        <v>001105018356</v>
      </c>
      <c r="O4350" t="str">
        <f t="shared" si="1758"/>
        <v>MYR</v>
      </c>
      <c r="P4350" t="str">
        <f t="shared" si="1778"/>
        <v>NIL</v>
      </c>
      <c r="Q4350" t="str">
        <f t="shared" si="1778"/>
        <v>NIL</v>
      </c>
      <c r="R4350" t="str">
        <f t="shared" si="1759"/>
        <v>Accepted</v>
      </c>
      <c r="S4350" t="str">
        <f t="shared" si="1760"/>
        <v>Approved</v>
      </c>
      <c r="T4350" t="str">
        <f t="shared" si="1761"/>
        <v>10.20.8.188</v>
      </c>
      <c r="U4350" t="str">
        <f t="shared" si="1762"/>
        <v>AZRAD UMAR BIN SHAARI</v>
      </c>
      <c r="V4350" t="str">
        <f t="shared" si="1763"/>
        <v>FARHANA BINTI MUSTAPA</v>
      </c>
      <c r="W4350" t="str">
        <f t="shared" si="1764"/>
        <v>04-08-2020</v>
      </c>
      <c r="X4350" t="str">
        <f t="shared" si="1765"/>
        <v>RAZIMAH ANSAR AHMAD</v>
      </c>
      <c r="Y4350" t="str">
        <f t="shared" si="1766"/>
        <v>04-08-2020</v>
      </c>
      <c r="Z4350" t="str">
        <f>"COS10200804 4804"</f>
        <v>COS10200804 4804</v>
      </c>
    </row>
    <row r="4351" spans="1:26" x14ac:dyDescent="0.25">
      <c r="A4351" t="str">
        <f t="shared" si="1775"/>
        <v>04-08-2020 12:53:46</v>
      </c>
      <c r="B4351" t="str">
        <f>"0000806588"</f>
        <v>0000806588</v>
      </c>
      <c r="C4351" t="str">
        <f t="shared" si="1776"/>
        <v>0000806585</v>
      </c>
      <c r="D4351" t="str">
        <f t="shared" si="1754"/>
        <v>73185</v>
      </c>
      <c r="E4351" t="str">
        <f t="shared" si="1755"/>
        <v>KFH-OPERATIONS DEPARTMENT</v>
      </c>
      <c r="F4351" t="str">
        <f t="shared" si="1756"/>
        <v>IBG</v>
      </c>
      <c r="G4351" t="str">
        <f t="shared" si="1767"/>
        <v>Refund COSHARE 10</v>
      </c>
      <c r="H4351" s="2">
        <v>1577.45</v>
      </c>
      <c r="I4351" t="str">
        <f>"INDRA KHAIRIL BIN BAHRAIN"</f>
        <v>INDRA KHAIRIL BIN BAHRAIN</v>
      </c>
      <c r="J4351" t="str">
        <f t="shared" si="1768"/>
        <v>MAYBANK / MAYBANK ISLAMIC</v>
      </c>
      <c r="K4351" t="str">
        <f>"157054632295"</f>
        <v>157054632295</v>
      </c>
      <c r="L4351" t="str">
        <f t="shared" si="1777"/>
        <v>04-08-2020</v>
      </c>
      <c r="M4351" t="str">
        <f t="shared" si="1777"/>
        <v>04-08-2020</v>
      </c>
      <c r="N4351" t="str">
        <f t="shared" si="1757"/>
        <v>001105018356</v>
      </c>
      <c r="O4351" t="str">
        <f t="shared" si="1758"/>
        <v>MYR</v>
      </c>
      <c r="P4351" t="str">
        <f t="shared" si="1778"/>
        <v>NIL</v>
      </c>
      <c r="Q4351" t="str">
        <f t="shared" si="1778"/>
        <v>NIL</v>
      </c>
      <c r="R4351" t="str">
        <f t="shared" si="1759"/>
        <v>Accepted</v>
      </c>
      <c r="S4351" t="str">
        <f t="shared" si="1760"/>
        <v>Approved</v>
      </c>
      <c r="T4351" t="str">
        <f t="shared" si="1761"/>
        <v>10.20.8.188</v>
      </c>
      <c r="U4351" t="str">
        <f t="shared" si="1762"/>
        <v>AZRAD UMAR BIN SHAARI</v>
      </c>
      <c r="V4351" t="str">
        <f t="shared" si="1763"/>
        <v>FARHANA BINTI MUSTAPA</v>
      </c>
      <c r="W4351" t="str">
        <f t="shared" si="1764"/>
        <v>04-08-2020</v>
      </c>
      <c r="X4351" t="str">
        <f t="shared" si="1765"/>
        <v>RAZIMAH ANSAR AHMAD</v>
      </c>
      <c r="Y4351" t="str">
        <f t="shared" si="1766"/>
        <v>04-08-2020</v>
      </c>
      <c r="Z4351" t="str">
        <f>"COS10200804 4803"</f>
        <v>COS10200804 4803</v>
      </c>
    </row>
    <row r="4352" spans="1:26" x14ac:dyDescent="0.25">
      <c r="A4352" t="str">
        <f t="shared" si="1775"/>
        <v>04-08-2020 12:53:46</v>
      </c>
      <c r="B4352" t="str">
        <f>"0000806587"</f>
        <v>0000806587</v>
      </c>
      <c r="C4352" t="str">
        <f t="shared" si="1776"/>
        <v>0000806585</v>
      </c>
      <c r="D4352" t="str">
        <f t="shared" si="1754"/>
        <v>73185</v>
      </c>
      <c r="E4352" t="str">
        <f t="shared" si="1755"/>
        <v>KFH-OPERATIONS DEPARTMENT</v>
      </c>
      <c r="F4352" t="str">
        <f t="shared" si="1756"/>
        <v>IBG</v>
      </c>
      <c r="G4352" t="str">
        <f t="shared" si="1767"/>
        <v>Refund COSHARE 10</v>
      </c>
      <c r="H4352" s="2">
        <v>149</v>
      </c>
      <c r="I4352" t="str">
        <f>"INDRA KHAIRIL BIN BAHRAIN"</f>
        <v>INDRA KHAIRIL BIN BAHRAIN</v>
      </c>
      <c r="J4352" t="str">
        <f t="shared" si="1768"/>
        <v>MAYBANK / MAYBANK ISLAMIC</v>
      </c>
      <c r="K4352" t="str">
        <f>"157054632295"</f>
        <v>157054632295</v>
      </c>
      <c r="L4352" t="str">
        <f t="shared" si="1777"/>
        <v>04-08-2020</v>
      </c>
      <c r="M4352" t="str">
        <f t="shared" si="1777"/>
        <v>04-08-2020</v>
      </c>
      <c r="N4352" t="str">
        <f t="shared" si="1757"/>
        <v>001105018356</v>
      </c>
      <c r="O4352" t="str">
        <f t="shared" si="1758"/>
        <v>MYR</v>
      </c>
      <c r="P4352" t="str">
        <f t="shared" si="1778"/>
        <v>NIL</v>
      </c>
      <c r="Q4352" t="str">
        <f t="shared" si="1778"/>
        <v>NIL</v>
      </c>
      <c r="R4352" t="str">
        <f t="shared" si="1759"/>
        <v>Accepted</v>
      </c>
      <c r="S4352" t="str">
        <f t="shared" si="1760"/>
        <v>Approved</v>
      </c>
      <c r="T4352" t="str">
        <f t="shared" si="1761"/>
        <v>10.20.8.188</v>
      </c>
      <c r="U4352" t="str">
        <f t="shared" si="1762"/>
        <v>AZRAD UMAR BIN SHAARI</v>
      </c>
      <c r="V4352" t="str">
        <f t="shared" si="1763"/>
        <v>FARHANA BINTI MUSTAPA</v>
      </c>
      <c r="W4352" t="str">
        <f t="shared" si="1764"/>
        <v>04-08-2020</v>
      </c>
      <c r="X4352" t="str">
        <f t="shared" si="1765"/>
        <v>RAZIMAH ANSAR AHMAD</v>
      </c>
      <c r="Y4352" t="str">
        <f t="shared" si="1766"/>
        <v>04-08-2020</v>
      </c>
      <c r="Z4352" t="str">
        <f>"COS10200804 4802"</f>
        <v>COS10200804 4802</v>
      </c>
    </row>
    <row r="4353" spans="1:26" x14ac:dyDescent="0.25">
      <c r="A4353" t="str">
        <f t="shared" si="1775"/>
        <v>04-08-2020 12:53:46</v>
      </c>
      <c r="B4353" t="str">
        <f>"0000806586"</f>
        <v>0000806586</v>
      </c>
      <c r="C4353" t="str">
        <f t="shared" si="1776"/>
        <v>0000806585</v>
      </c>
      <c r="D4353" t="str">
        <f t="shared" si="1754"/>
        <v>73185</v>
      </c>
      <c r="E4353" t="str">
        <f t="shared" si="1755"/>
        <v>KFH-OPERATIONS DEPARTMENT</v>
      </c>
      <c r="F4353" t="str">
        <f t="shared" si="1756"/>
        <v>IBG</v>
      </c>
      <c r="G4353" t="str">
        <f t="shared" si="1767"/>
        <v>Refund COSHARE 10</v>
      </c>
      <c r="H4353" s="2">
        <v>521</v>
      </c>
      <c r="I4353" t="str">
        <f>"INDAR HATI  BINTI MARSUKI"</f>
        <v>INDAR HATI  BINTI MARSUKI</v>
      </c>
      <c r="J4353" t="str">
        <f t="shared" si="1768"/>
        <v>MAYBANK / MAYBANK ISLAMIC</v>
      </c>
      <c r="K4353" t="str">
        <f>"160037053718"</f>
        <v>160037053718</v>
      </c>
      <c r="L4353" t="str">
        <f t="shared" si="1777"/>
        <v>04-08-2020</v>
      </c>
      <c r="M4353" t="str">
        <f t="shared" si="1777"/>
        <v>04-08-2020</v>
      </c>
      <c r="N4353" t="str">
        <f t="shared" si="1757"/>
        <v>001105018356</v>
      </c>
      <c r="O4353" t="str">
        <f t="shared" si="1758"/>
        <v>MYR</v>
      </c>
      <c r="P4353" t="str">
        <f t="shared" si="1778"/>
        <v>NIL</v>
      </c>
      <c r="Q4353" t="str">
        <f t="shared" si="1778"/>
        <v>NIL</v>
      </c>
      <c r="R4353" t="str">
        <f t="shared" si="1759"/>
        <v>Accepted</v>
      </c>
      <c r="S4353" t="str">
        <f t="shared" si="1760"/>
        <v>Approved</v>
      </c>
      <c r="T4353" t="str">
        <f t="shared" si="1761"/>
        <v>10.20.8.188</v>
      </c>
      <c r="U4353" t="str">
        <f t="shared" si="1762"/>
        <v>AZRAD UMAR BIN SHAARI</v>
      </c>
      <c r="V4353" t="str">
        <f t="shared" si="1763"/>
        <v>FARHANA BINTI MUSTAPA</v>
      </c>
      <c r="W4353" t="str">
        <f t="shared" si="1764"/>
        <v>04-08-2020</v>
      </c>
      <c r="X4353" t="str">
        <f t="shared" si="1765"/>
        <v>RAZIMAH ANSAR AHMAD</v>
      </c>
      <c r="Y4353" t="str">
        <f t="shared" si="1766"/>
        <v>04-08-2020</v>
      </c>
      <c r="Z4353" t="str">
        <f>"COS10200804 4801"</f>
        <v>COS10200804 4801</v>
      </c>
    </row>
    <row r="4354" spans="1:26" x14ac:dyDescent="0.25">
      <c r="A4354" t="str">
        <f t="shared" ref="A4354:A4385" si="1779">"04-08-2020 12:50:26"</f>
        <v>04-08-2020 12:50:26</v>
      </c>
      <c r="B4354" t="str">
        <f>"0000806581"</f>
        <v>0000806581</v>
      </c>
      <c r="C4354" t="str">
        <f t="shared" ref="C4354:C4385" si="1780">"0000806381"</f>
        <v>0000806381</v>
      </c>
      <c r="D4354" t="str">
        <f t="shared" si="1754"/>
        <v>73185</v>
      </c>
      <c r="E4354" t="str">
        <f t="shared" si="1755"/>
        <v>KFH-OPERATIONS DEPARTMENT</v>
      </c>
      <c r="F4354" t="str">
        <f t="shared" si="1756"/>
        <v>IBG</v>
      </c>
      <c r="G4354" t="str">
        <f t="shared" si="1767"/>
        <v>Refund COSHARE 10</v>
      </c>
      <c r="H4354" s="2">
        <v>125.95</v>
      </c>
      <c r="I4354" t="str">
        <f>"INDAH SAHUDIN BINTI BULMAN"</f>
        <v>INDAH SAHUDIN BINTI BULMAN</v>
      </c>
      <c r="J4354" t="str">
        <f t="shared" si="1768"/>
        <v>MAYBANK / MAYBANK ISLAMIC</v>
      </c>
      <c r="K4354" t="str">
        <f>"111114333419"</f>
        <v>111114333419</v>
      </c>
      <c r="L4354" t="str">
        <f t="shared" si="1777"/>
        <v>04-08-2020</v>
      </c>
      <c r="M4354" t="str">
        <f t="shared" si="1777"/>
        <v>04-08-2020</v>
      </c>
      <c r="N4354" t="str">
        <f t="shared" si="1757"/>
        <v>001105018356</v>
      </c>
      <c r="O4354" t="str">
        <f t="shared" si="1758"/>
        <v>MYR</v>
      </c>
      <c r="P4354" t="str">
        <f t="shared" si="1778"/>
        <v>NIL</v>
      </c>
      <c r="Q4354" t="str">
        <f t="shared" si="1778"/>
        <v>NIL</v>
      </c>
      <c r="R4354" t="str">
        <f t="shared" si="1759"/>
        <v>Accepted</v>
      </c>
      <c r="S4354" t="str">
        <f t="shared" si="1760"/>
        <v>Approved</v>
      </c>
      <c r="T4354" t="str">
        <f t="shared" si="1761"/>
        <v>10.20.8.188</v>
      </c>
      <c r="U4354" t="str">
        <f t="shared" si="1762"/>
        <v>AZRAD UMAR BIN SHAARI</v>
      </c>
      <c r="V4354" t="str">
        <f t="shared" si="1763"/>
        <v>FARHANA BINTI MUSTAPA</v>
      </c>
      <c r="W4354" t="str">
        <f t="shared" si="1764"/>
        <v>04-08-2020</v>
      </c>
      <c r="X4354" t="str">
        <f t="shared" si="1765"/>
        <v>RAZIMAH ANSAR AHMAD</v>
      </c>
      <c r="Y4354" t="str">
        <f t="shared" si="1766"/>
        <v>04-08-2020</v>
      </c>
      <c r="Z4354" t="str">
        <f>"COS10200804 4800"</f>
        <v>COS10200804 4800</v>
      </c>
    </row>
    <row r="4355" spans="1:26" x14ac:dyDescent="0.25">
      <c r="A4355" t="str">
        <f t="shared" si="1779"/>
        <v>04-08-2020 12:50:26</v>
      </c>
      <c r="B4355" t="str">
        <f>"0000806580"</f>
        <v>0000806580</v>
      </c>
      <c r="C4355" t="str">
        <f t="shared" si="1780"/>
        <v>0000806381</v>
      </c>
      <c r="D4355" t="str">
        <f t="shared" si="1754"/>
        <v>73185</v>
      </c>
      <c r="E4355" t="str">
        <f t="shared" si="1755"/>
        <v>KFH-OPERATIONS DEPARTMENT</v>
      </c>
      <c r="F4355" t="str">
        <f t="shared" si="1756"/>
        <v>IBG</v>
      </c>
      <c r="G4355" t="str">
        <f t="shared" si="1767"/>
        <v>Refund COSHARE 10</v>
      </c>
      <c r="H4355" s="2">
        <v>196.5</v>
      </c>
      <c r="I4355" t="str">
        <f>"INDAH BAEYAH BINTI MOYOK  MUYOK"</f>
        <v>INDAH BAEYAH BINTI MOYOK  MUYOK</v>
      </c>
      <c r="J4355" t="str">
        <f t="shared" si="1768"/>
        <v>MAYBANK / MAYBANK ISLAMIC</v>
      </c>
      <c r="K4355" t="str">
        <f>"110032166861"</f>
        <v>110032166861</v>
      </c>
      <c r="L4355" t="str">
        <f t="shared" si="1777"/>
        <v>04-08-2020</v>
      </c>
      <c r="M4355" t="str">
        <f t="shared" si="1777"/>
        <v>04-08-2020</v>
      </c>
      <c r="N4355" t="str">
        <f t="shared" si="1757"/>
        <v>001105018356</v>
      </c>
      <c r="O4355" t="str">
        <f t="shared" si="1758"/>
        <v>MYR</v>
      </c>
      <c r="P4355" t="str">
        <f t="shared" si="1778"/>
        <v>NIL</v>
      </c>
      <c r="Q4355" t="str">
        <f t="shared" si="1778"/>
        <v>NIL</v>
      </c>
      <c r="R4355" t="str">
        <f t="shared" si="1759"/>
        <v>Accepted</v>
      </c>
      <c r="S4355" t="str">
        <f t="shared" si="1760"/>
        <v>Approved</v>
      </c>
      <c r="T4355" t="str">
        <f t="shared" si="1761"/>
        <v>10.20.8.188</v>
      </c>
      <c r="U4355" t="str">
        <f t="shared" si="1762"/>
        <v>AZRAD UMAR BIN SHAARI</v>
      </c>
      <c r="V4355" t="str">
        <f t="shared" si="1763"/>
        <v>FARHANA BINTI MUSTAPA</v>
      </c>
      <c r="W4355" t="str">
        <f t="shared" si="1764"/>
        <v>04-08-2020</v>
      </c>
      <c r="X4355" t="str">
        <f t="shared" si="1765"/>
        <v>RAZIMAH ANSAR AHMAD</v>
      </c>
      <c r="Y4355" t="str">
        <f t="shared" si="1766"/>
        <v>04-08-2020</v>
      </c>
      <c r="Z4355" t="str">
        <f>"COS10200804 4799"</f>
        <v>COS10200804 4799</v>
      </c>
    </row>
    <row r="4356" spans="1:26" x14ac:dyDescent="0.25">
      <c r="A4356" t="str">
        <f t="shared" si="1779"/>
        <v>04-08-2020 12:50:26</v>
      </c>
      <c r="B4356" t="str">
        <f>"0000806579"</f>
        <v>0000806579</v>
      </c>
      <c r="C4356" t="str">
        <f t="shared" si="1780"/>
        <v>0000806381</v>
      </c>
      <c r="D4356" t="str">
        <f t="shared" si="1754"/>
        <v>73185</v>
      </c>
      <c r="E4356" t="str">
        <f t="shared" si="1755"/>
        <v>KFH-OPERATIONS DEPARTMENT</v>
      </c>
      <c r="F4356" t="str">
        <f t="shared" si="1756"/>
        <v>IBG</v>
      </c>
      <c r="G4356" t="str">
        <f t="shared" si="1767"/>
        <v>Refund COSHARE 10</v>
      </c>
      <c r="H4356" s="2">
        <v>839.5</v>
      </c>
      <c r="I4356" t="str">
        <f>"INA TISHA MERICAN BINTI DIN MERICAN"</f>
        <v>INA TISHA MERICAN BINTI DIN MERICAN</v>
      </c>
      <c r="J4356" t="str">
        <f t="shared" si="1768"/>
        <v>MAYBANK / MAYBANK ISLAMIC</v>
      </c>
      <c r="K4356" t="str">
        <f>"166010071341"</f>
        <v>166010071341</v>
      </c>
      <c r="L4356" t="str">
        <f t="shared" si="1777"/>
        <v>04-08-2020</v>
      </c>
      <c r="M4356" t="str">
        <f t="shared" si="1777"/>
        <v>04-08-2020</v>
      </c>
      <c r="N4356" t="str">
        <f t="shared" si="1757"/>
        <v>001105018356</v>
      </c>
      <c r="O4356" t="str">
        <f t="shared" si="1758"/>
        <v>MYR</v>
      </c>
      <c r="P4356" t="str">
        <f t="shared" si="1778"/>
        <v>NIL</v>
      </c>
      <c r="Q4356" t="str">
        <f t="shared" si="1778"/>
        <v>NIL</v>
      </c>
      <c r="R4356" t="str">
        <f t="shared" si="1759"/>
        <v>Accepted</v>
      </c>
      <c r="S4356" t="str">
        <f t="shared" si="1760"/>
        <v>Approved</v>
      </c>
      <c r="T4356" t="str">
        <f t="shared" si="1761"/>
        <v>10.20.8.188</v>
      </c>
      <c r="U4356" t="str">
        <f t="shared" si="1762"/>
        <v>AZRAD UMAR BIN SHAARI</v>
      </c>
      <c r="V4356" t="str">
        <f t="shared" si="1763"/>
        <v>FARHANA BINTI MUSTAPA</v>
      </c>
      <c r="W4356" t="str">
        <f t="shared" si="1764"/>
        <v>04-08-2020</v>
      </c>
      <c r="X4356" t="str">
        <f t="shared" si="1765"/>
        <v>RAZIMAH ANSAR AHMAD</v>
      </c>
      <c r="Y4356" t="str">
        <f t="shared" si="1766"/>
        <v>04-08-2020</v>
      </c>
      <c r="Z4356" t="str">
        <f>"COS10200804 4798"</f>
        <v>COS10200804 4798</v>
      </c>
    </row>
    <row r="4357" spans="1:26" x14ac:dyDescent="0.25">
      <c r="A4357" t="str">
        <f t="shared" si="1779"/>
        <v>04-08-2020 12:50:26</v>
      </c>
      <c r="B4357" t="str">
        <f>"0000806578"</f>
        <v>0000806578</v>
      </c>
      <c r="C4357" t="str">
        <f t="shared" si="1780"/>
        <v>0000806381</v>
      </c>
      <c r="D4357" t="str">
        <f t="shared" si="1754"/>
        <v>73185</v>
      </c>
      <c r="E4357" t="str">
        <f t="shared" si="1755"/>
        <v>KFH-OPERATIONS DEPARTMENT</v>
      </c>
      <c r="F4357" t="str">
        <f t="shared" si="1756"/>
        <v>IBG</v>
      </c>
      <c r="G4357" t="str">
        <f t="shared" si="1767"/>
        <v>Refund COSHARE 10</v>
      </c>
      <c r="H4357" s="2">
        <v>579.25</v>
      </c>
      <c r="I4357" t="str">
        <f>"IMRAN SYAHRIN BIN  IBRAHIM"</f>
        <v>IMRAN SYAHRIN BIN  IBRAHIM</v>
      </c>
      <c r="J4357" t="str">
        <f t="shared" si="1768"/>
        <v>MAYBANK / MAYBANK ISLAMIC</v>
      </c>
      <c r="K4357" t="str">
        <f>"166010158237"</f>
        <v>166010158237</v>
      </c>
      <c r="L4357" t="str">
        <f t="shared" si="1777"/>
        <v>04-08-2020</v>
      </c>
      <c r="M4357" t="str">
        <f t="shared" si="1777"/>
        <v>04-08-2020</v>
      </c>
      <c r="N4357" t="str">
        <f t="shared" si="1757"/>
        <v>001105018356</v>
      </c>
      <c r="O4357" t="str">
        <f t="shared" si="1758"/>
        <v>MYR</v>
      </c>
      <c r="P4357" t="str">
        <f t="shared" si="1778"/>
        <v>NIL</v>
      </c>
      <c r="Q4357" t="str">
        <f t="shared" si="1778"/>
        <v>NIL</v>
      </c>
      <c r="R4357" t="str">
        <f t="shared" si="1759"/>
        <v>Accepted</v>
      </c>
      <c r="S4357" t="str">
        <f t="shared" si="1760"/>
        <v>Approved</v>
      </c>
      <c r="T4357" t="str">
        <f t="shared" si="1761"/>
        <v>10.20.8.188</v>
      </c>
      <c r="U4357" t="str">
        <f t="shared" si="1762"/>
        <v>AZRAD UMAR BIN SHAARI</v>
      </c>
      <c r="V4357" t="str">
        <f t="shared" si="1763"/>
        <v>FARHANA BINTI MUSTAPA</v>
      </c>
      <c r="W4357" t="str">
        <f t="shared" si="1764"/>
        <v>04-08-2020</v>
      </c>
      <c r="X4357" t="str">
        <f t="shared" si="1765"/>
        <v>RAZIMAH ANSAR AHMAD</v>
      </c>
      <c r="Y4357" t="str">
        <f t="shared" si="1766"/>
        <v>04-08-2020</v>
      </c>
      <c r="Z4357" t="str">
        <f>"COS10200804 4797"</f>
        <v>COS10200804 4797</v>
      </c>
    </row>
    <row r="4358" spans="1:26" x14ac:dyDescent="0.25">
      <c r="A4358" t="str">
        <f t="shared" si="1779"/>
        <v>04-08-2020 12:50:26</v>
      </c>
      <c r="B4358" t="str">
        <f>"0000806577"</f>
        <v>0000806577</v>
      </c>
      <c r="C4358" t="str">
        <f t="shared" si="1780"/>
        <v>0000806381</v>
      </c>
      <c r="D4358" t="str">
        <f t="shared" si="1754"/>
        <v>73185</v>
      </c>
      <c r="E4358" t="str">
        <f t="shared" si="1755"/>
        <v>KFH-OPERATIONS DEPARTMENT</v>
      </c>
      <c r="F4358" t="str">
        <f t="shared" si="1756"/>
        <v>IBG</v>
      </c>
      <c r="G4358" t="str">
        <f t="shared" si="1767"/>
        <v>Refund COSHARE 10</v>
      </c>
      <c r="H4358" s="2">
        <v>503.7</v>
      </c>
      <c r="I4358" t="str">
        <f>"IMELDA BINTI RAYMOND"</f>
        <v>IMELDA BINTI RAYMOND</v>
      </c>
      <c r="J4358" t="str">
        <f t="shared" si="1768"/>
        <v>MAYBANK / MAYBANK ISLAMIC</v>
      </c>
      <c r="K4358" t="str">
        <f>"115121036252"</f>
        <v>115121036252</v>
      </c>
      <c r="L4358" t="str">
        <f t="shared" si="1777"/>
        <v>04-08-2020</v>
      </c>
      <c r="M4358" t="str">
        <f t="shared" si="1777"/>
        <v>04-08-2020</v>
      </c>
      <c r="N4358" t="str">
        <f t="shared" si="1757"/>
        <v>001105018356</v>
      </c>
      <c r="O4358" t="str">
        <f t="shared" si="1758"/>
        <v>MYR</v>
      </c>
      <c r="P4358" t="str">
        <f t="shared" si="1778"/>
        <v>NIL</v>
      </c>
      <c r="Q4358" t="str">
        <f t="shared" si="1778"/>
        <v>NIL</v>
      </c>
      <c r="R4358" t="str">
        <f t="shared" si="1759"/>
        <v>Accepted</v>
      </c>
      <c r="S4358" t="str">
        <f t="shared" si="1760"/>
        <v>Approved</v>
      </c>
      <c r="T4358" t="str">
        <f t="shared" si="1761"/>
        <v>10.20.8.188</v>
      </c>
      <c r="U4358" t="str">
        <f t="shared" si="1762"/>
        <v>AZRAD UMAR BIN SHAARI</v>
      </c>
      <c r="V4358" t="str">
        <f t="shared" si="1763"/>
        <v>FARHANA BINTI MUSTAPA</v>
      </c>
      <c r="W4358" t="str">
        <f t="shared" si="1764"/>
        <v>04-08-2020</v>
      </c>
      <c r="X4358" t="str">
        <f t="shared" si="1765"/>
        <v>RAZIMAH ANSAR AHMAD</v>
      </c>
      <c r="Y4358" t="str">
        <f t="shared" si="1766"/>
        <v>04-08-2020</v>
      </c>
      <c r="Z4358" t="str">
        <f>"COS10200804 4796"</f>
        <v>COS10200804 4796</v>
      </c>
    </row>
    <row r="4359" spans="1:26" x14ac:dyDescent="0.25">
      <c r="A4359" t="str">
        <f t="shared" si="1779"/>
        <v>04-08-2020 12:50:26</v>
      </c>
      <c r="B4359" t="str">
        <f>"0000806576"</f>
        <v>0000806576</v>
      </c>
      <c r="C4359" t="str">
        <f t="shared" si="1780"/>
        <v>0000806381</v>
      </c>
      <c r="D4359" t="str">
        <f t="shared" ref="D4359:D4422" si="1781">"73185"</f>
        <v>73185</v>
      </c>
      <c r="E4359" t="str">
        <f t="shared" ref="E4359:E4422" si="1782">"KFH-OPERATIONS DEPARTMENT"</f>
        <v>KFH-OPERATIONS DEPARTMENT</v>
      </c>
      <c r="F4359" t="str">
        <f t="shared" ref="F4359:F4422" si="1783">"IBG"</f>
        <v>IBG</v>
      </c>
      <c r="G4359" t="str">
        <f t="shared" si="1767"/>
        <v>Refund COSHARE 10</v>
      </c>
      <c r="H4359" s="2">
        <v>503.7</v>
      </c>
      <c r="I4359" t="str">
        <f>"IMANAH BINTI AHMAD"</f>
        <v>IMANAH BINTI AHMAD</v>
      </c>
      <c r="J4359" t="str">
        <f t="shared" si="1768"/>
        <v>MAYBANK / MAYBANK ISLAMIC</v>
      </c>
      <c r="K4359" t="str">
        <f>"162133223403"</f>
        <v>162133223403</v>
      </c>
      <c r="L4359" t="str">
        <f t="shared" si="1777"/>
        <v>04-08-2020</v>
      </c>
      <c r="M4359" t="str">
        <f t="shared" si="1777"/>
        <v>04-08-2020</v>
      </c>
      <c r="N4359" t="str">
        <f t="shared" ref="N4359:N4422" si="1784">"001105018356"</f>
        <v>001105018356</v>
      </c>
      <c r="O4359" t="str">
        <f t="shared" ref="O4359:O4422" si="1785">"MYR"</f>
        <v>MYR</v>
      </c>
      <c r="P4359" t="str">
        <f t="shared" si="1778"/>
        <v>NIL</v>
      </c>
      <c r="Q4359" t="str">
        <f t="shared" si="1778"/>
        <v>NIL</v>
      </c>
      <c r="R4359" t="str">
        <f t="shared" ref="R4359:R4422" si="1786">"Accepted"</f>
        <v>Accepted</v>
      </c>
      <c r="S4359" t="str">
        <f t="shared" ref="S4359:S4422" si="1787">"Approved"</f>
        <v>Approved</v>
      </c>
      <c r="T4359" t="str">
        <f t="shared" ref="T4359:T4422" si="1788">"10.20.8.188"</f>
        <v>10.20.8.188</v>
      </c>
      <c r="U4359" t="str">
        <f t="shared" ref="U4359:U4422" si="1789">"AZRAD UMAR BIN SHAARI"</f>
        <v>AZRAD UMAR BIN SHAARI</v>
      </c>
      <c r="V4359" t="str">
        <f t="shared" ref="V4359:V4422" si="1790">"FARHANA BINTI MUSTAPA"</f>
        <v>FARHANA BINTI MUSTAPA</v>
      </c>
      <c r="W4359" t="str">
        <f t="shared" ref="W4359:W4422" si="1791">"04-08-2020"</f>
        <v>04-08-2020</v>
      </c>
      <c r="X4359" t="str">
        <f t="shared" ref="X4359:X4422" si="1792">"RAZIMAH ANSAR AHMAD"</f>
        <v>RAZIMAH ANSAR AHMAD</v>
      </c>
      <c r="Y4359" t="str">
        <f t="shared" ref="Y4359:Y4422" si="1793">"04-08-2020"</f>
        <v>04-08-2020</v>
      </c>
      <c r="Z4359" t="str">
        <f>"COS10200804 4795"</f>
        <v>COS10200804 4795</v>
      </c>
    </row>
    <row r="4360" spans="1:26" x14ac:dyDescent="0.25">
      <c r="A4360" t="str">
        <f t="shared" si="1779"/>
        <v>04-08-2020 12:50:26</v>
      </c>
      <c r="B4360" t="str">
        <f>"0000806575"</f>
        <v>0000806575</v>
      </c>
      <c r="C4360" t="str">
        <f t="shared" si="1780"/>
        <v>0000806381</v>
      </c>
      <c r="D4360" t="str">
        <f t="shared" si="1781"/>
        <v>73185</v>
      </c>
      <c r="E4360" t="str">
        <f t="shared" si="1782"/>
        <v>KFH-OPERATIONS DEPARTMENT</v>
      </c>
      <c r="F4360" t="str">
        <f t="shared" si="1783"/>
        <v>IBG</v>
      </c>
      <c r="G4360" t="str">
        <f t="shared" si="1767"/>
        <v>Refund COSHARE 10</v>
      </c>
      <c r="H4360" s="2">
        <v>1082.95</v>
      </c>
      <c r="I4360" t="str">
        <f>"ILMU AZAM BIN JAAFAR"</f>
        <v>ILMU AZAM BIN JAAFAR</v>
      </c>
      <c r="J4360" t="str">
        <f t="shared" si="1768"/>
        <v>MAYBANK / MAYBANK ISLAMIC</v>
      </c>
      <c r="K4360" t="str">
        <f>"158118094725"</f>
        <v>158118094725</v>
      </c>
      <c r="L4360" t="str">
        <f t="shared" si="1777"/>
        <v>04-08-2020</v>
      </c>
      <c r="M4360" t="str">
        <f t="shared" si="1777"/>
        <v>04-08-2020</v>
      </c>
      <c r="N4360" t="str">
        <f t="shared" si="1784"/>
        <v>001105018356</v>
      </c>
      <c r="O4360" t="str">
        <f t="shared" si="1785"/>
        <v>MYR</v>
      </c>
      <c r="P4360" t="str">
        <f t="shared" si="1778"/>
        <v>NIL</v>
      </c>
      <c r="Q4360" t="str">
        <f t="shared" si="1778"/>
        <v>NIL</v>
      </c>
      <c r="R4360" t="str">
        <f t="shared" si="1786"/>
        <v>Accepted</v>
      </c>
      <c r="S4360" t="str">
        <f t="shared" si="1787"/>
        <v>Approved</v>
      </c>
      <c r="T4360" t="str">
        <f t="shared" si="1788"/>
        <v>10.20.8.188</v>
      </c>
      <c r="U4360" t="str">
        <f t="shared" si="1789"/>
        <v>AZRAD UMAR BIN SHAARI</v>
      </c>
      <c r="V4360" t="str">
        <f t="shared" si="1790"/>
        <v>FARHANA BINTI MUSTAPA</v>
      </c>
      <c r="W4360" t="str">
        <f t="shared" si="1791"/>
        <v>04-08-2020</v>
      </c>
      <c r="X4360" t="str">
        <f t="shared" si="1792"/>
        <v>RAZIMAH ANSAR AHMAD</v>
      </c>
      <c r="Y4360" t="str">
        <f t="shared" si="1793"/>
        <v>04-08-2020</v>
      </c>
      <c r="Z4360" t="str">
        <f>"COS10200804 4794"</f>
        <v>COS10200804 4794</v>
      </c>
    </row>
    <row r="4361" spans="1:26" x14ac:dyDescent="0.25">
      <c r="A4361" t="str">
        <f t="shared" si="1779"/>
        <v>04-08-2020 12:50:26</v>
      </c>
      <c r="B4361" t="str">
        <f>"0000806574"</f>
        <v>0000806574</v>
      </c>
      <c r="C4361" t="str">
        <f t="shared" si="1780"/>
        <v>0000806381</v>
      </c>
      <c r="D4361" t="str">
        <f t="shared" si="1781"/>
        <v>73185</v>
      </c>
      <c r="E4361" t="str">
        <f t="shared" si="1782"/>
        <v>KFH-OPERATIONS DEPARTMENT</v>
      </c>
      <c r="F4361" t="str">
        <f t="shared" si="1783"/>
        <v>IBG</v>
      </c>
      <c r="G4361" t="str">
        <f t="shared" si="1767"/>
        <v>Refund COSHARE 10</v>
      </c>
      <c r="H4361" s="2">
        <v>839.5</v>
      </c>
      <c r="I4361" t="str">
        <f>"IKMAL HISYAM BIN BAKRIN"</f>
        <v>IKMAL HISYAM BIN BAKRIN</v>
      </c>
      <c r="J4361" t="str">
        <f t="shared" si="1768"/>
        <v>MAYBANK / MAYBANK ISLAMIC</v>
      </c>
      <c r="K4361" t="str">
        <f>"154026522044"</f>
        <v>154026522044</v>
      </c>
      <c r="L4361" t="str">
        <f t="shared" si="1777"/>
        <v>04-08-2020</v>
      </c>
      <c r="M4361" t="str">
        <f t="shared" si="1777"/>
        <v>04-08-2020</v>
      </c>
      <c r="N4361" t="str">
        <f t="shared" si="1784"/>
        <v>001105018356</v>
      </c>
      <c r="O4361" t="str">
        <f t="shared" si="1785"/>
        <v>MYR</v>
      </c>
      <c r="P4361" t="str">
        <f t="shared" si="1778"/>
        <v>NIL</v>
      </c>
      <c r="Q4361" t="str">
        <f t="shared" si="1778"/>
        <v>NIL</v>
      </c>
      <c r="R4361" t="str">
        <f t="shared" si="1786"/>
        <v>Accepted</v>
      </c>
      <c r="S4361" t="str">
        <f t="shared" si="1787"/>
        <v>Approved</v>
      </c>
      <c r="T4361" t="str">
        <f t="shared" si="1788"/>
        <v>10.20.8.188</v>
      </c>
      <c r="U4361" t="str">
        <f t="shared" si="1789"/>
        <v>AZRAD UMAR BIN SHAARI</v>
      </c>
      <c r="V4361" t="str">
        <f t="shared" si="1790"/>
        <v>FARHANA BINTI MUSTAPA</v>
      </c>
      <c r="W4361" t="str">
        <f t="shared" si="1791"/>
        <v>04-08-2020</v>
      </c>
      <c r="X4361" t="str">
        <f t="shared" si="1792"/>
        <v>RAZIMAH ANSAR AHMAD</v>
      </c>
      <c r="Y4361" t="str">
        <f t="shared" si="1793"/>
        <v>04-08-2020</v>
      </c>
      <c r="Z4361" t="str">
        <f>"COS10200804 4793"</f>
        <v>COS10200804 4793</v>
      </c>
    </row>
    <row r="4362" spans="1:26" x14ac:dyDescent="0.25">
      <c r="A4362" t="str">
        <f t="shared" si="1779"/>
        <v>04-08-2020 12:50:26</v>
      </c>
      <c r="B4362" t="str">
        <f>"0000806573"</f>
        <v>0000806573</v>
      </c>
      <c r="C4362" t="str">
        <f t="shared" si="1780"/>
        <v>0000806381</v>
      </c>
      <c r="D4362" t="str">
        <f t="shared" si="1781"/>
        <v>73185</v>
      </c>
      <c r="E4362" t="str">
        <f t="shared" si="1782"/>
        <v>KFH-OPERATIONS DEPARTMENT</v>
      </c>
      <c r="F4362" t="str">
        <f t="shared" si="1783"/>
        <v>IBG</v>
      </c>
      <c r="G4362" t="str">
        <f t="shared" si="1767"/>
        <v>Refund COSHARE 10</v>
      </c>
      <c r="H4362" s="2">
        <v>755.55</v>
      </c>
      <c r="I4362" t="str">
        <f>"IKMAL HARMIZI BIN MAZARUDIN"</f>
        <v>IKMAL HARMIZI BIN MAZARUDIN</v>
      </c>
      <c r="J4362" t="str">
        <f t="shared" si="1768"/>
        <v>MAYBANK / MAYBANK ISLAMIC</v>
      </c>
      <c r="K4362" t="str">
        <f>"164100278995"</f>
        <v>164100278995</v>
      </c>
      <c r="L4362" t="str">
        <f t="shared" si="1777"/>
        <v>04-08-2020</v>
      </c>
      <c r="M4362" t="str">
        <f t="shared" si="1777"/>
        <v>04-08-2020</v>
      </c>
      <c r="N4362" t="str">
        <f t="shared" si="1784"/>
        <v>001105018356</v>
      </c>
      <c r="O4362" t="str">
        <f t="shared" si="1785"/>
        <v>MYR</v>
      </c>
      <c r="P4362" t="str">
        <f t="shared" si="1778"/>
        <v>NIL</v>
      </c>
      <c r="Q4362" t="str">
        <f t="shared" si="1778"/>
        <v>NIL</v>
      </c>
      <c r="R4362" t="str">
        <f t="shared" si="1786"/>
        <v>Accepted</v>
      </c>
      <c r="S4362" t="str">
        <f t="shared" si="1787"/>
        <v>Approved</v>
      </c>
      <c r="T4362" t="str">
        <f t="shared" si="1788"/>
        <v>10.20.8.188</v>
      </c>
      <c r="U4362" t="str">
        <f t="shared" si="1789"/>
        <v>AZRAD UMAR BIN SHAARI</v>
      </c>
      <c r="V4362" t="str">
        <f t="shared" si="1790"/>
        <v>FARHANA BINTI MUSTAPA</v>
      </c>
      <c r="W4362" t="str">
        <f t="shared" si="1791"/>
        <v>04-08-2020</v>
      </c>
      <c r="X4362" t="str">
        <f t="shared" si="1792"/>
        <v>RAZIMAH ANSAR AHMAD</v>
      </c>
      <c r="Y4362" t="str">
        <f t="shared" si="1793"/>
        <v>04-08-2020</v>
      </c>
      <c r="Z4362" t="str">
        <f>"COS10200804 4792"</f>
        <v>COS10200804 4792</v>
      </c>
    </row>
    <row r="4363" spans="1:26" x14ac:dyDescent="0.25">
      <c r="A4363" t="str">
        <f t="shared" si="1779"/>
        <v>04-08-2020 12:50:26</v>
      </c>
      <c r="B4363" t="str">
        <f>"0000806572"</f>
        <v>0000806572</v>
      </c>
      <c r="C4363" t="str">
        <f t="shared" si="1780"/>
        <v>0000806381</v>
      </c>
      <c r="D4363" t="str">
        <f t="shared" si="1781"/>
        <v>73185</v>
      </c>
      <c r="E4363" t="str">
        <f t="shared" si="1782"/>
        <v>KFH-OPERATIONS DEPARTMENT</v>
      </c>
      <c r="F4363" t="str">
        <f t="shared" si="1783"/>
        <v>IBG</v>
      </c>
      <c r="G4363" t="str">
        <f t="shared" si="1767"/>
        <v>Refund COSHARE 10</v>
      </c>
      <c r="H4363" s="2">
        <v>125.95</v>
      </c>
      <c r="I4363" t="str">
        <f>"IKHSAN SANI BIN SUHIMI"</f>
        <v>IKHSAN SANI BIN SUHIMI</v>
      </c>
      <c r="J4363" t="str">
        <f t="shared" si="1768"/>
        <v>MAYBANK / MAYBANK ISLAMIC</v>
      </c>
      <c r="K4363" t="str">
        <f>"161257051346"</f>
        <v>161257051346</v>
      </c>
      <c r="L4363" t="str">
        <f t="shared" si="1777"/>
        <v>04-08-2020</v>
      </c>
      <c r="M4363" t="str">
        <f t="shared" si="1777"/>
        <v>04-08-2020</v>
      </c>
      <c r="N4363" t="str">
        <f t="shared" si="1784"/>
        <v>001105018356</v>
      </c>
      <c r="O4363" t="str">
        <f t="shared" si="1785"/>
        <v>MYR</v>
      </c>
      <c r="P4363" t="str">
        <f t="shared" si="1778"/>
        <v>NIL</v>
      </c>
      <c r="Q4363" t="str">
        <f t="shared" si="1778"/>
        <v>NIL</v>
      </c>
      <c r="R4363" t="str">
        <f t="shared" si="1786"/>
        <v>Accepted</v>
      </c>
      <c r="S4363" t="str">
        <f t="shared" si="1787"/>
        <v>Approved</v>
      </c>
      <c r="T4363" t="str">
        <f t="shared" si="1788"/>
        <v>10.20.8.188</v>
      </c>
      <c r="U4363" t="str">
        <f t="shared" si="1789"/>
        <v>AZRAD UMAR BIN SHAARI</v>
      </c>
      <c r="V4363" t="str">
        <f t="shared" si="1790"/>
        <v>FARHANA BINTI MUSTAPA</v>
      </c>
      <c r="W4363" t="str">
        <f t="shared" si="1791"/>
        <v>04-08-2020</v>
      </c>
      <c r="X4363" t="str">
        <f t="shared" si="1792"/>
        <v>RAZIMAH ANSAR AHMAD</v>
      </c>
      <c r="Y4363" t="str">
        <f t="shared" si="1793"/>
        <v>04-08-2020</v>
      </c>
      <c r="Z4363" t="str">
        <f>"COS10200804 4791"</f>
        <v>COS10200804 4791</v>
      </c>
    </row>
    <row r="4364" spans="1:26" x14ac:dyDescent="0.25">
      <c r="A4364" t="str">
        <f t="shared" si="1779"/>
        <v>04-08-2020 12:50:26</v>
      </c>
      <c r="B4364" t="str">
        <f>"0000806571"</f>
        <v>0000806571</v>
      </c>
      <c r="C4364" t="str">
        <f t="shared" si="1780"/>
        <v>0000806381</v>
      </c>
      <c r="D4364" t="str">
        <f t="shared" si="1781"/>
        <v>73185</v>
      </c>
      <c r="E4364" t="str">
        <f t="shared" si="1782"/>
        <v>KFH-OPERATIONS DEPARTMENT</v>
      </c>
      <c r="F4364" t="str">
        <f t="shared" si="1783"/>
        <v>IBG</v>
      </c>
      <c r="G4364" t="str">
        <f t="shared" ref="G4364:G4427" si="1794">"Refund COSHARE 10"</f>
        <v>Refund COSHARE 10</v>
      </c>
      <c r="H4364" s="2">
        <v>103.45</v>
      </c>
      <c r="I4364" t="str">
        <f>"IDRIS BIN IBRAHIM"</f>
        <v>IDRIS BIN IBRAHIM</v>
      </c>
      <c r="J4364" t="str">
        <f t="shared" si="1768"/>
        <v>MAYBANK / MAYBANK ISLAMIC</v>
      </c>
      <c r="K4364" t="str">
        <f>"114123271034"</f>
        <v>114123271034</v>
      </c>
      <c r="L4364" t="str">
        <f t="shared" si="1777"/>
        <v>04-08-2020</v>
      </c>
      <c r="M4364" t="str">
        <f t="shared" si="1777"/>
        <v>04-08-2020</v>
      </c>
      <c r="N4364" t="str">
        <f t="shared" si="1784"/>
        <v>001105018356</v>
      </c>
      <c r="O4364" t="str">
        <f t="shared" si="1785"/>
        <v>MYR</v>
      </c>
      <c r="P4364" t="str">
        <f t="shared" si="1778"/>
        <v>NIL</v>
      </c>
      <c r="Q4364" t="str">
        <f t="shared" si="1778"/>
        <v>NIL</v>
      </c>
      <c r="R4364" t="str">
        <f t="shared" si="1786"/>
        <v>Accepted</v>
      </c>
      <c r="S4364" t="str">
        <f t="shared" si="1787"/>
        <v>Approved</v>
      </c>
      <c r="T4364" t="str">
        <f t="shared" si="1788"/>
        <v>10.20.8.188</v>
      </c>
      <c r="U4364" t="str">
        <f t="shared" si="1789"/>
        <v>AZRAD UMAR BIN SHAARI</v>
      </c>
      <c r="V4364" t="str">
        <f t="shared" si="1790"/>
        <v>FARHANA BINTI MUSTAPA</v>
      </c>
      <c r="W4364" t="str">
        <f t="shared" si="1791"/>
        <v>04-08-2020</v>
      </c>
      <c r="X4364" t="str">
        <f t="shared" si="1792"/>
        <v>RAZIMAH ANSAR AHMAD</v>
      </c>
      <c r="Y4364" t="str">
        <f t="shared" si="1793"/>
        <v>04-08-2020</v>
      </c>
      <c r="Z4364" t="str">
        <f>"COS10200804 4790"</f>
        <v>COS10200804 4790</v>
      </c>
    </row>
    <row r="4365" spans="1:26" x14ac:dyDescent="0.25">
      <c r="A4365" t="str">
        <f t="shared" si="1779"/>
        <v>04-08-2020 12:50:26</v>
      </c>
      <c r="B4365" t="str">
        <f>"0000806570"</f>
        <v>0000806570</v>
      </c>
      <c r="C4365" t="str">
        <f t="shared" si="1780"/>
        <v>0000806381</v>
      </c>
      <c r="D4365" t="str">
        <f t="shared" si="1781"/>
        <v>73185</v>
      </c>
      <c r="E4365" t="str">
        <f t="shared" si="1782"/>
        <v>KFH-OPERATIONS DEPARTMENT</v>
      </c>
      <c r="F4365" t="str">
        <f t="shared" si="1783"/>
        <v>IBG</v>
      </c>
      <c r="G4365" t="str">
        <f t="shared" si="1794"/>
        <v>Refund COSHARE 10</v>
      </c>
      <c r="H4365" s="2">
        <v>166.8</v>
      </c>
      <c r="I4365" t="str">
        <f>"IDHHAR BIN JAAFAR"</f>
        <v>IDHHAR BIN JAAFAR</v>
      </c>
      <c r="J4365" t="str">
        <f t="shared" si="1768"/>
        <v>MAYBANK / MAYBANK ISLAMIC</v>
      </c>
      <c r="K4365" t="str">
        <f>"151137819732"</f>
        <v>151137819732</v>
      </c>
      <c r="L4365" t="str">
        <f t="shared" si="1777"/>
        <v>04-08-2020</v>
      </c>
      <c r="M4365" t="str">
        <f t="shared" si="1777"/>
        <v>04-08-2020</v>
      </c>
      <c r="N4365" t="str">
        <f t="shared" si="1784"/>
        <v>001105018356</v>
      </c>
      <c r="O4365" t="str">
        <f t="shared" si="1785"/>
        <v>MYR</v>
      </c>
      <c r="P4365" t="str">
        <f t="shared" si="1778"/>
        <v>NIL</v>
      </c>
      <c r="Q4365" t="str">
        <f t="shared" si="1778"/>
        <v>NIL</v>
      </c>
      <c r="R4365" t="str">
        <f t="shared" si="1786"/>
        <v>Accepted</v>
      </c>
      <c r="S4365" t="str">
        <f t="shared" si="1787"/>
        <v>Approved</v>
      </c>
      <c r="T4365" t="str">
        <f t="shared" si="1788"/>
        <v>10.20.8.188</v>
      </c>
      <c r="U4365" t="str">
        <f t="shared" si="1789"/>
        <v>AZRAD UMAR BIN SHAARI</v>
      </c>
      <c r="V4365" t="str">
        <f t="shared" si="1790"/>
        <v>FARHANA BINTI MUSTAPA</v>
      </c>
      <c r="W4365" t="str">
        <f t="shared" si="1791"/>
        <v>04-08-2020</v>
      </c>
      <c r="X4365" t="str">
        <f t="shared" si="1792"/>
        <v>RAZIMAH ANSAR AHMAD</v>
      </c>
      <c r="Y4365" t="str">
        <f t="shared" si="1793"/>
        <v>04-08-2020</v>
      </c>
      <c r="Z4365" t="str">
        <f>"COS10200804 4789"</f>
        <v>COS10200804 4789</v>
      </c>
    </row>
    <row r="4366" spans="1:26" x14ac:dyDescent="0.25">
      <c r="A4366" t="str">
        <f t="shared" si="1779"/>
        <v>04-08-2020 12:50:26</v>
      </c>
      <c r="B4366" t="str">
        <f>"0000806569"</f>
        <v>0000806569</v>
      </c>
      <c r="C4366" t="str">
        <f t="shared" si="1780"/>
        <v>0000806381</v>
      </c>
      <c r="D4366" t="str">
        <f t="shared" si="1781"/>
        <v>73185</v>
      </c>
      <c r="E4366" t="str">
        <f t="shared" si="1782"/>
        <v>KFH-OPERATIONS DEPARTMENT</v>
      </c>
      <c r="F4366" t="str">
        <f t="shared" si="1783"/>
        <v>IBG</v>
      </c>
      <c r="G4366" t="str">
        <f t="shared" si="1794"/>
        <v>Refund COSHARE 10</v>
      </c>
      <c r="H4366" s="2">
        <v>1427.15</v>
      </c>
      <c r="I4366" t="str">
        <f>"IDAYU BINTI MOHD NOR"</f>
        <v>IDAYU BINTI MOHD NOR</v>
      </c>
      <c r="J4366" t="str">
        <f t="shared" si="1768"/>
        <v>MAYBANK / MAYBANK ISLAMIC</v>
      </c>
      <c r="K4366" t="str">
        <f>"163019397914"</f>
        <v>163019397914</v>
      </c>
      <c r="L4366" t="str">
        <f t="shared" si="1777"/>
        <v>04-08-2020</v>
      </c>
      <c r="M4366" t="str">
        <f t="shared" si="1777"/>
        <v>04-08-2020</v>
      </c>
      <c r="N4366" t="str">
        <f t="shared" si="1784"/>
        <v>001105018356</v>
      </c>
      <c r="O4366" t="str">
        <f t="shared" si="1785"/>
        <v>MYR</v>
      </c>
      <c r="P4366" t="str">
        <f t="shared" si="1778"/>
        <v>NIL</v>
      </c>
      <c r="Q4366" t="str">
        <f t="shared" si="1778"/>
        <v>NIL</v>
      </c>
      <c r="R4366" t="str">
        <f t="shared" si="1786"/>
        <v>Accepted</v>
      </c>
      <c r="S4366" t="str">
        <f t="shared" si="1787"/>
        <v>Approved</v>
      </c>
      <c r="T4366" t="str">
        <f t="shared" si="1788"/>
        <v>10.20.8.188</v>
      </c>
      <c r="U4366" t="str">
        <f t="shared" si="1789"/>
        <v>AZRAD UMAR BIN SHAARI</v>
      </c>
      <c r="V4366" t="str">
        <f t="shared" si="1790"/>
        <v>FARHANA BINTI MUSTAPA</v>
      </c>
      <c r="W4366" t="str">
        <f t="shared" si="1791"/>
        <v>04-08-2020</v>
      </c>
      <c r="X4366" t="str">
        <f t="shared" si="1792"/>
        <v>RAZIMAH ANSAR AHMAD</v>
      </c>
      <c r="Y4366" t="str">
        <f t="shared" si="1793"/>
        <v>04-08-2020</v>
      </c>
      <c r="Z4366" t="str">
        <f>"COS10200804 4788"</f>
        <v>COS10200804 4788</v>
      </c>
    </row>
    <row r="4367" spans="1:26" x14ac:dyDescent="0.25">
      <c r="A4367" t="str">
        <f t="shared" si="1779"/>
        <v>04-08-2020 12:50:26</v>
      </c>
      <c r="B4367" t="str">
        <f>"0000806568"</f>
        <v>0000806568</v>
      </c>
      <c r="C4367" t="str">
        <f t="shared" si="1780"/>
        <v>0000806381</v>
      </c>
      <c r="D4367" t="str">
        <f t="shared" si="1781"/>
        <v>73185</v>
      </c>
      <c r="E4367" t="str">
        <f t="shared" si="1782"/>
        <v>KFH-OPERATIONS DEPARTMENT</v>
      </c>
      <c r="F4367" t="str">
        <f t="shared" si="1783"/>
        <v>IBG</v>
      </c>
      <c r="G4367" t="str">
        <f t="shared" si="1794"/>
        <v>Refund COSHARE 10</v>
      </c>
      <c r="H4367" s="2">
        <v>589.4</v>
      </c>
      <c r="I4367" t="str">
        <f>"IDAYU BINTI ISMAIL"</f>
        <v>IDAYU BINTI ISMAIL</v>
      </c>
      <c r="J4367" t="str">
        <f t="shared" si="1768"/>
        <v>MAYBANK / MAYBANK ISLAMIC</v>
      </c>
      <c r="K4367" t="str">
        <f>"151212726441"</f>
        <v>151212726441</v>
      </c>
      <c r="L4367" t="str">
        <f t="shared" ref="L4367:M4386" si="1795">"04-08-2020"</f>
        <v>04-08-2020</v>
      </c>
      <c r="M4367" t="str">
        <f t="shared" si="1795"/>
        <v>04-08-2020</v>
      </c>
      <c r="N4367" t="str">
        <f t="shared" si="1784"/>
        <v>001105018356</v>
      </c>
      <c r="O4367" t="str">
        <f t="shared" si="1785"/>
        <v>MYR</v>
      </c>
      <c r="P4367" t="str">
        <f t="shared" ref="P4367:Q4386" si="1796">"NIL"</f>
        <v>NIL</v>
      </c>
      <c r="Q4367" t="str">
        <f t="shared" si="1796"/>
        <v>NIL</v>
      </c>
      <c r="R4367" t="str">
        <f t="shared" si="1786"/>
        <v>Accepted</v>
      </c>
      <c r="S4367" t="str">
        <f t="shared" si="1787"/>
        <v>Approved</v>
      </c>
      <c r="T4367" t="str">
        <f t="shared" si="1788"/>
        <v>10.20.8.188</v>
      </c>
      <c r="U4367" t="str">
        <f t="shared" si="1789"/>
        <v>AZRAD UMAR BIN SHAARI</v>
      </c>
      <c r="V4367" t="str">
        <f t="shared" si="1790"/>
        <v>FARHANA BINTI MUSTAPA</v>
      </c>
      <c r="W4367" t="str">
        <f t="shared" si="1791"/>
        <v>04-08-2020</v>
      </c>
      <c r="X4367" t="str">
        <f t="shared" si="1792"/>
        <v>RAZIMAH ANSAR AHMAD</v>
      </c>
      <c r="Y4367" t="str">
        <f t="shared" si="1793"/>
        <v>04-08-2020</v>
      </c>
      <c r="Z4367" t="str">
        <f>"COS10200804 4787"</f>
        <v>COS10200804 4787</v>
      </c>
    </row>
    <row r="4368" spans="1:26" x14ac:dyDescent="0.25">
      <c r="A4368" t="str">
        <f t="shared" si="1779"/>
        <v>04-08-2020 12:50:26</v>
      </c>
      <c r="B4368" t="str">
        <f>"0000806567"</f>
        <v>0000806567</v>
      </c>
      <c r="C4368" t="str">
        <f t="shared" si="1780"/>
        <v>0000806381</v>
      </c>
      <c r="D4368" t="str">
        <f t="shared" si="1781"/>
        <v>73185</v>
      </c>
      <c r="E4368" t="str">
        <f t="shared" si="1782"/>
        <v>KFH-OPERATIONS DEPARTMENT</v>
      </c>
      <c r="F4368" t="str">
        <f t="shared" si="1783"/>
        <v>IBG</v>
      </c>
      <c r="G4368" t="str">
        <f t="shared" si="1794"/>
        <v>Refund COSHARE 10</v>
      </c>
      <c r="H4368" s="2">
        <v>369.4</v>
      </c>
      <c r="I4368" t="str">
        <f>"IDAYU BINTI AHMAD"</f>
        <v>IDAYU BINTI AHMAD</v>
      </c>
      <c r="J4368" t="str">
        <f t="shared" si="1768"/>
        <v>MAYBANK / MAYBANK ISLAMIC</v>
      </c>
      <c r="K4368" t="str">
        <f>"157054660770"</f>
        <v>157054660770</v>
      </c>
      <c r="L4368" t="str">
        <f t="shared" si="1795"/>
        <v>04-08-2020</v>
      </c>
      <c r="M4368" t="str">
        <f t="shared" si="1795"/>
        <v>04-08-2020</v>
      </c>
      <c r="N4368" t="str">
        <f t="shared" si="1784"/>
        <v>001105018356</v>
      </c>
      <c r="O4368" t="str">
        <f t="shared" si="1785"/>
        <v>MYR</v>
      </c>
      <c r="P4368" t="str">
        <f t="shared" si="1796"/>
        <v>NIL</v>
      </c>
      <c r="Q4368" t="str">
        <f t="shared" si="1796"/>
        <v>NIL</v>
      </c>
      <c r="R4368" t="str">
        <f t="shared" si="1786"/>
        <v>Accepted</v>
      </c>
      <c r="S4368" t="str">
        <f t="shared" si="1787"/>
        <v>Approved</v>
      </c>
      <c r="T4368" t="str">
        <f t="shared" si="1788"/>
        <v>10.20.8.188</v>
      </c>
      <c r="U4368" t="str">
        <f t="shared" si="1789"/>
        <v>AZRAD UMAR BIN SHAARI</v>
      </c>
      <c r="V4368" t="str">
        <f t="shared" si="1790"/>
        <v>FARHANA BINTI MUSTAPA</v>
      </c>
      <c r="W4368" t="str">
        <f t="shared" si="1791"/>
        <v>04-08-2020</v>
      </c>
      <c r="X4368" t="str">
        <f t="shared" si="1792"/>
        <v>RAZIMAH ANSAR AHMAD</v>
      </c>
      <c r="Y4368" t="str">
        <f t="shared" si="1793"/>
        <v>04-08-2020</v>
      </c>
      <c r="Z4368" t="str">
        <f>"COS10200804 4786"</f>
        <v>COS10200804 4786</v>
      </c>
    </row>
    <row r="4369" spans="1:26" x14ac:dyDescent="0.25">
      <c r="A4369" t="str">
        <f t="shared" si="1779"/>
        <v>04-08-2020 12:50:26</v>
      </c>
      <c r="B4369" t="str">
        <f>"0000806566"</f>
        <v>0000806566</v>
      </c>
      <c r="C4369" t="str">
        <f t="shared" si="1780"/>
        <v>0000806381</v>
      </c>
      <c r="D4369" t="str">
        <f t="shared" si="1781"/>
        <v>73185</v>
      </c>
      <c r="E4369" t="str">
        <f t="shared" si="1782"/>
        <v>KFH-OPERATIONS DEPARTMENT</v>
      </c>
      <c r="F4369" t="str">
        <f t="shared" si="1783"/>
        <v>IBG</v>
      </c>
      <c r="G4369" t="str">
        <f t="shared" si="1794"/>
        <v>Refund COSHARE 10</v>
      </c>
      <c r="H4369" s="2">
        <v>117</v>
      </c>
      <c r="I4369" t="str">
        <f>"IDARMURNI BINTI SHAHARUM AYUBI"</f>
        <v>IDARMURNI BINTI SHAHARUM AYUBI</v>
      </c>
      <c r="J4369" t="str">
        <f t="shared" ref="J4369:J4432" si="1797">"MAYBANK / MAYBANK ISLAMIC"</f>
        <v>MAYBANK / MAYBANK ISLAMIC</v>
      </c>
      <c r="K4369" t="str">
        <f>"108010570346"</f>
        <v>108010570346</v>
      </c>
      <c r="L4369" t="str">
        <f t="shared" si="1795"/>
        <v>04-08-2020</v>
      </c>
      <c r="M4369" t="str">
        <f t="shared" si="1795"/>
        <v>04-08-2020</v>
      </c>
      <c r="N4369" t="str">
        <f t="shared" si="1784"/>
        <v>001105018356</v>
      </c>
      <c r="O4369" t="str">
        <f t="shared" si="1785"/>
        <v>MYR</v>
      </c>
      <c r="P4369" t="str">
        <f t="shared" si="1796"/>
        <v>NIL</v>
      </c>
      <c r="Q4369" t="str">
        <f t="shared" si="1796"/>
        <v>NIL</v>
      </c>
      <c r="R4369" t="str">
        <f t="shared" si="1786"/>
        <v>Accepted</v>
      </c>
      <c r="S4369" t="str">
        <f t="shared" si="1787"/>
        <v>Approved</v>
      </c>
      <c r="T4369" t="str">
        <f t="shared" si="1788"/>
        <v>10.20.8.188</v>
      </c>
      <c r="U4369" t="str">
        <f t="shared" si="1789"/>
        <v>AZRAD UMAR BIN SHAARI</v>
      </c>
      <c r="V4369" t="str">
        <f t="shared" si="1790"/>
        <v>FARHANA BINTI MUSTAPA</v>
      </c>
      <c r="W4369" t="str">
        <f t="shared" si="1791"/>
        <v>04-08-2020</v>
      </c>
      <c r="X4369" t="str">
        <f t="shared" si="1792"/>
        <v>RAZIMAH ANSAR AHMAD</v>
      </c>
      <c r="Y4369" t="str">
        <f t="shared" si="1793"/>
        <v>04-08-2020</v>
      </c>
      <c r="Z4369" t="str">
        <f>"COS10200804 4785"</f>
        <v>COS10200804 4785</v>
      </c>
    </row>
    <row r="4370" spans="1:26" x14ac:dyDescent="0.25">
      <c r="A4370" t="str">
        <f t="shared" si="1779"/>
        <v>04-08-2020 12:50:26</v>
      </c>
      <c r="B4370" t="str">
        <f>"0000806565"</f>
        <v>0000806565</v>
      </c>
      <c r="C4370" t="str">
        <f t="shared" si="1780"/>
        <v>0000806381</v>
      </c>
      <c r="D4370" t="str">
        <f t="shared" si="1781"/>
        <v>73185</v>
      </c>
      <c r="E4370" t="str">
        <f t="shared" si="1782"/>
        <v>KFH-OPERATIONS DEPARTMENT</v>
      </c>
      <c r="F4370" t="str">
        <f t="shared" si="1783"/>
        <v>IBG</v>
      </c>
      <c r="G4370" t="str">
        <f t="shared" si="1794"/>
        <v>Refund COSHARE 10</v>
      </c>
      <c r="H4370" s="2">
        <v>184.7</v>
      </c>
      <c r="I4370" t="str">
        <f>"IDAH PASIKA"</f>
        <v>IDAH PASIKA</v>
      </c>
      <c r="J4370" t="str">
        <f t="shared" si="1797"/>
        <v>MAYBANK / MAYBANK ISLAMIC</v>
      </c>
      <c r="K4370" t="str">
        <f>"110031457452"</f>
        <v>110031457452</v>
      </c>
      <c r="L4370" t="str">
        <f t="shared" si="1795"/>
        <v>04-08-2020</v>
      </c>
      <c r="M4370" t="str">
        <f t="shared" si="1795"/>
        <v>04-08-2020</v>
      </c>
      <c r="N4370" t="str">
        <f t="shared" si="1784"/>
        <v>001105018356</v>
      </c>
      <c r="O4370" t="str">
        <f t="shared" si="1785"/>
        <v>MYR</v>
      </c>
      <c r="P4370" t="str">
        <f t="shared" si="1796"/>
        <v>NIL</v>
      </c>
      <c r="Q4370" t="str">
        <f t="shared" si="1796"/>
        <v>NIL</v>
      </c>
      <c r="R4370" t="str">
        <f t="shared" si="1786"/>
        <v>Accepted</v>
      </c>
      <c r="S4370" t="str">
        <f t="shared" si="1787"/>
        <v>Approved</v>
      </c>
      <c r="T4370" t="str">
        <f t="shared" si="1788"/>
        <v>10.20.8.188</v>
      </c>
      <c r="U4370" t="str">
        <f t="shared" si="1789"/>
        <v>AZRAD UMAR BIN SHAARI</v>
      </c>
      <c r="V4370" t="str">
        <f t="shared" si="1790"/>
        <v>FARHANA BINTI MUSTAPA</v>
      </c>
      <c r="W4370" t="str">
        <f t="shared" si="1791"/>
        <v>04-08-2020</v>
      </c>
      <c r="X4370" t="str">
        <f t="shared" si="1792"/>
        <v>RAZIMAH ANSAR AHMAD</v>
      </c>
      <c r="Y4370" t="str">
        <f t="shared" si="1793"/>
        <v>04-08-2020</v>
      </c>
      <c r="Z4370" t="str">
        <f>"COS10200804 4784"</f>
        <v>COS10200804 4784</v>
      </c>
    </row>
    <row r="4371" spans="1:26" x14ac:dyDescent="0.25">
      <c r="A4371" t="str">
        <f t="shared" si="1779"/>
        <v>04-08-2020 12:50:26</v>
      </c>
      <c r="B4371" t="str">
        <f>"0000806564"</f>
        <v>0000806564</v>
      </c>
      <c r="C4371" t="str">
        <f t="shared" si="1780"/>
        <v>0000806381</v>
      </c>
      <c r="D4371" t="str">
        <f t="shared" si="1781"/>
        <v>73185</v>
      </c>
      <c r="E4371" t="str">
        <f t="shared" si="1782"/>
        <v>KFH-OPERATIONS DEPARTMENT</v>
      </c>
      <c r="F4371" t="str">
        <f t="shared" si="1783"/>
        <v>IBG</v>
      </c>
      <c r="G4371" t="str">
        <f t="shared" si="1794"/>
        <v>Refund COSHARE 10</v>
      </c>
      <c r="H4371" s="2">
        <v>101</v>
      </c>
      <c r="I4371" t="str">
        <f>"IDA FATMAWATY BINTI HJ RAZALI"</f>
        <v>IDA FATMAWATY BINTI HJ RAZALI</v>
      </c>
      <c r="J4371" t="str">
        <f t="shared" si="1797"/>
        <v>MAYBANK / MAYBANK ISLAMIC</v>
      </c>
      <c r="K4371" t="str">
        <f>"102027661055"</f>
        <v>102027661055</v>
      </c>
      <c r="L4371" t="str">
        <f t="shared" si="1795"/>
        <v>04-08-2020</v>
      </c>
      <c r="M4371" t="str">
        <f t="shared" si="1795"/>
        <v>04-08-2020</v>
      </c>
      <c r="N4371" t="str">
        <f t="shared" si="1784"/>
        <v>001105018356</v>
      </c>
      <c r="O4371" t="str">
        <f t="shared" si="1785"/>
        <v>MYR</v>
      </c>
      <c r="P4371" t="str">
        <f t="shared" si="1796"/>
        <v>NIL</v>
      </c>
      <c r="Q4371" t="str">
        <f t="shared" si="1796"/>
        <v>NIL</v>
      </c>
      <c r="R4371" t="str">
        <f t="shared" si="1786"/>
        <v>Accepted</v>
      </c>
      <c r="S4371" t="str">
        <f t="shared" si="1787"/>
        <v>Approved</v>
      </c>
      <c r="T4371" t="str">
        <f t="shared" si="1788"/>
        <v>10.20.8.188</v>
      </c>
      <c r="U4371" t="str">
        <f t="shared" si="1789"/>
        <v>AZRAD UMAR BIN SHAARI</v>
      </c>
      <c r="V4371" t="str">
        <f t="shared" si="1790"/>
        <v>FARHANA BINTI MUSTAPA</v>
      </c>
      <c r="W4371" t="str">
        <f t="shared" si="1791"/>
        <v>04-08-2020</v>
      </c>
      <c r="X4371" t="str">
        <f t="shared" si="1792"/>
        <v>RAZIMAH ANSAR AHMAD</v>
      </c>
      <c r="Y4371" t="str">
        <f t="shared" si="1793"/>
        <v>04-08-2020</v>
      </c>
      <c r="Z4371" t="str">
        <f>"COS10200804 4783"</f>
        <v>COS10200804 4783</v>
      </c>
    </row>
    <row r="4372" spans="1:26" x14ac:dyDescent="0.25">
      <c r="A4372" t="str">
        <f t="shared" si="1779"/>
        <v>04-08-2020 12:50:26</v>
      </c>
      <c r="B4372" t="str">
        <f>"0000806563"</f>
        <v>0000806563</v>
      </c>
      <c r="C4372" t="str">
        <f t="shared" si="1780"/>
        <v>0000806381</v>
      </c>
      <c r="D4372" t="str">
        <f t="shared" si="1781"/>
        <v>73185</v>
      </c>
      <c r="E4372" t="str">
        <f t="shared" si="1782"/>
        <v>KFH-OPERATIONS DEPARTMENT</v>
      </c>
      <c r="F4372" t="str">
        <f t="shared" si="1783"/>
        <v>IBG</v>
      </c>
      <c r="G4372" t="str">
        <f t="shared" si="1794"/>
        <v>Refund COSHARE 10</v>
      </c>
      <c r="H4372" s="2">
        <v>1670.6</v>
      </c>
      <c r="I4372" t="str">
        <f>"IBTISAM BINTI MOHAMMAD"</f>
        <v>IBTISAM BINTI MOHAMMAD</v>
      </c>
      <c r="J4372" t="str">
        <f t="shared" si="1797"/>
        <v>MAYBANK / MAYBANK ISLAMIC</v>
      </c>
      <c r="K4372" t="str">
        <f>"155023281248"</f>
        <v>155023281248</v>
      </c>
      <c r="L4372" t="str">
        <f t="shared" si="1795"/>
        <v>04-08-2020</v>
      </c>
      <c r="M4372" t="str">
        <f t="shared" si="1795"/>
        <v>04-08-2020</v>
      </c>
      <c r="N4372" t="str">
        <f t="shared" si="1784"/>
        <v>001105018356</v>
      </c>
      <c r="O4372" t="str">
        <f t="shared" si="1785"/>
        <v>MYR</v>
      </c>
      <c r="P4372" t="str">
        <f t="shared" si="1796"/>
        <v>NIL</v>
      </c>
      <c r="Q4372" t="str">
        <f t="shared" si="1796"/>
        <v>NIL</v>
      </c>
      <c r="R4372" t="str">
        <f t="shared" si="1786"/>
        <v>Accepted</v>
      </c>
      <c r="S4372" t="str">
        <f t="shared" si="1787"/>
        <v>Approved</v>
      </c>
      <c r="T4372" t="str">
        <f t="shared" si="1788"/>
        <v>10.20.8.188</v>
      </c>
      <c r="U4372" t="str">
        <f t="shared" si="1789"/>
        <v>AZRAD UMAR BIN SHAARI</v>
      </c>
      <c r="V4372" t="str">
        <f t="shared" si="1790"/>
        <v>FARHANA BINTI MUSTAPA</v>
      </c>
      <c r="W4372" t="str">
        <f t="shared" si="1791"/>
        <v>04-08-2020</v>
      </c>
      <c r="X4372" t="str">
        <f t="shared" si="1792"/>
        <v>RAZIMAH ANSAR AHMAD</v>
      </c>
      <c r="Y4372" t="str">
        <f t="shared" si="1793"/>
        <v>04-08-2020</v>
      </c>
      <c r="Z4372" t="str">
        <f>"COS10200804 4782"</f>
        <v>COS10200804 4782</v>
      </c>
    </row>
    <row r="4373" spans="1:26" x14ac:dyDescent="0.25">
      <c r="A4373" t="str">
        <f t="shared" si="1779"/>
        <v>04-08-2020 12:50:26</v>
      </c>
      <c r="B4373" t="str">
        <f>"0000806562"</f>
        <v>0000806562</v>
      </c>
      <c r="C4373" t="str">
        <f t="shared" si="1780"/>
        <v>0000806381</v>
      </c>
      <c r="D4373" t="str">
        <f t="shared" si="1781"/>
        <v>73185</v>
      </c>
      <c r="E4373" t="str">
        <f t="shared" si="1782"/>
        <v>KFH-OPERATIONS DEPARTMENT</v>
      </c>
      <c r="F4373" t="str">
        <f t="shared" si="1783"/>
        <v>IBG</v>
      </c>
      <c r="G4373" t="str">
        <f t="shared" si="1794"/>
        <v>Refund COSHARE 10</v>
      </c>
      <c r="H4373" s="2">
        <v>1133.3499999999999</v>
      </c>
      <c r="I4373" t="str">
        <f>"IBRAHIM BIN SH SAIDAL"</f>
        <v>IBRAHIM BIN SH SAIDAL</v>
      </c>
      <c r="J4373" t="str">
        <f t="shared" si="1797"/>
        <v>MAYBANK / MAYBANK ISLAMIC</v>
      </c>
      <c r="K4373" t="str">
        <f>"158172888485"</f>
        <v>158172888485</v>
      </c>
      <c r="L4373" t="str">
        <f t="shared" si="1795"/>
        <v>04-08-2020</v>
      </c>
      <c r="M4373" t="str">
        <f t="shared" si="1795"/>
        <v>04-08-2020</v>
      </c>
      <c r="N4373" t="str">
        <f t="shared" si="1784"/>
        <v>001105018356</v>
      </c>
      <c r="O4373" t="str">
        <f t="shared" si="1785"/>
        <v>MYR</v>
      </c>
      <c r="P4373" t="str">
        <f t="shared" si="1796"/>
        <v>NIL</v>
      </c>
      <c r="Q4373" t="str">
        <f t="shared" si="1796"/>
        <v>NIL</v>
      </c>
      <c r="R4373" t="str">
        <f t="shared" si="1786"/>
        <v>Accepted</v>
      </c>
      <c r="S4373" t="str">
        <f t="shared" si="1787"/>
        <v>Approved</v>
      </c>
      <c r="T4373" t="str">
        <f t="shared" si="1788"/>
        <v>10.20.8.188</v>
      </c>
      <c r="U4373" t="str">
        <f t="shared" si="1789"/>
        <v>AZRAD UMAR BIN SHAARI</v>
      </c>
      <c r="V4373" t="str">
        <f t="shared" si="1790"/>
        <v>FARHANA BINTI MUSTAPA</v>
      </c>
      <c r="W4373" t="str">
        <f t="shared" si="1791"/>
        <v>04-08-2020</v>
      </c>
      <c r="X4373" t="str">
        <f t="shared" si="1792"/>
        <v>RAZIMAH ANSAR AHMAD</v>
      </c>
      <c r="Y4373" t="str">
        <f t="shared" si="1793"/>
        <v>04-08-2020</v>
      </c>
      <c r="Z4373" t="str">
        <f>"COS10200804 4781"</f>
        <v>COS10200804 4781</v>
      </c>
    </row>
    <row r="4374" spans="1:26" x14ac:dyDescent="0.25">
      <c r="A4374" t="str">
        <f t="shared" si="1779"/>
        <v>04-08-2020 12:50:26</v>
      </c>
      <c r="B4374" t="str">
        <f>"0000806561"</f>
        <v>0000806561</v>
      </c>
      <c r="C4374" t="str">
        <f t="shared" si="1780"/>
        <v>0000806381</v>
      </c>
      <c r="D4374" t="str">
        <f t="shared" si="1781"/>
        <v>73185</v>
      </c>
      <c r="E4374" t="str">
        <f t="shared" si="1782"/>
        <v>KFH-OPERATIONS DEPARTMENT</v>
      </c>
      <c r="F4374" t="str">
        <f t="shared" si="1783"/>
        <v>IBG</v>
      </c>
      <c r="G4374" t="str">
        <f t="shared" si="1794"/>
        <v>Refund COSHARE 10</v>
      </c>
      <c r="H4374" s="2">
        <v>619.6</v>
      </c>
      <c r="I4374" t="str">
        <f>"IBRAHIM BIN OTHMAN"</f>
        <v>IBRAHIM BIN OTHMAN</v>
      </c>
      <c r="J4374" t="str">
        <f t="shared" si="1797"/>
        <v>MAYBANK / MAYBANK ISLAMIC</v>
      </c>
      <c r="K4374" t="str">
        <f>"151052132396"</f>
        <v>151052132396</v>
      </c>
      <c r="L4374" t="str">
        <f t="shared" si="1795"/>
        <v>04-08-2020</v>
      </c>
      <c r="M4374" t="str">
        <f t="shared" si="1795"/>
        <v>04-08-2020</v>
      </c>
      <c r="N4374" t="str">
        <f t="shared" si="1784"/>
        <v>001105018356</v>
      </c>
      <c r="O4374" t="str">
        <f t="shared" si="1785"/>
        <v>MYR</v>
      </c>
      <c r="P4374" t="str">
        <f t="shared" si="1796"/>
        <v>NIL</v>
      </c>
      <c r="Q4374" t="str">
        <f t="shared" si="1796"/>
        <v>NIL</v>
      </c>
      <c r="R4374" t="str">
        <f t="shared" si="1786"/>
        <v>Accepted</v>
      </c>
      <c r="S4374" t="str">
        <f t="shared" si="1787"/>
        <v>Approved</v>
      </c>
      <c r="T4374" t="str">
        <f t="shared" si="1788"/>
        <v>10.20.8.188</v>
      </c>
      <c r="U4374" t="str">
        <f t="shared" si="1789"/>
        <v>AZRAD UMAR BIN SHAARI</v>
      </c>
      <c r="V4374" t="str">
        <f t="shared" si="1790"/>
        <v>FARHANA BINTI MUSTAPA</v>
      </c>
      <c r="W4374" t="str">
        <f t="shared" si="1791"/>
        <v>04-08-2020</v>
      </c>
      <c r="X4374" t="str">
        <f t="shared" si="1792"/>
        <v>RAZIMAH ANSAR AHMAD</v>
      </c>
      <c r="Y4374" t="str">
        <f t="shared" si="1793"/>
        <v>04-08-2020</v>
      </c>
      <c r="Z4374" t="str">
        <f>"COS10200804 4780"</f>
        <v>COS10200804 4780</v>
      </c>
    </row>
    <row r="4375" spans="1:26" x14ac:dyDescent="0.25">
      <c r="A4375" t="str">
        <f t="shared" si="1779"/>
        <v>04-08-2020 12:50:26</v>
      </c>
      <c r="B4375" t="str">
        <f>"0000806560"</f>
        <v>0000806560</v>
      </c>
      <c r="C4375" t="str">
        <f t="shared" si="1780"/>
        <v>0000806381</v>
      </c>
      <c r="D4375" t="str">
        <f t="shared" si="1781"/>
        <v>73185</v>
      </c>
      <c r="E4375" t="str">
        <f t="shared" si="1782"/>
        <v>KFH-OPERATIONS DEPARTMENT</v>
      </c>
      <c r="F4375" t="str">
        <f t="shared" si="1783"/>
        <v>IBG</v>
      </c>
      <c r="G4375" t="str">
        <f t="shared" si="1794"/>
        <v>Refund COSHARE 10</v>
      </c>
      <c r="H4375" s="2">
        <v>152</v>
      </c>
      <c r="I4375" t="str">
        <f>"IBRAHIM BIN DEMAN"</f>
        <v>IBRAHIM BIN DEMAN</v>
      </c>
      <c r="J4375" t="str">
        <f t="shared" si="1797"/>
        <v>MAYBANK / MAYBANK ISLAMIC</v>
      </c>
      <c r="K4375" t="str">
        <f>"101030129047"</f>
        <v>101030129047</v>
      </c>
      <c r="L4375" t="str">
        <f t="shared" si="1795"/>
        <v>04-08-2020</v>
      </c>
      <c r="M4375" t="str">
        <f t="shared" si="1795"/>
        <v>04-08-2020</v>
      </c>
      <c r="N4375" t="str">
        <f t="shared" si="1784"/>
        <v>001105018356</v>
      </c>
      <c r="O4375" t="str">
        <f t="shared" si="1785"/>
        <v>MYR</v>
      </c>
      <c r="P4375" t="str">
        <f t="shared" si="1796"/>
        <v>NIL</v>
      </c>
      <c r="Q4375" t="str">
        <f t="shared" si="1796"/>
        <v>NIL</v>
      </c>
      <c r="R4375" t="str">
        <f t="shared" si="1786"/>
        <v>Accepted</v>
      </c>
      <c r="S4375" t="str">
        <f t="shared" si="1787"/>
        <v>Approved</v>
      </c>
      <c r="T4375" t="str">
        <f t="shared" si="1788"/>
        <v>10.20.8.188</v>
      </c>
      <c r="U4375" t="str">
        <f t="shared" si="1789"/>
        <v>AZRAD UMAR BIN SHAARI</v>
      </c>
      <c r="V4375" t="str">
        <f t="shared" si="1790"/>
        <v>FARHANA BINTI MUSTAPA</v>
      </c>
      <c r="W4375" t="str">
        <f t="shared" si="1791"/>
        <v>04-08-2020</v>
      </c>
      <c r="X4375" t="str">
        <f t="shared" si="1792"/>
        <v>RAZIMAH ANSAR AHMAD</v>
      </c>
      <c r="Y4375" t="str">
        <f t="shared" si="1793"/>
        <v>04-08-2020</v>
      </c>
      <c r="Z4375" t="str">
        <f>"COS10200804 4779"</f>
        <v>COS10200804 4779</v>
      </c>
    </row>
    <row r="4376" spans="1:26" x14ac:dyDescent="0.25">
      <c r="A4376" t="str">
        <f t="shared" si="1779"/>
        <v>04-08-2020 12:50:26</v>
      </c>
      <c r="B4376" t="str">
        <f>"0000806559"</f>
        <v>0000806559</v>
      </c>
      <c r="C4376" t="str">
        <f t="shared" si="1780"/>
        <v>0000806381</v>
      </c>
      <c r="D4376" t="str">
        <f t="shared" si="1781"/>
        <v>73185</v>
      </c>
      <c r="E4376" t="str">
        <f t="shared" si="1782"/>
        <v>KFH-OPERATIONS DEPARTMENT</v>
      </c>
      <c r="F4376" t="str">
        <f t="shared" si="1783"/>
        <v>IBG</v>
      </c>
      <c r="G4376" t="str">
        <f t="shared" si="1794"/>
        <v>Refund COSHARE 10</v>
      </c>
      <c r="H4376" s="2">
        <v>1432.55</v>
      </c>
      <c r="I4376" t="str">
        <f>"IBRAHIM BIN CHE SULAIMAN"</f>
        <v>IBRAHIM BIN CHE SULAIMAN</v>
      </c>
      <c r="J4376" t="str">
        <f t="shared" si="1797"/>
        <v>MAYBANK / MAYBANK ISLAMIC</v>
      </c>
      <c r="K4376" t="str">
        <f>"153056101727"</f>
        <v>153056101727</v>
      </c>
      <c r="L4376" t="str">
        <f t="shared" si="1795"/>
        <v>04-08-2020</v>
      </c>
      <c r="M4376" t="str">
        <f t="shared" si="1795"/>
        <v>04-08-2020</v>
      </c>
      <c r="N4376" t="str">
        <f t="shared" si="1784"/>
        <v>001105018356</v>
      </c>
      <c r="O4376" t="str">
        <f t="shared" si="1785"/>
        <v>MYR</v>
      </c>
      <c r="P4376" t="str">
        <f t="shared" si="1796"/>
        <v>NIL</v>
      </c>
      <c r="Q4376" t="str">
        <f t="shared" si="1796"/>
        <v>NIL</v>
      </c>
      <c r="R4376" t="str">
        <f t="shared" si="1786"/>
        <v>Accepted</v>
      </c>
      <c r="S4376" t="str">
        <f t="shared" si="1787"/>
        <v>Approved</v>
      </c>
      <c r="T4376" t="str">
        <f t="shared" si="1788"/>
        <v>10.20.8.188</v>
      </c>
      <c r="U4376" t="str">
        <f t="shared" si="1789"/>
        <v>AZRAD UMAR BIN SHAARI</v>
      </c>
      <c r="V4376" t="str">
        <f t="shared" si="1790"/>
        <v>FARHANA BINTI MUSTAPA</v>
      </c>
      <c r="W4376" t="str">
        <f t="shared" si="1791"/>
        <v>04-08-2020</v>
      </c>
      <c r="X4376" t="str">
        <f t="shared" si="1792"/>
        <v>RAZIMAH ANSAR AHMAD</v>
      </c>
      <c r="Y4376" t="str">
        <f t="shared" si="1793"/>
        <v>04-08-2020</v>
      </c>
      <c r="Z4376" t="str">
        <f>"COS10200804 4778"</f>
        <v>COS10200804 4778</v>
      </c>
    </row>
    <row r="4377" spans="1:26" x14ac:dyDescent="0.25">
      <c r="A4377" t="str">
        <f t="shared" si="1779"/>
        <v>04-08-2020 12:50:26</v>
      </c>
      <c r="B4377" t="str">
        <f>"0000806558"</f>
        <v>0000806558</v>
      </c>
      <c r="C4377" t="str">
        <f t="shared" si="1780"/>
        <v>0000806381</v>
      </c>
      <c r="D4377" t="str">
        <f t="shared" si="1781"/>
        <v>73185</v>
      </c>
      <c r="E4377" t="str">
        <f t="shared" si="1782"/>
        <v>KFH-OPERATIONS DEPARTMENT</v>
      </c>
      <c r="F4377" t="str">
        <f t="shared" si="1783"/>
        <v>IBG</v>
      </c>
      <c r="G4377" t="str">
        <f t="shared" si="1794"/>
        <v>Refund COSHARE 10</v>
      </c>
      <c r="H4377" s="2">
        <v>58.8</v>
      </c>
      <c r="I4377" t="str">
        <f>"IBRAHIM BIN BAKEN"</f>
        <v>IBRAHIM BIN BAKEN</v>
      </c>
      <c r="J4377" t="str">
        <f t="shared" si="1797"/>
        <v>MAYBANK / MAYBANK ISLAMIC</v>
      </c>
      <c r="K4377" t="str">
        <f>"101076096173"</f>
        <v>101076096173</v>
      </c>
      <c r="L4377" t="str">
        <f t="shared" si="1795"/>
        <v>04-08-2020</v>
      </c>
      <c r="M4377" t="str">
        <f t="shared" si="1795"/>
        <v>04-08-2020</v>
      </c>
      <c r="N4377" t="str">
        <f t="shared" si="1784"/>
        <v>001105018356</v>
      </c>
      <c r="O4377" t="str">
        <f t="shared" si="1785"/>
        <v>MYR</v>
      </c>
      <c r="P4377" t="str">
        <f t="shared" si="1796"/>
        <v>NIL</v>
      </c>
      <c r="Q4377" t="str">
        <f t="shared" si="1796"/>
        <v>NIL</v>
      </c>
      <c r="R4377" t="str">
        <f t="shared" si="1786"/>
        <v>Accepted</v>
      </c>
      <c r="S4377" t="str">
        <f t="shared" si="1787"/>
        <v>Approved</v>
      </c>
      <c r="T4377" t="str">
        <f t="shared" si="1788"/>
        <v>10.20.8.188</v>
      </c>
      <c r="U4377" t="str">
        <f t="shared" si="1789"/>
        <v>AZRAD UMAR BIN SHAARI</v>
      </c>
      <c r="V4377" t="str">
        <f t="shared" si="1790"/>
        <v>FARHANA BINTI MUSTAPA</v>
      </c>
      <c r="W4377" t="str">
        <f t="shared" si="1791"/>
        <v>04-08-2020</v>
      </c>
      <c r="X4377" t="str">
        <f t="shared" si="1792"/>
        <v>RAZIMAH ANSAR AHMAD</v>
      </c>
      <c r="Y4377" t="str">
        <f t="shared" si="1793"/>
        <v>04-08-2020</v>
      </c>
      <c r="Z4377" t="str">
        <f>"COS10200804 4777"</f>
        <v>COS10200804 4777</v>
      </c>
    </row>
    <row r="4378" spans="1:26" x14ac:dyDescent="0.25">
      <c r="A4378" t="str">
        <f t="shared" si="1779"/>
        <v>04-08-2020 12:50:26</v>
      </c>
      <c r="B4378" t="str">
        <f>"0000806557"</f>
        <v>0000806557</v>
      </c>
      <c r="C4378" t="str">
        <f t="shared" si="1780"/>
        <v>0000806381</v>
      </c>
      <c r="D4378" t="str">
        <f t="shared" si="1781"/>
        <v>73185</v>
      </c>
      <c r="E4378" t="str">
        <f t="shared" si="1782"/>
        <v>KFH-OPERATIONS DEPARTMENT</v>
      </c>
      <c r="F4378" t="str">
        <f t="shared" si="1783"/>
        <v>IBG</v>
      </c>
      <c r="G4378" t="str">
        <f t="shared" si="1794"/>
        <v>Refund COSHARE 10</v>
      </c>
      <c r="H4378" s="2">
        <v>67.2</v>
      </c>
      <c r="I4378" t="str">
        <f>"IBRAHIM BIN ABDGHANI"</f>
        <v>IBRAHIM BIN ABDGHANI</v>
      </c>
      <c r="J4378" t="str">
        <f t="shared" si="1797"/>
        <v>MAYBANK / MAYBANK ISLAMIC</v>
      </c>
      <c r="K4378" t="str">
        <f>"101218146355"</f>
        <v>101218146355</v>
      </c>
      <c r="L4378" t="str">
        <f t="shared" si="1795"/>
        <v>04-08-2020</v>
      </c>
      <c r="M4378" t="str">
        <f t="shared" si="1795"/>
        <v>04-08-2020</v>
      </c>
      <c r="N4378" t="str">
        <f t="shared" si="1784"/>
        <v>001105018356</v>
      </c>
      <c r="O4378" t="str">
        <f t="shared" si="1785"/>
        <v>MYR</v>
      </c>
      <c r="P4378" t="str">
        <f t="shared" si="1796"/>
        <v>NIL</v>
      </c>
      <c r="Q4378" t="str">
        <f t="shared" si="1796"/>
        <v>NIL</v>
      </c>
      <c r="R4378" t="str">
        <f t="shared" si="1786"/>
        <v>Accepted</v>
      </c>
      <c r="S4378" t="str">
        <f t="shared" si="1787"/>
        <v>Approved</v>
      </c>
      <c r="T4378" t="str">
        <f t="shared" si="1788"/>
        <v>10.20.8.188</v>
      </c>
      <c r="U4378" t="str">
        <f t="shared" si="1789"/>
        <v>AZRAD UMAR BIN SHAARI</v>
      </c>
      <c r="V4378" t="str">
        <f t="shared" si="1790"/>
        <v>FARHANA BINTI MUSTAPA</v>
      </c>
      <c r="W4378" t="str">
        <f t="shared" si="1791"/>
        <v>04-08-2020</v>
      </c>
      <c r="X4378" t="str">
        <f t="shared" si="1792"/>
        <v>RAZIMAH ANSAR AHMAD</v>
      </c>
      <c r="Y4378" t="str">
        <f t="shared" si="1793"/>
        <v>04-08-2020</v>
      </c>
      <c r="Z4378" t="str">
        <f>"COS10200804 4776"</f>
        <v>COS10200804 4776</v>
      </c>
    </row>
    <row r="4379" spans="1:26" x14ac:dyDescent="0.25">
      <c r="A4379" t="str">
        <f t="shared" si="1779"/>
        <v>04-08-2020 12:50:26</v>
      </c>
      <c r="B4379" t="str">
        <f>"0000806556"</f>
        <v>0000806556</v>
      </c>
      <c r="C4379" t="str">
        <f t="shared" si="1780"/>
        <v>0000806381</v>
      </c>
      <c r="D4379" t="str">
        <f t="shared" si="1781"/>
        <v>73185</v>
      </c>
      <c r="E4379" t="str">
        <f t="shared" si="1782"/>
        <v>KFH-OPERATIONS DEPARTMENT</v>
      </c>
      <c r="F4379" t="str">
        <f t="shared" si="1783"/>
        <v>IBG</v>
      </c>
      <c r="G4379" t="str">
        <f t="shared" si="1794"/>
        <v>Refund COSHARE 10</v>
      </c>
      <c r="H4379" s="2">
        <v>60</v>
      </c>
      <c r="I4379" t="str">
        <f>"IBRAHIM  MOHD JAMAL BIN MOHD NOOR"</f>
        <v>IBRAHIM  MOHD JAMAL BIN MOHD NOOR</v>
      </c>
      <c r="J4379" t="str">
        <f t="shared" si="1797"/>
        <v>MAYBANK / MAYBANK ISLAMIC</v>
      </c>
      <c r="K4379" t="str">
        <f>"112138160494"</f>
        <v>112138160494</v>
      </c>
      <c r="L4379" t="str">
        <f t="shared" si="1795"/>
        <v>04-08-2020</v>
      </c>
      <c r="M4379" t="str">
        <f t="shared" si="1795"/>
        <v>04-08-2020</v>
      </c>
      <c r="N4379" t="str">
        <f t="shared" si="1784"/>
        <v>001105018356</v>
      </c>
      <c r="O4379" t="str">
        <f t="shared" si="1785"/>
        <v>MYR</v>
      </c>
      <c r="P4379" t="str">
        <f t="shared" si="1796"/>
        <v>NIL</v>
      </c>
      <c r="Q4379" t="str">
        <f t="shared" si="1796"/>
        <v>NIL</v>
      </c>
      <c r="R4379" t="str">
        <f t="shared" si="1786"/>
        <v>Accepted</v>
      </c>
      <c r="S4379" t="str">
        <f t="shared" si="1787"/>
        <v>Approved</v>
      </c>
      <c r="T4379" t="str">
        <f t="shared" si="1788"/>
        <v>10.20.8.188</v>
      </c>
      <c r="U4379" t="str">
        <f t="shared" si="1789"/>
        <v>AZRAD UMAR BIN SHAARI</v>
      </c>
      <c r="V4379" t="str">
        <f t="shared" si="1790"/>
        <v>FARHANA BINTI MUSTAPA</v>
      </c>
      <c r="W4379" t="str">
        <f t="shared" si="1791"/>
        <v>04-08-2020</v>
      </c>
      <c r="X4379" t="str">
        <f t="shared" si="1792"/>
        <v>RAZIMAH ANSAR AHMAD</v>
      </c>
      <c r="Y4379" t="str">
        <f t="shared" si="1793"/>
        <v>04-08-2020</v>
      </c>
      <c r="Z4379" t="str">
        <f>"COS10200804 4775"</f>
        <v>COS10200804 4775</v>
      </c>
    </row>
    <row r="4380" spans="1:26" x14ac:dyDescent="0.25">
      <c r="A4380" t="str">
        <f t="shared" si="1779"/>
        <v>04-08-2020 12:50:26</v>
      </c>
      <c r="B4380" t="str">
        <f>"0000806555"</f>
        <v>0000806555</v>
      </c>
      <c r="C4380" t="str">
        <f t="shared" si="1780"/>
        <v>0000806381</v>
      </c>
      <c r="D4380" t="str">
        <f t="shared" si="1781"/>
        <v>73185</v>
      </c>
      <c r="E4380" t="str">
        <f t="shared" si="1782"/>
        <v>KFH-OPERATIONS DEPARTMENT</v>
      </c>
      <c r="F4380" t="str">
        <f t="shared" si="1783"/>
        <v>IBG</v>
      </c>
      <c r="G4380" t="str">
        <f t="shared" si="1794"/>
        <v>Refund COSHARE 10</v>
      </c>
      <c r="H4380" s="2">
        <v>966.85</v>
      </c>
      <c r="I4380" t="str">
        <f>"IBAT BIN KUBIN"</f>
        <v>IBAT BIN KUBIN</v>
      </c>
      <c r="J4380" t="str">
        <f t="shared" si="1797"/>
        <v>MAYBANK / MAYBANK ISLAMIC</v>
      </c>
      <c r="K4380" t="str">
        <f>"110096082235"</f>
        <v>110096082235</v>
      </c>
      <c r="L4380" t="str">
        <f t="shared" si="1795"/>
        <v>04-08-2020</v>
      </c>
      <c r="M4380" t="str">
        <f t="shared" si="1795"/>
        <v>04-08-2020</v>
      </c>
      <c r="N4380" t="str">
        <f t="shared" si="1784"/>
        <v>001105018356</v>
      </c>
      <c r="O4380" t="str">
        <f t="shared" si="1785"/>
        <v>MYR</v>
      </c>
      <c r="P4380" t="str">
        <f t="shared" si="1796"/>
        <v>NIL</v>
      </c>
      <c r="Q4380" t="str">
        <f t="shared" si="1796"/>
        <v>NIL</v>
      </c>
      <c r="R4380" t="str">
        <f t="shared" si="1786"/>
        <v>Accepted</v>
      </c>
      <c r="S4380" t="str">
        <f t="shared" si="1787"/>
        <v>Approved</v>
      </c>
      <c r="T4380" t="str">
        <f t="shared" si="1788"/>
        <v>10.20.8.188</v>
      </c>
      <c r="U4380" t="str">
        <f t="shared" si="1789"/>
        <v>AZRAD UMAR BIN SHAARI</v>
      </c>
      <c r="V4380" t="str">
        <f t="shared" si="1790"/>
        <v>FARHANA BINTI MUSTAPA</v>
      </c>
      <c r="W4380" t="str">
        <f t="shared" si="1791"/>
        <v>04-08-2020</v>
      </c>
      <c r="X4380" t="str">
        <f t="shared" si="1792"/>
        <v>RAZIMAH ANSAR AHMAD</v>
      </c>
      <c r="Y4380" t="str">
        <f t="shared" si="1793"/>
        <v>04-08-2020</v>
      </c>
      <c r="Z4380" t="str">
        <f>"COS10200804 4774"</f>
        <v>COS10200804 4774</v>
      </c>
    </row>
    <row r="4381" spans="1:26" x14ac:dyDescent="0.25">
      <c r="A4381" t="str">
        <f t="shared" si="1779"/>
        <v>04-08-2020 12:50:26</v>
      </c>
      <c r="B4381" t="str">
        <f>"0000806554"</f>
        <v>0000806554</v>
      </c>
      <c r="C4381" t="str">
        <f t="shared" si="1780"/>
        <v>0000806381</v>
      </c>
      <c r="D4381" t="str">
        <f t="shared" si="1781"/>
        <v>73185</v>
      </c>
      <c r="E4381" t="str">
        <f t="shared" si="1782"/>
        <v>KFH-OPERATIONS DEPARTMENT</v>
      </c>
      <c r="F4381" t="str">
        <f t="shared" si="1783"/>
        <v>IBG</v>
      </c>
      <c r="G4381" t="str">
        <f t="shared" si="1794"/>
        <v>Refund COSHARE 10</v>
      </c>
      <c r="H4381" s="2">
        <v>503.7</v>
      </c>
      <c r="I4381" t="str">
        <f>"IASYADORA BINTI ISMAIL"</f>
        <v>IASYADORA BINTI ISMAIL</v>
      </c>
      <c r="J4381" t="str">
        <f t="shared" si="1797"/>
        <v>MAYBANK / MAYBANK ISLAMIC</v>
      </c>
      <c r="K4381" t="str">
        <f>"110189083000"</f>
        <v>110189083000</v>
      </c>
      <c r="L4381" t="str">
        <f t="shared" si="1795"/>
        <v>04-08-2020</v>
      </c>
      <c r="M4381" t="str">
        <f t="shared" si="1795"/>
        <v>04-08-2020</v>
      </c>
      <c r="N4381" t="str">
        <f t="shared" si="1784"/>
        <v>001105018356</v>
      </c>
      <c r="O4381" t="str">
        <f t="shared" si="1785"/>
        <v>MYR</v>
      </c>
      <c r="P4381" t="str">
        <f t="shared" si="1796"/>
        <v>NIL</v>
      </c>
      <c r="Q4381" t="str">
        <f t="shared" si="1796"/>
        <v>NIL</v>
      </c>
      <c r="R4381" t="str">
        <f t="shared" si="1786"/>
        <v>Accepted</v>
      </c>
      <c r="S4381" t="str">
        <f t="shared" si="1787"/>
        <v>Approved</v>
      </c>
      <c r="T4381" t="str">
        <f t="shared" si="1788"/>
        <v>10.20.8.188</v>
      </c>
      <c r="U4381" t="str">
        <f t="shared" si="1789"/>
        <v>AZRAD UMAR BIN SHAARI</v>
      </c>
      <c r="V4381" t="str">
        <f t="shared" si="1790"/>
        <v>FARHANA BINTI MUSTAPA</v>
      </c>
      <c r="W4381" t="str">
        <f t="shared" si="1791"/>
        <v>04-08-2020</v>
      </c>
      <c r="X4381" t="str">
        <f t="shared" si="1792"/>
        <v>RAZIMAH ANSAR AHMAD</v>
      </c>
      <c r="Y4381" t="str">
        <f t="shared" si="1793"/>
        <v>04-08-2020</v>
      </c>
      <c r="Z4381" t="str">
        <f>"COS10200804 4773"</f>
        <v>COS10200804 4773</v>
      </c>
    </row>
    <row r="4382" spans="1:26" x14ac:dyDescent="0.25">
      <c r="A4382" t="str">
        <f t="shared" si="1779"/>
        <v>04-08-2020 12:50:26</v>
      </c>
      <c r="B4382" t="str">
        <f>"0000806553"</f>
        <v>0000806553</v>
      </c>
      <c r="C4382" t="str">
        <f t="shared" si="1780"/>
        <v>0000806381</v>
      </c>
      <c r="D4382" t="str">
        <f t="shared" si="1781"/>
        <v>73185</v>
      </c>
      <c r="E4382" t="str">
        <f t="shared" si="1782"/>
        <v>KFH-OPERATIONS DEPARTMENT</v>
      </c>
      <c r="F4382" t="str">
        <f t="shared" si="1783"/>
        <v>IBG</v>
      </c>
      <c r="G4382" t="str">
        <f t="shared" si="1794"/>
        <v>Refund COSHARE 10</v>
      </c>
      <c r="H4382" s="2">
        <v>532.1</v>
      </c>
      <c r="I4382" t="str">
        <f>"HUZER BIN ISMAIL"</f>
        <v>HUZER BIN ISMAIL</v>
      </c>
      <c r="J4382" t="str">
        <f t="shared" si="1797"/>
        <v>MAYBANK / MAYBANK ISLAMIC</v>
      </c>
      <c r="K4382" t="str">
        <f>"101020448390"</f>
        <v>101020448390</v>
      </c>
      <c r="L4382" t="str">
        <f t="shared" si="1795"/>
        <v>04-08-2020</v>
      </c>
      <c r="M4382" t="str">
        <f t="shared" si="1795"/>
        <v>04-08-2020</v>
      </c>
      <c r="N4382" t="str">
        <f t="shared" si="1784"/>
        <v>001105018356</v>
      </c>
      <c r="O4382" t="str">
        <f t="shared" si="1785"/>
        <v>MYR</v>
      </c>
      <c r="P4382" t="str">
        <f t="shared" si="1796"/>
        <v>NIL</v>
      </c>
      <c r="Q4382" t="str">
        <f t="shared" si="1796"/>
        <v>NIL</v>
      </c>
      <c r="R4382" t="str">
        <f t="shared" si="1786"/>
        <v>Accepted</v>
      </c>
      <c r="S4382" t="str">
        <f t="shared" si="1787"/>
        <v>Approved</v>
      </c>
      <c r="T4382" t="str">
        <f t="shared" si="1788"/>
        <v>10.20.8.188</v>
      </c>
      <c r="U4382" t="str">
        <f t="shared" si="1789"/>
        <v>AZRAD UMAR BIN SHAARI</v>
      </c>
      <c r="V4382" t="str">
        <f t="shared" si="1790"/>
        <v>FARHANA BINTI MUSTAPA</v>
      </c>
      <c r="W4382" t="str">
        <f t="shared" si="1791"/>
        <v>04-08-2020</v>
      </c>
      <c r="X4382" t="str">
        <f t="shared" si="1792"/>
        <v>RAZIMAH ANSAR AHMAD</v>
      </c>
      <c r="Y4382" t="str">
        <f t="shared" si="1793"/>
        <v>04-08-2020</v>
      </c>
      <c r="Z4382" t="str">
        <f>"COS10200804 4772"</f>
        <v>COS10200804 4772</v>
      </c>
    </row>
    <row r="4383" spans="1:26" x14ac:dyDescent="0.25">
      <c r="A4383" t="str">
        <f t="shared" si="1779"/>
        <v>04-08-2020 12:50:26</v>
      </c>
      <c r="B4383" t="str">
        <f>"0000806552"</f>
        <v>0000806552</v>
      </c>
      <c r="C4383" t="str">
        <f t="shared" si="1780"/>
        <v>0000806381</v>
      </c>
      <c r="D4383" t="str">
        <f t="shared" si="1781"/>
        <v>73185</v>
      </c>
      <c r="E4383" t="str">
        <f t="shared" si="1782"/>
        <v>KFH-OPERATIONS DEPARTMENT</v>
      </c>
      <c r="F4383" t="str">
        <f t="shared" si="1783"/>
        <v>IBG</v>
      </c>
      <c r="G4383" t="str">
        <f t="shared" si="1794"/>
        <v>Refund COSHARE 10</v>
      </c>
      <c r="H4383" s="2">
        <v>620.9</v>
      </c>
      <c r="I4383" t="str">
        <f>"HUZAIRI BIN YUSOFF  HJ IDRIS"</f>
        <v>HUZAIRI BIN YUSOFF  HJ IDRIS</v>
      </c>
      <c r="J4383" t="str">
        <f t="shared" si="1797"/>
        <v>MAYBANK / MAYBANK ISLAMIC</v>
      </c>
      <c r="K4383" t="str">
        <f>"162245003980"</f>
        <v>162245003980</v>
      </c>
      <c r="L4383" t="str">
        <f t="shared" si="1795"/>
        <v>04-08-2020</v>
      </c>
      <c r="M4383" t="str">
        <f t="shared" si="1795"/>
        <v>04-08-2020</v>
      </c>
      <c r="N4383" t="str">
        <f t="shared" si="1784"/>
        <v>001105018356</v>
      </c>
      <c r="O4383" t="str">
        <f t="shared" si="1785"/>
        <v>MYR</v>
      </c>
      <c r="P4383" t="str">
        <f t="shared" si="1796"/>
        <v>NIL</v>
      </c>
      <c r="Q4383" t="str">
        <f t="shared" si="1796"/>
        <v>NIL</v>
      </c>
      <c r="R4383" t="str">
        <f t="shared" si="1786"/>
        <v>Accepted</v>
      </c>
      <c r="S4383" t="str">
        <f t="shared" si="1787"/>
        <v>Approved</v>
      </c>
      <c r="T4383" t="str">
        <f t="shared" si="1788"/>
        <v>10.20.8.188</v>
      </c>
      <c r="U4383" t="str">
        <f t="shared" si="1789"/>
        <v>AZRAD UMAR BIN SHAARI</v>
      </c>
      <c r="V4383" t="str">
        <f t="shared" si="1790"/>
        <v>FARHANA BINTI MUSTAPA</v>
      </c>
      <c r="W4383" t="str">
        <f t="shared" si="1791"/>
        <v>04-08-2020</v>
      </c>
      <c r="X4383" t="str">
        <f t="shared" si="1792"/>
        <v>RAZIMAH ANSAR AHMAD</v>
      </c>
      <c r="Y4383" t="str">
        <f t="shared" si="1793"/>
        <v>04-08-2020</v>
      </c>
      <c r="Z4383" t="str">
        <f>"COS10200804 4771"</f>
        <v>COS10200804 4771</v>
      </c>
    </row>
    <row r="4384" spans="1:26" x14ac:dyDescent="0.25">
      <c r="A4384" t="str">
        <f t="shared" si="1779"/>
        <v>04-08-2020 12:50:26</v>
      </c>
      <c r="B4384" t="str">
        <f>"0000806551"</f>
        <v>0000806551</v>
      </c>
      <c r="C4384" t="str">
        <f t="shared" si="1780"/>
        <v>0000806381</v>
      </c>
      <c r="D4384" t="str">
        <f t="shared" si="1781"/>
        <v>73185</v>
      </c>
      <c r="E4384" t="str">
        <f t="shared" si="1782"/>
        <v>KFH-OPERATIONS DEPARTMENT</v>
      </c>
      <c r="F4384" t="str">
        <f t="shared" si="1783"/>
        <v>IBG</v>
      </c>
      <c r="G4384" t="str">
        <f t="shared" si="1794"/>
        <v>Refund COSHARE 10</v>
      </c>
      <c r="H4384" s="2">
        <v>726.15</v>
      </c>
      <c r="I4384" t="str">
        <f>"HUZAIRAH BINTI BASIR"</f>
        <v>HUZAIRAH BINTI BASIR</v>
      </c>
      <c r="J4384" t="str">
        <f t="shared" si="1797"/>
        <v>MAYBANK / MAYBANK ISLAMIC</v>
      </c>
      <c r="K4384" t="str">
        <f>"162834102480"</f>
        <v>162834102480</v>
      </c>
      <c r="L4384" t="str">
        <f t="shared" si="1795"/>
        <v>04-08-2020</v>
      </c>
      <c r="M4384" t="str">
        <f t="shared" si="1795"/>
        <v>04-08-2020</v>
      </c>
      <c r="N4384" t="str">
        <f t="shared" si="1784"/>
        <v>001105018356</v>
      </c>
      <c r="O4384" t="str">
        <f t="shared" si="1785"/>
        <v>MYR</v>
      </c>
      <c r="P4384" t="str">
        <f t="shared" si="1796"/>
        <v>NIL</v>
      </c>
      <c r="Q4384" t="str">
        <f t="shared" si="1796"/>
        <v>NIL</v>
      </c>
      <c r="R4384" t="str">
        <f t="shared" si="1786"/>
        <v>Accepted</v>
      </c>
      <c r="S4384" t="str">
        <f t="shared" si="1787"/>
        <v>Approved</v>
      </c>
      <c r="T4384" t="str">
        <f t="shared" si="1788"/>
        <v>10.20.8.188</v>
      </c>
      <c r="U4384" t="str">
        <f t="shared" si="1789"/>
        <v>AZRAD UMAR BIN SHAARI</v>
      </c>
      <c r="V4384" t="str">
        <f t="shared" si="1790"/>
        <v>FARHANA BINTI MUSTAPA</v>
      </c>
      <c r="W4384" t="str">
        <f t="shared" si="1791"/>
        <v>04-08-2020</v>
      </c>
      <c r="X4384" t="str">
        <f t="shared" si="1792"/>
        <v>RAZIMAH ANSAR AHMAD</v>
      </c>
      <c r="Y4384" t="str">
        <f t="shared" si="1793"/>
        <v>04-08-2020</v>
      </c>
      <c r="Z4384" t="str">
        <f>"COS10200804 4770"</f>
        <v>COS10200804 4770</v>
      </c>
    </row>
    <row r="4385" spans="1:26" x14ac:dyDescent="0.25">
      <c r="A4385" t="str">
        <f t="shared" si="1779"/>
        <v>04-08-2020 12:50:26</v>
      </c>
      <c r="B4385" t="str">
        <f>"0000806550"</f>
        <v>0000806550</v>
      </c>
      <c r="C4385" t="str">
        <f t="shared" si="1780"/>
        <v>0000806381</v>
      </c>
      <c r="D4385" t="str">
        <f t="shared" si="1781"/>
        <v>73185</v>
      </c>
      <c r="E4385" t="str">
        <f t="shared" si="1782"/>
        <v>KFH-OPERATIONS DEPARTMENT</v>
      </c>
      <c r="F4385" t="str">
        <f t="shared" si="1783"/>
        <v>IBG</v>
      </c>
      <c r="G4385" t="str">
        <f t="shared" si="1794"/>
        <v>Refund COSHARE 10</v>
      </c>
      <c r="H4385" s="2">
        <v>1183.7</v>
      </c>
      <c r="I4385" t="str">
        <f>"HUSZAIREY BIN THAMBY HUSSAIN"</f>
        <v>HUSZAIREY BIN THAMBY HUSSAIN</v>
      </c>
      <c r="J4385" t="str">
        <f t="shared" si="1797"/>
        <v>MAYBANK / MAYBANK ISLAMIC</v>
      </c>
      <c r="K4385" t="str">
        <f>"114254145555"</f>
        <v>114254145555</v>
      </c>
      <c r="L4385" t="str">
        <f t="shared" si="1795"/>
        <v>04-08-2020</v>
      </c>
      <c r="M4385" t="str">
        <f t="shared" si="1795"/>
        <v>04-08-2020</v>
      </c>
      <c r="N4385" t="str">
        <f t="shared" si="1784"/>
        <v>001105018356</v>
      </c>
      <c r="O4385" t="str">
        <f t="shared" si="1785"/>
        <v>MYR</v>
      </c>
      <c r="P4385" t="str">
        <f t="shared" si="1796"/>
        <v>NIL</v>
      </c>
      <c r="Q4385" t="str">
        <f t="shared" si="1796"/>
        <v>NIL</v>
      </c>
      <c r="R4385" t="str">
        <f t="shared" si="1786"/>
        <v>Accepted</v>
      </c>
      <c r="S4385" t="str">
        <f t="shared" si="1787"/>
        <v>Approved</v>
      </c>
      <c r="T4385" t="str">
        <f t="shared" si="1788"/>
        <v>10.20.8.188</v>
      </c>
      <c r="U4385" t="str">
        <f t="shared" si="1789"/>
        <v>AZRAD UMAR BIN SHAARI</v>
      </c>
      <c r="V4385" t="str">
        <f t="shared" si="1790"/>
        <v>FARHANA BINTI MUSTAPA</v>
      </c>
      <c r="W4385" t="str">
        <f t="shared" si="1791"/>
        <v>04-08-2020</v>
      </c>
      <c r="X4385" t="str">
        <f t="shared" si="1792"/>
        <v>RAZIMAH ANSAR AHMAD</v>
      </c>
      <c r="Y4385" t="str">
        <f t="shared" si="1793"/>
        <v>04-08-2020</v>
      </c>
      <c r="Z4385" t="str">
        <f>"COS10200804 4769"</f>
        <v>COS10200804 4769</v>
      </c>
    </row>
    <row r="4386" spans="1:26" x14ac:dyDescent="0.25">
      <c r="A4386" t="str">
        <f t="shared" ref="A4386:A4417" si="1798">"04-08-2020 12:50:26"</f>
        <v>04-08-2020 12:50:26</v>
      </c>
      <c r="B4386" t="str">
        <f>"0000806549"</f>
        <v>0000806549</v>
      </c>
      <c r="C4386" t="str">
        <f t="shared" ref="C4386:C4417" si="1799">"0000806381"</f>
        <v>0000806381</v>
      </c>
      <c r="D4386" t="str">
        <f t="shared" si="1781"/>
        <v>73185</v>
      </c>
      <c r="E4386" t="str">
        <f t="shared" si="1782"/>
        <v>KFH-OPERATIONS DEPARTMENT</v>
      </c>
      <c r="F4386" t="str">
        <f t="shared" si="1783"/>
        <v>IBG</v>
      </c>
      <c r="G4386" t="str">
        <f t="shared" si="1794"/>
        <v>Refund COSHARE 10</v>
      </c>
      <c r="H4386" s="2">
        <v>603.9</v>
      </c>
      <c r="I4386" t="str">
        <f>"HUSSIN BIN ABD RAHMAN"</f>
        <v>HUSSIN BIN ABD RAHMAN</v>
      </c>
      <c r="J4386" t="str">
        <f t="shared" si="1797"/>
        <v>MAYBANK / MAYBANK ISLAMIC</v>
      </c>
      <c r="K4386" t="str">
        <f>"151315000052"</f>
        <v>151315000052</v>
      </c>
      <c r="L4386" t="str">
        <f t="shared" si="1795"/>
        <v>04-08-2020</v>
      </c>
      <c r="M4386" t="str">
        <f t="shared" si="1795"/>
        <v>04-08-2020</v>
      </c>
      <c r="N4386" t="str">
        <f t="shared" si="1784"/>
        <v>001105018356</v>
      </c>
      <c r="O4386" t="str">
        <f t="shared" si="1785"/>
        <v>MYR</v>
      </c>
      <c r="P4386" t="str">
        <f t="shared" si="1796"/>
        <v>NIL</v>
      </c>
      <c r="Q4386" t="str">
        <f t="shared" si="1796"/>
        <v>NIL</v>
      </c>
      <c r="R4386" t="str">
        <f t="shared" si="1786"/>
        <v>Accepted</v>
      </c>
      <c r="S4386" t="str">
        <f t="shared" si="1787"/>
        <v>Approved</v>
      </c>
      <c r="T4386" t="str">
        <f t="shared" si="1788"/>
        <v>10.20.8.188</v>
      </c>
      <c r="U4386" t="str">
        <f t="shared" si="1789"/>
        <v>AZRAD UMAR BIN SHAARI</v>
      </c>
      <c r="V4386" t="str">
        <f t="shared" si="1790"/>
        <v>FARHANA BINTI MUSTAPA</v>
      </c>
      <c r="W4386" t="str">
        <f t="shared" si="1791"/>
        <v>04-08-2020</v>
      </c>
      <c r="X4386" t="str">
        <f t="shared" si="1792"/>
        <v>RAZIMAH ANSAR AHMAD</v>
      </c>
      <c r="Y4386" t="str">
        <f t="shared" si="1793"/>
        <v>04-08-2020</v>
      </c>
      <c r="Z4386" t="str">
        <f>"COS10200804 4768"</f>
        <v>COS10200804 4768</v>
      </c>
    </row>
    <row r="4387" spans="1:26" x14ac:dyDescent="0.25">
      <c r="A4387" t="str">
        <f t="shared" si="1798"/>
        <v>04-08-2020 12:50:26</v>
      </c>
      <c r="B4387" t="str">
        <f>"0000806548"</f>
        <v>0000806548</v>
      </c>
      <c r="C4387" t="str">
        <f t="shared" si="1799"/>
        <v>0000806381</v>
      </c>
      <c r="D4387" t="str">
        <f t="shared" si="1781"/>
        <v>73185</v>
      </c>
      <c r="E4387" t="str">
        <f t="shared" si="1782"/>
        <v>KFH-OPERATIONS DEPARTMENT</v>
      </c>
      <c r="F4387" t="str">
        <f t="shared" si="1783"/>
        <v>IBG</v>
      </c>
      <c r="G4387" t="str">
        <f t="shared" si="1794"/>
        <v>Refund COSHARE 10</v>
      </c>
      <c r="H4387" s="2">
        <v>486.95</v>
      </c>
      <c r="I4387" t="str">
        <f>"HUSNI NAJIB BIN MAT LATIF"</f>
        <v>HUSNI NAJIB BIN MAT LATIF</v>
      </c>
      <c r="J4387" t="str">
        <f t="shared" si="1797"/>
        <v>MAYBANK / MAYBANK ISLAMIC</v>
      </c>
      <c r="K4387" t="str">
        <f>"162478053893"</f>
        <v>162478053893</v>
      </c>
      <c r="L4387" t="str">
        <f t="shared" ref="L4387:M4406" si="1800">"04-08-2020"</f>
        <v>04-08-2020</v>
      </c>
      <c r="M4387" t="str">
        <f t="shared" si="1800"/>
        <v>04-08-2020</v>
      </c>
      <c r="N4387" t="str">
        <f t="shared" si="1784"/>
        <v>001105018356</v>
      </c>
      <c r="O4387" t="str">
        <f t="shared" si="1785"/>
        <v>MYR</v>
      </c>
      <c r="P4387" t="str">
        <f t="shared" ref="P4387:Q4406" si="1801">"NIL"</f>
        <v>NIL</v>
      </c>
      <c r="Q4387" t="str">
        <f t="shared" si="1801"/>
        <v>NIL</v>
      </c>
      <c r="R4387" t="str">
        <f t="shared" si="1786"/>
        <v>Accepted</v>
      </c>
      <c r="S4387" t="str">
        <f t="shared" si="1787"/>
        <v>Approved</v>
      </c>
      <c r="T4387" t="str">
        <f t="shared" si="1788"/>
        <v>10.20.8.188</v>
      </c>
      <c r="U4387" t="str">
        <f t="shared" si="1789"/>
        <v>AZRAD UMAR BIN SHAARI</v>
      </c>
      <c r="V4387" t="str">
        <f t="shared" si="1790"/>
        <v>FARHANA BINTI MUSTAPA</v>
      </c>
      <c r="W4387" t="str">
        <f t="shared" si="1791"/>
        <v>04-08-2020</v>
      </c>
      <c r="X4387" t="str">
        <f t="shared" si="1792"/>
        <v>RAZIMAH ANSAR AHMAD</v>
      </c>
      <c r="Y4387" t="str">
        <f t="shared" si="1793"/>
        <v>04-08-2020</v>
      </c>
      <c r="Z4387" t="str">
        <f>"COS10200804 4767"</f>
        <v>COS10200804 4767</v>
      </c>
    </row>
    <row r="4388" spans="1:26" x14ac:dyDescent="0.25">
      <c r="A4388" t="str">
        <f t="shared" si="1798"/>
        <v>04-08-2020 12:50:26</v>
      </c>
      <c r="B4388" t="str">
        <f>"0000806547"</f>
        <v>0000806547</v>
      </c>
      <c r="C4388" t="str">
        <f t="shared" si="1799"/>
        <v>0000806381</v>
      </c>
      <c r="D4388" t="str">
        <f t="shared" si="1781"/>
        <v>73185</v>
      </c>
      <c r="E4388" t="str">
        <f t="shared" si="1782"/>
        <v>KFH-OPERATIONS DEPARTMENT</v>
      </c>
      <c r="F4388" t="str">
        <f t="shared" si="1783"/>
        <v>IBG</v>
      </c>
      <c r="G4388" t="str">
        <f t="shared" si="1794"/>
        <v>Refund COSHARE 10</v>
      </c>
      <c r="H4388" s="2">
        <v>491.15</v>
      </c>
      <c r="I4388" t="str">
        <f>"HUSNAWATI MAHDI"</f>
        <v>HUSNAWATI MAHDI</v>
      </c>
      <c r="J4388" t="str">
        <f t="shared" si="1797"/>
        <v>MAYBANK / MAYBANK ISLAMIC</v>
      </c>
      <c r="K4388" t="str">
        <f>"111114256878"</f>
        <v>111114256878</v>
      </c>
      <c r="L4388" t="str">
        <f t="shared" si="1800"/>
        <v>04-08-2020</v>
      </c>
      <c r="M4388" t="str">
        <f t="shared" si="1800"/>
        <v>04-08-2020</v>
      </c>
      <c r="N4388" t="str">
        <f t="shared" si="1784"/>
        <v>001105018356</v>
      </c>
      <c r="O4388" t="str">
        <f t="shared" si="1785"/>
        <v>MYR</v>
      </c>
      <c r="P4388" t="str">
        <f t="shared" si="1801"/>
        <v>NIL</v>
      </c>
      <c r="Q4388" t="str">
        <f t="shared" si="1801"/>
        <v>NIL</v>
      </c>
      <c r="R4388" t="str">
        <f t="shared" si="1786"/>
        <v>Accepted</v>
      </c>
      <c r="S4388" t="str">
        <f t="shared" si="1787"/>
        <v>Approved</v>
      </c>
      <c r="T4388" t="str">
        <f t="shared" si="1788"/>
        <v>10.20.8.188</v>
      </c>
      <c r="U4388" t="str">
        <f t="shared" si="1789"/>
        <v>AZRAD UMAR BIN SHAARI</v>
      </c>
      <c r="V4388" t="str">
        <f t="shared" si="1790"/>
        <v>FARHANA BINTI MUSTAPA</v>
      </c>
      <c r="W4388" t="str">
        <f t="shared" si="1791"/>
        <v>04-08-2020</v>
      </c>
      <c r="X4388" t="str">
        <f t="shared" si="1792"/>
        <v>RAZIMAH ANSAR AHMAD</v>
      </c>
      <c r="Y4388" t="str">
        <f t="shared" si="1793"/>
        <v>04-08-2020</v>
      </c>
      <c r="Z4388" t="str">
        <f>"COS10200804 4766"</f>
        <v>COS10200804 4766</v>
      </c>
    </row>
    <row r="4389" spans="1:26" x14ac:dyDescent="0.25">
      <c r="A4389" t="str">
        <f t="shared" si="1798"/>
        <v>04-08-2020 12:50:26</v>
      </c>
      <c r="B4389" t="str">
        <f>"0000806546"</f>
        <v>0000806546</v>
      </c>
      <c r="C4389" t="str">
        <f t="shared" si="1799"/>
        <v>0000806381</v>
      </c>
      <c r="D4389" t="str">
        <f t="shared" si="1781"/>
        <v>73185</v>
      </c>
      <c r="E4389" t="str">
        <f t="shared" si="1782"/>
        <v>KFH-OPERATIONS DEPARTMENT</v>
      </c>
      <c r="F4389" t="str">
        <f t="shared" si="1783"/>
        <v>IBG</v>
      </c>
      <c r="G4389" t="str">
        <f t="shared" si="1794"/>
        <v>Refund COSHARE 10</v>
      </c>
      <c r="H4389" s="2">
        <v>1514.45</v>
      </c>
      <c r="I4389" t="str">
        <f>"HUSIN BIN MAD SAABAN"</f>
        <v>HUSIN BIN MAD SAABAN</v>
      </c>
      <c r="J4389" t="str">
        <f t="shared" si="1797"/>
        <v>MAYBANK / MAYBANK ISLAMIC</v>
      </c>
      <c r="K4389" t="str">
        <f>"114253250014"</f>
        <v>114253250014</v>
      </c>
      <c r="L4389" t="str">
        <f t="shared" si="1800"/>
        <v>04-08-2020</v>
      </c>
      <c r="M4389" t="str">
        <f t="shared" si="1800"/>
        <v>04-08-2020</v>
      </c>
      <c r="N4389" t="str">
        <f t="shared" si="1784"/>
        <v>001105018356</v>
      </c>
      <c r="O4389" t="str">
        <f t="shared" si="1785"/>
        <v>MYR</v>
      </c>
      <c r="P4389" t="str">
        <f t="shared" si="1801"/>
        <v>NIL</v>
      </c>
      <c r="Q4389" t="str">
        <f t="shared" si="1801"/>
        <v>NIL</v>
      </c>
      <c r="R4389" t="str">
        <f t="shared" si="1786"/>
        <v>Accepted</v>
      </c>
      <c r="S4389" t="str">
        <f t="shared" si="1787"/>
        <v>Approved</v>
      </c>
      <c r="T4389" t="str">
        <f t="shared" si="1788"/>
        <v>10.20.8.188</v>
      </c>
      <c r="U4389" t="str">
        <f t="shared" si="1789"/>
        <v>AZRAD UMAR BIN SHAARI</v>
      </c>
      <c r="V4389" t="str">
        <f t="shared" si="1790"/>
        <v>FARHANA BINTI MUSTAPA</v>
      </c>
      <c r="W4389" t="str">
        <f t="shared" si="1791"/>
        <v>04-08-2020</v>
      </c>
      <c r="X4389" t="str">
        <f t="shared" si="1792"/>
        <v>RAZIMAH ANSAR AHMAD</v>
      </c>
      <c r="Y4389" t="str">
        <f t="shared" si="1793"/>
        <v>04-08-2020</v>
      </c>
      <c r="Z4389" t="str">
        <f>"COS10200804 4765"</f>
        <v>COS10200804 4765</v>
      </c>
    </row>
    <row r="4390" spans="1:26" x14ac:dyDescent="0.25">
      <c r="A4390" t="str">
        <f t="shared" si="1798"/>
        <v>04-08-2020 12:50:26</v>
      </c>
      <c r="B4390" t="str">
        <f>"0000806545"</f>
        <v>0000806545</v>
      </c>
      <c r="C4390" t="str">
        <f t="shared" si="1799"/>
        <v>0000806381</v>
      </c>
      <c r="D4390" t="str">
        <f t="shared" si="1781"/>
        <v>73185</v>
      </c>
      <c r="E4390" t="str">
        <f t="shared" si="1782"/>
        <v>KFH-OPERATIONS DEPARTMENT</v>
      </c>
      <c r="F4390" t="str">
        <f t="shared" si="1783"/>
        <v>IBG</v>
      </c>
      <c r="G4390" t="str">
        <f t="shared" si="1794"/>
        <v>Refund COSHARE 10</v>
      </c>
      <c r="H4390" s="2">
        <v>90.1</v>
      </c>
      <c r="I4390" t="str">
        <f>"HUSAINI BINTI HUSSAIN"</f>
        <v>HUSAINI BINTI HUSSAIN</v>
      </c>
      <c r="J4390" t="str">
        <f t="shared" si="1797"/>
        <v>MAYBANK / MAYBANK ISLAMIC</v>
      </c>
      <c r="K4390" t="str">
        <f>"162143071218"</f>
        <v>162143071218</v>
      </c>
      <c r="L4390" t="str">
        <f t="shared" si="1800"/>
        <v>04-08-2020</v>
      </c>
      <c r="M4390" t="str">
        <f t="shared" si="1800"/>
        <v>04-08-2020</v>
      </c>
      <c r="N4390" t="str">
        <f t="shared" si="1784"/>
        <v>001105018356</v>
      </c>
      <c r="O4390" t="str">
        <f t="shared" si="1785"/>
        <v>MYR</v>
      </c>
      <c r="P4390" t="str">
        <f t="shared" si="1801"/>
        <v>NIL</v>
      </c>
      <c r="Q4390" t="str">
        <f t="shared" si="1801"/>
        <v>NIL</v>
      </c>
      <c r="R4390" t="str">
        <f t="shared" si="1786"/>
        <v>Accepted</v>
      </c>
      <c r="S4390" t="str">
        <f t="shared" si="1787"/>
        <v>Approved</v>
      </c>
      <c r="T4390" t="str">
        <f t="shared" si="1788"/>
        <v>10.20.8.188</v>
      </c>
      <c r="U4390" t="str">
        <f t="shared" si="1789"/>
        <v>AZRAD UMAR BIN SHAARI</v>
      </c>
      <c r="V4390" t="str">
        <f t="shared" si="1790"/>
        <v>FARHANA BINTI MUSTAPA</v>
      </c>
      <c r="W4390" t="str">
        <f t="shared" si="1791"/>
        <v>04-08-2020</v>
      </c>
      <c r="X4390" t="str">
        <f t="shared" si="1792"/>
        <v>RAZIMAH ANSAR AHMAD</v>
      </c>
      <c r="Y4390" t="str">
        <f t="shared" si="1793"/>
        <v>04-08-2020</v>
      </c>
      <c r="Z4390" t="str">
        <f>"COS10200804 4764"</f>
        <v>COS10200804 4764</v>
      </c>
    </row>
    <row r="4391" spans="1:26" x14ac:dyDescent="0.25">
      <c r="A4391" t="str">
        <f t="shared" si="1798"/>
        <v>04-08-2020 12:50:26</v>
      </c>
      <c r="B4391" t="str">
        <f>"0000806544"</f>
        <v>0000806544</v>
      </c>
      <c r="C4391" t="str">
        <f t="shared" si="1799"/>
        <v>0000806381</v>
      </c>
      <c r="D4391" t="str">
        <f t="shared" si="1781"/>
        <v>73185</v>
      </c>
      <c r="E4391" t="str">
        <f t="shared" si="1782"/>
        <v>KFH-OPERATIONS DEPARTMENT</v>
      </c>
      <c r="F4391" t="str">
        <f t="shared" si="1783"/>
        <v>IBG</v>
      </c>
      <c r="G4391" t="str">
        <f t="shared" si="1794"/>
        <v>Refund COSHARE 10</v>
      </c>
      <c r="H4391" s="2">
        <v>357.45</v>
      </c>
      <c r="I4391" t="str">
        <f>"HUSAINI BIN ZAINAL ABIDIN"</f>
        <v>HUSAINI BIN ZAINAL ABIDIN</v>
      </c>
      <c r="J4391" t="str">
        <f t="shared" si="1797"/>
        <v>MAYBANK / MAYBANK ISLAMIC</v>
      </c>
      <c r="K4391" t="str">
        <f>"110059172745"</f>
        <v>110059172745</v>
      </c>
      <c r="L4391" t="str">
        <f t="shared" si="1800"/>
        <v>04-08-2020</v>
      </c>
      <c r="M4391" t="str">
        <f t="shared" si="1800"/>
        <v>04-08-2020</v>
      </c>
      <c r="N4391" t="str">
        <f t="shared" si="1784"/>
        <v>001105018356</v>
      </c>
      <c r="O4391" t="str">
        <f t="shared" si="1785"/>
        <v>MYR</v>
      </c>
      <c r="P4391" t="str">
        <f t="shared" si="1801"/>
        <v>NIL</v>
      </c>
      <c r="Q4391" t="str">
        <f t="shared" si="1801"/>
        <v>NIL</v>
      </c>
      <c r="R4391" t="str">
        <f t="shared" si="1786"/>
        <v>Accepted</v>
      </c>
      <c r="S4391" t="str">
        <f t="shared" si="1787"/>
        <v>Approved</v>
      </c>
      <c r="T4391" t="str">
        <f t="shared" si="1788"/>
        <v>10.20.8.188</v>
      </c>
      <c r="U4391" t="str">
        <f t="shared" si="1789"/>
        <v>AZRAD UMAR BIN SHAARI</v>
      </c>
      <c r="V4391" t="str">
        <f t="shared" si="1790"/>
        <v>FARHANA BINTI MUSTAPA</v>
      </c>
      <c r="W4391" t="str">
        <f t="shared" si="1791"/>
        <v>04-08-2020</v>
      </c>
      <c r="X4391" t="str">
        <f t="shared" si="1792"/>
        <v>RAZIMAH ANSAR AHMAD</v>
      </c>
      <c r="Y4391" t="str">
        <f t="shared" si="1793"/>
        <v>04-08-2020</v>
      </c>
      <c r="Z4391" t="str">
        <f>"COS10200804 4763"</f>
        <v>COS10200804 4763</v>
      </c>
    </row>
    <row r="4392" spans="1:26" x14ac:dyDescent="0.25">
      <c r="A4392" t="str">
        <f t="shared" si="1798"/>
        <v>04-08-2020 12:50:26</v>
      </c>
      <c r="B4392" t="str">
        <f>"0000806543"</f>
        <v>0000806543</v>
      </c>
      <c r="C4392" t="str">
        <f t="shared" si="1799"/>
        <v>0000806381</v>
      </c>
      <c r="D4392" t="str">
        <f t="shared" si="1781"/>
        <v>73185</v>
      </c>
      <c r="E4392" t="str">
        <f t="shared" si="1782"/>
        <v>KFH-OPERATIONS DEPARTMENT</v>
      </c>
      <c r="F4392" t="str">
        <f t="shared" si="1783"/>
        <v>IBG</v>
      </c>
      <c r="G4392" t="str">
        <f t="shared" si="1794"/>
        <v>Refund COSHARE 10</v>
      </c>
      <c r="H4392" s="2">
        <v>1298</v>
      </c>
      <c r="I4392" t="str">
        <f>"HUMPREY SIRUM"</f>
        <v>HUMPREY SIRUM</v>
      </c>
      <c r="J4392" t="str">
        <f t="shared" si="1797"/>
        <v>MAYBANK / MAYBANK ISLAMIC</v>
      </c>
      <c r="K4392" t="str">
        <f>"161097160402"</f>
        <v>161097160402</v>
      </c>
      <c r="L4392" t="str">
        <f t="shared" si="1800"/>
        <v>04-08-2020</v>
      </c>
      <c r="M4392" t="str">
        <f t="shared" si="1800"/>
        <v>04-08-2020</v>
      </c>
      <c r="N4392" t="str">
        <f t="shared" si="1784"/>
        <v>001105018356</v>
      </c>
      <c r="O4392" t="str">
        <f t="shared" si="1785"/>
        <v>MYR</v>
      </c>
      <c r="P4392" t="str">
        <f t="shared" si="1801"/>
        <v>NIL</v>
      </c>
      <c r="Q4392" t="str">
        <f t="shared" si="1801"/>
        <v>NIL</v>
      </c>
      <c r="R4392" t="str">
        <f t="shared" si="1786"/>
        <v>Accepted</v>
      </c>
      <c r="S4392" t="str">
        <f t="shared" si="1787"/>
        <v>Approved</v>
      </c>
      <c r="T4392" t="str">
        <f t="shared" si="1788"/>
        <v>10.20.8.188</v>
      </c>
      <c r="U4392" t="str">
        <f t="shared" si="1789"/>
        <v>AZRAD UMAR BIN SHAARI</v>
      </c>
      <c r="V4392" t="str">
        <f t="shared" si="1790"/>
        <v>FARHANA BINTI MUSTAPA</v>
      </c>
      <c r="W4392" t="str">
        <f t="shared" si="1791"/>
        <v>04-08-2020</v>
      </c>
      <c r="X4392" t="str">
        <f t="shared" si="1792"/>
        <v>RAZIMAH ANSAR AHMAD</v>
      </c>
      <c r="Y4392" t="str">
        <f t="shared" si="1793"/>
        <v>04-08-2020</v>
      </c>
      <c r="Z4392" t="str">
        <f>"COS10200804 4762"</f>
        <v>COS10200804 4762</v>
      </c>
    </row>
    <row r="4393" spans="1:26" x14ac:dyDescent="0.25">
      <c r="A4393" t="str">
        <f t="shared" si="1798"/>
        <v>04-08-2020 12:50:26</v>
      </c>
      <c r="B4393" t="str">
        <f>"0000806542"</f>
        <v>0000806542</v>
      </c>
      <c r="C4393" t="str">
        <f t="shared" si="1799"/>
        <v>0000806381</v>
      </c>
      <c r="D4393" t="str">
        <f t="shared" si="1781"/>
        <v>73185</v>
      </c>
      <c r="E4393" t="str">
        <f t="shared" si="1782"/>
        <v>KFH-OPERATIONS DEPARTMENT</v>
      </c>
      <c r="F4393" t="str">
        <f t="shared" si="1783"/>
        <v>IBG</v>
      </c>
      <c r="G4393" t="str">
        <f t="shared" si="1794"/>
        <v>Refund COSHARE 10</v>
      </c>
      <c r="H4393" s="2">
        <v>108</v>
      </c>
      <c r="I4393" t="str">
        <f>"HOSNI BIN SHAMSUDIN"</f>
        <v>HOSNI BIN SHAMSUDIN</v>
      </c>
      <c r="J4393" t="str">
        <f t="shared" si="1797"/>
        <v>MAYBANK / MAYBANK ISLAMIC</v>
      </c>
      <c r="K4393" t="str">
        <f>"112110482691"</f>
        <v>112110482691</v>
      </c>
      <c r="L4393" t="str">
        <f t="shared" si="1800"/>
        <v>04-08-2020</v>
      </c>
      <c r="M4393" t="str">
        <f t="shared" si="1800"/>
        <v>04-08-2020</v>
      </c>
      <c r="N4393" t="str">
        <f t="shared" si="1784"/>
        <v>001105018356</v>
      </c>
      <c r="O4393" t="str">
        <f t="shared" si="1785"/>
        <v>MYR</v>
      </c>
      <c r="P4393" t="str">
        <f t="shared" si="1801"/>
        <v>NIL</v>
      </c>
      <c r="Q4393" t="str">
        <f t="shared" si="1801"/>
        <v>NIL</v>
      </c>
      <c r="R4393" t="str">
        <f t="shared" si="1786"/>
        <v>Accepted</v>
      </c>
      <c r="S4393" t="str">
        <f t="shared" si="1787"/>
        <v>Approved</v>
      </c>
      <c r="T4393" t="str">
        <f t="shared" si="1788"/>
        <v>10.20.8.188</v>
      </c>
      <c r="U4393" t="str">
        <f t="shared" si="1789"/>
        <v>AZRAD UMAR BIN SHAARI</v>
      </c>
      <c r="V4393" t="str">
        <f t="shared" si="1790"/>
        <v>FARHANA BINTI MUSTAPA</v>
      </c>
      <c r="W4393" t="str">
        <f t="shared" si="1791"/>
        <v>04-08-2020</v>
      </c>
      <c r="X4393" t="str">
        <f t="shared" si="1792"/>
        <v>RAZIMAH ANSAR AHMAD</v>
      </c>
      <c r="Y4393" t="str">
        <f t="shared" si="1793"/>
        <v>04-08-2020</v>
      </c>
      <c r="Z4393" t="str">
        <f>"COS10200804 4761"</f>
        <v>COS10200804 4761</v>
      </c>
    </row>
    <row r="4394" spans="1:26" x14ac:dyDescent="0.25">
      <c r="A4394" t="str">
        <f t="shared" si="1798"/>
        <v>04-08-2020 12:50:26</v>
      </c>
      <c r="B4394" t="str">
        <f>"0000806541"</f>
        <v>0000806541</v>
      </c>
      <c r="C4394" t="str">
        <f t="shared" si="1799"/>
        <v>0000806381</v>
      </c>
      <c r="D4394" t="str">
        <f t="shared" si="1781"/>
        <v>73185</v>
      </c>
      <c r="E4394" t="str">
        <f t="shared" si="1782"/>
        <v>KFH-OPERATIONS DEPARTMENT</v>
      </c>
      <c r="F4394" t="str">
        <f t="shared" si="1783"/>
        <v>IBG</v>
      </c>
      <c r="G4394" t="str">
        <f t="shared" si="1794"/>
        <v>Refund COSHARE 10</v>
      </c>
      <c r="H4394" s="2">
        <v>296</v>
      </c>
      <c r="I4394" t="str">
        <f>"HISYAMUDDIN BIN MOHD YUSOFF"</f>
        <v>HISYAMUDDIN BIN MOHD YUSOFF</v>
      </c>
      <c r="J4394" t="str">
        <f t="shared" si="1797"/>
        <v>MAYBANK / MAYBANK ISLAMIC</v>
      </c>
      <c r="K4394" t="str">
        <f>"157054683414"</f>
        <v>157054683414</v>
      </c>
      <c r="L4394" t="str">
        <f t="shared" si="1800"/>
        <v>04-08-2020</v>
      </c>
      <c r="M4394" t="str">
        <f t="shared" si="1800"/>
        <v>04-08-2020</v>
      </c>
      <c r="N4394" t="str">
        <f t="shared" si="1784"/>
        <v>001105018356</v>
      </c>
      <c r="O4394" t="str">
        <f t="shared" si="1785"/>
        <v>MYR</v>
      </c>
      <c r="P4394" t="str">
        <f t="shared" si="1801"/>
        <v>NIL</v>
      </c>
      <c r="Q4394" t="str">
        <f t="shared" si="1801"/>
        <v>NIL</v>
      </c>
      <c r="R4394" t="str">
        <f t="shared" si="1786"/>
        <v>Accepted</v>
      </c>
      <c r="S4394" t="str">
        <f t="shared" si="1787"/>
        <v>Approved</v>
      </c>
      <c r="T4394" t="str">
        <f t="shared" si="1788"/>
        <v>10.20.8.188</v>
      </c>
      <c r="U4394" t="str">
        <f t="shared" si="1789"/>
        <v>AZRAD UMAR BIN SHAARI</v>
      </c>
      <c r="V4394" t="str">
        <f t="shared" si="1790"/>
        <v>FARHANA BINTI MUSTAPA</v>
      </c>
      <c r="W4394" t="str">
        <f t="shared" si="1791"/>
        <v>04-08-2020</v>
      </c>
      <c r="X4394" t="str">
        <f t="shared" si="1792"/>
        <v>RAZIMAH ANSAR AHMAD</v>
      </c>
      <c r="Y4394" t="str">
        <f t="shared" si="1793"/>
        <v>04-08-2020</v>
      </c>
      <c r="Z4394" t="str">
        <f>"COS10200804 4760"</f>
        <v>COS10200804 4760</v>
      </c>
    </row>
    <row r="4395" spans="1:26" x14ac:dyDescent="0.25">
      <c r="A4395" t="str">
        <f t="shared" si="1798"/>
        <v>04-08-2020 12:50:26</v>
      </c>
      <c r="B4395" t="str">
        <f>"0000806540"</f>
        <v>0000806540</v>
      </c>
      <c r="C4395" t="str">
        <f t="shared" si="1799"/>
        <v>0000806381</v>
      </c>
      <c r="D4395" t="str">
        <f t="shared" si="1781"/>
        <v>73185</v>
      </c>
      <c r="E4395" t="str">
        <f t="shared" si="1782"/>
        <v>KFH-OPERATIONS DEPARTMENT</v>
      </c>
      <c r="F4395" t="str">
        <f t="shared" si="1783"/>
        <v>IBG</v>
      </c>
      <c r="G4395" t="str">
        <f t="shared" si="1794"/>
        <v>Refund COSHARE 10</v>
      </c>
      <c r="H4395" s="2">
        <v>1318</v>
      </c>
      <c r="I4395" t="str">
        <f>"HISNAWATI BINTI CHE ISHAK"</f>
        <v>HISNAWATI BINTI CHE ISHAK</v>
      </c>
      <c r="J4395" t="str">
        <f t="shared" si="1797"/>
        <v>MAYBANK / MAYBANK ISLAMIC</v>
      </c>
      <c r="K4395" t="str">
        <f>"152152002362"</f>
        <v>152152002362</v>
      </c>
      <c r="L4395" t="str">
        <f t="shared" si="1800"/>
        <v>04-08-2020</v>
      </c>
      <c r="M4395" t="str">
        <f t="shared" si="1800"/>
        <v>04-08-2020</v>
      </c>
      <c r="N4395" t="str">
        <f t="shared" si="1784"/>
        <v>001105018356</v>
      </c>
      <c r="O4395" t="str">
        <f t="shared" si="1785"/>
        <v>MYR</v>
      </c>
      <c r="P4395" t="str">
        <f t="shared" si="1801"/>
        <v>NIL</v>
      </c>
      <c r="Q4395" t="str">
        <f t="shared" si="1801"/>
        <v>NIL</v>
      </c>
      <c r="R4395" t="str">
        <f t="shared" si="1786"/>
        <v>Accepted</v>
      </c>
      <c r="S4395" t="str">
        <f t="shared" si="1787"/>
        <v>Approved</v>
      </c>
      <c r="T4395" t="str">
        <f t="shared" si="1788"/>
        <v>10.20.8.188</v>
      </c>
      <c r="U4395" t="str">
        <f t="shared" si="1789"/>
        <v>AZRAD UMAR BIN SHAARI</v>
      </c>
      <c r="V4395" t="str">
        <f t="shared" si="1790"/>
        <v>FARHANA BINTI MUSTAPA</v>
      </c>
      <c r="W4395" t="str">
        <f t="shared" si="1791"/>
        <v>04-08-2020</v>
      </c>
      <c r="X4395" t="str">
        <f t="shared" si="1792"/>
        <v>RAZIMAH ANSAR AHMAD</v>
      </c>
      <c r="Y4395" t="str">
        <f t="shared" si="1793"/>
        <v>04-08-2020</v>
      </c>
      <c r="Z4395" t="str">
        <f>"COS10200804 4759"</f>
        <v>COS10200804 4759</v>
      </c>
    </row>
    <row r="4396" spans="1:26" x14ac:dyDescent="0.25">
      <c r="A4396" t="str">
        <f t="shared" si="1798"/>
        <v>04-08-2020 12:50:26</v>
      </c>
      <c r="B4396" t="str">
        <f>"0000806539"</f>
        <v>0000806539</v>
      </c>
      <c r="C4396" t="str">
        <f t="shared" si="1799"/>
        <v>0000806381</v>
      </c>
      <c r="D4396" t="str">
        <f t="shared" si="1781"/>
        <v>73185</v>
      </c>
      <c r="E4396" t="str">
        <f t="shared" si="1782"/>
        <v>KFH-OPERATIONS DEPARTMENT</v>
      </c>
      <c r="F4396" t="str">
        <f t="shared" si="1783"/>
        <v>IBG</v>
      </c>
      <c r="G4396" t="str">
        <f t="shared" si="1794"/>
        <v>Refund COSHARE 10</v>
      </c>
      <c r="H4396" s="2">
        <v>2251.85</v>
      </c>
      <c r="I4396" t="str">
        <f>"HISHAMUDDIN BIN SALAM"</f>
        <v>HISHAMUDDIN BIN SALAM</v>
      </c>
      <c r="J4396" t="str">
        <f t="shared" si="1797"/>
        <v>MAYBANK / MAYBANK ISLAMIC</v>
      </c>
      <c r="K4396" t="str">
        <f>"101067771286"</f>
        <v>101067771286</v>
      </c>
      <c r="L4396" t="str">
        <f t="shared" si="1800"/>
        <v>04-08-2020</v>
      </c>
      <c r="M4396" t="str">
        <f t="shared" si="1800"/>
        <v>04-08-2020</v>
      </c>
      <c r="N4396" t="str">
        <f t="shared" si="1784"/>
        <v>001105018356</v>
      </c>
      <c r="O4396" t="str">
        <f t="shared" si="1785"/>
        <v>MYR</v>
      </c>
      <c r="P4396" t="str">
        <f t="shared" si="1801"/>
        <v>NIL</v>
      </c>
      <c r="Q4396" t="str">
        <f t="shared" si="1801"/>
        <v>NIL</v>
      </c>
      <c r="R4396" t="str">
        <f t="shared" si="1786"/>
        <v>Accepted</v>
      </c>
      <c r="S4396" t="str">
        <f t="shared" si="1787"/>
        <v>Approved</v>
      </c>
      <c r="T4396" t="str">
        <f t="shared" si="1788"/>
        <v>10.20.8.188</v>
      </c>
      <c r="U4396" t="str">
        <f t="shared" si="1789"/>
        <v>AZRAD UMAR BIN SHAARI</v>
      </c>
      <c r="V4396" t="str">
        <f t="shared" si="1790"/>
        <v>FARHANA BINTI MUSTAPA</v>
      </c>
      <c r="W4396" t="str">
        <f t="shared" si="1791"/>
        <v>04-08-2020</v>
      </c>
      <c r="X4396" t="str">
        <f t="shared" si="1792"/>
        <v>RAZIMAH ANSAR AHMAD</v>
      </c>
      <c r="Y4396" t="str">
        <f t="shared" si="1793"/>
        <v>04-08-2020</v>
      </c>
      <c r="Z4396" t="str">
        <f>"COS10200804 4758"</f>
        <v>COS10200804 4758</v>
      </c>
    </row>
    <row r="4397" spans="1:26" x14ac:dyDescent="0.25">
      <c r="A4397" t="str">
        <f t="shared" si="1798"/>
        <v>04-08-2020 12:50:26</v>
      </c>
      <c r="B4397" t="str">
        <f>"0000806538"</f>
        <v>0000806538</v>
      </c>
      <c r="C4397" t="str">
        <f t="shared" si="1799"/>
        <v>0000806381</v>
      </c>
      <c r="D4397" t="str">
        <f t="shared" si="1781"/>
        <v>73185</v>
      </c>
      <c r="E4397" t="str">
        <f t="shared" si="1782"/>
        <v>KFH-OPERATIONS DEPARTMENT</v>
      </c>
      <c r="F4397" t="str">
        <f t="shared" si="1783"/>
        <v>IBG</v>
      </c>
      <c r="G4397" t="str">
        <f t="shared" si="1794"/>
        <v>Refund COSHARE 10</v>
      </c>
      <c r="H4397" s="2">
        <v>1044</v>
      </c>
      <c r="I4397" t="str">
        <f>"HISHAMUDDIN BIN AHMAD"</f>
        <v>HISHAMUDDIN BIN AHMAD</v>
      </c>
      <c r="J4397" t="str">
        <f t="shared" si="1797"/>
        <v>MAYBANK / MAYBANK ISLAMIC</v>
      </c>
      <c r="K4397" t="str">
        <f>"105038015721"</f>
        <v>105038015721</v>
      </c>
      <c r="L4397" t="str">
        <f t="shared" si="1800"/>
        <v>04-08-2020</v>
      </c>
      <c r="M4397" t="str">
        <f t="shared" si="1800"/>
        <v>04-08-2020</v>
      </c>
      <c r="N4397" t="str">
        <f t="shared" si="1784"/>
        <v>001105018356</v>
      </c>
      <c r="O4397" t="str">
        <f t="shared" si="1785"/>
        <v>MYR</v>
      </c>
      <c r="P4397" t="str">
        <f t="shared" si="1801"/>
        <v>NIL</v>
      </c>
      <c r="Q4397" t="str">
        <f t="shared" si="1801"/>
        <v>NIL</v>
      </c>
      <c r="R4397" t="str">
        <f t="shared" si="1786"/>
        <v>Accepted</v>
      </c>
      <c r="S4397" t="str">
        <f t="shared" si="1787"/>
        <v>Approved</v>
      </c>
      <c r="T4397" t="str">
        <f t="shared" si="1788"/>
        <v>10.20.8.188</v>
      </c>
      <c r="U4397" t="str">
        <f t="shared" si="1789"/>
        <v>AZRAD UMAR BIN SHAARI</v>
      </c>
      <c r="V4397" t="str">
        <f t="shared" si="1790"/>
        <v>FARHANA BINTI MUSTAPA</v>
      </c>
      <c r="W4397" t="str">
        <f t="shared" si="1791"/>
        <v>04-08-2020</v>
      </c>
      <c r="X4397" t="str">
        <f t="shared" si="1792"/>
        <v>RAZIMAH ANSAR AHMAD</v>
      </c>
      <c r="Y4397" t="str">
        <f t="shared" si="1793"/>
        <v>04-08-2020</v>
      </c>
      <c r="Z4397" t="str">
        <f>"COS10200804 4757"</f>
        <v>COS10200804 4757</v>
      </c>
    </row>
    <row r="4398" spans="1:26" x14ac:dyDescent="0.25">
      <c r="A4398" t="str">
        <f t="shared" si="1798"/>
        <v>04-08-2020 12:50:26</v>
      </c>
      <c r="B4398" t="str">
        <f>"0000806537"</f>
        <v>0000806537</v>
      </c>
      <c r="C4398" t="str">
        <f t="shared" si="1799"/>
        <v>0000806381</v>
      </c>
      <c r="D4398" t="str">
        <f t="shared" si="1781"/>
        <v>73185</v>
      </c>
      <c r="E4398" t="str">
        <f t="shared" si="1782"/>
        <v>KFH-OPERATIONS DEPARTMENT</v>
      </c>
      <c r="F4398" t="str">
        <f t="shared" si="1783"/>
        <v>IBG</v>
      </c>
      <c r="G4398" t="str">
        <f t="shared" si="1794"/>
        <v>Refund COSHARE 10</v>
      </c>
      <c r="H4398" s="2">
        <v>1964.65</v>
      </c>
      <c r="I4398" t="str">
        <f>"HISHAM KAMAL BIN OTHMAN KAMAL"</f>
        <v>HISHAM KAMAL BIN OTHMAN KAMAL</v>
      </c>
      <c r="J4398" t="str">
        <f t="shared" si="1797"/>
        <v>MAYBANK / MAYBANK ISLAMIC</v>
      </c>
      <c r="K4398" t="str">
        <f>"162302505956"</f>
        <v>162302505956</v>
      </c>
      <c r="L4398" t="str">
        <f t="shared" si="1800"/>
        <v>04-08-2020</v>
      </c>
      <c r="M4398" t="str">
        <f t="shared" si="1800"/>
        <v>04-08-2020</v>
      </c>
      <c r="N4398" t="str">
        <f t="shared" si="1784"/>
        <v>001105018356</v>
      </c>
      <c r="O4398" t="str">
        <f t="shared" si="1785"/>
        <v>MYR</v>
      </c>
      <c r="P4398" t="str">
        <f t="shared" si="1801"/>
        <v>NIL</v>
      </c>
      <c r="Q4398" t="str">
        <f t="shared" si="1801"/>
        <v>NIL</v>
      </c>
      <c r="R4398" t="str">
        <f t="shared" si="1786"/>
        <v>Accepted</v>
      </c>
      <c r="S4398" t="str">
        <f t="shared" si="1787"/>
        <v>Approved</v>
      </c>
      <c r="T4398" t="str">
        <f t="shared" si="1788"/>
        <v>10.20.8.188</v>
      </c>
      <c r="U4398" t="str">
        <f t="shared" si="1789"/>
        <v>AZRAD UMAR BIN SHAARI</v>
      </c>
      <c r="V4398" t="str">
        <f t="shared" si="1790"/>
        <v>FARHANA BINTI MUSTAPA</v>
      </c>
      <c r="W4398" t="str">
        <f t="shared" si="1791"/>
        <v>04-08-2020</v>
      </c>
      <c r="X4398" t="str">
        <f t="shared" si="1792"/>
        <v>RAZIMAH ANSAR AHMAD</v>
      </c>
      <c r="Y4398" t="str">
        <f t="shared" si="1793"/>
        <v>04-08-2020</v>
      </c>
      <c r="Z4398" t="str">
        <f>"COS10200804 4756"</f>
        <v>COS10200804 4756</v>
      </c>
    </row>
    <row r="4399" spans="1:26" x14ac:dyDescent="0.25">
      <c r="A4399" t="str">
        <f t="shared" si="1798"/>
        <v>04-08-2020 12:50:26</v>
      </c>
      <c r="B4399" t="str">
        <f>"0000806536"</f>
        <v>0000806536</v>
      </c>
      <c r="C4399" t="str">
        <f t="shared" si="1799"/>
        <v>0000806381</v>
      </c>
      <c r="D4399" t="str">
        <f t="shared" si="1781"/>
        <v>73185</v>
      </c>
      <c r="E4399" t="str">
        <f t="shared" si="1782"/>
        <v>KFH-OPERATIONS DEPARTMENT</v>
      </c>
      <c r="F4399" t="str">
        <f t="shared" si="1783"/>
        <v>IBG</v>
      </c>
      <c r="G4399" t="str">
        <f t="shared" si="1794"/>
        <v>Refund COSHARE 10</v>
      </c>
      <c r="H4399" s="2">
        <v>252</v>
      </c>
      <c r="I4399" t="str">
        <f>"HISHAM BIN HASAN"</f>
        <v>HISHAM BIN HASAN</v>
      </c>
      <c r="J4399" t="str">
        <f t="shared" si="1797"/>
        <v>MAYBANK / MAYBANK ISLAMIC</v>
      </c>
      <c r="K4399" t="str">
        <f>"114093418717"</f>
        <v>114093418717</v>
      </c>
      <c r="L4399" t="str">
        <f t="shared" si="1800"/>
        <v>04-08-2020</v>
      </c>
      <c r="M4399" t="str">
        <f t="shared" si="1800"/>
        <v>04-08-2020</v>
      </c>
      <c r="N4399" t="str">
        <f t="shared" si="1784"/>
        <v>001105018356</v>
      </c>
      <c r="O4399" t="str">
        <f t="shared" si="1785"/>
        <v>MYR</v>
      </c>
      <c r="P4399" t="str">
        <f t="shared" si="1801"/>
        <v>NIL</v>
      </c>
      <c r="Q4399" t="str">
        <f t="shared" si="1801"/>
        <v>NIL</v>
      </c>
      <c r="R4399" t="str">
        <f t="shared" si="1786"/>
        <v>Accepted</v>
      </c>
      <c r="S4399" t="str">
        <f t="shared" si="1787"/>
        <v>Approved</v>
      </c>
      <c r="T4399" t="str">
        <f t="shared" si="1788"/>
        <v>10.20.8.188</v>
      </c>
      <c r="U4399" t="str">
        <f t="shared" si="1789"/>
        <v>AZRAD UMAR BIN SHAARI</v>
      </c>
      <c r="V4399" t="str">
        <f t="shared" si="1790"/>
        <v>FARHANA BINTI MUSTAPA</v>
      </c>
      <c r="W4399" t="str">
        <f t="shared" si="1791"/>
        <v>04-08-2020</v>
      </c>
      <c r="X4399" t="str">
        <f t="shared" si="1792"/>
        <v>RAZIMAH ANSAR AHMAD</v>
      </c>
      <c r="Y4399" t="str">
        <f t="shared" si="1793"/>
        <v>04-08-2020</v>
      </c>
      <c r="Z4399" t="str">
        <f>"COS10200804 4755"</f>
        <v>COS10200804 4755</v>
      </c>
    </row>
    <row r="4400" spans="1:26" x14ac:dyDescent="0.25">
      <c r="A4400" t="str">
        <f t="shared" si="1798"/>
        <v>04-08-2020 12:50:26</v>
      </c>
      <c r="B4400" t="str">
        <f>"0000806535"</f>
        <v>0000806535</v>
      </c>
      <c r="C4400" t="str">
        <f t="shared" si="1799"/>
        <v>0000806381</v>
      </c>
      <c r="D4400" t="str">
        <f t="shared" si="1781"/>
        <v>73185</v>
      </c>
      <c r="E4400" t="str">
        <f t="shared" si="1782"/>
        <v>KFH-OPERATIONS DEPARTMENT</v>
      </c>
      <c r="F4400" t="str">
        <f t="shared" si="1783"/>
        <v>IBG</v>
      </c>
      <c r="G4400" t="str">
        <f t="shared" si="1794"/>
        <v>Refund COSHARE 10</v>
      </c>
      <c r="H4400" s="2">
        <v>50.4</v>
      </c>
      <c r="I4400" t="str">
        <f>"HIRWAN BIN ALI"</f>
        <v>HIRWAN BIN ALI</v>
      </c>
      <c r="J4400" t="str">
        <f t="shared" si="1797"/>
        <v>MAYBANK / MAYBANK ISLAMIC</v>
      </c>
      <c r="K4400" t="str">
        <f>"111057182018"</f>
        <v>111057182018</v>
      </c>
      <c r="L4400" t="str">
        <f t="shared" si="1800"/>
        <v>04-08-2020</v>
      </c>
      <c r="M4400" t="str">
        <f t="shared" si="1800"/>
        <v>04-08-2020</v>
      </c>
      <c r="N4400" t="str">
        <f t="shared" si="1784"/>
        <v>001105018356</v>
      </c>
      <c r="O4400" t="str">
        <f t="shared" si="1785"/>
        <v>MYR</v>
      </c>
      <c r="P4400" t="str">
        <f t="shared" si="1801"/>
        <v>NIL</v>
      </c>
      <c r="Q4400" t="str">
        <f t="shared" si="1801"/>
        <v>NIL</v>
      </c>
      <c r="R4400" t="str">
        <f t="shared" si="1786"/>
        <v>Accepted</v>
      </c>
      <c r="S4400" t="str">
        <f t="shared" si="1787"/>
        <v>Approved</v>
      </c>
      <c r="T4400" t="str">
        <f t="shared" si="1788"/>
        <v>10.20.8.188</v>
      </c>
      <c r="U4400" t="str">
        <f t="shared" si="1789"/>
        <v>AZRAD UMAR BIN SHAARI</v>
      </c>
      <c r="V4400" t="str">
        <f t="shared" si="1790"/>
        <v>FARHANA BINTI MUSTAPA</v>
      </c>
      <c r="W4400" t="str">
        <f t="shared" si="1791"/>
        <v>04-08-2020</v>
      </c>
      <c r="X4400" t="str">
        <f t="shared" si="1792"/>
        <v>RAZIMAH ANSAR AHMAD</v>
      </c>
      <c r="Y4400" t="str">
        <f t="shared" si="1793"/>
        <v>04-08-2020</v>
      </c>
      <c r="Z4400" t="str">
        <f>"COS10200804 4754"</f>
        <v>COS10200804 4754</v>
      </c>
    </row>
    <row r="4401" spans="1:26" x14ac:dyDescent="0.25">
      <c r="A4401" t="str">
        <f t="shared" si="1798"/>
        <v>04-08-2020 12:50:26</v>
      </c>
      <c r="B4401" t="str">
        <f>"0000806534"</f>
        <v>0000806534</v>
      </c>
      <c r="C4401" t="str">
        <f t="shared" si="1799"/>
        <v>0000806381</v>
      </c>
      <c r="D4401" t="str">
        <f t="shared" si="1781"/>
        <v>73185</v>
      </c>
      <c r="E4401" t="str">
        <f t="shared" si="1782"/>
        <v>KFH-OPERATIONS DEPARTMENT</v>
      </c>
      <c r="F4401" t="str">
        <f t="shared" si="1783"/>
        <v>IBG</v>
      </c>
      <c r="G4401" t="str">
        <f t="shared" si="1794"/>
        <v>Refund COSHARE 10</v>
      </c>
      <c r="H4401" s="2">
        <v>168</v>
      </c>
      <c r="I4401" t="str">
        <f>"HIRWAN BIN ALI"</f>
        <v>HIRWAN BIN ALI</v>
      </c>
      <c r="J4401" t="str">
        <f t="shared" si="1797"/>
        <v>MAYBANK / MAYBANK ISLAMIC</v>
      </c>
      <c r="K4401" t="str">
        <f>"111057182018"</f>
        <v>111057182018</v>
      </c>
      <c r="L4401" t="str">
        <f t="shared" si="1800"/>
        <v>04-08-2020</v>
      </c>
      <c r="M4401" t="str">
        <f t="shared" si="1800"/>
        <v>04-08-2020</v>
      </c>
      <c r="N4401" t="str">
        <f t="shared" si="1784"/>
        <v>001105018356</v>
      </c>
      <c r="O4401" t="str">
        <f t="shared" si="1785"/>
        <v>MYR</v>
      </c>
      <c r="P4401" t="str">
        <f t="shared" si="1801"/>
        <v>NIL</v>
      </c>
      <c r="Q4401" t="str">
        <f t="shared" si="1801"/>
        <v>NIL</v>
      </c>
      <c r="R4401" t="str">
        <f t="shared" si="1786"/>
        <v>Accepted</v>
      </c>
      <c r="S4401" t="str">
        <f t="shared" si="1787"/>
        <v>Approved</v>
      </c>
      <c r="T4401" t="str">
        <f t="shared" si="1788"/>
        <v>10.20.8.188</v>
      </c>
      <c r="U4401" t="str">
        <f t="shared" si="1789"/>
        <v>AZRAD UMAR BIN SHAARI</v>
      </c>
      <c r="V4401" t="str">
        <f t="shared" si="1790"/>
        <v>FARHANA BINTI MUSTAPA</v>
      </c>
      <c r="W4401" t="str">
        <f t="shared" si="1791"/>
        <v>04-08-2020</v>
      </c>
      <c r="X4401" t="str">
        <f t="shared" si="1792"/>
        <v>RAZIMAH ANSAR AHMAD</v>
      </c>
      <c r="Y4401" t="str">
        <f t="shared" si="1793"/>
        <v>04-08-2020</v>
      </c>
      <c r="Z4401" t="str">
        <f>"COS10200804 4753"</f>
        <v>COS10200804 4753</v>
      </c>
    </row>
    <row r="4402" spans="1:26" x14ac:dyDescent="0.25">
      <c r="A4402" t="str">
        <f t="shared" si="1798"/>
        <v>04-08-2020 12:50:26</v>
      </c>
      <c r="B4402" t="str">
        <f>"0000806533"</f>
        <v>0000806533</v>
      </c>
      <c r="C4402" t="str">
        <f t="shared" si="1799"/>
        <v>0000806381</v>
      </c>
      <c r="D4402" t="str">
        <f t="shared" si="1781"/>
        <v>73185</v>
      </c>
      <c r="E4402" t="str">
        <f t="shared" si="1782"/>
        <v>KFH-OPERATIONS DEPARTMENT</v>
      </c>
      <c r="F4402" t="str">
        <f t="shared" si="1783"/>
        <v>IBG</v>
      </c>
      <c r="G4402" t="str">
        <f t="shared" si="1794"/>
        <v>Refund COSHARE 10</v>
      </c>
      <c r="H4402" s="2">
        <v>1153.1500000000001</v>
      </c>
      <c r="I4402" t="str">
        <f>"HIRWAN BIN AHAMED HAMBAL"</f>
        <v>HIRWAN BIN AHAMED HAMBAL</v>
      </c>
      <c r="J4402" t="str">
        <f t="shared" si="1797"/>
        <v>MAYBANK / MAYBANK ISLAMIC</v>
      </c>
      <c r="K4402" t="str">
        <f>"158015090935"</f>
        <v>158015090935</v>
      </c>
      <c r="L4402" t="str">
        <f t="shared" si="1800"/>
        <v>04-08-2020</v>
      </c>
      <c r="M4402" t="str">
        <f t="shared" si="1800"/>
        <v>04-08-2020</v>
      </c>
      <c r="N4402" t="str">
        <f t="shared" si="1784"/>
        <v>001105018356</v>
      </c>
      <c r="O4402" t="str">
        <f t="shared" si="1785"/>
        <v>MYR</v>
      </c>
      <c r="P4402" t="str">
        <f t="shared" si="1801"/>
        <v>NIL</v>
      </c>
      <c r="Q4402" t="str">
        <f t="shared" si="1801"/>
        <v>NIL</v>
      </c>
      <c r="R4402" t="str">
        <f t="shared" si="1786"/>
        <v>Accepted</v>
      </c>
      <c r="S4402" t="str">
        <f t="shared" si="1787"/>
        <v>Approved</v>
      </c>
      <c r="T4402" t="str">
        <f t="shared" si="1788"/>
        <v>10.20.8.188</v>
      </c>
      <c r="U4402" t="str">
        <f t="shared" si="1789"/>
        <v>AZRAD UMAR BIN SHAARI</v>
      </c>
      <c r="V4402" t="str">
        <f t="shared" si="1790"/>
        <v>FARHANA BINTI MUSTAPA</v>
      </c>
      <c r="W4402" t="str">
        <f t="shared" si="1791"/>
        <v>04-08-2020</v>
      </c>
      <c r="X4402" t="str">
        <f t="shared" si="1792"/>
        <v>RAZIMAH ANSAR AHMAD</v>
      </c>
      <c r="Y4402" t="str">
        <f t="shared" si="1793"/>
        <v>04-08-2020</v>
      </c>
      <c r="Z4402" t="str">
        <f>"COS10200804 4752"</f>
        <v>COS10200804 4752</v>
      </c>
    </row>
    <row r="4403" spans="1:26" x14ac:dyDescent="0.25">
      <c r="A4403" t="str">
        <f t="shared" si="1798"/>
        <v>04-08-2020 12:50:26</v>
      </c>
      <c r="B4403" t="str">
        <f>"0000806532"</f>
        <v>0000806532</v>
      </c>
      <c r="C4403" t="str">
        <f t="shared" si="1799"/>
        <v>0000806381</v>
      </c>
      <c r="D4403" t="str">
        <f t="shared" si="1781"/>
        <v>73185</v>
      </c>
      <c r="E4403" t="str">
        <f t="shared" si="1782"/>
        <v>KFH-OPERATIONS DEPARTMENT</v>
      </c>
      <c r="F4403" t="str">
        <f t="shared" si="1783"/>
        <v>IBG</v>
      </c>
      <c r="G4403" t="str">
        <f t="shared" si="1794"/>
        <v>Refund COSHARE 10</v>
      </c>
      <c r="H4403" s="2">
        <v>1016.3</v>
      </c>
      <c r="I4403" t="str">
        <f>"HIRMA BIN MD TAHIR"</f>
        <v>HIRMA BIN MD TAHIR</v>
      </c>
      <c r="J4403" t="str">
        <f t="shared" si="1797"/>
        <v>MAYBANK / MAYBANK ISLAMIC</v>
      </c>
      <c r="K4403" t="str">
        <f>"155135104084"</f>
        <v>155135104084</v>
      </c>
      <c r="L4403" t="str">
        <f t="shared" si="1800"/>
        <v>04-08-2020</v>
      </c>
      <c r="M4403" t="str">
        <f t="shared" si="1800"/>
        <v>04-08-2020</v>
      </c>
      <c r="N4403" t="str">
        <f t="shared" si="1784"/>
        <v>001105018356</v>
      </c>
      <c r="O4403" t="str">
        <f t="shared" si="1785"/>
        <v>MYR</v>
      </c>
      <c r="P4403" t="str">
        <f t="shared" si="1801"/>
        <v>NIL</v>
      </c>
      <c r="Q4403" t="str">
        <f t="shared" si="1801"/>
        <v>NIL</v>
      </c>
      <c r="R4403" t="str">
        <f t="shared" si="1786"/>
        <v>Accepted</v>
      </c>
      <c r="S4403" t="str">
        <f t="shared" si="1787"/>
        <v>Approved</v>
      </c>
      <c r="T4403" t="str">
        <f t="shared" si="1788"/>
        <v>10.20.8.188</v>
      </c>
      <c r="U4403" t="str">
        <f t="shared" si="1789"/>
        <v>AZRAD UMAR BIN SHAARI</v>
      </c>
      <c r="V4403" t="str">
        <f t="shared" si="1790"/>
        <v>FARHANA BINTI MUSTAPA</v>
      </c>
      <c r="W4403" t="str">
        <f t="shared" si="1791"/>
        <v>04-08-2020</v>
      </c>
      <c r="X4403" t="str">
        <f t="shared" si="1792"/>
        <v>RAZIMAH ANSAR AHMAD</v>
      </c>
      <c r="Y4403" t="str">
        <f t="shared" si="1793"/>
        <v>04-08-2020</v>
      </c>
      <c r="Z4403" t="str">
        <f>"COS10200804 4751"</f>
        <v>COS10200804 4751</v>
      </c>
    </row>
    <row r="4404" spans="1:26" x14ac:dyDescent="0.25">
      <c r="A4404" t="str">
        <f t="shared" si="1798"/>
        <v>04-08-2020 12:50:26</v>
      </c>
      <c r="B4404" t="str">
        <f>"0000806531"</f>
        <v>0000806531</v>
      </c>
      <c r="C4404" t="str">
        <f t="shared" si="1799"/>
        <v>0000806381</v>
      </c>
      <c r="D4404" t="str">
        <f t="shared" si="1781"/>
        <v>73185</v>
      </c>
      <c r="E4404" t="str">
        <f t="shared" si="1782"/>
        <v>KFH-OPERATIONS DEPARTMENT</v>
      </c>
      <c r="F4404" t="str">
        <f t="shared" si="1783"/>
        <v>IBG</v>
      </c>
      <c r="G4404" t="str">
        <f t="shared" si="1794"/>
        <v>Refund COSHARE 10</v>
      </c>
      <c r="H4404" s="2">
        <v>293.85000000000002</v>
      </c>
      <c r="I4404" t="str">
        <f>"HIPZAH BINTI HAMDAN"</f>
        <v>HIPZAH BINTI HAMDAN</v>
      </c>
      <c r="J4404" t="str">
        <f t="shared" si="1797"/>
        <v>MAYBANK / MAYBANK ISLAMIC</v>
      </c>
      <c r="K4404" t="str">
        <f>"162197288243"</f>
        <v>162197288243</v>
      </c>
      <c r="L4404" t="str">
        <f t="shared" si="1800"/>
        <v>04-08-2020</v>
      </c>
      <c r="M4404" t="str">
        <f t="shared" si="1800"/>
        <v>04-08-2020</v>
      </c>
      <c r="N4404" t="str">
        <f t="shared" si="1784"/>
        <v>001105018356</v>
      </c>
      <c r="O4404" t="str">
        <f t="shared" si="1785"/>
        <v>MYR</v>
      </c>
      <c r="P4404" t="str">
        <f t="shared" si="1801"/>
        <v>NIL</v>
      </c>
      <c r="Q4404" t="str">
        <f t="shared" si="1801"/>
        <v>NIL</v>
      </c>
      <c r="R4404" t="str">
        <f t="shared" si="1786"/>
        <v>Accepted</v>
      </c>
      <c r="S4404" t="str">
        <f t="shared" si="1787"/>
        <v>Approved</v>
      </c>
      <c r="T4404" t="str">
        <f t="shared" si="1788"/>
        <v>10.20.8.188</v>
      </c>
      <c r="U4404" t="str">
        <f t="shared" si="1789"/>
        <v>AZRAD UMAR BIN SHAARI</v>
      </c>
      <c r="V4404" t="str">
        <f t="shared" si="1790"/>
        <v>FARHANA BINTI MUSTAPA</v>
      </c>
      <c r="W4404" t="str">
        <f t="shared" si="1791"/>
        <v>04-08-2020</v>
      </c>
      <c r="X4404" t="str">
        <f t="shared" si="1792"/>
        <v>RAZIMAH ANSAR AHMAD</v>
      </c>
      <c r="Y4404" t="str">
        <f t="shared" si="1793"/>
        <v>04-08-2020</v>
      </c>
      <c r="Z4404" t="str">
        <f>"COS10200804 4750"</f>
        <v>COS10200804 4750</v>
      </c>
    </row>
    <row r="4405" spans="1:26" x14ac:dyDescent="0.25">
      <c r="A4405" t="str">
        <f t="shared" si="1798"/>
        <v>04-08-2020 12:50:26</v>
      </c>
      <c r="B4405" t="str">
        <f>"0000806530"</f>
        <v>0000806530</v>
      </c>
      <c r="C4405" t="str">
        <f t="shared" si="1799"/>
        <v>0000806381</v>
      </c>
      <c r="D4405" t="str">
        <f t="shared" si="1781"/>
        <v>73185</v>
      </c>
      <c r="E4405" t="str">
        <f t="shared" si="1782"/>
        <v>KFH-OPERATIONS DEPARTMENT</v>
      </c>
      <c r="F4405" t="str">
        <f t="shared" si="1783"/>
        <v>IBG</v>
      </c>
      <c r="G4405" t="str">
        <f t="shared" si="1794"/>
        <v>Refund COSHARE 10</v>
      </c>
      <c r="H4405" s="2">
        <v>142.75</v>
      </c>
      <c r="I4405" t="str">
        <f>"HIPNI BIN YAMAN"</f>
        <v>HIPNI BIN YAMAN</v>
      </c>
      <c r="J4405" t="str">
        <f t="shared" si="1797"/>
        <v>MAYBANK / MAYBANK ISLAMIC</v>
      </c>
      <c r="K4405" t="str">
        <f>"111084154588"</f>
        <v>111084154588</v>
      </c>
      <c r="L4405" t="str">
        <f t="shared" si="1800"/>
        <v>04-08-2020</v>
      </c>
      <c r="M4405" t="str">
        <f t="shared" si="1800"/>
        <v>04-08-2020</v>
      </c>
      <c r="N4405" t="str">
        <f t="shared" si="1784"/>
        <v>001105018356</v>
      </c>
      <c r="O4405" t="str">
        <f t="shared" si="1785"/>
        <v>MYR</v>
      </c>
      <c r="P4405" t="str">
        <f t="shared" si="1801"/>
        <v>NIL</v>
      </c>
      <c r="Q4405" t="str">
        <f t="shared" si="1801"/>
        <v>NIL</v>
      </c>
      <c r="R4405" t="str">
        <f t="shared" si="1786"/>
        <v>Accepted</v>
      </c>
      <c r="S4405" t="str">
        <f t="shared" si="1787"/>
        <v>Approved</v>
      </c>
      <c r="T4405" t="str">
        <f t="shared" si="1788"/>
        <v>10.20.8.188</v>
      </c>
      <c r="U4405" t="str">
        <f t="shared" si="1789"/>
        <v>AZRAD UMAR BIN SHAARI</v>
      </c>
      <c r="V4405" t="str">
        <f t="shared" si="1790"/>
        <v>FARHANA BINTI MUSTAPA</v>
      </c>
      <c r="W4405" t="str">
        <f t="shared" si="1791"/>
        <v>04-08-2020</v>
      </c>
      <c r="X4405" t="str">
        <f t="shared" si="1792"/>
        <v>RAZIMAH ANSAR AHMAD</v>
      </c>
      <c r="Y4405" t="str">
        <f t="shared" si="1793"/>
        <v>04-08-2020</v>
      </c>
      <c r="Z4405" t="str">
        <f>"COS10200804 4749"</f>
        <v>COS10200804 4749</v>
      </c>
    </row>
    <row r="4406" spans="1:26" x14ac:dyDescent="0.25">
      <c r="A4406" t="str">
        <f t="shared" si="1798"/>
        <v>04-08-2020 12:50:26</v>
      </c>
      <c r="B4406" t="str">
        <f>"0000806529"</f>
        <v>0000806529</v>
      </c>
      <c r="C4406" t="str">
        <f t="shared" si="1799"/>
        <v>0000806381</v>
      </c>
      <c r="D4406" t="str">
        <f t="shared" si="1781"/>
        <v>73185</v>
      </c>
      <c r="E4406" t="str">
        <f t="shared" si="1782"/>
        <v>KFH-OPERATIONS DEPARTMENT</v>
      </c>
      <c r="F4406" t="str">
        <f t="shared" si="1783"/>
        <v>IBG</v>
      </c>
      <c r="G4406" t="str">
        <f t="shared" si="1794"/>
        <v>Refund COSHARE 10</v>
      </c>
      <c r="H4406" s="2">
        <v>137</v>
      </c>
      <c r="I4406" t="str">
        <f>"HIPNI BIN YAMAN"</f>
        <v>HIPNI BIN YAMAN</v>
      </c>
      <c r="J4406" t="str">
        <f t="shared" si="1797"/>
        <v>MAYBANK / MAYBANK ISLAMIC</v>
      </c>
      <c r="K4406" t="str">
        <f>"111084154588"</f>
        <v>111084154588</v>
      </c>
      <c r="L4406" t="str">
        <f t="shared" si="1800"/>
        <v>04-08-2020</v>
      </c>
      <c r="M4406" t="str">
        <f t="shared" si="1800"/>
        <v>04-08-2020</v>
      </c>
      <c r="N4406" t="str">
        <f t="shared" si="1784"/>
        <v>001105018356</v>
      </c>
      <c r="O4406" t="str">
        <f t="shared" si="1785"/>
        <v>MYR</v>
      </c>
      <c r="P4406" t="str">
        <f t="shared" si="1801"/>
        <v>NIL</v>
      </c>
      <c r="Q4406" t="str">
        <f t="shared" si="1801"/>
        <v>NIL</v>
      </c>
      <c r="R4406" t="str">
        <f t="shared" si="1786"/>
        <v>Accepted</v>
      </c>
      <c r="S4406" t="str">
        <f t="shared" si="1787"/>
        <v>Approved</v>
      </c>
      <c r="T4406" t="str">
        <f t="shared" si="1788"/>
        <v>10.20.8.188</v>
      </c>
      <c r="U4406" t="str">
        <f t="shared" si="1789"/>
        <v>AZRAD UMAR BIN SHAARI</v>
      </c>
      <c r="V4406" t="str">
        <f t="shared" si="1790"/>
        <v>FARHANA BINTI MUSTAPA</v>
      </c>
      <c r="W4406" t="str">
        <f t="shared" si="1791"/>
        <v>04-08-2020</v>
      </c>
      <c r="X4406" t="str">
        <f t="shared" si="1792"/>
        <v>RAZIMAH ANSAR AHMAD</v>
      </c>
      <c r="Y4406" t="str">
        <f t="shared" si="1793"/>
        <v>04-08-2020</v>
      </c>
      <c r="Z4406" t="str">
        <f>"COS10200804 4748"</f>
        <v>COS10200804 4748</v>
      </c>
    </row>
    <row r="4407" spans="1:26" x14ac:dyDescent="0.25">
      <c r="A4407" t="str">
        <f t="shared" si="1798"/>
        <v>04-08-2020 12:50:26</v>
      </c>
      <c r="B4407" t="str">
        <f>"0000806528"</f>
        <v>0000806528</v>
      </c>
      <c r="C4407" t="str">
        <f t="shared" si="1799"/>
        <v>0000806381</v>
      </c>
      <c r="D4407" t="str">
        <f t="shared" si="1781"/>
        <v>73185</v>
      </c>
      <c r="E4407" t="str">
        <f t="shared" si="1782"/>
        <v>KFH-OPERATIONS DEPARTMENT</v>
      </c>
      <c r="F4407" t="str">
        <f t="shared" si="1783"/>
        <v>IBG</v>
      </c>
      <c r="G4407" t="str">
        <f t="shared" si="1794"/>
        <v>Refund COSHARE 10</v>
      </c>
      <c r="H4407" s="2">
        <v>461.75</v>
      </c>
      <c r="I4407" t="str">
        <f>"HILMI BIN NAWI"</f>
        <v>HILMI BIN NAWI</v>
      </c>
      <c r="J4407" t="str">
        <f t="shared" si="1797"/>
        <v>MAYBANK / MAYBANK ISLAMIC</v>
      </c>
      <c r="K4407" t="str">
        <f>"161190061531"</f>
        <v>161190061531</v>
      </c>
      <c r="L4407" t="str">
        <f t="shared" ref="L4407:M4426" si="1802">"04-08-2020"</f>
        <v>04-08-2020</v>
      </c>
      <c r="M4407" t="str">
        <f t="shared" si="1802"/>
        <v>04-08-2020</v>
      </c>
      <c r="N4407" t="str">
        <f t="shared" si="1784"/>
        <v>001105018356</v>
      </c>
      <c r="O4407" t="str">
        <f t="shared" si="1785"/>
        <v>MYR</v>
      </c>
      <c r="P4407" t="str">
        <f t="shared" ref="P4407:Q4426" si="1803">"NIL"</f>
        <v>NIL</v>
      </c>
      <c r="Q4407" t="str">
        <f t="shared" si="1803"/>
        <v>NIL</v>
      </c>
      <c r="R4407" t="str">
        <f t="shared" si="1786"/>
        <v>Accepted</v>
      </c>
      <c r="S4407" t="str">
        <f t="shared" si="1787"/>
        <v>Approved</v>
      </c>
      <c r="T4407" t="str">
        <f t="shared" si="1788"/>
        <v>10.20.8.188</v>
      </c>
      <c r="U4407" t="str">
        <f t="shared" si="1789"/>
        <v>AZRAD UMAR BIN SHAARI</v>
      </c>
      <c r="V4407" t="str">
        <f t="shared" si="1790"/>
        <v>FARHANA BINTI MUSTAPA</v>
      </c>
      <c r="W4407" t="str">
        <f t="shared" si="1791"/>
        <v>04-08-2020</v>
      </c>
      <c r="X4407" t="str">
        <f t="shared" si="1792"/>
        <v>RAZIMAH ANSAR AHMAD</v>
      </c>
      <c r="Y4407" t="str">
        <f t="shared" si="1793"/>
        <v>04-08-2020</v>
      </c>
      <c r="Z4407" t="str">
        <f>"COS10200804 4747"</f>
        <v>COS10200804 4747</v>
      </c>
    </row>
    <row r="4408" spans="1:26" x14ac:dyDescent="0.25">
      <c r="A4408" t="str">
        <f t="shared" si="1798"/>
        <v>04-08-2020 12:50:26</v>
      </c>
      <c r="B4408" t="str">
        <f>"0000806527"</f>
        <v>0000806527</v>
      </c>
      <c r="C4408" t="str">
        <f t="shared" si="1799"/>
        <v>0000806381</v>
      </c>
      <c r="D4408" t="str">
        <f t="shared" si="1781"/>
        <v>73185</v>
      </c>
      <c r="E4408" t="str">
        <f t="shared" si="1782"/>
        <v>KFH-OPERATIONS DEPARTMENT</v>
      </c>
      <c r="F4408" t="str">
        <f t="shared" si="1783"/>
        <v>IBG</v>
      </c>
      <c r="G4408" t="str">
        <f t="shared" si="1794"/>
        <v>Refund COSHARE 10</v>
      </c>
      <c r="H4408" s="2">
        <v>486.95</v>
      </c>
      <c r="I4408" t="str">
        <f>"HILMI BIN HASSIN"</f>
        <v>HILMI BIN HASSIN</v>
      </c>
      <c r="J4408" t="str">
        <f t="shared" si="1797"/>
        <v>MAYBANK / MAYBANK ISLAMIC</v>
      </c>
      <c r="K4408" t="str">
        <f>"158015182667"</f>
        <v>158015182667</v>
      </c>
      <c r="L4408" t="str">
        <f t="shared" si="1802"/>
        <v>04-08-2020</v>
      </c>
      <c r="M4408" t="str">
        <f t="shared" si="1802"/>
        <v>04-08-2020</v>
      </c>
      <c r="N4408" t="str">
        <f t="shared" si="1784"/>
        <v>001105018356</v>
      </c>
      <c r="O4408" t="str">
        <f t="shared" si="1785"/>
        <v>MYR</v>
      </c>
      <c r="P4408" t="str">
        <f t="shared" si="1803"/>
        <v>NIL</v>
      </c>
      <c r="Q4408" t="str">
        <f t="shared" si="1803"/>
        <v>NIL</v>
      </c>
      <c r="R4408" t="str">
        <f t="shared" si="1786"/>
        <v>Accepted</v>
      </c>
      <c r="S4408" t="str">
        <f t="shared" si="1787"/>
        <v>Approved</v>
      </c>
      <c r="T4408" t="str">
        <f t="shared" si="1788"/>
        <v>10.20.8.188</v>
      </c>
      <c r="U4408" t="str">
        <f t="shared" si="1789"/>
        <v>AZRAD UMAR BIN SHAARI</v>
      </c>
      <c r="V4408" t="str">
        <f t="shared" si="1790"/>
        <v>FARHANA BINTI MUSTAPA</v>
      </c>
      <c r="W4408" t="str">
        <f t="shared" si="1791"/>
        <v>04-08-2020</v>
      </c>
      <c r="X4408" t="str">
        <f t="shared" si="1792"/>
        <v>RAZIMAH ANSAR AHMAD</v>
      </c>
      <c r="Y4408" t="str">
        <f t="shared" si="1793"/>
        <v>04-08-2020</v>
      </c>
      <c r="Z4408" t="str">
        <f>"COS10200804 4746"</f>
        <v>COS10200804 4746</v>
      </c>
    </row>
    <row r="4409" spans="1:26" x14ac:dyDescent="0.25">
      <c r="A4409" t="str">
        <f t="shared" si="1798"/>
        <v>04-08-2020 12:50:26</v>
      </c>
      <c r="B4409" t="str">
        <f>"0000806526"</f>
        <v>0000806526</v>
      </c>
      <c r="C4409" t="str">
        <f t="shared" si="1799"/>
        <v>0000806381</v>
      </c>
      <c r="D4409" t="str">
        <f t="shared" si="1781"/>
        <v>73185</v>
      </c>
      <c r="E4409" t="str">
        <f t="shared" si="1782"/>
        <v>KFH-OPERATIONS DEPARTMENT</v>
      </c>
      <c r="F4409" t="str">
        <f t="shared" si="1783"/>
        <v>IBG</v>
      </c>
      <c r="G4409" t="str">
        <f t="shared" si="1794"/>
        <v>Refund COSHARE 10</v>
      </c>
      <c r="H4409" s="2">
        <v>486.95</v>
      </c>
      <c r="I4409" t="str">
        <f>"HILMI BIN HASSIN"</f>
        <v>HILMI BIN HASSIN</v>
      </c>
      <c r="J4409" t="str">
        <f t="shared" si="1797"/>
        <v>MAYBANK / MAYBANK ISLAMIC</v>
      </c>
      <c r="K4409" t="str">
        <f>"158015182667"</f>
        <v>158015182667</v>
      </c>
      <c r="L4409" t="str">
        <f t="shared" si="1802"/>
        <v>04-08-2020</v>
      </c>
      <c r="M4409" t="str">
        <f t="shared" si="1802"/>
        <v>04-08-2020</v>
      </c>
      <c r="N4409" t="str">
        <f t="shared" si="1784"/>
        <v>001105018356</v>
      </c>
      <c r="O4409" t="str">
        <f t="shared" si="1785"/>
        <v>MYR</v>
      </c>
      <c r="P4409" t="str">
        <f t="shared" si="1803"/>
        <v>NIL</v>
      </c>
      <c r="Q4409" t="str">
        <f t="shared" si="1803"/>
        <v>NIL</v>
      </c>
      <c r="R4409" t="str">
        <f t="shared" si="1786"/>
        <v>Accepted</v>
      </c>
      <c r="S4409" t="str">
        <f t="shared" si="1787"/>
        <v>Approved</v>
      </c>
      <c r="T4409" t="str">
        <f t="shared" si="1788"/>
        <v>10.20.8.188</v>
      </c>
      <c r="U4409" t="str">
        <f t="shared" si="1789"/>
        <v>AZRAD UMAR BIN SHAARI</v>
      </c>
      <c r="V4409" t="str">
        <f t="shared" si="1790"/>
        <v>FARHANA BINTI MUSTAPA</v>
      </c>
      <c r="W4409" t="str">
        <f t="shared" si="1791"/>
        <v>04-08-2020</v>
      </c>
      <c r="X4409" t="str">
        <f t="shared" si="1792"/>
        <v>RAZIMAH ANSAR AHMAD</v>
      </c>
      <c r="Y4409" t="str">
        <f t="shared" si="1793"/>
        <v>04-08-2020</v>
      </c>
      <c r="Z4409" t="str">
        <f>"COS10200804 4745"</f>
        <v>COS10200804 4745</v>
      </c>
    </row>
    <row r="4410" spans="1:26" x14ac:dyDescent="0.25">
      <c r="A4410" t="str">
        <f t="shared" si="1798"/>
        <v>04-08-2020 12:50:26</v>
      </c>
      <c r="B4410" t="str">
        <f>"0000806525"</f>
        <v>0000806525</v>
      </c>
      <c r="C4410" t="str">
        <f t="shared" si="1799"/>
        <v>0000806381</v>
      </c>
      <c r="D4410" t="str">
        <f t="shared" si="1781"/>
        <v>73185</v>
      </c>
      <c r="E4410" t="str">
        <f t="shared" si="1782"/>
        <v>KFH-OPERATIONS DEPARTMENT</v>
      </c>
      <c r="F4410" t="str">
        <f t="shared" si="1783"/>
        <v>IBG</v>
      </c>
      <c r="G4410" t="str">
        <f t="shared" si="1794"/>
        <v>Refund COSHARE 10</v>
      </c>
      <c r="H4410" s="2">
        <v>1518</v>
      </c>
      <c r="I4410" t="str">
        <f>"HII HUNG SIENG"</f>
        <v>HII HUNG SIENG</v>
      </c>
      <c r="J4410" t="str">
        <f t="shared" si="1797"/>
        <v>MAYBANK / MAYBANK ISLAMIC</v>
      </c>
      <c r="K4410" t="str">
        <f>"110014023461"</f>
        <v>110014023461</v>
      </c>
      <c r="L4410" t="str">
        <f t="shared" si="1802"/>
        <v>04-08-2020</v>
      </c>
      <c r="M4410" t="str">
        <f t="shared" si="1802"/>
        <v>04-08-2020</v>
      </c>
      <c r="N4410" t="str">
        <f t="shared" si="1784"/>
        <v>001105018356</v>
      </c>
      <c r="O4410" t="str">
        <f t="shared" si="1785"/>
        <v>MYR</v>
      </c>
      <c r="P4410" t="str">
        <f t="shared" si="1803"/>
        <v>NIL</v>
      </c>
      <c r="Q4410" t="str">
        <f t="shared" si="1803"/>
        <v>NIL</v>
      </c>
      <c r="R4410" t="str">
        <f t="shared" si="1786"/>
        <v>Accepted</v>
      </c>
      <c r="S4410" t="str">
        <f t="shared" si="1787"/>
        <v>Approved</v>
      </c>
      <c r="T4410" t="str">
        <f t="shared" si="1788"/>
        <v>10.20.8.188</v>
      </c>
      <c r="U4410" t="str">
        <f t="shared" si="1789"/>
        <v>AZRAD UMAR BIN SHAARI</v>
      </c>
      <c r="V4410" t="str">
        <f t="shared" si="1790"/>
        <v>FARHANA BINTI MUSTAPA</v>
      </c>
      <c r="W4410" t="str">
        <f t="shared" si="1791"/>
        <v>04-08-2020</v>
      </c>
      <c r="X4410" t="str">
        <f t="shared" si="1792"/>
        <v>RAZIMAH ANSAR AHMAD</v>
      </c>
      <c r="Y4410" t="str">
        <f t="shared" si="1793"/>
        <v>04-08-2020</v>
      </c>
      <c r="Z4410" t="str">
        <f>"COS10200804 4744"</f>
        <v>COS10200804 4744</v>
      </c>
    </row>
    <row r="4411" spans="1:26" x14ac:dyDescent="0.25">
      <c r="A4411" t="str">
        <f t="shared" si="1798"/>
        <v>04-08-2020 12:50:26</v>
      </c>
      <c r="B4411" t="str">
        <f>"0000806524"</f>
        <v>0000806524</v>
      </c>
      <c r="C4411" t="str">
        <f t="shared" si="1799"/>
        <v>0000806381</v>
      </c>
      <c r="D4411" t="str">
        <f t="shared" si="1781"/>
        <v>73185</v>
      </c>
      <c r="E4411" t="str">
        <f t="shared" si="1782"/>
        <v>KFH-OPERATIONS DEPARTMENT</v>
      </c>
      <c r="F4411" t="str">
        <f t="shared" si="1783"/>
        <v>IBG</v>
      </c>
      <c r="G4411" t="str">
        <f t="shared" si="1794"/>
        <v>Refund COSHARE 10</v>
      </c>
      <c r="H4411" s="2">
        <v>191</v>
      </c>
      <c r="I4411" t="str">
        <f>"HII HUNG GING"</f>
        <v>HII HUNG GING</v>
      </c>
      <c r="J4411" t="str">
        <f t="shared" si="1797"/>
        <v>MAYBANK / MAYBANK ISLAMIC</v>
      </c>
      <c r="K4411" t="str">
        <f>"111216110408"</f>
        <v>111216110408</v>
      </c>
      <c r="L4411" t="str">
        <f t="shared" si="1802"/>
        <v>04-08-2020</v>
      </c>
      <c r="M4411" t="str">
        <f t="shared" si="1802"/>
        <v>04-08-2020</v>
      </c>
      <c r="N4411" t="str">
        <f t="shared" si="1784"/>
        <v>001105018356</v>
      </c>
      <c r="O4411" t="str">
        <f t="shared" si="1785"/>
        <v>MYR</v>
      </c>
      <c r="P4411" t="str">
        <f t="shared" si="1803"/>
        <v>NIL</v>
      </c>
      <c r="Q4411" t="str">
        <f t="shared" si="1803"/>
        <v>NIL</v>
      </c>
      <c r="R4411" t="str">
        <f t="shared" si="1786"/>
        <v>Accepted</v>
      </c>
      <c r="S4411" t="str">
        <f t="shared" si="1787"/>
        <v>Approved</v>
      </c>
      <c r="T4411" t="str">
        <f t="shared" si="1788"/>
        <v>10.20.8.188</v>
      </c>
      <c r="U4411" t="str">
        <f t="shared" si="1789"/>
        <v>AZRAD UMAR BIN SHAARI</v>
      </c>
      <c r="V4411" t="str">
        <f t="shared" si="1790"/>
        <v>FARHANA BINTI MUSTAPA</v>
      </c>
      <c r="W4411" t="str">
        <f t="shared" si="1791"/>
        <v>04-08-2020</v>
      </c>
      <c r="X4411" t="str">
        <f t="shared" si="1792"/>
        <v>RAZIMAH ANSAR AHMAD</v>
      </c>
      <c r="Y4411" t="str">
        <f t="shared" si="1793"/>
        <v>04-08-2020</v>
      </c>
      <c r="Z4411" t="str">
        <f>"COS10200804 4743"</f>
        <v>COS10200804 4743</v>
      </c>
    </row>
    <row r="4412" spans="1:26" x14ac:dyDescent="0.25">
      <c r="A4412" t="str">
        <f t="shared" si="1798"/>
        <v>04-08-2020 12:50:26</v>
      </c>
      <c r="B4412" t="str">
        <f>"0000806523"</f>
        <v>0000806523</v>
      </c>
      <c r="C4412" t="str">
        <f t="shared" si="1799"/>
        <v>0000806381</v>
      </c>
      <c r="D4412" t="str">
        <f t="shared" si="1781"/>
        <v>73185</v>
      </c>
      <c r="E4412" t="str">
        <f t="shared" si="1782"/>
        <v>KFH-OPERATIONS DEPARTMENT</v>
      </c>
      <c r="F4412" t="str">
        <f t="shared" si="1783"/>
        <v>IBG</v>
      </c>
      <c r="G4412" t="str">
        <f t="shared" si="1794"/>
        <v>Refund COSHARE 10</v>
      </c>
      <c r="H4412" s="2">
        <v>554.1</v>
      </c>
      <c r="I4412" t="str">
        <f>"HIDAYAH BINTI NGALIMAN"</f>
        <v>HIDAYAH BINTI NGALIMAN</v>
      </c>
      <c r="J4412" t="str">
        <f t="shared" si="1797"/>
        <v>MAYBANK / MAYBANK ISLAMIC</v>
      </c>
      <c r="K4412" t="str">
        <f>"162049782683"</f>
        <v>162049782683</v>
      </c>
      <c r="L4412" t="str">
        <f t="shared" si="1802"/>
        <v>04-08-2020</v>
      </c>
      <c r="M4412" t="str">
        <f t="shared" si="1802"/>
        <v>04-08-2020</v>
      </c>
      <c r="N4412" t="str">
        <f t="shared" si="1784"/>
        <v>001105018356</v>
      </c>
      <c r="O4412" t="str">
        <f t="shared" si="1785"/>
        <v>MYR</v>
      </c>
      <c r="P4412" t="str">
        <f t="shared" si="1803"/>
        <v>NIL</v>
      </c>
      <c r="Q4412" t="str">
        <f t="shared" si="1803"/>
        <v>NIL</v>
      </c>
      <c r="R4412" t="str">
        <f t="shared" si="1786"/>
        <v>Accepted</v>
      </c>
      <c r="S4412" t="str">
        <f t="shared" si="1787"/>
        <v>Approved</v>
      </c>
      <c r="T4412" t="str">
        <f t="shared" si="1788"/>
        <v>10.20.8.188</v>
      </c>
      <c r="U4412" t="str">
        <f t="shared" si="1789"/>
        <v>AZRAD UMAR BIN SHAARI</v>
      </c>
      <c r="V4412" t="str">
        <f t="shared" si="1790"/>
        <v>FARHANA BINTI MUSTAPA</v>
      </c>
      <c r="W4412" t="str">
        <f t="shared" si="1791"/>
        <v>04-08-2020</v>
      </c>
      <c r="X4412" t="str">
        <f t="shared" si="1792"/>
        <v>RAZIMAH ANSAR AHMAD</v>
      </c>
      <c r="Y4412" t="str">
        <f t="shared" si="1793"/>
        <v>04-08-2020</v>
      </c>
      <c r="Z4412" t="str">
        <f>"COS10200804 4742"</f>
        <v>COS10200804 4742</v>
      </c>
    </row>
    <row r="4413" spans="1:26" x14ac:dyDescent="0.25">
      <c r="A4413" t="str">
        <f t="shared" si="1798"/>
        <v>04-08-2020 12:50:26</v>
      </c>
      <c r="B4413" t="str">
        <f>"0000806522"</f>
        <v>0000806522</v>
      </c>
      <c r="C4413" t="str">
        <f t="shared" si="1799"/>
        <v>0000806381</v>
      </c>
      <c r="D4413" t="str">
        <f t="shared" si="1781"/>
        <v>73185</v>
      </c>
      <c r="E4413" t="str">
        <f t="shared" si="1782"/>
        <v>KFH-OPERATIONS DEPARTMENT</v>
      </c>
      <c r="F4413" t="str">
        <f t="shared" si="1783"/>
        <v>IBG</v>
      </c>
      <c r="G4413" t="str">
        <f t="shared" si="1794"/>
        <v>Refund COSHARE 10</v>
      </c>
      <c r="H4413" s="2">
        <v>168.9</v>
      </c>
      <c r="I4413" t="str">
        <f>"HEZLIYANA BINTI HUSIN"</f>
        <v>HEZLIYANA BINTI HUSIN</v>
      </c>
      <c r="J4413" t="str">
        <f t="shared" si="1797"/>
        <v>MAYBANK / MAYBANK ISLAMIC</v>
      </c>
      <c r="K4413" t="str">
        <f>"162021264159"</f>
        <v>162021264159</v>
      </c>
      <c r="L4413" t="str">
        <f t="shared" si="1802"/>
        <v>04-08-2020</v>
      </c>
      <c r="M4413" t="str">
        <f t="shared" si="1802"/>
        <v>04-08-2020</v>
      </c>
      <c r="N4413" t="str">
        <f t="shared" si="1784"/>
        <v>001105018356</v>
      </c>
      <c r="O4413" t="str">
        <f t="shared" si="1785"/>
        <v>MYR</v>
      </c>
      <c r="P4413" t="str">
        <f t="shared" si="1803"/>
        <v>NIL</v>
      </c>
      <c r="Q4413" t="str">
        <f t="shared" si="1803"/>
        <v>NIL</v>
      </c>
      <c r="R4413" t="str">
        <f t="shared" si="1786"/>
        <v>Accepted</v>
      </c>
      <c r="S4413" t="str">
        <f t="shared" si="1787"/>
        <v>Approved</v>
      </c>
      <c r="T4413" t="str">
        <f t="shared" si="1788"/>
        <v>10.20.8.188</v>
      </c>
      <c r="U4413" t="str">
        <f t="shared" si="1789"/>
        <v>AZRAD UMAR BIN SHAARI</v>
      </c>
      <c r="V4413" t="str">
        <f t="shared" si="1790"/>
        <v>FARHANA BINTI MUSTAPA</v>
      </c>
      <c r="W4413" t="str">
        <f t="shared" si="1791"/>
        <v>04-08-2020</v>
      </c>
      <c r="X4413" t="str">
        <f t="shared" si="1792"/>
        <v>RAZIMAH ANSAR AHMAD</v>
      </c>
      <c r="Y4413" t="str">
        <f t="shared" si="1793"/>
        <v>04-08-2020</v>
      </c>
      <c r="Z4413" t="str">
        <f>"COS10200804 4741"</f>
        <v>COS10200804 4741</v>
      </c>
    </row>
    <row r="4414" spans="1:26" x14ac:dyDescent="0.25">
      <c r="A4414" t="str">
        <f t="shared" si="1798"/>
        <v>04-08-2020 12:50:26</v>
      </c>
      <c r="B4414" t="str">
        <f>"0000806521"</f>
        <v>0000806521</v>
      </c>
      <c r="C4414" t="str">
        <f t="shared" si="1799"/>
        <v>0000806381</v>
      </c>
      <c r="D4414" t="str">
        <f t="shared" si="1781"/>
        <v>73185</v>
      </c>
      <c r="E4414" t="str">
        <f t="shared" si="1782"/>
        <v>KFH-OPERATIONS DEPARTMENT</v>
      </c>
      <c r="F4414" t="str">
        <f t="shared" si="1783"/>
        <v>IBG</v>
      </c>
      <c r="G4414" t="str">
        <f t="shared" si="1794"/>
        <v>Refund COSHARE 10</v>
      </c>
      <c r="H4414" s="2">
        <v>864.7</v>
      </c>
      <c r="I4414" t="str">
        <f>"HERISAFRI BIN BAKRY"</f>
        <v>HERISAFRI BIN BAKRY</v>
      </c>
      <c r="J4414" t="str">
        <f t="shared" si="1797"/>
        <v>MAYBANK / MAYBANK ISLAMIC</v>
      </c>
      <c r="K4414" t="str">
        <f>"101075521506"</f>
        <v>101075521506</v>
      </c>
      <c r="L4414" t="str">
        <f t="shared" si="1802"/>
        <v>04-08-2020</v>
      </c>
      <c r="M4414" t="str">
        <f t="shared" si="1802"/>
        <v>04-08-2020</v>
      </c>
      <c r="N4414" t="str">
        <f t="shared" si="1784"/>
        <v>001105018356</v>
      </c>
      <c r="O4414" t="str">
        <f t="shared" si="1785"/>
        <v>MYR</v>
      </c>
      <c r="P4414" t="str">
        <f t="shared" si="1803"/>
        <v>NIL</v>
      </c>
      <c r="Q4414" t="str">
        <f t="shared" si="1803"/>
        <v>NIL</v>
      </c>
      <c r="R4414" t="str">
        <f t="shared" si="1786"/>
        <v>Accepted</v>
      </c>
      <c r="S4414" t="str">
        <f t="shared" si="1787"/>
        <v>Approved</v>
      </c>
      <c r="T4414" t="str">
        <f t="shared" si="1788"/>
        <v>10.20.8.188</v>
      </c>
      <c r="U4414" t="str">
        <f t="shared" si="1789"/>
        <v>AZRAD UMAR BIN SHAARI</v>
      </c>
      <c r="V4414" t="str">
        <f t="shared" si="1790"/>
        <v>FARHANA BINTI MUSTAPA</v>
      </c>
      <c r="W4414" t="str">
        <f t="shared" si="1791"/>
        <v>04-08-2020</v>
      </c>
      <c r="X4414" t="str">
        <f t="shared" si="1792"/>
        <v>RAZIMAH ANSAR AHMAD</v>
      </c>
      <c r="Y4414" t="str">
        <f t="shared" si="1793"/>
        <v>04-08-2020</v>
      </c>
      <c r="Z4414" t="str">
        <f>"COS10200804 4740"</f>
        <v>COS10200804 4740</v>
      </c>
    </row>
    <row r="4415" spans="1:26" x14ac:dyDescent="0.25">
      <c r="A4415" t="str">
        <f t="shared" si="1798"/>
        <v>04-08-2020 12:50:26</v>
      </c>
      <c r="B4415" t="str">
        <f>"0000806520"</f>
        <v>0000806520</v>
      </c>
      <c r="C4415" t="str">
        <f t="shared" si="1799"/>
        <v>0000806381</v>
      </c>
      <c r="D4415" t="str">
        <f t="shared" si="1781"/>
        <v>73185</v>
      </c>
      <c r="E4415" t="str">
        <f t="shared" si="1782"/>
        <v>KFH-OPERATIONS DEPARTMENT</v>
      </c>
      <c r="F4415" t="str">
        <f t="shared" si="1783"/>
        <v>IBG</v>
      </c>
      <c r="G4415" t="str">
        <f t="shared" si="1794"/>
        <v>Refund COSHARE 10</v>
      </c>
      <c r="H4415" s="2">
        <v>571.70000000000005</v>
      </c>
      <c r="I4415" t="str">
        <f>"HENDRY ANAK KUDA"</f>
        <v>HENDRY ANAK KUDA</v>
      </c>
      <c r="J4415" t="str">
        <f t="shared" si="1797"/>
        <v>MAYBANK / MAYBANK ISLAMIC</v>
      </c>
      <c r="K4415" t="str">
        <f>"101196198122"</f>
        <v>101196198122</v>
      </c>
      <c r="L4415" t="str">
        <f t="shared" si="1802"/>
        <v>04-08-2020</v>
      </c>
      <c r="M4415" t="str">
        <f t="shared" si="1802"/>
        <v>04-08-2020</v>
      </c>
      <c r="N4415" t="str">
        <f t="shared" si="1784"/>
        <v>001105018356</v>
      </c>
      <c r="O4415" t="str">
        <f t="shared" si="1785"/>
        <v>MYR</v>
      </c>
      <c r="P4415" t="str">
        <f t="shared" si="1803"/>
        <v>NIL</v>
      </c>
      <c r="Q4415" t="str">
        <f t="shared" si="1803"/>
        <v>NIL</v>
      </c>
      <c r="R4415" t="str">
        <f t="shared" si="1786"/>
        <v>Accepted</v>
      </c>
      <c r="S4415" t="str">
        <f t="shared" si="1787"/>
        <v>Approved</v>
      </c>
      <c r="T4415" t="str">
        <f t="shared" si="1788"/>
        <v>10.20.8.188</v>
      </c>
      <c r="U4415" t="str">
        <f t="shared" si="1789"/>
        <v>AZRAD UMAR BIN SHAARI</v>
      </c>
      <c r="V4415" t="str">
        <f t="shared" si="1790"/>
        <v>FARHANA BINTI MUSTAPA</v>
      </c>
      <c r="W4415" t="str">
        <f t="shared" si="1791"/>
        <v>04-08-2020</v>
      </c>
      <c r="X4415" t="str">
        <f t="shared" si="1792"/>
        <v>RAZIMAH ANSAR AHMAD</v>
      </c>
      <c r="Y4415" t="str">
        <f t="shared" si="1793"/>
        <v>04-08-2020</v>
      </c>
      <c r="Z4415" t="str">
        <f>"COS10200804 4739"</f>
        <v>COS10200804 4739</v>
      </c>
    </row>
    <row r="4416" spans="1:26" x14ac:dyDescent="0.25">
      <c r="A4416" t="str">
        <f t="shared" si="1798"/>
        <v>04-08-2020 12:50:26</v>
      </c>
      <c r="B4416" t="str">
        <f>"0000806519"</f>
        <v>0000806519</v>
      </c>
      <c r="C4416" t="str">
        <f t="shared" si="1799"/>
        <v>0000806381</v>
      </c>
      <c r="D4416" t="str">
        <f t="shared" si="1781"/>
        <v>73185</v>
      </c>
      <c r="E4416" t="str">
        <f t="shared" si="1782"/>
        <v>KFH-OPERATIONS DEPARTMENT</v>
      </c>
      <c r="F4416" t="str">
        <f t="shared" si="1783"/>
        <v>IBG</v>
      </c>
      <c r="G4416" t="str">
        <f t="shared" si="1794"/>
        <v>Refund COSHARE 10</v>
      </c>
      <c r="H4416" s="2">
        <v>185</v>
      </c>
      <c r="I4416" t="str">
        <f>"HEMAH BINTI IBRAHIM"</f>
        <v>HEMAH BINTI IBRAHIM</v>
      </c>
      <c r="J4416" t="str">
        <f t="shared" si="1797"/>
        <v>MAYBANK / MAYBANK ISLAMIC</v>
      </c>
      <c r="K4416" t="str">
        <f>"111104090048"</f>
        <v>111104090048</v>
      </c>
      <c r="L4416" t="str">
        <f t="shared" si="1802"/>
        <v>04-08-2020</v>
      </c>
      <c r="M4416" t="str">
        <f t="shared" si="1802"/>
        <v>04-08-2020</v>
      </c>
      <c r="N4416" t="str">
        <f t="shared" si="1784"/>
        <v>001105018356</v>
      </c>
      <c r="O4416" t="str">
        <f t="shared" si="1785"/>
        <v>MYR</v>
      </c>
      <c r="P4416" t="str">
        <f t="shared" si="1803"/>
        <v>NIL</v>
      </c>
      <c r="Q4416" t="str">
        <f t="shared" si="1803"/>
        <v>NIL</v>
      </c>
      <c r="R4416" t="str">
        <f t="shared" si="1786"/>
        <v>Accepted</v>
      </c>
      <c r="S4416" t="str">
        <f t="shared" si="1787"/>
        <v>Approved</v>
      </c>
      <c r="T4416" t="str">
        <f t="shared" si="1788"/>
        <v>10.20.8.188</v>
      </c>
      <c r="U4416" t="str">
        <f t="shared" si="1789"/>
        <v>AZRAD UMAR BIN SHAARI</v>
      </c>
      <c r="V4416" t="str">
        <f t="shared" si="1790"/>
        <v>FARHANA BINTI MUSTAPA</v>
      </c>
      <c r="W4416" t="str">
        <f t="shared" si="1791"/>
        <v>04-08-2020</v>
      </c>
      <c r="X4416" t="str">
        <f t="shared" si="1792"/>
        <v>RAZIMAH ANSAR AHMAD</v>
      </c>
      <c r="Y4416" t="str">
        <f t="shared" si="1793"/>
        <v>04-08-2020</v>
      </c>
      <c r="Z4416" t="str">
        <f>"COS10200804 4738"</f>
        <v>COS10200804 4738</v>
      </c>
    </row>
    <row r="4417" spans="1:26" x14ac:dyDescent="0.25">
      <c r="A4417" t="str">
        <f t="shared" si="1798"/>
        <v>04-08-2020 12:50:26</v>
      </c>
      <c r="B4417" t="str">
        <f>"0000806518"</f>
        <v>0000806518</v>
      </c>
      <c r="C4417" t="str">
        <f t="shared" si="1799"/>
        <v>0000806381</v>
      </c>
      <c r="D4417" t="str">
        <f t="shared" si="1781"/>
        <v>73185</v>
      </c>
      <c r="E4417" t="str">
        <f t="shared" si="1782"/>
        <v>KFH-OPERATIONS DEPARTMENT</v>
      </c>
      <c r="F4417" t="str">
        <f t="shared" si="1783"/>
        <v>IBG</v>
      </c>
      <c r="G4417" t="str">
        <f t="shared" si="1794"/>
        <v>Refund COSHARE 10</v>
      </c>
      <c r="H4417" s="2">
        <v>982</v>
      </c>
      <c r="I4417" t="str">
        <f>"HEMA LATHA AP KUMARESAN"</f>
        <v>HEMA LATHA AP KUMARESAN</v>
      </c>
      <c r="J4417" t="str">
        <f t="shared" si="1797"/>
        <v>MAYBANK / MAYBANK ISLAMIC</v>
      </c>
      <c r="K4417" t="str">
        <f>"151043798695"</f>
        <v>151043798695</v>
      </c>
      <c r="L4417" t="str">
        <f t="shared" si="1802"/>
        <v>04-08-2020</v>
      </c>
      <c r="M4417" t="str">
        <f t="shared" si="1802"/>
        <v>04-08-2020</v>
      </c>
      <c r="N4417" t="str">
        <f t="shared" si="1784"/>
        <v>001105018356</v>
      </c>
      <c r="O4417" t="str">
        <f t="shared" si="1785"/>
        <v>MYR</v>
      </c>
      <c r="P4417" t="str">
        <f t="shared" si="1803"/>
        <v>NIL</v>
      </c>
      <c r="Q4417" t="str">
        <f t="shared" si="1803"/>
        <v>NIL</v>
      </c>
      <c r="R4417" t="str">
        <f t="shared" si="1786"/>
        <v>Accepted</v>
      </c>
      <c r="S4417" t="str">
        <f t="shared" si="1787"/>
        <v>Approved</v>
      </c>
      <c r="T4417" t="str">
        <f t="shared" si="1788"/>
        <v>10.20.8.188</v>
      </c>
      <c r="U4417" t="str">
        <f t="shared" si="1789"/>
        <v>AZRAD UMAR BIN SHAARI</v>
      </c>
      <c r="V4417" t="str">
        <f t="shared" si="1790"/>
        <v>FARHANA BINTI MUSTAPA</v>
      </c>
      <c r="W4417" t="str">
        <f t="shared" si="1791"/>
        <v>04-08-2020</v>
      </c>
      <c r="X4417" t="str">
        <f t="shared" si="1792"/>
        <v>RAZIMAH ANSAR AHMAD</v>
      </c>
      <c r="Y4417" t="str">
        <f t="shared" si="1793"/>
        <v>04-08-2020</v>
      </c>
      <c r="Z4417" t="str">
        <f>"COS10200804 4737"</f>
        <v>COS10200804 4737</v>
      </c>
    </row>
    <row r="4418" spans="1:26" x14ac:dyDescent="0.25">
      <c r="A4418" t="str">
        <f t="shared" ref="A4418:A4449" si="1804">"04-08-2020 12:50:26"</f>
        <v>04-08-2020 12:50:26</v>
      </c>
      <c r="B4418" t="str">
        <f>"0000806517"</f>
        <v>0000806517</v>
      </c>
      <c r="C4418" t="str">
        <f t="shared" ref="C4418:C4449" si="1805">"0000806381"</f>
        <v>0000806381</v>
      </c>
      <c r="D4418" t="str">
        <f t="shared" si="1781"/>
        <v>73185</v>
      </c>
      <c r="E4418" t="str">
        <f t="shared" si="1782"/>
        <v>KFH-OPERATIONS DEPARTMENT</v>
      </c>
      <c r="F4418" t="str">
        <f t="shared" si="1783"/>
        <v>IBG</v>
      </c>
      <c r="G4418" t="str">
        <f t="shared" si="1794"/>
        <v>Refund COSHARE 10</v>
      </c>
      <c r="H4418" s="2">
        <v>982.2</v>
      </c>
      <c r="I4418" t="str">
        <f>"HELYA SYAZIRA BINTI ABDUL AZIZ"</f>
        <v>HELYA SYAZIRA BINTI ABDUL AZIZ</v>
      </c>
      <c r="J4418" t="str">
        <f t="shared" si="1797"/>
        <v>MAYBANK / MAYBANK ISLAMIC</v>
      </c>
      <c r="K4418" t="str">
        <f>"164221384060"</f>
        <v>164221384060</v>
      </c>
      <c r="L4418" t="str">
        <f t="shared" si="1802"/>
        <v>04-08-2020</v>
      </c>
      <c r="M4418" t="str">
        <f t="shared" si="1802"/>
        <v>04-08-2020</v>
      </c>
      <c r="N4418" t="str">
        <f t="shared" si="1784"/>
        <v>001105018356</v>
      </c>
      <c r="O4418" t="str">
        <f t="shared" si="1785"/>
        <v>MYR</v>
      </c>
      <c r="P4418" t="str">
        <f t="shared" si="1803"/>
        <v>NIL</v>
      </c>
      <c r="Q4418" t="str">
        <f t="shared" si="1803"/>
        <v>NIL</v>
      </c>
      <c r="R4418" t="str">
        <f t="shared" si="1786"/>
        <v>Accepted</v>
      </c>
      <c r="S4418" t="str">
        <f t="shared" si="1787"/>
        <v>Approved</v>
      </c>
      <c r="T4418" t="str">
        <f t="shared" si="1788"/>
        <v>10.20.8.188</v>
      </c>
      <c r="U4418" t="str">
        <f t="shared" si="1789"/>
        <v>AZRAD UMAR BIN SHAARI</v>
      </c>
      <c r="V4418" t="str">
        <f t="shared" si="1790"/>
        <v>FARHANA BINTI MUSTAPA</v>
      </c>
      <c r="W4418" t="str">
        <f t="shared" si="1791"/>
        <v>04-08-2020</v>
      </c>
      <c r="X4418" t="str">
        <f t="shared" si="1792"/>
        <v>RAZIMAH ANSAR AHMAD</v>
      </c>
      <c r="Y4418" t="str">
        <f t="shared" si="1793"/>
        <v>04-08-2020</v>
      </c>
      <c r="Z4418" t="str">
        <f>"COS10200804 4736"</f>
        <v>COS10200804 4736</v>
      </c>
    </row>
    <row r="4419" spans="1:26" x14ac:dyDescent="0.25">
      <c r="A4419" t="str">
        <f t="shared" si="1804"/>
        <v>04-08-2020 12:50:26</v>
      </c>
      <c r="B4419" t="str">
        <f>"0000806516"</f>
        <v>0000806516</v>
      </c>
      <c r="C4419" t="str">
        <f t="shared" si="1805"/>
        <v>0000806381</v>
      </c>
      <c r="D4419" t="str">
        <f t="shared" si="1781"/>
        <v>73185</v>
      </c>
      <c r="E4419" t="str">
        <f t="shared" si="1782"/>
        <v>KFH-OPERATIONS DEPARTMENT</v>
      </c>
      <c r="F4419" t="str">
        <f t="shared" si="1783"/>
        <v>IBG</v>
      </c>
      <c r="G4419" t="str">
        <f t="shared" si="1794"/>
        <v>Refund COSHARE 10</v>
      </c>
      <c r="H4419" s="2">
        <v>125.95</v>
      </c>
      <c r="I4419" t="str">
        <f>"HELMY BIN BUSMAN"</f>
        <v>HELMY BIN BUSMAN</v>
      </c>
      <c r="J4419" t="str">
        <f t="shared" si="1797"/>
        <v>MAYBANK / MAYBANK ISLAMIC</v>
      </c>
      <c r="K4419" t="str">
        <f>"161033139232"</f>
        <v>161033139232</v>
      </c>
      <c r="L4419" t="str">
        <f t="shared" si="1802"/>
        <v>04-08-2020</v>
      </c>
      <c r="M4419" t="str">
        <f t="shared" si="1802"/>
        <v>04-08-2020</v>
      </c>
      <c r="N4419" t="str">
        <f t="shared" si="1784"/>
        <v>001105018356</v>
      </c>
      <c r="O4419" t="str">
        <f t="shared" si="1785"/>
        <v>MYR</v>
      </c>
      <c r="P4419" t="str">
        <f t="shared" si="1803"/>
        <v>NIL</v>
      </c>
      <c r="Q4419" t="str">
        <f t="shared" si="1803"/>
        <v>NIL</v>
      </c>
      <c r="R4419" t="str">
        <f t="shared" si="1786"/>
        <v>Accepted</v>
      </c>
      <c r="S4419" t="str">
        <f t="shared" si="1787"/>
        <v>Approved</v>
      </c>
      <c r="T4419" t="str">
        <f t="shared" si="1788"/>
        <v>10.20.8.188</v>
      </c>
      <c r="U4419" t="str">
        <f t="shared" si="1789"/>
        <v>AZRAD UMAR BIN SHAARI</v>
      </c>
      <c r="V4419" t="str">
        <f t="shared" si="1790"/>
        <v>FARHANA BINTI MUSTAPA</v>
      </c>
      <c r="W4419" t="str">
        <f t="shared" si="1791"/>
        <v>04-08-2020</v>
      </c>
      <c r="X4419" t="str">
        <f t="shared" si="1792"/>
        <v>RAZIMAH ANSAR AHMAD</v>
      </c>
      <c r="Y4419" t="str">
        <f t="shared" si="1793"/>
        <v>04-08-2020</v>
      </c>
      <c r="Z4419" t="str">
        <f>"COS10200804 4735"</f>
        <v>COS10200804 4735</v>
      </c>
    </row>
    <row r="4420" spans="1:26" x14ac:dyDescent="0.25">
      <c r="A4420" t="str">
        <f t="shared" si="1804"/>
        <v>04-08-2020 12:50:26</v>
      </c>
      <c r="B4420" t="str">
        <f>"0000806515"</f>
        <v>0000806515</v>
      </c>
      <c r="C4420" t="str">
        <f t="shared" si="1805"/>
        <v>0000806381</v>
      </c>
      <c r="D4420" t="str">
        <f t="shared" si="1781"/>
        <v>73185</v>
      </c>
      <c r="E4420" t="str">
        <f t="shared" si="1782"/>
        <v>KFH-OPERATIONS DEPARTMENT</v>
      </c>
      <c r="F4420" t="str">
        <f t="shared" si="1783"/>
        <v>IBG</v>
      </c>
      <c r="G4420" t="str">
        <f t="shared" si="1794"/>
        <v>Refund COSHARE 10</v>
      </c>
      <c r="H4420" s="2">
        <v>92.35</v>
      </c>
      <c r="I4420" t="str">
        <f>"HELMI BIN ADNAN"</f>
        <v>HELMI BIN ADNAN</v>
      </c>
      <c r="J4420" t="str">
        <f t="shared" si="1797"/>
        <v>MAYBANK / MAYBANK ISLAMIC</v>
      </c>
      <c r="K4420" t="str">
        <f>"151584041619"</f>
        <v>151584041619</v>
      </c>
      <c r="L4420" t="str">
        <f t="shared" si="1802"/>
        <v>04-08-2020</v>
      </c>
      <c r="M4420" t="str">
        <f t="shared" si="1802"/>
        <v>04-08-2020</v>
      </c>
      <c r="N4420" t="str">
        <f t="shared" si="1784"/>
        <v>001105018356</v>
      </c>
      <c r="O4420" t="str">
        <f t="shared" si="1785"/>
        <v>MYR</v>
      </c>
      <c r="P4420" t="str">
        <f t="shared" si="1803"/>
        <v>NIL</v>
      </c>
      <c r="Q4420" t="str">
        <f t="shared" si="1803"/>
        <v>NIL</v>
      </c>
      <c r="R4420" t="str">
        <f t="shared" si="1786"/>
        <v>Accepted</v>
      </c>
      <c r="S4420" t="str">
        <f t="shared" si="1787"/>
        <v>Approved</v>
      </c>
      <c r="T4420" t="str">
        <f t="shared" si="1788"/>
        <v>10.20.8.188</v>
      </c>
      <c r="U4420" t="str">
        <f t="shared" si="1789"/>
        <v>AZRAD UMAR BIN SHAARI</v>
      </c>
      <c r="V4420" t="str">
        <f t="shared" si="1790"/>
        <v>FARHANA BINTI MUSTAPA</v>
      </c>
      <c r="W4420" t="str">
        <f t="shared" si="1791"/>
        <v>04-08-2020</v>
      </c>
      <c r="X4420" t="str">
        <f t="shared" si="1792"/>
        <v>RAZIMAH ANSAR AHMAD</v>
      </c>
      <c r="Y4420" t="str">
        <f t="shared" si="1793"/>
        <v>04-08-2020</v>
      </c>
      <c r="Z4420" t="str">
        <f>"COS10200804 4734"</f>
        <v>COS10200804 4734</v>
      </c>
    </row>
    <row r="4421" spans="1:26" x14ac:dyDescent="0.25">
      <c r="A4421" t="str">
        <f t="shared" si="1804"/>
        <v>04-08-2020 12:50:26</v>
      </c>
      <c r="B4421" t="str">
        <f>"0000806514"</f>
        <v>0000806514</v>
      </c>
      <c r="C4421" t="str">
        <f t="shared" si="1805"/>
        <v>0000806381</v>
      </c>
      <c r="D4421" t="str">
        <f t="shared" si="1781"/>
        <v>73185</v>
      </c>
      <c r="E4421" t="str">
        <f t="shared" si="1782"/>
        <v>KFH-OPERATIONS DEPARTMENT</v>
      </c>
      <c r="F4421" t="str">
        <f t="shared" si="1783"/>
        <v>IBG</v>
      </c>
      <c r="G4421" t="str">
        <f t="shared" si="1794"/>
        <v>Refund COSHARE 10</v>
      </c>
      <c r="H4421" s="2">
        <v>226</v>
      </c>
      <c r="I4421" t="str">
        <f>"HELIDA BINTI KADIR"</f>
        <v>HELIDA BINTI KADIR</v>
      </c>
      <c r="J4421" t="str">
        <f t="shared" si="1797"/>
        <v>MAYBANK / MAYBANK ISLAMIC</v>
      </c>
      <c r="K4421" t="str">
        <f>"160018122698"</f>
        <v>160018122698</v>
      </c>
      <c r="L4421" t="str">
        <f t="shared" si="1802"/>
        <v>04-08-2020</v>
      </c>
      <c r="M4421" t="str">
        <f t="shared" si="1802"/>
        <v>04-08-2020</v>
      </c>
      <c r="N4421" t="str">
        <f t="shared" si="1784"/>
        <v>001105018356</v>
      </c>
      <c r="O4421" t="str">
        <f t="shared" si="1785"/>
        <v>MYR</v>
      </c>
      <c r="P4421" t="str">
        <f t="shared" si="1803"/>
        <v>NIL</v>
      </c>
      <c r="Q4421" t="str">
        <f t="shared" si="1803"/>
        <v>NIL</v>
      </c>
      <c r="R4421" t="str">
        <f t="shared" si="1786"/>
        <v>Accepted</v>
      </c>
      <c r="S4421" t="str">
        <f t="shared" si="1787"/>
        <v>Approved</v>
      </c>
      <c r="T4421" t="str">
        <f t="shared" si="1788"/>
        <v>10.20.8.188</v>
      </c>
      <c r="U4421" t="str">
        <f t="shared" si="1789"/>
        <v>AZRAD UMAR BIN SHAARI</v>
      </c>
      <c r="V4421" t="str">
        <f t="shared" si="1790"/>
        <v>FARHANA BINTI MUSTAPA</v>
      </c>
      <c r="W4421" t="str">
        <f t="shared" si="1791"/>
        <v>04-08-2020</v>
      </c>
      <c r="X4421" t="str">
        <f t="shared" si="1792"/>
        <v>RAZIMAH ANSAR AHMAD</v>
      </c>
      <c r="Y4421" t="str">
        <f t="shared" si="1793"/>
        <v>04-08-2020</v>
      </c>
      <c r="Z4421" t="str">
        <f>"COS10200804 4733"</f>
        <v>COS10200804 4733</v>
      </c>
    </row>
    <row r="4422" spans="1:26" x14ac:dyDescent="0.25">
      <c r="A4422" t="str">
        <f t="shared" si="1804"/>
        <v>04-08-2020 12:50:26</v>
      </c>
      <c r="B4422" t="str">
        <f>"0000806513"</f>
        <v>0000806513</v>
      </c>
      <c r="C4422" t="str">
        <f t="shared" si="1805"/>
        <v>0000806381</v>
      </c>
      <c r="D4422" t="str">
        <f t="shared" si="1781"/>
        <v>73185</v>
      </c>
      <c r="E4422" t="str">
        <f t="shared" si="1782"/>
        <v>KFH-OPERATIONS DEPARTMENT</v>
      </c>
      <c r="F4422" t="str">
        <f t="shared" si="1783"/>
        <v>IBG</v>
      </c>
      <c r="G4422" t="str">
        <f t="shared" si="1794"/>
        <v>Refund COSHARE 10</v>
      </c>
      <c r="H4422" s="2">
        <v>1277.8499999999999</v>
      </c>
      <c r="I4422" t="str">
        <f>"HELIDA BINTI KADIR"</f>
        <v>HELIDA BINTI KADIR</v>
      </c>
      <c r="J4422" t="str">
        <f t="shared" si="1797"/>
        <v>MAYBANK / MAYBANK ISLAMIC</v>
      </c>
      <c r="K4422" t="str">
        <f>"160018122698"</f>
        <v>160018122698</v>
      </c>
      <c r="L4422" t="str">
        <f t="shared" si="1802"/>
        <v>04-08-2020</v>
      </c>
      <c r="M4422" t="str">
        <f t="shared" si="1802"/>
        <v>04-08-2020</v>
      </c>
      <c r="N4422" t="str">
        <f t="shared" si="1784"/>
        <v>001105018356</v>
      </c>
      <c r="O4422" t="str">
        <f t="shared" si="1785"/>
        <v>MYR</v>
      </c>
      <c r="P4422" t="str">
        <f t="shared" si="1803"/>
        <v>NIL</v>
      </c>
      <c r="Q4422" t="str">
        <f t="shared" si="1803"/>
        <v>NIL</v>
      </c>
      <c r="R4422" t="str">
        <f t="shared" si="1786"/>
        <v>Accepted</v>
      </c>
      <c r="S4422" t="str">
        <f t="shared" si="1787"/>
        <v>Approved</v>
      </c>
      <c r="T4422" t="str">
        <f t="shared" si="1788"/>
        <v>10.20.8.188</v>
      </c>
      <c r="U4422" t="str">
        <f t="shared" si="1789"/>
        <v>AZRAD UMAR BIN SHAARI</v>
      </c>
      <c r="V4422" t="str">
        <f t="shared" si="1790"/>
        <v>FARHANA BINTI MUSTAPA</v>
      </c>
      <c r="W4422" t="str">
        <f t="shared" si="1791"/>
        <v>04-08-2020</v>
      </c>
      <c r="X4422" t="str">
        <f t="shared" si="1792"/>
        <v>RAZIMAH ANSAR AHMAD</v>
      </c>
      <c r="Y4422" t="str">
        <f t="shared" si="1793"/>
        <v>04-08-2020</v>
      </c>
      <c r="Z4422" t="str">
        <f>"COS10200804 4732"</f>
        <v>COS10200804 4732</v>
      </c>
    </row>
    <row r="4423" spans="1:26" x14ac:dyDescent="0.25">
      <c r="A4423" t="str">
        <f t="shared" si="1804"/>
        <v>04-08-2020 12:50:26</v>
      </c>
      <c r="B4423" t="str">
        <f>"0000806512"</f>
        <v>0000806512</v>
      </c>
      <c r="C4423" t="str">
        <f t="shared" si="1805"/>
        <v>0000806381</v>
      </c>
      <c r="D4423" t="str">
        <f t="shared" ref="D4423:D4486" si="1806">"73185"</f>
        <v>73185</v>
      </c>
      <c r="E4423" t="str">
        <f t="shared" ref="E4423:E4486" si="1807">"KFH-OPERATIONS DEPARTMENT"</f>
        <v>KFH-OPERATIONS DEPARTMENT</v>
      </c>
      <c r="F4423" t="str">
        <f t="shared" ref="F4423:F4486" si="1808">"IBG"</f>
        <v>IBG</v>
      </c>
      <c r="G4423" t="str">
        <f t="shared" si="1794"/>
        <v>Refund COSHARE 10</v>
      </c>
      <c r="H4423" s="2">
        <v>780.75</v>
      </c>
      <c r="I4423" t="str">
        <f>"HEIDA BINTI MOHAMAD KAMEL"</f>
        <v>HEIDA BINTI MOHAMAD KAMEL</v>
      </c>
      <c r="J4423" t="str">
        <f t="shared" si="1797"/>
        <v>MAYBANK / MAYBANK ISLAMIC</v>
      </c>
      <c r="K4423" t="str">
        <f>"111113390260"</f>
        <v>111113390260</v>
      </c>
      <c r="L4423" t="str">
        <f t="shared" si="1802"/>
        <v>04-08-2020</v>
      </c>
      <c r="M4423" t="str">
        <f t="shared" si="1802"/>
        <v>04-08-2020</v>
      </c>
      <c r="N4423" t="str">
        <f t="shared" ref="N4423:N4486" si="1809">"001105018356"</f>
        <v>001105018356</v>
      </c>
      <c r="O4423" t="str">
        <f t="shared" ref="O4423:O4486" si="1810">"MYR"</f>
        <v>MYR</v>
      </c>
      <c r="P4423" t="str">
        <f t="shared" si="1803"/>
        <v>NIL</v>
      </c>
      <c r="Q4423" t="str">
        <f t="shared" si="1803"/>
        <v>NIL</v>
      </c>
      <c r="R4423" t="str">
        <f t="shared" ref="R4423:R4486" si="1811">"Accepted"</f>
        <v>Accepted</v>
      </c>
      <c r="S4423" t="str">
        <f t="shared" ref="S4423:S4486" si="1812">"Approved"</f>
        <v>Approved</v>
      </c>
      <c r="T4423" t="str">
        <f t="shared" ref="T4423:T4486" si="1813">"10.20.8.188"</f>
        <v>10.20.8.188</v>
      </c>
      <c r="U4423" t="str">
        <f t="shared" ref="U4423:U4486" si="1814">"AZRAD UMAR BIN SHAARI"</f>
        <v>AZRAD UMAR BIN SHAARI</v>
      </c>
      <c r="V4423" t="str">
        <f t="shared" ref="V4423:V4486" si="1815">"FARHANA BINTI MUSTAPA"</f>
        <v>FARHANA BINTI MUSTAPA</v>
      </c>
      <c r="W4423" t="str">
        <f t="shared" ref="W4423:W4486" si="1816">"04-08-2020"</f>
        <v>04-08-2020</v>
      </c>
      <c r="X4423" t="str">
        <f t="shared" ref="X4423:X4486" si="1817">"RAZIMAH ANSAR AHMAD"</f>
        <v>RAZIMAH ANSAR AHMAD</v>
      </c>
      <c r="Y4423" t="str">
        <f t="shared" ref="Y4423:Y4486" si="1818">"04-08-2020"</f>
        <v>04-08-2020</v>
      </c>
      <c r="Z4423" t="str">
        <f>"COS10200804 4731"</f>
        <v>COS10200804 4731</v>
      </c>
    </row>
    <row r="4424" spans="1:26" x14ac:dyDescent="0.25">
      <c r="A4424" t="str">
        <f t="shared" si="1804"/>
        <v>04-08-2020 12:50:26</v>
      </c>
      <c r="B4424" t="str">
        <f>"0000806511"</f>
        <v>0000806511</v>
      </c>
      <c r="C4424" t="str">
        <f t="shared" si="1805"/>
        <v>0000806381</v>
      </c>
      <c r="D4424" t="str">
        <f t="shared" si="1806"/>
        <v>73185</v>
      </c>
      <c r="E4424" t="str">
        <f t="shared" si="1807"/>
        <v>KFH-OPERATIONS DEPARTMENT</v>
      </c>
      <c r="F4424" t="str">
        <f t="shared" si="1808"/>
        <v>IBG</v>
      </c>
      <c r="G4424" t="str">
        <f t="shared" si="1794"/>
        <v>Refund COSHARE 10</v>
      </c>
      <c r="H4424" s="2">
        <v>109.15</v>
      </c>
      <c r="I4424" t="str">
        <f>"HAZRUL NIZAM BIN MOHMAD SAHIBEK"</f>
        <v>HAZRUL NIZAM BIN MOHMAD SAHIBEK</v>
      </c>
      <c r="J4424" t="str">
        <f t="shared" si="1797"/>
        <v>MAYBANK / MAYBANK ISLAMIC</v>
      </c>
      <c r="K4424" t="str">
        <f>"151445026739"</f>
        <v>151445026739</v>
      </c>
      <c r="L4424" t="str">
        <f t="shared" si="1802"/>
        <v>04-08-2020</v>
      </c>
      <c r="M4424" t="str">
        <f t="shared" si="1802"/>
        <v>04-08-2020</v>
      </c>
      <c r="N4424" t="str">
        <f t="shared" si="1809"/>
        <v>001105018356</v>
      </c>
      <c r="O4424" t="str">
        <f t="shared" si="1810"/>
        <v>MYR</v>
      </c>
      <c r="P4424" t="str">
        <f t="shared" si="1803"/>
        <v>NIL</v>
      </c>
      <c r="Q4424" t="str">
        <f t="shared" si="1803"/>
        <v>NIL</v>
      </c>
      <c r="R4424" t="str">
        <f t="shared" si="1811"/>
        <v>Accepted</v>
      </c>
      <c r="S4424" t="str">
        <f t="shared" si="1812"/>
        <v>Approved</v>
      </c>
      <c r="T4424" t="str">
        <f t="shared" si="1813"/>
        <v>10.20.8.188</v>
      </c>
      <c r="U4424" t="str">
        <f t="shared" si="1814"/>
        <v>AZRAD UMAR BIN SHAARI</v>
      </c>
      <c r="V4424" t="str">
        <f t="shared" si="1815"/>
        <v>FARHANA BINTI MUSTAPA</v>
      </c>
      <c r="W4424" t="str">
        <f t="shared" si="1816"/>
        <v>04-08-2020</v>
      </c>
      <c r="X4424" t="str">
        <f t="shared" si="1817"/>
        <v>RAZIMAH ANSAR AHMAD</v>
      </c>
      <c r="Y4424" t="str">
        <f t="shared" si="1818"/>
        <v>04-08-2020</v>
      </c>
      <c r="Z4424" t="str">
        <f>"COS10200804 4730"</f>
        <v>COS10200804 4730</v>
      </c>
    </row>
    <row r="4425" spans="1:26" x14ac:dyDescent="0.25">
      <c r="A4425" t="str">
        <f t="shared" si="1804"/>
        <v>04-08-2020 12:50:26</v>
      </c>
      <c r="B4425" t="str">
        <f>"0000806510"</f>
        <v>0000806510</v>
      </c>
      <c r="C4425" t="str">
        <f t="shared" si="1805"/>
        <v>0000806381</v>
      </c>
      <c r="D4425" t="str">
        <f t="shared" si="1806"/>
        <v>73185</v>
      </c>
      <c r="E4425" t="str">
        <f t="shared" si="1807"/>
        <v>KFH-OPERATIONS DEPARTMENT</v>
      </c>
      <c r="F4425" t="str">
        <f t="shared" si="1808"/>
        <v>IBG</v>
      </c>
      <c r="G4425" t="str">
        <f t="shared" si="1794"/>
        <v>Refund COSHARE 10</v>
      </c>
      <c r="H4425" s="2">
        <v>239</v>
      </c>
      <c r="I4425" t="str">
        <f>"HAZMAN BIN ABU HASIM"</f>
        <v>HAZMAN BIN ABU HASIM</v>
      </c>
      <c r="J4425" t="str">
        <f t="shared" si="1797"/>
        <v>MAYBANK / MAYBANK ISLAMIC</v>
      </c>
      <c r="K4425" t="str">
        <f>"160027384767"</f>
        <v>160027384767</v>
      </c>
      <c r="L4425" t="str">
        <f t="shared" si="1802"/>
        <v>04-08-2020</v>
      </c>
      <c r="M4425" t="str">
        <f t="shared" si="1802"/>
        <v>04-08-2020</v>
      </c>
      <c r="N4425" t="str">
        <f t="shared" si="1809"/>
        <v>001105018356</v>
      </c>
      <c r="O4425" t="str">
        <f t="shared" si="1810"/>
        <v>MYR</v>
      </c>
      <c r="P4425" t="str">
        <f t="shared" si="1803"/>
        <v>NIL</v>
      </c>
      <c r="Q4425" t="str">
        <f t="shared" si="1803"/>
        <v>NIL</v>
      </c>
      <c r="R4425" t="str">
        <f t="shared" si="1811"/>
        <v>Accepted</v>
      </c>
      <c r="S4425" t="str">
        <f t="shared" si="1812"/>
        <v>Approved</v>
      </c>
      <c r="T4425" t="str">
        <f t="shared" si="1813"/>
        <v>10.20.8.188</v>
      </c>
      <c r="U4425" t="str">
        <f t="shared" si="1814"/>
        <v>AZRAD UMAR BIN SHAARI</v>
      </c>
      <c r="V4425" t="str">
        <f t="shared" si="1815"/>
        <v>FARHANA BINTI MUSTAPA</v>
      </c>
      <c r="W4425" t="str">
        <f t="shared" si="1816"/>
        <v>04-08-2020</v>
      </c>
      <c r="X4425" t="str">
        <f t="shared" si="1817"/>
        <v>RAZIMAH ANSAR AHMAD</v>
      </c>
      <c r="Y4425" t="str">
        <f t="shared" si="1818"/>
        <v>04-08-2020</v>
      </c>
      <c r="Z4425" t="str">
        <f>"COS10200804 4729"</f>
        <v>COS10200804 4729</v>
      </c>
    </row>
    <row r="4426" spans="1:26" x14ac:dyDescent="0.25">
      <c r="A4426" t="str">
        <f t="shared" si="1804"/>
        <v>04-08-2020 12:50:26</v>
      </c>
      <c r="B4426" t="str">
        <f>"0000806509"</f>
        <v>0000806509</v>
      </c>
      <c r="C4426" t="str">
        <f t="shared" si="1805"/>
        <v>0000806381</v>
      </c>
      <c r="D4426" t="str">
        <f t="shared" si="1806"/>
        <v>73185</v>
      </c>
      <c r="E4426" t="str">
        <f t="shared" si="1807"/>
        <v>KFH-OPERATIONS DEPARTMENT</v>
      </c>
      <c r="F4426" t="str">
        <f t="shared" si="1808"/>
        <v>IBG</v>
      </c>
      <c r="G4426" t="str">
        <f t="shared" si="1794"/>
        <v>Refund COSHARE 10</v>
      </c>
      <c r="H4426" s="2">
        <v>520.5</v>
      </c>
      <c r="I4426" t="str">
        <f>"HAZLINA BINTI MD ISA"</f>
        <v>HAZLINA BINTI MD ISA</v>
      </c>
      <c r="J4426" t="str">
        <f t="shared" si="1797"/>
        <v>MAYBANK / MAYBANK ISLAMIC</v>
      </c>
      <c r="K4426" t="str">
        <f>"102036651156"</f>
        <v>102036651156</v>
      </c>
      <c r="L4426" t="str">
        <f t="shared" si="1802"/>
        <v>04-08-2020</v>
      </c>
      <c r="M4426" t="str">
        <f t="shared" si="1802"/>
        <v>04-08-2020</v>
      </c>
      <c r="N4426" t="str">
        <f t="shared" si="1809"/>
        <v>001105018356</v>
      </c>
      <c r="O4426" t="str">
        <f t="shared" si="1810"/>
        <v>MYR</v>
      </c>
      <c r="P4426" t="str">
        <f t="shared" si="1803"/>
        <v>NIL</v>
      </c>
      <c r="Q4426" t="str">
        <f t="shared" si="1803"/>
        <v>NIL</v>
      </c>
      <c r="R4426" t="str">
        <f t="shared" si="1811"/>
        <v>Accepted</v>
      </c>
      <c r="S4426" t="str">
        <f t="shared" si="1812"/>
        <v>Approved</v>
      </c>
      <c r="T4426" t="str">
        <f t="shared" si="1813"/>
        <v>10.20.8.188</v>
      </c>
      <c r="U4426" t="str">
        <f t="shared" si="1814"/>
        <v>AZRAD UMAR BIN SHAARI</v>
      </c>
      <c r="V4426" t="str">
        <f t="shared" si="1815"/>
        <v>FARHANA BINTI MUSTAPA</v>
      </c>
      <c r="W4426" t="str">
        <f t="shared" si="1816"/>
        <v>04-08-2020</v>
      </c>
      <c r="X4426" t="str">
        <f t="shared" si="1817"/>
        <v>RAZIMAH ANSAR AHMAD</v>
      </c>
      <c r="Y4426" t="str">
        <f t="shared" si="1818"/>
        <v>04-08-2020</v>
      </c>
      <c r="Z4426" t="str">
        <f>"COS10200804 4728"</f>
        <v>COS10200804 4728</v>
      </c>
    </row>
    <row r="4427" spans="1:26" x14ac:dyDescent="0.25">
      <c r="A4427" t="str">
        <f t="shared" si="1804"/>
        <v>04-08-2020 12:50:26</v>
      </c>
      <c r="B4427" t="str">
        <f>"0000806508"</f>
        <v>0000806508</v>
      </c>
      <c r="C4427" t="str">
        <f t="shared" si="1805"/>
        <v>0000806381</v>
      </c>
      <c r="D4427" t="str">
        <f t="shared" si="1806"/>
        <v>73185</v>
      </c>
      <c r="E4427" t="str">
        <f t="shared" si="1807"/>
        <v>KFH-OPERATIONS DEPARTMENT</v>
      </c>
      <c r="F4427" t="str">
        <f t="shared" si="1808"/>
        <v>IBG</v>
      </c>
      <c r="G4427" t="str">
        <f t="shared" si="1794"/>
        <v>Refund COSHARE 10</v>
      </c>
      <c r="H4427" s="2">
        <v>228</v>
      </c>
      <c r="I4427" t="str">
        <f>"HAZLINA BINTI MAT SAPAR"</f>
        <v>HAZLINA BINTI MAT SAPAR</v>
      </c>
      <c r="J4427" t="str">
        <f t="shared" si="1797"/>
        <v>MAYBANK / MAYBANK ISLAMIC</v>
      </c>
      <c r="K4427" t="str">
        <f>"158190366291"</f>
        <v>158190366291</v>
      </c>
      <c r="L4427" t="str">
        <f t="shared" ref="L4427:M4446" si="1819">"04-08-2020"</f>
        <v>04-08-2020</v>
      </c>
      <c r="M4427" t="str">
        <f t="shared" si="1819"/>
        <v>04-08-2020</v>
      </c>
      <c r="N4427" t="str">
        <f t="shared" si="1809"/>
        <v>001105018356</v>
      </c>
      <c r="O4427" t="str">
        <f t="shared" si="1810"/>
        <v>MYR</v>
      </c>
      <c r="P4427" t="str">
        <f t="shared" ref="P4427:Q4446" si="1820">"NIL"</f>
        <v>NIL</v>
      </c>
      <c r="Q4427" t="str">
        <f t="shared" si="1820"/>
        <v>NIL</v>
      </c>
      <c r="R4427" t="str">
        <f t="shared" si="1811"/>
        <v>Accepted</v>
      </c>
      <c r="S4427" t="str">
        <f t="shared" si="1812"/>
        <v>Approved</v>
      </c>
      <c r="T4427" t="str">
        <f t="shared" si="1813"/>
        <v>10.20.8.188</v>
      </c>
      <c r="U4427" t="str">
        <f t="shared" si="1814"/>
        <v>AZRAD UMAR BIN SHAARI</v>
      </c>
      <c r="V4427" t="str">
        <f t="shared" si="1815"/>
        <v>FARHANA BINTI MUSTAPA</v>
      </c>
      <c r="W4427" t="str">
        <f t="shared" si="1816"/>
        <v>04-08-2020</v>
      </c>
      <c r="X4427" t="str">
        <f t="shared" si="1817"/>
        <v>RAZIMAH ANSAR AHMAD</v>
      </c>
      <c r="Y4427" t="str">
        <f t="shared" si="1818"/>
        <v>04-08-2020</v>
      </c>
      <c r="Z4427" t="str">
        <f>"COS10200804 4727"</f>
        <v>COS10200804 4727</v>
      </c>
    </row>
    <row r="4428" spans="1:26" x14ac:dyDescent="0.25">
      <c r="A4428" t="str">
        <f t="shared" si="1804"/>
        <v>04-08-2020 12:50:26</v>
      </c>
      <c r="B4428" t="str">
        <f>"0000806507"</f>
        <v>0000806507</v>
      </c>
      <c r="C4428" t="str">
        <f t="shared" si="1805"/>
        <v>0000806381</v>
      </c>
      <c r="D4428" t="str">
        <f t="shared" si="1806"/>
        <v>73185</v>
      </c>
      <c r="E4428" t="str">
        <f t="shared" si="1807"/>
        <v>KFH-OPERATIONS DEPARTMENT</v>
      </c>
      <c r="F4428" t="str">
        <f t="shared" si="1808"/>
        <v>IBG</v>
      </c>
      <c r="G4428" t="str">
        <f t="shared" ref="G4428:G4491" si="1821">"Refund COSHARE 10"</f>
        <v>Refund COSHARE 10</v>
      </c>
      <c r="H4428" s="2">
        <v>719.4</v>
      </c>
      <c r="I4428" t="str">
        <f>"HAZLINA BINTI AHMAD"</f>
        <v>HAZLINA BINTI AHMAD</v>
      </c>
      <c r="J4428" t="str">
        <f t="shared" si="1797"/>
        <v>MAYBANK / MAYBANK ISLAMIC</v>
      </c>
      <c r="K4428" t="str">
        <f>"157241006878"</f>
        <v>157241006878</v>
      </c>
      <c r="L4428" t="str">
        <f t="shared" si="1819"/>
        <v>04-08-2020</v>
      </c>
      <c r="M4428" t="str">
        <f t="shared" si="1819"/>
        <v>04-08-2020</v>
      </c>
      <c r="N4428" t="str">
        <f t="shared" si="1809"/>
        <v>001105018356</v>
      </c>
      <c r="O4428" t="str">
        <f t="shared" si="1810"/>
        <v>MYR</v>
      </c>
      <c r="P4428" t="str">
        <f t="shared" si="1820"/>
        <v>NIL</v>
      </c>
      <c r="Q4428" t="str">
        <f t="shared" si="1820"/>
        <v>NIL</v>
      </c>
      <c r="R4428" t="str">
        <f t="shared" si="1811"/>
        <v>Accepted</v>
      </c>
      <c r="S4428" t="str">
        <f t="shared" si="1812"/>
        <v>Approved</v>
      </c>
      <c r="T4428" t="str">
        <f t="shared" si="1813"/>
        <v>10.20.8.188</v>
      </c>
      <c r="U4428" t="str">
        <f t="shared" si="1814"/>
        <v>AZRAD UMAR BIN SHAARI</v>
      </c>
      <c r="V4428" t="str">
        <f t="shared" si="1815"/>
        <v>FARHANA BINTI MUSTAPA</v>
      </c>
      <c r="W4428" t="str">
        <f t="shared" si="1816"/>
        <v>04-08-2020</v>
      </c>
      <c r="X4428" t="str">
        <f t="shared" si="1817"/>
        <v>RAZIMAH ANSAR AHMAD</v>
      </c>
      <c r="Y4428" t="str">
        <f t="shared" si="1818"/>
        <v>04-08-2020</v>
      </c>
      <c r="Z4428" t="str">
        <f>"COS10200804 4726"</f>
        <v>COS10200804 4726</v>
      </c>
    </row>
    <row r="4429" spans="1:26" x14ac:dyDescent="0.25">
      <c r="A4429" t="str">
        <f t="shared" si="1804"/>
        <v>04-08-2020 12:50:26</v>
      </c>
      <c r="B4429" t="str">
        <f>"0000806506"</f>
        <v>0000806506</v>
      </c>
      <c r="C4429" t="str">
        <f t="shared" si="1805"/>
        <v>0000806381</v>
      </c>
      <c r="D4429" t="str">
        <f t="shared" si="1806"/>
        <v>73185</v>
      </c>
      <c r="E4429" t="str">
        <f t="shared" si="1807"/>
        <v>KFH-OPERATIONS DEPARTMENT</v>
      </c>
      <c r="F4429" t="str">
        <f t="shared" si="1808"/>
        <v>IBG</v>
      </c>
      <c r="G4429" t="str">
        <f t="shared" si="1821"/>
        <v>Refund COSHARE 10</v>
      </c>
      <c r="H4429" s="2">
        <v>1007.4</v>
      </c>
      <c r="I4429" t="str">
        <f>"HAZLEENA BINTI ISMAIL"</f>
        <v>HAZLEENA BINTI ISMAIL</v>
      </c>
      <c r="J4429" t="str">
        <f t="shared" si="1797"/>
        <v>MAYBANK / MAYBANK ISLAMIC</v>
      </c>
      <c r="K4429" t="str">
        <f>"114012138432"</f>
        <v>114012138432</v>
      </c>
      <c r="L4429" t="str">
        <f t="shared" si="1819"/>
        <v>04-08-2020</v>
      </c>
      <c r="M4429" t="str">
        <f t="shared" si="1819"/>
        <v>04-08-2020</v>
      </c>
      <c r="N4429" t="str">
        <f t="shared" si="1809"/>
        <v>001105018356</v>
      </c>
      <c r="O4429" t="str">
        <f t="shared" si="1810"/>
        <v>MYR</v>
      </c>
      <c r="P4429" t="str">
        <f t="shared" si="1820"/>
        <v>NIL</v>
      </c>
      <c r="Q4429" t="str">
        <f t="shared" si="1820"/>
        <v>NIL</v>
      </c>
      <c r="R4429" t="str">
        <f t="shared" si="1811"/>
        <v>Accepted</v>
      </c>
      <c r="S4429" t="str">
        <f t="shared" si="1812"/>
        <v>Approved</v>
      </c>
      <c r="T4429" t="str">
        <f t="shared" si="1813"/>
        <v>10.20.8.188</v>
      </c>
      <c r="U4429" t="str">
        <f t="shared" si="1814"/>
        <v>AZRAD UMAR BIN SHAARI</v>
      </c>
      <c r="V4429" t="str">
        <f t="shared" si="1815"/>
        <v>FARHANA BINTI MUSTAPA</v>
      </c>
      <c r="W4429" t="str">
        <f t="shared" si="1816"/>
        <v>04-08-2020</v>
      </c>
      <c r="X4429" t="str">
        <f t="shared" si="1817"/>
        <v>RAZIMAH ANSAR AHMAD</v>
      </c>
      <c r="Y4429" t="str">
        <f t="shared" si="1818"/>
        <v>04-08-2020</v>
      </c>
      <c r="Z4429" t="str">
        <f>"COS10200804 4725"</f>
        <v>COS10200804 4725</v>
      </c>
    </row>
    <row r="4430" spans="1:26" x14ac:dyDescent="0.25">
      <c r="A4430" t="str">
        <f t="shared" si="1804"/>
        <v>04-08-2020 12:50:26</v>
      </c>
      <c r="B4430" t="str">
        <f>"0000806505"</f>
        <v>0000806505</v>
      </c>
      <c r="C4430" t="str">
        <f t="shared" si="1805"/>
        <v>0000806381</v>
      </c>
      <c r="D4430" t="str">
        <f t="shared" si="1806"/>
        <v>73185</v>
      </c>
      <c r="E4430" t="str">
        <f t="shared" si="1807"/>
        <v>KFH-OPERATIONS DEPARTMENT</v>
      </c>
      <c r="F4430" t="str">
        <f t="shared" si="1808"/>
        <v>IBG</v>
      </c>
      <c r="G4430" t="str">
        <f t="shared" si="1821"/>
        <v>Refund COSHARE 10</v>
      </c>
      <c r="H4430" s="2">
        <v>99</v>
      </c>
      <c r="I4430" t="str">
        <f>"HAZIRUL FITRI BIN AHMAD"</f>
        <v>HAZIRUL FITRI BIN AHMAD</v>
      </c>
      <c r="J4430" t="str">
        <f t="shared" si="1797"/>
        <v>MAYBANK / MAYBANK ISLAMIC</v>
      </c>
      <c r="K4430" t="str">
        <f>"156057264047"</f>
        <v>156057264047</v>
      </c>
      <c r="L4430" t="str">
        <f t="shared" si="1819"/>
        <v>04-08-2020</v>
      </c>
      <c r="M4430" t="str">
        <f t="shared" si="1819"/>
        <v>04-08-2020</v>
      </c>
      <c r="N4430" t="str">
        <f t="shared" si="1809"/>
        <v>001105018356</v>
      </c>
      <c r="O4430" t="str">
        <f t="shared" si="1810"/>
        <v>MYR</v>
      </c>
      <c r="P4430" t="str">
        <f t="shared" si="1820"/>
        <v>NIL</v>
      </c>
      <c r="Q4430" t="str">
        <f t="shared" si="1820"/>
        <v>NIL</v>
      </c>
      <c r="R4430" t="str">
        <f t="shared" si="1811"/>
        <v>Accepted</v>
      </c>
      <c r="S4430" t="str">
        <f t="shared" si="1812"/>
        <v>Approved</v>
      </c>
      <c r="T4430" t="str">
        <f t="shared" si="1813"/>
        <v>10.20.8.188</v>
      </c>
      <c r="U4430" t="str">
        <f t="shared" si="1814"/>
        <v>AZRAD UMAR BIN SHAARI</v>
      </c>
      <c r="V4430" t="str">
        <f t="shared" si="1815"/>
        <v>FARHANA BINTI MUSTAPA</v>
      </c>
      <c r="W4430" t="str">
        <f t="shared" si="1816"/>
        <v>04-08-2020</v>
      </c>
      <c r="X4430" t="str">
        <f t="shared" si="1817"/>
        <v>RAZIMAH ANSAR AHMAD</v>
      </c>
      <c r="Y4430" t="str">
        <f t="shared" si="1818"/>
        <v>04-08-2020</v>
      </c>
      <c r="Z4430" t="str">
        <f>"COS10200804 4724"</f>
        <v>COS10200804 4724</v>
      </c>
    </row>
    <row r="4431" spans="1:26" x14ac:dyDescent="0.25">
      <c r="A4431" t="str">
        <f t="shared" si="1804"/>
        <v>04-08-2020 12:50:26</v>
      </c>
      <c r="B4431" t="str">
        <f>"0000806504"</f>
        <v>0000806504</v>
      </c>
      <c r="C4431" t="str">
        <f t="shared" si="1805"/>
        <v>0000806381</v>
      </c>
      <c r="D4431" t="str">
        <f t="shared" si="1806"/>
        <v>73185</v>
      </c>
      <c r="E4431" t="str">
        <f t="shared" si="1807"/>
        <v>KFH-OPERATIONS DEPARTMENT</v>
      </c>
      <c r="F4431" t="str">
        <f t="shared" si="1808"/>
        <v>IBG</v>
      </c>
      <c r="G4431" t="str">
        <f t="shared" si="1821"/>
        <v>Refund COSHARE 10</v>
      </c>
      <c r="H4431" s="2">
        <v>671.6</v>
      </c>
      <c r="I4431" t="str">
        <f>"HAZIRAH BINTI ABDUL PISAL"</f>
        <v>HAZIRAH BINTI ABDUL PISAL</v>
      </c>
      <c r="J4431" t="str">
        <f t="shared" si="1797"/>
        <v>MAYBANK / MAYBANK ISLAMIC</v>
      </c>
      <c r="K4431" t="str">
        <f>"159012835051"</f>
        <v>159012835051</v>
      </c>
      <c r="L4431" t="str">
        <f t="shared" si="1819"/>
        <v>04-08-2020</v>
      </c>
      <c r="M4431" t="str">
        <f t="shared" si="1819"/>
        <v>04-08-2020</v>
      </c>
      <c r="N4431" t="str">
        <f t="shared" si="1809"/>
        <v>001105018356</v>
      </c>
      <c r="O4431" t="str">
        <f t="shared" si="1810"/>
        <v>MYR</v>
      </c>
      <c r="P4431" t="str">
        <f t="shared" si="1820"/>
        <v>NIL</v>
      </c>
      <c r="Q4431" t="str">
        <f t="shared" si="1820"/>
        <v>NIL</v>
      </c>
      <c r="R4431" t="str">
        <f t="shared" si="1811"/>
        <v>Accepted</v>
      </c>
      <c r="S4431" t="str">
        <f t="shared" si="1812"/>
        <v>Approved</v>
      </c>
      <c r="T4431" t="str">
        <f t="shared" si="1813"/>
        <v>10.20.8.188</v>
      </c>
      <c r="U4431" t="str">
        <f t="shared" si="1814"/>
        <v>AZRAD UMAR BIN SHAARI</v>
      </c>
      <c r="V4431" t="str">
        <f t="shared" si="1815"/>
        <v>FARHANA BINTI MUSTAPA</v>
      </c>
      <c r="W4431" t="str">
        <f t="shared" si="1816"/>
        <v>04-08-2020</v>
      </c>
      <c r="X4431" t="str">
        <f t="shared" si="1817"/>
        <v>RAZIMAH ANSAR AHMAD</v>
      </c>
      <c r="Y4431" t="str">
        <f t="shared" si="1818"/>
        <v>04-08-2020</v>
      </c>
      <c r="Z4431" t="str">
        <f>"COS10200804 4723"</f>
        <v>COS10200804 4723</v>
      </c>
    </row>
    <row r="4432" spans="1:26" x14ac:dyDescent="0.25">
      <c r="A4432" t="str">
        <f t="shared" si="1804"/>
        <v>04-08-2020 12:50:26</v>
      </c>
      <c r="B4432" t="str">
        <f>"0000806503"</f>
        <v>0000806503</v>
      </c>
      <c r="C4432" t="str">
        <f t="shared" si="1805"/>
        <v>0000806381</v>
      </c>
      <c r="D4432" t="str">
        <f t="shared" si="1806"/>
        <v>73185</v>
      </c>
      <c r="E4432" t="str">
        <f t="shared" si="1807"/>
        <v>KFH-OPERATIONS DEPARTMENT</v>
      </c>
      <c r="F4432" t="str">
        <f t="shared" si="1808"/>
        <v>IBG</v>
      </c>
      <c r="G4432" t="str">
        <f t="shared" si="1821"/>
        <v>Refund COSHARE 10</v>
      </c>
      <c r="H4432" s="2">
        <v>478.55</v>
      </c>
      <c r="I4432" t="str">
        <f>"HAZILA BINTI MOHAMAD"</f>
        <v>HAZILA BINTI MOHAMAD</v>
      </c>
      <c r="J4432" t="str">
        <f t="shared" si="1797"/>
        <v>MAYBANK / MAYBANK ISLAMIC</v>
      </c>
      <c r="K4432" t="str">
        <f>"157139796557"</f>
        <v>157139796557</v>
      </c>
      <c r="L4432" t="str">
        <f t="shared" si="1819"/>
        <v>04-08-2020</v>
      </c>
      <c r="M4432" t="str">
        <f t="shared" si="1819"/>
        <v>04-08-2020</v>
      </c>
      <c r="N4432" t="str">
        <f t="shared" si="1809"/>
        <v>001105018356</v>
      </c>
      <c r="O4432" t="str">
        <f t="shared" si="1810"/>
        <v>MYR</v>
      </c>
      <c r="P4432" t="str">
        <f t="shared" si="1820"/>
        <v>NIL</v>
      </c>
      <c r="Q4432" t="str">
        <f t="shared" si="1820"/>
        <v>NIL</v>
      </c>
      <c r="R4432" t="str">
        <f t="shared" si="1811"/>
        <v>Accepted</v>
      </c>
      <c r="S4432" t="str">
        <f t="shared" si="1812"/>
        <v>Approved</v>
      </c>
      <c r="T4432" t="str">
        <f t="shared" si="1813"/>
        <v>10.20.8.188</v>
      </c>
      <c r="U4432" t="str">
        <f t="shared" si="1814"/>
        <v>AZRAD UMAR BIN SHAARI</v>
      </c>
      <c r="V4432" t="str">
        <f t="shared" si="1815"/>
        <v>FARHANA BINTI MUSTAPA</v>
      </c>
      <c r="W4432" t="str">
        <f t="shared" si="1816"/>
        <v>04-08-2020</v>
      </c>
      <c r="X4432" t="str">
        <f t="shared" si="1817"/>
        <v>RAZIMAH ANSAR AHMAD</v>
      </c>
      <c r="Y4432" t="str">
        <f t="shared" si="1818"/>
        <v>04-08-2020</v>
      </c>
      <c r="Z4432" t="str">
        <f>"COS10200804 4722"</f>
        <v>COS10200804 4722</v>
      </c>
    </row>
    <row r="4433" spans="1:26" x14ac:dyDescent="0.25">
      <c r="A4433" t="str">
        <f t="shared" si="1804"/>
        <v>04-08-2020 12:50:26</v>
      </c>
      <c r="B4433" t="str">
        <f>"0000806502"</f>
        <v>0000806502</v>
      </c>
      <c r="C4433" t="str">
        <f t="shared" si="1805"/>
        <v>0000806381</v>
      </c>
      <c r="D4433" t="str">
        <f t="shared" si="1806"/>
        <v>73185</v>
      </c>
      <c r="E4433" t="str">
        <f t="shared" si="1807"/>
        <v>KFH-OPERATIONS DEPARTMENT</v>
      </c>
      <c r="F4433" t="str">
        <f t="shared" si="1808"/>
        <v>IBG</v>
      </c>
      <c r="G4433" t="str">
        <f t="shared" si="1821"/>
        <v>Refund COSHARE 10</v>
      </c>
      <c r="H4433" s="2">
        <v>839.5</v>
      </c>
      <c r="I4433" t="str">
        <f>"HAZILA BINTI ABDULLAH"</f>
        <v>HAZILA BINTI ABDULLAH</v>
      </c>
      <c r="J4433" t="str">
        <f t="shared" ref="J4433:J4496" si="1822">"MAYBANK / MAYBANK ISLAMIC"</f>
        <v>MAYBANK / MAYBANK ISLAMIC</v>
      </c>
      <c r="K4433" t="str">
        <f>"162218431642"</f>
        <v>162218431642</v>
      </c>
      <c r="L4433" t="str">
        <f t="shared" si="1819"/>
        <v>04-08-2020</v>
      </c>
      <c r="M4433" t="str">
        <f t="shared" si="1819"/>
        <v>04-08-2020</v>
      </c>
      <c r="N4433" t="str">
        <f t="shared" si="1809"/>
        <v>001105018356</v>
      </c>
      <c r="O4433" t="str">
        <f t="shared" si="1810"/>
        <v>MYR</v>
      </c>
      <c r="P4433" t="str">
        <f t="shared" si="1820"/>
        <v>NIL</v>
      </c>
      <c r="Q4433" t="str">
        <f t="shared" si="1820"/>
        <v>NIL</v>
      </c>
      <c r="R4433" t="str">
        <f t="shared" si="1811"/>
        <v>Accepted</v>
      </c>
      <c r="S4433" t="str">
        <f t="shared" si="1812"/>
        <v>Approved</v>
      </c>
      <c r="T4433" t="str">
        <f t="shared" si="1813"/>
        <v>10.20.8.188</v>
      </c>
      <c r="U4433" t="str">
        <f t="shared" si="1814"/>
        <v>AZRAD UMAR BIN SHAARI</v>
      </c>
      <c r="V4433" t="str">
        <f t="shared" si="1815"/>
        <v>FARHANA BINTI MUSTAPA</v>
      </c>
      <c r="W4433" t="str">
        <f t="shared" si="1816"/>
        <v>04-08-2020</v>
      </c>
      <c r="X4433" t="str">
        <f t="shared" si="1817"/>
        <v>RAZIMAH ANSAR AHMAD</v>
      </c>
      <c r="Y4433" t="str">
        <f t="shared" si="1818"/>
        <v>04-08-2020</v>
      </c>
      <c r="Z4433" t="str">
        <f>"COS10200804 4721"</f>
        <v>COS10200804 4721</v>
      </c>
    </row>
    <row r="4434" spans="1:26" x14ac:dyDescent="0.25">
      <c r="A4434" t="str">
        <f t="shared" si="1804"/>
        <v>04-08-2020 12:50:26</v>
      </c>
      <c r="B4434" t="str">
        <f>"0000806501"</f>
        <v>0000806501</v>
      </c>
      <c r="C4434" t="str">
        <f t="shared" si="1805"/>
        <v>0000806381</v>
      </c>
      <c r="D4434" t="str">
        <f t="shared" si="1806"/>
        <v>73185</v>
      </c>
      <c r="E4434" t="str">
        <f t="shared" si="1807"/>
        <v>KFH-OPERATIONS DEPARTMENT</v>
      </c>
      <c r="F4434" t="str">
        <f t="shared" si="1808"/>
        <v>IBG</v>
      </c>
      <c r="G4434" t="str">
        <f t="shared" si="1821"/>
        <v>Refund COSHARE 10</v>
      </c>
      <c r="H4434" s="2">
        <v>671.6</v>
      </c>
      <c r="I4434" t="str">
        <f>"HAZIAN BINTI WAHAB"</f>
        <v>HAZIAN BINTI WAHAB</v>
      </c>
      <c r="J4434" t="str">
        <f t="shared" si="1822"/>
        <v>MAYBANK / MAYBANK ISLAMIC</v>
      </c>
      <c r="K4434" t="str">
        <f>"106119162945"</f>
        <v>106119162945</v>
      </c>
      <c r="L4434" t="str">
        <f t="shared" si="1819"/>
        <v>04-08-2020</v>
      </c>
      <c r="M4434" t="str">
        <f t="shared" si="1819"/>
        <v>04-08-2020</v>
      </c>
      <c r="N4434" t="str">
        <f t="shared" si="1809"/>
        <v>001105018356</v>
      </c>
      <c r="O4434" t="str">
        <f t="shared" si="1810"/>
        <v>MYR</v>
      </c>
      <c r="P4434" t="str">
        <f t="shared" si="1820"/>
        <v>NIL</v>
      </c>
      <c r="Q4434" t="str">
        <f t="shared" si="1820"/>
        <v>NIL</v>
      </c>
      <c r="R4434" t="str">
        <f t="shared" si="1811"/>
        <v>Accepted</v>
      </c>
      <c r="S4434" t="str">
        <f t="shared" si="1812"/>
        <v>Approved</v>
      </c>
      <c r="T4434" t="str">
        <f t="shared" si="1813"/>
        <v>10.20.8.188</v>
      </c>
      <c r="U4434" t="str">
        <f t="shared" si="1814"/>
        <v>AZRAD UMAR BIN SHAARI</v>
      </c>
      <c r="V4434" t="str">
        <f t="shared" si="1815"/>
        <v>FARHANA BINTI MUSTAPA</v>
      </c>
      <c r="W4434" t="str">
        <f t="shared" si="1816"/>
        <v>04-08-2020</v>
      </c>
      <c r="X4434" t="str">
        <f t="shared" si="1817"/>
        <v>RAZIMAH ANSAR AHMAD</v>
      </c>
      <c r="Y4434" t="str">
        <f t="shared" si="1818"/>
        <v>04-08-2020</v>
      </c>
      <c r="Z4434" t="str">
        <f>"COS10200804 4720"</f>
        <v>COS10200804 4720</v>
      </c>
    </row>
    <row r="4435" spans="1:26" x14ac:dyDescent="0.25">
      <c r="A4435" t="str">
        <f t="shared" si="1804"/>
        <v>04-08-2020 12:50:26</v>
      </c>
      <c r="B4435" t="str">
        <f>"0000806500"</f>
        <v>0000806500</v>
      </c>
      <c r="C4435" t="str">
        <f t="shared" si="1805"/>
        <v>0000806381</v>
      </c>
      <c r="D4435" t="str">
        <f t="shared" si="1806"/>
        <v>73185</v>
      </c>
      <c r="E4435" t="str">
        <f t="shared" si="1807"/>
        <v>KFH-OPERATIONS DEPARTMENT</v>
      </c>
      <c r="F4435" t="str">
        <f t="shared" si="1808"/>
        <v>IBG</v>
      </c>
      <c r="G4435" t="str">
        <f t="shared" si="1821"/>
        <v>Refund COSHARE 10</v>
      </c>
      <c r="H4435" s="2">
        <v>671.6</v>
      </c>
      <c r="I4435" t="str">
        <f>"HAZIAN BINTI WAHAB"</f>
        <v>HAZIAN BINTI WAHAB</v>
      </c>
      <c r="J4435" t="str">
        <f t="shared" si="1822"/>
        <v>MAYBANK / MAYBANK ISLAMIC</v>
      </c>
      <c r="K4435" t="str">
        <f>"106119162945"</f>
        <v>106119162945</v>
      </c>
      <c r="L4435" t="str">
        <f t="shared" si="1819"/>
        <v>04-08-2020</v>
      </c>
      <c r="M4435" t="str">
        <f t="shared" si="1819"/>
        <v>04-08-2020</v>
      </c>
      <c r="N4435" t="str">
        <f t="shared" si="1809"/>
        <v>001105018356</v>
      </c>
      <c r="O4435" t="str">
        <f t="shared" si="1810"/>
        <v>MYR</v>
      </c>
      <c r="P4435" t="str">
        <f t="shared" si="1820"/>
        <v>NIL</v>
      </c>
      <c r="Q4435" t="str">
        <f t="shared" si="1820"/>
        <v>NIL</v>
      </c>
      <c r="R4435" t="str">
        <f t="shared" si="1811"/>
        <v>Accepted</v>
      </c>
      <c r="S4435" t="str">
        <f t="shared" si="1812"/>
        <v>Approved</v>
      </c>
      <c r="T4435" t="str">
        <f t="shared" si="1813"/>
        <v>10.20.8.188</v>
      </c>
      <c r="U4435" t="str">
        <f t="shared" si="1814"/>
        <v>AZRAD UMAR BIN SHAARI</v>
      </c>
      <c r="V4435" t="str">
        <f t="shared" si="1815"/>
        <v>FARHANA BINTI MUSTAPA</v>
      </c>
      <c r="W4435" t="str">
        <f t="shared" si="1816"/>
        <v>04-08-2020</v>
      </c>
      <c r="X4435" t="str">
        <f t="shared" si="1817"/>
        <v>RAZIMAH ANSAR AHMAD</v>
      </c>
      <c r="Y4435" t="str">
        <f t="shared" si="1818"/>
        <v>04-08-2020</v>
      </c>
      <c r="Z4435" t="str">
        <f>"COS10200804 4719"</f>
        <v>COS10200804 4719</v>
      </c>
    </row>
    <row r="4436" spans="1:26" x14ac:dyDescent="0.25">
      <c r="A4436" t="str">
        <f t="shared" si="1804"/>
        <v>04-08-2020 12:50:26</v>
      </c>
      <c r="B4436" t="str">
        <f>"0000806499"</f>
        <v>0000806499</v>
      </c>
      <c r="C4436" t="str">
        <f t="shared" si="1805"/>
        <v>0000806381</v>
      </c>
      <c r="D4436" t="str">
        <f t="shared" si="1806"/>
        <v>73185</v>
      </c>
      <c r="E4436" t="str">
        <f t="shared" si="1807"/>
        <v>KFH-OPERATIONS DEPARTMENT</v>
      </c>
      <c r="F4436" t="str">
        <f t="shared" si="1808"/>
        <v>IBG</v>
      </c>
      <c r="G4436" t="str">
        <f t="shared" si="1821"/>
        <v>Refund COSHARE 10</v>
      </c>
      <c r="H4436" s="2">
        <v>126</v>
      </c>
      <c r="I4436" t="str">
        <f>"HAZELINE BINTI MOHD ZAIN"</f>
        <v>HAZELINE BINTI MOHD ZAIN</v>
      </c>
      <c r="J4436" t="str">
        <f t="shared" si="1822"/>
        <v>MAYBANK / MAYBANK ISLAMIC</v>
      </c>
      <c r="K4436" t="str">
        <f>"164098608511"</f>
        <v>164098608511</v>
      </c>
      <c r="L4436" t="str">
        <f t="shared" si="1819"/>
        <v>04-08-2020</v>
      </c>
      <c r="M4436" t="str">
        <f t="shared" si="1819"/>
        <v>04-08-2020</v>
      </c>
      <c r="N4436" t="str">
        <f t="shared" si="1809"/>
        <v>001105018356</v>
      </c>
      <c r="O4436" t="str">
        <f t="shared" si="1810"/>
        <v>MYR</v>
      </c>
      <c r="P4436" t="str">
        <f t="shared" si="1820"/>
        <v>NIL</v>
      </c>
      <c r="Q4436" t="str">
        <f t="shared" si="1820"/>
        <v>NIL</v>
      </c>
      <c r="R4436" t="str">
        <f t="shared" si="1811"/>
        <v>Accepted</v>
      </c>
      <c r="S4436" t="str">
        <f t="shared" si="1812"/>
        <v>Approved</v>
      </c>
      <c r="T4436" t="str">
        <f t="shared" si="1813"/>
        <v>10.20.8.188</v>
      </c>
      <c r="U4436" t="str">
        <f t="shared" si="1814"/>
        <v>AZRAD UMAR BIN SHAARI</v>
      </c>
      <c r="V4436" t="str">
        <f t="shared" si="1815"/>
        <v>FARHANA BINTI MUSTAPA</v>
      </c>
      <c r="W4436" t="str">
        <f t="shared" si="1816"/>
        <v>04-08-2020</v>
      </c>
      <c r="X4436" t="str">
        <f t="shared" si="1817"/>
        <v>RAZIMAH ANSAR AHMAD</v>
      </c>
      <c r="Y4436" t="str">
        <f t="shared" si="1818"/>
        <v>04-08-2020</v>
      </c>
      <c r="Z4436" t="str">
        <f>"COS10200804 4718"</f>
        <v>COS10200804 4718</v>
      </c>
    </row>
    <row r="4437" spans="1:26" x14ac:dyDescent="0.25">
      <c r="A4437" t="str">
        <f t="shared" si="1804"/>
        <v>04-08-2020 12:50:26</v>
      </c>
      <c r="B4437" t="str">
        <f>"0000806498"</f>
        <v>0000806498</v>
      </c>
      <c r="C4437" t="str">
        <f t="shared" si="1805"/>
        <v>0000806381</v>
      </c>
      <c r="D4437" t="str">
        <f t="shared" si="1806"/>
        <v>73185</v>
      </c>
      <c r="E4437" t="str">
        <f t="shared" si="1807"/>
        <v>KFH-OPERATIONS DEPARTMENT</v>
      </c>
      <c r="F4437" t="str">
        <f t="shared" si="1808"/>
        <v>IBG</v>
      </c>
      <c r="G4437" t="str">
        <f t="shared" si="1821"/>
        <v>Refund COSHARE 10</v>
      </c>
      <c r="H4437" s="2">
        <v>50.4</v>
      </c>
      <c r="I4437" t="str">
        <f>"HAZELINE BINTI MOHD ZAIN"</f>
        <v>HAZELINE BINTI MOHD ZAIN</v>
      </c>
      <c r="J4437" t="str">
        <f t="shared" si="1822"/>
        <v>MAYBANK / MAYBANK ISLAMIC</v>
      </c>
      <c r="K4437" t="str">
        <f>"164098608511"</f>
        <v>164098608511</v>
      </c>
      <c r="L4437" t="str">
        <f t="shared" si="1819"/>
        <v>04-08-2020</v>
      </c>
      <c r="M4437" t="str">
        <f t="shared" si="1819"/>
        <v>04-08-2020</v>
      </c>
      <c r="N4437" t="str">
        <f t="shared" si="1809"/>
        <v>001105018356</v>
      </c>
      <c r="O4437" t="str">
        <f t="shared" si="1810"/>
        <v>MYR</v>
      </c>
      <c r="P4437" t="str">
        <f t="shared" si="1820"/>
        <v>NIL</v>
      </c>
      <c r="Q4437" t="str">
        <f t="shared" si="1820"/>
        <v>NIL</v>
      </c>
      <c r="R4437" t="str">
        <f t="shared" si="1811"/>
        <v>Accepted</v>
      </c>
      <c r="S4437" t="str">
        <f t="shared" si="1812"/>
        <v>Approved</v>
      </c>
      <c r="T4437" t="str">
        <f t="shared" si="1813"/>
        <v>10.20.8.188</v>
      </c>
      <c r="U4437" t="str">
        <f t="shared" si="1814"/>
        <v>AZRAD UMAR BIN SHAARI</v>
      </c>
      <c r="V4437" t="str">
        <f t="shared" si="1815"/>
        <v>FARHANA BINTI MUSTAPA</v>
      </c>
      <c r="W4437" t="str">
        <f t="shared" si="1816"/>
        <v>04-08-2020</v>
      </c>
      <c r="X4437" t="str">
        <f t="shared" si="1817"/>
        <v>RAZIMAH ANSAR AHMAD</v>
      </c>
      <c r="Y4437" t="str">
        <f t="shared" si="1818"/>
        <v>04-08-2020</v>
      </c>
      <c r="Z4437" t="str">
        <f>"COS10200804 4717"</f>
        <v>COS10200804 4717</v>
      </c>
    </row>
    <row r="4438" spans="1:26" x14ac:dyDescent="0.25">
      <c r="A4438" t="str">
        <f t="shared" si="1804"/>
        <v>04-08-2020 12:50:26</v>
      </c>
      <c r="B4438" t="str">
        <f>"0000806497"</f>
        <v>0000806497</v>
      </c>
      <c r="C4438" t="str">
        <f t="shared" si="1805"/>
        <v>0000806381</v>
      </c>
      <c r="D4438" t="str">
        <f t="shared" si="1806"/>
        <v>73185</v>
      </c>
      <c r="E4438" t="str">
        <f t="shared" si="1807"/>
        <v>KFH-OPERATIONS DEPARTMENT</v>
      </c>
      <c r="F4438" t="str">
        <f t="shared" si="1808"/>
        <v>IBG</v>
      </c>
      <c r="G4438" t="str">
        <f t="shared" si="1821"/>
        <v>Refund COSHARE 10</v>
      </c>
      <c r="H4438" s="2">
        <v>125.95</v>
      </c>
      <c r="I4438" t="str">
        <f>"HAZEELIN BINTI MOHD SHARIFF"</f>
        <v>HAZEELIN BINTI MOHD SHARIFF</v>
      </c>
      <c r="J4438" t="str">
        <f t="shared" si="1822"/>
        <v>MAYBANK / MAYBANK ISLAMIC</v>
      </c>
      <c r="K4438" t="str">
        <f>"151191003011"</f>
        <v>151191003011</v>
      </c>
      <c r="L4438" t="str">
        <f t="shared" si="1819"/>
        <v>04-08-2020</v>
      </c>
      <c r="M4438" t="str">
        <f t="shared" si="1819"/>
        <v>04-08-2020</v>
      </c>
      <c r="N4438" t="str">
        <f t="shared" si="1809"/>
        <v>001105018356</v>
      </c>
      <c r="O4438" t="str">
        <f t="shared" si="1810"/>
        <v>MYR</v>
      </c>
      <c r="P4438" t="str">
        <f t="shared" si="1820"/>
        <v>NIL</v>
      </c>
      <c r="Q4438" t="str">
        <f t="shared" si="1820"/>
        <v>NIL</v>
      </c>
      <c r="R4438" t="str">
        <f t="shared" si="1811"/>
        <v>Accepted</v>
      </c>
      <c r="S4438" t="str">
        <f t="shared" si="1812"/>
        <v>Approved</v>
      </c>
      <c r="T4438" t="str">
        <f t="shared" si="1813"/>
        <v>10.20.8.188</v>
      </c>
      <c r="U4438" t="str">
        <f t="shared" si="1814"/>
        <v>AZRAD UMAR BIN SHAARI</v>
      </c>
      <c r="V4438" t="str">
        <f t="shared" si="1815"/>
        <v>FARHANA BINTI MUSTAPA</v>
      </c>
      <c r="W4438" t="str">
        <f t="shared" si="1816"/>
        <v>04-08-2020</v>
      </c>
      <c r="X4438" t="str">
        <f t="shared" si="1817"/>
        <v>RAZIMAH ANSAR AHMAD</v>
      </c>
      <c r="Y4438" t="str">
        <f t="shared" si="1818"/>
        <v>04-08-2020</v>
      </c>
      <c r="Z4438" t="str">
        <f>"COS10200804 4716"</f>
        <v>COS10200804 4716</v>
      </c>
    </row>
    <row r="4439" spans="1:26" x14ac:dyDescent="0.25">
      <c r="A4439" t="str">
        <f t="shared" si="1804"/>
        <v>04-08-2020 12:50:26</v>
      </c>
      <c r="B4439" t="str">
        <f>"0000806496"</f>
        <v>0000806496</v>
      </c>
      <c r="C4439" t="str">
        <f t="shared" si="1805"/>
        <v>0000806381</v>
      </c>
      <c r="D4439" t="str">
        <f t="shared" si="1806"/>
        <v>73185</v>
      </c>
      <c r="E4439" t="str">
        <f t="shared" si="1807"/>
        <v>KFH-OPERATIONS DEPARTMENT</v>
      </c>
      <c r="F4439" t="str">
        <f t="shared" si="1808"/>
        <v>IBG</v>
      </c>
      <c r="G4439" t="str">
        <f t="shared" si="1821"/>
        <v>Refund COSHARE 10</v>
      </c>
      <c r="H4439" s="2">
        <v>268.64999999999998</v>
      </c>
      <c r="I4439" t="str">
        <f>"HAYATIN BINTI ABD MUHID"</f>
        <v>HAYATIN BINTI ABD MUHID</v>
      </c>
      <c r="J4439" t="str">
        <f t="shared" si="1822"/>
        <v>MAYBANK / MAYBANK ISLAMIC</v>
      </c>
      <c r="K4439" t="str">
        <f>"112205017787"</f>
        <v>112205017787</v>
      </c>
      <c r="L4439" t="str">
        <f t="shared" si="1819"/>
        <v>04-08-2020</v>
      </c>
      <c r="M4439" t="str">
        <f t="shared" si="1819"/>
        <v>04-08-2020</v>
      </c>
      <c r="N4439" t="str">
        <f t="shared" si="1809"/>
        <v>001105018356</v>
      </c>
      <c r="O4439" t="str">
        <f t="shared" si="1810"/>
        <v>MYR</v>
      </c>
      <c r="P4439" t="str">
        <f t="shared" si="1820"/>
        <v>NIL</v>
      </c>
      <c r="Q4439" t="str">
        <f t="shared" si="1820"/>
        <v>NIL</v>
      </c>
      <c r="R4439" t="str">
        <f t="shared" si="1811"/>
        <v>Accepted</v>
      </c>
      <c r="S4439" t="str">
        <f t="shared" si="1812"/>
        <v>Approved</v>
      </c>
      <c r="T4439" t="str">
        <f t="shared" si="1813"/>
        <v>10.20.8.188</v>
      </c>
      <c r="U4439" t="str">
        <f t="shared" si="1814"/>
        <v>AZRAD UMAR BIN SHAARI</v>
      </c>
      <c r="V4439" t="str">
        <f t="shared" si="1815"/>
        <v>FARHANA BINTI MUSTAPA</v>
      </c>
      <c r="W4439" t="str">
        <f t="shared" si="1816"/>
        <v>04-08-2020</v>
      </c>
      <c r="X4439" t="str">
        <f t="shared" si="1817"/>
        <v>RAZIMAH ANSAR AHMAD</v>
      </c>
      <c r="Y4439" t="str">
        <f t="shared" si="1818"/>
        <v>04-08-2020</v>
      </c>
      <c r="Z4439" t="str">
        <f>"COS10200804 4715"</f>
        <v>COS10200804 4715</v>
      </c>
    </row>
    <row r="4440" spans="1:26" x14ac:dyDescent="0.25">
      <c r="A4440" t="str">
        <f t="shared" si="1804"/>
        <v>04-08-2020 12:50:26</v>
      </c>
      <c r="B4440" t="str">
        <f>"0000806495"</f>
        <v>0000806495</v>
      </c>
      <c r="C4440" t="str">
        <f t="shared" si="1805"/>
        <v>0000806381</v>
      </c>
      <c r="D4440" t="str">
        <f t="shared" si="1806"/>
        <v>73185</v>
      </c>
      <c r="E4440" t="str">
        <f t="shared" si="1807"/>
        <v>KFH-OPERATIONS DEPARTMENT</v>
      </c>
      <c r="F4440" t="str">
        <f t="shared" si="1808"/>
        <v>IBG</v>
      </c>
      <c r="G4440" t="str">
        <f t="shared" si="1821"/>
        <v>Refund COSHARE 10</v>
      </c>
      <c r="H4440" s="2">
        <v>85</v>
      </c>
      <c r="I4440" t="str">
        <f>"HAYATI BINTI TALIB  WAHAB"</f>
        <v>HAYATI BINTI TALIB  WAHAB</v>
      </c>
      <c r="J4440" t="str">
        <f t="shared" si="1822"/>
        <v>MAYBANK / MAYBANK ISLAMIC</v>
      </c>
      <c r="K4440" t="str">
        <f>"151146004794"</f>
        <v>151146004794</v>
      </c>
      <c r="L4440" t="str">
        <f t="shared" si="1819"/>
        <v>04-08-2020</v>
      </c>
      <c r="M4440" t="str">
        <f t="shared" si="1819"/>
        <v>04-08-2020</v>
      </c>
      <c r="N4440" t="str">
        <f t="shared" si="1809"/>
        <v>001105018356</v>
      </c>
      <c r="O4440" t="str">
        <f t="shared" si="1810"/>
        <v>MYR</v>
      </c>
      <c r="P4440" t="str">
        <f t="shared" si="1820"/>
        <v>NIL</v>
      </c>
      <c r="Q4440" t="str">
        <f t="shared" si="1820"/>
        <v>NIL</v>
      </c>
      <c r="R4440" t="str">
        <f t="shared" si="1811"/>
        <v>Accepted</v>
      </c>
      <c r="S4440" t="str">
        <f t="shared" si="1812"/>
        <v>Approved</v>
      </c>
      <c r="T4440" t="str">
        <f t="shared" si="1813"/>
        <v>10.20.8.188</v>
      </c>
      <c r="U4440" t="str">
        <f t="shared" si="1814"/>
        <v>AZRAD UMAR BIN SHAARI</v>
      </c>
      <c r="V4440" t="str">
        <f t="shared" si="1815"/>
        <v>FARHANA BINTI MUSTAPA</v>
      </c>
      <c r="W4440" t="str">
        <f t="shared" si="1816"/>
        <v>04-08-2020</v>
      </c>
      <c r="X4440" t="str">
        <f t="shared" si="1817"/>
        <v>RAZIMAH ANSAR AHMAD</v>
      </c>
      <c r="Y4440" t="str">
        <f t="shared" si="1818"/>
        <v>04-08-2020</v>
      </c>
      <c r="Z4440" t="str">
        <f>"COS10200804 4714"</f>
        <v>COS10200804 4714</v>
      </c>
    </row>
    <row r="4441" spans="1:26" x14ac:dyDescent="0.25">
      <c r="A4441" t="str">
        <f t="shared" si="1804"/>
        <v>04-08-2020 12:50:26</v>
      </c>
      <c r="B4441" t="str">
        <f>"0000806494"</f>
        <v>0000806494</v>
      </c>
      <c r="C4441" t="str">
        <f t="shared" si="1805"/>
        <v>0000806381</v>
      </c>
      <c r="D4441" t="str">
        <f t="shared" si="1806"/>
        <v>73185</v>
      </c>
      <c r="E4441" t="str">
        <f t="shared" si="1807"/>
        <v>KFH-OPERATIONS DEPARTMENT</v>
      </c>
      <c r="F4441" t="str">
        <f t="shared" si="1808"/>
        <v>IBG</v>
      </c>
      <c r="G4441" t="str">
        <f t="shared" si="1821"/>
        <v>Refund COSHARE 10</v>
      </c>
      <c r="H4441" s="2">
        <v>155.19999999999999</v>
      </c>
      <c r="I4441" t="str">
        <f>"HAYATI BINTI MAT YAACOB  MOHD YUSOFF"</f>
        <v>HAYATI BINTI MAT YAACOB  MOHD YUSOFF</v>
      </c>
      <c r="J4441" t="str">
        <f t="shared" si="1822"/>
        <v>MAYBANK / MAYBANK ISLAMIC</v>
      </c>
      <c r="K4441" t="str">
        <f>"114217085120"</f>
        <v>114217085120</v>
      </c>
      <c r="L4441" t="str">
        <f t="shared" si="1819"/>
        <v>04-08-2020</v>
      </c>
      <c r="M4441" t="str">
        <f t="shared" si="1819"/>
        <v>04-08-2020</v>
      </c>
      <c r="N4441" t="str">
        <f t="shared" si="1809"/>
        <v>001105018356</v>
      </c>
      <c r="O4441" t="str">
        <f t="shared" si="1810"/>
        <v>MYR</v>
      </c>
      <c r="P4441" t="str">
        <f t="shared" si="1820"/>
        <v>NIL</v>
      </c>
      <c r="Q4441" t="str">
        <f t="shared" si="1820"/>
        <v>NIL</v>
      </c>
      <c r="R4441" t="str">
        <f t="shared" si="1811"/>
        <v>Accepted</v>
      </c>
      <c r="S4441" t="str">
        <f t="shared" si="1812"/>
        <v>Approved</v>
      </c>
      <c r="T4441" t="str">
        <f t="shared" si="1813"/>
        <v>10.20.8.188</v>
      </c>
      <c r="U4441" t="str">
        <f t="shared" si="1814"/>
        <v>AZRAD UMAR BIN SHAARI</v>
      </c>
      <c r="V4441" t="str">
        <f t="shared" si="1815"/>
        <v>FARHANA BINTI MUSTAPA</v>
      </c>
      <c r="W4441" t="str">
        <f t="shared" si="1816"/>
        <v>04-08-2020</v>
      </c>
      <c r="X4441" t="str">
        <f t="shared" si="1817"/>
        <v>RAZIMAH ANSAR AHMAD</v>
      </c>
      <c r="Y4441" t="str">
        <f t="shared" si="1818"/>
        <v>04-08-2020</v>
      </c>
      <c r="Z4441" t="str">
        <f>"COS10200804 4713"</f>
        <v>COS10200804 4713</v>
      </c>
    </row>
    <row r="4442" spans="1:26" x14ac:dyDescent="0.25">
      <c r="A4442" t="str">
        <f t="shared" si="1804"/>
        <v>04-08-2020 12:50:26</v>
      </c>
      <c r="B4442" t="str">
        <f>"0000806493"</f>
        <v>0000806493</v>
      </c>
      <c r="C4442" t="str">
        <f t="shared" si="1805"/>
        <v>0000806381</v>
      </c>
      <c r="D4442" t="str">
        <f t="shared" si="1806"/>
        <v>73185</v>
      </c>
      <c r="E4442" t="str">
        <f t="shared" si="1807"/>
        <v>KFH-OPERATIONS DEPARTMENT</v>
      </c>
      <c r="F4442" t="str">
        <f t="shared" si="1808"/>
        <v>IBG</v>
      </c>
      <c r="G4442" t="str">
        <f t="shared" si="1821"/>
        <v>Refund COSHARE 10</v>
      </c>
      <c r="H4442" s="2">
        <v>254.1</v>
      </c>
      <c r="I4442" t="str">
        <f>"HAYANA BINTI KHAIRUDIN"</f>
        <v>HAYANA BINTI KHAIRUDIN</v>
      </c>
      <c r="J4442" t="str">
        <f t="shared" si="1822"/>
        <v>MAYBANK / MAYBANK ISLAMIC</v>
      </c>
      <c r="K4442" t="str">
        <f>"151044018421"</f>
        <v>151044018421</v>
      </c>
      <c r="L4442" t="str">
        <f t="shared" si="1819"/>
        <v>04-08-2020</v>
      </c>
      <c r="M4442" t="str">
        <f t="shared" si="1819"/>
        <v>04-08-2020</v>
      </c>
      <c r="N4442" t="str">
        <f t="shared" si="1809"/>
        <v>001105018356</v>
      </c>
      <c r="O4442" t="str">
        <f t="shared" si="1810"/>
        <v>MYR</v>
      </c>
      <c r="P4442" t="str">
        <f t="shared" si="1820"/>
        <v>NIL</v>
      </c>
      <c r="Q4442" t="str">
        <f t="shared" si="1820"/>
        <v>NIL</v>
      </c>
      <c r="R4442" t="str">
        <f t="shared" si="1811"/>
        <v>Accepted</v>
      </c>
      <c r="S4442" t="str">
        <f t="shared" si="1812"/>
        <v>Approved</v>
      </c>
      <c r="T4442" t="str">
        <f t="shared" si="1813"/>
        <v>10.20.8.188</v>
      </c>
      <c r="U4442" t="str">
        <f t="shared" si="1814"/>
        <v>AZRAD UMAR BIN SHAARI</v>
      </c>
      <c r="V4442" t="str">
        <f t="shared" si="1815"/>
        <v>FARHANA BINTI MUSTAPA</v>
      </c>
      <c r="W4442" t="str">
        <f t="shared" si="1816"/>
        <v>04-08-2020</v>
      </c>
      <c r="X4442" t="str">
        <f t="shared" si="1817"/>
        <v>RAZIMAH ANSAR AHMAD</v>
      </c>
      <c r="Y4442" t="str">
        <f t="shared" si="1818"/>
        <v>04-08-2020</v>
      </c>
      <c r="Z4442" t="str">
        <f>"COS10200804 4712"</f>
        <v>COS10200804 4712</v>
      </c>
    </row>
    <row r="4443" spans="1:26" x14ac:dyDescent="0.25">
      <c r="A4443" t="str">
        <f t="shared" si="1804"/>
        <v>04-08-2020 12:50:26</v>
      </c>
      <c r="B4443" t="str">
        <f>"0000806492"</f>
        <v>0000806492</v>
      </c>
      <c r="C4443" t="str">
        <f t="shared" si="1805"/>
        <v>0000806381</v>
      </c>
      <c r="D4443" t="str">
        <f t="shared" si="1806"/>
        <v>73185</v>
      </c>
      <c r="E4443" t="str">
        <f t="shared" si="1807"/>
        <v>KFH-OPERATIONS DEPARTMENT</v>
      </c>
      <c r="F4443" t="str">
        <f t="shared" si="1808"/>
        <v>IBG</v>
      </c>
      <c r="G4443" t="str">
        <f t="shared" si="1821"/>
        <v>Refund COSHARE 10</v>
      </c>
      <c r="H4443" s="2">
        <v>864.7</v>
      </c>
      <c r="I4443" t="str">
        <f>"HAWINA BINTI ALI"</f>
        <v>HAWINA BINTI ALI</v>
      </c>
      <c r="J4443" t="str">
        <f t="shared" si="1822"/>
        <v>MAYBANK / MAYBANK ISLAMIC</v>
      </c>
      <c r="K4443" t="str">
        <f>"161024398811"</f>
        <v>161024398811</v>
      </c>
      <c r="L4443" t="str">
        <f t="shared" si="1819"/>
        <v>04-08-2020</v>
      </c>
      <c r="M4443" t="str">
        <f t="shared" si="1819"/>
        <v>04-08-2020</v>
      </c>
      <c r="N4443" t="str">
        <f t="shared" si="1809"/>
        <v>001105018356</v>
      </c>
      <c r="O4443" t="str">
        <f t="shared" si="1810"/>
        <v>MYR</v>
      </c>
      <c r="P4443" t="str">
        <f t="shared" si="1820"/>
        <v>NIL</v>
      </c>
      <c r="Q4443" t="str">
        <f t="shared" si="1820"/>
        <v>NIL</v>
      </c>
      <c r="R4443" t="str">
        <f t="shared" si="1811"/>
        <v>Accepted</v>
      </c>
      <c r="S4443" t="str">
        <f t="shared" si="1812"/>
        <v>Approved</v>
      </c>
      <c r="T4443" t="str">
        <f t="shared" si="1813"/>
        <v>10.20.8.188</v>
      </c>
      <c r="U4443" t="str">
        <f t="shared" si="1814"/>
        <v>AZRAD UMAR BIN SHAARI</v>
      </c>
      <c r="V4443" t="str">
        <f t="shared" si="1815"/>
        <v>FARHANA BINTI MUSTAPA</v>
      </c>
      <c r="W4443" t="str">
        <f t="shared" si="1816"/>
        <v>04-08-2020</v>
      </c>
      <c r="X4443" t="str">
        <f t="shared" si="1817"/>
        <v>RAZIMAH ANSAR AHMAD</v>
      </c>
      <c r="Y4443" t="str">
        <f t="shared" si="1818"/>
        <v>04-08-2020</v>
      </c>
      <c r="Z4443" t="str">
        <f>"COS10200804 4711"</f>
        <v>COS10200804 4711</v>
      </c>
    </row>
    <row r="4444" spans="1:26" x14ac:dyDescent="0.25">
      <c r="A4444" t="str">
        <f t="shared" si="1804"/>
        <v>04-08-2020 12:50:26</v>
      </c>
      <c r="B4444" t="str">
        <f>"0000806491"</f>
        <v>0000806491</v>
      </c>
      <c r="C4444" t="str">
        <f t="shared" si="1805"/>
        <v>0000806381</v>
      </c>
      <c r="D4444" t="str">
        <f t="shared" si="1806"/>
        <v>73185</v>
      </c>
      <c r="E4444" t="str">
        <f t="shared" si="1807"/>
        <v>KFH-OPERATIONS DEPARTMENT</v>
      </c>
      <c r="F4444" t="str">
        <f t="shared" si="1808"/>
        <v>IBG</v>
      </c>
      <c r="G4444" t="str">
        <f t="shared" si="1821"/>
        <v>Refund COSHARE 10</v>
      </c>
      <c r="H4444" s="2">
        <v>1292.8499999999999</v>
      </c>
      <c r="I4444" t="str">
        <f>"HASZARUL AFFENDY HAKKIM BIN ASAMAD"</f>
        <v>HASZARUL AFFENDY HAKKIM BIN ASAMAD</v>
      </c>
      <c r="J4444" t="str">
        <f t="shared" si="1822"/>
        <v>MAYBANK / MAYBANK ISLAMIC</v>
      </c>
      <c r="K4444" t="str">
        <f>"101067795920"</f>
        <v>101067795920</v>
      </c>
      <c r="L4444" t="str">
        <f t="shared" si="1819"/>
        <v>04-08-2020</v>
      </c>
      <c r="M4444" t="str">
        <f t="shared" si="1819"/>
        <v>04-08-2020</v>
      </c>
      <c r="N4444" t="str">
        <f t="shared" si="1809"/>
        <v>001105018356</v>
      </c>
      <c r="O4444" t="str">
        <f t="shared" si="1810"/>
        <v>MYR</v>
      </c>
      <c r="P4444" t="str">
        <f t="shared" si="1820"/>
        <v>NIL</v>
      </c>
      <c r="Q4444" t="str">
        <f t="shared" si="1820"/>
        <v>NIL</v>
      </c>
      <c r="R4444" t="str">
        <f t="shared" si="1811"/>
        <v>Accepted</v>
      </c>
      <c r="S4444" t="str">
        <f t="shared" si="1812"/>
        <v>Approved</v>
      </c>
      <c r="T4444" t="str">
        <f t="shared" si="1813"/>
        <v>10.20.8.188</v>
      </c>
      <c r="U4444" t="str">
        <f t="shared" si="1814"/>
        <v>AZRAD UMAR BIN SHAARI</v>
      </c>
      <c r="V4444" t="str">
        <f t="shared" si="1815"/>
        <v>FARHANA BINTI MUSTAPA</v>
      </c>
      <c r="W4444" t="str">
        <f t="shared" si="1816"/>
        <v>04-08-2020</v>
      </c>
      <c r="X4444" t="str">
        <f t="shared" si="1817"/>
        <v>RAZIMAH ANSAR AHMAD</v>
      </c>
      <c r="Y4444" t="str">
        <f t="shared" si="1818"/>
        <v>04-08-2020</v>
      </c>
      <c r="Z4444" t="str">
        <f>"COS10200804 4710"</f>
        <v>COS10200804 4710</v>
      </c>
    </row>
    <row r="4445" spans="1:26" x14ac:dyDescent="0.25">
      <c r="A4445" t="str">
        <f t="shared" si="1804"/>
        <v>04-08-2020 12:50:26</v>
      </c>
      <c r="B4445" t="str">
        <f>"0000806490"</f>
        <v>0000806490</v>
      </c>
      <c r="C4445" t="str">
        <f t="shared" si="1805"/>
        <v>0000806381</v>
      </c>
      <c r="D4445" t="str">
        <f t="shared" si="1806"/>
        <v>73185</v>
      </c>
      <c r="E4445" t="str">
        <f t="shared" si="1807"/>
        <v>KFH-OPERATIONS DEPARTMENT</v>
      </c>
      <c r="F4445" t="str">
        <f t="shared" si="1808"/>
        <v>IBG</v>
      </c>
      <c r="G4445" t="str">
        <f t="shared" si="1821"/>
        <v>Refund COSHARE 10</v>
      </c>
      <c r="H4445" s="2">
        <v>369.4</v>
      </c>
      <c r="I4445" t="str">
        <f>"HASSURAYA BINTI YUSOFF"</f>
        <v>HASSURAYA BINTI YUSOFF</v>
      </c>
      <c r="J4445" t="str">
        <f t="shared" si="1822"/>
        <v>MAYBANK / MAYBANK ISLAMIC</v>
      </c>
      <c r="K4445" t="str">
        <f>"154101040885"</f>
        <v>154101040885</v>
      </c>
      <c r="L4445" t="str">
        <f t="shared" si="1819"/>
        <v>04-08-2020</v>
      </c>
      <c r="M4445" t="str">
        <f t="shared" si="1819"/>
        <v>04-08-2020</v>
      </c>
      <c r="N4445" t="str">
        <f t="shared" si="1809"/>
        <v>001105018356</v>
      </c>
      <c r="O4445" t="str">
        <f t="shared" si="1810"/>
        <v>MYR</v>
      </c>
      <c r="P4445" t="str">
        <f t="shared" si="1820"/>
        <v>NIL</v>
      </c>
      <c r="Q4445" t="str">
        <f t="shared" si="1820"/>
        <v>NIL</v>
      </c>
      <c r="R4445" t="str">
        <f t="shared" si="1811"/>
        <v>Accepted</v>
      </c>
      <c r="S4445" t="str">
        <f t="shared" si="1812"/>
        <v>Approved</v>
      </c>
      <c r="T4445" t="str">
        <f t="shared" si="1813"/>
        <v>10.20.8.188</v>
      </c>
      <c r="U4445" t="str">
        <f t="shared" si="1814"/>
        <v>AZRAD UMAR BIN SHAARI</v>
      </c>
      <c r="V4445" t="str">
        <f t="shared" si="1815"/>
        <v>FARHANA BINTI MUSTAPA</v>
      </c>
      <c r="W4445" t="str">
        <f t="shared" si="1816"/>
        <v>04-08-2020</v>
      </c>
      <c r="X4445" t="str">
        <f t="shared" si="1817"/>
        <v>RAZIMAH ANSAR AHMAD</v>
      </c>
      <c r="Y4445" t="str">
        <f t="shared" si="1818"/>
        <v>04-08-2020</v>
      </c>
      <c r="Z4445" t="str">
        <f>"COS10200804 4709"</f>
        <v>COS10200804 4709</v>
      </c>
    </row>
    <row r="4446" spans="1:26" x14ac:dyDescent="0.25">
      <c r="A4446" t="str">
        <f t="shared" si="1804"/>
        <v>04-08-2020 12:50:26</v>
      </c>
      <c r="B4446" t="str">
        <f>"0000806489"</f>
        <v>0000806489</v>
      </c>
      <c r="C4446" t="str">
        <f t="shared" si="1805"/>
        <v>0000806381</v>
      </c>
      <c r="D4446" t="str">
        <f t="shared" si="1806"/>
        <v>73185</v>
      </c>
      <c r="E4446" t="str">
        <f t="shared" si="1807"/>
        <v>KFH-OPERATIONS DEPARTMENT</v>
      </c>
      <c r="F4446" t="str">
        <f t="shared" si="1808"/>
        <v>IBG</v>
      </c>
      <c r="G4446" t="str">
        <f t="shared" si="1821"/>
        <v>Refund COSHARE 10</v>
      </c>
      <c r="H4446" s="2">
        <v>344</v>
      </c>
      <c r="I4446" t="str">
        <f>"HASSAN BIN MANSOR"</f>
        <v>HASSAN BIN MANSOR</v>
      </c>
      <c r="J4446" t="str">
        <f t="shared" si="1822"/>
        <v>MAYBANK / MAYBANK ISLAMIC</v>
      </c>
      <c r="K4446" t="str">
        <f>"162740030605"</f>
        <v>162740030605</v>
      </c>
      <c r="L4446" t="str">
        <f t="shared" si="1819"/>
        <v>04-08-2020</v>
      </c>
      <c r="M4446" t="str">
        <f t="shared" si="1819"/>
        <v>04-08-2020</v>
      </c>
      <c r="N4446" t="str">
        <f t="shared" si="1809"/>
        <v>001105018356</v>
      </c>
      <c r="O4446" t="str">
        <f t="shared" si="1810"/>
        <v>MYR</v>
      </c>
      <c r="P4446" t="str">
        <f t="shared" si="1820"/>
        <v>NIL</v>
      </c>
      <c r="Q4446" t="str">
        <f t="shared" si="1820"/>
        <v>NIL</v>
      </c>
      <c r="R4446" t="str">
        <f t="shared" si="1811"/>
        <v>Accepted</v>
      </c>
      <c r="S4446" t="str">
        <f t="shared" si="1812"/>
        <v>Approved</v>
      </c>
      <c r="T4446" t="str">
        <f t="shared" si="1813"/>
        <v>10.20.8.188</v>
      </c>
      <c r="U4446" t="str">
        <f t="shared" si="1814"/>
        <v>AZRAD UMAR BIN SHAARI</v>
      </c>
      <c r="V4446" t="str">
        <f t="shared" si="1815"/>
        <v>FARHANA BINTI MUSTAPA</v>
      </c>
      <c r="W4446" t="str">
        <f t="shared" si="1816"/>
        <v>04-08-2020</v>
      </c>
      <c r="X4446" t="str">
        <f t="shared" si="1817"/>
        <v>RAZIMAH ANSAR AHMAD</v>
      </c>
      <c r="Y4446" t="str">
        <f t="shared" si="1818"/>
        <v>04-08-2020</v>
      </c>
      <c r="Z4446" t="str">
        <f>"COS10200804 4708"</f>
        <v>COS10200804 4708</v>
      </c>
    </row>
    <row r="4447" spans="1:26" x14ac:dyDescent="0.25">
      <c r="A4447" t="str">
        <f t="shared" si="1804"/>
        <v>04-08-2020 12:50:26</v>
      </c>
      <c r="B4447" t="str">
        <f>"0000806488"</f>
        <v>0000806488</v>
      </c>
      <c r="C4447" t="str">
        <f t="shared" si="1805"/>
        <v>0000806381</v>
      </c>
      <c r="D4447" t="str">
        <f t="shared" si="1806"/>
        <v>73185</v>
      </c>
      <c r="E4447" t="str">
        <f t="shared" si="1807"/>
        <v>KFH-OPERATIONS DEPARTMENT</v>
      </c>
      <c r="F4447" t="str">
        <f t="shared" si="1808"/>
        <v>IBG</v>
      </c>
      <c r="G4447" t="str">
        <f t="shared" si="1821"/>
        <v>Refund COSHARE 10</v>
      </c>
      <c r="H4447" s="2">
        <v>453.35</v>
      </c>
      <c r="I4447" t="str">
        <f>"HASRUL HISHAM BIN HUSSAIN"</f>
        <v>HASRUL HISHAM BIN HUSSAIN</v>
      </c>
      <c r="J4447" t="str">
        <f t="shared" si="1822"/>
        <v>MAYBANK / MAYBANK ISLAMIC</v>
      </c>
      <c r="K4447" t="str">
        <f>"112026003933"</f>
        <v>112026003933</v>
      </c>
      <c r="L4447" t="str">
        <f t="shared" ref="L4447:M4466" si="1823">"04-08-2020"</f>
        <v>04-08-2020</v>
      </c>
      <c r="M4447" t="str">
        <f t="shared" si="1823"/>
        <v>04-08-2020</v>
      </c>
      <c r="N4447" t="str">
        <f t="shared" si="1809"/>
        <v>001105018356</v>
      </c>
      <c r="O4447" t="str">
        <f t="shared" si="1810"/>
        <v>MYR</v>
      </c>
      <c r="P4447" t="str">
        <f t="shared" ref="P4447:Q4466" si="1824">"NIL"</f>
        <v>NIL</v>
      </c>
      <c r="Q4447" t="str">
        <f t="shared" si="1824"/>
        <v>NIL</v>
      </c>
      <c r="R4447" t="str">
        <f t="shared" si="1811"/>
        <v>Accepted</v>
      </c>
      <c r="S4447" t="str">
        <f t="shared" si="1812"/>
        <v>Approved</v>
      </c>
      <c r="T4447" t="str">
        <f t="shared" si="1813"/>
        <v>10.20.8.188</v>
      </c>
      <c r="U4447" t="str">
        <f t="shared" si="1814"/>
        <v>AZRAD UMAR BIN SHAARI</v>
      </c>
      <c r="V4447" t="str">
        <f t="shared" si="1815"/>
        <v>FARHANA BINTI MUSTAPA</v>
      </c>
      <c r="W4447" t="str">
        <f t="shared" si="1816"/>
        <v>04-08-2020</v>
      </c>
      <c r="X4447" t="str">
        <f t="shared" si="1817"/>
        <v>RAZIMAH ANSAR AHMAD</v>
      </c>
      <c r="Y4447" t="str">
        <f t="shared" si="1818"/>
        <v>04-08-2020</v>
      </c>
      <c r="Z4447" t="str">
        <f>"COS10200804 4707"</f>
        <v>COS10200804 4707</v>
      </c>
    </row>
    <row r="4448" spans="1:26" x14ac:dyDescent="0.25">
      <c r="A4448" t="str">
        <f t="shared" si="1804"/>
        <v>04-08-2020 12:50:26</v>
      </c>
      <c r="B4448" t="str">
        <f>"0000806487"</f>
        <v>0000806487</v>
      </c>
      <c r="C4448" t="str">
        <f t="shared" si="1805"/>
        <v>0000806381</v>
      </c>
      <c r="D4448" t="str">
        <f t="shared" si="1806"/>
        <v>73185</v>
      </c>
      <c r="E4448" t="str">
        <f t="shared" si="1807"/>
        <v>KFH-OPERATIONS DEPARTMENT</v>
      </c>
      <c r="F4448" t="str">
        <f t="shared" si="1808"/>
        <v>IBG</v>
      </c>
      <c r="G4448" t="str">
        <f t="shared" si="1821"/>
        <v>Refund COSHARE 10</v>
      </c>
      <c r="H4448" s="2">
        <v>125.95</v>
      </c>
      <c r="I4448" t="str">
        <f>"HASROL NIZAM BIN HUSSAIN"</f>
        <v>HASROL NIZAM BIN HUSSAIN</v>
      </c>
      <c r="J4448" t="str">
        <f t="shared" si="1822"/>
        <v>MAYBANK / MAYBANK ISLAMIC</v>
      </c>
      <c r="K4448" t="str">
        <f>"158088184786"</f>
        <v>158088184786</v>
      </c>
      <c r="L4448" t="str">
        <f t="shared" si="1823"/>
        <v>04-08-2020</v>
      </c>
      <c r="M4448" t="str">
        <f t="shared" si="1823"/>
        <v>04-08-2020</v>
      </c>
      <c r="N4448" t="str">
        <f t="shared" si="1809"/>
        <v>001105018356</v>
      </c>
      <c r="O4448" t="str">
        <f t="shared" si="1810"/>
        <v>MYR</v>
      </c>
      <c r="P4448" t="str">
        <f t="shared" si="1824"/>
        <v>NIL</v>
      </c>
      <c r="Q4448" t="str">
        <f t="shared" si="1824"/>
        <v>NIL</v>
      </c>
      <c r="R4448" t="str">
        <f t="shared" si="1811"/>
        <v>Accepted</v>
      </c>
      <c r="S4448" t="str">
        <f t="shared" si="1812"/>
        <v>Approved</v>
      </c>
      <c r="T4448" t="str">
        <f t="shared" si="1813"/>
        <v>10.20.8.188</v>
      </c>
      <c r="U4448" t="str">
        <f t="shared" si="1814"/>
        <v>AZRAD UMAR BIN SHAARI</v>
      </c>
      <c r="V4448" t="str">
        <f t="shared" si="1815"/>
        <v>FARHANA BINTI MUSTAPA</v>
      </c>
      <c r="W4448" t="str">
        <f t="shared" si="1816"/>
        <v>04-08-2020</v>
      </c>
      <c r="X4448" t="str">
        <f t="shared" si="1817"/>
        <v>RAZIMAH ANSAR AHMAD</v>
      </c>
      <c r="Y4448" t="str">
        <f t="shared" si="1818"/>
        <v>04-08-2020</v>
      </c>
      <c r="Z4448" t="str">
        <f>"COS10200804 4706"</f>
        <v>COS10200804 4706</v>
      </c>
    </row>
    <row r="4449" spans="1:26" x14ac:dyDescent="0.25">
      <c r="A4449" t="str">
        <f t="shared" si="1804"/>
        <v>04-08-2020 12:50:26</v>
      </c>
      <c r="B4449" t="str">
        <f>"0000806486"</f>
        <v>0000806486</v>
      </c>
      <c r="C4449" t="str">
        <f t="shared" si="1805"/>
        <v>0000806381</v>
      </c>
      <c r="D4449" t="str">
        <f t="shared" si="1806"/>
        <v>73185</v>
      </c>
      <c r="E4449" t="str">
        <f t="shared" si="1807"/>
        <v>KFH-OPERATIONS DEPARTMENT</v>
      </c>
      <c r="F4449" t="str">
        <f t="shared" si="1808"/>
        <v>IBG</v>
      </c>
      <c r="G4449" t="str">
        <f t="shared" si="1821"/>
        <v>Refund COSHARE 10</v>
      </c>
      <c r="H4449" s="2">
        <v>123.05</v>
      </c>
      <c r="I4449" t="str">
        <f>"HASRIN BIN SALEHON"</f>
        <v>HASRIN BIN SALEHON</v>
      </c>
      <c r="J4449" t="str">
        <f t="shared" si="1822"/>
        <v>MAYBANK / MAYBANK ISLAMIC</v>
      </c>
      <c r="K4449" t="str">
        <f>"101020331298"</f>
        <v>101020331298</v>
      </c>
      <c r="L4449" t="str">
        <f t="shared" si="1823"/>
        <v>04-08-2020</v>
      </c>
      <c r="M4449" t="str">
        <f t="shared" si="1823"/>
        <v>04-08-2020</v>
      </c>
      <c r="N4449" t="str">
        <f t="shared" si="1809"/>
        <v>001105018356</v>
      </c>
      <c r="O4449" t="str">
        <f t="shared" si="1810"/>
        <v>MYR</v>
      </c>
      <c r="P4449" t="str">
        <f t="shared" si="1824"/>
        <v>NIL</v>
      </c>
      <c r="Q4449" t="str">
        <f t="shared" si="1824"/>
        <v>NIL</v>
      </c>
      <c r="R4449" t="str">
        <f t="shared" si="1811"/>
        <v>Accepted</v>
      </c>
      <c r="S4449" t="str">
        <f t="shared" si="1812"/>
        <v>Approved</v>
      </c>
      <c r="T4449" t="str">
        <f t="shared" si="1813"/>
        <v>10.20.8.188</v>
      </c>
      <c r="U4449" t="str">
        <f t="shared" si="1814"/>
        <v>AZRAD UMAR BIN SHAARI</v>
      </c>
      <c r="V4449" t="str">
        <f t="shared" si="1815"/>
        <v>FARHANA BINTI MUSTAPA</v>
      </c>
      <c r="W4449" t="str">
        <f t="shared" si="1816"/>
        <v>04-08-2020</v>
      </c>
      <c r="X4449" t="str">
        <f t="shared" si="1817"/>
        <v>RAZIMAH ANSAR AHMAD</v>
      </c>
      <c r="Y4449" t="str">
        <f t="shared" si="1818"/>
        <v>04-08-2020</v>
      </c>
      <c r="Z4449" t="str">
        <f>"COS10200804 4705"</f>
        <v>COS10200804 4705</v>
      </c>
    </row>
    <row r="4450" spans="1:26" x14ac:dyDescent="0.25">
      <c r="A4450" t="str">
        <f t="shared" ref="A4450:A4481" si="1825">"04-08-2020 12:50:26"</f>
        <v>04-08-2020 12:50:26</v>
      </c>
      <c r="B4450" t="str">
        <f>"0000806485"</f>
        <v>0000806485</v>
      </c>
      <c r="C4450" t="str">
        <f t="shared" ref="C4450:C4481" si="1826">"0000806381"</f>
        <v>0000806381</v>
      </c>
      <c r="D4450" t="str">
        <f t="shared" si="1806"/>
        <v>73185</v>
      </c>
      <c r="E4450" t="str">
        <f t="shared" si="1807"/>
        <v>KFH-OPERATIONS DEPARTMENT</v>
      </c>
      <c r="F4450" t="str">
        <f t="shared" si="1808"/>
        <v>IBG</v>
      </c>
      <c r="G4450" t="str">
        <f t="shared" si="1821"/>
        <v>Refund COSHARE 10</v>
      </c>
      <c r="H4450" s="2">
        <v>1524</v>
      </c>
      <c r="I4450" t="str">
        <f>"HASNOR HADI BIN ASIM"</f>
        <v>HASNOR HADI BIN ASIM</v>
      </c>
      <c r="J4450" t="str">
        <f t="shared" si="1822"/>
        <v>MAYBANK / MAYBANK ISLAMIC</v>
      </c>
      <c r="K4450" t="str">
        <f>"164258474958"</f>
        <v>164258474958</v>
      </c>
      <c r="L4450" t="str">
        <f t="shared" si="1823"/>
        <v>04-08-2020</v>
      </c>
      <c r="M4450" t="str">
        <f t="shared" si="1823"/>
        <v>04-08-2020</v>
      </c>
      <c r="N4450" t="str">
        <f t="shared" si="1809"/>
        <v>001105018356</v>
      </c>
      <c r="O4450" t="str">
        <f t="shared" si="1810"/>
        <v>MYR</v>
      </c>
      <c r="P4450" t="str">
        <f t="shared" si="1824"/>
        <v>NIL</v>
      </c>
      <c r="Q4450" t="str">
        <f t="shared" si="1824"/>
        <v>NIL</v>
      </c>
      <c r="R4450" t="str">
        <f t="shared" si="1811"/>
        <v>Accepted</v>
      </c>
      <c r="S4450" t="str">
        <f t="shared" si="1812"/>
        <v>Approved</v>
      </c>
      <c r="T4450" t="str">
        <f t="shared" si="1813"/>
        <v>10.20.8.188</v>
      </c>
      <c r="U4450" t="str">
        <f t="shared" si="1814"/>
        <v>AZRAD UMAR BIN SHAARI</v>
      </c>
      <c r="V4450" t="str">
        <f t="shared" si="1815"/>
        <v>FARHANA BINTI MUSTAPA</v>
      </c>
      <c r="W4450" t="str">
        <f t="shared" si="1816"/>
        <v>04-08-2020</v>
      </c>
      <c r="X4450" t="str">
        <f t="shared" si="1817"/>
        <v>RAZIMAH ANSAR AHMAD</v>
      </c>
      <c r="Y4450" t="str">
        <f t="shared" si="1818"/>
        <v>04-08-2020</v>
      </c>
      <c r="Z4450" t="str">
        <f>"COS10200804 4704"</f>
        <v>COS10200804 4704</v>
      </c>
    </row>
    <row r="4451" spans="1:26" x14ac:dyDescent="0.25">
      <c r="A4451" t="str">
        <f t="shared" si="1825"/>
        <v>04-08-2020 12:50:26</v>
      </c>
      <c r="B4451" t="str">
        <f>"0000806484"</f>
        <v>0000806484</v>
      </c>
      <c r="C4451" t="str">
        <f t="shared" si="1826"/>
        <v>0000806381</v>
      </c>
      <c r="D4451" t="str">
        <f t="shared" si="1806"/>
        <v>73185</v>
      </c>
      <c r="E4451" t="str">
        <f t="shared" si="1807"/>
        <v>KFH-OPERATIONS DEPARTMENT</v>
      </c>
      <c r="F4451" t="str">
        <f t="shared" si="1808"/>
        <v>IBG</v>
      </c>
      <c r="G4451" t="str">
        <f t="shared" si="1821"/>
        <v>Refund COSHARE 10</v>
      </c>
      <c r="H4451" s="2">
        <v>1134.5999999999999</v>
      </c>
      <c r="I4451" t="str">
        <f>"HASNIZATUL PATAHIAH BINTI HASSAN"</f>
        <v>HASNIZATUL PATAHIAH BINTI HASSAN</v>
      </c>
      <c r="J4451" t="str">
        <f t="shared" si="1822"/>
        <v>MAYBANK / MAYBANK ISLAMIC</v>
      </c>
      <c r="K4451" t="str">
        <f>"158220640717"</f>
        <v>158220640717</v>
      </c>
      <c r="L4451" t="str">
        <f t="shared" si="1823"/>
        <v>04-08-2020</v>
      </c>
      <c r="M4451" t="str">
        <f t="shared" si="1823"/>
        <v>04-08-2020</v>
      </c>
      <c r="N4451" t="str">
        <f t="shared" si="1809"/>
        <v>001105018356</v>
      </c>
      <c r="O4451" t="str">
        <f t="shared" si="1810"/>
        <v>MYR</v>
      </c>
      <c r="P4451" t="str">
        <f t="shared" si="1824"/>
        <v>NIL</v>
      </c>
      <c r="Q4451" t="str">
        <f t="shared" si="1824"/>
        <v>NIL</v>
      </c>
      <c r="R4451" t="str">
        <f t="shared" si="1811"/>
        <v>Accepted</v>
      </c>
      <c r="S4451" t="str">
        <f t="shared" si="1812"/>
        <v>Approved</v>
      </c>
      <c r="T4451" t="str">
        <f t="shared" si="1813"/>
        <v>10.20.8.188</v>
      </c>
      <c r="U4451" t="str">
        <f t="shared" si="1814"/>
        <v>AZRAD UMAR BIN SHAARI</v>
      </c>
      <c r="V4451" t="str">
        <f t="shared" si="1815"/>
        <v>FARHANA BINTI MUSTAPA</v>
      </c>
      <c r="W4451" t="str">
        <f t="shared" si="1816"/>
        <v>04-08-2020</v>
      </c>
      <c r="X4451" t="str">
        <f t="shared" si="1817"/>
        <v>RAZIMAH ANSAR AHMAD</v>
      </c>
      <c r="Y4451" t="str">
        <f t="shared" si="1818"/>
        <v>04-08-2020</v>
      </c>
      <c r="Z4451" t="str">
        <f>"COS10200804 4703"</f>
        <v>COS10200804 4703</v>
      </c>
    </row>
    <row r="4452" spans="1:26" x14ac:dyDescent="0.25">
      <c r="A4452" t="str">
        <f t="shared" si="1825"/>
        <v>04-08-2020 12:50:26</v>
      </c>
      <c r="B4452" t="str">
        <f>"0000806483"</f>
        <v>0000806483</v>
      </c>
      <c r="C4452" t="str">
        <f t="shared" si="1826"/>
        <v>0000806381</v>
      </c>
      <c r="D4452" t="str">
        <f t="shared" si="1806"/>
        <v>73185</v>
      </c>
      <c r="E4452" t="str">
        <f t="shared" si="1807"/>
        <v>KFH-OPERATIONS DEPARTMENT</v>
      </c>
      <c r="F4452" t="str">
        <f t="shared" si="1808"/>
        <v>IBG</v>
      </c>
      <c r="G4452" t="str">
        <f t="shared" si="1821"/>
        <v>Refund COSHARE 10</v>
      </c>
      <c r="H4452" s="2">
        <v>277.05</v>
      </c>
      <c r="I4452" t="str">
        <f>"HASNIZAN BIN AH SIM"</f>
        <v>HASNIZAN BIN AH SIM</v>
      </c>
      <c r="J4452" t="str">
        <f t="shared" si="1822"/>
        <v>MAYBANK / MAYBANK ISLAMIC</v>
      </c>
      <c r="K4452" t="str">
        <f>"112438021302"</f>
        <v>112438021302</v>
      </c>
      <c r="L4452" t="str">
        <f t="shared" si="1823"/>
        <v>04-08-2020</v>
      </c>
      <c r="M4452" t="str">
        <f t="shared" si="1823"/>
        <v>04-08-2020</v>
      </c>
      <c r="N4452" t="str">
        <f t="shared" si="1809"/>
        <v>001105018356</v>
      </c>
      <c r="O4452" t="str">
        <f t="shared" si="1810"/>
        <v>MYR</v>
      </c>
      <c r="P4452" t="str">
        <f t="shared" si="1824"/>
        <v>NIL</v>
      </c>
      <c r="Q4452" t="str">
        <f t="shared" si="1824"/>
        <v>NIL</v>
      </c>
      <c r="R4452" t="str">
        <f t="shared" si="1811"/>
        <v>Accepted</v>
      </c>
      <c r="S4452" t="str">
        <f t="shared" si="1812"/>
        <v>Approved</v>
      </c>
      <c r="T4452" t="str">
        <f t="shared" si="1813"/>
        <v>10.20.8.188</v>
      </c>
      <c r="U4452" t="str">
        <f t="shared" si="1814"/>
        <v>AZRAD UMAR BIN SHAARI</v>
      </c>
      <c r="V4452" t="str">
        <f t="shared" si="1815"/>
        <v>FARHANA BINTI MUSTAPA</v>
      </c>
      <c r="W4452" t="str">
        <f t="shared" si="1816"/>
        <v>04-08-2020</v>
      </c>
      <c r="X4452" t="str">
        <f t="shared" si="1817"/>
        <v>RAZIMAH ANSAR AHMAD</v>
      </c>
      <c r="Y4452" t="str">
        <f t="shared" si="1818"/>
        <v>04-08-2020</v>
      </c>
      <c r="Z4452" t="str">
        <f>"COS10200804 4702"</f>
        <v>COS10200804 4702</v>
      </c>
    </row>
    <row r="4453" spans="1:26" x14ac:dyDescent="0.25">
      <c r="A4453" t="str">
        <f t="shared" si="1825"/>
        <v>04-08-2020 12:50:26</v>
      </c>
      <c r="B4453" t="str">
        <f>"0000806482"</f>
        <v>0000806482</v>
      </c>
      <c r="C4453" t="str">
        <f t="shared" si="1826"/>
        <v>0000806381</v>
      </c>
      <c r="D4453" t="str">
        <f t="shared" si="1806"/>
        <v>73185</v>
      </c>
      <c r="E4453" t="str">
        <f t="shared" si="1807"/>
        <v>KFH-OPERATIONS DEPARTMENT</v>
      </c>
      <c r="F4453" t="str">
        <f t="shared" si="1808"/>
        <v>IBG</v>
      </c>
      <c r="G4453" t="str">
        <f t="shared" si="1821"/>
        <v>Refund COSHARE 10</v>
      </c>
      <c r="H4453" s="2">
        <v>293.85000000000002</v>
      </c>
      <c r="I4453" t="str">
        <f>"HASNIZAM BIN HASAN"</f>
        <v>HASNIZAM BIN HASAN</v>
      </c>
      <c r="J4453" t="str">
        <f t="shared" si="1822"/>
        <v>MAYBANK / MAYBANK ISLAMIC</v>
      </c>
      <c r="K4453" t="str">
        <f>"109018032699"</f>
        <v>109018032699</v>
      </c>
      <c r="L4453" t="str">
        <f t="shared" si="1823"/>
        <v>04-08-2020</v>
      </c>
      <c r="M4453" t="str">
        <f t="shared" si="1823"/>
        <v>04-08-2020</v>
      </c>
      <c r="N4453" t="str">
        <f t="shared" si="1809"/>
        <v>001105018356</v>
      </c>
      <c r="O4453" t="str">
        <f t="shared" si="1810"/>
        <v>MYR</v>
      </c>
      <c r="P4453" t="str">
        <f t="shared" si="1824"/>
        <v>NIL</v>
      </c>
      <c r="Q4453" t="str">
        <f t="shared" si="1824"/>
        <v>NIL</v>
      </c>
      <c r="R4453" t="str">
        <f t="shared" si="1811"/>
        <v>Accepted</v>
      </c>
      <c r="S4453" t="str">
        <f t="shared" si="1812"/>
        <v>Approved</v>
      </c>
      <c r="T4453" t="str">
        <f t="shared" si="1813"/>
        <v>10.20.8.188</v>
      </c>
      <c r="U4453" t="str">
        <f t="shared" si="1814"/>
        <v>AZRAD UMAR BIN SHAARI</v>
      </c>
      <c r="V4453" t="str">
        <f t="shared" si="1815"/>
        <v>FARHANA BINTI MUSTAPA</v>
      </c>
      <c r="W4453" t="str">
        <f t="shared" si="1816"/>
        <v>04-08-2020</v>
      </c>
      <c r="X4453" t="str">
        <f t="shared" si="1817"/>
        <v>RAZIMAH ANSAR AHMAD</v>
      </c>
      <c r="Y4453" t="str">
        <f t="shared" si="1818"/>
        <v>04-08-2020</v>
      </c>
      <c r="Z4453" t="str">
        <f>"COS10200804 4701"</f>
        <v>COS10200804 4701</v>
      </c>
    </row>
    <row r="4454" spans="1:26" x14ac:dyDescent="0.25">
      <c r="A4454" t="str">
        <f t="shared" si="1825"/>
        <v>04-08-2020 12:50:26</v>
      </c>
      <c r="B4454" t="str">
        <f>"0000806481"</f>
        <v>0000806481</v>
      </c>
      <c r="C4454" t="str">
        <f t="shared" si="1826"/>
        <v>0000806381</v>
      </c>
      <c r="D4454" t="str">
        <f t="shared" si="1806"/>
        <v>73185</v>
      </c>
      <c r="E4454" t="str">
        <f t="shared" si="1807"/>
        <v>KFH-OPERATIONS DEPARTMENT</v>
      </c>
      <c r="F4454" t="str">
        <f t="shared" si="1808"/>
        <v>IBG</v>
      </c>
      <c r="G4454" t="str">
        <f t="shared" si="1821"/>
        <v>Refund COSHARE 10</v>
      </c>
      <c r="H4454" s="2">
        <v>545.70000000000005</v>
      </c>
      <c r="I4454" t="str">
        <f>"HASNIZA WATIE BINTI MOHD GHANI"</f>
        <v>HASNIZA WATIE BINTI MOHD GHANI</v>
      </c>
      <c r="J4454" t="str">
        <f t="shared" si="1822"/>
        <v>MAYBANK / MAYBANK ISLAMIC</v>
      </c>
      <c r="K4454" t="str">
        <f>"151061125915"</f>
        <v>151061125915</v>
      </c>
      <c r="L4454" t="str">
        <f t="shared" si="1823"/>
        <v>04-08-2020</v>
      </c>
      <c r="M4454" t="str">
        <f t="shared" si="1823"/>
        <v>04-08-2020</v>
      </c>
      <c r="N4454" t="str">
        <f t="shared" si="1809"/>
        <v>001105018356</v>
      </c>
      <c r="O4454" t="str">
        <f t="shared" si="1810"/>
        <v>MYR</v>
      </c>
      <c r="P4454" t="str">
        <f t="shared" si="1824"/>
        <v>NIL</v>
      </c>
      <c r="Q4454" t="str">
        <f t="shared" si="1824"/>
        <v>NIL</v>
      </c>
      <c r="R4454" t="str">
        <f t="shared" si="1811"/>
        <v>Accepted</v>
      </c>
      <c r="S4454" t="str">
        <f t="shared" si="1812"/>
        <v>Approved</v>
      </c>
      <c r="T4454" t="str">
        <f t="shared" si="1813"/>
        <v>10.20.8.188</v>
      </c>
      <c r="U4454" t="str">
        <f t="shared" si="1814"/>
        <v>AZRAD UMAR BIN SHAARI</v>
      </c>
      <c r="V4454" t="str">
        <f t="shared" si="1815"/>
        <v>FARHANA BINTI MUSTAPA</v>
      </c>
      <c r="W4454" t="str">
        <f t="shared" si="1816"/>
        <v>04-08-2020</v>
      </c>
      <c r="X4454" t="str">
        <f t="shared" si="1817"/>
        <v>RAZIMAH ANSAR AHMAD</v>
      </c>
      <c r="Y4454" t="str">
        <f t="shared" si="1818"/>
        <v>04-08-2020</v>
      </c>
      <c r="Z4454" t="str">
        <f>"COS10200804 4700"</f>
        <v>COS10200804 4700</v>
      </c>
    </row>
    <row r="4455" spans="1:26" x14ac:dyDescent="0.25">
      <c r="A4455" t="str">
        <f t="shared" si="1825"/>
        <v>04-08-2020 12:50:26</v>
      </c>
      <c r="B4455" t="str">
        <f>"0000806480"</f>
        <v>0000806480</v>
      </c>
      <c r="C4455" t="str">
        <f t="shared" si="1826"/>
        <v>0000806381</v>
      </c>
      <c r="D4455" t="str">
        <f t="shared" si="1806"/>
        <v>73185</v>
      </c>
      <c r="E4455" t="str">
        <f t="shared" si="1807"/>
        <v>KFH-OPERATIONS DEPARTMENT</v>
      </c>
      <c r="F4455" t="str">
        <f t="shared" si="1808"/>
        <v>IBG</v>
      </c>
      <c r="G4455" t="str">
        <f t="shared" si="1821"/>
        <v>Refund COSHARE 10</v>
      </c>
      <c r="H4455" s="2">
        <v>594.75</v>
      </c>
      <c r="I4455" t="str">
        <f>"HASNIFALINA BINTI MOHD HASHIM"</f>
        <v>HASNIFALINA BINTI MOHD HASHIM</v>
      </c>
      <c r="J4455" t="str">
        <f t="shared" si="1822"/>
        <v>MAYBANK / MAYBANK ISLAMIC</v>
      </c>
      <c r="K4455" t="str">
        <f>"164164817855"</f>
        <v>164164817855</v>
      </c>
      <c r="L4455" t="str">
        <f t="shared" si="1823"/>
        <v>04-08-2020</v>
      </c>
      <c r="M4455" t="str">
        <f t="shared" si="1823"/>
        <v>04-08-2020</v>
      </c>
      <c r="N4455" t="str">
        <f t="shared" si="1809"/>
        <v>001105018356</v>
      </c>
      <c r="O4455" t="str">
        <f t="shared" si="1810"/>
        <v>MYR</v>
      </c>
      <c r="P4455" t="str">
        <f t="shared" si="1824"/>
        <v>NIL</v>
      </c>
      <c r="Q4455" t="str">
        <f t="shared" si="1824"/>
        <v>NIL</v>
      </c>
      <c r="R4455" t="str">
        <f t="shared" si="1811"/>
        <v>Accepted</v>
      </c>
      <c r="S4455" t="str">
        <f t="shared" si="1812"/>
        <v>Approved</v>
      </c>
      <c r="T4455" t="str">
        <f t="shared" si="1813"/>
        <v>10.20.8.188</v>
      </c>
      <c r="U4455" t="str">
        <f t="shared" si="1814"/>
        <v>AZRAD UMAR BIN SHAARI</v>
      </c>
      <c r="V4455" t="str">
        <f t="shared" si="1815"/>
        <v>FARHANA BINTI MUSTAPA</v>
      </c>
      <c r="W4455" t="str">
        <f t="shared" si="1816"/>
        <v>04-08-2020</v>
      </c>
      <c r="X4455" t="str">
        <f t="shared" si="1817"/>
        <v>RAZIMAH ANSAR AHMAD</v>
      </c>
      <c r="Y4455" t="str">
        <f t="shared" si="1818"/>
        <v>04-08-2020</v>
      </c>
      <c r="Z4455" t="str">
        <f>"COS10200804 4699"</f>
        <v>COS10200804 4699</v>
      </c>
    </row>
    <row r="4456" spans="1:26" x14ac:dyDescent="0.25">
      <c r="A4456" t="str">
        <f t="shared" si="1825"/>
        <v>04-08-2020 12:50:26</v>
      </c>
      <c r="B4456" t="str">
        <f>"0000806479"</f>
        <v>0000806479</v>
      </c>
      <c r="C4456" t="str">
        <f t="shared" si="1826"/>
        <v>0000806381</v>
      </c>
      <c r="D4456" t="str">
        <f t="shared" si="1806"/>
        <v>73185</v>
      </c>
      <c r="E4456" t="str">
        <f t="shared" si="1807"/>
        <v>KFH-OPERATIONS DEPARTMENT</v>
      </c>
      <c r="F4456" t="str">
        <f t="shared" si="1808"/>
        <v>IBG</v>
      </c>
      <c r="G4456" t="str">
        <f t="shared" si="1821"/>
        <v>Refund COSHARE 10</v>
      </c>
      <c r="H4456" s="2">
        <v>243</v>
      </c>
      <c r="I4456" t="str">
        <f>"HASNIDA BINTI BAHAROM"</f>
        <v>HASNIDA BINTI BAHAROM</v>
      </c>
      <c r="J4456" t="str">
        <f t="shared" si="1822"/>
        <v>MAYBANK / MAYBANK ISLAMIC</v>
      </c>
      <c r="K4456" t="str">
        <f>"107095533868"</f>
        <v>107095533868</v>
      </c>
      <c r="L4456" t="str">
        <f t="shared" si="1823"/>
        <v>04-08-2020</v>
      </c>
      <c r="M4456" t="str">
        <f t="shared" si="1823"/>
        <v>04-08-2020</v>
      </c>
      <c r="N4456" t="str">
        <f t="shared" si="1809"/>
        <v>001105018356</v>
      </c>
      <c r="O4456" t="str">
        <f t="shared" si="1810"/>
        <v>MYR</v>
      </c>
      <c r="P4456" t="str">
        <f t="shared" si="1824"/>
        <v>NIL</v>
      </c>
      <c r="Q4456" t="str">
        <f t="shared" si="1824"/>
        <v>NIL</v>
      </c>
      <c r="R4456" t="str">
        <f t="shared" si="1811"/>
        <v>Accepted</v>
      </c>
      <c r="S4456" t="str">
        <f t="shared" si="1812"/>
        <v>Approved</v>
      </c>
      <c r="T4456" t="str">
        <f t="shared" si="1813"/>
        <v>10.20.8.188</v>
      </c>
      <c r="U4456" t="str">
        <f t="shared" si="1814"/>
        <v>AZRAD UMAR BIN SHAARI</v>
      </c>
      <c r="V4456" t="str">
        <f t="shared" si="1815"/>
        <v>FARHANA BINTI MUSTAPA</v>
      </c>
      <c r="W4456" t="str">
        <f t="shared" si="1816"/>
        <v>04-08-2020</v>
      </c>
      <c r="X4456" t="str">
        <f t="shared" si="1817"/>
        <v>RAZIMAH ANSAR AHMAD</v>
      </c>
      <c r="Y4456" t="str">
        <f t="shared" si="1818"/>
        <v>04-08-2020</v>
      </c>
      <c r="Z4456" t="str">
        <f>"COS10200804 4698"</f>
        <v>COS10200804 4698</v>
      </c>
    </row>
    <row r="4457" spans="1:26" x14ac:dyDescent="0.25">
      <c r="A4457" t="str">
        <f t="shared" si="1825"/>
        <v>04-08-2020 12:50:26</v>
      </c>
      <c r="B4457" t="str">
        <f>"0000806478"</f>
        <v>0000806478</v>
      </c>
      <c r="C4457" t="str">
        <f t="shared" si="1826"/>
        <v>0000806381</v>
      </c>
      <c r="D4457" t="str">
        <f t="shared" si="1806"/>
        <v>73185</v>
      </c>
      <c r="E4457" t="str">
        <f t="shared" si="1807"/>
        <v>KFH-OPERATIONS DEPARTMENT</v>
      </c>
      <c r="F4457" t="str">
        <f t="shared" si="1808"/>
        <v>IBG</v>
      </c>
      <c r="G4457" t="str">
        <f t="shared" si="1821"/>
        <v>Refund COSHARE 10</v>
      </c>
      <c r="H4457" s="2">
        <v>1281</v>
      </c>
      <c r="I4457" t="str">
        <f>"HASNIDA BINTI AHMAD"</f>
        <v>HASNIDA BINTI AHMAD</v>
      </c>
      <c r="J4457" t="str">
        <f t="shared" si="1822"/>
        <v>MAYBANK / MAYBANK ISLAMIC</v>
      </c>
      <c r="K4457" t="str">
        <f>"101150305983"</f>
        <v>101150305983</v>
      </c>
      <c r="L4457" t="str">
        <f t="shared" si="1823"/>
        <v>04-08-2020</v>
      </c>
      <c r="M4457" t="str">
        <f t="shared" si="1823"/>
        <v>04-08-2020</v>
      </c>
      <c r="N4457" t="str">
        <f t="shared" si="1809"/>
        <v>001105018356</v>
      </c>
      <c r="O4457" t="str">
        <f t="shared" si="1810"/>
        <v>MYR</v>
      </c>
      <c r="P4457" t="str">
        <f t="shared" si="1824"/>
        <v>NIL</v>
      </c>
      <c r="Q4457" t="str">
        <f t="shared" si="1824"/>
        <v>NIL</v>
      </c>
      <c r="R4457" t="str">
        <f t="shared" si="1811"/>
        <v>Accepted</v>
      </c>
      <c r="S4457" t="str">
        <f t="shared" si="1812"/>
        <v>Approved</v>
      </c>
      <c r="T4457" t="str">
        <f t="shared" si="1813"/>
        <v>10.20.8.188</v>
      </c>
      <c r="U4457" t="str">
        <f t="shared" si="1814"/>
        <v>AZRAD UMAR BIN SHAARI</v>
      </c>
      <c r="V4457" t="str">
        <f t="shared" si="1815"/>
        <v>FARHANA BINTI MUSTAPA</v>
      </c>
      <c r="W4457" t="str">
        <f t="shared" si="1816"/>
        <v>04-08-2020</v>
      </c>
      <c r="X4457" t="str">
        <f t="shared" si="1817"/>
        <v>RAZIMAH ANSAR AHMAD</v>
      </c>
      <c r="Y4457" t="str">
        <f t="shared" si="1818"/>
        <v>04-08-2020</v>
      </c>
      <c r="Z4457" t="str">
        <f>"COS10200804 4697"</f>
        <v>COS10200804 4697</v>
      </c>
    </row>
    <row r="4458" spans="1:26" x14ac:dyDescent="0.25">
      <c r="A4458" t="str">
        <f t="shared" si="1825"/>
        <v>04-08-2020 12:50:26</v>
      </c>
      <c r="B4458" t="str">
        <f>"0000806477"</f>
        <v>0000806477</v>
      </c>
      <c r="C4458" t="str">
        <f t="shared" si="1826"/>
        <v>0000806381</v>
      </c>
      <c r="D4458" t="str">
        <f t="shared" si="1806"/>
        <v>73185</v>
      </c>
      <c r="E4458" t="str">
        <f t="shared" si="1807"/>
        <v>KFH-OPERATIONS DEPARTMENT</v>
      </c>
      <c r="F4458" t="str">
        <f t="shared" si="1808"/>
        <v>IBG</v>
      </c>
      <c r="G4458" t="str">
        <f t="shared" si="1821"/>
        <v>Refund COSHARE 10</v>
      </c>
      <c r="H4458" s="2">
        <v>226</v>
      </c>
      <c r="I4458" t="str">
        <f>"HASNI BINTI HASSAN"</f>
        <v>HASNI BINTI HASSAN</v>
      </c>
      <c r="J4458" t="str">
        <f t="shared" si="1822"/>
        <v>MAYBANK / MAYBANK ISLAMIC</v>
      </c>
      <c r="K4458" t="str">
        <f>"157102014156"</f>
        <v>157102014156</v>
      </c>
      <c r="L4458" t="str">
        <f t="shared" si="1823"/>
        <v>04-08-2020</v>
      </c>
      <c r="M4458" t="str">
        <f t="shared" si="1823"/>
        <v>04-08-2020</v>
      </c>
      <c r="N4458" t="str">
        <f t="shared" si="1809"/>
        <v>001105018356</v>
      </c>
      <c r="O4458" t="str">
        <f t="shared" si="1810"/>
        <v>MYR</v>
      </c>
      <c r="P4458" t="str">
        <f t="shared" si="1824"/>
        <v>NIL</v>
      </c>
      <c r="Q4458" t="str">
        <f t="shared" si="1824"/>
        <v>NIL</v>
      </c>
      <c r="R4458" t="str">
        <f t="shared" si="1811"/>
        <v>Accepted</v>
      </c>
      <c r="S4458" t="str">
        <f t="shared" si="1812"/>
        <v>Approved</v>
      </c>
      <c r="T4458" t="str">
        <f t="shared" si="1813"/>
        <v>10.20.8.188</v>
      </c>
      <c r="U4458" t="str">
        <f t="shared" si="1814"/>
        <v>AZRAD UMAR BIN SHAARI</v>
      </c>
      <c r="V4458" t="str">
        <f t="shared" si="1815"/>
        <v>FARHANA BINTI MUSTAPA</v>
      </c>
      <c r="W4458" t="str">
        <f t="shared" si="1816"/>
        <v>04-08-2020</v>
      </c>
      <c r="X4458" t="str">
        <f t="shared" si="1817"/>
        <v>RAZIMAH ANSAR AHMAD</v>
      </c>
      <c r="Y4458" t="str">
        <f t="shared" si="1818"/>
        <v>04-08-2020</v>
      </c>
      <c r="Z4458" t="str">
        <f>"COS10200804 4696"</f>
        <v>COS10200804 4696</v>
      </c>
    </row>
    <row r="4459" spans="1:26" x14ac:dyDescent="0.25">
      <c r="A4459" t="str">
        <f t="shared" si="1825"/>
        <v>04-08-2020 12:50:26</v>
      </c>
      <c r="B4459" t="str">
        <f>"0000806476"</f>
        <v>0000806476</v>
      </c>
      <c r="C4459" t="str">
        <f t="shared" si="1826"/>
        <v>0000806381</v>
      </c>
      <c r="D4459" t="str">
        <f t="shared" si="1806"/>
        <v>73185</v>
      </c>
      <c r="E4459" t="str">
        <f t="shared" si="1807"/>
        <v>KFH-OPERATIONS DEPARTMENT</v>
      </c>
      <c r="F4459" t="str">
        <f t="shared" si="1808"/>
        <v>IBG</v>
      </c>
      <c r="G4459" t="str">
        <f t="shared" si="1821"/>
        <v>Refund COSHARE 10</v>
      </c>
      <c r="H4459" s="2">
        <v>540.29999999999995</v>
      </c>
      <c r="I4459" t="str">
        <f>"HASNI BINTI CHE HASIN"</f>
        <v>HASNI BINTI CHE HASIN</v>
      </c>
      <c r="J4459" t="str">
        <f t="shared" si="1822"/>
        <v>MAYBANK / MAYBANK ISLAMIC</v>
      </c>
      <c r="K4459" t="str">
        <f>"151164000816"</f>
        <v>151164000816</v>
      </c>
      <c r="L4459" t="str">
        <f t="shared" si="1823"/>
        <v>04-08-2020</v>
      </c>
      <c r="M4459" t="str">
        <f t="shared" si="1823"/>
        <v>04-08-2020</v>
      </c>
      <c r="N4459" t="str">
        <f t="shared" si="1809"/>
        <v>001105018356</v>
      </c>
      <c r="O4459" t="str">
        <f t="shared" si="1810"/>
        <v>MYR</v>
      </c>
      <c r="P4459" t="str">
        <f t="shared" si="1824"/>
        <v>NIL</v>
      </c>
      <c r="Q4459" t="str">
        <f t="shared" si="1824"/>
        <v>NIL</v>
      </c>
      <c r="R4459" t="str">
        <f t="shared" si="1811"/>
        <v>Accepted</v>
      </c>
      <c r="S4459" t="str">
        <f t="shared" si="1812"/>
        <v>Approved</v>
      </c>
      <c r="T4459" t="str">
        <f t="shared" si="1813"/>
        <v>10.20.8.188</v>
      </c>
      <c r="U4459" t="str">
        <f t="shared" si="1814"/>
        <v>AZRAD UMAR BIN SHAARI</v>
      </c>
      <c r="V4459" t="str">
        <f t="shared" si="1815"/>
        <v>FARHANA BINTI MUSTAPA</v>
      </c>
      <c r="W4459" t="str">
        <f t="shared" si="1816"/>
        <v>04-08-2020</v>
      </c>
      <c r="X4459" t="str">
        <f t="shared" si="1817"/>
        <v>RAZIMAH ANSAR AHMAD</v>
      </c>
      <c r="Y4459" t="str">
        <f t="shared" si="1818"/>
        <v>04-08-2020</v>
      </c>
      <c r="Z4459" t="str">
        <f>"COS10200804 4695"</f>
        <v>COS10200804 4695</v>
      </c>
    </row>
    <row r="4460" spans="1:26" x14ac:dyDescent="0.25">
      <c r="A4460" t="str">
        <f t="shared" si="1825"/>
        <v>04-08-2020 12:50:26</v>
      </c>
      <c r="B4460" t="str">
        <f>"0000806475"</f>
        <v>0000806475</v>
      </c>
      <c r="C4460" t="str">
        <f t="shared" si="1826"/>
        <v>0000806381</v>
      </c>
      <c r="D4460" t="str">
        <f t="shared" si="1806"/>
        <v>73185</v>
      </c>
      <c r="E4460" t="str">
        <f t="shared" si="1807"/>
        <v>KFH-OPERATIONS DEPARTMENT</v>
      </c>
      <c r="F4460" t="str">
        <f t="shared" si="1808"/>
        <v>IBG</v>
      </c>
      <c r="G4460" t="str">
        <f t="shared" si="1821"/>
        <v>Refund COSHARE 10</v>
      </c>
      <c r="H4460" s="2">
        <v>168.55</v>
      </c>
      <c r="I4460" t="str">
        <f>"HASNI BIN HAIRIJI"</f>
        <v>HASNI BIN HAIRIJI</v>
      </c>
      <c r="J4460" t="str">
        <f t="shared" si="1822"/>
        <v>MAYBANK / MAYBANK ISLAMIC</v>
      </c>
      <c r="K4460" t="str">
        <f>"162085387057"</f>
        <v>162085387057</v>
      </c>
      <c r="L4460" t="str">
        <f t="shared" si="1823"/>
        <v>04-08-2020</v>
      </c>
      <c r="M4460" t="str">
        <f t="shared" si="1823"/>
        <v>04-08-2020</v>
      </c>
      <c r="N4460" t="str">
        <f t="shared" si="1809"/>
        <v>001105018356</v>
      </c>
      <c r="O4460" t="str">
        <f t="shared" si="1810"/>
        <v>MYR</v>
      </c>
      <c r="P4460" t="str">
        <f t="shared" si="1824"/>
        <v>NIL</v>
      </c>
      <c r="Q4460" t="str">
        <f t="shared" si="1824"/>
        <v>NIL</v>
      </c>
      <c r="R4460" t="str">
        <f t="shared" si="1811"/>
        <v>Accepted</v>
      </c>
      <c r="S4460" t="str">
        <f t="shared" si="1812"/>
        <v>Approved</v>
      </c>
      <c r="T4460" t="str">
        <f t="shared" si="1813"/>
        <v>10.20.8.188</v>
      </c>
      <c r="U4460" t="str">
        <f t="shared" si="1814"/>
        <v>AZRAD UMAR BIN SHAARI</v>
      </c>
      <c r="V4460" t="str">
        <f t="shared" si="1815"/>
        <v>FARHANA BINTI MUSTAPA</v>
      </c>
      <c r="W4460" t="str">
        <f t="shared" si="1816"/>
        <v>04-08-2020</v>
      </c>
      <c r="X4460" t="str">
        <f t="shared" si="1817"/>
        <v>RAZIMAH ANSAR AHMAD</v>
      </c>
      <c r="Y4460" t="str">
        <f t="shared" si="1818"/>
        <v>04-08-2020</v>
      </c>
      <c r="Z4460" t="str">
        <f>"COS10200804 4694"</f>
        <v>COS10200804 4694</v>
      </c>
    </row>
    <row r="4461" spans="1:26" x14ac:dyDescent="0.25">
      <c r="A4461" t="str">
        <f t="shared" si="1825"/>
        <v>04-08-2020 12:50:26</v>
      </c>
      <c r="B4461" t="str">
        <f>"0000806474"</f>
        <v>0000806474</v>
      </c>
      <c r="C4461" t="str">
        <f t="shared" si="1826"/>
        <v>0000806381</v>
      </c>
      <c r="D4461" t="str">
        <f t="shared" si="1806"/>
        <v>73185</v>
      </c>
      <c r="E4461" t="str">
        <f t="shared" si="1807"/>
        <v>KFH-OPERATIONS DEPARTMENT</v>
      </c>
      <c r="F4461" t="str">
        <f t="shared" si="1808"/>
        <v>IBG</v>
      </c>
      <c r="G4461" t="str">
        <f t="shared" si="1821"/>
        <v>Refund COSHARE 10</v>
      </c>
      <c r="H4461" s="2">
        <v>352.6</v>
      </c>
      <c r="I4461" t="str">
        <f>"HASNEZAL BINTI ABDUL RASHID  HASSAN"</f>
        <v>HASNEZAL BINTI ABDUL RASHID  HASSAN</v>
      </c>
      <c r="J4461" t="str">
        <f t="shared" si="1822"/>
        <v>MAYBANK / MAYBANK ISLAMIC</v>
      </c>
      <c r="K4461" t="str">
        <f>"153010269715"</f>
        <v>153010269715</v>
      </c>
      <c r="L4461" t="str">
        <f t="shared" si="1823"/>
        <v>04-08-2020</v>
      </c>
      <c r="M4461" t="str">
        <f t="shared" si="1823"/>
        <v>04-08-2020</v>
      </c>
      <c r="N4461" t="str">
        <f t="shared" si="1809"/>
        <v>001105018356</v>
      </c>
      <c r="O4461" t="str">
        <f t="shared" si="1810"/>
        <v>MYR</v>
      </c>
      <c r="P4461" t="str">
        <f t="shared" si="1824"/>
        <v>NIL</v>
      </c>
      <c r="Q4461" t="str">
        <f t="shared" si="1824"/>
        <v>NIL</v>
      </c>
      <c r="R4461" t="str">
        <f t="shared" si="1811"/>
        <v>Accepted</v>
      </c>
      <c r="S4461" t="str">
        <f t="shared" si="1812"/>
        <v>Approved</v>
      </c>
      <c r="T4461" t="str">
        <f t="shared" si="1813"/>
        <v>10.20.8.188</v>
      </c>
      <c r="U4461" t="str">
        <f t="shared" si="1814"/>
        <v>AZRAD UMAR BIN SHAARI</v>
      </c>
      <c r="V4461" t="str">
        <f t="shared" si="1815"/>
        <v>FARHANA BINTI MUSTAPA</v>
      </c>
      <c r="W4461" t="str">
        <f t="shared" si="1816"/>
        <v>04-08-2020</v>
      </c>
      <c r="X4461" t="str">
        <f t="shared" si="1817"/>
        <v>RAZIMAH ANSAR AHMAD</v>
      </c>
      <c r="Y4461" t="str">
        <f t="shared" si="1818"/>
        <v>04-08-2020</v>
      </c>
      <c r="Z4461" t="str">
        <f>"COS10200804 4693"</f>
        <v>COS10200804 4693</v>
      </c>
    </row>
    <row r="4462" spans="1:26" x14ac:dyDescent="0.25">
      <c r="A4462" t="str">
        <f t="shared" si="1825"/>
        <v>04-08-2020 12:50:26</v>
      </c>
      <c r="B4462" t="str">
        <f>"0000806473"</f>
        <v>0000806473</v>
      </c>
      <c r="C4462" t="str">
        <f t="shared" si="1826"/>
        <v>0000806381</v>
      </c>
      <c r="D4462" t="str">
        <f t="shared" si="1806"/>
        <v>73185</v>
      </c>
      <c r="E4462" t="str">
        <f t="shared" si="1807"/>
        <v>KFH-OPERATIONS DEPARTMENT</v>
      </c>
      <c r="F4462" t="str">
        <f t="shared" si="1808"/>
        <v>IBG</v>
      </c>
      <c r="G4462" t="str">
        <f t="shared" si="1821"/>
        <v>Refund COSHARE 10</v>
      </c>
      <c r="H4462" s="2">
        <v>1456</v>
      </c>
      <c r="I4462" t="str">
        <f>"HASNAH BINTI MOHAMAD MULAIDIN"</f>
        <v>HASNAH BINTI MOHAMAD MULAIDIN</v>
      </c>
      <c r="J4462" t="str">
        <f t="shared" si="1822"/>
        <v>MAYBANK / MAYBANK ISLAMIC</v>
      </c>
      <c r="K4462" t="str">
        <f>"161109300607"</f>
        <v>161109300607</v>
      </c>
      <c r="L4462" t="str">
        <f t="shared" si="1823"/>
        <v>04-08-2020</v>
      </c>
      <c r="M4462" t="str">
        <f t="shared" si="1823"/>
        <v>04-08-2020</v>
      </c>
      <c r="N4462" t="str">
        <f t="shared" si="1809"/>
        <v>001105018356</v>
      </c>
      <c r="O4462" t="str">
        <f t="shared" si="1810"/>
        <v>MYR</v>
      </c>
      <c r="P4462" t="str">
        <f t="shared" si="1824"/>
        <v>NIL</v>
      </c>
      <c r="Q4462" t="str">
        <f t="shared" si="1824"/>
        <v>NIL</v>
      </c>
      <c r="R4462" t="str">
        <f t="shared" si="1811"/>
        <v>Accepted</v>
      </c>
      <c r="S4462" t="str">
        <f t="shared" si="1812"/>
        <v>Approved</v>
      </c>
      <c r="T4462" t="str">
        <f t="shared" si="1813"/>
        <v>10.20.8.188</v>
      </c>
      <c r="U4462" t="str">
        <f t="shared" si="1814"/>
        <v>AZRAD UMAR BIN SHAARI</v>
      </c>
      <c r="V4462" t="str">
        <f t="shared" si="1815"/>
        <v>FARHANA BINTI MUSTAPA</v>
      </c>
      <c r="W4462" t="str">
        <f t="shared" si="1816"/>
        <v>04-08-2020</v>
      </c>
      <c r="X4462" t="str">
        <f t="shared" si="1817"/>
        <v>RAZIMAH ANSAR AHMAD</v>
      </c>
      <c r="Y4462" t="str">
        <f t="shared" si="1818"/>
        <v>04-08-2020</v>
      </c>
      <c r="Z4462" t="str">
        <f>"COS10200804 4692"</f>
        <v>COS10200804 4692</v>
      </c>
    </row>
    <row r="4463" spans="1:26" x14ac:dyDescent="0.25">
      <c r="A4463" t="str">
        <f t="shared" si="1825"/>
        <v>04-08-2020 12:50:26</v>
      </c>
      <c r="B4463" t="str">
        <f>"0000806472"</f>
        <v>0000806472</v>
      </c>
      <c r="C4463" t="str">
        <f t="shared" si="1826"/>
        <v>0000806381</v>
      </c>
      <c r="D4463" t="str">
        <f t="shared" si="1806"/>
        <v>73185</v>
      </c>
      <c r="E4463" t="str">
        <f t="shared" si="1807"/>
        <v>KFH-OPERATIONS DEPARTMENT</v>
      </c>
      <c r="F4463" t="str">
        <f t="shared" si="1808"/>
        <v>IBG</v>
      </c>
      <c r="G4463" t="str">
        <f t="shared" si="1821"/>
        <v>Refund COSHARE 10</v>
      </c>
      <c r="H4463" s="2">
        <v>129</v>
      </c>
      <c r="I4463" t="str">
        <f>"HASMIZAM BIN ABU BAKAR"</f>
        <v>HASMIZAM BIN ABU BAKAR</v>
      </c>
      <c r="J4463" t="str">
        <f t="shared" si="1822"/>
        <v>MAYBANK / MAYBANK ISLAMIC</v>
      </c>
      <c r="K4463" t="str">
        <f>"114329193796"</f>
        <v>114329193796</v>
      </c>
      <c r="L4463" t="str">
        <f t="shared" si="1823"/>
        <v>04-08-2020</v>
      </c>
      <c r="M4463" t="str">
        <f t="shared" si="1823"/>
        <v>04-08-2020</v>
      </c>
      <c r="N4463" t="str">
        <f t="shared" si="1809"/>
        <v>001105018356</v>
      </c>
      <c r="O4463" t="str">
        <f t="shared" si="1810"/>
        <v>MYR</v>
      </c>
      <c r="P4463" t="str">
        <f t="shared" si="1824"/>
        <v>NIL</v>
      </c>
      <c r="Q4463" t="str">
        <f t="shared" si="1824"/>
        <v>NIL</v>
      </c>
      <c r="R4463" t="str">
        <f t="shared" si="1811"/>
        <v>Accepted</v>
      </c>
      <c r="S4463" t="str">
        <f t="shared" si="1812"/>
        <v>Approved</v>
      </c>
      <c r="T4463" t="str">
        <f t="shared" si="1813"/>
        <v>10.20.8.188</v>
      </c>
      <c r="U4463" t="str">
        <f t="shared" si="1814"/>
        <v>AZRAD UMAR BIN SHAARI</v>
      </c>
      <c r="V4463" t="str">
        <f t="shared" si="1815"/>
        <v>FARHANA BINTI MUSTAPA</v>
      </c>
      <c r="W4463" t="str">
        <f t="shared" si="1816"/>
        <v>04-08-2020</v>
      </c>
      <c r="X4463" t="str">
        <f t="shared" si="1817"/>
        <v>RAZIMAH ANSAR AHMAD</v>
      </c>
      <c r="Y4463" t="str">
        <f t="shared" si="1818"/>
        <v>04-08-2020</v>
      </c>
      <c r="Z4463" t="str">
        <f>"COS10200804 4691"</f>
        <v>COS10200804 4691</v>
      </c>
    </row>
    <row r="4464" spans="1:26" x14ac:dyDescent="0.25">
      <c r="A4464" t="str">
        <f t="shared" si="1825"/>
        <v>04-08-2020 12:50:26</v>
      </c>
      <c r="B4464" t="str">
        <f>"0000806471"</f>
        <v>0000806471</v>
      </c>
      <c r="C4464" t="str">
        <f t="shared" si="1826"/>
        <v>0000806381</v>
      </c>
      <c r="D4464" t="str">
        <f t="shared" si="1806"/>
        <v>73185</v>
      </c>
      <c r="E4464" t="str">
        <f t="shared" si="1807"/>
        <v>KFH-OPERATIONS DEPARTMENT</v>
      </c>
      <c r="F4464" t="str">
        <f t="shared" si="1808"/>
        <v>IBG</v>
      </c>
      <c r="G4464" t="str">
        <f t="shared" si="1821"/>
        <v>Refund COSHARE 10</v>
      </c>
      <c r="H4464" s="2">
        <v>873.1</v>
      </c>
      <c r="I4464" t="str">
        <f>"HASMIDA BINTI MUSTAFA"</f>
        <v>HASMIDA BINTI MUSTAFA</v>
      </c>
      <c r="J4464" t="str">
        <f t="shared" si="1822"/>
        <v>MAYBANK / MAYBANK ISLAMIC</v>
      </c>
      <c r="K4464" t="str">
        <f>"164221360392"</f>
        <v>164221360392</v>
      </c>
      <c r="L4464" t="str">
        <f t="shared" si="1823"/>
        <v>04-08-2020</v>
      </c>
      <c r="M4464" t="str">
        <f t="shared" si="1823"/>
        <v>04-08-2020</v>
      </c>
      <c r="N4464" t="str">
        <f t="shared" si="1809"/>
        <v>001105018356</v>
      </c>
      <c r="O4464" t="str">
        <f t="shared" si="1810"/>
        <v>MYR</v>
      </c>
      <c r="P4464" t="str">
        <f t="shared" si="1824"/>
        <v>NIL</v>
      </c>
      <c r="Q4464" t="str">
        <f t="shared" si="1824"/>
        <v>NIL</v>
      </c>
      <c r="R4464" t="str">
        <f t="shared" si="1811"/>
        <v>Accepted</v>
      </c>
      <c r="S4464" t="str">
        <f t="shared" si="1812"/>
        <v>Approved</v>
      </c>
      <c r="T4464" t="str">
        <f t="shared" si="1813"/>
        <v>10.20.8.188</v>
      </c>
      <c r="U4464" t="str">
        <f t="shared" si="1814"/>
        <v>AZRAD UMAR BIN SHAARI</v>
      </c>
      <c r="V4464" t="str">
        <f t="shared" si="1815"/>
        <v>FARHANA BINTI MUSTAPA</v>
      </c>
      <c r="W4464" t="str">
        <f t="shared" si="1816"/>
        <v>04-08-2020</v>
      </c>
      <c r="X4464" t="str">
        <f t="shared" si="1817"/>
        <v>RAZIMAH ANSAR AHMAD</v>
      </c>
      <c r="Y4464" t="str">
        <f t="shared" si="1818"/>
        <v>04-08-2020</v>
      </c>
      <c r="Z4464" t="str">
        <f>"COS10200804 4690"</f>
        <v>COS10200804 4690</v>
      </c>
    </row>
    <row r="4465" spans="1:26" x14ac:dyDescent="0.25">
      <c r="A4465" t="str">
        <f t="shared" si="1825"/>
        <v>04-08-2020 12:50:26</v>
      </c>
      <c r="B4465" t="str">
        <f>"0000806470"</f>
        <v>0000806470</v>
      </c>
      <c r="C4465" t="str">
        <f t="shared" si="1826"/>
        <v>0000806381</v>
      </c>
      <c r="D4465" t="str">
        <f t="shared" si="1806"/>
        <v>73185</v>
      </c>
      <c r="E4465" t="str">
        <f t="shared" si="1807"/>
        <v>KFH-OPERATIONS DEPARTMENT</v>
      </c>
      <c r="F4465" t="str">
        <f t="shared" si="1808"/>
        <v>IBG</v>
      </c>
      <c r="G4465" t="str">
        <f t="shared" si="1821"/>
        <v>Refund COSHARE 10</v>
      </c>
      <c r="H4465" s="2">
        <v>50.4</v>
      </c>
      <c r="I4465" t="str">
        <f>"HASMAWATI BINTI AHMAD"</f>
        <v>HASMAWATI BINTI AHMAD</v>
      </c>
      <c r="J4465" t="str">
        <f t="shared" si="1822"/>
        <v>MAYBANK / MAYBANK ISLAMIC</v>
      </c>
      <c r="K4465" t="str">
        <f>"102073028654"</f>
        <v>102073028654</v>
      </c>
      <c r="L4465" t="str">
        <f t="shared" si="1823"/>
        <v>04-08-2020</v>
      </c>
      <c r="M4465" t="str">
        <f t="shared" si="1823"/>
        <v>04-08-2020</v>
      </c>
      <c r="N4465" t="str">
        <f t="shared" si="1809"/>
        <v>001105018356</v>
      </c>
      <c r="O4465" t="str">
        <f t="shared" si="1810"/>
        <v>MYR</v>
      </c>
      <c r="P4465" t="str">
        <f t="shared" si="1824"/>
        <v>NIL</v>
      </c>
      <c r="Q4465" t="str">
        <f t="shared" si="1824"/>
        <v>NIL</v>
      </c>
      <c r="R4465" t="str">
        <f t="shared" si="1811"/>
        <v>Accepted</v>
      </c>
      <c r="S4465" t="str">
        <f t="shared" si="1812"/>
        <v>Approved</v>
      </c>
      <c r="T4465" t="str">
        <f t="shared" si="1813"/>
        <v>10.20.8.188</v>
      </c>
      <c r="U4465" t="str">
        <f t="shared" si="1814"/>
        <v>AZRAD UMAR BIN SHAARI</v>
      </c>
      <c r="V4465" t="str">
        <f t="shared" si="1815"/>
        <v>FARHANA BINTI MUSTAPA</v>
      </c>
      <c r="W4465" t="str">
        <f t="shared" si="1816"/>
        <v>04-08-2020</v>
      </c>
      <c r="X4465" t="str">
        <f t="shared" si="1817"/>
        <v>RAZIMAH ANSAR AHMAD</v>
      </c>
      <c r="Y4465" t="str">
        <f t="shared" si="1818"/>
        <v>04-08-2020</v>
      </c>
      <c r="Z4465" t="str">
        <f>"COS10200804 4689"</f>
        <v>COS10200804 4689</v>
      </c>
    </row>
    <row r="4466" spans="1:26" x14ac:dyDescent="0.25">
      <c r="A4466" t="str">
        <f t="shared" si="1825"/>
        <v>04-08-2020 12:50:26</v>
      </c>
      <c r="B4466" t="str">
        <f>"0000806469"</f>
        <v>0000806469</v>
      </c>
      <c r="C4466" t="str">
        <f t="shared" si="1826"/>
        <v>0000806381</v>
      </c>
      <c r="D4466" t="str">
        <f t="shared" si="1806"/>
        <v>73185</v>
      </c>
      <c r="E4466" t="str">
        <f t="shared" si="1807"/>
        <v>KFH-OPERATIONS DEPARTMENT</v>
      </c>
      <c r="F4466" t="str">
        <f t="shared" si="1808"/>
        <v>IBG</v>
      </c>
      <c r="G4466" t="str">
        <f t="shared" si="1821"/>
        <v>Refund COSHARE 10</v>
      </c>
      <c r="H4466" s="2">
        <v>167.9</v>
      </c>
      <c r="I4466" t="str">
        <f>"HASMAH BINTI BOLHASSAN"</f>
        <v>HASMAH BINTI BOLHASSAN</v>
      </c>
      <c r="J4466" t="str">
        <f t="shared" si="1822"/>
        <v>MAYBANK / MAYBANK ISLAMIC</v>
      </c>
      <c r="K4466" t="str">
        <f>"161051424878"</f>
        <v>161051424878</v>
      </c>
      <c r="L4466" t="str">
        <f t="shared" si="1823"/>
        <v>04-08-2020</v>
      </c>
      <c r="M4466" t="str">
        <f t="shared" si="1823"/>
        <v>04-08-2020</v>
      </c>
      <c r="N4466" t="str">
        <f t="shared" si="1809"/>
        <v>001105018356</v>
      </c>
      <c r="O4466" t="str">
        <f t="shared" si="1810"/>
        <v>MYR</v>
      </c>
      <c r="P4466" t="str">
        <f t="shared" si="1824"/>
        <v>NIL</v>
      </c>
      <c r="Q4466" t="str">
        <f t="shared" si="1824"/>
        <v>NIL</v>
      </c>
      <c r="R4466" t="str">
        <f t="shared" si="1811"/>
        <v>Accepted</v>
      </c>
      <c r="S4466" t="str">
        <f t="shared" si="1812"/>
        <v>Approved</v>
      </c>
      <c r="T4466" t="str">
        <f t="shared" si="1813"/>
        <v>10.20.8.188</v>
      </c>
      <c r="U4466" t="str">
        <f t="shared" si="1814"/>
        <v>AZRAD UMAR BIN SHAARI</v>
      </c>
      <c r="V4466" t="str">
        <f t="shared" si="1815"/>
        <v>FARHANA BINTI MUSTAPA</v>
      </c>
      <c r="W4466" t="str">
        <f t="shared" si="1816"/>
        <v>04-08-2020</v>
      </c>
      <c r="X4466" t="str">
        <f t="shared" si="1817"/>
        <v>RAZIMAH ANSAR AHMAD</v>
      </c>
      <c r="Y4466" t="str">
        <f t="shared" si="1818"/>
        <v>04-08-2020</v>
      </c>
      <c r="Z4466" t="str">
        <f>"COS10200804 4688"</f>
        <v>COS10200804 4688</v>
      </c>
    </row>
    <row r="4467" spans="1:26" x14ac:dyDescent="0.25">
      <c r="A4467" t="str">
        <f t="shared" si="1825"/>
        <v>04-08-2020 12:50:26</v>
      </c>
      <c r="B4467" t="str">
        <f>"0000806468"</f>
        <v>0000806468</v>
      </c>
      <c r="C4467" t="str">
        <f t="shared" si="1826"/>
        <v>0000806381</v>
      </c>
      <c r="D4467" t="str">
        <f t="shared" si="1806"/>
        <v>73185</v>
      </c>
      <c r="E4467" t="str">
        <f t="shared" si="1807"/>
        <v>KFH-OPERATIONS DEPARTMENT</v>
      </c>
      <c r="F4467" t="str">
        <f t="shared" si="1808"/>
        <v>IBG</v>
      </c>
      <c r="G4467" t="str">
        <f t="shared" si="1821"/>
        <v>Refund COSHARE 10</v>
      </c>
      <c r="H4467" s="2">
        <v>42</v>
      </c>
      <c r="I4467" t="str">
        <f>"HASMAH BINTI BOLHASSAN"</f>
        <v>HASMAH BINTI BOLHASSAN</v>
      </c>
      <c r="J4467" t="str">
        <f t="shared" si="1822"/>
        <v>MAYBANK / MAYBANK ISLAMIC</v>
      </c>
      <c r="K4467" t="str">
        <f>"161051424878"</f>
        <v>161051424878</v>
      </c>
      <c r="L4467" t="str">
        <f t="shared" ref="L4467:M4486" si="1827">"04-08-2020"</f>
        <v>04-08-2020</v>
      </c>
      <c r="M4467" t="str">
        <f t="shared" si="1827"/>
        <v>04-08-2020</v>
      </c>
      <c r="N4467" t="str">
        <f t="shared" si="1809"/>
        <v>001105018356</v>
      </c>
      <c r="O4467" t="str">
        <f t="shared" si="1810"/>
        <v>MYR</v>
      </c>
      <c r="P4467" t="str">
        <f t="shared" ref="P4467:Q4486" si="1828">"NIL"</f>
        <v>NIL</v>
      </c>
      <c r="Q4467" t="str">
        <f t="shared" si="1828"/>
        <v>NIL</v>
      </c>
      <c r="R4467" t="str">
        <f t="shared" si="1811"/>
        <v>Accepted</v>
      </c>
      <c r="S4467" t="str">
        <f t="shared" si="1812"/>
        <v>Approved</v>
      </c>
      <c r="T4467" t="str">
        <f t="shared" si="1813"/>
        <v>10.20.8.188</v>
      </c>
      <c r="U4467" t="str">
        <f t="shared" si="1814"/>
        <v>AZRAD UMAR BIN SHAARI</v>
      </c>
      <c r="V4467" t="str">
        <f t="shared" si="1815"/>
        <v>FARHANA BINTI MUSTAPA</v>
      </c>
      <c r="W4467" t="str">
        <f t="shared" si="1816"/>
        <v>04-08-2020</v>
      </c>
      <c r="X4467" t="str">
        <f t="shared" si="1817"/>
        <v>RAZIMAH ANSAR AHMAD</v>
      </c>
      <c r="Y4467" t="str">
        <f t="shared" si="1818"/>
        <v>04-08-2020</v>
      </c>
      <c r="Z4467" t="str">
        <f>"COS10200804 4687"</f>
        <v>COS10200804 4687</v>
      </c>
    </row>
    <row r="4468" spans="1:26" x14ac:dyDescent="0.25">
      <c r="A4468" t="str">
        <f t="shared" si="1825"/>
        <v>04-08-2020 12:50:26</v>
      </c>
      <c r="B4468" t="str">
        <f>"0000806467"</f>
        <v>0000806467</v>
      </c>
      <c r="C4468" t="str">
        <f t="shared" si="1826"/>
        <v>0000806381</v>
      </c>
      <c r="D4468" t="str">
        <f t="shared" si="1806"/>
        <v>73185</v>
      </c>
      <c r="E4468" t="str">
        <f t="shared" si="1807"/>
        <v>KFH-OPERATIONS DEPARTMENT</v>
      </c>
      <c r="F4468" t="str">
        <f t="shared" si="1808"/>
        <v>IBG</v>
      </c>
      <c r="G4468" t="str">
        <f t="shared" si="1821"/>
        <v>Refund COSHARE 10</v>
      </c>
      <c r="H4468" s="2">
        <v>266.8</v>
      </c>
      <c r="I4468" t="str">
        <f>"HASMADI BIN HASSAN"</f>
        <v>HASMADI BIN HASSAN</v>
      </c>
      <c r="J4468" t="str">
        <f t="shared" si="1822"/>
        <v>MAYBANK / MAYBANK ISLAMIC</v>
      </c>
      <c r="K4468" t="str">
        <f>"157072337742"</f>
        <v>157072337742</v>
      </c>
      <c r="L4468" t="str">
        <f t="shared" si="1827"/>
        <v>04-08-2020</v>
      </c>
      <c r="M4468" t="str">
        <f t="shared" si="1827"/>
        <v>04-08-2020</v>
      </c>
      <c r="N4468" t="str">
        <f t="shared" si="1809"/>
        <v>001105018356</v>
      </c>
      <c r="O4468" t="str">
        <f t="shared" si="1810"/>
        <v>MYR</v>
      </c>
      <c r="P4468" t="str">
        <f t="shared" si="1828"/>
        <v>NIL</v>
      </c>
      <c r="Q4468" t="str">
        <f t="shared" si="1828"/>
        <v>NIL</v>
      </c>
      <c r="R4468" t="str">
        <f t="shared" si="1811"/>
        <v>Accepted</v>
      </c>
      <c r="S4468" t="str">
        <f t="shared" si="1812"/>
        <v>Approved</v>
      </c>
      <c r="T4468" t="str">
        <f t="shared" si="1813"/>
        <v>10.20.8.188</v>
      </c>
      <c r="U4468" t="str">
        <f t="shared" si="1814"/>
        <v>AZRAD UMAR BIN SHAARI</v>
      </c>
      <c r="V4468" t="str">
        <f t="shared" si="1815"/>
        <v>FARHANA BINTI MUSTAPA</v>
      </c>
      <c r="W4468" t="str">
        <f t="shared" si="1816"/>
        <v>04-08-2020</v>
      </c>
      <c r="X4468" t="str">
        <f t="shared" si="1817"/>
        <v>RAZIMAH ANSAR AHMAD</v>
      </c>
      <c r="Y4468" t="str">
        <f t="shared" si="1818"/>
        <v>04-08-2020</v>
      </c>
      <c r="Z4468" t="str">
        <f>"COS10200804 4686"</f>
        <v>COS10200804 4686</v>
      </c>
    </row>
    <row r="4469" spans="1:26" x14ac:dyDescent="0.25">
      <c r="A4469" t="str">
        <f t="shared" si="1825"/>
        <v>04-08-2020 12:50:26</v>
      </c>
      <c r="B4469" t="str">
        <f>"0000806466"</f>
        <v>0000806466</v>
      </c>
      <c r="C4469" t="str">
        <f t="shared" si="1826"/>
        <v>0000806381</v>
      </c>
      <c r="D4469" t="str">
        <f t="shared" si="1806"/>
        <v>73185</v>
      </c>
      <c r="E4469" t="str">
        <f t="shared" si="1807"/>
        <v>KFH-OPERATIONS DEPARTMENT</v>
      </c>
      <c r="F4469" t="str">
        <f t="shared" si="1808"/>
        <v>IBG</v>
      </c>
      <c r="G4469" t="str">
        <f t="shared" si="1821"/>
        <v>Refund COSHARE 10</v>
      </c>
      <c r="H4469" s="2">
        <v>83.95</v>
      </c>
      <c r="I4469" t="str">
        <f>"HASLIZAWATI BINTI MOHAMMAD"</f>
        <v>HASLIZAWATI BINTI MOHAMMAD</v>
      </c>
      <c r="J4469" t="str">
        <f t="shared" si="1822"/>
        <v>MAYBANK / MAYBANK ISLAMIC</v>
      </c>
      <c r="K4469" t="str">
        <f>"110161103225"</f>
        <v>110161103225</v>
      </c>
      <c r="L4469" t="str">
        <f t="shared" si="1827"/>
        <v>04-08-2020</v>
      </c>
      <c r="M4469" t="str">
        <f t="shared" si="1827"/>
        <v>04-08-2020</v>
      </c>
      <c r="N4469" t="str">
        <f t="shared" si="1809"/>
        <v>001105018356</v>
      </c>
      <c r="O4469" t="str">
        <f t="shared" si="1810"/>
        <v>MYR</v>
      </c>
      <c r="P4469" t="str">
        <f t="shared" si="1828"/>
        <v>NIL</v>
      </c>
      <c r="Q4469" t="str">
        <f t="shared" si="1828"/>
        <v>NIL</v>
      </c>
      <c r="R4469" t="str">
        <f t="shared" si="1811"/>
        <v>Accepted</v>
      </c>
      <c r="S4469" t="str">
        <f t="shared" si="1812"/>
        <v>Approved</v>
      </c>
      <c r="T4469" t="str">
        <f t="shared" si="1813"/>
        <v>10.20.8.188</v>
      </c>
      <c r="U4469" t="str">
        <f t="shared" si="1814"/>
        <v>AZRAD UMAR BIN SHAARI</v>
      </c>
      <c r="V4469" t="str">
        <f t="shared" si="1815"/>
        <v>FARHANA BINTI MUSTAPA</v>
      </c>
      <c r="W4469" t="str">
        <f t="shared" si="1816"/>
        <v>04-08-2020</v>
      </c>
      <c r="X4469" t="str">
        <f t="shared" si="1817"/>
        <v>RAZIMAH ANSAR AHMAD</v>
      </c>
      <c r="Y4469" t="str">
        <f t="shared" si="1818"/>
        <v>04-08-2020</v>
      </c>
      <c r="Z4469" t="str">
        <f>"COS10200804 4685"</f>
        <v>COS10200804 4685</v>
      </c>
    </row>
    <row r="4470" spans="1:26" x14ac:dyDescent="0.25">
      <c r="A4470" t="str">
        <f t="shared" si="1825"/>
        <v>04-08-2020 12:50:26</v>
      </c>
      <c r="B4470" t="str">
        <f>"0000806465"</f>
        <v>0000806465</v>
      </c>
      <c r="C4470" t="str">
        <f t="shared" si="1826"/>
        <v>0000806381</v>
      </c>
      <c r="D4470" t="str">
        <f t="shared" si="1806"/>
        <v>73185</v>
      </c>
      <c r="E4470" t="str">
        <f t="shared" si="1807"/>
        <v>KFH-OPERATIONS DEPARTMENT</v>
      </c>
      <c r="F4470" t="str">
        <f t="shared" si="1808"/>
        <v>IBG</v>
      </c>
      <c r="G4470" t="str">
        <f t="shared" si="1821"/>
        <v>Refund COSHARE 10</v>
      </c>
      <c r="H4470" s="2">
        <v>629.65</v>
      </c>
      <c r="I4470" t="str">
        <f>"HASLIZAN BIN HASAN"</f>
        <v>HASLIZAN BIN HASAN</v>
      </c>
      <c r="J4470" t="str">
        <f t="shared" si="1822"/>
        <v>MAYBANK / MAYBANK ISLAMIC</v>
      </c>
      <c r="K4470" t="str">
        <f>"116015074295"</f>
        <v>116015074295</v>
      </c>
      <c r="L4470" t="str">
        <f t="shared" si="1827"/>
        <v>04-08-2020</v>
      </c>
      <c r="M4470" t="str">
        <f t="shared" si="1827"/>
        <v>04-08-2020</v>
      </c>
      <c r="N4470" t="str">
        <f t="shared" si="1809"/>
        <v>001105018356</v>
      </c>
      <c r="O4470" t="str">
        <f t="shared" si="1810"/>
        <v>MYR</v>
      </c>
      <c r="P4470" t="str">
        <f t="shared" si="1828"/>
        <v>NIL</v>
      </c>
      <c r="Q4470" t="str">
        <f t="shared" si="1828"/>
        <v>NIL</v>
      </c>
      <c r="R4470" t="str">
        <f t="shared" si="1811"/>
        <v>Accepted</v>
      </c>
      <c r="S4470" t="str">
        <f t="shared" si="1812"/>
        <v>Approved</v>
      </c>
      <c r="T4470" t="str">
        <f t="shared" si="1813"/>
        <v>10.20.8.188</v>
      </c>
      <c r="U4470" t="str">
        <f t="shared" si="1814"/>
        <v>AZRAD UMAR BIN SHAARI</v>
      </c>
      <c r="V4470" t="str">
        <f t="shared" si="1815"/>
        <v>FARHANA BINTI MUSTAPA</v>
      </c>
      <c r="W4470" t="str">
        <f t="shared" si="1816"/>
        <v>04-08-2020</v>
      </c>
      <c r="X4470" t="str">
        <f t="shared" si="1817"/>
        <v>RAZIMAH ANSAR AHMAD</v>
      </c>
      <c r="Y4470" t="str">
        <f t="shared" si="1818"/>
        <v>04-08-2020</v>
      </c>
      <c r="Z4470" t="str">
        <f>"COS10200804 4684"</f>
        <v>COS10200804 4684</v>
      </c>
    </row>
    <row r="4471" spans="1:26" x14ac:dyDescent="0.25">
      <c r="A4471" t="str">
        <f t="shared" si="1825"/>
        <v>04-08-2020 12:50:26</v>
      </c>
      <c r="B4471" t="str">
        <f>"0000806464"</f>
        <v>0000806464</v>
      </c>
      <c r="C4471" t="str">
        <f t="shared" si="1826"/>
        <v>0000806381</v>
      </c>
      <c r="D4471" t="str">
        <f t="shared" si="1806"/>
        <v>73185</v>
      </c>
      <c r="E4471" t="str">
        <f t="shared" si="1807"/>
        <v>KFH-OPERATIONS DEPARTMENT</v>
      </c>
      <c r="F4471" t="str">
        <f t="shared" si="1808"/>
        <v>IBG</v>
      </c>
      <c r="G4471" t="str">
        <f t="shared" si="1821"/>
        <v>Refund COSHARE 10</v>
      </c>
      <c r="H4471" s="2">
        <v>251.85</v>
      </c>
      <c r="I4471" t="str">
        <f>"HASLIZA BINTI HASHIM"</f>
        <v>HASLIZA BINTI HASHIM</v>
      </c>
      <c r="J4471" t="str">
        <f t="shared" si="1822"/>
        <v>MAYBANK / MAYBANK ISLAMIC</v>
      </c>
      <c r="K4471" t="str">
        <f>"112447053049"</f>
        <v>112447053049</v>
      </c>
      <c r="L4471" t="str">
        <f t="shared" si="1827"/>
        <v>04-08-2020</v>
      </c>
      <c r="M4471" t="str">
        <f t="shared" si="1827"/>
        <v>04-08-2020</v>
      </c>
      <c r="N4471" t="str">
        <f t="shared" si="1809"/>
        <v>001105018356</v>
      </c>
      <c r="O4471" t="str">
        <f t="shared" si="1810"/>
        <v>MYR</v>
      </c>
      <c r="P4471" t="str">
        <f t="shared" si="1828"/>
        <v>NIL</v>
      </c>
      <c r="Q4471" t="str">
        <f t="shared" si="1828"/>
        <v>NIL</v>
      </c>
      <c r="R4471" t="str">
        <f t="shared" si="1811"/>
        <v>Accepted</v>
      </c>
      <c r="S4471" t="str">
        <f t="shared" si="1812"/>
        <v>Approved</v>
      </c>
      <c r="T4471" t="str">
        <f t="shared" si="1813"/>
        <v>10.20.8.188</v>
      </c>
      <c r="U4471" t="str">
        <f t="shared" si="1814"/>
        <v>AZRAD UMAR BIN SHAARI</v>
      </c>
      <c r="V4471" t="str">
        <f t="shared" si="1815"/>
        <v>FARHANA BINTI MUSTAPA</v>
      </c>
      <c r="W4471" t="str">
        <f t="shared" si="1816"/>
        <v>04-08-2020</v>
      </c>
      <c r="X4471" t="str">
        <f t="shared" si="1817"/>
        <v>RAZIMAH ANSAR AHMAD</v>
      </c>
      <c r="Y4471" t="str">
        <f t="shared" si="1818"/>
        <v>04-08-2020</v>
      </c>
      <c r="Z4471" t="str">
        <f>"COS10200804 4683"</f>
        <v>COS10200804 4683</v>
      </c>
    </row>
    <row r="4472" spans="1:26" x14ac:dyDescent="0.25">
      <c r="A4472" t="str">
        <f t="shared" si="1825"/>
        <v>04-08-2020 12:50:26</v>
      </c>
      <c r="B4472" t="str">
        <f>"0000806463"</f>
        <v>0000806463</v>
      </c>
      <c r="C4472" t="str">
        <f t="shared" si="1826"/>
        <v>0000806381</v>
      </c>
      <c r="D4472" t="str">
        <f t="shared" si="1806"/>
        <v>73185</v>
      </c>
      <c r="E4472" t="str">
        <f t="shared" si="1807"/>
        <v>KFH-OPERATIONS DEPARTMENT</v>
      </c>
      <c r="F4472" t="str">
        <f t="shared" si="1808"/>
        <v>IBG</v>
      </c>
      <c r="G4472" t="str">
        <f t="shared" si="1821"/>
        <v>Refund COSHARE 10</v>
      </c>
      <c r="H4472" s="2">
        <v>473.3</v>
      </c>
      <c r="I4472" t="str">
        <f>"HASLIZA BINTI HAFIZUDDIN"</f>
        <v>HASLIZA BINTI HAFIZUDDIN</v>
      </c>
      <c r="J4472" t="str">
        <f t="shared" si="1822"/>
        <v>MAYBANK / MAYBANK ISLAMIC</v>
      </c>
      <c r="K4472" t="str">
        <f>"153010152024"</f>
        <v>153010152024</v>
      </c>
      <c r="L4472" t="str">
        <f t="shared" si="1827"/>
        <v>04-08-2020</v>
      </c>
      <c r="M4472" t="str">
        <f t="shared" si="1827"/>
        <v>04-08-2020</v>
      </c>
      <c r="N4472" t="str">
        <f t="shared" si="1809"/>
        <v>001105018356</v>
      </c>
      <c r="O4472" t="str">
        <f t="shared" si="1810"/>
        <v>MYR</v>
      </c>
      <c r="P4472" t="str">
        <f t="shared" si="1828"/>
        <v>NIL</v>
      </c>
      <c r="Q4472" t="str">
        <f t="shared" si="1828"/>
        <v>NIL</v>
      </c>
      <c r="R4472" t="str">
        <f t="shared" si="1811"/>
        <v>Accepted</v>
      </c>
      <c r="S4472" t="str">
        <f t="shared" si="1812"/>
        <v>Approved</v>
      </c>
      <c r="T4472" t="str">
        <f t="shared" si="1813"/>
        <v>10.20.8.188</v>
      </c>
      <c r="U4472" t="str">
        <f t="shared" si="1814"/>
        <v>AZRAD UMAR BIN SHAARI</v>
      </c>
      <c r="V4472" t="str">
        <f t="shared" si="1815"/>
        <v>FARHANA BINTI MUSTAPA</v>
      </c>
      <c r="W4472" t="str">
        <f t="shared" si="1816"/>
        <v>04-08-2020</v>
      </c>
      <c r="X4472" t="str">
        <f t="shared" si="1817"/>
        <v>RAZIMAH ANSAR AHMAD</v>
      </c>
      <c r="Y4472" t="str">
        <f t="shared" si="1818"/>
        <v>04-08-2020</v>
      </c>
      <c r="Z4472" t="str">
        <f>"COS10200804 4682"</f>
        <v>COS10200804 4682</v>
      </c>
    </row>
    <row r="4473" spans="1:26" x14ac:dyDescent="0.25">
      <c r="A4473" t="str">
        <f t="shared" si="1825"/>
        <v>04-08-2020 12:50:26</v>
      </c>
      <c r="B4473" t="str">
        <f>"0000806462"</f>
        <v>0000806462</v>
      </c>
      <c r="C4473" t="str">
        <f t="shared" si="1826"/>
        <v>0000806381</v>
      </c>
      <c r="D4473" t="str">
        <f t="shared" si="1806"/>
        <v>73185</v>
      </c>
      <c r="E4473" t="str">
        <f t="shared" si="1807"/>
        <v>KFH-OPERATIONS DEPARTMENT</v>
      </c>
      <c r="F4473" t="str">
        <f t="shared" si="1808"/>
        <v>IBG</v>
      </c>
      <c r="G4473" t="str">
        <f t="shared" si="1821"/>
        <v>Refund COSHARE 10</v>
      </c>
      <c r="H4473" s="2">
        <v>127.05</v>
      </c>
      <c r="I4473" t="str">
        <f>"HASLINDA BINTI SULOR"</f>
        <v>HASLINDA BINTI SULOR</v>
      </c>
      <c r="J4473" t="str">
        <f t="shared" si="1822"/>
        <v>MAYBANK / MAYBANK ISLAMIC</v>
      </c>
      <c r="K4473" t="str">
        <f>"151128015943"</f>
        <v>151128015943</v>
      </c>
      <c r="L4473" t="str">
        <f t="shared" si="1827"/>
        <v>04-08-2020</v>
      </c>
      <c r="M4473" t="str">
        <f t="shared" si="1827"/>
        <v>04-08-2020</v>
      </c>
      <c r="N4473" t="str">
        <f t="shared" si="1809"/>
        <v>001105018356</v>
      </c>
      <c r="O4473" t="str">
        <f t="shared" si="1810"/>
        <v>MYR</v>
      </c>
      <c r="P4473" t="str">
        <f t="shared" si="1828"/>
        <v>NIL</v>
      </c>
      <c r="Q4473" t="str">
        <f t="shared" si="1828"/>
        <v>NIL</v>
      </c>
      <c r="R4473" t="str">
        <f t="shared" si="1811"/>
        <v>Accepted</v>
      </c>
      <c r="S4473" t="str">
        <f t="shared" si="1812"/>
        <v>Approved</v>
      </c>
      <c r="T4473" t="str">
        <f t="shared" si="1813"/>
        <v>10.20.8.188</v>
      </c>
      <c r="U4473" t="str">
        <f t="shared" si="1814"/>
        <v>AZRAD UMAR BIN SHAARI</v>
      </c>
      <c r="V4473" t="str">
        <f t="shared" si="1815"/>
        <v>FARHANA BINTI MUSTAPA</v>
      </c>
      <c r="W4473" t="str">
        <f t="shared" si="1816"/>
        <v>04-08-2020</v>
      </c>
      <c r="X4473" t="str">
        <f t="shared" si="1817"/>
        <v>RAZIMAH ANSAR AHMAD</v>
      </c>
      <c r="Y4473" t="str">
        <f t="shared" si="1818"/>
        <v>04-08-2020</v>
      </c>
      <c r="Z4473" t="str">
        <f>"COS10200804 4681"</f>
        <v>COS10200804 4681</v>
      </c>
    </row>
    <row r="4474" spans="1:26" x14ac:dyDescent="0.25">
      <c r="A4474" t="str">
        <f t="shared" si="1825"/>
        <v>04-08-2020 12:50:26</v>
      </c>
      <c r="B4474" t="str">
        <f>"0000806461"</f>
        <v>0000806461</v>
      </c>
      <c r="C4474" t="str">
        <f t="shared" si="1826"/>
        <v>0000806381</v>
      </c>
      <c r="D4474" t="str">
        <f t="shared" si="1806"/>
        <v>73185</v>
      </c>
      <c r="E4474" t="str">
        <f t="shared" si="1807"/>
        <v>KFH-OPERATIONS DEPARTMENT</v>
      </c>
      <c r="F4474" t="str">
        <f t="shared" si="1808"/>
        <v>IBG</v>
      </c>
      <c r="G4474" t="str">
        <f t="shared" si="1821"/>
        <v>Refund COSHARE 10</v>
      </c>
      <c r="H4474" s="2">
        <v>58.8</v>
      </c>
      <c r="I4474" t="str">
        <f>"HASLINDA BINTI MUSTAFA"</f>
        <v>HASLINDA BINTI MUSTAFA</v>
      </c>
      <c r="J4474" t="str">
        <f t="shared" si="1822"/>
        <v>MAYBANK / MAYBANK ISLAMIC</v>
      </c>
      <c r="K4474" t="str">
        <f>"163082146309"</f>
        <v>163082146309</v>
      </c>
      <c r="L4474" t="str">
        <f t="shared" si="1827"/>
        <v>04-08-2020</v>
      </c>
      <c r="M4474" t="str">
        <f t="shared" si="1827"/>
        <v>04-08-2020</v>
      </c>
      <c r="N4474" t="str">
        <f t="shared" si="1809"/>
        <v>001105018356</v>
      </c>
      <c r="O4474" t="str">
        <f t="shared" si="1810"/>
        <v>MYR</v>
      </c>
      <c r="P4474" t="str">
        <f t="shared" si="1828"/>
        <v>NIL</v>
      </c>
      <c r="Q4474" t="str">
        <f t="shared" si="1828"/>
        <v>NIL</v>
      </c>
      <c r="R4474" t="str">
        <f t="shared" si="1811"/>
        <v>Accepted</v>
      </c>
      <c r="S4474" t="str">
        <f t="shared" si="1812"/>
        <v>Approved</v>
      </c>
      <c r="T4474" t="str">
        <f t="shared" si="1813"/>
        <v>10.20.8.188</v>
      </c>
      <c r="U4474" t="str">
        <f t="shared" si="1814"/>
        <v>AZRAD UMAR BIN SHAARI</v>
      </c>
      <c r="V4474" t="str">
        <f t="shared" si="1815"/>
        <v>FARHANA BINTI MUSTAPA</v>
      </c>
      <c r="W4474" t="str">
        <f t="shared" si="1816"/>
        <v>04-08-2020</v>
      </c>
      <c r="X4474" t="str">
        <f t="shared" si="1817"/>
        <v>RAZIMAH ANSAR AHMAD</v>
      </c>
      <c r="Y4474" t="str">
        <f t="shared" si="1818"/>
        <v>04-08-2020</v>
      </c>
      <c r="Z4474" t="str">
        <f>"COS10200804 4680"</f>
        <v>COS10200804 4680</v>
      </c>
    </row>
    <row r="4475" spans="1:26" x14ac:dyDescent="0.25">
      <c r="A4475" t="str">
        <f t="shared" si="1825"/>
        <v>04-08-2020 12:50:26</v>
      </c>
      <c r="B4475" t="str">
        <f>"0000806460"</f>
        <v>0000806460</v>
      </c>
      <c r="C4475" t="str">
        <f t="shared" si="1826"/>
        <v>0000806381</v>
      </c>
      <c r="D4475" t="str">
        <f t="shared" si="1806"/>
        <v>73185</v>
      </c>
      <c r="E4475" t="str">
        <f t="shared" si="1807"/>
        <v>KFH-OPERATIONS DEPARTMENT</v>
      </c>
      <c r="F4475" t="str">
        <f t="shared" si="1808"/>
        <v>IBG</v>
      </c>
      <c r="G4475" t="str">
        <f t="shared" si="1821"/>
        <v>Refund COSHARE 10</v>
      </c>
      <c r="H4475" s="2">
        <v>1252</v>
      </c>
      <c r="I4475" t="str">
        <f>"HASLINDA BINTI KAMIS"</f>
        <v>HASLINDA BINTI KAMIS</v>
      </c>
      <c r="J4475" t="str">
        <f t="shared" si="1822"/>
        <v>MAYBANK / MAYBANK ISLAMIC</v>
      </c>
      <c r="K4475" t="str">
        <f>"164137468509"</f>
        <v>164137468509</v>
      </c>
      <c r="L4475" t="str">
        <f t="shared" si="1827"/>
        <v>04-08-2020</v>
      </c>
      <c r="M4475" t="str">
        <f t="shared" si="1827"/>
        <v>04-08-2020</v>
      </c>
      <c r="N4475" t="str">
        <f t="shared" si="1809"/>
        <v>001105018356</v>
      </c>
      <c r="O4475" t="str">
        <f t="shared" si="1810"/>
        <v>MYR</v>
      </c>
      <c r="P4475" t="str">
        <f t="shared" si="1828"/>
        <v>NIL</v>
      </c>
      <c r="Q4475" t="str">
        <f t="shared" si="1828"/>
        <v>NIL</v>
      </c>
      <c r="R4475" t="str">
        <f t="shared" si="1811"/>
        <v>Accepted</v>
      </c>
      <c r="S4475" t="str">
        <f t="shared" si="1812"/>
        <v>Approved</v>
      </c>
      <c r="T4475" t="str">
        <f t="shared" si="1813"/>
        <v>10.20.8.188</v>
      </c>
      <c r="U4475" t="str">
        <f t="shared" si="1814"/>
        <v>AZRAD UMAR BIN SHAARI</v>
      </c>
      <c r="V4475" t="str">
        <f t="shared" si="1815"/>
        <v>FARHANA BINTI MUSTAPA</v>
      </c>
      <c r="W4475" t="str">
        <f t="shared" si="1816"/>
        <v>04-08-2020</v>
      </c>
      <c r="X4475" t="str">
        <f t="shared" si="1817"/>
        <v>RAZIMAH ANSAR AHMAD</v>
      </c>
      <c r="Y4475" t="str">
        <f t="shared" si="1818"/>
        <v>04-08-2020</v>
      </c>
      <c r="Z4475" t="str">
        <f>"COS10200804 4679"</f>
        <v>COS10200804 4679</v>
      </c>
    </row>
    <row r="4476" spans="1:26" x14ac:dyDescent="0.25">
      <c r="A4476" t="str">
        <f t="shared" si="1825"/>
        <v>04-08-2020 12:50:26</v>
      </c>
      <c r="B4476" t="str">
        <f>"0000806459"</f>
        <v>0000806459</v>
      </c>
      <c r="C4476" t="str">
        <f t="shared" si="1826"/>
        <v>0000806381</v>
      </c>
      <c r="D4476" t="str">
        <f t="shared" si="1806"/>
        <v>73185</v>
      </c>
      <c r="E4476" t="str">
        <f t="shared" si="1807"/>
        <v>KFH-OPERATIONS DEPARTMENT</v>
      </c>
      <c r="F4476" t="str">
        <f t="shared" si="1808"/>
        <v>IBG</v>
      </c>
      <c r="G4476" t="str">
        <f t="shared" si="1821"/>
        <v>Refund COSHARE 10</v>
      </c>
      <c r="H4476" s="2">
        <v>1370.2</v>
      </c>
      <c r="I4476" t="str">
        <f>"HASLINDA BINTI ABD RAHMAN"</f>
        <v>HASLINDA BINTI ABD RAHMAN</v>
      </c>
      <c r="J4476" t="str">
        <f t="shared" si="1822"/>
        <v>MAYBANK / MAYBANK ISLAMIC</v>
      </c>
      <c r="K4476" t="str">
        <f>"155015060859"</f>
        <v>155015060859</v>
      </c>
      <c r="L4476" t="str">
        <f t="shared" si="1827"/>
        <v>04-08-2020</v>
      </c>
      <c r="M4476" t="str">
        <f t="shared" si="1827"/>
        <v>04-08-2020</v>
      </c>
      <c r="N4476" t="str">
        <f t="shared" si="1809"/>
        <v>001105018356</v>
      </c>
      <c r="O4476" t="str">
        <f t="shared" si="1810"/>
        <v>MYR</v>
      </c>
      <c r="P4476" t="str">
        <f t="shared" si="1828"/>
        <v>NIL</v>
      </c>
      <c r="Q4476" t="str">
        <f t="shared" si="1828"/>
        <v>NIL</v>
      </c>
      <c r="R4476" t="str">
        <f t="shared" si="1811"/>
        <v>Accepted</v>
      </c>
      <c r="S4476" t="str">
        <f t="shared" si="1812"/>
        <v>Approved</v>
      </c>
      <c r="T4476" t="str">
        <f t="shared" si="1813"/>
        <v>10.20.8.188</v>
      </c>
      <c r="U4476" t="str">
        <f t="shared" si="1814"/>
        <v>AZRAD UMAR BIN SHAARI</v>
      </c>
      <c r="V4476" t="str">
        <f t="shared" si="1815"/>
        <v>FARHANA BINTI MUSTAPA</v>
      </c>
      <c r="W4476" t="str">
        <f t="shared" si="1816"/>
        <v>04-08-2020</v>
      </c>
      <c r="X4476" t="str">
        <f t="shared" si="1817"/>
        <v>RAZIMAH ANSAR AHMAD</v>
      </c>
      <c r="Y4476" t="str">
        <f t="shared" si="1818"/>
        <v>04-08-2020</v>
      </c>
      <c r="Z4476" t="str">
        <f>"COS10200804 4678"</f>
        <v>COS10200804 4678</v>
      </c>
    </row>
    <row r="4477" spans="1:26" x14ac:dyDescent="0.25">
      <c r="A4477" t="str">
        <f t="shared" si="1825"/>
        <v>04-08-2020 12:50:26</v>
      </c>
      <c r="B4477" t="str">
        <f>"0000806458"</f>
        <v>0000806458</v>
      </c>
      <c r="C4477" t="str">
        <f t="shared" si="1826"/>
        <v>0000806381</v>
      </c>
      <c r="D4477" t="str">
        <f t="shared" si="1806"/>
        <v>73185</v>
      </c>
      <c r="E4477" t="str">
        <f t="shared" si="1807"/>
        <v>KFH-OPERATIONS DEPARTMENT</v>
      </c>
      <c r="F4477" t="str">
        <f t="shared" si="1808"/>
        <v>IBG</v>
      </c>
      <c r="G4477" t="str">
        <f t="shared" si="1821"/>
        <v>Refund COSHARE 10</v>
      </c>
      <c r="H4477" s="2">
        <v>1049.4000000000001</v>
      </c>
      <c r="I4477" t="str">
        <f>"HASLINA BINTI ZAMANI"</f>
        <v>HASLINA BINTI ZAMANI</v>
      </c>
      <c r="J4477" t="str">
        <f t="shared" si="1822"/>
        <v>MAYBANK / MAYBANK ISLAMIC</v>
      </c>
      <c r="K4477" t="str">
        <f>"158015079194"</f>
        <v>158015079194</v>
      </c>
      <c r="L4477" t="str">
        <f t="shared" si="1827"/>
        <v>04-08-2020</v>
      </c>
      <c r="M4477" t="str">
        <f t="shared" si="1827"/>
        <v>04-08-2020</v>
      </c>
      <c r="N4477" t="str">
        <f t="shared" si="1809"/>
        <v>001105018356</v>
      </c>
      <c r="O4477" t="str">
        <f t="shared" si="1810"/>
        <v>MYR</v>
      </c>
      <c r="P4477" t="str">
        <f t="shared" si="1828"/>
        <v>NIL</v>
      </c>
      <c r="Q4477" t="str">
        <f t="shared" si="1828"/>
        <v>NIL</v>
      </c>
      <c r="R4477" t="str">
        <f t="shared" si="1811"/>
        <v>Accepted</v>
      </c>
      <c r="S4477" t="str">
        <f t="shared" si="1812"/>
        <v>Approved</v>
      </c>
      <c r="T4477" t="str">
        <f t="shared" si="1813"/>
        <v>10.20.8.188</v>
      </c>
      <c r="U4477" t="str">
        <f t="shared" si="1814"/>
        <v>AZRAD UMAR BIN SHAARI</v>
      </c>
      <c r="V4477" t="str">
        <f t="shared" si="1815"/>
        <v>FARHANA BINTI MUSTAPA</v>
      </c>
      <c r="W4477" t="str">
        <f t="shared" si="1816"/>
        <v>04-08-2020</v>
      </c>
      <c r="X4477" t="str">
        <f t="shared" si="1817"/>
        <v>RAZIMAH ANSAR AHMAD</v>
      </c>
      <c r="Y4477" t="str">
        <f t="shared" si="1818"/>
        <v>04-08-2020</v>
      </c>
      <c r="Z4477" t="str">
        <f>"COS10200804 4677"</f>
        <v>COS10200804 4677</v>
      </c>
    </row>
    <row r="4478" spans="1:26" x14ac:dyDescent="0.25">
      <c r="A4478" t="str">
        <f t="shared" si="1825"/>
        <v>04-08-2020 12:50:26</v>
      </c>
      <c r="B4478" t="str">
        <f>"0000806457"</f>
        <v>0000806457</v>
      </c>
      <c r="C4478" t="str">
        <f t="shared" si="1826"/>
        <v>0000806381</v>
      </c>
      <c r="D4478" t="str">
        <f t="shared" si="1806"/>
        <v>73185</v>
      </c>
      <c r="E4478" t="str">
        <f t="shared" si="1807"/>
        <v>KFH-OPERATIONS DEPARTMENT</v>
      </c>
      <c r="F4478" t="str">
        <f t="shared" si="1808"/>
        <v>IBG</v>
      </c>
      <c r="G4478" t="str">
        <f t="shared" si="1821"/>
        <v>Refund COSHARE 10</v>
      </c>
      <c r="H4478" s="2">
        <v>56.8</v>
      </c>
      <c r="I4478" t="str">
        <f>"HASLINA BINTI ZAINOL"</f>
        <v>HASLINA BINTI ZAINOL</v>
      </c>
      <c r="J4478" t="str">
        <f t="shared" si="1822"/>
        <v>MAYBANK / MAYBANK ISLAMIC</v>
      </c>
      <c r="K4478" t="str">
        <f>"162076534840"</f>
        <v>162076534840</v>
      </c>
      <c r="L4478" t="str">
        <f t="shared" si="1827"/>
        <v>04-08-2020</v>
      </c>
      <c r="M4478" t="str">
        <f t="shared" si="1827"/>
        <v>04-08-2020</v>
      </c>
      <c r="N4478" t="str">
        <f t="shared" si="1809"/>
        <v>001105018356</v>
      </c>
      <c r="O4478" t="str">
        <f t="shared" si="1810"/>
        <v>MYR</v>
      </c>
      <c r="P4478" t="str">
        <f t="shared" si="1828"/>
        <v>NIL</v>
      </c>
      <c r="Q4478" t="str">
        <f t="shared" si="1828"/>
        <v>NIL</v>
      </c>
      <c r="R4478" t="str">
        <f t="shared" si="1811"/>
        <v>Accepted</v>
      </c>
      <c r="S4478" t="str">
        <f t="shared" si="1812"/>
        <v>Approved</v>
      </c>
      <c r="T4478" t="str">
        <f t="shared" si="1813"/>
        <v>10.20.8.188</v>
      </c>
      <c r="U4478" t="str">
        <f t="shared" si="1814"/>
        <v>AZRAD UMAR BIN SHAARI</v>
      </c>
      <c r="V4478" t="str">
        <f t="shared" si="1815"/>
        <v>FARHANA BINTI MUSTAPA</v>
      </c>
      <c r="W4478" t="str">
        <f t="shared" si="1816"/>
        <v>04-08-2020</v>
      </c>
      <c r="X4478" t="str">
        <f t="shared" si="1817"/>
        <v>RAZIMAH ANSAR AHMAD</v>
      </c>
      <c r="Y4478" t="str">
        <f t="shared" si="1818"/>
        <v>04-08-2020</v>
      </c>
      <c r="Z4478" t="str">
        <f>"COS10200804 4676"</f>
        <v>COS10200804 4676</v>
      </c>
    </row>
    <row r="4479" spans="1:26" x14ac:dyDescent="0.25">
      <c r="A4479" t="str">
        <f t="shared" si="1825"/>
        <v>04-08-2020 12:50:26</v>
      </c>
      <c r="B4479" t="str">
        <f>"0000806456"</f>
        <v>0000806456</v>
      </c>
      <c r="C4479" t="str">
        <f t="shared" si="1826"/>
        <v>0000806381</v>
      </c>
      <c r="D4479" t="str">
        <f t="shared" si="1806"/>
        <v>73185</v>
      </c>
      <c r="E4479" t="str">
        <f t="shared" si="1807"/>
        <v>KFH-OPERATIONS DEPARTMENT</v>
      </c>
      <c r="F4479" t="str">
        <f t="shared" si="1808"/>
        <v>IBG</v>
      </c>
      <c r="G4479" t="str">
        <f t="shared" si="1821"/>
        <v>Refund COSHARE 10</v>
      </c>
      <c r="H4479" s="2">
        <v>114</v>
      </c>
      <c r="I4479" t="str">
        <f>"HASLINA BINTI ARSHAD"</f>
        <v>HASLINA BINTI ARSHAD</v>
      </c>
      <c r="J4479" t="str">
        <f t="shared" si="1822"/>
        <v>MAYBANK / MAYBANK ISLAMIC</v>
      </c>
      <c r="K4479" t="str">
        <f>"108298020152"</f>
        <v>108298020152</v>
      </c>
      <c r="L4479" t="str">
        <f t="shared" si="1827"/>
        <v>04-08-2020</v>
      </c>
      <c r="M4479" t="str">
        <f t="shared" si="1827"/>
        <v>04-08-2020</v>
      </c>
      <c r="N4479" t="str">
        <f t="shared" si="1809"/>
        <v>001105018356</v>
      </c>
      <c r="O4479" t="str">
        <f t="shared" si="1810"/>
        <v>MYR</v>
      </c>
      <c r="P4479" t="str">
        <f t="shared" si="1828"/>
        <v>NIL</v>
      </c>
      <c r="Q4479" t="str">
        <f t="shared" si="1828"/>
        <v>NIL</v>
      </c>
      <c r="R4479" t="str">
        <f t="shared" si="1811"/>
        <v>Accepted</v>
      </c>
      <c r="S4479" t="str">
        <f t="shared" si="1812"/>
        <v>Approved</v>
      </c>
      <c r="T4479" t="str">
        <f t="shared" si="1813"/>
        <v>10.20.8.188</v>
      </c>
      <c r="U4479" t="str">
        <f t="shared" si="1814"/>
        <v>AZRAD UMAR BIN SHAARI</v>
      </c>
      <c r="V4479" t="str">
        <f t="shared" si="1815"/>
        <v>FARHANA BINTI MUSTAPA</v>
      </c>
      <c r="W4479" t="str">
        <f t="shared" si="1816"/>
        <v>04-08-2020</v>
      </c>
      <c r="X4479" t="str">
        <f t="shared" si="1817"/>
        <v>RAZIMAH ANSAR AHMAD</v>
      </c>
      <c r="Y4479" t="str">
        <f t="shared" si="1818"/>
        <v>04-08-2020</v>
      </c>
      <c r="Z4479" t="str">
        <f>"COS10200804 4675"</f>
        <v>COS10200804 4675</v>
      </c>
    </row>
    <row r="4480" spans="1:26" x14ac:dyDescent="0.25">
      <c r="A4480" t="str">
        <f t="shared" si="1825"/>
        <v>04-08-2020 12:50:26</v>
      </c>
      <c r="B4480" t="str">
        <f>"0000806455"</f>
        <v>0000806455</v>
      </c>
      <c r="C4480" t="str">
        <f t="shared" si="1826"/>
        <v>0000806381</v>
      </c>
      <c r="D4480" t="str">
        <f t="shared" si="1806"/>
        <v>73185</v>
      </c>
      <c r="E4480" t="str">
        <f t="shared" si="1807"/>
        <v>KFH-OPERATIONS DEPARTMENT</v>
      </c>
      <c r="F4480" t="str">
        <f t="shared" si="1808"/>
        <v>IBG</v>
      </c>
      <c r="G4480" t="str">
        <f t="shared" si="1821"/>
        <v>Refund COSHARE 10</v>
      </c>
      <c r="H4480" s="2">
        <v>508.15</v>
      </c>
      <c r="I4480" t="str">
        <f>"HASLIN BINTI BAHKIAR"</f>
        <v>HASLIN BINTI BAHKIAR</v>
      </c>
      <c r="J4480" t="str">
        <f t="shared" si="1822"/>
        <v>MAYBANK / MAYBANK ISLAMIC</v>
      </c>
      <c r="K4480" t="str">
        <f>"151204064401"</f>
        <v>151204064401</v>
      </c>
      <c r="L4480" t="str">
        <f t="shared" si="1827"/>
        <v>04-08-2020</v>
      </c>
      <c r="M4480" t="str">
        <f t="shared" si="1827"/>
        <v>04-08-2020</v>
      </c>
      <c r="N4480" t="str">
        <f t="shared" si="1809"/>
        <v>001105018356</v>
      </c>
      <c r="O4480" t="str">
        <f t="shared" si="1810"/>
        <v>MYR</v>
      </c>
      <c r="P4480" t="str">
        <f t="shared" si="1828"/>
        <v>NIL</v>
      </c>
      <c r="Q4480" t="str">
        <f t="shared" si="1828"/>
        <v>NIL</v>
      </c>
      <c r="R4480" t="str">
        <f t="shared" si="1811"/>
        <v>Accepted</v>
      </c>
      <c r="S4480" t="str">
        <f t="shared" si="1812"/>
        <v>Approved</v>
      </c>
      <c r="T4480" t="str">
        <f t="shared" si="1813"/>
        <v>10.20.8.188</v>
      </c>
      <c r="U4480" t="str">
        <f t="shared" si="1814"/>
        <v>AZRAD UMAR BIN SHAARI</v>
      </c>
      <c r="V4480" t="str">
        <f t="shared" si="1815"/>
        <v>FARHANA BINTI MUSTAPA</v>
      </c>
      <c r="W4480" t="str">
        <f t="shared" si="1816"/>
        <v>04-08-2020</v>
      </c>
      <c r="X4480" t="str">
        <f t="shared" si="1817"/>
        <v>RAZIMAH ANSAR AHMAD</v>
      </c>
      <c r="Y4480" t="str">
        <f t="shared" si="1818"/>
        <v>04-08-2020</v>
      </c>
      <c r="Z4480" t="str">
        <f>"COS10200804 4674"</f>
        <v>COS10200804 4674</v>
      </c>
    </row>
    <row r="4481" spans="1:26" x14ac:dyDescent="0.25">
      <c r="A4481" t="str">
        <f t="shared" si="1825"/>
        <v>04-08-2020 12:50:26</v>
      </c>
      <c r="B4481" t="str">
        <f>"0000806454"</f>
        <v>0000806454</v>
      </c>
      <c r="C4481" t="str">
        <f t="shared" si="1826"/>
        <v>0000806381</v>
      </c>
      <c r="D4481" t="str">
        <f t="shared" si="1806"/>
        <v>73185</v>
      </c>
      <c r="E4481" t="str">
        <f t="shared" si="1807"/>
        <v>KFH-OPERATIONS DEPARTMENT</v>
      </c>
      <c r="F4481" t="str">
        <f t="shared" si="1808"/>
        <v>IBG</v>
      </c>
      <c r="G4481" t="str">
        <f t="shared" si="1821"/>
        <v>Refund COSHARE 10</v>
      </c>
      <c r="H4481" s="2">
        <v>419.75</v>
      </c>
      <c r="I4481" t="str">
        <f>"HASLEY ROSHYMA BINTI RAMLY"</f>
        <v>HASLEY ROSHYMA BINTI RAMLY</v>
      </c>
      <c r="J4481" t="str">
        <f t="shared" si="1822"/>
        <v>MAYBANK / MAYBANK ISLAMIC</v>
      </c>
      <c r="K4481" t="str">
        <f>"162834154841"</f>
        <v>162834154841</v>
      </c>
      <c r="L4481" t="str">
        <f t="shared" si="1827"/>
        <v>04-08-2020</v>
      </c>
      <c r="M4481" t="str">
        <f t="shared" si="1827"/>
        <v>04-08-2020</v>
      </c>
      <c r="N4481" t="str">
        <f t="shared" si="1809"/>
        <v>001105018356</v>
      </c>
      <c r="O4481" t="str">
        <f t="shared" si="1810"/>
        <v>MYR</v>
      </c>
      <c r="P4481" t="str">
        <f t="shared" si="1828"/>
        <v>NIL</v>
      </c>
      <c r="Q4481" t="str">
        <f t="shared" si="1828"/>
        <v>NIL</v>
      </c>
      <c r="R4481" t="str">
        <f t="shared" si="1811"/>
        <v>Accepted</v>
      </c>
      <c r="S4481" t="str">
        <f t="shared" si="1812"/>
        <v>Approved</v>
      </c>
      <c r="T4481" t="str">
        <f t="shared" si="1813"/>
        <v>10.20.8.188</v>
      </c>
      <c r="U4481" t="str">
        <f t="shared" si="1814"/>
        <v>AZRAD UMAR BIN SHAARI</v>
      </c>
      <c r="V4481" t="str">
        <f t="shared" si="1815"/>
        <v>FARHANA BINTI MUSTAPA</v>
      </c>
      <c r="W4481" t="str">
        <f t="shared" si="1816"/>
        <v>04-08-2020</v>
      </c>
      <c r="X4481" t="str">
        <f t="shared" si="1817"/>
        <v>RAZIMAH ANSAR AHMAD</v>
      </c>
      <c r="Y4481" t="str">
        <f t="shared" si="1818"/>
        <v>04-08-2020</v>
      </c>
      <c r="Z4481" t="str">
        <f>"COS10200804 4673"</f>
        <v>COS10200804 4673</v>
      </c>
    </row>
    <row r="4482" spans="1:26" x14ac:dyDescent="0.25">
      <c r="A4482" t="str">
        <f t="shared" ref="A4482:A4513" si="1829">"04-08-2020 12:50:26"</f>
        <v>04-08-2020 12:50:26</v>
      </c>
      <c r="B4482" t="str">
        <f>"0000806453"</f>
        <v>0000806453</v>
      </c>
      <c r="C4482" t="str">
        <f t="shared" ref="C4482:C4513" si="1830">"0000806381"</f>
        <v>0000806381</v>
      </c>
      <c r="D4482" t="str">
        <f t="shared" si="1806"/>
        <v>73185</v>
      </c>
      <c r="E4482" t="str">
        <f t="shared" si="1807"/>
        <v>KFH-OPERATIONS DEPARTMENT</v>
      </c>
      <c r="F4482" t="str">
        <f t="shared" si="1808"/>
        <v>IBG</v>
      </c>
      <c r="G4482" t="str">
        <f t="shared" si="1821"/>
        <v>Refund COSHARE 10</v>
      </c>
      <c r="H4482" s="2">
        <v>470.15</v>
      </c>
      <c r="I4482" t="str">
        <f>"HASIYAH BINTI ABDULLAH"</f>
        <v>HASIYAH BINTI ABDULLAH</v>
      </c>
      <c r="J4482" t="str">
        <f t="shared" si="1822"/>
        <v>MAYBANK / MAYBANK ISLAMIC</v>
      </c>
      <c r="K4482" t="str">
        <f>"111114064535"</f>
        <v>111114064535</v>
      </c>
      <c r="L4482" t="str">
        <f t="shared" si="1827"/>
        <v>04-08-2020</v>
      </c>
      <c r="M4482" t="str">
        <f t="shared" si="1827"/>
        <v>04-08-2020</v>
      </c>
      <c r="N4482" t="str">
        <f t="shared" si="1809"/>
        <v>001105018356</v>
      </c>
      <c r="O4482" t="str">
        <f t="shared" si="1810"/>
        <v>MYR</v>
      </c>
      <c r="P4482" t="str">
        <f t="shared" si="1828"/>
        <v>NIL</v>
      </c>
      <c r="Q4482" t="str">
        <f t="shared" si="1828"/>
        <v>NIL</v>
      </c>
      <c r="R4482" t="str">
        <f t="shared" si="1811"/>
        <v>Accepted</v>
      </c>
      <c r="S4482" t="str">
        <f t="shared" si="1812"/>
        <v>Approved</v>
      </c>
      <c r="T4482" t="str">
        <f t="shared" si="1813"/>
        <v>10.20.8.188</v>
      </c>
      <c r="U4482" t="str">
        <f t="shared" si="1814"/>
        <v>AZRAD UMAR BIN SHAARI</v>
      </c>
      <c r="V4482" t="str">
        <f t="shared" si="1815"/>
        <v>FARHANA BINTI MUSTAPA</v>
      </c>
      <c r="W4482" t="str">
        <f t="shared" si="1816"/>
        <v>04-08-2020</v>
      </c>
      <c r="X4482" t="str">
        <f t="shared" si="1817"/>
        <v>RAZIMAH ANSAR AHMAD</v>
      </c>
      <c r="Y4482" t="str">
        <f t="shared" si="1818"/>
        <v>04-08-2020</v>
      </c>
      <c r="Z4482" t="str">
        <f>"COS10200804 4672"</f>
        <v>COS10200804 4672</v>
      </c>
    </row>
    <row r="4483" spans="1:26" x14ac:dyDescent="0.25">
      <c r="A4483" t="str">
        <f t="shared" si="1829"/>
        <v>04-08-2020 12:50:26</v>
      </c>
      <c r="B4483" t="str">
        <f>"0000806452"</f>
        <v>0000806452</v>
      </c>
      <c r="C4483" t="str">
        <f t="shared" si="1830"/>
        <v>0000806381</v>
      </c>
      <c r="D4483" t="str">
        <f t="shared" si="1806"/>
        <v>73185</v>
      </c>
      <c r="E4483" t="str">
        <f t="shared" si="1807"/>
        <v>KFH-OPERATIONS DEPARTMENT</v>
      </c>
      <c r="F4483" t="str">
        <f t="shared" si="1808"/>
        <v>IBG</v>
      </c>
      <c r="G4483" t="str">
        <f t="shared" si="1821"/>
        <v>Refund COSHARE 10</v>
      </c>
      <c r="H4483" s="2">
        <v>461.75</v>
      </c>
      <c r="I4483" t="str">
        <f>"HASHARUDIN BIN KASSIM"</f>
        <v>HASHARUDIN BIN KASSIM</v>
      </c>
      <c r="J4483" t="str">
        <f t="shared" si="1822"/>
        <v>MAYBANK / MAYBANK ISLAMIC</v>
      </c>
      <c r="K4483" t="str">
        <f>"102055066971"</f>
        <v>102055066971</v>
      </c>
      <c r="L4483" t="str">
        <f t="shared" si="1827"/>
        <v>04-08-2020</v>
      </c>
      <c r="M4483" t="str">
        <f t="shared" si="1827"/>
        <v>04-08-2020</v>
      </c>
      <c r="N4483" t="str">
        <f t="shared" si="1809"/>
        <v>001105018356</v>
      </c>
      <c r="O4483" t="str">
        <f t="shared" si="1810"/>
        <v>MYR</v>
      </c>
      <c r="P4483" t="str">
        <f t="shared" si="1828"/>
        <v>NIL</v>
      </c>
      <c r="Q4483" t="str">
        <f t="shared" si="1828"/>
        <v>NIL</v>
      </c>
      <c r="R4483" t="str">
        <f t="shared" si="1811"/>
        <v>Accepted</v>
      </c>
      <c r="S4483" t="str">
        <f t="shared" si="1812"/>
        <v>Approved</v>
      </c>
      <c r="T4483" t="str">
        <f t="shared" si="1813"/>
        <v>10.20.8.188</v>
      </c>
      <c r="U4483" t="str">
        <f t="shared" si="1814"/>
        <v>AZRAD UMAR BIN SHAARI</v>
      </c>
      <c r="V4483" t="str">
        <f t="shared" si="1815"/>
        <v>FARHANA BINTI MUSTAPA</v>
      </c>
      <c r="W4483" t="str">
        <f t="shared" si="1816"/>
        <v>04-08-2020</v>
      </c>
      <c r="X4483" t="str">
        <f t="shared" si="1817"/>
        <v>RAZIMAH ANSAR AHMAD</v>
      </c>
      <c r="Y4483" t="str">
        <f t="shared" si="1818"/>
        <v>04-08-2020</v>
      </c>
      <c r="Z4483" t="str">
        <f>"COS10200804 4671"</f>
        <v>COS10200804 4671</v>
      </c>
    </row>
    <row r="4484" spans="1:26" x14ac:dyDescent="0.25">
      <c r="A4484" t="str">
        <f t="shared" si="1829"/>
        <v>04-08-2020 12:50:26</v>
      </c>
      <c r="B4484" t="str">
        <f>"0000806451"</f>
        <v>0000806451</v>
      </c>
      <c r="C4484" t="str">
        <f t="shared" si="1830"/>
        <v>0000806381</v>
      </c>
      <c r="D4484" t="str">
        <f t="shared" si="1806"/>
        <v>73185</v>
      </c>
      <c r="E4484" t="str">
        <f t="shared" si="1807"/>
        <v>KFH-OPERATIONS DEPARTMENT</v>
      </c>
      <c r="F4484" t="str">
        <f t="shared" si="1808"/>
        <v>IBG</v>
      </c>
      <c r="G4484" t="str">
        <f t="shared" si="1821"/>
        <v>Refund COSHARE 10</v>
      </c>
      <c r="H4484" s="2">
        <v>114</v>
      </c>
      <c r="I4484" t="str">
        <f>"HASFIZAL BIN SAMAD"</f>
        <v>HASFIZAL BIN SAMAD</v>
      </c>
      <c r="J4484" t="str">
        <f t="shared" si="1822"/>
        <v>MAYBANK / MAYBANK ISLAMIC</v>
      </c>
      <c r="K4484" t="str">
        <f>"159012689685"</f>
        <v>159012689685</v>
      </c>
      <c r="L4484" t="str">
        <f t="shared" si="1827"/>
        <v>04-08-2020</v>
      </c>
      <c r="M4484" t="str">
        <f t="shared" si="1827"/>
        <v>04-08-2020</v>
      </c>
      <c r="N4484" t="str">
        <f t="shared" si="1809"/>
        <v>001105018356</v>
      </c>
      <c r="O4484" t="str">
        <f t="shared" si="1810"/>
        <v>MYR</v>
      </c>
      <c r="P4484" t="str">
        <f t="shared" si="1828"/>
        <v>NIL</v>
      </c>
      <c r="Q4484" t="str">
        <f t="shared" si="1828"/>
        <v>NIL</v>
      </c>
      <c r="R4484" t="str">
        <f t="shared" si="1811"/>
        <v>Accepted</v>
      </c>
      <c r="S4484" t="str">
        <f t="shared" si="1812"/>
        <v>Approved</v>
      </c>
      <c r="T4484" t="str">
        <f t="shared" si="1813"/>
        <v>10.20.8.188</v>
      </c>
      <c r="U4484" t="str">
        <f t="shared" si="1814"/>
        <v>AZRAD UMAR BIN SHAARI</v>
      </c>
      <c r="V4484" t="str">
        <f t="shared" si="1815"/>
        <v>FARHANA BINTI MUSTAPA</v>
      </c>
      <c r="W4484" t="str">
        <f t="shared" si="1816"/>
        <v>04-08-2020</v>
      </c>
      <c r="X4484" t="str">
        <f t="shared" si="1817"/>
        <v>RAZIMAH ANSAR AHMAD</v>
      </c>
      <c r="Y4484" t="str">
        <f t="shared" si="1818"/>
        <v>04-08-2020</v>
      </c>
      <c r="Z4484" t="str">
        <f>"COS10200804 4670"</f>
        <v>COS10200804 4670</v>
      </c>
    </row>
    <row r="4485" spans="1:26" x14ac:dyDescent="0.25">
      <c r="A4485" t="str">
        <f t="shared" si="1829"/>
        <v>04-08-2020 12:50:26</v>
      </c>
      <c r="B4485" t="str">
        <f>"0000806450"</f>
        <v>0000806450</v>
      </c>
      <c r="C4485" t="str">
        <f t="shared" si="1830"/>
        <v>0000806381</v>
      </c>
      <c r="D4485" t="str">
        <f t="shared" si="1806"/>
        <v>73185</v>
      </c>
      <c r="E4485" t="str">
        <f t="shared" si="1807"/>
        <v>KFH-OPERATIONS DEPARTMENT</v>
      </c>
      <c r="F4485" t="str">
        <f t="shared" si="1808"/>
        <v>IBG</v>
      </c>
      <c r="G4485" t="str">
        <f t="shared" si="1821"/>
        <v>Refund COSHARE 10</v>
      </c>
      <c r="H4485" s="2">
        <v>1049.4000000000001</v>
      </c>
      <c r="I4485" t="str">
        <f>"HASBULLAH BIN ZAKARIA"</f>
        <v>HASBULLAH BIN ZAKARIA</v>
      </c>
      <c r="J4485" t="str">
        <f t="shared" si="1822"/>
        <v>MAYBANK / MAYBANK ISLAMIC</v>
      </c>
      <c r="K4485" t="str">
        <f>"164276540526"</f>
        <v>164276540526</v>
      </c>
      <c r="L4485" t="str">
        <f t="shared" si="1827"/>
        <v>04-08-2020</v>
      </c>
      <c r="M4485" t="str">
        <f t="shared" si="1827"/>
        <v>04-08-2020</v>
      </c>
      <c r="N4485" t="str">
        <f t="shared" si="1809"/>
        <v>001105018356</v>
      </c>
      <c r="O4485" t="str">
        <f t="shared" si="1810"/>
        <v>MYR</v>
      </c>
      <c r="P4485" t="str">
        <f t="shared" si="1828"/>
        <v>NIL</v>
      </c>
      <c r="Q4485" t="str">
        <f t="shared" si="1828"/>
        <v>NIL</v>
      </c>
      <c r="R4485" t="str">
        <f t="shared" si="1811"/>
        <v>Accepted</v>
      </c>
      <c r="S4485" t="str">
        <f t="shared" si="1812"/>
        <v>Approved</v>
      </c>
      <c r="T4485" t="str">
        <f t="shared" si="1813"/>
        <v>10.20.8.188</v>
      </c>
      <c r="U4485" t="str">
        <f t="shared" si="1814"/>
        <v>AZRAD UMAR BIN SHAARI</v>
      </c>
      <c r="V4485" t="str">
        <f t="shared" si="1815"/>
        <v>FARHANA BINTI MUSTAPA</v>
      </c>
      <c r="W4485" t="str">
        <f t="shared" si="1816"/>
        <v>04-08-2020</v>
      </c>
      <c r="X4485" t="str">
        <f t="shared" si="1817"/>
        <v>RAZIMAH ANSAR AHMAD</v>
      </c>
      <c r="Y4485" t="str">
        <f t="shared" si="1818"/>
        <v>04-08-2020</v>
      </c>
      <c r="Z4485" t="str">
        <f>"COS10200804 4669"</f>
        <v>COS10200804 4669</v>
      </c>
    </row>
    <row r="4486" spans="1:26" x14ac:dyDescent="0.25">
      <c r="A4486" t="str">
        <f t="shared" si="1829"/>
        <v>04-08-2020 12:50:26</v>
      </c>
      <c r="B4486" t="str">
        <f>"0000806449"</f>
        <v>0000806449</v>
      </c>
      <c r="C4486" t="str">
        <f t="shared" si="1830"/>
        <v>0000806381</v>
      </c>
      <c r="D4486" t="str">
        <f t="shared" si="1806"/>
        <v>73185</v>
      </c>
      <c r="E4486" t="str">
        <f t="shared" si="1807"/>
        <v>KFH-OPERATIONS DEPARTMENT</v>
      </c>
      <c r="F4486" t="str">
        <f t="shared" si="1808"/>
        <v>IBG</v>
      </c>
      <c r="G4486" t="str">
        <f t="shared" si="1821"/>
        <v>Refund COSHARE 10</v>
      </c>
      <c r="H4486" s="2">
        <v>209.9</v>
      </c>
      <c r="I4486" t="str">
        <f>"HASANUL ISYRAF BIN NAIM"</f>
        <v>HASANUL ISYRAF BIN NAIM</v>
      </c>
      <c r="J4486" t="str">
        <f t="shared" si="1822"/>
        <v>MAYBANK / MAYBANK ISLAMIC</v>
      </c>
      <c r="K4486" t="str">
        <f>"162245634058"</f>
        <v>162245634058</v>
      </c>
      <c r="L4486" t="str">
        <f t="shared" si="1827"/>
        <v>04-08-2020</v>
      </c>
      <c r="M4486" t="str">
        <f t="shared" si="1827"/>
        <v>04-08-2020</v>
      </c>
      <c r="N4486" t="str">
        <f t="shared" si="1809"/>
        <v>001105018356</v>
      </c>
      <c r="O4486" t="str">
        <f t="shared" si="1810"/>
        <v>MYR</v>
      </c>
      <c r="P4486" t="str">
        <f t="shared" si="1828"/>
        <v>NIL</v>
      </c>
      <c r="Q4486" t="str">
        <f t="shared" si="1828"/>
        <v>NIL</v>
      </c>
      <c r="R4486" t="str">
        <f t="shared" si="1811"/>
        <v>Accepted</v>
      </c>
      <c r="S4486" t="str">
        <f t="shared" si="1812"/>
        <v>Approved</v>
      </c>
      <c r="T4486" t="str">
        <f t="shared" si="1813"/>
        <v>10.20.8.188</v>
      </c>
      <c r="U4486" t="str">
        <f t="shared" si="1814"/>
        <v>AZRAD UMAR BIN SHAARI</v>
      </c>
      <c r="V4486" t="str">
        <f t="shared" si="1815"/>
        <v>FARHANA BINTI MUSTAPA</v>
      </c>
      <c r="W4486" t="str">
        <f t="shared" si="1816"/>
        <v>04-08-2020</v>
      </c>
      <c r="X4486" t="str">
        <f t="shared" si="1817"/>
        <v>RAZIMAH ANSAR AHMAD</v>
      </c>
      <c r="Y4486" t="str">
        <f t="shared" si="1818"/>
        <v>04-08-2020</v>
      </c>
      <c r="Z4486" t="str">
        <f>"COS10200804 4668"</f>
        <v>COS10200804 4668</v>
      </c>
    </row>
    <row r="4487" spans="1:26" x14ac:dyDescent="0.25">
      <c r="A4487" t="str">
        <f t="shared" si="1829"/>
        <v>04-08-2020 12:50:26</v>
      </c>
      <c r="B4487" t="str">
        <f>"0000806448"</f>
        <v>0000806448</v>
      </c>
      <c r="C4487" t="str">
        <f t="shared" si="1830"/>
        <v>0000806381</v>
      </c>
      <c r="D4487" t="str">
        <f t="shared" ref="D4487:D4550" si="1831">"73185"</f>
        <v>73185</v>
      </c>
      <c r="E4487" t="str">
        <f t="shared" ref="E4487:E4550" si="1832">"KFH-OPERATIONS DEPARTMENT"</f>
        <v>KFH-OPERATIONS DEPARTMENT</v>
      </c>
      <c r="F4487" t="str">
        <f t="shared" ref="F4487:F4550" si="1833">"IBG"</f>
        <v>IBG</v>
      </c>
      <c r="G4487" t="str">
        <f t="shared" si="1821"/>
        <v>Refund COSHARE 10</v>
      </c>
      <c r="H4487" s="2">
        <v>310.64999999999998</v>
      </c>
      <c r="I4487" t="str">
        <f>"HASAN BIN ABD WAHAB"</f>
        <v>HASAN BIN ABD WAHAB</v>
      </c>
      <c r="J4487" t="str">
        <f t="shared" si="1822"/>
        <v>MAYBANK / MAYBANK ISLAMIC</v>
      </c>
      <c r="K4487" t="str">
        <f>"162142996174"</f>
        <v>162142996174</v>
      </c>
      <c r="L4487" t="str">
        <f t="shared" ref="L4487:M4506" si="1834">"04-08-2020"</f>
        <v>04-08-2020</v>
      </c>
      <c r="M4487" t="str">
        <f t="shared" si="1834"/>
        <v>04-08-2020</v>
      </c>
      <c r="N4487" t="str">
        <f t="shared" ref="N4487:N4550" si="1835">"001105018356"</f>
        <v>001105018356</v>
      </c>
      <c r="O4487" t="str">
        <f t="shared" ref="O4487:O4550" si="1836">"MYR"</f>
        <v>MYR</v>
      </c>
      <c r="P4487" t="str">
        <f t="shared" ref="P4487:Q4506" si="1837">"NIL"</f>
        <v>NIL</v>
      </c>
      <c r="Q4487" t="str">
        <f t="shared" si="1837"/>
        <v>NIL</v>
      </c>
      <c r="R4487" t="str">
        <f t="shared" ref="R4487:R4550" si="1838">"Accepted"</f>
        <v>Accepted</v>
      </c>
      <c r="S4487" t="str">
        <f t="shared" ref="S4487:S4550" si="1839">"Approved"</f>
        <v>Approved</v>
      </c>
      <c r="T4487" t="str">
        <f t="shared" ref="T4487:T4550" si="1840">"10.20.8.188"</f>
        <v>10.20.8.188</v>
      </c>
      <c r="U4487" t="str">
        <f t="shared" ref="U4487:U4550" si="1841">"AZRAD UMAR BIN SHAARI"</f>
        <v>AZRAD UMAR BIN SHAARI</v>
      </c>
      <c r="V4487" t="str">
        <f t="shared" ref="V4487:V4550" si="1842">"FARHANA BINTI MUSTAPA"</f>
        <v>FARHANA BINTI MUSTAPA</v>
      </c>
      <c r="W4487" t="str">
        <f t="shared" ref="W4487:W4550" si="1843">"04-08-2020"</f>
        <v>04-08-2020</v>
      </c>
      <c r="X4487" t="str">
        <f t="shared" ref="X4487:X4550" si="1844">"RAZIMAH ANSAR AHMAD"</f>
        <v>RAZIMAH ANSAR AHMAD</v>
      </c>
      <c r="Y4487" t="str">
        <f t="shared" ref="Y4487:Y4550" si="1845">"04-08-2020"</f>
        <v>04-08-2020</v>
      </c>
      <c r="Z4487" t="str">
        <f>"COS10200804 4667"</f>
        <v>COS10200804 4667</v>
      </c>
    </row>
    <row r="4488" spans="1:26" x14ac:dyDescent="0.25">
      <c r="A4488" t="str">
        <f t="shared" si="1829"/>
        <v>04-08-2020 12:50:26</v>
      </c>
      <c r="B4488" t="str">
        <f>"0000806447"</f>
        <v>0000806447</v>
      </c>
      <c r="C4488" t="str">
        <f t="shared" si="1830"/>
        <v>0000806381</v>
      </c>
      <c r="D4488" t="str">
        <f t="shared" si="1831"/>
        <v>73185</v>
      </c>
      <c r="E4488" t="str">
        <f t="shared" si="1832"/>
        <v>KFH-OPERATIONS DEPARTMENT</v>
      </c>
      <c r="F4488" t="str">
        <f t="shared" si="1833"/>
        <v>IBG</v>
      </c>
      <c r="G4488" t="str">
        <f t="shared" si="1821"/>
        <v>Refund COSHARE 10</v>
      </c>
      <c r="H4488" s="2">
        <v>205</v>
      </c>
      <c r="I4488" t="str">
        <f>"HARYATI BINTI SHAARIS"</f>
        <v>HARYATI BINTI SHAARIS</v>
      </c>
      <c r="J4488" t="str">
        <f t="shared" si="1822"/>
        <v>MAYBANK / MAYBANK ISLAMIC</v>
      </c>
      <c r="K4488" t="str">
        <f>"158015141468"</f>
        <v>158015141468</v>
      </c>
      <c r="L4488" t="str">
        <f t="shared" si="1834"/>
        <v>04-08-2020</v>
      </c>
      <c r="M4488" t="str">
        <f t="shared" si="1834"/>
        <v>04-08-2020</v>
      </c>
      <c r="N4488" t="str">
        <f t="shared" si="1835"/>
        <v>001105018356</v>
      </c>
      <c r="O4488" t="str">
        <f t="shared" si="1836"/>
        <v>MYR</v>
      </c>
      <c r="P4488" t="str">
        <f t="shared" si="1837"/>
        <v>NIL</v>
      </c>
      <c r="Q4488" t="str">
        <f t="shared" si="1837"/>
        <v>NIL</v>
      </c>
      <c r="R4488" t="str">
        <f t="shared" si="1838"/>
        <v>Accepted</v>
      </c>
      <c r="S4488" t="str">
        <f t="shared" si="1839"/>
        <v>Approved</v>
      </c>
      <c r="T4488" t="str">
        <f t="shared" si="1840"/>
        <v>10.20.8.188</v>
      </c>
      <c r="U4488" t="str">
        <f t="shared" si="1841"/>
        <v>AZRAD UMAR BIN SHAARI</v>
      </c>
      <c r="V4488" t="str">
        <f t="shared" si="1842"/>
        <v>FARHANA BINTI MUSTAPA</v>
      </c>
      <c r="W4488" t="str">
        <f t="shared" si="1843"/>
        <v>04-08-2020</v>
      </c>
      <c r="X4488" t="str">
        <f t="shared" si="1844"/>
        <v>RAZIMAH ANSAR AHMAD</v>
      </c>
      <c r="Y4488" t="str">
        <f t="shared" si="1845"/>
        <v>04-08-2020</v>
      </c>
      <c r="Z4488" t="str">
        <f>"COS10200804 4666"</f>
        <v>COS10200804 4666</v>
      </c>
    </row>
    <row r="4489" spans="1:26" x14ac:dyDescent="0.25">
      <c r="A4489" t="str">
        <f t="shared" si="1829"/>
        <v>04-08-2020 12:50:26</v>
      </c>
      <c r="B4489" t="str">
        <f>"0000806446"</f>
        <v>0000806446</v>
      </c>
      <c r="C4489" t="str">
        <f t="shared" si="1830"/>
        <v>0000806381</v>
      </c>
      <c r="D4489" t="str">
        <f t="shared" si="1831"/>
        <v>73185</v>
      </c>
      <c r="E4489" t="str">
        <f t="shared" si="1832"/>
        <v>KFH-OPERATIONS DEPARTMENT</v>
      </c>
      <c r="F4489" t="str">
        <f t="shared" si="1833"/>
        <v>IBG</v>
      </c>
      <c r="G4489" t="str">
        <f t="shared" si="1821"/>
        <v>Refund COSHARE 10</v>
      </c>
      <c r="H4489" s="2">
        <v>109.15</v>
      </c>
      <c r="I4489" t="str">
        <f>"HARYANTI BINTI HARON"</f>
        <v>HARYANTI BINTI HARON</v>
      </c>
      <c r="J4489" t="str">
        <f t="shared" si="1822"/>
        <v>MAYBANK / MAYBANK ISLAMIC</v>
      </c>
      <c r="K4489" t="str">
        <f>"155014964821"</f>
        <v>155014964821</v>
      </c>
      <c r="L4489" t="str">
        <f t="shared" si="1834"/>
        <v>04-08-2020</v>
      </c>
      <c r="M4489" t="str">
        <f t="shared" si="1834"/>
        <v>04-08-2020</v>
      </c>
      <c r="N4489" t="str">
        <f t="shared" si="1835"/>
        <v>001105018356</v>
      </c>
      <c r="O4489" t="str">
        <f t="shared" si="1836"/>
        <v>MYR</v>
      </c>
      <c r="P4489" t="str">
        <f t="shared" si="1837"/>
        <v>NIL</v>
      </c>
      <c r="Q4489" t="str">
        <f t="shared" si="1837"/>
        <v>NIL</v>
      </c>
      <c r="R4489" t="str">
        <f t="shared" si="1838"/>
        <v>Accepted</v>
      </c>
      <c r="S4489" t="str">
        <f t="shared" si="1839"/>
        <v>Approved</v>
      </c>
      <c r="T4489" t="str">
        <f t="shared" si="1840"/>
        <v>10.20.8.188</v>
      </c>
      <c r="U4489" t="str">
        <f t="shared" si="1841"/>
        <v>AZRAD UMAR BIN SHAARI</v>
      </c>
      <c r="V4489" t="str">
        <f t="shared" si="1842"/>
        <v>FARHANA BINTI MUSTAPA</v>
      </c>
      <c r="W4489" t="str">
        <f t="shared" si="1843"/>
        <v>04-08-2020</v>
      </c>
      <c r="X4489" t="str">
        <f t="shared" si="1844"/>
        <v>RAZIMAH ANSAR AHMAD</v>
      </c>
      <c r="Y4489" t="str">
        <f t="shared" si="1845"/>
        <v>04-08-2020</v>
      </c>
      <c r="Z4489" t="str">
        <f>"COS10200804 4665"</f>
        <v>COS10200804 4665</v>
      </c>
    </row>
    <row r="4490" spans="1:26" x14ac:dyDescent="0.25">
      <c r="A4490" t="str">
        <f t="shared" si="1829"/>
        <v>04-08-2020 12:50:26</v>
      </c>
      <c r="B4490" t="str">
        <f>"0000806445"</f>
        <v>0000806445</v>
      </c>
      <c r="C4490" t="str">
        <f t="shared" si="1830"/>
        <v>0000806381</v>
      </c>
      <c r="D4490" t="str">
        <f t="shared" si="1831"/>
        <v>73185</v>
      </c>
      <c r="E4490" t="str">
        <f t="shared" si="1832"/>
        <v>KFH-OPERATIONS DEPARTMENT</v>
      </c>
      <c r="F4490" t="str">
        <f t="shared" si="1833"/>
        <v>IBG</v>
      </c>
      <c r="G4490" t="str">
        <f t="shared" si="1821"/>
        <v>Refund COSHARE 10</v>
      </c>
      <c r="H4490" s="2">
        <v>70</v>
      </c>
      <c r="I4490" t="str">
        <f>"HARUDIN BIN HARON"</f>
        <v>HARUDIN BIN HARON</v>
      </c>
      <c r="J4490" t="str">
        <f t="shared" si="1822"/>
        <v>MAYBANK / MAYBANK ISLAMIC</v>
      </c>
      <c r="K4490" t="str">
        <f>"108299092354"</f>
        <v>108299092354</v>
      </c>
      <c r="L4490" t="str">
        <f t="shared" si="1834"/>
        <v>04-08-2020</v>
      </c>
      <c r="M4490" t="str">
        <f t="shared" si="1834"/>
        <v>04-08-2020</v>
      </c>
      <c r="N4490" t="str">
        <f t="shared" si="1835"/>
        <v>001105018356</v>
      </c>
      <c r="O4490" t="str">
        <f t="shared" si="1836"/>
        <v>MYR</v>
      </c>
      <c r="P4490" t="str">
        <f t="shared" si="1837"/>
        <v>NIL</v>
      </c>
      <c r="Q4490" t="str">
        <f t="shared" si="1837"/>
        <v>NIL</v>
      </c>
      <c r="R4490" t="str">
        <f t="shared" si="1838"/>
        <v>Accepted</v>
      </c>
      <c r="S4490" t="str">
        <f t="shared" si="1839"/>
        <v>Approved</v>
      </c>
      <c r="T4490" t="str">
        <f t="shared" si="1840"/>
        <v>10.20.8.188</v>
      </c>
      <c r="U4490" t="str">
        <f t="shared" si="1841"/>
        <v>AZRAD UMAR BIN SHAARI</v>
      </c>
      <c r="V4490" t="str">
        <f t="shared" si="1842"/>
        <v>FARHANA BINTI MUSTAPA</v>
      </c>
      <c r="W4490" t="str">
        <f t="shared" si="1843"/>
        <v>04-08-2020</v>
      </c>
      <c r="X4490" t="str">
        <f t="shared" si="1844"/>
        <v>RAZIMAH ANSAR AHMAD</v>
      </c>
      <c r="Y4490" t="str">
        <f t="shared" si="1845"/>
        <v>04-08-2020</v>
      </c>
      <c r="Z4490" t="str">
        <f>"COS10200804 4664"</f>
        <v>COS10200804 4664</v>
      </c>
    </row>
    <row r="4491" spans="1:26" x14ac:dyDescent="0.25">
      <c r="A4491" t="str">
        <f t="shared" si="1829"/>
        <v>04-08-2020 12:50:26</v>
      </c>
      <c r="B4491" t="str">
        <f>"0000806444"</f>
        <v>0000806444</v>
      </c>
      <c r="C4491" t="str">
        <f t="shared" si="1830"/>
        <v>0000806381</v>
      </c>
      <c r="D4491" t="str">
        <f t="shared" si="1831"/>
        <v>73185</v>
      </c>
      <c r="E4491" t="str">
        <f t="shared" si="1832"/>
        <v>KFH-OPERATIONS DEPARTMENT</v>
      </c>
      <c r="F4491" t="str">
        <f t="shared" si="1833"/>
        <v>IBG</v>
      </c>
      <c r="G4491" t="str">
        <f t="shared" si="1821"/>
        <v>Refund COSHARE 10</v>
      </c>
      <c r="H4491" s="2">
        <v>50.4</v>
      </c>
      <c r="I4491" t="str">
        <f>"HARTINIE BINTI HIPNI"</f>
        <v>HARTINIE BINTI HIPNI</v>
      </c>
      <c r="J4491" t="str">
        <f t="shared" si="1822"/>
        <v>MAYBANK / MAYBANK ISLAMIC</v>
      </c>
      <c r="K4491" t="str">
        <f>"111114411239"</f>
        <v>111114411239</v>
      </c>
      <c r="L4491" t="str">
        <f t="shared" si="1834"/>
        <v>04-08-2020</v>
      </c>
      <c r="M4491" t="str">
        <f t="shared" si="1834"/>
        <v>04-08-2020</v>
      </c>
      <c r="N4491" t="str">
        <f t="shared" si="1835"/>
        <v>001105018356</v>
      </c>
      <c r="O4491" t="str">
        <f t="shared" si="1836"/>
        <v>MYR</v>
      </c>
      <c r="P4491" t="str">
        <f t="shared" si="1837"/>
        <v>NIL</v>
      </c>
      <c r="Q4491" t="str">
        <f t="shared" si="1837"/>
        <v>NIL</v>
      </c>
      <c r="R4491" t="str">
        <f t="shared" si="1838"/>
        <v>Accepted</v>
      </c>
      <c r="S4491" t="str">
        <f t="shared" si="1839"/>
        <v>Approved</v>
      </c>
      <c r="T4491" t="str">
        <f t="shared" si="1840"/>
        <v>10.20.8.188</v>
      </c>
      <c r="U4491" t="str">
        <f t="shared" si="1841"/>
        <v>AZRAD UMAR BIN SHAARI</v>
      </c>
      <c r="V4491" t="str">
        <f t="shared" si="1842"/>
        <v>FARHANA BINTI MUSTAPA</v>
      </c>
      <c r="W4491" t="str">
        <f t="shared" si="1843"/>
        <v>04-08-2020</v>
      </c>
      <c r="X4491" t="str">
        <f t="shared" si="1844"/>
        <v>RAZIMAH ANSAR AHMAD</v>
      </c>
      <c r="Y4491" t="str">
        <f t="shared" si="1845"/>
        <v>04-08-2020</v>
      </c>
      <c r="Z4491" t="str">
        <f>"COS10200804 4663"</f>
        <v>COS10200804 4663</v>
      </c>
    </row>
    <row r="4492" spans="1:26" x14ac:dyDescent="0.25">
      <c r="A4492" t="str">
        <f t="shared" si="1829"/>
        <v>04-08-2020 12:50:26</v>
      </c>
      <c r="B4492" t="str">
        <f>"0000806443"</f>
        <v>0000806443</v>
      </c>
      <c r="C4492" t="str">
        <f t="shared" si="1830"/>
        <v>0000806381</v>
      </c>
      <c r="D4492" t="str">
        <f t="shared" si="1831"/>
        <v>73185</v>
      </c>
      <c r="E4492" t="str">
        <f t="shared" si="1832"/>
        <v>KFH-OPERATIONS DEPARTMENT</v>
      </c>
      <c r="F4492" t="str">
        <f t="shared" si="1833"/>
        <v>IBG</v>
      </c>
      <c r="G4492" t="str">
        <f t="shared" ref="G4492:G4555" si="1846">"Refund COSHARE 10"</f>
        <v>Refund COSHARE 10</v>
      </c>
      <c r="H4492" s="2">
        <v>83.95</v>
      </c>
      <c r="I4492" t="str">
        <f>"HARTINI BINTI SARIFUDDIN"</f>
        <v>HARTINI BINTI SARIFUDDIN</v>
      </c>
      <c r="J4492" t="str">
        <f t="shared" si="1822"/>
        <v>MAYBANK / MAYBANK ISLAMIC</v>
      </c>
      <c r="K4492" t="str">
        <f>"103052015004"</f>
        <v>103052015004</v>
      </c>
      <c r="L4492" t="str">
        <f t="shared" si="1834"/>
        <v>04-08-2020</v>
      </c>
      <c r="M4492" t="str">
        <f t="shared" si="1834"/>
        <v>04-08-2020</v>
      </c>
      <c r="N4492" t="str">
        <f t="shared" si="1835"/>
        <v>001105018356</v>
      </c>
      <c r="O4492" t="str">
        <f t="shared" si="1836"/>
        <v>MYR</v>
      </c>
      <c r="P4492" t="str">
        <f t="shared" si="1837"/>
        <v>NIL</v>
      </c>
      <c r="Q4492" t="str">
        <f t="shared" si="1837"/>
        <v>NIL</v>
      </c>
      <c r="R4492" t="str">
        <f t="shared" si="1838"/>
        <v>Accepted</v>
      </c>
      <c r="S4492" t="str">
        <f t="shared" si="1839"/>
        <v>Approved</v>
      </c>
      <c r="T4492" t="str">
        <f t="shared" si="1840"/>
        <v>10.20.8.188</v>
      </c>
      <c r="U4492" t="str">
        <f t="shared" si="1841"/>
        <v>AZRAD UMAR BIN SHAARI</v>
      </c>
      <c r="V4492" t="str">
        <f t="shared" si="1842"/>
        <v>FARHANA BINTI MUSTAPA</v>
      </c>
      <c r="W4492" t="str">
        <f t="shared" si="1843"/>
        <v>04-08-2020</v>
      </c>
      <c r="X4492" t="str">
        <f t="shared" si="1844"/>
        <v>RAZIMAH ANSAR AHMAD</v>
      </c>
      <c r="Y4492" t="str">
        <f t="shared" si="1845"/>
        <v>04-08-2020</v>
      </c>
      <c r="Z4492" t="str">
        <f>"COS10200804 4662"</f>
        <v>COS10200804 4662</v>
      </c>
    </row>
    <row r="4493" spans="1:26" x14ac:dyDescent="0.25">
      <c r="A4493" t="str">
        <f t="shared" si="1829"/>
        <v>04-08-2020 12:50:26</v>
      </c>
      <c r="B4493" t="str">
        <f>"0000806442"</f>
        <v>0000806442</v>
      </c>
      <c r="C4493" t="str">
        <f t="shared" si="1830"/>
        <v>0000806381</v>
      </c>
      <c r="D4493" t="str">
        <f t="shared" si="1831"/>
        <v>73185</v>
      </c>
      <c r="E4493" t="str">
        <f t="shared" si="1832"/>
        <v>KFH-OPERATIONS DEPARTMENT</v>
      </c>
      <c r="F4493" t="str">
        <f t="shared" si="1833"/>
        <v>IBG</v>
      </c>
      <c r="G4493" t="str">
        <f t="shared" si="1846"/>
        <v>Refund COSHARE 10</v>
      </c>
      <c r="H4493" s="2">
        <v>184.7</v>
      </c>
      <c r="I4493" t="str">
        <f>"HARTINI BINTI HASHIM"</f>
        <v>HARTINI BINTI HASHIM</v>
      </c>
      <c r="J4493" t="str">
        <f t="shared" si="1822"/>
        <v>MAYBANK / MAYBANK ISLAMIC</v>
      </c>
      <c r="K4493" t="str">
        <f>"164098505642"</f>
        <v>164098505642</v>
      </c>
      <c r="L4493" t="str">
        <f t="shared" si="1834"/>
        <v>04-08-2020</v>
      </c>
      <c r="M4493" t="str">
        <f t="shared" si="1834"/>
        <v>04-08-2020</v>
      </c>
      <c r="N4493" t="str">
        <f t="shared" si="1835"/>
        <v>001105018356</v>
      </c>
      <c r="O4493" t="str">
        <f t="shared" si="1836"/>
        <v>MYR</v>
      </c>
      <c r="P4493" t="str">
        <f t="shared" si="1837"/>
        <v>NIL</v>
      </c>
      <c r="Q4493" t="str">
        <f t="shared" si="1837"/>
        <v>NIL</v>
      </c>
      <c r="R4493" t="str">
        <f t="shared" si="1838"/>
        <v>Accepted</v>
      </c>
      <c r="S4493" t="str">
        <f t="shared" si="1839"/>
        <v>Approved</v>
      </c>
      <c r="T4493" t="str">
        <f t="shared" si="1840"/>
        <v>10.20.8.188</v>
      </c>
      <c r="U4493" t="str">
        <f t="shared" si="1841"/>
        <v>AZRAD UMAR BIN SHAARI</v>
      </c>
      <c r="V4493" t="str">
        <f t="shared" si="1842"/>
        <v>FARHANA BINTI MUSTAPA</v>
      </c>
      <c r="W4493" t="str">
        <f t="shared" si="1843"/>
        <v>04-08-2020</v>
      </c>
      <c r="X4493" t="str">
        <f t="shared" si="1844"/>
        <v>RAZIMAH ANSAR AHMAD</v>
      </c>
      <c r="Y4493" t="str">
        <f t="shared" si="1845"/>
        <v>04-08-2020</v>
      </c>
      <c r="Z4493" t="str">
        <f>"COS10200804 4661"</f>
        <v>COS10200804 4661</v>
      </c>
    </row>
    <row r="4494" spans="1:26" x14ac:dyDescent="0.25">
      <c r="A4494" t="str">
        <f t="shared" si="1829"/>
        <v>04-08-2020 12:50:26</v>
      </c>
      <c r="B4494" t="str">
        <f>"0000806441"</f>
        <v>0000806441</v>
      </c>
      <c r="C4494" t="str">
        <f t="shared" si="1830"/>
        <v>0000806381</v>
      </c>
      <c r="D4494" t="str">
        <f t="shared" si="1831"/>
        <v>73185</v>
      </c>
      <c r="E4494" t="str">
        <f t="shared" si="1832"/>
        <v>KFH-OPERATIONS DEPARTMENT</v>
      </c>
      <c r="F4494" t="str">
        <f t="shared" si="1833"/>
        <v>IBG</v>
      </c>
      <c r="G4494" t="str">
        <f t="shared" si="1846"/>
        <v>Refund COSHARE 10</v>
      </c>
      <c r="H4494" s="2">
        <v>1679</v>
      </c>
      <c r="I4494" t="str">
        <f>"HARRISON RIZAL BIN VALSALAN  ROSLAN"</f>
        <v>HARRISON RIZAL BIN VALSALAN  ROSLAN</v>
      </c>
      <c r="J4494" t="str">
        <f t="shared" si="1822"/>
        <v>MAYBANK / MAYBANK ISLAMIC</v>
      </c>
      <c r="K4494" t="str">
        <f>"101076000412"</f>
        <v>101076000412</v>
      </c>
      <c r="L4494" t="str">
        <f t="shared" si="1834"/>
        <v>04-08-2020</v>
      </c>
      <c r="M4494" t="str">
        <f t="shared" si="1834"/>
        <v>04-08-2020</v>
      </c>
      <c r="N4494" t="str">
        <f t="shared" si="1835"/>
        <v>001105018356</v>
      </c>
      <c r="O4494" t="str">
        <f t="shared" si="1836"/>
        <v>MYR</v>
      </c>
      <c r="P4494" t="str">
        <f t="shared" si="1837"/>
        <v>NIL</v>
      </c>
      <c r="Q4494" t="str">
        <f t="shared" si="1837"/>
        <v>NIL</v>
      </c>
      <c r="R4494" t="str">
        <f t="shared" si="1838"/>
        <v>Accepted</v>
      </c>
      <c r="S4494" t="str">
        <f t="shared" si="1839"/>
        <v>Approved</v>
      </c>
      <c r="T4494" t="str">
        <f t="shared" si="1840"/>
        <v>10.20.8.188</v>
      </c>
      <c r="U4494" t="str">
        <f t="shared" si="1841"/>
        <v>AZRAD UMAR BIN SHAARI</v>
      </c>
      <c r="V4494" t="str">
        <f t="shared" si="1842"/>
        <v>FARHANA BINTI MUSTAPA</v>
      </c>
      <c r="W4494" t="str">
        <f t="shared" si="1843"/>
        <v>04-08-2020</v>
      </c>
      <c r="X4494" t="str">
        <f t="shared" si="1844"/>
        <v>RAZIMAH ANSAR AHMAD</v>
      </c>
      <c r="Y4494" t="str">
        <f t="shared" si="1845"/>
        <v>04-08-2020</v>
      </c>
      <c r="Z4494" t="str">
        <f>"COS10200804 4660"</f>
        <v>COS10200804 4660</v>
      </c>
    </row>
    <row r="4495" spans="1:26" x14ac:dyDescent="0.25">
      <c r="A4495" t="str">
        <f t="shared" si="1829"/>
        <v>04-08-2020 12:50:26</v>
      </c>
      <c r="B4495" t="str">
        <f>"0000806440"</f>
        <v>0000806440</v>
      </c>
      <c r="C4495" t="str">
        <f t="shared" si="1830"/>
        <v>0000806381</v>
      </c>
      <c r="D4495" t="str">
        <f t="shared" si="1831"/>
        <v>73185</v>
      </c>
      <c r="E4495" t="str">
        <f t="shared" si="1832"/>
        <v>KFH-OPERATIONS DEPARTMENT</v>
      </c>
      <c r="F4495" t="str">
        <f t="shared" si="1833"/>
        <v>IBG</v>
      </c>
      <c r="G4495" t="str">
        <f t="shared" si="1846"/>
        <v>Refund COSHARE 10</v>
      </c>
      <c r="H4495" s="2">
        <v>160</v>
      </c>
      <c r="I4495" t="str">
        <f>"HARMIDI BIN JUNICK  JURUP"</f>
        <v>HARMIDI BIN JUNICK  JURUP</v>
      </c>
      <c r="J4495" t="str">
        <f t="shared" si="1822"/>
        <v>MAYBANK / MAYBANK ISLAMIC</v>
      </c>
      <c r="K4495" t="str">
        <f>"155023278186"</f>
        <v>155023278186</v>
      </c>
      <c r="L4495" t="str">
        <f t="shared" si="1834"/>
        <v>04-08-2020</v>
      </c>
      <c r="M4495" t="str">
        <f t="shared" si="1834"/>
        <v>04-08-2020</v>
      </c>
      <c r="N4495" t="str">
        <f t="shared" si="1835"/>
        <v>001105018356</v>
      </c>
      <c r="O4495" t="str">
        <f t="shared" si="1836"/>
        <v>MYR</v>
      </c>
      <c r="P4495" t="str">
        <f t="shared" si="1837"/>
        <v>NIL</v>
      </c>
      <c r="Q4495" t="str">
        <f t="shared" si="1837"/>
        <v>NIL</v>
      </c>
      <c r="R4495" t="str">
        <f t="shared" si="1838"/>
        <v>Accepted</v>
      </c>
      <c r="S4495" t="str">
        <f t="shared" si="1839"/>
        <v>Approved</v>
      </c>
      <c r="T4495" t="str">
        <f t="shared" si="1840"/>
        <v>10.20.8.188</v>
      </c>
      <c r="U4495" t="str">
        <f t="shared" si="1841"/>
        <v>AZRAD UMAR BIN SHAARI</v>
      </c>
      <c r="V4495" t="str">
        <f t="shared" si="1842"/>
        <v>FARHANA BINTI MUSTAPA</v>
      </c>
      <c r="W4495" t="str">
        <f t="shared" si="1843"/>
        <v>04-08-2020</v>
      </c>
      <c r="X4495" t="str">
        <f t="shared" si="1844"/>
        <v>RAZIMAH ANSAR AHMAD</v>
      </c>
      <c r="Y4495" t="str">
        <f t="shared" si="1845"/>
        <v>04-08-2020</v>
      </c>
      <c r="Z4495" t="str">
        <f>"COS10200804 4659"</f>
        <v>COS10200804 4659</v>
      </c>
    </row>
    <row r="4496" spans="1:26" x14ac:dyDescent="0.25">
      <c r="A4496" t="str">
        <f t="shared" si="1829"/>
        <v>04-08-2020 12:50:26</v>
      </c>
      <c r="B4496" t="str">
        <f>"0000806439"</f>
        <v>0000806439</v>
      </c>
      <c r="C4496" t="str">
        <f t="shared" si="1830"/>
        <v>0000806381</v>
      </c>
      <c r="D4496" t="str">
        <f t="shared" si="1831"/>
        <v>73185</v>
      </c>
      <c r="E4496" t="str">
        <f t="shared" si="1832"/>
        <v>KFH-OPERATIONS DEPARTMENT</v>
      </c>
      <c r="F4496" t="str">
        <f t="shared" si="1833"/>
        <v>IBG</v>
      </c>
      <c r="G4496" t="str">
        <f t="shared" si="1846"/>
        <v>Refund COSHARE 10</v>
      </c>
      <c r="H4496" s="2">
        <v>419.75</v>
      </c>
      <c r="I4496" t="str">
        <f>"HARLIZA BINTI BASRI"</f>
        <v>HARLIZA BINTI BASRI</v>
      </c>
      <c r="J4496" t="str">
        <f t="shared" si="1822"/>
        <v>MAYBANK / MAYBANK ISLAMIC</v>
      </c>
      <c r="K4496" t="str">
        <f>"156075784460"</f>
        <v>156075784460</v>
      </c>
      <c r="L4496" t="str">
        <f t="shared" si="1834"/>
        <v>04-08-2020</v>
      </c>
      <c r="M4496" t="str">
        <f t="shared" si="1834"/>
        <v>04-08-2020</v>
      </c>
      <c r="N4496" t="str">
        <f t="shared" si="1835"/>
        <v>001105018356</v>
      </c>
      <c r="O4496" t="str">
        <f t="shared" si="1836"/>
        <v>MYR</v>
      </c>
      <c r="P4496" t="str">
        <f t="shared" si="1837"/>
        <v>NIL</v>
      </c>
      <c r="Q4496" t="str">
        <f t="shared" si="1837"/>
        <v>NIL</v>
      </c>
      <c r="R4496" t="str">
        <f t="shared" si="1838"/>
        <v>Accepted</v>
      </c>
      <c r="S4496" t="str">
        <f t="shared" si="1839"/>
        <v>Approved</v>
      </c>
      <c r="T4496" t="str">
        <f t="shared" si="1840"/>
        <v>10.20.8.188</v>
      </c>
      <c r="U4496" t="str">
        <f t="shared" si="1841"/>
        <v>AZRAD UMAR BIN SHAARI</v>
      </c>
      <c r="V4496" t="str">
        <f t="shared" si="1842"/>
        <v>FARHANA BINTI MUSTAPA</v>
      </c>
      <c r="W4496" t="str">
        <f t="shared" si="1843"/>
        <v>04-08-2020</v>
      </c>
      <c r="X4496" t="str">
        <f t="shared" si="1844"/>
        <v>RAZIMAH ANSAR AHMAD</v>
      </c>
      <c r="Y4496" t="str">
        <f t="shared" si="1845"/>
        <v>04-08-2020</v>
      </c>
      <c r="Z4496" t="str">
        <f>"COS10200804 4658"</f>
        <v>COS10200804 4658</v>
      </c>
    </row>
    <row r="4497" spans="1:26" x14ac:dyDescent="0.25">
      <c r="A4497" t="str">
        <f t="shared" si="1829"/>
        <v>04-08-2020 12:50:26</v>
      </c>
      <c r="B4497" t="str">
        <f>"0000806438"</f>
        <v>0000806438</v>
      </c>
      <c r="C4497" t="str">
        <f t="shared" si="1830"/>
        <v>0000806381</v>
      </c>
      <c r="D4497" t="str">
        <f t="shared" si="1831"/>
        <v>73185</v>
      </c>
      <c r="E4497" t="str">
        <f t="shared" si="1832"/>
        <v>KFH-OPERATIONS DEPARTMENT</v>
      </c>
      <c r="F4497" t="str">
        <f t="shared" si="1833"/>
        <v>IBG</v>
      </c>
      <c r="G4497" t="str">
        <f t="shared" si="1846"/>
        <v>Refund COSHARE 10</v>
      </c>
      <c r="H4497" s="2">
        <v>125.95</v>
      </c>
      <c r="I4497" t="str">
        <f>"HARIZAN BIN HAMID"</f>
        <v>HARIZAN BIN HAMID</v>
      </c>
      <c r="J4497" t="str">
        <f t="shared" ref="J4497:J4560" si="1847">"MAYBANK / MAYBANK ISLAMIC"</f>
        <v>MAYBANK / MAYBANK ISLAMIC</v>
      </c>
      <c r="K4497" t="str">
        <f>"164333256296"</f>
        <v>164333256296</v>
      </c>
      <c r="L4497" t="str">
        <f t="shared" si="1834"/>
        <v>04-08-2020</v>
      </c>
      <c r="M4497" t="str">
        <f t="shared" si="1834"/>
        <v>04-08-2020</v>
      </c>
      <c r="N4497" t="str">
        <f t="shared" si="1835"/>
        <v>001105018356</v>
      </c>
      <c r="O4497" t="str">
        <f t="shared" si="1836"/>
        <v>MYR</v>
      </c>
      <c r="P4497" t="str">
        <f t="shared" si="1837"/>
        <v>NIL</v>
      </c>
      <c r="Q4497" t="str">
        <f t="shared" si="1837"/>
        <v>NIL</v>
      </c>
      <c r="R4497" t="str">
        <f t="shared" si="1838"/>
        <v>Accepted</v>
      </c>
      <c r="S4497" t="str">
        <f t="shared" si="1839"/>
        <v>Approved</v>
      </c>
      <c r="T4497" t="str">
        <f t="shared" si="1840"/>
        <v>10.20.8.188</v>
      </c>
      <c r="U4497" t="str">
        <f t="shared" si="1841"/>
        <v>AZRAD UMAR BIN SHAARI</v>
      </c>
      <c r="V4497" t="str">
        <f t="shared" si="1842"/>
        <v>FARHANA BINTI MUSTAPA</v>
      </c>
      <c r="W4497" t="str">
        <f t="shared" si="1843"/>
        <v>04-08-2020</v>
      </c>
      <c r="X4497" t="str">
        <f t="shared" si="1844"/>
        <v>RAZIMAH ANSAR AHMAD</v>
      </c>
      <c r="Y4497" t="str">
        <f t="shared" si="1845"/>
        <v>04-08-2020</v>
      </c>
      <c r="Z4497" t="str">
        <f>"COS10200804 4657"</f>
        <v>COS10200804 4657</v>
      </c>
    </row>
    <row r="4498" spans="1:26" x14ac:dyDescent="0.25">
      <c r="A4498" t="str">
        <f t="shared" si="1829"/>
        <v>04-08-2020 12:50:26</v>
      </c>
      <c r="B4498" t="str">
        <f>"0000806437"</f>
        <v>0000806437</v>
      </c>
      <c r="C4498" t="str">
        <f t="shared" si="1830"/>
        <v>0000806381</v>
      </c>
      <c r="D4498" t="str">
        <f t="shared" si="1831"/>
        <v>73185</v>
      </c>
      <c r="E4498" t="str">
        <f t="shared" si="1832"/>
        <v>KFH-OPERATIONS DEPARTMENT</v>
      </c>
      <c r="F4498" t="str">
        <f t="shared" si="1833"/>
        <v>IBG</v>
      </c>
      <c r="G4498" t="str">
        <f t="shared" si="1846"/>
        <v>Refund COSHARE 10</v>
      </c>
      <c r="H4498" s="2">
        <v>262.14999999999998</v>
      </c>
      <c r="I4498" t="str">
        <f>"HARIS BIN YUNOS"</f>
        <v>HARIS BIN YUNOS</v>
      </c>
      <c r="J4498" t="str">
        <f t="shared" si="1847"/>
        <v>MAYBANK / MAYBANK ISLAMIC</v>
      </c>
      <c r="K4498" t="str">
        <f>"101178124786"</f>
        <v>101178124786</v>
      </c>
      <c r="L4498" t="str">
        <f t="shared" si="1834"/>
        <v>04-08-2020</v>
      </c>
      <c r="M4498" t="str">
        <f t="shared" si="1834"/>
        <v>04-08-2020</v>
      </c>
      <c r="N4498" t="str">
        <f t="shared" si="1835"/>
        <v>001105018356</v>
      </c>
      <c r="O4498" t="str">
        <f t="shared" si="1836"/>
        <v>MYR</v>
      </c>
      <c r="P4498" t="str">
        <f t="shared" si="1837"/>
        <v>NIL</v>
      </c>
      <c r="Q4498" t="str">
        <f t="shared" si="1837"/>
        <v>NIL</v>
      </c>
      <c r="R4498" t="str">
        <f t="shared" si="1838"/>
        <v>Accepted</v>
      </c>
      <c r="S4498" t="str">
        <f t="shared" si="1839"/>
        <v>Approved</v>
      </c>
      <c r="T4498" t="str">
        <f t="shared" si="1840"/>
        <v>10.20.8.188</v>
      </c>
      <c r="U4498" t="str">
        <f t="shared" si="1841"/>
        <v>AZRAD UMAR BIN SHAARI</v>
      </c>
      <c r="V4498" t="str">
        <f t="shared" si="1842"/>
        <v>FARHANA BINTI MUSTAPA</v>
      </c>
      <c r="W4498" t="str">
        <f t="shared" si="1843"/>
        <v>04-08-2020</v>
      </c>
      <c r="X4498" t="str">
        <f t="shared" si="1844"/>
        <v>RAZIMAH ANSAR AHMAD</v>
      </c>
      <c r="Y4498" t="str">
        <f t="shared" si="1845"/>
        <v>04-08-2020</v>
      </c>
      <c r="Z4498" t="str">
        <f>"COS10200804 4656"</f>
        <v>COS10200804 4656</v>
      </c>
    </row>
    <row r="4499" spans="1:26" x14ac:dyDescent="0.25">
      <c r="A4499" t="str">
        <f t="shared" si="1829"/>
        <v>04-08-2020 12:50:26</v>
      </c>
      <c r="B4499" t="str">
        <f>"0000806436"</f>
        <v>0000806436</v>
      </c>
      <c r="C4499" t="str">
        <f t="shared" si="1830"/>
        <v>0000806381</v>
      </c>
      <c r="D4499" t="str">
        <f t="shared" si="1831"/>
        <v>73185</v>
      </c>
      <c r="E4499" t="str">
        <f t="shared" si="1832"/>
        <v>KFH-OPERATIONS DEPARTMENT</v>
      </c>
      <c r="F4499" t="str">
        <f t="shared" si="1833"/>
        <v>IBG</v>
      </c>
      <c r="G4499" t="str">
        <f t="shared" si="1846"/>
        <v>Refund COSHARE 10</v>
      </c>
      <c r="H4499" s="2">
        <v>219</v>
      </c>
      <c r="I4499" t="str">
        <f>"HARIS BIN RAMLI"</f>
        <v>HARIS BIN RAMLI</v>
      </c>
      <c r="J4499" t="str">
        <f t="shared" si="1847"/>
        <v>MAYBANK / MAYBANK ISLAMIC</v>
      </c>
      <c r="K4499" t="str">
        <f>"108123004404"</f>
        <v>108123004404</v>
      </c>
      <c r="L4499" t="str">
        <f t="shared" si="1834"/>
        <v>04-08-2020</v>
      </c>
      <c r="M4499" t="str">
        <f t="shared" si="1834"/>
        <v>04-08-2020</v>
      </c>
      <c r="N4499" t="str">
        <f t="shared" si="1835"/>
        <v>001105018356</v>
      </c>
      <c r="O4499" t="str">
        <f t="shared" si="1836"/>
        <v>MYR</v>
      </c>
      <c r="P4499" t="str">
        <f t="shared" si="1837"/>
        <v>NIL</v>
      </c>
      <c r="Q4499" t="str">
        <f t="shared" si="1837"/>
        <v>NIL</v>
      </c>
      <c r="R4499" t="str">
        <f t="shared" si="1838"/>
        <v>Accepted</v>
      </c>
      <c r="S4499" t="str">
        <f t="shared" si="1839"/>
        <v>Approved</v>
      </c>
      <c r="T4499" t="str">
        <f t="shared" si="1840"/>
        <v>10.20.8.188</v>
      </c>
      <c r="U4499" t="str">
        <f t="shared" si="1841"/>
        <v>AZRAD UMAR BIN SHAARI</v>
      </c>
      <c r="V4499" t="str">
        <f t="shared" si="1842"/>
        <v>FARHANA BINTI MUSTAPA</v>
      </c>
      <c r="W4499" t="str">
        <f t="shared" si="1843"/>
        <v>04-08-2020</v>
      </c>
      <c r="X4499" t="str">
        <f t="shared" si="1844"/>
        <v>RAZIMAH ANSAR AHMAD</v>
      </c>
      <c r="Y4499" t="str">
        <f t="shared" si="1845"/>
        <v>04-08-2020</v>
      </c>
      <c r="Z4499" t="str">
        <f>"COS10200804 4655"</f>
        <v>COS10200804 4655</v>
      </c>
    </row>
    <row r="4500" spans="1:26" x14ac:dyDescent="0.25">
      <c r="A4500" t="str">
        <f t="shared" si="1829"/>
        <v>04-08-2020 12:50:26</v>
      </c>
      <c r="B4500" t="str">
        <f>"0000806435"</f>
        <v>0000806435</v>
      </c>
      <c r="C4500" t="str">
        <f t="shared" si="1830"/>
        <v>0000806381</v>
      </c>
      <c r="D4500" t="str">
        <f t="shared" si="1831"/>
        <v>73185</v>
      </c>
      <c r="E4500" t="str">
        <f t="shared" si="1832"/>
        <v>KFH-OPERATIONS DEPARTMENT</v>
      </c>
      <c r="F4500" t="str">
        <f t="shared" si="1833"/>
        <v>IBG</v>
      </c>
      <c r="G4500" t="str">
        <f t="shared" si="1846"/>
        <v>Refund COSHARE 10</v>
      </c>
      <c r="H4500" s="2">
        <v>393.45</v>
      </c>
      <c r="I4500" t="str">
        <f>"HARIS BIN DAHLAN"</f>
        <v>HARIS BIN DAHLAN</v>
      </c>
      <c r="J4500" t="str">
        <f t="shared" si="1847"/>
        <v>MAYBANK / MAYBANK ISLAMIC</v>
      </c>
      <c r="K4500" t="str">
        <f>"162143080045"</f>
        <v>162143080045</v>
      </c>
      <c r="L4500" t="str">
        <f t="shared" si="1834"/>
        <v>04-08-2020</v>
      </c>
      <c r="M4500" t="str">
        <f t="shared" si="1834"/>
        <v>04-08-2020</v>
      </c>
      <c r="N4500" t="str">
        <f t="shared" si="1835"/>
        <v>001105018356</v>
      </c>
      <c r="O4500" t="str">
        <f t="shared" si="1836"/>
        <v>MYR</v>
      </c>
      <c r="P4500" t="str">
        <f t="shared" si="1837"/>
        <v>NIL</v>
      </c>
      <c r="Q4500" t="str">
        <f t="shared" si="1837"/>
        <v>NIL</v>
      </c>
      <c r="R4500" t="str">
        <f t="shared" si="1838"/>
        <v>Accepted</v>
      </c>
      <c r="S4500" t="str">
        <f t="shared" si="1839"/>
        <v>Approved</v>
      </c>
      <c r="T4500" t="str">
        <f t="shared" si="1840"/>
        <v>10.20.8.188</v>
      </c>
      <c r="U4500" t="str">
        <f t="shared" si="1841"/>
        <v>AZRAD UMAR BIN SHAARI</v>
      </c>
      <c r="V4500" t="str">
        <f t="shared" si="1842"/>
        <v>FARHANA BINTI MUSTAPA</v>
      </c>
      <c r="W4500" t="str">
        <f t="shared" si="1843"/>
        <v>04-08-2020</v>
      </c>
      <c r="X4500" t="str">
        <f t="shared" si="1844"/>
        <v>RAZIMAH ANSAR AHMAD</v>
      </c>
      <c r="Y4500" t="str">
        <f t="shared" si="1845"/>
        <v>04-08-2020</v>
      </c>
      <c r="Z4500" t="str">
        <f>"COS10200804 4654"</f>
        <v>COS10200804 4654</v>
      </c>
    </row>
    <row r="4501" spans="1:26" x14ac:dyDescent="0.25">
      <c r="A4501" t="str">
        <f t="shared" si="1829"/>
        <v>04-08-2020 12:50:26</v>
      </c>
      <c r="B4501" t="str">
        <f>"0000806434"</f>
        <v>0000806434</v>
      </c>
      <c r="C4501" t="str">
        <f t="shared" si="1830"/>
        <v>0000806381</v>
      </c>
      <c r="D4501" t="str">
        <f t="shared" si="1831"/>
        <v>73185</v>
      </c>
      <c r="E4501" t="str">
        <f t="shared" si="1832"/>
        <v>KFH-OPERATIONS DEPARTMENT</v>
      </c>
      <c r="F4501" t="str">
        <f t="shared" si="1833"/>
        <v>IBG</v>
      </c>
      <c r="G4501" t="str">
        <f t="shared" si="1846"/>
        <v>Refund COSHARE 10</v>
      </c>
      <c r="H4501" s="2">
        <v>42</v>
      </c>
      <c r="I4501" t="str">
        <f>"HARIS BIN ABD RAHIL"</f>
        <v>HARIS BIN ABD RAHIL</v>
      </c>
      <c r="J4501" t="str">
        <f t="shared" si="1847"/>
        <v>MAYBANK / MAYBANK ISLAMIC</v>
      </c>
      <c r="K4501" t="str">
        <f>"160045412727"</f>
        <v>160045412727</v>
      </c>
      <c r="L4501" t="str">
        <f t="shared" si="1834"/>
        <v>04-08-2020</v>
      </c>
      <c r="M4501" t="str">
        <f t="shared" si="1834"/>
        <v>04-08-2020</v>
      </c>
      <c r="N4501" t="str">
        <f t="shared" si="1835"/>
        <v>001105018356</v>
      </c>
      <c r="O4501" t="str">
        <f t="shared" si="1836"/>
        <v>MYR</v>
      </c>
      <c r="P4501" t="str">
        <f t="shared" si="1837"/>
        <v>NIL</v>
      </c>
      <c r="Q4501" t="str">
        <f t="shared" si="1837"/>
        <v>NIL</v>
      </c>
      <c r="R4501" t="str">
        <f t="shared" si="1838"/>
        <v>Accepted</v>
      </c>
      <c r="S4501" t="str">
        <f t="shared" si="1839"/>
        <v>Approved</v>
      </c>
      <c r="T4501" t="str">
        <f t="shared" si="1840"/>
        <v>10.20.8.188</v>
      </c>
      <c r="U4501" t="str">
        <f t="shared" si="1841"/>
        <v>AZRAD UMAR BIN SHAARI</v>
      </c>
      <c r="V4501" t="str">
        <f t="shared" si="1842"/>
        <v>FARHANA BINTI MUSTAPA</v>
      </c>
      <c r="W4501" t="str">
        <f t="shared" si="1843"/>
        <v>04-08-2020</v>
      </c>
      <c r="X4501" t="str">
        <f t="shared" si="1844"/>
        <v>RAZIMAH ANSAR AHMAD</v>
      </c>
      <c r="Y4501" t="str">
        <f t="shared" si="1845"/>
        <v>04-08-2020</v>
      </c>
      <c r="Z4501" t="str">
        <f>"COS10200804 4653"</f>
        <v>COS10200804 4653</v>
      </c>
    </row>
    <row r="4502" spans="1:26" x14ac:dyDescent="0.25">
      <c r="A4502" t="str">
        <f t="shared" si="1829"/>
        <v>04-08-2020 12:50:26</v>
      </c>
      <c r="B4502" t="str">
        <f>"0000806433"</f>
        <v>0000806433</v>
      </c>
      <c r="C4502" t="str">
        <f t="shared" si="1830"/>
        <v>0000806381</v>
      </c>
      <c r="D4502" t="str">
        <f t="shared" si="1831"/>
        <v>73185</v>
      </c>
      <c r="E4502" t="str">
        <f t="shared" si="1832"/>
        <v>KFH-OPERATIONS DEPARTMENT</v>
      </c>
      <c r="F4502" t="str">
        <f t="shared" si="1833"/>
        <v>IBG</v>
      </c>
      <c r="G4502" t="str">
        <f t="shared" si="1846"/>
        <v>Refund COSHARE 10</v>
      </c>
      <c r="H4502" s="2">
        <v>369.4</v>
      </c>
      <c r="I4502" t="str">
        <f>"HARIANI BINTI SAIED"</f>
        <v>HARIANI BINTI SAIED</v>
      </c>
      <c r="J4502" t="str">
        <f t="shared" si="1847"/>
        <v>MAYBANK / MAYBANK ISLAMIC</v>
      </c>
      <c r="K4502" t="str">
        <f>"155050100000"</f>
        <v>155050100000</v>
      </c>
      <c r="L4502" t="str">
        <f t="shared" si="1834"/>
        <v>04-08-2020</v>
      </c>
      <c r="M4502" t="str">
        <f t="shared" si="1834"/>
        <v>04-08-2020</v>
      </c>
      <c r="N4502" t="str">
        <f t="shared" si="1835"/>
        <v>001105018356</v>
      </c>
      <c r="O4502" t="str">
        <f t="shared" si="1836"/>
        <v>MYR</v>
      </c>
      <c r="P4502" t="str">
        <f t="shared" si="1837"/>
        <v>NIL</v>
      </c>
      <c r="Q4502" t="str">
        <f t="shared" si="1837"/>
        <v>NIL</v>
      </c>
      <c r="R4502" t="str">
        <f t="shared" si="1838"/>
        <v>Accepted</v>
      </c>
      <c r="S4502" t="str">
        <f t="shared" si="1839"/>
        <v>Approved</v>
      </c>
      <c r="T4502" t="str">
        <f t="shared" si="1840"/>
        <v>10.20.8.188</v>
      </c>
      <c r="U4502" t="str">
        <f t="shared" si="1841"/>
        <v>AZRAD UMAR BIN SHAARI</v>
      </c>
      <c r="V4502" t="str">
        <f t="shared" si="1842"/>
        <v>FARHANA BINTI MUSTAPA</v>
      </c>
      <c r="W4502" t="str">
        <f t="shared" si="1843"/>
        <v>04-08-2020</v>
      </c>
      <c r="X4502" t="str">
        <f t="shared" si="1844"/>
        <v>RAZIMAH ANSAR AHMAD</v>
      </c>
      <c r="Y4502" t="str">
        <f t="shared" si="1845"/>
        <v>04-08-2020</v>
      </c>
      <c r="Z4502" t="str">
        <f>"COS10200804 4652"</f>
        <v>COS10200804 4652</v>
      </c>
    </row>
    <row r="4503" spans="1:26" x14ac:dyDescent="0.25">
      <c r="A4503" t="str">
        <f t="shared" si="1829"/>
        <v>04-08-2020 12:50:26</v>
      </c>
      <c r="B4503" t="str">
        <f>"0000806432"</f>
        <v>0000806432</v>
      </c>
      <c r="C4503" t="str">
        <f t="shared" si="1830"/>
        <v>0000806381</v>
      </c>
      <c r="D4503" t="str">
        <f t="shared" si="1831"/>
        <v>73185</v>
      </c>
      <c r="E4503" t="str">
        <f t="shared" si="1832"/>
        <v>KFH-OPERATIONS DEPARTMENT</v>
      </c>
      <c r="F4503" t="str">
        <f t="shared" si="1833"/>
        <v>IBG</v>
      </c>
      <c r="G4503" t="str">
        <f t="shared" si="1846"/>
        <v>Refund COSHARE 10</v>
      </c>
      <c r="H4503" s="2">
        <v>1259.25</v>
      </c>
      <c r="I4503" t="str">
        <f>"HARIANE BINTI ZOLKPLI"</f>
        <v>HARIANE BINTI ZOLKPLI</v>
      </c>
      <c r="J4503" t="str">
        <f t="shared" si="1847"/>
        <v>MAYBANK / MAYBANK ISLAMIC</v>
      </c>
      <c r="K4503" t="str">
        <f>"114272016411"</f>
        <v>114272016411</v>
      </c>
      <c r="L4503" t="str">
        <f t="shared" si="1834"/>
        <v>04-08-2020</v>
      </c>
      <c r="M4503" t="str">
        <f t="shared" si="1834"/>
        <v>04-08-2020</v>
      </c>
      <c r="N4503" t="str">
        <f t="shared" si="1835"/>
        <v>001105018356</v>
      </c>
      <c r="O4503" t="str">
        <f t="shared" si="1836"/>
        <v>MYR</v>
      </c>
      <c r="P4503" t="str">
        <f t="shared" si="1837"/>
        <v>NIL</v>
      </c>
      <c r="Q4503" t="str">
        <f t="shared" si="1837"/>
        <v>NIL</v>
      </c>
      <c r="R4503" t="str">
        <f t="shared" si="1838"/>
        <v>Accepted</v>
      </c>
      <c r="S4503" t="str">
        <f t="shared" si="1839"/>
        <v>Approved</v>
      </c>
      <c r="T4503" t="str">
        <f t="shared" si="1840"/>
        <v>10.20.8.188</v>
      </c>
      <c r="U4503" t="str">
        <f t="shared" si="1841"/>
        <v>AZRAD UMAR BIN SHAARI</v>
      </c>
      <c r="V4503" t="str">
        <f t="shared" si="1842"/>
        <v>FARHANA BINTI MUSTAPA</v>
      </c>
      <c r="W4503" t="str">
        <f t="shared" si="1843"/>
        <v>04-08-2020</v>
      </c>
      <c r="X4503" t="str">
        <f t="shared" si="1844"/>
        <v>RAZIMAH ANSAR AHMAD</v>
      </c>
      <c r="Y4503" t="str">
        <f t="shared" si="1845"/>
        <v>04-08-2020</v>
      </c>
      <c r="Z4503" t="str">
        <f>"COS10200804 4651"</f>
        <v>COS10200804 4651</v>
      </c>
    </row>
    <row r="4504" spans="1:26" x14ac:dyDescent="0.25">
      <c r="A4504" t="str">
        <f t="shared" si="1829"/>
        <v>04-08-2020 12:50:26</v>
      </c>
      <c r="B4504" t="str">
        <f>"0000806431"</f>
        <v>0000806431</v>
      </c>
      <c r="C4504" t="str">
        <f t="shared" si="1830"/>
        <v>0000806381</v>
      </c>
      <c r="D4504" t="str">
        <f t="shared" si="1831"/>
        <v>73185</v>
      </c>
      <c r="E4504" t="str">
        <f t="shared" si="1832"/>
        <v>KFH-OPERATIONS DEPARTMENT</v>
      </c>
      <c r="F4504" t="str">
        <f t="shared" si="1833"/>
        <v>IBG</v>
      </c>
      <c r="G4504" t="str">
        <f t="shared" si="1846"/>
        <v>Refund COSHARE 10</v>
      </c>
      <c r="H4504" s="2">
        <v>337.8</v>
      </c>
      <c r="I4504" t="str">
        <f>"HARIAN BINTI SALLEH"</f>
        <v>HARIAN BINTI SALLEH</v>
      </c>
      <c r="J4504" t="str">
        <f t="shared" si="1847"/>
        <v>MAYBANK / MAYBANK ISLAMIC</v>
      </c>
      <c r="K4504" t="str">
        <f>"156057219239"</f>
        <v>156057219239</v>
      </c>
      <c r="L4504" t="str">
        <f t="shared" si="1834"/>
        <v>04-08-2020</v>
      </c>
      <c r="M4504" t="str">
        <f t="shared" si="1834"/>
        <v>04-08-2020</v>
      </c>
      <c r="N4504" t="str">
        <f t="shared" si="1835"/>
        <v>001105018356</v>
      </c>
      <c r="O4504" t="str">
        <f t="shared" si="1836"/>
        <v>MYR</v>
      </c>
      <c r="P4504" t="str">
        <f t="shared" si="1837"/>
        <v>NIL</v>
      </c>
      <c r="Q4504" t="str">
        <f t="shared" si="1837"/>
        <v>NIL</v>
      </c>
      <c r="R4504" t="str">
        <f t="shared" si="1838"/>
        <v>Accepted</v>
      </c>
      <c r="S4504" t="str">
        <f t="shared" si="1839"/>
        <v>Approved</v>
      </c>
      <c r="T4504" t="str">
        <f t="shared" si="1840"/>
        <v>10.20.8.188</v>
      </c>
      <c r="U4504" t="str">
        <f t="shared" si="1841"/>
        <v>AZRAD UMAR BIN SHAARI</v>
      </c>
      <c r="V4504" t="str">
        <f t="shared" si="1842"/>
        <v>FARHANA BINTI MUSTAPA</v>
      </c>
      <c r="W4504" t="str">
        <f t="shared" si="1843"/>
        <v>04-08-2020</v>
      </c>
      <c r="X4504" t="str">
        <f t="shared" si="1844"/>
        <v>RAZIMAH ANSAR AHMAD</v>
      </c>
      <c r="Y4504" t="str">
        <f t="shared" si="1845"/>
        <v>04-08-2020</v>
      </c>
      <c r="Z4504" t="str">
        <f>"COS10200804 4650"</f>
        <v>COS10200804 4650</v>
      </c>
    </row>
    <row r="4505" spans="1:26" x14ac:dyDescent="0.25">
      <c r="A4505" t="str">
        <f t="shared" si="1829"/>
        <v>04-08-2020 12:50:26</v>
      </c>
      <c r="B4505" t="str">
        <f>"0000806430"</f>
        <v>0000806430</v>
      </c>
      <c r="C4505" t="str">
        <f t="shared" si="1830"/>
        <v>0000806381</v>
      </c>
      <c r="D4505" t="str">
        <f t="shared" si="1831"/>
        <v>73185</v>
      </c>
      <c r="E4505" t="str">
        <f t="shared" si="1832"/>
        <v>KFH-OPERATIONS DEPARTMENT</v>
      </c>
      <c r="F4505" t="str">
        <f t="shared" si="1833"/>
        <v>IBG</v>
      </c>
      <c r="G4505" t="str">
        <f t="shared" si="1846"/>
        <v>Refund COSHARE 10</v>
      </c>
      <c r="H4505" s="2">
        <v>394.6</v>
      </c>
      <c r="I4505" t="str">
        <f>"HANYZA BINTI ABDUL TALIB"</f>
        <v>HANYZA BINTI ABDUL TALIB</v>
      </c>
      <c r="J4505" t="str">
        <f t="shared" si="1847"/>
        <v>MAYBANK / MAYBANK ISLAMIC</v>
      </c>
      <c r="K4505" t="str">
        <f>"114160697865"</f>
        <v>114160697865</v>
      </c>
      <c r="L4505" t="str">
        <f t="shared" si="1834"/>
        <v>04-08-2020</v>
      </c>
      <c r="M4505" t="str">
        <f t="shared" si="1834"/>
        <v>04-08-2020</v>
      </c>
      <c r="N4505" t="str">
        <f t="shared" si="1835"/>
        <v>001105018356</v>
      </c>
      <c r="O4505" t="str">
        <f t="shared" si="1836"/>
        <v>MYR</v>
      </c>
      <c r="P4505" t="str">
        <f t="shared" si="1837"/>
        <v>NIL</v>
      </c>
      <c r="Q4505" t="str">
        <f t="shared" si="1837"/>
        <v>NIL</v>
      </c>
      <c r="R4505" t="str">
        <f t="shared" si="1838"/>
        <v>Accepted</v>
      </c>
      <c r="S4505" t="str">
        <f t="shared" si="1839"/>
        <v>Approved</v>
      </c>
      <c r="T4505" t="str">
        <f t="shared" si="1840"/>
        <v>10.20.8.188</v>
      </c>
      <c r="U4505" t="str">
        <f t="shared" si="1841"/>
        <v>AZRAD UMAR BIN SHAARI</v>
      </c>
      <c r="V4505" t="str">
        <f t="shared" si="1842"/>
        <v>FARHANA BINTI MUSTAPA</v>
      </c>
      <c r="W4505" t="str">
        <f t="shared" si="1843"/>
        <v>04-08-2020</v>
      </c>
      <c r="X4505" t="str">
        <f t="shared" si="1844"/>
        <v>RAZIMAH ANSAR AHMAD</v>
      </c>
      <c r="Y4505" t="str">
        <f t="shared" si="1845"/>
        <v>04-08-2020</v>
      </c>
      <c r="Z4505" t="str">
        <f>"COS10200804 4649"</f>
        <v>COS10200804 4649</v>
      </c>
    </row>
    <row r="4506" spans="1:26" x14ac:dyDescent="0.25">
      <c r="A4506" t="str">
        <f t="shared" si="1829"/>
        <v>04-08-2020 12:50:26</v>
      </c>
      <c r="B4506" t="str">
        <f>"0000806429"</f>
        <v>0000806429</v>
      </c>
      <c r="C4506" t="str">
        <f t="shared" si="1830"/>
        <v>0000806381</v>
      </c>
      <c r="D4506" t="str">
        <f t="shared" si="1831"/>
        <v>73185</v>
      </c>
      <c r="E4506" t="str">
        <f t="shared" si="1832"/>
        <v>KFH-OPERATIONS DEPARTMENT</v>
      </c>
      <c r="F4506" t="str">
        <f t="shared" si="1833"/>
        <v>IBG</v>
      </c>
      <c r="G4506" t="str">
        <f t="shared" si="1846"/>
        <v>Refund COSHARE 10</v>
      </c>
      <c r="H4506" s="2">
        <v>387</v>
      </c>
      <c r="I4506" t="str">
        <f>"HANIZAM BIN ABU BAKAR"</f>
        <v>HANIZAM BIN ABU BAKAR</v>
      </c>
      <c r="J4506" t="str">
        <f t="shared" si="1847"/>
        <v>MAYBANK / MAYBANK ISLAMIC</v>
      </c>
      <c r="K4506" t="str">
        <f>"151258332516"</f>
        <v>151258332516</v>
      </c>
      <c r="L4506" t="str">
        <f t="shared" si="1834"/>
        <v>04-08-2020</v>
      </c>
      <c r="M4506" t="str">
        <f t="shared" si="1834"/>
        <v>04-08-2020</v>
      </c>
      <c r="N4506" t="str">
        <f t="shared" si="1835"/>
        <v>001105018356</v>
      </c>
      <c r="O4506" t="str">
        <f t="shared" si="1836"/>
        <v>MYR</v>
      </c>
      <c r="P4506" t="str">
        <f t="shared" si="1837"/>
        <v>NIL</v>
      </c>
      <c r="Q4506" t="str">
        <f t="shared" si="1837"/>
        <v>NIL</v>
      </c>
      <c r="R4506" t="str">
        <f t="shared" si="1838"/>
        <v>Accepted</v>
      </c>
      <c r="S4506" t="str">
        <f t="shared" si="1839"/>
        <v>Approved</v>
      </c>
      <c r="T4506" t="str">
        <f t="shared" si="1840"/>
        <v>10.20.8.188</v>
      </c>
      <c r="U4506" t="str">
        <f t="shared" si="1841"/>
        <v>AZRAD UMAR BIN SHAARI</v>
      </c>
      <c r="V4506" t="str">
        <f t="shared" si="1842"/>
        <v>FARHANA BINTI MUSTAPA</v>
      </c>
      <c r="W4506" t="str">
        <f t="shared" si="1843"/>
        <v>04-08-2020</v>
      </c>
      <c r="X4506" t="str">
        <f t="shared" si="1844"/>
        <v>RAZIMAH ANSAR AHMAD</v>
      </c>
      <c r="Y4506" t="str">
        <f t="shared" si="1845"/>
        <v>04-08-2020</v>
      </c>
      <c r="Z4506" t="str">
        <f>"COS10200804 4648"</f>
        <v>COS10200804 4648</v>
      </c>
    </row>
    <row r="4507" spans="1:26" x14ac:dyDescent="0.25">
      <c r="A4507" t="str">
        <f t="shared" si="1829"/>
        <v>04-08-2020 12:50:26</v>
      </c>
      <c r="B4507" t="str">
        <f>"0000806428"</f>
        <v>0000806428</v>
      </c>
      <c r="C4507" t="str">
        <f t="shared" si="1830"/>
        <v>0000806381</v>
      </c>
      <c r="D4507" t="str">
        <f t="shared" si="1831"/>
        <v>73185</v>
      </c>
      <c r="E4507" t="str">
        <f t="shared" si="1832"/>
        <v>KFH-OPERATIONS DEPARTMENT</v>
      </c>
      <c r="F4507" t="str">
        <f t="shared" si="1833"/>
        <v>IBG</v>
      </c>
      <c r="G4507" t="str">
        <f t="shared" si="1846"/>
        <v>Refund COSHARE 10</v>
      </c>
      <c r="H4507" s="2">
        <v>98.25</v>
      </c>
      <c r="I4507" t="str">
        <f>"HANIZA BINTI SEDIN"</f>
        <v>HANIZA BINTI SEDIN</v>
      </c>
      <c r="J4507" t="str">
        <f t="shared" si="1847"/>
        <v>MAYBANK / MAYBANK ISLAMIC</v>
      </c>
      <c r="K4507" t="str">
        <f>"110014190508"</f>
        <v>110014190508</v>
      </c>
      <c r="L4507" t="str">
        <f t="shared" ref="L4507:M4526" si="1848">"04-08-2020"</f>
        <v>04-08-2020</v>
      </c>
      <c r="M4507" t="str">
        <f t="shared" si="1848"/>
        <v>04-08-2020</v>
      </c>
      <c r="N4507" t="str">
        <f t="shared" si="1835"/>
        <v>001105018356</v>
      </c>
      <c r="O4507" t="str">
        <f t="shared" si="1836"/>
        <v>MYR</v>
      </c>
      <c r="P4507" t="str">
        <f t="shared" ref="P4507:Q4526" si="1849">"NIL"</f>
        <v>NIL</v>
      </c>
      <c r="Q4507" t="str">
        <f t="shared" si="1849"/>
        <v>NIL</v>
      </c>
      <c r="R4507" t="str">
        <f t="shared" si="1838"/>
        <v>Accepted</v>
      </c>
      <c r="S4507" t="str">
        <f t="shared" si="1839"/>
        <v>Approved</v>
      </c>
      <c r="T4507" t="str">
        <f t="shared" si="1840"/>
        <v>10.20.8.188</v>
      </c>
      <c r="U4507" t="str">
        <f t="shared" si="1841"/>
        <v>AZRAD UMAR BIN SHAARI</v>
      </c>
      <c r="V4507" t="str">
        <f t="shared" si="1842"/>
        <v>FARHANA BINTI MUSTAPA</v>
      </c>
      <c r="W4507" t="str">
        <f t="shared" si="1843"/>
        <v>04-08-2020</v>
      </c>
      <c r="X4507" t="str">
        <f t="shared" si="1844"/>
        <v>RAZIMAH ANSAR AHMAD</v>
      </c>
      <c r="Y4507" t="str">
        <f t="shared" si="1845"/>
        <v>04-08-2020</v>
      </c>
      <c r="Z4507" t="str">
        <f>"COS10200804 4647"</f>
        <v>COS10200804 4647</v>
      </c>
    </row>
    <row r="4508" spans="1:26" x14ac:dyDescent="0.25">
      <c r="A4508" t="str">
        <f t="shared" si="1829"/>
        <v>04-08-2020 12:50:26</v>
      </c>
      <c r="B4508" t="str">
        <f>"0000806427"</f>
        <v>0000806427</v>
      </c>
      <c r="C4508" t="str">
        <f t="shared" si="1830"/>
        <v>0000806381</v>
      </c>
      <c r="D4508" t="str">
        <f t="shared" si="1831"/>
        <v>73185</v>
      </c>
      <c r="E4508" t="str">
        <f t="shared" si="1832"/>
        <v>KFH-OPERATIONS DEPARTMENT</v>
      </c>
      <c r="F4508" t="str">
        <f t="shared" si="1833"/>
        <v>IBG</v>
      </c>
      <c r="G4508" t="str">
        <f t="shared" si="1846"/>
        <v>Refund COSHARE 10</v>
      </c>
      <c r="H4508" s="2">
        <v>419.75</v>
      </c>
      <c r="I4508" t="str">
        <f>"HANITA BINTI TAIB"</f>
        <v>HANITA BINTI TAIB</v>
      </c>
      <c r="J4508" t="str">
        <f t="shared" si="1847"/>
        <v>MAYBANK / MAYBANK ISLAMIC</v>
      </c>
      <c r="K4508" t="str">
        <f>"151427047266"</f>
        <v>151427047266</v>
      </c>
      <c r="L4508" t="str">
        <f t="shared" si="1848"/>
        <v>04-08-2020</v>
      </c>
      <c r="M4508" t="str">
        <f t="shared" si="1848"/>
        <v>04-08-2020</v>
      </c>
      <c r="N4508" t="str">
        <f t="shared" si="1835"/>
        <v>001105018356</v>
      </c>
      <c r="O4508" t="str">
        <f t="shared" si="1836"/>
        <v>MYR</v>
      </c>
      <c r="P4508" t="str">
        <f t="shared" si="1849"/>
        <v>NIL</v>
      </c>
      <c r="Q4508" t="str">
        <f t="shared" si="1849"/>
        <v>NIL</v>
      </c>
      <c r="R4508" t="str">
        <f t="shared" si="1838"/>
        <v>Accepted</v>
      </c>
      <c r="S4508" t="str">
        <f t="shared" si="1839"/>
        <v>Approved</v>
      </c>
      <c r="T4508" t="str">
        <f t="shared" si="1840"/>
        <v>10.20.8.188</v>
      </c>
      <c r="U4508" t="str">
        <f t="shared" si="1841"/>
        <v>AZRAD UMAR BIN SHAARI</v>
      </c>
      <c r="V4508" t="str">
        <f t="shared" si="1842"/>
        <v>FARHANA BINTI MUSTAPA</v>
      </c>
      <c r="W4508" t="str">
        <f t="shared" si="1843"/>
        <v>04-08-2020</v>
      </c>
      <c r="X4508" t="str">
        <f t="shared" si="1844"/>
        <v>RAZIMAH ANSAR AHMAD</v>
      </c>
      <c r="Y4508" t="str">
        <f t="shared" si="1845"/>
        <v>04-08-2020</v>
      </c>
      <c r="Z4508" t="str">
        <f>"COS10200804 4646"</f>
        <v>COS10200804 4646</v>
      </c>
    </row>
    <row r="4509" spans="1:26" x14ac:dyDescent="0.25">
      <c r="A4509" t="str">
        <f t="shared" si="1829"/>
        <v>04-08-2020 12:50:26</v>
      </c>
      <c r="B4509" t="str">
        <f>"0000806426"</f>
        <v>0000806426</v>
      </c>
      <c r="C4509" t="str">
        <f t="shared" si="1830"/>
        <v>0000806381</v>
      </c>
      <c r="D4509" t="str">
        <f t="shared" si="1831"/>
        <v>73185</v>
      </c>
      <c r="E4509" t="str">
        <f t="shared" si="1832"/>
        <v>KFH-OPERATIONS DEPARTMENT</v>
      </c>
      <c r="F4509" t="str">
        <f t="shared" si="1833"/>
        <v>IBG</v>
      </c>
      <c r="G4509" t="str">
        <f t="shared" si="1846"/>
        <v>Refund COSHARE 10</v>
      </c>
      <c r="H4509" s="2">
        <v>84</v>
      </c>
      <c r="I4509" t="str">
        <f>"HANISAH BINTI MASOR"</f>
        <v>HANISAH BINTI MASOR</v>
      </c>
      <c r="J4509" t="str">
        <f t="shared" si="1847"/>
        <v>MAYBANK / MAYBANK ISLAMIC</v>
      </c>
      <c r="K4509" t="str">
        <f>"160054302476"</f>
        <v>160054302476</v>
      </c>
      <c r="L4509" t="str">
        <f t="shared" si="1848"/>
        <v>04-08-2020</v>
      </c>
      <c r="M4509" t="str">
        <f t="shared" si="1848"/>
        <v>04-08-2020</v>
      </c>
      <c r="N4509" t="str">
        <f t="shared" si="1835"/>
        <v>001105018356</v>
      </c>
      <c r="O4509" t="str">
        <f t="shared" si="1836"/>
        <v>MYR</v>
      </c>
      <c r="P4509" t="str">
        <f t="shared" si="1849"/>
        <v>NIL</v>
      </c>
      <c r="Q4509" t="str">
        <f t="shared" si="1849"/>
        <v>NIL</v>
      </c>
      <c r="R4509" t="str">
        <f t="shared" si="1838"/>
        <v>Accepted</v>
      </c>
      <c r="S4509" t="str">
        <f t="shared" si="1839"/>
        <v>Approved</v>
      </c>
      <c r="T4509" t="str">
        <f t="shared" si="1840"/>
        <v>10.20.8.188</v>
      </c>
      <c r="U4509" t="str">
        <f t="shared" si="1841"/>
        <v>AZRAD UMAR BIN SHAARI</v>
      </c>
      <c r="V4509" t="str">
        <f t="shared" si="1842"/>
        <v>FARHANA BINTI MUSTAPA</v>
      </c>
      <c r="W4509" t="str">
        <f t="shared" si="1843"/>
        <v>04-08-2020</v>
      </c>
      <c r="X4509" t="str">
        <f t="shared" si="1844"/>
        <v>RAZIMAH ANSAR AHMAD</v>
      </c>
      <c r="Y4509" t="str">
        <f t="shared" si="1845"/>
        <v>04-08-2020</v>
      </c>
      <c r="Z4509" t="str">
        <f>"COS10200804 4645"</f>
        <v>COS10200804 4645</v>
      </c>
    </row>
    <row r="4510" spans="1:26" x14ac:dyDescent="0.25">
      <c r="A4510" t="str">
        <f t="shared" si="1829"/>
        <v>04-08-2020 12:50:26</v>
      </c>
      <c r="B4510" t="str">
        <f>"0000806425"</f>
        <v>0000806425</v>
      </c>
      <c r="C4510" t="str">
        <f t="shared" si="1830"/>
        <v>0000806381</v>
      </c>
      <c r="D4510" t="str">
        <f t="shared" si="1831"/>
        <v>73185</v>
      </c>
      <c r="E4510" t="str">
        <f t="shared" si="1832"/>
        <v>KFH-OPERATIONS DEPARTMENT</v>
      </c>
      <c r="F4510" t="str">
        <f t="shared" si="1833"/>
        <v>IBG</v>
      </c>
      <c r="G4510" t="str">
        <f t="shared" si="1846"/>
        <v>Refund COSHARE 10</v>
      </c>
      <c r="H4510" s="2">
        <v>215.5</v>
      </c>
      <c r="I4510" t="str">
        <f>"HANISAH BINTI MANSOR"</f>
        <v>HANISAH BINTI MANSOR</v>
      </c>
      <c r="J4510" t="str">
        <f t="shared" si="1847"/>
        <v>MAYBANK / MAYBANK ISLAMIC</v>
      </c>
      <c r="K4510" t="str">
        <f>"160054302476"</f>
        <v>160054302476</v>
      </c>
      <c r="L4510" t="str">
        <f t="shared" si="1848"/>
        <v>04-08-2020</v>
      </c>
      <c r="M4510" t="str">
        <f t="shared" si="1848"/>
        <v>04-08-2020</v>
      </c>
      <c r="N4510" t="str">
        <f t="shared" si="1835"/>
        <v>001105018356</v>
      </c>
      <c r="O4510" t="str">
        <f t="shared" si="1836"/>
        <v>MYR</v>
      </c>
      <c r="P4510" t="str">
        <f t="shared" si="1849"/>
        <v>NIL</v>
      </c>
      <c r="Q4510" t="str">
        <f t="shared" si="1849"/>
        <v>NIL</v>
      </c>
      <c r="R4510" t="str">
        <f t="shared" si="1838"/>
        <v>Accepted</v>
      </c>
      <c r="S4510" t="str">
        <f t="shared" si="1839"/>
        <v>Approved</v>
      </c>
      <c r="T4510" t="str">
        <f t="shared" si="1840"/>
        <v>10.20.8.188</v>
      </c>
      <c r="U4510" t="str">
        <f t="shared" si="1841"/>
        <v>AZRAD UMAR BIN SHAARI</v>
      </c>
      <c r="V4510" t="str">
        <f t="shared" si="1842"/>
        <v>FARHANA BINTI MUSTAPA</v>
      </c>
      <c r="W4510" t="str">
        <f t="shared" si="1843"/>
        <v>04-08-2020</v>
      </c>
      <c r="X4510" t="str">
        <f t="shared" si="1844"/>
        <v>RAZIMAH ANSAR AHMAD</v>
      </c>
      <c r="Y4510" t="str">
        <f t="shared" si="1845"/>
        <v>04-08-2020</v>
      </c>
      <c r="Z4510" t="str">
        <f>"COS10200804 4644"</f>
        <v>COS10200804 4644</v>
      </c>
    </row>
    <row r="4511" spans="1:26" x14ac:dyDescent="0.25">
      <c r="A4511" t="str">
        <f t="shared" si="1829"/>
        <v>04-08-2020 12:50:26</v>
      </c>
      <c r="B4511" t="str">
        <f>"0000806424"</f>
        <v>0000806424</v>
      </c>
      <c r="C4511" t="str">
        <f t="shared" si="1830"/>
        <v>0000806381</v>
      </c>
      <c r="D4511" t="str">
        <f t="shared" si="1831"/>
        <v>73185</v>
      </c>
      <c r="E4511" t="str">
        <f t="shared" si="1832"/>
        <v>KFH-OPERATIONS DEPARTMENT</v>
      </c>
      <c r="F4511" t="str">
        <f t="shared" si="1833"/>
        <v>IBG</v>
      </c>
      <c r="G4511" t="str">
        <f t="shared" si="1846"/>
        <v>Refund COSHARE 10</v>
      </c>
      <c r="H4511" s="2">
        <v>127.05</v>
      </c>
      <c r="I4511" t="str">
        <f>"HANIF BIN ABDUL KHATAM"</f>
        <v>HANIF BIN ABDUL KHATAM</v>
      </c>
      <c r="J4511" t="str">
        <f t="shared" si="1847"/>
        <v>MAYBANK / MAYBANK ISLAMIC</v>
      </c>
      <c r="K4511" t="str">
        <f>"110041022909"</f>
        <v>110041022909</v>
      </c>
      <c r="L4511" t="str">
        <f t="shared" si="1848"/>
        <v>04-08-2020</v>
      </c>
      <c r="M4511" t="str">
        <f t="shared" si="1848"/>
        <v>04-08-2020</v>
      </c>
      <c r="N4511" t="str">
        <f t="shared" si="1835"/>
        <v>001105018356</v>
      </c>
      <c r="O4511" t="str">
        <f t="shared" si="1836"/>
        <v>MYR</v>
      </c>
      <c r="P4511" t="str">
        <f t="shared" si="1849"/>
        <v>NIL</v>
      </c>
      <c r="Q4511" t="str">
        <f t="shared" si="1849"/>
        <v>NIL</v>
      </c>
      <c r="R4511" t="str">
        <f t="shared" si="1838"/>
        <v>Accepted</v>
      </c>
      <c r="S4511" t="str">
        <f t="shared" si="1839"/>
        <v>Approved</v>
      </c>
      <c r="T4511" t="str">
        <f t="shared" si="1840"/>
        <v>10.20.8.188</v>
      </c>
      <c r="U4511" t="str">
        <f t="shared" si="1841"/>
        <v>AZRAD UMAR BIN SHAARI</v>
      </c>
      <c r="V4511" t="str">
        <f t="shared" si="1842"/>
        <v>FARHANA BINTI MUSTAPA</v>
      </c>
      <c r="W4511" t="str">
        <f t="shared" si="1843"/>
        <v>04-08-2020</v>
      </c>
      <c r="X4511" t="str">
        <f t="shared" si="1844"/>
        <v>RAZIMAH ANSAR AHMAD</v>
      </c>
      <c r="Y4511" t="str">
        <f t="shared" si="1845"/>
        <v>04-08-2020</v>
      </c>
      <c r="Z4511" t="str">
        <f>"COS10200804 4643"</f>
        <v>COS10200804 4643</v>
      </c>
    </row>
    <row r="4512" spans="1:26" x14ac:dyDescent="0.25">
      <c r="A4512" t="str">
        <f t="shared" si="1829"/>
        <v>04-08-2020 12:50:26</v>
      </c>
      <c r="B4512" t="str">
        <f>"0000806423"</f>
        <v>0000806423</v>
      </c>
      <c r="C4512" t="str">
        <f t="shared" si="1830"/>
        <v>0000806381</v>
      </c>
      <c r="D4512" t="str">
        <f t="shared" si="1831"/>
        <v>73185</v>
      </c>
      <c r="E4512" t="str">
        <f t="shared" si="1832"/>
        <v>KFH-OPERATIONS DEPARTMENT</v>
      </c>
      <c r="F4512" t="str">
        <f t="shared" si="1833"/>
        <v>IBG</v>
      </c>
      <c r="G4512" t="str">
        <f t="shared" si="1846"/>
        <v>Refund COSHARE 10</v>
      </c>
      <c r="H4512" s="2">
        <v>122.8</v>
      </c>
      <c r="I4512" t="str">
        <f>"HANI BIN ABD RAHMAN"</f>
        <v>HANI BIN ABD RAHMAN</v>
      </c>
      <c r="J4512" t="str">
        <f t="shared" si="1847"/>
        <v>MAYBANK / MAYBANK ISLAMIC</v>
      </c>
      <c r="K4512" t="str">
        <f>"101066942344"</f>
        <v>101066942344</v>
      </c>
      <c r="L4512" t="str">
        <f t="shared" si="1848"/>
        <v>04-08-2020</v>
      </c>
      <c r="M4512" t="str">
        <f t="shared" si="1848"/>
        <v>04-08-2020</v>
      </c>
      <c r="N4512" t="str">
        <f t="shared" si="1835"/>
        <v>001105018356</v>
      </c>
      <c r="O4512" t="str">
        <f t="shared" si="1836"/>
        <v>MYR</v>
      </c>
      <c r="P4512" t="str">
        <f t="shared" si="1849"/>
        <v>NIL</v>
      </c>
      <c r="Q4512" t="str">
        <f t="shared" si="1849"/>
        <v>NIL</v>
      </c>
      <c r="R4512" t="str">
        <f t="shared" si="1838"/>
        <v>Accepted</v>
      </c>
      <c r="S4512" t="str">
        <f t="shared" si="1839"/>
        <v>Approved</v>
      </c>
      <c r="T4512" t="str">
        <f t="shared" si="1840"/>
        <v>10.20.8.188</v>
      </c>
      <c r="U4512" t="str">
        <f t="shared" si="1841"/>
        <v>AZRAD UMAR BIN SHAARI</v>
      </c>
      <c r="V4512" t="str">
        <f t="shared" si="1842"/>
        <v>FARHANA BINTI MUSTAPA</v>
      </c>
      <c r="W4512" t="str">
        <f t="shared" si="1843"/>
        <v>04-08-2020</v>
      </c>
      <c r="X4512" t="str">
        <f t="shared" si="1844"/>
        <v>RAZIMAH ANSAR AHMAD</v>
      </c>
      <c r="Y4512" t="str">
        <f t="shared" si="1845"/>
        <v>04-08-2020</v>
      </c>
      <c r="Z4512" t="str">
        <f>"COS10200804 4642"</f>
        <v>COS10200804 4642</v>
      </c>
    </row>
    <row r="4513" spans="1:26" x14ac:dyDescent="0.25">
      <c r="A4513" t="str">
        <f t="shared" si="1829"/>
        <v>04-08-2020 12:50:26</v>
      </c>
      <c r="B4513" t="str">
        <f>"0000806422"</f>
        <v>0000806422</v>
      </c>
      <c r="C4513" t="str">
        <f t="shared" si="1830"/>
        <v>0000806381</v>
      </c>
      <c r="D4513" t="str">
        <f t="shared" si="1831"/>
        <v>73185</v>
      </c>
      <c r="E4513" t="str">
        <f t="shared" si="1832"/>
        <v>KFH-OPERATIONS DEPARTMENT</v>
      </c>
      <c r="F4513" t="str">
        <f t="shared" si="1833"/>
        <v>IBG</v>
      </c>
      <c r="G4513" t="str">
        <f t="shared" si="1846"/>
        <v>Refund COSHARE 10</v>
      </c>
      <c r="H4513" s="2">
        <v>349.05</v>
      </c>
      <c r="I4513" t="str">
        <f>"HAMZAN BIN RABUDIN"</f>
        <v>HAMZAN BIN RABUDIN</v>
      </c>
      <c r="J4513" t="str">
        <f t="shared" si="1847"/>
        <v>MAYBANK / MAYBANK ISLAMIC</v>
      </c>
      <c r="K4513" t="str">
        <f>"158015140278"</f>
        <v>158015140278</v>
      </c>
      <c r="L4513" t="str">
        <f t="shared" si="1848"/>
        <v>04-08-2020</v>
      </c>
      <c r="M4513" t="str">
        <f t="shared" si="1848"/>
        <v>04-08-2020</v>
      </c>
      <c r="N4513" t="str">
        <f t="shared" si="1835"/>
        <v>001105018356</v>
      </c>
      <c r="O4513" t="str">
        <f t="shared" si="1836"/>
        <v>MYR</v>
      </c>
      <c r="P4513" t="str">
        <f t="shared" si="1849"/>
        <v>NIL</v>
      </c>
      <c r="Q4513" t="str">
        <f t="shared" si="1849"/>
        <v>NIL</v>
      </c>
      <c r="R4513" t="str">
        <f t="shared" si="1838"/>
        <v>Accepted</v>
      </c>
      <c r="S4513" t="str">
        <f t="shared" si="1839"/>
        <v>Approved</v>
      </c>
      <c r="T4513" t="str">
        <f t="shared" si="1840"/>
        <v>10.20.8.188</v>
      </c>
      <c r="U4513" t="str">
        <f t="shared" si="1841"/>
        <v>AZRAD UMAR BIN SHAARI</v>
      </c>
      <c r="V4513" t="str">
        <f t="shared" si="1842"/>
        <v>FARHANA BINTI MUSTAPA</v>
      </c>
      <c r="W4513" t="str">
        <f t="shared" si="1843"/>
        <v>04-08-2020</v>
      </c>
      <c r="X4513" t="str">
        <f t="shared" si="1844"/>
        <v>RAZIMAH ANSAR AHMAD</v>
      </c>
      <c r="Y4513" t="str">
        <f t="shared" si="1845"/>
        <v>04-08-2020</v>
      </c>
      <c r="Z4513" t="str">
        <f>"COS10200804 4641"</f>
        <v>COS10200804 4641</v>
      </c>
    </row>
    <row r="4514" spans="1:26" x14ac:dyDescent="0.25">
      <c r="A4514" t="str">
        <f t="shared" ref="A4514:A4545" si="1850">"04-08-2020 12:50:26"</f>
        <v>04-08-2020 12:50:26</v>
      </c>
      <c r="B4514" t="str">
        <f>"0000806421"</f>
        <v>0000806421</v>
      </c>
      <c r="C4514" t="str">
        <f t="shared" ref="C4514:C4545" si="1851">"0000806381"</f>
        <v>0000806381</v>
      </c>
      <c r="D4514" t="str">
        <f t="shared" si="1831"/>
        <v>73185</v>
      </c>
      <c r="E4514" t="str">
        <f t="shared" si="1832"/>
        <v>KFH-OPERATIONS DEPARTMENT</v>
      </c>
      <c r="F4514" t="str">
        <f t="shared" si="1833"/>
        <v>IBG</v>
      </c>
      <c r="G4514" t="str">
        <f t="shared" si="1846"/>
        <v>Refund COSHARE 10</v>
      </c>
      <c r="H4514" s="2">
        <v>847</v>
      </c>
      <c r="I4514" t="str">
        <f>"HAMSYLA BINTI HAMDAN"</f>
        <v>HAMSYLA BINTI HAMDAN</v>
      </c>
      <c r="J4514" t="str">
        <f t="shared" si="1847"/>
        <v>MAYBANK / MAYBANK ISLAMIC</v>
      </c>
      <c r="K4514" t="str">
        <f>"162263296070"</f>
        <v>162263296070</v>
      </c>
      <c r="L4514" t="str">
        <f t="shared" si="1848"/>
        <v>04-08-2020</v>
      </c>
      <c r="M4514" t="str">
        <f t="shared" si="1848"/>
        <v>04-08-2020</v>
      </c>
      <c r="N4514" t="str">
        <f t="shared" si="1835"/>
        <v>001105018356</v>
      </c>
      <c r="O4514" t="str">
        <f t="shared" si="1836"/>
        <v>MYR</v>
      </c>
      <c r="P4514" t="str">
        <f t="shared" si="1849"/>
        <v>NIL</v>
      </c>
      <c r="Q4514" t="str">
        <f t="shared" si="1849"/>
        <v>NIL</v>
      </c>
      <c r="R4514" t="str">
        <f t="shared" si="1838"/>
        <v>Accepted</v>
      </c>
      <c r="S4514" t="str">
        <f t="shared" si="1839"/>
        <v>Approved</v>
      </c>
      <c r="T4514" t="str">
        <f t="shared" si="1840"/>
        <v>10.20.8.188</v>
      </c>
      <c r="U4514" t="str">
        <f t="shared" si="1841"/>
        <v>AZRAD UMAR BIN SHAARI</v>
      </c>
      <c r="V4514" t="str">
        <f t="shared" si="1842"/>
        <v>FARHANA BINTI MUSTAPA</v>
      </c>
      <c r="W4514" t="str">
        <f t="shared" si="1843"/>
        <v>04-08-2020</v>
      </c>
      <c r="X4514" t="str">
        <f t="shared" si="1844"/>
        <v>RAZIMAH ANSAR AHMAD</v>
      </c>
      <c r="Y4514" t="str">
        <f t="shared" si="1845"/>
        <v>04-08-2020</v>
      </c>
      <c r="Z4514" t="str">
        <f>"COS10200804 4640"</f>
        <v>COS10200804 4640</v>
      </c>
    </row>
    <row r="4515" spans="1:26" x14ac:dyDescent="0.25">
      <c r="A4515" t="str">
        <f t="shared" si="1850"/>
        <v>04-08-2020 12:50:26</v>
      </c>
      <c r="B4515" t="str">
        <f>"0000806420"</f>
        <v>0000806420</v>
      </c>
      <c r="C4515" t="str">
        <f t="shared" si="1851"/>
        <v>0000806381</v>
      </c>
      <c r="D4515" t="str">
        <f t="shared" si="1831"/>
        <v>73185</v>
      </c>
      <c r="E4515" t="str">
        <f t="shared" si="1832"/>
        <v>KFH-OPERATIONS DEPARTMENT</v>
      </c>
      <c r="F4515" t="str">
        <f t="shared" si="1833"/>
        <v>IBG</v>
      </c>
      <c r="G4515" t="str">
        <f t="shared" si="1846"/>
        <v>Refund COSHARE 10</v>
      </c>
      <c r="H4515" s="2">
        <v>1321</v>
      </c>
      <c r="I4515" t="str">
        <f>"HAMSAWIE BIN HASSAN"</f>
        <v>HAMSAWIE BIN HASSAN</v>
      </c>
      <c r="J4515" t="str">
        <f t="shared" si="1847"/>
        <v>MAYBANK / MAYBANK ISLAMIC</v>
      </c>
      <c r="K4515" t="str">
        <f>"111114013118"</f>
        <v>111114013118</v>
      </c>
      <c r="L4515" t="str">
        <f t="shared" si="1848"/>
        <v>04-08-2020</v>
      </c>
      <c r="M4515" t="str">
        <f t="shared" si="1848"/>
        <v>04-08-2020</v>
      </c>
      <c r="N4515" t="str">
        <f t="shared" si="1835"/>
        <v>001105018356</v>
      </c>
      <c r="O4515" t="str">
        <f t="shared" si="1836"/>
        <v>MYR</v>
      </c>
      <c r="P4515" t="str">
        <f t="shared" si="1849"/>
        <v>NIL</v>
      </c>
      <c r="Q4515" t="str">
        <f t="shared" si="1849"/>
        <v>NIL</v>
      </c>
      <c r="R4515" t="str">
        <f t="shared" si="1838"/>
        <v>Accepted</v>
      </c>
      <c r="S4515" t="str">
        <f t="shared" si="1839"/>
        <v>Approved</v>
      </c>
      <c r="T4515" t="str">
        <f t="shared" si="1840"/>
        <v>10.20.8.188</v>
      </c>
      <c r="U4515" t="str">
        <f t="shared" si="1841"/>
        <v>AZRAD UMAR BIN SHAARI</v>
      </c>
      <c r="V4515" t="str">
        <f t="shared" si="1842"/>
        <v>FARHANA BINTI MUSTAPA</v>
      </c>
      <c r="W4515" t="str">
        <f t="shared" si="1843"/>
        <v>04-08-2020</v>
      </c>
      <c r="X4515" t="str">
        <f t="shared" si="1844"/>
        <v>RAZIMAH ANSAR AHMAD</v>
      </c>
      <c r="Y4515" t="str">
        <f t="shared" si="1845"/>
        <v>04-08-2020</v>
      </c>
      <c r="Z4515" t="str">
        <f>"COS10200804 4639"</f>
        <v>COS10200804 4639</v>
      </c>
    </row>
    <row r="4516" spans="1:26" x14ac:dyDescent="0.25">
      <c r="A4516" t="str">
        <f t="shared" si="1850"/>
        <v>04-08-2020 12:50:26</v>
      </c>
      <c r="B4516" t="str">
        <f>"0000806419"</f>
        <v>0000806419</v>
      </c>
      <c r="C4516" t="str">
        <f t="shared" si="1851"/>
        <v>0000806381</v>
      </c>
      <c r="D4516" t="str">
        <f t="shared" si="1831"/>
        <v>73185</v>
      </c>
      <c r="E4516" t="str">
        <f t="shared" si="1832"/>
        <v>KFH-OPERATIONS DEPARTMENT</v>
      </c>
      <c r="F4516" t="str">
        <f t="shared" si="1833"/>
        <v>IBG</v>
      </c>
      <c r="G4516" t="str">
        <f t="shared" si="1846"/>
        <v>Refund COSHARE 10</v>
      </c>
      <c r="H4516" s="2">
        <v>231</v>
      </c>
      <c r="I4516" t="str">
        <f>"HAMIZUN BIN JENAL"</f>
        <v>HAMIZUN BIN JENAL</v>
      </c>
      <c r="J4516" t="str">
        <f t="shared" si="1847"/>
        <v>MAYBANK / MAYBANK ISLAMIC</v>
      </c>
      <c r="K4516" t="str">
        <f>"114020595609"</f>
        <v>114020595609</v>
      </c>
      <c r="L4516" t="str">
        <f t="shared" si="1848"/>
        <v>04-08-2020</v>
      </c>
      <c r="M4516" t="str">
        <f t="shared" si="1848"/>
        <v>04-08-2020</v>
      </c>
      <c r="N4516" t="str">
        <f t="shared" si="1835"/>
        <v>001105018356</v>
      </c>
      <c r="O4516" t="str">
        <f t="shared" si="1836"/>
        <v>MYR</v>
      </c>
      <c r="P4516" t="str">
        <f t="shared" si="1849"/>
        <v>NIL</v>
      </c>
      <c r="Q4516" t="str">
        <f t="shared" si="1849"/>
        <v>NIL</v>
      </c>
      <c r="R4516" t="str">
        <f t="shared" si="1838"/>
        <v>Accepted</v>
      </c>
      <c r="S4516" t="str">
        <f t="shared" si="1839"/>
        <v>Approved</v>
      </c>
      <c r="T4516" t="str">
        <f t="shared" si="1840"/>
        <v>10.20.8.188</v>
      </c>
      <c r="U4516" t="str">
        <f t="shared" si="1841"/>
        <v>AZRAD UMAR BIN SHAARI</v>
      </c>
      <c r="V4516" t="str">
        <f t="shared" si="1842"/>
        <v>FARHANA BINTI MUSTAPA</v>
      </c>
      <c r="W4516" t="str">
        <f t="shared" si="1843"/>
        <v>04-08-2020</v>
      </c>
      <c r="X4516" t="str">
        <f t="shared" si="1844"/>
        <v>RAZIMAH ANSAR AHMAD</v>
      </c>
      <c r="Y4516" t="str">
        <f t="shared" si="1845"/>
        <v>04-08-2020</v>
      </c>
      <c r="Z4516" t="str">
        <f>"COS10200804 4638"</f>
        <v>COS10200804 4638</v>
      </c>
    </row>
    <row r="4517" spans="1:26" x14ac:dyDescent="0.25">
      <c r="A4517" t="str">
        <f t="shared" si="1850"/>
        <v>04-08-2020 12:50:26</v>
      </c>
      <c r="B4517" t="str">
        <f>"0000806418"</f>
        <v>0000806418</v>
      </c>
      <c r="C4517" t="str">
        <f t="shared" si="1851"/>
        <v>0000806381</v>
      </c>
      <c r="D4517" t="str">
        <f t="shared" si="1831"/>
        <v>73185</v>
      </c>
      <c r="E4517" t="str">
        <f t="shared" si="1832"/>
        <v>KFH-OPERATIONS DEPARTMENT</v>
      </c>
      <c r="F4517" t="str">
        <f t="shared" si="1833"/>
        <v>IBG</v>
      </c>
      <c r="G4517" t="str">
        <f t="shared" si="1846"/>
        <v>Refund COSHARE 10</v>
      </c>
      <c r="H4517" s="2">
        <v>78.599999999999994</v>
      </c>
      <c r="I4517" t="str">
        <f>"HAMIZAN BIN RAZALI"</f>
        <v>HAMIZAN BIN RAZALI</v>
      </c>
      <c r="J4517" t="str">
        <f t="shared" si="1847"/>
        <v>MAYBANK / MAYBANK ISLAMIC</v>
      </c>
      <c r="K4517" t="str">
        <f>"108113461591"</f>
        <v>108113461591</v>
      </c>
      <c r="L4517" t="str">
        <f t="shared" si="1848"/>
        <v>04-08-2020</v>
      </c>
      <c r="M4517" t="str">
        <f t="shared" si="1848"/>
        <v>04-08-2020</v>
      </c>
      <c r="N4517" t="str">
        <f t="shared" si="1835"/>
        <v>001105018356</v>
      </c>
      <c r="O4517" t="str">
        <f t="shared" si="1836"/>
        <v>MYR</v>
      </c>
      <c r="P4517" t="str">
        <f t="shared" si="1849"/>
        <v>NIL</v>
      </c>
      <c r="Q4517" t="str">
        <f t="shared" si="1849"/>
        <v>NIL</v>
      </c>
      <c r="R4517" t="str">
        <f t="shared" si="1838"/>
        <v>Accepted</v>
      </c>
      <c r="S4517" t="str">
        <f t="shared" si="1839"/>
        <v>Approved</v>
      </c>
      <c r="T4517" t="str">
        <f t="shared" si="1840"/>
        <v>10.20.8.188</v>
      </c>
      <c r="U4517" t="str">
        <f t="shared" si="1841"/>
        <v>AZRAD UMAR BIN SHAARI</v>
      </c>
      <c r="V4517" t="str">
        <f t="shared" si="1842"/>
        <v>FARHANA BINTI MUSTAPA</v>
      </c>
      <c r="W4517" t="str">
        <f t="shared" si="1843"/>
        <v>04-08-2020</v>
      </c>
      <c r="X4517" t="str">
        <f t="shared" si="1844"/>
        <v>RAZIMAH ANSAR AHMAD</v>
      </c>
      <c r="Y4517" t="str">
        <f t="shared" si="1845"/>
        <v>04-08-2020</v>
      </c>
      <c r="Z4517" t="str">
        <f>"COS10200804 4637"</f>
        <v>COS10200804 4637</v>
      </c>
    </row>
    <row r="4518" spans="1:26" x14ac:dyDescent="0.25">
      <c r="A4518" t="str">
        <f t="shared" si="1850"/>
        <v>04-08-2020 12:50:26</v>
      </c>
      <c r="B4518" t="str">
        <f>"0000806417"</f>
        <v>0000806417</v>
      </c>
      <c r="C4518" t="str">
        <f t="shared" si="1851"/>
        <v>0000806381</v>
      </c>
      <c r="D4518" t="str">
        <f t="shared" si="1831"/>
        <v>73185</v>
      </c>
      <c r="E4518" t="str">
        <f t="shared" si="1832"/>
        <v>KFH-OPERATIONS DEPARTMENT</v>
      </c>
      <c r="F4518" t="str">
        <f t="shared" si="1833"/>
        <v>IBG</v>
      </c>
      <c r="G4518" t="str">
        <f t="shared" si="1846"/>
        <v>Refund COSHARE 10</v>
      </c>
      <c r="H4518" s="2">
        <v>58.8</v>
      </c>
      <c r="I4518" t="str">
        <f>"HAMIZAN BIN NIH"</f>
        <v>HAMIZAN BIN NIH</v>
      </c>
      <c r="J4518" t="str">
        <f t="shared" si="1847"/>
        <v>MAYBANK / MAYBANK ISLAMIC</v>
      </c>
      <c r="K4518" t="str">
        <f>"160102274875"</f>
        <v>160102274875</v>
      </c>
      <c r="L4518" t="str">
        <f t="shared" si="1848"/>
        <v>04-08-2020</v>
      </c>
      <c r="M4518" t="str">
        <f t="shared" si="1848"/>
        <v>04-08-2020</v>
      </c>
      <c r="N4518" t="str">
        <f t="shared" si="1835"/>
        <v>001105018356</v>
      </c>
      <c r="O4518" t="str">
        <f t="shared" si="1836"/>
        <v>MYR</v>
      </c>
      <c r="P4518" t="str">
        <f t="shared" si="1849"/>
        <v>NIL</v>
      </c>
      <c r="Q4518" t="str">
        <f t="shared" si="1849"/>
        <v>NIL</v>
      </c>
      <c r="R4518" t="str">
        <f t="shared" si="1838"/>
        <v>Accepted</v>
      </c>
      <c r="S4518" t="str">
        <f t="shared" si="1839"/>
        <v>Approved</v>
      </c>
      <c r="T4518" t="str">
        <f t="shared" si="1840"/>
        <v>10.20.8.188</v>
      </c>
      <c r="U4518" t="str">
        <f t="shared" si="1841"/>
        <v>AZRAD UMAR BIN SHAARI</v>
      </c>
      <c r="V4518" t="str">
        <f t="shared" si="1842"/>
        <v>FARHANA BINTI MUSTAPA</v>
      </c>
      <c r="W4518" t="str">
        <f t="shared" si="1843"/>
        <v>04-08-2020</v>
      </c>
      <c r="X4518" t="str">
        <f t="shared" si="1844"/>
        <v>RAZIMAH ANSAR AHMAD</v>
      </c>
      <c r="Y4518" t="str">
        <f t="shared" si="1845"/>
        <v>04-08-2020</v>
      </c>
      <c r="Z4518" t="str">
        <f>"COS10200804 4636"</f>
        <v>COS10200804 4636</v>
      </c>
    </row>
    <row r="4519" spans="1:26" x14ac:dyDescent="0.25">
      <c r="A4519" t="str">
        <f t="shared" si="1850"/>
        <v>04-08-2020 12:50:26</v>
      </c>
      <c r="B4519" t="str">
        <f>"0000806416"</f>
        <v>0000806416</v>
      </c>
      <c r="C4519" t="str">
        <f t="shared" si="1851"/>
        <v>0000806381</v>
      </c>
      <c r="D4519" t="str">
        <f t="shared" si="1831"/>
        <v>73185</v>
      </c>
      <c r="E4519" t="str">
        <f t="shared" si="1832"/>
        <v>KFH-OPERATIONS DEPARTMENT</v>
      </c>
      <c r="F4519" t="str">
        <f t="shared" si="1833"/>
        <v>IBG</v>
      </c>
      <c r="G4519" t="str">
        <f t="shared" si="1846"/>
        <v>Refund COSHARE 10</v>
      </c>
      <c r="H4519" s="2">
        <v>688.4</v>
      </c>
      <c r="I4519" t="str">
        <f>"HAMIZA BINTI HASSAN"</f>
        <v>HAMIZA BINTI HASSAN</v>
      </c>
      <c r="J4519" t="str">
        <f t="shared" si="1847"/>
        <v>MAYBANK / MAYBANK ISLAMIC</v>
      </c>
      <c r="K4519" t="str">
        <f>"109017428538"</f>
        <v>109017428538</v>
      </c>
      <c r="L4519" t="str">
        <f t="shared" si="1848"/>
        <v>04-08-2020</v>
      </c>
      <c r="M4519" t="str">
        <f t="shared" si="1848"/>
        <v>04-08-2020</v>
      </c>
      <c r="N4519" t="str">
        <f t="shared" si="1835"/>
        <v>001105018356</v>
      </c>
      <c r="O4519" t="str">
        <f t="shared" si="1836"/>
        <v>MYR</v>
      </c>
      <c r="P4519" t="str">
        <f t="shared" si="1849"/>
        <v>NIL</v>
      </c>
      <c r="Q4519" t="str">
        <f t="shared" si="1849"/>
        <v>NIL</v>
      </c>
      <c r="R4519" t="str">
        <f t="shared" si="1838"/>
        <v>Accepted</v>
      </c>
      <c r="S4519" t="str">
        <f t="shared" si="1839"/>
        <v>Approved</v>
      </c>
      <c r="T4519" t="str">
        <f t="shared" si="1840"/>
        <v>10.20.8.188</v>
      </c>
      <c r="U4519" t="str">
        <f t="shared" si="1841"/>
        <v>AZRAD UMAR BIN SHAARI</v>
      </c>
      <c r="V4519" t="str">
        <f t="shared" si="1842"/>
        <v>FARHANA BINTI MUSTAPA</v>
      </c>
      <c r="W4519" t="str">
        <f t="shared" si="1843"/>
        <v>04-08-2020</v>
      </c>
      <c r="X4519" t="str">
        <f t="shared" si="1844"/>
        <v>RAZIMAH ANSAR AHMAD</v>
      </c>
      <c r="Y4519" t="str">
        <f t="shared" si="1845"/>
        <v>04-08-2020</v>
      </c>
      <c r="Z4519" t="str">
        <f>"COS10200804 4635"</f>
        <v>COS10200804 4635</v>
      </c>
    </row>
    <row r="4520" spans="1:26" x14ac:dyDescent="0.25">
      <c r="A4520" t="str">
        <f t="shared" si="1850"/>
        <v>04-08-2020 12:50:26</v>
      </c>
      <c r="B4520" t="str">
        <f>"0000806415"</f>
        <v>0000806415</v>
      </c>
      <c r="C4520" t="str">
        <f t="shared" si="1851"/>
        <v>0000806381</v>
      </c>
      <c r="D4520" t="str">
        <f t="shared" si="1831"/>
        <v>73185</v>
      </c>
      <c r="E4520" t="str">
        <f t="shared" si="1832"/>
        <v>KFH-OPERATIONS DEPARTMENT</v>
      </c>
      <c r="F4520" t="str">
        <f t="shared" si="1833"/>
        <v>IBG</v>
      </c>
      <c r="G4520" t="str">
        <f t="shared" si="1846"/>
        <v>Refund COSHARE 10</v>
      </c>
      <c r="H4520" s="2">
        <v>377.8</v>
      </c>
      <c r="I4520" t="str">
        <f>"HAMIRAH BINTI ANDI MAPPEASE"</f>
        <v>HAMIRAH BINTI ANDI MAPPEASE</v>
      </c>
      <c r="J4520" t="str">
        <f t="shared" si="1847"/>
        <v>MAYBANK / MAYBANK ISLAMIC</v>
      </c>
      <c r="K4520" t="str">
        <f>"157072007969"</f>
        <v>157072007969</v>
      </c>
      <c r="L4520" t="str">
        <f t="shared" si="1848"/>
        <v>04-08-2020</v>
      </c>
      <c r="M4520" t="str">
        <f t="shared" si="1848"/>
        <v>04-08-2020</v>
      </c>
      <c r="N4520" t="str">
        <f t="shared" si="1835"/>
        <v>001105018356</v>
      </c>
      <c r="O4520" t="str">
        <f t="shared" si="1836"/>
        <v>MYR</v>
      </c>
      <c r="P4520" t="str">
        <f t="shared" si="1849"/>
        <v>NIL</v>
      </c>
      <c r="Q4520" t="str">
        <f t="shared" si="1849"/>
        <v>NIL</v>
      </c>
      <c r="R4520" t="str">
        <f t="shared" si="1838"/>
        <v>Accepted</v>
      </c>
      <c r="S4520" t="str">
        <f t="shared" si="1839"/>
        <v>Approved</v>
      </c>
      <c r="T4520" t="str">
        <f t="shared" si="1840"/>
        <v>10.20.8.188</v>
      </c>
      <c r="U4520" t="str">
        <f t="shared" si="1841"/>
        <v>AZRAD UMAR BIN SHAARI</v>
      </c>
      <c r="V4520" t="str">
        <f t="shared" si="1842"/>
        <v>FARHANA BINTI MUSTAPA</v>
      </c>
      <c r="W4520" t="str">
        <f t="shared" si="1843"/>
        <v>04-08-2020</v>
      </c>
      <c r="X4520" t="str">
        <f t="shared" si="1844"/>
        <v>RAZIMAH ANSAR AHMAD</v>
      </c>
      <c r="Y4520" t="str">
        <f t="shared" si="1845"/>
        <v>04-08-2020</v>
      </c>
      <c r="Z4520" t="str">
        <f>"COS10200804 4634"</f>
        <v>COS10200804 4634</v>
      </c>
    </row>
    <row r="4521" spans="1:26" x14ac:dyDescent="0.25">
      <c r="A4521" t="str">
        <f t="shared" si="1850"/>
        <v>04-08-2020 12:50:26</v>
      </c>
      <c r="B4521" t="str">
        <f>"0000806414"</f>
        <v>0000806414</v>
      </c>
      <c r="C4521" t="str">
        <f t="shared" si="1851"/>
        <v>0000806381</v>
      </c>
      <c r="D4521" t="str">
        <f t="shared" si="1831"/>
        <v>73185</v>
      </c>
      <c r="E4521" t="str">
        <f t="shared" si="1832"/>
        <v>KFH-OPERATIONS DEPARTMENT</v>
      </c>
      <c r="F4521" t="str">
        <f t="shared" si="1833"/>
        <v>IBG</v>
      </c>
      <c r="G4521" t="str">
        <f t="shared" si="1846"/>
        <v>Refund COSHARE 10</v>
      </c>
      <c r="H4521" s="2">
        <v>69</v>
      </c>
      <c r="I4521" t="str">
        <f>"HAMINAH BINTI JARIEE"</f>
        <v>HAMINAH BINTI JARIEE</v>
      </c>
      <c r="J4521" t="str">
        <f t="shared" si="1847"/>
        <v>MAYBANK / MAYBANK ISLAMIC</v>
      </c>
      <c r="K4521" t="str">
        <f>"161118953738"</f>
        <v>161118953738</v>
      </c>
      <c r="L4521" t="str">
        <f t="shared" si="1848"/>
        <v>04-08-2020</v>
      </c>
      <c r="M4521" t="str">
        <f t="shared" si="1848"/>
        <v>04-08-2020</v>
      </c>
      <c r="N4521" t="str">
        <f t="shared" si="1835"/>
        <v>001105018356</v>
      </c>
      <c r="O4521" t="str">
        <f t="shared" si="1836"/>
        <v>MYR</v>
      </c>
      <c r="P4521" t="str">
        <f t="shared" si="1849"/>
        <v>NIL</v>
      </c>
      <c r="Q4521" t="str">
        <f t="shared" si="1849"/>
        <v>NIL</v>
      </c>
      <c r="R4521" t="str">
        <f t="shared" si="1838"/>
        <v>Accepted</v>
      </c>
      <c r="S4521" t="str">
        <f t="shared" si="1839"/>
        <v>Approved</v>
      </c>
      <c r="T4521" t="str">
        <f t="shared" si="1840"/>
        <v>10.20.8.188</v>
      </c>
      <c r="U4521" t="str">
        <f t="shared" si="1841"/>
        <v>AZRAD UMAR BIN SHAARI</v>
      </c>
      <c r="V4521" t="str">
        <f t="shared" si="1842"/>
        <v>FARHANA BINTI MUSTAPA</v>
      </c>
      <c r="W4521" t="str">
        <f t="shared" si="1843"/>
        <v>04-08-2020</v>
      </c>
      <c r="X4521" t="str">
        <f t="shared" si="1844"/>
        <v>RAZIMAH ANSAR AHMAD</v>
      </c>
      <c r="Y4521" t="str">
        <f t="shared" si="1845"/>
        <v>04-08-2020</v>
      </c>
      <c r="Z4521" t="str">
        <f>"COS10200804 4633"</f>
        <v>COS10200804 4633</v>
      </c>
    </row>
    <row r="4522" spans="1:26" x14ac:dyDescent="0.25">
      <c r="A4522" t="str">
        <f t="shared" si="1850"/>
        <v>04-08-2020 12:50:26</v>
      </c>
      <c r="B4522" t="str">
        <f>"0000806413"</f>
        <v>0000806413</v>
      </c>
      <c r="C4522" t="str">
        <f t="shared" si="1851"/>
        <v>0000806381</v>
      </c>
      <c r="D4522" t="str">
        <f t="shared" si="1831"/>
        <v>73185</v>
      </c>
      <c r="E4522" t="str">
        <f t="shared" si="1832"/>
        <v>KFH-OPERATIONS DEPARTMENT</v>
      </c>
      <c r="F4522" t="str">
        <f t="shared" si="1833"/>
        <v>IBG</v>
      </c>
      <c r="G4522" t="str">
        <f t="shared" si="1846"/>
        <v>Refund COSHARE 10</v>
      </c>
      <c r="H4522" s="2">
        <v>151.15</v>
      </c>
      <c r="I4522" t="str">
        <f>"HAMINAH BINTI JARIEE"</f>
        <v>HAMINAH BINTI JARIEE</v>
      </c>
      <c r="J4522" t="str">
        <f t="shared" si="1847"/>
        <v>MAYBANK / MAYBANK ISLAMIC</v>
      </c>
      <c r="K4522" t="str">
        <f>"161118953738"</f>
        <v>161118953738</v>
      </c>
      <c r="L4522" t="str">
        <f t="shared" si="1848"/>
        <v>04-08-2020</v>
      </c>
      <c r="M4522" t="str">
        <f t="shared" si="1848"/>
        <v>04-08-2020</v>
      </c>
      <c r="N4522" t="str">
        <f t="shared" si="1835"/>
        <v>001105018356</v>
      </c>
      <c r="O4522" t="str">
        <f t="shared" si="1836"/>
        <v>MYR</v>
      </c>
      <c r="P4522" t="str">
        <f t="shared" si="1849"/>
        <v>NIL</v>
      </c>
      <c r="Q4522" t="str">
        <f t="shared" si="1849"/>
        <v>NIL</v>
      </c>
      <c r="R4522" t="str">
        <f t="shared" si="1838"/>
        <v>Accepted</v>
      </c>
      <c r="S4522" t="str">
        <f t="shared" si="1839"/>
        <v>Approved</v>
      </c>
      <c r="T4522" t="str">
        <f t="shared" si="1840"/>
        <v>10.20.8.188</v>
      </c>
      <c r="U4522" t="str">
        <f t="shared" si="1841"/>
        <v>AZRAD UMAR BIN SHAARI</v>
      </c>
      <c r="V4522" t="str">
        <f t="shared" si="1842"/>
        <v>FARHANA BINTI MUSTAPA</v>
      </c>
      <c r="W4522" t="str">
        <f t="shared" si="1843"/>
        <v>04-08-2020</v>
      </c>
      <c r="X4522" t="str">
        <f t="shared" si="1844"/>
        <v>RAZIMAH ANSAR AHMAD</v>
      </c>
      <c r="Y4522" t="str">
        <f t="shared" si="1845"/>
        <v>04-08-2020</v>
      </c>
      <c r="Z4522" t="str">
        <f>"COS10200804 4632"</f>
        <v>COS10200804 4632</v>
      </c>
    </row>
    <row r="4523" spans="1:26" x14ac:dyDescent="0.25">
      <c r="A4523" t="str">
        <f t="shared" si="1850"/>
        <v>04-08-2020 12:50:26</v>
      </c>
      <c r="B4523" t="str">
        <f>"0000806412"</f>
        <v>0000806412</v>
      </c>
      <c r="C4523" t="str">
        <f t="shared" si="1851"/>
        <v>0000806381</v>
      </c>
      <c r="D4523" t="str">
        <f t="shared" si="1831"/>
        <v>73185</v>
      </c>
      <c r="E4523" t="str">
        <f t="shared" si="1832"/>
        <v>KFH-OPERATIONS DEPARTMENT</v>
      </c>
      <c r="F4523" t="str">
        <f t="shared" si="1833"/>
        <v>IBG</v>
      </c>
      <c r="G4523" t="str">
        <f t="shared" si="1846"/>
        <v>Refund COSHARE 10</v>
      </c>
      <c r="H4523" s="2">
        <v>100.65</v>
      </c>
      <c r="I4523" t="str">
        <f>"HAMIDUN BIN RAHIM"</f>
        <v>HAMIDUN BIN RAHIM</v>
      </c>
      <c r="J4523" t="str">
        <f t="shared" si="1847"/>
        <v>MAYBANK / MAYBANK ISLAMIC</v>
      </c>
      <c r="K4523" t="str">
        <f>"110096050316"</f>
        <v>110096050316</v>
      </c>
      <c r="L4523" t="str">
        <f t="shared" si="1848"/>
        <v>04-08-2020</v>
      </c>
      <c r="M4523" t="str">
        <f t="shared" si="1848"/>
        <v>04-08-2020</v>
      </c>
      <c r="N4523" t="str">
        <f t="shared" si="1835"/>
        <v>001105018356</v>
      </c>
      <c r="O4523" t="str">
        <f t="shared" si="1836"/>
        <v>MYR</v>
      </c>
      <c r="P4523" t="str">
        <f t="shared" si="1849"/>
        <v>NIL</v>
      </c>
      <c r="Q4523" t="str">
        <f t="shared" si="1849"/>
        <v>NIL</v>
      </c>
      <c r="R4523" t="str">
        <f t="shared" si="1838"/>
        <v>Accepted</v>
      </c>
      <c r="S4523" t="str">
        <f t="shared" si="1839"/>
        <v>Approved</v>
      </c>
      <c r="T4523" t="str">
        <f t="shared" si="1840"/>
        <v>10.20.8.188</v>
      </c>
      <c r="U4523" t="str">
        <f t="shared" si="1841"/>
        <v>AZRAD UMAR BIN SHAARI</v>
      </c>
      <c r="V4523" t="str">
        <f t="shared" si="1842"/>
        <v>FARHANA BINTI MUSTAPA</v>
      </c>
      <c r="W4523" t="str">
        <f t="shared" si="1843"/>
        <v>04-08-2020</v>
      </c>
      <c r="X4523" t="str">
        <f t="shared" si="1844"/>
        <v>RAZIMAH ANSAR AHMAD</v>
      </c>
      <c r="Y4523" t="str">
        <f t="shared" si="1845"/>
        <v>04-08-2020</v>
      </c>
      <c r="Z4523" t="str">
        <f>"COS10200804 4631"</f>
        <v>COS10200804 4631</v>
      </c>
    </row>
    <row r="4524" spans="1:26" x14ac:dyDescent="0.25">
      <c r="A4524" t="str">
        <f t="shared" si="1850"/>
        <v>04-08-2020 12:50:26</v>
      </c>
      <c r="B4524" t="str">
        <f>"0000806411"</f>
        <v>0000806411</v>
      </c>
      <c r="C4524" t="str">
        <f t="shared" si="1851"/>
        <v>0000806381</v>
      </c>
      <c r="D4524" t="str">
        <f t="shared" si="1831"/>
        <v>73185</v>
      </c>
      <c r="E4524" t="str">
        <f t="shared" si="1832"/>
        <v>KFH-OPERATIONS DEPARTMENT</v>
      </c>
      <c r="F4524" t="str">
        <f t="shared" si="1833"/>
        <v>IBG</v>
      </c>
      <c r="G4524" t="str">
        <f t="shared" si="1846"/>
        <v>Refund COSHARE 10</v>
      </c>
      <c r="H4524" s="2">
        <v>1685</v>
      </c>
      <c r="I4524" t="str">
        <f>"HAMIDUN BIN RAHIM"</f>
        <v>HAMIDUN BIN RAHIM</v>
      </c>
      <c r="J4524" t="str">
        <f t="shared" si="1847"/>
        <v>MAYBANK / MAYBANK ISLAMIC</v>
      </c>
      <c r="K4524" t="str">
        <f>"110096050316"</f>
        <v>110096050316</v>
      </c>
      <c r="L4524" t="str">
        <f t="shared" si="1848"/>
        <v>04-08-2020</v>
      </c>
      <c r="M4524" t="str">
        <f t="shared" si="1848"/>
        <v>04-08-2020</v>
      </c>
      <c r="N4524" t="str">
        <f t="shared" si="1835"/>
        <v>001105018356</v>
      </c>
      <c r="O4524" t="str">
        <f t="shared" si="1836"/>
        <v>MYR</v>
      </c>
      <c r="P4524" t="str">
        <f t="shared" si="1849"/>
        <v>NIL</v>
      </c>
      <c r="Q4524" t="str">
        <f t="shared" si="1849"/>
        <v>NIL</v>
      </c>
      <c r="R4524" t="str">
        <f t="shared" si="1838"/>
        <v>Accepted</v>
      </c>
      <c r="S4524" t="str">
        <f t="shared" si="1839"/>
        <v>Approved</v>
      </c>
      <c r="T4524" t="str">
        <f t="shared" si="1840"/>
        <v>10.20.8.188</v>
      </c>
      <c r="U4524" t="str">
        <f t="shared" si="1841"/>
        <v>AZRAD UMAR BIN SHAARI</v>
      </c>
      <c r="V4524" t="str">
        <f t="shared" si="1842"/>
        <v>FARHANA BINTI MUSTAPA</v>
      </c>
      <c r="W4524" t="str">
        <f t="shared" si="1843"/>
        <v>04-08-2020</v>
      </c>
      <c r="X4524" t="str">
        <f t="shared" si="1844"/>
        <v>RAZIMAH ANSAR AHMAD</v>
      </c>
      <c r="Y4524" t="str">
        <f t="shared" si="1845"/>
        <v>04-08-2020</v>
      </c>
      <c r="Z4524" t="str">
        <f>"COS10200804 4630"</f>
        <v>COS10200804 4630</v>
      </c>
    </row>
    <row r="4525" spans="1:26" x14ac:dyDescent="0.25">
      <c r="A4525" t="str">
        <f t="shared" si="1850"/>
        <v>04-08-2020 12:50:26</v>
      </c>
      <c r="B4525" t="str">
        <f>"0000806410"</f>
        <v>0000806410</v>
      </c>
      <c r="C4525" t="str">
        <f t="shared" si="1851"/>
        <v>0000806381</v>
      </c>
      <c r="D4525" t="str">
        <f t="shared" si="1831"/>
        <v>73185</v>
      </c>
      <c r="E4525" t="str">
        <f t="shared" si="1832"/>
        <v>KFH-OPERATIONS DEPARTMENT</v>
      </c>
      <c r="F4525" t="str">
        <f t="shared" si="1833"/>
        <v>IBG</v>
      </c>
      <c r="G4525" t="str">
        <f t="shared" si="1846"/>
        <v>Refund COSHARE 10</v>
      </c>
      <c r="H4525" s="2">
        <v>125.95</v>
      </c>
      <c r="I4525" t="str">
        <f>"HAMIDAH BINTI TAUFEK"</f>
        <v>HAMIDAH BINTI TAUFEK</v>
      </c>
      <c r="J4525" t="str">
        <f t="shared" si="1847"/>
        <v>MAYBANK / MAYBANK ISLAMIC</v>
      </c>
      <c r="K4525" t="str">
        <f>"161136311841"</f>
        <v>161136311841</v>
      </c>
      <c r="L4525" t="str">
        <f t="shared" si="1848"/>
        <v>04-08-2020</v>
      </c>
      <c r="M4525" t="str">
        <f t="shared" si="1848"/>
        <v>04-08-2020</v>
      </c>
      <c r="N4525" t="str">
        <f t="shared" si="1835"/>
        <v>001105018356</v>
      </c>
      <c r="O4525" t="str">
        <f t="shared" si="1836"/>
        <v>MYR</v>
      </c>
      <c r="P4525" t="str">
        <f t="shared" si="1849"/>
        <v>NIL</v>
      </c>
      <c r="Q4525" t="str">
        <f t="shared" si="1849"/>
        <v>NIL</v>
      </c>
      <c r="R4525" t="str">
        <f t="shared" si="1838"/>
        <v>Accepted</v>
      </c>
      <c r="S4525" t="str">
        <f t="shared" si="1839"/>
        <v>Approved</v>
      </c>
      <c r="T4525" t="str">
        <f t="shared" si="1840"/>
        <v>10.20.8.188</v>
      </c>
      <c r="U4525" t="str">
        <f t="shared" si="1841"/>
        <v>AZRAD UMAR BIN SHAARI</v>
      </c>
      <c r="V4525" t="str">
        <f t="shared" si="1842"/>
        <v>FARHANA BINTI MUSTAPA</v>
      </c>
      <c r="W4525" t="str">
        <f t="shared" si="1843"/>
        <v>04-08-2020</v>
      </c>
      <c r="X4525" t="str">
        <f t="shared" si="1844"/>
        <v>RAZIMAH ANSAR AHMAD</v>
      </c>
      <c r="Y4525" t="str">
        <f t="shared" si="1845"/>
        <v>04-08-2020</v>
      </c>
      <c r="Z4525" t="str">
        <f>"COS10200804 4629"</f>
        <v>COS10200804 4629</v>
      </c>
    </row>
    <row r="4526" spans="1:26" x14ac:dyDescent="0.25">
      <c r="A4526" t="str">
        <f t="shared" si="1850"/>
        <v>04-08-2020 12:50:26</v>
      </c>
      <c r="B4526" t="str">
        <f>"0000806409"</f>
        <v>0000806409</v>
      </c>
      <c r="C4526" t="str">
        <f t="shared" si="1851"/>
        <v>0000806381</v>
      </c>
      <c r="D4526" t="str">
        <f t="shared" si="1831"/>
        <v>73185</v>
      </c>
      <c r="E4526" t="str">
        <f t="shared" si="1832"/>
        <v>KFH-OPERATIONS DEPARTMENT</v>
      </c>
      <c r="F4526" t="str">
        <f t="shared" si="1833"/>
        <v>IBG</v>
      </c>
      <c r="G4526" t="str">
        <f t="shared" si="1846"/>
        <v>Refund COSHARE 10</v>
      </c>
      <c r="H4526" s="2">
        <v>1007.4</v>
      </c>
      <c r="I4526" t="str">
        <f>"HAMIDAH BINTI SAIAT"</f>
        <v>HAMIDAH BINTI SAIAT</v>
      </c>
      <c r="J4526" t="str">
        <f t="shared" si="1847"/>
        <v>MAYBANK / MAYBANK ISLAMIC</v>
      </c>
      <c r="K4526" t="str">
        <f>"162375643158"</f>
        <v>162375643158</v>
      </c>
      <c r="L4526" t="str">
        <f t="shared" si="1848"/>
        <v>04-08-2020</v>
      </c>
      <c r="M4526" t="str">
        <f t="shared" si="1848"/>
        <v>04-08-2020</v>
      </c>
      <c r="N4526" t="str">
        <f t="shared" si="1835"/>
        <v>001105018356</v>
      </c>
      <c r="O4526" t="str">
        <f t="shared" si="1836"/>
        <v>MYR</v>
      </c>
      <c r="P4526" t="str">
        <f t="shared" si="1849"/>
        <v>NIL</v>
      </c>
      <c r="Q4526" t="str">
        <f t="shared" si="1849"/>
        <v>NIL</v>
      </c>
      <c r="R4526" t="str">
        <f t="shared" si="1838"/>
        <v>Accepted</v>
      </c>
      <c r="S4526" t="str">
        <f t="shared" si="1839"/>
        <v>Approved</v>
      </c>
      <c r="T4526" t="str">
        <f t="shared" si="1840"/>
        <v>10.20.8.188</v>
      </c>
      <c r="U4526" t="str">
        <f t="shared" si="1841"/>
        <v>AZRAD UMAR BIN SHAARI</v>
      </c>
      <c r="V4526" t="str">
        <f t="shared" si="1842"/>
        <v>FARHANA BINTI MUSTAPA</v>
      </c>
      <c r="W4526" t="str">
        <f t="shared" si="1843"/>
        <v>04-08-2020</v>
      </c>
      <c r="X4526" t="str">
        <f t="shared" si="1844"/>
        <v>RAZIMAH ANSAR AHMAD</v>
      </c>
      <c r="Y4526" t="str">
        <f t="shared" si="1845"/>
        <v>04-08-2020</v>
      </c>
      <c r="Z4526" t="str">
        <f>"COS10200804 4628"</f>
        <v>COS10200804 4628</v>
      </c>
    </row>
    <row r="4527" spans="1:26" x14ac:dyDescent="0.25">
      <c r="A4527" t="str">
        <f t="shared" si="1850"/>
        <v>04-08-2020 12:50:26</v>
      </c>
      <c r="B4527" t="str">
        <f>"0000806408"</f>
        <v>0000806408</v>
      </c>
      <c r="C4527" t="str">
        <f t="shared" si="1851"/>
        <v>0000806381</v>
      </c>
      <c r="D4527" t="str">
        <f t="shared" si="1831"/>
        <v>73185</v>
      </c>
      <c r="E4527" t="str">
        <f t="shared" si="1832"/>
        <v>KFH-OPERATIONS DEPARTMENT</v>
      </c>
      <c r="F4527" t="str">
        <f t="shared" si="1833"/>
        <v>IBG</v>
      </c>
      <c r="G4527" t="str">
        <f t="shared" si="1846"/>
        <v>Refund COSHARE 10</v>
      </c>
      <c r="H4527" s="2">
        <v>792.9</v>
      </c>
      <c r="I4527" t="str">
        <f>"HAMIDAH BINTI DOLMAT"</f>
        <v>HAMIDAH BINTI DOLMAT</v>
      </c>
      <c r="J4527" t="str">
        <f t="shared" si="1847"/>
        <v>MAYBANK / MAYBANK ISLAMIC</v>
      </c>
      <c r="K4527" t="str">
        <f>"154053006740"</f>
        <v>154053006740</v>
      </c>
      <c r="L4527" t="str">
        <f t="shared" ref="L4527:M4546" si="1852">"04-08-2020"</f>
        <v>04-08-2020</v>
      </c>
      <c r="M4527" t="str">
        <f t="shared" si="1852"/>
        <v>04-08-2020</v>
      </c>
      <c r="N4527" t="str">
        <f t="shared" si="1835"/>
        <v>001105018356</v>
      </c>
      <c r="O4527" t="str">
        <f t="shared" si="1836"/>
        <v>MYR</v>
      </c>
      <c r="P4527" t="str">
        <f t="shared" ref="P4527:Q4546" si="1853">"NIL"</f>
        <v>NIL</v>
      </c>
      <c r="Q4527" t="str">
        <f t="shared" si="1853"/>
        <v>NIL</v>
      </c>
      <c r="R4527" t="str">
        <f t="shared" si="1838"/>
        <v>Accepted</v>
      </c>
      <c r="S4527" t="str">
        <f t="shared" si="1839"/>
        <v>Approved</v>
      </c>
      <c r="T4527" t="str">
        <f t="shared" si="1840"/>
        <v>10.20.8.188</v>
      </c>
      <c r="U4527" t="str">
        <f t="shared" si="1841"/>
        <v>AZRAD UMAR BIN SHAARI</v>
      </c>
      <c r="V4527" t="str">
        <f t="shared" si="1842"/>
        <v>FARHANA BINTI MUSTAPA</v>
      </c>
      <c r="W4527" t="str">
        <f t="shared" si="1843"/>
        <v>04-08-2020</v>
      </c>
      <c r="X4527" t="str">
        <f t="shared" si="1844"/>
        <v>RAZIMAH ANSAR AHMAD</v>
      </c>
      <c r="Y4527" t="str">
        <f t="shared" si="1845"/>
        <v>04-08-2020</v>
      </c>
      <c r="Z4527" t="str">
        <f>"COS10200804 4627"</f>
        <v>COS10200804 4627</v>
      </c>
    </row>
    <row r="4528" spans="1:26" x14ac:dyDescent="0.25">
      <c r="A4528" t="str">
        <f t="shared" si="1850"/>
        <v>04-08-2020 12:50:26</v>
      </c>
      <c r="B4528" t="str">
        <f>"0000806407"</f>
        <v>0000806407</v>
      </c>
      <c r="C4528" t="str">
        <f t="shared" si="1851"/>
        <v>0000806381</v>
      </c>
      <c r="D4528" t="str">
        <f t="shared" si="1831"/>
        <v>73185</v>
      </c>
      <c r="E4528" t="str">
        <f t="shared" si="1832"/>
        <v>KFH-OPERATIONS DEPARTMENT</v>
      </c>
      <c r="F4528" t="str">
        <f t="shared" si="1833"/>
        <v>IBG</v>
      </c>
      <c r="G4528" t="str">
        <f t="shared" si="1846"/>
        <v>Refund COSHARE 10</v>
      </c>
      <c r="H4528" s="2">
        <v>67.2</v>
      </c>
      <c r="I4528" t="str">
        <f>"HAMIDAH BINTI AHMAD"</f>
        <v>HAMIDAH BINTI AHMAD</v>
      </c>
      <c r="J4528" t="str">
        <f t="shared" si="1847"/>
        <v>MAYBANK / MAYBANK ISLAMIC</v>
      </c>
      <c r="K4528" t="str">
        <f>"151025628408"</f>
        <v>151025628408</v>
      </c>
      <c r="L4528" t="str">
        <f t="shared" si="1852"/>
        <v>04-08-2020</v>
      </c>
      <c r="M4528" t="str">
        <f t="shared" si="1852"/>
        <v>04-08-2020</v>
      </c>
      <c r="N4528" t="str">
        <f t="shared" si="1835"/>
        <v>001105018356</v>
      </c>
      <c r="O4528" t="str">
        <f t="shared" si="1836"/>
        <v>MYR</v>
      </c>
      <c r="P4528" t="str">
        <f t="shared" si="1853"/>
        <v>NIL</v>
      </c>
      <c r="Q4528" t="str">
        <f t="shared" si="1853"/>
        <v>NIL</v>
      </c>
      <c r="R4528" t="str">
        <f t="shared" si="1838"/>
        <v>Accepted</v>
      </c>
      <c r="S4528" t="str">
        <f t="shared" si="1839"/>
        <v>Approved</v>
      </c>
      <c r="T4528" t="str">
        <f t="shared" si="1840"/>
        <v>10.20.8.188</v>
      </c>
      <c r="U4528" t="str">
        <f t="shared" si="1841"/>
        <v>AZRAD UMAR BIN SHAARI</v>
      </c>
      <c r="V4528" t="str">
        <f t="shared" si="1842"/>
        <v>FARHANA BINTI MUSTAPA</v>
      </c>
      <c r="W4528" t="str">
        <f t="shared" si="1843"/>
        <v>04-08-2020</v>
      </c>
      <c r="X4528" t="str">
        <f t="shared" si="1844"/>
        <v>RAZIMAH ANSAR AHMAD</v>
      </c>
      <c r="Y4528" t="str">
        <f t="shared" si="1845"/>
        <v>04-08-2020</v>
      </c>
      <c r="Z4528" t="str">
        <f>"COS10200804 4626"</f>
        <v>COS10200804 4626</v>
      </c>
    </row>
    <row r="4529" spans="1:26" x14ac:dyDescent="0.25">
      <c r="A4529" t="str">
        <f t="shared" si="1850"/>
        <v>04-08-2020 12:50:26</v>
      </c>
      <c r="B4529" t="str">
        <f>"0000806406"</f>
        <v>0000806406</v>
      </c>
      <c r="C4529" t="str">
        <f t="shared" si="1851"/>
        <v>0000806381</v>
      </c>
      <c r="D4529" t="str">
        <f t="shared" si="1831"/>
        <v>73185</v>
      </c>
      <c r="E4529" t="str">
        <f t="shared" si="1832"/>
        <v>KFH-OPERATIONS DEPARTMENT</v>
      </c>
      <c r="F4529" t="str">
        <f t="shared" si="1833"/>
        <v>IBG</v>
      </c>
      <c r="G4529" t="str">
        <f t="shared" si="1846"/>
        <v>Refund COSHARE 10</v>
      </c>
      <c r="H4529" s="2">
        <v>167.9</v>
      </c>
      <c r="I4529" t="str">
        <f>"HAMIDAH BINTI ABDUL HAMID"</f>
        <v>HAMIDAH BINTI ABDUL HAMID</v>
      </c>
      <c r="J4529" t="str">
        <f t="shared" si="1847"/>
        <v>MAYBANK / MAYBANK ISLAMIC</v>
      </c>
      <c r="K4529" t="str">
        <f>"157054660160"</f>
        <v>157054660160</v>
      </c>
      <c r="L4529" t="str">
        <f t="shared" si="1852"/>
        <v>04-08-2020</v>
      </c>
      <c r="M4529" t="str">
        <f t="shared" si="1852"/>
        <v>04-08-2020</v>
      </c>
      <c r="N4529" t="str">
        <f t="shared" si="1835"/>
        <v>001105018356</v>
      </c>
      <c r="O4529" t="str">
        <f t="shared" si="1836"/>
        <v>MYR</v>
      </c>
      <c r="P4529" t="str">
        <f t="shared" si="1853"/>
        <v>NIL</v>
      </c>
      <c r="Q4529" t="str">
        <f t="shared" si="1853"/>
        <v>NIL</v>
      </c>
      <c r="R4529" t="str">
        <f t="shared" si="1838"/>
        <v>Accepted</v>
      </c>
      <c r="S4529" t="str">
        <f t="shared" si="1839"/>
        <v>Approved</v>
      </c>
      <c r="T4529" t="str">
        <f t="shared" si="1840"/>
        <v>10.20.8.188</v>
      </c>
      <c r="U4529" t="str">
        <f t="shared" si="1841"/>
        <v>AZRAD UMAR BIN SHAARI</v>
      </c>
      <c r="V4529" t="str">
        <f t="shared" si="1842"/>
        <v>FARHANA BINTI MUSTAPA</v>
      </c>
      <c r="W4529" t="str">
        <f t="shared" si="1843"/>
        <v>04-08-2020</v>
      </c>
      <c r="X4529" t="str">
        <f t="shared" si="1844"/>
        <v>RAZIMAH ANSAR AHMAD</v>
      </c>
      <c r="Y4529" t="str">
        <f t="shared" si="1845"/>
        <v>04-08-2020</v>
      </c>
      <c r="Z4529" t="str">
        <f>"COS10200804 4625"</f>
        <v>COS10200804 4625</v>
      </c>
    </row>
    <row r="4530" spans="1:26" x14ac:dyDescent="0.25">
      <c r="A4530" t="str">
        <f t="shared" si="1850"/>
        <v>04-08-2020 12:50:26</v>
      </c>
      <c r="B4530" t="str">
        <f>"0000806405"</f>
        <v>0000806405</v>
      </c>
      <c r="C4530" t="str">
        <f t="shared" si="1851"/>
        <v>0000806381</v>
      </c>
      <c r="D4530" t="str">
        <f t="shared" si="1831"/>
        <v>73185</v>
      </c>
      <c r="E4530" t="str">
        <f t="shared" si="1832"/>
        <v>KFH-OPERATIONS DEPARTMENT</v>
      </c>
      <c r="F4530" t="str">
        <f t="shared" si="1833"/>
        <v>IBG</v>
      </c>
      <c r="G4530" t="str">
        <f t="shared" si="1846"/>
        <v>Refund COSHARE 10</v>
      </c>
      <c r="H4530" s="2">
        <v>583.85</v>
      </c>
      <c r="I4530" t="str">
        <f>"HAMID BIN KAIRAN"</f>
        <v>HAMID BIN KAIRAN</v>
      </c>
      <c r="J4530" t="str">
        <f t="shared" si="1847"/>
        <v>MAYBANK / MAYBANK ISLAMIC</v>
      </c>
      <c r="K4530" t="str">
        <f>"112193011186"</f>
        <v>112193011186</v>
      </c>
      <c r="L4530" t="str">
        <f t="shared" si="1852"/>
        <v>04-08-2020</v>
      </c>
      <c r="M4530" t="str">
        <f t="shared" si="1852"/>
        <v>04-08-2020</v>
      </c>
      <c r="N4530" t="str">
        <f t="shared" si="1835"/>
        <v>001105018356</v>
      </c>
      <c r="O4530" t="str">
        <f t="shared" si="1836"/>
        <v>MYR</v>
      </c>
      <c r="P4530" t="str">
        <f t="shared" si="1853"/>
        <v>NIL</v>
      </c>
      <c r="Q4530" t="str">
        <f t="shared" si="1853"/>
        <v>NIL</v>
      </c>
      <c r="R4530" t="str">
        <f t="shared" si="1838"/>
        <v>Accepted</v>
      </c>
      <c r="S4530" t="str">
        <f t="shared" si="1839"/>
        <v>Approved</v>
      </c>
      <c r="T4530" t="str">
        <f t="shared" si="1840"/>
        <v>10.20.8.188</v>
      </c>
      <c r="U4530" t="str">
        <f t="shared" si="1841"/>
        <v>AZRAD UMAR BIN SHAARI</v>
      </c>
      <c r="V4530" t="str">
        <f t="shared" si="1842"/>
        <v>FARHANA BINTI MUSTAPA</v>
      </c>
      <c r="W4530" t="str">
        <f t="shared" si="1843"/>
        <v>04-08-2020</v>
      </c>
      <c r="X4530" t="str">
        <f t="shared" si="1844"/>
        <v>RAZIMAH ANSAR AHMAD</v>
      </c>
      <c r="Y4530" t="str">
        <f t="shared" si="1845"/>
        <v>04-08-2020</v>
      </c>
      <c r="Z4530" t="str">
        <f>"COS10200804 4624"</f>
        <v>COS10200804 4624</v>
      </c>
    </row>
    <row r="4531" spans="1:26" x14ac:dyDescent="0.25">
      <c r="A4531" t="str">
        <f t="shared" si="1850"/>
        <v>04-08-2020 12:50:26</v>
      </c>
      <c r="B4531" t="str">
        <f>"0000806404"</f>
        <v>0000806404</v>
      </c>
      <c r="C4531" t="str">
        <f t="shared" si="1851"/>
        <v>0000806381</v>
      </c>
      <c r="D4531" t="str">
        <f t="shared" si="1831"/>
        <v>73185</v>
      </c>
      <c r="E4531" t="str">
        <f t="shared" si="1832"/>
        <v>KFH-OPERATIONS DEPARTMENT</v>
      </c>
      <c r="F4531" t="str">
        <f t="shared" si="1833"/>
        <v>IBG</v>
      </c>
      <c r="G4531" t="str">
        <f t="shared" si="1846"/>
        <v>Refund COSHARE 10</v>
      </c>
      <c r="H4531" s="2">
        <v>321.2</v>
      </c>
      <c r="I4531" t="str">
        <f>"HALIZA BINTI MOHD RAZALI"</f>
        <v>HALIZA BINTI MOHD RAZALI</v>
      </c>
      <c r="J4531" t="str">
        <f t="shared" si="1847"/>
        <v>MAYBANK / MAYBANK ISLAMIC</v>
      </c>
      <c r="K4531" t="str">
        <f>"105028342064"</f>
        <v>105028342064</v>
      </c>
      <c r="L4531" t="str">
        <f t="shared" si="1852"/>
        <v>04-08-2020</v>
      </c>
      <c r="M4531" t="str">
        <f t="shared" si="1852"/>
        <v>04-08-2020</v>
      </c>
      <c r="N4531" t="str">
        <f t="shared" si="1835"/>
        <v>001105018356</v>
      </c>
      <c r="O4531" t="str">
        <f t="shared" si="1836"/>
        <v>MYR</v>
      </c>
      <c r="P4531" t="str">
        <f t="shared" si="1853"/>
        <v>NIL</v>
      </c>
      <c r="Q4531" t="str">
        <f t="shared" si="1853"/>
        <v>NIL</v>
      </c>
      <c r="R4531" t="str">
        <f t="shared" si="1838"/>
        <v>Accepted</v>
      </c>
      <c r="S4531" t="str">
        <f t="shared" si="1839"/>
        <v>Approved</v>
      </c>
      <c r="T4531" t="str">
        <f t="shared" si="1840"/>
        <v>10.20.8.188</v>
      </c>
      <c r="U4531" t="str">
        <f t="shared" si="1841"/>
        <v>AZRAD UMAR BIN SHAARI</v>
      </c>
      <c r="V4531" t="str">
        <f t="shared" si="1842"/>
        <v>FARHANA BINTI MUSTAPA</v>
      </c>
      <c r="W4531" t="str">
        <f t="shared" si="1843"/>
        <v>04-08-2020</v>
      </c>
      <c r="X4531" t="str">
        <f t="shared" si="1844"/>
        <v>RAZIMAH ANSAR AHMAD</v>
      </c>
      <c r="Y4531" t="str">
        <f t="shared" si="1845"/>
        <v>04-08-2020</v>
      </c>
      <c r="Z4531" t="str">
        <f>"COS10200804 4623"</f>
        <v>COS10200804 4623</v>
      </c>
    </row>
    <row r="4532" spans="1:26" x14ac:dyDescent="0.25">
      <c r="A4532" t="str">
        <f t="shared" si="1850"/>
        <v>04-08-2020 12:50:26</v>
      </c>
      <c r="B4532" t="str">
        <f>"0000806403"</f>
        <v>0000806403</v>
      </c>
      <c r="C4532" t="str">
        <f t="shared" si="1851"/>
        <v>0000806381</v>
      </c>
      <c r="D4532" t="str">
        <f t="shared" si="1831"/>
        <v>73185</v>
      </c>
      <c r="E4532" t="str">
        <f t="shared" si="1832"/>
        <v>KFH-OPERATIONS DEPARTMENT</v>
      </c>
      <c r="F4532" t="str">
        <f t="shared" si="1833"/>
        <v>IBG</v>
      </c>
      <c r="G4532" t="str">
        <f t="shared" si="1846"/>
        <v>Refund COSHARE 10</v>
      </c>
      <c r="H4532" s="2">
        <v>398</v>
      </c>
      <c r="I4532" t="str">
        <f>"HALIZA BINTI KHALID"</f>
        <v>HALIZA BINTI KHALID</v>
      </c>
      <c r="J4532" t="str">
        <f t="shared" si="1847"/>
        <v>MAYBANK / MAYBANK ISLAMIC</v>
      </c>
      <c r="K4532" t="str">
        <f>"102036414934"</f>
        <v>102036414934</v>
      </c>
      <c r="L4532" t="str">
        <f t="shared" si="1852"/>
        <v>04-08-2020</v>
      </c>
      <c r="M4532" t="str">
        <f t="shared" si="1852"/>
        <v>04-08-2020</v>
      </c>
      <c r="N4532" t="str">
        <f t="shared" si="1835"/>
        <v>001105018356</v>
      </c>
      <c r="O4532" t="str">
        <f t="shared" si="1836"/>
        <v>MYR</v>
      </c>
      <c r="P4532" t="str">
        <f t="shared" si="1853"/>
        <v>NIL</v>
      </c>
      <c r="Q4532" t="str">
        <f t="shared" si="1853"/>
        <v>NIL</v>
      </c>
      <c r="R4532" t="str">
        <f t="shared" si="1838"/>
        <v>Accepted</v>
      </c>
      <c r="S4532" t="str">
        <f t="shared" si="1839"/>
        <v>Approved</v>
      </c>
      <c r="T4532" t="str">
        <f t="shared" si="1840"/>
        <v>10.20.8.188</v>
      </c>
      <c r="U4532" t="str">
        <f t="shared" si="1841"/>
        <v>AZRAD UMAR BIN SHAARI</v>
      </c>
      <c r="V4532" t="str">
        <f t="shared" si="1842"/>
        <v>FARHANA BINTI MUSTAPA</v>
      </c>
      <c r="W4532" t="str">
        <f t="shared" si="1843"/>
        <v>04-08-2020</v>
      </c>
      <c r="X4532" t="str">
        <f t="shared" si="1844"/>
        <v>RAZIMAH ANSAR AHMAD</v>
      </c>
      <c r="Y4532" t="str">
        <f t="shared" si="1845"/>
        <v>04-08-2020</v>
      </c>
      <c r="Z4532" t="str">
        <f>"COS10200804 4622"</f>
        <v>COS10200804 4622</v>
      </c>
    </row>
    <row r="4533" spans="1:26" x14ac:dyDescent="0.25">
      <c r="A4533" t="str">
        <f t="shared" si="1850"/>
        <v>04-08-2020 12:50:26</v>
      </c>
      <c r="B4533" t="str">
        <f>"0000806402"</f>
        <v>0000806402</v>
      </c>
      <c r="C4533" t="str">
        <f t="shared" si="1851"/>
        <v>0000806381</v>
      </c>
      <c r="D4533" t="str">
        <f t="shared" si="1831"/>
        <v>73185</v>
      </c>
      <c r="E4533" t="str">
        <f t="shared" si="1832"/>
        <v>KFH-OPERATIONS DEPARTMENT</v>
      </c>
      <c r="F4533" t="str">
        <f t="shared" si="1833"/>
        <v>IBG</v>
      </c>
      <c r="G4533" t="str">
        <f t="shared" si="1846"/>
        <v>Refund COSHARE 10</v>
      </c>
      <c r="H4533" s="2">
        <v>201.3</v>
      </c>
      <c r="I4533" t="str">
        <f>"HALISAH BINTI MOKTAR  MOHTAR"</f>
        <v>HALISAH BINTI MOKTAR  MOHTAR</v>
      </c>
      <c r="J4533" t="str">
        <f t="shared" si="1847"/>
        <v>MAYBANK / MAYBANK ISLAMIC</v>
      </c>
      <c r="K4533" t="str">
        <f>"101310009621"</f>
        <v>101310009621</v>
      </c>
      <c r="L4533" t="str">
        <f t="shared" si="1852"/>
        <v>04-08-2020</v>
      </c>
      <c r="M4533" t="str">
        <f t="shared" si="1852"/>
        <v>04-08-2020</v>
      </c>
      <c r="N4533" t="str">
        <f t="shared" si="1835"/>
        <v>001105018356</v>
      </c>
      <c r="O4533" t="str">
        <f t="shared" si="1836"/>
        <v>MYR</v>
      </c>
      <c r="P4533" t="str">
        <f t="shared" si="1853"/>
        <v>NIL</v>
      </c>
      <c r="Q4533" t="str">
        <f t="shared" si="1853"/>
        <v>NIL</v>
      </c>
      <c r="R4533" t="str">
        <f t="shared" si="1838"/>
        <v>Accepted</v>
      </c>
      <c r="S4533" t="str">
        <f t="shared" si="1839"/>
        <v>Approved</v>
      </c>
      <c r="T4533" t="str">
        <f t="shared" si="1840"/>
        <v>10.20.8.188</v>
      </c>
      <c r="U4533" t="str">
        <f t="shared" si="1841"/>
        <v>AZRAD UMAR BIN SHAARI</v>
      </c>
      <c r="V4533" t="str">
        <f t="shared" si="1842"/>
        <v>FARHANA BINTI MUSTAPA</v>
      </c>
      <c r="W4533" t="str">
        <f t="shared" si="1843"/>
        <v>04-08-2020</v>
      </c>
      <c r="X4533" t="str">
        <f t="shared" si="1844"/>
        <v>RAZIMAH ANSAR AHMAD</v>
      </c>
      <c r="Y4533" t="str">
        <f t="shared" si="1845"/>
        <v>04-08-2020</v>
      </c>
      <c r="Z4533" t="str">
        <f>"COS10200804 4621"</f>
        <v>COS10200804 4621</v>
      </c>
    </row>
    <row r="4534" spans="1:26" x14ac:dyDescent="0.25">
      <c r="A4534" t="str">
        <f t="shared" si="1850"/>
        <v>04-08-2020 12:50:26</v>
      </c>
      <c r="B4534" t="str">
        <f>"0000806401"</f>
        <v>0000806401</v>
      </c>
      <c r="C4534" t="str">
        <f t="shared" si="1851"/>
        <v>0000806381</v>
      </c>
      <c r="D4534" t="str">
        <f t="shared" si="1831"/>
        <v>73185</v>
      </c>
      <c r="E4534" t="str">
        <f t="shared" si="1832"/>
        <v>KFH-OPERATIONS DEPARTMENT</v>
      </c>
      <c r="F4534" t="str">
        <f t="shared" si="1833"/>
        <v>IBG</v>
      </c>
      <c r="G4534" t="str">
        <f t="shared" si="1846"/>
        <v>Refund COSHARE 10</v>
      </c>
      <c r="H4534" s="2">
        <v>125.95</v>
      </c>
      <c r="I4534" t="str">
        <f>"HALISAH BINTI KHALID"</f>
        <v>HALISAH BINTI KHALID</v>
      </c>
      <c r="J4534" t="str">
        <f t="shared" si="1847"/>
        <v>MAYBANK / MAYBANK ISLAMIC</v>
      </c>
      <c r="K4534" t="str">
        <f>"154026541381"</f>
        <v>154026541381</v>
      </c>
      <c r="L4534" t="str">
        <f t="shared" si="1852"/>
        <v>04-08-2020</v>
      </c>
      <c r="M4534" t="str">
        <f t="shared" si="1852"/>
        <v>04-08-2020</v>
      </c>
      <c r="N4534" t="str">
        <f t="shared" si="1835"/>
        <v>001105018356</v>
      </c>
      <c r="O4534" t="str">
        <f t="shared" si="1836"/>
        <v>MYR</v>
      </c>
      <c r="P4534" t="str">
        <f t="shared" si="1853"/>
        <v>NIL</v>
      </c>
      <c r="Q4534" t="str">
        <f t="shared" si="1853"/>
        <v>NIL</v>
      </c>
      <c r="R4534" t="str">
        <f t="shared" si="1838"/>
        <v>Accepted</v>
      </c>
      <c r="S4534" t="str">
        <f t="shared" si="1839"/>
        <v>Approved</v>
      </c>
      <c r="T4534" t="str">
        <f t="shared" si="1840"/>
        <v>10.20.8.188</v>
      </c>
      <c r="U4534" t="str">
        <f t="shared" si="1841"/>
        <v>AZRAD UMAR BIN SHAARI</v>
      </c>
      <c r="V4534" t="str">
        <f t="shared" si="1842"/>
        <v>FARHANA BINTI MUSTAPA</v>
      </c>
      <c r="W4534" t="str">
        <f t="shared" si="1843"/>
        <v>04-08-2020</v>
      </c>
      <c r="X4534" t="str">
        <f t="shared" si="1844"/>
        <v>RAZIMAH ANSAR AHMAD</v>
      </c>
      <c r="Y4534" t="str">
        <f t="shared" si="1845"/>
        <v>04-08-2020</v>
      </c>
      <c r="Z4534" t="str">
        <f>"COS10200804 4620"</f>
        <v>COS10200804 4620</v>
      </c>
    </row>
    <row r="4535" spans="1:26" x14ac:dyDescent="0.25">
      <c r="A4535" t="str">
        <f t="shared" si="1850"/>
        <v>04-08-2020 12:50:26</v>
      </c>
      <c r="B4535" t="str">
        <f>"0000806400"</f>
        <v>0000806400</v>
      </c>
      <c r="C4535" t="str">
        <f t="shared" si="1851"/>
        <v>0000806381</v>
      </c>
      <c r="D4535" t="str">
        <f t="shared" si="1831"/>
        <v>73185</v>
      </c>
      <c r="E4535" t="str">
        <f t="shared" si="1832"/>
        <v>KFH-OPERATIONS DEPARTMENT</v>
      </c>
      <c r="F4535" t="str">
        <f t="shared" si="1833"/>
        <v>IBG</v>
      </c>
      <c r="G4535" t="str">
        <f t="shared" si="1846"/>
        <v>Refund COSHARE 10</v>
      </c>
      <c r="H4535" s="2">
        <v>67</v>
      </c>
      <c r="I4535" t="str">
        <f>"HALINDA BINTI HALSEY"</f>
        <v>HALINDA BINTI HALSEY</v>
      </c>
      <c r="J4535" t="str">
        <f t="shared" si="1847"/>
        <v>MAYBANK / MAYBANK ISLAMIC</v>
      </c>
      <c r="K4535" t="str">
        <f>"110023177267"</f>
        <v>110023177267</v>
      </c>
      <c r="L4535" t="str">
        <f t="shared" si="1852"/>
        <v>04-08-2020</v>
      </c>
      <c r="M4535" t="str">
        <f t="shared" si="1852"/>
        <v>04-08-2020</v>
      </c>
      <c r="N4535" t="str">
        <f t="shared" si="1835"/>
        <v>001105018356</v>
      </c>
      <c r="O4535" t="str">
        <f t="shared" si="1836"/>
        <v>MYR</v>
      </c>
      <c r="P4535" t="str">
        <f t="shared" si="1853"/>
        <v>NIL</v>
      </c>
      <c r="Q4535" t="str">
        <f t="shared" si="1853"/>
        <v>NIL</v>
      </c>
      <c r="R4535" t="str">
        <f t="shared" si="1838"/>
        <v>Accepted</v>
      </c>
      <c r="S4535" t="str">
        <f t="shared" si="1839"/>
        <v>Approved</v>
      </c>
      <c r="T4535" t="str">
        <f t="shared" si="1840"/>
        <v>10.20.8.188</v>
      </c>
      <c r="U4535" t="str">
        <f t="shared" si="1841"/>
        <v>AZRAD UMAR BIN SHAARI</v>
      </c>
      <c r="V4535" t="str">
        <f t="shared" si="1842"/>
        <v>FARHANA BINTI MUSTAPA</v>
      </c>
      <c r="W4535" t="str">
        <f t="shared" si="1843"/>
        <v>04-08-2020</v>
      </c>
      <c r="X4535" t="str">
        <f t="shared" si="1844"/>
        <v>RAZIMAH ANSAR AHMAD</v>
      </c>
      <c r="Y4535" t="str">
        <f t="shared" si="1845"/>
        <v>04-08-2020</v>
      </c>
      <c r="Z4535" t="str">
        <f>"COS10200804 4619"</f>
        <v>COS10200804 4619</v>
      </c>
    </row>
    <row r="4536" spans="1:26" x14ac:dyDescent="0.25">
      <c r="A4536" t="str">
        <f t="shared" si="1850"/>
        <v>04-08-2020 12:50:26</v>
      </c>
      <c r="B4536" t="str">
        <f>"0000806399"</f>
        <v>0000806399</v>
      </c>
      <c r="C4536" t="str">
        <f t="shared" si="1851"/>
        <v>0000806381</v>
      </c>
      <c r="D4536" t="str">
        <f t="shared" si="1831"/>
        <v>73185</v>
      </c>
      <c r="E4536" t="str">
        <f t="shared" si="1832"/>
        <v>KFH-OPERATIONS DEPARTMENT</v>
      </c>
      <c r="F4536" t="str">
        <f t="shared" si="1833"/>
        <v>IBG</v>
      </c>
      <c r="G4536" t="str">
        <f t="shared" si="1846"/>
        <v>Refund COSHARE 10</v>
      </c>
      <c r="H4536" s="2">
        <v>977</v>
      </c>
      <c r="I4536" t="str">
        <f>"HALINA BINTI ABDUL HAMID"</f>
        <v>HALINA BINTI ABDUL HAMID</v>
      </c>
      <c r="J4536" t="str">
        <f t="shared" si="1847"/>
        <v>MAYBANK / MAYBANK ISLAMIC</v>
      </c>
      <c r="K4536" t="str">
        <f>"105028330441"</f>
        <v>105028330441</v>
      </c>
      <c r="L4536" t="str">
        <f t="shared" si="1852"/>
        <v>04-08-2020</v>
      </c>
      <c r="M4536" t="str">
        <f t="shared" si="1852"/>
        <v>04-08-2020</v>
      </c>
      <c r="N4536" t="str">
        <f t="shared" si="1835"/>
        <v>001105018356</v>
      </c>
      <c r="O4536" t="str">
        <f t="shared" si="1836"/>
        <v>MYR</v>
      </c>
      <c r="P4536" t="str">
        <f t="shared" si="1853"/>
        <v>NIL</v>
      </c>
      <c r="Q4536" t="str">
        <f t="shared" si="1853"/>
        <v>NIL</v>
      </c>
      <c r="R4536" t="str">
        <f t="shared" si="1838"/>
        <v>Accepted</v>
      </c>
      <c r="S4536" t="str">
        <f t="shared" si="1839"/>
        <v>Approved</v>
      </c>
      <c r="T4536" t="str">
        <f t="shared" si="1840"/>
        <v>10.20.8.188</v>
      </c>
      <c r="U4536" t="str">
        <f t="shared" si="1841"/>
        <v>AZRAD UMAR BIN SHAARI</v>
      </c>
      <c r="V4536" t="str">
        <f t="shared" si="1842"/>
        <v>FARHANA BINTI MUSTAPA</v>
      </c>
      <c r="W4536" t="str">
        <f t="shared" si="1843"/>
        <v>04-08-2020</v>
      </c>
      <c r="X4536" t="str">
        <f t="shared" si="1844"/>
        <v>RAZIMAH ANSAR AHMAD</v>
      </c>
      <c r="Y4536" t="str">
        <f t="shared" si="1845"/>
        <v>04-08-2020</v>
      </c>
      <c r="Z4536" t="str">
        <f>"COS10200804 4618"</f>
        <v>COS10200804 4618</v>
      </c>
    </row>
    <row r="4537" spans="1:26" x14ac:dyDescent="0.25">
      <c r="A4537" t="str">
        <f t="shared" si="1850"/>
        <v>04-08-2020 12:50:26</v>
      </c>
      <c r="B4537" t="str">
        <f>"0000806398"</f>
        <v>0000806398</v>
      </c>
      <c r="C4537" t="str">
        <f t="shared" si="1851"/>
        <v>0000806381</v>
      </c>
      <c r="D4537" t="str">
        <f t="shared" si="1831"/>
        <v>73185</v>
      </c>
      <c r="E4537" t="str">
        <f t="shared" si="1832"/>
        <v>KFH-OPERATIONS DEPARTMENT</v>
      </c>
      <c r="F4537" t="str">
        <f t="shared" si="1833"/>
        <v>IBG</v>
      </c>
      <c r="G4537" t="str">
        <f t="shared" si="1846"/>
        <v>Refund COSHARE 10</v>
      </c>
      <c r="H4537" s="2">
        <v>125.95</v>
      </c>
      <c r="I4537" t="str">
        <f>"HALIM BIN OMAR"</f>
        <v>HALIM BIN OMAR</v>
      </c>
      <c r="J4537" t="str">
        <f t="shared" si="1847"/>
        <v>MAYBANK / MAYBANK ISLAMIC</v>
      </c>
      <c r="K4537" t="str">
        <f>"111056474831"</f>
        <v>111056474831</v>
      </c>
      <c r="L4537" t="str">
        <f t="shared" si="1852"/>
        <v>04-08-2020</v>
      </c>
      <c r="M4537" t="str">
        <f t="shared" si="1852"/>
        <v>04-08-2020</v>
      </c>
      <c r="N4537" t="str">
        <f t="shared" si="1835"/>
        <v>001105018356</v>
      </c>
      <c r="O4537" t="str">
        <f t="shared" si="1836"/>
        <v>MYR</v>
      </c>
      <c r="P4537" t="str">
        <f t="shared" si="1853"/>
        <v>NIL</v>
      </c>
      <c r="Q4537" t="str">
        <f t="shared" si="1853"/>
        <v>NIL</v>
      </c>
      <c r="R4537" t="str">
        <f t="shared" si="1838"/>
        <v>Accepted</v>
      </c>
      <c r="S4537" t="str">
        <f t="shared" si="1839"/>
        <v>Approved</v>
      </c>
      <c r="T4537" t="str">
        <f t="shared" si="1840"/>
        <v>10.20.8.188</v>
      </c>
      <c r="U4537" t="str">
        <f t="shared" si="1841"/>
        <v>AZRAD UMAR BIN SHAARI</v>
      </c>
      <c r="V4537" t="str">
        <f t="shared" si="1842"/>
        <v>FARHANA BINTI MUSTAPA</v>
      </c>
      <c r="W4537" t="str">
        <f t="shared" si="1843"/>
        <v>04-08-2020</v>
      </c>
      <c r="X4537" t="str">
        <f t="shared" si="1844"/>
        <v>RAZIMAH ANSAR AHMAD</v>
      </c>
      <c r="Y4537" t="str">
        <f t="shared" si="1845"/>
        <v>04-08-2020</v>
      </c>
      <c r="Z4537" t="str">
        <f>"COS10200804 4617"</f>
        <v>COS10200804 4617</v>
      </c>
    </row>
    <row r="4538" spans="1:26" x14ac:dyDescent="0.25">
      <c r="A4538" t="str">
        <f t="shared" si="1850"/>
        <v>04-08-2020 12:50:26</v>
      </c>
      <c r="B4538" t="str">
        <f>"0000806397"</f>
        <v>0000806397</v>
      </c>
      <c r="C4538" t="str">
        <f t="shared" si="1851"/>
        <v>0000806381</v>
      </c>
      <c r="D4538" t="str">
        <f t="shared" si="1831"/>
        <v>73185</v>
      </c>
      <c r="E4538" t="str">
        <f t="shared" si="1832"/>
        <v>KFH-OPERATIONS DEPARTMENT</v>
      </c>
      <c r="F4538" t="str">
        <f t="shared" si="1833"/>
        <v>IBG</v>
      </c>
      <c r="G4538" t="str">
        <f t="shared" si="1846"/>
        <v>Refund COSHARE 10</v>
      </c>
      <c r="H4538" s="2">
        <v>1049</v>
      </c>
      <c r="I4538" t="str">
        <f>"HALIM BIN ISMAIL"</f>
        <v>HALIM BIN ISMAIL</v>
      </c>
      <c r="J4538" t="str">
        <f t="shared" si="1847"/>
        <v>MAYBANK / MAYBANK ISLAMIC</v>
      </c>
      <c r="K4538" t="str">
        <f>"108177812574"</f>
        <v>108177812574</v>
      </c>
      <c r="L4538" t="str">
        <f t="shared" si="1852"/>
        <v>04-08-2020</v>
      </c>
      <c r="M4538" t="str">
        <f t="shared" si="1852"/>
        <v>04-08-2020</v>
      </c>
      <c r="N4538" t="str">
        <f t="shared" si="1835"/>
        <v>001105018356</v>
      </c>
      <c r="O4538" t="str">
        <f t="shared" si="1836"/>
        <v>MYR</v>
      </c>
      <c r="P4538" t="str">
        <f t="shared" si="1853"/>
        <v>NIL</v>
      </c>
      <c r="Q4538" t="str">
        <f t="shared" si="1853"/>
        <v>NIL</v>
      </c>
      <c r="R4538" t="str">
        <f t="shared" si="1838"/>
        <v>Accepted</v>
      </c>
      <c r="S4538" t="str">
        <f t="shared" si="1839"/>
        <v>Approved</v>
      </c>
      <c r="T4538" t="str">
        <f t="shared" si="1840"/>
        <v>10.20.8.188</v>
      </c>
      <c r="U4538" t="str">
        <f t="shared" si="1841"/>
        <v>AZRAD UMAR BIN SHAARI</v>
      </c>
      <c r="V4538" t="str">
        <f t="shared" si="1842"/>
        <v>FARHANA BINTI MUSTAPA</v>
      </c>
      <c r="W4538" t="str">
        <f t="shared" si="1843"/>
        <v>04-08-2020</v>
      </c>
      <c r="X4538" t="str">
        <f t="shared" si="1844"/>
        <v>RAZIMAH ANSAR AHMAD</v>
      </c>
      <c r="Y4538" t="str">
        <f t="shared" si="1845"/>
        <v>04-08-2020</v>
      </c>
      <c r="Z4538" t="str">
        <f>"COS10200804 4616"</f>
        <v>COS10200804 4616</v>
      </c>
    </row>
    <row r="4539" spans="1:26" x14ac:dyDescent="0.25">
      <c r="A4539" t="str">
        <f t="shared" si="1850"/>
        <v>04-08-2020 12:50:26</v>
      </c>
      <c r="B4539" t="str">
        <f>"0000806396"</f>
        <v>0000806396</v>
      </c>
      <c r="C4539" t="str">
        <f t="shared" si="1851"/>
        <v>0000806381</v>
      </c>
      <c r="D4539" t="str">
        <f t="shared" si="1831"/>
        <v>73185</v>
      </c>
      <c r="E4539" t="str">
        <f t="shared" si="1832"/>
        <v>KFH-OPERATIONS DEPARTMENT</v>
      </c>
      <c r="F4539" t="str">
        <f t="shared" si="1833"/>
        <v>IBG</v>
      </c>
      <c r="G4539" t="str">
        <f t="shared" si="1846"/>
        <v>Refund COSHARE 10</v>
      </c>
      <c r="H4539" s="2">
        <v>1518</v>
      </c>
      <c r="I4539" t="str">
        <f>"HALIM BIN BOLHI"</f>
        <v>HALIM BIN BOLHI</v>
      </c>
      <c r="J4539" t="str">
        <f t="shared" si="1847"/>
        <v>MAYBANK / MAYBANK ISLAMIC</v>
      </c>
      <c r="K4539" t="str">
        <f>"160027252035"</f>
        <v>160027252035</v>
      </c>
      <c r="L4539" t="str">
        <f t="shared" si="1852"/>
        <v>04-08-2020</v>
      </c>
      <c r="M4539" t="str">
        <f t="shared" si="1852"/>
        <v>04-08-2020</v>
      </c>
      <c r="N4539" t="str">
        <f t="shared" si="1835"/>
        <v>001105018356</v>
      </c>
      <c r="O4539" t="str">
        <f t="shared" si="1836"/>
        <v>MYR</v>
      </c>
      <c r="P4539" t="str">
        <f t="shared" si="1853"/>
        <v>NIL</v>
      </c>
      <c r="Q4539" t="str">
        <f t="shared" si="1853"/>
        <v>NIL</v>
      </c>
      <c r="R4539" t="str">
        <f t="shared" si="1838"/>
        <v>Accepted</v>
      </c>
      <c r="S4539" t="str">
        <f t="shared" si="1839"/>
        <v>Approved</v>
      </c>
      <c r="T4539" t="str">
        <f t="shared" si="1840"/>
        <v>10.20.8.188</v>
      </c>
      <c r="U4539" t="str">
        <f t="shared" si="1841"/>
        <v>AZRAD UMAR BIN SHAARI</v>
      </c>
      <c r="V4539" t="str">
        <f t="shared" si="1842"/>
        <v>FARHANA BINTI MUSTAPA</v>
      </c>
      <c r="W4539" t="str">
        <f t="shared" si="1843"/>
        <v>04-08-2020</v>
      </c>
      <c r="X4539" t="str">
        <f t="shared" si="1844"/>
        <v>RAZIMAH ANSAR AHMAD</v>
      </c>
      <c r="Y4539" t="str">
        <f t="shared" si="1845"/>
        <v>04-08-2020</v>
      </c>
      <c r="Z4539" t="str">
        <f>"COS10200804 4615"</f>
        <v>COS10200804 4615</v>
      </c>
    </row>
    <row r="4540" spans="1:26" x14ac:dyDescent="0.25">
      <c r="A4540" t="str">
        <f t="shared" si="1850"/>
        <v>04-08-2020 12:50:26</v>
      </c>
      <c r="B4540" t="str">
        <f>"0000806395"</f>
        <v>0000806395</v>
      </c>
      <c r="C4540" t="str">
        <f t="shared" si="1851"/>
        <v>0000806381</v>
      </c>
      <c r="D4540" t="str">
        <f t="shared" si="1831"/>
        <v>73185</v>
      </c>
      <c r="E4540" t="str">
        <f t="shared" si="1832"/>
        <v>KFH-OPERATIONS DEPARTMENT</v>
      </c>
      <c r="F4540" t="str">
        <f t="shared" si="1833"/>
        <v>IBG</v>
      </c>
      <c r="G4540" t="str">
        <f t="shared" si="1846"/>
        <v>Refund COSHARE 10</v>
      </c>
      <c r="H4540" s="2">
        <v>381.05</v>
      </c>
      <c r="I4540" t="str">
        <f>"HALIM BIN AWANG JOHARI"</f>
        <v>HALIM BIN AWANG JOHARI</v>
      </c>
      <c r="J4540" t="str">
        <f t="shared" si="1847"/>
        <v>MAYBANK / MAYBANK ISLAMIC</v>
      </c>
      <c r="K4540" t="str">
        <f>"151191315989"</f>
        <v>151191315989</v>
      </c>
      <c r="L4540" t="str">
        <f t="shared" si="1852"/>
        <v>04-08-2020</v>
      </c>
      <c r="M4540" t="str">
        <f t="shared" si="1852"/>
        <v>04-08-2020</v>
      </c>
      <c r="N4540" t="str">
        <f t="shared" si="1835"/>
        <v>001105018356</v>
      </c>
      <c r="O4540" t="str">
        <f t="shared" si="1836"/>
        <v>MYR</v>
      </c>
      <c r="P4540" t="str">
        <f t="shared" si="1853"/>
        <v>NIL</v>
      </c>
      <c r="Q4540" t="str">
        <f t="shared" si="1853"/>
        <v>NIL</v>
      </c>
      <c r="R4540" t="str">
        <f t="shared" si="1838"/>
        <v>Accepted</v>
      </c>
      <c r="S4540" t="str">
        <f t="shared" si="1839"/>
        <v>Approved</v>
      </c>
      <c r="T4540" t="str">
        <f t="shared" si="1840"/>
        <v>10.20.8.188</v>
      </c>
      <c r="U4540" t="str">
        <f t="shared" si="1841"/>
        <v>AZRAD UMAR BIN SHAARI</v>
      </c>
      <c r="V4540" t="str">
        <f t="shared" si="1842"/>
        <v>FARHANA BINTI MUSTAPA</v>
      </c>
      <c r="W4540" t="str">
        <f t="shared" si="1843"/>
        <v>04-08-2020</v>
      </c>
      <c r="X4540" t="str">
        <f t="shared" si="1844"/>
        <v>RAZIMAH ANSAR AHMAD</v>
      </c>
      <c r="Y4540" t="str">
        <f t="shared" si="1845"/>
        <v>04-08-2020</v>
      </c>
      <c r="Z4540" t="str">
        <f>"COS10200804 4614"</f>
        <v>COS10200804 4614</v>
      </c>
    </row>
    <row r="4541" spans="1:26" x14ac:dyDescent="0.25">
      <c r="A4541" t="str">
        <f t="shared" si="1850"/>
        <v>04-08-2020 12:50:26</v>
      </c>
      <c r="B4541" t="str">
        <f>"0000806394"</f>
        <v>0000806394</v>
      </c>
      <c r="C4541" t="str">
        <f t="shared" si="1851"/>
        <v>0000806381</v>
      </c>
      <c r="D4541" t="str">
        <f t="shared" si="1831"/>
        <v>73185</v>
      </c>
      <c r="E4541" t="str">
        <f t="shared" si="1832"/>
        <v>KFH-OPERATIONS DEPARTMENT</v>
      </c>
      <c r="F4541" t="str">
        <f t="shared" si="1833"/>
        <v>IBG</v>
      </c>
      <c r="G4541" t="str">
        <f t="shared" si="1846"/>
        <v>Refund COSHARE 10</v>
      </c>
      <c r="H4541" s="2">
        <v>125.95</v>
      </c>
      <c r="I4541" t="str">
        <f>"HALIJAH BINTI HASSAN"</f>
        <v>HALIJAH BINTI HASSAN</v>
      </c>
      <c r="J4541" t="str">
        <f t="shared" si="1847"/>
        <v>MAYBANK / MAYBANK ISLAMIC</v>
      </c>
      <c r="K4541" t="str">
        <f>"155050235998"</f>
        <v>155050235998</v>
      </c>
      <c r="L4541" t="str">
        <f t="shared" si="1852"/>
        <v>04-08-2020</v>
      </c>
      <c r="M4541" t="str">
        <f t="shared" si="1852"/>
        <v>04-08-2020</v>
      </c>
      <c r="N4541" t="str">
        <f t="shared" si="1835"/>
        <v>001105018356</v>
      </c>
      <c r="O4541" t="str">
        <f t="shared" si="1836"/>
        <v>MYR</v>
      </c>
      <c r="P4541" t="str">
        <f t="shared" si="1853"/>
        <v>NIL</v>
      </c>
      <c r="Q4541" t="str">
        <f t="shared" si="1853"/>
        <v>NIL</v>
      </c>
      <c r="R4541" t="str">
        <f t="shared" si="1838"/>
        <v>Accepted</v>
      </c>
      <c r="S4541" t="str">
        <f t="shared" si="1839"/>
        <v>Approved</v>
      </c>
      <c r="T4541" t="str">
        <f t="shared" si="1840"/>
        <v>10.20.8.188</v>
      </c>
      <c r="U4541" t="str">
        <f t="shared" si="1841"/>
        <v>AZRAD UMAR BIN SHAARI</v>
      </c>
      <c r="V4541" t="str">
        <f t="shared" si="1842"/>
        <v>FARHANA BINTI MUSTAPA</v>
      </c>
      <c r="W4541" t="str">
        <f t="shared" si="1843"/>
        <v>04-08-2020</v>
      </c>
      <c r="X4541" t="str">
        <f t="shared" si="1844"/>
        <v>RAZIMAH ANSAR AHMAD</v>
      </c>
      <c r="Y4541" t="str">
        <f t="shared" si="1845"/>
        <v>04-08-2020</v>
      </c>
      <c r="Z4541" t="str">
        <f>"COS10200804 4613"</f>
        <v>COS10200804 4613</v>
      </c>
    </row>
    <row r="4542" spans="1:26" x14ac:dyDescent="0.25">
      <c r="A4542" t="str">
        <f t="shared" si="1850"/>
        <v>04-08-2020 12:50:26</v>
      </c>
      <c r="B4542" t="str">
        <f>"0000806393"</f>
        <v>0000806393</v>
      </c>
      <c r="C4542" t="str">
        <f t="shared" si="1851"/>
        <v>0000806381</v>
      </c>
      <c r="D4542" t="str">
        <f t="shared" si="1831"/>
        <v>73185</v>
      </c>
      <c r="E4542" t="str">
        <f t="shared" si="1832"/>
        <v>KFH-OPERATIONS DEPARTMENT</v>
      </c>
      <c r="F4542" t="str">
        <f t="shared" si="1833"/>
        <v>IBG</v>
      </c>
      <c r="G4542" t="str">
        <f t="shared" si="1846"/>
        <v>Refund COSHARE 10</v>
      </c>
      <c r="H4542" s="2">
        <v>134.35</v>
      </c>
      <c r="I4542" t="str">
        <f>"HALIAS BIN ABDUL LAMID"</f>
        <v>HALIAS BIN ABDUL LAMID</v>
      </c>
      <c r="J4542" t="str">
        <f t="shared" si="1847"/>
        <v>MAYBANK / MAYBANK ISLAMIC</v>
      </c>
      <c r="K4542" t="str">
        <f>"161051345452"</f>
        <v>161051345452</v>
      </c>
      <c r="L4542" t="str">
        <f t="shared" si="1852"/>
        <v>04-08-2020</v>
      </c>
      <c r="M4542" t="str">
        <f t="shared" si="1852"/>
        <v>04-08-2020</v>
      </c>
      <c r="N4542" t="str">
        <f t="shared" si="1835"/>
        <v>001105018356</v>
      </c>
      <c r="O4542" t="str">
        <f t="shared" si="1836"/>
        <v>MYR</v>
      </c>
      <c r="P4542" t="str">
        <f t="shared" si="1853"/>
        <v>NIL</v>
      </c>
      <c r="Q4542" t="str">
        <f t="shared" si="1853"/>
        <v>NIL</v>
      </c>
      <c r="R4542" t="str">
        <f t="shared" si="1838"/>
        <v>Accepted</v>
      </c>
      <c r="S4542" t="str">
        <f t="shared" si="1839"/>
        <v>Approved</v>
      </c>
      <c r="T4542" t="str">
        <f t="shared" si="1840"/>
        <v>10.20.8.188</v>
      </c>
      <c r="U4542" t="str">
        <f t="shared" si="1841"/>
        <v>AZRAD UMAR BIN SHAARI</v>
      </c>
      <c r="V4542" t="str">
        <f t="shared" si="1842"/>
        <v>FARHANA BINTI MUSTAPA</v>
      </c>
      <c r="W4542" t="str">
        <f t="shared" si="1843"/>
        <v>04-08-2020</v>
      </c>
      <c r="X4542" t="str">
        <f t="shared" si="1844"/>
        <v>RAZIMAH ANSAR AHMAD</v>
      </c>
      <c r="Y4542" t="str">
        <f t="shared" si="1845"/>
        <v>04-08-2020</v>
      </c>
      <c r="Z4542" t="str">
        <f>"COS10200804 4612"</f>
        <v>COS10200804 4612</v>
      </c>
    </row>
    <row r="4543" spans="1:26" x14ac:dyDescent="0.25">
      <c r="A4543" t="str">
        <f t="shared" si="1850"/>
        <v>04-08-2020 12:50:26</v>
      </c>
      <c r="B4543" t="str">
        <f>"0000806392"</f>
        <v>0000806392</v>
      </c>
      <c r="C4543" t="str">
        <f t="shared" si="1851"/>
        <v>0000806381</v>
      </c>
      <c r="D4543" t="str">
        <f t="shared" si="1831"/>
        <v>73185</v>
      </c>
      <c r="E4543" t="str">
        <f t="shared" si="1832"/>
        <v>KFH-OPERATIONS DEPARTMENT</v>
      </c>
      <c r="F4543" t="str">
        <f t="shared" si="1833"/>
        <v>IBG</v>
      </c>
      <c r="G4543" t="str">
        <f t="shared" si="1846"/>
        <v>Refund COSHARE 10</v>
      </c>
      <c r="H4543" s="2">
        <v>419.75</v>
      </c>
      <c r="I4543" t="str">
        <f>"HAJARIAH BINTI OTHMAN"</f>
        <v>HAJARIAH BINTI OTHMAN</v>
      </c>
      <c r="J4543" t="str">
        <f t="shared" si="1847"/>
        <v>MAYBANK / MAYBANK ISLAMIC</v>
      </c>
      <c r="K4543" t="str">
        <f>"156048139211"</f>
        <v>156048139211</v>
      </c>
      <c r="L4543" t="str">
        <f t="shared" si="1852"/>
        <v>04-08-2020</v>
      </c>
      <c r="M4543" t="str">
        <f t="shared" si="1852"/>
        <v>04-08-2020</v>
      </c>
      <c r="N4543" t="str">
        <f t="shared" si="1835"/>
        <v>001105018356</v>
      </c>
      <c r="O4543" t="str">
        <f t="shared" si="1836"/>
        <v>MYR</v>
      </c>
      <c r="P4543" t="str">
        <f t="shared" si="1853"/>
        <v>NIL</v>
      </c>
      <c r="Q4543" t="str">
        <f t="shared" si="1853"/>
        <v>NIL</v>
      </c>
      <c r="R4543" t="str">
        <f t="shared" si="1838"/>
        <v>Accepted</v>
      </c>
      <c r="S4543" t="str">
        <f t="shared" si="1839"/>
        <v>Approved</v>
      </c>
      <c r="T4543" t="str">
        <f t="shared" si="1840"/>
        <v>10.20.8.188</v>
      </c>
      <c r="U4543" t="str">
        <f t="shared" si="1841"/>
        <v>AZRAD UMAR BIN SHAARI</v>
      </c>
      <c r="V4543" t="str">
        <f t="shared" si="1842"/>
        <v>FARHANA BINTI MUSTAPA</v>
      </c>
      <c r="W4543" t="str">
        <f t="shared" si="1843"/>
        <v>04-08-2020</v>
      </c>
      <c r="X4543" t="str">
        <f t="shared" si="1844"/>
        <v>RAZIMAH ANSAR AHMAD</v>
      </c>
      <c r="Y4543" t="str">
        <f t="shared" si="1845"/>
        <v>04-08-2020</v>
      </c>
      <c r="Z4543" t="str">
        <f>"COS10200804 4611"</f>
        <v>COS10200804 4611</v>
      </c>
    </row>
    <row r="4544" spans="1:26" x14ac:dyDescent="0.25">
      <c r="A4544" t="str">
        <f t="shared" si="1850"/>
        <v>04-08-2020 12:50:26</v>
      </c>
      <c r="B4544" t="str">
        <f>"0000806391"</f>
        <v>0000806391</v>
      </c>
      <c r="C4544" t="str">
        <f t="shared" si="1851"/>
        <v>0000806381</v>
      </c>
      <c r="D4544" t="str">
        <f t="shared" si="1831"/>
        <v>73185</v>
      </c>
      <c r="E4544" t="str">
        <f t="shared" si="1832"/>
        <v>KFH-OPERATIONS DEPARTMENT</v>
      </c>
      <c r="F4544" t="str">
        <f t="shared" si="1833"/>
        <v>IBG</v>
      </c>
      <c r="G4544" t="str">
        <f t="shared" si="1846"/>
        <v>Refund COSHARE 10</v>
      </c>
      <c r="H4544" s="2">
        <v>218</v>
      </c>
      <c r="I4544" t="str">
        <f>"HAIYIATY BINTI MAHLI"</f>
        <v>HAIYIATY BINTI MAHLI</v>
      </c>
      <c r="J4544" t="str">
        <f t="shared" si="1847"/>
        <v>MAYBANK / MAYBANK ISLAMIC</v>
      </c>
      <c r="K4544" t="str">
        <f>"161088468236"</f>
        <v>161088468236</v>
      </c>
      <c r="L4544" t="str">
        <f t="shared" si="1852"/>
        <v>04-08-2020</v>
      </c>
      <c r="M4544" t="str">
        <f t="shared" si="1852"/>
        <v>04-08-2020</v>
      </c>
      <c r="N4544" t="str">
        <f t="shared" si="1835"/>
        <v>001105018356</v>
      </c>
      <c r="O4544" t="str">
        <f t="shared" si="1836"/>
        <v>MYR</v>
      </c>
      <c r="P4544" t="str">
        <f t="shared" si="1853"/>
        <v>NIL</v>
      </c>
      <c r="Q4544" t="str">
        <f t="shared" si="1853"/>
        <v>NIL</v>
      </c>
      <c r="R4544" t="str">
        <f t="shared" si="1838"/>
        <v>Accepted</v>
      </c>
      <c r="S4544" t="str">
        <f t="shared" si="1839"/>
        <v>Approved</v>
      </c>
      <c r="T4544" t="str">
        <f t="shared" si="1840"/>
        <v>10.20.8.188</v>
      </c>
      <c r="U4544" t="str">
        <f t="shared" si="1841"/>
        <v>AZRAD UMAR BIN SHAARI</v>
      </c>
      <c r="V4544" t="str">
        <f t="shared" si="1842"/>
        <v>FARHANA BINTI MUSTAPA</v>
      </c>
      <c r="W4544" t="str">
        <f t="shared" si="1843"/>
        <v>04-08-2020</v>
      </c>
      <c r="X4544" t="str">
        <f t="shared" si="1844"/>
        <v>RAZIMAH ANSAR AHMAD</v>
      </c>
      <c r="Y4544" t="str">
        <f t="shared" si="1845"/>
        <v>04-08-2020</v>
      </c>
      <c r="Z4544" t="str">
        <f>"COS10200804 4610"</f>
        <v>COS10200804 4610</v>
      </c>
    </row>
    <row r="4545" spans="1:26" x14ac:dyDescent="0.25">
      <c r="A4545" t="str">
        <f t="shared" si="1850"/>
        <v>04-08-2020 12:50:26</v>
      </c>
      <c r="B4545" t="str">
        <f>"0000806390"</f>
        <v>0000806390</v>
      </c>
      <c r="C4545" t="str">
        <f t="shared" si="1851"/>
        <v>0000806381</v>
      </c>
      <c r="D4545" t="str">
        <f t="shared" si="1831"/>
        <v>73185</v>
      </c>
      <c r="E4545" t="str">
        <f t="shared" si="1832"/>
        <v>KFH-OPERATIONS DEPARTMENT</v>
      </c>
      <c r="F4545" t="str">
        <f t="shared" si="1833"/>
        <v>IBG</v>
      </c>
      <c r="G4545" t="str">
        <f t="shared" si="1846"/>
        <v>Refund COSHARE 10</v>
      </c>
      <c r="H4545" s="2">
        <v>713.6</v>
      </c>
      <c r="I4545" t="str">
        <f>"HAIRULSHAM BIN AHMAD"</f>
        <v>HAIRULSHAM BIN AHMAD</v>
      </c>
      <c r="J4545" t="str">
        <f t="shared" si="1847"/>
        <v>MAYBANK / MAYBANK ISLAMIC</v>
      </c>
      <c r="K4545" t="str">
        <f>"151016991394"</f>
        <v>151016991394</v>
      </c>
      <c r="L4545" t="str">
        <f t="shared" si="1852"/>
        <v>04-08-2020</v>
      </c>
      <c r="M4545" t="str">
        <f t="shared" si="1852"/>
        <v>04-08-2020</v>
      </c>
      <c r="N4545" t="str">
        <f t="shared" si="1835"/>
        <v>001105018356</v>
      </c>
      <c r="O4545" t="str">
        <f t="shared" si="1836"/>
        <v>MYR</v>
      </c>
      <c r="P4545" t="str">
        <f t="shared" si="1853"/>
        <v>NIL</v>
      </c>
      <c r="Q4545" t="str">
        <f t="shared" si="1853"/>
        <v>NIL</v>
      </c>
      <c r="R4545" t="str">
        <f t="shared" si="1838"/>
        <v>Accepted</v>
      </c>
      <c r="S4545" t="str">
        <f t="shared" si="1839"/>
        <v>Approved</v>
      </c>
      <c r="T4545" t="str">
        <f t="shared" si="1840"/>
        <v>10.20.8.188</v>
      </c>
      <c r="U4545" t="str">
        <f t="shared" si="1841"/>
        <v>AZRAD UMAR BIN SHAARI</v>
      </c>
      <c r="V4545" t="str">
        <f t="shared" si="1842"/>
        <v>FARHANA BINTI MUSTAPA</v>
      </c>
      <c r="W4545" t="str">
        <f t="shared" si="1843"/>
        <v>04-08-2020</v>
      </c>
      <c r="X4545" t="str">
        <f t="shared" si="1844"/>
        <v>RAZIMAH ANSAR AHMAD</v>
      </c>
      <c r="Y4545" t="str">
        <f t="shared" si="1845"/>
        <v>04-08-2020</v>
      </c>
      <c r="Z4545" t="str">
        <f>"COS10200804 4609"</f>
        <v>COS10200804 4609</v>
      </c>
    </row>
    <row r="4546" spans="1:26" x14ac:dyDescent="0.25">
      <c r="A4546" t="str">
        <f t="shared" ref="A4546:A4553" si="1854">"04-08-2020 12:50:26"</f>
        <v>04-08-2020 12:50:26</v>
      </c>
      <c r="B4546" t="str">
        <f>"0000806389"</f>
        <v>0000806389</v>
      </c>
      <c r="C4546" t="str">
        <f t="shared" ref="C4546:C4553" si="1855">"0000806381"</f>
        <v>0000806381</v>
      </c>
      <c r="D4546" t="str">
        <f t="shared" si="1831"/>
        <v>73185</v>
      </c>
      <c r="E4546" t="str">
        <f t="shared" si="1832"/>
        <v>KFH-OPERATIONS DEPARTMENT</v>
      </c>
      <c r="F4546" t="str">
        <f t="shared" si="1833"/>
        <v>IBG</v>
      </c>
      <c r="G4546" t="str">
        <f t="shared" si="1846"/>
        <v>Refund COSHARE 10</v>
      </c>
      <c r="H4546" s="2">
        <v>1024.2</v>
      </c>
      <c r="I4546" t="str">
        <f>"HAIRULKHUZAIRY BIN HARIS"</f>
        <v>HAIRULKHUZAIRY BIN HARIS</v>
      </c>
      <c r="J4546" t="str">
        <f t="shared" si="1847"/>
        <v>MAYBANK / MAYBANK ISLAMIC</v>
      </c>
      <c r="K4546" t="str">
        <f>"151342049515"</f>
        <v>151342049515</v>
      </c>
      <c r="L4546" t="str">
        <f t="shared" si="1852"/>
        <v>04-08-2020</v>
      </c>
      <c r="M4546" t="str">
        <f t="shared" si="1852"/>
        <v>04-08-2020</v>
      </c>
      <c r="N4546" t="str">
        <f t="shared" si="1835"/>
        <v>001105018356</v>
      </c>
      <c r="O4546" t="str">
        <f t="shared" si="1836"/>
        <v>MYR</v>
      </c>
      <c r="P4546" t="str">
        <f t="shared" si="1853"/>
        <v>NIL</v>
      </c>
      <c r="Q4546" t="str">
        <f t="shared" si="1853"/>
        <v>NIL</v>
      </c>
      <c r="R4546" t="str">
        <f t="shared" si="1838"/>
        <v>Accepted</v>
      </c>
      <c r="S4546" t="str">
        <f t="shared" si="1839"/>
        <v>Approved</v>
      </c>
      <c r="T4546" t="str">
        <f t="shared" si="1840"/>
        <v>10.20.8.188</v>
      </c>
      <c r="U4546" t="str">
        <f t="shared" si="1841"/>
        <v>AZRAD UMAR BIN SHAARI</v>
      </c>
      <c r="V4546" t="str">
        <f t="shared" si="1842"/>
        <v>FARHANA BINTI MUSTAPA</v>
      </c>
      <c r="W4546" t="str">
        <f t="shared" si="1843"/>
        <v>04-08-2020</v>
      </c>
      <c r="X4546" t="str">
        <f t="shared" si="1844"/>
        <v>RAZIMAH ANSAR AHMAD</v>
      </c>
      <c r="Y4546" t="str">
        <f t="shared" si="1845"/>
        <v>04-08-2020</v>
      </c>
      <c r="Z4546" t="str">
        <f>"COS10200804 4608"</f>
        <v>COS10200804 4608</v>
      </c>
    </row>
    <row r="4547" spans="1:26" x14ac:dyDescent="0.25">
      <c r="A4547" t="str">
        <f t="shared" si="1854"/>
        <v>04-08-2020 12:50:26</v>
      </c>
      <c r="B4547" t="str">
        <f>"0000806388"</f>
        <v>0000806388</v>
      </c>
      <c r="C4547" t="str">
        <f t="shared" si="1855"/>
        <v>0000806381</v>
      </c>
      <c r="D4547" t="str">
        <f t="shared" si="1831"/>
        <v>73185</v>
      </c>
      <c r="E4547" t="str">
        <f t="shared" si="1832"/>
        <v>KFH-OPERATIONS DEPARTMENT</v>
      </c>
      <c r="F4547" t="str">
        <f t="shared" si="1833"/>
        <v>IBG</v>
      </c>
      <c r="G4547" t="str">
        <f t="shared" si="1846"/>
        <v>Refund COSHARE 10</v>
      </c>
      <c r="H4547" s="2">
        <v>987</v>
      </c>
      <c r="I4547" t="str">
        <f>"HAIRUL DANIEL BIN IMAM SUIB"</f>
        <v>HAIRUL DANIEL BIN IMAM SUIB</v>
      </c>
      <c r="J4547" t="str">
        <f t="shared" si="1847"/>
        <v>MAYBANK / MAYBANK ISLAMIC</v>
      </c>
      <c r="K4547" t="str">
        <f>"151397191559"</f>
        <v>151397191559</v>
      </c>
      <c r="L4547" t="str">
        <f t="shared" ref="L4547:M4566" si="1856">"04-08-2020"</f>
        <v>04-08-2020</v>
      </c>
      <c r="M4547" t="str">
        <f t="shared" si="1856"/>
        <v>04-08-2020</v>
      </c>
      <c r="N4547" t="str">
        <f t="shared" si="1835"/>
        <v>001105018356</v>
      </c>
      <c r="O4547" t="str">
        <f t="shared" si="1836"/>
        <v>MYR</v>
      </c>
      <c r="P4547" t="str">
        <f t="shared" ref="P4547:Q4566" si="1857">"NIL"</f>
        <v>NIL</v>
      </c>
      <c r="Q4547" t="str">
        <f t="shared" si="1857"/>
        <v>NIL</v>
      </c>
      <c r="R4547" t="str">
        <f t="shared" si="1838"/>
        <v>Accepted</v>
      </c>
      <c r="S4547" t="str">
        <f t="shared" si="1839"/>
        <v>Approved</v>
      </c>
      <c r="T4547" t="str">
        <f t="shared" si="1840"/>
        <v>10.20.8.188</v>
      </c>
      <c r="U4547" t="str">
        <f t="shared" si="1841"/>
        <v>AZRAD UMAR BIN SHAARI</v>
      </c>
      <c r="V4547" t="str">
        <f t="shared" si="1842"/>
        <v>FARHANA BINTI MUSTAPA</v>
      </c>
      <c r="W4547" t="str">
        <f t="shared" si="1843"/>
        <v>04-08-2020</v>
      </c>
      <c r="X4547" t="str">
        <f t="shared" si="1844"/>
        <v>RAZIMAH ANSAR AHMAD</v>
      </c>
      <c r="Y4547" t="str">
        <f t="shared" si="1845"/>
        <v>04-08-2020</v>
      </c>
      <c r="Z4547" t="str">
        <f>"COS10200804 4607"</f>
        <v>COS10200804 4607</v>
      </c>
    </row>
    <row r="4548" spans="1:26" x14ac:dyDescent="0.25">
      <c r="A4548" t="str">
        <f t="shared" si="1854"/>
        <v>04-08-2020 12:50:26</v>
      </c>
      <c r="B4548" t="str">
        <f>"0000806387"</f>
        <v>0000806387</v>
      </c>
      <c r="C4548" t="str">
        <f t="shared" si="1855"/>
        <v>0000806381</v>
      </c>
      <c r="D4548" t="str">
        <f t="shared" si="1831"/>
        <v>73185</v>
      </c>
      <c r="E4548" t="str">
        <f t="shared" si="1832"/>
        <v>KFH-OPERATIONS DEPARTMENT</v>
      </c>
      <c r="F4548" t="str">
        <f t="shared" si="1833"/>
        <v>IBG</v>
      </c>
      <c r="G4548" t="str">
        <f t="shared" si="1846"/>
        <v>Refund COSHARE 10</v>
      </c>
      <c r="H4548" s="2">
        <v>612.85</v>
      </c>
      <c r="I4548" t="str">
        <f>"HAIRUHANA BINTI KAMARI"</f>
        <v>HAIRUHANA BINTI KAMARI</v>
      </c>
      <c r="J4548" t="str">
        <f t="shared" si="1847"/>
        <v>MAYBANK / MAYBANK ISLAMIC</v>
      </c>
      <c r="K4548" t="str">
        <f>"107144022245"</f>
        <v>107144022245</v>
      </c>
      <c r="L4548" t="str">
        <f t="shared" si="1856"/>
        <v>04-08-2020</v>
      </c>
      <c r="M4548" t="str">
        <f t="shared" si="1856"/>
        <v>04-08-2020</v>
      </c>
      <c r="N4548" t="str">
        <f t="shared" si="1835"/>
        <v>001105018356</v>
      </c>
      <c r="O4548" t="str">
        <f t="shared" si="1836"/>
        <v>MYR</v>
      </c>
      <c r="P4548" t="str">
        <f t="shared" si="1857"/>
        <v>NIL</v>
      </c>
      <c r="Q4548" t="str">
        <f t="shared" si="1857"/>
        <v>NIL</v>
      </c>
      <c r="R4548" t="str">
        <f t="shared" si="1838"/>
        <v>Accepted</v>
      </c>
      <c r="S4548" t="str">
        <f t="shared" si="1839"/>
        <v>Approved</v>
      </c>
      <c r="T4548" t="str">
        <f t="shared" si="1840"/>
        <v>10.20.8.188</v>
      </c>
      <c r="U4548" t="str">
        <f t="shared" si="1841"/>
        <v>AZRAD UMAR BIN SHAARI</v>
      </c>
      <c r="V4548" t="str">
        <f t="shared" si="1842"/>
        <v>FARHANA BINTI MUSTAPA</v>
      </c>
      <c r="W4548" t="str">
        <f t="shared" si="1843"/>
        <v>04-08-2020</v>
      </c>
      <c r="X4548" t="str">
        <f t="shared" si="1844"/>
        <v>RAZIMAH ANSAR AHMAD</v>
      </c>
      <c r="Y4548" t="str">
        <f t="shared" si="1845"/>
        <v>04-08-2020</v>
      </c>
      <c r="Z4548" t="str">
        <f>"COS10200804 4606"</f>
        <v>COS10200804 4606</v>
      </c>
    </row>
    <row r="4549" spans="1:26" x14ac:dyDescent="0.25">
      <c r="A4549" t="str">
        <f t="shared" si="1854"/>
        <v>04-08-2020 12:50:26</v>
      </c>
      <c r="B4549" t="str">
        <f>"0000806386"</f>
        <v>0000806386</v>
      </c>
      <c r="C4549" t="str">
        <f t="shared" si="1855"/>
        <v>0000806381</v>
      </c>
      <c r="D4549" t="str">
        <f t="shared" si="1831"/>
        <v>73185</v>
      </c>
      <c r="E4549" t="str">
        <f t="shared" si="1832"/>
        <v>KFH-OPERATIONS DEPARTMENT</v>
      </c>
      <c r="F4549" t="str">
        <f t="shared" si="1833"/>
        <v>IBG</v>
      </c>
      <c r="G4549" t="str">
        <f t="shared" si="1846"/>
        <v>Refund COSHARE 10</v>
      </c>
      <c r="H4549" s="2">
        <v>425</v>
      </c>
      <c r="I4549" t="str">
        <f>"HAIRUDDIN BIN ABDUL WAHAP"</f>
        <v>HAIRUDDIN BIN ABDUL WAHAP</v>
      </c>
      <c r="J4549" t="str">
        <f t="shared" si="1847"/>
        <v>MAYBANK / MAYBANK ISLAMIC</v>
      </c>
      <c r="K4549" t="str">
        <f>"164165030030"</f>
        <v>164165030030</v>
      </c>
      <c r="L4549" t="str">
        <f t="shared" si="1856"/>
        <v>04-08-2020</v>
      </c>
      <c r="M4549" t="str">
        <f t="shared" si="1856"/>
        <v>04-08-2020</v>
      </c>
      <c r="N4549" t="str">
        <f t="shared" si="1835"/>
        <v>001105018356</v>
      </c>
      <c r="O4549" t="str">
        <f t="shared" si="1836"/>
        <v>MYR</v>
      </c>
      <c r="P4549" t="str">
        <f t="shared" si="1857"/>
        <v>NIL</v>
      </c>
      <c r="Q4549" t="str">
        <f t="shared" si="1857"/>
        <v>NIL</v>
      </c>
      <c r="R4549" t="str">
        <f t="shared" si="1838"/>
        <v>Accepted</v>
      </c>
      <c r="S4549" t="str">
        <f t="shared" si="1839"/>
        <v>Approved</v>
      </c>
      <c r="T4549" t="str">
        <f t="shared" si="1840"/>
        <v>10.20.8.188</v>
      </c>
      <c r="U4549" t="str">
        <f t="shared" si="1841"/>
        <v>AZRAD UMAR BIN SHAARI</v>
      </c>
      <c r="V4549" t="str">
        <f t="shared" si="1842"/>
        <v>FARHANA BINTI MUSTAPA</v>
      </c>
      <c r="W4549" t="str">
        <f t="shared" si="1843"/>
        <v>04-08-2020</v>
      </c>
      <c r="X4549" t="str">
        <f t="shared" si="1844"/>
        <v>RAZIMAH ANSAR AHMAD</v>
      </c>
      <c r="Y4549" t="str">
        <f t="shared" si="1845"/>
        <v>04-08-2020</v>
      </c>
      <c r="Z4549" t="str">
        <f>"COS10200804 4605"</f>
        <v>COS10200804 4605</v>
      </c>
    </row>
    <row r="4550" spans="1:26" x14ac:dyDescent="0.25">
      <c r="A4550" t="str">
        <f t="shared" si="1854"/>
        <v>04-08-2020 12:50:26</v>
      </c>
      <c r="B4550" t="str">
        <f>"0000806385"</f>
        <v>0000806385</v>
      </c>
      <c r="C4550" t="str">
        <f t="shared" si="1855"/>
        <v>0000806381</v>
      </c>
      <c r="D4550" t="str">
        <f t="shared" si="1831"/>
        <v>73185</v>
      </c>
      <c r="E4550" t="str">
        <f t="shared" si="1832"/>
        <v>KFH-OPERATIONS DEPARTMENT</v>
      </c>
      <c r="F4550" t="str">
        <f t="shared" si="1833"/>
        <v>IBG</v>
      </c>
      <c r="G4550" t="str">
        <f t="shared" si="1846"/>
        <v>Refund COSHARE 10</v>
      </c>
      <c r="H4550" s="2">
        <v>915</v>
      </c>
      <c r="I4550" t="str">
        <f>"HAIRUDDIN BIN ABDUL WAHAP"</f>
        <v>HAIRUDDIN BIN ABDUL WAHAP</v>
      </c>
      <c r="J4550" t="str">
        <f t="shared" si="1847"/>
        <v>MAYBANK / MAYBANK ISLAMIC</v>
      </c>
      <c r="K4550" t="str">
        <f>"164165030030"</f>
        <v>164165030030</v>
      </c>
      <c r="L4550" t="str">
        <f t="shared" si="1856"/>
        <v>04-08-2020</v>
      </c>
      <c r="M4550" t="str">
        <f t="shared" si="1856"/>
        <v>04-08-2020</v>
      </c>
      <c r="N4550" t="str">
        <f t="shared" si="1835"/>
        <v>001105018356</v>
      </c>
      <c r="O4550" t="str">
        <f t="shared" si="1836"/>
        <v>MYR</v>
      </c>
      <c r="P4550" t="str">
        <f t="shared" si="1857"/>
        <v>NIL</v>
      </c>
      <c r="Q4550" t="str">
        <f t="shared" si="1857"/>
        <v>NIL</v>
      </c>
      <c r="R4550" t="str">
        <f t="shared" si="1838"/>
        <v>Accepted</v>
      </c>
      <c r="S4550" t="str">
        <f t="shared" si="1839"/>
        <v>Approved</v>
      </c>
      <c r="T4550" t="str">
        <f t="shared" si="1840"/>
        <v>10.20.8.188</v>
      </c>
      <c r="U4550" t="str">
        <f t="shared" si="1841"/>
        <v>AZRAD UMAR BIN SHAARI</v>
      </c>
      <c r="V4550" t="str">
        <f t="shared" si="1842"/>
        <v>FARHANA BINTI MUSTAPA</v>
      </c>
      <c r="W4550" t="str">
        <f t="shared" si="1843"/>
        <v>04-08-2020</v>
      </c>
      <c r="X4550" t="str">
        <f t="shared" si="1844"/>
        <v>RAZIMAH ANSAR AHMAD</v>
      </c>
      <c r="Y4550" t="str">
        <f t="shared" si="1845"/>
        <v>04-08-2020</v>
      </c>
      <c r="Z4550" t="str">
        <f>"COS10200804 4604"</f>
        <v>COS10200804 4604</v>
      </c>
    </row>
    <row r="4551" spans="1:26" x14ac:dyDescent="0.25">
      <c r="A4551" t="str">
        <f t="shared" si="1854"/>
        <v>04-08-2020 12:50:26</v>
      </c>
      <c r="B4551" t="str">
        <f>"0000806384"</f>
        <v>0000806384</v>
      </c>
      <c r="C4551" t="str">
        <f t="shared" si="1855"/>
        <v>0000806381</v>
      </c>
      <c r="D4551" t="str">
        <f t="shared" ref="D4551:D4614" si="1858">"73185"</f>
        <v>73185</v>
      </c>
      <c r="E4551" t="str">
        <f t="shared" ref="E4551:E4614" si="1859">"KFH-OPERATIONS DEPARTMENT"</f>
        <v>KFH-OPERATIONS DEPARTMENT</v>
      </c>
      <c r="F4551" t="str">
        <f t="shared" ref="F4551:F4614" si="1860">"IBG"</f>
        <v>IBG</v>
      </c>
      <c r="G4551" t="str">
        <f t="shared" si="1846"/>
        <v>Refund COSHARE 10</v>
      </c>
      <c r="H4551" s="2">
        <v>167.9</v>
      </c>
      <c r="I4551" t="str">
        <f>"HAIREENA BINTI A RAHMAN"</f>
        <v>HAIREENA BINTI A RAHMAN</v>
      </c>
      <c r="J4551" t="str">
        <f t="shared" si="1847"/>
        <v>MAYBANK / MAYBANK ISLAMIC</v>
      </c>
      <c r="K4551" t="str">
        <f>"164762032634"</f>
        <v>164762032634</v>
      </c>
      <c r="L4551" t="str">
        <f t="shared" si="1856"/>
        <v>04-08-2020</v>
      </c>
      <c r="M4551" t="str">
        <f t="shared" si="1856"/>
        <v>04-08-2020</v>
      </c>
      <c r="N4551" t="str">
        <f t="shared" ref="N4551:N4614" si="1861">"001105018356"</f>
        <v>001105018356</v>
      </c>
      <c r="O4551" t="str">
        <f t="shared" ref="O4551:O4614" si="1862">"MYR"</f>
        <v>MYR</v>
      </c>
      <c r="P4551" t="str">
        <f t="shared" si="1857"/>
        <v>NIL</v>
      </c>
      <c r="Q4551" t="str">
        <f t="shared" si="1857"/>
        <v>NIL</v>
      </c>
      <c r="R4551" t="str">
        <f t="shared" ref="R4551:R4614" si="1863">"Accepted"</f>
        <v>Accepted</v>
      </c>
      <c r="S4551" t="str">
        <f t="shared" ref="S4551:S4614" si="1864">"Approved"</f>
        <v>Approved</v>
      </c>
      <c r="T4551" t="str">
        <f t="shared" ref="T4551:T4614" si="1865">"10.20.8.188"</f>
        <v>10.20.8.188</v>
      </c>
      <c r="U4551" t="str">
        <f t="shared" ref="U4551:U4614" si="1866">"AZRAD UMAR BIN SHAARI"</f>
        <v>AZRAD UMAR BIN SHAARI</v>
      </c>
      <c r="V4551" t="str">
        <f t="shared" ref="V4551:V4614" si="1867">"FARHANA BINTI MUSTAPA"</f>
        <v>FARHANA BINTI MUSTAPA</v>
      </c>
      <c r="W4551" t="str">
        <f t="shared" ref="W4551:W4614" si="1868">"04-08-2020"</f>
        <v>04-08-2020</v>
      </c>
      <c r="X4551" t="str">
        <f t="shared" ref="X4551:X4614" si="1869">"RAZIMAH ANSAR AHMAD"</f>
        <v>RAZIMAH ANSAR AHMAD</v>
      </c>
      <c r="Y4551" t="str">
        <f t="shared" ref="Y4551:Y4614" si="1870">"04-08-2020"</f>
        <v>04-08-2020</v>
      </c>
      <c r="Z4551" t="str">
        <f>"COS10200804 4603"</f>
        <v>COS10200804 4603</v>
      </c>
    </row>
    <row r="4552" spans="1:26" x14ac:dyDescent="0.25">
      <c r="A4552" t="str">
        <f t="shared" si="1854"/>
        <v>04-08-2020 12:50:26</v>
      </c>
      <c r="B4552" t="str">
        <f>"0000806383"</f>
        <v>0000806383</v>
      </c>
      <c r="C4552" t="str">
        <f t="shared" si="1855"/>
        <v>0000806381</v>
      </c>
      <c r="D4552" t="str">
        <f t="shared" si="1858"/>
        <v>73185</v>
      </c>
      <c r="E4552" t="str">
        <f t="shared" si="1859"/>
        <v>KFH-OPERATIONS DEPARTMENT</v>
      </c>
      <c r="F4552" t="str">
        <f t="shared" si="1860"/>
        <v>IBG</v>
      </c>
      <c r="G4552" t="str">
        <f t="shared" si="1846"/>
        <v>Refund COSHARE 10</v>
      </c>
      <c r="H4552" s="2">
        <v>629.65</v>
      </c>
      <c r="I4552" t="str">
        <f>"HAINATUN SA DIAH BINTI MD SUKAIRI"</f>
        <v>HAINATUN SA DIAH BINTI MD SUKAIRI</v>
      </c>
      <c r="J4552" t="str">
        <f t="shared" si="1847"/>
        <v>MAYBANK / MAYBANK ISLAMIC</v>
      </c>
      <c r="K4552" t="str">
        <f>"164137463129"</f>
        <v>164137463129</v>
      </c>
      <c r="L4552" t="str">
        <f t="shared" si="1856"/>
        <v>04-08-2020</v>
      </c>
      <c r="M4552" t="str">
        <f t="shared" si="1856"/>
        <v>04-08-2020</v>
      </c>
      <c r="N4552" t="str">
        <f t="shared" si="1861"/>
        <v>001105018356</v>
      </c>
      <c r="O4552" t="str">
        <f t="shared" si="1862"/>
        <v>MYR</v>
      </c>
      <c r="P4552" t="str">
        <f t="shared" si="1857"/>
        <v>NIL</v>
      </c>
      <c r="Q4552" t="str">
        <f t="shared" si="1857"/>
        <v>NIL</v>
      </c>
      <c r="R4552" t="str">
        <f t="shared" si="1863"/>
        <v>Accepted</v>
      </c>
      <c r="S4552" t="str">
        <f t="shared" si="1864"/>
        <v>Approved</v>
      </c>
      <c r="T4552" t="str">
        <f t="shared" si="1865"/>
        <v>10.20.8.188</v>
      </c>
      <c r="U4552" t="str">
        <f t="shared" si="1866"/>
        <v>AZRAD UMAR BIN SHAARI</v>
      </c>
      <c r="V4552" t="str">
        <f t="shared" si="1867"/>
        <v>FARHANA BINTI MUSTAPA</v>
      </c>
      <c r="W4552" t="str">
        <f t="shared" si="1868"/>
        <v>04-08-2020</v>
      </c>
      <c r="X4552" t="str">
        <f t="shared" si="1869"/>
        <v>RAZIMAH ANSAR AHMAD</v>
      </c>
      <c r="Y4552" t="str">
        <f t="shared" si="1870"/>
        <v>04-08-2020</v>
      </c>
      <c r="Z4552" t="str">
        <f>"COS10200804 4602"</f>
        <v>COS10200804 4602</v>
      </c>
    </row>
    <row r="4553" spans="1:26" x14ac:dyDescent="0.25">
      <c r="A4553" t="str">
        <f t="shared" si="1854"/>
        <v>04-08-2020 12:50:26</v>
      </c>
      <c r="B4553" t="str">
        <f>"0000806382"</f>
        <v>0000806382</v>
      </c>
      <c r="C4553" t="str">
        <f t="shared" si="1855"/>
        <v>0000806381</v>
      </c>
      <c r="D4553" t="str">
        <f t="shared" si="1858"/>
        <v>73185</v>
      </c>
      <c r="E4553" t="str">
        <f t="shared" si="1859"/>
        <v>KFH-OPERATIONS DEPARTMENT</v>
      </c>
      <c r="F4553" t="str">
        <f t="shared" si="1860"/>
        <v>IBG</v>
      </c>
      <c r="G4553" t="str">
        <f t="shared" si="1846"/>
        <v>Refund COSHARE 10</v>
      </c>
      <c r="H4553" s="2">
        <v>1343.2</v>
      </c>
      <c r="I4553" t="str">
        <f>"HAIKAL JAMMY NGALI ABDULLAH"</f>
        <v>HAIKAL JAMMY NGALI ABDULLAH</v>
      </c>
      <c r="J4553" t="str">
        <f t="shared" si="1847"/>
        <v>MAYBANK / MAYBANK ISLAMIC</v>
      </c>
      <c r="K4553" t="str">
        <f>"116015029224"</f>
        <v>116015029224</v>
      </c>
      <c r="L4553" t="str">
        <f t="shared" si="1856"/>
        <v>04-08-2020</v>
      </c>
      <c r="M4553" t="str">
        <f t="shared" si="1856"/>
        <v>04-08-2020</v>
      </c>
      <c r="N4553" t="str">
        <f t="shared" si="1861"/>
        <v>001105018356</v>
      </c>
      <c r="O4553" t="str">
        <f t="shared" si="1862"/>
        <v>MYR</v>
      </c>
      <c r="P4553" t="str">
        <f t="shared" si="1857"/>
        <v>NIL</v>
      </c>
      <c r="Q4553" t="str">
        <f t="shared" si="1857"/>
        <v>NIL</v>
      </c>
      <c r="R4553" t="str">
        <f t="shared" si="1863"/>
        <v>Accepted</v>
      </c>
      <c r="S4553" t="str">
        <f t="shared" si="1864"/>
        <v>Approved</v>
      </c>
      <c r="T4553" t="str">
        <f t="shared" si="1865"/>
        <v>10.20.8.188</v>
      </c>
      <c r="U4553" t="str">
        <f t="shared" si="1866"/>
        <v>AZRAD UMAR BIN SHAARI</v>
      </c>
      <c r="V4553" t="str">
        <f t="shared" si="1867"/>
        <v>FARHANA BINTI MUSTAPA</v>
      </c>
      <c r="W4553" t="str">
        <f t="shared" si="1868"/>
        <v>04-08-2020</v>
      </c>
      <c r="X4553" t="str">
        <f t="shared" si="1869"/>
        <v>RAZIMAH ANSAR AHMAD</v>
      </c>
      <c r="Y4553" t="str">
        <f t="shared" si="1870"/>
        <v>04-08-2020</v>
      </c>
      <c r="Z4553" t="str">
        <f>"COS10200804 4601"</f>
        <v>COS10200804 4601</v>
      </c>
    </row>
    <row r="4554" spans="1:26" x14ac:dyDescent="0.25">
      <c r="A4554" t="str">
        <f t="shared" ref="A4554:A4585" si="1871">"04-08-2020 12:49:50"</f>
        <v>04-08-2020 12:49:50</v>
      </c>
      <c r="B4554" t="str">
        <f>"0000806380"</f>
        <v>0000806380</v>
      </c>
      <c r="C4554" t="str">
        <f t="shared" ref="C4554:C4585" si="1872">"0000806180"</f>
        <v>0000806180</v>
      </c>
      <c r="D4554" t="str">
        <f t="shared" si="1858"/>
        <v>73185</v>
      </c>
      <c r="E4554" t="str">
        <f t="shared" si="1859"/>
        <v>KFH-OPERATIONS DEPARTMENT</v>
      </c>
      <c r="F4554" t="str">
        <f t="shared" si="1860"/>
        <v>IBG</v>
      </c>
      <c r="G4554" t="str">
        <f t="shared" si="1846"/>
        <v>Refund COSHARE 10</v>
      </c>
      <c r="H4554" s="2">
        <v>1259.25</v>
      </c>
      <c r="I4554" t="str">
        <f>"HAIDI IZUAN BIN MOHD GHAZALI"</f>
        <v>HAIDI IZUAN BIN MOHD GHAZALI</v>
      </c>
      <c r="J4554" t="str">
        <f t="shared" si="1847"/>
        <v>MAYBANK / MAYBANK ISLAMIC</v>
      </c>
      <c r="K4554" t="str">
        <f>"164128522384"</f>
        <v>164128522384</v>
      </c>
      <c r="L4554" t="str">
        <f t="shared" si="1856"/>
        <v>04-08-2020</v>
      </c>
      <c r="M4554" t="str">
        <f t="shared" si="1856"/>
        <v>04-08-2020</v>
      </c>
      <c r="N4554" t="str">
        <f t="shared" si="1861"/>
        <v>001105018356</v>
      </c>
      <c r="O4554" t="str">
        <f t="shared" si="1862"/>
        <v>MYR</v>
      </c>
      <c r="P4554" t="str">
        <f t="shared" si="1857"/>
        <v>NIL</v>
      </c>
      <c r="Q4554" t="str">
        <f t="shared" si="1857"/>
        <v>NIL</v>
      </c>
      <c r="R4554" t="str">
        <f t="shared" si="1863"/>
        <v>Accepted</v>
      </c>
      <c r="S4554" t="str">
        <f t="shared" si="1864"/>
        <v>Approved</v>
      </c>
      <c r="T4554" t="str">
        <f t="shared" si="1865"/>
        <v>10.20.8.188</v>
      </c>
      <c r="U4554" t="str">
        <f t="shared" si="1866"/>
        <v>AZRAD UMAR BIN SHAARI</v>
      </c>
      <c r="V4554" t="str">
        <f t="shared" si="1867"/>
        <v>FARHANA BINTI MUSTAPA</v>
      </c>
      <c r="W4554" t="str">
        <f t="shared" si="1868"/>
        <v>04-08-2020</v>
      </c>
      <c r="X4554" t="str">
        <f t="shared" si="1869"/>
        <v>RAZIMAH ANSAR AHMAD</v>
      </c>
      <c r="Y4554" t="str">
        <f t="shared" si="1870"/>
        <v>04-08-2020</v>
      </c>
      <c r="Z4554" t="str">
        <f>"COS10200804 4600"</f>
        <v>COS10200804 4600</v>
      </c>
    </row>
    <row r="4555" spans="1:26" x14ac:dyDescent="0.25">
      <c r="A4555" t="str">
        <f t="shared" si="1871"/>
        <v>04-08-2020 12:49:50</v>
      </c>
      <c r="B4555" t="str">
        <f>"0000806379"</f>
        <v>0000806379</v>
      </c>
      <c r="C4555" t="str">
        <f t="shared" si="1872"/>
        <v>0000806180</v>
      </c>
      <c r="D4555" t="str">
        <f t="shared" si="1858"/>
        <v>73185</v>
      </c>
      <c r="E4555" t="str">
        <f t="shared" si="1859"/>
        <v>KFH-OPERATIONS DEPARTMENT</v>
      </c>
      <c r="F4555" t="str">
        <f t="shared" si="1860"/>
        <v>IBG</v>
      </c>
      <c r="G4555" t="str">
        <f t="shared" si="1846"/>
        <v>Refund COSHARE 10</v>
      </c>
      <c r="H4555" s="2">
        <v>190.55</v>
      </c>
      <c r="I4555" t="str">
        <f>"HAIDALIZA BINTI MOHAMAD LATIP"</f>
        <v>HAIDALIZA BINTI MOHAMAD LATIP</v>
      </c>
      <c r="J4555" t="str">
        <f t="shared" si="1847"/>
        <v>MAYBANK / MAYBANK ISLAMIC</v>
      </c>
      <c r="K4555" t="str">
        <f>"151191054356"</f>
        <v>151191054356</v>
      </c>
      <c r="L4555" t="str">
        <f t="shared" si="1856"/>
        <v>04-08-2020</v>
      </c>
      <c r="M4555" t="str">
        <f t="shared" si="1856"/>
        <v>04-08-2020</v>
      </c>
      <c r="N4555" t="str">
        <f t="shared" si="1861"/>
        <v>001105018356</v>
      </c>
      <c r="O4555" t="str">
        <f t="shared" si="1862"/>
        <v>MYR</v>
      </c>
      <c r="P4555" t="str">
        <f t="shared" si="1857"/>
        <v>NIL</v>
      </c>
      <c r="Q4555" t="str">
        <f t="shared" si="1857"/>
        <v>NIL</v>
      </c>
      <c r="R4555" t="str">
        <f t="shared" si="1863"/>
        <v>Accepted</v>
      </c>
      <c r="S4555" t="str">
        <f t="shared" si="1864"/>
        <v>Approved</v>
      </c>
      <c r="T4555" t="str">
        <f t="shared" si="1865"/>
        <v>10.20.8.188</v>
      </c>
      <c r="U4555" t="str">
        <f t="shared" si="1866"/>
        <v>AZRAD UMAR BIN SHAARI</v>
      </c>
      <c r="V4555" t="str">
        <f t="shared" si="1867"/>
        <v>FARHANA BINTI MUSTAPA</v>
      </c>
      <c r="W4555" t="str">
        <f t="shared" si="1868"/>
        <v>04-08-2020</v>
      </c>
      <c r="X4555" t="str">
        <f t="shared" si="1869"/>
        <v>RAZIMAH ANSAR AHMAD</v>
      </c>
      <c r="Y4555" t="str">
        <f t="shared" si="1870"/>
        <v>04-08-2020</v>
      </c>
      <c r="Z4555" t="str">
        <f>"COS10200804 4599"</f>
        <v>COS10200804 4599</v>
      </c>
    </row>
    <row r="4556" spans="1:26" x14ac:dyDescent="0.25">
      <c r="A4556" t="str">
        <f t="shared" si="1871"/>
        <v>04-08-2020 12:49:50</v>
      </c>
      <c r="B4556" t="str">
        <f>"0000806378"</f>
        <v>0000806378</v>
      </c>
      <c r="C4556" t="str">
        <f t="shared" si="1872"/>
        <v>0000806180</v>
      </c>
      <c r="D4556" t="str">
        <f t="shared" si="1858"/>
        <v>73185</v>
      </c>
      <c r="E4556" t="str">
        <f t="shared" si="1859"/>
        <v>KFH-OPERATIONS DEPARTMENT</v>
      </c>
      <c r="F4556" t="str">
        <f t="shared" si="1860"/>
        <v>IBG</v>
      </c>
      <c r="G4556" t="str">
        <f t="shared" ref="G4556:G4619" si="1873">"Refund COSHARE 10"</f>
        <v>Refund COSHARE 10</v>
      </c>
      <c r="H4556" s="2">
        <v>1150.1500000000001</v>
      </c>
      <c r="I4556" t="str">
        <f>"HAFIZUL BIN ABDUL RAHMAN"</f>
        <v>HAFIZUL BIN ABDUL RAHMAN</v>
      </c>
      <c r="J4556" t="str">
        <f t="shared" si="1847"/>
        <v>MAYBANK / MAYBANK ISLAMIC</v>
      </c>
      <c r="K4556" t="str">
        <f>"108168227236"</f>
        <v>108168227236</v>
      </c>
      <c r="L4556" t="str">
        <f t="shared" si="1856"/>
        <v>04-08-2020</v>
      </c>
      <c r="M4556" t="str">
        <f t="shared" si="1856"/>
        <v>04-08-2020</v>
      </c>
      <c r="N4556" t="str">
        <f t="shared" si="1861"/>
        <v>001105018356</v>
      </c>
      <c r="O4556" t="str">
        <f t="shared" si="1862"/>
        <v>MYR</v>
      </c>
      <c r="P4556" t="str">
        <f t="shared" si="1857"/>
        <v>NIL</v>
      </c>
      <c r="Q4556" t="str">
        <f t="shared" si="1857"/>
        <v>NIL</v>
      </c>
      <c r="R4556" t="str">
        <f t="shared" si="1863"/>
        <v>Accepted</v>
      </c>
      <c r="S4556" t="str">
        <f t="shared" si="1864"/>
        <v>Approved</v>
      </c>
      <c r="T4556" t="str">
        <f t="shared" si="1865"/>
        <v>10.20.8.188</v>
      </c>
      <c r="U4556" t="str">
        <f t="shared" si="1866"/>
        <v>AZRAD UMAR BIN SHAARI</v>
      </c>
      <c r="V4556" t="str">
        <f t="shared" si="1867"/>
        <v>FARHANA BINTI MUSTAPA</v>
      </c>
      <c r="W4556" t="str">
        <f t="shared" si="1868"/>
        <v>04-08-2020</v>
      </c>
      <c r="X4556" t="str">
        <f t="shared" si="1869"/>
        <v>RAZIMAH ANSAR AHMAD</v>
      </c>
      <c r="Y4556" t="str">
        <f t="shared" si="1870"/>
        <v>04-08-2020</v>
      </c>
      <c r="Z4556" t="str">
        <f>"COS10200804 4598"</f>
        <v>COS10200804 4598</v>
      </c>
    </row>
    <row r="4557" spans="1:26" x14ac:dyDescent="0.25">
      <c r="A4557" t="str">
        <f t="shared" si="1871"/>
        <v>04-08-2020 12:49:50</v>
      </c>
      <c r="B4557" t="str">
        <f>"0000806377"</f>
        <v>0000806377</v>
      </c>
      <c r="C4557" t="str">
        <f t="shared" si="1872"/>
        <v>0000806180</v>
      </c>
      <c r="D4557" t="str">
        <f t="shared" si="1858"/>
        <v>73185</v>
      </c>
      <c r="E4557" t="str">
        <f t="shared" si="1859"/>
        <v>KFH-OPERATIONS DEPARTMENT</v>
      </c>
      <c r="F4557" t="str">
        <f t="shared" si="1860"/>
        <v>IBG</v>
      </c>
      <c r="G4557" t="str">
        <f t="shared" si="1873"/>
        <v>Refund COSHARE 10</v>
      </c>
      <c r="H4557" s="2">
        <v>113.6</v>
      </c>
      <c r="I4557" t="str">
        <f>"HAFIZOTURRAFI AH BINTI SUPENI"</f>
        <v>HAFIZOTURRAFI AH BINTI SUPENI</v>
      </c>
      <c r="J4557" t="str">
        <f t="shared" si="1847"/>
        <v>MAYBANK / MAYBANK ISLAMIC</v>
      </c>
      <c r="K4557" t="str">
        <f>"112099618793"</f>
        <v>112099618793</v>
      </c>
      <c r="L4557" t="str">
        <f t="shared" si="1856"/>
        <v>04-08-2020</v>
      </c>
      <c r="M4557" t="str">
        <f t="shared" si="1856"/>
        <v>04-08-2020</v>
      </c>
      <c r="N4557" t="str">
        <f t="shared" si="1861"/>
        <v>001105018356</v>
      </c>
      <c r="O4557" t="str">
        <f t="shared" si="1862"/>
        <v>MYR</v>
      </c>
      <c r="P4557" t="str">
        <f t="shared" si="1857"/>
        <v>NIL</v>
      </c>
      <c r="Q4557" t="str">
        <f t="shared" si="1857"/>
        <v>NIL</v>
      </c>
      <c r="R4557" t="str">
        <f t="shared" si="1863"/>
        <v>Accepted</v>
      </c>
      <c r="S4557" t="str">
        <f t="shared" si="1864"/>
        <v>Approved</v>
      </c>
      <c r="T4557" t="str">
        <f t="shared" si="1865"/>
        <v>10.20.8.188</v>
      </c>
      <c r="U4557" t="str">
        <f t="shared" si="1866"/>
        <v>AZRAD UMAR BIN SHAARI</v>
      </c>
      <c r="V4557" t="str">
        <f t="shared" si="1867"/>
        <v>FARHANA BINTI MUSTAPA</v>
      </c>
      <c r="W4557" t="str">
        <f t="shared" si="1868"/>
        <v>04-08-2020</v>
      </c>
      <c r="X4557" t="str">
        <f t="shared" si="1869"/>
        <v>RAZIMAH ANSAR AHMAD</v>
      </c>
      <c r="Y4557" t="str">
        <f t="shared" si="1870"/>
        <v>04-08-2020</v>
      </c>
      <c r="Z4557" t="str">
        <f>"COS10200804 4597"</f>
        <v>COS10200804 4597</v>
      </c>
    </row>
    <row r="4558" spans="1:26" x14ac:dyDescent="0.25">
      <c r="A4558" t="str">
        <f t="shared" si="1871"/>
        <v>04-08-2020 12:49:50</v>
      </c>
      <c r="B4558" t="str">
        <f>"0000806376"</f>
        <v>0000806376</v>
      </c>
      <c r="C4558" t="str">
        <f t="shared" si="1872"/>
        <v>0000806180</v>
      </c>
      <c r="D4558" t="str">
        <f t="shared" si="1858"/>
        <v>73185</v>
      </c>
      <c r="E4558" t="str">
        <f t="shared" si="1859"/>
        <v>KFH-OPERATIONS DEPARTMENT</v>
      </c>
      <c r="F4558" t="str">
        <f t="shared" si="1860"/>
        <v>IBG</v>
      </c>
      <c r="G4558" t="str">
        <f t="shared" si="1873"/>
        <v>Refund COSHARE 10</v>
      </c>
      <c r="H4558" s="2">
        <v>856.3</v>
      </c>
      <c r="I4558" t="str">
        <f>"HAFIZAN BIN ZAKARIA"</f>
        <v>HAFIZAN BIN ZAKARIA</v>
      </c>
      <c r="J4558" t="str">
        <f t="shared" si="1847"/>
        <v>MAYBANK / MAYBANK ISLAMIC</v>
      </c>
      <c r="K4558" t="str">
        <f>"114178914966"</f>
        <v>114178914966</v>
      </c>
      <c r="L4558" t="str">
        <f t="shared" si="1856"/>
        <v>04-08-2020</v>
      </c>
      <c r="M4558" t="str">
        <f t="shared" si="1856"/>
        <v>04-08-2020</v>
      </c>
      <c r="N4558" t="str">
        <f t="shared" si="1861"/>
        <v>001105018356</v>
      </c>
      <c r="O4558" t="str">
        <f t="shared" si="1862"/>
        <v>MYR</v>
      </c>
      <c r="P4558" t="str">
        <f t="shared" si="1857"/>
        <v>NIL</v>
      </c>
      <c r="Q4558" t="str">
        <f t="shared" si="1857"/>
        <v>NIL</v>
      </c>
      <c r="R4558" t="str">
        <f t="shared" si="1863"/>
        <v>Accepted</v>
      </c>
      <c r="S4558" t="str">
        <f t="shared" si="1864"/>
        <v>Approved</v>
      </c>
      <c r="T4558" t="str">
        <f t="shared" si="1865"/>
        <v>10.20.8.188</v>
      </c>
      <c r="U4558" t="str">
        <f t="shared" si="1866"/>
        <v>AZRAD UMAR BIN SHAARI</v>
      </c>
      <c r="V4558" t="str">
        <f t="shared" si="1867"/>
        <v>FARHANA BINTI MUSTAPA</v>
      </c>
      <c r="W4558" t="str">
        <f t="shared" si="1868"/>
        <v>04-08-2020</v>
      </c>
      <c r="X4558" t="str">
        <f t="shared" si="1869"/>
        <v>RAZIMAH ANSAR AHMAD</v>
      </c>
      <c r="Y4558" t="str">
        <f t="shared" si="1870"/>
        <v>04-08-2020</v>
      </c>
      <c r="Z4558" t="str">
        <f>"COS10200804 4596"</f>
        <v>COS10200804 4596</v>
      </c>
    </row>
    <row r="4559" spans="1:26" x14ac:dyDescent="0.25">
      <c r="A4559" t="str">
        <f t="shared" si="1871"/>
        <v>04-08-2020 12:49:50</v>
      </c>
      <c r="B4559" t="str">
        <f>"0000806375"</f>
        <v>0000806375</v>
      </c>
      <c r="C4559" t="str">
        <f t="shared" si="1872"/>
        <v>0000806180</v>
      </c>
      <c r="D4559" t="str">
        <f t="shared" si="1858"/>
        <v>73185</v>
      </c>
      <c r="E4559" t="str">
        <f t="shared" si="1859"/>
        <v>KFH-OPERATIONS DEPARTMENT</v>
      </c>
      <c r="F4559" t="str">
        <f t="shared" si="1860"/>
        <v>IBG</v>
      </c>
      <c r="G4559" t="str">
        <f t="shared" si="1873"/>
        <v>Refund COSHARE 10</v>
      </c>
      <c r="H4559" s="2">
        <v>84</v>
      </c>
      <c r="I4559" t="str">
        <f>"HAFIZAMIN BIN HASIN  HASHIM"</f>
        <v>HAFIZAMIN BIN HASIN  HASHIM</v>
      </c>
      <c r="J4559" t="str">
        <f t="shared" si="1847"/>
        <v>MAYBANK / MAYBANK ISLAMIC</v>
      </c>
      <c r="K4559" t="str">
        <f>"164726002814"</f>
        <v>164726002814</v>
      </c>
      <c r="L4559" t="str">
        <f t="shared" si="1856"/>
        <v>04-08-2020</v>
      </c>
      <c r="M4559" t="str">
        <f t="shared" si="1856"/>
        <v>04-08-2020</v>
      </c>
      <c r="N4559" t="str">
        <f t="shared" si="1861"/>
        <v>001105018356</v>
      </c>
      <c r="O4559" t="str">
        <f t="shared" si="1862"/>
        <v>MYR</v>
      </c>
      <c r="P4559" t="str">
        <f t="shared" si="1857"/>
        <v>NIL</v>
      </c>
      <c r="Q4559" t="str">
        <f t="shared" si="1857"/>
        <v>NIL</v>
      </c>
      <c r="R4559" t="str">
        <f t="shared" si="1863"/>
        <v>Accepted</v>
      </c>
      <c r="S4559" t="str">
        <f t="shared" si="1864"/>
        <v>Approved</v>
      </c>
      <c r="T4559" t="str">
        <f t="shared" si="1865"/>
        <v>10.20.8.188</v>
      </c>
      <c r="U4559" t="str">
        <f t="shared" si="1866"/>
        <v>AZRAD UMAR BIN SHAARI</v>
      </c>
      <c r="V4559" t="str">
        <f t="shared" si="1867"/>
        <v>FARHANA BINTI MUSTAPA</v>
      </c>
      <c r="W4559" t="str">
        <f t="shared" si="1868"/>
        <v>04-08-2020</v>
      </c>
      <c r="X4559" t="str">
        <f t="shared" si="1869"/>
        <v>RAZIMAH ANSAR AHMAD</v>
      </c>
      <c r="Y4559" t="str">
        <f t="shared" si="1870"/>
        <v>04-08-2020</v>
      </c>
      <c r="Z4559" t="str">
        <f>"COS10200804 4595"</f>
        <v>COS10200804 4595</v>
      </c>
    </row>
    <row r="4560" spans="1:26" x14ac:dyDescent="0.25">
      <c r="A4560" t="str">
        <f t="shared" si="1871"/>
        <v>04-08-2020 12:49:50</v>
      </c>
      <c r="B4560" t="str">
        <f>"0000806374"</f>
        <v>0000806374</v>
      </c>
      <c r="C4560" t="str">
        <f t="shared" si="1872"/>
        <v>0000806180</v>
      </c>
      <c r="D4560" t="str">
        <f t="shared" si="1858"/>
        <v>73185</v>
      </c>
      <c r="E4560" t="str">
        <f t="shared" si="1859"/>
        <v>KFH-OPERATIONS DEPARTMENT</v>
      </c>
      <c r="F4560" t="str">
        <f t="shared" si="1860"/>
        <v>IBG</v>
      </c>
      <c r="G4560" t="str">
        <f t="shared" si="1873"/>
        <v>Refund COSHARE 10</v>
      </c>
      <c r="H4560" s="2">
        <v>862</v>
      </c>
      <c r="I4560" t="str">
        <f>"HAFIZAL BIN AHMAD"</f>
        <v>HAFIZAL BIN AHMAD</v>
      </c>
      <c r="J4560" t="str">
        <f t="shared" si="1847"/>
        <v>MAYBANK / MAYBANK ISLAMIC</v>
      </c>
      <c r="K4560" t="str">
        <f>"514141436734"</f>
        <v>514141436734</v>
      </c>
      <c r="L4560" t="str">
        <f t="shared" si="1856"/>
        <v>04-08-2020</v>
      </c>
      <c r="M4560" t="str">
        <f t="shared" si="1856"/>
        <v>04-08-2020</v>
      </c>
      <c r="N4560" t="str">
        <f t="shared" si="1861"/>
        <v>001105018356</v>
      </c>
      <c r="O4560" t="str">
        <f t="shared" si="1862"/>
        <v>MYR</v>
      </c>
      <c r="P4560" t="str">
        <f t="shared" si="1857"/>
        <v>NIL</v>
      </c>
      <c r="Q4560" t="str">
        <f t="shared" si="1857"/>
        <v>NIL</v>
      </c>
      <c r="R4560" t="str">
        <f t="shared" si="1863"/>
        <v>Accepted</v>
      </c>
      <c r="S4560" t="str">
        <f t="shared" si="1864"/>
        <v>Approved</v>
      </c>
      <c r="T4560" t="str">
        <f t="shared" si="1865"/>
        <v>10.20.8.188</v>
      </c>
      <c r="U4560" t="str">
        <f t="shared" si="1866"/>
        <v>AZRAD UMAR BIN SHAARI</v>
      </c>
      <c r="V4560" t="str">
        <f t="shared" si="1867"/>
        <v>FARHANA BINTI MUSTAPA</v>
      </c>
      <c r="W4560" t="str">
        <f t="shared" si="1868"/>
        <v>04-08-2020</v>
      </c>
      <c r="X4560" t="str">
        <f t="shared" si="1869"/>
        <v>RAZIMAH ANSAR AHMAD</v>
      </c>
      <c r="Y4560" t="str">
        <f t="shared" si="1870"/>
        <v>04-08-2020</v>
      </c>
      <c r="Z4560" t="str">
        <f>"COS10200804 4594"</f>
        <v>COS10200804 4594</v>
      </c>
    </row>
    <row r="4561" spans="1:26" x14ac:dyDescent="0.25">
      <c r="A4561" t="str">
        <f t="shared" si="1871"/>
        <v>04-08-2020 12:49:50</v>
      </c>
      <c r="B4561" t="str">
        <f>"0000806373"</f>
        <v>0000806373</v>
      </c>
      <c r="C4561" t="str">
        <f t="shared" si="1872"/>
        <v>0000806180</v>
      </c>
      <c r="D4561" t="str">
        <f t="shared" si="1858"/>
        <v>73185</v>
      </c>
      <c r="E4561" t="str">
        <f t="shared" si="1859"/>
        <v>KFH-OPERATIONS DEPARTMENT</v>
      </c>
      <c r="F4561" t="str">
        <f t="shared" si="1860"/>
        <v>IBG</v>
      </c>
      <c r="G4561" t="str">
        <f t="shared" si="1873"/>
        <v>Refund COSHARE 10</v>
      </c>
      <c r="H4561" s="2">
        <v>125.95</v>
      </c>
      <c r="I4561" t="str">
        <f>"HAFIZAH JOHOR BINTI ARIFF JOHOR"</f>
        <v>HAFIZAH JOHOR BINTI ARIFF JOHOR</v>
      </c>
      <c r="J4561" t="str">
        <f t="shared" ref="J4561:J4624" si="1874">"MAYBANK / MAYBANK ISLAMIC"</f>
        <v>MAYBANK / MAYBANK ISLAMIC</v>
      </c>
      <c r="K4561" t="str">
        <f>"151034655898"</f>
        <v>151034655898</v>
      </c>
      <c r="L4561" t="str">
        <f t="shared" si="1856"/>
        <v>04-08-2020</v>
      </c>
      <c r="M4561" t="str">
        <f t="shared" si="1856"/>
        <v>04-08-2020</v>
      </c>
      <c r="N4561" t="str">
        <f t="shared" si="1861"/>
        <v>001105018356</v>
      </c>
      <c r="O4561" t="str">
        <f t="shared" si="1862"/>
        <v>MYR</v>
      </c>
      <c r="P4561" t="str">
        <f t="shared" si="1857"/>
        <v>NIL</v>
      </c>
      <c r="Q4561" t="str">
        <f t="shared" si="1857"/>
        <v>NIL</v>
      </c>
      <c r="R4561" t="str">
        <f t="shared" si="1863"/>
        <v>Accepted</v>
      </c>
      <c r="S4561" t="str">
        <f t="shared" si="1864"/>
        <v>Approved</v>
      </c>
      <c r="T4561" t="str">
        <f t="shared" si="1865"/>
        <v>10.20.8.188</v>
      </c>
      <c r="U4561" t="str">
        <f t="shared" si="1866"/>
        <v>AZRAD UMAR BIN SHAARI</v>
      </c>
      <c r="V4561" t="str">
        <f t="shared" si="1867"/>
        <v>FARHANA BINTI MUSTAPA</v>
      </c>
      <c r="W4561" t="str">
        <f t="shared" si="1868"/>
        <v>04-08-2020</v>
      </c>
      <c r="X4561" t="str">
        <f t="shared" si="1869"/>
        <v>RAZIMAH ANSAR AHMAD</v>
      </c>
      <c r="Y4561" t="str">
        <f t="shared" si="1870"/>
        <v>04-08-2020</v>
      </c>
      <c r="Z4561" t="str">
        <f>"COS10200804 4593"</f>
        <v>COS10200804 4593</v>
      </c>
    </row>
    <row r="4562" spans="1:26" x14ac:dyDescent="0.25">
      <c r="A4562" t="str">
        <f t="shared" si="1871"/>
        <v>04-08-2020 12:49:50</v>
      </c>
      <c r="B4562" t="str">
        <f>"0000806372"</f>
        <v>0000806372</v>
      </c>
      <c r="C4562" t="str">
        <f t="shared" si="1872"/>
        <v>0000806180</v>
      </c>
      <c r="D4562" t="str">
        <f t="shared" si="1858"/>
        <v>73185</v>
      </c>
      <c r="E4562" t="str">
        <f t="shared" si="1859"/>
        <v>KFH-OPERATIONS DEPARTMENT</v>
      </c>
      <c r="F4562" t="str">
        <f t="shared" si="1860"/>
        <v>IBG</v>
      </c>
      <c r="G4562" t="str">
        <f t="shared" si="1873"/>
        <v>Refund COSHARE 10</v>
      </c>
      <c r="H4562" s="2">
        <v>377.8</v>
      </c>
      <c r="I4562" t="str">
        <f>"HAFIZAH BINTI IDRIS"</f>
        <v>HAFIZAH BINTI IDRIS</v>
      </c>
      <c r="J4562" t="str">
        <f t="shared" si="1874"/>
        <v>MAYBANK / MAYBANK ISLAMIC</v>
      </c>
      <c r="K4562" t="str">
        <f>"162151671526"</f>
        <v>162151671526</v>
      </c>
      <c r="L4562" t="str">
        <f t="shared" si="1856"/>
        <v>04-08-2020</v>
      </c>
      <c r="M4562" t="str">
        <f t="shared" si="1856"/>
        <v>04-08-2020</v>
      </c>
      <c r="N4562" t="str">
        <f t="shared" si="1861"/>
        <v>001105018356</v>
      </c>
      <c r="O4562" t="str">
        <f t="shared" si="1862"/>
        <v>MYR</v>
      </c>
      <c r="P4562" t="str">
        <f t="shared" si="1857"/>
        <v>NIL</v>
      </c>
      <c r="Q4562" t="str">
        <f t="shared" si="1857"/>
        <v>NIL</v>
      </c>
      <c r="R4562" t="str">
        <f t="shared" si="1863"/>
        <v>Accepted</v>
      </c>
      <c r="S4562" t="str">
        <f t="shared" si="1864"/>
        <v>Approved</v>
      </c>
      <c r="T4562" t="str">
        <f t="shared" si="1865"/>
        <v>10.20.8.188</v>
      </c>
      <c r="U4562" t="str">
        <f t="shared" si="1866"/>
        <v>AZRAD UMAR BIN SHAARI</v>
      </c>
      <c r="V4562" t="str">
        <f t="shared" si="1867"/>
        <v>FARHANA BINTI MUSTAPA</v>
      </c>
      <c r="W4562" t="str">
        <f t="shared" si="1868"/>
        <v>04-08-2020</v>
      </c>
      <c r="X4562" t="str">
        <f t="shared" si="1869"/>
        <v>RAZIMAH ANSAR AHMAD</v>
      </c>
      <c r="Y4562" t="str">
        <f t="shared" si="1870"/>
        <v>04-08-2020</v>
      </c>
      <c r="Z4562" t="str">
        <f>"COS10200804 4592"</f>
        <v>COS10200804 4592</v>
      </c>
    </row>
    <row r="4563" spans="1:26" x14ac:dyDescent="0.25">
      <c r="A4563" t="str">
        <f t="shared" si="1871"/>
        <v>04-08-2020 12:49:50</v>
      </c>
      <c r="B4563" t="str">
        <f>"0000806371"</f>
        <v>0000806371</v>
      </c>
      <c r="C4563" t="str">
        <f t="shared" si="1872"/>
        <v>0000806180</v>
      </c>
      <c r="D4563" t="str">
        <f t="shared" si="1858"/>
        <v>73185</v>
      </c>
      <c r="E4563" t="str">
        <f t="shared" si="1859"/>
        <v>KFH-OPERATIONS DEPARTMENT</v>
      </c>
      <c r="F4563" t="str">
        <f t="shared" si="1860"/>
        <v>IBG</v>
      </c>
      <c r="G4563" t="str">
        <f t="shared" si="1873"/>
        <v>Refund COSHARE 10</v>
      </c>
      <c r="H4563" s="2">
        <v>503.7</v>
      </c>
      <c r="I4563" t="str">
        <f>"HAFIZAH BINTI HALIM"</f>
        <v>HAFIZAH BINTI HALIM</v>
      </c>
      <c r="J4563" t="str">
        <f t="shared" si="1874"/>
        <v>MAYBANK / MAYBANK ISLAMIC</v>
      </c>
      <c r="K4563" t="str">
        <f>"157223142782"</f>
        <v>157223142782</v>
      </c>
      <c r="L4563" t="str">
        <f t="shared" si="1856"/>
        <v>04-08-2020</v>
      </c>
      <c r="M4563" t="str">
        <f t="shared" si="1856"/>
        <v>04-08-2020</v>
      </c>
      <c r="N4563" t="str">
        <f t="shared" si="1861"/>
        <v>001105018356</v>
      </c>
      <c r="O4563" t="str">
        <f t="shared" si="1862"/>
        <v>MYR</v>
      </c>
      <c r="P4563" t="str">
        <f t="shared" si="1857"/>
        <v>NIL</v>
      </c>
      <c r="Q4563" t="str">
        <f t="shared" si="1857"/>
        <v>NIL</v>
      </c>
      <c r="R4563" t="str">
        <f t="shared" si="1863"/>
        <v>Accepted</v>
      </c>
      <c r="S4563" t="str">
        <f t="shared" si="1864"/>
        <v>Approved</v>
      </c>
      <c r="T4563" t="str">
        <f t="shared" si="1865"/>
        <v>10.20.8.188</v>
      </c>
      <c r="U4563" t="str">
        <f t="shared" si="1866"/>
        <v>AZRAD UMAR BIN SHAARI</v>
      </c>
      <c r="V4563" t="str">
        <f t="shared" si="1867"/>
        <v>FARHANA BINTI MUSTAPA</v>
      </c>
      <c r="W4563" t="str">
        <f t="shared" si="1868"/>
        <v>04-08-2020</v>
      </c>
      <c r="X4563" t="str">
        <f t="shared" si="1869"/>
        <v>RAZIMAH ANSAR AHMAD</v>
      </c>
      <c r="Y4563" t="str">
        <f t="shared" si="1870"/>
        <v>04-08-2020</v>
      </c>
      <c r="Z4563" t="str">
        <f>"COS10200804 4591"</f>
        <v>COS10200804 4591</v>
      </c>
    </row>
    <row r="4564" spans="1:26" x14ac:dyDescent="0.25">
      <c r="A4564" t="str">
        <f t="shared" si="1871"/>
        <v>04-08-2020 12:49:50</v>
      </c>
      <c r="B4564" t="str">
        <f>"0000806370"</f>
        <v>0000806370</v>
      </c>
      <c r="C4564" t="str">
        <f t="shared" si="1872"/>
        <v>0000806180</v>
      </c>
      <c r="D4564" t="str">
        <f t="shared" si="1858"/>
        <v>73185</v>
      </c>
      <c r="E4564" t="str">
        <f t="shared" si="1859"/>
        <v>KFH-OPERATIONS DEPARTMENT</v>
      </c>
      <c r="F4564" t="str">
        <f t="shared" si="1860"/>
        <v>IBG</v>
      </c>
      <c r="G4564" t="str">
        <f t="shared" si="1873"/>
        <v>Refund COSHARE 10</v>
      </c>
      <c r="H4564" s="2">
        <v>58.95</v>
      </c>
      <c r="I4564" t="str">
        <f>"HAFIZAH BINTI AHMAD"</f>
        <v>HAFIZAH BINTI AHMAD</v>
      </c>
      <c r="J4564" t="str">
        <f t="shared" si="1874"/>
        <v>MAYBANK / MAYBANK ISLAMIC</v>
      </c>
      <c r="K4564" t="str">
        <f>"114169619957"</f>
        <v>114169619957</v>
      </c>
      <c r="L4564" t="str">
        <f t="shared" si="1856"/>
        <v>04-08-2020</v>
      </c>
      <c r="M4564" t="str">
        <f t="shared" si="1856"/>
        <v>04-08-2020</v>
      </c>
      <c r="N4564" t="str">
        <f t="shared" si="1861"/>
        <v>001105018356</v>
      </c>
      <c r="O4564" t="str">
        <f t="shared" si="1862"/>
        <v>MYR</v>
      </c>
      <c r="P4564" t="str">
        <f t="shared" si="1857"/>
        <v>NIL</v>
      </c>
      <c r="Q4564" t="str">
        <f t="shared" si="1857"/>
        <v>NIL</v>
      </c>
      <c r="R4564" t="str">
        <f t="shared" si="1863"/>
        <v>Accepted</v>
      </c>
      <c r="S4564" t="str">
        <f t="shared" si="1864"/>
        <v>Approved</v>
      </c>
      <c r="T4564" t="str">
        <f t="shared" si="1865"/>
        <v>10.20.8.188</v>
      </c>
      <c r="U4564" t="str">
        <f t="shared" si="1866"/>
        <v>AZRAD UMAR BIN SHAARI</v>
      </c>
      <c r="V4564" t="str">
        <f t="shared" si="1867"/>
        <v>FARHANA BINTI MUSTAPA</v>
      </c>
      <c r="W4564" t="str">
        <f t="shared" si="1868"/>
        <v>04-08-2020</v>
      </c>
      <c r="X4564" t="str">
        <f t="shared" si="1869"/>
        <v>RAZIMAH ANSAR AHMAD</v>
      </c>
      <c r="Y4564" t="str">
        <f t="shared" si="1870"/>
        <v>04-08-2020</v>
      </c>
      <c r="Z4564" t="str">
        <f>"COS10200804 4590"</f>
        <v>COS10200804 4590</v>
      </c>
    </row>
    <row r="4565" spans="1:26" x14ac:dyDescent="0.25">
      <c r="A4565" t="str">
        <f t="shared" si="1871"/>
        <v>04-08-2020 12:49:50</v>
      </c>
      <c r="B4565" t="str">
        <f>"0000806369"</f>
        <v>0000806369</v>
      </c>
      <c r="C4565" t="str">
        <f t="shared" si="1872"/>
        <v>0000806180</v>
      </c>
      <c r="D4565" t="str">
        <f t="shared" si="1858"/>
        <v>73185</v>
      </c>
      <c r="E4565" t="str">
        <f t="shared" si="1859"/>
        <v>KFH-OPERATIONS DEPARTMENT</v>
      </c>
      <c r="F4565" t="str">
        <f t="shared" si="1860"/>
        <v>IBG</v>
      </c>
      <c r="G4565" t="str">
        <f t="shared" si="1873"/>
        <v>Refund COSHARE 10</v>
      </c>
      <c r="H4565" s="2">
        <v>83.95</v>
      </c>
      <c r="I4565" t="str">
        <f>"HAFIZ BIN ABU ZAKI"</f>
        <v>HAFIZ BIN ABU ZAKI</v>
      </c>
      <c r="J4565" t="str">
        <f t="shared" si="1874"/>
        <v>MAYBANK / MAYBANK ISLAMIC</v>
      </c>
      <c r="K4565" t="str">
        <f>"151071225570"</f>
        <v>151071225570</v>
      </c>
      <c r="L4565" t="str">
        <f t="shared" si="1856"/>
        <v>04-08-2020</v>
      </c>
      <c r="M4565" t="str">
        <f t="shared" si="1856"/>
        <v>04-08-2020</v>
      </c>
      <c r="N4565" t="str">
        <f t="shared" si="1861"/>
        <v>001105018356</v>
      </c>
      <c r="O4565" t="str">
        <f t="shared" si="1862"/>
        <v>MYR</v>
      </c>
      <c r="P4565" t="str">
        <f t="shared" si="1857"/>
        <v>NIL</v>
      </c>
      <c r="Q4565" t="str">
        <f t="shared" si="1857"/>
        <v>NIL</v>
      </c>
      <c r="R4565" t="str">
        <f t="shared" si="1863"/>
        <v>Accepted</v>
      </c>
      <c r="S4565" t="str">
        <f t="shared" si="1864"/>
        <v>Approved</v>
      </c>
      <c r="T4565" t="str">
        <f t="shared" si="1865"/>
        <v>10.20.8.188</v>
      </c>
      <c r="U4565" t="str">
        <f t="shared" si="1866"/>
        <v>AZRAD UMAR BIN SHAARI</v>
      </c>
      <c r="V4565" t="str">
        <f t="shared" si="1867"/>
        <v>FARHANA BINTI MUSTAPA</v>
      </c>
      <c r="W4565" t="str">
        <f t="shared" si="1868"/>
        <v>04-08-2020</v>
      </c>
      <c r="X4565" t="str">
        <f t="shared" si="1869"/>
        <v>RAZIMAH ANSAR AHMAD</v>
      </c>
      <c r="Y4565" t="str">
        <f t="shared" si="1870"/>
        <v>04-08-2020</v>
      </c>
      <c r="Z4565" t="str">
        <f>"COS10200804 4589"</f>
        <v>COS10200804 4589</v>
      </c>
    </row>
    <row r="4566" spans="1:26" x14ac:dyDescent="0.25">
      <c r="A4566" t="str">
        <f t="shared" si="1871"/>
        <v>04-08-2020 12:49:50</v>
      </c>
      <c r="B4566" t="str">
        <f>"0000806368"</f>
        <v>0000806368</v>
      </c>
      <c r="C4566" t="str">
        <f t="shared" si="1872"/>
        <v>0000806180</v>
      </c>
      <c r="D4566" t="str">
        <f t="shared" si="1858"/>
        <v>73185</v>
      </c>
      <c r="E4566" t="str">
        <f t="shared" si="1859"/>
        <v>KFH-OPERATIONS DEPARTMENT</v>
      </c>
      <c r="F4566" t="str">
        <f t="shared" si="1860"/>
        <v>IBG</v>
      </c>
      <c r="G4566" t="str">
        <f t="shared" si="1873"/>
        <v>Refund COSHARE 10</v>
      </c>
      <c r="H4566" s="2">
        <v>361</v>
      </c>
      <c r="I4566" t="str">
        <f>"HAFIS AZHAR BIN BUJANG"</f>
        <v>HAFIS AZHAR BIN BUJANG</v>
      </c>
      <c r="J4566" t="str">
        <f t="shared" si="1874"/>
        <v>MAYBANK / MAYBANK ISLAMIC</v>
      </c>
      <c r="K4566" t="str">
        <f>"162478105814"</f>
        <v>162478105814</v>
      </c>
      <c r="L4566" t="str">
        <f t="shared" si="1856"/>
        <v>04-08-2020</v>
      </c>
      <c r="M4566" t="str">
        <f t="shared" si="1856"/>
        <v>04-08-2020</v>
      </c>
      <c r="N4566" t="str">
        <f t="shared" si="1861"/>
        <v>001105018356</v>
      </c>
      <c r="O4566" t="str">
        <f t="shared" si="1862"/>
        <v>MYR</v>
      </c>
      <c r="P4566" t="str">
        <f t="shared" si="1857"/>
        <v>NIL</v>
      </c>
      <c r="Q4566" t="str">
        <f t="shared" si="1857"/>
        <v>NIL</v>
      </c>
      <c r="R4566" t="str">
        <f t="shared" si="1863"/>
        <v>Accepted</v>
      </c>
      <c r="S4566" t="str">
        <f t="shared" si="1864"/>
        <v>Approved</v>
      </c>
      <c r="T4566" t="str">
        <f t="shared" si="1865"/>
        <v>10.20.8.188</v>
      </c>
      <c r="U4566" t="str">
        <f t="shared" si="1866"/>
        <v>AZRAD UMAR BIN SHAARI</v>
      </c>
      <c r="V4566" t="str">
        <f t="shared" si="1867"/>
        <v>FARHANA BINTI MUSTAPA</v>
      </c>
      <c r="W4566" t="str">
        <f t="shared" si="1868"/>
        <v>04-08-2020</v>
      </c>
      <c r="X4566" t="str">
        <f t="shared" si="1869"/>
        <v>RAZIMAH ANSAR AHMAD</v>
      </c>
      <c r="Y4566" t="str">
        <f t="shared" si="1870"/>
        <v>04-08-2020</v>
      </c>
      <c r="Z4566" t="str">
        <f>"COS10200804 4588"</f>
        <v>COS10200804 4588</v>
      </c>
    </row>
    <row r="4567" spans="1:26" x14ac:dyDescent="0.25">
      <c r="A4567" t="str">
        <f t="shared" si="1871"/>
        <v>04-08-2020 12:49:50</v>
      </c>
      <c r="B4567" t="str">
        <f>"0000806367"</f>
        <v>0000806367</v>
      </c>
      <c r="C4567" t="str">
        <f t="shared" si="1872"/>
        <v>0000806180</v>
      </c>
      <c r="D4567" t="str">
        <f t="shared" si="1858"/>
        <v>73185</v>
      </c>
      <c r="E4567" t="str">
        <f t="shared" si="1859"/>
        <v>KFH-OPERATIONS DEPARTMENT</v>
      </c>
      <c r="F4567" t="str">
        <f t="shared" si="1860"/>
        <v>IBG</v>
      </c>
      <c r="G4567" t="str">
        <f t="shared" si="1873"/>
        <v>Refund COSHARE 10</v>
      </c>
      <c r="H4567" s="2">
        <v>160</v>
      </c>
      <c r="I4567" t="str">
        <f>"HADRI BIN AHMAD"</f>
        <v>HADRI BIN AHMAD</v>
      </c>
      <c r="J4567" t="str">
        <f t="shared" si="1874"/>
        <v>MAYBANK / MAYBANK ISLAMIC</v>
      </c>
      <c r="K4567" t="str">
        <f>"108131159029"</f>
        <v>108131159029</v>
      </c>
      <c r="L4567" t="str">
        <f t="shared" ref="L4567:M4586" si="1875">"04-08-2020"</f>
        <v>04-08-2020</v>
      </c>
      <c r="M4567" t="str">
        <f t="shared" si="1875"/>
        <v>04-08-2020</v>
      </c>
      <c r="N4567" t="str">
        <f t="shared" si="1861"/>
        <v>001105018356</v>
      </c>
      <c r="O4567" t="str">
        <f t="shared" si="1862"/>
        <v>MYR</v>
      </c>
      <c r="P4567" t="str">
        <f t="shared" ref="P4567:Q4586" si="1876">"NIL"</f>
        <v>NIL</v>
      </c>
      <c r="Q4567" t="str">
        <f t="shared" si="1876"/>
        <v>NIL</v>
      </c>
      <c r="R4567" t="str">
        <f t="shared" si="1863"/>
        <v>Accepted</v>
      </c>
      <c r="S4567" t="str">
        <f t="shared" si="1864"/>
        <v>Approved</v>
      </c>
      <c r="T4567" t="str">
        <f t="shared" si="1865"/>
        <v>10.20.8.188</v>
      </c>
      <c r="U4567" t="str">
        <f t="shared" si="1866"/>
        <v>AZRAD UMAR BIN SHAARI</v>
      </c>
      <c r="V4567" t="str">
        <f t="shared" si="1867"/>
        <v>FARHANA BINTI MUSTAPA</v>
      </c>
      <c r="W4567" t="str">
        <f t="shared" si="1868"/>
        <v>04-08-2020</v>
      </c>
      <c r="X4567" t="str">
        <f t="shared" si="1869"/>
        <v>RAZIMAH ANSAR AHMAD</v>
      </c>
      <c r="Y4567" t="str">
        <f t="shared" si="1870"/>
        <v>04-08-2020</v>
      </c>
      <c r="Z4567" t="str">
        <f>"COS10200804 4587"</f>
        <v>COS10200804 4587</v>
      </c>
    </row>
    <row r="4568" spans="1:26" x14ac:dyDescent="0.25">
      <c r="A4568" t="str">
        <f t="shared" si="1871"/>
        <v>04-08-2020 12:49:50</v>
      </c>
      <c r="B4568" t="str">
        <f>"0000806366"</f>
        <v>0000806366</v>
      </c>
      <c r="C4568" t="str">
        <f t="shared" si="1872"/>
        <v>0000806180</v>
      </c>
      <c r="D4568" t="str">
        <f t="shared" si="1858"/>
        <v>73185</v>
      </c>
      <c r="E4568" t="str">
        <f t="shared" si="1859"/>
        <v>KFH-OPERATIONS DEPARTMENT</v>
      </c>
      <c r="F4568" t="str">
        <f t="shared" si="1860"/>
        <v>IBG</v>
      </c>
      <c r="G4568" t="str">
        <f t="shared" si="1873"/>
        <v>Refund COSHARE 10</v>
      </c>
      <c r="H4568" s="2">
        <v>587.65</v>
      </c>
      <c r="I4568" t="str">
        <f>"HADIS BIN JALUDIN"</f>
        <v>HADIS BIN JALUDIN</v>
      </c>
      <c r="J4568" t="str">
        <f t="shared" si="1874"/>
        <v>MAYBANK / MAYBANK ISLAMIC</v>
      </c>
      <c r="K4568" t="str">
        <f>"160018625976"</f>
        <v>160018625976</v>
      </c>
      <c r="L4568" t="str">
        <f t="shared" si="1875"/>
        <v>04-08-2020</v>
      </c>
      <c r="M4568" t="str">
        <f t="shared" si="1875"/>
        <v>04-08-2020</v>
      </c>
      <c r="N4568" t="str">
        <f t="shared" si="1861"/>
        <v>001105018356</v>
      </c>
      <c r="O4568" t="str">
        <f t="shared" si="1862"/>
        <v>MYR</v>
      </c>
      <c r="P4568" t="str">
        <f t="shared" si="1876"/>
        <v>NIL</v>
      </c>
      <c r="Q4568" t="str">
        <f t="shared" si="1876"/>
        <v>NIL</v>
      </c>
      <c r="R4568" t="str">
        <f t="shared" si="1863"/>
        <v>Accepted</v>
      </c>
      <c r="S4568" t="str">
        <f t="shared" si="1864"/>
        <v>Approved</v>
      </c>
      <c r="T4568" t="str">
        <f t="shared" si="1865"/>
        <v>10.20.8.188</v>
      </c>
      <c r="U4568" t="str">
        <f t="shared" si="1866"/>
        <v>AZRAD UMAR BIN SHAARI</v>
      </c>
      <c r="V4568" t="str">
        <f t="shared" si="1867"/>
        <v>FARHANA BINTI MUSTAPA</v>
      </c>
      <c r="W4568" t="str">
        <f t="shared" si="1868"/>
        <v>04-08-2020</v>
      </c>
      <c r="X4568" t="str">
        <f t="shared" si="1869"/>
        <v>RAZIMAH ANSAR AHMAD</v>
      </c>
      <c r="Y4568" t="str">
        <f t="shared" si="1870"/>
        <v>04-08-2020</v>
      </c>
      <c r="Z4568" t="str">
        <f>"COS10200804 4586"</f>
        <v>COS10200804 4586</v>
      </c>
    </row>
    <row r="4569" spans="1:26" x14ac:dyDescent="0.25">
      <c r="A4569" t="str">
        <f t="shared" si="1871"/>
        <v>04-08-2020 12:49:50</v>
      </c>
      <c r="B4569" t="str">
        <f>"0000806365"</f>
        <v>0000806365</v>
      </c>
      <c r="C4569" t="str">
        <f t="shared" si="1872"/>
        <v>0000806180</v>
      </c>
      <c r="D4569" t="str">
        <f t="shared" si="1858"/>
        <v>73185</v>
      </c>
      <c r="E4569" t="str">
        <f t="shared" si="1859"/>
        <v>KFH-OPERATIONS DEPARTMENT</v>
      </c>
      <c r="F4569" t="str">
        <f t="shared" si="1860"/>
        <v>IBG</v>
      </c>
      <c r="G4569" t="str">
        <f t="shared" si="1873"/>
        <v>Refund COSHARE 10</v>
      </c>
      <c r="H4569" s="2">
        <v>67</v>
      </c>
      <c r="I4569" t="str">
        <f>"HABIBON BIN TAHA"</f>
        <v>HABIBON BIN TAHA</v>
      </c>
      <c r="J4569" t="str">
        <f t="shared" si="1874"/>
        <v>MAYBANK / MAYBANK ISLAMIC</v>
      </c>
      <c r="K4569" t="str">
        <f>"160027015457"</f>
        <v>160027015457</v>
      </c>
      <c r="L4569" t="str">
        <f t="shared" si="1875"/>
        <v>04-08-2020</v>
      </c>
      <c r="M4569" t="str">
        <f t="shared" si="1875"/>
        <v>04-08-2020</v>
      </c>
      <c r="N4569" t="str">
        <f t="shared" si="1861"/>
        <v>001105018356</v>
      </c>
      <c r="O4569" t="str">
        <f t="shared" si="1862"/>
        <v>MYR</v>
      </c>
      <c r="P4569" t="str">
        <f t="shared" si="1876"/>
        <v>NIL</v>
      </c>
      <c r="Q4569" t="str">
        <f t="shared" si="1876"/>
        <v>NIL</v>
      </c>
      <c r="R4569" t="str">
        <f t="shared" si="1863"/>
        <v>Accepted</v>
      </c>
      <c r="S4569" t="str">
        <f t="shared" si="1864"/>
        <v>Approved</v>
      </c>
      <c r="T4569" t="str">
        <f t="shared" si="1865"/>
        <v>10.20.8.188</v>
      </c>
      <c r="U4569" t="str">
        <f t="shared" si="1866"/>
        <v>AZRAD UMAR BIN SHAARI</v>
      </c>
      <c r="V4569" t="str">
        <f t="shared" si="1867"/>
        <v>FARHANA BINTI MUSTAPA</v>
      </c>
      <c r="W4569" t="str">
        <f t="shared" si="1868"/>
        <v>04-08-2020</v>
      </c>
      <c r="X4569" t="str">
        <f t="shared" si="1869"/>
        <v>RAZIMAH ANSAR AHMAD</v>
      </c>
      <c r="Y4569" t="str">
        <f t="shared" si="1870"/>
        <v>04-08-2020</v>
      </c>
      <c r="Z4569" t="str">
        <f>"COS10200804 4585"</f>
        <v>COS10200804 4585</v>
      </c>
    </row>
    <row r="4570" spans="1:26" x14ac:dyDescent="0.25">
      <c r="A4570" t="str">
        <f t="shared" si="1871"/>
        <v>04-08-2020 12:49:50</v>
      </c>
      <c r="B4570" t="str">
        <f>"0000806364"</f>
        <v>0000806364</v>
      </c>
      <c r="C4570" t="str">
        <f t="shared" si="1872"/>
        <v>0000806180</v>
      </c>
      <c r="D4570" t="str">
        <f t="shared" si="1858"/>
        <v>73185</v>
      </c>
      <c r="E4570" t="str">
        <f t="shared" si="1859"/>
        <v>KFH-OPERATIONS DEPARTMENT</v>
      </c>
      <c r="F4570" t="str">
        <f t="shared" si="1860"/>
        <v>IBG</v>
      </c>
      <c r="G4570" t="str">
        <f t="shared" si="1873"/>
        <v>Refund COSHARE 10</v>
      </c>
      <c r="H4570" s="2">
        <v>361</v>
      </c>
      <c r="I4570" t="str">
        <f>"HABIBAH BINTI ANANG  ABDUL MANAN"</f>
        <v>HABIBAH BINTI ANANG  ABDUL MANAN</v>
      </c>
      <c r="J4570" t="str">
        <f t="shared" si="1874"/>
        <v>MAYBANK / MAYBANK ISLAMIC</v>
      </c>
      <c r="K4570" t="str">
        <f>"163019563562"</f>
        <v>163019563562</v>
      </c>
      <c r="L4570" t="str">
        <f t="shared" si="1875"/>
        <v>04-08-2020</v>
      </c>
      <c r="M4570" t="str">
        <f t="shared" si="1875"/>
        <v>04-08-2020</v>
      </c>
      <c r="N4570" t="str">
        <f t="shared" si="1861"/>
        <v>001105018356</v>
      </c>
      <c r="O4570" t="str">
        <f t="shared" si="1862"/>
        <v>MYR</v>
      </c>
      <c r="P4570" t="str">
        <f t="shared" si="1876"/>
        <v>NIL</v>
      </c>
      <c r="Q4570" t="str">
        <f t="shared" si="1876"/>
        <v>NIL</v>
      </c>
      <c r="R4570" t="str">
        <f t="shared" si="1863"/>
        <v>Accepted</v>
      </c>
      <c r="S4570" t="str">
        <f t="shared" si="1864"/>
        <v>Approved</v>
      </c>
      <c r="T4570" t="str">
        <f t="shared" si="1865"/>
        <v>10.20.8.188</v>
      </c>
      <c r="U4570" t="str">
        <f t="shared" si="1866"/>
        <v>AZRAD UMAR BIN SHAARI</v>
      </c>
      <c r="V4570" t="str">
        <f t="shared" si="1867"/>
        <v>FARHANA BINTI MUSTAPA</v>
      </c>
      <c r="W4570" t="str">
        <f t="shared" si="1868"/>
        <v>04-08-2020</v>
      </c>
      <c r="X4570" t="str">
        <f t="shared" si="1869"/>
        <v>RAZIMAH ANSAR AHMAD</v>
      </c>
      <c r="Y4570" t="str">
        <f t="shared" si="1870"/>
        <v>04-08-2020</v>
      </c>
      <c r="Z4570" t="str">
        <f>"COS10200804 4584"</f>
        <v>COS10200804 4584</v>
      </c>
    </row>
    <row r="4571" spans="1:26" x14ac:dyDescent="0.25">
      <c r="A4571" t="str">
        <f t="shared" si="1871"/>
        <v>04-08-2020 12:49:50</v>
      </c>
      <c r="B4571" t="str">
        <f>"0000806363"</f>
        <v>0000806363</v>
      </c>
      <c r="C4571" t="str">
        <f t="shared" si="1872"/>
        <v>0000806180</v>
      </c>
      <c r="D4571" t="str">
        <f t="shared" si="1858"/>
        <v>73185</v>
      </c>
      <c r="E4571" t="str">
        <f t="shared" si="1859"/>
        <v>KFH-OPERATIONS DEPARTMENT</v>
      </c>
      <c r="F4571" t="str">
        <f t="shared" si="1860"/>
        <v>IBG</v>
      </c>
      <c r="G4571" t="str">
        <f t="shared" si="1873"/>
        <v>Refund COSHARE 10</v>
      </c>
      <c r="H4571" s="2">
        <v>149.9</v>
      </c>
      <c r="I4571" t="str">
        <f>"HABIBAH BINTI ARAHIM"</f>
        <v>HABIBAH BINTI ARAHIM</v>
      </c>
      <c r="J4571" t="str">
        <f t="shared" si="1874"/>
        <v>MAYBANK / MAYBANK ISLAMIC</v>
      </c>
      <c r="K4571" t="str">
        <f>"108225131070"</f>
        <v>108225131070</v>
      </c>
      <c r="L4571" t="str">
        <f t="shared" si="1875"/>
        <v>04-08-2020</v>
      </c>
      <c r="M4571" t="str">
        <f t="shared" si="1875"/>
        <v>04-08-2020</v>
      </c>
      <c r="N4571" t="str">
        <f t="shared" si="1861"/>
        <v>001105018356</v>
      </c>
      <c r="O4571" t="str">
        <f t="shared" si="1862"/>
        <v>MYR</v>
      </c>
      <c r="P4571" t="str">
        <f t="shared" si="1876"/>
        <v>NIL</v>
      </c>
      <c r="Q4571" t="str">
        <f t="shared" si="1876"/>
        <v>NIL</v>
      </c>
      <c r="R4571" t="str">
        <f t="shared" si="1863"/>
        <v>Accepted</v>
      </c>
      <c r="S4571" t="str">
        <f t="shared" si="1864"/>
        <v>Approved</v>
      </c>
      <c r="T4571" t="str">
        <f t="shared" si="1865"/>
        <v>10.20.8.188</v>
      </c>
      <c r="U4571" t="str">
        <f t="shared" si="1866"/>
        <v>AZRAD UMAR BIN SHAARI</v>
      </c>
      <c r="V4571" t="str">
        <f t="shared" si="1867"/>
        <v>FARHANA BINTI MUSTAPA</v>
      </c>
      <c r="W4571" t="str">
        <f t="shared" si="1868"/>
        <v>04-08-2020</v>
      </c>
      <c r="X4571" t="str">
        <f t="shared" si="1869"/>
        <v>RAZIMAH ANSAR AHMAD</v>
      </c>
      <c r="Y4571" t="str">
        <f t="shared" si="1870"/>
        <v>04-08-2020</v>
      </c>
      <c r="Z4571" t="str">
        <f>"COS10200804 4583"</f>
        <v>COS10200804 4583</v>
      </c>
    </row>
    <row r="4572" spans="1:26" x14ac:dyDescent="0.25">
      <c r="A4572" t="str">
        <f t="shared" si="1871"/>
        <v>04-08-2020 12:49:50</v>
      </c>
      <c r="B4572" t="str">
        <f>"0000806362"</f>
        <v>0000806362</v>
      </c>
      <c r="C4572" t="str">
        <f t="shared" si="1872"/>
        <v>0000806180</v>
      </c>
      <c r="D4572" t="str">
        <f t="shared" si="1858"/>
        <v>73185</v>
      </c>
      <c r="E4572" t="str">
        <f t="shared" si="1859"/>
        <v>KFH-OPERATIONS DEPARTMENT</v>
      </c>
      <c r="F4572" t="str">
        <f t="shared" si="1860"/>
        <v>IBG</v>
      </c>
      <c r="G4572" t="str">
        <f t="shared" si="1873"/>
        <v>Refund COSHARE 10</v>
      </c>
      <c r="H4572" s="2">
        <v>142.75</v>
      </c>
      <c r="I4572" t="str">
        <f>"GUNAVATHY AP KUNACHAGARAN"</f>
        <v>GUNAVATHY AP KUNACHAGARAN</v>
      </c>
      <c r="J4572" t="str">
        <f t="shared" si="1874"/>
        <v>MAYBANK / MAYBANK ISLAMIC</v>
      </c>
      <c r="K4572" t="str">
        <f>"102054832798"</f>
        <v>102054832798</v>
      </c>
      <c r="L4572" t="str">
        <f t="shared" si="1875"/>
        <v>04-08-2020</v>
      </c>
      <c r="M4572" t="str">
        <f t="shared" si="1875"/>
        <v>04-08-2020</v>
      </c>
      <c r="N4572" t="str">
        <f t="shared" si="1861"/>
        <v>001105018356</v>
      </c>
      <c r="O4572" t="str">
        <f t="shared" si="1862"/>
        <v>MYR</v>
      </c>
      <c r="P4572" t="str">
        <f t="shared" si="1876"/>
        <v>NIL</v>
      </c>
      <c r="Q4572" t="str">
        <f t="shared" si="1876"/>
        <v>NIL</v>
      </c>
      <c r="R4572" t="str">
        <f t="shared" si="1863"/>
        <v>Accepted</v>
      </c>
      <c r="S4572" t="str">
        <f t="shared" si="1864"/>
        <v>Approved</v>
      </c>
      <c r="T4572" t="str">
        <f t="shared" si="1865"/>
        <v>10.20.8.188</v>
      </c>
      <c r="U4572" t="str">
        <f t="shared" si="1866"/>
        <v>AZRAD UMAR BIN SHAARI</v>
      </c>
      <c r="V4572" t="str">
        <f t="shared" si="1867"/>
        <v>FARHANA BINTI MUSTAPA</v>
      </c>
      <c r="W4572" t="str">
        <f t="shared" si="1868"/>
        <v>04-08-2020</v>
      </c>
      <c r="X4572" t="str">
        <f t="shared" si="1869"/>
        <v>RAZIMAH ANSAR AHMAD</v>
      </c>
      <c r="Y4572" t="str">
        <f t="shared" si="1870"/>
        <v>04-08-2020</v>
      </c>
      <c r="Z4572" t="str">
        <f>"COS10200804 4582"</f>
        <v>COS10200804 4582</v>
      </c>
    </row>
    <row r="4573" spans="1:26" x14ac:dyDescent="0.25">
      <c r="A4573" t="str">
        <f t="shared" si="1871"/>
        <v>04-08-2020 12:49:50</v>
      </c>
      <c r="B4573" t="str">
        <f>"0000806361"</f>
        <v>0000806361</v>
      </c>
      <c r="C4573" t="str">
        <f t="shared" si="1872"/>
        <v>0000806180</v>
      </c>
      <c r="D4573" t="str">
        <f t="shared" si="1858"/>
        <v>73185</v>
      </c>
      <c r="E4573" t="str">
        <f t="shared" si="1859"/>
        <v>KFH-OPERATIONS DEPARTMENT</v>
      </c>
      <c r="F4573" t="str">
        <f t="shared" si="1860"/>
        <v>IBG</v>
      </c>
      <c r="G4573" t="str">
        <f t="shared" si="1873"/>
        <v>Refund COSHARE 10</v>
      </c>
      <c r="H4573" s="2">
        <v>671.6</v>
      </c>
      <c r="I4573" t="str">
        <f>"GUNACHITRA AP KOKULA DASS"</f>
        <v>GUNACHITRA AP KOKULA DASS</v>
      </c>
      <c r="J4573" t="str">
        <f t="shared" si="1874"/>
        <v>MAYBANK / MAYBANK ISLAMIC</v>
      </c>
      <c r="K4573" t="str">
        <f>"107041030806"</f>
        <v>107041030806</v>
      </c>
      <c r="L4573" t="str">
        <f t="shared" si="1875"/>
        <v>04-08-2020</v>
      </c>
      <c r="M4573" t="str">
        <f t="shared" si="1875"/>
        <v>04-08-2020</v>
      </c>
      <c r="N4573" t="str">
        <f t="shared" si="1861"/>
        <v>001105018356</v>
      </c>
      <c r="O4573" t="str">
        <f t="shared" si="1862"/>
        <v>MYR</v>
      </c>
      <c r="P4573" t="str">
        <f t="shared" si="1876"/>
        <v>NIL</v>
      </c>
      <c r="Q4573" t="str">
        <f t="shared" si="1876"/>
        <v>NIL</v>
      </c>
      <c r="R4573" t="str">
        <f t="shared" si="1863"/>
        <v>Accepted</v>
      </c>
      <c r="S4573" t="str">
        <f t="shared" si="1864"/>
        <v>Approved</v>
      </c>
      <c r="T4573" t="str">
        <f t="shared" si="1865"/>
        <v>10.20.8.188</v>
      </c>
      <c r="U4573" t="str">
        <f t="shared" si="1866"/>
        <v>AZRAD UMAR BIN SHAARI</v>
      </c>
      <c r="V4573" t="str">
        <f t="shared" si="1867"/>
        <v>FARHANA BINTI MUSTAPA</v>
      </c>
      <c r="W4573" t="str">
        <f t="shared" si="1868"/>
        <v>04-08-2020</v>
      </c>
      <c r="X4573" t="str">
        <f t="shared" si="1869"/>
        <v>RAZIMAH ANSAR AHMAD</v>
      </c>
      <c r="Y4573" t="str">
        <f t="shared" si="1870"/>
        <v>04-08-2020</v>
      </c>
      <c r="Z4573" t="str">
        <f>"COS10200804 4581"</f>
        <v>COS10200804 4581</v>
      </c>
    </row>
    <row r="4574" spans="1:26" x14ac:dyDescent="0.25">
      <c r="A4574" t="str">
        <f t="shared" si="1871"/>
        <v>04-08-2020 12:49:50</v>
      </c>
      <c r="B4574" t="str">
        <f>"0000806360"</f>
        <v>0000806360</v>
      </c>
      <c r="C4574" t="str">
        <f t="shared" si="1872"/>
        <v>0000806180</v>
      </c>
      <c r="D4574" t="str">
        <f t="shared" si="1858"/>
        <v>73185</v>
      </c>
      <c r="E4574" t="str">
        <f t="shared" si="1859"/>
        <v>KFH-OPERATIONS DEPARTMENT</v>
      </c>
      <c r="F4574" t="str">
        <f t="shared" si="1860"/>
        <v>IBG</v>
      </c>
      <c r="G4574" t="str">
        <f t="shared" si="1873"/>
        <v>Refund COSHARE 10</v>
      </c>
      <c r="H4574" s="2">
        <v>503.7</v>
      </c>
      <c r="I4574" t="str">
        <f>"GREGORY ANAK NOAH"</f>
        <v>GREGORY ANAK NOAH</v>
      </c>
      <c r="J4574" t="str">
        <f t="shared" si="1874"/>
        <v>MAYBANK / MAYBANK ISLAMIC</v>
      </c>
      <c r="K4574" t="str">
        <f>"111075043245"</f>
        <v>111075043245</v>
      </c>
      <c r="L4574" t="str">
        <f t="shared" si="1875"/>
        <v>04-08-2020</v>
      </c>
      <c r="M4574" t="str">
        <f t="shared" si="1875"/>
        <v>04-08-2020</v>
      </c>
      <c r="N4574" t="str">
        <f t="shared" si="1861"/>
        <v>001105018356</v>
      </c>
      <c r="O4574" t="str">
        <f t="shared" si="1862"/>
        <v>MYR</v>
      </c>
      <c r="P4574" t="str">
        <f t="shared" si="1876"/>
        <v>NIL</v>
      </c>
      <c r="Q4574" t="str">
        <f t="shared" si="1876"/>
        <v>NIL</v>
      </c>
      <c r="R4574" t="str">
        <f t="shared" si="1863"/>
        <v>Accepted</v>
      </c>
      <c r="S4574" t="str">
        <f t="shared" si="1864"/>
        <v>Approved</v>
      </c>
      <c r="T4574" t="str">
        <f t="shared" si="1865"/>
        <v>10.20.8.188</v>
      </c>
      <c r="U4574" t="str">
        <f t="shared" si="1866"/>
        <v>AZRAD UMAR BIN SHAARI</v>
      </c>
      <c r="V4574" t="str">
        <f t="shared" si="1867"/>
        <v>FARHANA BINTI MUSTAPA</v>
      </c>
      <c r="W4574" t="str">
        <f t="shared" si="1868"/>
        <v>04-08-2020</v>
      </c>
      <c r="X4574" t="str">
        <f t="shared" si="1869"/>
        <v>RAZIMAH ANSAR AHMAD</v>
      </c>
      <c r="Y4574" t="str">
        <f t="shared" si="1870"/>
        <v>04-08-2020</v>
      </c>
      <c r="Z4574" t="str">
        <f>"COS10200804 4580"</f>
        <v>COS10200804 4580</v>
      </c>
    </row>
    <row r="4575" spans="1:26" x14ac:dyDescent="0.25">
      <c r="A4575" t="str">
        <f t="shared" si="1871"/>
        <v>04-08-2020 12:49:50</v>
      </c>
      <c r="B4575" t="str">
        <f>"0000806359"</f>
        <v>0000806359</v>
      </c>
      <c r="C4575" t="str">
        <f t="shared" si="1872"/>
        <v>0000806180</v>
      </c>
      <c r="D4575" t="str">
        <f t="shared" si="1858"/>
        <v>73185</v>
      </c>
      <c r="E4575" t="str">
        <f t="shared" si="1859"/>
        <v>KFH-OPERATIONS DEPARTMENT</v>
      </c>
      <c r="F4575" t="str">
        <f t="shared" si="1860"/>
        <v>IBG</v>
      </c>
      <c r="G4575" t="str">
        <f t="shared" si="1873"/>
        <v>Refund COSHARE 10</v>
      </c>
      <c r="H4575" s="2">
        <v>235.1</v>
      </c>
      <c r="I4575" t="str">
        <f>"GREG MORRIS ANAK AMPAT"</f>
        <v>GREG MORRIS ANAK AMPAT</v>
      </c>
      <c r="J4575" t="str">
        <f t="shared" si="1874"/>
        <v>MAYBANK / MAYBANK ISLAMIC</v>
      </c>
      <c r="K4575" t="str">
        <f>"161211052145"</f>
        <v>161211052145</v>
      </c>
      <c r="L4575" t="str">
        <f t="shared" si="1875"/>
        <v>04-08-2020</v>
      </c>
      <c r="M4575" t="str">
        <f t="shared" si="1875"/>
        <v>04-08-2020</v>
      </c>
      <c r="N4575" t="str">
        <f t="shared" si="1861"/>
        <v>001105018356</v>
      </c>
      <c r="O4575" t="str">
        <f t="shared" si="1862"/>
        <v>MYR</v>
      </c>
      <c r="P4575" t="str">
        <f t="shared" si="1876"/>
        <v>NIL</v>
      </c>
      <c r="Q4575" t="str">
        <f t="shared" si="1876"/>
        <v>NIL</v>
      </c>
      <c r="R4575" t="str">
        <f t="shared" si="1863"/>
        <v>Accepted</v>
      </c>
      <c r="S4575" t="str">
        <f t="shared" si="1864"/>
        <v>Approved</v>
      </c>
      <c r="T4575" t="str">
        <f t="shared" si="1865"/>
        <v>10.20.8.188</v>
      </c>
      <c r="U4575" t="str">
        <f t="shared" si="1866"/>
        <v>AZRAD UMAR BIN SHAARI</v>
      </c>
      <c r="V4575" t="str">
        <f t="shared" si="1867"/>
        <v>FARHANA BINTI MUSTAPA</v>
      </c>
      <c r="W4575" t="str">
        <f t="shared" si="1868"/>
        <v>04-08-2020</v>
      </c>
      <c r="X4575" t="str">
        <f t="shared" si="1869"/>
        <v>RAZIMAH ANSAR AHMAD</v>
      </c>
      <c r="Y4575" t="str">
        <f t="shared" si="1870"/>
        <v>04-08-2020</v>
      </c>
      <c r="Z4575" t="str">
        <f>"COS10200804 4579"</f>
        <v>COS10200804 4579</v>
      </c>
    </row>
    <row r="4576" spans="1:26" x14ac:dyDescent="0.25">
      <c r="A4576" t="str">
        <f t="shared" si="1871"/>
        <v>04-08-2020 12:49:50</v>
      </c>
      <c r="B4576" t="str">
        <f>"0000806358"</f>
        <v>0000806358</v>
      </c>
      <c r="C4576" t="str">
        <f t="shared" si="1872"/>
        <v>0000806180</v>
      </c>
      <c r="D4576" t="str">
        <f t="shared" si="1858"/>
        <v>73185</v>
      </c>
      <c r="E4576" t="str">
        <f t="shared" si="1859"/>
        <v>KFH-OPERATIONS DEPARTMENT</v>
      </c>
      <c r="F4576" t="str">
        <f t="shared" si="1860"/>
        <v>IBG</v>
      </c>
      <c r="G4576" t="str">
        <f t="shared" si="1873"/>
        <v>Refund COSHARE 10</v>
      </c>
      <c r="H4576" s="2">
        <v>329.4</v>
      </c>
      <c r="I4576" t="str">
        <f>"GREG ANAK BANTI"</f>
        <v>GREG ANAK BANTI</v>
      </c>
      <c r="J4576" t="str">
        <f t="shared" si="1874"/>
        <v>MAYBANK / MAYBANK ISLAMIC</v>
      </c>
      <c r="K4576" t="str">
        <f>"111093020378"</f>
        <v>111093020378</v>
      </c>
      <c r="L4576" t="str">
        <f t="shared" si="1875"/>
        <v>04-08-2020</v>
      </c>
      <c r="M4576" t="str">
        <f t="shared" si="1875"/>
        <v>04-08-2020</v>
      </c>
      <c r="N4576" t="str">
        <f t="shared" si="1861"/>
        <v>001105018356</v>
      </c>
      <c r="O4576" t="str">
        <f t="shared" si="1862"/>
        <v>MYR</v>
      </c>
      <c r="P4576" t="str">
        <f t="shared" si="1876"/>
        <v>NIL</v>
      </c>
      <c r="Q4576" t="str">
        <f t="shared" si="1876"/>
        <v>NIL</v>
      </c>
      <c r="R4576" t="str">
        <f t="shared" si="1863"/>
        <v>Accepted</v>
      </c>
      <c r="S4576" t="str">
        <f t="shared" si="1864"/>
        <v>Approved</v>
      </c>
      <c r="T4576" t="str">
        <f t="shared" si="1865"/>
        <v>10.20.8.188</v>
      </c>
      <c r="U4576" t="str">
        <f t="shared" si="1866"/>
        <v>AZRAD UMAR BIN SHAARI</v>
      </c>
      <c r="V4576" t="str">
        <f t="shared" si="1867"/>
        <v>FARHANA BINTI MUSTAPA</v>
      </c>
      <c r="W4576" t="str">
        <f t="shared" si="1868"/>
        <v>04-08-2020</v>
      </c>
      <c r="X4576" t="str">
        <f t="shared" si="1869"/>
        <v>RAZIMAH ANSAR AHMAD</v>
      </c>
      <c r="Y4576" t="str">
        <f t="shared" si="1870"/>
        <v>04-08-2020</v>
      </c>
      <c r="Z4576" t="str">
        <f>"COS10200804 4578"</f>
        <v>COS10200804 4578</v>
      </c>
    </row>
    <row r="4577" spans="1:26" x14ac:dyDescent="0.25">
      <c r="A4577" t="str">
        <f t="shared" si="1871"/>
        <v>04-08-2020 12:49:50</v>
      </c>
      <c r="B4577" t="str">
        <f>"0000806357"</f>
        <v>0000806357</v>
      </c>
      <c r="C4577" t="str">
        <f t="shared" si="1872"/>
        <v>0000806180</v>
      </c>
      <c r="D4577" t="str">
        <f t="shared" si="1858"/>
        <v>73185</v>
      </c>
      <c r="E4577" t="str">
        <f t="shared" si="1859"/>
        <v>KFH-OPERATIONS DEPARTMENT</v>
      </c>
      <c r="F4577" t="str">
        <f t="shared" si="1860"/>
        <v>IBG</v>
      </c>
      <c r="G4577" t="str">
        <f t="shared" si="1873"/>
        <v>Refund COSHARE 10</v>
      </c>
      <c r="H4577" s="2">
        <v>1679</v>
      </c>
      <c r="I4577" t="str">
        <f>"GLENN LORES"</f>
        <v>GLENN LORES</v>
      </c>
      <c r="J4577" t="str">
        <f t="shared" si="1874"/>
        <v>MAYBANK / MAYBANK ISLAMIC</v>
      </c>
      <c r="K4577" t="str">
        <f>"111114348830"</f>
        <v>111114348830</v>
      </c>
      <c r="L4577" t="str">
        <f t="shared" si="1875"/>
        <v>04-08-2020</v>
      </c>
      <c r="M4577" t="str">
        <f t="shared" si="1875"/>
        <v>04-08-2020</v>
      </c>
      <c r="N4577" t="str">
        <f t="shared" si="1861"/>
        <v>001105018356</v>
      </c>
      <c r="O4577" t="str">
        <f t="shared" si="1862"/>
        <v>MYR</v>
      </c>
      <c r="P4577" t="str">
        <f t="shared" si="1876"/>
        <v>NIL</v>
      </c>
      <c r="Q4577" t="str">
        <f t="shared" si="1876"/>
        <v>NIL</v>
      </c>
      <c r="R4577" t="str">
        <f t="shared" si="1863"/>
        <v>Accepted</v>
      </c>
      <c r="S4577" t="str">
        <f t="shared" si="1864"/>
        <v>Approved</v>
      </c>
      <c r="T4577" t="str">
        <f t="shared" si="1865"/>
        <v>10.20.8.188</v>
      </c>
      <c r="U4577" t="str">
        <f t="shared" si="1866"/>
        <v>AZRAD UMAR BIN SHAARI</v>
      </c>
      <c r="V4577" t="str">
        <f t="shared" si="1867"/>
        <v>FARHANA BINTI MUSTAPA</v>
      </c>
      <c r="W4577" t="str">
        <f t="shared" si="1868"/>
        <v>04-08-2020</v>
      </c>
      <c r="X4577" t="str">
        <f t="shared" si="1869"/>
        <v>RAZIMAH ANSAR AHMAD</v>
      </c>
      <c r="Y4577" t="str">
        <f t="shared" si="1870"/>
        <v>04-08-2020</v>
      </c>
      <c r="Z4577" t="str">
        <f>"COS10200804 4577"</f>
        <v>COS10200804 4577</v>
      </c>
    </row>
    <row r="4578" spans="1:26" x14ac:dyDescent="0.25">
      <c r="A4578" t="str">
        <f t="shared" si="1871"/>
        <v>04-08-2020 12:49:50</v>
      </c>
      <c r="B4578" t="str">
        <f>"0000806356"</f>
        <v>0000806356</v>
      </c>
      <c r="C4578" t="str">
        <f t="shared" si="1872"/>
        <v>0000806180</v>
      </c>
      <c r="D4578" t="str">
        <f t="shared" si="1858"/>
        <v>73185</v>
      </c>
      <c r="E4578" t="str">
        <f t="shared" si="1859"/>
        <v>KFH-OPERATIONS DEPARTMENT</v>
      </c>
      <c r="F4578" t="str">
        <f t="shared" si="1860"/>
        <v>IBG</v>
      </c>
      <c r="G4578" t="str">
        <f t="shared" si="1873"/>
        <v>Refund COSHARE 10</v>
      </c>
      <c r="H4578" s="2">
        <v>491.15</v>
      </c>
      <c r="I4578" t="str">
        <f>"GLENN ENCHAU"</f>
        <v>GLENN ENCHAU</v>
      </c>
      <c r="J4578" t="str">
        <f t="shared" si="1874"/>
        <v>MAYBANK / MAYBANK ISLAMIC</v>
      </c>
      <c r="K4578" t="str">
        <f>"161051035570"</f>
        <v>161051035570</v>
      </c>
      <c r="L4578" t="str">
        <f t="shared" si="1875"/>
        <v>04-08-2020</v>
      </c>
      <c r="M4578" t="str">
        <f t="shared" si="1875"/>
        <v>04-08-2020</v>
      </c>
      <c r="N4578" t="str">
        <f t="shared" si="1861"/>
        <v>001105018356</v>
      </c>
      <c r="O4578" t="str">
        <f t="shared" si="1862"/>
        <v>MYR</v>
      </c>
      <c r="P4578" t="str">
        <f t="shared" si="1876"/>
        <v>NIL</v>
      </c>
      <c r="Q4578" t="str">
        <f t="shared" si="1876"/>
        <v>NIL</v>
      </c>
      <c r="R4578" t="str">
        <f t="shared" si="1863"/>
        <v>Accepted</v>
      </c>
      <c r="S4578" t="str">
        <f t="shared" si="1864"/>
        <v>Approved</v>
      </c>
      <c r="T4578" t="str">
        <f t="shared" si="1865"/>
        <v>10.20.8.188</v>
      </c>
      <c r="U4578" t="str">
        <f t="shared" si="1866"/>
        <v>AZRAD UMAR BIN SHAARI</v>
      </c>
      <c r="V4578" t="str">
        <f t="shared" si="1867"/>
        <v>FARHANA BINTI MUSTAPA</v>
      </c>
      <c r="W4578" t="str">
        <f t="shared" si="1868"/>
        <v>04-08-2020</v>
      </c>
      <c r="X4578" t="str">
        <f t="shared" si="1869"/>
        <v>RAZIMAH ANSAR AHMAD</v>
      </c>
      <c r="Y4578" t="str">
        <f t="shared" si="1870"/>
        <v>04-08-2020</v>
      </c>
      <c r="Z4578" t="str">
        <f>"COS10200804 4576"</f>
        <v>COS10200804 4576</v>
      </c>
    </row>
    <row r="4579" spans="1:26" x14ac:dyDescent="0.25">
      <c r="A4579" t="str">
        <f t="shared" si="1871"/>
        <v>04-08-2020 12:49:50</v>
      </c>
      <c r="B4579" t="str">
        <f>"0000806355"</f>
        <v>0000806355</v>
      </c>
      <c r="C4579" t="str">
        <f t="shared" si="1872"/>
        <v>0000806180</v>
      </c>
      <c r="D4579" t="str">
        <f t="shared" si="1858"/>
        <v>73185</v>
      </c>
      <c r="E4579" t="str">
        <f t="shared" si="1859"/>
        <v>KFH-OPERATIONS DEPARTMENT</v>
      </c>
      <c r="F4579" t="str">
        <f t="shared" si="1860"/>
        <v>IBG</v>
      </c>
      <c r="G4579" t="str">
        <f t="shared" si="1873"/>
        <v>Refund COSHARE 10</v>
      </c>
      <c r="H4579" s="2">
        <v>923.45</v>
      </c>
      <c r="I4579" t="str">
        <f>"GIBSON UNTAN ANAK JAWI"</f>
        <v>GIBSON UNTAN ANAK JAWI</v>
      </c>
      <c r="J4579" t="str">
        <f t="shared" si="1874"/>
        <v>MAYBANK / MAYBANK ISLAMIC</v>
      </c>
      <c r="K4579" t="str">
        <f>"157296001826"</f>
        <v>157296001826</v>
      </c>
      <c r="L4579" t="str">
        <f t="shared" si="1875"/>
        <v>04-08-2020</v>
      </c>
      <c r="M4579" t="str">
        <f t="shared" si="1875"/>
        <v>04-08-2020</v>
      </c>
      <c r="N4579" t="str">
        <f t="shared" si="1861"/>
        <v>001105018356</v>
      </c>
      <c r="O4579" t="str">
        <f t="shared" si="1862"/>
        <v>MYR</v>
      </c>
      <c r="P4579" t="str">
        <f t="shared" si="1876"/>
        <v>NIL</v>
      </c>
      <c r="Q4579" t="str">
        <f t="shared" si="1876"/>
        <v>NIL</v>
      </c>
      <c r="R4579" t="str">
        <f t="shared" si="1863"/>
        <v>Accepted</v>
      </c>
      <c r="S4579" t="str">
        <f t="shared" si="1864"/>
        <v>Approved</v>
      </c>
      <c r="T4579" t="str">
        <f t="shared" si="1865"/>
        <v>10.20.8.188</v>
      </c>
      <c r="U4579" t="str">
        <f t="shared" si="1866"/>
        <v>AZRAD UMAR BIN SHAARI</v>
      </c>
      <c r="V4579" t="str">
        <f t="shared" si="1867"/>
        <v>FARHANA BINTI MUSTAPA</v>
      </c>
      <c r="W4579" t="str">
        <f t="shared" si="1868"/>
        <v>04-08-2020</v>
      </c>
      <c r="X4579" t="str">
        <f t="shared" si="1869"/>
        <v>RAZIMAH ANSAR AHMAD</v>
      </c>
      <c r="Y4579" t="str">
        <f t="shared" si="1870"/>
        <v>04-08-2020</v>
      </c>
      <c r="Z4579" t="str">
        <f>"COS10200804 4575"</f>
        <v>COS10200804 4575</v>
      </c>
    </row>
    <row r="4580" spans="1:26" x14ac:dyDescent="0.25">
      <c r="A4580" t="str">
        <f t="shared" si="1871"/>
        <v>04-08-2020 12:49:50</v>
      </c>
      <c r="B4580" t="str">
        <f>"0000806354"</f>
        <v>0000806354</v>
      </c>
      <c r="C4580" t="str">
        <f t="shared" si="1872"/>
        <v>0000806180</v>
      </c>
      <c r="D4580" t="str">
        <f t="shared" si="1858"/>
        <v>73185</v>
      </c>
      <c r="E4580" t="str">
        <f t="shared" si="1859"/>
        <v>KFH-OPERATIONS DEPARTMENT</v>
      </c>
      <c r="F4580" t="str">
        <f t="shared" si="1860"/>
        <v>IBG</v>
      </c>
      <c r="G4580" t="str">
        <f t="shared" si="1873"/>
        <v>Refund COSHARE 10</v>
      </c>
      <c r="H4580" s="2">
        <v>946.55</v>
      </c>
      <c r="I4580" t="str">
        <f>"GHANDI MATHI AP SDHARMALINGAM"</f>
        <v>GHANDI MATHI AP SDHARMALINGAM</v>
      </c>
      <c r="J4580" t="str">
        <f t="shared" si="1874"/>
        <v>MAYBANK / MAYBANK ISLAMIC</v>
      </c>
      <c r="K4580" t="str">
        <f>"114124063204"</f>
        <v>114124063204</v>
      </c>
      <c r="L4580" t="str">
        <f t="shared" si="1875"/>
        <v>04-08-2020</v>
      </c>
      <c r="M4580" t="str">
        <f t="shared" si="1875"/>
        <v>04-08-2020</v>
      </c>
      <c r="N4580" t="str">
        <f t="shared" si="1861"/>
        <v>001105018356</v>
      </c>
      <c r="O4580" t="str">
        <f t="shared" si="1862"/>
        <v>MYR</v>
      </c>
      <c r="P4580" t="str">
        <f t="shared" si="1876"/>
        <v>NIL</v>
      </c>
      <c r="Q4580" t="str">
        <f t="shared" si="1876"/>
        <v>NIL</v>
      </c>
      <c r="R4580" t="str">
        <f t="shared" si="1863"/>
        <v>Accepted</v>
      </c>
      <c r="S4580" t="str">
        <f t="shared" si="1864"/>
        <v>Approved</v>
      </c>
      <c r="T4580" t="str">
        <f t="shared" si="1865"/>
        <v>10.20.8.188</v>
      </c>
      <c r="U4580" t="str">
        <f t="shared" si="1866"/>
        <v>AZRAD UMAR BIN SHAARI</v>
      </c>
      <c r="V4580" t="str">
        <f t="shared" si="1867"/>
        <v>FARHANA BINTI MUSTAPA</v>
      </c>
      <c r="W4580" t="str">
        <f t="shared" si="1868"/>
        <v>04-08-2020</v>
      </c>
      <c r="X4580" t="str">
        <f t="shared" si="1869"/>
        <v>RAZIMAH ANSAR AHMAD</v>
      </c>
      <c r="Y4580" t="str">
        <f t="shared" si="1870"/>
        <v>04-08-2020</v>
      </c>
      <c r="Z4580" t="str">
        <f>"COS10200804 4574"</f>
        <v>COS10200804 4574</v>
      </c>
    </row>
    <row r="4581" spans="1:26" x14ac:dyDescent="0.25">
      <c r="A4581" t="str">
        <f t="shared" si="1871"/>
        <v>04-08-2020 12:49:50</v>
      </c>
      <c r="B4581" t="str">
        <f>"0000806353"</f>
        <v>0000806353</v>
      </c>
      <c r="C4581" t="str">
        <f t="shared" si="1872"/>
        <v>0000806180</v>
      </c>
      <c r="D4581" t="str">
        <f t="shared" si="1858"/>
        <v>73185</v>
      </c>
      <c r="E4581" t="str">
        <f t="shared" si="1859"/>
        <v>KFH-OPERATIONS DEPARTMENT</v>
      </c>
      <c r="F4581" t="str">
        <f t="shared" si="1860"/>
        <v>IBG</v>
      </c>
      <c r="G4581" t="str">
        <f t="shared" si="1873"/>
        <v>Refund COSHARE 10</v>
      </c>
      <c r="H4581" s="2">
        <v>470.15</v>
      </c>
      <c r="I4581" t="str">
        <f>"GERY JAU"</f>
        <v>GERY JAU</v>
      </c>
      <c r="J4581" t="str">
        <f t="shared" si="1874"/>
        <v>MAYBANK / MAYBANK ISLAMIC</v>
      </c>
      <c r="K4581" t="str">
        <f>"161015895217"</f>
        <v>161015895217</v>
      </c>
      <c r="L4581" t="str">
        <f t="shared" si="1875"/>
        <v>04-08-2020</v>
      </c>
      <c r="M4581" t="str">
        <f t="shared" si="1875"/>
        <v>04-08-2020</v>
      </c>
      <c r="N4581" t="str">
        <f t="shared" si="1861"/>
        <v>001105018356</v>
      </c>
      <c r="O4581" t="str">
        <f t="shared" si="1862"/>
        <v>MYR</v>
      </c>
      <c r="P4581" t="str">
        <f t="shared" si="1876"/>
        <v>NIL</v>
      </c>
      <c r="Q4581" t="str">
        <f t="shared" si="1876"/>
        <v>NIL</v>
      </c>
      <c r="R4581" t="str">
        <f t="shared" si="1863"/>
        <v>Accepted</v>
      </c>
      <c r="S4581" t="str">
        <f t="shared" si="1864"/>
        <v>Approved</v>
      </c>
      <c r="T4581" t="str">
        <f t="shared" si="1865"/>
        <v>10.20.8.188</v>
      </c>
      <c r="U4581" t="str">
        <f t="shared" si="1866"/>
        <v>AZRAD UMAR BIN SHAARI</v>
      </c>
      <c r="V4581" t="str">
        <f t="shared" si="1867"/>
        <v>FARHANA BINTI MUSTAPA</v>
      </c>
      <c r="W4581" t="str">
        <f t="shared" si="1868"/>
        <v>04-08-2020</v>
      </c>
      <c r="X4581" t="str">
        <f t="shared" si="1869"/>
        <v>RAZIMAH ANSAR AHMAD</v>
      </c>
      <c r="Y4581" t="str">
        <f t="shared" si="1870"/>
        <v>04-08-2020</v>
      </c>
      <c r="Z4581" t="str">
        <f>"COS10200804 4573"</f>
        <v>COS10200804 4573</v>
      </c>
    </row>
    <row r="4582" spans="1:26" x14ac:dyDescent="0.25">
      <c r="A4582" t="str">
        <f t="shared" si="1871"/>
        <v>04-08-2020 12:49:50</v>
      </c>
      <c r="B4582" t="str">
        <f>"0000806352"</f>
        <v>0000806352</v>
      </c>
      <c r="C4582" t="str">
        <f t="shared" si="1872"/>
        <v>0000806180</v>
      </c>
      <c r="D4582" t="str">
        <f t="shared" si="1858"/>
        <v>73185</v>
      </c>
      <c r="E4582" t="str">
        <f t="shared" si="1859"/>
        <v>KFH-OPERATIONS DEPARTMENT</v>
      </c>
      <c r="F4582" t="str">
        <f t="shared" si="1860"/>
        <v>IBG</v>
      </c>
      <c r="G4582" t="str">
        <f t="shared" si="1873"/>
        <v>Refund COSHARE 10</v>
      </c>
      <c r="H4582" s="2">
        <v>151.15</v>
      </c>
      <c r="I4582" t="str">
        <f>"GERY JAU"</f>
        <v>GERY JAU</v>
      </c>
      <c r="J4582" t="str">
        <f t="shared" si="1874"/>
        <v>MAYBANK / MAYBANK ISLAMIC</v>
      </c>
      <c r="K4582" t="str">
        <f>"161015895217"</f>
        <v>161015895217</v>
      </c>
      <c r="L4582" t="str">
        <f t="shared" si="1875"/>
        <v>04-08-2020</v>
      </c>
      <c r="M4582" t="str">
        <f t="shared" si="1875"/>
        <v>04-08-2020</v>
      </c>
      <c r="N4582" t="str">
        <f t="shared" si="1861"/>
        <v>001105018356</v>
      </c>
      <c r="O4582" t="str">
        <f t="shared" si="1862"/>
        <v>MYR</v>
      </c>
      <c r="P4582" t="str">
        <f t="shared" si="1876"/>
        <v>NIL</v>
      </c>
      <c r="Q4582" t="str">
        <f t="shared" si="1876"/>
        <v>NIL</v>
      </c>
      <c r="R4582" t="str">
        <f t="shared" si="1863"/>
        <v>Accepted</v>
      </c>
      <c r="S4582" t="str">
        <f t="shared" si="1864"/>
        <v>Approved</v>
      </c>
      <c r="T4582" t="str">
        <f t="shared" si="1865"/>
        <v>10.20.8.188</v>
      </c>
      <c r="U4582" t="str">
        <f t="shared" si="1866"/>
        <v>AZRAD UMAR BIN SHAARI</v>
      </c>
      <c r="V4582" t="str">
        <f t="shared" si="1867"/>
        <v>FARHANA BINTI MUSTAPA</v>
      </c>
      <c r="W4582" t="str">
        <f t="shared" si="1868"/>
        <v>04-08-2020</v>
      </c>
      <c r="X4582" t="str">
        <f t="shared" si="1869"/>
        <v>RAZIMAH ANSAR AHMAD</v>
      </c>
      <c r="Y4582" t="str">
        <f t="shared" si="1870"/>
        <v>04-08-2020</v>
      </c>
      <c r="Z4582" t="str">
        <f>"COS10200804 4572"</f>
        <v>COS10200804 4572</v>
      </c>
    </row>
    <row r="4583" spans="1:26" x14ac:dyDescent="0.25">
      <c r="A4583" t="str">
        <f t="shared" si="1871"/>
        <v>04-08-2020 12:49:50</v>
      </c>
      <c r="B4583" t="str">
        <f>"0000806351"</f>
        <v>0000806351</v>
      </c>
      <c r="C4583" t="str">
        <f t="shared" si="1872"/>
        <v>0000806180</v>
      </c>
      <c r="D4583" t="str">
        <f t="shared" si="1858"/>
        <v>73185</v>
      </c>
      <c r="E4583" t="str">
        <f t="shared" si="1859"/>
        <v>KFH-OPERATIONS DEPARTMENT</v>
      </c>
      <c r="F4583" t="str">
        <f t="shared" si="1860"/>
        <v>IBG</v>
      </c>
      <c r="G4583" t="str">
        <f t="shared" si="1873"/>
        <v>Refund COSHARE 10</v>
      </c>
      <c r="H4583" s="2">
        <v>1143.3</v>
      </c>
      <c r="I4583" t="str">
        <f>"GEREN BIN SANGKOI  SAINGKUL"</f>
        <v>GEREN BIN SANGKOI  SAINGKUL</v>
      </c>
      <c r="J4583" t="str">
        <f t="shared" si="1874"/>
        <v>MAYBANK / MAYBANK ISLAMIC</v>
      </c>
      <c r="K4583" t="str">
        <f>"110107258558"</f>
        <v>110107258558</v>
      </c>
      <c r="L4583" t="str">
        <f t="shared" si="1875"/>
        <v>04-08-2020</v>
      </c>
      <c r="M4583" t="str">
        <f t="shared" si="1875"/>
        <v>04-08-2020</v>
      </c>
      <c r="N4583" t="str">
        <f t="shared" si="1861"/>
        <v>001105018356</v>
      </c>
      <c r="O4583" t="str">
        <f t="shared" si="1862"/>
        <v>MYR</v>
      </c>
      <c r="P4583" t="str">
        <f t="shared" si="1876"/>
        <v>NIL</v>
      </c>
      <c r="Q4583" t="str">
        <f t="shared" si="1876"/>
        <v>NIL</v>
      </c>
      <c r="R4583" t="str">
        <f t="shared" si="1863"/>
        <v>Accepted</v>
      </c>
      <c r="S4583" t="str">
        <f t="shared" si="1864"/>
        <v>Approved</v>
      </c>
      <c r="T4583" t="str">
        <f t="shared" si="1865"/>
        <v>10.20.8.188</v>
      </c>
      <c r="U4583" t="str">
        <f t="shared" si="1866"/>
        <v>AZRAD UMAR BIN SHAARI</v>
      </c>
      <c r="V4583" t="str">
        <f t="shared" si="1867"/>
        <v>FARHANA BINTI MUSTAPA</v>
      </c>
      <c r="W4583" t="str">
        <f t="shared" si="1868"/>
        <v>04-08-2020</v>
      </c>
      <c r="X4583" t="str">
        <f t="shared" si="1869"/>
        <v>RAZIMAH ANSAR AHMAD</v>
      </c>
      <c r="Y4583" t="str">
        <f t="shared" si="1870"/>
        <v>04-08-2020</v>
      </c>
      <c r="Z4583" t="str">
        <f>"COS10200804 4571"</f>
        <v>COS10200804 4571</v>
      </c>
    </row>
    <row r="4584" spans="1:26" x14ac:dyDescent="0.25">
      <c r="A4584" t="str">
        <f t="shared" si="1871"/>
        <v>04-08-2020 12:49:50</v>
      </c>
      <c r="B4584" t="str">
        <f>"0000806350"</f>
        <v>0000806350</v>
      </c>
      <c r="C4584" t="str">
        <f t="shared" si="1872"/>
        <v>0000806180</v>
      </c>
      <c r="D4584" t="str">
        <f t="shared" si="1858"/>
        <v>73185</v>
      </c>
      <c r="E4584" t="str">
        <f t="shared" si="1859"/>
        <v>KFH-OPERATIONS DEPARTMENT</v>
      </c>
      <c r="F4584" t="str">
        <f t="shared" si="1860"/>
        <v>IBG</v>
      </c>
      <c r="G4584" t="str">
        <f t="shared" si="1873"/>
        <v>Refund COSHARE 10</v>
      </c>
      <c r="H4584" s="2">
        <v>1518</v>
      </c>
      <c r="I4584" t="str">
        <f>"GEORGE BLAISE ANAK ANTHONY ABAD"</f>
        <v>GEORGE BLAISE ANAK ANTHONY ABAD</v>
      </c>
      <c r="J4584" t="str">
        <f t="shared" si="1874"/>
        <v>MAYBANK / MAYBANK ISLAMIC</v>
      </c>
      <c r="K4584" t="str">
        <f>"162209906131"</f>
        <v>162209906131</v>
      </c>
      <c r="L4584" t="str">
        <f t="shared" si="1875"/>
        <v>04-08-2020</v>
      </c>
      <c r="M4584" t="str">
        <f t="shared" si="1875"/>
        <v>04-08-2020</v>
      </c>
      <c r="N4584" t="str">
        <f t="shared" si="1861"/>
        <v>001105018356</v>
      </c>
      <c r="O4584" t="str">
        <f t="shared" si="1862"/>
        <v>MYR</v>
      </c>
      <c r="P4584" t="str">
        <f t="shared" si="1876"/>
        <v>NIL</v>
      </c>
      <c r="Q4584" t="str">
        <f t="shared" si="1876"/>
        <v>NIL</v>
      </c>
      <c r="R4584" t="str">
        <f t="shared" si="1863"/>
        <v>Accepted</v>
      </c>
      <c r="S4584" t="str">
        <f t="shared" si="1864"/>
        <v>Approved</v>
      </c>
      <c r="T4584" t="str">
        <f t="shared" si="1865"/>
        <v>10.20.8.188</v>
      </c>
      <c r="U4584" t="str">
        <f t="shared" si="1866"/>
        <v>AZRAD UMAR BIN SHAARI</v>
      </c>
      <c r="V4584" t="str">
        <f t="shared" si="1867"/>
        <v>FARHANA BINTI MUSTAPA</v>
      </c>
      <c r="W4584" t="str">
        <f t="shared" si="1868"/>
        <v>04-08-2020</v>
      </c>
      <c r="X4584" t="str">
        <f t="shared" si="1869"/>
        <v>RAZIMAH ANSAR AHMAD</v>
      </c>
      <c r="Y4584" t="str">
        <f t="shared" si="1870"/>
        <v>04-08-2020</v>
      </c>
      <c r="Z4584" t="str">
        <f>"COS10200804 4570"</f>
        <v>COS10200804 4570</v>
      </c>
    </row>
    <row r="4585" spans="1:26" x14ac:dyDescent="0.25">
      <c r="A4585" t="str">
        <f t="shared" si="1871"/>
        <v>04-08-2020 12:49:50</v>
      </c>
      <c r="B4585" t="str">
        <f>"0000806349"</f>
        <v>0000806349</v>
      </c>
      <c r="C4585" t="str">
        <f t="shared" si="1872"/>
        <v>0000806180</v>
      </c>
      <c r="D4585" t="str">
        <f t="shared" si="1858"/>
        <v>73185</v>
      </c>
      <c r="E4585" t="str">
        <f t="shared" si="1859"/>
        <v>KFH-OPERATIONS DEPARTMENT</v>
      </c>
      <c r="F4585" t="str">
        <f t="shared" si="1860"/>
        <v>IBG</v>
      </c>
      <c r="G4585" t="str">
        <f t="shared" si="1873"/>
        <v>Refund COSHARE 10</v>
      </c>
      <c r="H4585" s="2">
        <v>482.75</v>
      </c>
      <c r="I4585" t="str">
        <f>"GANESAN AL SANTHIRAKASU"</f>
        <v>GANESAN AL SANTHIRAKASU</v>
      </c>
      <c r="J4585" t="str">
        <f t="shared" si="1874"/>
        <v>MAYBANK / MAYBANK ISLAMIC</v>
      </c>
      <c r="K4585" t="str">
        <f>"108011855703"</f>
        <v>108011855703</v>
      </c>
      <c r="L4585" t="str">
        <f t="shared" si="1875"/>
        <v>04-08-2020</v>
      </c>
      <c r="M4585" t="str">
        <f t="shared" si="1875"/>
        <v>04-08-2020</v>
      </c>
      <c r="N4585" t="str">
        <f t="shared" si="1861"/>
        <v>001105018356</v>
      </c>
      <c r="O4585" t="str">
        <f t="shared" si="1862"/>
        <v>MYR</v>
      </c>
      <c r="P4585" t="str">
        <f t="shared" si="1876"/>
        <v>NIL</v>
      </c>
      <c r="Q4585" t="str">
        <f t="shared" si="1876"/>
        <v>NIL</v>
      </c>
      <c r="R4585" t="str">
        <f t="shared" si="1863"/>
        <v>Accepted</v>
      </c>
      <c r="S4585" t="str">
        <f t="shared" si="1864"/>
        <v>Approved</v>
      </c>
      <c r="T4585" t="str">
        <f t="shared" si="1865"/>
        <v>10.20.8.188</v>
      </c>
      <c r="U4585" t="str">
        <f t="shared" si="1866"/>
        <v>AZRAD UMAR BIN SHAARI</v>
      </c>
      <c r="V4585" t="str">
        <f t="shared" si="1867"/>
        <v>FARHANA BINTI MUSTAPA</v>
      </c>
      <c r="W4585" t="str">
        <f t="shared" si="1868"/>
        <v>04-08-2020</v>
      </c>
      <c r="X4585" t="str">
        <f t="shared" si="1869"/>
        <v>RAZIMAH ANSAR AHMAD</v>
      </c>
      <c r="Y4585" t="str">
        <f t="shared" si="1870"/>
        <v>04-08-2020</v>
      </c>
      <c r="Z4585" t="str">
        <f>"COS10200804 4569"</f>
        <v>COS10200804 4569</v>
      </c>
    </row>
    <row r="4586" spans="1:26" x14ac:dyDescent="0.25">
      <c r="A4586" t="str">
        <f t="shared" ref="A4586:A4617" si="1877">"04-08-2020 12:49:50"</f>
        <v>04-08-2020 12:49:50</v>
      </c>
      <c r="B4586" t="str">
        <f>"0000806348"</f>
        <v>0000806348</v>
      </c>
      <c r="C4586" t="str">
        <f t="shared" ref="C4586:C4617" si="1878">"0000806180"</f>
        <v>0000806180</v>
      </c>
      <c r="D4586" t="str">
        <f t="shared" si="1858"/>
        <v>73185</v>
      </c>
      <c r="E4586" t="str">
        <f t="shared" si="1859"/>
        <v>KFH-OPERATIONS DEPARTMENT</v>
      </c>
      <c r="F4586" t="str">
        <f t="shared" si="1860"/>
        <v>IBG</v>
      </c>
      <c r="G4586" t="str">
        <f t="shared" si="1873"/>
        <v>Refund COSHARE 10</v>
      </c>
      <c r="H4586" s="2">
        <v>714.9</v>
      </c>
      <c r="I4586" t="str">
        <f>"GANESAN AL SGOVINDARAJOO"</f>
        <v>GANESAN AL SGOVINDARAJOO</v>
      </c>
      <c r="J4586" t="str">
        <f t="shared" si="1874"/>
        <v>MAYBANK / MAYBANK ISLAMIC</v>
      </c>
      <c r="K4586" t="str">
        <f>"108011022017"</f>
        <v>108011022017</v>
      </c>
      <c r="L4586" t="str">
        <f t="shared" si="1875"/>
        <v>04-08-2020</v>
      </c>
      <c r="M4586" t="str">
        <f t="shared" si="1875"/>
        <v>04-08-2020</v>
      </c>
      <c r="N4586" t="str">
        <f t="shared" si="1861"/>
        <v>001105018356</v>
      </c>
      <c r="O4586" t="str">
        <f t="shared" si="1862"/>
        <v>MYR</v>
      </c>
      <c r="P4586" t="str">
        <f t="shared" si="1876"/>
        <v>NIL</v>
      </c>
      <c r="Q4586" t="str">
        <f t="shared" si="1876"/>
        <v>NIL</v>
      </c>
      <c r="R4586" t="str">
        <f t="shared" si="1863"/>
        <v>Accepted</v>
      </c>
      <c r="S4586" t="str">
        <f t="shared" si="1864"/>
        <v>Approved</v>
      </c>
      <c r="T4586" t="str">
        <f t="shared" si="1865"/>
        <v>10.20.8.188</v>
      </c>
      <c r="U4586" t="str">
        <f t="shared" si="1866"/>
        <v>AZRAD UMAR BIN SHAARI</v>
      </c>
      <c r="V4586" t="str">
        <f t="shared" si="1867"/>
        <v>FARHANA BINTI MUSTAPA</v>
      </c>
      <c r="W4586" t="str">
        <f t="shared" si="1868"/>
        <v>04-08-2020</v>
      </c>
      <c r="X4586" t="str">
        <f t="shared" si="1869"/>
        <v>RAZIMAH ANSAR AHMAD</v>
      </c>
      <c r="Y4586" t="str">
        <f t="shared" si="1870"/>
        <v>04-08-2020</v>
      </c>
      <c r="Z4586" t="str">
        <f>"COS10200804 4568"</f>
        <v>COS10200804 4568</v>
      </c>
    </row>
    <row r="4587" spans="1:26" x14ac:dyDescent="0.25">
      <c r="A4587" t="str">
        <f t="shared" si="1877"/>
        <v>04-08-2020 12:49:50</v>
      </c>
      <c r="B4587" t="str">
        <f>"0000806347"</f>
        <v>0000806347</v>
      </c>
      <c r="C4587" t="str">
        <f t="shared" si="1878"/>
        <v>0000806180</v>
      </c>
      <c r="D4587" t="str">
        <f t="shared" si="1858"/>
        <v>73185</v>
      </c>
      <c r="E4587" t="str">
        <f t="shared" si="1859"/>
        <v>KFH-OPERATIONS DEPARTMENT</v>
      </c>
      <c r="F4587" t="str">
        <f t="shared" si="1860"/>
        <v>IBG</v>
      </c>
      <c r="G4587" t="str">
        <f t="shared" si="1873"/>
        <v>Refund COSHARE 10</v>
      </c>
      <c r="H4587" s="2">
        <v>209.9</v>
      </c>
      <c r="I4587" t="str">
        <f>"GALVIN ANAK ACHAI"</f>
        <v>GALVIN ANAK ACHAI</v>
      </c>
      <c r="J4587" t="str">
        <f t="shared" si="1874"/>
        <v>MAYBANK / MAYBANK ISLAMIC</v>
      </c>
      <c r="K4587" t="str">
        <f>"111113321372"</f>
        <v>111113321372</v>
      </c>
      <c r="L4587" t="str">
        <f t="shared" ref="L4587:M4606" si="1879">"04-08-2020"</f>
        <v>04-08-2020</v>
      </c>
      <c r="M4587" t="str">
        <f t="shared" si="1879"/>
        <v>04-08-2020</v>
      </c>
      <c r="N4587" t="str">
        <f t="shared" si="1861"/>
        <v>001105018356</v>
      </c>
      <c r="O4587" t="str">
        <f t="shared" si="1862"/>
        <v>MYR</v>
      </c>
      <c r="P4587" t="str">
        <f t="shared" ref="P4587:Q4606" si="1880">"NIL"</f>
        <v>NIL</v>
      </c>
      <c r="Q4587" t="str">
        <f t="shared" si="1880"/>
        <v>NIL</v>
      </c>
      <c r="R4587" t="str">
        <f t="shared" si="1863"/>
        <v>Accepted</v>
      </c>
      <c r="S4587" t="str">
        <f t="shared" si="1864"/>
        <v>Approved</v>
      </c>
      <c r="T4587" t="str">
        <f t="shared" si="1865"/>
        <v>10.20.8.188</v>
      </c>
      <c r="U4587" t="str">
        <f t="shared" si="1866"/>
        <v>AZRAD UMAR BIN SHAARI</v>
      </c>
      <c r="V4587" t="str">
        <f t="shared" si="1867"/>
        <v>FARHANA BINTI MUSTAPA</v>
      </c>
      <c r="W4587" t="str">
        <f t="shared" si="1868"/>
        <v>04-08-2020</v>
      </c>
      <c r="X4587" t="str">
        <f t="shared" si="1869"/>
        <v>RAZIMAH ANSAR AHMAD</v>
      </c>
      <c r="Y4587" t="str">
        <f t="shared" si="1870"/>
        <v>04-08-2020</v>
      </c>
      <c r="Z4587" t="str">
        <f>"COS10200804 4567"</f>
        <v>COS10200804 4567</v>
      </c>
    </row>
    <row r="4588" spans="1:26" x14ac:dyDescent="0.25">
      <c r="A4588" t="str">
        <f t="shared" si="1877"/>
        <v>04-08-2020 12:49:50</v>
      </c>
      <c r="B4588" t="str">
        <f>"0000806346"</f>
        <v>0000806346</v>
      </c>
      <c r="C4588" t="str">
        <f t="shared" si="1878"/>
        <v>0000806180</v>
      </c>
      <c r="D4588" t="str">
        <f t="shared" si="1858"/>
        <v>73185</v>
      </c>
      <c r="E4588" t="str">
        <f t="shared" si="1859"/>
        <v>KFH-OPERATIONS DEPARTMENT</v>
      </c>
      <c r="F4588" t="str">
        <f t="shared" si="1860"/>
        <v>IBG</v>
      </c>
      <c r="G4588" t="str">
        <f t="shared" si="1873"/>
        <v>Refund COSHARE 10</v>
      </c>
      <c r="H4588" s="2">
        <v>75.599999999999994</v>
      </c>
      <c r="I4588" t="str">
        <f>"GABRIELA MARTINA ANAK MICHAEL"</f>
        <v>GABRIELA MARTINA ANAK MICHAEL</v>
      </c>
      <c r="J4588" t="str">
        <f t="shared" si="1874"/>
        <v>MAYBANK / MAYBANK ISLAMIC</v>
      </c>
      <c r="K4588" t="str">
        <f>"111084151064"</f>
        <v>111084151064</v>
      </c>
      <c r="L4588" t="str">
        <f t="shared" si="1879"/>
        <v>04-08-2020</v>
      </c>
      <c r="M4588" t="str">
        <f t="shared" si="1879"/>
        <v>04-08-2020</v>
      </c>
      <c r="N4588" t="str">
        <f t="shared" si="1861"/>
        <v>001105018356</v>
      </c>
      <c r="O4588" t="str">
        <f t="shared" si="1862"/>
        <v>MYR</v>
      </c>
      <c r="P4588" t="str">
        <f t="shared" si="1880"/>
        <v>NIL</v>
      </c>
      <c r="Q4588" t="str">
        <f t="shared" si="1880"/>
        <v>NIL</v>
      </c>
      <c r="R4588" t="str">
        <f t="shared" si="1863"/>
        <v>Accepted</v>
      </c>
      <c r="S4588" t="str">
        <f t="shared" si="1864"/>
        <v>Approved</v>
      </c>
      <c r="T4588" t="str">
        <f t="shared" si="1865"/>
        <v>10.20.8.188</v>
      </c>
      <c r="U4588" t="str">
        <f t="shared" si="1866"/>
        <v>AZRAD UMAR BIN SHAARI</v>
      </c>
      <c r="V4588" t="str">
        <f t="shared" si="1867"/>
        <v>FARHANA BINTI MUSTAPA</v>
      </c>
      <c r="W4588" t="str">
        <f t="shared" si="1868"/>
        <v>04-08-2020</v>
      </c>
      <c r="X4588" t="str">
        <f t="shared" si="1869"/>
        <v>RAZIMAH ANSAR AHMAD</v>
      </c>
      <c r="Y4588" t="str">
        <f t="shared" si="1870"/>
        <v>04-08-2020</v>
      </c>
      <c r="Z4588" t="str">
        <f>"COS10200804 4566"</f>
        <v>COS10200804 4566</v>
      </c>
    </row>
    <row r="4589" spans="1:26" x14ac:dyDescent="0.25">
      <c r="A4589" t="str">
        <f t="shared" si="1877"/>
        <v>04-08-2020 12:49:50</v>
      </c>
      <c r="B4589" t="str">
        <f>"0000806345"</f>
        <v>0000806345</v>
      </c>
      <c r="C4589" t="str">
        <f t="shared" si="1878"/>
        <v>0000806180</v>
      </c>
      <c r="D4589" t="str">
        <f t="shared" si="1858"/>
        <v>73185</v>
      </c>
      <c r="E4589" t="str">
        <f t="shared" si="1859"/>
        <v>KFH-OPERATIONS DEPARTMENT</v>
      </c>
      <c r="F4589" t="str">
        <f t="shared" si="1860"/>
        <v>IBG</v>
      </c>
      <c r="G4589" t="str">
        <f t="shared" si="1873"/>
        <v>Refund COSHARE 10</v>
      </c>
      <c r="H4589" s="2">
        <v>79.849999999999994</v>
      </c>
      <c r="I4589" t="str">
        <f>"G RAMAYEE AP GOVINDAN"</f>
        <v>G RAMAYEE AP GOVINDAN</v>
      </c>
      <c r="J4589" t="str">
        <f t="shared" si="1874"/>
        <v>MAYBANK / MAYBANK ISLAMIC</v>
      </c>
      <c r="K4589" t="str">
        <f>"108011855757"</f>
        <v>108011855757</v>
      </c>
      <c r="L4589" t="str">
        <f t="shared" si="1879"/>
        <v>04-08-2020</v>
      </c>
      <c r="M4589" t="str">
        <f t="shared" si="1879"/>
        <v>04-08-2020</v>
      </c>
      <c r="N4589" t="str">
        <f t="shared" si="1861"/>
        <v>001105018356</v>
      </c>
      <c r="O4589" t="str">
        <f t="shared" si="1862"/>
        <v>MYR</v>
      </c>
      <c r="P4589" t="str">
        <f t="shared" si="1880"/>
        <v>NIL</v>
      </c>
      <c r="Q4589" t="str">
        <f t="shared" si="1880"/>
        <v>NIL</v>
      </c>
      <c r="R4589" t="str">
        <f t="shared" si="1863"/>
        <v>Accepted</v>
      </c>
      <c r="S4589" t="str">
        <f t="shared" si="1864"/>
        <v>Approved</v>
      </c>
      <c r="T4589" t="str">
        <f t="shared" si="1865"/>
        <v>10.20.8.188</v>
      </c>
      <c r="U4589" t="str">
        <f t="shared" si="1866"/>
        <v>AZRAD UMAR BIN SHAARI</v>
      </c>
      <c r="V4589" t="str">
        <f t="shared" si="1867"/>
        <v>FARHANA BINTI MUSTAPA</v>
      </c>
      <c r="W4589" t="str">
        <f t="shared" si="1868"/>
        <v>04-08-2020</v>
      </c>
      <c r="X4589" t="str">
        <f t="shared" si="1869"/>
        <v>RAZIMAH ANSAR AHMAD</v>
      </c>
      <c r="Y4589" t="str">
        <f t="shared" si="1870"/>
        <v>04-08-2020</v>
      </c>
      <c r="Z4589" t="str">
        <f>"COS10200804 4565"</f>
        <v>COS10200804 4565</v>
      </c>
    </row>
    <row r="4590" spans="1:26" x14ac:dyDescent="0.25">
      <c r="A4590" t="str">
        <f t="shared" si="1877"/>
        <v>04-08-2020 12:49:50</v>
      </c>
      <c r="B4590" t="str">
        <f>"0000806344"</f>
        <v>0000806344</v>
      </c>
      <c r="C4590" t="str">
        <f t="shared" si="1878"/>
        <v>0000806180</v>
      </c>
      <c r="D4590" t="str">
        <f t="shared" si="1858"/>
        <v>73185</v>
      </c>
      <c r="E4590" t="str">
        <f t="shared" si="1859"/>
        <v>KFH-OPERATIONS DEPARTMENT</v>
      </c>
      <c r="F4590" t="str">
        <f t="shared" si="1860"/>
        <v>IBG</v>
      </c>
      <c r="G4590" t="str">
        <f t="shared" si="1873"/>
        <v>Refund COSHARE 10</v>
      </c>
      <c r="H4590" s="2">
        <v>75.599999999999994</v>
      </c>
      <c r="I4590" t="str">
        <f>"FOZISUYANTI BINTI BUSU  ALIL"</f>
        <v>FOZISUYANTI BINTI BUSU  ALIL</v>
      </c>
      <c r="J4590" t="str">
        <f t="shared" si="1874"/>
        <v>MAYBANK / MAYBANK ISLAMIC</v>
      </c>
      <c r="K4590" t="str">
        <f>"101178202254"</f>
        <v>101178202254</v>
      </c>
      <c r="L4590" t="str">
        <f t="shared" si="1879"/>
        <v>04-08-2020</v>
      </c>
      <c r="M4590" t="str">
        <f t="shared" si="1879"/>
        <v>04-08-2020</v>
      </c>
      <c r="N4590" t="str">
        <f t="shared" si="1861"/>
        <v>001105018356</v>
      </c>
      <c r="O4590" t="str">
        <f t="shared" si="1862"/>
        <v>MYR</v>
      </c>
      <c r="P4590" t="str">
        <f t="shared" si="1880"/>
        <v>NIL</v>
      </c>
      <c r="Q4590" t="str">
        <f t="shared" si="1880"/>
        <v>NIL</v>
      </c>
      <c r="R4590" t="str">
        <f t="shared" si="1863"/>
        <v>Accepted</v>
      </c>
      <c r="S4590" t="str">
        <f t="shared" si="1864"/>
        <v>Approved</v>
      </c>
      <c r="T4590" t="str">
        <f t="shared" si="1865"/>
        <v>10.20.8.188</v>
      </c>
      <c r="U4590" t="str">
        <f t="shared" si="1866"/>
        <v>AZRAD UMAR BIN SHAARI</v>
      </c>
      <c r="V4590" t="str">
        <f t="shared" si="1867"/>
        <v>FARHANA BINTI MUSTAPA</v>
      </c>
      <c r="W4590" t="str">
        <f t="shared" si="1868"/>
        <v>04-08-2020</v>
      </c>
      <c r="X4590" t="str">
        <f t="shared" si="1869"/>
        <v>RAZIMAH ANSAR AHMAD</v>
      </c>
      <c r="Y4590" t="str">
        <f t="shared" si="1870"/>
        <v>04-08-2020</v>
      </c>
      <c r="Z4590" t="str">
        <f>"COS10200804 4564"</f>
        <v>COS10200804 4564</v>
      </c>
    </row>
    <row r="4591" spans="1:26" x14ac:dyDescent="0.25">
      <c r="A4591" t="str">
        <f t="shared" si="1877"/>
        <v>04-08-2020 12:49:50</v>
      </c>
      <c r="B4591" t="str">
        <f>"0000806343"</f>
        <v>0000806343</v>
      </c>
      <c r="C4591" t="str">
        <f t="shared" si="1878"/>
        <v>0000806180</v>
      </c>
      <c r="D4591" t="str">
        <f t="shared" si="1858"/>
        <v>73185</v>
      </c>
      <c r="E4591" t="str">
        <f t="shared" si="1859"/>
        <v>KFH-OPERATIONS DEPARTMENT</v>
      </c>
      <c r="F4591" t="str">
        <f t="shared" si="1860"/>
        <v>IBG</v>
      </c>
      <c r="G4591" t="str">
        <f t="shared" si="1873"/>
        <v>Refund COSHARE 10</v>
      </c>
      <c r="H4591" s="2">
        <v>671.6</v>
      </c>
      <c r="I4591" t="str">
        <f>"FITRI BINTI ABD RAHMAN"</f>
        <v>FITRI BINTI ABD RAHMAN</v>
      </c>
      <c r="J4591" t="str">
        <f t="shared" si="1874"/>
        <v>MAYBANK / MAYBANK ISLAMIC</v>
      </c>
      <c r="K4591" t="str">
        <f>"164155480159"</f>
        <v>164155480159</v>
      </c>
      <c r="L4591" t="str">
        <f t="shared" si="1879"/>
        <v>04-08-2020</v>
      </c>
      <c r="M4591" t="str">
        <f t="shared" si="1879"/>
        <v>04-08-2020</v>
      </c>
      <c r="N4591" t="str">
        <f t="shared" si="1861"/>
        <v>001105018356</v>
      </c>
      <c r="O4591" t="str">
        <f t="shared" si="1862"/>
        <v>MYR</v>
      </c>
      <c r="P4591" t="str">
        <f t="shared" si="1880"/>
        <v>NIL</v>
      </c>
      <c r="Q4591" t="str">
        <f t="shared" si="1880"/>
        <v>NIL</v>
      </c>
      <c r="R4591" t="str">
        <f t="shared" si="1863"/>
        <v>Accepted</v>
      </c>
      <c r="S4591" t="str">
        <f t="shared" si="1864"/>
        <v>Approved</v>
      </c>
      <c r="T4591" t="str">
        <f t="shared" si="1865"/>
        <v>10.20.8.188</v>
      </c>
      <c r="U4591" t="str">
        <f t="shared" si="1866"/>
        <v>AZRAD UMAR BIN SHAARI</v>
      </c>
      <c r="V4591" t="str">
        <f t="shared" si="1867"/>
        <v>FARHANA BINTI MUSTAPA</v>
      </c>
      <c r="W4591" t="str">
        <f t="shared" si="1868"/>
        <v>04-08-2020</v>
      </c>
      <c r="X4591" t="str">
        <f t="shared" si="1869"/>
        <v>RAZIMAH ANSAR AHMAD</v>
      </c>
      <c r="Y4591" t="str">
        <f t="shared" si="1870"/>
        <v>04-08-2020</v>
      </c>
      <c r="Z4591" t="str">
        <f>"COS10200804 4563"</f>
        <v>COS10200804 4563</v>
      </c>
    </row>
    <row r="4592" spans="1:26" x14ac:dyDescent="0.25">
      <c r="A4592" t="str">
        <f t="shared" si="1877"/>
        <v>04-08-2020 12:49:50</v>
      </c>
      <c r="B4592" t="str">
        <f>"0000806342"</f>
        <v>0000806342</v>
      </c>
      <c r="C4592" t="str">
        <f t="shared" si="1878"/>
        <v>0000806180</v>
      </c>
      <c r="D4592" t="str">
        <f t="shared" si="1858"/>
        <v>73185</v>
      </c>
      <c r="E4592" t="str">
        <f t="shared" si="1859"/>
        <v>KFH-OPERATIONS DEPARTMENT</v>
      </c>
      <c r="F4592" t="str">
        <f t="shared" si="1860"/>
        <v>IBG</v>
      </c>
      <c r="G4592" t="str">
        <f t="shared" si="1873"/>
        <v>Refund COSHARE 10</v>
      </c>
      <c r="H4592" s="2">
        <v>337</v>
      </c>
      <c r="I4592" t="str">
        <f>"FIRUZ BINTI ATTAN"</f>
        <v>FIRUZ BINTI ATTAN</v>
      </c>
      <c r="J4592" t="str">
        <f t="shared" si="1874"/>
        <v>MAYBANK / MAYBANK ISLAMIC</v>
      </c>
      <c r="K4592" t="str">
        <f>"151445046096"</f>
        <v>151445046096</v>
      </c>
      <c r="L4592" t="str">
        <f t="shared" si="1879"/>
        <v>04-08-2020</v>
      </c>
      <c r="M4592" t="str">
        <f t="shared" si="1879"/>
        <v>04-08-2020</v>
      </c>
      <c r="N4592" t="str">
        <f t="shared" si="1861"/>
        <v>001105018356</v>
      </c>
      <c r="O4592" t="str">
        <f t="shared" si="1862"/>
        <v>MYR</v>
      </c>
      <c r="P4592" t="str">
        <f t="shared" si="1880"/>
        <v>NIL</v>
      </c>
      <c r="Q4592" t="str">
        <f t="shared" si="1880"/>
        <v>NIL</v>
      </c>
      <c r="R4592" t="str">
        <f t="shared" si="1863"/>
        <v>Accepted</v>
      </c>
      <c r="S4592" t="str">
        <f t="shared" si="1864"/>
        <v>Approved</v>
      </c>
      <c r="T4592" t="str">
        <f t="shared" si="1865"/>
        <v>10.20.8.188</v>
      </c>
      <c r="U4592" t="str">
        <f t="shared" si="1866"/>
        <v>AZRAD UMAR BIN SHAARI</v>
      </c>
      <c r="V4592" t="str">
        <f t="shared" si="1867"/>
        <v>FARHANA BINTI MUSTAPA</v>
      </c>
      <c r="W4592" t="str">
        <f t="shared" si="1868"/>
        <v>04-08-2020</v>
      </c>
      <c r="X4592" t="str">
        <f t="shared" si="1869"/>
        <v>RAZIMAH ANSAR AHMAD</v>
      </c>
      <c r="Y4592" t="str">
        <f t="shared" si="1870"/>
        <v>04-08-2020</v>
      </c>
      <c r="Z4592" t="str">
        <f>"COS10200804 4562"</f>
        <v>COS10200804 4562</v>
      </c>
    </row>
    <row r="4593" spans="1:26" x14ac:dyDescent="0.25">
      <c r="A4593" t="str">
        <f t="shared" si="1877"/>
        <v>04-08-2020 12:49:50</v>
      </c>
      <c r="B4593" t="str">
        <f>"0000806341"</f>
        <v>0000806341</v>
      </c>
      <c r="C4593" t="str">
        <f t="shared" si="1878"/>
        <v>0000806180</v>
      </c>
      <c r="D4593" t="str">
        <f t="shared" si="1858"/>
        <v>73185</v>
      </c>
      <c r="E4593" t="str">
        <f t="shared" si="1859"/>
        <v>KFH-OPERATIONS DEPARTMENT</v>
      </c>
      <c r="F4593" t="str">
        <f t="shared" si="1860"/>
        <v>IBG</v>
      </c>
      <c r="G4593" t="str">
        <f t="shared" si="1873"/>
        <v>Refund COSHARE 10</v>
      </c>
      <c r="H4593" s="2">
        <v>319</v>
      </c>
      <c r="I4593" t="str">
        <f>"FIRMANSYAH BIN JULIUS SYAFRI"</f>
        <v>FIRMANSYAH BIN JULIUS SYAFRI</v>
      </c>
      <c r="J4593" t="str">
        <f t="shared" si="1874"/>
        <v>MAYBANK / MAYBANK ISLAMIC</v>
      </c>
      <c r="K4593" t="str">
        <f>"162179641167"</f>
        <v>162179641167</v>
      </c>
      <c r="L4593" t="str">
        <f t="shared" si="1879"/>
        <v>04-08-2020</v>
      </c>
      <c r="M4593" t="str">
        <f t="shared" si="1879"/>
        <v>04-08-2020</v>
      </c>
      <c r="N4593" t="str">
        <f t="shared" si="1861"/>
        <v>001105018356</v>
      </c>
      <c r="O4593" t="str">
        <f t="shared" si="1862"/>
        <v>MYR</v>
      </c>
      <c r="P4593" t="str">
        <f t="shared" si="1880"/>
        <v>NIL</v>
      </c>
      <c r="Q4593" t="str">
        <f t="shared" si="1880"/>
        <v>NIL</v>
      </c>
      <c r="R4593" t="str">
        <f t="shared" si="1863"/>
        <v>Accepted</v>
      </c>
      <c r="S4593" t="str">
        <f t="shared" si="1864"/>
        <v>Approved</v>
      </c>
      <c r="T4593" t="str">
        <f t="shared" si="1865"/>
        <v>10.20.8.188</v>
      </c>
      <c r="U4593" t="str">
        <f t="shared" si="1866"/>
        <v>AZRAD UMAR BIN SHAARI</v>
      </c>
      <c r="V4593" t="str">
        <f t="shared" si="1867"/>
        <v>FARHANA BINTI MUSTAPA</v>
      </c>
      <c r="W4593" t="str">
        <f t="shared" si="1868"/>
        <v>04-08-2020</v>
      </c>
      <c r="X4593" t="str">
        <f t="shared" si="1869"/>
        <v>RAZIMAH ANSAR AHMAD</v>
      </c>
      <c r="Y4593" t="str">
        <f t="shared" si="1870"/>
        <v>04-08-2020</v>
      </c>
      <c r="Z4593" t="str">
        <f>"COS10200804 4561"</f>
        <v>COS10200804 4561</v>
      </c>
    </row>
    <row r="4594" spans="1:26" x14ac:dyDescent="0.25">
      <c r="A4594" t="str">
        <f t="shared" si="1877"/>
        <v>04-08-2020 12:49:50</v>
      </c>
      <c r="B4594" t="str">
        <f>"0000806340"</f>
        <v>0000806340</v>
      </c>
      <c r="C4594" t="str">
        <f t="shared" si="1878"/>
        <v>0000806180</v>
      </c>
      <c r="D4594" t="str">
        <f t="shared" si="1858"/>
        <v>73185</v>
      </c>
      <c r="E4594" t="str">
        <f t="shared" si="1859"/>
        <v>KFH-OPERATIONS DEPARTMENT</v>
      </c>
      <c r="F4594" t="str">
        <f t="shared" si="1860"/>
        <v>IBG</v>
      </c>
      <c r="G4594" t="str">
        <f t="shared" si="1873"/>
        <v>Refund COSHARE 10</v>
      </c>
      <c r="H4594" s="2">
        <v>209.9</v>
      </c>
      <c r="I4594" t="str">
        <f>"FIRDAUS BIN MOHD MUBIN"</f>
        <v>FIRDAUS BIN MOHD MUBIN</v>
      </c>
      <c r="J4594" t="str">
        <f t="shared" si="1874"/>
        <v>MAYBANK / MAYBANK ISLAMIC</v>
      </c>
      <c r="K4594" t="str">
        <f>"162106971832"</f>
        <v>162106971832</v>
      </c>
      <c r="L4594" t="str">
        <f t="shared" si="1879"/>
        <v>04-08-2020</v>
      </c>
      <c r="M4594" t="str">
        <f t="shared" si="1879"/>
        <v>04-08-2020</v>
      </c>
      <c r="N4594" t="str">
        <f t="shared" si="1861"/>
        <v>001105018356</v>
      </c>
      <c r="O4594" t="str">
        <f t="shared" si="1862"/>
        <v>MYR</v>
      </c>
      <c r="P4594" t="str">
        <f t="shared" si="1880"/>
        <v>NIL</v>
      </c>
      <c r="Q4594" t="str">
        <f t="shared" si="1880"/>
        <v>NIL</v>
      </c>
      <c r="R4594" t="str">
        <f t="shared" si="1863"/>
        <v>Accepted</v>
      </c>
      <c r="S4594" t="str">
        <f t="shared" si="1864"/>
        <v>Approved</v>
      </c>
      <c r="T4594" t="str">
        <f t="shared" si="1865"/>
        <v>10.20.8.188</v>
      </c>
      <c r="U4594" t="str">
        <f t="shared" si="1866"/>
        <v>AZRAD UMAR BIN SHAARI</v>
      </c>
      <c r="V4594" t="str">
        <f t="shared" si="1867"/>
        <v>FARHANA BINTI MUSTAPA</v>
      </c>
      <c r="W4594" t="str">
        <f t="shared" si="1868"/>
        <v>04-08-2020</v>
      </c>
      <c r="X4594" t="str">
        <f t="shared" si="1869"/>
        <v>RAZIMAH ANSAR AHMAD</v>
      </c>
      <c r="Y4594" t="str">
        <f t="shared" si="1870"/>
        <v>04-08-2020</v>
      </c>
      <c r="Z4594" t="str">
        <f>"COS10200804 4560"</f>
        <v>COS10200804 4560</v>
      </c>
    </row>
    <row r="4595" spans="1:26" x14ac:dyDescent="0.25">
      <c r="A4595" t="str">
        <f t="shared" si="1877"/>
        <v>04-08-2020 12:49:50</v>
      </c>
      <c r="B4595" t="str">
        <f>"0000806339"</f>
        <v>0000806339</v>
      </c>
      <c r="C4595" t="str">
        <f t="shared" si="1878"/>
        <v>0000806180</v>
      </c>
      <c r="D4595" t="str">
        <f t="shared" si="1858"/>
        <v>73185</v>
      </c>
      <c r="E4595" t="str">
        <f t="shared" si="1859"/>
        <v>KFH-OPERATIONS DEPARTMENT</v>
      </c>
      <c r="F4595" t="str">
        <f t="shared" si="1860"/>
        <v>IBG</v>
      </c>
      <c r="G4595" t="str">
        <f t="shared" si="1873"/>
        <v>Refund COSHARE 10</v>
      </c>
      <c r="H4595" s="2">
        <v>377.8</v>
      </c>
      <c r="I4595" t="str">
        <f>"FIRDAUS BIN AB RAHMAN"</f>
        <v>FIRDAUS BIN AB RAHMAN</v>
      </c>
      <c r="J4595" t="str">
        <f t="shared" si="1874"/>
        <v>MAYBANK / MAYBANK ISLAMIC</v>
      </c>
      <c r="K4595" t="str">
        <f>"162236607053"</f>
        <v>162236607053</v>
      </c>
      <c r="L4595" t="str">
        <f t="shared" si="1879"/>
        <v>04-08-2020</v>
      </c>
      <c r="M4595" t="str">
        <f t="shared" si="1879"/>
        <v>04-08-2020</v>
      </c>
      <c r="N4595" t="str">
        <f t="shared" si="1861"/>
        <v>001105018356</v>
      </c>
      <c r="O4595" t="str">
        <f t="shared" si="1862"/>
        <v>MYR</v>
      </c>
      <c r="P4595" t="str">
        <f t="shared" si="1880"/>
        <v>NIL</v>
      </c>
      <c r="Q4595" t="str">
        <f t="shared" si="1880"/>
        <v>NIL</v>
      </c>
      <c r="R4595" t="str">
        <f t="shared" si="1863"/>
        <v>Accepted</v>
      </c>
      <c r="S4595" t="str">
        <f t="shared" si="1864"/>
        <v>Approved</v>
      </c>
      <c r="T4595" t="str">
        <f t="shared" si="1865"/>
        <v>10.20.8.188</v>
      </c>
      <c r="U4595" t="str">
        <f t="shared" si="1866"/>
        <v>AZRAD UMAR BIN SHAARI</v>
      </c>
      <c r="V4595" t="str">
        <f t="shared" si="1867"/>
        <v>FARHANA BINTI MUSTAPA</v>
      </c>
      <c r="W4595" t="str">
        <f t="shared" si="1868"/>
        <v>04-08-2020</v>
      </c>
      <c r="X4595" t="str">
        <f t="shared" si="1869"/>
        <v>RAZIMAH ANSAR AHMAD</v>
      </c>
      <c r="Y4595" t="str">
        <f t="shared" si="1870"/>
        <v>04-08-2020</v>
      </c>
      <c r="Z4595" t="str">
        <f>"COS10200804 4559"</f>
        <v>COS10200804 4559</v>
      </c>
    </row>
    <row r="4596" spans="1:26" x14ac:dyDescent="0.25">
      <c r="A4596" t="str">
        <f t="shared" si="1877"/>
        <v>04-08-2020 12:49:50</v>
      </c>
      <c r="B4596" t="str">
        <f>"0000806338"</f>
        <v>0000806338</v>
      </c>
      <c r="C4596" t="str">
        <f t="shared" si="1878"/>
        <v>0000806180</v>
      </c>
      <c r="D4596" t="str">
        <f t="shared" si="1858"/>
        <v>73185</v>
      </c>
      <c r="E4596" t="str">
        <f t="shared" si="1859"/>
        <v>KFH-OPERATIONS DEPARTMENT</v>
      </c>
      <c r="F4596" t="str">
        <f t="shared" si="1860"/>
        <v>IBG</v>
      </c>
      <c r="G4596" t="str">
        <f t="shared" si="1873"/>
        <v>Refund COSHARE 10</v>
      </c>
      <c r="H4596" s="2">
        <v>184.7</v>
      </c>
      <c r="I4596" t="str">
        <f>"FERDAUS BIN MANAP"</f>
        <v>FERDAUS BIN MANAP</v>
      </c>
      <c r="J4596" t="str">
        <f t="shared" si="1874"/>
        <v>MAYBANK / MAYBANK ISLAMIC</v>
      </c>
      <c r="K4596" t="str">
        <f>"156141345910"</f>
        <v>156141345910</v>
      </c>
      <c r="L4596" t="str">
        <f t="shared" si="1879"/>
        <v>04-08-2020</v>
      </c>
      <c r="M4596" t="str">
        <f t="shared" si="1879"/>
        <v>04-08-2020</v>
      </c>
      <c r="N4596" t="str">
        <f t="shared" si="1861"/>
        <v>001105018356</v>
      </c>
      <c r="O4596" t="str">
        <f t="shared" si="1862"/>
        <v>MYR</v>
      </c>
      <c r="P4596" t="str">
        <f t="shared" si="1880"/>
        <v>NIL</v>
      </c>
      <c r="Q4596" t="str">
        <f t="shared" si="1880"/>
        <v>NIL</v>
      </c>
      <c r="R4596" t="str">
        <f t="shared" si="1863"/>
        <v>Accepted</v>
      </c>
      <c r="S4596" t="str">
        <f t="shared" si="1864"/>
        <v>Approved</v>
      </c>
      <c r="T4596" t="str">
        <f t="shared" si="1865"/>
        <v>10.20.8.188</v>
      </c>
      <c r="U4596" t="str">
        <f t="shared" si="1866"/>
        <v>AZRAD UMAR BIN SHAARI</v>
      </c>
      <c r="V4596" t="str">
        <f t="shared" si="1867"/>
        <v>FARHANA BINTI MUSTAPA</v>
      </c>
      <c r="W4596" t="str">
        <f t="shared" si="1868"/>
        <v>04-08-2020</v>
      </c>
      <c r="X4596" t="str">
        <f t="shared" si="1869"/>
        <v>RAZIMAH ANSAR AHMAD</v>
      </c>
      <c r="Y4596" t="str">
        <f t="shared" si="1870"/>
        <v>04-08-2020</v>
      </c>
      <c r="Z4596" t="str">
        <f>"COS10200804 4558"</f>
        <v>COS10200804 4558</v>
      </c>
    </row>
    <row r="4597" spans="1:26" x14ac:dyDescent="0.25">
      <c r="A4597" t="str">
        <f t="shared" si="1877"/>
        <v>04-08-2020 12:49:50</v>
      </c>
      <c r="B4597" t="str">
        <f>"0000806337"</f>
        <v>0000806337</v>
      </c>
      <c r="C4597" t="str">
        <f t="shared" si="1878"/>
        <v>0000806180</v>
      </c>
      <c r="D4597" t="str">
        <f t="shared" si="1858"/>
        <v>73185</v>
      </c>
      <c r="E4597" t="str">
        <f t="shared" si="1859"/>
        <v>KFH-OPERATIONS DEPARTMENT</v>
      </c>
      <c r="F4597" t="str">
        <f t="shared" si="1860"/>
        <v>IBG</v>
      </c>
      <c r="G4597" t="str">
        <f t="shared" si="1873"/>
        <v>Refund COSHARE 10</v>
      </c>
      <c r="H4597" s="2">
        <v>184.7</v>
      </c>
      <c r="I4597" t="str">
        <f>"FERDAUS BIN MANAP"</f>
        <v>FERDAUS BIN MANAP</v>
      </c>
      <c r="J4597" t="str">
        <f t="shared" si="1874"/>
        <v>MAYBANK / MAYBANK ISLAMIC</v>
      </c>
      <c r="K4597" t="str">
        <f>"156141345910"</f>
        <v>156141345910</v>
      </c>
      <c r="L4597" t="str">
        <f t="shared" si="1879"/>
        <v>04-08-2020</v>
      </c>
      <c r="M4597" t="str">
        <f t="shared" si="1879"/>
        <v>04-08-2020</v>
      </c>
      <c r="N4597" t="str">
        <f t="shared" si="1861"/>
        <v>001105018356</v>
      </c>
      <c r="O4597" t="str">
        <f t="shared" si="1862"/>
        <v>MYR</v>
      </c>
      <c r="P4597" t="str">
        <f t="shared" si="1880"/>
        <v>NIL</v>
      </c>
      <c r="Q4597" t="str">
        <f t="shared" si="1880"/>
        <v>NIL</v>
      </c>
      <c r="R4597" t="str">
        <f t="shared" si="1863"/>
        <v>Accepted</v>
      </c>
      <c r="S4597" t="str">
        <f t="shared" si="1864"/>
        <v>Approved</v>
      </c>
      <c r="T4597" t="str">
        <f t="shared" si="1865"/>
        <v>10.20.8.188</v>
      </c>
      <c r="U4597" t="str">
        <f t="shared" si="1866"/>
        <v>AZRAD UMAR BIN SHAARI</v>
      </c>
      <c r="V4597" t="str">
        <f t="shared" si="1867"/>
        <v>FARHANA BINTI MUSTAPA</v>
      </c>
      <c r="W4597" t="str">
        <f t="shared" si="1868"/>
        <v>04-08-2020</v>
      </c>
      <c r="X4597" t="str">
        <f t="shared" si="1869"/>
        <v>RAZIMAH ANSAR AHMAD</v>
      </c>
      <c r="Y4597" t="str">
        <f t="shared" si="1870"/>
        <v>04-08-2020</v>
      </c>
      <c r="Z4597" t="str">
        <f>"COS10200804 4557"</f>
        <v>COS10200804 4557</v>
      </c>
    </row>
    <row r="4598" spans="1:26" x14ac:dyDescent="0.25">
      <c r="A4598" t="str">
        <f t="shared" si="1877"/>
        <v>04-08-2020 12:49:50</v>
      </c>
      <c r="B4598" t="str">
        <f>"0000806336"</f>
        <v>0000806336</v>
      </c>
      <c r="C4598" t="str">
        <f t="shared" si="1878"/>
        <v>0000806180</v>
      </c>
      <c r="D4598" t="str">
        <f t="shared" si="1858"/>
        <v>73185</v>
      </c>
      <c r="E4598" t="str">
        <f t="shared" si="1859"/>
        <v>KFH-OPERATIONS DEPARTMENT</v>
      </c>
      <c r="F4598" t="str">
        <f t="shared" si="1860"/>
        <v>IBG</v>
      </c>
      <c r="G4598" t="str">
        <f t="shared" si="1873"/>
        <v>Refund COSHARE 10</v>
      </c>
      <c r="H4598" s="2">
        <v>587.65</v>
      </c>
      <c r="I4598" t="str">
        <f>"FAZRUL EDLIN BIN SALEH"</f>
        <v>FAZRUL EDLIN BIN SALEH</v>
      </c>
      <c r="J4598" t="str">
        <f t="shared" si="1874"/>
        <v>MAYBANK / MAYBANK ISLAMIC</v>
      </c>
      <c r="K4598" t="str">
        <f>"164128527878"</f>
        <v>164128527878</v>
      </c>
      <c r="L4598" t="str">
        <f t="shared" si="1879"/>
        <v>04-08-2020</v>
      </c>
      <c r="M4598" t="str">
        <f t="shared" si="1879"/>
        <v>04-08-2020</v>
      </c>
      <c r="N4598" t="str">
        <f t="shared" si="1861"/>
        <v>001105018356</v>
      </c>
      <c r="O4598" t="str">
        <f t="shared" si="1862"/>
        <v>MYR</v>
      </c>
      <c r="P4598" t="str">
        <f t="shared" si="1880"/>
        <v>NIL</v>
      </c>
      <c r="Q4598" t="str">
        <f t="shared" si="1880"/>
        <v>NIL</v>
      </c>
      <c r="R4598" t="str">
        <f t="shared" si="1863"/>
        <v>Accepted</v>
      </c>
      <c r="S4598" t="str">
        <f t="shared" si="1864"/>
        <v>Approved</v>
      </c>
      <c r="T4598" t="str">
        <f t="shared" si="1865"/>
        <v>10.20.8.188</v>
      </c>
      <c r="U4598" t="str">
        <f t="shared" si="1866"/>
        <v>AZRAD UMAR BIN SHAARI</v>
      </c>
      <c r="V4598" t="str">
        <f t="shared" si="1867"/>
        <v>FARHANA BINTI MUSTAPA</v>
      </c>
      <c r="W4598" t="str">
        <f t="shared" si="1868"/>
        <v>04-08-2020</v>
      </c>
      <c r="X4598" t="str">
        <f t="shared" si="1869"/>
        <v>RAZIMAH ANSAR AHMAD</v>
      </c>
      <c r="Y4598" t="str">
        <f t="shared" si="1870"/>
        <v>04-08-2020</v>
      </c>
      <c r="Z4598" t="str">
        <f>"COS10200804 4556"</f>
        <v>COS10200804 4556</v>
      </c>
    </row>
    <row r="4599" spans="1:26" x14ac:dyDescent="0.25">
      <c r="A4599" t="str">
        <f t="shared" si="1877"/>
        <v>04-08-2020 12:49:50</v>
      </c>
      <c r="B4599" t="str">
        <f>"0000806335"</f>
        <v>0000806335</v>
      </c>
      <c r="C4599" t="str">
        <f t="shared" si="1878"/>
        <v>0000806180</v>
      </c>
      <c r="D4599" t="str">
        <f t="shared" si="1858"/>
        <v>73185</v>
      </c>
      <c r="E4599" t="str">
        <f t="shared" si="1859"/>
        <v>KFH-OPERATIONS DEPARTMENT</v>
      </c>
      <c r="F4599" t="str">
        <f t="shared" si="1860"/>
        <v>IBG</v>
      </c>
      <c r="G4599" t="str">
        <f t="shared" si="1873"/>
        <v>Refund COSHARE 10</v>
      </c>
      <c r="H4599" s="2">
        <v>117.55</v>
      </c>
      <c r="I4599" t="str">
        <f>"FAZLIN IDURA BINTI FAIZULLAH"</f>
        <v>FAZLIN IDURA BINTI FAIZULLAH</v>
      </c>
      <c r="J4599" t="str">
        <f t="shared" si="1874"/>
        <v>MAYBANK / MAYBANK ISLAMIC</v>
      </c>
      <c r="K4599" t="str">
        <f>"162058632586"</f>
        <v>162058632586</v>
      </c>
      <c r="L4599" t="str">
        <f t="shared" si="1879"/>
        <v>04-08-2020</v>
      </c>
      <c r="M4599" t="str">
        <f t="shared" si="1879"/>
        <v>04-08-2020</v>
      </c>
      <c r="N4599" t="str">
        <f t="shared" si="1861"/>
        <v>001105018356</v>
      </c>
      <c r="O4599" t="str">
        <f t="shared" si="1862"/>
        <v>MYR</v>
      </c>
      <c r="P4599" t="str">
        <f t="shared" si="1880"/>
        <v>NIL</v>
      </c>
      <c r="Q4599" t="str">
        <f t="shared" si="1880"/>
        <v>NIL</v>
      </c>
      <c r="R4599" t="str">
        <f t="shared" si="1863"/>
        <v>Accepted</v>
      </c>
      <c r="S4599" t="str">
        <f t="shared" si="1864"/>
        <v>Approved</v>
      </c>
      <c r="T4599" t="str">
        <f t="shared" si="1865"/>
        <v>10.20.8.188</v>
      </c>
      <c r="U4599" t="str">
        <f t="shared" si="1866"/>
        <v>AZRAD UMAR BIN SHAARI</v>
      </c>
      <c r="V4599" t="str">
        <f t="shared" si="1867"/>
        <v>FARHANA BINTI MUSTAPA</v>
      </c>
      <c r="W4599" t="str">
        <f t="shared" si="1868"/>
        <v>04-08-2020</v>
      </c>
      <c r="X4599" t="str">
        <f t="shared" si="1869"/>
        <v>RAZIMAH ANSAR AHMAD</v>
      </c>
      <c r="Y4599" t="str">
        <f t="shared" si="1870"/>
        <v>04-08-2020</v>
      </c>
      <c r="Z4599" t="str">
        <f>"COS10200804 4555"</f>
        <v>COS10200804 4555</v>
      </c>
    </row>
    <row r="4600" spans="1:26" x14ac:dyDescent="0.25">
      <c r="A4600" t="str">
        <f t="shared" si="1877"/>
        <v>04-08-2020 12:49:50</v>
      </c>
      <c r="B4600" t="str">
        <f>"0000806334"</f>
        <v>0000806334</v>
      </c>
      <c r="C4600" t="str">
        <f t="shared" si="1878"/>
        <v>0000806180</v>
      </c>
      <c r="D4600" t="str">
        <f t="shared" si="1858"/>
        <v>73185</v>
      </c>
      <c r="E4600" t="str">
        <f t="shared" si="1859"/>
        <v>KFH-OPERATIONS DEPARTMENT</v>
      </c>
      <c r="F4600" t="str">
        <f t="shared" si="1860"/>
        <v>IBG</v>
      </c>
      <c r="G4600" t="str">
        <f t="shared" si="1873"/>
        <v>Refund COSHARE 10</v>
      </c>
      <c r="H4600" s="2">
        <v>850</v>
      </c>
      <c r="I4600" t="str">
        <f>"FAZLIANA BINTI ABDULLAH"</f>
        <v>FAZLIANA BINTI ABDULLAH</v>
      </c>
      <c r="J4600" t="str">
        <f t="shared" si="1874"/>
        <v>MAYBANK / MAYBANK ISLAMIC</v>
      </c>
      <c r="K4600" t="str">
        <f>"152068717490"</f>
        <v>152068717490</v>
      </c>
      <c r="L4600" t="str">
        <f t="shared" si="1879"/>
        <v>04-08-2020</v>
      </c>
      <c r="M4600" t="str">
        <f t="shared" si="1879"/>
        <v>04-08-2020</v>
      </c>
      <c r="N4600" t="str">
        <f t="shared" si="1861"/>
        <v>001105018356</v>
      </c>
      <c r="O4600" t="str">
        <f t="shared" si="1862"/>
        <v>MYR</v>
      </c>
      <c r="P4600" t="str">
        <f t="shared" si="1880"/>
        <v>NIL</v>
      </c>
      <c r="Q4600" t="str">
        <f t="shared" si="1880"/>
        <v>NIL</v>
      </c>
      <c r="R4600" t="str">
        <f t="shared" si="1863"/>
        <v>Accepted</v>
      </c>
      <c r="S4600" t="str">
        <f t="shared" si="1864"/>
        <v>Approved</v>
      </c>
      <c r="T4600" t="str">
        <f t="shared" si="1865"/>
        <v>10.20.8.188</v>
      </c>
      <c r="U4600" t="str">
        <f t="shared" si="1866"/>
        <v>AZRAD UMAR BIN SHAARI</v>
      </c>
      <c r="V4600" t="str">
        <f t="shared" si="1867"/>
        <v>FARHANA BINTI MUSTAPA</v>
      </c>
      <c r="W4600" t="str">
        <f t="shared" si="1868"/>
        <v>04-08-2020</v>
      </c>
      <c r="X4600" t="str">
        <f t="shared" si="1869"/>
        <v>RAZIMAH ANSAR AHMAD</v>
      </c>
      <c r="Y4600" t="str">
        <f t="shared" si="1870"/>
        <v>04-08-2020</v>
      </c>
      <c r="Z4600" t="str">
        <f>"COS10200804 4554"</f>
        <v>COS10200804 4554</v>
      </c>
    </row>
    <row r="4601" spans="1:26" x14ac:dyDescent="0.25">
      <c r="A4601" t="str">
        <f t="shared" si="1877"/>
        <v>04-08-2020 12:49:50</v>
      </c>
      <c r="B4601" t="str">
        <f>"0000806333"</f>
        <v>0000806333</v>
      </c>
      <c r="C4601" t="str">
        <f t="shared" si="1878"/>
        <v>0000806180</v>
      </c>
      <c r="D4601" t="str">
        <f t="shared" si="1858"/>
        <v>73185</v>
      </c>
      <c r="E4601" t="str">
        <f t="shared" si="1859"/>
        <v>KFH-OPERATIONS DEPARTMENT</v>
      </c>
      <c r="F4601" t="str">
        <f t="shared" si="1860"/>
        <v>IBG</v>
      </c>
      <c r="G4601" t="str">
        <f t="shared" si="1873"/>
        <v>Refund COSHARE 10</v>
      </c>
      <c r="H4601" s="2">
        <v>755.55</v>
      </c>
      <c r="I4601" t="str">
        <f>"FAZLI BIN MOHAMED"</f>
        <v>FAZLI BIN MOHAMED</v>
      </c>
      <c r="J4601" t="str">
        <f t="shared" si="1874"/>
        <v>MAYBANK / MAYBANK ISLAMIC</v>
      </c>
      <c r="K4601" t="str">
        <f>"164137415873"</f>
        <v>164137415873</v>
      </c>
      <c r="L4601" t="str">
        <f t="shared" si="1879"/>
        <v>04-08-2020</v>
      </c>
      <c r="M4601" t="str">
        <f t="shared" si="1879"/>
        <v>04-08-2020</v>
      </c>
      <c r="N4601" t="str">
        <f t="shared" si="1861"/>
        <v>001105018356</v>
      </c>
      <c r="O4601" t="str">
        <f t="shared" si="1862"/>
        <v>MYR</v>
      </c>
      <c r="P4601" t="str">
        <f t="shared" si="1880"/>
        <v>NIL</v>
      </c>
      <c r="Q4601" t="str">
        <f t="shared" si="1880"/>
        <v>NIL</v>
      </c>
      <c r="R4601" t="str">
        <f t="shared" si="1863"/>
        <v>Accepted</v>
      </c>
      <c r="S4601" t="str">
        <f t="shared" si="1864"/>
        <v>Approved</v>
      </c>
      <c r="T4601" t="str">
        <f t="shared" si="1865"/>
        <v>10.20.8.188</v>
      </c>
      <c r="U4601" t="str">
        <f t="shared" si="1866"/>
        <v>AZRAD UMAR BIN SHAARI</v>
      </c>
      <c r="V4601" t="str">
        <f t="shared" si="1867"/>
        <v>FARHANA BINTI MUSTAPA</v>
      </c>
      <c r="W4601" t="str">
        <f t="shared" si="1868"/>
        <v>04-08-2020</v>
      </c>
      <c r="X4601" t="str">
        <f t="shared" si="1869"/>
        <v>RAZIMAH ANSAR AHMAD</v>
      </c>
      <c r="Y4601" t="str">
        <f t="shared" si="1870"/>
        <v>04-08-2020</v>
      </c>
      <c r="Z4601" t="str">
        <f>"COS10200804 4553"</f>
        <v>COS10200804 4553</v>
      </c>
    </row>
    <row r="4602" spans="1:26" x14ac:dyDescent="0.25">
      <c r="A4602" t="str">
        <f t="shared" si="1877"/>
        <v>04-08-2020 12:49:50</v>
      </c>
      <c r="B4602" t="str">
        <f>"0000806332"</f>
        <v>0000806332</v>
      </c>
      <c r="C4602" t="str">
        <f t="shared" si="1878"/>
        <v>0000806180</v>
      </c>
      <c r="D4602" t="str">
        <f t="shared" si="1858"/>
        <v>73185</v>
      </c>
      <c r="E4602" t="str">
        <f t="shared" si="1859"/>
        <v>KFH-OPERATIONS DEPARTMENT</v>
      </c>
      <c r="F4602" t="str">
        <f t="shared" si="1860"/>
        <v>IBG</v>
      </c>
      <c r="G4602" t="str">
        <f t="shared" si="1873"/>
        <v>Refund COSHARE 10</v>
      </c>
      <c r="H4602" s="2">
        <v>42</v>
      </c>
      <c r="I4602" t="str">
        <f>"FAZLEEN SHUHADA BINTI ZAINAL ABIDIN"</f>
        <v>FAZLEEN SHUHADA BINTI ZAINAL ABIDIN</v>
      </c>
      <c r="J4602" t="str">
        <f t="shared" si="1874"/>
        <v>MAYBANK / MAYBANK ISLAMIC</v>
      </c>
      <c r="K4602" t="str">
        <f>"166010025923"</f>
        <v>166010025923</v>
      </c>
      <c r="L4602" t="str">
        <f t="shared" si="1879"/>
        <v>04-08-2020</v>
      </c>
      <c r="M4602" t="str">
        <f t="shared" si="1879"/>
        <v>04-08-2020</v>
      </c>
      <c r="N4602" t="str">
        <f t="shared" si="1861"/>
        <v>001105018356</v>
      </c>
      <c r="O4602" t="str">
        <f t="shared" si="1862"/>
        <v>MYR</v>
      </c>
      <c r="P4602" t="str">
        <f t="shared" si="1880"/>
        <v>NIL</v>
      </c>
      <c r="Q4602" t="str">
        <f t="shared" si="1880"/>
        <v>NIL</v>
      </c>
      <c r="R4602" t="str">
        <f t="shared" si="1863"/>
        <v>Accepted</v>
      </c>
      <c r="S4602" t="str">
        <f t="shared" si="1864"/>
        <v>Approved</v>
      </c>
      <c r="T4602" t="str">
        <f t="shared" si="1865"/>
        <v>10.20.8.188</v>
      </c>
      <c r="U4602" t="str">
        <f t="shared" si="1866"/>
        <v>AZRAD UMAR BIN SHAARI</v>
      </c>
      <c r="V4602" t="str">
        <f t="shared" si="1867"/>
        <v>FARHANA BINTI MUSTAPA</v>
      </c>
      <c r="W4602" t="str">
        <f t="shared" si="1868"/>
        <v>04-08-2020</v>
      </c>
      <c r="X4602" t="str">
        <f t="shared" si="1869"/>
        <v>RAZIMAH ANSAR AHMAD</v>
      </c>
      <c r="Y4602" t="str">
        <f t="shared" si="1870"/>
        <v>04-08-2020</v>
      </c>
      <c r="Z4602" t="str">
        <f>"COS10200804 4552"</f>
        <v>COS10200804 4552</v>
      </c>
    </row>
    <row r="4603" spans="1:26" x14ac:dyDescent="0.25">
      <c r="A4603" t="str">
        <f t="shared" si="1877"/>
        <v>04-08-2020 12:49:50</v>
      </c>
      <c r="B4603" t="str">
        <f>"0000806331"</f>
        <v>0000806331</v>
      </c>
      <c r="C4603" t="str">
        <f t="shared" si="1878"/>
        <v>0000806180</v>
      </c>
      <c r="D4603" t="str">
        <f t="shared" si="1858"/>
        <v>73185</v>
      </c>
      <c r="E4603" t="str">
        <f t="shared" si="1859"/>
        <v>KFH-OPERATIONS DEPARTMENT</v>
      </c>
      <c r="F4603" t="str">
        <f t="shared" si="1860"/>
        <v>IBG</v>
      </c>
      <c r="G4603" t="str">
        <f t="shared" si="1873"/>
        <v>Refund COSHARE 10</v>
      </c>
      <c r="H4603" s="2">
        <v>689.6</v>
      </c>
      <c r="I4603" t="str">
        <f>"FAZIRAWATI BINTI MOHD ARIFIN"</f>
        <v>FAZIRAWATI BINTI MOHD ARIFIN</v>
      </c>
      <c r="J4603" t="str">
        <f t="shared" si="1874"/>
        <v>MAYBANK / MAYBANK ISLAMIC</v>
      </c>
      <c r="K4603" t="str">
        <f>"164847005927"</f>
        <v>164847005927</v>
      </c>
      <c r="L4603" t="str">
        <f t="shared" si="1879"/>
        <v>04-08-2020</v>
      </c>
      <c r="M4603" t="str">
        <f t="shared" si="1879"/>
        <v>04-08-2020</v>
      </c>
      <c r="N4603" t="str">
        <f t="shared" si="1861"/>
        <v>001105018356</v>
      </c>
      <c r="O4603" t="str">
        <f t="shared" si="1862"/>
        <v>MYR</v>
      </c>
      <c r="P4603" t="str">
        <f t="shared" si="1880"/>
        <v>NIL</v>
      </c>
      <c r="Q4603" t="str">
        <f t="shared" si="1880"/>
        <v>NIL</v>
      </c>
      <c r="R4603" t="str">
        <f t="shared" si="1863"/>
        <v>Accepted</v>
      </c>
      <c r="S4603" t="str">
        <f t="shared" si="1864"/>
        <v>Approved</v>
      </c>
      <c r="T4603" t="str">
        <f t="shared" si="1865"/>
        <v>10.20.8.188</v>
      </c>
      <c r="U4603" t="str">
        <f t="shared" si="1866"/>
        <v>AZRAD UMAR BIN SHAARI</v>
      </c>
      <c r="V4603" t="str">
        <f t="shared" si="1867"/>
        <v>FARHANA BINTI MUSTAPA</v>
      </c>
      <c r="W4603" t="str">
        <f t="shared" si="1868"/>
        <v>04-08-2020</v>
      </c>
      <c r="X4603" t="str">
        <f t="shared" si="1869"/>
        <v>RAZIMAH ANSAR AHMAD</v>
      </c>
      <c r="Y4603" t="str">
        <f t="shared" si="1870"/>
        <v>04-08-2020</v>
      </c>
      <c r="Z4603" t="str">
        <f>"COS10200804 4551"</f>
        <v>COS10200804 4551</v>
      </c>
    </row>
    <row r="4604" spans="1:26" x14ac:dyDescent="0.25">
      <c r="A4604" t="str">
        <f t="shared" si="1877"/>
        <v>04-08-2020 12:49:50</v>
      </c>
      <c r="B4604" t="str">
        <f>"0000806330"</f>
        <v>0000806330</v>
      </c>
      <c r="C4604" t="str">
        <f t="shared" si="1878"/>
        <v>0000806180</v>
      </c>
      <c r="D4604" t="str">
        <f t="shared" si="1858"/>
        <v>73185</v>
      </c>
      <c r="E4604" t="str">
        <f t="shared" si="1859"/>
        <v>KFH-OPERATIONS DEPARTMENT</v>
      </c>
      <c r="F4604" t="str">
        <f t="shared" si="1860"/>
        <v>IBG</v>
      </c>
      <c r="G4604" t="str">
        <f t="shared" si="1873"/>
        <v>Refund COSHARE 10</v>
      </c>
      <c r="H4604" s="2">
        <v>284</v>
      </c>
      <c r="I4604" t="str">
        <f>"FAZILLATON BINTI KASSIM"</f>
        <v>FAZILLATON BINTI KASSIM</v>
      </c>
      <c r="J4604" t="str">
        <f t="shared" si="1874"/>
        <v>MAYBANK / MAYBANK ISLAMIC</v>
      </c>
      <c r="K4604" t="str">
        <f>"156057275312"</f>
        <v>156057275312</v>
      </c>
      <c r="L4604" t="str">
        <f t="shared" si="1879"/>
        <v>04-08-2020</v>
      </c>
      <c r="M4604" t="str">
        <f t="shared" si="1879"/>
        <v>04-08-2020</v>
      </c>
      <c r="N4604" t="str">
        <f t="shared" si="1861"/>
        <v>001105018356</v>
      </c>
      <c r="O4604" t="str">
        <f t="shared" si="1862"/>
        <v>MYR</v>
      </c>
      <c r="P4604" t="str">
        <f t="shared" si="1880"/>
        <v>NIL</v>
      </c>
      <c r="Q4604" t="str">
        <f t="shared" si="1880"/>
        <v>NIL</v>
      </c>
      <c r="R4604" t="str">
        <f t="shared" si="1863"/>
        <v>Accepted</v>
      </c>
      <c r="S4604" t="str">
        <f t="shared" si="1864"/>
        <v>Approved</v>
      </c>
      <c r="T4604" t="str">
        <f t="shared" si="1865"/>
        <v>10.20.8.188</v>
      </c>
      <c r="U4604" t="str">
        <f t="shared" si="1866"/>
        <v>AZRAD UMAR BIN SHAARI</v>
      </c>
      <c r="V4604" t="str">
        <f t="shared" si="1867"/>
        <v>FARHANA BINTI MUSTAPA</v>
      </c>
      <c r="W4604" t="str">
        <f t="shared" si="1868"/>
        <v>04-08-2020</v>
      </c>
      <c r="X4604" t="str">
        <f t="shared" si="1869"/>
        <v>RAZIMAH ANSAR AHMAD</v>
      </c>
      <c r="Y4604" t="str">
        <f t="shared" si="1870"/>
        <v>04-08-2020</v>
      </c>
      <c r="Z4604" t="str">
        <f>"COS10200804 4550"</f>
        <v>COS10200804 4550</v>
      </c>
    </row>
    <row r="4605" spans="1:26" x14ac:dyDescent="0.25">
      <c r="A4605" t="str">
        <f t="shared" si="1877"/>
        <v>04-08-2020 12:49:50</v>
      </c>
      <c r="B4605" t="str">
        <f>"0000806329"</f>
        <v>0000806329</v>
      </c>
      <c r="C4605" t="str">
        <f t="shared" si="1878"/>
        <v>0000806180</v>
      </c>
      <c r="D4605" t="str">
        <f t="shared" si="1858"/>
        <v>73185</v>
      </c>
      <c r="E4605" t="str">
        <f t="shared" si="1859"/>
        <v>KFH-OPERATIONS DEPARTMENT</v>
      </c>
      <c r="F4605" t="str">
        <f t="shared" si="1860"/>
        <v>IBG</v>
      </c>
      <c r="G4605" t="str">
        <f t="shared" si="1873"/>
        <v>Refund COSHARE 10</v>
      </c>
      <c r="H4605" s="2">
        <v>680</v>
      </c>
      <c r="I4605" t="str">
        <f>"FAZILAH BINTI AZALI"</f>
        <v>FAZILAH BINTI AZALI</v>
      </c>
      <c r="J4605" t="str">
        <f t="shared" si="1874"/>
        <v>MAYBANK / MAYBANK ISLAMIC</v>
      </c>
      <c r="K4605" t="str">
        <f>"157081251956"</f>
        <v>157081251956</v>
      </c>
      <c r="L4605" t="str">
        <f t="shared" si="1879"/>
        <v>04-08-2020</v>
      </c>
      <c r="M4605" t="str">
        <f t="shared" si="1879"/>
        <v>04-08-2020</v>
      </c>
      <c r="N4605" t="str">
        <f t="shared" si="1861"/>
        <v>001105018356</v>
      </c>
      <c r="O4605" t="str">
        <f t="shared" si="1862"/>
        <v>MYR</v>
      </c>
      <c r="P4605" t="str">
        <f t="shared" si="1880"/>
        <v>NIL</v>
      </c>
      <c r="Q4605" t="str">
        <f t="shared" si="1880"/>
        <v>NIL</v>
      </c>
      <c r="R4605" t="str">
        <f t="shared" si="1863"/>
        <v>Accepted</v>
      </c>
      <c r="S4605" t="str">
        <f t="shared" si="1864"/>
        <v>Approved</v>
      </c>
      <c r="T4605" t="str">
        <f t="shared" si="1865"/>
        <v>10.20.8.188</v>
      </c>
      <c r="U4605" t="str">
        <f t="shared" si="1866"/>
        <v>AZRAD UMAR BIN SHAARI</v>
      </c>
      <c r="V4605" t="str">
        <f t="shared" si="1867"/>
        <v>FARHANA BINTI MUSTAPA</v>
      </c>
      <c r="W4605" t="str">
        <f t="shared" si="1868"/>
        <v>04-08-2020</v>
      </c>
      <c r="X4605" t="str">
        <f t="shared" si="1869"/>
        <v>RAZIMAH ANSAR AHMAD</v>
      </c>
      <c r="Y4605" t="str">
        <f t="shared" si="1870"/>
        <v>04-08-2020</v>
      </c>
      <c r="Z4605" t="str">
        <f>"COS10200804 4549"</f>
        <v>COS10200804 4549</v>
      </c>
    </row>
    <row r="4606" spans="1:26" x14ac:dyDescent="0.25">
      <c r="A4606" t="str">
        <f t="shared" si="1877"/>
        <v>04-08-2020 12:49:50</v>
      </c>
      <c r="B4606" t="str">
        <f>"0000806328"</f>
        <v>0000806328</v>
      </c>
      <c r="C4606" t="str">
        <f t="shared" si="1878"/>
        <v>0000806180</v>
      </c>
      <c r="D4606" t="str">
        <f t="shared" si="1858"/>
        <v>73185</v>
      </c>
      <c r="E4606" t="str">
        <f t="shared" si="1859"/>
        <v>KFH-OPERATIONS DEPARTMENT</v>
      </c>
      <c r="F4606" t="str">
        <f t="shared" si="1860"/>
        <v>IBG</v>
      </c>
      <c r="G4606" t="str">
        <f t="shared" si="1873"/>
        <v>Refund COSHARE 10</v>
      </c>
      <c r="H4606" s="2">
        <v>849</v>
      </c>
      <c r="I4606" t="str">
        <f>"FAZIHA BINTI MOHD ALI"</f>
        <v>FAZIHA BINTI MOHD ALI</v>
      </c>
      <c r="J4606" t="str">
        <f t="shared" si="1874"/>
        <v>MAYBANK / MAYBANK ISLAMIC</v>
      </c>
      <c r="K4606" t="str">
        <f>"156057230175"</f>
        <v>156057230175</v>
      </c>
      <c r="L4606" t="str">
        <f t="shared" si="1879"/>
        <v>04-08-2020</v>
      </c>
      <c r="M4606" t="str">
        <f t="shared" si="1879"/>
        <v>04-08-2020</v>
      </c>
      <c r="N4606" t="str">
        <f t="shared" si="1861"/>
        <v>001105018356</v>
      </c>
      <c r="O4606" t="str">
        <f t="shared" si="1862"/>
        <v>MYR</v>
      </c>
      <c r="P4606" t="str">
        <f t="shared" si="1880"/>
        <v>NIL</v>
      </c>
      <c r="Q4606" t="str">
        <f t="shared" si="1880"/>
        <v>NIL</v>
      </c>
      <c r="R4606" t="str">
        <f t="shared" si="1863"/>
        <v>Accepted</v>
      </c>
      <c r="S4606" t="str">
        <f t="shared" si="1864"/>
        <v>Approved</v>
      </c>
      <c r="T4606" t="str">
        <f t="shared" si="1865"/>
        <v>10.20.8.188</v>
      </c>
      <c r="U4606" t="str">
        <f t="shared" si="1866"/>
        <v>AZRAD UMAR BIN SHAARI</v>
      </c>
      <c r="V4606" t="str">
        <f t="shared" si="1867"/>
        <v>FARHANA BINTI MUSTAPA</v>
      </c>
      <c r="W4606" t="str">
        <f t="shared" si="1868"/>
        <v>04-08-2020</v>
      </c>
      <c r="X4606" t="str">
        <f t="shared" si="1869"/>
        <v>RAZIMAH ANSAR AHMAD</v>
      </c>
      <c r="Y4606" t="str">
        <f t="shared" si="1870"/>
        <v>04-08-2020</v>
      </c>
      <c r="Z4606" t="str">
        <f>"COS10200804 4548"</f>
        <v>COS10200804 4548</v>
      </c>
    </row>
    <row r="4607" spans="1:26" x14ac:dyDescent="0.25">
      <c r="A4607" t="str">
        <f t="shared" si="1877"/>
        <v>04-08-2020 12:49:50</v>
      </c>
      <c r="B4607" t="str">
        <f>"0000806327"</f>
        <v>0000806327</v>
      </c>
      <c r="C4607" t="str">
        <f t="shared" si="1878"/>
        <v>0000806180</v>
      </c>
      <c r="D4607" t="str">
        <f t="shared" si="1858"/>
        <v>73185</v>
      </c>
      <c r="E4607" t="str">
        <f t="shared" si="1859"/>
        <v>KFH-OPERATIONS DEPARTMENT</v>
      </c>
      <c r="F4607" t="str">
        <f t="shared" si="1860"/>
        <v>IBG</v>
      </c>
      <c r="G4607" t="str">
        <f t="shared" si="1873"/>
        <v>Refund COSHARE 10</v>
      </c>
      <c r="H4607" s="2">
        <v>695.9</v>
      </c>
      <c r="I4607" t="str">
        <f>"FAUZY BIN ANUAR"</f>
        <v>FAUZY BIN ANUAR</v>
      </c>
      <c r="J4607" t="str">
        <f t="shared" si="1874"/>
        <v>MAYBANK / MAYBANK ISLAMIC</v>
      </c>
      <c r="K4607" t="str">
        <f>"166010123383"</f>
        <v>166010123383</v>
      </c>
      <c r="L4607" t="str">
        <f t="shared" ref="L4607:M4626" si="1881">"04-08-2020"</f>
        <v>04-08-2020</v>
      </c>
      <c r="M4607" t="str">
        <f t="shared" si="1881"/>
        <v>04-08-2020</v>
      </c>
      <c r="N4607" t="str">
        <f t="shared" si="1861"/>
        <v>001105018356</v>
      </c>
      <c r="O4607" t="str">
        <f t="shared" si="1862"/>
        <v>MYR</v>
      </c>
      <c r="P4607" t="str">
        <f t="shared" ref="P4607:Q4626" si="1882">"NIL"</f>
        <v>NIL</v>
      </c>
      <c r="Q4607" t="str">
        <f t="shared" si="1882"/>
        <v>NIL</v>
      </c>
      <c r="R4607" t="str">
        <f t="shared" si="1863"/>
        <v>Accepted</v>
      </c>
      <c r="S4607" t="str">
        <f t="shared" si="1864"/>
        <v>Approved</v>
      </c>
      <c r="T4607" t="str">
        <f t="shared" si="1865"/>
        <v>10.20.8.188</v>
      </c>
      <c r="U4607" t="str">
        <f t="shared" si="1866"/>
        <v>AZRAD UMAR BIN SHAARI</v>
      </c>
      <c r="V4607" t="str">
        <f t="shared" si="1867"/>
        <v>FARHANA BINTI MUSTAPA</v>
      </c>
      <c r="W4607" t="str">
        <f t="shared" si="1868"/>
        <v>04-08-2020</v>
      </c>
      <c r="X4607" t="str">
        <f t="shared" si="1869"/>
        <v>RAZIMAH ANSAR AHMAD</v>
      </c>
      <c r="Y4607" t="str">
        <f t="shared" si="1870"/>
        <v>04-08-2020</v>
      </c>
      <c r="Z4607" t="str">
        <f>"COS10200804 4547"</f>
        <v>COS10200804 4547</v>
      </c>
    </row>
    <row r="4608" spans="1:26" x14ac:dyDescent="0.25">
      <c r="A4608" t="str">
        <f t="shared" si="1877"/>
        <v>04-08-2020 12:49:50</v>
      </c>
      <c r="B4608" t="str">
        <f>"0000806326"</f>
        <v>0000806326</v>
      </c>
      <c r="C4608" t="str">
        <f t="shared" si="1878"/>
        <v>0000806180</v>
      </c>
      <c r="D4608" t="str">
        <f t="shared" si="1858"/>
        <v>73185</v>
      </c>
      <c r="E4608" t="str">
        <f t="shared" si="1859"/>
        <v>KFH-OPERATIONS DEPARTMENT</v>
      </c>
      <c r="F4608" t="str">
        <f t="shared" si="1860"/>
        <v>IBG</v>
      </c>
      <c r="G4608" t="str">
        <f t="shared" si="1873"/>
        <v>Refund COSHARE 10</v>
      </c>
      <c r="H4608" s="2">
        <v>1121</v>
      </c>
      <c r="I4608" t="str">
        <f>"FAUZIAH BINTI TAMAT"</f>
        <v>FAUZIAH BINTI TAMAT</v>
      </c>
      <c r="J4608" t="str">
        <f t="shared" si="1874"/>
        <v>MAYBANK / MAYBANK ISLAMIC</v>
      </c>
      <c r="K4608" t="str">
        <f>"158079011822"</f>
        <v>158079011822</v>
      </c>
      <c r="L4608" t="str">
        <f t="shared" si="1881"/>
        <v>04-08-2020</v>
      </c>
      <c r="M4608" t="str">
        <f t="shared" si="1881"/>
        <v>04-08-2020</v>
      </c>
      <c r="N4608" t="str">
        <f t="shared" si="1861"/>
        <v>001105018356</v>
      </c>
      <c r="O4608" t="str">
        <f t="shared" si="1862"/>
        <v>MYR</v>
      </c>
      <c r="P4608" t="str">
        <f t="shared" si="1882"/>
        <v>NIL</v>
      </c>
      <c r="Q4608" t="str">
        <f t="shared" si="1882"/>
        <v>NIL</v>
      </c>
      <c r="R4608" t="str">
        <f t="shared" si="1863"/>
        <v>Accepted</v>
      </c>
      <c r="S4608" t="str">
        <f t="shared" si="1864"/>
        <v>Approved</v>
      </c>
      <c r="T4608" t="str">
        <f t="shared" si="1865"/>
        <v>10.20.8.188</v>
      </c>
      <c r="U4608" t="str">
        <f t="shared" si="1866"/>
        <v>AZRAD UMAR BIN SHAARI</v>
      </c>
      <c r="V4608" t="str">
        <f t="shared" si="1867"/>
        <v>FARHANA BINTI MUSTAPA</v>
      </c>
      <c r="W4608" t="str">
        <f t="shared" si="1868"/>
        <v>04-08-2020</v>
      </c>
      <c r="X4608" t="str">
        <f t="shared" si="1869"/>
        <v>RAZIMAH ANSAR AHMAD</v>
      </c>
      <c r="Y4608" t="str">
        <f t="shared" si="1870"/>
        <v>04-08-2020</v>
      </c>
      <c r="Z4608" t="str">
        <f>"COS10200804 4546"</f>
        <v>COS10200804 4546</v>
      </c>
    </row>
    <row r="4609" spans="1:26" x14ac:dyDescent="0.25">
      <c r="A4609" t="str">
        <f t="shared" si="1877"/>
        <v>04-08-2020 12:49:50</v>
      </c>
      <c r="B4609" t="str">
        <f>"0000806325"</f>
        <v>0000806325</v>
      </c>
      <c r="C4609" t="str">
        <f t="shared" si="1878"/>
        <v>0000806180</v>
      </c>
      <c r="D4609" t="str">
        <f t="shared" si="1858"/>
        <v>73185</v>
      </c>
      <c r="E4609" t="str">
        <f t="shared" si="1859"/>
        <v>KFH-OPERATIONS DEPARTMENT</v>
      </c>
      <c r="F4609" t="str">
        <f t="shared" si="1860"/>
        <v>IBG</v>
      </c>
      <c r="G4609" t="str">
        <f t="shared" si="1873"/>
        <v>Refund COSHARE 10</v>
      </c>
      <c r="H4609" s="2">
        <v>251.85</v>
      </c>
      <c r="I4609" t="str">
        <f>"FAUZIAH BINTI JALPAH"</f>
        <v>FAUZIAH BINTI JALPAH</v>
      </c>
      <c r="J4609" t="str">
        <f t="shared" si="1874"/>
        <v>MAYBANK / MAYBANK ISLAMIC</v>
      </c>
      <c r="K4609" t="str">
        <f>"160027322252"</f>
        <v>160027322252</v>
      </c>
      <c r="L4609" t="str">
        <f t="shared" si="1881"/>
        <v>04-08-2020</v>
      </c>
      <c r="M4609" t="str">
        <f t="shared" si="1881"/>
        <v>04-08-2020</v>
      </c>
      <c r="N4609" t="str">
        <f t="shared" si="1861"/>
        <v>001105018356</v>
      </c>
      <c r="O4609" t="str">
        <f t="shared" si="1862"/>
        <v>MYR</v>
      </c>
      <c r="P4609" t="str">
        <f t="shared" si="1882"/>
        <v>NIL</v>
      </c>
      <c r="Q4609" t="str">
        <f t="shared" si="1882"/>
        <v>NIL</v>
      </c>
      <c r="R4609" t="str">
        <f t="shared" si="1863"/>
        <v>Accepted</v>
      </c>
      <c r="S4609" t="str">
        <f t="shared" si="1864"/>
        <v>Approved</v>
      </c>
      <c r="T4609" t="str">
        <f t="shared" si="1865"/>
        <v>10.20.8.188</v>
      </c>
      <c r="U4609" t="str">
        <f t="shared" si="1866"/>
        <v>AZRAD UMAR BIN SHAARI</v>
      </c>
      <c r="V4609" t="str">
        <f t="shared" si="1867"/>
        <v>FARHANA BINTI MUSTAPA</v>
      </c>
      <c r="W4609" t="str">
        <f t="shared" si="1868"/>
        <v>04-08-2020</v>
      </c>
      <c r="X4609" t="str">
        <f t="shared" si="1869"/>
        <v>RAZIMAH ANSAR AHMAD</v>
      </c>
      <c r="Y4609" t="str">
        <f t="shared" si="1870"/>
        <v>04-08-2020</v>
      </c>
      <c r="Z4609" t="str">
        <f>"COS10200804 4545"</f>
        <v>COS10200804 4545</v>
      </c>
    </row>
    <row r="4610" spans="1:26" x14ac:dyDescent="0.25">
      <c r="A4610" t="str">
        <f t="shared" si="1877"/>
        <v>04-08-2020 12:49:50</v>
      </c>
      <c r="B4610" t="str">
        <f>"0000806324"</f>
        <v>0000806324</v>
      </c>
      <c r="C4610" t="str">
        <f t="shared" si="1878"/>
        <v>0000806180</v>
      </c>
      <c r="D4610" t="str">
        <f t="shared" si="1858"/>
        <v>73185</v>
      </c>
      <c r="E4610" t="str">
        <f t="shared" si="1859"/>
        <v>KFH-OPERATIONS DEPARTMENT</v>
      </c>
      <c r="F4610" t="str">
        <f t="shared" si="1860"/>
        <v>IBG</v>
      </c>
      <c r="G4610" t="str">
        <f t="shared" si="1873"/>
        <v>Refund COSHARE 10</v>
      </c>
      <c r="H4610" s="2">
        <v>225.2</v>
      </c>
      <c r="I4610" t="str">
        <f>"FAUZIAH BINTI IDRIS"</f>
        <v>FAUZIAH BINTI IDRIS</v>
      </c>
      <c r="J4610" t="str">
        <f t="shared" si="1874"/>
        <v>MAYBANK / MAYBANK ISLAMIC</v>
      </c>
      <c r="K4610" t="str">
        <f>"111114332421"</f>
        <v>111114332421</v>
      </c>
      <c r="L4610" t="str">
        <f t="shared" si="1881"/>
        <v>04-08-2020</v>
      </c>
      <c r="M4610" t="str">
        <f t="shared" si="1881"/>
        <v>04-08-2020</v>
      </c>
      <c r="N4610" t="str">
        <f t="shared" si="1861"/>
        <v>001105018356</v>
      </c>
      <c r="O4610" t="str">
        <f t="shared" si="1862"/>
        <v>MYR</v>
      </c>
      <c r="P4610" t="str">
        <f t="shared" si="1882"/>
        <v>NIL</v>
      </c>
      <c r="Q4610" t="str">
        <f t="shared" si="1882"/>
        <v>NIL</v>
      </c>
      <c r="R4610" t="str">
        <f t="shared" si="1863"/>
        <v>Accepted</v>
      </c>
      <c r="S4610" t="str">
        <f t="shared" si="1864"/>
        <v>Approved</v>
      </c>
      <c r="T4610" t="str">
        <f t="shared" si="1865"/>
        <v>10.20.8.188</v>
      </c>
      <c r="U4610" t="str">
        <f t="shared" si="1866"/>
        <v>AZRAD UMAR BIN SHAARI</v>
      </c>
      <c r="V4610" t="str">
        <f t="shared" si="1867"/>
        <v>FARHANA BINTI MUSTAPA</v>
      </c>
      <c r="W4610" t="str">
        <f t="shared" si="1868"/>
        <v>04-08-2020</v>
      </c>
      <c r="X4610" t="str">
        <f t="shared" si="1869"/>
        <v>RAZIMAH ANSAR AHMAD</v>
      </c>
      <c r="Y4610" t="str">
        <f t="shared" si="1870"/>
        <v>04-08-2020</v>
      </c>
      <c r="Z4610" t="str">
        <f>"COS10200804 4544"</f>
        <v>COS10200804 4544</v>
      </c>
    </row>
    <row r="4611" spans="1:26" x14ac:dyDescent="0.25">
      <c r="A4611" t="str">
        <f t="shared" si="1877"/>
        <v>04-08-2020 12:49:50</v>
      </c>
      <c r="B4611" t="str">
        <f>"0000806323"</f>
        <v>0000806323</v>
      </c>
      <c r="C4611" t="str">
        <f t="shared" si="1878"/>
        <v>0000806180</v>
      </c>
      <c r="D4611" t="str">
        <f t="shared" si="1858"/>
        <v>73185</v>
      </c>
      <c r="E4611" t="str">
        <f t="shared" si="1859"/>
        <v>KFH-OPERATIONS DEPARTMENT</v>
      </c>
      <c r="F4611" t="str">
        <f t="shared" si="1860"/>
        <v>IBG</v>
      </c>
      <c r="G4611" t="str">
        <f t="shared" si="1873"/>
        <v>Refund COSHARE 10</v>
      </c>
      <c r="H4611" s="2">
        <v>917.45</v>
      </c>
      <c r="I4611" t="str">
        <f>"FAUZIAH BINTI ARIS"</f>
        <v>FAUZIAH BINTI ARIS</v>
      </c>
      <c r="J4611" t="str">
        <f t="shared" si="1874"/>
        <v>MAYBANK / MAYBANK ISLAMIC</v>
      </c>
      <c r="K4611" t="str">
        <f>"114105137446"</f>
        <v>114105137446</v>
      </c>
      <c r="L4611" t="str">
        <f t="shared" si="1881"/>
        <v>04-08-2020</v>
      </c>
      <c r="M4611" t="str">
        <f t="shared" si="1881"/>
        <v>04-08-2020</v>
      </c>
      <c r="N4611" t="str">
        <f t="shared" si="1861"/>
        <v>001105018356</v>
      </c>
      <c r="O4611" t="str">
        <f t="shared" si="1862"/>
        <v>MYR</v>
      </c>
      <c r="P4611" t="str">
        <f t="shared" si="1882"/>
        <v>NIL</v>
      </c>
      <c r="Q4611" t="str">
        <f t="shared" si="1882"/>
        <v>NIL</v>
      </c>
      <c r="R4611" t="str">
        <f t="shared" si="1863"/>
        <v>Accepted</v>
      </c>
      <c r="S4611" t="str">
        <f t="shared" si="1864"/>
        <v>Approved</v>
      </c>
      <c r="T4611" t="str">
        <f t="shared" si="1865"/>
        <v>10.20.8.188</v>
      </c>
      <c r="U4611" t="str">
        <f t="shared" si="1866"/>
        <v>AZRAD UMAR BIN SHAARI</v>
      </c>
      <c r="V4611" t="str">
        <f t="shared" si="1867"/>
        <v>FARHANA BINTI MUSTAPA</v>
      </c>
      <c r="W4611" t="str">
        <f t="shared" si="1868"/>
        <v>04-08-2020</v>
      </c>
      <c r="X4611" t="str">
        <f t="shared" si="1869"/>
        <v>RAZIMAH ANSAR AHMAD</v>
      </c>
      <c r="Y4611" t="str">
        <f t="shared" si="1870"/>
        <v>04-08-2020</v>
      </c>
      <c r="Z4611" t="str">
        <f>"COS10200804 4543"</f>
        <v>COS10200804 4543</v>
      </c>
    </row>
    <row r="4612" spans="1:26" x14ac:dyDescent="0.25">
      <c r="A4612" t="str">
        <f t="shared" si="1877"/>
        <v>04-08-2020 12:49:50</v>
      </c>
      <c r="B4612" t="str">
        <f>"0000806322"</f>
        <v>0000806322</v>
      </c>
      <c r="C4612" t="str">
        <f t="shared" si="1878"/>
        <v>0000806180</v>
      </c>
      <c r="D4612" t="str">
        <f t="shared" si="1858"/>
        <v>73185</v>
      </c>
      <c r="E4612" t="str">
        <f t="shared" si="1859"/>
        <v>KFH-OPERATIONS DEPARTMENT</v>
      </c>
      <c r="F4612" t="str">
        <f t="shared" si="1860"/>
        <v>IBG</v>
      </c>
      <c r="G4612" t="str">
        <f t="shared" si="1873"/>
        <v>Refund COSHARE 10</v>
      </c>
      <c r="H4612" s="2">
        <v>671.6</v>
      </c>
      <c r="I4612" t="str">
        <f>"FAUZIAH BINTI ABDUL KADIR"</f>
        <v>FAUZIAH BINTI ABDUL KADIR</v>
      </c>
      <c r="J4612" t="str">
        <f t="shared" si="1874"/>
        <v>MAYBANK / MAYBANK ISLAMIC</v>
      </c>
      <c r="K4612" t="str">
        <f>"155014956007"</f>
        <v>155014956007</v>
      </c>
      <c r="L4612" t="str">
        <f t="shared" si="1881"/>
        <v>04-08-2020</v>
      </c>
      <c r="M4612" t="str">
        <f t="shared" si="1881"/>
        <v>04-08-2020</v>
      </c>
      <c r="N4612" t="str">
        <f t="shared" si="1861"/>
        <v>001105018356</v>
      </c>
      <c r="O4612" t="str">
        <f t="shared" si="1862"/>
        <v>MYR</v>
      </c>
      <c r="P4612" t="str">
        <f t="shared" si="1882"/>
        <v>NIL</v>
      </c>
      <c r="Q4612" t="str">
        <f t="shared" si="1882"/>
        <v>NIL</v>
      </c>
      <c r="R4612" t="str">
        <f t="shared" si="1863"/>
        <v>Accepted</v>
      </c>
      <c r="S4612" t="str">
        <f t="shared" si="1864"/>
        <v>Approved</v>
      </c>
      <c r="T4612" t="str">
        <f t="shared" si="1865"/>
        <v>10.20.8.188</v>
      </c>
      <c r="U4612" t="str">
        <f t="shared" si="1866"/>
        <v>AZRAD UMAR BIN SHAARI</v>
      </c>
      <c r="V4612" t="str">
        <f t="shared" si="1867"/>
        <v>FARHANA BINTI MUSTAPA</v>
      </c>
      <c r="W4612" t="str">
        <f t="shared" si="1868"/>
        <v>04-08-2020</v>
      </c>
      <c r="X4612" t="str">
        <f t="shared" si="1869"/>
        <v>RAZIMAH ANSAR AHMAD</v>
      </c>
      <c r="Y4612" t="str">
        <f t="shared" si="1870"/>
        <v>04-08-2020</v>
      </c>
      <c r="Z4612" t="str">
        <f>"COS10200804 4542"</f>
        <v>COS10200804 4542</v>
      </c>
    </row>
    <row r="4613" spans="1:26" x14ac:dyDescent="0.25">
      <c r="A4613" t="str">
        <f t="shared" si="1877"/>
        <v>04-08-2020 12:49:50</v>
      </c>
      <c r="B4613" t="str">
        <f>"0000806321"</f>
        <v>0000806321</v>
      </c>
      <c r="C4613" t="str">
        <f t="shared" si="1878"/>
        <v>0000806180</v>
      </c>
      <c r="D4613" t="str">
        <f t="shared" si="1858"/>
        <v>73185</v>
      </c>
      <c r="E4613" t="str">
        <f t="shared" si="1859"/>
        <v>KFH-OPERATIONS DEPARTMENT</v>
      </c>
      <c r="F4613" t="str">
        <f t="shared" si="1860"/>
        <v>IBG</v>
      </c>
      <c r="G4613" t="str">
        <f t="shared" si="1873"/>
        <v>Refund COSHARE 10</v>
      </c>
      <c r="H4613" s="2">
        <v>283</v>
      </c>
      <c r="I4613" t="str">
        <f>"FAUZI BIN SAAD"</f>
        <v>FAUZI BIN SAAD</v>
      </c>
      <c r="J4613" t="str">
        <f t="shared" si="1874"/>
        <v>MAYBANK / MAYBANK ISLAMIC</v>
      </c>
      <c r="K4613" t="str">
        <f>"152095672245"</f>
        <v>152095672245</v>
      </c>
      <c r="L4613" t="str">
        <f t="shared" si="1881"/>
        <v>04-08-2020</v>
      </c>
      <c r="M4613" t="str">
        <f t="shared" si="1881"/>
        <v>04-08-2020</v>
      </c>
      <c r="N4613" t="str">
        <f t="shared" si="1861"/>
        <v>001105018356</v>
      </c>
      <c r="O4613" t="str">
        <f t="shared" si="1862"/>
        <v>MYR</v>
      </c>
      <c r="P4613" t="str">
        <f t="shared" si="1882"/>
        <v>NIL</v>
      </c>
      <c r="Q4613" t="str">
        <f t="shared" si="1882"/>
        <v>NIL</v>
      </c>
      <c r="R4613" t="str">
        <f t="shared" si="1863"/>
        <v>Accepted</v>
      </c>
      <c r="S4613" t="str">
        <f t="shared" si="1864"/>
        <v>Approved</v>
      </c>
      <c r="T4613" t="str">
        <f t="shared" si="1865"/>
        <v>10.20.8.188</v>
      </c>
      <c r="U4613" t="str">
        <f t="shared" si="1866"/>
        <v>AZRAD UMAR BIN SHAARI</v>
      </c>
      <c r="V4613" t="str">
        <f t="shared" si="1867"/>
        <v>FARHANA BINTI MUSTAPA</v>
      </c>
      <c r="W4613" t="str">
        <f t="shared" si="1868"/>
        <v>04-08-2020</v>
      </c>
      <c r="X4613" t="str">
        <f t="shared" si="1869"/>
        <v>RAZIMAH ANSAR AHMAD</v>
      </c>
      <c r="Y4613" t="str">
        <f t="shared" si="1870"/>
        <v>04-08-2020</v>
      </c>
      <c r="Z4613" t="str">
        <f>"COS10200804 4541"</f>
        <v>COS10200804 4541</v>
      </c>
    </row>
    <row r="4614" spans="1:26" x14ac:dyDescent="0.25">
      <c r="A4614" t="str">
        <f t="shared" si="1877"/>
        <v>04-08-2020 12:49:50</v>
      </c>
      <c r="B4614" t="str">
        <f>"0000806320"</f>
        <v>0000806320</v>
      </c>
      <c r="C4614" t="str">
        <f t="shared" si="1878"/>
        <v>0000806180</v>
      </c>
      <c r="D4614" t="str">
        <f t="shared" si="1858"/>
        <v>73185</v>
      </c>
      <c r="E4614" t="str">
        <f t="shared" si="1859"/>
        <v>KFH-OPERATIONS DEPARTMENT</v>
      </c>
      <c r="F4614" t="str">
        <f t="shared" si="1860"/>
        <v>IBG</v>
      </c>
      <c r="G4614" t="str">
        <f t="shared" si="1873"/>
        <v>Refund COSHARE 10</v>
      </c>
      <c r="H4614" s="2">
        <v>713.6</v>
      </c>
      <c r="I4614" t="str">
        <f>"FAUZI BIN DOLLAH"</f>
        <v>FAUZI BIN DOLLAH</v>
      </c>
      <c r="J4614" t="str">
        <f t="shared" si="1874"/>
        <v>MAYBANK / MAYBANK ISLAMIC</v>
      </c>
      <c r="K4614" t="str">
        <f>"111132075496"</f>
        <v>111132075496</v>
      </c>
      <c r="L4614" t="str">
        <f t="shared" si="1881"/>
        <v>04-08-2020</v>
      </c>
      <c r="M4614" t="str">
        <f t="shared" si="1881"/>
        <v>04-08-2020</v>
      </c>
      <c r="N4614" t="str">
        <f t="shared" si="1861"/>
        <v>001105018356</v>
      </c>
      <c r="O4614" t="str">
        <f t="shared" si="1862"/>
        <v>MYR</v>
      </c>
      <c r="P4614" t="str">
        <f t="shared" si="1882"/>
        <v>NIL</v>
      </c>
      <c r="Q4614" t="str">
        <f t="shared" si="1882"/>
        <v>NIL</v>
      </c>
      <c r="R4614" t="str">
        <f t="shared" si="1863"/>
        <v>Accepted</v>
      </c>
      <c r="S4614" t="str">
        <f t="shared" si="1864"/>
        <v>Approved</v>
      </c>
      <c r="T4614" t="str">
        <f t="shared" si="1865"/>
        <v>10.20.8.188</v>
      </c>
      <c r="U4614" t="str">
        <f t="shared" si="1866"/>
        <v>AZRAD UMAR BIN SHAARI</v>
      </c>
      <c r="V4614" t="str">
        <f t="shared" si="1867"/>
        <v>FARHANA BINTI MUSTAPA</v>
      </c>
      <c r="W4614" t="str">
        <f t="shared" si="1868"/>
        <v>04-08-2020</v>
      </c>
      <c r="X4614" t="str">
        <f t="shared" si="1869"/>
        <v>RAZIMAH ANSAR AHMAD</v>
      </c>
      <c r="Y4614" t="str">
        <f t="shared" si="1870"/>
        <v>04-08-2020</v>
      </c>
      <c r="Z4614" t="str">
        <f>"COS10200804 4540"</f>
        <v>COS10200804 4540</v>
      </c>
    </row>
    <row r="4615" spans="1:26" x14ac:dyDescent="0.25">
      <c r="A4615" t="str">
        <f t="shared" si="1877"/>
        <v>04-08-2020 12:49:50</v>
      </c>
      <c r="B4615" t="str">
        <f>"0000806319"</f>
        <v>0000806319</v>
      </c>
      <c r="C4615" t="str">
        <f t="shared" si="1878"/>
        <v>0000806180</v>
      </c>
      <c r="D4615" t="str">
        <f t="shared" ref="D4615:D4678" si="1883">"73185"</f>
        <v>73185</v>
      </c>
      <c r="E4615" t="str">
        <f t="shared" ref="E4615:E4678" si="1884">"KFH-OPERATIONS DEPARTMENT"</f>
        <v>KFH-OPERATIONS DEPARTMENT</v>
      </c>
      <c r="F4615" t="str">
        <f t="shared" ref="F4615:F4678" si="1885">"IBG"</f>
        <v>IBG</v>
      </c>
      <c r="G4615" t="str">
        <f t="shared" si="1873"/>
        <v>Refund COSHARE 10</v>
      </c>
      <c r="H4615" s="2">
        <v>671.6</v>
      </c>
      <c r="I4615" t="str">
        <f>"FAUZI AL INSAN BIN MOHAMED YUNUS"</f>
        <v>FAUZI AL INSAN BIN MOHAMED YUNUS</v>
      </c>
      <c r="J4615" t="str">
        <f t="shared" si="1874"/>
        <v>MAYBANK / MAYBANK ISLAMIC</v>
      </c>
      <c r="K4615" t="str">
        <f>"164098474104"</f>
        <v>164098474104</v>
      </c>
      <c r="L4615" t="str">
        <f t="shared" si="1881"/>
        <v>04-08-2020</v>
      </c>
      <c r="M4615" t="str">
        <f t="shared" si="1881"/>
        <v>04-08-2020</v>
      </c>
      <c r="N4615" t="str">
        <f t="shared" ref="N4615:N4678" si="1886">"001105018356"</f>
        <v>001105018356</v>
      </c>
      <c r="O4615" t="str">
        <f t="shared" ref="O4615:O4678" si="1887">"MYR"</f>
        <v>MYR</v>
      </c>
      <c r="P4615" t="str">
        <f t="shared" si="1882"/>
        <v>NIL</v>
      </c>
      <c r="Q4615" t="str">
        <f t="shared" si="1882"/>
        <v>NIL</v>
      </c>
      <c r="R4615" t="str">
        <f t="shared" ref="R4615:R4678" si="1888">"Accepted"</f>
        <v>Accepted</v>
      </c>
      <c r="S4615" t="str">
        <f t="shared" ref="S4615:S4678" si="1889">"Approved"</f>
        <v>Approved</v>
      </c>
      <c r="T4615" t="str">
        <f t="shared" ref="T4615:T4678" si="1890">"10.20.8.188"</f>
        <v>10.20.8.188</v>
      </c>
      <c r="U4615" t="str">
        <f t="shared" ref="U4615:U4678" si="1891">"AZRAD UMAR BIN SHAARI"</f>
        <v>AZRAD UMAR BIN SHAARI</v>
      </c>
      <c r="V4615" t="str">
        <f t="shared" ref="V4615:V4678" si="1892">"FARHANA BINTI MUSTAPA"</f>
        <v>FARHANA BINTI MUSTAPA</v>
      </c>
      <c r="W4615" t="str">
        <f t="shared" ref="W4615:W4678" si="1893">"04-08-2020"</f>
        <v>04-08-2020</v>
      </c>
      <c r="X4615" t="str">
        <f t="shared" ref="X4615:X4678" si="1894">"RAZIMAH ANSAR AHMAD"</f>
        <v>RAZIMAH ANSAR AHMAD</v>
      </c>
      <c r="Y4615" t="str">
        <f t="shared" ref="Y4615:Y4678" si="1895">"04-08-2020"</f>
        <v>04-08-2020</v>
      </c>
      <c r="Z4615" t="str">
        <f>"COS10200804 4539"</f>
        <v>COS10200804 4539</v>
      </c>
    </row>
    <row r="4616" spans="1:26" x14ac:dyDescent="0.25">
      <c r="A4616" t="str">
        <f t="shared" si="1877"/>
        <v>04-08-2020 12:49:50</v>
      </c>
      <c r="B4616" t="str">
        <f>"0000806318"</f>
        <v>0000806318</v>
      </c>
      <c r="C4616" t="str">
        <f t="shared" si="1878"/>
        <v>0000806180</v>
      </c>
      <c r="D4616" t="str">
        <f t="shared" si="1883"/>
        <v>73185</v>
      </c>
      <c r="E4616" t="str">
        <f t="shared" si="1884"/>
        <v>KFH-OPERATIONS DEPARTMENT</v>
      </c>
      <c r="F4616" t="str">
        <f t="shared" si="1885"/>
        <v>IBG</v>
      </c>
      <c r="G4616" t="str">
        <f t="shared" si="1873"/>
        <v>Refund COSHARE 10</v>
      </c>
      <c r="H4616" s="2">
        <v>889.9</v>
      </c>
      <c r="I4616" t="str">
        <f>"FAUZANI FIKRI BINTI SAMSURI"</f>
        <v>FAUZANI FIKRI BINTI SAMSURI</v>
      </c>
      <c r="J4616" t="str">
        <f t="shared" si="1874"/>
        <v>MAYBANK / MAYBANK ISLAMIC</v>
      </c>
      <c r="K4616" t="str">
        <f>"151397057566"</f>
        <v>151397057566</v>
      </c>
      <c r="L4616" t="str">
        <f t="shared" si="1881"/>
        <v>04-08-2020</v>
      </c>
      <c r="M4616" t="str">
        <f t="shared" si="1881"/>
        <v>04-08-2020</v>
      </c>
      <c r="N4616" t="str">
        <f t="shared" si="1886"/>
        <v>001105018356</v>
      </c>
      <c r="O4616" t="str">
        <f t="shared" si="1887"/>
        <v>MYR</v>
      </c>
      <c r="P4616" t="str">
        <f t="shared" si="1882"/>
        <v>NIL</v>
      </c>
      <c r="Q4616" t="str">
        <f t="shared" si="1882"/>
        <v>NIL</v>
      </c>
      <c r="R4616" t="str">
        <f t="shared" si="1888"/>
        <v>Accepted</v>
      </c>
      <c r="S4616" t="str">
        <f t="shared" si="1889"/>
        <v>Approved</v>
      </c>
      <c r="T4616" t="str">
        <f t="shared" si="1890"/>
        <v>10.20.8.188</v>
      </c>
      <c r="U4616" t="str">
        <f t="shared" si="1891"/>
        <v>AZRAD UMAR BIN SHAARI</v>
      </c>
      <c r="V4616" t="str">
        <f t="shared" si="1892"/>
        <v>FARHANA BINTI MUSTAPA</v>
      </c>
      <c r="W4616" t="str">
        <f t="shared" si="1893"/>
        <v>04-08-2020</v>
      </c>
      <c r="X4616" t="str">
        <f t="shared" si="1894"/>
        <v>RAZIMAH ANSAR AHMAD</v>
      </c>
      <c r="Y4616" t="str">
        <f t="shared" si="1895"/>
        <v>04-08-2020</v>
      </c>
      <c r="Z4616" t="str">
        <f>"COS10200804 4538"</f>
        <v>COS10200804 4538</v>
      </c>
    </row>
    <row r="4617" spans="1:26" x14ac:dyDescent="0.25">
      <c r="A4617" t="str">
        <f t="shared" si="1877"/>
        <v>04-08-2020 12:49:50</v>
      </c>
      <c r="B4617" t="str">
        <f>"0000806317"</f>
        <v>0000806317</v>
      </c>
      <c r="C4617" t="str">
        <f t="shared" si="1878"/>
        <v>0000806180</v>
      </c>
      <c r="D4617" t="str">
        <f t="shared" si="1883"/>
        <v>73185</v>
      </c>
      <c r="E4617" t="str">
        <f t="shared" si="1884"/>
        <v>KFH-OPERATIONS DEPARTMENT</v>
      </c>
      <c r="F4617" t="str">
        <f t="shared" si="1885"/>
        <v>IBG</v>
      </c>
      <c r="G4617" t="str">
        <f t="shared" si="1873"/>
        <v>Refund COSHARE 10</v>
      </c>
      <c r="H4617" s="2">
        <v>190</v>
      </c>
      <c r="I4617" t="str">
        <f>"FAUZAN KHUFI BIN ISMAIL"</f>
        <v>FAUZAN KHUFI BIN ISMAIL</v>
      </c>
      <c r="J4617" t="str">
        <f t="shared" si="1874"/>
        <v>MAYBANK / MAYBANK ISLAMIC</v>
      </c>
      <c r="K4617" t="str">
        <f>"158051309528"</f>
        <v>158051309528</v>
      </c>
      <c r="L4617" t="str">
        <f t="shared" si="1881"/>
        <v>04-08-2020</v>
      </c>
      <c r="M4617" t="str">
        <f t="shared" si="1881"/>
        <v>04-08-2020</v>
      </c>
      <c r="N4617" t="str">
        <f t="shared" si="1886"/>
        <v>001105018356</v>
      </c>
      <c r="O4617" t="str">
        <f t="shared" si="1887"/>
        <v>MYR</v>
      </c>
      <c r="P4617" t="str">
        <f t="shared" si="1882"/>
        <v>NIL</v>
      </c>
      <c r="Q4617" t="str">
        <f t="shared" si="1882"/>
        <v>NIL</v>
      </c>
      <c r="R4617" t="str">
        <f t="shared" si="1888"/>
        <v>Accepted</v>
      </c>
      <c r="S4617" t="str">
        <f t="shared" si="1889"/>
        <v>Approved</v>
      </c>
      <c r="T4617" t="str">
        <f t="shared" si="1890"/>
        <v>10.20.8.188</v>
      </c>
      <c r="U4617" t="str">
        <f t="shared" si="1891"/>
        <v>AZRAD UMAR BIN SHAARI</v>
      </c>
      <c r="V4617" t="str">
        <f t="shared" si="1892"/>
        <v>FARHANA BINTI MUSTAPA</v>
      </c>
      <c r="W4617" t="str">
        <f t="shared" si="1893"/>
        <v>04-08-2020</v>
      </c>
      <c r="X4617" t="str">
        <f t="shared" si="1894"/>
        <v>RAZIMAH ANSAR AHMAD</v>
      </c>
      <c r="Y4617" t="str">
        <f t="shared" si="1895"/>
        <v>04-08-2020</v>
      </c>
      <c r="Z4617" t="str">
        <f>"COS10200804 4537"</f>
        <v>COS10200804 4537</v>
      </c>
    </row>
    <row r="4618" spans="1:26" x14ac:dyDescent="0.25">
      <c r="A4618" t="str">
        <f t="shared" ref="A4618:A4649" si="1896">"04-08-2020 12:49:50"</f>
        <v>04-08-2020 12:49:50</v>
      </c>
      <c r="B4618" t="str">
        <f>"0000806316"</f>
        <v>0000806316</v>
      </c>
      <c r="C4618" t="str">
        <f t="shared" ref="C4618:C4649" si="1897">"0000806180"</f>
        <v>0000806180</v>
      </c>
      <c r="D4618" t="str">
        <f t="shared" si="1883"/>
        <v>73185</v>
      </c>
      <c r="E4618" t="str">
        <f t="shared" si="1884"/>
        <v>KFH-OPERATIONS DEPARTMENT</v>
      </c>
      <c r="F4618" t="str">
        <f t="shared" si="1885"/>
        <v>IBG</v>
      </c>
      <c r="G4618" t="str">
        <f t="shared" si="1873"/>
        <v>Refund COSHARE 10</v>
      </c>
      <c r="H4618" s="2">
        <v>709.65</v>
      </c>
      <c r="I4618" t="str">
        <f>"FAUZAN KHUFI BIN ISMAIL"</f>
        <v>FAUZAN KHUFI BIN ISMAIL</v>
      </c>
      <c r="J4618" t="str">
        <f t="shared" si="1874"/>
        <v>MAYBANK / MAYBANK ISLAMIC</v>
      </c>
      <c r="K4618" t="str">
        <f>"158051309528"</f>
        <v>158051309528</v>
      </c>
      <c r="L4618" t="str">
        <f t="shared" si="1881"/>
        <v>04-08-2020</v>
      </c>
      <c r="M4618" t="str">
        <f t="shared" si="1881"/>
        <v>04-08-2020</v>
      </c>
      <c r="N4618" t="str">
        <f t="shared" si="1886"/>
        <v>001105018356</v>
      </c>
      <c r="O4618" t="str">
        <f t="shared" si="1887"/>
        <v>MYR</v>
      </c>
      <c r="P4618" t="str">
        <f t="shared" si="1882"/>
        <v>NIL</v>
      </c>
      <c r="Q4618" t="str">
        <f t="shared" si="1882"/>
        <v>NIL</v>
      </c>
      <c r="R4618" t="str">
        <f t="shared" si="1888"/>
        <v>Accepted</v>
      </c>
      <c r="S4618" t="str">
        <f t="shared" si="1889"/>
        <v>Approved</v>
      </c>
      <c r="T4618" t="str">
        <f t="shared" si="1890"/>
        <v>10.20.8.188</v>
      </c>
      <c r="U4618" t="str">
        <f t="shared" si="1891"/>
        <v>AZRAD UMAR BIN SHAARI</v>
      </c>
      <c r="V4618" t="str">
        <f t="shared" si="1892"/>
        <v>FARHANA BINTI MUSTAPA</v>
      </c>
      <c r="W4618" t="str">
        <f t="shared" si="1893"/>
        <v>04-08-2020</v>
      </c>
      <c r="X4618" t="str">
        <f t="shared" si="1894"/>
        <v>RAZIMAH ANSAR AHMAD</v>
      </c>
      <c r="Y4618" t="str">
        <f t="shared" si="1895"/>
        <v>04-08-2020</v>
      </c>
      <c r="Z4618" t="str">
        <f>"COS10200804 4536"</f>
        <v>COS10200804 4536</v>
      </c>
    </row>
    <row r="4619" spans="1:26" x14ac:dyDescent="0.25">
      <c r="A4619" t="str">
        <f t="shared" si="1896"/>
        <v>04-08-2020 12:49:50</v>
      </c>
      <c r="B4619" t="str">
        <f>"0000806315"</f>
        <v>0000806315</v>
      </c>
      <c r="C4619" t="str">
        <f t="shared" si="1897"/>
        <v>0000806180</v>
      </c>
      <c r="D4619" t="str">
        <f t="shared" si="1883"/>
        <v>73185</v>
      </c>
      <c r="E4619" t="str">
        <f t="shared" si="1884"/>
        <v>KFH-OPERATIONS DEPARTMENT</v>
      </c>
      <c r="F4619" t="str">
        <f t="shared" si="1885"/>
        <v>IBG</v>
      </c>
      <c r="G4619" t="str">
        <f t="shared" si="1873"/>
        <v>Refund COSHARE 10</v>
      </c>
      <c r="H4619" s="2">
        <v>125.95</v>
      </c>
      <c r="I4619" t="str">
        <f>"FATTEN HAWAZI BINTI MUSTAFA"</f>
        <v>FATTEN HAWAZI BINTI MUSTAFA</v>
      </c>
      <c r="J4619" t="str">
        <f t="shared" si="1874"/>
        <v>MAYBANK / MAYBANK ISLAMIC</v>
      </c>
      <c r="K4619" t="str">
        <f>"164098454560"</f>
        <v>164098454560</v>
      </c>
      <c r="L4619" t="str">
        <f t="shared" si="1881"/>
        <v>04-08-2020</v>
      </c>
      <c r="M4619" t="str">
        <f t="shared" si="1881"/>
        <v>04-08-2020</v>
      </c>
      <c r="N4619" t="str">
        <f t="shared" si="1886"/>
        <v>001105018356</v>
      </c>
      <c r="O4619" t="str">
        <f t="shared" si="1887"/>
        <v>MYR</v>
      </c>
      <c r="P4619" t="str">
        <f t="shared" si="1882"/>
        <v>NIL</v>
      </c>
      <c r="Q4619" t="str">
        <f t="shared" si="1882"/>
        <v>NIL</v>
      </c>
      <c r="R4619" t="str">
        <f t="shared" si="1888"/>
        <v>Accepted</v>
      </c>
      <c r="S4619" t="str">
        <f t="shared" si="1889"/>
        <v>Approved</v>
      </c>
      <c r="T4619" t="str">
        <f t="shared" si="1890"/>
        <v>10.20.8.188</v>
      </c>
      <c r="U4619" t="str">
        <f t="shared" si="1891"/>
        <v>AZRAD UMAR BIN SHAARI</v>
      </c>
      <c r="V4619" t="str">
        <f t="shared" si="1892"/>
        <v>FARHANA BINTI MUSTAPA</v>
      </c>
      <c r="W4619" t="str">
        <f t="shared" si="1893"/>
        <v>04-08-2020</v>
      </c>
      <c r="X4619" t="str">
        <f t="shared" si="1894"/>
        <v>RAZIMAH ANSAR AHMAD</v>
      </c>
      <c r="Y4619" t="str">
        <f t="shared" si="1895"/>
        <v>04-08-2020</v>
      </c>
      <c r="Z4619" t="str">
        <f>"COS10200804 4535"</f>
        <v>COS10200804 4535</v>
      </c>
    </row>
    <row r="4620" spans="1:26" x14ac:dyDescent="0.25">
      <c r="A4620" t="str">
        <f t="shared" si="1896"/>
        <v>04-08-2020 12:49:50</v>
      </c>
      <c r="B4620" t="str">
        <f>"0000806314"</f>
        <v>0000806314</v>
      </c>
      <c r="C4620" t="str">
        <f t="shared" si="1897"/>
        <v>0000806180</v>
      </c>
      <c r="D4620" t="str">
        <f t="shared" si="1883"/>
        <v>73185</v>
      </c>
      <c r="E4620" t="str">
        <f t="shared" si="1884"/>
        <v>KFH-OPERATIONS DEPARTMENT</v>
      </c>
      <c r="F4620" t="str">
        <f t="shared" si="1885"/>
        <v>IBG</v>
      </c>
      <c r="G4620" t="str">
        <f t="shared" ref="G4620:G4683" si="1898">"Refund COSHARE 10"</f>
        <v>Refund COSHARE 10</v>
      </c>
      <c r="H4620" s="2">
        <v>125.95</v>
      </c>
      <c r="I4620" t="str">
        <f>"FATRIAH BINTI ISMAIL"</f>
        <v>FATRIAH BINTI ISMAIL</v>
      </c>
      <c r="J4620" t="str">
        <f t="shared" si="1874"/>
        <v>MAYBANK / MAYBANK ISLAMIC</v>
      </c>
      <c r="K4620" t="str">
        <f>"160036875722"</f>
        <v>160036875722</v>
      </c>
      <c r="L4620" t="str">
        <f t="shared" si="1881"/>
        <v>04-08-2020</v>
      </c>
      <c r="M4620" t="str">
        <f t="shared" si="1881"/>
        <v>04-08-2020</v>
      </c>
      <c r="N4620" t="str">
        <f t="shared" si="1886"/>
        <v>001105018356</v>
      </c>
      <c r="O4620" t="str">
        <f t="shared" si="1887"/>
        <v>MYR</v>
      </c>
      <c r="P4620" t="str">
        <f t="shared" si="1882"/>
        <v>NIL</v>
      </c>
      <c r="Q4620" t="str">
        <f t="shared" si="1882"/>
        <v>NIL</v>
      </c>
      <c r="R4620" t="str">
        <f t="shared" si="1888"/>
        <v>Accepted</v>
      </c>
      <c r="S4620" t="str">
        <f t="shared" si="1889"/>
        <v>Approved</v>
      </c>
      <c r="T4620" t="str">
        <f t="shared" si="1890"/>
        <v>10.20.8.188</v>
      </c>
      <c r="U4620" t="str">
        <f t="shared" si="1891"/>
        <v>AZRAD UMAR BIN SHAARI</v>
      </c>
      <c r="V4620" t="str">
        <f t="shared" si="1892"/>
        <v>FARHANA BINTI MUSTAPA</v>
      </c>
      <c r="W4620" t="str">
        <f t="shared" si="1893"/>
        <v>04-08-2020</v>
      </c>
      <c r="X4620" t="str">
        <f t="shared" si="1894"/>
        <v>RAZIMAH ANSAR AHMAD</v>
      </c>
      <c r="Y4620" t="str">
        <f t="shared" si="1895"/>
        <v>04-08-2020</v>
      </c>
      <c r="Z4620" t="str">
        <f>"COS10200804 4534"</f>
        <v>COS10200804 4534</v>
      </c>
    </row>
    <row r="4621" spans="1:26" x14ac:dyDescent="0.25">
      <c r="A4621" t="str">
        <f t="shared" si="1896"/>
        <v>04-08-2020 12:49:50</v>
      </c>
      <c r="B4621" t="str">
        <f>"0000806313"</f>
        <v>0000806313</v>
      </c>
      <c r="C4621" t="str">
        <f t="shared" si="1897"/>
        <v>0000806180</v>
      </c>
      <c r="D4621" t="str">
        <f t="shared" si="1883"/>
        <v>73185</v>
      </c>
      <c r="E4621" t="str">
        <f t="shared" si="1884"/>
        <v>KFH-OPERATIONS DEPARTMENT</v>
      </c>
      <c r="F4621" t="str">
        <f t="shared" si="1885"/>
        <v>IBG</v>
      </c>
      <c r="G4621" t="str">
        <f t="shared" si="1898"/>
        <v>Refund COSHARE 10</v>
      </c>
      <c r="H4621" s="2">
        <v>292.75</v>
      </c>
      <c r="I4621" t="str">
        <f>"FATISAH BINTI HUSSIN"</f>
        <v>FATISAH BINTI HUSSIN</v>
      </c>
      <c r="J4621" t="str">
        <f t="shared" si="1874"/>
        <v>MAYBANK / MAYBANK ISLAMIC</v>
      </c>
      <c r="K4621" t="str">
        <f>"162012816416"</f>
        <v>162012816416</v>
      </c>
      <c r="L4621" t="str">
        <f t="shared" si="1881"/>
        <v>04-08-2020</v>
      </c>
      <c r="M4621" t="str">
        <f t="shared" si="1881"/>
        <v>04-08-2020</v>
      </c>
      <c r="N4621" t="str">
        <f t="shared" si="1886"/>
        <v>001105018356</v>
      </c>
      <c r="O4621" t="str">
        <f t="shared" si="1887"/>
        <v>MYR</v>
      </c>
      <c r="P4621" t="str">
        <f t="shared" si="1882"/>
        <v>NIL</v>
      </c>
      <c r="Q4621" t="str">
        <f t="shared" si="1882"/>
        <v>NIL</v>
      </c>
      <c r="R4621" t="str">
        <f t="shared" si="1888"/>
        <v>Accepted</v>
      </c>
      <c r="S4621" t="str">
        <f t="shared" si="1889"/>
        <v>Approved</v>
      </c>
      <c r="T4621" t="str">
        <f t="shared" si="1890"/>
        <v>10.20.8.188</v>
      </c>
      <c r="U4621" t="str">
        <f t="shared" si="1891"/>
        <v>AZRAD UMAR BIN SHAARI</v>
      </c>
      <c r="V4621" t="str">
        <f t="shared" si="1892"/>
        <v>FARHANA BINTI MUSTAPA</v>
      </c>
      <c r="W4621" t="str">
        <f t="shared" si="1893"/>
        <v>04-08-2020</v>
      </c>
      <c r="X4621" t="str">
        <f t="shared" si="1894"/>
        <v>RAZIMAH ANSAR AHMAD</v>
      </c>
      <c r="Y4621" t="str">
        <f t="shared" si="1895"/>
        <v>04-08-2020</v>
      </c>
      <c r="Z4621" t="str">
        <f>"COS10200804 4533"</f>
        <v>COS10200804 4533</v>
      </c>
    </row>
    <row r="4622" spans="1:26" x14ac:dyDescent="0.25">
      <c r="A4622" t="str">
        <f t="shared" si="1896"/>
        <v>04-08-2020 12:49:50</v>
      </c>
      <c r="B4622" t="str">
        <f>"0000806312"</f>
        <v>0000806312</v>
      </c>
      <c r="C4622" t="str">
        <f t="shared" si="1897"/>
        <v>0000806180</v>
      </c>
      <c r="D4622" t="str">
        <f t="shared" si="1883"/>
        <v>73185</v>
      </c>
      <c r="E4622" t="str">
        <f t="shared" si="1884"/>
        <v>KFH-OPERATIONS DEPARTMENT</v>
      </c>
      <c r="F4622" t="str">
        <f t="shared" si="1885"/>
        <v>IBG</v>
      </c>
      <c r="G4622" t="str">
        <f t="shared" si="1898"/>
        <v>Refund COSHARE 10</v>
      </c>
      <c r="H4622" s="2">
        <v>688.4</v>
      </c>
      <c r="I4622" t="str">
        <f>"FATIMAH WATI BINTI MAT KHAIRI"</f>
        <v>FATIMAH WATI BINTI MAT KHAIRI</v>
      </c>
      <c r="J4622" t="str">
        <f t="shared" si="1874"/>
        <v>MAYBANK / MAYBANK ISLAMIC</v>
      </c>
      <c r="K4622" t="str">
        <f>"151164231646"</f>
        <v>151164231646</v>
      </c>
      <c r="L4622" t="str">
        <f t="shared" si="1881"/>
        <v>04-08-2020</v>
      </c>
      <c r="M4622" t="str">
        <f t="shared" si="1881"/>
        <v>04-08-2020</v>
      </c>
      <c r="N4622" t="str">
        <f t="shared" si="1886"/>
        <v>001105018356</v>
      </c>
      <c r="O4622" t="str">
        <f t="shared" si="1887"/>
        <v>MYR</v>
      </c>
      <c r="P4622" t="str">
        <f t="shared" si="1882"/>
        <v>NIL</v>
      </c>
      <c r="Q4622" t="str">
        <f t="shared" si="1882"/>
        <v>NIL</v>
      </c>
      <c r="R4622" t="str">
        <f t="shared" si="1888"/>
        <v>Accepted</v>
      </c>
      <c r="S4622" t="str">
        <f t="shared" si="1889"/>
        <v>Approved</v>
      </c>
      <c r="T4622" t="str">
        <f t="shared" si="1890"/>
        <v>10.20.8.188</v>
      </c>
      <c r="U4622" t="str">
        <f t="shared" si="1891"/>
        <v>AZRAD UMAR BIN SHAARI</v>
      </c>
      <c r="V4622" t="str">
        <f t="shared" si="1892"/>
        <v>FARHANA BINTI MUSTAPA</v>
      </c>
      <c r="W4622" t="str">
        <f t="shared" si="1893"/>
        <v>04-08-2020</v>
      </c>
      <c r="X4622" t="str">
        <f t="shared" si="1894"/>
        <v>RAZIMAH ANSAR AHMAD</v>
      </c>
      <c r="Y4622" t="str">
        <f t="shared" si="1895"/>
        <v>04-08-2020</v>
      </c>
      <c r="Z4622" t="str">
        <f>"COS10200804 4532"</f>
        <v>COS10200804 4532</v>
      </c>
    </row>
    <row r="4623" spans="1:26" x14ac:dyDescent="0.25">
      <c r="A4623" t="str">
        <f t="shared" si="1896"/>
        <v>04-08-2020 12:49:50</v>
      </c>
      <c r="B4623" t="str">
        <f>"0000806311"</f>
        <v>0000806311</v>
      </c>
      <c r="C4623" t="str">
        <f t="shared" si="1897"/>
        <v>0000806180</v>
      </c>
      <c r="D4623" t="str">
        <f t="shared" si="1883"/>
        <v>73185</v>
      </c>
      <c r="E4623" t="str">
        <f t="shared" si="1884"/>
        <v>KFH-OPERATIONS DEPARTMENT</v>
      </c>
      <c r="F4623" t="str">
        <f t="shared" si="1885"/>
        <v>IBG</v>
      </c>
      <c r="G4623" t="str">
        <f t="shared" si="1898"/>
        <v>Refund COSHARE 10</v>
      </c>
      <c r="H4623" s="2">
        <v>71.5</v>
      </c>
      <c r="I4623" t="str">
        <f>"FATIMAH BINTI MUSLIM"</f>
        <v>FATIMAH BINTI MUSLIM</v>
      </c>
      <c r="J4623" t="str">
        <f t="shared" si="1874"/>
        <v>MAYBANK / MAYBANK ISLAMIC</v>
      </c>
      <c r="K4623" t="str">
        <f>"114271245035"</f>
        <v>114271245035</v>
      </c>
      <c r="L4623" t="str">
        <f t="shared" si="1881"/>
        <v>04-08-2020</v>
      </c>
      <c r="M4623" t="str">
        <f t="shared" si="1881"/>
        <v>04-08-2020</v>
      </c>
      <c r="N4623" t="str">
        <f t="shared" si="1886"/>
        <v>001105018356</v>
      </c>
      <c r="O4623" t="str">
        <f t="shared" si="1887"/>
        <v>MYR</v>
      </c>
      <c r="P4623" t="str">
        <f t="shared" si="1882"/>
        <v>NIL</v>
      </c>
      <c r="Q4623" t="str">
        <f t="shared" si="1882"/>
        <v>NIL</v>
      </c>
      <c r="R4623" t="str">
        <f t="shared" si="1888"/>
        <v>Accepted</v>
      </c>
      <c r="S4623" t="str">
        <f t="shared" si="1889"/>
        <v>Approved</v>
      </c>
      <c r="T4623" t="str">
        <f t="shared" si="1890"/>
        <v>10.20.8.188</v>
      </c>
      <c r="U4623" t="str">
        <f t="shared" si="1891"/>
        <v>AZRAD UMAR BIN SHAARI</v>
      </c>
      <c r="V4623" t="str">
        <f t="shared" si="1892"/>
        <v>FARHANA BINTI MUSTAPA</v>
      </c>
      <c r="W4623" t="str">
        <f t="shared" si="1893"/>
        <v>04-08-2020</v>
      </c>
      <c r="X4623" t="str">
        <f t="shared" si="1894"/>
        <v>RAZIMAH ANSAR AHMAD</v>
      </c>
      <c r="Y4623" t="str">
        <f t="shared" si="1895"/>
        <v>04-08-2020</v>
      </c>
      <c r="Z4623" t="str">
        <f>"COS10200804 4531"</f>
        <v>COS10200804 4531</v>
      </c>
    </row>
    <row r="4624" spans="1:26" x14ac:dyDescent="0.25">
      <c r="A4624" t="str">
        <f t="shared" si="1896"/>
        <v>04-08-2020 12:49:50</v>
      </c>
      <c r="B4624" t="str">
        <f>"0000806310"</f>
        <v>0000806310</v>
      </c>
      <c r="C4624" t="str">
        <f t="shared" si="1897"/>
        <v>0000806180</v>
      </c>
      <c r="D4624" t="str">
        <f t="shared" si="1883"/>
        <v>73185</v>
      </c>
      <c r="E4624" t="str">
        <f t="shared" si="1884"/>
        <v>KFH-OPERATIONS DEPARTMENT</v>
      </c>
      <c r="F4624" t="str">
        <f t="shared" si="1885"/>
        <v>IBG</v>
      </c>
      <c r="G4624" t="str">
        <f t="shared" si="1898"/>
        <v>Refund COSHARE 10</v>
      </c>
      <c r="H4624" s="2">
        <v>107</v>
      </c>
      <c r="I4624" t="str">
        <f>"FATIMAH BINTI JALANI"</f>
        <v>FATIMAH BINTI JALANI</v>
      </c>
      <c r="J4624" t="str">
        <f t="shared" si="1874"/>
        <v>MAYBANK / MAYBANK ISLAMIC</v>
      </c>
      <c r="K4624" t="str">
        <f>"161024434414"</f>
        <v>161024434414</v>
      </c>
      <c r="L4624" t="str">
        <f t="shared" si="1881"/>
        <v>04-08-2020</v>
      </c>
      <c r="M4624" t="str">
        <f t="shared" si="1881"/>
        <v>04-08-2020</v>
      </c>
      <c r="N4624" t="str">
        <f t="shared" si="1886"/>
        <v>001105018356</v>
      </c>
      <c r="O4624" t="str">
        <f t="shared" si="1887"/>
        <v>MYR</v>
      </c>
      <c r="P4624" t="str">
        <f t="shared" si="1882"/>
        <v>NIL</v>
      </c>
      <c r="Q4624" t="str">
        <f t="shared" si="1882"/>
        <v>NIL</v>
      </c>
      <c r="R4624" t="str">
        <f t="shared" si="1888"/>
        <v>Accepted</v>
      </c>
      <c r="S4624" t="str">
        <f t="shared" si="1889"/>
        <v>Approved</v>
      </c>
      <c r="T4624" t="str">
        <f t="shared" si="1890"/>
        <v>10.20.8.188</v>
      </c>
      <c r="U4624" t="str">
        <f t="shared" si="1891"/>
        <v>AZRAD UMAR BIN SHAARI</v>
      </c>
      <c r="V4624" t="str">
        <f t="shared" si="1892"/>
        <v>FARHANA BINTI MUSTAPA</v>
      </c>
      <c r="W4624" t="str">
        <f t="shared" si="1893"/>
        <v>04-08-2020</v>
      </c>
      <c r="X4624" t="str">
        <f t="shared" si="1894"/>
        <v>RAZIMAH ANSAR AHMAD</v>
      </c>
      <c r="Y4624" t="str">
        <f t="shared" si="1895"/>
        <v>04-08-2020</v>
      </c>
      <c r="Z4624" t="str">
        <f>"COS10200804 4530"</f>
        <v>COS10200804 4530</v>
      </c>
    </row>
    <row r="4625" spans="1:26" x14ac:dyDescent="0.25">
      <c r="A4625" t="str">
        <f t="shared" si="1896"/>
        <v>04-08-2020 12:49:50</v>
      </c>
      <c r="B4625" t="str">
        <f>"0000806309"</f>
        <v>0000806309</v>
      </c>
      <c r="C4625" t="str">
        <f t="shared" si="1897"/>
        <v>0000806180</v>
      </c>
      <c r="D4625" t="str">
        <f t="shared" si="1883"/>
        <v>73185</v>
      </c>
      <c r="E4625" t="str">
        <f t="shared" si="1884"/>
        <v>KFH-OPERATIONS DEPARTMENT</v>
      </c>
      <c r="F4625" t="str">
        <f t="shared" si="1885"/>
        <v>IBG</v>
      </c>
      <c r="G4625" t="str">
        <f t="shared" si="1898"/>
        <v>Refund COSHARE 10</v>
      </c>
      <c r="H4625" s="2">
        <v>1375.25</v>
      </c>
      <c r="I4625" t="str">
        <f>"FATIM ANNUR BT OSMAN NAIDIN  NOORDIN"</f>
        <v>FATIM ANNUR BT OSMAN NAIDIN  NOORDIN</v>
      </c>
      <c r="J4625" t="str">
        <f t="shared" ref="J4625:J4688" si="1899">"MAYBANK / MAYBANK ISLAMIC"</f>
        <v>MAYBANK / MAYBANK ISLAMIC</v>
      </c>
      <c r="K4625" t="str">
        <f>"164276557858"</f>
        <v>164276557858</v>
      </c>
      <c r="L4625" t="str">
        <f t="shared" si="1881"/>
        <v>04-08-2020</v>
      </c>
      <c r="M4625" t="str">
        <f t="shared" si="1881"/>
        <v>04-08-2020</v>
      </c>
      <c r="N4625" t="str">
        <f t="shared" si="1886"/>
        <v>001105018356</v>
      </c>
      <c r="O4625" t="str">
        <f t="shared" si="1887"/>
        <v>MYR</v>
      </c>
      <c r="P4625" t="str">
        <f t="shared" si="1882"/>
        <v>NIL</v>
      </c>
      <c r="Q4625" t="str">
        <f t="shared" si="1882"/>
        <v>NIL</v>
      </c>
      <c r="R4625" t="str">
        <f t="shared" si="1888"/>
        <v>Accepted</v>
      </c>
      <c r="S4625" t="str">
        <f t="shared" si="1889"/>
        <v>Approved</v>
      </c>
      <c r="T4625" t="str">
        <f t="shared" si="1890"/>
        <v>10.20.8.188</v>
      </c>
      <c r="U4625" t="str">
        <f t="shared" si="1891"/>
        <v>AZRAD UMAR BIN SHAARI</v>
      </c>
      <c r="V4625" t="str">
        <f t="shared" si="1892"/>
        <v>FARHANA BINTI MUSTAPA</v>
      </c>
      <c r="W4625" t="str">
        <f t="shared" si="1893"/>
        <v>04-08-2020</v>
      </c>
      <c r="X4625" t="str">
        <f t="shared" si="1894"/>
        <v>RAZIMAH ANSAR AHMAD</v>
      </c>
      <c r="Y4625" t="str">
        <f t="shared" si="1895"/>
        <v>04-08-2020</v>
      </c>
      <c r="Z4625" t="str">
        <f>"COS10200804 4529"</f>
        <v>COS10200804 4529</v>
      </c>
    </row>
    <row r="4626" spans="1:26" x14ac:dyDescent="0.25">
      <c r="A4626" t="str">
        <f t="shared" si="1896"/>
        <v>04-08-2020 12:49:50</v>
      </c>
      <c r="B4626" t="str">
        <f>"0000806308"</f>
        <v>0000806308</v>
      </c>
      <c r="C4626" t="str">
        <f t="shared" si="1897"/>
        <v>0000806180</v>
      </c>
      <c r="D4626" t="str">
        <f t="shared" si="1883"/>
        <v>73185</v>
      </c>
      <c r="E4626" t="str">
        <f t="shared" si="1884"/>
        <v>KFH-OPERATIONS DEPARTMENT</v>
      </c>
      <c r="F4626" t="str">
        <f t="shared" si="1885"/>
        <v>IBG</v>
      </c>
      <c r="G4626" t="str">
        <f t="shared" si="1898"/>
        <v>Refund COSHARE 10</v>
      </c>
      <c r="H4626" s="2">
        <v>235.1</v>
      </c>
      <c r="I4626" t="str">
        <f>"FATHIYAH BINTI ZAKARIA"</f>
        <v>FATHIYAH BINTI ZAKARIA</v>
      </c>
      <c r="J4626" t="str">
        <f t="shared" si="1899"/>
        <v>MAYBANK / MAYBANK ISLAMIC</v>
      </c>
      <c r="K4626" t="str">
        <f>"158088016645"</f>
        <v>158088016645</v>
      </c>
      <c r="L4626" t="str">
        <f t="shared" si="1881"/>
        <v>04-08-2020</v>
      </c>
      <c r="M4626" t="str">
        <f t="shared" si="1881"/>
        <v>04-08-2020</v>
      </c>
      <c r="N4626" t="str">
        <f t="shared" si="1886"/>
        <v>001105018356</v>
      </c>
      <c r="O4626" t="str">
        <f t="shared" si="1887"/>
        <v>MYR</v>
      </c>
      <c r="P4626" t="str">
        <f t="shared" si="1882"/>
        <v>NIL</v>
      </c>
      <c r="Q4626" t="str">
        <f t="shared" si="1882"/>
        <v>NIL</v>
      </c>
      <c r="R4626" t="str">
        <f t="shared" si="1888"/>
        <v>Accepted</v>
      </c>
      <c r="S4626" t="str">
        <f t="shared" si="1889"/>
        <v>Approved</v>
      </c>
      <c r="T4626" t="str">
        <f t="shared" si="1890"/>
        <v>10.20.8.188</v>
      </c>
      <c r="U4626" t="str">
        <f t="shared" si="1891"/>
        <v>AZRAD UMAR BIN SHAARI</v>
      </c>
      <c r="V4626" t="str">
        <f t="shared" si="1892"/>
        <v>FARHANA BINTI MUSTAPA</v>
      </c>
      <c r="W4626" t="str">
        <f t="shared" si="1893"/>
        <v>04-08-2020</v>
      </c>
      <c r="X4626" t="str">
        <f t="shared" si="1894"/>
        <v>RAZIMAH ANSAR AHMAD</v>
      </c>
      <c r="Y4626" t="str">
        <f t="shared" si="1895"/>
        <v>04-08-2020</v>
      </c>
      <c r="Z4626" t="str">
        <f>"COS10200804 4528"</f>
        <v>COS10200804 4528</v>
      </c>
    </row>
    <row r="4627" spans="1:26" x14ac:dyDescent="0.25">
      <c r="A4627" t="str">
        <f t="shared" si="1896"/>
        <v>04-08-2020 12:49:50</v>
      </c>
      <c r="B4627" t="str">
        <f>"0000806307"</f>
        <v>0000806307</v>
      </c>
      <c r="C4627" t="str">
        <f t="shared" si="1897"/>
        <v>0000806180</v>
      </c>
      <c r="D4627" t="str">
        <f t="shared" si="1883"/>
        <v>73185</v>
      </c>
      <c r="E4627" t="str">
        <f t="shared" si="1884"/>
        <v>KFH-OPERATIONS DEPARTMENT</v>
      </c>
      <c r="F4627" t="str">
        <f t="shared" si="1885"/>
        <v>IBG</v>
      </c>
      <c r="G4627" t="str">
        <f t="shared" si="1898"/>
        <v>Refund COSHARE 10</v>
      </c>
      <c r="H4627" s="2">
        <v>587.65</v>
      </c>
      <c r="I4627" t="str">
        <f>"FATHI BIN MOHAMED"</f>
        <v>FATHI BIN MOHAMED</v>
      </c>
      <c r="J4627" t="str">
        <f t="shared" si="1899"/>
        <v>MAYBANK / MAYBANK ISLAMIC</v>
      </c>
      <c r="K4627" t="str">
        <f>"114785047905"</f>
        <v>114785047905</v>
      </c>
      <c r="L4627" t="str">
        <f t="shared" ref="L4627:M4646" si="1900">"04-08-2020"</f>
        <v>04-08-2020</v>
      </c>
      <c r="M4627" t="str">
        <f t="shared" si="1900"/>
        <v>04-08-2020</v>
      </c>
      <c r="N4627" t="str">
        <f t="shared" si="1886"/>
        <v>001105018356</v>
      </c>
      <c r="O4627" t="str">
        <f t="shared" si="1887"/>
        <v>MYR</v>
      </c>
      <c r="P4627" t="str">
        <f t="shared" ref="P4627:Q4646" si="1901">"NIL"</f>
        <v>NIL</v>
      </c>
      <c r="Q4627" t="str">
        <f t="shared" si="1901"/>
        <v>NIL</v>
      </c>
      <c r="R4627" t="str">
        <f t="shared" si="1888"/>
        <v>Accepted</v>
      </c>
      <c r="S4627" t="str">
        <f t="shared" si="1889"/>
        <v>Approved</v>
      </c>
      <c r="T4627" t="str">
        <f t="shared" si="1890"/>
        <v>10.20.8.188</v>
      </c>
      <c r="U4627" t="str">
        <f t="shared" si="1891"/>
        <v>AZRAD UMAR BIN SHAARI</v>
      </c>
      <c r="V4627" t="str">
        <f t="shared" si="1892"/>
        <v>FARHANA BINTI MUSTAPA</v>
      </c>
      <c r="W4627" t="str">
        <f t="shared" si="1893"/>
        <v>04-08-2020</v>
      </c>
      <c r="X4627" t="str">
        <f t="shared" si="1894"/>
        <v>RAZIMAH ANSAR AHMAD</v>
      </c>
      <c r="Y4627" t="str">
        <f t="shared" si="1895"/>
        <v>04-08-2020</v>
      </c>
      <c r="Z4627" t="str">
        <f>"COS10200804 4527"</f>
        <v>COS10200804 4527</v>
      </c>
    </row>
    <row r="4628" spans="1:26" x14ac:dyDescent="0.25">
      <c r="A4628" t="str">
        <f t="shared" si="1896"/>
        <v>04-08-2020 12:49:50</v>
      </c>
      <c r="B4628" t="str">
        <f>"0000806306"</f>
        <v>0000806306</v>
      </c>
      <c r="C4628" t="str">
        <f t="shared" si="1897"/>
        <v>0000806180</v>
      </c>
      <c r="D4628" t="str">
        <f t="shared" si="1883"/>
        <v>73185</v>
      </c>
      <c r="E4628" t="str">
        <f t="shared" si="1884"/>
        <v>KFH-OPERATIONS DEPARTMENT</v>
      </c>
      <c r="F4628" t="str">
        <f t="shared" si="1885"/>
        <v>IBG</v>
      </c>
      <c r="G4628" t="str">
        <f t="shared" si="1898"/>
        <v>Refund COSHARE 10</v>
      </c>
      <c r="H4628" s="2">
        <v>687.65</v>
      </c>
      <c r="I4628" t="str">
        <f>"FASLINDA BINTI HARUN"</f>
        <v>FASLINDA BINTI HARUN</v>
      </c>
      <c r="J4628" t="str">
        <f t="shared" si="1899"/>
        <v>MAYBANK / MAYBANK ISLAMIC</v>
      </c>
      <c r="K4628" t="str">
        <f>"158220460183"</f>
        <v>158220460183</v>
      </c>
      <c r="L4628" t="str">
        <f t="shared" si="1900"/>
        <v>04-08-2020</v>
      </c>
      <c r="M4628" t="str">
        <f t="shared" si="1900"/>
        <v>04-08-2020</v>
      </c>
      <c r="N4628" t="str">
        <f t="shared" si="1886"/>
        <v>001105018356</v>
      </c>
      <c r="O4628" t="str">
        <f t="shared" si="1887"/>
        <v>MYR</v>
      </c>
      <c r="P4628" t="str">
        <f t="shared" si="1901"/>
        <v>NIL</v>
      </c>
      <c r="Q4628" t="str">
        <f t="shared" si="1901"/>
        <v>NIL</v>
      </c>
      <c r="R4628" t="str">
        <f t="shared" si="1888"/>
        <v>Accepted</v>
      </c>
      <c r="S4628" t="str">
        <f t="shared" si="1889"/>
        <v>Approved</v>
      </c>
      <c r="T4628" t="str">
        <f t="shared" si="1890"/>
        <v>10.20.8.188</v>
      </c>
      <c r="U4628" t="str">
        <f t="shared" si="1891"/>
        <v>AZRAD UMAR BIN SHAARI</v>
      </c>
      <c r="V4628" t="str">
        <f t="shared" si="1892"/>
        <v>FARHANA BINTI MUSTAPA</v>
      </c>
      <c r="W4628" t="str">
        <f t="shared" si="1893"/>
        <v>04-08-2020</v>
      </c>
      <c r="X4628" t="str">
        <f t="shared" si="1894"/>
        <v>RAZIMAH ANSAR AHMAD</v>
      </c>
      <c r="Y4628" t="str">
        <f t="shared" si="1895"/>
        <v>04-08-2020</v>
      </c>
      <c r="Z4628" t="str">
        <f>"COS10200804 4526"</f>
        <v>COS10200804 4526</v>
      </c>
    </row>
    <row r="4629" spans="1:26" x14ac:dyDescent="0.25">
      <c r="A4629" t="str">
        <f t="shared" si="1896"/>
        <v>04-08-2020 12:49:50</v>
      </c>
      <c r="B4629" t="str">
        <f>"0000806305"</f>
        <v>0000806305</v>
      </c>
      <c r="C4629" t="str">
        <f t="shared" si="1897"/>
        <v>0000806180</v>
      </c>
      <c r="D4629" t="str">
        <f t="shared" si="1883"/>
        <v>73185</v>
      </c>
      <c r="E4629" t="str">
        <f t="shared" si="1884"/>
        <v>KFH-OPERATIONS DEPARTMENT</v>
      </c>
      <c r="F4629" t="str">
        <f t="shared" si="1885"/>
        <v>IBG</v>
      </c>
      <c r="G4629" t="str">
        <f t="shared" si="1898"/>
        <v>Refund COSHARE 10</v>
      </c>
      <c r="H4629" s="2">
        <v>127</v>
      </c>
      <c r="I4629" t="str">
        <f>"FASIHAH BINTI MANSOR"</f>
        <v>FASIHAH BINTI MANSOR</v>
      </c>
      <c r="J4629" t="str">
        <f t="shared" si="1899"/>
        <v>MAYBANK / MAYBANK ISLAMIC</v>
      </c>
      <c r="K4629" t="str">
        <f>"166010151794"</f>
        <v>166010151794</v>
      </c>
      <c r="L4629" t="str">
        <f t="shared" si="1900"/>
        <v>04-08-2020</v>
      </c>
      <c r="M4629" t="str">
        <f t="shared" si="1900"/>
        <v>04-08-2020</v>
      </c>
      <c r="N4629" t="str">
        <f t="shared" si="1886"/>
        <v>001105018356</v>
      </c>
      <c r="O4629" t="str">
        <f t="shared" si="1887"/>
        <v>MYR</v>
      </c>
      <c r="P4629" t="str">
        <f t="shared" si="1901"/>
        <v>NIL</v>
      </c>
      <c r="Q4629" t="str">
        <f t="shared" si="1901"/>
        <v>NIL</v>
      </c>
      <c r="R4629" t="str">
        <f t="shared" si="1888"/>
        <v>Accepted</v>
      </c>
      <c r="S4629" t="str">
        <f t="shared" si="1889"/>
        <v>Approved</v>
      </c>
      <c r="T4629" t="str">
        <f t="shared" si="1890"/>
        <v>10.20.8.188</v>
      </c>
      <c r="U4629" t="str">
        <f t="shared" si="1891"/>
        <v>AZRAD UMAR BIN SHAARI</v>
      </c>
      <c r="V4629" t="str">
        <f t="shared" si="1892"/>
        <v>FARHANA BINTI MUSTAPA</v>
      </c>
      <c r="W4629" t="str">
        <f t="shared" si="1893"/>
        <v>04-08-2020</v>
      </c>
      <c r="X4629" t="str">
        <f t="shared" si="1894"/>
        <v>RAZIMAH ANSAR AHMAD</v>
      </c>
      <c r="Y4629" t="str">
        <f t="shared" si="1895"/>
        <v>04-08-2020</v>
      </c>
      <c r="Z4629" t="str">
        <f>"COS10200804 4525"</f>
        <v>COS10200804 4525</v>
      </c>
    </row>
    <row r="4630" spans="1:26" x14ac:dyDescent="0.25">
      <c r="A4630" t="str">
        <f t="shared" si="1896"/>
        <v>04-08-2020 12:49:50</v>
      </c>
      <c r="B4630" t="str">
        <f>"0000806304"</f>
        <v>0000806304</v>
      </c>
      <c r="C4630" t="str">
        <f t="shared" si="1897"/>
        <v>0000806180</v>
      </c>
      <c r="D4630" t="str">
        <f t="shared" si="1883"/>
        <v>73185</v>
      </c>
      <c r="E4630" t="str">
        <f t="shared" si="1884"/>
        <v>KFH-OPERATIONS DEPARTMENT</v>
      </c>
      <c r="F4630" t="str">
        <f t="shared" si="1885"/>
        <v>IBG</v>
      </c>
      <c r="G4630" t="str">
        <f t="shared" si="1898"/>
        <v>Refund COSHARE 10</v>
      </c>
      <c r="H4630" s="2">
        <v>159.5</v>
      </c>
      <c r="I4630" t="str">
        <f>"FAROUQ FAKHZAN BIN MOHD NORDIN"</f>
        <v>FAROUQ FAKHZAN BIN MOHD NORDIN</v>
      </c>
      <c r="J4630" t="str">
        <f t="shared" si="1899"/>
        <v>MAYBANK / MAYBANK ISLAMIC</v>
      </c>
      <c r="K4630" t="str">
        <f>"162666020613"</f>
        <v>162666020613</v>
      </c>
      <c r="L4630" t="str">
        <f t="shared" si="1900"/>
        <v>04-08-2020</v>
      </c>
      <c r="M4630" t="str">
        <f t="shared" si="1900"/>
        <v>04-08-2020</v>
      </c>
      <c r="N4630" t="str">
        <f t="shared" si="1886"/>
        <v>001105018356</v>
      </c>
      <c r="O4630" t="str">
        <f t="shared" si="1887"/>
        <v>MYR</v>
      </c>
      <c r="P4630" t="str">
        <f t="shared" si="1901"/>
        <v>NIL</v>
      </c>
      <c r="Q4630" t="str">
        <f t="shared" si="1901"/>
        <v>NIL</v>
      </c>
      <c r="R4630" t="str">
        <f t="shared" si="1888"/>
        <v>Accepted</v>
      </c>
      <c r="S4630" t="str">
        <f t="shared" si="1889"/>
        <v>Approved</v>
      </c>
      <c r="T4630" t="str">
        <f t="shared" si="1890"/>
        <v>10.20.8.188</v>
      </c>
      <c r="U4630" t="str">
        <f t="shared" si="1891"/>
        <v>AZRAD UMAR BIN SHAARI</v>
      </c>
      <c r="V4630" t="str">
        <f t="shared" si="1892"/>
        <v>FARHANA BINTI MUSTAPA</v>
      </c>
      <c r="W4630" t="str">
        <f t="shared" si="1893"/>
        <v>04-08-2020</v>
      </c>
      <c r="X4630" t="str">
        <f t="shared" si="1894"/>
        <v>RAZIMAH ANSAR AHMAD</v>
      </c>
      <c r="Y4630" t="str">
        <f t="shared" si="1895"/>
        <v>04-08-2020</v>
      </c>
      <c r="Z4630" t="str">
        <f>"COS10200804 4524"</f>
        <v>COS10200804 4524</v>
      </c>
    </row>
    <row r="4631" spans="1:26" x14ac:dyDescent="0.25">
      <c r="A4631" t="str">
        <f t="shared" si="1896"/>
        <v>04-08-2020 12:49:50</v>
      </c>
      <c r="B4631" t="str">
        <f>"0000806303"</f>
        <v>0000806303</v>
      </c>
      <c r="C4631" t="str">
        <f t="shared" si="1897"/>
        <v>0000806180</v>
      </c>
      <c r="D4631" t="str">
        <f t="shared" si="1883"/>
        <v>73185</v>
      </c>
      <c r="E4631" t="str">
        <f t="shared" si="1884"/>
        <v>KFH-OPERATIONS DEPARTMENT</v>
      </c>
      <c r="F4631" t="str">
        <f t="shared" si="1885"/>
        <v>IBG</v>
      </c>
      <c r="G4631" t="str">
        <f t="shared" si="1898"/>
        <v>Refund COSHARE 10</v>
      </c>
      <c r="H4631" s="2">
        <v>839.5</v>
      </c>
      <c r="I4631" t="str">
        <f>"FARIZAH BINTI ABDUL LATIF"</f>
        <v>FARIZAH BINTI ABDUL LATIF</v>
      </c>
      <c r="J4631" t="str">
        <f t="shared" si="1899"/>
        <v>MAYBANK / MAYBANK ISLAMIC</v>
      </c>
      <c r="K4631" t="str">
        <f>"157157743466"</f>
        <v>157157743466</v>
      </c>
      <c r="L4631" t="str">
        <f t="shared" si="1900"/>
        <v>04-08-2020</v>
      </c>
      <c r="M4631" t="str">
        <f t="shared" si="1900"/>
        <v>04-08-2020</v>
      </c>
      <c r="N4631" t="str">
        <f t="shared" si="1886"/>
        <v>001105018356</v>
      </c>
      <c r="O4631" t="str">
        <f t="shared" si="1887"/>
        <v>MYR</v>
      </c>
      <c r="P4631" t="str">
        <f t="shared" si="1901"/>
        <v>NIL</v>
      </c>
      <c r="Q4631" t="str">
        <f t="shared" si="1901"/>
        <v>NIL</v>
      </c>
      <c r="R4631" t="str">
        <f t="shared" si="1888"/>
        <v>Accepted</v>
      </c>
      <c r="S4631" t="str">
        <f t="shared" si="1889"/>
        <v>Approved</v>
      </c>
      <c r="T4631" t="str">
        <f t="shared" si="1890"/>
        <v>10.20.8.188</v>
      </c>
      <c r="U4631" t="str">
        <f t="shared" si="1891"/>
        <v>AZRAD UMAR BIN SHAARI</v>
      </c>
      <c r="V4631" t="str">
        <f t="shared" si="1892"/>
        <v>FARHANA BINTI MUSTAPA</v>
      </c>
      <c r="W4631" t="str">
        <f t="shared" si="1893"/>
        <v>04-08-2020</v>
      </c>
      <c r="X4631" t="str">
        <f t="shared" si="1894"/>
        <v>RAZIMAH ANSAR AHMAD</v>
      </c>
      <c r="Y4631" t="str">
        <f t="shared" si="1895"/>
        <v>04-08-2020</v>
      </c>
      <c r="Z4631" t="str">
        <f>"COS10200804 4523"</f>
        <v>COS10200804 4523</v>
      </c>
    </row>
    <row r="4632" spans="1:26" x14ac:dyDescent="0.25">
      <c r="A4632" t="str">
        <f t="shared" si="1896"/>
        <v>04-08-2020 12:49:50</v>
      </c>
      <c r="B4632" t="str">
        <f>"0000806302"</f>
        <v>0000806302</v>
      </c>
      <c r="C4632" t="str">
        <f t="shared" si="1897"/>
        <v>0000806180</v>
      </c>
      <c r="D4632" t="str">
        <f t="shared" si="1883"/>
        <v>73185</v>
      </c>
      <c r="E4632" t="str">
        <f t="shared" si="1884"/>
        <v>KFH-OPERATIONS DEPARTMENT</v>
      </c>
      <c r="F4632" t="str">
        <f t="shared" si="1885"/>
        <v>IBG</v>
      </c>
      <c r="G4632" t="str">
        <f t="shared" si="1898"/>
        <v>Refund COSHARE 10</v>
      </c>
      <c r="H4632" s="2">
        <v>193.1</v>
      </c>
      <c r="I4632" t="str">
        <f>"FARIZA BINTI MAT LAZID"</f>
        <v>FARIZA BINTI MAT LAZID</v>
      </c>
      <c r="J4632" t="str">
        <f t="shared" si="1899"/>
        <v>MAYBANK / MAYBANK ISLAMIC</v>
      </c>
      <c r="K4632" t="str">
        <f>"164173629666"</f>
        <v>164173629666</v>
      </c>
      <c r="L4632" t="str">
        <f t="shared" si="1900"/>
        <v>04-08-2020</v>
      </c>
      <c r="M4632" t="str">
        <f t="shared" si="1900"/>
        <v>04-08-2020</v>
      </c>
      <c r="N4632" t="str">
        <f t="shared" si="1886"/>
        <v>001105018356</v>
      </c>
      <c r="O4632" t="str">
        <f t="shared" si="1887"/>
        <v>MYR</v>
      </c>
      <c r="P4632" t="str">
        <f t="shared" si="1901"/>
        <v>NIL</v>
      </c>
      <c r="Q4632" t="str">
        <f t="shared" si="1901"/>
        <v>NIL</v>
      </c>
      <c r="R4632" t="str">
        <f t="shared" si="1888"/>
        <v>Accepted</v>
      </c>
      <c r="S4632" t="str">
        <f t="shared" si="1889"/>
        <v>Approved</v>
      </c>
      <c r="T4632" t="str">
        <f t="shared" si="1890"/>
        <v>10.20.8.188</v>
      </c>
      <c r="U4632" t="str">
        <f t="shared" si="1891"/>
        <v>AZRAD UMAR BIN SHAARI</v>
      </c>
      <c r="V4632" t="str">
        <f t="shared" si="1892"/>
        <v>FARHANA BINTI MUSTAPA</v>
      </c>
      <c r="W4632" t="str">
        <f t="shared" si="1893"/>
        <v>04-08-2020</v>
      </c>
      <c r="X4632" t="str">
        <f t="shared" si="1894"/>
        <v>RAZIMAH ANSAR AHMAD</v>
      </c>
      <c r="Y4632" t="str">
        <f t="shared" si="1895"/>
        <v>04-08-2020</v>
      </c>
      <c r="Z4632" t="str">
        <f>"COS10200804 4522"</f>
        <v>COS10200804 4522</v>
      </c>
    </row>
    <row r="4633" spans="1:26" x14ac:dyDescent="0.25">
      <c r="A4633" t="str">
        <f t="shared" si="1896"/>
        <v>04-08-2020 12:49:50</v>
      </c>
      <c r="B4633" t="str">
        <f>"0000806301"</f>
        <v>0000806301</v>
      </c>
      <c r="C4633" t="str">
        <f t="shared" si="1897"/>
        <v>0000806180</v>
      </c>
      <c r="D4633" t="str">
        <f t="shared" si="1883"/>
        <v>73185</v>
      </c>
      <c r="E4633" t="str">
        <f t="shared" si="1884"/>
        <v>KFH-OPERATIONS DEPARTMENT</v>
      </c>
      <c r="F4633" t="str">
        <f t="shared" si="1885"/>
        <v>IBG</v>
      </c>
      <c r="G4633" t="str">
        <f t="shared" si="1898"/>
        <v>Refund COSHARE 10</v>
      </c>
      <c r="H4633" s="2">
        <v>1679</v>
      </c>
      <c r="I4633" t="str">
        <f>"FARIZA BINTI HASPAR"</f>
        <v>FARIZA BINTI HASPAR</v>
      </c>
      <c r="J4633" t="str">
        <f t="shared" si="1899"/>
        <v>MAYBANK / MAYBANK ISLAMIC</v>
      </c>
      <c r="K4633" t="str">
        <f>"162106363686"</f>
        <v>162106363686</v>
      </c>
      <c r="L4633" t="str">
        <f t="shared" si="1900"/>
        <v>04-08-2020</v>
      </c>
      <c r="M4633" t="str">
        <f t="shared" si="1900"/>
        <v>04-08-2020</v>
      </c>
      <c r="N4633" t="str">
        <f t="shared" si="1886"/>
        <v>001105018356</v>
      </c>
      <c r="O4633" t="str">
        <f t="shared" si="1887"/>
        <v>MYR</v>
      </c>
      <c r="P4633" t="str">
        <f t="shared" si="1901"/>
        <v>NIL</v>
      </c>
      <c r="Q4633" t="str">
        <f t="shared" si="1901"/>
        <v>NIL</v>
      </c>
      <c r="R4633" t="str">
        <f t="shared" si="1888"/>
        <v>Accepted</v>
      </c>
      <c r="S4633" t="str">
        <f t="shared" si="1889"/>
        <v>Approved</v>
      </c>
      <c r="T4633" t="str">
        <f t="shared" si="1890"/>
        <v>10.20.8.188</v>
      </c>
      <c r="U4633" t="str">
        <f t="shared" si="1891"/>
        <v>AZRAD UMAR BIN SHAARI</v>
      </c>
      <c r="V4633" t="str">
        <f t="shared" si="1892"/>
        <v>FARHANA BINTI MUSTAPA</v>
      </c>
      <c r="W4633" t="str">
        <f t="shared" si="1893"/>
        <v>04-08-2020</v>
      </c>
      <c r="X4633" t="str">
        <f t="shared" si="1894"/>
        <v>RAZIMAH ANSAR AHMAD</v>
      </c>
      <c r="Y4633" t="str">
        <f t="shared" si="1895"/>
        <v>04-08-2020</v>
      </c>
      <c r="Z4633" t="str">
        <f>"COS10200804 4521"</f>
        <v>COS10200804 4521</v>
      </c>
    </row>
    <row r="4634" spans="1:26" x14ac:dyDescent="0.25">
      <c r="A4634" t="str">
        <f t="shared" si="1896"/>
        <v>04-08-2020 12:49:50</v>
      </c>
      <c r="B4634" t="str">
        <f>"0000806300"</f>
        <v>0000806300</v>
      </c>
      <c r="C4634" t="str">
        <f t="shared" si="1897"/>
        <v>0000806180</v>
      </c>
      <c r="D4634" t="str">
        <f t="shared" si="1883"/>
        <v>73185</v>
      </c>
      <c r="E4634" t="str">
        <f t="shared" si="1884"/>
        <v>KFH-OPERATIONS DEPARTMENT</v>
      </c>
      <c r="F4634" t="str">
        <f t="shared" si="1885"/>
        <v>IBG</v>
      </c>
      <c r="G4634" t="str">
        <f t="shared" si="1898"/>
        <v>Refund COSHARE 10</v>
      </c>
      <c r="H4634" s="2">
        <v>629.65</v>
      </c>
      <c r="I4634" t="str">
        <f>"FARIZ RIZAL BIN RASDI"</f>
        <v>FARIZ RIZAL BIN RASDI</v>
      </c>
      <c r="J4634" t="str">
        <f t="shared" si="1899"/>
        <v>MAYBANK / MAYBANK ISLAMIC</v>
      </c>
      <c r="K4634" t="str">
        <f>"112269107132"</f>
        <v>112269107132</v>
      </c>
      <c r="L4634" t="str">
        <f t="shared" si="1900"/>
        <v>04-08-2020</v>
      </c>
      <c r="M4634" t="str">
        <f t="shared" si="1900"/>
        <v>04-08-2020</v>
      </c>
      <c r="N4634" t="str">
        <f t="shared" si="1886"/>
        <v>001105018356</v>
      </c>
      <c r="O4634" t="str">
        <f t="shared" si="1887"/>
        <v>MYR</v>
      </c>
      <c r="P4634" t="str">
        <f t="shared" si="1901"/>
        <v>NIL</v>
      </c>
      <c r="Q4634" t="str">
        <f t="shared" si="1901"/>
        <v>NIL</v>
      </c>
      <c r="R4634" t="str">
        <f t="shared" si="1888"/>
        <v>Accepted</v>
      </c>
      <c r="S4634" t="str">
        <f t="shared" si="1889"/>
        <v>Approved</v>
      </c>
      <c r="T4634" t="str">
        <f t="shared" si="1890"/>
        <v>10.20.8.188</v>
      </c>
      <c r="U4634" t="str">
        <f t="shared" si="1891"/>
        <v>AZRAD UMAR BIN SHAARI</v>
      </c>
      <c r="V4634" t="str">
        <f t="shared" si="1892"/>
        <v>FARHANA BINTI MUSTAPA</v>
      </c>
      <c r="W4634" t="str">
        <f t="shared" si="1893"/>
        <v>04-08-2020</v>
      </c>
      <c r="X4634" t="str">
        <f t="shared" si="1894"/>
        <v>RAZIMAH ANSAR AHMAD</v>
      </c>
      <c r="Y4634" t="str">
        <f t="shared" si="1895"/>
        <v>04-08-2020</v>
      </c>
      <c r="Z4634" t="str">
        <f>"COS10200804 4520"</f>
        <v>COS10200804 4520</v>
      </c>
    </row>
    <row r="4635" spans="1:26" x14ac:dyDescent="0.25">
      <c r="A4635" t="str">
        <f t="shared" si="1896"/>
        <v>04-08-2020 12:49:50</v>
      </c>
      <c r="B4635" t="str">
        <f>"0000806299"</f>
        <v>0000806299</v>
      </c>
      <c r="C4635" t="str">
        <f t="shared" si="1897"/>
        <v>0000806180</v>
      </c>
      <c r="D4635" t="str">
        <f t="shared" si="1883"/>
        <v>73185</v>
      </c>
      <c r="E4635" t="str">
        <f t="shared" si="1884"/>
        <v>KFH-OPERATIONS DEPARTMENT</v>
      </c>
      <c r="F4635" t="str">
        <f t="shared" si="1885"/>
        <v>IBG</v>
      </c>
      <c r="G4635" t="str">
        <f t="shared" si="1898"/>
        <v>Refund COSHARE 10</v>
      </c>
      <c r="H4635" s="2">
        <v>125.95</v>
      </c>
      <c r="I4635" t="str">
        <f>"FARIDATUL AKHMAL BINTI OSMAN"</f>
        <v>FARIDATUL AKHMAL BINTI OSMAN</v>
      </c>
      <c r="J4635" t="str">
        <f t="shared" si="1899"/>
        <v>MAYBANK / MAYBANK ISLAMIC</v>
      </c>
      <c r="K4635" t="str">
        <f>"166010046760"</f>
        <v>166010046760</v>
      </c>
      <c r="L4635" t="str">
        <f t="shared" si="1900"/>
        <v>04-08-2020</v>
      </c>
      <c r="M4635" t="str">
        <f t="shared" si="1900"/>
        <v>04-08-2020</v>
      </c>
      <c r="N4635" t="str">
        <f t="shared" si="1886"/>
        <v>001105018356</v>
      </c>
      <c r="O4635" t="str">
        <f t="shared" si="1887"/>
        <v>MYR</v>
      </c>
      <c r="P4635" t="str">
        <f t="shared" si="1901"/>
        <v>NIL</v>
      </c>
      <c r="Q4635" t="str">
        <f t="shared" si="1901"/>
        <v>NIL</v>
      </c>
      <c r="R4635" t="str">
        <f t="shared" si="1888"/>
        <v>Accepted</v>
      </c>
      <c r="S4635" t="str">
        <f t="shared" si="1889"/>
        <v>Approved</v>
      </c>
      <c r="T4635" t="str">
        <f t="shared" si="1890"/>
        <v>10.20.8.188</v>
      </c>
      <c r="U4635" t="str">
        <f t="shared" si="1891"/>
        <v>AZRAD UMAR BIN SHAARI</v>
      </c>
      <c r="V4635" t="str">
        <f t="shared" si="1892"/>
        <v>FARHANA BINTI MUSTAPA</v>
      </c>
      <c r="W4635" t="str">
        <f t="shared" si="1893"/>
        <v>04-08-2020</v>
      </c>
      <c r="X4635" t="str">
        <f t="shared" si="1894"/>
        <v>RAZIMAH ANSAR AHMAD</v>
      </c>
      <c r="Y4635" t="str">
        <f t="shared" si="1895"/>
        <v>04-08-2020</v>
      </c>
      <c r="Z4635" t="str">
        <f>"COS10200804 4519"</f>
        <v>COS10200804 4519</v>
      </c>
    </row>
    <row r="4636" spans="1:26" x14ac:dyDescent="0.25">
      <c r="A4636" t="str">
        <f t="shared" si="1896"/>
        <v>04-08-2020 12:49:50</v>
      </c>
      <c r="B4636" t="str">
        <f>"0000806298"</f>
        <v>0000806298</v>
      </c>
      <c r="C4636" t="str">
        <f t="shared" si="1897"/>
        <v>0000806180</v>
      </c>
      <c r="D4636" t="str">
        <f t="shared" si="1883"/>
        <v>73185</v>
      </c>
      <c r="E4636" t="str">
        <f t="shared" si="1884"/>
        <v>KFH-OPERATIONS DEPARTMENT</v>
      </c>
      <c r="F4636" t="str">
        <f t="shared" si="1885"/>
        <v>IBG</v>
      </c>
      <c r="G4636" t="str">
        <f t="shared" si="1898"/>
        <v>Refund COSHARE 10</v>
      </c>
      <c r="H4636" s="2">
        <v>58.8</v>
      </c>
      <c r="I4636" t="str">
        <f>"FARIDATUL AISYAH BINTI YUSOP"</f>
        <v>FARIDATUL AISYAH BINTI YUSOP</v>
      </c>
      <c r="J4636" t="str">
        <f t="shared" si="1899"/>
        <v>MAYBANK / MAYBANK ISLAMIC</v>
      </c>
      <c r="K4636" t="str">
        <f>"154026474144"</f>
        <v>154026474144</v>
      </c>
      <c r="L4636" t="str">
        <f t="shared" si="1900"/>
        <v>04-08-2020</v>
      </c>
      <c r="M4636" t="str">
        <f t="shared" si="1900"/>
        <v>04-08-2020</v>
      </c>
      <c r="N4636" t="str">
        <f t="shared" si="1886"/>
        <v>001105018356</v>
      </c>
      <c r="O4636" t="str">
        <f t="shared" si="1887"/>
        <v>MYR</v>
      </c>
      <c r="P4636" t="str">
        <f t="shared" si="1901"/>
        <v>NIL</v>
      </c>
      <c r="Q4636" t="str">
        <f t="shared" si="1901"/>
        <v>NIL</v>
      </c>
      <c r="R4636" t="str">
        <f t="shared" si="1888"/>
        <v>Accepted</v>
      </c>
      <c r="S4636" t="str">
        <f t="shared" si="1889"/>
        <v>Approved</v>
      </c>
      <c r="T4636" t="str">
        <f t="shared" si="1890"/>
        <v>10.20.8.188</v>
      </c>
      <c r="U4636" t="str">
        <f t="shared" si="1891"/>
        <v>AZRAD UMAR BIN SHAARI</v>
      </c>
      <c r="V4636" t="str">
        <f t="shared" si="1892"/>
        <v>FARHANA BINTI MUSTAPA</v>
      </c>
      <c r="W4636" t="str">
        <f t="shared" si="1893"/>
        <v>04-08-2020</v>
      </c>
      <c r="X4636" t="str">
        <f t="shared" si="1894"/>
        <v>RAZIMAH ANSAR AHMAD</v>
      </c>
      <c r="Y4636" t="str">
        <f t="shared" si="1895"/>
        <v>04-08-2020</v>
      </c>
      <c r="Z4636" t="str">
        <f>"COS10200804 4518"</f>
        <v>COS10200804 4518</v>
      </c>
    </row>
    <row r="4637" spans="1:26" x14ac:dyDescent="0.25">
      <c r="A4637" t="str">
        <f t="shared" si="1896"/>
        <v>04-08-2020 12:49:50</v>
      </c>
      <c r="B4637" t="str">
        <f>"0000806297"</f>
        <v>0000806297</v>
      </c>
      <c r="C4637" t="str">
        <f t="shared" si="1897"/>
        <v>0000806180</v>
      </c>
      <c r="D4637" t="str">
        <f t="shared" si="1883"/>
        <v>73185</v>
      </c>
      <c r="E4637" t="str">
        <f t="shared" si="1884"/>
        <v>KFH-OPERATIONS DEPARTMENT</v>
      </c>
      <c r="F4637" t="str">
        <f t="shared" si="1885"/>
        <v>IBG</v>
      </c>
      <c r="G4637" t="str">
        <f t="shared" si="1898"/>
        <v>Refund COSHARE 10</v>
      </c>
      <c r="H4637" s="2">
        <v>184</v>
      </c>
      <c r="I4637" t="str">
        <f>"FARIDAH HANIM BINTI ABDUL HAMID"</f>
        <v>FARIDAH HANIM BINTI ABDUL HAMID</v>
      </c>
      <c r="J4637" t="str">
        <f t="shared" si="1899"/>
        <v>MAYBANK / MAYBANK ISLAMIC</v>
      </c>
      <c r="K4637" t="str">
        <f>"156169063791"</f>
        <v>156169063791</v>
      </c>
      <c r="L4637" t="str">
        <f t="shared" si="1900"/>
        <v>04-08-2020</v>
      </c>
      <c r="M4637" t="str">
        <f t="shared" si="1900"/>
        <v>04-08-2020</v>
      </c>
      <c r="N4637" t="str">
        <f t="shared" si="1886"/>
        <v>001105018356</v>
      </c>
      <c r="O4637" t="str">
        <f t="shared" si="1887"/>
        <v>MYR</v>
      </c>
      <c r="P4637" t="str">
        <f t="shared" si="1901"/>
        <v>NIL</v>
      </c>
      <c r="Q4637" t="str">
        <f t="shared" si="1901"/>
        <v>NIL</v>
      </c>
      <c r="R4637" t="str">
        <f t="shared" si="1888"/>
        <v>Accepted</v>
      </c>
      <c r="S4637" t="str">
        <f t="shared" si="1889"/>
        <v>Approved</v>
      </c>
      <c r="T4637" t="str">
        <f t="shared" si="1890"/>
        <v>10.20.8.188</v>
      </c>
      <c r="U4637" t="str">
        <f t="shared" si="1891"/>
        <v>AZRAD UMAR BIN SHAARI</v>
      </c>
      <c r="V4637" t="str">
        <f t="shared" si="1892"/>
        <v>FARHANA BINTI MUSTAPA</v>
      </c>
      <c r="W4637" t="str">
        <f t="shared" si="1893"/>
        <v>04-08-2020</v>
      </c>
      <c r="X4637" t="str">
        <f t="shared" si="1894"/>
        <v>RAZIMAH ANSAR AHMAD</v>
      </c>
      <c r="Y4637" t="str">
        <f t="shared" si="1895"/>
        <v>04-08-2020</v>
      </c>
      <c r="Z4637" t="str">
        <f>"COS10200804 4517"</f>
        <v>COS10200804 4517</v>
      </c>
    </row>
    <row r="4638" spans="1:26" x14ac:dyDescent="0.25">
      <c r="A4638" t="str">
        <f t="shared" si="1896"/>
        <v>04-08-2020 12:49:50</v>
      </c>
      <c r="B4638" t="str">
        <f>"0000806296"</f>
        <v>0000806296</v>
      </c>
      <c r="C4638" t="str">
        <f t="shared" si="1897"/>
        <v>0000806180</v>
      </c>
      <c r="D4638" t="str">
        <f t="shared" si="1883"/>
        <v>73185</v>
      </c>
      <c r="E4638" t="str">
        <f t="shared" si="1884"/>
        <v>KFH-OPERATIONS DEPARTMENT</v>
      </c>
      <c r="F4638" t="str">
        <f t="shared" si="1885"/>
        <v>IBG</v>
      </c>
      <c r="G4638" t="str">
        <f t="shared" si="1898"/>
        <v>Refund COSHARE 10</v>
      </c>
      <c r="H4638" s="2">
        <v>1267.1500000000001</v>
      </c>
      <c r="I4638" t="str">
        <f>"FARIDAH HANIM BINTI ABDUL HAMID"</f>
        <v>FARIDAH HANIM BINTI ABDUL HAMID</v>
      </c>
      <c r="J4638" t="str">
        <f t="shared" si="1899"/>
        <v>MAYBANK / MAYBANK ISLAMIC</v>
      </c>
      <c r="K4638" t="str">
        <f>"108010684163"</f>
        <v>108010684163</v>
      </c>
      <c r="L4638" t="str">
        <f t="shared" si="1900"/>
        <v>04-08-2020</v>
      </c>
      <c r="M4638" t="str">
        <f t="shared" si="1900"/>
        <v>04-08-2020</v>
      </c>
      <c r="N4638" t="str">
        <f t="shared" si="1886"/>
        <v>001105018356</v>
      </c>
      <c r="O4638" t="str">
        <f t="shared" si="1887"/>
        <v>MYR</v>
      </c>
      <c r="P4638" t="str">
        <f t="shared" si="1901"/>
        <v>NIL</v>
      </c>
      <c r="Q4638" t="str">
        <f t="shared" si="1901"/>
        <v>NIL</v>
      </c>
      <c r="R4638" t="str">
        <f t="shared" si="1888"/>
        <v>Accepted</v>
      </c>
      <c r="S4638" t="str">
        <f t="shared" si="1889"/>
        <v>Approved</v>
      </c>
      <c r="T4638" t="str">
        <f t="shared" si="1890"/>
        <v>10.20.8.188</v>
      </c>
      <c r="U4638" t="str">
        <f t="shared" si="1891"/>
        <v>AZRAD UMAR BIN SHAARI</v>
      </c>
      <c r="V4638" t="str">
        <f t="shared" si="1892"/>
        <v>FARHANA BINTI MUSTAPA</v>
      </c>
      <c r="W4638" t="str">
        <f t="shared" si="1893"/>
        <v>04-08-2020</v>
      </c>
      <c r="X4638" t="str">
        <f t="shared" si="1894"/>
        <v>RAZIMAH ANSAR AHMAD</v>
      </c>
      <c r="Y4638" t="str">
        <f t="shared" si="1895"/>
        <v>04-08-2020</v>
      </c>
      <c r="Z4638" t="str">
        <f>"COS10200804 4516"</f>
        <v>COS10200804 4516</v>
      </c>
    </row>
    <row r="4639" spans="1:26" x14ac:dyDescent="0.25">
      <c r="A4639" t="str">
        <f t="shared" si="1896"/>
        <v>04-08-2020 12:49:50</v>
      </c>
      <c r="B4639" t="str">
        <f>"0000806295"</f>
        <v>0000806295</v>
      </c>
      <c r="C4639" t="str">
        <f t="shared" si="1897"/>
        <v>0000806180</v>
      </c>
      <c r="D4639" t="str">
        <f t="shared" si="1883"/>
        <v>73185</v>
      </c>
      <c r="E4639" t="str">
        <f t="shared" si="1884"/>
        <v>KFH-OPERATIONS DEPARTMENT</v>
      </c>
      <c r="F4639" t="str">
        <f t="shared" si="1885"/>
        <v>IBG</v>
      </c>
      <c r="G4639" t="str">
        <f t="shared" si="1898"/>
        <v>Refund COSHARE 10</v>
      </c>
      <c r="H4639" s="2">
        <v>168</v>
      </c>
      <c r="I4639" t="str">
        <f>"FARIDAH BINTI ZAKARIA"</f>
        <v>FARIDAH BINTI ZAKARIA</v>
      </c>
      <c r="J4639" t="str">
        <f t="shared" si="1899"/>
        <v>MAYBANK / MAYBANK ISLAMIC</v>
      </c>
      <c r="K4639" t="str">
        <f>"153010107624"</f>
        <v>153010107624</v>
      </c>
      <c r="L4639" t="str">
        <f t="shared" si="1900"/>
        <v>04-08-2020</v>
      </c>
      <c r="M4639" t="str">
        <f t="shared" si="1900"/>
        <v>04-08-2020</v>
      </c>
      <c r="N4639" t="str">
        <f t="shared" si="1886"/>
        <v>001105018356</v>
      </c>
      <c r="O4639" t="str">
        <f t="shared" si="1887"/>
        <v>MYR</v>
      </c>
      <c r="P4639" t="str">
        <f t="shared" si="1901"/>
        <v>NIL</v>
      </c>
      <c r="Q4639" t="str">
        <f t="shared" si="1901"/>
        <v>NIL</v>
      </c>
      <c r="R4639" t="str">
        <f t="shared" si="1888"/>
        <v>Accepted</v>
      </c>
      <c r="S4639" t="str">
        <f t="shared" si="1889"/>
        <v>Approved</v>
      </c>
      <c r="T4639" t="str">
        <f t="shared" si="1890"/>
        <v>10.20.8.188</v>
      </c>
      <c r="U4639" t="str">
        <f t="shared" si="1891"/>
        <v>AZRAD UMAR BIN SHAARI</v>
      </c>
      <c r="V4639" t="str">
        <f t="shared" si="1892"/>
        <v>FARHANA BINTI MUSTAPA</v>
      </c>
      <c r="W4639" t="str">
        <f t="shared" si="1893"/>
        <v>04-08-2020</v>
      </c>
      <c r="X4639" t="str">
        <f t="shared" si="1894"/>
        <v>RAZIMAH ANSAR AHMAD</v>
      </c>
      <c r="Y4639" t="str">
        <f t="shared" si="1895"/>
        <v>04-08-2020</v>
      </c>
      <c r="Z4639" t="str">
        <f>"COS10200804 4515"</f>
        <v>COS10200804 4515</v>
      </c>
    </row>
    <row r="4640" spans="1:26" x14ac:dyDescent="0.25">
      <c r="A4640" t="str">
        <f t="shared" si="1896"/>
        <v>04-08-2020 12:49:50</v>
      </c>
      <c r="B4640" t="str">
        <f>"0000806294"</f>
        <v>0000806294</v>
      </c>
      <c r="C4640" t="str">
        <f t="shared" si="1897"/>
        <v>0000806180</v>
      </c>
      <c r="D4640" t="str">
        <f t="shared" si="1883"/>
        <v>73185</v>
      </c>
      <c r="E4640" t="str">
        <f t="shared" si="1884"/>
        <v>KFH-OPERATIONS DEPARTMENT</v>
      </c>
      <c r="F4640" t="str">
        <f t="shared" si="1885"/>
        <v>IBG</v>
      </c>
      <c r="G4640" t="str">
        <f t="shared" si="1898"/>
        <v>Refund COSHARE 10</v>
      </c>
      <c r="H4640" s="2">
        <v>117.55</v>
      </c>
      <c r="I4640" t="str">
        <f>"FARIDAH BINTI MAT SHAH"</f>
        <v>FARIDAH BINTI MAT SHAH</v>
      </c>
      <c r="J4640" t="str">
        <f t="shared" si="1899"/>
        <v>MAYBANK / MAYBANK ISLAMIC</v>
      </c>
      <c r="K4640" t="str">
        <f>"151016983241"</f>
        <v>151016983241</v>
      </c>
      <c r="L4640" t="str">
        <f t="shared" si="1900"/>
        <v>04-08-2020</v>
      </c>
      <c r="M4640" t="str">
        <f t="shared" si="1900"/>
        <v>04-08-2020</v>
      </c>
      <c r="N4640" t="str">
        <f t="shared" si="1886"/>
        <v>001105018356</v>
      </c>
      <c r="O4640" t="str">
        <f t="shared" si="1887"/>
        <v>MYR</v>
      </c>
      <c r="P4640" t="str">
        <f t="shared" si="1901"/>
        <v>NIL</v>
      </c>
      <c r="Q4640" t="str">
        <f t="shared" si="1901"/>
        <v>NIL</v>
      </c>
      <c r="R4640" t="str">
        <f t="shared" si="1888"/>
        <v>Accepted</v>
      </c>
      <c r="S4640" t="str">
        <f t="shared" si="1889"/>
        <v>Approved</v>
      </c>
      <c r="T4640" t="str">
        <f t="shared" si="1890"/>
        <v>10.20.8.188</v>
      </c>
      <c r="U4640" t="str">
        <f t="shared" si="1891"/>
        <v>AZRAD UMAR BIN SHAARI</v>
      </c>
      <c r="V4640" t="str">
        <f t="shared" si="1892"/>
        <v>FARHANA BINTI MUSTAPA</v>
      </c>
      <c r="W4640" t="str">
        <f t="shared" si="1893"/>
        <v>04-08-2020</v>
      </c>
      <c r="X4640" t="str">
        <f t="shared" si="1894"/>
        <v>RAZIMAH ANSAR AHMAD</v>
      </c>
      <c r="Y4640" t="str">
        <f t="shared" si="1895"/>
        <v>04-08-2020</v>
      </c>
      <c r="Z4640" t="str">
        <f>"COS10200804 4514"</f>
        <v>COS10200804 4514</v>
      </c>
    </row>
    <row r="4641" spans="1:26" x14ac:dyDescent="0.25">
      <c r="A4641" t="str">
        <f t="shared" si="1896"/>
        <v>04-08-2020 12:49:50</v>
      </c>
      <c r="B4641" t="str">
        <f>"0000806293"</f>
        <v>0000806293</v>
      </c>
      <c r="C4641" t="str">
        <f t="shared" si="1897"/>
        <v>0000806180</v>
      </c>
      <c r="D4641" t="str">
        <f t="shared" si="1883"/>
        <v>73185</v>
      </c>
      <c r="E4641" t="str">
        <f t="shared" si="1884"/>
        <v>KFH-OPERATIONS DEPARTMENT</v>
      </c>
      <c r="F4641" t="str">
        <f t="shared" si="1885"/>
        <v>IBG</v>
      </c>
      <c r="G4641" t="str">
        <f t="shared" si="1898"/>
        <v>Refund COSHARE 10</v>
      </c>
      <c r="H4641" s="2">
        <v>2076.9499999999998</v>
      </c>
      <c r="I4641" t="str">
        <f>"FARIDAH BINTI DAUD"</f>
        <v>FARIDAH BINTI DAUD</v>
      </c>
      <c r="J4641" t="str">
        <f t="shared" si="1899"/>
        <v>MAYBANK / MAYBANK ISLAMIC</v>
      </c>
      <c r="K4641" t="str">
        <f>"156132001439"</f>
        <v>156132001439</v>
      </c>
      <c r="L4641" t="str">
        <f t="shared" si="1900"/>
        <v>04-08-2020</v>
      </c>
      <c r="M4641" t="str">
        <f t="shared" si="1900"/>
        <v>04-08-2020</v>
      </c>
      <c r="N4641" t="str">
        <f t="shared" si="1886"/>
        <v>001105018356</v>
      </c>
      <c r="O4641" t="str">
        <f t="shared" si="1887"/>
        <v>MYR</v>
      </c>
      <c r="P4641" t="str">
        <f t="shared" si="1901"/>
        <v>NIL</v>
      </c>
      <c r="Q4641" t="str">
        <f t="shared" si="1901"/>
        <v>NIL</v>
      </c>
      <c r="R4641" t="str">
        <f t="shared" si="1888"/>
        <v>Accepted</v>
      </c>
      <c r="S4641" t="str">
        <f t="shared" si="1889"/>
        <v>Approved</v>
      </c>
      <c r="T4641" t="str">
        <f t="shared" si="1890"/>
        <v>10.20.8.188</v>
      </c>
      <c r="U4641" t="str">
        <f t="shared" si="1891"/>
        <v>AZRAD UMAR BIN SHAARI</v>
      </c>
      <c r="V4641" t="str">
        <f t="shared" si="1892"/>
        <v>FARHANA BINTI MUSTAPA</v>
      </c>
      <c r="W4641" t="str">
        <f t="shared" si="1893"/>
        <v>04-08-2020</v>
      </c>
      <c r="X4641" t="str">
        <f t="shared" si="1894"/>
        <v>RAZIMAH ANSAR AHMAD</v>
      </c>
      <c r="Y4641" t="str">
        <f t="shared" si="1895"/>
        <v>04-08-2020</v>
      </c>
      <c r="Z4641" t="str">
        <f>"COS10200804 4513"</f>
        <v>COS10200804 4513</v>
      </c>
    </row>
    <row r="4642" spans="1:26" x14ac:dyDescent="0.25">
      <c r="A4642" t="str">
        <f t="shared" si="1896"/>
        <v>04-08-2020 12:49:50</v>
      </c>
      <c r="B4642" t="str">
        <f>"0000806292"</f>
        <v>0000806292</v>
      </c>
      <c r="C4642" t="str">
        <f t="shared" si="1897"/>
        <v>0000806180</v>
      </c>
      <c r="D4642" t="str">
        <f t="shared" si="1883"/>
        <v>73185</v>
      </c>
      <c r="E4642" t="str">
        <f t="shared" si="1884"/>
        <v>KFH-OPERATIONS DEPARTMENT</v>
      </c>
      <c r="F4642" t="str">
        <f t="shared" si="1885"/>
        <v>IBG</v>
      </c>
      <c r="G4642" t="str">
        <f t="shared" si="1898"/>
        <v>Refund COSHARE 10</v>
      </c>
      <c r="H4642" s="2">
        <v>457.5</v>
      </c>
      <c r="I4642" t="str">
        <f>"FARIDAH BINTI ALEX APPAH  APAH"</f>
        <v>FARIDAH BINTI ALEX APPAH  APAH</v>
      </c>
      <c r="J4642" t="str">
        <f t="shared" si="1899"/>
        <v>MAYBANK / MAYBANK ISLAMIC</v>
      </c>
      <c r="K4642" t="str">
        <f>"110096106162"</f>
        <v>110096106162</v>
      </c>
      <c r="L4642" t="str">
        <f t="shared" si="1900"/>
        <v>04-08-2020</v>
      </c>
      <c r="M4642" t="str">
        <f t="shared" si="1900"/>
        <v>04-08-2020</v>
      </c>
      <c r="N4642" t="str">
        <f t="shared" si="1886"/>
        <v>001105018356</v>
      </c>
      <c r="O4642" t="str">
        <f t="shared" si="1887"/>
        <v>MYR</v>
      </c>
      <c r="P4642" t="str">
        <f t="shared" si="1901"/>
        <v>NIL</v>
      </c>
      <c r="Q4642" t="str">
        <f t="shared" si="1901"/>
        <v>NIL</v>
      </c>
      <c r="R4642" t="str">
        <f t="shared" si="1888"/>
        <v>Accepted</v>
      </c>
      <c r="S4642" t="str">
        <f t="shared" si="1889"/>
        <v>Approved</v>
      </c>
      <c r="T4642" t="str">
        <f t="shared" si="1890"/>
        <v>10.20.8.188</v>
      </c>
      <c r="U4642" t="str">
        <f t="shared" si="1891"/>
        <v>AZRAD UMAR BIN SHAARI</v>
      </c>
      <c r="V4642" t="str">
        <f t="shared" si="1892"/>
        <v>FARHANA BINTI MUSTAPA</v>
      </c>
      <c r="W4642" t="str">
        <f t="shared" si="1893"/>
        <v>04-08-2020</v>
      </c>
      <c r="X4642" t="str">
        <f t="shared" si="1894"/>
        <v>RAZIMAH ANSAR AHMAD</v>
      </c>
      <c r="Y4642" t="str">
        <f t="shared" si="1895"/>
        <v>04-08-2020</v>
      </c>
      <c r="Z4642" t="str">
        <f>"COS10200804 4512"</f>
        <v>COS10200804 4512</v>
      </c>
    </row>
    <row r="4643" spans="1:26" x14ac:dyDescent="0.25">
      <c r="A4643" t="str">
        <f t="shared" si="1896"/>
        <v>04-08-2020 12:49:50</v>
      </c>
      <c r="B4643" t="str">
        <f>"0000806291"</f>
        <v>0000806291</v>
      </c>
      <c r="C4643" t="str">
        <f t="shared" si="1897"/>
        <v>0000806180</v>
      </c>
      <c r="D4643" t="str">
        <f t="shared" si="1883"/>
        <v>73185</v>
      </c>
      <c r="E4643" t="str">
        <f t="shared" si="1884"/>
        <v>KFH-OPERATIONS DEPARTMENT</v>
      </c>
      <c r="F4643" t="str">
        <f t="shared" si="1885"/>
        <v>IBG</v>
      </c>
      <c r="G4643" t="str">
        <f t="shared" si="1898"/>
        <v>Refund COSHARE 10</v>
      </c>
      <c r="H4643" s="2">
        <v>1032.5999999999999</v>
      </c>
      <c r="I4643" t="str">
        <f>"FARIDAH BINTI ABDUL RAHMAN"</f>
        <v>FARIDAH BINTI ABDUL RAHMAN</v>
      </c>
      <c r="J4643" t="str">
        <f t="shared" si="1899"/>
        <v>MAYBANK / MAYBANK ISLAMIC</v>
      </c>
      <c r="K4643" t="str">
        <f>"153056084151"</f>
        <v>153056084151</v>
      </c>
      <c r="L4643" t="str">
        <f t="shared" si="1900"/>
        <v>04-08-2020</v>
      </c>
      <c r="M4643" t="str">
        <f t="shared" si="1900"/>
        <v>04-08-2020</v>
      </c>
      <c r="N4643" t="str">
        <f t="shared" si="1886"/>
        <v>001105018356</v>
      </c>
      <c r="O4643" t="str">
        <f t="shared" si="1887"/>
        <v>MYR</v>
      </c>
      <c r="P4643" t="str">
        <f t="shared" si="1901"/>
        <v>NIL</v>
      </c>
      <c r="Q4643" t="str">
        <f t="shared" si="1901"/>
        <v>NIL</v>
      </c>
      <c r="R4643" t="str">
        <f t="shared" si="1888"/>
        <v>Accepted</v>
      </c>
      <c r="S4643" t="str">
        <f t="shared" si="1889"/>
        <v>Approved</v>
      </c>
      <c r="T4643" t="str">
        <f t="shared" si="1890"/>
        <v>10.20.8.188</v>
      </c>
      <c r="U4643" t="str">
        <f t="shared" si="1891"/>
        <v>AZRAD UMAR BIN SHAARI</v>
      </c>
      <c r="V4643" t="str">
        <f t="shared" si="1892"/>
        <v>FARHANA BINTI MUSTAPA</v>
      </c>
      <c r="W4643" t="str">
        <f t="shared" si="1893"/>
        <v>04-08-2020</v>
      </c>
      <c r="X4643" t="str">
        <f t="shared" si="1894"/>
        <v>RAZIMAH ANSAR AHMAD</v>
      </c>
      <c r="Y4643" t="str">
        <f t="shared" si="1895"/>
        <v>04-08-2020</v>
      </c>
      <c r="Z4643" t="str">
        <f>"COS10200804 4511"</f>
        <v>COS10200804 4511</v>
      </c>
    </row>
    <row r="4644" spans="1:26" x14ac:dyDescent="0.25">
      <c r="A4644" t="str">
        <f t="shared" si="1896"/>
        <v>04-08-2020 12:49:50</v>
      </c>
      <c r="B4644" t="str">
        <f>"0000806290"</f>
        <v>0000806290</v>
      </c>
      <c r="C4644" t="str">
        <f t="shared" si="1897"/>
        <v>0000806180</v>
      </c>
      <c r="D4644" t="str">
        <f t="shared" si="1883"/>
        <v>73185</v>
      </c>
      <c r="E4644" t="str">
        <f t="shared" si="1884"/>
        <v>KFH-OPERATIONS DEPARTMENT</v>
      </c>
      <c r="F4644" t="str">
        <f t="shared" si="1885"/>
        <v>IBG</v>
      </c>
      <c r="G4644" t="str">
        <f t="shared" si="1898"/>
        <v>Refund COSHARE 10</v>
      </c>
      <c r="H4644" s="2">
        <v>486</v>
      </c>
      <c r="I4644" t="str">
        <f>"FARIDAH BINTI ABD RAZAK"</f>
        <v>FARIDAH BINTI ABD RAZAK</v>
      </c>
      <c r="J4644" t="str">
        <f t="shared" si="1899"/>
        <v>MAYBANK / MAYBANK ISLAMIC</v>
      </c>
      <c r="K4644" t="str">
        <f>"152050038978"</f>
        <v>152050038978</v>
      </c>
      <c r="L4644" t="str">
        <f t="shared" si="1900"/>
        <v>04-08-2020</v>
      </c>
      <c r="M4644" t="str">
        <f t="shared" si="1900"/>
        <v>04-08-2020</v>
      </c>
      <c r="N4644" t="str">
        <f t="shared" si="1886"/>
        <v>001105018356</v>
      </c>
      <c r="O4644" t="str">
        <f t="shared" si="1887"/>
        <v>MYR</v>
      </c>
      <c r="P4644" t="str">
        <f t="shared" si="1901"/>
        <v>NIL</v>
      </c>
      <c r="Q4644" t="str">
        <f t="shared" si="1901"/>
        <v>NIL</v>
      </c>
      <c r="R4644" t="str">
        <f t="shared" si="1888"/>
        <v>Accepted</v>
      </c>
      <c r="S4644" t="str">
        <f t="shared" si="1889"/>
        <v>Approved</v>
      </c>
      <c r="T4644" t="str">
        <f t="shared" si="1890"/>
        <v>10.20.8.188</v>
      </c>
      <c r="U4644" t="str">
        <f t="shared" si="1891"/>
        <v>AZRAD UMAR BIN SHAARI</v>
      </c>
      <c r="V4644" t="str">
        <f t="shared" si="1892"/>
        <v>FARHANA BINTI MUSTAPA</v>
      </c>
      <c r="W4644" t="str">
        <f t="shared" si="1893"/>
        <v>04-08-2020</v>
      </c>
      <c r="X4644" t="str">
        <f t="shared" si="1894"/>
        <v>RAZIMAH ANSAR AHMAD</v>
      </c>
      <c r="Y4644" t="str">
        <f t="shared" si="1895"/>
        <v>04-08-2020</v>
      </c>
      <c r="Z4644" t="str">
        <f>"COS10200804 4510"</f>
        <v>COS10200804 4510</v>
      </c>
    </row>
    <row r="4645" spans="1:26" x14ac:dyDescent="0.25">
      <c r="A4645" t="str">
        <f t="shared" si="1896"/>
        <v>04-08-2020 12:49:50</v>
      </c>
      <c r="B4645" t="str">
        <f>"0000806289"</f>
        <v>0000806289</v>
      </c>
      <c r="C4645" t="str">
        <f t="shared" si="1897"/>
        <v>0000806180</v>
      </c>
      <c r="D4645" t="str">
        <f t="shared" si="1883"/>
        <v>73185</v>
      </c>
      <c r="E4645" t="str">
        <f t="shared" si="1884"/>
        <v>KFH-OPERATIONS DEPARTMENT</v>
      </c>
      <c r="F4645" t="str">
        <f t="shared" si="1885"/>
        <v>IBG</v>
      </c>
      <c r="G4645" t="str">
        <f t="shared" si="1898"/>
        <v>Refund COSHARE 10</v>
      </c>
      <c r="H4645" s="2">
        <v>1460.75</v>
      </c>
      <c r="I4645" t="str">
        <f>"FARIDAH BINTI ABD GHANI"</f>
        <v>FARIDAH BINTI ABD GHANI</v>
      </c>
      <c r="J4645" t="str">
        <f t="shared" si="1899"/>
        <v>MAYBANK / MAYBANK ISLAMIC</v>
      </c>
      <c r="K4645" t="str">
        <f>"157072341867"</f>
        <v>157072341867</v>
      </c>
      <c r="L4645" t="str">
        <f t="shared" si="1900"/>
        <v>04-08-2020</v>
      </c>
      <c r="M4645" t="str">
        <f t="shared" si="1900"/>
        <v>04-08-2020</v>
      </c>
      <c r="N4645" t="str">
        <f t="shared" si="1886"/>
        <v>001105018356</v>
      </c>
      <c r="O4645" t="str">
        <f t="shared" si="1887"/>
        <v>MYR</v>
      </c>
      <c r="P4645" t="str">
        <f t="shared" si="1901"/>
        <v>NIL</v>
      </c>
      <c r="Q4645" t="str">
        <f t="shared" si="1901"/>
        <v>NIL</v>
      </c>
      <c r="R4645" t="str">
        <f t="shared" si="1888"/>
        <v>Accepted</v>
      </c>
      <c r="S4645" t="str">
        <f t="shared" si="1889"/>
        <v>Approved</v>
      </c>
      <c r="T4645" t="str">
        <f t="shared" si="1890"/>
        <v>10.20.8.188</v>
      </c>
      <c r="U4645" t="str">
        <f t="shared" si="1891"/>
        <v>AZRAD UMAR BIN SHAARI</v>
      </c>
      <c r="V4645" t="str">
        <f t="shared" si="1892"/>
        <v>FARHANA BINTI MUSTAPA</v>
      </c>
      <c r="W4645" t="str">
        <f t="shared" si="1893"/>
        <v>04-08-2020</v>
      </c>
      <c r="X4645" t="str">
        <f t="shared" si="1894"/>
        <v>RAZIMAH ANSAR AHMAD</v>
      </c>
      <c r="Y4645" t="str">
        <f t="shared" si="1895"/>
        <v>04-08-2020</v>
      </c>
      <c r="Z4645" t="str">
        <f>"COS10200804 4509"</f>
        <v>COS10200804 4509</v>
      </c>
    </row>
    <row r="4646" spans="1:26" x14ac:dyDescent="0.25">
      <c r="A4646" t="str">
        <f t="shared" si="1896"/>
        <v>04-08-2020 12:49:50</v>
      </c>
      <c r="B4646" t="str">
        <f>"0000806288"</f>
        <v>0000806288</v>
      </c>
      <c r="C4646" t="str">
        <f t="shared" si="1897"/>
        <v>0000806180</v>
      </c>
      <c r="D4646" t="str">
        <f t="shared" si="1883"/>
        <v>73185</v>
      </c>
      <c r="E4646" t="str">
        <f t="shared" si="1884"/>
        <v>KFH-OPERATIONS DEPARTMENT</v>
      </c>
      <c r="F4646" t="str">
        <f t="shared" si="1885"/>
        <v>IBG</v>
      </c>
      <c r="G4646" t="str">
        <f t="shared" si="1898"/>
        <v>Refund COSHARE 10</v>
      </c>
      <c r="H4646" s="2">
        <v>107</v>
      </c>
      <c r="I4646" t="str">
        <f>"FARIDA BT ABDULLAH"</f>
        <v>FARIDA BT ABDULLAH</v>
      </c>
      <c r="J4646" t="str">
        <f t="shared" si="1899"/>
        <v>MAYBANK / MAYBANK ISLAMIC</v>
      </c>
      <c r="K4646" t="str">
        <f>"107161318038"</f>
        <v>107161318038</v>
      </c>
      <c r="L4646" t="str">
        <f t="shared" si="1900"/>
        <v>04-08-2020</v>
      </c>
      <c r="M4646" t="str">
        <f t="shared" si="1900"/>
        <v>04-08-2020</v>
      </c>
      <c r="N4646" t="str">
        <f t="shared" si="1886"/>
        <v>001105018356</v>
      </c>
      <c r="O4646" t="str">
        <f t="shared" si="1887"/>
        <v>MYR</v>
      </c>
      <c r="P4646" t="str">
        <f t="shared" si="1901"/>
        <v>NIL</v>
      </c>
      <c r="Q4646" t="str">
        <f t="shared" si="1901"/>
        <v>NIL</v>
      </c>
      <c r="R4646" t="str">
        <f t="shared" si="1888"/>
        <v>Accepted</v>
      </c>
      <c r="S4646" t="str">
        <f t="shared" si="1889"/>
        <v>Approved</v>
      </c>
      <c r="T4646" t="str">
        <f t="shared" si="1890"/>
        <v>10.20.8.188</v>
      </c>
      <c r="U4646" t="str">
        <f t="shared" si="1891"/>
        <v>AZRAD UMAR BIN SHAARI</v>
      </c>
      <c r="V4646" t="str">
        <f t="shared" si="1892"/>
        <v>FARHANA BINTI MUSTAPA</v>
      </c>
      <c r="W4646" t="str">
        <f t="shared" si="1893"/>
        <v>04-08-2020</v>
      </c>
      <c r="X4646" t="str">
        <f t="shared" si="1894"/>
        <v>RAZIMAH ANSAR AHMAD</v>
      </c>
      <c r="Y4646" t="str">
        <f t="shared" si="1895"/>
        <v>04-08-2020</v>
      </c>
      <c r="Z4646" t="str">
        <f>"COS10200804 4508"</f>
        <v>COS10200804 4508</v>
      </c>
    </row>
    <row r="4647" spans="1:26" x14ac:dyDescent="0.25">
      <c r="A4647" t="str">
        <f t="shared" si="1896"/>
        <v>04-08-2020 12:49:50</v>
      </c>
      <c r="B4647" t="str">
        <f>"0000806287"</f>
        <v>0000806287</v>
      </c>
      <c r="C4647" t="str">
        <f t="shared" si="1897"/>
        <v>0000806180</v>
      </c>
      <c r="D4647" t="str">
        <f t="shared" si="1883"/>
        <v>73185</v>
      </c>
      <c r="E4647" t="str">
        <f t="shared" si="1884"/>
        <v>KFH-OPERATIONS DEPARTMENT</v>
      </c>
      <c r="F4647" t="str">
        <f t="shared" si="1885"/>
        <v>IBG</v>
      </c>
      <c r="G4647" t="str">
        <f t="shared" si="1898"/>
        <v>Refund COSHARE 10</v>
      </c>
      <c r="H4647" s="2">
        <v>294.7</v>
      </c>
      <c r="I4647" t="str">
        <f>"FARHAN BIN MAT SAMAN"</f>
        <v>FARHAN BIN MAT SAMAN</v>
      </c>
      <c r="J4647" t="str">
        <f t="shared" si="1899"/>
        <v>MAYBANK / MAYBANK ISLAMIC</v>
      </c>
      <c r="K4647" t="str">
        <f>"106025354482"</f>
        <v>106025354482</v>
      </c>
      <c r="L4647" t="str">
        <f t="shared" ref="L4647:M4666" si="1902">"04-08-2020"</f>
        <v>04-08-2020</v>
      </c>
      <c r="M4647" t="str">
        <f t="shared" si="1902"/>
        <v>04-08-2020</v>
      </c>
      <c r="N4647" t="str">
        <f t="shared" si="1886"/>
        <v>001105018356</v>
      </c>
      <c r="O4647" t="str">
        <f t="shared" si="1887"/>
        <v>MYR</v>
      </c>
      <c r="P4647" t="str">
        <f t="shared" ref="P4647:Q4666" si="1903">"NIL"</f>
        <v>NIL</v>
      </c>
      <c r="Q4647" t="str">
        <f t="shared" si="1903"/>
        <v>NIL</v>
      </c>
      <c r="R4647" t="str">
        <f t="shared" si="1888"/>
        <v>Accepted</v>
      </c>
      <c r="S4647" t="str">
        <f t="shared" si="1889"/>
        <v>Approved</v>
      </c>
      <c r="T4647" t="str">
        <f t="shared" si="1890"/>
        <v>10.20.8.188</v>
      </c>
      <c r="U4647" t="str">
        <f t="shared" si="1891"/>
        <v>AZRAD UMAR BIN SHAARI</v>
      </c>
      <c r="V4647" t="str">
        <f t="shared" si="1892"/>
        <v>FARHANA BINTI MUSTAPA</v>
      </c>
      <c r="W4647" t="str">
        <f t="shared" si="1893"/>
        <v>04-08-2020</v>
      </c>
      <c r="X4647" t="str">
        <f t="shared" si="1894"/>
        <v>RAZIMAH ANSAR AHMAD</v>
      </c>
      <c r="Y4647" t="str">
        <f t="shared" si="1895"/>
        <v>04-08-2020</v>
      </c>
      <c r="Z4647" t="str">
        <f>"COS10200804 4507"</f>
        <v>COS10200804 4507</v>
      </c>
    </row>
    <row r="4648" spans="1:26" x14ac:dyDescent="0.25">
      <c r="A4648" t="str">
        <f t="shared" si="1896"/>
        <v>04-08-2020 12:49:50</v>
      </c>
      <c r="B4648" t="str">
        <f>"0000806286"</f>
        <v>0000806286</v>
      </c>
      <c r="C4648" t="str">
        <f t="shared" si="1897"/>
        <v>0000806180</v>
      </c>
      <c r="D4648" t="str">
        <f t="shared" si="1883"/>
        <v>73185</v>
      </c>
      <c r="E4648" t="str">
        <f t="shared" si="1884"/>
        <v>KFH-OPERATIONS DEPARTMENT</v>
      </c>
      <c r="F4648" t="str">
        <f t="shared" si="1885"/>
        <v>IBG</v>
      </c>
      <c r="G4648" t="str">
        <f t="shared" si="1898"/>
        <v>Refund COSHARE 10</v>
      </c>
      <c r="H4648" s="2">
        <v>486</v>
      </c>
      <c r="I4648" t="str">
        <f>"FARHAINI BINTI SUDIN"</f>
        <v>FARHAINI BINTI SUDIN</v>
      </c>
      <c r="J4648" t="str">
        <f t="shared" si="1899"/>
        <v>MAYBANK / MAYBANK ISLAMIC</v>
      </c>
      <c r="K4648" t="str">
        <f>"152068003127"</f>
        <v>152068003127</v>
      </c>
      <c r="L4648" t="str">
        <f t="shared" si="1902"/>
        <v>04-08-2020</v>
      </c>
      <c r="M4648" t="str">
        <f t="shared" si="1902"/>
        <v>04-08-2020</v>
      </c>
      <c r="N4648" t="str">
        <f t="shared" si="1886"/>
        <v>001105018356</v>
      </c>
      <c r="O4648" t="str">
        <f t="shared" si="1887"/>
        <v>MYR</v>
      </c>
      <c r="P4648" t="str">
        <f t="shared" si="1903"/>
        <v>NIL</v>
      </c>
      <c r="Q4648" t="str">
        <f t="shared" si="1903"/>
        <v>NIL</v>
      </c>
      <c r="R4648" t="str">
        <f t="shared" si="1888"/>
        <v>Accepted</v>
      </c>
      <c r="S4648" t="str">
        <f t="shared" si="1889"/>
        <v>Approved</v>
      </c>
      <c r="T4648" t="str">
        <f t="shared" si="1890"/>
        <v>10.20.8.188</v>
      </c>
      <c r="U4648" t="str">
        <f t="shared" si="1891"/>
        <v>AZRAD UMAR BIN SHAARI</v>
      </c>
      <c r="V4648" t="str">
        <f t="shared" si="1892"/>
        <v>FARHANA BINTI MUSTAPA</v>
      </c>
      <c r="W4648" t="str">
        <f t="shared" si="1893"/>
        <v>04-08-2020</v>
      </c>
      <c r="X4648" t="str">
        <f t="shared" si="1894"/>
        <v>RAZIMAH ANSAR AHMAD</v>
      </c>
      <c r="Y4648" t="str">
        <f t="shared" si="1895"/>
        <v>04-08-2020</v>
      </c>
      <c r="Z4648" t="str">
        <f>"COS10200804 4506"</f>
        <v>COS10200804 4506</v>
      </c>
    </row>
    <row r="4649" spans="1:26" x14ac:dyDescent="0.25">
      <c r="A4649" t="str">
        <f t="shared" si="1896"/>
        <v>04-08-2020 12:49:50</v>
      </c>
      <c r="B4649" t="str">
        <f>"0000806285"</f>
        <v>0000806285</v>
      </c>
      <c r="C4649" t="str">
        <f t="shared" si="1897"/>
        <v>0000806180</v>
      </c>
      <c r="D4649" t="str">
        <f t="shared" si="1883"/>
        <v>73185</v>
      </c>
      <c r="E4649" t="str">
        <f t="shared" si="1884"/>
        <v>KFH-OPERATIONS DEPARTMENT</v>
      </c>
      <c r="F4649" t="str">
        <f t="shared" si="1885"/>
        <v>IBG</v>
      </c>
      <c r="G4649" t="str">
        <f t="shared" si="1898"/>
        <v>Refund COSHARE 10</v>
      </c>
      <c r="H4649" s="2">
        <v>623</v>
      </c>
      <c r="I4649" t="str">
        <f>"FARHA LIZA BINTI MD PUHAT"</f>
        <v>FARHA LIZA BINTI MD PUHAT</v>
      </c>
      <c r="J4649" t="str">
        <f t="shared" si="1899"/>
        <v>MAYBANK / MAYBANK ISLAMIC</v>
      </c>
      <c r="K4649" t="str">
        <f>"114013119498"</f>
        <v>114013119498</v>
      </c>
      <c r="L4649" t="str">
        <f t="shared" si="1902"/>
        <v>04-08-2020</v>
      </c>
      <c r="M4649" t="str">
        <f t="shared" si="1902"/>
        <v>04-08-2020</v>
      </c>
      <c r="N4649" t="str">
        <f t="shared" si="1886"/>
        <v>001105018356</v>
      </c>
      <c r="O4649" t="str">
        <f t="shared" si="1887"/>
        <v>MYR</v>
      </c>
      <c r="P4649" t="str">
        <f t="shared" si="1903"/>
        <v>NIL</v>
      </c>
      <c r="Q4649" t="str">
        <f t="shared" si="1903"/>
        <v>NIL</v>
      </c>
      <c r="R4649" t="str">
        <f t="shared" si="1888"/>
        <v>Accepted</v>
      </c>
      <c r="S4649" t="str">
        <f t="shared" si="1889"/>
        <v>Approved</v>
      </c>
      <c r="T4649" t="str">
        <f t="shared" si="1890"/>
        <v>10.20.8.188</v>
      </c>
      <c r="U4649" t="str">
        <f t="shared" si="1891"/>
        <v>AZRAD UMAR BIN SHAARI</v>
      </c>
      <c r="V4649" t="str">
        <f t="shared" si="1892"/>
        <v>FARHANA BINTI MUSTAPA</v>
      </c>
      <c r="W4649" t="str">
        <f t="shared" si="1893"/>
        <v>04-08-2020</v>
      </c>
      <c r="X4649" t="str">
        <f t="shared" si="1894"/>
        <v>RAZIMAH ANSAR AHMAD</v>
      </c>
      <c r="Y4649" t="str">
        <f t="shared" si="1895"/>
        <v>04-08-2020</v>
      </c>
      <c r="Z4649" t="str">
        <f>"COS10200804 4505"</f>
        <v>COS10200804 4505</v>
      </c>
    </row>
    <row r="4650" spans="1:26" x14ac:dyDescent="0.25">
      <c r="A4650" t="str">
        <f t="shared" ref="A4650:A4681" si="1904">"04-08-2020 12:49:50"</f>
        <v>04-08-2020 12:49:50</v>
      </c>
      <c r="B4650" t="str">
        <f>"0000806284"</f>
        <v>0000806284</v>
      </c>
      <c r="C4650" t="str">
        <f t="shared" ref="C4650:C4681" si="1905">"0000806180"</f>
        <v>0000806180</v>
      </c>
      <c r="D4650" t="str">
        <f t="shared" si="1883"/>
        <v>73185</v>
      </c>
      <c r="E4650" t="str">
        <f t="shared" si="1884"/>
        <v>KFH-OPERATIONS DEPARTMENT</v>
      </c>
      <c r="F4650" t="str">
        <f t="shared" si="1885"/>
        <v>IBG</v>
      </c>
      <c r="G4650" t="str">
        <f t="shared" si="1898"/>
        <v>Refund COSHARE 10</v>
      </c>
      <c r="H4650" s="2">
        <v>252</v>
      </c>
      <c r="I4650" t="str">
        <f>"FARALILAH BINTI RAMLIE"</f>
        <v>FARALILAH BINTI RAMLIE</v>
      </c>
      <c r="J4650" t="str">
        <f t="shared" si="1899"/>
        <v>MAYBANK / MAYBANK ISLAMIC</v>
      </c>
      <c r="K4650" t="str">
        <f>"160072359680"</f>
        <v>160072359680</v>
      </c>
      <c r="L4650" t="str">
        <f t="shared" si="1902"/>
        <v>04-08-2020</v>
      </c>
      <c r="M4650" t="str">
        <f t="shared" si="1902"/>
        <v>04-08-2020</v>
      </c>
      <c r="N4650" t="str">
        <f t="shared" si="1886"/>
        <v>001105018356</v>
      </c>
      <c r="O4650" t="str">
        <f t="shared" si="1887"/>
        <v>MYR</v>
      </c>
      <c r="P4650" t="str">
        <f t="shared" si="1903"/>
        <v>NIL</v>
      </c>
      <c r="Q4650" t="str">
        <f t="shared" si="1903"/>
        <v>NIL</v>
      </c>
      <c r="R4650" t="str">
        <f t="shared" si="1888"/>
        <v>Accepted</v>
      </c>
      <c r="S4650" t="str">
        <f t="shared" si="1889"/>
        <v>Approved</v>
      </c>
      <c r="T4650" t="str">
        <f t="shared" si="1890"/>
        <v>10.20.8.188</v>
      </c>
      <c r="U4650" t="str">
        <f t="shared" si="1891"/>
        <v>AZRAD UMAR BIN SHAARI</v>
      </c>
      <c r="V4650" t="str">
        <f t="shared" si="1892"/>
        <v>FARHANA BINTI MUSTAPA</v>
      </c>
      <c r="W4650" t="str">
        <f t="shared" si="1893"/>
        <v>04-08-2020</v>
      </c>
      <c r="X4650" t="str">
        <f t="shared" si="1894"/>
        <v>RAZIMAH ANSAR AHMAD</v>
      </c>
      <c r="Y4650" t="str">
        <f t="shared" si="1895"/>
        <v>04-08-2020</v>
      </c>
      <c r="Z4650" t="str">
        <f>"COS10200804 4504"</f>
        <v>COS10200804 4504</v>
      </c>
    </row>
    <row r="4651" spans="1:26" x14ac:dyDescent="0.25">
      <c r="A4651" t="str">
        <f t="shared" si="1904"/>
        <v>04-08-2020 12:49:50</v>
      </c>
      <c r="B4651" t="str">
        <f>"0000806283"</f>
        <v>0000806283</v>
      </c>
      <c r="C4651" t="str">
        <f t="shared" si="1905"/>
        <v>0000806180</v>
      </c>
      <c r="D4651" t="str">
        <f t="shared" si="1883"/>
        <v>73185</v>
      </c>
      <c r="E4651" t="str">
        <f t="shared" si="1884"/>
        <v>KFH-OPERATIONS DEPARTMENT</v>
      </c>
      <c r="F4651" t="str">
        <f t="shared" si="1885"/>
        <v>IBG</v>
      </c>
      <c r="G4651" t="str">
        <f t="shared" si="1898"/>
        <v>Refund COSHARE 10</v>
      </c>
      <c r="H4651" s="2">
        <v>342</v>
      </c>
      <c r="I4651" t="str">
        <f>"FARALILAH BINTI RAMLIE"</f>
        <v>FARALILAH BINTI RAMLIE</v>
      </c>
      <c r="J4651" t="str">
        <f t="shared" si="1899"/>
        <v>MAYBANK / MAYBANK ISLAMIC</v>
      </c>
      <c r="K4651" t="str">
        <f>"160072359680"</f>
        <v>160072359680</v>
      </c>
      <c r="L4651" t="str">
        <f t="shared" si="1902"/>
        <v>04-08-2020</v>
      </c>
      <c r="M4651" t="str">
        <f t="shared" si="1902"/>
        <v>04-08-2020</v>
      </c>
      <c r="N4651" t="str">
        <f t="shared" si="1886"/>
        <v>001105018356</v>
      </c>
      <c r="O4651" t="str">
        <f t="shared" si="1887"/>
        <v>MYR</v>
      </c>
      <c r="P4651" t="str">
        <f t="shared" si="1903"/>
        <v>NIL</v>
      </c>
      <c r="Q4651" t="str">
        <f t="shared" si="1903"/>
        <v>NIL</v>
      </c>
      <c r="R4651" t="str">
        <f t="shared" si="1888"/>
        <v>Accepted</v>
      </c>
      <c r="S4651" t="str">
        <f t="shared" si="1889"/>
        <v>Approved</v>
      </c>
      <c r="T4651" t="str">
        <f t="shared" si="1890"/>
        <v>10.20.8.188</v>
      </c>
      <c r="U4651" t="str">
        <f t="shared" si="1891"/>
        <v>AZRAD UMAR BIN SHAARI</v>
      </c>
      <c r="V4651" t="str">
        <f t="shared" si="1892"/>
        <v>FARHANA BINTI MUSTAPA</v>
      </c>
      <c r="W4651" t="str">
        <f t="shared" si="1893"/>
        <v>04-08-2020</v>
      </c>
      <c r="X4651" t="str">
        <f t="shared" si="1894"/>
        <v>RAZIMAH ANSAR AHMAD</v>
      </c>
      <c r="Y4651" t="str">
        <f t="shared" si="1895"/>
        <v>04-08-2020</v>
      </c>
      <c r="Z4651" t="str">
        <f>"COS10200804 4503"</f>
        <v>COS10200804 4503</v>
      </c>
    </row>
    <row r="4652" spans="1:26" x14ac:dyDescent="0.25">
      <c r="A4652" t="str">
        <f t="shared" si="1904"/>
        <v>04-08-2020 12:49:50</v>
      </c>
      <c r="B4652" t="str">
        <f>"0000806282"</f>
        <v>0000806282</v>
      </c>
      <c r="C4652" t="str">
        <f t="shared" si="1905"/>
        <v>0000806180</v>
      </c>
      <c r="D4652" t="str">
        <f t="shared" si="1883"/>
        <v>73185</v>
      </c>
      <c r="E4652" t="str">
        <f t="shared" si="1884"/>
        <v>KFH-OPERATIONS DEPARTMENT</v>
      </c>
      <c r="F4652" t="str">
        <f t="shared" si="1885"/>
        <v>IBG</v>
      </c>
      <c r="G4652" t="str">
        <f t="shared" si="1898"/>
        <v>Refund COSHARE 10</v>
      </c>
      <c r="H4652" s="2">
        <v>587.65</v>
      </c>
      <c r="I4652" t="str">
        <f>"FARALILAH BINTI RAMLIE"</f>
        <v>FARALILAH BINTI RAMLIE</v>
      </c>
      <c r="J4652" t="str">
        <f t="shared" si="1899"/>
        <v>MAYBANK / MAYBANK ISLAMIC</v>
      </c>
      <c r="K4652" t="str">
        <f>"160072359680"</f>
        <v>160072359680</v>
      </c>
      <c r="L4652" t="str">
        <f t="shared" si="1902"/>
        <v>04-08-2020</v>
      </c>
      <c r="M4652" t="str">
        <f t="shared" si="1902"/>
        <v>04-08-2020</v>
      </c>
      <c r="N4652" t="str">
        <f t="shared" si="1886"/>
        <v>001105018356</v>
      </c>
      <c r="O4652" t="str">
        <f t="shared" si="1887"/>
        <v>MYR</v>
      </c>
      <c r="P4652" t="str">
        <f t="shared" si="1903"/>
        <v>NIL</v>
      </c>
      <c r="Q4652" t="str">
        <f t="shared" si="1903"/>
        <v>NIL</v>
      </c>
      <c r="R4652" t="str">
        <f t="shared" si="1888"/>
        <v>Accepted</v>
      </c>
      <c r="S4652" t="str">
        <f t="shared" si="1889"/>
        <v>Approved</v>
      </c>
      <c r="T4652" t="str">
        <f t="shared" si="1890"/>
        <v>10.20.8.188</v>
      </c>
      <c r="U4652" t="str">
        <f t="shared" si="1891"/>
        <v>AZRAD UMAR BIN SHAARI</v>
      </c>
      <c r="V4652" t="str">
        <f t="shared" si="1892"/>
        <v>FARHANA BINTI MUSTAPA</v>
      </c>
      <c r="W4652" t="str">
        <f t="shared" si="1893"/>
        <v>04-08-2020</v>
      </c>
      <c r="X4652" t="str">
        <f t="shared" si="1894"/>
        <v>RAZIMAH ANSAR AHMAD</v>
      </c>
      <c r="Y4652" t="str">
        <f t="shared" si="1895"/>
        <v>04-08-2020</v>
      </c>
      <c r="Z4652" t="str">
        <f>"COS10200804 4502"</f>
        <v>COS10200804 4502</v>
      </c>
    </row>
    <row r="4653" spans="1:26" x14ac:dyDescent="0.25">
      <c r="A4653" t="str">
        <f t="shared" si="1904"/>
        <v>04-08-2020 12:49:50</v>
      </c>
      <c r="B4653" t="str">
        <f>"0000806281"</f>
        <v>0000806281</v>
      </c>
      <c r="C4653" t="str">
        <f t="shared" si="1905"/>
        <v>0000806180</v>
      </c>
      <c r="D4653" t="str">
        <f t="shared" si="1883"/>
        <v>73185</v>
      </c>
      <c r="E4653" t="str">
        <f t="shared" si="1884"/>
        <v>KFH-OPERATIONS DEPARTMENT</v>
      </c>
      <c r="F4653" t="str">
        <f t="shared" si="1885"/>
        <v>IBG</v>
      </c>
      <c r="G4653" t="str">
        <f t="shared" si="1898"/>
        <v>Refund COSHARE 10</v>
      </c>
      <c r="H4653" s="2">
        <v>906.65</v>
      </c>
      <c r="I4653" t="str">
        <f>"FARAHIYAH BINTI MD YUSOFF"</f>
        <v>FARAHIYAH BINTI MD YUSOFF</v>
      </c>
      <c r="J4653" t="str">
        <f t="shared" si="1899"/>
        <v>MAYBANK / MAYBANK ISLAMIC</v>
      </c>
      <c r="K4653" t="str">
        <f>"114178902897"</f>
        <v>114178902897</v>
      </c>
      <c r="L4653" t="str">
        <f t="shared" si="1902"/>
        <v>04-08-2020</v>
      </c>
      <c r="M4653" t="str">
        <f t="shared" si="1902"/>
        <v>04-08-2020</v>
      </c>
      <c r="N4653" t="str">
        <f t="shared" si="1886"/>
        <v>001105018356</v>
      </c>
      <c r="O4653" t="str">
        <f t="shared" si="1887"/>
        <v>MYR</v>
      </c>
      <c r="P4653" t="str">
        <f t="shared" si="1903"/>
        <v>NIL</v>
      </c>
      <c r="Q4653" t="str">
        <f t="shared" si="1903"/>
        <v>NIL</v>
      </c>
      <c r="R4653" t="str">
        <f t="shared" si="1888"/>
        <v>Accepted</v>
      </c>
      <c r="S4653" t="str">
        <f t="shared" si="1889"/>
        <v>Approved</v>
      </c>
      <c r="T4653" t="str">
        <f t="shared" si="1890"/>
        <v>10.20.8.188</v>
      </c>
      <c r="U4653" t="str">
        <f t="shared" si="1891"/>
        <v>AZRAD UMAR BIN SHAARI</v>
      </c>
      <c r="V4653" t="str">
        <f t="shared" si="1892"/>
        <v>FARHANA BINTI MUSTAPA</v>
      </c>
      <c r="W4653" t="str">
        <f t="shared" si="1893"/>
        <v>04-08-2020</v>
      </c>
      <c r="X4653" t="str">
        <f t="shared" si="1894"/>
        <v>RAZIMAH ANSAR AHMAD</v>
      </c>
      <c r="Y4653" t="str">
        <f t="shared" si="1895"/>
        <v>04-08-2020</v>
      </c>
      <c r="Z4653" t="str">
        <f>"COS10200804 4501"</f>
        <v>COS10200804 4501</v>
      </c>
    </row>
    <row r="4654" spans="1:26" x14ac:dyDescent="0.25">
      <c r="A4654" t="str">
        <f t="shared" si="1904"/>
        <v>04-08-2020 12:49:50</v>
      </c>
      <c r="B4654" t="str">
        <f>"0000806280"</f>
        <v>0000806280</v>
      </c>
      <c r="C4654" t="str">
        <f t="shared" si="1905"/>
        <v>0000806180</v>
      </c>
      <c r="D4654" t="str">
        <f t="shared" si="1883"/>
        <v>73185</v>
      </c>
      <c r="E4654" t="str">
        <f t="shared" si="1884"/>
        <v>KFH-OPERATIONS DEPARTMENT</v>
      </c>
      <c r="F4654" t="str">
        <f t="shared" si="1885"/>
        <v>IBG</v>
      </c>
      <c r="G4654" t="str">
        <f t="shared" si="1898"/>
        <v>Refund COSHARE 10</v>
      </c>
      <c r="H4654" s="2">
        <v>142.75</v>
      </c>
      <c r="I4654" t="str">
        <f>"FARAH WAHIDA BINTI MOHD RASHID"</f>
        <v>FARAH WAHIDA BINTI MOHD RASHID</v>
      </c>
      <c r="J4654" t="str">
        <f t="shared" si="1899"/>
        <v>MAYBANK / MAYBANK ISLAMIC</v>
      </c>
      <c r="K4654" t="str">
        <f>"152152009780"</f>
        <v>152152009780</v>
      </c>
      <c r="L4654" t="str">
        <f t="shared" si="1902"/>
        <v>04-08-2020</v>
      </c>
      <c r="M4654" t="str">
        <f t="shared" si="1902"/>
        <v>04-08-2020</v>
      </c>
      <c r="N4654" t="str">
        <f t="shared" si="1886"/>
        <v>001105018356</v>
      </c>
      <c r="O4654" t="str">
        <f t="shared" si="1887"/>
        <v>MYR</v>
      </c>
      <c r="P4654" t="str">
        <f t="shared" si="1903"/>
        <v>NIL</v>
      </c>
      <c r="Q4654" t="str">
        <f t="shared" si="1903"/>
        <v>NIL</v>
      </c>
      <c r="R4654" t="str">
        <f t="shared" si="1888"/>
        <v>Accepted</v>
      </c>
      <c r="S4654" t="str">
        <f t="shared" si="1889"/>
        <v>Approved</v>
      </c>
      <c r="T4654" t="str">
        <f t="shared" si="1890"/>
        <v>10.20.8.188</v>
      </c>
      <c r="U4654" t="str">
        <f t="shared" si="1891"/>
        <v>AZRAD UMAR BIN SHAARI</v>
      </c>
      <c r="V4654" t="str">
        <f t="shared" si="1892"/>
        <v>FARHANA BINTI MUSTAPA</v>
      </c>
      <c r="W4654" t="str">
        <f t="shared" si="1893"/>
        <v>04-08-2020</v>
      </c>
      <c r="X4654" t="str">
        <f t="shared" si="1894"/>
        <v>RAZIMAH ANSAR AHMAD</v>
      </c>
      <c r="Y4654" t="str">
        <f t="shared" si="1895"/>
        <v>04-08-2020</v>
      </c>
      <c r="Z4654" t="str">
        <f>"COS10200804 4500"</f>
        <v>COS10200804 4500</v>
      </c>
    </row>
    <row r="4655" spans="1:26" x14ac:dyDescent="0.25">
      <c r="A4655" t="str">
        <f t="shared" si="1904"/>
        <v>04-08-2020 12:49:50</v>
      </c>
      <c r="B4655" t="str">
        <f>"0000806279"</f>
        <v>0000806279</v>
      </c>
      <c r="C4655" t="str">
        <f t="shared" si="1905"/>
        <v>0000806180</v>
      </c>
      <c r="D4655" t="str">
        <f t="shared" si="1883"/>
        <v>73185</v>
      </c>
      <c r="E4655" t="str">
        <f t="shared" si="1884"/>
        <v>KFH-OPERATIONS DEPARTMENT</v>
      </c>
      <c r="F4655" t="str">
        <f t="shared" si="1885"/>
        <v>IBG</v>
      </c>
      <c r="G4655" t="str">
        <f t="shared" si="1898"/>
        <v>Refund COSHARE 10</v>
      </c>
      <c r="H4655" s="2">
        <v>957</v>
      </c>
      <c r="I4655" t="str">
        <f>"FARAH SYAFINA BINTI BAHARI"</f>
        <v>FARAH SYAFINA BINTI BAHARI</v>
      </c>
      <c r="J4655" t="str">
        <f t="shared" si="1899"/>
        <v>MAYBANK / MAYBANK ISLAMIC</v>
      </c>
      <c r="K4655" t="str">
        <f>"114106020980"</f>
        <v>114106020980</v>
      </c>
      <c r="L4655" t="str">
        <f t="shared" si="1902"/>
        <v>04-08-2020</v>
      </c>
      <c r="M4655" t="str">
        <f t="shared" si="1902"/>
        <v>04-08-2020</v>
      </c>
      <c r="N4655" t="str">
        <f t="shared" si="1886"/>
        <v>001105018356</v>
      </c>
      <c r="O4655" t="str">
        <f t="shared" si="1887"/>
        <v>MYR</v>
      </c>
      <c r="P4655" t="str">
        <f t="shared" si="1903"/>
        <v>NIL</v>
      </c>
      <c r="Q4655" t="str">
        <f t="shared" si="1903"/>
        <v>NIL</v>
      </c>
      <c r="R4655" t="str">
        <f t="shared" si="1888"/>
        <v>Accepted</v>
      </c>
      <c r="S4655" t="str">
        <f t="shared" si="1889"/>
        <v>Approved</v>
      </c>
      <c r="T4655" t="str">
        <f t="shared" si="1890"/>
        <v>10.20.8.188</v>
      </c>
      <c r="U4655" t="str">
        <f t="shared" si="1891"/>
        <v>AZRAD UMAR BIN SHAARI</v>
      </c>
      <c r="V4655" t="str">
        <f t="shared" si="1892"/>
        <v>FARHANA BINTI MUSTAPA</v>
      </c>
      <c r="W4655" t="str">
        <f t="shared" si="1893"/>
        <v>04-08-2020</v>
      </c>
      <c r="X4655" t="str">
        <f t="shared" si="1894"/>
        <v>RAZIMAH ANSAR AHMAD</v>
      </c>
      <c r="Y4655" t="str">
        <f t="shared" si="1895"/>
        <v>04-08-2020</v>
      </c>
      <c r="Z4655" t="str">
        <f>"COS10200804 4499"</f>
        <v>COS10200804 4499</v>
      </c>
    </row>
    <row r="4656" spans="1:26" x14ac:dyDescent="0.25">
      <c r="A4656" t="str">
        <f t="shared" si="1904"/>
        <v>04-08-2020 12:49:50</v>
      </c>
      <c r="B4656" t="str">
        <f>"0000806278"</f>
        <v>0000806278</v>
      </c>
      <c r="C4656" t="str">
        <f t="shared" si="1905"/>
        <v>0000806180</v>
      </c>
      <c r="D4656" t="str">
        <f t="shared" si="1883"/>
        <v>73185</v>
      </c>
      <c r="E4656" t="str">
        <f t="shared" si="1884"/>
        <v>KFH-OPERATIONS DEPARTMENT</v>
      </c>
      <c r="F4656" t="str">
        <f t="shared" si="1885"/>
        <v>IBG</v>
      </c>
      <c r="G4656" t="str">
        <f t="shared" si="1898"/>
        <v>Refund COSHARE 10</v>
      </c>
      <c r="H4656" s="2">
        <v>109.15</v>
      </c>
      <c r="I4656" t="str">
        <f>"FARAH HAZLIN BINTI DZULCEFLY"</f>
        <v>FARAH HAZLIN BINTI DZULCEFLY</v>
      </c>
      <c r="J4656" t="str">
        <f t="shared" si="1899"/>
        <v>MAYBANK / MAYBANK ISLAMIC</v>
      </c>
      <c r="K4656" t="str">
        <f>"164726035014"</f>
        <v>164726035014</v>
      </c>
      <c r="L4656" t="str">
        <f t="shared" si="1902"/>
        <v>04-08-2020</v>
      </c>
      <c r="M4656" t="str">
        <f t="shared" si="1902"/>
        <v>04-08-2020</v>
      </c>
      <c r="N4656" t="str">
        <f t="shared" si="1886"/>
        <v>001105018356</v>
      </c>
      <c r="O4656" t="str">
        <f t="shared" si="1887"/>
        <v>MYR</v>
      </c>
      <c r="P4656" t="str">
        <f t="shared" si="1903"/>
        <v>NIL</v>
      </c>
      <c r="Q4656" t="str">
        <f t="shared" si="1903"/>
        <v>NIL</v>
      </c>
      <c r="R4656" t="str">
        <f t="shared" si="1888"/>
        <v>Accepted</v>
      </c>
      <c r="S4656" t="str">
        <f t="shared" si="1889"/>
        <v>Approved</v>
      </c>
      <c r="T4656" t="str">
        <f t="shared" si="1890"/>
        <v>10.20.8.188</v>
      </c>
      <c r="U4656" t="str">
        <f t="shared" si="1891"/>
        <v>AZRAD UMAR BIN SHAARI</v>
      </c>
      <c r="V4656" t="str">
        <f t="shared" si="1892"/>
        <v>FARHANA BINTI MUSTAPA</v>
      </c>
      <c r="W4656" t="str">
        <f t="shared" si="1893"/>
        <v>04-08-2020</v>
      </c>
      <c r="X4656" t="str">
        <f t="shared" si="1894"/>
        <v>RAZIMAH ANSAR AHMAD</v>
      </c>
      <c r="Y4656" t="str">
        <f t="shared" si="1895"/>
        <v>04-08-2020</v>
      </c>
      <c r="Z4656" t="str">
        <f>"COS10200804 4498"</f>
        <v>COS10200804 4498</v>
      </c>
    </row>
    <row r="4657" spans="1:26" x14ac:dyDescent="0.25">
      <c r="A4657" t="str">
        <f t="shared" si="1904"/>
        <v>04-08-2020 12:49:50</v>
      </c>
      <c r="B4657" t="str">
        <f>"0000806277"</f>
        <v>0000806277</v>
      </c>
      <c r="C4657" t="str">
        <f t="shared" si="1905"/>
        <v>0000806180</v>
      </c>
      <c r="D4657" t="str">
        <f t="shared" si="1883"/>
        <v>73185</v>
      </c>
      <c r="E4657" t="str">
        <f t="shared" si="1884"/>
        <v>KFH-OPERATIONS DEPARTMENT</v>
      </c>
      <c r="F4657" t="str">
        <f t="shared" si="1885"/>
        <v>IBG</v>
      </c>
      <c r="G4657" t="str">
        <f t="shared" si="1898"/>
        <v>Refund COSHARE 10</v>
      </c>
      <c r="H4657" s="2">
        <v>759</v>
      </c>
      <c r="I4657" t="str">
        <f>"FARAH HAYANA BINTI IDRIS"</f>
        <v>FARAH HAYANA BINTI IDRIS</v>
      </c>
      <c r="J4657" t="str">
        <f t="shared" si="1899"/>
        <v>MAYBANK / MAYBANK ISLAMIC</v>
      </c>
      <c r="K4657" t="str">
        <f>"158079652318"</f>
        <v>158079652318</v>
      </c>
      <c r="L4657" t="str">
        <f t="shared" si="1902"/>
        <v>04-08-2020</v>
      </c>
      <c r="M4657" t="str">
        <f t="shared" si="1902"/>
        <v>04-08-2020</v>
      </c>
      <c r="N4657" t="str">
        <f t="shared" si="1886"/>
        <v>001105018356</v>
      </c>
      <c r="O4657" t="str">
        <f t="shared" si="1887"/>
        <v>MYR</v>
      </c>
      <c r="P4657" t="str">
        <f t="shared" si="1903"/>
        <v>NIL</v>
      </c>
      <c r="Q4657" t="str">
        <f t="shared" si="1903"/>
        <v>NIL</v>
      </c>
      <c r="R4657" t="str">
        <f t="shared" si="1888"/>
        <v>Accepted</v>
      </c>
      <c r="S4657" t="str">
        <f t="shared" si="1889"/>
        <v>Approved</v>
      </c>
      <c r="T4657" t="str">
        <f t="shared" si="1890"/>
        <v>10.20.8.188</v>
      </c>
      <c r="U4657" t="str">
        <f t="shared" si="1891"/>
        <v>AZRAD UMAR BIN SHAARI</v>
      </c>
      <c r="V4657" t="str">
        <f t="shared" si="1892"/>
        <v>FARHANA BINTI MUSTAPA</v>
      </c>
      <c r="W4657" t="str">
        <f t="shared" si="1893"/>
        <v>04-08-2020</v>
      </c>
      <c r="X4657" t="str">
        <f t="shared" si="1894"/>
        <v>RAZIMAH ANSAR AHMAD</v>
      </c>
      <c r="Y4657" t="str">
        <f t="shared" si="1895"/>
        <v>04-08-2020</v>
      </c>
      <c r="Z4657" t="str">
        <f>"COS10200804 4497"</f>
        <v>COS10200804 4497</v>
      </c>
    </row>
    <row r="4658" spans="1:26" x14ac:dyDescent="0.25">
      <c r="A4658" t="str">
        <f t="shared" si="1904"/>
        <v>04-08-2020 12:49:50</v>
      </c>
      <c r="B4658" t="str">
        <f>"0000806276"</f>
        <v>0000806276</v>
      </c>
      <c r="C4658" t="str">
        <f t="shared" si="1905"/>
        <v>0000806180</v>
      </c>
      <c r="D4658" t="str">
        <f t="shared" si="1883"/>
        <v>73185</v>
      </c>
      <c r="E4658" t="str">
        <f t="shared" si="1884"/>
        <v>KFH-OPERATIONS DEPARTMENT</v>
      </c>
      <c r="F4658" t="str">
        <f t="shared" si="1885"/>
        <v>IBG</v>
      </c>
      <c r="G4658" t="str">
        <f t="shared" si="1898"/>
        <v>Refund COSHARE 10</v>
      </c>
      <c r="H4658" s="2">
        <v>763.95</v>
      </c>
      <c r="I4658" t="str">
        <f>"FARAH BINTI HAIRUDIN"</f>
        <v>FARAH BINTI HAIRUDIN</v>
      </c>
      <c r="J4658" t="str">
        <f t="shared" si="1899"/>
        <v>MAYBANK / MAYBANK ISLAMIC</v>
      </c>
      <c r="K4658" t="str">
        <f>"151017058724"</f>
        <v>151017058724</v>
      </c>
      <c r="L4658" t="str">
        <f t="shared" si="1902"/>
        <v>04-08-2020</v>
      </c>
      <c r="M4658" t="str">
        <f t="shared" si="1902"/>
        <v>04-08-2020</v>
      </c>
      <c r="N4658" t="str">
        <f t="shared" si="1886"/>
        <v>001105018356</v>
      </c>
      <c r="O4658" t="str">
        <f t="shared" si="1887"/>
        <v>MYR</v>
      </c>
      <c r="P4658" t="str">
        <f t="shared" si="1903"/>
        <v>NIL</v>
      </c>
      <c r="Q4658" t="str">
        <f t="shared" si="1903"/>
        <v>NIL</v>
      </c>
      <c r="R4658" t="str">
        <f t="shared" si="1888"/>
        <v>Accepted</v>
      </c>
      <c r="S4658" t="str">
        <f t="shared" si="1889"/>
        <v>Approved</v>
      </c>
      <c r="T4658" t="str">
        <f t="shared" si="1890"/>
        <v>10.20.8.188</v>
      </c>
      <c r="U4658" t="str">
        <f t="shared" si="1891"/>
        <v>AZRAD UMAR BIN SHAARI</v>
      </c>
      <c r="V4658" t="str">
        <f t="shared" si="1892"/>
        <v>FARHANA BINTI MUSTAPA</v>
      </c>
      <c r="W4658" t="str">
        <f t="shared" si="1893"/>
        <v>04-08-2020</v>
      </c>
      <c r="X4658" t="str">
        <f t="shared" si="1894"/>
        <v>RAZIMAH ANSAR AHMAD</v>
      </c>
      <c r="Y4658" t="str">
        <f t="shared" si="1895"/>
        <v>04-08-2020</v>
      </c>
      <c r="Z4658" t="str">
        <f>"COS10200804 4496"</f>
        <v>COS10200804 4496</v>
      </c>
    </row>
    <row r="4659" spans="1:26" x14ac:dyDescent="0.25">
      <c r="A4659" t="str">
        <f t="shared" si="1904"/>
        <v>04-08-2020 12:49:50</v>
      </c>
      <c r="B4659" t="str">
        <f>"0000806275"</f>
        <v>0000806275</v>
      </c>
      <c r="C4659" t="str">
        <f t="shared" si="1905"/>
        <v>0000806180</v>
      </c>
      <c r="D4659" t="str">
        <f t="shared" si="1883"/>
        <v>73185</v>
      </c>
      <c r="E4659" t="str">
        <f t="shared" si="1884"/>
        <v>KFH-OPERATIONS DEPARTMENT</v>
      </c>
      <c r="F4659" t="str">
        <f t="shared" si="1885"/>
        <v>IBG</v>
      </c>
      <c r="G4659" t="str">
        <f t="shared" si="1898"/>
        <v>Refund COSHARE 10</v>
      </c>
      <c r="H4659" s="2">
        <v>83.95</v>
      </c>
      <c r="I4659" t="str">
        <f>"FARADINA BINTI HAMZAH"</f>
        <v>FARADINA BINTI HAMZAH</v>
      </c>
      <c r="J4659" t="str">
        <f t="shared" si="1899"/>
        <v>MAYBANK / MAYBANK ISLAMIC</v>
      </c>
      <c r="K4659" t="str">
        <f>"154026329615"</f>
        <v>154026329615</v>
      </c>
      <c r="L4659" t="str">
        <f t="shared" si="1902"/>
        <v>04-08-2020</v>
      </c>
      <c r="M4659" t="str">
        <f t="shared" si="1902"/>
        <v>04-08-2020</v>
      </c>
      <c r="N4659" t="str">
        <f t="shared" si="1886"/>
        <v>001105018356</v>
      </c>
      <c r="O4659" t="str">
        <f t="shared" si="1887"/>
        <v>MYR</v>
      </c>
      <c r="P4659" t="str">
        <f t="shared" si="1903"/>
        <v>NIL</v>
      </c>
      <c r="Q4659" t="str">
        <f t="shared" si="1903"/>
        <v>NIL</v>
      </c>
      <c r="R4659" t="str">
        <f t="shared" si="1888"/>
        <v>Accepted</v>
      </c>
      <c r="S4659" t="str">
        <f t="shared" si="1889"/>
        <v>Approved</v>
      </c>
      <c r="T4659" t="str">
        <f t="shared" si="1890"/>
        <v>10.20.8.188</v>
      </c>
      <c r="U4659" t="str">
        <f t="shared" si="1891"/>
        <v>AZRAD UMAR BIN SHAARI</v>
      </c>
      <c r="V4659" t="str">
        <f t="shared" si="1892"/>
        <v>FARHANA BINTI MUSTAPA</v>
      </c>
      <c r="W4659" t="str">
        <f t="shared" si="1893"/>
        <v>04-08-2020</v>
      </c>
      <c r="X4659" t="str">
        <f t="shared" si="1894"/>
        <v>RAZIMAH ANSAR AHMAD</v>
      </c>
      <c r="Y4659" t="str">
        <f t="shared" si="1895"/>
        <v>04-08-2020</v>
      </c>
      <c r="Z4659" t="str">
        <f>"COS10200804 4495"</f>
        <v>COS10200804 4495</v>
      </c>
    </row>
    <row r="4660" spans="1:26" x14ac:dyDescent="0.25">
      <c r="A4660" t="str">
        <f t="shared" si="1904"/>
        <v>04-08-2020 12:49:50</v>
      </c>
      <c r="B4660" t="str">
        <f>"0000806274"</f>
        <v>0000806274</v>
      </c>
      <c r="C4660" t="str">
        <f t="shared" si="1905"/>
        <v>0000806180</v>
      </c>
      <c r="D4660" t="str">
        <f t="shared" si="1883"/>
        <v>73185</v>
      </c>
      <c r="E4660" t="str">
        <f t="shared" si="1884"/>
        <v>KFH-OPERATIONS DEPARTMENT</v>
      </c>
      <c r="F4660" t="str">
        <f t="shared" si="1885"/>
        <v>IBG</v>
      </c>
      <c r="G4660" t="str">
        <f t="shared" si="1898"/>
        <v>Refund COSHARE 10</v>
      </c>
      <c r="H4660" s="2">
        <v>83.95</v>
      </c>
      <c r="I4660" t="str">
        <f>"FARADILLA BINTI SHARIR"</f>
        <v>FARADILLA BINTI SHARIR</v>
      </c>
      <c r="J4660" t="str">
        <f t="shared" si="1899"/>
        <v>MAYBANK / MAYBANK ISLAMIC</v>
      </c>
      <c r="K4660" t="str">
        <f>"166010028234"</f>
        <v>166010028234</v>
      </c>
      <c r="L4660" t="str">
        <f t="shared" si="1902"/>
        <v>04-08-2020</v>
      </c>
      <c r="M4660" t="str">
        <f t="shared" si="1902"/>
        <v>04-08-2020</v>
      </c>
      <c r="N4660" t="str">
        <f t="shared" si="1886"/>
        <v>001105018356</v>
      </c>
      <c r="O4660" t="str">
        <f t="shared" si="1887"/>
        <v>MYR</v>
      </c>
      <c r="P4660" t="str">
        <f t="shared" si="1903"/>
        <v>NIL</v>
      </c>
      <c r="Q4660" t="str">
        <f t="shared" si="1903"/>
        <v>NIL</v>
      </c>
      <c r="R4660" t="str">
        <f t="shared" si="1888"/>
        <v>Accepted</v>
      </c>
      <c r="S4660" t="str">
        <f t="shared" si="1889"/>
        <v>Approved</v>
      </c>
      <c r="T4660" t="str">
        <f t="shared" si="1890"/>
        <v>10.20.8.188</v>
      </c>
      <c r="U4660" t="str">
        <f t="shared" si="1891"/>
        <v>AZRAD UMAR BIN SHAARI</v>
      </c>
      <c r="V4660" t="str">
        <f t="shared" si="1892"/>
        <v>FARHANA BINTI MUSTAPA</v>
      </c>
      <c r="W4660" t="str">
        <f t="shared" si="1893"/>
        <v>04-08-2020</v>
      </c>
      <c r="X4660" t="str">
        <f t="shared" si="1894"/>
        <v>RAZIMAH ANSAR AHMAD</v>
      </c>
      <c r="Y4660" t="str">
        <f t="shared" si="1895"/>
        <v>04-08-2020</v>
      </c>
      <c r="Z4660" t="str">
        <f>"COS10200804 4494"</f>
        <v>COS10200804 4494</v>
      </c>
    </row>
    <row r="4661" spans="1:26" x14ac:dyDescent="0.25">
      <c r="A4661" t="str">
        <f t="shared" si="1904"/>
        <v>04-08-2020 12:49:50</v>
      </c>
      <c r="B4661" t="str">
        <f>"0000806273"</f>
        <v>0000806273</v>
      </c>
      <c r="C4661" t="str">
        <f t="shared" si="1905"/>
        <v>0000806180</v>
      </c>
      <c r="D4661" t="str">
        <f t="shared" si="1883"/>
        <v>73185</v>
      </c>
      <c r="E4661" t="str">
        <f t="shared" si="1884"/>
        <v>KFH-OPERATIONS DEPARTMENT</v>
      </c>
      <c r="F4661" t="str">
        <f t="shared" si="1885"/>
        <v>IBG</v>
      </c>
      <c r="G4661" t="str">
        <f t="shared" si="1898"/>
        <v>Refund COSHARE 10</v>
      </c>
      <c r="H4661" s="2">
        <v>1049.4000000000001</v>
      </c>
      <c r="I4661" t="str">
        <f>"FARA BINTI JAMAL"</f>
        <v>FARA BINTI JAMAL</v>
      </c>
      <c r="J4661" t="str">
        <f t="shared" si="1899"/>
        <v>MAYBANK / MAYBANK ISLAMIC</v>
      </c>
      <c r="K4661" t="str">
        <f>"152050078995"</f>
        <v>152050078995</v>
      </c>
      <c r="L4661" t="str">
        <f t="shared" si="1902"/>
        <v>04-08-2020</v>
      </c>
      <c r="M4661" t="str">
        <f t="shared" si="1902"/>
        <v>04-08-2020</v>
      </c>
      <c r="N4661" t="str">
        <f t="shared" si="1886"/>
        <v>001105018356</v>
      </c>
      <c r="O4661" t="str">
        <f t="shared" si="1887"/>
        <v>MYR</v>
      </c>
      <c r="P4661" t="str">
        <f t="shared" si="1903"/>
        <v>NIL</v>
      </c>
      <c r="Q4661" t="str">
        <f t="shared" si="1903"/>
        <v>NIL</v>
      </c>
      <c r="R4661" t="str">
        <f t="shared" si="1888"/>
        <v>Accepted</v>
      </c>
      <c r="S4661" t="str">
        <f t="shared" si="1889"/>
        <v>Approved</v>
      </c>
      <c r="T4661" t="str">
        <f t="shared" si="1890"/>
        <v>10.20.8.188</v>
      </c>
      <c r="U4661" t="str">
        <f t="shared" si="1891"/>
        <v>AZRAD UMAR BIN SHAARI</v>
      </c>
      <c r="V4661" t="str">
        <f t="shared" si="1892"/>
        <v>FARHANA BINTI MUSTAPA</v>
      </c>
      <c r="W4661" t="str">
        <f t="shared" si="1893"/>
        <v>04-08-2020</v>
      </c>
      <c r="X4661" t="str">
        <f t="shared" si="1894"/>
        <v>RAZIMAH ANSAR AHMAD</v>
      </c>
      <c r="Y4661" t="str">
        <f t="shared" si="1895"/>
        <v>04-08-2020</v>
      </c>
      <c r="Z4661" t="str">
        <f>"COS10200804 4493"</f>
        <v>COS10200804 4493</v>
      </c>
    </row>
    <row r="4662" spans="1:26" x14ac:dyDescent="0.25">
      <c r="A4662" t="str">
        <f t="shared" si="1904"/>
        <v>04-08-2020 12:49:50</v>
      </c>
      <c r="B4662" t="str">
        <f>"0000806272"</f>
        <v>0000806272</v>
      </c>
      <c r="C4662" t="str">
        <f t="shared" si="1905"/>
        <v>0000806180</v>
      </c>
      <c r="D4662" t="str">
        <f t="shared" si="1883"/>
        <v>73185</v>
      </c>
      <c r="E4662" t="str">
        <f t="shared" si="1884"/>
        <v>KFH-OPERATIONS DEPARTMENT</v>
      </c>
      <c r="F4662" t="str">
        <f t="shared" si="1885"/>
        <v>IBG</v>
      </c>
      <c r="G4662" t="str">
        <f t="shared" si="1898"/>
        <v>Refund COSHARE 10</v>
      </c>
      <c r="H4662" s="2">
        <v>69</v>
      </c>
      <c r="I4662" t="str">
        <f>"FALIJAH BINTI AMAT"</f>
        <v>FALIJAH BINTI AMAT</v>
      </c>
      <c r="J4662" t="str">
        <f t="shared" si="1899"/>
        <v>MAYBANK / MAYBANK ISLAMIC</v>
      </c>
      <c r="K4662" t="str">
        <f>"110014081337"</f>
        <v>110014081337</v>
      </c>
      <c r="L4662" t="str">
        <f t="shared" si="1902"/>
        <v>04-08-2020</v>
      </c>
      <c r="M4662" t="str">
        <f t="shared" si="1902"/>
        <v>04-08-2020</v>
      </c>
      <c r="N4662" t="str">
        <f t="shared" si="1886"/>
        <v>001105018356</v>
      </c>
      <c r="O4662" t="str">
        <f t="shared" si="1887"/>
        <v>MYR</v>
      </c>
      <c r="P4662" t="str">
        <f t="shared" si="1903"/>
        <v>NIL</v>
      </c>
      <c r="Q4662" t="str">
        <f t="shared" si="1903"/>
        <v>NIL</v>
      </c>
      <c r="R4662" t="str">
        <f t="shared" si="1888"/>
        <v>Accepted</v>
      </c>
      <c r="S4662" t="str">
        <f t="shared" si="1889"/>
        <v>Approved</v>
      </c>
      <c r="T4662" t="str">
        <f t="shared" si="1890"/>
        <v>10.20.8.188</v>
      </c>
      <c r="U4662" t="str">
        <f t="shared" si="1891"/>
        <v>AZRAD UMAR BIN SHAARI</v>
      </c>
      <c r="V4662" t="str">
        <f t="shared" si="1892"/>
        <v>FARHANA BINTI MUSTAPA</v>
      </c>
      <c r="W4662" t="str">
        <f t="shared" si="1893"/>
        <v>04-08-2020</v>
      </c>
      <c r="X4662" t="str">
        <f t="shared" si="1894"/>
        <v>RAZIMAH ANSAR AHMAD</v>
      </c>
      <c r="Y4662" t="str">
        <f t="shared" si="1895"/>
        <v>04-08-2020</v>
      </c>
      <c r="Z4662" t="str">
        <f>"COS10200804 4492"</f>
        <v>COS10200804 4492</v>
      </c>
    </row>
    <row r="4663" spans="1:26" x14ac:dyDescent="0.25">
      <c r="A4663" t="str">
        <f t="shared" si="1904"/>
        <v>04-08-2020 12:49:50</v>
      </c>
      <c r="B4663" t="str">
        <f>"0000806271"</f>
        <v>0000806271</v>
      </c>
      <c r="C4663" t="str">
        <f t="shared" si="1905"/>
        <v>0000806180</v>
      </c>
      <c r="D4663" t="str">
        <f t="shared" si="1883"/>
        <v>73185</v>
      </c>
      <c r="E4663" t="str">
        <f t="shared" si="1884"/>
        <v>KFH-OPERATIONS DEPARTMENT</v>
      </c>
      <c r="F4663" t="str">
        <f t="shared" si="1885"/>
        <v>IBG</v>
      </c>
      <c r="G4663" t="str">
        <f t="shared" si="1898"/>
        <v>Refund COSHARE 10</v>
      </c>
      <c r="H4663" s="2">
        <v>444.95</v>
      </c>
      <c r="I4663" t="str">
        <f>"FALICIA ANAK GEK"</f>
        <v>FALICIA ANAK GEK</v>
      </c>
      <c r="J4663" t="str">
        <f t="shared" si="1899"/>
        <v>MAYBANK / MAYBANK ISLAMIC</v>
      </c>
      <c r="K4663" t="str">
        <f>"161190028961"</f>
        <v>161190028961</v>
      </c>
      <c r="L4663" t="str">
        <f t="shared" si="1902"/>
        <v>04-08-2020</v>
      </c>
      <c r="M4663" t="str">
        <f t="shared" si="1902"/>
        <v>04-08-2020</v>
      </c>
      <c r="N4663" t="str">
        <f t="shared" si="1886"/>
        <v>001105018356</v>
      </c>
      <c r="O4663" t="str">
        <f t="shared" si="1887"/>
        <v>MYR</v>
      </c>
      <c r="P4663" t="str">
        <f t="shared" si="1903"/>
        <v>NIL</v>
      </c>
      <c r="Q4663" t="str">
        <f t="shared" si="1903"/>
        <v>NIL</v>
      </c>
      <c r="R4663" t="str">
        <f t="shared" si="1888"/>
        <v>Accepted</v>
      </c>
      <c r="S4663" t="str">
        <f t="shared" si="1889"/>
        <v>Approved</v>
      </c>
      <c r="T4663" t="str">
        <f t="shared" si="1890"/>
        <v>10.20.8.188</v>
      </c>
      <c r="U4663" t="str">
        <f t="shared" si="1891"/>
        <v>AZRAD UMAR BIN SHAARI</v>
      </c>
      <c r="V4663" t="str">
        <f t="shared" si="1892"/>
        <v>FARHANA BINTI MUSTAPA</v>
      </c>
      <c r="W4663" t="str">
        <f t="shared" si="1893"/>
        <v>04-08-2020</v>
      </c>
      <c r="X4663" t="str">
        <f t="shared" si="1894"/>
        <v>RAZIMAH ANSAR AHMAD</v>
      </c>
      <c r="Y4663" t="str">
        <f t="shared" si="1895"/>
        <v>04-08-2020</v>
      </c>
      <c r="Z4663" t="str">
        <f>"COS10200804 4491"</f>
        <v>COS10200804 4491</v>
      </c>
    </row>
    <row r="4664" spans="1:26" x14ac:dyDescent="0.25">
      <c r="A4664" t="str">
        <f t="shared" si="1904"/>
        <v>04-08-2020 12:49:50</v>
      </c>
      <c r="B4664" t="str">
        <f>"0000806270"</f>
        <v>0000806270</v>
      </c>
      <c r="C4664" t="str">
        <f t="shared" si="1905"/>
        <v>0000806180</v>
      </c>
      <c r="D4664" t="str">
        <f t="shared" si="1883"/>
        <v>73185</v>
      </c>
      <c r="E4664" t="str">
        <f t="shared" si="1884"/>
        <v>KFH-OPERATIONS DEPARTMENT</v>
      </c>
      <c r="F4664" t="str">
        <f t="shared" si="1885"/>
        <v>IBG</v>
      </c>
      <c r="G4664" t="str">
        <f t="shared" si="1898"/>
        <v>Refund COSHARE 10</v>
      </c>
      <c r="H4664" s="2">
        <v>134.35</v>
      </c>
      <c r="I4664" t="str">
        <f>"FAKHRUDDIN BIN FAUZI"</f>
        <v>FAKHRUDDIN BIN FAUZI</v>
      </c>
      <c r="J4664" t="str">
        <f t="shared" si="1899"/>
        <v>MAYBANK / MAYBANK ISLAMIC</v>
      </c>
      <c r="K4664" t="str">
        <f>"103088096115"</f>
        <v>103088096115</v>
      </c>
      <c r="L4664" t="str">
        <f t="shared" si="1902"/>
        <v>04-08-2020</v>
      </c>
      <c r="M4664" t="str">
        <f t="shared" si="1902"/>
        <v>04-08-2020</v>
      </c>
      <c r="N4664" t="str">
        <f t="shared" si="1886"/>
        <v>001105018356</v>
      </c>
      <c r="O4664" t="str">
        <f t="shared" si="1887"/>
        <v>MYR</v>
      </c>
      <c r="P4664" t="str">
        <f t="shared" si="1903"/>
        <v>NIL</v>
      </c>
      <c r="Q4664" t="str">
        <f t="shared" si="1903"/>
        <v>NIL</v>
      </c>
      <c r="R4664" t="str">
        <f t="shared" si="1888"/>
        <v>Accepted</v>
      </c>
      <c r="S4664" t="str">
        <f t="shared" si="1889"/>
        <v>Approved</v>
      </c>
      <c r="T4664" t="str">
        <f t="shared" si="1890"/>
        <v>10.20.8.188</v>
      </c>
      <c r="U4664" t="str">
        <f t="shared" si="1891"/>
        <v>AZRAD UMAR BIN SHAARI</v>
      </c>
      <c r="V4664" t="str">
        <f t="shared" si="1892"/>
        <v>FARHANA BINTI MUSTAPA</v>
      </c>
      <c r="W4664" t="str">
        <f t="shared" si="1893"/>
        <v>04-08-2020</v>
      </c>
      <c r="X4664" t="str">
        <f t="shared" si="1894"/>
        <v>RAZIMAH ANSAR AHMAD</v>
      </c>
      <c r="Y4664" t="str">
        <f t="shared" si="1895"/>
        <v>04-08-2020</v>
      </c>
      <c r="Z4664" t="str">
        <f>"COS10200804 4490"</f>
        <v>COS10200804 4490</v>
      </c>
    </row>
    <row r="4665" spans="1:26" x14ac:dyDescent="0.25">
      <c r="A4665" t="str">
        <f t="shared" si="1904"/>
        <v>04-08-2020 12:49:50</v>
      </c>
      <c r="B4665" t="str">
        <f>"0000806269"</f>
        <v>0000806269</v>
      </c>
      <c r="C4665" t="str">
        <f t="shared" si="1905"/>
        <v>0000806180</v>
      </c>
      <c r="D4665" t="str">
        <f t="shared" si="1883"/>
        <v>73185</v>
      </c>
      <c r="E4665" t="str">
        <f t="shared" si="1884"/>
        <v>KFH-OPERATIONS DEPARTMENT</v>
      </c>
      <c r="F4665" t="str">
        <f t="shared" si="1885"/>
        <v>IBG</v>
      </c>
      <c r="G4665" t="str">
        <f t="shared" si="1898"/>
        <v>Refund COSHARE 10</v>
      </c>
      <c r="H4665" s="2">
        <v>142</v>
      </c>
      <c r="I4665" t="str">
        <f>"FAJARUDIN BIN BUJING"</f>
        <v>FAJARUDIN BIN BUJING</v>
      </c>
      <c r="J4665" t="str">
        <f t="shared" si="1899"/>
        <v>MAYBANK / MAYBANK ISLAMIC</v>
      </c>
      <c r="K4665" t="str">
        <f>"110059149054"</f>
        <v>110059149054</v>
      </c>
      <c r="L4665" t="str">
        <f t="shared" si="1902"/>
        <v>04-08-2020</v>
      </c>
      <c r="M4665" t="str">
        <f t="shared" si="1902"/>
        <v>04-08-2020</v>
      </c>
      <c r="N4665" t="str">
        <f t="shared" si="1886"/>
        <v>001105018356</v>
      </c>
      <c r="O4665" t="str">
        <f t="shared" si="1887"/>
        <v>MYR</v>
      </c>
      <c r="P4665" t="str">
        <f t="shared" si="1903"/>
        <v>NIL</v>
      </c>
      <c r="Q4665" t="str">
        <f t="shared" si="1903"/>
        <v>NIL</v>
      </c>
      <c r="R4665" t="str">
        <f t="shared" si="1888"/>
        <v>Accepted</v>
      </c>
      <c r="S4665" t="str">
        <f t="shared" si="1889"/>
        <v>Approved</v>
      </c>
      <c r="T4665" t="str">
        <f t="shared" si="1890"/>
        <v>10.20.8.188</v>
      </c>
      <c r="U4665" t="str">
        <f t="shared" si="1891"/>
        <v>AZRAD UMAR BIN SHAARI</v>
      </c>
      <c r="V4665" t="str">
        <f t="shared" si="1892"/>
        <v>FARHANA BINTI MUSTAPA</v>
      </c>
      <c r="W4665" t="str">
        <f t="shared" si="1893"/>
        <v>04-08-2020</v>
      </c>
      <c r="X4665" t="str">
        <f t="shared" si="1894"/>
        <v>RAZIMAH ANSAR AHMAD</v>
      </c>
      <c r="Y4665" t="str">
        <f t="shared" si="1895"/>
        <v>04-08-2020</v>
      </c>
      <c r="Z4665" t="str">
        <f>"COS10200804 4489"</f>
        <v>COS10200804 4489</v>
      </c>
    </row>
    <row r="4666" spans="1:26" x14ac:dyDescent="0.25">
      <c r="A4666" t="str">
        <f t="shared" si="1904"/>
        <v>04-08-2020 12:49:50</v>
      </c>
      <c r="B4666" t="str">
        <f>"0000806268"</f>
        <v>0000806268</v>
      </c>
      <c r="C4666" t="str">
        <f t="shared" si="1905"/>
        <v>0000806180</v>
      </c>
      <c r="D4666" t="str">
        <f t="shared" si="1883"/>
        <v>73185</v>
      </c>
      <c r="E4666" t="str">
        <f t="shared" si="1884"/>
        <v>KFH-OPERATIONS DEPARTMENT</v>
      </c>
      <c r="F4666" t="str">
        <f t="shared" si="1885"/>
        <v>IBG</v>
      </c>
      <c r="G4666" t="str">
        <f t="shared" si="1898"/>
        <v>Refund COSHARE 10</v>
      </c>
      <c r="H4666" s="2">
        <v>84</v>
      </c>
      <c r="I4666" t="str">
        <f>"FAIZUL RIZAL BIN MAT SAAD"</f>
        <v>FAIZUL RIZAL BIN MAT SAAD</v>
      </c>
      <c r="J4666" t="str">
        <f t="shared" si="1899"/>
        <v>MAYBANK / MAYBANK ISLAMIC</v>
      </c>
      <c r="K4666" t="str">
        <f>"156048131892"</f>
        <v>156048131892</v>
      </c>
      <c r="L4666" t="str">
        <f t="shared" si="1902"/>
        <v>04-08-2020</v>
      </c>
      <c r="M4666" t="str">
        <f t="shared" si="1902"/>
        <v>04-08-2020</v>
      </c>
      <c r="N4666" t="str">
        <f t="shared" si="1886"/>
        <v>001105018356</v>
      </c>
      <c r="O4666" t="str">
        <f t="shared" si="1887"/>
        <v>MYR</v>
      </c>
      <c r="P4666" t="str">
        <f t="shared" si="1903"/>
        <v>NIL</v>
      </c>
      <c r="Q4666" t="str">
        <f t="shared" si="1903"/>
        <v>NIL</v>
      </c>
      <c r="R4666" t="str">
        <f t="shared" si="1888"/>
        <v>Accepted</v>
      </c>
      <c r="S4666" t="str">
        <f t="shared" si="1889"/>
        <v>Approved</v>
      </c>
      <c r="T4666" t="str">
        <f t="shared" si="1890"/>
        <v>10.20.8.188</v>
      </c>
      <c r="U4666" t="str">
        <f t="shared" si="1891"/>
        <v>AZRAD UMAR BIN SHAARI</v>
      </c>
      <c r="V4666" t="str">
        <f t="shared" si="1892"/>
        <v>FARHANA BINTI MUSTAPA</v>
      </c>
      <c r="W4666" t="str">
        <f t="shared" si="1893"/>
        <v>04-08-2020</v>
      </c>
      <c r="X4666" t="str">
        <f t="shared" si="1894"/>
        <v>RAZIMAH ANSAR AHMAD</v>
      </c>
      <c r="Y4666" t="str">
        <f t="shared" si="1895"/>
        <v>04-08-2020</v>
      </c>
      <c r="Z4666" t="str">
        <f>"COS10200804 4488"</f>
        <v>COS10200804 4488</v>
      </c>
    </row>
    <row r="4667" spans="1:26" x14ac:dyDescent="0.25">
      <c r="A4667" t="str">
        <f t="shared" si="1904"/>
        <v>04-08-2020 12:49:50</v>
      </c>
      <c r="B4667" t="str">
        <f>"0000806267"</f>
        <v>0000806267</v>
      </c>
      <c r="C4667" t="str">
        <f t="shared" si="1905"/>
        <v>0000806180</v>
      </c>
      <c r="D4667" t="str">
        <f t="shared" si="1883"/>
        <v>73185</v>
      </c>
      <c r="E4667" t="str">
        <f t="shared" si="1884"/>
        <v>KFH-OPERATIONS DEPARTMENT</v>
      </c>
      <c r="F4667" t="str">
        <f t="shared" si="1885"/>
        <v>IBG</v>
      </c>
      <c r="G4667" t="str">
        <f t="shared" si="1898"/>
        <v>Refund COSHARE 10</v>
      </c>
      <c r="H4667" s="2">
        <v>671.6</v>
      </c>
      <c r="I4667" t="str">
        <f>"FAIZUL BIN OTHAMAN"</f>
        <v>FAIZUL BIN OTHAMAN</v>
      </c>
      <c r="J4667" t="str">
        <f t="shared" si="1899"/>
        <v>MAYBANK / MAYBANK ISLAMIC</v>
      </c>
      <c r="K4667" t="str">
        <f>"156075781070"</f>
        <v>156075781070</v>
      </c>
      <c r="L4667" t="str">
        <f t="shared" ref="L4667:M4686" si="1906">"04-08-2020"</f>
        <v>04-08-2020</v>
      </c>
      <c r="M4667" t="str">
        <f t="shared" si="1906"/>
        <v>04-08-2020</v>
      </c>
      <c r="N4667" t="str">
        <f t="shared" si="1886"/>
        <v>001105018356</v>
      </c>
      <c r="O4667" t="str">
        <f t="shared" si="1887"/>
        <v>MYR</v>
      </c>
      <c r="P4667" t="str">
        <f t="shared" ref="P4667:Q4686" si="1907">"NIL"</f>
        <v>NIL</v>
      </c>
      <c r="Q4667" t="str">
        <f t="shared" si="1907"/>
        <v>NIL</v>
      </c>
      <c r="R4667" t="str">
        <f t="shared" si="1888"/>
        <v>Accepted</v>
      </c>
      <c r="S4667" t="str">
        <f t="shared" si="1889"/>
        <v>Approved</v>
      </c>
      <c r="T4667" t="str">
        <f t="shared" si="1890"/>
        <v>10.20.8.188</v>
      </c>
      <c r="U4667" t="str">
        <f t="shared" si="1891"/>
        <v>AZRAD UMAR BIN SHAARI</v>
      </c>
      <c r="V4667" t="str">
        <f t="shared" si="1892"/>
        <v>FARHANA BINTI MUSTAPA</v>
      </c>
      <c r="W4667" t="str">
        <f t="shared" si="1893"/>
        <v>04-08-2020</v>
      </c>
      <c r="X4667" t="str">
        <f t="shared" si="1894"/>
        <v>RAZIMAH ANSAR AHMAD</v>
      </c>
      <c r="Y4667" t="str">
        <f t="shared" si="1895"/>
        <v>04-08-2020</v>
      </c>
      <c r="Z4667" t="str">
        <f>"COS10200804 4487"</f>
        <v>COS10200804 4487</v>
      </c>
    </row>
    <row r="4668" spans="1:26" x14ac:dyDescent="0.25">
      <c r="A4668" t="str">
        <f t="shared" si="1904"/>
        <v>04-08-2020 12:49:50</v>
      </c>
      <c r="B4668" t="str">
        <f>"0000806266"</f>
        <v>0000806266</v>
      </c>
      <c r="C4668" t="str">
        <f t="shared" si="1905"/>
        <v>0000806180</v>
      </c>
      <c r="D4668" t="str">
        <f t="shared" si="1883"/>
        <v>73185</v>
      </c>
      <c r="E4668" t="str">
        <f t="shared" si="1884"/>
        <v>KFH-OPERATIONS DEPARTMENT</v>
      </c>
      <c r="F4668" t="str">
        <f t="shared" si="1885"/>
        <v>IBG</v>
      </c>
      <c r="G4668" t="str">
        <f t="shared" si="1898"/>
        <v>Refund COSHARE 10</v>
      </c>
      <c r="H4668" s="2">
        <v>461.75</v>
      </c>
      <c r="I4668" t="str">
        <f>"FAIZUL AZMI BIN MOHAMED MAHMOD"</f>
        <v>FAIZUL AZMI BIN MOHAMED MAHMOD</v>
      </c>
      <c r="J4668" t="str">
        <f t="shared" si="1899"/>
        <v>MAYBANK / MAYBANK ISLAMIC</v>
      </c>
      <c r="K4668" t="str">
        <f>"164454007904"</f>
        <v>164454007904</v>
      </c>
      <c r="L4668" t="str">
        <f t="shared" si="1906"/>
        <v>04-08-2020</v>
      </c>
      <c r="M4668" t="str">
        <f t="shared" si="1906"/>
        <v>04-08-2020</v>
      </c>
      <c r="N4668" t="str">
        <f t="shared" si="1886"/>
        <v>001105018356</v>
      </c>
      <c r="O4668" t="str">
        <f t="shared" si="1887"/>
        <v>MYR</v>
      </c>
      <c r="P4668" t="str">
        <f t="shared" si="1907"/>
        <v>NIL</v>
      </c>
      <c r="Q4668" t="str">
        <f t="shared" si="1907"/>
        <v>NIL</v>
      </c>
      <c r="R4668" t="str">
        <f t="shared" si="1888"/>
        <v>Accepted</v>
      </c>
      <c r="S4668" t="str">
        <f t="shared" si="1889"/>
        <v>Approved</v>
      </c>
      <c r="T4668" t="str">
        <f t="shared" si="1890"/>
        <v>10.20.8.188</v>
      </c>
      <c r="U4668" t="str">
        <f t="shared" si="1891"/>
        <v>AZRAD UMAR BIN SHAARI</v>
      </c>
      <c r="V4668" t="str">
        <f t="shared" si="1892"/>
        <v>FARHANA BINTI MUSTAPA</v>
      </c>
      <c r="W4668" t="str">
        <f t="shared" si="1893"/>
        <v>04-08-2020</v>
      </c>
      <c r="X4668" t="str">
        <f t="shared" si="1894"/>
        <v>RAZIMAH ANSAR AHMAD</v>
      </c>
      <c r="Y4668" t="str">
        <f t="shared" si="1895"/>
        <v>04-08-2020</v>
      </c>
      <c r="Z4668" t="str">
        <f>"COS10200804 4486"</f>
        <v>COS10200804 4486</v>
      </c>
    </row>
    <row r="4669" spans="1:26" x14ac:dyDescent="0.25">
      <c r="A4669" t="str">
        <f t="shared" si="1904"/>
        <v>04-08-2020 12:49:50</v>
      </c>
      <c r="B4669" t="str">
        <f>"0000806265"</f>
        <v>0000806265</v>
      </c>
      <c r="C4669" t="str">
        <f t="shared" si="1905"/>
        <v>0000806180</v>
      </c>
      <c r="D4669" t="str">
        <f t="shared" si="1883"/>
        <v>73185</v>
      </c>
      <c r="E4669" t="str">
        <f t="shared" si="1884"/>
        <v>KFH-OPERATIONS DEPARTMENT</v>
      </c>
      <c r="F4669" t="str">
        <f t="shared" si="1885"/>
        <v>IBG</v>
      </c>
      <c r="G4669" t="str">
        <f t="shared" si="1898"/>
        <v>Refund COSHARE 10</v>
      </c>
      <c r="H4669" s="2">
        <v>1430.9</v>
      </c>
      <c r="I4669" t="str">
        <f>"FAIZUL AZLI B ABDUL RIDZAB  HASSAN"</f>
        <v>FAIZUL AZLI B ABDUL RIDZAB  HASSAN</v>
      </c>
      <c r="J4669" t="str">
        <f t="shared" si="1899"/>
        <v>MAYBANK / MAYBANK ISLAMIC</v>
      </c>
      <c r="K4669" t="str">
        <f>"164409556489"</f>
        <v>164409556489</v>
      </c>
      <c r="L4669" t="str">
        <f t="shared" si="1906"/>
        <v>04-08-2020</v>
      </c>
      <c r="M4669" t="str">
        <f t="shared" si="1906"/>
        <v>04-08-2020</v>
      </c>
      <c r="N4669" t="str">
        <f t="shared" si="1886"/>
        <v>001105018356</v>
      </c>
      <c r="O4669" t="str">
        <f t="shared" si="1887"/>
        <v>MYR</v>
      </c>
      <c r="P4669" t="str">
        <f t="shared" si="1907"/>
        <v>NIL</v>
      </c>
      <c r="Q4669" t="str">
        <f t="shared" si="1907"/>
        <v>NIL</v>
      </c>
      <c r="R4669" t="str">
        <f t="shared" si="1888"/>
        <v>Accepted</v>
      </c>
      <c r="S4669" t="str">
        <f t="shared" si="1889"/>
        <v>Approved</v>
      </c>
      <c r="T4669" t="str">
        <f t="shared" si="1890"/>
        <v>10.20.8.188</v>
      </c>
      <c r="U4669" t="str">
        <f t="shared" si="1891"/>
        <v>AZRAD UMAR BIN SHAARI</v>
      </c>
      <c r="V4669" t="str">
        <f t="shared" si="1892"/>
        <v>FARHANA BINTI MUSTAPA</v>
      </c>
      <c r="W4669" t="str">
        <f t="shared" si="1893"/>
        <v>04-08-2020</v>
      </c>
      <c r="X4669" t="str">
        <f t="shared" si="1894"/>
        <v>RAZIMAH ANSAR AHMAD</v>
      </c>
      <c r="Y4669" t="str">
        <f t="shared" si="1895"/>
        <v>04-08-2020</v>
      </c>
      <c r="Z4669" t="str">
        <f>"COS10200804 4485"</f>
        <v>COS10200804 4485</v>
      </c>
    </row>
    <row r="4670" spans="1:26" x14ac:dyDescent="0.25">
      <c r="A4670" t="str">
        <f t="shared" si="1904"/>
        <v>04-08-2020 12:49:50</v>
      </c>
      <c r="B4670" t="str">
        <f>"0000806264"</f>
        <v>0000806264</v>
      </c>
      <c r="C4670" t="str">
        <f t="shared" si="1905"/>
        <v>0000806180</v>
      </c>
      <c r="D4670" t="str">
        <f t="shared" si="1883"/>
        <v>73185</v>
      </c>
      <c r="E4670" t="str">
        <f t="shared" si="1884"/>
        <v>KFH-OPERATIONS DEPARTMENT</v>
      </c>
      <c r="F4670" t="str">
        <f t="shared" si="1885"/>
        <v>IBG</v>
      </c>
      <c r="G4670" t="str">
        <f t="shared" si="1898"/>
        <v>Refund COSHARE 10</v>
      </c>
      <c r="H4670" s="2">
        <v>377.8</v>
      </c>
      <c r="I4670" t="str">
        <f>"FAIZUL ASWADI BIN AWANG GANTI"</f>
        <v>FAIZUL ASWADI BIN AWANG GANTI</v>
      </c>
      <c r="J4670" t="str">
        <f t="shared" si="1899"/>
        <v>MAYBANK / MAYBANK ISLAMIC</v>
      </c>
      <c r="K4670" t="str">
        <f>"101151047940"</f>
        <v>101151047940</v>
      </c>
      <c r="L4670" t="str">
        <f t="shared" si="1906"/>
        <v>04-08-2020</v>
      </c>
      <c r="M4670" t="str">
        <f t="shared" si="1906"/>
        <v>04-08-2020</v>
      </c>
      <c r="N4670" t="str">
        <f t="shared" si="1886"/>
        <v>001105018356</v>
      </c>
      <c r="O4670" t="str">
        <f t="shared" si="1887"/>
        <v>MYR</v>
      </c>
      <c r="P4670" t="str">
        <f t="shared" si="1907"/>
        <v>NIL</v>
      </c>
      <c r="Q4670" t="str">
        <f t="shared" si="1907"/>
        <v>NIL</v>
      </c>
      <c r="R4670" t="str">
        <f t="shared" si="1888"/>
        <v>Accepted</v>
      </c>
      <c r="S4670" t="str">
        <f t="shared" si="1889"/>
        <v>Approved</v>
      </c>
      <c r="T4670" t="str">
        <f t="shared" si="1890"/>
        <v>10.20.8.188</v>
      </c>
      <c r="U4670" t="str">
        <f t="shared" si="1891"/>
        <v>AZRAD UMAR BIN SHAARI</v>
      </c>
      <c r="V4670" t="str">
        <f t="shared" si="1892"/>
        <v>FARHANA BINTI MUSTAPA</v>
      </c>
      <c r="W4670" t="str">
        <f t="shared" si="1893"/>
        <v>04-08-2020</v>
      </c>
      <c r="X4670" t="str">
        <f t="shared" si="1894"/>
        <v>RAZIMAH ANSAR AHMAD</v>
      </c>
      <c r="Y4670" t="str">
        <f t="shared" si="1895"/>
        <v>04-08-2020</v>
      </c>
      <c r="Z4670" t="str">
        <f>"COS10200804 4484"</f>
        <v>COS10200804 4484</v>
      </c>
    </row>
    <row r="4671" spans="1:26" x14ac:dyDescent="0.25">
      <c r="A4671" t="str">
        <f t="shared" si="1904"/>
        <v>04-08-2020 12:49:50</v>
      </c>
      <c r="B4671" t="str">
        <f>"0000806263"</f>
        <v>0000806263</v>
      </c>
      <c r="C4671" t="str">
        <f t="shared" si="1905"/>
        <v>0000806180</v>
      </c>
      <c r="D4671" t="str">
        <f t="shared" si="1883"/>
        <v>73185</v>
      </c>
      <c r="E4671" t="str">
        <f t="shared" si="1884"/>
        <v>KFH-OPERATIONS DEPARTMENT</v>
      </c>
      <c r="F4671" t="str">
        <f t="shared" si="1885"/>
        <v>IBG</v>
      </c>
      <c r="G4671" t="str">
        <f t="shared" si="1898"/>
        <v>Refund COSHARE 10</v>
      </c>
      <c r="H4671" s="2">
        <v>688.4</v>
      </c>
      <c r="I4671" t="str">
        <f>"FAIZI BIN YUSOF"</f>
        <v>FAIZI BIN YUSOF</v>
      </c>
      <c r="J4671" t="str">
        <f t="shared" si="1899"/>
        <v>MAYBANK / MAYBANK ISLAMIC</v>
      </c>
      <c r="K4671" t="str">
        <f>"114226657792"</f>
        <v>114226657792</v>
      </c>
      <c r="L4671" t="str">
        <f t="shared" si="1906"/>
        <v>04-08-2020</v>
      </c>
      <c r="M4671" t="str">
        <f t="shared" si="1906"/>
        <v>04-08-2020</v>
      </c>
      <c r="N4671" t="str">
        <f t="shared" si="1886"/>
        <v>001105018356</v>
      </c>
      <c r="O4671" t="str">
        <f t="shared" si="1887"/>
        <v>MYR</v>
      </c>
      <c r="P4671" t="str">
        <f t="shared" si="1907"/>
        <v>NIL</v>
      </c>
      <c r="Q4671" t="str">
        <f t="shared" si="1907"/>
        <v>NIL</v>
      </c>
      <c r="R4671" t="str">
        <f t="shared" si="1888"/>
        <v>Accepted</v>
      </c>
      <c r="S4671" t="str">
        <f t="shared" si="1889"/>
        <v>Approved</v>
      </c>
      <c r="T4671" t="str">
        <f t="shared" si="1890"/>
        <v>10.20.8.188</v>
      </c>
      <c r="U4671" t="str">
        <f t="shared" si="1891"/>
        <v>AZRAD UMAR BIN SHAARI</v>
      </c>
      <c r="V4671" t="str">
        <f t="shared" si="1892"/>
        <v>FARHANA BINTI MUSTAPA</v>
      </c>
      <c r="W4671" t="str">
        <f t="shared" si="1893"/>
        <v>04-08-2020</v>
      </c>
      <c r="X4671" t="str">
        <f t="shared" si="1894"/>
        <v>RAZIMAH ANSAR AHMAD</v>
      </c>
      <c r="Y4671" t="str">
        <f t="shared" si="1895"/>
        <v>04-08-2020</v>
      </c>
      <c r="Z4671" t="str">
        <f>"COS10200804 4483"</f>
        <v>COS10200804 4483</v>
      </c>
    </row>
    <row r="4672" spans="1:26" x14ac:dyDescent="0.25">
      <c r="A4672" t="str">
        <f t="shared" si="1904"/>
        <v>04-08-2020 12:49:50</v>
      </c>
      <c r="B4672" t="str">
        <f>"0000806262"</f>
        <v>0000806262</v>
      </c>
      <c r="C4672" t="str">
        <f t="shared" si="1905"/>
        <v>0000806180</v>
      </c>
      <c r="D4672" t="str">
        <f t="shared" si="1883"/>
        <v>73185</v>
      </c>
      <c r="E4672" t="str">
        <f t="shared" si="1884"/>
        <v>KFH-OPERATIONS DEPARTMENT</v>
      </c>
      <c r="F4672" t="str">
        <f t="shared" si="1885"/>
        <v>IBG</v>
      </c>
      <c r="G4672" t="str">
        <f t="shared" si="1898"/>
        <v>Refund COSHARE 10</v>
      </c>
      <c r="H4672" s="2">
        <v>92</v>
      </c>
      <c r="I4672" t="str">
        <f>"FAIZAL BIN ZAKARIA"</f>
        <v>FAIZAL BIN ZAKARIA</v>
      </c>
      <c r="J4672" t="str">
        <f t="shared" si="1899"/>
        <v>MAYBANK / MAYBANK ISLAMIC</v>
      </c>
      <c r="K4672" t="str">
        <f>"114030092282"</f>
        <v>114030092282</v>
      </c>
      <c r="L4672" t="str">
        <f t="shared" si="1906"/>
        <v>04-08-2020</v>
      </c>
      <c r="M4672" t="str">
        <f t="shared" si="1906"/>
        <v>04-08-2020</v>
      </c>
      <c r="N4672" t="str">
        <f t="shared" si="1886"/>
        <v>001105018356</v>
      </c>
      <c r="O4672" t="str">
        <f t="shared" si="1887"/>
        <v>MYR</v>
      </c>
      <c r="P4672" t="str">
        <f t="shared" si="1907"/>
        <v>NIL</v>
      </c>
      <c r="Q4672" t="str">
        <f t="shared" si="1907"/>
        <v>NIL</v>
      </c>
      <c r="R4672" t="str">
        <f t="shared" si="1888"/>
        <v>Accepted</v>
      </c>
      <c r="S4672" t="str">
        <f t="shared" si="1889"/>
        <v>Approved</v>
      </c>
      <c r="T4672" t="str">
        <f t="shared" si="1890"/>
        <v>10.20.8.188</v>
      </c>
      <c r="U4672" t="str">
        <f t="shared" si="1891"/>
        <v>AZRAD UMAR BIN SHAARI</v>
      </c>
      <c r="V4672" t="str">
        <f t="shared" si="1892"/>
        <v>FARHANA BINTI MUSTAPA</v>
      </c>
      <c r="W4672" t="str">
        <f t="shared" si="1893"/>
        <v>04-08-2020</v>
      </c>
      <c r="X4672" t="str">
        <f t="shared" si="1894"/>
        <v>RAZIMAH ANSAR AHMAD</v>
      </c>
      <c r="Y4672" t="str">
        <f t="shared" si="1895"/>
        <v>04-08-2020</v>
      </c>
      <c r="Z4672" t="str">
        <f>"COS10200804 4482"</f>
        <v>COS10200804 4482</v>
      </c>
    </row>
    <row r="4673" spans="1:26" x14ac:dyDescent="0.25">
      <c r="A4673" t="str">
        <f t="shared" si="1904"/>
        <v>04-08-2020 12:49:50</v>
      </c>
      <c r="B4673" t="str">
        <f>"0000806261"</f>
        <v>0000806261</v>
      </c>
      <c r="C4673" t="str">
        <f t="shared" si="1905"/>
        <v>0000806180</v>
      </c>
      <c r="D4673" t="str">
        <f t="shared" si="1883"/>
        <v>73185</v>
      </c>
      <c r="E4673" t="str">
        <f t="shared" si="1884"/>
        <v>KFH-OPERATIONS DEPARTMENT</v>
      </c>
      <c r="F4673" t="str">
        <f t="shared" si="1885"/>
        <v>IBG</v>
      </c>
      <c r="G4673" t="str">
        <f t="shared" si="1898"/>
        <v>Refund COSHARE 10</v>
      </c>
      <c r="H4673" s="2">
        <v>42</v>
      </c>
      <c r="I4673" t="str">
        <f>"FAIZAL BIN SUHAILEE"</f>
        <v>FAIZAL BIN SUHAILEE</v>
      </c>
      <c r="J4673" t="str">
        <f t="shared" si="1899"/>
        <v>MAYBANK / MAYBANK ISLAMIC</v>
      </c>
      <c r="K4673" t="str">
        <f>"164016988725"</f>
        <v>164016988725</v>
      </c>
      <c r="L4673" t="str">
        <f t="shared" si="1906"/>
        <v>04-08-2020</v>
      </c>
      <c r="M4673" t="str">
        <f t="shared" si="1906"/>
        <v>04-08-2020</v>
      </c>
      <c r="N4673" t="str">
        <f t="shared" si="1886"/>
        <v>001105018356</v>
      </c>
      <c r="O4673" t="str">
        <f t="shared" si="1887"/>
        <v>MYR</v>
      </c>
      <c r="P4673" t="str">
        <f t="shared" si="1907"/>
        <v>NIL</v>
      </c>
      <c r="Q4673" t="str">
        <f t="shared" si="1907"/>
        <v>NIL</v>
      </c>
      <c r="R4673" t="str">
        <f t="shared" si="1888"/>
        <v>Accepted</v>
      </c>
      <c r="S4673" t="str">
        <f t="shared" si="1889"/>
        <v>Approved</v>
      </c>
      <c r="T4673" t="str">
        <f t="shared" si="1890"/>
        <v>10.20.8.188</v>
      </c>
      <c r="U4673" t="str">
        <f t="shared" si="1891"/>
        <v>AZRAD UMAR BIN SHAARI</v>
      </c>
      <c r="V4673" t="str">
        <f t="shared" si="1892"/>
        <v>FARHANA BINTI MUSTAPA</v>
      </c>
      <c r="W4673" t="str">
        <f t="shared" si="1893"/>
        <v>04-08-2020</v>
      </c>
      <c r="X4673" t="str">
        <f t="shared" si="1894"/>
        <v>RAZIMAH ANSAR AHMAD</v>
      </c>
      <c r="Y4673" t="str">
        <f t="shared" si="1895"/>
        <v>04-08-2020</v>
      </c>
      <c r="Z4673" t="str">
        <f>"COS10200804 4481"</f>
        <v>COS10200804 4481</v>
      </c>
    </row>
    <row r="4674" spans="1:26" x14ac:dyDescent="0.25">
      <c r="A4674" t="str">
        <f t="shared" si="1904"/>
        <v>04-08-2020 12:49:50</v>
      </c>
      <c r="B4674" t="str">
        <f>"0000806260"</f>
        <v>0000806260</v>
      </c>
      <c r="C4674" t="str">
        <f t="shared" si="1905"/>
        <v>0000806180</v>
      </c>
      <c r="D4674" t="str">
        <f t="shared" si="1883"/>
        <v>73185</v>
      </c>
      <c r="E4674" t="str">
        <f t="shared" si="1884"/>
        <v>KFH-OPERATIONS DEPARTMENT</v>
      </c>
      <c r="F4674" t="str">
        <f t="shared" si="1885"/>
        <v>IBG</v>
      </c>
      <c r="G4674" t="str">
        <f t="shared" si="1898"/>
        <v>Refund COSHARE 10</v>
      </c>
      <c r="H4674" s="2">
        <v>2141.1999999999998</v>
      </c>
      <c r="I4674" t="str">
        <f>"FAIZAL BIN MAT ARIFIN"</f>
        <v>FAIZAL BIN MAT ARIFIN</v>
      </c>
      <c r="J4674" t="str">
        <f t="shared" si="1899"/>
        <v>MAYBANK / MAYBANK ISLAMIC</v>
      </c>
      <c r="K4674" t="str">
        <f>"162674013711"</f>
        <v>162674013711</v>
      </c>
      <c r="L4674" t="str">
        <f t="shared" si="1906"/>
        <v>04-08-2020</v>
      </c>
      <c r="M4674" t="str">
        <f t="shared" si="1906"/>
        <v>04-08-2020</v>
      </c>
      <c r="N4674" t="str">
        <f t="shared" si="1886"/>
        <v>001105018356</v>
      </c>
      <c r="O4674" t="str">
        <f t="shared" si="1887"/>
        <v>MYR</v>
      </c>
      <c r="P4674" t="str">
        <f t="shared" si="1907"/>
        <v>NIL</v>
      </c>
      <c r="Q4674" t="str">
        <f t="shared" si="1907"/>
        <v>NIL</v>
      </c>
      <c r="R4674" t="str">
        <f t="shared" si="1888"/>
        <v>Accepted</v>
      </c>
      <c r="S4674" t="str">
        <f t="shared" si="1889"/>
        <v>Approved</v>
      </c>
      <c r="T4674" t="str">
        <f t="shared" si="1890"/>
        <v>10.20.8.188</v>
      </c>
      <c r="U4674" t="str">
        <f t="shared" si="1891"/>
        <v>AZRAD UMAR BIN SHAARI</v>
      </c>
      <c r="V4674" t="str">
        <f t="shared" si="1892"/>
        <v>FARHANA BINTI MUSTAPA</v>
      </c>
      <c r="W4674" t="str">
        <f t="shared" si="1893"/>
        <v>04-08-2020</v>
      </c>
      <c r="X4674" t="str">
        <f t="shared" si="1894"/>
        <v>RAZIMAH ANSAR AHMAD</v>
      </c>
      <c r="Y4674" t="str">
        <f t="shared" si="1895"/>
        <v>04-08-2020</v>
      </c>
      <c r="Z4674" t="str">
        <f>"COS10200804 4480"</f>
        <v>COS10200804 4480</v>
      </c>
    </row>
    <row r="4675" spans="1:26" x14ac:dyDescent="0.25">
      <c r="A4675" t="str">
        <f t="shared" si="1904"/>
        <v>04-08-2020 12:49:50</v>
      </c>
      <c r="B4675" t="str">
        <f>"0000806259"</f>
        <v>0000806259</v>
      </c>
      <c r="C4675" t="str">
        <f t="shared" si="1905"/>
        <v>0000806180</v>
      </c>
      <c r="D4675" t="str">
        <f t="shared" si="1883"/>
        <v>73185</v>
      </c>
      <c r="E4675" t="str">
        <f t="shared" si="1884"/>
        <v>KFH-OPERATIONS DEPARTMENT</v>
      </c>
      <c r="F4675" t="str">
        <f t="shared" si="1885"/>
        <v>IBG</v>
      </c>
      <c r="G4675" t="str">
        <f t="shared" si="1898"/>
        <v>Refund COSHARE 10</v>
      </c>
      <c r="H4675" s="2">
        <v>470.15</v>
      </c>
      <c r="I4675" t="str">
        <f>"FAIZAL BIN MALIK"</f>
        <v>FAIZAL BIN MALIK</v>
      </c>
      <c r="J4675" t="str">
        <f t="shared" si="1899"/>
        <v>MAYBANK / MAYBANK ISLAMIC</v>
      </c>
      <c r="K4675" t="str">
        <f>"161239016579"</f>
        <v>161239016579</v>
      </c>
      <c r="L4675" t="str">
        <f t="shared" si="1906"/>
        <v>04-08-2020</v>
      </c>
      <c r="M4675" t="str">
        <f t="shared" si="1906"/>
        <v>04-08-2020</v>
      </c>
      <c r="N4675" t="str">
        <f t="shared" si="1886"/>
        <v>001105018356</v>
      </c>
      <c r="O4675" t="str">
        <f t="shared" si="1887"/>
        <v>MYR</v>
      </c>
      <c r="P4675" t="str">
        <f t="shared" si="1907"/>
        <v>NIL</v>
      </c>
      <c r="Q4675" t="str">
        <f t="shared" si="1907"/>
        <v>NIL</v>
      </c>
      <c r="R4675" t="str">
        <f t="shared" si="1888"/>
        <v>Accepted</v>
      </c>
      <c r="S4675" t="str">
        <f t="shared" si="1889"/>
        <v>Approved</v>
      </c>
      <c r="T4675" t="str">
        <f t="shared" si="1890"/>
        <v>10.20.8.188</v>
      </c>
      <c r="U4675" t="str">
        <f t="shared" si="1891"/>
        <v>AZRAD UMAR BIN SHAARI</v>
      </c>
      <c r="V4675" t="str">
        <f t="shared" si="1892"/>
        <v>FARHANA BINTI MUSTAPA</v>
      </c>
      <c r="W4675" t="str">
        <f t="shared" si="1893"/>
        <v>04-08-2020</v>
      </c>
      <c r="X4675" t="str">
        <f t="shared" si="1894"/>
        <v>RAZIMAH ANSAR AHMAD</v>
      </c>
      <c r="Y4675" t="str">
        <f t="shared" si="1895"/>
        <v>04-08-2020</v>
      </c>
      <c r="Z4675" t="str">
        <f>"COS10200804 4479"</f>
        <v>COS10200804 4479</v>
      </c>
    </row>
    <row r="4676" spans="1:26" x14ac:dyDescent="0.25">
      <c r="A4676" t="str">
        <f t="shared" si="1904"/>
        <v>04-08-2020 12:49:50</v>
      </c>
      <c r="B4676" t="str">
        <f>"0000806258"</f>
        <v>0000806258</v>
      </c>
      <c r="C4676" t="str">
        <f t="shared" si="1905"/>
        <v>0000806180</v>
      </c>
      <c r="D4676" t="str">
        <f t="shared" si="1883"/>
        <v>73185</v>
      </c>
      <c r="E4676" t="str">
        <f t="shared" si="1884"/>
        <v>KFH-OPERATIONS DEPARTMENT</v>
      </c>
      <c r="F4676" t="str">
        <f t="shared" si="1885"/>
        <v>IBG</v>
      </c>
      <c r="G4676" t="str">
        <f t="shared" si="1898"/>
        <v>Refund COSHARE 10</v>
      </c>
      <c r="H4676" s="2">
        <v>730.4</v>
      </c>
      <c r="I4676" t="str">
        <f>"FAIZAL BIN ABDULLAH"</f>
        <v>FAIZAL BIN ABDULLAH</v>
      </c>
      <c r="J4676" t="str">
        <f t="shared" si="1899"/>
        <v>MAYBANK / MAYBANK ISLAMIC</v>
      </c>
      <c r="K4676" t="str">
        <f>"158015180010"</f>
        <v>158015180010</v>
      </c>
      <c r="L4676" t="str">
        <f t="shared" si="1906"/>
        <v>04-08-2020</v>
      </c>
      <c r="M4676" t="str">
        <f t="shared" si="1906"/>
        <v>04-08-2020</v>
      </c>
      <c r="N4676" t="str">
        <f t="shared" si="1886"/>
        <v>001105018356</v>
      </c>
      <c r="O4676" t="str">
        <f t="shared" si="1887"/>
        <v>MYR</v>
      </c>
      <c r="P4676" t="str">
        <f t="shared" si="1907"/>
        <v>NIL</v>
      </c>
      <c r="Q4676" t="str">
        <f t="shared" si="1907"/>
        <v>NIL</v>
      </c>
      <c r="R4676" t="str">
        <f t="shared" si="1888"/>
        <v>Accepted</v>
      </c>
      <c r="S4676" t="str">
        <f t="shared" si="1889"/>
        <v>Approved</v>
      </c>
      <c r="T4676" t="str">
        <f t="shared" si="1890"/>
        <v>10.20.8.188</v>
      </c>
      <c r="U4676" t="str">
        <f t="shared" si="1891"/>
        <v>AZRAD UMAR BIN SHAARI</v>
      </c>
      <c r="V4676" t="str">
        <f t="shared" si="1892"/>
        <v>FARHANA BINTI MUSTAPA</v>
      </c>
      <c r="W4676" t="str">
        <f t="shared" si="1893"/>
        <v>04-08-2020</v>
      </c>
      <c r="X4676" t="str">
        <f t="shared" si="1894"/>
        <v>RAZIMAH ANSAR AHMAD</v>
      </c>
      <c r="Y4676" t="str">
        <f t="shared" si="1895"/>
        <v>04-08-2020</v>
      </c>
      <c r="Z4676" t="str">
        <f>"COS10200804 4478"</f>
        <v>COS10200804 4478</v>
      </c>
    </row>
    <row r="4677" spans="1:26" x14ac:dyDescent="0.25">
      <c r="A4677" t="str">
        <f t="shared" si="1904"/>
        <v>04-08-2020 12:49:50</v>
      </c>
      <c r="B4677" t="str">
        <f>"0000806257"</f>
        <v>0000806257</v>
      </c>
      <c r="C4677" t="str">
        <f t="shared" si="1905"/>
        <v>0000806180</v>
      </c>
      <c r="D4677" t="str">
        <f t="shared" si="1883"/>
        <v>73185</v>
      </c>
      <c r="E4677" t="str">
        <f t="shared" si="1884"/>
        <v>KFH-OPERATIONS DEPARTMENT</v>
      </c>
      <c r="F4677" t="str">
        <f t="shared" si="1885"/>
        <v>IBG</v>
      </c>
      <c r="G4677" t="str">
        <f t="shared" si="1898"/>
        <v>Refund COSHARE 10</v>
      </c>
      <c r="H4677" s="2">
        <v>251.85</v>
      </c>
      <c r="I4677" t="str">
        <f>"FAIZAH BINTI YAZID"</f>
        <v>FAIZAH BINTI YAZID</v>
      </c>
      <c r="J4677" t="str">
        <f t="shared" si="1899"/>
        <v>MAYBANK / MAYBANK ISLAMIC</v>
      </c>
      <c r="K4677" t="str">
        <f>"151520011892"</f>
        <v>151520011892</v>
      </c>
      <c r="L4677" t="str">
        <f t="shared" si="1906"/>
        <v>04-08-2020</v>
      </c>
      <c r="M4677" t="str">
        <f t="shared" si="1906"/>
        <v>04-08-2020</v>
      </c>
      <c r="N4677" t="str">
        <f t="shared" si="1886"/>
        <v>001105018356</v>
      </c>
      <c r="O4677" t="str">
        <f t="shared" si="1887"/>
        <v>MYR</v>
      </c>
      <c r="P4677" t="str">
        <f t="shared" si="1907"/>
        <v>NIL</v>
      </c>
      <c r="Q4677" t="str">
        <f t="shared" si="1907"/>
        <v>NIL</v>
      </c>
      <c r="R4677" t="str">
        <f t="shared" si="1888"/>
        <v>Accepted</v>
      </c>
      <c r="S4677" t="str">
        <f t="shared" si="1889"/>
        <v>Approved</v>
      </c>
      <c r="T4677" t="str">
        <f t="shared" si="1890"/>
        <v>10.20.8.188</v>
      </c>
      <c r="U4677" t="str">
        <f t="shared" si="1891"/>
        <v>AZRAD UMAR BIN SHAARI</v>
      </c>
      <c r="V4677" t="str">
        <f t="shared" si="1892"/>
        <v>FARHANA BINTI MUSTAPA</v>
      </c>
      <c r="W4677" t="str">
        <f t="shared" si="1893"/>
        <v>04-08-2020</v>
      </c>
      <c r="X4677" t="str">
        <f t="shared" si="1894"/>
        <v>RAZIMAH ANSAR AHMAD</v>
      </c>
      <c r="Y4677" t="str">
        <f t="shared" si="1895"/>
        <v>04-08-2020</v>
      </c>
      <c r="Z4677" t="str">
        <f>"COS10200804 4477"</f>
        <v>COS10200804 4477</v>
      </c>
    </row>
    <row r="4678" spans="1:26" x14ac:dyDescent="0.25">
      <c r="A4678" t="str">
        <f t="shared" si="1904"/>
        <v>04-08-2020 12:49:50</v>
      </c>
      <c r="B4678" t="str">
        <f>"0000806256"</f>
        <v>0000806256</v>
      </c>
      <c r="C4678" t="str">
        <f t="shared" si="1905"/>
        <v>0000806180</v>
      </c>
      <c r="D4678" t="str">
        <f t="shared" si="1883"/>
        <v>73185</v>
      </c>
      <c r="E4678" t="str">
        <f t="shared" si="1884"/>
        <v>KFH-OPERATIONS DEPARTMENT</v>
      </c>
      <c r="F4678" t="str">
        <f t="shared" si="1885"/>
        <v>IBG</v>
      </c>
      <c r="G4678" t="str">
        <f t="shared" si="1898"/>
        <v>Refund COSHARE 10</v>
      </c>
      <c r="H4678" s="2">
        <v>663.2</v>
      </c>
      <c r="I4678" t="str">
        <f>"FAIZAH BINTI SAAD"</f>
        <v>FAIZAH BINTI SAAD</v>
      </c>
      <c r="J4678" t="str">
        <f t="shared" si="1899"/>
        <v>MAYBANK / MAYBANK ISLAMIC</v>
      </c>
      <c r="K4678" t="str">
        <f>"157429001877"</f>
        <v>157429001877</v>
      </c>
      <c r="L4678" t="str">
        <f t="shared" si="1906"/>
        <v>04-08-2020</v>
      </c>
      <c r="M4678" t="str">
        <f t="shared" si="1906"/>
        <v>04-08-2020</v>
      </c>
      <c r="N4678" t="str">
        <f t="shared" si="1886"/>
        <v>001105018356</v>
      </c>
      <c r="O4678" t="str">
        <f t="shared" si="1887"/>
        <v>MYR</v>
      </c>
      <c r="P4678" t="str">
        <f t="shared" si="1907"/>
        <v>NIL</v>
      </c>
      <c r="Q4678" t="str">
        <f t="shared" si="1907"/>
        <v>NIL</v>
      </c>
      <c r="R4678" t="str">
        <f t="shared" si="1888"/>
        <v>Accepted</v>
      </c>
      <c r="S4678" t="str">
        <f t="shared" si="1889"/>
        <v>Approved</v>
      </c>
      <c r="T4678" t="str">
        <f t="shared" si="1890"/>
        <v>10.20.8.188</v>
      </c>
      <c r="U4678" t="str">
        <f t="shared" si="1891"/>
        <v>AZRAD UMAR BIN SHAARI</v>
      </c>
      <c r="V4678" t="str">
        <f t="shared" si="1892"/>
        <v>FARHANA BINTI MUSTAPA</v>
      </c>
      <c r="W4678" t="str">
        <f t="shared" si="1893"/>
        <v>04-08-2020</v>
      </c>
      <c r="X4678" t="str">
        <f t="shared" si="1894"/>
        <v>RAZIMAH ANSAR AHMAD</v>
      </c>
      <c r="Y4678" t="str">
        <f t="shared" si="1895"/>
        <v>04-08-2020</v>
      </c>
      <c r="Z4678" t="str">
        <f>"COS10200804 4476"</f>
        <v>COS10200804 4476</v>
      </c>
    </row>
    <row r="4679" spans="1:26" x14ac:dyDescent="0.25">
      <c r="A4679" t="str">
        <f t="shared" si="1904"/>
        <v>04-08-2020 12:49:50</v>
      </c>
      <c r="B4679" t="str">
        <f>"0000806255"</f>
        <v>0000806255</v>
      </c>
      <c r="C4679" t="str">
        <f t="shared" si="1905"/>
        <v>0000806180</v>
      </c>
      <c r="D4679" t="str">
        <f t="shared" ref="D4679:D4742" si="1908">"73185"</f>
        <v>73185</v>
      </c>
      <c r="E4679" t="str">
        <f t="shared" ref="E4679:E4742" si="1909">"KFH-OPERATIONS DEPARTMENT"</f>
        <v>KFH-OPERATIONS DEPARTMENT</v>
      </c>
      <c r="F4679" t="str">
        <f t="shared" ref="F4679:F4742" si="1910">"IBG"</f>
        <v>IBG</v>
      </c>
      <c r="G4679" t="str">
        <f t="shared" si="1898"/>
        <v>Refund COSHARE 10</v>
      </c>
      <c r="H4679" s="2">
        <v>864.7</v>
      </c>
      <c r="I4679" t="str">
        <f>"FAIZAH BINTI RAHIM"</f>
        <v>FAIZAH BINTI RAHIM</v>
      </c>
      <c r="J4679" t="str">
        <f t="shared" si="1899"/>
        <v>MAYBANK / MAYBANK ISLAMIC</v>
      </c>
      <c r="K4679" t="str">
        <f>"102028083672"</f>
        <v>102028083672</v>
      </c>
      <c r="L4679" t="str">
        <f t="shared" si="1906"/>
        <v>04-08-2020</v>
      </c>
      <c r="M4679" t="str">
        <f t="shared" si="1906"/>
        <v>04-08-2020</v>
      </c>
      <c r="N4679" t="str">
        <f t="shared" ref="N4679:N4742" si="1911">"001105018356"</f>
        <v>001105018356</v>
      </c>
      <c r="O4679" t="str">
        <f t="shared" ref="O4679:O4742" si="1912">"MYR"</f>
        <v>MYR</v>
      </c>
      <c r="P4679" t="str">
        <f t="shared" si="1907"/>
        <v>NIL</v>
      </c>
      <c r="Q4679" t="str">
        <f t="shared" si="1907"/>
        <v>NIL</v>
      </c>
      <c r="R4679" t="str">
        <f t="shared" ref="R4679:R4742" si="1913">"Accepted"</f>
        <v>Accepted</v>
      </c>
      <c r="S4679" t="str">
        <f t="shared" ref="S4679:S4742" si="1914">"Approved"</f>
        <v>Approved</v>
      </c>
      <c r="T4679" t="str">
        <f t="shared" ref="T4679:T4742" si="1915">"10.20.8.188"</f>
        <v>10.20.8.188</v>
      </c>
      <c r="U4679" t="str">
        <f t="shared" ref="U4679:U4742" si="1916">"AZRAD UMAR BIN SHAARI"</f>
        <v>AZRAD UMAR BIN SHAARI</v>
      </c>
      <c r="V4679" t="str">
        <f t="shared" ref="V4679:V4742" si="1917">"FARHANA BINTI MUSTAPA"</f>
        <v>FARHANA BINTI MUSTAPA</v>
      </c>
      <c r="W4679" t="str">
        <f t="shared" ref="W4679:W4742" si="1918">"04-08-2020"</f>
        <v>04-08-2020</v>
      </c>
      <c r="X4679" t="str">
        <f t="shared" ref="X4679:X4742" si="1919">"RAZIMAH ANSAR AHMAD"</f>
        <v>RAZIMAH ANSAR AHMAD</v>
      </c>
      <c r="Y4679" t="str">
        <f t="shared" ref="Y4679:Y4742" si="1920">"04-08-2020"</f>
        <v>04-08-2020</v>
      </c>
      <c r="Z4679" t="str">
        <f>"COS10200804 4475"</f>
        <v>COS10200804 4475</v>
      </c>
    </row>
    <row r="4680" spans="1:26" x14ac:dyDescent="0.25">
      <c r="A4680" t="str">
        <f t="shared" si="1904"/>
        <v>04-08-2020 12:49:50</v>
      </c>
      <c r="B4680" t="str">
        <f>"0000806254"</f>
        <v>0000806254</v>
      </c>
      <c r="C4680" t="str">
        <f t="shared" si="1905"/>
        <v>0000806180</v>
      </c>
      <c r="D4680" t="str">
        <f t="shared" si="1908"/>
        <v>73185</v>
      </c>
      <c r="E4680" t="str">
        <f t="shared" si="1909"/>
        <v>KFH-OPERATIONS DEPARTMENT</v>
      </c>
      <c r="F4680" t="str">
        <f t="shared" si="1910"/>
        <v>IBG</v>
      </c>
      <c r="G4680" t="str">
        <f t="shared" si="1898"/>
        <v>Refund COSHARE 10</v>
      </c>
      <c r="H4680" s="2">
        <v>520.6</v>
      </c>
      <c r="I4680" t="str">
        <f>"FAIZAH BINTI HAMID"</f>
        <v>FAIZAH BINTI HAMID</v>
      </c>
      <c r="J4680" t="str">
        <f t="shared" si="1899"/>
        <v>MAYBANK / MAYBANK ISLAMIC</v>
      </c>
      <c r="K4680" t="str">
        <f>"114011409369"</f>
        <v>114011409369</v>
      </c>
      <c r="L4680" t="str">
        <f t="shared" si="1906"/>
        <v>04-08-2020</v>
      </c>
      <c r="M4680" t="str">
        <f t="shared" si="1906"/>
        <v>04-08-2020</v>
      </c>
      <c r="N4680" t="str">
        <f t="shared" si="1911"/>
        <v>001105018356</v>
      </c>
      <c r="O4680" t="str">
        <f t="shared" si="1912"/>
        <v>MYR</v>
      </c>
      <c r="P4680" t="str">
        <f t="shared" si="1907"/>
        <v>NIL</v>
      </c>
      <c r="Q4680" t="str">
        <f t="shared" si="1907"/>
        <v>NIL</v>
      </c>
      <c r="R4680" t="str">
        <f t="shared" si="1913"/>
        <v>Accepted</v>
      </c>
      <c r="S4680" t="str">
        <f t="shared" si="1914"/>
        <v>Approved</v>
      </c>
      <c r="T4680" t="str">
        <f t="shared" si="1915"/>
        <v>10.20.8.188</v>
      </c>
      <c r="U4680" t="str">
        <f t="shared" si="1916"/>
        <v>AZRAD UMAR BIN SHAARI</v>
      </c>
      <c r="V4680" t="str">
        <f t="shared" si="1917"/>
        <v>FARHANA BINTI MUSTAPA</v>
      </c>
      <c r="W4680" t="str">
        <f t="shared" si="1918"/>
        <v>04-08-2020</v>
      </c>
      <c r="X4680" t="str">
        <f t="shared" si="1919"/>
        <v>RAZIMAH ANSAR AHMAD</v>
      </c>
      <c r="Y4680" t="str">
        <f t="shared" si="1920"/>
        <v>04-08-2020</v>
      </c>
      <c r="Z4680" t="str">
        <f>"COS10200804 4474"</f>
        <v>COS10200804 4474</v>
      </c>
    </row>
    <row r="4681" spans="1:26" x14ac:dyDescent="0.25">
      <c r="A4681" t="str">
        <f t="shared" si="1904"/>
        <v>04-08-2020 12:49:50</v>
      </c>
      <c r="B4681" t="str">
        <f>"0000806253"</f>
        <v>0000806253</v>
      </c>
      <c r="C4681" t="str">
        <f t="shared" si="1905"/>
        <v>0000806180</v>
      </c>
      <c r="D4681" t="str">
        <f t="shared" si="1908"/>
        <v>73185</v>
      </c>
      <c r="E4681" t="str">
        <f t="shared" si="1909"/>
        <v>KFH-OPERATIONS DEPARTMENT</v>
      </c>
      <c r="F4681" t="str">
        <f t="shared" si="1910"/>
        <v>IBG</v>
      </c>
      <c r="G4681" t="str">
        <f t="shared" si="1898"/>
        <v>Refund COSHARE 10</v>
      </c>
      <c r="H4681" s="2">
        <v>1581</v>
      </c>
      <c r="I4681" t="str">
        <f>"FAIRUZZATONNOR BINTI JAMALUDDIN"</f>
        <v>FAIRUZZATONNOR BINTI JAMALUDDIN</v>
      </c>
      <c r="J4681" t="str">
        <f t="shared" si="1899"/>
        <v>MAYBANK / MAYBANK ISLAMIC</v>
      </c>
      <c r="K4681" t="str">
        <f>"152050205144"</f>
        <v>152050205144</v>
      </c>
      <c r="L4681" t="str">
        <f t="shared" si="1906"/>
        <v>04-08-2020</v>
      </c>
      <c r="M4681" t="str">
        <f t="shared" si="1906"/>
        <v>04-08-2020</v>
      </c>
      <c r="N4681" t="str">
        <f t="shared" si="1911"/>
        <v>001105018356</v>
      </c>
      <c r="O4681" t="str">
        <f t="shared" si="1912"/>
        <v>MYR</v>
      </c>
      <c r="P4681" t="str">
        <f t="shared" si="1907"/>
        <v>NIL</v>
      </c>
      <c r="Q4681" t="str">
        <f t="shared" si="1907"/>
        <v>NIL</v>
      </c>
      <c r="R4681" t="str">
        <f t="shared" si="1913"/>
        <v>Accepted</v>
      </c>
      <c r="S4681" t="str">
        <f t="shared" si="1914"/>
        <v>Approved</v>
      </c>
      <c r="T4681" t="str">
        <f t="shared" si="1915"/>
        <v>10.20.8.188</v>
      </c>
      <c r="U4681" t="str">
        <f t="shared" si="1916"/>
        <v>AZRAD UMAR BIN SHAARI</v>
      </c>
      <c r="V4681" t="str">
        <f t="shared" si="1917"/>
        <v>FARHANA BINTI MUSTAPA</v>
      </c>
      <c r="W4681" t="str">
        <f t="shared" si="1918"/>
        <v>04-08-2020</v>
      </c>
      <c r="X4681" t="str">
        <f t="shared" si="1919"/>
        <v>RAZIMAH ANSAR AHMAD</v>
      </c>
      <c r="Y4681" t="str">
        <f t="shared" si="1920"/>
        <v>04-08-2020</v>
      </c>
      <c r="Z4681" t="str">
        <f>"COS10200804 4473"</f>
        <v>COS10200804 4473</v>
      </c>
    </row>
    <row r="4682" spans="1:26" x14ac:dyDescent="0.25">
      <c r="A4682" t="str">
        <f t="shared" ref="A4682:A4713" si="1921">"04-08-2020 12:49:50"</f>
        <v>04-08-2020 12:49:50</v>
      </c>
      <c r="B4682" t="str">
        <f>"0000806252"</f>
        <v>0000806252</v>
      </c>
      <c r="C4682" t="str">
        <f t="shared" ref="C4682:C4713" si="1922">"0000806180"</f>
        <v>0000806180</v>
      </c>
      <c r="D4682" t="str">
        <f t="shared" si="1908"/>
        <v>73185</v>
      </c>
      <c r="E4682" t="str">
        <f t="shared" si="1909"/>
        <v>KFH-OPERATIONS DEPARTMENT</v>
      </c>
      <c r="F4682" t="str">
        <f t="shared" si="1910"/>
        <v>IBG</v>
      </c>
      <c r="G4682" t="str">
        <f t="shared" si="1898"/>
        <v>Refund COSHARE 10</v>
      </c>
      <c r="H4682" s="2">
        <v>344.2</v>
      </c>
      <c r="I4682" t="str">
        <f>"FAIRUZEETA BINTI ZAINAL"</f>
        <v>FAIRUZEETA BINTI ZAINAL</v>
      </c>
      <c r="J4682" t="str">
        <f t="shared" si="1899"/>
        <v>MAYBANK / MAYBANK ISLAMIC</v>
      </c>
      <c r="K4682" t="str">
        <f>"164017077307"</f>
        <v>164017077307</v>
      </c>
      <c r="L4682" t="str">
        <f t="shared" si="1906"/>
        <v>04-08-2020</v>
      </c>
      <c r="M4682" t="str">
        <f t="shared" si="1906"/>
        <v>04-08-2020</v>
      </c>
      <c r="N4682" t="str">
        <f t="shared" si="1911"/>
        <v>001105018356</v>
      </c>
      <c r="O4682" t="str">
        <f t="shared" si="1912"/>
        <v>MYR</v>
      </c>
      <c r="P4682" t="str">
        <f t="shared" si="1907"/>
        <v>NIL</v>
      </c>
      <c r="Q4682" t="str">
        <f t="shared" si="1907"/>
        <v>NIL</v>
      </c>
      <c r="R4682" t="str">
        <f t="shared" si="1913"/>
        <v>Accepted</v>
      </c>
      <c r="S4682" t="str">
        <f t="shared" si="1914"/>
        <v>Approved</v>
      </c>
      <c r="T4682" t="str">
        <f t="shared" si="1915"/>
        <v>10.20.8.188</v>
      </c>
      <c r="U4682" t="str">
        <f t="shared" si="1916"/>
        <v>AZRAD UMAR BIN SHAARI</v>
      </c>
      <c r="V4682" t="str">
        <f t="shared" si="1917"/>
        <v>FARHANA BINTI MUSTAPA</v>
      </c>
      <c r="W4682" t="str">
        <f t="shared" si="1918"/>
        <v>04-08-2020</v>
      </c>
      <c r="X4682" t="str">
        <f t="shared" si="1919"/>
        <v>RAZIMAH ANSAR AHMAD</v>
      </c>
      <c r="Y4682" t="str">
        <f t="shared" si="1920"/>
        <v>04-08-2020</v>
      </c>
      <c r="Z4682" t="str">
        <f>"COS10200804 4472"</f>
        <v>COS10200804 4472</v>
      </c>
    </row>
    <row r="4683" spans="1:26" x14ac:dyDescent="0.25">
      <c r="A4683" t="str">
        <f t="shared" si="1921"/>
        <v>04-08-2020 12:49:50</v>
      </c>
      <c r="B4683" t="str">
        <f>"0000806251"</f>
        <v>0000806251</v>
      </c>
      <c r="C4683" t="str">
        <f t="shared" si="1922"/>
        <v>0000806180</v>
      </c>
      <c r="D4683" t="str">
        <f t="shared" si="1908"/>
        <v>73185</v>
      </c>
      <c r="E4683" t="str">
        <f t="shared" si="1909"/>
        <v>KFH-OPERATIONS DEPARTMENT</v>
      </c>
      <c r="F4683" t="str">
        <f t="shared" si="1910"/>
        <v>IBG</v>
      </c>
      <c r="G4683" t="str">
        <f t="shared" si="1898"/>
        <v>Refund COSHARE 10</v>
      </c>
      <c r="H4683" s="2">
        <v>251.85</v>
      </c>
      <c r="I4683" t="str">
        <f>"FAIRUZ BINTI DAUD"</f>
        <v>FAIRUZ BINTI DAUD</v>
      </c>
      <c r="J4683" t="str">
        <f t="shared" si="1899"/>
        <v>MAYBANK / MAYBANK ISLAMIC</v>
      </c>
      <c r="K4683" t="str">
        <f>"158097734693"</f>
        <v>158097734693</v>
      </c>
      <c r="L4683" t="str">
        <f t="shared" si="1906"/>
        <v>04-08-2020</v>
      </c>
      <c r="M4683" t="str">
        <f t="shared" si="1906"/>
        <v>04-08-2020</v>
      </c>
      <c r="N4683" t="str">
        <f t="shared" si="1911"/>
        <v>001105018356</v>
      </c>
      <c r="O4683" t="str">
        <f t="shared" si="1912"/>
        <v>MYR</v>
      </c>
      <c r="P4683" t="str">
        <f t="shared" si="1907"/>
        <v>NIL</v>
      </c>
      <c r="Q4683" t="str">
        <f t="shared" si="1907"/>
        <v>NIL</v>
      </c>
      <c r="R4683" t="str">
        <f t="shared" si="1913"/>
        <v>Accepted</v>
      </c>
      <c r="S4683" t="str">
        <f t="shared" si="1914"/>
        <v>Approved</v>
      </c>
      <c r="T4683" t="str">
        <f t="shared" si="1915"/>
        <v>10.20.8.188</v>
      </c>
      <c r="U4683" t="str">
        <f t="shared" si="1916"/>
        <v>AZRAD UMAR BIN SHAARI</v>
      </c>
      <c r="V4683" t="str">
        <f t="shared" si="1917"/>
        <v>FARHANA BINTI MUSTAPA</v>
      </c>
      <c r="W4683" t="str">
        <f t="shared" si="1918"/>
        <v>04-08-2020</v>
      </c>
      <c r="X4683" t="str">
        <f t="shared" si="1919"/>
        <v>RAZIMAH ANSAR AHMAD</v>
      </c>
      <c r="Y4683" t="str">
        <f t="shared" si="1920"/>
        <v>04-08-2020</v>
      </c>
      <c r="Z4683" t="str">
        <f>"COS10200804 4471"</f>
        <v>COS10200804 4471</v>
      </c>
    </row>
    <row r="4684" spans="1:26" x14ac:dyDescent="0.25">
      <c r="A4684" t="str">
        <f t="shared" si="1921"/>
        <v>04-08-2020 12:49:50</v>
      </c>
      <c r="B4684" t="str">
        <f>"0000806250"</f>
        <v>0000806250</v>
      </c>
      <c r="C4684" t="str">
        <f t="shared" si="1922"/>
        <v>0000806180</v>
      </c>
      <c r="D4684" t="str">
        <f t="shared" si="1908"/>
        <v>73185</v>
      </c>
      <c r="E4684" t="str">
        <f t="shared" si="1909"/>
        <v>KFH-OPERATIONS DEPARTMENT</v>
      </c>
      <c r="F4684" t="str">
        <f t="shared" si="1910"/>
        <v>IBG</v>
      </c>
      <c r="G4684" t="str">
        <f t="shared" ref="G4684:G4747" si="1923">"Refund COSHARE 10"</f>
        <v>Refund COSHARE 10</v>
      </c>
      <c r="H4684" s="2">
        <v>135.15</v>
      </c>
      <c r="I4684" t="str">
        <f>"FAIRUZ BINTI AHMAD"</f>
        <v>FAIRUZ BINTI AHMAD</v>
      </c>
      <c r="J4684" t="str">
        <f t="shared" si="1899"/>
        <v>MAYBANK / MAYBANK ISLAMIC</v>
      </c>
      <c r="K4684" t="str">
        <f>"114226135012"</f>
        <v>114226135012</v>
      </c>
      <c r="L4684" t="str">
        <f t="shared" si="1906"/>
        <v>04-08-2020</v>
      </c>
      <c r="M4684" t="str">
        <f t="shared" si="1906"/>
        <v>04-08-2020</v>
      </c>
      <c r="N4684" t="str">
        <f t="shared" si="1911"/>
        <v>001105018356</v>
      </c>
      <c r="O4684" t="str">
        <f t="shared" si="1912"/>
        <v>MYR</v>
      </c>
      <c r="P4684" t="str">
        <f t="shared" si="1907"/>
        <v>NIL</v>
      </c>
      <c r="Q4684" t="str">
        <f t="shared" si="1907"/>
        <v>NIL</v>
      </c>
      <c r="R4684" t="str">
        <f t="shared" si="1913"/>
        <v>Accepted</v>
      </c>
      <c r="S4684" t="str">
        <f t="shared" si="1914"/>
        <v>Approved</v>
      </c>
      <c r="T4684" t="str">
        <f t="shared" si="1915"/>
        <v>10.20.8.188</v>
      </c>
      <c r="U4684" t="str">
        <f t="shared" si="1916"/>
        <v>AZRAD UMAR BIN SHAARI</v>
      </c>
      <c r="V4684" t="str">
        <f t="shared" si="1917"/>
        <v>FARHANA BINTI MUSTAPA</v>
      </c>
      <c r="W4684" t="str">
        <f t="shared" si="1918"/>
        <v>04-08-2020</v>
      </c>
      <c r="X4684" t="str">
        <f t="shared" si="1919"/>
        <v>RAZIMAH ANSAR AHMAD</v>
      </c>
      <c r="Y4684" t="str">
        <f t="shared" si="1920"/>
        <v>04-08-2020</v>
      </c>
      <c r="Z4684" t="str">
        <f>"COS10200804 4470"</f>
        <v>COS10200804 4470</v>
      </c>
    </row>
    <row r="4685" spans="1:26" x14ac:dyDescent="0.25">
      <c r="A4685" t="str">
        <f t="shared" si="1921"/>
        <v>04-08-2020 12:49:50</v>
      </c>
      <c r="B4685" t="str">
        <f>"0000806249"</f>
        <v>0000806249</v>
      </c>
      <c r="C4685" t="str">
        <f t="shared" si="1922"/>
        <v>0000806180</v>
      </c>
      <c r="D4685" t="str">
        <f t="shared" si="1908"/>
        <v>73185</v>
      </c>
      <c r="E4685" t="str">
        <f t="shared" si="1909"/>
        <v>KFH-OPERATIONS DEPARTMENT</v>
      </c>
      <c r="F4685" t="str">
        <f t="shared" si="1910"/>
        <v>IBG</v>
      </c>
      <c r="G4685" t="str">
        <f t="shared" si="1923"/>
        <v>Refund COSHARE 10</v>
      </c>
      <c r="H4685" s="2">
        <v>1040</v>
      </c>
      <c r="I4685" t="str">
        <f>"FAIRUZ BIN NORDIN"</f>
        <v>FAIRUZ BIN NORDIN</v>
      </c>
      <c r="J4685" t="str">
        <f t="shared" si="1899"/>
        <v>MAYBANK / MAYBANK ISLAMIC</v>
      </c>
      <c r="K4685" t="str">
        <f>"155108013440"</f>
        <v>155108013440</v>
      </c>
      <c r="L4685" t="str">
        <f t="shared" si="1906"/>
        <v>04-08-2020</v>
      </c>
      <c r="M4685" t="str">
        <f t="shared" si="1906"/>
        <v>04-08-2020</v>
      </c>
      <c r="N4685" t="str">
        <f t="shared" si="1911"/>
        <v>001105018356</v>
      </c>
      <c r="O4685" t="str">
        <f t="shared" si="1912"/>
        <v>MYR</v>
      </c>
      <c r="P4685" t="str">
        <f t="shared" si="1907"/>
        <v>NIL</v>
      </c>
      <c r="Q4685" t="str">
        <f t="shared" si="1907"/>
        <v>NIL</v>
      </c>
      <c r="R4685" t="str">
        <f t="shared" si="1913"/>
        <v>Accepted</v>
      </c>
      <c r="S4685" t="str">
        <f t="shared" si="1914"/>
        <v>Approved</v>
      </c>
      <c r="T4685" t="str">
        <f t="shared" si="1915"/>
        <v>10.20.8.188</v>
      </c>
      <c r="U4685" t="str">
        <f t="shared" si="1916"/>
        <v>AZRAD UMAR BIN SHAARI</v>
      </c>
      <c r="V4685" t="str">
        <f t="shared" si="1917"/>
        <v>FARHANA BINTI MUSTAPA</v>
      </c>
      <c r="W4685" t="str">
        <f t="shared" si="1918"/>
        <v>04-08-2020</v>
      </c>
      <c r="X4685" t="str">
        <f t="shared" si="1919"/>
        <v>RAZIMAH ANSAR AHMAD</v>
      </c>
      <c r="Y4685" t="str">
        <f t="shared" si="1920"/>
        <v>04-08-2020</v>
      </c>
      <c r="Z4685" t="str">
        <f>"COS10200804 4469"</f>
        <v>COS10200804 4469</v>
      </c>
    </row>
    <row r="4686" spans="1:26" x14ac:dyDescent="0.25">
      <c r="A4686" t="str">
        <f t="shared" si="1921"/>
        <v>04-08-2020 12:49:50</v>
      </c>
      <c r="B4686" t="str">
        <f>"0000806248"</f>
        <v>0000806248</v>
      </c>
      <c r="C4686" t="str">
        <f t="shared" si="1922"/>
        <v>0000806180</v>
      </c>
      <c r="D4686" t="str">
        <f t="shared" si="1908"/>
        <v>73185</v>
      </c>
      <c r="E4686" t="str">
        <f t="shared" si="1909"/>
        <v>KFH-OPERATIONS DEPARTMENT</v>
      </c>
      <c r="F4686" t="str">
        <f t="shared" si="1910"/>
        <v>IBG</v>
      </c>
      <c r="G4686" t="str">
        <f t="shared" si="1923"/>
        <v>Refund COSHARE 10</v>
      </c>
      <c r="H4686" s="2">
        <v>1679</v>
      </c>
      <c r="I4686" t="str">
        <f>"FAIRUZ ASYIKIN BINTI APTU"</f>
        <v>FAIRUZ ASYIKIN BINTI APTU</v>
      </c>
      <c r="J4686" t="str">
        <f t="shared" si="1899"/>
        <v>MAYBANK / MAYBANK ISLAMIC</v>
      </c>
      <c r="K4686" t="str">
        <f>"162143031409"</f>
        <v>162143031409</v>
      </c>
      <c r="L4686" t="str">
        <f t="shared" si="1906"/>
        <v>04-08-2020</v>
      </c>
      <c r="M4686" t="str">
        <f t="shared" si="1906"/>
        <v>04-08-2020</v>
      </c>
      <c r="N4686" t="str">
        <f t="shared" si="1911"/>
        <v>001105018356</v>
      </c>
      <c r="O4686" t="str">
        <f t="shared" si="1912"/>
        <v>MYR</v>
      </c>
      <c r="P4686" t="str">
        <f t="shared" si="1907"/>
        <v>NIL</v>
      </c>
      <c r="Q4686" t="str">
        <f t="shared" si="1907"/>
        <v>NIL</v>
      </c>
      <c r="R4686" t="str">
        <f t="shared" si="1913"/>
        <v>Accepted</v>
      </c>
      <c r="S4686" t="str">
        <f t="shared" si="1914"/>
        <v>Approved</v>
      </c>
      <c r="T4686" t="str">
        <f t="shared" si="1915"/>
        <v>10.20.8.188</v>
      </c>
      <c r="U4686" t="str">
        <f t="shared" si="1916"/>
        <v>AZRAD UMAR BIN SHAARI</v>
      </c>
      <c r="V4686" t="str">
        <f t="shared" si="1917"/>
        <v>FARHANA BINTI MUSTAPA</v>
      </c>
      <c r="W4686" t="str">
        <f t="shared" si="1918"/>
        <v>04-08-2020</v>
      </c>
      <c r="X4686" t="str">
        <f t="shared" si="1919"/>
        <v>RAZIMAH ANSAR AHMAD</v>
      </c>
      <c r="Y4686" t="str">
        <f t="shared" si="1920"/>
        <v>04-08-2020</v>
      </c>
      <c r="Z4686" t="str">
        <f>"COS10200804 4468"</f>
        <v>COS10200804 4468</v>
      </c>
    </row>
    <row r="4687" spans="1:26" x14ac:dyDescent="0.25">
      <c r="A4687" t="str">
        <f t="shared" si="1921"/>
        <v>04-08-2020 12:49:50</v>
      </c>
      <c r="B4687" t="str">
        <f>"0000806247"</f>
        <v>0000806247</v>
      </c>
      <c r="C4687" t="str">
        <f t="shared" si="1922"/>
        <v>0000806180</v>
      </c>
      <c r="D4687" t="str">
        <f t="shared" si="1908"/>
        <v>73185</v>
      </c>
      <c r="E4687" t="str">
        <f t="shared" si="1909"/>
        <v>KFH-OPERATIONS DEPARTMENT</v>
      </c>
      <c r="F4687" t="str">
        <f t="shared" si="1910"/>
        <v>IBG</v>
      </c>
      <c r="G4687" t="str">
        <f t="shared" si="1923"/>
        <v>Refund COSHARE 10</v>
      </c>
      <c r="H4687" s="2">
        <v>1893.05</v>
      </c>
      <c r="I4687" t="str">
        <f>"FAIL  ZURAINI BINTI ABDUL RAZAK"</f>
        <v>FAIL  ZURAINI BINTI ABDUL RAZAK</v>
      </c>
      <c r="J4687" t="str">
        <f t="shared" si="1899"/>
        <v>MAYBANK / MAYBANK ISLAMIC</v>
      </c>
      <c r="K4687" t="str">
        <f>"162106484964"</f>
        <v>162106484964</v>
      </c>
      <c r="L4687" t="str">
        <f t="shared" ref="L4687:M4706" si="1924">"04-08-2020"</f>
        <v>04-08-2020</v>
      </c>
      <c r="M4687" t="str">
        <f t="shared" si="1924"/>
        <v>04-08-2020</v>
      </c>
      <c r="N4687" t="str">
        <f t="shared" si="1911"/>
        <v>001105018356</v>
      </c>
      <c r="O4687" t="str">
        <f t="shared" si="1912"/>
        <v>MYR</v>
      </c>
      <c r="P4687" t="str">
        <f t="shared" ref="P4687:Q4706" si="1925">"NIL"</f>
        <v>NIL</v>
      </c>
      <c r="Q4687" t="str">
        <f t="shared" si="1925"/>
        <v>NIL</v>
      </c>
      <c r="R4687" t="str">
        <f t="shared" si="1913"/>
        <v>Accepted</v>
      </c>
      <c r="S4687" t="str">
        <f t="shared" si="1914"/>
        <v>Approved</v>
      </c>
      <c r="T4687" t="str">
        <f t="shared" si="1915"/>
        <v>10.20.8.188</v>
      </c>
      <c r="U4687" t="str">
        <f t="shared" si="1916"/>
        <v>AZRAD UMAR BIN SHAARI</v>
      </c>
      <c r="V4687" t="str">
        <f t="shared" si="1917"/>
        <v>FARHANA BINTI MUSTAPA</v>
      </c>
      <c r="W4687" t="str">
        <f t="shared" si="1918"/>
        <v>04-08-2020</v>
      </c>
      <c r="X4687" t="str">
        <f t="shared" si="1919"/>
        <v>RAZIMAH ANSAR AHMAD</v>
      </c>
      <c r="Y4687" t="str">
        <f t="shared" si="1920"/>
        <v>04-08-2020</v>
      </c>
      <c r="Z4687" t="str">
        <f>"COS10200804 4467"</f>
        <v>COS10200804 4467</v>
      </c>
    </row>
    <row r="4688" spans="1:26" x14ac:dyDescent="0.25">
      <c r="A4688" t="str">
        <f t="shared" si="1921"/>
        <v>04-08-2020 12:49:50</v>
      </c>
      <c r="B4688" t="str">
        <f>"0000806246"</f>
        <v>0000806246</v>
      </c>
      <c r="C4688" t="str">
        <f t="shared" si="1922"/>
        <v>0000806180</v>
      </c>
      <c r="D4688" t="str">
        <f t="shared" si="1908"/>
        <v>73185</v>
      </c>
      <c r="E4688" t="str">
        <f t="shared" si="1909"/>
        <v>KFH-OPERATIONS DEPARTMENT</v>
      </c>
      <c r="F4688" t="str">
        <f t="shared" si="1910"/>
        <v>IBG</v>
      </c>
      <c r="G4688" t="str">
        <f t="shared" si="1923"/>
        <v>Refund COSHARE 10</v>
      </c>
      <c r="H4688" s="2">
        <v>982.25</v>
      </c>
      <c r="I4688" t="str">
        <f>"FAHMI BIN HUSIN"</f>
        <v>FAHMI BIN HUSIN</v>
      </c>
      <c r="J4688" t="str">
        <f t="shared" si="1899"/>
        <v>MAYBANK / MAYBANK ISLAMIC</v>
      </c>
      <c r="K4688" t="str">
        <f>"162245683512"</f>
        <v>162245683512</v>
      </c>
      <c r="L4688" t="str">
        <f t="shared" si="1924"/>
        <v>04-08-2020</v>
      </c>
      <c r="M4688" t="str">
        <f t="shared" si="1924"/>
        <v>04-08-2020</v>
      </c>
      <c r="N4688" t="str">
        <f t="shared" si="1911"/>
        <v>001105018356</v>
      </c>
      <c r="O4688" t="str">
        <f t="shared" si="1912"/>
        <v>MYR</v>
      </c>
      <c r="P4688" t="str">
        <f t="shared" si="1925"/>
        <v>NIL</v>
      </c>
      <c r="Q4688" t="str">
        <f t="shared" si="1925"/>
        <v>NIL</v>
      </c>
      <c r="R4688" t="str">
        <f t="shared" si="1913"/>
        <v>Accepted</v>
      </c>
      <c r="S4688" t="str">
        <f t="shared" si="1914"/>
        <v>Approved</v>
      </c>
      <c r="T4688" t="str">
        <f t="shared" si="1915"/>
        <v>10.20.8.188</v>
      </c>
      <c r="U4688" t="str">
        <f t="shared" si="1916"/>
        <v>AZRAD UMAR BIN SHAARI</v>
      </c>
      <c r="V4688" t="str">
        <f t="shared" si="1917"/>
        <v>FARHANA BINTI MUSTAPA</v>
      </c>
      <c r="W4688" t="str">
        <f t="shared" si="1918"/>
        <v>04-08-2020</v>
      </c>
      <c r="X4688" t="str">
        <f t="shared" si="1919"/>
        <v>RAZIMAH ANSAR AHMAD</v>
      </c>
      <c r="Y4688" t="str">
        <f t="shared" si="1920"/>
        <v>04-08-2020</v>
      </c>
      <c r="Z4688" t="str">
        <f>"COS10200804 4466"</f>
        <v>COS10200804 4466</v>
      </c>
    </row>
    <row r="4689" spans="1:26" x14ac:dyDescent="0.25">
      <c r="A4689" t="str">
        <f t="shared" si="1921"/>
        <v>04-08-2020 12:49:50</v>
      </c>
      <c r="B4689" t="str">
        <f>"0000806245"</f>
        <v>0000806245</v>
      </c>
      <c r="C4689" t="str">
        <f t="shared" si="1922"/>
        <v>0000806180</v>
      </c>
      <c r="D4689" t="str">
        <f t="shared" si="1908"/>
        <v>73185</v>
      </c>
      <c r="E4689" t="str">
        <f t="shared" si="1909"/>
        <v>KFH-OPERATIONS DEPARTMENT</v>
      </c>
      <c r="F4689" t="str">
        <f t="shared" si="1910"/>
        <v>IBG</v>
      </c>
      <c r="G4689" t="str">
        <f t="shared" si="1923"/>
        <v>Refund COSHARE 10</v>
      </c>
      <c r="H4689" s="2">
        <v>84</v>
      </c>
      <c r="I4689" t="str">
        <f>"FAHLAWI BIN JAMALUDIN"</f>
        <v>FAHLAWI BIN JAMALUDIN</v>
      </c>
      <c r="J4689" t="str">
        <f t="shared" ref="J4689:J4752" si="1926">"MAYBANK / MAYBANK ISLAMIC"</f>
        <v>MAYBANK / MAYBANK ISLAMIC</v>
      </c>
      <c r="K4689" t="str">
        <f>"112102924498"</f>
        <v>112102924498</v>
      </c>
      <c r="L4689" t="str">
        <f t="shared" si="1924"/>
        <v>04-08-2020</v>
      </c>
      <c r="M4689" t="str">
        <f t="shared" si="1924"/>
        <v>04-08-2020</v>
      </c>
      <c r="N4689" t="str">
        <f t="shared" si="1911"/>
        <v>001105018356</v>
      </c>
      <c r="O4689" t="str">
        <f t="shared" si="1912"/>
        <v>MYR</v>
      </c>
      <c r="P4689" t="str">
        <f t="shared" si="1925"/>
        <v>NIL</v>
      </c>
      <c r="Q4689" t="str">
        <f t="shared" si="1925"/>
        <v>NIL</v>
      </c>
      <c r="R4689" t="str">
        <f t="shared" si="1913"/>
        <v>Accepted</v>
      </c>
      <c r="S4689" t="str">
        <f t="shared" si="1914"/>
        <v>Approved</v>
      </c>
      <c r="T4689" t="str">
        <f t="shared" si="1915"/>
        <v>10.20.8.188</v>
      </c>
      <c r="U4689" t="str">
        <f t="shared" si="1916"/>
        <v>AZRAD UMAR BIN SHAARI</v>
      </c>
      <c r="V4689" t="str">
        <f t="shared" si="1917"/>
        <v>FARHANA BINTI MUSTAPA</v>
      </c>
      <c r="W4689" t="str">
        <f t="shared" si="1918"/>
        <v>04-08-2020</v>
      </c>
      <c r="X4689" t="str">
        <f t="shared" si="1919"/>
        <v>RAZIMAH ANSAR AHMAD</v>
      </c>
      <c r="Y4689" t="str">
        <f t="shared" si="1920"/>
        <v>04-08-2020</v>
      </c>
      <c r="Z4689" t="str">
        <f>"COS10200804 4465"</f>
        <v>COS10200804 4465</v>
      </c>
    </row>
    <row r="4690" spans="1:26" x14ac:dyDescent="0.25">
      <c r="A4690" t="str">
        <f t="shared" si="1921"/>
        <v>04-08-2020 12:49:50</v>
      </c>
      <c r="B4690" t="str">
        <f>"0000806244"</f>
        <v>0000806244</v>
      </c>
      <c r="C4690" t="str">
        <f t="shared" si="1922"/>
        <v>0000806180</v>
      </c>
      <c r="D4690" t="str">
        <f t="shared" si="1908"/>
        <v>73185</v>
      </c>
      <c r="E4690" t="str">
        <f t="shared" si="1909"/>
        <v>KFH-OPERATIONS DEPARTMENT</v>
      </c>
      <c r="F4690" t="str">
        <f t="shared" si="1910"/>
        <v>IBG</v>
      </c>
      <c r="G4690" t="str">
        <f t="shared" si="1923"/>
        <v>Refund COSHARE 10</v>
      </c>
      <c r="H4690" s="2">
        <v>201.5</v>
      </c>
      <c r="I4690" t="str">
        <f>"FAHLAWI BIN JAMALUDIN"</f>
        <v>FAHLAWI BIN JAMALUDIN</v>
      </c>
      <c r="J4690" t="str">
        <f t="shared" si="1926"/>
        <v>MAYBANK / MAYBANK ISLAMIC</v>
      </c>
      <c r="K4690" t="str">
        <f>"112102924498"</f>
        <v>112102924498</v>
      </c>
      <c r="L4690" t="str">
        <f t="shared" si="1924"/>
        <v>04-08-2020</v>
      </c>
      <c r="M4690" t="str">
        <f t="shared" si="1924"/>
        <v>04-08-2020</v>
      </c>
      <c r="N4690" t="str">
        <f t="shared" si="1911"/>
        <v>001105018356</v>
      </c>
      <c r="O4690" t="str">
        <f t="shared" si="1912"/>
        <v>MYR</v>
      </c>
      <c r="P4690" t="str">
        <f t="shared" si="1925"/>
        <v>NIL</v>
      </c>
      <c r="Q4690" t="str">
        <f t="shared" si="1925"/>
        <v>NIL</v>
      </c>
      <c r="R4690" t="str">
        <f t="shared" si="1913"/>
        <v>Accepted</v>
      </c>
      <c r="S4690" t="str">
        <f t="shared" si="1914"/>
        <v>Approved</v>
      </c>
      <c r="T4690" t="str">
        <f t="shared" si="1915"/>
        <v>10.20.8.188</v>
      </c>
      <c r="U4690" t="str">
        <f t="shared" si="1916"/>
        <v>AZRAD UMAR BIN SHAARI</v>
      </c>
      <c r="V4690" t="str">
        <f t="shared" si="1917"/>
        <v>FARHANA BINTI MUSTAPA</v>
      </c>
      <c r="W4690" t="str">
        <f t="shared" si="1918"/>
        <v>04-08-2020</v>
      </c>
      <c r="X4690" t="str">
        <f t="shared" si="1919"/>
        <v>RAZIMAH ANSAR AHMAD</v>
      </c>
      <c r="Y4690" t="str">
        <f t="shared" si="1920"/>
        <v>04-08-2020</v>
      </c>
      <c r="Z4690" t="str">
        <f>"COS10200804 4464"</f>
        <v>COS10200804 4464</v>
      </c>
    </row>
    <row r="4691" spans="1:26" x14ac:dyDescent="0.25">
      <c r="A4691" t="str">
        <f t="shared" si="1921"/>
        <v>04-08-2020 12:49:50</v>
      </c>
      <c r="B4691" t="str">
        <f>"0000806243"</f>
        <v>0000806243</v>
      </c>
      <c r="C4691" t="str">
        <f t="shared" si="1922"/>
        <v>0000806180</v>
      </c>
      <c r="D4691" t="str">
        <f t="shared" si="1908"/>
        <v>73185</v>
      </c>
      <c r="E4691" t="str">
        <f t="shared" si="1909"/>
        <v>KFH-OPERATIONS DEPARTMENT</v>
      </c>
      <c r="F4691" t="str">
        <f t="shared" si="1910"/>
        <v>IBG</v>
      </c>
      <c r="G4691" t="str">
        <f t="shared" si="1923"/>
        <v>Refund COSHARE 10</v>
      </c>
      <c r="H4691" s="2">
        <v>1175.3</v>
      </c>
      <c r="I4691" t="str">
        <f>"FAHERINIZAM BIN RUSSALI"</f>
        <v>FAHERINIZAM BIN RUSSALI</v>
      </c>
      <c r="J4691" t="str">
        <f t="shared" si="1926"/>
        <v>MAYBANK / MAYBANK ISLAMIC</v>
      </c>
      <c r="K4691" t="str">
        <f>"162106699295"</f>
        <v>162106699295</v>
      </c>
      <c r="L4691" t="str">
        <f t="shared" si="1924"/>
        <v>04-08-2020</v>
      </c>
      <c r="M4691" t="str">
        <f t="shared" si="1924"/>
        <v>04-08-2020</v>
      </c>
      <c r="N4691" t="str">
        <f t="shared" si="1911"/>
        <v>001105018356</v>
      </c>
      <c r="O4691" t="str">
        <f t="shared" si="1912"/>
        <v>MYR</v>
      </c>
      <c r="P4691" t="str">
        <f t="shared" si="1925"/>
        <v>NIL</v>
      </c>
      <c r="Q4691" t="str">
        <f t="shared" si="1925"/>
        <v>NIL</v>
      </c>
      <c r="R4691" t="str">
        <f t="shared" si="1913"/>
        <v>Accepted</v>
      </c>
      <c r="S4691" t="str">
        <f t="shared" si="1914"/>
        <v>Approved</v>
      </c>
      <c r="T4691" t="str">
        <f t="shared" si="1915"/>
        <v>10.20.8.188</v>
      </c>
      <c r="U4691" t="str">
        <f t="shared" si="1916"/>
        <v>AZRAD UMAR BIN SHAARI</v>
      </c>
      <c r="V4691" t="str">
        <f t="shared" si="1917"/>
        <v>FARHANA BINTI MUSTAPA</v>
      </c>
      <c r="W4691" t="str">
        <f t="shared" si="1918"/>
        <v>04-08-2020</v>
      </c>
      <c r="X4691" t="str">
        <f t="shared" si="1919"/>
        <v>RAZIMAH ANSAR AHMAD</v>
      </c>
      <c r="Y4691" t="str">
        <f t="shared" si="1920"/>
        <v>04-08-2020</v>
      </c>
      <c r="Z4691" t="str">
        <f>"COS10200804 4463"</f>
        <v>COS10200804 4463</v>
      </c>
    </row>
    <row r="4692" spans="1:26" x14ac:dyDescent="0.25">
      <c r="A4692" t="str">
        <f t="shared" si="1921"/>
        <v>04-08-2020 12:49:50</v>
      </c>
      <c r="B4692" t="str">
        <f>"0000806242"</f>
        <v>0000806242</v>
      </c>
      <c r="C4692" t="str">
        <f t="shared" si="1922"/>
        <v>0000806180</v>
      </c>
      <c r="D4692" t="str">
        <f t="shared" si="1908"/>
        <v>73185</v>
      </c>
      <c r="E4692" t="str">
        <f t="shared" si="1909"/>
        <v>KFH-OPERATIONS DEPARTMENT</v>
      </c>
      <c r="F4692" t="str">
        <f t="shared" si="1910"/>
        <v>IBG</v>
      </c>
      <c r="G4692" t="str">
        <f t="shared" si="1923"/>
        <v>Refund COSHARE 10</v>
      </c>
      <c r="H4692" s="2">
        <v>242</v>
      </c>
      <c r="I4692" t="str">
        <f>"FAEZAH BINTI ISMAIL"</f>
        <v>FAEZAH BINTI ISMAIL</v>
      </c>
      <c r="J4692" t="str">
        <f t="shared" si="1926"/>
        <v>MAYBANK / MAYBANK ISLAMIC</v>
      </c>
      <c r="K4692" t="str">
        <f>"151016949221"</f>
        <v>151016949221</v>
      </c>
      <c r="L4692" t="str">
        <f t="shared" si="1924"/>
        <v>04-08-2020</v>
      </c>
      <c r="M4692" t="str">
        <f t="shared" si="1924"/>
        <v>04-08-2020</v>
      </c>
      <c r="N4692" t="str">
        <f t="shared" si="1911"/>
        <v>001105018356</v>
      </c>
      <c r="O4692" t="str">
        <f t="shared" si="1912"/>
        <v>MYR</v>
      </c>
      <c r="P4692" t="str">
        <f t="shared" si="1925"/>
        <v>NIL</v>
      </c>
      <c r="Q4692" t="str">
        <f t="shared" si="1925"/>
        <v>NIL</v>
      </c>
      <c r="R4692" t="str">
        <f t="shared" si="1913"/>
        <v>Accepted</v>
      </c>
      <c r="S4692" t="str">
        <f t="shared" si="1914"/>
        <v>Approved</v>
      </c>
      <c r="T4692" t="str">
        <f t="shared" si="1915"/>
        <v>10.20.8.188</v>
      </c>
      <c r="U4692" t="str">
        <f t="shared" si="1916"/>
        <v>AZRAD UMAR BIN SHAARI</v>
      </c>
      <c r="V4692" t="str">
        <f t="shared" si="1917"/>
        <v>FARHANA BINTI MUSTAPA</v>
      </c>
      <c r="W4692" t="str">
        <f t="shared" si="1918"/>
        <v>04-08-2020</v>
      </c>
      <c r="X4692" t="str">
        <f t="shared" si="1919"/>
        <v>RAZIMAH ANSAR AHMAD</v>
      </c>
      <c r="Y4692" t="str">
        <f t="shared" si="1920"/>
        <v>04-08-2020</v>
      </c>
      <c r="Z4692" t="str">
        <f>"COS10200804 4462"</f>
        <v>COS10200804 4462</v>
      </c>
    </row>
    <row r="4693" spans="1:26" x14ac:dyDescent="0.25">
      <c r="A4693" t="str">
        <f t="shared" si="1921"/>
        <v>04-08-2020 12:49:50</v>
      </c>
      <c r="B4693" t="str">
        <f>"0000806241"</f>
        <v>0000806241</v>
      </c>
      <c r="C4693" t="str">
        <f t="shared" si="1922"/>
        <v>0000806180</v>
      </c>
      <c r="D4693" t="str">
        <f t="shared" si="1908"/>
        <v>73185</v>
      </c>
      <c r="E4693" t="str">
        <f t="shared" si="1909"/>
        <v>KFH-OPERATIONS DEPARTMENT</v>
      </c>
      <c r="F4693" t="str">
        <f t="shared" si="1910"/>
        <v>IBG</v>
      </c>
      <c r="G4693" t="str">
        <f t="shared" si="1923"/>
        <v>Refund COSHARE 10</v>
      </c>
      <c r="H4693" s="2">
        <v>635.20000000000005</v>
      </c>
      <c r="I4693" t="str">
        <f>"FADZILAH BINTI SARKAM"</f>
        <v>FADZILAH BINTI SARKAM</v>
      </c>
      <c r="J4693" t="str">
        <f t="shared" si="1926"/>
        <v>MAYBANK / MAYBANK ISLAMIC</v>
      </c>
      <c r="K4693" t="str">
        <f>"152116015691"</f>
        <v>152116015691</v>
      </c>
      <c r="L4693" t="str">
        <f t="shared" si="1924"/>
        <v>04-08-2020</v>
      </c>
      <c r="M4693" t="str">
        <f t="shared" si="1924"/>
        <v>04-08-2020</v>
      </c>
      <c r="N4693" t="str">
        <f t="shared" si="1911"/>
        <v>001105018356</v>
      </c>
      <c r="O4693" t="str">
        <f t="shared" si="1912"/>
        <v>MYR</v>
      </c>
      <c r="P4693" t="str">
        <f t="shared" si="1925"/>
        <v>NIL</v>
      </c>
      <c r="Q4693" t="str">
        <f t="shared" si="1925"/>
        <v>NIL</v>
      </c>
      <c r="R4693" t="str">
        <f t="shared" si="1913"/>
        <v>Accepted</v>
      </c>
      <c r="S4693" t="str">
        <f t="shared" si="1914"/>
        <v>Approved</v>
      </c>
      <c r="T4693" t="str">
        <f t="shared" si="1915"/>
        <v>10.20.8.188</v>
      </c>
      <c r="U4693" t="str">
        <f t="shared" si="1916"/>
        <v>AZRAD UMAR BIN SHAARI</v>
      </c>
      <c r="V4693" t="str">
        <f t="shared" si="1917"/>
        <v>FARHANA BINTI MUSTAPA</v>
      </c>
      <c r="W4693" t="str">
        <f t="shared" si="1918"/>
        <v>04-08-2020</v>
      </c>
      <c r="X4693" t="str">
        <f t="shared" si="1919"/>
        <v>RAZIMAH ANSAR AHMAD</v>
      </c>
      <c r="Y4693" t="str">
        <f t="shared" si="1920"/>
        <v>04-08-2020</v>
      </c>
      <c r="Z4693" t="str">
        <f>"COS10200804 4461"</f>
        <v>COS10200804 4461</v>
      </c>
    </row>
    <row r="4694" spans="1:26" x14ac:dyDescent="0.25">
      <c r="A4694" t="str">
        <f t="shared" si="1921"/>
        <v>04-08-2020 12:49:50</v>
      </c>
      <c r="B4694" t="str">
        <f>"0000806240"</f>
        <v>0000806240</v>
      </c>
      <c r="C4694" t="str">
        <f t="shared" si="1922"/>
        <v>0000806180</v>
      </c>
      <c r="D4694" t="str">
        <f t="shared" si="1908"/>
        <v>73185</v>
      </c>
      <c r="E4694" t="str">
        <f t="shared" si="1909"/>
        <v>KFH-OPERATIONS DEPARTMENT</v>
      </c>
      <c r="F4694" t="str">
        <f t="shared" si="1910"/>
        <v>IBG</v>
      </c>
      <c r="G4694" t="str">
        <f t="shared" si="1923"/>
        <v>Refund COSHARE 10</v>
      </c>
      <c r="H4694" s="2">
        <v>369.4</v>
      </c>
      <c r="I4694" t="str">
        <f>"FADZILAH BINTI MAHAT"</f>
        <v>FADZILAH BINTI MAHAT</v>
      </c>
      <c r="J4694" t="str">
        <f t="shared" si="1926"/>
        <v>MAYBANK / MAYBANK ISLAMIC</v>
      </c>
      <c r="K4694" t="str">
        <f>"151427068593"</f>
        <v>151427068593</v>
      </c>
      <c r="L4694" t="str">
        <f t="shared" si="1924"/>
        <v>04-08-2020</v>
      </c>
      <c r="M4694" t="str">
        <f t="shared" si="1924"/>
        <v>04-08-2020</v>
      </c>
      <c r="N4694" t="str">
        <f t="shared" si="1911"/>
        <v>001105018356</v>
      </c>
      <c r="O4694" t="str">
        <f t="shared" si="1912"/>
        <v>MYR</v>
      </c>
      <c r="P4694" t="str">
        <f t="shared" si="1925"/>
        <v>NIL</v>
      </c>
      <c r="Q4694" t="str">
        <f t="shared" si="1925"/>
        <v>NIL</v>
      </c>
      <c r="R4694" t="str">
        <f t="shared" si="1913"/>
        <v>Accepted</v>
      </c>
      <c r="S4694" t="str">
        <f t="shared" si="1914"/>
        <v>Approved</v>
      </c>
      <c r="T4694" t="str">
        <f t="shared" si="1915"/>
        <v>10.20.8.188</v>
      </c>
      <c r="U4694" t="str">
        <f t="shared" si="1916"/>
        <v>AZRAD UMAR BIN SHAARI</v>
      </c>
      <c r="V4694" t="str">
        <f t="shared" si="1917"/>
        <v>FARHANA BINTI MUSTAPA</v>
      </c>
      <c r="W4694" t="str">
        <f t="shared" si="1918"/>
        <v>04-08-2020</v>
      </c>
      <c r="X4694" t="str">
        <f t="shared" si="1919"/>
        <v>RAZIMAH ANSAR AHMAD</v>
      </c>
      <c r="Y4694" t="str">
        <f t="shared" si="1920"/>
        <v>04-08-2020</v>
      </c>
      <c r="Z4694" t="str">
        <f>"COS10200804 4460"</f>
        <v>COS10200804 4460</v>
      </c>
    </row>
    <row r="4695" spans="1:26" x14ac:dyDescent="0.25">
      <c r="A4695" t="str">
        <f t="shared" si="1921"/>
        <v>04-08-2020 12:49:50</v>
      </c>
      <c r="B4695" t="str">
        <f>"0000806239"</f>
        <v>0000806239</v>
      </c>
      <c r="C4695" t="str">
        <f t="shared" si="1922"/>
        <v>0000806180</v>
      </c>
      <c r="D4695" t="str">
        <f t="shared" si="1908"/>
        <v>73185</v>
      </c>
      <c r="E4695" t="str">
        <f t="shared" si="1909"/>
        <v>KFH-OPERATIONS DEPARTMENT</v>
      </c>
      <c r="F4695" t="str">
        <f t="shared" si="1910"/>
        <v>IBG</v>
      </c>
      <c r="G4695" t="str">
        <f t="shared" si="1923"/>
        <v>Refund COSHARE 10</v>
      </c>
      <c r="H4695" s="2">
        <v>722</v>
      </c>
      <c r="I4695" t="str">
        <f>"FADZIL NOR BIN ABDULLAH HANIF"</f>
        <v>FADZIL NOR BIN ABDULLAH HANIF</v>
      </c>
      <c r="J4695" t="str">
        <f t="shared" si="1926"/>
        <v>MAYBANK / MAYBANK ISLAMIC</v>
      </c>
      <c r="K4695" t="str">
        <f>"152107995557"</f>
        <v>152107995557</v>
      </c>
      <c r="L4695" t="str">
        <f t="shared" si="1924"/>
        <v>04-08-2020</v>
      </c>
      <c r="M4695" t="str">
        <f t="shared" si="1924"/>
        <v>04-08-2020</v>
      </c>
      <c r="N4695" t="str">
        <f t="shared" si="1911"/>
        <v>001105018356</v>
      </c>
      <c r="O4695" t="str">
        <f t="shared" si="1912"/>
        <v>MYR</v>
      </c>
      <c r="P4695" t="str">
        <f t="shared" si="1925"/>
        <v>NIL</v>
      </c>
      <c r="Q4695" t="str">
        <f t="shared" si="1925"/>
        <v>NIL</v>
      </c>
      <c r="R4695" t="str">
        <f t="shared" si="1913"/>
        <v>Accepted</v>
      </c>
      <c r="S4695" t="str">
        <f t="shared" si="1914"/>
        <v>Approved</v>
      </c>
      <c r="T4695" t="str">
        <f t="shared" si="1915"/>
        <v>10.20.8.188</v>
      </c>
      <c r="U4695" t="str">
        <f t="shared" si="1916"/>
        <v>AZRAD UMAR BIN SHAARI</v>
      </c>
      <c r="V4695" t="str">
        <f t="shared" si="1917"/>
        <v>FARHANA BINTI MUSTAPA</v>
      </c>
      <c r="W4695" t="str">
        <f t="shared" si="1918"/>
        <v>04-08-2020</v>
      </c>
      <c r="X4695" t="str">
        <f t="shared" si="1919"/>
        <v>RAZIMAH ANSAR AHMAD</v>
      </c>
      <c r="Y4695" t="str">
        <f t="shared" si="1920"/>
        <v>04-08-2020</v>
      </c>
      <c r="Z4695" t="str">
        <f>"COS10200804 4459"</f>
        <v>COS10200804 4459</v>
      </c>
    </row>
    <row r="4696" spans="1:26" x14ac:dyDescent="0.25">
      <c r="A4696" t="str">
        <f t="shared" si="1921"/>
        <v>04-08-2020 12:49:50</v>
      </c>
      <c r="B4696" t="str">
        <f>"0000806238"</f>
        <v>0000806238</v>
      </c>
      <c r="C4696" t="str">
        <f t="shared" si="1922"/>
        <v>0000806180</v>
      </c>
      <c r="D4696" t="str">
        <f t="shared" si="1908"/>
        <v>73185</v>
      </c>
      <c r="E4696" t="str">
        <f t="shared" si="1909"/>
        <v>KFH-OPERATIONS DEPARTMENT</v>
      </c>
      <c r="F4696" t="str">
        <f t="shared" si="1910"/>
        <v>IBG</v>
      </c>
      <c r="G4696" t="str">
        <f t="shared" si="1923"/>
        <v>Refund COSHARE 10</v>
      </c>
      <c r="H4696" s="2">
        <v>964</v>
      </c>
      <c r="I4696" t="str">
        <f>"FADILLAH BIN KALBI"</f>
        <v>FADILLAH BIN KALBI</v>
      </c>
      <c r="J4696" t="str">
        <f t="shared" si="1926"/>
        <v>MAYBANK / MAYBANK ISLAMIC</v>
      </c>
      <c r="K4696" t="str">
        <f>"161051434381"</f>
        <v>161051434381</v>
      </c>
      <c r="L4696" t="str">
        <f t="shared" si="1924"/>
        <v>04-08-2020</v>
      </c>
      <c r="M4696" t="str">
        <f t="shared" si="1924"/>
        <v>04-08-2020</v>
      </c>
      <c r="N4696" t="str">
        <f t="shared" si="1911"/>
        <v>001105018356</v>
      </c>
      <c r="O4696" t="str">
        <f t="shared" si="1912"/>
        <v>MYR</v>
      </c>
      <c r="P4696" t="str">
        <f t="shared" si="1925"/>
        <v>NIL</v>
      </c>
      <c r="Q4696" t="str">
        <f t="shared" si="1925"/>
        <v>NIL</v>
      </c>
      <c r="R4696" t="str">
        <f t="shared" si="1913"/>
        <v>Accepted</v>
      </c>
      <c r="S4696" t="str">
        <f t="shared" si="1914"/>
        <v>Approved</v>
      </c>
      <c r="T4696" t="str">
        <f t="shared" si="1915"/>
        <v>10.20.8.188</v>
      </c>
      <c r="U4696" t="str">
        <f t="shared" si="1916"/>
        <v>AZRAD UMAR BIN SHAARI</v>
      </c>
      <c r="V4696" t="str">
        <f t="shared" si="1917"/>
        <v>FARHANA BINTI MUSTAPA</v>
      </c>
      <c r="W4696" t="str">
        <f t="shared" si="1918"/>
        <v>04-08-2020</v>
      </c>
      <c r="X4696" t="str">
        <f t="shared" si="1919"/>
        <v>RAZIMAH ANSAR AHMAD</v>
      </c>
      <c r="Y4696" t="str">
        <f t="shared" si="1920"/>
        <v>04-08-2020</v>
      </c>
      <c r="Z4696" t="str">
        <f>"COS10200804 4458"</f>
        <v>COS10200804 4458</v>
      </c>
    </row>
    <row r="4697" spans="1:26" x14ac:dyDescent="0.25">
      <c r="A4697" t="str">
        <f t="shared" si="1921"/>
        <v>04-08-2020 12:49:50</v>
      </c>
      <c r="B4697" t="str">
        <f>"0000806237"</f>
        <v>0000806237</v>
      </c>
      <c r="C4697" t="str">
        <f t="shared" si="1922"/>
        <v>0000806180</v>
      </c>
      <c r="D4697" t="str">
        <f t="shared" si="1908"/>
        <v>73185</v>
      </c>
      <c r="E4697" t="str">
        <f t="shared" si="1909"/>
        <v>KFH-OPERATIONS DEPARTMENT</v>
      </c>
      <c r="F4697" t="str">
        <f t="shared" si="1910"/>
        <v>IBG</v>
      </c>
      <c r="G4697" t="str">
        <f t="shared" si="1923"/>
        <v>Refund COSHARE 10</v>
      </c>
      <c r="H4697" s="2">
        <v>357.45</v>
      </c>
      <c r="I4697" t="str">
        <f>"FADILAH BINTI MOHAMED YUSOF"</f>
        <v>FADILAH BINTI MOHAMED YUSOF</v>
      </c>
      <c r="J4697" t="str">
        <f t="shared" si="1926"/>
        <v>MAYBANK / MAYBANK ISLAMIC</v>
      </c>
      <c r="K4697" t="str">
        <f>"106034030966"</f>
        <v>106034030966</v>
      </c>
      <c r="L4697" t="str">
        <f t="shared" si="1924"/>
        <v>04-08-2020</v>
      </c>
      <c r="M4697" t="str">
        <f t="shared" si="1924"/>
        <v>04-08-2020</v>
      </c>
      <c r="N4697" t="str">
        <f t="shared" si="1911"/>
        <v>001105018356</v>
      </c>
      <c r="O4697" t="str">
        <f t="shared" si="1912"/>
        <v>MYR</v>
      </c>
      <c r="P4697" t="str">
        <f t="shared" si="1925"/>
        <v>NIL</v>
      </c>
      <c r="Q4697" t="str">
        <f t="shared" si="1925"/>
        <v>NIL</v>
      </c>
      <c r="R4697" t="str">
        <f t="shared" si="1913"/>
        <v>Accepted</v>
      </c>
      <c r="S4697" t="str">
        <f t="shared" si="1914"/>
        <v>Approved</v>
      </c>
      <c r="T4697" t="str">
        <f t="shared" si="1915"/>
        <v>10.20.8.188</v>
      </c>
      <c r="U4697" t="str">
        <f t="shared" si="1916"/>
        <v>AZRAD UMAR BIN SHAARI</v>
      </c>
      <c r="V4697" t="str">
        <f t="shared" si="1917"/>
        <v>FARHANA BINTI MUSTAPA</v>
      </c>
      <c r="W4697" t="str">
        <f t="shared" si="1918"/>
        <v>04-08-2020</v>
      </c>
      <c r="X4697" t="str">
        <f t="shared" si="1919"/>
        <v>RAZIMAH ANSAR AHMAD</v>
      </c>
      <c r="Y4697" t="str">
        <f t="shared" si="1920"/>
        <v>04-08-2020</v>
      </c>
      <c r="Z4697" t="str">
        <f>"COS10200804 4457"</f>
        <v>COS10200804 4457</v>
      </c>
    </row>
    <row r="4698" spans="1:26" x14ac:dyDescent="0.25">
      <c r="A4698" t="str">
        <f t="shared" si="1921"/>
        <v>04-08-2020 12:49:50</v>
      </c>
      <c r="B4698" t="str">
        <f>"0000806236"</f>
        <v>0000806236</v>
      </c>
      <c r="C4698" t="str">
        <f t="shared" si="1922"/>
        <v>0000806180</v>
      </c>
      <c r="D4698" t="str">
        <f t="shared" si="1908"/>
        <v>73185</v>
      </c>
      <c r="E4698" t="str">
        <f t="shared" si="1909"/>
        <v>KFH-OPERATIONS DEPARTMENT</v>
      </c>
      <c r="F4698" t="str">
        <f t="shared" si="1910"/>
        <v>IBG</v>
      </c>
      <c r="G4698" t="str">
        <f t="shared" si="1923"/>
        <v>Refund COSHARE 10</v>
      </c>
      <c r="H4698" s="2">
        <v>92.35</v>
      </c>
      <c r="I4698" t="str">
        <f>"FADIL HIKMA BIN KAMAL BHARIN"</f>
        <v>FADIL HIKMA BIN KAMAL BHARIN</v>
      </c>
      <c r="J4698" t="str">
        <f t="shared" si="1926"/>
        <v>MAYBANK / MAYBANK ISLAMIC</v>
      </c>
      <c r="K4698" t="str">
        <f>"164098527140"</f>
        <v>164098527140</v>
      </c>
      <c r="L4698" t="str">
        <f t="shared" si="1924"/>
        <v>04-08-2020</v>
      </c>
      <c r="M4698" t="str">
        <f t="shared" si="1924"/>
        <v>04-08-2020</v>
      </c>
      <c r="N4698" t="str">
        <f t="shared" si="1911"/>
        <v>001105018356</v>
      </c>
      <c r="O4698" t="str">
        <f t="shared" si="1912"/>
        <v>MYR</v>
      </c>
      <c r="P4698" t="str">
        <f t="shared" si="1925"/>
        <v>NIL</v>
      </c>
      <c r="Q4698" t="str">
        <f t="shared" si="1925"/>
        <v>NIL</v>
      </c>
      <c r="R4698" t="str">
        <f t="shared" si="1913"/>
        <v>Accepted</v>
      </c>
      <c r="S4698" t="str">
        <f t="shared" si="1914"/>
        <v>Approved</v>
      </c>
      <c r="T4698" t="str">
        <f t="shared" si="1915"/>
        <v>10.20.8.188</v>
      </c>
      <c r="U4698" t="str">
        <f t="shared" si="1916"/>
        <v>AZRAD UMAR BIN SHAARI</v>
      </c>
      <c r="V4698" t="str">
        <f t="shared" si="1917"/>
        <v>FARHANA BINTI MUSTAPA</v>
      </c>
      <c r="W4698" t="str">
        <f t="shared" si="1918"/>
        <v>04-08-2020</v>
      </c>
      <c r="X4698" t="str">
        <f t="shared" si="1919"/>
        <v>RAZIMAH ANSAR AHMAD</v>
      </c>
      <c r="Y4698" t="str">
        <f t="shared" si="1920"/>
        <v>04-08-2020</v>
      </c>
      <c r="Z4698" t="str">
        <f>"COS10200804 4456"</f>
        <v>COS10200804 4456</v>
      </c>
    </row>
    <row r="4699" spans="1:26" x14ac:dyDescent="0.25">
      <c r="A4699" t="str">
        <f t="shared" si="1921"/>
        <v>04-08-2020 12:49:50</v>
      </c>
      <c r="B4699" t="str">
        <f>"0000806235"</f>
        <v>0000806235</v>
      </c>
      <c r="C4699" t="str">
        <f t="shared" si="1922"/>
        <v>0000806180</v>
      </c>
      <c r="D4699" t="str">
        <f t="shared" si="1908"/>
        <v>73185</v>
      </c>
      <c r="E4699" t="str">
        <f t="shared" si="1909"/>
        <v>KFH-OPERATIONS DEPARTMENT</v>
      </c>
      <c r="F4699" t="str">
        <f t="shared" si="1910"/>
        <v>IBG</v>
      </c>
      <c r="G4699" t="str">
        <f t="shared" si="1923"/>
        <v>Refund COSHARE 10</v>
      </c>
      <c r="H4699" s="2">
        <v>755.55</v>
      </c>
      <c r="I4699" t="str">
        <f>"FADHILAHTUN BINTI IBRAHIM"</f>
        <v>FADHILAHTUN BINTI IBRAHIM</v>
      </c>
      <c r="J4699" t="str">
        <f t="shared" si="1926"/>
        <v>MAYBANK / MAYBANK ISLAMIC</v>
      </c>
      <c r="K4699" t="str">
        <f>"154026086645"</f>
        <v>154026086645</v>
      </c>
      <c r="L4699" t="str">
        <f t="shared" si="1924"/>
        <v>04-08-2020</v>
      </c>
      <c r="M4699" t="str">
        <f t="shared" si="1924"/>
        <v>04-08-2020</v>
      </c>
      <c r="N4699" t="str">
        <f t="shared" si="1911"/>
        <v>001105018356</v>
      </c>
      <c r="O4699" t="str">
        <f t="shared" si="1912"/>
        <v>MYR</v>
      </c>
      <c r="P4699" t="str">
        <f t="shared" si="1925"/>
        <v>NIL</v>
      </c>
      <c r="Q4699" t="str">
        <f t="shared" si="1925"/>
        <v>NIL</v>
      </c>
      <c r="R4699" t="str">
        <f t="shared" si="1913"/>
        <v>Accepted</v>
      </c>
      <c r="S4699" t="str">
        <f t="shared" si="1914"/>
        <v>Approved</v>
      </c>
      <c r="T4699" t="str">
        <f t="shared" si="1915"/>
        <v>10.20.8.188</v>
      </c>
      <c r="U4699" t="str">
        <f t="shared" si="1916"/>
        <v>AZRAD UMAR BIN SHAARI</v>
      </c>
      <c r="V4699" t="str">
        <f t="shared" si="1917"/>
        <v>FARHANA BINTI MUSTAPA</v>
      </c>
      <c r="W4699" t="str">
        <f t="shared" si="1918"/>
        <v>04-08-2020</v>
      </c>
      <c r="X4699" t="str">
        <f t="shared" si="1919"/>
        <v>RAZIMAH ANSAR AHMAD</v>
      </c>
      <c r="Y4699" t="str">
        <f t="shared" si="1920"/>
        <v>04-08-2020</v>
      </c>
      <c r="Z4699" t="str">
        <f>"COS10200804 4455"</f>
        <v>COS10200804 4455</v>
      </c>
    </row>
    <row r="4700" spans="1:26" x14ac:dyDescent="0.25">
      <c r="A4700" t="str">
        <f t="shared" si="1921"/>
        <v>04-08-2020 12:49:50</v>
      </c>
      <c r="B4700" t="str">
        <f>"0000806234"</f>
        <v>0000806234</v>
      </c>
      <c r="C4700" t="str">
        <f t="shared" si="1922"/>
        <v>0000806180</v>
      </c>
      <c r="D4700" t="str">
        <f t="shared" si="1908"/>
        <v>73185</v>
      </c>
      <c r="E4700" t="str">
        <f t="shared" si="1909"/>
        <v>KFH-OPERATIONS DEPARTMENT</v>
      </c>
      <c r="F4700" t="str">
        <f t="shared" si="1910"/>
        <v>IBG</v>
      </c>
      <c r="G4700" t="str">
        <f t="shared" si="1923"/>
        <v>Refund COSHARE 10</v>
      </c>
      <c r="H4700" s="2">
        <v>463</v>
      </c>
      <c r="I4700" t="str">
        <f>"FADHILAH BINTI AHMAD TAJUDDIN"</f>
        <v>FADHILAH BINTI AHMAD TAJUDDIN</v>
      </c>
      <c r="J4700" t="str">
        <f t="shared" si="1926"/>
        <v>MAYBANK / MAYBANK ISLAMIC</v>
      </c>
      <c r="K4700" t="str">
        <f>"113015151957"</f>
        <v>113015151957</v>
      </c>
      <c r="L4700" t="str">
        <f t="shared" si="1924"/>
        <v>04-08-2020</v>
      </c>
      <c r="M4700" t="str">
        <f t="shared" si="1924"/>
        <v>04-08-2020</v>
      </c>
      <c r="N4700" t="str">
        <f t="shared" si="1911"/>
        <v>001105018356</v>
      </c>
      <c r="O4700" t="str">
        <f t="shared" si="1912"/>
        <v>MYR</v>
      </c>
      <c r="P4700" t="str">
        <f t="shared" si="1925"/>
        <v>NIL</v>
      </c>
      <c r="Q4700" t="str">
        <f t="shared" si="1925"/>
        <v>NIL</v>
      </c>
      <c r="R4700" t="str">
        <f t="shared" si="1913"/>
        <v>Accepted</v>
      </c>
      <c r="S4700" t="str">
        <f t="shared" si="1914"/>
        <v>Approved</v>
      </c>
      <c r="T4700" t="str">
        <f t="shared" si="1915"/>
        <v>10.20.8.188</v>
      </c>
      <c r="U4700" t="str">
        <f t="shared" si="1916"/>
        <v>AZRAD UMAR BIN SHAARI</v>
      </c>
      <c r="V4700" t="str">
        <f t="shared" si="1917"/>
        <v>FARHANA BINTI MUSTAPA</v>
      </c>
      <c r="W4700" t="str">
        <f t="shared" si="1918"/>
        <v>04-08-2020</v>
      </c>
      <c r="X4700" t="str">
        <f t="shared" si="1919"/>
        <v>RAZIMAH ANSAR AHMAD</v>
      </c>
      <c r="Y4700" t="str">
        <f t="shared" si="1920"/>
        <v>04-08-2020</v>
      </c>
      <c r="Z4700" t="str">
        <f>"COS10200804 4454"</f>
        <v>COS10200804 4454</v>
      </c>
    </row>
    <row r="4701" spans="1:26" x14ac:dyDescent="0.25">
      <c r="A4701" t="str">
        <f t="shared" si="1921"/>
        <v>04-08-2020 12:49:50</v>
      </c>
      <c r="B4701" t="str">
        <f>"0000806233"</f>
        <v>0000806233</v>
      </c>
      <c r="C4701" t="str">
        <f t="shared" si="1922"/>
        <v>0000806180</v>
      </c>
      <c r="D4701" t="str">
        <f t="shared" si="1908"/>
        <v>73185</v>
      </c>
      <c r="E4701" t="str">
        <f t="shared" si="1909"/>
        <v>KFH-OPERATIONS DEPARTMENT</v>
      </c>
      <c r="F4701" t="str">
        <f t="shared" si="1910"/>
        <v>IBG</v>
      </c>
      <c r="G4701" t="str">
        <f t="shared" si="1923"/>
        <v>Refund COSHARE 10</v>
      </c>
      <c r="H4701" s="2">
        <v>671.6</v>
      </c>
      <c r="I4701" t="str">
        <f>"EZURIEKA BINTI MOHD KHALID"</f>
        <v>EZURIEKA BINTI MOHD KHALID</v>
      </c>
      <c r="J4701" t="str">
        <f t="shared" si="1926"/>
        <v>MAYBANK / MAYBANK ISLAMIC</v>
      </c>
      <c r="K4701" t="str">
        <f>"151276006513"</f>
        <v>151276006513</v>
      </c>
      <c r="L4701" t="str">
        <f t="shared" si="1924"/>
        <v>04-08-2020</v>
      </c>
      <c r="M4701" t="str">
        <f t="shared" si="1924"/>
        <v>04-08-2020</v>
      </c>
      <c r="N4701" t="str">
        <f t="shared" si="1911"/>
        <v>001105018356</v>
      </c>
      <c r="O4701" t="str">
        <f t="shared" si="1912"/>
        <v>MYR</v>
      </c>
      <c r="P4701" t="str">
        <f t="shared" si="1925"/>
        <v>NIL</v>
      </c>
      <c r="Q4701" t="str">
        <f t="shared" si="1925"/>
        <v>NIL</v>
      </c>
      <c r="R4701" t="str">
        <f t="shared" si="1913"/>
        <v>Accepted</v>
      </c>
      <c r="S4701" t="str">
        <f t="shared" si="1914"/>
        <v>Approved</v>
      </c>
      <c r="T4701" t="str">
        <f t="shared" si="1915"/>
        <v>10.20.8.188</v>
      </c>
      <c r="U4701" t="str">
        <f t="shared" si="1916"/>
        <v>AZRAD UMAR BIN SHAARI</v>
      </c>
      <c r="V4701" t="str">
        <f t="shared" si="1917"/>
        <v>FARHANA BINTI MUSTAPA</v>
      </c>
      <c r="W4701" t="str">
        <f t="shared" si="1918"/>
        <v>04-08-2020</v>
      </c>
      <c r="X4701" t="str">
        <f t="shared" si="1919"/>
        <v>RAZIMAH ANSAR AHMAD</v>
      </c>
      <c r="Y4701" t="str">
        <f t="shared" si="1920"/>
        <v>04-08-2020</v>
      </c>
      <c r="Z4701" t="str">
        <f>"COS10200804 4453"</f>
        <v>COS10200804 4453</v>
      </c>
    </row>
    <row r="4702" spans="1:26" x14ac:dyDescent="0.25">
      <c r="A4702" t="str">
        <f t="shared" si="1921"/>
        <v>04-08-2020 12:49:50</v>
      </c>
      <c r="B4702" t="str">
        <f>"0000806232"</f>
        <v>0000806232</v>
      </c>
      <c r="C4702" t="str">
        <f t="shared" si="1922"/>
        <v>0000806180</v>
      </c>
      <c r="D4702" t="str">
        <f t="shared" si="1908"/>
        <v>73185</v>
      </c>
      <c r="E4702" t="str">
        <f t="shared" si="1909"/>
        <v>KFH-OPERATIONS DEPARTMENT</v>
      </c>
      <c r="F4702" t="str">
        <f t="shared" si="1910"/>
        <v>IBG</v>
      </c>
      <c r="G4702" t="str">
        <f t="shared" si="1923"/>
        <v>Refund COSHARE 10</v>
      </c>
      <c r="H4702" s="2">
        <v>736.75</v>
      </c>
      <c r="I4702" t="str">
        <f>"EZILA BINTI MISDAR"</f>
        <v>EZILA BINTI MISDAR</v>
      </c>
      <c r="J4702" t="str">
        <f t="shared" si="1926"/>
        <v>MAYBANK / MAYBANK ISLAMIC</v>
      </c>
      <c r="K4702" t="str">
        <f>"161097030387"</f>
        <v>161097030387</v>
      </c>
      <c r="L4702" t="str">
        <f t="shared" si="1924"/>
        <v>04-08-2020</v>
      </c>
      <c r="M4702" t="str">
        <f t="shared" si="1924"/>
        <v>04-08-2020</v>
      </c>
      <c r="N4702" t="str">
        <f t="shared" si="1911"/>
        <v>001105018356</v>
      </c>
      <c r="O4702" t="str">
        <f t="shared" si="1912"/>
        <v>MYR</v>
      </c>
      <c r="P4702" t="str">
        <f t="shared" si="1925"/>
        <v>NIL</v>
      </c>
      <c r="Q4702" t="str">
        <f t="shared" si="1925"/>
        <v>NIL</v>
      </c>
      <c r="R4702" t="str">
        <f t="shared" si="1913"/>
        <v>Accepted</v>
      </c>
      <c r="S4702" t="str">
        <f t="shared" si="1914"/>
        <v>Approved</v>
      </c>
      <c r="T4702" t="str">
        <f t="shared" si="1915"/>
        <v>10.20.8.188</v>
      </c>
      <c r="U4702" t="str">
        <f t="shared" si="1916"/>
        <v>AZRAD UMAR BIN SHAARI</v>
      </c>
      <c r="V4702" t="str">
        <f t="shared" si="1917"/>
        <v>FARHANA BINTI MUSTAPA</v>
      </c>
      <c r="W4702" t="str">
        <f t="shared" si="1918"/>
        <v>04-08-2020</v>
      </c>
      <c r="X4702" t="str">
        <f t="shared" si="1919"/>
        <v>RAZIMAH ANSAR AHMAD</v>
      </c>
      <c r="Y4702" t="str">
        <f t="shared" si="1920"/>
        <v>04-08-2020</v>
      </c>
      <c r="Z4702" t="str">
        <f>"COS10200804 4452"</f>
        <v>COS10200804 4452</v>
      </c>
    </row>
    <row r="4703" spans="1:26" x14ac:dyDescent="0.25">
      <c r="A4703" t="str">
        <f t="shared" si="1921"/>
        <v>04-08-2020 12:49:50</v>
      </c>
      <c r="B4703" t="str">
        <f>"0000806231"</f>
        <v>0000806231</v>
      </c>
      <c r="C4703" t="str">
        <f t="shared" si="1922"/>
        <v>0000806180</v>
      </c>
      <c r="D4703" t="str">
        <f t="shared" si="1908"/>
        <v>73185</v>
      </c>
      <c r="E4703" t="str">
        <f t="shared" si="1909"/>
        <v>KFH-OPERATIONS DEPARTMENT</v>
      </c>
      <c r="F4703" t="str">
        <f t="shared" si="1910"/>
        <v>IBG</v>
      </c>
      <c r="G4703" t="str">
        <f t="shared" si="1923"/>
        <v>Refund COSHARE 10</v>
      </c>
      <c r="H4703" s="2">
        <v>335.8</v>
      </c>
      <c r="I4703" t="str">
        <f>"EZA ANAK EDWIN"</f>
        <v>EZA ANAK EDWIN</v>
      </c>
      <c r="J4703" t="str">
        <f t="shared" si="1926"/>
        <v>MAYBANK / MAYBANK ISLAMIC</v>
      </c>
      <c r="K4703" t="str">
        <f>"161181046573"</f>
        <v>161181046573</v>
      </c>
      <c r="L4703" t="str">
        <f t="shared" si="1924"/>
        <v>04-08-2020</v>
      </c>
      <c r="M4703" t="str">
        <f t="shared" si="1924"/>
        <v>04-08-2020</v>
      </c>
      <c r="N4703" t="str">
        <f t="shared" si="1911"/>
        <v>001105018356</v>
      </c>
      <c r="O4703" t="str">
        <f t="shared" si="1912"/>
        <v>MYR</v>
      </c>
      <c r="P4703" t="str">
        <f t="shared" si="1925"/>
        <v>NIL</v>
      </c>
      <c r="Q4703" t="str">
        <f t="shared" si="1925"/>
        <v>NIL</v>
      </c>
      <c r="R4703" t="str">
        <f t="shared" si="1913"/>
        <v>Accepted</v>
      </c>
      <c r="S4703" t="str">
        <f t="shared" si="1914"/>
        <v>Approved</v>
      </c>
      <c r="T4703" t="str">
        <f t="shared" si="1915"/>
        <v>10.20.8.188</v>
      </c>
      <c r="U4703" t="str">
        <f t="shared" si="1916"/>
        <v>AZRAD UMAR BIN SHAARI</v>
      </c>
      <c r="V4703" t="str">
        <f t="shared" si="1917"/>
        <v>FARHANA BINTI MUSTAPA</v>
      </c>
      <c r="W4703" t="str">
        <f t="shared" si="1918"/>
        <v>04-08-2020</v>
      </c>
      <c r="X4703" t="str">
        <f t="shared" si="1919"/>
        <v>RAZIMAH ANSAR AHMAD</v>
      </c>
      <c r="Y4703" t="str">
        <f t="shared" si="1920"/>
        <v>04-08-2020</v>
      </c>
      <c r="Z4703" t="str">
        <f>"COS10200804 4451"</f>
        <v>COS10200804 4451</v>
      </c>
    </row>
    <row r="4704" spans="1:26" x14ac:dyDescent="0.25">
      <c r="A4704" t="str">
        <f t="shared" si="1921"/>
        <v>04-08-2020 12:49:50</v>
      </c>
      <c r="B4704" t="str">
        <f>"0000806230"</f>
        <v>0000806230</v>
      </c>
      <c r="C4704" t="str">
        <f t="shared" si="1922"/>
        <v>0000806180</v>
      </c>
      <c r="D4704" t="str">
        <f t="shared" si="1908"/>
        <v>73185</v>
      </c>
      <c r="E4704" t="str">
        <f t="shared" si="1909"/>
        <v>KFH-OPERATIONS DEPARTMENT</v>
      </c>
      <c r="F4704" t="str">
        <f t="shared" si="1910"/>
        <v>IBG</v>
      </c>
      <c r="G4704" t="str">
        <f t="shared" si="1923"/>
        <v>Refund COSHARE 10</v>
      </c>
      <c r="H4704" s="2">
        <v>631.35</v>
      </c>
      <c r="I4704" t="str">
        <f>"EVELYEN ITA ANAK STANLEY LUKONG"</f>
        <v>EVELYEN ITA ANAK STANLEY LUKONG</v>
      </c>
      <c r="J4704" t="str">
        <f t="shared" si="1926"/>
        <v>MAYBANK / MAYBANK ISLAMIC</v>
      </c>
      <c r="K4704" t="str">
        <f>"161024380829"</f>
        <v>161024380829</v>
      </c>
      <c r="L4704" t="str">
        <f t="shared" si="1924"/>
        <v>04-08-2020</v>
      </c>
      <c r="M4704" t="str">
        <f t="shared" si="1924"/>
        <v>04-08-2020</v>
      </c>
      <c r="N4704" t="str">
        <f t="shared" si="1911"/>
        <v>001105018356</v>
      </c>
      <c r="O4704" t="str">
        <f t="shared" si="1912"/>
        <v>MYR</v>
      </c>
      <c r="P4704" t="str">
        <f t="shared" si="1925"/>
        <v>NIL</v>
      </c>
      <c r="Q4704" t="str">
        <f t="shared" si="1925"/>
        <v>NIL</v>
      </c>
      <c r="R4704" t="str">
        <f t="shared" si="1913"/>
        <v>Accepted</v>
      </c>
      <c r="S4704" t="str">
        <f t="shared" si="1914"/>
        <v>Approved</v>
      </c>
      <c r="T4704" t="str">
        <f t="shared" si="1915"/>
        <v>10.20.8.188</v>
      </c>
      <c r="U4704" t="str">
        <f t="shared" si="1916"/>
        <v>AZRAD UMAR BIN SHAARI</v>
      </c>
      <c r="V4704" t="str">
        <f t="shared" si="1917"/>
        <v>FARHANA BINTI MUSTAPA</v>
      </c>
      <c r="W4704" t="str">
        <f t="shared" si="1918"/>
        <v>04-08-2020</v>
      </c>
      <c r="X4704" t="str">
        <f t="shared" si="1919"/>
        <v>RAZIMAH ANSAR AHMAD</v>
      </c>
      <c r="Y4704" t="str">
        <f t="shared" si="1920"/>
        <v>04-08-2020</v>
      </c>
      <c r="Z4704" t="str">
        <f>"COS10200804 4450"</f>
        <v>COS10200804 4450</v>
      </c>
    </row>
    <row r="4705" spans="1:26" x14ac:dyDescent="0.25">
      <c r="A4705" t="str">
        <f t="shared" si="1921"/>
        <v>04-08-2020 12:49:50</v>
      </c>
      <c r="B4705" t="str">
        <f>"0000806229"</f>
        <v>0000806229</v>
      </c>
      <c r="C4705" t="str">
        <f t="shared" si="1922"/>
        <v>0000806180</v>
      </c>
      <c r="D4705" t="str">
        <f t="shared" si="1908"/>
        <v>73185</v>
      </c>
      <c r="E4705" t="str">
        <f t="shared" si="1909"/>
        <v>KFH-OPERATIONS DEPARTMENT</v>
      </c>
      <c r="F4705" t="str">
        <f t="shared" si="1910"/>
        <v>IBG</v>
      </c>
      <c r="G4705" t="str">
        <f t="shared" si="1923"/>
        <v>Refund COSHARE 10</v>
      </c>
      <c r="H4705" s="2">
        <v>268.64999999999998</v>
      </c>
      <c r="I4705" t="str">
        <f>"ETTY NOORZAMILA BINTI ZAINAL ABIDIN"</f>
        <v>ETTY NOORZAMILA BINTI ZAINAL ABIDIN</v>
      </c>
      <c r="J4705" t="str">
        <f t="shared" si="1926"/>
        <v>MAYBANK / MAYBANK ISLAMIC</v>
      </c>
      <c r="K4705" t="str">
        <f>"162058656573"</f>
        <v>162058656573</v>
      </c>
      <c r="L4705" t="str">
        <f t="shared" si="1924"/>
        <v>04-08-2020</v>
      </c>
      <c r="M4705" t="str">
        <f t="shared" si="1924"/>
        <v>04-08-2020</v>
      </c>
      <c r="N4705" t="str">
        <f t="shared" si="1911"/>
        <v>001105018356</v>
      </c>
      <c r="O4705" t="str">
        <f t="shared" si="1912"/>
        <v>MYR</v>
      </c>
      <c r="P4705" t="str">
        <f t="shared" si="1925"/>
        <v>NIL</v>
      </c>
      <c r="Q4705" t="str">
        <f t="shared" si="1925"/>
        <v>NIL</v>
      </c>
      <c r="R4705" t="str">
        <f t="shared" si="1913"/>
        <v>Accepted</v>
      </c>
      <c r="S4705" t="str">
        <f t="shared" si="1914"/>
        <v>Approved</v>
      </c>
      <c r="T4705" t="str">
        <f t="shared" si="1915"/>
        <v>10.20.8.188</v>
      </c>
      <c r="U4705" t="str">
        <f t="shared" si="1916"/>
        <v>AZRAD UMAR BIN SHAARI</v>
      </c>
      <c r="V4705" t="str">
        <f t="shared" si="1917"/>
        <v>FARHANA BINTI MUSTAPA</v>
      </c>
      <c r="W4705" t="str">
        <f t="shared" si="1918"/>
        <v>04-08-2020</v>
      </c>
      <c r="X4705" t="str">
        <f t="shared" si="1919"/>
        <v>RAZIMAH ANSAR AHMAD</v>
      </c>
      <c r="Y4705" t="str">
        <f t="shared" si="1920"/>
        <v>04-08-2020</v>
      </c>
      <c r="Z4705" t="str">
        <f>"COS10200804 4449"</f>
        <v>COS10200804 4449</v>
      </c>
    </row>
    <row r="4706" spans="1:26" x14ac:dyDescent="0.25">
      <c r="A4706" t="str">
        <f t="shared" si="1921"/>
        <v>04-08-2020 12:49:50</v>
      </c>
      <c r="B4706" t="str">
        <f>"0000806228"</f>
        <v>0000806228</v>
      </c>
      <c r="C4706" t="str">
        <f t="shared" si="1922"/>
        <v>0000806180</v>
      </c>
      <c r="D4706" t="str">
        <f t="shared" si="1908"/>
        <v>73185</v>
      </c>
      <c r="E4706" t="str">
        <f t="shared" si="1909"/>
        <v>KFH-OPERATIONS DEPARTMENT</v>
      </c>
      <c r="F4706" t="str">
        <f t="shared" si="1910"/>
        <v>IBG</v>
      </c>
      <c r="G4706" t="str">
        <f t="shared" si="1923"/>
        <v>Refund COSHARE 10</v>
      </c>
      <c r="H4706" s="2">
        <v>167.9</v>
      </c>
      <c r="I4706" t="str">
        <f>"ESZRI BIN SIES"</f>
        <v>ESZRI BIN SIES</v>
      </c>
      <c r="J4706" t="str">
        <f t="shared" si="1926"/>
        <v>MAYBANK / MAYBANK ISLAMIC</v>
      </c>
      <c r="K4706" t="str">
        <f>"106098412068"</f>
        <v>106098412068</v>
      </c>
      <c r="L4706" t="str">
        <f t="shared" si="1924"/>
        <v>04-08-2020</v>
      </c>
      <c r="M4706" t="str">
        <f t="shared" si="1924"/>
        <v>04-08-2020</v>
      </c>
      <c r="N4706" t="str">
        <f t="shared" si="1911"/>
        <v>001105018356</v>
      </c>
      <c r="O4706" t="str">
        <f t="shared" si="1912"/>
        <v>MYR</v>
      </c>
      <c r="P4706" t="str">
        <f t="shared" si="1925"/>
        <v>NIL</v>
      </c>
      <c r="Q4706" t="str">
        <f t="shared" si="1925"/>
        <v>NIL</v>
      </c>
      <c r="R4706" t="str">
        <f t="shared" si="1913"/>
        <v>Accepted</v>
      </c>
      <c r="S4706" t="str">
        <f t="shared" si="1914"/>
        <v>Approved</v>
      </c>
      <c r="T4706" t="str">
        <f t="shared" si="1915"/>
        <v>10.20.8.188</v>
      </c>
      <c r="U4706" t="str">
        <f t="shared" si="1916"/>
        <v>AZRAD UMAR BIN SHAARI</v>
      </c>
      <c r="V4706" t="str">
        <f t="shared" si="1917"/>
        <v>FARHANA BINTI MUSTAPA</v>
      </c>
      <c r="W4706" t="str">
        <f t="shared" si="1918"/>
        <v>04-08-2020</v>
      </c>
      <c r="X4706" t="str">
        <f t="shared" si="1919"/>
        <v>RAZIMAH ANSAR AHMAD</v>
      </c>
      <c r="Y4706" t="str">
        <f t="shared" si="1920"/>
        <v>04-08-2020</v>
      </c>
      <c r="Z4706" t="str">
        <f>"COS10200804 4448"</f>
        <v>COS10200804 4448</v>
      </c>
    </row>
    <row r="4707" spans="1:26" x14ac:dyDescent="0.25">
      <c r="A4707" t="str">
        <f t="shared" si="1921"/>
        <v>04-08-2020 12:49:50</v>
      </c>
      <c r="B4707" t="str">
        <f>"0000806227"</f>
        <v>0000806227</v>
      </c>
      <c r="C4707" t="str">
        <f t="shared" si="1922"/>
        <v>0000806180</v>
      </c>
      <c r="D4707" t="str">
        <f t="shared" si="1908"/>
        <v>73185</v>
      </c>
      <c r="E4707" t="str">
        <f t="shared" si="1909"/>
        <v>KFH-OPERATIONS DEPARTMENT</v>
      </c>
      <c r="F4707" t="str">
        <f t="shared" si="1910"/>
        <v>IBG</v>
      </c>
      <c r="G4707" t="str">
        <f t="shared" si="1923"/>
        <v>Refund COSHARE 10</v>
      </c>
      <c r="H4707" s="2">
        <v>570.85</v>
      </c>
      <c r="I4707" t="str">
        <f>"ESA BIN BAKAR"</f>
        <v>ESA BIN BAKAR</v>
      </c>
      <c r="J4707" t="str">
        <f t="shared" si="1926"/>
        <v>MAYBANK / MAYBANK ISLAMIC</v>
      </c>
      <c r="K4707" t="str">
        <f>"111132077270"</f>
        <v>111132077270</v>
      </c>
      <c r="L4707" t="str">
        <f t="shared" ref="L4707:M4726" si="1927">"04-08-2020"</f>
        <v>04-08-2020</v>
      </c>
      <c r="M4707" t="str">
        <f t="shared" si="1927"/>
        <v>04-08-2020</v>
      </c>
      <c r="N4707" t="str">
        <f t="shared" si="1911"/>
        <v>001105018356</v>
      </c>
      <c r="O4707" t="str">
        <f t="shared" si="1912"/>
        <v>MYR</v>
      </c>
      <c r="P4707" t="str">
        <f t="shared" ref="P4707:Q4726" si="1928">"NIL"</f>
        <v>NIL</v>
      </c>
      <c r="Q4707" t="str">
        <f t="shared" si="1928"/>
        <v>NIL</v>
      </c>
      <c r="R4707" t="str">
        <f t="shared" si="1913"/>
        <v>Accepted</v>
      </c>
      <c r="S4707" t="str">
        <f t="shared" si="1914"/>
        <v>Approved</v>
      </c>
      <c r="T4707" t="str">
        <f t="shared" si="1915"/>
        <v>10.20.8.188</v>
      </c>
      <c r="U4707" t="str">
        <f t="shared" si="1916"/>
        <v>AZRAD UMAR BIN SHAARI</v>
      </c>
      <c r="V4707" t="str">
        <f t="shared" si="1917"/>
        <v>FARHANA BINTI MUSTAPA</v>
      </c>
      <c r="W4707" t="str">
        <f t="shared" si="1918"/>
        <v>04-08-2020</v>
      </c>
      <c r="X4707" t="str">
        <f t="shared" si="1919"/>
        <v>RAZIMAH ANSAR AHMAD</v>
      </c>
      <c r="Y4707" t="str">
        <f t="shared" si="1920"/>
        <v>04-08-2020</v>
      </c>
      <c r="Z4707" t="str">
        <f>"COS10200804 4447"</f>
        <v>COS10200804 4447</v>
      </c>
    </row>
    <row r="4708" spans="1:26" x14ac:dyDescent="0.25">
      <c r="A4708" t="str">
        <f t="shared" si="1921"/>
        <v>04-08-2020 12:49:50</v>
      </c>
      <c r="B4708" t="str">
        <f>"0000806226"</f>
        <v>0000806226</v>
      </c>
      <c r="C4708" t="str">
        <f t="shared" si="1922"/>
        <v>0000806180</v>
      </c>
      <c r="D4708" t="str">
        <f t="shared" si="1908"/>
        <v>73185</v>
      </c>
      <c r="E4708" t="str">
        <f t="shared" si="1909"/>
        <v>KFH-OPERATIONS DEPARTMENT</v>
      </c>
      <c r="F4708" t="str">
        <f t="shared" si="1910"/>
        <v>IBG</v>
      </c>
      <c r="G4708" t="str">
        <f t="shared" si="1923"/>
        <v>Refund COSHARE 10</v>
      </c>
      <c r="H4708" s="2">
        <v>335.8</v>
      </c>
      <c r="I4708" t="str">
        <f>"ERWIN BIN SARINGAT"</f>
        <v>ERWIN BIN SARINGAT</v>
      </c>
      <c r="J4708" t="str">
        <f t="shared" si="1926"/>
        <v>MAYBANK / MAYBANK ISLAMIC</v>
      </c>
      <c r="K4708" t="str">
        <f>"165125411653"</f>
        <v>165125411653</v>
      </c>
      <c r="L4708" t="str">
        <f t="shared" si="1927"/>
        <v>04-08-2020</v>
      </c>
      <c r="M4708" t="str">
        <f t="shared" si="1927"/>
        <v>04-08-2020</v>
      </c>
      <c r="N4708" t="str">
        <f t="shared" si="1911"/>
        <v>001105018356</v>
      </c>
      <c r="O4708" t="str">
        <f t="shared" si="1912"/>
        <v>MYR</v>
      </c>
      <c r="P4708" t="str">
        <f t="shared" si="1928"/>
        <v>NIL</v>
      </c>
      <c r="Q4708" t="str">
        <f t="shared" si="1928"/>
        <v>NIL</v>
      </c>
      <c r="R4708" t="str">
        <f t="shared" si="1913"/>
        <v>Accepted</v>
      </c>
      <c r="S4708" t="str">
        <f t="shared" si="1914"/>
        <v>Approved</v>
      </c>
      <c r="T4708" t="str">
        <f t="shared" si="1915"/>
        <v>10.20.8.188</v>
      </c>
      <c r="U4708" t="str">
        <f t="shared" si="1916"/>
        <v>AZRAD UMAR BIN SHAARI</v>
      </c>
      <c r="V4708" t="str">
        <f t="shared" si="1917"/>
        <v>FARHANA BINTI MUSTAPA</v>
      </c>
      <c r="W4708" t="str">
        <f t="shared" si="1918"/>
        <v>04-08-2020</v>
      </c>
      <c r="X4708" t="str">
        <f t="shared" si="1919"/>
        <v>RAZIMAH ANSAR AHMAD</v>
      </c>
      <c r="Y4708" t="str">
        <f t="shared" si="1920"/>
        <v>04-08-2020</v>
      </c>
      <c r="Z4708" t="str">
        <f>"COS10200804 4446"</f>
        <v>COS10200804 4446</v>
      </c>
    </row>
    <row r="4709" spans="1:26" x14ac:dyDescent="0.25">
      <c r="A4709" t="str">
        <f t="shared" si="1921"/>
        <v>04-08-2020 12:49:50</v>
      </c>
      <c r="B4709" t="str">
        <f>"0000806225"</f>
        <v>0000806225</v>
      </c>
      <c r="C4709" t="str">
        <f t="shared" si="1922"/>
        <v>0000806180</v>
      </c>
      <c r="D4709" t="str">
        <f t="shared" si="1908"/>
        <v>73185</v>
      </c>
      <c r="E4709" t="str">
        <f t="shared" si="1909"/>
        <v>KFH-OPERATIONS DEPARTMENT</v>
      </c>
      <c r="F4709" t="str">
        <f t="shared" si="1910"/>
        <v>IBG</v>
      </c>
      <c r="G4709" t="str">
        <f t="shared" si="1923"/>
        <v>Refund COSHARE 10</v>
      </c>
      <c r="H4709" s="2">
        <v>84</v>
      </c>
      <c r="I4709" t="str">
        <f>"ERWANI  BINTI AWANG"</f>
        <v>ERWANI  BINTI AWANG</v>
      </c>
      <c r="J4709" t="str">
        <f t="shared" si="1926"/>
        <v>MAYBANK / MAYBANK ISLAMIC</v>
      </c>
      <c r="K4709" t="str">
        <f>"110096007103"</f>
        <v>110096007103</v>
      </c>
      <c r="L4709" t="str">
        <f t="shared" si="1927"/>
        <v>04-08-2020</v>
      </c>
      <c r="M4709" t="str">
        <f t="shared" si="1927"/>
        <v>04-08-2020</v>
      </c>
      <c r="N4709" t="str">
        <f t="shared" si="1911"/>
        <v>001105018356</v>
      </c>
      <c r="O4709" t="str">
        <f t="shared" si="1912"/>
        <v>MYR</v>
      </c>
      <c r="P4709" t="str">
        <f t="shared" si="1928"/>
        <v>NIL</v>
      </c>
      <c r="Q4709" t="str">
        <f t="shared" si="1928"/>
        <v>NIL</v>
      </c>
      <c r="R4709" t="str">
        <f t="shared" si="1913"/>
        <v>Accepted</v>
      </c>
      <c r="S4709" t="str">
        <f t="shared" si="1914"/>
        <v>Approved</v>
      </c>
      <c r="T4709" t="str">
        <f t="shared" si="1915"/>
        <v>10.20.8.188</v>
      </c>
      <c r="U4709" t="str">
        <f t="shared" si="1916"/>
        <v>AZRAD UMAR BIN SHAARI</v>
      </c>
      <c r="V4709" t="str">
        <f t="shared" si="1917"/>
        <v>FARHANA BINTI MUSTAPA</v>
      </c>
      <c r="W4709" t="str">
        <f t="shared" si="1918"/>
        <v>04-08-2020</v>
      </c>
      <c r="X4709" t="str">
        <f t="shared" si="1919"/>
        <v>RAZIMAH ANSAR AHMAD</v>
      </c>
      <c r="Y4709" t="str">
        <f t="shared" si="1920"/>
        <v>04-08-2020</v>
      </c>
      <c r="Z4709" t="str">
        <f>"COS10200804 4445"</f>
        <v>COS10200804 4445</v>
      </c>
    </row>
    <row r="4710" spans="1:26" x14ac:dyDescent="0.25">
      <c r="A4710" t="str">
        <f t="shared" si="1921"/>
        <v>04-08-2020 12:49:50</v>
      </c>
      <c r="B4710" t="str">
        <f>"0000806224"</f>
        <v>0000806224</v>
      </c>
      <c r="C4710" t="str">
        <f t="shared" si="1922"/>
        <v>0000806180</v>
      </c>
      <c r="D4710" t="str">
        <f t="shared" si="1908"/>
        <v>73185</v>
      </c>
      <c r="E4710" t="str">
        <f t="shared" si="1909"/>
        <v>KFH-OPERATIONS DEPARTMENT</v>
      </c>
      <c r="F4710" t="str">
        <f t="shared" si="1910"/>
        <v>IBG</v>
      </c>
      <c r="G4710" t="str">
        <f t="shared" si="1923"/>
        <v>Refund COSHARE 10</v>
      </c>
      <c r="H4710" s="2">
        <v>205</v>
      </c>
      <c r="I4710" t="str">
        <f>"ERWAN BIN OMAR"</f>
        <v>ERWAN BIN OMAR</v>
      </c>
      <c r="J4710" t="str">
        <f t="shared" si="1926"/>
        <v>MAYBANK / MAYBANK ISLAMIC</v>
      </c>
      <c r="K4710" t="str">
        <f>"164119039478"</f>
        <v>164119039478</v>
      </c>
      <c r="L4710" t="str">
        <f t="shared" si="1927"/>
        <v>04-08-2020</v>
      </c>
      <c r="M4710" t="str">
        <f t="shared" si="1927"/>
        <v>04-08-2020</v>
      </c>
      <c r="N4710" t="str">
        <f t="shared" si="1911"/>
        <v>001105018356</v>
      </c>
      <c r="O4710" t="str">
        <f t="shared" si="1912"/>
        <v>MYR</v>
      </c>
      <c r="P4710" t="str">
        <f t="shared" si="1928"/>
        <v>NIL</v>
      </c>
      <c r="Q4710" t="str">
        <f t="shared" si="1928"/>
        <v>NIL</v>
      </c>
      <c r="R4710" t="str">
        <f t="shared" si="1913"/>
        <v>Accepted</v>
      </c>
      <c r="S4710" t="str">
        <f t="shared" si="1914"/>
        <v>Approved</v>
      </c>
      <c r="T4710" t="str">
        <f t="shared" si="1915"/>
        <v>10.20.8.188</v>
      </c>
      <c r="U4710" t="str">
        <f t="shared" si="1916"/>
        <v>AZRAD UMAR BIN SHAARI</v>
      </c>
      <c r="V4710" t="str">
        <f t="shared" si="1917"/>
        <v>FARHANA BINTI MUSTAPA</v>
      </c>
      <c r="W4710" t="str">
        <f t="shared" si="1918"/>
        <v>04-08-2020</v>
      </c>
      <c r="X4710" t="str">
        <f t="shared" si="1919"/>
        <v>RAZIMAH ANSAR AHMAD</v>
      </c>
      <c r="Y4710" t="str">
        <f t="shared" si="1920"/>
        <v>04-08-2020</v>
      </c>
      <c r="Z4710" t="str">
        <f>"COS10200804 4444"</f>
        <v>COS10200804 4444</v>
      </c>
    </row>
    <row r="4711" spans="1:26" x14ac:dyDescent="0.25">
      <c r="A4711" t="str">
        <f t="shared" si="1921"/>
        <v>04-08-2020 12:49:50</v>
      </c>
      <c r="B4711" t="str">
        <f>"0000806223"</f>
        <v>0000806223</v>
      </c>
      <c r="C4711" t="str">
        <f t="shared" si="1922"/>
        <v>0000806180</v>
      </c>
      <c r="D4711" t="str">
        <f t="shared" si="1908"/>
        <v>73185</v>
      </c>
      <c r="E4711" t="str">
        <f t="shared" si="1909"/>
        <v>KFH-OPERATIONS DEPARTMENT</v>
      </c>
      <c r="F4711" t="str">
        <f t="shared" si="1910"/>
        <v>IBG</v>
      </c>
      <c r="G4711" t="str">
        <f t="shared" si="1923"/>
        <v>Refund COSHARE 10</v>
      </c>
      <c r="H4711" s="2">
        <v>46</v>
      </c>
      <c r="I4711" t="str">
        <f>"EROSZIANA BINTI MUHAMAD"</f>
        <v>EROSZIANA BINTI MUHAMAD</v>
      </c>
      <c r="J4711" t="str">
        <f t="shared" si="1926"/>
        <v>MAYBANK / MAYBANK ISLAMIC</v>
      </c>
      <c r="K4711" t="str">
        <f>"162012899798"</f>
        <v>162012899798</v>
      </c>
      <c r="L4711" t="str">
        <f t="shared" si="1927"/>
        <v>04-08-2020</v>
      </c>
      <c r="M4711" t="str">
        <f t="shared" si="1927"/>
        <v>04-08-2020</v>
      </c>
      <c r="N4711" t="str">
        <f t="shared" si="1911"/>
        <v>001105018356</v>
      </c>
      <c r="O4711" t="str">
        <f t="shared" si="1912"/>
        <v>MYR</v>
      </c>
      <c r="P4711" t="str">
        <f t="shared" si="1928"/>
        <v>NIL</v>
      </c>
      <c r="Q4711" t="str">
        <f t="shared" si="1928"/>
        <v>NIL</v>
      </c>
      <c r="R4711" t="str">
        <f t="shared" si="1913"/>
        <v>Accepted</v>
      </c>
      <c r="S4711" t="str">
        <f t="shared" si="1914"/>
        <v>Approved</v>
      </c>
      <c r="T4711" t="str">
        <f t="shared" si="1915"/>
        <v>10.20.8.188</v>
      </c>
      <c r="U4711" t="str">
        <f t="shared" si="1916"/>
        <v>AZRAD UMAR BIN SHAARI</v>
      </c>
      <c r="V4711" t="str">
        <f t="shared" si="1917"/>
        <v>FARHANA BINTI MUSTAPA</v>
      </c>
      <c r="W4711" t="str">
        <f t="shared" si="1918"/>
        <v>04-08-2020</v>
      </c>
      <c r="X4711" t="str">
        <f t="shared" si="1919"/>
        <v>RAZIMAH ANSAR AHMAD</v>
      </c>
      <c r="Y4711" t="str">
        <f t="shared" si="1920"/>
        <v>04-08-2020</v>
      </c>
      <c r="Z4711" t="str">
        <f>"COS10200804 4443"</f>
        <v>COS10200804 4443</v>
      </c>
    </row>
    <row r="4712" spans="1:26" x14ac:dyDescent="0.25">
      <c r="A4712" t="str">
        <f t="shared" si="1921"/>
        <v>04-08-2020 12:49:50</v>
      </c>
      <c r="B4712" t="str">
        <f>"0000806222"</f>
        <v>0000806222</v>
      </c>
      <c r="C4712" t="str">
        <f t="shared" si="1922"/>
        <v>0000806180</v>
      </c>
      <c r="D4712" t="str">
        <f t="shared" si="1908"/>
        <v>73185</v>
      </c>
      <c r="E4712" t="str">
        <f t="shared" si="1909"/>
        <v>KFH-OPERATIONS DEPARTMENT</v>
      </c>
      <c r="F4712" t="str">
        <f t="shared" si="1910"/>
        <v>IBG</v>
      </c>
      <c r="G4712" t="str">
        <f t="shared" si="1923"/>
        <v>Refund COSHARE 10</v>
      </c>
      <c r="H4712" s="2">
        <v>167.9</v>
      </c>
      <c r="I4712" t="str">
        <f>"ERNY HASNIZA BINTI ANUAR"</f>
        <v>ERNY HASNIZA BINTI ANUAR</v>
      </c>
      <c r="J4712" t="str">
        <f t="shared" si="1926"/>
        <v>MAYBANK / MAYBANK ISLAMIC</v>
      </c>
      <c r="K4712" t="str">
        <f>"152023185465"</f>
        <v>152023185465</v>
      </c>
      <c r="L4712" t="str">
        <f t="shared" si="1927"/>
        <v>04-08-2020</v>
      </c>
      <c r="M4712" t="str">
        <f t="shared" si="1927"/>
        <v>04-08-2020</v>
      </c>
      <c r="N4712" t="str">
        <f t="shared" si="1911"/>
        <v>001105018356</v>
      </c>
      <c r="O4712" t="str">
        <f t="shared" si="1912"/>
        <v>MYR</v>
      </c>
      <c r="P4712" t="str">
        <f t="shared" si="1928"/>
        <v>NIL</v>
      </c>
      <c r="Q4712" t="str">
        <f t="shared" si="1928"/>
        <v>NIL</v>
      </c>
      <c r="R4712" t="str">
        <f t="shared" si="1913"/>
        <v>Accepted</v>
      </c>
      <c r="S4712" t="str">
        <f t="shared" si="1914"/>
        <v>Approved</v>
      </c>
      <c r="T4712" t="str">
        <f t="shared" si="1915"/>
        <v>10.20.8.188</v>
      </c>
      <c r="U4712" t="str">
        <f t="shared" si="1916"/>
        <v>AZRAD UMAR BIN SHAARI</v>
      </c>
      <c r="V4712" t="str">
        <f t="shared" si="1917"/>
        <v>FARHANA BINTI MUSTAPA</v>
      </c>
      <c r="W4712" t="str">
        <f t="shared" si="1918"/>
        <v>04-08-2020</v>
      </c>
      <c r="X4712" t="str">
        <f t="shared" si="1919"/>
        <v>RAZIMAH ANSAR AHMAD</v>
      </c>
      <c r="Y4712" t="str">
        <f t="shared" si="1920"/>
        <v>04-08-2020</v>
      </c>
      <c r="Z4712" t="str">
        <f>"COS10200804 4442"</f>
        <v>COS10200804 4442</v>
      </c>
    </row>
    <row r="4713" spans="1:26" x14ac:dyDescent="0.25">
      <c r="A4713" t="str">
        <f t="shared" si="1921"/>
        <v>04-08-2020 12:49:50</v>
      </c>
      <c r="B4713" t="str">
        <f>"0000806221"</f>
        <v>0000806221</v>
      </c>
      <c r="C4713" t="str">
        <f t="shared" si="1922"/>
        <v>0000806180</v>
      </c>
      <c r="D4713" t="str">
        <f t="shared" si="1908"/>
        <v>73185</v>
      </c>
      <c r="E4713" t="str">
        <f t="shared" si="1909"/>
        <v>KFH-OPERATIONS DEPARTMENT</v>
      </c>
      <c r="F4713" t="str">
        <f t="shared" si="1910"/>
        <v>IBG</v>
      </c>
      <c r="G4713" t="str">
        <f t="shared" si="1923"/>
        <v>Refund COSHARE 10</v>
      </c>
      <c r="H4713" s="2">
        <v>419.75</v>
      </c>
      <c r="I4713" t="str">
        <f>"ERNY HASNIZA BINTI ANUAR"</f>
        <v>ERNY HASNIZA BINTI ANUAR</v>
      </c>
      <c r="J4713" t="str">
        <f t="shared" si="1926"/>
        <v>MAYBANK / MAYBANK ISLAMIC</v>
      </c>
      <c r="K4713" t="str">
        <f>"152023185465"</f>
        <v>152023185465</v>
      </c>
      <c r="L4713" t="str">
        <f t="shared" si="1927"/>
        <v>04-08-2020</v>
      </c>
      <c r="M4713" t="str">
        <f t="shared" si="1927"/>
        <v>04-08-2020</v>
      </c>
      <c r="N4713" t="str">
        <f t="shared" si="1911"/>
        <v>001105018356</v>
      </c>
      <c r="O4713" t="str">
        <f t="shared" si="1912"/>
        <v>MYR</v>
      </c>
      <c r="P4713" t="str">
        <f t="shared" si="1928"/>
        <v>NIL</v>
      </c>
      <c r="Q4713" t="str">
        <f t="shared" si="1928"/>
        <v>NIL</v>
      </c>
      <c r="R4713" t="str">
        <f t="shared" si="1913"/>
        <v>Accepted</v>
      </c>
      <c r="S4713" t="str">
        <f t="shared" si="1914"/>
        <v>Approved</v>
      </c>
      <c r="T4713" t="str">
        <f t="shared" si="1915"/>
        <v>10.20.8.188</v>
      </c>
      <c r="U4713" t="str">
        <f t="shared" si="1916"/>
        <v>AZRAD UMAR BIN SHAARI</v>
      </c>
      <c r="V4713" t="str">
        <f t="shared" si="1917"/>
        <v>FARHANA BINTI MUSTAPA</v>
      </c>
      <c r="W4713" t="str">
        <f t="shared" si="1918"/>
        <v>04-08-2020</v>
      </c>
      <c r="X4713" t="str">
        <f t="shared" si="1919"/>
        <v>RAZIMAH ANSAR AHMAD</v>
      </c>
      <c r="Y4713" t="str">
        <f t="shared" si="1920"/>
        <v>04-08-2020</v>
      </c>
      <c r="Z4713" t="str">
        <f>"COS10200804 4441"</f>
        <v>COS10200804 4441</v>
      </c>
    </row>
    <row r="4714" spans="1:26" x14ac:dyDescent="0.25">
      <c r="A4714" t="str">
        <f t="shared" ref="A4714:A4745" si="1929">"04-08-2020 12:49:50"</f>
        <v>04-08-2020 12:49:50</v>
      </c>
      <c r="B4714" t="str">
        <f>"0000806220"</f>
        <v>0000806220</v>
      </c>
      <c r="C4714" t="str">
        <f t="shared" ref="C4714:C4745" si="1930">"0000806180"</f>
        <v>0000806180</v>
      </c>
      <c r="D4714" t="str">
        <f t="shared" si="1908"/>
        <v>73185</v>
      </c>
      <c r="E4714" t="str">
        <f t="shared" si="1909"/>
        <v>KFH-OPERATIONS DEPARTMENT</v>
      </c>
      <c r="F4714" t="str">
        <f t="shared" si="1910"/>
        <v>IBG</v>
      </c>
      <c r="G4714" t="str">
        <f t="shared" si="1923"/>
        <v>Refund COSHARE 10</v>
      </c>
      <c r="H4714" s="2">
        <v>100.75</v>
      </c>
      <c r="I4714" t="str">
        <f>"ERNY BINTI ISMAIL"</f>
        <v>ERNY BINTI ISMAIL</v>
      </c>
      <c r="J4714" t="str">
        <f t="shared" si="1926"/>
        <v>MAYBANK / MAYBANK ISLAMIC</v>
      </c>
      <c r="K4714" t="str">
        <f>"160027349244"</f>
        <v>160027349244</v>
      </c>
      <c r="L4714" t="str">
        <f t="shared" si="1927"/>
        <v>04-08-2020</v>
      </c>
      <c r="M4714" t="str">
        <f t="shared" si="1927"/>
        <v>04-08-2020</v>
      </c>
      <c r="N4714" t="str">
        <f t="shared" si="1911"/>
        <v>001105018356</v>
      </c>
      <c r="O4714" t="str">
        <f t="shared" si="1912"/>
        <v>MYR</v>
      </c>
      <c r="P4714" t="str">
        <f t="shared" si="1928"/>
        <v>NIL</v>
      </c>
      <c r="Q4714" t="str">
        <f t="shared" si="1928"/>
        <v>NIL</v>
      </c>
      <c r="R4714" t="str">
        <f t="shared" si="1913"/>
        <v>Accepted</v>
      </c>
      <c r="S4714" t="str">
        <f t="shared" si="1914"/>
        <v>Approved</v>
      </c>
      <c r="T4714" t="str">
        <f t="shared" si="1915"/>
        <v>10.20.8.188</v>
      </c>
      <c r="U4714" t="str">
        <f t="shared" si="1916"/>
        <v>AZRAD UMAR BIN SHAARI</v>
      </c>
      <c r="V4714" t="str">
        <f t="shared" si="1917"/>
        <v>FARHANA BINTI MUSTAPA</v>
      </c>
      <c r="W4714" t="str">
        <f t="shared" si="1918"/>
        <v>04-08-2020</v>
      </c>
      <c r="X4714" t="str">
        <f t="shared" si="1919"/>
        <v>RAZIMAH ANSAR AHMAD</v>
      </c>
      <c r="Y4714" t="str">
        <f t="shared" si="1920"/>
        <v>04-08-2020</v>
      </c>
      <c r="Z4714" t="str">
        <f>"COS10200804 4440"</f>
        <v>COS10200804 4440</v>
      </c>
    </row>
    <row r="4715" spans="1:26" x14ac:dyDescent="0.25">
      <c r="A4715" t="str">
        <f t="shared" si="1929"/>
        <v>04-08-2020 12:49:50</v>
      </c>
      <c r="B4715" t="str">
        <f>"0000806219"</f>
        <v>0000806219</v>
      </c>
      <c r="C4715" t="str">
        <f t="shared" si="1930"/>
        <v>0000806180</v>
      </c>
      <c r="D4715" t="str">
        <f t="shared" si="1908"/>
        <v>73185</v>
      </c>
      <c r="E4715" t="str">
        <f t="shared" si="1909"/>
        <v>KFH-OPERATIONS DEPARTMENT</v>
      </c>
      <c r="F4715" t="str">
        <f t="shared" si="1910"/>
        <v>IBG</v>
      </c>
      <c r="G4715" t="str">
        <f t="shared" si="1923"/>
        <v>Refund COSHARE 10</v>
      </c>
      <c r="H4715" s="2">
        <v>47.35</v>
      </c>
      <c r="I4715" t="str">
        <f>"ERNEY BINTI SHAHARMANSAHARMAN"</f>
        <v>ERNEY BINTI SHAHARMANSAHARMAN</v>
      </c>
      <c r="J4715" t="str">
        <f t="shared" si="1926"/>
        <v>MAYBANK / MAYBANK ISLAMIC</v>
      </c>
      <c r="K4715" t="str">
        <f>"110050124023"</f>
        <v>110050124023</v>
      </c>
      <c r="L4715" t="str">
        <f t="shared" si="1927"/>
        <v>04-08-2020</v>
      </c>
      <c r="M4715" t="str">
        <f t="shared" si="1927"/>
        <v>04-08-2020</v>
      </c>
      <c r="N4715" t="str">
        <f t="shared" si="1911"/>
        <v>001105018356</v>
      </c>
      <c r="O4715" t="str">
        <f t="shared" si="1912"/>
        <v>MYR</v>
      </c>
      <c r="P4715" t="str">
        <f t="shared" si="1928"/>
        <v>NIL</v>
      </c>
      <c r="Q4715" t="str">
        <f t="shared" si="1928"/>
        <v>NIL</v>
      </c>
      <c r="R4715" t="str">
        <f t="shared" si="1913"/>
        <v>Accepted</v>
      </c>
      <c r="S4715" t="str">
        <f t="shared" si="1914"/>
        <v>Approved</v>
      </c>
      <c r="T4715" t="str">
        <f t="shared" si="1915"/>
        <v>10.20.8.188</v>
      </c>
      <c r="U4715" t="str">
        <f t="shared" si="1916"/>
        <v>AZRAD UMAR BIN SHAARI</v>
      </c>
      <c r="V4715" t="str">
        <f t="shared" si="1917"/>
        <v>FARHANA BINTI MUSTAPA</v>
      </c>
      <c r="W4715" t="str">
        <f t="shared" si="1918"/>
        <v>04-08-2020</v>
      </c>
      <c r="X4715" t="str">
        <f t="shared" si="1919"/>
        <v>RAZIMAH ANSAR AHMAD</v>
      </c>
      <c r="Y4715" t="str">
        <f t="shared" si="1920"/>
        <v>04-08-2020</v>
      </c>
      <c r="Z4715" t="str">
        <f>"COS10200804 4439"</f>
        <v>COS10200804 4439</v>
      </c>
    </row>
    <row r="4716" spans="1:26" x14ac:dyDescent="0.25">
      <c r="A4716" t="str">
        <f t="shared" si="1929"/>
        <v>04-08-2020 12:49:50</v>
      </c>
      <c r="B4716" t="str">
        <f>"0000806218"</f>
        <v>0000806218</v>
      </c>
      <c r="C4716" t="str">
        <f t="shared" si="1930"/>
        <v>0000806180</v>
      </c>
      <c r="D4716" t="str">
        <f t="shared" si="1908"/>
        <v>73185</v>
      </c>
      <c r="E4716" t="str">
        <f t="shared" si="1909"/>
        <v>KFH-OPERATIONS DEPARTMENT</v>
      </c>
      <c r="F4716" t="str">
        <f t="shared" si="1910"/>
        <v>IBG</v>
      </c>
      <c r="G4716" t="str">
        <f t="shared" si="1923"/>
        <v>Refund COSHARE 10</v>
      </c>
      <c r="H4716" s="2">
        <v>167.9</v>
      </c>
      <c r="I4716" t="str">
        <f>"ERNEST KELLY SUBIN"</f>
        <v>ERNEST KELLY SUBIN</v>
      </c>
      <c r="J4716" t="str">
        <f t="shared" si="1926"/>
        <v>MAYBANK / MAYBANK ISLAMIC</v>
      </c>
      <c r="K4716" t="str">
        <f>"160232001834"</f>
        <v>160232001834</v>
      </c>
      <c r="L4716" t="str">
        <f t="shared" si="1927"/>
        <v>04-08-2020</v>
      </c>
      <c r="M4716" t="str">
        <f t="shared" si="1927"/>
        <v>04-08-2020</v>
      </c>
      <c r="N4716" t="str">
        <f t="shared" si="1911"/>
        <v>001105018356</v>
      </c>
      <c r="O4716" t="str">
        <f t="shared" si="1912"/>
        <v>MYR</v>
      </c>
      <c r="P4716" t="str">
        <f t="shared" si="1928"/>
        <v>NIL</v>
      </c>
      <c r="Q4716" t="str">
        <f t="shared" si="1928"/>
        <v>NIL</v>
      </c>
      <c r="R4716" t="str">
        <f t="shared" si="1913"/>
        <v>Accepted</v>
      </c>
      <c r="S4716" t="str">
        <f t="shared" si="1914"/>
        <v>Approved</v>
      </c>
      <c r="T4716" t="str">
        <f t="shared" si="1915"/>
        <v>10.20.8.188</v>
      </c>
      <c r="U4716" t="str">
        <f t="shared" si="1916"/>
        <v>AZRAD UMAR BIN SHAARI</v>
      </c>
      <c r="V4716" t="str">
        <f t="shared" si="1917"/>
        <v>FARHANA BINTI MUSTAPA</v>
      </c>
      <c r="W4716" t="str">
        <f t="shared" si="1918"/>
        <v>04-08-2020</v>
      </c>
      <c r="X4716" t="str">
        <f t="shared" si="1919"/>
        <v>RAZIMAH ANSAR AHMAD</v>
      </c>
      <c r="Y4716" t="str">
        <f t="shared" si="1920"/>
        <v>04-08-2020</v>
      </c>
      <c r="Z4716" t="str">
        <f>"COS10200804 4438"</f>
        <v>COS10200804 4438</v>
      </c>
    </row>
    <row r="4717" spans="1:26" x14ac:dyDescent="0.25">
      <c r="A4717" t="str">
        <f t="shared" si="1929"/>
        <v>04-08-2020 12:49:50</v>
      </c>
      <c r="B4717" t="str">
        <f>"0000806217"</f>
        <v>0000806217</v>
      </c>
      <c r="C4717" t="str">
        <f t="shared" si="1930"/>
        <v>0000806180</v>
      </c>
      <c r="D4717" t="str">
        <f t="shared" si="1908"/>
        <v>73185</v>
      </c>
      <c r="E4717" t="str">
        <f t="shared" si="1909"/>
        <v>KFH-OPERATIONS DEPARTMENT</v>
      </c>
      <c r="F4717" t="str">
        <f t="shared" si="1910"/>
        <v>IBG</v>
      </c>
      <c r="G4717" t="str">
        <f t="shared" si="1923"/>
        <v>Refund COSHARE 10</v>
      </c>
      <c r="H4717" s="2">
        <v>92.35</v>
      </c>
      <c r="I4717" t="str">
        <f>"ERMY JEFFRY BIN JAMIL"</f>
        <v>ERMY JEFFRY BIN JAMIL</v>
      </c>
      <c r="J4717" t="str">
        <f t="shared" si="1926"/>
        <v>MAYBANK / MAYBANK ISLAMIC</v>
      </c>
      <c r="K4717" t="str">
        <f>"101123652086"</f>
        <v>101123652086</v>
      </c>
      <c r="L4717" t="str">
        <f t="shared" si="1927"/>
        <v>04-08-2020</v>
      </c>
      <c r="M4717" t="str">
        <f t="shared" si="1927"/>
        <v>04-08-2020</v>
      </c>
      <c r="N4717" t="str">
        <f t="shared" si="1911"/>
        <v>001105018356</v>
      </c>
      <c r="O4717" t="str">
        <f t="shared" si="1912"/>
        <v>MYR</v>
      </c>
      <c r="P4717" t="str">
        <f t="shared" si="1928"/>
        <v>NIL</v>
      </c>
      <c r="Q4717" t="str">
        <f t="shared" si="1928"/>
        <v>NIL</v>
      </c>
      <c r="R4717" t="str">
        <f t="shared" si="1913"/>
        <v>Accepted</v>
      </c>
      <c r="S4717" t="str">
        <f t="shared" si="1914"/>
        <v>Approved</v>
      </c>
      <c r="T4717" t="str">
        <f t="shared" si="1915"/>
        <v>10.20.8.188</v>
      </c>
      <c r="U4717" t="str">
        <f t="shared" si="1916"/>
        <v>AZRAD UMAR BIN SHAARI</v>
      </c>
      <c r="V4717" t="str">
        <f t="shared" si="1917"/>
        <v>FARHANA BINTI MUSTAPA</v>
      </c>
      <c r="W4717" t="str">
        <f t="shared" si="1918"/>
        <v>04-08-2020</v>
      </c>
      <c r="X4717" t="str">
        <f t="shared" si="1919"/>
        <v>RAZIMAH ANSAR AHMAD</v>
      </c>
      <c r="Y4717" t="str">
        <f t="shared" si="1920"/>
        <v>04-08-2020</v>
      </c>
      <c r="Z4717" t="str">
        <f>"COS10200804 4437"</f>
        <v>COS10200804 4437</v>
      </c>
    </row>
    <row r="4718" spans="1:26" x14ac:dyDescent="0.25">
      <c r="A4718" t="str">
        <f t="shared" si="1929"/>
        <v>04-08-2020 12:49:50</v>
      </c>
      <c r="B4718" t="str">
        <f>"0000806216"</f>
        <v>0000806216</v>
      </c>
      <c r="C4718" t="str">
        <f t="shared" si="1930"/>
        <v>0000806180</v>
      </c>
      <c r="D4718" t="str">
        <f t="shared" si="1908"/>
        <v>73185</v>
      </c>
      <c r="E4718" t="str">
        <f t="shared" si="1909"/>
        <v>KFH-OPERATIONS DEPARTMENT</v>
      </c>
      <c r="F4718" t="str">
        <f t="shared" si="1910"/>
        <v>IBG</v>
      </c>
      <c r="G4718" t="str">
        <f t="shared" si="1923"/>
        <v>Refund COSHARE 10</v>
      </c>
      <c r="H4718" s="2">
        <v>117</v>
      </c>
      <c r="I4718" t="str">
        <f>"ERINC SUZANA BINTI MOHD KAMAL"</f>
        <v>ERINC SUZANA BINTI MOHD KAMAL</v>
      </c>
      <c r="J4718" t="str">
        <f t="shared" si="1926"/>
        <v>MAYBANK / MAYBANK ISLAMIC</v>
      </c>
      <c r="K4718" t="str">
        <f>"156226027225"</f>
        <v>156226027225</v>
      </c>
      <c r="L4718" t="str">
        <f t="shared" si="1927"/>
        <v>04-08-2020</v>
      </c>
      <c r="M4718" t="str">
        <f t="shared" si="1927"/>
        <v>04-08-2020</v>
      </c>
      <c r="N4718" t="str">
        <f t="shared" si="1911"/>
        <v>001105018356</v>
      </c>
      <c r="O4718" t="str">
        <f t="shared" si="1912"/>
        <v>MYR</v>
      </c>
      <c r="P4718" t="str">
        <f t="shared" si="1928"/>
        <v>NIL</v>
      </c>
      <c r="Q4718" t="str">
        <f t="shared" si="1928"/>
        <v>NIL</v>
      </c>
      <c r="R4718" t="str">
        <f t="shared" si="1913"/>
        <v>Accepted</v>
      </c>
      <c r="S4718" t="str">
        <f t="shared" si="1914"/>
        <v>Approved</v>
      </c>
      <c r="T4718" t="str">
        <f t="shared" si="1915"/>
        <v>10.20.8.188</v>
      </c>
      <c r="U4718" t="str">
        <f t="shared" si="1916"/>
        <v>AZRAD UMAR BIN SHAARI</v>
      </c>
      <c r="V4718" t="str">
        <f t="shared" si="1917"/>
        <v>FARHANA BINTI MUSTAPA</v>
      </c>
      <c r="W4718" t="str">
        <f t="shared" si="1918"/>
        <v>04-08-2020</v>
      </c>
      <c r="X4718" t="str">
        <f t="shared" si="1919"/>
        <v>RAZIMAH ANSAR AHMAD</v>
      </c>
      <c r="Y4718" t="str">
        <f t="shared" si="1920"/>
        <v>04-08-2020</v>
      </c>
      <c r="Z4718" t="str">
        <f>"COS10200804 4436"</f>
        <v>COS10200804 4436</v>
      </c>
    </row>
    <row r="4719" spans="1:26" x14ac:dyDescent="0.25">
      <c r="A4719" t="str">
        <f t="shared" si="1929"/>
        <v>04-08-2020 12:49:50</v>
      </c>
      <c r="B4719" t="str">
        <f>"0000806215"</f>
        <v>0000806215</v>
      </c>
      <c r="C4719" t="str">
        <f t="shared" si="1930"/>
        <v>0000806180</v>
      </c>
      <c r="D4719" t="str">
        <f t="shared" si="1908"/>
        <v>73185</v>
      </c>
      <c r="E4719" t="str">
        <f t="shared" si="1909"/>
        <v>KFH-OPERATIONS DEPARTMENT</v>
      </c>
      <c r="F4719" t="str">
        <f t="shared" si="1910"/>
        <v>IBG</v>
      </c>
      <c r="G4719" t="str">
        <f t="shared" si="1923"/>
        <v>Refund COSHARE 10</v>
      </c>
      <c r="H4719" s="2">
        <v>125.95</v>
      </c>
      <c r="I4719" t="str">
        <f>"EMY MASLISA BINTI CHE SEMAN"</f>
        <v>EMY MASLISA BINTI CHE SEMAN</v>
      </c>
      <c r="J4719" t="str">
        <f t="shared" si="1926"/>
        <v>MAYBANK / MAYBANK ISLAMIC</v>
      </c>
      <c r="K4719" t="str">
        <f>"153056178195"</f>
        <v>153056178195</v>
      </c>
      <c r="L4719" t="str">
        <f t="shared" si="1927"/>
        <v>04-08-2020</v>
      </c>
      <c r="M4719" t="str">
        <f t="shared" si="1927"/>
        <v>04-08-2020</v>
      </c>
      <c r="N4719" t="str">
        <f t="shared" si="1911"/>
        <v>001105018356</v>
      </c>
      <c r="O4719" t="str">
        <f t="shared" si="1912"/>
        <v>MYR</v>
      </c>
      <c r="P4719" t="str">
        <f t="shared" si="1928"/>
        <v>NIL</v>
      </c>
      <c r="Q4719" t="str">
        <f t="shared" si="1928"/>
        <v>NIL</v>
      </c>
      <c r="R4719" t="str">
        <f t="shared" si="1913"/>
        <v>Accepted</v>
      </c>
      <c r="S4719" t="str">
        <f t="shared" si="1914"/>
        <v>Approved</v>
      </c>
      <c r="T4719" t="str">
        <f t="shared" si="1915"/>
        <v>10.20.8.188</v>
      </c>
      <c r="U4719" t="str">
        <f t="shared" si="1916"/>
        <v>AZRAD UMAR BIN SHAARI</v>
      </c>
      <c r="V4719" t="str">
        <f t="shared" si="1917"/>
        <v>FARHANA BINTI MUSTAPA</v>
      </c>
      <c r="W4719" t="str">
        <f t="shared" si="1918"/>
        <v>04-08-2020</v>
      </c>
      <c r="X4719" t="str">
        <f t="shared" si="1919"/>
        <v>RAZIMAH ANSAR AHMAD</v>
      </c>
      <c r="Y4719" t="str">
        <f t="shared" si="1920"/>
        <v>04-08-2020</v>
      </c>
      <c r="Z4719" t="str">
        <f>"COS10200804 4435"</f>
        <v>COS10200804 4435</v>
      </c>
    </row>
    <row r="4720" spans="1:26" x14ac:dyDescent="0.25">
      <c r="A4720" t="str">
        <f t="shared" si="1929"/>
        <v>04-08-2020 12:49:50</v>
      </c>
      <c r="B4720" t="str">
        <f>"0000806214"</f>
        <v>0000806214</v>
      </c>
      <c r="C4720" t="str">
        <f t="shared" si="1930"/>
        <v>0000806180</v>
      </c>
      <c r="D4720" t="str">
        <f t="shared" si="1908"/>
        <v>73185</v>
      </c>
      <c r="E4720" t="str">
        <f t="shared" si="1909"/>
        <v>KFH-OPERATIONS DEPARTMENT</v>
      </c>
      <c r="F4720" t="str">
        <f t="shared" si="1910"/>
        <v>IBG</v>
      </c>
      <c r="G4720" t="str">
        <f t="shared" si="1923"/>
        <v>Refund COSHARE 10</v>
      </c>
      <c r="H4720" s="2">
        <v>671.6</v>
      </c>
      <c r="I4720" t="str">
        <f>"EMY LIZAWATY TIAH"</f>
        <v>EMY LIZAWATY TIAH</v>
      </c>
      <c r="J4720" t="str">
        <f t="shared" si="1926"/>
        <v>MAYBANK / MAYBANK ISLAMIC</v>
      </c>
      <c r="K4720" t="str">
        <f>"160037075194"</f>
        <v>160037075194</v>
      </c>
      <c r="L4720" t="str">
        <f t="shared" si="1927"/>
        <v>04-08-2020</v>
      </c>
      <c r="M4720" t="str">
        <f t="shared" si="1927"/>
        <v>04-08-2020</v>
      </c>
      <c r="N4720" t="str">
        <f t="shared" si="1911"/>
        <v>001105018356</v>
      </c>
      <c r="O4720" t="str">
        <f t="shared" si="1912"/>
        <v>MYR</v>
      </c>
      <c r="P4720" t="str">
        <f t="shared" si="1928"/>
        <v>NIL</v>
      </c>
      <c r="Q4720" t="str">
        <f t="shared" si="1928"/>
        <v>NIL</v>
      </c>
      <c r="R4720" t="str">
        <f t="shared" si="1913"/>
        <v>Accepted</v>
      </c>
      <c r="S4720" t="str">
        <f t="shared" si="1914"/>
        <v>Approved</v>
      </c>
      <c r="T4720" t="str">
        <f t="shared" si="1915"/>
        <v>10.20.8.188</v>
      </c>
      <c r="U4720" t="str">
        <f t="shared" si="1916"/>
        <v>AZRAD UMAR BIN SHAARI</v>
      </c>
      <c r="V4720" t="str">
        <f t="shared" si="1917"/>
        <v>FARHANA BINTI MUSTAPA</v>
      </c>
      <c r="W4720" t="str">
        <f t="shared" si="1918"/>
        <v>04-08-2020</v>
      </c>
      <c r="X4720" t="str">
        <f t="shared" si="1919"/>
        <v>RAZIMAH ANSAR AHMAD</v>
      </c>
      <c r="Y4720" t="str">
        <f t="shared" si="1920"/>
        <v>04-08-2020</v>
      </c>
      <c r="Z4720" t="str">
        <f>"COS10200804 4434"</f>
        <v>COS10200804 4434</v>
      </c>
    </row>
    <row r="4721" spans="1:26" x14ac:dyDescent="0.25">
      <c r="A4721" t="str">
        <f t="shared" si="1929"/>
        <v>04-08-2020 12:49:50</v>
      </c>
      <c r="B4721" t="str">
        <f>"0000806213"</f>
        <v>0000806213</v>
      </c>
      <c r="C4721" t="str">
        <f t="shared" si="1930"/>
        <v>0000806180</v>
      </c>
      <c r="D4721" t="str">
        <f t="shared" si="1908"/>
        <v>73185</v>
      </c>
      <c r="E4721" t="str">
        <f t="shared" si="1909"/>
        <v>KFH-OPERATIONS DEPARTMENT</v>
      </c>
      <c r="F4721" t="str">
        <f t="shared" si="1910"/>
        <v>IBG</v>
      </c>
      <c r="G4721" t="str">
        <f t="shared" si="1923"/>
        <v>Refund COSHARE 10</v>
      </c>
      <c r="H4721" s="2">
        <v>83.95</v>
      </c>
      <c r="I4721" t="str">
        <f>"EMMA BINTI EDGAR  ERWANDDIE"</f>
        <v>EMMA BINTI EDGAR  ERWANDDIE</v>
      </c>
      <c r="J4721" t="str">
        <f t="shared" si="1926"/>
        <v>MAYBANK / MAYBANK ISLAMIC</v>
      </c>
      <c r="K4721" t="str">
        <f>"161024020288"</f>
        <v>161024020288</v>
      </c>
      <c r="L4721" t="str">
        <f t="shared" si="1927"/>
        <v>04-08-2020</v>
      </c>
      <c r="M4721" t="str">
        <f t="shared" si="1927"/>
        <v>04-08-2020</v>
      </c>
      <c r="N4721" t="str">
        <f t="shared" si="1911"/>
        <v>001105018356</v>
      </c>
      <c r="O4721" t="str">
        <f t="shared" si="1912"/>
        <v>MYR</v>
      </c>
      <c r="P4721" t="str">
        <f t="shared" si="1928"/>
        <v>NIL</v>
      </c>
      <c r="Q4721" t="str">
        <f t="shared" si="1928"/>
        <v>NIL</v>
      </c>
      <c r="R4721" t="str">
        <f t="shared" si="1913"/>
        <v>Accepted</v>
      </c>
      <c r="S4721" t="str">
        <f t="shared" si="1914"/>
        <v>Approved</v>
      </c>
      <c r="T4721" t="str">
        <f t="shared" si="1915"/>
        <v>10.20.8.188</v>
      </c>
      <c r="U4721" t="str">
        <f t="shared" si="1916"/>
        <v>AZRAD UMAR BIN SHAARI</v>
      </c>
      <c r="V4721" t="str">
        <f t="shared" si="1917"/>
        <v>FARHANA BINTI MUSTAPA</v>
      </c>
      <c r="W4721" t="str">
        <f t="shared" si="1918"/>
        <v>04-08-2020</v>
      </c>
      <c r="X4721" t="str">
        <f t="shared" si="1919"/>
        <v>RAZIMAH ANSAR AHMAD</v>
      </c>
      <c r="Y4721" t="str">
        <f t="shared" si="1920"/>
        <v>04-08-2020</v>
      </c>
      <c r="Z4721" t="str">
        <f>"COS10200804 4433"</f>
        <v>COS10200804 4433</v>
      </c>
    </row>
    <row r="4722" spans="1:26" x14ac:dyDescent="0.25">
      <c r="A4722" t="str">
        <f t="shared" si="1929"/>
        <v>04-08-2020 12:49:50</v>
      </c>
      <c r="B4722" t="str">
        <f>"0000806212"</f>
        <v>0000806212</v>
      </c>
      <c r="C4722" t="str">
        <f t="shared" si="1930"/>
        <v>0000806180</v>
      </c>
      <c r="D4722" t="str">
        <f t="shared" si="1908"/>
        <v>73185</v>
      </c>
      <c r="E4722" t="str">
        <f t="shared" si="1909"/>
        <v>KFH-OPERATIONS DEPARTMENT</v>
      </c>
      <c r="F4722" t="str">
        <f t="shared" si="1910"/>
        <v>IBG</v>
      </c>
      <c r="G4722" t="str">
        <f t="shared" si="1923"/>
        <v>Refund COSHARE 10</v>
      </c>
      <c r="H4722" s="2">
        <v>1173</v>
      </c>
      <c r="I4722" t="str">
        <f>"EMILY SAKAI"</f>
        <v>EMILY SAKAI</v>
      </c>
      <c r="J4722" t="str">
        <f t="shared" si="1926"/>
        <v>MAYBANK / MAYBANK ISLAMIC</v>
      </c>
      <c r="K4722" t="str">
        <f>"111047167047"</f>
        <v>111047167047</v>
      </c>
      <c r="L4722" t="str">
        <f t="shared" si="1927"/>
        <v>04-08-2020</v>
      </c>
      <c r="M4722" t="str">
        <f t="shared" si="1927"/>
        <v>04-08-2020</v>
      </c>
      <c r="N4722" t="str">
        <f t="shared" si="1911"/>
        <v>001105018356</v>
      </c>
      <c r="O4722" t="str">
        <f t="shared" si="1912"/>
        <v>MYR</v>
      </c>
      <c r="P4722" t="str">
        <f t="shared" si="1928"/>
        <v>NIL</v>
      </c>
      <c r="Q4722" t="str">
        <f t="shared" si="1928"/>
        <v>NIL</v>
      </c>
      <c r="R4722" t="str">
        <f t="shared" si="1913"/>
        <v>Accepted</v>
      </c>
      <c r="S4722" t="str">
        <f t="shared" si="1914"/>
        <v>Approved</v>
      </c>
      <c r="T4722" t="str">
        <f t="shared" si="1915"/>
        <v>10.20.8.188</v>
      </c>
      <c r="U4722" t="str">
        <f t="shared" si="1916"/>
        <v>AZRAD UMAR BIN SHAARI</v>
      </c>
      <c r="V4722" t="str">
        <f t="shared" si="1917"/>
        <v>FARHANA BINTI MUSTAPA</v>
      </c>
      <c r="W4722" t="str">
        <f t="shared" si="1918"/>
        <v>04-08-2020</v>
      </c>
      <c r="X4722" t="str">
        <f t="shared" si="1919"/>
        <v>RAZIMAH ANSAR AHMAD</v>
      </c>
      <c r="Y4722" t="str">
        <f t="shared" si="1920"/>
        <v>04-08-2020</v>
      </c>
      <c r="Z4722" t="str">
        <f>"COS10200804 4432"</f>
        <v>COS10200804 4432</v>
      </c>
    </row>
    <row r="4723" spans="1:26" x14ac:dyDescent="0.25">
      <c r="A4723" t="str">
        <f t="shared" si="1929"/>
        <v>04-08-2020 12:49:50</v>
      </c>
      <c r="B4723" t="str">
        <f>"0000806211"</f>
        <v>0000806211</v>
      </c>
      <c r="C4723" t="str">
        <f t="shared" si="1930"/>
        <v>0000806180</v>
      </c>
      <c r="D4723" t="str">
        <f t="shared" si="1908"/>
        <v>73185</v>
      </c>
      <c r="E4723" t="str">
        <f t="shared" si="1909"/>
        <v>KFH-OPERATIONS DEPARTMENT</v>
      </c>
      <c r="F4723" t="str">
        <f t="shared" si="1910"/>
        <v>IBG</v>
      </c>
      <c r="G4723" t="str">
        <f t="shared" si="1923"/>
        <v>Refund COSHARE 10</v>
      </c>
      <c r="H4723" s="2">
        <v>1070</v>
      </c>
      <c r="I4723" t="str">
        <f>"ELWAN BIN ABU BAKAR  ALI"</f>
        <v>ELWAN BIN ABU BAKAR  ALI</v>
      </c>
      <c r="J4723" t="str">
        <f t="shared" si="1926"/>
        <v>MAYBANK / MAYBANK ISLAMIC</v>
      </c>
      <c r="K4723" t="str">
        <f>"162469069263"</f>
        <v>162469069263</v>
      </c>
      <c r="L4723" t="str">
        <f t="shared" si="1927"/>
        <v>04-08-2020</v>
      </c>
      <c r="M4723" t="str">
        <f t="shared" si="1927"/>
        <v>04-08-2020</v>
      </c>
      <c r="N4723" t="str">
        <f t="shared" si="1911"/>
        <v>001105018356</v>
      </c>
      <c r="O4723" t="str">
        <f t="shared" si="1912"/>
        <v>MYR</v>
      </c>
      <c r="P4723" t="str">
        <f t="shared" si="1928"/>
        <v>NIL</v>
      </c>
      <c r="Q4723" t="str">
        <f t="shared" si="1928"/>
        <v>NIL</v>
      </c>
      <c r="R4723" t="str">
        <f t="shared" si="1913"/>
        <v>Accepted</v>
      </c>
      <c r="S4723" t="str">
        <f t="shared" si="1914"/>
        <v>Approved</v>
      </c>
      <c r="T4723" t="str">
        <f t="shared" si="1915"/>
        <v>10.20.8.188</v>
      </c>
      <c r="U4723" t="str">
        <f t="shared" si="1916"/>
        <v>AZRAD UMAR BIN SHAARI</v>
      </c>
      <c r="V4723" t="str">
        <f t="shared" si="1917"/>
        <v>FARHANA BINTI MUSTAPA</v>
      </c>
      <c r="W4723" t="str">
        <f t="shared" si="1918"/>
        <v>04-08-2020</v>
      </c>
      <c r="X4723" t="str">
        <f t="shared" si="1919"/>
        <v>RAZIMAH ANSAR AHMAD</v>
      </c>
      <c r="Y4723" t="str">
        <f t="shared" si="1920"/>
        <v>04-08-2020</v>
      </c>
      <c r="Z4723" t="str">
        <f>"COS10200804 4431"</f>
        <v>COS10200804 4431</v>
      </c>
    </row>
    <row r="4724" spans="1:26" x14ac:dyDescent="0.25">
      <c r="A4724" t="str">
        <f t="shared" si="1929"/>
        <v>04-08-2020 12:49:50</v>
      </c>
      <c r="B4724" t="str">
        <f>"0000806210"</f>
        <v>0000806210</v>
      </c>
      <c r="C4724" t="str">
        <f t="shared" si="1930"/>
        <v>0000806180</v>
      </c>
      <c r="D4724" t="str">
        <f t="shared" si="1908"/>
        <v>73185</v>
      </c>
      <c r="E4724" t="str">
        <f t="shared" si="1909"/>
        <v>KFH-OPERATIONS DEPARTMENT</v>
      </c>
      <c r="F4724" t="str">
        <f t="shared" si="1910"/>
        <v>IBG</v>
      </c>
      <c r="G4724" t="str">
        <f t="shared" si="1923"/>
        <v>Refund COSHARE 10</v>
      </c>
      <c r="H4724" s="2">
        <v>180.15</v>
      </c>
      <c r="I4724" t="str">
        <f>"ELSIE SIMON"</f>
        <v>ELSIE SIMON</v>
      </c>
      <c r="J4724" t="str">
        <f t="shared" si="1926"/>
        <v>MAYBANK / MAYBANK ISLAMIC</v>
      </c>
      <c r="K4724" t="str">
        <f>"110189081151"</f>
        <v>110189081151</v>
      </c>
      <c r="L4724" t="str">
        <f t="shared" si="1927"/>
        <v>04-08-2020</v>
      </c>
      <c r="M4724" t="str">
        <f t="shared" si="1927"/>
        <v>04-08-2020</v>
      </c>
      <c r="N4724" t="str">
        <f t="shared" si="1911"/>
        <v>001105018356</v>
      </c>
      <c r="O4724" t="str">
        <f t="shared" si="1912"/>
        <v>MYR</v>
      </c>
      <c r="P4724" t="str">
        <f t="shared" si="1928"/>
        <v>NIL</v>
      </c>
      <c r="Q4724" t="str">
        <f t="shared" si="1928"/>
        <v>NIL</v>
      </c>
      <c r="R4724" t="str">
        <f t="shared" si="1913"/>
        <v>Accepted</v>
      </c>
      <c r="S4724" t="str">
        <f t="shared" si="1914"/>
        <v>Approved</v>
      </c>
      <c r="T4724" t="str">
        <f t="shared" si="1915"/>
        <v>10.20.8.188</v>
      </c>
      <c r="U4724" t="str">
        <f t="shared" si="1916"/>
        <v>AZRAD UMAR BIN SHAARI</v>
      </c>
      <c r="V4724" t="str">
        <f t="shared" si="1917"/>
        <v>FARHANA BINTI MUSTAPA</v>
      </c>
      <c r="W4724" t="str">
        <f t="shared" si="1918"/>
        <v>04-08-2020</v>
      </c>
      <c r="X4724" t="str">
        <f t="shared" si="1919"/>
        <v>RAZIMAH ANSAR AHMAD</v>
      </c>
      <c r="Y4724" t="str">
        <f t="shared" si="1920"/>
        <v>04-08-2020</v>
      </c>
      <c r="Z4724" t="str">
        <f>"COS10200804 4430"</f>
        <v>COS10200804 4430</v>
      </c>
    </row>
    <row r="4725" spans="1:26" x14ac:dyDescent="0.25">
      <c r="A4725" t="str">
        <f t="shared" si="1929"/>
        <v>04-08-2020 12:49:50</v>
      </c>
      <c r="B4725" t="str">
        <f>"0000806209"</f>
        <v>0000806209</v>
      </c>
      <c r="C4725" t="str">
        <f t="shared" si="1930"/>
        <v>0000806180</v>
      </c>
      <c r="D4725" t="str">
        <f t="shared" si="1908"/>
        <v>73185</v>
      </c>
      <c r="E4725" t="str">
        <f t="shared" si="1909"/>
        <v>KFH-OPERATIONS DEPARTMENT</v>
      </c>
      <c r="F4725" t="str">
        <f t="shared" si="1910"/>
        <v>IBG</v>
      </c>
      <c r="G4725" t="str">
        <f t="shared" si="1923"/>
        <v>Refund COSHARE 10</v>
      </c>
      <c r="H4725" s="2">
        <v>563</v>
      </c>
      <c r="I4725" t="str">
        <f>"ELIZABETH LAI"</f>
        <v>ELIZABETH LAI</v>
      </c>
      <c r="J4725" t="str">
        <f t="shared" si="1926"/>
        <v>MAYBANK / MAYBANK ISLAMIC</v>
      </c>
      <c r="K4725" t="str">
        <f>"110068163225"</f>
        <v>110068163225</v>
      </c>
      <c r="L4725" t="str">
        <f t="shared" si="1927"/>
        <v>04-08-2020</v>
      </c>
      <c r="M4725" t="str">
        <f t="shared" si="1927"/>
        <v>04-08-2020</v>
      </c>
      <c r="N4725" t="str">
        <f t="shared" si="1911"/>
        <v>001105018356</v>
      </c>
      <c r="O4725" t="str">
        <f t="shared" si="1912"/>
        <v>MYR</v>
      </c>
      <c r="P4725" t="str">
        <f t="shared" si="1928"/>
        <v>NIL</v>
      </c>
      <c r="Q4725" t="str">
        <f t="shared" si="1928"/>
        <v>NIL</v>
      </c>
      <c r="R4725" t="str">
        <f t="shared" si="1913"/>
        <v>Accepted</v>
      </c>
      <c r="S4725" t="str">
        <f t="shared" si="1914"/>
        <v>Approved</v>
      </c>
      <c r="T4725" t="str">
        <f t="shared" si="1915"/>
        <v>10.20.8.188</v>
      </c>
      <c r="U4725" t="str">
        <f t="shared" si="1916"/>
        <v>AZRAD UMAR BIN SHAARI</v>
      </c>
      <c r="V4725" t="str">
        <f t="shared" si="1917"/>
        <v>FARHANA BINTI MUSTAPA</v>
      </c>
      <c r="W4725" t="str">
        <f t="shared" si="1918"/>
        <v>04-08-2020</v>
      </c>
      <c r="X4725" t="str">
        <f t="shared" si="1919"/>
        <v>RAZIMAH ANSAR AHMAD</v>
      </c>
      <c r="Y4725" t="str">
        <f t="shared" si="1920"/>
        <v>04-08-2020</v>
      </c>
      <c r="Z4725" t="str">
        <f>"COS10200804 4429"</f>
        <v>COS10200804 4429</v>
      </c>
    </row>
    <row r="4726" spans="1:26" x14ac:dyDescent="0.25">
      <c r="A4726" t="str">
        <f t="shared" si="1929"/>
        <v>04-08-2020 12:49:50</v>
      </c>
      <c r="B4726" t="str">
        <f>"0000806208"</f>
        <v>0000806208</v>
      </c>
      <c r="C4726" t="str">
        <f t="shared" si="1930"/>
        <v>0000806180</v>
      </c>
      <c r="D4726" t="str">
        <f t="shared" si="1908"/>
        <v>73185</v>
      </c>
      <c r="E4726" t="str">
        <f t="shared" si="1909"/>
        <v>KFH-OPERATIONS DEPARTMENT</v>
      </c>
      <c r="F4726" t="str">
        <f t="shared" si="1910"/>
        <v>IBG</v>
      </c>
      <c r="G4726" t="str">
        <f t="shared" si="1923"/>
        <v>Refund COSHARE 10</v>
      </c>
      <c r="H4726" s="2">
        <v>759</v>
      </c>
      <c r="I4726" t="str">
        <f>"ELFYNA AMIRA BINTI SAHARI"</f>
        <v>ELFYNA AMIRA BINTI SAHARI</v>
      </c>
      <c r="J4726" t="str">
        <f t="shared" si="1926"/>
        <v>MAYBANK / MAYBANK ISLAMIC</v>
      </c>
      <c r="K4726" t="str">
        <f>"161239022627"</f>
        <v>161239022627</v>
      </c>
      <c r="L4726" t="str">
        <f t="shared" si="1927"/>
        <v>04-08-2020</v>
      </c>
      <c r="M4726" t="str">
        <f t="shared" si="1927"/>
        <v>04-08-2020</v>
      </c>
      <c r="N4726" t="str">
        <f t="shared" si="1911"/>
        <v>001105018356</v>
      </c>
      <c r="O4726" t="str">
        <f t="shared" si="1912"/>
        <v>MYR</v>
      </c>
      <c r="P4726" t="str">
        <f t="shared" si="1928"/>
        <v>NIL</v>
      </c>
      <c r="Q4726" t="str">
        <f t="shared" si="1928"/>
        <v>NIL</v>
      </c>
      <c r="R4726" t="str">
        <f t="shared" si="1913"/>
        <v>Accepted</v>
      </c>
      <c r="S4726" t="str">
        <f t="shared" si="1914"/>
        <v>Approved</v>
      </c>
      <c r="T4726" t="str">
        <f t="shared" si="1915"/>
        <v>10.20.8.188</v>
      </c>
      <c r="U4726" t="str">
        <f t="shared" si="1916"/>
        <v>AZRAD UMAR BIN SHAARI</v>
      </c>
      <c r="V4726" t="str">
        <f t="shared" si="1917"/>
        <v>FARHANA BINTI MUSTAPA</v>
      </c>
      <c r="W4726" t="str">
        <f t="shared" si="1918"/>
        <v>04-08-2020</v>
      </c>
      <c r="X4726" t="str">
        <f t="shared" si="1919"/>
        <v>RAZIMAH ANSAR AHMAD</v>
      </c>
      <c r="Y4726" t="str">
        <f t="shared" si="1920"/>
        <v>04-08-2020</v>
      </c>
      <c r="Z4726" t="str">
        <f>"COS10200804 4428"</f>
        <v>COS10200804 4428</v>
      </c>
    </row>
    <row r="4727" spans="1:26" x14ac:dyDescent="0.25">
      <c r="A4727" t="str">
        <f t="shared" si="1929"/>
        <v>04-08-2020 12:49:50</v>
      </c>
      <c r="B4727" t="str">
        <f>"0000806207"</f>
        <v>0000806207</v>
      </c>
      <c r="C4727" t="str">
        <f t="shared" si="1930"/>
        <v>0000806180</v>
      </c>
      <c r="D4727" t="str">
        <f t="shared" si="1908"/>
        <v>73185</v>
      </c>
      <c r="E4727" t="str">
        <f t="shared" si="1909"/>
        <v>KFH-OPERATIONS DEPARTMENT</v>
      </c>
      <c r="F4727" t="str">
        <f t="shared" si="1910"/>
        <v>IBG</v>
      </c>
      <c r="G4727" t="str">
        <f t="shared" si="1923"/>
        <v>Refund COSHARE 10</v>
      </c>
      <c r="H4727" s="2">
        <v>411.35</v>
      </c>
      <c r="I4727" t="str">
        <f>"ELEANOR XAVIERA MASUIL"</f>
        <v>ELEANOR XAVIERA MASUIL</v>
      </c>
      <c r="J4727" t="str">
        <f t="shared" si="1926"/>
        <v>MAYBANK / MAYBANK ISLAMIC</v>
      </c>
      <c r="K4727" t="str">
        <f>"160018587780"</f>
        <v>160018587780</v>
      </c>
      <c r="L4727" t="str">
        <f t="shared" ref="L4727:M4746" si="1931">"04-08-2020"</f>
        <v>04-08-2020</v>
      </c>
      <c r="M4727" t="str">
        <f t="shared" si="1931"/>
        <v>04-08-2020</v>
      </c>
      <c r="N4727" t="str">
        <f t="shared" si="1911"/>
        <v>001105018356</v>
      </c>
      <c r="O4727" t="str">
        <f t="shared" si="1912"/>
        <v>MYR</v>
      </c>
      <c r="P4727" t="str">
        <f t="shared" ref="P4727:Q4746" si="1932">"NIL"</f>
        <v>NIL</v>
      </c>
      <c r="Q4727" t="str">
        <f t="shared" si="1932"/>
        <v>NIL</v>
      </c>
      <c r="R4727" t="str">
        <f t="shared" si="1913"/>
        <v>Accepted</v>
      </c>
      <c r="S4727" t="str">
        <f t="shared" si="1914"/>
        <v>Approved</v>
      </c>
      <c r="T4727" t="str">
        <f t="shared" si="1915"/>
        <v>10.20.8.188</v>
      </c>
      <c r="U4727" t="str">
        <f t="shared" si="1916"/>
        <v>AZRAD UMAR BIN SHAARI</v>
      </c>
      <c r="V4727" t="str">
        <f t="shared" si="1917"/>
        <v>FARHANA BINTI MUSTAPA</v>
      </c>
      <c r="W4727" t="str">
        <f t="shared" si="1918"/>
        <v>04-08-2020</v>
      </c>
      <c r="X4727" t="str">
        <f t="shared" si="1919"/>
        <v>RAZIMAH ANSAR AHMAD</v>
      </c>
      <c r="Y4727" t="str">
        <f t="shared" si="1920"/>
        <v>04-08-2020</v>
      </c>
      <c r="Z4727" t="str">
        <f>"COS10200804 4427"</f>
        <v>COS10200804 4427</v>
      </c>
    </row>
    <row r="4728" spans="1:26" x14ac:dyDescent="0.25">
      <c r="A4728" t="str">
        <f t="shared" si="1929"/>
        <v>04-08-2020 12:49:50</v>
      </c>
      <c r="B4728" t="str">
        <f>"0000806206"</f>
        <v>0000806206</v>
      </c>
      <c r="C4728" t="str">
        <f t="shared" si="1930"/>
        <v>0000806180</v>
      </c>
      <c r="D4728" t="str">
        <f t="shared" si="1908"/>
        <v>73185</v>
      </c>
      <c r="E4728" t="str">
        <f t="shared" si="1909"/>
        <v>KFH-OPERATIONS DEPARTMENT</v>
      </c>
      <c r="F4728" t="str">
        <f t="shared" si="1910"/>
        <v>IBG</v>
      </c>
      <c r="G4728" t="str">
        <f t="shared" si="1923"/>
        <v>Refund COSHARE 10</v>
      </c>
      <c r="H4728" s="2">
        <v>504</v>
      </c>
      <c r="I4728" t="str">
        <f>"ELANGOVAN AL MUNIANDY"</f>
        <v>ELANGOVAN AL MUNIANDY</v>
      </c>
      <c r="J4728" t="str">
        <f t="shared" si="1926"/>
        <v>MAYBANK / MAYBANK ISLAMIC</v>
      </c>
      <c r="K4728" t="str">
        <f>"158051325891"</f>
        <v>158051325891</v>
      </c>
      <c r="L4728" t="str">
        <f t="shared" si="1931"/>
        <v>04-08-2020</v>
      </c>
      <c r="M4728" t="str">
        <f t="shared" si="1931"/>
        <v>04-08-2020</v>
      </c>
      <c r="N4728" t="str">
        <f t="shared" si="1911"/>
        <v>001105018356</v>
      </c>
      <c r="O4728" t="str">
        <f t="shared" si="1912"/>
        <v>MYR</v>
      </c>
      <c r="P4728" t="str">
        <f t="shared" si="1932"/>
        <v>NIL</v>
      </c>
      <c r="Q4728" t="str">
        <f t="shared" si="1932"/>
        <v>NIL</v>
      </c>
      <c r="R4728" t="str">
        <f t="shared" si="1913"/>
        <v>Accepted</v>
      </c>
      <c r="S4728" t="str">
        <f t="shared" si="1914"/>
        <v>Approved</v>
      </c>
      <c r="T4728" t="str">
        <f t="shared" si="1915"/>
        <v>10.20.8.188</v>
      </c>
      <c r="U4728" t="str">
        <f t="shared" si="1916"/>
        <v>AZRAD UMAR BIN SHAARI</v>
      </c>
      <c r="V4728" t="str">
        <f t="shared" si="1917"/>
        <v>FARHANA BINTI MUSTAPA</v>
      </c>
      <c r="W4728" t="str">
        <f t="shared" si="1918"/>
        <v>04-08-2020</v>
      </c>
      <c r="X4728" t="str">
        <f t="shared" si="1919"/>
        <v>RAZIMAH ANSAR AHMAD</v>
      </c>
      <c r="Y4728" t="str">
        <f t="shared" si="1920"/>
        <v>04-08-2020</v>
      </c>
      <c r="Z4728" t="str">
        <f>"COS10200804 4426"</f>
        <v>COS10200804 4426</v>
      </c>
    </row>
    <row r="4729" spans="1:26" x14ac:dyDescent="0.25">
      <c r="A4729" t="str">
        <f t="shared" si="1929"/>
        <v>04-08-2020 12:49:50</v>
      </c>
      <c r="B4729" t="str">
        <f>"0000806205"</f>
        <v>0000806205</v>
      </c>
      <c r="C4729" t="str">
        <f t="shared" si="1930"/>
        <v>0000806180</v>
      </c>
      <c r="D4729" t="str">
        <f t="shared" si="1908"/>
        <v>73185</v>
      </c>
      <c r="E4729" t="str">
        <f t="shared" si="1909"/>
        <v>KFH-OPERATIONS DEPARTMENT</v>
      </c>
      <c r="F4729" t="str">
        <f t="shared" si="1910"/>
        <v>IBG</v>
      </c>
      <c r="G4729" t="str">
        <f t="shared" si="1923"/>
        <v>Refund COSHARE 10</v>
      </c>
      <c r="H4729" s="2">
        <v>88.95</v>
      </c>
      <c r="I4729" t="str">
        <f>"ELANCOVEN AL V SENNAPPAN"</f>
        <v>ELANCOVEN AL V SENNAPPAN</v>
      </c>
      <c r="J4729" t="str">
        <f t="shared" si="1926"/>
        <v>MAYBANK / MAYBANK ISLAMIC</v>
      </c>
      <c r="K4729" t="str">
        <f>"106025197112"</f>
        <v>106025197112</v>
      </c>
      <c r="L4729" t="str">
        <f t="shared" si="1931"/>
        <v>04-08-2020</v>
      </c>
      <c r="M4729" t="str">
        <f t="shared" si="1931"/>
        <v>04-08-2020</v>
      </c>
      <c r="N4729" t="str">
        <f t="shared" si="1911"/>
        <v>001105018356</v>
      </c>
      <c r="O4729" t="str">
        <f t="shared" si="1912"/>
        <v>MYR</v>
      </c>
      <c r="P4729" t="str">
        <f t="shared" si="1932"/>
        <v>NIL</v>
      </c>
      <c r="Q4729" t="str">
        <f t="shared" si="1932"/>
        <v>NIL</v>
      </c>
      <c r="R4729" t="str">
        <f t="shared" si="1913"/>
        <v>Accepted</v>
      </c>
      <c r="S4729" t="str">
        <f t="shared" si="1914"/>
        <v>Approved</v>
      </c>
      <c r="T4729" t="str">
        <f t="shared" si="1915"/>
        <v>10.20.8.188</v>
      </c>
      <c r="U4729" t="str">
        <f t="shared" si="1916"/>
        <v>AZRAD UMAR BIN SHAARI</v>
      </c>
      <c r="V4729" t="str">
        <f t="shared" si="1917"/>
        <v>FARHANA BINTI MUSTAPA</v>
      </c>
      <c r="W4729" t="str">
        <f t="shared" si="1918"/>
        <v>04-08-2020</v>
      </c>
      <c r="X4729" t="str">
        <f t="shared" si="1919"/>
        <v>RAZIMAH ANSAR AHMAD</v>
      </c>
      <c r="Y4729" t="str">
        <f t="shared" si="1920"/>
        <v>04-08-2020</v>
      </c>
      <c r="Z4729" t="str">
        <f>"COS10200804 4425"</f>
        <v>COS10200804 4425</v>
      </c>
    </row>
    <row r="4730" spans="1:26" x14ac:dyDescent="0.25">
      <c r="A4730" t="str">
        <f t="shared" si="1929"/>
        <v>04-08-2020 12:49:50</v>
      </c>
      <c r="B4730" t="str">
        <f>"0000806204"</f>
        <v>0000806204</v>
      </c>
      <c r="C4730" t="str">
        <f t="shared" si="1930"/>
        <v>0000806180</v>
      </c>
      <c r="D4730" t="str">
        <f t="shared" si="1908"/>
        <v>73185</v>
      </c>
      <c r="E4730" t="str">
        <f t="shared" si="1909"/>
        <v>KFH-OPERATIONS DEPARTMENT</v>
      </c>
      <c r="F4730" t="str">
        <f t="shared" si="1910"/>
        <v>IBG</v>
      </c>
      <c r="G4730" t="str">
        <f t="shared" si="1923"/>
        <v>Refund COSHARE 10</v>
      </c>
      <c r="H4730" s="2">
        <v>310.64999999999998</v>
      </c>
      <c r="I4730" t="str">
        <f>"EJILEN BINTI TIBIN"</f>
        <v>EJILEN BINTI TIBIN</v>
      </c>
      <c r="J4730" t="str">
        <f t="shared" si="1926"/>
        <v>MAYBANK / MAYBANK ISLAMIC</v>
      </c>
      <c r="K4730" t="str">
        <f>"110050091618"</f>
        <v>110050091618</v>
      </c>
      <c r="L4730" t="str">
        <f t="shared" si="1931"/>
        <v>04-08-2020</v>
      </c>
      <c r="M4730" t="str">
        <f t="shared" si="1931"/>
        <v>04-08-2020</v>
      </c>
      <c r="N4730" t="str">
        <f t="shared" si="1911"/>
        <v>001105018356</v>
      </c>
      <c r="O4730" t="str">
        <f t="shared" si="1912"/>
        <v>MYR</v>
      </c>
      <c r="P4730" t="str">
        <f t="shared" si="1932"/>
        <v>NIL</v>
      </c>
      <c r="Q4730" t="str">
        <f t="shared" si="1932"/>
        <v>NIL</v>
      </c>
      <c r="R4730" t="str">
        <f t="shared" si="1913"/>
        <v>Accepted</v>
      </c>
      <c r="S4730" t="str">
        <f t="shared" si="1914"/>
        <v>Approved</v>
      </c>
      <c r="T4730" t="str">
        <f t="shared" si="1915"/>
        <v>10.20.8.188</v>
      </c>
      <c r="U4730" t="str">
        <f t="shared" si="1916"/>
        <v>AZRAD UMAR BIN SHAARI</v>
      </c>
      <c r="V4730" t="str">
        <f t="shared" si="1917"/>
        <v>FARHANA BINTI MUSTAPA</v>
      </c>
      <c r="W4730" t="str">
        <f t="shared" si="1918"/>
        <v>04-08-2020</v>
      </c>
      <c r="X4730" t="str">
        <f t="shared" si="1919"/>
        <v>RAZIMAH ANSAR AHMAD</v>
      </c>
      <c r="Y4730" t="str">
        <f t="shared" si="1920"/>
        <v>04-08-2020</v>
      </c>
      <c r="Z4730" t="str">
        <f>"COS10200804 4424"</f>
        <v>COS10200804 4424</v>
      </c>
    </row>
    <row r="4731" spans="1:26" x14ac:dyDescent="0.25">
      <c r="A4731" t="str">
        <f t="shared" si="1929"/>
        <v>04-08-2020 12:49:50</v>
      </c>
      <c r="B4731" t="str">
        <f>"0000806203"</f>
        <v>0000806203</v>
      </c>
      <c r="C4731" t="str">
        <f t="shared" si="1930"/>
        <v>0000806180</v>
      </c>
      <c r="D4731" t="str">
        <f t="shared" si="1908"/>
        <v>73185</v>
      </c>
      <c r="E4731" t="str">
        <f t="shared" si="1909"/>
        <v>KFH-OPERATIONS DEPARTMENT</v>
      </c>
      <c r="F4731" t="str">
        <f t="shared" si="1910"/>
        <v>IBG</v>
      </c>
      <c r="G4731" t="str">
        <f t="shared" si="1923"/>
        <v>Refund COSHARE 10</v>
      </c>
      <c r="H4731" s="2">
        <v>185</v>
      </c>
      <c r="I4731" t="str">
        <f>"EJIDIT BIN BUJANG"</f>
        <v>EJIDIT BIN BUJANG</v>
      </c>
      <c r="J4731" t="str">
        <f t="shared" si="1926"/>
        <v>MAYBANK / MAYBANK ISLAMIC</v>
      </c>
      <c r="K4731" t="str">
        <f>"161079858694"</f>
        <v>161079858694</v>
      </c>
      <c r="L4731" t="str">
        <f t="shared" si="1931"/>
        <v>04-08-2020</v>
      </c>
      <c r="M4731" t="str">
        <f t="shared" si="1931"/>
        <v>04-08-2020</v>
      </c>
      <c r="N4731" t="str">
        <f t="shared" si="1911"/>
        <v>001105018356</v>
      </c>
      <c r="O4731" t="str">
        <f t="shared" si="1912"/>
        <v>MYR</v>
      </c>
      <c r="P4731" t="str">
        <f t="shared" si="1932"/>
        <v>NIL</v>
      </c>
      <c r="Q4731" t="str">
        <f t="shared" si="1932"/>
        <v>NIL</v>
      </c>
      <c r="R4731" t="str">
        <f t="shared" si="1913"/>
        <v>Accepted</v>
      </c>
      <c r="S4731" t="str">
        <f t="shared" si="1914"/>
        <v>Approved</v>
      </c>
      <c r="T4731" t="str">
        <f t="shared" si="1915"/>
        <v>10.20.8.188</v>
      </c>
      <c r="U4731" t="str">
        <f t="shared" si="1916"/>
        <v>AZRAD UMAR BIN SHAARI</v>
      </c>
      <c r="V4731" t="str">
        <f t="shared" si="1917"/>
        <v>FARHANA BINTI MUSTAPA</v>
      </c>
      <c r="W4731" t="str">
        <f t="shared" si="1918"/>
        <v>04-08-2020</v>
      </c>
      <c r="X4731" t="str">
        <f t="shared" si="1919"/>
        <v>RAZIMAH ANSAR AHMAD</v>
      </c>
      <c r="Y4731" t="str">
        <f t="shared" si="1920"/>
        <v>04-08-2020</v>
      </c>
      <c r="Z4731" t="str">
        <f>"COS10200804 4423"</f>
        <v>COS10200804 4423</v>
      </c>
    </row>
    <row r="4732" spans="1:26" x14ac:dyDescent="0.25">
      <c r="A4732" t="str">
        <f t="shared" si="1929"/>
        <v>04-08-2020 12:49:50</v>
      </c>
      <c r="B4732" t="str">
        <f>"0000806202"</f>
        <v>0000806202</v>
      </c>
      <c r="C4732" t="str">
        <f t="shared" si="1930"/>
        <v>0000806180</v>
      </c>
      <c r="D4732" t="str">
        <f t="shared" si="1908"/>
        <v>73185</v>
      </c>
      <c r="E4732" t="str">
        <f t="shared" si="1909"/>
        <v>KFH-OPERATIONS DEPARTMENT</v>
      </c>
      <c r="F4732" t="str">
        <f t="shared" si="1910"/>
        <v>IBG</v>
      </c>
      <c r="G4732" t="str">
        <f t="shared" si="1923"/>
        <v>Refund COSHARE 10</v>
      </c>
      <c r="H4732" s="2">
        <v>512.1</v>
      </c>
      <c r="I4732" t="str">
        <f>"EIDZAL FADZLY BIN MOHAMED"</f>
        <v>EIDZAL FADZLY BIN MOHAMED</v>
      </c>
      <c r="J4732" t="str">
        <f t="shared" si="1926"/>
        <v>MAYBANK / MAYBANK ISLAMIC</v>
      </c>
      <c r="K4732" t="str">
        <f>"153038913477"</f>
        <v>153038913477</v>
      </c>
      <c r="L4732" t="str">
        <f t="shared" si="1931"/>
        <v>04-08-2020</v>
      </c>
      <c r="M4732" t="str">
        <f t="shared" si="1931"/>
        <v>04-08-2020</v>
      </c>
      <c r="N4732" t="str">
        <f t="shared" si="1911"/>
        <v>001105018356</v>
      </c>
      <c r="O4732" t="str">
        <f t="shared" si="1912"/>
        <v>MYR</v>
      </c>
      <c r="P4732" t="str">
        <f t="shared" si="1932"/>
        <v>NIL</v>
      </c>
      <c r="Q4732" t="str">
        <f t="shared" si="1932"/>
        <v>NIL</v>
      </c>
      <c r="R4732" t="str">
        <f t="shared" si="1913"/>
        <v>Accepted</v>
      </c>
      <c r="S4732" t="str">
        <f t="shared" si="1914"/>
        <v>Approved</v>
      </c>
      <c r="T4732" t="str">
        <f t="shared" si="1915"/>
        <v>10.20.8.188</v>
      </c>
      <c r="U4732" t="str">
        <f t="shared" si="1916"/>
        <v>AZRAD UMAR BIN SHAARI</v>
      </c>
      <c r="V4732" t="str">
        <f t="shared" si="1917"/>
        <v>FARHANA BINTI MUSTAPA</v>
      </c>
      <c r="W4732" t="str">
        <f t="shared" si="1918"/>
        <v>04-08-2020</v>
      </c>
      <c r="X4732" t="str">
        <f t="shared" si="1919"/>
        <v>RAZIMAH ANSAR AHMAD</v>
      </c>
      <c r="Y4732" t="str">
        <f t="shared" si="1920"/>
        <v>04-08-2020</v>
      </c>
      <c r="Z4732" t="str">
        <f>"COS10200804 4422"</f>
        <v>COS10200804 4422</v>
      </c>
    </row>
    <row r="4733" spans="1:26" x14ac:dyDescent="0.25">
      <c r="A4733" t="str">
        <f t="shared" si="1929"/>
        <v>04-08-2020 12:49:50</v>
      </c>
      <c r="B4733" t="str">
        <f>"0000806201"</f>
        <v>0000806201</v>
      </c>
      <c r="C4733" t="str">
        <f t="shared" si="1930"/>
        <v>0000806180</v>
      </c>
      <c r="D4733" t="str">
        <f t="shared" si="1908"/>
        <v>73185</v>
      </c>
      <c r="E4733" t="str">
        <f t="shared" si="1909"/>
        <v>KFH-OPERATIONS DEPARTMENT</v>
      </c>
      <c r="F4733" t="str">
        <f t="shared" si="1910"/>
        <v>IBG</v>
      </c>
      <c r="G4733" t="str">
        <f t="shared" si="1923"/>
        <v>Refund COSHARE 10</v>
      </c>
      <c r="H4733" s="2">
        <v>50.4</v>
      </c>
      <c r="I4733" t="str">
        <f>"EIDARYANTTY BINTI ABDUL MALIK"</f>
        <v>EIDARYANTTY BINTI ABDUL MALIK</v>
      </c>
      <c r="J4733" t="str">
        <f t="shared" si="1926"/>
        <v>MAYBANK / MAYBANK ISLAMIC</v>
      </c>
      <c r="K4733" t="str">
        <f>"114011060919"</f>
        <v>114011060919</v>
      </c>
      <c r="L4733" t="str">
        <f t="shared" si="1931"/>
        <v>04-08-2020</v>
      </c>
      <c r="M4733" t="str">
        <f t="shared" si="1931"/>
        <v>04-08-2020</v>
      </c>
      <c r="N4733" t="str">
        <f t="shared" si="1911"/>
        <v>001105018356</v>
      </c>
      <c r="O4733" t="str">
        <f t="shared" si="1912"/>
        <v>MYR</v>
      </c>
      <c r="P4733" t="str">
        <f t="shared" si="1932"/>
        <v>NIL</v>
      </c>
      <c r="Q4733" t="str">
        <f t="shared" si="1932"/>
        <v>NIL</v>
      </c>
      <c r="R4733" t="str">
        <f t="shared" si="1913"/>
        <v>Accepted</v>
      </c>
      <c r="S4733" t="str">
        <f t="shared" si="1914"/>
        <v>Approved</v>
      </c>
      <c r="T4733" t="str">
        <f t="shared" si="1915"/>
        <v>10.20.8.188</v>
      </c>
      <c r="U4733" t="str">
        <f t="shared" si="1916"/>
        <v>AZRAD UMAR BIN SHAARI</v>
      </c>
      <c r="V4733" t="str">
        <f t="shared" si="1917"/>
        <v>FARHANA BINTI MUSTAPA</v>
      </c>
      <c r="W4733" t="str">
        <f t="shared" si="1918"/>
        <v>04-08-2020</v>
      </c>
      <c r="X4733" t="str">
        <f t="shared" si="1919"/>
        <v>RAZIMAH ANSAR AHMAD</v>
      </c>
      <c r="Y4733" t="str">
        <f t="shared" si="1920"/>
        <v>04-08-2020</v>
      </c>
      <c r="Z4733" t="str">
        <f>"COS10200804 4421"</f>
        <v>COS10200804 4421</v>
      </c>
    </row>
    <row r="4734" spans="1:26" x14ac:dyDescent="0.25">
      <c r="A4734" t="str">
        <f t="shared" si="1929"/>
        <v>04-08-2020 12:49:50</v>
      </c>
      <c r="B4734" t="str">
        <f>"0000806200"</f>
        <v>0000806200</v>
      </c>
      <c r="C4734" t="str">
        <f t="shared" si="1930"/>
        <v>0000806180</v>
      </c>
      <c r="D4734" t="str">
        <f t="shared" si="1908"/>
        <v>73185</v>
      </c>
      <c r="E4734" t="str">
        <f t="shared" si="1909"/>
        <v>KFH-OPERATIONS DEPARTMENT</v>
      </c>
      <c r="F4734" t="str">
        <f t="shared" si="1910"/>
        <v>IBG</v>
      </c>
      <c r="G4734" t="str">
        <f t="shared" si="1923"/>
        <v>Refund COSHARE 10</v>
      </c>
      <c r="H4734" s="2">
        <v>888</v>
      </c>
      <c r="I4734" t="str">
        <f>"EFFENDY BIN A RAHMAN"</f>
        <v>EFFENDY BIN A RAHMAN</v>
      </c>
      <c r="J4734" t="str">
        <f t="shared" si="1926"/>
        <v>MAYBANK / MAYBANK ISLAMIC</v>
      </c>
      <c r="K4734" t="str">
        <f>"101151076833"</f>
        <v>101151076833</v>
      </c>
      <c r="L4734" t="str">
        <f t="shared" si="1931"/>
        <v>04-08-2020</v>
      </c>
      <c r="M4734" t="str">
        <f t="shared" si="1931"/>
        <v>04-08-2020</v>
      </c>
      <c r="N4734" t="str">
        <f t="shared" si="1911"/>
        <v>001105018356</v>
      </c>
      <c r="O4734" t="str">
        <f t="shared" si="1912"/>
        <v>MYR</v>
      </c>
      <c r="P4734" t="str">
        <f t="shared" si="1932"/>
        <v>NIL</v>
      </c>
      <c r="Q4734" t="str">
        <f t="shared" si="1932"/>
        <v>NIL</v>
      </c>
      <c r="R4734" t="str">
        <f t="shared" si="1913"/>
        <v>Accepted</v>
      </c>
      <c r="S4734" t="str">
        <f t="shared" si="1914"/>
        <v>Approved</v>
      </c>
      <c r="T4734" t="str">
        <f t="shared" si="1915"/>
        <v>10.20.8.188</v>
      </c>
      <c r="U4734" t="str">
        <f t="shared" si="1916"/>
        <v>AZRAD UMAR BIN SHAARI</v>
      </c>
      <c r="V4734" t="str">
        <f t="shared" si="1917"/>
        <v>FARHANA BINTI MUSTAPA</v>
      </c>
      <c r="W4734" t="str">
        <f t="shared" si="1918"/>
        <v>04-08-2020</v>
      </c>
      <c r="X4734" t="str">
        <f t="shared" si="1919"/>
        <v>RAZIMAH ANSAR AHMAD</v>
      </c>
      <c r="Y4734" t="str">
        <f t="shared" si="1920"/>
        <v>04-08-2020</v>
      </c>
      <c r="Z4734" t="str">
        <f>"COS10200804 4420"</f>
        <v>COS10200804 4420</v>
      </c>
    </row>
    <row r="4735" spans="1:26" x14ac:dyDescent="0.25">
      <c r="A4735" t="str">
        <f t="shared" si="1929"/>
        <v>04-08-2020 12:49:50</v>
      </c>
      <c r="B4735" t="str">
        <f>"0000806199"</f>
        <v>0000806199</v>
      </c>
      <c r="C4735" t="str">
        <f t="shared" si="1930"/>
        <v>0000806180</v>
      </c>
      <c r="D4735" t="str">
        <f t="shared" si="1908"/>
        <v>73185</v>
      </c>
      <c r="E4735" t="str">
        <f t="shared" si="1909"/>
        <v>KFH-OPERATIONS DEPARTMENT</v>
      </c>
      <c r="F4735" t="str">
        <f t="shared" si="1910"/>
        <v>IBG</v>
      </c>
      <c r="G4735" t="str">
        <f t="shared" si="1923"/>
        <v>Refund COSHARE 10</v>
      </c>
      <c r="H4735" s="2">
        <v>335.8</v>
      </c>
      <c r="I4735" t="str">
        <f>"EDZUAN SHAH BIN DZAIDI"</f>
        <v>EDZUAN SHAH BIN DZAIDI</v>
      </c>
      <c r="J4735" t="str">
        <f t="shared" si="1926"/>
        <v>MAYBANK / MAYBANK ISLAMIC</v>
      </c>
      <c r="K4735" t="str">
        <f>"162311674411"</f>
        <v>162311674411</v>
      </c>
      <c r="L4735" t="str">
        <f t="shared" si="1931"/>
        <v>04-08-2020</v>
      </c>
      <c r="M4735" t="str">
        <f t="shared" si="1931"/>
        <v>04-08-2020</v>
      </c>
      <c r="N4735" t="str">
        <f t="shared" si="1911"/>
        <v>001105018356</v>
      </c>
      <c r="O4735" t="str">
        <f t="shared" si="1912"/>
        <v>MYR</v>
      </c>
      <c r="P4735" t="str">
        <f t="shared" si="1932"/>
        <v>NIL</v>
      </c>
      <c r="Q4735" t="str">
        <f t="shared" si="1932"/>
        <v>NIL</v>
      </c>
      <c r="R4735" t="str">
        <f t="shared" si="1913"/>
        <v>Accepted</v>
      </c>
      <c r="S4735" t="str">
        <f t="shared" si="1914"/>
        <v>Approved</v>
      </c>
      <c r="T4735" t="str">
        <f t="shared" si="1915"/>
        <v>10.20.8.188</v>
      </c>
      <c r="U4735" t="str">
        <f t="shared" si="1916"/>
        <v>AZRAD UMAR BIN SHAARI</v>
      </c>
      <c r="V4735" t="str">
        <f t="shared" si="1917"/>
        <v>FARHANA BINTI MUSTAPA</v>
      </c>
      <c r="W4735" t="str">
        <f t="shared" si="1918"/>
        <v>04-08-2020</v>
      </c>
      <c r="X4735" t="str">
        <f t="shared" si="1919"/>
        <v>RAZIMAH ANSAR AHMAD</v>
      </c>
      <c r="Y4735" t="str">
        <f t="shared" si="1920"/>
        <v>04-08-2020</v>
      </c>
      <c r="Z4735" t="str">
        <f>"COS10200804 4419"</f>
        <v>COS10200804 4419</v>
      </c>
    </row>
    <row r="4736" spans="1:26" x14ac:dyDescent="0.25">
      <c r="A4736" t="str">
        <f t="shared" si="1929"/>
        <v>04-08-2020 12:49:50</v>
      </c>
      <c r="B4736" t="str">
        <f>"0000806198"</f>
        <v>0000806198</v>
      </c>
      <c r="C4736" t="str">
        <f t="shared" si="1930"/>
        <v>0000806180</v>
      </c>
      <c r="D4736" t="str">
        <f t="shared" si="1908"/>
        <v>73185</v>
      </c>
      <c r="E4736" t="str">
        <f t="shared" si="1909"/>
        <v>KFH-OPERATIONS DEPARTMENT</v>
      </c>
      <c r="F4736" t="str">
        <f t="shared" si="1910"/>
        <v>IBG</v>
      </c>
      <c r="G4736" t="str">
        <f t="shared" si="1923"/>
        <v>Refund COSHARE 10</v>
      </c>
      <c r="H4736" s="2">
        <v>1158.5</v>
      </c>
      <c r="I4736" t="str">
        <f>"EDWINA MEAL TIN"</f>
        <v>EDWINA MEAL TIN</v>
      </c>
      <c r="J4736" t="str">
        <f t="shared" si="1926"/>
        <v>MAYBANK / MAYBANK ISLAMIC</v>
      </c>
      <c r="K4736" t="str">
        <f>"157335100613"</f>
        <v>157335100613</v>
      </c>
      <c r="L4736" t="str">
        <f t="shared" si="1931"/>
        <v>04-08-2020</v>
      </c>
      <c r="M4736" t="str">
        <f t="shared" si="1931"/>
        <v>04-08-2020</v>
      </c>
      <c r="N4736" t="str">
        <f t="shared" si="1911"/>
        <v>001105018356</v>
      </c>
      <c r="O4736" t="str">
        <f t="shared" si="1912"/>
        <v>MYR</v>
      </c>
      <c r="P4736" t="str">
        <f t="shared" si="1932"/>
        <v>NIL</v>
      </c>
      <c r="Q4736" t="str">
        <f t="shared" si="1932"/>
        <v>NIL</v>
      </c>
      <c r="R4736" t="str">
        <f t="shared" si="1913"/>
        <v>Accepted</v>
      </c>
      <c r="S4736" t="str">
        <f t="shared" si="1914"/>
        <v>Approved</v>
      </c>
      <c r="T4736" t="str">
        <f t="shared" si="1915"/>
        <v>10.20.8.188</v>
      </c>
      <c r="U4736" t="str">
        <f t="shared" si="1916"/>
        <v>AZRAD UMAR BIN SHAARI</v>
      </c>
      <c r="V4736" t="str">
        <f t="shared" si="1917"/>
        <v>FARHANA BINTI MUSTAPA</v>
      </c>
      <c r="W4736" t="str">
        <f t="shared" si="1918"/>
        <v>04-08-2020</v>
      </c>
      <c r="X4736" t="str">
        <f t="shared" si="1919"/>
        <v>RAZIMAH ANSAR AHMAD</v>
      </c>
      <c r="Y4736" t="str">
        <f t="shared" si="1920"/>
        <v>04-08-2020</v>
      </c>
      <c r="Z4736" t="str">
        <f>"COS10200804 4418"</f>
        <v>COS10200804 4418</v>
      </c>
    </row>
    <row r="4737" spans="1:26" x14ac:dyDescent="0.25">
      <c r="A4737" t="str">
        <f t="shared" si="1929"/>
        <v>04-08-2020 12:49:50</v>
      </c>
      <c r="B4737" t="str">
        <f>"0000806197"</f>
        <v>0000806197</v>
      </c>
      <c r="C4737" t="str">
        <f t="shared" si="1930"/>
        <v>0000806180</v>
      </c>
      <c r="D4737" t="str">
        <f t="shared" si="1908"/>
        <v>73185</v>
      </c>
      <c r="E4737" t="str">
        <f t="shared" si="1909"/>
        <v>KFH-OPERATIONS DEPARTMENT</v>
      </c>
      <c r="F4737" t="str">
        <f t="shared" si="1910"/>
        <v>IBG</v>
      </c>
      <c r="G4737" t="str">
        <f t="shared" si="1923"/>
        <v>Refund COSHARE 10</v>
      </c>
      <c r="H4737" s="2">
        <v>337.8</v>
      </c>
      <c r="I4737" t="str">
        <f>"EDNIN BIN SODOI"</f>
        <v>EDNIN BIN SODOI</v>
      </c>
      <c r="J4737" t="str">
        <f t="shared" si="1926"/>
        <v>MAYBANK / MAYBANK ISLAMIC</v>
      </c>
      <c r="K4737" t="str">
        <f>"110059108264"</f>
        <v>110059108264</v>
      </c>
      <c r="L4737" t="str">
        <f t="shared" si="1931"/>
        <v>04-08-2020</v>
      </c>
      <c r="M4737" t="str">
        <f t="shared" si="1931"/>
        <v>04-08-2020</v>
      </c>
      <c r="N4737" t="str">
        <f t="shared" si="1911"/>
        <v>001105018356</v>
      </c>
      <c r="O4737" t="str">
        <f t="shared" si="1912"/>
        <v>MYR</v>
      </c>
      <c r="P4737" t="str">
        <f t="shared" si="1932"/>
        <v>NIL</v>
      </c>
      <c r="Q4737" t="str">
        <f t="shared" si="1932"/>
        <v>NIL</v>
      </c>
      <c r="R4737" t="str">
        <f t="shared" si="1913"/>
        <v>Accepted</v>
      </c>
      <c r="S4737" t="str">
        <f t="shared" si="1914"/>
        <v>Approved</v>
      </c>
      <c r="T4737" t="str">
        <f t="shared" si="1915"/>
        <v>10.20.8.188</v>
      </c>
      <c r="U4737" t="str">
        <f t="shared" si="1916"/>
        <v>AZRAD UMAR BIN SHAARI</v>
      </c>
      <c r="V4737" t="str">
        <f t="shared" si="1917"/>
        <v>FARHANA BINTI MUSTAPA</v>
      </c>
      <c r="W4737" t="str">
        <f t="shared" si="1918"/>
        <v>04-08-2020</v>
      </c>
      <c r="X4737" t="str">
        <f t="shared" si="1919"/>
        <v>RAZIMAH ANSAR AHMAD</v>
      </c>
      <c r="Y4737" t="str">
        <f t="shared" si="1920"/>
        <v>04-08-2020</v>
      </c>
      <c r="Z4737" t="str">
        <f>"COS10200804 4417"</f>
        <v>COS10200804 4417</v>
      </c>
    </row>
    <row r="4738" spans="1:26" x14ac:dyDescent="0.25">
      <c r="A4738" t="str">
        <f t="shared" si="1929"/>
        <v>04-08-2020 12:49:50</v>
      </c>
      <c r="B4738" t="str">
        <f>"0000806196"</f>
        <v>0000806196</v>
      </c>
      <c r="C4738" t="str">
        <f t="shared" si="1930"/>
        <v>0000806180</v>
      </c>
      <c r="D4738" t="str">
        <f t="shared" si="1908"/>
        <v>73185</v>
      </c>
      <c r="E4738" t="str">
        <f t="shared" si="1909"/>
        <v>KFH-OPERATIONS DEPARTMENT</v>
      </c>
      <c r="F4738" t="str">
        <f t="shared" si="1910"/>
        <v>IBG</v>
      </c>
      <c r="G4738" t="str">
        <f t="shared" si="1923"/>
        <v>Refund COSHARE 10</v>
      </c>
      <c r="H4738" s="2">
        <v>975.75</v>
      </c>
      <c r="I4738" t="str">
        <f>"EDNI SHAREEN BINTI MOHD FAROUK"</f>
        <v>EDNI SHAREEN BINTI MOHD FAROUK</v>
      </c>
      <c r="J4738" t="str">
        <f t="shared" si="1926"/>
        <v>MAYBANK / MAYBANK ISLAMIC</v>
      </c>
      <c r="K4738" t="str">
        <f>"114169647727"</f>
        <v>114169647727</v>
      </c>
      <c r="L4738" t="str">
        <f t="shared" si="1931"/>
        <v>04-08-2020</v>
      </c>
      <c r="M4738" t="str">
        <f t="shared" si="1931"/>
        <v>04-08-2020</v>
      </c>
      <c r="N4738" t="str">
        <f t="shared" si="1911"/>
        <v>001105018356</v>
      </c>
      <c r="O4738" t="str">
        <f t="shared" si="1912"/>
        <v>MYR</v>
      </c>
      <c r="P4738" t="str">
        <f t="shared" si="1932"/>
        <v>NIL</v>
      </c>
      <c r="Q4738" t="str">
        <f t="shared" si="1932"/>
        <v>NIL</v>
      </c>
      <c r="R4738" t="str">
        <f t="shared" si="1913"/>
        <v>Accepted</v>
      </c>
      <c r="S4738" t="str">
        <f t="shared" si="1914"/>
        <v>Approved</v>
      </c>
      <c r="T4738" t="str">
        <f t="shared" si="1915"/>
        <v>10.20.8.188</v>
      </c>
      <c r="U4738" t="str">
        <f t="shared" si="1916"/>
        <v>AZRAD UMAR BIN SHAARI</v>
      </c>
      <c r="V4738" t="str">
        <f t="shared" si="1917"/>
        <v>FARHANA BINTI MUSTAPA</v>
      </c>
      <c r="W4738" t="str">
        <f t="shared" si="1918"/>
        <v>04-08-2020</v>
      </c>
      <c r="X4738" t="str">
        <f t="shared" si="1919"/>
        <v>RAZIMAH ANSAR AHMAD</v>
      </c>
      <c r="Y4738" t="str">
        <f t="shared" si="1920"/>
        <v>04-08-2020</v>
      </c>
      <c r="Z4738" t="str">
        <f>"COS10200804 4416"</f>
        <v>COS10200804 4416</v>
      </c>
    </row>
    <row r="4739" spans="1:26" x14ac:dyDescent="0.25">
      <c r="A4739" t="str">
        <f t="shared" si="1929"/>
        <v>04-08-2020 12:49:50</v>
      </c>
      <c r="B4739" t="str">
        <f>"0000806195"</f>
        <v>0000806195</v>
      </c>
      <c r="C4739" t="str">
        <f t="shared" si="1930"/>
        <v>0000806180</v>
      </c>
      <c r="D4739" t="str">
        <f t="shared" si="1908"/>
        <v>73185</v>
      </c>
      <c r="E4739" t="str">
        <f t="shared" si="1909"/>
        <v>KFH-OPERATIONS DEPARTMENT</v>
      </c>
      <c r="F4739" t="str">
        <f t="shared" si="1910"/>
        <v>IBG</v>
      </c>
      <c r="G4739" t="str">
        <f t="shared" si="1923"/>
        <v>Refund COSHARE 10</v>
      </c>
      <c r="H4739" s="2">
        <v>50.4</v>
      </c>
      <c r="I4739" t="str">
        <f>"EDNA NOEMI AMATOMIS  EDNAWARTY"</f>
        <v>EDNA NOEMI AMATOMIS  EDNAWARTY</v>
      </c>
      <c r="J4739" t="str">
        <f t="shared" si="1926"/>
        <v>MAYBANK / MAYBANK ISLAMIC</v>
      </c>
      <c r="K4739" t="str">
        <f>"160036006835"</f>
        <v>160036006835</v>
      </c>
      <c r="L4739" t="str">
        <f t="shared" si="1931"/>
        <v>04-08-2020</v>
      </c>
      <c r="M4739" t="str">
        <f t="shared" si="1931"/>
        <v>04-08-2020</v>
      </c>
      <c r="N4739" t="str">
        <f t="shared" si="1911"/>
        <v>001105018356</v>
      </c>
      <c r="O4739" t="str">
        <f t="shared" si="1912"/>
        <v>MYR</v>
      </c>
      <c r="P4739" t="str">
        <f t="shared" si="1932"/>
        <v>NIL</v>
      </c>
      <c r="Q4739" t="str">
        <f t="shared" si="1932"/>
        <v>NIL</v>
      </c>
      <c r="R4739" t="str">
        <f t="shared" si="1913"/>
        <v>Accepted</v>
      </c>
      <c r="S4739" t="str">
        <f t="shared" si="1914"/>
        <v>Approved</v>
      </c>
      <c r="T4739" t="str">
        <f t="shared" si="1915"/>
        <v>10.20.8.188</v>
      </c>
      <c r="U4739" t="str">
        <f t="shared" si="1916"/>
        <v>AZRAD UMAR BIN SHAARI</v>
      </c>
      <c r="V4739" t="str">
        <f t="shared" si="1917"/>
        <v>FARHANA BINTI MUSTAPA</v>
      </c>
      <c r="W4739" t="str">
        <f t="shared" si="1918"/>
        <v>04-08-2020</v>
      </c>
      <c r="X4739" t="str">
        <f t="shared" si="1919"/>
        <v>RAZIMAH ANSAR AHMAD</v>
      </c>
      <c r="Y4739" t="str">
        <f t="shared" si="1920"/>
        <v>04-08-2020</v>
      </c>
      <c r="Z4739" t="str">
        <f>"COS10200804 4415"</f>
        <v>COS10200804 4415</v>
      </c>
    </row>
    <row r="4740" spans="1:26" x14ac:dyDescent="0.25">
      <c r="A4740" t="str">
        <f t="shared" si="1929"/>
        <v>04-08-2020 12:49:50</v>
      </c>
      <c r="B4740" t="str">
        <f>"0000806194"</f>
        <v>0000806194</v>
      </c>
      <c r="C4740" t="str">
        <f t="shared" si="1930"/>
        <v>0000806180</v>
      </c>
      <c r="D4740" t="str">
        <f t="shared" si="1908"/>
        <v>73185</v>
      </c>
      <c r="E4740" t="str">
        <f t="shared" si="1909"/>
        <v>KFH-OPERATIONS DEPARTMENT</v>
      </c>
      <c r="F4740" t="str">
        <f t="shared" si="1910"/>
        <v>IBG</v>
      </c>
      <c r="G4740" t="str">
        <f t="shared" si="1923"/>
        <v>Refund COSHARE 10</v>
      </c>
      <c r="H4740" s="2">
        <v>109.15</v>
      </c>
      <c r="I4740" t="str">
        <f>"EDLYNA BINTI MOHAMED AKHIR"</f>
        <v>EDLYNA BINTI MOHAMED AKHIR</v>
      </c>
      <c r="J4740" t="str">
        <f t="shared" si="1926"/>
        <v>MAYBANK / MAYBANK ISLAMIC</v>
      </c>
      <c r="K4740" t="str">
        <f>"158060471126"</f>
        <v>158060471126</v>
      </c>
      <c r="L4740" t="str">
        <f t="shared" si="1931"/>
        <v>04-08-2020</v>
      </c>
      <c r="M4740" t="str">
        <f t="shared" si="1931"/>
        <v>04-08-2020</v>
      </c>
      <c r="N4740" t="str">
        <f t="shared" si="1911"/>
        <v>001105018356</v>
      </c>
      <c r="O4740" t="str">
        <f t="shared" si="1912"/>
        <v>MYR</v>
      </c>
      <c r="P4740" t="str">
        <f t="shared" si="1932"/>
        <v>NIL</v>
      </c>
      <c r="Q4740" t="str">
        <f t="shared" si="1932"/>
        <v>NIL</v>
      </c>
      <c r="R4740" t="str">
        <f t="shared" si="1913"/>
        <v>Accepted</v>
      </c>
      <c r="S4740" t="str">
        <f t="shared" si="1914"/>
        <v>Approved</v>
      </c>
      <c r="T4740" t="str">
        <f t="shared" si="1915"/>
        <v>10.20.8.188</v>
      </c>
      <c r="U4740" t="str">
        <f t="shared" si="1916"/>
        <v>AZRAD UMAR BIN SHAARI</v>
      </c>
      <c r="V4740" t="str">
        <f t="shared" si="1917"/>
        <v>FARHANA BINTI MUSTAPA</v>
      </c>
      <c r="W4740" t="str">
        <f t="shared" si="1918"/>
        <v>04-08-2020</v>
      </c>
      <c r="X4740" t="str">
        <f t="shared" si="1919"/>
        <v>RAZIMAH ANSAR AHMAD</v>
      </c>
      <c r="Y4740" t="str">
        <f t="shared" si="1920"/>
        <v>04-08-2020</v>
      </c>
      <c r="Z4740" t="str">
        <f>"COS10200804 4414"</f>
        <v>COS10200804 4414</v>
      </c>
    </row>
    <row r="4741" spans="1:26" x14ac:dyDescent="0.25">
      <c r="A4741" t="str">
        <f t="shared" si="1929"/>
        <v>04-08-2020 12:49:50</v>
      </c>
      <c r="B4741" t="str">
        <f>"0000806193"</f>
        <v>0000806193</v>
      </c>
      <c r="C4741" t="str">
        <f t="shared" si="1930"/>
        <v>0000806180</v>
      </c>
      <c r="D4741" t="str">
        <f t="shared" si="1908"/>
        <v>73185</v>
      </c>
      <c r="E4741" t="str">
        <f t="shared" si="1909"/>
        <v>KFH-OPERATIONS DEPARTMENT</v>
      </c>
      <c r="F4741" t="str">
        <f t="shared" si="1910"/>
        <v>IBG</v>
      </c>
      <c r="G4741" t="str">
        <f t="shared" si="1923"/>
        <v>Refund COSHARE 10</v>
      </c>
      <c r="H4741" s="2">
        <v>104</v>
      </c>
      <c r="I4741" t="str">
        <f>"EDDY IRWANSYAH BIN DAHLAN"</f>
        <v>EDDY IRWANSYAH BIN DAHLAN</v>
      </c>
      <c r="J4741" t="str">
        <f t="shared" si="1926"/>
        <v>MAYBANK / MAYBANK ISLAMIC</v>
      </c>
      <c r="K4741" t="str">
        <f>"160036940081"</f>
        <v>160036940081</v>
      </c>
      <c r="L4741" t="str">
        <f t="shared" si="1931"/>
        <v>04-08-2020</v>
      </c>
      <c r="M4741" t="str">
        <f t="shared" si="1931"/>
        <v>04-08-2020</v>
      </c>
      <c r="N4741" t="str">
        <f t="shared" si="1911"/>
        <v>001105018356</v>
      </c>
      <c r="O4741" t="str">
        <f t="shared" si="1912"/>
        <v>MYR</v>
      </c>
      <c r="P4741" t="str">
        <f t="shared" si="1932"/>
        <v>NIL</v>
      </c>
      <c r="Q4741" t="str">
        <f t="shared" si="1932"/>
        <v>NIL</v>
      </c>
      <c r="R4741" t="str">
        <f t="shared" si="1913"/>
        <v>Accepted</v>
      </c>
      <c r="S4741" t="str">
        <f t="shared" si="1914"/>
        <v>Approved</v>
      </c>
      <c r="T4741" t="str">
        <f t="shared" si="1915"/>
        <v>10.20.8.188</v>
      </c>
      <c r="U4741" t="str">
        <f t="shared" si="1916"/>
        <v>AZRAD UMAR BIN SHAARI</v>
      </c>
      <c r="V4741" t="str">
        <f t="shared" si="1917"/>
        <v>FARHANA BINTI MUSTAPA</v>
      </c>
      <c r="W4741" t="str">
        <f t="shared" si="1918"/>
        <v>04-08-2020</v>
      </c>
      <c r="X4741" t="str">
        <f t="shared" si="1919"/>
        <v>RAZIMAH ANSAR AHMAD</v>
      </c>
      <c r="Y4741" t="str">
        <f t="shared" si="1920"/>
        <v>04-08-2020</v>
      </c>
      <c r="Z4741" t="str">
        <f>"COS10200804 4413"</f>
        <v>COS10200804 4413</v>
      </c>
    </row>
    <row r="4742" spans="1:26" x14ac:dyDescent="0.25">
      <c r="A4742" t="str">
        <f t="shared" si="1929"/>
        <v>04-08-2020 12:49:50</v>
      </c>
      <c r="B4742" t="str">
        <f>"0000806192"</f>
        <v>0000806192</v>
      </c>
      <c r="C4742" t="str">
        <f t="shared" si="1930"/>
        <v>0000806180</v>
      </c>
      <c r="D4742" t="str">
        <f t="shared" si="1908"/>
        <v>73185</v>
      </c>
      <c r="E4742" t="str">
        <f t="shared" si="1909"/>
        <v>KFH-OPERATIONS DEPARTMENT</v>
      </c>
      <c r="F4742" t="str">
        <f t="shared" si="1910"/>
        <v>IBG</v>
      </c>
      <c r="G4742" t="str">
        <f t="shared" si="1923"/>
        <v>Refund COSHARE 10</v>
      </c>
      <c r="H4742" s="2">
        <v>999</v>
      </c>
      <c r="I4742" t="str">
        <f>"EDDIE BIN EMBAU"</f>
        <v>EDDIE BIN EMBAU</v>
      </c>
      <c r="J4742" t="str">
        <f t="shared" si="1926"/>
        <v>MAYBANK / MAYBANK ISLAMIC</v>
      </c>
      <c r="K4742" t="str">
        <f>"110022371420"</f>
        <v>110022371420</v>
      </c>
      <c r="L4742" t="str">
        <f t="shared" si="1931"/>
        <v>04-08-2020</v>
      </c>
      <c r="M4742" t="str">
        <f t="shared" si="1931"/>
        <v>04-08-2020</v>
      </c>
      <c r="N4742" t="str">
        <f t="shared" si="1911"/>
        <v>001105018356</v>
      </c>
      <c r="O4742" t="str">
        <f t="shared" si="1912"/>
        <v>MYR</v>
      </c>
      <c r="P4742" t="str">
        <f t="shared" si="1932"/>
        <v>NIL</v>
      </c>
      <c r="Q4742" t="str">
        <f t="shared" si="1932"/>
        <v>NIL</v>
      </c>
      <c r="R4742" t="str">
        <f t="shared" si="1913"/>
        <v>Accepted</v>
      </c>
      <c r="S4742" t="str">
        <f t="shared" si="1914"/>
        <v>Approved</v>
      </c>
      <c r="T4742" t="str">
        <f t="shared" si="1915"/>
        <v>10.20.8.188</v>
      </c>
      <c r="U4742" t="str">
        <f t="shared" si="1916"/>
        <v>AZRAD UMAR BIN SHAARI</v>
      </c>
      <c r="V4742" t="str">
        <f t="shared" si="1917"/>
        <v>FARHANA BINTI MUSTAPA</v>
      </c>
      <c r="W4742" t="str">
        <f t="shared" si="1918"/>
        <v>04-08-2020</v>
      </c>
      <c r="X4742" t="str">
        <f t="shared" si="1919"/>
        <v>RAZIMAH ANSAR AHMAD</v>
      </c>
      <c r="Y4742" t="str">
        <f t="shared" si="1920"/>
        <v>04-08-2020</v>
      </c>
      <c r="Z4742" t="str">
        <f>"COS10200804 4412"</f>
        <v>COS10200804 4412</v>
      </c>
    </row>
    <row r="4743" spans="1:26" x14ac:dyDescent="0.25">
      <c r="A4743" t="str">
        <f t="shared" si="1929"/>
        <v>04-08-2020 12:49:50</v>
      </c>
      <c r="B4743" t="str">
        <f>"0000806191"</f>
        <v>0000806191</v>
      </c>
      <c r="C4743" t="str">
        <f t="shared" si="1930"/>
        <v>0000806180</v>
      </c>
      <c r="D4743" t="str">
        <f t="shared" ref="D4743:D4806" si="1933">"73185"</f>
        <v>73185</v>
      </c>
      <c r="E4743" t="str">
        <f t="shared" ref="E4743:E4806" si="1934">"KFH-OPERATIONS DEPARTMENT"</f>
        <v>KFH-OPERATIONS DEPARTMENT</v>
      </c>
      <c r="F4743" t="str">
        <f t="shared" ref="F4743:F4806" si="1935">"IBG"</f>
        <v>IBG</v>
      </c>
      <c r="G4743" t="str">
        <f t="shared" si="1923"/>
        <v>Refund COSHARE 10</v>
      </c>
      <c r="H4743" s="2">
        <v>226</v>
      </c>
      <c r="I4743" t="str">
        <f>"ECCLESIASTES ANAK AMPETI"</f>
        <v>ECCLESIASTES ANAK AMPETI</v>
      </c>
      <c r="J4743" t="str">
        <f t="shared" si="1926"/>
        <v>MAYBANK / MAYBANK ISLAMIC</v>
      </c>
      <c r="K4743" t="str">
        <f>"111075041744"</f>
        <v>111075041744</v>
      </c>
      <c r="L4743" t="str">
        <f t="shared" si="1931"/>
        <v>04-08-2020</v>
      </c>
      <c r="M4743" t="str">
        <f t="shared" si="1931"/>
        <v>04-08-2020</v>
      </c>
      <c r="N4743" t="str">
        <f t="shared" ref="N4743:N4806" si="1936">"001105018356"</f>
        <v>001105018356</v>
      </c>
      <c r="O4743" t="str">
        <f t="shared" ref="O4743:O4806" si="1937">"MYR"</f>
        <v>MYR</v>
      </c>
      <c r="P4743" t="str">
        <f t="shared" si="1932"/>
        <v>NIL</v>
      </c>
      <c r="Q4743" t="str">
        <f t="shared" si="1932"/>
        <v>NIL</v>
      </c>
      <c r="R4743" t="str">
        <f t="shared" ref="R4743:R4806" si="1938">"Accepted"</f>
        <v>Accepted</v>
      </c>
      <c r="S4743" t="str">
        <f t="shared" ref="S4743:S4806" si="1939">"Approved"</f>
        <v>Approved</v>
      </c>
      <c r="T4743" t="str">
        <f t="shared" ref="T4743:T4806" si="1940">"10.20.8.188"</f>
        <v>10.20.8.188</v>
      </c>
      <c r="U4743" t="str">
        <f t="shared" ref="U4743:U4806" si="1941">"AZRAD UMAR BIN SHAARI"</f>
        <v>AZRAD UMAR BIN SHAARI</v>
      </c>
      <c r="V4743" t="str">
        <f t="shared" ref="V4743:V4806" si="1942">"FARHANA BINTI MUSTAPA"</f>
        <v>FARHANA BINTI MUSTAPA</v>
      </c>
      <c r="W4743" t="str">
        <f t="shared" ref="W4743:W4806" si="1943">"04-08-2020"</f>
        <v>04-08-2020</v>
      </c>
      <c r="X4743" t="str">
        <f t="shared" ref="X4743:X4806" si="1944">"RAZIMAH ANSAR AHMAD"</f>
        <v>RAZIMAH ANSAR AHMAD</v>
      </c>
      <c r="Y4743" t="str">
        <f t="shared" ref="Y4743:Y4806" si="1945">"04-08-2020"</f>
        <v>04-08-2020</v>
      </c>
      <c r="Z4743" t="str">
        <f>"COS10200804 4411"</f>
        <v>COS10200804 4411</v>
      </c>
    </row>
    <row r="4744" spans="1:26" x14ac:dyDescent="0.25">
      <c r="A4744" t="str">
        <f t="shared" si="1929"/>
        <v>04-08-2020 12:49:50</v>
      </c>
      <c r="B4744" t="str">
        <f>"0000806190"</f>
        <v>0000806190</v>
      </c>
      <c r="C4744" t="str">
        <f t="shared" si="1930"/>
        <v>0000806180</v>
      </c>
      <c r="D4744" t="str">
        <f t="shared" si="1933"/>
        <v>73185</v>
      </c>
      <c r="E4744" t="str">
        <f t="shared" si="1934"/>
        <v>KFH-OPERATIONS DEPARTMENT</v>
      </c>
      <c r="F4744" t="str">
        <f t="shared" si="1935"/>
        <v>IBG</v>
      </c>
      <c r="G4744" t="str">
        <f t="shared" si="1923"/>
        <v>Refund COSHARE 10</v>
      </c>
      <c r="H4744" s="2">
        <v>42</v>
      </c>
      <c r="I4744" t="str">
        <f>"DZURINA  BINTI HAILI"</f>
        <v>DZURINA  BINTI HAILI</v>
      </c>
      <c r="J4744" t="str">
        <f t="shared" si="1926"/>
        <v>MAYBANK / MAYBANK ISLAMIC</v>
      </c>
      <c r="K4744" t="str">
        <f>"111177147232"</f>
        <v>111177147232</v>
      </c>
      <c r="L4744" t="str">
        <f t="shared" si="1931"/>
        <v>04-08-2020</v>
      </c>
      <c r="M4744" t="str">
        <f t="shared" si="1931"/>
        <v>04-08-2020</v>
      </c>
      <c r="N4744" t="str">
        <f t="shared" si="1936"/>
        <v>001105018356</v>
      </c>
      <c r="O4744" t="str">
        <f t="shared" si="1937"/>
        <v>MYR</v>
      </c>
      <c r="P4744" t="str">
        <f t="shared" si="1932"/>
        <v>NIL</v>
      </c>
      <c r="Q4744" t="str">
        <f t="shared" si="1932"/>
        <v>NIL</v>
      </c>
      <c r="R4744" t="str">
        <f t="shared" si="1938"/>
        <v>Accepted</v>
      </c>
      <c r="S4744" t="str">
        <f t="shared" si="1939"/>
        <v>Approved</v>
      </c>
      <c r="T4744" t="str">
        <f t="shared" si="1940"/>
        <v>10.20.8.188</v>
      </c>
      <c r="U4744" t="str">
        <f t="shared" si="1941"/>
        <v>AZRAD UMAR BIN SHAARI</v>
      </c>
      <c r="V4744" t="str">
        <f t="shared" si="1942"/>
        <v>FARHANA BINTI MUSTAPA</v>
      </c>
      <c r="W4744" t="str">
        <f t="shared" si="1943"/>
        <v>04-08-2020</v>
      </c>
      <c r="X4744" t="str">
        <f t="shared" si="1944"/>
        <v>RAZIMAH ANSAR AHMAD</v>
      </c>
      <c r="Y4744" t="str">
        <f t="shared" si="1945"/>
        <v>04-08-2020</v>
      </c>
      <c r="Z4744" t="str">
        <f>"COS10200804 4410"</f>
        <v>COS10200804 4410</v>
      </c>
    </row>
    <row r="4745" spans="1:26" x14ac:dyDescent="0.25">
      <c r="A4745" t="str">
        <f t="shared" si="1929"/>
        <v>04-08-2020 12:49:50</v>
      </c>
      <c r="B4745" t="str">
        <f>"0000806189"</f>
        <v>0000806189</v>
      </c>
      <c r="C4745" t="str">
        <f t="shared" si="1930"/>
        <v>0000806180</v>
      </c>
      <c r="D4745" t="str">
        <f t="shared" si="1933"/>
        <v>73185</v>
      </c>
      <c r="E4745" t="str">
        <f t="shared" si="1934"/>
        <v>KFH-OPERATIONS DEPARTMENT</v>
      </c>
      <c r="F4745" t="str">
        <f t="shared" si="1935"/>
        <v>IBG</v>
      </c>
      <c r="G4745" t="str">
        <f t="shared" si="1923"/>
        <v>Refund COSHARE 10</v>
      </c>
      <c r="H4745" s="2">
        <v>1679</v>
      </c>
      <c r="I4745" t="str">
        <f>"DZURAIDA BINTI ZAKARIA"</f>
        <v>DZURAIDA BINTI ZAKARIA</v>
      </c>
      <c r="J4745" t="str">
        <f t="shared" si="1926"/>
        <v>MAYBANK / MAYBANK ISLAMIC</v>
      </c>
      <c r="K4745" t="str">
        <f>"164548162651"</f>
        <v>164548162651</v>
      </c>
      <c r="L4745" t="str">
        <f t="shared" si="1931"/>
        <v>04-08-2020</v>
      </c>
      <c r="M4745" t="str">
        <f t="shared" si="1931"/>
        <v>04-08-2020</v>
      </c>
      <c r="N4745" t="str">
        <f t="shared" si="1936"/>
        <v>001105018356</v>
      </c>
      <c r="O4745" t="str">
        <f t="shared" si="1937"/>
        <v>MYR</v>
      </c>
      <c r="P4745" t="str">
        <f t="shared" si="1932"/>
        <v>NIL</v>
      </c>
      <c r="Q4745" t="str">
        <f t="shared" si="1932"/>
        <v>NIL</v>
      </c>
      <c r="R4745" t="str">
        <f t="shared" si="1938"/>
        <v>Accepted</v>
      </c>
      <c r="S4745" t="str">
        <f t="shared" si="1939"/>
        <v>Approved</v>
      </c>
      <c r="T4745" t="str">
        <f t="shared" si="1940"/>
        <v>10.20.8.188</v>
      </c>
      <c r="U4745" t="str">
        <f t="shared" si="1941"/>
        <v>AZRAD UMAR BIN SHAARI</v>
      </c>
      <c r="V4745" t="str">
        <f t="shared" si="1942"/>
        <v>FARHANA BINTI MUSTAPA</v>
      </c>
      <c r="W4745" t="str">
        <f t="shared" si="1943"/>
        <v>04-08-2020</v>
      </c>
      <c r="X4745" t="str">
        <f t="shared" si="1944"/>
        <v>RAZIMAH ANSAR AHMAD</v>
      </c>
      <c r="Y4745" t="str">
        <f t="shared" si="1945"/>
        <v>04-08-2020</v>
      </c>
      <c r="Z4745" t="str">
        <f>"COS10200804 4409"</f>
        <v>COS10200804 4409</v>
      </c>
    </row>
    <row r="4746" spans="1:26" x14ac:dyDescent="0.25">
      <c r="A4746" t="str">
        <f t="shared" ref="A4746:A4753" si="1946">"04-08-2020 12:49:50"</f>
        <v>04-08-2020 12:49:50</v>
      </c>
      <c r="B4746" t="str">
        <f>"0000806188"</f>
        <v>0000806188</v>
      </c>
      <c r="C4746" t="str">
        <f t="shared" ref="C4746:C4753" si="1947">"0000806180"</f>
        <v>0000806180</v>
      </c>
      <c r="D4746" t="str">
        <f t="shared" si="1933"/>
        <v>73185</v>
      </c>
      <c r="E4746" t="str">
        <f t="shared" si="1934"/>
        <v>KFH-OPERATIONS DEPARTMENT</v>
      </c>
      <c r="F4746" t="str">
        <f t="shared" si="1935"/>
        <v>IBG</v>
      </c>
      <c r="G4746" t="str">
        <f t="shared" si="1923"/>
        <v>Refund COSHARE 10</v>
      </c>
      <c r="H4746" s="2">
        <v>190.65</v>
      </c>
      <c r="I4746" t="str">
        <f>"DZULKIFLI BIN MD HUSSAIN"</f>
        <v>DZULKIFLI BIN MD HUSSAIN</v>
      </c>
      <c r="J4746" t="str">
        <f t="shared" si="1926"/>
        <v>MAYBANK / MAYBANK ISLAMIC</v>
      </c>
      <c r="K4746" t="str">
        <f>"101114149114"</f>
        <v>101114149114</v>
      </c>
      <c r="L4746" t="str">
        <f t="shared" si="1931"/>
        <v>04-08-2020</v>
      </c>
      <c r="M4746" t="str">
        <f t="shared" si="1931"/>
        <v>04-08-2020</v>
      </c>
      <c r="N4746" t="str">
        <f t="shared" si="1936"/>
        <v>001105018356</v>
      </c>
      <c r="O4746" t="str">
        <f t="shared" si="1937"/>
        <v>MYR</v>
      </c>
      <c r="P4746" t="str">
        <f t="shared" si="1932"/>
        <v>NIL</v>
      </c>
      <c r="Q4746" t="str">
        <f t="shared" si="1932"/>
        <v>NIL</v>
      </c>
      <c r="R4746" t="str">
        <f t="shared" si="1938"/>
        <v>Accepted</v>
      </c>
      <c r="S4746" t="str">
        <f t="shared" si="1939"/>
        <v>Approved</v>
      </c>
      <c r="T4746" t="str">
        <f t="shared" si="1940"/>
        <v>10.20.8.188</v>
      </c>
      <c r="U4746" t="str">
        <f t="shared" si="1941"/>
        <v>AZRAD UMAR BIN SHAARI</v>
      </c>
      <c r="V4746" t="str">
        <f t="shared" si="1942"/>
        <v>FARHANA BINTI MUSTAPA</v>
      </c>
      <c r="W4746" t="str">
        <f t="shared" si="1943"/>
        <v>04-08-2020</v>
      </c>
      <c r="X4746" t="str">
        <f t="shared" si="1944"/>
        <v>RAZIMAH ANSAR AHMAD</v>
      </c>
      <c r="Y4746" t="str">
        <f t="shared" si="1945"/>
        <v>04-08-2020</v>
      </c>
      <c r="Z4746" t="str">
        <f>"COS10200804 4408"</f>
        <v>COS10200804 4408</v>
      </c>
    </row>
    <row r="4747" spans="1:26" x14ac:dyDescent="0.25">
      <c r="A4747" t="str">
        <f t="shared" si="1946"/>
        <v>04-08-2020 12:49:50</v>
      </c>
      <c r="B4747" t="str">
        <f>"0000806187"</f>
        <v>0000806187</v>
      </c>
      <c r="C4747" t="str">
        <f t="shared" si="1947"/>
        <v>0000806180</v>
      </c>
      <c r="D4747" t="str">
        <f t="shared" si="1933"/>
        <v>73185</v>
      </c>
      <c r="E4747" t="str">
        <f t="shared" si="1934"/>
        <v>KFH-OPERATIONS DEPARTMENT</v>
      </c>
      <c r="F4747" t="str">
        <f t="shared" si="1935"/>
        <v>IBG</v>
      </c>
      <c r="G4747" t="str">
        <f t="shared" si="1923"/>
        <v>Refund COSHARE 10</v>
      </c>
      <c r="H4747" s="2">
        <v>482.75</v>
      </c>
      <c r="I4747" t="str">
        <f>"DYG RANIAH BINTI AWANG JALIL"</f>
        <v>DYG RANIAH BINTI AWANG JALIL</v>
      </c>
      <c r="J4747" t="str">
        <f t="shared" si="1926"/>
        <v>MAYBANK / MAYBANK ISLAMIC</v>
      </c>
      <c r="K4747" t="str">
        <f>"111104029649"</f>
        <v>111104029649</v>
      </c>
      <c r="L4747" t="str">
        <f t="shared" ref="L4747:M4766" si="1948">"04-08-2020"</f>
        <v>04-08-2020</v>
      </c>
      <c r="M4747" t="str">
        <f t="shared" si="1948"/>
        <v>04-08-2020</v>
      </c>
      <c r="N4747" t="str">
        <f t="shared" si="1936"/>
        <v>001105018356</v>
      </c>
      <c r="O4747" t="str">
        <f t="shared" si="1937"/>
        <v>MYR</v>
      </c>
      <c r="P4747" t="str">
        <f t="shared" ref="P4747:Q4766" si="1949">"NIL"</f>
        <v>NIL</v>
      </c>
      <c r="Q4747" t="str">
        <f t="shared" si="1949"/>
        <v>NIL</v>
      </c>
      <c r="R4747" t="str">
        <f t="shared" si="1938"/>
        <v>Accepted</v>
      </c>
      <c r="S4747" t="str">
        <f t="shared" si="1939"/>
        <v>Approved</v>
      </c>
      <c r="T4747" t="str">
        <f t="shared" si="1940"/>
        <v>10.20.8.188</v>
      </c>
      <c r="U4747" t="str">
        <f t="shared" si="1941"/>
        <v>AZRAD UMAR BIN SHAARI</v>
      </c>
      <c r="V4747" t="str">
        <f t="shared" si="1942"/>
        <v>FARHANA BINTI MUSTAPA</v>
      </c>
      <c r="W4747" t="str">
        <f t="shared" si="1943"/>
        <v>04-08-2020</v>
      </c>
      <c r="X4747" t="str">
        <f t="shared" si="1944"/>
        <v>RAZIMAH ANSAR AHMAD</v>
      </c>
      <c r="Y4747" t="str">
        <f t="shared" si="1945"/>
        <v>04-08-2020</v>
      </c>
      <c r="Z4747" t="str">
        <f>"COS10200804 4407"</f>
        <v>COS10200804 4407</v>
      </c>
    </row>
    <row r="4748" spans="1:26" x14ac:dyDescent="0.25">
      <c r="A4748" t="str">
        <f t="shared" si="1946"/>
        <v>04-08-2020 12:49:50</v>
      </c>
      <c r="B4748" t="str">
        <f>"0000806186"</f>
        <v>0000806186</v>
      </c>
      <c r="C4748" t="str">
        <f t="shared" si="1947"/>
        <v>0000806180</v>
      </c>
      <c r="D4748" t="str">
        <f t="shared" si="1933"/>
        <v>73185</v>
      </c>
      <c r="E4748" t="str">
        <f t="shared" si="1934"/>
        <v>KFH-OPERATIONS DEPARTMENT</v>
      </c>
      <c r="F4748" t="str">
        <f t="shared" si="1935"/>
        <v>IBG</v>
      </c>
      <c r="G4748" t="str">
        <f t="shared" ref="G4748:G4811" si="1950">"Refund COSHARE 10"</f>
        <v>Refund COSHARE 10</v>
      </c>
      <c r="H4748" s="2">
        <v>1679</v>
      </c>
      <c r="I4748" t="str">
        <f>"DUNSTAN BIN ANTHONY"</f>
        <v>DUNSTAN BIN ANTHONY</v>
      </c>
      <c r="J4748" t="str">
        <f t="shared" si="1926"/>
        <v>MAYBANK / MAYBANK ISLAMIC</v>
      </c>
      <c r="K4748" t="str">
        <f>"110014172697"</f>
        <v>110014172697</v>
      </c>
      <c r="L4748" t="str">
        <f t="shared" si="1948"/>
        <v>04-08-2020</v>
      </c>
      <c r="M4748" t="str">
        <f t="shared" si="1948"/>
        <v>04-08-2020</v>
      </c>
      <c r="N4748" t="str">
        <f t="shared" si="1936"/>
        <v>001105018356</v>
      </c>
      <c r="O4748" t="str">
        <f t="shared" si="1937"/>
        <v>MYR</v>
      </c>
      <c r="P4748" t="str">
        <f t="shared" si="1949"/>
        <v>NIL</v>
      </c>
      <c r="Q4748" t="str">
        <f t="shared" si="1949"/>
        <v>NIL</v>
      </c>
      <c r="R4748" t="str">
        <f t="shared" si="1938"/>
        <v>Accepted</v>
      </c>
      <c r="S4748" t="str">
        <f t="shared" si="1939"/>
        <v>Approved</v>
      </c>
      <c r="T4748" t="str">
        <f t="shared" si="1940"/>
        <v>10.20.8.188</v>
      </c>
      <c r="U4748" t="str">
        <f t="shared" si="1941"/>
        <v>AZRAD UMAR BIN SHAARI</v>
      </c>
      <c r="V4748" t="str">
        <f t="shared" si="1942"/>
        <v>FARHANA BINTI MUSTAPA</v>
      </c>
      <c r="W4748" t="str">
        <f t="shared" si="1943"/>
        <v>04-08-2020</v>
      </c>
      <c r="X4748" t="str">
        <f t="shared" si="1944"/>
        <v>RAZIMAH ANSAR AHMAD</v>
      </c>
      <c r="Y4748" t="str">
        <f t="shared" si="1945"/>
        <v>04-08-2020</v>
      </c>
      <c r="Z4748" t="str">
        <f>"COS10200804 4406"</f>
        <v>COS10200804 4406</v>
      </c>
    </row>
    <row r="4749" spans="1:26" x14ac:dyDescent="0.25">
      <c r="A4749" t="str">
        <f t="shared" si="1946"/>
        <v>04-08-2020 12:49:50</v>
      </c>
      <c r="B4749" t="str">
        <f>"0000806185"</f>
        <v>0000806185</v>
      </c>
      <c r="C4749" t="str">
        <f t="shared" si="1947"/>
        <v>0000806180</v>
      </c>
      <c r="D4749" t="str">
        <f t="shared" si="1933"/>
        <v>73185</v>
      </c>
      <c r="E4749" t="str">
        <f t="shared" si="1934"/>
        <v>KFH-OPERATIONS DEPARTMENT</v>
      </c>
      <c r="F4749" t="str">
        <f t="shared" si="1935"/>
        <v>IBG</v>
      </c>
      <c r="G4749" t="str">
        <f t="shared" si="1950"/>
        <v>Refund COSHARE 10</v>
      </c>
      <c r="H4749" s="2">
        <v>134.35</v>
      </c>
      <c r="I4749" t="str">
        <f>"DULLAH BIN AMIT"</f>
        <v>DULLAH BIN AMIT</v>
      </c>
      <c r="J4749" t="str">
        <f t="shared" si="1926"/>
        <v>MAYBANK / MAYBANK ISLAMIC</v>
      </c>
      <c r="K4749" t="str">
        <f>"161042116595"</f>
        <v>161042116595</v>
      </c>
      <c r="L4749" t="str">
        <f t="shared" si="1948"/>
        <v>04-08-2020</v>
      </c>
      <c r="M4749" t="str">
        <f t="shared" si="1948"/>
        <v>04-08-2020</v>
      </c>
      <c r="N4749" t="str">
        <f t="shared" si="1936"/>
        <v>001105018356</v>
      </c>
      <c r="O4749" t="str">
        <f t="shared" si="1937"/>
        <v>MYR</v>
      </c>
      <c r="P4749" t="str">
        <f t="shared" si="1949"/>
        <v>NIL</v>
      </c>
      <c r="Q4749" t="str">
        <f t="shared" si="1949"/>
        <v>NIL</v>
      </c>
      <c r="R4749" t="str">
        <f t="shared" si="1938"/>
        <v>Accepted</v>
      </c>
      <c r="S4749" t="str">
        <f t="shared" si="1939"/>
        <v>Approved</v>
      </c>
      <c r="T4749" t="str">
        <f t="shared" si="1940"/>
        <v>10.20.8.188</v>
      </c>
      <c r="U4749" t="str">
        <f t="shared" si="1941"/>
        <v>AZRAD UMAR BIN SHAARI</v>
      </c>
      <c r="V4749" t="str">
        <f t="shared" si="1942"/>
        <v>FARHANA BINTI MUSTAPA</v>
      </c>
      <c r="W4749" t="str">
        <f t="shared" si="1943"/>
        <v>04-08-2020</v>
      </c>
      <c r="X4749" t="str">
        <f t="shared" si="1944"/>
        <v>RAZIMAH ANSAR AHMAD</v>
      </c>
      <c r="Y4749" t="str">
        <f t="shared" si="1945"/>
        <v>04-08-2020</v>
      </c>
      <c r="Z4749" t="str">
        <f>"COS10200804 4405"</f>
        <v>COS10200804 4405</v>
      </c>
    </row>
    <row r="4750" spans="1:26" x14ac:dyDescent="0.25">
      <c r="A4750" t="str">
        <f t="shared" si="1946"/>
        <v>04-08-2020 12:49:50</v>
      </c>
      <c r="B4750" t="str">
        <f>"0000806184"</f>
        <v>0000806184</v>
      </c>
      <c r="C4750" t="str">
        <f t="shared" si="1947"/>
        <v>0000806180</v>
      </c>
      <c r="D4750" t="str">
        <f t="shared" si="1933"/>
        <v>73185</v>
      </c>
      <c r="E4750" t="str">
        <f t="shared" si="1934"/>
        <v>KFH-OPERATIONS DEPARTMENT</v>
      </c>
      <c r="F4750" t="str">
        <f t="shared" si="1935"/>
        <v>IBG</v>
      </c>
      <c r="G4750" t="str">
        <f t="shared" si="1950"/>
        <v>Refund COSHARE 10</v>
      </c>
      <c r="H4750" s="2">
        <v>713.6</v>
      </c>
      <c r="I4750" t="str">
        <f>"DOUGLAS ANAK DOMIEAN"</f>
        <v>DOUGLAS ANAK DOMIEAN</v>
      </c>
      <c r="J4750" t="str">
        <f t="shared" si="1926"/>
        <v>MAYBANK / MAYBANK ISLAMIC</v>
      </c>
      <c r="K4750" t="str">
        <f>"115121055082"</f>
        <v>115121055082</v>
      </c>
      <c r="L4750" t="str">
        <f t="shared" si="1948"/>
        <v>04-08-2020</v>
      </c>
      <c r="M4750" t="str">
        <f t="shared" si="1948"/>
        <v>04-08-2020</v>
      </c>
      <c r="N4750" t="str">
        <f t="shared" si="1936"/>
        <v>001105018356</v>
      </c>
      <c r="O4750" t="str">
        <f t="shared" si="1937"/>
        <v>MYR</v>
      </c>
      <c r="P4750" t="str">
        <f t="shared" si="1949"/>
        <v>NIL</v>
      </c>
      <c r="Q4750" t="str">
        <f t="shared" si="1949"/>
        <v>NIL</v>
      </c>
      <c r="R4750" t="str">
        <f t="shared" si="1938"/>
        <v>Accepted</v>
      </c>
      <c r="S4750" t="str">
        <f t="shared" si="1939"/>
        <v>Approved</v>
      </c>
      <c r="T4750" t="str">
        <f t="shared" si="1940"/>
        <v>10.20.8.188</v>
      </c>
      <c r="U4750" t="str">
        <f t="shared" si="1941"/>
        <v>AZRAD UMAR BIN SHAARI</v>
      </c>
      <c r="V4750" t="str">
        <f t="shared" si="1942"/>
        <v>FARHANA BINTI MUSTAPA</v>
      </c>
      <c r="W4750" t="str">
        <f t="shared" si="1943"/>
        <v>04-08-2020</v>
      </c>
      <c r="X4750" t="str">
        <f t="shared" si="1944"/>
        <v>RAZIMAH ANSAR AHMAD</v>
      </c>
      <c r="Y4750" t="str">
        <f t="shared" si="1945"/>
        <v>04-08-2020</v>
      </c>
      <c r="Z4750" t="str">
        <f>"COS10200804 4404"</f>
        <v>COS10200804 4404</v>
      </c>
    </row>
    <row r="4751" spans="1:26" x14ac:dyDescent="0.25">
      <c r="A4751" t="str">
        <f t="shared" si="1946"/>
        <v>04-08-2020 12:49:50</v>
      </c>
      <c r="B4751" t="str">
        <f>"0000806183"</f>
        <v>0000806183</v>
      </c>
      <c r="C4751" t="str">
        <f t="shared" si="1947"/>
        <v>0000806180</v>
      </c>
      <c r="D4751" t="str">
        <f t="shared" si="1933"/>
        <v>73185</v>
      </c>
      <c r="E4751" t="str">
        <f t="shared" si="1934"/>
        <v>KFH-OPERATIONS DEPARTMENT</v>
      </c>
      <c r="F4751" t="str">
        <f t="shared" si="1935"/>
        <v>IBG</v>
      </c>
      <c r="G4751" t="str">
        <f t="shared" si="1950"/>
        <v>Refund COSHARE 10</v>
      </c>
      <c r="H4751" s="2">
        <v>948.65</v>
      </c>
      <c r="I4751" t="str">
        <f>"DORIA VICTORIA JANIUR"</f>
        <v>DORIA VICTORIA JANIUR</v>
      </c>
      <c r="J4751" t="str">
        <f t="shared" si="1926"/>
        <v>MAYBANK / MAYBANK ISLAMIC</v>
      </c>
      <c r="K4751" t="str">
        <f>"164351114713"</f>
        <v>164351114713</v>
      </c>
      <c r="L4751" t="str">
        <f t="shared" si="1948"/>
        <v>04-08-2020</v>
      </c>
      <c r="M4751" t="str">
        <f t="shared" si="1948"/>
        <v>04-08-2020</v>
      </c>
      <c r="N4751" t="str">
        <f t="shared" si="1936"/>
        <v>001105018356</v>
      </c>
      <c r="O4751" t="str">
        <f t="shared" si="1937"/>
        <v>MYR</v>
      </c>
      <c r="P4751" t="str">
        <f t="shared" si="1949"/>
        <v>NIL</v>
      </c>
      <c r="Q4751" t="str">
        <f t="shared" si="1949"/>
        <v>NIL</v>
      </c>
      <c r="R4751" t="str">
        <f t="shared" si="1938"/>
        <v>Accepted</v>
      </c>
      <c r="S4751" t="str">
        <f t="shared" si="1939"/>
        <v>Approved</v>
      </c>
      <c r="T4751" t="str">
        <f t="shared" si="1940"/>
        <v>10.20.8.188</v>
      </c>
      <c r="U4751" t="str">
        <f t="shared" si="1941"/>
        <v>AZRAD UMAR BIN SHAARI</v>
      </c>
      <c r="V4751" t="str">
        <f t="shared" si="1942"/>
        <v>FARHANA BINTI MUSTAPA</v>
      </c>
      <c r="W4751" t="str">
        <f t="shared" si="1943"/>
        <v>04-08-2020</v>
      </c>
      <c r="X4751" t="str">
        <f t="shared" si="1944"/>
        <v>RAZIMAH ANSAR AHMAD</v>
      </c>
      <c r="Y4751" t="str">
        <f t="shared" si="1945"/>
        <v>04-08-2020</v>
      </c>
      <c r="Z4751" t="str">
        <f>"COS10200804 4403"</f>
        <v>COS10200804 4403</v>
      </c>
    </row>
    <row r="4752" spans="1:26" x14ac:dyDescent="0.25">
      <c r="A4752" t="str">
        <f t="shared" si="1946"/>
        <v>04-08-2020 12:49:50</v>
      </c>
      <c r="B4752" t="str">
        <f>"0000806182"</f>
        <v>0000806182</v>
      </c>
      <c r="C4752" t="str">
        <f t="shared" si="1947"/>
        <v>0000806180</v>
      </c>
      <c r="D4752" t="str">
        <f t="shared" si="1933"/>
        <v>73185</v>
      </c>
      <c r="E4752" t="str">
        <f t="shared" si="1934"/>
        <v>KFH-OPERATIONS DEPARTMENT</v>
      </c>
      <c r="F4752" t="str">
        <f t="shared" si="1935"/>
        <v>IBG</v>
      </c>
      <c r="G4752" t="str">
        <f t="shared" si="1950"/>
        <v>Refund COSHARE 10</v>
      </c>
      <c r="H4752" s="2">
        <v>184.7</v>
      </c>
      <c r="I4752" t="str">
        <f>"DONNY MINGGU LING"</f>
        <v>DONNY MINGGU LING</v>
      </c>
      <c r="J4752" t="str">
        <f t="shared" si="1926"/>
        <v>MAYBANK / MAYBANK ISLAMIC</v>
      </c>
      <c r="K4752" t="str">
        <f>"161211056889"</f>
        <v>161211056889</v>
      </c>
      <c r="L4752" t="str">
        <f t="shared" si="1948"/>
        <v>04-08-2020</v>
      </c>
      <c r="M4752" t="str">
        <f t="shared" si="1948"/>
        <v>04-08-2020</v>
      </c>
      <c r="N4752" t="str">
        <f t="shared" si="1936"/>
        <v>001105018356</v>
      </c>
      <c r="O4752" t="str">
        <f t="shared" si="1937"/>
        <v>MYR</v>
      </c>
      <c r="P4752" t="str">
        <f t="shared" si="1949"/>
        <v>NIL</v>
      </c>
      <c r="Q4752" t="str">
        <f t="shared" si="1949"/>
        <v>NIL</v>
      </c>
      <c r="R4752" t="str">
        <f t="shared" si="1938"/>
        <v>Accepted</v>
      </c>
      <c r="S4752" t="str">
        <f t="shared" si="1939"/>
        <v>Approved</v>
      </c>
      <c r="T4752" t="str">
        <f t="shared" si="1940"/>
        <v>10.20.8.188</v>
      </c>
      <c r="U4752" t="str">
        <f t="shared" si="1941"/>
        <v>AZRAD UMAR BIN SHAARI</v>
      </c>
      <c r="V4752" t="str">
        <f t="shared" si="1942"/>
        <v>FARHANA BINTI MUSTAPA</v>
      </c>
      <c r="W4752" t="str">
        <f t="shared" si="1943"/>
        <v>04-08-2020</v>
      </c>
      <c r="X4752" t="str">
        <f t="shared" si="1944"/>
        <v>RAZIMAH ANSAR AHMAD</v>
      </c>
      <c r="Y4752" t="str">
        <f t="shared" si="1945"/>
        <v>04-08-2020</v>
      </c>
      <c r="Z4752" t="str">
        <f>"COS10200804 4402"</f>
        <v>COS10200804 4402</v>
      </c>
    </row>
    <row r="4753" spans="1:26" x14ac:dyDescent="0.25">
      <c r="A4753" t="str">
        <f t="shared" si="1946"/>
        <v>04-08-2020 12:49:50</v>
      </c>
      <c r="B4753" t="str">
        <f>"0000806181"</f>
        <v>0000806181</v>
      </c>
      <c r="C4753" t="str">
        <f t="shared" si="1947"/>
        <v>0000806180</v>
      </c>
      <c r="D4753" t="str">
        <f t="shared" si="1933"/>
        <v>73185</v>
      </c>
      <c r="E4753" t="str">
        <f t="shared" si="1934"/>
        <v>KFH-OPERATIONS DEPARTMENT</v>
      </c>
      <c r="F4753" t="str">
        <f t="shared" si="1935"/>
        <v>IBG</v>
      </c>
      <c r="G4753" t="str">
        <f t="shared" si="1950"/>
        <v>Refund COSHARE 10</v>
      </c>
      <c r="H4753" s="2">
        <v>239</v>
      </c>
      <c r="I4753" t="str">
        <f>"DOLLY DELLY BINTI DAVID"</f>
        <v>DOLLY DELLY BINTI DAVID</v>
      </c>
      <c r="J4753" t="str">
        <f t="shared" ref="J4753:J4816" si="1951">"MAYBANK / MAYBANK ISLAMIC"</f>
        <v>MAYBANK / MAYBANK ISLAMIC</v>
      </c>
      <c r="K4753" t="str">
        <f>"160054314598"</f>
        <v>160054314598</v>
      </c>
      <c r="L4753" t="str">
        <f t="shared" si="1948"/>
        <v>04-08-2020</v>
      </c>
      <c r="M4753" t="str">
        <f t="shared" si="1948"/>
        <v>04-08-2020</v>
      </c>
      <c r="N4753" t="str">
        <f t="shared" si="1936"/>
        <v>001105018356</v>
      </c>
      <c r="O4753" t="str">
        <f t="shared" si="1937"/>
        <v>MYR</v>
      </c>
      <c r="P4753" t="str">
        <f t="shared" si="1949"/>
        <v>NIL</v>
      </c>
      <c r="Q4753" t="str">
        <f t="shared" si="1949"/>
        <v>NIL</v>
      </c>
      <c r="R4753" t="str">
        <f t="shared" si="1938"/>
        <v>Accepted</v>
      </c>
      <c r="S4753" t="str">
        <f t="shared" si="1939"/>
        <v>Approved</v>
      </c>
      <c r="T4753" t="str">
        <f t="shared" si="1940"/>
        <v>10.20.8.188</v>
      </c>
      <c r="U4753" t="str">
        <f t="shared" si="1941"/>
        <v>AZRAD UMAR BIN SHAARI</v>
      </c>
      <c r="V4753" t="str">
        <f t="shared" si="1942"/>
        <v>FARHANA BINTI MUSTAPA</v>
      </c>
      <c r="W4753" t="str">
        <f t="shared" si="1943"/>
        <v>04-08-2020</v>
      </c>
      <c r="X4753" t="str">
        <f t="shared" si="1944"/>
        <v>RAZIMAH ANSAR AHMAD</v>
      </c>
      <c r="Y4753" t="str">
        <f t="shared" si="1945"/>
        <v>04-08-2020</v>
      </c>
      <c r="Z4753" t="str">
        <f>"COS10200804 4401"</f>
        <v>COS10200804 4401</v>
      </c>
    </row>
    <row r="4754" spans="1:26" x14ac:dyDescent="0.25">
      <c r="A4754" t="str">
        <f t="shared" ref="A4754:A4785" si="1952">"04-08-2020 12:49:03"</f>
        <v>04-08-2020 12:49:03</v>
      </c>
      <c r="B4754" t="str">
        <f>"0000806179"</f>
        <v>0000806179</v>
      </c>
      <c r="C4754" t="str">
        <f t="shared" ref="C4754:C4785" si="1953">"0000805979"</f>
        <v>0000805979</v>
      </c>
      <c r="D4754" t="str">
        <f t="shared" si="1933"/>
        <v>73185</v>
      </c>
      <c r="E4754" t="str">
        <f t="shared" si="1934"/>
        <v>KFH-OPERATIONS DEPARTMENT</v>
      </c>
      <c r="F4754" t="str">
        <f t="shared" si="1935"/>
        <v>IBG</v>
      </c>
      <c r="G4754" t="str">
        <f t="shared" si="1950"/>
        <v>Refund COSHARE 10</v>
      </c>
      <c r="H4754" s="2">
        <v>503.7</v>
      </c>
      <c r="I4754" t="str">
        <f>"DINA MARIANA BINTI AROLA"</f>
        <v>DINA MARIANA BINTI AROLA</v>
      </c>
      <c r="J4754" t="str">
        <f t="shared" si="1951"/>
        <v>MAYBANK / MAYBANK ISLAMIC</v>
      </c>
      <c r="K4754" t="str">
        <f>"160037022043"</f>
        <v>160037022043</v>
      </c>
      <c r="L4754" t="str">
        <f t="shared" si="1948"/>
        <v>04-08-2020</v>
      </c>
      <c r="M4754" t="str">
        <f t="shared" si="1948"/>
        <v>04-08-2020</v>
      </c>
      <c r="N4754" t="str">
        <f t="shared" si="1936"/>
        <v>001105018356</v>
      </c>
      <c r="O4754" t="str">
        <f t="shared" si="1937"/>
        <v>MYR</v>
      </c>
      <c r="P4754" t="str">
        <f t="shared" si="1949"/>
        <v>NIL</v>
      </c>
      <c r="Q4754" t="str">
        <f t="shared" si="1949"/>
        <v>NIL</v>
      </c>
      <c r="R4754" t="str">
        <f t="shared" si="1938"/>
        <v>Accepted</v>
      </c>
      <c r="S4754" t="str">
        <f t="shared" si="1939"/>
        <v>Approved</v>
      </c>
      <c r="T4754" t="str">
        <f t="shared" si="1940"/>
        <v>10.20.8.188</v>
      </c>
      <c r="U4754" t="str">
        <f t="shared" si="1941"/>
        <v>AZRAD UMAR BIN SHAARI</v>
      </c>
      <c r="V4754" t="str">
        <f t="shared" si="1942"/>
        <v>FARHANA BINTI MUSTAPA</v>
      </c>
      <c r="W4754" t="str">
        <f t="shared" si="1943"/>
        <v>04-08-2020</v>
      </c>
      <c r="X4754" t="str">
        <f t="shared" si="1944"/>
        <v>RAZIMAH ANSAR AHMAD</v>
      </c>
      <c r="Y4754" t="str">
        <f t="shared" si="1945"/>
        <v>04-08-2020</v>
      </c>
      <c r="Z4754" t="str">
        <f>"COS10200804 4400"</f>
        <v>COS10200804 4400</v>
      </c>
    </row>
    <row r="4755" spans="1:26" x14ac:dyDescent="0.25">
      <c r="A4755" t="str">
        <f t="shared" si="1952"/>
        <v>04-08-2020 12:49:03</v>
      </c>
      <c r="B4755" t="str">
        <f>"0000806178"</f>
        <v>0000806178</v>
      </c>
      <c r="C4755" t="str">
        <f t="shared" si="1953"/>
        <v>0000805979</v>
      </c>
      <c r="D4755" t="str">
        <f t="shared" si="1933"/>
        <v>73185</v>
      </c>
      <c r="E4755" t="str">
        <f t="shared" si="1934"/>
        <v>KFH-OPERATIONS DEPARTMENT</v>
      </c>
      <c r="F4755" t="str">
        <f t="shared" si="1935"/>
        <v>IBG</v>
      </c>
      <c r="G4755" t="str">
        <f t="shared" si="1950"/>
        <v>Refund COSHARE 10</v>
      </c>
      <c r="H4755" s="2">
        <v>781</v>
      </c>
      <c r="I4755" t="str">
        <f>"DILALLAH  DILAILLAH BINTI BUJANG"</f>
        <v>DILALLAH  DILAILLAH BINTI BUJANG</v>
      </c>
      <c r="J4755" t="str">
        <f t="shared" si="1951"/>
        <v>MAYBANK / MAYBANK ISLAMIC</v>
      </c>
      <c r="K4755" t="str">
        <f>"111114296582"</f>
        <v>111114296582</v>
      </c>
      <c r="L4755" t="str">
        <f t="shared" si="1948"/>
        <v>04-08-2020</v>
      </c>
      <c r="M4755" t="str">
        <f t="shared" si="1948"/>
        <v>04-08-2020</v>
      </c>
      <c r="N4755" t="str">
        <f t="shared" si="1936"/>
        <v>001105018356</v>
      </c>
      <c r="O4755" t="str">
        <f t="shared" si="1937"/>
        <v>MYR</v>
      </c>
      <c r="P4755" t="str">
        <f t="shared" si="1949"/>
        <v>NIL</v>
      </c>
      <c r="Q4755" t="str">
        <f t="shared" si="1949"/>
        <v>NIL</v>
      </c>
      <c r="R4755" t="str">
        <f t="shared" si="1938"/>
        <v>Accepted</v>
      </c>
      <c r="S4755" t="str">
        <f t="shared" si="1939"/>
        <v>Approved</v>
      </c>
      <c r="T4755" t="str">
        <f t="shared" si="1940"/>
        <v>10.20.8.188</v>
      </c>
      <c r="U4755" t="str">
        <f t="shared" si="1941"/>
        <v>AZRAD UMAR BIN SHAARI</v>
      </c>
      <c r="V4755" t="str">
        <f t="shared" si="1942"/>
        <v>FARHANA BINTI MUSTAPA</v>
      </c>
      <c r="W4755" t="str">
        <f t="shared" si="1943"/>
        <v>04-08-2020</v>
      </c>
      <c r="X4755" t="str">
        <f t="shared" si="1944"/>
        <v>RAZIMAH ANSAR AHMAD</v>
      </c>
      <c r="Y4755" t="str">
        <f t="shared" si="1945"/>
        <v>04-08-2020</v>
      </c>
      <c r="Z4755" t="str">
        <f>"COS10200804 4399"</f>
        <v>COS10200804 4399</v>
      </c>
    </row>
    <row r="4756" spans="1:26" x14ac:dyDescent="0.25">
      <c r="A4756" t="str">
        <f t="shared" si="1952"/>
        <v>04-08-2020 12:49:03</v>
      </c>
      <c r="B4756" t="str">
        <f>"0000806177"</f>
        <v>0000806177</v>
      </c>
      <c r="C4756" t="str">
        <f t="shared" si="1953"/>
        <v>0000805979</v>
      </c>
      <c r="D4756" t="str">
        <f t="shared" si="1933"/>
        <v>73185</v>
      </c>
      <c r="E4756" t="str">
        <f t="shared" si="1934"/>
        <v>KFH-OPERATIONS DEPARTMENT</v>
      </c>
      <c r="F4756" t="str">
        <f t="shared" si="1935"/>
        <v>IBG</v>
      </c>
      <c r="G4756" t="str">
        <f t="shared" si="1950"/>
        <v>Refund COSHARE 10</v>
      </c>
      <c r="H4756" s="2">
        <v>128.1</v>
      </c>
      <c r="I4756" t="str">
        <f>"DILALLAH  DILAILLAH BINTI BUJANG"</f>
        <v>DILALLAH  DILAILLAH BINTI BUJANG</v>
      </c>
      <c r="J4756" t="str">
        <f t="shared" si="1951"/>
        <v>MAYBANK / MAYBANK ISLAMIC</v>
      </c>
      <c r="K4756" t="str">
        <f>"111114296582"</f>
        <v>111114296582</v>
      </c>
      <c r="L4756" t="str">
        <f t="shared" si="1948"/>
        <v>04-08-2020</v>
      </c>
      <c r="M4756" t="str">
        <f t="shared" si="1948"/>
        <v>04-08-2020</v>
      </c>
      <c r="N4756" t="str">
        <f t="shared" si="1936"/>
        <v>001105018356</v>
      </c>
      <c r="O4756" t="str">
        <f t="shared" si="1937"/>
        <v>MYR</v>
      </c>
      <c r="P4756" t="str">
        <f t="shared" si="1949"/>
        <v>NIL</v>
      </c>
      <c r="Q4756" t="str">
        <f t="shared" si="1949"/>
        <v>NIL</v>
      </c>
      <c r="R4756" t="str">
        <f t="shared" si="1938"/>
        <v>Accepted</v>
      </c>
      <c r="S4756" t="str">
        <f t="shared" si="1939"/>
        <v>Approved</v>
      </c>
      <c r="T4756" t="str">
        <f t="shared" si="1940"/>
        <v>10.20.8.188</v>
      </c>
      <c r="U4756" t="str">
        <f t="shared" si="1941"/>
        <v>AZRAD UMAR BIN SHAARI</v>
      </c>
      <c r="V4756" t="str">
        <f t="shared" si="1942"/>
        <v>FARHANA BINTI MUSTAPA</v>
      </c>
      <c r="W4756" t="str">
        <f t="shared" si="1943"/>
        <v>04-08-2020</v>
      </c>
      <c r="X4756" t="str">
        <f t="shared" si="1944"/>
        <v>RAZIMAH ANSAR AHMAD</v>
      </c>
      <c r="Y4756" t="str">
        <f t="shared" si="1945"/>
        <v>04-08-2020</v>
      </c>
      <c r="Z4756" t="str">
        <f>"COS10200804 4398"</f>
        <v>COS10200804 4398</v>
      </c>
    </row>
    <row r="4757" spans="1:26" x14ac:dyDescent="0.25">
      <c r="A4757" t="str">
        <f t="shared" si="1952"/>
        <v>04-08-2020 12:49:03</v>
      </c>
      <c r="B4757" t="str">
        <f>"0000806176"</f>
        <v>0000806176</v>
      </c>
      <c r="C4757" t="str">
        <f t="shared" si="1953"/>
        <v>0000805979</v>
      </c>
      <c r="D4757" t="str">
        <f t="shared" si="1933"/>
        <v>73185</v>
      </c>
      <c r="E4757" t="str">
        <f t="shared" si="1934"/>
        <v>KFH-OPERATIONS DEPARTMENT</v>
      </c>
      <c r="F4757" t="str">
        <f t="shared" si="1935"/>
        <v>IBG</v>
      </c>
      <c r="G4757" t="str">
        <f t="shared" si="1950"/>
        <v>Refund COSHARE 10</v>
      </c>
      <c r="H4757" s="2">
        <v>926</v>
      </c>
      <c r="I4757" t="str">
        <f>"DIGLINE BIN PRASEH"</f>
        <v>DIGLINE BIN PRASEH</v>
      </c>
      <c r="J4757" t="str">
        <f t="shared" si="1951"/>
        <v>MAYBANK / MAYBANK ISLAMIC</v>
      </c>
      <c r="K4757" t="str">
        <f>"161202000819"</f>
        <v>161202000819</v>
      </c>
      <c r="L4757" t="str">
        <f t="shared" si="1948"/>
        <v>04-08-2020</v>
      </c>
      <c r="M4757" t="str">
        <f t="shared" si="1948"/>
        <v>04-08-2020</v>
      </c>
      <c r="N4757" t="str">
        <f t="shared" si="1936"/>
        <v>001105018356</v>
      </c>
      <c r="O4757" t="str">
        <f t="shared" si="1937"/>
        <v>MYR</v>
      </c>
      <c r="P4757" t="str">
        <f t="shared" si="1949"/>
        <v>NIL</v>
      </c>
      <c r="Q4757" t="str">
        <f t="shared" si="1949"/>
        <v>NIL</v>
      </c>
      <c r="R4757" t="str">
        <f t="shared" si="1938"/>
        <v>Accepted</v>
      </c>
      <c r="S4757" t="str">
        <f t="shared" si="1939"/>
        <v>Approved</v>
      </c>
      <c r="T4757" t="str">
        <f t="shared" si="1940"/>
        <v>10.20.8.188</v>
      </c>
      <c r="U4757" t="str">
        <f t="shared" si="1941"/>
        <v>AZRAD UMAR BIN SHAARI</v>
      </c>
      <c r="V4757" t="str">
        <f t="shared" si="1942"/>
        <v>FARHANA BINTI MUSTAPA</v>
      </c>
      <c r="W4757" t="str">
        <f t="shared" si="1943"/>
        <v>04-08-2020</v>
      </c>
      <c r="X4757" t="str">
        <f t="shared" si="1944"/>
        <v>RAZIMAH ANSAR AHMAD</v>
      </c>
      <c r="Y4757" t="str">
        <f t="shared" si="1945"/>
        <v>04-08-2020</v>
      </c>
      <c r="Z4757" t="str">
        <f>"COS10200804 4397"</f>
        <v>COS10200804 4397</v>
      </c>
    </row>
    <row r="4758" spans="1:26" x14ac:dyDescent="0.25">
      <c r="A4758" t="str">
        <f t="shared" si="1952"/>
        <v>04-08-2020 12:49:03</v>
      </c>
      <c r="B4758" t="str">
        <f>"0000806175"</f>
        <v>0000806175</v>
      </c>
      <c r="C4758" t="str">
        <f t="shared" si="1953"/>
        <v>0000805979</v>
      </c>
      <c r="D4758" t="str">
        <f t="shared" si="1933"/>
        <v>73185</v>
      </c>
      <c r="E4758" t="str">
        <f t="shared" si="1934"/>
        <v>KFH-OPERATIONS DEPARTMENT</v>
      </c>
      <c r="F4758" t="str">
        <f t="shared" si="1935"/>
        <v>IBG</v>
      </c>
      <c r="G4758" t="str">
        <f t="shared" si="1950"/>
        <v>Refund COSHARE 10</v>
      </c>
      <c r="H4758" s="2">
        <v>83.95</v>
      </c>
      <c r="I4758" t="str">
        <f>"DIANA BINTI KARMANI"</f>
        <v>DIANA BINTI KARMANI</v>
      </c>
      <c r="J4758" t="str">
        <f t="shared" si="1951"/>
        <v>MAYBANK / MAYBANK ISLAMIC</v>
      </c>
      <c r="K4758" t="str">
        <f>"161257041076"</f>
        <v>161257041076</v>
      </c>
      <c r="L4758" t="str">
        <f t="shared" si="1948"/>
        <v>04-08-2020</v>
      </c>
      <c r="M4758" t="str">
        <f t="shared" si="1948"/>
        <v>04-08-2020</v>
      </c>
      <c r="N4758" t="str">
        <f t="shared" si="1936"/>
        <v>001105018356</v>
      </c>
      <c r="O4758" t="str">
        <f t="shared" si="1937"/>
        <v>MYR</v>
      </c>
      <c r="P4758" t="str">
        <f t="shared" si="1949"/>
        <v>NIL</v>
      </c>
      <c r="Q4758" t="str">
        <f t="shared" si="1949"/>
        <v>NIL</v>
      </c>
      <c r="R4758" t="str">
        <f t="shared" si="1938"/>
        <v>Accepted</v>
      </c>
      <c r="S4758" t="str">
        <f t="shared" si="1939"/>
        <v>Approved</v>
      </c>
      <c r="T4758" t="str">
        <f t="shared" si="1940"/>
        <v>10.20.8.188</v>
      </c>
      <c r="U4758" t="str">
        <f t="shared" si="1941"/>
        <v>AZRAD UMAR BIN SHAARI</v>
      </c>
      <c r="V4758" t="str">
        <f t="shared" si="1942"/>
        <v>FARHANA BINTI MUSTAPA</v>
      </c>
      <c r="W4758" t="str">
        <f t="shared" si="1943"/>
        <v>04-08-2020</v>
      </c>
      <c r="X4758" t="str">
        <f t="shared" si="1944"/>
        <v>RAZIMAH ANSAR AHMAD</v>
      </c>
      <c r="Y4758" t="str">
        <f t="shared" si="1945"/>
        <v>04-08-2020</v>
      </c>
      <c r="Z4758" t="str">
        <f>"COS10200804 4396"</f>
        <v>COS10200804 4396</v>
      </c>
    </row>
    <row r="4759" spans="1:26" x14ac:dyDescent="0.25">
      <c r="A4759" t="str">
        <f t="shared" si="1952"/>
        <v>04-08-2020 12:49:03</v>
      </c>
      <c r="B4759" t="str">
        <f>"0000806174"</f>
        <v>0000806174</v>
      </c>
      <c r="C4759" t="str">
        <f t="shared" si="1953"/>
        <v>0000805979</v>
      </c>
      <c r="D4759" t="str">
        <f t="shared" si="1933"/>
        <v>73185</v>
      </c>
      <c r="E4759" t="str">
        <f t="shared" si="1934"/>
        <v>KFH-OPERATIONS DEPARTMENT</v>
      </c>
      <c r="F4759" t="str">
        <f t="shared" si="1935"/>
        <v>IBG</v>
      </c>
      <c r="G4759" t="str">
        <f t="shared" si="1950"/>
        <v>Refund COSHARE 10</v>
      </c>
      <c r="H4759" s="2">
        <v>209.9</v>
      </c>
      <c r="I4759" t="str">
        <f>"DIANA BINTI AHMAD  HASSAN"</f>
        <v>DIANA BINTI AHMAD  HASSAN</v>
      </c>
      <c r="J4759" t="str">
        <f t="shared" si="1951"/>
        <v>MAYBANK / MAYBANK ISLAMIC</v>
      </c>
      <c r="K4759" t="str">
        <f>"106110004107"</f>
        <v>106110004107</v>
      </c>
      <c r="L4759" t="str">
        <f t="shared" si="1948"/>
        <v>04-08-2020</v>
      </c>
      <c r="M4759" t="str">
        <f t="shared" si="1948"/>
        <v>04-08-2020</v>
      </c>
      <c r="N4759" t="str">
        <f t="shared" si="1936"/>
        <v>001105018356</v>
      </c>
      <c r="O4759" t="str">
        <f t="shared" si="1937"/>
        <v>MYR</v>
      </c>
      <c r="P4759" t="str">
        <f t="shared" si="1949"/>
        <v>NIL</v>
      </c>
      <c r="Q4759" t="str">
        <f t="shared" si="1949"/>
        <v>NIL</v>
      </c>
      <c r="R4759" t="str">
        <f t="shared" si="1938"/>
        <v>Accepted</v>
      </c>
      <c r="S4759" t="str">
        <f t="shared" si="1939"/>
        <v>Approved</v>
      </c>
      <c r="T4759" t="str">
        <f t="shared" si="1940"/>
        <v>10.20.8.188</v>
      </c>
      <c r="U4759" t="str">
        <f t="shared" si="1941"/>
        <v>AZRAD UMAR BIN SHAARI</v>
      </c>
      <c r="V4759" t="str">
        <f t="shared" si="1942"/>
        <v>FARHANA BINTI MUSTAPA</v>
      </c>
      <c r="W4759" t="str">
        <f t="shared" si="1943"/>
        <v>04-08-2020</v>
      </c>
      <c r="X4759" t="str">
        <f t="shared" si="1944"/>
        <v>RAZIMAH ANSAR AHMAD</v>
      </c>
      <c r="Y4759" t="str">
        <f t="shared" si="1945"/>
        <v>04-08-2020</v>
      </c>
      <c r="Z4759" t="str">
        <f>"COS10200804 4395"</f>
        <v>COS10200804 4395</v>
      </c>
    </row>
    <row r="4760" spans="1:26" x14ac:dyDescent="0.25">
      <c r="A4760" t="str">
        <f t="shared" si="1952"/>
        <v>04-08-2020 12:49:03</v>
      </c>
      <c r="B4760" t="str">
        <f>"0000806173"</f>
        <v>0000806173</v>
      </c>
      <c r="C4760" t="str">
        <f t="shared" si="1953"/>
        <v>0000805979</v>
      </c>
      <c r="D4760" t="str">
        <f t="shared" si="1933"/>
        <v>73185</v>
      </c>
      <c r="E4760" t="str">
        <f t="shared" si="1934"/>
        <v>KFH-OPERATIONS DEPARTMENT</v>
      </c>
      <c r="F4760" t="str">
        <f t="shared" si="1935"/>
        <v>IBG</v>
      </c>
      <c r="G4760" t="str">
        <f t="shared" si="1950"/>
        <v>Refund COSHARE 10</v>
      </c>
      <c r="H4760" s="2">
        <v>42</v>
      </c>
      <c r="I4760" t="str">
        <f>"DIANA ANAK NELSON TAWAS"</f>
        <v>DIANA ANAK NELSON TAWAS</v>
      </c>
      <c r="J4760" t="str">
        <f t="shared" si="1951"/>
        <v>MAYBANK / MAYBANK ISLAMIC</v>
      </c>
      <c r="K4760" t="str">
        <f>"161051011180"</f>
        <v>161051011180</v>
      </c>
      <c r="L4760" t="str">
        <f t="shared" si="1948"/>
        <v>04-08-2020</v>
      </c>
      <c r="M4760" t="str">
        <f t="shared" si="1948"/>
        <v>04-08-2020</v>
      </c>
      <c r="N4760" t="str">
        <f t="shared" si="1936"/>
        <v>001105018356</v>
      </c>
      <c r="O4760" t="str">
        <f t="shared" si="1937"/>
        <v>MYR</v>
      </c>
      <c r="P4760" t="str">
        <f t="shared" si="1949"/>
        <v>NIL</v>
      </c>
      <c r="Q4760" t="str">
        <f t="shared" si="1949"/>
        <v>NIL</v>
      </c>
      <c r="R4760" t="str">
        <f t="shared" si="1938"/>
        <v>Accepted</v>
      </c>
      <c r="S4760" t="str">
        <f t="shared" si="1939"/>
        <v>Approved</v>
      </c>
      <c r="T4760" t="str">
        <f t="shared" si="1940"/>
        <v>10.20.8.188</v>
      </c>
      <c r="U4760" t="str">
        <f t="shared" si="1941"/>
        <v>AZRAD UMAR BIN SHAARI</v>
      </c>
      <c r="V4760" t="str">
        <f t="shared" si="1942"/>
        <v>FARHANA BINTI MUSTAPA</v>
      </c>
      <c r="W4760" t="str">
        <f t="shared" si="1943"/>
        <v>04-08-2020</v>
      </c>
      <c r="X4760" t="str">
        <f t="shared" si="1944"/>
        <v>RAZIMAH ANSAR AHMAD</v>
      </c>
      <c r="Y4760" t="str">
        <f t="shared" si="1945"/>
        <v>04-08-2020</v>
      </c>
      <c r="Z4760" t="str">
        <f>"COS10200804 4394"</f>
        <v>COS10200804 4394</v>
      </c>
    </row>
    <row r="4761" spans="1:26" x14ac:dyDescent="0.25">
      <c r="A4761" t="str">
        <f t="shared" si="1952"/>
        <v>04-08-2020 12:49:03</v>
      </c>
      <c r="B4761" t="str">
        <f>"0000806172"</f>
        <v>0000806172</v>
      </c>
      <c r="C4761" t="str">
        <f t="shared" si="1953"/>
        <v>0000805979</v>
      </c>
      <c r="D4761" t="str">
        <f t="shared" si="1933"/>
        <v>73185</v>
      </c>
      <c r="E4761" t="str">
        <f t="shared" si="1934"/>
        <v>KFH-OPERATIONS DEPARTMENT</v>
      </c>
      <c r="F4761" t="str">
        <f t="shared" si="1935"/>
        <v>IBG</v>
      </c>
      <c r="G4761" t="str">
        <f t="shared" si="1950"/>
        <v>Refund COSHARE 10</v>
      </c>
      <c r="H4761" s="2">
        <v>814.3</v>
      </c>
      <c r="I4761" t="str">
        <f>"DIANA ANAK GAON"</f>
        <v>DIANA ANAK GAON</v>
      </c>
      <c r="J4761" t="str">
        <f t="shared" si="1951"/>
        <v>MAYBANK / MAYBANK ISLAMIC</v>
      </c>
      <c r="K4761" t="str">
        <f>"166010153807"</f>
        <v>166010153807</v>
      </c>
      <c r="L4761" t="str">
        <f t="shared" si="1948"/>
        <v>04-08-2020</v>
      </c>
      <c r="M4761" t="str">
        <f t="shared" si="1948"/>
        <v>04-08-2020</v>
      </c>
      <c r="N4761" t="str">
        <f t="shared" si="1936"/>
        <v>001105018356</v>
      </c>
      <c r="O4761" t="str">
        <f t="shared" si="1937"/>
        <v>MYR</v>
      </c>
      <c r="P4761" t="str">
        <f t="shared" si="1949"/>
        <v>NIL</v>
      </c>
      <c r="Q4761" t="str">
        <f t="shared" si="1949"/>
        <v>NIL</v>
      </c>
      <c r="R4761" t="str">
        <f t="shared" si="1938"/>
        <v>Accepted</v>
      </c>
      <c r="S4761" t="str">
        <f t="shared" si="1939"/>
        <v>Approved</v>
      </c>
      <c r="T4761" t="str">
        <f t="shared" si="1940"/>
        <v>10.20.8.188</v>
      </c>
      <c r="U4761" t="str">
        <f t="shared" si="1941"/>
        <v>AZRAD UMAR BIN SHAARI</v>
      </c>
      <c r="V4761" t="str">
        <f t="shared" si="1942"/>
        <v>FARHANA BINTI MUSTAPA</v>
      </c>
      <c r="W4761" t="str">
        <f t="shared" si="1943"/>
        <v>04-08-2020</v>
      </c>
      <c r="X4761" t="str">
        <f t="shared" si="1944"/>
        <v>RAZIMAH ANSAR AHMAD</v>
      </c>
      <c r="Y4761" t="str">
        <f t="shared" si="1945"/>
        <v>04-08-2020</v>
      </c>
      <c r="Z4761" t="str">
        <f>"COS10200804 4393"</f>
        <v>COS10200804 4393</v>
      </c>
    </row>
    <row r="4762" spans="1:26" x14ac:dyDescent="0.25">
      <c r="A4762" t="str">
        <f t="shared" si="1952"/>
        <v>04-08-2020 12:49:03</v>
      </c>
      <c r="B4762" t="str">
        <f>"0000806171"</f>
        <v>0000806171</v>
      </c>
      <c r="C4762" t="str">
        <f t="shared" si="1953"/>
        <v>0000805979</v>
      </c>
      <c r="D4762" t="str">
        <f t="shared" si="1933"/>
        <v>73185</v>
      </c>
      <c r="E4762" t="str">
        <f t="shared" si="1934"/>
        <v>KFH-OPERATIONS DEPARTMENT</v>
      </c>
      <c r="F4762" t="str">
        <f t="shared" si="1935"/>
        <v>IBG</v>
      </c>
      <c r="G4762" t="str">
        <f t="shared" si="1950"/>
        <v>Refund COSHARE 10</v>
      </c>
      <c r="H4762" s="2">
        <v>484.95</v>
      </c>
      <c r="I4762" t="str">
        <f>"DHARMADI BIN HALFI"</f>
        <v>DHARMADI BIN HALFI</v>
      </c>
      <c r="J4762" t="str">
        <f t="shared" si="1951"/>
        <v>MAYBANK / MAYBANK ISLAMIC</v>
      </c>
      <c r="K4762" t="str">
        <f>"111114294919"</f>
        <v>111114294919</v>
      </c>
      <c r="L4762" t="str">
        <f t="shared" si="1948"/>
        <v>04-08-2020</v>
      </c>
      <c r="M4762" t="str">
        <f t="shared" si="1948"/>
        <v>04-08-2020</v>
      </c>
      <c r="N4762" t="str">
        <f t="shared" si="1936"/>
        <v>001105018356</v>
      </c>
      <c r="O4762" t="str">
        <f t="shared" si="1937"/>
        <v>MYR</v>
      </c>
      <c r="P4762" t="str">
        <f t="shared" si="1949"/>
        <v>NIL</v>
      </c>
      <c r="Q4762" t="str">
        <f t="shared" si="1949"/>
        <v>NIL</v>
      </c>
      <c r="R4762" t="str">
        <f t="shared" si="1938"/>
        <v>Accepted</v>
      </c>
      <c r="S4762" t="str">
        <f t="shared" si="1939"/>
        <v>Approved</v>
      </c>
      <c r="T4762" t="str">
        <f t="shared" si="1940"/>
        <v>10.20.8.188</v>
      </c>
      <c r="U4762" t="str">
        <f t="shared" si="1941"/>
        <v>AZRAD UMAR BIN SHAARI</v>
      </c>
      <c r="V4762" t="str">
        <f t="shared" si="1942"/>
        <v>FARHANA BINTI MUSTAPA</v>
      </c>
      <c r="W4762" t="str">
        <f t="shared" si="1943"/>
        <v>04-08-2020</v>
      </c>
      <c r="X4762" t="str">
        <f t="shared" si="1944"/>
        <v>RAZIMAH ANSAR AHMAD</v>
      </c>
      <c r="Y4762" t="str">
        <f t="shared" si="1945"/>
        <v>04-08-2020</v>
      </c>
      <c r="Z4762" t="str">
        <f>"COS10200804 4392"</f>
        <v>COS10200804 4392</v>
      </c>
    </row>
    <row r="4763" spans="1:26" x14ac:dyDescent="0.25">
      <c r="A4763" t="str">
        <f t="shared" si="1952"/>
        <v>04-08-2020 12:49:03</v>
      </c>
      <c r="B4763" t="str">
        <f>"0000806170"</f>
        <v>0000806170</v>
      </c>
      <c r="C4763" t="str">
        <f t="shared" si="1953"/>
        <v>0000805979</v>
      </c>
      <c r="D4763" t="str">
        <f t="shared" si="1933"/>
        <v>73185</v>
      </c>
      <c r="E4763" t="str">
        <f t="shared" si="1934"/>
        <v>KFH-OPERATIONS DEPARTMENT</v>
      </c>
      <c r="F4763" t="str">
        <f t="shared" si="1935"/>
        <v>IBG</v>
      </c>
      <c r="G4763" t="str">
        <f t="shared" si="1950"/>
        <v>Refund COSHARE 10</v>
      </c>
      <c r="H4763" s="2">
        <v>1670.6</v>
      </c>
      <c r="I4763" t="str">
        <f>"DG KU SITI ZULAIKHA BINTI ABD HAMID"</f>
        <v>DG KU SITI ZULAIKHA BINTI ABD HAMID</v>
      </c>
      <c r="J4763" t="str">
        <f t="shared" si="1951"/>
        <v>MAYBANK / MAYBANK ISLAMIC</v>
      </c>
      <c r="K4763" t="str">
        <f>"155032256196"</f>
        <v>155032256196</v>
      </c>
      <c r="L4763" t="str">
        <f t="shared" si="1948"/>
        <v>04-08-2020</v>
      </c>
      <c r="M4763" t="str">
        <f t="shared" si="1948"/>
        <v>04-08-2020</v>
      </c>
      <c r="N4763" t="str">
        <f t="shared" si="1936"/>
        <v>001105018356</v>
      </c>
      <c r="O4763" t="str">
        <f t="shared" si="1937"/>
        <v>MYR</v>
      </c>
      <c r="P4763" t="str">
        <f t="shared" si="1949"/>
        <v>NIL</v>
      </c>
      <c r="Q4763" t="str">
        <f t="shared" si="1949"/>
        <v>NIL</v>
      </c>
      <c r="R4763" t="str">
        <f t="shared" si="1938"/>
        <v>Accepted</v>
      </c>
      <c r="S4763" t="str">
        <f t="shared" si="1939"/>
        <v>Approved</v>
      </c>
      <c r="T4763" t="str">
        <f t="shared" si="1940"/>
        <v>10.20.8.188</v>
      </c>
      <c r="U4763" t="str">
        <f t="shared" si="1941"/>
        <v>AZRAD UMAR BIN SHAARI</v>
      </c>
      <c r="V4763" t="str">
        <f t="shared" si="1942"/>
        <v>FARHANA BINTI MUSTAPA</v>
      </c>
      <c r="W4763" t="str">
        <f t="shared" si="1943"/>
        <v>04-08-2020</v>
      </c>
      <c r="X4763" t="str">
        <f t="shared" si="1944"/>
        <v>RAZIMAH ANSAR AHMAD</v>
      </c>
      <c r="Y4763" t="str">
        <f t="shared" si="1945"/>
        <v>04-08-2020</v>
      </c>
      <c r="Z4763" t="str">
        <f>"COS10200804 4391"</f>
        <v>COS10200804 4391</v>
      </c>
    </row>
    <row r="4764" spans="1:26" x14ac:dyDescent="0.25">
      <c r="A4764" t="str">
        <f t="shared" si="1952"/>
        <v>04-08-2020 12:49:03</v>
      </c>
      <c r="B4764" t="str">
        <f>"0000806169"</f>
        <v>0000806169</v>
      </c>
      <c r="C4764" t="str">
        <f t="shared" si="1953"/>
        <v>0000805979</v>
      </c>
      <c r="D4764" t="str">
        <f t="shared" si="1933"/>
        <v>73185</v>
      </c>
      <c r="E4764" t="str">
        <f t="shared" si="1934"/>
        <v>KFH-OPERATIONS DEPARTMENT</v>
      </c>
      <c r="F4764" t="str">
        <f t="shared" si="1935"/>
        <v>IBG</v>
      </c>
      <c r="G4764" t="str">
        <f t="shared" si="1950"/>
        <v>Refund COSHARE 10</v>
      </c>
      <c r="H4764" s="2">
        <v>58.8</v>
      </c>
      <c r="I4764" t="str">
        <f>"DEVAN AL PANIR SELVAM"</f>
        <v>DEVAN AL PANIR SELVAM</v>
      </c>
      <c r="J4764" t="str">
        <f t="shared" si="1951"/>
        <v>MAYBANK / MAYBANK ISLAMIC</v>
      </c>
      <c r="K4764" t="str">
        <f>"114280399077"</f>
        <v>114280399077</v>
      </c>
      <c r="L4764" t="str">
        <f t="shared" si="1948"/>
        <v>04-08-2020</v>
      </c>
      <c r="M4764" t="str">
        <f t="shared" si="1948"/>
        <v>04-08-2020</v>
      </c>
      <c r="N4764" t="str">
        <f t="shared" si="1936"/>
        <v>001105018356</v>
      </c>
      <c r="O4764" t="str">
        <f t="shared" si="1937"/>
        <v>MYR</v>
      </c>
      <c r="P4764" t="str">
        <f t="shared" si="1949"/>
        <v>NIL</v>
      </c>
      <c r="Q4764" t="str">
        <f t="shared" si="1949"/>
        <v>NIL</v>
      </c>
      <c r="R4764" t="str">
        <f t="shared" si="1938"/>
        <v>Accepted</v>
      </c>
      <c r="S4764" t="str">
        <f t="shared" si="1939"/>
        <v>Approved</v>
      </c>
      <c r="T4764" t="str">
        <f t="shared" si="1940"/>
        <v>10.20.8.188</v>
      </c>
      <c r="U4764" t="str">
        <f t="shared" si="1941"/>
        <v>AZRAD UMAR BIN SHAARI</v>
      </c>
      <c r="V4764" t="str">
        <f t="shared" si="1942"/>
        <v>FARHANA BINTI MUSTAPA</v>
      </c>
      <c r="W4764" t="str">
        <f t="shared" si="1943"/>
        <v>04-08-2020</v>
      </c>
      <c r="X4764" t="str">
        <f t="shared" si="1944"/>
        <v>RAZIMAH ANSAR AHMAD</v>
      </c>
      <c r="Y4764" t="str">
        <f t="shared" si="1945"/>
        <v>04-08-2020</v>
      </c>
      <c r="Z4764" t="str">
        <f>"COS10200804 4390"</f>
        <v>COS10200804 4390</v>
      </c>
    </row>
    <row r="4765" spans="1:26" x14ac:dyDescent="0.25">
      <c r="A4765" t="str">
        <f t="shared" si="1952"/>
        <v>04-08-2020 12:49:03</v>
      </c>
      <c r="B4765" t="str">
        <f>"0000806168"</f>
        <v>0000806168</v>
      </c>
      <c r="C4765" t="str">
        <f t="shared" si="1953"/>
        <v>0000805979</v>
      </c>
      <c r="D4765" t="str">
        <f t="shared" si="1933"/>
        <v>73185</v>
      </c>
      <c r="E4765" t="str">
        <f t="shared" si="1934"/>
        <v>KFH-OPERATIONS DEPARTMENT</v>
      </c>
      <c r="F4765" t="str">
        <f t="shared" si="1935"/>
        <v>IBG</v>
      </c>
      <c r="G4765" t="str">
        <f t="shared" si="1950"/>
        <v>Refund COSHARE 10</v>
      </c>
      <c r="H4765" s="2">
        <v>839</v>
      </c>
      <c r="I4765" t="str">
        <f>"DEVAINDRAN PILLAI AL MARIMUTHU"</f>
        <v>DEVAINDRAN PILLAI AL MARIMUTHU</v>
      </c>
      <c r="J4765" t="str">
        <f t="shared" si="1951"/>
        <v>MAYBANK / MAYBANK ISLAMIC</v>
      </c>
      <c r="K4765" t="str">
        <f>"158220579991"</f>
        <v>158220579991</v>
      </c>
      <c r="L4765" t="str">
        <f t="shared" si="1948"/>
        <v>04-08-2020</v>
      </c>
      <c r="M4765" t="str">
        <f t="shared" si="1948"/>
        <v>04-08-2020</v>
      </c>
      <c r="N4765" t="str">
        <f t="shared" si="1936"/>
        <v>001105018356</v>
      </c>
      <c r="O4765" t="str">
        <f t="shared" si="1937"/>
        <v>MYR</v>
      </c>
      <c r="P4765" t="str">
        <f t="shared" si="1949"/>
        <v>NIL</v>
      </c>
      <c r="Q4765" t="str">
        <f t="shared" si="1949"/>
        <v>NIL</v>
      </c>
      <c r="R4765" t="str">
        <f t="shared" si="1938"/>
        <v>Accepted</v>
      </c>
      <c r="S4765" t="str">
        <f t="shared" si="1939"/>
        <v>Approved</v>
      </c>
      <c r="T4765" t="str">
        <f t="shared" si="1940"/>
        <v>10.20.8.188</v>
      </c>
      <c r="U4765" t="str">
        <f t="shared" si="1941"/>
        <v>AZRAD UMAR BIN SHAARI</v>
      </c>
      <c r="V4765" t="str">
        <f t="shared" si="1942"/>
        <v>FARHANA BINTI MUSTAPA</v>
      </c>
      <c r="W4765" t="str">
        <f t="shared" si="1943"/>
        <v>04-08-2020</v>
      </c>
      <c r="X4765" t="str">
        <f t="shared" si="1944"/>
        <v>RAZIMAH ANSAR AHMAD</v>
      </c>
      <c r="Y4765" t="str">
        <f t="shared" si="1945"/>
        <v>04-08-2020</v>
      </c>
      <c r="Z4765" t="str">
        <f>"COS10200804 4389"</f>
        <v>COS10200804 4389</v>
      </c>
    </row>
    <row r="4766" spans="1:26" x14ac:dyDescent="0.25">
      <c r="A4766" t="str">
        <f t="shared" si="1952"/>
        <v>04-08-2020 12:49:03</v>
      </c>
      <c r="B4766" t="str">
        <f>"0000806167"</f>
        <v>0000806167</v>
      </c>
      <c r="C4766" t="str">
        <f t="shared" si="1953"/>
        <v>0000805979</v>
      </c>
      <c r="D4766" t="str">
        <f t="shared" si="1933"/>
        <v>73185</v>
      </c>
      <c r="E4766" t="str">
        <f t="shared" si="1934"/>
        <v>KFH-OPERATIONS DEPARTMENT</v>
      </c>
      <c r="F4766" t="str">
        <f t="shared" si="1935"/>
        <v>IBG</v>
      </c>
      <c r="G4766" t="str">
        <f t="shared" si="1950"/>
        <v>Refund COSHARE 10</v>
      </c>
      <c r="H4766" s="2">
        <v>190.55</v>
      </c>
      <c r="I4766" t="str">
        <f>"DESMOND UNGGANG ANAK BAGAN"</f>
        <v>DESMOND UNGGANG ANAK BAGAN</v>
      </c>
      <c r="J4766" t="str">
        <f t="shared" si="1951"/>
        <v>MAYBANK / MAYBANK ISLAMIC</v>
      </c>
      <c r="K4766" t="str">
        <f>"161051320789"</f>
        <v>161051320789</v>
      </c>
      <c r="L4766" t="str">
        <f t="shared" si="1948"/>
        <v>04-08-2020</v>
      </c>
      <c r="M4766" t="str">
        <f t="shared" si="1948"/>
        <v>04-08-2020</v>
      </c>
      <c r="N4766" t="str">
        <f t="shared" si="1936"/>
        <v>001105018356</v>
      </c>
      <c r="O4766" t="str">
        <f t="shared" si="1937"/>
        <v>MYR</v>
      </c>
      <c r="P4766" t="str">
        <f t="shared" si="1949"/>
        <v>NIL</v>
      </c>
      <c r="Q4766" t="str">
        <f t="shared" si="1949"/>
        <v>NIL</v>
      </c>
      <c r="R4766" t="str">
        <f t="shared" si="1938"/>
        <v>Accepted</v>
      </c>
      <c r="S4766" t="str">
        <f t="shared" si="1939"/>
        <v>Approved</v>
      </c>
      <c r="T4766" t="str">
        <f t="shared" si="1940"/>
        <v>10.20.8.188</v>
      </c>
      <c r="U4766" t="str">
        <f t="shared" si="1941"/>
        <v>AZRAD UMAR BIN SHAARI</v>
      </c>
      <c r="V4766" t="str">
        <f t="shared" si="1942"/>
        <v>FARHANA BINTI MUSTAPA</v>
      </c>
      <c r="W4766" t="str">
        <f t="shared" si="1943"/>
        <v>04-08-2020</v>
      </c>
      <c r="X4766" t="str">
        <f t="shared" si="1944"/>
        <v>RAZIMAH ANSAR AHMAD</v>
      </c>
      <c r="Y4766" t="str">
        <f t="shared" si="1945"/>
        <v>04-08-2020</v>
      </c>
      <c r="Z4766" t="str">
        <f>"COS10200804 4388"</f>
        <v>COS10200804 4388</v>
      </c>
    </row>
    <row r="4767" spans="1:26" x14ac:dyDescent="0.25">
      <c r="A4767" t="str">
        <f t="shared" si="1952"/>
        <v>04-08-2020 12:49:03</v>
      </c>
      <c r="B4767" t="str">
        <f>"0000806166"</f>
        <v>0000806166</v>
      </c>
      <c r="C4767" t="str">
        <f t="shared" si="1953"/>
        <v>0000805979</v>
      </c>
      <c r="D4767" t="str">
        <f t="shared" si="1933"/>
        <v>73185</v>
      </c>
      <c r="E4767" t="str">
        <f t="shared" si="1934"/>
        <v>KFH-OPERATIONS DEPARTMENT</v>
      </c>
      <c r="F4767" t="str">
        <f t="shared" si="1935"/>
        <v>IBG</v>
      </c>
      <c r="G4767" t="str">
        <f t="shared" si="1950"/>
        <v>Refund COSHARE 10</v>
      </c>
      <c r="H4767" s="2">
        <v>839.5</v>
      </c>
      <c r="I4767" t="str">
        <f>"DAYANGKU HAYATI BT AWG DZULKARNAIN"</f>
        <v>DAYANGKU HAYATI BT AWG DZULKARNAIN</v>
      </c>
      <c r="J4767" t="str">
        <f t="shared" si="1951"/>
        <v>MAYBANK / MAYBANK ISLAMIC</v>
      </c>
      <c r="K4767" t="str">
        <f>"162852008615"</f>
        <v>162852008615</v>
      </c>
      <c r="L4767" t="str">
        <f t="shared" ref="L4767:M4786" si="1954">"04-08-2020"</f>
        <v>04-08-2020</v>
      </c>
      <c r="M4767" t="str">
        <f t="shared" si="1954"/>
        <v>04-08-2020</v>
      </c>
      <c r="N4767" t="str">
        <f t="shared" si="1936"/>
        <v>001105018356</v>
      </c>
      <c r="O4767" t="str">
        <f t="shared" si="1937"/>
        <v>MYR</v>
      </c>
      <c r="P4767" t="str">
        <f t="shared" ref="P4767:Q4786" si="1955">"NIL"</f>
        <v>NIL</v>
      </c>
      <c r="Q4767" t="str">
        <f t="shared" si="1955"/>
        <v>NIL</v>
      </c>
      <c r="R4767" t="str">
        <f t="shared" si="1938"/>
        <v>Accepted</v>
      </c>
      <c r="S4767" t="str">
        <f t="shared" si="1939"/>
        <v>Approved</v>
      </c>
      <c r="T4767" t="str">
        <f t="shared" si="1940"/>
        <v>10.20.8.188</v>
      </c>
      <c r="U4767" t="str">
        <f t="shared" si="1941"/>
        <v>AZRAD UMAR BIN SHAARI</v>
      </c>
      <c r="V4767" t="str">
        <f t="shared" si="1942"/>
        <v>FARHANA BINTI MUSTAPA</v>
      </c>
      <c r="W4767" t="str">
        <f t="shared" si="1943"/>
        <v>04-08-2020</v>
      </c>
      <c r="X4767" t="str">
        <f t="shared" si="1944"/>
        <v>RAZIMAH ANSAR AHMAD</v>
      </c>
      <c r="Y4767" t="str">
        <f t="shared" si="1945"/>
        <v>04-08-2020</v>
      </c>
      <c r="Z4767" t="str">
        <f>"COS10200804 4387"</f>
        <v>COS10200804 4387</v>
      </c>
    </row>
    <row r="4768" spans="1:26" x14ac:dyDescent="0.25">
      <c r="A4768" t="str">
        <f t="shared" si="1952"/>
        <v>04-08-2020 12:49:03</v>
      </c>
      <c r="B4768" t="str">
        <f>"0000806165"</f>
        <v>0000806165</v>
      </c>
      <c r="C4768" t="str">
        <f t="shared" si="1953"/>
        <v>0000805979</v>
      </c>
      <c r="D4768" t="str">
        <f t="shared" si="1933"/>
        <v>73185</v>
      </c>
      <c r="E4768" t="str">
        <f t="shared" si="1934"/>
        <v>KFH-OPERATIONS DEPARTMENT</v>
      </c>
      <c r="F4768" t="str">
        <f t="shared" si="1935"/>
        <v>IBG</v>
      </c>
      <c r="G4768" t="str">
        <f t="shared" si="1950"/>
        <v>Refund COSHARE 10</v>
      </c>
      <c r="H4768" s="2">
        <v>587.65</v>
      </c>
      <c r="I4768" t="str">
        <f>"DAYANG SUHANA BINTI MOHD JIDIN"</f>
        <v>DAYANG SUHANA BINTI MOHD JIDIN</v>
      </c>
      <c r="J4768" t="str">
        <f t="shared" si="1951"/>
        <v>MAYBANK / MAYBANK ISLAMIC</v>
      </c>
      <c r="K4768" t="str">
        <f>"166010060760"</f>
        <v>166010060760</v>
      </c>
      <c r="L4768" t="str">
        <f t="shared" si="1954"/>
        <v>04-08-2020</v>
      </c>
      <c r="M4768" t="str">
        <f t="shared" si="1954"/>
        <v>04-08-2020</v>
      </c>
      <c r="N4768" t="str">
        <f t="shared" si="1936"/>
        <v>001105018356</v>
      </c>
      <c r="O4768" t="str">
        <f t="shared" si="1937"/>
        <v>MYR</v>
      </c>
      <c r="P4768" t="str">
        <f t="shared" si="1955"/>
        <v>NIL</v>
      </c>
      <c r="Q4768" t="str">
        <f t="shared" si="1955"/>
        <v>NIL</v>
      </c>
      <c r="R4768" t="str">
        <f t="shared" si="1938"/>
        <v>Accepted</v>
      </c>
      <c r="S4768" t="str">
        <f t="shared" si="1939"/>
        <v>Approved</v>
      </c>
      <c r="T4768" t="str">
        <f t="shared" si="1940"/>
        <v>10.20.8.188</v>
      </c>
      <c r="U4768" t="str">
        <f t="shared" si="1941"/>
        <v>AZRAD UMAR BIN SHAARI</v>
      </c>
      <c r="V4768" t="str">
        <f t="shared" si="1942"/>
        <v>FARHANA BINTI MUSTAPA</v>
      </c>
      <c r="W4768" t="str">
        <f t="shared" si="1943"/>
        <v>04-08-2020</v>
      </c>
      <c r="X4768" t="str">
        <f t="shared" si="1944"/>
        <v>RAZIMAH ANSAR AHMAD</v>
      </c>
      <c r="Y4768" t="str">
        <f t="shared" si="1945"/>
        <v>04-08-2020</v>
      </c>
      <c r="Z4768" t="str">
        <f>"COS10200804 4386"</f>
        <v>COS10200804 4386</v>
      </c>
    </row>
    <row r="4769" spans="1:26" x14ac:dyDescent="0.25">
      <c r="A4769" t="str">
        <f t="shared" si="1952"/>
        <v>04-08-2020 12:49:03</v>
      </c>
      <c r="B4769" t="str">
        <f>"0000806164"</f>
        <v>0000806164</v>
      </c>
      <c r="C4769" t="str">
        <f t="shared" si="1953"/>
        <v>0000805979</v>
      </c>
      <c r="D4769" t="str">
        <f t="shared" si="1933"/>
        <v>73185</v>
      </c>
      <c r="E4769" t="str">
        <f t="shared" si="1934"/>
        <v>KFH-OPERATIONS DEPARTMENT</v>
      </c>
      <c r="F4769" t="str">
        <f t="shared" si="1935"/>
        <v>IBG</v>
      </c>
      <c r="G4769" t="str">
        <f t="shared" si="1950"/>
        <v>Refund COSHARE 10</v>
      </c>
      <c r="H4769" s="2">
        <v>122</v>
      </c>
      <c r="I4769" t="str">
        <f>"DAYANG SUHANA BINTI AWANG MATALI"</f>
        <v>DAYANG SUHANA BINTI AWANG MATALI</v>
      </c>
      <c r="J4769" t="str">
        <f t="shared" si="1951"/>
        <v>MAYBANK / MAYBANK ISLAMIC</v>
      </c>
      <c r="K4769" t="str">
        <f>"161136274992"</f>
        <v>161136274992</v>
      </c>
      <c r="L4769" t="str">
        <f t="shared" si="1954"/>
        <v>04-08-2020</v>
      </c>
      <c r="M4769" t="str">
        <f t="shared" si="1954"/>
        <v>04-08-2020</v>
      </c>
      <c r="N4769" t="str">
        <f t="shared" si="1936"/>
        <v>001105018356</v>
      </c>
      <c r="O4769" t="str">
        <f t="shared" si="1937"/>
        <v>MYR</v>
      </c>
      <c r="P4769" t="str">
        <f t="shared" si="1955"/>
        <v>NIL</v>
      </c>
      <c r="Q4769" t="str">
        <f t="shared" si="1955"/>
        <v>NIL</v>
      </c>
      <c r="R4769" t="str">
        <f t="shared" si="1938"/>
        <v>Accepted</v>
      </c>
      <c r="S4769" t="str">
        <f t="shared" si="1939"/>
        <v>Approved</v>
      </c>
      <c r="T4769" t="str">
        <f t="shared" si="1940"/>
        <v>10.20.8.188</v>
      </c>
      <c r="U4769" t="str">
        <f t="shared" si="1941"/>
        <v>AZRAD UMAR BIN SHAARI</v>
      </c>
      <c r="V4769" t="str">
        <f t="shared" si="1942"/>
        <v>FARHANA BINTI MUSTAPA</v>
      </c>
      <c r="W4769" t="str">
        <f t="shared" si="1943"/>
        <v>04-08-2020</v>
      </c>
      <c r="X4769" t="str">
        <f t="shared" si="1944"/>
        <v>RAZIMAH ANSAR AHMAD</v>
      </c>
      <c r="Y4769" t="str">
        <f t="shared" si="1945"/>
        <v>04-08-2020</v>
      </c>
      <c r="Z4769" t="str">
        <f>"COS10200804 4385"</f>
        <v>COS10200804 4385</v>
      </c>
    </row>
    <row r="4770" spans="1:26" x14ac:dyDescent="0.25">
      <c r="A4770" t="str">
        <f t="shared" si="1952"/>
        <v>04-08-2020 12:49:03</v>
      </c>
      <c r="B4770" t="str">
        <f>"0000806163"</f>
        <v>0000806163</v>
      </c>
      <c r="C4770" t="str">
        <f t="shared" si="1953"/>
        <v>0000805979</v>
      </c>
      <c r="D4770" t="str">
        <f t="shared" si="1933"/>
        <v>73185</v>
      </c>
      <c r="E4770" t="str">
        <f t="shared" si="1934"/>
        <v>KFH-OPERATIONS DEPARTMENT</v>
      </c>
      <c r="F4770" t="str">
        <f t="shared" si="1935"/>
        <v>IBG</v>
      </c>
      <c r="G4770" t="str">
        <f t="shared" si="1950"/>
        <v>Refund COSHARE 10</v>
      </c>
      <c r="H4770" s="2">
        <v>827</v>
      </c>
      <c r="I4770" t="str">
        <f>"DAYANG SUHANA BINTI AWANG MATALI"</f>
        <v>DAYANG SUHANA BINTI AWANG MATALI</v>
      </c>
      <c r="J4770" t="str">
        <f t="shared" si="1951"/>
        <v>MAYBANK / MAYBANK ISLAMIC</v>
      </c>
      <c r="K4770" t="str">
        <f>"161136274992"</f>
        <v>161136274992</v>
      </c>
      <c r="L4770" t="str">
        <f t="shared" si="1954"/>
        <v>04-08-2020</v>
      </c>
      <c r="M4770" t="str">
        <f t="shared" si="1954"/>
        <v>04-08-2020</v>
      </c>
      <c r="N4770" t="str">
        <f t="shared" si="1936"/>
        <v>001105018356</v>
      </c>
      <c r="O4770" t="str">
        <f t="shared" si="1937"/>
        <v>MYR</v>
      </c>
      <c r="P4770" t="str">
        <f t="shared" si="1955"/>
        <v>NIL</v>
      </c>
      <c r="Q4770" t="str">
        <f t="shared" si="1955"/>
        <v>NIL</v>
      </c>
      <c r="R4770" t="str">
        <f t="shared" si="1938"/>
        <v>Accepted</v>
      </c>
      <c r="S4770" t="str">
        <f t="shared" si="1939"/>
        <v>Approved</v>
      </c>
      <c r="T4770" t="str">
        <f t="shared" si="1940"/>
        <v>10.20.8.188</v>
      </c>
      <c r="U4770" t="str">
        <f t="shared" si="1941"/>
        <v>AZRAD UMAR BIN SHAARI</v>
      </c>
      <c r="V4770" t="str">
        <f t="shared" si="1942"/>
        <v>FARHANA BINTI MUSTAPA</v>
      </c>
      <c r="W4770" t="str">
        <f t="shared" si="1943"/>
        <v>04-08-2020</v>
      </c>
      <c r="X4770" t="str">
        <f t="shared" si="1944"/>
        <v>RAZIMAH ANSAR AHMAD</v>
      </c>
      <c r="Y4770" t="str">
        <f t="shared" si="1945"/>
        <v>04-08-2020</v>
      </c>
      <c r="Z4770" t="str">
        <f>"COS10200804 4384"</f>
        <v>COS10200804 4384</v>
      </c>
    </row>
    <row r="4771" spans="1:26" x14ac:dyDescent="0.25">
      <c r="A4771" t="str">
        <f t="shared" si="1952"/>
        <v>04-08-2020 12:49:03</v>
      </c>
      <c r="B4771" t="str">
        <f>"0000806162"</f>
        <v>0000806162</v>
      </c>
      <c r="C4771" t="str">
        <f t="shared" si="1953"/>
        <v>0000805979</v>
      </c>
      <c r="D4771" t="str">
        <f t="shared" si="1933"/>
        <v>73185</v>
      </c>
      <c r="E4771" t="str">
        <f t="shared" si="1934"/>
        <v>KFH-OPERATIONS DEPARTMENT</v>
      </c>
      <c r="F4771" t="str">
        <f t="shared" si="1935"/>
        <v>IBG</v>
      </c>
      <c r="G4771" t="str">
        <f t="shared" si="1950"/>
        <v>Refund COSHARE 10</v>
      </c>
      <c r="H4771" s="2">
        <v>125.95</v>
      </c>
      <c r="I4771" t="str">
        <f>"DAYANG NOOR SAFARRAH BINTI ABANG RAZALI"</f>
        <v>DAYANG NOOR SAFARRAH BINTI ABANG RAZALI</v>
      </c>
      <c r="J4771" t="str">
        <f t="shared" si="1951"/>
        <v>MAYBANK / MAYBANK ISLAMIC</v>
      </c>
      <c r="K4771" t="str">
        <f>"111039161727"</f>
        <v>111039161727</v>
      </c>
      <c r="L4771" t="str">
        <f t="shared" si="1954"/>
        <v>04-08-2020</v>
      </c>
      <c r="M4771" t="str">
        <f t="shared" si="1954"/>
        <v>04-08-2020</v>
      </c>
      <c r="N4771" t="str">
        <f t="shared" si="1936"/>
        <v>001105018356</v>
      </c>
      <c r="O4771" t="str">
        <f t="shared" si="1937"/>
        <v>MYR</v>
      </c>
      <c r="P4771" t="str">
        <f t="shared" si="1955"/>
        <v>NIL</v>
      </c>
      <c r="Q4771" t="str">
        <f t="shared" si="1955"/>
        <v>NIL</v>
      </c>
      <c r="R4771" t="str">
        <f t="shared" si="1938"/>
        <v>Accepted</v>
      </c>
      <c r="S4771" t="str">
        <f t="shared" si="1939"/>
        <v>Approved</v>
      </c>
      <c r="T4771" t="str">
        <f t="shared" si="1940"/>
        <v>10.20.8.188</v>
      </c>
      <c r="U4771" t="str">
        <f t="shared" si="1941"/>
        <v>AZRAD UMAR BIN SHAARI</v>
      </c>
      <c r="V4771" t="str">
        <f t="shared" si="1942"/>
        <v>FARHANA BINTI MUSTAPA</v>
      </c>
      <c r="W4771" t="str">
        <f t="shared" si="1943"/>
        <v>04-08-2020</v>
      </c>
      <c r="X4771" t="str">
        <f t="shared" si="1944"/>
        <v>RAZIMAH ANSAR AHMAD</v>
      </c>
      <c r="Y4771" t="str">
        <f t="shared" si="1945"/>
        <v>04-08-2020</v>
      </c>
      <c r="Z4771" t="str">
        <f>"COS10200804 4383"</f>
        <v>COS10200804 4383</v>
      </c>
    </row>
    <row r="4772" spans="1:26" x14ac:dyDescent="0.25">
      <c r="A4772" t="str">
        <f t="shared" si="1952"/>
        <v>04-08-2020 12:49:03</v>
      </c>
      <c r="B4772" t="str">
        <f>"0000806161"</f>
        <v>0000806161</v>
      </c>
      <c r="C4772" t="str">
        <f t="shared" si="1953"/>
        <v>0000805979</v>
      </c>
      <c r="D4772" t="str">
        <f t="shared" si="1933"/>
        <v>73185</v>
      </c>
      <c r="E4772" t="str">
        <f t="shared" si="1934"/>
        <v>KFH-OPERATIONS DEPARTMENT</v>
      </c>
      <c r="F4772" t="str">
        <f t="shared" si="1935"/>
        <v>IBG</v>
      </c>
      <c r="G4772" t="str">
        <f t="shared" si="1950"/>
        <v>Refund COSHARE 10</v>
      </c>
      <c r="H4772" s="2">
        <v>1074.55</v>
      </c>
      <c r="I4772" t="str">
        <f>"DAVIS AU PHING HIUNG"</f>
        <v>DAVIS AU PHING HIUNG</v>
      </c>
      <c r="J4772" t="str">
        <f t="shared" si="1951"/>
        <v>MAYBANK / MAYBANK ISLAMIC</v>
      </c>
      <c r="K4772" t="str">
        <f>"160102322634"</f>
        <v>160102322634</v>
      </c>
      <c r="L4772" t="str">
        <f t="shared" si="1954"/>
        <v>04-08-2020</v>
      </c>
      <c r="M4772" t="str">
        <f t="shared" si="1954"/>
        <v>04-08-2020</v>
      </c>
      <c r="N4772" t="str">
        <f t="shared" si="1936"/>
        <v>001105018356</v>
      </c>
      <c r="O4772" t="str">
        <f t="shared" si="1937"/>
        <v>MYR</v>
      </c>
      <c r="P4772" t="str">
        <f t="shared" si="1955"/>
        <v>NIL</v>
      </c>
      <c r="Q4772" t="str">
        <f t="shared" si="1955"/>
        <v>NIL</v>
      </c>
      <c r="R4772" t="str">
        <f t="shared" si="1938"/>
        <v>Accepted</v>
      </c>
      <c r="S4772" t="str">
        <f t="shared" si="1939"/>
        <v>Approved</v>
      </c>
      <c r="T4772" t="str">
        <f t="shared" si="1940"/>
        <v>10.20.8.188</v>
      </c>
      <c r="U4772" t="str">
        <f t="shared" si="1941"/>
        <v>AZRAD UMAR BIN SHAARI</v>
      </c>
      <c r="V4772" t="str">
        <f t="shared" si="1942"/>
        <v>FARHANA BINTI MUSTAPA</v>
      </c>
      <c r="W4772" t="str">
        <f t="shared" si="1943"/>
        <v>04-08-2020</v>
      </c>
      <c r="X4772" t="str">
        <f t="shared" si="1944"/>
        <v>RAZIMAH ANSAR AHMAD</v>
      </c>
      <c r="Y4772" t="str">
        <f t="shared" si="1945"/>
        <v>04-08-2020</v>
      </c>
      <c r="Z4772" t="str">
        <f>"COS10200804 4382"</f>
        <v>COS10200804 4382</v>
      </c>
    </row>
    <row r="4773" spans="1:26" x14ac:dyDescent="0.25">
      <c r="A4773" t="str">
        <f t="shared" si="1952"/>
        <v>04-08-2020 12:49:03</v>
      </c>
      <c r="B4773" t="str">
        <f>"0000806160"</f>
        <v>0000806160</v>
      </c>
      <c r="C4773" t="str">
        <f t="shared" si="1953"/>
        <v>0000805979</v>
      </c>
      <c r="D4773" t="str">
        <f t="shared" si="1933"/>
        <v>73185</v>
      </c>
      <c r="E4773" t="str">
        <f t="shared" si="1934"/>
        <v>KFH-OPERATIONS DEPARTMENT</v>
      </c>
      <c r="F4773" t="str">
        <f t="shared" si="1935"/>
        <v>IBG</v>
      </c>
      <c r="G4773" t="str">
        <f t="shared" si="1950"/>
        <v>Refund COSHARE 10</v>
      </c>
      <c r="H4773" s="2">
        <v>340.75</v>
      </c>
      <c r="I4773" t="str">
        <f>"DATU BADARUDDIN BIN DATU IBRAHIM"</f>
        <v>DATU BADARUDDIN BIN DATU IBRAHIM</v>
      </c>
      <c r="J4773" t="str">
        <f t="shared" si="1951"/>
        <v>MAYBANK / MAYBANK ISLAMIC</v>
      </c>
      <c r="K4773" t="str">
        <f>"110068108918"</f>
        <v>110068108918</v>
      </c>
      <c r="L4773" t="str">
        <f t="shared" si="1954"/>
        <v>04-08-2020</v>
      </c>
      <c r="M4773" t="str">
        <f t="shared" si="1954"/>
        <v>04-08-2020</v>
      </c>
      <c r="N4773" t="str">
        <f t="shared" si="1936"/>
        <v>001105018356</v>
      </c>
      <c r="O4773" t="str">
        <f t="shared" si="1937"/>
        <v>MYR</v>
      </c>
      <c r="P4773" t="str">
        <f t="shared" si="1955"/>
        <v>NIL</v>
      </c>
      <c r="Q4773" t="str">
        <f t="shared" si="1955"/>
        <v>NIL</v>
      </c>
      <c r="R4773" t="str">
        <f t="shared" si="1938"/>
        <v>Accepted</v>
      </c>
      <c r="S4773" t="str">
        <f t="shared" si="1939"/>
        <v>Approved</v>
      </c>
      <c r="T4773" t="str">
        <f t="shared" si="1940"/>
        <v>10.20.8.188</v>
      </c>
      <c r="U4773" t="str">
        <f t="shared" si="1941"/>
        <v>AZRAD UMAR BIN SHAARI</v>
      </c>
      <c r="V4773" t="str">
        <f t="shared" si="1942"/>
        <v>FARHANA BINTI MUSTAPA</v>
      </c>
      <c r="W4773" t="str">
        <f t="shared" si="1943"/>
        <v>04-08-2020</v>
      </c>
      <c r="X4773" t="str">
        <f t="shared" si="1944"/>
        <v>RAZIMAH ANSAR AHMAD</v>
      </c>
      <c r="Y4773" t="str">
        <f t="shared" si="1945"/>
        <v>04-08-2020</v>
      </c>
      <c r="Z4773" t="str">
        <f>"COS10200804 4381"</f>
        <v>COS10200804 4381</v>
      </c>
    </row>
    <row r="4774" spans="1:26" x14ac:dyDescent="0.25">
      <c r="A4774" t="str">
        <f t="shared" si="1952"/>
        <v>04-08-2020 12:49:03</v>
      </c>
      <c r="B4774" t="str">
        <f>"0000806159"</f>
        <v>0000806159</v>
      </c>
      <c r="C4774" t="str">
        <f t="shared" si="1953"/>
        <v>0000805979</v>
      </c>
      <c r="D4774" t="str">
        <f t="shared" si="1933"/>
        <v>73185</v>
      </c>
      <c r="E4774" t="str">
        <f t="shared" si="1934"/>
        <v>KFH-OPERATIONS DEPARTMENT</v>
      </c>
      <c r="F4774" t="str">
        <f t="shared" si="1935"/>
        <v>IBG</v>
      </c>
      <c r="G4774" t="str">
        <f t="shared" si="1950"/>
        <v>Refund COSHARE 10</v>
      </c>
      <c r="H4774" s="2">
        <v>254.1</v>
      </c>
      <c r="I4774" t="str">
        <f>"DASMOND DAS AL MICHAEL DAS"</f>
        <v>DASMOND DAS AL MICHAEL DAS</v>
      </c>
      <c r="J4774" t="str">
        <f t="shared" si="1951"/>
        <v>MAYBANK / MAYBANK ISLAMIC</v>
      </c>
      <c r="K4774" t="str">
        <f>"101012060547"</f>
        <v>101012060547</v>
      </c>
      <c r="L4774" t="str">
        <f t="shared" si="1954"/>
        <v>04-08-2020</v>
      </c>
      <c r="M4774" t="str">
        <f t="shared" si="1954"/>
        <v>04-08-2020</v>
      </c>
      <c r="N4774" t="str">
        <f t="shared" si="1936"/>
        <v>001105018356</v>
      </c>
      <c r="O4774" t="str">
        <f t="shared" si="1937"/>
        <v>MYR</v>
      </c>
      <c r="P4774" t="str">
        <f t="shared" si="1955"/>
        <v>NIL</v>
      </c>
      <c r="Q4774" t="str">
        <f t="shared" si="1955"/>
        <v>NIL</v>
      </c>
      <c r="R4774" t="str">
        <f t="shared" si="1938"/>
        <v>Accepted</v>
      </c>
      <c r="S4774" t="str">
        <f t="shared" si="1939"/>
        <v>Approved</v>
      </c>
      <c r="T4774" t="str">
        <f t="shared" si="1940"/>
        <v>10.20.8.188</v>
      </c>
      <c r="U4774" t="str">
        <f t="shared" si="1941"/>
        <v>AZRAD UMAR BIN SHAARI</v>
      </c>
      <c r="V4774" t="str">
        <f t="shared" si="1942"/>
        <v>FARHANA BINTI MUSTAPA</v>
      </c>
      <c r="W4774" t="str">
        <f t="shared" si="1943"/>
        <v>04-08-2020</v>
      </c>
      <c r="X4774" t="str">
        <f t="shared" si="1944"/>
        <v>RAZIMAH ANSAR AHMAD</v>
      </c>
      <c r="Y4774" t="str">
        <f t="shared" si="1945"/>
        <v>04-08-2020</v>
      </c>
      <c r="Z4774" t="str">
        <f>"COS10200804 4380"</f>
        <v>COS10200804 4380</v>
      </c>
    </row>
    <row r="4775" spans="1:26" x14ac:dyDescent="0.25">
      <c r="A4775" t="str">
        <f t="shared" si="1952"/>
        <v>04-08-2020 12:49:03</v>
      </c>
      <c r="B4775" t="str">
        <f>"0000806158"</f>
        <v>0000806158</v>
      </c>
      <c r="C4775" t="str">
        <f t="shared" si="1953"/>
        <v>0000805979</v>
      </c>
      <c r="D4775" t="str">
        <f t="shared" si="1933"/>
        <v>73185</v>
      </c>
      <c r="E4775" t="str">
        <f t="shared" si="1934"/>
        <v>KFH-OPERATIONS DEPARTMENT</v>
      </c>
      <c r="F4775" t="str">
        <f t="shared" si="1935"/>
        <v>IBG</v>
      </c>
      <c r="G4775" t="str">
        <f t="shared" si="1950"/>
        <v>Refund COSHARE 10</v>
      </c>
      <c r="H4775" s="2">
        <v>864.7</v>
      </c>
      <c r="I4775" t="str">
        <f>"DARULHISHAM BIN NORSIDIN"</f>
        <v>DARULHISHAM BIN NORSIDIN</v>
      </c>
      <c r="J4775" t="str">
        <f t="shared" si="1951"/>
        <v>MAYBANK / MAYBANK ISLAMIC</v>
      </c>
      <c r="K4775" t="str">
        <f>"160027285076"</f>
        <v>160027285076</v>
      </c>
      <c r="L4775" t="str">
        <f t="shared" si="1954"/>
        <v>04-08-2020</v>
      </c>
      <c r="M4775" t="str">
        <f t="shared" si="1954"/>
        <v>04-08-2020</v>
      </c>
      <c r="N4775" t="str">
        <f t="shared" si="1936"/>
        <v>001105018356</v>
      </c>
      <c r="O4775" t="str">
        <f t="shared" si="1937"/>
        <v>MYR</v>
      </c>
      <c r="P4775" t="str">
        <f t="shared" si="1955"/>
        <v>NIL</v>
      </c>
      <c r="Q4775" t="str">
        <f t="shared" si="1955"/>
        <v>NIL</v>
      </c>
      <c r="R4775" t="str">
        <f t="shared" si="1938"/>
        <v>Accepted</v>
      </c>
      <c r="S4775" t="str">
        <f t="shared" si="1939"/>
        <v>Approved</v>
      </c>
      <c r="T4775" t="str">
        <f t="shared" si="1940"/>
        <v>10.20.8.188</v>
      </c>
      <c r="U4775" t="str">
        <f t="shared" si="1941"/>
        <v>AZRAD UMAR BIN SHAARI</v>
      </c>
      <c r="V4775" t="str">
        <f t="shared" si="1942"/>
        <v>FARHANA BINTI MUSTAPA</v>
      </c>
      <c r="W4775" t="str">
        <f t="shared" si="1943"/>
        <v>04-08-2020</v>
      </c>
      <c r="X4775" t="str">
        <f t="shared" si="1944"/>
        <v>RAZIMAH ANSAR AHMAD</v>
      </c>
      <c r="Y4775" t="str">
        <f t="shared" si="1945"/>
        <v>04-08-2020</v>
      </c>
      <c r="Z4775" t="str">
        <f>"COS10200804 4379"</f>
        <v>COS10200804 4379</v>
      </c>
    </row>
    <row r="4776" spans="1:26" x14ac:dyDescent="0.25">
      <c r="A4776" t="str">
        <f t="shared" si="1952"/>
        <v>04-08-2020 12:49:03</v>
      </c>
      <c r="B4776" t="str">
        <f>"0000806157"</f>
        <v>0000806157</v>
      </c>
      <c r="C4776" t="str">
        <f t="shared" si="1953"/>
        <v>0000805979</v>
      </c>
      <c r="D4776" t="str">
        <f t="shared" si="1933"/>
        <v>73185</v>
      </c>
      <c r="E4776" t="str">
        <f t="shared" si="1934"/>
        <v>KFH-OPERATIONS DEPARTMENT</v>
      </c>
      <c r="F4776" t="str">
        <f t="shared" si="1935"/>
        <v>IBG</v>
      </c>
      <c r="G4776" t="str">
        <f t="shared" si="1950"/>
        <v>Refund COSHARE 10</v>
      </c>
      <c r="H4776" s="2">
        <v>243</v>
      </c>
      <c r="I4776" t="str">
        <f>"DARUL EZMIR BIN DUHIM"</f>
        <v>DARUL EZMIR BIN DUHIM</v>
      </c>
      <c r="J4776" t="str">
        <f t="shared" si="1951"/>
        <v>MAYBANK / MAYBANK ISLAMIC</v>
      </c>
      <c r="K4776" t="str">
        <f>"156057415130"</f>
        <v>156057415130</v>
      </c>
      <c r="L4776" t="str">
        <f t="shared" si="1954"/>
        <v>04-08-2020</v>
      </c>
      <c r="M4776" t="str">
        <f t="shared" si="1954"/>
        <v>04-08-2020</v>
      </c>
      <c r="N4776" t="str">
        <f t="shared" si="1936"/>
        <v>001105018356</v>
      </c>
      <c r="O4776" t="str">
        <f t="shared" si="1937"/>
        <v>MYR</v>
      </c>
      <c r="P4776" t="str">
        <f t="shared" si="1955"/>
        <v>NIL</v>
      </c>
      <c r="Q4776" t="str">
        <f t="shared" si="1955"/>
        <v>NIL</v>
      </c>
      <c r="R4776" t="str">
        <f t="shared" si="1938"/>
        <v>Accepted</v>
      </c>
      <c r="S4776" t="str">
        <f t="shared" si="1939"/>
        <v>Approved</v>
      </c>
      <c r="T4776" t="str">
        <f t="shared" si="1940"/>
        <v>10.20.8.188</v>
      </c>
      <c r="U4776" t="str">
        <f t="shared" si="1941"/>
        <v>AZRAD UMAR BIN SHAARI</v>
      </c>
      <c r="V4776" t="str">
        <f t="shared" si="1942"/>
        <v>FARHANA BINTI MUSTAPA</v>
      </c>
      <c r="W4776" t="str">
        <f t="shared" si="1943"/>
        <v>04-08-2020</v>
      </c>
      <c r="X4776" t="str">
        <f t="shared" si="1944"/>
        <v>RAZIMAH ANSAR AHMAD</v>
      </c>
      <c r="Y4776" t="str">
        <f t="shared" si="1945"/>
        <v>04-08-2020</v>
      </c>
      <c r="Z4776" t="str">
        <f>"COS10200804 4378"</f>
        <v>COS10200804 4378</v>
      </c>
    </row>
    <row r="4777" spans="1:26" x14ac:dyDescent="0.25">
      <c r="A4777" t="str">
        <f t="shared" si="1952"/>
        <v>04-08-2020 12:49:03</v>
      </c>
      <c r="B4777" t="str">
        <f>"0000806156"</f>
        <v>0000806156</v>
      </c>
      <c r="C4777" t="str">
        <f t="shared" si="1953"/>
        <v>0000805979</v>
      </c>
      <c r="D4777" t="str">
        <f t="shared" si="1933"/>
        <v>73185</v>
      </c>
      <c r="E4777" t="str">
        <f t="shared" si="1934"/>
        <v>KFH-OPERATIONS DEPARTMENT</v>
      </c>
      <c r="F4777" t="str">
        <f t="shared" si="1935"/>
        <v>IBG</v>
      </c>
      <c r="G4777" t="str">
        <f t="shared" si="1950"/>
        <v>Refund COSHARE 10</v>
      </c>
      <c r="H4777" s="2">
        <v>1519.5</v>
      </c>
      <c r="I4777" t="str">
        <f>"DAROSILAH BINTI SULEIMAN"</f>
        <v>DAROSILAH BINTI SULEIMAN</v>
      </c>
      <c r="J4777" t="str">
        <f t="shared" si="1951"/>
        <v>MAYBANK / MAYBANK ISLAMIC</v>
      </c>
      <c r="K4777" t="str">
        <f>"159012735379"</f>
        <v>159012735379</v>
      </c>
      <c r="L4777" t="str">
        <f t="shared" si="1954"/>
        <v>04-08-2020</v>
      </c>
      <c r="M4777" t="str">
        <f t="shared" si="1954"/>
        <v>04-08-2020</v>
      </c>
      <c r="N4777" t="str">
        <f t="shared" si="1936"/>
        <v>001105018356</v>
      </c>
      <c r="O4777" t="str">
        <f t="shared" si="1937"/>
        <v>MYR</v>
      </c>
      <c r="P4777" t="str">
        <f t="shared" si="1955"/>
        <v>NIL</v>
      </c>
      <c r="Q4777" t="str">
        <f t="shared" si="1955"/>
        <v>NIL</v>
      </c>
      <c r="R4777" t="str">
        <f t="shared" si="1938"/>
        <v>Accepted</v>
      </c>
      <c r="S4777" t="str">
        <f t="shared" si="1939"/>
        <v>Approved</v>
      </c>
      <c r="T4777" t="str">
        <f t="shared" si="1940"/>
        <v>10.20.8.188</v>
      </c>
      <c r="U4777" t="str">
        <f t="shared" si="1941"/>
        <v>AZRAD UMAR BIN SHAARI</v>
      </c>
      <c r="V4777" t="str">
        <f t="shared" si="1942"/>
        <v>FARHANA BINTI MUSTAPA</v>
      </c>
      <c r="W4777" t="str">
        <f t="shared" si="1943"/>
        <v>04-08-2020</v>
      </c>
      <c r="X4777" t="str">
        <f t="shared" si="1944"/>
        <v>RAZIMAH ANSAR AHMAD</v>
      </c>
      <c r="Y4777" t="str">
        <f t="shared" si="1945"/>
        <v>04-08-2020</v>
      </c>
      <c r="Z4777" t="str">
        <f>"COS10200804 4377"</f>
        <v>COS10200804 4377</v>
      </c>
    </row>
    <row r="4778" spans="1:26" x14ac:dyDescent="0.25">
      <c r="A4778" t="str">
        <f t="shared" si="1952"/>
        <v>04-08-2020 12:49:03</v>
      </c>
      <c r="B4778" t="str">
        <f>"0000806155"</f>
        <v>0000806155</v>
      </c>
      <c r="C4778" t="str">
        <f t="shared" si="1953"/>
        <v>0000805979</v>
      </c>
      <c r="D4778" t="str">
        <f t="shared" si="1933"/>
        <v>73185</v>
      </c>
      <c r="E4778" t="str">
        <f t="shared" si="1934"/>
        <v>KFH-OPERATIONS DEPARTMENT</v>
      </c>
      <c r="F4778" t="str">
        <f t="shared" si="1935"/>
        <v>IBG</v>
      </c>
      <c r="G4778" t="str">
        <f t="shared" si="1950"/>
        <v>Refund COSHARE 10</v>
      </c>
      <c r="H4778" s="2">
        <v>319</v>
      </c>
      <c r="I4778" t="str">
        <f>"DARNA BINTI PUDAR"</f>
        <v>DARNA BINTI PUDAR</v>
      </c>
      <c r="J4778" t="str">
        <f t="shared" si="1951"/>
        <v>MAYBANK / MAYBANK ISLAMIC</v>
      </c>
      <c r="K4778" t="str">
        <f>"160045284792"</f>
        <v>160045284792</v>
      </c>
      <c r="L4778" t="str">
        <f t="shared" si="1954"/>
        <v>04-08-2020</v>
      </c>
      <c r="M4778" t="str">
        <f t="shared" si="1954"/>
        <v>04-08-2020</v>
      </c>
      <c r="N4778" t="str">
        <f t="shared" si="1936"/>
        <v>001105018356</v>
      </c>
      <c r="O4778" t="str">
        <f t="shared" si="1937"/>
        <v>MYR</v>
      </c>
      <c r="P4778" t="str">
        <f t="shared" si="1955"/>
        <v>NIL</v>
      </c>
      <c r="Q4778" t="str">
        <f t="shared" si="1955"/>
        <v>NIL</v>
      </c>
      <c r="R4778" t="str">
        <f t="shared" si="1938"/>
        <v>Accepted</v>
      </c>
      <c r="S4778" t="str">
        <f t="shared" si="1939"/>
        <v>Approved</v>
      </c>
      <c r="T4778" t="str">
        <f t="shared" si="1940"/>
        <v>10.20.8.188</v>
      </c>
      <c r="U4778" t="str">
        <f t="shared" si="1941"/>
        <v>AZRAD UMAR BIN SHAARI</v>
      </c>
      <c r="V4778" t="str">
        <f t="shared" si="1942"/>
        <v>FARHANA BINTI MUSTAPA</v>
      </c>
      <c r="W4778" t="str">
        <f t="shared" si="1943"/>
        <v>04-08-2020</v>
      </c>
      <c r="X4778" t="str">
        <f t="shared" si="1944"/>
        <v>RAZIMAH ANSAR AHMAD</v>
      </c>
      <c r="Y4778" t="str">
        <f t="shared" si="1945"/>
        <v>04-08-2020</v>
      </c>
      <c r="Z4778" t="str">
        <f>"COS10200804 4376"</f>
        <v>COS10200804 4376</v>
      </c>
    </row>
    <row r="4779" spans="1:26" x14ac:dyDescent="0.25">
      <c r="A4779" t="str">
        <f t="shared" si="1952"/>
        <v>04-08-2020 12:49:03</v>
      </c>
      <c r="B4779" t="str">
        <f>"0000806154"</f>
        <v>0000806154</v>
      </c>
      <c r="C4779" t="str">
        <f t="shared" si="1953"/>
        <v>0000805979</v>
      </c>
      <c r="D4779" t="str">
        <f t="shared" si="1933"/>
        <v>73185</v>
      </c>
      <c r="E4779" t="str">
        <f t="shared" si="1934"/>
        <v>KFH-OPERATIONS DEPARTMENT</v>
      </c>
      <c r="F4779" t="str">
        <f t="shared" si="1935"/>
        <v>IBG</v>
      </c>
      <c r="G4779" t="str">
        <f t="shared" si="1950"/>
        <v>Refund COSHARE 10</v>
      </c>
      <c r="H4779" s="2">
        <v>364</v>
      </c>
      <c r="I4779" t="str">
        <f>"DARMADI BIN ZULKIFLY"</f>
        <v>DARMADI BIN ZULKIFLY</v>
      </c>
      <c r="J4779" t="str">
        <f t="shared" si="1951"/>
        <v>MAYBANK / MAYBANK ISLAMIC</v>
      </c>
      <c r="K4779" t="str">
        <f>"114280322788"</f>
        <v>114280322788</v>
      </c>
      <c r="L4779" t="str">
        <f t="shared" si="1954"/>
        <v>04-08-2020</v>
      </c>
      <c r="M4779" t="str">
        <f t="shared" si="1954"/>
        <v>04-08-2020</v>
      </c>
      <c r="N4779" t="str">
        <f t="shared" si="1936"/>
        <v>001105018356</v>
      </c>
      <c r="O4779" t="str">
        <f t="shared" si="1937"/>
        <v>MYR</v>
      </c>
      <c r="P4779" t="str">
        <f t="shared" si="1955"/>
        <v>NIL</v>
      </c>
      <c r="Q4779" t="str">
        <f t="shared" si="1955"/>
        <v>NIL</v>
      </c>
      <c r="R4779" t="str">
        <f t="shared" si="1938"/>
        <v>Accepted</v>
      </c>
      <c r="S4779" t="str">
        <f t="shared" si="1939"/>
        <v>Approved</v>
      </c>
      <c r="T4779" t="str">
        <f t="shared" si="1940"/>
        <v>10.20.8.188</v>
      </c>
      <c r="U4779" t="str">
        <f t="shared" si="1941"/>
        <v>AZRAD UMAR BIN SHAARI</v>
      </c>
      <c r="V4779" t="str">
        <f t="shared" si="1942"/>
        <v>FARHANA BINTI MUSTAPA</v>
      </c>
      <c r="W4779" t="str">
        <f t="shared" si="1943"/>
        <v>04-08-2020</v>
      </c>
      <c r="X4779" t="str">
        <f t="shared" si="1944"/>
        <v>RAZIMAH ANSAR AHMAD</v>
      </c>
      <c r="Y4779" t="str">
        <f t="shared" si="1945"/>
        <v>04-08-2020</v>
      </c>
      <c r="Z4779" t="str">
        <f>"COS10200804 4375"</f>
        <v>COS10200804 4375</v>
      </c>
    </row>
    <row r="4780" spans="1:26" x14ac:dyDescent="0.25">
      <c r="A4780" t="str">
        <f t="shared" si="1952"/>
        <v>04-08-2020 12:49:03</v>
      </c>
      <c r="B4780" t="str">
        <f>"0000806153"</f>
        <v>0000806153</v>
      </c>
      <c r="C4780" t="str">
        <f t="shared" si="1953"/>
        <v>0000805979</v>
      </c>
      <c r="D4780" t="str">
        <f t="shared" si="1933"/>
        <v>73185</v>
      </c>
      <c r="E4780" t="str">
        <f t="shared" si="1934"/>
        <v>KFH-OPERATIONS DEPARTMENT</v>
      </c>
      <c r="F4780" t="str">
        <f t="shared" si="1935"/>
        <v>IBG</v>
      </c>
      <c r="G4780" t="str">
        <f t="shared" si="1950"/>
        <v>Refund COSHARE 10</v>
      </c>
      <c r="H4780" s="2">
        <v>713.6</v>
      </c>
      <c r="I4780" t="str">
        <f>"DANIAL FADHIL BIN ZULKERNAIN"</f>
        <v>DANIAL FADHIL BIN ZULKERNAIN</v>
      </c>
      <c r="J4780" t="str">
        <f t="shared" si="1951"/>
        <v>MAYBANK / MAYBANK ISLAMIC</v>
      </c>
      <c r="K4780" t="str">
        <f>"164016931869"</f>
        <v>164016931869</v>
      </c>
      <c r="L4780" t="str">
        <f t="shared" si="1954"/>
        <v>04-08-2020</v>
      </c>
      <c r="M4780" t="str">
        <f t="shared" si="1954"/>
        <v>04-08-2020</v>
      </c>
      <c r="N4780" t="str">
        <f t="shared" si="1936"/>
        <v>001105018356</v>
      </c>
      <c r="O4780" t="str">
        <f t="shared" si="1937"/>
        <v>MYR</v>
      </c>
      <c r="P4780" t="str">
        <f t="shared" si="1955"/>
        <v>NIL</v>
      </c>
      <c r="Q4780" t="str">
        <f t="shared" si="1955"/>
        <v>NIL</v>
      </c>
      <c r="R4780" t="str">
        <f t="shared" si="1938"/>
        <v>Accepted</v>
      </c>
      <c r="S4780" t="str">
        <f t="shared" si="1939"/>
        <v>Approved</v>
      </c>
      <c r="T4780" t="str">
        <f t="shared" si="1940"/>
        <v>10.20.8.188</v>
      </c>
      <c r="U4780" t="str">
        <f t="shared" si="1941"/>
        <v>AZRAD UMAR BIN SHAARI</v>
      </c>
      <c r="V4780" t="str">
        <f t="shared" si="1942"/>
        <v>FARHANA BINTI MUSTAPA</v>
      </c>
      <c r="W4780" t="str">
        <f t="shared" si="1943"/>
        <v>04-08-2020</v>
      </c>
      <c r="X4780" t="str">
        <f t="shared" si="1944"/>
        <v>RAZIMAH ANSAR AHMAD</v>
      </c>
      <c r="Y4780" t="str">
        <f t="shared" si="1945"/>
        <v>04-08-2020</v>
      </c>
      <c r="Z4780" t="str">
        <f>"COS10200804 4374"</f>
        <v>COS10200804 4374</v>
      </c>
    </row>
    <row r="4781" spans="1:26" x14ac:dyDescent="0.25">
      <c r="A4781" t="str">
        <f t="shared" si="1952"/>
        <v>04-08-2020 12:49:03</v>
      </c>
      <c r="B4781" t="str">
        <f>"0000806152"</f>
        <v>0000806152</v>
      </c>
      <c r="C4781" t="str">
        <f t="shared" si="1953"/>
        <v>0000805979</v>
      </c>
      <c r="D4781" t="str">
        <f t="shared" si="1933"/>
        <v>73185</v>
      </c>
      <c r="E4781" t="str">
        <f t="shared" si="1934"/>
        <v>KFH-OPERATIONS DEPARTMENT</v>
      </c>
      <c r="F4781" t="str">
        <f t="shared" si="1935"/>
        <v>IBG</v>
      </c>
      <c r="G4781" t="str">
        <f t="shared" si="1950"/>
        <v>Refund COSHARE 10</v>
      </c>
      <c r="H4781" s="2">
        <v>663.2</v>
      </c>
      <c r="I4781" t="str">
        <f>"DAMAYANTI BINTI MOHD ALIAS"</f>
        <v>DAMAYANTI BINTI MOHD ALIAS</v>
      </c>
      <c r="J4781" t="str">
        <f t="shared" si="1951"/>
        <v>MAYBANK / MAYBANK ISLAMIC</v>
      </c>
      <c r="K4781" t="str">
        <f>"166010261627"</f>
        <v>166010261627</v>
      </c>
      <c r="L4781" t="str">
        <f t="shared" si="1954"/>
        <v>04-08-2020</v>
      </c>
      <c r="M4781" t="str">
        <f t="shared" si="1954"/>
        <v>04-08-2020</v>
      </c>
      <c r="N4781" t="str">
        <f t="shared" si="1936"/>
        <v>001105018356</v>
      </c>
      <c r="O4781" t="str">
        <f t="shared" si="1937"/>
        <v>MYR</v>
      </c>
      <c r="P4781" t="str">
        <f t="shared" si="1955"/>
        <v>NIL</v>
      </c>
      <c r="Q4781" t="str">
        <f t="shared" si="1955"/>
        <v>NIL</v>
      </c>
      <c r="R4781" t="str">
        <f t="shared" si="1938"/>
        <v>Accepted</v>
      </c>
      <c r="S4781" t="str">
        <f t="shared" si="1939"/>
        <v>Approved</v>
      </c>
      <c r="T4781" t="str">
        <f t="shared" si="1940"/>
        <v>10.20.8.188</v>
      </c>
      <c r="U4781" t="str">
        <f t="shared" si="1941"/>
        <v>AZRAD UMAR BIN SHAARI</v>
      </c>
      <c r="V4781" t="str">
        <f t="shared" si="1942"/>
        <v>FARHANA BINTI MUSTAPA</v>
      </c>
      <c r="W4781" t="str">
        <f t="shared" si="1943"/>
        <v>04-08-2020</v>
      </c>
      <c r="X4781" t="str">
        <f t="shared" si="1944"/>
        <v>RAZIMAH ANSAR AHMAD</v>
      </c>
      <c r="Y4781" t="str">
        <f t="shared" si="1945"/>
        <v>04-08-2020</v>
      </c>
      <c r="Z4781" t="str">
        <f>"COS10200804 4373"</f>
        <v>COS10200804 4373</v>
      </c>
    </row>
    <row r="4782" spans="1:26" x14ac:dyDescent="0.25">
      <c r="A4782" t="str">
        <f t="shared" si="1952"/>
        <v>04-08-2020 12:49:03</v>
      </c>
      <c r="B4782" t="str">
        <f>"0000806151"</f>
        <v>0000806151</v>
      </c>
      <c r="C4782" t="str">
        <f t="shared" si="1953"/>
        <v>0000805979</v>
      </c>
      <c r="D4782" t="str">
        <f t="shared" si="1933"/>
        <v>73185</v>
      </c>
      <c r="E4782" t="str">
        <f t="shared" si="1934"/>
        <v>KFH-OPERATIONS DEPARTMENT</v>
      </c>
      <c r="F4782" t="str">
        <f t="shared" si="1935"/>
        <v>IBG</v>
      </c>
      <c r="G4782" t="str">
        <f t="shared" si="1950"/>
        <v>Refund COSHARE 10</v>
      </c>
      <c r="H4782" s="2">
        <v>198</v>
      </c>
      <c r="I4782" t="str">
        <f>"DAING KARTINI BT ABD LATIF"</f>
        <v>DAING KARTINI BT ABD LATIF</v>
      </c>
      <c r="J4782" t="str">
        <f t="shared" si="1951"/>
        <v>MAYBANK / MAYBANK ISLAMIC</v>
      </c>
      <c r="K4782" t="str">
        <f>"162049993424"</f>
        <v>162049993424</v>
      </c>
      <c r="L4782" t="str">
        <f t="shared" si="1954"/>
        <v>04-08-2020</v>
      </c>
      <c r="M4782" t="str">
        <f t="shared" si="1954"/>
        <v>04-08-2020</v>
      </c>
      <c r="N4782" t="str">
        <f t="shared" si="1936"/>
        <v>001105018356</v>
      </c>
      <c r="O4782" t="str">
        <f t="shared" si="1937"/>
        <v>MYR</v>
      </c>
      <c r="P4782" t="str">
        <f t="shared" si="1955"/>
        <v>NIL</v>
      </c>
      <c r="Q4782" t="str">
        <f t="shared" si="1955"/>
        <v>NIL</v>
      </c>
      <c r="R4782" t="str">
        <f t="shared" si="1938"/>
        <v>Accepted</v>
      </c>
      <c r="S4782" t="str">
        <f t="shared" si="1939"/>
        <v>Approved</v>
      </c>
      <c r="T4782" t="str">
        <f t="shared" si="1940"/>
        <v>10.20.8.188</v>
      </c>
      <c r="U4782" t="str">
        <f t="shared" si="1941"/>
        <v>AZRAD UMAR BIN SHAARI</v>
      </c>
      <c r="V4782" t="str">
        <f t="shared" si="1942"/>
        <v>FARHANA BINTI MUSTAPA</v>
      </c>
      <c r="W4782" t="str">
        <f t="shared" si="1943"/>
        <v>04-08-2020</v>
      </c>
      <c r="X4782" t="str">
        <f t="shared" si="1944"/>
        <v>RAZIMAH ANSAR AHMAD</v>
      </c>
      <c r="Y4782" t="str">
        <f t="shared" si="1945"/>
        <v>04-08-2020</v>
      </c>
      <c r="Z4782" t="str">
        <f>"COS10200804 4372"</f>
        <v>COS10200804 4372</v>
      </c>
    </row>
    <row r="4783" spans="1:26" x14ac:dyDescent="0.25">
      <c r="A4783" t="str">
        <f t="shared" si="1952"/>
        <v>04-08-2020 12:49:03</v>
      </c>
      <c r="B4783" t="str">
        <f>"0000806150"</f>
        <v>0000806150</v>
      </c>
      <c r="C4783" t="str">
        <f t="shared" si="1953"/>
        <v>0000805979</v>
      </c>
      <c r="D4783" t="str">
        <f t="shared" si="1933"/>
        <v>73185</v>
      </c>
      <c r="E4783" t="str">
        <f t="shared" si="1934"/>
        <v>KFH-OPERATIONS DEPARTMENT</v>
      </c>
      <c r="F4783" t="str">
        <f t="shared" si="1935"/>
        <v>IBG</v>
      </c>
      <c r="G4783" t="str">
        <f t="shared" si="1950"/>
        <v>Refund COSHARE 10</v>
      </c>
      <c r="H4783" s="2">
        <v>327</v>
      </c>
      <c r="I4783" t="str">
        <f>"DAINE ANAK AYUN"</f>
        <v>DAINE ANAK AYUN</v>
      </c>
      <c r="J4783" t="str">
        <f t="shared" si="1951"/>
        <v>MAYBANK / MAYBANK ISLAMIC</v>
      </c>
      <c r="K4783" t="str">
        <f>"161060581616"</f>
        <v>161060581616</v>
      </c>
      <c r="L4783" t="str">
        <f t="shared" si="1954"/>
        <v>04-08-2020</v>
      </c>
      <c r="M4783" t="str">
        <f t="shared" si="1954"/>
        <v>04-08-2020</v>
      </c>
      <c r="N4783" t="str">
        <f t="shared" si="1936"/>
        <v>001105018356</v>
      </c>
      <c r="O4783" t="str">
        <f t="shared" si="1937"/>
        <v>MYR</v>
      </c>
      <c r="P4783" t="str">
        <f t="shared" si="1955"/>
        <v>NIL</v>
      </c>
      <c r="Q4783" t="str">
        <f t="shared" si="1955"/>
        <v>NIL</v>
      </c>
      <c r="R4783" t="str">
        <f t="shared" si="1938"/>
        <v>Accepted</v>
      </c>
      <c r="S4783" t="str">
        <f t="shared" si="1939"/>
        <v>Approved</v>
      </c>
      <c r="T4783" t="str">
        <f t="shared" si="1940"/>
        <v>10.20.8.188</v>
      </c>
      <c r="U4783" t="str">
        <f t="shared" si="1941"/>
        <v>AZRAD UMAR BIN SHAARI</v>
      </c>
      <c r="V4783" t="str">
        <f t="shared" si="1942"/>
        <v>FARHANA BINTI MUSTAPA</v>
      </c>
      <c r="W4783" t="str">
        <f t="shared" si="1943"/>
        <v>04-08-2020</v>
      </c>
      <c r="X4783" t="str">
        <f t="shared" si="1944"/>
        <v>RAZIMAH ANSAR AHMAD</v>
      </c>
      <c r="Y4783" t="str">
        <f t="shared" si="1945"/>
        <v>04-08-2020</v>
      </c>
      <c r="Z4783" t="str">
        <f>"COS10200804 4371"</f>
        <v>COS10200804 4371</v>
      </c>
    </row>
    <row r="4784" spans="1:26" x14ac:dyDescent="0.25">
      <c r="A4784" t="str">
        <f t="shared" si="1952"/>
        <v>04-08-2020 12:49:03</v>
      </c>
      <c r="B4784" t="str">
        <f>"0000806149"</f>
        <v>0000806149</v>
      </c>
      <c r="C4784" t="str">
        <f t="shared" si="1953"/>
        <v>0000805979</v>
      </c>
      <c r="D4784" t="str">
        <f t="shared" si="1933"/>
        <v>73185</v>
      </c>
      <c r="E4784" t="str">
        <f t="shared" si="1934"/>
        <v>KFH-OPERATIONS DEPARTMENT</v>
      </c>
      <c r="F4784" t="str">
        <f t="shared" si="1935"/>
        <v>IBG</v>
      </c>
      <c r="G4784" t="str">
        <f t="shared" si="1950"/>
        <v>Refund COSHARE 10</v>
      </c>
      <c r="H4784" s="2">
        <v>185</v>
      </c>
      <c r="I4784" t="str">
        <f>"DAHLAN BIN MOHAMAD"</f>
        <v>DAHLAN BIN MOHAMAD</v>
      </c>
      <c r="J4784" t="str">
        <f t="shared" si="1951"/>
        <v>MAYBANK / MAYBANK ISLAMIC</v>
      </c>
      <c r="K4784" t="str">
        <f>"160063257413"</f>
        <v>160063257413</v>
      </c>
      <c r="L4784" t="str">
        <f t="shared" si="1954"/>
        <v>04-08-2020</v>
      </c>
      <c r="M4784" t="str">
        <f t="shared" si="1954"/>
        <v>04-08-2020</v>
      </c>
      <c r="N4784" t="str">
        <f t="shared" si="1936"/>
        <v>001105018356</v>
      </c>
      <c r="O4784" t="str">
        <f t="shared" si="1937"/>
        <v>MYR</v>
      </c>
      <c r="P4784" t="str">
        <f t="shared" si="1955"/>
        <v>NIL</v>
      </c>
      <c r="Q4784" t="str">
        <f t="shared" si="1955"/>
        <v>NIL</v>
      </c>
      <c r="R4784" t="str">
        <f t="shared" si="1938"/>
        <v>Accepted</v>
      </c>
      <c r="S4784" t="str">
        <f t="shared" si="1939"/>
        <v>Approved</v>
      </c>
      <c r="T4784" t="str">
        <f t="shared" si="1940"/>
        <v>10.20.8.188</v>
      </c>
      <c r="U4784" t="str">
        <f t="shared" si="1941"/>
        <v>AZRAD UMAR BIN SHAARI</v>
      </c>
      <c r="V4784" t="str">
        <f t="shared" si="1942"/>
        <v>FARHANA BINTI MUSTAPA</v>
      </c>
      <c r="W4784" t="str">
        <f t="shared" si="1943"/>
        <v>04-08-2020</v>
      </c>
      <c r="X4784" t="str">
        <f t="shared" si="1944"/>
        <v>RAZIMAH ANSAR AHMAD</v>
      </c>
      <c r="Y4784" t="str">
        <f t="shared" si="1945"/>
        <v>04-08-2020</v>
      </c>
      <c r="Z4784" t="str">
        <f>"COS10200804 4370"</f>
        <v>COS10200804 4370</v>
      </c>
    </row>
    <row r="4785" spans="1:26" x14ac:dyDescent="0.25">
      <c r="A4785" t="str">
        <f t="shared" si="1952"/>
        <v>04-08-2020 12:49:03</v>
      </c>
      <c r="B4785" t="str">
        <f>"0000806148"</f>
        <v>0000806148</v>
      </c>
      <c r="C4785" t="str">
        <f t="shared" si="1953"/>
        <v>0000805979</v>
      </c>
      <c r="D4785" t="str">
        <f t="shared" si="1933"/>
        <v>73185</v>
      </c>
      <c r="E4785" t="str">
        <f t="shared" si="1934"/>
        <v>KFH-OPERATIONS DEPARTMENT</v>
      </c>
      <c r="F4785" t="str">
        <f t="shared" si="1935"/>
        <v>IBG</v>
      </c>
      <c r="G4785" t="str">
        <f t="shared" si="1950"/>
        <v>Refund COSHARE 10</v>
      </c>
      <c r="H4785" s="2">
        <v>75.599999999999994</v>
      </c>
      <c r="I4785" t="str">
        <f>"CYRIL CAHRLES"</f>
        <v>CYRIL CAHRLES</v>
      </c>
      <c r="J4785" t="str">
        <f t="shared" si="1951"/>
        <v>MAYBANK / MAYBANK ISLAMIC</v>
      </c>
      <c r="K4785" t="str">
        <f>"161109337275"</f>
        <v>161109337275</v>
      </c>
      <c r="L4785" t="str">
        <f t="shared" si="1954"/>
        <v>04-08-2020</v>
      </c>
      <c r="M4785" t="str">
        <f t="shared" si="1954"/>
        <v>04-08-2020</v>
      </c>
      <c r="N4785" t="str">
        <f t="shared" si="1936"/>
        <v>001105018356</v>
      </c>
      <c r="O4785" t="str">
        <f t="shared" si="1937"/>
        <v>MYR</v>
      </c>
      <c r="P4785" t="str">
        <f t="shared" si="1955"/>
        <v>NIL</v>
      </c>
      <c r="Q4785" t="str">
        <f t="shared" si="1955"/>
        <v>NIL</v>
      </c>
      <c r="R4785" t="str">
        <f t="shared" si="1938"/>
        <v>Accepted</v>
      </c>
      <c r="S4785" t="str">
        <f t="shared" si="1939"/>
        <v>Approved</v>
      </c>
      <c r="T4785" t="str">
        <f t="shared" si="1940"/>
        <v>10.20.8.188</v>
      </c>
      <c r="U4785" t="str">
        <f t="shared" si="1941"/>
        <v>AZRAD UMAR BIN SHAARI</v>
      </c>
      <c r="V4785" t="str">
        <f t="shared" si="1942"/>
        <v>FARHANA BINTI MUSTAPA</v>
      </c>
      <c r="W4785" t="str">
        <f t="shared" si="1943"/>
        <v>04-08-2020</v>
      </c>
      <c r="X4785" t="str">
        <f t="shared" si="1944"/>
        <v>RAZIMAH ANSAR AHMAD</v>
      </c>
      <c r="Y4785" t="str">
        <f t="shared" si="1945"/>
        <v>04-08-2020</v>
      </c>
      <c r="Z4785" t="str">
        <f>"COS10200804 4369"</f>
        <v>COS10200804 4369</v>
      </c>
    </row>
    <row r="4786" spans="1:26" x14ac:dyDescent="0.25">
      <c r="A4786" t="str">
        <f t="shared" ref="A4786:A4817" si="1956">"04-08-2020 12:49:03"</f>
        <v>04-08-2020 12:49:03</v>
      </c>
      <c r="B4786" t="str">
        <f>"0000806147"</f>
        <v>0000806147</v>
      </c>
      <c r="C4786" t="str">
        <f t="shared" ref="C4786:C4817" si="1957">"0000805979"</f>
        <v>0000805979</v>
      </c>
      <c r="D4786" t="str">
        <f t="shared" si="1933"/>
        <v>73185</v>
      </c>
      <c r="E4786" t="str">
        <f t="shared" si="1934"/>
        <v>KFH-OPERATIONS DEPARTMENT</v>
      </c>
      <c r="F4786" t="str">
        <f t="shared" si="1935"/>
        <v>IBG</v>
      </c>
      <c r="G4786" t="str">
        <f t="shared" si="1950"/>
        <v>Refund COSHARE 10</v>
      </c>
      <c r="H4786" s="2">
        <v>209.9</v>
      </c>
      <c r="I4786" t="str">
        <f>"CYNTHIA MELINDA ANAK ALING"</f>
        <v>CYNTHIA MELINDA ANAK ALING</v>
      </c>
      <c r="J4786" t="str">
        <f t="shared" si="1951"/>
        <v>MAYBANK / MAYBANK ISLAMIC</v>
      </c>
      <c r="K4786" t="str">
        <f>"161211188562"</f>
        <v>161211188562</v>
      </c>
      <c r="L4786" t="str">
        <f t="shared" si="1954"/>
        <v>04-08-2020</v>
      </c>
      <c r="M4786" t="str">
        <f t="shared" si="1954"/>
        <v>04-08-2020</v>
      </c>
      <c r="N4786" t="str">
        <f t="shared" si="1936"/>
        <v>001105018356</v>
      </c>
      <c r="O4786" t="str">
        <f t="shared" si="1937"/>
        <v>MYR</v>
      </c>
      <c r="P4786" t="str">
        <f t="shared" si="1955"/>
        <v>NIL</v>
      </c>
      <c r="Q4786" t="str">
        <f t="shared" si="1955"/>
        <v>NIL</v>
      </c>
      <c r="R4786" t="str">
        <f t="shared" si="1938"/>
        <v>Accepted</v>
      </c>
      <c r="S4786" t="str">
        <f t="shared" si="1939"/>
        <v>Approved</v>
      </c>
      <c r="T4786" t="str">
        <f t="shared" si="1940"/>
        <v>10.20.8.188</v>
      </c>
      <c r="U4786" t="str">
        <f t="shared" si="1941"/>
        <v>AZRAD UMAR BIN SHAARI</v>
      </c>
      <c r="V4786" t="str">
        <f t="shared" si="1942"/>
        <v>FARHANA BINTI MUSTAPA</v>
      </c>
      <c r="W4786" t="str">
        <f t="shared" si="1943"/>
        <v>04-08-2020</v>
      </c>
      <c r="X4786" t="str">
        <f t="shared" si="1944"/>
        <v>RAZIMAH ANSAR AHMAD</v>
      </c>
      <c r="Y4786" t="str">
        <f t="shared" si="1945"/>
        <v>04-08-2020</v>
      </c>
      <c r="Z4786" t="str">
        <f>"COS10200804 4368"</f>
        <v>COS10200804 4368</v>
      </c>
    </row>
    <row r="4787" spans="1:26" x14ac:dyDescent="0.25">
      <c r="A4787" t="str">
        <f t="shared" si="1956"/>
        <v>04-08-2020 12:49:03</v>
      </c>
      <c r="B4787" t="str">
        <f>"0000806146"</f>
        <v>0000806146</v>
      </c>
      <c r="C4787" t="str">
        <f t="shared" si="1957"/>
        <v>0000805979</v>
      </c>
      <c r="D4787" t="str">
        <f t="shared" si="1933"/>
        <v>73185</v>
      </c>
      <c r="E4787" t="str">
        <f t="shared" si="1934"/>
        <v>KFH-OPERATIONS DEPARTMENT</v>
      </c>
      <c r="F4787" t="str">
        <f t="shared" si="1935"/>
        <v>IBG</v>
      </c>
      <c r="G4787" t="str">
        <f t="shared" si="1950"/>
        <v>Refund COSHARE 10</v>
      </c>
      <c r="H4787" s="2">
        <v>1199</v>
      </c>
      <c r="I4787" t="str">
        <f>"CITRA DEWI BINTI SALAIMAN"</f>
        <v>CITRA DEWI BINTI SALAIMAN</v>
      </c>
      <c r="J4787" t="str">
        <f t="shared" si="1951"/>
        <v>MAYBANK / MAYBANK ISLAMIC</v>
      </c>
      <c r="K4787" t="str">
        <f>"161118910084"</f>
        <v>161118910084</v>
      </c>
      <c r="L4787" t="str">
        <f t="shared" ref="L4787:M4806" si="1958">"04-08-2020"</f>
        <v>04-08-2020</v>
      </c>
      <c r="M4787" t="str">
        <f t="shared" si="1958"/>
        <v>04-08-2020</v>
      </c>
      <c r="N4787" t="str">
        <f t="shared" si="1936"/>
        <v>001105018356</v>
      </c>
      <c r="O4787" t="str">
        <f t="shared" si="1937"/>
        <v>MYR</v>
      </c>
      <c r="P4787" t="str">
        <f t="shared" ref="P4787:Q4806" si="1959">"NIL"</f>
        <v>NIL</v>
      </c>
      <c r="Q4787" t="str">
        <f t="shared" si="1959"/>
        <v>NIL</v>
      </c>
      <c r="R4787" t="str">
        <f t="shared" si="1938"/>
        <v>Accepted</v>
      </c>
      <c r="S4787" t="str">
        <f t="shared" si="1939"/>
        <v>Approved</v>
      </c>
      <c r="T4787" t="str">
        <f t="shared" si="1940"/>
        <v>10.20.8.188</v>
      </c>
      <c r="U4787" t="str">
        <f t="shared" si="1941"/>
        <v>AZRAD UMAR BIN SHAARI</v>
      </c>
      <c r="V4787" t="str">
        <f t="shared" si="1942"/>
        <v>FARHANA BINTI MUSTAPA</v>
      </c>
      <c r="W4787" t="str">
        <f t="shared" si="1943"/>
        <v>04-08-2020</v>
      </c>
      <c r="X4787" t="str">
        <f t="shared" si="1944"/>
        <v>RAZIMAH ANSAR AHMAD</v>
      </c>
      <c r="Y4787" t="str">
        <f t="shared" si="1945"/>
        <v>04-08-2020</v>
      </c>
      <c r="Z4787" t="str">
        <f>"COS10200804 4367"</f>
        <v>COS10200804 4367</v>
      </c>
    </row>
    <row r="4788" spans="1:26" x14ac:dyDescent="0.25">
      <c r="A4788" t="str">
        <f t="shared" si="1956"/>
        <v>04-08-2020 12:49:03</v>
      </c>
      <c r="B4788" t="str">
        <f>"0000806145"</f>
        <v>0000806145</v>
      </c>
      <c r="C4788" t="str">
        <f t="shared" si="1957"/>
        <v>0000805979</v>
      </c>
      <c r="D4788" t="str">
        <f t="shared" si="1933"/>
        <v>73185</v>
      </c>
      <c r="E4788" t="str">
        <f t="shared" si="1934"/>
        <v>KFH-OPERATIONS DEPARTMENT</v>
      </c>
      <c r="F4788" t="str">
        <f t="shared" si="1935"/>
        <v>IBG</v>
      </c>
      <c r="G4788" t="str">
        <f t="shared" si="1950"/>
        <v>Refund COSHARE 10</v>
      </c>
      <c r="H4788" s="2">
        <v>151.15</v>
      </c>
      <c r="I4788" t="str">
        <f>"CIK ZARIRAH BINTI ABDUL SANI"</f>
        <v>CIK ZARIRAH BINTI ABDUL SANI</v>
      </c>
      <c r="J4788" t="str">
        <f t="shared" si="1951"/>
        <v>MAYBANK / MAYBANK ISLAMIC</v>
      </c>
      <c r="K4788" t="str">
        <f>"152031219663"</f>
        <v>152031219663</v>
      </c>
      <c r="L4788" t="str">
        <f t="shared" si="1958"/>
        <v>04-08-2020</v>
      </c>
      <c r="M4788" t="str">
        <f t="shared" si="1958"/>
        <v>04-08-2020</v>
      </c>
      <c r="N4788" t="str">
        <f t="shared" si="1936"/>
        <v>001105018356</v>
      </c>
      <c r="O4788" t="str">
        <f t="shared" si="1937"/>
        <v>MYR</v>
      </c>
      <c r="P4788" t="str">
        <f t="shared" si="1959"/>
        <v>NIL</v>
      </c>
      <c r="Q4788" t="str">
        <f t="shared" si="1959"/>
        <v>NIL</v>
      </c>
      <c r="R4788" t="str">
        <f t="shared" si="1938"/>
        <v>Accepted</v>
      </c>
      <c r="S4788" t="str">
        <f t="shared" si="1939"/>
        <v>Approved</v>
      </c>
      <c r="T4788" t="str">
        <f t="shared" si="1940"/>
        <v>10.20.8.188</v>
      </c>
      <c r="U4788" t="str">
        <f t="shared" si="1941"/>
        <v>AZRAD UMAR BIN SHAARI</v>
      </c>
      <c r="V4788" t="str">
        <f t="shared" si="1942"/>
        <v>FARHANA BINTI MUSTAPA</v>
      </c>
      <c r="W4788" t="str">
        <f t="shared" si="1943"/>
        <v>04-08-2020</v>
      </c>
      <c r="X4788" t="str">
        <f t="shared" si="1944"/>
        <v>RAZIMAH ANSAR AHMAD</v>
      </c>
      <c r="Y4788" t="str">
        <f t="shared" si="1945"/>
        <v>04-08-2020</v>
      </c>
      <c r="Z4788" t="str">
        <f>"COS10200804 4366"</f>
        <v>COS10200804 4366</v>
      </c>
    </row>
    <row r="4789" spans="1:26" x14ac:dyDescent="0.25">
      <c r="A4789" t="str">
        <f t="shared" si="1956"/>
        <v>04-08-2020 12:49:03</v>
      </c>
      <c r="B4789" t="str">
        <f>"0000806144"</f>
        <v>0000806144</v>
      </c>
      <c r="C4789" t="str">
        <f t="shared" si="1957"/>
        <v>0000805979</v>
      </c>
      <c r="D4789" t="str">
        <f t="shared" si="1933"/>
        <v>73185</v>
      </c>
      <c r="E4789" t="str">
        <f t="shared" si="1934"/>
        <v>KFH-OPERATIONS DEPARTMENT</v>
      </c>
      <c r="F4789" t="str">
        <f t="shared" si="1935"/>
        <v>IBG</v>
      </c>
      <c r="G4789" t="str">
        <f t="shared" si="1950"/>
        <v>Refund COSHARE 10</v>
      </c>
      <c r="H4789" s="2">
        <v>839.5</v>
      </c>
      <c r="I4789" t="str">
        <f>"CIK MASHITAH BINTI CHE IBRAHIM"</f>
        <v>CIK MASHITAH BINTI CHE IBRAHIM</v>
      </c>
      <c r="J4789" t="str">
        <f t="shared" si="1951"/>
        <v>MAYBANK / MAYBANK ISLAMIC</v>
      </c>
      <c r="K4789" t="str">
        <f>"164333255023"</f>
        <v>164333255023</v>
      </c>
      <c r="L4789" t="str">
        <f t="shared" si="1958"/>
        <v>04-08-2020</v>
      </c>
      <c r="M4789" t="str">
        <f t="shared" si="1958"/>
        <v>04-08-2020</v>
      </c>
      <c r="N4789" t="str">
        <f t="shared" si="1936"/>
        <v>001105018356</v>
      </c>
      <c r="O4789" t="str">
        <f t="shared" si="1937"/>
        <v>MYR</v>
      </c>
      <c r="P4789" t="str">
        <f t="shared" si="1959"/>
        <v>NIL</v>
      </c>
      <c r="Q4789" t="str">
        <f t="shared" si="1959"/>
        <v>NIL</v>
      </c>
      <c r="R4789" t="str">
        <f t="shared" si="1938"/>
        <v>Accepted</v>
      </c>
      <c r="S4789" t="str">
        <f t="shared" si="1939"/>
        <v>Approved</v>
      </c>
      <c r="T4789" t="str">
        <f t="shared" si="1940"/>
        <v>10.20.8.188</v>
      </c>
      <c r="U4789" t="str">
        <f t="shared" si="1941"/>
        <v>AZRAD UMAR BIN SHAARI</v>
      </c>
      <c r="V4789" t="str">
        <f t="shared" si="1942"/>
        <v>FARHANA BINTI MUSTAPA</v>
      </c>
      <c r="W4789" t="str">
        <f t="shared" si="1943"/>
        <v>04-08-2020</v>
      </c>
      <c r="X4789" t="str">
        <f t="shared" si="1944"/>
        <v>RAZIMAH ANSAR AHMAD</v>
      </c>
      <c r="Y4789" t="str">
        <f t="shared" si="1945"/>
        <v>04-08-2020</v>
      </c>
      <c r="Z4789" t="str">
        <f>"COS10200804 4365"</f>
        <v>COS10200804 4365</v>
      </c>
    </row>
    <row r="4790" spans="1:26" x14ac:dyDescent="0.25">
      <c r="A4790" t="str">
        <f t="shared" si="1956"/>
        <v>04-08-2020 12:49:03</v>
      </c>
      <c r="B4790" t="str">
        <f>"0000806143"</f>
        <v>0000806143</v>
      </c>
      <c r="C4790" t="str">
        <f t="shared" si="1957"/>
        <v>0000805979</v>
      </c>
      <c r="D4790" t="str">
        <f t="shared" si="1933"/>
        <v>73185</v>
      </c>
      <c r="E4790" t="str">
        <f t="shared" si="1934"/>
        <v>KFH-OPERATIONS DEPARTMENT</v>
      </c>
      <c r="F4790" t="str">
        <f t="shared" si="1935"/>
        <v>IBG</v>
      </c>
      <c r="G4790" t="str">
        <f t="shared" si="1950"/>
        <v>Refund COSHARE 10</v>
      </c>
      <c r="H4790" s="2">
        <v>1099.75</v>
      </c>
      <c r="I4790" t="str">
        <f>"CHUNG CHEE LING"</f>
        <v>CHUNG CHEE LING</v>
      </c>
      <c r="J4790" t="str">
        <f t="shared" si="1951"/>
        <v>MAYBANK / MAYBANK ISLAMIC</v>
      </c>
      <c r="K4790" t="str">
        <f>"110032182608"</f>
        <v>110032182608</v>
      </c>
      <c r="L4790" t="str">
        <f t="shared" si="1958"/>
        <v>04-08-2020</v>
      </c>
      <c r="M4790" t="str">
        <f t="shared" si="1958"/>
        <v>04-08-2020</v>
      </c>
      <c r="N4790" t="str">
        <f t="shared" si="1936"/>
        <v>001105018356</v>
      </c>
      <c r="O4790" t="str">
        <f t="shared" si="1937"/>
        <v>MYR</v>
      </c>
      <c r="P4790" t="str">
        <f t="shared" si="1959"/>
        <v>NIL</v>
      </c>
      <c r="Q4790" t="str">
        <f t="shared" si="1959"/>
        <v>NIL</v>
      </c>
      <c r="R4790" t="str">
        <f t="shared" si="1938"/>
        <v>Accepted</v>
      </c>
      <c r="S4790" t="str">
        <f t="shared" si="1939"/>
        <v>Approved</v>
      </c>
      <c r="T4790" t="str">
        <f t="shared" si="1940"/>
        <v>10.20.8.188</v>
      </c>
      <c r="U4790" t="str">
        <f t="shared" si="1941"/>
        <v>AZRAD UMAR BIN SHAARI</v>
      </c>
      <c r="V4790" t="str">
        <f t="shared" si="1942"/>
        <v>FARHANA BINTI MUSTAPA</v>
      </c>
      <c r="W4790" t="str">
        <f t="shared" si="1943"/>
        <v>04-08-2020</v>
      </c>
      <c r="X4790" t="str">
        <f t="shared" si="1944"/>
        <v>RAZIMAH ANSAR AHMAD</v>
      </c>
      <c r="Y4790" t="str">
        <f t="shared" si="1945"/>
        <v>04-08-2020</v>
      </c>
      <c r="Z4790" t="str">
        <f>"COS10200804 4364"</f>
        <v>COS10200804 4364</v>
      </c>
    </row>
    <row r="4791" spans="1:26" x14ac:dyDescent="0.25">
      <c r="A4791" t="str">
        <f t="shared" si="1956"/>
        <v>04-08-2020 12:49:03</v>
      </c>
      <c r="B4791" t="str">
        <f>"0000806142"</f>
        <v>0000806142</v>
      </c>
      <c r="C4791" t="str">
        <f t="shared" si="1957"/>
        <v>0000805979</v>
      </c>
      <c r="D4791" t="str">
        <f t="shared" si="1933"/>
        <v>73185</v>
      </c>
      <c r="E4791" t="str">
        <f t="shared" si="1934"/>
        <v>KFH-OPERATIONS DEPARTMENT</v>
      </c>
      <c r="F4791" t="str">
        <f t="shared" si="1935"/>
        <v>IBG</v>
      </c>
      <c r="G4791" t="str">
        <f t="shared" si="1950"/>
        <v>Refund COSHARE 10</v>
      </c>
      <c r="H4791" s="2">
        <v>268.64999999999998</v>
      </c>
      <c r="I4791" t="str">
        <f>"CHUA HIN CHIEW"</f>
        <v>CHUA HIN CHIEW</v>
      </c>
      <c r="J4791" t="str">
        <f t="shared" si="1951"/>
        <v>MAYBANK / MAYBANK ISLAMIC</v>
      </c>
      <c r="K4791" t="str">
        <f>"112232226912"</f>
        <v>112232226912</v>
      </c>
      <c r="L4791" t="str">
        <f t="shared" si="1958"/>
        <v>04-08-2020</v>
      </c>
      <c r="M4791" t="str">
        <f t="shared" si="1958"/>
        <v>04-08-2020</v>
      </c>
      <c r="N4791" t="str">
        <f t="shared" si="1936"/>
        <v>001105018356</v>
      </c>
      <c r="O4791" t="str">
        <f t="shared" si="1937"/>
        <v>MYR</v>
      </c>
      <c r="P4791" t="str">
        <f t="shared" si="1959"/>
        <v>NIL</v>
      </c>
      <c r="Q4791" t="str">
        <f t="shared" si="1959"/>
        <v>NIL</v>
      </c>
      <c r="R4791" t="str">
        <f t="shared" si="1938"/>
        <v>Accepted</v>
      </c>
      <c r="S4791" t="str">
        <f t="shared" si="1939"/>
        <v>Approved</v>
      </c>
      <c r="T4791" t="str">
        <f t="shared" si="1940"/>
        <v>10.20.8.188</v>
      </c>
      <c r="U4791" t="str">
        <f t="shared" si="1941"/>
        <v>AZRAD UMAR BIN SHAARI</v>
      </c>
      <c r="V4791" t="str">
        <f t="shared" si="1942"/>
        <v>FARHANA BINTI MUSTAPA</v>
      </c>
      <c r="W4791" t="str">
        <f t="shared" si="1943"/>
        <v>04-08-2020</v>
      </c>
      <c r="X4791" t="str">
        <f t="shared" si="1944"/>
        <v>RAZIMAH ANSAR AHMAD</v>
      </c>
      <c r="Y4791" t="str">
        <f t="shared" si="1945"/>
        <v>04-08-2020</v>
      </c>
      <c r="Z4791" t="str">
        <f>"COS10200804 4363"</f>
        <v>COS10200804 4363</v>
      </c>
    </row>
    <row r="4792" spans="1:26" x14ac:dyDescent="0.25">
      <c r="A4792" t="str">
        <f t="shared" si="1956"/>
        <v>04-08-2020 12:49:03</v>
      </c>
      <c r="B4792" t="str">
        <f>"0000806141"</f>
        <v>0000806141</v>
      </c>
      <c r="C4792" t="str">
        <f t="shared" si="1957"/>
        <v>0000805979</v>
      </c>
      <c r="D4792" t="str">
        <f t="shared" si="1933"/>
        <v>73185</v>
      </c>
      <c r="E4792" t="str">
        <f t="shared" si="1934"/>
        <v>KFH-OPERATIONS DEPARTMENT</v>
      </c>
      <c r="F4792" t="str">
        <f t="shared" si="1935"/>
        <v>IBG</v>
      </c>
      <c r="G4792" t="str">
        <f t="shared" si="1950"/>
        <v>Refund COSHARE 10</v>
      </c>
      <c r="H4792" s="2">
        <v>218.3</v>
      </c>
      <c r="I4792" t="str">
        <f>"CHUA HIN CHIEW"</f>
        <v>CHUA HIN CHIEW</v>
      </c>
      <c r="J4792" t="str">
        <f t="shared" si="1951"/>
        <v>MAYBANK / MAYBANK ISLAMIC</v>
      </c>
      <c r="K4792" t="str">
        <f>"112232226912"</f>
        <v>112232226912</v>
      </c>
      <c r="L4792" t="str">
        <f t="shared" si="1958"/>
        <v>04-08-2020</v>
      </c>
      <c r="M4792" t="str">
        <f t="shared" si="1958"/>
        <v>04-08-2020</v>
      </c>
      <c r="N4792" t="str">
        <f t="shared" si="1936"/>
        <v>001105018356</v>
      </c>
      <c r="O4792" t="str">
        <f t="shared" si="1937"/>
        <v>MYR</v>
      </c>
      <c r="P4792" t="str">
        <f t="shared" si="1959"/>
        <v>NIL</v>
      </c>
      <c r="Q4792" t="str">
        <f t="shared" si="1959"/>
        <v>NIL</v>
      </c>
      <c r="R4792" t="str">
        <f t="shared" si="1938"/>
        <v>Accepted</v>
      </c>
      <c r="S4792" t="str">
        <f t="shared" si="1939"/>
        <v>Approved</v>
      </c>
      <c r="T4792" t="str">
        <f t="shared" si="1940"/>
        <v>10.20.8.188</v>
      </c>
      <c r="U4792" t="str">
        <f t="shared" si="1941"/>
        <v>AZRAD UMAR BIN SHAARI</v>
      </c>
      <c r="V4792" t="str">
        <f t="shared" si="1942"/>
        <v>FARHANA BINTI MUSTAPA</v>
      </c>
      <c r="W4792" t="str">
        <f t="shared" si="1943"/>
        <v>04-08-2020</v>
      </c>
      <c r="X4792" t="str">
        <f t="shared" si="1944"/>
        <v>RAZIMAH ANSAR AHMAD</v>
      </c>
      <c r="Y4792" t="str">
        <f t="shared" si="1945"/>
        <v>04-08-2020</v>
      </c>
      <c r="Z4792" t="str">
        <f>"COS10200804 4362"</f>
        <v>COS10200804 4362</v>
      </c>
    </row>
    <row r="4793" spans="1:26" x14ac:dyDescent="0.25">
      <c r="A4793" t="str">
        <f t="shared" si="1956"/>
        <v>04-08-2020 12:49:03</v>
      </c>
      <c r="B4793" t="str">
        <f>"0000806140"</f>
        <v>0000806140</v>
      </c>
      <c r="C4793" t="str">
        <f t="shared" si="1957"/>
        <v>0000805979</v>
      </c>
      <c r="D4793" t="str">
        <f t="shared" si="1933"/>
        <v>73185</v>
      </c>
      <c r="E4793" t="str">
        <f t="shared" si="1934"/>
        <v>KFH-OPERATIONS DEPARTMENT</v>
      </c>
      <c r="F4793" t="str">
        <f t="shared" si="1935"/>
        <v>IBG</v>
      </c>
      <c r="G4793" t="str">
        <f t="shared" si="1950"/>
        <v>Refund COSHARE 10</v>
      </c>
      <c r="H4793" s="2">
        <v>107</v>
      </c>
      <c r="I4793" t="str">
        <f>"CHRISTOPHER BIN UNJIN"</f>
        <v>CHRISTOPHER BIN UNJIN</v>
      </c>
      <c r="J4793" t="str">
        <f t="shared" si="1951"/>
        <v>MAYBANK / MAYBANK ISLAMIC</v>
      </c>
      <c r="K4793" t="str">
        <f>"110041016413"</f>
        <v>110041016413</v>
      </c>
      <c r="L4793" t="str">
        <f t="shared" si="1958"/>
        <v>04-08-2020</v>
      </c>
      <c r="M4793" t="str">
        <f t="shared" si="1958"/>
        <v>04-08-2020</v>
      </c>
      <c r="N4793" t="str">
        <f t="shared" si="1936"/>
        <v>001105018356</v>
      </c>
      <c r="O4793" t="str">
        <f t="shared" si="1937"/>
        <v>MYR</v>
      </c>
      <c r="P4793" t="str">
        <f t="shared" si="1959"/>
        <v>NIL</v>
      </c>
      <c r="Q4793" t="str">
        <f t="shared" si="1959"/>
        <v>NIL</v>
      </c>
      <c r="R4793" t="str">
        <f t="shared" si="1938"/>
        <v>Accepted</v>
      </c>
      <c r="S4793" t="str">
        <f t="shared" si="1939"/>
        <v>Approved</v>
      </c>
      <c r="T4793" t="str">
        <f t="shared" si="1940"/>
        <v>10.20.8.188</v>
      </c>
      <c r="U4793" t="str">
        <f t="shared" si="1941"/>
        <v>AZRAD UMAR BIN SHAARI</v>
      </c>
      <c r="V4793" t="str">
        <f t="shared" si="1942"/>
        <v>FARHANA BINTI MUSTAPA</v>
      </c>
      <c r="W4793" t="str">
        <f t="shared" si="1943"/>
        <v>04-08-2020</v>
      </c>
      <c r="X4793" t="str">
        <f t="shared" si="1944"/>
        <v>RAZIMAH ANSAR AHMAD</v>
      </c>
      <c r="Y4793" t="str">
        <f t="shared" si="1945"/>
        <v>04-08-2020</v>
      </c>
      <c r="Z4793" t="str">
        <f>"COS10200804 4361"</f>
        <v>COS10200804 4361</v>
      </c>
    </row>
    <row r="4794" spans="1:26" x14ac:dyDescent="0.25">
      <c r="A4794" t="str">
        <f t="shared" si="1956"/>
        <v>04-08-2020 12:49:03</v>
      </c>
      <c r="B4794" t="str">
        <f>"0000806139"</f>
        <v>0000806139</v>
      </c>
      <c r="C4794" t="str">
        <f t="shared" si="1957"/>
        <v>0000805979</v>
      </c>
      <c r="D4794" t="str">
        <f t="shared" si="1933"/>
        <v>73185</v>
      </c>
      <c r="E4794" t="str">
        <f t="shared" si="1934"/>
        <v>KFH-OPERATIONS DEPARTMENT</v>
      </c>
      <c r="F4794" t="str">
        <f t="shared" si="1935"/>
        <v>IBG</v>
      </c>
      <c r="G4794" t="str">
        <f t="shared" si="1950"/>
        <v>Refund COSHARE 10</v>
      </c>
      <c r="H4794" s="2">
        <v>418</v>
      </c>
      <c r="I4794" t="str">
        <f>"CHRISTINA BINTI MANSOR"</f>
        <v>CHRISTINA BINTI MANSOR</v>
      </c>
      <c r="J4794" t="str">
        <f t="shared" si="1951"/>
        <v>MAYBANK / MAYBANK ISLAMIC</v>
      </c>
      <c r="K4794" t="str">
        <f>"111104059663"</f>
        <v>111104059663</v>
      </c>
      <c r="L4794" t="str">
        <f t="shared" si="1958"/>
        <v>04-08-2020</v>
      </c>
      <c r="M4794" t="str">
        <f t="shared" si="1958"/>
        <v>04-08-2020</v>
      </c>
      <c r="N4794" t="str">
        <f t="shared" si="1936"/>
        <v>001105018356</v>
      </c>
      <c r="O4794" t="str">
        <f t="shared" si="1937"/>
        <v>MYR</v>
      </c>
      <c r="P4794" t="str">
        <f t="shared" si="1959"/>
        <v>NIL</v>
      </c>
      <c r="Q4794" t="str">
        <f t="shared" si="1959"/>
        <v>NIL</v>
      </c>
      <c r="R4794" t="str">
        <f t="shared" si="1938"/>
        <v>Accepted</v>
      </c>
      <c r="S4794" t="str">
        <f t="shared" si="1939"/>
        <v>Approved</v>
      </c>
      <c r="T4794" t="str">
        <f t="shared" si="1940"/>
        <v>10.20.8.188</v>
      </c>
      <c r="U4794" t="str">
        <f t="shared" si="1941"/>
        <v>AZRAD UMAR BIN SHAARI</v>
      </c>
      <c r="V4794" t="str">
        <f t="shared" si="1942"/>
        <v>FARHANA BINTI MUSTAPA</v>
      </c>
      <c r="W4794" t="str">
        <f t="shared" si="1943"/>
        <v>04-08-2020</v>
      </c>
      <c r="X4794" t="str">
        <f t="shared" si="1944"/>
        <v>RAZIMAH ANSAR AHMAD</v>
      </c>
      <c r="Y4794" t="str">
        <f t="shared" si="1945"/>
        <v>04-08-2020</v>
      </c>
      <c r="Z4794" t="str">
        <f>"COS10200804 4360"</f>
        <v>COS10200804 4360</v>
      </c>
    </row>
    <row r="4795" spans="1:26" x14ac:dyDescent="0.25">
      <c r="A4795" t="str">
        <f t="shared" si="1956"/>
        <v>04-08-2020 12:49:03</v>
      </c>
      <c r="B4795" t="str">
        <f>"0000806138"</f>
        <v>0000806138</v>
      </c>
      <c r="C4795" t="str">
        <f t="shared" si="1957"/>
        <v>0000805979</v>
      </c>
      <c r="D4795" t="str">
        <f t="shared" si="1933"/>
        <v>73185</v>
      </c>
      <c r="E4795" t="str">
        <f t="shared" si="1934"/>
        <v>KFH-OPERATIONS DEPARTMENT</v>
      </c>
      <c r="F4795" t="str">
        <f t="shared" si="1935"/>
        <v>IBG</v>
      </c>
      <c r="G4795" t="str">
        <f t="shared" si="1950"/>
        <v>Refund COSHARE 10</v>
      </c>
      <c r="H4795" s="2">
        <v>335.8</v>
      </c>
      <c r="I4795" t="str">
        <f>"CHOOI WEN HUI"</f>
        <v>CHOOI WEN HUI</v>
      </c>
      <c r="J4795" t="str">
        <f t="shared" si="1951"/>
        <v>MAYBANK / MAYBANK ISLAMIC</v>
      </c>
      <c r="K4795" t="str">
        <f>"158145798496"</f>
        <v>158145798496</v>
      </c>
      <c r="L4795" t="str">
        <f t="shared" si="1958"/>
        <v>04-08-2020</v>
      </c>
      <c r="M4795" t="str">
        <f t="shared" si="1958"/>
        <v>04-08-2020</v>
      </c>
      <c r="N4795" t="str">
        <f t="shared" si="1936"/>
        <v>001105018356</v>
      </c>
      <c r="O4795" t="str">
        <f t="shared" si="1937"/>
        <v>MYR</v>
      </c>
      <c r="P4795" t="str">
        <f t="shared" si="1959"/>
        <v>NIL</v>
      </c>
      <c r="Q4795" t="str">
        <f t="shared" si="1959"/>
        <v>NIL</v>
      </c>
      <c r="R4795" t="str">
        <f t="shared" si="1938"/>
        <v>Accepted</v>
      </c>
      <c r="S4795" t="str">
        <f t="shared" si="1939"/>
        <v>Approved</v>
      </c>
      <c r="T4795" t="str">
        <f t="shared" si="1940"/>
        <v>10.20.8.188</v>
      </c>
      <c r="U4795" t="str">
        <f t="shared" si="1941"/>
        <v>AZRAD UMAR BIN SHAARI</v>
      </c>
      <c r="V4795" t="str">
        <f t="shared" si="1942"/>
        <v>FARHANA BINTI MUSTAPA</v>
      </c>
      <c r="W4795" t="str">
        <f t="shared" si="1943"/>
        <v>04-08-2020</v>
      </c>
      <c r="X4795" t="str">
        <f t="shared" si="1944"/>
        <v>RAZIMAH ANSAR AHMAD</v>
      </c>
      <c r="Y4795" t="str">
        <f t="shared" si="1945"/>
        <v>04-08-2020</v>
      </c>
      <c r="Z4795" t="str">
        <f>"COS10200804 4359"</f>
        <v>COS10200804 4359</v>
      </c>
    </row>
    <row r="4796" spans="1:26" x14ac:dyDescent="0.25">
      <c r="A4796" t="str">
        <f t="shared" si="1956"/>
        <v>04-08-2020 12:49:03</v>
      </c>
      <c r="B4796" t="str">
        <f>"0000806137"</f>
        <v>0000806137</v>
      </c>
      <c r="C4796" t="str">
        <f t="shared" si="1957"/>
        <v>0000805979</v>
      </c>
      <c r="D4796" t="str">
        <f t="shared" si="1933"/>
        <v>73185</v>
      </c>
      <c r="E4796" t="str">
        <f t="shared" si="1934"/>
        <v>KFH-OPERATIONS DEPARTMENT</v>
      </c>
      <c r="F4796" t="str">
        <f t="shared" si="1935"/>
        <v>IBG</v>
      </c>
      <c r="G4796" t="str">
        <f t="shared" si="1950"/>
        <v>Refund COSHARE 10</v>
      </c>
      <c r="H4796" s="2">
        <v>1091.3499999999999</v>
      </c>
      <c r="I4796" t="str">
        <f>"CHIU YUIK CHIN"</f>
        <v>CHIU YUIK CHIN</v>
      </c>
      <c r="J4796" t="str">
        <f t="shared" si="1951"/>
        <v>MAYBANK / MAYBANK ISLAMIC</v>
      </c>
      <c r="K4796" t="str">
        <f>"161136003491"</f>
        <v>161136003491</v>
      </c>
      <c r="L4796" t="str">
        <f t="shared" si="1958"/>
        <v>04-08-2020</v>
      </c>
      <c r="M4796" t="str">
        <f t="shared" si="1958"/>
        <v>04-08-2020</v>
      </c>
      <c r="N4796" t="str">
        <f t="shared" si="1936"/>
        <v>001105018356</v>
      </c>
      <c r="O4796" t="str">
        <f t="shared" si="1937"/>
        <v>MYR</v>
      </c>
      <c r="P4796" t="str">
        <f t="shared" si="1959"/>
        <v>NIL</v>
      </c>
      <c r="Q4796" t="str">
        <f t="shared" si="1959"/>
        <v>NIL</v>
      </c>
      <c r="R4796" t="str">
        <f t="shared" si="1938"/>
        <v>Accepted</v>
      </c>
      <c r="S4796" t="str">
        <f t="shared" si="1939"/>
        <v>Approved</v>
      </c>
      <c r="T4796" t="str">
        <f t="shared" si="1940"/>
        <v>10.20.8.188</v>
      </c>
      <c r="U4796" t="str">
        <f t="shared" si="1941"/>
        <v>AZRAD UMAR BIN SHAARI</v>
      </c>
      <c r="V4796" t="str">
        <f t="shared" si="1942"/>
        <v>FARHANA BINTI MUSTAPA</v>
      </c>
      <c r="W4796" t="str">
        <f t="shared" si="1943"/>
        <v>04-08-2020</v>
      </c>
      <c r="X4796" t="str">
        <f t="shared" si="1944"/>
        <v>RAZIMAH ANSAR AHMAD</v>
      </c>
      <c r="Y4796" t="str">
        <f t="shared" si="1945"/>
        <v>04-08-2020</v>
      </c>
      <c r="Z4796" t="str">
        <f>"COS10200804 4358"</f>
        <v>COS10200804 4358</v>
      </c>
    </row>
    <row r="4797" spans="1:26" x14ac:dyDescent="0.25">
      <c r="A4797" t="str">
        <f t="shared" si="1956"/>
        <v>04-08-2020 12:49:03</v>
      </c>
      <c r="B4797" t="str">
        <f>"0000806136"</f>
        <v>0000806136</v>
      </c>
      <c r="C4797" t="str">
        <f t="shared" si="1957"/>
        <v>0000805979</v>
      </c>
      <c r="D4797" t="str">
        <f t="shared" si="1933"/>
        <v>73185</v>
      </c>
      <c r="E4797" t="str">
        <f t="shared" si="1934"/>
        <v>KFH-OPERATIONS DEPARTMENT</v>
      </c>
      <c r="F4797" t="str">
        <f t="shared" si="1935"/>
        <v>IBG</v>
      </c>
      <c r="G4797" t="str">
        <f t="shared" si="1950"/>
        <v>Refund COSHARE 10</v>
      </c>
      <c r="H4797" s="2">
        <v>285.45</v>
      </c>
      <c r="I4797" t="str">
        <f>"CHITRA AP AYERSAMY"</f>
        <v>CHITRA AP AYERSAMY</v>
      </c>
      <c r="J4797" t="str">
        <f t="shared" si="1951"/>
        <v>MAYBANK / MAYBANK ISLAMIC</v>
      </c>
      <c r="K4797" t="str">
        <f>"162067423842"</f>
        <v>162067423842</v>
      </c>
      <c r="L4797" t="str">
        <f t="shared" si="1958"/>
        <v>04-08-2020</v>
      </c>
      <c r="M4797" t="str">
        <f t="shared" si="1958"/>
        <v>04-08-2020</v>
      </c>
      <c r="N4797" t="str">
        <f t="shared" si="1936"/>
        <v>001105018356</v>
      </c>
      <c r="O4797" t="str">
        <f t="shared" si="1937"/>
        <v>MYR</v>
      </c>
      <c r="P4797" t="str">
        <f t="shared" si="1959"/>
        <v>NIL</v>
      </c>
      <c r="Q4797" t="str">
        <f t="shared" si="1959"/>
        <v>NIL</v>
      </c>
      <c r="R4797" t="str">
        <f t="shared" si="1938"/>
        <v>Accepted</v>
      </c>
      <c r="S4797" t="str">
        <f t="shared" si="1939"/>
        <v>Approved</v>
      </c>
      <c r="T4797" t="str">
        <f t="shared" si="1940"/>
        <v>10.20.8.188</v>
      </c>
      <c r="U4797" t="str">
        <f t="shared" si="1941"/>
        <v>AZRAD UMAR BIN SHAARI</v>
      </c>
      <c r="V4797" t="str">
        <f t="shared" si="1942"/>
        <v>FARHANA BINTI MUSTAPA</v>
      </c>
      <c r="W4797" t="str">
        <f t="shared" si="1943"/>
        <v>04-08-2020</v>
      </c>
      <c r="X4797" t="str">
        <f t="shared" si="1944"/>
        <v>RAZIMAH ANSAR AHMAD</v>
      </c>
      <c r="Y4797" t="str">
        <f t="shared" si="1945"/>
        <v>04-08-2020</v>
      </c>
      <c r="Z4797" t="str">
        <f>"COS10200804 4357"</f>
        <v>COS10200804 4357</v>
      </c>
    </row>
    <row r="4798" spans="1:26" x14ac:dyDescent="0.25">
      <c r="A4798" t="str">
        <f t="shared" si="1956"/>
        <v>04-08-2020 12:49:03</v>
      </c>
      <c r="B4798" t="str">
        <f>"0000806135"</f>
        <v>0000806135</v>
      </c>
      <c r="C4798" t="str">
        <f t="shared" si="1957"/>
        <v>0000805979</v>
      </c>
      <c r="D4798" t="str">
        <f t="shared" si="1933"/>
        <v>73185</v>
      </c>
      <c r="E4798" t="str">
        <f t="shared" si="1934"/>
        <v>KFH-OPERATIONS DEPARTMENT</v>
      </c>
      <c r="F4798" t="str">
        <f t="shared" si="1935"/>
        <v>IBG</v>
      </c>
      <c r="G4798" t="str">
        <f t="shared" si="1950"/>
        <v>Refund COSHARE 10</v>
      </c>
      <c r="H4798" s="2">
        <v>569</v>
      </c>
      <c r="I4798" t="str">
        <f>"CHIN SHI LING  BEATRICE"</f>
        <v>CHIN SHI LING  BEATRICE</v>
      </c>
      <c r="J4798" t="str">
        <f t="shared" si="1951"/>
        <v>MAYBANK / MAYBANK ISLAMIC</v>
      </c>
      <c r="K4798" t="str">
        <f>"160214058141"</f>
        <v>160214058141</v>
      </c>
      <c r="L4798" t="str">
        <f t="shared" si="1958"/>
        <v>04-08-2020</v>
      </c>
      <c r="M4798" t="str">
        <f t="shared" si="1958"/>
        <v>04-08-2020</v>
      </c>
      <c r="N4798" t="str">
        <f t="shared" si="1936"/>
        <v>001105018356</v>
      </c>
      <c r="O4798" t="str">
        <f t="shared" si="1937"/>
        <v>MYR</v>
      </c>
      <c r="P4798" t="str">
        <f t="shared" si="1959"/>
        <v>NIL</v>
      </c>
      <c r="Q4798" t="str">
        <f t="shared" si="1959"/>
        <v>NIL</v>
      </c>
      <c r="R4798" t="str">
        <f t="shared" si="1938"/>
        <v>Accepted</v>
      </c>
      <c r="S4798" t="str">
        <f t="shared" si="1939"/>
        <v>Approved</v>
      </c>
      <c r="T4798" t="str">
        <f t="shared" si="1940"/>
        <v>10.20.8.188</v>
      </c>
      <c r="U4798" t="str">
        <f t="shared" si="1941"/>
        <v>AZRAD UMAR BIN SHAARI</v>
      </c>
      <c r="V4798" t="str">
        <f t="shared" si="1942"/>
        <v>FARHANA BINTI MUSTAPA</v>
      </c>
      <c r="W4798" t="str">
        <f t="shared" si="1943"/>
        <v>04-08-2020</v>
      </c>
      <c r="X4798" t="str">
        <f t="shared" si="1944"/>
        <v>RAZIMAH ANSAR AHMAD</v>
      </c>
      <c r="Y4798" t="str">
        <f t="shared" si="1945"/>
        <v>04-08-2020</v>
      </c>
      <c r="Z4798" t="str">
        <f>"COS10200804 4356"</f>
        <v>COS10200804 4356</v>
      </c>
    </row>
    <row r="4799" spans="1:26" x14ac:dyDescent="0.25">
      <c r="A4799" t="str">
        <f t="shared" si="1956"/>
        <v>04-08-2020 12:49:03</v>
      </c>
      <c r="B4799" t="str">
        <f>"0000806134"</f>
        <v>0000806134</v>
      </c>
      <c r="C4799" t="str">
        <f t="shared" si="1957"/>
        <v>0000805979</v>
      </c>
      <c r="D4799" t="str">
        <f t="shared" si="1933"/>
        <v>73185</v>
      </c>
      <c r="E4799" t="str">
        <f t="shared" si="1934"/>
        <v>KFH-OPERATIONS DEPARTMENT</v>
      </c>
      <c r="F4799" t="str">
        <f t="shared" si="1935"/>
        <v>IBG</v>
      </c>
      <c r="G4799" t="str">
        <f t="shared" si="1950"/>
        <v>Refund COSHARE 10</v>
      </c>
      <c r="H4799" s="2">
        <v>982.25</v>
      </c>
      <c r="I4799" t="str">
        <f>"CHETTRAMALA AP ANNAMALAI"</f>
        <v>CHETTRAMALA AP ANNAMALAI</v>
      </c>
      <c r="J4799" t="str">
        <f t="shared" si="1951"/>
        <v>MAYBANK / MAYBANK ISLAMIC</v>
      </c>
      <c r="K4799" t="str">
        <f>"166010237921"</f>
        <v>166010237921</v>
      </c>
      <c r="L4799" t="str">
        <f t="shared" si="1958"/>
        <v>04-08-2020</v>
      </c>
      <c r="M4799" t="str">
        <f t="shared" si="1958"/>
        <v>04-08-2020</v>
      </c>
      <c r="N4799" t="str">
        <f t="shared" si="1936"/>
        <v>001105018356</v>
      </c>
      <c r="O4799" t="str">
        <f t="shared" si="1937"/>
        <v>MYR</v>
      </c>
      <c r="P4799" t="str">
        <f t="shared" si="1959"/>
        <v>NIL</v>
      </c>
      <c r="Q4799" t="str">
        <f t="shared" si="1959"/>
        <v>NIL</v>
      </c>
      <c r="R4799" t="str">
        <f t="shared" si="1938"/>
        <v>Accepted</v>
      </c>
      <c r="S4799" t="str">
        <f t="shared" si="1939"/>
        <v>Approved</v>
      </c>
      <c r="T4799" t="str">
        <f t="shared" si="1940"/>
        <v>10.20.8.188</v>
      </c>
      <c r="U4799" t="str">
        <f t="shared" si="1941"/>
        <v>AZRAD UMAR BIN SHAARI</v>
      </c>
      <c r="V4799" t="str">
        <f t="shared" si="1942"/>
        <v>FARHANA BINTI MUSTAPA</v>
      </c>
      <c r="W4799" t="str">
        <f t="shared" si="1943"/>
        <v>04-08-2020</v>
      </c>
      <c r="X4799" t="str">
        <f t="shared" si="1944"/>
        <v>RAZIMAH ANSAR AHMAD</v>
      </c>
      <c r="Y4799" t="str">
        <f t="shared" si="1945"/>
        <v>04-08-2020</v>
      </c>
      <c r="Z4799" t="str">
        <f>"COS10200804 4355"</f>
        <v>COS10200804 4355</v>
      </c>
    </row>
    <row r="4800" spans="1:26" x14ac:dyDescent="0.25">
      <c r="A4800" t="str">
        <f t="shared" si="1956"/>
        <v>04-08-2020 12:49:03</v>
      </c>
      <c r="B4800" t="str">
        <f>"0000806133"</f>
        <v>0000806133</v>
      </c>
      <c r="C4800" t="str">
        <f t="shared" si="1957"/>
        <v>0000805979</v>
      </c>
      <c r="D4800" t="str">
        <f t="shared" si="1933"/>
        <v>73185</v>
      </c>
      <c r="E4800" t="str">
        <f t="shared" si="1934"/>
        <v>KFH-OPERATIONS DEPARTMENT</v>
      </c>
      <c r="F4800" t="str">
        <f t="shared" si="1935"/>
        <v>IBG</v>
      </c>
      <c r="G4800" t="str">
        <f t="shared" si="1950"/>
        <v>Refund COSHARE 10</v>
      </c>
      <c r="H4800" s="2">
        <v>1490</v>
      </c>
      <c r="I4800" t="str">
        <f>"CHEAH YEW TEIK"</f>
        <v>CHEAH YEW TEIK</v>
      </c>
      <c r="J4800" t="str">
        <f t="shared" si="1951"/>
        <v>MAYBANK / MAYBANK ISLAMIC</v>
      </c>
      <c r="K4800" t="str">
        <f>"108075040159"</f>
        <v>108075040159</v>
      </c>
      <c r="L4800" t="str">
        <f t="shared" si="1958"/>
        <v>04-08-2020</v>
      </c>
      <c r="M4800" t="str">
        <f t="shared" si="1958"/>
        <v>04-08-2020</v>
      </c>
      <c r="N4800" t="str">
        <f t="shared" si="1936"/>
        <v>001105018356</v>
      </c>
      <c r="O4800" t="str">
        <f t="shared" si="1937"/>
        <v>MYR</v>
      </c>
      <c r="P4800" t="str">
        <f t="shared" si="1959"/>
        <v>NIL</v>
      </c>
      <c r="Q4800" t="str">
        <f t="shared" si="1959"/>
        <v>NIL</v>
      </c>
      <c r="R4800" t="str">
        <f t="shared" si="1938"/>
        <v>Accepted</v>
      </c>
      <c r="S4800" t="str">
        <f t="shared" si="1939"/>
        <v>Approved</v>
      </c>
      <c r="T4800" t="str">
        <f t="shared" si="1940"/>
        <v>10.20.8.188</v>
      </c>
      <c r="U4800" t="str">
        <f t="shared" si="1941"/>
        <v>AZRAD UMAR BIN SHAARI</v>
      </c>
      <c r="V4800" t="str">
        <f t="shared" si="1942"/>
        <v>FARHANA BINTI MUSTAPA</v>
      </c>
      <c r="W4800" t="str">
        <f t="shared" si="1943"/>
        <v>04-08-2020</v>
      </c>
      <c r="X4800" t="str">
        <f t="shared" si="1944"/>
        <v>RAZIMAH ANSAR AHMAD</v>
      </c>
      <c r="Y4800" t="str">
        <f t="shared" si="1945"/>
        <v>04-08-2020</v>
      </c>
      <c r="Z4800" t="str">
        <f>"COS10200804 4354"</f>
        <v>COS10200804 4354</v>
      </c>
    </row>
    <row r="4801" spans="1:26" x14ac:dyDescent="0.25">
      <c r="A4801" t="str">
        <f t="shared" si="1956"/>
        <v>04-08-2020 12:49:03</v>
      </c>
      <c r="B4801" t="str">
        <f>"0000806132"</f>
        <v>0000806132</v>
      </c>
      <c r="C4801" t="str">
        <f t="shared" si="1957"/>
        <v>0000805979</v>
      </c>
      <c r="D4801" t="str">
        <f t="shared" si="1933"/>
        <v>73185</v>
      </c>
      <c r="E4801" t="str">
        <f t="shared" si="1934"/>
        <v>KFH-OPERATIONS DEPARTMENT</v>
      </c>
      <c r="F4801" t="str">
        <f t="shared" si="1935"/>
        <v>IBG</v>
      </c>
      <c r="G4801" t="str">
        <f t="shared" si="1950"/>
        <v>Refund COSHARE 10</v>
      </c>
      <c r="H4801" s="2">
        <v>711.4</v>
      </c>
      <c r="I4801" t="str">
        <f>"CHEAH KAH THYE"</f>
        <v>CHEAH KAH THYE</v>
      </c>
      <c r="J4801" t="str">
        <f t="shared" si="1951"/>
        <v>MAYBANK / MAYBANK ISLAMIC</v>
      </c>
      <c r="K4801" t="str">
        <f>"105037175235"</f>
        <v>105037175235</v>
      </c>
      <c r="L4801" t="str">
        <f t="shared" si="1958"/>
        <v>04-08-2020</v>
      </c>
      <c r="M4801" t="str">
        <f t="shared" si="1958"/>
        <v>04-08-2020</v>
      </c>
      <c r="N4801" t="str">
        <f t="shared" si="1936"/>
        <v>001105018356</v>
      </c>
      <c r="O4801" t="str">
        <f t="shared" si="1937"/>
        <v>MYR</v>
      </c>
      <c r="P4801" t="str">
        <f t="shared" si="1959"/>
        <v>NIL</v>
      </c>
      <c r="Q4801" t="str">
        <f t="shared" si="1959"/>
        <v>NIL</v>
      </c>
      <c r="R4801" t="str">
        <f t="shared" si="1938"/>
        <v>Accepted</v>
      </c>
      <c r="S4801" t="str">
        <f t="shared" si="1939"/>
        <v>Approved</v>
      </c>
      <c r="T4801" t="str">
        <f t="shared" si="1940"/>
        <v>10.20.8.188</v>
      </c>
      <c r="U4801" t="str">
        <f t="shared" si="1941"/>
        <v>AZRAD UMAR BIN SHAARI</v>
      </c>
      <c r="V4801" t="str">
        <f t="shared" si="1942"/>
        <v>FARHANA BINTI MUSTAPA</v>
      </c>
      <c r="W4801" t="str">
        <f t="shared" si="1943"/>
        <v>04-08-2020</v>
      </c>
      <c r="X4801" t="str">
        <f t="shared" si="1944"/>
        <v>RAZIMAH ANSAR AHMAD</v>
      </c>
      <c r="Y4801" t="str">
        <f t="shared" si="1945"/>
        <v>04-08-2020</v>
      </c>
      <c r="Z4801" t="str">
        <f>"COS10200804 4353"</f>
        <v>COS10200804 4353</v>
      </c>
    </row>
    <row r="4802" spans="1:26" x14ac:dyDescent="0.25">
      <c r="A4802" t="str">
        <f t="shared" si="1956"/>
        <v>04-08-2020 12:49:03</v>
      </c>
      <c r="B4802" t="str">
        <f>"0000806131"</f>
        <v>0000806131</v>
      </c>
      <c r="C4802" t="str">
        <f t="shared" si="1957"/>
        <v>0000805979</v>
      </c>
      <c r="D4802" t="str">
        <f t="shared" si="1933"/>
        <v>73185</v>
      </c>
      <c r="E4802" t="str">
        <f t="shared" si="1934"/>
        <v>KFH-OPERATIONS DEPARTMENT</v>
      </c>
      <c r="F4802" t="str">
        <f t="shared" si="1935"/>
        <v>IBG</v>
      </c>
      <c r="G4802" t="str">
        <f t="shared" si="1950"/>
        <v>Refund COSHARE 10</v>
      </c>
      <c r="H4802" s="2">
        <v>570.85</v>
      </c>
      <c r="I4802" t="str">
        <f>"CHE WAN SAFRYNA BINTI MEYU ZAINON"</f>
        <v>CHE WAN SAFRYNA BINTI MEYU ZAINON</v>
      </c>
      <c r="J4802" t="str">
        <f t="shared" si="1951"/>
        <v>MAYBANK / MAYBANK ISLAMIC</v>
      </c>
      <c r="K4802" t="str">
        <f>"158079611400"</f>
        <v>158079611400</v>
      </c>
      <c r="L4802" t="str">
        <f t="shared" si="1958"/>
        <v>04-08-2020</v>
      </c>
      <c r="M4802" t="str">
        <f t="shared" si="1958"/>
        <v>04-08-2020</v>
      </c>
      <c r="N4802" t="str">
        <f t="shared" si="1936"/>
        <v>001105018356</v>
      </c>
      <c r="O4802" t="str">
        <f t="shared" si="1937"/>
        <v>MYR</v>
      </c>
      <c r="P4802" t="str">
        <f t="shared" si="1959"/>
        <v>NIL</v>
      </c>
      <c r="Q4802" t="str">
        <f t="shared" si="1959"/>
        <v>NIL</v>
      </c>
      <c r="R4802" t="str">
        <f t="shared" si="1938"/>
        <v>Accepted</v>
      </c>
      <c r="S4802" t="str">
        <f t="shared" si="1939"/>
        <v>Approved</v>
      </c>
      <c r="T4802" t="str">
        <f t="shared" si="1940"/>
        <v>10.20.8.188</v>
      </c>
      <c r="U4802" t="str">
        <f t="shared" si="1941"/>
        <v>AZRAD UMAR BIN SHAARI</v>
      </c>
      <c r="V4802" t="str">
        <f t="shared" si="1942"/>
        <v>FARHANA BINTI MUSTAPA</v>
      </c>
      <c r="W4802" t="str">
        <f t="shared" si="1943"/>
        <v>04-08-2020</v>
      </c>
      <c r="X4802" t="str">
        <f t="shared" si="1944"/>
        <v>RAZIMAH ANSAR AHMAD</v>
      </c>
      <c r="Y4802" t="str">
        <f t="shared" si="1945"/>
        <v>04-08-2020</v>
      </c>
      <c r="Z4802" t="str">
        <f>"COS10200804 4352"</f>
        <v>COS10200804 4352</v>
      </c>
    </row>
    <row r="4803" spans="1:26" x14ac:dyDescent="0.25">
      <c r="A4803" t="str">
        <f t="shared" si="1956"/>
        <v>04-08-2020 12:49:03</v>
      </c>
      <c r="B4803" t="str">
        <f>"0000806130"</f>
        <v>0000806130</v>
      </c>
      <c r="C4803" t="str">
        <f t="shared" si="1957"/>
        <v>0000805979</v>
      </c>
      <c r="D4803" t="str">
        <f t="shared" si="1933"/>
        <v>73185</v>
      </c>
      <c r="E4803" t="str">
        <f t="shared" si="1934"/>
        <v>KFH-OPERATIONS DEPARTMENT</v>
      </c>
      <c r="F4803" t="str">
        <f t="shared" si="1935"/>
        <v>IBG</v>
      </c>
      <c r="G4803" t="str">
        <f t="shared" si="1950"/>
        <v>Refund COSHARE 10</v>
      </c>
      <c r="H4803" s="2">
        <v>629.65</v>
      </c>
      <c r="I4803" t="str">
        <f>"CHE SUN BINTI TAYIB"</f>
        <v>CHE SUN BINTI TAYIB</v>
      </c>
      <c r="J4803" t="str">
        <f t="shared" si="1951"/>
        <v>MAYBANK / MAYBANK ISLAMIC</v>
      </c>
      <c r="K4803" t="str">
        <f>"102055053416"</f>
        <v>102055053416</v>
      </c>
      <c r="L4803" t="str">
        <f t="shared" si="1958"/>
        <v>04-08-2020</v>
      </c>
      <c r="M4803" t="str">
        <f t="shared" si="1958"/>
        <v>04-08-2020</v>
      </c>
      <c r="N4803" t="str">
        <f t="shared" si="1936"/>
        <v>001105018356</v>
      </c>
      <c r="O4803" t="str">
        <f t="shared" si="1937"/>
        <v>MYR</v>
      </c>
      <c r="P4803" t="str">
        <f t="shared" si="1959"/>
        <v>NIL</v>
      </c>
      <c r="Q4803" t="str">
        <f t="shared" si="1959"/>
        <v>NIL</v>
      </c>
      <c r="R4803" t="str">
        <f t="shared" si="1938"/>
        <v>Accepted</v>
      </c>
      <c r="S4803" t="str">
        <f t="shared" si="1939"/>
        <v>Approved</v>
      </c>
      <c r="T4803" t="str">
        <f t="shared" si="1940"/>
        <v>10.20.8.188</v>
      </c>
      <c r="U4803" t="str">
        <f t="shared" si="1941"/>
        <v>AZRAD UMAR BIN SHAARI</v>
      </c>
      <c r="V4803" t="str">
        <f t="shared" si="1942"/>
        <v>FARHANA BINTI MUSTAPA</v>
      </c>
      <c r="W4803" t="str">
        <f t="shared" si="1943"/>
        <v>04-08-2020</v>
      </c>
      <c r="X4803" t="str">
        <f t="shared" si="1944"/>
        <v>RAZIMAH ANSAR AHMAD</v>
      </c>
      <c r="Y4803" t="str">
        <f t="shared" si="1945"/>
        <v>04-08-2020</v>
      </c>
      <c r="Z4803" t="str">
        <f>"COS10200804 4351"</f>
        <v>COS10200804 4351</v>
      </c>
    </row>
    <row r="4804" spans="1:26" x14ac:dyDescent="0.25">
      <c r="A4804" t="str">
        <f t="shared" si="1956"/>
        <v>04-08-2020 12:49:03</v>
      </c>
      <c r="B4804" t="str">
        <f>"0000806129"</f>
        <v>0000806129</v>
      </c>
      <c r="C4804" t="str">
        <f t="shared" si="1957"/>
        <v>0000805979</v>
      </c>
      <c r="D4804" t="str">
        <f t="shared" si="1933"/>
        <v>73185</v>
      </c>
      <c r="E4804" t="str">
        <f t="shared" si="1934"/>
        <v>KFH-OPERATIONS DEPARTMENT</v>
      </c>
      <c r="F4804" t="str">
        <f t="shared" si="1935"/>
        <v>IBG</v>
      </c>
      <c r="G4804" t="str">
        <f t="shared" si="1950"/>
        <v>Refund COSHARE 10</v>
      </c>
      <c r="H4804" s="2">
        <v>189.3</v>
      </c>
      <c r="I4804" t="str">
        <f>"CHE SHAM BINTI MD LAZIM"</f>
        <v>CHE SHAM BINTI MD LAZIM</v>
      </c>
      <c r="J4804" t="str">
        <f t="shared" si="1951"/>
        <v>MAYBANK / MAYBANK ISLAMIC</v>
      </c>
      <c r="K4804" t="str">
        <f>"108225104185"</f>
        <v>108225104185</v>
      </c>
      <c r="L4804" t="str">
        <f t="shared" si="1958"/>
        <v>04-08-2020</v>
      </c>
      <c r="M4804" t="str">
        <f t="shared" si="1958"/>
        <v>04-08-2020</v>
      </c>
      <c r="N4804" t="str">
        <f t="shared" si="1936"/>
        <v>001105018356</v>
      </c>
      <c r="O4804" t="str">
        <f t="shared" si="1937"/>
        <v>MYR</v>
      </c>
      <c r="P4804" t="str">
        <f t="shared" si="1959"/>
        <v>NIL</v>
      </c>
      <c r="Q4804" t="str">
        <f t="shared" si="1959"/>
        <v>NIL</v>
      </c>
      <c r="R4804" t="str">
        <f t="shared" si="1938"/>
        <v>Accepted</v>
      </c>
      <c r="S4804" t="str">
        <f t="shared" si="1939"/>
        <v>Approved</v>
      </c>
      <c r="T4804" t="str">
        <f t="shared" si="1940"/>
        <v>10.20.8.188</v>
      </c>
      <c r="U4804" t="str">
        <f t="shared" si="1941"/>
        <v>AZRAD UMAR BIN SHAARI</v>
      </c>
      <c r="V4804" t="str">
        <f t="shared" si="1942"/>
        <v>FARHANA BINTI MUSTAPA</v>
      </c>
      <c r="W4804" t="str">
        <f t="shared" si="1943"/>
        <v>04-08-2020</v>
      </c>
      <c r="X4804" t="str">
        <f t="shared" si="1944"/>
        <v>RAZIMAH ANSAR AHMAD</v>
      </c>
      <c r="Y4804" t="str">
        <f t="shared" si="1945"/>
        <v>04-08-2020</v>
      </c>
      <c r="Z4804" t="str">
        <f>"COS10200804 4350"</f>
        <v>COS10200804 4350</v>
      </c>
    </row>
    <row r="4805" spans="1:26" x14ac:dyDescent="0.25">
      <c r="A4805" t="str">
        <f t="shared" si="1956"/>
        <v>04-08-2020 12:49:03</v>
      </c>
      <c r="B4805" t="str">
        <f>"0000806128"</f>
        <v>0000806128</v>
      </c>
      <c r="C4805" t="str">
        <f t="shared" si="1957"/>
        <v>0000805979</v>
      </c>
      <c r="D4805" t="str">
        <f t="shared" si="1933"/>
        <v>73185</v>
      </c>
      <c r="E4805" t="str">
        <f t="shared" si="1934"/>
        <v>KFH-OPERATIONS DEPARTMENT</v>
      </c>
      <c r="F4805" t="str">
        <f t="shared" si="1935"/>
        <v>IBG</v>
      </c>
      <c r="G4805" t="str">
        <f t="shared" si="1950"/>
        <v>Refund COSHARE 10</v>
      </c>
      <c r="H4805" s="2">
        <v>1116</v>
      </c>
      <c r="I4805" t="str">
        <f>"CHE ROSMIZA BINTI CHE AMAT  MUHAMMAD"</f>
        <v>CHE ROSMIZA BINTI CHE AMAT  MUHAMMAD</v>
      </c>
      <c r="J4805" t="str">
        <f t="shared" si="1951"/>
        <v>MAYBANK / MAYBANK ISLAMIC</v>
      </c>
      <c r="K4805" t="str">
        <f>"157072334919"</f>
        <v>157072334919</v>
      </c>
      <c r="L4805" t="str">
        <f t="shared" si="1958"/>
        <v>04-08-2020</v>
      </c>
      <c r="M4805" t="str">
        <f t="shared" si="1958"/>
        <v>04-08-2020</v>
      </c>
      <c r="N4805" t="str">
        <f t="shared" si="1936"/>
        <v>001105018356</v>
      </c>
      <c r="O4805" t="str">
        <f t="shared" si="1937"/>
        <v>MYR</v>
      </c>
      <c r="P4805" t="str">
        <f t="shared" si="1959"/>
        <v>NIL</v>
      </c>
      <c r="Q4805" t="str">
        <f t="shared" si="1959"/>
        <v>NIL</v>
      </c>
      <c r="R4805" t="str">
        <f t="shared" si="1938"/>
        <v>Accepted</v>
      </c>
      <c r="S4805" t="str">
        <f t="shared" si="1939"/>
        <v>Approved</v>
      </c>
      <c r="T4805" t="str">
        <f t="shared" si="1940"/>
        <v>10.20.8.188</v>
      </c>
      <c r="U4805" t="str">
        <f t="shared" si="1941"/>
        <v>AZRAD UMAR BIN SHAARI</v>
      </c>
      <c r="V4805" t="str">
        <f t="shared" si="1942"/>
        <v>FARHANA BINTI MUSTAPA</v>
      </c>
      <c r="W4805" t="str">
        <f t="shared" si="1943"/>
        <v>04-08-2020</v>
      </c>
      <c r="X4805" t="str">
        <f t="shared" si="1944"/>
        <v>RAZIMAH ANSAR AHMAD</v>
      </c>
      <c r="Y4805" t="str">
        <f t="shared" si="1945"/>
        <v>04-08-2020</v>
      </c>
      <c r="Z4805" t="str">
        <f>"COS10200804 4349"</f>
        <v>COS10200804 4349</v>
      </c>
    </row>
    <row r="4806" spans="1:26" x14ac:dyDescent="0.25">
      <c r="A4806" t="str">
        <f t="shared" si="1956"/>
        <v>04-08-2020 12:49:03</v>
      </c>
      <c r="B4806" t="str">
        <f>"0000806127"</f>
        <v>0000806127</v>
      </c>
      <c r="C4806" t="str">
        <f t="shared" si="1957"/>
        <v>0000805979</v>
      </c>
      <c r="D4806" t="str">
        <f t="shared" si="1933"/>
        <v>73185</v>
      </c>
      <c r="E4806" t="str">
        <f t="shared" si="1934"/>
        <v>KFH-OPERATIONS DEPARTMENT</v>
      </c>
      <c r="F4806" t="str">
        <f t="shared" si="1935"/>
        <v>IBG</v>
      </c>
      <c r="G4806" t="str">
        <f t="shared" si="1950"/>
        <v>Refund COSHARE 10</v>
      </c>
      <c r="H4806" s="2">
        <v>206.3</v>
      </c>
      <c r="I4806" t="str">
        <f>"CHE ROSLINA BINTI EMBONG"</f>
        <v>CHE ROSLINA BINTI EMBONG</v>
      </c>
      <c r="J4806" t="str">
        <f t="shared" si="1951"/>
        <v>MAYBANK / MAYBANK ISLAMIC</v>
      </c>
      <c r="K4806" t="str">
        <f>"114301151059"</f>
        <v>114301151059</v>
      </c>
      <c r="L4806" t="str">
        <f t="shared" si="1958"/>
        <v>04-08-2020</v>
      </c>
      <c r="M4806" t="str">
        <f t="shared" si="1958"/>
        <v>04-08-2020</v>
      </c>
      <c r="N4806" t="str">
        <f t="shared" si="1936"/>
        <v>001105018356</v>
      </c>
      <c r="O4806" t="str">
        <f t="shared" si="1937"/>
        <v>MYR</v>
      </c>
      <c r="P4806" t="str">
        <f t="shared" si="1959"/>
        <v>NIL</v>
      </c>
      <c r="Q4806" t="str">
        <f t="shared" si="1959"/>
        <v>NIL</v>
      </c>
      <c r="R4806" t="str">
        <f t="shared" si="1938"/>
        <v>Accepted</v>
      </c>
      <c r="S4806" t="str">
        <f t="shared" si="1939"/>
        <v>Approved</v>
      </c>
      <c r="T4806" t="str">
        <f t="shared" si="1940"/>
        <v>10.20.8.188</v>
      </c>
      <c r="U4806" t="str">
        <f t="shared" si="1941"/>
        <v>AZRAD UMAR BIN SHAARI</v>
      </c>
      <c r="V4806" t="str">
        <f t="shared" si="1942"/>
        <v>FARHANA BINTI MUSTAPA</v>
      </c>
      <c r="W4806" t="str">
        <f t="shared" si="1943"/>
        <v>04-08-2020</v>
      </c>
      <c r="X4806" t="str">
        <f t="shared" si="1944"/>
        <v>RAZIMAH ANSAR AHMAD</v>
      </c>
      <c r="Y4806" t="str">
        <f t="shared" si="1945"/>
        <v>04-08-2020</v>
      </c>
      <c r="Z4806" t="str">
        <f>"COS10200804 4348"</f>
        <v>COS10200804 4348</v>
      </c>
    </row>
    <row r="4807" spans="1:26" x14ac:dyDescent="0.25">
      <c r="A4807" t="str">
        <f t="shared" si="1956"/>
        <v>04-08-2020 12:49:03</v>
      </c>
      <c r="B4807" t="str">
        <f>"0000806126"</f>
        <v>0000806126</v>
      </c>
      <c r="C4807" t="str">
        <f t="shared" si="1957"/>
        <v>0000805979</v>
      </c>
      <c r="D4807" t="str">
        <f t="shared" ref="D4807:D4870" si="1960">"73185"</f>
        <v>73185</v>
      </c>
      <c r="E4807" t="str">
        <f t="shared" ref="E4807:E4870" si="1961">"KFH-OPERATIONS DEPARTMENT"</f>
        <v>KFH-OPERATIONS DEPARTMENT</v>
      </c>
      <c r="F4807" t="str">
        <f t="shared" ref="F4807:F4870" si="1962">"IBG"</f>
        <v>IBG</v>
      </c>
      <c r="G4807" t="str">
        <f t="shared" si="1950"/>
        <v>Refund COSHARE 10</v>
      </c>
      <c r="H4807" s="2">
        <v>1270.3499999999999</v>
      </c>
      <c r="I4807" t="str">
        <f>"CHE NORLEYANTI BINTI CHE OMAR"</f>
        <v>CHE NORLEYANTI BINTI CHE OMAR</v>
      </c>
      <c r="J4807" t="str">
        <f t="shared" si="1951"/>
        <v>MAYBANK / MAYBANK ISLAMIC</v>
      </c>
      <c r="K4807" t="str">
        <f>"151137813028"</f>
        <v>151137813028</v>
      </c>
      <c r="L4807" t="str">
        <f t="shared" ref="L4807:M4826" si="1963">"04-08-2020"</f>
        <v>04-08-2020</v>
      </c>
      <c r="M4807" t="str">
        <f t="shared" si="1963"/>
        <v>04-08-2020</v>
      </c>
      <c r="N4807" t="str">
        <f t="shared" ref="N4807:N4870" si="1964">"001105018356"</f>
        <v>001105018356</v>
      </c>
      <c r="O4807" t="str">
        <f t="shared" ref="O4807:O4870" si="1965">"MYR"</f>
        <v>MYR</v>
      </c>
      <c r="P4807" t="str">
        <f t="shared" ref="P4807:Q4826" si="1966">"NIL"</f>
        <v>NIL</v>
      </c>
      <c r="Q4807" t="str">
        <f t="shared" si="1966"/>
        <v>NIL</v>
      </c>
      <c r="R4807" t="str">
        <f t="shared" ref="R4807:R4870" si="1967">"Accepted"</f>
        <v>Accepted</v>
      </c>
      <c r="S4807" t="str">
        <f t="shared" ref="S4807:S4870" si="1968">"Approved"</f>
        <v>Approved</v>
      </c>
      <c r="T4807" t="str">
        <f t="shared" ref="T4807:T4870" si="1969">"10.20.8.188"</f>
        <v>10.20.8.188</v>
      </c>
      <c r="U4807" t="str">
        <f t="shared" ref="U4807:U4870" si="1970">"AZRAD UMAR BIN SHAARI"</f>
        <v>AZRAD UMAR BIN SHAARI</v>
      </c>
      <c r="V4807" t="str">
        <f t="shared" ref="V4807:V4870" si="1971">"FARHANA BINTI MUSTAPA"</f>
        <v>FARHANA BINTI MUSTAPA</v>
      </c>
      <c r="W4807" t="str">
        <f t="shared" ref="W4807:W4870" si="1972">"04-08-2020"</f>
        <v>04-08-2020</v>
      </c>
      <c r="X4807" t="str">
        <f t="shared" ref="X4807:X4870" si="1973">"RAZIMAH ANSAR AHMAD"</f>
        <v>RAZIMAH ANSAR AHMAD</v>
      </c>
      <c r="Y4807" t="str">
        <f t="shared" ref="Y4807:Y4870" si="1974">"04-08-2020"</f>
        <v>04-08-2020</v>
      </c>
      <c r="Z4807" t="str">
        <f>"COS10200804 4347"</f>
        <v>COS10200804 4347</v>
      </c>
    </row>
    <row r="4808" spans="1:26" x14ac:dyDescent="0.25">
      <c r="A4808" t="str">
        <f t="shared" si="1956"/>
        <v>04-08-2020 12:49:03</v>
      </c>
      <c r="B4808" t="str">
        <f>"0000806125"</f>
        <v>0000806125</v>
      </c>
      <c r="C4808" t="str">
        <f t="shared" si="1957"/>
        <v>0000805979</v>
      </c>
      <c r="D4808" t="str">
        <f t="shared" si="1960"/>
        <v>73185</v>
      </c>
      <c r="E4808" t="str">
        <f t="shared" si="1961"/>
        <v>KFH-OPERATIONS DEPARTMENT</v>
      </c>
      <c r="F4808" t="str">
        <f t="shared" si="1962"/>
        <v>IBG</v>
      </c>
      <c r="G4808" t="str">
        <f t="shared" si="1950"/>
        <v>Refund COSHARE 10</v>
      </c>
      <c r="H4808" s="2">
        <v>294.7</v>
      </c>
      <c r="I4808" t="str">
        <f>"CHE JULAIDA BINTI CHE OMAR"</f>
        <v>CHE JULAIDA BINTI CHE OMAR</v>
      </c>
      <c r="J4808" t="str">
        <f t="shared" si="1951"/>
        <v>MAYBANK / MAYBANK ISLAMIC</v>
      </c>
      <c r="K4808" t="str">
        <f>"156123627184"</f>
        <v>156123627184</v>
      </c>
      <c r="L4808" t="str">
        <f t="shared" si="1963"/>
        <v>04-08-2020</v>
      </c>
      <c r="M4808" t="str">
        <f t="shared" si="1963"/>
        <v>04-08-2020</v>
      </c>
      <c r="N4808" t="str">
        <f t="shared" si="1964"/>
        <v>001105018356</v>
      </c>
      <c r="O4808" t="str">
        <f t="shared" si="1965"/>
        <v>MYR</v>
      </c>
      <c r="P4808" t="str">
        <f t="shared" si="1966"/>
        <v>NIL</v>
      </c>
      <c r="Q4808" t="str">
        <f t="shared" si="1966"/>
        <v>NIL</v>
      </c>
      <c r="R4808" t="str">
        <f t="shared" si="1967"/>
        <v>Accepted</v>
      </c>
      <c r="S4808" t="str">
        <f t="shared" si="1968"/>
        <v>Approved</v>
      </c>
      <c r="T4808" t="str">
        <f t="shared" si="1969"/>
        <v>10.20.8.188</v>
      </c>
      <c r="U4808" t="str">
        <f t="shared" si="1970"/>
        <v>AZRAD UMAR BIN SHAARI</v>
      </c>
      <c r="V4808" t="str">
        <f t="shared" si="1971"/>
        <v>FARHANA BINTI MUSTAPA</v>
      </c>
      <c r="W4808" t="str">
        <f t="shared" si="1972"/>
        <v>04-08-2020</v>
      </c>
      <c r="X4808" t="str">
        <f t="shared" si="1973"/>
        <v>RAZIMAH ANSAR AHMAD</v>
      </c>
      <c r="Y4808" t="str">
        <f t="shared" si="1974"/>
        <v>04-08-2020</v>
      </c>
      <c r="Z4808" t="str">
        <f>"COS10200804 4346"</f>
        <v>COS10200804 4346</v>
      </c>
    </row>
    <row r="4809" spans="1:26" x14ac:dyDescent="0.25">
      <c r="A4809" t="str">
        <f t="shared" si="1956"/>
        <v>04-08-2020 12:49:03</v>
      </c>
      <c r="B4809" t="str">
        <f>"0000806124"</f>
        <v>0000806124</v>
      </c>
      <c r="C4809" t="str">
        <f t="shared" si="1957"/>
        <v>0000805979</v>
      </c>
      <c r="D4809" t="str">
        <f t="shared" si="1960"/>
        <v>73185</v>
      </c>
      <c r="E4809" t="str">
        <f t="shared" si="1961"/>
        <v>KFH-OPERATIONS DEPARTMENT</v>
      </c>
      <c r="F4809" t="str">
        <f t="shared" si="1962"/>
        <v>IBG</v>
      </c>
      <c r="G4809" t="str">
        <f t="shared" si="1950"/>
        <v>Refund COSHARE 10</v>
      </c>
      <c r="H4809" s="2">
        <v>1830</v>
      </c>
      <c r="I4809" t="str">
        <f>"CHE FAIZATULAKMAL BINTI BAHARUDDIN"</f>
        <v>CHE FAIZATULAKMAL BINTI BAHARUDDIN</v>
      </c>
      <c r="J4809" t="str">
        <f t="shared" si="1951"/>
        <v>MAYBANK / MAYBANK ISLAMIC</v>
      </c>
      <c r="K4809" t="str">
        <f>"161024384052"</f>
        <v>161024384052</v>
      </c>
      <c r="L4809" t="str">
        <f t="shared" si="1963"/>
        <v>04-08-2020</v>
      </c>
      <c r="M4809" t="str">
        <f t="shared" si="1963"/>
        <v>04-08-2020</v>
      </c>
      <c r="N4809" t="str">
        <f t="shared" si="1964"/>
        <v>001105018356</v>
      </c>
      <c r="O4809" t="str">
        <f t="shared" si="1965"/>
        <v>MYR</v>
      </c>
      <c r="P4809" t="str">
        <f t="shared" si="1966"/>
        <v>NIL</v>
      </c>
      <c r="Q4809" t="str">
        <f t="shared" si="1966"/>
        <v>NIL</v>
      </c>
      <c r="R4809" t="str">
        <f t="shared" si="1967"/>
        <v>Accepted</v>
      </c>
      <c r="S4809" t="str">
        <f t="shared" si="1968"/>
        <v>Approved</v>
      </c>
      <c r="T4809" t="str">
        <f t="shared" si="1969"/>
        <v>10.20.8.188</v>
      </c>
      <c r="U4809" t="str">
        <f t="shared" si="1970"/>
        <v>AZRAD UMAR BIN SHAARI</v>
      </c>
      <c r="V4809" t="str">
        <f t="shared" si="1971"/>
        <v>FARHANA BINTI MUSTAPA</v>
      </c>
      <c r="W4809" t="str">
        <f t="shared" si="1972"/>
        <v>04-08-2020</v>
      </c>
      <c r="X4809" t="str">
        <f t="shared" si="1973"/>
        <v>RAZIMAH ANSAR AHMAD</v>
      </c>
      <c r="Y4809" t="str">
        <f t="shared" si="1974"/>
        <v>04-08-2020</v>
      </c>
      <c r="Z4809" t="str">
        <f>"COS10200804 4345"</f>
        <v>COS10200804 4345</v>
      </c>
    </row>
    <row r="4810" spans="1:26" x14ac:dyDescent="0.25">
      <c r="A4810" t="str">
        <f t="shared" si="1956"/>
        <v>04-08-2020 12:49:03</v>
      </c>
      <c r="B4810" t="str">
        <f>"0000806123"</f>
        <v>0000806123</v>
      </c>
      <c r="C4810" t="str">
        <f t="shared" si="1957"/>
        <v>0000805979</v>
      </c>
      <c r="D4810" t="str">
        <f t="shared" si="1960"/>
        <v>73185</v>
      </c>
      <c r="E4810" t="str">
        <f t="shared" si="1961"/>
        <v>KFH-OPERATIONS DEPARTMENT</v>
      </c>
      <c r="F4810" t="str">
        <f t="shared" si="1962"/>
        <v>IBG</v>
      </c>
      <c r="G4810" t="str">
        <f t="shared" si="1950"/>
        <v>Refund COSHARE 10</v>
      </c>
      <c r="H4810" s="2">
        <v>1138</v>
      </c>
      <c r="I4810" t="str">
        <f>"CHE FADZLINA BINTI ABU BAKAR"</f>
        <v>CHE FADZLINA BINTI ABU BAKAR</v>
      </c>
      <c r="J4810" t="str">
        <f t="shared" si="1951"/>
        <v>MAYBANK / MAYBANK ISLAMIC</v>
      </c>
      <c r="K4810" t="str">
        <f>"152031576642"</f>
        <v>152031576642</v>
      </c>
      <c r="L4810" t="str">
        <f t="shared" si="1963"/>
        <v>04-08-2020</v>
      </c>
      <c r="M4810" t="str">
        <f t="shared" si="1963"/>
        <v>04-08-2020</v>
      </c>
      <c r="N4810" t="str">
        <f t="shared" si="1964"/>
        <v>001105018356</v>
      </c>
      <c r="O4810" t="str">
        <f t="shared" si="1965"/>
        <v>MYR</v>
      </c>
      <c r="P4810" t="str">
        <f t="shared" si="1966"/>
        <v>NIL</v>
      </c>
      <c r="Q4810" t="str">
        <f t="shared" si="1966"/>
        <v>NIL</v>
      </c>
      <c r="R4810" t="str">
        <f t="shared" si="1967"/>
        <v>Accepted</v>
      </c>
      <c r="S4810" t="str">
        <f t="shared" si="1968"/>
        <v>Approved</v>
      </c>
      <c r="T4810" t="str">
        <f t="shared" si="1969"/>
        <v>10.20.8.188</v>
      </c>
      <c r="U4810" t="str">
        <f t="shared" si="1970"/>
        <v>AZRAD UMAR BIN SHAARI</v>
      </c>
      <c r="V4810" t="str">
        <f t="shared" si="1971"/>
        <v>FARHANA BINTI MUSTAPA</v>
      </c>
      <c r="W4810" t="str">
        <f t="shared" si="1972"/>
        <v>04-08-2020</v>
      </c>
      <c r="X4810" t="str">
        <f t="shared" si="1973"/>
        <v>RAZIMAH ANSAR AHMAD</v>
      </c>
      <c r="Y4810" t="str">
        <f t="shared" si="1974"/>
        <v>04-08-2020</v>
      </c>
      <c r="Z4810" t="str">
        <f>"COS10200804 4344"</f>
        <v>COS10200804 4344</v>
      </c>
    </row>
    <row r="4811" spans="1:26" x14ac:dyDescent="0.25">
      <c r="A4811" t="str">
        <f t="shared" si="1956"/>
        <v>04-08-2020 12:49:03</v>
      </c>
      <c r="B4811" t="str">
        <f>"0000806122"</f>
        <v>0000806122</v>
      </c>
      <c r="C4811" t="str">
        <f t="shared" si="1957"/>
        <v>0000805979</v>
      </c>
      <c r="D4811" t="str">
        <f t="shared" si="1960"/>
        <v>73185</v>
      </c>
      <c r="E4811" t="str">
        <f t="shared" si="1961"/>
        <v>KFH-OPERATIONS DEPARTMENT</v>
      </c>
      <c r="F4811" t="str">
        <f t="shared" si="1962"/>
        <v>IBG</v>
      </c>
      <c r="G4811" t="str">
        <f t="shared" si="1950"/>
        <v>Refund COSHARE 10</v>
      </c>
      <c r="H4811" s="2">
        <v>212.9</v>
      </c>
      <c r="I4811" t="str">
        <f>"CHE AZIZON BINTI MOHAMED ARIFFIN"</f>
        <v>CHE AZIZON BINTI MOHAMED ARIFFIN</v>
      </c>
      <c r="J4811" t="str">
        <f t="shared" si="1951"/>
        <v>MAYBANK / MAYBANK ISLAMIC</v>
      </c>
      <c r="K4811" t="str">
        <f>"155078360399"</f>
        <v>155078360399</v>
      </c>
      <c r="L4811" t="str">
        <f t="shared" si="1963"/>
        <v>04-08-2020</v>
      </c>
      <c r="M4811" t="str">
        <f t="shared" si="1963"/>
        <v>04-08-2020</v>
      </c>
      <c r="N4811" t="str">
        <f t="shared" si="1964"/>
        <v>001105018356</v>
      </c>
      <c r="O4811" t="str">
        <f t="shared" si="1965"/>
        <v>MYR</v>
      </c>
      <c r="P4811" t="str">
        <f t="shared" si="1966"/>
        <v>NIL</v>
      </c>
      <c r="Q4811" t="str">
        <f t="shared" si="1966"/>
        <v>NIL</v>
      </c>
      <c r="R4811" t="str">
        <f t="shared" si="1967"/>
        <v>Accepted</v>
      </c>
      <c r="S4811" t="str">
        <f t="shared" si="1968"/>
        <v>Approved</v>
      </c>
      <c r="T4811" t="str">
        <f t="shared" si="1969"/>
        <v>10.20.8.188</v>
      </c>
      <c r="U4811" t="str">
        <f t="shared" si="1970"/>
        <v>AZRAD UMAR BIN SHAARI</v>
      </c>
      <c r="V4811" t="str">
        <f t="shared" si="1971"/>
        <v>FARHANA BINTI MUSTAPA</v>
      </c>
      <c r="W4811" t="str">
        <f t="shared" si="1972"/>
        <v>04-08-2020</v>
      </c>
      <c r="X4811" t="str">
        <f t="shared" si="1973"/>
        <v>RAZIMAH ANSAR AHMAD</v>
      </c>
      <c r="Y4811" t="str">
        <f t="shared" si="1974"/>
        <v>04-08-2020</v>
      </c>
      <c r="Z4811" t="str">
        <f>"COS10200804 4343"</f>
        <v>COS10200804 4343</v>
      </c>
    </row>
    <row r="4812" spans="1:26" x14ac:dyDescent="0.25">
      <c r="A4812" t="str">
        <f t="shared" si="1956"/>
        <v>04-08-2020 12:49:03</v>
      </c>
      <c r="B4812" t="str">
        <f>"0000806121"</f>
        <v>0000806121</v>
      </c>
      <c r="C4812" t="str">
        <f t="shared" si="1957"/>
        <v>0000805979</v>
      </c>
      <c r="D4812" t="str">
        <f t="shared" si="1960"/>
        <v>73185</v>
      </c>
      <c r="E4812" t="str">
        <f t="shared" si="1961"/>
        <v>KFH-OPERATIONS DEPARTMENT</v>
      </c>
      <c r="F4812" t="str">
        <f t="shared" si="1962"/>
        <v>IBG</v>
      </c>
      <c r="G4812" t="str">
        <f t="shared" ref="G4812:G4875" si="1975">"Refund COSHARE 10"</f>
        <v>Refund COSHARE 10</v>
      </c>
      <c r="H4812" s="2">
        <v>293.85000000000002</v>
      </c>
      <c r="I4812" t="str">
        <f>"CHE ASIRUL BIN CHE AWANG"</f>
        <v>CHE ASIRUL BIN CHE AWANG</v>
      </c>
      <c r="J4812" t="str">
        <f t="shared" si="1951"/>
        <v>MAYBANK / MAYBANK ISLAMIC</v>
      </c>
      <c r="K4812" t="str">
        <f>"103015686584"</f>
        <v>103015686584</v>
      </c>
      <c r="L4812" t="str">
        <f t="shared" si="1963"/>
        <v>04-08-2020</v>
      </c>
      <c r="M4812" t="str">
        <f t="shared" si="1963"/>
        <v>04-08-2020</v>
      </c>
      <c r="N4812" t="str">
        <f t="shared" si="1964"/>
        <v>001105018356</v>
      </c>
      <c r="O4812" t="str">
        <f t="shared" si="1965"/>
        <v>MYR</v>
      </c>
      <c r="P4812" t="str">
        <f t="shared" si="1966"/>
        <v>NIL</v>
      </c>
      <c r="Q4812" t="str">
        <f t="shared" si="1966"/>
        <v>NIL</v>
      </c>
      <c r="R4812" t="str">
        <f t="shared" si="1967"/>
        <v>Accepted</v>
      </c>
      <c r="S4812" t="str">
        <f t="shared" si="1968"/>
        <v>Approved</v>
      </c>
      <c r="T4812" t="str">
        <f t="shared" si="1969"/>
        <v>10.20.8.188</v>
      </c>
      <c r="U4812" t="str">
        <f t="shared" si="1970"/>
        <v>AZRAD UMAR BIN SHAARI</v>
      </c>
      <c r="V4812" t="str">
        <f t="shared" si="1971"/>
        <v>FARHANA BINTI MUSTAPA</v>
      </c>
      <c r="W4812" t="str">
        <f t="shared" si="1972"/>
        <v>04-08-2020</v>
      </c>
      <c r="X4812" t="str">
        <f t="shared" si="1973"/>
        <v>RAZIMAH ANSAR AHMAD</v>
      </c>
      <c r="Y4812" t="str">
        <f t="shared" si="1974"/>
        <v>04-08-2020</v>
      </c>
      <c r="Z4812" t="str">
        <f>"COS10200804 4342"</f>
        <v>COS10200804 4342</v>
      </c>
    </row>
    <row r="4813" spans="1:26" x14ac:dyDescent="0.25">
      <c r="A4813" t="str">
        <f t="shared" si="1956"/>
        <v>04-08-2020 12:49:03</v>
      </c>
      <c r="B4813" t="str">
        <f>"0000806120"</f>
        <v>0000806120</v>
      </c>
      <c r="C4813" t="str">
        <f t="shared" si="1957"/>
        <v>0000805979</v>
      </c>
      <c r="D4813" t="str">
        <f t="shared" si="1960"/>
        <v>73185</v>
      </c>
      <c r="E4813" t="str">
        <f t="shared" si="1961"/>
        <v>KFH-OPERATIONS DEPARTMENT</v>
      </c>
      <c r="F4813" t="str">
        <f t="shared" si="1962"/>
        <v>IBG</v>
      </c>
      <c r="G4813" t="str">
        <f t="shared" si="1975"/>
        <v>Refund COSHARE 10</v>
      </c>
      <c r="H4813" s="2">
        <v>129.30000000000001</v>
      </c>
      <c r="I4813" t="str">
        <f>"CHE ASIAH BINTI HARUN"</f>
        <v>CHE ASIAH BINTI HARUN</v>
      </c>
      <c r="J4813" t="str">
        <f t="shared" si="1951"/>
        <v>MAYBANK / MAYBANK ISLAMIC</v>
      </c>
      <c r="K4813" t="str">
        <f>"153010202877"</f>
        <v>153010202877</v>
      </c>
      <c r="L4813" t="str">
        <f t="shared" si="1963"/>
        <v>04-08-2020</v>
      </c>
      <c r="M4813" t="str">
        <f t="shared" si="1963"/>
        <v>04-08-2020</v>
      </c>
      <c r="N4813" t="str">
        <f t="shared" si="1964"/>
        <v>001105018356</v>
      </c>
      <c r="O4813" t="str">
        <f t="shared" si="1965"/>
        <v>MYR</v>
      </c>
      <c r="P4813" t="str">
        <f t="shared" si="1966"/>
        <v>NIL</v>
      </c>
      <c r="Q4813" t="str">
        <f t="shared" si="1966"/>
        <v>NIL</v>
      </c>
      <c r="R4813" t="str">
        <f t="shared" si="1967"/>
        <v>Accepted</v>
      </c>
      <c r="S4813" t="str">
        <f t="shared" si="1968"/>
        <v>Approved</v>
      </c>
      <c r="T4813" t="str">
        <f t="shared" si="1969"/>
        <v>10.20.8.188</v>
      </c>
      <c r="U4813" t="str">
        <f t="shared" si="1970"/>
        <v>AZRAD UMAR BIN SHAARI</v>
      </c>
      <c r="V4813" t="str">
        <f t="shared" si="1971"/>
        <v>FARHANA BINTI MUSTAPA</v>
      </c>
      <c r="W4813" t="str">
        <f t="shared" si="1972"/>
        <v>04-08-2020</v>
      </c>
      <c r="X4813" t="str">
        <f t="shared" si="1973"/>
        <v>RAZIMAH ANSAR AHMAD</v>
      </c>
      <c r="Y4813" t="str">
        <f t="shared" si="1974"/>
        <v>04-08-2020</v>
      </c>
      <c r="Z4813" t="str">
        <f>"COS10200804 4341"</f>
        <v>COS10200804 4341</v>
      </c>
    </row>
    <row r="4814" spans="1:26" x14ac:dyDescent="0.25">
      <c r="A4814" t="str">
        <f t="shared" si="1956"/>
        <v>04-08-2020 12:49:03</v>
      </c>
      <c r="B4814" t="str">
        <f>"0000806119"</f>
        <v>0000806119</v>
      </c>
      <c r="C4814" t="str">
        <f t="shared" si="1957"/>
        <v>0000805979</v>
      </c>
      <c r="D4814" t="str">
        <f t="shared" si="1960"/>
        <v>73185</v>
      </c>
      <c r="E4814" t="str">
        <f t="shared" si="1961"/>
        <v>KFH-OPERATIONS DEPARTMENT</v>
      </c>
      <c r="F4814" t="str">
        <f t="shared" si="1962"/>
        <v>IBG</v>
      </c>
      <c r="G4814" t="str">
        <f t="shared" si="1975"/>
        <v>Refund COSHARE 10</v>
      </c>
      <c r="H4814" s="2">
        <v>193.1</v>
      </c>
      <c r="I4814" t="str">
        <f>"CHANARAKASH BINTI NURDIN"</f>
        <v>CHANARAKASH BINTI NURDIN</v>
      </c>
      <c r="J4814" t="str">
        <f t="shared" si="1951"/>
        <v>MAYBANK / MAYBANK ISLAMIC</v>
      </c>
      <c r="K4814" t="str">
        <f>"160027255261"</f>
        <v>160027255261</v>
      </c>
      <c r="L4814" t="str">
        <f t="shared" si="1963"/>
        <v>04-08-2020</v>
      </c>
      <c r="M4814" t="str">
        <f t="shared" si="1963"/>
        <v>04-08-2020</v>
      </c>
      <c r="N4814" t="str">
        <f t="shared" si="1964"/>
        <v>001105018356</v>
      </c>
      <c r="O4814" t="str">
        <f t="shared" si="1965"/>
        <v>MYR</v>
      </c>
      <c r="P4814" t="str">
        <f t="shared" si="1966"/>
        <v>NIL</v>
      </c>
      <c r="Q4814" t="str">
        <f t="shared" si="1966"/>
        <v>NIL</v>
      </c>
      <c r="R4814" t="str">
        <f t="shared" si="1967"/>
        <v>Accepted</v>
      </c>
      <c r="S4814" t="str">
        <f t="shared" si="1968"/>
        <v>Approved</v>
      </c>
      <c r="T4814" t="str">
        <f t="shared" si="1969"/>
        <v>10.20.8.188</v>
      </c>
      <c r="U4814" t="str">
        <f t="shared" si="1970"/>
        <v>AZRAD UMAR BIN SHAARI</v>
      </c>
      <c r="V4814" t="str">
        <f t="shared" si="1971"/>
        <v>FARHANA BINTI MUSTAPA</v>
      </c>
      <c r="W4814" t="str">
        <f t="shared" si="1972"/>
        <v>04-08-2020</v>
      </c>
      <c r="X4814" t="str">
        <f t="shared" si="1973"/>
        <v>RAZIMAH ANSAR AHMAD</v>
      </c>
      <c r="Y4814" t="str">
        <f t="shared" si="1974"/>
        <v>04-08-2020</v>
      </c>
      <c r="Z4814" t="str">
        <f>"COS10200804 4340"</f>
        <v>COS10200804 4340</v>
      </c>
    </row>
    <row r="4815" spans="1:26" x14ac:dyDescent="0.25">
      <c r="A4815" t="str">
        <f t="shared" si="1956"/>
        <v>04-08-2020 12:49:03</v>
      </c>
      <c r="B4815" t="str">
        <f>"0000806118"</f>
        <v>0000806118</v>
      </c>
      <c r="C4815" t="str">
        <f t="shared" si="1957"/>
        <v>0000805979</v>
      </c>
      <c r="D4815" t="str">
        <f t="shared" si="1960"/>
        <v>73185</v>
      </c>
      <c r="E4815" t="str">
        <f t="shared" si="1961"/>
        <v>KFH-OPERATIONS DEPARTMENT</v>
      </c>
      <c r="F4815" t="str">
        <f t="shared" si="1962"/>
        <v>IBG</v>
      </c>
      <c r="G4815" t="str">
        <f t="shared" si="1975"/>
        <v>Refund COSHARE 10</v>
      </c>
      <c r="H4815" s="2">
        <v>1270.3499999999999</v>
      </c>
      <c r="I4815" t="str">
        <f>"CHAN WEI WEI"</f>
        <v>CHAN WEI WEI</v>
      </c>
      <c r="J4815" t="str">
        <f t="shared" si="1951"/>
        <v>MAYBANK / MAYBANK ISLAMIC</v>
      </c>
      <c r="K4815" t="str">
        <f>"101217773969"</f>
        <v>101217773969</v>
      </c>
      <c r="L4815" t="str">
        <f t="shared" si="1963"/>
        <v>04-08-2020</v>
      </c>
      <c r="M4815" t="str">
        <f t="shared" si="1963"/>
        <v>04-08-2020</v>
      </c>
      <c r="N4815" t="str">
        <f t="shared" si="1964"/>
        <v>001105018356</v>
      </c>
      <c r="O4815" t="str">
        <f t="shared" si="1965"/>
        <v>MYR</v>
      </c>
      <c r="P4815" t="str">
        <f t="shared" si="1966"/>
        <v>NIL</v>
      </c>
      <c r="Q4815" t="str">
        <f t="shared" si="1966"/>
        <v>NIL</v>
      </c>
      <c r="R4815" t="str">
        <f t="shared" si="1967"/>
        <v>Accepted</v>
      </c>
      <c r="S4815" t="str">
        <f t="shared" si="1968"/>
        <v>Approved</v>
      </c>
      <c r="T4815" t="str">
        <f t="shared" si="1969"/>
        <v>10.20.8.188</v>
      </c>
      <c r="U4815" t="str">
        <f t="shared" si="1970"/>
        <v>AZRAD UMAR BIN SHAARI</v>
      </c>
      <c r="V4815" t="str">
        <f t="shared" si="1971"/>
        <v>FARHANA BINTI MUSTAPA</v>
      </c>
      <c r="W4815" t="str">
        <f t="shared" si="1972"/>
        <v>04-08-2020</v>
      </c>
      <c r="X4815" t="str">
        <f t="shared" si="1973"/>
        <v>RAZIMAH ANSAR AHMAD</v>
      </c>
      <c r="Y4815" t="str">
        <f t="shared" si="1974"/>
        <v>04-08-2020</v>
      </c>
      <c r="Z4815" t="str">
        <f>"COS10200804 4339"</f>
        <v>COS10200804 4339</v>
      </c>
    </row>
    <row r="4816" spans="1:26" x14ac:dyDescent="0.25">
      <c r="A4816" t="str">
        <f t="shared" si="1956"/>
        <v>04-08-2020 12:49:03</v>
      </c>
      <c r="B4816" t="str">
        <f>"0000806117"</f>
        <v>0000806117</v>
      </c>
      <c r="C4816" t="str">
        <f t="shared" si="1957"/>
        <v>0000805979</v>
      </c>
      <c r="D4816" t="str">
        <f t="shared" si="1960"/>
        <v>73185</v>
      </c>
      <c r="E4816" t="str">
        <f t="shared" si="1961"/>
        <v>KFH-OPERATIONS DEPARTMENT</v>
      </c>
      <c r="F4816" t="str">
        <f t="shared" si="1962"/>
        <v>IBG</v>
      </c>
      <c r="G4816" t="str">
        <f t="shared" si="1975"/>
        <v>Refund COSHARE 10</v>
      </c>
      <c r="H4816" s="2">
        <v>144</v>
      </c>
      <c r="I4816" t="str">
        <f>"CHAIRIL ANWAR SIBADON PAHIR"</f>
        <v>CHAIRIL ANWAR SIBADON PAHIR</v>
      </c>
      <c r="J4816" t="str">
        <f t="shared" si="1951"/>
        <v>MAYBANK / MAYBANK ISLAMIC</v>
      </c>
      <c r="K4816" t="str">
        <f>"110014114806"</f>
        <v>110014114806</v>
      </c>
      <c r="L4816" t="str">
        <f t="shared" si="1963"/>
        <v>04-08-2020</v>
      </c>
      <c r="M4816" t="str">
        <f t="shared" si="1963"/>
        <v>04-08-2020</v>
      </c>
      <c r="N4816" t="str">
        <f t="shared" si="1964"/>
        <v>001105018356</v>
      </c>
      <c r="O4816" t="str">
        <f t="shared" si="1965"/>
        <v>MYR</v>
      </c>
      <c r="P4816" t="str">
        <f t="shared" si="1966"/>
        <v>NIL</v>
      </c>
      <c r="Q4816" t="str">
        <f t="shared" si="1966"/>
        <v>NIL</v>
      </c>
      <c r="R4816" t="str">
        <f t="shared" si="1967"/>
        <v>Accepted</v>
      </c>
      <c r="S4816" t="str">
        <f t="shared" si="1968"/>
        <v>Approved</v>
      </c>
      <c r="T4816" t="str">
        <f t="shared" si="1969"/>
        <v>10.20.8.188</v>
      </c>
      <c r="U4816" t="str">
        <f t="shared" si="1970"/>
        <v>AZRAD UMAR BIN SHAARI</v>
      </c>
      <c r="V4816" t="str">
        <f t="shared" si="1971"/>
        <v>FARHANA BINTI MUSTAPA</v>
      </c>
      <c r="W4816" t="str">
        <f t="shared" si="1972"/>
        <v>04-08-2020</v>
      </c>
      <c r="X4816" t="str">
        <f t="shared" si="1973"/>
        <v>RAZIMAH ANSAR AHMAD</v>
      </c>
      <c r="Y4816" t="str">
        <f t="shared" si="1974"/>
        <v>04-08-2020</v>
      </c>
      <c r="Z4816" t="str">
        <f>"COS10200804 4338"</f>
        <v>COS10200804 4338</v>
      </c>
    </row>
    <row r="4817" spans="1:26" x14ac:dyDescent="0.25">
      <c r="A4817" t="str">
        <f t="shared" si="1956"/>
        <v>04-08-2020 12:49:03</v>
      </c>
      <c r="B4817" t="str">
        <f>"0000806116"</f>
        <v>0000806116</v>
      </c>
      <c r="C4817" t="str">
        <f t="shared" si="1957"/>
        <v>0000805979</v>
      </c>
      <c r="D4817" t="str">
        <f t="shared" si="1960"/>
        <v>73185</v>
      </c>
      <c r="E4817" t="str">
        <f t="shared" si="1961"/>
        <v>KFH-OPERATIONS DEPARTMENT</v>
      </c>
      <c r="F4817" t="str">
        <f t="shared" si="1962"/>
        <v>IBG</v>
      </c>
      <c r="G4817" t="str">
        <f t="shared" si="1975"/>
        <v>Refund COSHARE 10</v>
      </c>
      <c r="H4817" s="2">
        <v>67.2</v>
      </c>
      <c r="I4817" t="str">
        <f>"CATRINA BINTI HASSAN"</f>
        <v>CATRINA BINTI HASSAN</v>
      </c>
      <c r="J4817" t="str">
        <f t="shared" ref="J4817:J4880" si="1976">"MAYBANK / MAYBANK ISLAMIC"</f>
        <v>MAYBANK / MAYBANK ISLAMIC</v>
      </c>
      <c r="K4817" t="str">
        <f>"160045306362"</f>
        <v>160045306362</v>
      </c>
      <c r="L4817" t="str">
        <f t="shared" si="1963"/>
        <v>04-08-2020</v>
      </c>
      <c r="M4817" t="str">
        <f t="shared" si="1963"/>
        <v>04-08-2020</v>
      </c>
      <c r="N4817" t="str">
        <f t="shared" si="1964"/>
        <v>001105018356</v>
      </c>
      <c r="O4817" t="str">
        <f t="shared" si="1965"/>
        <v>MYR</v>
      </c>
      <c r="P4817" t="str">
        <f t="shared" si="1966"/>
        <v>NIL</v>
      </c>
      <c r="Q4817" t="str">
        <f t="shared" si="1966"/>
        <v>NIL</v>
      </c>
      <c r="R4817" t="str">
        <f t="shared" si="1967"/>
        <v>Accepted</v>
      </c>
      <c r="S4817" t="str">
        <f t="shared" si="1968"/>
        <v>Approved</v>
      </c>
      <c r="T4817" t="str">
        <f t="shared" si="1969"/>
        <v>10.20.8.188</v>
      </c>
      <c r="U4817" t="str">
        <f t="shared" si="1970"/>
        <v>AZRAD UMAR BIN SHAARI</v>
      </c>
      <c r="V4817" t="str">
        <f t="shared" si="1971"/>
        <v>FARHANA BINTI MUSTAPA</v>
      </c>
      <c r="W4817" t="str">
        <f t="shared" si="1972"/>
        <v>04-08-2020</v>
      </c>
      <c r="X4817" t="str">
        <f t="shared" si="1973"/>
        <v>RAZIMAH ANSAR AHMAD</v>
      </c>
      <c r="Y4817" t="str">
        <f t="shared" si="1974"/>
        <v>04-08-2020</v>
      </c>
      <c r="Z4817" t="str">
        <f>"COS10200804 4337"</f>
        <v>COS10200804 4337</v>
      </c>
    </row>
    <row r="4818" spans="1:26" x14ac:dyDescent="0.25">
      <c r="A4818" t="str">
        <f t="shared" ref="A4818:A4849" si="1977">"04-08-2020 12:49:03"</f>
        <v>04-08-2020 12:49:03</v>
      </c>
      <c r="B4818" t="str">
        <f>"0000806115"</f>
        <v>0000806115</v>
      </c>
      <c r="C4818" t="str">
        <f t="shared" ref="C4818:C4849" si="1978">"0000805979"</f>
        <v>0000805979</v>
      </c>
      <c r="D4818" t="str">
        <f t="shared" si="1960"/>
        <v>73185</v>
      </c>
      <c r="E4818" t="str">
        <f t="shared" si="1961"/>
        <v>KFH-OPERATIONS DEPARTMENT</v>
      </c>
      <c r="F4818" t="str">
        <f t="shared" si="1962"/>
        <v>IBG</v>
      </c>
      <c r="G4818" t="str">
        <f t="shared" si="1975"/>
        <v>Refund COSHARE 10</v>
      </c>
      <c r="H4818" s="2">
        <v>931.85</v>
      </c>
      <c r="I4818" t="str">
        <f>"CATHERINE JOHN"</f>
        <v>CATHERINE JOHN</v>
      </c>
      <c r="J4818" t="str">
        <f t="shared" si="1976"/>
        <v>MAYBANK / MAYBANK ISLAMIC</v>
      </c>
      <c r="K4818" t="str">
        <f>"110032025675"</f>
        <v>110032025675</v>
      </c>
      <c r="L4818" t="str">
        <f t="shared" si="1963"/>
        <v>04-08-2020</v>
      </c>
      <c r="M4818" t="str">
        <f t="shared" si="1963"/>
        <v>04-08-2020</v>
      </c>
      <c r="N4818" t="str">
        <f t="shared" si="1964"/>
        <v>001105018356</v>
      </c>
      <c r="O4818" t="str">
        <f t="shared" si="1965"/>
        <v>MYR</v>
      </c>
      <c r="P4818" t="str">
        <f t="shared" si="1966"/>
        <v>NIL</v>
      </c>
      <c r="Q4818" t="str">
        <f t="shared" si="1966"/>
        <v>NIL</v>
      </c>
      <c r="R4818" t="str">
        <f t="shared" si="1967"/>
        <v>Accepted</v>
      </c>
      <c r="S4818" t="str">
        <f t="shared" si="1968"/>
        <v>Approved</v>
      </c>
      <c r="T4818" t="str">
        <f t="shared" si="1969"/>
        <v>10.20.8.188</v>
      </c>
      <c r="U4818" t="str">
        <f t="shared" si="1970"/>
        <v>AZRAD UMAR BIN SHAARI</v>
      </c>
      <c r="V4818" t="str">
        <f t="shared" si="1971"/>
        <v>FARHANA BINTI MUSTAPA</v>
      </c>
      <c r="W4818" t="str">
        <f t="shared" si="1972"/>
        <v>04-08-2020</v>
      </c>
      <c r="X4818" t="str">
        <f t="shared" si="1973"/>
        <v>RAZIMAH ANSAR AHMAD</v>
      </c>
      <c r="Y4818" t="str">
        <f t="shared" si="1974"/>
        <v>04-08-2020</v>
      </c>
      <c r="Z4818" t="str">
        <f>"COS10200804 4336"</f>
        <v>COS10200804 4336</v>
      </c>
    </row>
    <row r="4819" spans="1:26" x14ac:dyDescent="0.25">
      <c r="A4819" t="str">
        <f t="shared" si="1977"/>
        <v>04-08-2020 12:49:03</v>
      </c>
      <c r="B4819" t="str">
        <f>"0000806114"</f>
        <v>0000806114</v>
      </c>
      <c r="C4819" t="str">
        <f t="shared" si="1978"/>
        <v>0000805979</v>
      </c>
      <c r="D4819" t="str">
        <f t="shared" si="1960"/>
        <v>73185</v>
      </c>
      <c r="E4819" t="str">
        <f t="shared" si="1961"/>
        <v>KFH-OPERATIONS DEPARTMENT</v>
      </c>
      <c r="F4819" t="str">
        <f t="shared" si="1962"/>
        <v>IBG</v>
      </c>
      <c r="G4819" t="str">
        <f t="shared" si="1975"/>
        <v>Refund COSHARE 10</v>
      </c>
      <c r="H4819" s="2">
        <v>394.6</v>
      </c>
      <c r="I4819" t="str">
        <f>"CATHERINE ANAK JANG"</f>
        <v>CATHERINE ANAK JANG</v>
      </c>
      <c r="J4819" t="str">
        <f t="shared" si="1976"/>
        <v>MAYBANK / MAYBANK ISLAMIC</v>
      </c>
      <c r="K4819" t="str">
        <f>"111066030806"</f>
        <v>111066030806</v>
      </c>
      <c r="L4819" t="str">
        <f t="shared" si="1963"/>
        <v>04-08-2020</v>
      </c>
      <c r="M4819" t="str">
        <f t="shared" si="1963"/>
        <v>04-08-2020</v>
      </c>
      <c r="N4819" t="str">
        <f t="shared" si="1964"/>
        <v>001105018356</v>
      </c>
      <c r="O4819" t="str">
        <f t="shared" si="1965"/>
        <v>MYR</v>
      </c>
      <c r="P4819" t="str">
        <f t="shared" si="1966"/>
        <v>NIL</v>
      </c>
      <c r="Q4819" t="str">
        <f t="shared" si="1966"/>
        <v>NIL</v>
      </c>
      <c r="R4819" t="str">
        <f t="shared" si="1967"/>
        <v>Accepted</v>
      </c>
      <c r="S4819" t="str">
        <f t="shared" si="1968"/>
        <v>Approved</v>
      </c>
      <c r="T4819" t="str">
        <f t="shared" si="1969"/>
        <v>10.20.8.188</v>
      </c>
      <c r="U4819" t="str">
        <f t="shared" si="1970"/>
        <v>AZRAD UMAR BIN SHAARI</v>
      </c>
      <c r="V4819" t="str">
        <f t="shared" si="1971"/>
        <v>FARHANA BINTI MUSTAPA</v>
      </c>
      <c r="W4819" t="str">
        <f t="shared" si="1972"/>
        <v>04-08-2020</v>
      </c>
      <c r="X4819" t="str">
        <f t="shared" si="1973"/>
        <v>RAZIMAH ANSAR AHMAD</v>
      </c>
      <c r="Y4819" t="str">
        <f t="shared" si="1974"/>
        <v>04-08-2020</v>
      </c>
      <c r="Z4819" t="str">
        <f>"COS10200804 4335"</f>
        <v>COS10200804 4335</v>
      </c>
    </row>
    <row r="4820" spans="1:26" x14ac:dyDescent="0.25">
      <c r="A4820" t="str">
        <f t="shared" si="1977"/>
        <v>04-08-2020 12:49:03</v>
      </c>
      <c r="B4820" t="str">
        <f>"0000806113"</f>
        <v>0000806113</v>
      </c>
      <c r="C4820" t="str">
        <f t="shared" si="1978"/>
        <v>0000805979</v>
      </c>
      <c r="D4820" t="str">
        <f t="shared" si="1960"/>
        <v>73185</v>
      </c>
      <c r="E4820" t="str">
        <f t="shared" si="1961"/>
        <v>KFH-OPERATIONS DEPARTMENT</v>
      </c>
      <c r="F4820" t="str">
        <f t="shared" si="1962"/>
        <v>IBG</v>
      </c>
      <c r="G4820" t="str">
        <f t="shared" si="1975"/>
        <v>Refund COSHARE 10</v>
      </c>
      <c r="H4820" s="2">
        <v>535.29999999999995</v>
      </c>
      <c r="I4820" t="str">
        <f>"CASSANDRA ANAK FRANKY AKANG"</f>
        <v>CASSANDRA ANAK FRANKY AKANG</v>
      </c>
      <c r="J4820" t="str">
        <f t="shared" si="1976"/>
        <v>MAYBANK / MAYBANK ISLAMIC</v>
      </c>
      <c r="K4820" t="str">
        <f>"110189095265"</f>
        <v>110189095265</v>
      </c>
      <c r="L4820" t="str">
        <f t="shared" si="1963"/>
        <v>04-08-2020</v>
      </c>
      <c r="M4820" t="str">
        <f t="shared" si="1963"/>
        <v>04-08-2020</v>
      </c>
      <c r="N4820" t="str">
        <f t="shared" si="1964"/>
        <v>001105018356</v>
      </c>
      <c r="O4820" t="str">
        <f t="shared" si="1965"/>
        <v>MYR</v>
      </c>
      <c r="P4820" t="str">
        <f t="shared" si="1966"/>
        <v>NIL</v>
      </c>
      <c r="Q4820" t="str">
        <f t="shared" si="1966"/>
        <v>NIL</v>
      </c>
      <c r="R4820" t="str">
        <f t="shared" si="1967"/>
        <v>Accepted</v>
      </c>
      <c r="S4820" t="str">
        <f t="shared" si="1968"/>
        <v>Approved</v>
      </c>
      <c r="T4820" t="str">
        <f t="shared" si="1969"/>
        <v>10.20.8.188</v>
      </c>
      <c r="U4820" t="str">
        <f t="shared" si="1970"/>
        <v>AZRAD UMAR BIN SHAARI</v>
      </c>
      <c r="V4820" t="str">
        <f t="shared" si="1971"/>
        <v>FARHANA BINTI MUSTAPA</v>
      </c>
      <c r="W4820" t="str">
        <f t="shared" si="1972"/>
        <v>04-08-2020</v>
      </c>
      <c r="X4820" t="str">
        <f t="shared" si="1973"/>
        <v>RAZIMAH ANSAR AHMAD</v>
      </c>
      <c r="Y4820" t="str">
        <f t="shared" si="1974"/>
        <v>04-08-2020</v>
      </c>
      <c r="Z4820" t="str">
        <f>"COS10200804 4334"</f>
        <v>COS10200804 4334</v>
      </c>
    </row>
    <row r="4821" spans="1:26" x14ac:dyDescent="0.25">
      <c r="A4821" t="str">
        <f t="shared" si="1977"/>
        <v>04-08-2020 12:49:03</v>
      </c>
      <c r="B4821" t="str">
        <f>"0000806112"</f>
        <v>0000806112</v>
      </c>
      <c r="C4821" t="str">
        <f t="shared" si="1978"/>
        <v>0000805979</v>
      </c>
      <c r="D4821" t="str">
        <f t="shared" si="1960"/>
        <v>73185</v>
      </c>
      <c r="E4821" t="str">
        <f t="shared" si="1961"/>
        <v>KFH-OPERATIONS DEPARTMENT</v>
      </c>
      <c r="F4821" t="str">
        <f t="shared" si="1962"/>
        <v>IBG</v>
      </c>
      <c r="G4821" t="str">
        <f t="shared" si="1975"/>
        <v>Refund COSHARE 10</v>
      </c>
      <c r="H4821" s="2">
        <v>377.8</v>
      </c>
      <c r="I4821" t="str">
        <f>"CAMELLIA ROSERIANA BINTI AMU"</f>
        <v>CAMELLIA ROSERIANA BINTI AMU</v>
      </c>
      <c r="J4821" t="str">
        <f t="shared" si="1976"/>
        <v>MAYBANK / MAYBANK ISLAMIC</v>
      </c>
      <c r="K4821" t="str">
        <f>"166010117692"</f>
        <v>166010117692</v>
      </c>
      <c r="L4821" t="str">
        <f t="shared" si="1963"/>
        <v>04-08-2020</v>
      </c>
      <c r="M4821" t="str">
        <f t="shared" si="1963"/>
        <v>04-08-2020</v>
      </c>
      <c r="N4821" t="str">
        <f t="shared" si="1964"/>
        <v>001105018356</v>
      </c>
      <c r="O4821" t="str">
        <f t="shared" si="1965"/>
        <v>MYR</v>
      </c>
      <c r="P4821" t="str">
        <f t="shared" si="1966"/>
        <v>NIL</v>
      </c>
      <c r="Q4821" t="str">
        <f t="shared" si="1966"/>
        <v>NIL</v>
      </c>
      <c r="R4821" t="str">
        <f t="shared" si="1967"/>
        <v>Accepted</v>
      </c>
      <c r="S4821" t="str">
        <f t="shared" si="1968"/>
        <v>Approved</v>
      </c>
      <c r="T4821" t="str">
        <f t="shared" si="1969"/>
        <v>10.20.8.188</v>
      </c>
      <c r="U4821" t="str">
        <f t="shared" si="1970"/>
        <v>AZRAD UMAR BIN SHAARI</v>
      </c>
      <c r="V4821" t="str">
        <f t="shared" si="1971"/>
        <v>FARHANA BINTI MUSTAPA</v>
      </c>
      <c r="W4821" t="str">
        <f t="shared" si="1972"/>
        <v>04-08-2020</v>
      </c>
      <c r="X4821" t="str">
        <f t="shared" si="1973"/>
        <v>RAZIMAH ANSAR AHMAD</v>
      </c>
      <c r="Y4821" t="str">
        <f t="shared" si="1974"/>
        <v>04-08-2020</v>
      </c>
      <c r="Z4821" t="str">
        <f>"COS10200804 4333"</f>
        <v>COS10200804 4333</v>
      </c>
    </row>
    <row r="4822" spans="1:26" x14ac:dyDescent="0.25">
      <c r="A4822" t="str">
        <f t="shared" si="1977"/>
        <v>04-08-2020 12:49:03</v>
      </c>
      <c r="B4822" t="str">
        <f>"0000806111"</f>
        <v>0000806111</v>
      </c>
      <c r="C4822" t="str">
        <f t="shared" si="1978"/>
        <v>0000805979</v>
      </c>
      <c r="D4822" t="str">
        <f t="shared" si="1960"/>
        <v>73185</v>
      </c>
      <c r="E4822" t="str">
        <f t="shared" si="1961"/>
        <v>KFH-OPERATIONS DEPARTMENT</v>
      </c>
      <c r="F4822" t="str">
        <f t="shared" si="1962"/>
        <v>IBG</v>
      </c>
      <c r="G4822" t="str">
        <f t="shared" si="1975"/>
        <v>Refund COSHARE 10</v>
      </c>
      <c r="H4822" s="2">
        <v>495.45</v>
      </c>
      <c r="I4822" t="str">
        <f>"CALVIN CHAN SING HUI"</f>
        <v>CALVIN CHAN SING HUI</v>
      </c>
      <c r="J4822" t="str">
        <f t="shared" si="1976"/>
        <v>MAYBANK / MAYBANK ISLAMIC</v>
      </c>
      <c r="K4822" t="str">
        <f>"116015057521"</f>
        <v>116015057521</v>
      </c>
      <c r="L4822" t="str">
        <f t="shared" si="1963"/>
        <v>04-08-2020</v>
      </c>
      <c r="M4822" t="str">
        <f t="shared" si="1963"/>
        <v>04-08-2020</v>
      </c>
      <c r="N4822" t="str">
        <f t="shared" si="1964"/>
        <v>001105018356</v>
      </c>
      <c r="O4822" t="str">
        <f t="shared" si="1965"/>
        <v>MYR</v>
      </c>
      <c r="P4822" t="str">
        <f t="shared" si="1966"/>
        <v>NIL</v>
      </c>
      <c r="Q4822" t="str">
        <f t="shared" si="1966"/>
        <v>NIL</v>
      </c>
      <c r="R4822" t="str">
        <f t="shared" si="1967"/>
        <v>Accepted</v>
      </c>
      <c r="S4822" t="str">
        <f t="shared" si="1968"/>
        <v>Approved</v>
      </c>
      <c r="T4822" t="str">
        <f t="shared" si="1969"/>
        <v>10.20.8.188</v>
      </c>
      <c r="U4822" t="str">
        <f t="shared" si="1970"/>
        <v>AZRAD UMAR BIN SHAARI</v>
      </c>
      <c r="V4822" t="str">
        <f t="shared" si="1971"/>
        <v>FARHANA BINTI MUSTAPA</v>
      </c>
      <c r="W4822" t="str">
        <f t="shared" si="1972"/>
        <v>04-08-2020</v>
      </c>
      <c r="X4822" t="str">
        <f t="shared" si="1973"/>
        <v>RAZIMAH ANSAR AHMAD</v>
      </c>
      <c r="Y4822" t="str">
        <f t="shared" si="1974"/>
        <v>04-08-2020</v>
      </c>
      <c r="Z4822" t="str">
        <f>"COS10200804 4332"</f>
        <v>COS10200804 4332</v>
      </c>
    </row>
    <row r="4823" spans="1:26" x14ac:dyDescent="0.25">
      <c r="A4823" t="str">
        <f t="shared" si="1977"/>
        <v>04-08-2020 12:49:03</v>
      </c>
      <c r="B4823" t="str">
        <f>"0000806110"</f>
        <v>0000806110</v>
      </c>
      <c r="C4823" t="str">
        <f t="shared" si="1978"/>
        <v>0000805979</v>
      </c>
      <c r="D4823" t="str">
        <f t="shared" si="1960"/>
        <v>73185</v>
      </c>
      <c r="E4823" t="str">
        <f t="shared" si="1961"/>
        <v>KFH-OPERATIONS DEPARTMENT</v>
      </c>
      <c r="F4823" t="str">
        <f t="shared" si="1962"/>
        <v>IBG</v>
      </c>
      <c r="G4823" t="str">
        <f t="shared" si="1975"/>
        <v>Refund COSHARE 10</v>
      </c>
      <c r="H4823" s="2">
        <v>491</v>
      </c>
      <c r="I4823" t="str">
        <f>"CALVIEN NG SIEW YUN"</f>
        <v>CALVIEN NG SIEW YUN</v>
      </c>
      <c r="J4823" t="str">
        <f t="shared" si="1976"/>
        <v>MAYBANK / MAYBANK ISLAMIC</v>
      </c>
      <c r="K4823" t="str">
        <f>"110014091199"</f>
        <v>110014091199</v>
      </c>
      <c r="L4823" t="str">
        <f t="shared" si="1963"/>
        <v>04-08-2020</v>
      </c>
      <c r="M4823" t="str">
        <f t="shared" si="1963"/>
        <v>04-08-2020</v>
      </c>
      <c r="N4823" t="str">
        <f t="shared" si="1964"/>
        <v>001105018356</v>
      </c>
      <c r="O4823" t="str">
        <f t="shared" si="1965"/>
        <v>MYR</v>
      </c>
      <c r="P4823" t="str">
        <f t="shared" si="1966"/>
        <v>NIL</v>
      </c>
      <c r="Q4823" t="str">
        <f t="shared" si="1966"/>
        <v>NIL</v>
      </c>
      <c r="R4823" t="str">
        <f t="shared" si="1967"/>
        <v>Accepted</v>
      </c>
      <c r="S4823" t="str">
        <f t="shared" si="1968"/>
        <v>Approved</v>
      </c>
      <c r="T4823" t="str">
        <f t="shared" si="1969"/>
        <v>10.20.8.188</v>
      </c>
      <c r="U4823" t="str">
        <f t="shared" si="1970"/>
        <v>AZRAD UMAR BIN SHAARI</v>
      </c>
      <c r="V4823" t="str">
        <f t="shared" si="1971"/>
        <v>FARHANA BINTI MUSTAPA</v>
      </c>
      <c r="W4823" t="str">
        <f t="shared" si="1972"/>
        <v>04-08-2020</v>
      </c>
      <c r="X4823" t="str">
        <f t="shared" si="1973"/>
        <v>RAZIMAH ANSAR AHMAD</v>
      </c>
      <c r="Y4823" t="str">
        <f t="shared" si="1974"/>
        <v>04-08-2020</v>
      </c>
      <c r="Z4823" t="str">
        <f>"COS10200804 4331"</f>
        <v>COS10200804 4331</v>
      </c>
    </row>
    <row r="4824" spans="1:26" x14ac:dyDescent="0.25">
      <c r="A4824" t="str">
        <f t="shared" si="1977"/>
        <v>04-08-2020 12:49:03</v>
      </c>
      <c r="B4824" t="str">
        <f>"0000806109"</f>
        <v>0000806109</v>
      </c>
      <c r="C4824" t="str">
        <f t="shared" si="1978"/>
        <v>0000805979</v>
      </c>
      <c r="D4824" t="str">
        <f t="shared" si="1960"/>
        <v>73185</v>
      </c>
      <c r="E4824" t="str">
        <f t="shared" si="1961"/>
        <v>KFH-OPERATIONS DEPARTMENT</v>
      </c>
      <c r="F4824" t="str">
        <f t="shared" si="1962"/>
        <v>IBG</v>
      </c>
      <c r="G4824" t="str">
        <f t="shared" si="1975"/>
        <v>Refund COSHARE 10</v>
      </c>
      <c r="H4824" s="2">
        <v>434</v>
      </c>
      <c r="I4824" t="str">
        <f>"CALVEIN NG SIEW YUN"</f>
        <v>CALVEIN NG SIEW YUN</v>
      </c>
      <c r="J4824" t="str">
        <f t="shared" si="1976"/>
        <v>MAYBANK / MAYBANK ISLAMIC</v>
      </c>
      <c r="K4824" t="str">
        <f>"110014091199"</f>
        <v>110014091199</v>
      </c>
      <c r="L4824" t="str">
        <f t="shared" si="1963"/>
        <v>04-08-2020</v>
      </c>
      <c r="M4824" t="str">
        <f t="shared" si="1963"/>
        <v>04-08-2020</v>
      </c>
      <c r="N4824" t="str">
        <f t="shared" si="1964"/>
        <v>001105018356</v>
      </c>
      <c r="O4824" t="str">
        <f t="shared" si="1965"/>
        <v>MYR</v>
      </c>
      <c r="P4824" t="str">
        <f t="shared" si="1966"/>
        <v>NIL</v>
      </c>
      <c r="Q4824" t="str">
        <f t="shared" si="1966"/>
        <v>NIL</v>
      </c>
      <c r="R4824" t="str">
        <f t="shared" si="1967"/>
        <v>Accepted</v>
      </c>
      <c r="S4824" t="str">
        <f t="shared" si="1968"/>
        <v>Approved</v>
      </c>
      <c r="T4824" t="str">
        <f t="shared" si="1969"/>
        <v>10.20.8.188</v>
      </c>
      <c r="U4824" t="str">
        <f t="shared" si="1970"/>
        <v>AZRAD UMAR BIN SHAARI</v>
      </c>
      <c r="V4824" t="str">
        <f t="shared" si="1971"/>
        <v>FARHANA BINTI MUSTAPA</v>
      </c>
      <c r="W4824" t="str">
        <f t="shared" si="1972"/>
        <v>04-08-2020</v>
      </c>
      <c r="X4824" t="str">
        <f t="shared" si="1973"/>
        <v>RAZIMAH ANSAR AHMAD</v>
      </c>
      <c r="Y4824" t="str">
        <f t="shared" si="1974"/>
        <v>04-08-2020</v>
      </c>
      <c r="Z4824" t="str">
        <f>"COS10200804 4330"</f>
        <v>COS10200804 4330</v>
      </c>
    </row>
    <row r="4825" spans="1:26" x14ac:dyDescent="0.25">
      <c r="A4825" t="str">
        <f t="shared" si="1977"/>
        <v>04-08-2020 12:49:03</v>
      </c>
      <c r="B4825" t="str">
        <f>"0000806108"</f>
        <v>0000806108</v>
      </c>
      <c r="C4825" t="str">
        <f t="shared" si="1978"/>
        <v>0000805979</v>
      </c>
      <c r="D4825" t="str">
        <f t="shared" si="1960"/>
        <v>73185</v>
      </c>
      <c r="E4825" t="str">
        <f t="shared" si="1961"/>
        <v>KFH-OPERATIONS DEPARTMENT</v>
      </c>
      <c r="F4825" t="str">
        <f t="shared" si="1962"/>
        <v>IBG</v>
      </c>
      <c r="G4825" t="str">
        <f t="shared" si="1975"/>
        <v>Refund COSHARE 10</v>
      </c>
      <c r="H4825" s="2">
        <v>50.4</v>
      </c>
      <c r="I4825" t="str">
        <f>"CAIRIL RIDZWAN BIN SALLEH"</f>
        <v>CAIRIL RIDZWAN BIN SALLEH</v>
      </c>
      <c r="J4825" t="str">
        <f t="shared" si="1976"/>
        <v>MAYBANK / MAYBANK ISLAMIC</v>
      </c>
      <c r="K4825" t="str">
        <f>"111114106536"</f>
        <v>111114106536</v>
      </c>
      <c r="L4825" t="str">
        <f t="shared" si="1963"/>
        <v>04-08-2020</v>
      </c>
      <c r="M4825" t="str">
        <f t="shared" si="1963"/>
        <v>04-08-2020</v>
      </c>
      <c r="N4825" t="str">
        <f t="shared" si="1964"/>
        <v>001105018356</v>
      </c>
      <c r="O4825" t="str">
        <f t="shared" si="1965"/>
        <v>MYR</v>
      </c>
      <c r="P4825" t="str">
        <f t="shared" si="1966"/>
        <v>NIL</v>
      </c>
      <c r="Q4825" t="str">
        <f t="shared" si="1966"/>
        <v>NIL</v>
      </c>
      <c r="R4825" t="str">
        <f t="shared" si="1967"/>
        <v>Accepted</v>
      </c>
      <c r="S4825" t="str">
        <f t="shared" si="1968"/>
        <v>Approved</v>
      </c>
      <c r="T4825" t="str">
        <f t="shared" si="1969"/>
        <v>10.20.8.188</v>
      </c>
      <c r="U4825" t="str">
        <f t="shared" si="1970"/>
        <v>AZRAD UMAR BIN SHAARI</v>
      </c>
      <c r="V4825" t="str">
        <f t="shared" si="1971"/>
        <v>FARHANA BINTI MUSTAPA</v>
      </c>
      <c r="W4825" t="str">
        <f t="shared" si="1972"/>
        <v>04-08-2020</v>
      </c>
      <c r="X4825" t="str">
        <f t="shared" si="1973"/>
        <v>RAZIMAH ANSAR AHMAD</v>
      </c>
      <c r="Y4825" t="str">
        <f t="shared" si="1974"/>
        <v>04-08-2020</v>
      </c>
      <c r="Z4825" t="str">
        <f>"COS10200804 4329"</f>
        <v>COS10200804 4329</v>
      </c>
    </row>
    <row r="4826" spans="1:26" x14ac:dyDescent="0.25">
      <c r="A4826" t="str">
        <f t="shared" si="1977"/>
        <v>04-08-2020 12:49:03</v>
      </c>
      <c r="B4826" t="str">
        <f>"0000806107"</f>
        <v>0000806107</v>
      </c>
      <c r="C4826" t="str">
        <f t="shared" si="1978"/>
        <v>0000805979</v>
      </c>
      <c r="D4826" t="str">
        <f t="shared" si="1960"/>
        <v>73185</v>
      </c>
      <c r="E4826" t="str">
        <f t="shared" si="1961"/>
        <v>KFH-OPERATIONS DEPARTMENT</v>
      </c>
      <c r="F4826" t="str">
        <f t="shared" si="1962"/>
        <v>IBG</v>
      </c>
      <c r="G4826" t="str">
        <f t="shared" si="1975"/>
        <v>Refund COSHARE 10</v>
      </c>
      <c r="H4826" s="2">
        <v>784.45</v>
      </c>
      <c r="I4826" t="str">
        <f>"CAIRIL NIDZWAN BIN ABD HAMID"</f>
        <v>CAIRIL NIDZWAN BIN ABD HAMID</v>
      </c>
      <c r="J4826" t="str">
        <f t="shared" si="1976"/>
        <v>MAYBANK / MAYBANK ISLAMIC</v>
      </c>
      <c r="K4826" t="str">
        <f>"114263038931"</f>
        <v>114263038931</v>
      </c>
      <c r="L4826" t="str">
        <f t="shared" si="1963"/>
        <v>04-08-2020</v>
      </c>
      <c r="M4826" t="str">
        <f t="shared" si="1963"/>
        <v>04-08-2020</v>
      </c>
      <c r="N4826" t="str">
        <f t="shared" si="1964"/>
        <v>001105018356</v>
      </c>
      <c r="O4826" t="str">
        <f t="shared" si="1965"/>
        <v>MYR</v>
      </c>
      <c r="P4826" t="str">
        <f t="shared" si="1966"/>
        <v>NIL</v>
      </c>
      <c r="Q4826" t="str">
        <f t="shared" si="1966"/>
        <v>NIL</v>
      </c>
      <c r="R4826" t="str">
        <f t="shared" si="1967"/>
        <v>Accepted</v>
      </c>
      <c r="S4826" t="str">
        <f t="shared" si="1968"/>
        <v>Approved</v>
      </c>
      <c r="T4826" t="str">
        <f t="shared" si="1969"/>
        <v>10.20.8.188</v>
      </c>
      <c r="U4826" t="str">
        <f t="shared" si="1970"/>
        <v>AZRAD UMAR BIN SHAARI</v>
      </c>
      <c r="V4826" t="str">
        <f t="shared" si="1971"/>
        <v>FARHANA BINTI MUSTAPA</v>
      </c>
      <c r="W4826" t="str">
        <f t="shared" si="1972"/>
        <v>04-08-2020</v>
      </c>
      <c r="X4826" t="str">
        <f t="shared" si="1973"/>
        <v>RAZIMAH ANSAR AHMAD</v>
      </c>
      <c r="Y4826" t="str">
        <f t="shared" si="1974"/>
        <v>04-08-2020</v>
      </c>
      <c r="Z4826" t="str">
        <f>"COS10200804 4328"</f>
        <v>COS10200804 4328</v>
      </c>
    </row>
    <row r="4827" spans="1:26" x14ac:dyDescent="0.25">
      <c r="A4827" t="str">
        <f t="shared" si="1977"/>
        <v>04-08-2020 12:49:03</v>
      </c>
      <c r="B4827" t="str">
        <f>"0000806106"</f>
        <v>0000806106</v>
      </c>
      <c r="C4827" t="str">
        <f t="shared" si="1978"/>
        <v>0000805979</v>
      </c>
      <c r="D4827" t="str">
        <f t="shared" si="1960"/>
        <v>73185</v>
      </c>
      <c r="E4827" t="str">
        <f t="shared" si="1961"/>
        <v>KFH-OPERATIONS DEPARTMENT</v>
      </c>
      <c r="F4827" t="str">
        <f t="shared" si="1962"/>
        <v>IBG</v>
      </c>
      <c r="G4827" t="str">
        <f t="shared" si="1975"/>
        <v>Refund COSHARE 10</v>
      </c>
      <c r="H4827" s="2">
        <v>88.45</v>
      </c>
      <c r="I4827" t="str">
        <f>"BURHANUDIN BIN OMAR"</f>
        <v>BURHANUDIN BIN OMAR</v>
      </c>
      <c r="J4827" t="str">
        <f t="shared" si="1976"/>
        <v>MAYBANK / MAYBANK ISLAMIC</v>
      </c>
      <c r="K4827" t="str">
        <f>"153010116482"</f>
        <v>153010116482</v>
      </c>
      <c r="L4827" t="str">
        <f t="shared" ref="L4827:M4846" si="1979">"04-08-2020"</f>
        <v>04-08-2020</v>
      </c>
      <c r="M4827" t="str">
        <f t="shared" si="1979"/>
        <v>04-08-2020</v>
      </c>
      <c r="N4827" t="str">
        <f t="shared" si="1964"/>
        <v>001105018356</v>
      </c>
      <c r="O4827" t="str">
        <f t="shared" si="1965"/>
        <v>MYR</v>
      </c>
      <c r="P4827" t="str">
        <f t="shared" ref="P4827:Q4846" si="1980">"NIL"</f>
        <v>NIL</v>
      </c>
      <c r="Q4827" t="str">
        <f t="shared" si="1980"/>
        <v>NIL</v>
      </c>
      <c r="R4827" t="str">
        <f t="shared" si="1967"/>
        <v>Accepted</v>
      </c>
      <c r="S4827" t="str">
        <f t="shared" si="1968"/>
        <v>Approved</v>
      </c>
      <c r="T4827" t="str">
        <f t="shared" si="1969"/>
        <v>10.20.8.188</v>
      </c>
      <c r="U4827" t="str">
        <f t="shared" si="1970"/>
        <v>AZRAD UMAR BIN SHAARI</v>
      </c>
      <c r="V4827" t="str">
        <f t="shared" si="1971"/>
        <v>FARHANA BINTI MUSTAPA</v>
      </c>
      <c r="W4827" t="str">
        <f t="shared" si="1972"/>
        <v>04-08-2020</v>
      </c>
      <c r="X4827" t="str">
        <f t="shared" si="1973"/>
        <v>RAZIMAH ANSAR AHMAD</v>
      </c>
      <c r="Y4827" t="str">
        <f t="shared" si="1974"/>
        <v>04-08-2020</v>
      </c>
      <c r="Z4827" t="str">
        <f>"COS10200804 4327"</f>
        <v>COS10200804 4327</v>
      </c>
    </row>
    <row r="4828" spans="1:26" x14ac:dyDescent="0.25">
      <c r="A4828" t="str">
        <f t="shared" si="1977"/>
        <v>04-08-2020 12:49:03</v>
      </c>
      <c r="B4828" t="str">
        <f>"0000806105"</f>
        <v>0000806105</v>
      </c>
      <c r="C4828" t="str">
        <f t="shared" si="1978"/>
        <v>0000805979</v>
      </c>
      <c r="D4828" t="str">
        <f t="shared" si="1960"/>
        <v>73185</v>
      </c>
      <c r="E4828" t="str">
        <f t="shared" si="1961"/>
        <v>KFH-OPERATIONS DEPARTMENT</v>
      </c>
      <c r="F4828" t="str">
        <f t="shared" si="1962"/>
        <v>IBG</v>
      </c>
      <c r="G4828" t="str">
        <f t="shared" si="1975"/>
        <v>Refund COSHARE 10</v>
      </c>
      <c r="H4828" s="2">
        <v>663.2</v>
      </c>
      <c r="I4828" t="str">
        <f>"BOYD  BONIFACE BIN S SEBASTIAN"</f>
        <v>BOYD  BONIFACE BIN S SEBASTIAN</v>
      </c>
      <c r="J4828" t="str">
        <f t="shared" si="1976"/>
        <v>MAYBANK / MAYBANK ISLAMIC</v>
      </c>
      <c r="K4828" t="str">
        <f>"112102054040"</f>
        <v>112102054040</v>
      </c>
      <c r="L4828" t="str">
        <f t="shared" si="1979"/>
        <v>04-08-2020</v>
      </c>
      <c r="M4828" t="str">
        <f t="shared" si="1979"/>
        <v>04-08-2020</v>
      </c>
      <c r="N4828" t="str">
        <f t="shared" si="1964"/>
        <v>001105018356</v>
      </c>
      <c r="O4828" t="str">
        <f t="shared" si="1965"/>
        <v>MYR</v>
      </c>
      <c r="P4828" t="str">
        <f t="shared" si="1980"/>
        <v>NIL</v>
      </c>
      <c r="Q4828" t="str">
        <f t="shared" si="1980"/>
        <v>NIL</v>
      </c>
      <c r="R4828" t="str">
        <f t="shared" si="1967"/>
        <v>Accepted</v>
      </c>
      <c r="S4828" t="str">
        <f t="shared" si="1968"/>
        <v>Approved</v>
      </c>
      <c r="T4828" t="str">
        <f t="shared" si="1969"/>
        <v>10.20.8.188</v>
      </c>
      <c r="U4828" t="str">
        <f t="shared" si="1970"/>
        <v>AZRAD UMAR BIN SHAARI</v>
      </c>
      <c r="V4828" t="str">
        <f t="shared" si="1971"/>
        <v>FARHANA BINTI MUSTAPA</v>
      </c>
      <c r="W4828" t="str">
        <f t="shared" si="1972"/>
        <v>04-08-2020</v>
      </c>
      <c r="X4828" t="str">
        <f t="shared" si="1973"/>
        <v>RAZIMAH ANSAR AHMAD</v>
      </c>
      <c r="Y4828" t="str">
        <f t="shared" si="1974"/>
        <v>04-08-2020</v>
      </c>
      <c r="Z4828" t="str">
        <f>"COS10200804 4326"</f>
        <v>COS10200804 4326</v>
      </c>
    </row>
    <row r="4829" spans="1:26" x14ac:dyDescent="0.25">
      <c r="A4829" t="str">
        <f t="shared" si="1977"/>
        <v>04-08-2020 12:49:03</v>
      </c>
      <c r="B4829" t="str">
        <f>"0000806104"</f>
        <v>0000806104</v>
      </c>
      <c r="C4829" t="str">
        <f t="shared" si="1978"/>
        <v>0000805979</v>
      </c>
      <c r="D4829" t="str">
        <f t="shared" si="1960"/>
        <v>73185</v>
      </c>
      <c r="E4829" t="str">
        <f t="shared" si="1961"/>
        <v>KFH-OPERATIONS DEPARTMENT</v>
      </c>
      <c r="F4829" t="str">
        <f t="shared" si="1962"/>
        <v>IBG</v>
      </c>
      <c r="G4829" t="str">
        <f t="shared" si="1975"/>
        <v>Refund COSHARE 10</v>
      </c>
      <c r="H4829" s="2">
        <v>228</v>
      </c>
      <c r="I4829" t="str">
        <f>"BOY  NURUL ATIKA BINTI MEUS"</f>
        <v>BOY  NURUL ATIKA BINTI MEUS</v>
      </c>
      <c r="J4829" t="str">
        <f t="shared" si="1976"/>
        <v>MAYBANK / MAYBANK ISLAMIC</v>
      </c>
      <c r="K4829" t="str">
        <f>"160027232976"</f>
        <v>160027232976</v>
      </c>
      <c r="L4829" t="str">
        <f t="shared" si="1979"/>
        <v>04-08-2020</v>
      </c>
      <c r="M4829" t="str">
        <f t="shared" si="1979"/>
        <v>04-08-2020</v>
      </c>
      <c r="N4829" t="str">
        <f t="shared" si="1964"/>
        <v>001105018356</v>
      </c>
      <c r="O4829" t="str">
        <f t="shared" si="1965"/>
        <v>MYR</v>
      </c>
      <c r="P4829" t="str">
        <f t="shared" si="1980"/>
        <v>NIL</v>
      </c>
      <c r="Q4829" t="str">
        <f t="shared" si="1980"/>
        <v>NIL</v>
      </c>
      <c r="R4829" t="str">
        <f t="shared" si="1967"/>
        <v>Accepted</v>
      </c>
      <c r="S4829" t="str">
        <f t="shared" si="1968"/>
        <v>Approved</v>
      </c>
      <c r="T4829" t="str">
        <f t="shared" si="1969"/>
        <v>10.20.8.188</v>
      </c>
      <c r="U4829" t="str">
        <f t="shared" si="1970"/>
        <v>AZRAD UMAR BIN SHAARI</v>
      </c>
      <c r="V4829" t="str">
        <f t="shared" si="1971"/>
        <v>FARHANA BINTI MUSTAPA</v>
      </c>
      <c r="W4829" t="str">
        <f t="shared" si="1972"/>
        <v>04-08-2020</v>
      </c>
      <c r="X4829" t="str">
        <f t="shared" si="1973"/>
        <v>RAZIMAH ANSAR AHMAD</v>
      </c>
      <c r="Y4829" t="str">
        <f t="shared" si="1974"/>
        <v>04-08-2020</v>
      </c>
      <c r="Z4829" t="str">
        <f>"COS10200804 4325"</f>
        <v>COS10200804 4325</v>
      </c>
    </row>
    <row r="4830" spans="1:26" x14ac:dyDescent="0.25">
      <c r="A4830" t="str">
        <f t="shared" si="1977"/>
        <v>04-08-2020 12:49:03</v>
      </c>
      <c r="B4830" t="str">
        <f>"0000806103"</f>
        <v>0000806103</v>
      </c>
      <c r="C4830" t="str">
        <f t="shared" si="1978"/>
        <v>0000805979</v>
      </c>
      <c r="D4830" t="str">
        <f t="shared" si="1960"/>
        <v>73185</v>
      </c>
      <c r="E4830" t="str">
        <f t="shared" si="1961"/>
        <v>KFH-OPERATIONS DEPARTMENT</v>
      </c>
      <c r="F4830" t="str">
        <f t="shared" si="1962"/>
        <v>IBG</v>
      </c>
      <c r="G4830" t="str">
        <f t="shared" si="1975"/>
        <v>Refund COSHARE 10</v>
      </c>
      <c r="H4830" s="2">
        <v>99</v>
      </c>
      <c r="I4830" t="str">
        <f>"BOSHTHAMIE BIN SAGING"</f>
        <v>BOSHTHAMIE BIN SAGING</v>
      </c>
      <c r="J4830" t="str">
        <f t="shared" si="1976"/>
        <v>MAYBANK / MAYBANK ISLAMIC</v>
      </c>
      <c r="K4830" t="str">
        <f>"111057231228"</f>
        <v>111057231228</v>
      </c>
      <c r="L4830" t="str">
        <f t="shared" si="1979"/>
        <v>04-08-2020</v>
      </c>
      <c r="M4830" t="str">
        <f t="shared" si="1979"/>
        <v>04-08-2020</v>
      </c>
      <c r="N4830" t="str">
        <f t="shared" si="1964"/>
        <v>001105018356</v>
      </c>
      <c r="O4830" t="str">
        <f t="shared" si="1965"/>
        <v>MYR</v>
      </c>
      <c r="P4830" t="str">
        <f t="shared" si="1980"/>
        <v>NIL</v>
      </c>
      <c r="Q4830" t="str">
        <f t="shared" si="1980"/>
        <v>NIL</v>
      </c>
      <c r="R4830" t="str">
        <f t="shared" si="1967"/>
        <v>Accepted</v>
      </c>
      <c r="S4830" t="str">
        <f t="shared" si="1968"/>
        <v>Approved</v>
      </c>
      <c r="T4830" t="str">
        <f t="shared" si="1969"/>
        <v>10.20.8.188</v>
      </c>
      <c r="U4830" t="str">
        <f t="shared" si="1970"/>
        <v>AZRAD UMAR BIN SHAARI</v>
      </c>
      <c r="V4830" t="str">
        <f t="shared" si="1971"/>
        <v>FARHANA BINTI MUSTAPA</v>
      </c>
      <c r="W4830" t="str">
        <f t="shared" si="1972"/>
        <v>04-08-2020</v>
      </c>
      <c r="X4830" t="str">
        <f t="shared" si="1973"/>
        <v>RAZIMAH ANSAR AHMAD</v>
      </c>
      <c r="Y4830" t="str">
        <f t="shared" si="1974"/>
        <v>04-08-2020</v>
      </c>
      <c r="Z4830" t="str">
        <f>"COS10200804 4324"</f>
        <v>COS10200804 4324</v>
      </c>
    </row>
    <row r="4831" spans="1:26" x14ac:dyDescent="0.25">
      <c r="A4831" t="str">
        <f t="shared" si="1977"/>
        <v>04-08-2020 12:49:03</v>
      </c>
      <c r="B4831" t="str">
        <f>"0000806102"</f>
        <v>0000806102</v>
      </c>
      <c r="C4831" t="str">
        <f t="shared" si="1978"/>
        <v>0000805979</v>
      </c>
      <c r="D4831" t="str">
        <f t="shared" si="1960"/>
        <v>73185</v>
      </c>
      <c r="E4831" t="str">
        <f t="shared" si="1961"/>
        <v>KFH-OPERATIONS DEPARTMENT</v>
      </c>
      <c r="F4831" t="str">
        <f t="shared" si="1962"/>
        <v>IBG</v>
      </c>
      <c r="G4831" t="str">
        <f t="shared" si="1975"/>
        <v>Refund COSHARE 10</v>
      </c>
      <c r="H4831" s="2">
        <v>1518</v>
      </c>
      <c r="I4831" t="str">
        <f>"BOLKHAN BIN MEDIAN"</f>
        <v>BOLKHAN BIN MEDIAN</v>
      </c>
      <c r="J4831" t="str">
        <f t="shared" si="1976"/>
        <v>MAYBANK / MAYBANK ISLAMIC</v>
      </c>
      <c r="K4831" t="str">
        <f>"162115067396"</f>
        <v>162115067396</v>
      </c>
      <c r="L4831" t="str">
        <f t="shared" si="1979"/>
        <v>04-08-2020</v>
      </c>
      <c r="M4831" t="str">
        <f t="shared" si="1979"/>
        <v>04-08-2020</v>
      </c>
      <c r="N4831" t="str">
        <f t="shared" si="1964"/>
        <v>001105018356</v>
      </c>
      <c r="O4831" t="str">
        <f t="shared" si="1965"/>
        <v>MYR</v>
      </c>
      <c r="P4831" t="str">
        <f t="shared" si="1980"/>
        <v>NIL</v>
      </c>
      <c r="Q4831" t="str">
        <f t="shared" si="1980"/>
        <v>NIL</v>
      </c>
      <c r="R4831" t="str">
        <f t="shared" si="1967"/>
        <v>Accepted</v>
      </c>
      <c r="S4831" t="str">
        <f t="shared" si="1968"/>
        <v>Approved</v>
      </c>
      <c r="T4831" t="str">
        <f t="shared" si="1969"/>
        <v>10.20.8.188</v>
      </c>
      <c r="U4831" t="str">
        <f t="shared" si="1970"/>
        <v>AZRAD UMAR BIN SHAARI</v>
      </c>
      <c r="V4831" t="str">
        <f t="shared" si="1971"/>
        <v>FARHANA BINTI MUSTAPA</v>
      </c>
      <c r="W4831" t="str">
        <f t="shared" si="1972"/>
        <v>04-08-2020</v>
      </c>
      <c r="X4831" t="str">
        <f t="shared" si="1973"/>
        <v>RAZIMAH ANSAR AHMAD</v>
      </c>
      <c r="Y4831" t="str">
        <f t="shared" si="1974"/>
        <v>04-08-2020</v>
      </c>
      <c r="Z4831" t="str">
        <f>"COS10200804 4323"</f>
        <v>COS10200804 4323</v>
      </c>
    </row>
    <row r="4832" spans="1:26" x14ac:dyDescent="0.25">
      <c r="A4832" t="str">
        <f t="shared" si="1977"/>
        <v>04-08-2020 12:49:03</v>
      </c>
      <c r="B4832" t="str">
        <f>"0000806101"</f>
        <v>0000806101</v>
      </c>
      <c r="C4832" t="str">
        <f t="shared" si="1978"/>
        <v>0000805979</v>
      </c>
      <c r="D4832" t="str">
        <f t="shared" si="1960"/>
        <v>73185</v>
      </c>
      <c r="E4832" t="str">
        <f t="shared" si="1961"/>
        <v>KFH-OPERATIONS DEPARTMENT</v>
      </c>
      <c r="F4832" t="str">
        <f t="shared" si="1962"/>
        <v>IBG</v>
      </c>
      <c r="G4832" t="str">
        <f t="shared" si="1975"/>
        <v>Refund COSHARE 10</v>
      </c>
      <c r="H4832" s="2">
        <v>150.80000000000001</v>
      </c>
      <c r="I4832" t="str">
        <f>"BOESTAMAM BIN AHMAD"</f>
        <v>BOESTAMAM BIN AHMAD</v>
      </c>
      <c r="J4832" t="str">
        <f t="shared" si="1976"/>
        <v>MAYBANK / MAYBANK ISLAMIC</v>
      </c>
      <c r="K4832" t="str">
        <f>"164221364360"</f>
        <v>164221364360</v>
      </c>
      <c r="L4832" t="str">
        <f t="shared" si="1979"/>
        <v>04-08-2020</v>
      </c>
      <c r="M4832" t="str">
        <f t="shared" si="1979"/>
        <v>04-08-2020</v>
      </c>
      <c r="N4832" t="str">
        <f t="shared" si="1964"/>
        <v>001105018356</v>
      </c>
      <c r="O4832" t="str">
        <f t="shared" si="1965"/>
        <v>MYR</v>
      </c>
      <c r="P4832" t="str">
        <f t="shared" si="1980"/>
        <v>NIL</v>
      </c>
      <c r="Q4832" t="str">
        <f t="shared" si="1980"/>
        <v>NIL</v>
      </c>
      <c r="R4832" t="str">
        <f t="shared" si="1967"/>
        <v>Accepted</v>
      </c>
      <c r="S4832" t="str">
        <f t="shared" si="1968"/>
        <v>Approved</v>
      </c>
      <c r="T4832" t="str">
        <f t="shared" si="1969"/>
        <v>10.20.8.188</v>
      </c>
      <c r="U4832" t="str">
        <f t="shared" si="1970"/>
        <v>AZRAD UMAR BIN SHAARI</v>
      </c>
      <c r="V4832" t="str">
        <f t="shared" si="1971"/>
        <v>FARHANA BINTI MUSTAPA</v>
      </c>
      <c r="W4832" t="str">
        <f t="shared" si="1972"/>
        <v>04-08-2020</v>
      </c>
      <c r="X4832" t="str">
        <f t="shared" si="1973"/>
        <v>RAZIMAH ANSAR AHMAD</v>
      </c>
      <c r="Y4832" t="str">
        <f t="shared" si="1974"/>
        <v>04-08-2020</v>
      </c>
      <c r="Z4832" t="str">
        <f>"COS10200804 4322"</f>
        <v>COS10200804 4322</v>
      </c>
    </row>
    <row r="4833" spans="1:26" x14ac:dyDescent="0.25">
      <c r="A4833" t="str">
        <f t="shared" si="1977"/>
        <v>04-08-2020 12:49:03</v>
      </c>
      <c r="B4833" t="str">
        <f>"0000806100"</f>
        <v>0000806100</v>
      </c>
      <c r="C4833" t="str">
        <f t="shared" si="1978"/>
        <v>0000805979</v>
      </c>
      <c r="D4833" t="str">
        <f t="shared" si="1960"/>
        <v>73185</v>
      </c>
      <c r="E4833" t="str">
        <f t="shared" si="1961"/>
        <v>KFH-OPERATIONS DEPARTMENT</v>
      </c>
      <c r="F4833" t="str">
        <f t="shared" si="1962"/>
        <v>IBG</v>
      </c>
      <c r="G4833" t="str">
        <f t="shared" si="1975"/>
        <v>Refund COSHARE 10</v>
      </c>
      <c r="H4833" s="2">
        <v>1495</v>
      </c>
      <c r="I4833" t="str">
        <f>"BIBIANA BINTI AKUP"</f>
        <v>BIBIANA BINTI AKUP</v>
      </c>
      <c r="J4833" t="str">
        <f t="shared" si="1976"/>
        <v>MAYBANK / MAYBANK ISLAMIC</v>
      </c>
      <c r="K4833" t="str">
        <f>"111104006505"</f>
        <v>111104006505</v>
      </c>
      <c r="L4833" t="str">
        <f t="shared" si="1979"/>
        <v>04-08-2020</v>
      </c>
      <c r="M4833" t="str">
        <f t="shared" si="1979"/>
        <v>04-08-2020</v>
      </c>
      <c r="N4833" t="str">
        <f t="shared" si="1964"/>
        <v>001105018356</v>
      </c>
      <c r="O4833" t="str">
        <f t="shared" si="1965"/>
        <v>MYR</v>
      </c>
      <c r="P4833" t="str">
        <f t="shared" si="1980"/>
        <v>NIL</v>
      </c>
      <c r="Q4833" t="str">
        <f t="shared" si="1980"/>
        <v>NIL</v>
      </c>
      <c r="R4833" t="str">
        <f t="shared" si="1967"/>
        <v>Accepted</v>
      </c>
      <c r="S4833" t="str">
        <f t="shared" si="1968"/>
        <v>Approved</v>
      </c>
      <c r="T4833" t="str">
        <f t="shared" si="1969"/>
        <v>10.20.8.188</v>
      </c>
      <c r="U4833" t="str">
        <f t="shared" si="1970"/>
        <v>AZRAD UMAR BIN SHAARI</v>
      </c>
      <c r="V4833" t="str">
        <f t="shared" si="1971"/>
        <v>FARHANA BINTI MUSTAPA</v>
      </c>
      <c r="W4833" t="str">
        <f t="shared" si="1972"/>
        <v>04-08-2020</v>
      </c>
      <c r="X4833" t="str">
        <f t="shared" si="1973"/>
        <v>RAZIMAH ANSAR AHMAD</v>
      </c>
      <c r="Y4833" t="str">
        <f t="shared" si="1974"/>
        <v>04-08-2020</v>
      </c>
      <c r="Z4833" t="str">
        <f>"COS10200804 4321"</f>
        <v>COS10200804 4321</v>
      </c>
    </row>
    <row r="4834" spans="1:26" x14ac:dyDescent="0.25">
      <c r="A4834" t="str">
        <f t="shared" si="1977"/>
        <v>04-08-2020 12:49:03</v>
      </c>
      <c r="B4834" t="str">
        <f>"0000806099"</f>
        <v>0000806099</v>
      </c>
      <c r="C4834" t="str">
        <f t="shared" si="1978"/>
        <v>0000805979</v>
      </c>
      <c r="D4834" t="str">
        <f t="shared" si="1960"/>
        <v>73185</v>
      </c>
      <c r="E4834" t="str">
        <f t="shared" si="1961"/>
        <v>KFH-OPERATIONS DEPARTMENT</v>
      </c>
      <c r="F4834" t="str">
        <f t="shared" si="1962"/>
        <v>IBG</v>
      </c>
      <c r="G4834" t="str">
        <f t="shared" si="1975"/>
        <v>Refund COSHARE 10</v>
      </c>
      <c r="H4834" s="2">
        <v>99</v>
      </c>
      <c r="I4834" t="str">
        <f>"BENEDICT BIN JOMY"</f>
        <v>BENEDICT BIN JOMY</v>
      </c>
      <c r="J4834" t="str">
        <f t="shared" si="1976"/>
        <v>MAYBANK / MAYBANK ISLAMIC</v>
      </c>
      <c r="K4834" t="str">
        <f>"160278016341"</f>
        <v>160278016341</v>
      </c>
      <c r="L4834" t="str">
        <f t="shared" si="1979"/>
        <v>04-08-2020</v>
      </c>
      <c r="M4834" t="str">
        <f t="shared" si="1979"/>
        <v>04-08-2020</v>
      </c>
      <c r="N4834" t="str">
        <f t="shared" si="1964"/>
        <v>001105018356</v>
      </c>
      <c r="O4834" t="str">
        <f t="shared" si="1965"/>
        <v>MYR</v>
      </c>
      <c r="P4834" t="str">
        <f t="shared" si="1980"/>
        <v>NIL</v>
      </c>
      <c r="Q4834" t="str">
        <f t="shared" si="1980"/>
        <v>NIL</v>
      </c>
      <c r="R4834" t="str">
        <f t="shared" si="1967"/>
        <v>Accepted</v>
      </c>
      <c r="S4834" t="str">
        <f t="shared" si="1968"/>
        <v>Approved</v>
      </c>
      <c r="T4834" t="str">
        <f t="shared" si="1969"/>
        <v>10.20.8.188</v>
      </c>
      <c r="U4834" t="str">
        <f t="shared" si="1970"/>
        <v>AZRAD UMAR BIN SHAARI</v>
      </c>
      <c r="V4834" t="str">
        <f t="shared" si="1971"/>
        <v>FARHANA BINTI MUSTAPA</v>
      </c>
      <c r="W4834" t="str">
        <f t="shared" si="1972"/>
        <v>04-08-2020</v>
      </c>
      <c r="X4834" t="str">
        <f t="shared" si="1973"/>
        <v>RAZIMAH ANSAR AHMAD</v>
      </c>
      <c r="Y4834" t="str">
        <f t="shared" si="1974"/>
        <v>04-08-2020</v>
      </c>
      <c r="Z4834" t="str">
        <f>"COS10200804 4320"</f>
        <v>COS10200804 4320</v>
      </c>
    </row>
    <row r="4835" spans="1:26" x14ac:dyDescent="0.25">
      <c r="A4835" t="str">
        <f t="shared" si="1977"/>
        <v>04-08-2020 12:49:03</v>
      </c>
      <c r="B4835" t="str">
        <f>"0000806098"</f>
        <v>0000806098</v>
      </c>
      <c r="C4835" t="str">
        <f t="shared" si="1978"/>
        <v>0000805979</v>
      </c>
      <c r="D4835" t="str">
        <f t="shared" si="1960"/>
        <v>73185</v>
      </c>
      <c r="E4835" t="str">
        <f t="shared" si="1961"/>
        <v>KFH-OPERATIONS DEPARTMENT</v>
      </c>
      <c r="F4835" t="str">
        <f t="shared" si="1962"/>
        <v>IBG</v>
      </c>
      <c r="G4835" t="str">
        <f t="shared" si="1975"/>
        <v>Refund COSHARE 10</v>
      </c>
      <c r="H4835" s="2">
        <v>1007.4</v>
      </c>
      <c r="I4835" t="str">
        <f>"BEDELY LODIUS"</f>
        <v>BEDELY LODIUS</v>
      </c>
      <c r="J4835" t="str">
        <f t="shared" si="1976"/>
        <v>MAYBANK / MAYBANK ISLAMIC</v>
      </c>
      <c r="K4835" t="str">
        <f>"110189042322"</f>
        <v>110189042322</v>
      </c>
      <c r="L4835" t="str">
        <f t="shared" si="1979"/>
        <v>04-08-2020</v>
      </c>
      <c r="M4835" t="str">
        <f t="shared" si="1979"/>
        <v>04-08-2020</v>
      </c>
      <c r="N4835" t="str">
        <f t="shared" si="1964"/>
        <v>001105018356</v>
      </c>
      <c r="O4835" t="str">
        <f t="shared" si="1965"/>
        <v>MYR</v>
      </c>
      <c r="P4835" t="str">
        <f t="shared" si="1980"/>
        <v>NIL</v>
      </c>
      <c r="Q4835" t="str">
        <f t="shared" si="1980"/>
        <v>NIL</v>
      </c>
      <c r="R4835" t="str">
        <f t="shared" si="1967"/>
        <v>Accepted</v>
      </c>
      <c r="S4835" t="str">
        <f t="shared" si="1968"/>
        <v>Approved</v>
      </c>
      <c r="T4835" t="str">
        <f t="shared" si="1969"/>
        <v>10.20.8.188</v>
      </c>
      <c r="U4835" t="str">
        <f t="shared" si="1970"/>
        <v>AZRAD UMAR BIN SHAARI</v>
      </c>
      <c r="V4835" t="str">
        <f t="shared" si="1971"/>
        <v>FARHANA BINTI MUSTAPA</v>
      </c>
      <c r="W4835" t="str">
        <f t="shared" si="1972"/>
        <v>04-08-2020</v>
      </c>
      <c r="X4835" t="str">
        <f t="shared" si="1973"/>
        <v>RAZIMAH ANSAR AHMAD</v>
      </c>
      <c r="Y4835" t="str">
        <f t="shared" si="1974"/>
        <v>04-08-2020</v>
      </c>
      <c r="Z4835" t="str">
        <f>"COS10200804 4319"</f>
        <v>COS10200804 4319</v>
      </c>
    </row>
    <row r="4836" spans="1:26" x14ac:dyDescent="0.25">
      <c r="A4836" t="str">
        <f t="shared" si="1977"/>
        <v>04-08-2020 12:49:03</v>
      </c>
      <c r="B4836" t="str">
        <f>"0000806097"</f>
        <v>0000806097</v>
      </c>
      <c r="C4836" t="str">
        <f t="shared" si="1978"/>
        <v>0000805979</v>
      </c>
      <c r="D4836" t="str">
        <f t="shared" si="1960"/>
        <v>73185</v>
      </c>
      <c r="E4836" t="str">
        <f t="shared" si="1961"/>
        <v>KFH-OPERATIONS DEPARTMENT</v>
      </c>
      <c r="F4836" t="str">
        <f t="shared" si="1962"/>
        <v>IBG</v>
      </c>
      <c r="G4836" t="str">
        <f t="shared" si="1975"/>
        <v>Refund COSHARE 10</v>
      </c>
      <c r="H4836" s="2">
        <v>383.1</v>
      </c>
      <c r="I4836" t="str">
        <f>"BEBYANAH BINTI BERNADUS"</f>
        <v>BEBYANAH BINTI BERNADUS</v>
      </c>
      <c r="J4836" t="str">
        <f t="shared" si="1976"/>
        <v>MAYBANK / MAYBANK ISLAMIC</v>
      </c>
      <c r="K4836" t="str">
        <f>"110050036507"</f>
        <v>110050036507</v>
      </c>
      <c r="L4836" t="str">
        <f t="shared" si="1979"/>
        <v>04-08-2020</v>
      </c>
      <c r="M4836" t="str">
        <f t="shared" si="1979"/>
        <v>04-08-2020</v>
      </c>
      <c r="N4836" t="str">
        <f t="shared" si="1964"/>
        <v>001105018356</v>
      </c>
      <c r="O4836" t="str">
        <f t="shared" si="1965"/>
        <v>MYR</v>
      </c>
      <c r="P4836" t="str">
        <f t="shared" si="1980"/>
        <v>NIL</v>
      </c>
      <c r="Q4836" t="str">
        <f t="shared" si="1980"/>
        <v>NIL</v>
      </c>
      <c r="R4836" t="str">
        <f t="shared" si="1967"/>
        <v>Accepted</v>
      </c>
      <c r="S4836" t="str">
        <f t="shared" si="1968"/>
        <v>Approved</v>
      </c>
      <c r="T4836" t="str">
        <f t="shared" si="1969"/>
        <v>10.20.8.188</v>
      </c>
      <c r="U4836" t="str">
        <f t="shared" si="1970"/>
        <v>AZRAD UMAR BIN SHAARI</v>
      </c>
      <c r="V4836" t="str">
        <f t="shared" si="1971"/>
        <v>FARHANA BINTI MUSTAPA</v>
      </c>
      <c r="W4836" t="str">
        <f t="shared" si="1972"/>
        <v>04-08-2020</v>
      </c>
      <c r="X4836" t="str">
        <f t="shared" si="1973"/>
        <v>RAZIMAH ANSAR AHMAD</v>
      </c>
      <c r="Y4836" t="str">
        <f t="shared" si="1974"/>
        <v>04-08-2020</v>
      </c>
      <c r="Z4836" t="str">
        <f>"COS10200804 4318"</f>
        <v>COS10200804 4318</v>
      </c>
    </row>
    <row r="4837" spans="1:26" x14ac:dyDescent="0.25">
      <c r="A4837" t="str">
        <f t="shared" si="1977"/>
        <v>04-08-2020 12:49:03</v>
      </c>
      <c r="B4837" t="str">
        <f>"0000806096"</f>
        <v>0000806096</v>
      </c>
      <c r="C4837" t="str">
        <f t="shared" si="1978"/>
        <v>0000805979</v>
      </c>
      <c r="D4837" t="str">
        <f t="shared" si="1960"/>
        <v>73185</v>
      </c>
      <c r="E4837" t="str">
        <f t="shared" si="1961"/>
        <v>KFH-OPERATIONS DEPARTMENT</v>
      </c>
      <c r="F4837" t="str">
        <f t="shared" si="1962"/>
        <v>IBG</v>
      </c>
      <c r="G4837" t="str">
        <f t="shared" si="1975"/>
        <v>Refund COSHARE 10</v>
      </c>
      <c r="H4837" s="2">
        <v>1241</v>
      </c>
      <c r="I4837" t="str">
        <f>"BEBEE NASRIYAH BINTI SAID RASTAM"</f>
        <v>BEBEE NASRIYAH BINTI SAID RASTAM</v>
      </c>
      <c r="J4837" t="str">
        <f t="shared" si="1976"/>
        <v>MAYBANK / MAYBANK ISLAMIC</v>
      </c>
      <c r="K4837" t="str">
        <f>"152107981549"</f>
        <v>152107981549</v>
      </c>
      <c r="L4837" t="str">
        <f t="shared" si="1979"/>
        <v>04-08-2020</v>
      </c>
      <c r="M4837" t="str">
        <f t="shared" si="1979"/>
        <v>04-08-2020</v>
      </c>
      <c r="N4837" t="str">
        <f t="shared" si="1964"/>
        <v>001105018356</v>
      </c>
      <c r="O4837" t="str">
        <f t="shared" si="1965"/>
        <v>MYR</v>
      </c>
      <c r="P4837" t="str">
        <f t="shared" si="1980"/>
        <v>NIL</v>
      </c>
      <c r="Q4837" t="str">
        <f t="shared" si="1980"/>
        <v>NIL</v>
      </c>
      <c r="R4837" t="str">
        <f t="shared" si="1967"/>
        <v>Accepted</v>
      </c>
      <c r="S4837" t="str">
        <f t="shared" si="1968"/>
        <v>Approved</v>
      </c>
      <c r="T4837" t="str">
        <f t="shared" si="1969"/>
        <v>10.20.8.188</v>
      </c>
      <c r="U4837" t="str">
        <f t="shared" si="1970"/>
        <v>AZRAD UMAR BIN SHAARI</v>
      </c>
      <c r="V4837" t="str">
        <f t="shared" si="1971"/>
        <v>FARHANA BINTI MUSTAPA</v>
      </c>
      <c r="W4837" t="str">
        <f t="shared" si="1972"/>
        <v>04-08-2020</v>
      </c>
      <c r="X4837" t="str">
        <f t="shared" si="1973"/>
        <v>RAZIMAH ANSAR AHMAD</v>
      </c>
      <c r="Y4837" t="str">
        <f t="shared" si="1974"/>
        <v>04-08-2020</v>
      </c>
      <c r="Z4837" t="str">
        <f>"COS10200804 4317"</f>
        <v>COS10200804 4317</v>
      </c>
    </row>
    <row r="4838" spans="1:26" x14ac:dyDescent="0.25">
      <c r="A4838" t="str">
        <f t="shared" si="1977"/>
        <v>04-08-2020 12:49:03</v>
      </c>
      <c r="B4838" t="str">
        <f>"0000806095"</f>
        <v>0000806095</v>
      </c>
      <c r="C4838" t="str">
        <f t="shared" si="1978"/>
        <v>0000805979</v>
      </c>
      <c r="D4838" t="str">
        <f t="shared" si="1960"/>
        <v>73185</v>
      </c>
      <c r="E4838" t="str">
        <f t="shared" si="1961"/>
        <v>KFH-OPERATIONS DEPARTMENT</v>
      </c>
      <c r="F4838" t="str">
        <f t="shared" si="1962"/>
        <v>IBG</v>
      </c>
      <c r="G4838" t="str">
        <f t="shared" si="1975"/>
        <v>Refund COSHARE 10</v>
      </c>
      <c r="H4838" s="2">
        <v>1422.3</v>
      </c>
      <c r="I4838" t="str">
        <f>"BASTIAR BIN ABDUL RAHMAN"</f>
        <v>BASTIAR BIN ABDUL RAHMAN</v>
      </c>
      <c r="J4838" t="str">
        <f t="shared" si="1976"/>
        <v>MAYBANK / MAYBANK ISLAMIC</v>
      </c>
      <c r="K4838" t="str">
        <f>"161079858493"</f>
        <v>161079858493</v>
      </c>
      <c r="L4838" t="str">
        <f t="shared" si="1979"/>
        <v>04-08-2020</v>
      </c>
      <c r="M4838" t="str">
        <f t="shared" si="1979"/>
        <v>04-08-2020</v>
      </c>
      <c r="N4838" t="str">
        <f t="shared" si="1964"/>
        <v>001105018356</v>
      </c>
      <c r="O4838" t="str">
        <f t="shared" si="1965"/>
        <v>MYR</v>
      </c>
      <c r="P4838" t="str">
        <f t="shared" si="1980"/>
        <v>NIL</v>
      </c>
      <c r="Q4838" t="str">
        <f t="shared" si="1980"/>
        <v>NIL</v>
      </c>
      <c r="R4838" t="str">
        <f t="shared" si="1967"/>
        <v>Accepted</v>
      </c>
      <c r="S4838" t="str">
        <f t="shared" si="1968"/>
        <v>Approved</v>
      </c>
      <c r="T4838" t="str">
        <f t="shared" si="1969"/>
        <v>10.20.8.188</v>
      </c>
      <c r="U4838" t="str">
        <f t="shared" si="1970"/>
        <v>AZRAD UMAR BIN SHAARI</v>
      </c>
      <c r="V4838" t="str">
        <f t="shared" si="1971"/>
        <v>FARHANA BINTI MUSTAPA</v>
      </c>
      <c r="W4838" t="str">
        <f t="shared" si="1972"/>
        <v>04-08-2020</v>
      </c>
      <c r="X4838" t="str">
        <f t="shared" si="1973"/>
        <v>RAZIMAH ANSAR AHMAD</v>
      </c>
      <c r="Y4838" t="str">
        <f t="shared" si="1974"/>
        <v>04-08-2020</v>
      </c>
      <c r="Z4838" t="str">
        <f>"COS10200804 4316"</f>
        <v>COS10200804 4316</v>
      </c>
    </row>
    <row r="4839" spans="1:26" x14ac:dyDescent="0.25">
      <c r="A4839" t="str">
        <f t="shared" si="1977"/>
        <v>04-08-2020 12:49:03</v>
      </c>
      <c r="B4839" t="str">
        <f>"0000806094"</f>
        <v>0000806094</v>
      </c>
      <c r="C4839" t="str">
        <f t="shared" si="1978"/>
        <v>0000805979</v>
      </c>
      <c r="D4839" t="str">
        <f t="shared" si="1960"/>
        <v>73185</v>
      </c>
      <c r="E4839" t="str">
        <f t="shared" si="1961"/>
        <v>KFH-OPERATIONS DEPARTMENT</v>
      </c>
      <c r="F4839" t="str">
        <f t="shared" si="1962"/>
        <v>IBG</v>
      </c>
      <c r="G4839" t="str">
        <f t="shared" si="1975"/>
        <v>Refund COSHARE 10</v>
      </c>
      <c r="H4839" s="2">
        <v>333.6</v>
      </c>
      <c r="I4839" t="str">
        <f>"BASRI BIN NUSU"</f>
        <v>BASRI BIN NUSU</v>
      </c>
      <c r="J4839" t="str">
        <f t="shared" si="1976"/>
        <v>MAYBANK / MAYBANK ISLAMIC</v>
      </c>
      <c r="K4839" t="str">
        <f>"110032091754"</f>
        <v>110032091754</v>
      </c>
      <c r="L4839" t="str">
        <f t="shared" si="1979"/>
        <v>04-08-2020</v>
      </c>
      <c r="M4839" t="str">
        <f t="shared" si="1979"/>
        <v>04-08-2020</v>
      </c>
      <c r="N4839" t="str">
        <f t="shared" si="1964"/>
        <v>001105018356</v>
      </c>
      <c r="O4839" t="str">
        <f t="shared" si="1965"/>
        <v>MYR</v>
      </c>
      <c r="P4839" t="str">
        <f t="shared" si="1980"/>
        <v>NIL</v>
      </c>
      <c r="Q4839" t="str">
        <f t="shared" si="1980"/>
        <v>NIL</v>
      </c>
      <c r="R4839" t="str">
        <f t="shared" si="1967"/>
        <v>Accepted</v>
      </c>
      <c r="S4839" t="str">
        <f t="shared" si="1968"/>
        <v>Approved</v>
      </c>
      <c r="T4839" t="str">
        <f t="shared" si="1969"/>
        <v>10.20.8.188</v>
      </c>
      <c r="U4839" t="str">
        <f t="shared" si="1970"/>
        <v>AZRAD UMAR BIN SHAARI</v>
      </c>
      <c r="V4839" t="str">
        <f t="shared" si="1971"/>
        <v>FARHANA BINTI MUSTAPA</v>
      </c>
      <c r="W4839" t="str">
        <f t="shared" si="1972"/>
        <v>04-08-2020</v>
      </c>
      <c r="X4839" t="str">
        <f t="shared" si="1973"/>
        <v>RAZIMAH ANSAR AHMAD</v>
      </c>
      <c r="Y4839" t="str">
        <f t="shared" si="1974"/>
        <v>04-08-2020</v>
      </c>
      <c r="Z4839" t="str">
        <f>"COS10200804 4315"</f>
        <v>COS10200804 4315</v>
      </c>
    </row>
    <row r="4840" spans="1:26" x14ac:dyDescent="0.25">
      <c r="A4840" t="str">
        <f t="shared" si="1977"/>
        <v>04-08-2020 12:49:03</v>
      </c>
      <c r="B4840" t="str">
        <f>"0000806093"</f>
        <v>0000806093</v>
      </c>
      <c r="C4840" t="str">
        <f t="shared" si="1978"/>
        <v>0000805979</v>
      </c>
      <c r="D4840" t="str">
        <f t="shared" si="1960"/>
        <v>73185</v>
      </c>
      <c r="E4840" t="str">
        <f t="shared" si="1961"/>
        <v>KFH-OPERATIONS DEPARTMENT</v>
      </c>
      <c r="F4840" t="str">
        <f t="shared" si="1962"/>
        <v>IBG</v>
      </c>
      <c r="G4840" t="str">
        <f t="shared" si="1975"/>
        <v>Refund COSHARE 10</v>
      </c>
      <c r="H4840" s="2">
        <v>226</v>
      </c>
      <c r="I4840" t="str">
        <f>"BASKARAN AL KOMARASAMY"</f>
        <v>BASKARAN AL KOMARASAMY</v>
      </c>
      <c r="J4840" t="str">
        <f t="shared" si="1976"/>
        <v>MAYBANK / MAYBANK ISLAMIC</v>
      </c>
      <c r="K4840" t="str">
        <f>"108177018826"</f>
        <v>108177018826</v>
      </c>
      <c r="L4840" t="str">
        <f t="shared" si="1979"/>
        <v>04-08-2020</v>
      </c>
      <c r="M4840" t="str">
        <f t="shared" si="1979"/>
        <v>04-08-2020</v>
      </c>
      <c r="N4840" t="str">
        <f t="shared" si="1964"/>
        <v>001105018356</v>
      </c>
      <c r="O4840" t="str">
        <f t="shared" si="1965"/>
        <v>MYR</v>
      </c>
      <c r="P4840" t="str">
        <f t="shared" si="1980"/>
        <v>NIL</v>
      </c>
      <c r="Q4840" t="str">
        <f t="shared" si="1980"/>
        <v>NIL</v>
      </c>
      <c r="R4840" t="str">
        <f t="shared" si="1967"/>
        <v>Accepted</v>
      </c>
      <c r="S4840" t="str">
        <f t="shared" si="1968"/>
        <v>Approved</v>
      </c>
      <c r="T4840" t="str">
        <f t="shared" si="1969"/>
        <v>10.20.8.188</v>
      </c>
      <c r="U4840" t="str">
        <f t="shared" si="1970"/>
        <v>AZRAD UMAR BIN SHAARI</v>
      </c>
      <c r="V4840" t="str">
        <f t="shared" si="1971"/>
        <v>FARHANA BINTI MUSTAPA</v>
      </c>
      <c r="W4840" t="str">
        <f t="shared" si="1972"/>
        <v>04-08-2020</v>
      </c>
      <c r="X4840" t="str">
        <f t="shared" si="1973"/>
        <v>RAZIMAH ANSAR AHMAD</v>
      </c>
      <c r="Y4840" t="str">
        <f t="shared" si="1974"/>
        <v>04-08-2020</v>
      </c>
      <c r="Z4840" t="str">
        <f>"COS10200804 4314"</f>
        <v>COS10200804 4314</v>
      </c>
    </row>
    <row r="4841" spans="1:26" x14ac:dyDescent="0.25">
      <c r="A4841" t="str">
        <f t="shared" si="1977"/>
        <v>04-08-2020 12:49:03</v>
      </c>
      <c r="B4841" t="str">
        <f>"0000806092"</f>
        <v>0000806092</v>
      </c>
      <c r="C4841" t="str">
        <f t="shared" si="1978"/>
        <v>0000805979</v>
      </c>
      <c r="D4841" t="str">
        <f t="shared" si="1960"/>
        <v>73185</v>
      </c>
      <c r="E4841" t="str">
        <f t="shared" si="1961"/>
        <v>KFH-OPERATIONS DEPARTMENT</v>
      </c>
      <c r="F4841" t="str">
        <f t="shared" si="1962"/>
        <v>IBG</v>
      </c>
      <c r="G4841" t="str">
        <f t="shared" si="1975"/>
        <v>Refund COSHARE 10</v>
      </c>
      <c r="H4841" s="2">
        <v>226</v>
      </c>
      <c r="I4841" t="str">
        <f>"BASKARAN AL KOMARASAMY"</f>
        <v>BASKARAN AL KOMARASAMY</v>
      </c>
      <c r="J4841" t="str">
        <f t="shared" si="1976"/>
        <v>MAYBANK / MAYBANK ISLAMIC</v>
      </c>
      <c r="K4841" t="str">
        <f>"108177018826"</f>
        <v>108177018826</v>
      </c>
      <c r="L4841" t="str">
        <f t="shared" si="1979"/>
        <v>04-08-2020</v>
      </c>
      <c r="M4841" t="str">
        <f t="shared" si="1979"/>
        <v>04-08-2020</v>
      </c>
      <c r="N4841" t="str">
        <f t="shared" si="1964"/>
        <v>001105018356</v>
      </c>
      <c r="O4841" t="str">
        <f t="shared" si="1965"/>
        <v>MYR</v>
      </c>
      <c r="P4841" t="str">
        <f t="shared" si="1980"/>
        <v>NIL</v>
      </c>
      <c r="Q4841" t="str">
        <f t="shared" si="1980"/>
        <v>NIL</v>
      </c>
      <c r="R4841" t="str">
        <f t="shared" si="1967"/>
        <v>Accepted</v>
      </c>
      <c r="S4841" t="str">
        <f t="shared" si="1968"/>
        <v>Approved</v>
      </c>
      <c r="T4841" t="str">
        <f t="shared" si="1969"/>
        <v>10.20.8.188</v>
      </c>
      <c r="U4841" t="str">
        <f t="shared" si="1970"/>
        <v>AZRAD UMAR BIN SHAARI</v>
      </c>
      <c r="V4841" t="str">
        <f t="shared" si="1971"/>
        <v>FARHANA BINTI MUSTAPA</v>
      </c>
      <c r="W4841" t="str">
        <f t="shared" si="1972"/>
        <v>04-08-2020</v>
      </c>
      <c r="X4841" t="str">
        <f t="shared" si="1973"/>
        <v>RAZIMAH ANSAR AHMAD</v>
      </c>
      <c r="Y4841" t="str">
        <f t="shared" si="1974"/>
        <v>04-08-2020</v>
      </c>
      <c r="Z4841" t="str">
        <f>"COS10200804 4313"</f>
        <v>COS10200804 4313</v>
      </c>
    </row>
    <row r="4842" spans="1:26" x14ac:dyDescent="0.25">
      <c r="A4842" t="str">
        <f t="shared" si="1977"/>
        <v>04-08-2020 12:49:03</v>
      </c>
      <c r="B4842" t="str">
        <f>"0000806091"</f>
        <v>0000806091</v>
      </c>
      <c r="C4842" t="str">
        <f t="shared" si="1978"/>
        <v>0000805979</v>
      </c>
      <c r="D4842" t="str">
        <f t="shared" si="1960"/>
        <v>73185</v>
      </c>
      <c r="E4842" t="str">
        <f t="shared" si="1961"/>
        <v>KFH-OPERATIONS DEPARTMENT</v>
      </c>
      <c r="F4842" t="str">
        <f t="shared" si="1962"/>
        <v>IBG</v>
      </c>
      <c r="G4842" t="str">
        <f t="shared" si="1975"/>
        <v>Refund COSHARE 10</v>
      </c>
      <c r="H4842" s="2">
        <v>1679</v>
      </c>
      <c r="I4842" t="str">
        <f>"BASKAR AL LATCHUMANAN"</f>
        <v>BASKAR AL LATCHUMANAN</v>
      </c>
      <c r="J4842" t="str">
        <f t="shared" si="1976"/>
        <v>MAYBANK / MAYBANK ISLAMIC</v>
      </c>
      <c r="K4842" t="str">
        <f>"112223021015"</f>
        <v>112223021015</v>
      </c>
      <c r="L4842" t="str">
        <f t="shared" si="1979"/>
        <v>04-08-2020</v>
      </c>
      <c r="M4842" t="str">
        <f t="shared" si="1979"/>
        <v>04-08-2020</v>
      </c>
      <c r="N4842" t="str">
        <f t="shared" si="1964"/>
        <v>001105018356</v>
      </c>
      <c r="O4842" t="str">
        <f t="shared" si="1965"/>
        <v>MYR</v>
      </c>
      <c r="P4842" t="str">
        <f t="shared" si="1980"/>
        <v>NIL</v>
      </c>
      <c r="Q4842" t="str">
        <f t="shared" si="1980"/>
        <v>NIL</v>
      </c>
      <c r="R4842" t="str">
        <f t="shared" si="1967"/>
        <v>Accepted</v>
      </c>
      <c r="S4842" t="str">
        <f t="shared" si="1968"/>
        <v>Approved</v>
      </c>
      <c r="T4842" t="str">
        <f t="shared" si="1969"/>
        <v>10.20.8.188</v>
      </c>
      <c r="U4842" t="str">
        <f t="shared" si="1970"/>
        <v>AZRAD UMAR BIN SHAARI</v>
      </c>
      <c r="V4842" t="str">
        <f t="shared" si="1971"/>
        <v>FARHANA BINTI MUSTAPA</v>
      </c>
      <c r="W4842" t="str">
        <f t="shared" si="1972"/>
        <v>04-08-2020</v>
      </c>
      <c r="X4842" t="str">
        <f t="shared" si="1973"/>
        <v>RAZIMAH ANSAR AHMAD</v>
      </c>
      <c r="Y4842" t="str">
        <f t="shared" si="1974"/>
        <v>04-08-2020</v>
      </c>
      <c r="Z4842" t="str">
        <f>"COS10200804 4312"</f>
        <v>COS10200804 4312</v>
      </c>
    </row>
    <row r="4843" spans="1:26" x14ac:dyDescent="0.25">
      <c r="A4843" t="str">
        <f t="shared" si="1977"/>
        <v>04-08-2020 12:49:03</v>
      </c>
      <c r="B4843" t="str">
        <f>"0000806090"</f>
        <v>0000806090</v>
      </c>
      <c r="C4843" t="str">
        <f t="shared" si="1978"/>
        <v>0000805979</v>
      </c>
      <c r="D4843" t="str">
        <f t="shared" si="1960"/>
        <v>73185</v>
      </c>
      <c r="E4843" t="str">
        <f t="shared" si="1961"/>
        <v>KFH-OPERATIONS DEPARTMENT</v>
      </c>
      <c r="F4843" t="str">
        <f t="shared" si="1962"/>
        <v>IBG</v>
      </c>
      <c r="G4843" t="str">
        <f t="shared" si="1975"/>
        <v>Refund COSHARE 10</v>
      </c>
      <c r="H4843" s="2">
        <v>1807</v>
      </c>
      <c r="I4843" t="str">
        <f>"BANJURAIZAH BINTI JOHAR"</f>
        <v>BANJURAIZAH BINTI JOHAR</v>
      </c>
      <c r="J4843" t="str">
        <f t="shared" si="1976"/>
        <v>MAYBANK / MAYBANK ISLAMIC</v>
      </c>
      <c r="K4843" t="str">
        <f>"159012712622"</f>
        <v>159012712622</v>
      </c>
      <c r="L4843" t="str">
        <f t="shared" si="1979"/>
        <v>04-08-2020</v>
      </c>
      <c r="M4843" t="str">
        <f t="shared" si="1979"/>
        <v>04-08-2020</v>
      </c>
      <c r="N4843" t="str">
        <f t="shared" si="1964"/>
        <v>001105018356</v>
      </c>
      <c r="O4843" t="str">
        <f t="shared" si="1965"/>
        <v>MYR</v>
      </c>
      <c r="P4843" t="str">
        <f t="shared" si="1980"/>
        <v>NIL</v>
      </c>
      <c r="Q4843" t="str">
        <f t="shared" si="1980"/>
        <v>NIL</v>
      </c>
      <c r="R4843" t="str">
        <f t="shared" si="1967"/>
        <v>Accepted</v>
      </c>
      <c r="S4843" t="str">
        <f t="shared" si="1968"/>
        <v>Approved</v>
      </c>
      <c r="T4843" t="str">
        <f t="shared" si="1969"/>
        <v>10.20.8.188</v>
      </c>
      <c r="U4843" t="str">
        <f t="shared" si="1970"/>
        <v>AZRAD UMAR BIN SHAARI</v>
      </c>
      <c r="V4843" t="str">
        <f t="shared" si="1971"/>
        <v>FARHANA BINTI MUSTAPA</v>
      </c>
      <c r="W4843" t="str">
        <f t="shared" si="1972"/>
        <v>04-08-2020</v>
      </c>
      <c r="X4843" t="str">
        <f t="shared" si="1973"/>
        <v>RAZIMAH ANSAR AHMAD</v>
      </c>
      <c r="Y4843" t="str">
        <f t="shared" si="1974"/>
        <v>04-08-2020</v>
      </c>
      <c r="Z4843" t="str">
        <f>"COS10200804 4311"</f>
        <v>COS10200804 4311</v>
      </c>
    </row>
    <row r="4844" spans="1:26" x14ac:dyDescent="0.25">
      <c r="A4844" t="str">
        <f t="shared" si="1977"/>
        <v>04-08-2020 12:49:03</v>
      </c>
      <c r="B4844" t="str">
        <f>"0000806089"</f>
        <v>0000806089</v>
      </c>
      <c r="C4844" t="str">
        <f t="shared" si="1978"/>
        <v>0000805979</v>
      </c>
      <c r="D4844" t="str">
        <f t="shared" si="1960"/>
        <v>73185</v>
      </c>
      <c r="E4844" t="str">
        <f t="shared" si="1961"/>
        <v>KFH-OPERATIONS DEPARTMENT</v>
      </c>
      <c r="F4844" t="str">
        <f t="shared" si="1962"/>
        <v>IBG</v>
      </c>
      <c r="G4844" t="str">
        <f t="shared" si="1975"/>
        <v>Refund COSHARE 10</v>
      </c>
      <c r="H4844" s="2">
        <v>281</v>
      </c>
      <c r="I4844" t="str">
        <f>"BALVINDER SINGH AL GURME SINGH"</f>
        <v>BALVINDER SINGH AL GURME SINGH</v>
      </c>
      <c r="J4844" t="str">
        <f t="shared" si="1976"/>
        <v>MAYBANK / MAYBANK ISLAMIC</v>
      </c>
      <c r="K4844" t="str">
        <f>"108141060458"</f>
        <v>108141060458</v>
      </c>
      <c r="L4844" t="str">
        <f t="shared" si="1979"/>
        <v>04-08-2020</v>
      </c>
      <c r="M4844" t="str">
        <f t="shared" si="1979"/>
        <v>04-08-2020</v>
      </c>
      <c r="N4844" t="str">
        <f t="shared" si="1964"/>
        <v>001105018356</v>
      </c>
      <c r="O4844" t="str">
        <f t="shared" si="1965"/>
        <v>MYR</v>
      </c>
      <c r="P4844" t="str">
        <f t="shared" si="1980"/>
        <v>NIL</v>
      </c>
      <c r="Q4844" t="str">
        <f t="shared" si="1980"/>
        <v>NIL</v>
      </c>
      <c r="R4844" t="str">
        <f t="shared" si="1967"/>
        <v>Accepted</v>
      </c>
      <c r="S4844" t="str">
        <f t="shared" si="1968"/>
        <v>Approved</v>
      </c>
      <c r="T4844" t="str">
        <f t="shared" si="1969"/>
        <v>10.20.8.188</v>
      </c>
      <c r="U4844" t="str">
        <f t="shared" si="1970"/>
        <v>AZRAD UMAR BIN SHAARI</v>
      </c>
      <c r="V4844" t="str">
        <f t="shared" si="1971"/>
        <v>FARHANA BINTI MUSTAPA</v>
      </c>
      <c r="W4844" t="str">
        <f t="shared" si="1972"/>
        <v>04-08-2020</v>
      </c>
      <c r="X4844" t="str">
        <f t="shared" si="1973"/>
        <v>RAZIMAH ANSAR AHMAD</v>
      </c>
      <c r="Y4844" t="str">
        <f t="shared" si="1974"/>
        <v>04-08-2020</v>
      </c>
      <c r="Z4844" t="str">
        <f>"COS10200804 4310"</f>
        <v>COS10200804 4310</v>
      </c>
    </row>
    <row r="4845" spans="1:26" x14ac:dyDescent="0.25">
      <c r="A4845" t="str">
        <f t="shared" si="1977"/>
        <v>04-08-2020 12:49:03</v>
      </c>
      <c r="B4845" t="str">
        <f>"0000806088"</f>
        <v>0000806088</v>
      </c>
      <c r="C4845" t="str">
        <f t="shared" si="1978"/>
        <v>0000805979</v>
      </c>
      <c r="D4845" t="str">
        <f t="shared" si="1960"/>
        <v>73185</v>
      </c>
      <c r="E4845" t="str">
        <f t="shared" si="1961"/>
        <v>KFH-OPERATIONS DEPARTMENT</v>
      </c>
      <c r="F4845" t="str">
        <f t="shared" si="1962"/>
        <v>IBG</v>
      </c>
      <c r="G4845" t="str">
        <f t="shared" si="1975"/>
        <v>Refund COSHARE 10</v>
      </c>
      <c r="H4845" s="2">
        <v>915</v>
      </c>
      <c r="I4845" t="str">
        <f>"BALQIS BINTI ABDUL WAHID"</f>
        <v>BALQIS BINTI ABDUL WAHID</v>
      </c>
      <c r="J4845" t="str">
        <f t="shared" si="1976"/>
        <v>MAYBANK / MAYBANK ISLAMIC</v>
      </c>
      <c r="K4845" t="str">
        <f>"164315268744"</f>
        <v>164315268744</v>
      </c>
      <c r="L4845" t="str">
        <f t="shared" si="1979"/>
        <v>04-08-2020</v>
      </c>
      <c r="M4845" t="str">
        <f t="shared" si="1979"/>
        <v>04-08-2020</v>
      </c>
      <c r="N4845" t="str">
        <f t="shared" si="1964"/>
        <v>001105018356</v>
      </c>
      <c r="O4845" t="str">
        <f t="shared" si="1965"/>
        <v>MYR</v>
      </c>
      <c r="P4845" t="str">
        <f t="shared" si="1980"/>
        <v>NIL</v>
      </c>
      <c r="Q4845" t="str">
        <f t="shared" si="1980"/>
        <v>NIL</v>
      </c>
      <c r="R4845" t="str">
        <f t="shared" si="1967"/>
        <v>Accepted</v>
      </c>
      <c r="S4845" t="str">
        <f t="shared" si="1968"/>
        <v>Approved</v>
      </c>
      <c r="T4845" t="str">
        <f t="shared" si="1969"/>
        <v>10.20.8.188</v>
      </c>
      <c r="U4845" t="str">
        <f t="shared" si="1970"/>
        <v>AZRAD UMAR BIN SHAARI</v>
      </c>
      <c r="V4845" t="str">
        <f t="shared" si="1971"/>
        <v>FARHANA BINTI MUSTAPA</v>
      </c>
      <c r="W4845" t="str">
        <f t="shared" si="1972"/>
        <v>04-08-2020</v>
      </c>
      <c r="X4845" t="str">
        <f t="shared" si="1973"/>
        <v>RAZIMAH ANSAR AHMAD</v>
      </c>
      <c r="Y4845" t="str">
        <f t="shared" si="1974"/>
        <v>04-08-2020</v>
      </c>
      <c r="Z4845" t="str">
        <f>"COS10200804 4309"</f>
        <v>COS10200804 4309</v>
      </c>
    </row>
    <row r="4846" spans="1:26" x14ac:dyDescent="0.25">
      <c r="A4846" t="str">
        <f t="shared" si="1977"/>
        <v>04-08-2020 12:49:03</v>
      </c>
      <c r="B4846" t="str">
        <f>"0000806087"</f>
        <v>0000806087</v>
      </c>
      <c r="C4846" t="str">
        <f t="shared" si="1978"/>
        <v>0000805979</v>
      </c>
      <c r="D4846" t="str">
        <f t="shared" si="1960"/>
        <v>73185</v>
      </c>
      <c r="E4846" t="str">
        <f t="shared" si="1961"/>
        <v>KFH-OPERATIONS DEPARTMENT</v>
      </c>
      <c r="F4846" t="str">
        <f t="shared" si="1962"/>
        <v>IBG</v>
      </c>
      <c r="G4846" t="str">
        <f t="shared" si="1975"/>
        <v>Refund COSHARE 10</v>
      </c>
      <c r="H4846" s="2">
        <v>310.64999999999998</v>
      </c>
      <c r="I4846" t="str">
        <f>"BALILIS  JEFRYDIN BIN SAIDAN"</f>
        <v>BALILIS  JEFRYDIN BIN SAIDAN</v>
      </c>
      <c r="J4846" t="str">
        <f t="shared" si="1976"/>
        <v>MAYBANK / MAYBANK ISLAMIC</v>
      </c>
      <c r="K4846" t="str">
        <f>"105104104251"</f>
        <v>105104104251</v>
      </c>
      <c r="L4846" t="str">
        <f t="shared" si="1979"/>
        <v>04-08-2020</v>
      </c>
      <c r="M4846" t="str">
        <f t="shared" si="1979"/>
        <v>04-08-2020</v>
      </c>
      <c r="N4846" t="str">
        <f t="shared" si="1964"/>
        <v>001105018356</v>
      </c>
      <c r="O4846" t="str">
        <f t="shared" si="1965"/>
        <v>MYR</v>
      </c>
      <c r="P4846" t="str">
        <f t="shared" si="1980"/>
        <v>NIL</v>
      </c>
      <c r="Q4846" t="str">
        <f t="shared" si="1980"/>
        <v>NIL</v>
      </c>
      <c r="R4846" t="str">
        <f t="shared" si="1967"/>
        <v>Accepted</v>
      </c>
      <c r="S4846" t="str">
        <f t="shared" si="1968"/>
        <v>Approved</v>
      </c>
      <c r="T4846" t="str">
        <f t="shared" si="1969"/>
        <v>10.20.8.188</v>
      </c>
      <c r="U4846" t="str">
        <f t="shared" si="1970"/>
        <v>AZRAD UMAR BIN SHAARI</v>
      </c>
      <c r="V4846" t="str">
        <f t="shared" si="1971"/>
        <v>FARHANA BINTI MUSTAPA</v>
      </c>
      <c r="W4846" t="str">
        <f t="shared" si="1972"/>
        <v>04-08-2020</v>
      </c>
      <c r="X4846" t="str">
        <f t="shared" si="1973"/>
        <v>RAZIMAH ANSAR AHMAD</v>
      </c>
      <c r="Y4846" t="str">
        <f t="shared" si="1974"/>
        <v>04-08-2020</v>
      </c>
      <c r="Z4846" t="str">
        <f>"COS10200804 4308"</f>
        <v>COS10200804 4308</v>
      </c>
    </row>
    <row r="4847" spans="1:26" x14ac:dyDescent="0.25">
      <c r="A4847" t="str">
        <f t="shared" si="1977"/>
        <v>04-08-2020 12:49:03</v>
      </c>
      <c r="B4847" t="str">
        <f>"0000806086"</f>
        <v>0000806086</v>
      </c>
      <c r="C4847" t="str">
        <f t="shared" si="1978"/>
        <v>0000805979</v>
      </c>
      <c r="D4847" t="str">
        <f t="shared" si="1960"/>
        <v>73185</v>
      </c>
      <c r="E4847" t="str">
        <f t="shared" si="1961"/>
        <v>KFH-OPERATIONS DEPARTMENT</v>
      </c>
      <c r="F4847" t="str">
        <f t="shared" si="1962"/>
        <v>IBG</v>
      </c>
      <c r="G4847" t="str">
        <f t="shared" si="1975"/>
        <v>Refund COSHARE 10</v>
      </c>
      <c r="H4847" s="2">
        <v>75.599999999999994</v>
      </c>
      <c r="I4847" t="str">
        <f>"BAHTIARIZAM BIN MOHD LAZAR"</f>
        <v>BAHTIARIZAM BIN MOHD LAZAR</v>
      </c>
      <c r="J4847" t="str">
        <f t="shared" si="1976"/>
        <v>MAYBANK / MAYBANK ISLAMIC</v>
      </c>
      <c r="K4847" t="str">
        <f>"151034621474"</f>
        <v>151034621474</v>
      </c>
      <c r="L4847" t="str">
        <f t="shared" ref="L4847:M4866" si="1981">"04-08-2020"</f>
        <v>04-08-2020</v>
      </c>
      <c r="M4847" t="str">
        <f t="shared" si="1981"/>
        <v>04-08-2020</v>
      </c>
      <c r="N4847" t="str">
        <f t="shared" si="1964"/>
        <v>001105018356</v>
      </c>
      <c r="O4847" t="str">
        <f t="shared" si="1965"/>
        <v>MYR</v>
      </c>
      <c r="P4847" t="str">
        <f t="shared" ref="P4847:Q4866" si="1982">"NIL"</f>
        <v>NIL</v>
      </c>
      <c r="Q4847" t="str">
        <f t="shared" si="1982"/>
        <v>NIL</v>
      </c>
      <c r="R4847" t="str">
        <f t="shared" si="1967"/>
        <v>Accepted</v>
      </c>
      <c r="S4847" t="str">
        <f t="shared" si="1968"/>
        <v>Approved</v>
      </c>
      <c r="T4847" t="str">
        <f t="shared" si="1969"/>
        <v>10.20.8.188</v>
      </c>
      <c r="U4847" t="str">
        <f t="shared" si="1970"/>
        <v>AZRAD UMAR BIN SHAARI</v>
      </c>
      <c r="V4847" t="str">
        <f t="shared" si="1971"/>
        <v>FARHANA BINTI MUSTAPA</v>
      </c>
      <c r="W4847" t="str">
        <f t="shared" si="1972"/>
        <v>04-08-2020</v>
      </c>
      <c r="X4847" t="str">
        <f t="shared" si="1973"/>
        <v>RAZIMAH ANSAR AHMAD</v>
      </c>
      <c r="Y4847" t="str">
        <f t="shared" si="1974"/>
        <v>04-08-2020</v>
      </c>
      <c r="Z4847" t="str">
        <f>"COS10200804 4307"</f>
        <v>COS10200804 4307</v>
      </c>
    </row>
    <row r="4848" spans="1:26" x14ac:dyDescent="0.25">
      <c r="A4848" t="str">
        <f t="shared" si="1977"/>
        <v>04-08-2020 12:49:03</v>
      </c>
      <c r="B4848" t="str">
        <f>"0000806085"</f>
        <v>0000806085</v>
      </c>
      <c r="C4848" t="str">
        <f t="shared" si="1978"/>
        <v>0000805979</v>
      </c>
      <c r="D4848" t="str">
        <f t="shared" si="1960"/>
        <v>73185</v>
      </c>
      <c r="E4848" t="str">
        <f t="shared" si="1961"/>
        <v>KFH-OPERATIONS DEPARTMENT</v>
      </c>
      <c r="F4848" t="str">
        <f t="shared" si="1962"/>
        <v>IBG</v>
      </c>
      <c r="G4848" t="str">
        <f t="shared" si="1975"/>
        <v>Refund COSHARE 10</v>
      </c>
      <c r="H4848" s="2">
        <v>1800.95</v>
      </c>
      <c r="I4848" t="str">
        <f>"BAHRIN BIN MOHAMED"</f>
        <v>BAHRIN BIN MOHAMED</v>
      </c>
      <c r="J4848" t="str">
        <f t="shared" si="1976"/>
        <v>MAYBANK / MAYBANK ISLAMIC</v>
      </c>
      <c r="K4848" t="str">
        <f>"111047138348"</f>
        <v>111047138348</v>
      </c>
      <c r="L4848" t="str">
        <f t="shared" si="1981"/>
        <v>04-08-2020</v>
      </c>
      <c r="M4848" t="str">
        <f t="shared" si="1981"/>
        <v>04-08-2020</v>
      </c>
      <c r="N4848" t="str">
        <f t="shared" si="1964"/>
        <v>001105018356</v>
      </c>
      <c r="O4848" t="str">
        <f t="shared" si="1965"/>
        <v>MYR</v>
      </c>
      <c r="P4848" t="str">
        <f t="shared" si="1982"/>
        <v>NIL</v>
      </c>
      <c r="Q4848" t="str">
        <f t="shared" si="1982"/>
        <v>NIL</v>
      </c>
      <c r="R4848" t="str">
        <f t="shared" si="1967"/>
        <v>Accepted</v>
      </c>
      <c r="S4848" t="str">
        <f t="shared" si="1968"/>
        <v>Approved</v>
      </c>
      <c r="T4848" t="str">
        <f t="shared" si="1969"/>
        <v>10.20.8.188</v>
      </c>
      <c r="U4848" t="str">
        <f t="shared" si="1970"/>
        <v>AZRAD UMAR BIN SHAARI</v>
      </c>
      <c r="V4848" t="str">
        <f t="shared" si="1971"/>
        <v>FARHANA BINTI MUSTAPA</v>
      </c>
      <c r="W4848" t="str">
        <f t="shared" si="1972"/>
        <v>04-08-2020</v>
      </c>
      <c r="X4848" t="str">
        <f t="shared" si="1973"/>
        <v>RAZIMAH ANSAR AHMAD</v>
      </c>
      <c r="Y4848" t="str">
        <f t="shared" si="1974"/>
        <v>04-08-2020</v>
      </c>
      <c r="Z4848" t="str">
        <f>"COS10200804 4306"</f>
        <v>COS10200804 4306</v>
      </c>
    </row>
    <row r="4849" spans="1:26" x14ac:dyDescent="0.25">
      <c r="A4849" t="str">
        <f t="shared" si="1977"/>
        <v>04-08-2020 12:49:03</v>
      </c>
      <c r="B4849" t="str">
        <f>"0000806084"</f>
        <v>0000806084</v>
      </c>
      <c r="C4849" t="str">
        <f t="shared" si="1978"/>
        <v>0000805979</v>
      </c>
      <c r="D4849" t="str">
        <f t="shared" si="1960"/>
        <v>73185</v>
      </c>
      <c r="E4849" t="str">
        <f t="shared" si="1961"/>
        <v>KFH-OPERATIONS DEPARTMENT</v>
      </c>
      <c r="F4849" t="str">
        <f t="shared" si="1962"/>
        <v>IBG</v>
      </c>
      <c r="G4849" t="str">
        <f t="shared" si="1975"/>
        <v>Refund COSHARE 10</v>
      </c>
      <c r="H4849" s="2">
        <v>127</v>
      </c>
      <c r="I4849" t="str">
        <f>"BAHRIM BIN BAHAROM"</f>
        <v>BAHRIM BIN BAHAROM</v>
      </c>
      <c r="J4849" t="str">
        <f t="shared" si="1976"/>
        <v>MAYBANK / MAYBANK ISLAMIC</v>
      </c>
      <c r="K4849" t="str">
        <f>"162012543818"</f>
        <v>162012543818</v>
      </c>
      <c r="L4849" t="str">
        <f t="shared" si="1981"/>
        <v>04-08-2020</v>
      </c>
      <c r="M4849" t="str">
        <f t="shared" si="1981"/>
        <v>04-08-2020</v>
      </c>
      <c r="N4849" t="str">
        <f t="shared" si="1964"/>
        <v>001105018356</v>
      </c>
      <c r="O4849" t="str">
        <f t="shared" si="1965"/>
        <v>MYR</v>
      </c>
      <c r="P4849" t="str">
        <f t="shared" si="1982"/>
        <v>NIL</v>
      </c>
      <c r="Q4849" t="str">
        <f t="shared" si="1982"/>
        <v>NIL</v>
      </c>
      <c r="R4849" t="str">
        <f t="shared" si="1967"/>
        <v>Accepted</v>
      </c>
      <c r="S4849" t="str">
        <f t="shared" si="1968"/>
        <v>Approved</v>
      </c>
      <c r="T4849" t="str">
        <f t="shared" si="1969"/>
        <v>10.20.8.188</v>
      </c>
      <c r="U4849" t="str">
        <f t="shared" si="1970"/>
        <v>AZRAD UMAR BIN SHAARI</v>
      </c>
      <c r="V4849" t="str">
        <f t="shared" si="1971"/>
        <v>FARHANA BINTI MUSTAPA</v>
      </c>
      <c r="W4849" t="str">
        <f t="shared" si="1972"/>
        <v>04-08-2020</v>
      </c>
      <c r="X4849" t="str">
        <f t="shared" si="1973"/>
        <v>RAZIMAH ANSAR AHMAD</v>
      </c>
      <c r="Y4849" t="str">
        <f t="shared" si="1974"/>
        <v>04-08-2020</v>
      </c>
      <c r="Z4849" t="str">
        <f>"COS10200804 4305"</f>
        <v>COS10200804 4305</v>
      </c>
    </row>
    <row r="4850" spans="1:26" x14ac:dyDescent="0.25">
      <c r="A4850" t="str">
        <f t="shared" ref="A4850:A4881" si="1983">"04-08-2020 12:49:03"</f>
        <v>04-08-2020 12:49:03</v>
      </c>
      <c r="B4850" t="str">
        <f>"0000806083"</f>
        <v>0000806083</v>
      </c>
      <c r="C4850" t="str">
        <f t="shared" ref="C4850:C4881" si="1984">"0000805979"</f>
        <v>0000805979</v>
      </c>
      <c r="D4850" t="str">
        <f t="shared" si="1960"/>
        <v>73185</v>
      </c>
      <c r="E4850" t="str">
        <f t="shared" si="1961"/>
        <v>KFH-OPERATIONS DEPARTMENT</v>
      </c>
      <c r="F4850" t="str">
        <f t="shared" si="1962"/>
        <v>IBG</v>
      </c>
      <c r="G4850" t="str">
        <f t="shared" si="1975"/>
        <v>Refund COSHARE 10</v>
      </c>
      <c r="H4850" s="2">
        <v>1074.5999999999999</v>
      </c>
      <c r="I4850" t="str">
        <f>"BAHARUDIN BIN MOHAMED"</f>
        <v>BAHARUDIN BIN MOHAMED</v>
      </c>
      <c r="J4850" t="str">
        <f t="shared" si="1976"/>
        <v>MAYBANK / MAYBANK ISLAMIC</v>
      </c>
      <c r="K4850" t="str">
        <f>"112044833112"</f>
        <v>112044833112</v>
      </c>
      <c r="L4850" t="str">
        <f t="shared" si="1981"/>
        <v>04-08-2020</v>
      </c>
      <c r="M4850" t="str">
        <f t="shared" si="1981"/>
        <v>04-08-2020</v>
      </c>
      <c r="N4850" t="str">
        <f t="shared" si="1964"/>
        <v>001105018356</v>
      </c>
      <c r="O4850" t="str">
        <f t="shared" si="1965"/>
        <v>MYR</v>
      </c>
      <c r="P4850" t="str">
        <f t="shared" si="1982"/>
        <v>NIL</v>
      </c>
      <c r="Q4850" t="str">
        <f t="shared" si="1982"/>
        <v>NIL</v>
      </c>
      <c r="R4850" t="str">
        <f t="shared" si="1967"/>
        <v>Accepted</v>
      </c>
      <c r="S4850" t="str">
        <f t="shared" si="1968"/>
        <v>Approved</v>
      </c>
      <c r="T4850" t="str">
        <f t="shared" si="1969"/>
        <v>10.20.8.188</v>
      </c>
      <c r="U4850" t="str">
        <f t="shared" si="1970"/>
        <v>AZRAD UMAR BIN SHAARI</v>
      </c>
      <c r="V4850" t="str">
        <f t="shared" si="1971"/>
        <v>FARHANA BINTI MUSTAPA</v>
      </c>
      <c r="W4850" t="str">
        <f t="shared" si="1972"/>
        <v>04-08-2020</v>
      </c>
      <c r="X4850" t="str">
        <f t="shared" si="1973"/>
        <v>RAZIMAH ANSAR AHMAD</v>
      </c>
      <c r="Y4850" t="str">
        <f t="shared" si="1974"/>
        <v>04-08-2020</v>
      </c>
      <c r="Z4850" t="str">
        <f>"COS10200804 4304"</f>
        <v>COS10200804 4304</v>
      </c>
    </row>
    <row r="4851" spans="1:26" x14ac:dyDescent="0.25">
      <c r="A4851" t="str">
        <f t="shared" si="1983"/>
        <v>04-08-2020 12:49:03</v>
      </c>
      <c r="B4851" t="str">
        <f>"0000806082"</f>
        <v>0000806082</v>
      </c>
      <c r="C4851" t="str">
        <f t="shared" si="1984"/>
        <v>0000805979</v>
      </c>
      <c r="D4851" t="str">
        <f t="shared" si="1960"/>
        <v>73185</v>
      </c>
      <c r="E4851" t="str">
        <f t="shared" si="1961"/>
        <v>KFH-OPERATIONS DEPARTMENT</v>
      </c>
      <c r="F4851" t="str">
        <f t="shared" si="1962"/>
        <v>IBG</v>
      </c>
      <c r="G4851" t="str">
        <f t="shared" si="1975"/>
        <v>Refund COSHARE 10</v>
      </c>
      <c r="H4851" s="2">
        <v>146.4</v>
      </c>
      <c r="I4851" t="str">
        <f>"BADRUL ZAMAN BIN ABDUL RAHIM"</f>
        <v>BADRUL ZAMAN BIN ABDUL RAHIM</v>
      </c>
      <c r="J4851" t="str">
        <f t="shared" si="1976"/>
        <v>MAYBANK / MAYBANK ISLAMIC</v>
      </c>
      <c r="K4851" t="str">
        <f>"108122506468"</f>
        <v>108122506468</v>
      </c>
      <c r="L4851" t="str">
        <f t="shared" si="1981"/>
        <v>04-08-2020</v>
      </c>
      <c r="M4851" t="str">
        <f t="shared" si="1981"/>
        <v>04-08-2020</v>
      </c>
      <c r="N4851" t="str">
        <f t="shared" si="1964"/>
        <v>001105018356</v>
      </c>
      <c r="O4851" t="str">
        <f t="shared" si="1965"/>
        <v>MYR</v>
      </c>
      <c r="P4851" t="str">
        <f t="shared" si="1982"/>
        <v>NIL</v>
      </c>
      <c r="Q4851" t="str">
        <f t="shared" si="1982"/>
        <v>NIL</v>
      </c>
      <c r="R4851" t="str">
        <f t="shared" si="1967"/>
        <v>Accepted</v>
      </c>
      <c r="S4851" t="str">
        <f t="shared" si="1968"/>
        <v>Approved</v>
      </c>
      <c r="T4851" t="str">
        <f t="shared" si="1969"/>
        <v>10.20.8.188</v>
      </c>
      <c r="U4851" t="str">
        <f t="shared" si="1970"/>
        <v>AZRAD UMAR BIN SHAARI</v>
      </c>
      <c r="V4851" t="str">
        <f t="shared" si="1971"/>
        <v>FARHANA BINTI MUSTAPA</v>
      </c>
      <c r="W4851" t="str">
        <f t="shared" si="1972"/>
        <v>04-08-2020</v>
      </c>
      <c r="X4851" t="str">
        <f t="shared" si="1973"/>
        <v>RAZIMAH ANSAR AHMAD</v>
      </c>
      <c r="Y4851" t="str">
        <f t="shared" si="1974"/>
        <v>04-08-2020</v>
      </c>
      <c r="Z4851" t="str">
        <f>"COS10200804 4303"</f>
        <v>COS10200804 4303</v>
      </c>
    </row>
    <row r="4852" spans="1:26" x14ac:dyDescent="0.25">
      <c r="A4852" t="str">
        <f t="shared" si="1983"/>
        <v>04-08-2020 12:49:03</v>
      </c>
      <c r="B4852" t="str">
        <f>"0000806081"</f>
        <v>0000806081</v>
      </c>
      <c r="C4852" t="str">
        <f t="shared" si="1984"/>
        <v>0000805979</v>
      </c>
      <c r="D4852" t="str">
        <f t="shared" si="1960"/>
        <v>73185</v>
      </c>
      <c r="E4852" t="str">
        <f t="shared" si="1961"/>
        <v>KFH-OPERATIONS DEPARTMENT</v>
      </c>
      <c r="F4852" t="str">
        <f t="shared" si="1962"/>
        <v>IBG</v>
      </c>
      <c r="G4852" t="str">
        <f t="shared" si="1975"/>
        <v>Refund COSHARE 10</v>
      </c>
      <c r="H4852" s="2">
        <v>337.1</v>
      </c>
      <c r="I4852" t="str">
        <f>"BADRUL ISHAM BIN OSMAN"</f>
        <v>BADRUL ISHAM BIN OSMAN</v>
      </c>
      <c r="J4852" t="str">
        <f t="shared" si="1976"/>
        <v>MAYBANK / MAYBANK ISLAMIC</v>
      </c>
      <c r="K4852" t="str">
        <f>"107117989578"</f>
        <v>107117989578</v>
      </c>
      <c r="L4852" t="str">
        <f t="shared" si="1981"/>
        <v>04-08-2020</v>
      </c>
      <c r="M4852" t="str">
        <f t="shared" si="1981"/>
        <v>04-08-2020</v>
      </c>
      <c r="N4852" t="str">
        <f t="shared" si="1964"/>
        <v>001105018356</v>
      </c>
      <c r="O4852" t="str">
        <f t="shared" si="1965"/>
        <v>MYR</v>
      </c>
      <c r="P4852" t="str">
        <f t="shared" si="1982"/>
        <v>NIL</v>
      </c>
      <c r="Q4852" t="str">
        <f t="shared" si="1982"/>
        <v>NIL</v>
      </c>
      <c r="R4852" t="str">
        <f t="shared" si="1967"/>
        <v>Accepted</v>
      </c>
      <c r="S4852" t="str">
        <f t="shared" si="1968"/>
        <v>Approved</v>
      </c>
      <c r="T4852" t="str">
        <f t="shared" si="1969"/>
        <v>10.20.8.188</v>
      </c>
      <c r="U4852" t="str">
        <f t="shared" si="1970"/>
        <v>AZRAD UMAR BIN SHAARI</v>
      </c>
      <c r="V4852" t="str">
        <f t="shared" si="1971"/>
        <v>FARHANA BINTI MUSTAPA</v>
      </c>
      <c r="W4852" t="str">
        <f t="shared" si="1972"/>
        <v>04-08-2020</v>
      </c>
      <c r="X4852" t="str">
        <f t="shared" si="1973"/>
        <v>RAZIMAH ANSAR AHMAD</v>
      </c>
      <c r="Y4852" t="str">
        <f t="shared" si="1974"/>
        <v>04-08-2020</v>
      </c>
      <c r="Z4852" t="str">
        <f>"COS10200804 4302"</f>
        <v>COS10200804 4302</v>
      </c>
    </row>
    <row r="4853" spans="1:26" x14ac:dyDescent="0.25">
      <c r="A4853" t="str">
        <f t="shared" si="1983"/>
        <v>04-08-2020 12:49:03</v>
      </c>
      <c r="B4853" t="str">
        <f>"0000806080"</f>
        <v>0000806080</v>
      </c>
      <c r="C4853" t="str">
        <f t="shared" si="1984"/>
        <v>0000805979</v>
      </c>
      <c r="D4853" t="str">
        <f t="shared" si="1960"/>
        <v>73185</v>
      </c>
      <c r="E4853" t="str">
        <f t="shared" si="1961"/>
        <v>KFH-OPERATIONS DEPARTMENT</v>
      </c>
      <c r="F4853" t="str">
        <f t="shared" si="1962"/>
        <v>IBG</v>
      </c>
      <c r="G4853" t="str">
        <f t="shared" si="1975"/>
        <v>Refund COSHARE 10</v>
      </c>
      <c r="H4853" s="2">
        <v>235.1</v>
      </c>
      <c r="I4853" t="str">
        <f>"BADRUL HISHAM BIN AWANG"</f>
        <v>BADRUL HISHAM BIN AWANG</v>
      </c>
      <c r="J4853" t="str">
        <f t="shared" si="1976"/>
        <v>MAYBANK / MAYBANK ISLAMIC</v>
      </c>
      <c r="K4853" t="str">
        <f>"162517047811"</f>
        <v>162517047811</v>
      </c>
      <c r="L4853" t="str">
        <f t="shared" si="1981"/>
        <v>04-08-2020</v>
      </c>
      <c r="M4853" t="str">
        <f t="shared" si="1981"/>
        <v>04-08-2020</v>
      </c>
      <c r="N4853" t="str">
        <f t="shared" si="1964"/>
        <v>001105018356</v>
      </c>
      <c r="O4853" t="str">
        <f t="shared" si="1965"/>
        <v>MYR</v>
      </c>
      <c r="P4853" t="str">
        <f t="shared" si="1982"/>
        <v>NIL</v>
      </c>
      <c r="Q4853" t="str">
        <f t="shared" si="1982"/>
        <v>NIL</v>
      </c>
      <c r="R4853" t="str">
        <f t="shared" si="1967"/>
        <v>Accepted</v>
      </c>
      <c r="S4853" t="str">
        <f t="shared" si="1968"/>
        <v>Approved</v>
      </c>
      <c r="T4853" t="str">
        <f t="shared" si="1969"/>
        <v>10.20.8.188</v>
      </c>
      <c r="U4853" t="str">
        <f t="shared" si="1970"/>
        <v>AZRAD UMAR BIN SHAARI</v>
      </c>
      <c r="V4853" t="str">
        <f t="shared" si="1971"/>
        <v>FARHANA BINTI MUSTAPA</v>
      </c>
      <c r="W4853" t="str">
        <f t="shared" si="1972"/>
        <v>04-08-2020</v>
      </c>
      <c r="X4853" t="str">
        <f t="shared" si="1973"/>
        <v>RAZIMAH ANSAR AHMAD</v>
      </c>
      <c r="Y4853" t="str">
        <f t="shared" si="1974"/>
        <v>04-08-2020</v>
      </c>
      <c r="Z4853" t="str">
        <f>"COS10200804 4301"</f>
        <v>COS10200804 4301</v>
      </c>
    </row>
    <row r="4854" spans="1:26" x14ac:dyDescent="0.25">
      <c r="A4854" t="str">
        <f t="shared" si="1983"/>
        <v>04-08-2020 12:49:03</v>
      </c>
      <c r="B4854" t="str">
        <f>"0000806079"</f>
        <v>0000806079</v>
      </c>
      <c r="C4854" t="str">
        <f t="shared" si="1984"/>
        <v>0000805979</v>
      </c>
      <c r="D4854" t="str">
        <f t="shared" si="1960"/>
        <v>73185</v>
      </c>
      <c r="E4854" t="str">
        <f t="shared" si="1961"/>
        <v>KFH-OPERATIONS DEPARTMENT</v>
      </c>
      <c r="F4854" t="str">
        <f t="shared" si="1962"/>
        <v>IBG</v>
      </c>
      <c r="G4854" t="str">
        <f t="shared" si="1975"/>
        <v>Refund COSHARE 10</v>
      </c>
      <c r="H4854" s="2">
        <v>503.7</v>
      </c>
      <c r="I4854" t="str">
        <f>"BADROL HUSAINI BIN MOHD TEJERY"</f>
        <v>BADROL HUSAINI BIN MOHD TEJERY</v>
      </c>
      <c r="J4854" t="str">
        <f t="shared" si="1976"/>
        <v>MAYBANK / MAYBANK ISLAMIC</v>
      </c>
      <c r="K4854" t="str">
        <f>"156012032836"</f>
        <v>156012032836</v>
      </c>
      <c r="L4854" t="str">
        <f t="shared" si="1981"/>
        <v>04-08-2020</v>
      </c>
      <c r="M4854" t="str">
        <f t="shared" si="1981"/>
        <v>04-08-2020</v>
      </c>
      <c r="N4854" t="str">
        <f t="shared" si="1964"/>
        <v>001105018356</v>
      </c>
      <c r="O4854" t="str">
        <f t="shared" si="1965"/>
        <v>MYR</v>
      </c>
      <c r="P4854" t="str">
        <f t="shared" si="1982"/>
        <v>NIL</v>
      </c>
      <c r="Q4854" t="str">
        <f t="shared" si="1982"/>
        <v>NIL</v>
      </c>
      <c r="R4854" t="str">
        <f t="shared" si="1967"/>
        <v>Accepted</v>
      </c>
      <c r="S4854" t="str">
        <f t="shared" si="1968"/>
        <v>Approved</v>
      </c>
      <c r="T4854" t="str">
        <f t="shared" si="1969"/>
        <v>10.20.8.188</v>
      </c>
      <c r="U4854" t="str">
        <f t="shared" si="1970"/>
        <v>AZRAD UMAR BIN SHAARI</v>
      </c>
      <c r="V4854" t="str">
        <f t="shared" si="1971"/>
        <v>FARHANA BINTI MUSTAPA</v>
      </c>
      <c r="W4854" t="str">
        <f t="shared" si="1972"/>
        <v>04-08-2020</v>
      </c>
      <c r="X4854" t="str">
        <f t="shared" si="1973"/>
        <v>RAZIMAH ANSAR AHMAD</v>
      </c>
      <c r="Y4854" t="str">
        <f t="shared" si="1974"/>
        <v>04-08-2020</v>
      </c>
      <c r="Z4854" t="str">
        <f>"COS10200804 4300"</f>
        <v>COS10200804 4300</v>
      </c>
    </row>
    <row r="4855" spans="1:26" x14ac:dyDescent="0.25">
      <c r="A4855" t="str">
        <f t="shared" si="1983"/>
        <v>04-08-2020 12:49:03</v>
      </c>
      <c r="B4855" t="str">
        <f>"0000806078"</f>
        <v>0000806078</v>
      </c>
      <c r="C4855" t="str">
        <f t="shared" si="1984"/>
        <v>0000805979</v>
      </c>
      <c r="D4855" t="str">
        <f t="shared" si="1960"/>
        <v>73185</v>
      </c>
      <c r="E4855" t="str">
        <f t="shared" si="1961"/>
        <v>KFH-OPERATIONS DEPARTMENT</v>
      </c>
      <c r="F4855" t="str">
        <f t="shared" si="1962"/>
        <v>IBG</v>
      </c>
      <c r="G4855" t="str">
        <f t="shared" si="1975"/>
        <v>Refund COSHARE 10</v>
      </c>
      <c r="H4855" s="2">
        <v>881.5</v>
      </c>
      <c r="I4855" t="str">
        <f>"BADRIAH BINTI OSMAN"</f>
        <v>BADRIAH BINTI OSMAN</v>
      </c>
      <c r="J4855" t="str">
        <f t="shared" si="1976"/>
        <v>MAYBANK / MAYBANK ISLAMIC</v>
      </c>
      <c r="K4855" t="str">
        <f>"158211008961"</f>
        <v>158211008961</v>
      </c>
      <c r="L4855" t="str">
        <f t="shared" si="1981"/>
        <v>04-08-2020</v>
      </c>
      <c r="M4855" t="str">
        <f t="shared" si="1981"/>
        <v>04-08-2020</v>
      </c>
      <c r="N4855" t="str">
        <f t="shared" si="1964"/>
        <v>001105018356</v>
      </c>
      <c r="O4855" t="str">
        <f t="shared" si="1965"/>
        <v>MYR</v>
      </c>
      <c r="P4855" t="str">
        <f t="shared" si="1982"/>
        <v>NIL</v>
      </c>
      <c r="Q4855" t="str">
        <f t="shared" si="1982"/>
        <v>NIL</v>
      </c>
      <c r="R4855" t="str">
        <f t="shared" si="1967"/>
        <v>Accepted</v>
      </c>
      <c r="S4855" t="str">
        <f t="shared" si="1968"/>
        <v>Approved</v>
      </c>
      <c r="T4855" t="str">
        <f t="shared" si="1969"/>
        <v>10.20.8.188</v>
      </c>
      <c r="U4855" t="str">
        <f t="shared" si="1970"/>
        <v>AZRAD UMAR BIN SHAARI</v>
      </c>
      <c r="V4855" t="str">
        <f t="shared" si="1971"/>
        <v>FARHANA BINTI MUSTAPA</v>
      </c>
      <c r="W4855" t="str">
        <f t="shared" si="1972"/>
        <v>04-08-2020</v>
      </c>
      <c r="X4855" t="str">
        <f t="shared" si="1973"/>
        <v>RAZIMAH ANSAR AHMAD</v>
      </c>
      <c r="Y4855" t="str">
        <f t="shared" si="1974"/>
        <v>04-08-2020</v>
      </c>
      <c r="Z4855" t="str">
        <f>"COS10200804 4299"</f>
        <v>COS10200804 4299</v>
      </c>
    </row>
    <row r="4856" spans="1:26" x14ac:dyDescent="0.25">
      <c r="A4856" t="str">
        <f t="shared" si="1983"/>
        <v>04-08-2020 12:49:03</v>
      </c>
      <c r="B4856" t="str">
        <f>"0000806077"</f>
        <v>0000806077</v>
      </c>
      <c r="C4856" t="str">
        <f t="shared" si="1984"/>
        <v>0000805979</v>
      </c>
      <c r="D4856" t="str">
        <f t="shared" si="1960"/>
        <v>73185</v>
      </c>
      <c r="E4856" t="str">
        <f t="shared" si="1961"/>
        <v>KFH-OPERATIONS DEPARTMENT</v>
      </c>
      <c r="F4856" t="str">
        <f t="shared" si="1962"/>
        <v>IBG</v>
      </c>
      <c r="G4856" t="str">
        <f t="shared" si="1975"/>
        <v>Refund COSHARE 10</v>
      </c>
      <c r="H4856" s="2">
        <v>1138</v>
      </c>
      <c r="I4856" t="str">
        <f>"BADRI HAZLAN BIN BADROL HISHAM"</f>
        <v>BADRI HAZLAN BIN BADROL HISHAM</v>
      </c>
      <c r="J4856" t="str">
        <f t="shared" si="1976"/>
        <v>MAYBANK / MAYBANK ISLAMIC</v>
      </c>
      <c r="K4856" t="str">
        <f>"157102498471"</f>
        <v>157102498471</v>
      </c>
      <c r="L4856" t="str">
        <f t="shared" si="1981"/>
        <v>04-08-2020</v>
      </c>
      <c r="M4856" t="str">
        <f t="shared" si="1981"/>
        <v>04-08-2020</v>
      </c>
      <c r="N4856" t="str">
        <f t="shared" si="1964"/>
        <v>001105018356</v>
      </c>
      <c r="O4856" t="str">
        <f t="shared" si="1965"/>
        <v>MYR</v>
      </c>
      <c r="P4856" t="str">
        <f t="shared" si="1982"/>
        <v>NIL</v>
      </c>
      <c r="Q4856" t="str">
        <f t="shared" si="1982"/>
        <v>NIL</v>
      </c>
      <c r="R4856" t="str">
        <f t="shared" si="1967"/>
        <v>Accepted</v>
      </c>
      <c r="S4856" t="str">
        <f t="shared" si="1968"/>
        <v>Approved</v>
      </c>
      <c r="T4856" t="str">
        <f t="shared" si="1969"/>
        <v>10.20.8.188</v>
      </c>
      <c r="U4856" t="str">
        <f t="shared" si="1970"/>
        <v>AZRAD UMAR BIN SHAARI</v>
      </c>
      <c r="V4856" t="str">
        <f t="shared" si="1971"/>
        <v>FARHANA BINTI MUSTAPA</v>
      </c>
      <c r="W4856" t="str">
        <f t="shared" si="1972"/>
        <v>04-08-2020</v>
      </c>
      <c r="X4856" t="str">
        <f t="shared" si="1973"/>
        <v>RAZIMAH ANSAR AHMAD</v>
      </c>
      <c r="Y4856" t="str">
        <f t="shared" si="1974"/>
        <v>04-08-2020</v>
      </c>
      <c r="Z4856" t="str">
        <f>"COS10200804 4298"</f>
        <v>COS10200804 4298</v>
      </c>
    </row>
    <row r="4857" spans="1:26" x14ac:dyDescent="0.25">
      <c r="A4857" t="str">
        <f t="shared" si="1983"/>
        <v>04-08-2020 12:49:03</v>
      </c>
      <c r="B4857" t="str">
        <f>"0000806076"</f>
        <v>0000806076</v>
      </c>
      <c r="C4857" t="str">
        <f t="shared" si="1984"/>
        <v>0000805979</v>
      </c>
      <c r="D4857" t="str">
        <f t="shared" si="1960"/>
        <v>73185</v>
      </c>
      <c r="E4857" t="str">
        <f t="shared" si="1961"/>
        <v>KFH-OPERATIONS DEPARTMENT</v>
      </c>
      <c r="F4857" t="str">
        <f t="shared" si="1962"/>
        <v>IBG</v>
      </c>
      <c r="G4857" t="str">
        <f t="shared" si="1975"/>
        <v>Refund COSHARE 10</v>
      </c>
      <c r="H4857" s="2">
        <v>629.65</v>
      </c>
      <c r="I4857" t="str">
        <f>"AZZANUR BINTI AZIZAN"</f>
        <v>AZZANUR BINTI AZIZAN</v>
      </c>
      <c r="J4857" t="str">
        <f t="shared" si="1976"/>
        <v>MAYBANK / MAYBANK ISLAMIC</v>
      </c>
      <c r="K4857" t="str">
        <f>"156075785032"</f>
        <v>156075785032</v>
      </c>
      <c r="L4857" t="str">
        <f t="shared" si="1981"/>
        <v>04-08-2020</v>
      </c>
      <c r="M4857" t="str">
        <f t="shared" si="1981"/>
        <v>04-08-2020</v>
      </c>
      <c r="N4857" t="str">
        <f t="shared" si="1964"/>
        <v>001105018356</v>
      </c>
      <c r="O4857" t="str">
        <f t="shared" si="1965"/>
        <v>MYR</v>
      </c>
      <c r="P4857" t="str">
        <f t="shared" si="1982"/>
        <v>NIL</v>
      </c>
      <c r="Q4857" t="str">
        <f t="shared" si="1982"/>
        <v>NIL</v>
      </c>
      <c r="R4857" t="str">
        <f t="shared" si="1967"/>
        <v>Accepted</v>
      </c>
      <c r="S4857" t="str">
        <f t="shared" si="1968"/>
        <v>Approved</v>
      </c>
      <c r="T4857" t="str">
        <f t="shared" si="1969"/>
        <v>10.20.8.188</v>
      </c>
      <c r="U4857" t="str">
        <f t="shared" si="1970"/>
        <v>AZRAD UMAR BIN SHAARI</v>
      </c>
      <c r="V4857" t="str">
        <f t="shared" si="1971"/>
        <v>FARHANA BINTI MUSTAPA</v>
      </c>
      <c r="W4857" t="str">
        <f t="shared" si="1972"/>
        <v>04-08-2020</v>
      </c>
      <c r="X4857" t="str">
        <f t="shared" si="1973"/>
        <v>RAZIMAH ANSAR AHMAD</v>
      </c>
      <c r="Y4857" t="str">
        <f t="shared" si="1974"/>
        <v>04-08-2020</v>
      </c>
      <c r="Z4857" t="str">
        <f>"COS10200804 4297"</f>
        <v>COS10200804 4297</v>
      </c>
    </row>
    <row r="4858" spans="1:26" x14ac:dyDescent="0.25">
      <c r="A4858" t="str">
        <f t="shared" si="1983"/>
        <v>04-08-2020 12:49:03</v>
      </c>
      <c r="B4858" t="str">
        <f>"0000806075"</f>
        <v>0000806075</v>
      </c>
      <c r="C4858" t="str">
        <f t="shared" si="1984"/>
        <v>0000805979</v>
      </c>
      <c r="D4858" t="str">
        <f t="shared" si="1960"/>
        <v>73185</v>
      </c>
      <c r="E4858" t="str">
        <f t="shared" si="1961"/>
        <v>KFH-OPERATIONS DEPARTMENT</v>
      </c>
      <c r="F4858" t="str">
        <f t="shared" si="1962"/>
        <v>IBG</v>
      </c>
      <c r="G4858" t="str">
        <f t="shared" si="1975"/>
        <v>Refund COSHARE 10</v>
      </c>
      <c r="H4858" s="2">
        <v>167.9</v>
      </c>
      <c r="I4858" t="str">
        <f>"AZWATI BINTI AHMAD"</f>
        <v>AZWATI BINTI AHMAD</v>
      </c>
      <c r="J4858" t="str">
        <f t="shared" si="1976"/>
        <v>MAYBANK / MAYBANK ISLAMIC</v>
      </c>
      <c r="K4858" t="str">
        <f>"157157795769"</f>
        <v>157157795769</v>
      </c>
      <c r="L4858" t="str">
        <f t="shared" si="1981"/>
        <v>04-08-2020</v>
      </c>
      <c r="M4858" t="str">
        <f t="shared" si="1981"/>
        <v>04-08-2020</v>
      </c>
      <c r="N4858" t="str">
        <f t="shared" si="1964"/>
        <v>001105018356</v>
      </c>
      <c r="O4858" t="str">
        <f t="shared" si="1965"/>
        <v>MYR</v>
      </c>
      <c r="P4858" t="str">
        <f t="shared" si="1982"/>
        <v>NIL</v>
      </c>
      <c r="Q4858" t="str">
        <f t="shared" si="1982"/>
        <v>NIL</v>
      </c>
      <c r="R4858" t="str">
        <f t="shared" si="1967"/>
        <v>Accepted</v>
      </c>
      <c r="S4858" t="str">
        <f t="shared" si="1968"/>
        <v>Approved</v>
      </c>
      <c r="T4858" t="str">
        <f t="shared" si="1969"/>
        <v>10.20.8.188</v>
      </c>
      <c r="U4858" t="str">
        <f t="shared" si="1970"/>
        <v>AZRAD UMAR BIN SHAARI</v>
      </c>
      <c r="V4858" t="str">
        <f t="shared" si="1971"/>
        <v>FARHANA BINTI MUSTAPA</v>
      </c>
      <c r="W4858" t="str">
        <f t="shared" si="1972"/>
        <v>04-08-2020</v>
      </c>
      <c r="X4858" t="str">
        <f t="shared" si="1973"/>
        <v>RAZIMAH ANSAR AHMAD</v>
      </c>
      <c r="Y4858" t="str">
        <f t="shared" si="1974"/>
        <v>04-08-2020</v>
      </c>
      <c r="Z4858" t="str">
        <f>"COS10200804 4296"</f>
        <v>COS10200804 4296</v>
      </c>
    </row>
    <row r="4859" spans="1:26" x14ac:dyDescent="0.25">
      <c r="A4859" t="str">
        <f t="shared" si="1983"/>
        <v>04-08-2020 12:49:03</v>
      </c>
      <c r="B4859" t="str">
        <f>"0000806074"</f>
        <v>0000806074</v>
      </c>
      <c r="C4859" t="str">
        <f t="shared" si="1984"/>
        <v>0000805979</v>
      </c>
      <c r="D4859" t="str">
        <f t="shared" si="1960"/>
        <v>73185</v>
      </c>
      <c r="E4859" t="str">
        <f t="shared" si="1961"/>
        <v>KFH-OPERATIONS DEPARTMENT</v>
      </c>
      <c r="F4859" t="str">
        <f t="shared" si="1962"/>
        <v>IBG</v>
      </c>
      <c r="G4859" t="str">
        <f t="shared" si="1975"/>
        <v>Refund COSHARE 10</v>
      </c>
      <c r="H4859" s="2">
        <v>251.85</v>
      </c>
      <c r="I4859" t="str">
        <f>"AZWANI BINTI MOHD SALLEH"</f>
        <v>AZWANI BINTI MOHD SALLEH</v>
      </c>
      <c r="J4859" t="str">
        <f t="shared" si="1976"/>
        <v>MAYBANK / MAYBANK ISLAMIC</v>
      </c>
      <c r="K4859" t="str">
        <f>"151016993817"</f>
        <v>151016993817</v>
      </c>
      <c r="L4859" t="str">
        <f t="shared" si="1981"/>
        <v>04-08-2020</v>
      </c>
      <c r="M4859" t="str">
        <f t="shared" si="1981"/>
        <v>04-08-2020</v>
      </c>
      <c r="N4859" t="str">
        <f t="shared" si="1964"/>
        <v>001105018356</v>
      </c>
      <c r="O4859" t="str">
        <f t="shared" si="1965"/>
        <v>MYR</v>
      </c>
      <c r="P4859" t="str">
        <f t="shared" si="1982"/>
        <v>NIL</v>
      </c>
      <c r="Q4859" t="str">
        <f t="shared" si="1982"/>
        <v>NIL</v>
      </c>
      <c r="R4859" t="str">
        <f t="shared" si="1967"/>
        <v>Accepted</v>
      </c>
      <c r="S4859" t="str">
        <f t="shared" si="1968"/>
        <v>Approved</v>
      </c>
      <c r="T4859" t="str">
        <f t="shared" si="1969"/>
        <v>10.20.8.188</v>
      </c>
      <c r="U4859" t="str">
        <f t="shared" si="1970"/>
        <v>AZRAD UMAR BIN SHAARI</v>
      </c>
      <c r="V4859" t="str">
        <f t="shared" si="1971"/>
        <v>FARHANA BINTI MUSTAPA</v>
      </c>
      <c r="W4859" t="str">
        <f t="shared" si="1972"/>
        <v>04-08-2020</v>
      </c>
      <c r="X4859" t="str">
        <f t="shared" si="1973"/>
        <v>RAZIMAH ANSAR AHMAD</v>
      </c>
      <c r="Y4859" t="str">
        <f t="shared" si="1974"/>
        <v>04-08-2020</v>
      </c>
      <c r="Z4859" t="str">
        <f>"COS10200804 4295"</f>
        <v>COS10200804 4295</v>
      </c>
    </row>
    <row r="4860" spans="1:26" x14ac:dyDescent="0.25">
      <c r="A4860" t="str">
        <f t="shared" si="1983"/>
        <v>04-08-2020 12:49:03</v>
      </c>
      <c r="B4860" t="str">
        <f>"0000806073"</f>
        <v>0000806073</v>
      </c>
      <c r="C4860" t="str">
        <f t="shared" si="1984"/>
        <v>0000805979</v>
      </c>
      <c r="D4860" t="str">
        <f t="shared" si="1960"/>
        <v>73185</v>
      </c>
      <c r="E4860" t="str">
        <f t="shared" si="1961"/>
        <v>KFH-OPERATIONS DEPARTMENT</v>
      </c>
      <c r="F4860" t="str">
        <f t="shared" si="1962"/>
        <v>IBG</v>
      </c>
      <c r="G4860" t="str">
        <f t="shared" si="1975"/>
        <v>Refund COSHARE 10</v>
      </c>
      <c r="H4860" s="2">
        <v>569</v>
      </c>
      <c r="I4860" t="str">
        <f>"AZWAN BIN AMEERUDIN"</f>
        <v>AZWAN BIN AMEERUDIN</v>
      </c>
      <c r="J4860" t="str">
        <f t="shared" si="1976"/>
        <v>MAYBANK / MAYBANK ISLAMIC</v>
      </c>
      <c r="K4860" t="str">
        <f>"162357357847"</f>
        <v>162357357847</v>
      </c>
      <c r="L4860" t="str">
        <f t="shared" si="1981"/>
        <v>04-08-2020</v>
      </c>
      <c r="M4860" t="str">
        <f t="shared" si="1981"/>
        <v>04-08-2020</v>
      </c>
      <c r="N4860" t="str">
        <f t="shared" si="1964"/>
        <v>001105018356</v>
      </c>
      <c r="O4860" t="str">
        <f t="shared" si="1965"/>
        <v>MYR</v>
      </c>
      <c r="P4860" t="str">
        <f t="shared" si="1982"/>
        <v>NIL</v>
      </c>
      <c r="Q4860" t="str">
        <f t="shared" si="1982"/>
        <v>NIL</v>
      </c>
      <c r="R4860" t="str">
        <f t="shared" si="1967"/>
        <v>Accepted</v>
      </c>
      <c r="S4860" t="str">
        <f t="shared" si="1968"/>
        <v>Approved</v>
      </c>
      <c r="T4860" t="str">
        <f t="shared" si="1969"/>
        <v>10.20.8.188</v>
      </c>
      <c r="U4860" t="str">
        <f t="shared" si="1970"/>
        <v>AZRAD UMAR BIN SHAARI</v>
      </c>
      <c r="V4860" t="str">
        <f t="shared" si="1971"/>
        <v>FARHANA BINTI MUSTAPA</v>
      </c>
      <c r="W4860" t="str">
        <f t="shared" si="1972"/>
        <v>04-08-2020</v>
      </c>
      <c r="X4860" t="str">
        <f t="shared" si="1973"/>
        <v>RAZIMAH ANSAR AHMAD</v>
      </c>
      <c r="Y4860" t="str">
        <f t="shared" si="1974"/>
        <v>04-08-2020</v>
      </c>
      <c r="Z4860" t="str">
        <f>"COS10200804 4294"</f>
        <v>COS10200804 4294</v>
      </c>
    </row>
    <row r="4861" spans="1:26" x14ac:dyDescent="0.25">
      <c r="A4861" t="str">
        <f t="shared" si="1983"/>
        <v>04-08-2020 12:49:03</v>
      </c>
      <c r="B4861" t="str">
        <f>"0000806072"</f>
        <v>0000806072</v>
      </c>
      <c r="C4861" t="str">
        <f t="shared" si="1984"/>
        <v>0000805979</v>
      </c>
      <c r="D4861" t="str">
        <f t="shared" si="1960"/>
        <v>73185</v>
      </c>
      <c r="E4861" t="str">
        <f t="shared" si="1961"/>
        <v>KFH-OPERATIONS DEPARTMENT</v>
      </c>
      <c r="F4861" t="str">
        <f t="shared" si="1962"/>
        <v>IBG</v>
      </c>
      <c r="G4861" t="str">
        <f t="shared" si="1975"/>
        <v>Refund COSHARE 10</v>
      </c>
      <c r="H4861" s="2">
        <v>126</v>
      </c>
      <c r="I4861" t="str">
        <f>"AZURIYANA BINTI ROSIDAN"</f>
        <v>AZURIYANA BINTI ROSIDAN</v>
      </c>
      <c r="J4861" t="str">
        <f t="shared" si="1976"/>
        <v>MAYBANK / MAYBANK ISLAMIC</v>
      </c>
      <c r="K4861" t="str">
        <f>"108178841205"</f>
        <v>108178841205</v>
      </c>
      <c r="L4861" t="str">
        <f t="shared" si="1981"/>
        <v>04-08-2020</v>
      </c>
      <c r="M4861" t="str">
        <f t="shared" si="1981"/>
        <v>04-08-2020</v>
      </c>
      <c r="N4861" t="str">
        <f t="shared" si="1964"/>
        <v>001105018356</v>
      </c>
      <c r="O4861" t="str">
        <f t="shared" si="1965"/>
        <v>MYR</v>
      </c>
      <c r="P4861" t="str">
        <f t="shared" si="1982"/>
        <v>NIL</v>
      </c>
      <c r="Q4861" t="str">
        <f t="shared" si="1982"/>
        <v>NIL</v>
      </c>
      <c r="R4861" t="str">
        <f t="shared" si="1967"/>
        <v>Accepted</v>
      </c>
      <c r="S4861" t="str">
        <f t="shared" si="1968"/>
        <v>Approved</v>
      </c>
      <c r="T4861" t="str">
        <f t="shared" si="1969"/>
        <v>10.20.8.188</v>
      </c>
      <c r="U4861" t="str">
        <f t="shared" si="1970"/>
        <v>AZRAD UMAR BIN SHAARI</v>
      </c>
      <c r="V4861" t="str">
        <f t="shared" si="1971"/>
        <v>FARHANA BINTI MUSTAPA</v>
      </c>
      <c r="W4861" t="str">
        <f t="shared" si="1972"/>
        <v>04-08-2020</v>
      </c>
      <c r="X4861" t="str">
        <f t="shared" si="1973"/>
        <v>RAZIMAH ANSAR AHMAD</v>
      </c>
      <c r="Y4861" t="str">
        <f t="shared" si="1974"/>
        <v>04-08-2020</v>
      </c>
      <c r="Z4861" t="str">
        <f>"COS10200804 4293"</f>
        <v>COS10200804 4293</v>
      </c>
    </row>
    <row r="4862" spans="1:26" x14ac:dyDescent="0.25">
      <c r="A4862" t="str">
        <f t="shared" si="1983"/>
        <v>04-08-2020 12:49:03</v>
      </c>
      <c r="B4862" t="str">
        <f>"0000806071"</f>
        <v>0000806071</v>
      </c>
      <c r="C4862" t="str">
        <f t="shared" si="1984"/>
        <v>0000805979</v>
      </c>
      <c r="D4862" t="str">
        <f t="shared" si="1960"/>
        <v>73185</v>
      </c>
      <c r="E4862" t="str">
        <f t="shared" si="1961"/>
        <v>KFH-OPERATIONS DEPARTMENT</v>
      </c>
      <c r="F4862" t="str">
        <f t="shared" si="1962"/>
        <v>IBG</v>
      </c>
      <c r="G4862" t="str">
        <f t="shared" si="1975"/>
        <v>Refund COSHARE 10</v>
      </c>
      <c r="H4862" s="2">
        <v>512.1</v>
      </c>
      <c r="I4862" t="str">
        <f>"AZURINA BINTI ROZALLY"</f>
        <v>AZURINA BINTI ROZALLY</v>
      </c>
      <c r="J4862" t="str">
        <f t="shared" si="1976"/>
        <v>MAYBANK / MAYBANK ISLAMIC</v>
      </c>
      <c r="K4862" t="str">
        <f>"164155481213"</f>
        <v>164155481213</v>
      </c>
      <c r="L4862" t="str">
        <f t="shared" si="1981"/>
        <v>04-08-2020</v>
      </c>
      <c r="M4862" t="str">
        <f t="shared" si="1981"/>
        <v>04-08-2020</v>
      </c>
      <c r="N4862" t="str">
        <f t="shared" si="1964"/>
        <v>001105018356</v>
      </c>
      <c r="O4862" t="str">
        <f t="shared" si="1965"/>
        <v>MYR</v>
      </c>
      <c r="P4862" t="str">
        <f t="shared" si="1982"/>
        <v>NIL</v>
      </c>
      <c r="Q4862" t="str">
        <f t="shared" si="1982"/>
        <v>NIL</v>
      </c>
      <c r="R4862" t="str">
        <f t="shared" si="1967"/>
        <v>Accepted</v>
      </c>
      <c r="S4862" t="str">
        <f t="shared" si="1968"/>
        <v>Approved</v>
      </c>
      <c r="T4862" t="str">
        <f t="shared" si="1969"/>
        <v>10.20.8.188</v>
      </c>
      <c r="U4862" t="str">
        <f t="shared" si="1970"/>
        <v>AZRAD UMAR BIN SHAARI</v>
      </c>
      <c r="V4862" t="str">
        <f t="shared" si="1971"/>
        <v>FARHANA BINTI MUSTAPA</v>
      </c>
      <c r="W4862" t="str">
        <f t="shared" si="1972"/>
        <v>04-08-2020</v>
      </c>
      <c r="X4862" t="str">
        <f t="shared" si="1973"/>
        <v>RAZIMAH ANSAR AHMAD</v>
      </c>
      <c r="Y4862" t="str">
        <f t="shared" si="1974"/>
        <v>04-08-2020</v>
      </c>
      <c r="Z4862" t="str">
        <f>"COS10200804 4292"</f>
        <v>COS10200804 4292</v>
      </c>
    </row>
    <row r="4863" spans="1:26" x14ac:dyDescent="0.25">
      <c r="A4863" t="str">
        <f t="shared" si="1983"/>
        <v>04-08-2020 12:49:03</v>
      </c>
      <c r="B4863" t="str">
        <f>"0000806070"</f>
        <v>0000806070</v>
      </c>
      <c r="C4863" t="str">
        <f t="shared" si="1984"/>
        <v>0000805979</v>
      </c>
      <c r="D4863" t="str">
        <f t="shared" si="1960"/>
        <v>73185</v>
      </c>
      <c r="E4863" t="str">
        <f t="shared" si="1961"/>
        <v>KFH-OPERATIONS DEPARTMENT</v>
      </c>
      <c r="F4863" t="str">
        <f t="shared" si="1962"/>
        <v>IBG</v>
      </c>
      <c r="G4863" t="str">
        <f t="shared" si="1975"/>
        <v>Refund COSHARE 10</v>
      </c>
      <c r="H4863" s="2">
        <v>137</v>
      </c>
      <c r="I4863" t="str">
        <f>"AZURAH BINTI ISMAIL"</f>
        <v>AZURAH BINTI ISMAIL</v>
      </c>
      <c r="J4863" t="str">
        <f t="shared" si="1976"/>
        <v>MAYBANK / MAYBANK ISLAMIC</v>
      </c>
      <c r="K4863" t="str">
        <f>"160037005377"</f>
        <v>160037005377</v>
      </c>
      <c r="L4863" t="str">
        <f t="shared" si="1981"/>
        <v>04-08-2020</v>
      </c>
      <c r="M4863" t="str">
        <f t="shared" si="1981"/>
        <v>04-08-2020</v>
      </c>
      <c r="N4863" t="str">
        <f t="shared" si="1964"/>
        <v>001105018356</v>
      </c>
      <c r="O4863" t="str">
        <f t="shared" si="1965"/>
        <v>MYR</v>
      </c>
      <c r="P4863" t="str">
        <f t="shared" si="1982"/>
        <v>NIL</v>
      </c>
      <c r="Q4863" t="str">
        <f t="shared" si="1982"/>
        <v>NIL</v>
      </c>
      <c r="R4863" t="str">
        <f t="shared" si="1967"/>
        <v>Accepted</v>
      </c>
      <c r="S4863" t="str">
        <f t="shared" si="1968"/>
        <v>Approved</v>
      </c>
      <c r="T4863" t="str">
        <f t="shared" si="1969"/>
        <v>10.20.8.188</v>
      </c>
      <c r="U4863" t="str">
        <f t="shared" si="1970"/>
        <v>AZRAD UMAR BIN SHAARI</v>
      </c>
      <c r="V4863" t="str">
        <f t="shared" si="1971"/>
        <v>FARHANA BINTI MUSTAPA</v>
      </c>
      <c r="W4863" t="str">
        <f t="shared" si="1972"/>
        <v>04-08-2020</v>
      </c>
      <c r="X4863" t="str">
        <f t="shared" si="1973"/>
        <v>RAZIMAH ANSAR AHMAD</v>
      </c>
      <c r="Y4863" t="str">
        <f t="shared" si="1974"/>
        <v>04-08-2020</v>
      </c>
      <c r="Z4863" t="str">
        <f>"COS10200804 4291"</f>
        <v>COS10200804 4291</v>
      </c>
    </row>
    <row r="4864" spans="1:26" x14ac:dyDescent="0.25">
      <c r="A4864" t="str">
        <f t="shared" si="1983"/>
        <v>04-08-2020 12:49:03</v>
      </c>
      <c r="B4864" t="str">
        <f>"0000806069"</f>
        <v>0000806069</v>
      </c>
      <c r="C4864" t="str">
        <f t="shared" si="1984"/>
        <v>0000805979</v>
      </c>
      <c r="D4864" t="str">
        <f t="shared" si="1960"/>
        <v>73185</v>
      </c>
      <c r="E4864" t="str">
        <f t="shared" si="1961"/>
        <v>KFH-OPERATIONS DEPARTMENT</v>
      </c>
      <c r="F4864" t="str">
        <f t="shared" si="1962"/>
        <v>IBG</v>
      </c>
      <c r="G4864" t="str">
        <f t="shared" si="1975"/>
        <v>Refund COSHARE 10</v>
      </c>
      <c r="H4864" s="2">
        <v>1302</v>
      </c>
      <c r="I4864" t="str">
        <f>"AZURA BINTI MUHAMMED KIFLI"</f>
        <v>AZURA BINTI MUHAMMED KIFLI</v>
      </c>
      <c r="J4864" t="str">
        <f t="shared" si="1976"/>
        <v>MAYBANK / MAYBANK ISLAMIC</v>
      </c>
      <c r="K4864" t="str">
        <f>"151397060961"</f>
        <v>151397060961</v>
      </c>
      <c r="L4864" t="str">
        <f t="shared" si="1981"/>
        <v>04-08-2020</v>
      </c>
      <c r="M4864" t="str">
        <f t="shared" si="1981"/>
        <v>04-08-2020</v>
      </c>
      <c r="N4864" t="str">
        <f t="shared" si="1964"/>
        <v>001105018356</v>
      </c>
      <c r="O4864" t="str">
        <f t="shared" si="1965"/>
        <v>MYR</v>
      </c>
      <c r="P4864" t="str">
        <f t="shared" si="1982"/>
        <v>NIL</v>
      </c>
      <c r="Q4864" t="str">
        <f t="shared" si="1982"/>
        <v>NIL</v>
      </c>
      <c r="R4864" t="str">
        <f t="shared" si="1967"/>
        <v>Accepted</v>
      </c>
      <c r="S4864" t="str">
        <f t="shared" si="1968"/>
        <v>Approved</v>
      </c>
      <c r="T4864" t="str">
        <f t="shared" si="1969"/>
        <v>10.20.8.188</v>
      </c>
      <c r="U4864" t="str">
        <f t="shared" si="1970"/>
        <v>AZRAD UMAR BIN SHAARI</v>
      </c>
      <c r="V4864" t="str">
        <f t="shared" si="1971"/>
        <v>FARHANA BINTI MUSTAPA</v>
      </c>
      <c r="W4864" t="str">
        <f t="shared" si="1972"/>
        <v>04-08-2020</v>
      </c>
      <c r="X4864" t="str">
        <f t="shared" si="1973"/>
        <v>RAZIMAH ANSAR AHMAD</v>
      </c>
      <c r="Y4864" t="str">
        <f t="shared" si="1974"/>
        <v>04-08-2020</v>
      </c>
      <c r="Z4864" t="str">
        <f>"COS10200804 4290"</f>
        <v>COS10200804 4290</v>
      </c>
    </row>
    <row r="4865" spans="1:26" x14ac:dyDescent="0.25">
      <c r="A4865" t="str">
        <f t="shared" si="1983"/>
        <v>04-08-2020 12:49:03</v>
      </c>
      <c r="B4865" t="str">
        <f>"0000806068"</f>
        <v>0000806068</v>
      </c>
      <c r="C4865" t="str">
        <f t="shared" si="1984"/>
        <v>0000805979</v>
      </c>
      <c r="D4865" t="str">
        <f t="shared" si="1960"/>
        <v>73185</v>
      </c>
      <c r="E4865" t="str">
        <f t="shared" si="1961"/>
        <v>KFH-OPERATIONS DEPARTMENT</v>
      </c>
      <c r="F4865" t="str">
        <f t="shared" si="1962"/>
        <v>IBG</v>
      </c>
      <c r="G4865" t="str">
        <f t="shared" si="1975"/>
        <v>Refund COSHARE 10</v>
      </c>
      <c r="H4865" s="2">
        <v>1217.3</v>
      </c>
      <c r="I4865" t="str">
        <f>"AZURA BINTI ABU BAKAR"</f>
        <v>AZURA BINTI ABU BAKAR</v>
      </c>
      <c r="J4865" t="str">
        <f t="shared" si="1976"/>
        <v>MAYBANK / MAYBANK ISLAMIC</v>
      </c>
      <c r="K4865" t="str">
        <f>"158136707129"</f>
        <v>158136707129</v>
      </c>
      <c r="L4865" t="str">
        <f t="shared" si="1981"/>
        <v>04-08-2020</v>
      </c>
      <c r="M4865" t="str">
        <f t="shared" si="1981"/>
        <v>04-08-2020</v>
      </c>
      <c r="N4865" t="str">
        <f t="shared" si="1964"/>
        <v>001105018356</v>
      </c>
      <c r="O4865" t="str">
        <f t="shared" si="1965"/>
        <v>MYR</v>
      </c>
      <c r="P4865" t="str">
        <f t="shared" si="1982"/>
        <v>NIL</v>
      </c>
      <c r="Q4865" t="str">
        <f t="shared" si="1982"/>
        <v>NIL</v>
      </c>
      <c r="R4865" t="str">
        <f t="shared" si="1967"/>
        <v>Accepted</v>
      </c>
      <c r="S4865" t="str">
        <f t="shared" si="1968"/>
        <v>Approved</v>
      </c>
      <c r="T4865" t="str">
        <f t="shared" si="1969"/>
        <v>10.20.8.188</v>
      </c>
      <c r="U4865" t="str">
        <f t="shared" si="1970"/>
        <v>AZRAD UMAR BIN SHAARI</v>
      </c>
      <c r="V4865" t="str">
        <f t="shared" si="1971"/>
        <v>FARHANA BINTI MUSTAPA</v>
      </c>
      <c r="W4865" t="str">
        <f t="shared" si="1972"/>
        <v>04-08-2020</v>
      </c>
      <c r="X4865" t="str">
        <f t="shared" si="1973"/>
        <v>RAZIMAH ANSAR AHMAD</v>
      </c>
      <c r="Y4865" t="str">
        <f t="shared" si="1974"/>
        <v>04-08-2020</v>
      </c>
      <c r="Z4865" t="str">
        <f>"COS10200804 4289"</f>
        <v>COS10200804 4289</v>
      </c>
    </row>
    <row r="4866" spans="1:26" x14ac:dyDescent="0.25">
      <c r="A4866" t="str">
        <f t="shared" si="1983"/>
        <v>04-08-2020 12:49:03</v>
      </c>
      <c r="B4866" t="str">
        <f>"0000806067"</f>
        <v>0000806067</v>
      </c>
      <c r="C4866" t="str">
        <f t="shared" si="1984"/>
        <v>0000805979</v>
      </c>
      <c r="D4866" t="str">
        <f t="shared" si="1960"/>
        <v>73185</v>
      </c>
      <c r="E4866" t="str">
        <f t="shared" si="1961"/>
        <v>KFH-OPERATIONS DEPARTMENT</v>
      </c>
      <c r="F4866" t="str">
        <f t="shared" si="1962"/>
        <v>IBG</v>
      </c>
      <c r="G4866" t="str">
        <f t="shared" si="1975"/>
        <v>Refund COSHARE 10</v>
      </c>
      <c r="H4866" s="2">
        <v>759</v>
      </c>
      <c r="I4866" t="str">
        <f>"AZURA BINTI ABDUL SAMAT"</f>
        <v>AZURA BINTI ABDUL SAMAT</v>
      </c>
      <c r="J4866" t="str">
        <f t="shared" si="1976"/>
        <v>MAYBANK / MAYBANK ISLAMIC</v>
      </c>
      <c r="K4866" t="str">
        <f>"152013106351"</f>
        <v>152013106351</v>
      </c>
      <c r="L4866" t="str">
        <f t="shared" si="1981"/>
        <v>04-08-2020</v>
      </c>
      <c r="M4866" t="str">
        <f t="shared" si="1981"/>
        <v>04-08-2020</v>
      </c>
      <c r="N4866" t="str">
        <f t="shared" si="1964"/>
        <v>001105018356</v>
      </c>
      <c r="O4866" t="str">
        <f t="shared" si="1965"/>
        <v>MYR</v>
      </c>
      <c r="P4866" t="str">
        <f t="shared" si="1982"/>
        <v>NIL</v>
      </c>
      <c r="Q4866" t="str">
        <f t="shared" si="1982"/>
        <v>NIL</v>
      </c>
      <c r="R4866" t="str">
        <f t="shared" si="1967"/>
        <v>Accepted</v>
      </c>
      <c r="S4866" t="str">
        <f t="shared" si="1968"/>
        <v>Approved</v>
      </c>
      <c r="T4866" t="str">
        <f t="shared" si="1969"/>
        <v>10.20.8.188</v>
      </c>
      <c r="U4866" t="str">
        <f t="shared" si="1970"/>
        <v>AZRAD UMAR BIN SHAARI</v>
      </c>
      <c r="V4866" t="str">
        <f t="shared" si="1971"/>
        <v>FARHANA BINTI MUSTAPA</v>
      </c>
      <c r="W4866" t="str">
        <f t="shared" si="1972"/>
        <v>04-08-2020</v>
      </c>
      <c r="X4866" t="str">
        <f t="shared" si="1973"/>
        <v>RAZIMAH ANSAR AHMAD</v>
      </c>
      <c r="Y4866" t="str">
        <f t="shared" si="1974"/>
        <v>04-08-2020</v>
      </c>
      <c r="Z4866" t="str">
        <f>"COS10200804 4288"</f>
        <v>COS10200804 4288</v>
      </c>
    </row>
    <row r="4867" spans="1:26" x14ac:dyDescent="0.25">
      <c r="A4867" t="str">
        <f t="shared" si="1983"/>
        <v>04-08-2020 12:49:03</v>
      </c>
      <c r="B4867" t="str">
        <f>"0000806066"</f>
        <v>0000806066</v>
      </c>
      <c r="C4867" t="str">
        <f t="shared" si="1984"/>
        <v>0000805979</v>
      </c>
      <c r="D4867" t="str">
        <f t="shared" si="1960"/>
        <v>73185</v>
      </c>
      <c r="E4867" t="str">
        <f t="shared" si="1961"/>
        <v>KFH-OPERATIONS DEPARTMENT</v>
      </c>
      <c r="F4867" t="str">
        <f t="shared" si="1962"/>
        <v>IBG</v>
      </c>
      <c r="G4867" t="str">
        <f t="shared" si="1975"/>
        <v>Refund COSHARE 10</v>
      </c>
      <c r="H4867" s="2">
        <v>151.15</v>
      </c>
      <c r="I4867" t="str">
        <f>"AZUANIWAN BIN ROSLEE"</f>
        <v>AZUANIWAN BIN ROSLEE</v>
      </c>
      <c r="J4867" t="str">
        <f t="shared" si="1976"/>
        <v>MAYBANK / MAYBANK ISLAMIC</v>
      </c>
      <c r="K4867" t="str">
        <f>"106138189063"</f>
        <v>106138189063</v>
      </c>
      <c r="L4867" t="str">
        <f t="shared" ref="L4867:M4886" si="1985">"04-08-2020"</f>
        <v>04-08-2020</v>
      </c>
      <c r="M4867" t="str">
        <f t="shared" si="1985"/>
        <v>04-08-2020</v>
      </c>
      <c r="N4867" t="str">
        <f t="shared" si="1964"/>
        <v>001105018356</v>
      </c>
      <c r="O4867" t="str">
        <f t="shared" si="1965"/>
        <v>MYR</v>
      </c>
      <c r="P4867" t="str">
        <f t="shared" ref="P4867:Q4886" si="1986">"NIL"</f>
        <v>NIL</v>
      </c>
      <c r="Q4867" t="str">
        <f t="shared" si="1986"/>
        <v>NIL</v>
      </c>
      <c r="R4867" t="str">
        <f t="shared" si="1967"/>
        <v>Accepted</v>
      </c>
      <c r="S4867" t="str">
        <f t="shared" si="1968"/>
        <v>Approved</v>
      </c>
      <c r="T4867" t="str">
        <f t="shared" si="1969"/>
        <v>10.20.8.188</v>
      </c>
      <c r="U4867" t="str">
        <f t="shared" si="1970"/>
        <v>AZRAD UMAR BIN SHAARI</v>
      </c>
      <c r="V4867" t="str">
        <f t="shared" si="1971"/>
        <v>FARHANA BINTI MUSTAPA</v>
      </c>
      <c r="W4867" t="str">
        <f t="shared" si="1972"/>
        <v>04-08-2020</v>
      </c>
      <c r="X4867" t="str">
        <f t="shared" si="1973"/>
        <v>RAZIMAH ANSAR AHMAD</v>
      </c>
      <c r="Y4867" t="str">
        <f t="shared" si="1974"/>
        <v>04-08-2020</v>
      </c>
      <c r="Z4867" t="str">
        <f>"COS10200804 4287"</f>
        <v>COS10200804 4287</v>
      </c>
    </row>
    <row r="4868" spans="1:26" x14ac:dyDescent="0.25">
      <c r="A4868" t="str">
        <f t="shared" si="1983"/>
        <v>04-08-2020 12:49:03</v>
      </c>
      <c r="B4868" t="str">
        <f>"0000806065"</f>
        <v>0000806065</v>
      </c>
      <c r="C4868" t="str">
        <f t="shared" si="1984"/>
        <v>0000805979</v>
      </c>
      <c r="D4868" t="str">
        <f t="shared" si="1960"/>
        <v>73185</v>
      </c>
      <c r="E4868" t="str">
        <f t="shared" si="1961"/>
        <v>KFH-OPERATIONS DEPARTMENT</v>
      </c>
      <c r="F4868" t="str">
        <f t="shared" si="1962"/>
        <v>IBG</v>
      </c>
      <c r="G4868" t="str">
        <f t="shared" si="1975"/>
        <v>Refund COSHARE 10</v>
      </c>
      <c r="H4868" s="2">
        <v>1259.25</v>
      </c>
      <c r="I4868" t="str">
        <f>"AZUANI BINTI MUSTAPA"</f>
        <v>AZUANI BINTI MUSTAPA</v>
      </c>
      <c r="J4868" t="str">
        <f t="shared" si="1976"/>
        <v>MAYBANK / MAYBANK ISLAMIC</v>
      </c>
      <c r="K4868" t="str">
        <f>"103016154463"</f>
        <v>103016154463</v>
      </c>
      <c r="L4868" t="str">
        <f t="shared" si="1985"/>
        <v>04-08-2020</v>
      </c>
      <c r="M4868" t="str">
        <f t="shared" si="1985"/>
        <v>04-08-2020</v>
      </c>
      <c r="N4868" t="str">
        <f t="shared" si="1964"/>
        <v>001105018356</v>
      </c>
      <c r="O4868" t="str">
        <f t="shared" si="1965"/>
        <v>MYR</v>
      </c>
      <c r="P4868" t="str">
        <f t="shared" si="1986"/>
        <v>NIL</v>
      </c>
      <c r="Q4868" t="str">
        <f t="shared" si="1986"/>
        <v>NIL</v>
      </c>
      <c r="R4868" t="str">
        <f t="shared" si="1967"/>
        <v>Accepted</v>
      </c>
      <c r="S4868" t="str">
        <f t="shared" si="1968"/>
        <v>Approved</v>
      </c>
      <c r="T4868" t="str">
        <f t="shared" si="1969"/>
        <v>10.20.8.188</v>
      </c>
      <c r="U4868" t="str">
        <f t="shared" si="1970"/>
        <v>AZRAD UMAR BIN SHAARI</v>
      </c>
      <c r="V4868" t="str">
        <f t="shared" si="1971"/>
        <v>FARHANA BINTI MUSTAPA</v>
      </c>
      <c r="W4868" t="str">
        <f t="shared" si="1972"/>
        <v>04-08-2020</v>
      </c>
      <c r="X4868" t="str">
        <f t="shared" si="1973"/>
        <v>RAZIMAH ANSAR AHMAD</v>
      </c>
      <c r="Y4868" t="str">
        <f t="shared" si="1974"/>
        <v>04-08-2020</v>
      </c>
      <c r="Z4868" t="str">
        <f>"COS10200804 4286"</f>
        <v>COS10200804 4286</v>
      </c>
    </row>
    <row r="4869" spans="1:26" x14ac:dyDescent="0.25">
      <c r="A4869" t="str">
        <f t="shared" si="1983"/>
        <v>04-08-2020 12:49:03</v>
      </c>
      <c r="B4869" t="str">
        <f>"0000806064"</f>
        <v>0000806064</v>
      </c>
      <c r="C4869" t="str">
        <f t="shared" si="1984"/>
        <v>0000805979</v>
      </c>
      <c r="D4869" t="str">
        <f t="shared" si="1960"/>
        <v>73185</v>
      </c>
      <c r="E4869" t="str">
        <f t="shared" si="1961"/>
        <v>KFH-OPERATIONS DEPARTMENT</v>
      </c>
      <c r="F4869" t="str">
        <f t="shared" si="1962"/>
        <v>IBG</v>
      </c>
      <c r="G4869" t="str">
        <f t="shared" si="1975"/>
        <v>Refund COSHARE 10</v>
      </c>
      <c r="H4869" s="2">
        <v>680</v>
      </c>
      <c r="I4869" t="str">
        <f>"AZRUL NIZAM BIN AHMAT MARZUKI"</f>
        <v>AZRUL NIZAM BIN AHMAT MARZUKI</v>
      </c>
      <c r="J4869" t="str">
        <f t="shared" si="1976"/>
        <v>MAYBANK / MAYBANK ISLAMIC</v>
      </c>
      <c r="K4869" t="str">
        <f>"162441110195"</f>
        <v>162441110195</v>
      </c>
      <c r="L4869" t="str">
        <f t="shared" si="1985"/>
        <v>04-08-2020</v>
      </c>
      <c r="M4869" t="str">
        <f t="shared" si="1985"/>
        <v>04-08-2020</v>
      </c>
      <c r="N4869" t="str">
        <f t="shared" si="1964"/>
        <v>001105018356</v>
      </c>
      <c r="O4869" t="str">
        <f t="shared" si="1965"/>
        <v>MYR</v>
      </c>
      <c r="P4869" t="str">
        <f t="shared" si="1986"/>
        <v>NIL</v>
      </c>
      <c r="Q4869" t="str">
        <f t="shared" si="1986"/>
        <v>NIL</v>
      </c>
      <c r="R4869" t="str">
        <f t="shared" si="1967"/>
        <v>Accepted</v>
      </c>
      <c r="S4869" t="str">
        <f t="shared" si="1968"/>
        <v>Approved</v>
      </c>
      <c r="T4869" t="str">
        <f t="shared" si="1969"/>
        <v>10.20.8.188</v>
      </c>
      <c r="U4869" t="str">
        <f t="shared" si="1970"/>
        <v>AZRAD UMAR BIN SHAARI</v>
      </c>
      <c r="V4869" t="str">
        <f t="shared" si="1971"/>
        <v>FARHANA BINTI MUSTAPA</v>
      </c>
      <c r="W4869" t="str">
        <f t="shared" si="1972"/>
        <v>04-08-2020</v>
      </c>
      <c r="X4869" t="str">
        <f t="shared" si="1973"/>
        <v>RAZIMAH ANSAR AHMAD</v>
      </c>
      <c r="Y4869" t="str">
        <f t="shared" si="1974"/>
        <v>04-08-2020</v>
      </c>
      <c r="Z4869" t="str">
        <f>"COS10200804 4285"</f>
        <v>COS10200804 4285</v>
      </c>
    </row>
    <row r="4870" spans="1:26" x14ac:dyDescent="0.25">
      <c r="A4870" t="str">
        <f t="shared" si="1983"/>
        <v>04-08-2020 12:49:03</v>
      </c>
      <c r="B4870" t="str">
        <f>"0000806063"</f>
        <v>0000806063</v>
      </c>
      <c r="C4870" t="str">
        <f t="shared" si="1984"/>
        <v>0000805979</v>
      </c>
      <c r="D4870" t="str">
        <f t="shared" si="1960"/>
        <v>73185</v>
      </c>
      <c r="E4870" t="str">
        <f t="shared" si="1961"/>
        <v>KFH-OPERATIONS DEPARTMENT</v>
      </c>
      <c r="F4870" t="str">
        <f t="shared" si="1962"/>
        <v>IBG</v>
      </c>
      <c r="G4870" t="str">
        <f t="shared" si="1975"/>
        <v>Refund COSHARE 10</v>
      </c>
      <c r="H4870" s="2">
        <v>1175.3</v>
      </c>
      <c r="I4870" t="str">
        <f>"AZRUL BIN MUHAMAD"</f>
        <v>AZRUL BIN MUHAMAD</v>
      </c>
      <c r="J4870" t="str">
        <f t="shared" si="1976"/>
        <v>MAYBANK / MAYBANK ISLAMIC</v>
      </c>
      <c r="K4870" t="str">
        <f>"105176020413"</f>
        <v>105176020413</v>
      </c>
      <c r="L4870" t="str">
        <f t="shared" si="1985"/>
        <v>04-08-2020</v>
      </c>
      <c r="M4870" t="str">
        <f t="shared" si="1985"/>
        <v>04-08-2020</v>
      </c>
      <c r="N4870" t="str">
        <f t="shared" si="1964"/>
        <v>001105018356</v>
      </c>
      <c r="O4870" t="str">
        <f t="shared" si="1965"/>
        <v>MYR</v>
      </c>
      <c r="P4870" t="str">
        <f t="shared" si="1986"/>
        <v>NIL</v>
      </c>
      <c r="Q4870" t="str">
        <f t="shared" si="1986"/>
        <v>NIL</v>
      </c>
      <c r="R4870" t="str">
        <f t="shared" si="1967"/>
        <v>Accepted</v>
      </c>
      <c r="S4870" t="str">
        <f t="shared" si="1968"/>
        <v>Approved</v>
      </c>
      <c r="T4870" t="str">
        <f t="shared" si="1969"/>
        <v>10.20.8.188</v>
      </c>
      <c r="U4870" t="str">
        <f t="shared" si="1970"/>
        <v>AZRAD UMAR BIN SHAARI</v>
      </c>
      <c r="V4870" t="str">
        <f t="shared" si="1971"/>
        <v>FARHANA BINTI MUSTAPA</v>
      </c>
      <c r="W4870" t="str">
        <f t="shared" si="1972"/>
        <v>04-08-2020</v>
      </c>
      <c r="X4870" t="str">
        <f t="shared" si="1973"/>
        <v>RAZIMAH ANSAR AHMAD</v>
      </c>
      <c r="Y4870" t="str">
        <f t="shared" si="1974"/>
        <v>04-08-2020</v>
      </c>
      <c r="Z4870" t="str">
        <f>"COS10200804 4284"</f>
        <v>COS10200804 4284</v>
      </c>
    </row>
    <row r="4871" spans="1:26" x14ac:dyDescent="0.25">
      <c r="A4871" t="str">
        <f t="shared" si="1983"/>
        <v>04-08-2020 12:49:03</v>
      </c>
      <c r="B4871" t="str">
        <f>"0000806062"</f>
        <v>0000806062</v>
      </c>
      <c r="C4871" t="str">
        <f t="shared" si="1984"/>
        <v>0000805979</v>
      </c>
      <c r="D4871" t="str">
        <f t="shared" ref="D4871:D4934" si="1987">"73185"</f>
        <v>73185</v>
      </c>
      <c r="E4871" t="str">
        <f t="shared" ref="E4871:E4934" si="1988">"KFH-OPERATIONS DEPARTMENT"</f>
        <v>KFH-OPERATIONS DEPARTMENT</v>
      </c>
      <c r="F4871" t="str">
        <f t="shared" ref="F4871:F4934" si="1989">"IBG"</f>
        <v>IBG</v>
      </c>
      <c r="G4871" t="str">
        <f t="shared" si="1975"/>
        <v>Refund COSHARE 10</v>
      </c>
      <c r="H4871" s="2">
        <v>831.1</v>
      </c>
      <c r="I4871" t="str">
        <f>"AZRUL AIZAT BIN HAMZAN"</f>
        <v>AZRUL AIZAT BIN HAMZAN</v>
      </c>
      <c r="J4871" t="str">
        <f t="shared" si="1976"/>
        <v>MAYBANK / MAYBANK ISLAMIC</v>
      </c>
      <c r="K4871" t="str">
        <f>"164557053962"</f>
        <v>164557053962</v>
      </c>
      <c r="L4871" t="str">
        <f t="shared" si="1985"/>
        <v>04-08-2020</v>
      </c>
      <c r="M4871" t="str">
        <f t="shared" si="1985"/>
        <v>04-08-2020</v>
      </c>
      <c r="N4871" t="str">
        <f t="shared" ref="N4871:N4934" si="1990">"001105018356"</f>
        <v>001105018356</v>
      </c>
      <c r="O4871" t="str">
        <f t="shared" ref="O4871:O4934" si="1991">"MYR"</f>
        <v>MYR</v>
      </c>
      <c r="P4871" t="str">
        <f t="shared" si="1986"/>
        <v>NIL</v>
      </c>
      <c r="Q4871" t="str">
        <f t="shared" si="1986"/>
        <v>NIL</v>
      </c>
      <c r="R4871" t="str">
        <f t="shared" ref="R4871:R4934" si="1992">"Accepted"</f>
        <v>Accepted</v>
      </c>
      <c r="S4871" t="str">
        <f t="shared" ref="S4871:S4934" si="1993">"Approved"</f>
        <v>Approved</v>
      </c>
      <c r="T4871" t="str">
        <f t="shared" ref="T4871:T4934" si="1994">"10.20.8.188"</f>
        <v>10.20.8.188</v>
      </c>
      <c r="U4871" t="str">
        <f t="shared" ref="U4871:U4934" si="1995">"AZRAD UMAR BIN SHAARI"</f>
        <v>AZRAD UMAR BIN SHAARI</v>
      </c>
      <c r="V4871" t="str">
        <f t="shared" ref="V4871:V4934" si="1996">"FARHANA BINTI MUSTAPA"</f>
        <v>FARHANA BINTI MUSTAPA</v>
      </c>
      <c r="W4871" t="str">
        <f t="shared" ref="W4871:W4934" si="1997">"04-08-2020"</f>
        <v>04-08-2020</v>
      </c>
      <c r="X4871" t="str">
        <f t="shared" ref="X4871:X4934" si="1998">"RAZIMAH ANSAR AHMAD"</f>
        <v>RAZIMAH ANSAR AHMAD</v>
      </c>
      <c r="Y4871" t="str">
        <f t="shared" ref="Y4871:Y4934" si="1999">"04-08-2020"</f>
        <v>04-08-2020</v>
      </c>
      <c r="Z4871" t="str">
        <f>"COS10200804 4283"</f>
        <v>COS10200804 4283</v>
      </c>
    </row>
    <row r="4872" spans="1:26" x14ac:dyDescent="0.25">
      <c r="A4872" t="str">
        <f t="shared" si="1983"/>
        <v>04-08-2020 12:49:03</v>
      </c>
      <c r="B4872" t="str">
        <f>"0000806061"</f>
        <v>0000806061</v>
      </c>
      <c r="C4872" t="str">
        <f t="shared" si="1984"/>
        <v>0000805979</v>
      </c>
      <c r="D4872" t="str">
        <f t="shared" si="1987"/>
        <v>73185</v>
      </c>
      <c r="E4872" t="str">
        <f t="shared" si="1988"/>
        <v>KFH-OPERATIONS DEPARTMENT</v>
      </c>
      <c r="F4872" t="str">
        <f t="shared" si="1989"/>
        <v>IBG</v>
      </c>
      <c r="G4872" t="str">
        <f t="shared" si="1975"/>
        <v>Refund COSHARE 10</v>
      </c>
      <c r="H4872" s="2">
        <v>58.8</v>
      </c>
      <c r="I4872" t="str">
        <f>"AZROL AMRIZAM BIN AHMAD"</f>
        <v>AZROL AMRIZAM BIN AHMAD</v>
      </c>
      <c r="J4872" t="str">
        <f t="shared" si="1976"/>
        <v>MAYBANK / MAYBANK ISLAMIC</v>
      </c>
      <c r="K4872" t="str">
        <f>"158154255839"</f>
        <v>158154255839</v>
      </c>
      <c r="L4872" t="str">
        <f t="shared" si="1985"/>
        <v>04-08-2020</v>
      </c>
      <c r="M4872" t="str">
        <f t="shared" si="1985"/>
        <v>04-08-2020</v>
      </c>
      <c r="N4872" t="str">
        <f t="shared" si="1990"/>
        <v>001105018356</v>
      </c>
      <c r="O4872" t="str">
        <f t="shared" si="1991"/>
        <v>MYR</v>
      </c>
      <c r="P4872" t="str">
        <f t="shared" si="1986"/>
        <v>NIL</v>
      </c>
      <c r="Q4872" t="str">
        <f t="shared" si="1986"/>
        <v>NIL</v>
      </c>
      <c r="R4872" t="str">
        <f t="shared" si="1992"/>
        <v>Accepted</v>
      </c>
      <c r="S4872" t="str">
        <f t="shared" si="1993"/>
        <v>Approved</v>
      </c>
      <c r="T4872" t="str">
        <f t="shared" si="1994"/>
        <v>10.20.8.188</v>
      </c>
      <c r="U4872" t="str">
        <f t="shared" si="1995"/>
        <v>AZRAD UMAR BIN SHAARI</v>
      </c>
      <c r="V4872" t="str">
        <f t="shared" si="1996"/>
        <v>FARHANA BINTI MUSTAPA</v>
      </c>
      <c r="W4872" t="str">
        <f t="shared" si="1997"/>
        <v>04-08-2020</v>
      </c>
      <c r="X4872" t="str">
        <f t="shared" si="1998"/>
        <v>RAZIMAH ANSAR AHMAD</v>
      </c>
      <c r="Y4872" t="str">
        <f t="shared" si="1999"/>
        <v>04-08-2020</v>
      </c>
      <c r="Z4872" t="str">
        <f>"COS10200804 4282"</f>
        <v>COS10200804 4282</v>
      </c>
    </row>
    <row r="4873" spans="1:26" x14ac:dyDescent="0.25">
      <c r="A4873" t="str">
        <f t="shared" si="1983"/>
        <v>04-08-2020 12:49:03</v>
      </c>
      <c r="B4873" t="str">
        <f>"0000806060"</f>
        <v>0000806060</v>
      </c>
      <c r="C4873" t="str">
        <f t="shared" si="1984"/>
        <v>0000805979</v>
      </c>
      <c r="D4873" t="str">
        <f t="shared" si="1987"/>
        <v>73185</v>
      </c>
      <c r="E4873" t="str">
        <f t="shared" si="1988"/>
        <v>KFH-OPERATIONS DEPARTMENT</v>
      </c>
      <c r="F4873" t="str">
        <f t="shared" si="1989"/>
        <v>IBG</v>
      </c>
      <c r="G4873" t="str">
        <f t="shared" si="1975"/>
        <v>Refund COSHARE 10</v>
      </c>
      <c r="H4873" s="2">
        <v>671.6</v>
      </c>
      <c r="I4873" t="str">
        <f>"AZRINNA BINTI ARIFFIN"</f>
        <v>AZRINNA BINTI ARIFFIN</v>
      </c>
      <c r="J4873" t="str">
        <f t="shared" si="1976"/>
        <v>MAYBANK / MAYBANK ISLAMIC</v>
      </c>
      <c r="K4873" t="str">
        <f>"162106469372"</f>
        <v>162106469372</v>
      </c>
      <c r="L4873" t="str">
        <f t="shared" si="1985"/>
        <v>04-08-2020</v>
      </c>
      <c r="M4873" t="str">
        <f t="shared" si="1985"/>
        <v>04-08-2020</v>
      </c>
      <c r="N4873" t="str">
        <f t="shared" si="1990"/>
        <v>001105018356</v>
      </c>
      <c r="O4873" t="str">
        <f t="shared" si="1991"/>
        <v>MYR</v>
      </c>
      <c r="P4873" t="str">
        <f t="shared" si="1986"/>
        <v>NIL</v>
      </c>
      <c r="Q4873" t="str">
        <f t="shared" si="1986"/>
        <v>NIL</v>
      </c>
      <c r="R4873" t="str">
        <f t="shared" si="1992"/>
        <v>Accepted</v>
      </c>
      <c r="S4873" t="str">
        <f t="shared" si="1993"/>
        <v>Approved</v>
      </c>
      <c r="T4873" t="str">
        <f t="shared" si="1994"/>
        <v>10.20.8.188</v>
      </c>
      <c r="U4873" t="str">
        <f t="shared" si="1995"/>
        <v>AZRAD UMAR BIN SHAARI</v>
      </c>
      <c r="V4873" t="str">
        <f t="shared" si="1996"/>
        <v>FARHANA BINTI MUSTAPA</v>
      </c>
      <c r="W4873" t="str">
        <f t="shared" si="1997"/>
        <v>04-08-2020</v>
      </c>
      <c r="X4873" t="str">
        <f t="shared" si="1998"/>
        <v>RAZIMAH ANSAR AHMAD</v>
      </c>
      <c r="Y4873" t="str">
        <f t="shared" si="1999"/>
        <v>04-08-2020</v>
      </c>
      <c r="Z4873" t="str">
        <f>"COS10200804 4281"</f>
        <v>COS10200804 4281</v>
      </c>
    </row>
    <row r="4874" spans="1:26" x14ac:dyDescent="0.25">
      <c r="A4874" t="str">
        <f t="shared" si="1983"/>
        <v>04-08-2020 12:49:03</v>
      </c>
      <c r="B4874" t="str">
        <f>"0000806059"</f>
        <v>0000806059</v>
      </c>
      <c r="C4874" t="str">
        <f t="shared" si="1984"/>
        <v>0000805979</v>
      </c>
      <c r="D4874" t="str">
        <f t="shared" si="1987"/>
        <v>73185</v>
      </c>
      <c r="E4874" t="str">
        <f t="shared" si="1988"/>
        <v>KFH-OPERATIONS DEPARTMENT</v>
      </c>
      <c r="F4874" t="str">
        <f t="shared" si="1989"/>
        <v>IBG</v>
      </c>
      <c r="G4874" t="str">
        <f t="shared" si="1975"/>
        <v>Refund COSHARE 10</v>
      </c>
      <c r="H4874" s="2">
        <v>75.75</v>
      </c>
      <c r="I4874" t="str">
        <f>"AZRIN BIN MD ARIFF"</f>
        <v>AZRIN BIN MD ARIFF</v>
      </c>
      <c r="J4874" t="str">
        <f t="shared" si="1976"/>
        <v>MAYBANK / MAYBANK ISLAMIC</v>
      </c>
      <c r="K4874" t="str">
        <f>"112174192549"</f>
        <v>112174192549</v>
      </c>
      <c r="L4874" t="str">
        <f t="shared" si="1985"/>
        <v>04-08-2020</v>
      </c>
      <c r="M4874" t="str">
        <f t="shared" si="1985"/>
        <v>04-08-2020</v>
      </c>
      <c r="N4874" t="str">
        <f t="shared" si="1990"/>
        <v>001105018356</v>
      </c>
      <c r="O4874" t="str">
        <f t="shared" si="1991"/>
        <v>MYR</v>
      </c>
      <c r="P4874" t="str">
        <f t="shared" si="1986"/>
        <v>NIL</v>
      </c>
      <c r="Q4874" t="str">
        <f t="shared" si="1986"/>
        <v>NIL</v>
      </c>
      <c r="R4874" t="str">
        <f t="shared" si="1992"/>
        <v>Accepted</v>
      </c>
      <c r="S4874" t="str">
        <f t="shared" si="1993"/>
        <v>Approved</v>
      </c>
      <c r="T4874" t="str">
        <f t="shared" si="1994"/>
        <v>10.20.8.188</v>
      </c>
      <c r="U4874" t="str">
        <f t="shared" si="1995"/>
        <v>AZRAD UMAR BIN SHAARI</v>
      </c>
      <c r="V4874" t="str">
        <f t="shared" si="1996"/>
        <v>FARHANA BINTI MUSTAPA</v>
      </c>
      <c r="W4874" t="str">
        <f t="shared" si="1997"/>
        <v>04-08-2020</v>
      </c>
      <c r="X4874" t="str">
        <f t="shared" si="1998"/>
        <v>RAZIMAH ANSAR AHMAD</v>
      </c>
      <c r="Y4874" t="str">
        <f t="shared" si="1999"/>
        <v>04-08-2020</v>
      </c>
      <c r="Z4874" t="str">
        <f>"COS10200804 4280"</f>
        <v>COS10200804 4280</v>
      </c>
    </row>
    <row r="4875" spans="1:26" x14ac:dyDescent="0.25">
      <c r="A4875" t="str">
        <f t="shared" si="1983"/>
        <v>04-08-2020 12:49:03</v>
      </c>
      <c r="B4875" t="str">
        <f>"0000806058"</f>
        <v>0000806058</v>
      </c>
      <c r="C4875" t="str">
        <f t="shared" si="1984"/>
        <v>0000805979</v>
      </c>
      <c r="D4875" t="str">
        <f t="shared" si="1987"/>
        <v>73185</v>
      </c>
      <c r="E4875" t="str">
        <f t="shared" si="1988"/>
        <v>KFH-OPERATIONS DEPARTMENT</v>
      </c>
      <c r="F4875" t="str">
        <f t="shared" si="1989"/>
        <v>IBG</v>
      </c>
      <c r="G4875" t="str">
        <f t="shared" si="1975"/>
        <v>Refund COSHARE 10</v>
      </c>
      <c r="H4875" s="2">
        <v>84</v>
      </c>
      <c r="I4875" t="str">
        <f>"AZRIN BIN MAT ISA"</f>
        <v>AZRIN BIN MAT ISA</v>
      </c>
      <c r="J4875" t="str">
        <f t="shared" si="1976"/>
        <v>MAYBANK / MAYBANK ISLAMIC</v>
      </c>
      <c r="K4875" t="str">
        <f>"158079667138"</f>
        <v>158079667138</v>
      </c>
      <c r="L4875" t="str">
        <f t="shared" si="1985"/>
        <v>04-08-2020</v>
      </c>
      <c r="M4875" t="str">
        <f t="shared" si="1985"/>
        <v>04-08-2020</v>
      </c>
      <c r="N4875" t="str">
        <f t="shared" si="1990"/>
        <v>001105018356</v>
      </c>
      <c r="O4875" t="str">
        <f t="shared" si="1991"/>
        <v>MYR</v>
      </c>
      <c r="P4875" t="str">
        <f t="shared" si="1986"/>
        <v>NIL</v>
      </c>
      <c r="Q4875" t="str">
        <f t="shared" si="1986"/>
        <v>NIL</v>
      </c>
      <c r="R4875" t="str">
        <f t="shared" si="1992"/>
        <v>Accepted</v>
      </c>
      <c r="S4875" t="str">
        <f t="shared" si="1993"/>
        <v>Approved</v>
      </c>
      <c r="T4875" t="str">
        <f t="shared" si="1994"/>
        <v>10.20.8.188</v>
      </c>
      <c r="U4875" t="str">
        <f t="shared" si="1995"/>
        <v>AZRAD UMAR BIN SHAARI</v>
      </c>
      <c r="V4875" t="str">
        <f t="shared" si="1996"/>
        <v>FARHANA BINTI MUSTAPA</v>
      </c>
      <c r="W4875" t="str">
        <f t="shared" si="1997"/>
        <v>04-08-2020</v>
      </c>
      <c r="X4875" t="str">
        <f t="shared" si="1998"/>
        <v>RAZIMAH ANSAR AHMAD</v>
      </c>
      <c r="Y4875" t="str">
        <f t="shared" si="1999"/>
        <v>04-08-2020</v>
      </c>
      <c r="Z4875" t="str">
        <f>"COS10200804 4279"</f>
        <v>COS10200804 4279</v>
      </c>
    </row>
    <row r="4876" spans="1:26" x14ac:dyDescent="0.25">
      <c r="A4876" t="str">
        <f t="shared" si="1983"/>
        <v>04-08-2020 12:49:03</v>
      </c>
      <c r="B4876" t="str">
        <f>"0000806057"</f>
        <v>0000806057</v>
      </c>
      <c r="C4876" t="str">
        <f t="shared" si="1984"/>
        <v>0000805979</v>
      </c>
      <c r="D4876" t="str">
        <f t="shared" si="1987"/>
        <v>73185</v>
      </c>
      <c r="E4876" t="str">
        <f t="shared" si="1988"/>
        <v>KFH-OPERATIONS DEPARTMENT</v>
      </c>
      <c r="F4876" t="str">
        <f t="shared" si="1989"/>
        <v>IBG</v>
      </c>
      <c r="G4876" t="str">
        <f t="shared" ref="G4876:G4939" si="2000">"Refund COSHARE 10"</f>
        <v>Refund COSHARE 10</v>
      </c>
      <c r="H4876" s="2">
        <v>839.5</v>
      </c>
      <c r="I4876" t="str">
        <f>"AZRIN BIN BEKRIN"</f>
        <v>AZRIN BIN BEKRIN</v>
      </c>
      <c r="J4876" t="str">
        <f t="shared" si="1976"/>
        <v>MAYBANK / MAYBANK ISLAMIC</v>
      </c>
      <c r="K4876" t="str">
        <f>"160036841150"</f>
        <v>160036841150</v>
      </c>
      <c r="L4876" t="str">
        <f t="shared" si="1985"/>
        <v>04-08-2020</v>
      </c>
      <c r="M4876" t="str">
        <f t="shared" si="1985"/>
        <v>04-08-2020</v>
      </c>
      <c r="N4876" t="str">
        <f t="shared" si="1990"/>
        <v>001105018356</v>
      </c>
      <c r="O4876" t="str">
        <f t="shared" si="1991"/>
        <v>MYR</v>
      </c>
      <c r="P4876" t="str">
        <f t="shared" si="1986"/>
        <v>NIL</v>
      </c>
      <c r="Q4876" t="str">
        <f t="shared" si="1986"/>
        <v>NIL</v>
      </c>
      <c r="R4876" t="str">
        <f t="shared" si="1992"/>
        <v>Accepted</v>
      </c>
      <c r="S4876" t="str">
        <f t="shared" si="1993"/>
        <v>Approved</v>
      </c>
      <c r="T4876" t="str">
        <f t="shared" si="1994"/>
        <v>10.20.8.188</v>
      </c>
      <c r="U4876" t="str">
        <f t="shared" si="1995"/>
        <v>AZRAD UMAR BIN SHAARI</v>
      </c>
      <c r="V4876" t="str">
        <f t="shared" si="1996"/>
        <v>FARHANA BINTI MUSTAPA</v>
      </c>
      <c r="W4876" t="str">
        <f t="shared" si="1997"/>
        <v>04-08-2020</v>
      </c>
      <c r="X4876" t="str">
        <f t="shared" si="1998"/>
        <v>RAZIMAH ANSAR AHMAD</v>
      </c>
      <c r="Y4876" t="str">
        <f t="shared" si="1999"/>
        <v>04-08-2020</v>
      </c>
      <c r="Z4876" t="str">
        <f>"COS10200804 4278"</f>
        <v>COS10200804 4278</v>
      </c>
    </row>
    <row r="4877" spans="1:26" x14ac:dyDescent="0.25">
      <c r="A4877" t="str">
        <f t="shared" si="1983"/>
        <v>04-08-2020 12:49:03</v>
      </c>
      <c r="B4877" t="str">
        <f>"0000806056"</f>
        <v>0000806056</v>
      </c>
      <c r="C4877" t="str">
        <f t="shared" si="1984"/>
        <v>0000805979</v>
      </c>
      <c r="D4877" t="str">
        <f t="shared" si="1987"/>
        <v>73185</v>
      </c>
      <c r="E4877" t="str">
        <f t="shared" si="1988"/>
        <v>KFH-OPERATIONS DEPARTMENT</v>
      </c>
      <c r="F4877" t="str">
        <f t="shared" si="1989"/>
        <v>IBG</v>
      </c>
      <c r="G4877" t="str">
        <f t="shared" si="2000"/>
        <v>Refund COSHARE 10</v>
      </c>
      <c r="H4877" s="2">
        <v>587.65</v>
      </c>
      <c r="I4877" t="str">
        <f>"AZRI BIN SHAMSUDIN"</f>
        <v>AZRI BIN SHAMSUDIN</v>
      </c>
      <c r="J4877" t="str">
        <f t="shared" si="1976"/>
        <v>MAYBANK / MAYBANK ISLAMIC</v>
      </c>
      <c r="K4877" t="str">
        <f>"110144011018"</f>
        <v>110144011018</v>
      </c>
      <c r="L4877" t="str">
        <f t="shared" si="1985"/>
        <v>04-08-2020</v>
      </c>
      <c r="M4877" t="str">
        <f t="shared" si="1985"/>
        <v>04-08-2020</v>
      </c>
      <c r="N4877" t="str">
        <f t="shared" si="1990"/>
        <v>001105018356</v>
      </c>
      <c r="O4877" t="str">
        <f t="shared" si="1991"/>
        <v>MYR</v>
      </c>
      <c r="P4877" t="str">
        <f t="shared" si="1986"/>
        <v>NIL</v>
      </c>
      <c r="Q4877" t="str">
        <f t="shared" si="1986"/>
        <v>NIL</v>
      </c>
      <c r="R4877" t="str">
        <f t="shared" si="1992"/>
        <v>Accepted</v>
      </c>
      <c r="S4877" t="str">
        <f t="shared" si="1993"/>
        <v>Approved</v>
      </c>
      <c r="T4877" t="str">
        <f t="shared" si="1994"/>
        <v>10.20.8.188</v>
      </c>
      <c r="U4877" t="str">
        <f t="shared" si="1995"/>
        <v>AZRAD UMAR BIN SHAARI</v>
      </c>
      <c r="V4877" t="str">
        <f t="shared" si="1996"/>
        <v>FARHANA BINTI MUSTAPA</v>
      </c>
      <c r="W4877" t="str">
        <f t="shared" si="1997"/>
        <v>04-08-2020</v>
      </c>
      <c r="X4877" t="str">
        <f t="shared" si="1998"/>
        <v>RAZIMAH ANSAR AHMAD</v>
      </c>
      <c r="Y4877" t="str">
        <f t="shared" si="1999"/>
        <v>04-08-2020</v>
      </c>
      <c r="Z4877" t="str">
        <f>"COS10200804 4277"</f>
        <v>COS10200804 4277</v>
      </c>
    </row>
    <row r="4878" spans="1:26" x14ac:dyDescent="0.25">
      <c r="A4878" t="str">
        <f t="shared" si="1983"/>
        <v>04-08-2020 12:49:03</v>
      </c>
      <c r="B4878" t="str">
        <f>"0000806055"</f>
        <v>0000806055</v>
      </c>
      <c r="C4878" t="str">
        <f t="shared" si="1984"/>
        <v>0000805979</v>
      </c>
      <c r="D4878" t="str">
        <f t="shared" si="1987"/>
        <v>73185</v>
      </c>
      <c r="E4878" t="str">
        <f t="shared" si="1988"/>
        <v>KFH-OPERATIONS DEPARTMENT</v>
      </c>
      <c r="F4878" t="str">
        <f t="shared" si="1989"/>
        <v>IBG</v>
      </c>
      <c r="G4878" t="str">
        <f t="shared" si="2000"/>
        <v>Refund COSHARE 10</v>
      </c>
      <c r="H4878" s="2">
        <v>88.7</v>
      </c>
      <c r="I4878" t="str">
        <f>"AZRI BIN ABD RAZAK"</f>
        <v>AZRI BIN ABD RAZAK</v>
      </c>
      <c r="J4878" t="str">
        <f t="shared" si="1976"/>
        <v>MAYBANK / MAYBANK ISLAMIC</v>
      </c>
      <c r="K4878" t="str">
        <f>"101011059605"</f>
        <v>101011059605</v>
      </c>
      <c r="L4878" t="str">
        <f t="shared" si="1985"/>
        <v>04-08-2020</v>
      </c>
      <c r="M4878" t="str">
        <f t="shared" si="1985"/>
        <v>04-08-2020</v>
      </c>
      <c r="N4878" t="str">
        <f t="shared" si="1990"/>
        <v>001105018356</v>
      </c>
      <c r="O4878" t="str">
        <f t="shared" si="1991"/>
        <v>MYR</v>
      </c>
      <c r="P4878" t="str">
        <f t="shared" si="1986"/>
        <v>NIL</v>
      </c>
      <c r="Q4878" t="str">
        <f t="shared" si="1986"/>
        <v>NIL</v>
      </c>
      <c r="R4878" t="str">
        <f t="shared" si="1992"/>
        <v>Accepted</v>
      </c>
      <c r="S4878" t="str">
        <f t="shared" si="1993"/>
        <v>Approved</v>
      </c>
      <c r="T4878" t="str">
        <f t="shared" si="1994"/>
        <v>10.20.8.188</v>
      </c>
      <c r="U4878" t="str">
        <f t="shared" si="1995"/>
        <v>AZRAD UMAR BIN SHAARI</v>
      </c>
      <c r="V4878" t="str">
        <f t="shared" si="1996"/>
        <v>FARHANA BINTI MUSTAPA</v>
      </c>
      <c r="W4878" t="str">
        <f t="shared" si="1997"/>
        <v>04-08-2020</v>
      </c>
      <c r="X4878" t="str">
        <f t="shared" si="1998"/>
        <v>RAZIMAH ANSAR AHMAD</v>
      </c>
      <c r="Y4878" t="str">
        <f t="shared" si="1999"/>
        <v>04-08-2020</v>
      </c>
      <c r="Z4878" t="str">
        <f>"COS10200804 4276"</f>
        <v>COS10200804 4276</v>
      </c>
    </row>
    <row r="4879" spans="1:26" x14ac:dyDescent="0.25">
      <c r="A4879" t="str">
        <f t="shared" si="1983"/>
        <v>04-08-2020 12:49:03</v>
      </c>
      <c r="B4879" t="str">
        <f>"0000806054"</f>
        <v>0000806054</v>
      </c>
      <c r="C4879" t="str">
        <f t="shared" si="1984"/>
        <v>0000805979</v>
      </c>
      <c r="D4879" t="str">
        <f t="shared" si="1987"/>
        <v>73185</v>
      </c>
      <c r="E4879" t="str">
        <f t="shared" si="1988"/>
        <v>KFH-OPERATIONS DEPARTMENT</v>
      </c>
      <c r="F4879" t="str">
        <f t="shared" si="1989"/>
        <v>IBG</v>
      </c>
      <c r="G4879" t="str">
        <f t="shared" si="2000"/>
        <v>Refund COSHARE 10</v>
      </c>
      <c r="H4879" s="2">
        <v>335.8</v>
      </c>
      <c r="I4879" t="str">
        <f>"AZREEN FARHANA BINTI AHMAD"</f>
        <v>AZREEN FARHANA BINTI AHMAD</v>
      </c>
      <c r="J4879" t="str">
        <f t="shared" si="1976"/>
        <v>MAYBANK / MAYBANK ISLAMIC</v>
      </c>
      <c r="K4879" t="str">
        <f>"151306726368"</f>
        <v>151306726368</v>
      </c>
      <c r="L4879" t="str">
        <f t="shared" si="1985"/>
        <v>04-08-2020</v>
      </c>
      <c r="M4879" t="str">
        <f t="shared" si="1985"/>
        <v>04-08-2020</v>
      </c>
      <c r="N4879" t="str">
        <f t="shared" si="1990"/>
        <v>001105018356</v>
      </c>
      <c r="O4879" t="str">
        <f t="shared" si="1991"/>
        <v>MYR</v>
      </c>
      <c r="P4879" t="str">
        <f t="shared" si="1986"/>
        <v>NIL</v>
      </c>
      <c r="Q4879" t="str">
        <f t="shared" si="1986"/>
        <v>NIL</v>
      </c>
      <c r="R4879" t="str">
        <f t="shared" si="1992"/>
        <v>Accepted</v>
      </c>
      <c r="S4879" t="str">
        <f t="shared" si="1993"/>
        <v>Approved</v>
      </c>
      <c r="T4879" t="str">
        <f t="shared" si="1994"/>
        <v>10.20.8.188</v>
      </c>
      <c r="U4879" t="str">
        <f t="shared" si="1995"/>
        <v>AZRAD UMAR BIN SHAARI</v>
      </c>
      <c r="V4879" t="str">
        <f t="shared" si="1996"/>
        <v>FARHANA BINTI MUSTAPA</v>
      </c>
      <c r="W4879" t="str">
        <f t="shared" si="1997"/>
        <v>04-08-2020</v>
      </c>
      <c r="X4879" t="str">
        <f t="shared" si="1998"/>
        <v>RAZIMAH ANSAR AHMAD</v>
      </c>
      <c r="Y4879" t="str">
        <f t="shared" si="1999"/>
        <v>04-08-2020</v>
      </c>
      <c r="Z4879" t="str">
        <f>"COS10200804 4275"</f>
        <v>COS10200804 4275</v>
      </c>
    </row>
    <row r="4880" spans="1:26" x14ac:dyDescent="0.25">
      <c r="A4880" t="str">
        <f t="shared" si="1983"/>
        <v>04-08-2020 12:49:03</v>
      </c>
      <c r="B4880" t="str">
        <f>"0000806053"</f>
        <v>0000806053</v>
      </c>
      <c r="C4880" t="str">
        <f t="shared" si="1984"/>
        <v>0000805979</v>
      </c>
      <c r="D4880" t="str">
        <f t="shared" si="1987"/>
        <v>73185</v>
      </c>
      <c r="E4880" t="str">
        <f t="shared" si="1988"/>
        <v>KFH-OPERATIONS DEPARTMENT</v>
      </c>
      <c r="F4880" t="str">
        <f t="shared" si="1989"/>
        <v>IBG</v>
      </c>
      <c r="G4880" t="str">
        <f t="shared" si="2000"/>
        <v>Refund COSHARE 10</v>
      </c>
      <c r="H4880" s="2">
        <v>461.75</v>
      </c>
      <c r="I4880" t="str">
        <f>"AZREEN BIN KIMAN"</f>
        <v>AZREEN BIN KIMAN</v>
      </c>
      <c r="J4880" t="str">
        <f t="shared" si="1976"/>
        <v>MAYBANK / MAYBANK ISLAMIC</v>
      </c>
      <c r="K4880" t="str">
        <f>"151017202696"</f>
        <v>151017202696</v>
      </c>
      <c r="L4880" t="str">
        <f t="shared" si="1985"/>
        <v>04-08-2020</v>
      </c>
      <c r="M4880" t="str">
        <f t="shared" si="1985"/>
        <v>04-08-2020</v>
      </c>
      <c r="N4880" t="str">
        <f t="shared" si="1990"/>
        <v>001105018356</v>
      </c>
      <c r="O4880" t="str">
        <f t="shared" si="1991"/>
        <v>MYR</v>
      </c>
      <c r="P4880" t="str">
        <f t="shared" si="1986"/>
        <v>NIL</v>
      </c>
      <c r="Q4880" t="str">
        <f t="shared" si="1986"/>
        <v>NIL</v>
      </c>
      <c r="R4880" t="str">
        <f t="shared" si="1992"/>
        <v>Accepted</v>
      </c>
      <c r="S4880" t="str">
        <f t="shared" si="1993"/>
        <v>Approved</v>
      </c>
      <c r="T4880" t="str">
        <f t="shared" si="1994"/>
        <v>10.20.8.188</v>
      </c>
      <c r="U4880" t="str">
        <f t="shared" si="1995"/>
        <v>AZRAD UMAR BIN SHAARI</v>
      </c>
      <c r="V4880" t="str">
        <f t="shared" si="1996"/>
        <v>FARHANA BINTI MUSTAPA</v>
      </c>
      <c r="W4880" t="str">
        <f t="shared" si="1997"/>
        <v>04-08-2020</v>
      </c>
      <c r="X4880" t="str">
        <f t="shared" si="1998"/>
        <v>RAZIMAH ANSAR AHMAD</v>
      </c>
      <c r="Y4880" t="str">
        <f t="shared" si="1999"/>
        <v>04-08-2020</v>
      </c>
      <c r="Z4880" t="str">
        <f>"COS10200804 4274"</f>
        <v>COS10200804 4274</v>
      </c>
    </row>
    <row r="4881" spans="1:26" x14ac:dyDescent="0.25">
      <c r="A4881" t="str">
        <f t="shared" si="1983"/>
        <v>04-08-2020 12:49:03</v>
      </c>
      <c r="B4881" t="str">
        <f>"0000806052"</f>
        <v>0000806052</v>
      </c>
      <c r="C4881" t="str">
        <f t="shared" si="1984"/>
        <v>0000805979</v>
      </c>
      <c r="D4881" t="str">
        <f t="shared" si="1987"/>
        <v>73185</v>
      </c>
      <c r="E4881" t="str">
        <f t="shared" si="1988"/>
        <v>KFH-OPERATIONS DEPARTMENT</v>
      </c>
      <c r="F4881" t="str">
        <f t="shared" si="1989"/>
        <v>IBG</v>
      </c>
      <c r="G4881" t="str">
        <f t="shared" si="2000"/>
        <v>Refund COSHARE 10</v>
      </c>
      <c r="H4881" s="2">
        <v>42</v>
      </c>
      <c r="I4881" t="str">
        <f>"AZREEN AFFENDY BIN MOHD ZAINUDIN"</f>
        <v>AZREEN AFFENDY BIN MOHD ZAINUDIN</v>
      </c>
      <c r="J4881" t="str">
        <f t="shared" ref="J4881:J4944" si="2001">"MAYBANK / MAYBANK ISLAMIC"</f>
        <v>MAYBANK / MAYBANK ISLAMIC</v>
      </c>
      <c r="K4881" t="str">
        <f>"154026331271"</f>
        <v>154026331271</v>
      </c>
      <c r="L4881" t="str">
        <f t="shared" si="1985"/>
        <v>04-08-2020</v>
      </c>
      <c r="M4881" t="str">
        <f t="shared" si="1985"/>
        <v>04-08-2020</v>
      </c>
      <c r="N4881" t="str">
        <f t="shared" si="1990"/>
        <v>001105018356</v>
      </c>
      <c r="O4881" t="str">
        <f t="shared" si="1991"/>
        <v>MYR</v>
      </c>
      <c r="P4881" t="str">
        <f t="shared" si="1986"/>
        <v>NIL</v>
      </c>
      <c r="Q4881" t="str">
        <f t="shared" si="1986"/>
        <v>NIL</v>
      </c>
      <c r="R4881" t="str">
        <f t="shared" si="1992"/>
        <v>Accepted</v>
      </c>
      <c r="S4881" t="str">
        <f t="shared" si="1993"/>
        <v>Approved</v>
      </c>
      <c r="T4881" t="str">
        <f t="shared" si="1994"/>
        <v>10.20.8.188</v>
      </c>
      <c r="U4881" t="str">
        <f t="shared" si="1995"/>
        <v>AZRAD UMAR BIN SHAARI</v>
      </c>
      <c r="V4881" t="str">
        <f t="shared" si="1996"/>
        <v>FARHANA BINTI MUSTAPA</v>
      </c>
      <c r="W4881" t="str">
        <f t="shared" si="1997"/>
        <v>04-08-2020</v>
      </c>
      <c r="X4881" t="str">
        <f t="shared" si="1998"/>
        <v>RAZIMAH ANSAR AHMAD</v>
      </c>
      <c r="Y4881" t="str">
        <f t="shared" si="1999"/>
        <v>04-08-2020</v>
      </c>
      <c r="Z4881" t="str">
        <f>"COS10200804 4273"</f>
        <v>COS10200804 4273</v>
      </c>
    </row>
    <row r="4882" spans="1:26" x14ac:dyDescent="0.25">
      <c r="A4882" t="str">
        <f t="shared" ref="A4882:A4913" si="2002">"04-08-2020 12:49:03"</f>
        <v>04-08-2020 12:49:03</v>
      </c>
      <c r="B4882" t="str">
        <f>"0000806051"</f>
        <v>0000806051</v>
      </c>
      <c r="C4882" t="str">
        <f t="shared" ref="C4882:C4913" si="2003">"0000805979"</f>
        <v>0000805979</v>
      </c>
      <c r="D4882" t="str">
        <f t="shared" si="1987"/>
        <v>73185</v>
      </c>
      <c r="E4882" t="str">
        <f t="shared" si="1988"/>
        <v>KFH-OPERATIONS DEPARTMENT</v>
      </c>
      <c r="F4882" t="str">
        <f t="shared" si="1989"/>
        <v>IBG</v>
      </c>
      <c r="G4882" t="str">
        <f t="shared" si="2000"/>
        <v>Refund COSHARE 10</v>
      </c>
      <c r="H4882" s="2">
        <v>167.9</v>
      </c>
      <c r="I4882" t="str">
        <f>"AZREE BIN AHMAD"</f>
        <v>AZREE BIN AHMAD</v>
      </c>
      <c r="J4882" t="str">
        <f t="shared" si="2001"/>
        <v>MAYBANK / MAYBANK ISLAMIC</v>
      </c>
      <c r="K4882" t="str">
        <f>"102064051648"</f>
        <v>102064051648</v>
      </c>
      <c r="L4882" t="str">
        <f t="shared" si="1985"/>
        <v>04-08-2020</v>
      </c>
      <c r="M4882" t="str">
        <f t="shared" si="1985"/>
        <v>04-08-2020</v>
      </c>
      <c r="N4882" t="str">
        <f t="shared" si="1990"/>
        <v>001105018356</v>
      </c>
      <c r="O4882" t="str">
        <f t="shared" si="1991"/>
        <v>MYR</v>
      </c>
      <c r="P4882" t="str">
        <f t="shared" si="1986"/>
        <v>NIL</v>
      </c>
      <c r="Q4882" t="str">
        <f t="shared" si="1986"/>
        <v>NIL</v>
      </c>
      <c r="R4882" t="str">
        <f t="shared" si="1992"/>
        <v>Accepted</v>
      </c>
      <c r="S4882" t="str">
        <f t="shared" si="1993"/>
        <v>Approved</v>
      </c>
      <c r="T4882" t="str">
        <f t="shared" si="1994"/>
        <v>10.20.8.188</v>
      </c>
      <c r="U4882" t="str">
        <f t="shared" si="1995"/>
        <v>AZRAD UMAR BIN SHAARI</v>
      </c>
      <c r="V4882" t="str">
        <f t="shared" si="1996"/>
        <v>FARHANA BINTI MUSTAPA</v>
      </c>
      <c r="W4882" t="str">
        <f t="shared" si="1997"/>
        <v>04-08-2020</v>
      </c>
      <c r="X4882" t="str">
        <f t="shared" si="1998"/>
        <v>RAZIMAH ANSAR AHMAD</v>
      </c>
      <c r="Y4882" t="str">
        <f t="shared" si="1999"/>
        <v>04-08-2020</v>
      </c>
      <c r="Z4882" t="str">
        <f>"COS10200804 4272"</f>
        <v>COS10200804 4272</v>
      </c>
    </row>
    <row r="4883" spans="1:26" x14ac:dyDescent="0.25">
      <c r="A4883" t="str">
        <f t="shared" si="2002"/>
        <v>04-08-2020 12:49:03</v>
      </c>
      <c r="B4883" t="str">
        <f>"0000806050"</f>
        <v>0000806050</v>
      </c>
      <c r="C4883" t="str">
        <f t="shared" si="2003"/>
        <v>0000805979</v>
      </c>
      <c r="D4883" t="str">
        <f t="shared" si="1987"/>
        <v>73185</v>
      </c>
      <c r="E4883" t="str">
        <f t="shared" si="1988"/>
        <v>KFH-OPERATIONS DEPARTMENT</v>
      </c>
      <c r="F4883" t="str">
        <f t="shared" si="1989"/>
        <v>IBG</v>
      </c>
      <c r="G4883" t="str">
        <f t="shared" si="2000"/>
        <v>Refund COSHARE 10</v>
      </c>
      <c r="H4883" s="2">
        <v>335.8</v>
      </c>
      <c r="I4883" t="str">
        <f>"AZRAS HAMUDI BIN OMAR"</f>
        <v>AZRAS HAMUDI BIN OMAR</v>
      </c>
      <c r="J4883" t="str">
        <f t="shared" si="2001"/>
        <v>MAYBANK / MAYBANK ISLAMIC</v>
      </c>
      <c r="K4883" t="str">
        <f>"151137826434"</f>
        <v>151137826434</v>
      </c>
      <c r="L4883" t="str">
        <f t="shared" si="1985"/>
        <v>04-08-2020</v>
      </c>
      <c r="M4883" t="str">
        <f t="shared" si="1985"/>
        <v>04-08-2020</v>
      </c>
      <c r="N4883" t="str">
        <f t="shared" si="1990"/>
        <v>001105018356</v>
      </c>
      <c r="O4883" t="str">
        <f t="shared" si="1991"/>
        <v>MYR</v>
      </c>
      <c r="P4883" t="str">
        <f t="shared" si="1986"/>
        <v>NIL</v>
      </c>
      <c r="Q4883" t="str">
        <f t="shared" si="1986"/>
        <v>NIL</v>
      </c>
      <c r="R4883" t="str">
        <f t="shared" si="1992"/>
        <v>Accepted</v>
      </c>
      <c r="S4883" t="str">
        <f t="shared" si="1993"/>
        <v>Approved</v>
      </c>
      <c r="T4883" t="str">
        <f t="shared" si="1994"/>
        <v>10.20.8.188</v>
      </c>
      <c r="U4883" t="str">
        <f t="shared" si="1995"/>
        <v>AZRAD UMAR BIN SHAARI</v>
      </c>
      <c r="V4883" t="str">
        <f t="shared" si="1996"/>
        <v>FARHANA BINTI MUSTAPA</v>
      </c>
      <c r="W4883" t="str">
        <f t="shared" si="1997"/>
        <v>04-08-2020</v>
      </c>
      <c r="X4883" t="str">
        <f t="shared" si="1998"/>
        <v>RAZIMAH ANSAR AHMAD</v>
      </c>
      <c r="Y4883" t="str">
        <f t="shared" si="1999"/>
        <v>04-08-2020</v>
      </c>
      <c r="Z4883" t="str">
        <f>"COS10200804 4271"</f>
        <v>COS10200804 4271</v>
      </c>
    </row>
    <row r="4884" spans="1:26" x14ac:dyDescent="0.25">
      <c r="A4884" t="str">
        <f t="shared" si="2002"/>
        <v>04-08-2020 12:49:03</v>
      </c>
      <c r="B4884" t="str">
        <f>"0000806049"</f>
        <v>0000806049</v>
      </c>
      <c r="C4884" t="str">
        <f t="shared" si="2003"/>
        <v>0000805979</v>
      </c>
      <c r="D4884" t="str">
        <f t="shared" si="1987"/>
        <v>73185</v>
      </c>
      <c r="E4884" t="str">
        <f t="shared" si="1988"/>
        <v>KFH-OPERATIONS DEPARTMENT</v>
      </c>
      <c r="F4884" t="str">
        <f t="shared" si="1989"/>
        <v>IBG</v>
      </c>
      <c r="G4884" t="str">
        <f t="shared" si="2000"/>
        <v>Refund COSHARE 10</v>
      </c>
      <c r="H4884" s="2">
        <v>881.5</v>
      </c>
      <c r="I4884" t="str">
        <f>"AZRA BINTI MOHIDIN"</f>
        <v>AZRA BINTI MOHIDIN</v>
      </c>
      <c r="J4884" t="str">
        <f t="shared" si="2001"/>
        <v>MAYBANK / MAYBANK ISLAMIC</v>
      </c>
      <c r="K4884" t="str">
        <f>"164333261415"</f>
        <v>164333261415</v>
      </c>
      <c r="L4884" t="str">
        <f t="shared" si="1985"/>
        <v>04-08-2020</v>
      </c>
      <c r="M4884" t="str">
        <f t="shared" si="1985"/>
        <v>04-08-2020</v>
      </c>
      <c r="N4884" t="str">
        <f t="shared" si="1990"/>
        <v>001105018356</v>
      </c>
      <c r="O4884" t="str">
        <f t="shared" si="1991"/>
        <v>MYR</v>
      </c>
      <c r="P4884" t="str">
        <f t="shared" si="1986"/>
        <v>NIL</v>
      </c>
      <c r="Q4884" t="str">
        <f t="shared" si="1986"/>
        <v>NIL</v>
      </c>
      <c r="R4884" t="str">
        <f t="shared" si="1992"/>
        <v>Accepted</v>
      </c>
      <c r="S4884" t="str">
        <f t="shared" si="1993"/>
        <v>Approved</v>
      </c>
      <c r="T4884" t="str">
        <f t="shared" si="1994"/>
        <v>10.20.8.188</v>
      </c>
      <c r="U4884" t="str">
        <f t="shared" si="1995"/>
        <v>AZRAD UMAR BIN SHAARI</v>
      </c>
      <c r="V4884" t="str">
        <f t="shared" si="1996"/>
        <v>FARHANA BINTI MUSTAPA</v>
      </c>
      <c r="W4884" t="str">
        <f t="shared" si="1997"/>
        <v>04-08-2020</v>
      </c>
      <c r="X4884" t="str">
        <f t="shared" si="1998"/>
        <v>RAZIMAH ANSAR AHMAD</v>
      </c>
      <c r="Y4884" t="str">
        <f t="shared" si="1999"/>
        <v>04-08-2020</v>
      </c>
      <c r="Z4884" t="str">
        <f>"COS10200804 4270"</f>
        <v>COS10200804 4270</v>
      </c>
    </row>
    <row r="4885" spans="1:26" x14ac:dyDescent="0.25">
      <c r="A4885" t="str">
        <f t="shared" si="2002"/>
        <v>04-08-2020 12:49:03</v>
      </c>
      <c r="B4885" t="str">
        <f>"0000806048"</f>
        <v>0000806048</v>
      </c>
      <c r="C4885" t="str">
        <f t="shared" si="2003"/>
        <v>0000805979</v>
      </c>
      <c r="D4885" t="str">
        <f t="shared" si="1987"/>
        <v>73185</v>
      </c>
      <c r="E4885" t="str">
        <f t="shared" si="1988"/>
        <v>KFH-OPERATIONS DEPARTMENT</v>
      </c>
      <c r="F4885" t="str">
        <f t="shared" si="1989"/>
        <v>IBG</v>
      </c>
      <c r="G4885" t="str">
        <f t="shared" si="2000"/>
        <v>Refund COSHARE 10</v>
      </c>
      <c r="H4885" s="2">
        <v>772.35</v>
      </c>
      <c r="I4885" t="str">
        <f>"AZNIZAM BIN HASHIM"</f>
        <v>AZNIZAM BIN HASHIM</v>
      </c>
      <c r="J4885" t="str">
        <f t="shared" si="2001"/>
        <v>MAYBANK / MAYBANK ISLAMIC</v>
      </c>
      <c r="K4885" t="str">
        <f>"162012630144"</f>
        <v>162012630144</v>
      </c>
      <c r="L4885" t="str">
        <f t="shared" si="1985"/>
        <v>04-08-2020</v>
      </c>
      <c r="M4885" t="str">
        <f t="shared" si="1985"/>
        <v>04-08-2020</v>
      </c>
      <c r="N4885" t="str">
        <f t="shared" si="1990"/>
        <v>001105018356</v>
      </c>
      <c r="O4885" t="str">
        <f t="shared" si="1991"/>
        <v>MYR</v>
      </c>
      <c r="P4885" t="str">
        <f t="shared" si="1986"/>
        <v>NIL</v>
      </c>
      <c r="Q4885" t="str">
        <f t="shared" si="1986"/>
        <v>NIL</v>
      </c>
      <c r="R4885" t="str">
        <f t="shared" si="1992"/>
        <v>Accepted</v>
      </c>
      <c r="S4885" t="str">
        <f t="shared" si="1993"/>
        <v>Approved</v>
      </c>
      <c r="T4885" t="str">
        <f t="shared" si="1994"/>
        <v>10.20.8.188</v>
      </c>
      <c r="U4885" t="str">
        <f t="shared" si="1995"/>
        <v>AZRAD UMAR BIN SHAARI</v>
      </c>
      <c r="V4885" t="str">
        <f t="shared" si="1996"/>
        <v>FARHANA BINTI MUSTAPA</v>
      </c>
      <c r="W4885" t="str">
        <f t="shared" si="1997"/>
        <v>04-08-2020</v>
      </c>
      <c r="X4885" t="str">
        <f t="shared" si="1998"/>
        <v>RAZIMAH ANSAR AHMAD</v>
      </c>
      <c r="Y4885" t="str">
        <f t="shared" si="1999"/>
        <v>04-08-2020</v>
      </c>
      <c r="Z4885" t="str">
        <f>"COS10200804 4269"</f>
        <v>COS10200804 4269</v>
      </c>
    </row>
    <row r="4886" spans="1:26" x14ac:dyDescent="0.25">
      <c r="A4886" t="str">
        <f t="shared" si="2002"/>
        <v>04-08-2020 12:49:03</v>
      </c>
      <c r="B4886" t="str">
        <f>"0000806047"</f>
        <v>0000806047</v>
      </c>
      <c r="C4886" t="str">
        <f t="shared" si="2003"/>
        <v>0000805979</v>
      </c>
      <c r="D4886" t="str">
        <f t="shared" si="1987"/>
        <v>73185</v>
      </c>
      <c r="E4886" t="str">
        <f t="shared" si="1988"/>
        <v>KFH-OPERATIONS DEPARTMENT</v>
      </c>
      <c r="F4886" t="str">
        <f t="shared" si="1989"/>
        <v>IBG</v>
      </c>
      <c r="G4886" t="str">
        <f t="shared" si="2000"/>
        <v>Refund COSHARE 10</v>
      </c>
      <c r="H4886" s="2">
        <v>160</v>
      </c>
      <c r="I4886" t="str">
        <f>"AZNIRAZAILI BINTI AZEMIN"</f>
        <v>AZNIRAZAILI BINTI AZEMIN</v>
      </c>
      <c r="J4886" t="str">
        <f t="shared" si="2001"/>
        <v>MAYBANK / MAYBANK ISLAMIC</v>
      </c>
      <c r="K4886" t="str">
        <f>"153010466136"</f>
        <v>153010466136</v>
      </c>
      <c r="L4886" t="str">
        <f t="shared" si="1985"/>
        <v>04-08-2020</v>
      </c>
      <c r="M4886" t="str">
        <f t="shared" si="1985"/>
        <v>04-08-2020</v>
      </c>
      <c r="N4886" t="str">
        <f t="shared" si="1990"/>
        <v>001105018356</v>
      </c>
      <c r="O4886" t="str">
        <f t="shared" si="1991"/>
        <v>MYR</v>
      </c>
      <c r="P4886" t="str">
        <f t="shared" si="1986"/>
        <v>NIL</v>
      </c>
      <c r="Q4886" t="str">
        <f t="shared" si="1986"/>
        <v>NIL</v>
      </c>
      <c r="R4886" t="str">
        <f t="shared" si="1992"/>
        <v>Accepted</v>
      </c>
      <c r="S4886" t="str">
        <f t="shared" si="1993"/>
        <v>Approved</v>
      </c>
      <c r="T4886" t="str">
        <f t="shared" si="1994"/>
        <v>10.20.8.188</v>
      </c>
      <c r="U4886" t="str">
        <f t="shared" si="1995"/>
        <v>AZRAD UMAR BIN SHAARI</v>
      </c>
      <c r="V4886" t="str">
        <f t="shared" si="1996"/>
        <v>FARHANA BINTI MUSTAPA</v>
      </c>
      <c r="W4886" t="str">
        <f t="shared" si="1997"/>
        <v>04-08-2020</v>
      </c>
      <c r="X4886" t="str">
        <f t="shared" si="1998"/>
        <v>RAZIMAH ANSAR AHMAD</v>
      </c>
      <c r="Y4886" t="str">
        <f t="shared" si="1999"/>
        <v>04-08-2020</v>
      </c>
      <c r="Z4886" t="str">
        <f>"COS10200804 4268"</f>
        <v>COS10200804 4268</v>
      </c>
    </row>
    <row r="4887" spans="1:26" x14ac:dyDescent="0.25">
      <c r="A4887" t="str">
        <f t="shared" si="2002"/>
        <v>04-08-2020 12:49:03</v>
      </c>
      <c r="B4887" t="str">
        <f>"0000806046"</f>
        <v>0000806046</v>
      </c>
      <c r="C4887" t="str">
        <f t="shared" si="2003"/>
        <v>0000805979</v>
      </c>
      <c r="D4887" t="str">
        <f t="shared" si="1987"/>
        <v>73185</v>
      </c>
      <c r="E4887" t="str">
        <f t="shared" si="1988"/>
        <v>KFH-OPERATIONS DEPARTMENT</v>
      </c>
      <c r="F4887" t="str">
        <f t="shared" si="1989"/>
        <v>IBG</v>
      </c>
      <c r="G4887" t="str">
        <f t="shared" si="2000"/>
        <v>Refund COSHARE 10</v>
      </c>
      <c r="H4887" s="2">
        <v>50.4</v>
      </c>
      <c r="I4887" t="str">
        <f>"AZMIR BIN ABD KARIM"</f>
        <v>AZMIR BIN ABD KARIM</v>
      </c>
      <c r="J4887" t="str">
        <f t="shared" si="2001"/>
        <v>MAYBANK / MAYBANK ISLAMIC</v>
      </c>
      <c r="K4887" t="str">
        <f>"159012013002"</f>
        <v>159012013002</v>
      </c>
      <c r="L4887" t="str">
        <f t="shared" ref="L4887:M4906" si="2004">"04-08-2020"</f>
        <v>04-08-2020</v>
      </c>
      <c r="M4887" t="str">
        <f t="shared" si="2004"/>
        <v>04-08-2020</v>
      </c>
      <c r="N4887" t="str">
        <f t="shared" si="1990"/>
        <v>001105018356</v>
      </c>
      <c r="O4887" t="str">
        <f t="shared" si="1991"/>
        <v>MYR</v>
      </c>
      <c r="P4887" t="str">
        <f t="shared" ref="P4887:Q4906" si="2005">"NIL"</f>
        <v>NIL</v>
      </c>
      <c r="Q4887" t="str">
        <f t="shared" si="2005"/>
        <v>NIL</v>
      </c>
      <c r="R4887" t="str">
        <f t="shared" si="1992"/>
        <v>Accepted</v>
      </c>
      <c r="S4887" t="str">
        <f t="shared" si="1993"/>
        <v>Approved</v>
      </c>
      <c r="T4887" t="str">
        <f t="shared" si="1994"/>
        <v>10.20.8.188</v>
      </c>
      <c r="U4887" t="str">
        <f t="shared" si="1995"/>
        <v>AZRAD UMAR BIN SHAARI</v>
      </c>
      <c r="V4887" t="str">
        <f t="shared" si="1996"/>
        <v>FARHANA BINTI MUSTAPA</v>
      </c>
      <c r="W4887" t="str">
        <f t="shared" si="1997"/>
        <v>04-08-2020</v>
      </c>
      <c r="X4887" t="str">
        <f t="shared" si="1998"/>
        <v>RAZIMAH ANSAR AHMAD</v>
      </c>
      <c r="Y4887" t="str">
        <f t="shared" si="1999"/>
        <v>04-08-2020</v>
      </c>
      <c r="Z4887" t="str">
        <f>"COS10200804 4267"</f>
        <v>COS10200804 4267</v>
      </c>
    </row>
    <row r="4888" spans="1:26" x14ac:dyDescent="0.25">
      <c r="A4888" t="str">
        <f t="shared" si="2002"/>
        <v>04-08-2020 12:49:03</v>
      </c>
      <c r="B4888" t="str">
        <f>"0000806045"</f>
        <v>0000806045</v>
      </c>
      <c r="C4888" t="str">
        <f t="shared" si="2003"/>
        <v>0000805979</v>
      </c>
      <c r="D4888" t="str">
        <f t="shared" si="1987"/>
        <v>73185</v>
      </c>
      <c r="E4888" t="str">
        <f t="shared" si="1988"/>
        <v>KFH-OPERATIONS DEPARTMENT</v>
      </c>
      <c r="F4888" t="str">
        <f t="shared" si="1989"/>
        <v>IBG</v>
      </c>
      <c r="G4888" t="str">
        <f t="shared" si="2000"/>
        <v>Refund COSHARE 10</v>
      </c>
      <c r="H4888" s="2">
        <v>1443.95</v>
      </c>
      <c r="I4888" t="str">
        <f>"AZMIN BIN MAT ZIN"</f>
        <v>AZMIN BIN MAT ZIN</v>
      </c>
      <c r="J4888" t="str">
        <f t="shared" si="2001"/>
        <v>MAYBANK / MAYBANK ISLAMIC</v>
      </c>
      <c r="K4888" t="str">
        <f>"164128521514"</f>
        <v>164128521514</v>
      </c>
      <c r="L4888" t="str">
        <f t="shared" si="2004"/>
        <v>04-08-2020</v>
      </c>
      <c r="M4888" t="str">
        <f t="shared" si="2004"/>
        <v>04-08-2020</v>
      </c>
      <c r="N4888" t="str">
        <f t="shared" si="1990"/>
        <v>001105018356</v>
      </c>
      <c r="O4888" t="str">
        <f t="shared" si="1991"/>
        <v>MYR</v>
      </c>
      <c r="P4888" t="str">
        <f t="shared" si="2005"/>
        <v>NIL</v>
      </c>
      <c r="Q4888" t="str">
        <f t="shared" si="2005"/>
        <v>NIL</v>
      </c>
      <c r="R4888" t="str">
        <f t="shared" si="1992"/>
        <v>Accepted</v>
      </c>
      <c r="S4888" t="str">
        <f t="shared" si="1993"/>
        <v>Approved</v>
      </c>
      <c r="T4888" t="str">
        <f t="shared" si="1994"/>
        <v>10.20.8.188</v>
      </c>
      <c r="U4888" t="str">
        <f t="shared" si="1995"/>
        <v>AZRAD UMAR BIN SHAARI</v>
      </c>
      <c r="V4888" t="str">
        <f t="shared" si="1996"/>
        <v>FARHANA BINTI MUSTAPA</v>
      </c>
      <c r="W4888" t="str">
        <f t="shared" si="1997"/>
        <v>04-08-2020</v>
      </c>
      <c r="X4888" t="str">
        <f t="shared" si="1998"/>
        <v>RAZIMAH ANSAR AHMAD</v>
      </c>
      <c r="Y4888" t="str">
        <f t="shared" si="1999"/>
        <v>04-08-2020</v>
      </c>
      <c r="Z4888" t="str">
        <f>"COS10200804 4266"</f>
        <v>COS10200804 4266</v>
      </c>
    </row>
    <row r="4889" spans="1:26" x14ac:dyDescent="0.25">
      <c r="A4889" t="str">
        <f t="shared" si="2002"/>
        <v>04-08-2020 12:49:03</v>
      </c>
      <c r="B4889" t="str">
        <f>"0000806044"</f>
        <v>0000806044</v>
      </c>
      <c r="C4889" t="str">
        <f t="shared" si="2003"/>
        <v>0000805979</v>
      </c>
      <c r="D4889" t="str">
        <f t="shared" si="1987"/>
        <v>73185</v>
      </c>
      <c r="E4889" t="str">
        <f t="shared" si="1988"/>
        <v>KFH-OPERATIONS DEPARTMENT</v>
      </c>
      <c r="F4889" t="str">
        <f t="shared" si="1989"/>
        <v>IBG</v>
      </c>
      <c r="G4889" t="str">
        <f t="shared" si="2000"/>
        <v>Refund COSHARE 10</v>
      </c>
      <c r="H4889" s="2">
        <v>524.6</v>
      </c>
      <c r="I4889" t="str">
        <f>"AZMI BIN ZAKARIA"</f>
        <v>AZMI BIN ZAKARIA</v>
      </c>
      <c r="J4889" t="str">
        <f t="shared" si="2001"/>
        <v>MAYBANK / MAYBANK ISLAMIC</v>
      </c>
      <c r="K4889" t="str">
        <f>"114011836512"</f>
        <v>114011836512</v>
      </c>
      <c r="L4889" t="str">
        <f t="shared" si="2004"/>
        <v>04-08-2020</v>
      </c>
      <c r="M4889" t="str">
        <f t="shared" si="2004"/>
        <v>04-08-2020</v>
      </c>
      <c r="N4889" t="str">
        <f t="shared" si="1990"/>
        <v>001105018356</v>
      </c>
      <c r="O4889" t="str">
        <f t="shared" si="1991"/>
        <v>MYR</v>
      </c>
      <c r="P4889" t="str">
        <f t="shared" si="2005"/>
        <v>NIL</v>
      </c>
      <c r="Q4889" t="str">
        <f t="shared" si="2005"/>
        <v>NIL</v>
      </c>
      <c r="R4889" t="str">
        <f t="shared" si="1992"/>
        <v>Accepted</v>
      </c>
      <c r="S4889" t="str">
        <f t="shared" si="1993"/>
        <v>Approved</v>
      </c>
      <c r="T4889" t="str">
        <f t="shared" si="1994"/>
        <v>10.20.8.188</v>
      </c>
      <c r="U4889" t="str">
        <f t="shared" si="1995"/>
        <v>AZRAD UMAR BIN SHAARI</v>
      </c>
      <c r="V4889" t="str">
        <f t="shared" si="1996"/>
        <v>FARHANA BINTI MUSTAPA</v>
      </c>
      <c r="W4889" t="str">
        <f t="shared" si="1997"/>
        <v>04-08-2020</v>
      </c>
      <c r="X4889" t="str">
        <f t="shared" si="1998"/>
        <v>RAZIMAH ANSAR AHMAD</v>
      </c>
      <c r="Y4889" t="str">
        <f t="shared" si="1999"/>
        <v>04-08-2020</v>
      </c>
      <c r="Z4889" t="str">
        <f>"COS10200804 4265"</f>
        <v>COS10200804 4265</v>
      </c>
    </row>
    <row r="4890" spans="1:26" x14ac:dyDescent="0.25">
      <c r="A4890" t="str">
        <f t="shared" si="2002"/>
        <v>04-08-2020 12:49:03</v>
      </c>
      <c r="B4890" t="str">
        <f>"0000806043"</f>
        <v>0000806043</v>
      </c>
      <c r="C4890" t="str">
        <f t="shared" si="2003"/>
        <v>0000805979</v>
      </c>
      <c r="D4890" t="str">
        <f t="shared" si="1987"/>
        <v>73185</v>
      </c>
      <c r="E4890" t="str">
        <f t="shared" si="1988"/>
        <v>KFH-OPERATIONS DEPARTMENT</v>
      </c>
      <c r="F4890" t="str">
        <f t="shared" si="1989"/>
        <v>IBG</v>
      </c>
      <c r="G4890" t="str">
        <f t="shared" si="2000"/>
        <v>Refund COSHARE 10</v>
      </c>
      <c r="H4890" s="2">
        <v>144</v>
      </c>
      <c r="I4890" t="str">
        <f>"AZMI BIN SANOI"</f>
        <v>AZMI BIN SANOI</v>
      </c>
      <c r="J4890" t="str">
        <f t="shared" si="2001"/>
        <v>MAYBANK / MAYBANK ISLAMIC</v>
      </c>
      <c r="K4890" t="str">
        <f>"160027368424"</f>
        <v>160027368424</v>
      </c>
      <c r="L4890" t="str">
        <f t="shared" si="2004"/>
        <v>04-08-2020</v>
      </c>
      <c r="M4890" t="str">
        <f t="shared" si="2004"/>
        <v>04-08-2020</v>
      </c>
      <c r="N4890" t="str">
        <f t="shared" si="1990"/>
        <v>001105018356</v>
      </c>
      <c r="O4890" t="str">
        <f t="shared" si="1991"/>
        <v>MYR</v>
      </c>
      <c r="P4890" t="str">
        <f t="shared" si="2005"/>
        <v>NIL</v>
      </c>
      <c r="Q4890" t="str">
        <f t="shared" si="2005"/>
        <v>NIL</v>
      </c>
      <c r="R4890" t="str">
        <f t="shared" si="1992"/>
        <v>Accepted</v>
      </c>
      <c r="S4890" t="str">
        <f t="shared" si="1993"/>
        <v>Approved</v>
      </c>
      <c r="T4890" t="str">
        <f t="shared" si="1994"/>
        <v>10.20.8.188</v>
      </c>
      <c r="U4890" t="str">
        <f t="shared" si="1995"/>
        <v>AZRAD UMAR BIN SHAARI</v>
      </c>
      <c r="V4890" t="str">
        <f t="shared" si="1996"/>
        <v>FARHANA BINTI MUSTAPA</v>
      </c>
      <c r="W4890" t="str">
        <f t="shared" si="1997"/>
        <v>04-08-2020</v>
      </c>
      <c r="X4890" t="str">
        <f t="shared" si="1998"/>
        <v>RAZIMAH ANSAR AHMAD</v>
      </c>
      <c r="Y4890" t="str">
        <f t="shared" si="1999"/>
        <v>04-08-2020</v>
      </c>
      <c r="Z4890" t="str">
        <f>"COS10200804 4264"</f>
        <v>COS10200804 4264</v>
      </c>
    </row>
    <row r="4891" spans="1:26" x14ac:dyDescent="0.25">
      <c r="A4891" t="str">
        <f t="shared" si="2002"/>
        <v>04-08-2020 12:49:03</v>
      </c>
      <c r="B4891" t="str">
        <f>"0000806042"</f>
        <v>0000806042</v>
      </c>
      <c r="C4891" t="str">
        <f t="shared" si="2003"/>
        <v>0000805979</v>
      </c>
      <c r="D4891" t="str">
        <f t="shared" si="1987"/>
        <v>73185</v>
      </c>
      <c r="E4891" t="str">
        <f t="shared" si="1988"/>
        <v>KFH-OPERATIONS DEPARTMENT</v>
      </c>
      <c r="F4891" t="str">
        <f t="shared" si="1989"/>
        <v>IBG</v>
      </c>
      <c r="G4891" t="str">
        <f t="shared" si="2000"/>
        <v>Refund COSHARE 10</v>
      </c>
      <c r="H4891" s="2">
        <v>64.25</v>
      </c>
      <c r="I4891" t="str">
        <f>"AZMI BIN AHMAD"</f>
        <v>AZMI BIN AHMAD</v>
      </c>
      <c r="J4891" t="str">
        <f t="shared" si="2001"/>
        <v>MAYBANK / MAYBANK ISLAMIC</v>
      </c>
      <c r="K4891" t="str">
        <f>"158396026676"</f>
        <v>158396026676</v>
      </c>
      <c r="L4891" t="str">
        <f t="shared" si="2004"/>
        <v>04-08-2020</v>
      </c>
      <c r="M4891" t="str">
        <f t="shared" si="2004"/>
        <v>04-08-2020</v>
      </c>
      <c r="N4891" t="str">
        <f t="shared" si="1990"/>
        <v>001105018356</v>
      </c>
      <c r="O4891" t="str">
        <f t="shared" si="1991"/>
        <v>MYR</v>
      </c>
      <c r="P4891" t="str">
        <f t="shared" si="2005"/>
        <v>NIL</v>
      </c>
      <c r="Q4891" t="str">
        <f t="shared" si="2005"/>
        <v>NIL</v>
      </c>
      <c r="R4891" t="str">
        <f t="shared" si="1992"/>
        <v>Accepted</v>
      </c>
      <c r="S4891" t="str">
        <f t="shared" si="1993"/>
        <v>Approved</v>
      </c>
      <c r="T4891" t="str">
        <f t="shared" si="1994"/>
        <v>10.20.8.188</v>
      </c>
      <c r="U4891" t="str">
        <f t="shared" si="1995"/>
        <v>AZRAD UMAR BIN SHAARI</v>
      </c>
      <c r="V4891" t="str">
        <f t="shared" si="1996"/>
        <v>FARHANA BINTI MUSTAPA</v>
      </c>
      <c r="W4891" t="str">
        <f t="shared" si="1997"/>
        <v>04-08-2020</v>
      </c>
      <c r="X4891" t="str">
        <f t="shared" si="1998"/>
        <v>RAZIMAH ANSAR AHMAD</v>
      </c>
      <c r="Y4891" t="str">
        <f t="shared" si="1999"/>
        <v>04-08-2020</v>
      </c>
      <c r="Z4891" t="str">
        <f>"COS10200804 4263"</f>
        <v>COS10200804 4263</v>
      </c>
    </row>
    <row r="4892" spans="1:26" x14ac:dyDescent="0.25">
      <c r="A4892" t="str">
        <f t="shared" si="2002"/>
        <v>04-08-2020 12:49:03</v>
      </c>
      <c r="B4892" t="str">
        <f>"0000806041"</f>
        <v>0000806041</v>
      </c>
      <c r="C4892" t="str">
        <f t="shared" si="2003"/>
        <v>0000805979</v>
      </c>
      <c r="D4892" t="str">
        <f t="shared" si="1987"/>
        <v>73185</v>
      </c>
      <c r="E4892" t="str">
        <f t="shared" si="1988"/>
        <v>KFH-OPERATIONS DEPARTMENT</v>
      </c>
      <c r="F4892" t="str">
        <f t="shared" si="1989"/>
        <v>IBG</v>
      </c>
      <c r="G4892" t="str">
        <f t="shared" si="2000"/>
        <v>Refund COSHARE 10</v>
      </c>
      <c r="H4892" s="2">
        <v>1511.1</v>
      </c>
      <c r="I4892" t="str">
        <f>"AZMI BIN ABD AZIZ"</f>
        <v>AZMI BIN ABD AZIZ</v>
      </c>
      <c r="J4892" t="str">
        <f t="shared" si="2001"/>
        <v>MAYBANK / MAYBANK ISLAMIC</v>
      </c>
      <c r="K4892" t="str">
        <f>"112308005105"</f>
        <v>112308005105</v>
      </c>
      <c r="L4892" t="str">
        <f t="shared" si="2004"/>
        <v>04-08-2020</v>
      </c>
      <c r="M4892" t="str">
        <f t="shared" si="2004"/>
        <v>04-08-2020</v>
      </c>
      <c r="N4892" t="str">
        <f t="shared" si="1990"/>
        <v>001105018356</v>
      </c>
      <c r="O4892" t="str">
        <f t="shared" si="1991"/>
        <v>MYR</v>
      </c>
      <c r="P4892" t="str">
        <f t="shared" si="2005"/>
        <v>NIL</v>
      </c>
      <c r="Q4892" t="str">
        <f t="shared" si="2005"/>
        <v>NIL</v>
      </c>
      <c r="R4892" t="str">
        <f t="shared" si="1992"/>
        <v>Accepted</v>
      </c>
      <c r="S4892" t="str">
        <f t="shared" si="1993"/>
        <v>Approved</v>
      </c>
      <c r="T4892" t="str">
        <f t="shared" si="1994"/>
        <v>10.20.8.188</v>
      </c>
      <c r="U4892" t="str">
        <f t="shared" si="1995"/>
        <v>AZRAD UMAR BIN SHAARI</v>
      </c>
      <c r="V4892" t="str">
        <f t="shared" si="1996"/>
        <v>FARHANA BINTI MUSTAPA</v>
      </c>
      <c r="W4892" t="str">
        <f t="shared" si="1997"/>
        <v>04-08-2020</v>
      </c>
      <c r="X4892" t="str">
        <f t="shared" si="1998"/>
        <v>RAZIMAH ANSAR AHMAD</v>
      </c>
      <c r="Y4892" t="str">
        <f t="shared" si="1999"/>
        <v>04-08-2020</v>
      </c>
      <c r="Z4892" t="str">
        <f>"COS10200804 4262"</f>
        <v>COS10200804 4262</v>
      </c>
    </row>
    <row r="4893" spans="1:26" x14ac:dyDescent="0.25">
      <c r="A4893" t="str">
        <f t="shared" si="2002"/>
        <v>04-08-2020 12:49:03</v>
      </c>
      <c r="B4893" t="str">
        <f>"0000806040"</f>
        <v>0000806040</v>
      </c>
      <c r="C4893" t="str">
        <f t="shared" si="2003"/>
        <v>0000805979</v>
      </c>
      <c r="D4893" t="str">
        <f t="shared" si="1987"/>
        <v>73185</v>
      </c>
      <c r="E4893" t="str">
        <f t="shared" si="1988"/>
        <v>KFH-OPERATIONS DEPARTMENT</v>
      </c>
      <c r="F4893" t="str">
        <f t="shared" si="1989"/>
        <v>IBG</v>
      </c>
      <c r="G4893" t="str">
        <f t="shared" si="2000"/>
        <v>Refund COSHARE 10</v>
      </c>
      <c r="H4893" s="2">
        <v>251.85</v>
      </c>
      <c r="I4893" t="str">
        <f>"AZMAR BINTI MUSA"</f>
        <v>AZMAR BINTI MUSA</v>
      </c>
      <c r="J4893" t="str">
        <f t="shared" si="2001"/>
        <v>MAYBANK / MAYBANK ISLAMIC</v>
      </c>
      <c r="K4893" t="str">
        <f>"114347004383"</f>
        <v>114347004383</v>
      </c>
      <c r="L4893" t="str">
        <f t="shared" si="2004"/>
        <v>04-08-2020</v>
      </c>
      <c r="M4893" t="str">
        <f t="shared" si="2004"/>
        <v>04-08-2020</v>
      </c>
      <c r="N4893" t="str">
        <f t="shared" si="1990"/>
        <v>001105018356</v>
      </c>
      <c r="O4893" t="str">
        <f t="shared" si="1991"/>
        <v>MYR</v>
      </c>
      <c r="P4893" t="str">
        <f t="shared" si="2005"/>
        <v>NIL</v>
      </c>
      <c r="Q4893" t="str">
        <f t="shared" si="2005"/>
        <v>NIL</v>
      </c>
      <c r="R4893" t="str">
        <f t="shared" si="1992"/>
        <v>Accepted</v>
      </c>
      <c r="S4893" t="str">
        <f t="shared" si="1993"/>
        <v>Approved</v>
      </c>
      <c r="T4893" t="str">
        <f t="shared" si="1994"/>
        <v>10.20.8.188</v>
      </c>
      <c r="U4893" t="str">
        <f t="shared" si="1995"/>
        <v>AZRAD UMAR BIN SHAARI</v>
      </c>
      <c r="V4893" t="str">
        <f t="shared" si="1996"/>
        <v>FARHANA BINTI MUSTAPA</v>
      </c>
      <c r="W4893" t="str">
        <f t="shared" si="1997"/>
        <v>04-08-2020</v>
      </c>
      <c r="X4893" t="str">
        <f t="shared" si="1998"/>
        <v>RAZIMAH ANSAR AHMAD</v>
      </c>
      <c r="Y4893" t="str">
        <f t="shared" si="1999"/>
        <v>04-08-2020</v>
      </c>
      <c r="Z4893" t="str">
        <f>"COS10200804 4261"</f>
        <v>COS10200804 4261</v>
      </c>
    </row>
    <row r="4894" spans="1:26" x14ac:dyDescent="0.25">
      <c r="A4894" t="str">
        <f t="shared" si="2002"/>
        <v>04-08-2020 12:49:03</v>
      </c>
      <c r="B4894" t="str">
        <f>"0000806039"</f>
        <v>0000806039</v>
      </c>
      <c r="C4894" t="str">
        <f t="shared" si="2003"/>
        <v>0000805979</v>
      </c>
      <c r="D4894" t="str">
        <f t="shared" si="1987"/>
        <v>73185</v>
      </c>
      <c r="E4894" t="str">
        <f t="shared" si="1988"/>
        <v>KFH-OPERATIONS DEPARTMENT</v>
      </c>
      <c r="F4894" t="str">
        <f t="shared" si="1989"/>
        <v>IBG</v>
      </c>
      <c r="G4894" t="str">
        <f t="shared" si="2000"/>
        <v>Refund COSHARE 10</v>
      </c>
      <c r="H4894" s="2">
        <v>92.35</v>
      </c>
      <c r="I4894" t="str">
        <f>"AZMAN BIN WAHAB"</f>
        <v>AZMAN BIN WAHAB</v>
      </c>
      <c r="J4894" t="str">
        <f t="shared" si="2001"/>
        <v>MAYBANK / MAYBANK ISLAMIC</v>
      </c>
      <c r="K4894" t="str">
        <f>"151575012756"</f>
        <v>151575012756</v>
      </c>
      <c r="L4894" t="str">
        <f t="shared" si="2004"/>
        <v>04-08-2020</v>
      </c>
      <c r="M4894" t="str">
        <f t="shared" si="2004"/>
        <v>04-08-2020</v>
      </c>
      <c r="N4894" t="str">
        <f t="shared" si="1990"/>
        <v>001105018356</v>
      </c>
      <c r="O4894" t="str">
        <f t="shared" si="1991"/>
        <v>MYR</v>
      </c>
      <c r="P4894" t="str">
        <f t="shared" si="2005"/>
        <v>NIL</v>
      </c>
      <c r="Q4894" t="str">
        <f t="shared" si="2005"/>
        <v>NIL</v>
      </c>
      <c r="R4894" t="str">
        <f t="shared" si="1992"/>
        <v>Accepted</v>
      </c>
      <c r="S4894" t="str">
        <f t="shared" si="1993"/>
        <v>Approved</v>
      </c>
      <c r="T4894" t="str">
        <f t="shared" si="1994"/>
        <v>10.20.8.188</v>
      </c>
      <c r="U4894" t="str">
        <f t="shared" si="1995"/>
        <v>AZRAD UMAR BIN SHAARI</v>
      </c>
      <c r="V4894" t="str">
        <f t="shared" si="1996"/>
        <v>FARHANA BINTI MUSTAPA</v>
      </c>
      <c r="W4894" t="str">
        <f t="shared" si="1997"/>
        <v>04-08-2020</v>
      </c>
      <c r="X4894" t="str">
        <f t="shared" si="1998"/>
        <v>RAZIMAH ANSAR AHMAD</v>
      </c>
      <c r="Y4894" t="str">
        <f t="shared" si="1999"/>
        <v>04-08-2020</v>
      </c>
      <c r="Z4894" t="str">
        <f>"COS10200804 4260"</f>
        <v>COS10200804 4260</v>
      </c>
    </row>
    <row r="4895" spans="1:26" x14ac:dyDescent="0.25">
      <c r="A4895" t="str">
        <f t="shared" si="2002"/>
        <v>04-08-2020 12:49:03</v>
      </c>
      <c r="B4895" t="str">
        <f>"0000806038"</f>
        <v>0000806038</v>
      </c>
      <c r="C4895" t="str">
        <f t="shared" si="2003"/>
        <v>0000805979</v>
      </c>
      <c r="D4895" t="str">
        <f t="shared" si="1987"/>
        <v>73185</v>
      </c>
      <c r="E4895" t="str">
        <f t="shared" si="1988"/>
        <v>KFH-OPERATIONS DEPARTMENT</v>
      </c>
      <c r="F4895" t="str">
        <f t="shared" si="1989"/>
        <v>IBG</v>
      </c>
      <c r="G4895" t="str">
        <f t="shared" si="2000"/>
        <v>Refund COSHARE 10</v>
      </c>
      <c r="H4895" s="2">
        <v>835</v>
      </c>
      <c r="I4895" t="str">
        <f>"AZMAN BIN SADAN"</f>
        <v>AZMAN BIN SADAN</v>
      </c>
      <c r="J4895" t="str">
        <f t="shared" si="2001"/>
        <v>MAYBANK / MAYBANK ISLAMIC</v>
      </c>
      <c r="K4895" t="str">
        <f>"101132383202"</f>
        <v>101132383202</v>
      </c>
      <c r="L4895" t="str">
        <f t="shared" si="2004"/>
        <v>04-08-2020</v>
      </c>
      <c r="M4895" t="str">
        <f t="shared" si="2004"/>
        <v>04-08-2020</v>
      </c>
      <c r="N4895" t="str">
        <f t="shared" si="1990"/>
        <v>001105018356</v>
      </c>
      <c r="O4895" t="str">
        <f t="shared" si="1991"/>
        <v>MYR</v>
      </c>
      <c r="P4895" t="str">
        <f t="shared" si="2005"/>
        <v>NIL</v>
      </c>
      <c r="Q4895" t="str">
        <f t="shared" si="2005"/>
        <v>NIL</v>
      </c>
      <c r="R4895" t="str">
        <f t="shared" si="1992"/>
        <v>Accepted</v>
      </c>
      <c r="S4895" t="str">
        <f t="shared" si="1993"/>
        <v>Approved</v>
      </c>
      <c r="T4895" t="str">
        <f t="shared" si="1994"/>
        <v>10.20.8.188</v>
      </c>
      <c r="U4895" t="str">
        <f t="shared" si="1995"/>
        <v>AZRAD UMAR BIN SHAARI</v>
      </c>
      <c r="V4895" t="str">
        <f t="shared" si="1996"/>
        <v>FARHANA BINTI MUSTAPA</v>
      </c>
      <c r="W4895" t="str">
        <f t="shared" si="1997"/>
        <v>04-08-2020</v>
      </c>
      <c r="X4895" t="str">
        <f t="shared" si="1998"/>
        <v>RAZIMAH ANSAR AHMAD</v>
      </c>
      <c r="Y4895" t="str">
        <f t="shared" si="1999"/>
        <v>04-08-2020</v>
      </c>
      <c r="Z4895" t="str">
        <f>"COS10200804 4259"</f>
        <v>COS10200804 4259</v>
      </c>
    </row>
    <row r="4896" spans="1:26" x14ac:dyDescent="0.25">
      <c r="A4896" t="str">
        <f t="shared" si="2002"/>
        <v>04-08-2020 12:49:03</v>
      </c>
      <c r="B4896" t="str">
        <f>"0000806037"</f>
        <v>0000806037</v>
      </c>
      <c r="C4896" t="str">
        <f t="shared" si="2003"/>
        <v>0000805979</v>
      </c>
      <c r="D4896" t="str">
        <f t="shared" si="1987"/>
        <v>73185</v>
      </c>
      <c r="E4896" t="str">
        <f t="shared" si="1988"/>
        <v>KFH-OPERATIONS DEPARTMENT</v>
      </c>
      <c r="F4896" t="str">
        <f t="shared" si="1989"/>
        <v>IBG</v>
      </c>
      <c r="G4896" t="str">
        <f t="shared" si="2000"/>
        <v>Refund COSHARE 10</v>
      </c>
      <c r="H4896" s="2">
        <v>160</v>
      </c>
      <c r="I4896" t="str">
        <f>"AZMAN BIN RAZALI"</f>
        <v>AZMAN BIN RAZALI</v>
      </c>
      <c r="J4896" t="str">
        <f t="shared" si="2001"/>
        <v>MAYBANK / MAYBANK ISLAMIC</v>
      </c>
      <c r="K4896" t="str">
        <f>"161015823906"</f>
        <v>161015823906</v>
      </c>
      <c r="L4896" t="str">
        <f t="shared" si="2004"/>
        <v>04-08-2020</v>
      </c>
      <c r="M4896" t="str">
        <f t="shared" si="2004"/>
        <v>04-08-2020</v>
      </c>
      <c r="N4896" t="str">
        <f t="shared" si="1990"/>
        <v>001105018356</v>
      </c>
      <c r="O4896" t="str">
        <f t="shared" si="1991"/>
        <v>MYR</v>
      </c>
      <c r="P4896" t="str">
        <f t="shared" si="2005"/>
        <v>NIL</v>
      </c>
      <c r="Q4896" t="str">
        <f t="shared" si="2005"/>
        <v>NIL</v>
      </c>
      <c r="R4896" t="str">
        <f t="shared" si="1992"/>
        <v>Accepted</v>
      </c>
      <c r="S4896" t="str">
        <f t="shared" si="1993"/>
        <v>Approved</v>
      </c>
      <c r="T4896" t="str">
        <f t="shared" si="1994"/>
        <v>10.20.8.188</v>
      </c>
      <c r="U4896" t="str">
        <f t="shared" si="1995"/>
        <v>AZRAD UMAR BIN SHAARI</v>
      </c>
      <c r="V4896" t="str">
        <f t="shared" si="1996"/>
        <v>FARHANA BINTI MUSTAPA</v>
      </c>
      <c r="W4896" t="str">
        <f t="shared" si="1997"/>
        <v>04-08-2020</v>
      </c>
      <c r="X4896" t="str">
        <f t="shared" si="1998"/>
        <v>RAZIMAH ANSAR AHMAD</v>
      </c>
      <c r="Y4896" t="str">
        <f t="shared" si="1999"/>
        <v>04-08-2020</v>
      </c>
      <c r="Z4896" t="str">
        <f>"COS10200804 4258"</f>
        <v>COS10200804 4258</v>
      </c>
    </row>
    <row r="4897" spans="1:26" x14ac:dyDescent="0.25">
      <c r="A4897" t="str">
        <f t="shared" si="2002"/>
        <v>04-08-2020 12:49:03</v>
      </c>
      <c r="B4897" t="str">
        <f>"0000806036"</f>
        <v>0000806036</v>
      </c>
      <c r="C4897" t="str">
        <f t="shared" si="2003"/>
        <v>0000805979</v>
      </c>
      <c r="D4897" t="str">
        <f t="shared" si="1987"/>
        <v>73185</v>
      </c>
      <c r="E4897" t="str">
        <f t="shared" si="1988"/>
        <v>KFH-OPERATIONS DEPARTMENT</v>
      </c>
      <c r="F4897" t="str">
        <f t="shared" si="1989"/>
        <v>IBG</v>
      </c>
      <c r="G4897" t="str">
        <f t="shared" si="2000"/>
        <v>Refund COSHARE 10</v>
      </c>
      <c r="H4897" s="2">
        <v>167.9</v>
      </c>
      <c r="I4897" t="str">
        <f>"AZMAN BIN RAZALI"</f>
        <v>AZMAN BIN RAZALI</v>
      </c>
      <c r="J4897" t="str">
        <f t="shared" si="2001"/>
        <v>MAYBANK / MAYBANK ISLAMIC</v>
      </c>
      <c r="K4897" t="str">
        <f>"161015823906"</f>
        <v>161015823906</v>
      </c>
      <c r="L4897" t="str">
        <f t="shared" si="2004"/>
        <v>04-08-2020</v>
      </c>
      <c r="M4897" t="str">
        <f t="shared" si="2004"/>
        <v>04-08-2020</v>
      </c>
      <c r="N4897" t="str">
        <f t="shared" si="1990"/>
        <v>001105018356</v>
      </c>
      <c r="O4897" t="str">
        <f t="shared" si="1991"/>
        <v>MYR</v>
      </c>
      <c r="P4897" t="str">
        <f t="shared" si="2005"/>
        <v>NIL</v>
      </c>
      <c r="Q4897" t="str">
        <f t="shared" si="2005"/>
        <v>NIL</v>
      </c>
      <c r="R4897" t="str">
        <f t="shared" si="1992"/>
        <v>Accepted</v>
      </c>
      <c r="S4897" t="str">
        <f t="shared" si="1993"/>
        <v>Approved</v>
      </c>
      <c r="T4897" t="str">
        <f t="shared" si="1994"/>
        <v>10.20.8.188</v>
      </c>
      <c r="U4897" t="str">
        <f t="shared" si="1995"/>
        <v>AZRAD UMAR BIN SHAARI</v>
      </c>
      <c r="V4897" t="str">
        <f t="shared" si="1996"/>
        <v>FARHANA BINTI MUSTAPA</v>
      </c>
      <c r="W4897" t="str">
        <f t="shared" si="1997"/>
        <v>04-08-2020</v>
      </c>
      <c r="X4897" t="str">
        <f t="shared" si="1998"/>
        <v>RAZIMAH ANSAR AHMAD</v>
      </c>
      <c r="Y4897" t="str">
        <f t="shared" si="1999"/>
        <v>04-08-2020</v>
      </c>
      <c r="Z4897" t="str">
        <f>"COS10200804 4257"</f>
        <v>COS10200804 4257</v>
      </c>
    </row>
    <row r="4898" spans="1:26" x14ac:dyDescent="0.25">
      <c r="A4898" t="str">
        <f t="shared" si="2002"/>
        <v>04-08-2020 12:49:03</v>
      </c>
      <c r="B4898" t="str">
        <f>"0000806035"</f>
        <v>0000806035</v>
      </c>
      <c r="C4898" t="str">
        <f t="shared" si="2003"/>
        <v>0000805979</v>
      </c>
      <c r="D4898" t="str">
        <f t="shared" si="1987"/>
        <v>73185</v>
      </c>
      <c r="E4898" t="str">
        <f t="shared" si="1988"/>
        <v>KFH-OPERATIONS DEPARTMENT</v>
      </c>
      <c r="F4898" t="str">
        <f t="shared" si="1989"/>
        <v>IBG</v>
      </c>
      <c r="G4898" t="str">
        <f t="shared" si="2000"/>
        <v>Refund COSHARE 10</v>
      </c>
      <c r="H4898" s="2">
        <v>827</v>
      </c>
      <c r="I4898" t="str">
        <f>"AZMAN BIN NEK"</f>
        <v>AZMAN BIN NEK</v>
      </c>
      <c r="J4898" t="str">
        <f t="shared" si="2001"/>
        <v>MAYBANK / MAYBANK ISLAMIC</v>
      </c>
      <c r="K4898" t="str">
        <f>"158314116453"</f>
        <v>158314116453</v>
      </c>
      <c r="L4898" t="str">
        <f t="shared" si="2004"/>
        <v>04-08-2020</v>
      </c>
      <c r="M4898" t="str">
        <f t="shared" si="2004"/>
        <v>04-08-2020</v>
      </c>
      <c r="N4898" t="str">
        <f t="shared" si="1990"/>
        <v>001105018356</v>
      </c>
      <c r="O4898" t="str">
        <f t="shared" si="1991"/>
        <v>MYR</v>
      </c>
      <c r="P4898" t="str">
        <f t="shared" si="2005"/>
        <v>NIL</v>
      </c>
      <c r="Q4898" t="str">
        <f t="shared" si="2005"/>
        <v>NIL</v>
      </c>
      <c r="R4898" t="str">
        <f t="shared" si="1992"/>
        <v>Accepted</v>
      </c>
      <c r="S4898" t="str">
        <f t="shared" si="1993"/>
        <v>Approved</v>
      </c>
      <c r="T4898" t="str">
        <f t="shared" si="1994"/>
        <v>10.20.8.188</v>
      </c>
      <c r="U4898" t="str">
        <f t="shared" si="1995"/>
        <v>AZRAD UMAR BIN SHAARI</v>
      </c>
      <c r="V4898" t="str">
        <f t="shared" si="1996"/>
        <v>FARHANA BINTI MUSTAPA</v>
      </c>
      <c r="W4898" t="str">
        <f t="shared" si="1997"/>
        <v>04-08-2020</v>
      </c>
      <c r="X4898" t="str">
        <f t="shared" si="1998"/>
        <v>RAZIMAH ANSAR AHMAD</v>
      </c>
      <c r="Y4898" t="str">
        <f t="shared" si="1999"/>
        <v>04-08-2020</v>
      </c>
      <c r="Z4898" t="str">
        <f>"COS10200804 4256"</f>
        <v>COS10200804 4256</v>
      </c>
    </row>
    <row r="4899" spans="1:26" x14ac:dyDescent="0.25">
      <c r="A4899" t="str">
        <f t="shared" si="2002"/>
        <v>04-08-2020 12:49:03</v>
      </c>
      <c r="B4899" t="str">
        <f>"0000806034"</f>
        <v>0000806034</v>
      </c>
      <c r="C4899" t="str">
        <f t="shared" si="2003"/>
        <v>0000805979</v>
      </c>
      <c r="D4899" t="str">
        <f t="shared" si="1987"/>
        <v>73185</v>
      </c>
      <c r="E4899" t="str">
        <f t="shared" si="1988"/>
        <v>KFH-OPERATIONS DEPARTMENT</v>
      </c>
      <c r="F4899" t="str">
        <f t="shared" si="1989"/>
        <v>IBG</v>
      </c>
      <c r="G4899" t="str">
        <f t="shared" si="2000"/>
        <v>Refund COSHARE 10</v>
      </c>
      <c r="H4899" s="2">
        <v>127.05</v>
      </c>
      <c r="I4899" t="str">
        <f>"AZMAN BIN ISMAIL"</f>
        <v>AZMAN BIN ISMAIL</v>
      </c>
      <c r="J4899" t="str">
        <f t="shared" si="2001"/>
        <v>MAYBANK / MAYBANK ISLAMIC</v>
      </c>
      <c r="K4899" t="str">
        <f>"108056312338"</f>
        <v>108056312338</v>
      </c>
      <c r="L4899" t="str">
        <f t="shared" si="2004"/>
        <v>04-08-2020</v>
      </c>
      <c r="M4899" t="str">
        <f t="shared" si="2004"/>
        <v>04-08-2020</v>
      </c>
      <c r="N4899" t="str">
        <f t="shared" si="1990"/>
        <v>001105018356</v>
      </c>
      <c r="O4899" t="str">
        <f t="shared" si="1991"/>
        <v>MYR</v>
      </c>
      <c r="P4899" t="str">
        <f t="shared" si="2005"/>
        <v>NIL</v>
      </c>
      <c r="Q4899" t="str">
        <f t="shared" si="2005"/>
        <v>NIL</v>
      </c>
      <c r="R4899" t="str">
        <f t="shared" si="1992"/>
        <v>Accepted</v>
      </c>
      <c r="S4899" t="str">
        <f t="shared" si="1993"/>
        <v>Approved</v>
      </c>
      <c r="T4899" t="str">
        <f t="shared" si="1994"/>
        <v>10.20.8.188</v>
      </c>
      <c r="U4899" t="str">
        <f t="shared" si="1995"/>
        <v>AZRAD UMAR BIN SHAARI</v>
      </c>
      <c r="V4899" t="str">
        <f t="shared" si="1996"/>
        <v>FARHANA BINTI MUSTAPA</v>
      </c>
      <c r="W4899" t="str">
        <f t="shared" si="1997"/>
        <v>04-08-2020</v>
      </c>
      <c r="X4899" t="str">
        <f t="shared" si="1998"/>
        <v>RAZIMAH ANSAR AHMAD</v>
      </c>
      <c r="Y4899" t="str">
        <f t="shared" si="1999"/>
        <v>04-08-2020</v>
      </c>
      <c r="Z4899" t="str">
        <f>"COS10200804 4255"</f>
        <v>COS10200804 4255</v>
      </c>
    </row>
    <row r="4900" spans="1:26" x14ac:dyDescent="0.25">
      <c r="A4900" t="str">
        <f t="shared" si="2002"/>
        <v>04-08-2020 12:49:03</v>
      </c>
      <c r="B4900" t="str">
        <f>"0000806033"</f>
        <v>0000806033</v>
      </c>
      <c r="C4900" t="str">
        <f t="shared" si="2003"/>
        <v>0000805979</v>
      </c>
      <c r="D4900" t="str">
        <f t="shared" si="1987"/>
        <v>73185</v>
      </c>
      <c r="E4900" t="str">
        <f t="shared" si="1988"/>
        <v>KFH-OPERATIONS DEPARTMENT</v>
      </c>
      <c r="F4900" t="str">
        <f t="shared" si="1989"/>
        <v>IBG</v>
      </c>
      <c r="G4900" t="str">
        <f t="shared" si="2000"/>
        <v>Refund COSHARE 10</v>
      </c>
      <c r="H4900" s="2">
        <v>56.8</v>
      </c>
      <c r="I4900" t="str">
        <f>"AZMAN BIN CHE MAT"</f>
        <v>AZMAN BIN CHE MAT</v>
      </c>
      <c r="J4900" t="str">
        <f t="shared" si="2001"/>
        <v>MAYBANK / MAYBANK ISLAMIC</v>
      </c>
      <c r="K4900" t="str">
        <f>"164100230392"</f>
        <v>164100230392</v>
      </c>
      <c r="L4900" t="str">
        <f t="shared" si="2004"/>
        <v>04-08-2020</v>
      </c>
      <c r="M4900" t="str">
        <f t="shared" si="2004"/>
        <v>04-08-2020</v>
      </c>
      <c r="N4900" t="str">
        <f t="shared" si="1990"/>
        <v>001105018356</v>
      </c>
      <c r="O4900" t="str">
        <f t="shared" si="1991"/>
        <v>MYR</v>
      </c>
      <c r="P4900" t="str">
        <f t="shared" si="2005"/>
        <v>NIL</v>
      </c>
      <c r="Q4900" t="str">
        <f t="shared" si="2005"/>
        <v>NIL</v>
      </c>
      <c r="R4900" t="str">
        <f t="shared" si="1992"/>
        <v>Accepted</v>
      </c>
      <c r="S4900" t="str">
        <f t="shared" si="1993"/>
        <v>Approved</v>
      </c>
      <c r="T4900" t="str">
        <f t="shared" si="1994"/>
        <v>10.20.8.188</v>
      </c>
      <c r="U4900" t="str">
        <f t="shared" si="1995"/>
        <v>AZRAD UMAR BIN SHAARI</v>
      </c>
      <c r="V4900" t="str">
        <f t="shared" si="1996"/>
        <v>FARHANA BINTI MUSTAPA</v>
      </c>
      <c r="W4900" t="str">
        <f t="shared" si="1997"/>
        <v>04-08-2020</v>
      </c>
      <c r="X4900" t="str">
        <f t="shared" si="1998"/>
        <v>RAZIMAH ANSAR AHMAD</v>
      </c>
      <c r="Y4900" t="str">
        <f t="shared" si="1999"/>
        <v>04-08-2020</v>
      </c>
      <c r="Z4900" t="str">
        <f>"COS10200804 4254"</f>
        <v>COS10200804 4254</v>
      </c>
    </row>
    <row r="4901" spans="1:26" x14ac:dyDescent="0.25">
      <c r="A4901" t="str">
        <f t="shared" si="2002"/>
        <v>04-08-2020 12:49:03</v>
      </c>
      <c r="B4901" t="str">
        <f>"0000806032"</f>
        <v>0000806032</v>
      </c>
      <c r="C4901" t="str">
        <f t="shared" si="2003"/>
        <v>0000805979</v>
      </c>
      <c r="D4901" t="str">
        <f t="shared" si="1987"/>
        <v>73185</v>
      </c>
      <c r="E4901" t="str">
        <f t="shared" si="1988"/>
        <v>KFH-OPERATIONS DEPARTMENT</v>
      </c>
      <c r="F4901" t="str">
        <f t="shared" si="1989"/>
        <v>IBG</v>
      </c>
      <c r="G4901" t="str">
        <f t="shared" si="2000"/>
        <v>Refund COSHARE 10</v>
      </c>
      <c r="H4901" s="2">
        <v>1168.75</v>
      </c>
      <c r="I4901" t="str">
        <f>"AZMAN BIN AMAT"</f>
        <v>AZMAN BIN AMAT</v>
      </c>
      <c r="J4901" t="str">
        <f t="shared" si="2001"/>
        <v>MAYBANK / MAYBANK ISLAMIC</v>
      </c>
      <c r="K4901" t="str">
        <f>"106137095600"</f>
        <v>106137095600</v>
      </c>
      <c r="L4901" t="str">
        <f t="shared" si="2004"/>
        <v>04-08-2020</v>
      </c>
      <c r="M4901" t="str">
        <f t="shared" si="2004"/>
        <v>04-08-2020</v>
      </c>
      <c r="N4901" t="str">
        <f t="shared" si="1990"/>
        <v>001105018356</v>
      </c>
      <c r="O4901" t="str">
        <f t="shared" si="1991"/>
        <v>MYR</v>
      </c>
      <c r="P4901" t="str">
        <f t="shared" si="2005"/>
        <v>NIL</v>
      </c>
      <c r="Q4901" t="str">
        <f t="shared" si="2005"/>
        <v>NIL</v>
      </c>
      <c r="R4901" t="str">
        <f t="shared" si="1992"/>
        <v>Accepted</v>
      </c>
      <c r="S4901" t="str">
        <f t="shared" si="1993"/>
        <v>Approved</v>
      </c>
      <c r="T4901" t="str">
        <f t="shared" si="1994"/>
        <v>10.20.8.188</v>
      </c>
      <c r="U4901" t="str">
        <f t="shared" si="1995"/>
        <v>AZRAD UMAR BIN SHAARI</v>
      </c>
      <c r="V4901" t="str">
        <f t="shared" si="1996"/>
        <v>FARHANA BINTI MUSTAPA</v>
      </c>
      <c r="W4901" t="str">
        <f t="shared" si="1997"/>
        <v>04-08-2020</v>
      </c>
      <c r="X4901" t="str">
        <f t="shared" si="1998"/>
        <v>RAZIMAH ANSAR AHMAD</v>
      </c>
      <c r="Y4901" t="str">
        <f t="shared" si="1999"/>
        <v>04-08-2020</v>
      </c>
      <c r="Z4901" t="str">
        <f>"COS10200804 4253"</f>
        <v>COS10200804 4253</v>
      </c>
    </row>
    <row r="4902" spans="1:26" x14ac:dyDescent="0.25">
      <c r="A4902" t="str">
        <f t="shared" si="2002"/>
        <v>04-08-2020 12:49:03</v>
      </c>
      <c r="B4902" t="str">
        <f>"0000806031"</f>
        <v>0000806031</v>
      </c>
      <c r="C4902" t="str">
        <f t="shared" si="2003"/>
        <v>0000805979</v>
      </c>
      <c r="D4902" t="str">
        <f t="shared" si="1987"/>
        <v>73185</v>
      </c>
      <c r="E4902" t="str">
        <f t="shared" si="1988"/>
        <v>KFH-OPERATIONS DEPARTMENT</v>
      </c>
      <c r="F4902" t="str">
        <f t="shared" si="1989"/>
        <v>IBG</v>
      </c>
      <c r="G4902" t="str">
        <f t="shared" si="2000"/>
        <v>Refund COSHARE 10</v>
      </c>
      <c r="H4902" s="2">
        <v>587.65</v>
      </c>
      <c r="I4902" t="str">
        <f>"AZMAN AZLI BIN MOHAMAD"</f>
        <v>AZMAN AZLI BIN MOHAMAD</v>
      </c>
      <c r="J4902" t="str">
        <f t="shared" si="2001"/>
        <v>MAYBANK / MAYBANK ISLAMIC</v>
      </c>
      <c r="K4902" t="str">
        <f>"162759014047"</f>
        <v>162759014047</v>
      </c>
      <c r="L4902" t="str">
        <f t="shared" si="2004"/>
        <v>04-08-2020</v>
      </c>
      <c r="M4902" t="str">
        <f t="shared" si="2004"/>
        <v>04-08-2020</v>
      </c>
      <c r="N4902" t="str">
        <f t="shared" si="1990"/>
        <v>001105018356</v>
      </c>
      <c r="O4902" t="str">
        <f t="shared" si="1991"/>
        <v>MYR</v>
      </c>
      <c r="P4902" t="str">
        <f t="shared" si="2005"/>
        <v>NIL</v>
      </c>
      <c r="Q4902" t="str">
        <f t="shared" si="2005"/>
        <v>NIL</v>
      </c>
      <c r="R4902" t="str">
        <f t="shared" si="1992"/>
        <v>Accepted</v>
      </c>
      <c r="S4902" t="str">
        <f t="shared" si="1993"/>
        <v>Approved</v>
      </c>
      <c r="T4902" t="str">
        <f t="shared" si="1994"/>
        <v>10.20.8.188</v>
      </c>
      <c r="U4902" t="str">
        <f t="shared" si="1995"/>
        <v>AZRAD UMAR BIN SHAARI</v>
      </c>
      <c r="V4902" t="str">
        <f t="shared" si="1996"/>
        <v>FARHANA BINTI MUSTAPA</v>
      </c>
      <c r="W4902" t="str">
        <f t="shared" si="1997"/>
        <v>04-08-2020</v>
      </c>
      <c r="X4902" t="str">
        <f t="shared" si="1998"/>
        <v>RAZIMAH ANSAR AHMAD</v>
      </c>
      <c r="Y4902" t="str">
        <f t="shared" si="1999"/>
        <v>04-08-2020</v>
      </c>
      <c r="Z4902" t="str">
        <f>"COS10200804 4252"</f>
        <v>COS10200804 4252</v>
      </c>
    </row>
    <row r="4903" spans="1:26" x14ac:dyDescent="0.25">
      <c r="A4903" t="str">
        <f t="shared" si="2002"/>
        <v>04-08-2020 12:49:03</v>
      </c>
      <c r="B4903" t="str">
        <f>"0000806030"</f>
        <v>0000806030</v>
      </c>
      <c r="C4903" t="str">
        <f t="shared" si="2003"/>
        <v>0000805979</v>
      </c>
      <c r="D4903" t="str">
        <f t="shared" si="1987"/>
        <v>73185</v>
      </c>
      <c r="E4903" t="str">
        <f t="shared" si="1988"/>
        <v>KFH-OPERATIONS DEPARTMENT</v>
      </c>
      <c r="F4903" t="str">
        <f t="shared" si="1989"/>
        <v>IBG</v>
      </c>
      <c r="G4903" t="str">
        <f t="shared" si="2000"/>
        <v>Refund COSHARE 10</v>
      </c>
      <c r="H4903" s="2">
        <v>117.55</v>
      </c>
      <c r="I4903" t="str">
        <f>"AZLIZAN BIN MD ISA"</f>
        <v>AZLIZAN BIN MD ISA</v>
      </c>
      <c r="J4903" t="str">
        <f t="shared" si="2001"/>
        <v>MAYBANK / MAYBANK ISLAMIC</v>
      </c>
      <c r="K4903" t="str">
        <f>"152068679667"</f>
        <v>152068679667</v>
      </c>
      <c r="L4903" t="str">
        <f t="shared" si="2004"/>
        <v>04-08-2020</v>
      </c>
      <c r="M4903" t="str">
        <f t="shared" si="2004"/>
        <v>04-08-2020</v>
      </c>
      <c r="N4903" t="str">
        <f t="shared" si="1990"/>
        <v>001105018356</v>
      </c>
      <c r="O4903" t="str">
        <f t="shared" si="1991"/>
        <v>MYR</v>
      </c>
      <c r="P4903" t="str">
        <f t="shared" si="2005"/>
        <v>NIL</v>
      </c>
      <c r="Q4903" t="str">
        <f t="shared" si="2005"/>
        <v>NIL</v>
      </c>
      <c r="R4903" t="str">
        <f t="shared" si="1992"/>
        <v>Accepted</v>
      </c>
      <c r="S4903" t="str">
        <f t="shared" si="1993"/>
        <v>Approved</v>
      </c>
      <c r="T4903" t="str">
        <f t="shared" si="1994"/>
        <v>10.20.8.188</v>
      </c>
      <c r="U4903" t="str">
        <f t="shared" si="1995"/>
        <v>AZRAD UMAR BIN SHAARI</v>
      </c>
      <c r="V4903" t="str">
        <f t="shared" si="1996"/>
        <v>FARHANA BINTI MUSTAPA</v>
      </c>
      <c r="W4903" t="str">
        <f t="shared" si="1997"/>
        <v>04-08-2020</v>
      </c>
      <c r="X4903" t="str">
        <f t="shared" si="1998"/>
        <v>RAZIMAH ANSAR AHMAD</v>
      </c>
      <c r="Y4903" t="str">
        <f t="shared" si="1999"/>
        <v>04-08-2020</v>
      </c>
      <c r="Z4903" t="str">
        <f>"COS10200804 4251"</f>
        <v>COS10200804 4251</v>
      </c>
    </row>
    <row r="4904" spans="1:26" x14ac:dyDescent="0.25">
      <c r="A4904" t="str">
        <f t="shared" si="2002"/>
        <v>04-08-2020 12:49:03</v>
      </c>
      <c r="B4904" t="str">
        <f>"0000806029"</f>
        <v>0000806029</v>
      </c>
      <c r="C4904" t="str">
        <f t="shared" si="2003"/>
        <v>0000805979</v>
      </c>
      <c r="D4904" t="str">
        <f t="shared" si="1987"/>
        <v>73185</v>
      </c>
      <c r="E4904" t="str">
        <f t="shared" si="1988"/>
        <v>KFH-OPERATIONS DEPARTMENT</v>
      </c>
      <c r="F4904" t="str">
        <f t="shared" si="1989"/>
        <v>IBG</v>
      </c>
      <c r="G4904" t="str">
        <f t="shared" si="2000"/>
        <v>Refund COSHARE 10</v>
      </c>
      <c r="H4904" s="2">
        <v>98.25</v>
      </c>
      <c r="I4904" t="str">
        <f>"AZLIZA BINTI ITHNIN"</f>
        <v>AZLIZA BINTI ITHNIN</v>
      </c>
      <c r="J4904" t="str">
        <f t="shared" si="2001"/>
        <v>MAYBANK / MAYBANK ISLAMIC</v>
      </c>
      <c r="K4904" t="str">
        <f>"162254727744"</f>
        <v>162254727744</v>
      </c>
      <c r="L4904" t="str">
        <f t="shared" si="2004"/>
        <v>04-08-2020</v>
      </c>
      <c r="M4904" t="str">
        <f t="shared" si="2004"/>
        <v>04-08-2020</v>
      </c>
      <c r="N4904" t="str">
        <f t="shared" si="1990"/>
        <v>001105018356</v>
      </c>
      <c r="O4904" t="str">
        <f t="shared" si="1991"/>
        <v>MYR</v>
      </c>
      <c r="P4904" t="str">
        <f t="shared" si="2005"/>
        <v>NIL</v>
      </c>
      <c r="Q4904" t="str">
        <f t="shared" si="2005"/>
        <v>NIL</v>
      </c>
      <c r="R4904" t="str">
        <f t="shared" si="1992"/>
        <v>Accepted</v>
      </c>
      <c r="S4904" t="str">
        <f t="shared" si="1993"/>
        <v>Approved</v>
      </c>
      <c r="T4904" t="str">
        <f t="shared" si="1994"/>
        <v>10.20.8.188</v>
      </c>
      <c r="U4904" t="str">
        <f t="shared" si="1995"/>
        <v>AZRAD UMAR BIN SHAARI</v>
      </c>
      <c r="V4904" t="str">
        <f t="shared" si="1996"/>
        <v>FARHANA BINTI MUSTAPA</v>
      </c>
      <c r="W4904" t="str">
        <f t="shared" si="1997"/>
        <v>04-08-2020</v>
      </c>
      <c r="X4904" t="str">
        <f t="shared" si="1998"/>
        <v>RAZIMAH ANSAR AHMAD</v>
      </c>
      <c r="Y4904" t="str">
        <f t="shared" si="1999"/>
        <v>04-08-2020</v>
      </c>
      <c r="Z4904" t="str">
        <f>"COS10200804 4250"</f>
        <v>COS10200804 4250</v>
      </c>
    </row>
    <row r="4905" spans="1:26" x14ac:dyDescent="0.25">
      <c r="A4905" t="str">
        <f t="shared" si="2002"/>
        <v>04-08-2020 12:49:03</v>
      </c>
      <c r="B4905" t="str">
        <f>"0000806028"</f>
        <v>0000806028</v>
      </c>
      <c r="C4905" t="str">
        <f t="shared" si="2003"/>
        <v>0000805979</v>
      </c>
      <c r="D4905" t="str">
        <f t="shared" si="1987"/>
        <v>73185</v>
      </c>
      <c r="E4905" t="str">
        <f t="shared" si="1988"/>
        <v>KFH-OPERATIONS DEPARTMENT</v>
      </c>
      <c r="F4905" t="str">
        <f t="shared" si="1989"/>
        <v>IBG</v>
      </c>
      <c r="G4905" t="str">
        <f t="shared" si="2000"/>
        <v>Refund COSHARE 10</v>
      </c>
      <c r="H4905" s="2">
        <v>245.6</v>
      </c>
      <c r="I4905" t="str">
        <f>"AZLIZA BINTI HUSSAIN"</f>
        <v>AZLIZA BINTI HUSSAIN</v>
      </c>
      <c r="J4905" t="str">
        <f t="shared" si="2001"/>
        <v>MAYBANK / MAYBANK ISLAMIC</v>
      </c>
      <c r="K4905" t="str">
        <f>"153047830163"</f>
        <v>153047830163</v>
      </c>
      <c r="L4905" t="str">
        <f t="shared" si="2004"/>
        <v>04-08-2020</v>
      </c>
      <c r="M4905" t="str">
        <f t="shared" si="2004"/>
        <v>04-08-2020</v>
      </c>
      <c r="N4905" t="str">
        <f t="shared" si="1990"/>
        <v>001105018356</v>
      </c>
      <c r="O4905" t="str">
        <f t="shared" si="1991"/>
        <v>MYR</v>
      </c>
      <c r="P4905" t="str">
        <f t="shared" si="2005"/>
        <v>NIL</v>
      </c>
      <c r="Q4905" t="str">
        <f t="shared" si="2005"/>
        <v>NIL</v>
      </c>
      <c r="R4905" t="str">
        <f t="shared" si="1992"/>
        <v>Accepted</v>
      </c>
      <c r="S4905" t="str">
        <f t="shared" si="1993"/>
        <v>Approved</v>
      </c>
      <c r="T4905" t="str">
        <f t="shared" si="1994"/>
        <v>10.20.8.188</v>
      </c>
      <c r="U4905" t="str">
        <f t="shared" si="1995"/>
        <v>AZRAD UMAR BIN SHAARI</v>
      </c>
      <c r="V4905" t="str">
        <f t="shared" si="1996"/>
        <v>FARHANA BINTI MUSTAPA</v>
      </c>
      <c r="W4905" t="str">
        <f t="shared" si="1997"/>
        <v>04-08-2020</v>
      </c>
      <c r="X4905" t="str">
        <f t="shared" si="1998"/>
        <v>RAZIMAH ANSAR AHMAD</v>
      </c>
      <c r="Y4905" t="str">
        <f t="shared" si="1999"/>
        <v>04-08-2020</v>
      </c>
      <c r="Z4905" t="str">
        <f>"COS10200804 4249"</f>
        <v>COS10200804 4249</v>
      </c>
    </row>
    <row r="4906" spans="1:26" x14ac:dyDescent="0.25">
      <c r="A4906" t="str">
        <f t="shared" si="2002"/>
        <v>04-08-2020 12:49:03</v>
      </c>
      <c r="B4906" t="str">
        <f>"0000806027"</f>
        <v>0000806027</v>
      </c>
      <c r="C4906" t="str">
        <f t="shared" si="2003"/>
        <v>0000805979</v>
      </c>
      <c r="D4906" t="str">
        <f t="shared" si="1987"/>
        <v>73185</v>
      </c>
      <c r="E4906" t="str">
        <f t="shared" si="1988"/>
        <v>KFH-OPERATIONS DEPARTMENT</v>
      </c>
      <c r="F4906" t="str">
        <f t="shared" si="1989"/>
        <v>IBG</v>
      </c>
      <c r="G4906" t="str">
        <f t="shared" si="2000"/>
        <v>Refund COSHARE 10</v>
      </c>
      <c r="H4906" s="2">
        <v>137</v>
      </c>
      <c r="I4906" t="str">
        <f>"AZLIYANNA BINTI MAHALI"</f>
        <v>AZLIYANNA BINTI MAHALI</v>
      </c>
      <c r="J4906" t="str">
        <f t="shared" si="2001"/>
        <v>MAYBANK / MAYBANK ISLAMIC</v>
      </c>
      <c r="K4906" t="str">
        <f>"110144158342"</f>
        <v>110144158342</v>
      </c>
      <c r="L4906" t="str">
        <f t="shared" si="2004"/>
        <v>04-08-2020</v>
      </c>
      <c r="M4906" t="str">
        <f t="shared" si="2004"/>
        <v>04-08-2020</v>
      </c>
      <c r="N4906" t="str">
        <f t="shared" si="1990"/>
        <v>001105018356</v>
      </c>
      <c r="O4906" t="str">
        <f t="shared" si="1991"/>
        <v>MYR</v>
      </c>
      <c r="P4906" t="str">
        <f t="shared" si="2005"/>
        <v>NIL</v>
      </c>
      <c r="Q4906" t="str">
        <f t="shared" si="2005"/>
        <v>NIL</v>
      </c>
      <c r="R4906" t="str">
        <f t="shared" si="1992"/>
        <v>Accepted</v>
      </c>
      <c r="S4906" t="str">
        <f t="shared" si="1993"/>
        <v>Approved</v>
      </c>
      <c r="T4906" t="str">
        <f t="shared" si="1994"/>
        <v>10.20.8.188</v>
      </c>
      <c r="U4906" t="str">
        <f t="shared" si="1995"/>
        <v>AZRAD UMAR BIN SHAARI</v>
      </c>
      <c r="V4906" t="str">
        <f t="shared" si="1996"/>
        <v>FARHANA BINTI MUSTAPA</v>
      </c>
      <c r="W4906" t="str">
        <f t="shared" si="1997"/>
        <v>04-08-2020</v>
      </c>
      <c r="X4906" t="str">
        <f t="shared" si="1998"/>
        <v>RAZIMAH ANSAR AHMAD</v>
      </c>
      <c r="Y4906" t="str">
        <f t="shared" si="1999"/>
        <v>04-08-2020</v>
      </c>
      <c r="Z4906" t="str">
        <f>"COS10200804 4248"</f>
        <v>COS10200804 4248</v>
      </c>
    </row>
    <row r="4907" spans="1:26" x14ac:dyDescent="0.25">
      <c r="A4907" t="str">
        <f t="shared" si="2002"/>
        <v>04-08-2020 12:49:03</v>
      </c>
      <c r="B4907" t="str">
        <f>"0000806026"</f>
        <v>0000806026</v>
      </c>
      <c r="C4907" t="str">
        <f t="shared" si="2003"/>
        <v>0000805979</v>
      </c>
      <c r="D4907" t="str">
        <f t="shared" si="1987"/>
        <v>73185</v>
      </c>
      <c r="E4907" t="str">
        <f t="shared" si="1988"/>
        <v>KFH-OPERATIONS DEPARTMENT</v>
      </c>
      <c r="F4907" t="str">
        <f t="shared" si="1989"/>
        <v>IBG</v>
      </c>
      <c r="G4907" t="str">
        <f t="shared" si="2000"/>
        <v>Refund COSHARE 10</v>
      </c>
      <c r="H4907" s="2">
        <v>302.25</v>
      </c>
      <c r="I4907" t="str">
        <f>"AZLIYANNA BINTI MAHALI"</f>
        <v>AZLIYANNA BINTI MAHALI</v>
      </c>
      <c r="J4907" t="str">
        <f t="shared" si="2001"/>
        <v>MAYBANK / MAYBANK ISLAMIC</v>
      </c>
      <c r="K4907" t="str">
        <f>"110144158342"</f>
        <v>110144158342</v>
      </c>
      <c r="L4907" t="str">
        <f t="shared" ref="L4907:M4926" si="2006">"04-08-2020"</f>
        <v>04-08-2020</v>
      </c>
      <c r="M4907" t="str">
        <f t="shared" si="2006"/>
        <v>04-08-2020</v>
      </c>
      <c r="N4907" t="str">
        <f t="shared" si="1990"/>
        <v>001105018356</v>
      </c>
      <c r="O4907" t="str">
        <f t="shared" si="1991"/>
        <v>MYR</v>
      </c>
      <c r="P4907" t="str">
        <f t="shared" ref="P4907:Q4926" si="2007">"NIL"</f>
        <v>NIL</v>
      </c>
      <c r="Q4907" t="str">
        <f t="shared" si="2007"/>
        <v>NIL</v>
      </c>
      <c r="R4907" t="str">
        <f t="shared" si="1992"/>
        <v>Accepted</v>
      </c>
      <c r="S4907" t="str">
        <f t="shared" si="1993"/>
        <v>Approved</v>
      </c>
      <c r="T4907" t="str">
        <f t="shared" si="1994"/>
        <v>10.20.8.188</v>
      </c>
      <c r="U4907" t="str">
        <f t="shared" si="1995"/>
        <v>AZRAD UMAR BIN SHAARI</v>
      </c>
      <c r="V4907" t="str">
        <f t="shared" si="1996"/>
        <v>FARHANA BINTI MUSTAPA</v>
      </c>
      <c r="W4907" t="str">
        <f t="shared" si="1997"/>
        <v>04-08-2020</v>
      </c>
      <c r="X4907" t="str">
        <f t="shared" si="1998"/>
        <v>RAZIMAH ANSAR AHMAD</v>
      </c>
      <c r="Y4907" t="str">
        <f t="shared" si="1999"/>
        <v>04-08-2020</v>
      </c>
      <c r="Z4907" t="str">
        <f>"COS10200804 4247"</f>
        <v>COS10200804 4247</v>
      </c>
    </row>
    <row r="4908" spans="1:26" x14ac:dyDescent="0.25">
      <c r="A4908" t="str">
        <f t="shared" si="2002"/>
        <v>04-08-2020 12:49:03</v>
      </c>
      <c r="B4908" t="str">
        <f>"0000806025"</f>
        <v>0000806025</v>
      </c>
      <c r="C4908" t="str">
        <f t="shared" si="2003"/>
        <v>0000805979</v>
      </c>
      <c r="D4908" t="str">
        <f t="shared" si="1987"/>
        <v>73185</v>
      </c>
      <c r="E4908" t="str">
        <f t="shared" si="1988"/>
        <v>KFH-OPERATIONS DEPARTMENT</v>
      </c>
      <c r="F4908" t="str">
        <f t="shared" si="1989"/>
        <v>IBG</v>
      </c>
      <c r="G4908" t="str">
        <f t="shared" si="2000"/>
        <v>Refund COSHARE 10</v>
      </c>
      <c r="H4908" s="2">
        <v>1477.55</v>
      </c>
      <c r="I4908" t="str">
        <f>"AZLINDAWATI BINTI AZMI"</f>
        <v>AZLINDAWATI BINTI AZMI</v>
      </c>
      <c r="J4908" t="str">
        <f t="shared" si="2001"/>
        <v>MAYBANK / MAYBANK ISLAMIC</v>
      </c>
      <c r="K4908" t="str">
        <f>"106043232186"</f>
        <v>106043232186</v>
      </c>
      <c r="L4908" t="str">
        <f t="shared" si="2006"/>
        <v>04-08-2020</v>
      </c>
      <c r="M4908" t="str">
        <f t="shared" si="2006"/>
        <v>04-08-2020</v>
      </c>
      <c r="N4908" t="str">
        <f t="shared" si="1990"/>
        <v>001105018356</v>
      </c>
      <c r="O4908" t="str">
        <f t="shared" si="1991"/>
        <v>MYR</v>
      </c>
      <c r="P4908" t="str">
        <f t="shared" si="2007"/>
        <v>NIL</v>
      </c>
      <c r="Q4908" t="str">
        <f t="shared" si="2007"/>
        <v>NIL</v>
      </c>
      <c r="R4908" t="str">
        <f t="shared" si="1992"/>
        <v>Accepted</v>
      </c>
      <c r="S4908" t="str">
        <f t="shared" si="1993"/>
        <v>Approved</v>
      </c>
      <c r="T4908" t="str">
        <f t="shared" si="1994"/>
        <v>10.20.8.188</v>
      </c>
      <c r="U4908" t="str">
        <f t="shared" si="1995"/>
        <v>AZRAD UMAR BIN SHAARI</v>
      </c>
      <c r="V4908" t="str">
        <f t="shared" si="1996"/>
        <v>FARHANA BINTI MUSTAPA</v>
      </c>
      <c r="W4908" t="str">
        <f t="shared" si="1997"/>
        <v>04-08-2020</v>
      </c>
      <c r="X4908" t="str">
        <f t="shared" si="1998"/>
        <v>RAZIMAH ANSAR AHMAD</v>
      </c>
      <c r="Y4908" t="str">
        <f t="shared" si="1999"/>
        <v>04-08-2020</v>
      </c>
      <c r="Z4908" t="str">
        <f>"COS10200804 4246"</f>
        <v>COS10200804 4246</v>
      </c>
    </row>
    <row r="4909" spans="1:26" x14ac:dyDescent="0.25">
      <c r="A4909" t="str">
        <f t="shared" si="2002"/>
        <v>04-08-2020 12:49:03</v>
      </c>
      <c r="B4909" t="str">
        <f>"0000806024"</f>
        <v>0000806024</v>
      </c>
      <c r="C4909" t="str">
        <f t="shared" si="2003"/>
        <v>0000805979</v>
      </c>
      <c r="D4909" t="str">
        <f t="shared" si="1987"/>
        <v>73185</v>
      </c>
      <c r="E4909" t="str">
        <f t="shared" si="1988"/>
        <v>KFH-OPERATIONS DEPARTMENT</v>
      </c>
      <c r="F4909" t="str">
        <f t="shared" si="1989"/>
        <v>IBG</v>
      </c>
      <c r="G4909" t="str">
        <f t="shared" si="2000"/>
        <v>Refund COSHARE 10</v>
      </c>
      <c r="H4909" s="2">
        <v>151.15</v>
      </c>
      <c r="I4909" t="str">
        <f>"AZLINDA BINTI RAIMEE"</f>
        <v>AZLINDA BINTI RAIMEE</v>
      </c>
      <c r="J4909" t="str">
        <f t="shared" si="2001"/>
        <v>MAYBANK / MAYBANK ISLAMIC</v>
      </c>
      <c r="K4909" t="str">
        <f>"164762022920"</f>
        <v>164762022920</v>
      </c>
      <c r="L4909" t="str">
        <f t="shared" si="2006"/>
        <v>04-08-2020</v>
      </c>
      <c r="M4909" t="str">
        <f t="shared" si="2006"/>
        <v>04-08-2020</v>
      </c>
      <c r="N4909" t="str">
        <f t="shared" si="1990"/>
        <v>001105018356</v>
      </c>
      <c r="O4909" t="str">
        <f t="shared" si="1991"/>
        <v>MYR</v>
      </c>
      <c r="P4909" t="str">
        <f t="shared" si="2007"/>
        <v>NIL</v>
      </c>
      <c r="Q4909" t="str">
        <f t="shared" si="2007"/>
        <v>NIL</v>
      </c>
      <c r="R4909" t="str">
        <f t="shared" si="1992"/>
        <v>Accepted</v>
      </c>
      <c r="S4909" t="str">
        <f t="shared" si="1993"/>
        <v>Approved</v>
      </c>
      <c r="T4909" t="str">
        <f t="shared" si="1994"/>
        <v>10.20.8.188</v>
      </c>
      <c r="U4909" t="str">
        <f t="shared" si="1995"/>
        <v>AZRAD UMAR BIN SHAARI</v>
      </c>
      <c r="V4909" t="str">
        <f t="shared" si="1996"/>
        <v>FARHANA BINTI MUSTAPA</v>
      </c>
      <c r="W4909" t="str">
        <f t="shared" si="1997"/>
        <v>04-08-2020</v>
      </c>
      <c r="X4909" t="str">
        <f t="shared" si="1998"/>
        <v>RAZIMAH ANSAR AHMAD</v>
      </c>
      <c r="Y4909" t="str">
        <f t="shared" si="1999"/>
        <v>04-08-2020</v>
      </c>
      <c r="Z4909" t="str">
        <f>"COS10200804 4245"</f>
        <v>COS10200804 4245</v>
      </c>
    </row>
    <row r="4910" spans="1:26" x14ac:dyDescent="0.25">
      <c r="A4910" t="str">
        <f t="shared" si="2002"/>
        <v>04-08-2020 12:49:03</v>
      </c>
      <c r="B4910" t="str">
        <f>"0000806023"</f>
        <v>0000806023</v>
      </c>
      <c r="C4910" t="str">
        <f t="shared" si="2003"/>
        <v>0000805979</v>
      </c>
      <c r="D4910" t="str">
        <f t="shared" si="1987"/>
        <v>73185</v>
      </c>
      <c r="E4910" t="str">
        <f t="shared" si="1988"/>
        <v>KFH-OPERATIONS DEPARTMENT</v>
      </c>
      <c r="F4910" t="str">
        <f t="shared" si="1989"/>
        <v>IBG</v>
      </c>
      <c r="G4910" t="str">
        <f t="shared" si="2000"/>
        <v>Refund COSHARE 10</v>
      </c>
      <c r="H4910" s="2">
        <v>713.6</v>
      </c>
      <c r="I4910" t="str">
        <f>"AZLINDA BINTI AZRAI"</f>
        <v>AZLINDA BINTI AZRAI</v>
      </c>
      <c r="J4910" t="str">
        <f t="shared" si="2001"/>
        <v>MAYBANK / MAYBANK ISLAMIC</v>
      </c>
      <c r="K4910" t="str">
        <f>"162227317365"</f>
        <v>162227317365</v>
      </c>
      <c r="L4910" t="str">
        <f t="shared" si="2006"/>
        <v>04-08-2020</v>
      </c>
      <c r="M4910" t="str">
        <f t="shared" si="2006"/>
        <v>04-08-2020</v>
      </c>
      <c r="N4910" t="str">
        <f t="shared" si="1990"/>
        <v>001105018356</v>
      </c>
      <c r="O4910" t="str">
        <f t="shared" si="1991"/>
        <v>MYR</v>
      </c>
      <c r="P4910" t="str">
        <f t="shared" si="2007"/>
        <v>NIL</v>
      </c>
      <c r="Q4910" t="str">
        <f t="shared" si="2007"/>
        <v>NIL</v>
      </c>
      <c r="R4910" t="str">
        <f t="shared" si="1992"/>
        <v>Accepted</v>
      </c>
      <c r="S4910" t="str">
        <f t="shared" si="1993"/>
        <v>Approved</v>
      </c>
      <c r="T4910" t="str">
        <f t="shared" si="1994"/>
        <v>10.20.8.188</v>
      </c>
      <c r="U4910" t="str">
        <f t="shared" si="1995"/>
        <v>AZRAD UMAR BIN SHAARI</v>
      </c>
      <c r="V4910" t="str">
        <f t="shared" si="1996"/>
        <v>FARHANA BINTI MUSTAPA</v>
      </c>
      <c r="W4910" t="str">
        <f t="shared" si="1997"/>
        <v>04-08-2020</v>
      </c>
      <c r="X4910" t="str">
        <f t="shared" si="1998"/>
        <v>RAZIMAH ANSAR AHMAD</v>
      </c>
      <c r="Y4910" t="str">
        <f t="shared" si="1999"/>
        <v>04-08-2020</v>
      </c>
      <c r="Z4910" t="str">
        <f>"COS10200804 4244"</f>
        <v>COS10200804 4244</v>
      </c>
    </row>
    <row r="4911" spans="1:26" x14ac:dyDescent="0.25">
      <c r="A4911" t="str">
        <f t="shared" si="2002"/>
        <v>04-08-2020 12:49:03</v>
      </c>
      <c r="B4911" t="str">
        <f>"0000806022"</f>
        <v>0000806022</v>
      </c>
      <c r="C4911" t="str">
        <f t="shared" si="2003"/>
        <v>0000805979</v>
      </c>
      <c r="D4911" t="str">
        <f t="shared" si="1987"/>
        <v>73185</v>
      </c>
      <c r="E4911" t="str">
        <f t="shared" si="1988"/>
        <v>KFH-OPERATIONS DEPARTMENT</v>
      </c>
      <c r="F4911" t="str">
        <f t="shared" si="1989"/>
        <v>IBG</v>
      </c>
      <c r="G4911" t="str">
        <f t="shared" si="2000"/>
        <v>Refund COSHARE 10</v>
      </c>
      <c r="H4911" s="2">
        <v>545.70000000000005</v>
      </c>
      <c r="I4911" t="str">
        <f>"AZLINAH BINTI ISMAIL"</f>
        <v>AZLINAH BINTI ISMAIL</v>
      </c>
      <c r="J4911" t="str">
        <f t="shared" si="2001"/>
        <v>MAYBANK / MAYBANK ISLAMIC</v>
      </c>
      <c r="K4911" t="str">
        <f>"160102355852"</f>
        <v>160102355852</v>
      </c>
      <c r="L4911" t="str">
        <f t="shared" si="2006"/>
        <v>04-08-2020</v>
      </c>
      <c r="M4911" t="str">
        <f t="shared" si="2006"/>
        <v>04-08-2020</v>
      </c>
      <c r="N4911" t="str">
        <f t="shared" si="1990"/>
        <v>001105018356</v>
      </c>
      <c r="O4911" t="str">
        <f t="shared" si="1991"/>
        <v>MYR</v>
      </c>
      <c r="P4911" t="str">
        <f t="shared" si="2007"/>
        <v>NIL</v>
      </c>
      <c r="Q4911" t="str">
        <f t="shared" si="2007"/>
        <v>NIL</v>
      </c>
      <c r="R4911" t="str">
        <f t="shared" si="1992"/>
        <v>Accepted</v>
      </c>
      <c r="S4911" t="str">
        <f t="shared" si="1993"/>
        <v>Approved</v>
      </c>
      <c r="T4911" t="str">
        <f t="shared" si="1994"/>
        <v>10.20.8.188</v>
      </c>
      <c r="U4911" t="str">
        <f t="shared" si="1995"/>
        <v>AZRAD UMAR BIN SHAARI</v>
      </c>
      <c r="V4911" t="str">
        <f t="shared" si="1996"/>
        <v>FARHANA BINTI MUSTAPA</v>
      </c>
      <c r="W4911" t="str">
        <f t="shared" si="1997"/>
        <v>04-08-2020</v>
      </c>
      <c r="X4911" t="str">
        <f t="shared" si="1998"/>
        <v>RAZIMAH ANSAR AHMAD</v>
      </c>
      <c r="Y4911" t="str">
        <f t="shared" si="1999"/>
        <v>04-08-2020</v>
      </c>
      <c r="Z4911" t="str">
        <f>"COS10200804 4243"</f>
        <v>COS10200804 4243</v>
      </c>
    </row>
    <row r="4912" spans="1:26" x14ac:dyDescent="0.25">
      <c r="A4912" t="str">
        <f t="shared" si="2002"/>
        <v>04-08-2020 12:49:03</v>
      </c>
      <c r="B4912" t="str">
        <f>"0000806021"</f>
        <v>0000806021</v>
      </c>
      <c r="C4912" t="str">
        <f t="shared" si="2003"/>
        <v>0000805979</v>
      </c>
      <c r="D4912" t="str">
        <f t="shared" si="1987"/>
        <v>73185</v>
      </c>
      <c r="E4912" t="str">
        <f t="shared" si="1988"/>
        <v>KFH-OPERATIONS DEPARTMENT</v>
      </c>
      <c r="F4912" t="str">
        <f t="shared" si="1989"/>
        <v>IBG</v>
      </c>
      <c r="G4912" t="str">
        <f t="shared" si="2000"/>
        <v>Refund COSHARE 10</v>
      </c>
      <c r="H4912" s="2">
        <v>42</v>
      </c>
      <c r="I4912" t="str">
        <f>"AZLINA BINTI SHAMSUDIN"</f>
        <v>AZLINA BINTI SHAMSUDIN</v>
      </c>
      <c r="J4912" t="str">
        <f t="shared" si="2001"/>
        <v>MAYBANK / MAYBANK ISLAMIC</v>
      </c>
      <c r="K4912" t="str">
        <f>"164409513409"</f>
        <v>164409513409</v>
      </c>
      <c r="L4912" t="str">
        <f t="shared" si="2006"/>
        <v>04-08-2020</v>
      </c>
      <c r="M4912" t="str">
        <f t="shared" si="2006"/>
        <v>04-08-2020</v>
      </c>
      <c r="N4912" t="str">
        <f t="shared" si="1990"/>
        <v>001105018356</v>
      </c>
      <c r="O4912" t="str">
        <f t="shared" si="1991"/>
        <v>MYR</v>
      </c>
      <c r="P4912" t="str">
        <f t="shared" si="2007"/>
        <v>NIL</v>
      </c>
      <c r="Q4912" t="str">
        <f t="shared" si="2007"/>
        <v>NIL</v>
      </c>
      <c r="R4912" t="str">
        <f t="shared" si="1992"/>
        <v>Accepted</v>
      </c>
      <c r="S4912" t="str">
        <f t="shared" si="1993"/>
        <v>Approved</v>
      </c>
      <c r="T4912" t="str">
        <f t="shared" si="1994"/>
        <v>10.20.8.188</v>
      </c>
      <c r="U4912" t="str">
        <f t="shared" si="1995"/>
        <v>AZRAD UMAR BIN SHAARI</v>
      </c>
      <c r="V4912" t="str">
        <f t="shared" si="1996"/>
        <v>FARHANA BINTI MUSTAPA</v>
      </c>
      <c r="W4912" t="str">
        <f t="shared" si="1997"/>
        <v>04-08-2020</v>
      </c>
      <c r="X4912" t="str">
        <f t="shared" si="1998"/>
        <v>RAZIMAH ANSAR AHMAD</v>
      </c>
      <c r="Y4912" t="str">
        <f t="shared" si="1999"/>
        <v>04-08-2020</v>
      </c>
      <c r="Z4912" t="str">
        <f>"COS10200804 4242"</f>
        <v>COS10200804 4242</v>
      </c>
    </row>
    <row r="4913" spans="1:26" x14ac:dyDescent="0.25">
      <c r="A4913" t="str">
        <f t="shared" si="2002"/>
        <v>04-08-2020 12:49:03</v>
      </c>
      <c r="B4913" t="str">
        <f>"0000806020"</f>
        <v>0000806020</v>
      </c>
      <c r="C4913" t="str">
        <f t="shared" si="2003"/>
        <v>0000805979</v>
      </c>
      <c r="D4913" t="str">
        <f t="shared" si="1987"/>
        <v>73185</v>
      </c>
      <c r="E4913" t="str">
        <f t="shared" si="1988"/>
        <v>KFH-OPERATIONS DEPARTMENT</v>
      </c>
      <c r="F4913" t="str">
        <f t="shared" si="1989"/>
        <v>IBG</v>
      </c>
      <c r="G4913" t="str">
        <f t="shared" si="2000"/>
        <v>Refund COSHARE 10</v>
      </c>
      <c r="H4913" s="2">
        <v>1070.5999999999999</v>
      </c>
      <c r="I4913" t="str">
        <f>"AZLINA BINTI ISHAK"</f>
        <v>AZLINA BINTI ISHAK</v>
      </c>
      <c r="J4913" t="str">
        <f t="shared" si="2001"/>
        <v>MAYBANK / MAYBANK ISLAMIC</v>
      </c>
      <c r="K4913" t="str">
        <f>"112035152653"</f>
        <v>112035152653</v>
      </c>
      <c r="L4913" t="str">
        <f t="shared" si="2006"/>
        <v>04-08-2020</v>
      </c>
      <c r="M4913" t="str">
        <f t="shared" si="2006"/>
        <v>04-08-2020</v>
      </c>
      <c r="N4913" t="str">
        <f t="shared" si="1990"/>
        <v>001105018356</v>
      </c>
      <c r="O4913" t="str">
        <f t="shared" si="1991"/>
        <v>MYR</v>
      </c>
      <c r="P4913" t="str">
        <f t="shared" si="2007"/>
        <v>NIL</v>
      </c>
      <c r="Q4913" t="str">
        <f t="shared" si="2007"/>
        <v>NIL</v>
      </c>
      <c r="R4913" t="str">
        <f t="shared" si="1992"/>
        <v>Accepted</v>
      </c>
      <c r="S4913" t="str">
        <f t="shared" si="1993"/>
        <v>Approved</v>
      </c>
      <c r="T4913" t="str">
        <f t="shared" si="1994"/>
        <v>10.20.8.188</v>
      </c>
      <c r="U4913" t="str">
        <f t="shared" si="1995"/>
        <v>AZRAD UMAR BIN SHAARI</v>
      </c>
      <c r="V4913" t="str">
        <f t="shared" si="1996"/>
        <v>FARHANA BINTI MUSTAPA</v>
      </c>
      <c r="W4913" t="str">
        <f t="shared" si="1997"/>
        <v>04-08-2020</v>
      </c>
      <c r="X4913" t="str">
        <f t="shared" si="1998"/>
        <v>RAZIMAH ANSAR AHMAD</v>
      </c>
      <c r="Y4913" t="str">
        <f t="shared" si="1999"/>
        <v>04-08-2020</v>
      </c>
      <c r="Z4913" t="str">
        <f>"COS10200804 4241"</f>
        <v>COS10200804 4241</v>
      </c>
    </row>
    <row r="4914" spans="1:26" x14ac:dyDescent="0.25">
      <c r="A4914" t="str">
        <f t="shared" ref="A4914:A4945" si="2008">"04-08-2020 12:49:03"</f>
        <v>04-08-2020 12:49:03</v>
      </c>
      <c r="B4914" t="str">
        <f>"0000806019"</f>
        <v>0000806019</v>
      </c>
      <c r="C4914" t="str">
        <f t="shared" ref="C4914:C4945" si="2009">"0000805979"</f>
        <v>0000805979</v>
      </c>
      <c r="D4914" t="str">
        <f t="shared" si="1987"/>
        <v>73185</v>
      </c>
      <c r="E4914" t="str">
        <f t="shared" si="1988"/>
        <v>KFH-OPERATIONS DEPARTMENT</v>
      </c>
      <c r="F4914" t="str">
        <f t="shared" si="1989"/>
        <v>IBG</v>
      </c>
      <c r="G4914" t="str">
        <f t="shared" si="2000"/>
        <v>Refund COSHARE 10</v>
      </c>
      <c r="H4914" s="2">
        <v>86.2</v>
      </c>
      <c r="I4914" t="str">
        <f>"AZLINA BINTI HASSAN"</f>
        <v>AZLINA BINTI HASSAN</v>
      </c>
      <c r="J4914" t="str">
        <f t="shared" si="2001"/>
        <v>MAYBANK / MAYBANK ISLAMIC</v>
      </c>
      <c r="K4914" t="str">
        <f>"164173659762"</f>
        <v>164173659762</v>
      </c>
      <c r="L4914" t="str">
        <f t="shared" si="2006"/>
        <v>04-08-2020</v>
      </c>
      <c r="M4914" t="str">
        <f t="shared" si="2006"/>
        <v>04-08-2020</v>
      </c>
      <c r="N4914" t="str">
        <f t="shared" si="1990"/>
        <v>001105018356</v>
      </c>
      <c r="O4914" t="str">
        <f t="shared" si="1991"/>
        <v>MYR</v>
      </c>
      <c r="P4914" t="str">
        <f t="shared" si="2007"/>
        <v>NIL</v>
      </c>
      <c r="Q4914" t="str">
        <f t="shared" si="2007"/>
        <v>NIL</v>
      </c>
      <c r="R4914" t="str">
        <f t="shared" si="1992"/>
        <v>Accepted</v>
      </c>
      <c r="S4914" t="str">
        <f t="shared" si="1993"/>
        <v>Approved</v>
      </c>
      <c r="T4914" t="str">
        <f t="shared" si="1994"/>
        <v>10.20.8.188</v>
      </c>
      <c r="U4914" t="str">
        <f t="shared" si="1995"/>
        <v>AZRAD UMAR BIN SHAARI</v>
      </c>
      <c r="V4914" t="str">
        <f t="shared" si="1996"/>
        <v>FARHANA BINTI MUSTAPA</v>
      </c>
      <c r="W4914" t="str">
        <f t="shared" si="1997"/>
        <v>04-08-2020</v>
      </c>
      <c r="X4914" t="str">
        <f t="shared" si="1998"/>
        <v>RAZIMAH ANSAR AHMAD</v>
      </c>
      <c r="Y4914" t="str">
        <f t="shared" si="1999"/>
        <v>04-08-2020</v>
      </c>
      <c r="Z4914" t="str">
        <f>"COS10200804 4240"</f>
        <v>COS10200804 4240</v>
      </c>
    </row>
    <row r="4915" spans="1:26" x14ac:dyDescent="0.25">
      <c r="A4915" t="str">
        <f t="shared" si="2008"/>
        <v>04-08-2020 12:49:03</v>
      </c>
      <c r="B4915" t="str">
        <f>"0000806018"</f>
        <v>0000806018</v>
      </c>
      <c r="C4915" t="str">
        <f t="shared" si="2009"/>
        <v>0000805979</v>
      </c>
      <c r="D4915" t="str">
        <f t="shared" si="1987"/>
        <v>73185</v>
      </c>
      <c r="E4915" t="str">
        <f t="shared" si="1988"/>
        <v>KFH-OPERATIONS DEPARTMENT</v>
      </c>
      <c r="F4915" t="str">
        <f t="shared" si="1989"/>
        <v>IBG</v>
      </c>
      <c r="G4915" t="str">
        <f t="shared" si="2000"/>
        <v>Refund COSHARE 10</v>
      </c>
      <c r="H4915" s="2">
        <v>1336</v>
      </c>
      <c r="I4915" t="str">
        <f>"AZLINA BINTI DESA"</f>
        <v>AZLINA BINTI DESA</v>
      </c>
      <c r="J4915" t="str">
        <f t="shared" si="2001"/>
        <v>MAYBANK / MAYBANK ISLAMIC</v>
      </c>
      <c r="K4915" t="str">
        <f>"152050164475"</f>
        <v>152050164475</v>
      </c>
      <c r="L4915" t="str">
        <f t="shared" si="2006"/>
        <v>04-08-2020</v>
      </c>
      <c r="M4915" t="str">
        <f t="shared" si="2006"/>
        <v>04-08-2020</v>
      </c>
      <c r="N4915" t="str">
        <f t="shared" si="1990"/>
        <v>001105018356</v>
      </c>
      <c r="O4915" t="str">
        <f t="shared" si="1991"/>
        <v>MYR</v>
      </c>
      <c r="P4915" t="str">
        <f t="shared" si="2007"/>
        <v>NIL</v>
      </c>
      <c r="Q4915" t="str">
        <f t="shared" si="2007"/>
        <v>NIL</v>
      </c>
      <c r="R4915" t="str">
        <f t="shared" si="1992"/>
        <v>Accepted</v>
      </c>
      <c r="S4915" t="str">
        <f t="shared" si="1993"/>
        <v>Approved</v>
      </c>
      <c r="T4915" t="str">
        <f t="shared" si="1994"/>
        <v>10.20.8.188</v>
      </c>
      <c r="U4915" t="str">
        <f t="shared" si="1995"/>
        <v>AZRAD UMAR BIN SHAARI</v>
      </c>
      <c r="V4915" t="str">
        <f t="shared" si="1996"/>
        <v>FARHANA BINTI MUSTAPA</v>
      </c>
      <c r="W4915" t="str">
        <f t="shared" si="1997"/>
        <v>04-08-2020</v>
      </c>
      <c r="X4915" t="str">
        <f t="shared" si="1998"/>
        <v>RAZIMAH ANSAR AHMAD</v>
      </c>
      <c r="Y4915" t="str">
        <f t="shared" si="1999"/>
        <v>04-08-2020</v>
      </c>
      <c r="Z4915" t="str">
        <f>"COS10200804 4239"</f>
        <v>COS10200804 4239</v>
      </c>
    </row>
    <row r="4916" spans="1:26" x14ac:dyDescent="0.25">
      <c r="A4916" t="str">
        <f t="shared" si="2008"/>
        <v>04-08-2020 12:49:03</v>
      </c>
      <c r="B4916" t="str">
        <f>"0000806017"</f>
        <v>0000806017</v>
      </c>
      <c r="C4916" t="str">
        <f t="shared" si="2009"/>
        <v>0000805979</v>
      </c>
      <c r="D4916" t="str">
        <f t="shared" si="1987"/>
        <v>73185</v>
      </c>
      <c r="E4916" t="str">
        <f t="shared" si="1988"/>
        <v>KFH-OPERATIONS DEPARTMENT</v>
      </c>
      <c r="F4916" t="str">
        <f t="shared" si="1989"/>
        <v>IBG</v>
      </c>
      <c r="G4916" t="str">
        <f t="shared" si="2000"/>
        <v>Refund COSHARE 10</v>
      </c>
      <c r="H4916" s="2">
        <v>92.35</v>
      </c>
      <c r="I4916" t="str">
        <f>"AZLINA BINTI CHE HUSSIN"</f>
        <v>AZLINA BINTI CHE HUSSIN</v>
      </c>
      <c r="J4916" t="str">
        <f t="shared" si="2001"/>
        <v>MAYBANK / MAYBANK ISLAMIC</v>
      </c>
      <c r="K4916" t="str">
        <f>"153010484014"</f>
        <v>153010484014</v>
      </c>
      <c r="L4916" t="str">
        <f t="shared" si="2006"/>
        <v>04-08-2020</v>
      </c>
      <c r="M4916" t="str">
        <f t="shared" si="2006"/>
        <v>04-08-2020</v>
      </c>
      <c r="N4916" t="str">
        <f t="shared" si="1990"/>
        <v>001105018356</v>
      </c>
      <c r="O4916" t="str">
        <f t="shared" si="1991"/>
        <v>MYR</v>
      </c>
      <c r="P4916" t="str">
        <f t="shared" si="2007"/>
        <v>NIL</v>
      </c>
      <c r="Q4916" t="str">
        <f t="shared" si="2007"/>
        <v>NIL</v>
      </c>
      <c r="R4916" t="str">
        <f t="shared" si="1992"/>
        <v>Accepted</v>
      </c>
      <c r="S4916" t="str">
        <f t="shared" si="1993"/>
        <v>Approved</v>
      </c>
      <c r="T4916" t="str">
        <f t="shared" si="1994"/>
        <v>10.20.8.188</v>
      </c>
      <c r="U4916" t="str">
        <f t="shared" si="1995"/>
        <v>AZRAD UMAR BIN SHAARI</v>
      </c>
      <c r="V4916" t="str">
        <f t="shared" si="1996"/>
        <v>FARHANA BINTI MUSTAPA</v>
      </c>
      <c r="W4916" t="str">
        <f t="shared" si="1997"/>
        <v>04-08-2020</v>
      </c>
      <c r="X4916" t="str">
        <f t="shared" si="1998"/>
        <v>RAZIMAH ANSAR AHMAD</v>
      </c>
      <c r="Y4916" t="str">
        <f t="shared" si="1999"/>
        <v>04-08-2020</v>
      </c>
      <c r="Z4916" t="str">
        <f>"COS10200804 4238"</f>
        <v>COS10200804 4238</v>
      </c>
    </row>
    <row r="4917" spans="1:26" x14ac:dyDescent="0.25">
      <c r="A4917" t="str">
        <f t="shared" si="2008"/>
        <v>04-08-2020 12:49:03</v>
      </c>
      <c r="B4917" t="str">
        <f>"0000806016"</f>
        <v>0000806016</v>
      </c>
      <c r="C4917" t="str">
        <f t="shared" si="2009"/>
        <v>0000805979</v>
      </c>
      <c r="D4917" t="str">
        <f t="shared" si="1987"/>
        <v>73185</v>
      </c>
      <c r="E4917" t="str">
        <f t="shared" si="1988"/>
        <v>KFH-OPERATIONS DEPARTMENT</v>
      </c>
      <c r="F4917" t="str">
        <f t="shared" si="1989"/>
        <v>IBG</v>
      </c>
      <c r="G4917" t="str">
        <f t="shared" si="2000"/>
        <v>Refund COSHARE 10</v>
      </c>
      <c r="H4917" s="2">
        <v>540.29999999999995</v>
      </c>
      <c r="I4917" t="str">
        <f>"AZLINA BINTI AHMAD"</f>
        <v>AZLINA BINTI AHMAD</v>
      </c>
      <c r="J4917" t="str">
        <f t="shared" si="2001"/>
        <v>MAYBANK / MAYBANK ISLAMIC</v>
      </c>
      <c r="K4917" t="str">
        <f>"152040236189"</f>
        <v>152040236189</v>
      </c>
      <c r="L4917" t="str">
        <f t="shared" si="2006"/>
        <v>04-08-2020</v>
      </c>
      <c r="M4917" t="str">
        <f t="shared" si="2006"/>
        <v>04-08-2020</v>
      </c>
      <c r="N4917" t="str">
        <f t="shared" si="1990"/>
        <v>001105018356</v>
      </c>
      <c r="O4917" t="str">
        <f t="shared" si="1991"/>
        <v>MYR</v>
      </c>
      <c r="P4917" t="str">
        <f t="shared" si="2007"/>
        <v>NIL</v>
      </c>
      <c r="Q4917" t="str">
        <f t="shared" si="2007"/>
        <v>NIL</v>
      </c>
      <c r="R4917" t="str">
        <f t="shared" si="1992"/>
        <v>Accepted</v>
      </c>
      <c r="S4917" t="str">
        <f t="shared" si="1993"/>
        <v>Approved</v>
      </c>
      <c r="T4917" t="str">
        <f t="shared" si="1994"/>
        <v>10.20.8.188</v>
      </c>
      <c r="U4917" t="str">
        <f t="shared" si="1995"/>
        <v>AZRAD UMAR BIN SHAARI</v>
      </c>
      <c r="V4917" t="str">
        <f t="shared" si="1996"/>
        <v>FARHANA BINTI MUSTAPA</v>
      </c>
      <c r="W4917" t="str">
        <f t="shared" si="1997"/>
        <v>04-08-2020</v>
      </c>
      <c r="X4917" t="str">
        <f t="shared" si="1998"/>
        <v>RAZIMAH ANSAR AHMAD</v>
      </c>
      <c r="Y4917" t="str">
        <f t="shared" si="1999"/>
        <v>04-08-2020</v>
      </c>
      <c r="Z4917" t="str">
        <f>"COS10200804 4237"</f>
        <v>COS10200804 4237</v>
      </c>
    </row>
    <row r="4918" spans="1:26" x14ac:dyDescent="0.25">
      <c r="A4918" t="str">
        <f t="shared" si="2008"/>
        <v>04-08-2020 12:49:03</v>
      </c>
      <c r="B4918" t="str">
        <f>"0000806015"</f>
        <v>0000806015</v>
      </c>
      <c r="C4918" t="str">
        <f t="shared" si="2009"/>
        <v>0000805979</v>
      </c>
      <c r="D4918" t="str">
        <f t="shared" si="1987"/>
        <v>73185</v>
      </c>
      <c r="E4918" t="str">
        <f t="shared" si="1988"/>
        <v>KFH-OPERATIONS DEPARTMENT</v>
      </c>
      <c r="F4918" t="str">
        <f t="shared" si="1989"/>
        <v>IBG</v>
      </c>
      <c r="G4918" t="str">
        <f t="shared" si="2000"/>
        <v>Refund COSHARE 10</v>
      </c>
      <c r="H4918" s="2">
        <v>399.1</v>
      </c>
      <c r="I4918" t="str">
        <f>"AZLINA BINTI AB HAMID"</f>
        <v>AZLINA BINTI AB HAMID</v>
      </c>
      <c r="J4918" t="str">
        <f t="shared" si="2001"/>
        <v>MAYBANK / MAYBANK ISLAMIC</v>
      </c>
      <c r="K4918" t="str">
        <f>"106098389398"</f>
        <v>106098389398</v>
      </c>
      <c r="L4918" t="str">
        <f t="shared" si="2006"/>
        <v>04-08-2020</v>
      </c>
      <c r="M4918" t="str">
        <f t="shared" si="2006"/>
        <v>04-08-2020</v>
      </c>
      <c r="N4918" t="str">
        <f t="shared" si="1990"/>
        <v>001105018356</v>
      </c>
      <c r="O4918" t="str">
        <f t="shared" si="1991"/>
        <v>MYR</v>
      </c>
      <c r="P4918" t="str">
        <f t="shared" si="2007"/>
        <v>NIL</v>
      </c>
      <c r="Q4918" t="str">
        <f t="shared" si="2007"/>
        <v>NIL</v>
      </c>
      <c r="R4918" t="str">
        <f t="shared" si="1992"/>
        <v>Accepted</v>
      </c>
      <c r="S4918" t="str">
        <f t="shared" si="1993"/>
        <v>Approved</v>
      </c>
      <c r="T4918" t="str">
        <f t="shared" si="1994"/>
        <v>10.20.8.188</v>
      </c>
      <c r="U4918" t="str">
        <f t="shared" si="1995"/>
        <v>AZRAD UMAR BIN SHAARI</v>
      </c>
      <c r="V4918" t="str">
        <f t="shared" si="1996"/>
        <v>FARHANA BINTI MUSTAPA</v>
      </c>
      <c r="W4918" t="str">
        <f t="shared" si="1997"/>
        <v>04-08-2020</v>
      </c>
      <c r="X4918" t="str">
        <f t="shared" si="1998"/>
        <v>RAZIMAH ANSAR AHMAD</v>
      </c>
      <c r="Y4918" t="str">
        <f t="shared" si="1999"/>
        <v>04-08-2020</v>
      </c>
      <c r="Z4918" t="str">
        <f>"COS10200804 4236"</f>
        <v>COS10200804 4236</v>
      </c>
    </row>
    <row r="4919" spans="1:26" x14ac:dyDescent="0.25">
      <c r="A4919" t="str">
        <f t="shared" si="2008"/>
        <v>04-08-2020 12:49:03</v>
      </c>
      <c r="B4919" t="str">
        <f>"0000806014"</f>
        <v>0000806014</v>
      </c>
      <c r="C4919" t="str">
        <f t="shared" si="2009"/>
        <v>0000805979</v>
      </c>
      <c r="D4919" t="str">
        <f t="shared" si="1987"/>
        <v>73185</v>
      </c>
      <c r="E4919" t="str">
        <f t="shared" si="1988"/>
        <v>KFH-OPERATIONS DEPARTMENT</v>
      </c>
      <c r="F4919" t="str">
        <f t="shared" si="1989"/>
        <v>IBG</v>
      </c>
      <c r="G4919" t="str">
        <f t="shared" si="2000"/>
        <v>Refund COSHARE 10</v>
      </c>
      <c r="H4919" s="2">
        <v>399.1</v>
      </c>
      <c r="I4919" t="str">
        <f>"AZLINA BINTI AB HAMID"</f>
        <v>AZLINA BINTI AB HAMID</v>
      </c>
      <c r="J4919" t="str">
        <f t="shared" si="2001"/>
        <v>MAYBANK / MAYBANK ISLAMIC</v>
      </c>
      <c r="K4919" t="str">
        <f>"106098389398"</f>
        <v>106098389398</v>
      </c>
      <c r="L4919" t="str">
        <f t="shared" si="2006"/>
        <v>04-08-2020</v>
      </c>
      <c r="M4919" t="str">
        <f t="shared" si="2006"/>
        <v>04-08-2020</v>
      </c>
      <c r="N4919" t="str">
        <f t="shared" si="1990"/>
        <v>001105018356</v>
      </c>
      <c r="O4919" t="str">
        <f t="shared" si="1991"/>
        <v>MYR</v>
      </c>
      <c r="P4919" t="str">
        <f t="shared" si="2007"/>
        <v>NIL</v>
      </c>
      <c r="Q4919" t="str">
        <f t="shared" si="2007"/>
        <v>NIL</v>
      </c>
      <c r="R4919" t="str">
        <f t="shared" si="1992"/>
        <v>Accepted</v>
      </c>
      <c r="S4919" t="str">
        <f t="shared" si="1993"/>
        <v>Approved</v>
      </c>
      <c r="T4919" t="str">
        <f t="shared" si="1994"/>
        <v>10.20.8.188</v>
      </c>
      <c r="U4919" t="str">
        <f t="shared" si="1995"/>
        <v>AZRAD UMAR BIN SHAARI</v>
      </c>
      <c r="V4919" t="str">
        <f t="shared" si="1996"/>
        <v>FARHANA BINTI MUSTAPA</v>
      </c>
      <c r="W4919" t="str">
        <f t="shared" si="1997"/>
        <v>04-08-2020</v>
      </c>
      <c r="X4919" t="str">
        <f t="shared" si="1998"/>
        <v>RAZIMAH ANSAR AHMAD</v>
      </c>
      <c r="Y4919" t="str">
        <f t="shared" si="1999"/>
        <v>04-08-2020</v>
      </c>
      <c r="Z4919" t="str">
        <f>"COS10200804 4235"</f>
        <v>COS10200804 4235</v>
      </c>
    </row>
    <row r="4920" spans="1:26" x14ac:dyDescent="0.25">
      <c r="A4920" t="str">
        <f t="shared" si="2008"/>
        <v>04-08-2020 12:49:03</v>
      </c>
      <c r="B4920" t="str">
        <f>"0000806013"</f>
        <v>0000806013</v>
      </c>
      <c r="C4920" t="str">
        <f t="shared" si="2009"/>
        <v>0000805979</v>
      </c>
      <c r="D4920" t="str">
        <f t="shared" si="1987"/>
        <v>73185</v>
      </c>
      <c r="E4920" t="str">
        <f t="shared" si="1988"/>
        <v>KFH-OPERATIONS DEPARTMENT</v>
      </c>
      <c r="F4920" t="str">
        <f t="shared" si="1989"/>
        <v>IBG</v>
      </c>
      <c r="G4920" t="str">
        <f t="shared" si="2000"/>
        <v>Refund COSHARE 10</v>
      </c>
      <c r="H4920" s="2">
        <v>294.7</v>
      </c>
      <c r="I4920" t="str">
        <f>"AZLIN BINTI MOHD YUSOF"</f>
        <v>AZLIN BINTI MOHD YUSOF</v>
      </c>
      <c r="J4920" t="str">
        <f t="shared" si="2001"/>
        <v>MAYBANK / MAYBANK ISLAMIC</v>
      </c>
      <c r="K4920" t="str">
        <f>"162049686457"</f>
        <v>162049686457</v>
      </c>
      <c r="L4920" t="str">
        <f t="shared" si="2006"/>
        <v>04-08-2020</v>
      </c>
      <c r="M4920" t="str">
        <f t="shared" si="2006"/>
        <v>04-08-2020</v>
      </c>
      <c r="N4920" t="str">
        <f t="shared" si="1990"/>
        <v>001105018356</v>
      </c>
      <c r="O4920" t="str">
        <f t="shared" si="1991"/>
        <v>MYR</v>
      </c>
      <c r="P4920" t="str">
        <f t="shared" si="2007"/>
        <v>NIL</v>
      </c>
      <c r="Q4920" t="str">
        <f t="shared" si="2007"/>
        <v>NIL</v>
      </c>
      <c r="R4920" t="str">
        <f t="shared" si="1992"/>
        <v>Accepted</v>
      </c>
      <c r="S4920" t="str">
        <f t="shared" si="1993"/>
        <v>Approved</v>
      </c>
      <c r="T4920" t="str">
        <f t="shared" si="1994"/>
        <v>10.20.8.188</v>
      </c>
      <c r="U4920" t="str">
        <f t="shared" si="1995"/>
        <v>AZRAD UMAR BIN SHAARI</v>
      </c>
      <c r="V4920" t="str">
        <f t="shared" si="1996"/>
        <v>FARHANA BINTI MUSTAPA</v>
      </c>
      <c r="W4920" t="str">
        <f t="shared" si="1997"/>
        <v>04-08-2020</v>
      </c>
      <c r="X4920" t="str">
        <f t="shared" si="1998"/>
        <v>RAZIMAH ANSAR AHMAD</v>
      </c>
      <c r="Y4920" t="str">
        <f t="shared" si="1999"/>
        <v>04-08-2020</v>
      </c>
      <c r="Z4920" t="str">
        <f>"COS10200804 4234"</f>
        <v>COS10200804 4234</v>
      </c>
    </row>
    <row r="4921" spans="1:26" x14ac:dyDescent="0.25">
      <c r="A4921" t="str">
        <f t="shared" si="2008"/>
        <v>04-08-2020 12:49:03</v>
      </c>
      <c r="B4921" t="str">
        <f>"0000806012"</f>
        <v>0000806012</v>
      </c>
      <c r="C4921" t="str">
        <f t="shared" si="2009"/>
        <v>0000805979</v>
      </c>
      <c r="D4921" t="str">
        <f t="shared" si="1987"/>
        <v>73185</v>
      </c>
      <c r="E4921" t="str">
        <f t="shared" si="1988"/>
        <v>KFH-OPERATIONS DEPARTMENT</v>
      </c>
      <c r="F4921" t="str">
        <f t="shared" si="1989"/>
        <v>IBG</v>
      </c>
      <c r="G4921" t="str">
        <f t="shared" si="2000"/>
        <v>Refund COSHARE 10</v>
      </c>
      <c r="H4921" s="2">
        <v>419.75</v>
      </c>
      <c r="I4921" t="str">
        <f>"AZLIN BINTI ISMAIL"</f>
        <v>AZLIN BINTI ISMAIL</v>
      </c>
      <c r="J4921" t="str">
        <f t="shared" si="2001"/>
        <v>MAYBANK / MAYBANK ISLAMIC</v>
      </c>
      <c r="K4921" t="str">
        <f>"101049174078"</f>
        <v>101049174078</v>
      </c>
      <c r="L4921" t="str">
        <f t="shared" si="2006"/>
        <v>04-08-2020</v>
      </c>
      <c r="M4921" t="str">
        <f t="shared" si="2006"/>
        <v>04-08-2020</v>
      </c>
      <c r="N4921" t="str">
        <f t="shared" si="1990"/>
        <v>001105018356</v>
      </c>
      <c r="O4921" t="str">
        <f t="shared" si="1991"/>
        <v>MYR</v>
      </c>
      <c r="P4921" t="str">
        <f t="shared" si="2007"/>
        <v>NIL</v>
      </c>
      <c r="Q4921" t="str">
        <f t="shared" si="2007"/>
        <v>NIL</v>
      </c>
      <c r="R4921" t="str">
        <f t="shared" si="1992"/>
        <v>Accepted</v>
      </c>
      <c r="S4921" t="str">
        <f t="shared" si="1993"/>
        <v>Approved</v>
      </c>
      <c r="T4921" t="str">
        <f t="shared" si="1994"/>
        <v>10.20.8.188</v>
      </c>
      <c r="U4921" t="str">
        <f t="shared" si="1995"/>
        <v>AZRAD UMAR BIN SHAARI</v>
      </c>
      <c r="V4921" t="str">
        <f t="shared" si="1996"/>
        <v>FARHANA BINTI MUSTAPA</v>
      </c>
      <c r="W4921" t="str">
        <f t="shared" si="1997"/>
        <v>04-08-2020</v>
      </c>
      <c r="X4921" t="str">
        <f t="shared" si="1998"/>
        <v>RAZIMAH ANSAR AHMAD</v>
      </c>
      <c r="Y4921" t="str">
        <f t="shared" si="1999"/>
        <v>04-08-2020</v>
      </c>
      <c r="Z4921" t="str">
        <f>"COS10200804 4233"</f>
        <v>COS10200804 4233</v>
      </c>
    </row>
    <row r="4922" spans="1:26" x14ac:dyDescent="0.25">
      <c r="A4922" t="str">
        <f t="shared" si="2008"/>
        <v>04-08-2020 12:49:03</v>
      </c>
      <c r="B4922" t="str">
        <f>"0000806011"</f>
        <v>0000806011</v>
      </c>
      <c r="C4922" t="str">
        <f t="shared" si="2009"/>
        <v>0000805979</v>
      </c>
      <c r="D4922" t="str">
        <f t="shared" si="1987"/>
        <v>73185</v>
      </c>
      <c r="E4922" t="str">
        <f t="shared" si="1988"/>
        <v>KFH-OPERATIONS DEPARTMENT</v>
      </c>
      <c r="F4922" t="str">
        <f t="shared" si="1989"/>
        <v>IBG</v>
      </c>
      <c r="G4922" t="str">
        <f t="shared" si="2000"/>
        <v>Refund COSHARE 10</v>
      </c>
      <c r="H4922" s="2">
        <v>319</v>
      </c>
      <c r="I4922" t="str">
        <f>"AZLIN BINTI ANUAL"</f>
        <v>AZLIN BINTI ANUAL</v>
      </c>
      <c r="J4922" t="str">
        <f t="shared" si="2001"/>
        <v>MAYBANK / MAYBANK ISLAMIC</v>
      </c>
      <c r="K4922" t="str">
        <f>"162076522817"</f>
        <v>162076522817</v>
      </c>
      <c r="L4922" t="str">
        <f t="shared" si="2006"/>
        <v>04-08-2020</v>
      </c>
      <c r="M4922" t="str">
        <f t="shared" si="2006"/>
        <v>04-08-2020</v>
      </c>
      <c r="N4922" t="str">
        <f t="shared" si="1990"/>
        <v>001105018356</v>
      </c>
      <c r="O4922" t="str">
        <f t="shared" si="1991"/>
        <v>MYR</v>
      </c>
      <c r="P4922" t="str">
        <f t="shared" si="2007"/>
        <v>NIL</v>
      </c>
      <c r="Q4922" t="str">
        <f t="shared" si="2007"/>
        <v>NIL</v>
      </c>
      <c r="R4922" t="str">
        <f t="shared" si="1992"/>
        <v>Accepted</v>
      </c>
      <c r="S4922" t="str">
        <f t="shared" si="1993"/>
        <v>Approved</v>
      </c>
      <c r="T4922" t="str">
        <f t="shared" si="1994"/>
        <v>10.20.8.188</v>
      </c>
      <c r="U4922" t="str">
        <f t="shared" si="1995"/>
        <v>AZRAD UMAR BIN SHAARI</v>
      </c>
      <c r="V4922" t="str">
        <f t="shared" si="1996"/>
        <v>FARHANA BINTI MUSTAPA</v>
      </c>
      <c r="W4922" t="str">
        <f t="shared" si="1997"/>
        <v>04-08-2020</v>
      </c>
      <c r="X4922" t="str">
        <f t="shared" si="1998"/>
        <v>RAZIMAH ANSAR AHMAD</v>
      </c>
      <c r="Y4922" t="str">
        <f t="shared" si="1999"/>
        <v>04-08-2020</v>
      </c>
      <c r="Z4922" t="str">
        <f>"COS10200804 4232"</f>
        <v>COS10200804 4232</v>
      </c>
    </row>
    <row r="4923" spans="1:26" x14ac:dyDescent="0.25">
      <c r="A4923" t="str">
        <f t="shared" si="2008"/>
        <v>04-08-2020 12:49:03</v>
      </c>
      <c r="B4923" t="str">
        <f>"0000806010"</f>
        <v>0000806010</v>
      </c>
      <c r="C4923" t="str">
        <f t="shared" si="2009"/>
        <v>0000805979</v>
      </c>
      <c r="D4923" t="str">
        <f t="shared" si="1987"/>
        <v>73185</v>
      </c>
      <c r="E4923" t="str">
        <f t="shared" si="1988"/>
        <v>KFH-OPERATIONS DEPARTMENT</v>
      </c>
      <c r="F4923" t="str">
        <f t="shared" si="1989"/>
        <v>IBG</v>
      </c>
      <c r="G4923" t="str">
        <f t="shared" si="2000"/>
        <v>Refund COSHARE 10</v>
      </c>
      <c r="H4923" s="2">
        <v>1159.1500000000001</v>
      </c>
      <c r="I4923" t="str">
        <f>"AZLIDA BINTI ABDULLAH"</f>
        <v>AZLIDA BINTI ABDULLAH</v>
      </c>
      <c r="J4923" t="str">
        <f t="shared" si="2001"/>
        <v>MAYBANK / MAYBANK ISLAMIC</v>
      </c>
      <c r="K4923" t="str">
        <f>"112102055708"</f>
        <v>112102055708</v>
      </c>
      <c r="L4923" t="str">
        <f t="shared" si="2006"/>
        <v>04-08-2020</v>
      </c>
      <c r="M4923" t="str">
        <f t="shared" si="2006"/>
        <v>04-08-2020</v>
      </c>
      <c r="N4923" t="str">
        <f t="shared" si="1990"/>
        <v>001105018356</v>
      </c>
      <c r="O4923" t="str">
        <f t="shared" si="1991"/>
        <v>MYR</v>
      </c>
      <c r="P4923" t="str">
        <f t="shared" si="2007"/>
        <v>NIL</v>
      </c>
      <c r="Q4923" t="str">
        <f t="shared" si="2007"/>
        <v>NIL</v>
      </c>
      <c r="R4923" t="str">
        <f t="shared" si="1992"/>
        <v>Accepted</v>
      </c>
      <c r="S4923" t="str">
        <f t="shared" si="1993"/>
        <v>Approved</v>
      </c>
      <c r="T4923" t="str">
        <f t="shared" si="1994"/>
        <v>10.20.8.188</v>
      </c>
      <c r="U4923" t="str">
        <f t="shared" si="1995"/>
        <v>AZRAD UMAR BIN SHAARI</v>
      </c>
      <c r="V4923" t="str">
        <f t="shared" si="1996"/>
        <v>FARHANA BINTI MUSTAPA</v>
      </c>
      <c r="W4923" t="str">
        <f t="shared" si="1997"/>
        <v>04-08-2020</v>
      </c>
      <c r="X4923" t="str">
        <f t="shared" si="1998"/>
        <v>RAZIMAH ANSAR AHMAD</v>
      </c>
      <c r="Y4923" t="str">
        <f t="shared" si="1999"/>
        <v>04-08-2020</v>
      </c>
      <c r="Z4923" t="str">
        <f>"COS10200804 4231"</f>
        <v>COS10200804 4231</v>
      </c>
    </row>
    <row r="4924" spans="1:26" x14ac:dyDescent="0.25">
      <c r="A4924" t="str">
        <f t="shared" si="2008"/>
        <v>04-08-2020 12:49:03</v>
      </c>
      <c r="B4924" t="str">
        <f>"0000806009"</f>
        <v>0000806009</v>
      </c>
      <c r="C4924" t="str">
        <f t="shared" si="2009"/>
        <v>0000805979</v>
      </c>
      <c r="D4924" t="str">
        <f t="shared" si="1987"/>
        <v>73185</v>
      </c>
      <c r="E4924" t="str">
        <f t="shared" si="1988"/>
        <v>KFH-OPERATIONS DEPARTMENT</v>
      </c>
      <c r="F4924" t="str">
        <f t="shared" si="1989"/>
        <v>IBG</v>
      </c>
      <c r="G4924" t="str">
        <f t="shared" si="2000"/>
        <v>Refund COSHARE 10</v>
      </c>
      <c r="H4924" s="2">
        <v>587.65</v>
      </c>
      <c r="I4924" t="str">
        <f>"AZLIANA BINTI ALI"</f>
        <v>AZLIANA BINTI ALI</v>
      </c>
      <c r="J4924" t="str">
        <f t="shared" si="2001"/>
        <v>MAYBANK / MAYBANK ISLAMIC</v>
      </c>
      <c r="K4924" t="str">
        <f>"158314042118"</f>
        <v>158314042118</v>
      </c>
      <c r="L4924" t="str">
        <f t="shared" si="2006"/>
        <v>04-08-2020</v>
      </c>
      <c r="M4924" t="str">
        <f t="shared" si="2006"/>
        <v>04-08-2020</v>
      </c>
      <c r="N4924" t="str">
        <f t="shared" si="1990"/>
        <v>001105018356</v>
      </c>
      <c r="O4924" t="str">
        <f t="shared" si="1991"/>
        <v>MYR</v>
      </c>
      <c r="P4924" t="str">
        <f t="shared" si="2007"/>
        <v>NIL</v>
      </c>
      <c r="Q4924" t="str">
        <f t="shared" si="2007"/>
        <v>NIL</v>
      </c>
      <c r="R4924" t="str">
        <f t="shared" si="1992"/>
        <v>Accepted</v>
      </c>
      <c r="S4924" t="str">
        <f t="shared" si="1993"/>
        <v>Approved</v>
      </c>
      <c r="T4924" t="str">
        <f t="shared" si="1994"/>
        <v>10.20.8.188</v>
      </c>
      <c r="U4924" t="str">
        <f t="shared" si="1995"/>
        <v>AZRAD UMAR BIN SHAARI</v>
      </c>
      <c r="V4924" t="str">
        <f t="shared" si="1996"/>
        <v>FARHANA BINTI MUSTAPA</v>
      </c>
      <c r="W4924" t="str">
        <f t="shared" si="1997"/>
        <v>04-08-2020</v>
      </c>
      <c r="X4924" t="str">
        <f t="shared" si="1998"/>
        <v>RAZIMAH ANSAR AHMAD</v>
      </c>
      <c r="Y4924" t="str">
        <f t="shared" si="1999"/>
        <v>04-08-2020</v>
      </c>
      <c r="Z4924" t="str">
        <f>"COS10200804 4230"</f>
        <v>COS10200804 4230</v>
      </c>
    </row>
    <row r="4925" spans="1:26" x14ac:dyDescent="0.25">
      <c r="A4925" t="str">
        <f t="shared" si="2008"/>
        <v>04-08-2020 12:49:03</v>
      </c>
      <c r="B4925" t="str">
        <f>"0000806008"</f>
        <v>0000806008</v>
      </c>
      <c r="C4925" t="str">
        <f t="shared" si="2009"/>
        <v>0000805979</v>
      </c>
      <c r="D4925" t="str">
        <f t="shared" si="1987"/>
        <v>73185</v>
      </c>
      <c r="E4925" t="str">
        <f t="shared" si="1988"/>
        <v>KFH-OPERATIONS DEPARTMENT</v>
      </c>
      <c r="F4925" t="str">
        <f t="shared" si="1989"/>
        <v>IBG</v>
      </c>
      <c r="G4925" t="str">
        <f t="shared" si="2000"/>
        <v>Refund COSHARE 10</v>
      </c>
      <c r="H4925" s="2">
        <v>392.95</v>
      </c>
      <c r="I4925" t="str">
        <f>"AZLI BIN JAMAL"</f>
        <v>AZLI BIN JAMAL</v>
      </c>
      <c r="J4925" t="str">
        <f t="shared" si="2001"/>
        <v>MAYBANK / MAYBANK ISLAMIC</v>
      </c>
      <c r="K4925" t="str">
        <f>"162106363649"</f>
        <v>162106363649</v>
      </c>
      <c r="L4925" t="str">
        <f t="shared" si="2006"/>
        <v>04-08-2020</v>
      </c>
      <c r="M4925" t="str">
        <f t="shared" si="2006"/>
        <v>04-08-2020</v>
      </c>
      <c r="N4925" t="str">
        <f t="shared" si="1990"/>
        <v>001105018356</v>
      </c>
      <c r="O4925" t="str">
        <f t="shared" si="1991"/>
        <v>MYR</v>
      </c>
      <c r="P4925" t="str">
        <f t="shared" si="2007"/>
        <v>NIL</v>
      </c>
      <c r="Q4925" t="str">
        <f t="shared" si="2007"/>
        <v>NIL</v>
      </c>
      <c r="R4925" t="str">
        <f t="shared" si="1992"/>
        <v>Accepted</v>
      </c>
      <c r="S4925" t="str">
        <f t="shared" si="1993"/>
        <v>Approved</v>
      </c>
      <c r="T4925" t="str">
        <f t="shared" si="1994"/>
        <v>10.20.8.188</v>
      </c>
      <c r="U4925" t="str">
        <f t="shared" si="1995"/>
        <v>AZRAD UMAR BIN SHAARI</v>
      </c>
      <c r="V4925" t="str">
        <f t="shared" si="1996"/>
        <v>FARHANA BINTI MUSTAPA</v>
      </c>
      <c r="W4925" t="str">
        <f t="shared" si="1997"/>
        <v>04-08-2020</v>
      </c>
      <c r="X4925" t="str">
        <f t="shared" si="1998"/>
        <v>RAZIMAH ANSAR AHMAD</v>
      </c>
      <c r="Y4925" t="str">
        <f t="shared" si="1999"/>
        <v>04-08-2020</v>
      </c>
      <c r="Z4925" t="str">
        <f>"COS10200804 4229"</f>
        <v>COS10200804 4229</v>
      </c>
    </row>
    <row r="4926" spans="1:26" x14ac:dyDescent="0.25">
      <c r="A4926" t="str">
        <f t="shared" si="2008"/>
        <v>04-08-2020 12:49:03</v>
      </c>
      <c r="B4926" t="str">
        <f>"0000806007"</f>
        <v>0000806007</v>
      </c>
      <c r="C4926" t="str">
        <f t="shared" si="2009"/>
        <v>0000805979</v>
      </c>
      <c r="D4926" t="str">
        <f t="shared" si="1987"/>
        <v>73185</v>
      </c>
      <c r="E4926" t="str">
        <f t="shared" si="1988"/>
        <v>KFH-OPERATIONS DEPARTMENT</v>
      </c>
      <c r="F4926" t="str">
        <f t="shared" si="1989"/>
        <v>IBG</v>
      </c>
      <c r="G4926" t="str">
        <f t="shared" si="2000"/>
        <v>Refund COSHARE 10</v>
      </c>
      <c r="H4926" s="2">
        <v>646.45000000000005</v>
      </c>
      <c r="I4926" t="str">
        <f>"AZLI ARIF BIN JAAFAR"</f>
        <v>AZLI ARIF BIN JAAFAR</v>
      </c>
      <c r="J4926" t="str">
        <f t="shared" si="2001"/>
        <v>MAYBANK / MAYBANK ISLAMIC</v>
      </c>
      <c r="K4926" t="str">
        <f>"101197024854"</f>
        <v>101197024854</v>
      </c>
      <c r="L4926" t="str">
        <f t="shared" si="2006"/>
        <v>04-08-2020</v>
      </c>
      <c r="M4926" t="str">
        <f t="shared" si="2006"/>
        <v>04-08-2020</v>
      </c>
      <c r="N4926" t="str">
        <f t="shared" si="1990"/>
        <v>001105018356</v>
      </c>
      <c r="O4926" t="str">
        <f t="shared" si="1991"/>
        <v>MYR</v>
      </c>
      <c r="P4926" t="str">
        <f t="shared" si="2007"/>
        <v>NIL</v>
      </c>
      <c r="Q4926" t="str">
        <f t="shared" si="2007"/>
        <v>NIL</v>
      </c>
      <c r="R4926" t="str">
        <f t="shared" si="1992"/>
        <v>Accepted</v>
      </c>
      <c r="S4926" t="str">
        <f t="shared" si="1993"/>
        <v>Approved</v>
      </c>
      <c r="T4926" t="str">
        <f t="shared" si="1994"/>
        <v>10.20.8.188</v>
      </c>
      <c r="U4926" t="str">
        <f t="shared" si="1995"/>
        <v>AZRAD UMAR BIN SHAARI</v>
      </c>
      <c r="V4926" t="str">
        <f t="shared" si="1996"/>
        <v>FARHANA BINTI MUSTAPA</v>
      </c>
      <c r="W4926" t="str">
        <f t="shared" si="1997"/>
        <v>04-08-2020</v>
      </c>
      <c r="X4926" t="str">
        <f t="shared" si="1998"/>
        <v>RAZIMAH ANSAR AHMAD</v>
      </c>
      <c r="Y4926" t="str">
        <f t="shared" si="1999"/>
        <v>04-08-2020</v>
      </c>
      <c r="Z4926" t="str">
        <f>"COS10200804 4228"</f>
        <v>COS10200804 4228</v>
      </c>
    </row>
    <row r="4927" spans="1:26" x14ac:dyDescent="0.25">
      <c r="A4927" t="str">
        <f t="shared" si="2008"/>
        <v>04-08-2020 12:49:03</v>
      </c>
      <c r="B4927" t="str">
        <f>"0000806006"</f>
        <v>0000806006</v>
      </c>
      <c r="C4927" t="str">
        <f t="shared" si="2009"/>
        <v>0000805979</v>
      </c>
      <c r="D4927" t="str">
        <f t="shared" si="1987"/>
        <v>73185</v>
      </c>
      <c r="E4927" t="str">
        <f t="shared" si="1988"/>
        <v>KFH-OPERATIONS DEPARTMENT</v>
      </c>
      <c r="F4927" t="str">
        <f t="shared" si="1989"/>
        <v>IBG</v>
      </c>
      <c r="G4927" t="str">
        <f t="shared" si="2000"/>
        <v>Refund COSHARE 10</v>
      </c>
      <c r="H4927" s="2">
        <v>579</v>
      </c>
      <c r="I4927" t="str">
        <f>"AZLEN BINTI BAHARUDDIN"</f>
        <v>AZLEN BINTI BAHARUDDIN</v>
      </c>
      <c r="J4927" t="str">
        <f t="shared" si="2001"/>
        <v>MAYBANK / MAYBANK ISLAMIC</v>
      </c>
      <c r="K4927" t="str">
        <f>"151043043586"</f>
        <v>151043043586</v>
      </c>
      <c r="L4927" t="str">
        <f t="shared" ref="L4927:M4946" si="2010">"04-08-2020"</f>
        <v>04-08-2020</v>
      </c>
      <c r="M4927" t="str">
        <f t="shared" si="2010"/>
        <v>04-08-2020</v>
      </c>
      <c r="N4927" t="str">
        <f t="shared" si="1990"/>
        <v>001105018356</v>
      </c>
      <c r="O4927" t="str">
        <f t="shared" si="1991"/>
        <v>MYR</v>
      </c>
      <c r="P4927" t="str">
        <f t="shared" ref="P4927:Q4946" si="2011">"NIL"</f>
        <v>NIL</v>
      </c>
      <c r="Q4927" t="str">
        <f t="shared" si="2011"/>
        <v>NIL</v>
      </c>
      <c r="R4927" t="str">
        <f t="shared" si="1992"/>
        <v>Accepted</v>
      </c>
      <c r="S4927" t="str">
        <f t="shared" si="1993"/>
        <v>Approved</v>
      </c>
      <c r="T4927" t="str">
        <f t="shared" si="1994"/>
        <v>10.20.8.188</v>
      </c>
      <c r="U4927" t="str">
        <f t="shared" si="1995"/>
        <v>AZRAD UMAR BIN SHAARI</v>
      </c>
      <c r="V4927" t="str">
        <f t="shared" si="1996"/>
        <v>FARHANA BINTI MUSTAPA</v>
      </c>
      <c r="W4927" t="str">
        <f t="shared" si="1997"/>
        <v>04-08-2020</v>
      </c>
      <c r="X4927" t="str">
        <f t="shared" si="1998"/>
        <v>RAZIMAH ANSAR AHMAD</v>
      </c>
      <c r="Y4927" t="str">
        <f t="shared" si="1999"/>
        <v>04-08-2020</v>
      </c>
      <c r="Z4927" t="str">
        <f>"COS10200804 4227"</f>
        <v>COS10200804 4227</v>
      </c>
    </row>
    <row r="4928" spans="1:26" x14ac:dyDescent="0.25">
      <c r="A4928" t="str">
        <f t="shared" si="2008"/>
        <v>04-08-2020 12:49:03</v>
      </c>
      <c r="B4928" t="str">
        <f>"0000806005"</f>
        <v>0000806005</v>
      </c>
      <c r="C4928" t="str">
        <f t="shared" si="2009"/>
        <v>0000805979</v>
      </c>
      <c r="D4928" t="str">
        <f t="shared" si="1987"/>
        <v>73185</v>
      </c>
      <c r="E4928" t="str">
        <f t="shared" si="1988"/>
        <v>KFH-OPERATIONS DEPARTMENT</v>
      </c>
      <c r="F4928" t="str">
        <f t="shared" si="1989"/>
        <v>IBG</v>
      </c>
      <c r="G4928" t="str">
        <f t="shared" si="2000"/>
        <v>Refund COSHARE 10</v>
      </c>
      <c r="H4928" s="2">
        <v>952.75</v>
      </c>
      <c r="I4928" t="str">
        <f>"AZLAN BIN OTHMAN  ABDULLAH"</f>
        <v>AZLAN BIN OTHMAN  ABDULLAH</v>
      </c>
      <c r="J4928" t="str">
        <f t="shared" si="2001"/>
        <v>MAYBANK / MAYBANK ISLAMIC</v>
      </c>
      <c r="K4928" t="str">
        <f>"163019335103"</f>
        <v>163019335103</v>
      </c>
      <c r="L4928" t="str">
        <f t="shared" si="2010"/>
        <v>04-08-2020</v>
      </c>
      <c r="M4928" t="str">
        <f t="shared" si="2010"/>
        <v>04-08-2020</v>
      </c>
      <c r="N4928" t="str">
        <f t="shared" si="1990"/>
        <v>001105018356</v>
      </c>
      <c r="O4928" t="str">
        <f t="shared" si="1991"/>
        <v>MYR</v>
      </c>
      <c r="P4928" t="str">
        <f t="shared" si="2011"/>
        <v>NIL</v>
      </c>
      <c r="Q4928" t="str">
        <f t="shared" si="2011"/>
        <v>NIL</v>
      </c>
      <c r="R4928" t="str">
        <f t="shared" si="1992"/>
        <v>Accepted</v>
      </c>
      <c r="S4928" t="str">
        <f t="shared" si="1993"/>
        <v>Approved</v>
      </c>
      <c r="T4928" t="str">
        <f t="shared" si="1994"/>
        <v>10.20.8.188</v>
      </c>
      <c r="U4928" t="str">
        <f t="shared" si="1995"/>
        <v>AZRAD UMAR BIN SHAARI</v>
      </c>
      <c r="V4928" t="str">
        <f t="shared" si="1996"/>
        <v>FARHANA BINTI MUSTAPA</v>
      </c>
      <c r="W4928" t="str">
        <f t="shared" si="1997"/>
        <v>04-08-2020</v>
      </c>
      <c r="X4928" t="str">
        <f t="shared" si="1998"/>
        <v>RAZIMAH ANSAR AHMAD</v>
      </c>
      <c r="Y4928" t="str">
        <f t="shared" si="1999"/>
        <v>04-08-2020</v>
      </c>
      <c r="Z4928" t="str">
        <f>"COS10200804 4226"</f>
        <v>COS10200804 4226</v>
      </c>
    </row>
    <row r="4929" spans="1:26" x14ac:dyDescent="0.25">
      <c r="A4929" t="str">
        <f t="shared" si="2008"/>
        <v>04-08-2020 12:49:03</v>
      </c>
      <c r="B4929" t="str">
        <f>"0000806004"</f>
        <v>0000806004</v>
      </c>
      <c r="C4929" t="str">
        <f t="shared" si="2009"/>
        <v>0000805979</v>
      </c>
      <c r="D4929" t="str">
        <f t="shared" si="1987"/>
        <v>73185</v>
      </c>
      <c r="E4929" t="str">
        <f t="shared" si="1988"/>
        <v>KFH-OPERATIONS DEPARTMENT</v>
      </c>
      <c r="F4929" t="str">
        <f t="shared" si="1989"/>
        <v>IBG</v>
      </c>
      <c r="G4929" t="str">
        <f t="shared" si="2000"/>
        <v>Refund COSHARE 10</v>
      </c>
      <c r="H4929" s="2">
        <v>952.75</v>
      </c>
      <c r="I4929" t="str">
        <f>"AZLAN BIN OTHMAN  ABDULLAH"</f>
        <v>AZLAN BIN OTHMAN  ABDULLAH</v>
      </c>
      <c r="J4929" t="str">
        <f t="shared" si="2001"/>
        <v>MAYBANK / MAYBANK ISLAMIC</v>
      </c>
      <c r="K4929" t="str">
        <f>"163019335103"</f>
        <v>163019335103</v>
      </c>
      <c r="L4929" t="str">
        <f t="shared" si="2010"/>
        <v>04-08-2020</v>
      </c>
      <c r="M4929" t="str">
        <f t="shared" si="2010"/>
        <v>04-08-2020</v>
      </c>
      <c r="N4929" t="str">
        <f t="shared" si="1990"/>
        <v>001105018356</v>
      </c>
      <c r="O4929" t="str">
        <f t="shared" si="1991"/>
        <v>MYR</v>
      </c>
      <c r="P4929" t="str">
        <f t="shared" si="2011"/>
        <v>NIL</v>
      </c>
      <c r="Q4929" t="str">
        <f t="shared" si="2011"/>
        <v>NIL</v>
      </c>
      <c r="R4929" t="str">
        <f t="shared" si="1992"/>
        <v>Accepted</v>
      </c>
      <c r="S4929" t="str">
        <f t="shared" si="1993"/>
        <v>Approved</v>
      </c>
      <c r="T4929" t="str">
        <f t="shared" si="1994"/>
        <v>10.20.8.188</v>
      </c>
      <c r="U4929" t="str">
        <f t="shared" si="1995"/>
        <v>AZRAD UMAR BIN SHAARI</v>
      </c>
      <c r="V4929" t="str">
        <f t="shared" si="1996"/>
        <v>FARHANA BINTI MUSTAPA</v>
      </c>
      <c r="W4929" t="str">
        <f t="shared" si="1997"/>
        <v>04-08-2020</v>
      </c>
      <c r="X4929" t="str">
        <f t="shared" si="1998"/>
        <v>RAZIMAH ANSAR AHMAD</v>
      </c>
      <c r="Y4929" t="str">
        <f t="shared" si="1999"/>
        <v>04-08-2020</v>
      </c>
      <c r="Z4929" t="str">
        <f>"COS10200804 4225"</f>
        <v>COS10200804 4225</v>
      </c>
    </row>
    <row r="4930" spans="1:26" x14ac:dyDescent="0.25">
      <c r="A4930" t="str">
        <f t="shared" si="2008"/>
        <v>04-08-2020 12:49:03</v>
      </c>
      <c r="B4930" t="str">
        <f>"0000806003"</f>
        <v>0000806003</v>
      </c>
      <c r="C4930" t="str">
        <f t="shared" si="2009"/>
        <v>0000805979</v>
      </c>
      <c r="D4930" t="str">
        <f t="shared" si="1987"/>
        <v>73185</v>
      </c>
      <c r="E4930" t="str">
        <f t="shared" si="1988"/>
        <v>KFH-OPERATIONS DEPARTMENT</v>
      </c>
      <c r="F4930" t="str">
        <f t="shared" si="1989"/>
        <v>IBG</v>
      </c>
      <c r="G4930" t="str">
        <f t="shared" si="2000"/>
        <v>Refund COSHARE 10</v>
      </c>
      <c r="H4930" s="2">
        <v>167.9</v>
      </c>
      <c r="I4930" t="str">
        <f>"AZLAN BIN MOHD DESA"</f>
        <v>AZLAN BIN MOHD DESA</v>
      </c>
      <c r="J4930" t="str">
        <f t="shared" si="2001"/>
        <v>MAYBANK / MAYBANK ISLAMIC</v>
      </c>
      <c r="K4930" t="str">
        <f>"151101025479"</f>
        <v>151101025479</v>
      </c>
      <c r="L4930" t="str">
        <f t="shared" si="2010"/>
        <v>04-08-2020</v>
      </c>
      <c r="M4930" t="str">
        <f t="shared" si="2010"/>
        <v>04-08-2020</v>
      </c>
      <c r="N4930" t="str">
        <f t="shared" si="1990"/>
        <v>001105018356</v>
      </c>
      <c r="O4930" t="str">
        <f t="shared" si="1991"/>
        <v>MYR</v>
      </c>
      <c r="P4930" t="str">
        <f t="shared" si="2011"/>
        <v>NIL</v>
      </c>
      <c r="Q4930" t="str">
        <f t="shared" si="2011"/>
        <v>NIL</v>
      </c>
      <c r="R4930" t="str">
        <f t="shared" si="1992"/>
        <v>Accepted</v>
      </c>
      <c r="S4930" t="str">
        <f t="shared" si="1993"/>
        <v>Approved</v>
      </c>
      <c r="T4930" t="str">
        <f t="shared" si="1994"/>
        <v>10.20.8.188</v>
      </c>
      <c r="U4930" t="str">
        <f t="shared" si="1995"/>
        <v>AZRAD UMAR BIN SHAARI</v>
      </c>
      <c r="V4930" t="str">
        <f t="shared" si="1996"/>
        <v>FARHANA BINTI MUSTAPA</v>
      </c>
      <c r="W4930" t="str">
        <f t="shared" si="1997"/>
        <v>04-08-2020</v>
      </c>
      <c r="X4930" t="str">
        <f t="shared" si="1998"/>
        <v>RAZIMAH ANSAR AHMAD</v>
      </c>
      <c r="Y4930" t="str">
        <f t="shared" si="1999"/>
        <v>04-08-2020</v>
      </c>
      <c r="Z4930" t="str">
        <f>"COS10200804 4224"</f>
        <v>COS10200804 4224</v>
      </c>
    </row>
    <row r="4931" spans="1:26" x14ac:dyDescent="0.25">
      <c r="A4931" t="str">
        <f t="shared" si="2008"/>
        <v>04-08-2020 12:49:03</v>
      </c>
      <c r="B4931" t="str">
        <f>"0000806002"</f>
        <v>0000806002</v>
      </c>
      <c r="C4931" t="str">
        <f t="shared" si="2009"/>
        <v>0000805979</v>
      </c>
      <c r="D4931" t="str">
        <f t="shared" si="1987"/>
        <v>73185</v>
      </c>
      <c r="E4931" t="str">
        <f t="shared" si="1988"/>
        <v>KFH-OPERATIONS DEPARTMENT</v>
      </c>
      <c r="F4931" t="str">
        <f t="shared" si="1989"/>
        <v>IBG</v>
      </c>
      <c r="G4931" t="str">
        <f t="shared" si="2000"/>
        <v>Refund COSHARE 10</v>
      </c>
      <c r="H4931" s="2">
        <v>67.2</v>
      </c>
      <c r="I4931" t="str">
        <f>"AZLAN BIN DAUD"</f>
        <v>AZLAN BIN DAUD</v>
      </c>
      <c r="J4931" t="str">
        <f t="shared" si="2001"/>
        <v>MAYBANK / MAYBANK ISLAMIC</v>
      </c>
      <c r="K4931" t="str">
        <f>"101290034106"</f>
        <v>101290034106</v>
      </c>
      <c r="L4931" t="str">
        <f t="shared" si="2010"/>
        <v>04-08-2020</v>
      </c>
      <c r="M4931" t="str">
        <f t="shared" si="2010"/>
        <v>04-08-2020</v>
      </c>
      <c r="N4931" t="str">
        <f t="shared" si="1990"/>
        <v>001105018356</v>
      </c>
      <c r="O4931" t="str">
        <f t="shared" si="1991"/>
        <v>MYR</v>
      </c>
      <c r="P4931" t="str">
        <f t="shared" si="2011"/>
        <v>NIL</v>
      </c>
      <c r="Q4931" t="str">
        <f t="shared" si="2011"/>
        <v>NIL</v>
      </c>
      <c r="R4931" t="str">
        <f t="shared" si="1992"/>
        <v>Accepted</v>
      </c>
      <c r="S4931" t="str">
        <f t="shared" si="1993"/>
        <v>Approved</v>
      </c>
      <c r="T4931" t="str">
        <f t="shared" si="1994"/>
        <v>10.20.8.188</v>
      </c>
      <c r="U4931" t="str">
        <f t="shared" si="1995"/>
        <v>AZRAD UMAR BIN SHAARI</v>
      </c>
      <c r="V4931" t="str">
        <f t="shared" si="1996"/>
        <v>FARHANA BINTI MUSTAPA</v>
      </c>
      <c r="W4931" t="str">
        <f t="shared" si="1997"/>
        <v>04-08-2020</v>
      </c>
      <c r="X4931" t="str">
        <f t="shared" si="1998"/>
        <v>RAZIMAH ANSAR AHMAD</v>
      </c>
      <c r="Y4931" t="str">
        <f t="shared" si="1999"/>
        <v>04-08-2020</v>
      </c>
      <c r="Z4931" t="str">
        <f>"COS10200804 4223"</f>
        <v>COS10200804 4223</v>
      </c>
    </row>
    <row r="4932" spans="1:26" x14ac:dyDescent="0.25">
      <c r="A4932" t="str">
        <f t="shared" si="2008"/>
        <v>04-08-2020 12:49:03</v>
      </c>
      <c r="B4932" t="str">
        <f>"0000806001"</f>
        <v>0000806001</v>
      </c>
      <c r="C4932" t="str">
        <f t="shared" si="2009"/>
        <v>0000805979</v>
      </c>
      <c r="D4932" t="str">
        <f t="shared" si="1987"/>
        <v>73185</v>
      </c>
      <c r="E4932" t="str">
        <f t="shared" si="1988"/>
        <v>KFH-OPERATIONS DEPARTMENT</v>
      </c>
      <c r="F4932" t="str">
        <f t="shared" si="1989"/>
        <v>IBG</v>
      </c>
      <c r="G4932" t="str">
        <f t="shared" si="2000"/>
        <v>Refund COSHARE 10</v>
      </c>
      <c r="H4932" s="2">
        <v>83.95</v>
      </c>
      <c r="I4932" t="str">
        <f>"AZLAN BIN ABDULLAH"</f>
        <v>AZLAN BIN ABDULLAH</v>
      </c>
      <c r="J4932" t="str">
        <f t="shared" si="2001"/>
        <v>MAYBANK / MAYBANK ISLAMIC</v>
      </c>
      <c r="K4932" t="str">
        <f>"162405009006"</f>
        <v>162405009006</v>
      </c>
      <c r="L4932" t="str">
        <f t="shared" si="2010"/>
        <v>04-08-2020</v>
      </c>
      <c r="M4932" t="str">
        <f t="shared" si="2010"/>
        <v>04-08-2020</v>
      </c>
      <c r="N4932" t="str">
        <f t="shared" si="1990"/>
        <v>001105018356</v>
      </c>
      <c r="O4932" t="str">
        <f t="shared" si="1991"/>
        <v>MYR</v>
      </c>
      <c r="P4932" t="str">
        <f t="shared" si="2011"/>
        <v>NIL</v>
      </c>
      <c r="Q4932" t="str">
        <f t="shared" si="2011"/>
        <v>NIL</v>
      </c>
      <c r="R4932" t="str">
        <f t="shared" si="1992"/>
        <v>Accepted</v>
      </c>
      <c r="S4932" t="str">
        <f t="shared" si="1993"/>
        <v>Approved</v>
      </c>
      <c r="T4932" t="str">
        <f t="shared" si="1994"/>
        <v>10.20.8.188</v>
      </c>
      <c r="U4932" t="str">
        <f t="shared" si="1995"/>
        <v>AZRAD UMAR BIN SHAARI</v>
      </c>
      <c r="V4932" t="str">
        <f t="shared" si="1996"/>
        <v>FARHANA BINTI MUSTAPA</v>
      </c>
      <c r="W4932" t="str">
        <f t="shared" si="1997"/>
        <v>04-08-2020</v>
      </c>
      <c r="X4932" t="str">
        <f t="shared" si="1998"/>
        <v>RAZIMAH ANSAR AHMAD</v>
      </c>
      <c r="Y4932" t="str">
        <f t="shared" si="1999"/>
        <v>04-08-2020</v>
      </c>
      <c r="Z4932" t="str">
        <f>"COS10200804 4222"</f>
        <v>COS10200804 4222</v>
      </c>
    </row>
    <row r="4933" spans="1:26" x14ac:dyDescent="0.25">
      <c r="A4933" t="str">
        <f t="shared" si="2008"/>
        <v>04-08-2020 12:49:03</v>
      </c>
      <c r="B4933" t="str">
        <f>"0000806000"</f>
        <v>0000806000</v>
      </c>
      <c r="C4933" t="str">
        <f t="shared" si="2009"/>
        <v>0000805979</v>
      </c>
      <c r="D4933" t="str">
        <f t="shared" si="1987"/>
        <v>73185</v>
      </c>
      <c r="E4933" t="str">
        <f t="shared" si="1988"/>
        <v>KFH-OPERATIONS DEPARTMENT</v>
      </c>
      <c r="F4933" t="str">
        <f t="shared" si="1989"/>
        <v>IBG</v>
      </c>
      <c r="G4933" t="str">
        <f t="shared" si="2000"/>
        <v>Refund COSHARE 10</v>
      </c>
      <c r="H4933" s="2">
        <v>1032.5999999999999</v>
      </c>
      <c r="I4933" t="str">
        <f>"AZLAN BIN ABDUL RAHMAN"</f>
        <v>AZLAN BIN ABDUL RAHMAN</v>
      </c>
      <c r="J4933" t="str">
        <f t="shared" si="2001"/>
        <v>MAYBANK / MAYBANK ISLAMIC</v>
      </c>
      <c r="K4933" t="str">
        <f>"156114008075"</f>
        <v>156114008075</v>
      </c>
      <c r="L4933" t="str">
        <f t="shared" si="2010"/>
        <v>04-08-2020</v>
      </c>
      <c r="M4933" t="str">
        <f t="shared" si="2010"/>
        <v>04-08-2020</v>
      </c>
      <c r="N4933" t="str">
        <f t="shared" si="1990"/>
        <v>001105018356</v>
      </c>
      <c r="O4933" t="str">
        <f t="shared" si="1991"/>
        <v>MYR</v>
      </c>
      <c r="P4933" t="str">
        <f t="shared" si="2011"/>
        <v>NIL</v>
      </c>
      <c r="Q4933" t="str">
        <f t="shared" si="2011"/>
        <v>NIL</v>
      </c>
      <c r="R4933" t="str">
        <f t="shared" si="1992"/>
        <v>Accepted</v>
      </c>
      <c r="S4933" t="str">
        <f t="shared" si="1993"/>
        <v>Approved</v>
      </c>
      <c r="T4933" t="str">
        <f t="shared" si="1994"/>
        <v>10.20.8.188</v>
      </c>
      <c r="U4933" t="str">
        <f t="shared" si="1995"/>
        <v>AZRAD UMAR BIN SHAARI</v>
      </c>
      <c r="V4933" t="str">
        <f t="shared" si="1996"/>
        <v>FARHANA BINTI MUSTAPA</v>
      </c>
      <c r="W4933" t="str">
        <f t="shared" si="1997"/>
        <v>04-08-2020</v>
      </c>
      <c r="X4933" t="str">
        <f t="shared" si="1998"/>
        <v>RAZIMAH ANSAR AHMAD</v>
      </c>
      <c r="Y4933" t="str">
        <f t="shared" si="1999"/>
        <v>04-08-2020</v>
      </c>
      <c r="Z4933" t="str">
        <f>"COS10200804 4221"</f>
        <v>COS10200804 4221</v>
      </c>
    </row>
    <row r="4934" spans="1:26" x14ac:dyDescent="0.25">
      <c r="A4934" t="str">
        <f t="shared" si="2008"/>
        <v>04-08-2020 12:49:03</v>
      </c>
      <c r="B4934" t="str">
        <f>"0000805999"</f>
        <v>0000805999</v>
      </c>
      <c r="C4934" t="str">
        <f t="shared" si="2009"/>
        <v>0000805979</v>
      </c>
      <c r="D4934" t="str">
        <f t="shared" si="1987"/>
        <v>73185</v>
      </c>
      <c r="E4934" t="str">
        <f t="shared" si="1988"/>
        <v>KFH-OPERATIONS DEPARTMENT</v>
      </c>
      <c r="F4934" t="str">
        <f t="shared" si="1989"/>
        <v>IBG</v>
      </c>
      <c r="G4934" t="str">
        <f t="shared" si="2000"/>
        <v>Refund COSHARE 10</v>
      </c>
      <c r="H4934" s="2">
        <v>587.65</v>
      </c>
      <c r="I4934" t="str">
        <f>"AZIZUL KHAIRI BIN MOHD NOR"</f>
        <v>AZIZUL KHAIRI BIN MOHD NOR</v>
      </c>
      <c r="J4934" t="str">
        <f t="shared" si="2001"/>
        <v>MAYBANK / MAYBANK ISLAMIC</v>
      </c>
      <c r="K4934" t="str">
        <f>"164324288816"</f>
        <v>164324288816</v>
      </c>
      <c r="L4934" t="str">
        <f t="shared" si="2010"/>
        <v>04-08-2020</v>
      </c>
      <c r="M4934" t="str">
        <f t="shared" si="2010"/>
        <v>04-08-2020</v>
      </c>
      <c r="N4934" t="str">
        <f t="shared" si="1990"/>
        <v>001105018356</v>
      </c>
      <c r="O4934" t="str">
        <f t="shared" si="1991"/>
        <v>MYR</v>
      </c>
      <c r="P4934" t="str">
        <f t="shared" si="2011"/>
        <v>NIL</v>
      </c>
      <c r="Q4934" t="str">
        <f t="shared" si="2011"/>
        <v>NIL</v>
      </c>
      <c r="R4934" t="str">
        <f t="shared" si="1992"/>
        <v>Accepted</v>
      </c>
      <c r="S4934" t="str">
        <f t="shared" si="1993"/>
        <v>Approved</v>
      </c>
      <c r="T4934" t="str">
        <f t="shared" si="1994"/>
        <v>10.20.8.188</v>
      </c>
      <c r="U4934" t="str">
        <f t="shared" si="1995"/>
        <v>AZRAD UMAR BIN SHAARI</v>
      </c>
      <c r="V4934" t="str">
        <f t="shared" si="1996"/>
        <v>FARHANA BINTI MUSTAPA</v>
      </c>
      <c r="W4934" t="str">
        <f t="shared" si="1997"/>
        <v>04-08-2020</v>
      </c>
      <c r="X4934" t="str">
        <f t="shared" si="1998"/>
        <v>RAZIMAH ANSAR AHMAD</v>
      </c>
      <c r="Y4934" t="str">
        <f t="shared" si="1999"/>
        <v>04-08-2020</v>
      </c>
      <c r="Z4934" t="str">
        <f>"COS10200804 4220"</f>
        <v>COS10200804 4220</v>
      </c>
    </row>
    <row r="4935" spans="1:26" x14ac:dyDescent="0.25">
      <c r="A4935" t="str">
        <f t="shared" si="2008"/>
        <v>04-08-2020 12:49:03</v>
      </c>
      <c r="B4935" t="str">
        <f>"0000805998"</f>
        <v>0000805998</v>
      </c>
      <c r="C4935" t="str">
        <f t="shared" si="2009"/>
        <v>0000805979</v>
      </c>
      <c r="D4935" t="str">
        <f t="shared" ref="D4935:D4998" si="2012">"73185"</f>
        <v>73185</v>
      </c>
      <c r="E4935" t="str">
        <f t="shared" ref="E4935:E4998" si="2013">"KFH-OPERATIONS DEPARTMENT"</f>
        <v>KFH-OPERATIONS DEPARTMENT</v>
      </c>
      <c r="F4935" t="str">
        <f t="shared" ref="F4935:F4998" si="2014">"IBG"</f>
        <v>IBG</v>
      </c>
      <c r="G4935" t="str">
        <f t="shared" si="2000"/>
        <v>Refund COSHARE 10</v>
      </c>
      <c r="H4935" s="2">
        <v>147.35</v>
      </c>
      <c r="I4935" t="str">
        <f>"AZIZAN BIN YUSOF"</f>
        <v>AZIZAN BIN YUSOF</v>
      </c>
      <c r="J4935" t="str">
        <f t="shared" si="2001"/>
        <v>MAYBANK / MAYBANK ISLAMIC</v>
      </c>
      <c r="K4935" t="str">
        <f>"114011531857"</f>
        <v>114011531857</v>
      </c>
      <c r="L4935" t="str">
        <f t="shared" si="2010"/>
        <v>04-08-2020</v>
      </c>
      <c r="M4935" t="str">
        <f t="shared" si="2010"/>
        <v>04-08-2020</v>
      </c>
      <c r="N4935" t="str">
        <f t="shared" ref="N4935:N4998" si="2015">"001105018356"</f>
        <v>001105018356</v>
      </c>
      <c r="O4935" t="str">
        <f t="shared" ref="O4935:O4998" si="2016">"MYR"</f>
        <v>MYR</v>
      </c>
      <c r="P4935" t="str">
        <f t="shared" si="2011"/>
        <v>NIL</v>
      </c>
      <c r="Q4935" t="str">
        <f t="shared" si="2011"/>
        <v>NIL</v>
      </c>
      <c r="R4935" t="str">
        <f t="shared" ref="R4935:R4953" si="2017">"Accepted"</f>
        <v>Accepted</v>
      </c>
      <c r="S4935" t="str">
        <f t="shared" ref="S4935:S4998" si="2018">"Approved"</f>
        <v>Approved</v>
      </c>
      <c r="T4935" t="str">
        <f t="shared" ref="T4935:T4953" si="2019">"10.20.8.188"</f>
        <v>10.20.8.188</v>
      </c>
      <c r="U4935" t="str">
        <f t="shared" ref="U4935:U4998" si="2020">"AZRAD UMAR BIN SHAARI"</f>
        <v>AZRAD UMAR BIN SHAARI</v>
      </c>
      <c r="V4935" t="str">
        <f t="shared" ref="V4935:V4998" si="2021">"FARHANA BINTI MUSTAPA"</f>
        <v>FARHANA BINTI MUSTAPA</v>
      </c>
      <c r="W4935" t="str">
        <f t="shared" ref="W4935:W4998" si="2022">"04-08-2020"</f>
        <v>04-08-2020</v>
      </c>
      <c r="X4935" t="str">
        <f t="shared" ref="X4935:X4998" si="2023">"RAZIMAH ANSAR AHMAD"</f>
        <v>RAZIMAH ANSAR AHMAD</v>
      </c>
      <c r="Y4935" t="str">
        <f t="shared" ref="Y4935:Y4998" si="2024">"04-08-2020"</f>
        <v>04-08-2020</v>
      </c>
      <c r="Z4935" t="str">
        <f>"COS10200804 4219"</f>
        <v>COS10200804 4219</v>
      </c>
    </row>
    <row r="4936" spans="1:26" x14ac:dyDescent="0.25">
      <c r="A4936" t="str">
        <f t="shared" si="2008"/>
        <v>04-08-2020 12:49:03</v>
      </c>
      <c r="B4936" t="str">
        <f>"0000805997"</f>
        <v>0000805997</v>
      </c>
      <c r="C4936" t="str">
        <f t="shared" si="2009"/>
        <v>0000805979</v>
      </c>
      <c r="D4936" t="str">
        <f t="shared" si="2012"/>
        <v>73185</v>
      </c>
      <c r="E4936" t="str">
        <f t="shared" si="2013"/>
        <v>KFH-OPERATIONS DEPARTMENT</v>
      </c>
      <c r="F4936" t="str">
        <f t="shared" si="2014"/>
        <v>IBG</v>
      </c>
      <c r="G4936" t="str">
        <f t="shared" si="2000"/>
        <v>Refund COSHARE 10</v>
      </c>
      <c r="H4936" s="2">
        <v>427.85</v>
      </c>
      <c r="I4936" t="str">
        <f>"AZIZAN BIN HAMZAH"</f>
        <v>AZIZAN BIN HAMZAH</v>
      </c>
      <c r="J4936" t="str">
        <f t="shared" si="2001"/>
        <v>MAYBANK / MAYBANK ISLAMIC</v>
      </c>
      <c r="K4936" t="str">
        <f>"110107154504"</f>
        <v>110107154504</v>
      </c>
      <c r="L4936" t="str">
        <f t="shared" si="2010"/>
        <v>04-08-2020</v>
      </c>
      <c r="M4936" t="str">
        <f t="shared" si="2010"/>
        <v>04-08-2020</v>
      </c>
      <c r="N4936" t="str">
        <f t="shared" si="2015"/>
        <v>001105018356</v>
      </c>
      <c r="O4936" t="str">
        <f t="shared" si="2016"/>
        <v>MYR</v>
      </c>
      <c r="P4936" t="str">
        <f t="shared" si="2011"/>
        <v>NIL</v>
      </c>
      <c r="Q4936" t="str">
        <f t="shared" si="2011"/>
        <v>NIL</v>
      </c>
      <c r="R4936" t="str">
        <f t="shared" si="2017"/>
        <v>Accepted</v>
      </c>
      <c r="S4936" t="str">
        <f t="shared" si="2018"/>
        <v>Approved</v>
      </c>
      <c r="T4936" t="str">
        <f t="shared" si="2019"/>
        <v>10.20.8.188</v>
      </c>
      <c r="U4936" t="str">
        <f t="shared" si="2020"/>
        <v>AZRAD UMAR BIN SHAARI</v>
      </c>
      <c r="V4936" t="str">
        <f t="shared" si="2021"/>
        <v>FARHANA BINTI MUSTAPA</v>
      </c>
      <c r="W4936" t="str">
        <f t="shared" si="2022"/>
        <v>04-08-2020</v>
      </c>
      <c r="X4936" t="str">
        <f t="shared" si="2023"/>
        <v>RAZIMAH ANSAR AHMAD</v>
      </c>
      <c r="Y4936" t="str">
        <f t="shared" si="2024"/>
        <v>04-08-2020</v>
      </c>
      <c r="Z4936" t="str">
        <f>"COS10200804 4218"</f>
        <v>COS10200804 4218</v>
      </c>
    </row>
    <row r="4937" spans="1:26" x14ac:dyDescent="0.25">
      <c r="A4937" t="str">
        <f t="shared" si="2008"/>
        <v>04-08-2020 12:49:03</v>
      </c>
      <c r="B4937" t="str">
        <f>"0000805996"</f>
        <v>0000805996</v>
      </c>
      <c r="C4937" t="str">
        <f t="shared" si="2009"/>
        <v>0000805979</v>
      </c>
      <c r="D4937" t="str">
        <f t="shared" si="2012"/>
        <v>73185</v>
      </c>
      <c r="E4937" t="str">
        <f t="shared" si="2013"/>
        <v>KFH-OPERATIONS DEPARTMENT</v>
      </c>
      <c r="F4937" t="str">
        <f t="shared" si="2014"/>
        <v>IBG</v>
      </c>
      <c r="G4937" t="str">
        <f t="shared" si="2000"/>
        <v>Refund COSHARE 10</v>
      </c>
      <c r="H4937" s="2">
        <v>755.55</v>
      </c>
      <c r="I4937" t="str">
        <f>"AZIZAN BIN ALI"</f>
        <v>AZIZAN BIN ALI</v>
      </c>
      <c r="J4937" t="str">
        <f t="shared" si="2001"/>
        <v>MAYBANK / MAYBANK ISLAMIC</v>
      </c>
      <c r="K4937" t="str">
        <f>"162384654036"</f>
        <v>162384654036</v>
      </c>
      <c r="L4937" t="str">
        <f t="shared" si="2010"/>
        <v>04-08-2020</v>
      </c>
      <c r="M4937" t="str">
        <f t="shared" si="2010"/>
        <v>04-08-2020</v>
      </c>
      <c r="N4937" t="str">
        <f t="shared" si="2015"/>
        <v>001105018356</v>
      </c>
      <c r="O4937" t="str">
        <f t="shared" si="2016"/>
        <v>MYR</v>
      </c>
      <c r="P4937" t="str">
        <f t="shared" si="2011"/>
        <v>NIL</v>
      </c>
      <c r="Q4937" t="str">
        <f t="shared" si="2011"/>
        <v>NIL</v>
      </c>
      <c r="R4937" t="str">
        <f t="shared" si="2017"/>
        <v>Accepted</v>
      </c>
      <c r="S4937" t="str">
        <f t="shared" si="2018"/>
        <v>Approved</v>
      </c>
      <c r="T4937" t="str">
        <f t="shared" si="2019"/>
        <v>10.20.8.188</v>
      </c>
      <c r="U4937" t="str">
        <f t="shared" si="2020"/>
        <v>AZRAD UMAR BIN SHAARI</v>
      </c>
      <c r="V4937" t="str">
        <f t="shared" si="2021"/>
        <v>FARHANA BINTI MUSTAPA</v>
      </c>
      <c r="W4937" t="str">
        <f t="shared" si="2022"/>
        <v>04-08-2020</v>
      </c>
      <c r="X4937" t="str">
        <f t="shared" si="2023"/>
        <v>RAZIMAH ANSAR AHMAD</v>
      </c>
      <c r="Y4937" t="str">
        <f t="shared" si="2024"/>
        <v>04-08-2020</v>
      </c>
      <c r="Z4937" t="str">
        <f>"COS10200804 4217"</f>
        <v>COS10200804 4217</v>
      </c>
    </row>
    <row r="4938" spans="1:26" x14ac:dyDescent="0.25">
      <c r="A4938" t="str">
        <f t="shared" si="2008"/>
        <v>04-08-2020 12:49:03</v>
      </c>
      <c r="B4938" t="str">
        <f>"0000805995"</f>
        <v>0000805995</v>
      </c>
      <c r="C4938" t="str">
        <f t="shared" si="2009"/>
        <v>0000805979</v>
      </c>
      <c r="D4938" t="str">
        <f t="shared" si="2012"/>
        <v>73185</v>
      </c>
      <c r="E4938" t="str">
        <f t="shared" si="2013"/>
        <v>KFH-OPERATIONS DEPARTMENT</v>
      </c>
      <c r="F4938" t="str">
        <f t="shared" si="2014"/>
        <v>IBG</v>
      </c>
      <c r="G4938" t="str">
        <f t="shared" si="2000"/>
        <v>Refund COSHARE 10</v>
      </c>
      <c r="H4938" s="2">
        <v>612.85</v>
      </c>
      <c r="I4938" t="str">
        <f>"AZIZAN BIN ABD JAMAL"</f>
        <v>AZIZAN BIN ABD JAMAL</v>
      </c>
      <c r="J4938" t="str">
        <f t="shared" si="2001"/>
        <v>MAYBANK / MAYBANK ISLAMIC</v>
      </c>
      <c r="K4938" t="str">
        <f>"156208181069"</f>
        <v>156208181069</v>
      </c>
      <c r="L4938" t="str">
        <f t="shared" si="2010"/>
        <v>04-08-2020</v>
      </c>
      <c r="M4938" t="str">
        <f t="shared" si="2010"/>
        <v>04-08-2020</v>
      </c>
      <c r="N4938" t="str">
        <f t="shared" si="2015"/>
        <v>001105018356</v>
      </c>
      <c r="O4938" t="str">
        <f t="shared" si="2016"/>
        <v>MYR</v>
      </c>
      <c r="P4938" t="str">
        <f t="shared" si="2011"/>
        <v>NIL</v>
      </c>
      <c r="Q4938" t="str">
        <f t="shared" si="2011"/>
        <v>NIL</v>
      </c>
      <c r="R4938" t="str">
        <f t="shared" si="2017"/>
        <v>Accepted</v>
      </c>
      <c r="S4938" t="str">
        <f t="shared" si="2018"/>
        <v>Approved</v>
      </c>
      <c r="T4938" t="str">
        <f t="shared" si="2019"/>
        <v>10.20.8.188</v>
      </c>
      <c r="U4938" t="str">
        <f t="shared" si="2020"/>
        <v>AZRAD UMAR BIN SHAARI</v>
      </c>
      <c r="V4938" t="str">
        <f t="shared" si="2021"/>
        <v>FARHANA BINTI MUSTAPA</v>
      </c>
      <c r="W4938" t="str">
        <f t="shared" si="2022"/>
        <v>04-08-2020</v>
      </c>
      <c r="X4938" t="str">
        <f t="shared" si="2023"/>
        <v>RAZIMAH ANSAR AHMAD</v>
      </c>
      <c r="Y4938" t="str">
        <f t="shared" si="2024"/>
        <v>04-08-2020</v>
      </c>
      <c r="Z4938" t="str">
        <f>"COS10200804 4216"</f>
        <v>COS10200804 4216</v>
      </c>
    </row>
    <row r="4939" spans="1:26" x14ac:dyDescent="0.25">
      <c r="A4939" t="str">
        <f t="shared" si="2008"/>
        <v>04-08-2020 12:49:03</v>
      </c>
      <c r="B4939" t="str">
        <f>"0000805994"</f>
        <v>0000805994</v>
      </c>
      <c r="C4939" t="str">
        <f t="shared" si="2009"/>
        <v>0000805979</v>
      </c>
      <c r="D4939" t="str">
        <f t="shared" si="2012"/>
        <v>73185</v>
      </c>
      <c r="E4939" t="str">
        <f t="shared" si="2013"/>
        <v>KFH-OPERATIONS DEPARTMENT</v>
      </c>
      <c r="F4939" t="str">
        <f t="shared" si="2014"/>
        <v>IBG</v>
      </c>
      <c r="G4939" t="str">
        <f t="shared" si="2000"/>
        <v>Refund COSHARE 10</v>
      </c>
      <c r="H4939" s="2">
        <v>218.3</v>
      </c>
      <c r="I4939" t="str">
        <f>"AZIZAH BT ABD AZIZ"</f>
        <v>AZIZAH BT ABD AZIZ</v>
      </c>
      <c r="J4939" t="str">
        <f t="shared" si="2001"/>
        <v>MAYBANK / MAYBANK ISLAMIC</v>
      </c>
      <c r="K4939" t="str">
        <f>"154035008474"</f>
        <v>154035008474</v>
      </c>
      <c r="L4939" t="str">
        <f t="shared" si="2010"/>
        <v>04-08-2020</v>
      </c>
      <c r="M4939" t="str">
        <f t="shared" si="2010"/>
        <v>04-08-2020</v>
      </c>
      <c r="N4939" t="str">
        <f t="shared" si="2015"/>
        <v>001105018356</v>
      </c>
      <c r="O4939" t="str">
        <f t="shared" si="2016"/>
        <v>MYR</v>
      </c>
      <c r="P4939" t="str">
        <f t="shared" si="2011"/>
        <v>NIL</v>
      </c>
      <c r="Q4939" t="str">
        <f t="shared" si="2011"/>
        <v>NIL</v>
      </c>
      <c r="R4939" t="str">
        <f t="shared" si="2017"/>
        <v>Accepted</v>
      </c>
      <c r="S4939" t="str">
        <f t="shared" si="2018"/>
        <v>Approved</v>
      </c>
      <c r="T4939" t="str">
        <f t="shared" si="2019"/>
        <v>10.20.8.188</v>
      </c>
      <c r="U4939" t="str">
        <f t="shared" si="2020"/>
        <v>AZRAD UMAR BIN SHAARI</v>
      </c>
      <c r="V4939" t="str">
        <f t="shared" si="2021"/>
        <v>FARHANA BINTI MUSTAPA</v>
      </c>
      <c r="W4939" t="str">
        <f t="shared" si="2022"/>
        <v>04-08-2020</v>
      </c>
      <c r="X4939" t="str">
        <f t="shared" si="2023"/>
        <v>RAZIMAH ANSAR AHMAD</v>
      </c>
      <c r="Y4939" t="str">
        <f t="shared" si="2024"/>
        <v>04-08-2020</v>
      </c>
      <c r="Z4939" t="str">
        <f>"COS10200804 4215"</f>
        <v>COS10200804 4215</v>
      </c>
    </row>
    <row r="4940" spans="1:26" x14ac:dyDescent="0.25">
      <c r="A4940" t="str">
        <f t="shared" si="2008"/>
        <v>04-08-2020 12:49:03</v>
      </c>
      <c r="B4940" t="str">
        <f>"0000805993"</f>
        <v>0000805993</v>
      </c>
      <c r="C4940" t="str">
        <f t="shared" si="2009"/>
        <v>0000805979</v>
      </c>
      <c r="D4940" t="str">
        <f t="shared" si="2012"/>
        <v>73185</v>
      </c>
      <c r="E4940" t="str">
        <f t="shared" si="2013"/>
        <v>KFH-OPERATIONS DEPARTMENT</v>
      </c>
      <c r="F4940" t="str">
        <f t="shared" si="2014"/>
        <v>IBG</v>
      </c>
      <c r="G4940" t="str">
        <f t="shared" ref="G4940:G5003" si="2025">"Refund COSHARE 10"</f>
        <v>Refund COSHARE 10</v>
      </c>
      <c r="H4940" s="2">
        <v>671.6</v>
      </c>
      <c r="I4940" t="str">
        <f>"AZIZAH BINTI SAAD"</f>
        <v>AZIZAH BINTI SAAD</v>
      </c>
      <c r="J4940" t="str">
        <f t="shared" si="2001"/>
        <v>MAYBANK / MAYBANK ISLAMIC</v>
      </c>
      <c r="K4940" t="str">
        <f>"152031515328"</f>
        <v>152031515328</v>
      </c>
      <c r="L4940" t="str">
        <f t="shared" si="2010"/>
        <v>04-08-2020</v>
      </c>
      <c r="M4940" t="str">
        <f t="shared" si="2010"/>
        <v>04-08-2020</v>
      </c>
      <c r="N4940" t="str">
        <f t="shared" si="2015"/>
        <v>001105018356</v>
      </c>
      <c r="O4940" t="str">
        <f t="shared" si="2016"/>
        <v>MYR</v>
      </c>
      <c r="P4940" t="str">
        <f t="shared" si="2011"/>
        <v>NIL</v>
      </c>
      <c r="Q4940" t="str">
        <f t="shared" si="2011"/>
        <v>NIL</v>
      </c>
      <c r="R4940" t="str">
        <f t="shared" si="2017"/>
        <v>Accepted</v>
      </c>
      <c r="S4940" t="str">
        <f t="shared" si="2018"/>
        <v>Approved</v>
      </c>
      <c r="T4940" t="str">
        <f t="shared" si="2019"/>
        <v>10.20.8.188</v>
      </c>
      <c r="U4940" t="str">
        <f t="shared" si="2020"/>
        <v>AZRAD UMAR BIN SHAARI</v>
      </c>
      <c r="V4940" t="str">
        <f t="shared" si="2021"/>
        <v>FARHANA BINTI MUSTAPA</v>
      </c>
      <c r="W4940" t="str">
        <f t="shared" si="2022"/>
        <v>04-08-2020</v>
      </c>
      <c r="X4940" t="str">
        <f t="shared" si="2023"/>
        <v>RAZIMAH ANSAR AHMAD</v>
      </c>
      <c r="Y4940" t="str">
        <f t="shared" si="2024"/>
        <v>04-08-2020</v>
      </c>
      <c r="Z4940" t="str">
        <f>"COS10200804 4214"</f>
        <v>COS10200804 4214</v>
      </c>
    </row>
    <row r="4941" spans="1:26" x14ac:dyDescent="0.25">
      <c r="A4941" t="str">
        <f t="shared" si="2008"/>
        <v>04-08-2020 12:49:03</v>
      </c>
      <c r="B4941" t="str">
        <f>"0000805992"</f>
        <v>0000805992</v>
      </c>
      <c r="C4941" t="str">
        <f t="shared" si="2009"/>
        <v>0000805979</v>
      </c>
      <c r="D4941" t="str">
        <f t="shared" si="2012"/>
        <v>73185</v>
      </c>
      <c r="E4941" t="str">
        <f t="shared" si="2013"/>
        <v>KFH-OPERATIONS DEPARTMENT</v>
      </c>
      <c r="F4941" t="str">
        <f t="shared" si="2014"/>
        <v>IBG</v>
      </c>
      <c r="G4941" t="str">
        <f t="shared" si="2025"/>
        <v>Refund COSHARE 10</v>
      </c>
      <c r="H4941" s="2">
        <v>1290</v>
      </c>
      <c r="I4941" t="str">
        <f>"AZIZAH BINTI OSMAN"</f>
        <v>AZIZAH BINTI OSMAN</v>
      </c>
      <c r="J4941" t="str">
        <f t="shared" si="2001"/>
        <v>MAYBANK / MAYBANK ISLAMIC</v>
      </c>
      <c r="K4941" t="str">
        <f>"102102160663"</f>
        <v>102102160663</v>
      </c>
      <c r="L4941" t="str">
        <f t="shared" si="2010"/>
        <v>04-08-2020</v>
      </c>
      <c r="M4941" t="str">
        <f t="shared" si="2010"/>
        <v>04-08-2020</v>
      </c>
      <c r="N4941" t="str">
        <f t="shared" si="2015"/>
        <v>001105018356</v>
      </c>
      <c r="O4941" t="str">
        <f t="shared" si="2016"/>
        <v>MYR</v>
      </c>
      <c r="P4941" t="str">
        <f t="shared" si="2011"/>
        <v>NIL</v>
      </c>
      <c r="Q4941" t="str">
        <f t="shared" si="2011"/>
        <v>NIL</v>
      </c>
      <c r="R4941" t="str">
        <f t="shared" si="2017"/>
        <v>Accepted</v>
      </c>
      <c r="S4941" t="str">
        <f t="shared" si="2018"/>
        <v>Approved</v>
      </c>
      <c r="T4941" t="str">
        <f t="shared" si="2019"/>
        <v>10.20.8.188</v>
      </c>
      <c r="U4941" t="str">
        <f t="shared" si="2020"/>
        <v>AZRAD UMAR BIN SHAARI</v>
      </c>
      <c r="V4941" t="str">
        <f t="shared" si="2021"/>
        <v>FARHANA BINTI MUSTAPA</v>
      </c>
      <c r="W4941" t="str">
        <f t="shared" si="2022"/>
        <v>04-08-2020</v>
      </c>
      <c r="X4941" t="str">
        <f t="shared" si="2023"/>
        <v>RAZIMAH ANSAR AHMAD</v>
      </c>
      <c r="Y4941" t="str">
        <f t="shared" si="2024"/>
        <v>04-08-2020</v>
      </c>
      <c r="Z4941" t="str">
        <f>"COS10200804 4213"</f>
        <v>COS10200804 4213</v>
      </c>
    </row>
    <row r="4942" spans="1:26" x14ac:dyDescent="0.25">
      <c r="A4942" t="str">
        <f t="shared" si="2008"/>
        <v>04-08-2020 12:49:03</v>
      </c>
      <c r="B4942" t="str">
        <f>"0000805991"</f>
        <v>0000805991</v>
      </c>
      <c r="C4942" t="str">
        <f t="shared" si="2009"/>
        <v>0000805979</v>
      </c>
      <c r="D4942" t="str">
        <f t="shared" si="2012"/>
        <v>73185</v>
      </c>
      <c r="E4942" t="str">
        <f t="shared" si="2013"/>
        <v>KFH-OPERATIONS DEPARTMENT</v>
      </c>
      <c r="F4942" t="str">
        <f t="shared" si="2014"/>
        <v>IBG</v>
      </c>
      <c r="G4942" t="str">
        <f t="shared" si="2025"/>
        <v>Refund COSHARE 10</v>
      </c>
      <c r="H4942" s="2">
        <v>1074.5999999999999</v>
      </c>
      <c r="I4942" t="str">
        <f>"AZIZAH BINTI MOHD KASSIM"</f>
        <v>AZIZAH BINTI MOHD KASSIM</v>
      </c>
      <c r="J4942" t="str">
        <f t="shared" si="2001"/>
        <v>MAYBANK / MAYBANK ISLAMIC</v>
      </c>
      <c r="K4942" t="str">
        <f>"114357077044"</f>
        <v>114357077044</v>
      </c>
      <c r="L4942" t="str">
        <f t="shared" si="2010"/>
        <v>04-08-2020</v>
      </c>
      <c r="M4942" t="str">
        <f t="shared" si="2010"/>
        <v>04-08-2020</v>
      </c>
      <c r="N4942" t="str">
        <f t="shared" si="2015"/>
        <v>001105018356</v>
      </c>
      <c r="O4942" t="str">
        <f t="shared" si="2016"/>
        <v>MYR</v>
      </c>
      <c r="P4942" t="str">
        <f t="shared" si="2011"/>
        <v>NIL</v>
      </c>
      <c r="Q4942" t="str">
        <f t="shared" si="2011"/>
        <v>NIL</v>
      </c>
      <c r="R4942" t="str">
        <f t="shared" si="2017"/>
        <v>Accepted</v>
      </c>
      <c r="S4942" t="str">
        <f t="shared" si="2018"/>
        <v>Approved</v>
      </c>
      <c r="T4942" t="str">
        <f t="shared" si="2019"/>
        <v>10.20.8.188</v>
      </c>
      <c r="U4942" t="str">
        <f t="shared" si="2020"/>
        <v>AZRAD UMAR BIN SHAARI</v>
      </c>
      <c r="V4942" t="str">
        <f t="shared" si="2021"/>
        <v>FARHANA BINTI MUSTAPA</v>
      </c>
      <c r="W4942" t="str">
        <f t="shared" si="2022"/>
        <v>04-08-2020</v>
      </c>
      <c r="X4942" t="str">
        <f t="shared" si="2023"/>
        <v>RAZIMAH ANSAR AHMAD</v>
      </c>
      <c r="Y4942" t="str">
        <f t="shared" si="2024"/>
        <v>04-08-2020</v>
      </c>
      <c r="Z4942" t="str">
        <f>"COS10200804 4212"</f>
        <v>COS10200804 4212</v>
      </c>
    </row>
    <row r="4943" spans="1:26" x14ac:dyDescent="0.25">
      <c r="A4943" t="str">
        <f t="shared" si="2008"/>
        <v>04-08-2020 12:49:03</v>
      </c>
      <c r="B4943" t="str">
        <f>"0000805990"</f>
        <v>0000805990</v>
      </c>
      <c r="C4943" t="str">
        <f t="shared" si="2009"/>
        <v>0000805979</v>
      </c>
      <c r="D4943" t="str">
        <f t="shared" si="2012"/>
        <v>73185</v>
      </c>
      <c r="E4943" t="str">
        <f t="shared" si="2013"/>
        <v>KFH-OPERATIONS DEPARTMENT</v>
      </c>
      <c r="F4943" t="str">
        <f t="shared" si="2014"/>
        <v>IBG</v>
      </c>
      <c r="G4943" t="str">
        <f t="shared" si="2025"/>
        <v>Refund COSHARE 10</v>
      </c>
      <c r="H4943" s="2">
        <v>326.55</v>
      </c>
      <c r="I4943" t="str">
        <f>"AZIZAH BINTI BAHRIN"</f>
        <v>AZIZAH BINTI BAHRIN</v>
      </c>
      <c r="J4943" t="str">
        <f t="shared" si="2001"/>
        <v>MAYBANK / MAYBANK ISLAMIC</v>
      </c>
      <c r="K4943" t="str">
        <f>"114208608047"</f>
        <v>114208608047</v>
      </c>
      <c r="L4943" t="str">
        <f t="shared" si="2010"/>
        <v>04-08-2020</v>
      </c>
      <c r="M4943" t="str">
        <f t="shared" si="2010"/>
        <v>04-08-2020</v>
      </c>
      <c r="N4943" t="str">
        <f t="shared" si="2015"/>
        <v>001105018356</v>
      </c>
      <c r="O4943" t="str">
        <f t="shared" si="2016"/>
        <v>MYR</v>
      </c>
      <c r="P4943" t="str">
        <f t="shared" si="2011"/>
        <v>NIL</v>
      </c>
      <c r="Q4943" t="str">
        <f t="shared" si="2011"/>
        <v>NIL</v>
      </c>
      <c r="R4943" t="str">
        <f t="shared" si="2017"/>
        <v>Accepted</v>
      </c>
      <c r="S4943" t="str">
        <f t="shared" si="2018"/>
        <v>Approved</v>
      </c>
      <c r="T4943" t="str">
        <f t="shared" si="2019"/>
        <v>10.20.8.188</v>
      </c>
      <c r="U4943" t="str">
        <f t="shared" si="2020"/>
        <v>AZRAD UMAR BIN SHAARI</v>
      </c>
      <c r="V4943" t="str">
        <f t="shared" si="2021"/>
        <v>FARHANA BINTI MUSTAPA</v>
      </c>
      <c r="W4943" t="str">
        <f t="shared" si="2022"/>
        <v>04-08-2020</v>
      </c>
      <c r="X4943" t="str">
        <f t="shared" si="2023"/>
        <v>RAZIMAH ANSAR AHMAD</v>
      </c>
      <c r="Y4943" t="str">
        <f t="shared" si="2024"/>
        <v>04-08-2020</v>
      </c>
      <c r="Z4943" t="str">
        <f>"COS10200804 4211"</f>
        <v>COS10200804 4211</v>
      </c>
    </row>
    <row r="4944" spans="1:26" x14ac:dyDescent="0.25">
      <c r="A4944" t="str">
        <f t="shared" si="2008"/>
        <v>04-08-2020 12:49:03</v>
      </c>
      <c r="B4944" t="str">
        <f>"0000805989"</f>
        <v>0000805989</v>
      </c>
      <c r="C4944" t="str">
        <f t="shared" si="2009"/>
        <v>0000805979</v>
      </c>
      <c r="D4944" t="str">
        <f t="shared" si="2012"/>
        <v>73185</v>
      </c>
      <c r="E4944" t="str">
        <f t="shared" si="2013"/>
        <v>KFH-OPERATIONS DEPARTMENT</v>
      </c>
      <c r="F4944" t="str">
        <f t="shared" si="2014"/>
        <v>IBG</v>
      </c>
      <c r="G4944" t="str">
        <f t="shared" si="2025"/>
        <v>Refund COSHARE 10</v>
      </c>
      <c r="H4944" s="2">
        <v>680</v>
      </c>
      <c r="I4944" t="str">
        <f>"AZIZ BIN AHMAD"</f>
        <v>AZIZ BIN AHMAD</v>
      </c>
      <c r="J4944" t="str">
        <f t="shared" si="2001"/>
        <v>MAYBANK / MAYBANK ISLAMIC</v>
      </c>
      <c r="K4944" t="str">
        <f>"151593015066"</f>
        <v>151593015066</v>
      </c>
      <c r="L4944" t="str">
        <f t="shared" si="2010"/>
        <v>04-08-2020</v>
      </c>
      <c r="M4944" t="str">
        <f t="shared" si="2010"/>
        <v>04-08-2020</v>
      </c>
      <c r="N4944" t="str">
        <f t="shared" si="2015"/>
        <v>001105018356</v>
      </c>
      <c r="O4944" t="str">
        <f t="shared" si="2016"/>
        <v>MYR</v>
      </c>
      <c r="P4944" t="str">
        <f t="shared" si="2011"/>
        <v>NIL</v>
      </c>
      <c r="Q4944" t="str">
        <f t="shared" si="2011"/>
        <v>NIL</v>
      </c>
      <c r="R4944" t="str">
        <f t="shared" si="2017"/>
        <v>Accepted</v>
      </c>
      <c r="S4944" t="str">
        <f t="shared" si="2018"/>
        <v>Approved</v>
      </c>
      <c r="T4944" t="str">
        <f t="shared" si="2019"/>
        <v>10.20.8.188</v>
      </c>
      <c r="U4944" t="str">
        <f t="shared" si="2020"/>
        <v>AZRAD UMAR BIN SHAARI</v>
      </c>
      <c r="V4944" t="str">
        <f t="shared" si="2021"/>
        <v>FARHANA BINTI MUSTAPA</v>
      </c>
      <c r="W4944" t="str">
        <f t="shared" si="2022"/>
        <v>04-08-2020</v>
      </c>
      <c r="X4944" t="str">
        <f t="shared" si="2023"/>
        <v>RAZIMAH ANSAR AHMAD</v>
      </c>
      <c r="Y4944" t="str">
        <f t="shared" si="2024"/>
        <v>04-08-2020</v>
      </c>
      <c r="Z4944" t="str">
        <f>"COS10200804 4210"</f>
        <v>COS10200804 4210</v>
      </c>
    </row>
    <row r="4945" spans="1:26" x14ac:dyDescent="0.25">
      <c r="A4945" t="str">
        <f t="shared" si="2008"/>
        <v>04-08-2020 12:49:03</v>
      </c>
      <c r="B4945" t="str">
        <f>"0000805988"</f>
        <v>0000805988</v>
      </c>
      <c r="C4945" t="str">
        <f t="shared" si="2009"/>
        <v>0000805979</v>
      </c>
      <c r="D4945" t="str">
        <f t="shared" si="2012"/>
        <v>73185</v>
      </c>
      <c r="E4945" t="str">
        <f t="shared" si="2013"/>
        <v>KFH-OPERATIONS DEPARTMENT</v>
      </c>
      <c r="F4945" t="str">
        <f t="shared" si="2014"/>
        <v>IBG</v>
      </c>
      <c r="G4945" t="str">
        <f t="shared" si="2025"/>
        <v>Refund COSHARE 10</v>
      </c>
      <c r="H4945" s="2">
        <v>159.5</v>
      </c>
      <c r="I4945" t="str">
        <f>"AZIMIE  JURHELY BIN KAWASA"</f>
        <v>AZIMIE  JURHELY BIN KAWASA</v>
      </c>
      <c r="J4945" t="str">
        <f t="shared" ref="J4945:J5008" si="2026">"MAYBANK / MAYBANK ISLAMIC"</f>
        <v>MAYBANK / MAYBANK ISLAMIC</v>
      </c>
      <c r="K4945" t="str">
        <f>"110144054908"</f>
        <v>110144054908</v>
      </c>
      <c r="L4945" t="str">
        <f t="shared" si="2010"/>
        <v>04-08-2020</v>
      </c>
      <c r="M4945" t="str">
        <f t="shared" si="2010"/>
        <v>04-08-2020</v>
      </c>
      <c r="N4945" t="str">
        <f t="shared" si="2015"/>
        <v>001105018356</v>
      </c>
      <c r="O4945" t="str">
        <f t="shared" si="2016"/>
        <v>MYR</v>
      </c>
      <c r="P4945" t="str">
        <f t="shared" si="2011"/>
        <v>NIL</v>
      </c>
      <c r="Q4945" t="str">
        <f t="shared" si="2011"/>
        <v>NIL</v>
      </c>
      <c r="R4945" t="str">
        <f t="shared" si="2017"/>
        <v>Accepted</v>
      </c>
      <c r="S4945" t="str">
        <f t="shared" si="2018"/>
        <v>Approved</v>
      </c>
      <c r="T4945" t="str">
        <f t="shared" si="2019"/>
        <v>10.20.8.188</v>
      </c>
      <c r="U4945" t="str">
        <f t="shared" si="2020"/>
        <v>AZRAD UMAR BIN SHAARI</v>
      </c>
      <c r="V4945" t="str">
        <f t="shared" si="2021"/>
        <v>FARHANA BINTI MUSTAPA</v>
      </c>
      <c r="W4945" t="str">
        <f t="shared" si="2022"/>
        <v>04-08-2020</v>
      </c>
      <c r="X4945" t="str">
        <f t="shared" si="2023"/>
        <v>RAZIMAH ANSAR AHMAD</v>
      </c>
      <c r="Y4945" t="str">
        <f t="shared" si="2024"/>
        <v>04-08-2020</v>
      </c>
      <c r="Z4945" t="str">
        <f>"COS10200804 4209"</f>
        <v>COS10200804 4209</v>
      </c>
    </row>
    <row r="4946" spans="1:26" x14ac:dyDescent="0.25">
      <c r="A4946" t="str">
        <f t="shared" ref="A4946:A4953" si="2027">"04-08-2020 12:49:03"</f>
        <v>04-08-2020 12:49:03</v>
      </c>
      <c r="B4946" t="str">
        <f>"0000805987"</f>
        <v>0000805987</v>
      </c>
      <c r="C4946" t="str">
        <f t="shared" ref="C4946:C4953" si="2028">"0000805979"</f>
        <v>0000805979</v>
      </c>
      <c r="D4946" t="str">
        <f t="shared" si="2012"/>
        <v>73185</v>
      </c>
      <c r="E4946" t="str">
        <f t="shared" si="2013"/>
        <v>KFH-OPERATIONS DEPARTMENT</v>
      </c>
      <c r="F4946" t="str">
        <f t="shared" si="2014"/>
        <v>IBG</v>
      </c>
      <c r="G4946" t="str">
        <f t="shared" si="2025"/>
        <v>Refund COSHARE 10</v>
      </c>
      <c r="H4946" s="2">
        <v>254.1</v>
      </c>
      <c r="I4946" t="str">
        <f>"AZIMEY BIN ISMAIL"</f>
        <v>AZIMEY BIN ISMAIL</v>
      </c>
      <c r="J4946" t="str">
        <f t="shared" si="2026"/>
        <v>MAYBANK / MAYBANK ISLAMIC</v>
      </c>
      <c r="K4946" t="str">
        <f>"101245125030"</f>
        <v>101245125030</v>
      </c>
      <c r="L4946" t="str">
        <f t="shared" si="2010"/>
        <v>04-08-2020</v>
      </c>
      <c r="M4946" t="str">
        <f t="shared" si="2010"/>
        <v>04-08-2020</v>
      </c>
      <c r="N4946" t="str">
        <f t="shared" si="2015"/>
        <v>001105018356</v>
      </c>
      <c r="O4946" t="str">
        <f t="shared" si="2016"/>
        <v>MYR</v>
      </c>
      <c r="P4946" t="str">
        <f t="shared" si="2011"/>
        <v>NIL</v>
      </c>
      <c r="Q4946" t="str">
        <f t="shared" si="2011"/>
        <v>NIL</v>
      </c>
      <c r="R4946" t="str">
        <f t="shared" si="2017"/>
        <v>Accepted</v>
      </c>
      <c r="S4946" t="str">
        <f t="shared" si="2018"/>
        <v>Approved</v>
      </c>
      <c r="T4946" t="str">
        <f t="shared" si="2019"/>
        <v>10.20.8.188</v>
      </c>
      <c r="U4946" t="str">
        <f t="shared" si="2020"/>
        <v>AZRAD UMAR BIN SHAARI</v>
      </c>
      <c r="V4946" t="str">
        <f t="shared" si="2021"/>
        <v>FARHANA BINTI MUSTAPA</v>
      </c>
      <c r="W4946" t="str">
        <f t="shared" si="2022"/>
        <v>04-08-2020</v>
      </c>
      <c r="X4946" t="str">
        <f t="shared" si="2023"/>
        <v>RAZIMAH ANSAR AHMAD</v>
      </c>
      <c r="Y4946" t="str">
        <f t="shared" si="2024"/>
        <v>04-08-2020</v>
      </c>
      <c r="Z4946" t="str">
        <f>"COS10200804 4208"</f>
        <v>COS10200804 4208</v>
      </c>
    </row>
    <row r="4947" spans="1:26" x14ac:dyDescent="0.25">
      <c r="A4947" t="str">
        <f t="shared" si="2027"/>
        <v>04-08-2020 12:49:03</v>
      </c>
      <c r="B4947" t="str">
        <f>"0000805986"</f>
        <v>0000805986</v>
      </c>
      <c r="C4947" t="str">
        <f t="shared" si="2028"/>
        <v>0000805979</v>
      </c>
      <c r="D4947" t="str">
        <f t="shared" si="2012"/>
        <v>73185</v>
      </c>
      <c r="E4947" t="str">
        <f t="shared" si="2013"/>
        <v>KFH-OPERATIONS DEPARTMENT</v>
      </c>
      <c r="F4947" t="str">
        <f t="shared" si="2014"/>
        <v>IBG</v>
      </c>
      <c r="G4947" t="str">
        <f t="shared" si="2025"/>
        <v>Refund COSHARE 10</v>
      </c>
      <c r="H4947" s="2">
        <v>612.85</v>
      </c>
      <c r="I4947" t="str">
        <f>"AZIMAH BINTI HAMZAH"</f>
        <v>AZIMAH BINTI HAMZAH</v>
      </c>
      <c r="J4947" t="str">
        <f t="shared" si="2026"/>
        <v>MAYBANK / MAYBANK ISLAMIC</v>
      </c>
      <c r="K4947" t="str">
        <f>"166010154797"</f>
        <v>166010154797</v>
      </c>
      <c r="L4947" t="str">
        <f t="shared" ref="L4947:M4966" si="2029">"04-08-2020"</f>
        <v>04-08-2020</v>
      </c>
      <c r="M4947" t="str">
        <f t="shared" si="2029"/>
        <v>04-08-2020</v>
      </c>
      <c r="N4947" t="str">
        <f t="shared" si="2015"/>
        <v>001105018356</v>
      </c>
      <c r="O4947" t="str">
        <f t="shared" si="2016"/>
        <v>MYR</v>
      </c>
      <c r="P4947" t="str">
        <f t="shared" ref="P4947:Q4966" si="2030">"NIL"</f>
        <v>NIL</v>
      </c>
      <c r="Q4947" t="str">
        <f t="shared" si="2030"/>
        <v>NIL</v>
      </c>
      <c r="R4947" t="str">
        <f t="shared" si="2017"/>
        <v>Accepted</v>
      </c>
      <c r="S4947" t="str">
        <f t="shared" si="2018"/>
        <v>Approved</v>
      </c>
      <c r="T4947" t="str">
        <f t="shared" si="2019"/>
        <v>10.20.8.188</v>
      </c>
      <c r="U4947" t="str">
        <f t="shared" si="2020"/>
        <v>AZRAD UMAR BIN SHAARI</v>
      </c>
      <c r="V4947" t="str">
        <f t="shared" si="2021"/>
        <v>FARHANA BINTI MUSTAPA</v>
      </c>
      <c r="W4947" t="str">
        <f t="shared" si="2022"/>
        <v>04-08-2020</v>
      </c>
      <c r="X4947" t="str">
        <f t="shared" si="2023"/>
        <v>RAZIMAH ANSAR AHMAD</v>
      </c>
      <c r="Y4947" t="str">
        <f t="shared" si="2024"/>
        <v>04-08-2020</v>
      </c>
      <c r="Z4947" t="str">
        <f>"COS10200804 4207"</f>
        <v>COS10200804 4207</v>
      </c>
    </row>
    <row r="4948" spans="1:26" x14ac:dyDescent="0.25">
      <c r="A4948" t="str">
        <f t="shared" si="2027"/>
        <v>04-08-2020 12:49:03</v>
      </c>
      <c r="B4948" t="str">
        <f>"0000805985"</f>
        <v>0000805985</v>
      </c>
      <c r="C4948" t="str">
        <f t="shared" si="2028"/>
        <v>0000805979</v>
      </c>
      <c r="D4948" t="str">
        <f t="shared" si="2012"/>
        <v>73185</v>
      </c>
      <c r="E4948" t="str">
        <f t="shared" si="2013"/>
        <v>KFH-OPERATIONS DEPARTMENT</v>
      </c>
      <c r="F4948" t="str">
        <f t="shared" si="2014"/>
        <v>IBG</v>
      </c>
      <c r="G4948" t="str">
        <f t="shared" si="2025"/>
        <v>Refund COSHARE 10</v>
      </c>
      <c r="H4948" s="2">
        <v>335.8</v>
      </c>
      <c r="I4948" t="str">
        <f>"AZILAWATI BINTI ABDULLAH"</f>
        <v>AZILAWATI BINTI ABDULLAH</v>
      </c>
      <c r="J4948" t="str">
        <f t="shared" si="2026"/>
        <v>MAYBANK / MAYBANK ISLAMIC</v>
      </c>
      <c r="K4948" t="str">
        <f>"159012644842"</f>
        <v>159012644842</v>
      </c>
      <c r="L4948" t="str">
        <f t="shared" si="2029"/>
        <v>04-08-2020</v>
      </c>
      <c r="M4948" t="str">
        <f t="shared" si="2029"/>
        <v>04-08-2020</v>
      </c>
      <c r="N4948" t="str">
        <f t="shared" si="2015"/>
        <v>001105018356</v>
      </c>
      <c r="O4948" t="str">
        <f t="shared" si="2016"/>
        <v>MYR</v>
      </c>
      <c r="P4948" t="str">
        <f t="shared" si="2030"/>
        <v>NIL</v>
      </c>
      <c r="Q4948" t="str">
        <f t="shared" si="2030"/>
        <v>NIL</v>
      </c>
      <c r="R4948" t="str">
        <f t="shared" si="2017"/>
        <v>Accepted</v>
      </c>
      <c r="S4948" t="str">
        <f t="shared" si="2018"/>
        <v>Approved</v>
      </c>
      <c r="T4948" t="str">
        <f t="shared" si="2019"/>
        <v>10.20.8.188</v>
      </c>
      <c r="U4948" t="str">
        <f t="shared" si="2020"/>
        <v>AZRAD UMAR BIN SHAARI</v>
      </c>
      <c r="V4948" t="str">
        <f t="shared" si="2021"/>
        <v>FARHANA BINTI MUSTAPA</v>
      </c>
      <c r="W4948" t="str">
        <f t="shared" si="2022"/>
        <v>04-08-2020</v>
      </c>
      <c r="X4948" t="str">
        <f t="shared" si="2023"/>
        <v>RAZIMAH ANSAR AHMAD</v>
      </c>
      <c r="Y4948" t="str">
        <f t="shared" si="2024"/>
        <v>04-08-2020</v>
      </c>
      <c r="Z4948" t="str">
        <f>"COS10200804 4206"</f>
        <v>COS10200804 4206</v>
      </c>
    </row>
    <row r="4949" spans="1:26" x14ac:dyDescent="0.25">
      <c r="A4949" t="str">
        <f t="shared" si="2027"/>
        <v>04-08-2020 12:49:03</v>
      </c>
      <c r="B4949" t="str">
        <f>"0000805984"</f>
        <v>0000805984</v>
      </c>
      <c r="C4949" t="str">
        <f t="shared" si="2028"/>
        <v>0000805979</v>
      </c>
      <c r="D4949" t="str">
        <f t="shared" si="2012"/>
        <v>73185</v>
      </c>
      <c r="E4949" t="str">
        <f t="shared" si="2013"/>
        <v>KFH-OPERATIONS DEPARTMENT</v>
      </c>
      <c r="F4949" t="str">
        <f t="shared" si="2014"/>
        <v>IBG</v>
      </c>
      <c r="G4949" t="str">
        <f t="shared" si="2025"/>
        <v>Refund COSHARE 10</v>
      </c>
      <c r="H4949" s="2">
        <v>76</v>
      </c>
      <c r="I4949" t="str">
        <f>"AZILAWATI BINTI ABD AZIZ"</f>
        <v>AZILAWATI BINTI ABD AZIZ</v>
      </c>
      <c r="J4949" t="str">
        <f t="shared" si="2026"/>
        <v>MAYBANK / MAYBANK ISLAMIC</v>
      </c>
      <c r="K4949" t="str">
        <f>"109018022091"</f>
        <v>109018022091</v>
      </c>
      <c r="L4949" t="str">
        <f t="shared" si="2029"/>
        <v>04-08-2020</v>
      </c>
      <c r="M4949" t="str">
        <f t="shared" si="2029"/>
        <v>04-08-2020</v>
      </c>
      <c r="N4949" t="str">
        <f t="shared" si="2015"/>
        <v>001105018356</v>
      </c>
      <c r="O4949" t="str">
        <f t="shared" si="2016"/>
        <v>MYR</v>
      </c>
      <c r="P4949" t="str">
        <f t="shared" si="2030"/>
        <v>NIL</v>
      </c>
      <c r="Q4949" t="str">
        <f t="shared" si="2030"/>
        <v>NIL</v>
      </c>
      <c r="R4949" t="str">
        <f t="shared" si="2017"/>
        <v>Accepted</v>
      </c>
      <c r="S4949" t="str">
        <f t="shared" si="2018"/>
        <v>Approved</v>
      </c>
      <c r="T4949" t="str">
        <f t="shared" si="2019"/>
        <v>10.20.8.188</v>
      </c>
      <c r="U4949" t="str">
        <f t="shared" si="2020"/>
        <v>AZRAD UMAR BIN SHAARI</v>
      </c>
      <c r="V4949" t="str">
        <f t="shared" si="2021"/>
        <v>FARHANA BINTI MUSTAPA</v>
      </c>
      <c r="W4949" t="str">
        <f t="shared" si="2022"/>
        <v>04-08-2020</v>
      </c>
      <c r="X4949" t="str">
        <f t="shared" si="2023"/>
        <v>RAZIMAH ANSAR AHMAD</v>
      </c>
      <c r="Y4949" t="str">
        <f t="shared" si="2024"/>
        <v>04-08-2020</v>
      </c>
      <c r="Z4949" t="str">
        <f>"COS10200804 4205"</f>
        <v>COS10200804 4205</v>
      </c>
    </row>
    <row r="4950" spans="1:26" x14ac:dyDescent="0.25">
      <c r="A4950" t="str">
        <f t="shared" si="2027"/>
        <v>04-08-2020 12:49:03</v>
      </c>
      <c r="B4950" t="str">
        <f>"0000805983"</f>
        <v>0000805983</v>
      </c>
      <c r="C4950" t="str">
        <f t="shared" si="2028"/>
        <v>0000805979</v>
      </c>
      <c r="D4950" t="str">
        <f t="shared" si="2012"/>
        <v>73185</v>
      </c>
      <c r="E4950" t="str">
        <f t="shared" si="2013"/>
        <v>KFH-OPERATIONS DEPARTMENT</v>
      </c>
      <c r="F4950" t="str">
        <f t="shared" si="2014"/>
        <v>IBG</v>
      </c>
      <c r="G4950" t="str">
        <f t="shared" si="2025"/>
        <v>Refund COSHARE 10</v>
      </c>
      <c r="H4950" s="2">
        <v>356</v>
      </c>
      <c r="I4950" t="str">
        <f>"AZILAH BINTI MAT TAHIR  AWANG"</f>
        <v>AZILAH BINTI MAT TAHIR  AWANG</v>
      </c>
      <c r="J4950" t="str">
        <f t="shared" si="2026"/>
        <v>MAYBANK / MAYBANK ISLAMIC</v>
      </c>
      <c r="K4950" t="str">
        <f>"153029175895"</f>
        <v>153029175895</v>
      </c>
      <c r="L4950" t="str">
        <f t="shared" si="2029"/>
        <v>04-08-2020</v>
      </c>
      <c r="M4950" t="str">
        <f t="shared" si="2029"/>
        <v>04-08-2020</v>
      </c>
      <c r="N4950" t="str">
        <f t="shared" si="2015"/>
        <v>001105018356</v>
      </c>
      <c r="O4950" t="str">
        <f t="shared" si="2016"/>
        <v>MYR</v>
      </c>
      <c r="P4950" t="str">
        <f t="shared" si="2030"/>
        <v>NIL</v>
      </c>
      <c r="Q4950" t="str">
        <f t="shared" si="2030"/>
        <v>NIL</v>
      </c>
      <c r="R4950" t="str">
        <f t="shared" si="2017"/>
        <v>Accepted</v>
      </c>
      <c r="S4950" t="str">
        <f t="shared" si="2018"/>
        <v>Approved</v>
      </c>
      <c r="T4950" t="str">
        <f t="shared" si="2019"/>
        <v>10.20.8.188</v>
      </c>
      <c r="U4950" t="str">
        <f t="shared" si="2020"/>
        <v>AZRAD UMAR BIN SHAARI</v>
      </c>
      <c r="V4950" t="str">
        <f t="shared" si="2021"/>
        <v>FARHANA BINTI MUSTAPA</v>
      </c>
      <c r="W4950" t="str">
        <f t="shared" si="2022"/>
        <v>04-08-2020</v>
      </c>
      <c r="X4950" t="str">
        <f t="shared" si="2023"/>
        <v>RAZIMAH ANSAR AHMAD</v>
      </c>
      <c r="Y4950" t="str">
        <f t="shared" si="2024"/>
        <v>04-08-2020</v>
      </c>
      <c r="Z4950" t="str">
        <f>"COS10200804 4204"</f>
        <v>COS10200804 4204</v>
      </c>
    </row>
    <row r="4951" spans="1:26" x14ac:dyDescent="0.25">
      <c r="A4951" t="str">
        <f t="shared" si="2027"/>
        <v>04-08-2020 12:49:03</v>
      </c>
      <c r="B4951" t="str">
        <f>"0000805982"</f>
        <v>0000805982</v>
      </c>
      <c r="C4951" t="str">
        <f t="shared" si="2028"/>
        <v>0000805979</v>
      </c>
      <c r="D4951" t="str">
        <f t="shared" si="2012"/>
        <v>73185</v>
      </c>
      <c r="E4951" t="str">
        <f t="shared" si="2013"/>
        <v>KFH-OPERATIONS DEPARTMENT</v>
      </c>
      <c r="F4951" t="str">
        <f t="shared" si="2014"/>
        <v>IBG</v>
      </c>
      <c r="G4951" t="str">
        <f t="shared" si="2025"/>
        <v>Refund COSHARE 10</v>
      </c>
      <c r="H4951" s="2">
        <v>167.9</v>
      </c>
      <c r="I4951" t="str">
        <f>"AZIF BAZLAN BIN SAFWANODDIN"</f>
        <v>AZIF BAZLAN BIN SAFWANODDIN</v>
      </c>
      <c r="J4951" t="str">
        <f t="shared" si="2026"/>
        <v>MAYBANK / MAYBANK ISLAMIC</v>
      </c>
      <c r="K4951" t="str">
        <f>"158323002256"</f>
        <v>158323002256</v>
      </c>
      <c r="L4951" t="str">
        <f t="shared" si="2029"/>
        <v>04-08-2020</v>
      </c>
      <c r="M4951" t="str">
        <f t="shared" si="2029"/>
        <v>04-08-2020</v>
      </c>
      <c r="N4951" t="str">
        <f t="shared" si="2015"/>
        <v>001105018356</v>
      </c>
      <c r="O4951" t="str">
        <f t="shared" si="2016"/>
        <v>MYR</v>
      </c>
      <c r="P4951" t="str">
        <f t="shared" si="2030"/>
        <v>NIL</v>
      </c>
      <c r="Q4951" t="str">
        <f t="shared" si="2030"/>
        <v>NIL</v>
      </c>
      <c r="R4951" t="str">
        <f t="shared" si="2017"/>
        <v>Accepted</v>
      </c>
      <c r="S4951" t="str">
        <f t="shared" si="2018"/>
        <v>Approved</v>
      </c>
      <c r="T4951" t="str">
        <f t="shared" si="2019"/>
        <v>10.20.8.188</v>
      </c>
      <c r="U4951" t="str">
        <f t="shared" si="2020"/>
        <v>AZRAD UMAR BIN SHAARI</v>
      </c>
      <c r="V4951" t="str">
        <f t="shared" si="2021"/>
        <v>FARHANA BINTI MUSTAPA</v>
      </c>
      <c r="W4951" t="str">
        <f t="shared" si="2022"/>
        <v>04-08-2020</v>
      </c>
      <c r="X4951" t="str">
        <f t="shared" si="2023"/>
        <v>RAZIMAH ANSAR AHMAD</v>
      </c>
      <c r="Y4951" t="str">
        <f t="shared" si="2024"/>
        <v>04-08-2020</v>
      </c>
      <c r="Z4951" t="str">
        <f>"COS10200804 4203"</f>
        <v>COS10200804 4203</v>
      </c>
    </row>
    <row r="4952" spans="1:26" x14ac:dyDescent="0.25">
      <c r="A4952" t="str">
        <f t="shared" si="2027"/>
        <v>04-08-2020 12:49:03</v>
      </c>
      <c r="B4952" t="str">
        <f>"0000805981"</f>
        <v>0000805981</v>
      </c>
      <c r="C4952" t="str">
        <f t="shared" si="2028"/>
        <v>0000805979</v>
      </c>
      <c r="D4952" t="str">
        <f t="shared" si="2012"/>
        <v>73185</v>
      </c>
      <c r="E4952" t="str">
        <f t="shared" si="2013"/>
        <v>KFH-OPERATIONS DEPARTMENT</v>
      </c>
      <c r="F4952" t="str">
        <f t="shared" si="2014"/>
        <v>IBG</v>
      </c>
      <c r="G4952" t="str">
        <f t="shared" si="2025"/>
        <v>Refund COSHARE 10</v>
      </c>
      <c r="H4952" s="2">
        <v>359</v>
      </c>
      <c r="I4952" t="str">
        <f>"AZIDA BINTI ABDULLAH"</f>
        <v>AZIDA BINTI ABDULLAH</v>
      </c>
      <c r="J4952" t="str">
        <f t="shared" si="2026"/>
        <v>MAYBANK / MAYBANK ISLAMIC</v>
      </c>
      <c r="K4952" t="str">
        <f>"114169825235"</f>
        <v>114169825235</v>
      </c>
      <c r="L4952" t="str">
        <f t="shared" si="2029"/>
        <v>04-08-2020</v>
      </c>
      <c r="M4952" t="str">
        <f t="shared" si="2029"/>
        <v>04-08-2020</v>
      </c>
      <c r="N4952" t="str">
        <f t="shared" si="2015"/>
        <v>001105018356</v>
      </c>
      <c r="O4952" t="str">
        <f t="shared" si="2016"/>
        <v>MYR</v>
      </c>
      <c r="P4952" t="str">
        <f t="shared" si="2030"/>
        <v>NIL</v>
      </c>
      <c r="Q4952" t="str">
        <f t="shared" si="2030"/>
        <v>NIL</v>
      </c>
      <c r="R4952" t="str">
        <f t="shared" si="2017"/>
        <v>Accepted</v>
      </c>
      <c r="S4952" t="str">
        <f t="shared" si="2018"/>
        <v>Approved</v>
      </c>
      <c r="T4952" t="str">
        <f t="shared" si="2019"/>
        <v>10.20.8.188</v>
      </c>
      <c r="U4952" t="str">
        <f t="shared" si="2020"/>
        <v>AZRAD UMAR BIN SHAARI</v>
      </c>
      <c r="V4952" t="str">
        <f t="shared" si="2021"/>
        <v>FARHANA BINTI MUSTAPA</v>
      </c>
      <c r="W4952" t="str">
        <f t="shared" si="2022"/>
        <v>04-08-2020</v>
      </c>
      <c r="X4952" t="str">
        <f t="shared" si="2023"/>
        <v>RAZIMAH ANSAR AHMAD</v>
      </c>
      <c r="Y4952" t="str">
        <f t="shared" si="2024"/>
        <v>04-08-2020</v>
      </c>
      <c r="Z4952" t="str">
        <f>"COS10200804 4202"</f>
        <v>COS10200804 4202</v>
      </c>
    </row>
    <row r="4953" spans="1:26" x14ac:dyDescent="0.25">
      <c r="A4953" t="str">
        <f t="shared" si="2027"/>
        <v>04-08-2020 12:49:03</v>
      </c>
      <c r="B4953" t="str">
        <f>"0000805980"</f>
        <v>0000805980</v>
      </c>
      <c r="C4953" t="str">
        <f t="shared" si="2028"/>
        <v>0000805979</v>
      </c>
      <c r="D4953" t="str">
        <f t="shared" si="2012"/>
        <v>73185</v>
      </c>
      <c r="E4953" t="str">
        <f t="shared" si="2013"/>
        <v>KFH-OPERATIONS DEPARTMENT</v>
      </c>
      <c r="F4953" t="str">
        <f t="shared" si="2014"/>
        <v>IBG</v>
      </c>
      <c r="G4953" t="str">
        <f t="shared" si="2025"/>
        <v>Refund COSHARE 10</v>
      </c>
      <c r="H4953" s="2">
        <v>656.4</v>
      </c>
      <c r="I4953" t="str">
        <f>"AZIATON CHAIRANI BINTI MOHAMED GHAZI"</f>
        <v>AZIATON CHAIRANI BINTI MOHAMED GHAZI</v>
      </c>
      <c r="J4953" t="str">
        <f t="shared" si="2026"/>
        <v>MAYBANK / MAYBANK ISLAMIC</v>
      </c>
      <c r="K4953" t="str">
        <f>"164017010165"</f>
        <v>164017010165</v>
      </c>
      <c r="L4953" t="str">
        <f t="shared" si="2029"/>
        <v>04-08-2020</v>
      </c>
      <c r="M4953" t="str">
        <f t="shared" si="2029"/>
        <v>04-08-2020</v>
      </c>
      <c r="N4953" t="str">
        <f t="shared" si="2015"/>
        <v>001105018356</v>
      </c>
      <c r="O4953" t="str">
        <f t="shared" si="2016"/>
        <v>MYR</v>
      </c>
      <c r="P4953" t="str">
        <f t="shared" si="2030"/>
        <v>NIL</v>
      </c>
      <c r="Q4953" t="str">
        <f t="shared" si="2030"/>
        <v>NIL</v>
      </c>
      <c r="R4953" t="str">
        <f t="shared" si="2017"/>
        <v>Accepted</v>
      </c>
      <c r="S4953" t="str">
        <f t="shared" si="2018"/>
        <v>Approved</v>
      </c>
      <c r="T4953" t="str">
        <f t="shared" si="2019"/>
        <v>10.20.8.188</v>
      </c>
      <c r="U4953" t="str">
        <f t="shared" si="2020"/>
        <v>AZRAD UMAR BIN SHAARI</v>
      </c>
      <c r="V4953" t="str">
        <f t="shared" si="2021"/>
        <v>FARHANA BINTI MUSTAPA</v>
      </c>
      <c r="W4953" t="str">
        <f t="shared" si="2022"/>
        <v>04-08-2020</v>
      </c>
      <c r="X4953" t="str">
        <f t="shared" si="2023"/>
        <v>RAZIMAH ANSAR AHMAD</v>
      </c>
      <c r="Y4953" t="str">
        <f t="shared" si="2024"/>
        <v>04-08-2020</v>
      </c>
      <c r="Z4953" t="str">
        <f>"COS10200804 4201"</f>
        <v>COS10200804 4201</v>
      </c>
    </row>
    <row r="4954" spans="1:26" s="1" customFormat="1" x14ac:dyDescent="0.25">
      <c r="A4954" s="1" t="str">
        <f t="shared" ref="A4954:A4985" si="2031">"04-08-2020 12:48:13"</f>
        <v>04-08-2020 12:48:13</v>
      </c>
      <c r="B4954" s="1" t="str">
        <f>"0000805978"</f>
        <v>0000805978</v>
      </c>
      <c r="C4954" s="1" t="str">
        <f t="shared" ref="C4954:C4985" si="2032">"0000805778"</f>
        <v>0000805778</v>
      </c>
      <c r="D4954" s="1" t="str">
        <f t="shared" si="2012"/>
        <v>73185</v>
      </c>
      <c r="E4954" s="1" t="str">
        <f t="shared" si="2013"/>
        <v>KFH-OPERATIONS DEPARTMENT</v>
      </c>
      <c r="F4954" s="1" t="str">
        <f t="shared" si="2014"/>
        <v>IBG</v>
      </c>
      <c r="G4954" s="1" t="str">
        <f t="shared" si="2025"/>
        <v>Refund COSHARE 10</v>
      </c>
      <c r="H4954" s="3">
        <v>1561.5</v>
      </c>
      <c r="I4954" s="4" t="str">
        <f>"AZIANA BINTI ISHAK"</f>
        <v>AZIANA BINTI ISHAK</v>
      </c>
      <c r="J4954" s="1" t="str">
        <f t="shared" si="2026"/>
        <v>MAYBANK / MAYBANK ISLAMIC</v>
      </c>
      <c r="K4954" s="1" t="str">
        <f>"153010242977"</f>
        <v>153010242977</v>
      </c>
      <c r="L4954" s="1" t="str">
        <f t="shared" si="2029"/>
        <v>04-08-2020</v>
      </c>
      <c r="M4954" s="1" t="str">
        <f t="shared" si="2029"/>
        <v>04-08-2020</v>
      </c>
      <c r="N4954" s="1" t="str">
        <f t="shared" si="2015"/>
        <v>001105018356</v>
      </c>
      <c r="O4954" s="1" t="str">
        <f t="shared" si="2016"/>
        <v>MYR</v>
      </c>
      <c r="P4954" s="1" t="str">
        <f t="shared" si="2030"/>
        <v>NIL</v>
      </c>
      <c r="Q4954" s="1" t="str">
        <f t="shared" si="2030"/>
        <v>NIL</v>
      </c>
      <c r="R4954" s="1" t="str">
        <f t="shared" ref="R4954:R4985" si="2033">"Unsuccessful"</f>
        <v>Unsuccessful</v>
      </c>
      <c r="S4954" s="1" t="str">
        <f t="shared" si="2018"/>
        <v>Approved</v>
      </c>
      <c r="T4954" s="1" t="str">
        <f t="shared" ref="T4954:T4985" si="2034">"10.20.201.88"</f>
        <v>10.20.201.88</v>
      </c>
      <c r="U4954" s="1" t="str">
        <f t="shared" si="2020"/>
        <v>AZRAD UMAR BIN SHAARI</v>
      </c>
      <c r="V4954" s="1" t="str">
        <f t="shared" si="2021"/>
        <v>FARHANA BINTI MUSTAPA</v>
      </c>
      <c r="W4954" s="1" t="str">
        <f t="shared" si="2022"/>
        <v>04-08-2020</v>
      </c>
      <c r="X4954" s="1" t="str">
        <f t="shared" si="2023"/>
        <v>RAZIMAH ANSAR AHMAD</v>
      </c>
      <c r="Y4954" s="1" t="str">
        <f t="shared" si="2024"/>
        <v>04-08-2020</v>
      </c>
      <c r="Z4954" s="1" t="str">
        <f>"COS10200804 4200"</f>
        <v>COS10200804 4200</v>
      </c>
    </row>
    <row r="4955" spans="1:26" s="1" customFormat="1" x14ac:dyDescent="0.25">
      <c r="A4955" s="1" t="str">
        <f t="shared" si="2031"/>
        <v>04-08-2020 12:48:13</v>
      </c>
      <c r="B4955" s="1" t="str">
        <f>"0000805977"</f>
        <v>0000805977</v>
      </c>
      <c r="C4955" s="1" t="str">
        <f t="shared" si="2032"/>
        <v>0000805778</v>
      </c>
      <c r="D4955" s="1" t="str">
        <f t="shared" si="2012"/>
        <v>73185</v>
      </c>
      <c r="E4955" s="1" t="str">
        <f t="shared" si="2013"/>
        <v>KFH-OPERATIONS DEPARTMENT</v>
      </c>
      <c r="F4955" s="1" t="str">
        <f t="shared" si="2014"/>
        <v>IBG</v>
      </c>
      <c r="G4955" s="1" t="str">
        <f t="shared" si="2025"/>
        <v>Refund COSHARE 10</v>
      </c>
      <c r="H4955" s="3">
        <v>352.6</v>
      </c>
      <c r="I4955" s="4" t="str">
        <f>"AZIAN BINTI MALIM"</f>
        <v>AZIAN BINTI MALIM</v>
      </c>
      <c r="J4955" s="1" t="str">
        <f t="shared" si="2026"/>
        <v>MAYBANK / MAYBANK ISLAMIC</v>
      </c>
      <c r="K4955" s="1" t="str">
        <f>"151212902545"</f>
        <v>151212902545</v>
      </c>
      <c r="L4955" s="1" t="str">
        <f t="shared" si="2029"/>
        <v>04-08-2020</v>
      </c>
      <c r="M4955" s="1" t="str">
        <f t="shared" si="2029"/>
        <v>04-08-2020</v>
      </c>
      <c r="N4955" s="1" t="str">
        <f t="shared" si="2015"/>
        <v>001105018356</v>
      </c>
      <c r="O4955" s="1" t="str">
        <f t="shared" si="2016"/>
        <v>MYR</v>
      </c>
      <c r="P4955" s="1" t="str">
        <f t="shared" si="2030"/>
        <v>NIL</v>
      </c>
      <c r="Q4955" s="1" t="str">
        <f t="shared" si="2030"/>
        <v>NIL</v>
      </c>
      <c r="R4955" s="1" t="str">
        <f t="shared" si="2033"/>
        <v>Unsuccessful</v>
      </c>
      <c r="S4955" s="1" t="str">
        <f t="shared" si="2018"/>
        <v>Approved</v>
      </c>
      <c r="T4955" s="1" t="str">
        <f t="shared" si="2034"/>
        <v>10.20.201.88</v>
      </c>
      <c r="U4955" s="1" t="str">
        <f t="shared" si="2020"/>
        <v>AZRAD UMAR BIN SHAARI</v>
      </c>
      <c r="V4955" s="1" t="str">
        <f t="shared" si="2021"/>
        <v>FARHANA BINTI MUSTAPA</v>
      </c>
      <c r="W4955" s="1" t="str">
        <f t="shared" si="2022"/>
        <v>04-08-2020</v>
      </c>
      <c r="X4955" s="1" t="str">
        <f t="shared" si="2023"/>
        <v>RAZIMAH ANSAR AHMAD</v>
      </c>
      <c r="Y4955" s="1" t="str">
        <f t="shared" si="2024"/>
        <v>04-08-2020</v>
      </c>
      <c r="Z4955" s="1" t="str">
        <f>"COS10200804 4199"</f>
        <v>COS10200804 4199</v>
      </c>
    </row>
    <row r="4956" spans="1:26" s="1" customFormat="1" x14ac:dyDescent="0.25">
      <c r="A4956" s="1" t="str">
        <f t="shared" si="2031"/>
        <v>04-08-2020 12:48:13</v>
      </c>
      <c r="B4956" s="1" t="str">
        <f>"0000805976"</f>
        <v>0000805976</v>
      </c>
      <c r="C4956" s="1" t="str">
        <f t="shared" si="2032"/>
        <v>0000805778</v>
      </c>
      <c r="D4956" s="1" t="str">
        <f t="shared" si="2012"/>
        <v>73185</v>
      </c>
      <c r="E4956" s="1" t="str">
        <f t="shared" si="2013"/>
        <v>KFH-OPERATIONS DEPARTMENT</v>
      </c>
      <c r="F4956" s="1" t="str">
        <f t="shared" si="2014"/>
        <v>IBG</v>
      </c>
      <c r="G4956" s="1" t="str">
        <f t="shared" si="2025"/>
        <v>Refund COSHARE 10</v>
      </c>
      <c r="H4956" s="3">
        <v>687.65</v>
      </c>
      <c r="I4956" s="4" t="str">
        <f>"AZHARI BIN MAT DAUD"</f>
        <v>AZHARI BIN MAT DAUD</v>
      </c>
      <c r="J4956" s="1" t="str">
        <f t="shared" si="2026"/>
        <v>MAYBANK / MAYBANK ISLAMIC</v>
      </c>
      <c r="K4956" s="1" t="str">
        <f>"114075707545"</f>
        <v>114075707545</v>
      </c>
      <c r="L4956" s="1" t="str">
        <f t="shared" si="2029"/>
        <v>04-08-2020</v>
      </c>
      <c r="M4956" s="1" t="str">
        <f t="shared" si="2029"/>
        <v>04-08-2020</v>
      </c>
      <c r="N4956" s="1" t="str">
        <f t="shared" si="2015"/>
        <v>001105018356</v>
      </c>
      <c r="O4956" s="1" t="str">
        <f t="shared" si="2016"/>
        <v>MYR</v>
      </c>
      <c r="P4956" s="1" t="str">
        <f t="shared" si="2030"/>
        <v>NIL</v>
      </c>
      <c r="Q4956" s="1" t="str">
        <f t="shared" si="2030"/>
        <v>NIL</v>
      </c>
      <c r="R4956" s="1" t="str">
        <f t="shared" si="2033"/>
        <v>Unsuccessful</v>
      </c>
      <c r="S4956" s="1" t="str">
        <f t="shared" si="2018"/>
        <v>Approved</v>
      </c>
      <c r="T4956" s="1" t="str">
        <f t="shared" si="2034"/>
        <v>10.20.201.88</v>
      </c>
      <c r="U4956" s="1" t="str">
        <f t="shared" si="2020"/>
        <v>AZRAD UMAR BIN SHAARI</v>
      </c>
      <c r="V4956" s="1" t="str">
        <f t="shared" si="2021"/>
        <v>FARHANA BINTI MUSTAPA</v>
      </c>
      <c r="W4956" s="1" t="str">
        <f t="shared" si="2022"/>
        <v>04-08-2020</v>
      </c>
      <c r="X4956" s="1" t="str">
        <f t="shared" si="2023"/>
        <v>RAZIMAH ANSAR AHMAD</v>
      </c>
      <c r="Y4956" s="1" t="str">
        <f t="shared" si="2024"/>
        <v>04-08-2020</v>
      </c>
      <c r="Z4956" s="1" t="str">
        <f>"COS10200804 4198"</f>
        <v>COS10200804 4198</v>
      </c>
    </row>
    <row r="4957" spans="1:26" s="1" customFormat="1" x14ac:dyDescent="0.25">
      <c r="A4957" s="1" t="str">
        <f t="shared" si="2031"/>
        <v>04-08-2020 12:48:13</v>
      </c>
      <c r="B4957" s="1" t="str">
        <f>"0000805975"</f>
        <v>0000805975</v>
      </c>
      <c r="C4957" s="1" t="str">
        <f t="shared" si="2032"/>
        <v>0000805778</v>
      </c>
      <c r="D4957" s="1" t="str">
        <f t="shared" si="2012"/>
        <v>73185</v>
      </c>
      <c r="E4957" s="1" t="str">
        <f t="shared" si="2013"/>
        <v>KFH-OPERATIONS DEPARTMENT</v>
      </c>
      <c r="F4957" s="1" t="str">
        <f t="shared" si="2014"/>
        <v>IBG</v>
      </c>
      <c r="G4957" s="1" t="str">
        <f t="shared" si="2025"/>
        <v>Refund COSHARE 10</v>
      </c>
      <c r="H4957" s="3">
        <v>789</v>
      </c>
      <c r="I4957" s="4" t="str">
        <f>"AZHAR BIN SUHAIMI"</f>
        <v>AZHAR BIN SUHAIMI</v>
      </c>
      <c r="J4957" s="1" t="str">
        <f t="shared" si="2026"/>
        <v>MAYBANK / MAYBANK ISLAMIC</v>
      </c>
      <c r="K4957" s="1" t="str">
        <f>"151137312068"</f>
        <v>151137312068</v>
      </c>
      <c r="L4957" s="1" t="str">
        <f t="shared" si="2029"/>
        <v>04-08-2020</v>
      </c>
      <c r="M4957" s="1" t="str">
        <f t="shared" si="2029"/>
        <v>04-08-2020</v>
      </c>
      <c r="N4957" s="1" t="str">
        <f t="shared" si="2015"/>
        <v>001105018356</v>
      </c>
      <c r="O4957" s="1" t="str">
        <f t="shared" si="2016"/>
        <v>MYR</v>
      </c>
      <c r="P4957" s="1" t="str">
        <f t="shared" si="2030"/>
        <v>NIL</v>
      </c>
      <c r="Q4957" s="1" t="str">
        <f t="shared" si="2030"/>
        <v>NIL</v>
      </c>
      <c r="R4957" s="1" t="str">
        <f t="shared" si="2033"/>
        <v>Unsuccessful</v>
      </c>
      <c r="S4957" s="1" t="str">
        <f t="shared" si="2018"/>
        <v>Approved</v>
      </c>
      <c r="T4957" s="1" t="str">
        <f t="shared" si="2034"/>
        <v>10.20.201.88</v>
      </c>
      <c r="U4957" s="1" t="str">
        <f t="shared" si="2020"/>
        <v>AZRAD UMAR BIN SHAARI</v>
      </c>
      <c r="V4957" s="1" t="str">
        <f t="shared" si="2021"/>
        <v>FARHANA BINTI MUSTAPA</v>
      </c>
      <c r="W4957" s="1" t="str">
        <f t="shared" si="2022"/>
        <v>04-08-2020</v>
      </c>
      <c r="X4957" s="1" t="str">
        <f t="shared" si="2023"/>
        <v>RAZIMAH ANSAR AHMAD</v>
      </c>
      <c r="Y4957" s="1" t="str">
        <f t="shared" si="2024"/>
        <v>04-08-2020</v>
      </c>
      <c r="Z4957" s="1" t="str">
        <f>"COS10200804 4197"</f>
        <v>COS10200804 4197</v>
      </c>
    </row>
    <row r="4958" spans="1:26" s="1" customFormat="1" x14ac:dyDescent="0.25">
      <c r="A4958" s="1" t="str">
        <f t="shared" si="2031"/>
        <v>04-08-2020 12:48:13</v>
      </c>
      <c r="B4958" s="1" t="str">
        <f>"0000805974"</f>
        <v>0000805974</v>
      </c>
      <c r="C4958" s="1" t="str">
        <f t="shared" si="2032"/>
        <v>0000805778</v>
      </c>
      <c r="D4958" s="1" t="str">
        <f t="shared" si="2012"/>
        <v>73185</v>
      </c>
      <c r="E4958" s="1" t="str">
        <f t="shared" si="2013"/>
        <v>KFH-OPERATIONS DEPARTMENT</v>
      </c>
      <c r="F4958" s="1" t="str">
        <f t="shared" si="2014"/>
        <v>IBG</v>
      </c>
      <c r="G4958" s="1" t="str">
        <f t="shared" si="2025"/>
        <v>Refund COSHARE 10</v>
      </c>
      <c r="H4958" s="3">
        <v>58.95</v>
      </c>
      <c r="I4958" s="4" t="str">
        <f>"AZHAR BIN KHAIDEN"</f>
        <v>AZHAR BIN KHAIDEN</v>
      </c>
      <c r="J4958" s="1" t="str">
        <f t="shared" si="2026"/>
        <v>MAYBANK / MAYBANK ISLAMIC</v>
      </c>
      <c r="K4958" s="1" t="str">
        <f>"156123501686"</f>
        <v>156123501686</v>
      </c>
      <c r="L4958" s="1" t="str">
        <f t="shared" si="2029"/>
        <v>04-08-2020</v>
      </c>
      <c r="M4958" s="1" t="str">
        <f t="shared" si="2029"/>
        <v>04-08-2020</v>
      </c>
      <c r="N4958" s="1" t="str">
        <f t="shared" si="2015"/>
        <v>001105018356</v>
      </c>
      <c r="O4958" s="1" t="str">
        <f t="shared" si="2016"/>
        <v>MYR</v>
      </c>
      <c r="P4958" s="1" t="str">
        <f t="shared" si="2030"/>
        <v>NIL</v>
      </c>
      <c r="Q4958" s="1" t="str">
        <f t="shared" si="2030"/>
        <v>NIL</v>
      </c>
      <c r="R4958" s="1" t="str">
        <f t="shared" si="2033"/>
        <v>Unsuccessful</v>
      </c>
      <c r="S4958" s="1" t="str">
        <f t="shared" si="2018"/>
        <v>Approved</v>
      </c>
      <c r="T4958" s="1" t="str">
        <f t="shared" si="2034"/>
        <v>10.20.201.88</v>
      </c>
      <c r="U4958" s="1" t="str">
        <f t="shared" si="2020"/>
        <v>AZRAD UMAR BIN SHAARI</v>
      </c>
      <c r="V4958" s="1" t="str">
        <f t="shared" si="2021"/>
        <v>FARHANA BINTI MUSTAPA</v>
      </c>
      <c r="W4958" s="1" t="str">
        <f t="shared" si="2022"/>
        <v>04-08-2020</v>
      </c>
      <c r="X4958" s="1" t="str">
        <f t="shared" si="2023"/>
        <v>RAZIMAH ANSAR AHMAD</v>
      </c>
      <c r="Y4958" s="1" t="str">
        <f t="shared" si="2024"/>
        <v>04-08-2020</v>
      </c>
      <c r="Z4958" s="1" t="str">
        <f>"COS10200804 4196"</f>
        <v>COS10200804 4196</v>
      </c>
    </row>
    <row r="4959" spans="1:26" s="1" customFormat="1" x14ac:dyDescent="0.25">
      <c r="A4959" s="1" t="str">
        <f t="shared" si="2031"/>
        <v>04-08-2020 12:48:13</v>
      </c>
      <c r="B4959" s="1" t="str">
        <f>"0000805973"</f>
        <v>0000805973</v>
      </c>
      <c r="C4959" s="1" t="str">
        <f t="shared" si="2032"/>
        <v>0000805778</v>
      </c>
      <c r="D4959" s="1" t="str">
        <f t="shared" si="2012"/>
        <v>73185</v>
      </c>
      <c r="E4959" s="1" t="str">
        <f t="shared" si="2013"/>
        <v>KFH-OPERATIONS DEPARTMENT</v>
      </c>
      <c r="F4959" s="1" t="str">
        <f t="shared" si="2014"/>
        <v>IBG</v>
      </c>
      <c r="G4959" s="1" t="str">
        <f t="shared" si="2025"/>
        <v>Refund COSHARE 10</v>
      </c>
      <c r="H4959" s="3">
        <v>635.20000000000005</v>
      </c>
      <c r="I4959" s="4" t="str">
        <f>"AZHAR BIN HUSIN"</f>
        <v>AZHAR BIN HUSIN</v>
      </c>
      <c r="J4959" s="1" t="str">
        <f t="shared" si="2026"/>
        <v>MAYBANK / MAYBANK ISLAMIC</v>
      </c>
      <c r="K4959" s="1" t="str">
        <f>"101075303817"</f>
        <v>101075303817</v>
      </c>
      <c r="L4959" s="1" t="str">
        <f t="shared" si="2029"/>
        <v>04-08-2020</v>
      </c>
      <c r="M4959" s="1" t="str">
        <f t="shared" si="2029"/>
        <v>04-08-2020</v>
      </c>
      <c r="N4959" s="1" t="str">
        <f t="shared" si="2015"/>
        <v>001105018356</v>
      </c>
      <c r="O4959" s="1" t="str">
        <f t="shared" si="2016"/>
        <v>MYR</v>
      </c>
      <c r="P4959" s="1" t="str">
        <f t="shared" si="2030"/>
        <v>NIL</v>
      </c>
      <c r="Q4959" s="1" t="str">
        <f t="shared" si="2030"/>
        <v>NIL</v>
      </c>
      <c r="R4959" s="1" t="str">
        <f t="shared" si="2033"/>
        <v>Unsuccessful</v>
      </c>
      <c r="S4959" s="1" t="str">
        <f t="shared" si="2018"/>
        <v>Approved</v>
      </c>
      <c r="T4959" s="1" t="str">
        <f t="shared" si="2034"/>
        <v>10.20.201.88</v>
      </c>
      <c r="U4959" s="1" t="str">
        <f t="shared" si="2020"/>
        <v>AZRAD UMAR BIN SHAARI</v>
      </c>
      <c r="V4959" s="1" t="str">
        <f t="shared" si="2021"/>
        <v>FARHANA BINTI MUSTAPA</v>
      </c>
      <c r="W4959" s="1" t="str">
        <f t="shared" si="2022"/>
        <v>04-08-2020</v>
      </c>
      <c r="X4959" s="1" t="str">
        <f t="shared" si="2023"/>
        <v>RAZIMAH ANSAR AHMAD</v>
      </c>
      <c r="Y4959" s="1" t="str">
        <f t="shared" si="2024"/>
        <v>04-08-2020</v>
      </c>
      <c r="Z4959" s="1" t="str">
        <f>"COS10200804 4195"</f>
        <v>COS10200804 4195</v>
      </c>
    </row>
    <row r="4960" spans="1:26" s="1" customFormat="1" x14ac:dyDescent="0.25">
      <c r="A4960" s="1" t="str">
        <f t="shared" si="2031"/>
        <v>04-08-2020 12:48:13</v>
      </c>
      <c r="B4960" s="1" t="str">
        <f>"0000805972"</f>
        <v>0000805972</v>
      </c>
      <c r="C4960" s="1" t="str">
        <f t="shared" si="2032"/>
        <v>0000805778</v>
      </c>
      <c r="D4960" s="1" t="str">
        <f t="shared" si="2012"/>
        <v>73185</v>
      </c>
      <c r="E4960" s="1" t="str">
        <f t="shared" si="2013"/>
        <v>KFH-OPERATIONS DEPARTMENT</v>
      </c>
      <c r="F4960" s="1" t="str">
        <f t="shared" si="2014"/>
        <v>IBG</v>
      </c>
      <c r="G4960" s="1" t="str">
        <f t="shared" si="2025"/>
        <v>Refund COSHARE 10</v>
      </c>
      <c r="H4960" s="3">
        <v>850</v>
      </c>
      <c r="I4960" s="4" t="str">
        <f>"AZHAR BIN ARIFFIN"</f>
        <v>AZHAR BIN ARIFFIN</v>
      </c>
      <c r="J4960" s="1" t="str">
        <f t="shared" si="2026"/>
        <v>MAYBANK / MAYBANK ISLAMIC</v>
      </c>
      <c r="K4960" s="1" t="str">
        <f>"158015200819"</f>
        <v>158015200819</v>
      </c>
      <c r="L4960" s="1" t="str">
        <f t="shared" si="2029"/>
        <v>04-08-2020</v>
      </c>
      <c r="M4960" s="1" t="str">
        <f t="shared" si="2029"/>
        <v>04-08-2020</v>
      </c>
      <c r="N4960" s="1" t="str">
        <f t="shared" si="2015"/>
        <v>001105018356</v>
      </c>
      <c r="O4960" s="1" t="str">
        <f t="shared" si="2016"/>
        <v>MYR</v>
      </c>
      <c r="P4960" s="1" t="str">
        <f t="shared" si="2030"/>
        <v>NIL</v>
      </c>
      <c r="Q4960" s="1" t="str">
        <f t="shared" si="2030"/>
        <v>NIL</v>
      </c>
      <c r="R4960" s="1" t="str">
        <f t="shared" si="2033"/>
        <v>Unsuccessful</v>
      </c>
      <c r="S4960" s="1" t="str">
        <f t="shared" si="2018"/>
        <v>Approved</v>
      </c>
      <c r="T4960" s="1" t="str">
        <f t="shared" si="2034"/>
        <v>10.20.201.88</v>
      </c>
      <c r="U4960" s="1" t="str">
        <f t="shared" si="2020"/>
        <v>AZRAD UMAR BIN SHAARI</v>
      </c>
      <c r="V4960" s="1" t="str">
        <f t="shared" si="2021"/>
        <v>FARHANA BINTI MUSTAPA</v>
      </c>
      <c r="W4960" s="1" t="str">
        <f t="shared" si="2022"/>
        <v>04-08-2020</v>
      </c>
      <c r="X4960" s="1" t="str">
        <f t="shared" si="2023"/>
        <v>RAZIMAH ANSAR AHMAD</v>
      </c>
      <c r="Y4960" s="1" t="str">
        <f t="shared" si="2024"/>
        <v>04-08-2020</v>
      </c>
      <c r="Z4960" s="1" t="str">
        <f>"COS10200804 4194"</f>
        <v>COS10200804 4194</v>
      </c>
    </row>
    <row r="4961" spans="1:26" s="1" customFormat="1" x14ac:dyDescent="0.25">
      <c r="A4961" s="1" t="str">
        <f t="shared" si="2031"/>
        <v>04-08-2020 12:48:13</v>
      </c>
      <c r="B4961" s="1" t="str">
        <f>"0000805971"</f>
        <v>0000805971</v>
      </c>
      <c r="C4961" s="1" t="str">
        <f t="shared" si="2032"/>
        <v>0000805778</v>
      </c>
      <c r="D4961" s="1" t="str">
        <f t="shared" si="2012"/>
        <v>73185</v>
      </c>
      <c r="E4961" s="1" t="str">
        <f t="shared" si="2013"/>
        <v>KFH-OPERATIONS DEPARTMENT</v>
      </c>
      <c r="F4961" s="1" t="str">
        <f t="shared" si="2014"/>
        <v>IBG</v>
      </c>
      <c r="G4961" s="1" t="str">
        <f t="shared" si="2025"/>
        <v>Refund COSHARE 10</v>
      </c>
      <c r="H4961" s="3">
        <v>137.94999999999999</v>
      </c>
      <c r="I4961" s="4" t="str">
        <f>"AZHAM BIN TUKIAMAN"</f>
        <v>AZHAM BIN TUKIAMAN</v>
      </c>
      <c r="J4961" s="1" t="str">
        <f t="shared" si="2026"/>
        <v>MAYBANK / MAYBANK ISLAMIC</v>
      </c>
      <c r="K4961" s="1" t="str">
        <f>"112054044704"</f>
        <v>112054044704</v>
      </c>
      <c r="L4961" s="1" t="str">
        <f t="shared" si="2029"/>
        <v>04-08-2020</v>
      </c>
      <c r="M4961" s="1" t="str">
        <f t="shared" si="2029"/>
        <v>04-08-2020</v>
      </c>
      <c r="N4961" s="1" t="str">
        <f t="shared" si="2015"/>
        <v>001105018356</v>
      </c>
      <c r="O4961" s="1" t="str">
        <f t="shared" si="2016"/>
        <v>MYR</v>
      </c>
      <c r="P4961" s="1" t="str">
        <f t="shared" si="2030"/>
        <v>NIL</v>
      </c>
      <c r="Q4961" s="1" t="str">
        <f t="shared" si="2030"/>
        <v>NIL</v>
      </c>
      <c r="R4961" s="1" t="str">
        <f t="shared" si="2033"/>
        <v>Unsuccessful</v>
      </c>
      <c r="S4961" s="1" t="str">
        <f t="shared" si="2018"/>
        <v>Approved</v>
      </c>
      <c r="T4961" s="1" t="str">
        <f t="shared" si="2034"/>
        <v>10.20.201.88</v>
      </c>
      <c r="U4961" s="1" t="str">
        <f t="shared" si="2020"/>
        <v>AZRAD UMAR BIN SHAARI</v>
      </c>
      <c r="V4961" s="1" t="str">
        <f t="shared" si="2021"/>
        <v>FARHANA BINTI MUSTAPA</v>
      </c>
      <c r="W4961" s="1" t="str">
        <f t="shared" si="2022"/>
        <v>04-08-2020</v>
      </c>
      <c r="X4961" s="1" t="str">
        <f t="shared" si="2023"/>
        <v>RAZIMAH ANSAR AHMAD</v>
      </c>
      <c r="Y4961" s="1" t="str">
        <f t="shared" si="2024"/>
        <v>04-08-2020</v>
      </c>
      <c r="Z4961" s="1" t="str">
        <f>"COS10200804 4193"</f>
        <v>COS10200804 4193</v>
      </c>
    </row>
    <row r="4962" spans="1:26" s="1" customFormat="1" x14ac:dyDescent="0.25">
      <c r="A4962" s="1" t="str">
        <f t="shared" si="2031"/>
        <v>04-08-2020 12:48:13</v>
      </c>
      <c r="B4962" s="1" t="str">
        <f>"0000805970"</f>
        <v>0000805970</v>
      </c>
      <c r="C4962" s="1" t="str">
        <f t="shared" si="2032"/>
        <v>0000805778</v>
      </c>
      <c r="D4962" s="1" t="str">
        <f t="shared" si="2012"/>
        <v>73185</v>
      </c>
      <c r="E4962" s="1" t="str">
        <f t="shared" si="2013"/>
        <v>KFH-OPERATIONS DEPARTMENT</v>
      </c>
      <c r="F4962" s="1" t="str">
        <f t="shared" si="2014"/>
        <v>IBG</v>
      </c>
      <c r="G4962" s="1" t="str">
        <f t="shared" si="2025"/>
        <v>Refund COSHARE 10</v>
      </c>
      <c r="H4962" s="3">
        <v>654.85</v>
      </c>
      <c r="I4962" s="4" t="str">
        <f>"AZERAN BIN ADAK"</f>
        <v>AZERAN BIN ADAK</v>
      </c>
      <c r="J4962" s="1" t="str">
        <f t="shared" si="2026"/>
        <v>MAYBANK / MAYBANK ISLAMIC</v>
      </c>
      <c r="K4962" s="1" t="str">
        <f>"160063250203"</f>
        <v>160063250203</v>
      </c>
      <c r="L4962" s="1" t="str">
        <f t="shared" si="2029"/>
        <v>04-08-2020</v>
      </c>
      <c r="M4962" s="1" t="str">
        <f t="shared" si="2029"/>
        <v>04-08-2020</v>
      </c>
      <c r="N4962" s="1" t="str">
        <f t="shared" si="2015"/>
        <v>001105018356</v>
      </c>
      <c r="O4962" s="1" t="str">
        <f t="shared" si="2016"/>
        <v>MYR</v>
      </c>
      <c r="P4962" s="1" t="str">
        <f t="shared" si="2030"/>
        <v>NIL</v>
      </c>
      <c r="Q4962" s="1" t="str">
        <f t="shared" si="2030"/>
        <v>NIL</v>
      </c>
      <c r="R4962" s="1" t="str">
        <f t="shared" si="2033"/>
        <v>Unsuccessful</v>
      </c>
      <c r="S4962" s="1" t="str">
        <f t="shared" si="2018"/>
        <v>Approved</v>
      </c>
      <c r="T4962" s="1" t="str">
        <f t="shared" si="2034"/>
        <v>10.20.201.88</v>
      </c>
      <c r="U4962" s="1" t="str">
        <f t="shared" si="2020"/>
        <v>AZRAD UMAR BIN SHAARI</v>
      </c>
      <c r="V4962" s="1" t="str">
        <f t="shared" si="2021"/>
        <v>FARHANA BINTI MUSTAPA</v>
      </c>
      <c r="W4962" s="1" t="str">
        <f t="shared" si="2022"/>
        <v>04-08-2020</v>
      </c>
      <c r="X4962" s="1" t="str">
        <f t="shared" si="2023"/>
        <v>RAZIMAH ANSAR AHMAD</v>
      </c>
      <c r="Y4962" s="1" t="str">
        <f t="shared" si="2024"/>
        <v>04-08-2020</v>
      </c>
      <c r="Z4962" s="1" t="str">
        <f>"COS10200804 4192"</f>
        <v>COS10200804 4192</v>
      </c>
    </row>
    <row r="4963" spans="1:26" s="1" customFormat="1" x14ac:dyDescent="0.25">
      <c r="A4963" s="1" t="str">
        <f t="shared" si="2031"/>
        <v>04-08-2020 12:48:13</v>
      </c>
      <c r="B4963" s="1" t="str">
        <f>"0000805969"</f>
        <v>0000805969</v>
      </c>
      <c r="C4963" s="1" t="str">
        <f t="shared" si="2032"/>
        <v>0000805778</v>
      </c>
      <c r="D4963" s="1" t="str">
        <f t="shared" si="2012"/>
        <v>73185</v>
      </c>
      <c r="E4963" s="1" t="str">
        <f t="shared" si="2013"/>
        <v>KFH-OPERATIONS DEPARTMENT</v>
      </c>
      <c r="F4963" s="1" t="str">
        <f t="shared" si="2014"/>
        <v>IBG</v>
      </c>
      <c r="G4963" s="1" t="str">
        <f t="shared" si="2025"/>
        <v>Refund COSHARE 10</v>
      </c>
      <c r="H4963" s="3">
        <v>184.7</v>
      </c>
      <c r="I4963" s="4" t="str">
        <f>"AZEEM REEZAL BIN HAMID"</f>
        <v>AZEEM REEZAL BIN HAMID</v>
      </c>
      <c r="J4963" s="1" t="str">
        <f t="shared" si="2026"/>
        <v>MAYBANK / MAYBANK ISLAMIC</v>
      </c>
      <c r="K4963" s="1" t="str">
        <f>"164155486885"</f>
        <v>164155486885</v>
      </c>
      <c r="L4963" s="1" t="str">
        <f t="shared" si="2029"/>
        <v>04-08-2020</v>
      </c>
      <c r="M4963" s="1" t="str">
        <f t="shared" si="2029"/>
        <v>04-08-2020</v>
      </c>
      <c r="N4963" s="1" t="str">
        <f t="shared" si="2015"/>
        <v>001105018356</v>
      </c>
      <c r="O4963" s="1" t="str">
        <f t="shared" si="2016"/>
        <v>MYR</v>
      </c>
      <c r="P4963" s="1" t="str">
        <f t="shared" si="2030"/>
        <v>NIL</v>
      </c>
      <c r="Q4963" s="1" t="str">
        <f t="shared" si="2030"/>
        <v>NIL</v>
      </c>
      <c r="R4963" s="1" t="str">
        <f t="shared" si="2033"/>
        <v>Unsuccessful</v>
      </c>
      <c r="S4963" s="1" t="str">
        <f t="shared" si="2018"/>
        <v>Approved</v>
      </c>
      <c r="T4963" s="1" t="str">
        <f t="shared" si="2034"/>
        <v>10.20.201.88</v>
      </c>
      <c r="U4963" s="1" t="str">
        <f t="shared" si="2020"/>
        <v>AZRAD UMAR BIN SHAARI</v>
      </c>
      <c r="V4963" s="1" t="str">
        <f t="shared" si="2021"/>
        <v>FARHANA BINTI MUSTAPA</v>
      </c>
      <c r="W4963" s="1" t="str">
        <f t="shared" si="2022"/>
        <v>04-08-2020</v>
      </c>
      <c r="X4963" s="1" t="str">
        <f t="shared" si="2023"/>
        <v>RAZIMAH ANSAR AHMAD</v>
      </c>
      <c r="Y4963" s="1" t="str">
        <f t="shared" si="2024"/>
        <v>04-08-2020</v>
      </c>
      <c r="Z4963" s="1" t="str">
        <f>"COS10200804 4191"</f>
        <v>COS10200804 4191</v>
      </c>
    </row>
    <row r="4964" spans="1:26" s="1" customFormat="1" x14ac:dyDescent="0.25">
      <c r="A4964" s="1" t="str">
        <f t="shared" si="2031"/>
        <v>04-08-2020 12:48:13</v>
      </c>
      <c r="B4964" s="1" t="str">
        <f>"0000805968"</f>
        <v>0000805968</v>
      </c>
      <c r="C4964" s="1" t="str">
        <f t="shared" si="2032"/>
        <v>0000805778</v>
      </c>
      <c r="D4964" s="1" t="str">
        <f t="shared" si="2012"/>
        <v>73185</v>
      </c>
      <c r="E4964" s="1" t="str">
        <f t="shared" si="2013"/>
        <v>KFH-OPERATIONS DEPARTMENT</v>
      </c>
      <c r="F4964" s="1" t="str">
        <f t="shared" si="2014"/>
        <v>IBG</v>
      </c>
      <c r="G4964" s="1" t="str">
        <f t="shared" si="2025"/>
        <v>Refund COSHARE 10</v>
      </c>
      <c r="H4964" s="3">
        <v>688.4</v>
      </c>
      <c r="I4964" s="4" t="str">
        <f>"AZEAN HARDY BIN RAMLY"</f>
        <v>AZEAN HARDY BIN RAMLY</v>
      </c>
      <c r="J4964" s="1" t="str">
        <f t="shared" si="2026"/>
        <v>MAYBANK / MAYBANK ISLAMIC</v>
      </c>
      <c r="K4964" s="1" t="str">
        <f>"162058977068"</f>
        <v>162058977068</v>
      </c>
      <c r="L4964" s="1" t="str">
        <f t="shared" si="2029"/>
        <v>04-08-2020</v>
      </c>
      <c r="M4964" s="1" t="str">
        <f t="shared" si="2029"/>
        <v>04-08-2020</v>
      </c>
      <c r="N4964" s="1" t="str">
        <f t="shared" si="2015"/>
        <v>001105018356</v>
      </c>
      <c r="O4964" s="1" t="str">
        <f t="shared" si="2016"/>
        <v>MYR</v>
      </c>
      <c r="P4964" s="1" t="str">
        <f t="shared" si="2030"/>
        <v>NIL</v>
      </c>
      <c r="Q4964" s="1" t="str">
        <f t="shared" si="2030"/>
        <v>NIL</v>
      </c>
      <c r="R4964" s="1" t="str">
        <f t="shared" si="2033"/>
        <v>Unsuccessful</v>
      </c>
      <c r="S4964" s="1" t="str">
        <f t="shared" si="2018"/>
        <v>Approved</v>
      </c>
      <c r="T4964" s="1" t="str">
        <f t="shared" si="2034"/>
        <v>10.20.201.88</v>
      </c>
      <c r="U4964" s="1" t="str">
        <f t="shared" si="2020"/>
        <v>AZRAD UMAR BIN SHAARI</v>
      </c>
      <c r="V4964" s="1" t="str">
        <f t="shared" si="2021"/>
        <v>FARHANA BINTI MUSTAPA</v>
      </c>
      <c r="W4964" s="1" t="str">
        <f t="shared" si="2022"/>
        <v>04-08-2020</v>
      </c>
      <c r="X4964" s="1" t="str">
        <f t="shared" si="2023"/>
        <v>RAZIMAH ANSAR AHMAD</v>
      </c>
      <c r="Y4964" s="1" t="str">
        <f t="shared" si="2024"/>
        <v>04-08-2020</v>
      </c>
      <c r="Z4964" s="1" t="str">
        <f>"COS10200804 4190"</f>
        <v>COS10200804 4190</v>
      </c>
    </row>
    <row r="4965" spans="1:26" s="1" customFormat="1" x14ac:dyDescent="0.25">
      <c r="A4965" s="1" t="str">
        <f t="shared" si="2031"/>
        <v>04-08-2020 12:48:13</v>
      </c>
      <c r="B4965" s="1" t="str">
        <f>"0000805967"</f>
        <v>0000805967</v>
      </c>
      <c r="C4965" s="1" t="str">
        <f t="shared" si="2032"/>
        <v>0000805778</v>
      </c>
      <c r="D4965" s="1" t="str">
        <f t="shared" si="2012"/>
        <v>73185</v>
      </c>
      <c r="E4965" s="1" t="str">
        <f t="shared" si="2013"/>
        <v>KFH-OPERATIONS DEPARTMENT</v>
      </c>
      <c r="F4965" s="1" t="str">
        <f t="shared" si="2014"/>
        <v>IBG</v>
      </c>
      <c r="G4965" s="1" t="str">
        <f t="shared" si="2025"/>
        <v>Refund COSHARE 10</v>
      </c>
      <c r="H4965" s="3">
        <v>361</v>
      </c>
      <c r="I4965" s="4" t="str">
        <f>"AZE AZTRINAH BINTI JUMAEN"</f>
        <v>AZE AZTRINAH BINTI JUMAEN</v>
      </c>
      <c r="J4965" s="1" t="str">
        <f t="shared" si="2026"/>
        <v>MAYBANK / MAYBANK ISLAMIC</v>
      </c>
      <c r="K4965" s="1" t="str">
        <f>"160037093415"</f>
        <v>160037093415</v>
      </c>
      <c r="L4965" s="1" t="str">
        <f t="shared" si="2029"/>
        <v>04-08-2020</v>
      </c>
      <c r="M4965" s="1" t="str">
        <f t="shared" si="2029"/>
        <v>04-08-2020</v>
      </c>
      <c r="N4965" s="1" t="str">
        <f t="shared" si="2015"/>
        <v>001105018356</v>
      </c>
      <c r="O4965" s="1" t="str">
        <f t="shared" si="2016"/>
        <v>MYR</v>
      </c>
      <c r="P4965" s="1" t="str">
        <f t="shared" si="2030"/>
        <v>NIL</v>
      </c>
      <c r="Q4965" s="1" t="str">
        <f t="shared" si="2030"/>
        <v>NIL</v>
      </c>
      <c r="R4965" s="1" t="str">
        <f t="shared" si="2033"/>
        <v>Unsuccessful</v>
      </c>
      <c r="S4965" s="1" t="str">
        <f t="shared" si="2018"/>
        <v>Approved</v>
      </c>
      <c r="T4965" s="1" t="str">
        <f t="shared" si="2034"/>
        <v>10.20.201.88</v>
      </c>
      <c r="U4965" s="1" t="str">
        <f t="shared" si="2020"/>
        <v>AZRAD UMAR BIN SHAARI</v>
      </c>
      <c r="V4965" s="1" t="str">
        <f t="shared" si="2021"/>
        <v>FARHANA BINTI MUSTAPA</v>
      </c>
      <c r="W4965" s="1" t="str">
        <f t="shared" si="2022"/>
        <v>04-08-2020</v>
      </c>
      <c r="X4965" s="1" t="str">
        <f t="shared" si="2023"/>
        <v>RAZIMAH ANSAR AHMAD</v>
      </c>
      <c r="Y4965" s="1" t="str">
        <f t="shared" si="2024"/>
        <v>04-08-2020</v>
      </c>
      <c r="Z4965" s="1" t="str">
        <f>"COS10200804 4189"</f>
        <v>COS10200804 4189</v>
      </c>
    </row>
    <row r="4966" spans="1:26" s="1" customFormat="1" x14ac:dyDescent="0.25">
      <c r="A4966" s="1" t="str">
        <f t="shared" si="2031"/>
        <v>04-08-2020 12:48:13</v>
      </c>
      <c r="B4966" s="1" t="str">
        <f>"0000805966"</f>
        <v>0000805966</v>
      </c>
      <c r="C4966" s="1" t="str">
        <f t="shared" si="2032"/>
        <v>0000805778</v>
      </c>
      <c r="D4966" s="1" t="str">
        <f t="shared" si="2012"/>
        <v>73185</v>
      </c>
      <c r="E4966" s="1" t="str">
        <f t="shared" si="2013"/>
        <v>KFH-OPERATIONS DEPARTMENT</v>
      </c>
      <c r="F4966" s="1" t="str">
        <f t="shared" si="2014"/>
        <v>IBG</v>
      </c>
      <c r="G4966" s="1" t="str">
        <f t="shared" si="2025"/>
        <v>Refund COSHARE 10</v>
      </c>
      <c r="H4966" s="3">
        <v>155.19999999999999</v>
      </c>
      <c r="I4966" s="4" t="str">
        <f>"AZAUDIN BIN ADZMIN  AZMIN"</f>
        <v>AZAUDIN BIN ADZMIN  AZMIN</v>
      </c>
      <c r="J4966" s="1" t="str">
        <f t="shared" si="2026"/>
        <v>MAYBANK / MAYBANK ISLAMIC</v>
      </c>
      <c r="K4966" s="1" t="str">
        <f>"112183203172"</f>
        <v>112183203172</v>
      </c>
      <c r="L4966" s="1" t="str">
        <f t="shared" si="2029"/>
        <v>04-08-2020</v>
      </c>
      <c r="M4966" s="1" t="str">
        <f t="shared" si="2029"/>
        <v>04-08-2020</v>
      </c>
      <c r="N4966" s="1" t="str">
        <f t="shared" si="2015"/>
        <v>001105018356</v>
      </c>
      <c r="O4966" s="1" t="str">
        <f t="shared" si="2016"/>
        <v>MYR</v>
      </c>
      <c r="P4966" s="1" t="str">
        <f t="shared" si="2030"/>
        <v>NIL</v>
      </c>
      <c r="Q4966" s="1" t="str">
        <f t="shared" si="2030"/>
        <v>NIL</v>
      </c>
      <c r="R4966" s="1" t="str">
        <f t="shared" si="2033"/>
        <v>Unsuccessful</v>
      </c>
      <c r="S4966" s="1" t="str">
        <f t="shared" si="2018"/>
        <v>Approved</v>
      </c>
      <c r="T4966" s="1" t="str">
        <f t="shared" si="2034"/>
        <v>10.20.201.88</v>
      </c>
      <c r="U4966" s="1" t="str">
        <f t="shared" si="2020"/>
        <v>AZRAD UMAR BIN SHAARI</v>
      </c>
      <c r="V4966" s="1" t="str">
        <f t="shared" si="2021"/>
        <v>FARHANA BINTI MUSTAPA</v>
      </c>
      <c r="W4966" s="1" t="str">
        <f t="shared" si="2022"/>
        <v>04-08-2020</v>
      </c>
      <c r="X4966" s="1" t="str">
        <f t="shared" si="2023"/>
        <v>RAZIMAH ANSAR AHMAD</v>
      </c>
      <c r="Y4966" s="1" t="str">
        <f t="shared" si="2024"/>
        <v>04-08-2020</v>
      </c>
      <c r="Z4966" s="1" t="str">
        <f>"COS10200804 4188"</f>
        <v>COS10200804 4188</v>
      </c>
    </row>
    <row r="4967" spans="1:26" s="1" customFormat="1" x14ac:dyDescent="0.25">
      <c r="A4967" s="1" t="str">
        <f t="shared" si="2031"/>
        <v>04-08-2020 12:48:13</v>
      </c>
      <c r="B4967" s="1" t="str">
        <f>"0000805965"</f>
        <v>0000805965</v>
      </c>
      <c r="C4967" s="1" t="str">
        <f t="shared" si="2032"/>
        <v>0000805778</v>
      </c>
      <c r="D4967" s="1" t="str">
        <f t="shared" si="2012"/>
        <v>73185</v>
      </c>
      <c r="E4967" s="1" t="str">
        <f t="shared" si="2013"/>
        <v>KFH-OPERATIONS DEPARTMENT</v>
      </c>
      <c r="F4967" s="1" t="str">
        <f t="shared" si="2014"/>
        <v>IBG</v>
      </c>
      <c r="G4967" s="1" t="str">
        <f t="shared" si="2025"/>
        <v>Refund COSHARE 10</v>
      </c>
      <c r="H4967" s="3">
        <v>946.55</v>
      </c>
      <c r="I4967" s="4" t="str">
        <f>"AZARIAH BINTI MOHAMED AZALI"</f>
        <v>AZARIAH BINTI MOHAMED AZALI</v>
      </c>
      <c r="J4967" s="1" t="str">
        <f t="shared" si="2026"/>
        <v>MAYBANK / MAYBANK ISLAMIC</v>
      </c>
      <c r="K4967" s="1" t="str">
        <f>"156141280986"</f>
        <v>156141280986</v>
      </c>
      <c r="L4967" s="1" t="str">
        <f t="shared" ref="L4967:M4986" si="2035">"04-08-2020"</f>
        <v>04-08-2020</v>
      </c>
      <c r="M4967" s="1" t="str">
        <f t="shared" si="2035"/>
        <v>04-08-2020</v>
      </c>
      <c r="N4967" s="1" t="str">
        <f t="shared" si="2015"/>
        <v>001105018356</v>
      </c>
      <c r="O4967" s="1" t="str">
        <f t="shared" si="2016"/>
        <v>MYR</v>
      </c>
      <c r="P4967" s="1" t="str">
        <f t="shared" ref="P4967:Q4986" si="2036">"NIL"</f>
        <v>NIL</v>
      </c>
      <c r="Q4967" s="1" t="str">
        <f t="shared" si="2036"/>
        <v>NIL</v>
      </c>
      <c r="R4967" s="1" t="str">
        <f t="shared" si="2033"/>
        <v>Unsuccessful</v>
      </c>
      <c r="S4967" s="1" t="str">
        <f t="shared" si="2018"/>
        <v>Approved</v>
      </c>
      <c r="T4967" s="1" t="str">
        <f t="shared" si="2034"/>
        <v>10.20.201.88</v>
      </c>
      <c r="U4967" s="1" t="str">
        <f t="shared" si="2020"/>
        <v>AZRAD UMAR BIN SHAARI</v>
      </c>
      <c r="V4967" s="1" t="str">
        <f t="shared" si="2021"/>
        <v>FARHANA BINTI MUSTAPA</v>
      </c>
      <c r="W4967" s="1" t="str">
        <f t="shared" si="2022"/>
        <v>04-08-2020</v>
      </c>
      <c r="X4967" s="1" t="str">
        <f t="shared" si="2023"/>
        <v>RAZIMAH ANSAR AHMAD</v>
      </c>
      <c r="Y4967" s="1" t="str">
        <f t="shared" si="2024"/>
        <v>04-08-2020</v>
      </c>
      <c r="Z4967" s="1" t="str">
        <f>"COS10200804 4187"</f>
        <v>COS10200804 4187</v>
      </c>
    </row>
    <row r="4968" spans="1:26" s="1" customFormat="1" x14ac:dyDescent="0.25">
      <c r="A4968" s="1" t="str">
        <f t="shared" si="2031"/>
        <v>04-08-2020 12:48:13</v>
      </c>
      <c r="B4968" s="1" t="str">
        <f>"0000805964"</f>
        <v>0000805964</v>
      </c>
      <c r="C4968" s="1" t="str">
        <f t="shared" si="2032"/>
        <v>0000805778</v>
      </c>
      <c r="D4968" s="1" t="str">
        <f t="shared" si="2012"/>
        <v>73185</v>
      </c>
      <c r="E4968" s="1" t="str">
        <f t="shared" si="2013"/>
        <v>KFH-OPERATIONS DEPARTMENT</v>
      </c>
      <c r="F4968" s="1" t="str">
        <f t="shared" si="2014"/>
        <v>IBG</v>
      </c>
      <c r="G4968" s="1" t="str">
        <f t="shared" si="2025"/>
        <v>Refund COSHARE 10</v>
      </c>
      <c r="H4968" s="3">
        <v>1343.2</v>
      </c>
      <c r="I4968" s="4" t="str">
        <f>"AZAN ZARINA BINTI HARUN"</f>
        <v>AZAN ZARINA BINTI HARUN</v>
      </c>
      <c r="J4968" s="1" t="str">
        <f t="shared" si="2026"/>
        <v>MAYBANK / MAYBANK ISLAMIC</v>
      </c>
      <c r="K4968" s="1" t="str">
        <f>"164333001841"</f>
        <v>164333001841</v>
      </c>
      <c r="L4968" s="1" t="str">
        <f t="shared" si="2035"/>
        <v>04-08-2020</v>
      </c>
      <c r="M4968" s="1" t="str">
        <f t="shared" si="2035"/>
        <v>04-08-2020</v>
      </c>
      <c r="N4968" s="1" t="str">
        <f t="shared" si="2015"/>
        <v>001105018356</v>
      </c>
      <c r="O4968" s="1" t="str">
        <f t="shared" si="2016"/>
        <v>MYR</v>
      </c>
      <c r="P4968" s="1" t="str">
        <f t="shared" si="2036"/>
        <v>NIL</v>
      </c>
      <c r="Q4968" s="1" t="str">
        <f t="shared" si="2036"/>
        <v>NIL</v>
      </c>
      <c r="R4968" s="1" t="str">
        <f t="shared" si="2033"/>
        <v>Unsuccessful</v>
      </c>
      <c r="S4968" s="1" t="str">
        <f t="shared" si="2018"/>
        <v>Approved</v>
      </c>
      <c r="T4968" s="1" t="str">
        <f t="shared" si="2034"/>
        <v>10.20.201.88</v>
      </c>
      <c r="U4968" s="1" t="str">
        <f t="shared" si="2020"/>
        <v>AZRAD UMAR BIN SHAARI</v>
      </c>
      <c r="V4968" s="1" t="str">
        <f t="shared" si="2021"/>
        <v>FARHANA BINTI MUSTAPA</v>
      </c>
      <c r="W4968" s="1" t="str">
        <f t="shared" si="2022"/>
        <v>04-08-2020</v>
      </c>
      <c r="X4968" s="1" t="str">
        <f t="shared" si="2023"/>
        <v>RAZIMAH ANSAR AHMAD</v>
      </c>
      <c r="Y4968" s="1" t="str">
        <f t="shared" si="2024"/>
        <v>04-08-2020</v>
      </c>
      <c r="Z4968" s="1" t="str">
        <f>"COS10200804 4186"</f>
        <v>COS10200804 4186</v>
      </c>
    </row>
    <row r="4969" spans="1:26" s="1" customFormat="1" x14ac:dyDescent="0.25">
      <c r="A4969" s="1" t="str">
        <f t="shared" si="2031"/>
        <v>04-08-2020 12:48:13</v>
      </c>
      <c r="B4969" s="1" t="str">
        <f>"0000805963"</f>
        <v>0000805963</v>
      </c>
      <c r="C4969" s="1" t="str">
        <f t="shared" si="2032"/>
        <v>0000805778</v>
      </c>
      <c r="D4969" s="1" t="str">
        <f t="shared" si="2012"/>
        <v>73185</v>
      </c>
      <c r="E4969" s="1" t="str">
        <f t="shared" si="2013"/>
        <v>KFH-OPERATIONS DEPARTMENT</v>
      </c>
      <c r="F4969" s="1" t="str">
        <f t="shared" si="2014"/>
        <v>IBG</v>
      </c>
      <c r="G4969" s="1" t="str">
        <f t="shared" si="2025"/>
        <v>Refund COSHARE 10</v>
      </c>
      <c r="H4969" s="3">
        <v>814.35</v>
      </c>
      <c r="I4969" s="4" t="str">
        <f>"AZAMAN BIN RANI"</f>
        <v>AZAMAN BIN RANI</v>
      </c>
      <c r="J4969" s="1" t="str">
        <f t="shared" si="2026"/>
        <v>MAYBANK / MAYBANK ISLAMIC</v>
      </c>
      <c r="K4969" s="1" t="str">
        <f>"111132141982"</f>
        <v>111132141982</v>
      </c>
      <c r="L4969" s="1" t="str">
        <f t="shared" si="2035"/>
        <v>04-08-2020</v>
      </c>
      <c r="M4969" s="1" t="str">
        <f t="shared" si="2035"/>
        <v>04-08-2020</v>
      </c>
      <c r="N4969" s="1" t="str">
        <f t="shared" si="2015"/>
        <v>001105018356</v>
      </c>
      <c r="O4969" s="1" t="str">
        <f t="shared" si="2016"/>
        <v>MYR</v>
      </c>
      <c r="P4969" s="1" t="str">
        <f t="shared" si="2036"/>
        <v>NIL</v>
      </c>
      <c r="Q4969" s="1" t="str">
        <f t="shared" si="2036"/>
        <v>NIL</v>
      </c>
      <c r="R4969" s="1" t="str">
        <f t="shared" si="2033"/>
        <v>Unsuccessful</v>
      </c>
      <c r="S4969" s="1" t="str">
        <f t="shared" si="2018"/>
        <v>Approved</v>
      </c>
      <c r="T4969" s="1" t="str">
        <f t="shared" si="2034"/>
        <v>10.20.201.88</v>
      </c>
      <c r="U4969" s="1" t="str">
        <f t="shared" si="2020"/>
        <v>AZRAD UMAR BIN SHAARI</v>
      </c>
      <c r="V4969" s="1" t="str">
        <f t="shared" si="2021"/>
        <v>FARHANA BINTI MUSTAPA</v>
      </c>
      <c r="W4969" s="1" t="str">
        <f t="shared" si="2022"/>
        <v>04-08-2020</v>
      </c>
      <c r="X4969" s="1" t="str">
        <f t="shared" si="2023"/>
        <v>RAZIMAH ANSAR AHMAD</v>
      </c>
      <c r="Y4969" s="1" t="str">
        <f t="shared" si="2024"/>
        <v>04-08-2020</v>
      </c>
      <c r="Z4969" s="1" t="str">
        <f>"COS10200804 4185"</f>
        <v>COS10200804 4185</v>
      </c>
    </row>
    <row r="4970" spans="1:26" s="1" customFormat="1" x14ac:dyDescent="0.25">
      <c r="A4970" s="1" t="str">
        <f t="shared" si="2031"/>
        <v>04-08-2020 12:48:13</v>
      </c>
      <c r="B4970" s="1" t="str">
        <f>"0000805962"</f>
        <v>0000805962</v>
      </c>
      <c r="C4970" s="1" t="str">
        <f t="shared" si="2032"/>
        <v>0000805778</v>
      </c>
      <c r="D4970" s="1" t="str">
        <f t="shared" si="2012"/>
        <v>73185</v>
      </c>
      <c r="E4970" s="1" t="str">
        <f t="shared" si="2013"/>
        <v>KFH-OPERATIONS DEPARTMENT</v>
      </c>
      <c r="F4970" s="1" t="str">
        <f t="shared" si="2014"/>
        <v>IBG</v>
      </c>
      <c r="G4970" s="1" t="str">
        <f t="shared" si="2025"/>
        <v>Refund COSHARE 10</v>
      </c>
      <c r="H4970" s="3">
        <v>58.8</v>
      </c>
      <c r="I4970" s="4" t="str">
        <f>"AZAIWARI BIN ZAINUDIN"</f>
        <v>AZAIWARI BIN ZAINUDIN</v>
      </c>
      <c r="J4970" s="1" t="str">
        <f t="shared" si="2026"/>
        <v>MAYBANK / MAYBANK ISLAMIC</v>
      </c>
      <c r="K4970" s="1" t="str">
        <f>"155015067643"</f>
        <v>155015067643</v>
      </c>
      <c r="L4970" s="1" t="str">
        <f t="shared" si="2035"/>
        <v>04-08-2020</v>
      </c>
      <c r="M4970" s="1" t="str">
        <f t="shared" si="2035"/>
        <v>04-08-2020</v>
      </c>
      <c r="N4970" s="1" t="str">
        <f t="shared" si="2015"/>
        <v>001105018356</v>
      </c>
      <c r="O4970" s="1" t="str">
        <f t="shared" si="2016"/>
        <v>MYR</v>
      </c>
      <c r="P4970" s="1" t="str">
        <f t="shared" si="2036"/>
        <v>NIL</v>
      </c>
      <c r="Q4970" s="1" t="str">
        <f t="shared" si="2036"/>
        <v>NIL</v>
      </c>
      <c r="R4970" s="1" t="str">
        <f t="shared" si="2033"/>
        <v>Unsuccessful</v>
      </c>
      <c r="S4970" s="1" t="str">
        <f t="shared" si="2018"/>
        <v>Approved</v>
      </c>
      <c r="T4970" s="1" t="str">
        <f t="shared" si="2034"/>
        <v>10.20.201.88</v>
      </c>
      <c r="U4970" s="1" t="str">
        <f t="shared" si="2020"/>
        <v>AZRAD UMAR BIN SHAARI</v>
      </c>
      <c r="V4970" s="1" t="str">
        <f t="shared" si="2021"/>
        <v>FARHANA BINTI MUSTAPA</v>
      </c>
      <c r="W4970" s="1" t="str">
        <f t="shared" si="2022"/>
        <v>04-08-2020</v>
      </c>
      <c r="X4970" s="1" t="str">
        <f t="shared" si="2023"/>
        <v>RAZIMAH ANSAR AHMAD</v>
      </c>
      <c r="Y4970" s="1" t="str">
        <f t="shared" si="2024"/>
        <v>04-08-2020</v>
      </c>
      <c r="Z4970" s="1" t="str">
        <f>"COS10200804 4184"</f>
        <v>COS10200804 4184</v>
      </c>
    </row>
    <row r="4971" spans="1:26" s="1" customFormat="1" x14ac:dyDescent="0.25">
      <c r="A4971" s="1" t="str">
        <f t="shared" si="2031"/>
        <v>04-08-2020 12:48:13</v>
      </c>
      <c r="B4971" s="1" t="str">
        <f>"0000805961"</f>
        <v>0000805961</v>
      </c>
      <c r="C4971" s="1" t="str">
        <f t="shared" si="2032"/>
        <v>0000805778</v>
      </c>
      <c r="D4971" s="1" t="str">
        <f t="shared" si="2012"/>
        <v>73185</v>
      </c>
      <c r="E4971" s="1" t="str">
        <f t="shared" si="2013"/>
        <v>KFH-OPERATIONS DEPARTMENT</v>
      </c>
      <c r="F4971" s="1" t="str">
        <f t="shared" si="2014"/>
        <v>IBG</v>
      </c>
      <c r="G4971" s="1" t="str">
        <f t="shared" si="2025"/>
        <v>Refund COSHARE 10</v>
      </c>
      <c r="H4971" s="3">
        <v>478.55</v>
      </c>
      <c r="I4971" s="4" t="str">
        <f>"AZAHIRUDDIN BIN ABDUL MAJID"</f>
        <v>AZAHIRUDDIN BIN ABDUL MAJID</v>
      </c>
      <c r="J4971" s="1" t="str">
        <f t="shared" si="2026"/>
        <v>MAYBANK / MAYBANK ISLAMIC</v>
      </c>
      <c r="K4971" s="1" t="str">
        <f>"106026130594"</f>
        <v>106026130594</v>
      </c>
      <c r="L4971" s="1" t="str">
        <f t="shared" si="2035"/>
        <v>04-08-2020</v>
      </c>
      <c r="M4971" s="1" t="str">
        <f t="shared" si="2035"/>
        <v>04-08-2020</v>
      </c>
      <c r="N4971" s="1" t="str">
        <f t="shared" si="2015"/>
        <v>001105018356</v>
      </c>
      <c r="O4971" s="1" t="str">
        <f t="shared" si="2016"/>
        <v>MYR</v>
      </c>
      <c r="P4971" s="1" t="str">
        <f t="shared" si="2036"/>
        <v>NIL</v>
      </c>
      <c r="Q4971" s="1" t="str">
        <f t="shared" si="2036"/>
        <v>NIL</v>
      </c>
      <c r="R4971" s="1" t="str">
        <f t="shared" si="2033"/>
        <v>Unsuccessful</v>
      </c>
      <c r="S4971" s="1" t="str">
        <f t="shared" si="2018"/>
        <v>Approved</v>
      </c>
      <c r="T4971" s="1" t="str">
        <f t="shared" si="2034"/>
        <v>10.20.201.88</v>
      </c>
      <c r="U4971" s="1" t="str">
        <f t="shared" si="2020"/>
        <v>AZRAD UMAR BIN SHAARI</v>
      </c>
      <c r="V4971" s="1" t="str">
        <f t="shared" si="2021"/>
        <v>FARHANA BINTI MUSTAPA</v>
      </c>
      <c r="W4971" s="1" t="str">
        <f t="shared" si="2022"/>
        <v>04-08-2020</v>
      </c>
      <c r="X4971" s="1" t="str">
        <f t="shared" si="2023"/>
        <v>RAZIMAH ANSAR AHMAD</v>
      </c>
      <c r="Y4971" s="1" t="str">
        <f t="shared" si="2024"/>
        <v>04-08-2020</v>
      </c>
      <c r="Z4971" s="1" t="str">
        <f>"COS10200804 4183"</f>
        <v>COS10200804 4183</v>
      </c>
    </row>
    <row r="4972" spans="1:26" s="1" customFormat="1" x14ac:dyDescent="0.25">
      <c r="A4972" s="1" t="str">
        <f t="shared" si="2031"/>
        <v>04-08-2020 12:48:13</v>
      </c>
      <c r="B4972" s="1" t="str">
        <f>"0000805960"</f>
        <v>0000805960</v>
      </c>
      <c r="C4972" s="1" t="str">
        <f t="shared" si="2032"/>
        <v>0000805778</v>
      </c>
      <c r="D4972" s="1" t="str">
        <f t="shared" si="2012"/>
        <v>73185</v>
      </c>
      <c r="E4972" s="1" t="str">
        <f t="shared" si="2013"/>
        <v>KFH-OPERATIONS DEPARTMENT</v>
      </c>
      <c r="F4972" s="1" t="str">
        <f t="shared" si="2014"/>
        <v>IBG</v>
      </c>
      <c r="G4972" s="1" t="str">
        <f t="shared" si="2025"/>
        <v>Refund COSHARE 10</v>
      </c>
      <c r="H4972" s="3">
        <v>56.8</v>
      </c>
      <c r="I4972" s="4" t="str">
        <f>"AZAAN BIN ZABIDI"</f>
        <v>AZAAN BIN ZABIDI</v>
      </c>
      <c r="J4972" s="1" t="str">
        <f t="shared" si="2026"/>
        <v>MAYBANK / MAYBANK ISLAMIC</v>
      </c>
      <c r="K4972" s="1" t="str">
        <f>"108178663608"</f>
        <v>108178663608</v>
      </c>
      <c r="L4972" s="1" t="str">
        <f t="shared" si="2035"/>
        <v>04-08-2020</v>
      </c>
      <c r="M4972" s="1" t="str">
        <f t="shared" si="2035"/>
        <v>04-08-2020</v>
      </c>
      <c r="N4972" s="1" t="str">
        <f t="shared" si="2015"/>
        <v>001105018356</v>
      </c>
      <c r="O4972" s="1" t="str">
        <f t="shared" si="2016"/>
        <v>MYR</v>
      </c>
      <c r="P4972" s="1" t="str">
        <f t="shared" si="2036"/>
        <v>NIL</v>
      </c>
      <c r="Q4972" s="1" t="str">
        <f t="shared" si="2036"/>
        <v>NIL</v>
      </c>
      <c r="R4972" s="1" t="str">
        <f t="shared" si="2033"/>
        <v>Unsuccessful</v>
      </c>
      <c r="S4972" s="1" t="str">
        <f t="shared" si="2018"/>
        <v>Approved</v>
      </c>
      <c r="T4972" s="1" t="str">
        <f t="shared" si="2034"/>
        <v>10.20.201.88</v>
      </c>
      <c r="U4972" s="1" t="str">
        <f t="shared" si="2020"/>
        <v>AZRAD UMAR BIN SHAARI</v>
      </c>
      <c r="V4972" s="1" t="str">
        <f t="shared" si="2021"/>
        <v>FARHANA BINTI MUSTAPA</v>
      </c>
      <c r="W4972" s="1" t="str">
        <f t="shared" si="2022"/>
        <v>04-08-2020</v>
      </c>
      <c r="X4972" s="1" t="str">
        <f t="shared" si="2023"/>
        <v>RAZIMAH ANSAR AHMAD</v>
      </c>
      <c r="Y4972" s="1" t="str">
        <f t="shared" si="2024"/>
        <v>04-08-2020</v>
      </c>
      <c r="Z4972" s="1" t="str">
        <f>"COS10200804 4182"</f>
        <v>COS10200804 4182</v>
      </c>
    </row>
    <row r="4973" spans="1:26" s="1" customFormat="1" x14ac:dyDescent="0.25">
      <c r="A4973" s="1" t="str">
        <f t="shared" si="2031"/>
        <v>04-08-2020 12:48:13</v>
      </c>
      <c r="B4973" s="1" t="str">
        <f>"0000805959"</f>
        <v>0000805959</v>
      </c>
      <c r="C4973" s="1" t="str">
        <f t="shared" si="2032"/>
        <v>0000805778</v>
      </c>
      <c r="D4973" s="1" t="str">
        <f t="shared" si="2012"/>
        <v>73185</v>
      </c>
      <c r="E4973" s="1" t="str">
        <f t="shared" si="2013"/>
        <v>KFH-OPERATIONS DEPARTMENT</v>
      </c>
      <c r="F4973" s="1" t="str">
        <f t="shared" si="2014"/>
        <v>IBG</v>
      </c>
      <c r="G4973" s="1" t="str">
        <f t="shared" si="2025"/>
        <v>Refund COSHARE 10</v>
      </c>
      <c r="H4973" s="3">
        <v>117.8</v>
      </c>
      <c r="I4973" s="4" t="str">
        <f>"AWG KOK AHMAD KAMALUDIN PUTRA"</f>
        <v>AWG KOK AHMAD KAMALUDIN PUTRA</v>
      </c>
      <c r="J4973" s="1" t="str">
        <f t="shared" si="2026"/>
        <v>MAYBANK / MAYBANK ISLAMIC</v>
      </c>
      <c r="K4973" s="1" t="str">
        <f>"111104066923"</f>
        <v>111104066923</v>
      </c>
      <c r="L4973" s="1" t="str">
        <f t="shared" si="2035"/>
        <v>04-08-2020</v>
      </c>
      <c r="M4973" s="1" t="str">
        <f t="shared" si="2035"/>
        <v>04-08-2020</v>
      </c>
      <c r="N4973" s="1" t="str">
        <f t="shared" si="2015"/>
        <v>001105018356</v>
      </c>
      <c r="O4973" s="1" t="str">
        <f t="shared" si="2016"/>
        <v>MYR</v>
      </c>
      <c r="P4973" s="1" t="str">
        <f t="shared" si="2036"/>
        <v>NIL</v>
      </c>
      <c r="Q4973" s="1" t="str">
        <f t="shared" si="2036"/>
        <v>NIL</v>
      </c>
      <c r="R4973" s="1" t="str">
        <f t="shared" si="2033"/>
        <v>Unsuccessful</v>
      </c>
      <c r="S4973" s="1" t="str">
        <f t="shared" si="2018"/>
        <v>Approved</v>
      </c>
      <c r="T4973" s="1" t="str">
        <f t="shared" si="2034"/>
        <v>10.20.201.88</v>
      </c>
      <c r="U4973" s="1" t="str">
        <f t="shared" si="2020"/>
        <v>AZRAD UMAR BIN SHAARI</v>
      </c>
      <c r="V4973" s="1" t="str">
        <f t="shared" si="2021"/>
        <v>FARHANA BINTI MUSTAPA</v>
      </c>
      <c r="W4973" s="1" t="str">
        <f t="shared" si="2022"/>
        <v>04-08-2020</v>
      </c>
      <c r="X4973" s="1" t="str">
        <f t="shared" si="2023"/>
        <v>RAZIMAH ANSAR AHMAD</v>
      </c>
      <c r="Y4973" s="1" t="str">
        <f t="shared" si="2024"/>
        <v>04-08-2020</v>
      </c>
      <c r="Z4973" s="1" t="str">
        <f>"COS10200804 4181"</f>
        <v>COS10200804 4181</v>
      </c>
    </row>
    <row r="4974" spans="1:26" s="1" customFormat="1" x14ac:dyDescent="0.25">
      <c r="A4974" s="1" t="str">
        <f t="shared" si="2031"/>
        <v>04-08-2020 12:48:13</v>
      </c>
      <c r="B4974" s="1" t="str">
        <f>"0000805958"</f>
        <v>0000805958</v>
      </c>
      <c r="C4974" s="1" t="str">
        <f t="shared" si="2032"/>
        <v>0000805778</v>
      </c>
      <c r="D4974" s="1" t="str">
        <f t="shared" si="2012"/>
        <v>73185</v>
      </c>
      <c r="E4974" s="1" t="str">
        <f t="shared" si="2013"/>
        <v>KFH-OPERATIONS DEPARTMENT</v>
      </c>
      <c r="F4974" s="1" t="str">
        <f t="shared" si="2014"/>
        <v>IBG</v>
      </c>
      <c r="G4974" s="1" t="str">
        <f t="shared" si="2025"/>
        <v>Refund COSHARE 10</v>
      </c>
      <c r="H4974" s="3">
        <v>67.2</v>
      </c>
      <c r="I4974" s="4" t="str">
        <f>"AWANGKU ZULLIANDI BIN AWANGKU ANUAR"</f>
        <v>AWANGKU ZULLIANDI BIN AWANGKU ANUAR</v>
      </c>
      <c r="J4974" s="1" t="str">
        <f t="shared" si="2026"/>
        <v>MAYBANK / MAYBANK ISLAMIC</v>
      </c>
      <c r="K4974" s="1" t="str">
        <f>"105038004864"</f>
        <v>105038004864</v>
      </c>
      <c r="L4974" s="1" t="str">
        <f t="shared" si="2035"/>
        <v>04-08-2020</v>
      </c>
      <c r="M4974" s="1" t="str">
        <f t="shared" si="2035"/>
        <v>04-08-2020</v>
      </c>
      <c r="N4974" s="1" t="str">
        <f t="shared" si="2015"/>
        <v>001105018356</v>
      </c>
      <c r="O4974" s="1" t="str">
        <f t="shared" si="2016"/>
        <v>MYR</v>
      </c>
      <c r="P4974" s="1" t="str">
        <f t="shared" si="2036"/>
        <v>NIL</v>
      </c>
      <c r="Q4974" s="1" t="str">
        <f t="shared" si="2036"/>
        <v>NIL</v>
      </c>
      <c r="R4974" s="1" t="str">
        <f t="shared" si="2033"/>
        <v>Unsuccessful</v>
      </c>
      <c r="S4974" s="1" t="str">
        <f t="shared" si="2018"/>
        <v>Approved</v>
      </c>
      <c r="T4974" s="1" t="str">
        <f t="shared" si="2034"/>
        <v>10.20.201.88</v>
      </c>
      <c r="U4974" s="1" t="str">
        <f t="shared" si="2020"/>
        <v>AZRAD UMAR BIN SHAARI</v>
      </c>
      <c r="V4974" s="1" t="str">
        <f t="shared" si="2021"/>
        <v>FARHANA BINTI MUSTAPA</v>
      </c>
      <c r="W4974" s="1" t="str">
        <f t="shared" si="2022"/>
        <v>04-08-2020</v>
      </c>
      <c r="X4974" s="1" t="str">
        <f t="shared" si="2023"/>
        <v>RAZIMAH ANSAR AHMAD</v>
      </c>
      <c r="Y4974" s="1" t="str">
        <f t="shared" si="2024"/>
        <v>04-08-2020</v>
      </c>
      <c r="Z4974" s="1" t="str">
        <f>"COS10200804 4180"</f>
        <v>COS10200804 4180</v>
      </c>
    </row>
    <row r="4975" spans="1:26" s="1" customFormat="1" x14ac:dyDescent="0.25">
      <c r="A4975" s="1" t="str">
        <f t="shared" si="2031"/>
        <v>04-08-2020 12:48:13</v>
      </c>
      <c r="B4975" s="1" t="str">
        <f>"0000805957"</f>
        <v>0000805957</v>
      </c>
      <c r="C4975" s="1" t="str">
        <f t="shared" si="2032"/>
        <v>0000805778</v>
      </c>
      <c r="D4975" s="1" t="str">
        <f t="shared" si="2012"/>
        <v>73185</v>
      </c>
      <c r="E4975" s="1" t="str">
        <f t="shared" si="2013"/>
        <v>KFH-OPERATIONS DEPARTMENT</v>
      </c>
      <c r="F4975" s="1" t="str">
        <f t="shared" si="2014"/>
        <v>IBG</v>
      </c>
      <c r="G4975" s="1" t="str">
        <f t="shared" si="2025"/>
        <v>Refund COSHARE 10</v>
      </c>
      <c r="H4975" s="3">
        <v>411.35</v>
      </c>
      <c r="I4975" s="4" t="str">
        <f>"AWANGKU ABDUL RASHID BIN AWANG NUSI"</f>
        <v>AWANGKU ABDUL RASHID BIN AWANG NUSI</v>
      </c>
      <c r="J4975" s="1" t="str">
        <f t="shared" si="2026"/>
        <v>MAYBANK / MAYBANK ISLAMIC</v>
      </c>
      <c r="K4975" s="1" t="str">
        <f>"161202016052"</f>
        <v>161202016052</v>
      </c>
      <c r="L4975" s="1" t="str">
        <f t="shared" si="2035"/>
        <v>04-08-2020</v>
      </c>
      <c r="M4975" s="1" t="str">
        <f t="shared" si="2035"/>
        <v>04-08-2020</v>
      </c>
      <c r="N4975" s="1" t="str">
        <f t="shared" si="2015"/>
        <v>001105018356</v>
      </c>
      <c r="O4975" s="1" t="str">
        <f t="shared" si="2016"/>
        <v>MYR</v>
      </c>
      <c r="P4975" s="1" t="str">
        <f t="shared" si="2036"/>
        <v>NIL</v>
      </c>
      <c r="Q4975" s="1" t="str">
        <f t="shared" si="2036"/>
        <v>NIL</v>
      </c>
      <c r="R4975" s="1" t="str">
        <f t="shared" si="2033"/>
        <v>Unsuccessful</v>
      </c>
      <c r="S4975" s="1" t="str">
        <f t="shared" si="2018"/>
        <v>Approved</v>
      </c>
      <c r="T4975" s="1" t="str">
        <f t="shared" si="2034"/>
        <v>10.20.201.88</v>
      </c>
      <c r="U4975" s="1" t="str">
        <f t="shared" si="2020"/>
        <v>AZRAD UMAR BIN SHAARI</v>
      </c>
      <c r="V4975" s="1" t="str">
        <f t="shared" si="2021"/>
        <v>FARHANA BINTI MUSTAPA</v>
      </c>
      <c r="W4975" s="1" t="str">
        <f t="shared" si="2022"/>
        <v>04-08-2020</v>
      </c>
      <c r="X4975" s="1" t="str">
        <f t="shared" si="2023"/>
        <v>RAZIMAH ANSAR AHMAD</v>
      </c>
      <c r="Y4975" s="1" t="str">
        <f t="shared" si="2024"/>
        <v>04-08-2020</v>
      </c>
      <c r="Z4975" s="1" t="str">
        <f>"COS10200804 4179"</f>
        <v>COS10200804 4179</v>
      </c>
    </row>
    <row r="4976" spans="1:26" s="1" customFormat="1" x14ac:dyDescent="0.25">
      <c r="A4976" s="1" t="str">
        <f t="shared" si="2031"/>
        <v>04-08-2020 12:48:13</v>
      </c>
      <c r="B4976" s="1" t="str">
        <f>"0000805956"</f>
        <v>0000805956</v>
      </c>
      <c r="C4976" s="1" t="str">
        <f t="shared" si="2032"/>
        <v>0000805778</v>
      </c>
      <c r="D4976" s="1" t="str">
        <f t="shared" si="2012"/>
        <v>73185</v>
      </c>
      <c r="E4976" s="1" t="str">
        <f t="shared" si="2013"/>
        <v>KFH-OPERATIONS DEPARTMENT</v>
      </c>
      <c r="F4976" s="1" t="str">
        <f t="shared" si="2014"/>
        <v>IBG</v>
      </c>
      <c r="G4976" s="1" t="str">
        <f t="shared" si="2025"/>
        <v>Refund COSHARE 10</v>
      </c>
      <c r="H4976" s="3">
        <v>941</v>
      </c>
      <c r="I4976" s="4" t="str">
        <f>"AWANG ZAINI BIN AWANG SAED"</f>
        <v>AWANG ZAINI BIN AWANG SAED</v>
      </c>
      <c r="J4976" s="1" t="str">
        <f t="shared" si="2026"/>
        <v>MAYBANK / MAYBANK ISLAMIC</v>
      </c>
      <c r="K4976" s="1" t="str">
        <f>"111114339600"</f>
        <v>111114339600</v>
      </c>
      <c r="L4976" s="1" t="str">
        <f t="shared" si="2035"/>
        <v>04-08-2020</v>
      </c>
      <c r="M4976" s="1" t="str">
        <f t="shared" si="2035"/>
        <v>04-08-2020</v>
      </c>
      <c r="N4976" s="1" t="str">
        <f t="shared" si="2015"/>
        <v>001105018356</v>
      </c>
      <c r="O4976" s="1" t="str">
        <f t="shared" si="2016"/>
        <v>MYR</v>
      </c>
      <c r="P4976" s="1" t="str">
        <f t="shared" si="2036"/>
        <v>NIL</v>
      </c>
      <c r="Q4976" s="1" t="str">
        <f t="shared" si="2036"/>
        <v>NIL</v>
      </c>
      <c r="R4976" s="1" t="str">
        <f t="shared" si="2033"/>
        <v>Unsuccessful</v>
      </c>
      <c r="S4976" s="1" t="str">
        <f t="shared" si="2018"/>
        <v>Approved</v>
      </c>
      <c r="T4976" s="1" t="str">
        <f t="shared" si="2034"/>
        <v>10.20.201.88</v>
      </c>
      <c r="U4976" s="1" t="str">
        <f t="shared" si="2020"/>
        <v>AZRAD UMAR BIN SHAARI</v>
      </c>
      <c r="V4976" s="1" t="str">
        <f t="shared" si="2021"/>
        <v>FARHANA BINTI MUSTAPA</v>
      </c>
      <c r="W4976" s="1" t="str">
        <f t="shared" si="2022"/>
        <v>04-08-2020</v>
      </c>
      <c r="X4976" s="1" t="str">
        <f t="shared" si="2023"/>
        <v>RAZIMAH ANSAR AHMAD</v>
      </c>
      <c r="Y4976" s="1" t="str">
        <f t="shared" si="2024"/>
        <v>04-08-2020</v>
      </c>
      <c r="Z4976" s="1" t="str">
        <f>"COS10200804 4178"</f>
        <v>COS10200804 4178</v>
      </c>
    </row>
    <row r="4977" spans="1:26" s="1" customFormat="1" x14ac:dyDescent="0.25">
      <c r="A4977" s="1" t="str">
        <f t="shared" si="2031"/>
        <v>04-08-2020 12:48:13</v>
      </c>
      <c r="B4977" s="1" t="str">
        <f>"0000805955"</f>
        <v>0000805955</v>
      </c>
      <c r="C4977" s="1" t="str">
        <f t="shared" si="2032"/>
        <v>0000805778</v>
      </c>
      <c r="D4977" s="1" t="str">
        <f t="shared" si="2012"/>
        <v>73185</v>
      </c>
      <c r="E4977" s="1" t="str">
        <f t="shared" si="2013"/>
        <v>KFH-OPERATIONS DEPARTMENT</v>
      </c>
      <c r="F4977" s="1" t="str">
        <f t="shared" si="2014"/>
        <v>IBG</v>
      </c>
      <c r="G4977" s="1" t="str">
        <f t="shared" si="2025"/>
        <v>Refund COSHARE 10</v>
      </c>
      <c r="H4977" s="3">
        <v>503.7</v>
      </c>
      <c r="I4977" s="4" t="str">
        <f>"AWANG NAJIZI BIN AWANG NARAWI"</f>
        <v>AWANG NAJIZI BIN AWANG NARAWI</v>
      </c>
      <c r="J4977" s="1" t="str">
        <f t="shared" si="2026"/>
        <v>MAYBANK / MAYBANK ISLAMIC</v>
      </c>
      <c r="K4977" s="1" t="str">
        <f>"160045336587"</f>
        <v>160045336587</v>
      </c>
      <c r="L4977" s="1" t="str">
        <f t="shared" si="2035"/>
        <v>04-08-2020</v>
      </c>
      <c r="M4977" s="1" t="str">
        <f t="shared" si="2035"/>
        <v>04-08-2020</v>
      </c>
      <c r="N4977" s="1" t="str">
        <f t="shared" si="2015"/>
        <v>001105018356</v>
      </c>
      <c r="O4977" s="1" t="str">
        <f t="shared" si="2016"/>
        <v>MYR</v>
      </c>
      <c r="P4977" s="1" t="str">
        <f t="shared" si="2036"/>
        <v>NIL</v>
      </c>
      <c r="Q4977" s="1" t="str">
        <f t="shared" si="2036"/>
        <v>NIL</v>
      </c>
      <c r="R4977" s="1" t="str">
        <f t="shared" si="2033"/>
        <v>Unsuccessful</v>
      </c>
      <c r="S4977" s="1" t="str">
        <f t="shared" si="2018"/>
        <v>Approved</v>
      </c>
      <c r="T4977" s="1" t="str">
        <f t="shared" si="2034"/>
        <v>10.20.201.88</v>
      </c>
      <c r="U4977" s="1" t="str">
        <f t="shared" si="2020"/>
        <v>AZRAD UMAR BIN SHAARI</v>
      </c>
      <c r="V4977" s="1" t="str">
        <f t="shared" si="2021"/>
        <v>FARHANA BINTI MUSTAPA</v>
      </c>
      <c r="W4977" s="1" t="str">
        <f t="shared" si="2022"/>
        <v>04-08-2020</v>
      </c>
      <c r="X4977" s="1" t="str">
        <f t="shared" si="2023"/>
        <v>RAZIMAH ANSAR AHMAD</v>
      </c>
      <c r="Y4977" s="1" t="str">
        <f t="shared" si="2024"/>
        <v>04-08-2020</v>
      </c>
      <c r="Z4977" s="1" t="str">
        <f>"COS10200804 4177"</f>
        <v>COS10200804 4177</v>
      </c>
    </row>
    <row r="4978" spans="1:26" s="1" customFormat="1" x14ac:dyDescent="0.25">
      <c r="A4978" s="1" t="str">
        <f t="shared" si="2031"/>
        <v>04-08-2020 12:48:13</v>
      </c>
      <c r="B4978" s="1" t="str">
        <f>"0000805954"</f>
        <v>0000805954</v>
      </c>
      <c r="C4978" s="1" t="str">
        <f t="shared" si="2032"/>
        <v>0000805778</v>
      </c>
      <c r="D4978" s="1" t="str">
        <f t="shared" si="2012"/>
        <v>73185</v>
      </c>
      <c r="E4978" s="1" t="str">
        <f t="shared" si="2013"/>
        <v>KFH-OPERATIONS DEPARTMENT</v>
      </c>
      <c r="F4978" s="1" t="str">
        <f t="shared" si="2014"/>
        <v>IBG</v>
      </c>
      <c r="G4978" s="1" t="str">
        <f t="shared" si="2025"/>
        <v>Refund COSHARE 10</v>
      </c>
      <c r="H4978" s="3">
        <v>923.45</v>
      </c>
      <c r="I4978" s="4" t="str">
        <f>"AWANG MOHD TARMIZI BIN AG TAHIR"</f>
        <v>AWANG MOHD TARMIZI BIN AG TAHIR</v>
      </c>
      <c r="J4978" s="1" t="str">
        <f t="shared" si="2026"/>
        <v>MAYBANK / MAYBANK ISLAMIC</v>
      </c>
      <c r="K4978" s="1" t="str">
        <f>"160037056498"</f>
        <v>160037056498</v>
      </c>
      <c r="L4978" s="1" t="str">
        <f t="shared" si="2035"/>
        <v>04-08-2020</v>
      </c>
      <c r="M4978" s="1" t="str">
        <f t="shared" si="2035"/>
        <v>04-08-2020</v>
      </c>
      <c r="N4978" s="1" t="str">
        <f t="shared" si="2015"/>
        <v>001105018356</v>
      </c>
      <c r="O4978" s="1" t="str">
        <f t="shared" si="2016"/>
        <v>MYR</v>
      </c>
      <c r="P4978" s="1" t="str">
        <f t="shared" si="2036"/>
        <v>NIL</v>
      </c>
      <c r="Q4978" s="1" t="str">
        <f t="shared" si="2036"/>
        <v>NIL</v>
      </c>
      <c r="R4978" s="1" t="str">
        <f t="shared" si="2033"/>
        <v>Unsuccessful</v>
      </c>
      <c r="S4978" s="1" t="str">
        <f t="shared" si="2018"/>
        <v>Approved</v>
      </c>
      <c r="T4978" s="1" t="str">
        <f t="shared" si="2034"/>
        <v>10.20.201.88</v>
      </c>
      <c r="U4978" s="1" t="str">
        <f t="shared" si="2020"/>
        <v>AZRAD UMAR BIN SHAARI</v>
      </c>
      <c r="V4978" s="1" t="str">
        <f t="shared" si="2021"/>
        <v>FARHANA BINTI MUSTAPA</v>
      </c>
      <c r="W4978" s="1" t="str">
        <f t="shared" si="2022"/>
        <v>04-08-2020</v>
      </c>
      <c r="X4978" s="1" t="str">
        <f t="shared" si="2023"/>
        <v>RAZIMAH ANSAR AHMAD</v>
      </c>
      <c r="Y4978" s="1" t="str">
        <f t="shared" si="2024"/>
        <v>04-08-2020</v>
      </c>
      <c r="Z4978" s="1" t="str">
        <f>"COS10200804 4176"</f>
        <v>COS10200804 4176</v>
      </c>
    </row>
    <row r="4979" spans="1:26" s="1" customFormat="1" x14ac:dyDescent="0.25">
      <c r="A4979" s="1" t="str">
        <f t="shared" si="2031"/>
        <v>04-08-2020 12:48:13</v>
      </c>
      <c r="B4979" s="1" t="str">
        <f>"0000805953"</f>
        <v>0000805953</v>
      </c>
      <c r="C4979" s="1" t="str">
        <f t="shared" si="2032"/>
        <v>0000805778</v>
      </c>
      <c r="D4979" s="1" t="str">
        <f t="shared" si="2012"/>
        <v>73185</v>
      </c>
      <c r="E4979" s="1" t="str">
        <f t="shared" si="2013"/>
        <v>KFH-OPERATIONS DEPARTMENT</v>
      </c>
      <c r="F4979" s="1" t="str">
        <f t="shared" si="2014"/>
        <v>IBG</v>
      </c>
      <c r="G4979" s="1" t="str">
        <f t="shared" si="2025"/>
        <v>Refund COSHARE 10</v>
      </c>
      <c r="H4979" s="3">
        <v>873.1</v>
      </c>
      <c r="I4979" s="4" t="str">
        <f>"AWANG KU ASFIA BIN ZANUDIN"</f>
        <v>AWANG KU ASFIA BIN ZANUDIN</v>
      </c>
      <c r="J4979" s="1" t="str">
        <f t="shared" si="2026"/>
        <v>MAYBANK / MAYBANK ISLAMIC</v>
      </c>
      <c r="K4979" s="1" t="str">
        <f>"111114055328"</f>
        <v>111114055328</v>
      </c>
      <c r="L4979" s="1" t="str">
        <f t="shared" si="2035"/>
        <v>04-08-2020</v>
      </c>
      <c r="M4979" s="1" t="str">
        <f t="shared" si="2035"/>
        <v>04-08-2020</v>
      </c>
      <c r="N4979" s="1" t="str">
        <f t="shared" si="2015"/>
        <v>001105018356</v>
      </c>
      <c r="O4979" s="1" t="str">
        <f t="shared" si="2016"/>
        <v>MYR</v>
      </c>
      <c r="P4979" s="1" t="str">
        <f t="shared" si="2036"/>
        <v>NIL</v>
      </c>
      <c r="Q4979" s="1" t="str">
        <f t="shared" si="2036"/>
        <v>NIL</v>
      </c>
      <c r="R4979" s="1" t="str">
        <f t="shared" si="2033"/>
        <v>Unsuccessful</v>
      </c>
      <c r="S4979" s="1" t="str">
        <f t="shared" si="2018"/>
        <v>Approved</v>
      </c>
      <c r="T4979" s="1" t="str">
        <f t="shared" si="2034"/>
        <v>10.20.201.88</v>
      </c>
      <c r="U4979" s="1" t="str">
        <f t="shared" si="2020"/>
        <v>AZRAD UMAR BIN SHAARI</v>
      </c>
      <c r="V4979" s="1" t="str">
        <f t="shared" si="2021"/>
        <v>FARHANA BINTI MUSTAPA</v>
      </c>
      <c r="W4979" s="1" t="str">
        <f t="shared" si="2022"/>
        <v>04-08-2020</v>
      </c>
      <c r="X4979" s="1" t="str">
        <f t="shared" si="2023"/>
        <v>RAZIMAH ANSAR AHMAD</v>
      </c>
      <c r="Y4979" s="1" t="str">
        <f t="shared" si="2024"/>
        <v>04-08-2020</v>
      </c>
      <c r="Z4979" s="1" t="str">
        <f>"COS10200804 4175"</f>
        <v>COS10200804 4175</v>
      </c>
    </row>
    <row r="4980" spans="1:26" s="1" customFormat="1" x14ac:dyDescent="0.25">
      <c r="A4980" s="1" t="str">
        <f t="shared" si="2031"/>
        <v>04-08-2020 12:48:13</v>
      </c>
      <c r="B4980" s="1" t="str">
        <f>"0000805952"</f>
        <v>0000805952</v>
      </c>
      <c r="C4980" s="1" t="str">
        <f t="shared" si="2032"/>
        <v>0000805778</v>
      </c>
      <c r="D4980" s="1" t="str">
        <f t="shared" si="2012"/>
        <v>73185</v>
      </c>
      <c r="E4980" s="1" t="str">
        <f t="shared" si="2013"/>
        <v>KFH-OPERATIONS DEPARTMENT</v>
      </c>
      <c r="F4980" s="1" t="str">
        <f t="shared" si="2014"/>
        <v>IBG</v>
      </c>
      <c r="G4980" s="1" t="str">
        <f t="shared" si="2025"/>
        <v>Refund COSHARE 10</v>
      </c>
      <c r="H4980" s="3">
        <v>162</v>
      </c>
      <c r="I4980" s="4" t="str">
        <f>"AWANG KU ASFIA BIN ZANUDIN"</f>
        <v>AWANG KU ASFIA BIN ZANUDIN</v>
      </c>
      <c r="J4980" s="1" t="str">
        <f t="shared" si="2026"/>
        <v>MAYBANK / MAYBANK ISLAMIC</v>
      </c>
      <c r="K4980" s="1" t="str">
        <f>"111114055328"</f>
        <v>111114055328</v>
      </c>
      <c r="L4980" s="1" t="str">
        <f t="shared" si="2035"/>
        <v>04-08-2020</v>
      </c>
      <c r="M4980" s="1" t="str">
        <f t="shared" si="2035"/>
        <v>04-08-2020</v>
      </c>
      <c r="N4980" s="1" t="str">
        <f t="shared" si="2015"/>
        <v>001105018356</v>
      </c>
      <c r="O4980" s="1" t="str">
        <f t="shared" si="2016"/>
        <v>MYR</v>
      </c>
      <c r="P4980" s="1" t="str">
        <f t="shared" si="2036"/>
        <v>NIL</v>
      </c>
      <c r="Q4980" s="1" t="str">
        <f t="shared" si="2036"/>
        <v>NIL</v>
      </c>
      <c r="R4980" s="1" t="str">
        <f t="shared" si="2033"/>
        <v>Unsuccessful</v>
      </c>
      <c r="S4980" s="1" t="str">
        <f t="shared" si="2018"/>
        <v>Approved</v>
      </c>
      <c r="T4980" s="1" t="str">
        <f t="shared" si="2034"/>
        <v>10.20.201.88</v>
      </c>
      <c r="U4980" s="1" t="str">
        <f t="shared" si="2020"/>
        <v>AZRAD UMAR BIN SHAARI</v>
      </c>
      <c r="V4980" s="1" t="str">
        <f t="shared" si="2021"/>
        <v>FARHANA BINTI MUSTAPA</v>
      </c>
      <c r="W4980" s="1" t="str">
        <f t="shared" si="2022"/>
        <v>04-08-2020</v>
      </c>
      <c r="X4980" s="1" t="str">
        <f t="shared" si="2023"/>
        <v>RAZIMAH ANSAR AHMAD</v>
      </c>
      <c r="Y4980" s="1" t="str">
        <f t="shared" si="2024"/>
        <v>04-08-2020</v>
      </c>
      <c r="Z4980" s="1" t="str">
        <f>"COS10200804 4174"</f>
        <v>COS10200804 4174</v>
      </c>
    </row>
    <row r="4981" spans="1:26" s="1" customFormat="1" x14ac:dyDescent="0.25">
      <c r="A4981" s="1" t="str">
        <f t="shared" si="2031"/>
        <v>04-08-2020 12:48:13</v>
      </c>
      <c r="B4981" s="1" t="str">
        <f>"0000805951"</f>
        <v>0000805951</v>
      </c>
      <c r="C4981" s="1" t="str">
        <f t="shared" si="2032"/>
        <v>0000805778</v>
      </c>
      <c r="D4981" s="1" t="str">
        <f t="shared" si="2012"/>
        <v>73185</v>
      </c>
      <c r="E4981" s="1" t="str">
        <f t="shared" si="2013"/>
        <v>KFH-OPERATIONS DEPARTMENT</v>
      </c>
      <c r="F4981" s="1" t="str">
        <f t="shared" si="2014"/>
        <v>IBG</v>
      </c>
      <c r="G4981" s="1" t="str">
        <f t="shared" si="2025"/>
        <v>Refund COSHARE 10</v>
      </c>
      <c r="H4981" s="3">
        <v>146.55000000000001</v>
      </c>
      <c r="I4981" s="4" t="str">
        <f>"AWANG JAFFRY BIN MOHD SAID"</f>
        <v>AWANG JAFFRY BIN MOHD SAID</v>
      </c>
      <c r="J4981" s="1" t="str">
        <f t="shared" si="2026"/>
        <v>MAYBANK / MAYBANK ISLAMIC</v>
      </c>
      <c r="K4981" s="1" t="str">
        <f>"151191322794"</f>
        <v>151191322794</v>
      </c>
      <c r="L4981" s="1" t="str">
        <f t="shared" si="2035"/>
        <v>04-08-2020</v>
      </c>
      <c r="M4981" s="1" t="str">
        <f t="shared" si="2035"/>
        <v>04-08-2020</v>
      </c>
      <c r="N4981" s="1" t="str">
        <f t="shared" si="2015"/>
        <v>001105018356</v>
      </c>
      <c r="O4981" s="1" t="str">
        <f t="shared" si="2016"/>
        <v>MYR</v>
      </c>
      <c r="P4981" s="1" t="str">
        <f t="shared" si="2036"/>
        <v>NIL</v>
      </c>
      <c r="Q4981" s="1" t="str">
        <f t="shared" si="2036"/>
        <v>NIL</v>
      </c>
      <c r="R4981" s="1" t="str">
        <f t="shared" si="2033"/>
        <v>Unsuccessful</v>
      </c>
      <c r="S4981" s="1" t="str">
        <f t="shared" si="2018"/>
        <v>Approved</v>
      </c>
      <c r="T4981" s="1" t="str">
        <f t="shared" si="2034"/>
        <v>10.20.201.88</v>
      </c>
      <c r="U4981" s="1" t="str">
        <f t="shared" si="2020"/>
        <v>AZRAD UMAR BIN SHAARI</v>
      </c>
      <c r="V4981" s="1" t="str">
        <f t="shared" si="2021"/>
        <v>FARHANA BINTI MUSTAPA</v>
      </c>
      <c r="W4981" s="1" t="str">
        <f t="shared" si="2022"/>
        <v>04-08-2020</v>
      </c>
      <c r="X4981" s="1" t="str">
        <f t="shared" si="2023"/>
        <v>RAZIMAH ANSAR AHMAD</v>
      </c>
      <c r="Y4981" s="1" t="str">
        <f t="shared" si="2024"/>
        <v>04-08-2020</v>
      </c>
      <c r="Z4981" s="1" t="str">
        <f>"COS10200804 4173"</f>
        <v>COS10200804 4173</v>
      </c>
    </row>
    <row r="4982" spans="1:26" s="1" customFormat="1" x14ac:dyDescent="0.25">
      <c r="A4982" s="1" t="str">
        <f t="shared" si="2031"/>
        <v>04-08-2020 12:48:13</v>
      </c>
      <c r="B4982" s="1" t="str">
        <f>"0000805950"</f>
        <v>0000805950</v>
      </c>
      <c r="C4982" s="1" t="str">
        <f t="shared" si="2032"/>
        <v>0000805778</v>
      </c>
      <c r="D4982" s="1" t="str">
        <f t="shared" si="2012"/>
        <v>73185</v>
      </c>
      <c r="E4982" s="1" t="str">
        <f t="shared" si="2013"/>
        <v>KFH-OPERATIONS DEPARTMENT</v>
      </c>
      <c r="F4982" s="1" t="str">
        <f t="shared" si="2014"/>
        <v>IBG</v>
      </c>
      <c r="G4982" s="1" t="str">
        <f t="shared" si="2025"/>
        <v>Refund COSHARE 10</v>
      </c>
      <c r="H4982" s="3">
        <v>343</v>
      </c>
      <c r="I4982" s="4" t="str">
        <f>"AWANG FAUZI BIN AWG MARIKAN"</f>
        <v>AWANG FAUZI BIN AWG MARIKAN</v>
      </c>
      <c r="J4982" s="1" t="str">
        <f t="shared" si="2026"/>
        <v>MAYBANK / MAYBANK ISLAMIC</v>
      </c>
      <c r="K4982" s="1" t="str">
        <f>"161257067289"</f>
        <v>161257067289</v>
      </c>
      <c r="L4982" s="1" t="str">
        <f t="shared" si="2035"/>
        <v>04-08-2020</v>
      </c>
      <c r="M4982" s="1" t="str">
        <f t="shared" si="2035"/>
        <v>04-08-2020</v>
      </c>
      <c r="N4982" s="1" t="str">
        <f t="shared" si="2015"/>
        <v>001105018356</v>
      </c>
      <c r="O4982" s="1" t="str">
        <f t="shared" si="2016"/>
        <v>MYR</v>
      </c>
      <c r="P4982" s="1" t="str">
        <f t="shared" si="2036"/>
        <v>NIL</v>
      </c>
      <c r="Q4982" s="1" t="str">
        <f t="shared" si="2036"/>
        <v>NIL</v>
      </c>
      <c r="R4982" s="1" t="str">
        <f t="shared" si="2033"/>
        <v>Unsuccessful</v>
      </c>
      <c r="S4982" s="1" t="str">
        <f t="shared" si="2018"/>
        <v>Approved</v>
      </c>
      <c r="T4982" s="1" t="str">
        <f t="shared" si="2034"/>
        <v>10.20.201.88</v>
      </c>
      <c r="U4982" s="1" t="str">
        <f t="shared" si="2020"/>
        <v>AZRAD UMAR BIN SHAARI</v>
      </c>
      <c r="V4982" s="1" t="str">
        <f t="shared" si="2021"/>
        <v>FARHANA BINTI MUSTAPA</v>
      </c>
      <c r="W4982" s="1" t="str">
        <f t="shared" si="2022"/>
        <v>04-08-2020</v>
      </c>
      <c r="X4982" s="1" t="str">
        <f t="shared" si="2023"/>
        <v>RAZIMAH ANSAR AHMAD</v>
      </c>
      <c r="Y4982" s="1" t="str">
        <f t="shared" si="2024"/>
        <v>04-08-2020</v>
      </c>
      <c r="Z4982" s="1" t="str">
        <f>"COS10200804 4172"</f>
        <v>COS10200804 4172</v>
      </c>
    </row>
    <row r="4983" spans="1:26" s="1" customFormat="1" x14ac:dyDescent="0.25">
      <c r="A4983" s="1" t="str">
        <f t="shared" si="2031"/>
        <v>04-08-2020 12:48:13</v>
      </c>
      <c r="B4983" s="1" t="str">
        <f>"0000805949"</f>
        <v>0000805949</v>
      </c>
      <c r="C4983" s="1" t="str">
        <f t="shared" si="2032"/>
        <v>0000805778</v>
      </c>
      <c r="D4983" s="1" t="str">
        <f t="shared" si="2012"/>
        <v>73185</v>
      </c>
      <c r="E4983" s="1" t="str">
        <f t="shared" si="2013"/>
        <v>KFH-OPERATIONS DEPARTMENT</v>
      </c>
      <c r="F4983" s="1" t="str">
        <f t="shared" si="2014"/>
        <v>IBG</v>
      </c>
      <c r="G4983" s="1" t="str">
        <f t="shared" si="2025"/>
        <v>Refund COSHARE 10</v>
      </c>
      <c r="H4983" s="3">
        <v>381.3</v>
      </c>
      <c r="I4983" s="4" t="str">
        <f>"AWANG ABDULLAH BIN YAAKOB"</f>
        <v>AWANG ABDULLAH BIN YAAKOB</v>
      </c>
      <c r="J4983" s="1" t="str">
        <f t="shared" si="2026"/>
        <v>MAYBANK / MAYBANK ISLAMIC</v>
      </c>
      <c r="K4983" s="1" t="str">
        <f>"114253177362"</f>
        <v>114253177362</v>
      </c>
      <c r="L4983" s="1" t="str">
        <f t="shared" si="2035"/>
        <v>04-08-2020</v>
      </c>
      <c r="M4983" s="1" t="str">
        <f t="shared" si="2035"/>
        <v>04-08-2020</v>
      </c>
      <c r="N4983" s="1" t="str">
        <f t="shared" si="2015"/>
        <v>001105018356</v>
      </c>
      <c r="O4983" s="1" t="str">
        <f t="shared" si="2016"/>
        <v>MYR</v>
      </c>
      <c r="P4983" s="1" t="str">
        <f t="shared" si="2036"/>
        <v>NIL</v>
      </c>
      <c r="Q4983" s="1" t="str">
        <f t="shared" si="2036"/>
        <v>NIL</v>
      </c>
      <c r="R4983" s="1" t="str">
        <f t="shared" si="2033"/>
        <v>Unsuccessful</v>
      </c>
      <c r="S4983" s="1" t="str">
        <f t="shared" si="2018"/>
        <v>Approved</v>
      </c>
      <c r="T4983" s="1" t="str">
        <f t="shared" si="2034"/>
        <v>10.20.201.88</v>
      </c>
      <c r="U4983" s="1" t="str">
        <f t="shared" si="2020"/>
        <v>AZRAD UMAR BIN SHAARI</v>
      </c>
      <c r="V4983" s="1" t="str">
        <f t="shared" si="2021"/>
        <v>FARHANA BINTI MUSTAPA</v>
      </c>
      <c r="W4983" s="1" t="str">
        <f t="shared" si="2022"/>
        <v>04-08-2020</v>
      </c>
      <c r="X4983" s="1" t="str">
        <f t="shared" si="2023"/>
        <v>RAZIMAH ANSAR AHMAD</v>
      </c>
      <c r="Y4983" s="1" t="str">
        <f t="shared" si="2024"/>
        <v>04-08-2020</v>
      </c>
      <c r="Z4983" s="1" t="str">
        <f>"COS10200804 4171"</f>
        <v>COS10200804 4171</v>
      </c>
    </row>
    <row r="4984" spans="1:26" s="1" customFormat="1" x14ac:dyDescent="0.25">
      <c r="A4984" s="1" t="str">
        <f t="shared" si="2031"/>
        <v>04-08-2020 12:48:13</v>
      </c>
      <c r="B4984" s="1" t="str">
        <f>"0000805948"</f>
        <v>0000805948</v>
      </c>
      <c r="C4984" s="1" t="str">
        <f t="shared" si="2032"/>
        <v>0000805778</v>
      </c>
      <c r="D4984" s="1" t="str">
        <f t="shared" si="2012"/>
        <v>73185</v>
      </c>
      <c r="E4984" s="1" t="str">
        <f t="shared" si="2013"/>
        <v>KFH-OPERATIONS DEPARTMENT</v>
      </c>
      <c r="F4984" s="1" t="str">
        <f t="shared" si="2014"/>
        <v>IBG</v>
      </c>
      <c r="G4984" s="1" t="str">
        <f t="shared" si="2025"/>
        <v>Refund COSHARE 10</v>
      </c>
      <c r="H4984" s="3">
        <v>44.35</v>
      </c>
      <c r="I4984" s="4" t="str">
        <f>"AUN BIN NUALI"</f>
        <v>AUN BIN NUALI</v>
      </c>
      <c r="J4984" s="1" t="str">
        <f t="shared" si="2026"/>
        <v>MAYBANK / MAYBANK ISLAMIC</v>
      </c>
      <c r="K4984" s="1" t="str">
        <f>"165125192783"</f>
        <v>165125192783</v>
      </c>
      <c r="L4984" s="1" t="str">
        <f t="shared" si="2035"/>
        <v>04-08-2020</v>
      </c>
      <c r="M4984" s="1" t="str">
        <f t="shared" si="2035"/>
        <v>04-08-2020</v>
      </c>
      <c r="N4984" s="1" t="str">
        <f t="shared" si="2015"/>
        <v>001105018356</v>
      </c>
      <c r="O4984" s="1" t="str">
        <f t="shared" si="2016"/>
        <v>MYR</v>
      </c>
      <c r="P4984" s="1" t="str">
        <f t="shared" si="2036"/>
        <v>NIL</v>
      </c>
      <c r="Q4984" s="1" t="str">
        <f t="shared" si="2036"/>
        <v>NIL</v>
      </c>
      <c r="R4984" s="1" t="str">
        <f t="shared" si="2033"/>
        <v>Unsuccessful</v>
      </c>
      <c r="S4984" s="1" t="str">
        <f t="shared" si="2018"/>
        <v>Approved</v>
      </c>
      <c r="T4984" s="1" t="str">
        <f t="shared" si="2034"/>
        <v>10.20.201.88</v>
      </c>
      <c r="U4984" s="1" t="str">
        <f t="shared" si="2020"/>
        <v>AZRAD UMAR BIN SHAARI</v>
      </c>
      <c r="V4984" s="1" t="str">
        <f t="shared" si="2021"/>
        <v>FARHANA BINTI MUSTAPA</v>
      </c>
      <c r="W4984" s="1" t="str">
        <f t="shared" si="2022"/>
        <v>04-08-2020</v>
      </c>
      <c r="X4984" s="1" t="str">
        <f t="shared" si="2023"/>
        <v>RAZIMAH ANSAR AHMAD</v>
      </c>
      <c r="Y4984" s="1" t="str">
        <f t="shared" si="2024"/>
        <v>04-08-2020</v>
      </c>
      <c r="Z4984" s="1" t="str">
        <f>"COS10200804 4170"</f>
        <v>COS10200804 4170</v>
      </c>
    </row>
    <row r="4985" spans="1:26" s="1" customFormat="1" x14ac:dyDescent="0.25">
      <c r="A4985" s="1" t="str">
        <f t="shared" si="2031"/>
        <v>04-08-2020 12:48:13</v>
      </c>
      <c r="B4985" s="1" t="str">
        <f>"0000805947"</f>
        <v>0000805947</v>
      </c>
      <c r="C4985" s="1" t="str">
        <f t="shared" si="2032"/>
        <v>0000805778</v>
      </c>
      <c r="D4985" s="1" t="str">
        <f t="shared" si="2012"/>
        <v>73185</v>
      </c>
      <c r="E4985" s="1" t="str">
        <f t="shared" si="2013"/>
        <v>KFH-OPERATIONS DEPARTMENT</v>
      </c>
      <c r="F4985" s="1" t="str">
        <f t="shared" si="2014"/>
        <v>IBG</v>
      </c>
      <c r="G4985" s="1" t="str">
        <f t="shared" si="2025"/>
        <v>Refund COSHARE 10</v>
      </c>
      <c r="H4985" s="3">
        <v>152</v>
      </c>
      <c r="I4985" s="4" t="str">
        <f>"ATIQAH BINTI ZAINAL ABIDIN"</f>
        <v>ATIQAH BINTI ZAINAL ABIDIN</v>
      </c>
      <c r="J4985" s="1" t="str">
        <f t="shared" si="2026"/>
        <v>MAYBANK / MAYBANK ISLAMIC</v>
      </c>
      <c r="K4985" s="1" t="str">
        <f>"162179647856"</f>
        <v>162179647856</v>
      </c>
      <c r="L4985" s="1" t="str">
        <f t="shared" si="2035"/>
        <v>04-08-2020</v>
      </c>
      <c r="M4985" s="1" t="str">
        <f t="shared" si="2035"/>
        <v>04-08-2020</v>
      </c>
      <c r="N4985" s="1" t="str">
        <f t="shared" si="2015"/>
        <v>001105018356</v>
      </c>
      <c r="O4985" s="1" t="str">
        <f t="shared" si="2016"/>
        <v>MYR</v>
      </c>
      <c r="P4985" s="1" t="str">
        <f t="shared" si="2036"/>
        <v>NIL</v>
      </c>
      <c r="Q4985" s="1" t="str">
        <f t="shared" si="2036"/>
        <v>NIL</v>
      </c>
      <c r="R4985" s="1" t="str">
        <f t="shared" si="2033"/>
        <v>Unsuccessful</v>
      </c>
      <c r="S4985" s="1" t="str">
        <f t="shared" si="2018"/>
        <v>Approved</v>
      </c>
      <c r="T4985" s="1" t="str">
        <f t="shared" si="2034"/>
        <v>10.20.201.88</v>
      </c>
      <c r="U4985" s="1" t="str">
        <f t="shared" si="2020"/>
        <v>AZRAD UMAR BIN SHAARI</v>
      </c>
      <c r="V4985" s="1" t="str">
        <f t="shared" si="2021"/>
        <v>FARHANA BINTI MUSTAPA</v>
      </c>
      <c r="W4985" s="1" t="str">
        <f t="shared" si="2022"/>
        <v>04-08-2020</v>
      </c>
      <c r="X4985" s="1" t="str">
        <f t="shared" si="2023"/>
        <v>RAZIMAH ANSAR AHMAD</v>
      </c>
      <c r="Y4985" s="1" t="str">
        <f t="shared" si="2024"/>
        <v>04-08-2020</v>
      </c>
      <c r="Z4985" s="1" t="str">
        <f>"COS10200804 4169"</f>
        <v>COS10200804 4169</v>
      </c>
    </row>
    <row r="4986" spans="1:26" s="1" customFormat="1" x14ac:dyDescent="0.25">
      <c r="A4986" s="1" t="str">
        <f t="shared" ref="A4986:A5017" si="2037">"04-08-2020 12:48:13"</f>
        <v>04-08-2020 12:48:13</v>
      </c>
      <c r="B4986" s="1" t="str">
        <f>"0000805946"</f>
        <v>0000805946</v>
      </c>
      <c r="C4986" s="1" t="str">
        <f t="shared" ref="C4986:C5017" si="2038">"0000805778"</f>
        <v>0000805778</v>
      </c>
      <c r="D4986" s="1" t="str">
        <f t="shared" si="2012"/>
        <v>73185</v>
      </c>
      <c r="E4986" s="1" t="str">
        <f t="shared" si="2013"/>
        <v>KFH-OPERATIONS DEPARTMENT</v>
      </c>
      <c r="F4986" s="1" t="str">
        <f t="shared" si="2014"/>
        <v>IBG</v>
      </c>
      <c r="G4986" s="1" t="str">
        <f t="shared" si="2025"/>
        <v>Refund COSHARE 10</v>
      </c>
      <c r="H4986" s="3">
        <v>545.70000000000005</v>
      </c>
      <c r="I4986" s="4" t="str">
        <f>"ASWADI BIN HASAN"</f>
        <v>ASWADI BIN HASAN</v>
      </c>
      <c r="J4986" s="1" t="str">
        <f t="shared" si="2026"/>
        <v>MAYBANK / MAYBANK ISLAMIC</v>
      </c>
      <c r="K4986" s="1" t="str">
        <f>"101133063711"</f>
        <v>101133063711</v>
      </c>
      <c r="L4986" s="1" t="str">
        <f t="shared" si="2035"/>
        <v>04-08-2020</v>
      </c>
      <c r="M4986" s="1" t="str">
        <f t="shared" si="2035"/>
        <v>04-08-2020</v>
      </c>
      <c r="N4986" s="1" t="str">
        <f t="shared" si="2015"/>
        <v>001105018356</v>
      </c>
      <c r="O4986" s="1" t="str">
        <f t="shared" si="2016"/>
        <v>MYR</v>
      </c>
      <c r="P4986" s="1" t="str">
        <f t="shared" si="2036"/>
        <v>NIL</v>
      </c>
      <c r="Q4986" s="1" t="str">
        <f t="shared" si="2036"/>
        <v>NIL</v>
      </c>
      <c r="R4986" s="1" t="str">
        <f t="shared" ref="R4986:R5017" si="2039">"Unsuccessful"</f>
        <v>Unsuccessful</v>
      </c>
      <c r="S4986" s="1" t="str">
        <f t="shared" si="2018"/>
        <v>Approved</v>
      </c>
      <c r="T4986" s="1" t="str">
        <f t="shared" ref="T4986:T5017" si="2040">"10.20.201.88"</f>
        <v>10.20.201.88</v>
      </c>
      <c r="U4986" s="1" t="str">
        <f t="shared" si="2020"/>
        <v>AZRAD UMAR BIN SHAARI</v>
      </c>
      <c r="V4986" s="1" t="str">
        <f t="shared" si="2021"/>
        <v>FARHANA BINTI MUSTAPA</v>
      </c>
      <c r="W4986" s="1" t="str">
        <f t="shared" si="2022"/>
        <v>04-08-2020</v>
      </c>
      <c r="X4986" s="1" t="str">
        <f t="shared" si="2023"/>
        <v>RAZIMAH ANSAR AHMAD</v>
      </c>
      <c r="Y4986" s="1" t="str">
        <f t="shared" si="2024"/>
        <v>04-08-2020</v>
      </c>
      <c r="Z4986" s="1" t="str">
        <f>"COS10200804 4168"</f>
        <v>COS10200804 4168</v>
      </c>
    </row>
    <row r="4987" spans="1:26" s="1" customFormat="1" x14ac:dyDescent="0.25">
      <c r="A4987" s="1" t="str">
        <f t="shared" si="2037"/>
        <v>04-08-2020 12:48:13</v>
      </c>
      <c r="B4987" s="1" t="str">
        <f>"0000805945"</f>
        <v>0000805945</v>
      </c>
      <c r="C4987" s="1" t="str">
        <f t="shared" si="2038"/>
        <v>0000805778</v>
      </c>
      <c r="D4987" s="1" t="str">
        <f t="shared" si="2012"/>
        <v>73185</v>
      </c>
      <c r="E4987" s="1" t="str">
        <f t="shared" si="2013"/>
        <v>KFH-OPERATIONS DEPARTMENT</v>
      </c>
      <c r="F4987" s="1" t="str">
        <f t="shared" si="2014"/>
        <v>IBG</v>
      </c>
      <c r="G4987" s="1" t="str">
        <f t="shared" si="2025"/>
        <v>Refund COSHARE 10</v>
      </c>
      <c r="H4987" s="3">
        <v>134.35</v>
      </c>
      <c r="I4987" s="4" t="str">
        <f>"ASRUL IZUAN BIN HASMIN"</f>
        <v>ASRUL IZUAN BIN HASMIN</v>
      </c>
      <c r="J4987" s="1" t="str">
        <f t="shared" si="2026"/>
        <v>MAYBANK / MAYBANK ISLAMIC</v>
      </c>
      <c r="K4987" s="1" t="str">
        <f>"151155024598"</f>
        <v>151155024598</v>
      </c>
      <c r="L4987" s="1" t="str">
        <f t="shared" ref="L4987:M5006" si="2041">"04-08-2020"</f>
        <v>04-08-2020</v>
      </c>
      <c r="M4987" s="1" t="str">
        <f t="shared" si="2041"/>
        <v>04-08-2020</v>
      </c>
      <c r="N4987" s="1" t="str">
        <f t="shared" si="2015"/>
        <v>001105018356</v>
      </c>
      <c r="O4987" s="1" t="str">
        <f t="shared" si="2016"/>
        <v>MYR</v>
      </c>
      <c r="P4987" s="1" t="str">
        <f t="shared" ref="P4987:Q5006" si="2042">"NIL"</f>
        <v>NIL</v>
      </c>
      <c r="Q4987" s="1" t="str">
        <f t="shared" si="2042"/>
        <v>NIL</v>
      </c>
      <c r="R4987" s="1" t="str">
        <f t="shared" si="2039"/>
        <v>Unsuccessful</v>
      </c>
      <c r="S4987" s="1" t="str">
        <f t="shared" si="2018"/>
        <v>Approved</v>
      </c>
      <c r="T4987" s="1" t="str">
        <f t="shared" si="2040"/>
        <v>10.20.201.88</v>
      </c>
      <c r="U4987" s="1" t="str">
        <f t="shared" si="2020"/>
        <v>AZRAD UMAR BIN SHAARI</v>
      </c>
      <c r="V4987" s="1" t="str">
        <f t="shared" si="2021"/>
        <v>FARHANA BINTI MUSTAPA</v>
      </c>
      <c r="W4987" s="1" t="str">
        <f t="shared" si="2022"/>
        <v>04-08-2020</v>
      </c>
      <c r="X4987" s="1" t="str">
        <f t="shared" si="2023"/>
        <v>RAZIMAH ANSAR AHMAD</v>
      </c>
      <c r="Y4987" s="1" t="str">
        <f t="shared" si="2024"/>
        <v>04-08-2020</v>
      </c>
      <c r="Z4987" s="1" t="str">
        <f>"COS10200804 4167"</f>
        <v>COS10200804 4167</v>
      </c>
    </row>
    <row r="4988" spans="1:26" s="1" customFormat="1" x14ac:dyDescent="0.25">
      <c r="A4988" s="1" t="str">
        <f t="shared" si="2037"/>
        <v>04-08-2020 12:48:13</v>
      </c>
      <c r="B4988" s="1" t="str">
        <f>"0000805944"</f>
        <v>0000805944</v>
      </c>
      <c r="C4988" s="1" t="str">
        <f t="shared" si="2038"/>
        <v>0000805778</v>
      </c>
      <c r="D4988" s="1" t="str">
        <f t="shared" si="2012"/>
        <v>73185</v>
      </c>
      <c r="E4988" s="1" t="str">
        <f t="shared" si="2013"/>
        <v>KFH-OPERATIONS DEPARTMENT</v>
      </c>
      <c r="F4988" s="1" t="str">
        <f t="shared" si="2014"/>
        <v>IBG</v>
      </c>
      <c r="G4988" s="1" t="str">
        <f t="shared" si="2025"/>
        <v>Refund COSHARE 10</v>
      </c>
      <c r="H4988" s="3">
        <v>965.45</v>
      </c>
      <c r="I4988" s="4" t="str">
        <f>"ASRUL IZEHAM BIN YACOB"</f>
        <v>ASRUL IZEHAM BIN YACOB</v>
      </c>
      <c r="J4988" s="1" t="str">
        <f t="shared" si="2026"/>
        <v>MAYBANK / MAYBANK ISLAMIC</v>
      </c>
      <c r="K4988" s="1" t="str">
        <f>"166010180248"</f>
        <v>166010180248</v>
      </c>
      <c r="L4988" s="1" t="str">
        <f t="shared" si="2041"/>
        <v>04-08-2020</v>
      </c>
      <c r="M4988" s="1" t="str">
        <f t="shared" si="2041"/>
        <v>04-08-2020</v>
      </c>
      <c r="N4988" s="1" t="str">
        <f t="shared" si="2015"/>
        <v>001105018356</v>
      </c>
      <c r="O4988" s="1" t="str">
        <f t="shared" si="2016"/>
        <v>MYR</v>
      </c>
      <c r="P4988" s="1" t="str">
        <f t="shared" si="2042"/>
        <v>NIL</v>
      </c>
      <c r="Q4988" s="1" t="str">
        <f t="shared" si="2042"/>
        <v>NIL</v>
      </c>
      <c r="R4988" s="1" t="str">
        <f t="shared" si="2039"/>
        <v>Unsuccessful</v>
      </c>
      <c r="S4988" s="1" t="str">
        <f t="shared" si="2018"/>
        <v>Approved</v>
      </c>
      <c r="T4988" s="1" t="str">
        <f t="shared" si="2040"/>
        <v>10.20.201.88</v>
      </c>
      <c r="U4988" s="1" t="str">
        <f t="shared" si="2020"/>
        <v>AZRAD UMAR BIN SHAARI</v>
      </c>
      <c r="V4988" s="1" t="str">
        <f t="shared" si="2021"/>
        <v>FARHANA BINTI MUSTAPA</v>
      </c>
      <c r="W4988" s="1" t="str">
        <f t="shared" si="2022"/>
        <v>04-08-2020</v>
      </c>
      <c r="X4988" s="1" t="str">
        <f t="shared" si="2023"/>
        <v>RAZIMAH ANSAR AHMAD</v>
      </c>
      <c r="Y4988" s="1" t="str">
        <f t="shared" si="2024"/>
        <v>04-08-2020</v>
      </c>
      <c r="Z4988" s="1" t="str">
        <f>"COS10200804 4166"</f>
        <v>COS10200804 4166</v>
      </c>
    </row>
    <row r="4989" spans="1:26" s="1" customFormat="1" x14ac:dyDescent="0.25">
      <c r="A4989" s="1" t="str">
        <f t="shared" si="2037"/>
        <v>04-08-2020 12:48:13</v>
      </c>
      <c r="B4989" s="1" t="str">
        <f>"0000805943"</f>
        <v>0000805943</v>
      </c>
      <c r="C4989" s="1" t="str">
        <f t="shared" si="2038"/>
        <v>0000805778</v>
      </c>
      <c r="D4989" s="1" t="str">
        <f t="shared" si="2012"/>
        <v>73185</v>
      </c>
      <c r="E4989" s="1" t="str">
        <f t="shared" si="2013"/>
        <v>KFH-OPERATIONS DEPARTMENT</v>
      </c>
      <c r="F4989" s="1" t="str">
        <f t="shared" si="2014"/>
        <v>IBG</v>
      </c>
      <c r="G4989" s="1" t="str">
        <f t="shared" si="2025"/>
        <v>Refund COSHARE 10</v>
      </c>
      <c r="H4989" s="3">
        <v>1208.9000000000001</v>
      </c>
      <c r="I4989" s="4" t="str">
        <f>"ASRUL BIN ZAKARIA"</f>
        <v>ASRUL BIN ZAKARIA</v>
      </c>
      <c r="J4989" s="1" t="str">
        <f t="shared" si="2026"/>
        <v>MAYBANK / MAYBANK ISLAMIC</v>
      </c>
      <c r="K4989" s="1" t="str">
        <f>"108029592504"</f>
        <v>108029592504</v>
      </c>
      <c r="L4989" s="1" t="str">
        <f t="shared" si="2041"/>
        <v>04-08-2020</v>
      </c>
      <c r="M4989" s="1" t="str">
        <f t="shared" si="2041"/>
        <v>04-08-2020</v>
      </c>
      <c r="N4989" s="1" t="str">
        <f t="shared" si="2015"/>
        <v>001105018356</v>
      </c>
      <c r="O4989" s="1" t="str">
        <f t="shared" si="2016"/>
        <v>MYR</v>
      </c>
      <c r="P4989" s="1" t="str">
        <f t="shared" si="2042"/>
        <v>NIL</v>
      </c>
      <c r="Q4989" s="1" t="str">
        <f t="shared" si="2042"/>
        <v>NIL</v>
      </c>
      <c r="R4989" s="1" t="str">
        <f t="shared" si="2039"/>
        <v>Unsuccessful</v>
      </c>
      <c r="S4989" s="1" t="str">
        <f t="shared" si="2018"/>
        <v>Approved</v>
      </c>
      <c r="T4989" s="1" t="str">
        <f t="shared" si="2040"/>
        <v>10.20.201.88</v>
      </c>
      <c r="U4989" s="1" t="str">
        <f t="shared" si="2020"/>
        <v>AZRAD UMAR BIN SHAARI</v>
      </c>
      <c r="V4989" s="1" t="str">
        <f t="shared" si="2021"/>
        <v>FARHANA BINTI MUSTAPA</v>
      </c>
      <c r="W4989" s="1" t="str">
        <f t="shared" si="2022"/>
        <v>04-08-2020</v>
      </c>
      <c r="X4989" s="1" t="str">
        <f t="shared" si="2023"/>
        <v>RAZIMAH ANSAR AHMAD</v>
      </c>
      <c r="Y4989" s="1" t="str">
        <f t="shared" si="2024"/>
        <v>04-08-2020</v>
      </c>
      <c r="Z4989" s="1" t="str">
        <f>"COS10200804 4165"</f>
        <v>COS10200804 4165</v>
      </c>
    </row>
    <row r="4990" spans="1:26" s="1" customFormat="1" x14ac:dyDescent="0.25">
      <c r="A4990" s="1" t="str">
        <f t="shared" si="2037"/>
        <v>04-08-2020 12:48:13</v>
      </c>
      <c r="B4990" s="1" t="str">
        <f>"0000805942"</f>
        <v>0000805942</v>
      </c>
      <c r="C4990" s="1" t="str">
        <f t="shared" si="2038"/>
        <v>0000805778</v>
      </c>
      <c r="D4990" s="1" t="str">
        <f t="shared" si="2012"/>
        <v>73185</v>
      </c>
      <c r="E4990" s="1" t="str">
        <f t="shared" si="2013"/>
        <v>KFH-OPERATIONS DEPARTMENT</v>
      </c>
      <c r="F4990" s="1" t="str">
        <f t="shared" si="2014"/>
        <v>IBG</v>
      </c>
      <c r="G4990" s="1" t="str">
        <f t="shared" si="2025"/>
        <v>Refund COSHARE 10</v>
      </c>
      <c r="H4990" s="3">
        <v>680</v>
      </c>
      <c r="I4990" s="4" t="str">
        <f>"ASRUL BIN JUMANI"</f>
        <v>ASRUL BIN JUMANI</v>
      </c>
      <c r="J4990" s="1" t="str">
        <f t="shared" si="2026"/>
        <v>MAYBANK / MAYBANK ISLAMIC</v>
      </c>
      <c r="K4990" s="1" t="str">
        <f>"162508113623"</f>
        <v>162508113623</v>
      </c>
      <c r="L4990" s="1" t="str">
        <f t="shared" si="2041"/>
        <v>04-08-2020</v>
      </c>
      <c r="M4990" s="1" t="str">
        <f t="shared" si="2041"/>
        <v>04-08-2020</v>
      </c>
      <c r="N4990" s="1" t="str">
        <f t="shared" si="2015"/>
        <v>001105018356</v>
      </c>
      <c r="O4990" s="1" t="str">
        <f t="shared" si="2016"/>
        <v>MYR</v>
      </c>
      <c r="P4990" s="1" t="str">
        <f t="shared" si="2042"/>
        <v>NIL</v>
      </c>
      <c r="Q4990" s="1" t="str">
        <f t="shared" si="2042"/>
        <v>NIL</v>
      </c>
      <c r="R4990" s="1" t="str">
        <f t="shared" si="2039"/>
        <v>Unsuccessful</v>
      </c>
      <c r="S4990" s="1" t="str">
        <f t="shared" si="2018"/>
        <v>Approved</v>
      </c>
      <c r="T4990" s="1" t="str">
        <f t="shared" si="2040"/>
        <v>10.20.201.88</v>
      </c>
      <c r="U4990" s="1" t="str">
        <f t="shared" si="2020"/>
        <v>AZRAD UMAR BIN SHAARI</v>
      </c>
      <c r="V4990" s="1" t="str">
        <f t="shared" si="2021"/>
        <v>FARHANA BINTI MUSTAPA</v>
      </c>
      <c r="W4990" s="1" t="str">
        <f t="shared" si="2022"/>
        <v>04-08-2020</v>
      </c>
      <c r="X4990" s="1" t="str">
        <f t="shared" si="2023"/>
        <v>RAZIMAH ANSAR AHMAD</v>
      </c>
      <c r="Y4990" s="1" t="str">
        <f t="shared" si="2024"/>
        <v>04-08-2020</v>
      </c>
      <c r="Z4990" s="1" t="str">
        <f>"COS10200804 4164"</f>
        <v>COS10200804 4164</v>
      </c>
    </row>
    <row r="4991" spans="1:26" s="1" customFormat="1" x14ac:dyDescent="0.25">
      <c r="A4991" s="1" t="str">
        <f t="shared" si="2037"/>
        <v>04-08-2020 12:48:13</v>
      </c>
      <c r="B4991" s="1" t="str">
        <f>"0000805941"</f>
        <v>0000805941</v>
      </c>
      <c r="C4991" s="1" t="str">
        <f t="shared" si="2038"/>
        <v>0000805778</v>
      </c>
      <c r="D4991" s="1" t="str">
        <f t="shared" si="2012"/>
        <v>73185</v>
      </c>
      <c r="E4991" s="1" t="str">
        <f t="shared" si="2013"/>
        <v>KFH-OPERATIONS DEPARTMENT</v>
      </c>
      <c r="F4991" s="1" t="str">
        <f t="shared" si="2014"/>
        <v>IBG</v>
      </c>
      <c r="G4991" s="1" t="str">
        <f t="shared" si="2025"/>
        <v>Refund COSHARE 10</v>
      </c>
      <c r="H4991" s="3">
        <v>352.6</v>
      </c>
      <c r="I4991" s="4" t="str">
        <f>"ASROL AFFANDI BIN ABDUL KADIR"</f>
        <v>ASROL AFFANDI BIN ABDUL KADIR</v>
      </c>
      <c r="J4991" s="1" t="str">
        <f t="shared" si="2026"/>
        <v>MAYBANK / MAYBANK ISLAMIC</v>
      </c>
      <c r="K4991" s="1" t="str">
        <f>"155014901567"</f>
        <v>155014901567</v>
      </c>
      <c r="L4991" s="1" t="str">
        <f t="shared" si="2041"/>
        <v>04-08-2020</v>
      </c>
      <c r="M4991" s="1" t="str">
        <f t="shared" si="2041"/>
        <v>04-08-2020</v>
      </c>
      <c r="N4991" s="1" t="str">
        <f t="shared" si="2015"/>
        <v>001105018356</v>
      </c>
      <c r="O4991" s="1" t="str">
        <f t="shared" si="2016"/>
        <v>MYR</v>
      </c>
      <c r="P4991" s="1" t="str">
        <f t="shared" si="2042"/>
        <v>NIL</v>
      </c>
      <c r="Q4991" s="1" t="str">
        <f t="shared" si="2042"/>
        <v>NIL</v>
      </c>
      <c r="R4991" s="1" t="str">
        <f t="shared" si="2039"/>
        <v>Unsuccessful</v>
      </c>
      <c r="S4991" s="1" t="str">
        <f t="shared" si="2018"/>
        <v>Approved</v>
      </c>
      <c r="T4991" s="1" t="str">
        <f t="shared" si="2040"/>
        <v>10.20.201.88</v>
      </c>
      <c r="U4991" s="1" t="str">
        <f t="shared" si="2020"/>
        <v>AZRAD UMAR BIN SHAARI</v>
      </c>
      <c r="V4991" s="1" t="str">
        <f t="shared" si="2021"/>
        <v>FARHANA BINTI MUSTAPA</v>
      </c>
      <c r="W4991" s="1" t="str">
        <f t="shared" si="2022"/>
        <v>04-08-2020</v>
      </c>
      <c r="X4991" s="1" t="str">
        <f t="shared" si="2023"/>
        <v>RAZIMAH ANSAR AHMAD</v>
      </c>
      <c r="Y4991" s="1" t="str">
        <f t="shared" si="2024"/>
        <v>04-08-2020</v>
      </c>
      <c r="Z4991" s="1" t="str">
        <f>"COS10200804 4163"</f>
        <v>COS10200804 4163</v>
      </c>
    </row>
    <row r="4992" spans="1:26" s="1" customFormat="1" x14ac:dyDescent="0.25">
      <c r="A4992" s="1" t="str">
        <f t="shared" si="2037"/>
        <v>04-08-2020 12:48:13</v>
      </c>
      <c r="B4992" s="1" t="str">
        <f>"0000805940"</f>
        <v>0000805940</v>
      </c>
      <c r="C4992" s="1" t="str">
        <f t="shared" si="2038"/>
        <v>0000805778</v>
      </c>
      <c r="D4992" s="1" t="str">
        <f t="shared" si="2012"/>
        <v>73185</v>
      </c>
      <c r="E4992" s="1" t="str">
        <f t="shared" si="2013"/>
        <v>KFH-OPERATIONS DEPARTMENT</v>
      </c>
      <c r="F4992" s="1" t="str">
        <f t="shared" si="2014"/>
        <v>IBG</v>
      </c>
      <c r="G4992" s="1" t="str">
        <f t="shared" si="2025"/>
        <v>Refund COSHARE 10</v>
      </c>
      <c r="H4992" s="3">
        <v>864.7</v>
      </c>
      <c r="I4992" s="4" t="str">
        <f>"ASRIFUL NAZMAN BIN ITHNIN"</f>
        <v>ASRIFUL NAZMAN BIN ITHNIN</v>
      </c>
      <c r="J4992" s="1" t="str">
        <f t="shared" si="2026"/>
        <v>MAYBANK / MAYBANK ISLAMIC</v>
      </c>
      <c r="K4992" s="1" t="str">
        <f>"101217442251"</f>
        <v>101217442251</v>
      </c>
      <c r="L4992" s="1" t="str">
        <f t="shared" si="2041"/>
        <v>04-08-2020</v>
      </c>
      <c r="M4992" s="1" t="str">
        <f t="shared" si="2041"/>
        <v>04-08-2020</v>
      </c>
      <c r="N4992" s="1" t="str">
        <f t="shared" si="2015"/>
        <v>001105018356</v>
      </c>
      <c r="O4992" s="1" t="str">
        <f t="shared" si="2016"/>
        <v>MYR</v>
      </c>
      <c r="P4992" s="1" t="str">
        <f t="shared" si="2042"/>
        <v>NIL</v>
      </c>
      <c r="Q4992" s="1" t="str">
        <f t="shared" si="2042"/>
        <v>NIL</v>
      </c>
      <c r="R4992" s="1" t="str">
        <f t="shared" si="2039"/>
        <v>Unsuccessful</v>
      </c>
      <c r="S4992" s="1" t="str">
        <f t="shared" si="2018"/>
        <v>Approved</v>
      </c>
      <c r="T4992" s="1" t="str">
        <f t="shared" si="2040"/>
        <v>10.20.201.88</v>
      </c>
      <c r="U4992" s="1" t="str">
        <f t="shared" si="2020"/>
        <v>AZRAD UMAR BIN SHAARI</v>
      </c>
      <c r="V4992" s="1" t="str">
        <f t="shared" si="2021"/>
        <v>FARHANA BINTI MUSTAPA</v>
      </c>
      <c r="W4992" s="1" t="str">
        <f t="shared" si="2022"/>
        <v>04-08-2020</v>
      </c>
      <c r="X4992" s="1" t="str">
        <f t="shared" si="2023"/>
        <v>RAZIMAH ANSAR AHMAD</v>
      </c>
      <c r="Y4992" s="1" t="str">
        <f t="shared" si="2024"/>
        <v>04-08-2020</v>
      </c>
      <c r="Z4992" s="1" t="str">
        <f>"COS10200804 4162"</f>
        <v>COS10200804 4162</v>
      </c>
    </row>
    <row r="4993" spans="1:26" s="1" customFormat="1" x14ac:dyDescent="0.25">
      <c r="A4993" s="1" t="str">
        <f t="shared" si="2037"/>
        <v>04-08-2020 12:48:13</v>
      </c>
      <c r="B4993" s="1" t="str">
        <f>"0000805939"</f>
        <v>0000805939</v>
      </c>
      <c r="C4993" s="1" t="str">
        <f t="shared" si="2038"/>
        <v>0000805778</v>
      </c>
      <c r="D4993" s="1" t="str">
        <f t="shared" si="2012"/>
        <v>73185</v>
      </c>
      <c r="E4993" s="1" t="str">
        <f t="shared" si="2013"/>
        <v>KFH-OPERATIONS DEPARTMENT</v>
      </c>
      <c r="F4993" s="1" t="str">
        <f t="shared" si="2014"/>
        <v>IBG</v>
      </c>
      <c r="G4993" s="1" t="str">
        <f t="shared" si="2025"/>
        <v>Refund COSHARE 10</v>
      </c>
      <c r="H4993" s="3">
        <v>554.1</v>
      </c>
      <c r="I4993" s="4" t="str">
        <f>"ASRI BIN AWANG"</f>
        <v>ASRI BIN AWANG</v>
      </c>
      <c r="J4993" s="1" t="str">
        <f t="shared" si="2026"/>
        <v>MAYBANK / MAYBANK ISLAMIC</v>
      </c>
      <c r="K4993" s="1" t="str">
        <f>"110069032991"</f>
        <v>110069032991</v>
      </c>
      <c r="L4993" s="1" t="str">
        <f t="shared" si="2041"/>
        <v>04-08-2020</v>
      </c>
      <c r="M4993" s="1" t="str">
        <f t="shared" si="2041"/>
        <v>04-08-2020</v>
      </c>
      <c r="N4993" s="1" t="str">
        <f t="shared" si="2015"/>
        <v>001105018356</v>
      </c>
      <c r="O4993" s="1" t="str">
        <f t="shared" si="2016"/>
        <v>MYR</v>
      </c>
      <c r="P4993" s="1" t="str">
        <f t="shared" si="2042"/>
        <v>NIL</v>
      </c>
      <c r="Q4993" s="1" t="str">
        <f t="shared" si="2042"/>
        <v>NIL</v>
      </c>
      <c r="R4993" s="1" t="str">
        <f t="shared" si="2039"/>
        <v>Unsuccessful</v>
      </c>
      <c r="S4993" s="1" t="str">
        <f t="shared" si="2018"/>
        <v>Approved</v>
      </c>
      <c r="T4993" s="1" t="str">
        <f t="shared" si="2040"/>
        <v>10.20.201.88</v>
      </c>
      <c r="U4993" s="1" t="str">
        <f t="shared" si="2020"/>
        <v>AZRAD UMAR BIN SHAARI</v>
      </c>
      <c r="V4993" s="1" t="str">
        <f t="shared" si="2021"/>
        <v>FARHANA BINTI MUSTAPA</v>
      </c>
      <c r="W4993" s="1" t="str">
        <f t="shared" si="2022"/>
        <v>04-08-2020</v>
      </c>
      <c r="X4993" s="1" t="str">
        <f t="shared" si="2023"/>
        <v>RAZIMAH ANSAR AHMAD</v>
      </c>
      <c r="Y4993" s="1" t="str">
        <f t="shared" si="2024"/>
        <v>04-08-2020</v>
      </c>
      <c r="Z4993" s="1" t="str">
        <f>"COS10200804 4161"</f>
        <v>COS10200804 4161</v>
      </c>
    </row>
    <row r="4994" spans="1:26" s="1" customFormat="1" x14ac:dyDescent="0.25">
      <c r="A4994" s="1" t="str">
        <f t="shared" si="2037"/>
        <v>04-08-2020 12:48:13</v>
      </c>
      <c r="B4994" s="1" t="str">
        <f>"0000805938"</f>
        <v>0000805938</v>
      </c>
      <c r="C4994" s="1" t="str">
        <f t="shared" si="2038"/>
        <v>0000805778</v>
      </c>
      <c r="D4994" s="1" t="str">
        <f t="shared" si="2012"/>
        <v>73185</v>
      </c>
      <c r="E4994" s="1" t="str">
        <f t="shared" si="2013"/>
        <v>KFH-OPERATIONS DEPARTMENT</v>
      </c>
      <c r="F4994" s="1" t="str">
        <f t="shared" si="2014"/>
        <v>IBG</v>
      </c>
      <c r="G4994" s="1" t="str">
        <f t="shared" si="2025"/>
        <v>Refund COSHARE 10</v>
      </c>
      <c r="H4994" s="3">
        <v>167.9</v>
      </c>
      <c r="I4994" s="4" t="str">
        <f>"ASPALILA BINTI RAIS"</f>
        <v>ASPALILA BINTI RAIS</v>
      </c>
      <c r="J4994" s="1" t="str">
        <f t="shared" si="2026"/>
        <v>MAYBANK / MAYBANK ISLAMIC</v>
      </c>
      <c r="K4994" s="1" t="str">
        <f>"165125138340"</f>
        <v>165125138340</v>
      </c>
      <c r="L4994" s="1" t="str">
        <f t="shared" si="2041"/>
        <v>04-08-2020</v>
      </c>
      <c r="M4994" s="1" t="str">
        <f t="shared" si="2041"/>
        <v>04-08-2020</v>
      </c>
      <c r="N4994" s="1" t="str">
        <f t="shared" si="2015"/>
        <v>001105018356</v>
      </c>
      <c r="O4994" s="1" t="str">
        <f t="shared" si="2016"/>
        <v>MYR</v>
      </c>
      <c r="P4994" s="1" t="str">
        <f t="shared" si="2042"/>
        <v>NIL</v>
      </c>
      <c r="Q4994" s="1" t="str">
        <f t="shared" si="2042"/>
        <v>NIL</v>
      </c>
      <c r="R4994" s="1" t="str">
        <f t="shared" si="2039"/>
        <v>Unsuccessful</v>
      </c>
      <c r="S4994" s="1" t="str">
        <f t="shared" si="2018"/>
        <v>Approved</v>
      </c>
      <c r="T4994" s="1" t="str">
        <f t="shared" si="2040"/>
        <v>10.20.201.88</v>
      </c>
      <c r="U4994" s="1" t="str">
        <f t="shared" si="2020"/>
        <v>AZRAD UMAR BIN SHAARI</v>
      </c>
      <c r="V4994" s="1" t="str">
        <f t="shared" si="2021"/>
        <v>FARHANA BINTI MUSTAPA</v>
      </c>
      <c r="W4994" s="1" t="str">
        <f t="shared" si="2022"/>
        <v>04-08-2020</v>
      </c>
      <c r="X4994" s="1" t="str">
        <f t="shared" si="2023"/>
        <v>RAZIMAH ANSAR AHMAD</v>
      </c>
      <c r="Y4994" s="1" t="str">
        <f t="shared" si="2024"/>
        <v>04-08-2020</v>
      </c>
      <c r="Z4994" s="1" t="str">
        <f>"COS10200804 4160"</f>
        <v>COS10200804 4160</v>
      </c>
    </row>
    <row r="4995" spans="1:26" s="1" customFormat="1" x14ac:dyDescent="0.25">
      <c r="A4995" s="1" t="str">
        <f t="shared" si="2037"/>
        <v>04-08-2020 12:48:13</v>
      </c>
      <c r="B4995" s="1" t="str">
        <f>"0000805937"</f>
        <v>0000805937</v>
      </c>
      <c r="C4995" s="1" t="str">
        <f t="shared" si="2038"/>
        <v>0000805778</v>
      </c>
      <c r="D4995" s="1" t="str">
        <f t="shared" si="2012"/>
        <v>73185</v>
      </c>
      <c r="E4995" s="1" t="str">
        <f t="shared" si="2013"/>
        <v>KFH-OPERATIONS DEPARTMENT</v>
      </c>
      <c r="F4995" s="1" t="str">
        <f t="shared" si="2014"/>
        <v>IBG</v>
      </c>
      <c r="G4995" s="1" t="str">
        <f t="shared" si="2025"/>
        <v>Refund COSHARE 10</v>
      </c>
      <c r="H4995" s="3">
        <v>125.95</v>
      </c>
      <c r="I4995" s="4" t="str">
        <f>"ASNIZAM BIN MAT TAHER"</f>
        <v>ASNIZAM BIN MAT TAHER</v>
      </c>
      <c r="J4995" s="1" t="str">
        <f t="shared" si="2026"/>
        <v>MAYBANK / MAYBANK ISLAMIC</v>
      </c>
      <c r="K4995" s="1" t="str">
        <f>"109017334241"</f>
        <v>109017334241</v>
      </c>
      <c r="L4995" s="1" t="str">
        <f t="shared" si="2041"/>
        <v>04-08-2020</v>
      </c>
      <c r="M4995" s="1" t="str">
        <f t="shared" si="2041"/>
        <v>04-08-2020</v>
      </c>
      <c r="N4995" s="1" t="str">
        <f t="shared" si="2015"/>
        <v>001105018356</v>
      </c>
      <c r="O4995" s="1" t="str">
        <f t="shared" si="2016"/>
        <v>MYR</v>
      </c>
      <c r="P4995" s="1" t="str">
        <f t="shared" si="2042"/>
        <v>NIL</v>
      </c>
      <c r="Q4995" s="1" t="str">
        <f t="shared" si="2042"/>
        <v>NIL</v>
      </c>
      <c r="R4995" s="1" t="str">
        <f t="shared" si="2039"/>
        <v>Unsuccessful</v>
      </c>
      <c r="S4995" s="1" t="str">
        <f t="shared" si="2018"/>
        <v>Approved</v>
      </c>
      <c r="T4995" s="1" t="str">
        <f t="shared" si="2040"/>
        <v>10.20.201.88</v>
      </c>
      <c r="U4995" s="1" t="str">
        <f t="shared" si="2020"/>
        <v>AZRAD UMAR BIN SHAARI</v>
      </c>
      <c r="V4995" s="1" t="str">
        <f t="shared" si="2021"/>
        <v>FARHANA BINTI MUSTAPA</v>
      </c>
      <c r="W4995" s="1" t="str">
        <f t="shared" si="2022"/>
        <v>04-08-2020</v>
      </c>
      <c r="X4995" s="1" t="str">
        <f t="shared" si="2023"/>
        <v>RAZIMAH ANSAR AHMAD</v>
      </c>
      <c r="Y4995" s="1" t="str">
        <f t="shared" si="2024"/>
        <v>04-08-2020</v>
      </c>
      <c r="Z4995" s="1" t="str">
        <f>"COS10200804 4159"</f>
        <v>COS10200804 4159</v>
      </c>
    </row>
    <row r="4996" spans="1:26" s="1" customFormat="1" x14ac:dyDescent="0.25">
      <c r="A4996" s="1" t="str">
        <f t="shared" si="2037"/>
        <v>04-08-2020 12:48:13</v>
      </c>
      <c r="B4996" s="1" t="str">
        <f>"0000805936"</f>
        <v>0000805936</v>
      </c>
      <c r="C4996" s="1" t="str">
        <f t="shared" si="2038"/>
        <v>0000805778</v>
      </c>
      <c r="D4996" s="1" t="str">
        <f t="shared" si="2012"/>
        <v>73185</v>
      </c>
      <c r="E4996" s="1" t="str">
        <f t="shared" si="2013"/>
        <v>KFH-OPERATIONS DEPARTMENT</v>
      </c>
      <c r="F4996" s="1" t="str">
        <f t="shared" si="2014"/>
        <v>IBG</v>
      </c>
      <c r="G4996" s="1" t="str">
        <f t="shared" si="2025"/>
        <v>Refund COSHARE 10</v>
      </c>
      <c r="H4996" s="3">
        <v>45.75</v>
      </c>
      <c r="I4996" s="4" t="str">
        <f>"ASNITA BINTI SAAT"</f>
        <v>ASNITA BINTI SAAT</v>
      </c>
      <c r="J4996" s="1" t="str">
        <f t="shared" si="2026"/>
        <v>MAYBANK / MAYBANK ISLAMIC</v>
      </c>
      <c r="K4996" s="1" t="str">
        <f>"101066806353"</f>
        <v>101066806353</v>
      </c>
      <c r="L4996" s="1" t="str">
        <f t="shared" si="2041"/>
        <v>04-08-2020</v>
      </c>
      <c r="M4996" s="1" t="str">
        <f t="shared" si="2041"/>
        <v>04-08-2020</v>
      </c>
      <c r="N4996" s="1" t="str">
        <f t="shared" si="2015"/>
        <v>001105018356</v>
      </c>
      <c r="O4996" s="1" t="str">
        <f t="shared" si="2016"/>
        <v>MYR</v>
      </c>
      <c r="P4996" s="1" t="str">
        <f t="shared" si="2042"/>
        <v>NIL</v>
      </c>
      <c r="Q4996" s="1" t="str">
        <f t="shared" si="2042"/>
        <v>NIL</v>
      </c>
      <c r="R4996" s="1" t="str">
        <f t="shared" si="2039"/>
        <v>Unsuccessful</v>
      </c>
      <c r="S4996" s="1" t="str">
        <f t="shared" si="2018"/>
        <v>Approved</v>
      </c>
      <c r="T4996" s="1" t="str">
        <f t="shared" si="2040"/>
        <v>10.20.201.88</v>
      </c>
      <c r="U4996" s="1" t="str">
        <f t="shared" si="2020"/>
        <v>AZRAD UMAR BIN SHAARI</v>
      </c>
      <c r="V4996" s="1" t="str">
        <f t="shared" si="2021"/>
        <v>FARHANA BINTI MUSTAPA</v>
      </c>
      <c r="W4996" s="1" t="str">
        <f t="shared" si="2022"/>
        <v>04-08-2020</v>
      </c>
      <c r="X4996" s="1" t="str">
        <f t="shared" si="2023"/>
        <v>RAZIMAH ANSAR AHMAD</v>
      </c>
      <c r="Y4996" s="1" t="str">
        <f t="shared" si="2024"/>
        <v>04-08-2020</v>
      </c>
      <c r="Z4996" s="1" t="str">
        <f>"COS10200804 4158"</f>
        <v>COS10200804 4158</v>
      </c>
    </row>
    <row r="4997" spans="1:26" s="1" customFormat="1" x14ac:dyDescent="0.25">
      <c r="A4997" s="1" t="str">
        <f t="shared" si="2037"/>
        <v>04-08-2020 12:48:13</v>
      </c>
      <c r="B4997" s="1" t="str">
        <f>"0000805935"</f>
        <v>0000805935</v>
      </c>
      <c r="C4997" s="1" t="str">
        <f t="shared" si="2038"/>
        <v>0000805778</v>
      </c>
      <c r="D4997" s="1" t="str">
        <f t="shared" si="2012"/>
        <v>73185</v>
      </c>
      <c r="E4997" s="1" t="str">
        <f t="shared" si="2013"/>
        <v>KFH-OPERATIONS DEPARTMENT</v>
      </c>
      <c r="F4997" s="1" t="str">
        <f t="shared" si="2014"/>
        <v>IBG</v>
      </c>
      <c r="G4997" s="1" t="str">
        <f t="shared" si="2025"/>
        <v>Refund COSHARE 10</v>
      </c>
      <c r="H4997" s="3">
        <v>168</v>
      </c>
      <c r="I4997" s="4" t="str">
        <f>"ASNITA BINTI OTHMAN"</f>
        <v>ASNITA BINTI OTHMAN</v>
      </c>
      <c r="J4997" s="1" t="str">
        <f t="shared" si="2026"/>
        <v>MAYBANK / MAYBANK ISLAMIC</v>
      </c>
      <c r="K4997" s="1" t="str">
        <f>"112204237619"</f>
        <v>112204237619</v>
      </c>
      <c r="L4997" s="1" t="str">
        <f t="shared" si="2041"/>
        <v>04-08-2020</v>
      </c>
      <c r="M4997" s="1" t="str">
        <f t="shared" si="2041"/>
        <v>04-08-2020</v>
      </c>
      <c r="N4997" s="1" t="str">
        <f t="shared" si="2015"/>
        <v>001105018356</v>
      </c>
      <c r="O4997" s="1" t="str">
        <f t="shared" si="2016"/>
        <v>MYR</v>
      </c>
      <c r="P4997" s="1" t="str">
        <f t="shared" si="2042"/>
        <v>NIL</v>
      </c>
      <c r="Q4997" s="1" t="str">
        <f t="shared" si="2042"/>
        <v>NIL</v>
      </c>
      <c r="R4997" s="1" t="str">
        <f t="shared" si="2039"/>
        <v>Unsuccessful</v>
      </c>
      <c r="S4997" s="1" t="str">
        <f t="shared" si="2018"/>
        <v>Approved</v>
      </c>
      <c r="T4997" s="1" t="str">
        <f t="shared" si="2040"/>
        <v>10.20.201.88</v>
      </c>
      <c r="U4997" s="1" t="str">
        <f t="shared" si="2020"/>
        <v>AZRAD UMAR BIN SHAARI</v>
      </c>
      <c r="V4997" s="1" t="str">
        <f t="shared" si="2021"/>
        <v>FARHANA BINTI MUSTAPA</v>
      </c>
      <c r="W4997" s="1" t="str">
        <f t="shared" si="2022"/>
        <v>04-08-2020</v>
      </c>
      <c r="X4997" s="1" t="str">
        <f t="shared" si="2023"/>
        <v>RAZIMAH ANSAR AHMAD</v>
      </c>
      <c r="Y4997" s="1" t="str">
        <f t="shared" si="2024"/>
        <v>04-08-2020</v>
      </c>
      <c r="Z4997" s="1" t="str">
        <f>"COS10200804 4157"</f>
        <v>COS10200804 4157</v>
      </c>
    </row>
    <row r="4998" spans="1:26" s="1" customFormat="1" x14ac:dyDescent="0.25">
      <c r="A4998" s="1" t="str">
        <f t="shared" si="2037"/>
        <v>04-08-2020 12:48:13</v>
      </c>
      <c r="B4998" s="1" t="str">
        <f>"0000805934"</f>
        <v>0000805934</v>
      </c>
      <c r="C4998" s="1" t="str">
        <f t="shared" si="2038"/>
        <v>0000805778</v>
      </c>
      <c r="D4998" s="1" t="str">
        <f t="shared" si="2012"/>
        <v>73185</v>
      </c>
      <c r="E4998" s="1" t="str">
        <f t="shared" si="2013"/>
        <v>KFH-OPERATIONS DEPARTMENT</v>
      </c>
      <c r="F4998" s="1" t="str">
        <f t="shared" si="2014"/>
        <v>IBG</v>
      </c>
      <c r="G4998" s="1" t="str">
        <f t="shared" si="2025"/>
        <v>Refund COSHARE 10</v>
      </c>
      <c r="H4998" s="3">
        <v>345</v>
      </c>
      <c r="I4998" s="4" t="str">
        <f>"ASNIDA BINTI MUHAMAD"</f>
        <v>ASNIDA BINTI MUHAMAD</v>
      </c>
      <c r="J4998" s="1" t="str">
        <f t="shared" si="2026"/>
        <v>MAYBANK / MAYBANK ISLAMIC</v>
      </c>
      <c r="K4998" s="1" t="str">
        <f>"153010412966"</f>
        <v>153010412966</v>
      </c>
      <c r="L4998" s="1" t="str">
        <f t="shared" si="2041"/>
        <v>04-08-2020</v>
      </c>
      <c r="M4998" s="1" t="str">
        <f t="shared" si="2041"/>
        <v>04-08-2020</v>
      </c>
      <c r="N4998" s="1" t="str">
        <f t="shared" si="2015"/>
        <v>001105018356</v>
      </c>
      <c r="O4998" s="1" t="str">
        <f t="shared" si="2016"/>
        <v>MYR</v>
      </c>
      <c r="P4998" s="1" t="str">
        <f t="shared" si="2042"/>
        <v>NIL</v>
      </c>
      <c r="Q4998" s="1" t="str">
        <f t="shared" si="2042"/>
        <v>NIL</v>
      </c>
      <c r="R4998" s="1" t="str">
        <f t="shared" si="2039"/>
        <v>Unsuccessful</v>
      </c>
      <c r="S4998" s="1" t="str">
        <f t="shared" si="2018"/>
        <v>Approved</v>
      </c>
      <c r="T4998" s="1" t="str">
        <f t="shared" si="2040"/>
        <v>10.20.201.88</v>
      </c>
      <c r="U4998" s="1" t="str">
        <f t="shared" si="2020"/>
        <v>AZRAD UMAR BIN SHAARI</v>
      </c>
      <c r="V4998" s="1" t="str">
        <f t="shared" si="2021"/>
        <v>FARHANA BINTI MUSTAPA</v>
      </c>
      <c r="W4998" s="1" t="str">
        <f t="shared" si="2022"/>
        <v>04-08-2020</v>
      </c>
      <c r="X4998" s="1" t="str">
        <f t="shared" si="2023"/>
        <v>RAZIMAH ANSAR AHMAD</v>
      </c>
      <c r="Y4998" s="1" t="str">
        <f t="shared" si="2024"/>
        <v>04-08-2020</v>
      </c>
      <c r="Z4998" s="1" t="str">
        <f>"COS10200804 4156"</f>
        <v>COS10200804 4156</v>
      </c>
    </row>
    <row r="4999" spans="1:26" s="1" customFormat="1" x14ac:dyDescent="0.25">
      <c r="A4999" s="1" t="str">
        <f t="shared" si="2037"/>
        <v>04-08-2020 12:48:13</v>
      </c>
      <c r="B4999" s="1" t="str">
        <f>"0000805933"</f>
        <v>0000805933</v>
      </c>
      <c r="C4999" s="1" t="str">
        <f t="shared" si="2038"/>
        <v>0000805778</v>
      </c>
      <c r="D4999" s="1" t="str">
        <f t="shared" ref="D4999:D5062" si="2043">"73185"</f>
        <v>73185</v>
      </c>
      <c r="E4999" s="1" t="str">
        <f t="shared" ref="E4999:E5062" si="2044">"KFH-OPERATIONS DEPARTMENT"</f>
        <v>KFH-OPERATIONS DEPARTMENT</v>
      </c>
      <c r="F4999" s="1" t="str">
        <f t="shared" ref="F4999:F5062" si="2045">"IBG"</f>
        <v>IBG</v>
      </c>
      <c r="G4999" s="1" t="str">
        <f t="shared" si="2025"/>
        <v>Refund COSHARE 10</v>
      </c>
      <c r="H4999" s="3">
        <v>182</v>
      </c>
      <c r="I4999" s="4" t="str">
        <f>"ASNI BINTI BUSTAMAN"</f>
        <v>ASNI BINTI BUSTAMAN</v>
      </c>
      <c r="J4999" s="1" t="str">
        <f t="shared" si="2026"/>
        <v>MAYBANK / MAYBANK ISLAMIC</v>
      </c>
      <c r="K4999" s="1" t="str">
        <f>"164838074057"</f>
        <v>164838074057</v>
      </c>
      <c r="L4999" s="1" t="str">
        <f t="shared" si="2041"/>
        <v>04-08-2020</v>
      </c>
      <c r="M4999" s="1" t="str">
        <f t="shared" si="2041"/>
        <v>04-08-2020</v>
      </c>
      <c r="N4999" s="1" t="str">
        <f t="shared" ref="N4999:N5062" si="2046">"001105018356"</f>
        <v>001105018356</v>
      </c>
      <c r="O4999" s="1" t="str">
        <f t="shared" ref="O4999:O5062" si="2047">"MYR"</f>
        <v>MYR</v>
      </c>
      <c r="P4999" s="1" t="str">
        <f t="shared" si="2042"/>
        <v>NIL</v>
      </c>
      <c r="Q4999" s="1" t="str">
        <f t="shared" si="2042"/>
        <v>NIL</v>
      </c>
      <c r="R4999" s="1" t="str">
        <f t="shared" si="2039"/>
        <v>Unsuccessful</v>
      </c>
      <c r="S4999" s="1" t="str">
        <f t="shared" ref="S4999:S5062" si="2048">"Approved"</f>
        <v>Approved</v>
      </c>
      <c r="T4999" s="1" t="str">
        <f t="shared" si="2040"/>
        <v>10.20.201.88</v>
      </c>
      <c r="U4999" s="1" t="str">
        <f t="shared" ref="U4999:U5062" si="2049">"AZRAD UMAR BIN SHAARI"</f>
        <v>AZRAD UMAR BIN SHAARI</v>
      </c>
      <c r="V4999" s="1" t="str">
        <f t="shared" ref="V4999:V5062" si="2050">"FARHANA BINTI MUSTAPA"</f>
        <v>FARHANA BINTI MUSTAPA</v>
      </c>
      <c r="W4999" s="1" t="str">
        <f t="shared" ref="W4999:W5062" si="2051">"04-08-2020"</f>
        <v>04-08-2020</v>
      </c>
      <c r="X4999" s="1" t="str">
        <f t="shared" ref="X4999:X5062" si="2052">"RAZIMAH ANSAR AHMAD"</f>
        <v>RAZIMAH ANSAR AHMAD</v>
      </c>
      <c r="Y4999" s="1" t="str">
        <f t="shared" ref="Y4999:Y5062" si="2053">"04-08-2020"</f>
        <v>04-08-2020</v>
      </c>
      <c r="Z4999" s="1" t="str">
        <f>"COS10200804 4155"</f>
        <v>COS10200804 4155</v>
      </c>
    </row>
    <row r="5000" spans="1:26" s="1" customFormat="1" x14ac:dyDescent="0.25">
      <c r="A5000" s="1" t="str">
        <f t="shared" si="2037"/>
        <v>04-08-2020 12:48:13</v>
      </c>
      <c r="B5000" s="1" t="str">
        <f>"0000805932"</f>
        <v>0000805932</v>
      </c>
      <c r="C5000" s="1" t="str">
        <f t="shared" si="2038"/>
        <v>0000805778</v>
      </c>
      <c r="D5000" s="1" t="str">
        <f t="shared" si="2043"/>
        <v>73185</v>
      </c>
      <c r="E5000" s="1" t="str">
        <f t="shared" si="2044"/>
        <v>KFH-OPERATIONS DEPARTMENT</v>
      </c>
      <c r="F5000" s="1" t="str">
        <f t="shared" si="2045"/>
        <v>IBG</v>
      </c>
      <c r="G5000" s="1" t="str">
        <f t="shared" si="2025"/>
        <v>Refund COSHARE 10</v>
      </c>
      <c r="H5000" s="3">
        <v>1811.05</v>
      </c>
      <c r="I5000" s="4" t="str">
        <f>"ASNI BINTI BUSTAMAN"</f>
        <v>ASNI BINTI BUSTAMAN</v>
      </c>
      <c r="J5000" s="1" t="str">
        <f t="shared" si="2026"/>
        <v>MAYBANK / MAYBANK ISLAMIC</v>
      </c>
      <c r="K5000" s="1" t="str">
        <f>"164838074057"</f>
        <v>164838074057</v>
      </c>
      <c r="L5000" s="1" t="str">
        <f t="shared" si="2041"/>
        <v>04-08-2020</v>
      </c>
      <c r="M5000" s="1" t="str">
        <f t="shared" si="2041"/>
        <v>04-08-2020</v>
      </c>
      <c r="N5000" s="1" t="str">
        <f t="shared" si="2046"/>
        <v>001105018356</v>
      </c>
      <c r="O5000" s="1" t="str">
        <f t="shared" si="2047"/>
        <v>MYR</v>
      </c>
      <c r="P5000" s="1" t="str">
        <f t="shared" si="2042"/>
        <v>NIL</v>
      </c>
      <c r="Q5000" s="1" t="str">
        <f t="shared" si="2042"/>
        <v>NIL</v>
      </c>
      <c r="R5000" s="1" t="str">
        <f t="shared" si="2039"/>
        <v>Unsuccessful</v>
      </c>
      <c r="S5000" s="1" t="str">
        <f t="shared" si="2048"/>
        <v>Approved</v>
      </c>
      <c r="T5000" s="1" t="str">
        <f t="shared" si="2040"/>
        <v>10.20.201.88</v>
      </c>
      <c r="U5000" s="1" t="str">
        <f t="shared" si="2049"/>
        <v>AZRAD UMAR BIN SHAARI</v>
      </c>
      <c r="V5000" s="1" t="str">
        <f t="shared" si="2050"/>
        <v>FARHANA BINTI MUSTAPA</v>
      </c>
      <c r="W5000" s="1" t="str">
        <f t="shared" si="2051"/>
        <v>04-08-2020</v>
      </c>
      <c r="X5000" s="1" t="str">
        <f t="shared" si="2052"/>
        <v>RAZIMAH ANSAR AHMAD</v>
      </c>
      <c r="Y5000" s="1" t="str">
        <f t="shared" si="2053"/>
        <v>04-08-2020</v>
      </c>
      <c r="Z5000" s="1" t="str">
        <f>"COS10200804 4154"</f>
        <v>COS10200804 4154</v>
      </c>
    </row>
    <row r="5001" spans="1:26" s="1" customFormat="1" x14ac:dyDescent="0.25">
      <c r="A5001" s="1" t="str">
        <f t="shared" si="2037"/>
        <v>04-08-2020 12:48:13</v>
      </c>
      <c r="B5001" s="1" t="str">
        <f>"0000805931"</f>
        <v>0000805931</v>
      </c>
      <c r="C5001" s="1" t="str">
        <f t="shared" si="2038"/>
        <v>0000805778</v>
      </c>
      <c r="D5001" s="1" t="str">
        <f t="shared" si="2043"/>
        <v>73185</v>
      </c>
      <c r="E5001" s="1" t="str">
        <f t="shared" si="2044"/>
        <v>KFH-OPERATIONS DEPARTMENT</v>
      </c>
      <c r="F5001" s="1" t="str">
        <f t="shared" si="2045"/>
        <v>IBG</v>
      </c>
      <c r="G5001" s="1" t="str">
        <f t="shared" si="2025"/>
        <v>Refund COSHARE 10</v>
      </c>
      <c r="H5001" s="3">
        <v>1032.5999999999999</v>
      </c>
      <c r="I5001" s="4" t="str">
        <f>"ASNAL BIN MUHAMMAD ARSAD"</f>
        <v>ASNAL BIN MUHAMMAD ARSAD</v>
      </c>
      <c r="J5001" s="1" t="str">
        <f t="shared" si="2026"/>
        <v>MAYBANK / MAYBANK ISLAMIC</v>
      </c>
      <c r="K5001" s="1" t="str">
        <f>"158211612381"</f>
        <v>158211612381</v>
      </c>
      <c r="L5001" s="1" t="str">
        <f t="shared" si="2041"/>
        <v>04-08-2020</v>
      </c>
      <c r="M5001" s="1" t="str">
        <f t="shared" si="2041"/>
        <v>04-08-2020</v>
      </c>
      <c r="N5001" s="1" t="str">
        <f t="shared" si="2046"/>
        <v>001105018356</v>
      </c>
      <c r="O5001" s="1" t="str">
        <f t="shared" si="2047"/>
        <v>MYR</v>
      </c>
      <c r="P5001" s="1" t="str">
        <f t="shared" si="2042"/>
        <v>NIL</v>
      </c>
      <c r="Q5001" s="1" t="str">
        <f t="shared" si="2042"/>
        <v>NIL</v>
      </c>
      <c r="R5001" s="1" t="str">
        <f t="shared" si="2039"/>
        <v>Unsuccessful</v>
      </c>
      <c r="S5001" s="1" t="str">
        <f t="shared" si="2048"/>
        <v>Approved</v>
      </c>
      <c r="T5001" s="1" t="str">
        <f t="shared" si="2040"/>
        <v>10.20.201.88</v>
      </c>
      <c r="U5001" s="1" t="str">
        <f t="shared" si="2049"/>
        <v>AZRAD UMAR BIN SHAARI</v>
      </c>
      <c r="V5001" s="1" t="str">
        <f t="shared" si="2050"/>
        <v>FARHANA BINTI MUSTAPA</v>
      </c>
      <c r="W5001" s="1" t="str">
        <f t="shared" si="2051"/>
        <v>04-08-2020</v>
      </c>
      <c r="X5001" s="1" t="str">
        <f t="shared" si="2052"/>
        <v>RAZIMAH ANSAR AHMAD</v>
      </c>
      <c r="Y5001" s="1" t="str">
        <f t="shared" si="2053"/>
        <v>04-08-2020</v>
      </c>
      <c r="Z5001" s="1" t="str">
        <f>"COS10200804 4153"</f>
        <v>COS10200804 4153</v>
      </c>
    </row>
    <row r="5002" spans="1:26" s="1" customFormat="1" x14ac:dyDescent="0.25">
      <c r="A5002" s="1" t="str">
        <f t="shared" si="2037"/>
        <v>04-08-2020 12:48:13</v>
      </c>
      <c r="B5002" s="1" t="str">
        <f>"0000805930"</f>
        <v>0000805930</v>
      </c>
      <c r="C5002" s="1" t="str">
        <f t="shared" si="2038"/>
        <v>0000805778</v>
      </c>
      <c r="D5002" s="1" t="str">
        <f t="shared" si="2043"/>
        <v>73185</v>
      </c>
      <c r="E5002" s="1" t="str">
        <f t="shared" si="2044"/>
        <v>KFH-OPERATIONS DEPARTMENT</v>
      </c>
      <c r="F5002" s="1" t="str">
        <f t="shared" si="2045"/>
        <v>IBG</v>
      </c>
      <c r="G5002" s="1" t="str">
        <f t="shared" si="2025"/>
        <v>Refund COSHARE 10</v>
      </c>
      <c r="H5002" s="3">
        <v>50.4</v>
      </c>
      <c r="I5002" s="4" t="str">
        <f>"ASNAH BINTI SALAMAT"</f>
        <v>ASNAH BINTI SALAMAT</v>
      </c>
      <c r="J5002" s="1" t="str">
        <f t="shared" si="2026"/>
        <v>MAYBANK / MAYBANK ISLAMIC</v>
      </c>
      <c r="K5002" s="1" t="str">
        <f>"160027014469"</f>
        <v>160027014469</v>
      </c>
      <c r="L5002" s="1" t="str">
        <f t="shared" si="2041"/>
        <v>04-08-2020</v>
      </c>
      <c r="M5002" s="1" t="str">
        <f t="shared" si="2041"/>
        <v>04-08-2020</v>
      </c>
      <c r="N5002" s="1" t="str">
        <f t="shared" si="2046"/>
        <v>001105018356</v>
      </c>
      <c r="O5002" s="1" t="str">
        <f t="shared" si="2047"/>
        <v>MYR</v>
      </c>
      <c r="P5002" s="1" t="str">
        <f t="shared" si="2042"/>
        <v>NIL</v>
      </c>
      <c r="Q5002" s="1" t="str">
        <f t="shared" si="2042"/>
        <v>NIL</v>
      </c>
      <c r="R5002" s="1" t="str">
        <f t="shared" si="2039"/>
        <v>Unsuccessful</v>
      </c>
      <c r="S5002" s="1" t="str">
        <f t="shared" si="2048"/>
        <v>Approved</v>
      </c>
      <c r="T5002" s="1" t="str">
        <f t="shared" si="2040"/>
        <v>10.20.201.88</v>
      </c>
      <c r="U5002" s="1" t="str">
        <f t="shared" si="2049"/>
        <v>AZRAD UMAR BIN SHAARI</v>
      </c>
      <c r="V5002" s="1" t="str">
        <f t="shared" si="2050"/>
        <v>FARHANA BINTI MUSTAPA</v>
      </c>
      <c r="W5002" s="1" t="str">
        <f t="shared" si="2051"/>
        <v>04-08-2020</v>
      </c>
      <c r="X5002" s="1" t="str">
        <f t="shared" si="2052"/>
        <v>RAZIMAH ANSAR AHMAD</v>
      </c>
      <c r="Y5002" s="1" t="str">
        <f t="shared" si="2053"/>
        <v>04-08-2020</v>
      </c>
      <c r="Z5002" s="1" t="str">
        <f>"COS10200804 4152"</f>
        <v>COS10200804 4152</v>
      </c>
    </row>
    <row r="5003" spans="1:26" s="1" customFormat="1" x14ac:dyDescent="0.25">
      <c r="A5003" s="1" t="str">
        <f t="shared" si="2037"/>
        <v>04-08-2020 12:48:13</v>
      </c>
      <c r="B5003" s="1" t="str">
        <f>"0000805929"</f>
        <v>0000805929</v>
      </c>
      <c r="C5003" s="1" t="str">
        <f t="shared" si="2038"/>
        <v>0000805778</v>
      </c>
      <c r="D5003" s="1" t="str">
        <f t="shared" si="2043"/>
        <v>73185</v>
      </c>
      <c r="E5003" s="1" t="str">
        <f t="shared" si="2044"/>
        <v>KFH-OPERATIONS DEPARTMENT</v>
      </c>
      <c r="F5003" s="1" t="str">
        <f t="shared" si="2045"/>
        <v>IBG</v>
      </c>
      <c r="G5003" s="1" t="str">
        <f t="shared" si="2025"/>
        <v>Refund COSHARE 10</v>
      </c>
      <c r="H5003" s="3">
        <v>125.95</v>
      </c>
      <c r="I5003" s="4" t="str">
        <f>"ASMIDAH BINTI ZAHARI"</f>
        <v>ASMIDAH BINTI ZAHARI</v>
      </c>
      <c r="J5003" s="1" t="str">
        <f t="shared" si="2026"/>
        <v>MAYBANK / MAYBANK ISLAMIC</v>
      </c>
      <c r="K5003" s="1" t="str">
        <f>"155023259332"</f>
        <v>155023259332</v>
      </c>
      <c r="L5003" s="1" t="str">
        <f t="shared" si="2041"/>
        <v>04-08-2020</v>
      </c>
      <c r="M5003" s="1" t="str">
        <f t="shared" si="2041"/>
        <v>04-08-2020</v>
      </c>
      <c r="N5003" s="1" t="str">
        <f t="shared" si="2046"/>
        <v>001105018356</v>
      </c>
      <c r="O5003" s="1" t="str">
        <f t="shared" si="2047"/>
        <v>MYR</v>
      </c>
      <c r="P5003" s="1" t="str">
        <f t="shared" si="2042"/>
        <v>NIL</v>
      </c>
      <c r="Q5003" s="1" t="str">
        <f t="shared" si="2042"/>
        <v>NIL</v>
      </c>
      <c r="R5003" s="1" t="str">
        <f t="shared" si="2039"/>
        <v>Unsuccessful</v>
      </c>
      <c r="S5003" s="1" t="str">
        <f t="shared" si="2048"/>
        <v>Approved</v>
      </c>
      <c r="T5003" s="1" t="str">
        <f t="shared" si="2040"/>
        <v>10.20.201.88</v>
      </c>
      <c r="U5003" s="1" t="str">
        <f t="shared" si="2049"/>
        <v>AZRAD UMAR BIN SHAARI</v>
      </c>
      <c r="V5003" s="1" t="str">
        <f t="shared" si="2050"/>
        <v>FARHANA BINTI MUSTAPA</v>
      </c>
      <c r="W5003" s="1" t="str">
        <f t="shared" si="2051"/>
        <v>04-08-2020</v>
      </c>
      <c r="X5003" s="1" t="str">
        <f t="shared" si="2052"/>
        <v>RAZIMAH ANSAR AHMAD</v>
      </c>
      <c r="Y5003" s="1" t="str">
        <f t="shared" si="2053"/>
        <v>04-08-2020</v>
      </c>
      <c r="Z5003" s="1" t="str">
        <f>"COS10200804 4151"</f>
        <v>COS10200804 4151</v>
      </c>
    </row>
    <row r="5004" spans="1:26" s="1" customFormat="1" x14ac:dyDescent="0.25">
      <c r="A5004" s="1" t="str">
        <f t="shared" si="2037"/>
        <v>04-08-2020 12:48:13</v>
      </c>
      <c r="B5004" s="1" t="str">
        <f>"0000805928"</f>
        <v>0000805928</v>
      </c>
      <c r="C5004" s="1" t="str">
        <f t="shared" si="2038"/>
        <v>0000805778</v>
      </c>
      <c r="D5004" s="1" t="str">
        <f t="shared" si="2043"/>
        <v>73185</v>
      </c>
      <c r="E5004" s="1" t="str">
        <f t="shared" si="2044"/>
        <v>KFH-OPERATIONS DEPARTMENT</v>
      </c>
      <c r="F5004" s="1" t="str">
        <f t="shared" si="2045"/>
        <v>IBG</v>
      </c>
      <c r="G5004" s="1" t="str">
        <f t="shared" ref="G5004:G5067" si="2054">"Refund COSHARE 10"</f>
        <v>Refund COSHARE 10</v>
      </c>
      <c r="H5004" s="3">
        <v>915.05</v>
      </c>
      <c r="I5004" s="4" t="str">
        <f>"ASMI AIRA BINTI ABDULLAH"</f>
        <v>ASMI AIRA BINTI ABDULLAH</v>
      </c>
      <c r="J5004" s="1" t="str">
        <f t="shared" si="2026"/>
        <v>MAYBANK / MAYBANK ISLAMIC</v>
      </c>
      <c r="K5004" s="1" t="str">
        <f>"164173657702"</f>
        <v>164173657702</v>
      </c>
      <c r="L5004" s="1" t="str">
        <f t="shared" si="2041"/>
        <v>04-08-2020</v>
      </c>
      <c r="M5004" s="1" t="str">
        <f t="shared" si="2041"/>
        <v>04-08-2020</v>
      </c>
      <c r="N5004" s="1" t="str">
        <f t="shared" si="2046"/>
        <v>001105018356</v>
      </c>
      <c r="O5004" s="1" t="str">
        <f t="shared" si="2047"/>
        <v>MYR</v>
      </c>
      <c r="P5004" s="1" t="str">
        <f t="shared" si="2042"/>
        <v>NIL</v>
      </c>
      <c r="Q5004" s="1" t="str">
        <f t="shared" si="2042"/>
        <v>NIL</v>
      </c>
      <c r="R5004" s="1" t="str">
        <f t="shared" si="2039"/>
        <v>Unsuccessful</v>
      </c>
      <c r="S5004" s="1" t="str">
        <f t="shared" si="2048"/>
        <v>Approved</v>
      </c>
      <c r="T5004" s="1" t="str">
        <f t="shared" si="2040"/>
        <v>10.20.201.88</v>
      </c>
      <c r="U5004" s="1" t="str">
        <f t="shared" si="2049"/>
        <v>AZRAD UMAR BIN SHAARI</v>
      </c>
      <c r="V5004" s="1" t="str">
        <f t="shared" si="2050"/>
        <v>FARHANA BINTI MUSTAPA</v>
      </c>
      <c r="W5004" s="1" t="str">
        <f t="shared" si="2051"/>
        <v>04-08-2020</v>
      </c>
      <c r="X5004" s="1" t="str">
        <f t="shared" si="2052"/>
        <v>RAZIMAH ANSAR AHMAD</v>
      </c>
      <c r="Y5004" s="1" t="str">
        <f t="shared" si="2053"/>
        <v>04-08-2020</v>
      </c>
      <c r="Z5004" s="1" t="str">
        <f>"COS10200804 4150"</f>
        <v>COS10200804 4150</v>
      </c>
    </row>
    <row r="5005" spans="1:26" s="1" customFormat="1" x14ac:dyDescent="0.25">
      <c r="A5005" s="1" t="str">
        <f t="shared" si="2037"/>
        <v>04-08-2020 12:48:13</v>
      </c>
      <c r="B5005" s="1" t="str">
        <f>"0000805927"</f>
        <v>0000805927</v>
      </c>
      <c r="C5005" s="1" t="str">
        <f t="shared" si="2038"/>
        <v>0000805778</v>
      </c>
      <c r="D5005" s="1" t="str">
        <f t="shared" si="2043"/>
        <v>73185</v>
      </c>
      <c r="E5005" s="1" t="str">
        <f t="shared" si="2044"/>
        <v>KFH-OPERATIONS DEPARTMENT</v>
      </c>
      <c r="F5005" s="1" t="str">
        <f t="shared" si="2045"/>
        <v>IBG</v>
      </c>
      <c r="G5005" s="1" t="str">
        <f t="shared" si="2054"/>
        <v>Refund COSHARE 10</v>
      </c>
      <c r="H5005" s="3">
        <v>151.15</v>
      </c>
      <c r="I5005" s="4" t="str">
        <f>"ASMAWI BIN MD NASIR"</f>
        <v>ASMAWI BIN MD NASIR</v>
      </c>
      <c r="J5005" s="1" t="str">
        <f t="shared" si="2026"/>
        <v>MAYBANK / MAYBANK ISLAMIC</v>
      </c>
      <c r="K5005" s="1" t="str">
        <f>"162106106357"</f>
        <v>162106106357</v>
      </c>
      <c r="L5005" s="1" t="str">
        <f t="shared" si="2041"/>
        <v>04-08-2020</v>
      </c>
      <c r="M5005" s="1" t="str">
        <f t="shared" si="2041"/>
        <v>04-08-2020</v>
      </c>
      <c r="N5005" s="1" t="str">
        <f t="shared" si="2046"/>
        <v>001105018356</v>
      </c>
      <c r="O5005" s="1" t="str">
        <f t="shared" si="2047"/>
        <v>MYR</v>
      </c>
      <c r="P5005" s="1" t="str">
        <f t="shared" si="2042"/>
        <v>NIL</v>
      </c>
      <c r="Q5005" s="1" t="str">
        <f t="shared" si="2042"/>
        <v>NIL</v>
      </c>
      <c r="R5005" s="1" t="str">
        <f t="shared" si="2039"/>
        <v>Unsuccessful</v>
      </c>
      <c r="S5005" s="1" t="str">
        <f t="shared" si="2048"/>
        <v>Approved</v>
      </c>
      <c r="T5005" s="1" t="str">
        <f t="shared" si="2040"/>
        <v>10.20.201.88</v>
      </c>
      <c r="U5005" s="1" t="str">
        <f t="shared" si="2049"/>
        <v>AZRAD UMAR BIN SHAARI</v>
      </c>
      <c r="V5005" s="1" t="str">
        <f t="shared" si="2050"/>
        <v>FARHANA BINTI MUSTAPA</v>
      </c>
      <c r="W5005" s="1" t="str">
        <f t="shared" si="2051"/>
        <v>04-08-2020</v>
      </c>
      <c r="X5005" s="1" t="str">
        <f t="shared" si="2052"/>
        <v>RAZIMAH ANSAR AHMAD</v>
      </c>
      <c r="Y5005" s="1" t="str">
        <f t="shared" si="2053"/>
        <v>04-08-2020</v>
      </c>
      <c r="Z5005" s="1" t="str">
        <f>"COS10200804 4149"</f>
        <v>COS10200804 4149</v>
      </c>
    </row>
    <row r="5006" spans="1:26" s="1" customFormat="1" x14ac:dyDescent="0.25">
      <c r="A5006" s="1" t="str">
        <f t="shared" si="2037"/>
        <v>04-08-2020 12:48:13</v>
      </c>
      <c r="B5006" s="1" t="str">
        <f>"0000805926"</f>
        <v>0000805926</v>
      </c>
      <c r="C5006" s="1" t="str">
        <f t="shared" si="2038"/>
        <v>0000805778</v>
      </c>
      <c r="D5006" s="1" t="str">
        <f t="shared" si="2043"/>
        <v>73185</v>
      </c>
      <c r="E5006" s="1" t="str">
        <f t="shared" si="2044"/>
        <v>KFH-OPERATIONS DEPARTMENT</v>
      </c>
      <c r="F5006" s="1" t="str">
        <f t="shared" si="2045"/>
        <v>IBG</v>
      </c>
      <c r="G5006" s="1" t="str">
        <f t="shared" si="2054"/>
        <v>Refund COSHARE 10</v>
      </c>
      <c r="H5006" s="3">
        <v>431</v>
      </c>
      <c r="I5006" s="4" t="str">
        <f>"ASMAWANI BINTI AHMAD"</f>
        <v>ASMAWANI BINTI AHMAD</v>
      </c>
      <c r="J5006" s="1" t="str">
        <f t="shared" si="2026"/>
        <v>MAYBANK / MAYBANK ISLAMIC</v>
      </c>
      <c r="K5006" s="1" t="str">
        <f>"158060534045"</f>
        <v>158060534045</v>
      </c>
      <c r="L5006" s="1" t="str">
        <f t="shared" si="2041"/>
        <v>04-08-2020</v>
      </c>
      <c r="M5006" s="1" t="str">
        <f t="shared" si="2041"/>
        <v>04-08-2020</v>
      </c>
      <c r="N5006" s="1" t="str">
        <f t="shared" si="2046"/>
        <v>001105018356</v>
      </c>
      <c r="O5006" s="1" t="str">
        <f t="shared" si="2047"/>
        <v>MYR</v>
      </c>
      <c r="P5006" s="1" t="str">
        <f t="shared" si="2042"/>
        <v>NIL</v>
      </c>
      <c r="Q5006" s="1" t="str">
        <f t="shared" si="2042"/>
        <v>NIL</v>
      </c>
      <c r="R5006" s="1" t="str">
        <f t="shared" si="2039"/>
        <v>Unsuccessful</v>
      </c>
      <c r="S5006" s="1" t="str">
        <f t="shared" si="2048"/>
        <v>Approved</v>
      </c>
      <c r="T5006" s="1" t="str">
        <f t="shared" si="2040"/>
        <v>10.20.201.88</v>
      </c>
      <c r="U5006" s="1" t="str">
        <f t="shared" si="2049"/>
        <v>AZRAD UMAR BIN SHAARI</v>
      </c>
      <c r="V5006" s="1" t="str">
        <f t="shared" si="2050"/>
        <v>FARHANA BINTI MUSTAPA</v>
      </c>
      <c r="W5006" s="1" t="str">
        <f t="shared" si="2051"/>
        <v>04-08-2020</v>
      </c>
      <c r="X5006" s="1" t="str">
        <f t="shared" si="2052"/>
        <v>RAZIMAH ANSAR AHMAD</v>
      </c>
      <c r="Y5006" s="1" t="str">
        <f t="shared" si="2053"/>
        <v>04-08-2020</v>
      </c>
      <c r="Z5006" s="1" t="str">
        <f>"COS10200804 4148"</f>
        <v>COS10200804 4148</v>
      </c>
    </row>
    <row r="5007" spans="1:26" s="1" customFormat="1" x14ac:dyDescent="0.25">
      <c r="A5007" s="1" t="str">
        <f t="shared" si="2037"/>
        <v>04-08-2020 12:48:13</v>
      </c>
      <c r="B5007" s="1" t="str">
        <f>"0000805925"</f>
        <v>0000805925</v>
      </c>
      <c r="C5007" s="1" t="str">
        <f t="shared" si="2038"/>
        <v>0000805778</v>
      </c>
      <c r="D5007" s="1" t="str">
        <f t="shared" si="2043"/>
        <v>73185</v>
      </c>
      <c r="E5007" s="1" t="str">
        <f t="shared" si="2044"/>
        <v>KFH-OPERATIONS DEPARTMENT</v>
      </c>
      <c r="F5007" s="1" t="str">
        <f t="shared" si="2045"/>
        <v>IBG</v>
      </c>
      <c r="G5007" s="1" t="str">
        <f t="shared" si="2054"/>
        <v>Refund COSHARE 10</v>
      </c>
      <c r="H5007" s="3">
        <v>1427.15</v>
      </c>
      <c r="I5007" s="4" t="str">
        <f>"ASMAWAN BIN ATAN"</f>
        <v>ASMAWAN BIN ATAN</v>
      </c>
      <c r="J5007" s="1" t="str">
        <f t="shared" si="2026"/>
        <v>MAYBANK / MAYBANK ISLAMIC</v>
      </c>
      <c r="K5007" s="1" t="str">
        <f>"164016953573"</f>
        <v>164016953573</v>
      </c>
      <c r="L5007" s="1" t="str">
        <f t="shared" ref="L5007:M5026" si="2055">"04-08-2020"</f>
        <v>04-08-2020</v>
      </c>
      <c r="M5007" s="1" t="str">
        <f t="shared" si="2055"/>
        <v>04-08-2020</v>
      </c>
      <c r="N5007" s="1" t="str">
        <f t="shared" si="2046"/>
        <v>001105018356</v>
      </c>
      <c r="O5007" s="1" t="str">
        <f t="shared" si="2047"/>
        <v>MYR</v>
      </c>
      <c r="P5007" s="1" t="str">
        <f t="shared" ref="P5007:Q5026" si="2056">"NIL"</f>
        <v>NIL</v>
      </c>
      <c r="Q5007" s="1" t="str">
        <f t="shared" si="2056"/>
        <v>NIL</v>
      </c>
      <c r="R5007" s="1" t="str">
        <f t="shared" si="2039"/>
        <v>Unsuccessful</v>
      </c>
      <c r="S5007" s="1" t="str">
        <f t="shared" si="2048"/>
        <v>Approved</v>
      </c>
      <c r="T5007" s="1" t="str">
        <f t="shared" si="2040"/>
        <v>10.20.201.88</v>
      </c>
      <c r="U5007" s="1" t="str">
        <f t="shared" si="2049"/>
        <v>AZRAD UMAR BIN SHAARI</v>
      </c>
      <c r="V5007" s="1" t="str">
        <f t="shared" si="2050"/>
        <v>FARHANA BINTI MUSTAPA</v>
      </c>
      <c r="W5007" s="1" t="str">
        <f t="shared" si="2051"/>
        <v>04-08-2020</v>
      </c>
      <c r="X5007" s="1" t="str">
        <f t="shared" si="2052"/>
        <v>RAZIMAH ANSAR AHMAD</v>
      </c>
      <c r="Y5007" s="1" t="str">
        <f t="shared" si="2053"/>
        <v>04-08-2020</v>
      </c>
      <c r="Z5007" s="1" t="str">
        <f>"COS10200804 4147"</f>
        <v>COS10200804 4147</v>
      </c>
    </row>
    <row r="5008" spans="1:26" s="1" customFormat="1" x14ac:dyDescent="0.25">
      <c r="A5008" s="1" t="str">
        <f t="shared" si="2037"/>
        <v>04-08-2020 12:48:13</v>
      </c>
      <c r="B5008" s="1" t="str">
        <f>"0000805924"</f>
        <v>0000805924</v>
      </c>
      <c r="C5008" s="1" t="str">
        <f t="shared" si="2038"/>
        <v>0000805778</v>
      </c>
      <c r="D5008" s="1" t="str">
        <f t="shared" si="2043"/>
        <v>73185</v>
      </c>
      <c r="E5008" s="1" t="str">
        <f t="shared" si="2044"/>
        <v>KFH-OPERATIONS DEPARTMENT</v>
      </c>
      <c r="F5008" s="1" t="str">
        <f t="shared" si="2045"/>
        <v>IBG</v>
      </c>
      <c r="G5008" s="1" t="str">
        <f t="shared" si="2054"/>
        <v>Refund COSHARE 10</v>
      </c>
      <c r="H5008" s="3">
        <v>588.85</v>
      </c>
      <c r="I5008" s="4" t="str">
        <f>"ASMAH BINTI YUSOF"</f>
        <v>ASMAH BINTI YUSOF</v>
      </c>
      <c r="J5008" s="1" t="str">
        <f t="shared" si="2026"/>
        <v>MAYBANK / MAYBANK ISLAMIC</v>
      </c>
      <c r="K5008" s="1" t="str">
        <f>"156114092152"</f>
        <v>156114092152</v>
      </c>
      <c r="L5008" s="1" t="str">
        <f t="shared" si="2055"/>
        <v>04-08-2020</v>
      </c>
      <c r="M5008" s="1" t="str">
        <f t="shared" si="2055"/>
        <v>04-08-2020</v>
      </c>
      <c r="N5008" s="1" t="str">
        <f t="shared" si="2046"/>
        <v>001105018356</v>
      </c>
      <c r="O5008" s="1" t="str">
        <f t="shared" si="2047"/>
        <v>MYR</v>
      </c>
      <c r="P5008" s="1" t="str">
        <f t="shared" si="2056"/>
        <v>NIL</v>
      </c>
      <c r="Q5008" s="1" t="str">
        <f t="shared" si="2056"/>
        <v>NIL</v>
      </c>
      <c r="R5008" s="1" t="str">
        <f t="shared" si="2039"/>
        <v>Unsuccessful</v>
      </c>
      <c r="S5008" s="1" t="str">
        <f t="shared" si="2048"/>
        <v>Approved</v>
      </c>
      <c r="T5008" s="1" t="str">
        <f t="shared" si="2040"/>
        <v>10.20.201.88</v>
      </c>
      <c r="U5008" s="1" t="str">
        <f t="shared" si="2049"/>
        <v>AZRAD UMAR BIN SHAARI</v>
      </c>
      <c r="V5008" s="1" t="str">
        <f t="shared" si="2050"/>
        <v>FARHANA BINTI MUSTAPA</v>
      </c>
      <c r="W5008" s="1" t="str">
        <f t="shared" si="2051"/>
        <v>04-08-2020</v>
      </c>
      <c r="X5008" s="1" t="str">
        <f t="shared" si="2052"/>
        <v>RAZIMAH ANSAR AHMAD</v>
      </c>
      <c r="Y5008" s="1" t="str">
        <f t="shared" si="2053"/>
        <v>04-08-2020</v>
      </c>
      <c r="Z5008" s="1" t="str">
        <f>"COS10200804 4146"</f>
        <v>COS10200804 4146</v>
      </c>
    </row>
    <row r="5009" spans="1:26" s="1" customFormat="1" x14ac:dyDescent="0.25">
      <c r="A5009" s="1" t="str">
        <f t="shared" si="2037"/>
        <v>04-08-2020 12:48:13</v>
      </c>
      <c r="B5009" s="1" t="str">
        <f>"0000805923"</f>
        <v>0000805923</v>
      </c>
      <c r="C5009" s="1" t="str">
        <f t="shared" si="2038"/>
        <v>0000805778</v>
      </c>
      <c r="D5009" s="1" t="str">
        <f t="shared" si="2043"/>
        <v>73185</v>
      </c>
      <c r="E5009" s="1" t="str">
        <f t="shared" si="2044"/>
        <v>KFH-OPERATIONS DEPARTMENT</v>
      </c>
      <c r="F5009" s="1" t="str">
        <f t="shared" si="2045"/>
        <v>IBG</v>
      </c>
      <c r="G5009" s="1" t="str">
        <f t="shared" si="2054"/>
        <v>Refund COSHARE 10</v>
      </c>
      <c r="H5009" s="3">
        <v>503.7</v>
      </c>
      <c r="I5009" s="4" t="str">
        <f>"ASMAH BINTI HARON"</f>
        <v>ASMAH BINTI HARON</v>
      </c>
      <c r="J5009" s="1" t="str">
        <f t="shared" ref="J5009:J5072" si="2057">"MAYBANK / MAYBANK ISLAMIC"</f>
        <v>MAYBANK / MAYBANK ISLAMIC</v>
      </c>
      <c r="K5009" s="1" t="str">
        <f>"152040255880"</f>
        <v>152040255880</v>
      </c>
      <c r="L5009" s="1" t="str">
        <f t="shared" si="2055"/>
        <v>04-08-2020</v>
      </c>
      <c r="M5009" s="1" t="str">
        <f t="shared" si="2055"/>
        <v>04-08-2020</v>
      </c>
      <c r="N5009" s="1" t="str">
        <f t="shared" si="2046"/>
        <v>001105018356</v>
      </c>
      <c r="O5009" s="1" t="str">
        <f t="shared" si="2047"/>
        <v>MYR</v>
      </c>
      <c r="P5009" s="1" t="str">
        <f t="shared" si="2056"/>
        <v>NIL</v>
      </c>
      <c r="Q5009" s="1" t="str">
        <f t="shared" si="2056"/>
        <v>NIL</v>
      </c>
      <c r="R5009" s="1" t="str">
        <f t="shared" si="2039"/>
        <v>Unsuccessful</v>
      </c>
      <c r="S5009" s="1" t="str">
        <f t="shared" si="2048"/>
        <v>Approved</v>
      </c>
      <c r="T5009" s="1" t="str">
        <f t="shared" si="2040"/>
        <v>10.20.201.88</v>
      </c>
      <c r="U5009" s="1" t="str">
        <f t="shared" si="2049"/>
        <v>AZRAD UMAR BIN SHAARI</v>
      </c>
      <c r="V5009" s="1" t="str">
        <f t="shared" si="2050"/>
        <v>FARHANA BINTI MUSTAPA</v>
      </c>
      <c r="W5009" s="1" t="str">
        <f t="shared" si="2051"/>
        <v>04-08-2020</v>
      </c>
      <c r="X5009" s="1" t="str">
        <f t="shared" si="2052"/>
        <v>RAZIMAH ANSAR AHMAD</v>
      </c>
      <c r="Y5009" s="1" t="str">
        <f t="shared" si="2053"/>
        <v>04-08-2020</v>
      </c>
      <c r="Z5009" s="1" t="str">
        <f>"COS10200804 4145"</f>
        <v>COS10200804 4145</v>
      </c>
    </row>
    <row r="5010" spans="1:26" s="1" customFormat="1" x14ac:dyDescent="0.25">
      <c r="A5010" s="1" t="str">
        <f t="shared" si="2037"/>
        <v>04-08-2020 12:48:13</v>
      </c>
      <c r="B5010" s="1" t="str">
        <f>"0000805922"</f>
        <v>0000805922</v>
      </c>
      <c r="C5010" s="1" t="str">
        <f t="shared" si="2038"/>
        <v>0000805778</v>
      </c>
      <c r="D5010" s="1" t="str">
        <f t="shared" si="2043"/>
        <v>73185</v>
      </c>
      <c r="E5010" s="1" t="str">
        <f t="shared" si="2044"/>
        <v>KFH-OPERATIONS DEPARTMENT</v>
      </c>
      <c r="F5010" s="1" t="str">
        <f t="shared" si="2045"/>
        <v>IBG</v>
      </c>
      <c r="G5010" s="1" t="str">
        <f t="shared" si="2054"/>
        <v>Refund COSHARE 10</v>
      </c>
      <c r="H5010" s="3">
        <v>347</v>
      </c>
      <c r="I5010" s="4" t="str">
        <f>"ASMAH  ASNAH BINTI SALLEH"</f>
        <v>ASMAH  ASNAH BINTI SALLEH</v>
      </c>
      <c r="J5010" s="1" t="str">
        <f t="shared" si="2057"/>
        <v>MAYBANK / MAYBANK ISLAMIC</v>
      </c>
      <c r="K5010" s="1" t="str">
        <f>"160045284612"</f>
        <v>160045284612</v>
      </c>
      <c r="L5010" s="1" t="str">
        <f t="shared" si="2055"/>
        <v>04-08-2020</v>
      </c>
      <c r="M5010" s="1" t="str">
        <f t="shared" si="2055"/>
        <v>04-08-2020</v>
      </c>
      <c r="N5010" s="1" t="str">
        <f t="shared" si="2046"/>
        <v>001105018356</v>
      </c>
      <c r="O5010" s="1" t="str">
        <f t="shared" si="2047"/>
        <v>MYR</v>
      </c>
      <c r="P5010" s="1" t="str">
        <f t="shared" si="2056"/>
        <v>NIL</v>
      </c>
      <c r="Q5010" s="1" t="str">
        <f t="shared" si="2056"/>
        <v>NIL</v>
      </c>
      <c r="R5010" s="1" t="str">
        <f t="shared" si="2039"/>
        <v>Unsuccessful</v>
      </c>
      <c r="S5010" s="1" t="str">
        <f t="shared" si="2048"/>
        <v>Approved</v>
      </c>
      <c r="T5010" s="1" t="str">
        <f t="shared" si="2040"/>
        <v>10.20.201.88</v>
      </c>
      <c r="U5010" s="1" t="str">
        <f t="shared" si="2049"/>
        <v>AZRAD UMAR BIN SHAARI</v>
      </c>
      <c r="V5010" s="1" t="str">
        <f t="shared" si="2050"/>
        <v>FARHANA BINTI MUSTAPA</v>
      </c>
      <c r="W5010" s="1" t="str">
        <f t="shared" si="2051"/>
        <v>04-08-2020</v>
      </c>
      <c r="X5010" s="1" t="str">
        <f t="shared" si="2052"/>
        <v>RAZIMAH ANSAR AHMAD</v>
      </c>
      <c r="Y5010" s="1" t="str">
        <f t="shared" si="2053"/>
        <v>04-08-2020</v>
      </c>
      <c r="Z5010" s="1" t="str">
        <f>"COS10200804 4144"</f>
        <v>COS10200804 4144</v>
      </c>
    </row>
    <row r="5011" spans="1:26" s="1" customFormat="1" x14ac:dyDescent="0.25">
      <c r="A5011" s="1" t="str">
        <f t="shared" si="2037"/>
        <v>04-08-2020 12:48:13</v>
      </c>
      <c r="B5011" s="1" t="str">
        <f>"0000805921"</f>
        <v>0000805921</v>
      </c>
      <c r="C5011" s="1" t="str">
        <f t="shared" si="2038"/>
        <v>0000805778</v>
      </c>
      <c r="D5011" s="1" t="str">
        <f t="shared" si="2043"/>
        <v>73185</v>
      </c>
      <c r="E5011" s="1" t="str">
        <f t="shared" si="2044"/>
        <v>KFH-OPERATIONS DEPARTMENT</v>
      </c>
      <c r="F5011" s="1" t="str">
        <f t="shared" si="2045"/>
        <v>IBG</v>
      </c>
      <c r="G5011" s="1" t="str">
        <f t="shared" si="2054"/>
        <v>Refund COSHARE 10</v>
      </c>
      <c r="H5011" s="3">
        <v>226.7</v>
      </c>
      <c r="I5011" s="4" t="str">
        <f>"ASLINDAWATI BINTI MOHAMAD"</f>
        <v>ASLINDAWATI BINTI MOHAMAD</v>
      </c>
      <c r="J5011" s="1" t="str">
        <f t="shared" si="2057"/>
        <v>MAYBANK / MAYBANK ISLAMIC</v>
      </c>
      <c r="K5011" s="1" t="str">
        <f>"158154028001"</f>
        <v>158154028001</v>
      </c>
      <c r="L5011" s="1" t="str">
        <f t="shared" si="2055"/>
        <v>04-08-2020</v>
      </c>
      <c r="M5011" s="1" t="str">
        <f t="shared" si="2055"/>
        <v>04-08-2020</v>
      </c>
      <c r="N5011" s="1" t="str">
        <f t="shared" si="2046"/>
        <v>001105018356</v>
      </c>
      <c r="O5011" s="1" t="str">
        <f t="shared" si="2047"/>
        <v>MYR</v>
      </c>
      <c r="P5011" s="1" t="str">
        <f t="shared" si="2056"/>
        <v>NIL</v>
      </c>
      <c r="Q5011" s="1" t="str">
        <f t="shared" si="2056"/>
        <v>NIL</v>
      </c>
      <c r="R5011" s="1" t="str">
        <f t="shared" si="2039"/>
        <v>Unsuccessful</v>
      </c>
      <c r="S5011" s="1" t="str">
        <f t="shared" si="2048"/>
        <v>Approved</v>
      </c>
      <c r="T5011" s="1" t="str">
        <f t="shared" si="2040"/>
        <v>10.20.201.88</v>
      </c>
      <c r="U5011" s="1" t="str">
        <f t="shared" si="2049"/>
        <v>AZRAD UMAR BIN SHAARI</v>
      </c>
      <c r="V5011" s="1" t="str">
        <f t="shared" si="2050"/>
        <v>FARHANA BINTI MUSTAPA</v>
      </c>
      <c r="W5011" s="1" t="str">
        <f t="shared" si="2051"/>
        <v>04-08-2020</v>
      </c>
      <c r="X5011" s="1" t="str">
        <f t="shared" si="2052"/>
        <v>RAZIMAH ANSAR AHMAD</v>
      </c>
      <c r="Y5011" s="1" t="str">
        <f t="shared" si="2053"/>
        <v>04-08-2020</v>
      </c>
      <c r="Z5011" s="1" t="str">
        <f>"COS10200804 4143"</f>
        <v>COS10200804 4143</v>
      </c>
    </row>
    <row r="5012" spans="1:26" s="1" customFormat="1" x14ac:dyDescent="0.25">
      <c r="A5012" s="1" t="str">
        <f t="shared" si="2037"/>
        <v>04-08-2020 12:48:13</v>
      </c>
      <c r="B5012" s="1" t="str">
        <f>"0000805920"</f>
        <v>0000805920</v>
      </c>
      <c r="C5012" s="1" t="str">
        <f t="shared" si="2038"/>
        <v>0000805778</v>
      </c>
      <c r="D5012" s="1" t="str">
        <f t="shared" si="2043"/>
        <v>73185</v>
      </c>
      <c r="E5012" s="1" t="str">
        <f t="shared" si="2044"/>
        <v>KFH-OPERATIONS DEPARTMENT</v>
      </c>
      <c r="F5012" s="1" t="str">
        <f t="shared" si="2045"/>
        <v>IBG</v>
      </c>
      <c r="G5012" s="1" t="str">
        <f t="shared" si="2054"/>
        <v>Refund COSHARE 10</v>
      </c>
      <c r="H5012" s="3">
        <v>456</v>
      </c>
      <c r="I5012" s="4" t="str">
        <f>"ASLINDA BINTI RABAT"</f>
        <v>ASLINDA BINTI RABAT</v>
      </c>
      <c r="J5012" s="1" t="str">
        <f t="shared" si="2057"/>
        <v>MAYBANK / MAYBANK ISLAMIC</v>
      </c>
      <c r="K5012" s="1" t="str">
        <f>"112035193451"</f>
        <v>112035193451</v>
      </c>
      <c r="L5012" s="1" t="str">
        <f t="shared" si="2055"/>
        <v>04-08-2020</v>
      </c>
      <c r="M5012" s="1" t="str">
        <f t="shared" si="2055"/>
        <v>04-08-2020</v>
      </c>
      <c r="N5012" s="1" t="str">
        <f t="shared" si="2046"/>
        <v>001105018356</v>
      </c>
      <c r="O5012" s="1" t="str">
        <f t="shared" si="2047"/>
        <v>MYR</v>
      </c>
      <c r="P5012" s="1" t="str">
        <f t="shared" si="2056"/>
        <v>NIL</v>
      </c>
      <c r="Q5012" s="1" t="str">
        <f t="shared" si="2056"/>
        <v>NIL</v>
      </c>
      <c r="R5012" s="1" t="str">
        <f t="shared" si="2039"/>
        <v>Unsuccessful</v>
      </c>
      <c r="S5012" s="1" t="str">
        <f t="shared" si="2048"/>
        <v>Approved</v>
      </c>
      <c r="T5012" s="1" t="str">
        <f t="shared" si="2040"/>
        <v>10.20.201.88</v>
      </c>
      <c r="U5012" s="1" t="str">
        <f t="shared" si="2049"/>
        <v>AZRAD UMAR BIN SHAARI</v>
      </c>
      <c r="V5012" s="1" t="str">
        <f t="shared" si="2050"/>
        <v>FARHANA BINTI MUSTAPA</v>
      </c>
      <c r="W5012" s="1" t="str">
        <f t="shared" si="2051"/>
        <v>04-08-2020</v>
      </c>
      <c r="X5012" s="1" t="str">
        <f t="shared" si="2052"/>
        <v>RAZIMAH ANSAR AHMAD</v>
      </c>
      <c r="Y5012" s="1" t="str">
        <f t="shared" si="2053"/>
        <v>04-08-2020</v>
      </c>
      <c r="Z5012" s="1" t="str">
        <f>"COS10200804 4142"</f>
        <v>COS10200804 4142</v>
      </c>
    </row>
    <row r="5013" spans="1:26" s="1" customFormat="1" x14ac:dyDescent="0.25">
      <c r="A5013" s="1" t="str">
        <f t="shared" si="2037"/>
        <v>04-08-2020 12:48:13</v>
      </c>
      <c r="B5013" s="1" t="str">
        <f>"0000805919"</f>
        <v>0000805919</v>
      </c>
      <c r="C5013" s="1" t="str">
        <f t="shared" si="2038"/>
        <v>0000805778</v>
      </c>
      <c r="D5013" s="1" t="str">
        <f t="shared" si="2043"/>
        <v>73185</v>
      </c>
      <c r="E5013" s="1" t="str">
        <f t="shared" si="2044"/>
        <v>KFH-OPERATIONS DEPARTMENT</v>
      </c>
      <c r="F5013" s="1" t="str">
        <f t="shared" si="2045"/>
        <v>IBG</v>
      </c>
      <c r="G5013" s="1" t="str">
        <f t="shared" si="2054"/>
        <v>Refund COSHARE 10</v>
      </c>
      <c r="H5013" s="3">
        <v>1830</v>
      </c>
      <c r="I5013" s="4" t="str">
        <f>"ASLINA BINTI BONARI"</f>
        <v>ASLINA BINTI BONARI</v>
      </c>
      <c r="J5013" s="1" t="str">
        <f t="shared" si="2057"/>
        <v>MAYBANK / MAYBANK ISLAMIC</v>
      </c>
      <c r="K5013" s="1" t="str">
        <f>"114263038009"</f>
        <v>114263038009</v>
      </c>
      <c r="L5013" s="1" t="str">
        <f t="shared" si="2055"/>
        <v>04-08-2020</v>
      </c>
      <c r="M5013" s="1" t="str">
        <f t="shared" si="2055"/>
        <v>04-08-2020</v>
      </c>
      <c r="N5013" s="1" t="str">
        <f t="shared" si="2046"/>
        <v>001105018356</v>
      </c>
      <c r="O5013" s="1" t="str">
        <f t="shared" si="2047"/>
        <v>MYR</v>
      </c>
      <c r="P5013" s="1" t="str">
        <f t="shared" si="2056"/>
        <v>NIL</v>
      </c>
      <c r="Q5013" s="1" t="str">
        <f t="shared" si="2056"/>
        <v>NIL</v>
      </c>
      <c r="R5013" s="1" t="str">
        <f t="shared" si="2039"/>
        <v>Unsuccessful</v>
      </c>
      <c r="S5013" s="1" t="str">
        <f t="shared" si="2048"/>
        <v>Approved</v>
      </c>
      <c r="T5013" s="1" t="str">
        <f t="shared" si="2040"/>
        <v>10.20.201.88</v>
      </c>
      <c r="U5013" s="1" t="str">
        <f t="shared" si="2049"/>
        <v>AZRAD UMAR BIN SHAARI</v>
      </c>
      <c r="V5013" s="1" t="str">
        <f t="shared" si="2050"/>
        <v>FARHANA BINTI MUSTAPA</v>
      </c>
      <c r="W5013" s="1" t="str">
        <f t="shared" si="2051"/>
        <v>04-08-2020</v>
      </c>
      <c r="X5013" s="1" t="str">
        <f t="shared" si="2052"/>
        <v>RAZIMAH ANSAR AHMAD</v>
      </c>
      <c r="Y5013" s="1" t="str">
        <f t="shared" si="2053"/>
        <v>04-08-2020</v>
      </c>
      <c r="Z5013" s="1" t="str">
        <f>"COS10200804 4141"</f>
        <v>COS10200804 4141</v>
      </c>
    </row>
    <row r="5014" spans="1:26" s="1" customFormat="1" x14ac:dyDescent="0.25">
      <c r="A5014" s="1" t="str">
        <f t="shared" si="2037"/>
        <v>04-08-2020 12:48:13</v>
      </c>
      <c r="B5014" s="1" t="str">
        <f>"0000805918"</f>
        <v>0000805918</v>
      </c>
      <c r="C5014" s="1" t="str">
        <f t="shared" si="2038"/>
        <v>0000805778</v>
      </c>
      <c r="D5014" s="1" t="str">
        <f t="shared" si="2043"/>
        <v>73185</v>
      </c>
      <c r="E5014" s="1" t="str">
        <f t="shared" si="2044"/>
        <v>KFH-OPERATIONS DEPARTMENT</v>
      </c>
      <c r="F5014" s="1" t="str">
        <f t="shared" si="2045"/>
        <v>IBG</v>
      </c>
      <c r="G5014" s="1" t="str">
        <f t="shared" si="2054"/>
        <v>Refund COSHARE 10</v>
      </c>
      <c r="H5014" s="3">
        <v>109.15</v>
      </c>
      <c r="I5014" s="4" t="str">
        <f>"ASIAH BINTI NASSIM"</f>
        <v>ASIAH BINTI NASSIM</v>
      </c>
      <c r="J5014" s="1" t="str">
        <f t="shared" si="2057"/>
        <v>MAYBANK / MAYBANK ISLAMIC</v>
      </c>
      <c r="K5014" s="1" t="str">
        <f>"110153030793"</f>
        <v>110153030793</v>
      </c>
      <c r="L5014" s="1" t="str">
        <f t="shared" si="2055"/>
        <v>04-08-2020</v>
      </c>
      <c r="M5014" s="1" t="str">
        <f t="shared" si="2055"/>
        <v>04-08-2020</v>
      </c>
      <c r="N5014" s="1" t="str">
        <f t="shared" si="2046"/>
        <v>001105018356</v>
      </c>
      <c r="O5014" s="1" t="str">
        <f t="shared" si="2047"/>
        <v>MYR</v>
      </c>
      <c r="P5014" s="1" t="str">
        <f t="shared" si="2056"/>
        <v>NIL</v>
      </c>
      <c r="Q5014" s="1" t="str">
        <f t="shared" si="2056"/>
        <v>NIL</v>
      </c>
      <c r="R5014" s="1" t="str">
        <f t="shared" si="2039"/>
        <v>Unsuccessful</v>
      </c>
      <c r="S5014" s="1" t="str">
        <f t="shared" si="2048"/>
        <v>Approved</v>
      </c>
      <c r="T5014" s="1" t="str">
        <f t="shared" si="2040"/>
        <v>10.20.201.88</v>
      </c>
      <c r="U5014" s="1" t="str">
        <f t="shared" si="2049"/>
        <v>AZRAD UMAR BIN SHAARI</v>
      </c>
      <c r="V5014" s="1" t="str">
        <f t="shared" si="2050"/>
        <v>FARHANA BINTI MUSTAPA</v>
      </c>
      <c r="W5014" s="1" t="str">
        <f t="shared" si="2051"/>
        <v>04-08-2020</v>
      </c>
      <c r="X5014" s="1" t="str">
        <f t="shared" si="2052"/>
        <v>RAZIMAH ANSAR AHMAD</v>
      </c>
      <c r="Y5014" s="1" t="str">
        <f t="shared" si="2053"/>
        <v>04-08-2020</v>
      </c>
      <c r="Z5014" s="1" t="str">
        <f>"COS10200804 4140"</f>
        <v>COS10200804 4140</v>
      </c>
    </row>
    <row r="5015" spans="1:26" s="1" customFormat="1" x14ac:dyDescent="0.25">
      <c r="A5015" s="1" t="str">
        <f t="shared" si="2037"/>
        <v>04-08-2020 12:48:13</v>
      </c>
      <c r="B5015" s="1" t="str">
        <f>"0000805917"</f>
        <v>0000805917</v>
      </c>
      <c r="C5015" s="1" t="str">
        <f t="shared" si="2038"/>
        <v>0000805778</v>
      </c>
      <c r="D5015" s="1" t="str">
        <f t="shared" si="2043"/>
        <v>73185</v>
      </c>
      <c r="E5015" s="1" t="str">
        <f t="shared" si="2044"/>
        <v>KFH-OPERATIONS DEPARTMENT</v>
      </c>
      <c r="F5015" s="1" t="str">
        <f t="shared" si="2045"/>
        <v>IBG</v>
      </c>
      <c r="G5015" s="1" t="str">
        <f t="shared" si="2054"/>
        <v>Refund COSHARE 10</v>
      </c>
      <c r="H5015" s="3">
        <v>122.8</v>
      </c>
      <c r="I5015" s="4" t="str">
        <f>"ASIAH BINTI JAMAT"</f>
        <v>ASIAH BINTI JAMAT</v>
      </c>
      <c r="J5015" s="1" t="str">
        <f t="shared" si="2057"/>
        <v>MAYBANK / MAYBANK ISLAMIC</v>
      </c>
      <c r="K5015" s="1" t="str">
        <f>"162375605094"</f>
        <v>162375605094</v>
      </c>
      <c r="L5015" s="1" t="str">
        <f t="shared" si="2055"/>
        <v>04-08-2020</v>
      </c>
      <c r="M5015" s="1" t="str">
        <f t="shared" si="2055"/>
        <v>04-08-2020</v>
      </c>
      <c r="N5015" s="1" t="str">
        <f t="shared" si="2046"/>
        <v>001105018356</v>
      </c>
      <c r="O5015" s="1" t="str">
        <f t="shared" si="2047"/>
        <v>MYR</v>
      </c>
      <c r="P5015" s="1" t="str">
        <f t="shared" si="2056"/>
        <v>NIL</v>
      </c>
      <c r="Q5015" s="1" t="str">
        <f t="shared" si="2056"/>
        <v>NIL</v>
      </c>
      <c r="R5015" s="1" t="str">
        <f t="shared" si="2039"/>
        <v>Unsuccessful</v>
      </c>
      <c r="S5015" s="1" t="str">
        <f t="shared" si="2048"/>
        <v>Approved</v>
      </c>
      <c r="T5015" s="1" t="str">
        <f t="shared" si="2040"/>
        <v>10.20.201.88</v>
      </c>
      <c r="U5015" s="1" t="str">
        <f t="shared" si="2049"/>
        <v>AZRAD UMAR BIN SHAARI</v>
      </c>
      <c r="V5015" s="1" t="str">
        <f t="shared" si="2050"/>
        <v>FARHANA BINTI MUSTAPA</v>
      </c>
      <c r="W5015" s="1" t="str">
        <f t="shared" si="2051"/>
        <v>04-08-2020</v>
      </c>
      <c r="X5015" s="1" t="str">
        <f t="shared" si="2052"/>
        <v>RAZIMAH ANSAR AHMAD</v>
      </c>
      <c r="Y5015" s="1" t="str">
        <f t="shared" si="2053"/>
        <v>04-08-2020</v>
      </c>
      <c r="Z5015" s="1" t="str">
        <f>"COS10200804 4139"</f>
        <v>COS10200804 4139</v>
      </c>
    </row>
    <row r="5016" spans="1:26" s="1" customFormat="1" x14ac:dyDescent="0.25">
      <c r="A5016" s="1" t="str">
        <f t="shared" si="2037"/>
        <v>04-08-2020 12:48:13</v>
      </c>
      <c r="B5016" s="1" t="str">
        <f>"0000805916"</f>
        <v>0000805916</v>
      </c>
      <c r="C5016" s="1" t="str">
        <f t="shared" si="2038"/>
        <v>0000805778</v>
      </c>
      <c r="D5016" s="1" t="str">
        <f t="shared" si="2043"/>
        <v>73185</v>
      </c>
      <c r="E5016" s="1" t="str">
        <f t="shared" si="2044"/>
        <v>KFH-OPERATIONS DEPARTMENT</v>
      </c>
      <c r="F5016" s="1" t="str">
        <f t="shared" si="2045"/>
        <v>IBG</v>
      </c>
      <c r="G5016" s="1" t="str">
        <f t="shared" si="2054"/>
        <v>Refund COSHARE 10</v>
      </c>
      <c r="H5016" s="3">
        <v>88.7</v>
      </c>
      <c r="I5016" s="4" t="str">
        <f>"ASIAH BINTI AZIZ"</f>
        <v>ASIAH BINTI AZIZ</v>
      </c>
      <c r="J5016" s="1" t="str">
        <f t="shared" si="2057"/>
        <v>MAYBANK / MAYBANK ISLAMIC</v>
      </c>
      <c r="K5016" s="1" t="str">
        <f>"160166095271"</f>
        <v>160166095271</v>
      </c>
      <c r="L5016" s="1" t="str">
        <f t="shared" si="2055"/>
        <v>04-08-2020</v>
      </c>
      <c r="M5016" s="1" t="str">
        <f t="shared" si="2055"/>
        <v>04-08-2020</v>
      </c>
      <c r="N5016" s="1" t="str">
        <f t="shared" si="2046"/>
        <v>001105018356</v>
      </c>
      <c r="O5016" s="1" t="str">
        <f t="shared" si="2047"/>
        <v>MYR</v>
      </c>
      <c r="P5016" s="1" t="str">
        <f t="shared" si="2056"/>
        <v>NIL</v>
      </c>
      <c r="Q5016" s="1" t="str">
        <f t="shared" si="2056"/>
        <v>NIL</v>
      </c>
      <c r="R5016" s="1" t="str">
        <f t="shared" si="2039"/>
        <v>Unsuccessful</v>
      </c>
      <c r="S5016" s="1" t="str">
        <f t="shared" si="2048"/>
        <v>Approved</v>
      </c>
      <c r="T5016" s="1" t="str">
        <f t="shared" si="2040"/>
        <v>10.20.201.88</v>
      </c>
      <c r="U5016" s="1" t="str">
        <f t="shared" si="2049"/>
        <v>AZRAD UMAR BIN SHAARI</v>
      </c>
      <c r="V5016" s="1" t="str">
        <f t="shared" si="2050"/>
        <v>FARHANA BINTI MUSTAPA</v>
      </c>
      <c r="W5016" s="1" t="str">
        <f t="shared" si="2051"/>
        <v>04-08-2020</v>
      </c>
      <c r="X5016" s="1" t="str">
        <f t="shared" si="2052"/>
        <v>RAZIMAH ANSAR AHMAD</v>
      </c>
      <c r="Y5016" s="1" t="str">
        <f t="shared" si="2053"/>
        <v>04-08-2020</v>
      </c>
      <c r="Z5016" s="1" t="str">
        <f>"COS10200804 4138"</f>
        <v>COS10200804 4138</v>
      </c>
    </row>
    <row r="5017" spans="1:26" s="1" customFormat="1" x14ac:dyDescent="0.25">
      <c r="A5017" s="1" t="str">
        <f t="shared" si="2037"/>
        <v>04-08-2020 12:48:13</v>
      </c>
      <c r="B5017" s="1" t="str">
        <f>"0000805915"</f>
        <v>0000805915</v>
      </c>
      <c r="C5017" s="1" t="str">
        <f t="shared" si="2038"/>
        <v>0000805778</v>
      </c>
      <c r="D5017" s="1" t="str">
        <f t="shared" si="2043"/>
        <v>73185</v>
      </c>
      <c r="E5017" s="1" t="str">
        <f t="shared" si="2044"/>
        <v>KFH-OPERATIONS DEPARTMENT</v>
      </c>
      <c r="F5017" s="1" t="str">
        <f t="shared" si="2045"/>
        <v>IBG</v>
      </c>
      <c r="G5017" s="1" t="str">
        <f t="shared" si="2054"/>
        <v>Refund COSHARE 10</v>
      </c>
      <c r="H5017" s="3">
        <v>352.6</v>
      </c>
      <c r="I5017" s="4" t="str">
        <f>"ASHMELISSA BINTI SAHARI"</f>
        <v>ASHMELISSA BINTI SAHARI</v>
      </c>
      <c r="J5017" s="1" t="str">
        <f t="shared" si="2057"/>
        <v>MAYBANK / MAYBANK ISLAMIC</v>
      </c>
      <c r="K5017" s="1" t="str">
        <f>"161136279034"</f>
        <v>161136279034</v>
      </c>
      <c r="L5017" s="1" t="str">
        <f t="shared" si="2055"/>
        <v>04-08-2020</v>
      </c>
      <c r="M5017" s="1" t="str">
        <f t="shared" si="2055"/>
        <v>04-08-2020</v>
      </c>
      <c r="N5017" s="1" t="str">
        <f t="shared" si="2046"/>
        <v>001105018356</v>
      </c>
      <c r="O5017" s="1" t="str">
        <f t="shared" si="2047"/>
        <v>MYR</v>
      </c>
      <c r="P5017" s="1" t="str">
        <f t="shared" si="2056"/>
        <v>NIL</v>
      </c>
      <c r="Q5017" s="1" t="str">
        <f t="shared" si="2056"/>
        <v>NIL</v>
      </c>
      <c r="R5017" s="1" t="str">
        <f t="shared" si="2039"/>
        <v>Unsuccessful</v>
      </c>
      <c r="S5017" s="1" t="str">
        <f t="shared" si="2048"/>
        <v>Approved</v>
      </c>
      <c r="T5017" s="1" t="str">
        <f t="shared" si="2040"/>
        <v>10.20.201.88</v>
      </c>
      <c r="U5017" s="1" t="str">
        <f t="shared" si="2049"/>
        <v>AZRAD UMAR BIN SHAARI</v>
      </c>
      <c r="V5017" s="1" t="str">
        <f t="shared" si="2050"/>
        <v>FARHANA BINTI MUSTAPA</v>
      </c>
      <c r="W5017" s="1" t="str">
        <f t="shared" si="2051"/>
        <v>04-08-2020</v>
      </c>
      <c r="X5017" s="1" t="str">
        <f t="shared" si="2052"/>
        <v>RAZIMAH ANSAR AHMAD</v>
      </c>
      <c r="Y5017" s="1" t="str">
        <f t="shared" si="2053"/>
        <v>04-08-2020</v>
      </c>
      <c r="Z5017" s="1" t="str">
        <f>"COS10200804 4137"</f>
        <v>COS10200804 4137</v>
      </c>
    </row>
    <row r="5018" spans="1:26" s="1" customFormat="1" x14ac:dyDescent="0.25">
      <c r="A5018" s="1" t="str">
        <f t="shared" ref="A5018:A5049" si="2058">"04-08-2020 12:48:13"</f>
        <v>04-08-2020 12:48:13</v>
      </c>
      <c r="B5018" s="1" t="str">
        <f>"0000805914"</f>
        <v>0000805914</v>
      </c>
      <c r="C5018" s="1" t="str">
        <f t="shared" ref="C5018:C5049" si="2059">"0000805778"</f>
        <v>0000805778</v>
      </c>
      <c r="D5018" s="1" t="str">
        <f t="shared" si="2043"/>
        <v>73185</v>
      </c>
      <c r="E5018" s="1" t="str">
        <f t="shared" si="2044"/>
        <v>KFH-OPERATIONS DEPARTMENT</v>
      </c>
      <c r="F5018" s="1" t="str">
        <f t="shared" si="2045"/>
        <v>IBG</v>
      </c>
      <c r="G5018" s="1" t="str">
        <f t="shared" si="2054"/>
        <v>Refund COSHARE 10</v>
      </c>
      <c r="H5018" s="3">
        <v>167.9</v>
      </c>
      <c r="I5018" s="4" t="str">
        <f>"ASHAR BIN ABDUL WAHAB"</f>
        <v>ASHAR BIN ABDUL WAHAB</v>
      </c>
      <c r="J5018" s="1" t="str">
        <f t="shared" si="2057"/>
        <v>MAYBANK / MAYBANK ISLAMIC</v>
      </c>
      <c r="K5018" s="1" t="str">
        <f>"160063275546"</f>
        <v>160063275546</v>
      </c>
      <c r="L5018" s="1" t="str">
        <f t="shared" si="2055"/>
        <v>04-08-2020</v>
      </c>
      <c r="M5018" s="1" t="str">
        <f t="shared" si="2055"/>
        <v>04-08-2020</v>
      </c>
      <c r="N5018" s="1" t="str">
        <f t="shared" si="2046"/>
        <v>001105018356</v>
      </c>
      <c r="O5018" s="1" t="str">
        <f t="shared" si="2047"/>
        <v>MYR</v>
      </c>
      <c r="P5018" s="1" t="str">
        <f t="shared" si="2056"/>
        <v>NIL</v>
      </c>
      <c r="Q5018" s="1" t="str">
        <f t="shared" si="2056"/>
        <v>NIL</v>
      </c>
      <c r="R5018" s="1" t="str">
        <f t="shared" ref="R5018:R5049" si="2060">"Unsuccessful"</f>
        <v>Unsuccessful</v>
      </c>
      <c r="S5018" s="1" t="str">
        <f t="shared" si="2048"/>
        <v>Approved</v>
      </c>
      <c r="T5018" s="1" t="str">
        <f t="shared" ref="T5018:T5049" si="2061">"10.20.201.88"</f>
        <v>10.20.201.88</v>
      </c>
      <c r="U5018" s="1" t="str">
        <f t="shared" si="2049"/>
        <v>AZRAD UMAR BIN SHAARI</v>
      </c>
      <c r="V5018" s="1" t="str">
        <f t="shared" si="2050"/>
        <v>FARHANA BINTI MUSTAPA</v>
      </c>
      <c r="W5018" s="1" t="str">
        <f t="shared" si="2051"/>
        <v>04-08-2020</v>
      </c>
      <c r="X5018" s="1" t="str">
        <f t="shared" si="2052"/>
        <v>RAZIMAH ANSAR AHMAD</v>
      </c>
      <c r="Y5018" s="1" t="str">
        <f t="shared" si="2053"/>
        <v>04-08-2020</v>
      </c>
      <c r="Z5018" s="1" t="str">
        <f>"COS10200804 4136"</f>
        <v>COS10200804 4136</v>
      </c>
    </row>
    <row r="5019" spans="1:26" s="1" customFormat="1" x14ac:dyDescent="0.25">
      <c r="A5019" s="1" t="str">
        <f t="shared" si="2058"/>
        <v>04-08-2020 12:48:13</v>
      </c>
      <c r="B5019" s="1" t="str">
        <f>"0000805913"</f>
        <v>0000805913</v>
      </c>
      <c r="C5019" s="1" t="str">
        <f t="shared" si="2059"/>
        <v>0000805778</v>
      </c>
      <c r="D5019" s="1" t="str">
        <f t="shared" si="2043"/>
        <v>73185</v>
      </c>
      <c r="E5019" s="1" t="str">
        <f t="shared" si="2044"/>
        <v>KFH-OPERATIONS DEPARTMENT</v>
      </c>
      <c r="F5019" s="1" t="str">
        <f t="shared" si="2045"/>
        <v>IBG</v>
      </c>
      <c r="G5019" s="1" t="str">
        <f t="shared" si="2054"/>
        <v>Refund COSHARE 10</v>
      </c>
      <c r="H5019" s="3">
        <v>1041</v>
      </c>
      <c r="I5019" s="4" t="str">
        <f>"ASFULLAH BIN ASARI"</f>
        <v>ASFULLAH BIN ASARI</v>
      </c>
      <c r="J5019" s="1" t="str">
        <f t="shared" si="2057"/>
        <v>MAYBANK / MAYBANK ISLAMIC</v>
      </c>
      <c r="K5019" s="1" t="str">
        <f>"162058010741"</f>
        <v>162058010741</v>
      </c>
      <c r="L5019" s="1" t="str">
        <f t="shared" si="2055"/>
        <v>04-08-2020</v>
      </c>
      <c r="M5019" s="1" t="str">
        <f t="shared" si="2055"/>
        <v>04-08-2020</v>
      </c>
      <c r="N5019" s="1" t="str">
        <f t="shared" si="2046"/>
        <v>001105018356</v>
      </c>
      <c r="O5019" s="1" t="str">
        <f t="shared" si="2047"/>
        <v>MYR</v>
      </c>
      <c r="P5019" s="1" t="str">
        <f t="shared" si="2056"/>
        <v>NIL</v>
      </c>
      <c r="Q5019" s="1" t="str">
        <f t="shared" si="2056"/>
        <v>NIL</v>
      </c>
      <c r="R5019" s="1" t="str">
        <f t="shared" si="2060"/>
        <v>Unsuccessful</v>
      </c>
      <c r="S5019" s="1" t="str">
        <f t="shared" si="2048"/>
        <v>Approved</v>
      </c>
      <c r="T5019" s="1" t="str">
        <f t="shared" si="2061"/>
        <v>10.20.201.88</v>
      </c>
      <c r="U5019" s="1" t="str">
        <f t="shared" si="2049"/>
        <v>AZRAD UMAR BIN SHAARI</v>
      </c>
      <c r="V5019" s="1" t="str">
        <f t="shared" si="2050"/>
        <v>FARHANA BINTI MUSTAPA</v>
      </c>
      <c r="W5019" s="1" t="str">
        <f t="shared" si="2051"/>
        <v>04-08-2020</v>
      </c>
      <c r="X5019" s="1" t="str">
        <f t="shared" si="2052"/>
        <v>RAZIMAH ANSAR AHMAD</v>
      </c>
      <c r="Y5019" s="1" t="str">
        <f t="shared" si="2053"/>
        <v>04-08-2020</v>
      </c>
      <c r="Z5019" s="1" t="str">
        <f>"COS10200804 4135"</f>
        <v>COS10200804 4135</v>
      </c>
    </row>
    <row r="5020" spans="1:26" s="1" customFormat="1" x14ac:dyDescent="0.25">
      <c r="A5020" s="1" t="str">
        <f t="shared" si="2058"/>
        <v>04-08-2020 12:48:13</v>
      </c>
      <c r="B5020" s="1" t="str">
        <f>"0000805912"</f>
        <v>0000805912</v>
      </c>
      <c r="C5020" s="1" t="str">
        <f t="shared" si="2059"/>
        <v>0000805778</v>
      </c>
      <c r="D5020" s="1" t="str">
        <f t="shared" si="2043"/>
        <v>73185</v>
      </c>
      <c r="E5020" s="1" t="str">
        <f t="shared" si="2044"/>
        <v>KFH-OPERATIONS DEPARTMENT</v>
      </c>
      <c r="F5020" s="1" t="str">
        <f t="shared" si="2045"/>
        <v>IBG</v>
      </c>
      <c r="G5020" s="1" t="str">
        <f t="shared" si="2054"/>
        <v>Refund COSHARE 10</v>
      </c>
      <c r="H5020" s="3">
        <v>99</v>
      </c>
      <c r="I5020" s="4" t="str">
        <f>"ASFIQA FARADIBA BINTI HASBOLLAH"</f>
        <v>ASFIQA FARADIBA BINTI HASBOLLAH</v>
      </c>
      <c r="J5020" s="1" t="str">
        <f t="shared" si="2057"/>
        <v>MAYBANK / MAYBANK ISLAMIC</v>
      </c>
      <c r="K5020" s="1" t="str">
        <f>"101106239983"</f>
        <v>101106239983</v>
      </c>
      <c r="L5020" s="1" t="str">
        <f t="shared" si="2055"/>
        <v>04-08-2020</v>
      </c>
      <c r="M5020" s="1" t="str">
        <f t="shared" si="2055"/>
        <v>04-08-2020</v>
      </c>
      <c r="N5020" s="1" t="str">
        <f t="shared" si="2046"/>
        <v>001105018356</v>
      </c>
      <c r="O5020" s="1" t="str">
        <f t="shared" si="2047"/>
        <v>MYR</v>
      </c>
      <c r="P5020" s="1" t="str">
        <f t="shared" si="2056"/>
        <v>NIL</v>
      </c>
      <c r="Q5020" s="1" t="str">
        <f t="shared" si="2056"/>
        <v>NIL</v>
      </c>
      <c r="R5020" s="1" t="str">
        <f t="shared" si="2060"/>
        <v>Unsuccessful</v>
      </c>
      <c r="S5020" s="1" t="str">
        <f t="shared" si="2048"/>
        <v>Approved</v>
      </c>
      <c r="T5020" s="1" t="str">
        <f t="shared" si="2061"/>
        <v>10.20.201.88</v>
      </c>
      <c r="U5020" s="1" t="str">
        <f t="shared" si="2049"/>
        <v>AZRAD UMAR BIN SHAARI</v>
      </c>
      <c r="V5020" s="1" t="str">
        <f t="shared" si="2050"/>
        <v>FARHANA BINTI MUSTAPA</v>
      </c>
      <c r="W5020" s="1" t="str">
        <f t="shared" si="2051"/>
        <v>04-08-2020</v>
      </c>
      <c r="X5020" s="1" t="str">
        <f t="shared" si="2052"/>
        <v>RAZIMAH ANSAR AHMAD</v>
      </c>
      <c r="Y5020" s="1" t="str">
        <f t="shared" si="2053"/>
        <v>04-08-2020</v>
      </c>
      <c r="Z5020" s="1" t="str">
        <f>"COS10200804 4134"</f>
        <v>COS10200804 4134</v>
      </c>
    </row>
    <row r="5021" spans="1:26" s="1" customFormat="1" x14ac:dyDescent="0.25">
      <c r="A5021" s="1" t="str">
        <f t="shared" si="2058"/>
        <v>04-08-2020 12:48:13</v>
      </c>
      <c r="B5021" s="1" t="str">
        <f>"0000805911"</f>
        <v>0000805911</v>
      </c>
      <c r="C5021" s="1" t="str">
        <f t="shared" si="2059"/>
        <v>0000805778</v>
      </c>
      <c r="D5021" s="1" t="str">
        <f t="shared" si="2043"/>
        <v>73185</v>
      </c>
      <c r="E5021" s="1" t="str">
        <f t="shared" si="2044"/>
        <v>KFH-OPERATIONS DEPARTMENT</v>
      </c>
      <c r="F5021" s="1" t="str">
        <f t="shared" si="2045"/>
        <v>IBG</v>
      </c>
      <c r="G5021" s="1" t="str">
        <f t="shared" si="2054"/>
        <v>Refund COSHARE 10</v>
      </c>
      <c r="H5021" s="3">
        <v>839.5</v>
      </c>
      <c r="I5021" s="4" t="str">
        <f>"ASFAZLAN BIN ABD HALIM"</f>
        <v>ASFAZLAN BIN ABD HALIM</v>
      </c>
      <c r="J5021" s="1" t="str">
        <f t="shared" si="2057"/>
        <v>MAYBANK / MAYBANK ISLAMIC</v>
      </c>
      <c r="K5021" s="1" t="str">
        <f>"164276015251"</f>
        <v>164276015251</v>
      </c>
      <c r="L5021" s="1" t="str">
        <f t="shared" si="2055"/>
        <v>04-08-2020</v>
      </c>
      <c r="M5021" s="1" t="str">
        <f t="shared" si="2055"/>
        <v>04-08-2020</v>
      </c>
      <c r="N5021" s="1" t="str">
        <f t="shared" si="2046"/>
        <v>001105018356</v>
      </c>
      <c r="O5021" s="1" t="str">
        <f t="shared" si="2047"/>
        <v>MYR</v>
      </c>
      <c r="P5021" s="1" t="str">
        <f t="shared" si="2056"/>
        <v>NIL</v>
      </c>
      <c r="Q5021" s="1" t="str">
        <f t="shared" si="2056"/>
        <v>NIL</v>
      </c>
      <c r="R5021" s="1" t="str">
        <f t="shared" si="2060"/>
        <v>Unsuccessful</v>
      </c>
      <c r="S5021" s="1" t="str">
        <f t="shared" si="2048"/>
        <v>Approved</v>
      </c>
      <c r="T5021" s="1" t="str">
        <f t="shared" si="2061"/>
        <v>10.20.201.88</v>
      </c>
      <c r="U5021" s="1" t="str">
        <f t="shared" si="2049"/>
        <v>AZRAD UMAR BIN SHAARI</v>
      </c>
      <c r="V5021" s="1" t="str">
        <f t="shared" si="2050"/>
        <v>FARHANA BINTI MUSTAPA</v>
      </c>
      <c r="W5021" s="1" t="str">
        <f t="shared" si="2051"/>
        <v>04-08-2020</v>
      </c>
      <c r="X5021" s="1" t="str">
        <f t="shared" si="2052"/>
        <v>RAZIMAH ANSAR AHMAD</v>
      </c>
      <c r="Y5021" s="1" t="str">
        <f t="shared" si="2053"/>
        <v>04-08-2020</v>
      </c>
      <c r="Z5021" s="1" t="str">
        <f>"COS10200804 4133"</f>
        <v>COS10200804 4133</v>
      </c>
    </row>
    <row r="5022" spans="1:26" s="1" customFormat="1" x14ac:dyDescent="0.25">
      <c r="A5022" s="1" t="str">
        <f t="shared" si="2058"/>
        <v>04-08-2020 12:48:13</v>
      </c>
      <c r="B5022" s="1" t="str">
        <f>"0000805910"</f>
        <v>0000805910</v>
      </c>
      <c r="C5022" s="1" t="str">
        <f t="shared" si="2059"/>
        <v>0000805778</v>
      </c>
      <c r="D5022" s="1" t="str">
        <f t="shared" si="2043"/>
        <v>73185</v>
      </c>
      <c r="E5022" s="1" t="str">
        <f t="shared" si="2044"/>
        <v>KFH-OPERATIONS DEPARTMENT</v>
      </c>
      <c r="F5022" s="1" t="str">
        <f t="shared" si="2045"/>
        <v>IBG</v>
      </c>
      <c r="G5022" s="1" t="str">
        <f t="shared" si="2054"/>
        <v>Refund COSHARE 10</v>
      </c>
      <c r="H5022" s="3">
        <v>134.35</v>
      </c>
      <c r="I5022" s="4" t="str">
        <f>"ASFA AZLIE BINTI KHAIRIRI"</f>
        <v>ASFA AZLIE BINTI KHAIRIRI</v>
      </c>
      <c r="J5022" s="1" t="str">
        <f t="shared" si="2057"/>
        <v>MAYBANK / MAYBANK ISLAMIC</v>
      </c>
      <c r="K5022" s="1" t="str">
        <f>"158060458398"</f>
        <v>158060458398</v>
      </c>
      <c r="L5022" s="1" t="str">
        <f t="shared" si="2055"/>
        <v>04-08-2020</v>
      </c>
      <c r="M5022" s="1" t="str">
        <f t="shared" si="2055"/>
        <v>04-08-2020</v>
      </c>
      <c r="N5022" s="1" t="str">
        <f t="shared" si="2046"/>
        <v>001105018356</v>
      </c>
      <c r="O5022" s="1" t="str">
        <f t="shared" si="2047"/>
        <v>MYR</v>
      </c>
      <c r="P5022" s="1" t="str">
        <f t="shared" si="2056"/>
        <v>NIL</v>
      </c>
      <c r="Q5022" s="1" t="str">
        <f t="shared" si="2056"/>
        <v>NIL</v>
      </c>
      <c r="R5022" s="1" t="str">
        <f t="shared" si="2060"/>
        <v>Unsuccessful</v>
      </c>
      <c r="S5022" s="1" t="str">
        <f t="shared" si="2048"/>
        <v>Approved</v>
      </c>
      <c r="T5022" s="1" t="str">
        <f t="shared" si="2061"/>
        <v>10.20.201.88</v>
      </c>
      <c r="U5022" s="1" t="str">
        <f t="shared" si="2049"/>
        <v>AZRAD UMAR BIN SHAARI</v>
      </c>
      <c r="V5022" s="1" t="str">
        <f t="shared" si="2050"/>
        <v>FARHANA BINTI MUSTAPA</v>
      </c>
      <c r="W5022" s="1" t="str">
        <f t="shared" si="2051"/>
        <v>04-08-2020</v>
      </c>
      <c r="X5022" s="1" t="str">
        <f t="shared" si="2052"/>
        <v>RAZIMAH ANSAR AHMAD</v>
      </c>
      <c r="Y5022" s="1" t="str">
        <f t="shared" si="2053"/>
        <v>04-08-2020</v>
      </c>
      <c r="Z5022" s="1" t="str">
        <f>"COS10200804 4132"</f>
        <v>COS10200804 4132</v>
      </c>
    </row>
    <row r="5023" spans="1:26" s="1" customFormat="1" x14ac:dyDescent="0.25">
      <c r="A5023" s="1" t="str">
        <f t="shared" si="2058"/>
        <v>04-08-2020 12:48:13</v>
      </c>
      <c r="B5023" s="1" t="str">
        <f>"0000805909"</f>
        <v>0000805909</v>
      </c>
      <c r="C5023" s="1" t="str">
        <f t="shared" si="2059"/>
        <v>0000805778</v>
      </c>
      <c r="D5023" s="1" t="str">
        <f t="shared" si="2043"/>
        <v>73185</v>
      </c>
      <c r="E5023" s="1" t="str">
        <f t="shared" si="2044"/>
        <v>KFH-OPERATIONS DEPARTMENT</v>
      </c>
      <c r="F5023" s="1" t="str">
        <f t="shared" si="2045"/>
        <v>IBG</v>
      </c>
      <c r="G5023" s="1" t="str">
        <f t="shared" si="2054"/>
        <v>Refund COSHARE 10</v>
      </c>
      <c r="H5023" s="3">
        <v>361</v>
      </c>
      <c r="I5023" s="4" t="str">
        <f>"ASDAZAIRI BIN DAUT"</f>
        <v>ASDAZAIRI BIN DAUT</v>
      </c>
      <c r="J5023" s="1" t="str">
        <f t="shared" si="2057"/>
        <v>MAYBANK / MAYBANK ISLAMIC</v>
      </c>
      <c r="K5023" s="1" t="str">
        <f>"114253453780"</f>
        <v>114253453780</v>
      </c>
      <c r="L5023" s="1" t="str">
        <f t="shared" si="2055"/>
        <v>04-08-2020</v>
      </c>
      <c r="M5023" s="1" t="str">
        <f t="shared" si="2055"/>
        <v>04-08-2020</v>
      </c>
      <c r="N5023" s="1" t="str">
        <f t="shared" si="2046"/>
        <v>001105018356</v>
      </c>
      <c r="O5023" s="1" t="str">
        <f t="shared" si="2047"/>
        <v>MYR</v>
      </c>
      <c r="P5023" s="1" t="str">
        <f t="shared" si="2056"/>
        <v>NIL</v>
      </c>
      <c r="Q5023" s="1" t="str">
        <f t="shared" si="2056"/>
        <v>NIL</v>
      </c>
      <c r="R5023" s="1" t="str">
        <f t="shared" si="2060"/>
        <v>Unsuccessful</v>
      </c>
      <c r="S5023" s="1" t="str">
        <f t="shared" si="2048"/>
        <v>Approved</v>
      </c>
      <c r="T5023" s="1" t="str">
        <f t="shared" si="2061"/>
        <v>10.20.201.88</v>
      </c>
      <c r="U5023" s="1" t="str">
        <f t="shared" si="2049"/>
        <v>AZRAD UMAR BIN SHAARI</v>
      </c>
      <c r="V5023" s="1" t="str">
        <f t="shared" si="2050"/>
        <v>FARHANA BINTI MUSTAPA</v>
      </c>
      <c r="W5023" s="1" t="str">
        <f t="shared" si="2051"/>
        <v>04-08-2020</v>
      </c>
      <c r="X5023" s="1" t="str">
        <f t="shared" si="2052"/>
        <v>RAZIMAH ANSAR AHMAD</v>
      </c>
      <c r="Y5023" s="1" t="str">
        <f t="shared" si="2053"/>
        <v>04-08-2020</v>
      </c>
      <c r="Z5023" s="1" t="str">
        <f>"COS10200804 4131"</f>
        <v>COS10200804 4131</v>
      </c>
    </row>
    <row r="5024" spans="1:26" s="1" customFormat="1" x14ac:dyDescent="0.25">
      <c r="A5024" s="1" t="str">
        <f t="shared" si="2058"/>
        <v>04-08-2020 12:48:13</v>
      </c>
      <c r="B5024" s="1" t="str">
        <f>"0000805908"</f>
        <v>0000805908</v>
      </c>
      <c r="C5024" s="1" t="str">
        <f t="shared" si="2059"/>
        <v>0000805778</v>
      </c>
      <c r="D5024" s="1" t="str">
        <f t="shared" si="2043"/>
        <v>73185</v>
      </c>
      <c r="E5024" s="1" t="str">
        <f t="shared" si="2044"/>
        <v>KFH-OPERATIONS DEPARTMENT</v>
      </c>
      <c r="F5024" s="1" t="str">
        <f t="shared" si="2045"/>
        <v>IBG</v>
      </c>
      <c r="G5024" s="1" t="str">
        <f t="shared" si="2054"/>
        <v>Refund COSHARE 10</v>
      </c>
      <c r="H5024" s="3">
        <v>411.35</v>
      </c>
      <c r="I5024" s="4" t="str">
        <f>"ASAWADY BIN ALIAS"</f>
        <v>ASAWADY BIN ALIAS</v>
      </c>
      <c r="J5024" s="1" t="str">
        <f t="shared" si="2057"/>
        <v>MAYBANK / MAYBANK ISLAMIC</v>
      </c>
      <c r="K5024" s="1" t="str">
        <f>"165125157769"</f>
        <v>165125157769</v>
      </c>
      <c r="L5024" s="1" t="str">
        <f t="shared" si="2055"/>
        <v>04-08-2020</v>
      </c>
      <c r="M5024" s="1" t="str">
        <f t="shared" si="2055"/>
        <v>04-08-2020</v>
      </c>
      <c r="N5024" s="1" t="str">
        <f t="shared" si="2046"/>
        <v>001105018356</v>
      </c>
      <c r="O5024" s="1" t="str">
        <f t="shared" si="2047"/>
        <v>MYR</v>
      </c>
      <c r="P5024" s="1" t="str">
        <f t="shared" si="2056"/>
        <v>NIL</v>
      </c>
      <c r="Q5024" s="1" t="str">
        <f t="shared" si="2056"/>
        <v>NIL</v>
      </c>
      <c r="R5024" s="1" t="str">
        <f t="shared" si="2060"/>
        <v>Unsuccessful</v>
      </c>
      <c r="S5024" s="1" t="str">
        <f t="shared" si="2048"/>
        <v>Approved</v>
      </c>
      <c r="T5024" s="1" t="str">
        <f t="shared" si="2061"/>
        <v>10.20.201.88</v>
      </c>
      <c r="U5024" s="1" t="str">
        <f t="shared" si="2049"/>
        <v>AZRAD UMAR BIN SHAARI</v>
      </c>
      <c r="V5024" s="1" t="str">
        <f t="shared" si="2050"/>
        <v>FARHANA BINTI MUSTAPA</v>
      </c>
      <c r="W5024" s="1" t="str">
        <f t="shared" si="2051"/>
        <v>04-08-2020</v>
      </c>
      <c r="X5024" s="1" t="str">
        <f t="shared" si="2052"/>
        <v>RAZIMAH ANSAR AHMAD</v>
      </c>
      <c r="Y5024" s="1" t="str">
        <f t="shared" si="2053"/>
        <v>04-08-2020</v>
      </c>
      <c r="Z5024" s="1" t="str">
        <f>"COS10200804 4130"</f>
        <v>COS10200804 4130</v>
      </c>
    </row>
    <row r="5025" spans="1:26" s="1" customFormat="1" x14ac:dyDescent="0.25">
      <c r="A5025" s="1" t="str">
        <f t="shared" si="2058"/>
        <v>04-08-2020 12:48:13</v>
      </c>
      <c r="B5025" s="1" t="str">
        <f>"0000805907"</f>
        <v>0000805907</v>
      </c>
      <c r="C5025" s="1" t="str">
        <f t="shared" si="2059"/>
        <v>0000805778</v>
      </c>
      <c r="D5025" s="1" t="str">
        <f t="shared" si="2043"/>
        <v>73185</v>
      </c>
      <c r="E5025" s="1" t="str">
        <f t="shared" si="2044"/>
        <v>KFH-OPERATIONS DEPARTMENT</v>
      </c>
      <c r="F5025" s="1" t="str">
        <f t="shared" si="2045"/>
        <v>IBG</v>
      </c>
      <c r="G5025" s="1" t="str">
        <f t="shared" si="2054"/>
        <v>Refund COSHARE 10</v>
      </c>
      <c r="H5025" s="3">
        <v>84</v>
      </c>
      <c r="I5025" s="4" t="str">
        <f>"ARZIANA BINTI MOHAMAD ZAIN"</f>
        <v>ARZIANA BINTI MOHAMAD ZAIN</v>
      </c>
      <c r="J5025" s="1" t="str">
        <f t="shared" si="2057"/>
        <v>MAYBANK / MAYBANK ISLAMIC</v>
      </c>
      <c r="K5025" s="1" t="str">
        <f>"151017209852"</f>
        <v>151017209852</v>
      </c>
      <c r="L5025" s="1" t="str">
        <f t="shared" si="2055"/>
        <v>04-08-2020</v>
      </c>
      <c r="M5025" s="1" t="str">
        <f t="shared" si="2055"/>
        <v>04-08-2020</v>
      </c>
      <c r="N5025" s="1" t="str">
        <f t="shared" si="2046"/>
        <v>001105018356</v>
      </c>
      <c r="O5025" s="1" t="str">
        <f t="shared" si="2047"/>
        <v>MYR</v>
      </c>
      <c r="P5025" s="1" t="str">
        <f t="shared" si="2056"/>
        <v>NIL</v>
      </c>
      <c r="Q5025" s="1" t="str">
        <f t="shared" si="2056"/>
        <v>NIL</v>
      </c>
      <c r="R5025" s="1" t="str">
        <f t="shared" si="2060"/>
        <v>Unsuccessful</v>
      </c>
      <c r="S5025" s="1" t="str">
        <f t="shared" si="2048"/>
        <v>Approved</v>
      </c>
      <c r="T5025" s="1" t="str">
        <f t="shared" si="2061"/>
        <v>10.20.201.88</v>
      </c>
      <c r="U5025" s="1" t="str">
        <f t="shared" si="2049"/>
        <v>AZRAD UMAR BIN SHAARI</v>
      </c>
      <c r="V5025" s="1" t="str">
        <f t="shared" si="2050"/>
        <v>FARHANA BINTI MUSTAPA</v>
      </c>
      <c r="W5025" s="1" t="str">
        <f t="shared" si="2051"/>
        <v>04-08-2020</v>
      </c>
      <c r="X5025" s="1" t="str">
        <f t="shared" si="2052"/>
        <v>RAZIMAH ANSAR AHMAD</v>
      </c>
      <c r="Y5025" s="1" t="str">
        <f t="shared" si="2053"/>
        <v>04-08-2020</v>
      </c>
      <c r="Z5025" s="1" t="str">
        <f>"COS10200804 4129"</f>
        <v>COS10200804 4129</v>
      </c>
    </row>
    <row r="5026" spans="1:26" s="1" customFormat="1" x14ac:dyDescent="0.25">
      <c r="A5026" s="1" t="str">
        <f t="shared" si="2058"/>
        <v>04-08-2020 12:48:13</v>
      </c>
      <c r="B5026" s="1" t="str">
        <f>"0000805906"</f>
        <v>0000805906</v>
      </c>
      <c r="C5026" s="1" t="str">
        <f t="shared" si="2059"/>
        <v>0000805778</v>
      </c>
      <c r="D5026" s="1" t="str">
        <f t="shared" si="2043"/>
        <v>73185</v>
      </c>
      <c r="E5026" s="1" t="str">
        <f t="shared" si="2044"/>
        <v>KFH-OPERATIONS DEPARTMENT</v>
      </c>
      <c r="F5026" s="1" t="str">
        <f t="shared" si="2045"/>
        <v>IBG</v>
      </c>
      <c r="G5026" s="1" t="str">
        <f t="shared" si="2054"/>
        <v>Refund COSHARE 10</v>
      </c>
      <c r="H5026" s="3">
        <v>125.95</v>
      </c>
      <c r="I5026" s="4" t="str">
        <f>"ARWAN BIN ABDULLAH"</f>
        <v>ARWAN BIN ABDULLAH</v>
      </c>
      <c r="J5026" s="1" t="str">
        <f t="shared" si="2057"/>
        <v>MAYBANK / MAYBANK ISLAMIC</v>
      </c>
      <c r="K5026" s="1" t="str">
        <f>"166010110089"</f>
        <v>166010110089</v>
      </c>
      <c r="L5026" s="1" t="str">
        <f t="shared" si="2055"/>
        <v>04-08-2020</v>
      </c>
      <c r="M5026" s="1" t="str">
        <f t="shared" si="2055"/>
        <v>04-08-2020</v>
      </c>
      <c r="N5026" s="1" t="str">
        <f t="shared" si="2046"/>
        <v>001105018356</v>
      </c>
      <c r="O5026" s="1" t="str">
        <f t="shared" si="2047"/>
        <v>MYR</v>
      </c>
      <c r="P5026" s="1" t="str">
        <f t="shared" si="2056"/>
        <v>NIL</v>
      </c>
      <c r="Q5026" s="1" t="str">
        <f t="shared" si="2056"/>
        <v>NIL</v>
      </c>
      <c r="R5026" s="1" t="str">
        <f t="shared" si="2060"/>
        <v>Unsuccessful</v>
      </c>
      <c r="S5026" s="1" t="str">
        <f t="shared" si="2048"/>
        <v>Approved</v>
      </c>
      <c r="T5026" s="1" t="str">
        <f t="shared" si="2061"/>
        <v>10.20.201.88</v>
      </c>
      <c r="U5026" s="1" t="str">
        <f t="shared" si="2049"/>
        <v>AZRAD UMAR BIN SHAARI</v>
      </c>
      <c r="V5026" s="1" t="str">
        <f t="shared" si="2050"/>
        <v>FARHANA BINTI MUSTAPA</v>
      </c>
      <c r="W5026" s="1" t="str">
        <f t="shared" si="2051"/>
        <v>04-08-2020</v>
      </c>
      <c r="X5026" s="1" t="str">
        <f t="shared" si="2052"/>
        <v>RAZIMAH ANSAR AHMAD</v>
      </c>
      <c r="Y5026" s="1" t="str">
        <f t="shared" si="2053"/>
        <v>04-08-2020</v>
      </c>
      <c r="Z5026" s="1" t="str">
        <f>"COS10200804 4128"</f>
        <v>COS10200804 4128</v>
      </c>
    </row>
    <row r="5027" spans="1:26" s="1" customFormat="1" x14ac:dyDescent="0.25">
      <c r="A5027" s="1" t="str">
        <f t="shared" si="2058"/>
        <v>04-08-2020 12:48:13</v>
      </c>
      <c r="B5027" s="1" t="str">
        <f>"0000805905"</f>
        <v>0000805905</v>
      </c>
      <c r="C5027" s="1" t="str">
        <f t="shared" si="2059"/>
        <v>0000805778</v>
      </c>
      <c r="D5027" s="1" t="str">
        <f t="shared" si="2043"/>
        <v>73185</v>
      </c>
      <c r="E5027" s="1" t="str">
        <f t="shared" si="2044"/>
        <v>KFH-OPERATIONS DEPARTMENT</v>
      </c>
      <c r="F5027" s="1" t="str">
        <f t="shared" si="2045"/>
        <v>IBG</v>
      </c>
      <c r="G5027" s="1" t="str">
        <f t="shared" si="2054"/>
        <v>Refund COSHARE 10</v>
      </c>
      <c r="H5027" s="3">
        <v>822.7</v>
      </c>
      <c r="I5027" s="4" t="str">
        <f>"ARVINA AZILA BINTI IBRAHIM"</f>
        <v>ARVINA AZILA BINTI IBRAHIM</v>
      </c>
      <c r="J5027" s="1" t="str">
        <f t="shared" si="2057"/>
        <v>MAYBANK / MAYBANK ISLAMIC</v>
      </c>
      <c r="K5027" s="1" t="str">
        <f>"164267407643"</f>
        <v>164267407643</v>
      </c>
      <c r="L5027" s="1" t="str">
        <f t="shared" ref="L5027:M5046" si="2062">"04-08-2020"</f>
        <v>04-08-2020</v>
      </c>
      <c r="M5027" s="1" t="str">
        <f t="shared" si="2062"/>
        <v>04-08-2020</v>
      </c>
      <c r="N5027" s="1" t="str">
        <f t="shared" si="2046"/>
        <v>001105018356</v>
      </c>
      <c r="O5027" s="1" t="str">
        <f t="shared" si="2047"/>
        <v>MYR</v>
      </c>
      <c r="P5027" s="1" t="str">
        <f t="shared" ref="P5027:Q5046" si="2063">"NIL"</f>
        <v>NIL</v>
      </c>
      <c r="Q5027" s="1" t="str">
        <f t="shared" si="2063"/>
        <v>NIL</v>
      </c>
      <c r="R5027" s="1" t="str">
        <f t="shared" si="2060"/>
        <v>Unsuccessful</v>
      </c>
      <c r="S5027" s="1" t="str">
        <f t="shared" si="2048"/>
        <v>Approved</v>
      </c>
      <c r="T5027" s="1" t="str">
        <f t="shared" si="2061"/>
        <v>10.20.201.88</v>
      </c>
      <c r="U5027" s="1" t="str">
        <f t="shared" si="2049"/>
        <v>AZRAD UMAR BIN SHAARI</v>
      </c>
      <c r="V5027" s="1" t="str">
        <f t="shared" si="2050"/>
        <v>FARHANA BINTI MUSTAPA</v>
      </c>
      <c r="W5027" s="1" t="str">
        <f t="shared" si="2051"/>
        <v>04-08-2020</v>
      </c>
      <c r="X5027" s="1" t="str">
        <f t="shared" si="2052"/>
        <v>RAZIMAH ANSAR AHMAD</v>
      </c>
      <c r="Y5027" s="1" t="str">
        <f t="shared" si="2053"/>
        <v>04-08-2020</v>
      </c>
      <c r="Z5027" s="1" t="str">
        <f>"COS10200804 4127"</f>
        <v>COS10200804 4127</v>
      </c>
    </row>
    <row r="5028" spans="1:26" s="1" customFormat="1" x14ac:dyDescent="0.25">
      <c r="A5028" s="1" t="str">
        <f t="shared" si="2058"/>
        <v>04-08-2020 12:48:13</v>
      </c>
      <c r="B5028" s="1" t="str">
        <f>"0000805904"</f>
        <v>0000805904</v>
      </c>
      <c r="C5028" s="1" t="str">
        <f t="shared" si="2059"/>
        <v>0000805778</v>
      </c>
      <c r="D5028" s="1" t="str">
        <f t="shared" si="2043"/>
        <v>73185</v>
      </c>
      <c r="E5028" s="1" t="str">
        <f t="shared" si="2044"/>
        <v>KFH-OPERATIONS DEPARTMENT</v>
      </c>
      <c r="F5028" s="1" t="str">
        <f t="shared" si="2045"/>
        <v>IBG</v>
      </c>
      <c r="G5028" s="1" t="str">
        <f t="shared" si="2054"/>
        <v>Refund COSHARE 10</v>
      </c>
      <c r="H5028" s="3">
        <v>696.8</v>
      </c>
      <c r="I5028" s="4" t="str">
        <f>"ARTHUR BIN LEO"</f>
        <v>ARTHUR BIN LEO</v>
      </c>
      <c r="J5028" s="1" t="str">
        <f t="shared" si="2057"/>
        <v>MAYBANK / MAYBANK ISLAMIC</v>
      </c>
      <c r="K5028" s="1" t="str">
        <f>"110144108560"</f>
        <v>110144108560</v>
      </c>
      <c r="L5028" s="1" t="str">
        <f t="shared" si="2062"/>
        <v>04-08-2020</v>
      </c>
      <c r="M5028" s="1" t="str">
        <f t="shared" si="2062"/>
        <v>04-08-2020</v>
      </c>
      <c r="N5028" s="1" t="str">
        <f t="shared" si="2046"/>
        <v>001105018356</v>
      </c>
      <c r="O5028" s="1" t="str">
        <f t="shared" si="2047"/>
        <v>MYR</v>
      </c>
      <c r="P5028" s="1" t="str">
        <f t="shared" si="2063"/>
        <v>NIL</v>
      </c>
      <c r="Q5028" s="1" t="str">
        <f t="shared" si="2063"/>
        <v>NIL</v>
      </c>
      <c r="R5028" s="1" t="str">
        <f t="shared" si="2060"/>
        <v>Unsuccessful</v>
      </c>
      <c r="S5028" s="1" t="str">
        <f t="shared" si="2048"/>
        <v>Approved</v>
      </c>
      <c r="T5028" s="1" t="str">
        <f t="shared" si="2061"/>
        <v>10.20.201.88</v>
      </c>
      <c r="U5028" s="1" t="str">
        <f t="shared" si="2049"/>
        <v>AZRAD UMAR BIN SHAARI</v>
      </c>
      <c r="V5028" s="1" t="str">
        <f t="shared" si="2050"/>
        <v>FARHANA BINTI MUSTAPA</v>
      </c>
      <c r="W5028" s="1" t="str">
        <f t="shared" si="2051"/>
        <v>04-08-2020</v>
      </c>
      <c r="X5028" s="1" t="str">
        <f t="shared" si="2052"/>
        <v>RAZIMAH ANSAR AHMAD</v>
      </c>
      <c r="Y5028" s="1" t="str">
        <f t="shared" si="2053"/>
        <v>04-08-2020</v>
      </c>
      <c r="Z5028" s="1" t="str">
        <f>"COS10200804 4126"</f>
        <v>COS10200804 4126</v>
      </c>
    </row>
    <row r="5029" spans="1:26" s="1" customFormat="1" x14ac:dyDescent="0.25">
      <c r="A5029" s="1" t="str">
        <f t="shared" si="2058"/>
        <v>04-08-2020 12:48:13</v>
      </c>
      <c r="B5029" s="1" t="str">
        <f>"0000805903"</f>
        <v>0000805903</v>
      </c>
      <c r="C5029" s="1" t="str">
        <f t="shared" si="2059"/>
        <v>0000805778</v>
      </c>
      <c r="D5029" s="1" t="str">
        <f t="shared" si="2043"/>
        <v>73185</v>
      </c>
      <c r="E5029" s="1" t="str">
        <f t="shared" si="2044"/>
        <v>KFH-OPERATIONS DEPARTMENT</v>
      </c>
      <c r="F5029" s="1" t="str">
        <f t="shared" si="2045"/>
        <v>IBG</v>
      </c>
      <c r="G5029" s="1" t="str">
        <f t="shared" si="2054"/>
        <v>Refund COSHARE 10</v>
      </c>
      <c r="H5029" s="3">
        <v>83.95</v>
      </c>
      <c r="I5029" s="4" t="str">
        <f>"ARSALIZA BINTI CHE ARIFF"</f>
        <v>ARSALIZA BINTI CHE ARIFF</v>
      </c>
      <c r="J5029" s="1" t="str">
        <f t="shared" si="2057"/>
        <v>MAYBANK / MAYBANK ISLAMIC</v>
      </c>
      <c r="K5029" s="1" t="str">
        <f>"155041764088"</f>
        <v>155041764088</v>
      </c>
      <c r="L5029" s="1" t="str">
        <f t="shared" si="2062"/>
        <v>04-08-2020</v>
      </c>
      <c r="M5029" s="1" t="str">
        <f t="shared" si="2062"/>
        <v>04-08-2020</v>
      </c>
      <c r="N5029" s="1" t="str">
        <f t="shared" si="2046"/>
        <v>001105018356</v>
      </c>
      <c r="O5029" s="1" t="str">
        <f t="shared" si="2047"/>
        <v>MYR</v>
      </c>
      <c r="P5029" s="1" t="str">
        <f t="shared" si="2063"/>
        <v>NIL</v>
      </c>
      <c r="Q5029" s="1" t="str">
        <f t="shared" si="2063"/>
        <v>NIL</v>
      </c>
      <c r="R5029" s="1" t="str">
        <f t="shared" si="2060"/>
        <v>Unsuccessful</v>
      </c>
      <c r="S5029" s="1" t="str">
        <f t="shared" si="2048"/>
        <v>Approved</v>
      </c>
      <c r="T5029" s="1" t="str">
        <f t="shared" si="2061"/>
        <v>10.20.201.88</v>
      </c>
      <c r="U5029" s="1" t="str">
        <f t="shared" si="2049"/>
        <v>AZRAD UMAR BIN SHAARI</v>
      </c>
      <c r="V5029" s="1" t="str">
        <f t="shared" si="2050"/>
        <v>FARHANA BINTI MUSTAPA</v>
      </c>
      <c r="W5029" s="1" t="str">
        <f t="shared" si="2051"/>
        <v>04-08-2020</v>
      </c>
      <c r="X5029" s="1" t="str">
        <f t="shared" si="2052"/>
        <v>RAZIMAH ANSAR AHMAD</v>
      </c>
      <c r="Y5029" s="1" t="str">
        <f t="shared" si="2053"/>
        <v>04-08-2020</v>
      </c>
      <c r="Z5029" s="1" t="str">
        <f>"COS10200804 4125"</f>
        <v>COS10200804 4125</v>
      </c>
    </row>
    <row r="5030" spans="1:26" s="1" customFormat="1" x14ac:dyDescent="0.25">
      <c r="A5030" s="1" t="str">
        <f t="shared" si="2058"/>
        <v>04-08-2020 12:48:13</v>
      </c>
      <c r="B5030" s="1" t="str">
        <f>"0000805902"</f>
        <v>0000805902</v>
      </c>
      <c r="C5030" s="1" t="str">
        <f t="shared" si="2059"/>
        <v>0000805778</v>
      </c>
      <c r="D5030" s="1" t="str">
        <f t="shared" si="2043"/>
        <v>73185</v>
      </c>
      <c r="E5030" s="1" t="str">
        <f t="shared" si="2044"/>
        <v>KFH-OPERATIONS DEPARTMENT</v>
      </c>
      <c r="F5030" s="1" t="str">
        <f t="shared" si="2045"/>
        <v>IBG</v>
      </c>
      <c r="G5030" s="1" t="str">
        <f t="shared" si="2054"/>
        <v>Refund COSHARE 10</v>
      </c>
      <c r="H5030" s="3">
        <v>293.85000000000002</v>
      </c>
      <c r="I5030" s="4" t="str">
        <f>"ARNIE BINTI JUBIRIN  SAMSUL"</f>
        <v>ARNIE BINTI JUBIRIN  SAMSUL</v>
      </c>
      <c r="J5030" s="1" t="str">
        <f t="shared" si="2057"/>
        <v>MAYBANK / MAYBANK ISLAMIC</v>
      </c>
      <c r="K5030" s="1" t="str">
        <f>"162263161016"</f>
        <v>162263161016</v>
      </c>
      <c r="L5030" s="1" t="str">
        <f t="shared" si="2062"/>
        <v>04-08-2020</v>
      </c>
      <c r="M5030" s="1" t="str">
        <f t="shared" si="2062"/>
        <v>04-08-2020</v>
      </c>
      <c r="N5030" s="1" t="str">
        <f t="shared" si="2046"/>
        <v>001105018356</v>
      </c>
      <c r="O5030" s="1" t="str">
        <f t="shared" si="2047"/>
        <v>MYR</v>
      </c>
      <c r="P5030" s="1" t="str">
        <f t="shared" si="2063"/>
        <v>NIL</v>
      </c>
      <c r="Q5030" s="1" t="str">
        <f t="shared" si="2063"/>
        <v>NIL</v>
      </c>
      <c r="R5030" s="1" t="str">
        <f t="shared" si="2060"/>
        <v>Unsuccessful</v>
      </c>
      <c r="S5030" s="1" t="str">
        <f t="shared" si="2048"/>
        <v>Approved</v>
      </c>
      <c r="T5030" s="1" t="str">
        <f t="shared" si="2061"/>
        <v>10.20.201.88</v>
      </c>
      <c r="U5030" s="1" t="str">
        <f t="shared" si="2049"/>
        <v>AZRAD UMAR BIN SHAARI</v>
      </c>
      <c r="V5030" s="1" t="str">
        <f t="shared" si="2050"/>
        <v>FARHANA BINTI MUSTAPA</v>
      </c>
      <c r="W5030" s="1" t="str">
        <f t="shared" si="2051"/>
        <v>04-08-2020</v>
      </c>
      <c r="X5030" s="1" t="str">
        <f t="shared" si="2052"/>
        <v>RAZIMAH ANSAR AHMAD</v>
      </c>
      <c r="Y5030" s="1" t="str">
        <f t="shared" si="2053"/>
        <v>04-08-2020</v>
      </c>
      <c r="Z5030" s="1" t="str">
        <f>"COS10200804 4124"</f>
        <v>COS10200804 4124</v>
      </c>
    </row>
    <row r="5031" spans="1:26" s="1" customFormat="1" x14ac:dyDescent="0.25">
      <c r="A5031" s="1" t="str">
        <f t="shared" si="2058"/>
        <v>04-08-2020 12:48:13</v>
      </c>
      <c r="B5031" s="1" t="str">
        <f>"0000805901"</f>
        <v>0000805901</v>
      </c>
      <c r="C5031" s="1" t="str">
        <f t="shared" si="2059"/>
        <v>0000805778</v>
      </c>
      <c r="D5031" s="1" t="str">
        <f t="shared" si="2043"/>
        <v>73185</v>
      </c>
      <c r="E5031" s="1" t="str">
        <f t="shared" si="2044"/>
        <v>KFH-OPERATIONS DEPARTMENT</v>
      </c>
      <c r="F5031" s="1" t="str">
        <f t="shared" si="2045"/>
        <v>IBG</v>
      </c>
      <c r="G5031" s="1" t="str">
        <f t="shared" si="2054"/>
        <v>Refund COSHARE 10</v>
      </c>
      <c r="H5031" s="3">
        <v>1715.4</v>
      </c>
      <c r="I5031" s="4" t="str">
        <f>"ARNI YUSNITA BINTI ABDUL KHALIL"</f>
        <v>ARNI YUSNITA BINTI ABDUL KHALIL</v>
      </c>
      <c r="J5031" s="1" t="str">
        <f t="shared" si="2057"/>
        <v>MAYBANK / MAYBANK ISLAMIC</v>
      </c>
      <c r="K5031" s="1" t="str">
        <f>"116015055671"</f>
        <v>116015055671</v>
      </c>
      <c r="L5031" s="1" t="str">
        <f t="shared" si="2062"/>
        <v>04-08-2020</v>
      </c>
      <c r="M5031" s="1" t="str">
        <f t="shared" si="2062"/>
        <v>04-08-2020</v>
      </c>
      <c r="N5031" s="1" t="str">
        <f t="shared" si="2046"/>
        <v>001105018356</v>
      </c>
      <c r="O5031" s="1" t="str">
        <f t="shared" si="2047"/>
        <v>MYR</v>
      </c>
      <c r="P5031" s="1" t="str">
        <f t="shared" si="2063"/>
        <v>NIL</v>
      </c>
      <c r="Q5031" s="1" t="str">
        <f t="shared" si="2063"/>
        <v>NIL</v>
      </c>
      <c r="R5031" s="1" t="str">
        <f t="shared" si="2060"/>
        <v>Unsuccessful</v>
      </c>
      <c r="S5031" s="1" t="str">
        <f t="shared" si="2048"/>
        <v>Approved</v>
      </c>
      <c r="T5031" s="1" t="str">
        <f t="shared" si="2061"/>
        <v>10.20.201.88</v>
      </c>
      <c r="U5031" s="1" t="str">
        <f t="shared" si="2049"/>
        <v>AZRAD UMAR BIN SHAARI</v>
      </c>
      <c r="V5031" s="1" t="str">
        <f t="shared" si="2050"/>
        <v>FARHANA BINTI MUSTAPA</v>
      </c>
      <c r="W5031" s="1" t="str">
        <f t="shared" si="2051"/>
        <v>04-08-2020</v>
      </c>
      <c r="X5031" s="1" t="str">
        <f t="shared" si="2052"/>
        <v>RAZIMAH ANSAR AHMAD</v>
      </c>
      <c r="Y5031" s="1" t="str">
        <f t="shared" si="2053"/>
        <v>04-08-2020</v>
      </c>
      <c r="Z5031" s="1" t="str">
        <f>"COS10200804 4123"</f>
        <v>COS10200804 4123</v>
      </c>
    </row>
    <row r="5032" spans="1:26" s="1" customFormat="1" x14ac:dyDescent="0.25">
      <c r="A5032" s="1" t="str">
        <f t="shared" si="2058"/>
        <v>04-08-2020 12:48:13</v>
      </c>
      <c r="B5032" s="1" t="str">
        <f>"0000805900"</f>
        <v>0000805900</v>
      </c>
      <c r="C5032" s="1" t="str">
        <f t="shared" si="2059"/>
        <v>0000805778</v>
      </c>
      <c r="D5032" s="1" t="str">
        <f t="shared" si="2043"/>
        <v>73185</v>
      </c>
      <c r="E5032" s="1" t="str">
        <f t="shared" si="2044"/>
        <v>KFH-OPERATIONS DEPARTMENT</v>
      </c>
      <c r="F5032" s="1" t="str">
        <f t="shared" si="2045"/>
        <v>IBG</v>
      </c>
      <c r="G5032" s="1" t="str">
        <f t="shared" si="2054"/>
        <v>Refund COSHARE 10</v>
      </c>
      <c r="H5032" s="3">
        <v>603.4</v>
      </c>
      <c r="I5032" s="4" t="str">
        <f>"ARIZALINA BINTI IBRAHIM"</f>
        <v>ARIZALINA BINTI IBRAHIM</v>
      </c>
      <c r="J5032" s="1" t="str">
        <f t="shared" si="2057"/>
        <v>MAYBANK / MAYBANK ISLAMIC</v>
      </c>
      <c r="K5032" s="1" t="str">
        <f>"164333306165"</f>
        <v>164333306165</v>
      </c>
      <c r="L5032" s="1" t="str">
        <f t="shared" si="2062"/>
        <v>04-08-2020</v>
      </c>
      <c r="M5032" s="1" t="str">
        <f t="shared" si="2062"/>
        <v>04-08-2020</v>
      </c>
      <c r="N5032" s="1" t="str">
        <f t="shared" si="2046"/>
        <v>001105018356</v>
      </c>
      <c r="O5032" s="1" t="str">
        <f t="shared" si="2047"/>
        <v>MYR</v>
      </c>
      <c r="P5032" s="1" t="str">
        <f t="shared" si="2063"/>
        <v>NIL</v>
      </c>
      <c r="Q5032" s="1" t="str">
        <f t="shared" si="2063"/>
        <v>NIL</v>
      </c>
      <c r="R5032" s="1" t="str">
        <f t="shared" si="2060"/>
        <v>Unsuccessful</v>
      </c>
      <c r="S5032" s="1" t="str">
        <f t="shared" si="2048"/>
        <v>Approved</v>
      </c>
      <c r="T5032" s="1" t="str">
        <f t="shared" si="2061"/>
        <v>10.20.201.88</v>
      </c>
      <c r="U5032" s="1" t="str">
        <f t="shared" si="2049"/>
        <v>AZRAD UMAR BIN SHAARI</v>
      </c>
      <c r="V5032" s="1" t="str">
        <f t="shared" si="2050"/>
        <v>FARHANA BINTI MUSTAPA</v>
      </c>
      <c r="W5032" s="1" t="str">
        <f t="shared" si="2051"/>
        <v>04-08-2020</v>
      </c>
      <c r="X5032" s="1" t="str">
        <f t="shared" si="2052"/>
        <v>RAZIMAH ANSAR AHMAD</v>
      </c>
      <c r="Y5032" s="1" t="str">
        <f t="shared" si="2053"/>
        <v>04-08-2020</v>
      </c>
      <c r="Z5032" s="1" t="str">
        <f>"COS10200804 4122"</f>
        <v>COS10200804 4122</v>
      </c>
    </row>
    <row r="5033" spans="1:26" s="1" customFormat="1" x14ac:dyDescent="0.25">
      <c r="A5033" s="1" t="str">
        <f t="shared" si="2058"/>
        <v>04-08-2020 12:48:13</v>
      </c>
      <c r="B5033" s="1" t="str">
        <f>"0000805899"</f>
        <v>0000805899</v>
      </c>
      <c r="C5033" s="1" t="str">
        <f t="shared" si="2059"/>
        <v>0000805778</v>
      </c>
      <c r="D5033" s="1" t="str">
        <f t="shared" si="2043"/>
        <v>73185</v>
      </c>
      <c r="E5033" s="1" t="str">
        <f t="shared" si="2044"/>
        <v>KFH-OPERATIONS DEPARTMENT</v>
      </c>
      <c r="F5033" s="1" t="str">
        <f t="shared" si="2045"/>
        <v>IBG</v>
      </c>
      <c r="G5033" s="1" t="str">
        <f t="shared" si="2054"/>
        <v>Refund COSHARE 10</v>
      </c>
      <c r="H5033" s="3">
        <v>463</v>
      </c>
      <c r="I5033" s="4" t="str">
        <f>"ARIBFADILLAH BIN ZULKIFFLI"</f>
        <v>ARIBFADILLAH BIN ZULKIFFLI</v>
      </c>
      <c r="J5033" s="1" t="str">
        <f t="shared" si="2057"/>
        <v>MAYBANK / MAYBANK ISLAMIC</v>
      </c>
      <c r="K5033" s="1" t="str">
        <f>"158118055970"</f>
        <v>158118055970</v>
      </c>
      <c r="L5033" s="1" t="str">
        <f t="shared" si="2062"/>
        <v>04-08-2020</v>
      </c>
      <c r="M5033" s="1" t="str">
        <f t="shared" si="2062"/>
        <v>04-08-2020</v>
      </c>
      <c r="N5033" s="1" t="str">
        <f t="shared" si="2046"/>
        <v>001105018356</v>
      </c>
      <c r="O5033" s="1" t="str">
        <f t="shared" si="2047"/>
        <v>MYR</v>
      </c>
      <c r="P5033" s="1" t="str">
        <f t="shared" si="2063"/>
        <v>NIL</v>
      </c>
      <c r="Q5033" s="1" t="str">
        <f t="shared" si="2063"/>
        <v>NIL</v>
      </c>
      <c r="R5033" s="1" t="str">
        <f t="shared" si="2060"/>
        <v>Unsuccessful</v>
      </c>
      <c r="S5033" s="1" t="str">
        <f t="shared" si="2048"/>
        <v>Approved</v>
      </c>
      <c r="T5033" s="1" t="str">
        <f t="shared" si="2061"/>
        <v>10.20.201.88</v>
      </c>
      <c r="U5033" s="1" t="str">
        <f t="shared" si="2049"/>
        <v>AZRAD UMAR BIN SHAARI</v>
      </c>
      <c r="V5033" s="1" t="str">
        <f t="shared" si="2050"/>
        <v>FARHANA BINTI MUSTAPA</v>
      </c>
      <c r="W5033" s="1" t="str">
        <f t="shared" si="2051"/>
        <v>04-08-2020</v>
      </c>
      <c r="X5033" s="1" t="str">
        <f t="shared" si="2052"/>
        <v>RAZIMAH ANSAR AHMAD</v>
      </c>
      <c r="Y5033" s="1" t="str">
        <f t="shared" si="2053"/>
        <v>04-08-2020</v>
      </c>
      <c r="Z5033" s="1" t="str">
        <f>"COS10200804 4121"</f>
        <v>COS10200804 4121</v>
      </c>
    </row>
    <row r="5034" spans="1:26" s="1" customFormat="1" x14ac:dyDescent="0.25">
      <c r="A5034" s="1" t="str">
        <f t="shared" si="2058"/>
        <v>04-08-2020 12:48:13</v>
      </c>
      <c r="B5034" s="1" t="str">
        <f>"0000805898"</f>
        <v>0000805898</v>
      </c>
      <c r="C5034" s="1" t="str">
        <f t="shared" si="2059"/>
        <v>0000805778</v>
      </c>
      <c r="D5034" s="1" t="str">
        <f t="shared" si="2043"/>
        <v>73185</v>
      </c>
      <c r="E5034" s="1" t="str">
        <f t="shared" si="2044"/>
        <v>KFH-OPERATIONS DEPARTMENT</v>
      </c>
      <c r="F5034" s="1" t="str">
        <f t="shared" si="2045"/>
        <v>IBG</v>
      </c>
      <c r="G5034" s="1" t="str">
        <f t="shared" si="2054"/>
        <v>Refund COSHARE 10</v>
      </c>
      <c r="H5034" s="3">
        <v>88</v>
      </c>
      <c r="I5034" s="4" t="str">
        <f>"ARFIZAN BIN RAMLY"</f>
        <v>ARFIZAN BIN RAMLY</v>
      </c>
      <c r="J5034" s="1" t="str">
        <f t="shared" si="2057"/>
        <v>MAYBANK / MAYBANK ISLAMIC</v>
      </c>
      <c r="K5034" s="1" t="str">
        <f>"155126928883"</f>
        <v>155126928883</v>
      </c>
      <c r="L5034" s="1" t="str">
        <f t="shared" si="2062"/>
        <v>04-08-2020</v>
      </c>
      <c r="M5034" s="1" t="str">
        <f t="shared" si="2062"/>
        <v>04-08-2020</v>
      </c>
      <c r="N5034" s="1" t="str">
        <f t="shared" si="2046"/>
        <v>001105018356</v>
      </c>
      <c r="O5034" s="1" t="str">
        <f t="shared" si="2047"/>
        <v>MYR</v>
      </c>
      <c r="P5034" s="1" t="str">
        <f t="shared" si="2063"/>
        <v>NIL</v>
      </c>
      <c r="Q5034" s="1" t="str">
        <f t="shared" si="2063"/>
        <v>NIL</v>
      </c>
      <c r="R5034" s="1" t="str">
        <f t="shared" si="2060"/>
        <v>Unsuccessful</v>
      </c>
      <c r="S5034" s="1" t="str">
        <f t="shared" si="2048"/>
        <v>Approved</v>
      </c>
      <c r="T5034" s="1" t="str">
        <f t="shared" si="2061"/>
        <v>10.20.201.88</v>
      </c>
      <c r="U5034" s="1" t="str">
        <f t="shared" si="2049"/>
        <v>AZRAD UMAR BIN SHAARI</v>
      </c>
      <c r="V5034" s="1" t="str">
        <f t="shared" si="2050"/>
        <v>FARHANA BINTI MUSTAPA</v>
      </c>
      <c r="W5034" s="1" t="str">
        <f t="shared" si="2051"/>
        <v>04-08-2020</v>
      </c>
      <c r="X5034" s="1" t="str">
        <f t="shared" si="2052"/>
        <v>RAZIMAH ANSAR AHMAD</v>
      </c>
      <c r="Y5034" s="1" t="str">
        <f t="shared" si="2053"/>
        <v>04-08-2020</v>
      </c>
      <c r="Z5034" s="1" t="str">
        <f>"COS10200804 4120"</f>
        <v>COS10200804 4120</v>
      </c>
    </row>
    <row r="5035" spans="1:26" s="1" customFormat="1" x14ac:dyDescent="0.25">
      <c r="A5035" s="1" t="str">
        <f t="shared" si="2058"/>
        <v>04-08-2020 12:48:13</v>
      </c>
      <c r="B5035" s="1" t="str">
        <f>"0000805897"</f>
        <v>0000805897</v>
      </c>
      <c r="C5035" s="1" t="str">
        <f t="shared" si="2059"/>
        <v>0000805778</v>
      </c>
      <c r="D5035" s="1" t="str">
        <f t="shared" si="2043"/>
        <v>73185</v>
      </c>
      <c r="E5035" s="1" t="str">
        <f t="shared" si="2044"/>
        <v>KFH-OPERATIONS DEPARTMENT</v>
      </c>
      <c r="F5035" s="1" t="str">
        <f t="shared" si="2045"/>
        <v>IBG</v>
      </c>
      <c r="G5035" s="1" t="str">
        <f t="shared" si="2054"/>
        <v>Refund COSHARE 10</v>
      </c>
      <c r="H5035" s="3">
        <v>83.95</v>
      </c>
      <c r="I5035" s="4" t="str">
        <f>"ARDIAN SYAH BIN MUMING"</f>
        <v>ARDIAN SYAH BIN MUMING</v>
      </c>
      <c r="J5035" s="1" t="str">
        <f t="shared" si="2057"/>
        <v>MAYBANK / MAYBANK ISLAMIC</v>
      </c>
      <c r="K5035" s="1" t="str">
        <f>"164548276043"</f>
        <v>164548276043</v>
      </c>
      <c r="L5035" s="1" t="str">
        <f t="shared" si="2062"/>
        <v>04-08-2020</v>
      </c>
      <c r="M5035" s="1" t="str">
        <f t="shared" si="2062"/>
        <v>04-08-2020</v>
      </c>
      <c r="N5035" s="1" t="str">
        <f t="shared" si="2046"/>
        <v>001105018356</v>
      </c>
      <c r="O5035" s="1" t="str">
        <f t="shared" si="2047"/>
        <v>MYR</v>
      </c>
      <c r="P5035" s="1" t="str">
        <f t="shared" si="2063"/>
        <v>NIL</v>
      </c>
      <c r="Q5035" s="1" t="str">
        <f t="shared" si="2063"/>
        <v>NIL</v>
      </c>
      <c r="R5035" s="1" t="str">
        <f t="shared" si="2060"/>
        <v>Unsuccessful</v>
      </c>
      <c r="S5035" s="1" t="str">
        <f t="shared" si="2048"/>
        <v>Approved</v>
      </c>
      <c r="T5035" s="1" t="str">
        <f t="shared" si="2061"/>
        <v>10.20.201.88</v>
      </c>
      <c r="U5035" s="1" t="str">
        <f t="shared" si="2049"/>
        <v>AZRAD UMAR BIN SHAARI</v>
      </c>
      <c r="V5035" s="1" t="str">
        <f t="shared" si="2050"/>
        <v>FARHANA BINTI MUSTAPA</v>
      </c>
      <c r="W5035" s="1" t="str">
        <f t="shared" si="2051"/>
        <v>04-08-2020</v>
      </c>
      <c r="X5035" s="1" t="str">
        <f t="shared" si="2052"/>
        <v>RAZIMAH ANSAR AHMAD</v>
      </c>
      <c r="Y5035" s="1" t="str">
        <f t="shared" si="2053"/>
        <v>04-08-2020</v>
      </c>
      <c r="Z5035" s="1" t="str">
        <f>"COS10200804 4119"</f>
        <v>COS10200804 4119</v>
      </c>
    </row>
    <row r="5036" spans="1:26" s="1" customFormat="1" x14ac:dyDescent="0.25">
      <c r="A5036" s="1" t="str">
        <f t="shared" si="2058"/>
        <v>04-08-2020 12:48:13</v>
      </c>
      <c r="B5036" s="1" t="str">
        <f>"0000805896"</f>
        <v>0000805896</v>
      </c>
      <c r="C5036" s="1" t="str">
        <f t="shared" si="2059"/>
        <v>0000805778</v>
      </c>
      <c r="D5036" s="1" t="str">
        <f t="shared" si="2043"/>
        <v>73185</v>
      </c>
      <c r="E5036" s="1" t="str">
        <f t="shared" si="2044"/>
        <v>KFH-OPERATIONS DEPARTMENT</v>
      </c>
      <c r="F5036" s="1" t="str">
        <f t="shared" si="2045"/>
        <v>IBG</v>
      </c>
      <c r="G5036" s="1" t="str">
        <f t="shared" si="2054"/>
        <v>Refund COSHARE 10</v>
      </c>
      <c r="H5036" s="3">
        <v>714</v>
      </c>
      <c r="I5036" s="4" t="str">
        <f>"ARAHIM BIN JARAIEE"</f>
        <v>ARAHIM BIN JARAIEE</v>
      </c>
      <c r="J5036" s="1" t="str">
        <f t="shared" si="2057"/>
        <v>MAYBANK / MAYBANK ISLAMIC</v>
      </c>
      <c r="K5036" s="1" t="str">
        <f>"164799012194"</f>
        <v>164799012194</v>
      </c>
      <c r="L5036" s="1" t="str">
        <f t="shared" si="2062"/>
        <v>04-08-2020</v>
      </c>
      <c r="M5036" s="1" t="str">
        <f t="shared" si="2062"/>
        <v>04-08-2020</v>
      </c>
      <c r="N5036" s="1" t="str">
        <f t="shared" si="2046"/>
        <v>001105018356</v>
      </c>
      <c r="O5036" s="1" t="str">
        <f t="shared" si="2047"/>
        <v>MYR</v>
      </c>
      <c r="P5036" s="1" t="str">
        <f t="shared" si="2063"/>
        <v>NIL</v>
      </c>
      <c r="Q5036" s="1" t="str">
        <f t="shared" si="2063"/>
        <v>NIL</v>
      </c>
      <c r="R5036" s="1" t="str">
        <f t="shared" si="2060"/>
        <v>Unsuccessful</v>
      </c>
      <c r="S5036" s="1" t="str">
        <f t="shared" si="2048"/>
        <v>Approved</v>
      </c>
      <c r="T5036" s="1" t="str">
        <f t="shared" si="2061"/>
        <v>10.20.201.88</v>
      </c>
      <c r="U5036" s="1" t="str">
        <f t="shared" si="2049"/>
        <v>AZRAD UMAR BIN SHAARI</v>
      </c>
      <c r="V5036" s="1" t="str">
        <f t="shared" si="2050"/>
        <v>FARHANA BINTI MUSTAPA</v>
      </c>
      <c r="W5036" s="1" t="str">
        <f t="shared" si="2051"/>
        <v>04-08-2020</v>
      </c>
      <c r="X5036" s="1" t="str">
        <f t="shared" si="2052"/>
        <v>RAZIMAH ANSAR AHMAD</v>
      </c>
      <c r="Y5036" s="1" t="str">
        <f t="shared" si="2053"/>
        <v>04-08-2020</v>
      </c>
      <c r="Z5036" s="1" t="str">
        <f>"COS10200804 4118"</f>
        <v>COS10200804 4118</v>
      </c>
    </row>
    <row r="5037" spans="1:26" s="1" customFormat="1" x14ac:dyDescent="0.25">
      <c r="A5037" s="1" t="str">
        <f t="shared" si="2058"/>
        <v>04-08-2020 12:48:13</v>
      </c>
      <c r="B5037" s="1" t="str">
        <f>"0000805895"</f>
        <v>0000805895</v>
      </c>
      <c r="C5037" s="1" t="str">
        <f t="shared" si="2059"/>
        <v>0000805778</v>
      </c>
      <c r="D5037" s="1" t="str">
        <f t="shared" si="2043"/>
        <v>73185</v>
      </c>
      <c r="E5037" s="1" t="str">
        <f t="shared" si="2044"/>
        <v>KFH-OPERATIONS DEPARTMENT</v>
      </c>
      <c r="F5037" s="1" t="str">
        <f t="shared" si="2045"/>
        <v>IBG</v>
      </c>
      <c r="G5037" s="1" t="str">
        <f t="shared" si="2054"/>
        <v>Refund COSHARE 10</v>
      </c>
      <c r="H5037" s="3">
        <v>202.7</v>
      </c>
      <c r="I5037" s="4" t="str">
        <f>"ANWAR HUSSEIN BIN PEER MOHAMED"</f>
        <v>ANWAR HUSSEIN BIN PEER MOHAMED</v>
      </c>
      <c r="J5037" s="1" t="str">
        <f t="shared" si="2057"/>
        <v>MAYBANK / MAYBANK ISLAMIC</v>
      </c>
      <c r="K5037" s="1" t="str">
        <f>"108010998414"</f>
        <v>108010998414</v>
      </c>
      <c r="L5037" s="1" t="str">
        <f t="shared" si="2062"/>
        <v>04-08-2020</v>
      </c>
      <c r="M5037" s="1" t="str">
        <f t="shared" si="2062"/>
        <v>04-08-2020</v>
      </c>
      <c r="N5037" s="1" t="str">
        <f t="shared" si="2046"/>
        <v>001105018356</v>
      </c>
      <c r="O5037" s="1" t="str">
        <f t="shared" si="2047"/>
        <v>MYR</v>
      </c>
      <c r="P5037" s="1" t="str">
        <f t="shared" si="2063"/>
        <v>NIL</v>
      </c>
      <c r="Q5037" s="1" t="str">
        <f t="shared" si="2063"/>
        <v>NIL</v>
      </c>
      <c r="R5037" s="1" t="str">
        <f t="shared" si="2060"/>
        <v>Unsuccessful</v>
      </c>
      <c r="S5037" s="1" t="str">
        <f t="shared" si="2048"/>
        <v>Approved</v>
      </c>
      <c r="T5037" s="1" t="str">
        <f t="shared" si="2061"/>
        <v>10.20.201.88</v>
      </c>
      <c r="U5037" s="1" t="str">
        <f t="shared" si="2049"/>
        <v>AZRAD UMAR BIN SHAARI</v>
      </c>
      <c r="V5037" s="1" t="str">
        <f t="shared" si="2050"/>
        <v>FARHANA BINTI MUSTAPA</v>
      </c>
      <c r="W5037" s="1" t="str">
        <f t="shared" si="2051"/>
        <v>04-08-2020</v>
      </c>
      <c r="X5037" s="1" t="str">
        <f t="shared" si="2052"/>
        <v>RAZIMAH ANSAR AHMAD</v>
      </c>
      <c r="Y5037" s="1" t="str">
        <f t="shared" si="2053"/>
        <v>04-08-2020</v>
      </c>
      <c r="Z5037" s="1" t="str">
        <f>"COS10200804 4117"</f>
        <v>COS10200804 4117</v>
      </c>
    </row>
    <row r="5038" spans="1:26" s="1" customFormat="1" x14ac:dyDescent="0.25">
      <c r="A5038" s="1" t="str">
        <f t="shared" si="2058"/>
        <v>04-08-2020 12:48:13</v>
      </c>
      <c r="B5038" s="1" t="str">
        <f>"0000805894"</f>
        <v>0000805894</v>
      </c>
      <c r="C5038" s="1" t="str">
        <f t="shared" si="2059"/>
        <v>0000805778</v>
      </c>
      <c r="D5038" s="1" t="str">
        <f t="shared" si="2043"/>
        <v>73185</v>
      </c>
      <c r="E5038" s="1" t="str">
        <f t="shared" si="2044"/>
        <v>KFH-OPERATIONS DEPARTMENT</v>
      </c>
      <c r="F5038" s="1" t="str">
        <f t="shared" si="2045"/>
        <v>IBG</v>
      </c>
      <c r="G5038" s="1" t="str">
        <f t="shared" si="2054"/>
        <v>Refund COSHARE 10</v>
      </c>
      <c r="H5038" s="3">
        <v>671.6</v>
      </c>
      <c r="I5038" s="4" t="str">
        <f>"ANUAWAR BIN SEMAN"</f>
        <v>ANUAWAR BIN SEMAN</v>
      </c>
      <c r="J5038" s="1" t="str">
        <f t="shared" si="2057"/>
        <v>MAYBANK / MAYBANK ISLAMIC</v>
      </c>
      <c r="K5038" s="1" t="str">
        <f>"164119050236"</f>
        <v>164119050236</v>
      </c>
      <c r="L5038" s="1" t="str">
        <f t="shared" si="2062"/>
        <v>04-08-2020</v>
      </c>
      <c r="M5038" s="1" t="str">
        <f t="shared" si="2062"/>
        <v>04-08-2020</v>
      </c>
      <c r="N5038" s="1" t="str">
        <f t="shared" si="2046"/>
        <v>001105018356</v>
      </c>
      <c r="O5038" s="1" t="str">
        <f t="shared" si="2047"/>
        <v>MYR</v>
      </c>
      <c r="P5038" s="1" t="str">
        <f t="shared" si="2063"/>
        <v>NIL</v>
      </c>
      <c r="Q5038" s="1" t="str">
        <f t="shared" si="2063"/>
        <v>NIL</v>
      </c>
      <c r="R5038" s="1" t="str">
        <f t="shared" si="2060"/>
        <v>Unsuccessful</v>
      </c>
      <c r="S5038" s="1" t="str">
        <f t="shared" si="2048"/>
        <v>Approved</v>
      </c>
      <c r="T5038" s="1" t="str">
        <f t="shared" si="2061"/>
        <v>10.20.201.88</v>
      </c>
      <c r="U5038" s="1" t="str">
        <f t="shared" si="2049"/>
        <v>AZRAD UMAR BIN SHAARI</v>
      </c>
      <c r="V5038" s="1" t="str">
        <f t="shared" si="2050"/>
        <v>FARHANA BINTI MUSTAPA</v>
      </c>
      <c r="W5038" s="1" t="str">
        <f t="shared" si="2051"/>
        <v>04-08-2020</v>
      </c>
      <c r="X5038" s="1" t="str">
        <f t="shared" si="2052"/>
        <v>RAZIMAH ANSAR AHMAD</v>
      </c>
      <c r="Y5038" s="1" t="str">
        <f t="shared" si="2053"/>
        <v>04-08-2020</v>
      </c>
      <c r="Z5038" s="1" t="str">
        <f>"COS10200804 4116"</f>
        <v>COS10200804 4116</v>
      </c>
    </row>
    <row r="5039" spans="1:26" s="1" customFormat="1" x14ac:dyDescent="0.25">
      <c r="A5039" s="1" t="str">
        <f t="shared" si="2058"/>
        <v>04-08-2020 12:48:13</v>
      </c>
      <c r="B5039" s="1" t="str">
        <f>"0000805893"</f>
        <v>0000805893</v>
      </c>
      <c r="C5039" s="1" t="str">
        <f t="shared" si="2059"/>
        <v>0000805778</v>
      </c>
      <c r="D5039" s="1" t="str">
        <f t="shared" si="2043"/>
        <v>73185</v>
      </c>
      <c r="E5039" s="1" t="str">
        <f t="shared" si="2044"/>
        <v>KFH-OPERATIONS DEPARTMENT</v>
      </c>
      <c r="F5039" s="1" t="str">
        <f t="shared" si="2045"/>
        <v>IBG</v>
      </c>
      <c r="G5039" s="1" t="str">
        <f t="shared" si="2054"/>
        <v>Refund COSHARE 10</v>
      </c>
      <c r="H5039" s="3">
        <v>396</v>
      </c>
      <c r="I5039" s="4" t="str">
        <f>"ANUAR ZAMANE BIN MAT ZEN"</f>
        <v>ANUAR ZAMANE BIN MAT ZEN</v>
      </c>
      <c r="J5039" s="1" t="str">
        <f t="shared" si="2057"/>
        <v>MAYBANK / MAYBANK ISLAMIC</v>
      </c>
      <c r="K5039" s="1" t="str">
        <f>"107152192526"</f>
        <v>107152192526</v>
      </c>
      <c r="L5039" s="1" t="str">
        <f t="shared" si="2062"/>
        <v>04-08-2020</v>
      </c>
      <c r="M5039" s="1" t="str">
        <f t="shared" si="2062"/>
        <v>04-08-2020</v>
      </c>
      <c r="N5039" s="1" t="str">
        <f t="shared" si="2046"/>
        <v>001105018356</v>
      </c>
      <c r="O5039" s="1" t="str">
        <f t="shared" si="2047"/>
        <v>MYR</v>
      </c>
      <c r="P5039" s="1" t="str">
        <f t="shared" si="2063"/>
        <v>NIL</v>
      </c>
      <c r="Q5039" s="1" t="str">
        <f t="shared" si="2063"/>
        <v>NIL</v>
      </c>
      <c r="R5039" s="1" t="str">
        <f t="shared" si="2060"/>
        <v>Unsuccessful</v>
      </c>
      <c r="S5039" s="1" t="str">
        <f t="shared" si="2048"/>
        <v>Approved</v>
      </c>
      <c r="T5039" s="1" t="str">
        <f t="shared" si="2061"/>
        <v>10.20.201.88</v>
      </c>
      <c r="U5039" s="1" t="str">
        <f t="shared" si="2049"/>
        <v>AZRAD UMAR BIN SHAARI</v>
      </c>
      <c r="V5039" s="1" t="str">
        <f t="shared" si="2050"/>
        <v>FARHANA BINTI MUSTAPA</v>
      </c>
      <c r="W5039" s="1" t="str">
        <f t="shared" si="2051"/>
        <v>04-08-2020</v>
      </c>
      <c r="X5039" s="1" t="str">
        <f t="shared" si="2052"/>
        <v>RAZIMAH ANSAR AHMAD</v>
      </c>
      <c r="Y5039" s="1" t="str">
        <f t="shared" si="2053"/>
        <v>04-08-2020</v>
      </c>
      <c r="Z5039" s="1" t="str">
        <f>"COS10200804 4115"</f>
        <v>COS10200804 4115</v>
      </c>
    </row>
    <row r="5040" spans="1:26" s="1" customFormat="1" x14ac:dyDescent="0.25">
      <c r="A5040" s="1" t="str">
        <f t="shared" si="2058"/>
        <v>04-08-2020 12:48:13</v>
      </c>
      <c r="B5040" s="1" t="str">
        <f>"0000805892"</f>
        <v>0000805892</v>
      </c>
      <c r="C5040" s="1" t="str">
        <f t="shared" si="2059"/>
        <v>0000805778</v>
      </c>
      <c r="D5040" s="1" t="str">
        <f t="shared" si="2043"/>
        <v>73185</v>
      </c>
      <c r="E5040" s="1" t="str">
        <f t="shared" si="2044"/>
        <v>KFH-OPERATIONS DEPARTMENT</v>
      </c>
      <c r="F5040" s="1" t="str">
        <f t="shared" si="2045"/>
        <v>IBG</v>
      </c>
      <c r="G5040" s="1" t="str">
        <f t="shared" si="2054"/>
        <v>Refund COSHARE 10</v>
      </c>
      <c r="H5040" s="3">
        <v>722</v>
      </c>
      <c r="I5040" s="4" t="str">
        <f>"ANUAR BIN YUSOP"</f>
        <v>ANUAR BIN YUSOP</v>
      </c>
      <c r="J5040" s="1" t="str">
        <f t="shared" si="2057"/>
        <v>MAYBANK / MAYBANK ISLAMIC</v>
      </c>
      <c r="K5040" s="1" t="str">
        <f>"152050202685"</f>
        <v>152050202685</v>
      </c>
      <c r="L5040" s="1" t="str">
        <f t="shared" si="2062"/>
        <v>04-08-2020</v>
      </c>
      <c r="M5040" s="1" t="str">
        <f t="shared" si="2062"/>
        <v>04-08-2020</v>
      </c>
      <c r="N5040" s="1" t="str">
        <f t="shared" si="2046"/>
        <v>001105018356</v>
      </c>
      <c r="O5040" s="1" t="str">
        <f t="shared" si="2047"/>
        <v>MYR</v>
      </c>
      <c r="P5040" s="1" t="str">
        <f t="shared" si="2063"/>
        <v>NIL</v>
      </c>
      <c r="Q5040" s="1" t="str">
        <f t="shared" si="2063"/>
        <v>NIL</v>
      </c>
      <c r="R5040" s="1" t="str">
        <f t="shared" si="2060"/>
        <v>Unsuccessful</v>
      </c>
      <c r="S5040" s="1" t="str">
        <f t="shared" si="2048"/>
        <v>Approved</v>
      </c>
      <c r="T5040" s="1" t="str">
        <f t="shared" si="2061"/>
        <v>10.20.201.88</v>
      </c>
      <c r="U5040" s="1" t="str">
        <f t="shared" si="2049"/>
        <v>AZRAD UMAR BIN SHAARI</v>
      </c>
      <c r="V5040" s="1" t="str">
        <f t="shared" si="2050"/>
        <v>FARHANA BINTI MUSTAPA</v>
      </c>
      <c r="W5040" s="1" t="str">
        <f t="shared" si="2051"/>
        <v>04-08-2020</v>
      </c>
      <c r="X5040" s="1" t="str">
        <f t="shared" si="2052"/>
        <v>RAZIMAH ANSAR AHMAD</v>
      </c>
      <c r="Y5040" s="1" t="str">
        <f t="shared" si="2053"/>
        <v>04-08-2020</v>
      </c>
      <c r="Z5040" s="1" t="str">
        <f>"COS10200804 4114"</f>
        <v>COS10200804 4114</v>
      </c>
    </row>
    <row r="5041" spans="1:26" s="1" customFormat="1" x14ac:dyDescent="0.25">
      <c r="A5041" s="1" t="str">
        <f t="shared" si="2058"/>
        <v>04-08-2020 12:48:13</v>
      </c>
      <c r="B5041" s="1" t="str">
        <f>"0000805891"</f>
        <v>0000805891</v>
      </c>
      <c r="C5041" s="1" t="str">
        <f t="shared" si="2059"/>
        <v>0000805778</v>
      </c>
      <c r="D5041" s="1" t="str">
        <f t="shared" si="2043"/>
        <v>73185</v>
      </c>
      <c r="E5041" s="1" t="str">
        <f t="shared" si="2044"/>
        <v>KFH-OPERATIONS DEPARTMENT</v>
      </c>
      <c r="F5041" s="1" t="str">
        <f t="shared" si="2045"/>
        <v>IBG</v>
      </c>
      <c r="G5041" s="1" t="str">
        <f t="shared" si="2054"/>
        <v>Refund COSHARE 10</v>
      </c>
      <c r="H5041" s="3">
        <v>166.8</v>
      </c>
      <c r="I5041" s="4" t="str">
        <f>"ANUAR BIN YUNUS"</f>
        <v>ANUAR BIN YUNUS</v>
      </c>
      <c r="J5041" s="1" t="str">
        <f t="shared" si="2057"/>
        <v>MAYBANK / MAYBANK ISLAMIC</v>
      </c>
      <c r="K5041" s="1" t="str">
        <f>"007095122560"</f>
        <v>007095122560</v>
      </c>
      <c r="L5041" s="1" t="str">
        <f t="shared" si="2062"/>
        <v>04-08-2020</v>
      </c>
      <c r="M5041" s="1" t="str">
        <f t="shared" si="2062"/>
        <v>04-08-2020</v>
      </c>
      <c r="N5041" s="1" t="str">
        <f t="shared" si="2046"/>
        <v>001105018356</v>
      </c>
      <c r="O5041" s="1" t="str">
        <f t="shared" si="2047"/>
        <v>MYR</v>
      </c>
      <c r="P5041" s="1" t="str">
        <f t="shared" si="2063"/>
        <v>NIL</v>
      </c>
      <c r="Q5041" s="1" t="str">
        <f t="shared" si="2063"/>
        <v>NIL</v>
      </c>
      <c r="R5041" s="1" t="str">
        <f t="shared" si="2060"/>
        <v>Unsuccessful</v>
      </c>
      <c r="S5041" s="1" t="str">
        <f t="shared" si="2048"/>
        <v>Approved</v>
      </c>
      <c r="T5041" s="1" t="str">
        <f t="shared" si="2061"/>
        <v>10.20.201.88</v>
      </c>
      <c r="U5041" s="1" t="str">
        <f t="shared" si="2049"/>
        <v>AZRAD UMAR BIN SHAARI</v>
      </c>
      <c r="V5041" s="1" t="str">
        <f t="shared" si="2050"/>
        <v>FARHANA BINTI MUSTAPA</v>
      </c>
      <c r="W5041" s="1" t="str">
        <f t="shared" si="2051"/>
        <v>04-08-2020</v>
      </c>
      <c r="X5041" s="1" t="str">
        <f t="shared" si="2052"/>
        <v>RAZIMAH ANSAR AHMAD</v>
      </c>
      <c r="Y5041" s="1" t="str">
        <f t="shared" si="2053"/>
        <v>04-08-2020</v>
      </c>
      <c r="Z5041" s="1" t="str">
        <f>"COS10200804 4113"</f>
        <v>COS10200804 4113</v>
      </c>
    </row>
    <row r="5042" spans="1:26" s="1" customFormat="1" x14ac:dyDescent="0.25">
      <c r="A5042" s="1" t="str">
        <f t="shared" si="2058"/>
        <v>04-08-2020 12:48:13</v>
      </c>
      <c r="B5042" s="1" t="str">
        <f>"0000805890"</f>
        <v>0000805890</v>
      </c>
      <c r="C5042" s="1" t="str">
        <f t="shared" si="2059"/>
        <v>0000805778</v>
      </c>
      <c r="D5042" s="1" t="str">
        <f t="shared" si="2043"/>
        <v>73185</v>
      </c>
      <c r="E5042" s="1" t="str">
        <f t="shared" si="2044"/>
        <v>KFH-OPERATIONS DEPARTMENT</v>
      </c>
      <c r="F5042" s="1" t="str">
        <f t="shared" si="2045"/>
        <v>IBG</v>
      </c>
      <c r="G5042" s="1" t="str">
        <f t="shared" si="2054"/>
        <v>Refund COSHARE 10</v>
      </c>
      <c r="H5042" s="3">
        <v>633</v>
      </c>
      <c r="I5042" s="4" t="str">
        <f>"ANUAR BIN HAMID"</f>
        <v>ANUAR BIN HAMID</v>
      </c>
      <c r="J5042" s="1" t="str">
        <f t="shared" si="2057"/>
        <v>MAYBANK / MAYBANK ISLAMIC</v>
      </c>
      <c r="K5042" s="1" t="str">
        <f>"101012946497"</f>
        <v>101012946497</v>
      </c>
      <c r="L5042" s="1" t="str">
        <f t="shared" si="2062"/>
        <v>04-08-2020</v>
      </c>
      <c r="M5042" s="1" t="str">
        <f t="shared" si="2062"/>
        <v>04-08-2020</v>
      </c>
      <c r="N5042" s="1" t="str">
        <f t="shared" si="2046"/>
        <v>001105018356</v>
      </c>
      <c r="O5042" s="1" t="str">
        <f t="shared" si="2047"/>
        <v>MYR</v>
      </c>
      <c r="P5042" s="1" t="str">
        <f t="shared" si="2063"/>
        <v>NIL</v>
      </c>
      <c r="Q5042" s="1" t="str">
        <f t="shared" si="2063"/>
        <v>NIL</v>
      </c>
      <c r="R5042" s="1" t="str">
        <f t="shared" si="2060"/>
        <v>Unsuccessful</v>
      </c>
      <c r="S5042" s="1" t="str">
        <f t="shared" si="2048"/>
        <v>Approved</v>
      </c>
      <c r="T5042" s="1" t="str">
        <f t="shared" si="2061"/>
        <v>10.20.201.88</v>
      </c>
      <c r="U5042" s="1" t="str">
        <f t="shared" si="2049"/>
        <v>AZRAD UMAR BIN SHAARI</v>
      </c>
      <c r="V5042" s="1" t="str">
        <f t="shared" si="2050"/>
        <v>FARHANA BINTI MUSTAPA</v>
      </c>
      <c r="W5042" s="1" t="str">
        <f t="shared" si="2051"/>
        <v>04-08-2020</v>
      </c>
      <c r="X5042" s="1" t="str">
        <f t="shared" si="2052"/>
        <v>RAZIMAH ANSAR AHMAD</v>
      </c>
      <c r="Y5042" s="1" t="str">
        <f t="shared" si="2053"/>
        <v>04-08-2020</v>
      </c>
      <c r="Z5042" s="1" t="str">
        <f>"COS10200804 4112"</f>
        <v>COS10200804 4112</v>
      </c>
    </row>
    <row r="5043" spans="1:26" s="1" customFormat="1" x14ac:dyDescent="0.25">
      <c r="A5043" s="1" t="str">
        <f t="shared" si="2058"/>
        <v>04-08-2020 12:48:13</v>
      </c>
      <c r="B5043" s="1" t="str">
        <f>"0000805889"</f>
        <v>0000805889</v>
      </c>
      <c r="C5043" s="1" t="str">
        <f t="shared" si="2059"/>
        <v>0000805778</v>
      </c>
      <c r="D5043" s="1" t="str">
        <f t="shared" si="2043"/>
        <v>73185</v>
      </c>
      <c r="E5043" s="1" t="str">
        <f t="shared" si="2044"/>
        <v>KFH-OPERATIONS DEPARTMENT</v>
      </c>
      <c r="F5043" s="1" t="str">
        <f t="shared" si="2045"/>
        <v>IBG</v>
      </c>
      <c r="G5043" s="1" t="str">
        <f t="shared" si="2054"/>
        <v>Refund COSHARE 10</v>
      </c>
      <c r="H5043" s="3">
        <v>938</v>
      </c>
      <c r="I5043" s="4" t="str">
        <f>"ANUAR BIN AHMAD"</f>
        <v>ANUAR BIN AHMAD</v>
      </c>
      <c r="J5043" s="1" t="str">
        <f t="shared" si="2057"/>
        <v>MAYBANK / MAYBANK ISLAMIC</v>
      </c>
      <c r="K5043" s="1" t="str">
        <f>"108168261836"</f>
        <v>108168261836</v>
      </c>
      <c r="L5043" s="1" t="str">
        <f t="shared" si="2062"/>
        <v>04-08-2020</v>
      </c>
      <c r="M5043" s="1" t="str">
        <f t="shared" si="2062"/>
        <v>04-08-2020</v>
      </c>
      <c r="N5043" s="1" t="str">
        <f t="shared" si="2046"/>
        <v>001105018356</v>
      </c>
      <c r="O5043" s="1" t="str">
        <f t="shared" si="2047"/>
        <v>MYR</v>
      </c>
      <c r="P5043" s="1" t="str">
        <f t="shared" si="2063"/>
        <v>NIL</v>
      </c>
      <c r="Q5043" s="1" t="str">
        <f t="shared" si="2063"/>
        <v>NIL</v>
      </c>
      <c r="R5043" s="1" t="str">
        <f t="shared" si="2060"/>
        <v>Unsuccessful</v>
      </c>
      <c r="S5043" s="1" t="str">
        <f t="shared" si="2048"/>
        <v>Approved</v>
      </c>
      <c r="T5043" s="1" t="str">
        <f t="shared" si="2061"/>
        <v>10.20.201.88</v>
      </c>
      <c r="U5043" s="1" t="str">
        <f t="shared" si="2049"/>
        <v>AZRAD UMAR BIN SHAARI</v>
      </c>
      <c r="V5043" s="1" t="str">
        <f t="shared" si="2050"/>
        <v>FARHANA BINTI MUSTAPA</v>
      </c>
      <c r="W5043" s="1" t="str">
        <f t="shared" si="2051"/>
        <v>04-08-2020</v>
      </c>
      <c r="X5043" s="1" t="str">
        <f t="shared" si="2052"/>
        <v>RAZIMAH ANSAR AHMAD</v>
      </c>
      <c r="Y5043" s="1" t="str">
        <f t="shared" si="2053"/>
        <v>04-08-2020</v>
      </c>
      <c r="Z5043" s="1" t="str">
        <f>"COS10200804 4111"</f>
        <v>COS10200804 4111</v>
      </c>
    </row>
    <row r="5044" spans="1:26" s="1" customFormat="1" x14ac:dyDescent="0.25">
      <c r="A5044" s="1" t="str">
        <f t="shared" si="2058"/>
        <v>04-08-2020 12:48:13</v>
      </c>
      <c r="B5044" s="1" t="str">
        <f>"0000805888"</f>
        <v>0000805888</v>
      </c>
      <c r="C5044" s="1" t="str">
        <f t="shared" si="2059"/>
        <v>0000805778</v>
      </c>
      <c r="D5044" s="1" t="str">
        <f t="shared" si="2043"/>
        <v>73185</v>
      </c>
      <c r="E5044" s="1" t="str">
        <f t="shared" si="2044"/>
        <v>KFH-OPERATIONS DEPARTMENT</v>
      </c>
      <c r="F5044" s="1" t="str">
        <f t="shared" si="2045"/>
        <v>IBG</v>
      </c>
      <c r="G5044" s="1" t="str">
        <f t="shared" si="2054"/>
        <v>Refund COSHARE 10</v>
      </c>
      <c r="H5044" s="3">
        <v>167.9</v>
      </c>
      <c r="I5044" s="4" t="str">
        <f>"ANUAR BIN ABDULLAH"</f>
        <v>ANUAR BIN ABDULLAH</v>
      </c>
      <c r="J5044" s="1" t="str">
        <f t="shared" si="2057"/>
        <v>MAYBANK / MAYBANK ISLAMIC</v>
      </c>
      <c r="K5044" s="1" t="str">
        <f>"158079617385"</f>
        <v>158079617385</v>
      </c>
      <c r="L5044" s="1" t="str">
        <f t="shared" si="2062"/>
        <v>04-08-2020</v>
      </c>
      <c r="M5044" s="1" t="str">
        <f t="shared" si="2062"/>
        <v>04-08-2020</v>
      </c>
      <c r="N5044" s="1" t="str">
        <f t="shared" si="2046"/>
        <v>001105018356</v>
      </c>
      <c r="O5044" s="1" t="str">
        <f t="shared" si="2047"/>
        <v>MYR</v>
      </c>
      <c r="P5044" s="1" t="str">
        <f t="shared" si="2063"/>
        <v>NIL</v>
      </c>
      <c r="Q5044" s="1" t="str">
        <f t="shared" si="2063"/>
        <v>NIL</v>
      </c>
      <c r="R5044" s="1" t="str">
        <f t="shared" si="2060"/>
        <v>Unsuccessful</v>
      </c>
      <c r="S5044" s="1" t="str">
        <f t="shared" si="2048"/>
        <v>Approved</v>
      </c>
      <c r="T5044" s="1" t="str">
        <f t="shared" si="2061"/>
        <v>10.20.201.88</v>
      </c>
      <c r="U5044" s="1" t="str">
        <f t="shared" si="2049"/>
        <v>AZRAD UMAR BIN SHAARI</v>
      </c>
      <c r="V5044" s="1" t="str">
        <f t="shared" si="2050"/>
        <v>FARHANA BINTI MUSTAPA</v>
      </c>
      <c r="W5044" s="1" t="str">
        <f t="shared" si="2051"/>
        <v>04-08-2020</v>
      </c>
      <c r="X5044" s="1" t="str">
        <f t="shared" si="2052"/>
        <v>RAZIMAH ANSAR AHMAD</v>
      </c>
      <c r="Y5044" s="1" t="str">
        <f t="shared" si="2053"/>
        <v>04-08-2020</v>
      </c>
      <c r="Z5044" s="1" t="str">
        <f>"COS10200804 4110"</f>
        <v>COS10200804 4110</v>
      </c>
    </row>
    <row r="5045" spans="1:26" s="1" customFormat="1" x14ac:dyDescent="0.25">
      <c r="A5045" s="1" t="str">
        <f t="shared" si="2058"/>
        <v>04-08-2020 12:48:13</v>
      </c>
      <c r="B5045" s="1" t="str">
        <f>"0000805887"</f>
        <v>0000805887</v>
      </c>
      <c r="C5045" s="1" t="str">
        <f t="shared" si="2059"/>
        <v>0000805778</v>
      </c>
      <c r="D5045" s="1" t="str">
        <f t="shared" si="2043"/>
        <v>73185</v>
      </c>
      <c r="E5045" s="1" t="str">
        <f t="shared" si="2044"/>
        <v>KFH-OPERATIONS DEPARTMENT</v>
      </c>
      <c r="F5045" s="1" t="str">
        <f t="shared" si="2045"/>
        <v>IBG</v>
      </c>
      <c r="G5045" s="1" t="str">
        <f t="shared" si="2054"/>
        <v>Refund COSHARE 10</v>
      </c>
      <c r="H5045" s="3">
        <v>1465.4</v>
      </c>
      <c r="I5045" s="4" t="str">
        <f>"ANUAR AMRI BIN ADZIZAN"</f>
        <v>ANUAR AMRI BIN ADZIZAN</v>
      </c>
      <c r="J5045" s="1" t="str">
        <f t="shared" si="2057"/>
        <v>MAYBANK / MAYBANK ISLAMIC</v>
      </c>
      <c r="K5045" s="1" t="str">
        <f>"114440010292"</f>
        <v>114440010292</v>
      </c>
      <c r="L5045" s="1" t="str">
        <f t="shared" si="2062"/>
        <v>04-08-2020</v>
      </c>
      <c r="M5045" s="1" t="str">
        <f t="shared" si="2062"/>
        <v>04-08-2020</v>
      </c>
      <c r="N5045" s="1" t="str">
        <f t="shared" si="2046"/>
        <v>001105018356</v>
      </c>
      <c r="O5045" s="1" t="str">
        <f t="shared" si="2047"/>
        <v>MYR</v>
      </c>
      <c r="P5045" s="1" t="str">
        <f t="shared" si="2063"/>
        <v>NIL</v>
      </c>
      <c r="Q5045" s="1" t="str">
        <f t="shared" si="2063"/>
        <v>NIL</v>
      </c>
      <c r="R5045" s="1" t="str">
        <f t="shared" si="2060"/>
        <v>Unsuccessful</v>
      </c>
      <c r="S5045" s="1" t="str">
        <f t="shared" si="2048"/>
        <v>Approved</v>
      </c>
      <c r="T5045" s="1" t="str">
        <f t="shared" si="2061"/>
        <v>10.20.201.88</v>
      </c>
      <c r="U5045" s="1" t="str">
        <f t="shared" si="2049"/>
        <v>AZRAD UMAR BIN SHAARI</v>
      </c>
      <c r="V5045" s="1" t="str">
        <f t="shared" si="2050"/>
        <v>FARHANA BINTI MUSTAPA</v>
      </c>
      <c r="W5045" s="1" t="str">
        <f t="shared" si="2051"/>
        <v>04-08-2020</v>
      </c>
      <c r="X5045" s="1" t="str">
        <f t="shared" si="2052"/>
        <v>RAZIMAH ANSAR AHMAD</v>
      </c>
      <c r="Y5045" s="1" t="str">
        <f t="shared" si="2053"/>
        <v>04-08-2020</v>
      </c>
      <c r="Z5045" s="1" t="str">
        <f>"COS10200804 4109"</f>
        <v>COS10200804 4109</v>
      </c>
    </row>
    <row r="5046" spans="1:26" s="1" customFormat="1" x14ac:dyDescent="0.25">
      <c r="A5046" s="1" t="str">
        <f t="shared" si="2058"/>
        <v>04-08-2020 12:48:13</v>
      </c>
      <c r="B5046" s="1" t="str">
        <f>"0000805886"</f>
        <v>0000805886</v>
      </c>
      <c r="C5046" s="1" t="str">
        <f t="shared" si="2059"/>
        <v>0000805778</v>
      </c>
      <c r="D5046" s="1" t="str">
        <f t="shared" si="2043"/>
        <v>73185</v>
      </c>
      <c r="E5046" s="1" t="str">
        <f t="shared" si="2044"/>
        <v>KFH-OPERATIONS DEPARTMENT</v>
      </c>
      <c r="F5046" s="1" t="str">
        <f t="shared" si="2045"/>
        <v>IBG</v>
      </c>
      <c r="G5046" s="1" t="str">
        <f t="shared" si="2054"/>
        <v>Refund COSHARE 10</v>
      </c>
      <c r="H5046" s="3">
        <v>1561.5</v>
      </c>
      <c r="I5046" s="4" t="str">
        <f>"ANTHONY ANAK JOINE"</f>
        <v>ANTHONY ANAK JOINE</v>
      </c>
      <c r="J5046" s="1" t="str">
        <f t="shared" si="2057"/>
        <v>MAYBANK / MAYBANK ISLAMIC</v>
      </c>
      <c r="K5046" s="1" t="str">
        <f>"105083011010"</f>
        <v>105083011010</v>
      </c>
      <c r="L5046" s="1" t="str">
        <f t="shared" si="2062"/>
        <v>04-08-2020</v>
      </c>
      <c r="M5046" s="1" t="str">
        <f t="shared" si="2062"/>
        <v>04-08-2020</v>
      </c>
      <c r="N5046" s="1" t="str">
        <f t="shared" si="2046"/>
        <v>001105018356</v>
      </c>
      <c r="O5046" s="1" t="str">
        <f t="shared" si="2047"/>
        <v>MYR</v>
      </c>
      <c r="P5046" s="1" t="str">
        <f t="shared" si="2063"/>
        <v>NIL</v>
      </c>
      <c r="Q5046" s="1" t="str">
        <f t="shared" si="2063"/>
        <v>NIL</v>
      </c>
      <c r="R5046" s="1" t="str">
        <f t="shared" si="2060"/>
        <v>Unsuccessful</v>
      </c>
      <c r="S5046" s="1" t="str">
        <f t="shared" si="2048"/>
        <v>Approved</v>
      </c>
      <c r="T5046" s="1" t="str">
        <f t="shared" si="2061"/>
        <v>10.20.201.88</v>
      </c>
      <c r="U5046" s="1" t="str">
        <f t="shared" si="2049"/>
        <v>AZRAD UMAR BIN SHAARI</v>
      </c>
      <c r="V5046" s="1" t="str">
        <f t="shared" si="2050"/>
        <v>FARHANA BINTI MUSTAPA</v>
      </c>
      <c r="W5046" s="1" t="str">
        <f t="shared" si="2051"/>
        <v>04-08-2020</v>
      </c>
      <c r="X5046" s="1" t="str">
        <f t="shared" si="2052"/>
        <v>RAZIMAH ANSAR AHMAD</v>
      </c>
      <c r="Y5046" s="1" t="str">
        <f t="shared" si="2053"/>
        <v>04-08-2020</v>
      </c>
      <c r="Z5046" s="1" t="str">
        <f>"COS10200804 4108"</f>
        <v>COS10200804 4108</v>
      </c>
    </row>
    <row r="5047" spans="1:26" s="1" customFormat="1" x14ac:dyDescent="0.25">
      <c r="A5047" s="1" t="str">
        <f t="shared" si="2058"/>
        <v>04-08-2020 12:48:13</v>
      </c>
      <c r="B5047" s="1" t="str">
        <f>"0000805885"</f>
        <v>0000805885</v>
      </c>
      <c r="C5047" s="1" t="str">
        <f t="shared" si="2059"/>
        <v>0000805778</v>
      </c>
      <c r="D5047" s="1" t="str">
        <f t="shared" si="2043"/>
        <v>73185</v>
      </c>
      <c r="E5047" s="1" t="str">
        <f t="shared" si="2044"/>
        <v>KFH-OPERATIONS DEPARTMENT</v>
      </c>
      <c r="F5047" s="1" t="str">
        <f t="shared" si="2045"/>
        <v>IBG</v>
      </c>
      <c r="G5047" s="1" t="str">
        <f t="shared" si="2054"/>
        <v>Refund COSHARE 10</v>
      </c>
      <c r="H5047" s="3">
        <v>167</v>
      </c>
      <c r="I5047" s="4" t="str">
        <f>"ANSI ANAK MANOK"</f>
        <v>ANSI ANAK MANOK</v>
      </c>
      <c r="J5047" s="1" t="str">
        <f t="shared" si="2057"/>
        <v>MAYBANK / MAYBANK ISLAMIC</v>
      </c>
      <c r="K5047" s="1" t="str">
        <f>"161097019859"</f>
        <v>161097019859</v>
      </c>
      <c r="L5047" s="1" t="str">
        <f t="shared" ref="L5047:M5066" si="2064">"04-08-2020"</f>
        <v>04-08-2020</v>
      </c>
      <c r="M5047" s="1" t="str">
        <f t="shared" si="2064"/>
        <v>04-08-2020</v>
      </c>
      <c r="N5047" s="1" t="str">
        <f t="shared" si="2046"/>
        <v>001105018356</v>
      </c>
      <c r="O5047" s="1" t="str">
        <f t="shared" si="2047"/>
        <v>MYR</v>
      </c>
      <c r="P5047" s="1" t="str">
        <f t="shared" ref="P5047:Q5066" si="2065">"NIL"</f>
        <v>NIL</v>
      </c>
      <c r="Q5047" s="1" t="str">
        <f t="shared" si="2065"/>
        <v>NIL</v>
      </c>
      <c r="R5047" s="1" t="str">
        <f t="shared" si="2060"/>
        <v>Unsuccessful</v>
      </c>
      <c r="S5047" s="1" t="str">
        <f t="shared" si="2048"/>
        <v>Approved</v>
      </c>
      <c r="T5047" s="1" t="str">
        <f t="shared" si="2061"/>
        <v>10.20.201.88</v>
      </c>
      <c r="U5047" s="1" t="str">
        <f t="shared" si="2049"/>
        <v>AZRAD UMAR BIN SHAARI</v>
      </c>
      <c r="V5047" s="1" t="str">
        <f t="shared" si="2050"/>
        <v>FARHANA BINTI MUSTAPA</v>
      </c>
      <c r="W5047" s="1" t="str">
        <f t="shared" si="2051"/>
        <v>04-08-2020</v>
      </c>
      <c r="X5047" s="1" t="str">
        <f t="shared" si="2052"/>
        <v>RAZIMAH ANSAR AHMAD</v>
      </c>
      <c r="Y5047" s="1" t="str">
        <f t="shared" si="2053"/>
        <v>04-08-2020</v>
      </c>
      <c r="Z5047" s="1" t="str">
        <f>"COS10200804 4107"</f>
        <v>COS10200804 4107</v>
      </c>
    </row>
    <row r="5048" spans="1:26" s="1" customFormat="1" x14ac:dyDescent="0.25">
      <c r="A5048" s="1" t="str">
        <f t="shared" si="2058"/>
        <v>04-08-2020 12:48:13</v>
      </c>
      <c r="B5048" s="1" t="str">
        <f>"0000805884"</f>
        <v>0000805884</v>
      </c>
      <c r="C5048" s="1" t="str">
        <f t="shared" si="2059"/>
        <v>0000805778</v>
      </c>
      <c r="D5048" s="1" t="str">
        <f t="shared" si="2043"/>
        <v>73185</v>
      </c>
      <c r="E5048" s="1" t="str">
        <f t="shared" si="2044"/>
        <v>KFH-OPERATIONS DEPARTMENT</v>
      </c>
      <c r="F5048" s="1" t="str">
        <f t="shared" si="2045"/>
        <v>IBG</v>
      </c>
      <c r="G5048" s="1" t="str">
        <f t="shared" si="2054"/>
        <v>Refund COSHARE 10</v>
      </c>
      <c r="H5048" s="3">
        <v>1326</v>
      </c>
      <c r="I5048" s="4" t="str">
        <f>"ANSAFAH BINTI MOHAMED"</f>
        <v>ANSAFAH BINTI MOHAMED</v>
      </c>
      <c r="J5048" s="1" t="str">
        <f t="shared" si="2057"/>
        <v>MAYBANK / MAYBANK ISLAMIC</v>
      </c>
      <c r="K5048" s="1" t="str">
        <f>"163046321234"</f>
        <v>163046321234</v>
      </c>
      <c r="L5048" s="1" t="str">
        <f t="shared" si="2064"/>
        <v>04-08-2020</v>
      </c>
      <c r="M5048" s="1" t="str">
        <f t="shared" si="2064"/>
        <v>04-08-2020</v>
      </c>
      <c r="N5048" s="1" t="str">
        <f t="shared" si="2046"/>
        <v>001105018356</v>
      </c>
      <c r="O5048" s="1" t="str">
        <f t="shared" si="2047"/>
        <v>MYR</v>
      </c>
      <c r="P5048" s="1" t="str">
        <f t="shared" si="2065"/>
        <v>NIL</v>
      </c>
      <c r="Q5048" s="1" t="str">
        <f t="shared" si="2065"/>
        <v>NIL</v>
      </c>
      <c r="R5048" s="1" t="str">
        <f t="shared" si="2060"/>
        <v>Unsuccessful</v>
      </c>
      <c r="S5048" s="1" t="str">
        <f t="shared" si="2048"/>
        <v>Approved</v>
      </c>
      <c r="T5048" s="1" t="str">
        <f t="shared" si="2061"/>
        <v>10.20.201.88</v>
      </c>
      <c r="U5048" s="1" t="str">
        <f t="shared" si="2049"/>
        <v>AZRAD UMAR BIN SHAARI</v>
      </c>
      <c r="V5048" s="1" t="str">
        <f t="shared" si="2050"/>
        <v>FARHANA BINTI MUSTAPA</v>
      </c>
      <c r="W5048" s="1" t="str">
        <f t="shared" si="2051"/>
        <v>04-08-2020</v>
      </c>
      <c r="X5048" s="1" t="str">
        <f t="shared" si="2052"/>
        <v>RAZIMAH ANSAR AHMAD</v>
      </c>
      <c r="Y5048" s="1" t="str">
        <f t="shared" si="2053"/>
        <v>04-08-2020</v>
      </c>
      <c r="Z5048" s="1" t="str">
        <f>"COS10200804 4106"</f>
        <v>COS10200804 4106</v>
      </c>
    </row>
    <row r="5049" spans="1:26" s="1" customFormat="1" x14ac:dyDescent="0.25">
      <c r="A5049" s="1" t="str">
        <f t="shared" si="2058"/>
        <v>04-08-2020 12:48:13</v>
      </c>
      <c r="B5049" s="1" t="str">
        <f>"0000805883"</f>
        <v>0000805883</v>
      </c>
      <c r="C5049" s="1" t="str">
        <f t="shared" si="2059"/>
        <v>0000805778</v>
      </c>
      <c r="D5049" s="1" t="str">
        <f t="shared" si="2043"/>
        <v>73185</v>
      </c>
      <c r="E5049" s="1" t="str">
        <f t="shared" si="2044"/>
        <v>KFH-OPERATIONS DEPARTMENT</v>
      </c>
      <c r="F5049" s="1" t="str">
        <f t="shared" si="2045"/>
        <v>IBG</v>
      </c>
      <c r="G5049" s="1" t="str">
        <f t="shared" si="2054"/>
        <v>Refund COSHARE 10</v>
      </c>
      <c r="H5049" s="3">
        <v>896.5</v>
      </c>
      <c r="I5049" s="4" t="str">
        <f>"ANNIE NG"</f>
        <v>ANNIE NG</v>
      </c>
      <c r="J5049" s="1" t="str">
        <f t="shared" si="2057"/>
        <v>MAYBANK / MAYBANK ISLAMIC</v>
      </c>
      <c r="K5049" s="1" t="str">
        <f>"111114031450"</f>
        <v>111114031450</v>
      </c>
      <c r="L5049" s="1" t="str">
        <f t="shared" si="2064"/>
        <v>04-08-2020</v>
      </c>
      <c r="M5049" s="1" t="str">
        <f t="shared" si="2064"/>
        <v>04-08-2020</v>
      </c>
      <c r="N5049" s="1" t="str">
        <f t="shared" si="2046"/>
        <v>001105018356</v>
      </c>
      <c r="O5049" s="1" t="str">
        <f t="shared" si="2047"/>
        <v>MYR</v>
      </c>
      <c r="P5049" s="1" t="str">
        <f t="shared" si="2065"/>
        <v>NIL</v>
      </c>
      <c r="Q5049" s="1" t="str">
        <f t="shared" si="2065"/>
        <v>NIL</v>
      </c>
      <c r="R5049" s="1" t="str">
        <f t="shared" si="2060"/>
        <v>Unsuccessful</v>
      </c>
      <c r="S5049" s="1" t="str">
        <f t="shared" si="2048"/>
        <v>Approved</v>
      </c>
      <c r="T5049" s="1" t="str">
        <f t="shared" si="2061"/>
        <v>10.20.201.88</v>
      </c>
      <c r="U5049" s="1" t="str">
        <f t="shared" si="2049"/>
        <v>AZRAD UMAR BIN SHAARI</v>
      </c>
      <c r="V5049" s="1" t="str">
        <f t="shared" si="2050"/>
        <v>FARHANA BINTI MUSTAPA</v>
      </c>
      <c r="W5049" s="1" t="str">
        <f t="shared" si="2051"/>
        <v>04-08-2020</v>
      </c>
      <c r="X5049" s="1" t="str">
        <f t="shared" si="2052"/>
        <v>RAZIMAH ANSAR AHMAD</v>
      </c>
      <c r="Y5049" s="1" t="str">
        <f t="shared" si="2053"/>
        <v>04-08-2020</v>
      </c>
      <c r="Z5049" s="1" t="str">
        <f>"COS10200804 4105"</f>
        <v>COS10200804 4105</v>
      </c>
    </row>
    <row r="5050" spans="1:26" s="1" customFormat="1" x14ac:dyDescent="0.25">
      <c r="A5050" s="1" t="str">
        <f t="shared" ref="A5050:A5081" si="2066">"04-08-2020 12:48:13"</f>
        <v>04-08-2020 12:48:13</v>
      </c>
      <c r="B5050" s="1" t="str">
        <f>"0000805882"</f>
        <v>0000805882</v>
      </c>
      <c r="C5050" s="1" t="str">
        <f t="shared" ref="C5050:C5081" si="2067">"0000805778"</f>
        <v>0000805778</v>
      </c>
      <c r="D5050" s="1" t="str">
        <f t="shared" si="2043"/>
        <v>73185</v>
      </c>
      <c r="E5050" s="1" t="str">
        <f t="shared" si="2044"/>
        <v>KFH-OPERATIONS DEPARTMENT</v>
      </c>
      <c r="F5050" s="1" t="str">
        <f t="shared" si="2045"/>
        <v>IBG</v>
      </c>
      <c r="G5050" s="1" t="str">
        <f t="shared" si="2054"/>
        <v>Refund COSHARE 10</v>
      </c>
      <c r="H5050" s="3">
        <v>190</v>
      </c>
      <c r="I5050" s="4" t="str">
        <f>"ANNEL ANAK JERIM"</f>
        <v>ANNEL ANAK JERIM</v>
      </c>
      <c r="J5050" s="1" t="str">
        <f t="shared" si="2057"/>
        <v>MAYBANK / MAYBANK ISLAMIC</v>
      </c>
      <c r="K5050" s="1" t="str">
        <f>"158109130038"</f>
        <v>158109130038</v>
      </c>
      <c r="L5050" s="1" t="str">
        <f t="shared" si="2064"/>
        <v>04-08-2020</v>
      </c>
      <c r="M5050" s="1" t="str">
        <f t="shared" si="2064"/>
        <v>04-08-2020</v>
      </c>
      <c r="N5050" s="1" t="str">
        <f t="shared" si="2046"/>
        <v>001105018356</v>
      </c>
      <c r="O5050" s="1" t="str">
        <f t="shared" si="2047"/>
        <v>MYR</v>
      </c>
      <c r="P5050" s="1" t="str">
        <f t="shared" si="2065"/>
        <v>NIL</v>
      </c>
      <c r="Q5050" s="1" t="str">
        <f t="shared" si="2065"/>
        <v>NIL</v>
      </c>
      <c r="R5050" s="1" t="str">
        <f t="shared" ref="R5050:R5081" si="2068">"Unsuccessful"</f>
        <v>Unsuccessful</v>
      </c>
      <c r="S5050" s="1" t="str">
        <f t="shared" si="2048"/>
        <v>Approved</v>
      </c>
      <c r="T5050" s="1" t="str">
        <f t="shared" ref="T5050:T5081" si="2069">"10.20.201.88"</f>
        <v>10.20.201.88</v>
      </c>
      <c r="U5050" s="1" t="str">
        <f t="shared" si="2049"/>
        <v>AZRAD UMAR BIN SHAARI</v>
      </c>
      <c r="V5050" s="1" t="str">
        <f t="shared" si="2050"/>
        <v>FARHANA BINTI MUSTAPA</v>
      </c>
      <c r="W5050" s="1" t="str">
        <f t="shared" si="2051"/>
        <v>04-08-2020</v>
      </c>
      <c r="X5050" s="1" t="str">
        <f t="shared" si="2052"/>
        <v>RAZIMAH ANSAR AHMAD</v>
      </c>
      <c r="Y5050" s="1" t="str">
        <f t="shared" si="2053"/>
        <v>04-08-2020</v>
      </c>
      <c r="Z5050" s="1" t="str">
        <f>"COS10200804 4104"</f>
        <v>COS10200804 4104</v>
      </c>
    </row>
    <row r="5051" spans="1:26" s="1" customFormat="1" x14ac:dyDescent="0.25">
      <c r="A5051" s="1" t="str">
        <f t="shared" si="2066"/>
        <v>04-08-2020 12:48:13</v>
      </c>
      <c r="B5051" s="1" t="str">
        <f>"0000805881"</f>
        <v>0000805881</v>
      </c>
      <c r="C5051" s="1" t="str">
        <f t="shared" si="2067"/>
        <v>0000805778</v>
      </c>
      <c r="D5051" s="1" t="str">
        <f t="shared" si="2043"/>
        <v>73185</v>
      </c>
      <c r="E5051" s="1" t="str">
        <f t="shared" si="2044"/>
        <v>KFH-OPERATIONS DEPARTMENT</v>
      </c>
      <c r="F5051" s="1" t="str">
        <f t="shared" si="2045"/>
        <v>IBG</v>
      </c>
      <c r="G5051" s="1" t="str">
        <f t="shared" si="2054"/>
        <v>Refund COSHARE 10</v>
      </c>
      <c r="H5051" s="3">
        <v>83.95</v>
      </c>
      <c r="I5051" s="4" t="str">
        <f>"ANIZAN BINTI MD NOH"</f>
        <v>ANIZAN BINTI MD NOH</v>
      </c>
      <c r="J5051" s="1" t="str">
        <f t="shared" si="2057"/>
        <v>MAYBANK / MAYBANK ISLAMIC</v>
      </c>
      <c r="K5051" s="1" t="str">
        <f>"163037065840"</f>
        <v>163037065840</v>
      </c>
      <c r="L5051" s="1" t="str">
        <f t="shared" si="2064"/>
        <v>04-08-2020</v>
      </c>
      <c r="M5051" s="1" t="str">
        <f t="shared" si="2064"/>
        <v>04-08-2020</v>
      </c>
      <c r="N5051" s="1" t="str">
        <f t="shared" si="2046"/>
        <v>001105018356</v>
      </c>
      <c r="O5051" s="1" t="str">
        <f t="shared" si="2047"/>
        <v>MYR</v>
      </c>
      <c r="P5051" s="1" t="str">
        <f t="shared" si="2065"/>
        <v>NIL</v>
      </c>
      <c r="Q5051" s="1" t="str">
        <f t="shared" si="2065"/>
        <v>NIL</v>
      </c>
      <c r="R5051" s="1" t="str">
        <f t="shared" si="2068"/>
        <v>Unsuccessful</v>
      </c>
      <c r="S5051" s="1" t="str">
        <f t="shared" si="2048"/>
        <v>Approved</v>
      </c>
      <c r="T5051" s="1" t="str">
        <f t="shared" si="2069"/>
        <v>10.20.201.88</v>
      </c>
      <c r="U5051" s="1" t="str">
        <f t="shared" si="2049"/>
        <v>AZRAD UMAR BIN SHAARI</v>
      </c>
      <c r="V5051" s="1" t="str">
        <f t="shared" si="2050"/>
        <v>FARHANA BINTI MUSTAPA</v>
      </c>
      <c r="W5051" s="1" t="str">
        <f t="shared" si="2051"/>
        <v>04-08-2020</v>
      </c>
      <c r="X5051" s="1" t="str">
        <f t="shared" si="2052"/>
        <v>RAZIMAH ANSAR AHMAD</v>
      </c>
      <c r="Y5051" s="1" t="str">
        <f t="shared" si="2053"/>
        <v>04-08-2020</v>
      </c>
      <c r="Z5051" s="1" t="str">
        <f>"COS10200804 4103"</f>
        <v>COS10200804 4103</v>
      </c>
    </row>
    <row r="5052" spans="1:26" s="1" customFormat="1" x14ac:dyDescent="0.25">
      <c r="A5052" s="1" t="str">
        <f t="shared" si="2066"/>
        <v>04-08-2020 12:48:13</v>
      </c>
      <c r="B5052" s="1" t="str">
        <f>"0000805880"</f>
        <v>0000805880</v>
      </c>
      <c r="C5052" s="1" t="str">
        <f t="shared" si="2067"/>
        <v>0000805778</v>
      </c>
      <c r="D5052" s="1" t="str">
        <f t="shared" si="2043"/>
        <v>73185</v>
      </c>
      <c r="E5052" s="1" t="str">
        <f t="shared" si="2044"/>
        <v>KFH-OPERATIONS DEPARTMENT</v>
      </c>
      <c r="F5052" s="1" t="str">
        <f t="shared" si="2045"/>
        <v>IBG</v>
      </c>
      <c r="G5052" s="1" t="str">
        <f t="shared" si="2054"/>
        <v>Refund COSHARE 10</v>
      </c>
      <c r="H5052" s="3">
        <v>67.2</v>
      </c>
      <c r="I5052" s="4" t="str">
        <f>"ANIZA BINTI MOHAMAD YUSOFF"</f>
        <v>ANIZA BINTI MOHAMAD YUSOFF</v>
      </c>
      <c r="J5052" s="1" t="str">
        <f t="shared" si="2057"/>
        <v>MAYBANK / MAYBANK ISLAMIC</v>
      </c>
      <c r="K5052" s="1" t="str">
        <f>"151212843856"</f>
        <v>151212843856</v>
      </c>
      <c r="L5052" s="1" t="str">
        <f t="shared" si="2064"/>
        <v>04-08-2020</v>
      </c>
      <c r="M5052" s="1" t="str">
        <f t="shared" si="2064"/>
        <v>04-08-2020</v>
      </c>
      <c r="N5052" s="1" t="str">
        <f t="shared" si="2046"/>
        <v>001105018356</v>
      </c>
      <c r="O5052" s="1" t="str">
        <f t="shared" si="2047"/>
        <v>MYR</v>
      </c>
      <c r="P5052" s="1" t="str">
        <f t="shared" si="2065"/>
        <v>NIL</v>
      </c>
      <c r="Q5052" s="1" t="str">
        <f t="shared" si="2065"/>
        <v>NIL</v>
      </c>
      <c r="R5052" s="1" t="str">
        <f t="shared" si="2068"/>
        <v>Unsuccessful</v>
      </c>
      <c r="S5052" s="1" t="str">
        <f t="shared" si="2048"/>
        <v>Approved</v>
      </c>
      <c r="T5052" s="1" t="str">
        <f t="shared" si="2069"/>
        <v>10.20.201.88</v>
      </c>
      <c r="U5052" s="1" t="str">
        <f t="shared" si="2049"/>
        <v>AZRAD UMAR BIN SHAARI</v>
      </c>
      <c r="V5052" s="1" t="str">
        <f t="shared" si="2050"/>
        <v>FARHANA BINTI MUSTAPA</v>
      </c>
      <c r="W5052" s="1" t="str">
        <f t="shared" si="2051"/>
        <v>04-08-2020</v>
      </c>
      <c r="X5052" s="1" t="str">
        <f t="shared" si="2052"/>
        <v>RAZIMAH ANSAR AHMAD</v>
      </c>
      <c r="Y5052" s="1" t="str">
        <f t="shared" si="2053"/>
        <v>04-08-2020</v>
      </c>
      <c r="Z5052" s="1" t="str">
        <f>"COS10200804 4102"</f>
        <v>COS10200804 4102</v>
      </c>
    </row>
    <row r="5053" spans="1:26" s="1" customFormat="1" x14ac:dyDescent="0.25">
      <c r="A5053" s="1" t="str">
        <f t="shared" si="2066"/>
        <v>04-08-2020 12:48:13</v>
      </c>
      <c r="B5053" s="1" t="str">
        <f>"0000805879"</f>
        <v>0000805879</v>
      </c>
      <c r="C5053" s="1" t="str">
        <f t="shared" si="2067"/>
        <v>0000805778</v>
      </c>
      <c r="D5053" s="1" t="str">
        <f t="shared" si="2043"/>
        <v>73185</v>
      </c>
      <c r="E5053" s="1" t="str">
        <f t="shared" si="2044"/>
        <v>KFH-OPERATIONS DEPARTMENT</v>
      </c>
      <c r="F5053" s="1" t="str">
        <f t="shared" si="2045"/>
        <v>IBG</v>
      </c>
      <c r="G5053" s="1" t="str">
        <f t="shared" si="2054"/>
        <v>Refund COSHARE 10</v>
      </c>
      <c r="H5053" s="3">
        <v>797.55</v>
      </c>
      <c r="I5053" s="4" t="str">
        <f>"ANIZA BINTI ABDUL SHUKOR"</f>
        <v>ANIZA BINTI ABDUL SHUKOR</v>
      </c>
      <c r="J5053" s="1" t="str">
        <f t="shared" si="2057"/>
        <v>MAYBANK / MAYBANK ISLAMIC</v>
      </c>
      <c r="K5053" s="1" t="str">
        <f>"164016943101"</f>
        <v>164016943101</v>
      </c>
      <c r="L5053" s="1" t="str">
        <f t="shared" si="2064"/>
        <v>04-08-2020</v>
      </c>
      <c r="M5053" s="1" t="str">
        <f t="shared" si="2064"/>
        <v>04-08-2020</v>
      </c>
      <c r="N5053" s="1" t="str">
        <f t="shared" si="2046"/>
        <v>001105018356</v>
      </c>
      <c r="O5053" s="1" t="str">
        <f t="shared" si="2047"/>
        <v>MYR</v>
      </c>
      <c r="P5053" s="1" t="str">
        <f t="shared" si="2065"/>
        <v>NIL</v>
      </c>
      <c r="Q5053" s="1" t="str">
        <f t="shared" si="2065"/>
        <v>NIL</v>
      </c>
      <c r="R5053" s="1" t="str">
        <f t="shared" si="2068"/>
        <v>Unsuccessful</v>
      </c>
      <c r="S5053" s="1" t="str">
        <f t="shared" si="2048"/>
        <v>Approved</v>
      </c>
      <c r="T5053" s="1" t="str">
        <f t="shared" si="2069"/>
        <v>10.20.201.88</v>
      </c>
      <c r="U5053" s="1" t="str">
        <f t="shared" si="2049"/>
        <v>AZRAD UMAR BIN SHAARI</v>
      </c>
      <c r="V5053" s="1" t="str">
        <f t="shared" si="2050"/>
        <v>FARHANA BINTI MUSTAPA</v>
      </c>
      <c r="W5053" s="1" t="str">
        <f t="shared" si="2051"/>
        <v>04-08-2020</v>
      </c>
      <c r="X5053" s="1" t="str">
        <f t="shared" si="2052"/>
        <v>RAZIMAH ANSAR AHMAD</v>
      </c>
      <c r="Y5053" s="1" t="str">
        <f t="shared" si="2053"/>
        <v>04-08-2020</v>
      </c>
      <c r="Z5053" s="1" t="str">
        <f>"COS10200804 4101"</f>
        <v>COS10200804 4101</v>
      </c>
    </row>
    <row r="5054" spans="1:26" s="1" customFormat="1" x14ac:dyDescent="0.25">
      <c r="A5054" s="1" t="str">
        <f t="shared" si="2066"/>
        <v>04-08-2020 12:48:13</v>
      </c>
      <c r="B5054" s="1" t="str">
        <f>"0000805878"</f>
        <v>0000805878</v>
      </c>
      <c r="C5054" s="1" t="str">
        <f t="shared" si="2067"/>
        <v>0000805778</v>
      </c>
      <c r="D5054" s="1" t="str">
        <f t="shared" si="2043"/>
        <v>73185</v>
      </c>
      <c r="E5054" s="1" t="str">
        <f t="shared" si="2044"/>
        <v>KFH-OPERATIONS DEPARTMENT</v>
      </c>
      <c r="F5054" s="1" t="str">
        <f t="shared" si="2045"/>
        <v>IBG</v>
      </c>
      <c r="G5054" s="1" t="str">
        <f t="shared" si="2054"/>
        <v>Refund COSHARE 10</v>
      </c>
      <c r="H5054" s="3">
        <v>307</v>
      </c>
      <c r="I5054" s="4" t="str">
        <f>"ANITHA MICHAEL VINIK"</f>
        <v>ANITHA MICHAEL VINIK</v>
      </c>
      <c r="J5054" s="1" t="str">
        <f t="shared" si="2057"/>
        <v>MAYBANK / MAYBANK ISLAMIC</v>
      </c>
      <c r="K5054" s="1" t="str">
        <f>"160090265385"</f>
        <v>160090265385</v>
      </c>
      <c r="L5054" s="1" t="str">
        <f t="shared" si="2064"/>
        <v>04-08-2020</v>
      </c>
      <c r="M5054" s="1" t="str">
        <f t="shared" si="2064"/>
        <v>04-08-2020</v>
      </c>
      <c r="N5054" s="1" t="str">
        <f t="shared" si="2046"/>
        <v>001105018356</v>
      </c>
      <c r="O5054" s="1" t="str">
        <f t="shared" si="2047"/>
        <v>MYR</v>
      </c>
      <c r="P5054" s="1" t="str">
        <f t="shared" si="2065"/>
        <v>NIL</v>
      </c>
      <c r="Q5054" s="1" t="str">
        <f t="shared" si="2065"/>
        <v>NIL</v>
      </c>
      <c r="R5054" s="1" t="str">
        <f t="shared" si="2068"/>
        <v>Unsuccessful</v>
      </c>
      <c r="S5054" s="1" t="str">
        <f t="shared" si="2048"/>
        <v>Approved</v>
      </c>
      <c r="T5054" s="1" t="str">
        <f t="shared" si="2069"/>
        <v>10.20.201.88</v>
      </c>
      <c r="U5054" s="1" t="str">
        <f t="shared" si="2049"/>
        <v>AZRAD UMAR BIN SHAARI</v>
      </c>
      <c r="V5054" s="1" t="str">
        <f t="shared" si="2050"/>
        <v>FARHANA BINTI MUSTAPA</v>
      </c>
      <c r="W5054" s="1" t="str">
        <f t="shared" si="2051"/>
        <v>04-08-2020</v>
      </c>
      <c r="X5054" s="1" t="str">
        <f t="shared" si="2052"/>
        <v>RAZIMAH ANSAR AHMAD</v>
      </c>
      <c r="Y5054" s="1" t="str">
        <f t="shared" si="2053"/>
        <v>04-08-2020</v>
      </c>
      <c r="Z5054" s="1" t="str">
        <f>"COS10200804 4100"</f>
        <v>COS10200804 4100</v>
      </c>
    </row>
    <row r="5055" spans="1:26" s="1" customFormat="1" x14ac:dyDescent="0.25">
      <c r="A5055" s="1" t="str">
        <f t="shared" si="2066"/>
        <v>04-08-2020 12:48:13</v>
      </c>
      <c r="B5055" s="1" t="str">
        <f>"0000805877"</f>
        <v>0000805877</v>
      </c>
      <c r="C5055" s="1" t="str">
        <f t="shared" si="2067"/>
        <v>0000805778</v>
      </c>
      <c r="D5055" s="1" t="str">
        <f t="shared" si="2043"/>
        <v>73185</v>
      </c>
      <c r="E5055" s="1" t="str">
        <f t="shared" si="2044"/>
        <v>KFH-OPERATIONS DEPARTMENT</v>
      </c>
      <c r="F5055" s="1" t="str">
        <f t="shared" si="2045"/>
        <v>IBG</v>
      </c>
      <c r="G5055" s="1" t="str">
        <f t="shared" si="2054"/>
        <v>Refund COSHARE 10</v>
      </c>
      <c r="H5055" s="3">
        <v>1183.7</v>
      </c>
      <c r="I5055" s="4" t="str">
        <f>"ANITAH KISON"</f>
        <v>ANITAH KISON</v>
      </c>
      <c r="J5055" s="1" t="str">
        <f t="shared" si="2057"/>
        <v>MAYBANK / MAYBANK ISLAMIC</v>
      </c>
      <c r="K5055" s="1" t="str">
        <f>"157072330123"</f>
        <v>157072330123</v>
      </c>
      <c r="L5055" s="1" t="str">
        <f t="shared" si="2064"/>
        <v>04-08-2020</v>
      </c>
      <c r="M5055" s="1" t="str">
        <f t="shared" si="2064"/>
        <v>04-08-2020</v>
      </c>
      <c r="N5055" s="1" t="str">
        <f t="shared" si="2046"/>
        <v>001105018356</v>
      </c>
      <c r="O5055" s="1" t="str">
        <f t="shared" si="2047"/>
        <v>MYR</v>
      </c>
      <c r="P5055" s="1" t="str">
        <f t="shared" si="2065"/>
        <v>NIL</v>
      </c>
      <c r="Q5055" s="1" t="str">
        <f t="shared" si="2065"/>
        <v>NIL</v>
      </c>
      <c r="R5055" s="1" t="str">
        <f t="shared" si="2068"/>
        <v>Unsuccessful</v>
      </c>
      <c r="S5055" s="1" t="str">
        <f t="shared" si="2048"/>
        <v>Approved</v>
      </c>
      <c r="T5055" s="1" t="str">
        <f t="shared" si="2069"/>
        <v>10.20.201.88</v>
      </c>
      <c r="U5055" s="1" t="str">
        <f t="shared" si="2049"/>
        <v>AZRAD UMAR BIN SHAARI</v>
      </c>
      <c r="V5055" s="1" t="str">
        <f t="shared" si="2050"/>
        <v>FARHANA BINTI MUSTAPA</v>
      </c>
      <c r="W5055" s="1" t="str">
        <f t="shared" si="2051"/>
        <v>04-08-2020</v>
      </c>
      <c r="X5055" s="1" t="str">
        <f t="shared" si="2052"/>
        <v>RAZIMAH ANSAR AHMAD</v>
      </c>
      <c r="Y5055" s="1" t="str">
        <f t="shared" si="2053"/>
        <v>04-08-2020</v>
      </c>
      <c r="Z5055" s="1" t="str">
        <f>"COS10200804 4099"</f>
        <v>COS10200804 4099</v>
      </c>
    </row>
    <row r="5056" spans="1:26" s="1" customFormat="1" x14ac:dyDescent="0.25">
      <c r="A5056" s="1" t="str">
        <f t="shared" si="2066"/>
        <v>04-08-2020 12:48:13</v>
      </c>
      <c r="B5056" s="1" t="str">
        <f>"0000805876"</f>
        <v>0000805876</v>
      </c>
      <c r="C5056" s="1" t="str">
        <f t="shared" si="2067"/>
        <v>0000805778</v>
      </c>
      <c r="D5056" s="1" t="str">
        <f t="shared" si="2043"/>
        <v>73185</v>
      </c>
      <c r="E5056" s="1" t="str">
        <f t="shared" si="2044"/>
        <v>KFH-OPERATIONS DEPARTMENT</v>
      </c>
      <c r="F5056" s="1" t="str">
        <f t="shared" si="2045"/>
        <v>IBG</v>
      </c>
      <c r="G5056" s="1" t="str">
        <f t="shared" si="2054"/>
        <v>Refund COSHARE 10</v>
      </c>
      <c r="H5056" s="3">
        <v>1108.8</v>
      </c>
      <c r="I5056" s="4" t="str">
        <f>"ANITA BINTI TEGAK"</f>
        <v>ANITA BINTI TEGAK</v>
      </c>
      <c r="J5056" s="1" t="str">
        <f t="shared" si="2057"/>
        <v>MAYBANK / MAYBANK ISLAMIC</v>
      </c>
      <c r="K5056" s="1" t="str">
        <f>"111114277626"</f>
        <v>111114277626</v>
      </c>
      <c r="L5056" s="1" t="str">
        <f t="shared" si="2064"/>
        <v>04-08-2020</v>
      </c>
      <c r="M5056" s="1" t="str">
        <f t="shared" si="2064"/>
        <v>04-08-2020</v>
      </c>
      <c r="N5056" s="1" t="str">
        <f t="shared" si="2046"/>
        <v>001105018356</v>
      </c>
      <c r="O5056" s="1" t="str">
        <f t="shared" si="2047"/>
        <v>MYR</v>
      </c>
      <c r="P5056" s="1" t="str">
        <f t="shared" si="2065"/>
        <v>NIL</v>
      </c>
      <c r="Q5056" s="1" t="str">
        <f t="shared" si="2065"/>
        <v>NIL</v>
      </c>
      <c r="R5056" s="1" t="str">
        <f t="shared" si="2068"/>
        <v>Unsuccessful</v>
      </c>
      <c r="S5056" s="1" t="str">
        <f t="shared" si="2048"/>
        <v>Approved</v>
      </c>
      <c r="T5056" s="1" t="str">
        <f t="shared" si="2069"/>
        <v>10.20.201.88</v>
      </c>
      <c r="U5056" s="1" t="str">
        <f t="shared" si="2049"/>
        <v>AZRAD UMAR BIN SHAARI</v>
      </c>
      <c r="V5056" s="1" t="str">
        <f t="shared" si="2050"/>
        <v>FARHANA BINTI MUSTAPA</v>
      </c>
      <c r="W5056" s="1" t="str">
        <f t="shared" si="2051"/>
        <v>04-08-2020</v>
      </c>
      <c r="X5056" s="1" t="str">
        <f t="shared" si="2052"/>
        <v>RAZIMAH ANSAR AHMAD</v>
      </c>
      <c r="Y5056" s="1" t="str">
        <f t="shared" si="2053"/>
        <v>04-08-2020</v>
      </c>
      <c r="Z5056" s="1" t="str">
        <f>"COS10200804 4098"</f>
        <v>COS10200804 4098</v>
      </c>
    </row>
    <row r="5057" spans="1:26" s="1" customFormat="1" x14ac:dyDescent="0.25">
      <c r="A5057" s="1" t="str">
        <f t="shared" si="2066"/>
        <v>04-08-2020 12:48:13</v>
      </c>
      <c r="B5057" s="1" t="str">
        <f>"0000805875"</f>
        <v>0000805875</v>
      </c>
      <c r="C5057" s="1" t="str">
        <f t="shared" si="2067"/>
        <v>0000805778</v>
      </c>
      <c r="D5057" s="1" t="str">
        <f t="shared" si="2043"/>
        <v>73185</v>
      </c>
      <c r="E5057" s="1" t="str">
        <f t="shared" si="2044"/>
        <v>KFH-OPERATIONS DEPARTMENT</v>
      </c>
      <c r="F5057" s="1" t="str">
        <f t="shared" si="2045"/>
        <v>IBG</v>
      </c>
      <c r="G5057" s="1" t="str">
        <f t="shared" si="2054"/>
        <v>Refund COSHARE 10</v>
      </c>
      <c r="H5057" s="3">
        <v>562</v>
      </c>
      <c r="I5057" s="4" t="str">
        <f>"ANITA BINTI TEGAK"</f>
        <v>ANITA BINTI TEGAK</v>
      </c>
      <c r="J5057" s="1" t="str">
        <f t="shared" si="2057"/>
        <v>MAYBANK / MAYBANK ISLAMIC</v>
      </c>
      <c r="K5057" s="1" t="str">
        <f>"111114277626"</f>
        <v>111114277626</v>
      </c>
      <c r="L5057" s="1" t="str">
        <f t="shared" si="2064"/>
        <v>04-08-2020</v>
      </c>
      <c r="M5057" s="1" t="str">
        <f t="shared" si="2064"/>
        <v>04-08-2020</v>
      </c>
      <c r="N5057" s="1" t="str">
        <f t="shared" si="2046"/>
        <v>001105018356</v>
      </c>
      <c r="O5057" s="1" t="str">
        <f t="shared" si="2047"/>
        <v>MYR</v>
      </c>
      <c r="P5057" s="1" t="str">
        <f t="shared" si="2065"/>
        <v>NIL</v>
      </c>
      <c r="Q5057" s="1" t="str">
        <f t="shared" si="2065"/>
        <v>NIL</v>
      </c>
      <c r="R5057" s="1" t="str">
        <f t="shared" si="2068"/>
        <v>Unsuccessful</v>
      </c>
      <c r="S5057" s="1" t="str">
        <f t="shared" si="2048"/>
        <v>Approved</v>
      </c>
      <c r="T5057" s="1" t="str">
        <f t="shared" si="2069"/>
        <v>10.20.201.88</v>
      </c>
      <c r="U5057" s="1" t="str">
        <f t="shared" si="2049"/>
        <v>AZRAD UMAR BIN SHAARI</v>
      </c>
      <c r="V5057" s="1" t="str">
        <f t="shared" si="2050"/>
        <v>FARHANA BINTI MUSTAPA</v>
      </c>
      <c r="W5057" s="1" t="str">
        <f t="shared" si="2051"/>
        <v>04-08-2020</v>
      </c>
      <c r="X5057" s="1" t="str">
        <f t="shared" si="2052"/>
        <v>RAZIMAH ANSAR AHMAD</v>
      </c>
      <c r="Y5057" s="1" t="str">
        <f t="shared" si="2053"/>
        <v>04-08-2020</v>
      </c>
      <c r="Z5057" s="1" t="str">
        <f>"COS10200804 4097"</f>
        <v>COS10200804 4097</v>
      </c>
    </row>
    <row r="5058" spans="1:26" s="1" customFormat="1" x14ac:dyDescent="0.25">
      <c r="A5058" s="1" t="str">
        <f t="shared" si="2066"/>
        <v>04-08-2020 12:48:13</v>
      </c>
      <c r="B5058" s="1" t="str">
        <f>"0000805874"</f>
        <v>0000805874</v>
      </c>
      <c r="C5058" s="1" t="str">
        <f t="shared" si="2067"/>
        <v>0000805778</v>
      </c>
      <c r="D5058" s="1" t="str">
        <f t="shared" si="2043"/>
        <v>73185</v>
      </c>
      <c r="E5058" s="1" t="str">
        <f t="shared" si="2044"/>
        <v>KFH-OPERATIONS DEPARTMENT</v>
      </c>
      <c r="F5058" s="1" t="str">
        <f t="shared" si="2045"/>
        <v>IBG</v>
      </c>
      <c r="G5058" s="1" t="str">
        <f t="shared" si="2054"/>
        <v>Refund COSHARE 10</v>
      </c>
      <c r="H5058" s="3">
        <v>1094.9000000000001</v>
      </c>
      <c r="I5058" s="4" t="str">
        <f>"ANITA BINTI BASRUN"</f>
        <v>ANITA BINTI BASRUN</v>
      </c>
      <c r="J5058" s="1" t="str">
        <f t="shared" si="2057"/>
        <v>MAYBANK / MAYBANK ISLAMIC</v>
      </c>
      <c r="K5058" s="1" t="str">
        <f>"112026806794"</f>
        <v>112026806794</v>
      </c>
      <c r="L5058" s="1" t="str">
        <f t="shared" si="2064"/>
        <v>04-08-2020</v>
      </c>
      <c r="M5058" s="1" t="str">
        <f t="shared" si="2064"/>
        <v>04-08-2020</v>
      </c>
      <c r="N5058" s="1" t="str">
        <f t="shared" si="2046"/>
        <v>001105018356</v>
      </c>
      <c r="O5058" s="1" t="str">
        <f t="shared" si="2047"/>
        <v>MYR</v>
      </c>
      <c r="P5058" s="1" t="str">
        <f t="shared" si="2065"/>
        <v>NIL</v>
      </c>
      <c r="Q5058" s="1" t="str">
        <f t="shared" si="2065"/>
        <v>NIL</v>
      </c>
      <c r="R5058" s="1" t="str">
        <f t="shared" si="2068"/>
        <v>Unsuccessful</v>
      </c>
      <c r="S5058" s="1" t="str">
        <f t="shared" si="2048"/>
        <v>Approved</v>
      </c>
      <c r="T5058" s="1" t="str">
        <f t="shared" si="2069"/>
        <v>10.20.201.88</v>
      </c>
      <c r="U5058" s="1" t="str">
        <f t="shared" si="2049"/>
        <v>AZRAD UMAR BIN SHAARI</v>
      </c>
      <c r="V5058" s="1" t="str">
        <f t="shared" si="2050"/>
        <v>FARHANA BINTI MUSTAPA</v>
      </c>
      <c r="W5058" s="1" t="str">
        <f t="shared" si="2051"/>
        <v>04-08-2020</v>
      </c>
      <c r="X5058" s="1" t="str">
        <f t="shared" si="2052"/>
        <v>RAZIMAH ANSAR AHMAD</v>
      </c>
      <c r="Y5058" s="1" t="str">
        <f t="shared" si="2053"/>
        <v>04-08-2020</v>
      </c>
      <c r="Z5058" s="1" t="str">
        <f>"COS10200804 4096"</f>
        <v>COS10200804 4096</v>
      </c>
    </row>
    <row r="5059" spans="1:26" s="1" customFormat="1" x14ac:dyDescent="0.25">
      <c r="A5059" s="1" t="str">
        <f t="shared" si="2066"/>
        <v>04-08-2020 12:48:13</v>
      </c>
      <c r="B5059" s="1" t="str">
        <f>"0000805873"</f>
        <v>0000805873</v>
      </c>
      <c r="C5059" s="1" t="str">
        <f t="shared" si="2067"/>
        <v>0000805778</v>
      </c>
      <c r="D5059" s="1" t="str">
        <f t="shared" si="2043"/>
        <v>73185</v>
      </c>
      <c r="E5059" s="1" t="str">
        <f t="shared" si="2044"/>
        <v>KFH-OPERATIONS DEPARTMENT</v>
      </c>
      <c r="F5059" s="1" t="str">
        <f t="shared" si="2045"/>
        <v>IBG</v>
      </c>
      <c r="G5059" s="1" t="str">
        <f t="shared" si="2054"/>
        <v>Refund COSHARE 10</v>
      </c>
      <c r="H5059" s="3">
        <v>374.7</v>
      </c>
      <c r="I5059" s="4" t="str">
        <f>"ANITA BINTI ABU HASSAN"</f>
        <v>ANITA BINTI ABU HASSAN</v>
      </c>
      <c r="J5059" s="1" t="str">
        <f t="shared" si="2057"/>
        <v>MAYBANK / MAYBANK ISLAMIC</v>
      </c>
      <c r="K5059" s="1" t="str">
        <f>"112183085813"</f>
        <v>112183085813</v>
      </c>
      <c r="L5059" s="1" t="str">
        <f t="shared" si="2064"/>
        <v>04-08-2020</v>
      </c>
      <c r="M5059" s="1" t="str">
        <f t="shared" si="2064"/>
        <v>04-08-2020</v>
      </c>
      <c r="N5059" s="1" t="str">
        <f t="shared" si="2046"/>
        <v>001105018356</v>
      </c>
      <c r="O5059" s="1" t="str">
        <f t="shared" si="2047"/>
        <v>MYR</v>
      </c>
      <c r="P5059" s="1" t="str">
        <f t="shared" si="2065"/>
        <v>NIL</v>
      </c>
      <c r="Q5059" s="1" t="str">
        <f t="shared" si="2065"/>
        <v>NIL</v>
      </c>
      <c r="R5059" s="1" t="str">
        <f t="shared" si="2068"/>
        <v>Unsuccessful</v>
      </c>
      <c r="S5059" s="1" t="str">
        <f t="shared" si="2048"/>
        <v>Approved</v>
      </c>
      <c r="T5059" s="1" t="str">
        <f t="shared" si="2069"/>
        <v>10.20.201.88</v>
      </c>
      <c r="U5059" s="1" t="str">
        <f t="shared" si="2049"/>
        <v>AZRAD UMAR BIN SHAARI</v>
      </c>
      <c r="V5059" s="1" t="str">
        <f t="shared" si="2050"/>
        <v>FARHANA BINTI MUSTAPA</v>
      </c>
      <c r="W5059" s="1" t="str">
        <f t="shared" si="2051"/>
        <v>04-08-2020</v>
      </c>
      <c r="X5059" s="1" t="str">
        <f t="shared" si="2052"/>
        <v>RAZIMAH ANSAR AHMAD</v>
      </c>
      <c r="Y5059" s="1" t="str">
        <f t="shared" si="2053"/>
        <v>04-08-2020</v>
      </c>
      <c r="Z5059" s="1" t="str">
        <f>"COS10200804 4095"</f>
        <v>COS10200804 4095</v>
      </c>
    </row>
    <row r="5060" spans="1:26" s="1" customFormat="1" x14ac:dyDescent="0.25">
      <c r="A5060" s="1" t="str">
        <f t="shared" si="2066"/>
        <v>04-08-2020 12:48:13</v>
      </c>
      <c r="B5060" s="1" t="str">
        <f>"0000805872"</f>
        <v>0000805872</v>
      </c>
      <c r="C5060" s="1" t="str">
        <f t="shared" si="2067"/>
        <v>0000805778</v>
      </c>
      <c r="D5060" s="1" t="str">
        <f t="shared" si="2043"/>
        <v>73185</v>
      </c>
      <c r="E5060" s="1" t="str">
        <f t="shared" si="2044"/>
        <v>KFH-OPERATIONS DEPARTMENT</v>
      </c>
      <c r="F5060" s="1" t="str">
        <f t="shared" si="2045"/>
        <v>IBG</v>
      </c>
      <c r="G5060" s="1" t="str">
        <f t="shared" si="2054"/>
        <v>Refund COSHARE 10</v>
      </c>
      <c r="H5060" s="3">
        <v>562.5</v>
      </c>
      <c r="I5060" s="4" t="str">
        <f>"ANIS YUHANA BINTI ZAMRI"</f>
        <v>ANIS YUHANA BINTI ZAMRI</v>
      </c>
      <c r="J5060" s="1" t="str">
        <f t="shared" si="2057"/>
        <v>MAYBANK / MAYBANK ISLAMIC</v>
      </c>
      <c r="K5060" s="1" t="str">
        <f>"162106654393"</f>
        <v>162106654393</v>
      </c>
      <c r="L5060" s="1" t="str">
        <f t="shared" si="2064"/>
        <v>04-08-2020</v>
      </c>
      <c r="M5060" s="1" t="str">
        <f t="shared" si="2064"/>
        <v>04-08-2020</v>
      </c>
      <c r="N5060" s="1" t="str">
        <f t="shared" si="2046"/>
        <v>001105018356</v>
      </c>
      <c r="O5060" s="1" t="str">
        <f t="shared" si="2047"/>
        <v>MYR</v>
      </c>
      <c r="P5060" s="1" t="str">
        <f t="shared" si="2065"/>
        <v>NIL</v>
      </c>
      <c r="Q5060" s="1" t="str">
        <f t="shared" si="2065"/>
        <v>NIL</v>
      </c>
      <c r="R5060" s="1" t="str">
        <f t="shared" si="2068"/>
        <v>Unsuccessful</v>
      </c>
      <c r="S5060" s="1" t="str">
        <f t="shared" si="2048"/>
        <v>Approved</v>
      </c>
      <c r="T5060" s="1" t="str">
        <f t="shared" si="2069"/>
        <v>10.20.201.88</v>
      </c>
      <c r="U5060" s="1" t="str">
        <f t="shared" si="2049"/>
        <v>AZRAD UMAR BIN SHAARI</v>
      </c>
      <c r="V5060" s="1" t="str">
        <f t="shared" si="2050"/>
        <v>FARHANA BINTI MUSTAPA</v>
      </c>
      <c r="W5060" s="1" t="str">
        <f t="shared" si="2051"/>
        <v>04-08-2020</v>
      </c>
      <c r="X5060" s="1" t="str">
        <f t="shared" si="2052"/>
        <v>RAZIMAH ANSAR AHMAD</v>
      </c>
      <c r="Y5060" s="1" t="str">
        <f t="shared" si="2053"/>
        <v>04-08-2020</v>
      </c>
      <c r="Z5060" s="1" t="str">
        <f>"COS10200804 4094"</f>
        <v>COS10200804 4094</v>
      </c>
    </row>
    <row r="5061" spans="1:26" s="1" customFormat="1" x14ac:dyDescent="0.25">
      <c r="A5061" s="1" t="str">
        <f t="shared" si="2066"/>
        <v>04-08-2020 12:48:13</v>
      </c>
      <c r="B5061" s="1" t="str">
        <f>"0000805871"</f>
        <v>0000805871</v>
      </c>
      <c r="C5061" s="1" t="str">
        <f t="shared" si="2067"/>
        <v>0000805778</v>
      </c>
      <c r="D5061" s="1" t="str">
        <f t="shared" si="2043"/>
        <v>73185</v>
      </c>
      <c r="E5061" s="1" t="str">
        <f t="shared" si="2044"/>
        <v>KFH-OPERATIONS DEPARTMENT</v>
      </c>
      <c r="F5061" s="1" t="str">
        <f t="shared" si="2045"/>
        <v>IBG</v>
      </c>
      <c r="G5061" s="1" t="str">
        <f t="shared" si="2054"/>
        <v>Refund COSHARE 10</v>
      </c>
      <c r="H5061" s="3">
        <v>75.599999999999994</v>
      </c>
      <c r="I5061" s="4" t="str">
        <f>"ANGELA ANAK PENGGANG"</f>
        <v>ANGELA ANAK PENGGANG</v>
      </c>
      <c r="J5061" s="1" t="str">
        <f t="shared" si="2057"/>
        <v>MAYBANK / MAYBANK ISLAMIC</v>
      </c>
      <c r="K5061" s="1" t="str">
        <f>"161051486801"</f>
        <v>161051486801</v>
      </c>
      <c r="L5061" s="1" t="str">
        <f t="shared" si="2064"/>
        <v>04-08-2020</v>
      </c>
      <c r="M5061" s="1" t="str">
        <f t="shared" si="2064"/>
        <v>04-08-2020</v>
      </c>
      <c r="N5061" s="1" t="str">
        <f t="shared" si="2046"/>
        <v>001105018356</v>
      </c>
      <c r="O5061" s="1" t="str">
        <f t="shared" si="2047"/>
        <v>MYR</v>
      </c>
      <c r="P5061" s="1" t="str">
        <f t="shared" si="2065"/>
        <v>NIL</v>
      </c>
      <c r="Q5061" s="1" t="str">
        <f t="shared" si="2065"/>
        <v>NIL</v>
      </c>
      <c r="R5061" s="1" t="str">
        <f t="shared" si="2068"/>
        <v>Unsuccessful</v>
      </c>
      <c r="S5061" s="1" t="str">
        <f t="shared" si="2048"/>
        <v>Approved</v>
      </c>
      <c r="T5061" s="1" t="str">
        <f t="shared" si="2069"/>
        <v>10.20.201.88</v>
      </c>
      <c r="U5061" s="1" t="str">
        <f t="shared" si="2049"/>
        <v>AZRAD UMAR BIN SHAARI</v>
      </c>
      <c r="V5061" s="1" t="str">
        <f t="shared" si="2050"/>
        <v>FARHANA BINTI MUSTAPA</v>
      </c>
      <c r="W5061" s="1" t="str">
        <f t="shared" si="2051"/>
        <v>04-08-2020</v>
      </c>
      <c r="X5061" s="1" t="str">
        <f t="shared" si="2052"/>
        <v>RAZIMAH ANSAR AHMAD</v>
      </c>
      <c r="Y5061" s="1" t="str">
        <f t="shared" si="2053"/>
        <v>04-08-2020</v>
      </c>
      <c r="Z5061" s="1" t="str">
        <f>"COS10200804 4093"</f>
        <v>COS10200804 4093</v>
      </c>
    </row>
    <row r="5062" spans="1:26" s="1" customFormat="1" x14ac:dyDescent="0.25">
      <c r="A5062" s="1" t="str">
        <f t="shared" si="2066"/>
        <v>04-08-2020 12:48:13</v>
      </c>
      <c r="B5062" s="1" t="str">
        <f>"0000805870"</f>
        <v>0000805870</v>
      </c>
      <c r="C5062" s="1" t="str">
        <f t="shared" si="2067"/>
        <v>0000805778</v>
      </c>
      <c r="D5062" s="1" t="str">
        <f t="shared" si="2043"/>
        <v>73185</v>
      </c>
      <c r="E5062" s="1" t="str">
        <f t="shared" si="2044"/>
        <v>KFH-OPERATIONS DEPARTMENT</v>
      </c>
      <c r="F5062" s="1" t="str">
        <f t="shared" si="2045"/>
        <v>IBG</v>
      </c>
      <c r="G5062" s="1" t="str">
        <f t="shared" si="2054"/>
        <v>Refund COSHARE 10</v>
      </c>
      <c r="H5062" s="3">
        <v>167.9</v>
      </c>
      <c r="I5062" s="4" t="str">
        <f>"ANEZA BINTI ISHAK"</f>
        <v>ANEZA BINTI ISHAK</v>
      </c>
      <c r="J5062" s="1" t="str">
        <f t="shared" si="2057"/>
        <v>MAYBANK / MAYBANK ISLAMIC</v>
      </c>
      <c r="K5062" s="1" t="str">
        <f>"162133177296"</f>
        <v>162133177296</v>
      </c>
      <c r="L5062" s="1" t="str">
        <f t="shared" si="2064"/>
        <v>04-08-2020</v>
      </c>
      <c r="M5062" s="1" t="str">
        <f t="shared" si="2064"/>
        <v>04-08-2020</v>
      </c>
      <c r="N5062" s="1" t="str">
        <f t="shared" si="2046"/>
        <v>001105018356</v>
      </c>
      <c r="O5062" s="1" t="str">
        <f t="shared" si="2047"/>
        <v>MYR</v>
      </c>
      <c r="P5062" s="1" t="str">
        <f t="shared" si="2065"/>
        <v>NIL</v>
      </c>
      <c r="Q5062" s="1" t="str">
        <f t="shared" si="2065"/>
        <v>NIL</v>
      </c>
      <c r="R5062" s="1" t="str">
        <f t="shared" si="2068"/>
        <v>Unsuccessful</v>
      </c>
      <c r="S5062" s="1" t="str">
        <f t="shared" si="2048"/>
        <v>Approved</v>
      </c>
      <c r="T5062" s="1" t="str">
        <f t="shared" si="2069"/>
        <v>10.20.201.88</v>
      </c>
      <c r="U5062" s="1" t="str">
        <f t="shared" si="2049"/>
        <v>AZRAD UMAR BIN SHAARI</v>
      </c>
      <c r="V5062" s="1" t="str">
        <f t="shared" si="2050"/>
        <v>FARHANA BINTI MUSTAPA</v>
      </c>
      <c r="W5062" s="1" t="str">
        <f t="shared" si="2051"/>
        <v>04-08-2020</v>
      </c>
      <c r="X5062" s="1" t="str">
        <f t="shared" si="2052"/>
        <v>RAZIMAH ANSAR AHMAD</v>
      </c>
      <c r="Y5062" s="1" t="str">
        <f t="shared" si="2053"/>
        <v>04-08-2020</v>
      </c>
      <c r="Z5062" s="1" t="str">
        <f>"COS10200804 4092"</f>
        <v>COS10200804 4092</v>
      </c>
    </row>
    <row r="5063" spans="1:26" s="1" customFormat="1" x14ac:dyDescent="0.25">
      <c r="A5063" s="1" t="str">
        <f t="shared" si="2066"/>
        <v>04-08-2020 12:48:13</v>
      </c>
      <c r="B5063" s="1" t="str">
        <f>"0000805869"</f>
        <v>0000805869</v>
      </c>
      <c r="C5063" s="1" t="str">
        <f t="shared" si="2067"/>
        <v>0000805778</v>
      </c>
      <c r="D5063" s="1" t="str">
        <f t="shared" ref="D5063:D5126" si="2070">"73185"</f>
        <v>73185</v>
      </c>
      <c r="E5063" s="1" t="str">
        <f t="shared" ref="E5063:E5126" si="2071">"KFH-OPERATIONS DEPARTMENT"</f>
        <v>KFH-OPERATIONS DEPARTMENT</v>
      </c>
      <c r="F5063" s="1" t="str">
        <f t="shared" ref="F5063:F5126" si="2072">"IBG"</f>
        <v>IBG</v>
      </c>
      <c r="G5063" s="1" t="str">
        <f t="shared" si="2054"/>
        <v>Refund COSHARE 10</v>
      </c>
      <c r="H5063" s="3">
        <v>473.3</v>
      </c>
      <c r="I5063" s="4" t="str">
        <f>"ANEZA BINTI ISHAK"</f>
        <v>ANEZA BINTI ISHAK</v>
      </c>
      <c r="J5063" s="1" t="str">
        <f t="shared" si="2057"/>
        <v>MAYBANK / MAYBANK ISLAMIC</v>
      </c>
      <c r="K5063" s="1" t="str">
        <f>"162133177296"</f>
        <v>162133177296</v>
      </c>
      <c r="L5063" s="1" t="str">
        <f t="shared" si="2064"/>
        <v>04-08-2020</v>
      </c>
      <c r="M5063" s="1" t="str">
        <f t="shared" si="2064"/>
        <v>04-08-2020</v>
      </c>
      <c r="N5063" s="1" t="str">
        <f t="shared" ref="N5063:N5126" si="2073">"001105018356"</f>
        <v>001105018356</v>
      </c>
      <c r="O5063" s="1" t="str">
        <f t="shared" ref="O5063:O5126" si="2074">"MYR"</f>
        <v>MYR</v>
      </c>
      <c r="P5063" s="1" t="str">
        <f t="shared" si="2065"/>
        <v>NIL</v>
      </c>
      <c r="Q5063" s="1" t="str">
        <f t="shared" si="2065"/>
        <v>NIL</v>
      </c>
      <c r="R5063" s="1" t="str">
        <f t="shared" si="2068"/>
        <v>Unsuccessful</v>
      </c>
      <c r="S5063" s="1" t="str">
        <f t="shared" ref="S5063:S5126" si="2075">"Approved"</f>
        <v>Approved</v>
      </c>
      <c r="T5063" s="1" t="str">
        <f t="shared" si="2069"/>
        <v>10.20.201.88</v>
      </c>
      <c r="U5063" s="1" t="str">
        <f t="shared" ref="U5063:U5126" si="2076">"AZRAD UMAR BIN SHAARI"</f>
        <v>AZRAD UMAR BIN SHAARI</v>
      </c>
      <c r="V5063" s="1" t="str">
        <f t="shared" ref="V5063:V5126" si="2077">"FARHANA BINTI MUSTAPA"</f>
        <v>FARHANA BINTI MUSTAPA</v>
      </c>
      <c r="W5063" s="1" t="str">
        <f t="shared" ref="W5063:W5126" si="2078">"04-08-2020"</f>
        <v>04-08-2020</v>
      </c>
      <c r="X5063" s="1" t="str">
        <f t="shared" ref="X5063:X5126" si="2079">"RAZIMAH ANSAR AHMAD"</f>
        <v>RAZIMAH ANSAR AHMAD</v>
      </c>
      <c r="Y5063" s="1" t="str">
        <f t="shared" ref="Y5063:Y5126" si="2080">"04-08-2020"</f>
        <v>04-08-2020</v>
      </c>
      <c r="Z5063" s="1" t="str">
        <f>"COS10200804 4091"</f>
        <v>COS10200804 4091</v>
      </c>
    </row>
    <row r="5064" spans="1:26" s="1" customFormat="1" x14ac:dyDescent="0.25">
      <c r="A5064" s="1" t="str">
        <f t="shared" si="2066"/>
        <v>04-08-2020 12:48:13</v>
      </c>
      <c r="B5064" s="1" t="str">
        <f>"0000805868"</f>
        <v>0000805868</v>
      </c>
      <c r="C5064" s="1" t="str">
        <f t="shared" si="2067"/>
        <v>0000805778</v>
      </c>
      <c r="D5064" s="1" t="str">
        <f t="shared" si="2070"/>
        <v>73185</v>
      </c>
      <c r="E5064" s="1" t="str">
        <f t="shared" si="2071"/>
        <v>KFH-OPERATIONS DEPARTMENT</v>
      </c>
      <c r="F5064" s="1" t="str">
        <f t="shared" si="2072"/>
        <v>IBG</v>
      </c>
      <c r="G5064" s="1" t="str">
        <f t="shared" si="2054"/>
        <v>Refund COSHARE 10</v>
      </c>
      <c r="H5064" s="3">
        <v>67.2</v>
      </c>
      <c r="I5064" s="4" t="str">
        <f>"ANDY NOR HELMI BIN ANAS"</f>
        <v>ANDY NOR HELMI BIN ANAS</v>
      </c>
      <c r="J5064" s="1" t="str">
        <f t="shared" si="2057"/>
        <v>MAYBANK / MAYBANK ISLAMIC</v>
      </c>
      <c r="K5064" s="1" t="str">
        <f>"163064022982"</f>
        <v>163064022982</v>
      </c>
      <c r="L5064" s="1" t="str">
        <f t="shared" si="2064"/>
        <v>04-08-2020</v>
      </c>
      <c r="M5064" s="1" t="str">
        <f t="shared" si="2064"/>
        <v>04-08-2020</v>
      </c>
      <c r="N5064" s="1" t="str">
        <f t="shared" si="2073"/>
        <v>001105018356</v>
      </c>
      <c r="O5064" s="1" t="str">
        <f t="shared" si="2074"/>
        <v>MYR</v>
      </c>
      <c r="P5064" s="1" t="str">
        <f t="shared" si="2065"/>
        <v>NIL</v>
      </c>
      <c r="Q5064" s="1" t="str">
        <f t="shared" si="2065"/>
        <v>NIL</v>
      </c>
      <c r="R5064" s="1" t="str">
        <f t="shared" si="2068"/>
        <v>Unsuccessful</v>
      </c>
      <c r="S5064" s="1" t="str">
        <f t="shared" si="2075"/>
        <v>Approved</v>
      </c>
      <c r="T5064" s="1" t="str">
        <f t="shared" si="2069"/>
        <v>10.20.201.88</v>
      </c>
      <c r="U5064" s="1" t="str">
        <f t="shared" si="2076"/>
        <v>AZRAD UMAR BIN SHAARI</v>
      </c>
      <c r="V5064" s="1" t="str">
        <f t="shared" si="2077"/>
        <v>FARHANA BINTI MUSTAPA</v>
      </c>
      <c r="W5064" s="1" t="str">
        <f t="shared" si="2078"/>
        <v>04-08-2020</v>
      </c>
      <c r="X5064" s="1" t="str">
        <f t="shared" si="2079"/>
        <v>RAZIMAH ANSAR AHMAD</v>
      </c>
      <c r="Y5064" s="1" t="str">
        <f t="shared" si="2080"/>
        <v>04-08-2020</v>
      </c>
      <c r="Z5064" s="1" t="str">
        <f>"COS10200804 4090"</f>
        <v>COS10200804 4090</v>
      </c>
    </row>
    <row r="5065" spans="1:26" s="1" customFormat="1" x14ac:dyDescent="0.25">
      <c r="A5065" s="1" t="str">
        <f t="shared" si="2066"/>
        <v>04-08-2020 12:48:13</v>
      </c>
      <c r="B5065" s="1" t="str">
        <f>"0000805867"</f>
        <v>0000805867</v>
      </c>
      <c r="C5065" s="1" t="str">
        <f t="shared" si="2067"/>
        <v>0000805778</v>
      </c>
      <c r="D5065" s="1" t="str">
        <f t="shared" si="2070"/>
        <v>73185</v>
      </c>
      <c r="E5065" s="1" t="str">
        <f t="shared" si="2071"/>
        <v>KFH-OPERATIONS DEPARTMENT</v>
      </c>
      <c r="F5065" s="1" t="str">
        <f t="shared" si="2072"/>
        <v>IBG</v>
      </c>
      <c r="G5065" s="1" t="str">
        <f t="shared" si="2054"/>
        <v>Refund COSHARE 10</v>
      </c>
      <c r="H5065" s="3">
        <v>714</v>
      </c>
      <c r="I5065" s="4" t="str">
        <f>"ANDRYSON NICK ANAK MINAH"</f>
        <v>ANDRYSON NICK ANAK MINAH</v>
      </c>
      <c r="J5065" s="1" t="str">
        <f t="shared" si="2057"/>
        <v>MAYBANK / MAYBANK ISLAMIC</v>
      </c>
      <c r="K5065" s="1" t="str">
        <f>"111093086235"</f>
        <v>111093086235</v>
      </c>
      <c r="L5065" s="1" t="str">
        <f t="shared" si="2064"/>
        <v>04-08-2020</v>
      </c>
      <c r="M5065" s="1" t="str">
        <f t="shared" si="2064"/>
        <v>04-08-2020</v>
      </c>
      <c r="N5065" s="1" t="str">
        <f t="shared" si="2073"/>
        <v>001105018356</v>
      </c>
      <c r="O5065" s="1" t="str">
        <f t="shared" si="2074"/>
        <v>MYR</v>
      </c>
      <c r="P5065" s="1" t="str">
        <f t="shared" si="2065"/>
        <v>NIL</v>
      </c>
      <c r="Q5065" s="1" t="str">
        <f t="shared" si="2065"/>
        <v>NIL</v>
      </c>
      <c r="R5065" s="1" t="str">
        <f t="shared" si="2068"/>
        <v>Unsuccessful</v>
      </c>
      <c r="S5065" s="1" t="str">
        <f t="shared" si="2075"/>
        <v>Approved</v>
      </c>
      <c r="T5065" s="1" t="str">
        <f t="shared" si="2069"/>
        <v>10.20.201.88</v>
      </c>
      <c r="U5065" s="1" t="str">
        <f t="shared" si="2076"/>
        <v>AZRAD UMAR BIN SHAARI</v>
      </c>
      <c r="V5065" s="1" t="str">
        <f t="shared" si="2077"/>
        <v>FARHANA BINTI MUSTAPA</v>
      </c>
      <c r="W5065" s="1" t="str">
        <f t="shared" si="2078"/>
        <v>04-08-2020</v>
      </c>
      <c r="X5065" s="1" t="str">
        <f t="shared" si="2079"/>
        <v>RAZIMAH ANSAR AHMAD</v>
      </c>
      <c r="Y5065" s="1" t="str">
        <f t="shared" si="2080"/>
        <v>04-08-2020</v>
      </c>
      <c r="Z5065" s="1" t="str">
        <f>"COS10200804 4089"</f>
        <v>COS10200804 4089</v>
      </c>
    </row>
    <row r="5066" spans="1:26" s="1" customFormat="1" x14ac:dyDescent="0.25">
      <c r="A5066" s="1" t="str">
        <f t="shared" si="2066"/>
        <v>04-08-2020 12:48:13</v>
      </c>
      <c r="B5066" s="1" t="str">
        <f>"0000805866"</f>
        <v>0000805866</v>
      </c>
      <c r="C5066" s="1" t="str">
        <f t="shared" si="2067"/>
        <v>0000805778</v>
      </c>
      <c r="D5066" s="1" t="str">
        <f t="shared" si="2070"/>
        <v>73185</v>
      </c>
      <c r="E5066" s="1" t="str">
        <f t="shared" si="2071"/>
        <v>KFH-OPERATIONS DEPARTMENT</v>
      </c>
      <c r="F5066" s="1" t="str">
        <f t="shared" si="2072"/>
        <v>IBG</v>
      </c>
      <c r="G5066" s="1" t="str">
        <f t="shared" si="2054"/>
        <v>Refund COSHARE 10</v>
      </c>
      <c r="H5066" s="3">
        <v>151.15</v>
      </c>
      <c r="I5066" s="4" t="str">
        <f>"ANAS AKASHAH BIN RUSLI"</f>
        <v>ANAS AKASHAH BIN RUSLI</v>
      </c>
      <c r="J5066" s="1" t="str">
        <f t="shared" si="2057"/>
        <v>MAYBANK / MAYBANK ISLAMIC</v>
      </c>
      <c r="K5066" s="1" t="str">
        <f>"106053197549"</f>
        <v>106053197549</v>
      </c>
      <c r="L5066" s="1" t="str">
        <f t="shared" si="2064"/>
        <v>04-08-2020</v>
      </c>
      <c r="M5066" s="1" t="str">
        <f t="shared" si="2064"/>
        <v>04-08-2020</v>
      </c>
      <c r="N5066" s="1" t="str">
        <f t="shared" si="2073"/>
        <v>001105018356</v>
      </c>
      <c r="O5066" s="1" t="str">
        <f t="shared" si="2074"/>
        <v>MYR</v>
      </c>
      <c r="P5066" s="1" t="str">
        <f t="shared" si="2065"/>
        <v>NIL</v>
      </c>
      <c r="Q5066" s="1" t="str">
        <f t="shared" si="2065"/>
        <v>NIL</v>
      </c>
      <c r="R5066" s="1" t="str">
        <f t="shared" si="2068"/>
        <v>Unsuccessful</v>
      </c>
      <c r="S5066" s="1" t="str">
        <f t="shared" si="2075"/>
        <v>Approved</v>
      </c>
      <c r="T5066" s="1" t="str">
        <f t="shared" si="2069"/>
        <v>10.20.201.88</v>
      </c>
      <c r="U5066" s="1" t="str">
        <f t="shared" si="2076"/>
        <v>AZRAD UMAR BIN SHAARI</v>
      </c>
      <c r="V5066" s="1" t="str">
        <f t="shared" si="2077"/>
        <v>FARHANA BINTI MUSTAPA</v>
      </c>
      <c r="W5066" s="1" t="str">
        <f t="shared" si="2078"/>
        <v>04-08-2020</v>
      </c>
      <c r="X5066" s="1" t="str">
        <f t="shared" si="2079"/>
        <v>RAZIMAH ANSAR AHMAD</v>
      </c>
      <c r="Y5066" s="1" t="str">
        <f t="shared" si="2080"/>
        <v>04-08-2020</v>
      </c>
      <c r="Z5066" s="1" t="str">
        <f>"COS10200804 4088"</f>
        <v>COS10200804 4088</v>
      </c>
    </row>
    <row r="5067" spans="1:26" s="1" customFormat="1" x14ac:dyDescent="0.25">
      <c r="A5067" s="1" t="str">
        <f t="shared" si="2066"/>
        <v>04-08-2020 12:48:13</v>
      </c>
      <c r="B5067" s="1" t="str">
        <f>"0000805865"</f>
        <v>0000805865</v>
      </c>
      <c r="C5067" s="1" t="str">
        <f t="shared" si="2067"/>
        <v>0000805778</v>
      </c>
      <c r="D5067" s="1" t="str">
        <f t="shared" si="2070"/>
        <v>73185</v>
      </c>
      <c r="E5067" s="1" t="str">
        <f t="shared" si="2071"/>
        <v>KFH-OPERATIONS DEPARTMENT</v>
      </c>
      <c r="F5067" s="1" t="str">
        <f t="shared" si="2072"/>
        <v>IBG</v>
      </c>
      <c r="G5067" s="1" t="str">
        <f t="shared" si="2054"/>
        <v>Refund COSHARE 10</v>
      </c>
      <c r="H5067" s="3">
        <v>151.15</v>
      </c>
      <c r="I5067" s="4" t="str">
        <f>"ANAS AKASHAH BIN RUSLI"</f>
        <v>ANAS AKASHAH BIN RUSLI</v>
      </c>
      <c r="J5067" s="1" t="str">
        <f t="shared" si="2057"/>
        <v>MAYBANK / MAYBANK ISLAMIC</v>
      </c>
      <c r="K5067" s="1" t="str">
        <f>"106053197549"</f>
        <v>106053197549</v>
      </c>
      <c r="L5067" s="1" t="str">
        <f t="shared" ref="L5067:M5086" si="2081">"04-08-2020"</f>
        <v>04-08-2020</v>
      </c>
      <c r="M5067" s="1" t="str">
        <f t="shared" si="2081"/>
        <v>04-08-2020</v>
      </c>
      <c r="N5067" s="1" t="str">
        <f t="shared" si="2073"/>
        <v>001105018356</v>
      </c>
      <c r="O5067" s="1" t="str">
        <f t="shared" si="2074"/>
        <v>MYR</v>
      </c>
      <c r="P5067" s="1" t="str">
        <f t="shared" ref="P5067:Q5086" si="2082">"NIL"</f>
        <v>NIL</v>
      </c>
      <c r="Q5067" s="1" t="str">
        <f t="shared" si="2082"/>
        <v>NIL</v>
      </c>
      <c r="R5067" s="1" t="str">
        <f t="shared" si="2068"/>
        <v>Unsuccessful</v>
      </c>
      <c r="S5067" s="1" t="str">
        <f t="shared" si="2075"/>
        <v>Approved</v>
      </c>
      <c r="T5067" s="1" t="str">
        <f t="shared" si="2069"/>
        <v>10.20.201.88</v>
      </c>
      <c r="U5067" s="1" t="str">
        <f t="shared" si="2076"/>
        <v>AZRAD UMAR BIN SHAARI</v>
      </c>
      <c r="V5067" s="1" t="str">
        <f t="shared" si="2077"/>
        <v>FARHANA BINTI MUSTAPA</v>
      </c>
      <c r="W5067" s="1" t="str">
        <f t="shared" si="2078"/>
        <v>04-08-2020</v>
      </c>
      <c r="X5067" s="1" t="str">
        <f t="shared" si="2079"/>
        <v>RAZIMAH ANSAR AHMAD</v>
      </c>
      <c r="Y5067" s="1" t="str">
        <f t="shared" si="2080"/>
        <v>04-08-2020</v>
      </c>
      <c r="Z5067" s="1" t="str">
        <f>"COS10200804 4087"</f>
        <v>COS10200804 4087</v>
      </c>
    </row>
    <row r="5068" spans="1:26" s="1" customFormat="1" x14ac:dyDescent="0.25">
      <c r="A5068" s="1" t="str">
        <f t="shared" si="2066"/>
        <v>04-08-2020 12:48:13</v>
      </c>
      <c r="B5068" s="1" t="str">
        <f>"0000805864"</f>
        <v>0000805864</v>
      </c>
      <c r="C5068" s="1" t="str">
        <f t="shared" si="2067"/>
        <v>0000805778</v>
      </c>
      <c r="D5068" s="1" t="str">
        <f t="shared" si="2070"/>
        <v>73185</v>
      </c>
      <c r="E5068" s="1" t="str">
        <f t="shared" si="2071"/>
        <v>KFH-OPERATIONS DEPARTMENT</v>
      </c>
      <c r="F5068" s="1" t="str">
        <f t="shared" si="2072"/>
        <v>IBG</v>
      </c>
      <c r="G5068" s="1" t="str">
        <f t="shared" ref="G5068:G5131" si="2083">"Refund COSHARE 10"</f>
        <v>Refund COSHARE 10</v>
      </c>
      <c r="H5068" s="3">
        <v>405</v>
      </c>
      <c r="I5068" s="4" t="str">
        <f>"ANAMILA BINTI ISMAIL"</f>
        <v>ANAMILA BINTI ISMAIL</v>
      </c>
      <c r="J5068" s="1" t="str">
        <f t="shared" si="2057"/>
        <v>MAYBANK / MAYBANK ISLAMIC</v>
      </c>
      <c r="K5068" s="1" t="str">
        <f>"111075189515"</f>
        <v>111075189515</v>
      </c>
      <c r="L5068" s="1" t="str">
        <f t="shared" si="2081"/>
        <v>04-08-2020</v>
      </c>
      <c r="M5068" s="1" t="str">
        <f t="shared" si="2081"/>
        <v>04-08-2020</v>
      </c>
      <c r="N5068" s="1" t="str">
        <f t="shared" si="2073"/>
        <v>001105018356</v>
      </c>
      <c r="O5068" s="1" t="str">
        <f t="shared" si="2074"/>
        <v>MYR</v>
      </c>
      <c r="P5068" s="1" t="str">
        <f t="shared" si="2082"/>
        <v>NIL</v>
      </c>
      <c r="Q5068" s="1" t="str">
        <f t="shared" si="2082"/>
        <v>NIL</v>
      </c>
      <c r="R5068" s="1" t="str">
        <f t="shared" si="2068"/>
        <v>Unsuccessful</v>
      </c>
      <c r="S5068" s="1" t="str">
        <f t="shared" si="2075"/>
        <v>Approved</v>
      </c>
      <c r="T5068" s="1" t="str">
        <f t="shared" si="2069"/>
        <v>10.20.201.88</v>
      </c>
      <c r="U5068" s="1" t="str">
        <f t="shared" si="2076"/>
        <v>AZRAD UMAR BIN SHAARI</v>
      </c>
      <c r="V5068" s="1" t="str">
        <f t="shared" si="2077"/>
        <v>FARHANA BINTI MUSTAPA</v>
      </c>
      <c r="W5068" s="1" t="str">
        <f t="shared" si="2078"/>
        <v>04-08-2020</v>
      </c>
      <c r="X5068" s="1" t="str">
        <f t="shared" si="2079"/>
        <v>RAZIMAH ANSAR AHMAD</v>
      </c>
      <c r="Y5068" s="1" t="str">
        <f t="shared" si="2080"/>
        <v>04-08-2020</v>
      </c>
      <c r="Z5068" s="1" t="str">
        <f>"COS10200804 4086"</f>
        <v>COS10200804 4086</v>
      </c>
    </row>
    <row r="5069" spans="1:26" s="1" customFormat="1" x14ac:dyDescent="0.25">
      <c r="A5069" s="1" t="str">
        <f t="shared" si="2066"/>
        <v>04-08-2020 12:48:13</v>
      </c>
      <c r="B5069" s="1" t="str">
        <f>"0000805863"</f>
        <v>0000805863</v>
      </c>
      <c r="C5069" s="1" t="str">
        <f t="shared" si="2067"/>
        <v>0000805778</v>
      </c>
      <c r="D5069" s="1" t="str">
        <f t="shared" si="2070"/>
        <v>73185</v>
      </c>
      <c r="E5069" s="1" t="str">
        <f t="shared" si="2071"/>
        <v>KFH-OPERATIONS DEPARTMENT</v>
      </c>
      <c r="F5069" s="1" t="str">
        <f t="shared" si="2072"/>
        <v>IBG</v>
      </c>
      <c r="G5069" s="1" t="str">
        <f t="shared" si="2083"/>
        <v>Refund COSHARE 10</v>
      </c>
      <c r="H5069" s="3">
        <v>858</v>
      </c>
      <c r="I5069" s="4" t="str">
        <f>"ANAMILA BINTI ISMAIL"</f>
        <v>ANAMILA BINTI ISMAIL</v>
      </c>
      <c r="J5069" s="1" t="str">
        <f t="shared" si="2057"/>
        <v>MAYBANK / MAYBANK ISLAMIC</v>
      </c>
      <c r="K5069" s="1" t="str">
        <f>"111075189515"</f>
        <v>111075189515</v>
      </c>
      <c r="L5069" s="1" t="str">
        <f t="shared" si="2081"/>
        <v>04-08-2020</v>
      </c>
      <c r="M5069" s="1" t="str">
        <f t="shared" si="2081"/>
        <v>04-08-2020</v>
      </c>
      <c r="N5069" s="1" t="str">
        <f t="shared" si="2073"/>
        <v>001105018356</v>
      </c>
      <c r="O5069" s="1" t="str">
        <f t="shared" si="2074"/>
        <v>MYR</v>
      </c>
      <c r="P5069" s="1" t="str">
        <f t="shared" si="2082"/>
        <v>NIL</v>
      </c>
      <c r="Q5069" s="1" t="str">
        <f t="shared" si="2082"/>
        <v>NIL</v>
      </c>
      <c r="R5069" s="1" t="str">
        <f t="shared" si="2068"/>
        <v>Unsuccessful</v>
      </c>
      <c r="S5069" s="1" t="str">
        <f t="shared" si="2075"/>
        <v>Approved</v>
      </c>
      <c r="T5069" s="1" t="str">
        <f t="shared" si="2069"/>
        <v>10.20.201.88</v>
      </c>
      <c r="U5069" s="1" t="str">
        <f t="shared" si="2076"/>
        <v>AZRAD UMAR BIN SHAARI</v>
      </c>
      <c r="V5069" s="1" t="str">
        <f t="shared" si="2077"/>
        <v>FARHANA BINTI MUSTAPA</v>
      </c>
      <c r="W5069" s="1" t="str">
        <f t="shared" si="2078"/>
        <v>04-08-2020</v>
      </c>
      <c r="X5069" s="1" t="str">
        <f t="shared" si="2079"/>
        <v>RAZIMAH ANSAR AHMAD</v>
      </c>
      <c r="Y5069" s="1" t="str">
        <f t="shared" si="2080"/>
        <v>04-08-2020</v>
      </c>
      <c r="Z5069" s="1" t="str">
        <f>"COS10200804 4085"</f>
        <v>COS10200804 4085</v>
      </c>
    </row>
    <row r="5070" spans="1:26" s="1" customFormat="1" x14ac:dyDescent="0.25">
      <c r="A5070" s="1" t="str">
        <f t="shared" si="2066"/>
        <v>04-08-2020 12:48:13</v>
      </c>
      <c r="B5070" s="1" t="str">
        <f>"0000805862"</f>
        <v>0000805862</v>
      </c>
      <c r="C5070" s="1" t="str">
        <f t="shared" si="2067"/>
        <v>0000805778</v>
      </c>
      <c r="D5070" s="1" t="str">
        <f t="shared" si="2070"/>
        <v>73185</v>
      </c>
      <c r="E5070" s="1" t="str">
        <f t="shared" si="2071"/>
        <v>KFH-OPERATIONS DEPARTMENT</v>
      </c>
      <c r="F5070" s="1" t="str">
        <f t="shared" si="2072"/>
        <v>IBG</v>
      </c>
      <c r="G5070" s="1" t="str">
        <f t="shared" si="2083"/>
        <v>Refund COSHARE 10</v>
      </c>
      <c r="H5070" s="3">
        <v>243</v>
      </c>
      <c r="I5070" s="4" t="str">
        <f>"AMYSOPHIANI BINTI ADENI"</f>
        <v>AMYSOPHIANI BINTI ADENI</v>
      </c>
      <c r="J5070" s="1" t="str">
        <f t="shared" si="2057"/>
        <v>MAYBANK / MAYBANK ISLAMIC</v>
      </c>
      <c r="K5070" s="1" t="str">
        <f>"161033092004"</f>
        <v>161033092004</v>
      </c>
      <c r="L5070" s="1" t="str">
        <f t="shared" si="2081"/>
        <v>04-08-2020</v>
      </c>
      <c r="M5070" s="1" t="str">
        <f t="shared" si="2081"/>
        <v>04-08-2020</v>
      </c>
      <c r="N5070" s="1" t="str">
        <f t="shared" si="2073"/>
        <v>001105018356</v>
      </c>
      <c r="O5070" s="1" t="str">
        <f t="shared" si="2074"/>
        <v>MYR</v>
      </c>
      <c r="P5070" s="1" t="str">
        <f t="shared" si="2082"/>
        <v>NIL</v>
      </c>
      <c r="Q5070" s="1" t="str">
        <f t="shared" si="2082"/>
        <v>NIL</v>
      </c>
      <c r="R5070" s="1" t="str">
        <f t="shared" si="2068"/>
        <v>Unsuccessful</v>
      </c>
      <c r="S5070" s="1" t="str">
        <f t="shared" si="2075"/>
        <v>Approved</v>
      </c>
      <c r="T5070" s="1" t="str">
        <f t="shared" si="2069"/>
        <v>10.20.201.88</v>
      </c>
      <c r="U5070" s="1" t="str">
        <f t="shared" si="2076"/>
        <v>AZRAD UMAR BIN SHAARI</v>
      </c>
      <c r="V5070" s="1" t="str">
        <f t="shared" si="2077"/>
        <v>FARHANA BINTI MUSTAPA</v>
      </c>
      <c r="W5070" s="1" t="str">
        <f t="shared" si="2078"/>
        <v>04-08-2020</v>
      </c>
      <c r="X5070" s="1" t="str">
        <f t="shared" si="2079"/>
        <v>RAZIMAH ANSAR AHMAD</v>
      </c>
      <c r="Y5070" s="1" t="str">
        <f t="shared" si="2080"/>
        <v>04-08-2020</v>
      </c>
      <c r="Z5070" s="1" t="str">
        <f>"COS10200804 4084"</f>
        <v>COS10200804 4084</v>
      </c>
    </row>
    <row r="5071" spans="1:26" s="1" customFormat="1" x14ac:dyDescent="0.25">
      <c r="A5071" s="1" t="str">
        <f t="shared" si="2066"/>
        <v>04-08-2020 12:48:13</v>
      </c>
      <c r="B5071" s="1" t="str">
        <f>"0000805861"</f>
        <v>0000805861</v>
      </c>
      <c r="C5071" s="1" t="str">
        <f t="shared" si="2067"/>
        <v>0000805778</v>
      </c>
      <c r="D5071" s="1" t="str">
        <f t="shared" si="2070"/>
        <v>73185</v>
      </c>
      <c r="E5071" s="1" t="str">
        <f t="shared" si="2071"/>
        <v>KFH-OPERATIONS DEPARTMENT</v>
      </c>
      <c r="F5071" s="1" t="str">
        <f t="shared" si="2072"/>
        <v>IBG</v>
      </c>
      <c r="G5071" s="1" t="str">
        <f t="shared" si="2083"/>
        <v>Refund COSHARE 10</v>
      </c>
      <c r="H5071" s="3">
        <v>184.7</v>
      </c>
      <c r="I5071" s="4" t="str">
        <f>"AMY CHOO"</f>
        <v>AMY CHOO</v>
      </c>
      <c r="J5071" s="1" t="str">
        <f t="shared" si="2057"/>
        <v>MAYBANK / MAYBANK ISLAMIC</v>
      </c>
      <c r="K5071" s="1" t="str">
        <f>"111075029097"</f>
        <v>111075029097</v>
      </c>
      <c r="L5071" s="1" t="str">
        <f t="shared" si="2081"/>
        <v>04-08-2020</v>
      </c>
      <c r="M5071" s="1" t="str">
        <f t="shared" si="2081"/>
        <v>04-08-2020</v>
      </c>
      <c r="N5071" s="1" t="str">
        <f t="shared" si="2073"/>
        <v>001105018356</v>
      </c>
      <c r="O5071" s="1" t="str">
        <f t="shared" si="2074"/>
        <v>MYR</v>
      </c>
      <c r="P5071" s="1" t="str">
        <f t="shared" si="2082"/>
        <v>NIL</v>
      </c>
      <c r="Q5071" s="1" t="str">
        <f t="shared" si="2082"/>
        <v>NIL</v>
      </c>
      <c r="R5071" s="1" t="str">
        <f t="shared" si="2068"/>
        <v>Unsuccessful</v>
      </c>
      <c r="S5071" s="1" t="str">
        <f t="shared" si="2075"/>
        <v>Approved</v>
      </c>
      <c r="T5071" s="1" t="str">
        <f t="shared" si="2069"/>
        <v>10.20.201.88</v>
      </c>
      <c r="U5071" s="1" t="str">
        <f t="shared" si="2076"/>
        <v>AZRAD UMAR BIN SHAARI</v>
      </c>
      <c r="V5071" s="1" t="str">
        <f t="shared" si="2077"/>
        <v>FARHANA BINTI MUSTAPA</v>
      </c>
      <c r="W5071" s="1" t="str">
        <f t="shared" si="2078"/>
        <v>04-08-2020</v>
      </c>
      <c r="X5071" s="1" t="str">
        <f t="shared" si="2079"/>
        <v>RAZIMAH ANSAR AHMAD</v>
      </c>
      <c r="Y5071" s="1" t="str">
        <f t="shared" si="2080"/>
        <v>04-08-2020</v>
      </c>
      <c r="Z5071" s="1" t="str">
        <f>"COS10200804 4083"</f>
        <v>COS10200804 4083</v>
      </c>
    </row>
    <row r="5072" spans="1:26" s="1" customFormat="1" x14ac:dyDescent="0.25">
      <c r="A5072" s="1" t="str">
        <f t="shared" si="2066"/>
        <v>04-08-2020 12:48:13</v>
      </c>
      <c r="B5072" s="1" t="str">
        <f>"0000805860"</f>
        <v>0000805860</v>
      </c>
      <c r="C5072" s="1" t="str">
        <f t="shared" si="2067"/>
        <v>0000805778</v>
      </c>
      <c r="D5072" s="1" t="str">
        <f t="shared" si="2070"/>
        <v>73185</v>
      </c>
      <c r="E5072" s="1" t="str">
        <f t="shared" si="2071"/>
        <v>KFH-OPERATIONS DEPARTMENT</v>
      </c>
      <c r="F5072" s="1" t="str">
        <f t="shared" si="2072"/>
        <v>IBG</v>
      </c>
      <c r="G5072" s="1" t="str">
        <f t="shared" si="2083"/>
        <v>Refund COSHARE 10</v>
      </c>
      <c r="H5072" s="3">
        <v>638.04999999999995</v>
      </c>
      <c r="I5072" s="4" t="str">
        <f>"AMRIZAL BIN OMRAN"</f>
        <v>AMRIZAL BIN OMRAN</v>
      </c>
      <c r="J5072" s="1" t="str">
        <f t="shared" si="2057"/>
        <v>MAYBANK / MAYBANK ISLAMIC</v>
      </c>
      <c r="K5072" s="1" t="str">
        <f>"151044000028"</f>
        <v>151044000028</v>
      </c>
      <c r="L5072" s="1" t="str">
        <f t="shared" si="2081"/>
        <v>04-08-2020</v>
      </c>
      <c r="M5072" s="1" t="str">
        <f t="shared" si="2081"/>
        <v>04-08-2020</v>
      </c>
      <c r="N5072" s="1" t="str">
        <f t="shared" si="2073"/>
        <v>001105018356</v>
      </c>
      <c r="O5072" s="1" t="str">
        <f t="shared" si="2074"/>
        <v>MYR</v>
      </c>
      <c r="P5072" s="1" t="str">
        <f t="shared" si="2082"/>
        <v>NIL</v>
      </c>
      <c r="Q5072" s="1" t="str">
        <f t="shared" si="2082"/>
        <v>NIL</v>
      </c>
      <c r="R5072" s="1" t="str">
        <f t="shared" si="2068"/>
        <v>Unsuccessful</v>
      </c>
      <c r="S5072" s="1" t="str">
        <f t="shared" si="2075"/>
        <v>Approved</v>
      </c>
      <c r="T5072" s="1" t="str">
        <f t="shared" si="2069"/>
        <v>10.20.201.88</v>
      </c>
      <c r="U5072" s="1" t="str">
        <f t="shared" si="2076"/>
        <v>AZRAD UMAR BIN SHAARI</v>
      </c>
      <c r="V5072" s="1" t="str">
        <f t="shared" si="2077"/>
        <v>FARHANA BINTI MUSTAPA</v>
      </c>
      <c r="W5072" s="1" t="str">
        <f t="shared" si="2078"/>
        <v>04-08-2020</v>
      </c>
      <c r="X5072" s="1" t="str">
        <f t="shared" si="2079"/>
        <v>RAZIMAH ANSAR AHMAD</v>
      </c>
      <c r="Y5072" s="1" t="str">
        <f t="shared" si="2080"/>
        <v>04-08-2020</v>
      </c>
      <c r="Z5072" s="1" t="str">
        <f>"COS10200804 4082"</f>
        <v>COS10200804 4082</v>
      </c>
    </row>
    <row r="5073" spans="1:26" s="1" customFormat="1" x14ac:dyDescent="0.25">
      <c r="A5073" s="1" t="str">
        <f t="shared" si="2066"/>
        <v>04-08-2020 12:48:13</v>
      </c>
      <c r="B5073" s="1" t="str">
        <f>"0000805859"</f>
        <v>0000805859</v>
      </c>
      <c r="C5073" s="1" t="str">
        <f t="shared" si="2067"/>
        <v>0000805778</v>
      </c>
      <c r="D5073" s="1" t="str">
        <f t="shared" si="2070"/>
        <v>73185</v>
      </c>
      <c r="E5073" s="1" t="str">
        <f t="shared" si="2071"/>
        <v>KFH-OPERATIONS DEPARTMENT</v>
      </c>
      <c r="F5073" s="1" t="str">
        <f t="shared" si="2072"/>
        <v>IBG</v>
      </c>
      <c r="G5073" s="1" t="str">
        <f t="shared" si="2083"/>
        <v>Refund COSHARE 10</v>
      </c>
      <c r="H5073" s="3">
        <v>90.1</v>
      </c>
      <c r="I5073" s="4" t="str">
        <f>"AMRAN BIN ZAKARIA"</f>
        <v>AMRAN BIN ZAKARIA</v>
      </c>
      <c r="J5073" s="1" t="str">
        <f t="shared" ref="J5073:J5136" si="2084">"MAYBANK / MAYBANK ISLAMIC"</f>
        <v>MAYBANK / MAYBANK ISLAMIC</v>
      </c>
      <c r="K5073" s="1" t="str">
        <f>"152170056797"</f>
        <v>152170056797</v>
      </c>
      <c r="L5073" s="1" t="str">
        <f t="shared" si="2081"/>
        <v>04-08-2020</v>
      </c>
      <c r="M5073" s="1" t="str">
        <f t="shared" si="2081"/>
        <v>04-08-2020</v>
      </c>
      <c r="N5073" s="1" t="str">
        <f t="shared" si="2073"/>
        <v>001105018356</v>
      </c>
      <c r="O5073" s="1" t="str">
        <f t="shared" si="2074"/>
        <v>MYR</v>
      </c>
      <c r="P5073" s="1" t="str">
        <f t="shared" si="2082"/>
        <v>NIL</v>
      </c>
      <c r="Q5073" s="1" t="str">
        <f t="shared" si="2082"/>
        <v>NIL</v>
      </c>
      <c r="R5073" s="1" t="str">
        <f t="shared" si="2068"/>
        <v>Unsuccessful</v>
      </c>
      <c r="S5073" s="1" t="str">
        <f t="shared" si="2075"/>
        <v>Approved</v>
      </c>
      <c r="T5073" s="1" t="str">
        <f t="shared" si="2069"/>
        <v>10.20.201.88</v>
      </c>
      <c r="U5073" s="1" t="str">
        <f t="shared" si="2076"/>
        <v>AZRAD UMAR BIN SHAARI</v>
      </c>
      <c r="V5073" s="1" t="str">
        <f t="shared" si="2077"/>
        <v>FARHANA BINTI MUSTAPA</v>
      </c>
      <c r="W5073" s="1" t="str">
        <f t="shared" si="2078"/>
        <v>04-08-2020</v>
      </c>
      <c r="X5073" s="1" t="str">
        <f t="shared" si="2079"/>
        <v>RAZIMAH ANSAR AHMAD</v>
      </c>
      <c r="Y5073" s="1" t="str">
        <f t="shared" si="2080"/>
        <v>04-08-2020</v>
      </c>
      <c r="Z5073" s="1" t="str">
        <f>"COS10200804 4081"</f>
        <v>COS10200804 4081</v>
      </c>
    </row>
    <row r="5074" spans="1:26" s="1" customFormat="1" x14ac:dyDescent="0.25">
      <c r="A5074" s="1" t="str">
        <f t="shared" si="2066"/>
        <v>04-08-2020 12:48:13</v>
      </c>
      <c r="B5074" s="1" t="str">
        <f>"0000805858"</f>
        <v>0000805858</v>
      </c>
      <c r="C5074" s="1" t="str">
        <f t="shared" si="2067"/>
        <v>0000805778</v>
      </c>
      <c r="D5074" s="1" t="str">
        <f t="shared" si="2070"/>
        <v>73185</v>
      </c>
      <c r="E5074" s="1" t="str">
        <f t="shared" si="2071"/>
        <v>KFH-OPERATIONS DEPARTMENT</v>
      </c>
      <c r="F5074" s="1" t="str">
        <f t="shared" si="2072"/>
        <v>IBG</v>
      </c>
      <c r="G5074" s="1" t="str">
        <f t="shared" si="2083"/>
        <v>Refund COSHARE 10</v>
      </c>
      <c r="H5074" s="3">
        <v>635.20000000000005</v>
      </c>
      <c r="I5074" s="4" t="str">
        <f>"AMRAN BIN KAMAL"</f>
        <v>AMRAN BIN KAMAL</v>
      </c>
      <c r="J5074" s="1" t="str">
        <f t="shared" si="2084"/>
        <v>MAYBANK / MAYBANK ISLAMIC</v>
      </c>
      <c r="K5074" s="1" t="str">
        <f>"106016238907"</f>
        <v>106016238907</v>
      </c>
      <c r="L5074" s="1" t="str">
        <f t="shared" si="2081"/>
        <v>04-08-2020</v>
      </c>
      <c r="M5074" s="1" t="str">
        <f t="shared" si="2081"/>
        <v>04-08-2020</v>
      </c>
      <c r="N5074" s="1" t="str">
        <f t="shared" si="2073"/>
        <v>001105018356</v>
      </c>
      <c r="O5074" s="1" t="str">
        <f t="shared" si="2074"/>
        <v>MYR</v>
      </c>
      <c r="P5074" s="1" t="str">
        <f t="shared" si="2082"/>
        <v>NIL</v>
      </c>
      <c r="Q5074" s="1" t="str">
        <f t="shared" si="2082"/>
        <v>NIL</v>
      </c>
      <c r="R5074" s="1" t="str">
        <f t="shared" si="2068"/>
        <v>Unsuccessful</v>
      </c>
      <c r="S5074" s="1" t="str">
        <f t="shared" si="2075"/>
        <v>Approved</v>
      </c>
      <c r="T5074" s="1" t="str">
        <f t="shared" si="2069"/>
        <v>10.20.201.88</v>
      </c>
      <c r="U5074" s="1" t="str">
        <f t="shared" si="2076"/>
        <v>AZRAD UMAR BIN SHAARI</v>
      </c>
      <c r="V5074" s="1" t="str">
        <f t="shared" si="2077"/>
        <v>FARHANA BINTI MUSTAPA</v>
      </c>
      <c r="W5074" s="1" t="str">
        <f t="shared" si="2078"/>
        <v>04-08-2020</v>
      </c>
      <c r="X5074" s="1" t="str">
        <f t="shared" si="2079"/>
        <v>RAZIMAH ANSAR AHMAD</v>
      </c>
      <c r="Y5074" s="1" t="str">
        <f t="shared" si="2080"/>
        <v>04-08-2020</v>
      </c>
      <c r="Z5074" s="1" t="str">
        <f>"COS10200804 4080"</f>
        <v>COS10200804 4080</v>
      </c>
    </row>
    <row r="5075" spans="1:26" s="1" customFormat="1" x14ac:dyDescent="0.25">
      <c r="A5075" s="1" t="str">
        <f t="shared" si="2066"/>
        <v>04-08-2020 12:48:13</v>
      </c>
      <c r="B5075" s="1" t="str">
        <f>"0000805857"</f>
        <v>0000805857</v>
      </c>
      <c r="C5075" s="1" t="str">
        <f t="shared" si="2067"/>
        <v>0000805778</v>
      </c>
      <c r="D5075" s="1" t="str">
        <f t="shared" si="2070"/>
        <v>73185</v>
      </c>
      <c r="E5075" s="1" t="str">
        <f t="shared" si="2071"/>
        <v>KFH-OPERATIONS DEPARTMENT</v>
      </c>
      <c r="F5075" s="1" t="str">
        <f t="shared" si="2072"/>
        <v>IBG</v>
      </c>
      <c r="G5075" s="1" t="str">
        <f t="shared" si="2083"/>
        <v>Refund COSHARE 10</v>
      </c>
      <c r="H5075" s="3">
        <v>232.75</v>
      </c>
      <c r="I5075" s="4" t="str">
        <f>"AMRAN BIN ABDUL LATEH"</f>
        <v>AMRAN BIN ABDUL LATEH</v>
      </c>
      <c r="J5075" s="1" t="str">
        <f t="shared" si="2084"/>
        <v>MAYBANK / MAYBANK ISLAMIC</v>
      </c>
      <c r="K5075" s="1" t="str">
        <f>"112268181506"</f>
        <v>112268181506</v>
      </c>
      <c r="L5075" s="1" t="str">
        <f t="shared" si="2081"/>
        <v>04-08-2020</v>
      </c>
      <c r="M5075" s="1" t="str">
        <f t="shared" si="2081"/>
        <v>04-08-2020</v>
      </c>
      <c r="N5075" s="1" t="str">
        <f t="shared" si="2073"/>
        <v>001105018356</v>
      </c>
      <c r="O5075" s="1" t="str">
        <f t="shared" si="2074"/>
        <v>MYR</v>
      </c>
      <c r="P5075" s="1" t="str">
        <f t="shared" si="2082"/>
        <v>NIL</v>
      </c>
      <c r="Q5075" s="1" t="str">
        <f t="shared" si="2082"/>
        <v>NIL</v>
      </c>
      <c r="R5075" s="1" t="str">
        <f t="shared" si="2068"/>
        <v>Unsuccessful</v>
      </c>
      <c r="S5075" s="1" t="str">
        <f t="shared" si="2075"/>
        <v>Approved</v>
      </c>
      <c r="T5075" s="1" t="str">
        <f t="shared" si="2069"/>
        <v>10.20.201.88</v>
      </c>
      <c r="U5075" s="1" t="str">
        <f t="shared" si="2076"/>
        <v>AZRAD UMAR BIN SHAARI</v>
      </c>
      <c r="V5075" s="1" t="str">
        <f t="shared" si="2077"/>
        <v>FARHANA BINTI MUSTAPA</v>
      </c>
      <c r="W5075" s="1" t="str">
        <f t="shared" si="2078"/>
        <v>04-08-2020</v>
      </c>
      <c r="X5075" s="1" t="str">
        <f t="shared" si="2079"/>
        <v>RAZIMAH ANSAR AHMAD</v>
      </c>
      <c r="Y5075" s="1" t="str">
        <f t="shared" si="2080"/>
        <v>04-08-2020</v>
      </c>
      <c r="Z5075" s="1" t="str">
        <f>"COS10200804 4079"</f>
        <v>COS10200804 4079</v>
      </c>
    </row>
    <row r="5076" spans="1:26" s="1" customFormat="1" x14ac:dyDescent="0.25">
      <c r="A5076" s="1" t="str">
        <f t="shared" si="2066"/>
        <v>04-08-2020 12:48:13</v>
      </c>
      <c r="B5076" s="1" t="str">
        <f>"0000805856"</f>
        <v>0000805856</v>
      </c>
      <c r="C5076" s="1" t="str">
        <f t="shared" si="2067"/>
        <v>0000805778</v>
      </c>
      <c r="D5076" s="1" t="str">
        <f t="shared" si="2070"/>
        <v>73185</v>
      </c>
      <c r="E5076" s="1" t="str">
        <f t="shared" si="2071"/>
        <v>KFH-OPERATIONS DEPARTMENT</v>
      </c>
      <c r="F5076" s="1" t="str">
        <f t="shared" si="2072"/>
        <v>IBG</v>
      </c>
      <c r="G5076" s="1" t="str">
        <f t="shared" si="2083"/>
        <v>Refund COSHARE 10</v>
      </c>
      <c r="H5076" s="3">
        <v>587.65</v>
      </c>
      <c r="I5076" s="4" t="str">
        <f>"AMNAH BINTI YASIN"</f>
        <v>AMNAH BINTI YASIN</v>
      </c>
      <c r="J5076" s="1" t="str">
        <f t="shared" si="2084"/>
        <v>MAYBANK / MAYBANK ISLAMIC</v>
      </c>
      <c r="K5076" s="1" t="str">
        <f>"166010085931"</f>
        <v>166010085931</v>
      </c>
      <c r="L5076" s="1" t="str">
        <f t="shared" si="2081"/>
        <v>04-08-2020</v>
      </c>
      <c r="M5076" s="1" t="str">
        <f t="shared" si="2081"/>
        <v>04-08-2020</v>
      </c>
      <c r="N5076" s="1" t="str">
        <f t="shared" si="2073"/>
        <v>001105018356</v>
      </c>
      <c r="O5076" s="1" t="str">
        <f t="shared" si="2074"/>
        <v>MYR</v>
      </c>
      <c r="P5076" s="1" t="str">
        <f t="shared" si="2082"/>
        <v>NIL</v>
      </c>
      <c r="Q5076" s="1" t="str">
        <f t="shared" si="2082"/>
        <v>NIL</v>
      </c>
      <c r="R5076" s="1" t="str">
        <f t="shared" si="2068"/>
        <v>Unsuccessful</v>
      </c>
      <c r="S5076" s="1" t="str">
        <f t="shared" si="2075"/>
        <v>Approved</v>
      </c>
      <c r="T5076" s="1" t="str">
        <f t="shared" si="2069"/>
        <v>10.20.201.88</v>
      </c>
      <c r="U5076" s="1" t="str">
        <f t="shared" si="2076"/>
        <v>AZRAD UMAR BIN SHAARI</v>
      </c>
      <c r="V5076" s="1" t="str">
        <f t="shared" si="2077"/>
        <v>FARHANA BINTI MUSTAPA</v>
      </c>
      <c r="W5076" s="1" t="str">
        <f t="shared" si="2078"/>
        <v>04-08-2020</v>
      </c>
      <c r="X5076" s="1" t="str">
        <f t="shared" si="2079"/>
        <v>RAZIMAH ANSAR AHMAD</v>
      </c>
      <c r="Y5076" s="1" t="str">
        <f t="shared" si="2080"/>
        <v>04-08-2020</v>
      </c>
      <c r="Z5076" s="1" t="str">
        <f>"COS10200804 4078"</f>
        <v>COS10200804 4078</v>
      </c>
    </row>
    <row r="5077" spans="1:26" s="1" customFormat="1" x14ac:dyDescent="0.25">
      <c r="A5077" s="1" t="str">
        <f t="shared" si="2066"/>
        <v>04-08-2020 12:48:13</v>
      </c>
      <c r="B5077" s="1" t="str">
        <f>"0000805855"</f>
        <v>0000805855</v>
      </c>
      <c r="C5077" s="1" t="str">
        <f t="shared" si="2067"/>
        <v>0000805778</v>
      </c>
      <c r="D5077" s="1" t="str">
        <f t="shared" si="2070"/>
        <v>73185</v>
      </c>
      <c r="E5077" s="1" t="str">
        <f t="shared" si="2071"/>
        <v>KFH-OPERATIONS DEPARTMENT</v>
      </c>
      <c r="F5077" s="1" t="str">
        <f t="shared" si="2072"/>
        <v>IBG</v>
      </c>
      <c r="G5077" s="1" t="str">
        <f t="shared" si="2083"/>
        <v>Refund COSHARE 10</v>
      </c>
      <c r="H5077" s="3">
        <v>100.75</v>
      </c>
      <c r="I5077" s="4" t="str">
        <f>"AMMAR BIN RUSLI"</f>
        <v>AMMAR BIN RUSLI</v>
      </c>
      <c r="J5077" s="1" t="str">
        <f t="shared" si="2084"/>
        <v>MAYBANK / MAYBANK ISLAMIC</v>
      </c>
      <c r="K5077" s="1" t="str">
        <f>"152095701435"</f>
        <v>152095701435</v>
      </c>
      <c r="L5077" s="1" t="str">
        <f t="shared" si="2081"/>
        <v>04-08-2020</v>
      </c>
      <c r="M5077" s="1" t="str">
        <f t="shared" si="2081"/>
        <v>04-08-2020</v>
      </c>
      <c r="N5077" s="1" t="str">
        <f t="shared" si="2073"/>
        <v>001105018356</v>
      </c>
      <c r="O5077" s="1" t="str">
        <f t="shared" si="2074"/>
        <v>MYR</v>
      </c>
      <c r="P5077" s="1" t="str">
        <f t="shared" si="2082"/>
        <v>NIL</v>
      </c>
      <c r="Q5077" s="1" t="str">
        <f t="shared" si="2082"/>
        <v>NIL</v>
      </c>
      <c r="R5077" s="1" t="str">
        <f t="shared" si="2068"/>
        <v>Unsuccessful</v>
      </c>
      <c r="S5077" s="1" t="str">
        <f t="shared" si="2075"/>
        <v>Approved</v>
      </c>
      <c r="T5077" s="1" t="str">
        <f t="shared" si="2069"/>
        <v>10.20.201.88</v>
      </c>
      <c r="U5077" s="1" t="str">
        <f t="shared" si="2076"/>
        <v>AZRAD UMAR BIN SHAARI</v>
      </c>
      <c r="V5077" s="1" t="str">
        <f t="shared" si="2077"/>
        <v>FARHANA BINTI MUSTAPA</v>
      </c>
      <c r="W5077" s="1" t="str">
        <f t="shared" si="2078"/>
        <v>04-08-2020</v>
      </c>
      <c r="X5077" s="1" t="str">
        <f t="shared" si="2079"/>
        <v>RAZIMAH ANSAR AHMAD</v>
      </c>
      <c r="Y5077" s="1" t="str">
        <f t="shared" si="2080"/>
        <v>04-08-2020</v>
      </c>
      <c r="Z5077" s="1" t="str">
        <f>"COS10200804 4077"</f>
        <v>COS10200804 4077</v>
      </c>
    </row>
    <row r="5078" spans="1:26" s="1" customFormat="1" x14ac:dyDescent="0.25">
      <c r="A5078" s="1" t="str">
        <f t="shared" si="2066"/>
        <v>04-08-2020 12:48:13</v>
      </c>
      <c r="B5078" s="1" t="str">
        <f>"0000805854"</f>
        <v>0000805854</v>
      </c>
      <c r="C5078" s="1" t="str">
        <f t="shared" si="2067"/>
        <v>0000805778</v>
      </c>
      <c r="D5078" s="1" t="str">
        <f t="shared" si="2070"/>
        <v>73185</v>
      </c>
      <c r="E5078" s="1" t="str">
        <f t="shared" si="2071"/>
        <v>KFH-OPERATIONS DEPARTMENT</v>
      </c>
      <c r="F5078" s="1" t="str">
        <f t="shared" si="2072"/>
        <v>IBG</v>
      </c>
      <c r="G5078" s="1" t="str">
        <f t="shared" si="2083"/>
        <v>Refund COSHARE 10</v>
      </c>
      <c r="H5078" s="3">
        <v>134</v>
      </c>
      <c r="I5078" s="4" t="str">
        <f>"AMLEE BIN NORDIN"</f>
        <v>AMLEE BIN NORDIN</v>
      </c>
      <c r="J5078" s="1" t="str">
        <f t="shared" si="2084"/>
        <v>MAYBANK / MAYBANK ISLAMIC</v>
      </c>
      <c r="K5078" s="1" t="str">
        <f>"160027310474"</f>
        <v>160027310474</v>
      </c>
      <c r="L5078" s="1" t="str">
        <f t="shared" si="2081"/>
        <v>04-08-2020</v>
      </c>
      <c r="M5078" s="1" t="str">
        <f t="shared" si="2081"/>
        <v>04-08-2020</v>
      </c>
      <c r="N5078" s="1" t="str">
        <f t="shared" si="2073"/>
        <v>001105018356</v>
      </c>
      <c r="O5078" s="1" t="str">
        <f t="shared" si="2074"/>
        <v>MYR</v>
      </c>
      <c r="P5078" s="1" t="str">
        <f t="shared" si="2082"/>
        <v>NIL</v>
      </c>
      <c r="Q5078" s="1" t="str">
        <f t="shared" si="2082"/>
        <v>NIL</v>
      </c>
      <c r="R5078" s="1" t="str">
        <f t="shared" si="2068"/>
        <v>Unsuccessful</v>
      </c>
      <c r="S5078" s="1" t="str">
        <f t="shared" si="2075"/>
        <v>Approved</v>
      </c>
      <c r="T5078" s="1" t="str">
        <f t="shared" si="2069"/>
        <v>10.20.201.88</v>
      </c>
      <c r="U5078" s="1" t="str">
        <f t="shared" si="2076"/>
        <v>AZRAD UMAR BIN SHAARI</v>
      </c>
      <c r="V5078" s="1" t="str">
        <f t="shared" si="2077"/>
        <v>FARHANA BINTI MUSTAPA</v>
      </c>
      <c r="W5078" s="1" t="str">
        <f t="shared" si="2078"/>
        <v>04-08-2020</v>
      </c>
      <c r="X5078" s="1" t="str">
        <f t="shared" si="2079"/>
        <v>RAZIMAH ANSAR AHMAD</v>
      </c>
      <c r="Y5078" s="1" t="str">
        <f t="shared" si="2080"/>
        <v>04-08-2020</v>
      </c>
      <c r="Z5078" s="1" t="str">
        <f>"COS10200804 4076"</f>
        <v>COS10200804 4076</v>
      </c>
    </row>
    <row r="5079" spans="1:26" s="1" customFormat="1" x14ac:dyDescent="0.25">
      <c r="A5079" s="1" t="str">
        <f t="shared" si="2066"/>
        <v>04-08-2020 12:48:13</v>
      </c>
      <c r="B5079" s="1" t="str">
        <f>"0000805853"</f>
        <v>0000805853</v>
      </c>
      <c r="C5079" s="1" t="str">
        <f t="shared" si="2067"/>
        <v>0000805778</v>
      </c>
      <c r="D5079" s="1" t="str">
        <f t="shared" si="2070"/>
        <v>73185</v>
      </c>
      <c r="E5079" s="1" t="str">
        <f t="shared" si="2071"/>
        <v>KFH-OPERATIONS DEPARTMENT</v>
      </c>
      <c r="F5079" s="1" t="str">
        <f t="shared" si="2072"/>
        <v>IBG</v>
      </c>
      <c r="G5079" s="1" t="str">
        <f t="shared" si="2083"/>
        <v>Refund COSHARE 10</v>
      </c>
      <c r="H5079" s="3">
        <v>137.25</v>
      </c>
      <c r="I5079" s="4" t="str">
        <f>"AMLEE BIN NORDIN"</f>
        <v>AMLEE BIN NORDIN</v>
      </c>
      <c r="J5079" s="1" t="str">
        <f t="shared" si="2084"/>
        <v>MAYBANK / MAYBANK ISLAMIC</v>
      </c>
      <c r="K5079" s="1" t="str">
        <f>"160027310474"</f>
        <v>160027310474</v>
      </c>
      <c r="L5079" s="1" t="str">
        <f t="shared" si="2081"/>
        <v>04-08-2020</v>
      </c>
      <c r="M5079" s="1" t="str">
        <f t="shared" si="2081"/>
        <v>04-08-2020</v>
      </c>
      <c r="N5079" s="1" t="str">
        <f t="shared" si="2073"/>
        <v>001105018356</v>
      </c>
      <c r="O5079" s="1" t="str">
        <f t="shared" si="2074"/>
        <v>MYR</v>
      </c>
      <c r="P5079" s="1" t="str">
        <f t="shared" si="2082"/>
        <v>NIL</v>
      </c>
      <c r="Q5079" s="1" t="str">
        <f t="shared" si="2082"/>
        <v>NIL</v>
      </c>
      <c r="R5079" s="1" t="str">
        <f t="shared" si="2068"/>
        <v>Unsuccessful</v>
      </c>
      <c r="S5079" s="1" t="str">
        <f t="shared" si="2075"/>
        <v>Approved</v>
      </c>
      <c r="T5079" s="1" t="str">
        <f t="shared" si="2069"/>
        <v>10.20.201.88</v>
      </c>
      <c r="U5079" s="1" t="str">
        <f t="shared" si="2076"/>
        <v>AZRAD UMAR BIN SHAARI</v>
      </c>
      <c r="V5079" s="1" t="str">
        <f t="shared" si="2077"/>
        <v>FARHANA BINTI MUSTAPA</v>
      </c>
      <c r="W5079" s="1" t="str">
        <f t="shared" si="2078"/>
        <v>04-08-2020</v>
      </c>
      <c r="X5079" s="1" t="str">
        <f t="shared" si="2079"/>
        <v>RAZIMAH ANSAR AHMAD</v>
      </c>
      <c r="Y5079" s="1" t="str">
        <f t="shared" si="2080"/>
        <v>04-08-2020</v>
      </c>
      <c r="Z5079" s="1" t="str">
        <f>"COS10200804 4075"</f>
        <v>COS10200804 4075</v>
      </c>
    </row>
    <row r="5080" spans="1:26" s="1" customFormat="1" x14ac:dyDescent="0.25">
      <c r="A5080" s="1" t="str">
        <f t="shared" si="2066"/>
        <v>04-08-2020 12:48:13</v>
      </c>
      <c r="B5080" s="1" t="str">
        <f>"0000805852"</f>
        <v>0000805852</v>
      </c>
      <c r="C5080" s="1" t="str">
        <f t="shared" si="2067"/>
        <v>0000805778</v>
      </c>
      <c r="D5080" s="1" t="str">
        <f t="shared" si="2070"/>
        <v>73185</v>
      </c>
      <c r="E5080" s="1" t="str">
        <f t="shared" si="2071"/>
        <v>KFH-OPERATIONS DEPARTMENT</v>
      </c>
      <c r="F5080" s="1" t="str">
        <f t="shared" si="2072"/>
        <v>IBG</v>
      </c>
      <c r="G5080" s="1" t="str">
        <f t="shared" si="2083"/>
        <v>Refund COSHARE 10</v>
      </c>
      <c r="H5080" s="3">
        <v>310.64999999999998</v>
      </c>
      <c r="I5080" s="4" t="str">
        <f>"AMIRUL HAKIMI BIN ABD WAHAB"</f>
        <v>AMIRUL HAKIMI BIN ABD WAHAB</v>
      </c>
      <c r="J5080" s="1" t="str">
        <f t="shared" si="2084"/>
        <v>MAYBANK / MAYBANK ISLAMIC</v>
      </c>
      <c r="K5080" s="1" t="str">
        <f>"151098031759"</f>
        <v>151098031759</v>
      </c>
      <c r="L5080" s="1" t="str">
        <f t="shared" si="2081"/>
        <v>04-08-2020</v>
      </c>
      <c r="M5080" s="1" t="str">
        <f t="shared" si="2081"/>
        <v>04-08-2020</v>
      </c>
      <c r="N5080" s="1" t="str">
        <f t="shared" si="2073"/>
        <v>001105018356</v>
      </c>
      <c r="O5080" s="1" t="str">
        <f t="shared" si="2074"/>
        <v>MYR</v>
      </c>
      <c r="P5080" s="1" t="str">
        <f t="shared" si="2082"/>
        <v>NIL</v>
      </c>
      <c r="Q5080" s="1" t="str">
        <f t="shared" si="2082"/>
        <v>NIL</v>
      </c>
      <c r="R5080" s="1" t="str">
        <f t="shared" si="2068"/>
        <v>Unsuccessful</v>
      </c>
      <c r="S5080" s="1" t="str">
        <f t="shared" si="2075"/>
        <v>Approved</v>
      </c>
      <c r="T5080" s="1" t="str">
        <f t="shared" si="2069"/>
        <v>10.20.201.88</v>
      </c>
      <c r="U5080" s="1" t="str">
        <f t="shared" si="2076"/>
        <v>AZRAD UMAR BIN SHAARI</v>
      </c>
      <c r="V5080" s="1" t="str">
        <f t="shared" si="2077"/>
        <v>FARHANA BINTI MUSTAPA</v>
      </c>
      <c r="W5080" s="1" t="str">
        <f t="shared" si="2078"/>
        <v>04-08-2020</v>
      </c>
      <c r="X5080" s="1" t="str">
        <f t="shared" si="2079"/>
        <v>RAZIMAH ANSAR AHMAD</v>
      </c>
      <c r="Y5080" s="1" t="str">
        <f t="shared" si="2080"/>
        <v>04-08-2020</v>
      </c>
      <c r="Z5080" s="1" t="str">
        <f>"COS10200804 4074"</f>
        <v>COS10200804 4074</v>
      </c>
    </row>
    <row r="5081" spans="1:26" s="1" customFormat="1" x14ac:dyDescent="0.25">
      <c r="A5081" s="1" t="str">
        <f t="shared" si="2066"/>
        <v>04-08-2020 12:48:13</v>
      </c>
      <c r="B5081" s="1" t="str">
        <f>"0000805851"</f>
        <v>0000805851</v>
      </c>
      <c r="C5081" s="1" t="str">
        <f t="shared" si="2067"/>
        <v>0000805778</v>
      </c>
      <c r="D5081" s="1" t="str">
        <f t="shared" si="2070"/>
        <v>73185</v>
      </c>
      <c r="E5081" s="1" t="str">
        <f t="shared" si="2071"/>
        <v>KFH-OPERATIONS DEPARTMENT</v>
      </c>
      <c r="F5081" s="1" t="str">
        <f t="shared" si="2072"/>
        <v>IBG</v>
      </c>
      <c r="G5081" s="1" t="str">
        <f t="shared" si="2083"/>
        <v>Refund COSHARE 10</v>
      </c>
      <c r="H5081" s="3">
        <v>545.70000000000005</v>
      </c>
      <c r="I5081" s="4" t="str">
        <f>"AMIRUL BIN NAZMI"</f>
        <v>AMIRUL BIN NAZMI</v>
      </c>
      <c r="J5081" s="1" t="str">
        <f t="shared" si="2084"/>
        <v>MAYBANK / MAYBANK ISLAMIC</v>
      </c>
      <c r="K5081" s="1" t="str">
        <f>"164315283957"</f>
        <v>164315283957</v>
      </c>
      <c r="L5081" s="1" t="str">
        <f t="shared" si="2081"/>
        <v>04-08-2020</v>
      </c>
      <c r="M5081" s="1" t="str">
        <f t="shared" si="2081"/>
        <v>04-08-2020</v>
      </c>
      <c r="N5081" s="1" t="str">
        <f t="shared" si="2073"/>
        <v>001105018356</v>
      </c>
      <c r="O5081" s="1" t="str">
        <f t="shared" si="2074"/>
        <v>MYR</v>
      </c>
      <c r="P5081" s="1" t="str">
        <f t="shared" si="2082"/>
        <v>NIL</v>
      </c>
      <c r="Q5081" s="1" t="str">
        <f t="shared" si="2082"/>
        <v>NIL</v>
      </c>
      <c r="R5081" s="1" t="str">
        <f t="shared" si="2068"/>
        <v>Unsuccessful</v>
      </c>
      <c r="S5081" s="1" t="str">
        <f t="shared" si="2075"/>
        <v>Approved</v>
      </c>
      <c r="T5081" s="1" t="str">
        <f t="shared" si="2069"/>
        <v>10.20.201.88</v>
      </c>
      <c r="U5081" s="1" t="str">
        <f t="shared" si="2076"/>
        <v>AZRAD UMAR BIN SHAARI</v>
      </c>
      <c r="V5081" s="1" t="str">
        <f t="shared" si="2077"/>
        <v>FARHANA BINTI MUSTAPA</v>
      </c>
      <c r="W5081" s="1" t="str">
        <f t="shared" si="2078"/>
        <v>04-08-2020</v>
      </c>
      <c r="X5081" s="1" t="str">
        <f t="shared" si="2079"/>
        <v>RAZIMAH ANSAR AHMAD</v>
      </c>
      <c r="Y5081" s="1" t="str">
        <f t="shared" si="2080"/>
        <v>04-08-2020</v>
      </c>
      <c r="Z5081" s="1" t="str">
        <f>"COS10200804 4073"</f>
        <v>COS10200804 4073</v>
      </c>
    </row>
    <row r="5082" spans="1:26" s="1" customFormat="1" x14ac:dyDescent="0.25">
      <c r="A5082" s="1" t="str">
        <f t="shared" ref="A5082:A5113" si="2085">"04-08-2020 12:48:13"</f>
        <v>04-08-2020 12:48:13</v>
      </c>
      <c r="B5082" s="1" t="str">
        <f>"0000805850"</f>
        <v>0000805850</v>
      </c>
      <c r="C5082" s="1" t="str">
        <f t="shared" ref="C5082:C5113" si="2086">"0000805778"</f>
        <v>0000805778</v>
      </c>
      <c r="D5082" s="1" t="str">
        <f t="shared" si="2070"/>
        <v>73185</v>
      </c>
      <c r="E5082" s="1" t="str">
        <f t="shared" si="2071"/>
        <v>KFH-OPERATIONS DEPARTMENT</v>
      </c>
      <c r="F5082" s="1" t="str">
        <f t="shared" si="2072"/>
        <v>IBG</v>
      </c>
      <c r="G5082" s="1" t="str">
        <f t="shared" si="2083"/>
        <v>Refund COSHARE 10</v>
      </c>
      <c r="H5082" s="3">
        <v>125.95</v>
      </c>
      <c r="I5082" s="4" t="str">
        <f>"AMIRUL AZMEY BIN ABD AZIZ"</f>
        <v>AMIRUL AZMEY BIN ABD AZIZ</v>
      </c>
      <c r="J5082" s="1" t="str">
        <f t="shared" si="2084"/>
        <v>MAYBANK / MAYBANK ISLAMIC</v>
      </c>
      <c r="K5082" s="1" t="str">
        <f>"162021348547"</f>
        <v>162021348547</v>
      </c>
      <c r="L5082" s="1" t="str">
        <f t="shared" si="2081"/>
        <v>04-08-2020</v>
      </c>
      <c r="M5082" s="1" t="str">
        <f t="shared" si="2081"/>
        <v>04-08-2020</v>
      </c>
      <c r="N5082" s="1" t="str">
        <f t="shared" si="2073"/>
        <v>001105018356</v>
      </c>
      <c r="O5082" s="1" t="str">
        <f t="shared" si="2074"/>
        <v>MYR</v>
      </c>
      <c r="P5082" s="1" t="str">
        <f t="shared" si="2082"/>
        <v>NIL</v>
      </c>
      <c r="Q5082" s="1" t="str">
        <f t="shared" si="2082"/>
        <v>NIL</v>
      </c>
      <c r="R5082" s="1" t="str">
        <f t="shared" ref="R5082:R5113" si="2087">"Unsuccessful"</f>
        <v>Unsuccessful</v>
      </c>
      <c r="S5082" s="1" t="str">
        <f t="shared" si="2075"/>
        <v>Approved</v>
      </c>
      <c r="T5082" s="1" t="str">
        <f t="shared" ref="T5082:T5113" si="2088">"10.20.201.88"</f>
        <v>10.20.201.88</v>
      </c>
      <c r="U5082" s="1" t="str">
        <f t="shared" si="2076"/>
        <v>AZRAD UMAR BIN SHAARI</v>
      </c>
      <c r="V5082" s="1" t="str">
        <f t="shared" si="2077"/>
        <v>FARHANA BINTI MUSTAPA</v>
      </c>
      <c r="W5082" s="1" t="str">
        <f t="shared" si="2078"/>
        <v>04-08-2020</v>
      </c>
      <c r="X5082" s="1" t="str">
        <f t="shared" si="2079"/>
        <v>RAZIMAH ANSAR AHMAD</v>
      </c>
      <c r="Y5082" s="1" t="str">
        <f t="shared" si="2080"/>
        <v>04-08-2020</v>
      </c>
      <c r="Z5082" s="1" t="str">
        <f>"COS10200804 4072"</f>
        <v>COS10200804 4072</v>
      </c>
    </row>
    <row r="5083" spans="1:26" s="1" customFormat="1" x14ac:dyDescent="0.25">
      <c r="A5083" s="1" t="str">
        <f t="shared" si="2085"/>
        <v>04-08-2020 12:48:13</v>
      </c>
      <c r="B5083" s="1" t="str">
        <f>"0000805849"</f>
        <v>0000805849</v>
      </c>
      <c r="C5083" s="1" t="str">
        <f t="shared" si="2086"/>
        <v>0000805778</v>
      </c>
      <c r="D5083" s="1" t="str">
        <f t="shared" si="2070"/>
        <v>73185</v>
      </c>
      <c r="E5083" s="1" t="str">
        <f t="shared" si="2071"/>
        <v>KFH-OPERATIONS DEPARTMENT</v>
      </c>
      <c r="F5083" s="1" t="str">
        <f t="shared" si="2072"/>
        <v>IBG</v>
      </c>
      <c r="G5083" s="1" t="str">
        <f t="shared" si="2083"/>
        <v>Refund COSHARE 10</v>
      </c>
      <c r="H5083" s="3">
        <v>83.95</v>
      </c>
      <c r="I5083" s="4" t="str">
        <f>"AMIRRULLAH BIN NAZIR"</f>
        <v>AMIRRULLAH BIN NAZIR</v>
      </c>
      <c r="J5083" s="1" t="str">
        <f t="shared" si="2084"/>
        <v>MAYBANK / MAYBANK ISLAMIC</v>
      </c>
      <c r="K5083" s="1" t="str">
        <f>"151061217729"</f>
        <v>151061217729</v>
      </c>
      <c r="L5083" s="1" t="str">
        <f t="shared" si="2081"/>
        <v>04-08-2020</v>
      </c>
      <c r="M5083" s="1" t="str">
        <f t="shared" si="2081"/>
        <v>04-08-2020</v>
      </c>
      <c r="N5083" s="1" t="str">
        <f t="shared" si="2073"/>
        <v>001105018356</v>
      </c>
      <c r="O5083" s="1" t="str">
        <f t="shared" si="2074"/>
        <v>MYR</v>
      </c>
      <c r="P5083" s="1" t="str">
        <f t="shared" si="2082"/>
        <v>NIL</v>
      </c>
      <c r="Q5083" s="1" t="str">
        <f t="shared" si="2082"/>
        <v>NIL</v>
      </c>
      <c r="R5083" s="1" t="str">
        <f t="shared" si="2087"/>
        <v>Unsuccessful</v>
      </c>
      <c r="S5083" s="1" t="str">
        <f t="shared" si="2075"/>
        <v>Approved</v>
      </c>
      <c r="T5083" s="1" t="str">
        <f t="shared" si="2088"/>
        <v>10.20.201.88</v>
      </c>
      <c r="U5083" s="1" t="str">
        <f t="shared" si="2076"/>
        <v>AZRAD UMAR BIN SHAARI</v>
      </c>
      <c r="V5083" s="1" t="str">
        <f t="shared" si="2077"/>
        <v>FARHANA BINTI MUSTAPA</v>
      </c>
      <c r="W5083" s="1" t="str">
        <f t="shared" si="2078"/>
        <v>04-08-2020</v>
      </c>
      <c r="X5083" s="1" t="str">
        <f t="shared" si="2079"/>
        <v>RAZIMAH ANSAR AHMAD</v>
      </c>
      <c r="Y5083" s="1" t="str">
        <f t="shared" si="2080"/>
        <v>04-08-2020</v>
      </c>
      <c r="Z5083" s="1" t="str">
        <f>"COS10200804 4071"</f>
        <v>COS10200804 4071</v>
      </c>
    </row>
    <row r="5084" spans="1:26" s="1" customFormat="1" x14ac:dyDescent="0.25">
      <c r="A5084" s="1" t="str">
        <f t="shared" si="2085"/>
        <v>04-08-2020 12:48:13</v>
      </c>
      <c r="B5084" s="1" t="str">
        <f>"0000805848"</f>
        <v>0000805848</v>
      </c>
      <c r="C5084" s="1" t="str">
        <f t="shared" si="2086"/>
        <v>0000805778</v>
      </c>
      <c r="D5084" s="1" t="str">
        <f t="shared" si="2070"/>
        <v>73185</v>
      </c>
      <c r="E5084" s="1" t="str">
        <f t="shared" si="2071"/>
        <v>KFH-OPERATIONS DEPARTMENT</v>
      </c>
      <c r="F5084" s="1" t="str">
        <f t="shared" si="2072"/>
        <v>IBG</v>
      </c>
      <c r="G5084" s="1" t="str">
        <f t="shared" si="2083"/>
        <v>Refund COSHARE 10</v>
      </c>
      <c r="H5084" s="3">
        <v>587.65</v>
      </c>
      <c r="I5084" s="4" t="str">
        <f>"AMIRR ARIFF AZHAN BIN KARIM"</f>
        <v>AMIRR ARIFF AZHAN BIN KARIM</v>
      </c>
      <c r="J5084" s="1" t="str">
        <f t="shared" si="2084"/>
        <v>MAYBANK / MAYBANK ISLAMIC</v>
      </c>
      <c r="K5084" s="1" t="str">
        <f>"156132574378"</f>
        <v>156132574378</v>
      </c>
      <c r="L5084" s="1" t="str">
        <f t="shared" si="2081"/>
        <v>04-08-2020</v>
      </c>
      <c r="M5084" s="1" t="str">
        <f t="shared" si="2081"/>
        <v>04-08-2020</v>
      </c>
      <c r="N5084" s="1" t="str">
        <f t="shared" si="2073"/>
        <v>001105018356</v>
      </c>
      <c r="O5084" s="1" t="str">
        <f t="shared" si="2074"/>
        <v>MYR</v>
      </c>
      <c r="P5084" s="1" t="str">
        <f t="shared" si="2082"/>
        <v>NIL</v>
      </c>
      <c r="Q5084" s="1" t="str">
        <f t="shared" si="2082"/>
        <v>NIL</v>
      </c>
      <c r="R5084" s="1" t="str">
        <f t="shared" si="2087"/>
        <v>Unsuccessful</v>
      </c>
      <c r="S5084" s="1" t="str">
        <f t="shared" si="2075"/>
        <v>Approved</v>
      </c>
      <c r="T5084" s="1" t="str">
        <f t="shared" si="2088"/>
        <v>10.20.201.88</v>
      </c>
      <c r="U5084" s="1" t="str">
        <f t="shared" si="2076"/>
        <v>AZRAD UMAR BIN SHAARI</v>
      </c>
      <c r="V5084" s="1" t="str">
        <f t="shared" si="2077"/>
        <v>FARHANA BINTI MUSTAPA</v>
      </c>
      <c r="W5084" s="1" t="str">
        <f t="shared" si="2078"/>
        <v>04-08-2020</v>
      </c>
      <c r="X5084" s="1" t="str">
        <f t="shared" si="2079"/>
        <v>RAZIMAH ANSAR AHMAD</v>
      </c>
      <c r="Y5084" s="1" t="str">
        <f t="shared" si="2080"/>
        <v>04-08-2020</v>
      </c>
      <c r="Z5084" s="1" t="str">
        <f>"COS10200804 4070"</f>
        <v>COS10200804 4070</v>
      </c>
    </row>
    <row r="5085" spans="1:26" s="1" customFormat="1" x14ac:dyDescent="0.25">
      <c r="A5085" s="1" t="str">
        <f t="shared" si="2085"/>
        <v>04-08-2020 12:48:13</v>
      </c>
      <c r="B5085" s="1" t="str">
        <f>"0000805847"</f>
        <v>0000805847</v>
      </c>
      <c r="C5085" s="1" t="str">
        <f t="shared" si="2086"/>
        <v>0000805778</v>
      </c>
      <c r="D5085" s="1" t="str">
        <f t="shared" si="2070"/>
        <v>73185</v>
      </c>
      <c r="E5085" s="1" t="str">
        <f t="shared" si="2071"/>
        <v>KFH-OPERATIONS DEPARTMENT</v>
      </c>
      <c r="F5085" s="1" t="str">
        <f t="shared" si="2072"/>
        <v>IBG</v>
      </c>
      <c r="G5085" s="1" t="str">
        <f t="shared" si="2083"/>
        <v>Refund COSHARE 10</v>
      </c>
      <c r="H5085" s="3">
        <v>84</v>
      </c>
      <c r="I5085" s="4" t="str">
        <f>"AMIRR ARIFF AZHAN BIN KARIM"</f>
        <v>AMIRR ARIFF AZHAN BIN KARIM</v>
      </c>
      <c r="J5085" s="1" t="str">
        <f t="shared" si="2084"/>
        <v>MAYBANK / MAYBANK ISLAMIC</v>
      </c>
      <c r="K5085" s="1" t="str">
        <f>"156132574378"</f>
        <v>156132574378</v>
      </c>
      <c r="L5085" s="1" t="str">
        <f t="shared" si="2081"/>
        <v>04-08-2020</v>
      </c>
      <c r="M5085" s="1" t="str">
        <f t="shared" si="2081"/>
        <v>04-08-2020</v>
      </c>
      <c r="N5085" s="1" t="str">
        <f t="shared" si="2073"/>
        <v>001105018356</v>
      </c>
      <c r="O5085" s="1" t="str">
        <f t="shared" si="2074"/>
        <v>MYR</v>
      </c>
      <c r="P5085" s="1" t="str">
        <f t="shared" si="2082"/>
        <v>NIL</v>
      </c>
      <c r="Q5085" s="1" t="str">
        <f t="shared" si="2082"/>
        <v>NIL</v>
      </c>
      <c r="R5085" s="1" t="str">
        <f t="shared" si="2087"/>
        <v>Unsuccessful</v>
      </c>
      <c r="S5085" s="1" t="str">
        <f t="shared" si="2075"/>
        <v>Approved</v>
      </c>
      <c r="T5085" s="1" t="str">
        <f t="shared" si="2088"/>
        <v>10.20.201.88</v>
      </c>
      <c r="U5085" s="1" t="str">
        <f t="shared" si="2076"/>
        <v>AZRAD UMAR BIN SHAARI</v>
      </c>
      <c r="V5085" s="1" t="str">
        <f t="shared" si="2077"/>
        <v>FARHANA BINTI MUSTAPA</v>
      </c>
      <c r="W5085" s="1" t="str">
        <f t="shared" si="2078"/>
        <v>04-08-2020</v>
      </c>
      <c r="X5085" s="1" t="str">
        <f t="shared" si="2079"/>
        <v>RAZIMAH ANSAR AHMAD</v>
      </c>
      <c r="Y5085" s="1" t="str">
        <f t="shared" si="2080"/>
        <v>04-08-2020</v>
      </c>
      <c r="Z5085" s="1" t="str">
        <f>"COS10200804 4069"</f>
        <v>COS10200804 4069</v>
      </c>
    </row>
    <row r="5086" spans="1:26" s="1" customFormat="1" x14ac:dyDescent="0.25">
      <c r="A5086" s="1" t="str">
        <f t="shared" si="2085"/>
        <v>04-08-2020 12:48:13</v>
      </c>
      <c r="B5086" s="1" t="str">
        <f>"0000805846"</f>
        <v>0000805846</v>
      </c>
      <c r="C5086" s="1" t="str">
        <f t="shared" si="2086"/>
        <v>0000805778</v>
      </c>
      <c r="D5086" s="1" t="str">
        <f t="shared" si="2070"/>
        <v>73185</v>
      </c>
      <c r="E5086" s="1" t="str">
        <f t="shared" si="2071"/>
        <v>KFH-OPERATIONS DEPARTMENT</v>
      </c>
      <c r="F5086" s="1" t="str">
        <f t="shared" si="2072"/>
        <v>IBG</v>
      </c>
      <c r="G5086" s="1" t="str">
        <f t="shared" si="2083"/>
        <v>Refund COSHARE 10</v>
      </c>
      <c r="H5086" s="3">
        <v>93</v>
      </c>
      <c r="I5086" s="4" t="str">
        <f>"AMIRA BINTI IDHAM"</f>
        <v>AMIRA BINTI IDHAM</v>
      </c>
      <c r="J5086" s="1" t="str">
        <f t="shared" si="2084"/>
        <v>MAYBANK / MAYBANK ISLAMIC</v>
      </c>
      <c r="K5086" s="1" t="str">
        <f>"162021263527"</f>
        <v>162021263527</v>
      </c>
      <c r="L5086" s="1" t="str">
        <f t="shared" si="2081"/>
        <v>04-08-2020</v>
      </c>
      <c r="M5086" s="1" t="str">
        <f t="shared" si="2081"/>
        <v>04-08-2020</v>
      </c>
      <c r="N5086" s="1" t="str">
        <f t="shared" si="2073"/>
        <v>001105018356</v>
      </c>
      <c r="O5086" s="1" t="str">
        <f t="shared" si="2074"/>
        <v>MYR</v>
      </c>
      <c r="P5086" s="1" t="str">
        <f t="shared" si="2082"/>
        <v>NIL</v>
      </c>
      <c r="Q5086" s="1" t="str">
        <f t="shared" si="2082"/>
        <v>NIL</v>
      </c>
      <c r="R5086" s="1" t="str">
        <f t="shared" si="2087"/>
        <v>Unsuccessful</v>
      </c>
      <c r="S5086" s="1" t="str">
        <f t="shared" si="2075"/>
        <v>Approved</v>
      </c>
      <c r="T5086" s="1" t="str">
        <f t="shared" si="2088"/>
        <v>10.20.201.88</v>
      </c>
      <c r="U5086" s="1" t="str">
        <f t="shared" si="2076"/>
        <v>AZRAD UMAR BIN SHAARI</v>
      </c>
      <c r="V5086" s="1" t="str">
        <f t="shared" si="2077"/>
        <v>FARHANA BINTI MUSTAPA</v>
      </c>
      <c r="W5086" s="1" t="str">
        <f t="shared" si="2078"/>
        <v>04-08-2020</v>
      </c>
      <c r="X5086" s="1" t="str">
        <f t="shared" si="2079"/>
        <v>RAZIMAH ANSAR AHMAD</v>
      </c>
      <c r="Y5086" s="1" t="str">
        <f t="shared" si="2080"/>
        <v>04-08-2020</v>
      </c>
      <c r="Z5086" s="1" t="str">
        <f>"COS10200804 4068"</f>
        <v>COS10200804 4068</v>
      </c>
    </row>
    <row r="5087" spans="1:26" s="1" customFormat="1" x14ac:dyDescent="0.25">
      <c r="A5087" s="1" t="str">
        <f t="shared" si="2085"/>
        <v>04-08-2020 12:48:13</v>
      </c>
      <c r="B5087" s="1" t="str">
        <f>"0000805845"</f>
        <v>0000805845</v>
      </c>
      <c r="C5087" s="1" t="str">
        <f t="shared" si="2086"/>
        <v>0000805778</v>
      </c>
      <c r="D5087" s="1" t="str">
        <f t="shared" si="2070"/>
        <v>73185</v>
      </c>
      <c r="E5087" s="1" t="str">
        <f t="shared" si="2071"/>
        <v>KFH-OPERATIONS DEPARTMENT</v>
      </c>
      <c r="F5087" s="1" t="str">
        <f t="shared" si="2072"/>
        <v>IBG</v>
      </c>
      <c r="G5087" s="1" t="str">
        <f t="shared" si="2083"/>
        <v>Refund COSHARE 10</v>
      </c>
      <c r="H5087" s="3">
        <v>965.45</v>
      </c>
      <c r="I5087" s="4" t="str">
        <f>"AMIRA BINTI ABU HASSAN"</f>
        <v>AMIRA BINTI ABU HASSAN</v>
      </c>
      <c r="J5087" s="1" t="str">
        <f t="shared" si="2084"/>
        <v>MAYBANK / MAYBANK ISLAMIC</v>
      </c>
      <c r="K5087" s="1" t="str">
        <f>"162236592824"</f>
        <v>162236592824</v>
      </c>
      <c r="L5087" s="1" t="str">
        <f t="shared" ref="L5087:M5106" si="2089">"04-08-2020"</f>
        <v>04-08-2020</v>
      </c>
      <c r="M5087" s="1" t="str">
        <f t="shared" si="2089"/>
        <v>04-08-2020</v>
      </c>
      <c r="N5087" s="1" t="str">
        <f t="shared" si="2073"/>
        <v>001105018356</v>
      </c>
      <c r="O5087" s="1" t="str">
        <f t="shared" si="2074"/>
        <v>MYR</v>
      </c>
      <c r="P5087" s="1" t="str">
        <f t="shared" ref="P5087:Q5106" si="2090">"NIL"</f>
        <v>NIL</v>
      </c>
      <c r="Q5087" s="1" t="str">
        <f t="shared" si="2090"/>
        <v>NIL</v>
      </c>
      <c r="R5087" s="1" t="str">
        <f t="shared" si="2087"/>
        <v>Unsuccessful</v>
      </c>
      <c r="S5087" s="1" t="str">
        <f t="shared" si="2075"/>
        <v>Approved</v>
      </c>
      <c r="T5087" s="1" t="str">
        <f t="shared" si="2088"/>
        <v>10.20.201.88</v>
      </c>
      <c r="U5087" s="1" t="str">
        <f t="shared" si="2076"/>
        <v>AZRAD UMAR BIN SHAARI</v>
      </c>
      <c r="V5087" s="1" t="str">
        <f t="shared" si="2077"/>
        <v>FARHANA BINTI MUSTAPA</v>
      </c>
      <c r="W5087" s="1" t="str">
        <f t="shared" si="2078"/>
        <v>04-08-2020</v>
      </c>
      <c r="X5087" s="1" t="str">
        <f t="shared" si="2079"/>
        <v>RAZIMAH ANSAR AHMAD</v>
      </c>
      <c r="Y5087" s="1" t="str">
        <f t="shared" si="2080"/>
        <v>04-08-2020</v>
      </c>
      <c r="Z5087" s="1" t="str">
        <f>"COS10200804 4067"</f>
        <v>COS10200804 4067</v>
      </c>
    </row>
    <row r="5088" spans="1:26" s="1" customFormat="1" x14ac:dyDescent="0.25">
      <c r="A5088" s="1" t="str">
        <f t="shared" si="2085"/>
        <v>04-08-2020 12:48:13</v>
      </c>
      <c r="B5088" s="1" t="str">
        <f>"0000805844"</f>
        <v>0000805844</v>
      </c>
      <c r="C5088" s="1" t="str">
        <f t="shared" si="2086"/>
        <v>0000805778</v>
      </c>
      <c r="D5088" s="1" t="str">
        <f t="shared" si="2070"/>
        <v>73185</v>
      </c>
      <c r="E5088" s="1" t="str">
        <f t="shared" si="2071"/>
        <v>KFH-OPERATIONS DEPARTMENT</v>
      </c>
      <c r="F5088" s="1" t="str">
        <f t="shared" si="2072"/>
        <v>IBG</v>
      </c>
      <c r="G5088" s="1" t="str">
        <f t="shared" si="2083"/>
        <v>Refund COSHARE 10</v>
      </c>
      <c r="H5088" s="3">
        <v>122</v>
      </c>
      <c r="I5088" s="4" t="str">
        <f>"AMIRA ARJUNA BINTI AB HAMID"</f>
        <v>AMIRA ARJUNA BINTI AB HAMID</v>
      </c>
      <c r="J5088" s="1" t="str">
        <f t="shared" si="2084"/>
        <v>MAYBANK / MAYBANK ISLAMIC</v>
      </c>
      <c r="K5088" s="1" t="str">
        <f>"153038960263"</f>
        <v>153038960263</v>
      </c>
      <c r="L5088" s="1" t="str">
        <f t="shared" si="2089"/>
        <v>04-08-2020</v>
      </c>
      <c r="M5088" s="1" t="str">
        <f t="shared" si="2089"/>
        <v>04-08-2020</v>
      </c>
      <c r="N5088" s="1" t="str">
        <f t="shared" si="2073"/>
        <v>001105018356</v>
      </c>
      <c r="O5088" s="1" t="str">
        <f t="shared" si="2074"/>
        <v>MYR</v>
      </c>
      <c r="P5088" s="1" t="str">
        <f t="shared" si="2090"/>
        <v>NIL</v>
      </c>
      <c r="Q5088" s="1" t="str">
        <f t="shared" si="2090"/>
        <v>NIL</v>
      </c>
      <c r="R5088" s="1" t="str">
        <f t="shared" si="2087"/>
        <v>Unsuccessful</v>
      </c>
      <c r="S5088" s="1" t="str">
        <f t="shared" si="2075"/>
        <v>Approved</v>
      </c>
      <c r="T5088" s="1" t="str">
        <f t="shared" si="2088"/>
        <v>10.20.201.88</v>
      </c>
      <c r="U5088" s="1" t="str">
        <f t="shared" si="2076"/>
        <v>AZRAD UMAR BIN SHAARI</v>
      </c>
      <c r="V5088" s="1" t="str">
        <f t="shared" si="2077"/>
        <v>FARHANA BINTI MUSTAPA</v>
      </c>
      <c r="W5088" s="1" t="str">
        <f t="shared" si="2078"/>
        <v>04-08-2020</v>
      </c>
      <c r="X5088" s="1" t="str">
        <f t="shared" si="2079"/>
        <v>RAZIMAH ANSAR AHMAD</v>
      </c>
      <c r="Y5088" s="1" t="str">
        <f t="shared" si="2080"/>
        <v>04-08-2020</v>
      </c>
      <c r="Z5088" s="1" t="str">
        <f>"COS10200804 4066"</f>
        <v>COS10200804 4066</v>
      </c>
    </row>
    <row r="5089" spans="1:26" s="1" customFormat="1" x14ac:dyDescent="0.25">
      <c r="A5089" s="1" t="str">
        <f t="shared" si="2085"/>
        <v>04-08-2020 12:48:13</v>
      </c>
      <c r="B5089" s="1" t="str">
        <f>"0000805843"</f>
        <v>0000805843</v>
      </c>
      <c r="C5089" s="1" t="str">
        <f t="shared" si="2086"/>
        <v>0000805778</v>
      </c>
      <c r="D5089" s="1" t="str">
        <f t="shared" si="2070"/>
        <v>73185</v>
      </c>
      <c r="E5089" s="1" t="str">
        <f t="shared" si="2071"/>
        <v>KFH-OPERATIONS DEPARTMENT</v>
      </c>
      <c r="F5089" s="1" t="str">
        <f t="shared" si="2072"/>
        <v>IBG</v>
      </c>
      <c r="G5089" s="1" t="str">
        <f t="shared" si="2083"/>
        <v>Refund COSHARE 10</v>
      </c>
      <c r="H5089" s="3">
        <v>839.5</v>
      </c>
      <c r="I5089" s="4" t="str">
        <f>"AMIR HAMZAH BIN HASAN"</f>
        <v>AMIR HAMZAH BIN HASAN</v>
      </c>
      <c r="J5089" s="1" t="str">
        <f t="shared" si="2084"/>
        <v>MAYBANK / MAYBANK ISLAMIC</v>
      </c>
      <c r="K5089" s="1" t="str">
        <f>"106128088358"</f>
        <v>106128088358</v>
      </c>
      <c r="L5089" s="1" t="str">
        <f t="shared" si="2089"/>
        <v>04-08-2020</v>
      </c>
      <c r="M5089" s="1" t="str">
        <f t="shared" si="2089"/>
        <v>04-08-2020</v>
      </c>
      <c r="N5089" s="1" t="str">
        <f t="shared" si="2073"/>
        <v>001105018356</v>
      </c>
      <c r="O5089" s="1" t="str">
        <f t="shared" si="2074"/>
        <v>MYR</v>
      </c>
      <c r="P5089" s="1" t="str">
        <f t="shared" si="2090"/>
        <v>NIL</v>
      </c>
      <c r="Q5089" s="1" t="str">
        <f t="shared" si="2090"/>
        <v>NIL</v>
      </c>
      <c r="R5089" s="1" t="str">
        <f t="shared" si="2087"/>
        <v>Unsuccessful</v>
      </c>
      <c r="S5089" s="1" t="str">
        <f t="shared" si="2075"/>
        <v>Approved</v>
      </c>
      <c r="T5089" s="1" t="str">
        <f t="shared" si="2088"/>
        <v>10.20.201.88</v>
      </c>
      <c r="U5089" s="1" t="str">
        <f t="shared" si="2076"/>
        <v>AZRAD UMAR BIN SHAARI</v>
      </c>
      <c r="V5089" s="1" t="str">
        <f t="shared" si="2077"/>
        <v>FARHANA BINTI MUSTAPA</v>
      </c>
      <c r="W5089" s="1" t="str">
        <f t="shared" si="2078"/>
        <v>04-08-2020</v>
      </c>
      <c r="X5089" s="1" t="str">
        <f t="shared" si="2079"/>
        <v>RAZIMAH ANSAR AHMAD</v>
      </c>
      <c r="Y5089" s="1" t="str">
        <f t="shared" si="2080"/>
        <v>04-08-2020</v>
      </c>
      <c r="Z5089" s="1" t="str">
        <f>"COS10200804 4065"</f>
        <v>COS10200804 4065</v>
      </c>
    </row>
    <row r="5090" spans="1:26" s="1" customFormat="1" x14ac:dyDescent="0.25">
      <c r="A5090" s="1" t="str">
        <f t="shared" si="2085"/>
        <v>04-08-2020 12:48:13</v>
      </c>
      <c r="B5090" s="1" t="str">
        <f>"0000805842"</f>
        <v>0000805842</v>
      </c>
      <c r="C5090" s="1" t="str">
        <f t="shared" si="2086"/>
        <v>0000805778</v>
      </c>
      <c r="D5090" s="1" t="str">
        <f t="shared" si="2070"/>
        <v>73185</v>
      </c>
      <c r="E5090" s="1" t="str">
        <f t="shared" si="2071"/>
        <v>KFH-OPERATIONS DEPARTMENT</v>
      </c>
      <c r="F5090" s="1" t="str">
        <f t="shared" si="2072"/>
        <v>IBG</v>
      </c>
      <c r="G5090" s="1" t="str">
        <f t="shared" si="2083"/>
        <v>Refund COSHARE 10</v>
      </c>
      <c r="H5090" s="3">
        <v>151.15</v>
      </c>
      <c r="I5090" s="4" t="str">
        <f>"AMIR HAMZAH  BIN MOHAMED"</f>
        <v>AMIR HAMZAH  BIN MOHAMED</v>
      </c>
      <c r="J5090" s="1" t="str">
        <f t="shared" si="2084"/>
        <v>MAYBANK / MAYBANK ISLAMIC</v>
      </c>
      <c r="K5090" s="1" t="str">
        <f>"166010037411"</f>
        <v>166010037411</v>
      </c>
      <c r="L5090" s="1" t="str">
        <f t="shared" si="2089"/>
        <v>04-08-2020</v>
      </c>
      <c r="M5090" s="1" t="str">
        <f t="shared" si="2089"/>
        <v>04-08-2020</v>
      </c>
      <c r="N5090" s="1" t="str">
        <f t="shared" si="2073"/>
        <v>001105018356</v>
      </c>
      <c r="O5090" s="1" t="str">
        <f t="shared" si="2074"/>
        <v>MYR</v>
      </c>
      <c r="P5090" s="1" t="str">
        <f t="shared" si="2090"/>
        <v>NIL</v>
      </c>
      <c r="Q5090" s="1" t="str">
        <f t="shared" si="2090"/>
        <v>NIL</v>
      </c>
      <c r="R5090" s="1" t="str">
        <f t="shared" si="2087"/>
        <v>Unsuccessful</v>
      </c>
      <c r="S5090" s="1" t="str">
        <f t="shared" si="2075"/>
        <v>Approved</v>
      </c>
      <c r="T5090" s="1" t="str">
        <f t="shared" si="2088"/>
        <v>10.20.201.88</v>
      </c>
      <c r="U5090" s="1" t="str">
        <f t="shared" si="2076"/>
        <v>AZRAD UMAR BIN SHAARI</v>
      </c>
      <c r="V5090" s="1" t="str">
        <f t="shared" si="2077"/>
        <v>FARHANA BINTI MUSTAPA</v>
      </c>
      <c r="W5090" s="1" t="str">
        <f t="shared" si="2078"/>
        <v>04-08-2020</v>
      </c>
      <c r="X5090" s="1" t="str">
        <f t="shared" si="2079"/>
        <v>RAZIMAH ANSAR AHMAD</v>
      </c>
      <c r="Y5090" s="1" t="str">
        <f t="shared" si="2080"/>
        <v>04-08-2020</v>
      </c>
      <c r="Z5090" s="1" t="str">
        <f>"COS10200804 4064"</f>
        <v>COS10200804 4064</v>
      </c>
    </row>
    <row r="5091" spans="1:26" s="1" customFormat="1" x14ac:dyDescent="0.25">
      <c r="A5091" s="1" t="str">
        <f t="shared" si="2085"/>
        <v>04-08-2020 12:48:13</v>
      </c>
      <c r="B5091" s="1" t="str">
        <f>"0000805841"</f>
        <v>0000805841</v>
      </c>
      <c r="C5091" s="1" t="str">
        <f t="shared" si="2086"/>
        <v>0000805778</v>
      </c>
      <c r="D5091" s="1" t="str">
        <f t="shared" si="2070"/>
        <v>73185</v>
      </c>
      <c r="E5091" s="1" t="str">
        <f t="shared" si="2071"/>
        <v>KFH-OPERATIONS DEPARTMENT</v>
      </c>
      <c r="F5091" s="1" t="str">
        <f t="shared" si="2072"/>
        <v>IBG</v>
      </c>
      <c r="G5091" s="1" t="str">
        <f t="shared" si="2083"/>
        <v>Refund COSHARE 10</v>
      </c>
      <c r="H5091" s="3">
        <v>419.75</v>
      </c>
      <c r="I5091" s="4" t="str">
        <f>"AMIR FALIQ BIN BOSTANOORDIN"</f>
        <v>AMIR FALIQ BIN BOSTANOORDIN</v>
      </c>
      <c r="J5091" s="1" t="str">
        <f t="shared" si="2084"/>
        <v>MAYBANK / MAYBANK ISLAMIC</v>
      </c>
      <c r="K5091" s="1" t="str">
        <f>"151061681441"</f>
        <v>151061681441</v>
      </c>
      <c r="L5091" s="1" t="str">
        <f t="shared" si="2089"/>
        <v>04-08-2020</v>
      </c>
      <c r="M5091" s="1" t="str">
        <f t="shared" si="2089"/>
        <v>04-08-2020</v>
      </c>
      <c r="N5091" s="1" t="str">
        <f t="shared" si="2073"/>
        <v>001105018356</v>
      </c>
      <c r="O5091" s="1" t="str">
        <f t="shared" si="2074"/>
        <v>MYR</v>
      </c>
      <c r="P5091" s="1" t="str">
        <f t="shared" si="2090"/>
        <v>NIL</v>
      </c>
      <c r="Q5091" s="1" t="str">
        <f t="shared" si="2090"/>
        <v>NIL</v>
      </c>
      <c r="R5091" s="1" t="str">
        <f t="shared" si="2087"/>
        <v>Unsuccessful</v>
      </c>
      <c r="S5091" s="1" t="str">
        <f t="shared" si="2075"/>
        <v>Approved</v>
      </c>
      <c r="T5091" s="1" t="str">
        <f t="shared" si="2088"/>
        <v>10.20.201.88</v>
      </c>
      <c r="U5091" s="1" t="str">
        <f t="shared" si="2076"/>
        <v>AZRAD UMAR BIN SHAARI</v>
      </c>
      <c r="V5091" s="1" t="str">
        <f t="shared" si="2077"/>
        <v>FARHANA BINTI MUSTAPA</v>
      </c>
      <c r="W5091" s="1" t="str">
        <f t="shared" si="2078"/>
        <v>04-08-2020</v>
      </c>
      <c r="X5091" s="1" t="str">
        <f t="shared" si="2079"/>
        <v>RAZIMAH ANSAR AHMAD</v>
      </c>
      <c r="Y5091" s="1" t="str">
        <f t="shared" si="2080"/>
        <v>04-08-2020</v>
      </c>
      <c r="Z5091" s="1" t="str">
        <f>"COS10200804 4063"</f>
        <v>COS10200804 4063</v>
      </c>
    </row>
    <row r="5092" spans="1:26" s="1" customFormat="1" x14ac:dyDescent="0.25">
      <c r="A5092" s="1" t="str">
        <f t="shared" si="2085"/>
        <v>04-08-2020 12:48:13</v>
      </c>
      <c r="B5092" s="1" t="str">
        <f>"0000805840"</f>
        <v>0000805840</v>
      </c>
      <c r="C5092" s="1" t="str">
        <f t="shared" si="2086"/>
        <v>0000805778</v>
      </c>
      <c r="D5092" s="1" t="str">
        <f t="shared" si="2070"/>
        <v>73185</v>
      </c>
      <c r="E5092" s="1" t="str">
        <f t="shared" si="2071"/>
        <v>KFH-OPERATIONS DEPARTMENT</v>
      </c>
      <c r="F5092" s="1" t="str">
        <f t="shared" si="2072"/>
        <v>IBG</v>
      </c>
      <c r="G5092" s="1" t="str">
        <f t="shared" si="2083"/>
        <v>Refund COSHARE 10</v>
      </c>
      <c r="H5092" s="3">
        <v>1259.25</v>
      </c>
      <c r="I5092" s="4" t="str">
        <f>"AMIR FAIZAL BIN AHMAD"</f>
        <v>AMIR FAIZAL BIN AHMAD</v>
      </c>
      <c r="J5092" s="1" t="str">
        <f t="shared" si="2084"/>
        <v>MAYBANK / MAYBANK ISLAMIC</v>
      </c>
      <c r="K5092" s="1" t="str">
        <f>"114496006988"</f>
        <v>114496006988</v>
      </c>
      <c r="L5092" s="1" t="str">
        <f t="shared" si="2089"/>
        <v>04-08-2020</v>
      </c>
      <c r="M5092" s="1" t="str">
        <f t="shared" si="2089"/>
        <v>04-08-2020</v>
      </c>
      <c r="N5092" s="1" t="str">
        <f t="shared" si="2073"/>
        <v>001105018356</v>
      </c>
      <c r="O5092" s="1" t="str">
        <f t="shared" si="2074"/>
        <v>MYR</v>
      </c>
      <c r="P5092" s="1" t="str">
        <f t="shared" si="2090"/>
        <v>NIL</v>
      </c>
      <c r="Q5092" s="1" t="str">
        <f t="shared" si="2090"/>
        <v>NIL</v>
      </c>
      <c r="R5092" s="1" t="str">
        <f t="shared" si="2087"/>
        <v>Unsuccessful</v>
      </c>
      <c r="S5092" s="1" t="str">
        <f t="shared" si="2075"/>
        <v>Approved</v>
      </c>
      <c r="T5092" s="1" t="str">
        <f t="shared" si="2088"/>
        <v>10.20.201.88</v>
      </c>
      <c r="U5092" s="1" t="str">
        <f t="shared" si="2076"/>
        <v>AZRAD UMAR BIN SHAARI</v>
      </c>
      <c r="V5092" s="1" t="str">
        <f t="shared" si="2077"/>
        <v>FARHANA BINTI MUSTAPA</v>
      </c>
      <c r="W5092" s="1" t="str">
        <f t="shared" si="2078"/>
        <v>04-08-2020</v>
      </c>
      <c r="X5092" s="1" t="str">
        <f t="shared" si="2079"/>
        <v>RAZIMAH ANSAR AHMAD</v>
      </c>
      <c r="Y5092" s="1" t="str">
        <f t="shared" si="2080"/>
        <v>04-08-2020</v>
      </c>
      <c r="Z5092" s="1" t="str">
        <f>"COS10200804 4062"</f>
        <v>COS10200804 4062</v>
      </c>
    </row>
    <row r="5093" spans="1:26" s="1" customFormat="1" x14ac:dyDescent="0.25">
      <c r="A5093" s="1" t="str">
        <f t="shared" si="2085"/>
        <v>04-08-2020 12:48:13</v>
      </c>
      <c r="B5093" s="1" t="str">
        <f>"0000805839"</f>
        <v>0000805839</v>
      </c>
      <c r="C5093" s="1" t="str">
        <f t="shared" si="2086"/>
        <v>0000805778</v>
      </c>
      <c r="D5093" s="1" t="str">
        <f t="shared" si="2070"/>
        <v>73185</v>
      </c>
      <c r="E5093" s="1" t="str">
        <f t="shared" si="2071"/>
        <v>KFH-OPERATIONS DEPARTMENT</v>
      </c>
      <c r="F5093" s="1" t="str">
        <f t="shared" si="2072"/>
        <v>IBG</v>
      </c>
      <c r="G5093" s="1" t="str">
        <f t="shared" si="2083"/>
        <v>Refund COSHARE 10</v>
      </c>
      <c r="H5093" s="3">
        <v>151.15</v>
      </c>
      <c r="I5093" s="4" t="str">
        <f>"AMIR ALASYRAF BIN A BAKAR"</f>
        <v>AMIR ALASYRAF BIN A BAKAR</v>
      </c>
      <c r="J5093" s="1" t="str">
        <f t="shared" si="2084"/>
        <v>MAYBANK / MAYBANK ISLAMIC</v>
      </c>
      <c r="K5093" s="1" t="str">
        <f>"164100255592"</f>
        <v>164100255592</v>
      </c>
      <c r="L5093" s="1" t="str">
        <f t="shared" si="2089"/>
        <v>04-08-2020</v>
      </c>
      <c r="M5093" s="1" t="str">
        <f t="shared" si="2089"/>
        <v>04-08-2020</v>
      </c>
      <c r="N5093" s="1" t="str">
        <f t="shared" si="2073"/>
        <v>001105018356</v>
      </c>
      <c r="O5093" s="1" t="str">
        <f t="shared" si="2074"/>
        <v>MYR</v>
      </c>
      <c r="P5093" s="1" t="str">
        <f t="shared" si="2090"/>
        <v>NIL</v>
      </c>
      <c r="Q5093" s="1" t="str">
        <f t="shared" si="2090"/>
        <v>NIL</v>
      </c>
      <c r="R5093" s="1" t="str">
        <f t="shared" si="2087"/>
        <v>Unsuccessful</v>
      </c>
      <c r="S5093" s="1" t="str">
        <f t="shared" si="2075"/>
        <v>Approved</v>
      </c>
      <c r="T5093" s="1" t="str">
        <f t="shared" si="2088"/>
        <v>10.20.201.88</v>
      </c>
      <c r="U5093" s="1" t="str">
        <f t="shared" si="2076"/>
        <v>AZRAD UMAR BIN SHAARI</v>
      </c>
      <c r="V5093" s="1" t="str">
        <f t="shared" si="2077"/>
        <v>FARHANA BINTI MUSTAPA</v>
      </c>
      <c r="W5093" s="1" t="str">
        <f t="shared" si="2078"/>
        <v>04-08-2020</v>
      </c>
      <c r="X5093" s="1" t="str">
        <f t="shared" si="2079"/>
        <v>RAZIMAH ANSAR AHMAD</v>
      </c>
      <c r="Y5093" s="1" t="str">
        <f t="shared" si="2080"/>
        <v>04-08-2020</v>
      </c>
      <c r="Z5093" s="1" t="str">
        <f>"COS10200804 4061"</f>
        <v>COS10200804 4061</v>
      </c>
    </row>
    <row r="5094" spans="1:26" s="1" customFormat="1" x14ac:dyDescent="0.25">
      <c r="A5094" s="1" t="str">
        <f t="shared" si="2085"/>
        <v>04-08-2020 12:48:13</v>
      </c>
      <c r="B5094" s="1" t="str">
        <f>"0000805838"</f>
        <v>0000805838</v>
      </c>
      <c r="C5094" s="1" t="str">
        <f t="shared" si="2086"/>
        <v>0000805778</v>
      </c>
      <c r="D5094" s="1" t="str">
        <f t="shared" si="2070"/>
        <v>73185</v>
      </c>
      <c r="E5094" s="1" t="str">
        <f t="shared" si="2071"/>
        <v>KFH-OPERATIONS DEPARTMENT</v>
      </c>
      <c r="F5094" s="1" t="str">
        <f t="shared" si="2072"/>
        <v>IBG</v>
      </c>
      <c r="G5094" s="1" t="str">
        <f t="shared" si="2083"/>
        <v>Refund COSHARE 10</v>
      </c>
      <c r="H5094" s="3">
        <v>587.65</v>
      </c>
      <c r="I5094" s="4" t="str">
        <f>"AMINULRASHID BIN FAUZI RAHMAN  BAUDI"</f>
        <v>AMINULRASHID BIN FAUZI RAHMAN  BAUDI</v>
      </c>
      <c r="J5094" s="1" t="str">
        <f t="shared" si="2084"/>
        <v>MAYBANK / MAYBANK ISLAMIC</v>
      </c>
      <c r="K5094" s="1" t="str">
        <f>"160018626383"</f>
        <v>160018626383</v>
      </c>
      <c r="L5094" s="1" t="str">
        <f t="shared" si="2089"/>
        <v>04-08-2020</v>
      </c>
      <c r="M5094" s="1" t="str">
        <f t="shared" si="2089"/>
        <v>04-08-2020</v>
      </c>
      <c r="N5094" s="1" t="str">
        <f t="shared" si="2073"/>
        <v>001105018356</v>
      </c>
      <c r="O5094" s="1" t="str">
        <f t="shared" si="2074"/>
        <v>MYR</v>
      </c>
      <c r="P5094" s="1" t="str">
        <f t="shared" si="2090"/>
        <v>NIL</v>
      </c>
      <c r="Q5094" s="1" t="str">
        <f t="shared" si="2090"/>
        <v>NIL</v>
      </c>
      <c r="R5094" s="1" t="str">
        <f t="shared" si="2087"/>
        <v>Unsuccessful</v>
      </c>
      <c r="S5094" s="1" t="str">
        <f t="shared" si="2075"/>
        <v>Approved</v>
      </c>
      <c r="T5094" s="1" t="str">
        <f t="shared" si="2088"/>
        <v>10.20.201.88</v>
      </c>
      <c r="U5094" s="1" t="str">
        <f t="shared" si="2076"/>
        <v>AZRAD UMAR BIN SHAARI</v>
      </c>
      <c r="V5094" s="1" t="str">
        <f t="shared" si="2077"/>
        <v>FARHANA BINTI MUSTAPA</v>
      </c>
      <c r="W5094" s="1" t="str">
        <f t="shared" si="2078"/>
        <v>04-08-2020</v>
      </c>
      <c r="X5094" s="1" t="str">
        <f t="shared" si="2079"/>
        <v>RAZIMAH ANSAR AHMAD</v>
      </c>
      <c r="Y5094" s="1" t="str">
        <f t="shared" si="2080"/>
        <v>04-08-2020</v>
      </c>
      <c r="Z5094" s="1" t="str">
        <f>"COS10200804 4060"</f>
        <v>COS10200804 4060</v>
      </c>
    </row>
    <row r="5095" spans="1:26" s="1" customFormat="1" x14ac:dyDescent="0.25">
      <c r="A5095" s="1" t="str">
        <f t="shared" si="2085"/>
        <v>04-08-2020 12:48:13</v>
      </c>
      <c r="B5095" s="1" t="str">
        <f>"0000805837"</f>
        <v>0000805837</v>
      </c>
      <c r="C5095" s="1" t="str">
        <f t="shared" si="2086"/>
        <v>0000805778</v>
      </c>
      <c r="D5095" s="1" t="str">
        <f t="shared" si="2070"/>
        <v>73185</v>
      </c>
      <c r="E5095" s="1" t="str">
        <f t="shared" si="2071"/>
        <v>KFH-OPERATIONS DEPARTMENT</v>
      </c>
      <c r="F5095" s="1" t="str">
        <f t="shared" si="2072"/>
        <v>IBG</v>
      </c>
      <c r="G5095" s="1" t="str">
        <f t="shared" si="2083"/>
        <v>Refund COSHARE 10</v>
      </c>
      <c r="H5095" s="3">
        <v>196.5</v>
      </c>
      <c r="I5095" s="4" t="str">
        <f>"AMINUDDIN BIN ISMAIL"</f>
        <v>AMINUDDIN BIN ISMAIL</v>
      </c>
      <c r="J5095" s="1" t="str">
        <f t="shared" si="2084"/>
        <v>MAYBANK / MAYBANK ISLAMIC</v>
      </c>
      <c r="K5095" s="1" t="str">
        <f>"112268171795"</f>
        <v>112268171795</v>
      </c>
      <c r="L5095" s="1" t="str">
        <f t="shared" si="2089"/>
        <v>04-08-2020</v>
      </c>
      <c r="M5095" s="1" t="str">
        <f t="shared" si="2089"/>
        <v>04-08-2020</v>
      </c>
      <c r="N5095" s="1" t="str">
        <f t="shared" si="2073"/>
        <v>001105018356</v>
      </c>
      <c r="O5095" s="1" t="str">
        <f t="shared" si="2074"/>
        <v>MYR</v>
      </c>
      <c r="P5095" s="1" t="str">
        <f t="shared" si="2090"/>
        <v>NIL</v>
      </c>
      <c r="Q5095" s="1" t="str">
        <f t="shared" si="2090"/>
        <v>NIL</v>
      </c>
      <c r="R5095" s="1" t="str">
        <f t="shared" si="2087"/>
        <v>Unsuccessful</v>
      </c>
      <c r="S5095" s="1" t="str">
        <f t="shared" si="2075"/>
        <v>Approved</v>
      </c>
      <c r="T5095" s="1" t="str">
        <f t="shared" si="2088"/>
        <v>10.20.201.88</v>
      </c>
      <c r="U5095" s="1" t="str">
        <f t="shared" si="2076"/>
        <v>AZRAD UMAR BIN SHAARI</v>
      </c>
      <c r="V5095" s="1" t="str">
        <f t="shared" si="2077"/>
        <v>FARHANA BINTI MUSTAPA</v>
      </c>
      <c r="W5095" s="1" t="str">
        <f t="shared" si="2078"/>
        <v>04-08-2020</v>
      </c>
      <c r="X5095" s="1" t="str">
        <f t="shared" si="2079"/>
        <v>RAZIMAH ANSAR AHMAD</v>
      </c>
      <c r="Y5095" s="1" t="str">
        <f t="shared" si="2080"/>
        <v>04-08-2020</v>
      </c>
      <c r="Z5095" s="1" t="str">
        <f>"COS10200804 4059"</f>
        <v>COS10200804 4059</v>
      </c>
    </row>
    <row r="5096" spans="1:26" s="1" customFormat="1" x14ac:dyDescent="0.25">
      <c r="A5096" s="1" t="str">
        <f t="shared" si="2085"/>
        <v>04-08-2020 12:48:13</v>
      </c>
      <c r="B5096" s="1" t="str">
        <f>"0000805836"</f>
        <v>0000805836</v>
      </c>
      <c r="C5096" s="1" t="str">
        <f t="shared" si="2086"/>
        <v>0000805778</v>
      </c>
      <c r="D5096" s="1" t="str">
        <f t="shared" si="2070"/>
        <v>73185</v>
      </c>
      <c r="E5096" s="1" t="str">
        <f t="shared" si="2071"/>
        <v>KFH-OPERATIONS DEPARTMENT</v>
      </c>
      <c r="F5096" s="1" t="str">
        <f t="shared" si="2072"/>
        <v>IBG</v>
      </c>
      <c r="G5096" s="1" t="str">
        <f t="shared" si="2083"/>
        <v>Refund COSHARE 10</v>
      </c>
      <c r="H5096" s="3">
        <v>218</v>
      </c>
      <c r="I5096" s="4" t="str">
        <f>"AMINATULSAIZA BINTI SAAD"</f>
        <v>AMINATULSAIZA BINTI SAAD</v>
      </c>
      <c r="J5096" s="1" t="str">
        <f t="shared" si="2084"/>
        <v>MAYBANK / MAYBANK ISLAMIC</v>
      </c>
      <c r="K5096" s="1" t="str">
        <f>"162106518247"</f>
        <v>162106518247</v>
      </c>
      <c r="L5096" s="1" t="str">
        <f t="shared" si="2089"/>
        <v>04-08-2020</v>
      </c>
      <c r="M5096" s="1" t="str">
        <f t="shared" si="2089"/>
        <v>04-08-2020</v>
      </c>
      <c r="N5096" s="1" t="str">
        <f t="shared" si="2073"/>
        <v>001105018356</v>
      </c>
      <c r="O5096" s="1" t="str">
        <f t="shared" si="2074"/>
        <v>MYR</v>
      </c>
      <c r="P5096" s="1" t="str">
        <f t="shared" si="2090"/>
        <v>NIL</v>
      </c>
      <c r="Q5096" s="1" t="str">
        <f t="shared" si="2090"/>
        <v>NIL</v>
      </c>
      <c r="R5096" s="1" t="str">
        <f t="shared" si="2087"/>
        <v>Unsuccessful</v>
      </c>
      <c r="S5096" s="1" t="str">
        <f t="shared" si="2075"/>
        <v>Approved</v>
      </c>
      <c r="T5096" s="1" t="str">
        <f t="shared" si="2088"/>
        <v>10.20.201.88</v>
      </c>
      <c r="U5096" s="1" t="str">
        <f t="shared" si="2076"/>
        <v>AZRAD UMAR BIN SHAARI</v>
      </c>
      <c r="V5096" s="1" t="str">
        <f t="shared" si="2077"/>
        <v>FARHANA BINTI MUSTAPA</v>
      </c>
      <c r="W5096" s="1" t="str">
        <f t="shared" si="2078"/>
        <v>04-08-2020</v>
      </c>
      <c r="X5096" s="1" t="str">
        <f t="shared" si="2079"/>
        <v>RAZIMAH ANSAR AHMAD</v>
      </c>
      <c r="Y5096" s="1" t="str">
        <f t="shared" si="2080"/>
        <v>04-08-2020</v>
      </c>
      <c r="Z5096" s="1" t="str">
        <f>"COS10200804 4058"</f>
        <v>COS10200804 4058</v>
      </c>
    </row>
    <row r="5097" spans="1:26" s="1" customFormat="1" x14ac:dyDescent="0.25">
      <c r="A5097" s="1" t="str">
        <f t="shared" si="2085"/>
        <v>04-08-2020 12:48:13</v>
      </c>
      <c r="B5097" s="1" t="str">
        <f>"0000805835"</f>
        <v>0000805835</v>
      </c>
      <c r="C5097" s="1" t="str">
        <f t="shared" si="2086"/>
        <v>0000805778</v>
      </c>
      <c r="D5097" s="1" t="str">
        <f t="shared" si="2070"/>
        <v>73185</v>
      </c>
      <c r="E5097" s="1" t="str">
        <f t="shared" si="2071"/>
        <v>KFH-OPERATIONS DEPARTMENT</v>
      </c>
      <c r="F5097" s="1" t="str">
        <f t="shared" si="2072"/>
        <v>IBG</v>
      </c>
      <c r="G5097" s="1" t="str">
        <f t="shared" si="2083"/>
        <v>Refund COSHARE 10</v>
      </c>
      <c r="H5097" s="3">
        <v>56.3</v>
      </c>
      <c r="I5097" s="4" t="str">
        <f>"AMINAH BINTI BUJANG"</f>
        <v>AMINAH BINTI BUJANG</v>
      </c>
      <c r="J5097" s="1" t="str">
        <f t="shared" si="2084"/>
        <v>MAYBANK / MAYBANK ISLAMIC</v>
      </c>
      <c r="K5097" s="1" t="str">
        <f>"164276546435"</f>
        <v>164276546435</v>
      </c>
      <c r="L5097" s="1" t="str">
        <f t="shared" si="2089"/>
        <v>04-08-2020</v>
      </c>
      <c r="M5097" s="1" t="str">
        <f t="shared" si="2089"/>
        <v>04-08-2020</v>
      </c>
      <c r="N5097" s="1" t="str">
        <f t="shared" si="2073"/>
        <v>001105018356</v>
      </c>
      <c r="O5097" s="1" t="str">
        <f t="shared" si="2074"/>
        <v>MYR</v>
      </c>
      <c r="P5097" s="1" t="str">
        <f t="shared" si="2090"/>
        <v>NIL</v>
      </c>
      <c r="Q5097" s="1" t="str">
        <f t="shared" si="2090"/>
        <v>NIL</v>
      </c>
      <c r="R5097" s="1" t="str">
        <f t="shared" si="2087"/>
        <v>Unsuccessful</v>
      </c>
      <c r="S5097" s="1" t="str">
        <f t="shared" si="2075"/>
        <v>Approved</v>
      </c>
      <c r="T5097" s="1" t="str">
        <f t="shared" si="2088"/>
        <v>10.20.201.88</v>
      </c>
      <c r="U5097" s="1" t="str">
        <f t="shared" si="2076"/>
        <v>AZRAD UMAR BIN SHAARI</v>
      </c>
      <c r="V5097" s="1" t="str">
        <f t="shared" si="2077"/>
        <v>FARHANA BINTI MUSTAPA</v>
      </c>
      <c r="W5097" s="1" t="str">
        <f t="shared" si="2078"/>
        <v>04-08-2020</v>
      </c>
      <c r="X5097" s="1" t="str">
        <f t="shared" si="2079"/>
        <v>RAZIMAH ANSAR AHMAD</v>
      </c>
      <c r="Y5097" s="1" t="str">
        <f t="shared" si="2080"/>
        <v>04-08-2020</v>
      </c>
      <c r="Z5097" s="1" t="str">
        <f>"COS10200804 4057"</f>
        <v>COS10200804 4057</v>
      </c>
    </row>
    <row r="5098" spans="1:26" s="1" customFormat="1" x14ac:dyDescent="0.25">
      <c r="A5098" s="1" t="str">
        <f t="shared" si="2085"/>
        <v>04-08-2020 12:48:13</v>
      </c>
      <c r="B5098" s="1" t="str">
        <f>"0000805834"</f>
        <v>0000805834</v>
      </c>
      <c r="C5098" s="1" t="str">
        <f t="shared" si="2086"/>
        <v>0000805778</v>
      </c>
      <c r="D5098" s="1" t="str">
        <f t="shared" si="2070"/>
        <v>73185</v>
      </c>
      <c r="E5098" s="1" t="str">
        <f t="shared" si="2071"/>
        <v>KFH-OPERATIONS DEPARTMENT</v>
      </c>
      <c r="F5098" s="1" t="str">
        <f t="shared" si="2072"/>
        <v>IBG</v>
      </c>
      <c r="G5098" s="1" t="str">
        <f t="shared" si="2083"/>
        <v>Refund COSHARE 10</v>
      </c>
      <c r="H5098" s="3">
        <v>112.1</v>
      </c>
      <c r="I5098" s="4" t="str">
        <f>"AMINAH BINTI BERAHIM"</f>
        <v>AMINAH BINTI BERAHIM</v>
      </c>
      <c r="J5098" s="1" t="str">
        <f t="shared" si="2084"/>
        <v>MAYBANK / MAYBANK ISLAMIC</v>
      </c>
      <c r="K5098" s="1" t="str">
        <f>"158015093512"</f>
        <v>158015093512</v>
      </c>
      <c r="L5098" s="1" t="str">
        <f t="shared" si="2089"/>
        <v>04-08-2020</v>
      </c>
      <c r="M5098" s="1" t="str">
        <f t="shared" si="2089"/>
        <v>04-08-2020</v>
      </c>
      <c r="N5098" s="1" t="str">
        <f t="shared" si="2073"/>
        <v>001105018356</v>
      </c>
      <c r="O5098" s="1" t="str">
        <f t="shared" si="2074"/>
        <v>MYR</v>
      </c>
      <c r="P5098" s="1" t="str">
        <f t="shared" si="2090"/>
        <v>NIL</v>
      </c>
      <c r="Q5098" s="1" t="str">
        <f t="shared" si="2090"/>
        <v>NIL</v>
      </c>
      <c r="R5098" s="1" t="str">
        <f t="shared" si="2087"/>
        <v>Unsuccessful</v>
      </c>
      <c r="S5098" s="1" t="str">
        <f t="shared" si="2075"/>
        <v>Approved</v>
      </c>
      <c r="T5098" s="1" t="str">
        <f t="shared" si="2088"/>
        <v>10.20.201.88</v>
      </c>
      <c r="U5098" s="1" t="str">
        <f t="shared" si="2076"/>
        <v>AZRAD UMAR BIN SHAARI</v>
      </c>
      <c r="V5098" s="1" t="str">
        <f t="shared" si="2077"/>
        <v>FARHANA BINTI MUSTAPA</v>
      </c>
      <c r="W5098" s="1" t="str">
        <f t="shared" si="2078"/>
        <v>04-08-2020</v>
      </c>
      <c r="X5098" s="1" t="str">
        <f t="shared" si="2079"/>
        <v>RAZIMAH ANSAR AHMAD</v>
      </c>
      <c r="Y5098" s="1" t="str">
        <f t="shared" si="2080"/>
        <v>04-08-2020</v>
      </c>
      <c r="Z5098" s="1" t="str">
        <f>"COS10200804 4056"</f>
        <v>COS10200804 4056</v>
      </c>
    </row>
    <row r="5099" spans="1:26" s="1" customFormat="1" x14ac:dyDescent="0.25">
      <c r="A5099" s="1" t="str">
        <f t="shared" si="2085"/>
        <v>04-08-2020 12:48:13</v>
      </c>
      <c r="B5099" s="1" t="str">
        <f>"0000805833"</f>
        <v>0000805833</v>
      </c>
      <c r="C5099" s="1" t="str">
        <f t="shared" si="2086"/>
        <v>0000805778</v>
      </c>
      <c r="D5099" s="1" t="str">
        <f t="shared" si="2070"/>
        <v>73185</v>
      </c>
      <c r="E5099" s="1" t="str">
        <f t="shared" si="2071"/>
        <v>KFH-OPERATIONS DEPARTMENT</v>
      </c>
      <c r="F5099" s="1" t="str">
        <f t="shared" si="2072"/>
        <v>IBG</v>
      </c>
      <c r="G5099" s="1" t="str">
        <f t="shared" si="2083"/>
        <v>Refund COSHARE 10</v>
      </c>
      <c r="H5099" s="3">
        <v>203</v>
      </c>
      <c r="I5099" s="4" t="str">
        <f>"AMIN BIN MARAJUNI"</f>
        <v>AMIN BIN MARAJUNI</v>
      </c>
      <c r="J5099" s="1" t="str">
        <f t="shared" si="2084"/>
        <v>MAYBANK / MAYBANK ISLAMIC</v>
      </c>
      <c r="K5099" s="1" t="str">
        <f>"110031243262"</f>
        <v>110031243262</v>
      </c>
      <c r="L5099" s="1" t="str">
        <f t="shared" si="2089"/>
        <v>04-08-2020</v>
      </c>
      <c r="M5099" s="1" t="str">
        <f t="shared" si="2089"/>
        <v>04-08-2020</v>
      </c>
      <c r="N5099" s="1" t="str">
        <f t="shared" si="2073"/>
        <v>001105018356</v>
      </c>
      <c r="O5099" s="1" t="str">
        <f t="shared" si="2074"/>
        <v>MYR</v>
      </c>
      <c r="P5099" s="1" t="str">
        <f t="shared" si="2090"/>
        <v>NIL</v>
      </c>
      <c r="Q5099" s="1" t="str">
        <f t="shared" si="2090"/>
        <v>NIL</v>
      </c>
      <c r="R5099" s="1" t="str">
        <f t="shared" si="2087"/>
        <v>Unsuccessful</v>
      </c>
      <c r="S5099" s="1" t="str">
        <f t="shared" si="2075"/>
        <v>Approved</v>
      </c>
      <c r="T5099" s="1" t="str">
        <f t="shared" si="2088"/>
        <v>10.20.201.88</v>
      </c>
      <c r="U5099" s="1" t="str">
        <f t="shared" si="2076"/>
        <v>AZRAD UMAR BIN SHAARI</v>
      </c>
      <c r="V5099" s="1" t="str">
        <f t="shared" si="2077"/>
        <v>FARHANA BINTI MUSTAPA</v>
      </c>
      <c r="W5099" s="1" t="str">
        <f t="shared" si="2078"/>
        <v>04-08-2020</v>
      </c>
      <c r="X5099" s="1" t="str">
        <f t="shared" si="2079"/>
        <v>RAZIMAH ANSAR AHMAD</v>
      </c>
      <c r="Y5099" s="1" t="str">
        <f t="shared" si="2080"/>
        <v>04-08-2020</v>
      </c>
      <c r="Z5099" s="1" t="str">
        <f>"COS10200804 4055"</f>
        <v>COS10200804 4055</v>
      </c>
    </row>
    <row r="5100" spans="1:26" s="1" customFormat="1" x14ac:dyDescent="0.25">
      <c r="A5100" s="1" t="str">
        <f t="shared" si="2085"/>
        <v>04-08-2020 12:48:13</v>
      </c>
      <c r="B5100" s="1" t="str">
        <f>"0000805832"</f>
        <v>0000805832</v>
      </c>
      <c r="C5100" s="1" t="str">
        <f t="shared" si="2086"/>
        <v>0000805778</v>
      </c>
      <c r="D5100" s="1" t="str">
        <f t="shared" si="2070"/>
        <v>73185</v>
      </c>
      <c r="E5100" s="1" t="str">
        <f t="shared" si="2071"/>
        <v>KFH-OPERATIONS DEPARTMENT</v>
      </c>
      <c r="F5100" s="1" t="str">
        <f t="shared" si="2072"/>
        <v>IBG</v>
      </c>
      <c r="G5100" s="1" t="str">
        <f t="shared" si="2083"/>
        <v>Refund COSHARE 10</v>
      </c>
      <c r="H5100" s="3">
        <v>112.6</v>
      </c>
      <c r="I5100" s="4" t="str">
        <f>"AMILUDIN BIN MDSAHMIN  ARIFIN"</f>
        <v>AMILUDIN BIN MDSAHMIN  ARIFIN</v>
      </c>
      <c r="J5100" s="1" t="str">
        <f t="shared" si="2084"/>
        <v>MAYBANK / MAYBANK ISLAMIC</v>
      </c>
      <c r="K5100" s="1" t="str">
        <f>"101075278664"</f>
        <v>101075278664</v>
      </c>
      <c r="L5100" s="1" t="str">
        <f t="shared" si="2089"/>
        <v>04-08-2020</v>
      </c>
      <c r="M5100" s="1" t="str">
        <f t="shared" si="2089"/>
        <v>04-08-2020</v>
      </c>
      <c r="N5100" s="1" t="str">
        <f t="shared" si="2073"/>
        <v>001105018356</v>
      </c>
      <c r="O5100" s="1" t="str">
        <f t="shared" si="2074"/>
        <v>MYR</v>
      </c>
      <c r="P5100" s="1" t="str">
        <f t="shared" si="2090"/>
        <v>NIL</v>
      </c>
      <c r="Q5100" s="1" t="str">
        <f t="shared" si="2090"/>
        <v>NIL</v>
      </c>
      <c r="R5100" s="1" t="str">
        <f t="shared" si="2087"/>
        <v>Unsuccessful</v>
      </c>
      <c r="S5100" s="1" t="str">
        <f t="shared" si="2075"/>
        <v>Approved</v>
      </c>
      <c r="T5100" s="1" t="str">
        <f t="shared" si="2088"/>
        <v>10.20.201.88</v>
      </c>
      <c r="U5100" s="1" t="str">
        <f t="shared" si="2076"/>
        <v>AZRAD UMAR BIN SHAARI</v>
      </c>
      <c r="V5100" s="1" t="str">
        <f t="shared" si="2077"/>
        <v>FARHANA BINTI MUSTAPA</v>
      </c>
      <c r="W5100" s="1" t="str">
        <f t="shared" si="2078"/>
        <v>04-08-2020</v>
      </c>
      <c r="X5100" s="1" t="str">
        <f t="shared" si="2079"/>
        <v>RAZIMAH ANSAR AHMAD</v>
      </c>
      <c r="Y5100" s="1" t="str">
        <f t="shared" si="2080"/>
        <v>04-08-2020</v>
      </c>
      <c r="Z5100" s="1" t="str">
        <f>"COS10200804 4054"</f>
        <v>COS10200804 4054</v>
      </c>
    </row>
    <row r="5101" spans="1:26" s="1" customFormat="1" x14ac:dyDescent="0.25">
      <c r="A5101" s="1" t="str">
        <f t="shared" si="2085"/>
        <v>04-08-2020 12:48:13</v>
      </c>
      <c r="B5101" s="1" t="str">
        <f>"0000805831"</f>
        <v>0000805831</v>
      </c>
      <c r="C5101" s="1" t="str">
        <f t="shared" si="2086"/>
        <v>0000805778</v>
      </c>
      <c r="D5101" s="1" t="str">
        <f t="shared" si="2070"/>
        <v>73185</v>
      </c>
      <c r="E5101" s="1" t="str">
        <f t="shared" si="2071"/>
        <v>KFH-OPERATIONS DEPARTMENT</v>
      </c>
      <c r="F5101" s="1" t="str">
        <f t="shared" si="2072"/>
        <v>IBG</v>
      </c>
      <c r="G5101" s="1" t="str">
        <f t="shared" si="2083"/>
        <v>Refund COSHARE 10</v>
      </c>
      <c r="H5101" s="3">
        <v>812</v>
      </c>
      <c r="I5101" s="4" t="str">
        <f>"AMBROSE LATIMBUN"</f>
        <v>AMBROSE LATIMBUN</v>
      </c>
      <c r="J5101" s="1" t="str">
        <f t="shared" si="2084"/>
        <v>MAYBANK / MAYBANK ISLAMIC</v>
      </c>
      <c r="K5101" s="1" t="str">
        <f>"110023041004"</f>
        <v>110023041004</v>
      </c>
      <c r="L5101" s="1" t="str">
        <f t="shared" si="2089"/>
        <v>04-08-2020</v>
      </c>
      <c r="M5101" s="1" t="str">
        <f t="shared" si="2089"/>
        <v>04-08-2020</v>
      </c>
      <c r="N5101" s="1" t="str">
        <f t="shared" si="2073"/>
        <v>001105018356</v>
      </c>
      <c r="O5101" s="1" t="str">
        <f t="shared" si="2074"/>
        <v>MYR</v>
      </c>
      <c r="P5101" s="1" t="str">
        <f t="shared" si="2090"/>
        <v>NIL</v>
      </c>
      <c r="Q5101" s="1" t="str">
        <f t="shared" si="2090"/>
        <v>NIL</v>
      </c>
      <c r="R5101" s="1" t="str">
        <f t="shared" si="2087"/>
        <v>Unsuccessful</v>
      </c>
      <c r="S5101" s="1" t="str">
        <f t="shared" si="2075"/>
        <v>Approved</v>
      </c>
      <c r="T5101" s="1" t="str">
        <f t="shared" si="2088"/>
        <v>10.20.201.88</v>
      </c>
      <c r="U5101" s="1" t="str">
        <f t="shared" si="2076"/>
        <v>AZRAD UMAR BIN SHAARI</v>
      </c>
      <c r="V5101" s="1" t="str">
        <f t="shared" si="2077"/>
        <v>FARHANA BINTI MUSTAPA</v>
      </c>
      <c r="W5101" s="1" t="str">
        <f t="shared" si="2078"/>
        <v>04-08-2020</v>
      </c>
      <c r="X5101" s="1" t="str">
        <f t="shared" si="2079"/>
        <v>RAZIMAH ANSAR AHMAD</v>
      </c>
      <c r="Y5101" s="1" t="str">
        <f t="shared" si="2080"/>
        <v>04-08-2020</v>
      </c>
      <c r="Z5101" s="1" t="str">
        <f>"COS10200804 4053"</f>
        <v>COS10200804 4053</v>
      </c>
    </row>
    <row r="5102" spans="1:26" s="1" customFormat="1" x14ac:dyDescent="0.25">
      <c r="A5102" s="1" t="str">
        <f t="shared" si="2085"/>
        <v>04-08-2020 12:48:13</v>
      </c>
      <c r="B5102" s="1" t="str">
        <f>"0000805830"</f>
        <v>0000805830</v>
      </c>
      <c r="C5102" s="1" t="str">
        <f t="shared" si="2086"/>
        <v>0000805778</v>
      </c>
      <c r="D5102" s="1" t="str">
        <f t="shared" si="2070"/>
        <v>73185</v>
      </c>
      <c r="E5102" s="1" t="str">
        <f t="shared" si="2071"/>
        <v>KFH-OPERATIONS DEPARTMENT</v>
      </c>
      <c r="F5102" s="1" t="str">
        <f t="shared" si="2072"/>
        <v>IBG</v>
      </c>
      <c r="G5102" s="1" t="str">
        <f t="shared" si="2083"/>
        <v>Refund COSHARE 10</v>
      </c>
      <c r="H5102" s="3">
        <v>982</v>
      </c>
      <c r="I5102" s="4" t="str">
        <f>"AMBROSE ANAK LUAK"</f>
        <v>AMBROSE ANAK LUAK</v>
      </c>
      <c r="J5102" s="1" t="str">
        <f t="shared" si="2084"/>
        <v>MAYBANK / MAYBANK ISLAMIC</v>
      </c>
      <c r="K5102" s="1" t="str">
        <f>"161118816824"</f>
        <v>161118816824</v>
      </c>
      <c r="L5102" s="1" t="str">
        <f t="shared" si="2089"/>
        <v>04-08-2020</v>
      </c>
      <c r="M5102" s="1" t="str">
        <f t="shared" si="2089"/>
        <v>04-08-2020</v>
      </c>
      <c r="N5102" s="1" t="str">
        <f t="shared" si="2073"/>
        <v>001105018356</v>
      </c>
      <c r="O5102" s="1" t="str">
        <f t="shared" si="2074"/>
        <v>MYR</v>
      </c>
      <c r="P5102" s="1" t="str">
        <f t="shared" si="2090"/>
        <v>NIL</v>
      </c>
      <c r="Q5102" s="1" t="str">
        <f t="shared" si="2090"/>
        <v>NIL</v>
      </c>
      <c r="R5102" s="1" t="str">
        <f t="shared" si="2087"/>
        <v>Unsuccessful</v>
      </c>
      <c r="S5102" s="1" t="str">
        <f t="shared" si="2075"/>
        <v>Approved</v>
      </c>
      <c r="T5102" s="1" t="str">
        <f t="shared" si="2088"/>
        <v>10.20.201.88</v>
      </c>
      <c r="U5102" s="1" t="str">
        <f t="shared" si="2076"/>
        <v>AZRAD UMAR BIN SHAARI</v>
      </c>
      <c r="V5102" s="1" t="str">
        <f t="shared" si="2077"/>
        <v>FARHANA BINTI MUSTAPA</v>
      </c>
      <c r="W5102" s="1" t="str">
        <f t="shared" si="2078"/>
        <v>04-08-2020</v>
      </c>
      <c r="X5102" s="1" t="str">
        <f t="shared" si="2079"/>
        <v>RAZIMAH ANSAR AHMAD</v>
      </c>
      <c r="Y5102" s="1" t="str">
        <f t="shared" si="2080"/>
        <v>04-08-2020</v>
      </c>
      <c r="Z5102" s="1" t="str">
        <f>"COS10200804 4052"</f>
        <v>COS10200804 4052</v>
      </c>
    </row>
    <row r="5103" spans="1:26" s="1" customFormat="1" x14ac:dyDescent="0.25">
      <c r="A5103" s="1" t="str">
        <f t="shared" si="2085"/>
        <v>04-08-2020 12:48:13</v>
      </c>
      <c r="B5103" s="1" t="str">
        <f>"0000805829"</f>
        <v>0000805829</v>
      </c>
      <c r="C5103" s="1" t="str">
        <f t="shared" si="2086"/>
        <v>0000805778</v>
      </c>
      <c r="D5103" s="1" t="str">
        <f t="shared" si="2070"/>
        <v>73185</v>
      </c>
      <c r="E5103" s="1" t="str">
        <f t="shared" si="2071"/>
        <v>KFH-OPERATIONS DEPARTMENT</v>
      </c>
      <c r="F5103" s="1" t="str">
        <f t="shared" si="2072"/>
        <v>IBG</v>
      </c>
      <c r="G5103" s="1" t="str">
        <f t="shared" si="2083"/>
        <v>Refund COSHARE 10</v>
      </c>
      <c r="H5103" s="3">
        <v>251.85</v>
      </c>
      <c r="I5103" s="4" t="str">
        <f>"AMBRI BIN MAT NAYAN"</f>
        <v>AMBRI BIN MAT NAYAN</v>
      </c>
      <c r="J5103" s="1" t="str">
        <f t="shared" si="2084"/>
        <v>MAYBANK / MAYBANK ISLAMIC</v>
      </c>
      <c r="K5103" s="1" t="str">
        <f>"158042584893"</f>
        <v>158042584893</v>
      </c>
      <c r="L5103" s="1" t="str">
        <f t="shared" si="2089"/>
        <v>04-08-2020</v>
      </c>
      <c r="M5103" s="1" t="str">
        <f t="shared" si="2089"/>
        <v>04-08-2020</v>
      </c>
      <c r="N5103" s="1" t="str">
        <f t="shared" si="2073"/>
        <v>001105018356</v>
      </c>
      <c r="O5103" s="1" t="str">
        <f t="shared" si="2074"/>
        <v>MYR</v>
      </c>
      <c r="P5103" s="1" t="str">
        <f t="shared" si="2090"/>
        <v>NIL</v>
      </c>
      <c r="Q5103" s="1" t="str">
        <f t="shared" si="2090"/>
        <v>NIL</v>
      </c>
      <c r="R5103" s="1" t="str">
        <f t="shared" si="2087"/>
        <v>Unsuccessful</v>
      </c>
      <c r="S5103" s="1" t="str">
        <f t="shared" si="2075"/>
        <v>Approved</v>
      </c>
      <c r="T5103" s="1" t="str">
        <f t="shared" si="2088"/>
        <v>10.20.201.88</v>
      </c>
      <c r="U5103" s="1" t="str">
        <f t="shared" si="2076"/>
        <v>AZRAD UMAR BIN SHAARI</v>
      </c>
      <c r="V5103" s="1" t="str">
        <f t="shared" si="2077"/>
        <v>FARHANA BINTI MUSTAPA</v>
      </c>
      <c r="W5103" s="1" t="str">
        <f t="shared" si="2078"/>
        <v>04-08-2020</v>
      </c>
      <c r="X5103" s="1" t="str">
        <f t="shared" si="2079"/>
        <v>RAZIMAH ANSAR AHMAD</v>
      </c>
      <c r="Y5103" s="1" t="str">
        <f t="shared" si="2080"/>
        <v>04-08-2020</v>
      </c>
      <c r="Z5103" s="1" t="str">
        <f>"COS10200804 4051"</f>
        <v>COS10200804 4051</v>
      </c>
    </row>
    <row r="5104" spans="1:26" s="1" customFormat="1" x14ac:dyDescent="0.25">
      <c r="A5104" s="1" t="str">
        <f t="shared" si="2085"/>
        <v>04-08-2020 12:48:13</v>
      </c>
      <c r="B5104" s="1" t="str">
        <f>"0000805828"</f>
        <v>0000805828</v>
      </c>
      <c r="C5104" s="1" t="str">
        <f t="shared" si="2086"/>
        <v>0000805778</v>
      </c>
      <c r="D5104" s="1" t="str">
        <f t="shared" si="2070"/>
        <v>73185</v>
      </c>
      <c r="E5104" s="1" t="str">
        <f t="shared" si="2071"/>
        <v>KFH-OPERATIONS DEPARTMENT</v>
      </c>
      <c r="F5104" s="1" t="str">
        <f t="shared" si="2072"/>
        <v>IBG</v>
      </c>
      <c r="G5104" s="1" t="str">
        <f t="shared" si="2083"/>
        <v>Refund COSHARE 10</v>
      </c>
      <c r="H5104" s="3">
        <v>1247</v>
      </c>
      <c r="I5104" s="4" t="str">
        <f>"AMARATHAM AP K SINAPPA"</f>
        <v>AMARATHAM AP K SINAPPA</v>
      </c>
      <c r="J5104" s="1" t="str">
        <f t="shared" si="2084"/>
        <v>MAYBANK / MAYBANK ISLAMIC</v>
      </c>
      <c r="K5104" s="1" t="str">
        <f>"101066759732"</f>
        <v>101066759732</v>
      </c>
      <c r="L5104" s="1" t="str">
        <f t="shared" si="2089"/>
        <v>04-08-2020</v>
      </c>
      <c r="M5104" s="1" t="str">
        <f t="shared" si="2089"/>
        <v>04-08-2020</v>
      </c>
      <c r="N5104" s="1" t="str">
        <f t="shared" si="2073"/>
        <v>001105018356</v>
      </c>
      <c r="O5104" s="1" t="str">
        <f t="shared" si="2074"/>
        <v>MYR</v>
      </c>
      <c r="P5104" s="1" t="str">
        <f t="shared" si="2090"/>
        <v>NIL</v>
      </c>
      <c r="Q5104" s="1" t="str">
        <f t="shared" si="2090"/>
        <v>NIL</v>
      </c>
      <c r="R5104" s="1" t="str">
        <f t="shared" si="2087"/>
        <v>Unsuccessful</v>
      </c>
      <c r="S5104" s="1" t="str">
        <f t="shared" si="2075"/>
        <v>Approved</v>
      </c>
      <c r="T5104" s="1" t="str">
        <f t="shared" si="2088"/>
        <v>10.20.201.88</v>
      </c>
      <c r="U5104" s="1" t="str">
        <f t="shared" si="2076"/>
        <v>AZRAD UMAR BIN SHAARI</v>
      </c>
      <c r="V5104" s="1" t="str">
        <f t="shared" si="2077"/>
        <v>FARHANA BINTI MUSTAPA</v>
      </c>
      <c r="W5104" s="1" t="str">
        <f t="shared" si="2078"/>
        <v>04-08-2020</v>
      </c>
      <c r="X5104" s="1" t="str">
        <f t="shared" si="2079"/>
        <v>RAZIMAH ANSAR AHMAD</v>
      </c>
      <c r="Y5104" s="1" t="str">
        <f t="shared" si="2080"/>
        <v>04-08-2020</v>
      </c>
      <c r="Z5104" s="1" t="str">
        <f>"COS10200804 4050"</f>
        <v>COS10200804 4050</v>
      </c>
    </row>
    <row r="5105" spans="1:26" s="1" customFormat="1" x14ac:dyDescent="0.25">
      <c r="A5105" s="1" t="str">
        <f t="shared" si="2085"/>
        <v>04-08-2020 12:48:13</v>
      </c>
      <c r="B5105" s="1" t="str">
        <f>"0000805827"</f>
        <v>0000805827</v>
      </c>
      <c r="C5105" s="1" t="str">
        <f t="shared" si="2086"/>
        <v>0000805778</v>
      </c>
      <c r="D5105" s="1" t="str">
        <f t="shared" si="2070"/>
        <v>73185</v>
      </c>
      <c r="E5105" s="1" t="str">
        <f t="shared" si="2071"/>
        <v>KFH-OPERATIONS DEPARTMENT</v>
      </c>
      <c r="F5105" s="1" t="str">
        <f t="shared" si="2072"/>
        <v>IBG</v>
      </c>
      <c r="G5105" s="1" t="str">
        <f t="shared" si="2083"/>
        <v>Refund COSHARE 10</v>
      </c>
      <c r="H5105" s="3">
        <v>839.5</v>
      </c>
      <c r="I5105" s="4" t="str">
        <f>"ALYUNIZAH BINTI ALIM"</f>
        <v>ALYUNIZAH BINTI ALIM</v>
      </c>
      <c r="J5105" s="1" t="str">
        <f t="shared" si="2084"/>
        <v>MAYBANK / MAYBANK ISLAMIC</v>
      </c>
      <c r="K5105" s="1" t="str">
        <f>"162106410658"</f>
        <v>162106410658</v>
      </c>
      <c r="L5105" s="1" t="str">
        <f t="shared" si="2089"/>
        <v>04-08-2020</v>
      </c>
      <c r="M5105" s="1" t="str">
        <f t="shared" si="2089"/>
        <v>04-08-2020</v>
      </c>
      <c r="N5105" s="1" t="str">
        <f t="shared" si="2073"/>
        <v>001105018356</v>
      </c>
      <c r="O5105" s="1" t="str">
        <f t="shared" si="2074"/>
        <v>MYR</v>
      </c>
      <c r="P5105" s="1" t="str">
        <f t="shared" si="2090"/>
        <v>NIL</v>
      </c>
      <c r="Q5105" s="1" t="str">
        <f t="shared" si="2090"/>
        <v>NIL</v>
      </c>
      <c r="R5105" s="1" t="str">
        <f t="shared" si="2087"/>
        <v>Unsuccessful</v>
      </c>
      <c r="S5105" s="1" t="str">
        <f t="shared" si="2075"/>
        <v>Approved</v>
      </c>
      <c r="T5105" s="1" t="str">
        <f t="shared" si="2088"/>
        <v>10.20.201.88</v>
      </c>
      <c r="U5105" s="1" t="str">
        <f t="shared" si="2076"/>
        <v>AZRAD UMAR BIN SHAARI</v>
      </c>
      <c r="V5105" s="1" t="str">
        <f t="shared" si="2077"/>
        <v>FARHANA BINTI MUSTAPA</v>
      </c>
      <c r="W5105" s="1" t="str">
        <f t="shared" si="2078"/>
        <v>04-08-2020</v>
      </c>
      <c r="X5105" s="1" t="str">
        <f t="shared" si="2079"/>
        <v>RAZIMAH ANSAR AHMAD</v>
      </c>
      <c r="Y5105" s="1" t="str">
        <f t="shared" si="2080"/>
        <v>04-08-2020</v>
      </c>
      <c r="Z5105" s="1" t="str">
        <f>"COS10200804 4049"</f>
        <v>COS10200804 4049</v>
      </c>
    </row>
    <row r="5106" spans="1:26" s="1" customFormat="1" x14ac:dyDescent="0.25">
      <c r="A5106" s="1" t="str">
        <f t="shared" si="2085"/>
        <v>04-08-2020 12:48:13</v>
      </c>
      <c r="B5106" s="1" t="str">
        <f>"0000805826"</f>
        <v>0000805826</v>
      </c>
      <c r="C5106" s="1" t="str">
        <f t="shared" si="2086"/>
        <v>0000805778</v>
      </c>
      <c r="D5106" s="1" t="str">
        <f t="shared" si="2070"/>
        <v>73185</v>
      </c>
      <c r="E5106" s="1" t="str">
        <f t="shared" si="2071"/>
        <v>KFH-OPERATIONS DEPARTMENT</v>
      </c>
      <c r="F5106" s="1" t="str">
        <f t="shared" si="2072"/>
        <v>IBG</v>
      </c>
      <c r="G5106" s="1" t="str">
        <f t="shared" si="2083"/>
        <v>Refund COSHARE 10</v>
      </c>
      <c r="H5106" s="3">
        <v>137.55000000000001</v>
      </c>
      <c r="I5106" s="4" t="str">
        <f>"ALMUJANI BIN ABDUL RAHMAN"</f>
        <v>ALMUJANI BIN ABDUL RAHMAN</v>
      </c>
      <c r="J5106" s="1" t="str">
        <f t="shared" si="2084"/>
        <v>MAYBANK / MAYBANK ISLAMIC</v>
      </c>
      <c r="K5106" s="1" t="str">
        <f>"164128551871"</f>
        <v>164128551871</v>
      </c>
      <c r="L5106" s="1" t="str">
        <f t="shared" si="2089"/>
        <v>04-08-2020</v>
      </c>
      <c r="M5106" s="1" t="str">
        <f t="shared" si="2089"/>
        <v>04-08-2020</v>
      </c>
      <c r="N5106" s="1" t="str">
        <f t="shared" si="2073"/>
        <v>001105018356</v>
      </c>
      <c r="O5106" s="1" t="str">
        <f t="shared" si="2074"/>
        <v>MYR</v>
      </c>
      <c r="P5106" s="1" t="str">
        <f t="shared" si="2090"/>
        <v>NIL</v>
      </c>
      <c r="Q5106" s="1" t="str">
        <f t="shared" si="2090"/>
        <v>NIL</v>
      </c>
      <c r="R5106" s="1" t="str">
        <f t="shared" si="2087"/>
        <v>Unsuccessful</v>
      </c>
      <c r="S5106" s="1" t="str">
        <f t="shared" si="2075"/>
        <v>Approved</v>
      </c>
      <c r="T5106" s="1" t="str">
        <f t="shared" si="2088"/>
        <v>10.20.201.88</v>
      </c>
      <c r="U5106" s="1" t="str">
        <f t="shared" si="2076"/>
        <v>AZRAD UMAR BIN SHAARI</v>
      </c>
      <c r="V5106" s="1" t="str">
        <f t="shared" si="2077"/>
        <v>FARHANA BINTI MUSTAPA</v>
      </c>
      <c r="W5106" s="1" t="str">
        <f t="shared" si="2078"/>
        <v>04-08-2020</v>
      </c>
      <c r="X5106" s="1" t="str">
        <f t="shared" si="2079"/>
        <v>RAZIMAH ANSAR AHMAD</v>
      </c>
      <c r="Y5106" s="1" t="str">
        <f t="shared" si="2080"/>
        <v>04-08-2020</v>
      </c>
      <c r="Z5106" s="1" t="str">
        <f>"COS10200804 4048"</f>
        <v>COS10200804 4048</v>
      </c>
    </row>
    <row r="5107" spans="1:26" s="1" customFormat="1" x14ac:dyDescent="0.25">
      <c r="A5107" s="1" t="str">
        <f t="shared" si="2085"/>
        <v>04-08-2020 12:48:13</v>
      </c>
      <c r="B5107" s="1" t="str">
        <f>"0000805825"</f>
        <v>0000805825</v>
      </c>
      <c r="C5107" s="1" t="str">
        <f t="shared" si="2086"/>
        <v>0000805778</v>
      </c>
      <c r="D5107" s="1" t="str">
        <f t="shared" si="2070"/>
        <v>73185</v>
      </c>
      <c r="E5107" s="1" t="str">
        <f t="shared" si="2071"/>
        <v>KFH-OPERATIONS DEPARTMENT</v>
      </c>
      <c r="F5107" s="1" t="str">
        <f t="shared" si="2072"/>
        <v>IBG</v>
      </c>
      <c r="G5107" s="1" t="str">
        <f t="shared" si="2083"/>
        <v>Refund COSHARE 10</v>
      </c>
      <c r="H5107" s="3">
        <v>302.25</v>
      </c>
      <c r="I5107" s="4" t="str">
        <f>"ALLIZATUL ADAWIYAH ABDULLAH"</f>
        <v>ALLIZATUL ADAWIYAH ABDULLAH</v>
      </c>
      <c r="J5107" s="1" t="str">
        <f t="shared" si="2084"/>
        <v>MAYBANK / MAYBANK ISLAMIC</v>
      </c>
      <c r="K5107" s="1" t="str">
        <f>"161051336370"</f>
        <v>161051336370</v>
      </c>
      <c r="L5107" s="1" t="str">
        <f t="shared" ref="L5107:M5126" si="2091">"04-08-2020"</f>
        <v>04-08-2020</v>
      </c>
      <c r="M5107" s="1" t="str">
        <f t="shared" si="2091"/>
        <v>04-08-2020</v>
      </c>
      <c r="N5107" s="1" t="str">
        <f t="shared" si="2073"/>
        <v>001105018356</v>
      </c>
      <c r="O5107" s="1" t="str">
        <f t="shared" si="2074"/>
        <v>MYR</v>
      </c>
      <c r="P5107" s="1" t="str">
        <f t="shared" ref="P5107:Q5126" si="2092">"NIL"</f>
        <v>NIL</v>
      </c>
      <c r="Q5107" s="1" t="str">
        <f t="shared" si="2092"/>
        <v>NIL</v>
      </c>
      <c r="R5107" s="1" t="str">
        <f t="shared" si="2087"/>
        <v>Unsuccessful</v>
      </c>
      <c r="S5107" s="1" t="str">
        <f t="shared" si="2075"/>
        <v>Approved</v>
      </c>
      <c r="T5107" s="1" t="str">
        <f t="shared" si="2088"/>
        <v>10.20.201.88</v>
      </c>
      <c r="U5107" s="1" t="str">
        <f t="shared" si="2076"/>
        <v>AZRAD UMAR BIN SHAARI</v>
      </c>
      <c r="V5107" s="1" t="str">
        <f t="shared" si="2077"/>
        <v>FARHANA BINTI MUSTAPA</v>
      </c>
      <c r="W5107" s="1" t="str">
        <f t="shared" si="2078"/>
        <v>04-08-2020</v>
      </c>
      <c r="X5107" s="1" t="str">
        <f t="shared" si="2079"/>
        <v>RAZIMAH ANSAR AHMAD</v>
      </c>
      <c r="Y5107" s="1" t="str">
        <f t="shared" si="2080"/>
        <v>04-08-2020</v>
      </c>
      <c r="Z5107" s="1" t="str">
        <f>"COS10200804 4047"</f>
        <v>COS10200804 4047</v>
      </c>
    </row>
    <row r="5108" spans="1:26" s="1" customFormat="1" x14ac:dyDescent="0.25">
      <c r="A5108" s="1" t="str">
        <f t="shared" si="2085"/>
        <v>04-08-2020 12:48:13</v>
      </c>
      <c r="B5108" s="1" t="str">
        <f>"0000805824"</f>
        <v>0000805824</v>
      </c>
      <c r="C5108" s="1" t="str">
        <f t="shared" si="2086"/>
        <v>0000805778</v>
      </c>
      <c r="D5108" s="1" t="str">
        <f t="shared" si="2070"/>
        <v>73185</v>
      </c>
      <c r="E5108" s="1" t="str">
        <f t="shared" si="2071"/>
        <v>KFH-OPERATIONS DEPARTMENT</v>
      </c>
      <c r="F5108" s="1" t="str">
        <f t="shared" si="2072"/>
        <v>IBG</v>
      </c>
      <c r="G5108" s="1" t="str">
        <f t="shared" si="2083"/>
        <v>Refund COSHARE 10</v>
      </c>
      <c r="H5108" s="3">
        <v>214.15</v>
      </c>
      <c r="I5108" s="4" t="str">
        <f>"ALLI UDIN BIN TASSIM"</f>
        <v>ALLI UDIN BIN TASSIM</v>
      </c>
      <c r="J5108" s="1" t="str">
        <f t="shared" si="2084"/>
        <v>MAYBANK / MAYBANK ISLAMIC</v>
      </c>
      <c r="K5108" s="1" t="str">
        <f>"111047177040"</f>
        <v>111047177040</v>
      </c>
      <c r="L5108" s="1" t="str">
        <f t="shared" si="2091"/>
        <v>04-08-2020</v>
      </c>
      <c r="M5108" s="1" t="str">
        <f t="shared" si="2091"/>
        <v>04-08-2020</v>
      </c>
      <c r="N5108" s="1" t="str">
        <f t="shared" si="2073"/>
        <v>001105018356</v>
      </c>
      <c r="O5108" s="1" t="str">
        <f t="shared" si="2074"/>
        <v>MYR</v>
      </c>
      <c r="P5108" s="1" t="str">
        <f t="shared" si="2092"/>
        <v>NIL</v>
      </c>
      <c r="Q5108" s="1" t="str">
        <f t="shared" si="2092"/>
        <v>NIL</v>
      </c>
      <c r="R5108" s="1" t="str">
        <f t="shared" si="2087"/>
        <v>Unsuccessful</v>
      </c>
      <c r="S5108" s="1" t="str">
        <f t="shared" si="2075"/>
        <v>Approved</v>
      </c>
      <c r="T5108" s="1" t="str">
        <f t="shared" si="2088"/>
        <v>10.20.201.88</v>
      </c>
      <c r="U5108" s="1" t="str">
        <f t="shared" si="2076"/>
        <v>AZRAD UMAR BIN SHAARI</v>
      </c>
      <c r="V5108" s="1" t="str">
        <f t="shared" si="2077"/>
        <v>FARHANA BINTI MUSTAPA</v>
      </c>
      <c r="W5108" s="1" t="str">
        <f t="shared" si="2078"/>
        <v>04-08-2020</v>
      </c>
      <c r="X5108" s="1" t="str">
        <f t="shared" si="2079"/>
        <v>RAZIMAH ANSAR AHMAD</v>
      </c>
      <c r="Y5108" s="1" t="str">
        <f t="shared" si="2080"/>
        <v>04-08-2020</v>
      </c>
      <c r="Z5108" s="1" t="str">
        <f>"COS10200804 4046"</f>
        <v>COS10200804 4046</v>
      </c>
    </row>
    <row r="5109" spans="1:26" s="1" customFormat="1" x14ac:dyDescent="0.25">
      <c r="A5109" s="1" t="str">
        <f t="shared" si="2085"/>
        <v>04-08-2020 12:48:13</v>
      </c>
      <c r="B5109" s="1" t="str">
        <f>"0000805823"</f>
        <v>0000805823</v>
      </c>
      <c r="C5109" s="1" t="str">
        <f t="shared" si="2086"/>
        <v>0000805778</v>
      </c>
      <c r="D5109" s="1" t="str">
        <f t="shared" si="2070"/>
        <v>73185</v>
      </c>
      <c r="E5109" s="1" t="str">
        <f t="shared" si="2071"/>
        <v>KFH-OPERATIONS DEPARTMENT</v>
      </c>
      <c r="F5109" s="1" t="str">
        <f t="shared" si="2072"/>
        <v>IBG</v>
      </c>
      <c r="G5109" s="1" t="str">
        <f t="shared" si="2083"/>
        <v>Refund COSHARE 10</v>
      </c>
      <c r="H5109" s="3">
        <v>1192.0999999999999</v>
      </c>
      <c r="I5109" s="4" t="str">
        <f>"ALLEXIUS BIN ESIT"</f>
        <v>ALLEXIUS BIN ESIT</v>
      </c>
      <c r="J5109" s="1" t="str">
        <f t="shared" si="2084"/>
        <v>MAYBANK / MAYBANK ISLAMIC</v>
      </c>
      <c r="K5109" s="1" t="str">
        <f>"164061711798"</f>
        <v>164061711798</v>
      </c>
      <c r="L5109" s="1" t="str">
        <f t="shared" si="2091"/>
        <v>04-08-2020</v>
      </c>
      <c r="M5109" s="1" t="str">
        <f t="shared" si="2091"/>
        <v>04-08-2020</v>
      </c>
      <c r="N5109" s="1" t="str">
        <f t="shared" si="2073"/>
        <v>001105018356</v>
      </c>
      <c r="O5109" s="1" t="str">
        <f t="shared" si="2074"/>
        <v>MYR</v>
      </c>
      <c r="P5109" s="1" t="str">
        <f t="shared" si="2092"/>
        <v>NIL</v>
      </c>
      <c r="Q5109" s="1" t="str">
        <f t="shared" si="2092"/>
        <v>NIL</v>
      </c>
      <c r="R5109" s="1" t="str">
        <f t="shared" si="2087"/>
        <v>Unsuccessful</v>
      </c>
      <c r="S5109" s="1" t="str">
        <f t="shared" si="2075"/>
        <v>Approved</v>
      </c>
      <c r="T5109" s="1" t="str">
        <f t="shared" si="2088"/>
        <v>10.20.201.88</v>
      </c>
      <c r="U5109" s="1" t="str">
        <f t="shared" si="2076"/>
        <v>AZRAD UMAR BIN SHAARI</v>
      </c>
      <c r="V5109" s="1" t="str">
        <f t="shared" si="2077"/>
        <v>FARHANA BINTI MUSTAPA</v>
      </c>
      <c r="W5109" s="1" t="str">
        <f t="shared" si="2078"/>
        <v>04-08-2020</v>
      </c>
      <c r="X5109" s="1" t="str">
        <f t="shared" si="2079"/>
        <v>RAZIMAH ANSAR AHMAD</v>
      </c>
      <c r="Y5109" s="1" t="str">
        <f t="shared" si="2080"/>
        <v>04-08-2020</v>
      </c>
      <c r="Z5109" s="1" t="str">
        <f>"COS10200804 4045"</f>
        <v>COS10200804 4045</v>
      </c>
    </row>
    <row r="5110" spans="1:26" s="1" customFormat="1" x14ac:dyDescent="0.25">
      <c r="A5110" s="1" t="str">
        <f t="shared" si="2085"/>
        <v>04-08-2020 12:48:13</v>
      </c>
      <c r="B5110" s="1" t="str">
        <f>"0000805822"</f>
        <v>0000805822</v>
      </c>
      <c r="C5110" s="1" t="str">
        <f t="shared" si="2086"/>
        <v>0000805778</v>
      </c>
      <c r="D5110" s="1" t="str">
        <f t="shared" si="2070"/>
        <v>73185</v>
      </c>
      <c r="E5110" s="1" t="str">
        <f t="shared" si="2071"/>
        <v>KFH-OPERATIONS DEPARTMENT</v>
      </c>
      <c r="F5110" s="1" t="str">
        <f t="shared" si="2072"/>
        <v>IBG</v>
      </c>
      <c r="G5110" s="1" t="str">
        <f t="shared" si="2083"/>
        <v>Refund COSHARE 10</v>
      </c>
      <c r="H5110" s="3">
        <v>1595.05</v>
      </c>
      <c r="I5110" s="4" t="str">
        <f>"ALIZAH WASLI"</f>
        <v>ALIZAH WASLI</v>
      </c>
      <c r="J5110" s="1" t="str">
        <f t="shared" si="2084"/>
        <v>MAYBANK / MAYBANK ISLAMIC</v>
      </c>
      <c r="K5110" s="1" t="str">
        <f>"160269084177"</f>
        <v>160269084177</v>
      </c>
      <c r="L5110" s="1" t="str">
        <f t="shared" si="2091"/>
        <v>04-08-2020</v>
      </c>
      <c r="M5110" s="1" t="str">
        <f t="shared" si="2091"/>
        <v>04-08-2020</v>
      </c>
      <c r="N5110" s="1" t="str">
        <f t="shared" si="2073"/>
        <v>001105018356</v>
      </c>
      <c r="O5110" s="1" t="str">
        <f t="shared" si="2074"/>
        <v>MYR</v>
      </c>
      <c r="P5110" s="1" t="str">
        <f t="shared" si="2092"/>
        <v>NIL</v>
      </c>
      <c r="Q5110" s="1" t="str">
        <f t="shared" si="2092"/>
        <v>NIL</v>
      </c>
      <c r="R5110" s="1" t="str">
        <f t="shared" si="2087"/>
        <v>Unsuccessful</v>
      </c>
      <c r="S5110" s="1" t="str">
        <f t="shared" si="2075"/>
        <v>Approved</v>
      </c>
      <c r="T5110" s="1" t="str">
        <f t="shared" si="2088"/>
        <v>10.20.201.88</v>
      </c>
      <c r="U5110" s="1" t="str">
        <f t="shared" si="2076"/>
        <v>AZRAD UMAR BIN SHAARI</v>
      </c>
      <c r="V5110" s="1" t="str">
        <f t="shared" si="2077"/>
        <v>FARHANA BINTI MUSTAPA</v>
      </c>
      <c r="W5110" s="1" t="str">
        <f t="shared" si="2078"/>
        <v>04-08-2020</v>
      </c>
      <c r="X5110" s="1" t="str">
        <f t="shared" si="2079"/>
        <v>RAZIMAH ANSAR AHMAD</v>
      </c>
      <c r="Y5110" s="1" t="str">
        <f t="shared" si="2080"/>
        <v>04-08-2020</v>
      </c>
      <c r="Z5110" s="1" t="str">
        <f>"COS10200804 4044"</f>
        <v>COS10200804 4044</v>
      </c>
    </row>
    <row r="5111" spans="1:26" s="1" customFormat="1" x14ac:dyDescent="0.25">
      <c r="A5111" s="1" t="str">
        <f t="shared" si="2085"/>
        <v>04-08-2020 12:48:13</v>
      </c>
      <c r="B5111" s="1" t="str">
        <f>"0000805821"</f>
        <v>0000805821</v>
      </c>
      <c r="C5111" s="1" t="str">
        <f t="shared" si="2086"/>
        <v>0000805778</v>
      </c>
      <c r="D5111" s="1" t="str">
        <f t="shared" si="2070"/>
        <v>73185</v>
      </c>
      <c r="E5111" s="1" t="str">
        <f t="shared" si="2071"/>
        <v>KFH-OPERATIONS DEPARTMENT</v>
      </c>
      <c r="F5111" s="1" t="str">
        <f t="shared" si="2072"/>
        <v>IBG</v>
      </c>
      <c r="G5111" s="1" t="str">
        <f t="shared" si="2083"/>
        <v>Refund COSHARE 10</v>
      </c>
      <c r="H5111" s="3">
        <v>84</v>
      </c>
      <c r="I5111" s="4" t="str">
        <f>"ALIZAH WASLI"</f>
        <v>ALIZAH WASLI</v>
      </c>
      <c r="J5111" s="1" t="str">
        <f t="shared" si="2084"/>
        <v>MAYBANK / MAYBANK ISLAMIC</v>
      </c>
      <c r="K5111" s="1" t="str">
        <f>"160269084177"</f>
        <v>160269084177</v>
      </c>
      <c r="L5111" s="1" t="str">
        <f t="shared" si="2091"/>
        <v>04-08-2020</v>
      </c>
      <c r="M5111" s="1" t="str">
        <f t="shared" si="2091"/>
        <v>04-08-2020</v>
      </c>
      <c r="N5111" s="1" t="str">
        <f t="shared" si="2073"/>
        <v>001105018356</v>
      </c>
      <c r="O5111" s="1" t="str">
        <f t="shared" si="2074"/>
        <v>MYR</v>
      </c>
      <c r="P5111" s="1" t="str">
        <f t="shared" si="2092"/>
        <v>NIL</v>
      </c>
      <c r="Q5111" s="1" t="str">
        <f t="shared" si="2092"/>
        <v>NIL</v>
      </c>
      <c r="R5111" s="1" t="str">
        <f t="shared" si="2087"/>
        <v>Unsuccessful</v>
      </c>
      <c r="S5111" s="1" t="str">
        <f t="shared" si="2075"/>
        <v>Approved</v>
      </c>
      <c r="T5111" s="1" t="str">
        <f t="shared" si="2088"/>
        <v>10.20.201.88</v>
      </c>
      <c r="U5111" s="1" t="str">
        <f t="shared" si="2076"/>
        <v>AZRAD UMAR BIN SHAARI</v>
      </c>
      <c r="V5111" s="1" t="str">
        <f t="shared" si="2077"/>
        <v>FARHANA BINTI MUSTAPA</v>
      </c>
      <c r="W5111" s="1" t="str">
        <f t="shared" si="2078"/>
        <v>04-08-2020</v>
      </c>
      <c r="X5111" s="1" t="str">
        <f t="shared" si="2079"/>
        <v>RAZIMAH ANSAR AHMAD</v>
      </c>
      <c r="Y5111" s="1" t="str">
        <f t="shared" si="2080"/>
        <v>04-08-2020</v>
      </c>
      <c r="Z5111" s="1" t="str">
        <f>"COS10200804 4043"</f>
        <v>COS10200804 4043</v>
      </c>
    </row>
    <row r="5112" spans="1:26" s="1" customFormat="1" x14ac:dyDescent="0.25">
      <c r="A5112" s="1" t="str">
        <f t="shared" si="2085"/>
        <v>04-08-2020 12:48:13</v>
      </c>
      <c r="B5112" s="1" t="str">
        <f>"0000805820"</f>
        <v>0000805820</v>
      </c>
      <c r="C5112" s="1" t="str">
        <f t="shared" si="2086"/>
        <v>0000805778</v>
      </c>
      <c r="D5112" s="1" t="str">
        <f t="shared" si="2070"/>
        <v>73185</v>
      </c>
      <c r="E5112" s="1" t="str">
        <f t="shared" si="2071"/>
        <v>KFH-OPERATIONS DEPARTMENT</v>
      </c>
      <c r="F5112" s="1" t="str">
        <f t="shared" si="2072"/>
        <v>IBG</v>
      </c>
      <c r="G5112" s="1" t="str">
        <f t="shared" si="2083"/>
        <v>Refund COSHARE 10</v>
      </c>
      <c r="H5112" s="3">
        <v>142.75</v>
      </c>
      <c r="I5112" s="4" t="str">
        <f>"ALIZA BINTI MAT SHARIF"</f>
        <v>ALIZA BINTI MAT SHARIF</v>
      </c>
      <c r="J5112" s="1" t="str">
        <f t="shared" si="2084"/>
        <v>MAYBANK / MAYBANK ISLAMIC</v>
      </c>
      <c r="K5112" s="1" t="str">
        <f>"114393083627"</f>
        <v>114393083627</v>
      </c>
      <c r="L5112" s="1" t="str">
        <f t="shared" si="2091"/>
        <v>04-08-2020</v>
      </c>
      <c r="M5112" s="1" t="str">
        <f t="shared" si="2091"/>
        <v>04-08-2020</v>
      </c>
      <c r="N5112" s="1" t="str">
        <f t="shared" si="2073"/>
        <v>001105018356</v>
      </c>
      <c r="O5112" s="1" t="str">
        <f t="shared" si="2074"/>
        <v>MYR</v>
      </c>
      <c r="P5112" s="1" t="str">
        <f t="shared" si="2092"/>
        <v>NIL</v>
      </c>
      <c r="Q5112" s="1" t="str">
        <f t="shared" si="2092"/>
        <v>NIL</v>
      </c>
      <c r="R5112" s="1" t="str">
        <f t="shared" si="2087"/>
        <v>Unsuccessful</v>
      </c>
      <c r="S5112" s="1" t="str">
        <f t="shared" si="2075"/>
        <v>Approved</v>
      </c>
      <c r="T5112" s="1" t="str">
        <f t="shared" si="2088"/>
        <v>10.20.201.88</v>
      </c>
      <c r="U5112" s="1" t="str">
        <f t="shared" si="2076"/>
        <v>AZRAD UMAR BIN SHAARI</v>
      </c>
      <c r="V5112" s="1" t="str">
        <f t="shared" si="2077"/>
        <v>FARHANA BINTI MUSTAPA</v>
      </c>
      <c r="W5112" s="1" t="str">
        <f t="shared" si="2078"/>
        <v>04-08-2020</v>
      </c>
      <c r="X5112" s="1" t="str">
        <f t="shared" si="2079"/>
        <v>RAZIMAH ANSAR AHMAD</v>
      </c>
      <c r="Y5112" s="1" t="str">
        <f t="shared" si="2080"/>
        <v>04-08-2020</v>
      </c>
      <c r="Z5112" s="1" t="str">
        <f>"COS10200804 4042"</f>
        <v>COS10200804 4042</v>
      </c>
    </row>
    <row r="5113" spans="1:26" s="1" customFormat="1" x14ac:dyDescent="0.25">
      <c r="A5113" s="1" t="str">
        <f t="shared" si="2085"/>
        <v>04-08-2020 12:48:13</v>
      </c>
      <c r="B5113" s="1" t="str">
        <f>"0000805819"</f>
        <v>0000805819</v>
      </c>
      <c r="C5113" s="1" t="str">
        <f t="shared" si="2086"/>
        <v>0000805778</v>
      </c>
      <c r="D5113" s="1" t="str">
        <f t="shared" si="2070"/>
        <v>73185</v>
      </c>
      <c r="E5113" s="1" t="str">
        <f t="shared" si="2071"/>
        <v>KFH-OPERATIONS DEPARTMENT</v>
      </c>
      <c r="F5113" s="1" t="str">
        <f t="shared" si="2072"/>
        <v>IBG</v>
      </c>
      <c r="G5113" s="1" t="str">
        <f t="shared" si="2083"/>
        <v>Refund COSHARE 10</v>
      </c>
      <c r="H5113" s="3">
        <v>607</v>
      </c>
      <c r="I5113" s="4" t="str">
        <f>"ALINEH BINTI RATININ"</f>
        <v>ALINEH BINTI RATININ</v>
      </c>
      <c r="J5113" s="1" t="str">
        <f t="shared" si="2084"/>
        <v>MAYBANK / MAYBANK ISLAMIC</v>
      </c>
      <c r="K5113" s="1" t="str">
        <f>"110031456836"</f>
        <v>110031456836</v>
      </c>
      <c r="L5113" s="1" t="str">
        <f t="shared" si="2091"/>
        <v>04-08-2020</v>
      </c>
      <c r="M5113" s="1" t="str">
        <f t="shared" si="2091"/>
        <v>04-08-2020</v>
      </c>
      <c r="N5113" s="1" t="str">
        <f t="shared" si="2073"/>
        <v>001105018356</v>
      </c>
      <c r="O5113" s="1" t="str">
        <f t="shared" si="2074"/>
        <v>MYR</v>
      </c>
      <c r="P5113" s="1" t="str">
        <f t="shared" si="2092"/>
        <v>NIL</v>
      </c>
      <c r="Q5113" s="1" t="str">
        <f t="shared" si="2092"/>
        <v>NIL</v>
      </c>
      <c r="R5113" s="1" t="str">
        <f t="shared" si="2087"/>
        <v>Unsuccessful</v>
      </c>
      <c r="S5113" s="1" t="str">
        <f t="shared" si="2075"/>
        <v>Approved</v>
      </c>
      <c r="T5113" s="1" t="str">
        <f t="shared" si="2088"/>
        <v>10.20.201.88</v>
      </c>
      <c r="U5113" s="1" t="str">
        <f t="shared" si="2076"/>
        <v>AZRAD UMAR BIN SHAARI</v>
      </c>
      <c r="V5113" s="1" t="str">
        <f t="shared" si="2077"/>
        <v>FARHANA BINTI MUSTAPA</v>
      </c>
      <c r="W5113" s="1" t="str">
        <f t="shared" si="2078"/>
        <v>04-08-2020</v>
      </c>
      <c r="X5113" s="1" t="str">
        <f t="shared" si="2079"/>
        <v>RAZIMAH ANSAR AHMAD</v>
      </c>
      <c r="Y5113" s="1" t="str">
        <f t="shared" si="2080"/>
        <v>04-08-2020</v>
      </c>
      <c r="Z5113" s="1" t="str">
        <f>"COS10200804 4041"</f>
        <v>COS10200804 4041</v>
      </c>
    </row>
    <row r="5114" spans="1:26" s="1" customFormat="1" x14ac:dyDescent="0.25">
      <c r="A5114" s="1" t="str">
        <f t="shared" ref="A5114:A5145" si="2093">"04-08-2020 12:48:13"</f>
        <v>04-08-2020 12:48:13</v>
      </c>
      <c r="B5114" s="1" t="str">
        <f>"0000805818"</f>
        <v>0000805818</v>
      </c>
      <c r="C5114" s="1" t="str">
        <f t="shared" ref="C5114:C5145" si="2094">"0000805778"</f>
        <v>0000805778</v>
      </c>
      <c r="D5114" s="1" t="str">
        <f t="shared" si="2070"/>
        <v>73185</v>
      </c>
      <c r="E5114" s="1" t="str">
        <f t="shared" si="2071"/>
        <v>KFH-OPERATIONS DEPARTMENT</v>
      </c>
      <c r="F5114" s="1" t="str">
        <f t="shared" si="2072"/>
        <v>IBG</v>
      </c>
      <c r="G5114" s="1" t="str">
        <f t="shared" si="2083"/>
        <v>Refund COSHARE 10</v>
      </c>
      <c r="H5114" s="3">
        <v>245.6</v>
      </c>
      <c r="I5114" s="4" t="str">
        <f>"ALINA BINTI GULAM"</f>
        <v>ALINA BINTI GULAM</v>
      </c>
      <c r="J5114" s="1" t="str">
        <f t="shared" si="2084"/>
        <v>MAYBANK / MAYBANK ISLAMIC</v>
      </c>
      <c r="K5114" s="1" t="str">
        <f>"160102269317"</f>
        <v>160102269317</v>
      </c>
      <c r="L5114" s="1" t="str">
        <f t="shared" si="2091"/>
        <v>04-08-2020</v>
      </c>
      <c r="M5114" s="1" t="str">
        <f t="shared" si="2091"/>
        <v>04-08-2020</v>
      </c>
      <c r="N5114" s="1" t="str">
        <f t="shared" si="2073"/>
        <v>001105018356</v>
      </c>
      <c r="O5114" s="1" t="str">
        <f t="shared" si="2074"/>
        <v>MYR</v>
      </c>
      <c r="P5114" s="1" t="str">
        <f t="shared" si="2092"/>
        <v>NIL</v>
      </c>
      <c r="Q5114" s="1" t="str">
        <f t="shared" si="2092"/>
        <v>NIL</v>
      </c>
      <c r="R5114" s="1" t="str">
        <f t="shared" ref="R5114:R5145" si="2095">"Unsuccessful"</f>
        <v>Unsuccessful</v>
      </c>
      <c r="S5114" s="1" t="str">
        <f t="shared" si="2075"/>
        <v>Approved</v>
      </c>
      <c r="T5114" s="1" t="str">
        <f t="shared" ref="T5114:T5145" si="2096">"10.20.201.88"</f>
        <v>10.20.201.88</v>
      </c>
      <c r="U5114" s="1" t="str">
        <f t="shared" si="2076"/>
        <v>AZRAD UMAR BIN SHAARI</v>
      </c>
      <c r="V5114" s="1" t="str">
        <f t="shared" si="2077"/>
        <v>FARHANA BINTI MUSTAPA</v>
      </c>
      <c r="W5114" s="1" t="str">
        <f t="shared" si="2078"/>
        <v>04-08-2020</v>
      </c>
      <c r="X5114" s="1" t="str">
        <f t="shared" si="2079"/>
        <v>RAZIMAH ANSAR AHMAD</v>
      </c>
      <c r="Y5114" s="1" t="str">
        <f t="shared" si="2080"/>
        <v>04-08-2020</v>
      </c>
      <c r="Z5114" s="1" t="str">
        <f>"COS10200804 4040"</f>
        <v>COS10200804 4040</v>
      </c>
    </row>
    <row r="5115" spans="1:26" s="1" customFormat="1" x14ac:dyDescent="0.25">
      <c r="A5115" s="1" t="str">
        <f t="shared" si="2093"/>
        <v>04-08-2020 12:48:13</v>
      </c>
      <c r="B5115" s="1" t="str">
        <f>"0000805817"</f>
        <v>0000805817</v>
      </c>
      <c r="C5115" s="1" t="str">
        <f t="shared" si="2094"/>
        <v>0000805778</v>
      </c>
      <c r="D5115" s="1" t="str">
        <f t="shared" si="2070"/>
        <v>73185</v>
      </c>
      <c r="E5115" s="1" t="str">
        <f t="shared" si="2071"/>
        <v>KFH-OPERATIONS DEPARTMENT</v>
      </c>
      <c r="F5115" s="1" t="str">
        <f t="shared" si="2072"/>
        <v>IBG</v>
      </c>
      <c r="G5115" s="1" t="str">
        <f t="shared" si="2083"/>
        <v>Refund COSHARE 10</v>
      </c>
      <c r="H5115" s="3">
        <v>50.4</v>
      </c>
      <c r="I5115" s="4" t="str">
        <f>"ALIN ANAK MIT"</f>
        <v>ALIN ANAK MIT</v>
      </c>
      <c r="J5115" s="1" t="str">
        <f t="shared" si="2084"/>
        <v>MAYBANK / MAYBANK ISLAMIC</v>
      </c>
      <c r="K5115" s="1" t="str">
        <f>"158284092519"</f>
        <v>158284092519</v>
      </c>
      <c r="L5115" s="1" t="str">
        <f t="shared" si="2091"/>
        <v>04-08-2020</v>
      </c>
      <c r="M5115" s="1" t="str">
        <f t="shared" si="2091"/>
        <v>04-08-2020</v>
      </c>
      <c r="N5115" s="1" t="str">
        <f t="shared" si="2073"/>
        <v>001105018356</v>
      </c>
      <c r="O5115" s="1" t="str">
        <f t="shared" si="2074"/>
        <v>MYR</v>
      </c>
      <c r="P5115" s="1" t="str">
        <f t="shared" si="2092"/>
        <v>NIL</v>
      </c>
      <c r="Q5115" s="1" t="str">
        <f t="shared" si="2092"/>
        <v>NIL</v>
      </c>
      <c r="R5115" s="1" t="str">
        <f t="shared" si="2095"/>
        <v>Unsuccessful</v>
      </c>
      <c r="S5115" s="1" t="str">
        <f t="shared" si="2075"/>
        <v>Approved</v>
      </c>
      <c r="T5115" s="1" t="str">
        <f t="shared" si="2096"/>
        <v>10.20.201.88</v>
      </c>
      <c r="U5115" s="1" t="str">
        <f t="shared" si="2076"/>
        <v>AZRAD UMAR BIN SHAARI</v>
      </c>
      <c r="V5115" s="1" t="str">
        <f t="shared" si="2077"/>
        <v>FARHANA BINTI MUSTAPA</v>
      </c>
      <c r="W5115" s="1" t="str">
        <f t="shared" si="2078"/>
        <v>04-08-2020</v>
      </c>
      <c r="X5115" s="1" t="str">
        <f t="shared" si="2079"/>
        <v>RAZIMAH ANSAR AHMAD</v>
      </c>
      <c r="Y5115" s="1" t="str">
        <f t="shared" si="2080"/>
        <v>04-08-2020</v>
      </c>
      <c r="Z5115" s="1" t="str">
        <f>"COS10200804 4039"</f>
        <v>COS10200804 4039</v>
      </c>
    </row>
    <row r="5116" spans="1:26" s="1" customFormat="1" x14ac:dyDescent="0.25">
      <c r="A5116" s="1" t="str">
        <f t="shared" si="2093"/>
        <v>04-08-2020 12:48:13</v>
      </c>
      <c r="B5116" s="1" t="str">
        <f>"0000805816"</f>
        <v>0000805816</v>
      </c>
      <c r="C5116" s="1" t="str">
        <f t="shared" si="2094"/>
        <v>0000805778</v>
      </c>
      <c r="D5116" s="1" t="str">
        <f t="shared" si="2070"/>
        <v>73185</v>
      </c>
      <c r="E5116" s="1" t="str">
        <f t="shared" si="2071"/>
        <v>KFH-OPERATIONS DEPARTMENT</v>
      </c>
      <c r="F5116" s="1" t="str">
        <f t="shared" si="2072"/>
        <v>IBG</v>
      </c>
      <c r="G5116" s="1" t="str">
        <f t="shared" si="2083"/>
        <v>Refund COSHARE 10</v>
      </c>
      <c r="H5116" s="3">
        <v>609.79999999999995</v>
      </c>
      <c r="I5116" s="4" t="str">
        <f>"ALIMAH BINTI ABDUL MAJID"</f>
        <v>ALIMAH BINTI ABDUL MAJID</v>
      </c>
      <c r="J5116" s="1" t="str">
        <f t="shared" si="2084"/>
        <v>MAYBANK / MAYBANK ISLAMIC</v>
      </c>
      <c r="K5116" s="1" t="str">
        <f>"158220564354"</f>
        <v>158220564354</v>
      </c>
      <c r="L5116" s="1" t="str">
        <f t="shared" si="2091"/>
        <v>04-08-2020</v>
      </c>
      <c r="M5116" s="1" t="str">
        <f t="shared" si="2091"/>
        <v>04-08-2020</v>
      </c>
      <c r="N5116" s="1" t="str">
        <f t="shared" si="2073"/>
        <v>001105018356</v>
      </c>
      <c r="O5116" s="1" t="str">
        <f t="shared" si="2074"/>
        <v>MYR</v>
      </c>
      <c r="P5116" s="1" t="str">
        <f t="shared" si="2092"/>
        <v>NIL</v>
      </c>
      <c r="Q5116" s="1" t="str">
        <f t="shared" si="2092"/>
        <v>NIL</v>
      </c>
      <c r="R5116" s="1" t="str">
        <f t="shared" si="2095"/>
        <v>Unsuccessful</v>
      </c>
      <c r="S5116" s="1" t="str">
        <f t="shared" si="2075"/>
        <v>Approved</v>
      </c>
      <c r="T5116" s="1" t="str">
        <f t="shared" si="2096"/>
        <v>10.20.201.88</v>
      </c>
      <c r="U5116" s="1" t="str">
        <f t="shared" si="2076"/>
        <v>AZRAD UMAR BIN SHAARI</v>
      </c>
      <c r="V5116" s="1" t="str">
        <f t="shared" si="2077"/>
        <v>FARHANA BINTI MUSTAPA</v>
      </c>
      <c r="W5116" s="1" t="str">
        <f t="shared" si="2078"/>
        <v>04-08-2020</v>
      </c>
      <c r="X5116" s="1" t="str">
        <f t="shared" si="2079"/>
        <v>RAZIMAH ANSAR AHMAD</v>
      </c>
      <c r="Y5116" s="1" t="str">
        <f t="shared" si="2080"/>
        <v>04-08-2020</v>
      </c>
      <c r="Z5116" s="1" t="str">
        <f>"COS10200804 4038"</f>
        <v>COS10200804 4038</v>
      </c>
    </row>
    <row r="5117" spans="1:26" s="1" customFormat="1" x14ac:dyDescent="0.25">
      <c r="A5117" s="1" t="str">
        <f t="shared" si="2093"/>
        <v>04-08-2020 12:48:13</v>
      </c>
      <c r="B5117" s="1" t="str">
        <f>"0000805815"</f>
        <v>0000805815</v>
      </c>
      <c r="C5117" s="1" t="str">
        <f t="shared" si="2094"/>
        <v>0000805778</v>
      </c>
      <c r="D5117" s="1" t="str">
        <f t="shared" si="2070"/>
        <v>73185</v>
      </c>
      <c r="E5117" s="1" t="str">
        <f t="shared" si="2071"/>
        <v>KFH-OPERATIONS DEPARTMENT</v>
      </c>
      <c r="F5117" s="1" t="str">
        <f t="shared" si="2072"/>
        <v>IBG</v>
      </c>
      <c r="G5117" s="1" t="str">
        <f t="shared" si="2083"/>
        <v>Refund COSHARE 10</v>
      </c>
      <c r="H5117" s="3">
        <v>50.4</v>
      </c>
      <c r="I5117" s="4" t="str">
        <f>"ALIJAM BINTI TUKIMIN"</f>
        <v>ALIJAM BINTI TUKIMIN</v>
      </c>
      <c r="J5117" s="1" t="str">
        <f t="shared" si="2084"/>
        <v>MAYBANK / MAYBANK ISLAMIC</v>
      </c>
      <c r="K5117" s="1" t="str">
        <f>"111114147394"</f>
        <v>111114147394</v>
      </c>
      <c r="L5117" s="1" t="str">
        <f t="shared" si="2091"/>
        <v>04-08-2020</v>
      </c>
      <c r="M5117" s="1" t="str">
        <f t="shared" si="2091"/>
        <v>04-08-2020</v>
      </c>
      <c r="N5117" s="1" t="str">
        <f t="shared" si="2073"/>
        <v>001105018356</v>
      </c>
      <c r="O5117" s="1" t="str">
        <f t="shared" si="2074"/>
        <v>MYR</v>
      </c>
      <c r="P5117" s="1" t="str">
        <f t="shared" si="2092"/>
        <v>NIL</v>
      </c>
      <c r="Q5117" s="1" t="str">
        <f t="shared" si="2092"/>
        <v>NIL</v>
      </c>
      <c r="R5117" s="1" t="str">
        <f t="shared" si="2095"/>
        <v>Unsuccessful</v>
      </c>
      <c r="S5117" s="1" t="str">
        <f t="shared" si="2075"/>
        <v>Approved</v>
      </c>
      <c r="T5117" s="1" t="str">
        <f t="shared" si="2096"/>
        <v>10.20.201.88</v>
      </c>
      <c r="U5117" s="1" t="str">
        <f t="shared" si="2076"/>
        <v>AZRAD UMAR BIN SHAARI</v>
      </c>
      <c r="V5117" s="1" t="str">
        <f t="shared" si="2077"/>
        <v>FARHANA BINTI MUSTAPA</v>
      </c>
      <c r="W5117" s="1" t="str">
        <f t="shared" si="2078"/>
        <v>04-08-2020</v>
      </c>
      <c r="X5117" s="1" t="str">
        <f t="shared" si="2079"/>
        <v>RAZIMAH ANSAR AHMAD</v>
      </c>
      <c r="Y5117" s="1" t="str">
        <f t="shared" si="2080"/>
        <v>04-08-2020</v>
      </c>
      <c r="Z5117" s="1" t="str">
        <f>"COS10200804 4037"</f>
        <v>COS10200804 4037</v>
      </c>
    </row>
    <row r="5118" spans="1:26" s="1" customFormat="1" x14ac:dyDescent="0.25">
      <c r="A5118" s="1" t="str">
        <f t="shared" si="2093"/>
        <v>04-08-2020 12:48:13</v>
      </c>
      <c r="B5118" s="1" t="str">
        <f>"0000805814"</f>
        <v>0000805814</v>
      </c>
      <c r="C5118" s="1" t="str">
        <f t="shared" si="2094"/>
        <v>0000805778</v>
      </c>
      <c r="D5118" s="1" t="str">
        <f t="shared" si="2070"/>
        <v>73185</v>
      </c>
      <c r="E5118" s="1" t="str">
        <f t="shared" si="2071"/>
        <v>KFH-OPERATIONS DEPARTMENT</v>
      </c>
      <c r="F5118" s="1" t="str">
        <f t="shared" si="2072"/>
        <v>IBG</v>
      </c>
      <c r="G5118" s="1" t="str">
        <f t="shared" si="2083"/>
        <v>Refund COSHARE 10</v>
      </c>
      <c r="H5118" s="3">
        <v>1679</v>
      </c>
      <c r="I5118" s="4" t="str">
        <f>"ALIDAH BINTI LASUMIN"</f>
        <v>ALIDAH BINTI LASUMIN</v>
      </c>
      <c r="J5118" s="1" t="str">
        <f t="shared" si="2084"/>
        <v>MAYBANK / MAYBANK ISLAMIC</v>
      </c>
      <c r="K5118" s="1" t="str">
        <f>"160269029720"</f>
        <v>160269029720</v>
      </c>
      <c r="L5118" s="1" t="str">
        <f t="shared" si="2091"/>
        <v>04-08-2020</v>
      </c>
      <c r="M5118" s="1" t="str">
        <f t="shared" si="2091"/>
        <v>04-08-2020</v>
      </c>
      <c r="N5118" s="1" t="str">
        <f t="shared" si="2073"/>
        <v>001105018356</v>
      </c>
      <c r="O5118" s="1" t="str">
        <f t="shared" si="2074"/>
        <v>MYR</v>
      </c>
      <c r="P5118" s="1" t="str">
        <f t="shared" si="2092"/>
        <v>NIL</v>
      </c>
      <c r="Q5118" s="1" t="str">
        <f t="shared" si="2092"/>
        <v>NIL</v>
      </c>
      <c r="R5118" s="1" t="str">
        <f t="shared" si="2095"/>
        <v>Unsuccessful</v>
      </c>
      <c r="S5118" s="1" t="str">
        <f t="shared" si="2075"/>
        <v>Approved</v>
      </c>
      <c r="T5118" s="1" t="str">
        <f t="shared" si="2096"/>
        <v>10.20.201.88</v>
      </c>
      <c r="U5118" s="1" t="str">
        <f t="shared" si="2076"/>
        <v>AZRAD UMAR BIN SHAARI</v>
      </c>
      <c r="V5118" s="1" t="str">
        <f t="shared" si="2077"/>
        <v>FARHANA BINTI MUSTAPA</v>
      </c>
      <c r="W5118" s="1" t="str">
        <f t="shared" si="2078"/>
        <v>04-08-2020</v>
      </c>
      <c r="X5118" s="1" t="str">
        <f t="shared" si="2079"/>
        <v>RAZIMAH ANSAR AHMAD</v>
      </c>
      <c r="Y5118" s="1" t="str">
        <f t="shared" si="2080"/>
        <v>04-08-2020</v>
      </c>
      <c r="Z5118" s="1" t="str">
        <f>"COS10200804 4036"</f>
        <v>COS10200804 4036</v>
      </c>
    </row>
    <row r="5119" spans="1:26" s="1" customFormat="1" x14ac:dyDescent="0.25">
      <c r="A5119" s="1" t="str">
        <f t="shared" si="2093"/>
        <v>04-08-2020 12:48:13</v>
      </c>
      <c r="B5119" s="1" t="str">
        <f>"0000805813"</f>
        <v>0000805813</v>
      </c>
      <c r="C5119" s="1" t="str">
        <f t="shared" si="2094"/>
        <v>0000805778</v>
      </c>
      <c r="D5119" s="1" t="str">
        <f t="shared" si="2070"/>
        <v>73185</v>
      </c>
      <c r="E5119" s="1" t="str">
        <f t="shared" si="2071"/>
        <v>KFH-OPERATIONS DEPARTMENT</v>
      </c>
      <c r="F5119" s="1" t="str">
        <f t="shared" si="2072"/>
        <v>IBG</v>
      </c>
      <c r="G5119" s="1" t="str">
        <f t="shared" si="2083"/>
        <v>Refund COSHARE 10</v>
      </c>
      <c r="H5119" s="3">
        <v>83.95</v>
      </c>
      <c r="I5119" s="4" t="str">
        <f>"ALICE ANAK ENGSONG"</f>
        <v>ALICE ANAK ENGSONG</v>
      </c>
      <c r="J5119" s="1" t="str">
        <f t="shared" si="2084"/>
        <v>MAYBANK / MAYBANK ISLAMIC</v>
      </c>
      <c r="K5119" s="1" t="str">
        <f>"161097017949"</f>
        <v>161097017949</v>
      </c>
      <c r="L5119" s="1" t="str">
        <f t="shared" si="2091"/>
        <v>04-08-2020</v>
      </c>
      <c r="M5119" s="1" t="str">
        <f t="shared" si="2091"/>
        <v>04-08-2020</v>
      </c>
      <c r="N5119" s="1" t="str">
        <f t="shared" si="2073"/>
        <v>001105018356</v>
      </c>
      <c r="O5119" s="1" t="str">
        <f t="shared" si="2074"/>
        <v>MYR</v>
      </c>
      <c r="P5119" s="1" t="str">
        <f t="shared" si="2092"/>
        <v>NIL</v>
      </c>
      <c r="Q5119" s="1" t="str">
        <f t="shared" si="2092"/>
        <v>NIL</v>
      </c>
      <c r="R5119" s="1" t="str">
        <f t="shared" si="2095"/>
        <v>Unsuccessful</v>
      </c>
      <c r="S5119" s="1" t="str">
        <f t="shared" si="2075"/>
        <v>Approved</v>
      </c>
      <c r="T5119" s="1" t="str">
        <f t="shared" si="2096"/>
        <v>10.20.201.88</v>
      </c>
      <c r="U5119" s="1" t="str">
        <f t="shared" si="2076"/>
        <v>AZRAD UMAR BIN SHAARI</v>
      </c>
      <c r="V5119" s="1" t="str">
        <f t="shared" si="2077"/>
        <v>FARHANA BINTI MUSTAPA</v>
      </c>
      <c r="W5119" s="1" t="str">
        <f t="shared" si="2078"/>
        <v>04-08-2020</v>
      </c>
      <c r="X5119" s="1" t="str">
        <f t="shared" si="2079"/>
        <v>RAZIMAH ANSAR AHMAD</v>
      </c>
      <c r="Y5119" s="1" t="str">
        <f t="shared" si="2080"/>
        <v>04-08-2020</v>
      </c>
      <c r="Z5119" s="1" t="str">
        <f>"COS10200804 4035"</f>
        <v>COS10200804 4035</v>
      </c>
    </row>
    <row r="5120" spans="1:26" s="1" customFormat="1" x14ac:dyDescent="0.25">
      <c r="A5120" s="1" t="str">
        <f t="shared" si="2093"/>
        <v>04-08-2020 12:48:13</v>
      </c>
      <c r="B5120" s="1" t="str">
        <f>"0000805812"</f>
        <v>0000805812</v>
      </c>
      <c r="C5120" s="1" t="str">
        <f t="shared" si="2094"/>
        <v>0000805778</v>
      </c>
      <c r="D5120" s="1" t="str">
        <f t="shared" si="2070"/>
        <v>73185</v>
      </c>
      <c r="E5120" s="1" t="str">
        <f t="shared" si="2071"/>
        <v>KFH-OPERATIONS DEPARTMENT</v>
      </c>
      <c r="F5120" s="1" t="str">
        <f t="shared" si="2072"/>
        <v>IBG</v>
      </c>
      <c r="G5120" s="1" t="str">
        <f t="shared" si="2083"/>
        <v>Refund COSHARE 10</v>
      </c>
      <c r="H5120" s="3">
        <v>579.25</v>
      </c>
      <c r="I5120" s="4" t="str">
        <f>"ALIA HANANI BINTI ISMAIL"</f>
        <v>ALIA HANANI BINTI ISMAIL</v>
      </c>
      <c r="J5120" s="1" t="str">
        <f t="shared" si="2084"/>
        <v>MAYBANK / MAYBANK ISLAMIC</v>
      </c>
      <c r="K5120" s="1" t="str">
        <f>"114254043792"</f>
        <v>114254043792</v>
      </c>
      <c r="L5120" s="1" t="str">
        <f t="shared" si="2091"/>
        <v>04-08-2020</v>
      </c>
      <c r="M5120" s="1" t="str">
        <f t="shared" si="2091"/>
        <v>04-08-2020</v>
      </c>
      <c r="N5120" s="1" t="str">
        <f t="shared" si="2073"/>
        <v>001105018356</v>
      </c>
      <c r="O5120" s="1" t="str">
        <f t="shared" si="2074"/>
        <v>MYR</v>
      </c>
      <c r="P5120" s="1" t="str">
        <f t="shared" si="2092"/>
        <v>NIL</v>
      </c>
      <c r="Q5120" s="1" t="str">
        <f t="shared" si="2092"/>
        <v>NIL</v>
      </c>
      <c r="R5120" s="1" t="str">
        <f t="shared" si="2095"/>
        <v>Unsuccessful</v>
      </c>
      <c r="S5120" s="1" t="str">
        <f t="shared" si="2075"/>
        <v>Approved</v>
      </c>
      <c r="T5120" s="1" t="str">
        <f t="shared" si="2096"/>
        <v>10.20.201.88</v>
      </c>
      <c r="U5120" s="1" t="str">
        <f t="shared" si="2076"/>
        <v>AZRAD UMAR BIN SHAARI</v>
      </c>
      <c r="V5120" s="1" t="str">
        <f t="shared" si="2077"/>
        <v>FARHANA BINTI MUSTAPA</v>
      </c>
      <c r="W5120" s="1" t="str">
        <f t="shared" si="2078"/>
        <v>04-08-2020</v>
      </c>
      <c r="X5120" s="1" t="str">
        <f t="shared" si="2079"/>
        <v>RAZIMAH ANSAR AHMAD</v>
      </c>
      <c r="Y5120" s="1" t="str">
        <f t="shared" si="2080"/>
        <v>04-08-2020</v>
      </c>
      <c r="Z5120" s="1" t="str">
        <f>"COS10200804 4034"</f>
        <v>COS10200804 4034</v>
      </c>
    </row>
    <row r="5121" spans="1:26" s="1" customFormat="1" x14ac:dyDescent="0.25">
      <c r="A5121" s="1" t="str">
        <f t="shared" si="2093"/>
        <v>04-08-2020 12:48:13</v>
      </c>
      <c r="B5121" s="1" t="str">
        <f>"0000805811"</f>
        <v>0000805811</v>
      </c>
      <c r="C5121" s="1" t="str">
        <f t="shared" si="2094"/>
        <v>0000805778</v>
      </c>
      <c r="D5121" s="1" t="str">
        <f t="shared" si="2070"/>
        <v>73185</v>
      </c>
      <c r="E5121" s="1" t="str">
        <f t="shared" si="2071"/>
        <v>KFH-OPERATIONS DEPARTMENT</v>
      </c>
      <c r="F5121" s="1" t="str">
        <f t="shared" si="2072"/>
        <v>IBG</v>
      </c>
      <c r="G5121" s="1" t="str">
        <f t="shared" si="2083"/>
        <v>Refund COSHARE 10</v>
      </c>
      <c r="H5121" s="3">
        <v>503.7</v>
      </c>
      <c r="I5121" s="4" t="str">
        <f>"ALFEE BIN JAAFAR"</f>
        <v>ALFEE BIN JAAFAR</v>
      </c>
      <c r="J5121" s="1" t="str">
        <f t="shared" si="2084"/>
        <v>MAYBANK / MAYBANK ISLAMIC</v>
      </c>
      <c r="K5121" s="1" t="str">
        <f>"164351056155"</f>
        <v>164351056155</v>
      </c>
      <c r="L5121" s="1" t="str">
        <f t="shared" si="2091"/>
        <v>04-08-2020</v>
      </c>
      <c r="M5121" s="1" t="str">
        <f t="shared" si="2091"/>
        <v>04-08-2020</v>
      </c>
      <c r="N5121" s="1" t="str">
        <f t="shared" si="2073"/>
        <v>001105018356</v>
      </c>
      <c r="O5121" s="1" t="str">
        <f t="shared" si="2074"/>
        <v>MYR</v>
      </c>
      <c r="P5121" s="1" t="str">
        <f t="shared" si="2092"/>
        <v>NIL</v>
      </c>
      <c r="Q5121" s="1" t="str">
        <f t="shared" si="2092"/>
        <v>NIL</v>
      </c>
      <c r="R5121" s="1" t="str">
        <f t="shared" si="2095"/>
        <v>Unsuccessful</v>
      </c>
      <c r="S5121" s="1" t="str">
        <f t="shared" si="2075"/>
        <v>Approved</v>
      </c>
      <c r="T5121" s="1" t="str">
        <f t="shared" si="2096"/>
        <v>10.20.201.88</v>
      </c>
      <c r="U5121" s="1" t="str">
        <f t="shared" si="2076"/>
        <v>AZRAD UMAR BIN SHAARI</v>
      </c>
      <c r="V5121" s="1" t="str">
        <f t="shared" si="2077"/>
        <v>FARHANA BINTI MUSTAPA</v>
      </c>
      <c r="W5121" s="1" t="str">
        <f t="shared" si="2078"/>
        <v>04-08-2020</v>
      </c>
      <c r="X5121" s="1" t="str">
        <f t="shared" si="2079"/>
        <v>RAZIMAH ANSAR AHMAD</v>
      </c>
      <c r="Y5121" s="1" t="str">
        <f t="shared" si="2080"/>
        <v>04-08-2020</v>
      </c>
      <c r="Z5121" s="1" t="str">
        <f>"COS10200804 4033"</f>
        <v>COS10200804 4033</v>
      </c>
    </row>
    <row r="5122" spans="1:26" s="1" customFormat="1" x14ac:dyDescent="0.25">
      <c r="A5122" s="1" t="str">
        <f t="shared" si="2093"/>
        <v>04-08-2020 12:48:13</v>
      </c>
      <c r="B5122" s="1" t="str">
        <f>"0000805810"</f>
        <v>0000805810</v>
      </c>
      <c r="C5122" s="1" t="str">
        <f t="shared" si="2094"/>
        <v>0000805778</v>
      </c>
      <c r="D5122" s="1" t="str">
        <f t="shared" si="2070"/>
        <v>73185</v>
      </c>
      <c r="E5122" s="1" t="str">
        <f t="shared" si="2071"/>
        <v>KFH-OPERATIONS DEPARTMENT</v>
      </c>
      <c r="F5122" s="1" t="str">
        <f t="shared" si="2072"/>
        <v>IBG</v>
      </c>
      <c r="G5122" s="1" t="str">
        <f t="shared" si="2083"/>
        <v>Refund COSHARE 10</v>
      </c>
      <c r="H5122" s="3">
        <v>654.85</v>
      </c>
      <c r="I5122" s="4" t="str">
        <f>"ALEXANDER SEGAYA ANAK STEPHEN"</f>
        <v>ALEXANDER SEGAYA ANAK STEPHEN</v>
      </c>
      <c r="J5122" s="1" t="str">
        <f t="shared" si="2084"/>
        <v>MAYBANK / MAYBANK ISLAMIC</v>
      </c>
      <c r="K5122" s="1" t="str">
        <f>"161211141336"</f>
        <v>161211141336</v>
      </c>
      <c r="L5122" s="1" t="str">
        <f t="shared" si="2091"/>
        <v>04-08-2020</v>
      </c>
      <c r="M5122" s="1" t="str">
        <f t="shared" si="2091"/>
        <v>04-08-2020</v>
      </c>
      <c r="N5122" s="1" t="str">
        <f t="shared" si="2073"/>
        <v>001105018356</v>
      </c>
      <c r="O5122" s="1" t="str">
        <f t="shared" si="2074"/>
        <v>MYR</v>
      </c>
      <c r="P5122" s="1" t="str">
        <f t="shared" si="2092"/>
        <v>NIL</v>
      </c>
      <c r="Q5122" s="1" t="str">
        <f t="shared" si="2092"/>
        <v>NIL</v>
      </c>
      <c r="R5122" s="1" t="str">
        <f t="shared" si="2095"/>
        <v>Unsuccessful</v>
      </c>
      <c r="S5122" s="1" t="str">
        <f t="shared" si="2075"/>
        <v>Approved</v>
      </c>
      <c r="T5122" s="1" t="str">
        <f t="shared" si="2096"/>
        <v>10.20.201.88</v>
      </c>
      <c r="U5122" s="1" t="str">
        <f t="shared" si="2076"/>
        <v>AZRAD UMAR BIN SHAARI</v>
      </c>
      <c r="V5122" s="1" t="str">
        <f t="shared" si="2077"/>
        <v>FARHANA BINTI MUSTAPA</v>
      </c>
      <c r="W5122" s="1" t="str">
        <f t="shared" si="2078"/>
        <v>04-08-2020</v>
      </c>
      <c r="X5122" s="1" t="str">
        <f t="shared" si="2079"/>
        <v>RAZIMAH ANSAR AHMAD</v>
      </c>
      <c r="Y5122" s="1" t="str">
        <f t="shared" si="2080"/>
        <v>04-08-2020</v>
      </c>
      <c r="Z5122" s="1" t="str">
        <f>"COS10200804 4032"</f>
        <v>COS10200804 4032</v>
      </c>
    </row>
    <row r="5123" spans="1:26" s="1" customFormat="1" x14ac:dyDescent="0.25">
      <c r="A5123" s="1" t="str">
        <f t="shared" si="2093"/>
        <v>04-08-2020 12:48:13</v>
      </c>
      <c r="B5123" s="1" t="str">
        <f>"0000805809"</f>
        <v>0000805809</v>
      </c>
      <c r="C5123" s="1" t="str">
        <f t="shared" si="2094"/>
        <v>0000805778</v>
      </c>
      <c r="D5123" s="1" t="str">
        <f t="shared" si="2070"/>
        <v>73185</v>
      </c>
      <c r="E5123" s="1" t="str">
        <f t="shared" si="2071"/>
        <v>KFH-OPERATIONS DEPARTMENT</v>
      </c>
      <c r="F5123" s="1" t="str">
        <f t="shared" si="2072"/>
        <v>IBG</v>
      </c>
      <c r="G5123" s="1" t="str">
        <f t="shared" si="2083"/>
        <v>Refund COSHARE 10</v>
      </c>
      <c r="H5123" s="3">
        <v>428.2</v>
      </c>
      <c r="I5123" s="4" t="str">
        <f>"ALEENDA BINTI IBRAHIM"</f>
        <v>ALEENDA BINTI IBRAHIM</v>
      </c>
      <c r="J5123" s="1" t="str">
        <f t="shared" si="2084"/>
        <v>MAYBANK / MAYBANK ISLAMIC</v>
      </c>
      <c r="K5123" s="1" t="str">
        <f>"160027288472"</f>
        <v>160027288472</v>
      </c>
      <c r="L5123" s="1" t="str">
        <f t="shared" si="2091"/>
        <v>04-08-2020</v>
      </c>
      <c r="M5123" s="1" t="str">
        <f t="shared" si="2091"/>
        <v>04-08-2020</v>
      </c>
      <c r="N5123" s="1" t="str">
        <f t="shared" si="2073"/>
        <v>001105018356</v>
      </c>
      <c r="O5123" s="1" t="str">
        <f t="shared" si="2074"/>
        <v>MYR</v>
      </c>
      <c r="P5123" s="1" t="str">
        <f t="shared" si="2092"/>
        <v>NIL</v>
      </c>
      <c r="Q5123" s="1" t="str">
        <f t="shared" si="2092"/>
        <v>NIL</v>
      </c>
      <c r="R5123" s="1" t="str">
        <f t="shared" si="2095"/>
        <v>Unsuccessful</v>
      </c>
      <c r="S5123" s="1" t="str">
        <f t="shared" si="2075"/>
        <v>Approved</v>
      </c>
      <c r="T5123" s="1" t="str">
        <f t="shared" si="2096"/>
        <v>10.20.201.88</v>
      </c>
      <c r="U5123" s="1" t="str">
        <f t="shared" si="2076"/>
        <v>AZRAD UMAR BIN SHAARI</v>
      </c>
      <c r="V5123" s="1" t="str">
        <f t="shared" si="2077"/>
        <v>FARHANA BINTI MUSTAPA</v>
      </c>
      <c r="W5123" s="1" t="str">
        <f t="shared" si="2078"/>
        <v>04-08-2020</v>
      </c>
      <c r="X5123" s="1" t="str">
        <f t="shared" si="2079"/>
        <v>RAZIMAH ANSAR AHMAD</v>
      </c>
      <c r="Y5123" s="1" t="str">
        <f t="shared" si="2080"/>
        <v>04-08-2020</v>
      </c>
      <c r="Z5123" s="1" t="str">
        <f>"COS10200804 4031"</f>
        <v>COS10200804 4031</v>
      </c>
    </row>
    <row r="5124" spans="1:26" s="1" customFormat="1" x14ac:dyDescent="0.25">
      <c r="A5124" s="1" t="str">
        <f t="shared" si="2093"/>
        <v>04-08-2020 12:48:13</v>
      </c>
      <c r="B5124" s="1" t="str">
        <f>"0000805808"</f>
        <v>0000805808</v>
      </c>
      <c r="C5124" s="1" t="str">
        <f t="shared" si="2094"/>
        <v>0000805778</v>
      </c>
      <c r="D5124" s="1" t="str">
        <f t="shared" si="2070"/>
        <v>73185</v>
      </c>
      <c r="E5124" s="1" t="str">
        <f t="shared" si="2071"/>
        <v>KFH-OPERATIONS DEPARTMENT</v>
      </c>
      <c r="F5124" s="1" t="str">
        <f t="shared" si="2072"/>
        <v>IBG</v>
      </c>
      <c r="G5124" s="1" t="str">
        <f t="shared" si="2083"/>
        <v>Refund COSHARE 10</v>
      </c>
      <c r="H5124" s="3">
        <v>1259.25</v>
      </c>
      <c r="I5124" s="4" t="str">
        <f>"ALEEF MOHD FAIZAL BIN RAMLI  RAMLIY"</f>
        <v>ALEEF MOHD FAIZAL BIN RAMLI  RAMLIY</v>
      </c>
      <c r="J5124" s="1" t="str">
        <f t="shared" si="2084"/>
        <v>MAYBANK / MAYBANK ISLAMIC</v>
      </c>
      <c r="K5124" s="1" t="str">
        <f>"152022990530"</f>
        <v>152022990530</v>
      </c>
      <c r="L5124" s="1" t="str">
        <f t="shared" si="2091"/>
        <v>04-08-2020</v>
      </c>
      <c r="M5124" s="1" t="str">
        <f t="shared" si="2091"/>
        <v>04-08-2020</v>
      </c>
      <c r="N5124" s="1" t="str">
        <f t="shared" si="2073"/>
        <v>001105018356</v>
      </c>
      <c r="O5124" s="1" t="str">
        <f t="shared" si="2074"/>
        <v>MYR</v>
      </c>
      <c r="P5124" s="1" t="str">
        <f t="shared" si="2092"/>
        <v>NIL</v>
      </c>
      <c r="Q5124" s="1" t="str">
        <f t="shared" si="2092"/>
        <v>NIL</v>
      </c>
      <c r="R5124" s="1" t="str">
        <f t="shared" si="2095"/>
        <v>Unsuccessful</v>
      </c>
      <c r="S5124" s="1" t="str">
        <f t="shared" si="2075"/>
        <v>Approved</v>
      </c>
      <c r="T5124" s="1" t="str">
        <f t="shared" si="2096"/>
        <v>10.20.201.88</v>
      </c>
      <c r="U5124" s="1" t="str">
        <f t="shared" si="2076"/>
        <v>AZRAD UMAR BIN SHAARI</v>
      </c>
      <c r="V5124" s="1" t="str">
        <f t="shared" si="2077"/>
        <v>FARHANA BINTI MUSTAPA</v>
      </c>
      <c r="W5124" s="1" t="str">
        <f t="shared" si="2078"/>
        <v>04-08-2020</v>
      </c>
      <c r="X5124" s="1" t="str">
        <f t="shared" si="2079"/>
        <v>RAZIMAH ANSAR AHMAD</v>
      </c>
      <c r="Y5124" s="1" t="str">
        <f t="shared" si="2080"/>
        <v>04-08-2020</v>
      </c>
      <c r="Z5124" s="1" t="str">
        <f>"COS10200804 4030"</f>
        <v>COS10200804 4030</v>
      </c>
    </row>
    <row r="5125" spans="1:26" s="1" customFormat="1" x14ac:dyDescent="0.25">
      <c r="A5125" s="1" t="str">
        <f t="shared" si="2093"/>
        <v>04-08-2020 12:48:13</v>
      </c>
      <c r="B5125" s="1" t="str">
        <f>"0000805807"</f>
        <v>0000805807</v>
      </c>
      <c r="C5125" s="1" t="str">
        <f t="shared" si="2094"/>
        <v>0000805778</v>
      </c>
      <c r="D5125" s="1" t="str">
        <f t="shared" si="2070"/>
        <v>73185</v>
      </c>
      <c r="E5125" s="1" t="str">
        <f t="shared" si="2071"/>
        <v>KFH-OPERATIONS DEPARTMENT</v>
      </c>
      <c r="F5125" s="1" t="str">
        <f t="shared" si="2072"/>
        <v>IBG</v>
      </c>
      <c r="G5125" s="1" t="str">
        <f t="shared" si="2083"/>
        <v>Refund COSHARE 10</v>
      </c>
      <c r="H5125" s="3">
        <v>780.75</v>
      </c>
      <c r="I5125" s="4" t="str">
        <f>"ALDI BIN MURSIDI"</f>
        <v>ALDI BIN MURSIDI</v>
      </c>
      <c r="J5125" s="1" t="str">
        <f t="shared" si="2084"/>
        <v>MAYBANK / MAYBANK ISLAMIC</v>
      </c>
      <c r="K5125" s="1" t="str">
        <f>"110144251493"</f>
        <v>110144251493</v>
      </c>
      <c r="L5125" s="1" t="str">
        <f t="shared" si="2091"/>
        <v>04-08-2020</v>
      </c>
      <c r="M5125" s="1" t="str">
        <f t="shared" si="2091"/>
        <v>04-08-2020</v>
      </c>
      <c r="N5125" s="1" t="str">
        <f t="shared" si="2073"/>
        <v>001105018356</v>
      </c>
      <c r="O5125" s="1" t="str">
        <f t="shared" si="2074"/>
        <v>MYR</v>
      </c>
      <c r="P5125" s="1" t="str">
        <f t="shared" si="2092"/>
        <v>NIL</v>
      </c>
      <c r="Q5125" s="1" t="str">
        <f t="shared" si="2092"/>
        <v>NIL</v>
      </c>
      <c r="R5125" s="1" t="str">
        <f t="shared" si="2095"/>
        <v>Unsuccessful</v>
      </c>
      <c r="S5125" s="1" t="str">
        <f t="shared" si="2075"/>
        <v>Approved</v>
      </c>
      <c r="T5125" s="1" t="str">
        <f t="shared" si="2096"/>
        <v>10.20.201.88</v>
      </c>
      <c r="U5125" s="1" t="str">
        <f t="shared" si="2076"/>
        <v>AZRAD UMAR BIN SHAARI</v>
      </c>
      <c r="V5125" s="1" t="str">
        <f t="shared" si="2077"/>
        <v>FARHANA BINTI MUSTAPA</v>
      </c>
      <c r="W5125" s="1" t="str">
        <f t="shared" si="2078"/>
        <v>04-08-2020</v>
      </c>
      <c r="X5125" s="1" t="str">
        <f t="shared" si="2079"/>
        <v>RAZIMAH ANSAR AHMAD</v>
      </c>
      <c r="Y5125" s="1" t="str">
        <f t="shared" si="2080"/>
        <v>04-08-2020</v>
      </c>
      <c r="Z5125" s="1" t="str">
        <f>"COS10200804 4029"</f>
        <v>COS10200804 4029</v>
      </c>
    </row>
    <row r="5126" spans="1:26" s="1" customFormat="1" x14ac:dyDescent="0.25">
      <c r="A5126" s="1" t="str">
        <f t="shared" si="2093"/>
        <v>04-08-2020 12:48:13</v>
      </c>
      <c r="B5126" s="1" t="str">
        <f>"0000805806"</f>
        <v>0000805806</v>
      </c>
      <c r="C5126" s="1" t="str">
        <f t="shared" si="2094"/>
        <v>0000805778</v>
      </c>
      <c r="D5126" s="1" t="str">
        <f t="shared" si="2070"/>
        <v>73185</v>
      </c>
      <c r="E5126" s="1" t="str">
        <f t="shared" si="2071"/>
        <v>KFH-OPERATIONS DEPARTMENT</v>
      </c>
      <c r="F5126" s="1" t="str">
        <f t="shared" si="2072"/>
        <v>IBG</v>
      </c>
      <c r="G5126" s="1" t="str">
        <f t="shared" si="2083"/>
        <v>Refund COSHARE 10</v>
      </c>
      <c r="H5126" s="3">
        <v>142.75</v>
      </c>
      <c r="I5126" s="4" t="str">
        <f>"ALBNIS BIN DUALIS"</f>
        <v>ALBNIS BIN DUALIS</v>
      </c>
      <c r="J5126" s="1" t="str">
        <f t="shared" si="2084"/>
        <v>MAYBANK / MAYBANK ISLAMIC</v>
      </c>
      <c r="K5126" s="1" t="str">
        <f>"110144035624"</f>
        <v>110144035624</v>
      </c>
      <c r="L5126" s="1" t="str">
        <f t="shared" si="2091"/>
        <v>04-08-2020</v>
      </c>
      <c r="M5126" s="1" t="str">
        <f t="shared" si="2091"/>
        <v>04-08-2020</v>
      </c>
      <c r="N5126" s="1" t="str">
        <f t="shared" si="2073"/>
        <v>001105018356</v>
      </c>
      <c r="O5126" s="1" t="str">
        <f t="shared" si="2074"/>
        <v>MYR</v>
      </c>
      <c r="P5126" s="1" t="str">
        <f t="shared" si="2092"/>
        <v>NIL</v>
      </c>
      <c r="Q5126" s="1" t="str">
        <f t="shared" si="2092"/>
        <v>NIL</v>
      </c>
      <c r="R5126" s="1" t="str">
        <f t="shared" si="2095"/>
        <v>Unsuccessful</v>
      </c>
      <c r="S5126" s="1" t="str">
        <f t="shared" si="2075"/>
        <v>Approved</v>
      </c>
      <c r="T5126" s="1" t="str">
        <f t="shared" si="2096"/>
        <v>10.20.201.88</v>
      </c>
      <c r="U5126" s="1" t="str">
        <f t="shared" si="2076"/>
        <v>AZRAD UMAR BIN SHAARI</v>
      </c>
      <c r="V5126" s="1" t="str">
        <f t="shared" si="2077"/>
        <v>FARHANA BINTI MUSTAPA</v>
      </c>
      <c r="W5126" s="1" t="str">
        <f t="shared" si="2078"/>
        <v>04-08-2020</v>
      </c>
      <c r="X5126" s="1" t="str">
        <f t="shared" si="2079"/>
        <v>RAZIMAH ANSAR AHMAD</v>
      </c>
      <c r="Y5126" s="1" t="str">
        <f t="shared" si="2080"/>
        <v>04-08-2020</v>
      </c>
      <c r="Z5126" s="1" t="str">
        <f>"COS10200804 4028"</f>
        <v>COS10200804 4028</v>
      </c>
    </row>
    <row r="5127" spans="1:26" s="1" customFormat="1" x14ac:dyDescent="0.25">
      <c r="A5127" s="1" t="str">
        <f t="shared" si="2093"/>
        <v>04-08-2020 12:48:13</v>
      </c>
      <c r="B5127" s="1" t="str">
        <f>"0000805805"</f>
        <v>0000805805</v>
      </c>
      <c r="C5127" s="1" t="str">
        <f t="shared" si="2094"/>
        <v>0000805778</v>
      </c>
      <c r="D5127" s="1" t="str">
        <f t="shared" ref="D5127:D5190" si="2097">"73185"</f>
        <v>73185</v>
      </c>
      <c r="E5127" s="1" t="str">
        <f t="shared" ref="E5127:E5190" si="2098">"KFH-OPERATIONS DEPARTMENT"</f>
        <v>KFH-OPERATIONS DEPARTMENT</v>
      </c>
      <c r="F5127" s="1" t="str">
        <f t="shared" ref="F5127:F5190" si="2099">"IBG"</f>
        <v>IBG</v>
      </c>
      <c r="G5127" s="1" t="str">
        <f t="shared" si="2083"/>
        <v>Refund COSHARE 10</v>
      </c>
      <c r="H5127" s="3">
        <v>419.75</v>
      </c>
      <c r="I5127" s="4" t="str">
        <f>"ALBINUS PETRUS"</f>
        <v>ALBINUS PETRUS</v>
      </c>
      <c r="J5127" s="1" t="str">
        <f t="shared" si="2084"/>
        <v>MAYBANK / MAYBANK ISLAMIC</v>
      </c>
      <c r="K5127" s="1" t="str">
        <f>"151575102107"</f>
        <v>151575102107</v>
      </c>
      <c r="L5127" s="1" t="str">
        <f t="shared" ref="L5127:M5146" si="2100">"04-08-2020"</f>
        <v>04-08-2020</v>
      </c>
      <c r="M5127" s="1" t="str">
        <f t="shared" si="2100"/>
        <v>04-08-2020</v>
      </c>
      <c r="N5127" s="1" t="str">
        <f t="shared" ref="N5127:N5190" si="2101">"001105018356"</f>
        <v>001105018356</v>
      </c>
      <c r="O5127" s="1" t="str">
        <f t="shared" ref="O5127:O5190" si="2102">"MYR"</f>
        <v>MYR</v>
      </c>
      <c r="P5127" s="1" t="str">
        <f t="shared" ref="P5127:Q5146" si="2103">"NIL"</f>
        <v>NIL</v>
      </c>
      <c r="Q5127" s="1" t="str">
        <f t="shared" si="2103"/>
        <v>NIL</v>
      </c>
      <c r="R5127" s="1" t="str">
        <f t="shared" si="2095"/>
        <v>Unsuccessful</v>
      </c>
      <c r="S5127" s="1" t="str">
        <f t="shared" ref="S5127:S5190" si="2104">"Approved"</f>
        <v>Approved</v>
      </c>
      <c r="T5127" s="1" t="str">
        <f t="shared" si="2096"/>
        <v>10.20.201.88</v>
      </c>
      <c r="U5127" s="1" t="str">
        <f t="shared" ref="U5127:U5190" si="2105">"AZRAD UMAR BIN SHAARI"</f>
        <v>AZRAD UMAR BIN SHAARI</v>
      </c>
      <c r="V5127" s="1" t="str">
        <f t="shared" ref="V5127:V5190" si="2106">"FARHANA BINTI MUSTAPA"</f>
        <v>FARHANA BINTI MUSTAPA</v>
      </c>
      <c r="W5127" s="1" t="str">
        <f t="shared" ref="W5127:W5190" si="2107">"04-08-2020"</f>
        <v>04-08-2020</v>
      </c>
      <c r="X5127" s="1" t="str">
        <f t="shared" ref="X5127:X5190" si="2108">"RAZIMAH ANSAR AHMAD"</f>
        <v>RAZIMAH ANSAR AHMAD</v>
      </c>
      <c r="Y5127" s="1" t="str">
        <f t="shared" ref="Y5127:Y5190" si="2109">"04-08-2020"</f>
        <v>04-08-2020</v>
      </c>
      <c r="Z5127" s="1" t="str">
        <f>"COS10200804 4027"</f>
        <v>COS10200804 4027</v>
      </c>
    </row>
    <row r="5128" spans="1:26" s="1" customFormat="1" x14ac:dyDescent="0.25">
      <c r="A5128" s="1" t="str">
        <f t="shared" si="2093"/>
        <v>04-08-2020 12:48:13</v>
      </c>
      <c r="B5128" s="1" t="str">
        <f>"0000805804"</f>
        <v>0000805804</v>
      </c>
      <c r="C5128" s="1" t="str">
        <f t="shared" si="2094"/>
        <v>0000805778</v>
      </c>
      <c r="D5128" s="1" t="str">
        <f t="shared" si="2097"/>
        <v>73185</v>
      </c>
      <c r="E5128" s="1" t="str">
        <f t="shared" si="2098"/>
        <v>KFH-OPERATIONS DEPARTMENT</v>
      </c>
      <c r="F5128" s="1" t="str">
        <f t="shared" si="2099"/>
        <v>IBG</v>
      </c>
      <c r="G5128" s="1" t="str">
        <f t="shared" si="2083"/>
        <v>Refund COSHARE 10</v>
      </c>
      <c r="H5128" s="3">
        <v>990.65</v>
      </c>
      <c r="I5128" s="4" t="str">
        <f>"ALBERT BIN YUSAL"</f>
        <v>ALBERT BIN YUSAL</v>
      </c>
      <c r="J5128" s="1" t="str">
        <f t="shared" si="2084"/>
        <v>MAYBANK / MAYBANK ISLAMIC</v>
      </c>
      <c r="K5128" s="1" t="str">
        <f>"110023176865"</f>
        <v>110023176865</v>
      </c>
      <c r="L5128" s="1" t="str">
        <f t="shared" si="2100"/>
        <v>04-08-2020</v>
      </c>
      <c r="M5128" s="1" t="str">
        <f t="shared" si="2100"/>
        <v>04-08-2020</v>
      </c>
      <c r="N5128" s="1" t="str">
        <f t="shared" si="2101"/>
        <v>001105018356</v>
      </c>
      <c r="O5128" s="1" t="str">
        <f t="shared" si="2102"/>
        <v>MYR</v>
      </c>
      <c r="P5128" s="1" t="str">
        <f t="shared" si="2103"/>
        <v>NIL</v>
      </c>
      <c r="Q5128" s="1" t="str">
        <f t="shared" si="2103"/>
        <v>NIL</v>
      </c>
      <c r="R5128" s="1" t="str">
        <f t="shared" si="2095"/>
        <v>Unsuccessful</v>
      </c>
      <c r="S5128" s="1" t="str">
        <f t="shared" si="2104"/>
        <v>Approved</v>
      </c>
      <c r="T5128" s="1" t="str">
        <f t="shared" si="2096"/>
        <v>10.20.201.88</v>
      </c>
      <c r="U5128" s="1" t="str">
        <f t="shared" si="2105"/>
        <v>AZRAD UMAR BIN SHAARI</v>
      </c>
      <c r="V5128" s="1" t="str">
        <f t="shared" si="2106"/>
        <v>FARHANA BINTI MUSTAPA</v>
      </c>
      <c r="W5128" s="1" t="str">
        <f t="shared" si="2107"/>
        <v>04-08-2020</v>
      </c>
      <c r="X5128" s="1" t="str">
        <f t="shared" si="2108"/>
        <v>RAZIMAH ANSAR AHMAD</v>
      </c>
      <c r="Y5128" s="1" t="str">
        <f t="shared" si="2109"/>
        <v>04-08-2020</v>
      </c>
      <c r="Z5128" s="1" t="str">
        <f>"COS10200804 4026"</f>
        <v>COS10200804 4026</v>
      </c>
    </row>
    <row r="5129" spans="1:26" s="1" customFormat="1" x14ac:dyDescent="0.25">
      <c r="A5129" s="1" t="str">
        <f t="shared" si="2093"/>
        <v>04-08-2020 12:48:13</v>
      </c>
      <c r="B5129" s="1" t="str">
        <f>"0000805803"</f>
        <v>0000805803</v>
      </c>
      <c r="C5129" s="1" t="str">
        <f t="shared" si="2094"/>
        <v>0000805778</v>
      </c>
      <c r="D5129" s="1" t="str">
        <f t="shared" si="2097"/>
        <v>73185</v>
      </c>
      <c r="E5129" s="1" t="str">
        <f t="shared" si="2098"/>
        <v>KFH-OPERATIONS DEPARTMENT</v>
      </c>
      <c r="F5129" s="1" t="str">
        <f t="shared" si="2099"/>
        <v>IBG</v>
      </c>
      <c r="G5129" s="1" t="str">
        <f t="shared" si="2083"/>
        <v>Refund COSHARE 10</v>
      </c>
      <c r="H5129" s="3">
        <v>93</v>
      </c>
      <c r="I5129" s="4" t="str">
        <f>"ALBERT ANAK IPAN"</f>
        <v>ALBERT ANAK IPAN</v>
      </c>
      <c r="J5129" s="1" t="str">
        <f t="shared" si="2084"/>
        <v>MAYBANK / MAYBANK ISLAMIC</v>
      </c>
      <c r="K5129" s="1" t="str">
        <f>"161097094669"</f>
        <v>161097094669</v>
      </c>
      <c r="L5129" s="1" t="str">
        <f t="shared" si="2100"/>
        <v>04-08-2020</v>
      </c>
      <c r="M5129" s="1" t="str">
        <f t="shared" si="2100"/>
        <v>04-08-2020</v>
      </c>
      <c r="N5129" s="1" t="str">
        <f t="shared" si="2101"/>
        <v>001105018356</v>
      </c>
      <c r="O5129" s="1" t="str">
        <f t="shared" si="2102"/>
        <v>MYR</v>
      </c>
      <c r="P5129" s="1" t="str">
        <f t="shared" si="2103"/>
        <v>NIL</v>
      </c>
      <c r="Q5129" s="1" t="str">
        <f t="shared" si="2103"/>
        <v>NIL</v>
      </c>
      <c r="R5129" s="1" t="str">
        <f t="shared" si="2095"/>
        <v>Unsuccessful</v>
      </c>
      <c r="S5129" s="1" t="str">
        <f t="shared" si="2104"/>
        <v>Approved</v>
      </c>
      <c r="T5129" s="1" t="str">
        <f t="shared" si="2096"/>
        <v>10.20.201.88</v>
      </c>
      <c r="U5129" s="1" t="str">
        <f t="shared" si="2105"/>
        <v>AZRAD UMAR BIN SHAARI</v>
      </c>
      <c r="V5129" s="1" t="str">
        <f t="shared" si="2106"/>
        <v>FARHANA BINTI MUSTAPA</v>
      </c>
      <c r="W5129" s="1" t="str">
        <f t="shared" si="2107"/>
        <v>04-08-2020</v>
      </c>
      <c r="X5129" s="1" t="str">
        <f t="shared" si="2108"/>
        <v>RAZIMAH ANSAR AHMAD</v>
      </c>
      <c r="Y5129" s="1" t="str">
        <f t="shared" si="2109"/>
        <v>04-08-2020</v>
      </c>
      <c r="Z5129" s="1" t="str">
        <f>"COS10200804 4025"</f>
        <v>COS10200804 4025</v>
      </c>
    </row>
    <row r="5130" spans="1:26" s="1" customFormat="1" x14ac:dyDescent="0.25">
      <c r="A5130" s="1" t="str">
        <f t="shared" si="2093"/>
        <v>04-08-2020 12:48:13</v>
      </c>
      <c r="B5130" s="1" t="str">
        <f>"0000805802"</f>
        <v>0000805802</v>
      </c>
      <c r="C5130" s="1" t="str">
        <f t="shared" si="2094"/>
        <v>0000805778</v>
      </c>
      <c r="D5130" s="1" t="str">
        <f t="shared" si="2097"/>
        <v>73185</v>
      </c>
      <c r="E5130" s="1" t="str">
        <f t="shared" si="2098"/>
        <v>KFH-OPERATIONS DEPARTMENT</v>
      </c>
      <c r="F5130" s="1" t="str">
        <f t="shared" si="2099"/>
        <v>IBG</v>
      </c>
      <c r="G5130" s="1" t="str">
        <f t="shared" si="2083"/>
        <v>Refund COSHARE 10</v>
      </c>
      <c r="H5130" s="3">
        <v>213</v>
      </c>
      <c r="I5130" s="4" t="str">
        <f>"ALBERT ANAK IPAN"</f>
        <v>ALBERT ANAK IPAN</v>
      </c>
      <c r="J5130" s="1" t="str">
        <f t="shared" si="2084"/>
        <v>MAYBANK / MAYBANK ISLAMIC</v>
      </c>
      <c r="K5130" s="1" t="str">
        <f>"161097094669"</f>
        <v>161097094669</v>
      </c>
      <c r="L5130" s="1" t="str">
        <f t="shared" si="2100"/>
        <v>04-08-2020</v>
      </c>
      <c r="M5130" s="1" t="str">
        <f t="shared" si="2100"/>
        <v>04-08-2020</v>
      </c>
      <c r="N5130" s="1" t="str">
        <f t="shared" si="2101"/>
        <v>001105018356</v>
      </c>
      <c r="O5130" s="1" t="str">
        <f t="shared" si="2102"/>
        <v>MYR</v>
      </c>
      <c r="P5130" s="1" t="str">
        <f t="shared" si="2103"/>
        <v>NIL</v>
      </c>
      <c r="Q5130" s="1" t="str">
        <f t="shared" si="2103"/>
        <v>NIL</v>
      </c>
      <c r="R5130" s="1" t="str">
        <f t="shared" si="2095"/>
        <v>Unsuccessful</v>
      </c>
      <c r="S5130" s="1" t="str">
        <f t="shared" si="2104"/>
        <v>Approved</v>
      </c>
      <c r="T5130" s="1" t="str">
        <f t="shared" si="2096"/>
        <v>10.20.201.88</v>
      </c>
      <c r="U5130" s="1" t="str">
        <f t="shared" si="2105"/>
        <v>AZRAD UMAR BIN SHAARI</v>
      </c>
      <c r="V5130" s="1" t="str">
        <f t="shared" si="2106"/>
        <v>FARHANA BINTI MUSTAPA</v>
      </c>
      <c r="W5130" s="1" t="str">
        <f t="shared" si="2107"/>
        <v>04-08-2020</v>
      </c>
      <c r="X5130" s="1" t="str">
        <f t="shared" si="2108"/>
        <v>RAZIMAH ANSAR AHMAD</v>
      </c>
      <c r="Y5130" s="1" t="str">
        <f t="shared" si="2109"/>
        <v>04-08-2020</v>
      </c>
      <c r="Z5130" s="1" t="str">
        <f>"COS10200804 4024"</f>
        <v>COS10200804 4024</v>
      </c>
    </row>
    <row r="5131" spans="1:26" s="1" customFormat="1" x14ac:dyDescent="0.25">
      <c r="A5131" s="1" t="str">
        <f t="shared" si="2093"/>
        <v>04-08-2020 12:48:13</v>
      </c>
      <c r="B5131" s="1" t="str">
        <f>"0000805801"</f>
        <v>0000805801</v>
      </c>
      <c r="C5131" s="1" t="str">
        <f t="shared" si="2094"/>
        <v>0000805778</v>
      </c>
      <c r="D5131" s="1" t="str">
        <f t="shared" si="2097"/>
        <v>73185</v>
      </c>
      <c r="E5131" s="1" t="str">
        <f t="shared" si="2098"/>
        <v>KFH-OPERATIONS DEPARTMENT</v>
      </c>
      <c r="F5131" s="1" t="str">
        <f t="shared" si="2099"/>
        <v>IBG</v>
      </c>
      <c r="G5131" s="1" t="str">
        <f t="shared" si="2083"/>
        <v>Refund COSHARE 10</v>
      </c>
      <c r="H5131" s="3">
        <v>713.6</v>
      </c>
      <c r="I5131" s="4" t="str">
        <f>"AL RASHID BIN HARUN"</f>
        <v>AL RASHID BIN HARUN</v>
      </c>
      <c r="J5131" s="1" t="str">
        <f t="shared" si="2084"/>
        <v>MAYBANK / MAYBANK ISLAMIC</v>
      </c>
      <c r="K5131" s="1" t="str">
        <f>"162218303661"</f>
        <v>162218303661</v>
      </c>
      <c r="L5131" s="1" t="str">
        <f t="shared" si="2100"/>
        <v>04-08-2020</v>
      </c>
      <c r="M5131" s="1" t="str">
        <f t="shared" si="2100"/>
        <v>04-08-2020</v>
      </c>
      <c r="N5131" s="1" t="str">
        <f t="shared" si="2101"/>
        <v>001105018356</v>
      </c>
      <c r="O5131" s="1" t="str">
        <f t="shared" si="2102"/>
        <v>MYR</v>
      </c>
      <c r="P5131" s="1" t="str">
        <f t="shared" si="2103"/>
        <v>NIL</v>
      </c>
      <c r="Q5131" s="1" t="str">
        <f t="shared" si="2103"/>
        <v>NIL</v>
      </c>
      <c r="R5131" s="1" t="str">
        <f t="shared" si="2095"/>
        <v>Unsuccessful</v>
      </c>
      <c r="S5131" s="1" t="str">
        <f t="shared" si="2104"/>
        <v>Approved</v>
      </c>
      <c r="T5131" s="1" t="str">
        <f t="shared" si="2096"/>
        <v>10.20.201.88</v>
      </c>
      <c r="U5131" s="1" t="str">
        <f t="shared" si="2105"/>
        <v>AZRAD UMAR BIN SHAARI</v>
      </c>
      <c r="V5131" s="1" t="str">
        <f t="shared" si="2106"/>
        <v>FARHANA BINTI MUSTAPA</v>
      </c>
      <c r="W5131" s="1" t="str">
        <f t="shared" si="2107"/>
        <v>04-08-2020</v>
      </c>
      <c r="X5131" s="1" t="str">
        <f t="shared" si="2108"/>
        <v>RAZIMAH ANSAR AHMAD</v>
      </c>
      <c r="Y5131" s="1" t="str">
        <f t="shared" si="2109"/>
        <v>04-08-2020</v>
      </c>
      <c r="Z5131" s="1" t="str">
        <f>"COS10200804 4023"</f>
        <v>COS10200804 4023</v>
      </c>
    </row>
    <row r="5132" spans="1:26" s="1" customFormat="1" x14ac:dyDescent="0.25">
      <c r="A5132" s="1" t="str">
        <f t="shared" si="2093"/>
        <v>04-08-2020 12:48:13</v>
      </c>
      <c r="B5132" s="1" t="str">
        <f>"0000805800"</f>
        <v>0000805800</v>
      </c>
      <c r="C5132" s="1" t="str">
        <f t="shared" si="2094"/>
        <v>0000805778</v>
      </c>
      <c r="D5132" s="1" t="str">
        <f t="shared" si="2097"/>
        <v>73185</v>
      </c>
      <c r="E5132" s="1" t="str">
        <f t="shared" si="2098"/>
        <v>KFH-OPERATIONS DEPARTMENT</v>
      </c>
      <c r="F5132" s="1" t="str">
        <f t="shared" si="2099"/>
        <v>IBG</v>
      </c>
      <c r="G5132" s="1" t="str">
        <f t="shared" ref="G5132:G5195" si="2110">"Refund COSHARE 10"</f>
        <v>Refund COSHARE 10</v>
      </c>
      <c r="H5132" s="3">
        <v>1419.8</v>
      </c>
      <c r="I5132" s="4" t="str">
        <f>"AL MUHAMMAD MUKMIN BIN ABDUL GHANI"</f>
        <v>AL MUHAMMAD MUKMIN BIN ABDUL GHANI</v>
      </c>
      <c r="J5132" s="1" t="str">
        <f t="shared" si="2084"/>
        <v>MAYBANK / MAYBANK ISLAMIC</v>
      </c>
      <c r="K5132" s="1" t="str">
        <f>"158015060094"</f>
        <v>158015060094</v>
      </c>
      <c r="L5132" s="1" t="str">
        <f t="shared" si="2100"/>
        <v>04-08-2020</v>
      </c>
      <c r="M5132" s="1" t="str">
        <f t="shared" si="2100"/>
        <v>04-08-2020</v>
      </c>
      <c r="N5132" s="1" t="str">
        <f t="shared" si="2101"/>
        <v>001105018356</v>
      </c>
      <c r="O5132" s="1" t="str">
        <f t="shared" si="2102"/>
        <v>MYR</v>
      </c>
      <c r="P5132" s="1" t="str">
        <f t="shared" si="2103"/>
        <v>NIL</v>
      </c>
      <c r="Q5132" s="1" t="str">
        <f t="shared" si="2103"/>
        <v>NIL</v>
      </c>
      <c r="R5132" s="1" t="str">
        <f t="shared" si="2095"/>
        <v>Unsuccessful</v>
      </c>
      <c r="S5132" s="1" t="str">
        <f t="shared" si="2104"/>
        <v>Approved</v>
      </c>
      <c r="T5132" s="1" t="str">
        <f t="shared" si="2096"/>
        <v>10.20.201.88</v>
      </c>
      <c r="U5132" s="1" t="str">
        <f t="shared" si="2105"/>
        <v>AZRAD UMAR BIN SHAARI</v>
      </c>
      <c r="V5132" s="1" t="str">
        <f t="shared" si="2106"/>
        <v>FARHANA BINTI MUSTAPA</v>
      </c>
      <c r="W5132" s="1" t="str">
        <f t="shared" si="2107"/>
        <v>04-08-2020</v>
      </c>
      <c r="X5132" s="1" t="str">
        <f t="shared" si="2108"/>
        <v>RAZIMAH ANSAR AHMAD</v>
      </c>
      <c r="Y5132" s="1" t="str">
        <f t="shared" si="2109"/>
        <v>04-08-2020</v>
      </c>
      <c r="Z5132" s="1" t="str">
        <f>"COS10200804 4022"</f>
        <v>COS10200804 4022</v>
      </c>
    </row>
    <row r="5133" spans="1:26" s="1" customFormat="1" x14ac:dyDescent="0.25">
      <c r="A5133" s="1" t="str">
        <f t="shared" si="2093"/>
        <v>04-08-2020 12:48:13</v>
      </c>
      <c r="B5133" s="1" t="str">
        <f>"0000805799"</f>
        <v>0000805799</v>
      </c>
      <c r="C5133" s="1" t="str">
        <f t="shared" si="2094"/>
        <v>0000805778</v>
      </c>
      <c r="D5133" s="1" t="str">
        <f t="shared" si="2097"/>
        <v>73185</v>
      </c>
      <c r="E5133" s="1" t="str">
        <f t="shared" si="2098"/>
        <v>KFH-OPERATIONS DEPARTMENT</v>
      </c>
      <c r="F5133" s="1" t="str">
        <f t="shared" si="2099"/>
        <v>IBG</v>
      </c>
      <c r="G5133" s="1" t="str">
        <f t="shared" si="2110"/>
        <v>Refund COSHARE 10</v>
      </c>
      <c r="H5133" s="3">
        <v>206.9</v>
      </c>
      <c r="I5133" s="4" t="str">
        <f>"AKHTAR SALMI BINTI MOHD YUSOF"</f>
        <v>AKHTAR SALMI BINTI MOHD YUSOF</v>
      </c>
      <c r="J5133" s="1" t="str">
        <f t="shared" si="2084"/>
        <v>MAYBANK / MAYBANK ISLAMIC</v>
      </c>
      <c r="K5133" s="1" t="str">
        <f>"162188328511"</f>
        <v>162188328511</v>
      </c>
      <c r="L5133" s="1" t="str">
        <f t="shared" si="2100"/>
        <v>04-08-2020</v>
      </c>
      <c r="M5133" s="1" t="str">
        <f t="shared" si="2100"/>
        <v>04-08-2020</v>
      </c>
      <c r="N5133" s="1" t="str">
        <f t="shared" si="2101"/>
        <v>001105018356</v>
      </c>
      <c r="O5133" s="1" t="str">
        <f t="shared" si="2102"/>
        <v>MYR</v>
      </c>
      <c r="P5133" s="1" t="str">
        <f t="shared" si="2103"/>
        <v>NIL</v>
      </c>
      <c r="Q5133" s="1" t="str">
        <f t="shared" si="2103"/>
        <v>NIL</v>
      </c>
      <c r="R5133" s="1" t="str">
        <f t="shared" si="2095"/>
        <v>Unsuccessful</v>
      </c>
      <c r="S5133" s="1" t="str">
        <f t="shared" si="2104"/>
        <v>Approved</v>
      </c>
      <c r="T5133" s="1" t="str">
        <f t="shared" si="2096"/>
        <v>10.20.201.88</v>
      </c>
      <c r="U5133" s="1" t="str">
        <f t="shared" si="2105"/>
        <v>AZRAD UMAR BIN SHAARI</v>
      </c>
      <c r="V5133" s="1" t="str">
        <f t="shared" si="2106"/>
        <v>FARHANA BINTI MUSTAPA</v>
      </c>
      <c r="W5133" s="1" t="str">
        <f t="shared" si="2107"/>
        <v>04-08-2020</v>
      </c>
      <c r="X5133" s="1" t="str">
        <f t="shared" si="2108"/>
        <v>RAZIMAH ANSAR AHMAD</v>
      </c>
      <c r="Y5133" s="1" t="str">
        <f t="shared" si="2109"/>
        <v>04-08-2020</v>
      </c>
      <c r="Z5133" s="1" t="str">
        <f>"COS10200804 4021"</f>
        <v>COS10200804 4021</v>
      </c>
    </row>
    <row r="5134" spans="1:26" s="1" customFormat="1" x14ac:dyDescent="0.25">
      <c r="A5134" s="1" t="str">
        <f t="shared" si="2093"/>
        <v>04-08-2020 12:48:13</v>
      </c>
      <c r="B5134" s="1" t="str">
        <f>"0000805798"</f>
        <v>0000805798</v>
      </c>
      <c r="C5134" s="1" t="str">
        <f t="shared" si="2094"/>
        <v>0000805778</v>
      </c>
      <c r="D5134" s="1" t="str">
        <f t="shared" si="2097"/>
        <v>73185</v>
      </c>
      <c r="E5134" s="1" t="str">
        <f t="shared" si="2098"/>
        <v>KFH-OPERATIONS DEPARTMENT</v>
      </c>
      <c r="F5134" s="1" t="str">
        <f t="shared" si="2099"/>
        <v>IBG</v>
      </c>
      <c r="G5134" s="1" t="str">
        <f t="shared" si="2110"/>
        <v>Refund COSHARE 10</v>
      </c>
      <c r="H5134" s="3">
        <v>84</v>
      </c>
      <c r="I5134" s="4" t="str">
        <f>"AKBAR BIN MOHD USENG"</f>
        <v>AKBAR BIN MOHD USENG</v>
      </c>
      <c r="J5134" s="1" t="str">
        <f t="shared" si="2084"/>
        <v>MAYBANK / MAYBANK ISLAMIC</v>
      </c>
      <c r="K5134" s="1" t="str">
        <f>"164155482111"</f>
        <v>164155482111</v>
      </c>
      <c r="L5134" s="1" t="str">
        <f t="shared" si="2100"/>
        <v>04-08-2020</v>
      </c>
      <c r="M5134" s="1" t="str">
        <f t="shared" si="2100"/>
        <v>04-08-2020</v>
      </c>
      <c r="N5134" s="1" t="str">
        <f t="shared" si="2101"/>
        <v>001105018356</v>
      </c>
      <c r="O5134" s="1" t="str">
        <f t="shared" si="2102"/>
        <v>MYR</v>
      </c>
      <c r="P5134" s="1" t="str">
        <f t="shared" si="2103"/>
        <v>NIL</v>
      </c>
      <c r="Q5134" s="1" t="str">
        <f t="shared" si="2103"/>
        <v>NIL</v>
      </c>
      <c r="R5134" s="1" t="str">
        <f t="shared" si="2095"/>
        <v>Unsuccessful</v>
      </c>
      <c r="S5134" s="1" t="str">
        <f t="shared" si="2104"/>
        <v>Approved</v>
      </c>
      <c r="T5134" s="1" t="str">
        <f t="shared" si="2096"/>
        <v>10.20.201.88</v>
      </c>
      <c r="U5134" s="1" t="str">
        <f t="shared" si="2105"/>
        <v>AZRAD UMAR BIN SHAARI</v>
      </c>
      <c r="V5134" s="1" t="str">
        <f t="shared" si="2106"/>
        <v>FARHANA BINTI MUSTAPA</v>
      </c>
      <c r="W5134" s="1" t="str">
        <f t="shared" si="2107"/>
        <v>04-08-2020</v>
      </c>
      <c r="X5134" s="1" t="str">
        <f t="shared" si="2108"/>
        <v>RAZIMAH ANSAR AHMAD</v>
      </c>
      <c r="Y5134" s="1" t="str">
        <f t="shared" si="2109"/>
        <v>04-08-2020</v>
      </c>
      <c r="Z5134" s="1" t="str">
        <f>"COS10200804 4020"</f>
        <v>COS10200804 4020</v>
      </c>
    </row>
    <row r="5135" spans="1:26" s="1" customFormat="1" x14ac:dyDescent="0.25">
      <c r="A5135" s="1" t="str">
        <f t="shared" si="2093"/>
        <v>04-08-2020 12:48:13</v>
      </c>
      <c r="B5135" s="1" t="str">
        <f>"0000805797"</f>
        <v>0000805797</v>
      </c>
      <c r="C5135" s="1" t="str">
        <f t="shared" si="2094"/>
        <v>0000805778</v>
      </c>
      <c r="D5135" s="1" t="str">
        <f t="shared" si="2097"/>
        <v>73185</v>
      </c>
      <c r="E5135" s="1" t="str">
        <f t="shared" si="2098"/>
        <v>KFH-OPERATIONS DEPARTMENT</v>
      </c>
      <c r="F5135" s="1" t="str">
        <f t="shared" si="2099"/>
        <v>IBG</v>
      </c>
      <c r="G5135" s="1" t="str">
        <f t="shared" si="2110"/>
        <v>Refund COSHARE 10</v>
      </c>
      <c r="H5135" s="3">
        <v>394.6</v>
      </c>
      <c r="I5135" s="4" t="str">
        <f>"AKBAR BIN MOHD USENG"</f>
        <v>AKBAR BIN MOHD USENG</v>
      </c>
      <c r="J5135" s="1" t="str">
        <f t="shared" si="2084"/>
        <v>MAYBANK / MAYBANK ISLAMIC</v>
      </c>
      <c r="K5135" s="1" t="str">
        <f>"164155482111"</f>
        <v>164155482111</v>
      </c>
      <c r="L5135" s="1" t="str">
        <f t="shared" si="2100"/>
        <v>04-08-2020</v>
      </c>
      <c r="M5135" s="1" t="str">
        <f t="shared" si="2100"/>
        <v>04-08-2020</v>
      </c>
      <c r="N5135" s="1" t="str">
        <f t="shared" si="2101"/>
        <v>001105018356</v>
      </c>
      <c r="O5135" s="1" t="str">
        <f t="shared" si="2102"/>
        <v>MYR</v>
      </c>
      <c r="P5135" s="1" t="str">
        <f t="shared" si="2103"/>
        <v>NIL</v>
      </c>
      <c r="Q5135" s="1" t="str">
        <f t="shared" si="2103"/>
        <v>NIL</v>
      </c>
      <c r="R5135" s="1" t="str">
        <f t="shared" si="2095"/>
        <v>Unsuccessful</v>
      </c>
      <c r="S5135" s="1" t="str">
        <f t="shared" si="2104"/>
        <v>Approved</v>
      </c>
      <c r="T5135" s="1" t="str">
        <f t="shared" si="2096"/>
        <v>10.20.201.88</v>
      </c>
      <c r="U5135" s="1" t="str">
        <f t="shared" si="2105"/>
        <v>AZRAD UMAR BIN SHAARI</v>
      </c>
      <c r="V5135" s="1" t="str">
        <f t="shared" si="2106"/>
        <v>FARHANA BINTI MUSTAPA</v>
      </c>
      <c r="W5135" s="1" t="str">
        <f t="shared" si="2107"/>
        <v>04-08-2020</v>
      </c>
      <c r="X5135" s="1" t="str">
        <f t="shared" si="2108"/>
        <v>RAZIMAH ANSAR AHMAD</v>
      </c>
      <c r="Y5135" s="1" t="str">
        <f t="shared" si="2109"/>
        <v>04-08-2020</v>
      </c>
      <c r="Z5135" s="1" t="str">
        <f>"COS10200804 4019"</f>
        <v>COS10200804 4019</v>
      </c>
    </row>
    <row r="5136" spans="1:26" s="1" customFormat="1" x14ac:dyDescent="0.25">
      <c r="A5136" s="1" t="str">
        <f t="shared" si="2093"/>
        <v>04-08-2020 12:48:13</v>
      </c>
      <c r="B5136" s="1" t="str">
        <f>"0000805796"</f>
        <v>0000805796</v>
      </c>
      <c r="C5136" s="1" t="str">
        <f t="shared" si="2094"/>
        <v>0000805778</v>
      </c>
      <c r="D5136" s="1" t="str">
        <f t="shared" si="2097"/>
        <v>73185</v>
      </c>
      <c r="E5136" s="1" t="str">
        <f t="shared" si="2098"/>
        <v>KFH-OPERATIONS DEPARTMENT</v>
      </c>
      <c r="F5136" s="1" t="str">
        <f t="shared" si="2099"/>
        <v>IBG</v>
      </c>
      <c r="G5136" s="1" t="str">
        <f t="shared" si="2110"/>
        <v>Refund COSHARE 10</v>
      </c>
      <c r="H5136" s="3">
        <v>537.29999999999995</v>
      </c>
      <c r="I5136" s="4" t="str">
        <f>"AK MOHD RAFIE BIN PG BAHA"</f>
        <v>AK MOHD RAFIE BIN PG BAHA</v>
      </c>
      <c r="J5136" s="1" t="str">
        <f t="shared" si="2084"/>
        <v>MAYBANK / MAYBANK ISLAMIC</v>
      </c>
      <c r="K5136" s="1" t="str">
        <f>"160278023849"</f>
        <v>160278023849</v>
      </c>
      <c r="L5136" s="1" t="str">
        <f t="shared" si="2100"/>
        <v>04-08-2020</v>
      </c>
      <c r="M5136" s="1" t="str">
        <f t="shared" si="2100"/>
        <v>04-08-2020</v>
      </c>
      <c r="N5136" s="1" t="str">
        <f t="shared" si="2101"/>
        <v>001105018356</v>
      </c>
      <c r="O5136" s="1" t="str">
        <f t="shared" si="2102"/>
        <v>MYR</v>
      </c>
      <c r="P5136" s="1" t="str">
        <f t="shared" si="2103"/>
        <v>NIL</v>
      </c>
      <c r="Q5136" s="1" t="str">
        <f t="shared" si="2103"/>
        <v>NIL</v>
      </c>
      <c r="R5136" s="1" t="str">
        <f t="shared" si="2095"/>
        <v>Unsuccessful</v>
      </c>
      <c r="S5136" s="1" t="str">
        <f t="shared" si="2104"/>
        <v>Approved</v>
      </c>
      <c r="T5136" s="1" t="str">
        <f t="shared" si="2096"/>
        <v>10.20.201.88</v>
      </c>
      <c r="U5136" s="1" t="str">
        <f t="shared" si="2105"/>
        <v>AZRAD UMAR BIN SHAARI</v>
      </c>
      <c r="V5136" s="1" t="str">
        <f t="shared" si="2106"/>
        <v>FARHANA BINTI MUSTAPA</v>
      </c>
      <c r="W5136" s="1" t="str">
        <f t="shared" si="2107"/>
        <v>04-08-2020</v>
      </c>
      <c r="X5136" s="1" t="str">
        <f t="shared" si="2108"/>
        <v>RAZIMAH ANSAR AHMAD</v>
      </c>
      <c r="Y5136" s="1" t="str">
        <f t="shared" si="2109"/>
        <v>04-08-2020</v>
      </c>
      <c r="Z5136" s="1" t="str">
        <f>"COS10200804 4018"</f>
        <v>COS10200804 4018</v>
      </c>
    </row>
    <row r="5137" spans="1:26" s="1" customFormat="1" x14ac:dyDescent="0.25">
      <c r="A5137" s="1" t="str">
        <f t="shared" si="2093"/>
        <v>04-08-2020 12:48:13</v>
      </c>
      <c r="B5137" s="1" t="str">
        <f>"0000805795"</f>
        <v>0000805795</v>
      </c>
      <c r="C5137" s="1" t="str">
        <f t="shared" si="2094"/>
        <v>0000805778</v>
      </c>
      <c r="D5137" s="1" t="str">
        <f t="shared" si="2097"/>
        <v>73185</v>
      </c>
      <c r="E5137" s="1" t="str">
        <f t="shared" si="2098"/>
        <v>KFH-OPERATIONS DEPARTMENT</v>
      </c>
      <c r="F5137" s="1" t="str">
        <f t="shared" si="2099"/>
        <v>IBG</v>
      </c>
      <c r="G5137" s="1" t="str">
        <f t="shared" si="2110"/>
        <v>Refund COSHARE 10</v>
      </c>
      <c r="H5137" s="3">
        <v>411.35</v>
      </c>
      <c r="I5137" s="4" t="str">
        <f>"AJAMA AIN BIN SANUCY"</f>
        <v>AJAMA AIN BIN SANUCY</v>
      </c>
      <c r="J5137" s="1" t="str">
        <f t="shared" ref="J5137:J5200" si="2111">"MAYBANK / MAYBANK ISLAMIC"</f>
        <v>MAYBANK / MAYBANK ISLAMIC</v>
      </c>
      <c r="K5137" s="1" t="str">
        <f>"511056053272"</f>
        <v>511056053272</v>
      </c>
      <c r="L5137" s="1" t="str">
        <f t="shared" si="2100"/>
        <v>04-08-2020</v>
      </c>
      <c r="M5137" s="1" t="str">
        <f t="shared" si="2100"/>
        <v>04-08-2020</v>
      </c>
      <c r="N5137" s="1" t="str">
        <f t="shared" si="2101"/>
        <v>001105018356</v>
      </c>
      <c r="O5137" s="1" t="str">
        <f t="shared" si="2102"/>
        <v>MYR</v>
      </c>
      <c r="P5137" s="1" t="str">
        <f t="shared" si="2103"/>
        <v>NIL</v>
      </c>
      <c r="Q5137" s="1" t="str">
        <f t="shared" si="2103"/>
        <v>NIL</v>
      </c>
      <c r="R5137" s="1" t="str">
        <f t="shared" si="2095"/>
        <v>Unsuccessful</v>
      </c>
      <c r="S5137" s="1" t="str">
        <f t="shared" si="2104"/>
        <v>Approved</v>
      </c>
      <c r="T5137" s="1" t="str">
        <f t="shared" si="2096"/>
        <v>10.20.201.88</v>
      </c>
      <c r="U5137" s="1" t="str">
        <f t="shared" si="2105"/>
        <v>AZRAD UMAR BIN SHAARI</v>
      </c>
      <c r="V5137" s="1" t="str">
        <f t="shared" si="2106"/>
        <v>FARHANA BINTI MUSTAPA</v>
      </c>
      <c r="W5137" s="1" t="str">
        <f t="shared" si="2107"/>
        <v>04-08-2020</v>
      </c>
      <c r="X5137" s="1" t="str">
        <f t="shared" si="2108"/>
        <v>RAZIMAH ANSAR AHMAD</v>
      </c>
      <c r="Y5137" s="1" t="str">
        <f t="shared" si="2109"/>
        <v>04-08-2020</v>
      </c>
      <c r="Z5137" s="1" t="str">
        <f>"COS10200804 4017"</f>
        <v>COS10200804 4017</v>
      </c>
    </row>
    <row r="5138" spans="1:26" s="1" customFormat="1" x14ac:dyDescent="0.25">
      <c r="A5138" s="1" t="str">
        <f t="shared" si="2093"/>
        <v>04-08-2020 12:48:13</v>
      </c>
      <c r="B5138" s="1" t="str">
        <f>"0000805794"</f>
        <v>0000805794</v>
      </c>
      <c r="C5138" s="1" t="str">
        <f t="shared" si="2094"/>
        <v>0000805778</v>
      </c>
      <c r="D5138" s="1" t="str">
        <f t="shared" si="2097"/>
        <v>73185</v>
      </c>
      <c r="E5138" s="1" t="str">
        <f t="shared" si="2098"/>
        <v>KFH-OPERATIONS DEPARTMENT</v>
      </c>
      <c r="F5138" s="1" t="str">
        <f t="shared" si="2099"/>
        <v>IBG</v>
      </c>
      <c r="G5138" s="1" t="str">
        <f t="shared" si="2110"/>
        <v>Refund COSHARE 10</v>
      </c>
      <c r="H5138" s="3">
        <v>167.9</v>
      </c>
      <c r="I5138" s="4" t="str">
        <f>"AIZAT ZUL HELMI BIN AMRAN"</f>
        <v>AIZAT ZUL HELMI BIN AMRAN</v>
      </c>
      <c r="J5138" s="1" t="str">
        <f t="shared" si="2111"/>
        <v>MAYBANK / MAYBANK ISLAMIC</v>
      </c>
      <c r="K5138" s="1" t="str">
        <f>"151044045605"</f>
        <v>151044045605</v>
      </c>
      <c r="L5138" s="1" t="str">
        <f t="shared" si="2100"/>
        <v>04-08-2020</v>
      </c>
      <c r="M5138" s="1" t="str">
        <f t="shared" si="2100"/>
        <v>04-08-2020</v>
      </c>
      <c r="N5138" s="1" t="str">
        <f t="shared" si="2101"/>
        <v>001105018356</v>
      </c>
      <c r="O5138" s="1" t="str">
        <f t="shared" si="2102"/>
        <v>MYR</v>
      </c>
      <c r="P5138" s="1" t="str">
        <f t="shared" si="2103"/>
        <v>NIL</v>
      </c>
      <c r="Q5138" s="1" t="str">
        <f t="shared" si="2103"/>
        <v>NIL</v>
      </c>
      <c r="R5138" s="1" t="str">
        <f t="shared" si="2095"/>
        <v>Unsuccessful</v>
      </c>
      <c r="S5138" s="1" t="str">
        <f t="shared" si="2104"/>
        <v>Approved</v>
      </c>
      <c r="T5138" s="1" t="str">
        <f t="shared" si="2096"/>
        <v>10.20.201.88</v>
      </c>
      <c r="U5138" s="1" t="str">
        <f t="shared" si="2105"/>
        <v>AZRAD UMAR BIN SHAARI</v>
      </c>
      <c r="V5138" s="1" t="str">
        <f t="shared" si="2106"/>
        <v>FARHANA BINTI MUSTAPA</v>
      </c>
      <c r="W5138" s="1" t="str">
        <f t="shared" si="2107"/>
        <v>04-08-2020</v>
      </c>
      <c r="X5138" s="1" t="str">
        <f t="shared" si="2108"/>
        <v>RAZIMAH ANSAR AHMAD</v>
      </c>
      <c r="Y5138" s="1" t="str">
        <f t="shared" si="2109"/>
        <v>04-08-2020</v>
      </c>
      <c r="Z5138" s="1" t="str">
        <f>"COS10200804 4016"</f>
        <v>COS10200804 4016</v>
      </c>
    </row>
    <row r="5139" spans="1:26" s="1" customFormat="1" x14ac:dyDescent="0.25">
      <c r="A5139" s="1" t="str">
        <f t="shared" si="2093"/>
        <v>04-08-2020 12:48:13</v>
      </c>
      <c r="B5139" s="1" t="str">
        <f>"0000805793"</f>
        <v>0000805793</v>
      </c>
      <c r="C5139" s="1" t="str">
        <f t="shared" si="2094"/>
        <v>0000805778</v>
      </c>
      <c r="D5139" s="1" t="str">
        <f t="shared" si="2097"/>
        <v>73185</v>
      </c>
      <c r="E5139" s="1" t="str">
        <f t="shared" si="2098"/>
        <v>KFH-OPERATIONS DEPARTMENT</v>
      </c>
      <c r="F5139" s="1" t="str">
        <f t="shared" si="2099"/>
        <v>IBG</v>
      </c>
      <c r="G5139" s="1" t="str">
        <f t="shared" si="2110"/>
        <v>Refund COSHARE 10</v>
      </c>
      <c r="H5139" s="3">
        <v>491.15</v>
      </c>
      <c r="I5139" s="4" t="str">
        <f>"AIZAT BIN OSMAN  OTHMAN"</f>
        <v>AIZAT BIN OSMAN  OTHMAN</v>
      </c>
      <c r="J5139" s="1" t="str">
        <f t="shared" si="2111"/>
        <v>MAYBANK / MAYBANK ISLAMIC</v>
      </c>
      <c r="K5139" s="1" t="str">
        <f>"151052125389"</f>
        <v>151052125389</v>
      </c>
      <c r="L5139" s="1" t="str">
        <f t="shared" si="2100"/>
        <v>04-08-2020</v>
      </c>
      <c r="M5139" s="1" t="str">
        <f t="shared" si="2100"/>
        <v>04-08-2020</v>
      </c>
      <c r="N5139" s="1" t="str">
        <f t="shared" si="2101"/>
        <v>001105018356</v>
      </c>
      <c r="O5139" s="1" t="str">
        <f t="shared" si="2102"/>
        <v>MYR</v>
      </c>
      <c r="P5139" s="1" t="str">
        <f t="shared" si="2103"/>
        <v>NIL</v>
      </c>
      <c r="Q5139" s="1" t="str">
        <f t="shared" si="2103"/>
        <v>NIL</v>
      </c>
      <c r="R5139" s="1" t="str">
        <f t="shared" si="2095"/>
        <v>Unsuccessful</v>
      </c>
      <c r="S5139" s="1" t="str">
        <f t="shared" si="2104"/>
        <v>Approved</v>
      </c>
      <c r="T5139" s="1" t="str">
        <f t="shared" si="2096"/>
        <v>10.20.201.88</v>
      </c>
      <c r="U5139" s="1" t="str">
        <f t="shared" si="2105"/>
        <v>AZRAD UMAR BIN SHAARI</v>
      </c>
      <c r="V5139" s="1" t="str">
        <f t="shared" si="2106"/>
        <v>FARHANA BINTI MUSTAPA</v>
      </c>
      <c r="W5139" s="1" t="str">
        <f t="shared" si="2107"/>
        <v>04-08-2020</v>
      </c>
      <c r="X5139" s="1" t="str">
        <f t="shared" si="2108"/>
        <v>RAZIMAH ANSAR AHMAD</v>
      </c>
      <c r="Y5139" s="1" t="str">
        <f t="shared" si="2109"/>
        <v>04-08-2020</v>
      </c>
      <c r="Z5139" s="1" t="str">
        <f>"COS10200804 4015"</f>
        <v>COS10200804 4015</v>
      </c>
    </row>
    <row r="5140" spans="1:26" s="1" customFormat="1" x14ac:dyDescent="0.25">
      <c r="A5140" s="1" t="str">
        <f t="shared" si="2093"/>
        <v>04-08-2020 12:48:13</v>
      </c>
      <c r="B5140" s="1" t="str">
        <f>"0000805792"</f>
        <v>0000805792</v>
      </c>
      <c r="C5140" s="1" t="str">
        <f t="shared" si="2094"/>
        <v>0000805778</v>
      </c>
      <c r="D5140" s="1" t="str">
        <f t="shared" si="2097"/>
        <v>73185</v>
      </c>
      <c r="E5140" s="1" t="str">
        <f t="shared" si="2098"/>
        <v>KFH-OPERATIONS DEPARTMENT</v>
      </c>
      <c r="F5140" s="1" t="str">
        <f t="shared" si="2099"/>
        <v>IBG</v>
      </c>
      <c r="G5140" s="1" t="str">
        <f t="shared" si="2110"/>
        <v>Refund COSHARE 10</v>
      </c>
      <c r="H5140" s="3">
        <v>940.25</v>
      </c>
      <c r="I5140" s="4" t="str">
        <f>"AIZAM NIZAM BIN ADNAN"</f>
        <v>AIZAM NIZAM BIN ADNAN</v>
      </c>
      <c r="J5140" s="1" t="str">
        <f t="shared" si="2111"/>
        <v>MAYBANK / MAYBANK ISLAMIC</v>
      </c>
      <c r="K5140" s="1" t="str">
        <f>"164472233960"</f>
        <v>164472233960</v>
      </c>
      <c r="L5140" s="1" t="str">
        <f t="shared" si="2100"/>
        <v>04-08-2020</v>
      </c>
      <c r="M5140" s="1" t="str">
        <f t="shared" si="2100"/>
        <v>04-08-2020</v>
      </c>
      <c r="N5140" s="1" t="str">
        <f t="shared" si="2101"/>
        <v>001105018356</v>
      </c>
      <c r="O5140" s="1" t="str">
        <f t="shared" si="2102"/>
        <v>MYR</v>
      </c>
      <c r="P5140" s="1" t="str">
        <f t="shared" si="2103"/>
        <v>NIL</v>
      </c>
      <c r="Q5140" s="1" t="str">
        <f t="shared" si="2103"/>
        <v>NIL</v>
      </c>
      <c r="R5140" s="1" t="str">
        <f t="shared" si="2095"/>
        <v>Unsuccessful</v>
      </c>
      <c r="S5140" s="1" t="str">
        <f t="shared" si="2104"/>
        <v>Approved</v>
      </c>
      <c r="T5140" s="1" t="str">
        <f t="shared" si="2096"/>
        <v>10.20.201.88</v>
      </c>
      <c r="U5140" s="1" t="str">
        <f t="shared" si="2105"/>
        <v>AZRAD UMAR BIN SHAARI</v>
      </c>
      <c r="V5140" s="1" t="str">
        <f t="shared" si="2106"/>
        <v>FARHANA BINTI MUSTAPA</v>
      </c>
      <c r="W5140" s="1" t="str">
        <f t="shared" si="2107"/>
        <v>04-08-2020</v>
      </c>
      <c r="X5140" s="1" t="str">
        <f t="shared" si="2108"/>
        <v>RAZIMAH ANSAR AHMAD</v>
      </c>
      <c r="Y5140" s="1" t="str">
        <f t="shared" si="2109"/>
        <v>04-08-2020</v>
      </c>
      <c r="Z5140" s="1" t="str">
        <f>"COS10200804 4014"</f>
        <v>COS10200804 4014</v>
      </c>
    </row>
    <row r="5141" spans="1:26" s="1" customFormat="1" x14ac:dyDescent="0.25">
      <c r="A5141" s="1" t="str">
        <f t="shared" si="2093"/>
        <v>04-08-2020 12:48:13</v>
      </c>
      <c r="B5141" s="1" t="str">
        <f>"0000805791"</f>
        <v>0000805791</v>
      </c>
      <c r="C5141" s="1" t="str">
        <f t="shared" si="2094"/>
        <v>0000805778</v>
      </c>
      <c r="D5141" s="1" t="str">
        <f t="shared" si="2097"/>
        <v>73185</v>
      </c>
      <c r="E5141" s="1" t="str">
        <f t="shared" si="2098"/>
        <v>KFH-OPERATIONS DEPARTMENT</v>
      </c>
      <c r="F5141" s="1" t="str">
        <f t="shared" si="2099"/>
        <v>IBG</v>
      </c>
      <c r="G5141" s="1" t="str">
        <f t="shared" si="2110"/>
        <v>Refund COSHARE 10</v>
      </c>
      <c r="H5141" s="3">
        <v>982.25</v>
      </c>
      <c r="I5141" s="4" t="str">
        <f>"AIZAM AZLIM BIN MOHD NOR"</f>
        <v>AIZAM AZLIM BIN MOHD NOR</v>
      </c>
      <c r="J5141" s="1" t="str">
        <f t="shared" si="2111"/>
        <v>MAYBANK / MAYBANK ISLAMIC</v>
      </c>
      <c r="K5141" s="1" t="str">
        <f>"105046529000"</f>
        <v>105046529000</v>
      </c>
      <c r="L5141" s="1" t="str">
        <f t="shared" si="2100"/>
        <v>04-08-2020</v>
      </c>
      <c r="M5141" s="1" t="str">
        <f t="shared" si="2100"/>
        <v>04-08-2020</v>
      </c>
      <c r="N5141" s="1" t="str">
        <f t="shared" si="2101"/>
        <v>001105018356</v>
      </c>
      <c r="O5141" s="1" t="str">
        <f t="shared" si="2102"/>
        <v>MYR</v>
      </c>
      <c r="P5141" s="1" t="str">
        <f t="shared" si="2103"/>
        <v>NIL</v>
      </c>
      <c r="Q5141" s="1" t="str">
        <f t="shared" si="2103"/>
        <v>NIL</v>
      </c>
      <c r="R5141" s="1" t="str">
        <f t="shared" si="2095"/>
        <v>Unsuccessful</v>
      </c>
      <c r="S5141" s="1" t="str">
        <f t="shared" si="2104"/>
        <v>Approved</v>
      </c>
      <c r="T5141" s="1" t="str">
        <f t="shared" si="2096"/>
        <v>10.20.201.88</v>
      </c>
      <c r="U5141" s="1" t="str">
        <f t="shared" si="2105"/>
        <v>AZRAD UMAR BIN SHAARI</v>
      </c>
      <c r="V5141" s="1" t="str">
        <f t="shared" si="2106"/>
        <v>FARHANA BINTI MUSTAPA</v>
      </c>
      <c r="W5141" s="1" t="str">
        <f t="shared" si="2107"/>
        <v>04-08-2020</v>
      </c>
      <c r="X5141" s="1" t="str">
        <f t="shared" si="2108"/>
        <v>RAZIMAH ANSAR AHMAD</v>
      </c>
      <c r="Y5141" s="1" t="str">
        <f t="shared" si="2109"/>
        <v>04-08-2020</v>
      </c>
      <c r="Z5141" s="1" t="str">
        <f>"COS10200804 4013"</f>
        <v>COS10200804 4013</v>
      </c>
    </row>
    <row r="5142" spans="1:26" s="1" customFormat="1" x14ac:dyDescent="0.25">
      <c r="A5142" s="1" t="str">
        <f t="shared" si="2093"/>
        <v>04-08-2020 12:48:13</v>
      </c>
      <c r="B5142" s="1" t="str">
        <f>"0000805790"</f>
        <v>0000805790</v>
      </c>
      <c r="C5142" s="1" t="str">
        <f t="shared" si="2094"/>
        <v>0000805778</v>
      </c>
      <c r="D5142" s="1" t="str">
        <f t="shared" si="2097"/>
        <v>73185</v>
      </c>
      <c r="E5142" s="1" t="str">
        <f t="shared" si="2098"/>
        <v>KFH-OPERATIONS DEPARTMENT</v>
      </c>
      <c r="F5142" s="1" t="str">
        <f t="shared" si="2099"/>
        <v>IBG</v>
      </c>
      <c r="G5142" s="1" t="str">
        <f t="shared" si="2110"/>
        <v>Refund COSHARE 10</v>
      </c>
      <c r="H5142" s="3">
        <v>805.95</v>
      </c>
      <c r="I5142" s="4" t="str">
        <f>"AISYA NORA BINTI JAMALUDIN"</f>
        <v>AISYA NORA BINTI JAMALUDIN</v>
      </c>
      <c r="J5142" s="1" t="str">
        <f t="shared" si="2111"/>
        <v>MAYBANK / MAYBANK ISLAMIC</v>
      </c>
      <c r="K5142" s="1" t="str">
        <f>"101245044827"</f>
        <v>101245044827</v>
      </c>
      <c r="L5142" s="1" t="str">
        <f t="shared" si="2100"/>
        <v>04-08-2020</v>
      </c>
      <c r="M5142" s="1" t="str">
        <f t="shared" si="2100"/>
        <v>04-08-2020</v>
      </c>
      <c r="N5142" s="1" t="str">
        <f t="shared" si="2101"/>
        <v>001105018356</v>
      </c>
      <c r="O5142" s="1" t="str">
        <f t="shared" si="2102"/>
        <v>MYR</v>
      </c>
      <c r="P5142" s="1" t="str">
        <f t="shared" si="2103"/>
        <v>NIL</v>
      </c>
      <c r="Q5142" s="1" t="str">
        <f t="shared" si="2103"/>
        <v>NIL</v>
      </c>
      <c r="R5142" s="1" t="str">
        <f t="shared" si="2095"/>
        <v>Unsuccessful</v>
      </c>
      <c r="S5142" s="1" t="str">
        <f t="shared" si="2104"/>
        <v>Approved</v>
      </c>
      <c r="T5142" s="1" t="str">
        <f t="shared" si="2096"/>
        <v>10.20.201.88</v>
      </c>
      <c r="U5142" s="1" t="str">
        <f t="shared" si="2105"/>
        <v>AZRAD UMAR BIN SHAARI</v>
      </c>
      <c r="V5142" s="1" t="str">
        <f t="shared" si="2106"/>
        <v>FARHANA BINTI MUSTAPA</v>
      </c>
      <c r="W5142" s="1" t="str">
        <f t="shared" si="2107"/>
        <v>04-08-2020</v>
      </c>
      <c r="X5142" s="1" t="str">
        <f t="shared" si="2108"/>
        <v>RAZIMAH ANSAR AHMAD</v>
      </c>
      <c r="Y5142" s="1" t="str">
        <f t="shared" si="2109"/>
        <v>04-08-2020</v>
      </c>
      <c r="Z5142" s="1" t="str">
        <f>"COS10200804 4012"</f>
        <v>COS10200804 4012</v>
      </c>
    </row>
    <row r="5143" spans="1:26" s="1" customFormat="1" x14ac:dyDescent="0.25">
      <c r="A5143" s="1" t="str">
        <f t="shared" si="2093"/>
        <v>04-08-2020 12:48:13</v>
      </c>
      <c r="B5143" s="1" t="str">
        <f>"0000805789"</f>
        <v>0000805789</v>
      </c>
      <c r="C5143" s="1" t="str">
        <f t="shared" si="2094"/>
        <v>0000805778</v>
      </c>
      <c r="D5143" s="1" t="str">
        <f t="shared" si="2097"/>
        <v>73185</v>
      </c>
      <c r="E5143" s="1" t="str">
        <f t="shared" si="2098"/>
        <v>KFH-OPERATIONS DEPARTMENT</v>
      </c>
      <c r="F5143" s="1" t="str">
        <f t="shared" si="2099"/>
        <v>IBG</v>
      </c>
      <c r="G5143" s="1" t="str">
        <f t="shared" si="2110"/>
        <v>Refund COSHARE 10</v>
      </c>
      <c r="H5143" s="3">
        <v>881.5</v>
      </c>
      <c r="I5143" s="4" t="str">
        <f>"AISHATULELYANA BINTI SHAFIE"</f>
        <v>AISHATULELYANA BINTI SHAFIE</v>
      </c>
      <c r="J5143" s="1" t="str">
        <f t="shared" si="2111"/>
        <v>MAYBANK / MAYBANK ISLAMIC</v>
      </c>
      <c r="K5143" s="1" t="str">
        <f>"114114735576"</f>
        <v>114114735576</v>
      </c>
      <c r="L5143" s="1" t="str">
        <f t="shared" si="2100"/>
        <v>04-08-2020</v>
      </c>
      <c r="M5143" s="1" t="str">
        <f t="shared" si="2100"/>
        <v>04-08-2020</v>
      </c>
      <c r="N5143" s="1" t="str">
        <f t="shared" si="2101"/>
        <v>001105018356</v>
      </c>
      <c r="O5143" s="1" t="str">
        <f t="shared" si="2102"/>
        <v>MYR</v>
      </c>
      <c r="P5143" s="1" t="str">
        <f t="shared" si="2103"/>
        <v>NIL</v>
      </c>
      <c r="Q5143" s="1" t="str">
        <f t="shared" si="2103"/>
        <v>NIL</v>
      </c>
      <c r="R5143" s="1" t="str">
        <f t="shared" si="2095"/>
        <v>Unsuccessful</v>
      </c>
      <c r="S5143" s="1" t="str">
        <f t="shared" si="2104"/>
        <v>Approved</v>
      </c>
      <c r="T5143" s="1" t="str">
        <f t="shared" si="2096"/>
        <v>10.20.201.88</v>
      </c>
      <c r="U5143" s="1" t="str">
        <f t="shared" si="2105"/>
        <v>AZRAD UMAR BIN SHAARI</v>
      </c>
      <c r="V5143" s="1" t="str">
        <f t="shared" si="2106"/>
        <v>FARHANA BINTI MUSTAPA</v>
      </c>
      <c r="W5143" s="1" t="str">
        <f t="shared" si="2107"/>
        <v>04-08-2020</v>
      </c>
      <c r="X5143" s="1" t="str">
        <f t="shared" si="2108"/>
        <v>RAZIMAH ANSAR AHMAD</v>
      </c>
      <c r="Y5143" s="1" t="str">
        <f t="shared" si="2109"/>
        <v>04-08-2020</v>
      </c>
      <c r="Z5143" s="1" t="str">
        <f>"COS10200804 4011"</f>
        <v>COS10200804 4011</v>
      </c>
    </row>
    <row r="5144" spans="1:26" s="1" customFormat="1" x14ac:dyDescent="0.25">
      <c r="A5144" s="1" t="str">
        <f t="shared" si="2093"/>
        <v>04-08-2020 12:48:13</v>
      </c>
      <c r="B5144" s="1" t="str">
        <f>"0000805788"</f>
        <v>0000805788</v>
      </c>
      <c r="C5144" s="1" t="str">
        <f t="shared" si="2094"/>
        <v>0000805778</v>
      </c>
      <c r="D5144" s="1" t="str">
        <f t="shared" si="2097"/>
        <v>73185</v>
      </c>
      <c r="E5144" s="1" t="str">
        <f t="shared" si="2098"/>
        <v>KFH-OPERATIONS DEPARTMENT</v>
      </c>
      <c r="F5144" s="1" t="str">
        <f t="shared" si="2099"/>
        <v>IBG</v>
      </c>
      <c r="G5144" s="1" t="str">
        <f t="shared" si="2110"/>
        <v>Refund COSHARE 10</v>
      </c>
      <c r="H5144" s="3">
        <v>327</v>
      </c>
      <c r="I5144" s="4" t="str">
        <f>"AISHAH HANINI BINTI SAARI"</f>
        <v>AISHAH HANINI BINTI SAARI</v>
      </c>
      <c r="J5144" s="1" t="str">
        <f t="shared" si="2111"/>
        <v>MAYBANK / MAYBANK ISLAMIC</v>
      </c>
      <c r="K5144" s="1" t="str">
        <f>"162143073418"</f>
        <v>162143073418</v>
      </c>
      <c r="L5144" s="1" t="str">
        <f t="shared" si="2100"/>
        <v>04-08-2020</v>
      </c>
      <c r="M5144" s="1" t="str">
        <f t="shared" si="2100"/>
        <v>04-08-2020</v>
      </c>
      <c r="N5144" s="1" t="str">
        <f t="shared" si="2101"/>
        <v>001105018356</v>
      </c>
      <c r="O5144" s="1" t="str">
        <f t="shared" si="2102"/>
        <v>MYR</v>
      </c>
      <c r="P5144" s="1" t="str">
        <f t="shared" si="2103"/>
        <v>NIL</v>
      </c>
      <c r="Q5144" s="1" t="str">
        <f t="shared" si="2103"/>
        <v>NIL</v>
      </c>
      <c r="R5144" s="1" t="str">
        <f t="shared" si="2095"/>
        <v>Unsuccessful</v>
      </c>
      <c r="S5144" s="1" t="str">
        <f t="shared" si="2104"/>
        <v>Approved</v>
      </c>
      <c r="T5144" s="1" t="str">
        <f t="shared" si="2096"/>
        <v>10.20.201.88</v>
      </c>
      <c r="U5144" s="1" t="str">
        <f t="shared" si="2105"/>
        <v>AZRAD UMAR BIN SHAARI</v>
      </c>
      <c r="V5144" s="1" t="str">
        <f t="shared" si="2106"/>
        <v>FARHANA BINTI MUSTAPA</v>
      </c>
      <c r="W5144" s="1" t="str">
        <f t="shared" si="2107"/>
        <v>04-08-2020</v>
      </c>
      <c r="X5144" s="1" t="str">
        <f t="shared" si="2108"/>
        <v>RAZIMAH ANSAR AHMAD</v>
      </c>
      <c r="Y5144" s="1" t="str">
        <f t="shared" si="2109"/>
        <v>04-08-2020</v>
      </c>
      <c r="Z5144" s="1" t="str">
        <f>"COS10200804 4010"</f>
        <v>COS10200804 4010</v>
      </c>
    </row>
    <row r="5145" spans="1:26" s="1" customFormat="1" x14ac:dyDescent="0.25">
      <c r="A5145" s="1" t="str">
        <f t="shared" si="2093"/>
        <v>04-08-2020 12:48:13</v>
      </c>
      <c r="B5145" s="1" t="str">
        <f>"0000805787"</f>
        <v>0000805787</v>
      </c>
      <c r="C5145" s="1" t="str">
        <f t="shared" si="2094"/>
        <v>0000805778</v>
      </c>
      <c r="D5145" s="1" t="str">
        <f t="shared" si="2097"/>
        <v>73185</v>
      </c>
      <c r="E5145" s="1" t="str">
        <f t="shared" si="2098"/>
        <v>KFH-OPERATIONS DEPARTMENT</v>
      </c>
      <c r="F5145" s="1" t="str">
        <f t="shared" si="2099"/>
        <v>IBG</v>
      </c>
      <c r="G5145" s="1" t="str">
        <f t="shared" si="2110"/>
        <v>Refund COSHARE 10</v>
      </c>
      <c r="H5145" s="3">
        <v>317</v>
      </c>
      <c r="I5145" s="4" t="str">
        <f>"AISHAH BINTI HASSAN"</f>
        <v>AISHAH BINTI HASSAN</v>
      </c>
      <c r="J5145" s="1" t="str">
        <f t="shared" si="2111"/>
        <v>MAYBANK / MAYBANK ISLAMIC</v>
      </c>
      <c r="K5145" s="1" t="str">
        <f>"107077388188"</f>
        <v>107077388188</v>
      </c>
      <c r="L5145" s="1" t="str">
        <f t="shared" si="2100"/>
        <v>04-08-2020</v>
      </c>
      <c r="M5145" s="1" t="str">
        <f t="shared" si="2100"/>
        <v>04-08-2020</v>
      </c>
      <c r="N5145" s="1" t="str">
        <f t="shared" si="2101"/>
        <v>001105018356</v>
      </c>
      <c r="O5145" s="1" t="str">
        <f t="shared" si="2102"/>
        <v>MYR</v>
      </c>
      <c r="P5145" s="1" t="str">
        <f t="shared" si="2103"/>
        <v>NIL</v>
      </c>
      <c r="Q5145" s="1" t="str">
        <f t="shared" si="2103"/>
        <v>NIL</v>
      </c>
      <c r="R5145" s="1" t="str">
        <f t="shared" si="2095"/>
        <v>Unsuccessful</v>
      </c>
      <c r="S5145" s="1" t="str">
        <f t="shared" si="2104"/>
        <v>Approved</v>
      </c>
      <c r="T5145" s="1" t="str">
        <f t="shared" si="2096"/>
        <v>10.20.201.88</v>
      </c>
      <c r="U5145" s="1" t="str">
        <f t="shared" si="2105"/>
        <v>AZRAD UMAR BIN SHAARI</v>
      </c>
      <c r="V5145" s="1" t="str">
        <f t="shared" si="2106"/>
        <v>FARHANA BINTI MUSTAPA</v>
      </c>
      <c r="W5145" s="1" t="str">
        <f t="shared" si="2107"/>
        <v>04-08-2020</v>
      </c>
      <c r="X5145" s="1" t="str">
        <f t="shared" si="2108"/>
        <v>RAZIMAH ANSAR AHMAD</v>
      </c>
      <c r="Y5145" s="1" t="str">
        <f t="shared" si="2109"/>
        <v>04-08-2020</v>
      </c>
      <c r="Z5145" s="1" t="str">
        <f>"COS10200804 4009"</f>
        <v>COS10200804 4009</v>
      </c>
    </row>
    <row r="5146" spans="1:26" s="1" customFormat="1" x14ac:dyDescent="0.25">
      <c r="A5146" s="1" t="str">
        <f t="shared" ref="A5146:A5153" si="2112">"04-08-2020 12:48:13"</f>
        <v>04-08-2020 12:48:13</v>
      </c>
      <c r="B5146" s="1" t="str">
        <f>"0000805786"</f>
        <v>0000805786</v>
      </c>
      <c r="C5146" s="1" t="str">
        <f t="shared" ref="C5146:C5153" si="2113">"0000805778"</f>
        <v>0000805778</v>
      </c>
      <c r="D5146" s="1" t="str">
        <f t="shared" si="2097"/>
        <v>73185</v>
      </c>
      <c r="E5146" s="1" t="str">
        <f t="shared" si="2098"/>
        <v>KFH-OPERATIONS DEPARTMENT</v>
      </c>
      <c r="F5146" s="1" t="str">
        <f t="shared" si="2099"/>
        <v>IBG</v>
      </c>
      <c r="G5146" s="1" t="str">
        <f t="shared" si="2110"/>
        <v>Refund COSHARE 10</v>
      </c>
      <c r="H5146" s="3">
        <v>532</v>
      </c>
      <c r="I5146" s="4" t="str">
        <f>"AISAH BINTI MASRI"</f>
        <v>AISAH BINTI MASRI</v>
      </c>
      <c r="J5146" s="1" t="str">
        <f t="shared" si="2111"/>
        <v>MAYBANK / MAYBANK ISLAMIC</v>
      </c>
      <c r="K5146" s="1" t="str">
        <f>"164212271458"</f>
        <v>164212271458</v>
      </c>
      <c r="L5146" s="1" t="str">
        <f t="shared" si="2100"/>
        <v>04-08-2020</v>
      </c>
      <c r="M5146" s="1" t="str">
        <f t="shared" si="2100"/>
        <v>04-08-2020</v>
      </c>
      <c r="N5146" s="1" t="str">
        <f t="shared" si="2101"/>
        <v>001105018356</v>
      </c>
      <c r="O5146" s="1" t="str">
        <f t="shared" si="2102"/>
        <v>MYR</v>
      </c>
      <c r="P5146" s="1" t="str">
        <f t="shared" si="2103"/>
        <v>NIL</v>
      </c>
      <c r="Q5146" s="1" t="str">
        <f t="shared" si="2103"/>
        <v>NIL</v>
      </c>
      <c r="R5146" s="1" t="str">
        <f t="shared" ref="R5146:R5153" si="2114">"Unsuccessful"</f>
        <v>Unsuccessful</v>
      </c>
      <c r="S5146" s="1" t="str">
        <f t="shared" si="2104"/>
        <v>Approved</v>
      </c>
      <c r="T5146" s="1" t="str">
        <f t="shared" ref="T5146:T5153" si="2115">"10.20.201.88"</f>
        <v>10.20.201.88</v>
      </c>
      <c r="U5146" s="1" t="str">
        <f t="shared" si="2105"/>
        <v>AZRAD UMAR BIN SHAARI</v>
      </c>
      <c r="V5146" s="1" t="str">
        <f t="shared" si="2106"/>
        <v>FARHANA BINTI MUSTAPA</v>
      </c>
      <c r="W5146" s="1" t="str">
        <f t="shared" si="2107"/>
        <v>04-08-2020</v>
      </c>
      <c r="X5146" s="1" t="str">
        <f t="shared" si="2108"/>
        <v>RAZIMAH ANSAR AHMAD</v>
      </c>
      <c r="Y5146" s="1" t="str">
        <f t="shared" si="2109"/>
        <v>04-08-2020</v>
      </c>
      <c r="Z5146" s="1" t="str">
        <f>"COS10200804 4008"</f>
        <v>COS10200804 4008</v>
      </c>
    </row>
    <row r="5147" spans="1:26" s="1" customFormat="1" x14ac:dyDescent="0.25">
      <c r="A5147" s="1" t="str">
        <f t="shared" si="2112"/>
        <v>04-08-2020 12:48:13</v>
      </c>
      <c r="B5147" s="1" t="str">
        <f>"0000805785"</f>
        <v>0000805785</v>
      </c>
      <c r="C5147" s="1" t="str">
        <f t="shared" si="2113"/>
        <v>0000805778</v>
      </c>
      <c r="D5147" s="1" t="str">
        <f t="shared" si="2097"/>
        <v>73185</v>
      </c>
      <c r="E5147" s="1" t="str">
        <f t="shared" si="2098"/>
        <v>KFH-OPERATIONS DEPARTMENT</v>
      </c>
      <c r="F5147" s="1" t="str">
        <f t="shared" si="2099"/>
        <v>IBG</v>
      </c>
      <c r="G5147" s="1" t="str">
        <f t="shared" si="2110"/>
        <v>Refund COSHARE 10</v>
      </c>
      <c r="H5147" s="3">
        <v>431</v>
      </c>
      <c r="I5147" s="4" t="str">
        <f>"AISAH BINTI HUSIN"</f>
        <v>AISAH BINTI HUSIN</v>
      </c>
      <c r="J5147" s="1" t="str">
        <f t="shared" si="2111"/>
        <v>MAYBANK / MAYBANK ISLAMIC</v>
      </c>
      <c r="K5147" s="1" t="str">
        <f>"101244348357"</f>
        <v>101244348357</v>
      </c>
      <c r="L5147" s="1" t="str">
        <f t="shared" ref="L5147:M5166" si="2116">"04-08-2020"</f>
        <v>04-08-2020</v>
      </c>
      <c r="M5147" s="1" t="str">
        <f t="shared" si="2116"/>
        <v>04-08-2020</v>
      </c>
      <c r="N5147" s="1" t="str">
        <f t="shared" si="2101"/>
        <v>001105018356</v>
      </c>
      <c r="O5147" s="1" t="str">
        <f t="shared" si="2102"/>
        <v>MYR</v>
      </c>
      <c r="P5147" s="1" t="str">
        <f t="shared" ref="P5147:Q5166" si="2117">"NIL"</f>
        <v>NIL</v>
      </c>
      <c r="Q5147" s="1" t="str">
        <f t="shared" si="2117"/>
        <v>NIL</v>
      </c>
      <c r="R5147" s="1" t="str">
        <f t="shared" si="2114"/>
        <v>Unsuccessful</v>
      </c>
      <c r="S5147" s="1" t="str">
        <f t="shared" si="2104"/>
        <v>Approved</v>
      </c>
      <c r="T5147" s="1" t="str">
        <f t="shared" si="2115"/>
        <v>10.20.201.88</v>
      </c>
      <c r="U5147" s="1" t="str">
        <f t="shared" si="2105"/>
        <v>AZRAD UMAR BIN SHAARI</v>
      </c>
      <c r="V5147" s="1" t="str">
        <f t="shared" si="2106"/>
        <v>FARHANA BINTI MUSTAPA</v>
      </c>
      <c r="W5147" s="1" t="str">
        <f t="shared" si="2107"/>
        <v>04-08-2020</v>
      </c>
      <c r="X5147" s="1" t="str">
        <f t="shared" si="2108"/>
        <v>RAZIMAH ANSAR AHMAD</v>
      </c>
      <c r="Y5147" s="1" t="str">
        <f t="shared" si="2109"/>
        <v>04-08-2020</v>
      </c>
      <c r="Z5147" s="1" t="str">
        <f>"COS10200804 4007"</f>
        <v>COS10200804 4007</v>
      </c>
    </row>
    <row r="5148" spans="1:26" s="1" customFormat="1" x14ac:dyDescent="0.25">
      <c r="A5148" s="1" t="str">
        <f t="shared" si="2112"/>
        <v>04-08-2020 12:48:13</v>
      </c>
      <c r="B5148" s="1" t="str">
        <f>"0000805784"</f>
        <v>0000805784</v>
      </c>
      <c r="C5148" s="1" t="str">
        <f t="shared" si="2113"/>
        <v>0000805778</v>
      </c>
      <c r="D5148" s="1" t="str">
        <f t="shared" si="2097"/>
        <v>73185</v>
      </c>
      <c r="E5148" s="1" t="str">
        <f t="shared" si="2098"/>
        <v>KFH-OPERATIONS DEPARTMENT</v>
      </c>
      <c r="F5148" s="1" t="str">
        <f t="shared" si="2099"/>
        <v>IBG</v>
      </c>
      <c r="G5148" s="1" t="str">
        <f t="shared" si="2110"/>
        <v>Refund COSHARE 10</v>
      </c>
      <c r="H5148" s="3">
        <v>166.8</v>
      </c>
      <c r="I5148" s="4" t="str">
        <f>"AISAH BINTI ABD KADIR"</f>
        <v>AISAH BINTI ABD KADIR</v>
      </c>
      <c r="J5148" s="1" t="str">
        <f t="shared" si="2111"/>
        <v>MAYBANK / MAYBANK ISLAMIC</v>
      </c>
      <c r="K5148" s="1" t="str">
        <f>"164306379602"</f>
        <v>164306379602</v>
      </c>
      <c r="L5148" s="1" t="str">
        <f t="shared" si="2116"/>
        <v>04-08-2020</v>
      </c>
      <c r="M5148" s="1" t="str">
        <f t="shared" si="2116"/>
        <v>04-08-2020</v>
      </c>
      <c r="N5148" s="1" t="str">
        <f t="shared" si="2101"/>
        <v>001105018356</v>
      </c>
      <c r="O5148" s="1" t="str">
        <f t="shared" si="2102"/>
        <v>MYR</v>
      </c>
      <c r="P5148" s="1" t="str">
        <f t="shared" si="2117"/>
        <v>NIL</v>
      </c>
      <c r="Q5148" s="1" t="str">
        <f t="shared" si="2117"/>
        <v>NIL</v>
      </c>
      <c r="R5148" s="1" t="str">
        <f t="shared" si="2114"/>
        <v>Unsuccessful</v>
      </c>
      <c r="S5148" s="1" t="str">
        <f t="shared" si="2104"/>
        <v>Approved</v>
      </c>
      <c r="T5148" s="1" t="str">
        <f t="shared" si="2115"/>
        <v>10.20.201.88</v>
      </c>
      <c r="U5148" s="1" t="str">
        <f t="shared" si="2105"/>
        <v>AZRAD UMAR BIN SHAARI</v>
      </c>
      <c r="V5148" s="1" t="str">
        <f t="shared" si="2106"/>
        <v>FARHANA BINTI MUSTAPA</v>
      </c>
      <c r="W5148" s="1" t="str">
        <f t="shared" si="2107"/>
        <v>04-08-2020</v>
      </c>
      <c r="X5148" s="1" t="str">
        <f t="shared" si="2108"/>
        <v>RAZIMAH ANSAR AHMAD</v>
      </c>
      <c r="Y5148" s="1" t="str">
        <f t="shared" si="2109"/>
        <v>04-08-2020</v>
      </c>
      <c r="Z5148" s="1" t="str">
        <f>"COS10200804 4006"</f>
        <v>COS10200804 4006</v>
      </c>
    </row>
    <row r="5149" spans="1:26" s="1" customFormat="1" x14ac:dyDescent="0.25">
      <c r="A5149" s="1" t="str">
        <f t="shared" si="2112"/>
        <v>04-08-2020 12:48:13</v>
      </c>
      <c r="B5149" s="1" t="str">
        <f>"0000805783"</f>
        <v>0000805783</v>
      </c>
      <c r="C5149" s="1" t="str">
        <f t="shared" si="2113"/>
        <v>0000805778</v>
      </c>
      <c r="D5149" s="1" t="str">
        <f t="shared" si="2097"/>
        <v>73185</v>
      </c>
      <c r="E5149" s="1" t="str">
        <f t="shared" si="2098"/>
        <v>KFH-OPERATIONS DEPARTMENT</v>
      </c>
      <c r="F5149" s="1" t="str">
        <f t="shared" si="2099"/>
        <v>IBG</v>
      </c>
      <c r="G5149" s="1" t="str">
        <f t="shared" si="2110"/>
        <v>Refund COSHARE 10</v>
      </c>
      <c r="H5149" s="3">
        <v>100.75</v>
      </c>
      <c r="I5149" s="4" t="str">
        <f>"AIDISURYA BIN ABDULLAH"</f>
        <v>AIDISURYA BIN ABDULLAH</v>
      </c>
      <c r="J5149" s="1" t="str">
        <f t="shared" si="2111"/>
        <v>MAYBANK / MAYBANK ISLAMIC</v>
      </c>
      <c r="K5149" s="1" t="str">
        <f>"151071091968"</f>
        <v>151071091968</v>
      </c>
      <c r="L5149" s="1" t="str">
        <f t="shared" si="2116"/>
        <v>04-08-2020</v>
      </c>
      <c r="M5149" s="1" t="str">
        <f t="shared" si="2116"/>
        <v>04-08-2020</v>
      </c>
      <c r="N5149" s="1" t="str">
        <f t="shared" si="2101"/>
        <v>001105018356</v>
      </c>
      <c r="O5149" s="1" t="str">
        <f t="shared" si="2102"/>
        <v>MYR</v>
      </c>
      <c r="P5149" s="1" t="str">
        <f t="shared" si="2117"/>
        <v>NIL</v>
      </c>
      <c r="Q5149" s="1" t="str">
        <f t="shared" si="2117"/>
        <v>NIL</v>
      </c>
      <c r="R5149" s="1" t="str">
        <f t="shared" si="2114"/>
        <v>Unsuccessful</v>
      </c>
      <c r="S5149" s="1" t="str">
        <f t="shared" si="2104"/>
        <v>Approved</v>
      </c>
      <c r="T5149" s="1" t="str">
        <f t="shared" si="2115"/>
        <v>10.20.201.88</v>
      </c>
      <c r="U5149" s="1" t="str">
        <f t="shared" si="2105"/>
        <v>AZRAD UMAR BIN SHAARI</v>
      </c>
      <c r="V5149" s="1" t="str">
        <f t="shared" si="2106"/>
        <v>FARHANA BINTI MUSTAPA</v>
      </c>
      <c r="W5149" s="1" t="str">
        <f t="shared" si="2107"/>
        <v>04-08-2020</v>
      </c>
      <c r="X5149" s="1" t="str">
        <f t="shared" si="2108"/>
        <v>RAZIMAH ANSAR AHMAD</v>
      </c>
      <c r="Y5149" s="1" t="str">
        <f t="shared" si="2109"/>
        <v>04-08-2020</v>
      </c>
      <c r="Z5149" s="1" t="str">
        <f>"COS10200804 4005"</f>
        <v>COS10200804 4005</v>
      </c>
    </row>
    <row r="5150" spans="1:26" s="1" customFormat="1" x14ac:dyDescent="0.25">
      <c r="A5150" s="1" t="str">
        <f t="shared" si="2112"/>
        <v>04-08-2020 12:48:13</v>
      </c>
      <c r="B5150" s="1" t="str">
        <f>"0000805782"</f>
        <v>0000805782</v>
      </c>
      <c r="C5150" s="1" t="str">
        <f t="shared" si="2113"/>
        <v>0000805778</v>
      </c>
      <c r="D5150" s="1" t="str">
        <f t="shared" si="2097"/>
        <v>73185</v>
      </c>
      <c r="E5150" s="1" t="str">
        <f t="shared" si="2098"/>
        <v>KFH-OPERATIONS DEPARTMENT</v>
      </c>
      <c r="F5150" s="1" t="str">
        <f t="shared" si="2099"/>
        <v>IBG</v>
      </c>
      <c r="G5150" s="1" t="str">
        <f t="shared" si="2110"/>
        <v>Refund COSHARE 10</v>
      </c>
      <c r="H5150" s="3">
        <v>307</v>
      </c>
      <c r="I5150" s="4" t="str">
        <f>"AIDIL BIN GHAZALI"</f>
        <v>AIDIL BIN GHAZALI</v>
      </c>
      <c r="J5150" s="1" t="str">
        <f t="shared" si="2111"/>
        <v>MAYBANK / MAYBANK ISLAMIC</v>
      </c>
      <c r="K5150" s="1" t="str">
        <f>"111113141270"</f>
        <v>111113141270</v>
      </c>
      <c r="L5150" s="1" t="str">
        <f t="shared" si="2116"/>
        <v>04-08-2020</v>
      </c>
      <c r="M5150" s="1" t="str">
        <f t="shared" si="2116"/>
        <v>04-08-2020</v>
      </c>
      <c r="N5150" s="1" t="str">
        <f t="shared" si="2101"/>
        <v>001105018356</v>
      </c>
      <c r="O5150" s="1" t="str">
        <f t="shared" si="2102"/>
        <v>MYR</v>
      </c>
      <c r="P5150" s="1" t="str">
        <f t="shared" si="2117"/>
        <v>NIL</v>
      </c>
      <c r="Q5150" s="1" t="str">
        <f t="shared" si="2117"/>
        <v>NIL</v>
      </c>
      <c r="R5150" s="1" t="str">
        <f t="shared" si="2114"/>
        <v>Unsuccessful</v>
      </c>
      <c r="S5150" s="1" t="str">
        <f t="shared" si="2104"/>
        <v>Approved</v>
      </c>
      <c r="T5150" s="1" t="str">
        <f t="shared" si="2115"/>
        <v>10.20.201.88</v>
      </c>
      <c r="U5150" s="1" t="str">
        <f t="shared" si="2105"/>
        <v>AZRAD UMAR BIN SHAARI</v>
      </c>
      <c r="V5150" s="1" t="str">
        <f t="shared" si="2106"/>
        <v>FARHANA BINTI MUSTAPA</v>
      </c>
      <c r="W5150" s="1" t="str">
        <f t="shared" si="2107"/>
        <v>04-08-2020</v>
      </c>
      <c r="X5150" s="1" t="str">
        <f t="shared" si="2108"/>
        <v>RAZIMAH ANSAR AHMAD</v>
      </c>
      <c r="Y5150" s="1" t="str">
        <f t="shared" si="2109"/>
        <v>04-08-2020</v>
      </c>
      <c r="Z5150" s="1" t="str">
        <f>"COS10200804 4004"</f>
        <v>COS10200804 4004</v>
      </c>
    </row>
    <row r="5151" spans="1:26" s="1" customFormat="1" x14ac:dyDescent="0.25">
      <c r="A5151" s="1" t="str">
        <f t="shared" si="2112"/>
        <v>04-08-2020 12:48:13</v>
      </c>
      <c r="B5151" s="1" t="str">
        <f>"0000805781"</f>
        <v>0000805781</v>
      </c>
      <c r="C5151" s="1" t="str">
        <f t="shared" si="2113"/>
        <v>0000805778</v>
      </c>
      <c r="D5151" s="1" t="str">
        <f t="shared" si="2097"/>
        <v>73185</v>
      </c>
      <c r="E5151" s="1" t="str">
        <f t="shared" si="2098"/>
        <v>KFH-OPERATIONS DEPARTMENT</v>
      </c>
      <c r="F5151" s="1" t="str">
        <f t="shared" si="2099"/>
        <v>IBG</v>
      </c>
      <c r="G5151" s="1" t="str">
        <f t="shared" si="2110"/>
        <v>Refund COSHARE 10</v>
      </c>
      <c r="H5151" s="3">
        <v>419.75</v>
      </c>
      <c r="I5151" s="4" t="str">
        <f>"AIDIL AZHAR BIN HASRAN"</f>
        <v>AIDIL AZHAR BIN HASRAN</v>
      </c>
      <c r="J5151" s="1" t="str">
        <f t="shared" si="2111"/>
        <v>MAYBANK / MAYBANK ISLAMIC</v>
      </c>
      <c r="K5151" s="1" t="str">
        <f>"164324357198"</f>
        <v>164324357198</v>
      </c>
      <c r="L5151" s="1" t="str">
        <f t="shared" si="2116"/>
        <v>04-08-2020</v>
      </c>
      <c r="M5151" s="1" t="str">
        <f t="shared" si="2116"/>
        <v>04-08-2020</v>
      </c>
      <c r="N5151" s="1" t="str">
        <f t="shared" si="2101"/>
        <v>001105018356</v>
      </c>
      <c r="O5151" s="1" t="str">
        <f t="shared" si="2102"/>
        <v>MYR</v>
      </c>
      <c r="P5151" s="1" t="str">
        <f t="shared" si="2117"/>
        <v>NIL</v>
      </c>
      <c r="Q5151" s="1" t="str">
        <f t="shared" si="2117"/>
        <v>NIL</v>
      </c>
      <c r="R5151" s="1" t="str">
        <f t="shared" si="2114"/>
        <v>Unsuccessful</v>
      </c>
      <c r="S5151" s="1" t="str">
        <f t="shared" si="2104"/>
        <v>Approved</v>
      </c>
      <c r="T5151" s="1" t="str">
        <f t="shared" si="2115"/>
        <v>10.20.201.88</v>
      </c>
      <c r="U5151" s="1" t="str">
        <f t="shared" si="2105"/>
        <v>AZRAD UMAR BIN SHAARI</v>
      </c>
      <c r="V5151" s="1" t="str">
        <f t="shared" si="2106"/>
        <v>FARHANA BINTI MUSTAPA</v>
      </c>
      <c r="W5151" s="1" t="str">
        <f t="shared" si="2107"/>
        <v>04-08-2020</v>
      </c>
      <c r="X5151" s="1" t="str">
        <f t="shared" si="2108"/>
        <v>RAZIMAH ANSAR AHMAD</v>
      </c>
      <c r="Y5151" s="1" t="str">
        <f t="shared" si="2109"/>
        <v>04-08-2020</v>
      </c>
      <c r="Z5151" s="1" t="str">
        <f>"COS10200804 4003"</f>
        <v>COS10200804 4003</v>
      </c>
    </row>
    <row r="5152" spans="1:26" s="1" customFormat="1" x14ac:dyDescent="0.25">
      <c r="A5152" s="1" t="str">
        <f t="shared" si="2112"/>
        <v>04-08-2020 12:48:13</v>
      </c>
      <c r="B5152" s="1" t="str">
        <f>"0000805780"</f>
        <v>0000805780</v>
      </c>
      <c r="C5152" s="1" t="str">
        <f t="shared" si="2113"/>
        <v>0000805778</v>
      </c>
      <c r="D5152" s="1" t="str">
        <f t="shared" si="2097"/>
        <v>73185</v>
      </c>
      <c r="E5152" s="1" t="str">
        <f t="shared" si="2098"/>
        <v>KFH-OPERATIONS DEPARTMENT</v>
      </c>
      <c r="F5152" s="1" t="str">
        <f t="shared" si="2099"/>
        <v>IBG</v>
      </c>
      <c r="G5152" s="1" t="str">
        <f t="shared" si="2110"/>
        <v>Refund COSHARE 10</v>
      </c>
      <c r="H5152" s="3">
        <v>654.85</v>
      </c>
      <c r="I5152" s="4" t="str">
        <f>"AIDDIL JASMINE BINTI SALIM"</f>
        <v>AIDDIL JASMINE BINTI SALIM</v>
      </c>
      <c r="J5152" s="1" t="str">
        <f t="shared" si="2111"/>
        <v>MAYBANK / MAYBANK ISLAMIC</v>
      </c>
      <c r="K5152" s="1" t="str">
        <f>"151276021710"</f>
        <v>151276021710</v>
      </c>
      <c r="L5152" s="1" t="str">
        <f t="shared" si="2116"/>
        <v>04-08-2020</v>
      </c>
      <c r="M5152" s="1" t="str">
        <f t="shared" si="2116"/>
        <v>04-08-2020</v>
      </c>
      <c r="N5152" s="1" t="str">
        <f t="shared" si="2101"/>
        <v>001105018356</v>
      </c>
      <c r="O5152" s="1" t="str">
        <f t="shared" si="2102"/>
        <v>MYR</v>
      </c>
      <c r="P5152" s="1" t="str">
        <f t="shared" si="2117"/>
        <v>NIL</v>
      </c>
      <c r="Q5152" s="1" t="str">
        <f t="shared" si="2117"/>
        <v>NIL</v>
      </c>
      <c r="R5152" s="1" t="str">
        <f t="shared" si="2114"/>
        <v>Unsuccessful</v>
      </c>
      <c r="S5152" s="1" t="str">
        <f t="shared" si="2104"/>
        <v>Approved</v>
      </c>
      <c r="T5152" s="1" t="str">
        <f t="shared" si="2115"/>
        <v>10.20.201.88</v>
      </c>
      <c r="U5152" s="1" t="str">
        <f t="shared" si="2105"/>
        <v>AZRAD UMAR BIN SHAARI</v>
      </c>
      <c r="V5152" s="1" t="str">
        <f t="shared" si="2106"/>
        <v>FARHANA BINTI MUSTAPA</v>
      </c>
      <c r="W5152" s="1" t="str">
        <f t="shared" si="2107"/>
        <v>04-08-2020</v>
      </c>
      <c r="X5152" s="1" t="str">
        <f t="shared" si="2108"/>
        <v>RAZIMAH ANSAR AHMAD</v>
      </c>
      <c r="Y5152" s="1" t="str">
        <f t="shared" si="2109"/>
        <v>04-08-2020</v>
      </c>
      <c r="Z5152" s="1" t="str">
        <f>"COS10200804 4002"</f>
        <v>COS10200804 4002</v>
      </c>
    </row>
    <row r="5153" spans="1:26" s="1" customFormat="1" x14ac:dyDescent="0.25">
      <c r="A5153" s="1" t="str">
        <f t="shared" si="2112"/>
        <v>04-08-2020 12:48:13</v>
      </c>
      <c r="B5153" s="1" t="str">
        <f>"0000805779"</f>
        <v>0000805779</v>
      </c>
      <c r="C5153" s="1" t="str">
        <f t="shared" si="2113"/>
        <v>0000805778</v>
      </c>
      <c r="D5153" s="1" t="str">
        <f t="shared" si="2097"/>
        <v>73185</v>
      </c>
      <c r="E5153" s="1" t="str">
        <f t="shared" si="2098"/>
        <v>KFH-OPERATIONS DEPARTMENT</v>
      </c>
      <c r="F5153" s="1" t="str">
        <f t="shared" si="2099"/>
        <v>IBG</v>
      </c>
      <c r="G5153" s="1" t="str">
        <f t="shared" si="2110"/>
        <v>Refund COSHARE 10</v>
      </c>
      <c r="H5153" s="3">
        <v>901.95</v>
      </c>
      <c r="I5153" s="4" t="str">
        <f>"AIDAH BINTI LAJIS"</f>
        <v>AIDAH BINTI LAJIS</v>
      </c>
      <c r="J5153" s="1" t="str">
        <f t="shared" si="2111"/>
        <v>MAYBANK / MAYBANK ISLAMIC</v>
      </c>
      <c r="K5153" s="1" t="str">
        <f>"101084209805"</f>
        <v>101084209805</v>
      </c>
      <c r="L5153" s="1" t="str">
        <f t="shared" si="2116"/>
        <v>04-08-2020</v>
      </c>
      <c r="M5153" s="1" t="str">
        <f t="shared" si="2116"/>
        <v>04-08-2020</v>
      </c>
      <c r="N5153" s="1" t="str">
        <f t="shared" si="2101"/>
        <v>001105018356</v>
      </c>
      <c r="O5153" s="1" t="str">
        <f t="shared" si="2102"/>
        <v>MYR</v>
      </c>
      <c r="P5153" s="1" t="str">
        <f t="shared" si="2117"/>
        <v>NIL</v>
      </c>
      <c r="Q5153" s="1" t="str">
        <f t="shared" si="2117"/>
        <v>NIL</v>
      </c>
      <c r="R5153" s="1" t="str">
        <f t="shared" si="2114"/>
        <v>Unsuccessful</v>
      </c>
      <c r="S5153" s="1" t="str">
        <f t="shared" si="2104"/>
        <v>Approved</v>
      </c>
      <c r="T5153" s="1" t="str">
        <f t="shared" si="2115"/>
        <v>10.20.201.88</v>
      </c>
      <c r="U5153" s="1" t="str">
        <f t="shared" si="2105"/>
        <v>AZRAD UMAR BIN SHAARI</v>
      </c>
      <c r="V5153" s="1" t="str">
        <f t="shared" si="2106"/>
        <v>FARHANA BINTI MUSTAPA</v>
      </c>
      <c r="W5153" s="1" t="str">
        <f t="shared" si="2107"/>
        <v>04-08-2020</v>
      </c>
      <c r="X5153" s="1" t="str">
        <f t="shared" si="2108"/>
        <v>RAZIMAH ANSAR AHMAD</v>
      </c>
      <c r="Y5153" s="1" t="str">
        <f t="shared" si="2109"/>
        <v>04-08-2020</v>
      </c>
      <c r="Z5153" s="1" t="str">
        <f>"COS10200804 4001"</f>
        <v>COS10200804 4001</v>
      </c>
    </row>
    <row r="5154" spans="1:26" x14ac:dyDescent="0.25">
      <c r="A5154" t="str">
        <f t="shared" ref="A5154:A5185" si="2118">"04-08-2020 12:47:34"</f>
        <v>04-08-2020 12:47:34</v>
      </c>
      <c r="B5154" t="str">
        <f>"0000805775"</f>
        <v>0000805775</v>
      </c>
      <c r="C5154" t="str">
        <f t="shared" ref="C5154:C5185" si="2119">"0000805575"</f>
        <v>0000805575</v>
      </c>
      <c r="D5154" t="str">
        <f t="shared" si="2097"/>
        <v>73185</v>
      </c>
      <c r="E5154" t="str">
        <f t="shared" si="2098"/>
        <v>KFH-OPERATIONS DEPARTMENT</v>
      </c>
      <c r="F5154" t="str">
        <f t="shared" si="2099"/>
        <v>IBG</v>
      </c>
      <c r="G5154" t="str">
        <f t="shared" si="2110"/>
        <v>Refund COSHARE 10</v>
      </c>
      <c r="H5154" s="2">
        <v>443</v>
      </c>
      <c r="I5154" t="str">
        <f>"AIDA KARTINI BINTI OUYOP"</f>
        <v>AIDA KARTINI BINTI OUYOP</v>
      </c>
      <c r="J5154" t="str">
        <f t="shared" si="2111"/>
        <v>MAYBANK / MAYBANK ISLAMIC</v>
      </c>
      <c r="K5154" t="str">
        <f>"151267007623"</f>
        <v>151267007623</v>
      </c>
      <c r="L5154" t="str">
        <f t="shared" si="2116"/>
        <v>04-08-2020</v>
      </c>
      <c r="M5154" t="str">
        <f t="shared" si="2116"/>
        <v>04-08-2020</v>
      </c>
      <c r="N5154" t="str">
        <f t="shared" si="2101"/>
        <v>001105018356</v>
      </c>
      <c r="O5154" t="str">
        <f t="shared" si="2102"/>
        <v>MYR</v>
      </c>
      <c r="P5154" t="str">
        <f t="shared" si="2117"/>
        <v>NIL</v>
      </c>
      <c r="Q5154" t="str">
        <f t="shared" si="2117"/>
        <v>NIL</v>
      </c>
      <c r="R5154" t="str">
        <f t="shared" ref="R5154:R5217" si="2120">"Accepted"</f>
        <v>Accepted</v>
      </c>
      <c r="S5154" t="str">
        <f t="shared" si="2104"/>
        <v>Approved</v>
      </c>
      <c r="T5154" t="str">
        <f t="shared" ref="T5154:T5217" si="2121">"10.20.8.188"</f>
        <v>10.20.8.188</v>
      </c>
      <c r="U5154" t="str">
        <f t="shared" si="2105"/>
        <v>AZRAD UMAR BIN SHAARI</v>
      </c>
      <c r="V5154" t="str">
        <f t="shared" si="2106"/>
        <v>FARHANA BINTI MUSTAPA</v>
      </c>
      <c r="W5154" t="str">
        <f t="shared" si="2107"/>
        <v>04-08-2020</v>
      </c>
      <c r="X5154" t="str">
        <f t="shared" si="2108"/>
        <v>RAZIMAH ANSAR AHMAD</v>
      </c>
      <c r="Y5154" t="str">
        <f t="shared" si="2109"/>
        <v>04-08-2020</v>
      </c>
      <c r="Z5154" t="str">
        <f>"COS10200804 4000"</f>
        <v>COS10200804 4000</v>
      </c>
    </row>
    <row r="5155" spans="1:26" x14ac:dyDescent="0.25">
      <c r="A5155" t="str">
        <f t="shared" si="2118"/>
        <v>04-08-2020 12:47:34</v>
      </c>
      <c r="B5155" t="str">
        <f>"0000805774"</f>
        <v>0000805774</v>
      </c>
      <c r="C5155" t="str">
        <f t="shared" si="2119"/>
        <v>0000805575</v>
      </c>
      <c r="D5155" t="str">
        <f t="shared" si="2097"/>
        <v>73185</v>
      </c>
      <c r="E5155" t="str">
        <f t="shared" si="2098"/>
        <v>KFH-OPERATIONS DEPARTMENT</v>
      </c>
      <c r="F5155" t="str">
        <f t="shared" si="2099"/>
        <v>IBG</v>
      </c>
      <c r="G5155" t="str">
        <f t="shared" si="2110"/>
        <v>Refund COSHARE 10</v>
      </c>
      <c r="H5155" s="2">
        <v>1830</v>
      </c>
      <c r="I5155" t="str">
        <f>"AIDA BINTI MISTAR"</f>
        <v>AIDA BINTI MISTAR</v>
      </c>
      <c r="J5155" t="str">
        <f t="shared" si="2111"/>
        <v>MAYBANK / MAYBANK ISLAMIC</v>
      </c>
      <c r="K5155" t="str">
        <f>"151052033249"</f>
        <v>151052033249</v>
      </c>
      <c r="L5155" t="str">
        <f t="shared" si="2116"/>
        <v>04-08-2020</v>
      </c>
      <c r="M5155" t="str">
        <f t="shared" si="2116"/>
        <v>04-08-2020</v>
      </c>
      <c r="N5155" t="str">
        <f t="shared" si="2101"/>
        <v>001105018356</v>
      </c>
      <c r="O5155" t="str">
        <f t="shared" si="2102"/>
        <v>MYR</v>
      </c>
      <c r="P5155" t="str">
        <f t="shared" si="2117"/>
        <v>NIL</v>
      </c>
      <c r="Q5155" t="str">
        <f t="shared" si="2117"/>
        <v>NIL</v>
      </c>
      <c r="R5155" t="str">
        <f t="shared" si="2120"/>
        <v>Accepted</v>
      </c>
      <c r="S5155" t="str">
        <f t="shared" si="2104"/>
        <v>Approved</v>
      </c>
      <c r="T5155" t="str">
        <f t="shared" si="2121"/>
        <v>10.20.8.188</v>
      </c>
      <c r="U5155" t="str">
        <f t="shared" si="2105"/>
        <v>AZRAD UMAR BIN SHAARI</v>
      </c>
      <c r="V5155" t="str">
        <f t="shared" si="2106"/>
        <v>FARHANA BINTI MUSTAPA</v>
      </c>
      <c r="W5155" t="str">
        <f t="shared" si="2107"/>
        <v>04-08-2020</v>
      </c>
      <c r="X5155" t="str">
        <f t="shared" si="2108"/>
        <v>RAZIMAH ANSAR AHMAD</v>
      </c>
      <c r="Y5155" t="str">
        <f t="shared" si="2109"/>
        <v>04-08-2020</v>
      </c>
      <c r="Z5155" t="str">
        <f>"COS10200804 3999"</f>
        <v>COS10200804 3999</v>
      </c>
    </row>
    <row r="5156" spans="1:26" x14ac:dyDescent="0.25">
      <c r="A5156" t="str">
        <f t="shared" si="2118"/>
        <v>04-08-2020 12:47:34</v>
      </c>
      <c r="B5156" t="str">
        <f>"0000805773"</f>
        <v>0000805773</v>
      </c>
      <c r="C5156" t="str">
        <f t="shared" si="2119"/>
        <v>0000805575</v>
      </c>
      <c r="D5156" t="str">
        <f t="shared" si="2097"/>
        <v>73185</v>
      </c>
      <c r="E5156" t="str">
        <f t="shared" si="2098"/>
        <v>KFH-OPERATIONS DEPARTMENT</v>
      </c>
      <c r="F5156" t="str">
        <f t="shared" si="2099"/>
        <v>IBG</v>
      </c>
      <c r="G5156" t="str">
        <f t="shared" si="2110"/>
        <v>Refund COSHARE 10</v>
      </c>
      <c r="H5156" s="2">
        <v>314.35000000000002</v>
      </c>
      <c r="I5156" t="str">
        <f>"AIDA BINTI IDRIS"</f>
        <v>AIDA BINTI IDRIS</v>
      </c>
      <c r="J5156" t="str">
        <f t="shared" si="2111"/>
        <v>MAYBANK / MAYBANK ISLAMIC</v>
      </c>
      <c r="K5156" t="str">
        <f>"151294715846"</f>
        <v>151294715846</v>
      </c>
      <c r="L5156" t="str">
        <f t="shared" si="2116"/>
        <v>04-08-2020</v>
      </c>
      <c r="M5156" t="str">
        <f t="shared" si="2116"/>
        <v>04-08-2020</v>
      </c>
      <c r="N5156" t="str">
        <f t="shared" si="2101"/>
        <v>001105018356</v>
      </c>
      <c r="O5156" t="str">
        <f t="shared" si="2102"/>
        <v>MYR</v>
      </c>
      <c r="P5156" t="str">
        <f t="shared" si="2117"/>
        <v>NIL</v>
      </c>
      <c r="Q5156" t="str">
        <f t="shared" si="2117"/>
        <v>NIL</v>
      </c>
      <c r="R5156" t="str">
        <f t="shared" si="2120"/>
        <v>Accepted</v>
      </c>
      <c r="S5156" t="str">
        <f t="shared" si="2104"/>
        <v>Approved</v>
      </c>
      <c r="T5156" t="str">
        <f t="shared" si="2121"/>
        <v>10.20.8.188</v>
      </c>
      <c r="U5156" t="str">
        <f t="shared" si="2105"/>
        <v>AZRAD UMAR BIN SHAARI</v>
      </c>
      <c r="V5156" t="str">
        <f t="shared" si="2106"/>
        <v>FARHANA BINTI MUSTAPA</v>
      </c>
      <c r="W5156" t="str">
        <f t="shared" si="2107"/>
        <v>04-08-2020</v>
      </c>
      <c r="X5156" t="str">
        <f t="shared" si="2108"/>
        <v>RAZIMAH ANSAR AHMAD</v>
      </c>
      <c r="Y5156" t="str">
        <f t="shared" si="2109"/>
        <v>04-08-2020</v>
      </c>
      <c r="Z5156" t="str">
        <f>"COS10200804 3998"</f>
        <v>COS10200804 3998</v>
      </c>
    </row>
    <row r="5157" spans="1:26" x14ac:dyDescent="0.25">
      <c r="A5157" t="str">
        <f t="shared" si="2118"/>
        <v>04-08-2020 12:47:34</v>
      </c>
      <c r="B5157" t="str">
        <f>"0000805772"</f>
        <v>0000805772</v>
      </c>
      <c r="C5157" t="str">
        <f t="shared" si="2119"/>
        <v>0000805575</v>
      </c>
      <c r="D5157" t="str">
        <f t="shared" si="2097"/>
        <v>73185</v>
      </c>
      <c r="E5157" t="str">
        <f t="shared" si="2098"/>
        <v>KFH-OPERATIONS DEPARTMENT</v>
      </c>
      <c r="F5157" t="str">
        <f t="shared" si="2099"/>
        <v>IBG</v>
      </c>
      <c r="G5157" t="str">
        <f t="shared" si="2110"/>
        <v>Refund COSHARE 10</v>
      </c>
      <c r="H5157" s="2">
        <v>839.5</v>
      </c>
      <c r="I5157" t="str">
        <f>"AIDA BINTI ABDUL MAJID"</f>
        <v>AIDA BINTI ABDUL MAJID</v>
      </c>
      <c r="J5157" t="str">
        <f t="shared" si="2111"/>
        <v>MAYBANK / MAYBANK ISLAMIC</v>
      </c>
      <c r="K5157" t="str">
        <f>"162432900830"</f>
        <v>162432900830</v>
      </c>
      <c r="L5157" t="str">
        <f t="shared" si="2116"/>
        <v>04-08-2020</v>
      </c>
      <c r="M5157" t="str">
        <f t="shared" si="2116"/>
        <v>04-08-2020</v>
      </c>
      <c r="N5157" t="str">
        <f t="shared" si="2101"/>
        <v>001105018356</v>
      </c>
      <c r="O5157" t="str">
        <f t="shared" si="2102"/>
        <v>MYR</v>
      </c>
      <c r="P5157" t="str">
        <f t="shared" si="2117"/>
        <v>NIL</v>
      </c>
      <c r="Q5157" t="str">
        <f t="shared" si="2117"/>
        <v>NIL</v>
      </c>
      <c r="R5157" t="str">
        <f t="shared" si="2120"/>
        <v>Accepted</v>
      </c>
      <c r="S5157" t="str">
        <f t="shared" si="2104"/>
        <v>Approved</v>
      </c>
      <c r="T5157" t="str">
        <f t="shared" si="2121"/>
        <v>10.20.8.188</v>
      </c>
      <c r="U5157" t="str">
        <f t="shared" si="2105"/>
        <v>AZRAD UMAR BIN SHAARI</v>
      </c>
      <c r="V5157" t="str">
        <f t="shared" si="2106"/>
        <v>FARHANA BINTI MUSTAPA</v>
      </c>
      <c r="W5157" t="str">
        <f t="shared" si="2107"/>
        <v>04-08-2020</v>
      </c>
      <c r="X5157" t="str">
        <f t="shared" si="2108"/>
        <v>RAZIMAH ANSAR AHMAD</v>
      </c>
      <c r="Y5157" t="str">
        <f t="shared" si="2109"/>
        <v>04-08-2020</v>
      </c>
      <c r="Z5157" t="str">
        <f>"COS10200804 3997"</f>
        <v>COS10200804 3997</v>
      </c>
    </row>
    <row r="5158" spans="1:26" x14ac:dyDescent="0.25">
      <c r="A5158" t="str">
        <f t="shared" si="2118"/>
        <v>04-08-2020 12:47:34</v>
      </c>
      <c r="B5158" t="str">
        <f>"0000805771"</f>
        <v>0000805771</v>
      </c>
      <c r="C5158" t="str">
        <f t="shared" si="2119"/>
        <v>0000805575</v>
      </c>
      <c r="D5158" t="str">
        <f t="shared" si="2097"/>
        <v>73185</v>
      </c>
      <c r="E5158" t="str">
        <f t="shared" si="2098"/>
        <v>KFH-OPERATIONS DEPARTMENT</v>
      </c>
      <c r="F5158" t="str">
        <f t="shared" si="2099"/>
        <v>IBG</v>
      </c>
      <c r="G5158" t="str">
        <f t="shared" si="2110"/>
        <v>Refund COSHARE 10</v>
      </c>
      <c r="H5158" s="2">
        <v>1628.65</v>
      </c>
      <c r="I5158" t="str">
        <f>"AHZIM ZANUDIN"</f>
        <v>AHZIM ZANUDIN</v>
      </c>
      <c r="J5158" t="str">
        <f t="shared" si="2111"/>
        <v>MAYBANK / MAYBANK ISLAMIC</v>
      </c>
      <c r="K5158" t="str">
        <f>"160018610868"</f>
        <v>160018610868</v>
      </c>
      <c r="L5158" t="str">
        <f t="shared" si="2116"/>
        <v>04-08-2020</v>
      </c>
      <c r="M5158" t="str">
        <f t="shared" si="2116"/>
        <v>04-08-2020</v>
      </c>
      <c r="N5158" t="str">
        <f t="shared" si="2101"/>
        <v>001105018356</v>
      </c>
      <c r="O5158" t="str">
        <f t="shared" si="2102"/>
        <v>MYR</v>
      </c>
      <c r="P5158" t="str">
        <f t="shared" si="2117"/>
        <v>NIL</v>
      </c>
      <c r="Q5158" t="str">
        <f t="shared" si="2117"/>
        <v>NIL</v>
      </c>
      <c r="R5158" t="str">
        <f t="shared" si="2120"/>
        <v>Accepted</v>
      </c>
      <c r="S5158" t="str">
        <f t="shared" si="2104"/>
        <v>Approved</v>
      </c>
      <c r="T5158" t="str">
        <f t="shared" si="2121"/>
        <v>10.20.8.188</v>
      </c>
      <c r="U5158" t="str">
        <f t="shared" si="2105"/>
        <v>AZRAD UMAR BIN SHAARI</v>
      </c>
      <c r="V5158" t="str">
        <f t="shared" si="2106"/>
        <v>FARHANA BINTI MUSTAPA</v>
      </c>
      <c r="W5158" t="str">
        <f t="shared" si="2107"/>
        <v>04-08-2020</v>
      </c>
      <c r="X5158" t="str">
        <f t="shared" si="2108"/>
        <v>RAZIMAH ANSAR AHMAD</v>
      </c>
      <c r="Y5158" t="str">
        <f t="shared" si="2109"/>
        <v>04-08-2020</v>
      </c>
      <c r="Z5158" t="str">
        <f>"COS10200804 3996"</f>
        <v>COS10200804 3996</v>
      </c>
    </row>
    <row r="5159" spans="1:26" x14ac:dyDescent="0.25">
      <c r="A5159" t="str">
        <f t="shared" si="2118"/>
        <v>04-08-2020 12:47:34</v>
      </c>
      <c r="B5159" t="str">
        <f>"0000805770"</f>
        <v>0000805770</v>
      </c>
      <c r="C5159" t="str">
        <f t="shared" si="2119"/>
        <v>0000805575</v>
      </c>
      <c r="D5159" t="str">
        <f t="shared" si="2097"/>
        <v>73185</v>
      </c>
      <c r="E5159" t="str">
        <f t="shared" si="2098"/>
        <v>KFH-OPERATIONS DEPARTMENT</v>
      </c>
      <c r="F5159" t="str">
        <f t="shared" si="2099"/>
        <v>IBG</v>
      </c>
      <c r="G5159" t="str">
        <f t="shared" si="2110"/>
        <v>Refund COSHARE 10</v>
      </c>
      <c r="H5159" s="2">
        <v>949</v>
      </c>
      <c r="I5159" t="str">
        <f>"AHMALIZAN BIN AHMAD"</f>
        <v>AHMALIZAN BIN AHMAD</v>
      </c>
      <c r="J5159" t="str">
        <f t="shared" si="2111"/>
        <v>MAYBANK / MAYBANK ISLAMIC</v>
      </c>
      <c r="K5159" t="str">
        <f>"156057299094"</f>
        <v>156057299094</v>
      </c>
      <c r="L5159" t="str">
        <f t="shared" si="2116"/>
        <v>04-08-2020</v>
      </c>
      <c r="M5159" t="str">
        <f t="shared" si="2116"/>
        <v>04-08-2020</v>
      </c>
      <c r="N5159" t="str">
        <f t="shared" si="2101"/>
        <v>001105018356</v>
      </c>
      <c r="O5159" t="str">
        <f t="shared" si="2102"/>
        <v>MYR</v>
      </c>
      <c r="P5159" t="str">
        <f t="shared" si="2117"/>
        <v>NIL</v>
      </c>
      <c r="Q5159" t="str">
        <f t="shared" si="2117"/>
        <v>NIL</v>
      </c>
      <c r="R5159" t="str">
        <f t="shared" si="2120"/>
        <v>Accepted</v>
      </c>
      <c r="S5159" t="str">
        <f t="shared" si="2104"/>
        <v>Approved</v>
      </c>
      <c r="T5159" t="str">
        <f t="shared" si="2121"/>
        <v>10.20.8.188</v>
      </c>
      <c r="U5159" t="str">
        <f t="shared" si="2105"/>
        <v>AZRAD UMAR BIN SHAARI</v>
      </c>
      <c r="V5159" t="str">
        <f t="shared" si="2106"/>
        <v>FARHANA BINTI MUSTAPA</v>
      </c>
      <c r="W5159" t="str">
        <f t="shared" si="2107"/>
        <v>04-08-2020</v>
      </c>
      <c r="X5159" t="str">
        <f t="shared" si="2108"/>
        <v>RAZIMAH ANSAR AHMAD</v>
      </c>
      <c r="Y5159" t="str">
        <f t="shared" si="2109"/>
        <v>04-08-2020</v>
      </c>
      <c r="Z5159" t="str">
        <f>"COS10200804 3995"</f>
        <v>COS10200804 3995</v>
      </c>
    </row>
    <row r="5160" spans="1:26" x14ac:dyDescent="0.25">
      <c r="A5160" t="str">
        <f t="shared" si="2118"/>
        <v>04-08-2020 12:47:34</v>
      </c>
      <c r="B5160" t="str">
        <f>"0000805769"</f>
        <v>0000805769</v>
      </c>
      <c r="C5160" t="str">
        <f t="shared" si="2119"/>
        <v>0000805575</v>
      </c>
      <c r="D5160" t="str">
        <f t="shared" si="2097"/>
        <v>73185</v>
      </c>
      <c r="E5160" t="str">
        <f t="shared" si="2098"/>
        <v>KFH-OPERATIONS DEPARTMENT</v>
      </c>
      <c r="F5160" t="str">
        <f t="shared" si="2099"/>
        <v>IBG</v>
      </c>
      <c r="G5160" t="str">
        <f t="shared" si="2110"/>
        <v>Refund COSHARE 10</v>
      </c>
      <c r="H5160" s="2">
        <v>452.4</v>
      </c>
      <c r="I5160" t="str">
        <f>"AHMALIZAN BIN AHMAD"</f>
        <v>AHMALIZAN BIN AHMAD</v>
      </c>
      <c r="J5160" t="str">
        <f t="shared" si="2111"/>
        <v>MAYBANK / MAYBANK ISLAMIC</v>
      </c>
      <c r="K5160" t="str">
        <f>"156057299094"</f>
        <v>156057299094</v>
      </c>
      <c r="L5160" t="str">
        <f t="shared" si="2116"/>
        <v>04-08-2020</v>
      </c>
      <c r="M5160" t="str">
        <f t="shared" si="2116"/>
        <v>04-08-2020</v>
      </c>
      <c r="N5160" t="str">
        <f t="shared" si="2101"/>
        <v>001105018356</v>
      </c>
      <c r="O5160" t="str">
        <f t="shared" si="2102"/>
        <v>MYR</v>
      </c>
      <c r="P5160" t="str">
        <f t="shared" si="2117"/>
        <v>NIL</v>
      </c>
      <c r="Q5160" t="str">
        <f t="shared" si="2117"/>
        <v>NIL</v>
      </c>
      <c r="R5160" t="str">
        <f t="shared" si="2120"/>
        <v>Accepted</v>
      </c>
      <c r="S5160" t="str">
        <f t="shared" si="2104"/>
        <v>Approved</v>
      </c>
      <c r="T5160" t="str">
        <f t="shared" si="2121"/>
        <v>10.20.8.188</v>
      </c>
      <c r="U5160" t="str">
        <f t="shared" si="2105"/>
        <v>AZRAD UMAR BIN SHAARI</v>
      </c>
      <c r="V5160" t="str">
        <f t="shared" si="2106"/>
        <v>FARHANA BINTI MUSTAPA</v>
      </c>
      <c r="W5160" t="str">
        <f t="shared" si="2107"/>
        <v>04-08-2020</v>
      </c>
      <c r="X5160" t="str">
        <f t="shared" si="2108"/>
        <v>RAZIMAH ANSAR AHMAD</v>
      </c>
      <c r="Y5160" t="str">
        <f t="shared" si="2109"/>
        <v>04-08-2020</v>
      </c>
      <c r="Z5160" t="str">
        <f>"COS10200804 3994"</f>
        <v>COS10200804 3994</v>
      </c>
    </row>
    <row r="5161" spans="1:26" x14ac:dyDescent="0.25">
      <c r="A5161" t="str">
        <f t="shared" si="2118"/>
        <v>04-08-2020 12:47:34</v>
      </c>
      <c r="B5161" t="str">
        <f>"0000805768"</f>
        <v>0000805768</v>
      </c>
      <c r="C5161" t="str">
        <f t="shared" si="2119"/>
        <v>0000805575</v>
      </c>
      <c r="D5161" t="str">
        <f t="shared" si="2097"/>
        <v>73185</v>
      </c>
      <c r="E5161" t="str">
        <f t="shared" si="2098"/>
        <v>KFH-OPERATIONS DEPARTMENT</v>
      </c>
      <c r="F5161" t="str">
        <f t="shared" si="2099"/>
        <v>IBG</v>
      </c>
      <c r="G5161" t="str">
        <f t="shared" si="2110"/>
        <v>Refund COSHARE 10</v>
      </c>
      <c r="H5161" s="2">
        <v>134.35</v>
      </c>
      <c r="I5161" t="str">
        <f>"AHMAD ZULKHAIRY BIN MOHAMMAD"</f>
        <v>AHMAD ZULKHAIRY BIN MOHAMMAD</v>
      </c>
      <c r="J5161" t="str">
        <f t="shared" si="2111"/>
        <v>MAYBANK / MAYBANK ISLAMIC</v>
      </c>
      <c r="K5161" t="str">
        <f>"162357248711"</f>
        <v>162357248711</v>
      </c>
      <c r="L5161" t="str">
        <f t="shared" si="2116"/>
        <v>04-08-2020</v>
      </c>
      <c r="M5161" t="str">
        <f t="shared" si="2116"/>
        <v>04-08-2020</v>
      </c>
      <c r="N5161" t="str">
        <f t="shared" si="2101"/>
        <v>001105018356</v>
      </c>
      <c r="O5161" t="str">
        <f t="shared" si="2102"/>
        <v>MYR</v>
      </c>
      <c r="P5161" t="str">
        <f t="shared" si="2117"/>
        <v>NIL</v>
      </c>
      <c r="Q5161" t="str">
        <f t="shared" si="2117"/>
        <v>NIL</v>
      </c>
      <c r="R5161" t="str">
        <f t="shared" si="2120"/>
        <v>Accepted</v>
      </c>
      <c r="S5161" t="str">
        <f t="shared" si="2104"/>
        <v>Approved</v>
      </c>
      <c r="T5161" t="str">
        <f t="shared" si="2121"/>
        <v>10.20.8.188</v>
      </c>
      <c r="U5161" t="str">
        <f t="shared" si="2105"/>
        <v>AZRAD UMAR BIN SHAARI</v>
      </c>
      <c r="V5161" t="str">
        <f t="shared" si="2106"/>
        <v>FARHANA BINTI MUSTAPA</v>
      </c>
      <c r="W5161" t="str">
        <f t="shared" si="2107"/>
        <v>04-08-2020</v>
      </c>
      <c r="X5161" t="str">
        <f t="shared" si="2108"/>
        <v>RAZIMAH ANSAR AHMAD</v>
      </c>
      <c r="Y5161" t="str">
        <f t="shared" si="2109"/>
        <v>04-08-2020</v>
      </c>
      <c r="Z5161" t="str">
        <f>"COS10200804 3993"</f>
        <v>COS10200804 3993</v>
      </c>
    </row>
    <row r="5162" spans="1:26" x14ac:dyDescent="0.25">
      <c r="A5162" t="str">
        <f t="shared" si="2118"/>
        <v>04-08-2020 12:47:34</v>
      </c>
      <c r="B5162" t="str">
        <f>"0000805767"</f>
        <v>0000805767</v>
      </c>
      <c r="C5162" t="str">
        <f t="shared" si="2119"/>
        <v>0000805575</v>
      </c>
      <c r="D5162" t="str">
        <f t="shared" si="2097"/>
        <v>73185</v>
      </c>
      <c r="E5162" t="str">
        <f t="shared" si="2098"/>
        <v>KFH-OPERATIONS DEPARTMENT</v>
      </c>
      <c r="F5162" t="str">
        <f t="shared" si="2099"/>
        <v>IBG</v>
      </c>
      <c r="G5162" t="str">
        <f t="shared" si="2110"/>
        <v>Refund COSHARE 10</v>
      </c>
      <c r="H5162" s="2">
        <v>419.75</v>
      </c>
      <c r="I5162" t="str">
        <f>"AHMAD ZUHAIMEE BIN MATSAH"</f>
        <v>AHMAD ZUHAIMEE BIN MATSAH</v>
      </c>
      <c r="J5162" t="str">
        <f t="shared" si="2111"/>
        <v>MAYBANK / MAYBANK ISLAMIC</v>
      </c>
      <c r="K5162" t="str">
        <f>"162106977384"</f>
        <v>162106977384</v>
      </c>
      <c r="L5162" t="str">
        <f t="shared" si="2116"/>
        <v>04-08-2020</v>
      </c>
      <c r="M5162" t="str">
        <f t="shared" si="2116"/>
        <v>04-08-2020</v>
      </c>
      <c r="N5162" t="str">
        <f t="shared" si="2101"/>
        <v>001105018356</v>
      </c>
      <c r="O5162" t="str">
        <f t="shared" si="2102"/>
        <v>MYR</v>
      </c>
      <c r="P5162" t="str">
        <f t="shared" si="2117"/>
        <v>NIL</v>
      </c>
      <c r="Q5162" t="str">
        <f t="shared" si="2117"/>
        <v>NIL</v>
      </c>
      <c r="R5162" t="str">
        <f t="shared" si="2120"/>
        <v>Accepted</v>
      </c>
      <c r="S5162" t="str">
        <f t="shared" si="2104"/>
        <v>Approved</v>
      </c>
      <c r="T5162" t="str">
        <f t="shared" si="2121"/>
        <v>10.20.8.188</v>
      </c>
      <c r="U5162" t="str">
        <f t="shared" si="2105"/>
        <v>AZRAD UMAR BIN SHAARI</v>
      </c>
      <c r="V5162" t="str">
        <f t="shared" si="2106"/>
        <v>FARHANA BINTI MUSTAPA</v>
      </c>
      <c r="W5162" t="str">
        <f t="shared" si="2107"/>
        <v>04-08-2020</v>
      </c>
      <c r="X5162" t="str">
        <f t="shared" si="2108"/>
        <v>RAZIMAH ANSAR AHMAD</v>
      </c>
      <c r="Y5162" t="str">
        <f t="shared" si="2109"/>
        <v>04-08-2020</v>
      </c>
      <c r="Z5162" t="str">
        <f>"COS10200804 3992"</f>
        <v>COS10200804 3992</v>
      </c>
    </row>
    <row r="5163" spans="1:26" x14ac:dyDescent="0.25">
      <c r="A5163" t="str">
        <f t="shared" si="2118"/>
        <v>04-08-2020 12:47:34</v>
      </c>
      <c r="B5163" t="str">
        <f>"0000805766"</f>
        <v>0000805766</v>
      </c>
      <c r="C5163" t="str">
        <f t="shared" si="2119"/>
        <v>0000805575</v>
      </c>
      <c r="D5163" t="str">
        <f t="shared" si="2097"/>
        <v>73185</v>
      </c>
      <c r="E5163" t="str">
        <f t="shared" si="2098"/>
        <v>KFH-OPERATIONS DEPARTMENT</v>
      </c>
      <c r="F5163" t="str">
        <f t="shared" si="2099"/>
        <v>IBG</v>
      </c>
      <c r="G5163" t="str">
        <f t="shared" si="2110"/>
        <v>Refund COSHARE 10</v>
      </c>
      <c r="H5163" s="2">
        <v>214.15</v>
      </c>
      <c r="I5163" t="str">
        <f>"AHMAD ZIFNI BIN ADELI"</f>
        <v>AHMAD ZIFNI BIN ADELI</v>
      </c>
      <c r="J5163" t="str">
        <f t="shared" si="2111"/>
        <v>MAYBANK / MAYBANK ISLAMIC</v>
      </c>
      <c r="K5163" t="str">
        <f>"102072136691"</f>
        <v>102072136691</v>
      </c>
      <c r="L5163" t="str">
        <f t="shared" si="2116"/>
        <v>04-08-2020</v>
      </c>
      <c r="M5163" t="str">
        <f t="shared" si="2116"/>
        <v>04-08-2020</v>
      </c>
      <c r="N5163" t="str">
        <f t="shared" si="2101"/>
        <v>001105018356</v>
      </c>
      <c r="O5163" t="str">
        <f t="shared" si="2102"/>
        <v>MYR</v>
      </c>
      <c r="P5163" t="str">
        <f t="shared" si="2117"/>
        <v>NIL</v>
      </c>
      <c r="Q5163" t="str">
        <f t="shared" si="2117"/>
        <v>NIL</v>
      </c>
      <c r="R5163" t="str">
        <f t="shared" si="2120"/>
        <v>Accepted</v>
      </c>
      <c r="S5163" t="str">
        <f t="shared" si="2104"/>
        <v>Approved</v>
      </c>
      <c r="T5163" t="str">
        <f t="shared" si="2121"/>
        <v>10.20.8.188</v>
      </c>
      <c r="U5163" t="str">
        <f t="shared" si="2105"/>
        <v>AZRAD UMAR BIN SHAARI</v>
      </c>
      <c r="V5163" t="str">
        <f t="shared" si="2106"/>
        <v>FARHANA BINTI MUSTAPA</v>
      </c>
      <c r="W5163" t="str">
        <f t="shared" si="2107"/>
        <v>04-08-2020</v>
      </c>
      <c r="X5163" t="str">
        <f t="shared" si="2108"/>
        <v>RAZIMAH ANSAR AHMAD</v>
      </c>
      <c r="Y5163" t="str">
        <f t="shared" si="2109"/>
        <v>04-08-2020</v>
      </c>
      <c r="Z5163" t="str">
        <f>"COS10200804 3991"</f>
        <v>COS10200804 3991</v>
      </c>
    </row>
    <row r="5164" spans="1:26" x14ac:dyDescent="0.25">
      <c r="A5164" t="str">
        <f t="shared" si="2118"/>
        <v>04-08-2020 12:47:34</v>
      </c>
      <c r="B5164" t="str">
        <f>"0000805765"</f>
        <v>0000805765</v>
      </c>
      <c r="C5164" t="str">
        <f t="shared" si="2119"/>
        <v>0000805575</v>
      </c>
      <c r="D5164" t="str">
        <f t="shared" si="2097"/>
        <v>73185</v>
      </c>
      <c r="E5164" t="str">
        <f t="shared" si="2098"/>
        <v>KFH-OPERATIONS DEPARTMENT</v>
      </c>
      <c r="F5164" t="str">
        <f t="shared" si="2099"/>
        <v>IBG</v>
      </c>
      <c r="G5164" t="str">
        <f t="shared" si="2110"/>
        <v>Refund COSHARE 10</v>
      </c>
      <c r="H5164" s="2">
        <v>982.25</v>
      </c>
      <c r="I5164" t="str">
        <f>"AHMAD ZAWAWI BIN ROSLI ALHAIRI"</f>
        <v>AHMAD ZAWAWI BIN ROSLI ALHAIRI</v>
      </c>
      <c r="J5164" t="str">
        <f t="shared" si="2111"/>
        <v>MAYBANK / MAYBANK ISLAMIC</v>
      </c>
      <c r="K5164" t="str">
        <f>"158033111010"</f>
        <v>158033111010</v>
      </c>
      <c r="L5164" t="str">
        <f t="shared" si="2116"/>
        <v>04-08-2020</v>
      </c>
      <c r="M5164" t="str">
        <f t="shared" si="2116"/>
        <v>04-08-2020</v>
      </c>
      <c r="N5164" t="str">
        <f t="shared" si="2101"/>
        <v>001105018356</v>
      </c>
      <c r="O5164" t="str">
        <f t="shared" si="2102"/>
        <v>MYR</v>
      </c>
      <c r="P5164" t="str">
        <f t="shared" si="2117"/>
        <v>NIL</v>
      </c>
      <c r="Q5164" t="str">
        <f t="shared" si="2117"/>
        <v>NIL</v>
      </c>
      <c r="R5164" t="str">
        <f t="shared" si="2120"/>
        <v>Accepted</v>
      </c>
      <c r="S5164" t="str">
        <f t="shared" si="2104"/>
        <v>Approved</v>
      </c>
      <c r="T5164" t="str">
        <f t="shared" si="2121"/>
        <v>10.20.8.188</v>
      </c>
      <c r="U5164" t="str">
        <f t="shared" si="2105"/>
        <v>AZRAD UMAR BIN SHAARI</v>
      </c>
      <c r="V5164" t="str">
        <f t="shared" si="2106"/>
        <v>FARHANA BINTI MUSTAPA</v>
      </c>
      <c r="W5164" t="str">
        <f t="shared" si="2107"/>
        <v>04-08-2020</v>
      </c>
      <c r="X5164" t="str">
        <f t="shared" si="2108"/>
        <v>RAZIMAH ANSAR AHMAD</v>
      </c>
      <c r="Y5164" t="str">
        <f t="shared" si="2109"/>
        <v>04-08-2020</v>
      </c>
      <c r="Z5164" t="str">
        <f>"COS10200804 3990"</f>
        <v>COS10200804 3990</v>
      </c>
    </row>
    <row r="5165" spans="1:26" x14ac:dyDescent="0.25">
      <c r="A5165" t="str">
        <f t="shared" si="2118"/>
        <v>04-08-2020 12:47:34</v>
      </c>
      <c r="B5165" t="str">
        <f>"0000805764"</f>
        <v>0000805764</v>
      </c>
      <c r="C5165" t="str">
        <f t="shared" si="2119"/>
        <v>0000805575</v>
      </c>
      <c r="D5165" t="str">
        <f t="shared" si="2097"/>
        <v>73185</v>
      </c>
      <c r="E5165" t="str">
        <f t="shared" si="2098"/>
        <v>KFH-OPERATIONS DEPARTMENT</v>
      </c>
      <c r="F5165" t="str">
        <f t="shared" si="2099"/>
        <v>IBG</v>
      </c>
      <c r="G5165" t="str">
        <f t="shared" si="2110"/>
        <v>Refund COSHARE 10</v>
      </c>
      <c r="H5165" s="2">
        <v>167.9</v>
      </c>
      <c r="I5165" t="str">
        <f>"AHMAD ZAREF BIN MAT REWAI"</f>
        <v>AHMAD ZAREF BIN MAT REWAI</v>
      </c>
      <c r="J5165" t="str">
        <f t="shared" si="2111"/>
        <v>MAYBANK / MAYBANK ISLAMIC</v>
      </c>
      <c r="K5165" t="str">
        <f>"162553044813"</f>
        <v>162553044813</v>
      </c>
      <c r="L5165" t="str">
        <f t="shared" si="2116"/>
        <v>04-08-2020</v>
      </c>
      <c r="M5165" t="str">
        <f t="shared" si="2116"/>
        <v>04-08-2020</v>
      </c>
      <c r="N5165" t="str">
        <f t="shared" si="2101"/>
        <v>001105018356</v>
      </c>
      <c r="O5165" t="str">
        <f t="shared" si="2102"/>
        <v>MYR</v>
      </c>
      <c r="P5165" t="str">
        <f t="shared" si="2117"/>
        <v>NIL</v>
      </c>
      <c r="Q5165" t="str">
        <f t="shared" si="2117"/>
        <v>NIL</v>
      </c>
      <c r="R5165" t="str">
        <f t="shared" si="2120"/>
        <v>Accepted</v>
      </c>
      <c r="S5165" t="str">
        <f t="shared" si="2104"/>
        <v>Approved</v>
      </c>
      <c r="T5165" t="str">
        <f t="shared" si="2121"/>
        <v>10.20.8.188</v>
      </c>
      <c r="U5165" t="str">
        <f t="shared" si="2105"/>
        <v>AZRAD UMAR BIN SHAARI</v>
      </c>
      <c r="V5165" t="str">
        <f t="shared" si="2106"/>
        <v>FARHANA BINTI MUSTAPA</v>
      </c>
      <c r="W5165" t="str">
        <f t="shared" si="2107"/>
        <v>04-08-2020</v>
      </c>
      <c r="X5165" t="str">
        <f t="shared" si="2108"/>
        <v>RAZIMAH ANSAR AHMAD</v>
      </c>
      <c r="Y5165" t="str">
        <f t="shared" si="2109"/>
        <v>04-08-2020</v>
      </c>
      <c r="Z5165" t="str">
        <f>"COS10200804 3989"</f>
        <v>COS10200804 3989</v>
      </c>
    </row>
    <row r="5166" spans="1:26" x14ac:dyDescent="0.25">
      <c r="A5166" t="str">
        <f t="shared" si="2118"/>
        <v>04-08-2020 12:47:34</v>
      </c>
      <c r="B5166" t="str">
        <f>"0000805763"</f>
        <v>0000805763</v>
      </c>
      <c r="C5166" t="str">
        <f t="shared" si="2119"/>
        <v>0000805575</v>
      </c>
      <c r="D5166" t="str">
        <f t="shared" si="2097"/>
        <v>73185</v>
      </c>
      <c r="E5166" t="str">
        <f t="shared" si="2098"/>
        <v>KFH-OPERATIONS DEPARTMENT</v>
      </c>
      <c r="F5166" t="str">
        <f t="shared" si="2099"/>
        <v>IBG</v>
      </c>
      <c r="G5166" t="str">
        <f t="shared" si="2110"/>
        <v>Refund COSHARE 10</v>
      </c>
      <c r="H5166" s="2">
        <v>714</v>
      </c>
      <c r="I5166" t="str">
        <f>"AHMAD ZAIYUSMAN BIN MD ESMON"</f>
        <v>AHMAD ZAIYUSMAN BIN MD ESMON</v>
      </c>
      <c r="J5166" t="str">
        <f t="shared" si="2111"/>
        <v>MAYBANK / MAYBANK ISLAMIC</v>
      </c>
      <c r="K5166" t="str">
        <f>"156208086068"</f>
        <v>156208086068</v>
      </c>
      <c r="L5166" t="str">
        <f t="shared" si="2116"/>
        <v>04-08-2020</v>
      </c>
      <c r="M5166" t="str">
        <f t="shared" si="2116"/>
        <v>04-08-2020</v>
      </c>
      <c r="N5166" t="str">
        <f t="shared" si="2101"/>
        <v>001105018356</v>
      </c>
      <c r="O5166" t="str">
        <f t="shared" si="2102"/>
        <v>MYR</v>
      </c>
      <c r="P5166" t="str">
        <f t="shared" si="2117"/>
        <v>NIL</v>
      </c>
      <c r="Q5166" t="str">
        <f t="shared" si="2117"/>
        <v>NIL</v>
      </c>
      <c r="R5166" t="str">
        <f t="shared" si="2120"/>
        <v>Accepted</v>
      </c>
      <c r="S5166" t="str">
        <f t="shared" si="2104"/>
        <v>Approved</v>
      </c>
      <c r="T5166" t="str">
        <f t="shared" si="2121"/>
        <v>10.20.8.188</v>
      </c>
      <c r="U5166" t="str">
        <f t="shared" si="2105"/>
        <v>AZRAD UMAR BIN SHAARI</v>
      </c>
      <c r="V5166" t="str">
        <f t="shared" si="2106"/>
        <v>FARHANA BINTI MUSTAPA</v>
      </c>
      <c r="W5166" t="str">
        <f t="shared" si="2107"/>
        <v>04-08-2020</v>
      </c>
      <c r="X5166" t="str">
        <f t="shared" si="2108"/>
        <v>RAZIMAH ANSAR AHMAD</v>
      </c>
      <c r="Y5166" t="str">
        <f t="shared" si="2109"/>
        <v>04-08-2020</v>
      </c>
      <c r="Z5166" t="str">
        <f>"COS10200804 3988"</f>
        <v>COS10200804 3988</v>
      </c>
    </row>
    <row r="5167" spans="1:26" x14ac:dyDescent="0.25">
      <c r="A5167" t="str">
        <f t="shared" si="2118"/>
        <v>04-08-2020 12:47:34</v>
      </c>
      <c r="B5167" t="str">
        <f>"0000805762"</f>
        <v>0000805762</v>
      </c>
      <c r="C5167" t="str">
        <f t="shared" si="2119"/>
        <v>0000805575</v>
      </c>
      <c r="D5167" t="str">
        <f t="shared" si="2097"/>
        <v>73185</v>
      </c>
      <c r="E5167" t="str">
        <f t="shared" si="2098"/>
        <v>KFH-OPERATIONS DEPARTMENT</v>
      </c>
      <c r="F5167" t="str">
        <f t="shared" si="2099"/>
        <v>IBG</v>
      </c>
      <c r="G5167" t="str">
        <f t="shared" si="2110"/>
        <v>Refund COSHARE 10</v>
      </c>
      <c r="H5167" s="2">
        <v>714</v>
      </c>
      <c r="I5167" t="str">
        <f>"AHMAD ZAIYUSMAN BIN MD ESMON"</f>
        <v>AHMAD ZAIYUSMAN BIN MD ESMON</v>
      </c>
      <c r="J5167" t="str">
        <f t="shared" si="2111"/>
        <v>MAYBANK / MAYBANK ISLAMIC</v>
      </c>
      <c r="K5167" t="str">
        <f>"156208086068"</f>
        <v>156208086068</v>
      </c>
      <c r="L5167" t="str">
        <f t="shared" ref="L5167:M5186" si="2122">"04-08-2020"</f>
        <v>04-08-2020</v>
      </c>
      <c r="M5167" t="str">
        <f t="shared" si="2122"/>
        <v>04-08-2020</v>
      </c>
      <c r="N5167" t="str">
        <f t="shared" si="2101"/>
        <v>001105018356</v>
      </c>
      <c r="O5167" t="str">
        <f t="shared" si="2102"/>
        <v>MYR</v>
      </c>
      <c r="P5167" t="str">
        <f t="shared" ref="P5167:Q5186" si="2123">"NIL"</f>
        <v>NIL</v>
      </c>
      <c r="Q5167" t="str">
        <f t="shared" si="2123"/>
        <v>NIL</v>
      </c>
      <c r="R5167" t="str">
        <f t="shared" si="2120"/>
        <v>Accepted</v>
      </c>
      <c r="S5167" t="str">
        <f t="shared" si="2104"/>
        <v>Approved</v>
      </c>
      <c r="T5167" t="str">
        <f t="shared" si="2121"/>
        <v>10.20.8.188</v>
      </c>
      <c r="U5167" t="str">
        <f t="shared" si="2105"/>
        <v>AZRAD UMAR BIN SHAARI</v>
      </c>
      <c r="V5167" t="str">
        <f t="shared" si="2106"/>
        <v>FARHANA BINTI MUSTAPA</v>
      </c>
      <c r="W5167" t="str">
        <f t="shared" si="2107"/>
        <v>04-08-2020</v>
      </c>
      <c r="X5167" t="str">
        <f t="shared" si="2108"/>
        <v>RAZIMAH ANSAR AHMAD</v>
      </c>
      <c r="Y5167" t="str">
        <f t="shared" si="2109"/>
        <v>04-08-2020</v>
      </c>
      <c r="Z5167" t="str">
        <f>"COS10200804 3987"</f>
        <v>COS10200804 3987</v>
      </c>
    </row>
    <row r="5168" spans="1:26" x14ac:dyDescent="0.25">
      <c r="A5168" t="str">
        <f t="shared" si="2118"/>
        <v>04-08-2020 12:47:34</v>
      </c>
      <c r="B5168" t="str">
        <f>"0000805761"</f>
        <v>0000805761</v>
      </c>
      <c r="C5168" t="str">
        <f t="shared" si="2119"/>
        <v>0000805575</v>
      </c>
      <c r="D5168" t="str">
        <f t="shared" si="2097"/>
        <v>73185</v>
      </c>
      <c r="E5168" t="str">
        <f t="shared" si="2098"/>
        <v>KFH-OPERATIONS DEPARTMENT</v>
      </c>
      <c r="F5168" t="str">
        <f t="shared" si="2099"/>
        <v>IBG</v>
      </c>
      <c r="G5168" t="str">
        <f t="shared" si="2110"/>
        <v>Refund COSHARE 10</v>
      </c>
      <c r="H5168" s="2">
        <v>1453.85</v>
      </c>
      <c r="I5168" t="str">
        <f>"AHMAD ZAINI BIN MT ISA"</f>
        <v>AHMAD ZAINI BIN MT ISA</v>
      </c>
      <c r="J5168" t="str">
        <f t="shared" si="2111"/>
        <v>MAYBANK / MAYBANK ISLAMIC</v>
      </c>
      <c r="K5168" t="str">
        <f>"155069011823"</f>
        <v>155069011823</v>
      </c>
      <c r="L5168" t="str">
        <f t="shared" si="2122"/>
        <v>04-08-2020</v>
      </c>
      <c r="M5168" t="str">
        <f t="shared" si="2122"/>
        <v>04-08-2020</v>
      </c>
      <c r="N5168" t="str">
        <f t="shared" si="2101"/>
        <v>001105018356</v>
      </c>
      <c r="O5168" t="str">
        <f t="shared" si="2102"/>
        <v>MYR</v>
      </c>
      <c r="P5168" t="str">
        <f t="shared" si="2123"/>
        <v>NIL</v>
      </c>
      <c r="Q5168" t="str">
        <f t="shared" si="2123"/>
        <v>NIL</v>
      </c>
      <c r="R5168" t="str">
        <f t="shared" si="2120"/>
        <v>Accepted</v>
      </c>
      <c r="S5168" t="str">
        <f t="shared" si="2104"/>
        <v>Approved</v>
      </c>
      <c r="T5168" t="str">
        <f t="shared" si="2121"/>
        <v>10.20.8.188</v>
      </c>
      <c r="U5168" t="str">
        <f t="shared" si="2105"/>
        <v>AZRAD UMAR BIN SHAARI</v>
      </c>
      <c r="V5168" t="str">
        <f t="shared" si="2106"/>
        <v>FARHANA BINTI MUSTAPA</v>
      </c>
      <c r="W5168" t="str">
        <f t="shared" si="2107"/>
        <v>04-08-2020</v>
      </c>
      <c r="X5168" t="str">
        <f t="shared" si="2108"/>
        <v>RAZIMAH ANSAR AHMAD</v>
      </c>
      <c r="Y5168" t="str">
        <f t="shared" si="2109"/>
        <v>04-08-2020</v>
      </c>
      <c r="Z5168" t="str">
        <f>"COS10200804 3986"</f>
        <v>COS10200804 3986</v>
      </c>
    </row>
    <row r="5169" spans="1:26" x14ac:dyDescent="0.25">
      <c r="A5169" t="str">
        <f t="shared" si="2118"/>
        <v>04-08-2020 12:47:34</v>
      </c>
      <c r="B5169" t="str">
        <f>"0000805760"</f>
        <v>0000805760</v>
      </c>
      <c r="C5169" t="str">
        <f t="shared" si="2119"/>
        <v>0000805575</v>
      </c>
      <c r="D5169" t="str">
        <f t="shared" si="2097"/>
        <v>73185</v>
      </c>
      <c r="E5169" t="str">
        <f t="shared" si="2098"/>
        <v>KFH-OPERATIONS DEPARTMENT</v>
      </c>
      <c r="F5169" t="str">
        <f t="shared" si="2099"/>
        <v>IBG</v>
      </c>
      <c r="G5169" t="str">
        <f t="shared" si="2110"/>
        <v>Refund COSHARE 10</v>
      </c>
      <c r="H5169" s="2">
        <v>849.3</v>
      </c>
      <c r="I5169" t="str">
        <f>"AHMAD YUSERI BIN ABDUL RAHMAN"</f>
        <v>AHMAD YUSERI BIN ABDUL RAHMAN</v>
      </c>
      <c r="J5169" t="str">
        <f t="shared" si="2111"/>
        <v>MAYBANK / MAYBANK ISLAMIC</v>
      </c>
      <c r="K5169" t="str">
        <f>"156012095058"</f>
        <v>156012095058</v>
      </c>
      <c r="L5169" t="str">
        <f t="shared" si="2122"/>
        <v>04-08-2020</v>
      </c>
      <c r="M5169" t="str">
        <f t="shared" si="2122"/>
        <v>04-08-2020</v>
      </c>
      <c r="N5169" t="str">
        <f t="shared" si="2101"/>
        <v>001105018356</v>
      </c>
      <c r="O5169" t="str">
        <f t="shared" si="2102"/>
        <v>MYR</v>
      </c>
      <c r="P5169" t="str">
        <f t="shared" si="2123"/>
        <v>NIL</v>
      </c>
      <c r="Q5169" t="str">
        <f t="shared" si="2123"/>
        <v>NIL</v>
      </c>
      <c r="R5169" t="str">
        <f t="shared" si="2120"/>
        <v>Accepted</v>
      </c>
      <c r="S5169" t="str">
        <f t="shared" si="2104"/>
        <v>Approved</v>
      </c>
      <c r="T5169" t="str">
        <f t="shared" si="2121"/>
        <v>10.20.8.188</v>
      </c>
      <c r="U5169" t="str">
        <f t="shared" si="2105"/>
        <v>AZRAD UMAR BIN SHAARI</v>
      </c>
      <c r="V5169" t="str">
        <f t="shared" si="2106"/>
        <v>FARHANA BINTI MUSTAPA</v>
      </c>
      <c r="W5169" t="str">
        <f t="shared" si="2107"/>
        <v>04-08-2020</v>
      </c>
      <c r="X5169" t="str">
        <f t="shared" si="2108"/>
        <v>RAZIMAH ANSAR AHMAD</v>
      </c>
      <c r="Y5169" t="str">
        <f t="shared" si="2109"/>
        <v>04-08-2020</v>
      </c>
      <c r="Z5169" t="str">
        <f>"COS10200804 3985"</f>
        <v>COS10200804 3985</v>
      </c>
    </row>
    <row r="5170" spans="1:26" x14ac:dyDescent="0.25">
      <c r="A5170" t="str">
        <f t="shared" si="2118"/>
        <v>04-08-2020 12:47:34</v>
      </c>
      <c r="B5170" t="str">
        <f>"0000805759"</f>
        <v>0000805759</v>
      </c>
      <c r="C5170" t="str">
        <f t="shared" si="2119"/>
        <v>0000805575</v>
      </c>
      <c r="D5170" t="str">
        <f t="shared" si="2097"/>
        <v>73185</v>
      </c>
      <c r="E5170" t="str">
        <f t="shared" si="2098"/>
        <v>KFH-OPERATIONS DEPARTMENT</v>
      </c>
      <c r="F5170" t="str">
        <f t="shared" si="2099"/>
        <v>IBG</v>
      </c>
      <c r="G5170" t="str">
        <f t="shared" si="2110"/>
        <v>Refund COSHARE 10</v>
      </c>
      <c r="H5170" s="2">
        <v>839.5</v>
      </c>
      <c r="I5170" t="str">
        <f>"AHMAD YASSIR ARAFAT BIN IBRAHIM"</f>
        <v>AHMAD YASSIR ARAFAT BIN IBRAHIM</v>
      </c>
      <c r="J5170" t="str">
        <f t="shared" si="2111"/>
        <v>MAYBANK / MAYBANK ISLAMIC</v>
      </c>
      <c r="K5170" t="str">
        <f>"105047146459"</f>
        <v>105047146459</v>
      </c>
      <c r="L5170" t="str">
        <f t="shared" si="2122"/>
        <v>04-08-2020</v>
      </c>
      <c r="M5170" t="str">
        <f t="shared" si="2122"/>
        <v>04-08-2020</v>
      </c>
      <c r="N5170" t="str">
        <f t="shared" si="2101"/>
        <v>001105018356</v>
      </c>
      <c r="O5170" t="str">
        <f t="shared" si="2102"/>
        <v>MYR</v>
      </c>
      <c r="P5170" t="str">
        <f t="shared" si="2123"/>
        <v>NIL</v>
      </c>
      <c r="Q5170" t="str">
        <f t="shared" si="2123"/>
        <v>NIL</v>
      </c>
      <c r="R5170" t="str">
        <f t="shared" si="2120"/>
        <v>Accepted</v>
      </c>
      <c r="S5170" t="str">
        <f t="shared" si="2104"/>
        <v>Approved</v>
      </c>
      <c r="T5170" t="str">
        <f t="shared" si="2121"/>
        <v>10.20.8.188</v>
      </c>
      <c r="U5170" t="str">
        <f t="shared" si="2105"/>
        <v>AZRAD UMAR BIN SHAARI</v>
      </c>
      <c r="V5170" t="str">
        <f t="shared" si="2106"/>
        <v>FARHANA BINTI MUSTAPA</v>
      </c>
      <c r="W5170" t="str">
        <f t="shared" si="2107"/>
        <v>04-08-2020</v>
      </c>
      <c r="X5170" t="str">
        <f t="shared" si="2108"/>
        <v>RAZIMAH ANSAR AHMAD</v>
      </c>
      <c r="Y5170" t="str">
        <f t="shared" si="2109"/>
        <v>04-08-2020</v>
      </c>
      <c r="Z5170" t="str">
        <f>"COS10200804 3984"</f>
        <v>COS10200804 3984</v>
      </c>
    </row>
    <row r="5171" spans="1:26" x14ac:dyDescent="0.25">
      <c r="A5171" t="str">
        <f t="shared" si="2118"/>
        <v>04-08-2020 12:47:34</v>
      </c>
      <c r="B5171" t="str">
        <f>"0000805758"</f>
        <v>0000805758</v>
      </c>
      <c r="C5171" t="str">
        <f t="shared" si="2119"/>
        <v>0000805575</v>
      </c>
      <c r="D5171" t="str">
        <f t="shared" si="2097"/>
        <v>73185</v>
      </c>
      <c r="E5171" t="str">
        <f t="shared" si="2098"/>
        <v>KFH-OPERATIONS DEPARTMENT</v>
      </c>
      <c r="F5171" t="str">
        <f t="shared" si="2099"/>
        <v>IBG</v>
      </c>
      <c r="G5171" t="str">
        <f t="shared" si="2110"/>
        <v>Refund COSHARE 10</v>
      </c>
      <c r="H5171" s="2">
        <v>612.85</v>
      </c>
      <c r="I5171" t="str">
        <f>"AHMAD TAUFIQ BIN ABDUL RASHID"</f>
        <v>AHMAD TAUFIQ BIN ABDUL RASHID</v>
      </c>
      <c r="J5171" t="str">
        <f t="shared" si="2111"/>
        <v>MAYBANK / MAYBANK ISLAMIC</v>
      </c>
      <c r="K5171" t="str">
        <f>"162405011474"</f>
        <v>162405011474</v>
      </c>
      <c r="L5171" t="str">
        <f t="shared" si="2122"/>
        <v>04-08-2020</v>
      </c>
      <c r="M5171" t="str">
        <f t="shared" si="2122"/>
        <v>04-08-2020</v>
      </c>
      <c r="N5171" t="str">
        <f t="shared" si="2101"/>
        <v>001105018356</v>
      </c>
      <c r="O5171" t="str">
        <f t="shared" si="2102"/>
        <v>MYR</v>
      </c>
      <c r="P5171" t="str">
        <f t="shared" si="2123"/>
        <v>NIL</v>
      </c>
      <c r="Q5171" t="str">
        <f t="shared" si="2123"/>
        <v>NIL</v>
      </c>
      <c r="R5171" t="str">
        <f t="shared" si="2120"/>
        <v>Accepted</v>
      </c>
      <c r="S5171" t="str">
        <f t="shared" si="2104"/>
        <v>Approved</v>
      </c>
      <c r="T5171" t="str">
        <f t="shared" si="2121"/>
        <v>10.20.8.188</v>
      </c>
      <c r="U5171" t="str">
        <f t="shared" si="2105"/>
        <v>AZRAD UMAR BIN SHAARI</v>
      </c>
      <c r="V5171" t="str">
        <f t="shared" si="2106"/>
        <v>FARHANA BINTI MUSTAPA</v>
      </c>
      <c r="W5171" t="str">
        <f t="shared" si="2107"/>
        <v>04-08-2020</v>
      </c>
      <c r="X5171" t="str">
        <f t="shared" si="2108"/>
        <v>RAZIMAH ANSAR AHMAD</v>
      </c>
      <c r="Y5171" t="str">
        <f t="shared" si="2109"/>
        <v>04-08-2020</v>
      </c>
      <c r="Z5171" t="str">
        <f>"COS10200804 3983"</f>
        <v>COS10200804 3983</v>
      </c>
    </row>
    <row r="5172" spans="1:26" x14ac:dyDescent="0.25">
      <c r="A5172" t="str">
        <f t="shared" si="2118"/>
        <v>04-08-2020 12:47:34</v>
      </c>
      <c r="B5172" t="str">
        <f>"0000805757"</f>
        <v>0000805757</v>
      </c>
      <c r="C5172" t="str">
        <f t="shared" si="2119"/>
        <v>0000805575</v>
      </c>
      <c r="D5172" t="str">
        <f t="shared" si="2097"/>
        <v>73185</v>
      </c>
      <c r="E5172" t="str">
        <f t="shared" si="2098"/>
        <v>KFH-OPERATIONS DEPARTMENT</v>
      </c>
      <c r="F5172" t="str">
        <f t="shared" si="2099"/>
        <v>IBG</v>
      </c>
      <c r="G5172" t="str">
        <f t="shared" si="2110"/>
        <v>Refund COSHARE 10</v>
      </c>
      <c r="H5172" s="2">
        <v>923.45</v>
      </c>
      <c r="I5172" t="str">
        <f>"AHMAD TARMIZY BIN HASAN"</f>
        <v>AHMAD TARMIZY BIN HASAN</v>
      </c>
      <c r="J5172" t="str">
        <f t="shared" si="2111"/>
        <v>MAYBANK / MAYBANK ISLAMIC</v>
      </c>
      <c r="K5172" t="str">
        <f>"160157257229"</f>
        <v>160157257229</v>
      </c>
      <c r="L5172" t="str">
        <f t="shared" si="2122"/>
        <v>04-08-2020</v>
      </c>
      <c r="M5172" t="str">
        <f t="shared" si="2122"/>
        <v>04-08-2020</v>
      </c>
      <c r="N5172" t="str">
        <f t="shared" si="2101"/>
        <v>001105018356</v>
      </c>
      <c r="O5172" t="str">
        <f t="shared" si="2102"/>
        <v>MYR</v>
      </c>
      <c r="P5172" t="str">
        <f t="shared" si="2123"/>
        <v>NIL</v>
      </c>
      <c r="Q5172" t="str">
        <f t="shared" si="2123"/>
        <v>NIL</v>
      </c>
      <c r="R5172" t="str">
        <f t="shared" si="2120"/>
        <v>Accepted</v>
      </c>
      <c r="S5172" t="str">
        <f t="shared" si="2104"/>
        <v>Approved</v>
      </c>
      <c r="T5172" t="str">
        <f t="shared" si="2121"/>
        <v>10.20.8.188</v>
      </c>
      <c r="U5172" t="str">
        <f t="shared" si="2105"/>
        <v>AZRAD UMAR BIN SHAARI</v>
      </c>
      <c r="V5172" t="str">
        <f t="shared" si="2106"/>
        <v>FARHANA BINTI MUSTAPA</v>
      </c>
      <c r="W5172" t="str">
        <f t="shared" si="2107"/>
        <v>04-08-2020</v>
      </c>
      <c r="X5172" t="str">
        <f t="shared" si="2108"/>
        <v>RAZIMAH ANSAR AHMAD</v>
      </c>
      <c r="Y5172" t="str">
        <f t="shared" si="2109"/>
        <v>04-08-2020</v>
      </c>
      <c r="Z5172" t="str">
        <f>"COS10200804 3982"</f>
        <v>COS10200804 3982</v>
      </c>
    </row>
    <row r="5173" spans="1:26" x14ac:dyDescent="0.25">
      <c r="A5173" t="str">
        <f t="shared" si="2118"/>
        <v>04-08-2020 12:47:34</v>
      </c>
      <c r="B5173" t="str">
        <f>"0000805756"</f>
        <v>0000805756</v>
      </c>
      <c r="C5173" t="str">
        <f t="shared" si="2119"/>
        <v>0000805575</v>
      </c>
      <c r="D5173" t="str">
        <f t="shared" si="2097"/>
        <v>73185</v>
      </c>
      <c r="E5173" t="str">
        <f t="shared" si="2098"/>
        <v>KFH-OPERATIONS DEPARTMENT</v>
      </c>
      <c r="F5173" t="str">
        <f t="shared" si="2099"/>
        <v>IBG</v>
      </c>
      <c r="G5173" t="str">
        <f t="shared" si="2110"/>
        <v>Refund COSHARE 10</v>
      </c>
      <c r="H5173" s="2">
        <v>344.2</v>
      </c>
      <c r="I5173" t="str">
        <f>"AHMAD SYAKIR BIN MOHAMED"</f>
        <v>AHMAD SYAKIR BIN MOHAMED</v>
      </c>
      <c r="J5173" t="str">
        <f t="shared" si="2111"/>
        <v>MAYBANK / MAYBANK ISLAMIC</v>
      </c>
      <c r="K5173" t="str">
        <f>"151397093988"</f>
        <v>151397093988</v>
      </c>
      <c r="L5173" t="str">
        <f t="shared" si="2122"/>
        <v>04-08-2020</v>
      </c>
      <c r="M5173" t="str">
        <f t="shared" si="2122"/>
        <v>04-08-2020</v>
      </c>
      <c r="N5173" t="str">
        <f t="shared" si="2101"/>
        <v>001105018356</v>
      </c>
      <c r="O5173" t="str">
        <f t="shared" si="2102"/>
        <v>MYR</v>
      </c>
      <c r="P5173" t="str">
        <f t="shared" si="2123"/>
        <v>NIL</v>
      </c>
      <c r="Q5173" t="str">
        <f t="shared" si="2123"/>
        <v>NIL</v>
      </c>
      <c r="R5173" t="str">
        <f t="shared" si="2120"/>
        <v>Accepted</v>
      </c>
      <c r="S5173" t="str">
        <f t="shared" si="2104"/>
        <v>Approved</v>
      </c>
      <c r="T5173" t="str">
        <f t="shared" si="2121"/>
        <v>10.20.8.188</v>
      </c>
      <c r="U5173" t="str">
        <f t="shared" si="2105"/>
        <v>AZRAD UMAR BIN SHAARI</v>
      </c>
      <c r="V5173" t="str">
        <f t="shared" si="2106"/>
        <v>FARHANA BINTI MUSTAPA</v>
      </c>
      <c r="W5173" t="str">
        <f t="shared" si="2107"/>
        <v>04-08-2020</v>
      </c>
      <c r="X5173" t="str">
        <f t="shared" si="2108"/>
        <v>RAZIMAH ANSAR AHMAD</v>
      </c>
      <c r="Y5173" t="str">
        <f t="shared" si="2109"/>
        <v>04-08-2020</v>
      </c>
      <c r="Z5173" t="str">
        <f>"COS10200804 3981"</f>
        <v>COS10200804 3981</v>
      </c>
    </row>
    <row r="5174" spans="1:26" x14ac:dyDescent="0.25">
      <c r="A5174" t="str">
        <f t="shared" si="2118"/>
        <v>04-08-2020 12:47:34</v>
      </c>
      <c r="B5174" t="str">
        <f>"0000805755"</f>
        <v>0000805755</v>
      </c>
      <c r="C5174" t="str">
        <f t="shared" si="2119"/>
        <v>0000805575</v>
      </c>
      <c r="D5174" t="str">
        <f t="shared" si="2097"/>
        <v>73185</v>
      </c>
      <c r="E5174" t="str">
        <f t="shared" si="2098"/>
        <v>KFH-OPERATIONS DEPARTMENT</v>
      </c>
      <c r="F5174" t="str">
        <f t="shared" si="2099"/>
        <v>IBG</v>
      </c>
      <c r="G5174" t="str">
        <f t="shared" si="2110"/>
        <v>Refund COSHARE 10</v>
      </c>
      <c r="H5174" s="2">
        <v>545.70000000000005</v>
      </c>
      <c r="I5174" t="str">
        <f>"AHMAD SUHAIDI BIN ABDUL MANAF"</f>
        <v>AHMAD SUHAIDI BIN ABDUL MANAF</v>
      </c>
      <c r="J5174" t="str">
        <f t="shared" si="2111"/>
        <v>MAYBANK / MAYBANK ISLAMIC</v>
      </c>
      <c r="K5174" t="str">
        <f>"156011989063"</f>
        <v>156011989063</v>
      </c>
      <c r="L5174" t="str">
        <f t="shared" si="2122"/>
        <v>04-08-2020</v>
      </c>
      <c r="M5174" t="str">
        <f t="shared" si="2122"/>
        <v>04-08-2020</v>
      </c>
      <c r="N5174" t="str">
        <f t="shared" si="2101"/>
        <v>001105018356</v>
      </c>
      <c r="O5174" t="str">
        <f t="shared" si="2102"/>
        <v>MYR</v>
      </c>
      <c r="P5174" t="str">
        <f t="shared" si="2123"/>
        <v>NIL</v>
      </c>
      <c r="Q5174" t="str">
        <f t="shared" si="2123"/>
        <v>NIL</v>
      </c>
      <c r="R5174" t="str">
        <f t="shared" si="2120"/>
        <v>Accepted</v>
      </c>
      <c r="S5174" t="str">
        <f t="shared" si="2104"/>
        <v>Approved</v>
      </c>
      <c r="T5174" t="str">
        <f t="shared" si="2121"/>
        <v>10.20.8.188</v>
      </c>
      <c r="U5174" t="str">
        <f t="shared" si="2105"/>
        <v>AZRAD UMAR BIN SHAARI</v>
      </c>
      <c r="V5174" t="str">
        <f t="shared" si="2106"/>
        <v>FARHANA BINTI MUSTAPA</v>
      </c>
      <c r="W5174" t="str">
        <f t="shared" si="2107"/>
        <v>04-08-2020</v>
      </c>
      <c r="X5174" t="str">
        <f t="shared" si="2108"/>
        <v>RAZIMAH ANSAR AHMAD</v>
      </c>
      <c r="Y5174" t="str">
        <f t="shared" si="2109"/>
        <v>04-08-2020</v>
      </c>
      <c r="Z5174" t="str">
        <f>"COS10200804 3980"</f>
        <v>COS10200804 3980</v>
      </c>
    </row>
    <row r="5175" spans="1:26" x14ac:dyDescent="0.25">
      <c r="A5175" t="str">
        <f t="shared" si="2118"/>
        <v>04-08-2020 12:47:34</v>
      </c>
      <c r="B5175" t="str">
        <f>"0000805754"</f>
        <v>0000805754</v>
      </c>
      <c r="C5175" t="str">
        <f t="shared" si="2119"/>
        <v>0000805575</v>
      </c>
      <c r="D5175" t="str">
        <f t="shared" si="2097"/>
        <v>73185</v>
      </c>
      <c r="E5175" t="str">
        <f t="shared" si="2098"/>
        <v>KFH-OPERATIONS DEPARTMENT</v>
      </c>
      <c r="F5175" t="str">
        <f t="shared" si="2099"/>
        <v>IBG</v>
      </c>
      <c r="G5175" t="str">
        <f t="shared" si="2110"/>
        <v>Refund COSHARE 10</v>
      </c>
      <c r="H5175" s="2">
        <v>69</v>
      </c>
      <c r="I5175" t="str">
        <f>"AHMAD SUBKY BIN MAT SALLEH"</f>
        <v>AHMAD SUBKY BIN MAT SALLEH</v>
      </c>
      <c r="J5175" t="str">
        <f t="shared" si="2111"/>
        <v>MAYBANK / MAYBANK ISLAMIC</v>
      </c>
      <c r="K5175" t="str">
        <f>"108186305483"</f>
        <v>108186305483</v>
      </c>
      <c r="L5175" t="str">
        <f t="shared" si="2122"/>
        <v>04-08-2020</v>
      </c>
      <c r="M5175" t="str">
        <f t="shared" si="2122"/>
        <v>04-08-2020</v>
      </c>
      <c r="N5175" t="str">
        <f t="shared" si="2101"/>
        <v>001105018356</v>
      </c>
      <c r="O5175" t="str">
        <f t="shared" si="2102"/>
        <v>MYR</v>
      </c>
      <c r="P5175" t="str">
        <f t="shared" si="2123"/>
        <v>NIL</v>
      </c>
      <c r="Q5175" t="str">
        <f t="shared" si="2123"/>
        <v>NIL</v>
      </c>
      <c r="R5175" t="str">
        <f t="shared" si="2120"/>
        <v>Accepted</v>
      </c>
      <c r="S5175" t="str">
        <f t="shared" si="2104"/>
        <v>Approved</v>
      </c>
      <c r="T5175" t="str">
        <f t="shared" si="2121"/>
        <v>10.20.8.188</v>
      </c>
      <c r="U5175" t="str">
        <f t="shared" si="2105"/>
        <v>AZRAD UMAR BIN SHAARI</v>
      </c>
      <c r="V5175" t="str">
        <f t="shared" si="2106"/>
        <v>FARHANA BINTI MUSTAPA</v>
      </c>
      <c r="W5175" t="str">
        <f t="shared" si="2107"/>
        <v>04-08-2020</v>
      </c>
      <c r="X5175" t="str">
        <f t="shared" si="2108"/>
        <v>RAZIMAH ANSAR AHMAD</v>
      </c>
      <c r="Y5175" t="str">
        <f t="shared" si="2109"/>
        <v>04-08-2020</v>
      </c>
      <c r="Z5175" t="str">
        <f>"COS10200804 3979"</f>
        <v>COS10200804 3979</v>
      </c>
    </row>
    <row r="5176" spans="1:26" x14ac:dyDescent="0.25">
      <c r="A5176" t="str">
        <f t="shared" si="2118"/>
        <v>04-08-2020 12:47:34</v>
      </c>
      <c r="B5176" t="str">
        <f>"0000805753"</f>
        <v>0000805753</v>
      </c>
      <c r="C5176" t="str">
        <f t="shared" si="2119"/>
        <v>0000805575</v>
      </c>
      <c r="D5176" t="str">
        <f t="shared" si="2097"/>
        <v>73185</v>
      </c>
      <c r="E5176" t="str">
        <f t="shared" si="2098"/>
        <v>KFH-OPERATIONS DEPARTMENT</v>
      </c>
      <c r="F5176" t="str">
        <f t="shared" si="2099"/>
        <v>IBG</v>
      </c>
      <c r="G5176" t="str">
        <f t="shared" si="2110"/>
        <v>Refund COSHARE 10</v>
      </c>
      <c r="H5176" s="2">
        <v>251.85</v>
      </c>
      <c r="I5176" t="str">
        <f>"AHMAD SOBREE BIN MD YAZID"</f>
        <v>AHMAD SOBREE BIN MD YAZID</v>
      </c>
      <c r="J5176" t="str">
        <f t="shared" si="2111"/>
        <v>MAYBANK / MAYBANK ISLAMIC</v>
      </c>
      <c r="K5176" t="str">
        <f>"162188343576"</f>
        <v>162188343576</v>
      </c>
      <c r="L5176" t="str">
        <f t="shared" si="2122"/>
        <v>04-08-2020</v>
      </c>
      <c r="M5176" t="str">
        <f t="shared" si="2122"/>
        <v>04-08-2020</v>
      </c>
      <c r="N5176" t="str">
        <f t="shared" si="2101"/>
        <v>001105018356</v>
      </c>
      <c r="O5176" t="str">
        <f t="shared" si="2102"/>
        <v>MYR</v>
      </c>
      <c r="P5176" t="str">
        <f t="shared" si="2123"/>
        <v>NIL</v>
      </c>
      <c r="Q5176" t="str">
        <f t="shared" si="2123"/>
        <v>NIL</v>
      </c>
      <c r="R5176" t="str">
        <f t="shared" si="2120"/>
        <v>Accepted</v>
      </c>
      <c r="S5176" t="str">
        <f t="shared" si="2104"/>
        <v>Approved</v>
      </c>
      <c r="T5176" t="str">
        <f t="shared" si="2121"/>
        <v>10.20.8.188</v>
      </c>
      <c r="U5176" t="str">
        <f t="shared" si="2105"/>
        <v>AZRAD UMAR BIN SHAARI</v>
      </c>
      <c r="V5176" t="str">
        <f t="shared" si="2106"/>
        <v>FARHANA BINTI MUSTAPA</v>
      </c>
      <c r="W5176" t="str">
        <f t="shared" si="2107"/>
        <v>04-08-2020</v>
      </c>
      <c r="X5176" t="str">
        <f t="shared" si="2108"/>
        <v>RAZIMAH ANSAR AHMAD</v>
      </c>
      <c r="Y5176" t="str">
        <f t="shared" si="2109"/>
        <v>04-08-2020</v>
      </c>
      <c r="Z5176" t="str">
        <f>"COS10200804 3978"</f>
        <v>COS10200804 3978</v>
      </c>
    </row>
    <row r="5177" spans="1:26" x14ac:dyDescent="0.25">
      <c r="A5177" t="str">
        <f t="shared" si="2118"/>
        <v>04-08-2020 12:47:34</v>
      </c>
      <c r="B5177" t="str">
        <f>"0000805752"</f>
        <v>0000805752</v>
      </c>
      <c r="C5177" t="str">
        <f t="shared" si="2119"/>
        <v>0000805575</v>
      </c>
      <c r="D5177" t="str">
        <f t="shared" si="2097"/>
        <v>73185</v>
      </c>
      <c r="E5177" t="str">
        <f t="shared" si="2098"/>
        <v>KFH-OPERATIONS DEPARTMENT</v>
      </c>
      <c r="F5177" t="str">
        <f t="shared" si="2099"/>
        <v>IBG</v>
      </c>
      <c r="G5177" t="str">
        <f t="shared" si="2110"/>
        <v>Refund COSHARE 10</v>
      </c>
      <c r="H5177" s="2">
        <v>1514.45</v>
      </c>
      <c r="I5177" t="str">
        <f>"AHMAD SHUKRI BIN HAMID"</f>
        <v>AHMAD SHUKRI BIN HAMID</v>
      </c>
      <c r="J5177" t="str">
        <f t="shared" si="2111"/>
        <v>MAYBANK / MAYBANK ISLAMIC</v>
      </c>
      <c r="K5177" t="str">
        <f>"110095087431"</f>
        <v>110095087431</v>
      </c>
      <c r="L5177" t="str">
        <f t="shared" si="2122"/>
        <v>04-08-2020</v>
      </c>
      <c r="M5177" t="str">
        <f t="shared" si="2122"/>
        <v>04-08-2020</v>
      </c>
      <c r="N5177" t="str">
        <f t="shared" si="2101"/>
        <v>001105018356</v>
      </c>
      <c r="O5177" t="str">
        <f t="shared" si="2102"/>
        <v>MYR</v>
      </c>
      <c r="P5177" t="str">
        <f t="shared" si="2123"/>
        <v>NIL</v>
      </c>
      <c r="Q5177" t="str">
        <f t="shared" si="2123"/>
        <v>NIL</v>
      </c>
      <c r="R5177" t="str">
        <f t="shared" si="2120"/>
        <v>Accepted</v>
      </c>
      <c r="S5177" t="str">
        <f t="shared" si="2104"/>
        <v>Approved</v>
      </c>
      <c r="T5177" t="str">
        <f t="shared" si="2121"/>
        <v>10.20.8.188</v>
      </c>
      <c r="U5177" t="str">
        <f t="shared" si="2105"/>
        <v>AZRAD UMAR BIN SHAARI</v>
      </c>
      <c r="V5177" t="str">
        <f t="shared" si="2106"/>
        <v>FARHANA BINTI MUSTAPA</v>
      </c>
      <c r="W5177" t="str">
        <f t="shared" si="2107"/>
        <v>04-08-2020</v>
      </c>
      <c r="X5177" t="str">
        <f t="shared" si="2108"/>
        <v>RAZIMAH ANSAR AHMAD</v>
      </c>
      <c r="Y5177" t="str">
        <f t="shared" si="2109"/>
        <v>04-08-2020</v>
      </c>
      <c r="Z5177" t="str">
        <f>"COS10200804 3977"</f>
        <v>COS10200804 3977</v>
      </c>
    </row>
    <row r="5178" spans="1:26" x14ac:dyDescent="0.25">
      <c r="A5178" t="str">
        <f t="shared" si="2118"/>
        <v>04-08-2020 12:47:34</v>
      </c>
      <c r="B5178" t="str">
        <f>"0000805751"</f>
        <v>0000805751</v>
      </c>
      <c r="C5178" t="str">
        <f t="shared" si="2119"/>
        <v>0000805575</v>
      </c>
      <c r="D5178" t="str">
        <f t="shared" si="2097"/>
        <v>73185</v>
      </c>
      <c r="E5178" t="str">
        <f t="shared" si="2098"/>
        <v>KFH-OPERATIONS DEPARTMENT</v>
      </c>
      <c r="F5178" t="str">
        <f t="shared" si="2099"/>
        <v>IBG</v>
      </c>
      <c r="G5178" t="str">
        <f t="shared" si="2110"/>
        <v>Refund COSHARE 10</v>
      </c>
      <c r="H5178" s="2">
        <v>1025.8</v>
      </c>
      <c r="I5178" t="str">
        <f>"AHMAD SHARIZAL BIN ABDUL MALIK"</f>
        <v>AHMAD SHARIZAL BIN ABDUL MALIK</v>
      </c>
      <c r="J5178" t="str">
        <f t="shared" si="2111"/>
        <v>MAYBANK / MAYBANK ISLAMIC</v>
      </c>
      <c r="K5178" t="str">
        <f>"156039001645"</f>
        <v>156039001645</v>
      </c>
      <c r="L5178" t="str">
        <f t="shared" si="2122"/>
        <v>04-08-2020</v>
      </c>
      <c r="M5178" t="str">
        <f t="shared" si="2122"/>
        <v>04-08-2020</v>
      </c>
      <c r="N5178" t="str">
        <f t="shared" si="2101"/>
        <v>001105018356</v>
      </c>
      <c r="O5178" t="str">
        <f t="shared" si="2102"/>
        <v>MYR</v>
      </c>
      <c r="P5178" t="str">
        <f t="shared" si="2123"/>
        <v>NIL</v>
      </c>
      <c r="Q5178" t="str">
        <f t="shared" si="2123"/>
        <v>NIL</v>
      </c>
      <c r="R5178" t="str">
        <f t="shared" si="2120"/>
        <v>Accepted</v>
      </c>
      <c r="S5178" t="str">
        <f t="shared" si="2104"/>
        <v>Approved</v>
      </c>
      <c r="T5178" t="str">
        <f t="shared" si="2121"/>
        <v>10.20.8.188</v>
      </c>
      <c r="U5178" t="str">
        <f t="shared" si="2105"/>
        <v>AZRAD UMAR BIN SHAARI</v>
      </c>
      <c r="V5178" t="str">
        <f t="shared" si="2106"/>
        <v>FARHANA BINTI MUSTAPA</v>
      </c>
      <c r="W5178" t="str">
        <f t="shared" si="2107"/>
        <v>04-08-2020</v>
      </c>
      <c r="X5178" t="str">
        <f t="shared" si="2108"/>
        <v>RAZIMAH ANSAR AHMAD</v>
      </c>
      <c r="Y5178" t="str">
        <f t="shared" si="2109"/>
        <v>04-08-2020</v>
      </c>
      <c r="Z5178" t="str">
        <f>"COS10200804 3976"</f>
        <v>COS10200804 3976</v>
      </c>
    </row>
    <row r="5179" spans="1:26" x14ac:dyDescent="0.25">
      <c r="A5179" t="str">
        <f t="shared" si="2118"/>
        <v>04-08-2020 12:47:34</v>
      </c>
      <c r="B5179" t="str">
        <f>"0000805750"</f>
        <v>0000805750</v>
      </c>
      <c r="C5179" t="str">
        <f t="shared" si="2119"/>
        <v>0000805575</v>
      </c>
      <c r="D5179" t="str">
        <f t="shared" si="2097"/>
        <v>73185</v>
      </c>
      <c r="E5179" t="str">
        <f t="shared" si="2098"/>
        <v>KFH-OPERATIONS DEPARTMENT</v>
      </c>
      <c r="F5179" t="str">
        <f t="shared" si="2099"/>
        <v>IBG</v>
      </c>
      <c r="G5179" t="str">
        <f t="shared" si="2110"/>
        <v>Refund COSHARE 10</v>
      </c>
      <c r="H5179" s="2">
        <v>1025.8</v>
      </c>
      <c r="I5179" t="str">
        <f>"AHMAD SHARIZAL BIN ABDUL MALIK"</f>
        <v>AHMAD SHARIZAL BIN ABDUL MALIK</v>
      </c>
      <c r="J5179" t="str">
        <f t="shared" si="2111"/>
        <v>MAYBANK / MAYBANK ISLAMIC</v>
      </c>
      <c r="K5179" t="str">
        <f>"156039001645"</f>
        <v>156039001645</v>
      </c>
      <c r="L5179" t="str">
        <f t="shared" si="2122"/>
        <v>04-08-2020</v>
      </c>
      <c r="M5179" t="str">
        <f t="shared" si="2122"/>
        <v>04-08-2020</v>
      </c>
      <c r="N5179" t="str">
        <f t="shared" si="2101"/>
        <v>001105018356</v>
      </c>
      <c r="O5179" t="str">
        <f t="shared" si="2102"/>
        <v>MYR</v>
      </c>
      <c r="P5179" t="str">
        <f t="shared" si="2123"/>
        <v>NIL</v>
      </c>
      <c r="Q5179" t="str">
        <f t="shared" si="2123"/>
        <v>NIL</v>
      </c>
      <c r="R5179" t="str">
        <f t="shared" si="2120"/>
        <v>Accepted</v>
      </c>
      <c r="S5179" t="str">
        <f t="shared" si="2104"/>
        <v>Approved</v>
      </c>
      <c r="T5179" t="str">
        <f t="shared" si="2121"/>
        <v>10.20.8.188</v>
      </c>
      <c r="U5179" t="str">
        <f t="shared" si="2105"/>
        <v>AZRAD UMAR BIN SHAARI</v>
      </c>
      <c r="V5179" t="str">
        <f t="shared" si="2106"/>
        <v>FARHANA BINTI MUSTAPA</v>
      </c>
      <c r="W5179" t="str">
        <f t="shared" si="2107"/>
        <v>04-08-2020</v>
      </c>
      <c r="X5179" t="str">
        <f t="shared" si="2108"/>
        <v>RAZIMAH ANSAR AHMAD</v>
      </c>
      <c r="Y5179" t="str">
        <f t="shared" si="2109"/>
        <v>04-08-2020</v>
      </c>
      <c r="Z5179" t="str">
        <f>"COS10200804 3975"</f>
        <v>COS10200804 3975</v>
      </c>
    </row>
    <row r="5180" spans="1:26" x14ac:dyDescent="0.25">
      <c r="A5180" t="str">
        <f t="shared" si="2118"/>
        <v>04-08-2020 12:47:34</v>
      </c>
      <c r="B5180" t="str">
        <f>"0000805749"</f>
        <v>0000805749</v>
      </c>
      <c r="C5180" t="str">
        <f t="shared" si="2119"/>
        <v>0000805575</v>
      </c>
      <c r="D5180" t="str">
        <f t="shared" si="2097"/>
        <v>73185</v>
      </c>
      <c r="E5180" t="str">
        <f t="shared" si="2098"/>
        <v>KFH-OPERATIONS DEPARTMENT</v>
      </c>
      <c r="F5180" t="str">
        <f t="shared" si="2099"/>
        <v>IBG</v>
      </c>
      <c r="G5180" t="str">
        <f t="shared" si="2110"/>
        <v>Refund COSHARE 10</v>
      </c>
      <c r="H5180" s="2">
        <v>159.5</v>
      </c>
      <c r="I5180" t="str">
        <f>"AHMAD SHAHIR BIN AYOB"</f>
        <v>AHMAD SHAHIR BIN AYOB</v>
      </c>
      <c r="J5180" t="str">
        <f t="shared" si="2111"/>
        <v>MAYBANK / MAYBANK ISLAMIC</v>
      </c>
      <c r="K5180" t="str">
        <f>"162179604627"</f>
        <v>162179604627</v>
      </c>
      <c r="L5180" t="str">
        <f t="shared" si="2122"/>
        <v>04-08-2020</v>
      </c>
      <c r="M5180" t="str">
        <f t="shared" si="2122"/>
        <v>04-08-2020</v>
      </c>
      <c r="N5180" t="str">
        <f t="shared" si="2101"/>
        <v>001105018356</v>
      </c>
      <c r="O5180" t="str">
        <f t="shared" si="2102"/>
        <v>MYR</v>
      </c>
      <c r="P5180" t="str">
        <f t="shared" si="2123"/>
        <v>NIL</v>
      </c>
      <c r="Q5180" t="str">
        <f t="shared" si="2123"/>
        <v>NIL</v>
      </c>
      <c r="R5180" t="str">
        <f t="shared" si="2120"/>
        <v>Accepted</v>
      </c>
      <c r="S5180" t="str">
        <f t="shared" si="2104"/>
        <v>Approved</v>
      </c>
      <c r="T5180" t="str">
        <f t="shared" si="2121"/>
        <v>10.20.8.188</v>
      </c>
      <c r="U5180" t="str">
        <f t="shared" si="2105"/>
        <v>AZRAD UMAR BIN SHAARI</v>
      </c>
      <c r="V5180" t="str">
        <f t="shared" si="2106"/>
        <v>FARHANA BINTI MUSTAPA</v>
      </c>
      <c r="W5180" t="str">
        <f t="shared" si="2107"/>
        <v>04-08-2020</v>
      </c>
      <c r="X5180" t="str">
        <f t="shared" si="2108"/>
        <v>RAZIMAH ANSAR AHMAD</v>
      </c>
      <c r="Y5180" t="str">
        <f t="shared" si="2109"/>
        <v>04-08-2020</v>
      </c>
      <c r="Z5180" t="str">
        <f>"COS10200804 3974"</f>
        <v>COS10200804 3974</v>
      </c>
    </row>
    <row r="5181" spans="1:26" x14ac:dyDescent="0.25">
      <c r="A5181" t="str">
        <f t="shared" si="2118"/>
        <v>04-08-2020 12:47:34</v>
      </c>
      <c r="B5181" t="str">
        <f>"0000805748"</f>
        <v>0000805748</v>
      </c>
      <c r="C5181" t="str">
        <f t="shared" si="2119"/>
        <v>0000805575</v>
      </c>
      <c r="D5181" t="str">
        <f t="shared" si="2097"/>
        <v>73185</v>
      </c>
      <c r="E5181" t="str">
        <f t="shared" si="2098"/>
        <v>KFH-OPERATIONS DEPARTMENT</v>
      </c>
      <c r="F5181" t="str">
        <f t="shared" si="2099"/>
        <v>IBG</v>
      </c>
      <c r="G5181" t="str">
        <f t="shared" si="2110"/>
        <v>Refund COSHARE 10</v>
      </c>
      <c r="H5181" s="2">
        <v>129.30000000000001</v>
      </c>
      <c r="I5181" t="str">
        <f>"AHMAD SAUFI BIN MOHAMAD SAID"</f>
        <v>AHMAD SAUFI BIN MOHAMAD SAID</v>
      </c>
      <c r="J5181" t="str">
        <f t="shared" si="2111"/>
        <v>MAYBANK / MAYBANK ISLAMIC</v>
      </c>
      <c r="K5181" t="str">
        <f>"158154256388"</f>
        <v>158154256388</v>
      </c>
      <c r="L5181" t="str">
        <f t="shared" si="2122"/>
        <v>04-08-2020</v>
      </c>
      <c r="M5181" t="str">
        <f t="shared" si="2122"/>
        <v>04-08-2020</v>
      </c>
      <c r="N5181" t="str">
        <f t="shared" si="2101"/>
        <v>001105018356</v>
      </c>
      <c r="O5181" t="str">
        <f t="shared" si="2102"/>
        <v>MYR</v>
      </c>
      <c r="P5181" t="str">
        <f t="shared" si="2123"/>
        <v>NIL</v>
      </c>
      <c r="Q5181" t="str">
        <f t="shared" si="2123"/>
        <v>NIL</v>
      </c>
      <c r="R5181" t="str">
        <f t="shared" si="2120"/>
        <v>Accepted</v>
      </c>
      <c r="S5181" t="str">
        <f t="shared" si="2104"/>
        <v>Approved</v>
      </c>
      <c r="T5181" t="str">
        <f t="shared" si="2121"/>
        <v>10.20.8.188</v>
      </c>
      <c r="U5181" t="str">
        <f t="shared" si="2105"/>
        <v>AZRAD UMAR BIN SHAARI</v>
      </c>
      <c r="V5181" t="str">
        <f t="shared" si="2106"/>
        <v>FARHANA BINTI MUSTAPA</v>
      </c>
      <c r="W5181" t="str">
        <f t="shared" si="2107"/>
        <v>04-08-2020</v>
      </c>
      <c r="X5181" t="str">
        <f t="shared" si="2108"/>
        <v>RAZIMAH ANSAR AHMAD</v>
      </c>
      <c r="Y5181" t="str">
        <f t="shared" si="2109"/>
        <v>04-08-2020</v>
      </c>
      <c r="Z5181" t="str">
        <f>"COS10200804 3973"</f>
        <v>COS10200804 3973</v>
      </c>
    </row>
    <row r="5182" spans="1:26" x14ac:dyDescent="0.25">
      <c r="A5182" t="str">
        <f t="shared" si="2118"/>
        <v>04-08-2020 12:47:34</v>
      </c>
      <c r="B5182" t="str">
        <f>"0000805747"</f>
        <v>0000805747</v>
      </c>
      <c r="C5182" t="str">
        <f t="shared" si="2119"/>
        <v>0000805575</v>
      </c>
      <c r="D5182" t="str">
        <f t="shared" si="2097"/>
        <v>73185</v>
      </c>
      <c r="E5182" t="str">
        <f t="shared" si="2098"/>
        <v>KFH-OPERATIONS DEPARTMENT</v>
      </c>
      <c r="F5182" t="str">
        <f t="shared" si="2099"/>
        <v>IBG</v>
      </c>
      <c r="G5182" t="str">
        <f t="shared" si="2110"/>
        <v>Refund COSHARE 10</v>
      </c>
      <c r="H5182" s="2">
        <v>457.5</v>
      </c>
      <c r="I5182" t="str">
        <f>"AHMAD SAIFUL BAHRI BIN HAIDAR"</f>
        <v>AHMAD SAIFUL BAHRI BIN HAIDAR</v>
      </c>
      <c r="J5182" t="str">
        <f t="shared" si="2111"/>
        <v>MAYBANK / MAYBANK ISLAMIC</v>
      </c>
      <c r="K5182" t="str">
        <f>"162115912551"</f>
        <v>162115912551</v>
      </c>
      <c r="L5182" t="str">
        <f t="shared" si="2122"/>
        <v>04-08-2020</v>
      </c>
      <c r="M5182" t="str">
        <f t="shared" si="2122"/>
        <v>04-08-2020</v>
      </c>
      <c r="N5182" t="str">
        <f t="shared" si="2101"/>
        <v>001105018356</v>
      </c>
      <c r="O5182" t="str">
        <f t="shared" si="2102"/>
        <v>MYR</v>
      </c>
      <c r="P5182" t="str">
        <f t="shared" si="2123"/>
        <v>NIL</v>
      </c>
      <c r="Q5182" t="str">
        <f t="shared" si="2123"/>
        <v>NIL</v>
      </c>
      <c r="R5182" t="str">
        <f t="shared" si="2120"/>
        <v>Accepted</v>
      </c>
      <c r="S5182" t="str">
        <f t="shared" si="2104"/>
        <v>Approved</v>
      </c>
      <c r="T5182" t="str">
        <f t="shared" si="2121"/>
        <v>10.20.8.188</v>
      </c>
      <c r="U5182" t="str">
        <f t="shared" si="2105"/>
        <v>AZRAD UMAR BIN SHAARI</v>
      </c>
      <c r="V5182" t="str">
        <f t="shared" si="2106"/>
        <v>FARHANA BINTI MUSTAPA</v>
      </c>
      <c r="W5182" t="str">
        <f t="shared" si="2107"/>
        <v>04-08-2020</v>
      </c>
      <c r="X5182" t="str">
        <f t="shared" si="2108"/>
        <v>RAZIMAH ANSAR AHMAD</v>
      </c>
      <c r="Y5182" t="str">
        <f t="shared" si="2109"/>
        <v>04-08-2020</v>
      </c>
      <c r="Z5182" t="str">
        <f>"COS10200804 3972"</f>
        <v>COS10200804 3972</v>
      </c>
    </row>
    <row r="5183" spans="1:26" x14ac:dyDescent="0.25">
      <c r="A5183" t="str">
        <f t="shared" si="2118"/>
        <v>04-08-2020 12:47:34</v>
      </c>
      <c r="B5183" t="str">
        <f>"0000805746"</f>
        <v>0000805746</v>
      </c>
      <c r="C5183" t="str">
        <f t="shared" si="2119"/>
        <v>0000805575</v>
      </c>
      <c r="D5183" t="str">
        <f t="shared" si="2097"/>
        <v>73185</v>
      </c>
      <c r="E5183" t="str">
        <f t="shared" si="2098"/>
        <v>KFH-OPERATIONS DEPARTMENT</v>
      </c>
      <c r="F5183" t="str">
        <f t="shared" si="2099"/>
        <v>IBG</v>
      </c>
      <c r="G5183" t="str">
        <f t="shared" si="2110"/>
        <v>Refund COSHARE 10</v>
      </c>
      <c r="H5183" s="2">
        <v>755.55</v>
      </c>
      <c r="I5183" t="str">
        <f>"AHMAD SAFIRI BIN SHAARI"</f>
        <v>AHMAD SAFIRI BIN SHAARI</v>
      </c>
      <c r="J5183" t="str">
        <f t="shared" si="2111"/>
        <v>MAYBANK / MAYBANK ISLAMIC</v>
      </c>
      <c r="K5183" t="str">
        <f>"162807049141"</f>
        <v>162807049141</v>
      </c>
      <c r="L5183" t="str">
        <f t="shared" si="2122"/>
        <v>04-08-2020</v>
      </c>
      <c r="M5183" t="str">
        <f t="shared" si="2122"/>
        <v>04-08-2020</v>
      </c>
      <c r="N5183" t="str">
        <f t="shared" si="2101"/>
        <v>001105018356</v>
      </c>
      <c r="O5183" t="str">
        <f t="shared" si="2102"/>
        <v>MYR</v>
      </c>
      <c r="P5183" t="str">
        <f t="shared" si="2123"/>
        <v>NIL</v>
      </c>
      <c r="Q5183" t="str">
        <f t="shared" si="2123"/>
        <v>NIL</v>
      </c>
      <c r="R5183" t="str">
        <f t="shared" si="2120"/>
        <v>Accepted</v>
      </c>
      <c r="S5183" t="str">
        <f t="shared" si="2104"/>
        <v>Approved</v>
      </c>
      <c r="T5183" t="str">
        <f t="shared" si="2121"/>
        <v>10.20.8.188</v>
      </c>
      <c r="U5183" t="str">
        <f t="shared" si="2105"/>
        <v>AZRAD UMAR BIN SHAARI</v>
      </c>
      <c r="V5183" t="str">
        <f t="shared" si="2106"/>
        <v>FARHANA BINTI MUSTAPA</v>
      </c>
      <c r="W5183" t="str">
        <f t="shared" si="2107"/>
        <v>04-08-2020</v>
      </c>
      <c r="X5183" t="str">
        <f t="shared" si="2108"/>
        <v>RAZIMAH ANSAR AHMAD</v>
      </c>
      <c r="Y5183" t="str">
        <f t="shared" si="2109"/>
        <v>04-08-2020</v>
      </c>
      <c r="Z5183" t="str">
        <f>"COS10200804 3971"</f>
        <v>COS10200804 3971</v>
      </c>
    </row>
    <row r="5184" spans="1:26" x14ac:dyDescent="0.25">
      <c r="A5184" t="str">
        <f t="shared" si="2118"/>
        <v>04-08-2020 12:47:34</v>
      </c>
      <c r="B5184" t="str">
        <f>"0000805745"</f>
        <v>0000805745</v>
      </c>
      <c r="C5184" t="str">
        <f t="shared" si="2119"/>
        <v>0000805575</v>
      </c>
      <c r="D5184" t="str">
        <f t="shared" si="2097"/>
        <v>73185</v>
      </c>
      <c r="E5184" t="str">
        <f t="shared" si="2098"/>
        <v>KFH-OPERATIONS DEPARTMENT</v>
      </c>
      <c r="F5184" t="str">
        <f t="shared" si="2099"/>
        <v>IBG</v>
      </c>
      <c r="G5184" t="str">
        <f t="shared" si="2110"/>
        <v>Refund COSHARE 10</v>
      </c>
      <c r="H5184" s="2">
        <v>709.65</v>
      </c>
      <c r="I5184" t="str">
        <f>"AHMAD SABRI BIN ISMAIL"</f>
        <v>AHMAD SABRI BIN ISMAIL</v>
      </c>
      <c r="J5184" t="str">
        <f t="shared" si="2111"/>
        <v>MAYBANK / MAYBANK ISLAMIC</v>
      </c>
      <c r="K5184" t="str">
        <f>"164892021595"</f>
        <v>164892021595</v>
      </c>
      <c r="L5184" t="str">
        <f t="shared" si="2122"/>
        <v>04-08-2020</v>
      </c>
      <c r="M5184" t="str">
        <f t="shared" si="2122"/>
        <v>04-08-2020</v>
      </c>
      <c r="N5184" t="str">
        <f t="shared" si="2101"/>
        <v>001105018356</v>
      </c>
      <c r="O5184" t="str">
        <f t="shared" si="2102"/>
        <v>MYR</v>
      </c>
      <c r="P5184" t="str">
        <f t="shared" si="2123"/>
        <v>NIL</v>
      </c>
      <c r="Q5184" t="str">
        <f t="shared" si="2123"/>
        <v>NIL</v>
      </c>
      <c r="R5184" t="str">
        <f t="shared" si="2120"/>
        <v>Accepted</v>
      </c>
      <c r="S5184" t="str">
        <f t="shared" si="2104"/>
        <v>Approved</v>
      </c>
      <c r="T5184" t="str">
        <f t="shared" si="2121"/>
        <v>10.20.8.188</v>
      </c>
      <c r="U5184" t="str">
        <f t="shared" si="2105"/>
        <v>AZRAD UMAR BIN SHAARI</v>
      </c>
      <c r="V5184" t="str">
        <f t="shared" si="2106"/>
        <v>FARHANA BINTI MUSTAPA</v>
      </c>
      <c r="W5184" t="str">
        <f t="shared" si="2107"/>
        <v>04-08-2020</v>
      </c>
      <c r="X5184" t="str">
        <f t="shared" si="2108"/>
        <v>RAZIMAH ANSAR AHMAD</v>
      </c>
      <c r="Y5184" t="str">
        <f t="shared" si="2109"/>
        <v>04-08-2020</v>
      </c>
      <c r="Z5184" t="str">
        <f>"COS10200804 3970"</f>
        <v>COS10200804 3970</v>
      </c>
    </row>
    <row r="5185" spans="1:26" x14ac:dyDescent="0.25">
      <c r="A5185" t="str">
        <f t="shared" si="2118"/>
        <v>04-08-2020 12:47:34</v>
      </c>
      <c r="B5185" t="str">
        <f>"0000805744"</f>
        <v>0000805744</v>
      </c>
      <c r="C5185" t="str">
        <f t="shared" si="2119"/>
        <v>0000805575</v>
      </c>
      <c r="D5185" t="str">
        <f t="shared" si="2097"/>
        <v>73185</v>
      </c>
      <c r="E5185" t="str">
        <f t="shared" si="2098"/>
        <v>KFH-OPERATIONS DEPARTMENT</v>
      </c>
      <c r="F5185" t="str">
        <f t="shared" si="2099"/>
        <v>IBG</v>
      </c>
      <c r="G5185" t="str">
        <f t="shared" si="2110"/>
        <v>Refund COSHARE 10</v>
      </c>
      <c r="H5185" s="2">
        <v>873</v>
      </c>
      <c r="I5185" t="str">
        <f>"AHMAD SABRI BIN AMRAN"</f>
        <v>AHMAD SABRI BIN AMRAN</v>
      </c>
      <c r="J5185" t="str">
        <f t="shared" si="2111"/>
        <v>MAYBANK / MAYBANK ISLAMIC</v>
      </c>
      <c r="K5185" t="str">
        <f>"158060505383"</f>
        <v>158060505383</v>
      </c>
      <c r="L5185" t="str">
        <f t="shared" si="2122"/>
        <v>04-08-2020</v>
      </c>
      <c r="M5185" t="str">
        <f t="shared" si="2122"/>
        <v>04-08-2020</v>
      </c>
      <c r="N5185" t="str">
        <f t="shared" si="2101"/>
        <v>001105018356</v>
      </c>
      <c r="O5185" t="str">
        <f t="shared" si="2102"/>
        <v>MYR</v>
      </c>
      <c r="P5185" t="str">
        <f t="shared" si="2123"/>
        <v>NIL</v>
      </c>
      <c r="Q5185" t="str">
        <f t="shared" si="2123"/>
        <v>NIL</v>
      </c>
      <c r="R5185" t="str">
        <f t="shared" si="2120"/>
        <v>Accepted</v>
      </c>
      <c r="S5185" t="str">
        <f t="shared" si="2104"/>
        <v>Approved</v>
      </c>
      <c r="T5185" t="str">
        <f t="shared" si="2121"/>
        <v>10.20.8.188</v>
      </c>
      <c r="U5185" t="str">
        <f t="shared" si="2105"/>
        <v>AZRAD UMAR BIN SHAARI</v>
      </c>
      <c r="V5185" t="str">
        <f t="shared" si="2106"/>
        <v>FARHANA BINTI MUSTAPA</v>
      </c>
      <c r="W5185" t="str">
        <f t="shared" si="2107"/>
        <v>04-08-2020</v>
      </c>
      <c r="X5185" t="str">
        <f t="shared" si="2108"/>
        <v>RAZIMAH ANSAR AHMAD</v>
      </c>
      <c r="Y5185" t="str">
        <f t="shared" si="2109"/>
        <v>04-08-2020</v>
      </c>
      <c r="Z5185" t="str">
        <f>"COS10200804 3969"</f>
        <v>COS10200804 3969</v>
      </c>
    </row>
    <row r="5186" spans="1:26" x14ac:dyDescent="0.25">
      <c r="A5186" t="str">
        <f t="shared" ref="A5186:A5217" si="2124">"04-08-2020 12:47:34"</f>
        <v>04-08-2020 12:47:34</v>
      </c>
      <c r="B5186" t="str">
        <f>"0000805743"</f>
        <v>0000805743</v>
      </c>
      <c r="C5186" t="str">
        <f t="shared" ref="C5186:C5217" si="2125">"0000805575"</f>
        <v>0000805575</v>
      </c>
      <c r="D5186" t="str">
        <f t="shared" si="2097"/>
        <v>73185</v>
      </c>
      <c r="E5186" t="str">
        <f t="shared" si="2098"/>
        <v>KFH-OPERATIONS DEPARTMENT</v>
      </c>
      <c r="F5186" t="str">
        <f t="shared" si="2099"/>
        <v>IBG</v>
      </c>
      <c r="G5186" t="str">
        <f t="shared" si="2110"/>
        <v>Refund COSHARE 10</v>
      </c>
      <c r="H5186" s="2">
        <v>839.5</v>
      </c>
      <c r="I5186" t="str">
        <f>"AHMAD RUSIDI BIN DON"</f>
        <v>AHMAD RUSIDI BIN DON</v>
      </c>
      <c r="J5186" t="str">
        <f t="shared" si="2111"/>
        <v>MAYBANK / MAYBANK ISLAMIC</v>
      </c>
      <c r="K5186" t="str">
        <f>"151454030268"</f>
        <v>151454030268</v>
      </c>
      <c r="L5186" t="str">
        <f t="shared" si="2122"/>
        <v>04-08-2020</v>
      </c>
      <c r="M5186" t="str">
        <f t="shared" si="2122"/>
        <v>04-08-2020</v>
      </c>
      <c r="N5186" t="str">
        <f t="shared" si="2101"/>
        <v>001105018356</v>
      </c>
      <c r="O5186" t="str">
        <f t="shared" si="2102"/>
        <v>MYR</v>
      </c>
      <c r="P5186" t="str">
        <f t="shared" si="2123"/>
        <v>NIL</v>
      </c>
      <c r="Q5186" t="str">
        <f t="shared" si="2123"/>
        <v>NIL</v>
      </c>
      <c r="R5186" t="str">
        <f t="shared" si="2120"/>
        <v>Accepted</v>
      </c>
      <c r="S5186" t="str">
        <f t="shared" si="2104"/>
        <v>Approved</v>
      </c>
      <c r="T5186" t="str">
        <f t="shared" si="2121"/>
        <v>10.20.8.188</v>
      </c>
      <c r="U5186" t="str">
        <f t="shared" si="2105"/>
        <v>AZRAD UMAR BIN SHAARI</v>
      </c>
      <c r="V5186" t="str">
        <f t="shared" si="2106"/>
        <v>FARHANA BINTI MUSTAPA</v>
      </c>
      <c r="W5186" t="str">
        <f t="shared" si="2107"/>
        <v>04-08-2020</v>
      </c>
      <c r="X5186" t="str">
        <f t="shared" si="2108"/>
        <v>RAZIMAH ANSAR AHMAD</v>
      </c>
      <c r="Y5186" t="str">
        <f t="shared" si="2109"/>
        <v>04-08-2020</v>
      </c>
      <c r="Z5186" t="str">
        <f>"COS10200804 3968"</f>
        <v>COS10200804 3968</v>
      </c>
    </row>
    <row r="5187" spans="1:26" x14ac:dyDescent="0.25">
      <c r="A5187" t="str">
        <f t="shared" si="2124"/>
        <v>04-08-2020 12:47:34</v>
      </c>
      <c r="B5187" t="str">
        <f>"0000805742"</f>
        <v>0000805742</v>
      </c>
      <c r="C5187" t="str">
        <f t="shared" si="2125"/>
        <v>0000805575</v>
      </c>
      <c r="D5187" t="str">
        <f t="shared" si="2097"/>
        <v>73185</v>
      </c>
      <c r="E5187" t="str">
        <f t="shared" si="2098"/>
        <v>KFH-OPERATIONS DEPARTMENT</v>
      </c>
      <c r="F5187" t="str">
        <f t="shared" si="2099"/>
        <v>IBG</v>
      </c>
      <c r="G5187" t="str">
        <f t="shared" si="2110"/>
        <v>Refund COSHARE 10</v>
      </c>
      <c r="H5187" s="2">
        <v>713.6</v>
      </c>
      <c r="I5187" t="str">
        <f>"AHMAD REDZUAN BIN SHARUDDIN"</f>
        <v>AHMAD REDZUAN BIN SHARUDDIN</v>
      </c>
      <c r="J5187" t="str">
        <f t="shared" si="2111"/>
        <v>MAYBANK / MAYBANK ISLAMIC</v>
      </c>
      <c r="K5187" t="str">
        <f>"158015178452"</f>
        <v>158015178452</v>
      </c>
      <c r="L5187" t="str">
        <f t="shared" ref="L5187:M5206" si="2126">"04-08-2020"</f>
        <v>04-08-2020</v>
      </c>
      <c r="M5187" t="str">
        <f t="shared" si="2126"/>
        <v>04-08-2020</v>
      </c>
      <c r="N5187" t="str">
        <f t="shared" si="2101"/>
        <v>001105018356</v>
      </c>
      <c r="O5187" t="str">
        <f t="shared" si="2102"/>
        <v>MYR</v>
      </c>
      <c r="P5187" t="str">
        <f t="shared" ref="P5187:Q5206" si="2127">"NIL"</f>
        <v>NIL</v>
      </c>
      <c r="Q5187" t="str">
        <f t="shared" si="2127"/>
        <v>NIL</v>
      </c>
      <c r="R5187" t="str">
        <f t="shared" si="2120"/>
        <v>Accepted</v>
      </c>
      <c r="S5187" t="str">
        <f t="shared" si="2104"/>
        <v>Approved</v>
      </c>
      <c r="T5187" t="str">
        <f t="shared" si="2121"/>
        <v>10.20.8.188</v>
      </c>
      <c r="U5187" t="str">
        <f t="shared" si="2105"/>
        <v>AZRAD UMAR BIN SHAARI</v>
      </c>
      <c r="V5187" t="str">
        <f t="shared" si="2106"/>
        <v>FARHANA BINTI MUSTAPA</v>
      </c>
      <c r="W5187" t="str">
        <f t="shared" si="2107"/>
        <v>04-08-2020</v>
      </c>
      <c r="X5187" t="str">
        <f t="shared" si="2108"/>
        <v>RAZIMAH ANSAR AHMAD</v>
      </c>
      <c r="Y5187" t="str">
        <f t="shared" si="2109"/>
        <v>04-08-2020</v>
      </c>
      <c r="Z5187" t="str">
        <f>"COS10200804 3967"</f>
        <v>COS10200804 3967</v>
      </c>
    </row>
    <row r="5188" spans="1:26" x14ac:dyDescent="0.25">
      <c r="A5188" t="str">
        <f t="shared" si="2124"/>
        <v>04-08-2020 12:47:34</v>
      </c>
      <c r="B5188" t="str">
        <f>"0000805741"</f>
        <v>0000805741</v>
      </c>
      <c r="C5188" t="str">
        <f t="shared" si="2125"/>
        <v>0000805575</v>
      </c>
      <c r="D5188" t="str">
        <f t="shared" si="2097"/>
        <v>73185</v>
      </c>
      <c r="E5188" t="str">
        <f t="shared" si="2098"/>
        <v>KFH-OPERATIONS DEPARTMENT</v>
      </c>
      <c r="F5188" t="str">
        <f t="shared" si="2099"/>
        <v>IBG</v>
      </c>
      <c r="G5188" t="str">
        <f t="shared" si="2110"/>
        <v>Refund COSHARE 10</v>
      </c>
      <c r="H5188" s="2">
        <v>342</v>
      </c>
      <c r="I5188" t="str">
        <f>"AHMAD RASHIDI BIN MALEK"</f>
        <v>AHMAD RASHIDI BIN MALEK</v>
      </c>
      <c r="J5188" t="str">
        <f t="shared" si="2111"/>
        <v>MAYBANK / MAYBANK ISLAMIC</v>
      </c>
      <c r="K5188" t="str">
        <f>"161190080058"</f>
        <v>161190080058</v>
      </c>
      <c r="L5188" t="str">
        <f t="shared" si="2126"/>
        <v>04-08-2020</v>
      </c>
      <c r="M5188" t="str">
        <f t="shared" si="2126"/>
        <v>04-08-2020</v>
      </c>
      <c r="N5188" t="str">
        <f t="shared" si="2101"/>
        <v>001105018356</v>
      </c>
      <c r="O5188" t="str">
        <f t="shared" si="2102"/>
        <v>MYR</v>
      </c>
      <c r="P5188" t="str">
        <f t="shared" si="2127"/>
        <v>NIL</v>
      </c>
      <c r="Q5188" t="str">
        <f t="shared" si="2127"/>
        <v>NIL</v>
      </c>
      <c r="R5188" t="str">
        <f t="shared" si="2120"/>
        <v>Accepted</v>
      </c>
      <c r="S5188" t="str">
        <f t="shared" si="2104"/>
        <v>Approved</v>
      </c>
      <c r="T5188" t="str">
        <f t="shared" si="2121"/>
        <v>10.20.8.188</v>
      </c>
      <c r="U5188" t="str">
        <f t="shared" si="2105"/>
        <v>AZRAD UMAR BIN SHAARI</v>
      </c>
      <c r="V5188" t="str">
        <f t="shared" si="2106"/>
        <v>FARHANA BINTI MUSTAPA</v>
      </c>
      <c r="W5188" t="str">
        <f t="shared" si="2107"/>
        <v>04-08-2020</v>
      </c>
      <c r="X5188" t="str">
        <f t="shared" si="2108"/>
        <v>RAZIMAH ANSAR AHMAD</v>
      </c>
      <c r="Y5188" t="str">
        <f t="shared" si="2109"/>
        <v>04-08-2020</v>
      </c>
      <c r="Z5188" t="str">
        <f>"COS10200804 3966"</f>
        <v>COS10200804 3966</v>
      </c>
    </row>
    <row r="5189" spans="1:26" x14ac:dyDescent="0.25">
      <c r="A5189" t="str">
        <f t="shared" si="2124"/>
        <v>04-08-2020 12:47:34</v>
      </c>
      <c r="B5189" t="str">
        <f>"0000805740"</f>
        <v>0000805740</v>
      </c>
      <c r="C5189" t="str">
        <f t="shared" si="2125"/>
        <v>0000805575</v>
      </c>
      <c r="D5189" t="str">
        <f t="shared" si="2097"/>
        <v>73185</v>
      </c>
      <c r="E5189" t="str">
        <f t="shared" si="2098"/>
        <v>KFH-OPERATIONS DEPARTMENT</v>
      </c>
      <c r="F5189" t="str">
        <f t="shared" si="2099"/>
        <v>IBG</v>
      </c>
      <c r="G5189" t="str">
        <f t="shared" si="2110"/>
        <v>Refund COSHARE 10</v>
      </c>
      <c r="H5189" s="2">
        <v>268.64999999999998</v>
      </c>
      <c r="I5189" t="str">
        <f>"AHMAD NURIKHWAN BIN JAAFAR"</f>
        <v>AHMAD NURIKHWAN BIN JAAFAR</v>
      </c>
      <c r="J5189" t="str">
        <f t="shared" si="2111"/>
        <v>MAYBANK / MAYBANK ISLAMIC</v>
      </c>
      <c r="K5189" t="str">
        <f>"158220720968"</f>
        <v>158220720968</v>
      </c>
      <c r="L5189" t="str">
        <f t="shared" si="2126"/>
        <v>04-08-2020</v>
      </c>
      <c r="M5189" t="str">
        <f t="shared" si="2126"/>
        <v>04-08-2020</v>
      </c>
      <c r="N5189" t="str">
        <f t="shared" si="2101"/>
        <v>001105018356</v>
      </c>
      <c r="O5189" t="str">
        <f t="shared" si="2102"/>
        <v>MYR</v>
      </c>
      <c r="P5189" t="str">
        <f t="shared" si="2127"/>
        <v>NIL</v>
      </c>
      <c r="Q5189" t="str">
        <f t="shared" si="2127"/>
        <v>NIL</v>
      </c>
      <c r="R5189" t="str">
        <f t="shared" si="2120"/>
        <v>Accepted</v>
      </c>
      <c r="S5189" t="str">
        <f t="shared" si="2104"/>
        <v>Approved</v>
      </c>
      <c r="T5189" t="str">
        <f t="shared" si="2121"/>
        <v>10.20.8.188</v>
      </c>
      <c r="U5189" t="str">
        <f t="shared" si="2105"/>
        <v>AZRAD UMAR BIN SHAARI</v>
      </c>
      <c r="V5189" t="str">
        <f t="shared" si="2106"/>
        <v>FARHANA BINTI MUSTAPA</v>
      </c>
      <c r="W5189" t="str">
        <f t="shared" si="2107"/>
        <v>04-08-2020</v>
      </c>
      <c r="X5189" t="str">
        <f t="shared" si="2108"/>
        <v>RAZIMAH ANSAR AHMAD</v>
      </c>
      <c r="Y5189" t="str">
        <f t="shared" si="2109"/>
        <v>04-08-2020</v>
      </c>
      <c r="Z5189" t="str">
        <f>"COS10200804 3965"</f>
        <v>COS10200804 3965</v>
      </c>
    </row>
    <row r="5190" spans="1:26" x14ac:dyDescent="0.25">
      <c r="A5190" t="str">
        <f t="shared" si="2124"/>
        <v>04-08-2020 12:47:34</v>
      </c>
      <c r="B5190" t="str">
        <f>"0000805739"</f>
        <v>0000805739</v>
      </c>
      <c r="C5190" t="str">
        <f t="shared" si="2125"/>
        <v>0000805575</v>
      </c>
      <c r="D5190" t="str">
        <f t="shared" si="2097"/>
        <v>73185</v>
      </c>
      <c r="E5190" t="str">
        <f t="shared" si="2098"/>
        <v>KFH-OPERATIONS DEPARTMENT</v>
      </c>
      <c r="F5190" t="str">
        <f t="shared" si="2099"/>
        <v>IBG</v>
      </c>
      <c r="G5190" t="str">
        <f t="shared" si="2110"/>
        <v>Refund COSHARE 10</v>
      </c>
      <c r="H5190" s="2">
        <v>268.64999999999998</v>
      </c>
      <c r="I5190" t="str">
        <f>"AHMAD NURIKHWAN BIN JAAFAR"</f>
        <v>AHMAD NURIKHWAN BIN JAAFAR</v>
      </c>
      <c r="J5190" t="str">
        <f t="shared" si="2111"/>
        <v>MAYBANK / MAYBANK ISLAMIC</v>
      </c>
      <c r="K5190" t="str">
        <f>"158220720968"</f>
        <v>158220720968</v>
      </c>
      <c r="L5190" t="str">
        <f t="shared" si="2126"/>
        <v>04-08-2020</v>
      </c>
      <c r="M5190" t="str">
        <f t="shared" si="2126"/>
        <v>04-08-2020</v>
      </c>
      <c r="N5190" t="str">
        <f t="shared" si="2101"/>
        <v>001105018356</v>
      </c>
      <c r="O5190" t="str">
        <f t="shared" si="2102"/>
        <v>MYR</v>
      </c>
      <c r="P5190" t="str">
        <f t="shared" si="2127"/>
        <v>NIL</v>
      </c>
      <c r="Q5190" t="str">
        <f t="shared" si="2127"/>
        <v>NIL</v>
      </c>
      <c r="R5190" t="str">
        <f t="shared" si="2120"/>
        <v>Accepted</v>
      </c>
      <c r="S5190" t="str">
        <f t="shared" si="2104"/>
        <v>Approved</v>
      </c>
      <c r="T5190" t="str">
        <f t="shared" si="2121"/>
        <v>10.20.8.188</v>
      </c>
      <c r="U5190" t="str">
        <f t="shared" si="2105"/>
        <v>AZRAD UMAR BIN SHAARI</v>
      </c>
      <c r="V5190" t="str">
        <f t="shared" si="2106"/>
        <v>FARHANA BINTI MUSTAPA</v>
      </c>
      <c r="W5190" t="str">
        <f t="shared" si="2107"/>
        <v>04-08-2020</v>
      </c>
      <c r="X5190" t="str">
        <f t="shared" si="2108"/>
        <v>RAZIMAH ANSAR AHMAD</v>
      </c>
      <c r="Y5190" t="str">
        <f t="shared" si="2109"/>
        <v>04-08-2020</v>
      </c>
      <c r="Z5190" t="str">
        <f>"COS10200804 3964"</f>
        <v>COS10200804 3964</v>
      </c>
    </row>
    <row r="5191" spans="1:26" x14ac:dyDescent="0.25">
      <c r="A5191" t="str">
        <f t="shared" si="2124"/>
        <v>04-08-2020 12:47:34</v>
      </c>
      <c r="B5191" t="str">
        <f>"0000805738"</f>
        <v>0000805738</v>
      </c>
      <c r="C5191" t="str">
        <f t="shared" si="2125"/>
        <v>0000805575</v>
      </c>
      <c r="D5191" t="str">
        <f t="shared" ref="D5191:D5254" si="2128">"73185"</f>
        <v>73185</v>
      </c>
      <c r="E5191" t="str">
        <f t="shared" ref="E5191:E5254" si="2129">"KFH-OPERATIONS DEPARTMENT"</f>
        <v>KFH-OPERATIONS DEPARTMENT</v>
      </c>
      <c r="F5191" t="str">
        <f t="shared" ref="F5191:F5254" si="2130">"IBG"</f>
        <v>IBG</v>
      </c>
      <c r="G5191" t="str">
        <f t="shared" si="2110"/>
        <v>Refund COSHARE 10</v>
      </c>
      <c r="H5191" s="2">
        <v>470.1</v>
      </c>
      <c r="I5191" t="str">
        <f>"AHMAD NAZMI BIN HALIL"</f>
        <v>AHMAD NAZMI BIN HALIL</v>
      </c>
      <c r="J5191" t="str">
        <f t="shared" si="2111"/>
        <v>MAYBANK / MAYBANK ISLAMIC</v>
      </c>
      <c r="K5191" t="str">
        <f>"162076508036"</f>
        <v>162076508036</v>
      </c>
      <c r="L5191" t="str">
        <f t="shared" si="2126"/>
        <v>04-08-2020</v>
      </c>
      <c r="M5191" t="str">
        <f t="shared" si="2126"/>
        <v>04-08-2020</v>
      </c>
      <c r="N5191" t="str">
        <f t="shared" ref="N5191:N5254" si="2131">"001105018356"</f>
        <v>001105018356</v>
      </c>
      <c r="O5191" t="str">
        <f t="shared" ref="O5191:O5254" si="2132">"MYR"</f>
        <v>MYR</v>
      </c>
      <c r="P5191" t="str">
        <f t="shared" si="2127"/>
        <v>NIL</v>
      </c>
      <c r="Q5191" t="str">
        <f t="shared" si="2127"/>
        <v>NIL</v>
      </c>
      <c r="R5191" t="str">
        <f t="shared" si="2120"/>
        <v>Accepted</v>
      </c>
      <c r="S5191" t="str">
        <f t="shared" ref="S5191:S5254" si="2133">"Approved"</f>
        <v>Approved</v>
      </c>
      <c r="T5191" t="str">
        <f t="shared" si="2121"/>
        <v>10.20.8.188</v>
      </c>
      <c r="U5191" t="str">
        <f t="shared" ref="U5191:U5254" si="2134">"AZRAD UMAR BIN SHAARI"</f>
        <v>AZRAD UMAR BIN SHAARI</v>
      </c>
      <c r="V5191" t="str">
        <f t="shared" ref="V5191:V5254" si="2135">"FARHANA BINTI MUSTAPA"</f>
        <v>FARHANA BINTI MUSTAPA</v>
      </c>
      <c r="W5191" t="str">
        <f t="shared" ref="W5191:W5254" si="2136">"04-08-2020"</f>
        <v>04-08-2020</v>
      </c>
      <c r="X5191" t="str">
        <f t="shared" ref="X5191:X5254" si="2137">"RAZIMAH ANSAR AHMAD"</f>
        <v>RAZIMAH ANSAR AHMAD</v>
      </c>
      <c r="Y5191" t="str">
        <f t="shared" ref="Y5191:Y5254" si="2138">"04-08-2020"</f>
        <v>04-08-2020</v>
      </c>
      <c r="Z5191" t="str">
        <f>"COS10200804 3963"</f>
        <v>COS10200804 3963</v>
      </c>
    </row>
    <row r="5192" spans="1:26" x14ac:dyDescent="0.25">
      <c r="A5192" t="str">
        <f t="shared" si="2124"/>
        <v>04-08-2020 12:47:34</v>
      </c>
      <c r="B5192" t="str">
        <f>"0000805737"</f>
        <v>0000805737</v>
      </c>
      <c r="C5192" t="str">
        <f t="shared" si="2125"/>
        <v>0000805575</v>
      </c>
      <c r="D5192" t="str">
        <f t="shared" si="2128"/>
        <v>73185</v>
      </c>
      <c r="E5192" t="str">
        <f t="shared" si="2129"/>
        <v>KFH-OPERATIONS DEPARTMENT</v>
      </c>
      <c r="F5192" t="str">
        <f t="shared" si="2130"/>
        <v>IBG</v>
      </c>
      <c r="G5192" t="str">
        <f t="shared" si="2110"/>
        <v>Refund COSHARE 10</v>
      </c>
      <c r="H5192" s="2">
        <v>607</v>
      </c>
      <c r="I5192" t="str">
        <f>"AHMAD NAZARUL SUKRY BIN KAMARUDDIN"</f>
        <v>AHMAD NAZARUL SUKRY BIN KAMARUDDIN</v>
      </c>
      <c r="J5192" t="str">
        <f t="shared" si="2111"/>
        <v>MAYBANK / MAYBANK ISLAMIC</v>
      </c>
      <c r="K5192" t="str">
        <f>"166010220137"</f>
        <v>166010220137</v>
      </c>
      <c r="L5192" t="str">
        <f t="shared" si="2126"/>
        <v>04-08-2020</v>
      </c>
      <c r="M5192" t="str">
        <f t="shared" si="2126"/>
        <v>04-08-2020</v>
      </c>
      <c r="N5192" t="str">
        <f t="shared" si="2131"/>
        <v>001105018356</v>
      </c>
      <c r="O5192" t="str">
        <f t="shared" si="2132"/>
        <v>MYR</v>
      </c>
      <c r="P5192" t="str">
        <f t="shared" si="2127"/>
        <v>NIL</v>
      </c>
      <c r="Q5192" t="str">
        <f t="shared" si="2127"/>
        <v>NIL</v>
      </c>
      <c r="R5192" t="str">
        <f t="shared" si="2120"/>
        <v>Accepted</v>
      </c>
      <c r="S5192" t="str">
        <f t="shared" si="2133"/>
        <v>Approved</v>
      </c>
      <c r="T5192" t="str">
        <f t="shared" si="2121"/>
        <v>10.20.8.188</v>
      </c>
      <c r="U5192" t="str">
        <f t="shared" si="2134"/>
        <v>AZRAD UMAR BIN SHAARI</v>
      </c>
      <c r="V5192" t="str">
        <f t="shared" si="2135"/>
        <v>FARHANA BINTI MUSTAPA</v>
      </c>
      <c r="W5192" t="str">
        <f t="shared" si="2136"/>
        <v>04-08-2020</v>
      </c>
      <c r="X5192" t="str">
        <f t="shared" si="2137"/>
        <v>RAZIMAH ANSAR AHMAD</v>
      </c>
      <c r="Y5192" t="str">
        <f t="shared" si="2138"/>
        <v>04-08-2020</v>
      </c>
      <c r="Z5192" t="str">
        <f>"COS10200804 3962"</f>
        <v>COS10200804 3962</v>
      </c>
    </row>
    <row r="5193" spans="1:26" x14ac:dyDescent="0.25">
      <c r="A5193" t="str">
        <f t="shared" si="2124"/>
        <v>04-08-2020 12:47:34</v>
      </c>
      <c r="B5193" t="str">
        <f>"0000805736"</f>
        <v>0000805736</v>
      </c>
      <c r="C5193" t="str">
        <f t="shared" si="2125"/>
        <v>0000805575</v>
      </c>
      <c r="D5193" t="str">
        <f t="shared" si="2128"/>
        <v>73185</v>
      </c>
      <c r="E5193" t="str">
        <f t="shared" si="2129"/>
        <v>KFH-OPERATIONS DEPARTMENT</v>
      </c>
      <c r="F5193" t="str">
        <f t="shared" si="2130"/>
        <v>IBG</v>
      </c>
      <c r="G5193" t="str">
        <f t="shared" si="2110"/>
        <v>Refund COSHARE 10</v>
      </c>
      <c r="H5193" s="2">
        <v>419.75</v>
      </c>
      <c r="I5193" t="str">
        <f>"AHMAD NARAWI BIN JENI"</f>
        <v>AHMAD NARAWI BIN JENI</v>
      </c>
      <c r="J5193" t="str">
        <f t="shared" si="2111"/>
        <v>MAYBANK / MAYBANK ISLAMIC</v>
      </c>
      <c r="K5193" t="str">
        <f>"161257036633"</f>
        <v>161257036633</v>
      </c>
      <c r="L5193" t="str">
        <f t="shared" si="2126"/>
        <v>04-08-2020</v>
      </c>
      <c r="M5193" t="str">
        <f t="shared" si="2126"/>
        <v>04-08-2020</v>
      </c>
      <c r="N5193" t="str">
        <f t="shared" si="2131"/>
        <v>001105018356</v>
      </c>
      <c r="O5193" t="str">
        <f t="shared" si="2132"/>
        <v>MYR</v>
      </c>
      <c r="P5193" t="str">
        <f t="shared" si="2127"/>
        <v>NIL</v>
      </c>
      <c r="Q5193" t="str">
        <f t="shared" si="2127"/>
        <v>NIL</v>
      </c>
      <c r="R5193" t="str">
        <f t="shared" si="2120"/>
        <v>Accepted</v>
      </c>
      <c r="S5193" t="str">
        <f t="shared" si="2133"/>
        <v>Approved</v>
      </c>
      <c r="T5193" t="str">
        <f t="shared" si="2121"/>
        <v>10.20.8.188</v>
      </c>
      <c r="U5193" t="str">
        <f t="shared" si="2134"/>
        <v>AZRAD UMAR BIN SHAARI</v>
      </c>
      <c r="V5193" t="str">
        <f t="shared" si="2135"/>
        <v>FARHANA BINTI MUSTAPA</v>
      </c>
      <c r="W5193" t="str">
        <f t="shared" si="2136"/>
        <v>04-08-2020</v>
      </c>
      <c r="X5193" t="str">
        <f t="shared" si="2137"/>
        <v>RAZIMAH ANSAR AHMAD</v>
      </c>
      <c r="Y5193" t="str">
        <f t="shared" si="2138"/>
        <v>04-08-2020</v>
      </c>
      <c r="Z5193" t="str">
        <f>"COS10200804 3961"</f>
        <v>COS10200804 3961</v>
      </c>
    </row>
    <row r="5194" spans="1:26" x14ac:dyDescent="0.25">
      <c r="A5194" t="str">
        <f t="shared" si="2124"/>
        <v>04-08-2020 12:47:34</v>
      </c>
      <c r="B5194" t="str">
        <f>"0000805735"</f>
        <v>0000805735</v>
      </c>
      <c r="C5194" t="str">
        <f t="shared" si="2125"/>
        <v>0000805575</v>
      </c>
      <c r="D5194" t="str">
        <f t="shared" si="2128"/>
        <v>73185</v>
      </c>
      <c r="E5194" t="str">
        <f t="shared" si="2129"/>
        <v>KFH-OPERATIONS DEPARTMENT</v>
      </c>
      <c r="F5194" t="str">
        <f t="shared" si="2130"/>
        <v>IBG</v>
      </c>
      <c r="G5194" t="str">
        <f t="shared" si="2110"/>
        <v>Refund COSHARE 10</v>
      </c>
      <c r="H5194" s="2">
        <v>819</v>
      </c>
      <c r="I5194" t="str">
        <f>"AHMAD NADZRI BIN MOHD HASSAN"</f>
        <v>AHMAD NADZRI BIN MOHD HASSAN</v>
      </c>
      <c r="J5194" t="str">
        <f t="shared" si="2111"/>
        <v>MAYBANK / MAYBANK ISLAMIC</v>
      </c>
      <c r="K5194" t="str">
        <f>"164016048490"</f>
        <v>164016048490</v>
      </c>
      <c r="L5194" t="str">
        <f t="shared" si="2126"/>
        <v>04-08-2020</v>
      </c>
      <c r="M5194" t="str">
        <f t="shared" si="2126"/>
        <v>04-08-2020</v>
      </c>
      <c r="N5194" t="str">
        <f t="shared" si="2131"/>
        <v>001105018356</v>
      </c>
      <c r="O5194" t="str">
        <f t="shared" si="2132"/>
        <v>MYR</v>
      </c>
      <c r="P5194" t="str">
        <f t="shared" si="2127"/>
        <v>NIL</v>
      </c>
      <c r="Q5194" t="str">
        <f t="shared" si="2127"/>
        <v>NIL</v>
      </c>
      <c r="R5194" t="str">
        <f t="shared" si="2120"/>
        <v>Accepted</v>
      </c>
      <c r="S5194" t="str">
        <f t="shared" si="2133"/>
        <v>Approved</v>
      </c>
      <c r="T5194" t="str">
        <f t="shared" si="2121"/>
        <v>10.20.8.188</v>
      </c>
      <c r="U5194" t="str">
        <f t="shared" si="2134"/>
        <v>AZRAD UMAR BIN SHAARI</v>
      </c>
      <c r="V5194" t="str">
        <f t="shared" si="2135"/>
        <v>FARHANA BINTI MUSTAPA</v>
      </c>
      <c r="W5194" t="str">
        <f t="shared" si="2136"/>
        <v>04-08-2020</v>
      </c>
      <c r="X5194" t="str">
        <f t="shared" si="2137"/>
        <v>RAZIMAH ANSAR AHMAD</v>
      </c>
      <c r="Y5194" t="str">
        <f t="shared" si="2138"/>
        <v>04-08-2020</v>
      </c>
      <c r="Z5194" t="str">
        <f>"COS10200804 3960"</f>
        <v>COS10200804 3960</v>
      </c>
    </row>
    <row r="5195" spans="1:26" x14ac:dyDescent="0.25">
      <c r="A5195" t="str">
        <f t="shared" si="2124"/>
        <v>04-08-2020 12:47:34</v>
      </c>
      <c r="B5195" t="str">
        <f>"0000805734"</f>
        <v>0000805734</v>
      </c>
      <c r="C5195" t="str">
        <f t="shared" si="2125"/>
        <v>0000805575</v>
      </c>
      <c r="D5195" t="str">
        <f t="shared" si="2128"/>
        <v>73185</v>
      </c>
      <c r="E5195" t="str">
        <f t="shared" si="2129"/>
        <v>KFH-OPERATIONS DEPARTMENT</v>
      </c>
      <c r="F5195" t="str">
        <f t="shared" si="2130"/>
        <v>IBG</v>
      </c>
      <c r="G5195" t="str">
        <f t="shared" si="2110"/>
        <v>Refund COSHARE 10</v>
      </c>
      <c r="H5195" s="2">
        <v>160</v>
      </c>
      <c r="I5195" t="str">
        <f>"AHMAD NADZRI BIN AHMAD ADZMAN"</f>
        <v>AHMAD NADZRI BIN AHMAD ADZMAN</v>
      </c>
      <c r="J5195" t="str">
        <f t="shared" si="2111"/>
        <v>MAYBANK / MAYBANK ISLAMIC</v>
      </c>
      <c r="K5195" t="str">
        <f>"151044156441"</f>
        <v>151044156441</v>
      </c>
      <c r="L5195" t="str">
        <f t="shared" si="2126"/>
        <v>04-08-2020</v>
      </c>
      <c r="M5195" t="str">
        <f t="shared" si="2126"/>
        <v>04-08-2020</v>
      </c>
      <c r="N5195" t="str">
        <f t="shared" si="2131"/>
        <v>001105018356</v>
      </c>
      <c r="O5195" t="str">
        <f t="shared" si="2132"/>
        <v>MYR</v>
      </c>
      <c r="P5195" t="str">
        <f t="shared" si="2127"/>
        <v>NIL</v>
      </c>
      <c r="Q5195" t="str">
        <f t="shared" si="2127"/>
        <v>NIL</v>
      </c>
      <c r="R5195" t="str">
        <f t="shared" si="2120"/>
        <v>Accepted</v>
      </c>
      <c r="S5195" t="str">
        <f t="shared" si="2133"/>
        <v>Approved</v>
      </c>
      <c r="T5195" t="str">
        <f t="shared" si="2121"/>
        <v>10.20.8.188</v>
      </c>
      <c r="U5195" t="str">
        <f t="shared" si="2134"/>
        <v>AZRAD UMAR BIN SHAARI</v>
      </c>
      <c r="V5195" t="str">
        <f t="shared" si="2135"/>
        <v>FARHANA BINTI MUSTAPA</v>
      </c>
      <c r="W5195" t="str">
        <f t="shared" si="2136"/>
        <v>04-08-2020</v>
      </c>
      <c r="X5195" t="str">
        <f t="shared" si="2137"/>
        <v>RAZIMAH ANSAR AHMAD</v>
      </c>
      <c r="Y5195" t="str">
        <f t="shared" si="2138"/>
        <v>04-08-2020</v>
      </c>
      <c r="Z5195" t="str">
        <f>"COS10200804 3959"</f>
        <v>COS10200804 3959</v>
      </c>
    </row>
    <row r="5196" spans="1:26" x14ac:dyDescent="0.25">
      <c r="A5196" t="str">
        <f t="shared" si="2124"/>
        <v>04-08-2020 12:47:34</v>
      </c>
      <c r="B5196" t="str">
        <f>"0000805733"</f>
        <v>0000805733</v>
      </c>
      <c r="C5196" t="str">
        <f t="shared" si="2125"/>
        <v>0000805575</v>
      </c>
      <c r="D5196" t="str">
        <f t="shared" si="2128"/>
        <v>73185</v>
      </c>
      <c r="E5196" t="str">
        <f t="shared" si="2129"/>
        <v>KFH-OPERATIONS DEPARTMENT</v>
      </c>
      <c r="F5196" t="str">
        <f t="shared" si="2130"/>
        <v>IBG</v>
      </c>
      <c r="G5196" t="str">
        <f t="shared" ref="G5196:G5259" si="2139">"Refund COSHARE 10"</f>
        <v>Refund COSHARE 10</v>
      </c>
      <c r="H5196" s="2">
        <v>83.95</v>
      </c>
      <c r="I5196" t="str">
        <f>"AHMAD MISRAN BIN DIN"</f>
        <v>AHMAD MISRAN BIN DIN</v>
      </c>
      <c r="J5196" t="str">
        <f t="shared" si="2111"/>
        <v>MAYBANK / MAYBANK ISLAMIC</v>
      </c>
      <c r="K5196" t="str">
        <f>"102111092087"</f>
        <v>102111092087</v>
      </c>
      <c r="L5196" t="str">
        <f t="shared" si="2126"/>
        <v>04-08-2020</v>
      </c>
      <c r="M5196" t="str">
        <f t="shared" si="2126"/>
        <v>04-08-2020</v>
      </c>
      <c r="N5196" t="str">
        <f t="shared" si="2131"/>
        <v>001105018356</v>
      </c>
      <c r="O5196" t="str">
        <f t="shared" si="2132"/>
        <v>MYR</v>
      </c>
      <c r="P5196" t="str">
        <f t="shared" si="2127"/>
        <v>NIL</v>
      </c>
      <c r="Q5196" t="str">
        <f t="shared" si="2127"/>
        <v>NIL</v>
      </c>
      <c r="R5196" t="str">
        <f t="shared" si="2120"/>
        <v>Accepted</v>
      </c>
      <c r="S5196" t="str">
        <f t="shared" si="2133"/>
        <v>Approved</v>
      </c>
      <c r="T5196" t="str">
        <f t="shared" si="2121"/>
        <v>10.20.8.188</v>
      </c>
      <c r="U5196" t="str">
        <f t="shared" si="2134"/>
        <v>AZRAD UMAR BIN SHAARI</v>
      </c>
      <c r="V5196" t="str">
        <f t="shared" si="2135"/>
        <v>FARHANA BINTI MUSTAPA</v>
      </c>
      <c r="W5196" t="str">
        <f t="shared" si="2136"/>
        <v>04-08-2020</v>
      </c>
      <c r="X5196" t="str">
        <f t="shared" si="2137"/>
        <v>RAZIMAH ANSAR AHMAD</v>
      </c>
      <c r="Y5196" t="str">
        <f t="shared" si="2138"/>
        <v>04-08-2020</v>
      </c>
      <c r="Z5196" t="str">
        <f>"COS10200804 3958"</f>
        <v>COS10200804 3958</v>
      </c>
    </row>
    <row r="5197" spans="1:26" x14ac:dyDescent="0.25">
      <c r="A5197" t="str">
        <f t="shared" si="2124"/>
        <v>04-08-2020 12:47:34</v>
      </c>
      <c r="B5197" t="str">
        <f>"0000805732"</f>
        <v>0000805732</v>
      </c>
      <c r="C5197" t="str">
        <f t="shared" si="2125"/>
        <v>0000805575</v>
      </c>
      <c r="D5197" t="str">
        <f t="shared" si="2128"/>
        <v>73185</v>
      </c>
      <c r="E5197" t="str">
        <f t="shared" si="2129"/>
        <v>KFH-OPERATIONS DEPARTMENT</v>
      </c>
      <c r="F5197" t="str">
        <f t="shared" si="2130"/>
        <v>IBG</v>
      </c>
      <c r="G5197" t="str">
        <f t="shared" si="2139"/>
        <v>Refund COSHARE 10</v>
      </c>
      <c r="H5197" s="2">
        <v>889.9</v>
      </c>
      <c r="I5197" t="str">
        <f>"AHMAD KUSHAIRY BIN AHMAD MOUTHIE"</f>
        <v>AHMAD KUSHAIRY BIN AHMAD MOUTHIE</v>
      </c>
      <c r="J5197" t="str">
        <f t="shared" si="2111"/>
        <v>MAYBANK / MAYBANK ISLAMIC</v>
      </c>
      <c r="K5197" t="str">
        <f>"114160700917"</f>
        <v>114160700917</v>
      </c>
      <c r="L5197" t="str">
        <f t="shared" si="2126"/>
        <v>04-08-2020</v>
      </c>
      <c r="M5197" t="str">
        <f t="shared" si="2126"/>
        <v>04-08-2020</v>
      </c>
      <c r="N5197" t="str">
        <f t="shared" si="2131"/>
        <v>001105018356</v>
      </c>
      <c r="O5197" t="str">
        <f t="shared" si="2132"/>
        <v>MYR</v>
      </c>
      <c r="P5197" t="str">
        <f t="shared" si="2127"/>
        <v>NIL</v>
      </c>
      <c r="Q5197" t="str">
        <f t="shared" si="2127"/>
        <v>NIL</v>
      </c>
      <c r="R5197" t="str">
        <f t="shared" si="2120"/>
        <v>Accepted</v>
      </c>
      <c r="S5197" t="str">
        <f t="shared" si="2133"/>
        <v>Approved</v>
      </c>
      <c r="T5197" t="str">
        <f t="shared" si="2121"/>
        <v>10.20.8.188</v>
      </c>
      <c r="U5197" t="str">
        <f t="shared" si="2134"/>
        <v>AZRAD UMAR BIN SHAARI</v>
      </c>
      <c r="V5197" t="str">
        <f t="shared" si="2135"/>
        <v>FARHANA BINTI MUSTAPA</v>
      </c>
      <c r="W5197" t="str">
        <f t="shared" si="2136"/>
        <v>04-08-2020</v>
      </c>
      <c r="X5197" t="str">
        <f t="shared" si="2137"/>
        <v>RAZIMAH ANSAR AHMAD</v>
      </c>
      <c r="Y5197" t="str">
        <f t="shared" si="2138"/>
        <v>04-08-2020</v>
      </c>
      <c r="Z5197" t="str">
        <f>"COS10200804 3957"</f>
        <v>COS10200804 3957</v>
      </c>
    </row>
    <row r="5198" spans="1:26" x14ac:dyDescent="0.25">
      <c r="A5198" t="str">
        <f t="shared" si="2124"/>
        <v>04-08-2020 12:47:34</v>
      </c>
      <c r="B5198" t="str">
        <f>"0000805731"</f>
        <v>0000805731</v>
      </c>
      <c r="C5198" t="str">
        <f t="shared" si="2125"/>
        <v>0000805575</v>
      </c>
      <c r="D5198" t="str">
        <f t="shared" si="2128"/>
        <v>73185</v>
      </c>
      <c r="E5198" t="str">
        <f t="shared" si="2129"/>
        <v>KFH-OPERATIONS DEPARTMENT</v>
      </c>
      <c r="F5198" t="str">
        <f t="shared" si="2130"/>
        <v>IBG</v>
      </c>
      <c r="G5198" t="str">
        <f t="shared" si="2139"/>
        <v>Refund COSHARE 10</v>
      </c>
      <c r="H5198" s="2">
        <v>478.55</v>
      </c>
      <c r="I5198" t="str">
        <f>"AHMAD KHAIRIL BIN HUSAIN"</f>
        <v>AHMAD KHAIRIL BIN HUSAIN</v>
      </c>
      <c r="J5198" t="str">
        <f t="shared" si="2111"/>
        <v>MAYBANK / MAYBANK ISLAMIC</v>
      </c>
      <c r="K5198" t="str">
        <f>"114374077311"</f>
        <v>114374077311</v>
      </c>
      <c r="L5198" t="str">
        <f t="shared" si="2126"/>
        <v>04-08-2020</v>
      </c>
      <c r="M5198" t="str">
        <f t="shared" si="2126"/>
        <v>04-08-2020</v>
      </c>
      <c r="N5198" t="str">
        <f t="shared" si="2131"/>
        <v>001105018356</v>
      </c>
      <c r="O5198" t="str">
        <f t="shared" si="2132"/>
        <v>MYR</v>
      </c>
      <c r="P5198" t="str">
        <f t="shared" si="2127"/>
        <v>NIL</v>
      </c>
      <c r="Q5198" t="str">
        <f t="shared" si="2127"/>
        <v>NIL</v>
      </c>
      <c r="R5198" t="str">
        <f t="shared" si="2120"/>
        <v>Accepted</v>
      </c>
      <c r="S5198" t="str">
        <f t="shared" si="2133"/>
        <v>Approved</v>
      </c>
      <c r="T5198" t="str">
        <f t="shared" si="2121"/>
        <v>10.20.8.188</v>
      </c>
      <c r="U5198" t="str">
        <f t="shared" si="2134"/>
        <v>AZRAD UMAR BIN SHAARI</v>
      </c>
      <c r="V5198" t="str">
        <f t="shared" si="2135"/>
        <v>FARHANA BINTI MUSTAPA</v>
      </c>
      <c r="W5198" t="str">
        <f t="shared" si="2136"/>
        <v>04-08-2020</v>
      </c>
      <c r="X5198" t="str">
        <f t="shared" si="2137"/>
        <v>RAZIMAH ANSAR AHMAD</v>
      </c>
      <c r="Y5198" t="str">
        <f t="shared" si="2138"/>
        <v>04-08-2020</v>
      </c>
      <c r="Z5198" t="str">
        <f>"COS10200804 3956"</f>
        <v>COS10200804 3956</v>
      </c>
    </row>
    <row r="5199" spans="1:26" x14ac:dyDescent="0.25">
      <c r="A5199" t="str">
        <f t="shared" si="2124"/>
        <v>04-08-2020 12:47:34</v>
      </c>
      <c r="B5199" t="str">
        <f>"0000805730"</f>
        <v>0000805730</v>
      </c>
      <c r="C5199" t="str">
        <f t="shared" si="2125"/>
        <v>0000805575</v>
      </c>
      <c r="D5199" t="str">
        <f t="shared" si="2128"/>
        <v>73185</v>
      </c>
      <c r="E5199" t="str">
        <f t="shared" si="2129"/>
        <v>KFH-OPERATIONS DEPARTMENT</v>
      </c>
      <c r="F5199" t="str">
        <f t="shared" si="2130"/>
        <v>IBG</v>
      </c>
      <c r="G5199" t="str">
        <f t="shared" si="2139"/>
        <v>Refund COSHARE 10</v>
      </c>
      <c r="H5199" s="2">
        <v>377.8</v>
      </c>
      <c r="I5199" t="str">
        <f>"AHMAD KHAIRI BIN JAMAL"</f>
        <v>AHMAD KHAIRI BIN JAMAL</v>
      </c>
      <c r="J5199" t="str">
        <f t="shared" si="2111"/>
        <v>MAYBANK / MAYBANK ISLAMIC</v>
      </c>
      <c r="K5199" t="str">
        <f>"112269107534"</f>
        <v>112269107534</v>
      </c>
      <c r="L5199" t="str">
        <f t="shared" si="2126"/>
        <v>04-08-2020</v>
      </c>
      <c r="M5199" t="str">
        <f t="shared" si="2126"/>
        <v>04-08-2020</v>
      </c>
      <c r="N5199" t="str">
        <f t="shared" si="2131"/>
        <v>001105018356</v>
      </c>
      <c r="O5199" t="str">
        <f t="shared" si="2132"/>
        <v>MYR</v>
      </c>
      <c r="P5199" t="str">
        <f t="shared" si="2127"/>
        <v>NIL</v>
      </c>
      <c r="Q5199" t="str">
        <f t="shared" si="2127"/>
        <v>NIL</v>
      </c>
      <c r="R5199" t="str">
        <f t="shared" si="2120"/>
        <v>Accepted</v>
      </c>
      <c r="S5199" t="str">
        <f t="shared" si="2133"/>
        <v>Approved</v>
      </c>
      <c r="T5199" t="str">
        <f t="shared" si="2121"/>
        <v>10.20.8.188</v>
      </c>
      <c r="U5199" t="str">
        <f t="shared" si="2134"/>
        <v>AZRAD UMAR BIN SHAARI</v>
      </c>
      <c r="V5199" t="str">
        <f t="shared" si="2135"/>
        <v>FARHANA BINTI MUSTAPA</v>
      </c>
      <c r="W5199" t="str">
        <f t="shared" si="2136"/>
        <v>04-08-2020</v>
      </c>
      <c r="X5199" t="str">
        <f t="shared" si="2137"/>
        <v>RAZIMAH ANSAR AHMAD</v>
      </c>
      <c r="Y5199" t="str">
        <f t="shared" si="2138"/>
        <v>04-08-2020</v>
      </c>
      <c r="Z5199" t="str">
        <f>"COS10200804 3955"</f>
        <v>COS10200804 3955</v>
      </c>
    </row>
    <row r="5200" spans="1:26" x14ac:dyDescent="0.25">
      <c r="A5200" t="str">
        <f t="shared" si="2124"/>
        <v>04-08-2020 12:47:34</v>
      </c>
      <c r="B5200" t="str">
        <f>"0000805729"</f>
        <v>0000805729</v>
      </c>
      <c r="C5200" t="str">
        <f t="shared" si="2125"/>
        <v>0000805575</v>
      </c>
      <c r="D5200" t="str">
        <f t="shared" si="2128"/>
        <v>73185</v>
      </c>
      <c r="E5200" t="str">
        <f t="shared" si="2129"/>
        <v>KFH-OPERATIONS DEPARTMENT</v>
      </c>
      <c r="F5200" t="str">
        <f t="shared" si="2130"/>
        <v>IBG</v>
      </c>
      <c r="G5200" t="str">
        <f t="shared" si="2139"/>
        <v>Refund COSHARE 10</v>
      </c>
      <c r="H5200" s="2">
        <v>671.6</v>
      </c>
      <c r="I5200" t="str">
        <f>"AHMAD KAMALI BIN MOHAMED YUSOFF"</f>
        <v>AHMAD KAMALI BIN MOHAMED YUSOFF</v>
      </c>
      <c r="J5200" t="str">
        <f t="shared" si="2111"/>
        <v>MAYBANK / MAYBANK ISLAMIC</v>
      </c>
      <c r="K5200" t="str">
        <f>"161097055564"</f>
        <v>161097055564</v>
      </c>
      <c r="L5200" t="str">
        <f t="shared" si="2126"/>
        <v>04-08-2020</v>
      </c>
      <c r="M5200" t="str">
        <f t="shared" si="2126"/>
        <v>04-08-2020</v>
      </c>
      <c r="N5200" t="str">
        <f t="shared" si="2131"/>
        <v>001105018356</v>
      </c>
      <c r="O5200" t="str">
        <f t="shared" si="2132"/>
        <v>MYR</v>
      </c>
      <c r="P5200" t="str">
        <f t="shared" si="2127"/>
        <v>NIL</v>
      </c>
      <c r="Q5200" t="str">
        <f t="shared" si="2127"/>
        <v>NIL</v>
      </c>
      <c r="R5200" t="str">
        <f t="shared" si="2120"/>
        <v>Accepted</v>
      </c>
      <c r="S5200" t="str">
        <f t="shared" si="2133"/>
        <v>Approved</v>
      </c>
      <c r="T5200" t="str">
        <f t="shared" si="2121"/>
        <v>10.20.8.188</v>
      </c>
      <c r="U5200" t="str">
        <f t="shared" si="2134"/>
        <v>AZRAD UMAR BIN SHAARI</v>
      </c>
      <c r="V5200" t="str">
        <f t="shared" si="2135"/>
        <v>FARHANA BINTI MUSTAPA</v>
      </c>
      <c r="W5200" t="str">
        <f t="shared" si="2136"/>
        <v>04-08-2020</v>
      </c>
      <c r="X5200" t="str">
        <f t="shared" si="2137"/>
        <v>RAZIMAH ANSAR AHMAD</v>
      </c>
      <c r="Y5200" t="str">
        <f t="shared" si="2138"/>
        <v>04-08-2020</v>
      </c>
      <c r="Z5200" t="str">
        <f>"COS10200804 3954"</f>
        <v>COS10200804 3954</v>
      </c>
    </row>
    <row r="5201" spans="1:26" x14ac:dyDescent="0.25">
      <c r="A5201" t="str">
        <f t="shared" si="2124"/>
        <v>04-08-2020 12:47:34</v>
      </c>
      <c r="B5201" t="str">
        <f>"0000805728"</f>
        <v>0000805728</v>
      </c>
      <c r="C5201" t="str">
        <f t="shared" si="2125"/>
        <v>0000805575</v>
      </c>
      <c r="D5201" t="str">
        <f t="shared" si="2128"/>
        <v>73185</v>
      </c>
      <c r="E5201" t="str">
        <f t="shared" si="2129"/>
        <v>KFH-OPERATIONS DEPARTMENT</v>
      </c>
      <c r="F5201" t="str">
        <f t="shared" si="2130"/>
        <v>IBG</v>
      </c>
      <c r="G5201" t="str">
        <f t="shared" si="2139"/>
        <v>Refund COSHARE 10</v>
      </c>
      <c r="H5201" s="2">
        <v>675.55</v>
      </c>
      <c r="I5201" t="str">
        <f>"AHMAD KAMAL BIN ABDUL RAHMAN"</f>
        <v>AHMAD KAMAL BIN ABDUL RAHMAN</v>
      </c>
      <c r="J5201" t="str">
        <f t="shared" ref="J5201:J5264" si="2140">"MAYBANK / MAYBANK ISLAMIC"</f>
        <v>MAYBANK / MAYBANK ISLAMIC</v>
      </c>
      <c r="K5201" t="str">
        <f>"114178896857"</f>
        <v>114178896857</v>
      </c>
      <c r="L5201" t="str">
        <f t="shared" si="2126"/>
        <v>04-08-2020</v>
      </c>
      <c r="M5201" t="str">
        <f t="shared" si="2126"/>
        <v>04-08-2020</v>
      </c>
      <c r="N5201" t="str">
        <f t="shared" si="2131"/>
        <v>001105018356</v>
      </c>
      <c r="O5201" t="str">
        <f t="shared" si="2132"/>
        <v>MYR</v>
      </c>
      <c r="P5201" t="str">
        <f t="shared" si="2127"/>
        <v>NIL</v>
      </c>
      <c r="Q5201" t="str">
        <f t="shared" si="2127"/>
        <v>NIL</v>
      </c>
      <c r="R5201" t="str">
        <f t="shared" si="2120"/>
        <v>Accepted</v>
      </c>
      <c r="S5201" t="str">
        <f t="shared" si="2133"/>
        <v>Approved</v>
      </c>
      <c r="T5201" t="str">
        <f t="shared" si="2121"/>
        <v>10.20.8.188</v>
      </c>
      <c r="U5201" t="str">
        <f t="shared" si="2134"/>
        <v>AZRAD UMAR BIN SHAARI</v>
      </c>
      <c r="V5201" t="str">
        <f t="shared" si="2135"/>
        <v>FARHANA BINTI MUSTAPA</v>
      </c>
      <c r="W5201" t="str">
        <f t="shared" si="2136"/>
        <v>04-08-2020</v>
      </c>
      <c r="X5201" t="str">
        <f t="shared" si="2137"/>
        <v>RAZIMAH ANSAR AHMAD</v>
      </c>
      <c r="Y5201" t="str">
        <f t="shared" si="2138"/>
        <v>04-08-2020</v>
      </c>
      <c r="Z5201" t="str">
        <f>"COS10200804 3953"</f>
        <v>COS10200804 3953</v>
      </c>
    </row>
    <row r="5202" spans="1:26" x14ac:dyDescent="0.25">
      <c r="A5202" t="str">
        <f t="shared" si="2124"/>
        <v>04-08-2020 12:47:34</v>
      </c>
      <c r="B5202" t="str">
        <f>"0000805727"</f>
        <v>0000805727</v>
      </c>
      <c r="C5202" t="str">
        <f t="shared" si="2125"/>
        <v>0000805575</v>
      </c>
      <c r="D5202" t="str">
        <f t="shared" si="2128"/>
        <v>73185</v>
      </c>
      <c r="E5202" t="str">
        <f t="shared" si="2129"/>
        <v>KFH-OPERATIONS DEPARTMENT</v>
      </c>
      <c r="F5202" t="str">
        <f t="shared" si="2130"/>
        <v>IBG</v>
      </c>
      <c r="G5202" t="str">
        <f t="shared" si="2139"/>
        <v>Refund COSHARE 10</v>
      </c>
      <c r="H5202" s="2">
        <v>1514.45</v>
      </c>
      <c r="I5202" t="str">
        <f>"AHMAD JESSREE BIN KAMARUDDIN"</f>
        <v>AHMAD JESSREE BIN KAMARUDDIN</v>
      </c>
      <c r="J5202" t="str">
        <f t="shared" si="2140"/>
        <v>MAYBANK / MAYBANK ISLAMIC</v>
      </c>
      <c r="K5202" t="str">
        <f>"162526046153"</f>
        <v>162526046153</v>
      </c>
      <c r="L5202" t="str">
        <f t="shared" si="2126"/>
        <v>04-08-2020</v>
      </c>
      <c r="M5202" t="str">
        <f t="shared" si="2126"/>
        <v>04-08-2020</v>
      </c>
      <c r="N5202" t="str">
        <f t="shared" si="2131"/>
        <v>001105018356</v>
      </c>
      <c r="O5202" t="str">
        <f t="shared" si="2132"/>
        <v>MYR</v>
      </c>
      <c r="P5202" t="str">
        <f t="shared" si="2127"/>
        <v>NIL</v>
      </c>
      <c r="Q5202" t="str">
        <f t="shared" si="2127"/>
        <v>NIL</v>
      </c>
      <c r="R5202" t="str">
        <f t="shared" si="2120"/>
        <v>Accepted</v>
      </c>
      <c r="S5202" t="str">
        <f t="shared" si="2133"/>
        <v>Approved</v>
      </c>
      <c r="T5202" t="str">
        <f t="shared" si="2121"/>
        <v>10.20.8.188</v>
      </c>
      <c r="U5202" t="str">
        <f t="shared" si="2134"/>
        <v>AZRAD UMAR BIN SHAARI</v>
      </c>
      <c r="V5202" t="str">
        <f t="shared" si="2135"/>
        <v>FARHANA BINTI MUSTAPA</v>
      </c>
      <c r="W5202" t="str">
        <f t="shared" si="2136"/>
        <v>04-08-2020</v>
      </c>
      <c r="X5202" t="str">
        <f t="shared" si="2137"/>
        <v>RAZIMAH ANSAR AHMAD</v>
      </c>
      <c r="Y5202" t="str">
        <f t="shared" si="2138"/>
        <v>04-08-2020</v>
      </c>
      <c r="Z5202" t="str">
        <f>"COS10200804 3952"</f>
        <v>COS10200804 3952</v>
      </c>
    </row>
    <row r="5203" spans="1:26" x14ac:dyDescent="0.25">
      <c r="A5203" t="str">
        <f t="shared" si="2124"/>
        <v>04-08-2020 12:47:34</v>
      </c>
      <c r="B5203" t="str">
        <f>"0000805726"</f>
        <v>0000805726</v>
      </c>
      <c r="C5203" t="str">
        <f t="shared" si="2125"/>
        <v>0000805575</v>
      </c>
      <c r="D5203" t="str">
        <f t="shared" si="2128"/>
        <v>73185</v>
      </c>
      <c r="E5203" t="str">
        <f t="shared" si="2129"/>
        <v>KFH-OPERATIONS DEPARTMENT</v>
      </c>
      <c r="F5203" t="str">
        <f t="shared" si="2130"/>
        <v>IBG</v>
      </c>
      <c r="G5203" t="str">
        <f t="shared" si="2139"/>
        <v>Refund COSHARE 10</v>
      </c>
      <c r="H5203" s="2">
        <v>267.64999999999998</v>
      </c>
      <c r="I5203" t="str">
        <f>"AHMAD JAMHARI BIN DAUD"</f>
        <v>AHMAD JAMHARI BIN DAUD</v>
      </c>
      <c r="J5203" t="str">
        <f t="shared" si="2140"/>
        <v>MAYBANK / MAYBANK ISLAMIC</v>
      </c>
      <c r="K5203" t="str">
        <f>"158060659574"</f>
        <v>158060659574</v>
      </c>
      <c r="L5203" t="str">
        <f t="shared" si="2126"/>
        <v>04-08-2020</v>
      </c>
      <c r="M5203" t="str">
        <f t="shared" si="2126"/>
        <v>04-08-2020</v>
      </c>
      <c r="N5203" t="str">
        <f t="shared" si="2131"/>
        <v>001105018356</v>
      </c>
      <c r="O5203" t="str">
        <f t="shared" si="2132"/>
        <v>MYR</v>
      </c>
      <c r="P5203" t="str">
        <f t="shared" si="2127"/>
        <v>NIL</v>
      </c>
      <c r="Q5203" t="str">
        <f t="shared" si="2127"/>
        <v>NIL</v>
      </c>
      <c r="R5203" t="str">
        <f t="shared" si="2120"/>
        <v>Accepted</v>
      </c>
      <c r="S5203" t="str">
        <f t="shared" si="2133"/>
        <v>Approved</v>
      </c>
      <c r="T5203" t="str">
        <f t="shared" si="2121"/>
        <v>10.20.8.188</v>
      </c>
      <c r="U5203" t="str">
        <f t="shared" si="2134"/>
        <v>AZRAD UMAR BIN SHAARI</v>
      </c>
      <c r="V5203" t="str">
        <f t="shared" si="2135"/>
        <v>FARHANA BINTI MUSTAPA</v>
      </c>
      <c r="W5203" t="str">
        <f t="shared" si="2136"/>
        <v>04-08-2020</v>
      </c>
      <c r="X5203" t="str">
        <f t="shared" si="2137"/>
        <v>RAZIMAH ANSAR AHMAD</v>
      </c>
      <c r="Y5203" t="str">
        <f t="shared" si="2138"/>
        <v>04-08-2020</v>
      </c>
      <c r="Z5203" t="str">
        <f>"COS10200804 3951"</f>
        <v>COS10200804 3951</v>
      </c>
    </row>
    <row r="5204" spans="1:26" x14ac:dyDescent="0.25">
      <c r="A5204" t="str">
        <f t="shared" si="2124"/>
        <v>04-08-2020 12:47:34</v>
      </c>
      <c r="B5204" t="str">
        <f>"0000805725"</f>
        <v>0000805725</v>
      </c>
      <c r="C5204" t="str">
        <f t="shared" si="2125"/>
        <v>0000805575</v>
      </c>
      <c r="D5204" t="str">
        <f t="shared" si="2128"/>
        <v>73185</v>
      </c>
      <c r="E5204" t="str">
        <f t="shared" si="2129"/>
        <v>KFH-OPERATIONS DEPARTMENT</v>
      </c>
      <c r="F5204" t="str">
        <f t="shared" si="2130"/>
        <v>IBG</v>
      </c>
      <c r="G5204" t="str">
        <f t="shared" si="2139"/>
        <v>Refund COSHARE 10</v>
      </c>
      <c r="H5204" s="2">
        <v>252</v>
      </c>
      <c r="I5204" t="str">
        <f>"AHMAD HARITH SYAH BIN MD YUSUF"</f>
        <v>AHMAD HARITH SYAH BIN MD YUSUF</v>
      </c>
      <c r="J5204" t="str">
        <f t="shared" si="2140"/>
        <v>MAYBANK / MAYBANK ISLAMIC</v>
      </c>
      <c r="K5204" t="str">
        <f>"152050033008"</f>
        <v>152050033008</v>
      </c>
      <c r="L5204" t="str">
        <f t="shared" si="2126"/>
        <v>04-08-2020</v>
      </c>
      <c r="M5204" t="str">
        <f t="shared" si="2126"/>
        <v>04-08-2020</v>
      </c>
      <c r="N5204" t="str">
        <f t="shared" si="2131"/>
        <v>001105018356</v>
      </c>
      <c r="O5204" t="str">
        <f t="shared" si="2132"/>
        <v>MYR</v>
      </c>
      <c r="P5204" t="str">
        <f t="shared" si="2127"/>
        <v>NIL</v>
      </c>
      <c r="Q5204" t="str">
        <f t="shared" si="2127"/>
        <v>NIL</v>
      </c>
      <c r="R5204" t="str">
        <f t="shared" si="2120"/>
        <v>Accepted</v>
      </c>
      <c r="S5204" t="str">
        <f t="shared" si="2133"/>
        <v>Approved</v>
      </c>
      <c r="T5204" t="str">
        <f t="shared" si="2121"/>
        <v>10.20.8.188</v>
      </c>
      <c r="U5204" t="str">
        <f t="shared" si="2134"/>
        <v>AZRAD UMAR BIN SHAARI</v>
      </c>
      <c r="V5204" t="str">
        <f t="shared" si="2135"/>
        <v>FARHANA BINTI MUSTAPA</v>
      </c>
      <c r="W5204" t="str">
        <f t="shared" si="2136"/>
        <v>04-08-2020</v>
      </c>
      <c r="X5204" t="str">
        <f t="shared" si="2137"/>
        <v>RAZIMAH ANSAR AHMAD</v>
      </c>
      <c r="Y5204" t="str">
        <f t="shared" si="2138"/>
        <v>04-08-2020</v>
      </c>
      <c r="Z5204" t="str">
        <f>"COS10200804 3950"</f>
        <v>COS10200804 3950</v>
      </c>
    </row>
    <row r="5205" spans="1:26" x14ac:dyDescent="0.25">
      <c r="A5205" t="str">
        <f t="shared" si="2124"/>
        <v>04-08-2020 12:47:34</v>
      </c>
      <c r="B5205" t="str">
        <f>"0000805724"</f>
        <v>0000805724</v>
      </c>
      <c r="C5205" t="str">
        <f t="shared" si="2125"/>
        <v>0000805575</v>
      </c>
      <c r="D5205" t="str">
        <f t="shared" si="2128"/>
        <v>73185</v>
      </c>
      <c r="E5205" t="str">
        <f t="shared" si="2129"/>
        <v>KFH-OPERATIONS DEPARTMENT</v>
      </c>
      <c r="F5205" t="str">
        <f t="shared" si="2130"/>
        <v>IBG</v>
      </c>
      <c r="G5205" t="str">
        <f t="shared" si="2139"/>
        <v>Refund COSHARE 10</v>
      </c>
      <c r="H5205" s="2">
        <v>569</v>
      </c>
      <c r="I5205" t="str">
        <f>"AHMAD FUAD BIN ABU HASAN"</f>
        <v>AHMAD FUAD BIN ABU HASAN</v>
      </c>
      <c r="J5205" t="str">
        <f t="shared" si="2140"/>
        <v>MAYBANK / MAYBANK ISLAMIC</v>
      </c>
      <c r="K5205" t="str">
        <f>"158042004692"</f>
        <v>158042004692</v>
      </c>
      <c r="L5205" t="str">
        <f t="shared" si="2126"/>
        <v>04-08-2020</v>
      </c>
      <c r="M5205" t="str">
        <f t="shared" si="2126"/>
        <v>04-08-2020</v>
      </c>
      <c r="N5205" t="str">
        <f t="shared" si="2131"/>
        <v>001105018356</v>
      </c>
      <c r="O5205" t="str">
        <f t="shared" si="2132"/>
        <v>MYR</v>
      </c>
      <c r="P5205" t="str">
        <f t="shared" si="2127"/>
        <v>NIL</v>
      </c>
      <c r="Q5205" t="str">
        <f t="shared" si="2127"/>
        <v>NIL</v>
      </c>
      <c r="R5205" t="str">
        <f t="shared" si="2120"/>
        <v>Accepted</v>
      </c>
      <c r="S5205" t="str">
        <f t="shared" si="2133"/>
        <v>Approved</v>
      </c>
      <c r="T5205" t="str">
        <f t="shared" si="2121"/>
        <v>10.20.8.188</v>
      </c>
      <c r="U5205" t="str">
        <f t="shared" si="2134"/>
        <v>AZRAD UMAR BIN SHAARI</v>
      </c>
      <c r="V5205" t="str">
        <f t="shared" si="2135"/>
        <v>FARHANA BINTI MUSTAPA</v>
      </c>
      <c r="W5205" t="str">
        <f t="shared" si="2136"/>
        <v>04-08-2020</v>
      </c>
      <c r="X5205" t="str">
        <f t="shared" si="2137"/>
        <v>RAZIMAH ANSAR AHMAD</v>
      </c>
      <c r="Y5205" t="str">
        <f t="shared" si="2138"/>
        <v>04-08-2020</v>
      </c>
      <c r="Z5205" t="str">
        <f>"COS10200804 3949"</f>
        <v>COS10200804 3949</v>
      </c>
    </row>
    <row r="5206" spans="1:26" x14ac:dyDescent="0.25">
      <c r="A5206" t="str">
        <f t="shared" si="2124"/>
        <v>04-08-2020 12:47:34</v>
      </c>
      <c r="B5206" t="str">
        <f>"0000805723"</f>
        <v>0000805723</v>
      </c>
      <c r="C5206" t="str">
        <f t="shared" si="2125"/>
        <v>0000805575</v>
      </c>
      <c r="D5206" t="str">
        <f t="shared" si="2128"/>
        <v>73185</v>
      </c>
      <c r="E5206" t="str">
        <f t="shared" si="2129"/>
        <v>KFH-OPERATIONS DEPARTMENT</v>
      </c>
      <c r="F5206" t="str">
        <f t="shared" si="2130"/>
        <v>IBG</v>
      </c>
      <c r="G5206" t="str">
        <f t="shared" si="2139"/>
        <v>Refund COSHARE 10</v>
      </c>
      <c r="H5206" s="2">
        <v>84</v>
      </c>
      <c r="I5206" t="str">
        <f>"AHMAD FUAAD BIN SALLEH  IDRIS"</f>
        <v>AHMAD FUAAD BIN SALLEH  IDRIS</v>
      </c>
      <c r="J5206" t="str">
        <f t="shared" si="2140"/>
        <v>MAYBANK / MAYBANK ISLAMIC</v>
      </c>
      <c r="K5206" t="str">
        <f>"151418053419"</f>
        <v>151418053419</v>
      </c>
      <c r="L5206" t="str">
        <f t="shared" si="2126"/>
        <v>04-08-2020</v>
      </c>
      <c r="M5206" t="str">
        <f t="shared" si="2126"/>
        <v>04-08-2020</v>
      </c>
      <c r="N5206" t="str">
        <f t="shared" si="2131"/>
        <v>001105018356</v>
      </c>
      <c r="O5206" t="str">
        <f t="shared" si="2132"/>
        <v>MYR</v>
      </c>
      <c r="P5206" t="str">
        <f t="shared" si="2127"/>
        <v>NIL</v>
      </c>
      <c r="Q5206" t="str">
        <f t="shared" si="2127"/>
        <v>NIL</v>
      </c>
      <c r="R5206" t="str">
        <f t="shared" si="2120"/>
        <v>Accepted</v>
      </c>
      <c r="S5206" t="str">
        <f t="shared" si="2133"/>
        <v>Approved</v>
      </c>
      <c r="T5206" t="str">
        <f t="shared" si="2121"/>
        <v>10.20.8.188</v>
      </c>
      <c r="U5206" t="str">
        <f t="shared" si="2134"/>
        <v>AZRAD UMAR BIN SHAARI</v>
      </c>
      <c r="V5206" t="str">
        <f t="shared" si="2135"/>
        <v>FARHANA BINTI MUSTAPA</v>
      </c>
      <c r="W5206" t="str">
        <f t="shared" si="2136"/>
        <v>04-08-2020</v>
      </c>
      <c r="X5206" t="str">
        <f t="shared" si="2137"/>
        <v>RAZIMAH ANSAR AHMAD</v>
      </c>
      <c r="Y5206" t="str">
        <f t="shared" si="2138"/>
        <v>04-08-2020</v>
      </c>
      <c r="Z5206" t="str">
        <f>"COS10200804 3948"</f>
        <v>COS10200804 3948</v>
      </c>
    </row>
    <row r="5207" spans="1:26" x14ac:dyDescent="0.25">
      <c r="A5207" t="str">
        <f t="shared" si="2124"/>
        <v>04-08-2020 12:47:34</v>
      </c>
      <c r="B5207" t="str">
        <f>"0000805722"</f>
        <v>0000805722</v>
      </c>
      <c r="C5207" t="str">
        <f t="shared" si="2125"/>
        <v>0000805575</v>
      </c>
      <c r="D5207" t="str">
        <f t="shared" si="2128"/>
        <v>73185</v>
      </c>
      <c r="E5207" t="str">
        <f t="shared" si="2129"/>
        <v>KFH-OPERATIONS DEPARTMENT</v>
      </c>
      <c r="F5207" t="str">
        <f t="shared" si="2130"/>
        <v>IBG</v>
      </c>
      <c r="G5207" t="str">
        <f t="shared" si="2139"/>
        <v>Refund COSHARE 10</v>
      </c>
      <c r="H5207" s="2">
        <v>1477.55</v>
      </c>
      <c r="I5207" t="str">
        <f>"AHMAD FITHI BIN ABU BAKAR"</f>
        <v>AHMAD FITHI BIN ABU BAKAR</v>
      </c>
      <c r="J5207" t="str">
        <f t="shared" si="2140"/>
        <v>MAYBANK / MAYBANK ISLAMIC</v>
      </c>
      <c r="K5207" t="str">
        <f>"151043081670"</f>
        <v>151043081670</v>
      </c>
      <c r="L5207" t="str">
        <f t="shared" ref="L5207:M5226" si="2141">"04-08-2020"</f>
        <v>04-08-2020</v>
      </c>
      <c r="M5207" t="str">
        <f t="shared" si="2141"/>
        <v>04-08-2020</v>
      </c>
      <c r="N5207" t="str">
        <f t="shared" si="2131"/>
        <v>001105018356</v>
      </c>
      <c r="O5207" t="str">
        <f t="shared" si="2132"/>
        <v>MYR</v>
      </c>
      <c r="P5207" t="str">
        <f t="shared" ref="P5207:Q5226" si="2142">"NIL"</f>
        <v>NIL</v>
      </c>
      <c r="Q5207" t="str">
        <f t="shared" si="2142"/>
        <v>NIL</v>
      </c>
      <c r="R5207" t="str">
        <f t="shared" si="2120"/>
        <v>Accepted</v>
      </c>
      <c r="S5207" t="str">
        <f t="shared" si="2133"/>
        <v>Approved</v>
      </c>
      <c r="T5207" t="str">
        <f t="shared" si="2121"/>
        <v>10.20.8.188</v>
      </c>
      <c r="U5207" t="str">
        <f t="shared" si="2134"/>
        <v>AZRAD UMAR BIN SHAARI</v>
      </c>
      <c r="V5207" t="str">
        <f t="shared" si="2135"/>
        <v>FARHANA BINTI MUSTAPA</v>
      </c>
      <c r="W5207" t="str">
        <f t="shared" si="2136"/>
        <v>04-08-2020</v>
      </c>
      <c r="X5207" t="str">
        <f t="shared" si="2137"/>
        <v>RAZIMAH ANSAR AHMAD</v>
      </c>
      <c r="Y5207" t="str">
        <f t="shared" si="2138"/>
        <v>04-08-2020</v>
      </c>
      <c r="Z5207" t="str">
        <f>"COS10200804 3947"</f>
        <v>COS10200804 3947</v>
      </c>
    </row>
    <row r="5208" spans="1:26" x14ac:dyDescent="0.25">
      <c r="A5208" t="str">
        <f t="shared" si="2124"/>
        <v>04-08-2020 12:47:34</v>
      </c>
      <c r="B5208" t="str">
        <f>"0000805721"</f>
        <v>0000805721</v>
      </c>
      <c r="C5208" t="str">
        <f t="shared" si="2125"/>
        <v>0000805575</v>
      </c>
      <c r="D5208" t="str">
        <f t="shared" si="2128"/>
        <v>73185</v>
      </c>
      <c r="E5208" t="str">
        <f t="shared" si="2129"/>
        <v>KFH-OPERATIONS DEPARTMENT</v>
      </c>
      <c r="F5208" t="str">
        <f t="shared" si="2130"/>
        <v>IBG</v>
      </c>
      <c r="G5208" t="str">
        <f t="shared" si="2139"/>
        <v>Refund COSHARE 10</v>
      </c>
      <c r="H5208" s="2">
        <v>162</v>
      </c>
      <c r="I5208" t="str">
        <f>"AHMAD FIRDAUS BIN DIN"</f>
        <v>AHMAD FIRDAUS BIN DIN</v>
      </c>
      <c r="J5208" t="str">
        <f t="shared" si="2140"/>
        <v>MAYBANK / MAYBANK ISLAMIC</v>
      </c>
      <c r="K5208" t="str">
        <f>"157410023794"</f>
        <v>157410023794</v>
      </c>
      <c r="L5208" t="str">
        <f t="shared" si="2141"/>
        <v>04-08-2020</v>
      </c>
      <c r="M5208" t="str">
        <f t="shared" si="2141"/>
        <v>04-08-2020</v>
      </c>
      <c r="N5208" t="str">
        <f t="shared" si="2131"/>
        <v>001105018356</v>
      </c>
      <c r="O5208" t="str">
        <f t="shared" si="2132"/>
        <v>MYR</v>
      </c>
      <c r="P5208" t="str">
        <f t="shared" si="2142"/>
        <v>NIL</v>
      </c>
      <c r="Q5208" t="str">
        <f t="shared" si="2142"/>
        <v>NIL</v>
      </c>
      <c r="R5208" t="str">
        <f t="shared" si="2120"/>
        <v>Accepted</v>
      </c>
      <c r="S5208" t="str">
        <f t="shared" si="2133"/>
        <v>Approved</v>
      </c>
      <c r="T5208" t="str">
        <f t="shared" si="2121"/>
        <v>10.20.8.188</v>
      </c>
      <c r="U5208" t="str">
        <f t="shared" si="2134"/>
        <v>AZRAD UMAR BIN SHAARI</v>
      </c>
      <c r="V5208" t="str">
        <f t="shared" si="2135"/>
        <v>FARHANA BINTI MUSTAPA</v>
      </c>
      <c r="W5208" t="str">
        <f t="shared" si="2136"/>
        <v>04-08-2020</v>
      </c>
      <c r="X5208" t="str">
        <f t="shared" si="2137"/>
        <v>RAZIMAH ANSAR AHMAD</v>
      </c>
      <c r="Y5208" t="str">
        <f t="shared" si="2138"/>
        <v>04-08-2020</v>
      </c>
      <c r="Z5208" t="str">
        <f>"COS10200804 3946"</f>
        <v>COS10200804 3946</v>
      </c>
    </row>
    <row r="5209" spans="1:26" x14ac:dyDescent="0.25">
      <c r="A5209" t="str">
        <f t="shared" si="2124"/>
        <v>04-08-2020 12:47:34</v>
      </c>
      <c r="B5209" t="str">
        <f>"0000805720"</f>
        <v>0000805720</v>
      </c>
      <c r="C5209" t="str">
        <f t="shared" si="2125"/>
        <v>0000805575</v>
      </c>
      <c r="D5209" t="str">
        <f t="shared" si="2128"/>
        <v>73185</v>
      </c>
      <c r="E5209" t="str">
        <f t="shared" si="2129"/>
        <v>KFH-OPERATIONS DEPARTMENT</v>
      </c>
      <c r="F5209" t="str">
        <f t="shared" si="2130"/>
        <v>IBG</v>
      </c>
      <c r="G5209" t="str">
        <f t="shared" si="2139"/>
        <v>Refund COSHARE 10</v>
      </c>
      <c r="H5209" s="2">
        <v>680</v>
      </c>
      <c r="I5209" t="str">
        <f>"AHMAD FIKRI BIN MOHSIN"</f>
        <v>AHMAD FIKRI BIN MOHSIN</v>
      </c>
      <c r="J5209" t="str">
        <f t="shared" si="2140"/>
        <v>MAYBANK / MAYBANK ISLAMIC</v>
      </c>
      <c r="K5209" t="str">
        <f>"155015102495"</f>
        <v>155015102495</v>
      </c>
      <c r="L5209" t="str">
        <f t="shared" si="2141"/>
        <v>04-08-2020</v>
      </c>
      <c r="M5209" t="str">
        <f t="shared" si="2141"/>
        <v>04-08-2020</v>
      </c>
      <c r="N5209" t="str">
        <f t="shared" si="2131"/>
        <v>001105018356</v>
      </c>
      <c r="O5209" t="str">
        <f t="shared" si="2132"/>
        <v>MYR</v>
      </c>
      <c r="P5209" t="str">
        <f t="shared" si="2142"/>
        <v>NIL</v>
      </c>
      <c r="Q5209" t="str">
        <f t="shared" si="2142"/>
        <v>NIL</v>
      </c>
      <c r="R5209" t="str">
        <f t="shared" si="2120"/>
        <v>Accepted</v>
      </c>
      <c r="S5209" t="str">
        <f t="shared" si="2133"/>
        <v>Approved</v>
      </c>
      <c r="T5209" t="str">
        <f t="shared" si="2121"/>
        <v>10.20.8.188</v>
      </c>
      <c r="U5209" t="str">
        <f t="shared" si="2134"/>
        <v>AZRAD UMAR BIN SHAARI</v>
      </c>
      <c r="V5209" t="str">
        <f t="shared" si="2135"/>
        <v>FARHANA BINTI MUSTAPA</v>
      </c>
      <c r="W5209" t="str">
        <f t="shared" si="2136"/>
        <v>04-08-2020</v>
      </c>
      <c r="X5209" t="str">
        <f t="shared" si="2137"/>
        <v>RAZIMAH ANSAR AHMAD</v>
      </c>
      <c r="Y5209" t="str">
        <f t="shared" si="2138"/>
        <v>04-08-2020</v>
      </c>
      <c r="Z5209" t="str">
        <f>"COS10200804 3945"</f>
        <v>COS10200804 3945</v>
      </c>
    </row>
    <row r="5210" spans="1:26" x14ac:dyDescent="0.25">
      <c r="A5210" t="str">
        <f t="shared" si="2124"/>
        <v>04-08-2020 12:47:34</v>
      </c>
      <c r="B5210" t="str">
        <f>"0000805719"</f>
        <v>0000805719</v>
      </c>
      <c r="C5210" t="str">
        <f t="shared" si="2125"/>
        <v>0000805575</v>
      </c>
      <c r="D5210" t="str">
        <f t="shared" si="2128"/>
        <v>73185</v>
      </c>
      <c r="E5210" t="str">
        <f t="shared" si="2129"/>
        <v>KFH-OPERATIONS DEPARTMENT</v>
      </c>
      <c r="F5210" t="str">
        <f t="shared" si="2130"/>
        <v>IBG</v>
      </c>
      <c r="G5210" t="str">
        <f t="shared" si="2139"/>
        <v>Refund COSHARE 10</v>
      </c>
      <c r="H5210" s="2">
        <v>671.6</v>
      </c>
      <c r="I5210" t="str">
        <f>"AHMAD FIKRI BIN DARUS"</f>
        <v>AHMAD FIKRI BIN DARUS</v>
      </c>
      <c r="J5210" t="str">
        <f t="shared" si="2140"/>
        <v>MAYBANK / MAYBANK ISLAMIC</v>
      </c>
      <c r="K5210" t="str">
        <f>"107059602638"</f>
        <v>107059602638</v>
      </c>
      <c r="L5210" t="str">
        <f t="shared" si="2141"/>
        <v>04-08-2020</v>
      </c>
      <c r="M5210" t="str">
        <f t="shared" si="2141"/>
        <v>04-08-2020</v>
      </c>
      <c r="N5210" t="str">
        <f t="shared" si="2131"/>
        <v>001105018356</v>
      </c>
      <c r="O5210" t="str">
        <f t="shared" si="2132"/>
        <v>MYR</v>
      </c>
      <c r="P5210" t="str">
        <f t="shared" si="2142"/>
        <v>NIL</v>
      </c>
      <c r="Q5210" t="str">
        <f t="shared" si="2142"/>
        <v>NIL</v>
      </c>
      <c r="R5210" t="str">
        <f t="shared" si="2120"/>
        <v>Accepted</v>
      </c>
      <c r="S5210" t="str">
        <f t="shared" si="2133"/>
        <v>Approved</v>
      </c>
      <c r="T5210" t="str">
        <f t="shared" si="2121"/>
        <v>10.20.8.188</v>
      </c>
      <c r="U5210" t="str">
        <f t="shared" si="2134"/>
        <v>AZRAD UMAR BIN SHAARI</v>
      </c>
      <c r="V5210" t="str">
        <f t="shared" si="2135"/>
        <v>FARHANA BINTI MUSTAPA</v>
      </c>
      <c r="W5210" t="str">
        <f t="shared" si="2136"/>
        <v>04-08-2020</v>
      </c>
      <c r="X5210" t="str">
        <f t="shared" si="2137"/>
        <v>RAZIMAH ANSAR AHMAD</v>
      </c>
      <c r="Y5210" t="str">
        <f t="shared" si="2138"/>
        <v>04-08-2020</v>
      </c>
      <c r="Z5210" t="str">
        <f>"COS10200804 3944"</f>
        <v>COS10200804 3944</v>
      </c>
    </row>
    <row r="5211" spans="1:26" x14ac:dyDescent="0.25">
      <c r="A5211" t="str">
        <f t="shared" si="2124"/>
        <v>04-08-2020 12:47:34</v>
      </c>
      <c r="B5211" t="str">
        <f>"0000805718"</f>
        <v>0000805718</v>
      </c>
      <c r="C5211" t="str">
        <f t="shared" si="2125"/>
        <v>0000805575</v>
      </c>
      <c r="D5211" t="str">
        <f t="shared" si="2128"/>
        <v>73185</v>
      </c>
      <c r="E5211" t="str">
        <f t="shared" si="2129"/>
        <v>KFH-OPERATIONS DEPARTMENT</v>
      </c>
      <c r="F5211" t="str">
        <f t="shared" si="2130"/>
        <v>IBG</v>
      </c>
      <c r="G5211" t="str">
        <f t="shared" si="2139"/>
        <v>Refund COSHARE 10</v>
      </c>
      <c r="H5211" s="2">
        <v>1034.4000000000001</v>
      </c>
      <c r="I5211" t="str">
        <f>"AHMAD FAUZI BIN HASHIM"</f>
        <v>AHMAD FAUZI BIN HASHIM</v>
      </c>
      <c r="J5211" t="str">
        <f t="shared" si="2140"/>
        <v>MAYBANK / MAYBANK ISLAMIC</v>
      </c>
      <c r="K5211" t="str">
        <f>"114271174260"</f>
        <v>114271174260</v>
      </c>
      <c r="L5211" t="str">
        <f t="shared" si="2141"/>
        <v>04-08-2020</v>
      </c>
      <c r="M5211" t="str">
        <f t="shared" si="2141"/>
        <v>04-08-2020</v>
      </c>
      <c r="N5211" t="str">
        <f t="shared" si="2131"/>
        <v>001105018356</v>
      </c>
      <c r="O5211" t="str">
        <f t="shared" si="2132"/>
        <v>MYR</v>
      </c>
      <c r="P5211" t="str">
        <f t="shared" si="2142"/>
        <v>NIL</v>
      </c>
      <c r="Q5211" t="str">
        <f t="shared" si="2142"/>
        <v>NIL</v>
      </c>
      <c r="R5211" t="str">
        <f t="shared" si="2120"/>
        <v>Accepted</v>
      </c>
      <c r="S5211" t="str">
        <f t="shared" si="2133"/>
        <v>Approved</v>
      </c>
      <c r="T5211" t="str">
        <f t="shared" si="2121"/>
        <v>10.20.8.188</v>
      </c>
      <c r="U5211" t="str">
        <f t="shared" si="2134"/>
        <v>AZRAD UMAR BIN SHAARI</v>
      </c>
      <c r="V5211" t="str">
        <f t="shared" si="2135"/>
        <v>FARHANA BINTI MUSTAPA</v>
      </c>
      <c r="W5211" t="str">
        <f t="shared" si="2136"/>
        <v>04-08-2020</v>
      </c>
      <c r="X5211" t="str">
        <f t="shared" si="2137"/>
        <v>RAZIMAH ANSAR AHMAD</v>
      </c>
      <c r="Y5211" t="str">
        <f t="shared" si="2138"/>
        <v>04-08-2020</v>
      </c>
      <c r="Z5211" t="str">
        <f>"COS10200804 3943"</f>
        <v>COS10200804 3943</v>
      </c>
    </row>
    <row r="5212" spans="1:26" x14ac:dyDescent="0.25">
      <c r="A5212" t="str">
        <f t="shared" si="2124"/>
        <v>04-08-2020 12:47:34</v>
      </c>
      <c r="B5212" t="str">
        <f>"0000805717"</f>
        <v>0000805717</v>
      </c>
      <c r="C5212" t="str">
        <f t="shared" si="2125"/>
        <v>0000805575</v>
      </c>
      <c r="D5212" t="str">
        <f t="shared" si="2128"/>
        <v>73185</v>
      </c>
      <c r="E5212" t="str">
        <f t="shared" si="2129"/>
        <v>KFH-OPERATIONS DEPARTMENT</v>
      </c>
      <c r="F5212" t="str">
        <f t="shared" si="2130"/>
        <v>IBG</v>
      </c>
      <c r="G5212" t="str">
        <f t="shared" si="2139"/>
        <v>Refund COSHARE 10</v>
      </c>
      <c r="H5212" s="2">
        <v>1259.25</v>
      </c>
      <c r="I5212" t="str">
        <f>"AHMAD FARIS BIN MOHD GHAZALI"</f>
        <v>AHMAD FARIS BIN MOHD GHAZALI</v>
      </c>
      <c r="J5212" t="str">
        <f t="shared" si="2140"/>
        <v>MAYBANK / MAYBANK ISLAMIC</v>
      </c>
      <c r="K5212" t="str">
        <f>"153010277910"</f>
        <v>153010277910</v>
      </c>
      <c r="L5212" t="str">
        <f t="shared" si="2141"/>
        <v>04-08-2020</v>
      </c>
      <c r="M5212" t="str">
        <f t="shared" si="2141"/>
        <v>04-08-2020</v>
      </c>
      <c r="N5212" t="str">
        <f t="shared" si="2131"/>
        <v>001105018356</v>
      </c>
      <c r="O5212" t="str">
        <f t="shared" si="2132"/>
        <v>MYR</v>
      </c>
      <c r="P5212" t="str">
        <f t="shared" si="2142"/>
        <v>NIL</v>
      </c>
      <c r="Q5212" t="str">
        <f t="shared" si="2142"/>
        <v>NIL</v>
      </c>
      <c r="R5212" t="str">
        <f t="shared" si="2120"/>
        <v>Accepted</v>
      </c>
      <c r="S5212" t="str">
        <f t="shared" si="2133"/>
        <v>Approved</v>
      </c>
      <c r="T5212" t="str">
        <f t="shared" si="2121"/>
        <v>10.20.8.188</v>
      </c>
      <c r="U5212" t="str">
        <f t="shared" si="2134"/>
        <v>AZRAD UMAR BIN SHAARI</v>
      </c>
      <c r="V5212" t="str">
        <f t="shared" si="2135"/>
        <v>FARHANA BINTI MUSTAPA</v>
      </c>
      <c r="W5212" t="str">
        <f t="shared" si="2136"/>
        <v>04-08-2020</v>
      </c>
      <c r="X5212" t="str">
        <f t="shared" si="2137"/>
        <v>RAZIMAH ANSAR AHMAD</v>
      </c>
      <c r="Y5212" t="str">
        <f t="shared" si="2138"/>
        <v>04-08-2020</v>
      </c>
      <c r="Z5212" t="str">
        <f>"COS10200804 3942"</f>
        <v>COS10200804 3942</v>
      </c>
    </row>
    <row r="5213" spans="1:26" x14ac:dyDescent="0.25">
      <c r="A5213" t="str">
        <f t="shared" si="2124"/>
        <v>04-08-2020 12:47:34</v>
      </c>
      <c r="B5213" t="str">
        <f>"0000805716"</f>
        <v>0000805716</v>
      </c>
      <c r="C5213" t="str">
        <f t="shared" si="2125"/>
        <v>0000805575</v>
      </c>
      <c r="D5213" t="str">
        <f t="shared" si="2128"/>
        <v>73185</v>
      </c>
      <c r="E5213" t="str">
        <f t="shared" si="2129"/>
        <v>KFH-OPERATIONS DEPARTMENT</v>
      </c>
      <c r="F5213" t="str">
        <f t="shared" si="2130"/>
        <v>IBG</v>
      </c>
      <c r="G5213" t="str">
        <f t="shared" si="2139"/>
        <v>Refund COSHARE 10</v>
      </c>
      <c r="H5213" s="2">
        <v>152</v>
      </c>
      <c r="I5213" t="str">
        <f>"AHMAD FARHAN BIN AZMI"</f>
        <v>AHMAD FARHAN BIN AZMI</v>
      </c>
      <c r="J5213" t="str">
        <f t="shared" si="2140"/>
        <v>MAYBANK / MAYBANK ISLAMIC</v>
      </c>
      <c r="K5213" t="str">
        <f>"159012793801"</f>
        <v>159012793801</v>
      </c>
      <c r="L5213" t="str">
        <f t="shared" si="2141"/>
        <v>04-08-2020</v>
      </c>
      <c r="M5213" t="str">
        <f t="shared" si="2141"/>
        <v>04-08-2020</v>
      </c>
      <c r="N5213" t="str">
        <f t="shared" si="2131"/>
        <v>001105018356</v>
      </c>
      <c r="O5213" t="str">
        <f t="shared" si="2132"/>
        <v>MYR</v>
      </c>
      <c r="P5213" t="str">
        <f t="shared" si="2142"/>
        <v>NIL</v>
      </c>
      <c r="Q5213" t="str">
        <f t="shared" si="2142"/>
        <v>NIL</v>
      </c>
      <c r="R5213" t="str">
        <f t="shared" si="2120"/>
        <v>Accepted</v>
      </c>
      <c r="S5213" t="str">
        <f t="shared" si="2133"/>
        <v>Approved</v>
      </c>
      <c r="T5213" t="str">
        <f t="shared" si="2121"/>
        <v>10.20.8.188</v>
      </c>
      <c r="U5213" t="str">
        <f t="shared" si="2134"/>
        <v>AZRAD UMAR BIN SHAARI</v>
      </c>
      <c r="V5213" t="str">
        <f t="shared" si="2135"/>
        <v>FARHANA BINTI MUSTAPA</v>
      </c>
      <c r="W5213" t="str">
        <f t="shared" si="2136"/>
        <v>04-08-2020</v>
      </c>
      <c r="X5213" t="str">
        <f t="shared" si="2137"/>
        <v>RAZIMAH ANSAR AHMAD</v>
      </c>
      <c r="Y5213" t="str">
        <f t="shared" si="2138"/>
        <v>04-08-2020</v>
      </c>
      <c r="Z5213" t="str">
        <f>"COS10200804 3941"</f>
        <v>COS10200804 3941</v>
      </c>
    </row>
    <row r="5214" spans="1:26" x14ac:dyDescent="0.25">
      <c r="A5214" t="str">
        <f t="shared" si="2124"/>
        <v>04-08-2020 12:47:34</v>
      </c>
      <c r="B5214" t="str">
        <f>"0000805715"</f>
        <v>0000805715</v>
      </c>
      <c r="C5214" t="str">
        <f t="shared" si="2125"/>
        <v>0000805575</v>
      </c>
      <c r="D5214" t="str">
        <f t="shared" si="2128"/>
        <v>73185</v>
      </c>
      <c r="E5214" t="str">
        <f t="shared" si="2129"/>
        <v>KFH-OPERATIONS DEPARTMENT</v>
      </c>
      <c r="F5214" t="str">
        <f t="shared" si="2130"/>
        <v>IBG</v>
      </c>
      <c r="G5214" t="str">
        <f t="shared" si="2139"/>
        <v>Refund COSHARE 10</v>
      </c>
      <c r="H5214" s="2">
        <v>1091.3499999999999</v>
      </c>
      <c r="I5214" t="str">
        <f>"AHMAD FAIZUN BIN ZABIDI"</f>
        <v>AHMAD FAIZUN BIN ZABIDI</v>
      </c>
      <c r="J5214" t="str">
        <f t="shared" si="2140"/>
        <v>MAYBANK / MAYBANK ISLAMIC</v>
      </c>
      <c r="K5214" t="str">
        <f>"164025915420"</f>
        <v>164025915420</v>
      </c>
      <c r="L5214" t="str">
        <f t="shared" si="2141"/>
        <v>04-08-2020</v>
      </c>
      <c r="M5214" t="str">
        <f t="shared" si="2141"/>
        <v>04-08-2020</v>
      </c>
      <c r="N5214" t="str">
        <f t="shared" si="2131"/>
        <v>001105018356</v>
      </c>
      <c r="O5214" t="str">
        <f t="shared" si="2132"/>
        <v>MYR</v>
      </c>
      <c r="P5214" t="str">
        <f t="shared" si="2142"/>
        <v>NIL</v>
      </c>
      <c r="Q5214" t="str">
        <f t="shared" si="2142"/>
        <v>NIL</v>
      </c>
      <c r="R5214" t="str">
        <f t="shared" si="2120"/>
        <v>Accepted</v>
      </c>
      <c r="S5214" t="str">
        <f t="shared" si="2133"/>
        <v>Approved</v>
      </c>
      <c r="T5214" t="str">
        <f t="shared" si="2121"/>
        <v>10.20.8.188</v>
      </c>
      <c r="U5214" t="str">
        <f t="shared" si="2134"/>
        <v>AZRAD UMAR BIN SHAARI</v>
      </c>
      <c r="V5214" t="str">
        <f t="shared" si="2135"/>
        <v>FARHANA BINTI MUSTAPA</v>
      </c>
      <c r="W5214" t="str">
        <f t="shared" si="2136"/>
        <v>04-08-2020</v>
      </c>
      <c r="X5214" t="str">
        <f t="shared" si="2137"/>
        <v>RAZIMAH ANSAR AHMAD</v>
      </c>
      <c r="Y5214" t="str">
        <f t="shared" si="2138"/>
        <v>04-08-2020</v>
      </c>
      <c r="Z5214" t="str">
        <f>"COS10200804 3940"</f>
        <v>COS10200804 3940</v>
      </c>
    </row>
    <row r="5215" spans="1:26" x14ac:dyDescent="0.25">
      <c r="A5215" t="str">
        <f t="shared" si="2124"/>
        <v>04-08-2020 12:47:34</v>
      </c>
      <c r="B5215" t="str">
        <f>"0000805714"</f>
        <v>0000805714</v>
      </c>
      <c r="C5215" t="str">
        <f t="shared" si="2125"/>
        <v>0000805575</v>
      </c>
      <c r="D5215" t="str">
        <f t="shared" si="2128"/>
        <v>73185</v>
      </c>
      <c r="E5215" t="str">
        <f t="shared" si="2129"/>
        <v>KFH-OPERATIONS DEPARTMENT</v>
      </c>
      <c r="F5215" t="str">
        <f t="shared" si="2130"/>
        <v>IBG</v>
      </c>
      <c r="G5215" t="str">
        <f t="shared" si="2139"/>
        <v>Refund COSHARE 10</v>
      </c>
      <c r="H5215" s="2">
        <v>294.7</v>
      </c>
      <c r="I5215" t="str">
        <f>"AHMAD FAIZAL BIN SHAMSUDIN"</f>
        <v>AHMAD FAIZAL BIN SHAMSUDIN</v>
      </c>
      <c r="J5215" t="str">
        <f t="shared" si="2140"/>
        <v>MAYBANK / MAYBANK ISLAMIC</v>
      </c>
      <c r="K5215" t="str">
        <f>"101253084250"</f>
        <v>101253084250</v>
      </c>
      <c r="L5215" t="str">
        <f t="shared" si="2141"/>
        <v>04-08-2020</v>
      </c>
      <c r="M5215" t="str">
        <f t="shared" si="2141"/>
        <v>04-08-2020</v>
      </c>
      <c r="N5215" t="str">
        <f t="shared" si="2131"/>
        <v>001105018356</v>
      </c>
      <c r="O5215" t="str">
        <f t="shared" si="2132"/>
        <v>MYR</v>
      </c>
      <c r="P5215" t="str">
        <f t="shared" si="2142"/>
        <v>NIL</v>
      </c>
      <c r="Q5215" t="str">
        <f t="shared" si="2142"/>
        <v>NIL</v>
      </c>
      <c r="R5215" t="str">
        <f t="shared" si="2120"/>
        <v>Accepted</v>
      </c>
      <c r="S5215" t="str">
        <f t="shared" si="2133"/>
        <v>Approved</v>
      </c>
      <c r="T5215" t="str">
        <f t="shared" si="2121"/>
        <v>10.20.8.188</v>
      </c>
      <c r="U5215" t="str">
        <f t="shared" si="2134"/>
        <v>AZRAD UMAR BIN SHAARI</v>
      </c>
      <c r="V5215" t="str">
        <f t="shared" si="2135"/>
        <v>FARHANA BINTI MUSTAPA</v>
      </c>
      <c r="W5215" t="str">
        <f t="shared" si="2136"/>
        <v>04-08-2020</v>
      </c>
      <c r="X5215" t="str">
        <f t="shared" si="2137"/>
        <v>RAZIMAH ANSAR AHMAD</v>
      </c>
      <c r="Y5215" t="str">
        <f t="shared" si="2138"/>
        <v>04-08-2020</v>
      </c>
      <c r="Z5215" t="str">
        <f>"COS10200804 3939"</f>
        <v>COS10200804 3939</v>
      </c>
    </row>
    <row r="5216" spans="1:26" x14ac:dyDescent="0.25">
      <c r="A5216" t="str">
        <f t="shared" si="2124"/>
        <v>04-08-2020 12:47:34</v>
      </c>
      <c r="B5216" t="str">
        <f>"0000805713"</f>
        <v>0000805713</v>
      </c>
      <c r="C5216" t="str">
        <f t="shared" si="2125"/>
        <v>0000805575</v>
      </c>
      <c r="D5216" t="str">
        <f t="shared" si="2128"/>
        <v>73185</v>
      </c>
      <c r="E5216" t="str">
        <f t="shared" si="2129"/>
        <v>KFH-OPERATIONS DEPARTMENT</v>
      </c>
      <c r="F5216" t="str">
        <f t="shared" si="2130"/>
        <v>IBG</v>
      </c>
      <c r="G5216" t="str">
        <f t="shared" si="2139"/>
        <v>Refund COSHARE 10</v>
      </c>
      <c r="H5216" s="2">
        <v>225</v>
      </c>
      <c r="I5216" t="str">
        <f>"AHMAD FAIZAL BIN MUHAMAD ZABARI"</f>
        <v>AHMAD FAIZAL BIN MUHAMAD ZABARI</v>
      </c>
      <c r="J5216" t="str">
        <f t="shared" si="2140"/>
        <v>MAYBANK / MAYBANK ISLAMIC</v>
      </c>
      <c r="K5216" t="str">
        <f>"157091030412"</f>
        <v>157091030412</v>
      </c>
      <c r="L5216" t="str">
        <f t="shared" si="2141"/>
        <v>04-08-2020</v>
      </c>
      <c r="M5216" t="str">
        <f t="shared" si="2141"/>
        <v>04-08-2020</v>
      </c>
      <c r="N5216" t="str">
        <f t="shared" si="2131"/>
        <v>001105018356</v>
      </c>
      <c r="O5216" t="str">
        <f t="shared" si="2132"/>
        <v>MYR</v>
      </c>
      <c r="P5216" t="str">
        <f t="shared" si="2142"/>
        <v>NIL</v>
      </c>
      <c r="Q5216" t="str">
        <f t="shared" si="2142"/>
        <v>NIL</v>
      </c>
      <c r="R5216" t="str">
        <f t="shared" si="2120"/>
        <v>Accepted</v>
      </c>
      <c r="S5216" t="str">
        <f t="shared" si="2133"/>
        <v>Approved</v>
      </c>
      <c r="T5216" t="str">
        <f t="shared" si="2121"/>
        <v>10.20.8.188</v>
      </c>
      <c r="U5216" t="str">
        <f t="shared" si="2134"/>
        <v>AZRAD UMAR BIN SHAARI</v>
      </c>
      <c r="V5216" t="str">
        <f t="shared" si="2135"/>
        <v>FARHANA BINTI MUSTAPA</v>
      </c>
      <c r="W5216" t="str">
        <f t="shared" si="2136"/>
        <v>04-08-2020</v>
      </c>
      <c r="X5216" t="str">
        <f t="shared" si="2137"/>
        <v>RAZIMAH ANSAR AHMAD</v>
      </c>
      <c r="Y5216" t="str">
        <f t="shared" si="2138"/>
        <v>04-08-2020</v>
      </c>
      <c r="Z5216" t="str">
        <f>"COS10200804 3938"</f>
        <v>COS10200804 3938</v>
      </c>
    </row>
    <row r="5217" spans="1:26" x14ac:dyDescent="0.25">
      <c r="A5217" t="str">
        <f t="shared" si="2124"/>
        <v>04-08-2020 12:47:34</v>
      </c>
      <c r="B5217" t="str">
        <f>"0000805712"</f>
        <v>0000805712</v>
      </c>
      <c r="C5217" t="str">
        <f t="shared" si="2125"/>
        <v>0000805575</v>
      </c>
      <c r="D5217" t="str">
        <f t="shared" si="2128"/>
        <v>73185</v>
      </c>
      <c r="E5217" t="str">
        <f t="shared" si="2129"/>
        <v>KFH-OPERATIONS DEPARTMENT</v>
      </c>
      <c r="F5217" t="str">
        <f t="shared" si="2130"/>
        <v>IBG</v>
      </c>
      <c r="G5217" t="str">
        <f t="shared" si="2139"/>
        <v>Refund COSHARE 10</v>
      </c>
      <c r="H5217" s="2">
        <v>293.85000000000002</v>
      </c>
      <c r="I5217" t="str">
        <f>"AHMAD FAIZAL BIN MUHAMAD ZABARI"</f>
        <v>AHMAD FAIZAL BIN MUHAMAD ZABARI</v>
      </c>
      <c r="J5217" t="str">
        <f t="shared" si="2140"/>
        <v>MAYBANK / MAYBANK ISLAMIC</v>
      </c>
      <c r="K5217" t="str">
        <f>"157091030412"</f>
        <v>157091030412</v>
      </c>
      <c r="L5217" t="str">
        <f t="shared" si="2141"/>
        <v>04-08-2020</v>
      </c>
      <c r="M5217" t="str">
        <f t="shared" si="2141"/>
        <v>04-08-2020</v>
      </c>
      <c r="N5217" t="str">
        <f t="shared" si="2131"/>
        <v>001105018356</v>
      </c>
      <c r="O5217" t="str">
        <f t="shared" si="2132"/>
        <v>MYR</v>
      </c>
      <c r="P5217" t="str">
        <f t="shared" si="2142"/>
        <v>NIL</v>
      </c>
      <c r="Q5217" t="str">
        <f t="shared" si="2142"/>
        <v>NIL</v>
      </c>
      <c r="R5217" t="str">
        <f t="shared" si="2120"/>
        <v>Accepted</v>
      </c>
      <c r="S5217" t="str">
        <f t="shared" si="2133"/>
        <v>Approved</v>
      </c>
      <c r="T5217" t="str">
        <f t="shared" si="2121"/>
        <v>10.20.8.188</v>
      </c>
      <c r="U5217" t="str">
        <f t="shared" si="2134"/>
        <v>AZRAD UMAR BIN SHAARI</v>
      </c>
      <c r="V5217" t="str">
        <f t="shared" si="2135"/>
        <v>FARHANA BINTI MUSTAPA</v>
      </c>
      <c r="W5217" t="str">
        <f t="shared" si="2136"/>
        <v>04-08-2020</v>
      </c>
      <c r="X5217" t="str">
        <f t="shared" si="2137"/>
        <v>RAZIMAH ANSAR AHMAD</v>
      </c>
      <c r="Y5217" t="str">
        <f t="shared" si="2138"/>
        <v>04-08-2020</v>
      </c>
      <c r="Z5217" t="str">
        <f>"COS10200804 3937"</f>
        <v>COS10200804 3937</v>
      </c>
    </row>
    <row r="5218" spans="1:26" x14ac:dyDescent="0.25">
      <c r="A5218" t="str">
        <f t="shared" ref="A5218:A5249" si="2143">"04-08-2020 12:47:34"</f>
        <v>04-08-2020 12:47:34</v>
      </c>
      <c r="B5218" t="str">
        <f>"0000805711"</f>
        <v>0000805711</v>
      </c>
      <c r="C5218" t="str">
        <f t="shared" ref="C5218:C5249" si="2144">"0000805575"</f>
        <v>0000805575</v>
      </c>
      <c r="D5218" t="str">
        <f t="shared" si="2128"/>
        <v>73185</v>
      </c>
      <c r="E5218" t="str">
        <f t="shared" si="2129"/>
        <v>KFH-OPERATIONS DEPARTMENT</v>
      </c>
      <c r="F5218" t="str">
        <f t="shared" si="2130"/>
        <v>IBG</v>
      </c>
      <c r="G5218" t="str">
        <f t="shared" si="2139"/>
        <v>Refund COSHARE 10</v>
      </c>
      <c r="H5218" s="2">
        <v>335.8</v>
      </c>
      <c r="I5218" t="str">
        <f>"AHMAD FAISAL BIN LATIF"</f>
        <v>AHMAD FAISAL BIN LATIF</v>
      </c>
      <c r="J5218" t="str">
        <f t="shared" si="2140"/>
        <v>MAYBANK / MAYBANK ISLAMIC</v>
      </c>
      <c r="K5218" t="str">
        <f>"151418070442"</f>
        <v>151418070442</v>
      </c>
      <c r="L5218" t="str">
        <f t="shared" si="2141"/>
        <v>04-08-2020</v>
      </c>
      <c r="M5218" t="str">
        <f t="shared" si="2141"/>
        <v>04-08-2020</v>
      </c>
      <c r="N5218" t="str">
        <f t="shared" si="2131"/>
        <v>001105018356</v>
      </c>
      <c r="O5218" t="str">
        <f t="shared" si="2132"/>
        <v>MYR</v>
      </c>
      <c r="P5218" t="str">
        <f t="shared" si="2142"/>
        <v>NIL</v>
      </c>
      <c r="Q5218" t="str">
        <f t="shared" si="2142"/>
        <v>NIL</v>
      </c>
      <c r="R5218" t="str">
        <f t="shared" ref="R5218:R5281" si="2145">"Accepted"</f>
        <v>Accepted</v>
      </c>
      <c r="S5218" t="str">
        <f t="shared" si="2133"/>
        <v>Approved</v>
      </c>
      <c r="T5218" t="str">
        <f t="shared" ref="T5218:T5281" si="2146">"10.20.8.188"</f>
        <v>10.20.8.188</v>
      </c>
      <c r="U5218" t="str">
        <f t="shared" si="2134"/>
        <v>AZRAD UMAR BIN SHAARI</v>
      </c>
      <c r="V5218" t="str">
        <f t="shared" si="2135"/>
        <v>FARHANA BINTI MUSTAPA</v>
      </c>
      <c r="W5218" t="str">
        <f t="shared" si="2136"/>
        <v>04-08-2020</v>
      </c>
      <c r="X5218" t="str">
        <f t="shared" si="2137"/>
        <v>RAZIMAH ANSAR AHMAD</v>
      </c>
      <c r="Y5218" t="str">
        <f t="shared" si="2138"/>
        <v>04-08-2020</v>
      </c>
      <c r="Z5218" t="str">
        <f>"COS10200804 3936"</f>
        <v>COS10200804 3936</v>
      </c>
    </row>
    <row r="5219" spans="1:26" x14ac:dyDescent="0.25">
      <c r="A5219" t="str">
        <f t="shared" si="2143"/>
        <v>04-08-2020 12:47:34</v>
      </c>
      <c r="B5219" t="str">
        <f>"0000805710"</f>
        <v>0000805710</v>
      </c>
      <c r="C5219" t="str">
        <f t="shared" si="2144"/>
        <v>0000805575</v>
      </c>
      <c r="D5219" t="str">
        <f t="shared" si="2128"/>
        <v>73185</v>
      </c>
      <c r="E5219" t="str">
        <f t="shared" si="2129"/>
        <v>KFH-OPERATIONS DEPARTMENT</v>
      </c>
      <c r="F5219" t="str">
        <f t="shared" si="2130"/>
        <v>IBG</v>
      </c>
      <c r="G5219" t="str">
        <f t="shared" si="2139"/>
        <v>Refund COSHARE 10</v>
      </c>
      <c r="H5219" s="2">
        <v>1679</v>
      </c>
      <c r="I5219" t="str">
        <f>"AHMAD FAIRUZ BIN MOHD YUSOF"</f>
        <v>AHMAD FAIRUZ BIN MOHD YUSOF</v>
      </c>
      <c r="J5219" t="str">
        <f t="shared" si="2140"/>
        <v>MAYBANK / MAYBANK ISLAMIC</v>
      </c>
      <c r="K5219" t="str">
        <f>"501150050184"</f>
        <v>501150050184</v>
      </c>
      <c r="L5219" t="str">
        <f t="shared" si="2141"/>
        <v>04-08-2020</v>
      </c>
      <c r="M5219" t="str">
        <f t="shared" si="2141"/>
        <v>04-08-2020</v>
      </c>
      <c r="N5219" t="str">
        <f t="shared" si="2131"/>
        <v>001105018356</v>
      </c>
      <c r="O5219" t="str">
        <f t="shared" si="2132"/>
        <v>MYR</v>
      </c>
      <c r="P5219" t="str">
        <f t="shared" si="2142"/>
        <v>NIL</v>
      </c>
      <c r="Q5219" t="str">
        <f t="shared" si="2142"/>
        <v>NIL</v>
      </c>
      <c r="R5219" t="str">
        <f t="shared" si="2145"/>
        <v>Accepted</v>
      </c>
      <c r="S5219" t="str">
        <f t="shared" si="2133"/>
        <v>Approved</v>
      </c>
      <c r="T5219" t="str">
        <f t="shared" si="2146"/>
        <v>10.20.8.188</v>
      </c>
      <c r="U5219" t="str">
        <f t="shared" si="2134"/>
        <v>AZRAD UMAR BIN SHAARI</v>
      </c>
      <c r="V5219" t="str">
        <f t="shared" si="2135"/>
        <v>FARHANA BINTI MUSTAPA</v>
      </c>
      <c r="W5219" t="str">
        <f t="shared" si="2136"/>
        <v>04-08-2020</v>
      </c>
      <c r="X5219" t="str">
        <f t="shared" si="2137"/>
        <v>RAZIMAH ANSAR AHMAD</v>
      </c>
      <c r="Y5219" t="str">
        <f t="shared" si="2138"/>
        <v>04-08-2020</v>
      </c>
      <c r="Z5219" t="str">
        <f>"COS10200804 3935"</f>
        <v>COS10200804 3935</v>
      </c>
    </row>
    <row r="5220" spans="1:26" x14ac:dyDescent="0.25">
      <c r="A5220" t="str">
        <f t="shared" si="2143"/>
        <v>04-08-2020 12:47:34</v>
      </c>
      <c r="B5220" t="str">
        <f>"0000805709"</f>
        <v>0000805709</v>
      </c>
      <c r="C5220" t="str">
        <f t="shared" si="2144"/>
        <v>0000805575</v>
      </c>
      <c r="D5220" t="str">
        <f t="shared" si="2128"/>
        <v>73185</v>
      </c>
      <c r="E5220" t="str">
        <f t="shared" si="2129"/>
        <v>KFH-OPERATIONS DEPARTMENT</v>
      </c>
      <c r="F5220" t="str">
        <f t="shared" si="2130"/>
        <v>IBG</v>
      </c>
      <c r="G5220" t="str">
        <f t="shared" si="2139"/>
        <v>Refund COSHARE 10</v>
      </c>
      <c r="H5220" s="2">
        <v>419.75</v>
      </c>
      <c r="I5220" t="str">
        <f>"AHMAD FAHMIE BIN ABDULLAH"</f>
        <v>AHMAD FAHMIE BIN ABDULLAH</v>
      </c>
      <c r="J5220" t="str">
        <f t="shared" si="2140"/>
        <v>MAYBANK / MAYBANK ISLAMIC</v>
      </c>
      <c r="K5220" t="str">
        <f>"157063847868"</f>
        <v>157063847868</v>
      </c>
      <c r="L5220" t="str">
        <f t="shared" si="2141"/>
        <v>04-08-2020</v>
      </c>
      <c r="M5220" t="str">
        <f t="shared" si="2141"/>
        <v>04-08-2020</v>
      </c>
      <c r="N5220" t="str">
        <f t="shared" si="2131"/>
        <v>001105018356</v>
      </c>
      <c r="O5220" t="str">
        <f t="shared" si="2132"/>
        <v>MYR</v>
      </c>
      <c r="P5220" t="str">
        <f t="shared" si="2142"/>
        <v>NIL</v>
      </c>
      <c r="Q5220" t="str">
        <f t="shared" si="2142"/>
        <v>NIL</v>
      </c>
      <c r="R5220" t="str">
        <f t="shared" si="2145"/>
        <v>Accepted</v>
      </c>
      <c r="S5220" t="str">
        <f t="shared" si="2133"/>
        <v>Approved</v>
      </c>
      <c r="T5220" t="str">
        <f t="shared" si="2146"/>
        <v>10.20.8.188</v>
      </c>
      <c r="U5220" t="str">
        <f t="shared" si="2134"/>
        <v>AZRAD UMAR BIN SHAARI</v>
      </c>
      <c r="V5220" t="str">
        <f t="shared" si="2135"/>
        <v>FARHANA BINTI MUSTAPA</v>
      </c>
      <c r="W5220" t="str">
        <f t="shared" si="2136"/>
        <v>04-08-2020</v>
      </c>
      <c r="X5220" t="str">
        <f t="shared" si="2137"/>
        <v>RAZIMAH ANSAR AHMAD</v>
      </c>
      <c r="Y5220" t="str">
        <f t="shared" si="2138"/>
        <v>04-08-2020</v>
      </c>
      <c r="Z5220" t="str">
        <f>"COS10200804 3934"</f>
        <v>COS10200804 3934</v>
      </c>
    </row>
    <row r="5221" spans="1:26" x14ac:dyDescent="0.25">
      <c r="A5221" t="str">
        <f t="shared" si="2143"/>
        <v>04-08-2020 12:47:34</v>
      </c>
      <c r="B5221" t="str">
        <f>"0000805708"</f>
        <v>0000805708</v>
      </c>
      <c r="C5221" t="str">
        <f t="shared" si="2144"/>
        <v>0000805575</v>
      </c>
      <c r="D5221" t="str">
        <f t="shared" si="2128"/>
        <v>73185</v>
      </c>
      <c r="E5221" t="str">
        <f t="shared" si="2129"/>
        <v>KFH-OPERATIONS DEPARTMENT</v>
      </c>
      <c r="F5221" t="str">
        <f t="shared" si="2130"/>
        <v>IBG</v>
      </c>
      <c r="G5221" t="str">
        <f t="shared" si="2139"/>
        <v>Refund COSHARE 10</v>
      </c>
      <c r="H5221" s="2">
        <v>327</v>
      </c>
      <c r="I5221" t="str">
        <f>"AHMAD FADZLIE BIN MOHAMMAD"</f>
        <v>AHMAD FADZLIE BIN MOHAMMAD</v>
      </c>
      <c r="J5221" t="str">
        <f t="shared" si="2140"/>
        <v>MAYBANK / MAYBANK ISLAMIC</v>
      </c>
      <c r="K5221" t="str">
        <f>"162106504215"</f>
        <v>162106504215</v>
      </c>
      <c r="L5221" t="str">
        <f t="shared" si="2141"/>
        <v>04-08-2020</v>
      </c>
      <c r="M5221" t="str">
        <f t="shared" si="2141"/>
        <v>04-08-2020</v>
      </c>
      <c r="N5221" t="str">
        <f t="shared" si="2131"/>
        <v>001105018356</v>
      </c>
      <c r="O5221" t="str">
        <f t="shared" si="2132"/>
        <v>MYR</v>
      </c>
      <c r="P5221" t="str">
        <f t="shared" si="2142"/>
        <v>NIL</v>
      </c>
      <c r="Q5221" t="str">
        <f t="shared" si="2142"/>
        <v>NIL</v>
      </c>
      <c r="R5221" t="str">
        <f t="shared" si="2145"/>
        <v>Accepted</v>
      </c>
      <c r="S5221" t="str">
        <f t="shared" si="2133"/>
        <v>Approved</v>
      </c>
      <c r="T5221" t="str">
        <f t="shared" si="2146"/>
        <v>10.20.8.188</v>
      </c>
      <c r="U5221" t="str">
        <f t="shared" si="2134"/>
        <v>AZRAD UMAR BIN SHAARI</v>
      </c>
      <c r="V5221" t="str">
        <f t="shared" si="2135"/>
        <v>FARHANA BINTI MUSTAPA</v>
      </c>
      <c r="W5221" t="str">
        <f t="shared" si="2136"/>
        <v>04-08-2020</v>
      </c>
      <c r="X5221" t="str">
        <f t="shared" si="2137"/>
        <v>RAZIMAH ANSAR AHMAD</v>
      </c>
      <c r="Y5221" t="str">
        <f t="shared" si="2138"/>
        <v>04-08-2020</v>
      </c>
      <c r="Z5221" t="str">
        <f>"COS10200804 3933"</f>
        <v>COS10200804 3933</v>
      </c>
    </row>
    <row r="5222" spans="1:26" x14ac:dyDescent="0.25">
      <c r="A5222" t="str">
        <f t="shared" si="2143"/>
        <v>04-08-2020 12:47:34</v>
      </c>
      <c r="B5222" t="str">
        <f>"0000805707"</f>
        <v>0000805707</v>
      </c>
      <c r="C5222" t="str">
        <f t="shared" si="2144"/>
        <v>0000805575</v>
      </c>
      <c r="D5222" t="str">
        <f t="shared" si="2128"/>
        <v>73185</v>
      </c>
      <c r="E5222" t="str">
        <f t="shared" si="2129"/>
        <v>KFH-OPERATIONS DEPARTMENT</v>
      </c>
      <c r="F5222" t="str">
        <f t="shared" si="2130"/>
        <v>IBG</v>
      </c>
      <c r="G5222" t="str">
        <f t="shared" si="2139"/>
        <v>Refund COSHARE 10</v>
      </c>
      <c r="H5222" s="2">
        <v>167.9</v>
      </c>
      <c r="I5222" t="str">
        <f>"AHMAD FADZLEE BIN ABD RAHMAN"</f>
        <v>AHMAD FADZLEE BIN ABD RAHMAN</v>
      </c>
      <c r="J5222" t="str">
        <f t="shared" si="2140"/>
        <v>MAYBANK / MAYBANK ISLAMIC</v>
      </c>
      <c r="K5222" t="str">
        <f>"101468207466"</f>
        <v>101468207466</v>
      </c>
      <c r="L5222" t="str">
        <f t="shared" si="2141"/>
        <v>04-08-2020</v>
      </c>
      <c r="M5222" t="str">
        <f t="shared" si="2141"/>
        <v>04-08-2020</v>
      </c>
      <c r="N5222" t="str">
        <f t="shared" si="2131"/>
        <v>001105018356</v>
      </c>
      <c r="O5222" t="str">
        <f t="shared" si="2132"/>
        <v>MYR</v>
      </c>
      <c r="P5222" t="str">
        <f t="shared" si="2142"/>
        <v>NIL</v>
      </c>
      <c r="Q5222" t="str">
        <f t="shared" si="2142"/>
        <v>NIL</v>
      </c>
      <c r="R5222" t="str">
        <f t="shared" si="2145"/>
        <v>Accepted</v>
      </c>
      <c r="S5222" t="str">
        <f t="shared" si="2133"/>
        <v>Approved</v>
      </c>
      <c r="T5222" t="str">
        <f t="shared" si="2146"/>
        <v>10.20.8.188</v>
      </c>
      <c r="U5222" t="str">
        <f t="shared" si="2134"/>
        <v>AZRAD UMAR BIN SHAARI</v>
      </c>
      <c r="V5222" t="str">
        <f t="shared" si="2135"/>
        <v>FARHANA BINTI MUSTAPA</v>
      </c>
      <c r="W5222" t="str">
        <f t="shared" si="2136"/>
        <v>04-08-2020</v>
      </c>
      <c r="X5222" t="str">
        <f t="shared" si="2137"/>
        <v>RAZIMAH ANSAR AHMAD</v>
      </c>
      <c r="Y5222" t="str">
        <f t="shared" si="2138"/>
        <v>04-08-2020</v>
      </c>
      <c r="Z5222" t="str">
        <f>"COS10200804 3932"</f>
        <v>COS10200804 3932</v>
      </c>
    </row>
    <row r="5223" spans="1:26" x14ac:dyDescent="0.25">
      <c r="A5223" t="str">
        <f t="shared" si="2143"/>
        <v>04-08-2020 12:47:34</v>
      </c>
      <c r="B5223" t="str">
        <f>"0000805706"</f>
        <v>0000805706</v>
      </c>
      <c r="C5223" t="str">
        <f t="shared" si="2144"/>
        <v>0000805575</v>
      </c>
      <c r="D5223" t="str">
        <f t="shared" si="2128"/>
        <v>73185</v>
      </c>
      <c r="E5223" t="str">
        <f t="shared" si="2129"/>
        <v>KFH-OPERATIONS DEPARTMENT</v>
      </c>
      <c r="F5223" t="str">
        <f t="shared" si="2130"/>
        <v>IBG</v>
      </c>
      <c r="G5223" t="str">
        <f t="shared" si="2139"/>
        <v>Refund COSHARE 10</v>
      </c>
      <c r="H5223" s="2">
        <v>151.15</v>
      </c>
      <c r="I5223" t="str">
        <f>"AHMAD DZULKARNAIN BIN MOHAMAD TARMIZI"</f>
        <v>AHMAD DZULKARNAIN BIN MOHAMAD TARMIZI</v>
      </c>
      <c r="J5223" t="str">
        <f t="shared" si="2140"/>
        <v>MAYBANK / MAYBANK ISLAMIC</v>
      </c>
      <c r="K5223" t="str">
        <f>"104013120726"</f>
        <v>104013120726</v>
      </c>
      <c r="L5223" t="str">
        <f t="shared" si="2141"/>
        <v>04-08-2020</v>
      </c>
      <c r="M5223" t="str">
        <f t="shared" si="2141"/>
        <v>04-08-2020</v>
      </c>
      <c r="N5223" t="str">
        <f t="shared" si="2131"/>
        <v>001105018356</v>
      </c>
      <c r="O5223" t="str">
        <f t="shared" si="2132"/>
        <v>MYR</v>
      </c>
      <c r="P5223" t="str">
        <f t="shared" si="2142"/>
        <v>NIL</v>
      </c>
      <c r="Q5223" t="str">
        <f t="shared" si="2142"/>
        <v>NIL</v>
      </c>
      <c r="R5223" t="str">
        <f t="shared" si="2145"/>
        <v>Accepted</v>
      </c>
      <c r="S5223" t="str">
        <f t="shared" si="2133"/>
        <v>Approved</v>
      </c>
      <c r="T5223" t="str">
        <f t="shared" si="2146"/>
        <v>10.20.8.188</v>
      </c>
      <c r="U5223" t="str">
        <f t="shared" si="2134"/>
        <v>AZRAD UMAR BIN SHAARI</v>
      </c>
      <c r="V5223" t="str">
        <f t="shared" si="2135"/>
        <v>FARHANA BINTI MUSTAPA</v>
      </c>
      <c r="W5223" t="str">
        <f t="shared" si="2136"/>
        <v>04-08-2020</v>
      </c>
      <c r="X5223" t="str">
        <f t="shared" si="2137"/>
        <v>RAZIMAH ANSAR AHMAD</v>
      </c>
      <c r="Y5223" t="str">
        <f t="shared" si="2138"/>
        <v>04-08-2020</v>
      </c>
      <c r="Z5223" t="str">
        <f>"COS10200804 3931"</f>
        <v>COS10200804 3931</v>
      </c>
    </row>
    <row r="5224" spans="1:26" x14ac:dyDescent="0.25">
      <c r="A5224" t="str">
        <f t="shared" si="2143"/>
        <v>04-08-2020 12:47:34</v>
      </c>
      <c r="B5224" t="str">
        <f>"0000805705"</f>
        <v>0000805705</v>
      </c>
      <c r="C5224" t="str">
        <f t="shared" si="2144"/>
        <v>0000805575</v>
      </c>
      <c r="D5224" t="str">
        <f t="shared" si="2128"/>
        <v>73185</v>
      </c>
      <c r="E5224" t="str">
        <f t="shared" si="2129"/>
        <v>KFH-OPERATIONS DEPARTMENT</v>
      </c>
      <c r="F5224" t="str">
        <f t="shared" si="2130"/>
        <v>IBG</v>
      </c>
      <c r="G5224" t="str">
        <f t="shared" si="2139"/>
        <v>Refund COSHARE 10</v>
      </c>
      <c r="H5224" s="2">
        <v>587.65</v>
      </c>
      <c r="I5224" t="str">
        <f>"AHMAD DHIAUDDIN BIN SALIMIN"</f>
        <v>AHMAD DHIAUDDIN BIN SALIMIN</v>
      </c>
      <c r="J5224" t="str">
        <f t="shared" si="2140"/>
        <v>MAYBANK / MAYBANK ISLAMIC</v>
      </c>
      <c r="K5224" t="str">
        <f>"151016221885"</f>
        <v>151016221885</v>
      </c>
      <c r="L5224" t="str">
        <f t="shared" si="2141"/>
        <v>04-08-2020</v>
      </c>
      <c r="M5224" t="str">
        <f t="shared" si="2141"/>
        <v>04-08-2020</v>
      </c>
      <c r="N5224" t="str">
        <f t="shared" si="2131"/>
        <v>001105018356</v>
      </c>
      <c r="O5224" t="str">
        <f t="shared" si="2132"/>
        <v>MYR</v>
      </c>
      <c r="P5224" t="str">
        <f t="shared" si="2142"/>
        <v>NIL</v>
      </c>
      <c r="Q5224" t="str">
        <f t="shared" si="2142"/>
        <v>NIL</v>
      </c>
      <c r="R5224" t="str">
        <f t="shared" si="2145"/>
        <v>Accepted</v>
      </c>
      <c r="S5224" t="str">
        <f t="shared" si="2133"/>
        <v>Approved</v>
      </c>
      <c r="T5224" t="str">
        <f t="shared" si="2146"/>
        <v>10.20.8.188</v>
      </c>
      <c r="U5224" t="str">
        <f t="shared" si="2134"/>
        <v>AZRAD UMAR BIN SHAARI</v>
      </c>
      <c r="V5224" t="str">
        <f t="shared" si="2135"/>
        <v>FARHANA BINTI MUSTAPA</v>
      </c>
      <c r="W5224" t="str">
        <f t="shared" si="2136"/>
        <v>04-08-2020</v>
      </c>
      <c r="X5224" t="str">
        <f t="shared" si="2137"/>
        <v>RAZIMAH ANSAR AHMAD</v>
      </c>
      <c r="Y5224" t="str">
        <f t="shared" si="2138"/>
        <v>04-08-2020</v>
      </c>
      <c r="Z5224" t="str">
        <f>"COS10200804 3930"</f>
        <v>COS10200804 3930</v>
      </c>
    </row>
    <row r="5225" spans="1:26" x14ac:dyDescent="0.25">
      <c r="A5225" t="str">
        <f t="shared" si="2143"/>
        <v>04-08-2020 12:47:34</v>
      </c>
      <c r="B5225" t="str">
        <f>"0000805704"</f>
        <v>0000805704</v>
      </c>
      <c r="C5225" t="str">
        <f t="shared" si="2144"/>
        <v>0000805575</v>
      </c>
      <c r="D5225" t="str">
        <f t="shared" si="2128"/>
        <v>73185</v>
      </c>
      <c r="E5225" t="str">
        <f t="shared" si="2129"/>
        <v>KFH-OPERATIONS DEPARTMENT</v>
      </c>
      <c r="F5225" t="str">
        <f t="shared" si="2130"/>
        <v>IBG</v>
      </c>
      <c r="G5225" t="str">
        <f t="shared" si="2139"/>
        <v>Refund COSHARE 10</v>
      </c>
      <c r="H5225" s="2">
        <v>1242.45</v>
      </c>
      <c r="I5225" t="str">
        <f>"AHMAD BUKHARI  BIN ABDUL RAHMAN"</f>
        <v>AHMAD BUKHARI  BIN ABDUL RAHMAN</v>
      </c>
      <c r="J5225" t="str">
        <f t="shared" si="2140"/>
        <v>MAYBANK / MAYBANK ISLAMIC</v>
      </c>
      <c r="K5225" t="str">
        <f>"165125143952"</f>
        <v>165125143952</v>
      </c>
      <c r="L5225" t="str">
        <f t="shared" si="2141"/>
        <v>04-08-2020</v>
      </c>
      <c r="M5225" t="str">
        <f t="shared" si="2141"/>
        <v>04-08-2020</v>
      </c>
      <c r="N5225" t="str">
        <f t="shared" si="2131"/>
        <v>001105018356</v>
      </c>
      <c r="O5225" t="str">
        <f t="shared" si="2132"/>
        <v>MYR</v>
      </c>
      <c r="P5225" t="str">
        <f t="shared" si="2142"/>
        <v>NIL</v>
      </c>
      <c r="Q5225" t="str">
        <f t="shared" si="2142"/>
        <v>NIL</v>
      </c>
      <c r="R5225" t="str">
        <f t="shared" si="2145"/>
        <v>Accepted</v>
      </c>
      <c r="S5225" t="str">
        <f t="shared" si="2133"/>
        <v>Approved</v>
      </c>
      <c r="T5225" t="str">
        <f t="shared" si="2146"/>
        <v>10.20.8.188</v>
      </c>
      <c r="U5225" t="str">
        <f t="shared" si="2134"/>
        <v>AZRAD UMAR BIN SHAARI</v>
      </c>
      <c r="V5225" t="str">
        <f t="shared" si="2135"/>
        <v>FARHANA BINTI MUSTAPA</v>
      </c>
      <c r="W5225" t="str">
        <f t="shared" si="2136"/>
        <v>04-08-2020</v>
      </c>
      <c r="X5225" t="str">
        <f t="shared" si="2137"/>
        <v>RAZIMAH ANSAR AHMAD</v>
      </c>
      <c r="Y5225" t="str">
        <f t="shared" si="2138"/>
        <v>04-08-2020</v>
      </c>
      <c r="Z5225" t="str">
        <f>"COS10200804 3929"</f>
        <v>COS10200804 3929</v>
      </c>
    </row>
    <row r="5226" spans="1:26" x14ac:dyDescent="0.25">
      <c r="A5226" t="str">
        <f t="shared" si="2143"/>
        <v>04-08-2020 12:47:34</v>
      </c>
      <c r="B5226" t="str">
        <f>"0000805703"</f>
        <v>0000805703</v>
      </c>
      <c r="C5226" t="str">
        <f t="shared" si="2144"/>
        <v>0000805575</v>
      </c>
      <c r="D5226" t="str">
        <f t="shared" si="2128"/>
        <v>73185</v>
      </c>
      <c r="E5226" t="str">
        <f t="shared" si="2129"/>
        <v>KFH-OPERATIONS DEPARTMENT</v>
      </c>
      <c r="F5226" t="str">
        <f t="shared" si="2130"/>
        <v>IBG</v>
      </c>
      <c r="G5226" t="str">
        <f t="shared" si="2139"/>
        <v>Refund COSHARE 10</v>
      </c>
      <c r="H5226" s="2">
        <v>266</v>
      </c>
      <c r="I5226" t="str">
        <f>"AHMAD BIN YEOP"</f>
        <v>AHMAD BIN YEOP</v>
      </c>
      <c r="J5226" t="str">
        <f t="shared" si="2140"/>
        <v>MAYBANK / MAYBANK ISLAMIC</v>
      </c>
      <c r="K5226" t="str">
        <f>"158024755551"</f>
        <v>158024755551</v>
      </c>
      <c r="L5226" t="str">
        <f t="shared" si="2141"/>
        <v>04-08-2020</v>
      </c>
      <c r="M5226" t="str">
        <f t="shared" si="2141"/>
        <v>04-08-2020</v>
      </c>
      <c r="N5226" t="str">
        <f t="shared" si="2131"/>
        <v>001105018356</v>
      </c>
      <c r="O5226" t="str">
        <f t="shared" si="2132"/>
        <v>MYR</v>
      </c>
      <c r="P5226" t="str">
        <f t="shared" si="2142"/>
        <v>NIL</v>
      </c>
      <c r="Q5226" t="str">
        <f t="shared" si="2142"/>
        <v>NIL</v>
      </c>
      <c r="R5226" t="str">
        <f t="shared" si="2145"/>
        <v>Accepted</v>
      </c>
      <c r="S5226" t="str">
        <f t="shared" si="2133"/>
        <v>Approved</v>
      </c>
      <c r="T5226" t="str">
        <f t="shared" si="2146"/>
        <v>10.20.8.188</v>
      </c>
      <c r="U5226" t="str">
        <f t="shared" si="2134"/>
        <v>AZRAD UMAR BIN SHAARI</v>
      </c>
      <c r="V5226" t="str">
        <f t="shared" si="2135"/>
        <v>FARHANA BINTI MUSTAPA</v>
      </c>
      <c r="W5226" t="str">
        <f t="shared" si="2136"/>
        <v>04-08-2020</v>
      </c>
      <c r="X5226" t="str">
        <f t="shared" si="2137"/>
        <v>RAZIMAH ANSAR AHMAD</v>
      </c>
      <c r="Y5226" t="str">
        <f t="shared" si="2138"/>
        <v>04-08-2020</v>
      </c>
      <c r="Z5226" t="str">
        <f>"COS10200804 3928"</f>
        <v>COS10200804 3928</v>
      </c>
    </row>
    <row r="5227" spans="1:26" x14ac:dyDescent="0.25">
      <c r="A5227" t="str">
        <f t="shared" si="2143"/>
        <v>04-08-2020 12:47:34</v>
      </c>
      <c r="B5227" t="str">
        <f>"0000805702"</f>
        <v>0000805702</v>
      </c>
      <c r="C5227" t="str">
        <f t="shared" si="2144"/>
        <v>0000805575</v>
      </c>
      <c r="D5227" t="str">
        <f t="shared" si="2128"/>
        <v>73185</v>
      </c>
      <c r="E5227" t="str">
        <f t="shared" si="2129"/>
        <v>KFH-OPERATIONS DEPARTMENT</v>
      </c>
      <c r="F5227" t="str">
        <f t="shared" si="2130"/>
        <v>IBG</v>
      </c>
      <c r="G5227" t="str">
        <f t="shared" si="2139"/>
        <v>Refund COSHARE 10</v>
      </c>
      <c r="H5227" s="2">
        <v>1091.3499999999999</v>
      </c>
      <c r="I5227" t="str">
        <f>"AHMAD BIN SANIP"</f>
        <v>AHMAD BIN SANIP</v>
      </c>
      <c r="J5227" t="str">
        <f t="shared" si="2140"/>
        <v>MAYBANK / MAYBANK ISLAMIC</v>
      </c>
      <c r="K5227" t="str">
        <f>"160102254149"</f>
        <v>160102254149</v>
      </c>
      <c r="L5227" t="str">
        <f t="shared" ref="L5227:M5246" si="2147">"04-08-2020"</f>
        <v>04-08-2020</v>
      </c>
      <c r="M5227" t="str">
        <f t="shared" si="2147"/>
        <v>04-08-2020</v>
      </c>
      <c r="N5227" t="str">
        <f t="shared" si="2131"/>
        <v>001105018356</v>
      </c>
      <c r="O5227" t="str">
        <f t="shared" si="2132"/>
        <v>MYR</v>
      </c>
      <c r="P5227" t="str">
        <f t="shared" ref="P5227:Q5246" si="2148">"NIL"</f>
        <v>NIL</v>
      </c>
      <c r="Q5227" t="str">
        <f t="shared" si="2148"/>
        <v>NIL</v>
      </c>
      <c r="R5227" t="str">
        <f t="shared" si="2145"/>
        <v>Accepted</v>
      </c>
      <c r="S5227" t="str">
        <f t="shared" si="2133"/>
        <v>Approved</v>
      </c>
      <c r="T5227" t="str">
        <f t="shared" si="2146"/>
        <v>10.20.8.188</v>
      </c>
      <c r="U5227" t="str">
        <f t="shared" si="2134"/>
        <v>AZRAD UMAR BIN SHAARI</v>
      </c>
      <c r="V5227" t="str">
        <f t="shared" si="2135"/>
        <v>FARHANA BINTI MUSTAPA</v>
      </c>
      <c r="W5227" t="str">
        <f t="shared" si="2136"/>
        <v>04-08-2020</v>
      </c>
      <c r="X5227" t="str">
        <f t="shared" si="2137"/>
        <v>RAZIMAH ANSAR AHMAD</v>
      </c>
      <c r="Y5227" t="str">
        <f t="shared" si="2138"/>
        <v>04-08-2020</v>
      </c>
      <c r="Z5227" t="str">
        <f>"COS10200804 3927"</f>
        <v>COS10200804 3927</v>
      </c>
    </row>
    <row r="5228" spans="1:26" x14ac:dyDescent="0.25">
      <c r="A5228" t="str">
        <f t="shared" si="2143"/>
        <v>04-08-2020 12:47:34</v>
      </c>
      <c r="B5228" t="str">
        <f>"0000805701"</f>
        <v>0000805701</v>
      </c>
      <c r="C5228" t="str">
        <f t="shared" si="2144"/>
        <v>0000805575</v>
      </c>
      <c r="D5228" t="str">
        <f t="shared" si="2128"/>
        <v>73185</v>
      </c>
      <c r="E5228" t="str">
        <f t="shared" si="2129"/>
        <v>KFH-OPERATIONS DEPARTMENT</v>
      </c>
      <c r="F5228" t="str">
        <f t="shared" si="2130"/>
        <v>IBG</v>
      </c>
      <c r="G5228" t="str">
        <f t="shared" si="2139"/>
        <v>Refund COSHARE 10</v>
      </c>
      <c r="H5228" s="2">
        <v>123.85</v>
      </c>
      <c r="I5228" t="str">
        <f>"AHMAD AZNAN BIN MOHD ANUAR"</f>
        <v>AHMAD AZNAN BIN MOHD ANUAR</v>
      </c>
      <c r="J5228" t="str">
        <f t="shared" si="2140"/>
        <v>MAYBANK / MAYBANK ISLAMIC</v>
      </c>
      <c r="K5228" t="str">
        <f>"152031346423"</f>
        <v>152031346423</v>
      </c>
      <c r="L5228" t="str">
        <f t="shared" si="2147"/>
        <v>04-08-2020</v>
      </c>
      <c r="M5228" t="str">
        <f t="shared" si="2147"/>
        <v>04-08-2020</v>
      </c>
      <c r="N5228" t="str">
        <f t="shared" si="2131"/>
        <v>001105018356</v>
      </c>
      <c r="O5228" t="str">
        <f t="shared" si="2132"/>
        <v>MYR</v>
      </c>
      <c r="P5228" t="str">
        <f t="shared" si="2148"/>
        <v>NIL</v>
      </c>
      <c r="Q5228" t="str">
        <f t="shared" si="2148"/>
        <v>NIL</v>
      </c>
      <c r="R5228" t="str">
        <f t="shared" si="2145"/>
        <v>Accepted</v>
      </c>
      <c r="S5228" t="str">
        <f t="shared" si="2133"/>
        <v>Approved</v>
      </c>
      <c r="T5228" t="str">
        <f t="shared" si="2146"/>
        <v>10.20.8.188</v>
      </c>
      <c r="U5228" t="str">
        <f t="shared" si="2134"/>
        <v>AZRAD UMAR BIN SHAARI</v>
      </c>
      <c r="V5228" t="str">
        <f t="shared" si="2135"/>
        <v>FARHANA BINTI MUSTAPA</v>
      </c>
      <c r="W5228" t="str">
        <f t="shared" si="2136"/>
        <v>04-08-2020</v>
      </c>
      <c r="X5228" t="str">
        <f t="shared" si="2137"/>
        <v>RAZIMAH ANSAR AHMAD</v>
      </c>
      <c r="Y5228" t="str">
        <f t="shared" si="2138"/>
        <v>04-08-2020</v>
      </c>
      <c r="Z5228" t="str">
        <f>"COS10200804 3926"</f>
        <v>COS10200804 3926</v>
      </c>
    </row>
    <row r="5229" spans="1:26" x14ac:dyDescent="0.25">
      <c r="A5229" t="str">
        <f t="shared" si="2143"/>
        <v>04-08-2020 12:47:34</v>
      </c>
      <c r="B5229" t="str">
        <f>"0000805700"</f>
        <v>0000805700</v>
      </c>
      <c r="C5229" t="str">
        <f t="shared" si="2144"/>
        <v>0000805575</v>
      </c>
      <c r="D5229" t="str">
        <f t="shared" si="2128"/>
        <v>73185</v>
      </c>
      <c r="E5229" t="str">
        <f t="shared" si="2129"/>
        <v>KFH-OPERATIONS DEPARTMENT</v>
      </c>
      <c r="F5229" t="str">
        <f t="shared" si="2130"/>
        <v>IBG</v>
      </c>
      <c r="G5229" t="str">
        <f t="shared" si="2139"/>
        <v>Refund COSHARE 10</v>
      </c>
      <c r="H5229" s="2">
        <v>210</v>
      </c>
      <c r="I5229" t="str">
        <f>"AHMAD AZIM BIN MAHAMAD"</f>
        <v>AHMAD AZIM BIN MAHAMAD</v>
      </c>
      <c r="J5229" t="str">
        <f t="shared" si="2140"/>
        <v>MAYBANK / MAYBANK ISLAMIC</v>
      </c>
      <c r="K5229" t="str">
        <f>"153010450580"</f>
        <v>153010450580</v>
      </c>
      <c r="L5229" t="str">
        <f t="shared" si="2147"/>
        <v>04-08-2020</v>
      </c>
      <c r="M5229" t="str">
        <f t="shared" si="2147"/>
        <v>04-08-2020</v>
      </c>
      <c r="N5229" t="str">
        <f t="shared" si="2131"/>
        <v>001105018356</v>
      </c>
      <c r="O5229" t="str">
        <f t="shared" si="2132"/>
        <v>MYR</v>
      </c>
      <c r="P5229" t="str">
        <f t="shared" si="2148"/>
        <v>NIL</v>
      </c>
      <c r="Q5229" t="str">
        <f t="shared" si="2148"/>
        <v>NIL</v>
      </c>
      <c r="R5229" t="str">
        <f t="shared" si="2145"/>
        <v>Accepted</v>
      </c>
      <c r="S5229" t="str">
        <f t="shared" si="2133"/>
        <v>Approved</v>
      </c>
      <c r="T5229" t="str">
        <f t="shared" si="2146"/>
        <v>10.20.8.188</v>
      </c>
      <c r="U5229" t="str">
        <f t="shared" si="2134"/>
        <v>AZRAD UMAR BIN SHAARI</v>
      </c>
      <c r="V5229" t="str">
        <f t="shared" si="2135"/>
        <v>FARHANA BINTI MUSTAPA</v>
      </c>
      <c r="W5229" t="str">
        <f t="shared" si="2136"/>
        <v>04-08-2020</v>
      </c>
      <c r="X5229" t="str">
        <f t="shared" si="2137"/>
        <v>RAZIMAH ANSAR AHMAD</v>
      </c>
      <c r="Y5229" t="str">
        <f t="shared" si="2138"/>
        <v>04-08-2020</v>
      </c>
      <c r="Z5229" t="str">
        <f>"COS10200804 3925"</f>
        <v>COS10200804 3925</v>
      </c>
    </row>
    <row r="5230" spans="1:26" x14ac:dyDescent="0.25">
      <c r="A5230" t="str">
        <f t="shared" si="2143"/>
        <v>04-08-2020 12:47:34</v>
      </c>
      <c r="B5230" t="str">
        <f>"0000805699"</f>
        <v>0000805699</v>
      </c>
      <c r="C5230" t="str">
        <f t="shared" si="2144"/>
        <v>0000805575</v>
      </c>
      <c r="D5230" t="str">
        <f t="shared" si="2128"/>
        <v>73185</v>
      </c>
      <c r="E5230" t="str">
        <f t="shared" si="2129"/>
        <v>KFH-OPERATIONS DEPARTMENT</v>
      </c>
      <c r="F5230" t="str">
        <f t="shared" si="2130"/>
        <v>IBG</v>
      </c>
      <c r="G5230" t="str">
        <f t="shared" si="2139"/>
        <v>Refund COSHARE 10</v>
      </c>
      <c r="H5230" s="2">
        <v>587.65</v>
      </c>
      <c r="I5230" t="str">
        <f>"AHMAD ADZRI BIN MOHD ADNAN"</f>
        <v>AHMAD ADZRI BIN MOHD ADNAN</v>
      </c>
      <c r="J5230" t="str">
        <f t="shared" si="2140"/>
        <v>MAYBANK / MAYBANK ISLAMIC</v>
      </c>
      <c r="K5230" t="str">
        <f>"154026466879"</f>
        <v>154026466879</v>
      </c>
      <c r="L5230" t="str">
        <f t="shared" si="2147"/>
        <v>04-08-2020</v>
      </c>
      <c r="M5230" t="str">
        <f t="shared" si="2147"/>
        <v>04-08-2020</v>
      </c>
      <c r="N5230" t="str">
        <f t="shared" si="2131"/>
        <v>001105018356</v>
      </c>
      <c r="O5230" t="str">
        <f t="shared" si="2132"/>
        <v>MYR</v>
      </c>
      <c r="P5230" t="str">
        <f t="shared" si="2148"/>
        <v>NIL</v>
      </c>
      <c r="Q5230" t="str">
        <f t="shared" si="2148"/>
        <v>NIL</v>
      </c>
      <c r="R5230" t="str">
        <f t="shared" si="2145"/>
        <v>Accepted</v>
      </c>
      <c r="S5230" t="str">
        <f t="shared" si="2133"/>
        <v>Approved</v>
      </c>
      <c r="T5230" t="str">
        <f t="shared" si="2146"/>
        <v>10.20.8.188</v>
      </c>
      <c r="U5230" t="str">
        <f t="shared" si="2134"/>
        <v>AZRAD UMAR BIN SHAARI</v>
      </c>
      <c r="V5230" t="str">
        <f t="shared" si="2135"/>
        <v>FARHANA BINTI MUSTAPA</v>
      </c>
      <c r="W5230" t="str">
        <f t="shared" si="2136"/>
        <v>04-08-2020</v>
      </c>
      <c r="X5230" t="str">
        <f t="shared" si="2137"/>
        <v>RAZIMAH ANSAR AHMAD</v>
      </c>
      <c r="Y5230" t="str">
        <f t="shared" si="2138"/>
        <v>04-08-2020</v>
      </c>
      <c r="Z5230" t="str">
        <f>"COS10200804 3924"</f>
        <v>COS10200804 3924</v>
      </c>
    </row>
    <row r="5231" spans="1:26" x14ac:dyDescent="0.25">
      <c r="A5231" t="str">
        <f t="shared" si="2143"/>
        <v>04-08-2020 12:47:34</v>
      </c>
      <c r="B5231" t="str">
        <f>"0000805698"</f>
        <v>0000805698</v>
      </c>
      <c r="C5231" t="str">
        <f t="shared" si="2144"/>
        <v>0000805575</v>
      </c>
      <c r="D5231" t="str">
        <f t="shared" si="2128"/>
        <v>73185</v>
      </c>
      <c r="E5231" t="str">
        <f t="shared" si="2129"/>
        <v>KFH-OPERATIONS DEPARTMENT</v>
      </c>
      <c r="F5231" t="str">
        <f t="shared" si="2130"/>
        <v>IBG</v>
      </c>
      <c r="G5231" t="str">
        <f t="shared" si="2139"/>
        <v>Refund COSHARE 10</v>
      </c>
      <c r="H5231" s="2">
        <v>87</v>
      </c>
      <c r="I5231" t="str">
        <f>"AHMAD ADZRI BIN MOHD ADNAN"</f>
        <v>AHMAD ADZRI BIN MOHD ADNAN</v>
      </c>
      <c r="J5231" t="str">
        <f t="shared" si="2140"/>
        <v>MAYBANK / MAYBANK ISLAMIC</v>
      </c>
      <c r="K5231" t="str">
        <f>"154026466879"</f>
        <v>154026466879</v>
      </c>
      <c r="L5231" t="str">
        <f t="shared" si="2147"/>
        <v>04-08-2020</v>
      </c>
      <c r="M5231" t="str">
        <f t="shared" si="2147"/>
        <v>04-08-2020</v>
      </c>
      <c r="N5231" t="str">
        <f t="shared" si="2131"/>
        <v>001105018356</v>
      </c>
      <c r="O5231" t="str">
        <f t="shared" si="2132"/>
        <v>MYR</v>
      </c>
      <c r="P5231" t="str">
        <f t="shared" si="2148"/>
        <v>NIL</v>
      </c>
      <c r="Q5231" t="str">
        <f t="shared" si="2148"/>
        <v>NIL</v>
      </c>
      <c r="R5231" t="str">
        <f t="shared" si="2145"/>
        <v>Accepted</v>
      </c>
      <c r="S5231" t="str">
        <f t="shared" si="2133"/>
        <v>Approved</v>
      </c>
      <c r="T5231" t="str">
        <f t="shared" si="2146"/>
        <v>10.20.8.188</v>
      </c>
      <c r="U5231" t="str">
        <f t="shared" si="2134"/>
        <v>AZRAD UMAR BIN SHAARI</v>
      </c>
      <c r="V5231" t="str">
        <f t="shared" si="2135"/>
        <v>FARHANA BINTI MUSTAPA</v>
      </c>
      <c r="W5231" t="str">
        <f t="shared" si="2136"/>
        <v>04-08-2020</v>
      </c>
      <c r="X5231" t="str">
        <f t="shared" si="2137"/>
        <v>RAZIMAH ANSAR AHMAD</v>
      </c>
      <c r="Y5231" t="str">
        <f t="shared" si="2138"/>
        <v>04-08-2020</v>
      </c>
      <c r="Z5231" t="str">
        <f>"COS10200804 3923"</f>
        <v>COS10200804 3923</v>
      </c>
    </row>
    <row r="5232" spans="1:26" x14ac:dyDescent="0.25">
      <c r="A5232" t="str">
        <f t="shared" si="2143"/>
        <v>04-08-2020 12:47:34</v>
      </c>
      <c r="B5232" t="str">
        <f>"0000805697"</f>
        <v>0000805697</v>
      </c>
      <c r="C5232" t="str">
        <f t="shared" si="2144"/>
        <v>0000805575</v>
      </c>
      <c r="D5232" t="str">
        <f t="shared" si="2128"/>
        <v>73185</v>
      </c>
      <c r="E5232" t="str">
        <f t="shared" si="2129"/>
        <v>KFH-OPERATIONS DEPARTMENT</v>
      </c>
      <c r="F5232" t="str">
        <f t="shared" si="2130"/>
        <v>IBG</v>
      </c>
      <c r="G5232" t="str">
        <f t="shared" si="2139"/>
        <v>Refund COSHARE 10</v>
      </c>
      <c r="H5232" s="2">
        <v>638.5</v>
      </c>
      <c r="I5232" t="str">
        <f>"AHAMAD SHABUDIN BIN YAHAYA"</f>
        <v>AHAMAD SHABUDIN BIN YAHAYA</v>
      </c>
      <c r="J5232" t="str">
        <f t="shared" si="2140"/>
        <v>MAYBANK / MAYBANK ISLAMIC</v>
      </c>
      <c r="K5232" t="str">
        <f>"155108972310"</f>
        <v>155108972310</v>
      </c>
      <c r="L5232" t="str">
        <f t="shared" si="2147"/>
        <v>04-08-2020</v>
      </c>
      <c r="M5232" t="str">
        <f t="shared" si="2147"/>
        <v>04-08-2020</v>
      </c>
      <c r="N5232" t="str">
        <f t="shared" si="2131"/>
        <v>001105018356</v>
      </c>
      <c r="O5232" t="str">
        <f t="shared" si="2132"/>
        <v>MYR</v>
      </c>
      <c r="P5232" t="str">
        <f t="shared" si="2148"/>
        <v>NIL</v>
      </c>
      <c r="Q5232" t="str">
        <f t="shared" si="2148"/>
        <v>NIL</v>
      </c>
      <c r="R5232" t="str">
        <f t="shared" si="2145"/>
        <v>Accepted</v>
      </c>
      <c r="S5232" t="str">
        <f t="shared" si="2133"/>
        <v>Approved</v>
      </c>
      <c r="T5232" t="str">
        <f t="shared" si="2146"/>
        <v>10.20.8.188</v>
      </c>
      <c r="U5232" t="str">
        <f t="shared" si="2134"/>
        <v>AZRAD UMAR BIN SHAARI</v>
      </c>
      <c r="V5232" t="str">
        <f t="shared" si="2135"/>
        <v>FARHANA BINTI MUSTAPA</v>
      </c>
      <c r="W5232" t="str">
        <f t="shared" si="2136"/>
        <v>04-08-2020</v>
      </c>
      <c r="X5232" t="str">
        <f t="shared" si="2137"/>
        <v>RAZIMAH ANSAR AHMAD</v>
      </c>
      <c r="Y5232" t="str">
        <f t="shared" si="2138"/>
        <v>04-08-2020</v>
      </c>
      <c r="Z5232" t="str">
        <f>"COS10200804 3922"</f>
        <v>COS10200804 3922</v>
      </c>
    </row>
    <row r="5233" spans="1:26" x14ac:dyDescent="0.25">
      <c r="A5233" t="str">
        <f t="shared" si="2143"/>
        <v>04-08-2020 12:47:34</v>
      </c>
      <c r="B5233" t="str">
        <f>"0000805696"</f>
        <v>0000805696</v>
      </c>
      <c r="C5233" t="str">
        <f t="shared" si="2144"/>
        <v>0000805575</v>
      </c>
      <c r="D5233" t="str">
        <f t="shared" si="2128"/>
        <v>73185</v>
      </c>
      <c r="E5233" t="str">
        <f t="shared" si="2129"/>
        <v>KFH-OPERATIONS DEPARTMENT</v>
      </c>
      <c r="F5233" t="str">
        <f t="shared" si="2130"/>
        <v>IBG</v>
      </c>
      <c r="G5233" t="str">
        <f t="shared" si="2139"/>
        <v>Refund COSHARE 10</v>
      </c>
      <c r="H5233" s="2">
        <v>85.2</v>
      </c>
      <c r="I5233" t="str">
        <f>"AHAD RULNISAM BIN MALIM"</f>
        <v>AHAD RULNISAM BIN MALIM</v>
      </c>
      <c r="J5233" t="str">
        <f t="shared" si="2140"/>
        <v>MAYBANK / MAYBANK ISLAMIC</v>
      </c>
      <c r="K5233" t="str">
        <f>"156132014496"</f>
        <v>156132014496</v>
      </c>
      <c r="L5233" t="str">
        <f t="shared" si="2147"/>
        <v>04-08-2020</v>
      </c>
      <c r="M5233" t="str">
        <f t="shared" si="2147"/>
        <v>04-08-2020</v>
      </c>
      <c r="N5233" t="str">
        <f t="shared" si="2131"/>
        <v>001105018356</v>
      </c>
      <c r="O5233" t="str">
        <f t="shared" si="2132"/>
        <v>MYR</v>
      </c>
      <c r="P5233" t="str">
        <f t="shared" si="2148"/>
        <v>NIL</v>
      </c>
      <c r="Q5233" t="str">
        <f t="shared" si="2148"/>
        <v>NIL</v>
      </c>
      <c r="R5233" t="str">
        <f t="shared" si="2145"/>
        <v>Accepted</v>
      </c>
      <c r="S5233" t="str">
        <f t="shared" si="2133"/>
        <v>Approved</v>
      </c>
      <c r="T5233" t="str">
        <f t="shared" si="2146"/>
        <v>10.20.8.188</v>
      </c>
      <c r="U5233" t="str">
        <f t="shared" si="2134"/>
        <v>AZRAD UMAR BIN SHAARI</v>
      </c>
      <c r="V5233" t="str">
        <f t="shared" si="2135"/>
        <v>FARHANA BINTI MUSTAPA</v>
      </c>
      <c r="W5233" t="str">
        <f t="shared" si="2136"/>
        <v>04-08-2020</v>
      </c>
      <c r="X5233" t="str">
        <f t="shared" si="2137"/>
        <v>RAZIMAH ANSAR AHMAD</v>
      </c>
      <c r="Y5233" t="str">
        <f t="shared" si="2138"/>
        <v>04-08-2020</v>
      </c>
      <c r="Z5233" t="str">
        <f>"COS10200804 3921"</f>
        <v>COS10200804 3921</v>
      </c>
    </row>
    <row r="5234" spans="1:26" x14ac:dyDescent="0.25">
      <c r="A5234" t="str">
        <f t="shared" si="2143"/>
        <v>04-08-2020 12:47:34</v>
      </c>
      <c r="B5234" t="str">
        <f>"0000805695"</f>
        <v>0000805695</v>
      </c>
      <c r="C5234" t="str">
        <f t="shared" si="2144"/>
        <v>0000805575</v>
      </c>
      <c r="D5234" t="str">
        <f t="shared" si="2128"/>
        <v>73185</v>
      </c>
      <c r="E5234" t="str">
        <f t="shared" si="2129"/>
        <v>KFH-OPERATIONS DEPARTMENT</v>
      </c>
      <c r="F5234" t="str">
        <f t="shared" si="2130"/>
        <v>IBG</v>
      </c>
      <c r="G5234" t="str">
        <f t="shared" si="2139"/>
        <v>Refund COSHARE 10</v>
      </c>
      <c r="H5234" s="2">
        <v>1653.85</v>
      </c>
      <c r="I5234" t="str">
        <f>"AGUS PUTRA BIN APANDI"</f>
        <v>AGUS PUTRA BIN APANDI</v>
      </c>
      <c r="J5234" t="str">
        <f t="shared" si="2140"/>
        <v>MAYBANK / MAYBANK ISLAMIC</v>
      </c>
      <c r="K5234" t="str">
        <f>"114188014508"</f>
        <v>114188014508</v>
      </c>
      <c r="L5234" t="str">
        <f t="shared" si="2147"/>
        <v>04-08-2020</v>
      </c>
      <c r="M5234" t="str">
        <f t="shared" si="2147"/>
        <v>04-08-2020</v>
      </c>
      <c r="N5234" t="str">
        <f t="shared" si="2131"/>
        <v>001105018356</v>
      </c>
      <c r="O5234" t="str">
        <f t="shared" si="2132"/>
        <v>MYR</v>
      </c>
      <c r="P5234" t="str">
        <f t="shared" si="2148"/>
        <v>NIL</v>
      </c>
      <c r="Q5234" t="str">
        <f t="shared" si="2148"/>
        <v>NIL</v>
      </c>
      <c r="R5234" t="str">
        <f t="shared" si="2145"/>
        <v>Accepted</v>
      </c>
      <c r="S5234" t="str">
        <f t="shared" si="2133"/>
        <v>Approved</v>
      </c>
      <c r="T5234" t="str">
        <f t="shared" si="2146"/>
        <v>10.20.8.188</v>
      </c>
      <c r="U5234" t="str">
        <f t="shared" si="2134"/>
        <v>AZRAD UMAR BIN SHAARI</v>
      </c>
      <c r="V5234" t="str">
        <f t="shared" si="2135"/>
        <v>FARHANA BINTI MUSTAPA</v>
      </c>
      <c r="W5234" t="str">
        <f t="shared" si="2136"/>
        <v>04-08-2020</v>
      </c>
      <c r="X5234" t="str">
        <f t="shared" si="2137"/>
        <v>RAZIMAH ANSAR AHMAD</v>
      </c>
      <c r="Y5234" t="str">
        <f t="shared" si="2138"/>
        <v>04-08-2020</v>
      </c>
      <c r="Z5234" t="str">
        <f>"COS10200804 3920"</f>
        <v>COS10200804 3920</v>
      </c>
    </row>
    <row r="5235" spans="1:26" x14ac:dyDescent="0.25">
      <c r="A5235" t="str">
        <f t="shared" si="2143"/>
        <v>04-08-2020 12:47:34</v>
      </c>
      <c r="B5235" t="str">
        <f>"0000805694"</f>
        <v>0000805694</v>
      </c>
      <c r="C5235" t="str">
        <f t="shared" si="2144"/>
        <v>0000805575</v>
      </c>
      <c r="D5235" t="str">
        <f t="shared" si="2128"/>
        <v>73185</v>
      </c>
      <c r="E5235" t="str">
        <f t="shared" si="2129"/>
        <v>KFH-OPERATIONS DEPARTMENT</v>
      </c>
      <c r="F5235" t="str">
        <f t="shared" si="2130"/>
        <v>IBG</v>
      </c>
      <c r="G5235" t="str">
        <f t="shared" si="2139"/>
        <v>Refund COSHARE 10</v>
      </c>
      <c r="H5235" s="2">
        <v>738.8</v>
      </c>
      <c r="I5235" t="str">
        <f>"AGNES MOLLY ANAK EDDIE SAGA"</f>
        <v>AGNES MOLLY ANAK EDDIE SAGA</v>
      </c>
      <c r="J5235" t="str">
        <f t="shared" si="2140"/>
        <v>MAYBANK / MAYBANK ISLAMIC</v>
      </c>
      <c r="K5235" t="str">
        <f>"161024018854"</f>
        <v>161024018854</v>
      </c>
      <c r="L5235" t="str">
        <f t="shared" si="2147"/>
        <v>04-08-2020</v>
      </c>
      <c r="M5235" t="str">
        <f t="shared" si="2147"/>
        <v>04-08-2020</v>
      </c>
      <c r="N5235" t="str">
        <f t="shared" si="2131"/>
        <v>001105018356</v>
      </c>
      <c r="O5235" t="str">
        <f t="shared" si="2132"/>
        <v>MYR</v>
      </c>
      <c r="P5235" t="str">
        <f t="shared" si="2148"/>
        <v>NIL</v>
      </c>
      <c r="Q5235" t="str">
        <f t="shared" si="2148"/>
        <v>NIL</v>
      </c>
      <c r="R5235" t="str">
        <f t="shared" si="2145"/>
        <v>Accepted</v>
      </c>
      <c r="S5235" t="str">
        <f t="shared" si="2133"/>
        <v>Approved</v>
      </c>
      <c r="T5235" t="str">
        <f t="shared" si="2146"/>
        <v>10.20.8.188</v>
      </c>
      <c r="U5235" t="str">
        <f t="shared" si="2134"/>
        <v>AZRAD UMAR BIN SHAARI</v>
      </c>
      <c r="V5235" t="str">
        <f t="shared" si="2135"/>
        <v>FARHANA BINTI MUSTAPA</v>
      </c>
      <c r="W5235" t="str">
        <f t="shared" si="2136"/>
        <v>04-08-2020</v>
      </c>
      <c r="X5235" t="str">
        <f t="shared" si="2137"/>
        <v>RAZIMAH ANSAR AHMAD</v>
      </c>
      <c r="Y5235" t="str">
        <f t="shared" si="2138"/>
        <v>04-08-2020</v>
      </c>
      <c r="Z5235" t="str">
        <f>"COS10200804 3919"</f>
        <v>COS10200804 3919</v>
      </c>
    </row>
    <row r="5236" spans="1:26" x14ac:dyDescent="0.25">
      <c r="A5236" t="str">
        <f t="shared" si="2143"/>
        <v>04-08-2020 12:47:34</v>
      </c>
      <c r="B5236" t="str">
        <f>"0000805693"</f>
        <v>0000805693</v>
      </c>
      <c r="C5236" t="str">
        <f t="shared" si="2144"/>
        <v>0000805575</v>
      </c>
      <c r="D5236" t="str">
        <f t="shared" si="2128"/>
        <v>73185</v>
      </c>
      <c r="E5236" t="str">
        <f t="shared" si="2129"/>
        <v>KFH-OPERATIONS DEPARTMENT</v>
      </c>
      <c r="F5236" t="str">
        <f t="shared" si="2130"/>
        <v>IBG</v>
      </c>
      <c r="G5236" t="str">
        <f t="shared" si="2139"/>
        <v>Refund COSHARE 10</v>
      </c>
      <c r="H5236" s="2">
        <v>176.3</v>
      </c>
      <c r="I5236" t="str">
        <f>"AGNES MICHAEL STAUN"</f>
        <v>AGNES MICHAEL STAUN</v>
      </c>
      <c r="J5236" t="str">
        <f t="shared" si="2140"/>
        <v>MAYBANK / MAYBANK ISLAMIC</v>
      </c>
      <c r="K5236" t="str">
        <f>"110014062511"</f>
        <v>110014062511</v>
      </c>
      <c r="L5236" t="str">
        <f t="shared" si="2147"/>
        <v>04-08-2020</v>
      </c>
      <c r="M5236" t="str">
        <f t="shared" si="2147"/>
        <v>04-08-2020</v>
      </c>
      <c r="N5236" t="str">
        <f t="shared" si="2131"/>
        <v>001105018356</v>
      </c>
      <c r="O5236" t="str">
        <f t="shared" si="2132"/>
        <v>MYR</v>
      </c>
      <c r="P5236" t="str">
        <f t="shared" si="2148"/>
        <v>NIL</v>
      </c>
      <c r="Q5236" t="str">
        <f t="shared" si="2148"/>
        <v>NIL</v>
      </c>
      <c r="R5236" t="str">
        <f t="shared" si="2145"/>
        <v>Accepted</v>
      </c>
      <c r="S5236" t="str">
        <f t="shared" si="2133"/>
        <v>Approved</v>
      </c>
      <c r="T5236" t="str">
        <f t="shared" si="2146"/>
        <v>10.20.8.188</v>
      </c>
      <c r="U5236" t="str">
        <f t="shared" si="2134"/>
        <v>AZRAD UMAR BIN SHAARI</v>
      </c>
      <c r="V5236" t="str">
        <f t="shared" si="2135"/>
        <v>FARHANA BINTI MUSTAPA</v>
      </c>
      <c r="W5236" t="str">
        <f t="shared" si="2136"/>
        <v>04-08-2020</v>
      </c>
      <c r="X5236" t="str">
        <f t="shared" si="2137"/>
        <v>RAZIMAH ANSAR AHMAD</v>
      </c>
      <c r="Y5236" t="str">
        <f t="shared" si="2138"/>
        <v>04-08-2020</v>
      </c>
      <c r="Z5236" t="str">
        <f>"COS10200804 3918"</f>
        <v>COS10200804 3918</v>
      </c>
    </row>
    <row r="5237" spans="1:26" x14ac:dyDescent="0.25">
      <c r="A5237" t="str">
        <f t="shared" si="2143"/>
        <v>04-08-2020 12:47:34</v>
      </c>
      <c r="B5237" t="str">
        <f>"0000805692"</f>
        <v>0000805692</v>
      </c>
      <c r="C5237" t="str">
        <f t="shared" si="2144"/>
        <v>0000805575</v>
      </c>
      <c r="D5237" t="str">
        <f t="shared" si="2128"/>
        <v>73185</v>
      </c>
      <c r="E5237" t="str">
        <f t="shared" si="2129"/>
        <v>KFH-OPERATIONS DEPARTMENT</v>
      </c>
      <c r="F5237" t="str">
        <f t="shared" si="2130"/>
        <v>IBG</v>
      </c>
      <c r="G5237" t="str">
        <f t="shared" si="2139"/>
        <v>Refund COSHARE 10</v>
      </c>
      <c r="H5237" s="2">
        <v>176.3</v>
      </c>
      <c r="I5237" t="str">
        <f>"AGMOHDSHAHZAM BIN AGBAKAR"</f>
        <v>AGMOHDSHAHZAM BIN AGBAKAR</v>
      </c>
      <c r="J5237" t="str">
        <f t="shared" si="2140"/>
        <v>MAYBANK / MAYBANK ISLAMIC</v>
      </c>
      <c r="K5237" t="str">
        <f>"110189009961"</f>
        <v>110189009961</v>
      </c>
      <c r="L5237" t="str">
        <f t="shared" si="2147"/>
        <v>04-08-2020</v>
      </c>
      <c r="M5237" t="str">
        <f t="shared" si="2147"/>
        <v>04-08-2020</v>
      </c>
      <c r="N5237" t="str">
        <f t="shared" si="2131"/>
        <v>001105018356</v>
      </c>
      <c r="O5237" t="str">
        <f t="shared" si="2132"/>
        <v>MYR</v>
      </c>
      <c r="P5237" t="str">
        <f t="shared" si="2148"/>
        <v>NIL</v>
      </c>
      <c r="Q5237" t="str">
        <f t="shared" si="2148"/>
        <v>NIL</v>
      </c>
      <c r="R5237" t="str">
        <f t="shared" si="2145"/>
        <v>Accepted</v>
      </c>
      <c r="S5237" t="str">
        <f t="shared" si="2133"/>
        <v>Approved</v>
      </c>
      <c r="T5237" t="str">
        <f t="shared" si="2146"/>
        <v>10.20.8.188</v>
      </c>
      <c r="U5237" t="str">
        <f t="shared" si="2134"/>
        <v>AZRAD UMAR BIN SHAARI</v>
      </c>
      <c r="V5237" t="str">
        <f t="shared" si="2135"/>
        <v>FARHANA BINTI MUSTAPA</v>
      </c>
      <c r="W5237" t="str">
        <f t="shared" si="2136"/>
        <v>04-08-2020</v>
      </c>
      <c r="X5237" t="str">
        <f t="shared" si="2137"/>
        <v>RAZIMAH ANSAR AHMAD</v>
      </c>
      <c r="Y5237" t="str">
        <f t="shared" si="2138"/>
        <v>04-08-2020</v>
      </c>
      <c r="Z5237" t="str">
        <f>"COS10200804 3917"</f>
        <v>COS10200804 3917</v>
      </c>
    </row>
    <row r="5238" spans="1:26" x14ac:dyDescent="0.25">
      <c r="A5238" t="str">
        <f t="shared" si="2143"/>
        <v>04-08-2020 12:47:34</v>
      </c>
      <c r="B5238" t="str">
        <f>"0000805691"</f>
        <v>0000805691</v>
      </c>
      <c r="C5238" t="str">
        <f t="shared" si="2144"/>
        <v>0000805575</v>
      </c>
      <c r="D5238" t="str">
        <f t="shared" si="2128"/>
        <v>73185</v>
      </c>
      <c r="E5238" t="str">
        <f t="shared" si="2129"/>
        <v>KFH-OPERATIONS DEPARTMENT</v>
      </c>
      <c r="F5238" t="str">
        <f t="shared" si="2130"/>
        <v>IBG</v>
      </c>
      <c r="G5238" t="str">
        <f t="shared" si="2139"/>
        <v>Refund COSHARE 10</v>
      </c>
      <c r="H5238" s="2">
        <v>83.95</v>
      </c>
      <c r="I5238" t="str">
        <f>"AG SUKRI BIN IBRAHIM"</f>
        <v>AG SUKRI BIN IBRAHIM</v>
      </c>
      <c r="J5238" t="str">
        <f t="shared" si="2140"/>
        <v>MAYBANK / MAYBANK ISLAMIC</v>
      </c>
      <c r="K5238" t="str">
        <f>"160063270752"</f>
        <v>160063270752</v>
      </c>
      <c r="L5238" t="str">
        <f t="shared" si="2147"/>
        <v>04-08-2020</v>
      </c>
      <c r="M5238" t="str">
        <f t="shared" si="2147"/>
        <v>04-08-2020</v>
      </c>
      <c r="N5238" t="str">
        <f t="shared" si="2131"/>
        <v>001105018356</v>
      </c>
      <c r="O5238" t="str">
        <f t="shared" si="2132"/>
        <v>MYR</v>
      </c>
      <c r="P5238" t="str">
        <f t="shared" si="2148"/>
        <v>NIL</v>
      </c>
      <c r="Q5238" t="str">
        <f t="shared" si="2148"/>
        <v>NIL</v>
      </c>
      <c r="R5238" t="str">
        <f t="shared" si="2145"/>
        <v>Accepted</v>
      </c>
      <c r="S5238" t="str">
        <f t="shared" si="2133"/>
        <v>Approved</v>
      </c>
      <c r="T5238" t="str">
        <f t="shared" si="2146"/>
        <v>10.20.8.188</v>
      </c>
      <c r="U5238" t="str">
        <f t="shared" si="2134"/>
        <v>AZRAD UMAR BIN SHAARI</v>
      </c>
      <c r="V5238" t="str">
        <f t="shared" si="2135"/>
        <v>FARHANA BINTI MUSTAPA</v>
      </c>
      <c r="W5238" t="str">
        <f t="shared" si="2136"/>
        <v>04-08-2020</v>
      </c>
      <c r="X5238" t="str">
        <f t="shared" si="2137"/>
        <v>RAZIMAH ANSAR AHMAD</v>
      </c>
      <c r="Y5238" t="str">
        <f t="shared" si="2138"/>
        <v>04-08-2020</v>
      </c>
      <c r="Z5238" t="str">
        <f>"COS10200804 3916"</f>
        <v>COS10200804 3916</v>
      </c>
    </row>
    <row r="5239" spans="1:26" x14ac:dyDescent="0.25">
      <c r="A5239" t="str">
        <f t="shared" si="2143"/>
        <v>04-08-2020 12:47:34</v>
      </c>
      <c r="B5239" t="str">
        <f>"0000805690"</f>
        <v>0000805690</v>
      </c>
      <c r="C5239" t="str">
        <f t="shared" si="2144"/>
        <v>0000805575</v>
      </c>
      <c r="D5239" t="str">
        <f t="shared" si="2128"/>
        <v>73185</v>
      </c>
      <c r="E5239" t="str">
        <f t="shared" si="2129"/>
        <v>KFH-OPERATIONS DEPARTMENT</v>
      </c>
      <c r="F5239" t="str">
        <f t="shared" si="2130"/>
        <v>IBG</v>
      </c>
      <c r="G5239" t="str">
        <f t="shared" si="2139"/>
        <v>Refund COSHARE 10</v>
      </c>
      <c r="H5239" s="2">
        <v>145</v>
      </c>
      <c r="I5239" t="str">
        <f>"AFZAMZARINO BIN ISMAIL"</f>
        <v>AFZAMZARINO BIN ISMAIL</v>
      </c>
      <c r="J5239" t="str">
        <f t="shared" si="2140"/>
        <v>MAYBANK / MAYBANK ISLAMIC</v>
      </c>
      <c r="K5239" t="str">
        <f>"157081288698"</f>
        <v>157081288698</v>
      </c>
      <c r="L5239" t="str">
        <f t="shared" si="2147"/>
        <v>04-08-2020</v>
      </c>
      <c r="M5239" t="str">
        <f t="shared" si="2147"/>
        <v>04-08-2020</v>
      </c>
      <c r="N5239" t="str">
        <f t="shared" si="2131"/>
        <v>001105018356</v>
      </c>
      <c r="O5239" t="str">
        <f t="shared" si="2132"/>
        <v>MYR</v>
      </c>
      <c r="P5239" t="str">
        <f t="shared" si="2148"/>
        <v>NIL</v>
      </c>
      <c r="Q5239" t="str">
        <f t="shared" si="2148"/>
        <v>NIL</v>
      </c>
      <c r="R5239" t="str">
        <f t="shared" si="2145"/>
        <v>Accepted</v>
      </c>
      <c r="S5239" t="str">
        <f t="shared" si="2133"/>
        <v>Approved</v>
      </c>
      <c r="T5239" t="str">
        <f t="shared" si="2146"/>
        <v>10.20.8.188</v>
      </c>
      <c r="U5239" t="str">
        <f t="shared" si="2134"/>
        <v>AZRAD UMAR BIN SHAARI</v>
      </c>
      <c r="V5239" t="str">
        <f t="shared" si="2135"/>
        <v>FARHANA BINTI MUSTAPA</v>
      </c>
      <c r="W5239" t="str">
        <f t="shared" si="2136"/>
        <v>04-08-2020</v>
      </c>
      <c r="X5239" t="str">
        <f t="shared" si="2137"/>
        <v>RAZIMAH ANSAR AHMAD</v>
      </c>
      <c r="Y5239" t="str">
        <f t="shared" si="2138"/>
        <v>04-08-2020</v>
      </c>
      <c r="Z5239" t="str">
        <f>"COS10200804 3915"</f>
        <v>COS10200804 3915</v>
      </c>
    </row>
    <row r="5240" spans="1:26" x14ac:dyDescent="0.25">
      <c r="A5240" t="str">
        <f t="shared" si="2143"/>
        <v>04-08-2020 12:47:34</v>
      </c>
      <c r="B5240" t="str">
        <f>"0000805689"</f>
        <v>0000805689</v>
      </c>
      <c r="C5240" t="str">
        <f t="shared" si="2144"/>
        <v>0000805575</v>
      </c>
      <c r="D5240" t="str">
        <f t="shared" si="2128"/>
        <v>73185</v>
      </c>
      <c r="E5240" t="str">
        <f t="shared" si="2129"/>
        <v>KFH-OPERATIONS DEPARTMENT</v>
      </c>
      <c r="F5240" t="str">
        <f t="shared" si="2130"/>
        <v>IBG</v>
      </c>
      <c r="G5240" t="str">
        <f t="shared" si="2139"/>
        <v>Refund COSHARE 10</v>
      </c>
      <c r="H5240" s="2">
        <v>60.35</v>
      </c>
      <c r="I5240" t="str">
        <f>"AFZAIRUDY BIN MUSTAFA AFANDI"</f>
        <v>AFZAIRUDY BIN MUSTAFA AFANDI</v>
      </c>
      <c r="J5240" t="str">
        <f t="shared" si="2140"/>
        <v>MAYBANK / MAYBANK ISLAMIC</v>
      </c>
      <c r="K5240" t="str">
        <f>"158220481089"</f>
        <v>158220481089</v>
      </c>
      <c r="L5240" t="str">
        <f t="shared" si="2147"/>
        <v>04-08-2020</v>
      </c>
      <c r="M5240" t="str">
        <f t="shared" si="2147"/>
        <v>04-08-2020</v>
      </c>
      <c r="N5240" t="str">
        <f t="shared" si="2131"/>
        <v>001105018356</v>
      </c>
      <c r="O5240" t="str">
        <f t="shared" si="2132"/>
        <v>MYR</v>
      </c>
      <c r="P5240" t="str">
        <f t="shared" si="2148"/>
        <v>NIL</v>
      </c>
      <c r="Q5240" t="str">
        <f t="shared" si="2148"/>
        <v>NIL</v>
      </c>
      <c r="R5240" t="str">
        <f t="shared" si="2145"/>
        <v>Accepted</v>
      </c>
      <c r="S5240" t="str">
        <f t="shared" si="2133"/>
        <v>Approved</v>
      </c>
      <c r="T5240" t="str">
        <f t="shared" si="2146"/>
        <v>10.20.8.188</v>
      </c>
      <c r="U5240" t="str">
        <f t="shared" si="2134"/>
        <v>AZRAD UMAR BIN SHAARI</v>
      </c>
      <c r="V5240" t="str">
        <f t="shared" si="2135"/>
        <v>FARHANA BINTI MUSTAPA</v>
      </c>
      <c r="W5240" t="str">
        <f t="shared" si="2136"/>
        <v>04-08-2020</v>
      </c>
      <c r="X5240" t="str">
        <f t="shared" si="2137"/>
        <v>RAZIMAH ANSAR AHMAD</v>
      </c>
      <c r="Y5240" t="str">
        <f t="shared" si="2138"/>
        <v>04-08-2020</v>
      </c>
      <c r="Z5240" t="str">
        <f>"COS10200804 3914"</f>
        <v>COS10200804 3914</v>
      </c>
    </row>
    <row r="5241" spans="1:26" x14ac:dyDescent="0.25">
      <c r="A5241" t="str">
        <f t="shared" si="2143"/>
        <v>04-08-2020 12:47:34</v>
      </c>
      <c r="B5241" t="str">
        <f>"0000805688"</f>
        <v>0000805688</v>
      </c>
      <c r="C5241" t="str">
        <f t="shared" si="2144"/>
        <v>0000805575</v>
      </c>
      <c r="D5241" t="str">
        <f t="shared" si="2128"/>
        <v>73185</v>
      </c>
      <c r="E5241" t="str">
        <f t="shared" si="2129"/>
        <v>KFH-OPERATIONS DEPARTMENT</v>
      </c>
      <c r="F5241" t="str">
        <f t="shared" si="2130"/>
        <v>IBG</v>
      </c>
      <c r="G5241" t="str">
        <f t="shared" si="2139"/>
        <v>Refund COSHARE 10</v>
      </c>
      <c r="H5241" s="2">
        <v>142.75</v>
      </c>
      <c r="I5241" t="str">
        <f>"AFROZ AHMAD BIN SULTAN"</f>
        <v>AFROZ AHMAD BIN SULTAN</v>
      </c>
      <c r="J5241" t="str">
        <f t="shared" si="2140"/>
        <v>MAYBANK / MAYBANK ISLAMIC</v>
      </c>
      <c r="K5241" t="str">
        <f>"105064205388"</f>
        <v>105064205388</v>
      </c>
      <c r="L5241" t="str">
        <f t="shared" si="2147"/>
        <v>04-08-2020</v>
      </c>
      <c r="M5241" t="str">
        <f t="shared" si="2147"/>
        <v>04-08-2020</v>
      </c>
      <c r="N5241" t="str">
        <f t="shared" si="2131"/>
        <v>001105018356</v>
      </c>
      <c r="O5241" t="str">
        <f t="shared" si="2132"/>
        <v>MYR</v>
      </c>
      <c r="P5241" t="str">
        <f t="shared" si="2148"/>
        <v>NIL</v>
      </c>
      <c r="Q5241" t="str">
        <f t="shared" si="2148"/>
        <v>NIL</v>
      </c>
      <c r="R5241" t="str">
        <f t="shared" si="2145"/>
        <v>Accepted</v>
      </c>
      <c r="S5241" t="str">
        <f t="shared" si="2133"/>
        <v>Approved</v>
      </c>
      <c r="T5241" t="str">
        <f t="shared" si="2146"/>
        <v>10.20.8.188</v>
      </c>
      <c r="U5241" t="str">
        <f t="shared" si="2134"/>
        <v>AZRAD UMAR BIN SHAARI</v>
      </c>
      <c r="V5241" t="str">
        <f t="shared" si="2135"/>
        <v>FARHANA BINTI MUSTAPA</v>
      </c>
      <c r="W5241" t="str">
        <f t="shared" si="2136"/>
        <v>04-08-2020</v>
      </c>
      <c r="X5241" t="str">
        <f t="shared" si="2137"/>
        <v>RAZIMAH ANSAR AHMAD</v>
      </c>
      <c r="Y5241" t="str">
        <f t="shared" si="2138"/>
        <v>04-08-2020</v>
      </c>
      <c r="Z5241" t="str">
        <f>"COS10200804 3913"</f>
        <v>COS10200804 3913</v>
      </c>
    </row>
    <row r="5242" spans="1:26" x14ac:dyDescent="0.25">
      <c r="A5242" t="str">
        <f t="shared" si="2143"/>
        <v>04-08-2020 12:47:34</v>
      </c>
      <c r="B5242" t="str">
        <f>"0000805687"</f>
        <v>0000805687</v>
      </c>
      <c r="C5242" t="str">
        <f t="shared" si="2144"/>
        <v>0000805575</v>
      </c>
      <c r="D5242" t="str">
        <f t="shared" si="2128"/>
        <v>73185</v>
      </c>
      <c r="E5242" t="str">
        <f t="shared" si="2129"/>
        <v>KFH-OPERATIONS DEPARTMENT</v>
      </c>
      <c r="F5242" t="str">
        <f t="shared" si="2130"/>
        <v>IBG</v>
      </c>
      <c r="G5242" t="str">
        <f t="shared" si="2139"/>
        <v>Refund COSHARE 10</v>
      </c>
      <c r="H5242" s="2">
        <v>444.95</v>
      </c>
      <c r="I5242" t="str">
        <f>"AFRIZAL BIN AMININ"</f>
        <v>AFRIZAL BIN AMININ</v>
      </c>
      <c r="J5242" t="str">
        <f t="shared" si="2140"/>
        <v>MAYBANK / MAYBANK ISLAMIC</v>
      </c>
      <c r="K5242" t="str">
        <f>"162218387650"</f>
        <v>162218387650</v>
      </c>
      <c r="L5242" t="str">
        <f t="shared" si="2147"/>
        <v>04-08-2020</v>
      </c>
      <c r="M5242" t="str">
        <f t="shared" si="2147"/>
        <v>04-08-2020</v>
      </c>
      <c r="N5242" t="str">
        <f t="shared" si="2131"/>
        <v>001105018356</v>
      </c>
      <c r="O5242" t="str">
        <f t="shared" si="2132"/>
        <v>MYR</v>
      </c>
      <c r="P5242" t="str">
        <f t="shared" si="2148"/>
        <v>NIL</v>
      </c>
      <c r="Q5242" t="str">
        <f t="shared" si="2148"/>
        <v>NIL</v>
      </c>
      <c r="R5242" t="str">
        <f t="shared" si="2145"/>
        <v>Accepted</v>
      </c>
      <c r="S5242" t="str">
        <f t="shared" si="2133"/>
        <v>Approved</v>
      </c>
      <c r="T5242" t="str">
        <f t="shared" si="2146"/>
        <v>10.20.8.188</v>
      </c>
      <c r="U5242" t="str">
        <f t="shared" si="2134"/>
        <v>AZRAD UMAR BIN SHAARI</v>
      </c>
      <c r="V5242" t="str">
        <f t="shared" si="2135"/>
        <v>FARHANA BINTI MUSTAPA</v>
      </c>
      <c r="W5242" t="str">
        <f t="shared" si="2136"/>
        <v>04-08-2020</v>
      </c>
      <c r="X5242" t="str">
        <f t="shared" si="2137"/>
        <v>RAZIMAH ANSAR AHMAD</v>
      </c>
      <c r="Y5242" t="str">
        <f t="shared" si="2138"/>
        <v>04-08-2020</v>
      </c>
      <c r="Z5242" t="str">
        <f>"COS10200804 3912"</f>
        <v>COS10200804 3912</v>
      </c>
    </row>
    <row r="5243" spans="1:26" x14ac:dyDescent="0.25">
      <c r="A5243" t="str">
        <f t="shared" si="2143"/>
        <v>04-08-2020 12:47:34</v>
      </c>
      <c r="B5243" t="str">
        <f>"0000805686"</f>
        <v>0000805686</v>
      </c>
      <c r="C5243" t="str">
        <f t="shared" si="2144"/>
        <v>0000805575</v>
      </c>
      <c r="D5243" t="str">
        <f t="shared" si="2128"/>
        <v>73185</v>
      </c>
      <c r="E5243" t="str">
        <f t="shared" si="2129"/>
        <v>KFH-OPERATIONS DEPARTMENT</v>
      </c>
      <c r="F5243" t="str">
        <f t="shared" si="2130"/>
        <v>IBG</v>
      </c>
      <c r="G5243" t="str">
        <f t="shared" si="2139"/>
        <v>Refund COSHARE 10</v>
      </c>
      <c r="H5243" s="2">
        <v>99</v>
      </c>
      <c r="I5243" t="str">
        <f>"AFIZAH BINTI MD YUSOFF"</f>
        <v>AFIZAH BINTI MD YUSOFF</v>
      </c>
      <c r="J5243" t="str">
        <f t="shared" si="2140"/>
        <v>MAYBANK / MAYBANK ISLAMIC</v>
      </c>
      <c r="K5243" t="str">
        <f>"157091113726"</f>
        <v>157091113726</v>
      </c>
      <c r="L5243" t="str">
        <f t="shared" si="2147"/>
        <v>04-08-2020</v>
      </c>
      <c r="M5243" t="str">
        <f t="shared" si="2147"/>
        <v>04-08-2020</v>
      </c>
      <c r="N5243" t="str">
        <f t="shared" si="2131"/>
        <v>001105018356</v>
      </c>
      <c r="O5243" t="str">
        <f t="shared" si="2132"/>
        <v>MYR</v>
      </c>
      <c r="P5243" t="str">
        <f t="shared" si="2148"/>
        <v>NIL</v>
      </c>
      <c r="Q5243" t="str">
        <f t="shared" si="2148"/>
        <v>NIL</v>
      </c>
      <c r="R5243" t="str">
        <f t="shared" si="2145"/>
        <v>Accepted</v>
      </c>
      <c r="S5243" t="str">
        <f t="shared" si="2133"/>
        <v>Approved</v>
      </c>
      <c r="T5243" t="str">
        <f t="shared" si="2146"/>
        <v>10.20.8.188</v>
      </c>
      <c r="U5243" t="str">
        <f t="shared" si="2134"/>
        <v>AZRAD UMAR BIN SHAARI</v>
      </c>
      <c r="V5243" t="str">
        <f t="shared" si="2135"/>
        <v>FARHANA BINTI MUSTAPA</v>
      </c>
      <c r="W5243" t="str">
        <f t="shared" si="2136"/>
        <v>04-08-2020</v>
      </c>
      <c r="X5243" t="str">
        <f t="shared" si="2137"/>
        <v>RAZIMAH ANSAR AHMAD</v>
      </c>
      <c r="Y5243" t="str">
        <f t="shared" si="2138"/>
        <v>04-08-2020</v>
      </c>
      <c r="Z5243" t="str">
        <f>"COS10200804 3911"</f>
        <v>COS10200804 3911</v>
      </c>
    </row>
    <row r="5244" spans="1:26" x14ac:dyDescent="0.25">
      <c r="A5244" t="str">
        <f t="shared" si="2143"/>
        <v>04-08-2020 12:47:34</v>
      </c>
      <c r="B5244" t="str">
        <f>"0000805685"</f>
        <v>0000805685</v>
      </c>
      <c r="C5244" t="str">
        <f t="shared" si="2144"/>
        <v>0000805575</v>
      </c>
      <c r="D5244" t="str">
        <f t="shared" si="2128"/>
        <v>73185</v>
      </c>
      <c r="E5244" t="str">
        <f t="shared" si="2129"/>
        <v>KFH-OPERATIONS DEPARTMENT</v>
      </c>
      <c r="F5244" t="str">
        <f t="shared" si="2130"/>
        <v>IBG</v>
      </c>
      <c r="G5244" t="str">
        <f t="shared" si="2139"/>
        <v>Refund COSHARE 10</v>
      </c>
      <c r="H5244" s="2">
        <v>394.6</v>
      </c>
      <c r="I5244" t="str">
        <f>"AFIZAH BINTI AYOB"</f>
        <v>AFIZAH BINTI AYOB</v>
      </c>
      <c r="J5244" t="str">
        <f t="shared" si="2140"/>
        <v>MAYBANK / MAYBANK ISLAMIC</v>
      </c>
      <c r="K5244" t="str">
        <f>"154026044993"</f>
        <v>154026044993</v>
      </c>
      <c r="L5244" t="str">
        <f t="shared" si="2147"/>
        <v>04-08-2020</v>
      </c>
      <c r="M5244" t="str">
        <f t="shared" si="2147"/>
        <v>04-08-2020</v>
      </c>
      <c r="N5244" t="str">
        <f t="shared" si="2131"/>
        <v>001105018356</v>
      </c>
      <c r="O5244" t="str">
        <f t="shared" si="2132"/>
        <v>MYR</v>
      </c>
      <c r="P5244" t="str">
        <f t="shared" si="2148"/>
        <v>NIL</v>
      </c>
      <c r="Q5244" t="str">
        <f t="shared" si="2148"/>
        <v>NIL</v>
      </c>
      <c r="R5244" t="str">
        <f t="shared" si="2145"/>
        <v>Accepted</v>
      </c>
      <c r="S5244" t="str">
        <f t="shared" si="2133"/>
        <v>Approved</v>
      </c>
      <c r="T5244" t="str">
        <f t="shared" si="2146"/>
        <v>10.20.8.188</v>
      </c>
      <c r="U5244" t="str">
        <f t="shared" si="2134"/>
        <v>AZRAD UMAR BIN SHAARI</v>
      </c>
      <c r="V5244" t="str">
        <f t="shared" si="2135"/>
        <v>FARHANA BINTI MUSTAPA</v>
      </c>
      <c r="W5244" t="str">
        <f t="shared" si="2136"/>
        <v>04-08-2020</v>
      </c>
      <c r="X5244" t="str">
        <f t="shared" si="2137"/>
        <v>RAZIMAH ANSAR AHMAD</v>
      </c>
      <c r="Y5244" t="str">
        <f t="shared" si="2138"/>
        <v>04-08-2020</v>
      </c>
      <c r="Z5244" t="str">
        <f>"COS10200804 3910"</f>
        <v>COS10200804 3910</v>
      </c>
    </row>
    <row r="5245" spans="1:26" x14ac:dyDescent="0.25">
      <c r="A5245" t="str">
        <f t="shared" si="2143"/>
        <v>04-08-2020 12:47:34</v>
      </c>
      <c r="B5245" t="str">
        <f>"0000805684"</f>
        <v>0000805684</v>
      </c>
      <c r="C5245" t="str">
        <f t="shared" si="2144"/>
        <v>0000805575</v>
      </c>
      <c r="D5245" t="str">
        <f t="shared" si="2128"/>
        <v>73185</v>
      </c>
      <c r="E5245" t="str">
        <f t="shared" si="2129"/>
        <v>KFH-OPERATIONS DEPARTMENT</v>
      </c>
      <c r="F5245" t="str">
        <f t="shared" si="2130"/>
        <v>IBG</v>
      </c>
      <c r="G5245" t="str">
        <f t="shared" si="2139"/>
        <v>Refund COSHARE 10</v>
      </c>
      <c r="H5245" s="2">
        <v>391</v>
      </c>
      <c r="I5245" t="str">
        <f>"AFIZA BINTI ELIAS"</f>
        <v>AFIZA BINTI ELIAS</v>
      </c>
      <c r="J5245" t="str">
        <f t="shared" si="2140"/>
        <v>MAYBANK / MAYBANK ISLAMIC</v>
      </c>
      <c r="K5245" t="str">
        <f>"157120142715"</f>
        <v>157120142715</v>
      </c>
      <c r="L5245" t="str">
        <f t="shared" si="2147"/>
        <v>04-08-2020</v>
      </c>
      <c r="M5245" t="str">
        <f t="shared" si="2147"/>
        <v>04-08-2020</v>
      </c>
      <c r="N5245" t="str">
        <f t="shared" si="2131"/>
        <v>001105018356</v>
      </c>
      <c r="O5245" t="str">
        <f t="shared" si="2132"/>
        <v>MYR</v>
      </c>
      <c r="P5245" t="str">
        <f t="shared" si="2148"/>
        <v>NIL</v>
      </c>
      <c r="Q5245" t="str">
        <f t="shared" si="2148"/>
        <v>NIL</v>
      </c>
      <c r="R5245" t="str">
        <f t="shared" si="2145"/>
        <v>Accepted</v>
      </c>
      <c r="S5245" t="str">
        <f t="shared" si="2133"/>
        <v>Approved</v>
      </c>
      <c r="T5245" t="str">
        <f t="shared" si="2146"/>
        <v>10.20.8.188</v>
      </c>
      <c r="U5245" t="str">
        <f t="shared" si="2134"/>
        <v>AZRAD UMAR BIN SHAARI</v>
      </c>
      <c r="V5245" t="str">
        <f t="shared" si="2135"/>
        <v>FARHANA BINTI MUSTAPA</v>
      </c>
      <c r="W5245" t="str">
        <f t="shared" si="2136"/>
        <v>04-08-2020</v>
      </c>
      <c r="X5245" t="str">
        <f t="shared" si="2137"/>
        <v>RAZIMAH ANSAR AHMAD</v>
      </c>
      <c r="Y5245" t="str">
        <f t="shared" si="2138"/>
        <v>04-08-2020</v>
      </c>
      <c r="Z5245" t="str">
        <f>"COS10200804 3909"</f>
        <v>COS10200804 3909</v>
      </c>
    </row>
    <row r="5246" spans="1:26" x14ac:dyDescent="0.25">
      <c r="A5246" t="str">
        <f t="shared" si="2143"/>
        <v>04-08-2020 12:47:34</v>
      </c>
      <c r="B5246" t="str">
        <f>"0000805683"</f>
        <v>0000805683</v>
      </c>
      <c r="C5246" t="str">
        <f t="shared" si="2144"/>
        <v>0000805575</v>
      </c>
      <c r="D5246" t="str">
        <f t="shared" si="2128"/>
        <v>73185</v>
      </c>
      <c r="E5246" t="str">
        <f t="shared" si="2129"/>
        <v>KFH-OPERATIONS DEPARTMENT</v>
      </c>
      <c r="F5246" t="str">
        <f t="shared" si="2130"/>
        <v>IBG</v>
      </c>
      <c r="G5246" t="str">
        <f t="shared" si="2139"/>
        <v>Refund COSHARE 10</v>
      </c>
      <c r="H5246" s="2">
        <v>671.6</v>
      </c>
      <c r="I5246" t="str">
        <f>"AFIFAH BINTI RAMLI"</f>
        <v>AFIFAH BINTI RAMLI</v>
      </c>
      <c r="J5246" t="str">
        <f t="shared" si="2140"/>
        <v>MAYBANK / MAYBANK ISLAMIC</v>
      </c>
      <c r="K5246" t="str">
        <f>"164034290465"</f>
        <v>164034290465</v>
      </c>
      <c r="L5246" t="str">
        <f t="shared" si="2147"/>
        <v>04-08-2020</v>
      </c>
      <c r="M5246" t="str">
        <f t="shared" si="2147"/>
        <v>04-08-2020</v>
      </c>
      <c r="N5246" t="str">
        <f t="shared" si="2131"/>
        <v>001105018356</v>
      </c>
      <c r="O5246" t="str">
        <f t="shared" si="2132"/>
        <v>MYR</v>
      </c>
      <c r="P5246" t="str">
        <f t="shared" si="2148"/>
        <v>NIL</v>
      </c>
      <c r="Q5246" t="str">
        <f t="shared" si="2148"/>
        <v>NIL</v>
      </c>
      <c r="R5246" t="str">
        <f t="shared" si="2145"/>
        <v>Accepted</v>
      </c>
      <c r="S5246" t="str">
        <f t="shared" si="2133"/>
        <v>Approved</v>
      </c>
      <c r="T5246" t="str">
        <f t="shared" si="2146"/>
        <v>10.20.8.188</v>
      </c>
      <c r="U5246" t="str">
        <f t="shared" si="2134"/>
        <v>AZRAD UMAR BIN SHAARI</v>
      </c>
      <c r="V5246" t="str">
        <f t="shared" si="2135"/>
        <v>FARHANA BINTI MUSTAPA</v>
      </c>
      <c r="W5246" t="str">
        <f t="shared" si="2136"/>
        <v>04-08-2020</v>
      </c>
      <c r="X5246" t="str">
        <f t="shared" si="2137"/>
        <v>RAZIMAH ANSAR AHMAD</v>
      </c>
      <c r="Y5246" t="str">
        <f t="shared" si="2138"/>
        <v>04-08-2020</v>
      </c>
      <c r="Z5246" t="str">
        <f>"COS10200804 3908"</f>
        <v>COS10200804 3908</v>
      </c>
    </row>
    <row r="5247" spans="1:26" x14ac:dyDescent="0.25">
      <c r="A5247" t="str">
        <f t="shared" si="2143"/>
        <v>04-08-2020 12:47:34</v>
      </c>
      <c r="B5247" t="str">
        <f>"0000805682"</f>
        <v>0000805682</v>
      </c>
      <c r="C5247" t="str">
        <f t="shared" si="2144"/>
        <v>0000805575</v>
      </c>
      <c r="D5247" t="str">
        <f t="shared" si="2128"/>
        <v>73185</v>
      </c>
      <c r="E5247" t="str">
        <f t="shared" si="2129"/>
        <v>KFH-OPERATIONS DEPARTMENT</v>
      </c>
      <c r="F5247" t="str">
        <f t="shared" si="2130"/>
        <v>IBG</v>
      </c>
      <c r="G5247" t="str">
        <f t="shared" si="2139"/>
        <v>Refund COSHARE 10</v>
      </c>
      <c r="H5247" s="2">
        <v>587.65</v>
      </c>
      <c r="I5247" t="str">
        <f>"AFIFAH BINTI MUHAMAD"</f>
        <v>AFIFAH BINTI MUHAMAD</v>
      </c>
      <c r="J5247" t="str">
        <f t="shared" si="2140"/>
        <v>MAYBANK / MAYBANK ISLAMIC</v>
      </c>
      <c r="K5247" t="str">
        <f>"162188346876"</f>
        <v>162188346876</v>
      </c>
      <c r="L5247" t="str">
        <f t="shared" ref="L5247:M5266" si="2149">"04-08-2020"</f>
        <v>04-08-2020</v>
      </c>
      <c r="M5247" t="str">
        <f t="shared" si="2149"/>
        <v>04-08-2020</v>
      </c>
      <c r="N5247" t="str">
        <f t="shared" si="2131"/>
        <v>001105018356</v>
      </c>
      <c r="O5247" t="str">
        <f t="shared" si="2132"/>
        <v>MYR</v>
      </c>
      <c r="P5247" t="str">
        <f t="shared" ref="P5247:Q5266" si="2150">"NIL"</f>
        <v>NIL</v>
      </c>
      <c r="Q5247" t="str">
        <f t="shared" si="2150"/>
        <v>NIL</v>
      </c>
      <c r="R5247" t="str">
        <f t="shared" si="2145"/>
        <v>Accepted</v>
      </c>
      <c r="S5247" t="str">
        <f t="shared" si="2133"/>
        <v>Approved</v>
      </c>
      <c r="T5247" t="str">
        <f t="shared" si="2146"/>
        <v>10.20.8.188</v>
      </c>
      <c r="U5247" t="str">
        <f t="shared" si="2134"/>
        <v>AZRAD UMAR BIN SHAARI</v>
      </c>
      <c r="V5247" t="str">
        <f t="shared" si="2135"/>
        <v>FARHANA BINTI MUSTAPA</v>
      </c>
      <c r="W5247" t="str">
        <f t="shared" si="2136"/>
        <v>04-08-2020</v>
      </c>
      <c r="X5247" t="str">
        <f t="shared" si="2137"/>
        <v>RAZIMAH ANSAR AHMAD</v>
      </c>
      <c r="Y5247" t="str">
        <f t="shared" si="2138"/>
        <v>04-08-2020</v>
      </c>
      <c r="Z5247" t="str">
        <f>"COS10200804 3907"</f>
        <v>COS10200804 3907</v>
      </c>
    </row>
    <row r="5248" spans="1:26" x14ac:dyDescent="0.25">
      <c r="A5248" t="str">
        <f t="shared" si="2143"/>
        <v>04-08-2020 12:47:34</v>
      </c>
      <c r="B5248" t="str">
        <f>"0000805681"</f>
        <v>0000805681</v>
      </c>
      <c r="C5248" t="str">
        <f t="shared" si="2144"/>
        <v>0000805575</v>
      </c>
      <c r="D5248" t="str">
        <f t="shared" si="2128"/>
        <v>73185</v>
      </c>
      <c r="E5248" t="str">
        <f t="shared" si="2129"/>
        <v>KFH-OPERATIONS DEPARTMENT</v>
      </c>
      <c r="F5248" t="str">
        <f t="shared" si="2130"/>
        <v>IBG</v>
      </c>
      <c r="G5248" t="str">
        <f t="shared" si="2139"/>
        <v>Refund COSHARE 10</v>
      </c>
      <c r="H5248" s="2">
        <v>755.6</v>
      </c>
      <c r="I5248" t="str">
        <f>"AFIF ABDUL FATTAH BIN MOHD THANI"</f>
        <v>AFIF ABDUL FATTAH BIN MOHD THANI</v>
      </c>
      <c r="J5248" t="str">
        <f t="shared" si="2140"/>
        <v>MAYBANK / MAYBANK ISLAMIC</v>
      </c>
      <c r="K5248" t="str">
        <f>"114487058522"</f>
        <v>114487058522</v>
      </c>
      <c r="L5248" t="str">
        <f t="shared" si="2149"/>
        <v>04-08-2020</v>
      </c>
      <c r="M5248" t="str">
        <f t="shared" si="2149"/>
        <v>04-08-2020</v>
      </c>
      <c r="N5248" t="str">
        <f t="shared" si="2131"/>
        <v>001105018356</v>
      </c>
      <c r="O5248" t="str">
        <f t="shared" si="2132"/>
        <v>MYR</v>
      </c>
      <c r="P5248" t="str">
        <f t="shared" si="2150"/>
        <v>NIL</v>
      </c>
      <c r="Q5248" t="str">
        <f t="shared" si="2150"/>
        <v>NIL</v>
      </c>
      <c r="R5248" t="str">
        <f t="shared" si="2145"/>
        <v>Accepted</v>
      </c>
      <c r="S5248" t="str">
        <f t="shared" si="2133"/>
        <v>Approved</v>
      </c>
      <c r="T5248" t="str">
        <f t="shared" si="2146"/>
        <v>10.20.8.188</v>
      </c>
      <c r="U5248" t="str">
        <f t="shared" si="2134"/>
        <v>AZRAD UMAR BIN SHAARI</v>
      </c>
      <c r="V5248" t="str">
        <f t="shared" si="2135"/>
        <v>FARHANA BINTI MUSTAPA</v>
      </c>
      <c r="W5248" t="str">
        <f t="shared" si="2136"/>
        <v>04-08-2020</v>
      </c>
      <c r="X5248" t="str">
        <f t="shared" si="2137"/>
        <v>RAZIMAH ANSAR AHMAD</v>
      </c>
      <c r="Y5248" t="str">
        <f t="shared" si="2138"/>
        <v>04-08-2020</v>
      </c>
      <c r="Z5248" t="str">
        <f>"COS10200804 3906"</f>
        <v>COS10200804 3906</v>
      </c>
    </row>
    <row r="5249" spans="1:26" x14ac:dyDescent="0.25">
      <c r="A5249" t="str">
        <f t="shared" si="2143"/>
        <v>04-08-2020 12:47:34</v>
      </c>
      <c r="B5249" t="str">
        <f>"0000805680"</f>
        <v>0000805680</v>
      </c>
      <c r="C5249" t="str">
        <f t="shared" si="2144"/>
        <v>0000805575</v>
      </c>
      <c r="D5249" t="str">
        <f t="shared" si="2128"/>
        <v>73185</v>
      </c>
      <c r="E5249" t="str">
        <f t="shared" si="2129"/>
        <v>KFH-OPERATIONS DEPARTMENT</v>
      </c>
      <c r="F5249" t="str">
        <f t="shared" si="2130"/>
        <v>IBG</v>
      </c>
      <c r="G5249" t="str">
        <f t="shared" si="2139"/>
        <v>Refund COSHARE 10</v>
      </c>
      <c r="H5249" s="2">
        <v>1679</v>
      </c>
      <c r="I5249" t="str">
        <f>"AFFENDI BIN HASAN"</f>
        <v>AFFENDI BIN HASAN</v>
      </c>
      <c r="J5249" t="str">
        <f t="shared" si="2140"/>
        <v>MAYBANK / MAYBANK ISLAMIC</v>
      </c>
      <c r="K5249" t="str">
        <f>"161293004728"</f>
        <v>161293004728</v>
      </c>
      <c r="L5249" t="str">
        <f t="shared" si="2149"/>
        <v>04-08-2020</v>
      </c>
      <c r="M5249" t="str">
        <f t="shared" si="2149"/>
        <v>04-08-2020</v>
      </c>
      <c r="N5249" t="str">
        <f t="shared" si="2131"/>
        <v>001105018356</v>
      </c>
      <c r="O5249" t="str">
        <f t="shared" si="2132"/>
        <v>MYR</v>
      </c>
      <c r="P5249" t="str">
        <f t="shared" si="2150"/>
        <v>NIL</v>
      </c>
      <c r="Q5249" t="str">
        <f t="shared" si="2150"/>
        <v>NIL</v>
      </c>
      <c r="R5249" t="str">
        <f t="shared" si="2145"/>
        <v>Accepted</v>
      </c>
      <c r="S5249" t="str">
        <f t="shared" si="2133"/>
        <v>Approved</v>
      </c>
      <c r="T5249" t="str">
        <f t="shared" si="2146"/>
        <v>10.20.8.188</v>
      </c>
      <c r="U5249" t="str">
        <f t="shared" si="2134"/>
        <v>AZRAD UMAR BIN SHAARI</v>
      </c>
      <c r="V5249" t="str">
        <f t="shared" si="2135"/>
        <v>FARHANA BINTI MUSTAPA</v>
      </c>
      <c r="W5249" t="str">
        <f t="shared" si="2136"/>
        <v>04-08-2020</v>
      </c>
      <c r="X5249" t="str">
        <f t="shared" si="2137"/>
        <v>RAZIMAH ANSAR AHMAD</v>
      </c>
      <c r="Y5249" t="str">
        <f t="shared" si="2138"/>
        <v>04-08-2020</v>
      </c>
      <c r="Z5249" t="str">
        <f>"COS10200804 3905"</f>
        <v>COS10200804 3905</v>
      </c>
    </row>
    <row r="5250" spans="1:26" x14ac:dyDescent="0.25">
      <c r="A5250" t="str">
        <f t="shared" ref="A5250:A5281" si="2151">"04-08-2020 12:47:34"</f>
        <v>04-08-2020 12:47:34</v>
      </c>
      <c r="B5250" t="str">
        <f>"0000805679"</f>
        <v>0000805679</v>
      </c>
      <c r="C5250" t="str">
        <f t="shared" ref="C5250:C5281" si="2152">"0000805575"</f>
        <v>0000805575</v>
      </c>
      <c r="D5250" t="str">
        <f t="shared" si="2128"/>
        <v>73185</v>
      </c>
      <c r="E5250" t="str">
        <f t="shared" si="2129"/>
        <v>KFH-OPERATIONS DEPARTMENT</v>
      </c>
      <c r="F5250" t="str">
        <f t="shared" si="2130"/>
        <v>IBG</v>
      </c>
      <c r="G5250" t="str">
        <f t="shared" si="2139"/>
        <v>Refund COSHARE 10</v>
      </c>
      <c r="H5250" s="2">
        <v>730.4</v>
      </c>
      <c r="I5250" t="str">
        <f>"AFFENDI BIN ADNAN"</f>
        <v>AFFENDI BIN ADNAN</v>
      </c>
      <c r="J5250" t="str">
        <f t="shared" si="2140"/>
        <v>MAYBANK / MAYBANK ISLAMIC</v>
      </c>
      <c r="K5250" t="str">
        <f>"162058710732"</f>
        <v>162058710732</v>
      </c>
      <c r="L5250" t="str">
        <f t="shared" si="2149"/>
        <v>04-08-2020</v>
      </c>
      <c r="M5250" t="str">
        <f t="shared" si="2149"/>
        <v>04-08-2020</v>
      </c>
      <c r="N5250" t="str">
        <f t="shared" si="2131"/>
        <v>001105018356</v>
      </c>
      <c r="O5250" t="str">
        <f t="shared" si="2132"/>
        <v>MYR</v>
      </c>
      <c r="P5250" t="str">
        <f t="shared" si="2150"/>
        <v>NIL</v>
      </c>
      <c r="Q5250" t="str">
        <f t="shared" si="2150"/>
        <v>NIL</v>
      </c>
      <c r="R5250" t="str">
        <f t="shared" si="2145"/>
        <v>Accepted</v>
      </c>
      <c r="S5250" t="str">
        <f t="shared" si="2133"/>
        <v>Approved</v>
      </c>
      <c r="T5250" t="str">
        <f t="shared" si="2146"/>
        <v>10.20.8.188</v>
      </c>
      <c r="U5250" t="str">
        <f t="shared" si="2134"/>
        <v>AZRAD UMAR BIN SHAARI</v>
      </c>
      <c r="V5250" t="str">
        <f t="shared" si="2135"/>
        <v>FARHANA BINTI MUSTAPA</v>
      </c>
      <c r="W5250" t="str">
        <f t="shared" si="2136"/>
        <v>04-08-2020</v>
      </c>
      <c r="X5250" t="str">
        <f t="shared" si="2137"/>
        <v>RAZIMAH ANSAR AHMAD</v>
      </c>
      <c r="Y5250" t="str">
        <f t="shared" si="2138"/>
        <v>04-08-2020</v>
      </c>
      <c r="Z5250" t="str">
        <f>"COS10200804 3904"</f>
        <v>COS10200804 3904</v>
      </c>
    </row>
    <row r="5251" spans="1:26" x14ac:dyDescent="0.25">
      <c r="A5251" t="str">
        <f t="shared" si="2151"/>
        <v>04-08-2020 12:47:34</v>
      </c>
      <c r="B5251" t="str">
        <f>"0000805678"</f>
        <v>0000805678</v>
      </c>
      <c r="C5251" t="str">
        <f t="shared" si="2152"/>
        <v>0000805575</v>
      </c>
      <c r="D5251" t="str">
        <f t="shared" si="2128"/>
        <v>73185</v>
      </c>
      <c r="E5251" t="str">
        <f t="shared" si="2129"/>
        <v>KFH-OPERATIONS DEPARTMENT</v>
      </c>
      <c r="F5251" t="str">
        <f t="shared" si="2130"/>
        <v>IBG</v>
      </c>
      <c r="G5251" t="str">
        <f t="shared" si="2139"/>
        <v>Refund COSHARE 10</v>
      </c>
      <c r="H5251" s="2">
        <v>380</v>
      </c>
      <c r="I5251" t="str">
        <f>"AFFAN BIN ABDULLAH"</f>
        <v>AFFAN BIN ABDULLAH</v>
      </c>
      <c r="J5251" t="str">
        <f t="shared" si="2140"/>
        <v>MAYBANK / MAYBANK ISLAMIC</v>
      </c>
      <c r="K5251" t="str">
        <f>"152023041998"</f>
        <v>152023041998</v>
      </c>
      <c r="L5251" t="str">
        <f t="shared" si="2149"/>
        <v>04-08-2020</v>
      </c>
      <c r="M5251" t="str">
        <f t="shared" si="2149"/>
        <v>04-08-2020</v>
      </c>
      <c r="N5251" t="str">
        <f t="shared" si="2131"/>
        <v>001105018356</v>
      </c>
      <c r="O5251" t="str">
        <f t="shared" si="2132"/>
        <v>MYR</v>
      </c>
      <c r="P5251" t="str">
        <f t="shared" si="2150"/>
        <v>NIL</v>
      </c>
      <c r="Q5251" t="str">
        <f t="shared" si="2150"/>
        <v>NIL</v>
      </c>
      <c r="R5251" t="str">
        <f t="shared" si="2145"/>
        <v>Accepted</v>
      </c>
      <c r="S5251" t="str">
        <f t="shared" si="2133"/>
        <v>Approved</v>
      </c>
      <c r="T5251" t="str">
        <f t="shared" si="2146"/>
        <v>10.20.8.188</v>
      </c>
      <c r="U5251" t="str">
        <f t="shared" si="2134"/>
        <v>AZRAD UMAR BIN SHAARI</v>
      </c>
      <c r="V5251" t="str">
        <f t="shared" si="2135"/>
        <v>FARHANA BINTI MUSTAPA</v>
      </c>
      <c r="W5251" t="str">
        <f t="shared" si="2136"/>
        <v>04-08-2020</v>
      </c>
      <c r="X5251" t="str">
        <f t="shared" si="2137"/>
        <v>RAZIMAH ANSAR AHMAD</v>
      </c>
      <c r="Y5251" t="str">
        <f t="shared" si="2138"/>
        <v>04-08-2020</v>
      </c>
      <c r="Z5251" t="str">
        <f>"COS10200804 3903"</f>
        <v>COS10200804 3903</v>
      </c>
    </row>
    <row r="5252" spans="1:26" x14ac:dyDescent="0.25">
      <c r="A5252" t="str">
        <f t="shared" si="2151"/>
        <v>04-08-2020 12:47:34</v>
      </c>
      <c r="B5252" t="str">
        <f>"0000805677"</f>
        <v>0000805677</v>
      </c>
      <c r="C5252" t="str">
        <f t="shared" si="2152"/>
        <v>0000805575</v>
      </c>
      <c r="D5252" t="str">
        <f t="shared" si="2128"/>
        <v>73185</v>
      </c>
      <c r="E5252" t="str">
        <f t="shared" si="2129"/>
        <v>KFH-OPERATIONS DEPARTMENT</v>
      </c>
      <c r="F5252" t="str">
        <f t="shared" si="2130"/>
        <v>IBG</v>
      </c>
      <c r="G5252" t="str">
        <f t="shared" si="2139"/>
        <v>Refund COSHARE 10</v>
      </c>
      <c r="H5252" s="2">
        <v>88.7</v>
      </c>
      <c r="I5252" t="str">
        <f>"AFANDI BIN YUSOF"</f>
        <v>AFANDI BIN YUSOF</v>
      </c>
      <c r="J5252" t="str">
        <f t="shared" si="2140"/>
        <v>MAYBANK / MAYBANK ISLAMIC</v>
      </c>
      <c r="K5252" t="str">
        <f>"113024160151"</f>
        <v>113024160151</v>
      </c>
      <c r="L5252" t="str">
        <f t="shared" si="2149"/>
        <v>04-08-2020</v>
      </c>
      <c r="M5252" t="str">
        <f t="shared" si="2149"/>
        <v>04-08-2020</v>
      </c>
      <c r="N5252" t="str">
        <f t="shared" si="2131"/>
        <v>001105018356</v>
      </c>
      <c r="O5252" t="str">
        <f t="shared" si="2132"/>
        <v>MYR</v>
      </c>
      <c r="P5252" t="str">
        <f t="shared" si="2150"/>
        <v>NIL</v>
      </c>
      <c r="Q5252" t="str">
        <f t="shared" si="2150"/>
        <v>NIL</v>
      </c>
      <c r="R5252" t="str">
        <f t="shared" si="2145"/>
        <v>Accepted</v>
      </c>
      <c r="S5252" t="str">
        <f t="shared" si="2133"/>
        <v>Approved</v>
      </c>
      <c r="T5252" t="str">
        <f t="shared" si="2146"/>
        <v>10.20.8.188</v>
      </c>
      <c r="U5252" t="str">
        <f t="shared" si="2134"/>
        <v>AZRAD UMAR BIN SHAARI</v>
      </c>
      <c r="V5252" t="str">
        <f t="shared" si="2135"/>
        <v>FARHANA BINTI MUSTAPA</v>
      </c>
      <c r="W5252" t="str">
        <f t="shared" si="2136"/>
        <v>04-08-2020</v>
      </c>
      <c r="X5252" t="str">
        <f t="shared" si="2137"/>
        <v>RAZIMAH ANSAR AHMAD</v>
      </c>
      <c r="Y5252" t="str">
        <f t="shared" si="2138"/>
        <v>04-08-2020</v>
      </c>
      <c r="Z5252" t="str">
        <f>"COS10200804 3902"</f>
        <v>COS10200804 3902</v>
      </c>
    </row>
    <row r="5253" spans="1:26" x14ac:dyDescent="0.25">
      <c r="A5253" t="str">
        <f t="shared" si="2151"/>
        <v>04-08-2020 12:47:34</v>
      </c>
      <c r="B5253" t="str">
        <f>"0000805676"</f>
        <v>0000805676</v>
      </c>
      <c r="C5253" t="str">
        <f t="shared" si="2152"/>
        <v>0000805575</v>
      </c>
      <c r="D5253" t="str">
        <f t="shared" si="2128"/>
        <v>73185</v>
      </c>
      <c r="E5253" t="str">
        <f t="shared" si="2129"/>
        <v>KFH-OPERATIONS DEPARTMENT</v>
      </c>
      <c r="F5253" t="str">
        <f t="shared" si="2130"/>
        <v>IBG</v>
      </c>
      <c r="G5253" t="str">
        <f t="shared" si="2139"/>
        <v>Refund COSHARE 10</v>
      </c>
      <c r="H5253" s="2">
        <v>251.85</v>
      </c>
      <c r="I5253" t="str">
        <f>"ADZHAR BIN ABD WAHAB"</f>
        <v>ADZHAR BIN ABD WAHAB</v>
      </c>
      <c r="J5253" t="str">
        <f t="shared" si="2140"/>
        <v>MAYBANK / MAYBANK ISLAMIC</v>
      </c>
      <c r="K5253" t="str">
        <f>"111114306986"</f>
        <v>111114306986</v>
      </c>
      <c r="L5253" t="str">
        <f t="shared" si="2149"/>
        <v>04-08-2020</v>
      </c>
      <c r="M5253" t="str">
        <f t="shared" si="2149"/>
        <v>04-08-2020</v>
      </c>
      <c r="N5253" t="str">
        <f t="shared" si="2131"/>
        <v>001105018356</v>
      </c>
      <c r="O5253" t="str">
        <f t="shared" si="2132"/>
        <v>MYR</v>
      </c>
      <c r="P5253" t="str">
        <f t="shared" si="2150"/>
        <v>NIL</v>
      </c>
      <c r="Q5253" t="str">
        <f t="shared" si="2150"/>
        <v>NIL</v>
      </c>
      <c r="R5253" t="str">
        <f t="shared" si="2145"/>
        <v>Accepted</v>
      </c>
      <c r="S5253" t="str">
        <f t="shared" si="2133"/>
        <v>Approved</v>
      </c>
      <c r="T5253" t="str">
        <f t="shared" si="2146"/>
        <v>10.20.8.188</v>
      </c>
      <c r="U5253" t="str">
        <f t="shared" si="2134"/>
        <v>AZRAD UMAR BIN SHAARI</v>
      </c>
      <c r="V5253" t="str">
        <f t="shared" si="2135"/>
        <v>FARHANA BINTI MUSTAPA</v>
      </c>
      <c r="W5253" t="str">
        <f t="shared" si="2136"/>
        <v>04-08-2020</v>
      </c>
      <c r="X5253" t="str">
        <f t="shared" si="2137"/>
        <v>RAZIMAH ANSAR AHMAD</v>
      </c>
      <c r="Y5253" t="str">
        <f t="shared" si="2138"/>
        <v>04-08-2020</v>
      </c>
      <c r="Z5253" t="str">
        <f>"COS10200804 3901"</f>
        <v>COS10200804 3901</v>
      </c>
    </row>
    <row r="5254" spans="1:26" x14ac:dyDescent="0.25">
      <c r="A5254" t="str">
        <f t="shared" si="2151"/>
        <v>04-08-2020 12:47:34</v>
      </c>
      <c r="B5254" t="str">
        <f>"0000805675"</f>
        <v>0000805675</v>
      </c>
      <c r="C5254" t="str">
        <f t="shared" si="2152"/>
        <v>0000805575</v>
      </c>
      <c r="D5254" t="str">
        <f t="shared" si="2128"/>
        <v>73185</v>
      </c>
      <c r="E5254" t="str">
        <f t="shared" si="2129"/>
        <v>KFH-OPERATIONS DEPARTMENT</v>
      </c>
      <c r="F5254" t="str">
        <f t="shared" si="2130"/>
        <v>IBG</v>
      </c>
      <c r="G5254" t="str">
        <f t="shared" si="2139"/>
        <v>Refund COSHARE 10</v>
      </c>
      <c r="H5254" s="2">
        <v>587.65</v>
      </c>
      <c r="I5254" t="str">
        <f>"ADRIYATI BINTI A DI"</f>
        <v>ADRIYATI BINTI A DI</v>
      </c>
      <c r="J5254" t="str">
        <f t="shared" si="2140"/>
        <v>MAYBANK / MAYBANK ISLAMIC</v>
      </c>
      <c r="K5254" t="str">
        <f>"151203978591"</f>
        <v>151203978591</v>
      </c>
      <c r="L5254" t="str">
        <f t="shared" si="2149"/>
        <v>04-08-2020</v>
      </c>
      <c r="M5254" t="str">
        <f t="shared" si="2149"/>
        <v>04-08-2020</v>
      </c>
      <c r="N5254" t="str">
        <f t="shared" si="2131"/>
        <v>001105018356</v>
      </c>
      <c r="O5254" t="str">
        <f t="shared" si="2132"/>
        <v>MYR</v>
      </c>
      <c r="P5254" t="str">
        <f t="shared" si="2150"/>
        <v>NIL</v>
      </c>
      <c r="Q5254" t="str">
        <f t="shared" si="2150"/>
        <v>NIL</v>
      </c>
      <c r="R5254" t="str">
        <f t="shared" si="2145"/>
        <v>Accepted</v>
      </c>
      <c r="S5254" t="str">
        <f t="shared" si="2133"/>
        <v>Approved</v>
      </c>
      <c r="T5254" t="str">
        <f t="shared" si="2146"/>
        <v>10.20.8.188</v>
      </c>
      <c r="U5254" t="str">
        <f t="shared" si="2134"/>
        <v>AZRAD UMAR BIN SHAARI</v>
      </c>
      <c r="V5254" t="str">
        <f t="shared" si="2135"/>
        <v>FARHANA BINTI MUSTAPA</v>
      </c>
      <c r="W5254" t="str">
        <f t="shared" si="2136"/>
        <v>04-08-2020</v>
      </c>
      <c r="X5254" t="str">
        <f t="shared" si="2137"/>
        <v>RAZIMAH ANSAR AHMAD</v>
      </c>
      <c r="Y5254" t="str">
        <f t="shared" si="2138"/>
        <v>04-08-2020</v>
      </c>
      <c r="Z5254" t="str">
        <f>"COS10200804 3900"</f>
        <v>COS10200804 3900</v>
      </c>
    </row>
    <row r="5255" spans="1:26" x14ac:dyDescent="0.25">
      <c r="A5255" t="str">
        <f t="shared" si="2151"/>
        <v>04-08-2020 12:47:34</v>
      </c>
      <c r="B5255" t="str">
        <f>"0000805674"</f>
        <v>0000805674</v>
      </c>
      <c r="C5255" t="str">
        <f t="shared" si="2152"/>
        <v>0000805575</v>
      </c>
      <c r="D5255" t="str">
        <f t="shared" ref="D5255:D5318" si="2153">"73185"</f>
        <v>73185</v>
      </c>
      <c r="E5255" t="str">
        <f t="shared" ref="E5255:E5318" si="2154">"KFH-OPERATIONS DEPARTMENT"</f>
        <v>KFH-OPERATIONS DEPARTMENT</v>
      </c>
      <c r="F5255" t="str">
        <f t="shared" ref="F5255:F5318" si="2155">"IBG"</f>
        <v>IBG</v>
      </c>
      <c r="G5255" t="str">
        <f t="shared" si="2139"/>
        <v>Refund COSHARE 10</v>
      </c>
      <c r="H5255" s="2">
        <v>1099.75</v>
      </c>
      <c r="I5255" t="str">
        <f>"ADNAN BIN ABDULLAH"</f>
        <v>ADNAN BIN ABDULLAH</v>
      </c>
      <c r="J5255" t="str">
        <f t="shared" si="2140"/>
        <v>MAYBANK / MAYBANK ISLAMIC</v>
      </c>
      <c r="K5255" t="str">
        <f>"154101289222"</f>
        <v>154101289222</v>
      </c>
      <c r="L5255" t="str">
        <f t="shared" si="2149"/>
        <v>04-08-2020</v>
      </c>
      <c r="M5255" t="str">
        <f t="shared" si="2149"/>
        <v>04-08-2020</v>
      </c>
      <c r="N5255" t="str">
        <f t="shared" ref="N5255:N5318" si="2156">"001105018356"</f>
        <v>001105018356</v>
      </c>
      <c r="O5255" t="str">
        <f t="shared" ref="O5255:O5318" si="2157">"MYR"</f>
        <v>MYR</v>
      </c>
      <c r="P5255" t="str">
        <f t="shared" si="2150"/>
        <v>NIL</v>
      </c>
      <c r="Q5255" t="str">
        <f t="shared" si="2150"/>
        <v>NIL</v>
      </c>
      <c r="R5255" t="str">
        <f t="shared" si="2145"/>
        <v>Accepted</v>
      </c>
      <c r="S5255" t="str">
        <f t="shared" ref="S5255:S5318" si="2158">"Approved"</f>
        <v>Approved</v>
      </c>
      <c r="T5255" t="str">
        <f t="shared" si="2146"/>
        <v>10.20.8.188</v>
      </c>
      <c r="U5255" t="str">
        <f t="shared" ref="U5255:U5318" si="2159">"AZRAD UMAR BIN SHAARI"</f>
        <v>AZRAD UMAR BIN SHAARI</v>
      </c>
      <c r="V5255" t="str">
        <f t="shared" ref="V5255:V5318" si="2160">"FARHANA BINTI MUSTAPA"</f>
        <v>FARHANA BINTI MUSTAPA</v>
      </c>
      <c r="W5255" t="str">
        <f t="shared" ref="W5255:W5318" si="2161">"04-08-2020"</f>
        <v>04-08-2020</v>
      </c>
      <c r="X5255" t="str">
        <f t="shared" ref="X5255:X5318" si="2162">"RAZIMAH ANSAR AHMAD"</f>
        <v>RAZIMAH ANSAR AHMAD</v>
      </c>
      <c r="Y5255" t="str">
        <f t="shared" ref="Y5255:Y5318" si="2163">"04-08-2020"</f>
        <v>04-08-2020</v>
      </c>
      <c r="Z5255" t="str">
        <f>"COS10200804 3899"</f>
        <v>COS10200804 3899</v>
      </c>
    </row>
    <row r="5256" spans="1:26" x14ac:dyDescent="0.25">
      <c r="A5256" t="str">
        <f t="shared" si="2151"/>
        <v>04-08-2020 12:47:34</v>
      </c>
      <c r="B5256" t="str">
        <f>"0000805673"</f>
        <v>0000805673</v>
      </c>
      <c r="C5256" t="str">
        <f t="shared" si="2152"/>
        <v>0000805575</v>
      </c>
      <c r="D5256" t="str">
        <f t="shared" si="2153"/>
        <v>73185</v>
      </c>
      <c r="E5256" t="str">
        <f t="shared" si="2154"/>
        <v>KFH-OPERATIONS DEPARTMENT</v>
      </c>
      <c r="F5256" t="str">
        <f t="shared" si="2155"/>
        <v>IBG</v>
      </c>
      <c r="G5256" t="str">
        <f t="shared" si="2139"/>
        <v>Refund COSHARE 10</v>
      </c>
      <c r="H5256" s="2">
        <v>167.9</v>
      </c>
      <c r="I5256" t="str">
        <f>"ADLY HISHAM BIN ABDULLAH"</f>
        <v>ADLY HISHAM BIN ABDULLAH</v>
      </c>
      <c r="J5256" t="str">
        <f t="shared" si="2140"/>
        <v>MAYBANK / MAYBANK ISLAMIC</v>
      </c>
      <c r="K5256" t="str">
        <f>"166010044293"</f>
        <v>166010044293</v>
      </c>
      <c r="L5256" t="str">
        <f t="shared" si="2149"/>
        <v>04-08-2020</v>
      </c>
      <c r="M5256" t="str">
        <f t="shared" si="2149"/>
        <v>04-08-2020</v>
      </c>
      <c r="N5256" t="str">
        <f t="shared" si="2156"/>
        <v>001105018356</v>
      </c>
      <c r="O5256" t="str">
        <f t="shared" si="2157"/>
        <v>MYR</v>
      </c>
      <c r="P5256" t="str">
        <f t="shared" si="2150"/>
        <v>NIL</v>
      </c>
      <c r="Q5256" t="str">
        <f t="shared" si="2150"/>
        <v>NIL</v>
      </c>
      <c r="R5256" t="str">
        <f t="shared" si="2145"/>
        <v>Accepted</v>
      </c>
      <c r="S5256" t="str">
        <f t="shared" si="2158"/>
        <v>Approved</v>
      </c>
      <c r="T5256" t="str">
        <f t="shared" si="2146"/>
        <v>10.20.8.188</v>
      </c>
      <c r="U5256" t="str">
        <f t="shared" si="2159"/>
        <v>AZRAD UMAR BIN SHAARI</v>
      </c>
      <c r="V5256" t="str">
        <f t="shared" si="2160"/>
        <v>FARHANA BINTI MUSTAPA</v>
      </c>
      <c r="W5256" t="str">
        <f t="shared" si="2161"/>
        <v>04-08-2020</v>
      </c>
      <c r="X5256" t="str">
        <f t="shared" si="2162"/>
        <v>RAZIMAH ANSAR AHMAD</v>
      </c>
      <c r="Y5256" t="str">
        <f t="shared" si="2163"/>
        <v>04-08-2020</v>
      </c>
      <c r="Z5256" t="str">
        <f>"COS10200804 3898"</f>
        <v>COS10200804 3898</v>
      </c>
    </row>
    <row r="5257" spans="1:26" x14ac:dyDescent="0.25">
      <c r="A5257" t="str">
        <f t="shared" si="2151"/>
        <v>04-08-2020 12:47:34</v>
      </c>
      <c r="B5257" t="str">
        <f>"0000805672"</f>
        <v>0000805672</v>
      </c>
      <c r="C5257" t="str">
        <f t="shared" si="2152"/>
        <v>0000805575</v>
      </c>
      <c r="D5257" t="str">
        <f t="shared" si="2153"/>
        <v>73185</v>
      </c>
      <c r="E5257" t="str">
        <f t="shared" si="2154"/>
        <v>KFH-OPERATIONS DEPARTMENT</v>
      </c>
      <c r="F5257" t="str">
        <f t="shared" si="2155"/>
        <v>IBG</v>
      </c>
      <c r="G5257" t="str">
        <f t="shared" si="2139"/>
        <v>Refund COSHARE 10</v>
      </c>
      <c r="H5257" s="2">
        <v>1703.75</v>
      </c>
      <c r="I5257" t="str">
        <f>"ADLI BIN HASBULLAH"</f>
        <v>ADLI BIN HASBULLAH</v>
      </c>
      <c r="J5257" t="str">
        <f t="shared" si="2140"/>
        <v>MAYBANK / MAYBANK ISLAMIC</v>
      </c>
      <c r="K5257" t="str">
        <f>"160027308186"</f>
        <v>160027308186</v>
      </c>
      <c r="L5257" t="str">
        <f t="shared" si="2149"/>
        <v>04-08-2020</v>
      </c>
      <c r="M5257" t="str">
        <f t="shared" si="2149"/>
        <v>04-08-2020</v>
      </c>
      <c r="N5257" t="str">
        <f t="shared" si="2156"/>
        <v>001105018356</v>
      </c>
      <c r="O5257" t="str">
        <f t="shared" si="2157"/>
        <v>MYR</v>
      </c>
      <c r="P5257" t="str">
        <f t="shared" si="2150"/>
        <v>NIL</v>
      </c>
      <c r="Q5257" t="str">
        <f t="shared" si="2150"/>
        <v>NIL</v>
      </c>
      <c r="R5257" t="str">
        <f t="shared" si="2145"/>
        <v>Accepted</v>
      </c>
      <c r="S5257" t="str">
        <f t="shared" si="2158"/>
        <v>Approved</v>
      </c>
      <c r="T5257" t="str">
        <f t="shared" si="2146"/>
        <v>10.20.8.188</v>
      </c>
      <c r="U5257" t="str">
        <f t="shared" si="2159"/>
        <v>AZRAD UMAR BIN SHAARI</v>
      </c>
      <c r="V5257" t="str">
        <f t="shared" si="2160"/>
        <v>FARHANA BINTI MUSTAPA</v>
      </c>
      <c r="W5257" t="str">
        <f t="shared" si="2161"/>
        <v>04-08-2020</v>
      </c>
      <c r="X5257" t="str">
        <f t="shared" si="2162"/>
        <v>RAZIMAH ANSAR AHMAD</v>
      </c>
      <c r="Y5257" t="str">
        <f t="shared" si="2163"/>
        <v>04-08-2020</v>
      </c>
      <c r="Z5257" t="str">
        <f>"COS10200804 3897"</f>
        <v>COS10200804 3897</v>
      </c>
    </row>
    <row r="5258" spans="1:26" x14ac:dyDescent="0.25">
      <c r="A5258" t="str">
        <f t="shared" si="2151"/>
        <v>04-08-2020 12:47:34</v>
      </c>
      <c r="B5258" t="str">
        <f>"0000805671"</f>
        <v>0000805671</v>
      </c>
      <c r="C5258" t="str">
        <f t="shared" si="2152"/>
        <v>0000805575</v>
      </c>
      <c r="D5258" t="str">
        <f t="shared" si="2153"/>
        <v>73185</v>
      </c>
      <c r="E5258" t="str">
        <f t="shared" si="2154"/>
        <v>KFH-OPERATIONS DEPARTMENT</v>
      </c>
      <c r="F5258" t="str">
        <f t="shared" si="2155"/>
        <v>IBG</v>
      </c>
      <c r="G5258" t="str">
        <f t="shared" si="2139"/>
        <v>Refund COSHARE 10</v>
      </c>
      <c r="H5258" s="2">
        <v>319</v>
      </c>
      <c r="I5258" t="str">
        <f>"ADIFAUZI BIN MOHD ALIAS"</f>
        <v>ADIFAUZI BIN MOHD ALIAS</v>
      </c>
      <c r="J5258" t="str">
        <f t="shared" si="2140"/>
        <v>MAYBANK / MAYBANK ISLAMIC</v>
      </c>
      <c r="K5258" t="str">
        <f>"151285005146"</f>
        <v>151285005146</v>
      </c>
      <c r="L5258" t="str">
        <f t="shared" si="2149"/>
        <v>04-08-2020</v>
      </c>
      <c r="M5258" t="str">
        <f t="shared" si="2149"/>
        <v>04-08-2020</v>
      </c>
      <c r="N5258" t="str">
        <f t="shared" si="2156"/>
        <v>001105018356</v>
      </c>
      <c r="O5258" t="str">
        <f t="shared" si="2157"/>
        <v>MYR</v>
      </c>
      <c r="P5258" t="str">
        <f t="shared" si="2150"/>
        <v>NIL</v>
      </c>
      <c r="Q5258" t="str">
        <f t="shared" si="2150"/>
        <v>NIL</v>
      </c>
      <c r="R5258" t="str">
        <f t="shared" si="2145"/>
        <v>Accepted</v>
      </c>
      <c r="S5258" t="str">
        <f t="shared" si="2158"/>
        <v>Approved</v>
      </c>
      <c r="T5258" t="str">
        <f t="shared" si="2146"/>
        <v>10.20.8.188</v>
      </c>
      <c r="U5258" t="str">
        <f t="shared" si="2159"/>
        <v>AZRAD UMAR BIN SHAARI</v>
      </c>
      <c r="V5258" t="str">
        <f t="shared" si="2160"/>
        <v>FARHANA BINTI MUSTAPA</v>
      </c>
      <c r="W5258" t="str">
        <f t="shared" si="2161"/>
        <v>04-08-2020</v>
      </c>
      <c r="X5258" t="str">
        <f t="shared" si="2162"/>
        <v>RAZIMAH ANSAR AHMAD</v>
      </c>
      <c r="Y5258" t="str">
        <f t="shared" si="2163"/>
        <v>04-08-2020</v>
      </c>
      <c r="Z5258" t="str">
        <f>"COS10200804 3896"</f>
        <v>COS10200804 3896</v>
      </c>
    </row>
    <row r="5259" spans="1:26" x14ac:dyDescent="0.25">
      <c r="A5259" t="str">
        <f t="shared" si="2151"/>
        <v>04-08-2020 12:47:34</v>
      </c>
      <c r="B5259" t="str">
        <f>"0000805670"</f>
        <v>0000805670</v>
      </c>
      <c r="C5259" t="str">
        <f t="shared" si="2152"/>
        <v>0000805575</v>
      </c>
      <c r="D5259" t="str">
        <f t="shared" si="2153"/>
        <v>73185</v>
      </c>
      <c r="E5259" t="str">
        <f t="shared" si="2154"/>
        <v>KFH-OPERATIONS DEPARTMENT</v>
      </c>
      <c r="F5259" t="str">
        <f t="shared" si="2155"/>
        <v>IBG</v>
      </c>
      <c r="G5259" t="str">
        <f t="shared" si="2139"/>
        <v>Refund COSHARE 10</v>
      </c>
      <c r="H5259" s="2">
        <v>584.35</v>
      </c>
      <c r="I5259" t="str">
        <f>"ADIDAH BINTI ABDULLAH"</f>
        <v>ADIDAH BINTI ABDULLAH</v>
      </c>
      <c r="J5259" t="str">
        <f t="shared" si="2140"/>
        <v>MAYBANK / MAYBANK ISLAMIC</v>
      </c>
      <c r="K5259" t="str">
        <f>"162740125057"</f>
        <v>162740125057</v>
      </c>
      <c r="L5259" t="str">
        <f t="shared" si="2149"/>
        <v>04-08-2020</v>
      </c>
      <c r="M5259" t="str">
        <f t="shared" si="2149"/>
        <v>04-08-2020</v>
      </c>
      <c r="N5259" t="str">
        <f t="shared" si="2156"/>
        <v>001105018356</v>
      </c>
      <c r="O5259" t="str">
        <f t="shared" si="2157"/>
        <v>MYR</v>
      </c>
      <c r="P5259" t="str">
        <f t="shared" si="2150"/>
        <v>NIL</v>
      </c>
      <c r="Q5259" t="str">
        <f t="shared" si="2150"/>
        <v>NIL</v>
      </c>
      <c r="R5259" t="str">
        <f t="shared" si="2145"/>
        <v>Accepted</v>
      </c>
      <c r="S5259" t="str">
        <f t="shared" si="2158"/>
        <v>Approved</v>
      </c>
      <c r="T5259" t="str">
        <f t="shared" si="2146"/>
        <v>10.20.8.188</v>
      </c>
      <c r="U5259" t="str">
        <f t="shared" si="2159"/>
        <v>AZRAD UMAR BIN SHAARI</v>
      </c>
      <c r="V5259" t="str">
        <f t="shared" si="2160"/>
        <v>FARHANA BINTI MUSTAPA</v>
      </c>
      <c r="W5259" t="str">
        <f t="shared" si="2161"/>
        <v>04-08-2020</v>
      </c>
      <c r="X5259" t="str">
        <f t="shared" si="2162"/>
        <v>RAZIMAH ANSAR AHMAD</v>
      </c>
      <c r="Y5259" t="str">
        <f t="shared" si="2163"/>
        <v>04-08-2020</v>
      </c>
      <c r="Z5259" t="str">
        <f>"COS10200804 3895"</f>
        <v>COS10200804 3895</v>
      </c>
    </row>
    <row r="5260" spans="1:26" x14ac:dyDescent="0.25">
      <c r="A5260" t="str">
        <f t="shared" si="2151"/>
        <v>04-08-2020 12:47:34</v>
      </c>
      <c r="B5260" t="str">
        <f>"0000805669"</f>
        <v>0000805669</v>
      </c>
      <c r="C5260" t="str">
        <f t="shared" si="2152"/>
        <v>0000805575</v>
      </c>
      <c r="D5260" t="str">
        <f t="shared" si="2153"/>
        <v>73185</v>
      </c>
      <c r="E5260" t="str">
        <f t="shared" si="2154"/>
        <v>KFH-OPERATIONS DEPARTMENT</v>
      </c>
      <c r="F5260" t="str">
        <f t="shared" si="2155"/>
        <v>IBG</v>
      </c>
      <c r="G5260" t="str">
        <f t="shared" ref="G5260:G5323" si="2164">"Refund COSHARE 10"</f>
        <v>Refund COSHARE 10</v>
      </c>
      <c r="H5260" s="2">
        <v>722</v>
      </c>
      <c r="I5260" t="str">
        <f>"ADI LALA BIN RAHIM MANSAH"</f>
        <v>ADI LALA BIN RAHIM MANSAH</v>
      </c>
      <c r="J5260" t="str">
        <f t="shared" si="2140"/>
        <v>MAYBANK / MAYBANK ISLAMIC</v>
      </c>
      <c r="K5260" t="str">
        <f>"154026768740"</f>
        <v>154026768740</v>
      </c>
      <c r="L5260" t="str">
        <f t="shared" si="2149"/>
        <v>04-08-2020</v>
      </c>
      <c r="M5260" t="str">
        <f t="shared" si="2149"/>
        <v>04-08-2020</v>
      </c>
      <c r="N5260" t="str">
        <f t="shared" si="2156"/>
        <v>001105018356</v>
      </c>
      <c r="O5260" t="str">
        <f t="shared" si="2157"/>
        <v>MYR</v>
      </c>
      <c r="P5260" t="str">
        <f t="shared" si="2150"/>
        <v>NIL</v>
      </c>
      <c r="Q5260" t="str">
        <f t="shared" si="2150"/>
        <v>NIL</v>
      </c>
      <c r="R5260" t="str">
        <f t="shared" si="2145"/>
        <v>Accepted</v>
      </c>
      <c r="S5260" t="str">
        <f t="shared" si="2158"/>
        <v>Approved</v>
      </c>
      <c r="T5260" t="str">
        <f t="shared" si="2146"/>
        <v>10.20.8.188</v>
      </c>
      <c r="U5260" t="str">
        <f t="shared" si="2159"/>
        <v>AZRAD UMAR BIN SHAARI</v>
      </c>
      <c r="V5260" t="str">
        <f t="shared" si="2160"/>
        <v>FARHANA BINTI MUSTAPA</v>
      </c>
      <c r="W5260" t="str">
        <f t="shared" si="2161"/>
        <v>04-08-2020</v>
      </c>
      <c r="X5260" t="str">
        <f t="shared" si="2162"/>
        <v>RAZIMAH ANSAR AHMAD</v>
      </c>
      <c r="Y5260" t="str">
        <f t="shared" si="2163"/>
        <v>04-08-2020</v>
      </c>
      <c r="Z5260" t="str">
        <f>"COS10200804 3894"</f>
        <v>COS10200804 3894</v>
      </c>
    </row>
    <row r="5261" spans="1:26" x14ac:dyDescent="0.25">
      <c r="A5261" t="str">
        <f t="shared" si="2151"/>
        <v>04-08-2020 12:47:34</v>
      </c>
      <c r="B5261" t="str">
        <f>"0000805668"</f>
        <v>0000805668</v>
      </c>
      <c r="C5261" t="str">
        <f t="shared" si="2152"/>
        <v>0000805575</v>
      </c>
      <c r="D5261" t="str">
        <f t="shared" si="2153"/>
        <v>73185</v>
      </c>
      <c r="E5261" t="str">
        <f t="shared" si="2154"/>
        <v>KFH-OPERATIONS DEPARTMENT</v>
      </c>
      <c r="F5261" t="str">
        <f t="shared" si="2155"/>
        <v>IBG</v>
      </c>
      <c r="G5261" t="str">
        <f t="shared" si="2164"/>
        <v>Refund COSHARE 10</v>
      </c>
      <c r="H5261" s="2">
        <v>243</v>
      </c>
      <c r="I5261" t="str">
        <f>"ADENAN BIN EMPI"</f>
        <v>ADENAN BIN EMPI</v>
      </c>
      <c r="J5261" t="str">
        <f t="shared" si="2140"/>
        <v>MAYBANK / MAYBANK ISLAMIC</v>
      </c>
      <c r="K5261" t="str">
        <f>"160166073186"</f>
        <v>160166073186</v>
      </c>
      <c r="L5261" t="str">
        <f t="shared" si="2149"/>
        <v>04-08-2020</v>
      </c>
      <c r="M5261" t="str">
        <f t="shared" si="2149"/>
        <v>04-08-2020</v>
      </c>
      <c r="N5261" t="str">
        <f t="shared" si="2156"/>
        <v>001105018356</v>
      </c>
      <c r="O5261" t="str">
        <f t="shared" si="2157"/>
        <v>MYR</v>
      </c>
      <c r="P5261" t="str">
        <f t="shared" si="2150"/>
        <v>NIL</v>
      </c>
      <c r="Q5261" t="str">
        <f t="shared" si="2150"/>
        <v>NIL</v>
      </c>
      <c r="R5261" t="str">
        <f t="shared" si="2145"/>
        <v>Accepted</v>
      </c>
      <c r="S5261" t="str">
        <f t="shared" si="2158"/>
        <v>Approved</v>
      </c>
      <c r="T5261" t="str">
        <f t="shared" si="2146"/>
        <v>10.20.8.188</v>
      </c>
      <c r="U5261" t="str">
        <f t="shared" si="2159"/>
        <v>AZRAD UMAR BIN SHAARI</v>
      </c>
      <c r="V5261" t="str">
        <f t="shared" si="2160"/>
        <v>FARHANA BINTI MUSTAPA</v>
      </c>
      <c r="W5261" t="str">
        <f t="shared" si="2161"/>
        <v>04-08-2020</v>
      </c>
      <c r="X5261" t="str">
        <f t="shared" si="2162"/>
        <v>RAZIMAH ANSAR AHMAD</v>
      </c>
      <c r="Y5261" t="str">
        <f t="shared" si="2163"/>
        <v>04-08-2020</v>
      </c>
      <c r="Z5261" t="str">
        <f>"COS10200804 3893"</f>
        <v>COS10200804 3893</v>
      </c>
    </row>
    <row r="5262" spans="1:26" x14ac:dyDescent="0.25">
      <c r="A5262" t="str">
        <f t="shared" si="2151"/>
        <v>04-08-2020 12:47:34</v>
      </c>
      <c r="B5262" t="str">
        <f>"0000805667"</f>
        <v>0000805667</v>
      </c>
      <c r="C5262" t="str">
        <f t="shared" si="2152"/>
        <v>0000805575</v>
      </c>
      <c r="D5262" t="str">
        <f t="shared" si="2153"/>
        <v>73185</v>
      </c>
      <c r="E5262" t="str">
        <f t="shared" si="2154"/>
        <v>KFH-OPERATIONS DEPARTMENT</v>
      </c>
      <c r="F5262" t="str">
        <f t="shared" si="2155"/>
        <v>IBG</v>
      </c>
      <c r="G5262" t="str">
        <f t="shared" si="2164"/>
        <v>Refund COSHARE 10</v>
      </c>
      <c r="H5262" s="2">
        <v>672</v>
      </c>
      <c r="I5262" t="str">
        <f>"ADELINA AKAN  TANG AH KAN"</f>
        <v>ADELINA AKAN  TANG AH KAN</v>
      </c>
      <c r="J5262" t="str">
        <f t="shared" si="2140"/>
        <v>MAYBANK / MAYBANK ISLAMIC</v>
      </c>
      <c r="K5262" t="str">
        <f>"110135023639"</f>
        <v>110135023639</v>
      </c>
      <c r="L5262" t="str">
        <f t="shared" si="2149"/>
        <v>04-08-2020</v>
      </c>
      <c r="M5262" t="str">
        <f t="shared" si="2149"/>
        <v>04-08-2020</v>
      </c>
      <c r="N5262" t="str">
        <f t="shared" si="2156"/>
        <v>001105018356</v>
      </c>
      <c r="O5262" t="str">
        <f t="shared" si="2157"/>
        <v>MYR</v>
      </c>
      <c r="P5262" t="str">
        <f t="shared" si="2150"/>
        <v>NIL</v>
      </c>
      <c r="Q5262" t="str">
        <f t="shared" si="2150"/>
        <v>NIL</v>
      </c>
      <c r="R5262" t="str">
        <f t="shared" si="2145"/>
        <v>Accepted</v>
      </c>
      <c r="S5262" t="str">
        <f t="shared" si="2158"/>
        <v>Approved</v>
      </c>
      <c r="T5262" t="str">
        <f t="shared" si="2146"/>
        <v>10.20.8.188</v>
      </c>
      <c r="U5262" t="str">
        <f t="shared" si="2159"/>
        <v>AZRAD UMAR BIN SHAARI</v>
      </c>
      <c r="V5262" t="str">
        <f t="shared" si="2160"/>
        <v>FARHANA BINTI MUSTAPA</v>
      </c>
      <c r="W5262" t="str">
        <f t="shared" si="2161"/>
        <v>04-08-2020</v>
      </c>
      <c r="X5262" t="str">
        <f t="shared" si="2162"/>
        <v>RAZIMAH ANSAR AHMAD</v>
      </c>
      <c r="Y5262" t="str">
        <f t="shared" si="2163"/>
        <v>04-08-2020</v>
      </c>
      <c r="Z5262" t="str">
        <f>"COS10200804 3892"</f>
        <v>COS10200804 3892</v>
      </c>
    </row>
    <row r="5263" spans="1:26" x14ac:dyDescent="0.25">
      <c r="A5263" t="str">
        <f t="shared" si="2151"/>
        <v>04-08-2020 12:47:34</v>
      </c>
      <c r="B5263" t="str">
        <f>"0000805666"</f>
        <v>0000805666</v>
      </c>
      <c r="C5263" t="str">
        <f t="shared" si="2152"/>
        <v>0000805575</v>
      </c>
      <c r="D5263" t="str">
        <f t="shared" si="2153"/>
        <v>73185</v>
      </c>
      <c r="E5263" t="str">
        <f t="shared" si="2154"/>
        <v>KFH-OPERATIONS DEPARTMENT</v>
      </c>
      <c r="F5263" t="str">
        <f t="shared" si="2155"/>
        <v>IBG</v>
      </c>
      <c r="G5263" t="str">
        <f t="shared" si="2164"/>
        <v>Refund COSHARE 10</v>
      </c>
      <c r="H5263" s="2">
        <v>1276.05</v>
      </c>
      <c r="I5263" t="str">
        <f>"ADAM SYAFIQ BIN AZLAN"</f>
        <v>ADAM SYAFIQ BIN AZLAN</v>
      </c>
      <c r="J5263" t="str">
        <f t="shared" si="2140"/>
        <v>MAYBANK / MAYBANK ISLAMIC</v>
      </c>
      <c r="K5263" t="str">
        <f>"155015055433"</f>
        <v>155015055433</v>
      </c>
      <c r="L5263" t="str">
        <f t="shared" si="2149"/>
        <v>04-08-2020</v>
      </c>
      <c r="M5263" t="str">
        <f t="shared" si="2149"/>
        <v>04-08-2020</v>
      </c>
      <c r="N5263" t="str">
        <f t="shared" si="2156"/>
        <v>001105018356</v>
      </c>
      <c r="O5263" t="str">
        <f t="shared" si="2157"/>
        <v>MYR</v>
      </c>
      <c r="P5263" t="str">
        <f t="shared" si="2150"/>
        <v>NIL</v>
      </c>
      <c r="Q5263" t="str">
        <f t="shared" si="2150"/>
        <v>NIL</v>
      </c>
      <c r="R5263" t="str">
        <f t="shared" si="2145"/>
        <v>Accepted</v>
      </c>
      <c r="S5263" t="str">
        <f t="shared" si="2158"/>
        <v>Approved</v>
      </c>
      <c r="T5263" t="str">
        <f t="shared" si="2146"/>
        <v>10.20.8.188</v>
      </c>
      <c r="U5263" t="str">
        <f t="shared" si="2159"/>
        <v>AZRAD UMAR BIN SHAARI</v>
      </c>
      <c r="V5263" t="str">
        <f t="shared" si="2160"/>
        <v>FARHANA BINTI MUSTAPA</v>
      </c>
      <c r="W5263" t="str">
        <f t="shared" si="2161"/>
        <v>04-08-2020</v>
      </c>
      <c r="X5263" t="str">
        <f t="shared" si="2162"/>
        <v>RAZIMAH ANSAR AHMAD</v>
      </c>
      <c r="Y5263" t="str">
        <f t="shared" si="2163"/>
        <v>04-08-2020</v>
      </c>
      <c r="Z5263" t="str">
        <f>"COS10200804 3891"</f>
        <v>COS10200804 3891</v>
      </c>
    </row>
    <row r="5264" spans="1:26" x14ac:dyDescent="0.25">
      <c r="A5264" t="str">
        <f t="shared" si="2151"/>
        <v>04-08-2020 12:47:34</v>
      </c>
      <c r="B5264" t="str">
        <f>"0000805665"</f>
        <v>0000805665</v>
      </c>
      <c r="C5264" t="str">
        <f t="shared" si="2152"/>
        <v>0000805575</v>
      </c>
      <c r="D5264" t="str">
        <f t="shared" si="2153"/>
        <v>73185</v>
      </c>
      <c r="E5264" t="str">
        <f t="shared" si="2154"/>
        <v>KFH-OPERATIONS DEPARTMENT</v>
      </c>
      <c r="F5264" t="str">
        <f t="shared" si="2155"/>
        <v>IBG</v>
      </c>
      <c r="G5264" t="str">
        <f t="shared" si="2164"/>
        <v>Refund COSHARE 10</v>
      </c>
      <c r="H5264" s="2">
        <v>443.5</v>
      </c>
      <c r="I5264" t="str">
        <f>"ADAM BIN ISMAIL"</f>
        <v>ADAM BIN ISMAIL</v>
      </c>
      <c r="J5264" t="str">
        <f t="shared" si="2140"/>
        <v>MAYBANK / MAYBANK ISLAMIC</v>
      </c>
      <c r="K5264" t="str">
        <f>"162218304286"</f>
        <v>162218304286</v>
      </c>
      <c r="L5264" t="str">
        <f t="shared" si="2149"/>
        <v>04-08-2020</v>
      </c>
      <c r="M5264" t="str">
        <f t="shared" si="2149"/>
        <v>04-08-2020</v>
      </c>
      <c r="N5264" t="str">
        <f t="shared" si="2156"/>
        <v>001105018356</v>
      </c>
      <c r="O5264" t="str">
        <f t="shared" si="2157"/>
        <v>MYR</v>
      </c>
      <c r="P5264" t="str">
        <f t="shared" si="2150"/>
        <v>NIL</v>
      </c>
      <c r="Q5264" t="str">
        <f t="shared" si="2150"/>
        <v>NIL</v>
      </c>
      <c r="R5264" t="str">
        <f t="shared" si="2145"/>
        <v>Accepted</v>
      </c>
      <c r="S5264" t="str">
        <f t="shared" si="2158"/>
        <v>Approved</v>
      </c>
      <c r="T5264" t="str">
        <f t="shared" si="2146"/>
        <v>10.20.8.188</v>
      </c>
      <c r="U5264" t="str">
        <f t="shared" si="2159"/>
        <v>AZRAD UMAR BIN SHAARI</v>
      </c>
      <c r="V5264" t="str">
        <f t="shared" si="2160"/>
        <v>FARHANA BINTI MUSTAPA</v>
      </c>
      <c r="W5264" t="str">
        <f t="shared" si="2161"/>
        <v>04-08-2020</v>
      </c>
      <c r="X5264" t="str">
        <f t="shared" si="2162"/>
        <v>RAZIMAH ANSAR AHMAD</v>
      </c>
      <c r="Y5264" t="str">
        <f t="shared" si="2163"/>
        <v>04-08-2020</v>
      </c>
      <c r="Z5264" t="str">
        <f>"COS10200804 3890"</f>
        <v>COS10200804 3890</v>
      </c>
    </row>
    <row r="5265" spans="1:26" x14ac:dyDescent="0.25">
      <c r="A5265" t="str">
        <f t="shared" si="2151"/>
        <v>04-08-2020 12:47:34</v>
      </c>
      <c r="B5265" t="str">
        <f>"0000805664"</f>
        <v>0000805664</v>
      </c>
      <c r="C5265" t="str">
        <f t="shared" si="2152"/>
        <v>0000805575</v>
      </c>
      <c r="D5265" t="str">
        <f t="shared" si="2153"/>
        <v>73185</v>
      </c>
      <c r="E5265" t="str">
        <f t="shared" si="2154"/>
        <v>KFH-OPERATIONS DEPARTMENT</v>
      </c>
      <c r="F5265" t="str">
        <f t="shared" si="2155"/>
        <v>IBG</v>
      </c>
      <c r="G5265" t="str">
        <f t="shared" si="2164"/>
        <v>Refund COSHARE 10</v>
      </c>
      <c r="H5265" s="2">
        <v>839.5</v>
      </c>
      <c r="I5265" t="str">
        <f>"ADAM BIN CHE HUSIN"</f>
        <v>ADAM BIN CHE HUSIN</v>
      </c>
      <c r="J5265" t="str">
        <f t="shared" ref="J5265:J5333" si="2165">"MAYBANK / MAYBANK ISLAMIC"</f>
        <v>MAYBANK / MAYBANK ISLAMIC</v>
      </c>
      <c r="K5265" t="str">
        <f>"562834051459"</f>
        <v>562834051459</v>
      </c>
      <c r="L5265" t="str">
        <f t="shared" si="2149"/>
        <v>04-08-2020</v>
      </c>
      <c r="M5265" t="str">
        <f t="shared" si="2149"/>
        <v>04-08-2020</v>
      </c>
      <c r="N5265" t="str">
        <f t="shared" si="2156"/>
        <v>001105018356</v>
      </c>
      <c r="O5265" t="str">
        <f t="shared" si="2157"/>
        <v>MYR</v>
      </c>
      <c r="P5265" t="str">
        <f t="shared" si="2150"/>
        <v>NIL</v>
      </c>
      <c r="Q5265" t="str">
        <f t="shared" si="2150"/>
        <v>NIL</v>
      </c>
      <c r="R5265" t="str">
        <f t="shared" si="2145"/>
        <v>Accepted</v>
      </c>
      <c r="S5265" t="str">
        <f t="shared" si="2158"/>
        <v>Approved</v>
      </c>
      <c r="T5265" t="str">
        <f t="shared" si="2146"/>
        <v>10.20.8.188</v>
      </c>
      <c r="U5265" t="str">
        <f t="shared" si="2159"/>
        <v>AZRAD UMAR BIN SHAARI</v>
      </c>
      <c r="V5265" t="str">
        <f t="shared" si="2160"/>
        <v>FARHANA BINTI MUSTAPA</v>
      </c>
      <c r="W5265" t="str">
        <f t="shared" si="2161"/>
        <v>04-08-2020</v>
      </c>
      <c r="X5265" t="str">
        <f t="shared" si="2162"/>
        <v>RAZIMAH ANSAR AHMAD</v>
      </c>
      <c r="Y5265" t="str">
        <f t="shared" si="2163"/>
        <v>04-08-2020</v>
      </c>
      <c r="Z5265" t="str">
        <f>"COS10200804 3889"</f>
        <v>COS10200804 3889</v>
      </c>
    </row>
    <row r="5266" spans="1:26" x14ac:dyDescent="0.25">
      <c r="A5266" t="str">
        <f t="shared" si="2151"/>
        <v>04-08-2020 12:47:34</v>
      </c>
      <c r="B5266" t="str">
        <f>"0000805663"</f>
        <v>0000805663</v>
      </c>
      <c r="C5266" t="str">
        <f t="shared" si="2152"/>
        <v>0000805575</v>
      </c>
      <c r="D5266" t="str">
        <f t="shared" si="2153"/>
        <v>73185</v>
      </c>
      <c r="E5266" t="str">
        <f t="shared" si="2154"/>
        <v>KFH-OPERATIONS DEPARTMENT</v>
      </c>
      <c r="F5266" t="str">
        <f t="shared" si="2155"/>
        <v>IBG</v>
      </c>
      <c r="G5266" t="str">
        <f t="shared" si="2164"/>
        <v>Refund COSHARE 10</v>
      </c>
      <c r="H5266" s="2">
        <v>671.6</v>
      </c>
      <c r="I5266" t="str">
        <f>"ABUL AZRAIE BIN ABU BAKAR"</f>
        <v>ABUL AZRAIE BIN ABU BAKAR</v>
      </c>
      <c r="J5266" t="str">
        <f t="shared" si="2165"/>
        <v>MAYBANK / MAYBANK ISLAMIC</v>
      </c>
      <c r="K5266" t="str">
        <f>"162021365825"</f>
        <v>162021365825</v>
      </c>
      <c r="L5266" t="str">
        <f t="shared" si="2149"/>
        <v>04-08-2020</v>
      </c>
      <c r="M5266" t="str">
        <f t="shared" si="2149"/>
        <v>04-08-2020</v>
      </c>
      <c r="N5266" t="str">
        <f t="shared" si="2156"/>
        <v>001105018356</v>
      </c>
      <c r="O5266" t="str">
        <f t="shared" si="2157"/>
        <v>MYR</v>
      </c>
      <c r="P5266" t="str">
        <f t="shared" si="2150"/>
        <v>NIL</v>
      </c>
      <c r="Q5266" t="str">
        <f t="shared" si="2150"/>
        <v>NIL</v>
      </c>
      <c r="R5266" t="str">
        <f t="shared" si="2145"/>
        <v>Accepted</v>
      </c>
      <c r="S5266" t="str">
        <f t="shared" si="2158"/>
        <v>Approved</v>
      </c>
      <c r="T5266" t="str">
        <f t="shared" si="2146"/>
        <v>10.20.8.188</v>
      </c>
      <c r="U5266" t="str">
        <f t="shared" si="2159"/>
        <v>AZRAD UMAR BIN SHAARI</v>
      </c>
      <c r="V5266" t="str">
        <f t="shared" si="2160"/>
        <v>FARHANA BINTI MUSTAPA</v>
      </c>
      <c r="W5266" t="str">
        <f t="shared" si="2161"/>
        <v>04-08-2020</v>
      </c>
      <c r="X5266" t="str">
        <f t="shared" si="2162"/>
        <v>RAZIMAH ANSAR AHMAD</v>
      </c>
      <c r="Y5266" t="str">
        <f t="shared" si="2163"/>
        <v>04-08-2020</v>
      </c>
      <c r="Z5266" t="str">
        <f>"COS10200804 3888"</f>
        <v>COS10200804 3888</v>
      </c>
    </row>
    <row r="5267" spans="1:26" x14ac:dyDescent="0.25">
      <c r="A5267" t="str">
        <f t="shared" si="2151"/>
        <v>04-08-2020 12:47:34</v>
      </c>
      <c r="B5267" t="str">
        <f>"0000805662"</f>
        <v>0000805662</v>
      </c>
      <c r="C5267" t="str">
        <f t="shared" si="2152"/>
        <v>0000805575</v>
      </c>
      <c r="D5267" t="str">
        <f t="shared" si="2153"/>
        <v>73185</v>
      </c>
      <c r="E5267" t="str">
        <f t="shared" si="2154"/>
        <v>KFH-OPERATIONS DEPARTMENT</v>
      </c>
      <c r="F5267" t="str">
        <f t="shared" si="2155"/>
        <v>IBG</v>
      </c>
      <c r="G5267" t="str">
        <f t="shared" si="2164"/>
        <v>Refund COSHARE 10</v>
      </c>
      <c r="H5267" s="2">
        <v>963.55</v>
      </c>
      <c r="I5267" t="str">
        <f>"ABU SALLEHEIN BIN NORDIN"</f>
        <v>ABU SALLEHEIN BIN NORDIN</v>
      </c>
      <c r="J5267" t="str">
        <f t="shared" si="2165"/>
        <v>MAYBANK / MAYBANK ISLAMIC</v>
      </c>
      <c r="K5267" t="str">
        <f>"164164001126"</f>
        <v>164164001126</v>
      </c>
      <c r="L5267" t="str">
        <f t="shared" ref="L5267:M5286" si="2166">"04-08-2020"</f>
        <v>04-08-2020</v>
      </c>
      <c r="M5267" t="str">
        <f t="shared" si="2166"/>
        <v>04-08-2020</v>
      </c>
      <c r="N5267" t="str">
        <f t="shared" si="2156"/>
        <v>001105018356</v>
      </c>
      <c r="O5267" t="str">
        <f t="shared" si="2157"/>
        <v>MYR</v>
      </c>
      <c r="P5267" t="str">
        <f t="shared" ref="P5267:Q5286" si="2167">"NIL"</f>
        <v>NIL</v>
      </c>
      <c r="Q5267" t="str">
        <f t="shared" si="2167"/>
        <v>NIL</v>
      </c>
      <c r="R5267" t="str">
        <f t="shared" si="2145"/>
        <v>Accepted</v>
      </c>
      <c r="S5267" t="str">
        <f t="shared" si="2158"/>
        <v>Approved</v>
      </c>
      <c r="T5267" t="str">
        <f t="shared" si="2146"/>
        <v>10.20.8.188</v>
      </c>
      <c r="U5267" t="str">
        <f t="shared" si="2159"/>
        <v>AZRAD UMAR BIN SHAARI</v>
      </c>
      <c r="V5267" t="str">
        <f t="shared" si="2160"/>
        <v>FARHANA BINTI MUSTAPA</v>
      </c>
      <c r="W5267" t="str">
        <f t="shared" si="2161"/>
        <v>04-08-2020</v>
      </c>
      <c r="X5267" t="str">
        <f t="shared" si="2162"/>
        <v>RAZIMAH ANSAR AHMAD</v>
      </c>
      <c r="Y5267" t="str">
        <f t="shared" si="2163"/>
        <v>04-08-2020</v>
      </c>
      <c r="Z5267" t="str">
        <f>"COS10200804 3887"</f>
        <v>COS10200804 3887</v>
      </c>
    </row>
    <row r="5268" spans="1:26" x14ac:dyDescent="0.25">
      <c r="A5268" t="str">
        <f t="shared" si="2151"/>
        <v>04-08-2020 12:47:34</v>
      </c>
      <c r="B5268" t="str">
        <f>"0000805661"</f>
        <v>0000805661</v>
      </c>
      <c r="C5268" t="str">
        <f t="shared" si="2152"/>
        <v>0000805575</v>
      </c>
      <c r="D5268" t="str">
        <f t="shared" si="2153"/>
        <v>73185</v>
      </c>
      <c r="E5268" t="str">
        <f t="shared" si="2154"/>
        <v>KFH-OPERATIONS DEPARTMENT</v>
      </c>
      <c r="F5268" t="str">
        <f t="shared" si="2155"/>
        <v>IBG</v>
      </c>
      <c r="G5268" t="str">
        <f t="shared" si="2164"/>
        <v>Refund COSHARE 10</v>
      </c>
      <c r="H5268" s="2">
        <v>765.6</v>
      </c>
      <c r="I5268" t="str">
        <f>"ABU MUHJIN BIN JOBSHI"</f>
        <v>ABU MUHJIN BIN JOBSHI</v>
      </c>
      <c r="J5268" t="str">
        <f t="shared" si="2165"/>
        <v>MAYBANK / MAYBANK ISLAMIC</v>
      </c>
      <c r="K5268" t="str">
        <f>"108010497730"</f>
        <v>108010497730</v>
      </c>
      <c r="L5268" t="str">
        <f t="shared" si="2166"/>
        <v>04-08-2020</v>
      </c>
      <c r="M5268" t="str">
        <f t="shared" si="2166"/>
        <v>04-08-2020</v>
      </c>
      <c r="N5268" t="str">
        <f t="shared" si="2156"/>
        <v>001105018356</v>
      </c>
      <c r="O5268" t="str">
        <f t="shared" si="2157"/>
        <v>MYR</v>
      </c>
      <c r="P5268" t="str">
        <f t="shared" si="2167"/>
        <v>NIL</v>
      </c>
      <c r="Q5268" t="str">
        <f t="shared" si="2167"/>
        <v>NIL</v>
      </c>
      <c r="R5268" t="str">
        <f t="shared" si="2145"/>
        <v>Accepted</v>
      </c>
      <c r="S5268" t="str">
        <f t="shared" si="2158"/>
        <v>Approved</v>
      </c>
      <c r="T5268" t="str">
        <f t="shared" si="2146"/>
        <v>10.20.8.188</v>
      </c>
      <c r="U5268" t="str">
        <f t="shared" si="2159"/>
        <v>AZRAD UMAR BIN SHAARI</v>
      </c>
      <c r="V5268" t="str">
        <f t="shared" si="2160"/>
        <v>FARHANA BINTI MUSTAPA</v>
      </c>
      <c r="W5268" t="str">
        <f t="shared" si="2161"/>
        <v>04-08-2020</v>
      </c>
      <c r="X5268" t="str">
        <f t="shared" si="2162"/>
        <v>RAZIMAH ANSAR AHMAD</v>
      </c>
      <c r="Y5268" t="str">
        <f t="shared" si="2163"/>
        <v>04-08-2020</v>
      </c>
      <c r="Z5268" t="str">
        <f>"COS10200804 3886"</f>
        <v>COS10200804 3886</v>
      </c>
    </row>
    <row r="5269" spans="1:26" x14ac:dyDescent="0.25">
      <c r="A5269" t="str">
        <f t="shared" si="2151"/>
        <v>04-08-2020 12:47:34</v>
      </c>
      <c r="B5269" t="str">
        <f>"0000805660"</f>
        <v>0000805660</v>
      </c>
      <c r="C5269" t="str">
        <f t="shared" si="2152"/>
        <v>0000805575</v>
      </c>
      <c r="D5269" t="str">
        <f t="shared" si="2153"/>
        <v>73185</v>
      </c>
      <c r="E5269" t="str">
        <f t="shared" si="2154"/>
        <v>KFH-OPERATIONS DEPARTMENT</v>
      </c>
      <c r="F5269" t="str">
        <f t="shared" si="2155"/>
        <v>IBG</v>
      </c>
      <c r="G5269" t="str">
        <f t="shared" si="2164"/>
        <v>Refund COSHARE 10</v>
      </c>
      <c r="H5269" s="2">
        <v>287.10000000000002</v>
      </c>
      <c r="I5269" t="str">
        <f>"ABU HASSAN BIN LELA"</f>
        <v>ABU HASSAN BIN LELA</v>
      </c>
      <c r="J5269" t="str">
        <f t="shared" si="2165"/>
        <v>MAYBANK / MAYBANK ISLAMIC</v>
      </c>
      <c r="K5269" t="str">
        <f>"106034104407"</f>
        <v>106034104407</v>
      </c>
      <c r="L5269" t="str">
        <f t="shared" si="2166"/>
        <v>04-08-2020</v>
      </c>
      <c r="M5269" t="str">
        <f t="shared" si="2166"/>
        <v>04-08-2020</v>
      </c>
      <c r="N5269" t="str">
        <f t="shared" si="2156"/>
        <v>001105018356</v>
      </c>
      <c r="O5269" t="str">
        <f t="shared" si="2157"/>
        <v>MYR</v>
      </c>
      <c r="P5269" t="str">
        <f t="shared" si="2167"/>
        <v>NIL</v>
      </c>
      <c r="Q5269" t="str">
        <f t="shared" si="2167"/>
        <v>NIL</v>
      </c>
      <c r="R5269" t="str">
        <f t="shared" si="2145"/>
        <v>Accepted</v>
      </c>
      <c r="S5269" t="str">
        <f t="shared" si="2158"/>
        <v>Approved</v>
      </c>
      <c r="T5269" t="str">
        <f t="shared" si="2146"/>
        <v>10.20.8.188</v>
      </c>
      <c r="U5269" t="str">
        <f t="shared" si="2159"/>
        <v>AZRAD UMAR BIN SHAARI</v>
      </c>
      <c r="V5269" t="str">
        <f t="shared" si="2160"/>
        <v>FARHANA BINTI MUSTAPA</v>
      </c>
      <c r="W5269" t="str">
        <f t="shared" si="2161"/>
        <v>04-08-2020</v>
      </c>
      <c r="X5269" t="str">
        <f t="shared" si="2162"/>
        <v>RAZIMAH ANSAR AHMAD</v>
      </c>
      <c r="Y5269" t="str">
        <f t="shared" si="2163"/>
        <v>04-08-2020</v>
      </c>
      <c r="Z5269" t="str">
        <f>"COS10200804 3885"</f>
        <v>COS10200804 3885</v>
      </c>
    </row>
    <row r="5270" spans="1:26" x14ac:dyDescent="0.25">
      <c r="A5270" t="str">
        <f t="shared" si="2151"/>
        <v>04-08-2020 12:47:34</v>
      </c>
      <c r="B5270" t="str">
        <f>"0000805659"</f>
        <v>0000805659</v>
      </c>
      <c r="C5270" t="str">
        <f t="shared" si="2152"/>
        <v>0000805575</v>
      </c>
      <c r="D5270" t="str">
        <f t="shared" si="2153"/>
        <v>73185</v>
      </c>
      <c r="E5270" t="str">
        <f t="shared" si="2154"/>
        <v>KFH-OPERATIONS DEPARTMENT</v>
      </c>
      <c r="F5270" t="str">
        <f t="shared" si="2155"/>
        <v>IBG</v>
      </c>
      <c r="G5270" t="str">
        <f t="shared" si="2164"/>
        <v>Refund COSHARE 10</v>
      </c>
      <c r="H5270" s="2">
        <v>287.10000000000002</v>
      </c>
      <c r="I5270" t="str">
        <f>"ABU HASSAN BIN LELA"</f>
        <v>ABU HASSAN BIN LELA</v>
      </c>
      <c r="J5270" t="str">
        <f t="shared" si="2165"/>
        <v>MAYBANK / MAYBANK ISLAMIC</v>
      </c>
      <c r="K5270" t="str">
        <f>"106034104407"</f>
        <v>106034104407</v>
      </c>
      <c r="L5270" t="str">
        <f t="shared" si="2166"/>
        <v>04-08-2020</v>
      </c>
      <c r="M5270" t="str">
        <f t="shared" si="2166"/>
        <v>04-08-2020</v>
      </c>
      <c r="N5270" t="str">
        <f t="shared" si="2156"/>
        <v>001105018356</v>
      </c>
      <c r="O5270" t="str">
        <f t="shared" si="2157"/>
        <v>MYR</v>
      </c>
      <c r="P5270" t="str">
        <f t="shared" si="2167"/>
        <v>NIL</v>
      </c>
      <c r="Q5270" t="str">
        <f t="shared" si="2167"/>
        <v>NIL</v>
      </c>
      <c r="R5270" t="str">
        <f t="shared" si="2145"/>
        <v>Accepted</v>
      </c>
      <c r="S5270" t="str">
        <f t="shared" si="2158"/>
        <v>Approved</v>
      </c>
      <c r="T5270" t="str">
        <f t="shared" si="2146"/>
        <v>10.20.8.188</v>
      </c>
      <c r="U5270" t="str">
        <f t="shared" si="2159"/>
        <v>AZRAD UMAR BIN SHAARI</v>
      </c>
      <c r="V5270" t="str">
        <f t="shared" si="2160"/>
        <v>FARHANA BINTI MUSTAPA</v>
      </c>
      <c r="W5270" t="str">
        <f t="shared" si="2161"/>
        <v>04-08-2020</v>
      </c>
      <c r="X5270" t="str">
        <f t="shared" si="2162"/>
        <v>RAZIMAH ANSAR AHMAD</v>
      </c>
      <c r="Y5270" t="str">
        <f t="shared" si="2163"/>
        <v>04-08-2020</v>
      </c>
      <c r="Z5270" t="str">
        <f>"COS10200804 3884"</f>
        <v>COS10200804 3884</v>
      </c>
    </row>
    <row r="5271" spans="1:26" x14ac:dyDescent="0.25">
      <c r="A5271" t="str">
        <f t="shared" si="2151"/>
        <v>04-08-2020 12:47:34</v>
      </c>
      <c r="B5271" t="str">
        <f>"0000805658"</f>
        <v>0000805658</v>
      </c>
      <c r="C5271" t="str">
        <f t="shared" si="2152"/>
        <v>0000805575</v>
      </c>
      <c r="D5271" t="str">
        <f t="shared" si="2153"/>
        <v>73185</v>
      </c>
      <c r="E5271" t="str">
        <f t="shared" si="2154"/>
        <v>KFH-OPERATIONS DEPARTMENT</v>
      </c>
      <c r="F5271" t="str">
        <f t="shared" si="2155"/>
        <v>IBG</v>
      </c>
      <c r="G5271" t="str">
        <f t="shared" si="2164"/>
        <v>Refund COSHARE 10</v>
      </c>
      <c r="H5271" s="2">
        <v>53.25</v>
      </c>
      <c r="I5271" t="str">
        <f>"ABU BAKRI BIN SUNTRAK"</f>
        <v>ABU BAKRI BIN SUNTRAK</v>
      </c>
      <c r="J5271" t="str">
        <f t="shared" si="2165"/>
        <v>MAYBANK / MAYBANK ISLAMIC</v>
      </c>
      <c r="K5271" t="str">
        <f>"160278023975"</f>
        <v>160278023975</v>
      </c>
      <c r="L5271" t="str">
        <f t="shared" si="2166"/>
        <v>04-08-2020</v>
      </c>
      <c r="M5271" t="str">
        <f t="shared" si="2166"/>
        <v>04-08-2020</v>
      </c>
      <c r="N5271" t="str">
        <f t="shared" si="2156"/>
        <v>001105018356</v>
      </c>
      <c r="O5271" t="str">
        <f t="shared" si="2157"/>
        <v>MYR</v>
      </c>
      <c r="P5271" t="str">
        <f t="shared" si="2167"/>
        <v>NIL</v>
      </c>
      <c r="Q5271" t="str">
        <f t="shared" si="2167"/>
        <v>NIL</v>
      </c>
      <c r="R5271" t="str">
        <f t="shared" si="2145"/>
        <v>Accepted</v>
      </c>
      <c r="S5271" t="str">
        <f t="shared" si="2158"/>
        <v>Approved</v>
      </c>
      <c r="T5271" t="str">
        <f t="shared" si="2146"/>
        <v>10.20.8.188</v>
      </c>
      <c r="U5271" t="str">
        <f t="shared" si="2159"/>
        <v>AZRAD UMAR BIN SHAARI</v>
      </c>
      <c r="V5271" t="str">
        <f t="shared" si="2160"/>
        <v>FARHANA BINTI MUSTAPA</v>
      </c>
      <c r="W5271" t="str">
        <f t="shared" si="2161"/>
        <v>04-08-2020</v>
      </c>
      <c r="X5271" t="str">
        <f t="shared" si="2162"/>
        <v>RAZIMAH ANSAR AHMAD</v>
      </c>
      <c r="Y5271" t="str">
        <f t="shared" si="2163"/>
        <v>04-08-2020</v>
      </c>
      <c r="Z5271" t="str">
        <f>"COS10200804 3883"</f>
        <v>COS10200804 3883</v>
      </c>
    </row>
    <row r="5272" spans="1:26" x14ac:dyDescent="0.25">
      <c r="A5272" t="str">
        <f t="shared" si="2151"/>
        <v>04-08-2020 12:47:34</v>
      </c>
      <c r="B5272" t="str">
        <f>"0000805657"</f>
        <v>0000805657</v>
      </c>
      <c r="C5272" t="str">
        <f t="shared" si="2152"/>
        <v>0000805575</v>
      </c>
      <c r="D5272" t="str">
        <f t="shared" si="2153"/>
        <v>73185</v>
      </c>
      <c r="E5272" t="str">
        <f t="shared" si="2154"/>
        <v>KFH-OPERATIONS DEPARTMENT</v>
      </c>
      <c r="F5272" t="str">
        <f t="shared" si="2155"/>
        <v>IBG</v>
      </c>
      <c r="G5272" t="str">
        <f t="shared" si="2164"/>
        <v>Refund COSHARE 10</v>
      </c>
      <c r="H5272" s="2">
        <v>114</v>
      </c>
      <c r="I5272" t="str">
        <f>"ABU BAKAR SAIDI BIN DAUD"</f>
        <v>ABU BAKAR SAIDI BIN DAUD</v>
      </c>
      <c r="J5272" t="str">
        <f t="shared" si="2165"/>
        <v>MAYBANK / MAYBANK ISLAMIC</v>
      </c>
      <c r="K5272" t="str">
        <f>"156048178522"</f>
        <v>156048178522</v>
      </c>
      <c r="L5272" t="str">
        <f t="shared" si="2166"/>
        <v>04-08-2020</v>
      </c>
      <c r="M5272" t="str">
        <f t="shared" si="2166"/>
        <v>04-08-2020</v>
      </c>
      <c r="N5272" t="str">
        <f t="shared" si="2156"/>
        <v>001105018356</v>
      </c>
      <c r="O5272" t="str">
        <f t="shared" si="2157"/>
        <v>MYR</v>
      </c>
      <c r="P5272" t="str">
        <f t="shared" si="2167"/>
        <v>NIL</v>
      </c>
      <c r="Q5272" t="str">
        <f t="shared" si="2167"/>
        <v>NIL</v>
      </c>
      <c r="R5272" t="str">
        <f t="shared" si="2145"/>
        <v>Accepted</v>
      </c>
      <c r="S5272" t="str">
        <f t="shared" si="2158"/>
        <v>Approved</v>
      </c>
      <c r="T5272" t="str">
        <f t="shared" si="2146"/>
        <v>10.20.8.188</v>
      </c>
      <c r="U5272" t="str">
        <f t="shared" si="2159"/>
        <v>AZRAD UMAR BIN SHAARI</v>
      </c>
      <c r="V5272" t="str">
        <f t="shared" si="2160"/>
        <v>FARHANA BINTI MUSTAPA</v>
      </c>
      <c r="W5272" t="str">
        <f t="shared" si="2161"/>
        <v>04-08-2020</v>
      </c>
      <c r="X5272" t="str">
        <f t="shared" si="2162"/>
        <v>RAZIMAH ANSAR AHMAD</v>
      </c>
      <c r="Y5272" t="str">
        <f t="shared" si="2163"/>
        <v>04-08-2020</v>
      </c>
      <c r="Z5272" t="str">
        <f>"COS10200804 3882"</f>
        <v>COS10200804 3882</v>
      </c>
    </row>
    <row r="5273" spans="1:26" x14ac:dyDescent="0.25">
      <c r="A5273" t="str">
        <f t="shared" si="2151"/>
        <v>04-08-2020 12:47:34</v>
      </c>
      <c r="B5273" t="str">
        <f>"0000805656"</f>
        <v>0000805656</v>
      </c>
      <c r="C5273" t="str">
        <f t="shared" si="2152"/>
        <v>0000805575</v>
      </c>
      <c r="D5273" t="str">
        <f t="shared" si="2153"/>
        <v>73185</v>
      </c>
      <c r="E5273" t="str">
        <f t="shared" si="2154"/>
        <v>KFH-OPERATIONS DEPARTMENT</v>
      </c>
      <c r="F5273" t="str">
        <f t="shared" si="2155"/>
        <v>IBG</v>
      </c>
      <c r="G5273" t="str">
        <f t="shared" si="2164"/>
        <v>Refund COSHARE 10</v>
      </c>
      <c r="H5273" s="2">
        <v>92.35</v>
      </c>
      <c r="I5273" t="str">
        <f>"ABU BAKAR SAIDI BIN DAUD"</f>
        <v>ABU BAKAR SAIDI BIN DAUD</v>
      </c>
      <c r="J5273" t="str">
        <f t="shared" si="2165"/>
        <v>MAYBANK / MAYBANK ISLAMIC</v>
      </c>
      <c r="K5273" t="str">
        <f>"156048178522"</f>
        <v>156048178522</v>
      </c>
      <c r="L5273" t="str">
        <f t="shared" si="2166"/>
        <v>04-08-2020</v>
      </c>
      <c r="M5273" t="str">
        <f t="shared" si="2166"/>
        <v>04-08-2020</v>
      </c>
      <c r="N5273" t="str">
        <f t="shared" si="2156"/>
        <v>001105018356</v>
      </c>
      <c r="O5273" t="str">
        <f t="shared" si="2157"/>
        <v>MYR</v>
      </c>
      <c r="P5273" t="str">
        <f t="shared" si="2167"/>
        <v>NIL</v>
      </c>
      <c r="Q5273" t="str">
        <f t="shared" si="2167"/>
        <v>NIL</v>
      </c>
      <c r="R5273" t="str">
        <f t="shared" si="2145"/>
        <v>Accepted</v>
      </c>
      <c r="S5273" t="str">
        <f t="shared" si="2158"/>
        <v>Approved</v>
      </c>
      <c r="T5273" t="str">
        <f t="shared" si="2146"/>
        <v>10.20.8.188</v>
      </c>
      <c r="U5273" t="str">
        <f t="shared" si="2159"/>
        <v>AZRAD UMAR BIN SHAARI</v>
      </c>
      <c r="V5273" t="str">
        <f t="shared" si="2160"/>
        <v>FARHANA BINTI MUSTAPA</v>
      </c>
      <c r="W5273" t="str">
        <f t="shared" si="2161"/>
        <v>04-08-2020</v>
      </c>
      <c r="X5273" t="str">
        <f t="shared" si="2162"/>
        <v>RAZIMAH ANSAR AHMAD</v>
      </c>
      <c r="Y5273" t="str">
        <f t="shared" si="2163"/>
        <v>04-08-2020</v>
      </c>
      <c r="Z5273" t="str">
        <f>"COS10200804 3881"</f>
        <v>COS10200804 3881</v>
      </c>
    </row>
    <row r="5274" spans="1:26" x14ac:dyDescent="0.25">
      <c r="A5274" t="str">
        <f t="shared" si="2151"/>
        <v>04-08-2020 12:47:34</v>
      </c>
      <c r="B5274" t="str">
        <f>"0000805655"</f>
        <v>0000805655</v>
      </c>
      <c r="C5274" t="str">
        <f t="shared" si="2152"/>
        <v>0000805575</v>
      </c>
      <c r="D5274" t="str">
        <f t="shared" si="2153"/>
        <v>73185</v>
      </c>
      <c r="E5274" t="str">
        <f t="shared" si="2154"/>
        <v>KFH-OPERATIONS DEPARTMENT</v>
      </c>
      <c r="F5274" t="str">
        <f t="shared" si="2155"/>
        <v>IBG</v>
      </c>
      <c r="G5274" t="str">
        <f t="shared" si="2164"/>
        <v>Refund COSHARE 10</v>
      </c>
      <c r="H5274" s="2">
        <v>355.45</v>
      </c>
      <c r="I5274" t="str">
        <f>"ABU BAKAR BIN MOHAMED RATHI"</f>
        <v>ABU BAKAR BIN MOHAMED RATHI</v>
      </c>
      <c r="J5274" t="str">
        <f t="shared" si="2165"/>
        <v>MAYBANK / MAYBANK ISLAMIC</v>
      </c>
      <c r="K5274" t="str">
        <f>"108010364002"</f>
        <v>108010364002</v>
      </c>
      <c r="L5274" t="str">
        <f t="shared" si="2166"/>
        <v>04-08-2020</v>
      </c>
      <c r="M5274" t="str">
        <f t="shared" si="2166"/>
        <v>04-08-2020</v>
      </c>
      <c r="N5274" t="str">
        <f t="shared" si="2156"/>
        <v>001105018356</v>
      </c>
      <c r="O5274" t="str">
        <f t="shared" si="2157"/>
        <v>MYR</v>
      </c>
      <c r="P5274" t="str">
        <f t="shared" si="2167"/>
        <v>NIL</v>
      </c>
      <c r="Q5274" t="str">
        <f t="shared" si="2167"/>
        <v>NIL</v>
      </c>
      <c r="R5274" t="str">
        <f t="shared" si="2145"/>
        <v>Accepted</v>
      </c>
      <c r="S5274" t="str">
        <f t="shared" si="2158"/>
        <v>Approved</v>
      </c>
      <c r="T5274" t="str">
        <f t="shared" si="2146"/>
        <v>10.20.8.188</v>
      </c>
      <c r="U5274" t="str">
        <f t="shared" si="2159"/>
        <v>AZRAD UMAR BIN SHAARI</v>
      </c>
      <c r="V5274" t="str">
        <f t="shared" si="2160"/>
        <v>FARHANA BINTI MUSTAPA</v>
      </c>
      <c r="W5274" t="str">
        <f t="shared" si="2161"/>
        <v>04-08-2020</v>
      </c>
      <c r="X5274" t="str">
        <f t="shared" si="2162"/>
        <v>RAZIMAH ANSAR AHMAD</v>
      </c>
      <c r="Y5274" t="str">
        <f t="shared" si="2163"/>
        <v>04-08-2020</v>
      </c>
      <c r="Z5274" t="str">
        <f>"COS10200804 3880"</f>
        <v>COS10200804 3880</v>
      </c>
    </row>
    <row r="5275" spans="1:26" x14ac:dyDescent="0.25">
      <c r="A5275" t="str">
        <f t="shared" si="2151"/>
        <v>04-08-2020 12:47:34</v>
      </c>
      <c r="B5275" t="str">
        <f>"0000805654"</f>
        <v>0000805654</v>
      </c>
      <c r="C5275" t="str">
        <f t="shared" si="2152"/>
        <v>0000805575</v>
      </c>
      <c r="D5275" t="str">
        <f t="shared" si="2153"/>
        <v>73185</v>
      </c>
      <c r="E5275" t="str">
        <f t="shared" si="2154"/>
        <v>KFH-OPERATIONS DEPARTMENT</v>
      </c>
      <c r="F5275" t="str">
        <f t="shared" si="2155"/>
        <v>IBG</v>
      </c>
      <c r="G5275" t="str">
        <f t="shared" si="2164"/>
        <v>Refund COSHARE 10</v>
      </c>
      <c r="H5275" s="2">
        <v>293.85000000000002</v>
      </c>
      <c r="I5275" t="str">
        <f>"ABU BAKAR BIN MD YATIM"</f>
        <v>ABU BAKAR BIN MD YATIM</v>
      </c>
      <c r="J5275" t="str">
        <f t="shared" si="2165"/>
        <v>MAYBANK / MAYBANK ISLAMIC</v>
      </c>
      <c r="K5275" t="str">
        <f>"151016971984"</f>
        <v>151016971984</v>
      </c>
      <c r="L5275" t="str">
        <f t="shared" si="2166"/>
        <v>04-08-2020</v>
      </c>
      <c r="M5275" t="str">
        <f t="shared" si="2166"/>
        <v>04-08-2020</v>
      </c>
      <c r="N5275" t="str">
        <f t="shared" si="2156"/>
        <v>001105018356</v>
      </c>
      <c r="O5275" t="str">
        <f t="shared" si="2157"/>
        <v>MYR</v>
      </c>
      <c r="P5275" t="str">
        <f t="shared" si="2167"/>
        <v>NIL</v>
      </c>
      <c r="Q5275" t="str">
        <f t="shared" si="2167"/>
        <v>NIL</v>
      </c>
      <c r="R5275" t="str">
        <f t="shared" si="2145"/>
        <v>Accepted</v>
      </c>
      <c r="S5275" t="str">
        <f t="shared" si="2158"/>
        <v>Approved</v>
      </c>
      <c r="T5275" t="str">
        <f t="shared" si="2146"/>
        <v>10.20.8.188</v>
      </c>
      <c r="U5275" t="str">
        <f t="shared" si="2159"/>
        <v>AZRAD UMAR BIN SHAARI</v>
      </c>
      <c r="V5275" t="str">
        <f t="shared" si="2160"/>
        <v>FARHANA BINTI MUSTAPA</v>
      </c>
      <c r="W5275" t="str">
        <f t="shared" si="2161"/>
        <v>04-08-2020</v>
      </c>
      <c r="X5275" t="str">
        <f t="shared" si="2162"/>
        <v>RAZIMAH ANSAR AHMAD</v>
      </c>
      <c r="Y5275" t="str">
        <f t="shared" si="2163"/>
        <v>04-08-2020</v>
      </c>
      <c r="Z5275" t="str">
        <f>"COS10200804 3879"</f>
        <v>COS10200804 3879</v>
      </c>
    </row>
    <row r="5276" spans="1:26" x14ac:dyDescent="0.25">
      <c r="A5276" t="str">
        <f t="shared" si="2151"/>
        <v>04-08-2020 12:47:34</v>
      </c>
      <c r="B5276" t="str">
        <f>"0000805653"</f>
        <v>0000805653</v>
      </c>
      <c r="C5276" t="str">
        <f t="shared" si="2152"/>
        <v>0000805575</v>
      </c>
      <c r="D5276" t="str">
        <f t="shared" si="2153"/>
        <v>73185</v>
      </c>
      <c r="E5276" t="str">
        <f t="shared" si="2154"/>
        <v>KFH-OPERATIONS DEPARTMENT</v>
      </c>
      <c r="F5276" t="str">
        <f t="shared" si="2155"/>
        <v>IBG</v>
      </c>
      <c r="G5276" t="str">
        <f t="shared" si="2164"/>
        <v>Refund COSHARE 10</v>
      </c>
      <c r="H5276" s="2">
        <v>839.5</v>
      </c>
      <c r="I5276" t="str">
        <f>"ABU BAKAR BIN BAEMAN"</f>
        <v>ABU BAKAR BIN BAEMAN</v>
      </c>
      <c r="J5276" t="str">
        <f t="shared" si="2165"/>
        <v>MAYBANK / MAYBANK ISLAMIC</v>
      </c>
      <c r="K5276" t="str">
        <f>"164061676067"</f>
        <v>164061676067</v>
      </c>
      <c r="L5276" t="str">
        <f t="shared" si="2166"/>
        <v>04-08-2020</v>
      </c>
      <c r="M5276" t="str">
        <f t="shared" si="2166"/>
        <v>04-08-2020</v>
      </c>
      <c r="N5276" t="str">
        <f t="shared" si="2156"/>
        <v>001105018356</v>
      </c>
      <c r="O5276" t="str">
        <f t="shared" si="2157"/>
        <v>MYR</v>
      </c>
      <c r="P5276" t="str">
        <f t="shared" si="2167"/>
        <v>NIL</v>
      </c>
      <c r="Q5276" t="str">
        <f t="shared" si="2167"/>
        <v>NIL</v>
      </c>
      <c r="R5276" t="str">
        <f t="shared" si="2145"/>
        <v>Accepted</v>
      </c>
      <c r="S5276" t="str">
        <f t="shared" si="2158"/>
        <v>Approved</v>
      </c>
      <c r="T5276" t="str">
        <f t="shared" si="2146"/>
        <v>10.20.8.188</v>
      </c>
      <c r="U5276" t="str">
        <f t="shared" si="2159"/>
        <v>AZRAD UMAR BIN SHAARI</v>
      </c>
      <c r="V5276" t="str">
        <f t="shared" si="2160"/>
        <v>FARHANA BINTI MUSTAPA</v>
      </c>
      <c r="W5276" t="str">
        <f t="shared" si="2161"/>
        <v>04-08-2020</v>
      </c>
      <c r="X5276" t="str">
        <f t="shared" si="2162"/>
        <v>RAZIMAH ANSAR AHMAD</v>
      </c>
      <c r="Y5276" t="str">
        <f t="shared" si="2163"/>
        <v>04-08-2020</v>
      </c>
      <c r="Z5276" t="str">
        <f>"COS10200804 3878"</f>
        <v>COS10200804 3878</v>
      </c>
    </row>
    <row r="5277" spans="1:26" x14ac:dyDescent="0.25">
      <c r="A5277" t="str">
        <f t="shared" si="2151"/>
        <v>04-08-2020 12:47:34</v>
      </c>
      <c r="B5277" t="str">
        <f>"0000805652"</f>
        <v>0000805652</v>
      </c>
      <c r="C5277" t="str">
        <f t="shared" si="2152"/>
        <v>0000805575</v>
      </c>
      <c r="D5277" t="str">
        <f t="shared" si="2153"/>
        <v>73185</v>
      </c>
      <c r="E5277" t="str">
        <f t="shared" si="2154"/>
        <v>KFH-OPERATIONS DEPARTMENT</v>
      </c>
      <c r="F5277" t="str">
        <f t="shared" si="2155"/>
        <v>IBG</v>
      </c>
      <c r="G5277" t="str">
        <f t="shared" si="2164"/>
        <v>Refund COSHARE 10</v>
      </c>
      <c r="H5277" s="2">
        <v>1250.7</v>
      </c>
      <c r="I5277" t="str">
        <f>"ABSULINAWATI BINTI ABET"</f>
        <v>ABSULINAWATI BINTI ABET</v>
      </c>
      <c r="J5277" t="str">
        <f t="shared" si="2165"/>
        <v>MAYBANK / MAYBANK ISLAMIC</v>
      </c>
      <c r="K5277" t="str">
        <f>"111093087290"</f>
        <v>111093087290</v>
      </c>
      <c r="L5277" t="str">
        <f t="shared" si="2166"/>
        <v>04-08-2020</v>
      </c>
      <c r="M5277" t="str">
        <f t="shared" si="2166"/>
        <v>04-08-2020</v>
      </c>
      <c r="N5277" t="str">
        <f t="shared" si="2156"/>
        <v>001105018356</v>
      </c>
      <c r="O5277" t="str">
        <f t="shared" si="2157"/>
        <v>MYR</v>
      </c>
      <c r="P5277" t="str">
        <f t="shared" si="2167"/>
        <v>NIL</v>
      </c>
      <c r="Q5277" t="str">
        <f t="shared" si="2167"/>
        <v>NIL</v>
      </c>
      <c r="R5277" t="str">
        <f t="shared" si="2145"/>
        <v>Accepted</v>
      </c>
      <c r="S5277" t="str">
        <f t="shared" si="2158"/>
        <v>Approved</v>
      </c>
      <c r="T5277" t="str">
        <f t="shared" si="2146"/>
        <v>10.20.8.188</v>
      </c>
      <c r="U5277" t="str">
        <f t="shared" si="2159"/>
        <v>AZRAD UMAR BIN SHAARI</v>
      </c>
      <c r="V5277" t="str">
        <f t="shared" si="2160"/>
        <v>FARHANA BINTI MUSTAPA</v>
      </c>
      <c r="W5277" t="str">
        <f t="shared" si="2161"/>
        <v>04-08-2020</v>
      </c>
      <c r="X5277" t="str">
        <f t="shared" si="2162"/>
        <v>RAZIMAH ANSAR AHMAD</v>
      </c>
      <c r="Y5277" t="str">
        <f t="shared" si="2163"/>
        <v>04-08-2020</v>
      </c>
      <c r="Z5277" t="str">
        <f>"COS10200804 3877"</f>
        <v>COS10200804 3877</v>
      </c>
    </row>
    <row r="5278" spans="1:26" x14ac:dyDescent="0.25">
      <c r="A5278" t="str">
        <f t="shared" si="2151"/>
        <v>04-08-2020 12:47:34</v>
      </c>
      <c r="B5278" t="str">
        <f>"0000805651"</f>
        <v>0000805651</v>
      </c>
      <c r="C5278" t="str">
        <f t="shared" si="2152"/>
        <v>0000805575</v>
      </c>
      <c r="D5278" t="str">
        <f t="shared" si="2153"/>
        <v>73185</v>
      </c>
      <c r="E5278" t="str">
        <f t="shared" si="2154"/>
        <v>KFH-OPERATIONS DEPARTMENT</v>
      </c>
      <c r="F5278" t="str">
        <f t="shared" si="2155"/>
        <v>IBG</v>
      </c>
      <c r="G5278" t="str">
        <f t="shared" si="2164"/>
        <v>Refund COSHARE 10</v>
      </c>
      <c r="H5278" s="2">
        <v>167.9</v>
      </c>
      <c r="I5278" t="str">
        <f>"ABDULLAH FAJARANI BIN MASDUKI"</f>
        <v>ABDULLAH FAJARANI BIN MASDUKI</v>
      </c>
      <c r="J5278" t="str">
        <f t="shared" si="2165"/>
        <v>MAYBANK / MAYBANK ISLAMIC</v>
      </c>
      <c r="K5278" t="str">
        <f>"160063282048"</f>
        <v>160063282048</v>
      </c>
      <c r="L5278" t="str">
        <f t="shared" si="2166"/>
        <v>04-08-2020</v>
      </c>
      <c r="M5278" t="str">
        <f t="shared" si="2166"/>
        <v>04-08-2020</v>
      </c>
      <c r="N5278" t="str">
        <f t="shared" si="2156"/>
        <v>001105018356</v>
      </c>
      <c r="O5278" t="str">
        <f t="shared" si="2157"/>
        <v>MYR</v>
      </c>
      <c r="P5278" t="str">
        <f t="shared" si="2167"/>
        <v>NIL</v>
      </c>
      <c r="Q5278" t="str">
        <f t="shared" si="2167"/>
        <v>NIL</v>
      </c>
      <c r="R5278" t="str">
        <f t="shared" si="2145"/>
        <v>Accepted</v>
      </c>
      <c r="S5278" t="str">
        <f t="shared" si="2158"/>
        <v>Approved</v>
      </c>
      <c r="T5278" t="str">
        <f t="shared" si="2146"/>
        <v>10.20.8.188</v>
      </c>
      <c r="U5278" t="str">
        <f t="shared" si="2159"/>
        <v>AZRAD UMAR BIN SHAARI</v>
      </c>
      <c r="V5278" t="str">
        <f t="shared" si="2160"/>
        <v>FARHANA BINTI MUSTAPA</v>
      </c>
      <c r="W5278" t="str">
        <f t="shared" si="2161"/>
        <v>04-08-2020</v>
      </c>
      <c r="X5278" t="str">
        <f t="shared" si="2162"/>
        <v>RAZIMAH ANSAR AHMAD</v>
      </c>
      <c r="Y5278" t="str">
        <f t="shared" si="2163"/>
        <v>04-08-2020</v>
      </c>
      <c r="Z5278" t="str">
        <f>"COS10200804 3876"</f>
        <v>COS10200804 3876</v>
      </c>
    </row>
    <row r="5279" spans="1:26" x14ac:dyDescent="0.25">
      <c r="A5279" t="str">
        <f t="shared" si="2151"/>
        <v>04-08-2020 12:47:34</v>
      </c>
      <c r="B5279" t="str">
        <f>"0000805650"</f>
        <v>0000805650</v>
      </c>
      <c r="C5279" t="str">
        <f t="shared" si="2152"/>
        <v>0000805575</v>
      </c>
      <c r="D5279" t="str">
        <f t="shared" si="2153"/>
        <v>73185</v>
      </c>
      <c r="E5279" t="str">
        <f t="shared" si="2154"/>
        <v>KFH-OPERATIONS DEPARTMENT</v>
      </c>
      <c r="F5279" t="str">
        <f t="shared" si="2155"/>
        <v>IBG</v>
      </c>
      <c r="G5279" t="str">
        <f t="shared" si="2164"/>
        <v>Refund COSHARE 10</v>
      </c>
      <c r="H5279" s="2">
        <v>166.8</v>
      </c>
      <c r="I5279" t="str">
        <f>"ABDULLAH BIN HASHIM"</f>
        <v>ABDULLAH BIN HASHIM</v>
      </c>
      <c r="J5279" t="str">
        <f t="shared" si="2165"/>
        <v>MAYBANK / MAYBANK ISLAMIC</v>
      </c>
      <c r="K5279" t="str">
        <f>"158163037695"</f>
        <v>158163037695</v>
      </c>
      <c r="L5279" t="str">
        <f t="shared" si="2166"/>
        <v>04-08-2020</v>
      </c>
      <c r="M5279" t="str">
        <f t="shared" si="2166"/>
        <v>04-08-2020</v>
      </c>
      <c r="N5279" t="str">
        <f t="shared" si="2156"/>
        <v>001105018356</v>
      </c>
      <c r="O5279" t="str">
        <f t="shared" si="2157"/>
        <v>MYR</v>
      </c>
      <c r="P5279" t="str">
        <f t="shared" si="2167"/>
        <v>NIL</v>
      </c>
      <c r="Q5279" t="str">
        <f t="shared" si="2167"/>
        <v>NIL</v>
      </c>
      <c r="R5279" t="str">
        <f t="shared" si="2145"/>
        <v>Accepted</v>
      </c>
      <c r="S5279" t="str">
        <f t="shared" si="2158"/>
        <v>Approved</v>
      </c>
      <c r="T5279" t="str">
        <f t="shared" si="2146"/>
        <v>10.20.8.188</v>
      </c>
      <c r="U5279" t="str">
        <f t="shared" si="2159"/>
        <v>AZRAD UMAR BIN SHAARI</v>
      </c>
      <c r="V5279" t="str">
        <f t="shared" si="2160"/>
        <v>FARHANA BINTI MUSTAPA</v>
      </c>
      <c r="W5279" t="str">
        <f t="shared" si="2161"/>
        <v>04-08-2020</v>
      </c>
      <c r="X5279" t="str">
        <f t="shared" si="2162"/>
        <v>RAZIMAH ANSAR AHMAD</v>
      </c>
      <c r="Y5279" t="str">
        <f t="shared" si="2163"/>
        <v>04-08-2020</v>
      </c>
      <c r="Z5279" t="str">
        <f>"COS10200804 3875"</f>
        <v>COS10200804 3875</v>
      </c>
    </row>
    <row r="5280" spans="1:26" x14ac:dyDescent="0.25">
      <c r="A5280" t="str">
        <f t="shared" si="2151"/>
        <v>04-08-2020 12:47:34</v>
      </c>
      <c r="B5280" t="str">
        <f>"0000805649"</f>
        <v>0000805649</v>
      </c>
      <c r="C5280" t="str">
        <f t="shared" si="2152"/>
        <v>0000805575</v>
      </c>
      <c r="D5280" t="str">
        <f t="shared" si="2153"/>
        <v>73185</v>
      </c>
      <c r="E5280" t="str">
        <f t="shared" si="2154"/>
        <v>KFH-OPERATIONS DEPARTMENT</v>
      </c>
      <c r="F5280" t="str">
        <f t="shared" si="2155"/>
        <v>IBG</v>
      </c>
      <c r="G5280" t="str">
        <f t="shared" si="2164"/>
        <v>Refund COSHARE 10</v>
      </c>
      <c r="H5280" s="2">
        <v>257</v>
      </c>
      <c r="I5280" t="str">
        <f>"ABDULLAH BIN HASHIM"</f>
        <v>ABDULLAH BIN HASHIM</v>
      </c>
      <c r="J5280" t="str">
        <f t="shared" si="2165"/>
        <v>MAYBANK / MAYBANK ISLAMIC</v>
      </c>
      <c r="K5280" t="str">
        <f>"158163037695"</f>
        <v>158163037695</v>
      </c>
      <c r="L5280" t="str">
        <f t="shared" si="2166"/>
        <v>04-08-2020</v>
      </c>
      <c r="M5280" t="str">
        <f t="shared" si="2166"/>
        <v>04-08-2020</v>
      </c>
      <c r="N5280" t="str">
        <f t="shared" si="2156"/>
        <v>001105018356</v>
      </c>
      <c r="O5280" t="str">
        <f t="shared" si="2157"/>
        <v>MYR</v>
      </c>
      <c r="P5280" t="str">
        <f t="shared" si="2167"/>
        <v>NIL</v>
      </c>
      <c r="Q5280" t="str">
        <f t="shared" si="2167"/>
        <v>NIL</v>
      </c>
      <c r="R5280" t="str">
        <f t="shared" si="2145"/>
        <v>Accepted</v>
      </c>
      <c r="S5280" t="str">
        <f t="shared" si="2158"/>
        <v>Approved</v>
      </c>
      <c r="T5280" t="str">
        <f t="shared" si="2146"/>
        <v>10.20.8.188</v>
      </c>
      <c r="U5280" t="str">
        <f t="shared" si="2159"/>
        <v>AZRAD UMAR BIN SHAARI</v>
      </c>
      <c r="V5280" t="str">
        <f t="shared" si="2160"/>
        <v>FARHANA BINTI MUSTAPA</v>
      </c>
      <c r="W5280" t="str">
        <f t="shared" si="2161"/>
        <v>04-08-2020</v>
      </c>
      <c r="X5280" t="str">
        <f t="shared" si="2162"/>
        <v>RAZIMAH ANSAR AHMAD</v>
      </c>
      <c r="Y5280" t="str">
        <f t="shared" si="2163"/>
        <v>04-08-2020</v>
      </c>
      <c r="Z5280" t="str">
        <f>"COS10200804 3874"</f>
        <v>COS10200804 3874</v>
      </c>
    </row>
    <row r="5281" spans="1:26" x14ac:dyDescent="0.25">
      <c r="A5281" t="str">
        <f t="shared" si="2151"/>
        <v>04-08-2020 12:47:34</v>
      </c>
      <c r="B5281" t="str">
        <f>"0000805648"</f>
        <v>0000805648</v>
      </c>
      <c r="C5281" t="str">
        <f t="shared" si="2152"/>
        <v>0000805575</v>
      </c>
      <c r="D5281" t="str">
        <f t="shared" si="2153"/>
        <v>73185</v>
      </c>
      <c r="E5281" t="str">
        <f t="shared" si="2154"/>
        <v>KFH-OPERATIONS DEPARTMENT</v>
      </c>
      <c r="F5281" t="str">
        <f t="shared" si="2155"/>
        <v>IBG</v>
      </c>
      <c r="G5281" t="str">
        <f t="shared" si="2164"/>
        <v>Refund COSHARE 10</v>
      </c>
      <c r="H5281" s="2">
        <v>887.05</v>
      </c>
      <c r="I5281" t="str">
        <f>"ABDULLAH BIN BAKAR"</f>
        <v>ABDULLAH BIN BAKAR</v>
      </c>
      <c r="J5281" t="str">
        <f t="shared" si="2165"/>
        <v>MAYBANK / MAYBANK ISLAMIC</v>
      </c>
      <c r="K5281" t="str">
        <f>"111114073393"</f>
        <v>111114073393</v>
      </c>
      <c r="L5281" t="str">
        <f t="shared" si="2166"/>
        <v>04-08-2020</v>
      </c>
      <c r="M5281" t="str">
        <f t="shared" si="2166"/>
        <v>04-08-2020</v>
      </c>
      <c r="N5281" t="str">
        <f t="shared" si="2156"/>
        <v>001105018356</v>
      </c>
      <c r="O5281" t="str">
        <f t="shared" si="2157"/>
        <v>MYR</v>
      </c>
      <c r="P5281" t="str">
        <f t="shared" si="2167"/>
        <v>NIL</v>
      </c>
      <c r="Q5281" t="str">
        <f t="shared" si="2167"/>
        <v>NIL</v>
      </c>
      <c r="R5281" t="str">
        <f t="shared" si="2145"/>
        <v>Accepted</v>
      </c>
      <c r="S5281" t="str">
        <f t="shared" si="2158"/>
        <v>Approved</v>
      </c>
      <c r="T5281" t="str">
        <f t="shared" si="2146"/>
        <v>10.20.8.188</v>
      </c>
      <c r="U5281" t="str">
        <f t="shared" si="2159"/>
        <v>AZRAD UMAR BIN SHAARI</v>
      </c>
      <c r="V5281" t="str">
        <f t="shared" si="2160"/>
        <v>FARHANA BINTI MUSTAPA</v>
      </c>
      <c r="W5281" t="str">
        <f t="shared" si="2161"/>
        <v>04-08-2020</v>
      </c>
      <c r="X5281" t="str">
        <f t="shared" si="2162"/>
        <v>RAZIMAH ANSAR AHMAD</v>
      </c>
      <c r="Y5281" t="str">
        <f t="shared" si="2163"/>
        <v>04-08-2020</v>
      </c>
      <c r="Z5281" t="str">
        <f>"COS10200804 3873"</f>
        <v>COS10200804 3873</v>
      </c>
    </row>
    <row r="5282" spans="1:26" x14ac:dyDescent="0.25">
      <c r="A5282" t="str">
        <f t="shared" ref="A5282:A5313" si="2168">"04-08-2020 12:47:34"</f>
        <v>04-08-2020 12:47:34</v>
      </c>
      <c r="B5282" t="str">
        <f>"0000805647"</f>
        <v>0000805647</v>
      </c>
      <c r="C5282" t="str">
        <f t="shared" ref="C5282:C5313" si="2169">"0000805575"</f>
        <v>0000805575</v>
      </c>
      <c r="D5282" t="str">
        <f t="shared" si="2153"/>
        <v>73185</v>
      </c>
      <c r="E5282" t="str">
        <f t="shared" si="2154"/>
        <v>KFH-OPERATIONS DEPARTMENT</v>
      </c>
      <c r="F5282" t="str">
        <f t="shared" si="2155"/>
        <v>IBG</v>
      </c>
      <c r="G5282" t="str">
        <f t="shared" si="2164"/>
        <v>Refund COSHARE 10</v>
      </c>
      <c r="H5282" s="2">
        <v>251.85</v>
      </c>
      <c r="I5282" t="str">
        <f>"ABDULLAH BIN AHMAD"</f>
        <v>ABDULLAH BIN AHMAD</v>
      </c>
      <c r="J5282" t="str">
        <f t="shared" si="2165"/>
        <v>MAYBANK / MAYBANK ISLAMIC</v>
      </c>
      <c r="K5282" t="str">
        <f>"151306643092"</f>
        <v>151306643092</v>
      </c>
      <c r="L5282" t="str">
        <f t="shared" si="2166"/>
        <v>04-08-2020</v>
      </c>
      <c r="M5282" t="str">
        <f t="shared" si="2166"/>
        <v>04-08-2020</v>
      </c>
      <c r="N5282" t="str">
        <f t="shared" si="2156"/>
        <v>001105018356</v>
      </c>
      <c r="O5282" t="str">
        <f t="shared" si="2157"/>
        <v>MYR</v>
      </c>
      <c r="P5282" t="str">
        <f t="shared" si="2167"/>
        <v>NIL</v>
      </c>
      <c r="Q5282" t="str">
        <f t="shared" si="2167"/>
        <v>NIL</v>
      </c>
      <c r="R5282" t="str">
        <f t="shared" ref="R5282:R5345" si="2170">"Accepted"</f>
        <v>Accepted</v>
      </c>
      <c r="S5282" t="str">
        <f t="shared" si="2158"/>
        <v>Approved</v>
      </c>
      <c r="T5282" t="str">
        <f t="shared" ref="T5282:T5345" si="2171">"10.20.8.188"</f>
        <v>10.20.8.188</v>
      </c>
      <c r="U5282" t="str">
        <f t="shared" si="2159"/>
        <v>AZRAD UMAR BIN SHAARI</v>
      </c>
      <c r="V5282" t="str">
        <f t="shared" si="2160"/>
        <v>FARHANA BINTI MUSTAPA</v>
      </c>
      <c r="W5282" t="str">
        <f t="shared" si="2161"/>
        <v>04-08-2020</v>
      </c>
      <c r="X5282" t="str">
        <f t="shared" si="2162"/>
        <v>RAZIMAH ANSAR AHMAD</v>
      </c>
      <c r="Y5282" t="str">
        <f t="shared" si="2163"/>
        <v>04-08-2020</v>
      </c>
      <c r="Z5282" t="str">
        <f>"COS10200804 3872"</f>
        <v>COS10200804 3872</v>
      </c>
    </row>
    <row r="5283" spans="1:26" x14ac:dyDescent="0.25">
      <c r="A5283" t="str">
        <f t="shared" si="2168"/>
        <v>04-08-2020 12:47:34</v>
      </c>
      <c r="B5283" t="str">
        <f>"0000805646"</f>
        <v>0000805646</v>
      </c>
      <c r="C5283" t="str">
        <f t="shared" si="2169"/>
        <v>0000805575</v>
      </c>
      <c r="D5283" t="str">
        <f t="shared" si="2153"/>
        <v>73185</v>
      </c>
      <c r="E5283" t="str">
        <f t="shared" si="2154"/>
        <v>KFH-OPERATIONS DEPARTMENT</v>
      </c>
      <c r="F5283" t="str">
        <f t="shared" si="2155"/>
        <v>IBG</v>
      </c>
      <c r="G5283" t="str">
        <f t="shared" si="2164"/>
        <v>Refund COSHARE 10</v>
      </c>
      <c r="H5283" s="2">
        <v>134</v>
      </c>
      <c r="I5283" t="str">
        <f>"ABDULLAH BIN AHMAD"</f>
        <v>ABDULLAH BIN AHMAD</v>
      </c>
      <c r="J5283" t="str">
        <f t="shared" si="2165"/>
        <v>MAYBANK / MAYBANK ISLAMIC</v>
      </c>
      <c r="K5283" t="str">
        <f>"156012180612"</f>
        <v>156012180612</v>
      </c>
      <c r="L5283" t="str">
        <f t="shared" si="2166"/>
        <v>04-08-2020</v>
      </c>
      <c r="M5283" t="str">
        <f t="shared" si="2166"/>
        <v>04-08-2020</v>
      </c>
      <c r="N5283" t="str">
        <f t="shared" si="2156"/>
        <v>001105018356</v>
      </c>
      <c r="O5283" t="str">
        <f t="shared" si="2157"/>
        <v>MYR</v>
      </c>
      <c r="P5283" t="str">
        <f t="shared" si="2167"/>
        <v>NIL</v>
      </c>
      <c r="Q5283" t="str">
        <f t="shared" si="2167"/>
        <v>NIL</v>
      </c>
      <c r="R5283" t="str">
        <f t="shared" si="2170"/>
        <v>Accepted</v>
      </c>
      <c r="S5283" t="str">
        <f t="shared" si="2158"/>
        <v>Approved</v>
      </c>
      <c r="T5283" t="str">
        <f t="shared" si="2171"/>
        <v>10.20.8.188</v>
      </c>
      <c r="U5283" t="str">
        <f t="shared" si="2159"/>
        <v>AZRAD UMAR BIN SHAARI</v>
      </c>
      <c r="V5283" t="str">
        <f t="shared" si="2160"/>
        <v>FARHANA BINTI MUSTAPA</v>
      </c>
      <c r="W5283" t="str">
        <f t="shared" si="2161"/>
        <v>04-08-2020</v>
      </c>
      <c r="X5283" t="str">
        <f t="shared" si="2162"/>
        <v>RAZIMAH ANSAR AHMAD</v>
      </c>
      <c r="Y5283" t="str">
        <f t="shared" si="2163"/>
        <v>04-08-2020</v>
      </c>
      <c r="Z5283" t="str">
        <f>"COS10200804 3871"</f>
        <v>COS10200804 3871</v>
      </c>
    </row>
    <row r="5284" spans="1:26" x14ac:dyDescent="0.25">
      <c r="A5284" t="str">
        <f t="shared" si="2168"/>
        <v>04-08-2020 12:47:34</v>
      </c>
      <c r="B5284" t="str">
        <f>"0000805645"</f>
        <v>0000805645</v>
      </c>
      <c r="C5284" t="str">
        <f t="shared" si="2169"/>
        <v>0000805575</v>
      </c>
      <c r="D5284" t="str">
        <f t="shared" si="2153"/>
        <v>73185</v>
      </c>
      <c r="E5284" t="str">
        <f t="shared" si="2154"/>
        <v>KFH-OPERATIONS DEPARTMENT</v>
      </c>
      <c r="F5284" t="str">
        <f t="shared" si="2155"/>
        <v>IBG</v>
      </c>
      <c r="G5284" t="str">
        <f t="shared" si="2164"/>
        <v>Refund COSHARE 10</v>
      </c>
      <c r="H5284" s="2">
        <v>683</v>
      </c>
      <c r="I5284" t="str">
        <f>"ABDULLAH BIN ABDUL AZIZ"</f>
        <v>ABDULLAH BIN ABDUL AZIZ</v>
      </c>
      <c r="J5284" t="str">
        <f t="shared" si="2165"/>
        <v>MAYBANK / MAYBANK ISLAMIC</v>
      </c>
      <c r="K5284" t="str">
        <f>"151098300938"</f>
        <v>151098300938</v>
      </c>
      <c r="L5284" t="str">
        <f t="shared" si="2166"/>
        <v>04-08-2020</v>
      </c>
      <c r="M5284" t="str">
        <f t="shared" si="2166"/>
        <v>04-08-2020</v>
      </c>
      <c r="N5284" t="str">
        <f t="shared" si="2156"/>
        <v>001105018356</v>
      </c>
      <c r="O5284" t="str">
        <f t="shared" si="2157"/>
        <v>MYR</v>
      </c>
      <c r="P5284" t="str">
        <f t="shared" si="2167"/>
        <v>NIL</v>
      </c>
      <c r="Q5284" t="str">
        <f t="shared" si="2167"/>
        <v>NIL</v>
      </c>
      <c r="R5284" t="str">
        <f t="shared" si="2170"/>
        <v>Accepted</v>
      </c>
      <c r="S5284" t="str">
        <f t="shared" si="2158"/>
        <v>Approved</v>
      </c>
      <c r="T5284" t="str">
        <f t="shared" si="2171"/>
        <v>10.20.8.188</v>
      </c>
      <c r="U5284" t="str">
        <f t="shared" si="2159"/>
        <v>AZRAD UMAR BIN SHAARI</v>
      </c>
      <c r="V5284" t="str">
        <f t="shared" si="2160"/>
        <v>FARHANA BINTI MUSTAPA</v>
      </c>
      <c r="W5284" t="str">
        <f t="shared" si="2161"/>
        <v>04-08-2020</v>
      </c>
      <c r="X5284" t="str">
        <f t="shared" si="2162"/>
        <v>RAZIMAH ANSAR AHMAD</v>
      </c>
      <c r="Y5284" t="str">
        <f t="shared" si="2163"/>
        <v>04-08-2020</v>
      </c>
      <c r="Z5284" t="str">
        <f>"COS10200804 3870"</f>
        <v>COS10200804 3870</v>
      </c>
    </row>
    <row r="5285" spans="1:26" x14ac:dyDescent="0.25">
      <c r="A5285" t="str">
        <f t="shared" si="2168"/>
        <v>04-08-2020 12:47:34</v>
      </c>
      <c r="B5285" t="str">
        <f>"0000805644"</f>
        <v>0000805644</v>
      </c>
      <c r="C5285" t="str">
        <f t="shared" si="2169"/>
        <v>0000805575</v>
      </c>
      <c r="D5285" t="str">
        <f t="shared" si="2153"/>
        <v>73185</v>
      </c>
      <c r="E5285" t="str">
        <f t="shared" si="2154"/>
        <v>KFH-OPERATIONS DEPARTMENT</v>
      </c>
      <c r="F5285" t="str">
        <f t="shared" si="2155"/>
        <v>IBG</v>
      </c>
      <c r="G5285" t="str">
        <f t="shared" si="2164"/>
        <v>Refund COSHARE 10</v>
      </c>
      <c r="H5285" s="2">
        <v>1052.6500000000001</v>
      </c>
      <c r="I5285" t="str">
        <f>"ABDULAH SAHIMI BIN ABDUL RAHMAN"</f>
        <v>ABDULAH SAHIMI BIN ABDUL RAHMAN</v>
      </c>
      <c r="J5285" t="str">
        <f t="shared" si="2165"/>
        <v>MAYBANK / MAYBANK ISLAMIC</v>
      </c>
      <c r="K5285" t="str">
        <f>"158202122988"</f>
        <v>158202122988</v>
      </c>
      <c r="L5285" t="str">
        <f t="shared" si="2166"/>
        <v>04-08-2020</v>
      </c>
      <c r="M5285" t="str">
        <f t="shared" si="2166"/>
        <v>04-08-2020</v>
      </c>
      <c r="N5285" t="str">
        <f t="shared" si="2156"/>
        <v>001105018356</v>
      </c>
      <c r="O5285" t="str">
        <f t="shared" si="2157"/>
        <v>MYR</v>
      </c>
      <c r="P5285" t="str">
        <f t="shared" si="2167"/>
        <v>NIL</v>
      </c>
      <c r="Q5285" t="str">
        <f t="shared" si="2167"/>
        <v>NIL</v>
      </c>
      <c r="R5285" t="str">
        <f t="shared" si="2170"/>
        <v>Accepted</v>
      </c>
      <c r="S5285" t="str">
        <f t="shared" si="2158"/>
        <v>Approved</v>
      </c>
      <c r="T5285" t="str">
        <f t="shared" si="2171"/>
        <v>10.20.8.188</v>
      </c>
      <c r="U5285" t="str">
        <f t="shared" si="2159"/>
        <v>AZRAD UMAR BIN SHAARI</v>
      </c>
      <c r="V5285" t="str">
        <f t="shared" si="2160"/>
        <v>FARHANA BINTI MUSTAPA</v>
      </c>
      <c r="W5285" t="str">
        <f t="shared" si="2161"/>
        <v>04-08-2020</v>
      </c>
      <c r="X5285" t="str">
        <f t="shared" si="2162"/>
        <v>RAZIMAH ANSAR AHMAD</v>
      </c>
      <c r="Y5285" t="str">
        <f t="shared" si="2163"/>
        <v>04-08-2020</v>
      </c>
      <c r="Z5285" t="str">
        <f>"COS10200804 3869"</f>
        <v>COS10200804 3869</v>
      </c>
    </row>
    <row r="5286" spans="1:26" x14ac:dyDescent="0.25">
      <c r="A5286" t="str">
        <f t="shared" si="2168"/>
        <v>04-08-2020 12:47:34</v>
      </c>
      <c r="B5286" t="str">
        <f>"0000805643"</f>
        <v>0000805643</v>
      </c>
      <c r="C5286" t="str">
        <f t="shared" si="2169"/>
        <v>0000805575</v>
      </c>
      <c r="D5286" t="str">
        <f t="shared" si="2153"/>
        <v>73185</v>
      </c>
      <c r="E5286" t="str">
        <f t="shared" si="2154"/>
        <v>KFH-OPERATIONS DEPARTMENT</v>
      </c>
      <c r="F5286" t="str">
        <f t="shared" si="2155"/>
        <v>IBG</v>
      </c>
      <c r="G5286" t="str">
        <f t="shared" si="2164"/>
        <v>Refund COSHARE 10</v>
      </c>
      <c r="H5286" s="2">
        <v>56.8</v>
      </c>
      <c r="I5286" t="str">
        <f>"ABDUL SALAM BIN MD ISA"</f>
        <v>ABDUL SALAM BIN MD ISA</v>
      </c>
      <c r="J5286" t="str">
        <f t="shared" si="2165"/>
        <v>MAYBANK / MAYBANK ISLAMIC</v>
      </c>
      <c r="K5286" t="str">
        <f>"162263206360"</f>
        <v>162263206360</v>
      </c>
      <c r="L5286" t="str">
        <f t="shared" si="2166"/>
        <v>04-08-2020</v>
      </c>
      <c r="M5286" t="str">
        <f t="shared" si="2166"/>
        <v>04-08-2020</v>
      </c>
      <c r="N5286" t="str">
        <f t="shared" si="2156"/>
        <v>001105018356</v>
      </c>
      <c r="O5286" t="str">
        <f t="shared" si="2157"/>
        <v>MYR</v>
      </c>
      <c r="P5286" t="str">
        <f t="shared" si="2167"/>
        <v>NIL</v>
      </c>
      <c r="Q5286" t="str">
        <f t="shared" si="2167"/>
        <v>NIL</v>
      </c>
      <c r="R5286" t="str">
        <f t="shared" si="2170"/>
        <v>Accepted</v>
      </c>
      <c r="S5286" t="str">
        <f t="shared" si="2158"/>
        <v>Approved</v>
      </c>
      <c r="T5286" t="str">
        <f t="shared" si="2171"/>
        <v>10.20.8.188</v>
      </c>
      <c r="U5286" t="str">
        <f t="shared" si="2159"/>
        <v>AZRAD UMAR BIN SHAARI</v>
      </c>
      <c r="V5286" t="str">
        <f t="shared" si="2160"/>
        <v>FARHANA BINTI MUSTAPA</v>
      </c>
      <c r="W5286" t="str">
        <f t="shared" si="2161"/>
        <v>04-08-2020</v>
      </c>
      <c r="X5286" t="str">
        <f t="shared" si="2162"/>
        <v>RAZIMAH ANSAR AHMAD</v>
      </c>
      <c r="Y5286" t="str">
        <f t="shared" si="2163"/>
        <v>04-08-2020</v>
      </c>
      <c r="Z5286" t="str">
        <f>"COS10200804 3868"</f>
        <v>COS10200804 3868</v>
      </c>
    </row>
    <row r="5287" spans="1:26" x14ac:dyDescent="0.25">
      <c r="A5287" t="str">
        <f t="shared" si="2168"/>
        <v>04-08-2020 12:47:34</v>
      </c>
      <c r="B5287" t="str">
        <f>"0000805642"</f>
        <v>0000805642</v>
      </c>
      <c r="C5287" t="str">
        <f t="shared" si="2169"/>
        <v>0000805575</v>
      </c>
      <c r="D5287" t="str">
        <f t="shared" si="2153"/>
        <v>73185</v>
      </c>
      <c r="E5287" t="str">
        <f t="shared" si="2154"/>
        <v>KFH-OPERATIONS DEPARTMENT</v>
      </c>
      <c r="F5287" t="str">
        <f t="shared" si="2155"/>
        <v>IBG</v>
      </c>
      <c r="G5287" t="str">
        <f t="shared" si="2164"/>
        <v>Refund COSHARE 10</v>
      </c>
      <c r="H5287" s="2">
        <v>215</v>
      </c>
      <c r="I5287" t="str">
        <f>"ABDUL SABAH BIN MOHD"</f>
        <v>ABDUL SABAH BIN MOHD</v>
      </c>
      <c r="J5287" t="str">
        <f t="shared" si="2165"/>
        <v>MAYBANK / MAYBANK ISLAMIC</v>
      </c>
      <c r="K5287" t="str">
        <f>"160027262990"</f>
        <v>160027262990</v>
      </c>
      <c r="L5287" t="str">
        <f t="shared" ref="L5287:M5306" si="2172">"04-08-2020"</f>
        <v>04-08-2020</v>
      </c>
      <c r="M5287" t="str">
        <f t="shared" si="2172"/>
        <v>04-08-2020</v>
      </c>
      <c r="N5287" t="str">
        <f t="shared" si="2156"/>
        <v>001105018356</v>
      </c>
      <c r="O5287" t="str">
        <f t="shared" si="2157"/>
        <v>MYR</v>
      </c>
      <c r="P5287" t="str">
        <f t="shared" ref="P5287:Q5306" si="2173">"NIL"</f>
        <v>NIL</v>
      </c>
      <c r="Q5287" t="str">
        <f t="shared" si="2173"/>
        <v>NIL</v>
      </c>
      <c r="R5287" t="str">
        <f t="shared" si="2170"/>
        <v>Accepted</v>
      </c>
      <c r="S5287" t="str">
        <f t="shared" si="2158"/>
        <v>Approved</v>
      </c>
      <c r="T5287" t="str">
        <f t="shared" si="2171"/>
        <v>10.20.8.188</v>
      </c>
      <c r="U5287" t="str">
        <f t="shared" si="2159"/>
        <v>AZRAD UMAR BIN SHAARI</v>
      </c>
      <c r="V5287" t="str">
        <f t="shared" si="2160"/>
        <v>FARHANA BINTI MUSTAPA</v>
      </c>
      <c r="W5287" t="str">
        <f t="shared" si="2161"/>
        <v>04-08-2020</v>
      </c>
      <c r="X5287" t="str">
        <f t="shared" si="2162"/>
        <v>RAZIMAH ANSAR AHMAD</v>
      </c>
      <c r="Y5287" t="str">
        <f t="shared" si="2163"/>
        <v>04-08-2020</v>
      </c>
      <c r="Z5287" t="str">
        <f>"COS10200804 3867"</f>
        <v>COS10200804 3867</v>
      </c>
    </row>
    <row r="5288" spans="1:26" x14ac:dyDescent="0.25">
      <c r="A5288" t="str">
        <f t="shared" si="2168"/>
        <v>04-08-2020 12:47:34</v>
      </c>
      <c r="B5288" t="str">
        <f>"0000805641"</f>
        <v>0000805641</v>
      </c>
      <c r="C5288" t="str">
        <f t="shared" si="2169"/>
        <v>0000805575</v>
      </c>
      <c r="D5288" t="str">
        <f t="shared" si="2153"/>
        <v>73185</v>
      </c>
      <c r="E5288" t="str">
        <f t="shared" si="2154"/>
        <v>KFH-OPERATIONS DEPARTMENT</v>
      </c>
      <c r="F5288" t="str">
        <f t="shared" si="2155"/>
        <v>IBG</v>
      </c>
      <c r="G5288" t="str">
        <f t="shared" si="2164"/>
        <v>Refund COSHARE 10</v>
      </c>
      <c r="H5288" s="2">
        <v>115.35</v>
      </c>
      <c r="I5288" t="str">
        <f>"ABDUL SAAD BIN MEHDUNAH"</f>
        <v>ABDUL SAAD BIN MEHDUNAH</v>
      </c>
      <c r="J5288" t="str">
        <f t="shared" si="2165"/>
        <v>MAYBANK / MAYBANK ISLAMIC</v>
      </c>
      <c r="K5288" t="str">
        <f>"160063262332"</f>
        <v>160063262332</v>
      </c>
      <c r="L5288" t="str">
        <f t="shared" si="2172"/>
        <v>04-08-2020</v>
      </c>
      <c r="M5288" t="str">
        <f t="shared" si="2172"/>
        <v>04-08-2020</v>
      </c>
      <c r="N5288" t="str">
        <f t="shared" si="2156"/>
        <v>001105018356</v>
      </c>
      <c r="O5288" t="str">
        <f t="shared" si="2157"/>
        <v>MYR</v>
      </c>
      <c r="P5288" t="str">
        <f t="shared" si="2173"/>
        <v>NIL</v>
      </c>
      <c r="Q5288" t="str">
        <f t="shared" si="2173"/>
        <v>NIL</v>
      </c>
      <c r="R5288" t="str">
        <f t="shared" si="2170"/>
        <v>Accepted</v>
      </c>
      <c r="S5288" t="str">
        <f t="shared" si="2158"/>
        <v>Approved</v>
      </c>
      <c r="T5288" t="str">
        <f t="shared" si="2171"/>
        <v>10.20.8.188</v>
      </c>
      <c r="U5288" t="str">
        <f t="shared" si="2159"/>
        <v>AZRAD UMAR BIN SHAARI</v>
      </c>
      <c r="V5288" t="str">
        <f t="shared" si="2160"/>
        <v>FARHANA BINTI MUSTAPA</v>
      </c>
      <c r="W5288" t="str">
        <f t="shared" si="2161"/>
        <v>04-08-2020</v>
      </c>
      <c r="X5288" t="str">
        <f t="shared" si="2162"/>
        <v>RAZIMAH ANSAR AHMAD</v>
      </c>
      <c r="Y5288" t="str">
        <f t="shared" si="2163"/>
        <v>04-08-2020</v>
      </c>
      <c r="Z5288" t="str">
        <f>"COS10200804 3866"</f>
        <v>COS10200804 3866</v>
      </c>
    </row>
    <row r="5289" spans="1:26" x14ac:dyDescent="0.25">
      <c r="A5289" t="str">
        <f t="shared" si="2168"/>
        <v>04-08-2020 12:47:34</v>
      </c>
      <c r="B5289" t="str">
        <f>"0000805640"</f>
        <v>0000805640</v>
      </c>
      <c r="C5289" t="str">
        <f t="shared" si="2169"/>
        <v>0000805575</v>
      </c>
      <c r="D5289" t="str">
        <f t="shared" si="2153"/>
        <v>73185</v>
      </c>
      <c r="E5289" t="str">
        <f t="shared" si="2154"/>
        <v>KFH-OPERATIONS DEPARTMENT</v>
      </c>
      <c r="F5289" t="str">
        <f t="shared" si="2155"/>
        <v>IBG</v>
      </c>
      <c r="G5289" t="str">
        <f t="shared" si="2164"/>
        <v>Refund COSHARE 10</v>
      </c>
      <c r="H5289" s="2">
        <v>1189.5</v>
      </c>
      <c r="I5289" t="str">
        <f>"ABDUL RAZAK BIN SENIN"</f>
        <v>ABDUL RAZAK BIN SENIN</v>
      </c>
      <c r="J5289" t="str">
        <f t="shared" si="2165"/>
        <v>MAYBANK / MAYBANK ISLAMIC</v>
      </c>
      <c r="K5289" t="str">
        <f>"169963020217"</f>
        <v>169963020217</v>
      </c>
      <c r="L5289" t="str">
        <f t="shared" si="2172"/>
        <v>04-08-2020</v>
      </c>
      <c r="M5289" t="str">
        <f t="shared" si="2172"/>
        <v>04-08-2020</v>
      </c>
      <c r="N5289" t="str">
        <f t="shared" si="2156"/>
        <v>001105018356</v>
      </c>
      <c r="O5289" t="str">
        <f t="shared" si="2157"/>
        <v>MYR</v>
      </c>
      <c r="P5289" t="str">
        <f t="shared" si="2173"/>
        <v>NIL</v>
      </c>
      <c r="Q5289" t="str">
        <f t="shared" si="2173"/>
        <v>NIL</v>
      </c>
      <c r="R5289" t="str">
        <f t="shared" si="2170"/>
        <v>Accepted</v>
      </c>
      <c r="S5289" t="str">
        <f t="shared" si="2158"/>
        <v>Approved</v>
      </c>
      <c r="T5289" t="str">
        <f t="shared" si="2171"/>
        <v>10.20.8.188</v>
      </c>
      <c r="U5289" t="str">
        <f t="shared" si="2159"/>
        <v>AZRAD UMAR BIN SHAARI</v>
      </c>
      <c r="V5289" t="str">
        <f t="shared" si="2160"/>
        <v>FARHANA BINTI MUSTAPA</v>
      </c>
      <c r="W5289" t="str">
        <f t="shared" si="2161"/>
        <v>04-08-2020</v>
      </c>
      <c r="X5289" t="str">
        <f t="shared" si="2162"/>
        <v>RAZIMAH ANSAR AHMAD</v>
      </c>
      <c r="Y5289" t="str">
        <f t="shared" si="2163"/>
        <v>04-08-2020</v>
      </c>
      <c r="Z5289" t="str">
        <f>"COS10200804 3865"</f>
        <v>COS10200804 3865</v>
      </c>
    </row>
    <row r="5290" spans="1:26" x14ac:dyDescent="0.25">
      <c r="A5290" t="str">
        <f t="shared" si="2168"/>
        <v>04-08-2020 12:47:34</v>
      </c>
      <c r="B5290" t="str">
        <f>"0000805639"</f>
        <v>0000805639</v>
      </c>
      <c r="C5290" t="str">
        <f t="shared" si="2169"/>
        <v>0000805575</v>
      </c>
      <c r="D5290" t="str">
        <f t="shared" si="2153"/>
        <v>73185</v>
      </c>
      <c r="E5290" t="str">
        <f t="shared" si="2154"/>
        <v>KFH-OPERATIONS DEPARTMENT</v>
      </c>
      <c r="F5290" t="str">
        <f t="shared" si="2155"/>
        <v>IBG</v>
      </c>
      <c r="G5290" t="str">
        <f t="shared" si="2164"/>
        <v>Refund COSHARE 10</v>
      </c>
      <c r="H5290" s="2">
        <v>377.8</v>
      </c>
      <c r="I5290" t="str">
        <f>"ABDUL RAZAK BIN MOHAMAD HUSSIN"</f>
        <v>ABDUL RAZAK BIN MOHAMAD HUSSIN</v>
      </c>
      <c r="J5290" t="str">
        <f t="shared" si="2165"/>
        <v>MAYBANK / MAYBANK ISLAMIC</v>
      </c>
      <c r="K5290" t="str">
        <f>"151098336213"</f>
        <v>151098336213</v>
      </c>
      <c r="L5290" t="str">
        <f t="shared" si="2172"/>
        <v>04-08-2020</v>
      </c>
      <c r="M5290" t="str">
        <f t="shared" si="2172"/>
        <v>04-08-2020</v>
      </c>
      <c r="N5290" t="str">
        <f t="shared" si="2156"/>
        <v>001105018356</v>
      </c>
      <c r="O5290" t="str">
        <f t="shared" si="2157"/>
        <v>MYR</v>
      </c>
      <c r="P5290" t="str">
        <f t="shared" si="2173"/>
        <v>NIL</v>
      </c>
      <c r="Q5290" t="str">
        <f t="shared" si="2173"/>
        <v>NIL</v>
      </c>
      <c r="R5290" t="str">
        <f t="shared" si="2170"/>
        <v>Accepted</v>
      </c>
      <c r="S5290" t="str">
        <f t="shared" si="2158"/>
        <v>Approved</v>
      </c>
      <c r="T5290" t="str">
        <f t="shared" si="2171"/>
        <v>10.20.8.188</v>
      </c>
      <c r="U5290" t="str">
        <f t="shared" si="2159"/>
        <v>AZRAD UMAR BIN SHAARI</v>
      </c>
      <c r="V5290" t="str">
        <f t="shared" si="2160"/>
        <v>FARHANA BINTI MUSTAPA</v>
      </c>
      <c r="W5290" t="str">
        <f t="shared" si="2161"/>
        <v>04-08-2020</v>
      </c>
      <c r="X5290" t="str">
        <f t="shared" si="2162"/>
        <v>RAZIMAH ANSAR AHMAD</v>
      </c>
      <c r="Y5290" t="str">
        <f t="shared" si="2163"/>
        <v>04-08-2020</v>
      </c>
      <c r="Z5290" t="str">
        <f>"COS10200804 3864"</f>
        <v>COS10200804 3864</v>
      </c>
    </row>
    <row r="5291" spans="1:26" x14ac:dyDescent="0.25">
      <c r="A5291" t="str">
        <f t="shared" si="2168"/>
        <v>04-08-2020 12:47:34</v>
      </c>
      <c r="B5291" t="str">
        <f>"0000805638"</f>
        <v>0000805638</v>
      </c>
      <c r="C5291" t="str">
        <f t="shared" si="2169"/>
        <v>0000805575</v>
      </c>
      <c r="D5291" t="str">
        <f t="shared" si="2153"/>
        <v>73185</v>
      </c>
      <c r="E5291" t="str">
        <f t="shared" si="2154"/>
        <v>KFH-OPERATIONS DEPARTMENT</v>
      </c>
      <c r="F5291" t="str">
        <f t="shared" si="2155"/>
        <v>IBG</v>
      </c>
      <c r="G5291" t="str">
        <f t="shared" si="2164"/>
        <v>Refund COSHARE 10</v>
      </c>
      <c r="H5291" s="2">
        <v>58.8</v>
      </c>
      <c r="I5291" t="str">
        <f>"ABDUL RAZAK BIN KHALID"</f>
        <v>ABDUL RAZAK BIN KHALID</v>
      </c>
      <c r="J5291" t="str">
        <f t="shared" si="2165"/>
        <v>MAYBANK / MAYBANK ISLAMIC</v>
      </c>
      <c r="K5291" t="str">
        <f>"158060551001"</f>
        <v>158060551001</v>
      </c>
      <c r="L5291" t="str">
        <f t="shared" si="2172"/>
        <v>04-08-2020</v>
      </c>
      <c r="M5291" t="str">
        <f t="shared" si="2172"/>
        <v>04-08-2020</v>
      </c>
      <c r="N5291" t="str">
        <f t="shared" si="2156"/>
        <v>001105018356</v>
      </c>
      <c r="O5291" t="str">
        <f t="shared" si="2157"/>
        <v>MYR</v>
      </c>
      <c r="P5291" t="str">
        <f t="shared" si="2173"/>
        <v>NIL</v>
      </c>
      <c r="Q5291" t="str">
        <f t="shared" si="2173"/>
        <v>NIL</v>
      </c>
      <c r="R5291" t="str">
        <f t="shared" si="2170"/>
        <v>Accepted</v>
      </c>
      <c r="S5291" t="str">
        <f t="shared" si="2158"/>
        <v>Approved</v>
      </c>
      <c r="T5291" t="str">
        <f t="shared" si="2171"/>
        <v>10.20.8.188</v>
      </c>
      <c r="U5291" t="str">
        <f t="shared" si="2159"/>
        <v>AZRAD UMAR BIN SHAARI</v>
      </c>
      <c r="V5291" t="str">
        <f t="shared" si="2160"/>
        <v>FARHANA BINTI MUSTAPA</v>
      </c>
      <c r="W5291" t="str">
        <f t="shared" si="2161"/>
        <v>04-08-2020</v>
      </c>
      <c r="X5291" t="str">
        <f t="shared" si="2162"/>
        <v>RAZIMAH ANSAR AHMAD</v>
      </c>
      <c r="Y5291" t="str">
        <f t="shared" si="2163"/>
        <v>04-08-2020</v>
      </c>
      <c r="Z5291" t="str">
        <f>"COS10200804 3863"</f>
        <v>COS10200804 3863</v>
      </c>
    </row>
    <row r="5292" spans="1:26" x14ac:dyDescent="0.25">
      <c r="A5292" t="str">
        <f t="shared" si="2168"/>
        <v>04-08-2020 12:47:34</v>
      </c>
      <c r="B5292" t="str">
        <f>"0000805637"</f>
        <v>0000805637</v>
      </c>
      <c r="C5292" t="str">
        <f t="shared" si="2169"/>
        <v>0000805575</v>
      </c>
      <c r="D5292" t="str">
        <f t="shared" si="2153"/>
        <v>73185</v>
      </c>
      <c r="E5292" t="str">
        <f t="shared" si="2154"/>
        <v>KFH-OPERATIONS DEPARTMENT</v>
      </c>
      <c r="F5292" t="str">
        <f t="shared" si="2155"/>
        <v>IBG</v>
      </c>
      <c r="G5292" t="str">
        <f t="shared" si="2164"/>
        <v>Refund COSHARE 10</v>
      </c>
      <c r="H5292" s="2">
        <v>149.9</v>
      </c>
      <c r="I5292" t="str">
        <f>"ABDUL RAZAK BIN ISNAWI"</f>
        <v>ABDUL RAZAK BIN ISNAWI</v>
      </c>
      <c r="J5292" t="str">
        <f t="shared" si="2165"/>
        <v>MAYBANK / MAYBANK ISLAMIC</v>
      </c>
      <c r="K5292" t="str">
        <f>"111195025342"</f>
        <v>111195025342</v>
      </c>
      <c r="L5292" t="str">
        <f t="shared" si="2172"/>
        <v>04-08-2020</v>
      </c>
      <c r="M5292" t="str">
        <f t="shared" si="2172"/>
        <v>04-08-2020</v>
      </c>
      <c r="N5292" t="str">
        <f t="shared" si="2156"/>
        <v>001105018356</v>
      </c>
      <c r="O5292" t="str">
        <f t="shared" si="2157"/>
        <v>MYR</v>
      </c>
      <c r="P5292" t="str">
        <f t="shared" si="2173"/>
        <v>NIL</v>
      </c>
      <c r="Q5292" t="str">
        <f t="shared" si="2173"/>
        <v>NIL</v>
      </c>
      <c r="R5292" t="str">
        <f t="shared" si="2170"/>
        <v>Accepted</v>
      </c>
      <c r="S5292" t="str">
        <f t="shared" si="2158"/>
        <v>Approved</v>
      </c>
      <c r="T5292" t="str">
        <f t="shared" si="2171"/>
        <v>10.20.8.188</v>
      </c>
      <c r="U5292" t="str">
        <f t="shared" si="2159"/>
        <v>AZRAD UMAR BIN SHAARI</v>
      </c>
      <c r="V5292" t="str">
        <f t="shared" si="2160"/>
        <v>FARHANA BINTI MUSTAPA</v>
      </c>
      <c r="W5292" t="str">
        <f t="shared" si="2161"/>
        <v>04-08-2020</v>
      </c>
      <c r="X5292" t="str">
        <f t="shared" si="2162"/>
        <v>RAZIMAH ANSAR AHMAD</v>
      </c>
      <c r="Y5292" t="str">
        <f t="shared" si="2163"/>
        <v>04-08-2020</v>
      </c>
      <c r="Z5292" t="str">
        <f>"COS10200804 3862"</f>
        <v>COS10200804 3862</v>
      </c>
    </row>
    <row r="5293" spans="1:26" x14ac:dyDescent="0.25">
      <c r="A5293" t="str">
        <f t="shared" si="2168"/>
        <v>04-08-2020 12:47:34</v>
      </c>
      <c r="B5293" t="str">
        <f>"0000805636"</f>
        <v>0000805636</v>
      </c>
      <c r="C5293" t="str">
        <f t="shared" si="2169"/>
        <v>0000805575</v>
      </c>
      <c r="D5293" t="str">
        <f t="shared" si="2153"/>
        <v>73185</v>
      </c>
      <c r="E5293" t="str">
        <f t="shared" si="2154"/>
        <v>KFH-OPERATIONS DEPARTMENT</v>
      </c>
      <c r="F5293" t="str">
        <f t="shared" si="2155"/>
        <v>IBG</v>
      </c>
      <c r="G5293" t="str">
        <f t="shared" si="2164"/>
        <v>Refund COSHARE 10</v>
      </c>
      <c r="H5293" s="2">
        <v>397</v>
      </c>
      <c r="I5293" t="str">
        <f>"ABDUL RAZAK BIN ISNAWI"</f>
        <v>ABDUL RAZAK BIN ISNAWI</v>
      </c>
      <c r="J5293" t="str">
        <f t="shared" si="2165"/>
        <v>MAYBANK / MAYBANK ISLAMIC</v>
      </c>
      <c r="K5293" t="str">
        <f>"111195025342"</f>
        <v>111195025342</v>
      </c>
      <c r="L5293" t="str">
        <f t="shared" si="2172"/>
        <v>04-08-2020</v>
      </c>
      <c r="M5293" t="str">
        <f t="shared" si="2172"/>
        <v>04-08-2020</v>
      </c>
      <c r="N5293" t="str">
        <f t="shared" si="2156"/>
        <v>001105018356</v>
      </c>
      <c r="O5293" t="str">
        <f t="shared" si="2157"/>
        <v>MYR</v>
      </c>
      <c r="P5293" t="str">
        <f t="shared" si="2173"/>
        <v>NIL</v>
      </c>
      <c r="Q5293" t="str">
        <f t="shared" si="2173"/>
        <v>NIL</v>
      </c>
      <c r="R5293" t="str">
        <f t="shared" si="2170"/>
        <v>Accepted</v>
      </c>
      <c r="S5293" t="str">
        <f t="shared" si="2158"/>
        <v>Approved</v>
      </c>
      <c r="T5293" t="str">
        <f t="shared" si="2171"/>
        <v>10.20.8.188</v>
      </c>
      <c r="U5293" t="str">
        <f t="shared" si="2159"/>
        <v>AZRAD UMAR BIN SHAARI</v>
      </c>
      <c r="V5293" t="str">
        <f t="shared" si="2160"/>
        <v>FARHANA BINTI MUSTAPA</v>
      </c>
      <c r="W5293" t="str">
        <f t="shared" si="2161"/>
        <v>04-08-2020</v>
      </c>
      <c r="X5293" t="str">
        <f t="shared" si="2162"/>
        <v>RAZIMAH ANSAR AHMAD</v>
      </c>
      <c r="Y5293" t="str">
        <f t="shared" si="2163"/>
        <v>04-08-2020</v>
      </c>
      <c r="Z5293" t="str">
        <f>"COS10200804 3861"</f>
        <v>COS10200804 3861</v>
      </c>
    </row>
    <row r="5294" spans="1:26" x14ac:dyDescent="0.25">
      <c r="A5294" t="str">
        <f t="shared" si="2168"/>
        <v>04-08-2020 12:47:34</v>
      </c>
      <c r="B5294" t="str">
        <f>"0000805635"</f>
        <v>0000805635</v>
      </c>
      <c r="C5294" t="str">
        <f t="shared" si="2169"/>
        <v>0000805575</v>
      </c>
      <c r="D5294" t="str">
        <f t="shared" si="2153"/>
        <v>73185</v>
      </c>
      <c r="E5294" t="str">
        <f t="shared" si="2154"/>
        <v>KFH-OPERATIONS DEPARTMENT</v>
      </c>
      <c r="F5294" t="str">
        <f t="shared" si="2155"/>
        <v>IBG</v>
      </c>
      <c r="G5294" t="str">
        <f t="shared" si="2164"/>
        <v>Refund COSHARE 10</v>
      </c>
      <c r="H5294" s="2">
        <v>167.9</v>
      </c>
      <c r="I5294" t="str">
        <f>"ABDUL RAZAK BIN ABDUL RASHID"</f>
        <v>ABDUL RAZAK BIN ABDUL RASHID</v>
      </c>
      <c r="J5294" t="str">
        <f t="shared" si="2165"/>
        <v>MAYBANK / MAYBANK ISLAMIC</v>
      </c>
      <c r="K5294" t="str">
        <f>"160148831036"</f>
        <v>160148831036</v>
      </c>
      <c r="L5294" t="str">
        <f t="shared" si="2172"/>
        <v>04-08-2020</v>
      </c>
      <c r="M5294" t="str">
        <f t="shared" si="2172"/>
        <v>04-08-2020</v>
      </c>
      <c r="N5294" t="str">
        <f t="shared" si="2156"/>
        <v>001105018356</v>
      </c>
      <c r="O5294" t="str">
        <f t="shared" si="2157"/>
        <v>MYR</v>
      </c>
      <c r="P5294" t="str">
        <f t="shared" si="2173"/>
        <v>NIL</v>
      </c>
      <c r="Q5294" t="str">
        <f t="shared" si="2173"/>
        <v>NIL</v>
      </c>
      <c r="R5294" t="str">
        <f t="shared" si="2170"/>
        <v>Accepted</v>
      </c>
      <c r="S5294" t="str">
        <f t="shared" si="2158"/>
        <v>Approved</v>
      </c>
      <c r="T5294" t="str">
        <f t="shared" si="2171"/>
        <v>10.20.8.188</v>
      </c>
      <c r="U5294" t="str">
        <f t="shared" si="2159"/>
        <v>AZRAD UMAR BIN SHAARI</v>
      </c>
      <c r="V5294" t="str">
        <f t="shared" si="2160"/>
        <v>FARHANA BINTI MUSTAPA</v>
      </c>
      <c r="W5294" t="str">
        <f t="shared" si="2161"/>
        <v>04-08-2020</v>
      </c>
      <c r="X5294" t="str">
        <f t="shared" si="2162"/>
        <v>RAZIMAH ANSAR AHMAD</v>
      </c>
      <c r="Y5294" t="str">
        <f t="shared" si="2163"/>
        <v>04-08-2020</v>
      </c>
      <c r="Z5294" t="str">
        <f>"COS10200804 3860"</f>
        <v>COS10200804 3860</v>
      </c>
    </row>
    <row r="5295" spans="1:26" x14ac:dyDescent="0.25">
      <c r="A5295" t="str">
        <f t="shared" si="2168"/>
        <v>04-08-2020 12:47:34</v>
      </c>
      <c r="B5295" t="str">
        <f>"0000805634"</f>
        <v>0000805634</v>
      </c>
      <c r="C5295" t="str">
        <f t="shared" si="2169"/>
        <v>0000805575</v>
      </c>
      <c r="D5295" t="str">
        <f t="shared" si="2153"/>
        <v>73185</v>
      </c>
      <c r="E5295" t="str">
        <f t="shared" si="2154"/>
        <v>KFH-OPERATIONS DEPARTMENT</v>
      </c>
      <c r="F5295" t="str">
        <f t="shared" si="2155"/>
        <v>IBG</v>
      </c>
      <c r="G5295" t="str">
        <f t="shared" si="2164"/>
        <v>Refund COSHARE 10</v>
      </c>
      <c r="H5295" s="2">
        <v>335.8</v>
      </c>
      <c r="I5295" t="str">
        <f>"ABDUL RAHMAN BIN TAJOL"</f>
        <v>ABDUL RAHMAN BIN TAJOL</v>
      </c>
      <c r="J5295" t="str">
        <f t="shared" si="2165"/>
        <v>MAYBANK / MAYBANK ISLAMIC</v>
      </c>
      <c r="K5295" t="str">
        <f>"151043076365"</f>
        <v>151043076365</v>
      </c>
      <c r="L5295" t="str">
        <f t="shared" si="2172"/>
        <v>04-08-2020</v>
      </c>
      <c r="M5295" t="str">
        <f t="shared" si="2172"/>
        <v>04-08-2020</v>
      </c>
      <c r="N5295" t="str">
        <f t="shared" si="2156"/>
        <v>001105018356</v>
      </c>
      <c r="O5295" t="str">
        <f t="shared" si="2157"/>
        <v>MYR</v>
      </c>
      <c r="P5295" t="str">
        <f t="shared" si="2173"/>
        <v>NIL</v>
      </c>
      <c r="Q5295" t="str">
        <f t="shared" si="2173"/>
        <v>NIL</v>
      </c>
      <c r="R5295" t="str">
        <f t="shared" si="2170"/>
        <v>Accepted</v>
      </c>
      <c r="S5295" t="str">
        <f t="shared" si="2158"/>
        <v>Approved</v>
      </c>
      <c r="T5295" t="str">
        <f t="shared" si="2171"/>
        <v>10.20.8.188</v>
      </c>
      <c r="U5295" t="str">
        <f t="shared" si="2159"/>
        <v>AZRAD UMAR BIN SHAARI</v>
      </c>
      <c r="V5295" t="str">
        <f t="shared" si="2160"/>
        <v>FARHANA BINTI MUSTAPA</v>
      </c>
      <c r="W5295" t="str">
        <f t="shared" si="2161"/>
        <v>04-08-2020</v>
      </c>
      <c r="X5295" t="str">
        <f t="shared" si="2162"/>
        <v>RAZIMAH ANSAR AHMAD</v>
      </c>
      <c r="Y5295" t="str">
        <f t="shared" si="2163"/>
        <v>04-08-2020</v>
      </c>
      <c r="Z5295" t="str">
        <f>"COS10200804 3859"</f>
        <v>COS10200804 3859</v>
      </c>
    </row>
    <row r="5296" spans="1:26" x14ac:dyDescent="0.25">
      <c r="A5296" t="str">
        <f t="shared" si="2168"/>
        <v>04-08-2020 12:47:34</v>
      </c>
      <c r="B5296" t="str">
        <f>"0000805633"</f>
        <v>0000805633</v>
      </c>
      <c r="C5296" t="str">
        <f t="shared" si="2169"/>
        <v>0000805575</v>
      </c>
      <c r="D5296" t="str">
        <f t="shared" si="2153"/>
        <v>73185</v>
      </c>
      <c r="E5296" t="str">
        <f t="shared" si="2154"/>
        <v>KFH-OPERATIONS DEPARTMENT</v>
      </c>
      <c r="F5296" t="str">
        <f t="shared" si="2155"/>
        <v>IBG</v>
      </c>
      <c r="G5296" t="str">
        <f t="shared" si="2164"/>
        <v>Refund COSHARE 10</v>
      </c>
      <c r="H5296" s="2">
        <v>377.8</v>
      </c>
      <c r="I5296" t="str">
        <f>"ABDUL RAHMAN BIN MAT"</f>
        <v>ABDUL RAHMAN BIN MAT</v>
      </c>
      <c r="J5296" t="str">
        <f t="shared" si="2165"/>
        <v>MAYBANK / MAYBANK ISLAMIC</v>
      </c>
      <c r="K5296" t="str">
        <f>"161088022500"</f>
        <v>161088022500</v>
      </c>
      <c r="L5296" t="str">
        <f t="shared" si="2172"/>
        <v>04-08-2020</v>
      </c>
      <c r="M5296" t="str">
        <f t="shared" si="2172"/>
        <v>04-08-2020</v>
      </c>
      <c r="N5296" t="str">
        <f t="shared" si="2156"/>
        <v>001105018356</v>
      </c>
      <c r="O5296" t="str">
        <f t="shared" si="2157"/>
        <v>MYR</v>
      </c>
      <c r="P5296" t="str">
        <f t="shared" si="2173"/>
        <v>NIL</v>
      </c>
      <c r="Q5296" t="str">
        <f t="shared" si="2173"/>
        <v>NIL</v>
      </c>
      <c r="R5296" t="str">
        <f t="shared" si="2170"/>
        <v>Accepted</v>
      </c>
      <c r="S5296" t="str">
        <f t="shared" si="2158"/>
        <v>Approved</v>
      </c>
      <c r="T5296" t="str">
        <f t="shared" si="2171"/>
        <v>10.20.8.188</v>
      </c>
      <c r="U5296" t="str">
        <f t="shared" si="2159"/>
        <v>AZRAD UMAR BIN SHAARI</v>
      </c>
      <c r="V5296" t="str">
        <f t="shared" si="2160"/>
        <v>FARHANA BINTI MUSTAPA</v>
      </c>
      <c r="W5296" t="str">
        <f t="shared" si="2161"/>
        <v>04-08-2020</v>
      </c>
      <c r="X5296" t="str">
        <f t="shared" si="2162"/>
        <v>RAZIMAH ANSAR AHMAD</v>
      </c>
      <c r="Y5296" t="str">
        <f t="shared" si="2163"/>
        <v>04-08-2020</v>
      </c>
      <c r="Z5296" t="str">
        <f>"COS10200804 3858"</f>
        <v>COS10200804 3858</v>
      </c>
    </row>
    <row r="5297" spans="1:26" x14ac:dyDescent="0.25">
      <c r="A5297" t="str">
        <f t="shared" si="2168"/>
        <v>04-08-2020 12:47:34</v>
      </c>
      <c r="B5297" t="str">
        <f>"0000805632"</f>
        <v>0000805632</v>
      </c>
      <c r="C5297" t="str">
        <f t="shared" si="2169"/>
        <v>0000805575</v>
      </c>
      <c r="D5297" t="str">
        <f t="shared" si="2153"/>
        <v>73185</v>
      </c>
      <c r="E5297" t="str">
        <f t="shared" si="2154"/>
        <v>KFH-OPERATIONS DEPARTMENT</v>
      </c>
      <c r="F5297" t="str">
        <f t="shared" si="2155"/>
        <v>IBG</v>
      </c>
      <c r="G5297" t="str">
        <f t="shared" si="2164"/>
        <v>Refund COSHARE 10</v>
      </c>
      <c r="H5297" s="2">
        <v>1245</v>
      </c>
      <c r="I5297" t="str">
        <f>"ABDUL RAHMAN BIN HASIM"</f>
        <v>ABDUL RAHMAN BIN HASIM</v>
      </c>
      <c r="J5297" t="str">
        <f t="shared" si="2165"/>
        <v>MAYBANK / MAYBANK ISLAMIC</v>
      </c>
      <c r="K5297" t="str">
        <f>"162209968853"</f>
        <v>162209968853</v>
      </c>
      <c r="L5297" t="str">
        <f t="shared" si="2172"/>
        <v>04-08-2020</v>
      </c>
      <c r="M5297" t="str">
        <f t="shared" si="2172"/>
        <v>04-08-2020</v>
      </c>
      <c r="N5297" t="str">
        <f t="shared" si="2156"/>
        <v>001105018356</v>
      </c>
      <c r="O5297" t="str">
        <f t="shared" si="2157"/>
        <v>MYR</v>
      </c>
      <c r="P5297" t="str">
        <f t="shared" si="2173"/>
        <v>NIL</v>
      </c>
      <c r="Q5297" t="str">
        <f t="shared" si="2173"/>
        <v>NIL</v>
      </c>
      <c r="R5297" t="str">
        <f t="shared" si="2170"/>
        <v>Accepted</v>
      </c>
      <c r="S5297" t="str">
        <f t="shared" si="2158"/>
        <v>Approved</v>
      </c>
      <c r="T5297" t="str">
        <f t="shared" si="2171"/>
        <v>10.20.8.188</v>
      </c>
      <c r="U5297" t="str">
        <f t="shared" si="2159"/>
        <v>AZRAD UMAR BIN SHAARI</v>
      </c>
      <c r="V5297" t="str">
        <f t="shared" si="2160"/>
        <v>FARHANA BINTI MUSTAPA</v>
      </c>
      <c r="W5297" t="str">
        <f t="shared" si="2161"/>
        <v>04-08-2020</v>
      </c>
      <c r="X5297" t="str">
        <f t="shared" si="2162"/>
        <v>RAZIMAH ANSAR AHMAD</v>
      </c>
      <c r="Y5297" t="str">
        <f t="shared" si="2163"/>
        <v>04-08-2020</v>
      </c>
      <c r="Z5297" t="str">
        <f>"COS10200804 3857"</f>
        <v>COS10200804 3857</v>
      </c>
    </row>
    <row r="5298" spans="1:26" x14ac:dyDescent="0.25">
      <c r="A5298" t="str">
        <f t="shared" si="2168"/>
        <v>04-08-2020 12:47:34</v>
      </c>
      <c r="B5298" t="str">
        <f>"0000805631"</f>
        <v>0000805631</v>
      </c>
      <c r="C5298" t="str">
        <f t="shared" si="2169"/>
        <v>0000805575</v>
      </c>
      <c r="D5298" t="str">
        <f t="shared" si="2153"/>
        <v>73185</v>
      </c>
      <c r="E5298" t="str">
        <f t="shared" si="2154"/>
        <v>KFH-OPERATIONS DEPARTMENT</v>
      </c>
      <c r="F5298" t="str">
        <f t="shared" si="2155"/>
        <v>IBG</v>
      </c>
      <c r="G5298" t="str">
        <f t="shared" si="2164"/>
        <v>Refund COSHARE 10</v>
      </c>
      <c r="H5298" s="2">
        <v>128.5</v>
      </c>
      <c r="I5298" t="str">
        <f>"ABDUL RAHIM BIN SILAH"</f>
        <v>ABDUL RAHIM BIN SILAH</v>
      </c>
      <c r="J5298" t="str">
        <f t="shared" si="2165"/>
        <v>MAYBANK / MAYBANK ISLAMIC</v>
      </c>
      <c r="K5298" t="str">
        <f>"106119139320"</f>
        <v>106119139320</v>
      </c>
      <c r="L5298" t="str">
        <f t="shared" si="2172"/>
        <v>04-08-2020</v>
      </c>
      <c r="M5298" t="str">
        <f t="shared" si="2172"/>
        <v>04-08-2020</v>
      </c>
      <c r="N5298" t="str">
        <f t="shared" si="2156"/>
        <v>001105018356</v>
      </c>
      <c r="O5298" t="str">
        <f t="shared" si="2157"/>
        <v>MYR</v>
      </c>
      <c r="P5298" t="str">
        <f t="shared" si="2173"/>
        <v>NIL</v>
      </c>
      <c r="Q5298" t="str">
        <f t="shared" si="2173"/>
        <v>NIL</v>
      </c>
      <c r="R5298" t="str">
        <f t="shared" si="2170"/>
        <v>Accepted</v>
      </c>
      <c r="S5298" t="str">
        <f t="shared" si="2158"/>
        <v>Approved</v>
      </c>
      <c r="T5298" t="str">
        <f t="shared" si="2171"/>
        <v>10.20.8.188</v>
      </c>
      <c r="U5298" t="str">
        <f t="shared" si="2159"/>
        <v>AZRAD UMAR BIN SHAARI</v>
      </c>
      <c r="V5298" t="str">
        <f t="shared" si="2160"/>
        <v>FARHANA BINTI MUSTAPA</v>
      </c>
      <c r="W5298" t="str">
        <f t="shared" si="2161"/>
        <v>04-08-2020</v>
      </c>
      <c r="X5298" t="str">
        <f t="shared" si="2162"/>
        <v>RAZIMAH ANSAR AHMAD</v>
      </c>
      <c r="Y5298" t="str">
        <f t="shared" si="2163"/>
        <v>04-08-2020</v>
      </c>
      <c r="Z5298" t="str">
        <f>"COS10200804 3856"</f>
        <v>COS10200804 3856</v>
      </c>
    </row>
    <row r="5299" spans="1:26" x14ac:dyDescent="0.25">
      <c r="A5299" t="str">
        <f t="shared" si="2168"/>
        <v>04-08-2020 12:47:34</v>
      </c>
      <c r="B5299" t="str">
        <f>"0000805630"</f>
        <v>0000805630</v>
      </c>
      <c r="C5299" t="str">
        <f t="shared" si="2169"/>
        <v>0000805575</v>
      </c>
      <c r="D5299" t="str">
        <f t="shared" si="2153"/>
        <v>73185</v>
      </c>
      <c r="E5299" t="str">
        <f t="shared" si="2154"/>
        <v>KFH-OPERATIONS DEPARTMENT</v>
      </c>
      <c r="F5299" t="str">
        <f t="shared" si="2155"/>
        <v>IBG</v>
      </c>
      <c r="G5299" t="str">
        <f t="shared" si="2164"/>
        <v>Refund COSHARE 10</v>
      </c>
      <c r="H5299" s="2">
        <v>411.35</v>
      </c>
      <c r="I5299" t="str">
        <f>"ABDUL RAHIM BIN ABDUL RASHID"</f>
        <v>ABDUL RAHIM BIN ABDUL RASHID</v>
      </c>
      <c r="J5299" t="str">
        <f t="shared" si="2165"/>
        <v>MAYBANK / MAYBANK ISLAMIC</v>
      </c>
      <c r="K5299" t="str">
        <f>"106230002323"</f>
        <v>106230002323</v>
      </c>
      <c r="L5299" t="str">
        <f t="shared" si="2172"/>
        <v>04-08-2020</v>
      </c>
      <c r="M5299" t="str">
        <f t="shared" si="2172"/>
        <v>04-08-2020</v>
      </c>
      <c r="N5299" t="str">
        <f t="shared" si="2156"/>
        <v>001105018356</v>
      </c>
      <c r="O5299" t="str">
        <f t="shared" si="2157"/>
        <v>MYR</v>
      </c>
      <c r="P5299" t="str">
        <f t="shared" si="2173"/>
        <v>NIL</v>
      </c>
      <c r="Q5299" t="str">
        <f t="shared" si="2173"/>
        <v>NIL</v>
      </c>
      <c r="R5299" t="str">
        <f t="shared" si="2170"/>
        <v>Accepted</v>
      </c>
      <c r="S5299" t="str">
        <f t="shared" si="2158"/>
        <v>Approved</v>
      </c>
      <c r="T5299" t="str">
        <f t="shared" si="2171"/>
        <v>10.20.8.188</v>
      </c>
      <c r="U5299" t="str">
        <f t="shared" si="2159"/>
        <v>AZRAD UMAR BIN SHAARI</v>
      </c>
      <c r="V5299" t="str">
        <f t="shared" si="2160"/>
        <v>FARHANA BINTI MUSTAPA</v>
      </c>
      <c r="W5299" t="str">
        <f t="shared" si="2161"/>
        <v>04-08-2020</v>
      </c>
      <c r="X5299" t="str">
        <f t="shared" si="2162"/>
        <v>RAZIMAH ANSAR AHMAD</v>
      </c>
      <c r="Y5299" t="str">
        <f t="shared" si="2163"/>
        <v>04-08-2020</v>
      </c>
      <c r="Z5299" t="str">
        <f>"COS10200804 3855"</f>
        <v>COS10200804 3855</v>
      </c>
    </row>
    <row r="5300" spans="1:26" x14ac:dyDescent="0.25">
      <c r="A5300" t="str">
        <f t="shared" si="2168"/>
        <v>04-08-2020 12:47:34</v>
      </c>
      <c r="B5300" t="str">
        <f>"0000805629"</f>
        <v>0000805629</v>
      </c>
      <c r="C5300" t="str">
        <f t="shared" si="2169"/>
        <v>0000805575</v>
      </c>
      <c r="D5300" t="str">
        <f t="shared" si="2153"/>
        <v>73185</v>
      </c>
      <c r="E5300" t="str">
        <f t="shared" si="2154"/>
        <v>KFH-OPERATIONS DEPARTMENT</v>
      </c>
      <c r="F5300" t="str">
        <f t="shared" si="2155"/>
        <v>IBG</v>
      </c>
      <c r="G5300" t="str">
        <f t="shared" si="2164"/>
        <v>Refund COSHARE 10</v>
      </c>
      <c r="H5300" s="2">
        <v>1055.55</v>
      </c>
      <c r="I5300" t="str">
        <f>"ABDUL NASIR BIN BOHARI"</f>
        <v>ABDUL NASIR BIN BOHARI</v>
      </c>
      <c r="J5300" t="str">
        <f t="shared" si="2165"/>
        <v>MAYBANK / MAYBANK ISLAMIC</v>
      </c>
      <c r="K5300" t="str">
        <f>"111113129180"</f>
        <v>111113129180</v>
      </c>
      <c r="L5300" t="str">
        <f t="shared" si="2172"/>
        <v>04-08-2020</v>
      </c>
      <c r="M5300" t="str">
        <f t="shared" si="2172"/>
        <v>04-08-2020</v>
      </c>
      <c r="N5300" t="str">
        <f t="shared" si="2156"/>
        <v>001105018356</v>
      </c>
      <c r="O5300" t="str">
        <f t="shared" si="2157"/>
        <v>MYR</v>
      </c>
      <c r="P5300" t="str">
        <f t="shared" si="2173"/>
        <v>NIL</v>
      </c>
      <c r="Q5300" t="str">
        <f t="shared" si="2173"/>
        <v>NIL</v>
      </c>
      <c r="R5300" t="str">
        <f t="shared" si="2170"/>
        <v>Accepted</v>
      </c>
      <c r="S5300" t="str">
        <f t="shared" si="2158"/>
        <v>Approved</v>
      </c>
      <c r="T5300" t="str">
        <f t="shared" si="2171"/>
        <v>10.20.8.188</v>
      </c>
      <c r="U5300" t="str">
        <f t="shared" si="2159"/>
        <v>AZRAD UMAR BIN SHAARI</v>
      </c>
      <c r="V5300" t="str">
        <f t="shared" si="2160"/>
        <v>FARHANA BINTI MUSTAPA</v>
      </c>
      <c r="W5300" t="str">
        <f t="shared" si="2161"/>
        <v>04-08-2020</v>
      </c>
      <c r="X5300" t="str">
        <f t="shared" si="2162"/>
        <v>RAZIMAH ANSAR AHMAD</v>
      </c>
      <c r="Y5300" t="str">
        <f t="shared" si="2163"/>
        <v>04-08-2020</v>
      </c>
      <c r="Z5300" t="str">
        <f>"COS10200804 3854"</f>
        <v>COS10200804 3854</v>
      </c>
    </row>
    <row r="5301" spans="1:26" x14ac:dyDescent="0.25">
      <c r="A5301" t="str">
        <f t="shared" si="2168"/>
        <v>04-08-2020 12:47:34</v>
      </c>
      <c r="B5301" t="str">
        <f>"0000805628"</f>
        <v>0000805628</v>
      </c>
      <c r="C5301" t="str">
        <f t="shared" si="2169"/>
        <v>0000805575</v>
      </c>
      <c r="D5301" t="str">
        <f t="shared" si="2153"/>
        <v>73185</v>
      </c>
      <c r="E5301" t="str">
        <f t="shared" si="2154"/>
        <v>KFH-OPERATIONS DEPARTMENT</v>
      </c>
      <c r="F5301" t="str">
        <f t="shared" si="2155"/>
        <v>IBG</v>
      </c>
      <c r="G5301" t="str">
        <f t="shared" si="2164"/>
        <v>Refund COSHARE 10</v>
      </c>
      <c r="H5301" s="2">
        <v>266</v>
      </c>
      <c r="I5301" t="str">
        <f>"ABDUL MUIZZ BIN JUHARI"</f>
        <v>ABDUL MUIZZ BIN JUHARI</v>
      </c>
      <c r="J5301" t="str">
        <f t="shared" si="2165"/>
        <v>MAYBANK / MAYBANK ISLAMIC</v>
      </c>
      <c r="K5301" t="str">
        <f>"166010059588"</f>
        <v>166010059588</v>
      </c>
      <c r="L5301" t="str">
        <f t="shared" si="2172"/>
        <v>04-08-2020</v>
      </c>
      <c r="M5301" t="str">
        <f t="shared" si="2172"/>
        <v>04-08-2020</v>
      </c>
      <c r="N5301" t="str">
        <f t="shared" si="2156"/>
        <v>001105018356</v>
      </c>
      <c r="O5301" t="str">
        <f t="shared" si="2157"/>
        <v>MYR</v>
      </c>
      <c r="P5301" t="str">
        <f t="shared" si="2173"/>
        <v>NIL</v>
      </c>
      <c r="Q5301" t="str">
        <f t="shared" si="2173"/>
        <v>NIL</v>
      </c>
      <c r="R5301" t="str">
        <f t="shared" si="2170"/>
        <v>Accepted</v>
      </c>
      <c r="S5301" t="str">
        <f t="shared" si="2158"/>
        <v>Approved</v>
      </c>
      <c r="T5301" t="str">
        <f t="shared" si="2171"/>
        <v>10.20.8.188</v>
      </c>
      <c r="U5301" t="str">
        <f t="shared" si="2159"/>
        <v>AZRAD UMAR BIN SHAARI</v>
      </c>
      <c r="V5301" t="str">
        <f t="shared" si="2160"/>
        <v>FARHANA BINTI MUSTAPA</v>
      </c>
      <c r="W5301" t="str">
        <f t="shared" si="2161"/>
        <v>04-08-2020</v>
      </c>
      <c r="X5301" t="str">
        <f t="shared" si="2162"/>
        <v>RAZIMAH ANSAR AHMAD</v>
      </c>
      <c r="Y5301" t="str">
        <f t="shared" si="2163"/>
        <v>04-08-2020</v>
      </c>
      <c r="Z5301" t="str">
        <f>"COS10200804 3853"</f>
        <v>COS10200804 3853</v>
      </c>
    </row>
    <row r="5302" spans="1:26" x14ac:dyDescent="0.25">
      <c r="A5302" t="str">
        <f t="shared" si="2168"/>
        <v>04-08-2020 12:47:34</v>
      </c>
      <c r="B5302" t="str">
        <f>"0000805627"</f>
        <v>0000805627</v>
      </c>
      <c r="C5302" t="str">
        <f t="shared" si="2169"/>
        <v>0000805575</v>
      </c>
      <c r="D5302" t="str">
        <f t="shared" si="2153"/>
        <v>73185</v>
      </c>
      <c r="E5302" t="str">
        <f t="shared" si="2154"/>
        <v>KFH-OPERATIONS DEPARTMENT</v>
      </c>
      <c r="F5302" t="str">
        <f t="shared" si="2155"/>
        <v>IBG</v>
      </c>
      <c r="G5302" t="str">
        <f t="shared" si="2164"/>
        <v>Refund COSHARE 10</v>
      </c>
      <c r="H5302" s="2">
        <v>880</v>
      </c>
      <c r="I5302" t="str">
        <f>"ABDUL MANAP BIN HARUN"</f>
        <v>ABDUL MANAP BIN HARUN</v>
      </c>
      <c r="J5302" t="str">
        <f t="shared" si="2165"/>
        <v>MAYBANK / MAYBANK ISLAMIC</v>
      </c>
      <c r="K5302" t="str">
        <f>"108010962103"</f>
        <v>108010962103</v>
      </c>
      <c r="L5302" t="str">
        <f t="shared" si="2172"/>
        <v>04-08-2020</v>
      </c>
      <c r="M5302" t="str">
        <f t="shared" si="2172"/>
        <v>04-08-2020</v>
      </c>
      <c r="N5302" t="str">
        <f t="shared" si="2156"/>
        <v>001105018356</v>
      </c>
      <c r="O5302" t="str">
        <f t="shared" si="2157"/>
        <v>MYR</v>
      </c>
      <c r="P5302" t="str">
        <f t="shared" si="2173"/>
        <v>NIL</v>
      </c>
      <c r="Q5302" t="str">
        <f t="shared" si="2173"/>
        <v>NIL</v>
      </c>
      <c r="R5302" t="str">
        <f t="shared" si="2170"/>
        <v>Accepted</v>
      </c>
      <c r="S5302" t="str">
        <f t="shared" si="2158"/>
        <v>Approved</v>
      </c>
      <c r="T5302" t="str">
        <f t="shared" si="2171"/>
        <v>10.20.8.188</v>
      </c>
      <c r="U5302" t="str">
        <f t="shared" si="2159"/>
        <v>AZRAD UMAR BIN SHAARI</v>
      </c>
      <c r="V5302" t="str">
        <f t="shared" si="2160"/>
        <v>FARHANA BINTI MUSTAPA</v>
      </c>
      <c r="W5302" t="str">
        <f t="shared" si="2161"/>
        <v>04-08-2020</v>
      </c>
      <c r="X5302" t="str">
        <f t="shared" si="2162"/>
        <v>RAZIMAH ANSAR AHMAD</v>
      </c>
      <c r="Y5302" t="str">
        <f t="shared" si="2163"/>
        <v>04-08-2020</v>
      </c>
      <c r="Z5302" t="str">
        <f>"COS10200804 3852"</f>
        <v>COS10200804 3852</v>
      </c>
    </row>
    <row r="5303" spans="1:26" x14ac:dyDescent="0.25">
      <c r="A5303" t="str">
        <f t="shared" si="2168"/>
        <v>04-08-2020 12:47:34</v>
      </c>
      <c r="B5303" t="str">
        <f>"0000805626"</f>
        <v>0000805626</v>
      </c>
      <c r="C5303" t="str">
        <f t="shared" si="2169"/>
        <v>0000805575</v>
      </c>
      <c r="D5303" t="str">
        <f t="shared" si="2153"/>
        <v>73185</v>
      </c>
      <c r="E5303" t="str">
        <f t="shared" si="2154"/>
        <v>KFH-OPERATIONS DEPARTMENT</v>
      </c>
      <c r="F5303" t="str">
        <f t="shared" si="2155"/>
        <v>IBG</v>
      </c>
      <c r="G5303" t="str">
        <f t="shared" si="2164"/>
        <v>Refund COSHARE 10</v>
      </c>
      <c r="H5303" s="2">
        <v>747.15</v>
      </c>
      <c r="I5303" t="str">
        <f>"ABDUL MALEK BIN MOHAMMAD FAIZAL"</f>
        <v>ABDUL MALEK BIN MOHAMMAD FAIZAL</v>
      </c>
      <c r="J5303" t="str">
        <f t="shared" si="2165"/>
        <v>MAYBANK / MAYBANK ISLAMIC</v>
      </c>
      <c r="K5303" t="str">
        <f>"160027208876"</f>
        <v>160027208876</v>
      </c>
      <c r="L5303" t="str">
        <f t="shared" si="2172"/>
        <v>04-08-2020</v>
      </c>
      <c r="M5303" t="str">
        <f t="shared" si="2172"/>
        <v>04-08-2020</v>
      </c>
      <c r="N5303" t="str">
        <f t="shared" si="2156"/>
        <v>001105018356</v>
      </c>
      <c r="O5303" t="str">
        <f t="shared" si="2157"/>
        <v>MYR</v>
      </c>
      <c r="P5303" t="str">
        <f t="shared" si="2173"/>
        <v>NIL</v>
      </c>
      <c r="Q5303" t="str">
        <f t="shared" si="2173"/>
        <v>NIL</v>
      </c>
      <c r="R5303" t="str">
        <f t="shared" si="2170"/>
        <v>Accepted</v>
      </c>
      <c r="S5303" t="str">
        <f t="shared" si="2158"/>
        <v>Approved</v>
      </c>
      <c r="T5303" t="str">
        <f t="shared" si="2171"/>
        <v>10.20.8.188</v>
      </c>
      <c r="U5303" t="str">
        <f t="shared" si="2159"/>
        <v>AZRAD UMAR BIN SHAARI</v>
      </c>
      <c r="V5303" t="str">
        <f t="shared" si="2160"/>
        <v>FARHANA BINTI MUSTAPA</v>
      </c>
      <c r="W5303" t="str">
        <f t="shared" si="2161"/>
        <v>04-08-2020</v>
      </c>
      <c r="X5303" t="str">
        <f t="shared" si="2162"/>
        <v>RAZIMAH ANSAR AHMAD</v>
      </c>
      <c r="Y5303" t="str">
        <f t="shared" si="2163"/>
        <v>04-08-2020</v>
      </c>
      <c r="Z5303" t="str">
        <f>"COS10200804 3851"</f>
        <v>COS10200804 3851</v>
      </c>
    </row>
    <row r="5304" spans="1:26" x14ac:dyDescent="0.25">
      <c r="A5304" t="str">
        <f t="shared" si="2168"/>
        <v>04-08-2020 12:47:34</v>
      </c>
      <c r="B5304" t="str">
        <f>"0000805625"</f>
        <v>0000805625</v>
      </c>
      <c r="C5304" t="str">
        <f t="shared" si="2169"/>
        <v>0000805575</v>
      </c>
      <c r="D5304" t="str">
        <f t="shared" si="2153"/>
        <v>73185</v>
      </c>
      <c r="E5304" t="str">
        <f t="shared" si="2154"/>
        <v>KFH-OPERATIONS DEPARTMENT</v>
      </c>
      <c r="F5304" t="str">
        <f t="shared" si="2155"/>
        <v>IBG</v>
      </c>
      <c r="G5304" t="str">
        <f t="shared" si="2164"/>
        <v>Refund COSHARE 10</v>
      </c>
      <c r="H5304" s="2">
        <v>92.35</v>
      </c>
      <c r="I5304" t="str">
        <f>"ABDUL LATIFF BIN KASMEN"</f>
        <v>ABDUL LATIFF BIN KASMEN</v>
      </c>
      <c r="J5304" t="str">
        <f t="shared" si="2165"/>
        <v>MAYBANK / MAYBANK ISLAMIC</v>
      </c>
      <c r="K5304" t="str">
        <f>"101133177520"</f>
        <v>101133177520</v>
      </c>
      <c r="L5304" t="str">
        <f t="shared" si="2172"/>
        <v>04-08-2020</v>
      </c>
      <c r="M5304" t="str">
        <f t="shared" si="2172"/>
        <v>04-08-2020</v>
      </c>
      <c r="N5304" t="str">
        <f t="shared" si="2156"/>
        <v>001105018356</v>
      </c>
      <c r="O5304" t="str">
        <f t="shared" si="2157"/>
        <v>MYR</v>
      </c>
      <c r="P5304" t="str">
        <f t="shared" si="2173"/>
        <v>NIL</v>
      </c>
      <c r="Q5304" t="str">
        <f t="shared" si="2173"/>
        <v>NIL</v>
      </c>
      <c r="R5304" t="str">
        <f t="shared" si="2170"/>
        <v>Accepted</v>
      </c>
      <c r="S5304" t="str">
        <f t="shared" si="2158"/>
        <v>Approved</v>
      </c>
      <c r="T5304" t="str">
        <f t="shared" si="2171"/>
        <v>10.20.8.188</v>
      </c>
      <c r="U5304" t="str">
        <f t="shared" si="2159"/>
        <v>AZRAD UMAR BIN SHAARI</v>
      </c>
      <c r="V5304" t="str">
        <f t="shared" si="2160"/>
        <v>FARHANA BINTI MUSTAPA</v>
      </c>
      <c r="W5304" t="str">
        <f t="shared" si="2161"/>
        <v>04-08-2020</v>
      </c>
      <c r="X5304" t="str">
        <f t="shared" si="2162"/>
        <v>RAZIMAH ANSAR AHMAD</v>
      </c>
      <c r="Y5304" t="str">
        <f t="shared" si="2163"/>
        <v>04-08-2020</v>
      </c>
      <c r="Z5304" t="str">
        <f>"COS10200804 3850"</f>
        <v>COS10200804 3850</v>
      </c>
    </row>
    <row r="5305" spans="1:26" x14ac:dyDescent="0.25">
      <c r="A5305" t="str">
        <f t="shared" si="2168"/>
        <v>04-08-2020 12:47:34</v>
      </c>
      <c r="B5305" t="str">
        <f>"0000805624"</f>
        <v>0000805624</v>
      </c>
      <c r="C5305" t="str">
        <f t="shared" si="2169"/>
        <v>0000805575</v>
      </c>
      <c r="D5305" t="str">
        <f t="shared" si="2153"/>
        <v>73185</v>
      </c>
      <c r="E5305" t="str">
        <f t="shared" si="2154"/>
        <v>KFH-OPERATIONS DEPARTMENT</v>
      </c>
      <c r="F5305" t="str">
        <f t="shared" si="2155"/>
        <v>IBG</v>
      </c>
      <c r="G5305" t="str">
        <f t="shared" si="2164"/>
        <v>Refund COSHARE 10</v>
      </c>
      <c r="H5305" s="2">
        <v>535.25</v>
      </c>
      <c r="I5305" t="str">
        <f>"ABDUL LATIFF BIN ISMAIL"</f>
        <v>ABDUL LATIFF BIN ISMAIL</v>
      </c>
      <c r="J5305" t="str">
        <f t="shared" si="2165"/>
        <v>MAYBANK / MAYBANK ISLAMIC</v>
      </c>
      <c r="K5305" t="str">
        <f>"153056018268"</f>
        <v>153056018268</v>
      </c>
      <c r="L5305" t="str">
        <f t="shared" si="2172"/>
        <v>04-08-2020</v>
      </c>
      <c r="M5305" t="str">
        <f t="shared" si="2172"/>
        <v>04-08-2020</v>
      </c>
      <c r="N5305" t="str">
        <f t="shared" si="2156"/>
        <v>001105018356</v>
      </c>
      <c r="O5305" t="str">
        <f t="shared" si="2157"/>
        <v>MYR</v>
      </c>
      <c r="P5305" t="str">
        <f t="shared" si="2173"/>
        <v>NIL</v>
      </c>
      <c r="Q5305" t="str">
        <f t="shared" si="2173"/>
        <v>NIL</v>
      </c>
      <c r="R5305" t="str">
        <f t="shared" si="2170"/>
        <v>Accepted</v>
      </c>
      <c r="S5305" t="str">
        <f t="shared" si="2158"/>
        <v>Approved</v>
      </c>
      <c r="T5305" t="str">
        <f t="shared" si="2171"/>
        <v>10.20.8.188</v>
      </c>
      <c r="U5305" t="str">
        <f t="shared" si="2159"/>
        <v>AZRAD UMAR BIN SHAARI</v>
      </c>
      <c r="V5305" t="str">
        <f t="shared" si="2160"/>
        <v>FARHANA BINTI MUSTAPA</v>
      </c>
      <c r="W5305" t="str">
        <f t="shared" si="2161"/>
        <v>04-08-2020</v>
      </c>
      <c r="X5305" t="str">
        <f t="shared" si="2162"/>
        <v>RAZIMAH ANSAR AHMAD</v>
      </c>
      <c r="Y5305" t="str">
        <f t="shared" si="2163"/>
        <v>04-08-2020</v>
      </c>
      <c r="Z5305" t="str">
        <f>"COS10200804 3849"</f>
        <v>COS10200804 3849</v>
      </c>
    </row>
    <row r="5306" spans="1:26" x14ac:dyDescent="0.25">
      <c r="A5306" t="str">
        <f t="shared" si="2168"/>
        <v>04-08-2020 12:47:34</v>
      </c>
      <c r="B5306" t="str">
        <f>"0000805623"</f>
        <v>0000805623</v>
      </c>
      <c r="C5306" t="str">
        <f t="shared" si="2169"/>
        <v>0000805575</v>
      </c>
      <c r="D5306" t="str">
        <f t="shared" si="2153"/>
        <v>73185</v>
      </c>
      <c r="E5306" t="str">
        <f t="shared" si="2154"/>
        <v>KFH-OPERATIONS DEPARTMENT</v>
      </c>
      <c r="F5306" t="str">
        <f t="shared" si="2155"/>
        <v>IBG</v>
      </c>
      <c r="G5306" t="str">
        <f t="shared" si="2164"/>
        <v>Refund COSHARE 10</v>
      </c>
      <c r="H5306" s="2">
        <v>159.5</v>
      </c>
      <c r="I5306" t="str">
        <f>"ABDUL LATIF BIN ISHAK"</f>
        <v>ABDUL LATIF BIN ISHAK</v>
      </c>
      <c r="J5306" t="str">
        <f t="shared" si="2165"/>
        <v>MAYBANK / MAYBANK ISLAMIC</v>
      </c>
      <c r="K5306" t="str">
        <f>"152077311536"</f>
        <v>152077311536</v>
      </c>
      <c r="L5306" t="str">
        <f t="shared" si="2172"/>
        <v>04-08-2020</v>
      </c>
      <c r="M5306" t="str">
        <f t="shared" si="2172"/>
        <v>04-08-2020</v>
      </c>
      <c r="N5306" t="str">
        <f t="shared" si="2156"/>
        <v>001105018356</v>
      </c>
      <c r="O5306" t="str">
        <f t="shared" si="2157"/>
        <v>MYR</v>
      </c>
      <c r="P5306" t="str">
        <f t="shared" si="2173"/>
        <v>NIL</v>
      </c>
      <c r="Q5306" t="str">
        <f t="shared" si="2173"/>
        <v>NIL</v>
      </c>
      <c r="R5306" t="str">
        <f t="shared" si="2170"/>
        <v>Accepted</v>
      </c>
      <c r="S5306" t="str">
        <f t="shared" si="2158"/>
        <v>Approved</v>
      </c>
      <c r="T5306" t="str">
        <f t="shared" si="2171"/>
        <v>10.20.8.188</v>
      </c>
      <c r="U5306" t="str">
        <f t="shared" si="2159"/>
        <v>AZRAD UMAR BIN SHAARI</v>
      </c>
      <c r="V5306" t="str">
        <f t="shared" si="2160"/>
        <v>FARHANA BINTI MUSTAPA</v>
      </c>
      <c r="W5306" t="str">
        <f t="shared" si="2161"/>
        <v>04-08-2020</v>
      </c>
      <c r="X5306" t="str">
        <f t="shared" si="2162"/>
        <v>RAZIMAH ANSAR AHMAD</v>
      </c>
      <c r="Y5306" t="str">
        <f t="shared" si="2163"/>
        <v>04-08-2020</v>
      </c>
      <c r="Z5306" t="str">
        <f>"COS10200804 3848"</f>
        <v>COS10200804 3848</v>
      </c>
    </row>
    <row r="5307" spans="1:26" x14ac:dyDescent="0.25">
      <c r="A5307" t="str">
        <f t="shared" si="2168"/>
        <v>04-08-2020 12:47:34</v>
      </c>
      <c r="B5307" t="str">
        <f>"0000805622"</f>
        <v>0000805622</v>
      </c>
      <c r="C5307" t="str">
        <f t="shared" si="2169"/>
        <v>0000805575</v>
      </c>
      <c r="D5307" t="str">
        <f t="shared" si="2153"/>
        <v>73185</v>
      </c>
      <c r="E5307" t="str">
        <f t="shared" si="2154"/>
        <v>KFH-OPERATIONS DEPARTMENT</v>
      </c>
      <c r="F5307" t="str">
        <f t="shared" si="2155"/>
        <v>IBG</v>
      </c>
      <c r="G5307" t="str">
        <f t="shared" si="2164"/>
        <v>Refund COSHARE 10</v>
      </c>
      <c r="H5307" s="2">
        <v>1569.85</v>
      </c>
      <c r="I5307" t="str">
        <f>"ABDUL JIDI BIN RIJALI"</f>
        <v>ABDUL JIDI BIN RIJALI</v>
      </c>
      <c r="J5307" t="str">
        <f t="shared" si="2165"/>
        <v>MAYBANK / MAYBANK ISLAMIC</v>
      </c>
      <c r="K5307" t="str">
        <f>"160045294348"</f>
        <v>160045294348</v>
      </c>
      <c r="L5307" t="str">
        <f t="shared" ref="L5307:M5326" si="2174">"04-08-2020"</f>
        <v>04-08-2020</v>
      </c>
      <c r="M5307" t="str">
        <f t="shared" si="2174"/>
        <v>04-08-2020</v>
      </c>
      <c r="N5307" t="str">
        <f t="shared" si="2156"/>
        <v>001105018356</v>
      </c>
      <c r="O5307" t="str">
        <f t="shared" si="2157"/>
        <v>MYR</v>
      </c>
      <c r="P5307" t="str">
        <f t="shared" ref="P5307:Q5326" si="2175">"NIL"</f>
        <v>NIL</v>
      </c>
      <c r="Q5307" t="str">
        <f t="shared" si="2175"/>
        <v>NIL</v>
      </c>
      <c r="R5307" t="str">
        <f t="shared" si="2170"/>
        <v>Accepted</v>
      </c>
      <c r="S5307" t="str">
        <f t="shared" si="2158"/>
        <v>Approved</v>
      </c>
      <c r="T5307" t="str">
        <f t="shared" si="2171"/>
        <v>10.20.8.188</v>
      </c>
      <c r="U5307" t="str">
        <f t="shared" si="2159"/>
        <v>AZRAD UMAR BIN SHAARI</v>
      </c>
      <c r="V5307" t="str">
        <f t="shared" si="2160"/>
        <v>FARHANA BINTI MUSTAPA</v>
      </c>
      <c r="W5307" t="str">
        <f t="shared" si="2161"/>
        <v>04-08-2020</v>
      </c>
      <c r="X5307" t="str">
        <f t="shared" si="2162"/>
        <v>RAZIMAH ANSAR AHMAD</v>
      </c>
      <c r="Y5307" t="str">
        <f t="shared" si="2163"/>
        <v>04-08-2020</v>
      </c>
      <c r="Z5307" t="str">
        <f>"COS10200804 3847"</f>
        <v>COS10200804 3847</v>
      </c>
    </row>
    <row r="5308" spans="1:26" x14ac:dyDescent="0.25">
      <c r="A5308" t="str">
        <f t="shared" si="2168"/>
        <v>04-08-2020 12:47:34</v>
      </c>
      <c r="B5308" t="str">
        <f>"0000805621"</f>
        <v>0000805621</v>
      </c>
      <c r="C5308" t="str">
        <f t="shared" si="2169"/>
        <v>0000805575</v>
      </c>
      <c r="D5308" t="str">
        <f t="shared" si="2153"/>
        <v>73185</v>
      </c>
      <c r="E5308" t="str">
        <f t="shared" si="2154"/>
        <v>KFH-OPERATIONS DEPARTMENT</v>
      </c>
      <c r="F5308" t="str">
        <f t="shared" si="2155"/>
        <v>IBG</v>
      </c>
      <c r="G5308" t="str">
        <f t="shared" si="2164"/>
        <v>Refund COSHARE 10</v>
      </c>
      <c r="H5308" s="2">
        <v>314.35000000000002</v>
      </c>
      <c r="I5308" t="str">
        <f>"ABDUL JALIL BIN ABDUL AZIZ"</f>
        <v>ABDUL JALIL BIN ABDUL AZIZ</v>
      </c>
      <c r="J5308" t="str">
        <f t="shared" si="2165"/>
        <v>MAYBANK / MAYBANK ISLAMIC</v>
      </c>
      <c r="K5308" t="str">
        <f>"158051343236"</f>
        <v>158051343236</v>
      </c>
      <c r="L5308" t="str">
        <f t="shared" si="2174"/>
        <v>04-08-2020</v>
      </c>
      <c r="M5308" t="str">
        <f t="shared" si="2174"/>
        <v>04-08-2020</v>
      </c>
      <c r="N5308" t="str">
        <f t="shared" si="2156"/>
        <v>001105018356</v>
      </c>
      <c r="O5308" t="str">
        <f t="shared" si="2157"/>
        <v>MYR</v>
      </c>
      <c r="P5308" t="str">
        <f t="shared" si="2175"/>
        <v>NIL</v>
      </c>
      <c r="Q5308" t="str">
        <f t="shared" si="2175"/>
        <v>NIL</v>
      </c>
      <c r="R5308" t="str">
        <f t="shared" si="2170"/>
        <v>Accepted</v>
      </c>
      <c r="S5308" t="str">
        <f t="shared" si="2158"/>
        <v>Approved</v>
      </c>
      <c r="T5308" t="str">
        <f t="shared" si="2171"/>
        <v>10.20.8.188</v>
      </c>
      <c r="U5308" t="str">
        <f t="shared" si="2159"/>
        <v>AZRAD UMAR BIN SHAARI</v>
      </c>
      <c r="V5308" t="str">
        <f t="shared" si="2160"/>
        <v>FARHANA BINTI MUSTAPA</v>
      </c>
      <c r="W5308" t="str">
        <f t="shared" si="2161"/>
        <v>04-08-2020</v>
      </c>
      <c r="X5308" t="str">
        <f t="shared" si="2162"/>
        <v>RAZIMAH ANSAR AHMAD</v>
      </c>
      <c r="Y5308" t="str">
        <f t="shared" si="2163"/>
        <v>04-08-2020</v>
      </c>
      <c r="Z5308" t="str">
        <f>"COS10200804 3846"</f>
        <v>COS10200804 3846</v>
      </c>
    </row>
    <row r="5309" spans="1:26" x14ac:dyDescent="0.25">
      <c r="A5309" t="str">
        <f t="shared" si="2168"/>
        <v>04-08-2020 12:47:34</v>
      </c>
      <c r="B5309" t="str">
        <f>"0000805620"</f>
        <v>0000805620</v>
      </c>
      <c r="C5309" t="str">
        <f t="shared" si="2169"/>
        <v>0000805575</v>
      </c>
      <c r="D5309" t="str">
        <f t="shared" si="2153"/>
        <v>73185</v>
      </c>
      <c r="E5309" t="str">
        <f t="shared" si="2154"/>
        <v>KFH-OPERATIONS DEPARTMENT</v>
      </c>
      <c r="F5309" t="str">
        <f t="shared" si="2155"/>
        <v>IBG</v>
      </c>
      <c r="G5309" t="str">
        <f t="shared" si="2164"/>
        <v>Refund COSHARE 10</v>
      </c>
      <c r="H5309" s="2">
        <v>389</v>
      </c>
      <c r="I5309" t="str">
        <f>"ABDUL HARIS BIN SAMSOODIN"</f>
        <v>ABDUL HARIS BIN SAMSOODIN</v>
      </c>
      <c r="J5309" t="str">
        <f t="shared" si="2165"/>
        <v>MAYBANK / MAYBANK ISLAMIC</v>
      </c>
      <c r="K5309" t="str">
        <f>"110013375049"</f>
        <v>110013375049</v>
      </c>
      <c r="L5309" t="str">
        <f t="shared" si="2174"/>
        <v>04-08-2020</v>
      </c>
      <c r="M5309" t="str">
        <f t="shared" si="2174"/>
        <v>04-08-2020</v>
      </c>
      <c r="N5309" t="str">
        <f t="shared" si="2156"/>
        <v>001105018356</v>
      </c>
      <c r="O5309" t="str">
        <f t="shared" si="2157"/>
        <v>MYR</v>
      </c>
      <c r="P5309" t="str">
        <f t="shared" si="2175"/>
        <v>NIL</v>
      </c>
      <c r="Q5309" t="str">
        <f t="shared" si="2175"/>
        <v>NIL</v>
      </c>
      <c r="R5309" t="str">
        <f t="shared" si="2170"/>
        <v>Accepted</v>
      </c>
      <c r="S5309" t="str">
        <f t="shared" si="2158"/>
        <v>Approved</v>
      </c>
      <c r="T5309" t="str">
        <f t="shared" si="2171"/>
        <v>10.20.8.188</v>
      </c>
      <c r="U5309" t="str">
        <f t="shared" si="2159"/>
        <v>AZRAD UMAR BIN SHAARI</v>
      </c>
      <c r="V5309" t="str">
        <f t="shared" si="2160"/>
        <v>FARHANA BINTI MUSTAPA</v>
      </c>
      <c r="W5309" t="str">
        <f t="shared" si="2161"/>
        <v>04-08-2020</v>
      </c>
      <c r="X5309" t="str">
        <f t="shared" si="2162"/>
        <v>RAZIMAH ANSAR AHMAD</v>
      </c>
      <c r="Y5309" t="str">
        <f t="shared" si="2163"/>
        <v>04-08-2020</v>
      </c>
      <c r="Z5309" t="str">
        <f>"COS10200804 3845"</f>
        <v>COS10200804 3845</v>
      </c>
    </row>
    <row r="5310" spans="1:26" x14ac:dyDescent="0.25">
      <c r="A5310" t="str">
        <f t="shared" si="2168"/>
        <v>04-08-2020 12:47:34</v>
      </c>
      <c r="B5310" t="str">
        <f>"0000805619"</f>
        <v>0000805619</v>
      </c>
      <c r="C5310" t="str">
        <f t="shared" si="2169"/>
        <v>0000805575</v>
      </c>
      <c r="D5310" t="str">
        <f t="shared" si="2153"/>
        <v>73185</v>
      </c>
      <c r="E5310" t="str">
        <f t="shared" si="2154"/>
        <v>KFH-OPERATIONS DEPARTMENT</v>
      </c>
      <c r="F5310" t="str">
        <f t="shared" si="2155"/>
        <v>IBG</v>
      </c>
      <c r="G5310" t="str">
        <f t="shared" si="2164"/>
        <v>Refund COSHARE 10</v>
      </c>
      <c r="H5310" s="2">
        <v>109.15</v>
      </c>
      <c r="I5310" t="str">
        <f>"ABDUL HANIF BIN AHMAD"</f>
        <v>ABDUL HANIF BIN AHMAD</v>
      </c>
      <c r="J5310" t="str">
        <f t="shared" si="2165"/>
        <v>MAYBANK / MAYBANK ISLAMIC</v>
      </c>
      <c r="K5310" t="str">
        <f>"151164167901"</f>
        <v>151164167901</v>
      </c>
      <c r="L5310" t="str">
        <f t="shared" si="2174"/>
        <v>04-08-2020</v>
      </c>
      <c r="M5310" t="str">
        <f t="shared" si="2174"/>
        <v>04-08-2020</v>
      </c>
      <c r="N5310" t="str">
        <f t="shared" si="2156"/>
        <v>001105018356</v>
      </c>
      <c r="O5310" t="str">
        <f t="shared" si="2157"/>
        <v>MYR</v>
      </c>
      <c r="P5310" t="str">
        <f t="shared" si="2175"/>
        <v>NIL</v>
      </c>
      <c r="Q5310" t="str">
        <f t="shared" si="2175"/>
        <v>NIL</v>
      </c>
      <c r="R5310" t="str">
        <f t="shared" si="2170"/>
        <v>Accepted</v>
      </c>
      <c r="S5310" t="str">
        <f t="shared" si="2158"/>
        <v>Approved</v>
      </c>
      <c r="T5310" t="str">
        <f t="shared" si="2171"/>
        <v>10.20.8.188</v>
      </c>
      <c r="U5310" t="str">
        <f t="shared" si="2159"/>
        <v>AZRAD UMAR BIN SHAARI</v>
      </c>
      <c r="V5310" t="str">
        <f t="shared" si="2160"/>
        <v>FARHANA BINTI MUSTAPA</v>
      </c>
      <c r="W5310" t="str">
        <f t="shared" si="2161"/>
        <v>04-08-2020</v>
      </c>
      <c r="X5310" t="str">
        <f t="shared" si="2162"/>
        <v>RAZIMAH ANSAR AHMAD</v>
      </c>
      <c r="Y5310" t="str">
        <f t="shared" si="2163"/>
        <v>04-08-2020</v>
      </c>
      <c r="Z5310" t="str">
        <f>"COS10200804 3844"</f>
        <v>COS10200804 3844</v>
      </c>
    </row>
    <row r="5311" spans="1:26" x14ac:dyDescent="0.25">
      <c r="A5311" t="str">
        <f t="shared" si="2168"/>
        <v>04-08-2020 12:47:34</v>
      </c>
      <c r="B5311" t="str">
        <f>"0000805618"</f>
        <v>0000805618</v>
      </c>
      <c r="C5311" t="str">
        <f t="shared" si="2169"/>
        <v>0000805575</v>
      </c>
      <c r="D5311" t="str">
        <f t="shared" si="2153"/>
        <v>73185</v>
      </c>
      <c r="E5311" t="str">
        <f t="shared" si="2154"/>
        <v>KFH-OPERATIONS DEPARTMENT</v>
      </c>
      <c r="F5311" t="str">
        <f t="shared" si="2155"/>
        <v>IBG</v>
      </c>
      <c r="G5311" t="str">
        <f t="shared" si="2164"/>
        <v>Refund COSHARE 10</v>
      </c>
      <c r="H5311" s="2">
        <v>44.35</v>
      </c>
      <c r="I5311" t="str">
        <f>"ABDUL HALIM BIN TEH"</f>
        <v>ABDUL HALIM BIN TEH</v>
      </c>
      <c r="J5311" t="str">
        <f t="shared" si="2165"/>
        <v>MAYBANK / MAYBANK ISLAMIC</v>
      </c>
      <c r="K5311" t="str">
        <f>"114075823287"</f>
        <v>114075823287</v>
      </c>
      <c r="L5311" t="str">
        <f t="shared" si="2174"/>
        <v>04-08-2020</v>
      </c>
      <c r="M5311" t="str">
        <f t="shared" si="2174"/>
        <v>04-08-2020</v>
      </c>
      <c r="N5311" t="str">
        <f t="shared" si="2156"/>
        <v>001105018356</v>
      </c>
      <c r="O5311" t="str">
        <f t="shared" si="2157"/>
        <v>MYR</v>
      </c>
      <c r="P5311" t="str">
        <f t="shared" si="2175"/>
        <v>NIL</v>
      </c>
      <c r="Q5311" t="str">
        <f t="shared" si="2175"/>
        <v>NIL</v>
      </c>
      <c r="R5311" t="str">
        <f t="shared" si="2170"/>
        <v>Accepted</v>
      </c>
      <c r="S5311" t="str">
        <f t="shared" si="2158"/>
        <v>Approved</v>
      </c>
      <c r="T5311" t="str">
        <f t="shared" si="2171"/>
        <v>10.20.8.188</v>
      </c>
      <c r="U5311" t="str">
        <f t="shared" si="2159"/>
        <v>AZRAD UMAR BIN SHAARI</v>
      </c>
      <c r="V5311" t="str">
        <f t="shared" si="2160"/>
        <v>FARHANA BINTI MUSTAPA</v>
      </c>
      <c r="W5311" t="str">
        <f t="shared" si="2161"/>
        <v>04-08-2020</v>
      </c>
      <c r="X5311" t="str">
        <f t="shared" si="2162"/>
        <v>RAZIMAH ANSAR AHMAD</v>
      </c>
      <c r="Y5311" t="str">
        <f t="shared" si="2163"/>
        <v>04-08-2020</v>
      </c>
      <c r="Z5311" t="str">
        <f>"COS10200804 3843"</f>
        <v>COS10200804 3843</v>
      </c>
    </row>
    <row r="5312" spans="1:26" x14ac:dyDescent="0.25">
      <c r="A5312" t="str">
        <f t="shared" si="2168"/>
        <v>04-08-2020 12:47:34</v>
      </c>
      <c r="B5312" t="str">
        <f>"0000805617"</f>
        <v>0000805617</v>
      </c>
      <c r="C5312" t="str">
        <f t="shared" si="2169"/>
        <v>0000805575</v>
      </c>
      <c r="D5312" t="str">
        <f t="shared" si="2153"/>
        <v>73185</v>
      </c>
      <c r="E5312" t="str">
        <f t="shared" si="2154"/>
        <v>KFH-OPERATIONS DEPARTMENT</v>
      </c>
      <c r="F5312" t="str">
        <f t="shared" si="2155"/>
        <v>IBG</v>
      </c>
      <c r="G5312" t="str">
        <f t="shared" si="2164"/>
        <v>Refund COSHARE 10</v>
      </c>
      <c r="H5312" s="2">
        <v>100.75</v>
      </c>
      <c r="I5312" t="str">
        <f>"ABDUL HALIM BIN RADZI"</f>
        <v>ABDUL HALIM BIN RADZI</v>
      </c>
      <c r="J5312" t="str">
        <f t="shared" si="2165"/>
        <v>MAYBANK / MAYBANK ISLAMIC</v>
      </c>
      <c r="K5312" t="str">
        <f>"166010063770"</f>
        <v>166010063770</v>
      </c>
      <c r="L5312" t="str">
        <f t="shared" si="2174"/>
        <v>04-08-2020</v>
      </c>
      <c r="M5312" t="str">
        <f t="shared" si="2174"/>
        <v>04-08-2020</v>
      </c>
      <c r="N5312" t="str">
        <f t="shared" si="2156"/>
        <v>001105018356</v>
      </c>
      <c r="O5312" t="str">
        <f t="shared" si="2157"/>
        <v>MYR</v>
      </c>
      <c r="P5312" t="str">
        <f t="shared" si="2175"/>
        <v>NIL</v>
      </c>
      <c r="Q5312" t="str">
        <f t="shared" si="2175"/>
        <v>NIL</v>
      </c>
      <c r="R5312" t="str">
        <f t="shared" si="2170"/>
        <v>Accepted</v>
      </c>
      <c r="S5312" t="str">
        <f t="shared" si="2158"/>
        <v>Approved</v>
      </c>
      <c r="T5312" t="str">
        <f t="shared" si="2171"/>
        <v>10.20.8.188</v>
      </c>
      <c r="U5312" t="str">
        <f t="shared" si="2159"/>
        <v>AZRAD UMAR BIN SHAARI</v>
      </c>
      <c r="V5312" t="str">
        <f t="shared" si="2160"/>
        <v>FARHANA BINTI MUSTAPA</v>
      </c>
      <c r="W5312" t="str">
        <f t="shared" si="2161"/>
        <v>04-08-2020</v>
      </c>
      <c r="X5312" t="str">
        <f t="shared" si="2162"/>
        <v>RAZIMAH ANSAR AHMAD</v>
      </c>
      <c r="Y5312" t="str">
        <f t="shared" si="2163"/>
        <v>04-08-2020</v>
      </c>
      <c r="Z5312" t="str">
        <f>"COS10200804 3842"</f>
        <v>COS10200804 3842</v>
      </c>
    </row>
    <row r="5313" spans="1:26" x14ac:dyDescent="0.25">
      <c r="A5313" t="str">
        <f t="shared" si="2168"/>
        <v>04-08-2020 12:47:34</v>
      </c>
      <c r="B5313" t="str">
        <f>"0000805616"</f>
        <v>0000805616</v>
      </c>
      <c r="C5313" t="str">
        <f t="shared" si="2169"/>
        <v>0000805575</v>
      </c>
      <c r="D5313" t="str">
        <f t="shared" si="2153"/>
        <v>73185</v>
      </c>
      <c r="E5313" t="str">
        <f t="shared" si="2154"/>
        <v>KFH-OPERATIONS DEPARTMENT</v>
      </c>
      <c r="F5313" t="str">
        <f t="shared" si="2155"/>
        <v>IBG</v>
      </c>
      <c r="G5313" t="str">
        <f t="shared" si="2164"/>
        <v>Refund COSHARE 10</v>
      </c>
      <c r="H5313" s="2">
        <v>125.95</v>
      </c>
      <c r="I5313" t="str">
        <f>"ABDUL HALIM BIN HAMBALI"</f>
        <v>ABDUL HALIM BIN HAMBALI</v>
      </c>
      <c r="J5313" t="str">
        <f t="shared" si="2165"/>
        <v>MAYBANK / MAYBANK ISLAMIC</v>
      </c>
      <c r="K5313" t="str">
        <f>"164212257629"</f>
        <v>164212257629</v>
      </c>
      <c r="L5313" t="str">
        <f t="shared" si="2174"/>
        <v>04-08-2020</v>
      </c>
      <c r="M5313" t="str">
        <f t="shared" si="2174"/>
        <v>04-08-2020</v>
      </c>
      <c r="N5313" t="str">
        <f t="shared" si="2156"/>
        <v>001105018356</v>
      </c>
      <c r="O5313" t="str">
        <f t="shared" si="2157"/>
        <v>MYR</v>
      </c>
      <c r="P5313" t="str">
        <f t="shared" si="2175"/>
        <v>NIL</v>
      </c>
      <c r="Q5313" t="str">
        <f t="shared" si="2175"/>
        <v>NIL</v>
      </c>
      <c r="R5313" t="str">
        <f t="shared" si="2170"/>
        <v>Accepted</v>
      </c>
      <c r="S5313" t="str">
        <f t="shared" si="2158"/>
        <v>Approved</v>
      </c>
      <c r="T5313" t="str">
        <f t="shared" si="2171"/>
        <v>10.20.8.188</v>
      </c>
      <c r="U5313" t="str">
        <f t="shared" si="2159"/>
        <v>AZRAD UMAR BIN SHAARI</v>
      </c>
      <c r="V5313" t="str">
        <f t="shared" si="2160"/>
        <v>FARHANA BINTI MUSTAPA</v>
      </c>
      <c r="W5313" t="str">
        <f t="shared" si="2161"/>
        <v>04-08-2020</v>
      </c>
      <c r="X5313" t="str">
        <f t="shared" si="2162"/>
        <v>RAZIMAH ANSAR AHMAD</v>
      </c>
      <c r="Y5313" t="str">
        <f t="shared" si="2163"/>
        <v>04-08-2020</v>
      </c>
      <c r="Z5313" t="str">
        <f>"COS10200804 3841"</f>
        <v>COS10200804 3841</v>
      </c>
    </row>
    <row r="5314" spans="1:26" x14ac:dyDescent="0.25">
      <c r="A5314" t="str">
        <f t="shared" ref="A5314:A5345" si="2176">"04-08-2020 12:47:34"</f>
        <v>04-08-2020 12:47:34</v>
      </c>
      <c r="B5314" t="str">
        <f>"0000805615"</f>
        <v>0000805615</v>
      </c>
      <c r="C5314" t="str">
        <f t="shared" ref="C5314:C5345" si="2177">"0000805575"</f>
        <v>0000805575</v>
      </c>
      <c r="D5314" t="str">
        <f t="shared" si="2153"/>
        <v>73185</v>
      </c>
      <c r="E5314" t="str">
        <f t="shared" si="2154"/>
        <v>KFH-OPERATIONS DEPARTMENT</v>
      </c>
      <c r="F5314" t="str">
        <f t="shared" si="2155"/>
        <v>IBG</v>
      </c>
      <c r="G5314" t="str">
        <f t="shared" si="2164"/>
        <v>Refund COSHARE 10</v>
      </c>
      <c r="H5314" s="2">
        <v>167.9</v>
      </c>
      <c r="I5314" t="str">
        <f>"ABDUL HAKIM BIN SUPIAN"</f>
        <v>ABDUL HAKIM BIN SUPIAN</v>
      </c>
      <c r="J5314" t="str">
        <f t="shared" si="2165"/>
        <v>MAYBANK / MAYBANK ISLAMIC</v>
      </c>
      <c r="K5314" t="str">
        <f>"161033165820"</f>
        <v>161033165820</v>
      </c>
      <c r="L5314" t="str">
        <f t="shared" si="2174"/>
        <v>04-08-2020</v>
      </c>
      <c r="M5314" t="str">
        <f t="shared" si="2174"/>
        <v>04-08-2020</v>
      </c>
      <c r="N5314" t="str">
        <f t="shared" si="2156"/>
        <v>001105018356</v>
      </c>
      <c r="O5314" t="str">
        <f t="shared" si="2157"/>
        <v>MYR</v>
      </c>
      <c r="P5314" t="str">
        <f t="shared" si="2175"/>
        <v>NIL</v>
      </c>
      <c r="Q5314" t="str">
        <f t="shared" si="2175"/>
        <v>NIL</v>
      </c>
      <c r="R5314" t="str">
        <f t="shared" si="2170"/>
        <v>Accepted</v>
      </c>
      <c r="S5314" t="str">
        <f t="shared" si="2158"/>
        <v>Approved</v>
      </c>
      <c r="T5314" t="str">
        <f t="shared" si="2171"/>
        <v>10.20.8.188</v>
      </c>
      <c r="U5314" t="str">
        <f t="shared" si="2159"/>
        <v>AZRAD UMAR BIN SHAARI</v>
      </c>
      <c r="V5314" t="str">
        <f t="shared" si="2160"/>
        <v>FARHANA BINTI MUSTAPA</v>
      </c>
      <c r="W5314" t="str">
        <f t="shared" si="2161"/>
        <v>04-08-2020</v>
      </c>
      <c r="X5314" t="str">
        <f t="shared" si="2162"/>
        <v>RAZIMAH ANSAR AHMAD</v>
      </c>
      <c r="Y5314" t="str">
        <f t="shared" si="2163"/>
        <v>04-08-2020</v>
      </c>
      <c r="Z5314" t="str">
        <f>"COS10200804 3840"</f>
        <v>COS10200804 3840</v>
      </c>
    </row>
    <row r="5315" spans="1:26" x14ac:dyDescent="0.25">
      <c r="A5315" t="str">
        <f t="shared" si="2176"/>
        <v>04-08-2020 12:47:34</v>
      </c>
      <c r="B5315" t="str">
        <f>"0000805614"</f>
        <v>0000805614</v>
      </c>
      <c r="C5315" t="str">
        <f t="shared" si="2177"/>
        <v>0000805575</v>
      </c>
      <c r="D5315" t="str">
        <f t="shared" si="2153"/>
        <v>73185</v>
      </c>
      <c r="E5315" t="str">
        <f t="shared" si="2154"/>
        <v>KFH-OPERATIONS DEPARTMENT</v>
      </c>
      <c r="F5315" t="str">
        <f t="shared" si="2155"/>
        <v>IBG</v>
      </c>
      <c r="G5315" t="str">
        <f t="shared" si="2164"/>
        <v>Refund COSHARE 10</v>
      </c>
      <c r="H5315" s="2">
        <v>722</v>
      </c>
      <c r="I5315" t="str">
        <f>"ABDUL HAKAM BIN KAMARUZAMAN"</f>
        <v>ABDUL HAKAM BIN KAMARUZAMAN</v>
      </c>
      <c r="J5315" t="str">
        <f t="shared" si="2165"/>
        <v>MAYBANK / MAYBANK ISLAMIC</v>
      </c>
      <c r="K5315" t="str">
        <f>"155126919179"</f>
        <v>155126919179</v>
      </c>
      <c r="L5315" t="str">
        <f t="shared" si="2174"/>
        <v>04-08-2020</v>
      </c>
      <c r="M5315" t="str">
        <f t="shared" si="2174"/>
        <v>04-08-2020</v>
      </c>
      <c r="N5315" t="str">
        <f t="shared" si="2156"/>
        <v>001105018356</v>
      </c>
      <c r="O5315" t="str">
        <f t="shared" si="2157"/>
        <v>MYR</v>
      </c>
      <c r="P5315" t="str">
        <f t="shared" si="2175"/>
        <v>NIL</v>
      </c>
      <c r="Q5315" t="str">
        <f t="shared" si="2175"/>
        <v>NIL</v>
      </c>
      <c r="R5315" t="str">
        <f t="shared" si="2170"/>
        <v>Accepted</v>
      </c>
      <c r="S5315" t="str">
        <f t="shared" si="2158"/>
        <v>Approved</v>
      </c>
      <c r="T5315" t="str">
        <f t="shared" si="2171"/>
        <v>10.20.8.188</v>
      </c>
      <c r="U5315" t="str">
        <f t="shared" si="2159"/>
        <v>AZRAD UMAR BIN SHAARI</v>
      </c>
      <c r="V5315" t="str">
        <f t="shared" si="2160"/>
        <v>FARHANA BINTI MUSTAPA</v>
      </c>
      <c r="W5315" t="str">
        <f t="shared" si="2161"/>
        <v>04-08-2020</v>
      </c>
      <c r="X5315" t="str">
        <f t="shared" si="2162"/>
        <v>RAZIMAH ANSAR AHMAD</v>
      </c>
      <c r="Y5315" t="str">
        <f t="shared" si="2163"/>
        <v>04-08-2020</v>
      </c>
      <c r="Z5315" t="str">
        <f>"COS10200804 3839"</f>
        <v>COS10200804 3839</v>
      </c>
    </row>
    <row r="5316" spans="1:26" x14ac:dyDescent="0.25">
      <c r="A5316" t="str">
        <f t="shared" si="2176"/>
        <v>04-08-2020 12:47:34</v>
      </c>
      <c r="B5316" t="str">
        <f>"0000805613"</f>
        <v>0000805613</v>
      </c>
      <c r="C5316" t="str">
        <f t="shared" si="2177"/>
        <v>0000805575</v>
      </c>
      <c r="D5316" t="str">
        <f t="shared" si="2153"/>
        <v>73185</v>
      </c>
      <c r="E5316" t="str">
        <f t="shared" si="2154"/>
        <v>KFH-OPERATIONS DEPARTMENT</v>
      </c>
      <c r="F5316" t="str">
        <f t="shared" si="2155"/>
        <v>IBG</v>
      </c>
      <c r="G5316" t="str">
        <f t="shared" si="2164"/>
        <v>Refund COSHARE 10</v>
      </c>
      <c r="H5316" s="2">
        <v>83.95</v>
      </c>
      <c r="I5316" t="str">
        <f>"ABDUL GHANI BIN MUSTAPHA"</f>
        <v>ABDUL GHANI BIN MUSTAPHA</v>
      </c>
      <c r="J5316" t="str">
        <f t="shared" si="2165"/>
        <v>MAYBANK / MAYBANK ISLAMIC</v>
      </c>
      <c r="K5316" t="str">
        <f>"163064024299"</f>
        <v>163064024299</v>
      </c>
      <c r="L5316" t="str">
        <f t="shared" si="2174"/>
        <v>04-08-2020</v>
      </c>
      <c r="M5316" t="str">
        <f t="shared" si="2174"/>
        <v>04-08-2020</v>
      </c>
      <c r="N5316" t="str">
        <f t="shared" si="2156"/>
        <v>001105018356</v>
      </c>
      <c r="O5316" t="str">
        <f t="shared" si="2157"/>
        <v>MYR</v>
      </c>
      <c r="P5316" t="str">
        <f t="shared" si="2175"/>
        <v>NIL</v>
      </c>
      <c r="Q5316" t="str">
        <f t="shared" si="2175"/>
        <v>NIL</v>
      </c>
      <c r="R5316" t="str">
        <f t="shared" si="2170"/>
        <v>Accepted</v>
      </c>
      <c r="S5316" t="str">
        <f t="shared" si="2158"/>
        <v>Approved</v>
      </c>
      <c r="T5316" t="str">
        <f t="shared" si="2171"/>
        <v>10.20.8.188</v>
      </c>
      <c r="U5316" t="str">
        <f t="shared" si="2159"/>
        <v>AZRAD UMAR BIN SHAARI</v>
      </c>
      <c r="V5316" t="str">
        <f t="shared" si="2160"/>
        <v>FARHANA BINTI MUSTAPA</v>
      </c>
      <c r="W5316" t="str">
        <f t="shared" si="2161"/>
        <v>04-08-2020</v>
      </c>
      <c r="X5316" t="str">
        <f t="shared" si="2162"/>
        <v>RAZIMAH ANSAR AHMAD</v>
      </c>
      <c r="Y5316" t="str">
        <f t="shared" si="2163"/>
        <v>04-08-2020</v>
      </c>
      <c r="Z5316" t="str">
        <f>"COS10200804 3838"</f>
        <v>COS10200804 3838</v>
      </c>
    </row>
    <row r="5317" spans="1:26" x14ac:dyDescent="0.25">
      <c r="A5317" t="str">
        <f t="shared" si="2176"/>
        <v>04-08-2020 12:47:34</v>
      </c>
      <c r="B5317" t="str">
        <f>"0000805612"</f>
        <v>0000805612</v>
      </c>
      <c r="C5317" t="str">
        <f t="shared" si="2177"/>
        <v>0000805575</v>
      </c>
      <c r="D5317" t="str">
        <f t="shared" si="2153"/>
        <v>73185</v>
      </c>
      <c r="E5317" t="str">
        <f t="shared" si="2154"/>
        <v>KFH-OPERATIONS DEPARTMENT</v>
      </c>
      <c r="F5317" t="str">
        <f t="shared" si="2155"/>
        <v>IBG</v>
      </c>
      <c r="G5317" t="str">
        <f t="shared" si="2164"/>
        <v>Refund COSHARE 10</v>
      </c>
      <c r="H5317" s="2">
        <v>767.45</v>
      </c>
      <c r="I5317" t="str">
        <f>"ABDUL GHANI BIN AHMAD"</f>
        <v>ABDUL GHANI BIN AHMAD</v>
      </c>
      <c r="J5317" t="str">
        <f t="shared" si="2165"/>
        <v>MAYBANK / MAYBANK ISLAMIC</v>
      </c>
      <c r="K5317" t="str">
        <f>"105028217065"</f>
        <v>105028217065</v>
      </c>
      <c r="L5317" t="str">
        <f t="shared" si="2174"/>
        <v>04-08-2020</v>
      </c>
      <c r="M5317" t="str">
        <f t="shared" si="2174"/>
        <v>04-08-2020</v>
      </c>
      <c r="N5317" t="str">
        <f t="shared" si="2156"/>
        <v>001105018356</v>
      </c>
      <c r="O5317" t="str">
        <f t="shared" si="2157"/>
        <v>MYR</v>
      </c>
      <c r="P5317" t="str">
        <f t="shared" si="2175"/>
        <v>NIL</v>
      </c>
      <c r="Q5317" t="str">
        <f t="shared" si="2175"/>
        <v>NIL</v>
      </c>
      <c r="R5317" t="str">
        <f t="shared" si="2170"/>
        <v>Accepted</v>
      </c>
      <c r="S5317" t="str">
        <f t="shared" si="2158"/>
        <v>Approved</v>
      </c>
      <c r="T5317" t="str">
        <f t="shared" si="2171"/>
        <v>10.20.8.188</v>
      </c>
      <c r="U5317" t="str">
        <f t="shared" si="2159"/>
        <v>AZRAD UMAR BIN SHAARI</v>
      </c>
      <c r="V5317" t="str">
        <f t="shared" si="2160"/>
        <v>FARHANA BINTI MUSTAPA</v>
      </c>
      <c r="W5317" t="str">
        <f t="shared" si="2161"/>
        <v>04-08-2020</v>
      </c>
      <c r="X5317" t="str">
        <f t="shared" si="2162"/>
        <v>RAZIMAH ANSAR AHMAD</v>
      </c>
      <c r="Y5317" t="str">
        <f t="shared" si="2163"/>
        <v>04-08-2020</v>
      </c>
      <c r="Z5317" t="str">
        <f>"COS10200804 3837"</f>
        <v>COS10200804 3837</v>
      </c>
    </row>
    <row r="5318" spans="1:26" x14ac:dyDescent="0.25">
      <c r="A5318" t="str">
        <f t="shared" si="2176"/>
        <v>04-08-2020 12:47:34</v>
      </c>
      <c r="B5318" t="str">
        <f>"0000805611"</f>
        <v>0000805611</v>
      </c>
      <c r="C5318" t="str">
        <f t="shared" si="2177"/>
        <v>0000805575</v>
      </c>
      <c r="D5318" t="str">
        <f t="shared" si="2153"/>
        <v>73185</v>
      </c>
      <c r="E5318" t="str">
        <f t="shared" si="2154"/>
        <v>KFH-OPERATIONS DEPARTMENT</v>
      </c>
      <c r="F5318" t="str">
        <f t="shared" si="2155"/>
        <v>IBG</v>
      </c>
      <c r="G5318" t="str">
        <f t="shared" si="2164"/>
        <v>Refund COSHARE 10</v>
      </c>
      <c r="H5318" s="2">
        <v>42</v>
      </c>
      <c r="I5318" t="str">
        <f>"ABDUL GHABIR ALBANA BIN ABU HASSAN"</f>
        <v>ABDUL GHABIR ALBANA BIN ABU HASSAN</v>
      </c>
      <c r="J5318" t="str">
        <f t="shared" si="2165"/>
        <v>MAYBANK / MAYBANK ISLAMIC</v>
      </c>
      <c r="K5318" t="str">
        <f>"164016938735"</f>
        <v>164016938735</v>
      </c>
      <c r="L5318" t="str">
        <f t="shared" si="2174"/>
        <v>04-08-2020</v>
      </c>
      <c r="M5318" t="str">
        <f t="shared" si="2174"/>
        <v>04-08-2020</v>
      </c>
      <c r="N5318" t="str">
        <f t="shared" si="2156"/>
        <v>001105018356</v>
      </c>
      <c r="O5318" t="str">
        <f t="shared" si="2157"/>
        <v>MYR</v>
      </c>
      <c r="P5318" t="str">
        <f t="shared" si="2175"/>
        <v>NIL</v>
      </c>
      <c r="Q5318" t="str">
        <f t="shared" si="2175"/>
        <v>NIL</v>
      </c>
      <c r="R5318" t="str">
        <f t="shared" si="2170"/>
        <v>Accepted</v>
      </c>
      <c r="S5318" t="str">
        <f t="shared" si="2158"/>
        <v>Approved</v>
      </c>
      <c r="T5318" t="str">
        <f t="shared" si="2171"/>
        <v>10.20.8.188</v>
      </c>
      <c r="U5318" t="str">
        <f t="shared" si="2159"/>
        <v>AZRAD UMAR BIN SHAARI</v>
      </c>
      <c r="V5318" t="str">
        <f t="shared" si="2160"/>
        <v>FARHANA BINTI MUSTAPA</v>
      </c>
      <c r="W5318" t="str">
        <f t="shared" si="2161"/>
        <v>04-08-2020</v>
      </c>
      <c r="X5318" t="str">
        <f t="shared" si="2162"/>
        <v>RAZIMAH ANSAR AHMAD</v>
      </c>
      <c r="Y5318" t="str">
        <f t="shared" si="2163"/>
        <v>04-08-2020</v>
      </c>
      <c r="Z5318" t="str">
        <f>"COS10200804 3836"</f>
        <v>COS10200804 3836</v>
      </c>
    </row>
    <row r="5319" spans="1:26" x14ac:dyDescent="0.25">
      <c r="A5319" t="str">
        <f t="shared" si="2176"/>
        <v>04-08-2020 12:47:34</v>
      </c>
      <c r="B5319" t="str">
        <f>"0000805610"</f>
        <v>0000805610</v>
      </c>
      <c r="C5319" t="str">
        <f t="shared" si="2177"/>
        <v>0000805575</v>
      </c>
      <c r="D5319" t="str">
        <f t="shared" ref="D5319:D5382" si="2178">"73185"</f>
        <v>73185</v>
      </c>
      <c r="E5319" t="str">
        <f t="shared" ref="E5319:E5382" si="2179">"KFH-OPERATIONS DEPARTMENT"</f>
        <v>KFH-OPERATIONS DEPARTMENT</v>
      </c>
      <c r="F5319" t="str">
        <f t="shared" ref="F5319:F5382" si="2180">"IBG"</f>
        <v>IBG</v>
      </c>
      <c r="G5319" t="str">
        <f t="shared" si="2164"/>
        <v>Refund COSHARE 10</v>
      </c>
      <c r="H5319" s="2">
        <v>1034.4000000000001</v>
      </c>
      <c r="I5319" t="str">
        <f>"ABDUL AZRAF BIN AB MANAF"</f>
        <v>ABDUL AZRAF BIN AB MANAF</v>
      </c>
      <c r="J5319" t="str">
        <f t="shared" si="2165"/>
        <v>MAYBANK / MAYBANK ISLAMIC</v>
      </c>
      <c r="K5319" t="str">
        <f>"105037411240"</f>
        <v>105037411240</v>
      </c>
      <c r="L5319" t="str">
        <f t="shared" si="2174"/>
        <v>04-08-2020</v>
      </c>
      <c r="M5319" t="str">
        <f t="shared" si="2174"/>
        <v>04-08-2020</v>
      </c>
      <c r="N5319" t="str">
        <f t="shared" ref="N5319:N5382" si="2181">"001105018356"</f>
        <v>001105018356</v>
      </c>
      <c r="O5319" t="str">
        <f t="shared" ref="O5319:O5382" si="2182">"MYR"</f>
        <v>MYR</v>
      </c>
      <c r="P5319" t="str">
        <f t="shared" si="2175"/>
        <v>NIL</v>
      </c>
      <c r="Q5319" t="str">
        <f t="shared" si="2175"/>
        <v>NIL</v>
      </c>
      <c r="R5319" t="str">
        <f t="shared" si="2170"/>
        <v>Accepted</v>
      </c>
      <c r="S5319" t="str">
        <f t="shared" ref="S5319:S5382" si="2183">"Approved"</f>
        <v>Approved</v>
      </c>
      <c r="T5319" t="str">
        <f t="shared" si="2171"/>
        <v>10.20.8.188</v>
      </c>
      <c r="U5319" t="str">
        <f t="shared" ref="U5319:U5382" si="2184">"AZRAD UMAR BIN SHAARI"</f>
        <v>AZRAD UMAR BIN SHAARI</v>
      </c>
      <c r="V5319" t="str">
        <f t="shared" ref="V5319:V5382" si="2185">"FARHANA BINTI MUSTAPA"</f>
        <v>FARHANA BINTI MUSTAPA</v>
      </c>
      <c r="W5319" t="str">
        <f t="shared" ref="W5319:W5382" si="2186">"04-08-2020"</f>
        <v>04-08-2020</v>
      </c>
      <c r="X5319" t="str">
        <f t="shared" ref="X5319:X5382" si="2187">"RAZIMAH ANSAR AHMAD"</f>
        <v>RAZIMAH ANSAR AHMAD</v>
      </c>
      <c r="Y5319" t="str">
        <f t="shared" ref="Y5319:Y5382" si="2188">"04-08-2020"</f>
        <v>04-08-2020</v>
      </c>
      <c r="Z5319" t="str">
        <f>"COS10200804 3835"</f>
        <v>COS10200804 3835</v>
      </c>
    </row>
    <row r="5320" spans="1:26" x14ac:dyDescent="0.25">
      <c r="A5320" t="str">
        <f t="shared" si="2176"/>
        <v>04-08-2020 12:47:34</v>
      </c>
      <c r="B5320" t="str">
        <f>"0000805609"</f>
        <v>0000805609</v>
      </c>
      <c r="C5320" t="str">
        <f t="shared" si="2177"/>
        <v>0000805575</v>
      </c>
      <c r="D5320" t="str">
        <f t="shared" si="2178"/>
        <v>73185</v>
      </c>
      <c r="E5320" t="str">
        <f t="shared" si="2179"/>
        <v>KFH-OPERATIONS DEPARTMENT</v>
      </c>
      <c r="F5320" t="str">
        <f t="shared" si="2180"/>
        <v>IBG</v>
      </c>
      <c r="G5320" t="str">
        <f t="shared" si="2164"/>
        <v>Refund COSHARE 10</v>
      </c>
      <c r="H5320" s="2">
        <v>64.25</v>
      </c>
      <c r="I5320" t="str">
        <f>"ABDUL AZIZ BIN ISMAIL"</f>
        <v>ABDUL AZIZ BIN ISMAIL</v>
      </c>
      <c r="J5320" t="str">
        <f t="shared" si="2165"/>
        <v>MAYBANK / MAYBANK ISLAMIC</v>
      </c>
      <c r="K5320" t="str">
        <f>"101057326141"</f>
        <v>101057326141</v>
      </c>
      <c r="L5320" t="str">
        <f t="shared" si="2174"/>
        <v>04-08-2020</v>
      </c>
      <c r="M5320" t="str">
        <f t="shared" si="2174"/>
        <v>04-08-2020</v>
      </c>
      <c r="N5320" t="str">
        <f t="shared" si="2181"/>
        <v>001105018356</v>
      </c>
      <c r="O5320" t="str">
        <f t="shared" si="2182"/>
        <v>MYR</v>
      </c>
      <c r="P5320" t="str">
        <f t="shared" si="2175"/>
        <v>NIL</v>
      </c>
      <c r="Q5320" t="str">
        <f t="shared" si="2175"/>
        <v>NIL</v>
      </c>
      <c r="R5320" t="str">
        <f t="shared" si="2170"/>
        <v>Accepted</v>
      </c>
      <c r="S5320" t="str">
        <f t="shared" si="2183"/>
        <v>Approved</v>
      </c>
      <c r="T5320" t="str">
        <f t="shared" si="2171"/>
        <v>10.20.8.188</v>
      </c>
      <c r="U5320" t="str">
        <f t="shared" si="2184"/>
        <v>AZRAD UMAR BIN SHAARI</v>
      </c>
      <c r="V5320" t="str">
        <f t="shared" si="2185"/>
        <v>FARHANA BINTI MUSTAPA</v>
      </c>
      <c r="W5320" t="str">
        <f t="shared" si="2186"/>
        <v>04-08-2020</v>
      </c>
      <c r="X5320" t="str">
        <f t="shared" si="2187"/>
        <v>RAZIMAH ANSAR AHMAD</v>
      </c>
      <c r="Y5320" t="str">
        <f t="shared" si="2188"/>
        <v>04-08-2020</v>
      </c>
      <c r="Z5320" t="str">
        <f>"COS10200804 3834"</f>
        <v>COS10200804 3834</v>
      </c>
    </row>
    <row r="5321" spans="1:26" x14ac:dyDescent="0.25">
      <c r="A5321" t="str">
        <f t="shared" si="2176"/>
        <v>04-08-2020 12:47:34</v>
      </c>
      <c r="B5321" t="str">
        <f>"0000805608"</f>
        <v>0000805608</v>
      </c>
      <c r="C5321" t="str">
        <f t="shared" si="2177"/>
        <v>0000805575</v>
      </c>
      <c r="D5321" t="str">
        <f t="shared" si="2178"/>
        <v>73185</v>
      </c>
      <c r="E5321" t="str">
        <f t="shared" si="2179"/>
        <v>KFH-OPERATIONS DEPARTMENT</v>
      </c>
      <c r="F5321" t="str">
        <f t="shared" si="2180"/>
        <v>IBG</v>
      </c>
      <c r="G5321" t="str">
        <f t="shared" si="2164"/>
        <v>Refund COSHARE 10</v>
      </c>
      <c r="H5321" s="2">
        <v>134.35</v>
      </c>
      <c r="I5321" t="str">
        <f>"ABDUL ASRAH BIN AMIR BANGSAH"</f>
        <v>ABDUL ASRAH BIN AMIR BANGSAH</v>
      </c>
      <c r="J5321" t="str">
        <f t="shared" si="2165"/>
        <v>MAYBANK / MAYBANK ISLAMIC</v>
      </c>
      <c r="K5321" t="str">
        <f>"160063270111"</f>
        <v>160063270111</v>
      </c>
      <c r="L5321" t="str">
        <f t="shared" si="2174"/>
        <v>04-08-2020</v>
      </c>
      <c r="M5321" t="str">
        <f t="shared" si="2174"/>
        <v>04-08-2020</v>
      </c>
      <c r="N5321" t="str">
        <f t="shared" si="2181"/>
        <v>001105018356</v>
      </c>
      <c r="O5321" t="str">
        <f t="shared" si="2182"/>
        <v>MYR</v>
      </c>
      <c r="P5321" t="str">
        <f t="shared" si="2175"/>
        <v>NIL</v>
      </c>
      <c r="Q5321" t="str">
        <f t="shared" si="2175"/>
        <v>NIL</v>
      </c>
      <c r="R5321" t="str">
        <f t="shared" si="2170"/>
        <v>Accepted</v>
      </c>
      <c r="S5321" t="str">
        <f t="shared" si="2183"/>
        <v>Approved</v>
      </c>
      <c r="T5321" t="str">
        <f t="shared" si="2171"/>
        <v>10.20.8.188</v>
      </c>
      <c r="U5321" t="str">
        <f t="shared" si="2184"/>
        <v>AZRAD UMAR BIN SHAARI</v>
      </c>
      <c r="V5321" t="str">
        <f t="shared" si="2185"/>
        <v>FARHANA BINTI MUSTAPA</v>
      </c>
      <c r="W5321" t="str">
        <f t="shared" si="2186"/>
        <v>04-08-2020</v>
      </c>
      <c r="X5321" t="str">
        <f t="shared" si="2187"/>
        <v>RAZIMAH ANSAR AHMAD</v>
      </c>
      <c r="Y5321" t="str">
        <f t="shared" si="2188"/>
        <v>04-08-2020</v>
      </c>
      <c r="Z5321" t="str">
        <f>"COS10200804 3833"</f>
        <v>COS10200804 3833</v>
      </c>
    </row>
    <row r="5322" spans="1:26" x14ac:dyDescent="0.25">
      <c r="A5322" t="str">
        <f t="shared" si="2176"/>
        <v>04-08-2020 12:47:34</v>
      </c>
      <c r="B5322" t="str">
        <f>"0000805607"</f>
        <v>0000805607</v>
      </c>
      <c r="C5322" t="str">
        <f t="shared" si="2177"/>
        <v>0000805575</v>
      </c>
      <c r="D5322" t="str">
        <f t="shared" si="2178"/>
        <v>73185</v>
      </c>
      <c r="E5322" t="str">
        <f t="shared" si="2179"/>
        <v>KFH-OPERATIONS DEPARTMENT</v>
      </c>
      <c r="F5322" t="str">
        <f t="shared" si="2180"/>
        <v>IBG</v>
      </c>
      <c r="G5322" t="str">
        <f t="shared" si="2164"/>
        <v>Refund COSHARE 10</v>
      </c>
      <c r="H5322" s="2">
        <v>49</v>
      </c>
      <c r="I5322" t="str">
        <f>"ABDUL AMNIR BIN ABDUL RAZAK"</f>
        <v>ABDUL AMNIR BIN ABDUL RAZAK</v>
      </c>
      <c r="J5322" t="str">
        <f t="shared" si="2165"/>
        <v>MAYBANK / MAYBANK ISLAMIC</v>
      </c>
      <c r="K5322" t="str">
        <f>"102072244500"</f>
        <v>102072244500</v>
      </c>
      <c r="L5322" t="str">
        <f t="shared" si="2174"/>
        <v>04-08-2020</v>
      </c>
      <c r="M5322" t="str">
        <f t="shared" si="2174"/>
        <v>04-08-2020</v>
      </c>
      <c r="N5322" t="str">
        <f t="shared" si="2181"/>
        <v>001105018356</v>
      </c>
      <c r="O5322" t="str">
        <f t="shared" si="2182"/>
        <v>MYR</v>
      </c>
      <c r="P5322" t="str">
        <f t="shared" si="2175"/>
        <v>NIL</v>
      </c>
      <c r="Q5322" t="str">
        <f t="shared" si="2175"/>
        <v>NIL</v>
      </c>
      <c r="R5322" t="str">
        <f t="shared" si="2170"/>
        <v>Accepted</v>
      </c>
      <c r="S5322" t="str">
        <f t="shared" si="2183"/>
        <v>Approved</v>
      </c>
      <c r="T5322" t="str">
        <f t="shared" si="2171"/>
        <v>10.20.8.188</v>
      </c>
      <c r="U5322" t="str">
        <f t="shared" si="2184"/>
        <v>AZRAD UMAR BIN SHAARI</v>
      </c>
      <c r="V5322" t="str">
        <f t="shared" si="2185"/>
        <v>FARHANA BINTI MUSTAPA</v>
      </c>
      <c r="W5322" t="str">
        <f t="shared" si="2186"/>
        <v>04-08-2020</v>
      </c>
      <c r="X5322" t="str">
        <f t="shared" si="2187"/>
        <v>RAZIMAH ANSAR AHMAD</v>
      </c>
      <c r="Y5322" t="str">
        <f t="shared" si="2188"/>
        <v>04-08-2020</v>
      </c>
      <c r="Z5322" t="str">
        <f>"COS10200804 3832"</f>
        <v>COS10200804 3832</v>
      </c>
    </row>
    <row r="5323" spans="1:26" x14ac:dyDescent="0.25">
      <c r="A5323" t="str">
        <f t="shared" si="2176"/>
        <v>04-08-2020 12:47:34</v>
      </c>
      <c r="B5323" t="str">
        <f>"0000805606"</f>
        <v>0000805606</v>
      </c>
      <c r="C5323" t="str">
        <f t="shared" si="2177"/>
        <v>0000805575</v>
      </c>
      <c r="D5323" t="str">
        <f t="shared" si="2178"/>
        <v>73185</v>
      </c>
      <c r="E5323" t="str">
        <f t="shared" si="2179"/>
        <v>KFH-OPERATIONS DEPARTMENT</v>
      </c>
      <c r="F5323" t="str">
        <f t="shared" si="2180"/>
        <v>IBG</v>
      </c>
      <c r="G5323" t="str">
        <f t="shared" si="2164"/>
        <v>Refund COSHARE 10</v>
      </c>
      <c r="H5323" s="2">
        <v>864.7</v>
      </c>
      <c r="I5323" t="str">
        <f>"ABD RAZZIF BIN ABD RAZAK"</f>
        <v>ABD RAZZIF BIN ABD RAZAK</v>
      </c>
      <c r="J5323" t="str">
        <f t="shared" si="2165"/>
        <v>MAYBANK / MAYBANK ISLAMIC</v>
      </c>
      <c r="K5323" t="str">
        <f>"158314092288"</f>
        <v>158314092288</v>
      </c>
      <c r="L5323" t="str">
        <f t="shared" si="2174"/>
        <v>04-08-2020</v>
      </c>
      <c r="M5323" t="str">
        <f t="shared" si="2174"/>
        <v>04-08-2020</v>
      </c>
      <c r="N5323" t="str">
        <f t="shared" si="2181"/>
        <v>001105018356</v>
      </c>
      <c r="O5323" t="str">
        <f t="shared" si="2182"/>
        <v>MYR</v>
      </c>
      <c r="P5323" t="str">
        <f t="shared" si="2175"/>
        <v>NIL</v>
      </c>
      <c r="Q5323" t="str">
        <f t="shared" si="2175"/>
        <v>NIL</v>
      </c>
      <c r="R5323" t="str">
        <f t="shared" si="2170"/>
        <v>Accepted</v>
      </c>
      <c r="S5323" t="str">
        <f t="shared" si="2183"/>
        <v>Approved</v>
      </c>
      <c r="T5323" t="str">
        <f t="shared" si="2171"/>
        <v>10.20.8.188</v>
      </c>
      <c r="U5323" t="str">
        <f t="shared" si="2184"/>
        <v>AZRAD UMAR BIN SHAARI</v>
      </c>
      <c r="V5323" t="str">
        <f t="shared" si="2185"/>
        <v>FARHANA BINTI MUSTAPA</v>
      </c>
      <c r="W5323" t="str">
        <f t="shared" si="2186"/>
        <v>04-08-2020</v>
      </c>
      <c r="X5323" t="str">
        <f t="shared" si="2187"/>
        <v>RAZIMAH ANSAR AHMAD</v>
      </c>
      <c r="Y5323" t="str">
        <f t="shared" si="2188"/>
        <v>04-08-2020</v>
      </c>
      <c r="Z5323" t="str">
        <f>"COS10200804 3831"</f>
        <v>COS10200804 3831</v>
      </c>
    </row>
    <row r="5324" spans="1:26" x14ac:dyDescent="0.25">
      <c r="A5324" t="str">
        <f t="shared" si="2176"/>
        <v>04-08-2020 12:47:34</v>
      </c>
      <c r="B5324" t="str">
        <f>"0000805605"</f>
        <v>0000805605</v>
      </c>
      <c r="C5324" t="str">
        <f t="shared" si="2177"/>
        <v>0000805575</v>
      </c>
      <c r="D5324" t="str">
        <f t="shared" si="2178"/>
        <v>73185</v>
      </c>
      <c r="E5324" t="str">
        <f t="shared" si="2179"/>
        <v>KFH-OPERATIONS DEPARTMENT</v>
      </c>
      <c r="F5324" t="str">
        <f t="shared" si="2180"/>
        <v>IBG</v>
      </c>
      <c r="G5324" t="str">
        <f t="shared" ref="G5324:G5387" si="2189">"Refund COSHARE 10"</f>
        <v>Refund COSHARE 10</v>
      </c>
      <c r="H5324" s="2">
        <v>133.05000000000001</v>
      </c>
      <c r="I5324" t="str">
        <f>"ABD RAZAK BIN SULAIMAN"</f>
        <v>ABD RAZAK BIN SULAIMAN</v>
      </c>
      <c r="J5324" t="str">
        <f t="shared" si="2165"/>
        <v>MAYBANK / MAYBANK ISLAMIC</v>
      </c>
      <c r="K5324" t="str">
        <f>"162218410218"</f>
        <v>162218410218</v>
      </c>
      <c r="L5324" t="str">
        <f t="shared" si="2174"/>
        <v>04-08-2020</v>
      </c>
      <c r="M5324" t="str">
        <f t="shared" si="2174"/>
        <v>04-08-2020</v>
      </c>
      <c r="N5324" t="str">
        <f t="shared" si="2181"/>
        <v>001105018356</v>
      </c>
      <c r="O5324" t="str">
        <f t="shared" si="2182"/>
        <v>MYR</v>
      </c>
      <c r="P5324" t="str">
        <f t="shared" si="2175"/>
        <v>NIL</v>
      </c>
      <c r="Q5324" t="str">
        <f t="shared" si="2175"/>
        <v>NIL</v>
      </c>
      <c r="R5324" t="str">
        <f t="shared" si="2170"/>
        <v>Accepted</v>
      </c>
      <c r="S5324" t="str">
        <f t="shared" si="2183"/>
        <v>Approved</v>
      </c>
      <c r="T5324" t="str">
        <f t="shared" si="2171"/>
        <v>10.20.8.188</v>
      </c>
      <c r="U5324" t="str">
        <f t="shared" si="2184"/>
        <v>AZRAD UMAR BIN SHAARI</v>
      </c>
      <c r="V5324" t="str">
        <f t="shared" si="2185"/>
        <v>FARHANA BINTI MUSTAPA</v>
      </c>
      <c r="W5324" t="str">
        <f t="shared" si="2186"/>
        <v>04-08-2020</v>
      </c>
      <c r="X5324" t="str">
        <f t="shared" si="2187"/>
        <v>RAZIMAH ANSAR AHMAD</v>
      </c>
      <c r="Y5324" t="str">
        <f t="shared" si="2188"/>
        <v>04-08-2020</v>
      </c>
      <c r="Z5324" t="str">
        <f>"COS10200804 3830"</f>
        <v>COS10200804 3830</v>
      </c>
    </row>
    <row r="5325" spans="1:26" x14ac:dyDescent="0.25">
      <c r="A5325" t="str">
        <f t="shared" si="2176"/>
        <v>04-08-2020 12:47:34</v>
      </c>
      <c r="B5325" t="str">
        <f>"0000805604"</f>
        <v>0000805604</v>
      </c>
      <c r="C5325" t="str">
        <f t="shared" si="2177"/>
        <v>0000805575</v>
      </c>
      <c r="D5325" t="str">
        <f t="shared" si="2178"/>
        <v>73185</v>
      </c>
      <c r="E5325" t="str">
        <f t="shared" si="2179"/>
        <v>KFH-OPERATIONS DEPARTMENT</v>
      </c>
      <c r="F5325" t="str">
        <f t="shared" si="2180"/>
        <v>IBG</v>
      </c>
      <c r="G5325" t="str">
        <f t="shared" si="2189"/>
        <v>Refund COSHARE 10</v>
      </c>
      <c r="H5325" s="2">
        <v>1463.7</v>
      </c>
      <c r="I5325" t="str">
        <f>"ABD RAHMAN BIN MOHD TAHA"</f>
        <v>ABD RAHMAN BIN MOHD TAHA</v>
      </c>
      <c r="J5325" t="str">
        <f t="shared" si="2165"/>
        <v>MAYBANK / MAYBANK ISLAMIC</v>
      </c>
      <c r="K5325" t="str">
        <f>"162076520713"</f>
        <v>162076520713</v>
      </c>
      <c r="L5325" t="str">
        <f t="shared" si="2174"/>
        <v>04-08-2020</v>
      </c>
      <c r="M5325" t="str">
        <f t="shared" si="2174"/>
        <v>04-08-2020</v>
      </c>
      <c r="N5325" t="str">
        <f t="shared" si="2181"/>
        <v>001105018356</v>
      </c>
      <c r="O5325" t="str">
        <f t="shared" si="2182"/>
        <v>MYR</v>
      </c>
      <c r="P5325" t="str">
        <f t="shared" si="2175"/>
        <v>NIL</v>
      </c>
      <c r="Q5325" t="str">
        <f t="shared" si="2175"/>
        <v>NIL</v>
      </c>
      <c r="R5325" t="str">
        <f t="shared" si="2170"/>
        <v>Accepted</v>
      </c>
      <c r="S5325" t="str">
        <f t="shared" si="2183"/>
        <v>Approved</v>
      </c>
      <c r="T5325" t="str">
        <f t="shared" si="2171"/>
        <v>10.20.8.188</v>
      </c>
      <c r="U5325" t="str">
        <f t="shared" si="2184"/>
        <v>AZRAD UMAR BIN SHAARI</v>
      </c>
      <c r="V5325" t="str">
        <f t="shared" si="2185"/>
        <v>FARHANA BINTI MUSTAPA</v>
      </c>
      <c r="W5325" t="str">
        <f t="shared" si="2186"/>
        <v>04-08-2020</v>
      </c>
      <c r="X5325" t="str">
        <f t="shared" si="2187"/>
        <v>RAZIMAH ANSAR AHMAD</v>
      </c>
      <c r="Y5325" t="str">
        <f t="shared" si="2188"/>
        <v>04-08-2020</v>
      </c>
      <c r="Z5325" t="str">
        <f>"COS10200804 3829"</f>
        <v>COS10200804 3829</v>
      </c>
    </row>
    <row r="5326" spans="1:26" x14ac:dyDescent="0.25">
      <c r="A5326" t="str">
        <f t="shared" si="2176"/>
        <v>04-08-2020 12:47:34</v>
      </c>
      <c r="B5326" t="str">
        <f>"0000805603"</f>
        <v>0000805603</v>
      </c>
      <c r="C5326" t="str">
        <f t="shared" si="2177"/>
        <v>0000805575</v>
      </c>
      <c r="D5326" t="str">
        <f t="shared" si="2178"/>
        <v>73185</v>
      </c>
      <c r="E5326" t="str">
        <f t="shared" si="2179"/>
        <v>KFH-OPERATIONS DEPARTMENT</v>
      </c>
      <c r="F5326" t="str">
        <f t="shared" si="2180"/>
        <v>IBG</v>
      </c>
      <c r="G5326" t="str">
        <f t="shared" si="2189"/>
        <v>Refund COSHARE 10</v>
      </c>
      <c r="H5326" s="2">
        <v>402.75</v>
      </c>
      <c r="I5326" t="str">
        <f>"ABD HADI BIN MAT JUNOH"</f>
        <v>ABD HADI BIN MAT JUNOH</v>
      </c>
      <c r="J5326" t="str">
        <f t="shared" si="2165"/>
        <v>MAYBANK / MAYBANK ISLAMIC</v>
      </c>
      <c r="K5326" t="str">
        <f>"153010213297"</f>
        <v>153010213297</v>
      </c>
      <c r="L5326" t="str">
        <f t="shared" si="2174"/>
        <v>04-08-2020</v>
      </c>
      <c r="M5326" t="str">
        <f t="shared" si="2174"/>
        <v>04-08-2020</v>
      </c>
      <c r="N5326" t="str">
        <f t="shared" si="2181"/>
        <v>001105018356</v>
      </c>
      <c r="O5326" t="str">
        <f t="shared" si="2182"/>
        <v>MYR</v>
      </c>
      <c r="P5326" t="str">
        <f t="shared" si="2175"/>
        <v>NIL</v>
      </c>
      <c r="Q5326" t="str">
        <f t="shared" si="2175"/>
        <v>NIL</v>
      </c>
      <c r="R5326" t="str">
        <f t="shared" si="2170"/>
        <v>Accepted</v>
      </c>
      <c r="S5326" t="str">
        <f t="shared" si="2183"/>
        <v>Approved</v>
      </c>
      <c r="T5326" t="str">
        <f t="shared" si="2171"/>
        <v>10.20.8.188</v>
      </c>
      <c r="U5326" t="str">
        <f t="shared" si="2184"/>
        <v>AZRAD UMAR BIN SHAARI</v>
      </c>
      <c r="V5326" t="str">
        <f t="shared" si="2185"/>
        <v>FARHANA BINTI MUSTAPA</v>
      </c>
      <c r="W5326" t="str">
        <f t="shared" si="2186"/>
        <v>04-08-2020</v>
      </c>
      <c r="X5326" t="str">
        <f t="shared" si="2187"/>
        <v>RAZIMAH ANSAR AHMAD</v>
      </c>
      <c r="Y5326" t="str">
        <f t="shared" si="2188"/>
        <v>04-08-2020</v>
      </c>
      <c r="Z5326" t="str">
        <f>"COS10200804 3828"</f>
        <v>COS10200804 3828</v>
      </c>
    </row>
    <row r="5327" spans="1:26" x14ac:dyDescent="0.25">
      <c r="A5327" t="str">
        <f t="shared" si="2176"/>
        <v>04-08-2020 12:47:34</v>
      </c>
      <c r="B5327" t="str">
        <f>"0000805602"</f>
        <v>0000805602</v>
      </c>
      <c r="C5327" t="str">
        <f t="shared" si="2177"/>
        <v>0000805575</v>
      </c>
      <c r="D5327" t="str">
        <f t="shared" si="2178"/>
        <v>73185</v>
      </c>
      <c r="E5327" t="str">
        <f t="shared" si="2179"/>
        <v>KFH-OPERATIONS DEPARTMENT</v>
      </c>
      <c r="F5327" t="str">
        <f t="shared" si="2180"/>
        <v>IBG</v>
      </c>
      <c r="G5327" t="str">
        <f t="shared" si="2189"/>
        <v>Refund COSHARE 10</v>
      </c>
      <c r="H5327" s="2">
        <v>419.75</v>
      </c>
      <c r="I5327" t="str">
        <f>"ABD AZIZ BIN DAUD"</f>
        <v>ABD AZIZ BIN DAUD</v>
      </c>
      <c r="J5327" t="str">
        <f t="shared" si="2165"/>
        <v>MAYBANK / MAYBANK ISLAMIC</v>
      </c>
      <c r="K5327" t="str">
        <f>"158417059129"</f>
        <v>158417059129</v>
      </c>
      <c r="L5327" t="str">
        <f t="shared" ref="L5327:M5346" si="2190">"04-08-2020"</f>
        <v>04-08-2020</v>
      </c>
      <c r="M5327" t="str">
        <f t="shared" si="2190"/>
        <v>04-08-2020</v>
      </c>
      <c r="N5327" t="str">
        <f t="shared" si="2181"/>
        <v>001105018356</v>
      </c>
      <c r="O5327" t="str">
        <f t="shared" si="2182"/>
        <v>MYR</v>
      </c>
      <c r="P5327" t="str">
        <f t="shared" ref="P5327:Q5346" si="2191">"NIL"</f>
        <v>NIL</v>
      </c>
      <c r="Q5327" t="str">
        <f t="shared" si="2191"/>
        <v>NIL</v>
      </c>
      <c r="R5327" t="str">
        <f t="shared" si="2170"/>
        <v>Accepted</v>
      </c>
      <c r="S5327" t="str">
        <f t="shared" si="2183"/>
        <v>Approved</v>
      </c>
      <c r="T5327" t="str">
        <f t="shared" si="2171"/>
        <v>10.20.8.188</v>
      </c>
      <c r="U5327" t="str">
        <f t="shared" si="2184"/>
        <v>AZRAD UMAR BIN SHAARI</v>
      </c>
      <c r="V5327" t="str">
        <f t="shared" si="2185"/>
        <v>FARHANA BINTI MUSTAPA</v>
      </c>
      <c r="W5327" t="str">
        <f t="shared" si="2186"/>
        <v>04-08-2020</v>
      </c>
      <c r="X5327" t="str">
        <f t="shared" si="2187"/>
        <v>RAZIMAH ANSAR AHMAD</v>
      </c>
      <c r="Y5327" t="str">
        <f t="shared" si="2188"/>
        <v>04-08-2020</v>
      </c>
      <c r="Z5327" t="str">
        <f>"COS10200804 3827"</f>
        <v>COS10200804 3827</v>
      </c>
    </row>
    <row r="5328" spans="1:26" x14ac:dyDescent="0.25">
      <c r="A5328" t="str">
        <f t="shared" si="2176"/>
        <v>04-08-2020 12:47:34</v>
      </c>
      <c r="B5328" t="str">
        <f>"0000805601"</f>
        <v>0000805601</v>
      </c>
      <c r="C5328" t="str">
        <f t="shared" si="2177"/>
        <v>0000805575</v>
      </c>
      <c r="D5328" t="str">
        <f t="shared" si="2178"/>
        <v>73185</v>
      </c>
      <c r="E5328" t="str">
        <f t="shared" si="2179"/>
        <v>KFH-OPERATIONS DEPARTMENT</v>
      </c>
      <c r="F5328" t="str">
        <f t="shared" si="2180"/>
        <v>IBG</v>
      </c>
      <c r="G5328" t="str">
        <f t="shared" si="2189"/>
        <v>Refund COSHARE 10</v>
      </c>
      <c r="H5328" s="2">
        <v>122</v>
      </c>
      <c r="I5328" t="str">
        <f>"ABD ADI ASWAD BIN ABD ALI"</f>
        <v>ABD ADI ASWAD BIN ABD ALI</v>
      </c>
      <c r="J5328" t="str">
        <f t="shared" si="2165"/>
        <v>MAYBANK / MAYBANK ISLAMIC</v>
      </c>
      <c r="K5328" t="str">
        <f>"112018159819"</f>
        <v>112018159819</v>
      </c>
      <c r="L5328" t="str">
        <f t="shared" si="2190"/>
        <v>04-08-2020</v>
      </c>
      <c r="M5328" t="str">
        <f t="shared" si="2190"/>
        <v>04-08-2020</v>
      </c>
      <c r="N5328" t="str">
        <f t="shared" si="2181"/>
        <v>001105018356</v>
      </c>
      <c r="O5328" t="str">
        <f t="shared" si="2182"/>
        <v>MYR</v>
      </c>
      <c r="P5328" t="str">
        <f t="shared" si="2191"/>
        <v>NIL</v>
      </c>
      <c r="Q5328" t="str">
        <f t="shared" si="2191"/>
        <v>NIL</v>
      </c>
      <c r="R5328" t="str">
        <f t="shared" si="2170"/>
        <v>Accepted</v>
      </c>
      <c r="S5328" t="str">
        <f t="shared" si="2183"/>
        <v>Approved</v>
      </c>
      <c r="T5328" t="str">
        <f t="shared" si="2171"/>
        <v>10.20.8.188</v>
      </c>
      <c r="U5328" t="str">
        <f t="shared" si="2184"/>
        <v>AZRAD UMAR BIN SHAARI</v>
      </c>
      <c r="V5328" t="str">
        <f t="shared" si="2185"/>
        <v>FARHANA BINTI MUSTAPA</v>
      </c>
      <c r="W5328" t="str">
        <f t="shared" si="2186"/>
        <v>04-08-2020</v>
      </c>
      <c r="X5328" t="str">
        <f t="shared" si="2187"/>
        <v>RAZIMAH ANSAR AHMAD</v>
      </c>
      <c r="Y5328" t="str">
        <f t="shared" si="2188"/>
        <v>04-08-2020</v>
      </c>
      <c r="Z5328" t="str">
        <f>"COS10200804 3826"</f>
        <v>COS10200804 3826</v>
      </c>
    </row>
    <row r="5329" spans="1:26" x14ac:dyDescent="0.25">
      <c r="A5329" t="str">
        <f t="shared" si="2176"/>
        <v>04-08-2020 12:47:34</v>
      </c>
      <c r="B5329" t="str">
        <f>"0000805600"</f>
        <v>0000805600</v>
      </c>
      <c r="C5329" t="str">
        <f t="shared" si="2177"/>
        <v>0000805575</v>
      </c>
      <c r="D5329" t="str">
        <f t="shared" si="2178"/>
        <v>73185</v>
      </c>
      <c r="E5329" t="str">
        <f t="shared" si="2179"/>
        <v>KFH-OPERATIONS DEPARTMENT</v>
      </c>
      <c r="F5329" t="str">
        <f t="shared" si="2180"/>
        <v>IBG</v>
      </c>
      <c r="G5329" t="str">
        <f t="shared" si="2189"/>
        <v>Refund COSHARE 10</v>
      </c>
      <c r="H5329" s="2">
        <v>923.45</v>
      </c>
      <c r="I5329" t="str">
        <f>"ABANG LUTFI BIN ABANG NARUDDIN"</f>
        <v>ABANG LUTFI BIN ABANG NARUDDIN</v>
      </c>
      <c r="J5329" t="str">
        <f t="shared" si="2165"/>
        <v>MAYBANK / MAYBANK ISLAMIC</v>
      </c>
      <c r="K5329" t="str">
        <f>"511113513656"</f>
        <v>511113513656</v>
      </c>
      <c r="L5329" t="str">
        <f t="shared" si="2190"/>
        <v>04-08-2020</v>
      </c>
      <c r="M5329" t="str">
        <f t="shared" si="2190"/>
        <v>04-08-2020</v>
      </c>
      <c r="N5329" t="str">
        <f t="shared" si="2181"/>
        <v>001105018356</v>
      </c>
      <c r="O5329" t="str">
        <f t="shared" si="2182"/>
        <v>MYR</v>
      </c>
      <c r="P5329" t="str">
        <f t="shared" si="2191"/>
        <v>NIL</v>
      </c>
      <c r="Q5329" t="str">
        <f t="shared" si="2191"/>
        <v>NIL</v>
      </c>
      <c r="R5329" t="str">
        <f t="shared" si="2170"/>
        <v>Accepted</v>
      </c>
      <c r="S5329" t="str">
        <f t="shared" si="2183"/>
        <v>Approved</v>
      </c>
      <c r="T5329" t="str">
        <f t="shared" si="2171"/>
        <v>10.20.8.188</v>
      </c>
      <c r="U5329" t="str">
        <f t="shared" si="2184"/>
        <v>AZRAD UMAR BIN SHAARI</v>
      </c>
      <c r="V5329" t="str">
        <f t="shared" si="2185"/>
        <v>FARHANA BINTI MUSTAPA</v>
      </c>
      <c r="W5329" t="str">
        <f t="shared" si="2186"/>
        <v>04-08-2020</v>
      </c>
      <c r="X5329" t="str">
        <f t="shared" si="2187"/>
        <v>RAZIMAH ANSAR AHMAD</v>
      </c>
      <c r="Y5329" t="str">
        <f t="shared" si="2188"/>
        <v>04-08-2020</v>
      </c>
      <c r="Z5329" t="str">
        <f>"COS10200804 3825"</f>
        <v>COS10200804 3825</v>
      </c>
    </row>
    <row r="5330" spans="1:26" x14ac:dyDescent="0.25">
      <c r="A5330" t="str">
        <f t="shared" si="2176"/>
        <v>04-08-2020 12:47:34</v>
      </c>
      <c r="B5330" t="str">
        <f>"0000805599"</f>
        <v>0000805599</v>
      </c>
      <c r="C5330" t="str">
        <f t="shared" si="2177"/>
        <v>0000805575</v>
      </c>
      <c r="D5330" t="str">
        <f t="shared" si="2178"/>
        <v>73185</v>
      </c>
      <c r="E5330" t="str">
        <f t="shared" si="2179"/>
        <v>KFH-OPERATIONS DEPARTMENT</v>
      </c>
      <c r="F5330" t="str">
        <f t="shared" si="2180"/>
        <v>IBG</v>
      </c>
      <c r="G5330" t="str">
        <f t="shared" si="2189"/>
        <v>Refund COSHARE 10</v>
      </c>
      <c r="H5330" s="2">
        <v>738.3</v>
      </c>
      <c r="I5330" t="str">
        <f>"ABANG ISMADDY BIN ABANG HAMID"</f>
        <v>ABANG ISMADDY BIN ABANG HAMID</v>
      </c>
      <c r="J5330" t="str">
        <f t="shared" si="2165"/>
        <v>MAYBANK / MAYBANK ISLAMIC</v>
      </c>
      <c r="K5330" t="str">
        <f>"114280443129"</f>
        <v>114280443129</v>
      </c>
      <c r="L5330" t="str">
        <f t="shared" si="2190"/>
        <v>04-08-2020</v>
      </c>
      <c r="M5330" t="str">
        <f t="shared" si="2190"/>
        <v>04-08-2020</v>
      </c>
      <c r="N5330" t="str">
        <f t="shared" si="2181"/>
        <v>001105018356</v>
      </c>
      <c r="O5330" t="str">
        <f t="shared" si="2182"/>
        <v>MYR</v>
      </c>
      <c r="P5330" t="str">
        <f t="shared" si="2191"/>
        <v>NIL</v>
      </c>
      <c r="Q5330" t="str">
        <f t="shared" si="2191"/>
        <v>NIL</v>
      </c>
      <c r="R5330" t="str">
        <f t="shared" si="2170"/>
        <v>Accepted</v>
      </c>
      <c r="S5330" t="str">
        <f t="shared" si="2183"/>
        <v>Approved</v>
      </c>
      <c r="T5330" t="str">
        <f t="shared" si="2171"/>
        <v>10.20.8.188</v>
      </c>
      <c r="U5330" t="str">
        <f t="shared" si="2184"/>
        <v>AZRAD UMAR BIN SHAARI</v>
      </c>
      <c r="V5330" t="str">
        <f t="shared" si="2185"/>
        <v>FARHANA BINTI MUSTAPA</v>
      </c>
      <c r="W5330" t="str">
        <f t="shared" si="2186"/>
        <v>04-08-2020</v>
      </c>
      <c r="X5330" t="str">
        <f t="shared" si="2187"/>
        <v>RAZIMAH ANSAR AHMAD</v>
      </c>
      <c r="Y5330" t="str">
        <f t="shared" si="2188"/>
        <v>04-08-2020</v>
      </c>
      <c r="Z5330" t="str">
        <f>"COS10200804 3824"</f>
        <v>COS10200804 3824</v>
      </c>
    </row>
    <row r="5331" spans="1:26" x14ac:dyDescent="0.25">
      <c r="A5331" t="str">
        <f t="shared" si="2176"/>
        <v>04-08-2020 12:47:34</v>
      </c>
      <c r="B5331" t="str">
        <f>"0000805598"</f>
        <v>0000805598</v>
      </c>
      <c r="C5331" t="str">
        <f t="shared" si="2177"/>
        <v>0000805575</v>
      </c>
      <c r="D5331" t="str">
        <f t="shared" si="2178"/>
        <v>73185</v>
      </c>
      <c r="E5331" t="str">
        <f t="shared" si="2179"/>
        <v>KFH-OPERATIONS DEPARTMENT</v>
      </c>
      <c r="F5331" t="str">
        <f t="shared" si="2180"/>
        <v>IBG</v>
      </c>
      <c r="G5331" t="str">
        <f t="shared" si="2189"/>
        <v>Refund COSHARE 10</v>
      </c>
      <c r="H5331" s="2">
        <v>167.9</v>
      </c>
      <c r="I5331" t="str">
        <f>"AAFIFA MUNEERA BINTI NAFSUN"</f>
        <v>AAFIFA MUNEERA BINTI NAFSUN</v>
      </c>
      <c r="J5331" t="str">
        <f t="shared" si="2165"/>
        <v>MAYBANK / MAYBANK ISLAMIC</v>
      </c>
      <c r="K5331" t="str">
        <f>"110041016406"</f>
        <v>110041016406</v>
      </c>
      <c r="L5331" t="str">
        <f t="shared" si="2190"/>
        <v>04-08-2020</v>
      </c>
      <c r="M5331" t="str">
        <f t="shared" si="2190"/>
        <v>04-08-2020</v>
      </c>
      <c r="N5331" t="str">
        <f t="shared" si="2181"/>
        <v>001105018356</v>
      </c>
      <c r="O5331" t="str">
        <f t="shared" si="2182"/>
        <v>MYR</v>
      </c>
      <c r="P5331" t="str">
        <f t="shared" si="2191"/>
        <v>NIL</v>
      </c>
      <c r="Q5331" t="str">
        <f t="shared" si="2191"/>
        <v>NIL</v>
      </c>
      <c r="R5331" t="str">
        <f t="shared" si="2170"/>
        <v>Accepted</v>
      </c>
      <c r="S5331" t="str">
        <f t="shared" si="2183"/>
        <v>Approved</v>
      </c>
      <c r="T5331" t="str">
        <f t="shared" si="2171"/>
        <v>10.20.8.188</v>
      </c>
      <c r="U5331" t="str">
        <f t="shared" si="2184"/>
        <v>AZRAD UMAR BIN SHAARI</v>
      </c>
      <c r="V5331" t="str">
        <f t="shared" si="2185"/>
        <v>FARHANA BINTI MUSTAPA</v>
      </c>
      <c r="W5331" t="str">
        <f t="shared" si="2186"/>
        <v>04-08-2020</v>
      </c>
      <c r="X5331" t="str">
        <f t="shared" si="2187"/>
        <v>RAZIMAH ANSAR AHMAD</v>
      </c>
      <c r="Y5331" t="str">
        <f t="shared" si="2188"/>
        <v>04-08-2020</v>
      </c>
      <c r="Z5331" t="str">
        <f>"COS10200804 3823"</f>
        <v>COS10200804 3823</v>
      </c>
    </row>
    <row r="5332" spans="1:26" x14ac:dyDescent="0.25">
      <c r="A5332" t="str">
        <f t="shared" si="2176"/>
        <v>04-08-2020 12:47:34</v>
      </c>
      <c r="B5332" t="str">
        <f>"0000805597"</f>
        <v>0000805597</v>
      </c>
      <c r="C5332" t="str">
        <f t="shared" si="2177"/>
        <v>0000805575</v>
      </c>
      <c r="D5332" t="str">
        <f t="shared" si="2178"/>
        <v>73185</v>
      </c>
      <c r="E5332" t="str">
        <f t="shared" si="2179"/>
        <v>KFH-OPERATIONS DEPARTMENT</v>
      </c>
      <c r="F5332" t="str">
        <f t="shared" si="2180"/>
        <v>IBG</v>
      </c>
      <c r="G5332" t="str">
        <f t="shared" si="2189"/>
        <v>Refund COSHARE 10</v>
      </c>
      <c r="H5332" s="2">
        <v>1234.0999999999999</v>
      </c>
      <c r="I5332" t="str">
        <f>"A RAHMAN BIN MD YASIM"</f>
        <v>A RAHMAN BIN MD YASIM</v>
      </c>
      <c r="J5332" t="str">
        <f t="shared" si="2165"/>
        <v>MAYBANK / MAYBANK ISLAMIC</v>
      </c>
      <c r="K5332" t="str">
        <f>"166010224840"</f>
        <v>166010224840</v>
      </c>
      <c r="L5332" t="str">
        <f t="shared" si="2190"/>
        <v>04-08-2020</v>
      </c>
      <c r="M5332" t="str">
        <f t="shared" si="2190"/>
        <v>04-08-2020</v>
      </c>
      <c r="N5332" t="str">
        <f t="shared" si="2181"/>
        <v>001105018356</v>
      </c>
      <c r="O5332" t="str">
        <f t="shared" si="2182"/>
        <v>MYR</v>
      </c>
      <c r="P5332" t="str">
        <f t="shared" si="2191"/>
        <v>NIL</v>
      </c>
      <c r="Q5332" t="str">
        <f t="shared" si="2191"/>
        <v>NIL</v>
      </c>
      <c r="R5332" t="str">
        <f t="shared" si="2170"/>
        <v>Accepted</v>
      </c>
      <c r="S5332" t="str">
        <f t="shared" si="2183"/>
        <v>Approved</v>
      </c>
      <c r="T5332" t="str">
        <f t="shared" si="2171"/>
        <v>10.20.8.188</v>
      </c>
      <c r="U5332" t="str">
        <f t="shared" si="2184"/>
        <v>AZRAD UMAR BIN SHAARI</v>
      </c>
      <c r="V5332" t="str">
        <f t="shared" si="2185"/>
        <v>FARHANA BINTI MUSTAPA</v>
      </c>
      <c r="W5332" t="str">
        <f t="shared" si="2186"/>
        <v>04-08-2020</v>
      </c>
      <c r="X5332" t="str">
        <f t="shared" si="2187"/>
        <v>RAZIMAH ANSAR AHMAD</v>
      </c>
      <c r="Y5332" t="str">
        <f t="shared" si="2188"/>
        <v>04-08-2020</v>
      </c>
      <c r="Z5332" t="str">
        <f>"COS10200804 3822"</f>
        <v>COS10200804 3822</v>
      </c>
    </row>
    <row r="5333" spans="1:26" x14ac:dyDescent="0.25">
      <c r="A5333" t="str">
        <f t="shared" si="2176"/>
        <v>04-08-2020 12:47:34</v>
      </c>
      <c r="B5333" t="str">
        <f>"0000805596"</f>
        <v>0000805596</v>
      </c>
      <c r="C5333" t="str">
        <f t="shared" si="2177"/>
        <v>0000805575</v>
      </c>
      <c r="D5333" t="str">
        <f t="shared" si="2178"/>
        <v>73185</v>
      </c>
      <c r="E5333" t="str">
        <f t="shared" si="2179"/>
        <v>KFH-OPERATIONS DEPARTMENT</v>
      </c>
      <c r="F5333" t="str">
        <f t="shared" si="2180"/>
        <v>IBG</v>
      </c>
      <c r="G5333" t="str">
        <f t="shared" si="2189"/>
        <v>Refund COSHARE 10</v>
      </c>
      <c r="H5333" s="2">
        <v>1545.15</v>
      </c>
      <c r="I5333" t="str">
        <f>"A MUNIANDY AL ARUMUGAM"</f>
        <v>A MUNIANDY AL ARUMUGAM</v>
      </c>
      <c r="J5333" t="str">
        <f t="shared" si="2165"/>
        <v>MAYBANK / MAYBANK ISLAMIC</v>
      </c>
      <c r="K5333" t="str">
        <f>"112028145064"</f>
        <v>112028145064</v>
      </c>
      <c r="L5333" t="str">
        <f t="shared" si="2190"/>
        <v>04-08-2020</v>
      </c>
      <c r="M5333" t="str">
        <f t="shared" si="2190"/>
        <v>04-08-2020</v>
      </c>
      <c r="N5333" t="str">
        <f t="shared" si="2181"/>
        <v>001105018356</v>
      </c>
      <c r="O5333" t="str">
        <f t="shared" si="2182"/>
        <v>MYR</v>
      </c>
      <c r="P5333" t="str">
        <f t="shared" si="2191"/>
        <v>NIL</v>
      </c>
      <c r="Q5333" t="str">
        <f t="shared" si="2191"/>
        <v>NIL</v>
      </c>
      <c r="R5333" t="str">
        <f t="shared" si="2170"/>
        <v>Accepted</v>
      </c>
      <c r="S5333" t="str">
        <f t="shared" si="2183"/>
        <v>Approved</v>
      </c>
      <c r="T5333" t="str">
        <f t="shared" si="2171"/>
        <v>10.20.8.188</v>
      </c>
      <c r="U5333" t="str">
        <f t="shared" si="2184"/>
        <v>AZRAD UMAR BIN SHAARI</v>
      </c>
      <c r="V5333" t="str">
        <f t="shared" si="2185"/>
        <v>FARHANA BINTI MUSTAPA</v>
      </c>
      <c r="W5333" t="str">
        <f t="shared" si="2186"/>
        <v>04-08-2020</v>
      </c>
      <c r="X5333" t="str">
        <f t="shared" si="2187"/>
        <v>RAZIMAH ANSAR AHMAD</v>
      </c>
      <c r="Y5333" t="str">
        <f t="shared" si="2188"/>
        <v>04-08-2020</v>
      </c>
      <c r="Z5333" t="str">
        <f>"COS10200804 3821"</f>
        <v>COS10200804 3821</v>
      </c>
    </row>
    <row r="5334" spans="1:26" x14ac:dyDescent="0.25">
      <c r="A5334" t="str">
        <f t="shared" si="2176"/>
        <v>04-08-2020 12:47:34</v>
      </c>
      <c r="B5334" t="str">
        <f>"0000805595"</f>
        <v>0000805595</v>
      </c>
      <c r="C5334" t="str">
        <f t="shared" si="2177"/>
        <v>0000805575</v>
      </c>
      <c r="D5334" t="str">
        <f t="shared" si="2178"/>
        <v>73185</v>
      </c>
      <c r="E5334" t="str">
        <f t="shared" si="2179"/>
        <v>KFH-OPERATIONS DEPARTMENT</v>
      </c>
      <c r="F5334" t="str">
        <f t="shared" si="2180"/>
        <v>IBG</v>
      </c>
      <c r="G5334" t="str">
        <f t="shared" si="2189"/>
        <v>Refund COSHARE 10</v>
      </c>
      <c r="H5334" s="2">
        <v>2540.6999999999998</v>
      </c>
      <c r="I5334" t="str">
        <f>"NORHASHIM BIN AHMAD"</f>
        <v>NORHASHIM BIN AHMAD</v>
      </c>
      <c r="J5334" t="str">
        <f>"HSBC BANK / HSBC AMANAH"</f>
        <v>HSBC BANK / HSBC AMANAH</v>
      </c>
      <c r="K5334" t="str">
        <f>"011035714011"</f>
        <v>011035714011</v>
      </c>
      <c r="L5334" t="str">
        <f t="shared" si="2190"/>
        <v>04-08-2020</v>
      </c>
      <c r="M5334" t="str">
        <f t="shared" si="2190"/>
        <v>04-08-2020</v>
      </c>
      <c r="N5334" t="str">
        <f t="shared" si="2181"/>
        <v>001105018356</v>
      </c>
      <c r="O5334" t="str">
        <f t="shared" si="2182"/>
        <v>MYR</v>
      </c>
      <c r="P5334" t="str">
        <f t="shared" si="2191"/>
        <v>NIL</v>
      </c>
      <c r="Q5334" t="str">
        <f t="shared" si="2191"/>
        <v>NIL</v>
      </c>
      <c r="R5334" t="str">
        <f t="shared" si="2170"/>
        <v>Accepted</v>
      </c>
      <c r="S5334" t="str">
        <f t="shared" si="2183"/>
        <v>Approved</v>
      </c>
      <c r="T5334" t="str">
        <f t="shared" si="2171"/>
        <v>10.20.8.188</v>
      </c>
      <c r="U5334" t="str">
        <f t="shared" si="2184"/>
        <v>AZRAD UMAR BIN SHAARI</v>
      </c>
      <c r="V5334" t="str">
        <f t="shared" si="2185"/>
        <v>FARHANA BINTI MUSTAPA</v>
      </c>
      <c r="W5334" t="str">
        <f t="shared" si="2186"/>
        <v>04-08-2020</v>
      </c>
      <c r="X5334" t="str">
        <f t="shared" si="2187"/>
        <v>RAZIMAH ANSAR AHMAD</v>
      </c>
      <c r="Y5334" t="str">
        <f t="shared" si="2188"/>
        <v>04-08-2020</v>
      </c>
      <c r="Z5334" t="str">
        <f>"COS10200804 3820"</f>
        <v>COS10200804 3820</v>
      </c>
    </row>
    <row r="5335" spans="1:26" x14ac:dyDescent="0.25">
      <c r="A5335" t="str">
        <f t="shared" si="2176"/>
        <v>04-08-2020 12:47:34</v>
      </c>
      <c r="B5335" t="str">
        <f>"0000805594"</f>
        <v>0000805594</v>
      </c>
      <c r="C5335" t="str">
        <f t="shared" si="2177"/>
        <v>0000805575</v>
      </c>
      <c r="D5335" t="str">
        <f t="shared" si="2178"/>
        <v>73185</v>
      </c>
      <c r="E5335" t="str">
        <f t="shared" si="2179"/>
        <v>KFH-OPERATIONS DEPARTMENT</v>
      </c>
      <c r="F5335" t="str">
        <f t="shared" si="2180"/>
        <v>IBG</v>
      </c>
      <c r="G5335" t="str">
        <f t="shared" si="2189"/>
        <v>Refund COSHARE 10</v>
      </c>
      <c r="H5335" s="2">
        <v>1393.6</v>
      </c>
      <c r="I5335" t="str">
        <f>"LOKE SIEW YING"</f>
        <v>LOKE SIEW YING</v>
      </c>
      <c r="J5335" t="str">
        <f>"HSBC BANK / HSBC AMANAH"</f>
        <v>HSBC BANK / HSBC AMANAH</v>
      </c>
      <c r="K5335" t="str">
        <f>"052082708025"</f>
        <v>052082708025</v>
      </c>
      <c r="L5335" t="str">
        <f t="shared" si="2190"/>
        <v>04-08-2020</v>
      </c>
      <c r="M5335" t="str">
        <f t="shared" si="2190"/>
        <v>04-08-2020</v>
      </c>
      <c r="N5335" t="str">
        <f t="shared" si="2181"/>
        <v>001105018356</v>
      </c>
      <c r="O5335" t="str">
        <f t="shared" si="2182"/>
        <v>MYR</v>
      </c>
      <c r="P5335" t="str">
        <f t="shared" si="2191"/>
        <v>NIL</v>
      </c>
      <c r="Q5335" t="str">
        <f t="shared" si="2191"/>
        <v>NIL</v>
      </c>
      <c r="R5335" t="str">
        <f t="shared" si="2170"/>
        <v>Accepted</v>
      </c>
      <c r="S5335" t="str">
        <f t="shared" si="2183"/>
        <v>Approved</v>
      </c>
      <c r="T5335" t="str">
        <f t="shared" si="2171"/>
        <v>10.20.8.188</v>
      </c>
      <c r="U5335" t="str">
        <f t="shared" si="2184"/>
        <v>AZRAD UMAR BIN SHAARI</v>
      </c>
      <c r="V5335" t="str">
        <f t="shared" si="2185"/>
        <v>FARHANA BINTI MUSTAPA</v>
      </c>
      <c r="W5335" t="str">
        <f t="shared" si="2186"/>
        <v>04-08-2020</v>
      </c>
      <c r="X5335" t="str">
        <f t="shared" si="2187"/>
        <v>RAZIMAH ANSAR AHMAD</v>
      </c>
      <c r="Y5335" t="str">
        <f t="shared" si="2188"/>
        <v>04-08-2020</v>
      </c>
      <c r="Z5335" t="str">
        <f>"COS10200804 3819"</f>
        <v>COS10200804 3819</v>
      </c>
    </row>
    <row r="5336" spans="1:26" x14ac:dyDescent="0.25">
      <c r="A5336" t="str">
        <f t="shared" si="2176"/>
        <v>04-08-2020 12:47:34</v>
      </c>
      <c r="B5336" t="str">
        <f>"0000805593"</f>
        <v>0000805593</v>
      </c>
      <c r="C5336" t="str">
        <f t="shared" si="2177"/>
        <v>0000805575</v>
      </c>
      <c r="D5336" t="str">
        <f t="shared" si="2178"/>
        <v>73185</v>
      </c>
      <c r="E5336" t="str">
        <f t="shared" si="2179"/>
        <v>KFH-OPERATIONS DEPARTMENT</v>
      </c>
      <c r="F5336" t="str">
        <f t="shared" si="2180"/>
        <v>IBG</v>
      </c>
      <c r="G5336" t="str">
        <f t="shared" si="2189"/>
        <v>Refund COSHARE 10</v>
      </c>
      <c r="H5336" s="2">
        <v>419.75</v>
      </c>
      <c r="I5336" t="str">
        <f>"NORHASYIKIN BINTI MD ALI"</f>
        <v>NORHASYIKIN BINTI MD ALI</v>
      </c>
      <c r="J5336" t="str">
        <f t="shared" ref="J5336:J5371" si="2192">"HONG LEONG BANK / HONG LEONG ISLAMIC BANK"</f>
        <v>HONG LEONG BANK / HONG LEONG ISLAMIC BANK</v>
      </c>
      <c r="K5336" t="str">
        <f>"02601012859"</f>
        <v>02601012859</v>
      </c>
      <c r="L5336" t="str">
        <f t="shared" si="2190"/>
        <v>04-08-2020</v>
      </c>
      <c r="M5336" t="str">
        <f t="shared" si="2190"/>
        <v>04-08-2020</v>
      </c>
      <c r="N5336" t="str">
        <f t="shared" si="2181"/>
        <v>001105018356</v>
      </c>
      <c r="O5336" t="str">
        <f t="shared" si="2182"/>
        <v>MYR</v>
      </c>
      <c r="P5336" t="str">
        <f t="shared" si="2191"/>
        <v>NIL</v>
      </c>
      <c r="Q5336" t="str">
        <f t="shared" si="2191"/>
        <v>NIL</v>
      </c>
      <c r="R5336" t="str">
        <f t="shared" si="2170"/>
        <v>Accepted</v>
      </c>
      <c r="S5336" t="str">
        <f t="shared" si="2183"/>
        <v>Approved</v>
      </c>
      <c r="T5336" t="str">
        <f t="shared" si="2171"/>
        <v>10.20.8.188</v>
      </c>
      <c r="U5336" t="str">
        <f t="shared" si="2184"/>
        <v>AZRAD UMAR BIN SHAARI</v>
      </c>
      <c r="V5336" t="str">
        <f t="shared" si="2185"/>
        <v>FARHANA BINTI MUSTAPA</v>
      </c>
      <c r="W5336" t="str">
        <f t="shared" si="2186"/>
        <v>04-08-2020</v>
      </c>
      <c r="X5336" t="str">
        <f t="shared" si="2187"/>
        <v>RAZIMAH ANSAR AHMAD</v>
      </c>
      <c r="Y5336" t="str">
        <f t="shared" si="2188"/>
        <v>04-08-2020</v>
      </c>
      <c r="Z5336" t="str">
        <f>"COS10200804 3818"</f>
        <v>COS10200804 3818</v>
      </c>
    </row>
    <row r="5337" spans="1:26" x14ac:dyDescent="0.25">
      <c r="A5337" t="str">
        <f t="shared" si="2176"/>
        <v>04-08-2020 12:47:34</v>
      </c>
      <c r="B5337" t="str">
        <f>"0000805592"</f>
        <v>0000805592</v>
      </c>
      <c r="C5337" t="str">
        <f t="shared" si="2177"/>
        <v>0000805575</v>
      </c>
      <c r="D5337" t="str">
        <f t="shared" si="2178"/>
        <v>73185</v>
      </c>
      <c r="E5337" t="str">
        <f t="shared" si="2179"/>
        <v>KFH-OPERATIONS DEPARTMENT</v>
      </c>
      <c r="F5337" t="str">
        <f t="shared" si="2180"/>
        <v>IBG</v>
      </c>
      <c r="G5337" t="str">
        <f t="shared" si="2189"/>
        <v>Refund COSHARE 10</v>
      </c>
      <c r="H5337" s="2">
        <v>860.1</v>
      </c>
      <c r="I5337" t="str">
        <f>"VIJAYALATCHUMI AP ANNAMALAI"</f>
        <v>VIJAYALATCHUMI AP ANNAMALAI</v>
      </c>
      <c r="J5337" t="str">
        <f t="shared" si="2192"/>
        <v>HONG LEONG BANK / HONG LEONG ISLAMIC BANK</v>
      </c>
      <c r="K5337" t="str">
        <f>"06750165938"</f>
        <v>06750165938</v>
      </c>
      <c r="L5337" t="str">
        <f t="shared" si="2190"/>
        <v>04-08-2020</v>
      </c>
      <c r="M5337" t="str">
        <f t="shared" si="2190"/>
        <v>04-08-2020</v>
      </c>
      <c r="N5337" t="str">
        <f t="shared" si="2181"/>
        <v>001105018356</v>
      </c>
      <c r="O5337" t="str">
        <f t="shared" si="2182"/>
        <v>MYR</v>
      </c>
      <c r="P5337" t="str">
        <f t="shared" si="2191"/>
        <v>NIL</v>
      </c>
      <c r="Q5337" t="str">
        <f t="shared" si="2191"/>
        <v>NIL</v>
      </c>
      <c r="R5337" t="str">
        <f t="shared" si="2170"/>
        <v>Accepted</v>
      </c>
      <c r="S5337" t="str">
        <f t="shared" si="2183"/>
        <v>Approved</v>
      </c>
      <c r="T5337" t="str">
        <f t="shared" si="2171"/>
        <v>10.20.8.188</v>
      </c>
      <c r="U5337" t="str">
        <f t="shared" si="2184"/>
        <v>AZRAD UMAR BIN SHAARI</v>
      </c>
      <c r="V5337" t="str">
        <f t="shared" si="2185"/>
        <v>FARHANA BINTI MUSTAPA</v>
      </c>
      <c r="W5337" t="str">
        <f t="shared" si="2186"/>
        <v>04-08-2020</v>
      </c>
      <c r="X5337" t="str">
        <f t="shared" si="2187"/>
        <v>RAZIMAH ANSAR AHMAD</v>
      </c>
      <c r="Y5337" t="str">
        <f t="shared" si="2188"/>
        <v>04-08-2020</v>
      </c>
      <c r="Z5337" t="str">
        <f>"COS10200804 3817"</f>
        <v>COS10200804 3817</v>
      </c>
    </row>
    <row r="5338" spans="1:26" x14ac:dyDescent="0.25">
      <c r="A5338" t="str">
        <f t="shared" si="2176"/>
        <v>04-08-2020 12:47:34</v>
      </c>
      <c r="B5338" t="str">
        <f>"0000805591"</f>
        <v>0000805591</v>
      </c>
      <c r="C5338" t="str">
        <f t="shared" si="2177"/>
        <v>0000805575</v>
      </c>
      <c r="D5338" t="str">
        <f t="shared" si="2178"/>
        <v>73185</v>
      </c>
      <c r="E5338" t="str">
        <f t="shared" si="2179"/>
        <v>KFH-OPERATIONS DEPARTMENT</v>
      </c>
      <c r="F5338" t="str">
        <f t="shared" si="2180"/>
        <v>IBG</v>
      </c>
      <c r="G5338" t="str">
        <f t="shared" si="2189"/>
        <v>Refund COSHARE 10</v>
      </c>
      <c r="H5338" s="2">
        <v>1041</v>
      </c>
      <c r="I5338" t="str">
        <f>"THOMAS MERING"</f>
        <v>THOMAS MERING</v>
      </c>
      <c r="J5338" t="str">
        <f t="shared" si="2192"/>
        <v>HONG LEONG BANK / HONG LEONG ISLAMIC BANK</v>
      </c>
      <c r="K5338" t="str">
        <f>"25751007962"</f>
        <v>25751007962</v>
      </c>
      <c r="L5338" t="str">
        <f t="shared" si="2190"/>
        <v>04-08-2020</v>
      </c>
      <c r="M5338" t="str">
        <f t="shared" si="2190"/>
        <v>04-08-2020</v>
      </c>
      <c r="N5338" t="str">
        <f t="shared" si="2181"/>
        <v>001105018356</v>
      </c>
      <c r="O5338" t="str">
        <f t="shared" si="2182"/>
        <v>MYR</v>
      </c>
      <c r="P5338" t="str">
        <f t="shared" si="2191"/>
        <v>NIL</v>
      </c>
      <c r="Q5338" t="str">
        <f t="shared" si="2191"/>
        <v>NIL</v>
      </c>
      <c r="R5338" t="str">
        <f t="shared" si="2170"/>
        <v>Accepted</v>
      </c>
      <c r="S5338" t="str">
        <f t="shared" si="2183"/>
        <v>Approved</v>
      </c>
      <c r="T5338" t="str">
        <f t="shared" si="2171"/>
        <v>10.20.8.188</v>
      </c>
      <c r="U5338" t="str">
        <f t="shared" si="2184"/>
        <v>AZRAD UMAR BIN SHAARI</v>
      </c>
      <c r="V5338" t="str">
        <f t="shared" si="2185"/>
        <v>FARHANA BINTI MUSTAPA</v>
      </c>
      <c r="W5338" t="str">
        <f t="shared" si="2186"/>
        <v>04-08-2020</v>
      </c>
      <c r="X5338" t="str">
        <f t="shared" si="2187"/>
        <v>RAZIMAH ANSAR AHMAD</v>
      </c>
      <c r="Y5338" t="str">
        <f t="shared" si="2188"/>
        <v>04-08-2020</v>
      </c>
      <c r="Z5338" t="str">
        <f>"COS10200804 3816"</f>
        <v>COS10200804 3816</v>
      </c>
    </row>
    <row r="5339" spans="1:26" x14ac:dyDescent="0.25">
      <c r="A5339" t="str">
        <f t="shared" si="2176"/>
        <v>04-08-2020 12:47:34</v>
      </c>
      <c r="B5339" t="str">
        <f>"0000805590"</f>
        <v>0000805590</v>
      </c>
      <c r="C5339" t="str">
        <f t="shared" si="2177"/>
        <v>0000805575</v>
      </c>
      <c r="D5339" t="str">
        <f t="shared" si="2178"/>
        <v>73185</v>
      </c>
      <c r="E5339" t="str">
        <f t="shared" si="2179"/>
        <v>KFH-OPERATIONS DEPARTMENT</v>
      </c>
      <c r="F5339" t="str">
        <f t="shared" si="2180"/>
        <v>IBG</v>
      </c>
      <c r="G5339" t="str">
        <f t="shared" si="2189"/>
        <v>Refund COSHARE 10</v>
      </c>
      <c r="H5339" s="2">
        <v>1679</v>
      </c>
      <c r="I5339" t="str">
        <f>"STANLEY TAN"</f>
        <v>STANLEY TAN</v>
      </c>
      <c r="J5339" t="str">
        <f t="shared" si="2192"/>
        <v>HONG LEONG BANK / HONG LEONG ISLAMIC BANK</v>
      </c>
      <c r="K5339" t="str">
        <f>"05151027580"</f>
        <v>05151027580</v>
      </c>
      <c r="L5339" t="str">
        <f t="shared" si="2190"/>
        <v>04-08-2020</v>
      </c>
      <c r="M5339" t="str">
        <f t="shared" si="2190"/>
        <v>04-08-2020</v>
      </c>
      <c r="N5339" t="str">
        <f t="shared" si="2181"/>
        <v>001105018356</v>
      </c>
      <c r="O5339" t="str">
        <f t="shared" si="2182"/>
        <v>MYR</v>
      </c>
      <c r="P5339" t="str">
        <f t="shared" si="2191"/>
        <v>NIL</v>
      </c>
      <c r="Q5339" t="str">
        <f t="shared" si="2191"/>
        <v>NIL</v>
      </c>
      <c r="R5339" t="str">
        <f t="shared" si="2170"/>
        <v>Accepted</v>
      </c>
      <c r="S5339" t="str">
        <f t="shared" si="2183"/>
        <v>Approved</v>
      </c>
      <c r="T5339" t="str">
        <f t="shared" si="2171"/>
        <v>10.20.8.188</v>
      </c>
      <c r="U5339" t="str">
        <f t="shared" si="2184"/>
        <v>AZRAD UMAR BIN SHAARI</v>
      </c>
      <c r="V5339" t="str">
        <f t="shared" si="2185"/>
        <v>FARHANA BINTI MUSTAPA</v>
      </c>
      <c r="W5339" t="str">
        <f t="shared" si="2186"/>
        <v>04-08-2020</v>
      </c>
      <c r="X5339" t="str">
        <f t="shared" si="2187"/>
        <v>RAZIMAH ANSAR AHMAD</v>
      </c>
      <c r="Y5339" t="str">
        <f t="shared" si="2188"/>
        <v>04-08-2020</v>
      </c>
      <c r="Z5339" t="str">
        <f>"COS10200804 3815"</f>
        <v>COS10200804 3815</v>
      </c>
    </row>
    <row r="5340" spans="1:26" x14ac:dyDescent="0.25">
      <c r="A5340" t="str">
        <f t="shared" si="2176"/>
        <v>04-08-2020 12:47:34</v>
      </c>
      <c r="B5340" t="str">
        <f>"0000805589"</f>
        <v>0000805589</v>
      </c>
      <c r="C5340" t="str">
        <f t="shared" si="2177"/>
        <v>0000805575</v>
      </c>
      <c r="D5340" t="str">
        <f t="shared" si="2178"/>
        <v>73185</v>
      </c>
      <c r="E5340" t="str">
        <f t="shared" si="2179"/>
        <v>KFH-OPERATIONS DEPARTMENT</v>
      </c>
      <c r="F5340" t="str">
        <f t="shared" si="2180"/>
        <v>IBG</v>
      </c>
      <c r="G5340" t="str">
        <f t="shared" si="2189"/>
        <v>Refund COSHARE 10</v>
      </c>
      <c r="H5340" s="2">
        <v>167.9</v>
      </c>
      <c r="I5340" t="str">
        <f>"SEDI BIN SAPONG"</f>
        <v>SEDI BIN SAPONG</v>
      </c>
      <c r="J5340" t="str">
        <f t="shared" si="2192"/>
        <v>HONG LEONG BANK / HONG LEONG ISLAMIC BANK</v>
      </c>
      <c r="K5340" t="str">
        <f>"05451134496"</f>
        <v>05451134496</v>
      </c>
      <c r="L5340" t="str">
        <f t="shared" si="2190"/>
        <v>04-08-2020</v>
      </c>
      <c r="M5340" t="str">
        <f t="shared" si="2190"/>
        <v>04-08-2020</v>
      </c>
      <c r="N5340" t="str">
        <f t="shared" si="2181"/>
        <v>001105018356</v>
      </c>
      <c r="O5340" t="str">
        <f t="shared" si="2182"/>
        <v>MYR</v>
      </c>
      <c r="P5340" t="str">
        <f t="shared" si="2191"/>
        <v>NIL</v>
      </c>
      <c r="Q5340" t="str">
        <f t="shared" si="2191"/>
        <v>NIL</v>
      </c>
      <c r="R5340" t="str">
        <f t="shared" si="2170"/>
        <v>Accepted</v>
      </c>
      <c r="S5340" t="str">
        <f t="shared" si="2183"/>
        <v>Approved</v>
      </c>
      <c r="T5340" t="str">
        <f t="shared" si="2171"/>
        <v>10.20.8.188</v>
      </c>
      <c r="U5340" t="str">
        <f t="shared" si="2184"/>
        <v>AZRAD UMAR BIN SHAARI</v>
      </c>
      <c r="V5340" t="str">
        <f t="shared" si="2185"/>
        <v>FARHANA BINTI MUSTAPA</v>
      </c>
      <c r="W5340" t="str">
        <f t="shared" si="2186"/>
        <v>04-08-2020</v>
      </c>
      <c r="X5340" t="str">
        <f t="shared" si="2187"/>
        <v>RAZIMAH ANSAR AHMAD</v>
      </c>
      <c r="Y5340" t="str">
        <f t="shared" si="2188"/>
        <v>04-08-2020</v>
      </c>
      <c r="Z5340" t="str">
        <f>"COS10200804 3814"</f>
        <v>COS10200804 3814</v>
      </c>
    </row>
    <row r="5341" spans="1:26" x14ac:dyDescent="0.25">
      <c r="A5341" t="str">
        <f t="shared" si="2176"/>
        <v>04-08-2020 12:47:34</v>
      </c>
      <c r="B5341" t="str">
        <f>"0000805588"</f>
        <v>0000805588</v>
      </c>
      <c r="C5341" t="str">
        <f t="shared" si="2177"/>
        <v>0000805575</v>
      </c>
      <c r="D5341" t="str">
        <f t="shared" si="2178"/>
        <v>73185</v>
      </c>
      <c r="E5341" t="str">
        <f t="shared" si="2179"/>
        <v>KFH-OPERATIONS DEPARTMENT</v>
      </c>
      <c r="F5341" t="str">
        <f t="shared" si="2180"/>
        <v>IBG</v>
      </c>
      <c r="G5341" t="str">
        <f t="shared" si="2189"/>
        <v>Refund COSHARE 10</v>
      </c>
      <c r="H5341" s="2">
        <v>349.05</v>
      </c>
      <c r="I5341" t="str">
        <f>"SAZALI BIN MAT ABU"</f>
        <v>SAZALI BIN MAT ABU</v>
      </c>
      <c r="J5341" t="str">
        <f t="shared" si="2192"/>
        <v>HONG LEONG BANK / HONG LEONG ISLAMIC BANK</v>
      </c>
      <c r="K5341" t="str">
        <f>"06751031449"</f>
        <v>06751031449</v>
      </c>
      <c r="L5341" t="str">
        <f t="shared" si="2190"/>
        <v>04-08-2020</v>
      </c>
      <c r="M5341" t="str">
        <f t="shared" si="2190"/>
        <v>04-08-2020</v>
      </c>
      <c r="N5341" t="str">
        <f t="shared" si="2181"/>
        <v>001105018356</v>
      </c>
      <c r="O5341" t="str">
        <f t="shared" si="2182"/>
        <v>MYR</v>
      </c>
      <c r="P5341" t="str">
        <f t="shared" si="2191"/>
        <v>NIL</v>
      </c>
      <c r="Q5341" t="str">
        <f t="shared" si="2191"/>
        <v>NIL</v>
      </c>
      <c r="R5341" t="str">
        <f t="shared" si="2170"/>
        <v>Accepted</v>
      </c>
      <c r="S5341" t="str">
        <f t="shared" si="2183"/>
        <v>Approved</v>
      </c>
      <c r="T5341" t="str">
        <f t="shared" si="2171"/>
        <v>10.20.8.188</v>
      </c>
      <c r="U5341" t="str">
        <f t="shared" si="2184"/>
        <v>AZRAD UMAR BIN SHAARI</v>
      </c>
      <c r="V5341" t="str">
        <f t="shared" si="2185"/>
        <v>FARHANA BINTI MUSTAPA</v>
      </c>
      <c r="W5341" t="str">
        <f t="shared" si="2186"/>
        <v>04-08-2020</v>
      </c>
      <c r="X5341" t="str">
        <f t="shared" si="2187"/>
        <v>RAZIMAH ANSAR AHMAD</v>
      </c>
      <c r="Y5341" t="str">
        <f t="shared" si="2188"/>
        <v>04-08-2020</v>
      </c>
      <c r="Z5341" t="str">
        <f>"COS10200804 3813"</f>
        <v>COS10200804 3813</v>
      </c>
    </row>
    <row r="5342" spans="1:26" x14ac:dyDescent="0.25">
      <c r="A5342" t="str">
        <f t="shared" si="2176"/>
        <v>04-08-2020 12:47:34</v>
      </c>
      <c r="B5342" t="str">
        <f>"0000805587"</f>
        <v>0000805587</v>
      </c>
      <c r="C5342" t="str">
        <f t="shared" si="2177"/>
        <v>0000805575</v>
      </c>
      <c r="D5342" t="str">
        <f t="shared" si="2178"/>
        <v>73185</v>
      </c>
      <c r="E5342" t="str">
        <f t="shared" si="2179"/>
        <v>KFH-OPERATIONS DEPARTMENT</v>
      </c>
      <c r="F5342" t="str">
        <f t="shared" si="2180"/>
        <v>IBG</v>
      </c>
      <c r="G5342" t="str">
        <f t="shared" si="2189"/>
        <v>Refund COSHARE 10</v>
      </c>
      <c r="H5342" s="2">
        <v>84</v>
      </c>
      <c r="I5342" t="str">
        <f>"SARINA BINTI AZMI"</f>
        <v>SARINA BINTI AZMI</v>
      </c>
      <c r="J5342" t="str">
        <f t="shared" si="2192"/>
        <v>HONG LEONG BANK / HONG LEONG ISLAMIC BANK</v>
      </c>
      <c r="K5342" t="str">
        <f>"18251000916"</f>
        <v>18251000916</v>
      </c>
      <c r="L5342" t="str">
        <f t="shared" si="2190"/>
        <v>04-08-2020</v>
      </c>
      <c r="M5342" t="str">
        <f t="shared" si="2190"/>
        <v>04-08-2020</v>
      </c>
      <c r="N5342" t="str">
        <f t="shared" si="2181"/>
        <v>001105018356</v>
      </c>
      <c r="O5342" t="str">
        <f t="shared" si="2182"/>
        <v>MYR</v>
      </c>
      <c r="P5342" t="str">
        <f t="shared" si="2191"/>
        <v>NIL</v>
      </c>
      <c r="Q5342" t="str">
        <f t="shared" si="2191"/>
        <v>NIL</v>
      </c>
      <c r="R5342" t="str">
        <f t="shared" si="2170"/>
        <v>Accepted</v>
      </c>
      <c r="S5342" t="str">
        <f t="shared" si="2183"/>
        <v>Approved</v>
      </c>
      <c r="T5342" t="str">
        <f t="shared" si="2171"/>
        <v>10.20.8.188</v>
      </c>
      <c r="U5342" t="str">
        <f t="shared" si="2184"/>
        <v>AZRAD UMAR BIN SHAARI</v>
      </c>
      <c r="V5342" t="str">
        <f t="shared" si="2185"/>
        <v>FARHANA BINTI MUSTAPA</v>
      </c>
      <c r="W5342" t="str">
        <f t="shared" si="2186"/>
        <v>04-08-2020</v>
      </c>
      <c r="X5342" t="str">
        <f t="shared" si="2187"/>
        <v>RAZIMAH ANSAR AHMAD</v>
      </c>
      <c r="Y5342" t="str">
        <f t="shared" si="2188"/>
        <v>04-08-2020</v>
      </c>
      <c r="Z5342" t="str">
        <f>"COS10200804 3812"</f>
        <v>COS10200804 3812</v>
      </c>
    </row>
    <row r="5343" spans="1:26" x14ac:dyDescent="0.25">
      <c r="A5343" t="str">
        <f t="shared" si="2176"/>
        <v>04-08-2020 12:47:34</v>
      </c>
      <c r="B5343" t="str">
        <f>"0000805586"</f>
        <v>0000805586</v>
      </c>
      <c r="C5343" t="str">
        <f t="shared" si="2177"/>
        <v>0000805575</v>
      </c>
      <c r="D5343" t="str">
        <f t="shared" si="2178"/>
        <v>73185</v>
      </c>
      <c r="E5343" t="str">
        <f t="shared" si="2179"/>
        <v>KFH-OPERATIONS DEPARTMENT</v>
      </c>
      <c r="F5343" t="str">
        <f t="shared" si="2180"/>
        <v>IBG</v>
      </c>
      <c r="G5343" t="str">
        <f t="shared" si="2189"/>
        <v>Refund COSHARE 10</v>
      </c>
      <c r="H5343" s="2">
        <v>236</v>
      </c>
      <c r="I5343" t="str">
        <f>"ROHAYA BINTI AHMAD"</f>
        <v>ROHAYA BINTI AHMAD</v>
      </c>
      <c r="J5343" t="str">
        <f t="shared" si="2192"/>
        <v>HONG LEONG BANK / HONG LEONG ISLAMIC BANK</v>
      </c>
      <c r="K5343" t="str">
        <f>"08150049951"</f>
        <v>08150049951</v>
      </c>
      <c r="L5343" t="str">
        <f t="shared" si="2190"/>
        <v>04-08-2020</v>
      </c>
      <c r="M5343" t="str">
        <f t="shared" si="2190"/>
        <v>04-08-2020</v>
      </c>
      <c r="N5343" t="str">
        <f t="shared" si="2181"/>
        <v>001105018356</v>
      </c>
      <c r="O5343" t="str">
        <f t="shared" si="2182"/>
        <v>MYR</v>
      </c>
      <c r="P5343" t="str">
        <f t="shared" si="2191"/>
        <v>NIL</v>
      </c>
      <c r="Q5343" t="str">
        <f t="shared" si="2191"/>
        <v>NIL</v>
      </c>
      <c r="R5343" t="str">
        <f t="shared" si="2170"/>
        <v>Accepted</v>
      </c>
      <c r="S5343" t="str">
        <f t="shared" si="2183"/>
        <v>Approved</v>
      </c>
      <c r="T5343" t="str">
        <f t="shared" si="2171"/>
        <v>10.20.8.188</v>
      </c>
      <c r="U5343" t="str">
        <f t="shared" si="2184"/>
        <v>AZRAD UMAR BIN SHAARI</v>
      </c>
      <c r="V5343" t="str">
        <f t="shared" si="2185"/>
        <v>FARHANA BINTI MUSTAPA</v>
      </c>
      <c r="W5343" t="str">
        <f t="shared" si="2186"/>
        <v>04-08-2020</v>
      </c>
      <c r="X5343" t="str">
        <f t="shared" si="2187"/>
        <v>RAZIMAH ANSAR AHMAD</v>
      </c>
      <c r="Y5343" t="str">
        <f t="shared" si="2188"/>
        <v>04-08-2020</v>
      </c>
      <c r="Z5343" t="str">
        <f>"COS10200804 3811"</f>
        <v>COS10200804 3811</v>
      </c>
    </row>
    <row r="5344" spans="1:26" x14ac:dyDescent="0.25">
      <c r="A5344" t="str">
        <f t="shared" si="2176"/>
        <v>04-08-2020 12:47:34</v>
      </c>
      <c r="B5344" t="str">
        <f>"0000805585"</f>
        <v>0000805585</v>
      </c>
      <c r="C5344" t="str">
        <f t="shared" si="2177"/>
        <v>0000805575</v>
      </c>
      <c r="D5344" t="str">
        <f t="shared" si="2178"/>
        <v>73185</v>
      </c>
      <c r="E5344" t="str">
        <f t="shared" si="2179"/>
        <v>KFH-OPERATIONS DEPARTMENT</v>
      </c>
      <c r="F5344" t="str">
        <f t="shared" si="2180"/>
        <v>IBG</v>
      </c>
      <c r="G5344" t="str">
        <f t="shared" si="2189"/>
        <v>Refund COSHARE 10</v>
      </c>
      <c r="H5344" s="2">
        <v>250.25</v>
      </c>
      <c r="I5344" t="str">
        <f>"RICKY  AGAS ANAK STUART"</f>
        <v>RICKY  AGAS ANAK STUART</v>
      </c>
      <c r="J5344" t="str">
        <f t="shared" si="2192"/>
        <v>HONG LEONG BANK / HONG LEONG ISLAMIC BANK</v>
      </c>
      <c r="K5344" t="str">
        <f>"08150031859"</f>
        <v>08150031859</v>
      </c>
      <c r="L5344" t="str">
        <f t="shared" si="2190"/>
        <v>04-08-2020</v>
      </c>
      <c r="M5344" t="str">
        <f t="shared" si="2190"/>
        <v>04-08-2020</v>
      </c>
      <c r="N5344" t="str">
        <f t="shared" si="2181"/>
        <v>001105018356</v>
      </c>
      <c r="O5344" t="str">
        <f t="shared" si="2182"/>
        <v>MYR</v>
      </c>
      <c r="P5344" t="str">
        <f t="shared" si="2191"/>
        <v>NIL</v>
      </c>
      <c r="Q5344" t="str">
        <f t="shared" si="2191"/>
        <v>NIL</v>
      </c>
      <c r="R5344" t="str">
        <f t="shared" si="2170"/>
        <v>Accepted</v>
      </c>
      <c r="S5344" t="str">
        <f t="shared" si="2183"/>
        <v>Approved</v>
      </c>
      <c r="T5344" t="str">
        <f t="shared" si="2171"/>
        <v>10.20.8.188</v>
      </c>
      <c r="U5344" t="str">
        <f t="shared" si="2184"/>
        <v>AZRAD UMAR BIN SHAARI</v>
      </c>
      <c r="V5344" t="str">
        <f t="shared" si="2185"/>
        <v>FARHANA BINTI MUSTAPA</v>
      </c>
      <c r="W5344" t="str">
        <f t="shared" si="2186"/>
        <v>04-08-2020</v>
      </c>
      <c r="X5344" t="str">
        <f t="shared" si="2187"/>
        <v>RAZIMAH ANSAR AHMAD</v>
      </c>
      <c r="Y5344" t="str">
        <f t="shared" si="2188"/>
        <v>04-08-2020</v>
      </c>
      <c r="Z5344" t="str">
        <f>"COS10200804 3810"</f>
        <v>COS10200804 3810</v>
      </c>
    </row>
    <row r="5345" spans="1:26" x14ac:dyDescent="0.25">
      <c r="A5345" t="str">
        <f t="shared" si="2176"/>
        <v>04-08-2020 12:47:34</v>
      </c>
      <c r="B5345" t="str">
        <f>"0000805584"</f>
        <v>0000805584</v>
      </c>
      <c r="C5345" t="str">
        <f t="shared" si="2177"/>
        <v>0000805575</v>
      </c>
      <c r="D5345" t="str">
        <f t="shared" si="2178"/>
        <v>73185</v>
      </c>
      <c r="E5345" t="str">
        <f t="shared" si="2179"/>
        <v>KFH-OPERATIONS DEPARTMENT</v>
      </c>
      <c r="F5345" t="str">
        <f t="shared" si="2180"/>
        <v>IBG</v>
      </c>
      <c r="G5345" t="str">
        <f t="shared" si="2189"/>
        <v>Refund COSHARE 10</v>
      </c>
      <c r="H5345" s="2">
        <v>537.29999999999995</v>
      </c>
      <c r="I5345" t="str">
        <f>"NOZIENANI BINTI SEDI"</f>
        <v>NOZIENANI BINTI SEDI</v>
      </c>
      <c r="J5345" t="str">
        <f t="shared" si="2192"/>
        <v>HONG LEONG BANK / HONG LEONG ISLAMIC BANK</v>
      </c>
      <c r="K5345" t="str">
        <f>"02751262023"</f>
        <v>02751262023</v>
      </c>
      <c r="L5345" t="str">
        <f t="shared" si="2190"/>
        <v>04-08-2020</v>
      </c>
      <c r="M5345" t="str">
        <f t="shared" si="2190"/>
        <v>04-08-2020</v>
      </c>
      <c r="N5345" t="str">
        <f t="shared" si="2181"/>
        <v>001105018356</v>
      </c>
      <c r="O5345" t="str">
        <f t="shared" si="2182"/>
        <v>MYR</v>
      </c>
      <c r="P5345" t="str">
        <f t="shared" si="2191"/>
        <v>NIL</v>
      </c>
      <c r="Q5345" t="str">
        <f t="shared" si="2191"/>
        <v>NIL</v>
      </c>
      <c r="R5345" t="str">
        <f t="shared" si="2170"/>
        <v>Accepted</v>
      </c>
      <c r="S5345" t="str">
        <f t="shared" si="2183"/>
        <v>Approved</v>
      </c>
      <c r="T5345" t="str">
        <f t="shared" si="2171"/>
        <v>10.20.8.188</v>
      </c>
      <c r="U5345" t="str">
        <f t="shared" si="2184"/>
        <v>AZRAD UMAR BIN SHAARI</v>
      </c>
      <c r="V5345" t="str">
        <f t="shared" si="2185"/>
        <v>FARHANA BINTI MUSTAPA</v>
      </c>
      <c r="W5345" t="str">
        <f t="shared" si="2186"/>
        <v>04-08-2020</v>
      </c>
      <c r="X5345" t="str">
        <f t="shared" si="2187"/>
        <v>RAZIMAH ANSAR AHMAD</v>
      </c>
      <c r="Y5345" t="str">
        <f t="shared" si="2188"/>
        <v>04-08-2020</v>
      </c>
      <c r="Z5345" t="str">
        <f>"COS10200804 3809"</f>
        <v>COS10200804 3809</v>
      </c>
    </row>
    <row r="5346" spans="1:26" x14ac:dyDescent="0.25">
      <c r="A5346" t="str">
        <f t="shared" ref="A5346:A5353" si="2193">"04-08-2020 12:47:34"</f>
        <v>04-08-2020 12:47:34</v>
      </c>
      <c r="B5346" t="str">
        <f>"0000805583"</f>
        <v>0000805583</v>
      </c>
      <c r="C5346" t="str">
        <f t="shared" ref="C5346:C5353" si="2194">"0000805575"</f>
        <v>0000805575</v>
      </c>
      <c r="D5346" t="str">
        <f t="shared" si="2178"/>
        <v>73185</v>
      </c>
      <c r="E5346" t="str">
        <f t="shared" si="2179"/>
        <v>KFH-OPERATIONS DEPARTMENT</v>
      </c>
      <c r="F5346" t="str">
        <f t="shared" si="2180"/>
        <v>IBG</v>
      </c>
      <c r="G5346" t="str">
        <f t="shared" si="2189"/>
        <v>Refund COSHARE 10</v>
      </c>
      <c r="H5346" s="2">
        <v>46</v>
      </c>
      <c r="I5346" t="str">
        <f>"NORSALINA BT EZAHAR"</f>
        <v>NORSALINA BT EZAHAR</v>
      </c>
      <c r="J5346" t="str">
        <f t="shared" si="2192"/>
        <v>HONG LEONG BANK / HONG LEONG ISLAMIC BANK</v>
      </c>
      <c r="K5346" t="str">
        <f>"27950982398"</f>
        <v>27950982398</v>
      </c>
      <c r="L5346" t="str">
        <f t="shared" si="2190"/>
        <v>04-08-2020</v>
      </c>
      <c r="M5346" t="str">
        <f t="shared" si="2190"/>
        <v>04-08-2020</v>
      </c>
      <c r="N5346" t="str">
        <f t="shared" si="2181"/>
        <v>001105018356</v>
      </c>
      <c r="O5346" t="str">
        <f t="shared" si="2182"/>
        <v>MYR</v>
      </c>
      <c r="P5346" t="str">
        <f t="shared" si="2191"/>
        <v>NIL</v>
      </c>
      <c r="Q5346" t="str">
        <f t="shared" si="2191"/>
        <v>NIL</v>
      </c>
      <c r="R5346" t="str">
        <f t="shared" ref="R5346:R5409" si="2195">"Accepted"</f>
        <v>Accepted</v>
      </c>
      <c r="S5346" t="str">
        <f t="shared" si="2183"/>
        <v>Approved</v>
      </c>
      <c r="T5346" t="str">
        <f t="shared" ref="T5346:T5409" si="2196">"10.20.8.188"</f>
        <v>10.20.8.188</v>
      </c>
      <c r="U5346" t="str">
        <f t="shared" si="2184"/>
        <v>AZRAD UMAR BIN SHAARI</v>
      </c>
      <c r="V5346" t="str">
        <f t="shared" si="2185"/>
        <v>FARHANA BINTI MUSTAPA</v>
      </c>
      <c r="W5346" t="str">
        <f t="shared" si="2186"/>
        <v>04-08-2020</v>
      </c>
      <c r="X5346" t="str">
        <f t="shared" si="2187"/>
        <v>RAZIMAH ANSAR AHMAD</v>
      </c>
      <c r="Y5346" t="str">
        <f t="shared" si="2188"/>
        <v>04-08-2020</v>
      </c>
      <c r="Z5346" t="str">
        <f>"COS10200804 3808"</f>
        <v>COS10200804 3808</v>
      </c>
    </row>
    <row r="5347" spans="1:26" x14ac:dyDescent="0.25">
      <c r="A5347" t="str">
        <f t="shared" si="2193"/>
        <v>04-08-2020 12:47:34</v>
      </c>
      <c r="B5347" t="str">
        <f>"0000805582"</f>
        <v>0000805582</v>
      </c>
      <c r="C5347" t="str">
        <f t="shared" si="2194"/>
        <v>0000805575</v>
      </c>
      <c r="D5347" t="str">
        <f t="shared" si="2178"/>
        <v>73185</v>
      </c>
      <c r="E5347" t="str">
        <f t="shared" si="2179"/>
        <v>KFH-OPERATIONS DEPARTMENT</v>
      </c>
      <c r="F5347" t="str">
        <f t="shared" si="2180"/>
        <v>IBG</v>
      </c>
      <c r="G5347" t="str">
        <f t="shared" si="2189"/>
        <v>Refund COSHARE 10</v>
      </c>
      <c r="H5347" s="2">
        <v>1587.95</v>
      </c>
      <c r="I5347" t="str">
        <f>"NORAINI BINTI SAHARI"</f>
        <v>NORAINI BINTI SAHARI</v>
      </c>
      <c r="J5347" t="str">
        <f t="shared" si="2192"/>
        <v>HONG LEONG BANK / HONG LEONG ISLAMIC BANK</v>
      </c>
      <c r="K5347" t="str">
        <f>"12251001959"</f>
        <v>12251001959</v>
      </c>
      <c r="L5347" t="str">
        <f t="shared" ref="L5347:M5366" si="2197">"04-08-2020"</f>
        <v>04-08-2020</v>
      </c>
      <c r="M5347" t="str">
        <f t="shared" si="2197"/>
        <v>04-08-2020</v>
      </c>
      <c r="N5347" t="str">
        <f t="shared" si="2181"/>
        <v>001105018356</v>
      </c>
      <c r="O5347" t="str">
        <f t="shared" si="2182"/>
        <v>MYR</v>
      </c>
      <c r="P5347" t="str">
        <f t="shared" ref="P5347:Q5366" si="2198">"NIL"</f>
        <v>NIL</v>
      </c>
      <c r="Q5347" t="str">
        <f t="shared" si="2198"/>
        <v>NIL</v>
      </c>
      <c r="R5347" t="str">
        <f t="shared" si="2195"/>
        <v>Accepted</v>
      </c>
      <c r="S5347" t="str">
        <f t="shared" si="2183"/>
        <v>Approved</v>
      </c>
      <c r="T5347" t="str">
        <f t="shared" si="2196"/>
        <v>10.20.8.188</v>
      </c>
      <c r="U5347" t="str">
        <f t="shared" si="2184"/>
        <v>AZRAD UMAR BIN SHAARI</v>
      </c>
      <c r="V5347" t="str">
        <f t="shared" si="2185"/>
        <v>FARHANA BINTI MUSTAPA</v>
      </c>
      <c r="W5347" t="str">
        <f t="shared" si="2186"/>
        <v>04-08-2020</v>
      </c>
      <c r="X5347" t="str">
        <f t="shared" si="2187"/>
        <v>RAZIMAH ANSAR AHMAD</v>
      </c>
      <c r="Y5347" t="str">
        <f t="shared" si="2188"/>
        <v>04-08-2020</v>
      </c>
      <c r="Z5347" t="str">
        <f>"COS10200804 3807"</f>
        <v>COS10200804 3807</v>
      </c>
    </row>
    <row r="5348" spans="1:26" x14ac:dyDescent="0.25">
      <c r="A5348" t="str">
        <f t="shared" si="2193"/>
        <v>04-08-2020 12:47:34</v>
      </c>
      <c r="B5348" t="str">
        <f>"0000805581"</f>
        <v>0000805581</v>
      </c>
      <c r="C5348" t="str">
        <f t="shared" si="2194"/>
        <v>0000805575</v>
      </c>
      <c r="D5348" t="str">
        <f t="shared" si="2178"/>
        <v>73185</v>
      </c>
      <c r="E5348" t="str">
        <f t="shared" si="2179"/>
        <v>KFH-OPERATIONS DEPARTMENT</v>
      </c>
      <c r="F5348" t="str">
        <f t="shared" si="2180"/>
        <v>IBG</v>
      </c>
      <c r="G5348" t="str">
        <f t="shared" si="2189"/>
        <v>Refund COSHARE 10</v>
      </c>
      <c r="H5348" s="2">
        <v>755.55</v>
      </c>
      <c r="I5348" t="str">
        <f>"NORADZNAN BIN M SIDIK"</f>
        <v>NORADZNAN BIN M SIDIK</v>
      </c>
      <c r="J5348" t="str">
        <f t="shared" si="2192"/>
        <v>HONG LEONG BANK / HONG LEONG ISLAMIC BANK</v>
      </c>
      <c r="K5348" t="str">
        <f>"36351017849"</f>
        <v>36351017849</v>
      </c>
      <c r="L5348" t="str">
        <f t="shared" si="2197"/>
        <v>04-08-2020</v>
      </c>
      <c r="M5348" t="str">
        <f t="shared" si="2197"/>
        <v>04-08-2020</v>
      </c>
      <c r="N5348" t="str">
        <f t="shared" si="2181"/>
        <v>001105018356</v>
      </c>
      <c r="O5348" t="str">
        <f t="shared" si="2182"/>
        <v>MYR</v>
      </c>
      <c r="P5348" t="str">
        <f t="shared" si="2198"/>
        <v>NIL</v>
      </c>
      <c r="Q5348" t="str">
        <f t="shared" si="2198"/>
        <v>NIL</v>
      </c>
      <c r="R5348" t="str">
        <f t="shared" si="2195"/>
        <v>Accepted</v>
      </c>
      <c r="S5348" t="str">
        <f t="shared" si="2183"/>
        <v>Approved</v>
      </c>
      <c r="T5348" t="str">
        <f t="shared" si="2196"/>
        <v>10.20.8.188</v>
      </c>
      <c r="U5348" t="str">
        <f t="shared" si="2184"/>
        <v>AZRAD UMAR BIN SHAARI</v>
      </c>
      <c r="V5348" t="str">
        <f t="shared" si="2185"/>
        <v>FARHANA BINTI MUSTAPA</v>
      </c>
      <c r="W5348" t="str">
        <f t="shared" si="2186"/>
        <v>04-08-2020</v>
      </c>
      <c r="X5348" t="str">
        <f t="shared" si="2187"/>
        <v>RAZIMAH ANSAR AHMAD</v>
      </c>
      <c r="Y5348" t="str">
        <f t="shared" si="2188"/>
        <v>04-08-2020</v>
      </c>
      <c r="Z5348" t="str">
        <f>"COS10200804 3806"</f>
        <v>COS10200804 3806</v>
      </c>
    </row>
    <row r="5349" spans="1:26" x14ac:dyDescent="0.25">
      <c r="A5349" t="str">
        <f t="shared" si="2193"/>
        <v>04-08-2020 12:47:34</v>
      </c>
      <c r="B5349" t="str">
        <f>"0000805580"</f>
        <v>0000805580</v>
      </c>
      <c r="C5349" t="str">
        <f t="shared" si="2194"/>
        <v>0000805575</v>
      </c>
      <c r="D5349" t="str">
        <f t="shared" si="2178"/>
        <v>73185</v>
      </c>
      <c r="E5349" t="str">
        <f t="shared" si="2179"/>
        <v>KFH-OPERATIONS DEPARTMENT</v>
      </c>
      <c r="F5349" t="str">
        <f t="shared" si="2180"/>
        <v>IBG</v>
      </c>
      <c r="G5349" t="str">
        <f t="shared" si="2189"/>
        <v>Refund COSHARE 10</v>
      </c>
      <c r="H5349" s="2">
        <v>286.55</v>
      </c>
      <c r="I5349" t="str">
        <f>"NOOR FADZILAH BINTI ZAKARIA"</f>
        <v>NOOR FADZILAH BINTI ZAKARIA</v>
      </c>
      <c r="J5349" t="str">
        <f t="shared" si="2192"/>
        <v>HONG LEONG BANK / HONG LEONG ISLAMIC BANK</v>
      </c>
      <c r="K5349" t="str">
        <f>"29651074194"</f>
        <v>29651074194</v>
      </c>
      <c r="L5349" t="str">
        <f t="shared" si="2197"/>
        <v>04-08-2020</v>
      </c>
      <c r="M5349" t="str">
        <f t="shared" si="2197"/>
        <v>04-08-2020</v>
      </c>
      <c r="N5349" t="str">
        <f t="shared" si="2181"/>
        <v>001105018356</v>
      </c>
      <c r="O5349" t="str">
        <f t="shared" si="2182"/>
        <v>MYR</v>
      </c>
      <c r="P5349" t="str">
        <f t="shared" si="2198"/>
        <v>NIL</v>
      </c>
      <c r="Q5349" t="str">
        <f t="shared" si="2198"/>
        <v>NIL</v>
      </c>
      <c r="R5349" t="str">
        <f t="shared" si="2195"/>
        <v>Accepted</v>
      </c>
      <c r="S5349" t="str">
        <f t="shared" si="2183"/>
        <v>Approved</v>
      </c>
      <c r="T5349" t="str">
        <f t="shared" si="2196"/>
        <v>10.20.8.188</v>
      </c>
      <c r="U5349" t="str">
        <f t="shared" si="2184"/>
        <v>AZRAD UMAR BIN SHAARI</v>
      </c>
      <c r="V5349" t="str">
        <f t="shared" si="2185"/>
        <v>FARHANA BINTI MUSTAPA</v>
      </c>
      <c r="W5349" t="str">
        <f t="shared" si="2186"/>
        <v>04-08-2020</v>
      </c>
      <c r="X5349" t="str">
        <f t="shared" si="2187"/>
        <v>RAZIMAH ANSAR AHMAD</v>
      </c>
      <c r="Y5349" t="str">
        <f t="shared" si="2188"/>
        <v>04-08-2020</v>
      </c>
      <c r="Z5349" t="str">
        <f>"COS10200804 3805"</f>
        <v>COS10200804 3805</v>
      </c>
    </row>
    <row r="5350" spans="1:26" x14ac:dyDescent="0.25">
      <c r="A5350" t="str">
        <f t="shared" si="2193"/>
        <v>04-08-2020 12:47:34</v>
      </c>
      <c r="B5350" t="str">
        <f>"0000805579"</f>
        <v>0000805579</v>
      </c>
      <c r="C5350" t="str">
        <f t="shared" si="2194"/>
        <v>0000805575</v>
      </c>
      <c r="D5350" t="str">
        <f t="shared" si="2178"/>
        <v>73185</v>
      </c>
      <c r="E5350" t="str">
        <f t="shared" si="2179"/>
        <v>KFH-OPERATIONS DEPARTMENT</v>
      </c>
      <c r="F5350" t="str">
        <f t="shared" si="2180"/>
        <v>IBG</v>
      </c>
      <c r="G5350" t="str">
        <f t="shared" si="2189"/>
        <v>Refund COSHARE 10</v>
      </c>
      <c r="H5350" s="2">
        <v>254.1</v>
      </c>
      <c r="I5350" t="str">
        <f>"NASARUDDIN BIN OTHMAN"</f>
        <v>NASARUDDIN BIN OTHMAN</v>
      </c>
      <c r="J5350" t="str">
        <f t="shared" si="2192"/>
        <v>HONG LEONG BANK / HONG LEONG ISLAMIC BANK</v>
      </c>
      <c r="K5350" t="str">
        <f>"05051045590"</f>
        <v>05051045590</v>
      </c>
      <c r="L5350" t="str">
        <f t="shared" si="2197"/>
        <v>04-08-2020</v>
      </c>
      <c r="M5350" t="str">
        <f t="shared" si="2197"/>
        <v>04-08-2020</v>
      </c>
      <c r="N5350" t="str">
        <f t="shared" si="2181"/>
        <v>001105018356</v>
      </c>
      <c r="O5350" t="str">
        <f t="shared" si="2182"/>
        <v>MYR</v>
      </c>
      <c r="P5350" t="str">
        <f t="shared" si="2198"/>
        <v>NIL</v>
      </c>
      <c r="Q5350" t="str">
        <f t="shared" si="2198"/>
        <v>NIL</v>
      </c>
      <c r="R5350" t="str">
        <f t="shared" si="2195"/>
        <v>Accepted</v>
      </c>
      <c r="S5350" t="str">
        <f t="shared" si="2183"/>
        <v>Approved</v>
      </c>
      <c r="T5350" t="str">
        <f t="shared" si="2196"/>
        <v>10.20.8.188</v>
      </c>
      <c r="U5350" t="str">
        <f t="shared" si="2184"/>
        <v>AZRAD UMAR BIN SHAARI</v>
      </c>
      <c r="V5350" t="str">
        <f t="shared" si="2185"/>
        <v>FARHANA BINTI MUSTAPA</v>
      </c>
      <c r="W5350" t="str">
        <f t="shared" si="2186"/>
        <v>04-08-2020</v>
      </c>
      <c r="X5350" t="str">
        <f t="shared" si="2187"/>
        <v>RAZIMAH ANSAR AHMAD</v>
      </c>
      <c r="Y5350" t="str">
        <f t="shared" si="2188"/>
        <v>04-08-2020</v>
      </c>
      <c r="Z5350" t="str">
        <f>"COS10200804 3804"</f>
        <v>COS10200804 3804</v>
      </c>
    </row>
    <row r="5351" spans="1:26" x14ac:dyDescent="0.25">
      <c r="A5351" t="str">
        <f t="shared" si="2193"/>
        <v>04-08-2020 12:47:34</v>
      </c>
      <c r="B5351" t="str">
        <f>"0000805578"</f>
        <v>0000805578</v>
      </c>
      <c r="C5351" t="str">
        <f t="shared" si="2194"/>
        <v>0000805575</v>
      </c>
      <c r="D5351" t="str">
        <f t="shared" si="2178"/>
        <v>73185</v>
      </c>
      <c r="E5351" t="str">
        <f t="shared" si="2179"/>
        <v>KFH-OPERATIONS DEPARTMENT</v>
      </c>
      <c r="F5351" t="str">
        <f t="shared" si="2180"/>
        <v>IBG</v>
      </c>
      <c r="G5351" t="str">
        <f t="shared" si="2189"/>
        <v>Refund COSHARE 10</v>
      </c>
      <c r="H5351" s="2">
        <v>630</v>
      </c>
      <c r="I5351" t="str">
        <f>"MUSLIM BIN MD ISA"</f>
        <v>MUSLIM BIN MD ISA</v>
      </c>
      <c r="J5351" t="str">
        <f t="shared" si="2192"/>
        <v>HONG LEONG BANK / HONG LEONG ISLAMIC BANK</v>
      </c>
      <c r="K5351" t="str">
        <f>"04450240526"</f>
        <v>04450240526</v>
      </c>
      <c r="L5351" t="str">
        <f t="shared" si="2197"/>
        <v>04-08-2020</v>
      </c>
      <c r="M5351" t="str">
        <f t="shared" si="2197"/>
        <v>04-08-2020</v>
      </c>
      <c r="N5351" t="str">
        <f t="shared" si="2181"/>
        <v>001105018356</v>
      </c>
      <c r="O5351" t="str">
        <f t="shared" si="2182"/>
        <v>MYR</v>
      </c>
      <c r="P5351" t="str">
        <f t="shared" si="2198"/>
        <v>NIL</v>
      </c>
      <c r="Q5351" t="str">
        <f t="shared" si="2198"/>
        <v>NIL</v>
      </c>
      <c r="R5351" t="str">
        <f t="shared" si="2195"/>
        <v>Accepted</v>
      </c>
      <c r="S5351" t="str">
        <f t="shared" si="2183"/>
        <v>Approved</v>
      </c>
      <c r="T5351" t="str">
        <f t="shared" si="2196"/>
        <v>10.20.8.188</v>
      </c>
      <c r="U5351" t="str">
        <f t="shared" si="2184"/>
        <v>AZRAD UMAR BIN SHAARI</v>
      </c>
      <c r="V5351" t="str">
        <f t="shared" si="2185"/>
        <v>FARHANA BINTI MUSTAPA</v>
      </c>
      <c r="W5351" t="str">
        <f t="shared" si="2186"/>
        <v>04-08-2020</v>
      </c>
      <c r="X5351" t="str">
        <f t="shared" si="2187"/>
        <v>RAZIMAH ANSAR AHMAD</v>
      </c>
      <c r="Y5351" t="str">
        <f t="shared" si="2188"/>
        <v>04-08-2020</v>
      </c>
      <c r="Z5351" t="str">
        <f>"COS10200804 3803"</f>
        <v>COS10200804 3803</v>
      </c>
    </row>
    <row r="5352" spans="1:26" x14ac:dyDescent="0.25">
      <c r="A5352" t="str">
        <f t="shared" si="2193"/>
        <v>04-08-2020 12:47:34</v>
      </c>
      <c r="B5352" t="str">
        <f>"0000805577"</f>
        <v>0000805577</v>
      </c>
      <c r="C5352" t="str">
        <f t="shared" si="2194"/>
        <v>0000805575</v>
      </c>
      <c r="D5352" t="str">
        <f t="shared" si="2178"/>
        <v>73185</v>
      </c>
      <c r="E5352" t="str">
        <f t="shared" si="2179"/>
        <v>KFH-OPERATIONS DEPARTMENT</v>
      </c>
      <c r="F5352" t="str">
        <f t="shared" si="2180"/>
        <v>IBG</v>
      </c>
      <c r="G5352" t="str">
        <f t="shared" si="2189"/>
        <v>Refund COSHARE 10</v>
      </c>
      <c r="H5352" s="2">
        <v>396.45</v>
      </c>
      <c r="I5352" t="str">
        <f>"MORSHIDI BIN SEBLI"</f>
        <v>MORSHIDI BIN SEBLI</v>
      </c>
      <c r="J5352" t="str">
        <f t="shared" si="2192"/>
        <v>HONG LEONG BANK / HONG LEONG ISLAMIC BANK</v>
      </c>
      <c r="K5352" t="str">
        <f>"07851032086"</f>
        <v>07851032086</v>
      </c>
      <c r="L5352" t="str">
        <f t="shared" si="2197"/>
        <v>04-08-2020</v>
      </c>
      <c r="M5352" t="str">
        <f t="shared" si="2197"/>
        <v>04-08-2020</v>
      </c>
      <c r="N5352" t="str">
        <f t="shared" si="2181"/>
        <v>001105018356</v>
      </c>
      <c r="O5352" t="str">
        <f t="shared" si="2182"/>
        <v>MYR</v>
      </c>
      <c r="P5352" t="str">
        <f t="shared" si="2198"/>
        <v>NIL</v>
      </c>
      <c r="Q5352" t="str">
        <f t="shared" si="2198"/>
        <v>NIL</v>
      </c>
      <c r="R5352" t="str">
        <f t="shared" si="2195"/>
        <v>Accepted</v>
      </c>
      <c r="S5352" t="str">
        <f t="shared" si="2183"/>
        <v>Approved</v>
      </c>
      <c r="T5352" t="str">
        <f t="shared" si="2196"/>
        <v>10.20.8.188</v>
      </c>
      <c r="U5352" t="str">
        <f t="shared" si="2184"/>
        <v>AZRAD UMAR BIN SHAARI</v>
      </c>
      <c r="V5352" t="str">
        <f t="shared" si="2185"/>
        <v>FARHANA BINTI MUSTAPA</v>
      </c>
      <c r="W5352" t="str">
        <f t="shared" si="2186"/>
        <v>04-08-2020</v>
      </c>
      <c r="X5352" t="str">
        <f t="shared" si="2187"/>
        <v>RAZIMAH ANSAR AHMAD</v>
      </c>
      <c r="Y5352" t="str">
        <f t="shared" si="2188"/>
        <v>04-08-2020</v>
      </c>
      <c r="Z5352" t="str">
        <f>"COS10200804 3802"</f>
        <v>COS10200804 3802</v>
      </c>
    </row>
    <row r="5353" spans="1:26" x14ac:dyDescent="0.25">
      <c r="A5353" t="str">
        <f t="shared" si="2193"/>
        <v>04-08-2020 12:47:34</v>
      </c>
      <c r="B5353" t="str">
        <f>"0000805576"</f>
        <v>0000805576</v>
      </c>
      <c r="C5353" t="str">
        <f t="shared" si="2194"/>
        <v>0000805575</v>
      </c>
      <c r="D5353" t="str">
        <f t="shared" si="2178"/>
        <v>73185</v>
      </c>
      <c r="E5353" t="str">
        <f t="shared" si="2179"/>
        <v>KFH-OPERATIONS DEPARTMENT</v>
      </c>
      <c r="F5353" t="str">
        <f t="shared" si="2180"/>
        <v>IBG</v>
      </c>
      <c r="G5353" t="str">
        <f t="shared" si="2189"/>
        <v>Refund COSHARE 10</v>
      </c>
      <c r="H5353" s="2">
        <v>127.05</v>
      </c>
      <c r="I5353" t="str">
        <f>"MOHD IBRAHIM BIN HASSAN"</f>
        <v>MOHD IBRAHIM BIN HASSAN</v>
      </c>
      <c r="J5353" t="str">
        <f t="shared" si="2192"/>
        <v>HONG LEONG BANK / HONG LEONG ISLAMIC BANK</v>
      </c>
      <c r="K5353" t="str">
        <f>"02050241044"</f>
        <v>02050241044</v>
      </c>
      <c r="L5353" t="str">
        <f t="shared" si="2197"/>
        <v>04-08-2020</v>
      </c>
      <c r="M5353" t="str">
        <f t="shared" si="2197"/>
        <v>04-08-2020</v>
      </c>
      <c r="N5353" t="str">
        <f t="shared" si="2181"/>
        <v>001105018356</v>
      </c>
      <c r="O5353" t="str">
        <f t="shared" si="2182"/>
        <v>MYR</v>
      </c>
      <c r="P5353" t="str">
        <f t="shared" si="2198"/>
        <v>NIL</v>
      </c>
      <c r="Q5353" t="str">
        <f t="shared" si="2198"/>
        <v>NIL</v>
      </c>
      <c r="R5353" t="str">
        <f t="shared" si="2195"/>
        <v>Accepted</v>
      </c>
      <c r="S5353" t="str">
        <f t="shared" si="2183"/>
        <v>Approved</v>
      </c>
      <c r="T5353" t="str">
        <f t="shared" si="2196"/>
        <v>10.20.8.188</v>
      </c>
      <c r="U5353" t="str">
        <f t="shared" si="2184"/>
        <v>AZRAD UMAR BIN SHAARI</v>
      </c>
      <c r="V5353" t="str">
        <f t="shared" si="2185"/>
        <v>FARHANA BINTI MUSTAPA</v>
      </c>
      <c r="W5353" t="str">
        <f t="shared" si="2186"/>
        <v>04-08-2020</v>
      </c>
      <c r="X5353" t="str">
        <f t="shared" si="2187"/>
        <v>RAZIMAH ANSAR AHMAD</v>
      </c>
      <c r="Y5353" t="str">
        <f t="shared" si="2188"/>
        <v>04-08-2020</v>
      </c>
      <c r="Z5353" t="str">
        <f>"COS10200804 3801"</f>
        <v>COS10200804 3801</v>
      </c>
    </row>
    <row r="5354" spans="1:26" x14ac:dyDescent="0.25">
      <c r="A5354" t="str">
        <f t="shared" ref="A5354:A5385" si="2199">"04-08-2020 12:46:39"</f>
        <v>04-08-2020 12:46:39</v>
      </c>
      <c r="B5354" t="str">
        <f>"0000805573"</f>
        <v>0000805573</v>
      </c>
      <c r="C5354" t="str">
        <f t="shared" ref="C5354:C5385" si="2200">"0000805373"</f>
        <v>0000805373</v>
      </c>
      <c r="D5354" t="str">
        <f t="shared" si="2178"/>
        <v>73185</v>
      </c>
      <c r="E5354" t="str">
        <f t="shared" si="2179"/>
        <v>KFH-OPERATIONS DEPARTMENT</v>
      </c>
      <c r="F5354" t="str">
        <f t="shared" si="2180"/>
        <v>IBG</v>
      </c>
      <c r="G5354" t="str">
        <f t="shared" si="2189"/>
        <v>Refund COSHARE 10</v>
      </c>
      <c r="H5354" s="2">
        <v>452</v>
      </c>
      <c r="I5354" t="str">
        <f>"MAXVANHAFFLER LIBAU ANAK LINGGONG"</f>
        <v>MAXVANHAFFLER LIBAU ANAK LINGGONG</v>
      </c>
      <c r="J5354" t="str">
        <f t="shared" si="2192"/>
        <v>HONG LEONG BANK / HONG LEONG ISLAMIC BANK</v>
      </c>
      <c r="K5354" t="str">
        <f>"07851065510"</f>
        <v>07851065510</v>
      </c>
      <c r="L5354" t="str">
        <f t="shared" si="2197"/>
        <v>04-08-2020</v>
      </c>
      <c r="M5354" t="str">
        <f t="shared" si="2197"/>
        <v>04-08-2020</v>
      </c>
      <c r="N5354" t="str">
        <f t="shared" si="2181"/>
        <v>001105018356</v>
      </c>
      <c r="O5354" t="str">
        <f t="shared" si="2182"/>
        <v>MYR</v>
      </c>
      <c r="P5354" t="str">
        <f t="shared" si="2198"/>
        <v>NIL</v>
      </c>
      <c r="Q5354" t="str">
        <f t="shared" si="2198"/>
        <v>NIL</v>
      </c>
      <c r="R5354" t="str">
        <f t="shared" si="2195"/>
        <v>Accepted</v>
      </c>
      <c r="S5354" t="str">
        <f t="shared" si="2183"/>
        <v>Approved</v>
      </c>
      <c r="T5354" t="str">
        <f t="shared" si="2196"/>
        <v>10.20.8.188</v>
      </c>
      <c r="U5354" t="str">
        <f t="shared" si="2184"/>
        <v>AZRAD UMAR BIN SHAARI</v>
      </c>
      <c r="V5354" t="str">
        <f t="shared" si="2185"/>
        <v>FARHANA BINTI MUSTAPA</v>
      </c>
      <c r="W5354" t="str">
        <f t="shared" si="2186"/>
        <v>04-08-2020</v>
      </c>
      <c r="X5354" t="str">
        <f t="shared" si="2187"/>
        <v>RAZIMAH ANSAR AHMAD</v>
      </c>
      <c r="Y5354" t="str">
        <f t="shared" si="2188"/>
        <v>04-08-2020</v>
      </c>
      <c r="Z5354" t="str">
        <f>"COS10200804 3800"</f>
        <v>COS10200804 3800</v>
      </c>
    </row>
    <row r="5355" spans="1:26" x14ac:dyDescent="0.25">
      <c r="A5355" t="str">
        <f t="shared" si="2199"/>
        <v>04-08-2020 12:46:39</v>
      </c>
      <c r="B5355" t="str">
        <f>"0000805572"</f>
        <v>0000805572</v>
      </c>
      <c r="C5355" t="str">
        <f t="shared" si="2200"/>
        <v>0000805373</v>
      </c>
      <c r="D5355" t="str">
        <f t="shared" si="2178"/>
        <v>73185</v>
      </c>
      <c r="E5355" t="str">
        <f t="shared" si="2179"/>
        <v>KFH-OPERATIONS DEPARTMENT</v>
      </c>
      <c r="F5355" t="str">
        <f t="shared" si="2180"/>
        <v>IBG</v>
      </c>
      <c r="G5355" t="str">
        <f t="shared" si="2189"/>
        <v>Refund COSHARE 10</v>
      </c>
      <c r="H5355" s="2">
        <v>422.4</v>
      </c>
      <c r="I5355" t="str">
        <f>"MAUREEN ANAK EDI"</f>
        <v>MAUREEN ANAK EDI</v>
      </c>
      <c r="J5355" t="str">
        <f t="shared" si="2192"/>
        <v>HONG LEONG BANK / HONG LEONG ISLAMIC BANK</v>
      </c>
      <c r="K5355" t="str">
        <f>"01750365489"</f>
        <v>01750365489</v>
      </c>
      <c r="L5355" t="str">
        <f t="shared" si="2197"/>
        <v>04-08-2020</v>
      </c>
      <c r="M5355" t="str">
        <f t="shared" si="2197"/>
        <v>04-08-2020</v>
      </c>
      <c r="N5355" t="str">
        <f t="shared" si="2181"/>
        <v>001105018356</v>
      </c>
      <c r="O5355" t="str">
        <f t="shared" si="2182"/>
        <v>MYR</v>
      </c>
      <c r="P5355" t="str">
        <f t="shared" si="2198"/>
        <v>NIL</v>
      </c>
      <c r="Q5355" t="str">
        <f t="shared" si="2198"/>
        <v>NIL</v>
      </c>
      <c r="R5355" t="str">
        <f t="shared" si="2195"/>
        <v>Accepted</v>
      </c>
      <c r="S5355" t="str">
        <f t="shared" si="2183"/>
        <v>Approved</v>
      </c>
      <c r="T5355" t="str">
        <f t="shared" si="2196"/>
        <v>10.20.8.188</v>
      </c>
      <c r="U5355" t="str">
        <f t="shared" si="2184"/>
        <v>AZRAD UMAR BIN SHAARI</v>
      </c>
      <c r="V5355" t="str">
        <f t="shared" si="2185"/>
        <v>FARHANA BINTI MUSTAPA</v>
      </c>
      <c r="W5355" t="str">
        <f t="shared" si="2186"/>
        <v>04-08-2020</v>
      </c>
      <c r="X5355" t="str">
        <f t="shared" si="2187"/>
        <v>RAZIMAH ANSAR AHMAD</v>
      </c>
      <c r="Y5355" t="str">
        <f t="shared" si="2188"/>
        <v>04-08-2020</v>
      </c>
      <c r="Z5355" t="str">
        <f>"COS10200804 3799"</f>
        <v>COS10200804 3799</v>
      </c>
    </row>
    <row r="5356" spans="1:26" x14ac:dyDescent="0.25">
      <c r="A5356" t="str">
        <f t="shared" si="2199"/>
        <v>04-08-2020 12:46:39</v>
      </c>
      <c r="B5356" t="str">
        <f>"0000805571"</f>
        <v>0000805571</v>
      </c>
      <c r="C5356" t="str">
        <f t="shared" si="2200"/>
        <v>0000805373</v>
      </c>
      <c r="D5356" t="str">
        <f t="shared" si="2178"/>
        <v>73185</v>
      </c>
      <c r="E5356" t="str">
        <f t="shared" si="2179"/>
        <v>KFH-OPERATIONS DEPARTMENT</v>
      </c>
      <c r="F5356" t="str">
        <f t="shared" si="2180"/>
        <v>IBG</v>
      </c>
      <c r="G5356" t="str">
        <f t="shared" si="2189"/>
        <v>Refund COSHARE 10</v>
      </c>
      <c r="H5356" s="2">
        <v>380</v>
      </c>
      <c r="I5356" t="str">
        <f>"MASROL BIN AHAP"</f>
        <v>MASROL BIN AHAP</v>
      </c>
      <c r="J5356" t="str">
        <f t="shared" si="2192"/>
        <v>HONG LEONG BANK / HONG LEONG ISLAMIC BANK</v>
      </c>
      <c r="K5356" t="str">
        <f>"07851053223"</f>
        <v>07851053223</v>
      </c>
      <c r="L5356" t="str">
        <f t="shared" si="2197"/>
        <v>04-08-2020</v>
      </c>
      <c r="M5356" t="str">
        <f t="shared" si="2197"/>
        <v>04-08-2020</v>
      </c>
      <c r="N5356" t="str">
        <f t="shared" si="2181"/>
        <v>001105018356</v>
      </c>
      <c r="O5356" t="str">
        <f t="shared" si="2182"/>
        <v>MYR</v>
      </c>
      <c r="P5356" t="str">
        <f t="shared" si="2198"/>
        <v>NIL</v>
      </c>
      <c r="Q5356" t="str">
        <f t="shared" si="2198"/>
        <v>NIL</v>
      </c>
      <c r="R5356" t="str">
        <f t="shared" si="2195"/>
        <v>Accepted</v>
      </c>
      <c r="S5356" t="str">
        <f t="shared" si="2183"/>
        <v>Approved</v>
      </c>
      <c r="T5356" t="str">
        <f t="shared" si="2196"/>
        <v>10.20.8.188</v>
      </c>
      <c r="U5356" t="str">
        <f t="shared" si="2184"/>
        <v>AZRAD UMAR BIN SHAARI</v>
      </c>
      <c r="V5356" t="str">
        <f t="shared" si="2185"/>
        <v>FARHANA BINTI MUSTAPA</v>
      </c>
      <c r="W5356" t="str">
        <f t="shared" si="2186"/>
        <v>04-08-2020</v>
      </c>
      <c r="X5356" t="str">
        <f t="shared" si="2187"/>
        <v>RAZIMAH ANSAR AHMAD</v>
      </c>
      <c r="Y5356" t="str">
        <f t="shared" si="2188"/>
        <v>04-08-2020</v>
      </c>
      <c r="Z5356" t="str">
        <f>"COS10200804 3798"</f>
        <v>COS10200804 3798</v>
      </c>
    </row>
    <row r="5357" spans="1:26" x14ac:dyDescent="0.25">
      <c r="A5357" t="str">
        <f t="shared" si="2199"/>
        <v>04-08-2020 12:46:39</v>
      </c>
      <c r="B5357" t="str">
        <f>"0000805570"</f>
        <v>0000805570</v>
      </c>
      <c r="C5357" t="str">
        <f t="shared" si="2200"/>
        <v>0000805373</v>
      </c>
      <c r="D5357" t="str">
        <f t="shared" si="2178"/>
        <v>73185</v>
      </c>
      <c r="E5357" t="str">
        <f t="shared" si="2179"/>
        <v>KFH-OPERATIONS DEPARTMENT</v>
      </c>
      <c r="F5357" t="str">
        <f t="shared" si="2180"/>
        <v>IBG</v>
      </c>
      <c r="G5357" t="str">
        <f t="shared" si="2189"/>
        <v>Refund COSHARE 10</v>
      </c>
      <c r="H5357" s="2">
        <v>1331</v>
      </c>
      <c r="I5357" t="str">
        <f>"LEE KEAN YAP"</f>
        <v>LEE KEAN YAP</v>
      </c>
      <c r="J5357" t="str">
        <f t="shared" si="2192"/>
        <v>HONG LEONG BANK / HONG LEONG ISLAMIC BANK</v>
      </c>
      <c r="K5357" t="str">
        <f>"11000003996"</f>
        <v>11000003996</v>
      </c>
      <c r="L5357" t="str">
        <f t="shared" si="2197"/>
        <v>04-08-2020</v>
      </c>
      <c r="M5357" t="str">
        <f t="shared" si="2197"/>
        <v>04-08-2020</v>
      </c>
      <c r="N5357" t="str">
        <f t="shared" si="2181"/>
        <v>001105018356</v>
      </c>
      <c r="O5357" t="str">
        <f t="shared" si="2182"/>
        <v>MYR</v>
      </c>
      <c r="P5357" t="str">
        <f t="shared" si="2198"/>
        <v>NIL</v>
      </c>
      <c r="Q5357" t="str">
        <f t="shared" si="2198"/>
        <v>NIL</v>
      </c>
      <c r="R5357" t="str">
        <f t="shared" si="2195"/>
        <v>Accepted</v>
      </c>
      <c r="S5357" t="str">
        <f t="shared" si="2183"/>
        <v>Approved</v>
      </c>
      <c r="T5357" t="str">
        <f t="shared" si="2196"/>
        <v>10.20.8.188</v>
      </c>
      <c r="U5357" t="str">
        <f t="shared" si="2184"/>
        <v>AZRAD UMAR BIN SHAARI</v>
      </c>
      <c r="V5357" t="str">
        <f t="shared" si="2185"/>
        <v>FARHANA BINTI MUSTAPA</v>
      </c>
      <c r="W5357" t="str">
        <f t="shared" si="2186"/>
        <v>04-08-2020</v>
      </c>
      <c r="X5357" t="str">
        <f t="shared" si="2187"/>
        <v>RAZIMAH ANSAR AHMAD</v>
      </c>
      <c r="Y5357" t="str">
        <f t="shared" si="2188"/>
        <v>04-08-2020</v>
      </c>
      <c r="Z5357" t="str">
        <f>"COS10200804 3797"</f>
        <v>COS10200804 3797</v>
      </c>
    </row>
    <row r="5358" spans="1:26" x14ac:dyDescent="0.25">
      <c r="A5358" t="str">
        <f t="shared" si="2199"/>
        <v>04-08-2020 12:46:39</v>
      </c>
      <c r="B5358" t="str">
        <f>"0000805569"</f>
        <v>0000805569</v>
      </c>
      <c r="C5358" t="str">
        <f t="shared" si="2200"/>
        <v>0000805373</v>
      </c>
      <c r="D5358" t="str">
        <f t="shared" si="2178"/>
        <v>73185</v>
      </c>
      <c r="E5358" t="str">
        <f t="shared" si="2179"/>
        <v>KFH-OPERATIONS DEPARTMENT</v>
      </c>
      <c r="F5358" t="str">
        <f t="shared" si="2180"/>
        <v>IBG</v>
      </c>
      <c r="G5358" t="str">
        <f t="shared" si="2189"/>
        <v>Refund COSHARE 10</v>
      </c>
      <c r="H5358" s="2">
        <v>246.1</v>
      </c>
      <c r="I5358" t="str">
        <f>"KON  SAPAWI BIN YAHU"</f>
        <v>KON  SAPAWI BIN YAHU</v>
      </c>
      <c r="J5358" t="str">
        <f t="shared" si="2192"/>
        <v>HONG LEONG BANK / HONG LEONG ISLAMIC BANK</v>
      </c>
      <c r="K5358" t="str">
        <f>"08151013591"</f>
        <v>08151013591</v>
      </c>
      <c r="L5358" t="str">
        <f t="shared" si="2197"/>
        <v>04-08-2020</v>
      </c>
      <c r="M5358" t="str">
        <f t="shared" si="2197"/>
        <v>04-08-2020</v>
      </c>
      <c r="N5358" t="str">
        <f t="shared" si="2181"/>
        <v>001105018356</v>
      </c>
      <c r="O5358" t="str">
        <f t="shared" si="2182"/>
        <v>MYR</v>
      </c>
      <c r="P5358" t="str">
        <f t="shared" si="2198"/>
        <v>NIL</v>
      </c>
      <c r="Q5358" t="str">
        <f t="shared" si="2198"/>
        <v>NIL</v>
      </c>
      <c r="R5358" t="str">
        <f t="shared" si="2195"/>
        <v>Accepted</v>
      </c>
      <c r="S5358" t="str">
        <f t="shared" si="2183"/>
        <v>Approved</v>
      </c>
      <c r="T5358" t="str">
        <f t="shared" si="2196"/>
        <v>10.20.8.188</v>
      </c>
      <c r="U5358" t="str">
        <f t="shared" si="2184"/>
        <v>AZRAD UMAR BIN SHAARI</v>
      </c>
      <c r="V5358" t="str">
        <f t="shared" si="2185"/>
        <v>FARHANA BINTI MUSTAPA</v>
      </c>
      <c r="W5358" t="str">
        <f t="shared" si="2186"/>
        <v>04-08-2020</v>
      </c>
      <c r="X5358" t="str">
        <f t="shared" si="2187"/>
        <v>RAZIMAH ANSAR AHMAD</v>
      </c>
      <c r="Y5358" t="str">
        <f t="shared" si="2188"/>
        <v>04-08-2020</v>
      </c>
      <c r="Z5358" t="str">
        <f>"COS10200804 3796"</f>
        <v>COS10200804 3796</v>
      </c>
    </row>
    <row r="5359" spans="1:26" x14ac:dyDescent="0.25">
      <c r="A5359" t="str">
        <f t="shared" si="2199"/>
        <v>04-08-2020 12:46:39</v>
      </c>
      <c r="B5359" t="str">
        <f>"0000805568"</f>
        <v>0000805568</v>
      </c>
      <c r="C5359" t="str">
        <f t="shared" si="2200"/>
        <v>0000805373</v>
      </c>
      <c r="D5359" t="str">
        <f t="shared" si="2178"/>
        <v>73185</v>
      </c>
      <c r="E5359" t="str">
        <f t="shared" si="2179"/>
        <v>KFH-OPERATIONS DEPARTMENT</v>
      </c>
      <c r="F5359" t="str">
        <f t="shared" si="2180"/>
        <v>IBG</v>
      </c>
      <c r="G5359" t="str">
        <f t="shared" si="2189"/>
        <v>Refund COSHARE 10</v>
      </c>
      <c r="H5359" s="2">
        <v>532</v>
      </c>
      <c r="I5359" t="str">
        <f>"IMAWATI BINTI MORSHIDI"</f>
        <v>IMAWATI BINTI MORSHIDI</v>
      </c>
      <c r="J5359" t="str">
        <f t="shared" si="2192"/>
        <v>HONG LEONG BANK / HONG LEONG ISLAMIC BANK</v>
      </c>
      <c r="K5359" t="str">
        <f>"07851047198"</f>
        <v>07851047198</v>
      </c>
      <c r="L5359" t="str">
        <f t="shared" si="2197"/>
        <v>04-08-2020</v>
      </c>
      <c r="M5359" t="str">
        <f t="shared" si="2197"/>
        <v>04-08-2020</v>
      </c>
      <c r="N5359" t="str">
        <f t="shared" si="2181"/>
        <v>001105018356</v>
      </c>
      <c r="O5359" t="str">
        <f t="shared" si="2182"/>
        <v>MYR</v>
      </c>
      <c r="P5359" t="str">
        <f t="shared" si="2198"/>
        <v>NIL</v>
      </c>
      <c r="Q5359" t="str">
        <f t="shared" si="2198"/>
        <v>NIL</v>
      </c>
      <c r="R5359" t="str">
        <f t="shared" si="2195"/>
        <v>Accepted</v>
      </c>
      <c r="S5359" t="str">
        <f t="shared" si="2183"/>
        <v>Approved</v>
      </c>
      <c r="T5359" t="str">
        <f t="shared" si="2196"/>
        <v>10.20.8.188</v>
      </c>
      <c r="U5359" t="str">
        <f t="shared" si="2184"/>
        <v>AZRAD UMAR BIN SHAARI</v>
      </c>
      <c r="V5359" t="str">
        <f t="shared" si="2185"/>
        <v>FARHANA BINTI MUSTAPA</v>
      </c>
      <c r="W5359" t="str">
        <f t="shared" si="2186"/>
        <v>04-08-2020</v>
      </c>
      <c r="X5359" t="str">
        <f t="shared" si="2187"/>
        <v>RAZIMAH ANSAR AHMAD</v>
      </c>
      <c r="Y5359" t="str">
        <f t="shared" si="2188"/>
        <v>04-08-2020</v>
      </c>
      <c r="Z5359" t="str">
        <f>"COS10200804 3795"</f>
        <v>COS10200804 3795</v>
      </c>
    </row>
    <row r="5360" spans="1:26" x14ac:dyDescent="0.25">
      <c r="A5360" t="str">
        <f t="shared" si="2199"/>
        <v>04-08-2020 12:46:39</v>
      </c>
      <c r="B5360" t="str">
        <f>"0000805567"</f>
        <v>0000805567</v>
      </c>
      <c r="C5360" t="str">
        <f t="shared" si="2200"/>
        <v>0000805373</v>
      </c>
      <c r="D5360" t="str">
        <f t="shared" si="2178"/>
        <v>73185</v>
      </c>
      <c r="E5360" t="str">
        <f t="shared" si="2179"/>
        <v>KFH-OPERATIONS DEPARTMENT</v>
      </c>
      <c r="F5360" t="str">
        <f t="shared" si="2180"/>
        <v>IBG</v>
      </c>
      <c r="G5360" t="str">
        <f t="shared" si="2189"/>
        <v>Refund COSHARE 10</v>
      </c>
      <c r="H5360" s="2">
        <v>109.15</v>
      </c>
      <c r="I5360" t="str">
        <f>"HOSSEN ANAK UNGGIT"</f>
        <v>HOSSEN ANAK UNGGIT</v>
      </c>
      <c r="J5360" t="str">
        <f t="shared" si="2192"/>
        <v>HONG LEONG BANK / HONG LEONG ISLAMIC BANK</v>
      </c>
      <c r="K5360" t="str">
        <f>"08150045821"</f>
        <v>08150045821</v>
      </c>
      <c r="L5360" t="str">
        <f t="shared" si="2197"/>
        <v>04-08-2020</v>
      </c>
      <c r="M5360" t="str">
        <f t="shared" si="2197"/>
        <v>04-08-2020</v>
      </c>
      <c r="N5360" t="str">
        <f t="shared" si="2181"/>
        <v>001105018356</v>
      </c>
      <c r="O5360" t="str">
        <f t="shared" si="2182"/>
        <v>MYR</v>
      </c>
      <c r="P5360" t="str">
        <f t="shared" si="2198"/>
        <v>NIL</v>
      </c>
      <c r="Q5360" t="str">
        <f t="shared" si="2198"/>
        <v>NIL</v>
      </c>
      <c r="R5360" t="str">
        <f t="shared" si="2195"/>
        <v>Accepted</v>
      </c>
      <c r="S5360" t="str">
        <f t="shared" si="2183"/>
        <v>Approved</v>
      </c>
      <c r="T5360" t="str">
        <f t="shared" si="2196"/>
        <v>10.20.8.188</v>
      </c>
      <c r="U5360" t="str">
        <f t="shared" si="2184"/>
        <v>AZRAD UMAR BIN SHAARI</v>
      </c>
      <c r="V5360" t="str">
        <f t="shared" si="2185"/>
        <v>FARHANA BINTI MUSTAPA</v>
      </c>
      <c r="W5360" t="str">
        <f t="shared" si="2186"/>
        <v>04-08-2020</v>
      </c>
      <c r="X5360" t="str">
        <f t="shared" si="2187"/>
        <v>RAZIMAH ANSAR AHMAD</v>
      </c>
      <c r="Y5360" t="str">
        <f t="shared" si="2188"/>
        <v>04-08-2020</v>
      </c>
      <c r="Z5360" t="str">
        <f>"COS10200804 3794"</f>
        <v>COS10200804 3794</v>
      </c>
    </row>
    <row r="5361" spans="1:26" x14ac:dyDescent="0.25">
      <c r="A5361" t="str">
        <f t="shared" si="2199"/>
        <v>04-08-2020 12:46:39</v>
      </c>
      <c r="B5361" t="str">
        <f>"0000805566"</f>
        <v>0000805566</v>
      </c>
      <c r="C5361" t="str">
        <f t="shared" si="2200"/>
        <v>0000805373</v>
      </c>
      <c r="D5361" t="str">
        <f t="shared" si="2178"/>
        <v>73185</v>
      </c>
      <c r="E5361" t="str">
        <f t="shared" si="2179"/>
        <v>KFH-OPERATIONS DEPARTMENT</v>
      </c>
      <c r="F5361" t="str">
        <f t="shared" si="2180"/>
        <v>IBG</v>
      </c>
      <c r="G5361" t="str">
        <f t="shared" si="2189"/>
        <v>Refund COSHARE 10</v>
      </c>
      <c r="H5361" s="2">
        <v>117.55</v>
      </c>
      <c r="I5361" t="str">
        <f>"HAZRIL BIN MOHD TANAIM"</f>
        <v>HAZRIL BIN MOHD TANAIM</v>
      </c>
      <c r="J5361" t="str">
        <f t="shared" si="2192"/>
        <v>HONG LEONG BANK / HONG LEONG ISLAMIC BANK</v>
      </c>
      <c r="K5361" t="str">
        <f>"36351008748"</f>
        <v>36351008748</v>
      </c>
      <c r="L5361" t="str">
        <f t="shared" si="2197"/>
        <v>04-08-2020</v>
      </c>
      <c r="M5361" t="str">
        <f t="shared" si="2197"/>
        <v>04-08-2020</v>
      </c>
      <c r="N5361" t="str">
        <f t="shared" si="2181"/>
        <v>001105018356</v>
      </c>
      <c r="O5361" t="str">
        <f t="shared" si="2182"/>
        <v>MYR</v>
      </c>
      <c r="P5361" t="str">
        <f t="shared" si="2198"/>
        <v>NIL</v>
      </c>
      <c r="Q5361" t="str">
        <f t="shared" si="2198"/>
        <v>NIL</v>
      </c>
      <c r="R5361" t="str">
        <f t="shared" si="2195"/>
        <v>Accepted</v>
      </c>
      <c r="S5361" t="str">
        <f t="shared" si="2183"/>
        <v>Approved</v>
      </c>
      <c r="T5361" t="str">
        <f t="shared" si="2196"/>
        <v>10.20.8.188</v>
      </c>
      <c r="U5361" t="str">
        <f t="shared" si="2184"/>
        <v>AZRAD UMAR BIN SHAARI</v>
      </c>
      <c r="V5361" t="str">
        <f t="shared" si="2185"/>
        <v>FARHANA BINTI MUSTAPA</v>
      </c>
      <c r="W5361" t="str">
        <f t="shared" si="2186"/>
        <v>04-08-2020</v>
      </c>
      <c r="X5361" t="str">
        <f t="shared" si="2187"/>
        <v>RAZIMAH ANSAR AHMAD</v>
      </c>
      <c r="Y5361" t="str">
        <f t="shared" si="2188"/>
        <v>04-08-2020</v>
      </c>
      <c r="Z5361" t="str">
        <f>"COS10200804 3793"</f>
        <v>COS10200804 3793</v>
      </c>
    </row>
    <row r="5362" spans="1:26" x14ac:dyDescent="0.25">
      <c r="A5362" t="str">
        <f t="shared" si="2199"/>
        <v>04-08-2020 12:46:39</v>
      </c>
      <c r="B5362" t="str">
        <f>"0000805565"</f>
        <v>0000805565</v>
      </c>
      <c r="C5362" t="str">
        <f t="shared" si="2200"/>
        <v>0000805373</v>
      </c>
      <c r="D5362" t="str">
        <f t="shared" si="2178"/>
        <v>73185</v>
      </c>
      <c r="E5362" t="str">
        <f t="shared" si="2179"/>
        <v>KFH-OPERATIONS DEPARTMENT</v>
      </c>
      <c r="F5362" t="str">
        <f t="shared" si="2180"/>
        <v>IBG</v>
      </c>
      <c r="G5362" t="str">
        <f t="shared" si="2189"/>
        <v>Refund COSHARE 10</v>
      </c>
      <c r="H5362" s="2">
        <v>201.5</v>
      </c>
      <c r="I5362" t="str">
        <f>"HASHINAH BINTI AHMAD"</f>
        <v>HASHINAH BINTI AHMAD</v>
      </c>
      <c r="J5362" t="str">
        <f t="shared" si="2192"/>
        <v>HONG LEONG BANK / HONG LEONG ISLAMIC BANK</v>
      </c>
      <c r="K5362" t="str">
        <f>"05051052545"</f>
        <v>05051052545</v>
      </c>
      <c r="L5362" t="str">
        <f t="shared" si="2197"/>
        <v>04-08-2020</v>
      </c>
      <c r="M5362" t="str">
        <f t="shared" si="2197"/>
        <v>04-08-2020</v>
      </c>
      <c r="N5362" t="str">
        <f t="shared" si="2181"/>
        <v>001105018356</v>
      </c>
      <c r="O5362" t="str">
        <f t="shared" si="2182"/>
        <v>MYR</v>
      </c>
      <c r="P5362" t="str">
        <f t="shared" si="2198"/>
        <v>NIL</v>
      </c>
      <c r="Q5362" t="str">
        <f t="shared" si="2198"/>
        <v>NIL</v>
      </c>
      <c r="R5362" t="str">
        <f t="shared" si="2195"/>
        <v>Accepted</v>
      </c>
      <c r="S5362" t="str">
        <f t="shared" si="2183"/>
        <v>Approved</v>
      </c>
      <c r="T5362" t="str">
        <f t="shared" si="2196"/>
        <v>10.20.8.188</v>
      </c>
      <c r="U5362" t="str">
        <f t="shared" si="2184"/>
        <v>AZRAD UMAR BIN SHAARI</v>
      </c>
      <c r="V5362" t="str">
        <f t="shared" si="2185"/>
        <v>FARHANA BINTI MUSTAPA</v>
      </c>
      <c r="W5362" t="str">
        <f t="shared" si="2186"/>
        <v>04-08-2020</v>
      </c>
      <c r="X5362" t="str">
        <f t="shared" si="2187"/>
        <v>RAZIMAH ANSAR AHMAD</v>
      </c>
      <c r="Y5362" t="str">
        <f t="shared" si="2188"/>
        <v>04-08-2020</v>
      </c>
      <c r="Z5362" t="str">
        <f>"COS10200804 3792"</f>
        <v>COS10200804 3792</v>
      </c>
    </row>
    <row r="5363" spans="1:26" x14ac:dyDescent="0.25">
      <c r="A5363" t="str">
        <f t="shared" si="2199"/>
        <v>04-08-2020 12:46:39</v>
      </c>
      <c r="B5363" t="str">
        <f>"0000805564"</f>
        <v>0000805564</v>
      </c>
      <c r="C5363" t="str">
        <f t="shared" si="2200"/>
        <v>0000805373</v>
      </c>
      <c r="D5363" t="str">
        <f t="shared" si="2178"/>
        <v>73185</v>
      </c>
      <c r="E5363" t="str">
        <f t="shared" si="2179"/>
        <v>KFH-OPERATIONS DEPARTMENT</v>
      </c>
      <c r="F5363" t="str">
        <f t="shared" si="2180"/>
        <v>IBG</v>
      </c>
      <c r="G5363" t="str">
        <f t="shared" si="2189"/>
        <v>Refund COSHARE 10</v>
      </c>
      <c r="H5363" s="2">
        <v>1481.3</v>
      </c>
      <c r="I5363" t="str">
        <f>"HASBI BIN JUNAIDI"</f>
        <v>HASBI BIN JUNAIDI</v>
      </c>
      <c r="J5363" t="str">
        <f t="shared" si="2192"/>
        <v>HONG LEONG BANK / HONG LEONG ISLAMIC BANK</v>
      </c>
      <c r="K5363" t="str">
        <f>"02050289020"</f>
        <v>02050289020</v>
      </c>
      <c r="L5363" t="str">
        <f t="shared" si="2197"/>
        <v>04-08-2020</v>
      </c>
      <c r="M5363" t="str">
        <f t="shared" si="2197"/>
        <v>04-08-2020</v>
      </c>
      <c r="N5363" t="str">
        <f t="shared" si="2181"/>
        <v>001105018356</v>
      </c>
      <c r="O5363" t="str">
        <f t="shared" si="2182"/>
        <v>MYR</v>
      </c>
      <c r="P5363" t="str">
        <f t="shared" si="2198"/>
        <v>NIL</v>
      </c>
      <c r="Q5363" t="str">
        <f t="shared" si="2198"/>
        <v>NIL</v>
      </c>
      <c r="R5363" t="str">
        <f t="shared" si="2195"/>
        <v>Accepted</v>
      </c>
      <c r="S5363" t="str">
        <f t="shared" si="2183"/>
        <v>Approved</v>
      </c>
      <c r="T5363" t="str">
        <f t="shared" si="2196"/>
        <v>10.20.8.188</v>
      </c>
      <c r="U5363" t="str">
        <f t="shared" si="2184"/>
        <v>AZRAD UMAR BIN SHAARI</v>
      </c>
      <c r="V5363" t="str">
        <f t="shared" si="2185"/>
        <v>FARHANA BINTI MUSTAPA</v>
      </c>
      <c r="W5363" t="str">
        <f t="shared" si="2186"/>
        <v>04-08-2020</v>
      </c>
      <c r="X5363" t="str">
        <f t="shared" si="2187"/>
        <v>RAZIMAH ANSAR AHMAD</v>
      </c>
      <c r="Y5363" t="str">
        <f t="shared" si="2188"/>
        <v>04-08-2020</v>
      </c>
      <c r="Z5363" t="str">
        <f>"COS10200804 3791"</f>
        <v>COS10200804 3791</v>
      </c>
    </row>
    <row r="5364" spans="1:26" x14ac:dyDescent="0.25">
      <c r="A5364" t="str">
        <f t="shared" si="2199"/>
        <v>04-08-2020 12:46:39</v>
      </c>
      <c r="B5364" t="str">
        <f>"0000805563"</f>
        <v>0000805563</v>
      </c>
      <c r="C5364" t="str">
        <f t="shared" si="2200"/>
        <v>0000805373</v>
      </c>
      <c r="D5364" t="str">
        <f t="shared" si="2178"/>
        <v>73185</v>
      </c>
      <c r="E5364" t="str">
        <f t="shared" si="2179"/>
        <v>KFH-OPERATIONS DEPARTMENT</v>
      </c>
      <c r="F5364" t="str">
        <f t="shared" si="2180"/>
        <v>IBG</v>
      </c>
      <c r="G5364" t="str">
        <f t="shared" si="2189"/>
        <v>Refund COSHARE 10</v>
      </c>
      <c r="H5364" s="2">
        <v>808.35</v>
      </c>
      <c r="I5364" t="str">
        <f>"HAMDAN BIN MOHAMAD"</f>
        <v>HAMDAN BIN MOHAMAD</v>
      </c>
      <c r="J5364" t="str">
        <f t="shared" si="2192"/>
        <v>HONG LEONG BANK / HONG LEONG ISLAMIC BANK</v>
      </c>
      <c r="K5364" t="str">
        <f>"12451069708"</f>
        <v>12451069708</v>
      </c>
      <c r="L5364" t="str">
        <f t="shared" si="2197"/>
        <v>04-08-2020</v>
      </c>
      <c r="M5364" t="str">
        <f t="shared" si="2197"/>
        <v>04-08-2020</v>
      </c>
      <c r="N5364" t="str">
        <f t="shared" si="2181"/>
        <v>001105018356</v>
      </c>
      <c r="O5364" t="str">
        <f t="shared" si="2182"/>
        <v>MYR</v>
      </c>
      <c r="P5364" t="str">
        <f t="shared" si="2198"/>
        <v>NIL</v>
      </c>
      <c r="Q5364" t="str">
        <f t="shared" si="2198"/>
        <v>NIL</v>
      </c>
      <c r="R5364" t="str">
        <f t="shared" si="2195"/>
        <v>Accepted</v>
      </c>
      <c r="S5364" t="str">
        <f t="shared" si="2183"/>
        <v>Approved</v>
      </c>
      <c r="T5364" t="str">
        <f t="shared" si="2196"/>
        <v>10.20.8.188</v>
      </c>
      <c r="U5364" t="str">
        <f t="shared" si="2184"/>
        <v>AZRAD UMAR BIN SHAARI</v>
      </c>
      <c r="V5364" t="str">
        <f t="shared" si="2185"/>
        <v>FARHANA BINTI MUSTAPA</v>
      </c>
      <c r="W5364" t="str">
        <f t="shared" si="2186"/>
        <v>04-08-2020</v>
      </c>
      <c r="X5364" t="str">
        <f t="shared" si="2187"/>
        <v>RAZIMAH ANSAR AHMAD</v>
      </c>
      <c r="Y5364" t="str">
        <f t="shared" si="2188"/>
        <v>04-08-2020</v>
      </c>
      <c r="Z5364" t="str">
        <f>"COS10200804 3790"</f>
        <v>COS10200804 3790</v>
      </c>
    </row>
    <row r="5365" spans="1:26" x14ac:dyDescent="0.25">
      <c r="A5365" t="str">
        <f t="shared" si="2199"/>
        <v>04-08-2020 12:46:39</v>
      </c>
      <c r="B5365" t="str">
        <f>"0000805562"</f>
        <v>0000805562</v>
      </c>
      <c r="C5365" t="str">
        <f t="shared" si="2200"/>
        <v>0000805373</v>
      </c>
      <c r="D5365" t="str">
        <f t="shared" si="2178"/>
        <v>73185</v>
      </c>
      <c r="E5365" t="str">
        <f t="shared" si="2179"/>
        <v>KFH-OPERATIONS DEPARTMENT</v>
      </c>
      <c r="F5365" t="str">
        <f t="shared" si="2180"/>
        <v>IBG</v>
      </c>
      <c r="G5365" t="str">
        <f t="shared" si="2189"/>
        <v>Refund COSHARE 10</v>
      </c>
      <c r="H5365" s="2">
        <v>838</v>
      </c>
      <c r="I5365" t="str">
        <f>"BANSING AK AMAN"</f>
        <v>BANSING AK AMAN</v>
      </c>
      <c r="J5365" t="str">
        <f t="shared" si="2192"/>
        <v>HONG LEONG BANK / HONG LEONG ISLAMIC BANK</v>
      </c>
      <c r="K5365" t="str">
        <f>"07850053286"</f>
        <v>07850053286</v>
      </c>
      <c r="L5365" t="str">
        <f t="shared" si="2197"/>
        <v>04-08-2020</v>
      </c>
      <c r="M5365" t="str">
        <f t="shared" si="2197"/>
        <v>04-08-2020</v>
      </c>
      <c r="N5365" t="str">
        <f t="shared" si="2181"/>
        <v>001105018356</v>
      </c>
      <c r="O5365" t="str">
        <f t="shared" si="2182"/>
        <v>MYR</v>
      </c>
      <c r="P5365" t="str">
        <f t="shared" si="2198"/>
        <v>NIL</v>
      </c>
      <c r="Q5365" t="str">
        <f t="shared" si="2198"/>
        <v>NIL</v>
      </c>
      <c r="R5365" t="str">
        <f t="shared" si="2195"/>
        <v>Accepted</v>
      </c>
      <c r="S5365" t="str">
        <f t="shared" si="2183"/>
        <v>Approved</v>
      </c>
      <c r="T5365" t="str">
        <f t="shared" si="2196"/>
        <v>10.20.8.188</v>
      </c>
      <c r="U5365" t="str">
        <f t="shared" si="2184"/>
        <v>AZRAD UMAR BIN SHAARI</v>
      </c>
      <c r="V5365" t="str">
        <f t="shared" si="2185"/>
        <v>FARHANA BINTI MUSTAPA</v>
      </c>
      <c r="W5365" t="str">
        <f t="shared" si="2186"/>
        <v>04-08-2020</v>
      </c>
      <c r="X5365" t="str">
        <f t="shared" si="2187"/>
        <v>RAZIMAH ANSAR AHMAD</v>
      </c>
      <c r="Y5365" t="str">
        <f t="shared" si="2188"/>
        <v>04-08-2020</v>
      </c>
      <c r="Z5365" t="str">
        <f>"COS10200804 3789"</f>
        <v>COS10200804 3789</v>
      </c>
    </row>
    <row r="5366" spans="1:26" x14ac:dyDescent="0.25">
      <c r="A5366" t="str">
        <f t="shared" si="2199"/>
        <v>04-08-2020 12:46:39</v>
      </c>
      <c r="B5366" t="str">
        <f>"0000805561"</f>
        <v>0000805561</v>
      </c>
      <c r="C5366" t="str">
        <f t="shared" si="2200"/>
        <v>0000805373</v>
      </c>
      <c r="D5366" t="str">
        <f t="shared" si="2178"/>
        <v>73185</v>
      </c>
      <c r="E5366" t="str">
        <f t="shared" si="2179"/>
        <v>KFH-OPERATIONS DEPARTMENT</v>
      </c>
      <c r="F5366" t="str">
        <f t="shared" si="2180"/>
        <v>IBG</v>
      </c>
      <c r="G5366" t="str">
        <f t="shared" si="2189"/>
        <v>Refund COSHARE 10</v>
      </c>
      <c r="H5366" s="2">
        <v>736</v>
      </c>
      <c r="I5366" t="str">
        <f>"AZEAN BINTI ARBI"</f>
        <v>AZEAN BINTI ARBI</v>
      </c>
      <c r="J5366" t="str">
        <f t="shared" si="2192"/>
        <v>HONG LEONG BANK / HONG LEONG ISLAMIC BANK</v>
      </c>
      <c r="K5366" t="str">
        <f>"36450083815"</f>
        <v>36450083815</v>
      </c>
      <c r="L5366" t="str">
        <f t="shared" si="2197"/>
        <v>04-08-2020</v>
      </c>
      <c r="M5366" t="str">
        <f t="shared" si="2197"/>
        <v>04-08-2020</v>
      </c>
      <c r="N5366" t="str">
        <f t="shared" si="2181"/>
        <v>001105018356</v>
      </c>
      <c r="O5366" t="str">
        <f t="shared" si="2182"/>
        <v>MYR</v>
      </c>
      <c r="P5366" t="str">
        <f t="shared" si="2198"/>
        <v>NIL</v>
      </c>
      <c r="Q5366" t="str">
        <f t="shared" si="2198"/>
        <v>NIL</v>
      </c>
      <c r="R5366" t="str">
        <f t="shared" si="2195"/>
        <v>Accepted</v>
      </c>
      <c r="S5366" t="str">
        <f t="shared" si="2183"/>
        <v>Approved</v>
      </c>
      <c r="T5366" t="str">
        <f t="shared" si="2196"/>
        <v>10.20.8.188</v>
      </c>
      <c r="U5366" t="str">
        <f t="shared" si="2184"/>
        <v>AZRAD UMAR BIN SHAARI</v>
      </c>
      <c r="V5366" t="str">
        <f t="shared" si="2185"/>
        <v>FARHANA BINTI MUSTAPA</v>
      </c>
      <c r="W5366" t="str">
        <f t="shared" si="2186"/>
        <v>04-08-2020</v>
      </c>
      <c r="X5366" t="str">
        <f t="shared" si="2187"/>
        <v>RAZIMAH ANSAR AHMAD</v>
      </c>
      <c r="Y5366" t="str">
        <f t="shared" si="2188"/>
        <v>04-08-2020</v>
      </c>
      <c r="Z5366" t="str">
        <f>"COS10200804 3788"</f>
        <v>COS10200804 3788</v>
      </c>
    </row>
    <row r="5367" spans="1:26" x14ac:dyDescent="0.25">
      <c r="A5367" t="str">
        <f t="shared" si="2199"/>
        <v>04-08-2020 12:46:39</v>
      </c>
      <c r="B5367" t="str">
        <f>"0000805560"</f>
        <v>0000805560</v>
      </c>
      <c r="C5367" t="str">
        <f t="shared" si="2200"/>
        <v>0000805373</v>
      </c>
      <c r="D5367" t="str">
        <f t="shared" si="2178"/>
        <v>73185</v>
      </c>
      <c r="E5367" t="str">
        <f t="shared" si="2179"/>
        <v>KFH-OPERATIONS DEPARTMENT</v>
      </c>
      <c r="F5367" t="str">
        <f t="shared" si="2180"/>
        <v>IBG</v>
      </c>
      <c r="G5367" t="str">
        <f t="shared" si="2189"/>
        <v>Refund COSHARE 10</v>
      </c>
      <c r="H5367" s="2">
        <v>990.65</v>
      </c>
      <c r="I5367" t="str">
        <f>"AWANGKU SYAHRUDIN B AWANG DZULKARNAIN"</f>
        <v>AWANGKU SYAHRUDIN B AWANG DZULKARNAIN</v>
      </c>
      <c r="J5367" t="str">
        <f t="shared" si="2192"/>
        <v>HONG LEONG BANK / HONG LEONG ISLAMIC BANK</v>
      </c>
      <c r="K5367" t="str">
        <f>"01651149522"</f>
        <v>01651149522</v>
      </c>
      <c r="L5367" t="str">
        <f t="shared" ref="L5367:M5386" si="2201">"04-08-2020"</f>
        <v>04-08-2020</v>
      </c>
      <c r="M5367" t="str">
        <f t="shared" si="2201"/>
        <v>04-08-2020</v>
      </c>
      <c r="N5367" t="str">
        <f t="shared" si="2181"/>
        <v>001105018356</v>
      </c>
      <c r="O5367" t="str">
        <f t="shared" si="2182"/>
        <v>MYR</v>
      </c>
      <c r="P5367" t="str">
        <f t="shared" ref="P5367:Q5386" si="2202">"NIL"</f>
        <v>NIL</v>
      </c>
      <c r="Q5367" t="str">
        <f t="shared" si="2202"/>
        <v>NIL</v>
      </c>
      <c r="R5367" t="str">
        <f t="shared" si="2195"/>
        <v>Accepted</v>
      </c>
      <c r="S5367" t="str">
        <f t="shared" si="2183"/>
        <v>Approved</v>
      </c>
      <c r="T5367" t="str">
        <f t="shared" si="2196"/>
        <v>10.20.8.188</v>
      </c>
      <c r="U5367" t="str">
        <f t="shared" si="2184"/>
        <v>AZRAD UMAR BIN SHAARI</v>
      </c>
      <c r="V5367" t="str">
        <f t="shared" si="2185"/>
        <v>FARHANA BINTI MUSTAPA</v>
      </c>
      <c r="W5367" t="str">
        <f t="shared" si="2186"/>
        <v>04-08-2020</v>
      </c>
      <c r="X5367" t="str">
        <f t="shared" si="2187"/>
        <v>RAZIMAH ANSAR AHMAD</v>
      </c>
      <c r="Y5367" t="str">
        <f t="shared" si="2188"/>
        <v>04-08-2020</v>
      </c>
      <c r="Z5367" t="str">
        <f>"COS10200804 3787"</f>
        <v>COS10200804 3787</v>
      </c>
    </row>
    <row r="5368" spans="1:26" x14ac:dyDescent="0.25">
      <c r="A5368" t="str">
        <f t="shared" si="2199"/>
        <v>04-08-2020 12:46:39</v>
      </c>
      <c r="B5368" t="str">
        <f>"0000805559"</f>
        <v>0000805559</v>
      </c>
      <c r="C5368" t="str">
        <f t="shared" si="2200"/>
        <v>0000805373</v>
      </c>
      <c r="D5368" t="str">
        <f t="shared" si="2178"/>
        <v>73185</v>
      </c>
      <c r="E5368" t="str">
        <f t="shared" si="2179"/>
        <v>KFH-OPERATIONS DEPARTMENT</v>
      </c>
      <c r="F5368" t="str">
        <f t="shared" si="2180"/>
        <v>IBG</v>
      </c>
      <c r="G5368" t="str">
        <f t="shared" si="2189"/>
        <v>Refund COSHARE 10</v>
      </c>
      <c r="H5368" s="2">
        <v>83.95</v>
      </c>
      <c r="I5368" t="str">
        <f>"AWANG SOPIAN BIN AWANG BOJENG"</f>
        <v>AWANG SOPIAN BIN AWANG BOJENG</v>
      </c>
      <c r="J5368" t="str">
        <f t="shared" si="2192"/>
        <v>HONG LEONG BANK / HONG LEONG ISLAMIC BANK</v>
      </c>
      <c r="K5368" t="str">
        <f>"25850044204"</f>
        <v>25850044204</v>
      </c>
      <c r="L5368" t="str">
        <f t="shared" si="2201"/>
        <v>04-08-2020</v>
      </c>
      <c r="M5368" t="str">
        <f t="shared" si="2201"/>
        <v>04-08-2020</v>
      </c>
      <c r="N5368" t="str">
        <f t="shared" si="2181"/>
        <v>001105018356</v>
      </c>
      <c r="O5368" t="str">
        <f t="shared" si="2182"/>
        <v>MYR</v>
      </c>
      <c r="P5368" t="str">
        <f t="shared" si="2202"/>
        <v>NIL</v>
      </c>
      <c r="Q5368" t="str">
        <f t="shared" si="2202"/>
        <v>NIL</v>
      </c>
      <c r="R5368" t="str">
        <f t="shared" si="2195"/>
        <v>Accepted</v>
      </c>
      <c r="S5368" t="str">
        <f t="shared" si="2183"/>
        <v>Approved</v>
      </c>
      <c r="T5368" t="str">
        <f t="shared" si="2196"/>
        <v>10.20.8.188</v>
      </c>
      <c r="U5368" t="str">
        <f t="shared" si="2184"/>
        <v>AZRAD UMAR BIN SHAARI</v>
      </c>
      <c r="V5368" t="str">
        <f t="shared" si="2185"/>
        <v>FARHANA BINTI MUSTAPA</v>
      </c>
      <c r="W5368" t="str">
        <f t="shared" si="2186"/>
        <v>04-08-2020</v>
      </c>
      <c r="X5368" t="str">
        <f t="shared" si="2187"/>
        <v>RAZIMAH ANSAR AHMAD</v>
      </c>
      <c r="Y5368" t="str">
        <f t="shared" si="2188"/>
        <v>04-08-2020</v>
      </c>
      <c r="Z5368" t="str">
        <f>"COS10200804 3786"</f>
        <v>COS10200804 3786</v>
      </c>
    </row>
    <row r="5369" spans="1:26" x14ac:dyDescent="0.25">
      <c r="A5369" t="str">
        <f t="shared" si="2199"/>
        <v>04-08-2020 12:46:39</v>
      </c>
      <c r="B5369" t="str">
        <f>"0000805558"</f>
        <v>0000805558</v>
      </c>
      <c r="C5369" t="str">
        <f t="shared" si="2200"/>
        <v>0000805373</v>
      </c>
      <c r="D5369" t="str">
        <f t="shared" si="2178"/>
        <v>73185</v>
      </c>
      <c r="E5369" t="str">
        <f t="shared" si="2179"/>
        <v>KFH-OPERATIONS DEPARTMENT</v>
      </c>
      <c r="F5369" t="str">
        <f t="shared" si="2180"/>
        <v>IBG</v>
      </c>
      <c r="G5369" t="str">
        <f t="shared" si="2189"/>
        <v>Refund COSHARE 10</v>
      </c>
      <c r="H5369" s="2">
        <v>228</v>
      </c>
      <c r="I5369" t="str">
        <f>"AHMAD AFIF BIN GHAZALI"</f>
        <v>AHMAD AFIF BIN GHAZALI</v>
      </c>
      <c r="J5369" t="str">
        <f t="shared" si="2192"/>
        <v>HONG LEONG BANK / HONG LEONG ISLAMIC BANK</v>
      </c>
      <c r="K5369" t="str">
        <f>"36351019476"</f>
        <v>36351019476</v>
      </c>
      <c r="L5369" t="str">
        <f t="shared" si="2201"/>
        <v>04-08-2020</v>
      </c>
      <c r="M5369" t="str">
        <f t="shared" si="2201"/>
        <v>04-08-2020</v>
      </c>
      <c r="N5369" t="str">
        <f t="shared" si="2181"/>
        <v>001105018356</v>
      </c>
      <c r="O5369" t="str">
        <f t="shared" si="2182"/>
        <v>MYR</v>
      </c>
      <c r="P5369" t="str">
        <f t="shared" si="2202"/>
        <v>NIL</v>
      </c>
      <c r="Q5369" t="str">
        <f t="shared" si="2202"/>
        <v>NIL</v>
      </c>
      <c r="R5369" t="str">
        <f t="shared" si="2195"/>
        <v>Accepted</v>
      </c>
      <c r="S5369" t="str">
        <f t="shared" si="2183"/>
        <v>Approved</v>
      </c>
      <c r="T5369" t="str">
        <f t="shared" si="2196"/>
        <v>10.20.8.188</v>
      </c>
      <c r="U5369" t="str">
        <f t="shared" si="2184"/>
        <v>AZRAD UMAR BIN SHAARI</v>
      </c>
      <c r="V5369" t="str">
        <f t="shared" si="2185"/>
        <v>FARHANA BINTI MUSTAPA</v>
      </c>
      <c r="W5369" t="str">
        <f t="shared" si="2186"/>
        <v>04-08-2020</v>
      </c>
      <c r="X5369" t="str">
        <f t="shared" si="2187"/>
        <v>RAZIMAH ANSAR AHMAD</v>
      </c>
      <c r="Y5369" t="str">
        <f t="shared" si="2188"/>
        <v>04-08-2020</v>
      </c>
      <c r="Z5369" t="str">
        <f>"COS10200804 3785"</f>
        <v>COS10200804 3785</v>
      </c>
    </row>
    <row r="5370" spans="1:26" x14ac:dyDescent="0.25">
      <c r="A5370" t="str">
        <f t="shared" si="2199"/>
        <v>04-08-2020 12:46:39</v>
      </c>
      <c r="B5370" t="str">
        <f>"0000805557"</f>
        <v>0000805557</v>
      </c>
      <c r="C5370" t="str">
        <f t="shared" si="2200"/>
        <v>0000805373</v>
      </c>
      <c r="D5370" t="str">
        <f t="shared" si="2178"/>
        <v>73185</v>
      </c>
      <c r="E5370" t="str">
        <f t="shared" si="2179"/>
        <v>KFH-OPERATIONS DEPARTMENT</v>
      </c>
      <c r="F5370" t="str">
        <f t="shared" si="2180"/>
        <v>IBG</v>
      </c>
      <c r="G5370" t="str">
        <f t="shared" si="2189"/>
        <v>Refund COSHARE 10</v>
      </c>
      <c r="H5370" s="2">
        <v>630</v>
      </c>
      <c r="I5370" t="str">
        <f>"ACHONG ANAK BUJANG"</f>
        <v>ACHONG ANAK BUJANG</v>
      </c>
      <c r="J5370" t="str">
        <f t="shared" si="2192"/>
        <v>HONG LEONG BANK / HONG LEONG ISLAMIC BANK</v>
      </c>
      <c r="K5370" t="str">
        <f>"02951018747"</f>
        <v>02951018747</v>
      </c>
      <c r="L5370" t="str">
        <f t="shared" si="2201"/>
        <v>04-08-2020</v>
      </c>
      <c r="M5370" t="str">
        <f t="shared" si="2201"/>
        <v>04-08-2020</v>
      </c>
      <c r="N5370" t="str">
        <f t="shared" si="2181"/>
        <v>001105018356</v>
      </c>
      <c r="O5370" t="str">
        <f t="shared" si="2182"/>
        <v>MYR</v>
      </c>
      <c r="P5370" t="str">
        <f t="shared" si="2202"/>
        <v>NIL</v>
      </c>
      <c r="Q5370" t="str">
        <f t="shared" si="2202"/>
        <v>NIL</v>
      </c>
      <c r="R5370" t="str">
        <f t="shared" si="2195"/>
        <v>Accepted</v>
      </c>
      <c r="S5370" t="str">
        <f t="shared" si="2183"/>
        <v>Approved</v>
      </c>
      <c r="T5370" t="str">
        <f t="shared" si="2196"/>
        <v>10.20.8.188</v>
      </c>
      <c r="U5370" t="str">
        <f t="shared" si="2184"/>
        <v>AZRAD UMAR BIN SHAARI</v>
      </c>
      <c r="V5370" t="str">
        <f t="shared" si="2185"/>
        <v>FARHANA BINTI MUSTAPA</v>
      </c>
      <c r="W5370" t="str">
        <f t="shared" si="2186"/>
        <v>04-08-2020</v>
      </c>
      <c r="X5370" t="str">
        <f t="shared" si="2187"/>
        <v>RAZIMAH ANSAR AHMAD</v>
      </c>
      <c r="Y5370" t="str">
        <f t="shared" si="2188"/>
        <v>04-08-2020</v>
      </c>
      <c r="Z5370" t="str">
        <f>"COS10200804 3784"</f>
        <v>COS10200804 3784</v>
      </c>
    </row>
    <row r="5371" spans="1:26" x14ac:dyDescent="0.25">
      <c r="A5371" t="str">
        <f t="shared" si="2199"/>
        <v>04-08-2020 12:46:39</v>
      </c>
      <c r="B5371" t="str">
        <f>"0000805556"</f>
        <v>0000805556</v>
      </c>
      <c r="C5371" t="str">
        <f t="shared" si="2200"/>
        <v>0000805373</v>
      </c>
      <c r="D5371" t="str">
        <f t="shared" si="2178"/>
        <v>73185</v>
      </c>
      <c r="E5371" t="str">
        <f t="shared" si="2179"/>
        <v>KFH-OPERATIONS DEPARTMENT</v>
      </c>
      <c r="F5371" t="str">
        <f t="shared" si="2180"/>
        <v>IBG</v>
      </c>
      <c r="G5371" t="str">
        <f t="shared" si="2189"/>
        <v>Refund COSHARE 10</v>
      </c>
      <c r="H5371" s="2">
        <v>1460.75</v>
      </c>
      <c r="I5371" t="str">
        <f>"ABU SUFFIAN BIN ADAM"</f>
        <v>ABU SUFFIAN BIN ADAM</v>
      </c>
      <c r="J5371" t="str">
        <f t="shared" si="2192"/>
        <v>HONG LEONG BANK / HONG LEONG ISLAMIC BANK</v>
      </c>
      <c r="K5371" t="str">
        <f>"02950200460"</f>
        <v>02950200460</v>
      </c>
      <c r="L5371" t="str">
        <f t="shared" si="2201"/>
        <v>04-08-2020</v>
      </c>
      <c r="M5371" t="str">
        <f t="shared" si="2201"/>
        <v>04-08-2020</v>
      </c>
      <c r="N5371" t="str">
        <f t="shared" si="2181"/>
        <v>001105018356</v>
      </c>
      <c r="O5371" t="str">
        <f t="shared" si="2182"/>
        <v>MYR</v>
      </c>
      <c r="P5371" t="str">
        <f t="shared" si="2202"/>
        <v>NIL</v>
      </c>
      <c r="Q5371" t="str">
        <f t="shared" si="2202"/>
        <v>NIL</v>
      </c>
      <c r="R5371" t="str">
        <f t="shared" si="2195"/>
        <v>Accepted</v>
      </c>
      <c r="S5371" t="str">
        <f t="shared" si="2183"/>
        <v>Approved</v>
      </c>
      <c r="T5371" t="str">
        <f t="shared" si="2196"/>
        <v>10.20.8.188</v>
      </c>
      <c r="U5371" t="str">
        <f t="shared" si="2184"/>
        <v>AZRAD UMAR BIN SHAARI</v>
      </c>
      <c r="V5371" t="str">
        <f t="shared" si="2185"/>
        <v>FARHANA BINTI MUSTAPA</v>
      </c>
      <c r="W5371" t="str">
        <f t="shared" si="2186"/>
        <v>04-08-2020</v>
      </c>
      <c r="X5371" t="str">
        <f t="shared" si="2187"/>
        <v>RAZIMAH ANSAR AHMAD</v>
      </c>
      <c r="Y5371" t="str">
        <f t="shared" si="2188"/>
        <v>04-08-2020</v>
      </c>
      <c r="Z5371" t="str">
        <f>"COS10200804 3783"</f>
        <v>COS10200804 3783</v>
      </c>
    </row>
    <row r="5372" spans="1:26" x14ac:dyDescent="0.25">
      <c r="A5372" t="str">
        <f t="shared" si="2199"/>
        <v>04-08-2020 12:46:39</v>
      </c>
      <c r="B5372" t="str">
        <f>"0000805555"</f>
        <v>0000805555</v>
      </c>
      <c r="C5372" t="str">
        <f t="shared" si="2200"/>
        <v>0000805373</v>
      </c>
      <c r="D5372" t="str">
        <f t="shared" si="2178"/>
        <v>73185</v>
      </c>
      <c r="E5372" t="str">
        <f t="shared" si="2179"/>
        <v>KFH-OPERATIONS DEPARTMENT</v>
      </c>
      <c r="F5372" t="str">
        <f t="shared" si="2180"/>
        <v>IBG</v>
      </c>
      <c r="G5372" t="str">
        <f t="shared" si="2189"/>
        <v>Refund COSHARE 10</v>
      </c>
      <c r="H5372" s="2">
        <v>139.19999999999999</v>
      </c>
      <c r="I5372" t="str">
        <f>"ZURIPIN BIN MALAJIM"</f>
        <v>ZURIPIN BIN MALAJIM</v>
      </c>
      <c r="J5372" t="str">
        <f t="shared" ref="J5372:J5435" si="2203">"CIMB BANK / CIMB ISLAMIC BANK"</f>
        <v>CIMB BANK / CIMB ISLAMIC BANK</v>
      </c>
      <c r="K5372" t="str">
        <f>"10030035857522"</f>
        <v>10030035857522</v>
      </c>
      <c r="L5372" t="str">
        <f t="shared" si="2201"/>
        <v>04-08-2020</v>
      </c>
      <c r="M5372" t="str">
        <f t="shared" si="2201"/>
        <v>04-08-2020</v>
      </c>
      <c r="N5372" t="str">
        <f t="shared" si="2181"/>
        <v>001105018356</v>
      </c>
      <c r="O5372" t="str">
        <f t="shared" si="2182"/>
        <v>MYR</v>
      </c>
      <c r="P5372" t="str">
        <f t="shared" si="2202"/>
        <v>NIL</v>
      </c>
      <c r="Q5372" t="str">
        <f t="shared" si="2202"/>
        <v>NIL</v>
      </c>
      <c r="R5372" t="str">
        <f t="shared" si="2195"/>
        <v>Accepted</v>
      </c>
      <c r="S5372" t="str">
        <f t="shared" si="2183"/>
        <v>Approved</v>
      </c>
      <c r="T5372" t="str">
        <f t="shared" si="2196"/>
        <v>10.20.8.188</v>
      </c>
      <c r="U5372" t="str">
        <f t="shared" si="2184"/>
        <v>AZRAD UMAR BIN SHAARI</v>
      </c>
      <c r="V5372" t="str">
        <f t="shared" si="2185"/>
        <v>FARHANA BINTI MUSTAPA</v>
      </c>
      <c r="W5372" t="str">
        <f t="shared" si="2186"/>
        <v>04-08-2020</v>
      </c>
      <c r="X5372" t="str">
        <f t="shared" si="2187"/>
        <v>RAZIMAH ANSAR AHMAD</v>
      </c>
      <c r="Y5372" t="str">
        <f t="shared" si="2188"/>
        <v>04-08-2020</v>
      </c>
      <c r="Z5372" t="str">
        <f>"COS10200804 3782"</f>
        <v>COS10200804 3782</v>
      </c>
    </row>
    <row r="5373" spans="1:26" x14ac:dyDescent="0.25">
      <c r="A5373" t="str">
        <f t="shared" si="2199"/>
        <v>04-08-2020 12:46:39</v>
      </c>
      <c r="B5373" t="str">
        <f>"0000805554"</f>
        <v>0000805554</v>
      </c>
      <c r="C5373" t="str">
        <f t="shared" si="2200"/>
        <v>0000805373</v>
      </c>
      <c r="D5373" t="str">
        <f t="shared" si="2178"/>
        <v>73185</v>
      </c>
      <c r="E5373" t="str">
        <f t="shared" si="2179"/>
        <v>KFH-OPERATIONS DEPARTMENT</v>
      </c>
      <c r="F5373" t="str">
        <f t="shared" si="2180"/>
        <v>IBG</v>
      </c>
      <c r="G5373" t="str">
        <f t="shared" si="2189"/>
        <v>Refund COSHARE 10</v>
      </c>
      <c r="H5373" s="2">
        <v>1679</v>
      </c>
      <c r="I5373" t="str">
        <f>"ZURAINI BINTI SALLEH"</f>
        <v>ZURAINI BINTI SALLEH</v>
      </c>
      <c r="J5373" t="str">
        <f t="shared" si="2203"/>
        <v>CIMB BANK / CIMB ISLAMIC BANK</v>
      </c>
      <c r="K5373" t="str">
        <f>"10030044491526"</f>
        <v>10030044491526</v>
      </c>
      <c r="L5373" t="str">
        <f t="shared" si="2201"/>
        <v>04-08-2020</v>
      </c>
      <c r="M5373" t="str">
        <f t="shared" si="2201"/>
        <v>04-08-2020</v>
      </c>
      <c r="N5373" t="str">
        <f t="shared" si="2181"/>
        <v>001105018356</v>
      </c>
      <c r="O5373" t="str">
        <f t="shared" si="2182"/>
        <v>MYR</v>
      </c>
      <c r="P5373" t="str">
        <f t="shared" si="2202"/>
        <v>NIL</v>
      </c>
      <c r="Q5373" t="str">
        <f t="shared" si="2202"/>
        <v>NIL</v>
      </c>
      <c r="R5373" t="str">
        <f t="shared" si="2195"/>
        <v>Accepted</v>
      </c>
      <c r="S5373" t="str">
        <f t="shared" si="2183"/>
        <v>Approved</v>
      </c>
      <c r="T5373" t="str">
        <f t="shared" si="2196"/>
        <v>10.20.8.188</v>
      </c>
      <c r="U5373" t="str">
        <f t="shared" si="2184"/>
        <v>AZRAD UMAR BIN SHAARI</v>
      </c>
      <c r="V5373" t="str">
        <f t="shared" si="2185"/>
        <v>FARHANA BINTI MUSTAPA</v>
      </c>
      <c r="W5373" t="str">
        <f t="shared" si="2186"/>
        <v>04-08-2020</v>
      </c>
      <c r="X5373" t="str">
        <f t="shared" si="2187"/>
        <v>RAZIMAH ANSAR AHMAD</v>
      </c>
      <c r="Y5373" t="str">
        <f t="shared" si="2188"/>
        <v>04-08-2020</v>
      </c>
      <c r="Z5373" t="str">
        <f>"COS10200804 3781"</f>
        <v>COS10200804 3781</v>
      </c>
    </row>
    <row r="5374" spans="1:26" x14ac:dyDescent="0.25">
      <c r="A5374" t="str">
        <f t="shared" si="2199"/>
        <v>04-08-2020 12:46:39</v>
      </c>
      <c r="B5374" t="str">
        <f>"0000805553"</f>
        <v>0000805553</v>
      </c>
      <c r="C5374" t="str">
        <f t="shared" si="2200"/>
        <v>0000805373</v>
      </c>
      <c r="D5374" t="str">
        <f t="shared" si="2178"/>
        <v>73185</v>
      </c>
      <c r="E5374" t="str">
        <f t="shared" si="2179"/>
        <v>KFH-OPERATIONS DEPARTMENT</v>
      </c>
      <c r="F5374" t="str">
        <f t="shared" si="2180"/>
        <v>IBG</v>
      </c>
      <c r="G5374" t="str">
        <f t="shared" si="2189"/>
        <v>Refund COSHARE 10</v>
      </c>
      <c r="H5374" s="2">
        <v>133.05000000000001</v>
      </c>
      <c r="I5374" t="str">
        <f>"ZURAINEE BIN MD SHARIF"</f>
        <v>ZURAINEE BIN MD SHARIF</v>
      </c>
      <c r="J5374" t="str">
        <f t="shared" si="2203"/>
        <v>CIMB BANK / CIMB ISLAMIC BANK</v>
      </c>
      <c r="K5374" t="str">
        <f>"08140068304524"</f>
        <v>08140068304524</v>
      </c>
      <c r="L5374" t="str">
        <f t="shared" si="2201"/>
        <v>04-08-2020</v>
      </c>
      <c r="M5374" t="str">
        <f t="shared" si="2201"/>
        <v>04-08-2020</v>
      </c>
      <c r="N5374" t="str">
        <f t="shared" si="2181"/>
        <v>001105018356</v>
      </c>
      <c r="O5374" t="str">
        <f t="shared" si="2182"/>
        <v>MYR</v>
      </c>
      <c r="P5374" t="str">
        <f t="shared" si="2202"/>
        <v>NIL</v>
      </c>
      <c r="Q5374" t="str">
        <f t="shared" si="2202"/>
        <v>NIL</v>
      </c>
      <c r="R5374" t="str">
        <f t="shared" si="2195"/>
        <v>Accepted</v>
      </c>
      <c r="S5374" t="str">
        <f t="shared" si="2183"/>
        <v>Approved</v>
      </c>
      <c r="T5374" t="str">
        <f t="shared" si="2196"/>
        <v>10.20.8.188</v>
      </c>
      <c r="U5374" t="str">
        <f t="shared" si="2184"/>
        <v>AZRAD UMAR BIN SHAARI</v>
      </c>
      <c r="V5374" t="str">
        <f t="shared" si="2185"/>
        <v>FARHANA BINTI MUSTAPA</v>
      </c>
      <c r="W5374" t="str">
        <f t="shared" si="2186"/>
        <v>04-08-2020</v>
      </c>
      <c r="X5374" t="str">
        <f t="shared" si="2187"/>
        <v>RAZIMAH ANSAR AHMAD</v>
      </c>
      <c r="Y5374" t="str">
        <f t="shared" si="2188"/>
        <v>04-08-2020</v>
      </c>
      <c r="Z5374" t="str">
        <f>"COS10200804 3780"</f>
        <v>COS10200804 3780</v>
      </c>
    </row>
    <row r="5375" spans="1:26" x14ac:dyDescent="0.25">
      <c r="A5375" t="str">
        <f t="shared" si="2199"/>
        <v>04-08-2020 12:46:39</v>
      </c>
      <c r="B5375" t="str">
        <f>"0000805552"</f>
        <v>0000805552</v>
      </c>
      <c r="C5375" t="str">
        <f t="shared" si="2200"/>
        <v>0000805373</v>
      </c>
      <c r="D5375" t="str">
        <f t="shared" si="2178"/>
        <v>73185</v>
      </c>
      <c r="E5375" t="str">
        <f t="shared" si="2179"/>
        <v>KFH-OPERATIONS DEPARTMENT</v>
      </c>
      <c r="F5375" t="str">
        <f t="shared" si="2180"/>
        <v>IBG</v>
      </c>
      <c r="G5375" t="str">
        <f t="shared" si="2189"/>
        <v>Refund COSHARE 10</v>
      </c>
      <c r="H5375" s="2">
        <v>827</v>
      </c>
      <c r="I5375" t="str">
        <f>"ZURAIDA BINTI IBRAHIM"</f>
        <v>ZURAIDA BINTI IBRAHIM</v>
      </c>
      <c r="J5375" t="str">
        <f t="shared" si="2203"/>
        <v>CIMB BANK / CIMB ISLAMIC BANK</v>
      </c>
      <c r="K5375" t="str">
        <f>"03110006092520"</f>
        <v>03110006092520</v>
      </c>
      <c r="L5375" t="str">
        <f t="shared" si="2201"/>
        <v>04-08-2020</v>
      </c>
      <c r="M5375" t="str">
        <f t="shared" si="2201"/>
        <v>04-08-2020</v>
      </c>
      <c r="N5375" t="str">
        <f t="shared" si="2181"/>
        <v>001105018356</v>
      </c>
      <c r="O5375" t="str">
        <f t="shared" si="2182"/>
        <v>MYR</v>
      </c>
      <c r="P5375" t="str">
        <f t="shared" si="2202"/>
        <v>NIL</v>
      </c>
      <c r="Q5375" t="str">
        <f t="shared" si="2202"/>
        <v>NIL</v>
      </c>
      <c r="R5375" t="str">
        <f t="shared" si="2195"/>
        <v>Accepted</v>
      </c>
      <c r="S5375" t="str">
        <f t="shared" si="2183"/>
        <v>Approved</v>
      </c>
      <c r="T5375" t="str">
        <f t="shared" si="2196"/>
        <v>10.20.8.188</v>
      </c>
      <c r="U5375" t="str">
        <f t="shared" si="2184"/>
        <v>AZRAD UMAR BIN SHAARI</v>
      </c>
      <c r="V5375" t="str">
        <f t="shared" si="2185"/>
        <v>FARHANA BINTI MUSTAPA</v>
      </c>
      <c r="W5375" t="str">
        <f t="shared" si="2186"/>
        <v>04-08-2020</v>
      </c>
      <c r="X5375" t="str">
        <f t="shared" si="2187"/>
        <v>RAZIMAH ANSAR AHMAD</v>
      </c>
      <c r="Y5375" t="str">
        <f t="shared" si="2188"/>
        <v>04-08-2020</v>
      </c>
      <c r="Z5375" t="str">
        <f>"COS10200804 3779"</f>
        <v>COS10200804 3779</v>
      </c>
    </row>
    <row r="5376" spans="1:26" x14ac:dyDescent="0.25">
      <c r="A5376" t="str">
        <f t="shared" si="2199"/>
        <v>04-08-2020 12:46:39</v>
      </c>
      <c r="B5376" t="str">
        <f>"0000805551"</f>
        <v>0000805551</v>
      </c>
      <c r="C5376" t="str">
        <f t="shared" si="2200"/>
        <v>0000805373</v>
      </c>
      <c r="D5376" t="str">
        <f t="shared" si="2178"/>
        <v>73185</v>
      </c>
      <c r="E5376" t="str">
        <f t="shared" si="2179"/>
        <v>KFH-OPERATIONS DEPARTMENT</v>
      </c>
      <c r="F5376" t="str">
        <f t="shared" si="2180"/>
        <v>IBG</v>
      </c>
      <c r="G5376" t="str">
        <f t="shared" si="2189"/>
        <v>Refund COSHARE 10</v>
      </c>
      <c r="H5376" s="2">
        <v>495.3</v>
      </c>
      <c r="I5376" t="str">
        <f>"ZULKIFLI BIN WAHAB"</f>
        <v>ZULKIFLI BIN WAHAB</v>
      </c>
      <c r="J5376" t="str">
        <f t="shared" si="2203"/>
        <v>CIMB BANK / CIMB ISLAMIC BANK</v>
      </c>
      <c r="K5376" t="str">
        <f>"7014369342"</f>
        <v>7014369342</v>
      </c>
      <c r="L5376" t="str">
        <f t="shared" si="2201"/>
        <v>04-08-2020</v>
      </c>
      <c r="M5376" t="str">
        <f t="shared" si="2201"/>
        <v>04-08-2020</v>
      </c>
      <c r="N5376" t="str">
        <f t="shared" si="2181"/>
        <v>001105018356</v>
      </c>
      <c r="O5376" t="str">
        <f t="shared" si="2182"/>
        <v>MYR</v>
      </c>
      <c r="P5376" t="str">
        <f t="shared" si="2202"/>
        <v>NIL</v>
      </c>
      <c r="Q5376" t="str">
        <f t="shared" si="2202"/>
        <v>NIL</v>
      </c>
      <c r="R5376" t="str">
        <f t="shared" si="2195"/>
        <v>Accepted</v>
      </c>
      <c r="S5376" t="str">
        <f t="shared" si="2183"/>
        <v>Approved</v>
      </c>
      <c r="T5376" t="str">
        <f t="shared" si="2196"/>
        <v>10.20.8.188</v>
      </c>
      <c r="U5376" t="str">
        <f t="shared" si="2184"/>
        <v>AZRAD UMAR BIN SHAARI</v>
      </c>
      <c r="V5376" t="str">
        <f t="shared" si="2185"/>
        <v>FARHANA BINTI MUSTAPA</v>
      </c>
      <c r="W5376" t="str">
        <f t="shared" si="2186"/>
        <v>04-08-2020</v>
      </c>
      <c r="X5376" t="str">
        <f t="shared" si="2187"/>
        <v>RAZIMAH ANSAR AHMAD</v>
      </c>
      <c r="Y5376" t="str">
        <f t="shared" si="2188"/>
        <v>04-08-2020</v>
      </c>
      <c r="Z5376" t="str">
        <f>"COS10200804 3778"</f>
        <v>COS10200804 3778</v>
      </c>
    </row>
    <row r="5377" spans="1:26" x14ac:dyDescent="0.25">
      <c r="A5377" t="str">
        <f t="shared" si="2199"/>
        <v>04-08-2020 12:46:39</v>
      </c>
      <c r="B5377" t="str">
        <f>"0000805550"</f>
        <v>0000805550</v>
      </c>
      <c r="C5377" t="str">
        <f t="shared" si="2200"/>
        <v>0000805373</v>
      </c>
      <c r="D5377" t="str">
        <f t="shared" si="2178"/>
        <v>73185</v>
      </c>
      <c r="E5377" t="str">
        <f t="shared" si="2179"/>
        <v>KFH-OPERATIONS DEPARTMENT</v>
      </c>
      <c r="F5377" t="str">
        <f t="shared" si="2180"/>
        <v>IBG</v>
      </c>
      <c r="G5377" t="str">
        <f t="shared" si="2189"/>
        <v>Refund COSHARE 10</v>
      </c>
      <c r="H5377" s="2">
        <v>1443.95</v>
      </c>
      <c r="I5377" t="str">
        <f>"ZULKIFLI BIN ISMAIL  BESAR"</f>
        <v>ZULKIFLI BIN ISMAIL  BESAR</v>
      </c>
      <c r="J5377" t="str">
        <f t="shared" si="2203"/>
        <v>CIMB BANK / CIMB ISLAMIC BANK</v>
      </c>
      <c r="K5377" t="str">
        <f>"7050030957"</f>
        <v>7050030957</v>
      </c>
      <c r="L5377" t="str">
        <f t="shared" si="2201"/>
        <v>04-08-2020</v>
      </c>
      <c r="M5377" t="str">
        <f t="shared" si="2201"/>
        <v>04-08-2020</v>
      </c>
      <c r="N5377" t="str">
        <f t="shared" si="2181"/>
        <v>001105018356</v>
      </c>
      <c r="O5377" t="str">
        <f t="shared" si="2182"/>
        <v>MYR</v>
      </c>
      <c r="P5377" t="str">
        <f t="shared" si="2202"/>
        <v>NIL</v>
      </c>
      <c r="Q5377" t="str">
        <f t="shared" si="2202"/>
        <v>NIL</v>
      </c>
      <c r="R5377" t="str">
        <f t="shared" si="2195"/>
        <v>Accepted</v>
      </c>
      <c r="S5377" t="str">
        <f t="shared" si="2183"/>
        <v>Approved</v>
      </c>
      <c r="T5377" t="str">
        <f t="shared" si="2196"/>
        <v>10.20.8.188</v>
      </c>
      <c r="U5377" t="str">
        <f t="shared" si="2184"/>
        <v>AZRAD UMAR BIN SHAARI</v>
      </c>
      <c r="V5377" t="str">
        <f t="shared" si="2185"/>
        <v>FARHANA BINTI MUSTAPA</v>
      </c>
      <c r="W5377" t="str">
        <f t="shared" si="2186"/>
        <v>04-08-2020</v>
      </c>
      <c r="X5377" t="str">
        <f t="shared" si="2187"/>
        <v>RAZIMAH ANSAR AHMAD</v>
      </c>
      <c r="Y5377" t="str">
        <f t="shared" si="2188"/>
        <v>04-08-2020</v>
      </c>
      <c r="Z5377" t="str">
        <f>"COS10200804 3777"</f>
        <v>COS10200804 3777</v>
      </c>
    </row>
    <row r="5378" spans="1:26" x14ac:dyDescent="0.25">
      <c r="A5378" t="str">
        <f t="shared" si="2199"/>
        <v>04-08-2020 12:46:39</v>
      </c>
      <c r="B5378" t="str">
        <f>"0000805549"</f>
        <v>0000805549</v>
      </c>
      <c r="C5378" t="str">
        <f t="shared" si="2200"/>
        <v>0000805373</v>
      </c>
      <c r="D5378" t="str">
        <f t="shared" si="2178"/>
        <v>73185</v>
      </c>
      <c r="E5378" t="str">
        <f t="shared" si="2179"/>
        <v>KFH-OPERATIONS DEPARTMENT</v>
      </c>
      <c r="F5378" t="str">
        <f t="shared" si="2180"/>
        <v>IBG</v>
      </c>
      <c r="G5378" t="str">
        <f t="shared" si="2189"/>
        <v>Refund COSHARE 10</v>
      </c>
      <c r="H5378" s="2">
        <v>381.1</v>
      </c>
      <c r="I5378" t="str">
        <f>"ZULKIFLI BIN ABU"</f>
        <v>ZULKIFLI BIN ABU</v>
      </c>
      <c r="J5378" t="str">
        <f t="shared" si="2203"/>
        <v>CIMB BANK / CIMB ISLAMIC BANK</v>
      </c>
      <c r="K5378" t="str">
        <f>"01070021748528"</f>
        <v>01070021748528</v>
      </c>
      <c r="L5378" t="str">
        <f t="shared" si="2201"/>
        <v>04-08-2020</v>
      </c>
      <c r="M5378" t="str">
        <f t="shared" si="2201"/>
        <v>04-08-2020</v>
      </c>
      <c r="N5378" t="str">
        <f t="shared" si="2181"/>
        <v>001105018356</v>
      </c>
      <c r="O5378" t="str">
        <f t="shared" si="2182"/>
        <v>MYR</v>
      </c>
      <c r="P5378" t="str">
        <f t="shared" si="2202"/>
        <v>NIL</v>
      </c>
      <c r="Q5378" t="str">
        <f t="shared" si="2202"/>
        <v>NIL</v>
      </c>
      <c r="R5378" t="str">
        <f t="shared" si="2195"/>
        <v>Accepted</v>
      </c>
      <c r="S5378" t="str">
        <f t="shared" si="2183"/>
        <v>Approved</v>
      </c>
      <c r="T5378" t="str">
        <f t="shared" si="2196"/>
        <v>10.20.8.188</v>
      </c>
      <c r="U5378" t="str">
        <f t="shared" si="2184"/>
        <v>AZRAD UMAR BIN SHAARI</v>
      </c>
      <c r="V5378" t="str">
        <f t="shared" si="2185"/>
        <v>FARHANA BINTI MUSTAPA</v>
      </c>
      <c r="W5378" t="str">
        <f t="shared" si="2186"/>
        <v>04-08-2020</v>
      </c>
      <c r="X5378" t="str">
        <f t="shared" si="2187"/>
        <v>RAZIMAH ANSAR AHMAD</v>
      </c>
      <c r="Y5378" t="str">
        <f t="shared" si="2188"/>
        <v>04-08-2020</v>
      </c>
      <c r="Z5378" t="str">
        <f>"COS10200804 3776"</f>
        <v>COS10200804 3776</v>
      </c>
    </row>
    <row r="5379" spans="1:26" x14ac:dyDescent="0.25">
      <c r="A5379" t="str">
        <f t="shared" si="2199"/>
        <v>04-08-2020 12:46:39</v>
      </c>
      <c r="B5379" t="str">
        <f>"0000805548"</f>
        <v>0000805548</v>
      </c>
      <c r="C5379" t="str">
        <f t="shared" si="2200"/>
        <v>0000805373</v>
      </c>
      <c r="D5379" t="str">
        <f t="shared" si="2178"/>
        <v>73185</v>
      </c>
      <c r="E5379" t="str">
        <f t="shared" si="2179"/>
        <v>KFH-OPERATIONS DEPARTMENT</v>
      </c>
      <c r="F5379" t="str">
        <f t="shared" si="2180"/>
        <v>IBG</v>
      </c>
      <c r="G5379" t="str">
        <f t="shared" si="2189"/>
        <v>Refund COSHARE 10</v>
      </c>
      <c r="H5379" s="2">
        <v>312.35000000000002</v>
      </c>
      <c r="I5379" t="str">
        <f>"ZULKIFLI BIN ABDUL RAHMAN"</f>
        <v>ZULKIFLI BIN ABDUL RAHMAN</v>
      </c>
      <c r="J5379" t="str">
        <f t="shared" si="2203"/>
        <v>CIMB BANK / CIMB ISLAMIC BANK</v>
      </c>
      <c r="K5379" t="str">
        <f>"03030074282529"</f>
        <v>03030074282529</v>
      </c>
      <c r="L5379" t="str">
        <f t="shared" si="2201"/>
        <v>04-08-2020</v>
      </c>
      <c r="M5379" t="str">
        <f t="shared" si="2201"/>
        <v>04-08-2020</v>
      </c>
      <c r="N5379" t="str">
        <f t="shared" si="2181"/>
        <v>001105018356</v>
      </c>
      <c r="O5379" t="str">
        <f t="shared" si="2182"/>
        <v>MYR</v>
      </c>
      <c r="P5379" t="str">
        <f t="shared" si="2202"/>
        <v>NIL</v>
      </c>
      <c r="Q5379" t="str">
        <f t="shared" si="2202"/>
        <v>NIL</v>
      </c>
      <c r="R5379" t="str">
        <f t="shared" si="2195"/>
        <v>Accepted</v>
      </c>
      <c r="S5379" t="str">
        <f t="shared" si="2183"/>
        <v>Approved</v>
      </c>
      <c r="T5379" t="str">
        <f t="shared" si="2196"/>
        <v>10.20.8.188</v>
      </c>
      <c r="U5379" t="str">
        <f t="shared" si="2184"/>
        <v>AZRAD UMAR BIN SHAARI</v>
      </c>
      <c r="V5379" t="str">
        <f t="shared" si="2185"/>
        <v>FARHANA BINTI MUSTAPA</v>
      </c>
      <c r="W5379" t="str">
        <f t="shared" si="2186"/>
        <v>04-08-2020</v>
      </c>
      <c r="X5379" t="str">
        <f t="shared" si="2187"/>
        <v>RAZIMAH ANSAR AHMAD</v>
      </c>
      <c r="Y5379" t="str">
        <f t="shared" si="2188"/>
        <v>04-08-2020</v>
      </c>
      <c r="Z5379" t="str">
        <f>"COS10200804 3775"</f>
        <v>COS10200804 3775</v>
      </c>
    </row>
    <row r="5380" spans="1:26" x14ac:dyDescent="0.25">
      <c r="A5380" t="str">
        <f t="shared" si="2199"/>
        <v>04-08-2020 12:46:39</v>
      </c>
      <c r="B5380" t="str">
        <f>"0000805547"</f>
        <v>0000805547</v>
      </c>
      <c r="C5380" t="str">
        <f t="shared" si="2200"/>
        <v>0000805373</v>
      </c>
      <c r="D5380" t="str">
        <f t="shared" si="2178"/>
        <v>73185</v>
      </c>
      <c r="E5380" t="str">
        <f t="shared" si="2179"/>
        <v>KFH-OPERATIONS DEPARTMENT</v>
      </c>
      <c r="F5380" t="str">
        <f t="shared" si="2180"/>
        <v>IBG</v>
      </c>
      <c r="G5380" t="str">
        <f t="shared" si="2189"/>
        <v>Refund COSHARE 10</v>
      </c>
      <c r="H5380" s="2">
        <v>645</v>
      </c>
      <c r="I5380" t="str">
        <f>"ZULKERNAIN BIN SENIN"</f>
        <v>ZULKERNAIN BIN SENIN</v>
      </c>
      <c r="J5380" t="str">
        <f t="shared" si="2203"/>
        <v>CIMB BANK / CIMB ISLAMIC BANK</v>
      </c>
      <c r="K5380" t="str">
        <f>"11030005738203"</f>
        <v>11030005738203</v>
      </c>
      <c r="L5380" t="str">
        <f t="shared" si="2201"/>
        <v>04-08-2020</v>
      </c>
      <c r="M5380" t="str">
        <f t="shared" si="2201"/>
        <v>04-08-2020</v>
      </c>
      <c r="N5380" t="str">
        <f t="shared" si="2181"/>
        <v>001105018356</v>
      </c>
      <c r="O5380" t="str">
        <f t="shared" si="2182"/>
        <v>MYR</v>
      </c>
      <c r="P5380" t="str">
        <f t="shared" si="2202"/>
        <v>NIL</v>
      </c>
      <c r="Q5380" t="str">
        <f t="shared" si="2202"/>
        <v>NIL</v>
      </c>
      <c r="R5380" t="str">
        <f t="shared" si="2195"/>
        <v>Accepted</v>
      </c>
      <c r="S5380" t="str">
        <f t="shared" si="2183"/>
        <v>Approved</v>
      </c>
      <c r="T5380" t="str">
        <f t="shared" si="2196"/>
        <v>10.20.8.188</v>
      </c>
      <c r="U5380" t="str">
        <f t="shared" si="2184"/>
        <v>AZRAD UMAR BIN SHAARI</v>
      </c>
      <c r="V5380" t="str">
        <f t="shared" si="2185"/>
        <v>FARHANA BINTI MUSTAPA</v>
      </c>
      <c r="W5380" t="str">
        <f t="shared" si="2186"/>
        <v>04-08-2020</v>
      </c>
      <c r="X5380" t="str">
        <f t="shared" si="2187"/>
        <v>RAZIMAH ANSAR AHMAD</v>
      </c>
      <c r="Y5380" t="str">
        <f t="shared" si="2188"/>
        <v>04-08-2020</v>
      </c>
      <c r="Z5380" t="str">
        <f>"COS10200804 3774"</f>
        <v>COS10200804 3774</v>
      </c>
    </row>
    <row r="5381" spans="1:26" x14ac:dyDescent="0.25">
      <c r="A5381" t="str">
        <f t="shared" si="2199"/>
        <v>04-08-2020 12:46:39</v>
      </c>
      <c r="B5381" t="str">
        <f>"0000805546"</f>
        <v>0000805546</v>
      </c>
      <c r="C5381" t="str">
        <f t="shared" si="2200"/>
        <v>0000805373</v>
      </c>
      <c r="D5381" t="str">
        <f t="shared" si="2178"/>
        <v>73185</v>
      </c>
      <c r="E5381" t="str">
        <f t="shared" si="2179"/>
        <v>KFH-OPERATIONS DEPARTMENT</v>
      </c>
      <c r="F5381" t="str">
        <f t="shared" si="2180"/>
        <v>IBG</v>
      </c>
      <c r="G5381" t="str">
        <f t="shared" si="2189"/>
        <v>Refund COSHARE 10</v>
      </c>
      <c r="H5381" s="2">
        <v>190.55</v>
      </c>
      <c r="I5381" t="str">
        <f>"ZULKEFFLEEY BIN MUHAMAD"</f>
        <v>ZULKEFFLEEY BIN MUHAMAD</v>
      </c>
      <c r="J5381" t="str">
        <f t="shared" si="2203"/>
        <v>CIMB BANK / CIMB ISLAMIC BANK</v>
      </c>
      <c r="K5381" t="str">
        <f>"06060053688526"</f>
        <v>06060053688526</v>
      </c>
      <c r="L5381" t="str">
        <f t="shared" si="2201"/>
        <v>04-08-2020</v>
      </c>
      <c r="M5381" t="str">
        <f t="shared" si="2201"/>
        <v>04-08-2020</v>
      </c>
      <c r="N5381" t="str">
        <f t="shared" si="2181"/>
        <v>001105018356</v>
      </c>
      <c r="O5381" t="str">
        <f t="shared" si="2182"/>
        <v>MYR</v>
      </c>
      <c r="P5381" t="str">
        <f t="shared" si="2202"/>
        <v>NIL</v>
      </c>
      <c r="Q5381" t="str">
        <f t="shared" si="2202"/>
        <v>NIL</v>
      </c>
      <c r="R5381" t="str">
        <f t="shared" si="2195"/>
        <v>Accepted</v>
      </c>
      <c r="S5381" t="str">
        <f t="shared" si="2183"/>
        <v>Approved</v>
      </c>
      <c r="T5381" t="str">
        <f t="shared" si="2196"/>
        <v>10.20.8.188</v>
      </c>
      <c r="U5381" t="str">
        <f t="shared" si="2184"/>
        <v>AZRAD UMAR BIN SHAARI</v>
      </c>
      <c r="V5381" t="str">
        <f t="shared" si="2185"/>
        <v>FARHANA BINTI MUSTAPA</v>
      </c>
      <c r="W5381" t="str">
        <f t="shared" si="2186"/>
        <v>04-08-2020</v>
      </c>
      <c r="X5381" t="str">
        <f t="shared" si="2187"/>
        <v>RAZIMAH ANSAR AHMAD</v>
      </c>
      <c r="Y5381" t="str">
        <f t="shared" si="2188"/>
        <v>04-08-2020</v>
      </c>
      <c r="Z5381" t="str">
        <f>"COS10200804 3773"</f>
        <v>COS10200804 3773</v>
      </c>
    </row>
    <row r="5382" spans="1:26" x14ac:dyDescent="0.25">
      <c r="A5382" t="str">
        <f t="shared" si="2199"/>
        <v>04-08-2020 12:46:39</v>
      </c>
      <c r="B5382" t="str">
        <f>"0000805545"</f>
        <v>0000805545</v>
      </c>
      <c r="C5382" t="str">
        <f t="shared" si="2200"/>
        <v>0000805373</v>
      </c>
      <c r="D5382" t="str">
        <f t="shared" si="2178"/>
        <v>73185</v>
      </c>
      <c r="E5382" t="str">
        <f t="shared" si="2179"/>
        <v>KFH-OPERATIONS DEPARTMENT</v>
      </c>
      <c r="F5382" t="str">
        <f t="shared" si="2180"/>
        <v>IBG</v>
      </c>
      <c r="G5382" t="str">
        <f t="shared" si="2189"/>
        <v>Refund COSHARE 10</v>
      </c>
      <c r="H5382" s="2">
        <v>160.94999999999999</v>
      </c>
      <c r="I5382" t="str">
        <f>"ZULKANAIN BIN JANUDIN"</f>
        <v>ZULKANAIN BIN JANUDIN</v>
      </c>
      <c r="J5382" t="str">
        <f t="shared" si="2203"/>
        <v>CIMB BANK / CIMB ISLAMIC BANK</v>
      </c>
      <c r="K5382" t="str">
        <f>"7615869461"</f>
        <v>7615869461</v>
      </c>
      <c r="L5382" t="str">
        <f t="shared" si="2201"/>
        <v>04-08-2020</v>
      </c>
      <c r="M5382" t="str">
        <f t="shared" si="2201"/>
        <v>04-08-2020</v>
      </c>
      <c r="N5382" t="str">
        <f t="shared" si="2181"/>
        <v>001105018356</v>
      </c>
      <c r="O5382" t="str">
        <f t="shared" si="2182"/>
        <v>MYR</v>
      </c>
      <c r="P5382" t="str">
        <f t="shared" si="2202"/>
        <v>NIL</v>
      </c>
      <c r="Q5382" t="str">
        <f t="shared" si="2202"/>
        <v>NIL</v>
      </c>
      <c r="R5382" t="str">
        <f t="shared" si="2195"/>
        <v>Accepted</v>
      </c>
      <c r="S5382" t="str">
        <f t="shared" si="2183"/>
        <v>Approved</v>
      </c>
      <c r="T5382" t="str">
        <f t="shared" si="2196"/>
        <v>10.20.8.188</v>
      </c>
      <c r="U5382" t="str">
        <f t="shared" si="2184"/>
        <v>AZRAD UMAR BIN SHAARI</v>
      </c>
      <c r="V5382" t="str">
        <f t="shared" si="2185"/>
        <v>FARHANA BINTI MUSTAPA</v>
      </c>
      <c r="W5382" t="str">
        <f t="shared" si="2186"/>
        <v>04-08-2020</v>
      </c>
      <c r="X5382" t="str">
        <f t="shared" si="2187"/>
        <v>RAZIMAH ANSAR AHMAD</v>
      </c>
      <c r="Y5382" t="str">
        <f t="shared" si="2188"/>
        <v>04-08-2020</v>
      </c>
      <c r="Z5382" t="str">
        <f>"COS10200804 3772"</f>
        <v>COS10200804 3772</v>
      </c>
    </row>
    <row r="5383" spans="1:26" x14ac:dyDescent="0.25">
      <c r="A5383" t="str">
        <f t="shared" si="2199"/>
        <v>04-08-2020 12:46:39</v>
      </c>
      <c r="B5383" t="str">
        <f>"0000805544"</f>
        <v>0000805544</v>
      </c>
      <c r="C5383" t="str">
        <f t="shared" si="2200"/>
        <v>0000805373</v>
      </c>
      <c r="D5383" t="str">
        <f t="shared" ref="D5383:D5446" si="2204">"73185"</f>
        <v>73185</v>
      </c>
      <c r="E5383" t="str">
        <f t="shared" ref="E5383:E5446" si="2205">"KFH-OPERATIONS DEPARTMENT"</f>
        <v>KFH-OPERATIONS DEPARTMENT</v>
      </c>
      <c r="F5383" t="str">
        <f t="shared" ref="F5383:F5446" si="2206">"IBG"</f>
        <v>IBG</v>
      </c>
      <c r="G5383" t="str">
        <f t="shared" si="2189"/>
        <v>Refund COSHARE 10</v>
      </c>
      <c r="H5383" s="2">
        <v>562.5</v>
      </c>
      <c r="I5383" t="str">
        <f>"ZULINA BINTI YA"</f>
        <v>ZULINA BINTI YA</v>
      </c>
      <c r="J5383" t="str">
        <f t="shared" si="2203"/>
        <v>CIMB BANK / CIMB ISLAMIC BANK</v>
      </c>
      <c r="K5383" t="str">
        <f>"13020002468205"</f>
        <v>13020002468205</v>
      </c>
      <c r="L5383" t="str">
        <f t="shared" si="2201"/>
        <v>04-08-2020</v>
      </c>
      <c r="M5383" t="str">
        <f t="shared" si="2201"/>
        <v>04-08-2020</v>
      </c>
      <c r="N5383" t="str">
        <f t="shared" ref="N5383:N5446" si="2207">"001105018356"</f>
        <v>001105018356</v>
      </c>
      <c r="O5383" t="str">
        <f t="shared" ref="O5383:O5446" si="2208">"MYR"</f>
        <v>MYR</v>
      </c>
      <c r="P5383" t="str">
        <f t="shared" si="2202"/>
        <v>NIL</v>
      </c>
      <c r="Q5383" t="str">
        <f t="shared" si="2202"/>
        <v>NIL</v>
      </c>
      <c r="R5383" t="str">
        <f t="shared" si="2195"/>
        <v>Accepted</v>
      </c>
      <c r="S5383" t="str">
        <f t="shared" ref="S5383:S5446" si="2209">"Approved"</f>
        <v>Approved</v>
      </c>
      <c r="T5383" t="str">
        <f t="shared" si="2196"/>
        <v>10.20.8.188</v>
      </c>
      <c r="U5383" t="str">
        <f t="shared" ref="U5383:U5446" si="2210">"AZRAD UMAR BIN SHAARI"</f>
        <v>AZRAD UMAR BIN SHAARI</v>
      </c>
      <c r="V5383" t="str">
        <f t="shared" ref="V5383:V5446" si="2211">"FARHANA BINTI MUSTAPA"</f>
        <v>FARHANA BINTI MUSTAPA</v>
      </c>
      <c r="W5383" t="str">
        <f t="shared" ref="W5383:W5446" si="2212">"04-08-2020"</f>
        <v>04-08-2020</v>
      </c>
      <c r="X5383" t="str">
        <f t="shared" ref="X5383:X5446" si="2213">"RAZIMAH ANSAR AHMAD"</f>
        <v>RAZIMAH ANSAR AHMAD</v>
      </c>
      <c r="Y5383" t="str">
        <f t="shared" ref="Y5383:Y5446" si="2214">"04-08-2020"</f>
        <v>04-08-2020</v>
      </c>
      <c r="Z5383" t="str">
        <f>"COS10200804 3771"</f>
        <v>COS10200804 3771</v>
      </c>
    </row>
    <row r="5384" spans="1:26" x14ac:dyDescent="0.25">
      <c r="A5384" t="str">
        <f t="shared" si="2199"/>
        <v>04-08-2020 12:46:39</v>
      </c>
      <c r="B5384" t="str">
        <f>"0000805543"</f>
        <v>0000805543</v>
      </c>
      <c r="C5384" t="str">
        <f t="shared" si="2200"/>
        <v>0000805373</v>
      </c>
      <c r="D5384" t="str">
        <f t="shared" si="2204"/>
        <v>73185</v>
      </c>
      <c r="E5384" t="str">
        <f t="shared" si="2205"/>
        <v>KFH-OPERATIONS DEPARTMENT</v>
      </c>
      <c r="F5384" t="str">
        <f t="shared" si="2206"/>
        <v>IBG</v>
      </c>
      <c r="G5384" t="str">
        <f t="shared" si="2189"/>
        <v>Refund COSHARE 10</v>
      </c>
      <c r="H5384" s="2">
        <v>219.6</v>
      </c>
      <c r="I5384" t="str">
        <f>"ZULFAKARUDDIN BIN SIDEK AHMAD"</f>
        <v>ZULFAKARUDDIN BIN SIDEK AHMAD</v>
      </c>
      <c r="J5384" t="str">
        <f t="shared" si="2203"/>
        <v>CIMB BANK / CIMB ISLAMIC BANK</v>
      </c>
      <c r="K5384" t="str">
        <f>"03010081379523"</f>
        <v>03010081379523</v>
      </c>
      <c r="L5384" t="str">
        <f t="shared" si="2201"/>
        <v>04-08-2020</v>
      </c>
      <c r="M5384" t="str">
        <f t="shared" si="2201"/>
        <v>04-08-2020</v>
      </c>
      <c r="N5384" t="str">
        <f t="shared" si="2207"/>
        <v>001105018356</v>
      </c>
      <c r="O5384" t="str">
        <f t="shared" si="2208"/>
        <v>MYR</v>
      </c>
      <c r="P5384" t="str">
        <f t="shared" si="2202"/>
        <v>NIL</v>
      </c>
      <c r="Q5384" t="str">
        <f t="shared" si="2202"/>
        <v>NIL</v>
      </c>
      <c r="R5384" t="str">
        <f t="shared" si="2195"/>
        <v>Accepted</v>
      </c>
      <c r="S5384" t="str">
        <f t="shared" si="2209"/>
        <v>Approved</v>
      </c>
      <c r="T5384" t="str">
        <f t="shared" si="2196"/>
        <v>10.20.8.188</v>
      </c>
      <c r="U5384" t="str">
        <f t="shared" si="2210"/>
        <v>AZRAD UMAR BIN SHAARI</v>
      </c>
      <c r="V5384" t="str">
        <f t="shared" si="2211"/>
        <v>FARHANA BINTI MUSTAPA</v>
      </c>
      <c r="W5384" t="str">
        <f t="shared" si="2212"/>
        <v>04-08-2020</v>
      </c>
      <c r="X5384" t="str">
        <f t="shared" si="2213"/>
        <v>RAZIMAH ANSAR AHMAD</v>
      </c>
      <c r="Y5384" t="str">
        <f t="shared" si="2214"/>
        <v>04-08-2020</v>
      </c>
      <c r="Z5384" t="str">
        <f>"COS10200804 3770"</f>
        <v>COS10200804 3770</v>
      </c>
    </row>
    <row r="5385" spans="1:26" x14ac:dyDescent="0.25">
      <c r="A5385" t="str">
        <f t="shared" si="2199"/>
        <v>04-08-2020 12:46:39</v>
      </c>
      <c r="B5385" t="str">
        <f>"0000805542"</f>
        <v>0000805542</v>
      </c>
      <c r="C5385" t="str">
        <f t="shared" si="2200"/>
        <v>0000805373</v>
      </c>
      <c r="D5385" t="str">
        <f t="shared" si="2204"/>
        <v>73185</v>
      </c>
      <c r="E5385" t="str">
        <f t="shared" si="2205"/>
        <v>KFH-OPERATIONS DEPARTMENT</v>
      </c>
      <c r="F5385" t="str">
        <f t="shared" si="2206"/>
        <v>IBG</v>
      </c>
      <c r="G5385" t="str">
        <f t="shared" si="2189"/>
        <v>Refund COSHARE 10</v>
      </c>
      <c r="H5385" s="2">
        <v>54.9</v>
      </c>
      <c r="I5385" t="str">
        <f>"ZULFAKARUDDIN BIN SIDEK AHMAD"</f>
        <v>ZULFAKARUDDIN BIN SIDEK AHMAD</v>
      </c>
      <c r="J5385" t="str">
        <f t="shared" si="2203"/>
        <v>CIMB BANK / CIMB ISLAMIC BANK</v>
      </c>
      <c r="K5385" t="str">
        <f>"03010081379523"</f>
        <v>03010081379523</v>
      </c>
      <c r="L5385" t="str">
        <f t="shared" si="2201"/>
        <v>04-08-2020</v>
      </c>
      <c r="M5385" t="str">
        <f t="shared" si="2201"/>
        <v>04-08-2020</v>
      </c>
      <c r="N5385" t="str">
        <f t="shared" si="2207"/>
        <v>001105018356</v>
      </c>
      <c r="O5385" t="str">
        <f t="shared" si="2208"/>
        <v>MYR</v>
      </c>
      <c r="P5385" t="str">
        <f t="shared" si="2202"/>
        <v>NIL</v>
      </c>
      <c r="Q5385" t="str">
        <f t="shared" si="2202"/>
        <v>NIL</v>
      </c>
      <c r="R5385" t="str">
        <f t="shared" si="2195"/>
        <v>Accepted</v>
      </c>
      <c r="S5385" t="str">
        <f t="shared" si="2209"/>
        <v>Approved</v>
      </c>
      <c r="T5385" t="str">
        <f t="shared" si="2196"/>
        <v>10.20.8.188</v>
      </c>
      <c r="U5385" t="str">
        <f t="shared" si="2210"/>
        <v>AZRAD UMAR BIN SHAARI</v>
      </c>
      <c r="V5385" t="str">
        <f t="shared" si="2211"/>
        <v>FARHANA BINTI MUSTAPA</v>
      </c>
      <c r="W5385" t="str">
        <f t="shared" si="2212"/>
        <v>04-08-2020</v>
      </c>
      <c r="X5385" t="str">
        <f t="shared" si="2213"/>
        <v>RAZIMAH ANSAR AHMAD</v>
      </c>
      <c r="Y5385" t="str">
        <f t="shared" si="2214"/>
        <v>04-08-2020</v>
      </c>
      <c r="Z5385" t="str">
        <f>"COS10200804 3769"</f>
        <v>COS10200804 3769</v>
      </c>
    </row>
    <row r="5386" spans="1:26" x14ac:dyDescent="0.25">
      <c r="A5386" t="str">
        <f t="shared" ref="A5386:A5417" si="2215">"04-08-2020 12:46:39"</f>
        <v>04-08-2020 12:46:39</v>
      </c>
      <c r="B5386" t="str">
        <f>"0000805541"</f>
        <v>0000805541</v>
      </c>
      <c r="C5386" t="str">
        <f t="shared" ref="C5386:C5417" si="2216">"0000805373"</f>
        <v>0000805373</v>
      </c>
      <c r="D5386" t="str">
        <f t="shared" si="2204"/>
        <v>73185</v>
      </c>
      <c r="E5386" t="str">
        <f t="shared" si="2205"/>
        <v>KFH-OPERATIONS DEPARTMENT</v>
      </c>
      <c r="F5386" t="str">
        <f t="shared" si="2206"/>
        <v>IBG</v>
      </c>
      <c r="G5386" t="str">
        <f t="shared" si="2189"/>
        <v>Refund COSHARE 10</v>
      </c>
      <c r="H5386" s="2">
        <v>571.65</v>
      </c>
      <c r="I5386" t="str">
        <f>"ZULBASRI BIN OTHMAN"</f>
        <v>ZULBASRI BIN OTHMAN</v>
      </c>
      <c r="J5386" t="str">
        <f t="shared" si="2203"/>
        <v>CIMB BANK / CIMB ISLAMIC BANK</v>
      </c>
      <c r="K5386" t="str">
        <f>"12160045761522"</f>
        <v>12160045761522</v>
      </c>
      <c r="L5386" t="str">
        <f t="shared" si="2201"/>
        <v>04-08-2020</v>
      </c>
      <c r="M5386" t="str">
        <f t="shared" si="2201"/>
        <v>04-08-2020</v>
      </c>
      <c r="N5386" t="str">
        <f t="shared" si="2207"/>
        <v>001105018356</v>
      </c>
      <c r="O5386" t="str">
        <f t="shared" si="2208"/>
        <v>MYR</v>
      </c>
      <c r="P5386" t="str">
        <f t="shared" si="2202"/>
        <v>NIL</v>
      </c>
      <c r="Q5386" t="str">
        <f t="shared" si="2202"/>
        <v>NIL</v>
      </c>
      <c r="R5386" t="str">
        <f t="shared" si="2195"/>
        <v>Accepted</v>
      </c>
      <c r="S5386" t="str">
        <f t="shared" si="2209"/>
        <v>Approved</v>
      </c>
      <c r="T5386" t="str">
        <f t="shared" si="2196"/>
        <v>10.20.8.188</v>
      </c>
      <c r="U5386" t="str">
        <f t="shared" si="2210"/>
        <v>AZRAD UMAR BIN SHAARI</v>
      </c>
      <c r="V5386" t="str">
        <f t="shared" si="2211"/>
        <v>FARHANA BINTI MUSTAPA</v>
      </c>
      <c r="W5386" t="str">
        <f t="shared" si="2212"/>
        <v>04-08-2020</v>
      </c>
      <c r="X5386" t="str">
        <f t="shared" si="2213"/>
        <v>RAZIMAH ANSAR AHMAD</v>
      </c>
      <c r="Y5386" t="str">
        <f t="shared" si="2214"/>
        <v>04-08-2020</v>
      </c>
      <c r="Z5386" t="str">
        <f>"COS10200804 3768"</f>
        <v>COS10200804 3768</v>
      </c>
    </row>
    <row r="5387" spans="1:26" x14ac:dyDescent="0.25">
      <c r="A5387" t="str">
        <f t="shared" si="2215"/>
        <v>04-08-2020 12:46:39</v>
      </c>
      <c r="B5387" t="str">
        <f>"0000805540"</f>
        <v>0000805540</v>
      </c>
      <c r="C5387" t="str">
        <f t="shared" si="2216"/>
        <v>0000805373</v>
      </c>
      <c r="D5387" t="str">
        <f t="shared" si="2204"/>
        <v>73185</v>
      </c>
      <c r="E5387" t="str">
        <f t="shared" si="2205"/>
        <v>KFH-OPERATIONS DEPARTMENT</v>
      </c>
      <c r="F5387" t="str">
        <f t="shared" si="2206"/>
        <v>IBG</v>
      </c>
      <c r="G5387" t="str">
        <f t="shared" si="2189"/>
        <v>Refund COSHARE 10</v>
      </c>
      <c r="H5387" s="2">
        <v>1063</v>
      </c>
      <c r="I5387" t="str">
        <f>"ZULAIZA BINTI ABU"</f>
        <v>ZULAIZA BINTI ABU</v>
      </c>
      <c r="J5387" t="str">
        <f t="shared" si="2203"/>
        <v>CIMB BANK / CIMB ISLAMIC BANK</v>
      </c>
      <c r="K5387" t="str">
        <f>"14160061176529"</f>
        <v>14160061176529</v>
      </c>
      <c r="L5387" t="str">
        <f t="shared" ref="L5387:M5406" si="2217">"04-08-2020"</f>
        <v>04-08-2020</v>
      </c>
      <c r="M5387" t="str">
        <f t="shared" si="2217"/>
        <v>04-08-2020</v>
      </c>
      <c r="N5387" t="str">
        <f t="shared" si="2207"/>
        <v>001105018356</v>
      </c>
      <c r="O5387" t="str">
        <f t="shared" si="2208"/>
        <v>MYR</v>
      </c>
      <c r="P5387" t="str">
        <f t="shared" ref="P5387:Q5406" si="2218">"NIL"</f>
        <v>NIL</v>
      </c>
      <c r="Q5387" t="str">
        <f t="shared" si="2218"/>
        <v>NIL</v>
      </c>
      <c r="R5387" t="str">
        <f t="shared" si="2195"/>
        <v>Accepted</v>
      </c>
      <c r="S5387" t="str">
        <f t="shared" si="2209"/>
        <v>Approved</v>
      </c>
      <c r="T5387" t="str">
        <f t="shared" si="2196"/>
        <v>10.20.8.188</v>
      </c>
      <c r="U5387" t="str">
        <f t="shared" si="2210"/>
        <v>AZRAD UMAR BIN SHAARI</v>
      </c>
      <c r="V5387" t="str">
        <f t="shared" si="2211"/>
        <v>FARHANA BINTI MUSTAPA</v>
      </c>
      <c r="W5387" t="str">
        <f t="shared" si="2212"/>
        <v>04-08-2020</v>
      </c>
      <c r="X5387" t="str">
        <f t="shared" si="2213"/>
        <v>RAZIMAH ANSAR AHMAD</v>
      </c>
      <c r="Y5387" t="str">
        <f t="shared" si="2214"/>
        <v>04-08-2020</v>
      </c>
      <c r="Z5387" t="str">
        <f>"COS10200804 3767"</f>
        <v>COS10200804 3767</v>
      </c>
    </row>
    <row r="5388" spans="1:26" x14ac:dyDescent="0.25">
      <c r="A5388" t="str">
        <f t="shared" si="2215"/>
        <v>04-08-2020 12:46:39</v>
      </c>
      <c r="B5388" t="str">
        <f>"0000805539"</f>
        <v>0000805539</v>
      </c>
      <c r="C5388" t="str">
        <f t="shared" si="2216"/>
        <v>0000805373</v>
      </c>
      <c r="D5388" t="str">
        <f t="shared" si="2204"/>
        <v>73185</v>
      </c>
      <c r="E5388" t="str">
        <f t="shared" si="2205"/>
        <v>KFH-OPERATIONS DEPARTMENT</v>
      </c>
      <c r="F5388" t="str">
        <f t="shared" si="2206"/>
        <v>IBG</v>
      </c>
      <c r="G5388" t="str">
        <f t="shared" ref="G5388:G5451" si="2219">"Refund COSHARE 10"</f>
        <v>Refund COSHARE 10</v>
      </c>
      <c r="H5388" s="2">
        <v>419.75</v>
      </c>
      <c r="I5388" t="str">
        <f>"ZUL ZAMRI BIN YUSOFF"</f>
        <v>ZUL ZAMRI BIN YUSOFF</v>
      </c>
      <c r="J5388" t="str">
        <f t="shared" si="2203"/>
        <v>CIMB BANK / CIMB ISLAMIC BANK</v>
      </c>
      <c r="K5388" t="str">
        <f>"03040066513525"</f>
        <v>03040066513525</v>
      </c>
      <c r="L5388" t="str">
        <f t="shared" si="2217"/>
        <v>04-08-2020</v>
      </c>
      <c r="M5388" t="str">
        <f t="shared" si="2217"/>
        <v>04-08-2020</v>
      </c>
      <c r="N5388" t="str">
        <f t="shared" si="2207"/>
        <v>001105018356</v>
      </c>
      <c r="O5388" t="str">
        <f t="shared" si="2208"/>
        <v>MYR</v>
      </c>
      <c r="P5388" t="str">
        <f t="shared" si="2218"/>
        <v>NIL</v>
      </c>
      <c r="Q5388" t="str">
        <f t="shared" si="2218"/>
        <v>NIL</v>
      </c>
      <c r="R5388" t="str">
        <f t="shared" si="2195"/>
        <v>Accepted</v>
      </c>
      <c r="S5388" t="str">
        <f t="shared" si="2209"/>
        <v>Approved</v>
      </c>
      <c r="T5388" t="str">
        <f t="shared" si="2196"/>
        <v>10.20.8.188</v>
      </c>
      <c r="U5388" t="str">
        <f t="shared" si="2210"/>
        <v>AZRAD UMAR BIN SHAARI</v>
      </c>
      <c r="V5388" t="str">
        <f t="shared" si="2211"/>
        <v>FARHANA BINTI MUSTAPA</v>
      </c>
      <c r="W5388" t="str">
        <f t="shared" si="2212"/>
        <v>04-08-2020</v>
      </c>
      <c r="X5388" t="str">
        <f t="shared" si="2213"/>
        <v>RAZIMAH ANSAR AHMAD</v>
      </c>
      <c r="Y5388" t="str">
        <f t="shared" si="2214"/>
        <v>04-08-2020</v>
      </c>
      <c r="Z5388" t="str">
        <f>"COS10200804 3766"</f>
        <v>COS10200804 3766</v>
      </c>
    </row>
    <row r="5389" spans="1:26" x14ac:dyDescent="0.25">
      <c r="A5389" t="str">
        <f t="shared" si="2215"/>
        <v>04-08-2020 12:46:39</v>
      </c>
      <c r="B5389" t="str">
        <f>"0000805538"</f>
        <v>0000805538</v>
      </c>
      <c r="C5389" t="str">
        <f t="shared" si="2216"/>
        <v>0000805373</v>
      </c>
      <c r="D5389" t="str">
        <f t="shared" si="2204"/>
        <v>73185</v>
      </c>
      <c r="E5389" t="str">
        <f t="shared" si="2205"/>
        <v>KFH-OPERATIONS DEPARTMENT</v>
      </c>
      <c r="F5389" t="str">
        <f t="shared" si="2206"/>
        <v>IBG</v>
      </c>
      <c r="G5389" t="str">
        <f t="shared" si="2219"/>
        <v>Refund COSHARE 10</v>
      </c>
      <c r="H5389" s="2">
        <v>815</v>
      </c>
      <c r="I5389" t="str">
        <f>"ZUL KHAIRI BIN ADAM"</f>
        <v>ZUL KHAIRI BIN ADAM</v>
      </c>
      <c r="J5389" t="str">
        <f t="shared" si="2203"/>
        <v>CIMB BANK / CIMB ISLAMIC BANK</v>
      </c>
      <c r="K5389" t="str">
        <f>"7002286435"</f>
        <v>7002286435</v>
      </c>
      <c r="L5389" t="str">
        <f t="shared" si="2217"/>
        <v>04-08-2020</v>
      </c>
      <c r="M5389" t="str">
        <f t="shared" si="2217"/>
        <v>04-08-2020</v>
      </c>
      <c r="N5389" t="str">
        <f t="shared" si="2207"/>
        <v>001105018356</v>
      </c>
      <c r="O5389" t="str">
        <f t="shared" si="2208"/>
        <v>MYR</v>
      </c>
      <c r="P5389" t="str">
        <f t="shared" si="2218"/>
        <v>NIL</v>
      </c>
      <c r="Q5389" t="str">
        <f t="shared" si="2218"/>
        <v>NIL</v>
      </c>
      <c r="R5389" t="str">
        <f t="shared" si="2195"/>
        <v>Accepted</v>
      </c>
      <c r="S5389" t="str">
        <f t="shared" si="2209"/>
        <v>Approved</v>
      </c>
      <c r="T5389" t="str">
        <f t="shared" si="2196"/>
        <v>10.20.8.188</v>
      </c>
      <c r="U5389" t="str">
        <f t="shared" si="2210"/>
        <v>AZRAD UMAR BIN SHAARI</v>
      </c>
      <c r="V5389" t="str">
        <f t="shared" si="2211"/>
        <v>FARHANA BINTI MUSTAPA</v>
      </c>
      <c r="W5389" t="str">
        <f t="shared" si="2212"/>
        <v>04-08-2020</v>
      </c>
      <c r="X5389" t="str">
        <f t="shared" si="2213"/>
        <v>RAZIMAH ANSAR AHMAD</v>
      </c>
      <c r="Y5389" t="str">
        <f t="shared" si="2214"/>
        <v>04-08-2020</v>
      </c>
      <c r="Z5389" t="str">
        <f>"COS10200804 3765"</f>
        <v>COS10200804 3765</v>
      </c>
    </row>
    <row r="5390" spans="1:26" x14ac:dyDescent="0.25">
      <c r="A5390" t="str">
        <f t="shared" si="2215"/>
        <v>04-08-2020 12:46:39</v>
      </c>
      <c r="B5390" t="str">
        <f>"0000805537"</f>
        <v>0000805537</v>
      </c>
      <c r="C5390" t="str">
        <f t="shared" si="2216"/>
        <v>0000805373</v>
      </c>
      <c r="D5390" t="str">
        <f t="shared" si="2204"/>
        <v>73185</v>
      </c>
      <c r="E5390" t="str">
        <f t="shared" si="2205"/>
        <v>KFH-OPERATIONS DEPARTMENT</v>
      </c>
      <c r="F5390" t="str">
        <f t="shared" si="2206"/>
        <v>IBG</v>
      </c>
      <c r="G5390" t="str">
        <f t="shared" si="2219"/>
        <v>Refund COSHARE 10</v>
      </c>
      <c r="H5390" s="2">
        <v>815</v>
      </c>
      <c r="I5390" t="str">
        <f>"ZUL KHAIRI BIN ADAM"</f>
        <v>ZUL KHAIRI BIN ADAM</v>
      </c>
      <c r="J5390" t="str">
        <f t="shared" si="2203"/>
        <v>CIMB BANK / CIMB ISLAMIC BANK</v>
      </c>
      <c r="K5390" t="str">
        <f>"7002286435"</f>
        <v>7002286435</v>
      </c>
      <c r="L5390" t="str">
        <f t="shared" si="2217"/>
        <v>04-08-2020</v>
      </c>
      <c r="M5390" t="str">
        <f t="shared" si="2217"/>
        <v>04-08-2020</v>
      </c>
      <c r="N5390" t="str">
        <f t="shared" si="2207"/>
        <v>001105018356</v>
      </c>
      <c r="O5390" t="str">
        <f t="shared" si="2208"/>
        <v>MYR</v>
      </c>
      <c r="P5390" t="str">
        <f t="shared" si="2218"/>
        <v>NIL</v>
      </c>
      <c r="Q5390" t="str">
        <f t="shared" si="2218"/>
        <v>NIL</v>
      </c>
      <c r="R5390" t="str">
        <f t="shared" si="2195"/>
        <v>Accepted</v>
      </c>
      <c r="S5390" t="str">
        <f t="shared" si="2209"/>
        <v>Approved</v>
      </c>
      <c r="T5390" t="str">
        <f t="shared" si="2196"/>
        <v>10.20.8.188</v>
      </c>
      <c r="U5390" t="str">
        <f t="shared" si="2210"/>
        <v>AZRAD UMAR BIN SHAARI</v>
      </c>
      <c r="V5390" t="str">
        <f t="shared" si="2211"/>
        <v>FARHANA BINTI MUSTAPA</v>
      </c>
      <c r="W5390" t="str">
        <f t="shared" si="2212"/>
        <v>04-08-2020</v>
      </c>
      <c r="X5390" t="str">
        <f t="shared" si="2213"/>
        <v>RAZIMAH ANSAR AHMAD</v>
      </c>
      <c r="Y5390" t="str">
        <f t="shared" si="2214"/>
        <v>04-08-2020</v>
      </c>
      <c r="Z5390" t="str">
        <f>"COS10200804 3764"</f>
        <v>COS10200804 3764</v>
      </c>
    </row>
    <row r="5391" spans="1:26" x14ac:dyDescent="0.25">
      <c r="A5391" t="str">
        <f t="shared" si="2215"/>
        <v>04-08-2020 12:46:39</v>
      </c>
      <c r="B5391" t="str">
        <f>"0000805536"</f>
        <v>0000805536</v>
      </c>
      <c r="C5391" t="str">
        <f t="shared" si="2216"/>
        <v>0000805373</v>
      </c>
      <c r="D5391" t="str">
        <f t="shared" si="2204"/>
        <v>73185</v>
      </c>
      <c r="E5391" t="str">
        <f t="shared" si="2205"/>
        <v>KFH-OPERATIONS DEPARTMENT</v>
      </c>
      <c r="F5391" t="str">
        <f t="shared" si="2206"/>
        <v>IBG</v>
      </c>
      <c r="G5391" t="str">
        <f t="shared" si="2219"/>
        <v>Refund COSHARE 10</v>
      </c>
      <c r="H5391" s="2">
        <v>1724</v>
      </c>
      <c r="I5391" t="str">
        <f>"ZIRWATUL AHLAM BINTI ZAMZAM"</f>
        <v>ZIRWATUL AHLAM BINTI ZAMZAM</v>
      </c>
      <c r="J5391" t="str">
        <f t="shared" si="2203"/>
        <v>CIMB BANK / CIMB ISLAMIC BANK</v>
      </c>
      <c r="K5391" t="str">
        <f>"7005162563"</f>
        <v>7005162563</v>
      </c>
      <c r="L5391" t="str">
        <f t="shared" si="2217"/>
        <v>04-08-2020</v>
      </c>
      <c r="M5391" t="str">
        <f t="shared" si="2217"/>
        <v>04-08-2020</v>
      </c>
      <c r="N5391" t="str">
        <f t="shared" si="2207"/>
        <v>001105018356</v>
      </c>
      <c r="O5391" t="str">
        <f t="shared" si="2208"/>
        <v>MYR</v>
      </c>
      <c r="P5391" t="str">
        <f t="shared" si="2218"/>
        <v>NIL</v>
      </c>
      <c r="Q5391" t="str">
        <f t="shared" si="2218"/>
        <v>NIL</v>
      </c>
      <c r="R5391" t="str">
        <f t="shared" si="2195"/>
        <v>Accepted</v>
      </c>
      <c r="S5391" t="str">
        <f t="shared" si="2209"/>
        <v>Approved</v>
      </c>
      <c r="T5391" t="str">
        <f t="shared" si="2196"/>
        <v>10.20.8.188</v>
      </c>
      <c r="U5391" t="str">
        <f t="shared" si="2210"/>
        <v>AZRAD UMAR BIN SHAARI</v>
      </c>
      <c r="V5391" t="str">
        <f t="shared" si="2211"/>
        <v>FARHANA BINTI MUSTAPA</v>
      </c>
      <c r="W5391" t="str">
        <f t="shared" si="2212"/>
        <v>04-08-2020</v>
      </c>
      <c r="X5391" t="str">
        <f t="shared" si="2213"/>
        <v>RAZIMAH ANSAR AHMAD</v>
      </c>
      <c r="Y5391" t="str">
        <f t="shared" si="2214"/>
        <v>04-08-2020</v>
      </c>
      <c r="Z5391" t="str">
        <f>"COS10200804 3763"</f>
        <v>COS10200804 3763</v>
      </c>
    </row>
    <row r="5392" spans="1:26" x14ac:dyDescent="0.25">
      <c r="A5392" t="str">
        <f t="shared" si="2215"/>
        <v>04-08-2020 12:46:39</v>
      </c>
      <c r="B5392" t="str">
        <f>"0000805535"</f>
        <v>0000805535</v>
      </c>
      <c r="C5392" t="str">
        <f t="shared" si="2216"/>
        <v>0000805373</v>
      </c>
      <c r="D5392" t="str">
        <f t="shared" si="2204"/>
        <v>73185</v>
      </c>
      <c r="E5392" t="str">
        <f t="shared" si="2205"/>
        <v>KFH-OPERATIONS DEPARTMENT</v>
      </c>
      <c r="F5392" t="str">
        <f t="shared" si="2206"/>
        <v>IBG</v>
      </c>
      <c r="G5392" t="str">
        <f t="shared" si="2219"/>
        <v>Refund COSHARE 10</v>
      </c>
      <c r="H5392" s="2">
        <v>326.55</v>
      </c>
      <c r="I5392" t="str">
        <f>"ZAWIYAH BINTI ISMAIL"</f>
        <v>ZAWIYAH BINTI ISMAIL</v>
      </c>
      <c r="J5392" t="str">
        <f t="shared" si="2203"/>
        <v>CIMB BANK / CIMB ISLAMIC BANK</v>
      </c>
      <c r="K5392" t="str">
        <f>"12250000639207"</f>
        <v>12250000639207</v>
      </c>
      <c r="L5392" t="str">
        <f t="shared" si="2217"/>
        <v>04-08-2020</v>
      </c>
      <c r="M5392" t="str">
        <f t="shared" si="2217"/>
        <v>04-08-2020</v>
      </c>
      <c r="N5392" t="str">
        <f t="shared" si="2207"/>
        <v>001105018356</v>
      </c>
      <c r="O5392" t="str">
        <f t="shared" si="2208"/>
        <v>MYR</v>
      </c>
      <c r="P5392" t="str">
        <f t="shared" si="2218"/>
        <v>NIL</v>
      </c>
      <c r="Q5392" t="str">
        <f t="shared" si="2218"/>
        <v>NIL</v>
      </c>
      <c r="R5392" t="str">
        <f t="shared" si="2195"/>
        <v>Accepted</v>
      </c>
      <c r="S5392" t="str">
        <f t="shared" si="2209"/>
        <v>Approved</v>
      </c>
      <c r="T5392" t="str">
        <f t="shared" si="2196"/>
        <v>10.20.8.188</v>
      </c>
      <c r="U5392" t="str">
        <f t="shared" si="2210"/>
        <v>AZRAD UMAR BIN SHAARI</v>
      </c>
      <c r="V5392" t="str">
        <f t="shared" si="2211"/>
        <v>FARHANA BINTI MUSTAPA</v>
      </c>
      <c r="W5392" t="str">
        <f t="shared" si="2212"/>
        <v>04-08-2020</v>
      </c>
      <c r="X5392" t="str">
        <f t="shared" si="2213"/>
        <v>RAZIMAH ANSAR AHMAD</v>
      </c>
      <c r="Y5392" t="str">
        <f t="shared" si="2214"/>
        <v>04-08-2020</v>
      </c>
      <c r="Z5392" t="str">
        <f>"COS10200804 3762"</f>
        <v>COS10200804 3762</v>
      </c>
    </row>
    <row r="5393" spans="1:26" x14ac:dyDescent="0.25">
      <c r="A5393" t="str">
        <f t="shared" si="2215"/>
        <v>04-08-2020 12:46:39</v>
      </c>
      <c r="B5393" t="str">
        <f>"0000805534"</f>
        <v>0000805534</v>
      </c>
      <c r="C5393" t="str">
        <f t="shared" si="2216"/>
        <v>0000805373</v>
      </c>
      <c r="D5393" t="str">
        <f t="shared" si="2204"/>
        <v>73185</v>
      </c>
      <c r="E5393" t="str">
        <f t="shared" si="2205"/>
        <v>KFH-OPERATIONS DEPARTMENT</v>
      </c>
      <c r="F5393" t="str">
        <f t="shared" si="2206"/>
        <v>IBG</v>
      </c>
      <c r="G5393" t="str">
        <f t="shared" si="2219"/>
        <v>Refund COSHARE 10</v>
      </c>
      <c r="H5393" s="2">
        <v>293</v>
      </c>
      <c r="I5393" t="str">
        <f>"ZARINA BINTI MOHAMED"</f>
        <v>ZARINA BINTI MOHAMED</v>
      </c>
      <c r="J5393" t="str">
        <f t="shared" si="2203"/>
        <v>CIMB BANK / CIMB ISLAMIC BANK</v>
      </c>
      <c r="K5393" t="str">
        <f>"03020011446523"</f>
        <v>03020011446523</v>
      </c>
      <c r="L5393" t="str">
        <f t="shared" si="2217"/>
        <v>04-08-2020</v>
      </c>
      <c r="M5393" t="str">
        <f t="shared" si="2217"/>
        <v>04-08-2020</v>
      </c>
      <c r="N5393" t="str">
        <f t="shared" si="2207"/>
        <v>001105018356</v>
      </c>
      <c r="O5393" t="str">
        <f t="shared" si="2208"/>
        <v>MYR</v>
      </c>
      <c r="P5393" t="str">
        <f t="shared" si="2218"/>
        <v>NIL</v>
      </c>
      <c r="Q5393" t="str">
        <f t="shared" si="2218"/>
        <v>NIL</v>
      </c>
      <c r="R5393" t="str">
        <f t="shared" si="2195"/>
        <v>Accepted</v>
      </c>
      <c r="S5393" t="str">
        <f t="shared" si="2209"/>
        <v>Approved</v>
      </c>
      <c r="T5393" t="str">
        <f t="shared" si="2196"/>
        <v>10.20.8.188</v>
      </c>
      <c r="U5393" t="str">
        <f t="shared" si="2210"/>
        <v>AZRAD UMAR BIN SHAARI</v>
      </c>
      <c r="V5393" t="str">
        <f t="shared" si="2211"/>
        <v>FARHANA BINTI MUSTAPA</v>
      </c>
      <c r="W5393" t="str">
        <f t="shared" si="2212"/>
        <v>04-08-2020</v>
      </c>
      <c r="X5393" t="str">
        <f t="shared" si="2213"/>
        <v>RAZIMAH ANSAR AHMAD</v>
      </c>
      <c r="Y5393" t="str">
        <f t="shared" si="2214"/>
        <v>04-08-2020</v>
      </c>
      <c r="Z5393" t="str">
        <f>"COS10200804 3761"</f>
        <v>COS10200804 3761</v>
      </c>
    </row>
    <row r="5394" spans="1:26" x14ac:dyDescent="0.25">
      <c r="A5394" t="str">
        <f t="shared" si="2215"/>
        <v>04-08-2020 12:46:39</v>
      </c>
      <c r="B5394" t="str">
        <f>"0000805533"</f>
        <v>0000805533</v>
      </c>
      <c r="C5394" t="str">
        <f t="shared" si="2216"/>
        <v>0000805373</v>
      </c>
      <c r="D5394" t="str">
        <f t="shared" si="2204"/>
        <v>73185</v>
      </c>
      <c r="E5394" t="str">
        <f t="shared" si="2205"/>
        <v>KFH-OPERATIONS DEPARTMENT</v>
      </c>
      <c r="F5394" t="str">
        <f t="shared" si="2206"/>
        <v>IBG</v>
      </c>
      <c r="G5394" t="str">
        <f t="shared" si="2219"/>
        <v>Refund COSHARE 10</v>
      </c>
      <c r="H5394" s="2">
        <v>205</v>
      </c>
      <c r="I5394" t="str">
        <f>"ZARINA BINTI JAMALUDIN"</f>
        <v>ZARINA BINTI JAMALUDIN</v>
      </c>
      <c r="J5394" t="str">
        <f t="shared" si="2203"/>
        <v>CIMB BANK / CIMB ISLAMIC BANK</v>
      </c>
      <c r="K5394" t="str">
        <f>"08210018939522"</f>
        <v>08210018939522</v>
      </c>
      <c r="L5394" t="str">
        <f t="shared" si="2217"/>
        <v>04-08-2020</v>
      </c>
      <c r="M5394" t="str">
        <f t="shared" si="2217"/>
        <v>04-08-2020</v>
      </c>
      <c r="N5394" t="str">
        <f t="shared" si="2207"/>
        <v>001105018356</v>
      </c>
      <c r="O5394" t="str">
        <f t="shared" si="2208"/>
        <v>MYR</v>
      </c>
      <c r="P5394" t="str">
        <f t="shared" si="2218"/>
        <v>NIL</v>
      </c>
      <c r="Q5394" t="str">
        <f t="shared" si="2218"/>
        <v>NIL</v>
      </c>
      <c r="R5394" t="str">
        <f t="shared" si="2195"/>
        <v>Accepted</v>
      </c>
      <c r="S5394" t="str">
        <f t="shared" si="2209"/>
        <v>Approved</v>
      </c>
      <c r="T5394" t="str">
        <f t="shared" si="2196"/>
        <v>10.20.8.188</v>
      </c>
      <c r="U5394" t="str">
        <f t="shared" si="2210"/>
        <v>AZRAD UMAR BIN SHAARI</v>
      </c>
      <c r="V5394" t="str">
        <f t="shared" si="2211"/>
        <v>FARHANA BINTI MUSTAPA</v>
      </c>
      <c r="W5394" t="str">
        <f t="shared" si="2212"/>
        <v>04-08-2020</v>
      </c>
      <c r="X5394" t="str">
        <f t="shared" si="2213"/>
        <v>RAZIMAH ANSAR AHMAD</v>
      </c>
      <c r="Y5394" t="str">
        <f t="shared" si="2214"/>
        <v>04-08-2020</v>
      </c>
      <c r="Z5394" t="str">
        <f>"COS10200804 3760"</f>
        <v>COS10200804 3760</v>
      </c>
    </row>
    <row r="5395" spans="1:26" x14ac:dyDescent="0.25">
      <c r="A5395" t="str">
        <f t="shared" si="2215"/>
        <v>04-08-2020 12:46:39</v>
      </c>
      <c r="B5395" t="str">
        <f>"0000805532"</f>
        <v>0000805532</v>
      </c>
      <c r="C5395" t="str">
        <f t="shared" si="2216"/>
        <v>0000805373</v>
      </c>
      <c r="D5395" t="str">
        <f t="shared" si="2204"/>
        <v>73185</v>
      </c>
      <c r="E5395" t="str">
        <f t="shared" si="2205"/>
        <v>KFH-OPERATIONS DEPARTMENT</v>
      </c>
      <c r="F5395" t="str">
        <f t="shared" si="2206"/>
        <v>IBG</v>
      </c>
      <c r="G5395" t="str">
        <f t="shared" si="2219"/>
        <v>Refund COSHARE 10</v>
      </c>
      <c r="H5395" s="2">
        <v>147.35</v>
      </c>
      <c r="I5395" t="str">
        <f>"ZARIFAH BINTI MOHD SOHOR"</f>
        <v>ZARIFAH BINTI MOHD SOHOR</v>
      </c>
      <c r="J5395" t="str">
        <f t="shared" si="2203"/>
        <v>CIMB BANK / CIMB ISLAMIC BANK</v>
      </c>
      <c r="K5395" t="str">
        <f>"12240067167524"</f>
        <v>12240067167524</v>
      </c>
      <c r="L5395" t="str">
        <f t="shared" si="2217"/>
        <v>04-08-2020</v>
      </c>
      <c r="M5395" t="str">
        <f t="shared" si="2217"/>
        <v>04-08-2020</v>
      </c>
      <c r="N5395" t="str">
        <f t="shared" si="2207"/>
        <v>001105018356</v>
      </c>
      <c r="O5395" t="str">
        <f t="shared" si="2208"/>
        <v>MYR</v>
      </c>
      <c r="P5395" t="str">
        <f t="shared" si="2218"/>
        <v>NIL</v>
      </c>
      <c r="Q5395" t="str">
        <f t="shared" si="2218"/>
        <v>NIL</v>
      </c>
      <c r="R5395" t="str">
        <f t="shared" si="2195"/>
        <v>Accepted</v>
      </c>
      <c r="S5395" t="str">
        <f t="shared" si="2209"/>
        <v>Approved</v>
      </c>
      <c r="T5395" t="str">
        <f t="shared" si="2196"/>
        <v>10.20.8.188</v>
      </c>
      <c r="U5395" t="str">
        <f t="shared" si="2210"/>
        <v>AZRAD UMAR BIN SHAARI</v>
      </c>
      <c r="V5395" t="str">
        <f t="shared" si="2211"/>
        <v>FARHANA BINTI MUSTAPA</v>
      </c>
      <c r="W5395" t="str">
        <f t="shared" si="2212"/>
        <v>04-08-2020</v>
      </c>
      <c r="X5395" t="str">
        <f t="shared" si="2213"/>
        <v>RAZIMAH ANSAR AHMAD</v>
      </c>
      <c r="Y5395" t="str">
        <f t="shared" si="2214"/>
        <v>04-08-2020</v>
      </c>
      <c r="Z5395" t="str">
        <f>"COS10200804 3759"</f>
        <v>COS10200804 3759</v>
      </c>
    </row>
    <row r="5396" spans="1:26" x14ac:dyDescent="0.25">
      <c r="A5396" t="str">
        <f t="shared" si="2215"/>
        <v>04-08-2020 12:46:39</v>
      </c>
      <c r="B5396" t="str">
        <f>"0000805531"</f>
        <v>0000805531</v>
      </c>
      <c r="C5396" t="str">
        <f t="shared" si="2216"/>
        <v>0000805373</v>
      </c>
      <c r="D5396" t="str">
        <f t="shared" si="2204"/>
        <v>73185</v>
      </c>
      <c r="E5396" t="str">
        <f t="shared" si="2205"/>
        <v>KFH-OPERATIONS DEPARTMENT</v>
      </c>
      <c r="F5396" t="str">
        <f t="shared" si="2206"/>
        <v>IBG</v>
      </c>
      <c r="G5396" t="str">
        <f t="shared" si="2219"/>
        <v>Refund COSHARE 10</v>
      </c>
      <c r="H5396" s="2">
        <v>1826.8</v>
      </c>
      <c r="I5396" t="str">
        <f>"ZAMZURI BIN MOHAMED  MD CHIK"</f>
        <v>ZAMZURI BIN MOHAMED  MD CHIK</v>
      </c>
      <c r="J5396" t="str">
        <f t="shared" si="2203"/>
        <v>CIMB BANK / CIMB ISLAMIC BANK</v>
      </c>
      <c r="K5396" t="str">
        <f>"14430062714525"</f>
        <v>14430062714525</v>
      </c>
      <c r="L5396" t="str">
        <f t="shared" si="2217"/>
        <v>04-08-2020</v>
      </c>
      <c r="M5396" t="str">
        <f t="shared" si="2217"/>
        <v>04-08-2020</v>
      </c>
      <c r="N5396" t="str">
        <f t="shared" si="2207"/>
        <v>001105018356</v>
      </c>
      <c r="O5396" t="str">
        <f t="shared" si="2208"/>
        <v>MYR</v>
      </c>
      <c r="P5396" t="str">
        <f t="shared" si="2218"/>
        <v>NIL</v>
      </c>
      <c r="Q5396" t="str">
        <f t="shared" si="2218"/>
        <v>NIL</v>
      </c>
      <c r="R5396" t="str">
        <f t="shared" si="2195"/>
        <v>Accepted</v>
      </c>
      <c r="S5396" t="str">
        <f t="shared" si="2209"/>
        <v>Approved</v>
      </c>
      <c r="T5396" t="str">
        <f t="shared" si="2196"/>
        <v>10.20.8.188</v>
      </c>
      <c r="U5396" t="str">
        <f t="shared" si="2210"/>
        <v>AZRAD UMAR BIN SHAARI</v>
      </c>
      <c r="V5396" t="str">
        <f t="shared" si="2211"/>
        <v>FARHANA BINTI MUSTAPA</v>
      </c>
      <c r="W5396" t="str">
        <f t="shared" si="2212"/>
        <v>04-08-2020</v>
      </c>
      <c r="X5396" t="str">
        <f t="shared" si="2213"/>
        <v>RAZIMAH ANSAR AHMAD</v>
      </c>
      <c r="Y5396" t="str">
        <f t="shared" si="2214"/>
        <v>04-08-2020</v>
      </c>
      <c r="Z5396" t="str">
        <f>"COS10200804 3758"</f>
        <v>COS10200804 3758</v>
      </c>
    </row>
    <row r="5397" spans="1:26" x14ac:dyDescent="0.25">
      <c r="A5397" t="str">
        <f t="shared" si="2215"/>
        <v>04-08-2020 12:46:39</v>
      </c>
      <c r="B5397" t="str">
        <f>"0000805530"</f>
        <v>0000805530</v>
      </c>
      <c r="C5397" t="str">
        <f t="shared" si="2216"/>
        <v>0000805373</v>
      </c>
      <c r="D5397" t="str">
        <f t="shared" si="2204"/>
        <v>73185</v>
      </c>
      <c r="E5397" t="str">
        <f t="shared" si="2205"/>
        <v>KFH-OPERATIONS DEPARTMENT</v>
      </c>
      <c r="F5397" t="str">
        <f t="shared" si="2206"/>
        <v>IBG</v>
      </c>
      <c r="G5397" t="str">
        <f t="shared" si="2219"/>
        <v>Refund COSHARE 10</v>
      </c>
      <c r="H5397" s="2">
        <v>831.1</v>
      </c>
      <c r="I5397" t="str">
        <f>"ZAMZANI BIN IDRIS"</f>
        <v>ZAMZANI BIN IDRIS</v>
      </c>
      <c r="J5397" t="str">
        <f t="shared" si="2203"/>
        <v>CIMB BANK / CIMB ISLAMIC BANK</v>
      </c>
      <c r="K5397" t="str">
        <f>"14200022924524"</f>
        <v>14200022924524</v>
      </c>
      <c r="L5397" t="str">
        <f t="shared" si="2217"/>
        <v>04-08-2020</v>
      </c>
      <c r="M5397" t="str">
        <f t="shared" si="2217"/>
        <v>04-08-2020</v>
      </c>
      <c r="N5397" t="str">
        <f t="shared" si="2207"/>
        <v>001105018356</v>
      </c>
      <c r="O5397" t="str">
        <f t="shared" si="2208"/>
        <v>MYR</v>
      </c>
      <c r="P5397" t="str">
        <f t="shared" si="2218"/>
        <v>NIL</v>
      </c>
      <c r="Q5397" t="str">
        <f t="shared" si="2218"/>
        <v>NIL</v>
      </c>
      <c r="R5397" t="str">
        <f t="shared" si="2195"/>
        <v>Accepted</v>
      </c>
      <c r="S5397" t="str">
        <f t="shared" si="2209"/>
        <v>Approved</v>
      </c>
      <c r="T5397" t="str">
        <f t="shared" si="2196"/>
        <v>10.20.8.188</v>
      </c>
      <c r="U5397" t="str">
        <f t="shared" si="2210"/>
        <v>AZRAD UMAR BIN SHAARI</v>
      </c>
      <c r="V5397" t="str">
        <f t="shared" si="2211"/>
        <v>FARHANA BINTI MUSTAPA</v>
      </c>
      <c r="W5397" t="str">
        <f t="shared" si="2212"/>
        <v>04-08-2020</v>
      </c>
      <c r="X5397" t="str">
        <f t="shared" si="2213"/>
        <v>RAZIMAH ANSAR AHMAD</v>
      </c>
      <c r="Y5397" t="str">
        <f t="shared" si="2214"/>
        <v>04-08-2020</v>
      </c>
      <c r="Z5397" t="str">
        <f>"COS10200804 3757"</f>
        <v>COS10200804 3757</v>
      </c>
    </row>
    <row r="5398" spans="1:26" x14ac:dyDescent="0.25">
      <c r="A5398" t="str">
        <f t="shared" si="2215"/>
        <v>04-08-2020 12:46:39</v>
      </c>
      <c r="B5398" t="str">
        <f>"0000805529"</f>
        <v>0000805529</v>
      </c>
      <c r="C5398" t="str">
        <f t="shared" si="2216"/>
        <v>0000805373</v>
      </c>
      <c r="D5398" t="str">
        <f t="shared" si="2204"/>
        <v>73185</v>
      </c>
      <c r="E5398" t="str">
        <f t="shared" si="2205"/>
        <v>KFH-OPERATIONS DEPARTMENT</v>
      </c>
      <c r="F5398" t="str">
        <f t="shared" si="2206"/>
        <v>IBG</v>
      </c>
      <c r="G5398" t="str">
        <f t="shared" si="2219"/>
        <v>Refund COSHARE 10</v>
      </c>
      <c r="H5398" s="2">
        <v>75.599999999999994</v>
      </c>
      <c r="I5398" t="str">
        <f>"ZAMRY BIN ISMAIL"</f>
        <v>ZAMRY BIN ISMAIL</v>
      </c>
      <c r="J5398" t="str">
        <f t="shared" si="2203"/>
        <v>CIMB BANK / CIMB ISLAMIC BANK</v>
      </c>
      <c r="K5398" t="str">
        <f>"7024180549"</f>
        <v>7024180549</v>
      </c>
      <c r="L5398" t="str">
        <f t="shared" si="2217"/>
        <v>04-08-2020</v>
      </c>
      <c r="M5398" t="str">
        <f t="shared" si="2217"/>
        <v>04-08-2020</v>
      </c>
      <c r="N5398" t="str">
        <f t="shared" si="2207"/>
        <v>001105018356</v>
      </c>
      <c r="O5398" t="str">
        <f t="shared" si="2208"/>
        <v>MYR</v>
      </c>
      <c r="P5398" t="str">
        <f t="shared" si="2218"/>
        <v>NIL</v>
      </c>
      <c r="Q5398" t="str">
        <f t="shared" si="2218"/>
        <v>NIL</v>
      </c>
      <c r="R5398" t="str">
        <f t="shared" si="2195"/>
        <v>Accepted</v>
      </c>
      <c r="S5398" t="str">
        <f t="shared" si="2209"/>
        <v>Approved</v>
      </c>
      <c r="T5398" t="str">
        <f t="shared" si="2196"/>
        <v>10.20.8.188</v>
      </c>
      <c r="U5398" t="str">
        <f t="shared" si="2210"/>
        <v>AZRAD UMAR BIN SHAARI</v>
      </c>
      <c r="V5398" t="str">
        <f t="shared" si="2211"/>
        <v>FARHANA BINTI MUSTAPA</v>
      </c>
      <c r="W5398" t="str">
        <f t="shared" si="2212"/>
        <v>04-08-2020</v>
      </c>
      <c r="X5398" t="str">
        <f t="shared" si="2213"/>
        <v>RAZIMAH ANSAR AHMAD</v>
      </c>
      <c r="Y5398" t="str">
        <f t="shared" si="2214"/>
        <v>04-08-2020</v>
      </c>
      <c r="Z5398" t="str">
        <f>"COS10200804 3756"</f>
        <v>COS10200804 3756</v>
      </c>
    </row>
    <row r="5399" spans="1:26" x14ac:dyDescent="0.25">
      <c r="A5399" t="str">
        <f t="shared" si="2215"/>
        <v>04-08-2020 12:46:39</v>
      </c>
      <c r="B5399" t="str">
        <f>"0000805528"</f>
        <v>0000805528</v>
      </c>
      <c r="C5399" t="str">
        <f t="shared" si="2216"/>
        <v>0000805373</v>
      </c>
      <c r="D5399" t="str">
        <f t="shared" si="2204"/>
        <v>73185</v>
      </c>
      <c r="E5399" t="str">
        <f t="shared" si="2205"/>
        <v>KFH-OPERATIONS DEPARTMENT</v>
      </c>
      <c r="F5399" t="str">
        <f t="shared" si="2206"/>
        <v>IBG</v>
      </c>
      <c r="G5399" t="str">
        <f t="shared" si="2219"/>
        <v>Refund COSHARE 10</v>
      </c>
      <c r="H5399" s="2">
        <v>58.8</v>
      </c>
      <c r="I5399" t="str">
        <f>"ZAMRY BIN ISMAIL"</f>
        <v>ZAMRY BIN ISMAIL</v>
      </c>
      <c r="J5399" t="str">
        <f t="shared" si="2203"/>
        <v>CIMB BANK / CIMB ISLAMIC BANK</v>
      </c>
      <c r="K5399" t="str">
        <f>"7024180549"</f>
        <v>7024180549</v>
      </c>
      <c r="L5399" t="str">
        <f t="shared" si="2217"/>
        <v>04-08-2020</v>
      </c>
      <c r="M5399" t="str">
        <f t="shared" si="2217"/>
        <v>04-08-2020</v>
      </c>
      <c r="N5399" t="str">
        <f t="shared" si="2207"/>
        <v>001105018356</v>
      </c>
      <c r="O5399" t="str">
        <f t="shared" si="2208"/>
        <v>MYR</v>
      </c>
      <c r="P5399" t="str">
        <f t="shared" si="2218"/>
        <v>NIL</v>
      </c>
      <c r="Q5399" t="str">
        <f t="shared" si="2218"/>
        <v>NIL</v>
      </c>
      <c r="R5399" t="str">
        <f t="shared" si="2195"/>
        <v>Accepted</v>
      </c>
      <c r="S5399" t="str">
        <f t="shared" si="2209"/>
        <v>Approved</v>
      </c>
      <c r="T5399" t="str">
        <f t="shared" si="2196"/>
        <v>10.20.8.188</v>
      </c>
      <c r="U5399" t="str">
        <f t="shared" si="2210"/>
        <v>AZRAD UMAR BIN SHAARI</v>
      </c>
      <c r="V5399" t="str">
        <f t="shared" si="2211"/>
        <v>FARHANA BINTI MUSTAPA</v>
      </c>
      <c r="W5399" t="str">
        <f t="shared" si="2212"/>
        <v>04-08-2020</v>
      </c>
      <c r="X5399" t="str">
        <f t="shared" si="2213"/>
        <v>RAZIMAH ANSAR AHMAD</v>
      </c>
      <c r="Y5399" t="str">
        <f t="shared" si="2214"/>
        <v>04-08-2020</v>
      </c>
      <c r="Z5399" t="str">
        <f>"COS10200804 3755"</f>
        <v>COS10200804 3755</v>
      </c>
    </row>
    <row r="5400" spans="1:26" x14ac:dyDescent="0.25">
      <c r="A5400" t="str">
        <f t="shared" si="2215"/>
        <v>04-08-2020 12:46:39</v>
      </c>
      <c r="B5400" t="str">
        <f>"0000805527"</f>
        <v>0000805527</v>
      </c>
      <c r="C5400" t="str">
        <f t="shared" si="2216"/>
        <v>0000805373</v>
      </c>
      <c r="D5400" t="str">
        <f t="shared" si="2204"/>
        <v>73185</v>
      </c>
      <c r="E5400" t="str">
        <f t="shared" si="2205"/>
        <v>KFH-OPERATIONS DEPARTMENT</v>
      </c>
      <c r="F5400" t="str">
        <f t="shared" si="2206"/>
        <v>IBG</v>
      </c>
      <c r="G5400" t="str">
        <f t="shared" si="2219"/>
        <v>Refund COSHARE 10</v>
      </c>
      <c r="H5400" s="2">
        <v>294.7</v>
      </c>
      <c r="I5400" t="str">
        <f>"ZAMRINA BINTI IBRAHIM"</f>
        <v>ZAMRINA BINTI IBRAHIM</v>
      </c>
      <c r="J5400" t="str">
        <f t="shared" si="2203"/>
        <v>CIMB BANK / CIMB ISLAMIC BANK</v>
      </c>
      <c r="K5400" t="str">
        <f>"06120064895522"</f>
        <v>06120064895522</v>
      </c>
      <c r="L5400" t="str">
        <f t="shared" si="2217"/>
        <v>04-08-2020</v>
      </c>
      <c r="M5400" t="str">
        <f t="shared" si="2217"/>
        <v>04-08-2020</v>
      </c>
      <c r="N5400" t="str">
        <f t="shared" si="2207"/>
        <v>001105018356</v>
      </c>
      <c r="O5400" t="str">
        <f t="shared" si="2208"/>
        <v>MYR</v>
      </c>
      <c r="P5400" t="str">
        <f t="shared" si="2218"/>
        <v>NIL</v>
      </c>
      <c r="Q5400" t="str">
        <f t="shared" si="2218"/>
        <v>NIL</v>
      </c>
      <c r="R5400" t="str">
        <f t="shared" si="2195"/>
        <v>Accepted</v>
      </c>
      <c r="S5400" t="str">
        <f t="shared" si="2209"/>
        <v>Approved</v>
      </c>
      <c r="T5400" t="str">
        <f t="shared" si="2196"/>
        <v>10.20.8.188</v>
      </c>
      <c r="U5400" t="str">
        <f t="shared" si="2210"/>
        <v>AZRAD UMAR BIN SHAARI</v>
      </c>
      <c r="V5400" t="str">
        <f t="shared" si="2211"/>
        <v>FARHANA BINTI MUSTAPA</v>
      </c>
      <c r="W5400" t="str">
        <f t="shared" si="2212"/>
        <v>04-08-2020</v>
      </c>
      <c r="X5400" t="str">
        <f t="shared" si="2213"/>
        <v>RAZIMAH ANSAR AHMAD</v>
      </c>
      <c r="Y5400" t="str">
        <f t="shared" si="2214"/>
        <v>04-08-2020</v>
      </c>
      <c r="Z5400" t="str">
        <f>"COS10200804 3754"</f>
        <v>COS10200804 3754</v>
      </c>
    </row>
    <row r="5401" spans="1:26" x14ac:dyDescent="0.25">
      <c r="A5401" t="str">
        <f t="shared" si="2215"/>
        <v>04-08-2020 12:46:39</v>
      </c>
      <c r="B5401" t="str">
        <f>"0000805526"</f>
        <v>0000805526</v>
      </c>
      <c r="C5401" t="str">
        <f t="shared" si="2216"/>
        <v>0000805373</v>
      </c>
      <c r="D5401" t="str">
        <f t="shared" si="2204"/>
        <v>73185</v>
      </c>
      <c r="E5401" t="str">
        <f t="shared" si="2205"/>
        <v>KFH-OPERATIONS DEPARTMENT</v>
      </c>
      <c r="F5401" t="str">
        <f t="shared" si="2206"/>
        <v>IBG</v>
      </c>
      <c r="G5401" t="str">
        <f t="shared" si="2219"/>
        <v>Refund COSHARE 10</v>
      </c>
      <c r="H5401" s="2">
        <v>1893.05</v>
      </c>
      <c r="I5401" t="str">
        <f>"ZAMRI BIN SAJARI"</f>
        <v>ZAMRI BIN SAJARI</v>
      </c>
      <c r="J5401" t="str">
        <f t="shared" si="2203"/>
        <v>CIMB BANK / CIMB ISLAMIC BANK</v>
      </c>
      <c r="K5401" t="str">
        <f>"12600008189527"</f>
        <v>12600008189527</v>
      </c>
      <c r="L5401" t="str">
        <f t="shared" si="2217"/>
        <v>04-08-2020</v>
      </c>
      <c r="M5401" t="str">
        <f t="shared" si="2217"/>
        <v>04-08-2020</v>
      </c>
      <c r="N5401" t="str">
        <f t="shared" si="2207"/>
        <v>001105018356</v>
      </c>
      <c r="O5401" t="str">
        <f t="shared" si="2208"/>
        <v>MYR</v>
      </c>
      <c r="P5401" t="str">
        <f t="shared" si="2218"/>
        <v>NIL</v>
      </c>
      <c r="Q5401" t="str">
        <f t="shared" si="2218"/>
        <v>NIL</v>
      </c>
      <c r="R5401" t="str">
        <f t="shared" si="2195"/>
        <v>Accepted</v>
      </c>
      <c r="S5401" t="str">
        <f t="shared" si="2209"/>
        <v>Approved</v>
      </c>
      <c r="T5401" t="str">
        <f t="shared" si="2196"/>
        <v>10.20.8.188</v>
      </c>
      <c r="U5401" t="str">
        <f t="shared" si="2210"/>
        <v>AZRAD UMAR BIN SHAARI</v>
      </c>
      <c r="V5401" t="str">
        <f t="shared" si="2211"/>
        <v>FARHANA BINTI MUSTAPA</v>
      </c>
      <c r="W5401" t="str">
        <f t="shared" si="2212"/>
        <v>04-08-2020</v>
      </c>
      <c r="X5401" t="str">
        <f t="shared" si="2213"/>
        <v>RAZIMAH ANSAR AHMAD</v>
      </c>
      <c r="Y5401" t="str">
        <f t="shared" si="2214"/>
        <v>04-08-2020</v>
      </c>
      <c r="Z5401" t="str">
        <f>"COS10200804 3753"</f>
        <v>COS10200804 3753</v>
      </c>
    </row>
    <row r="5402" spans="1:26" x14ac:dyDescent="0.25">
      <c r="A5402" t="str">
        <f t="shared" si="2215"/>
        <v>04-08-2020 12:46:39</v>
      </c>
      <c r="B5402" t="str">
        <f>"0000805525"</f>
        <v>0000805525</v>
      </c>
      <c r="C5402" t="str">
        <f t="shared" si="2216"/>
        <v>0000805373</v>
      </c>
      <c r="D5402" t="str">
        <f t="shared" si="2204"/>
        <v>73185</v>
      </c>
      <c r="E5402" t="str">
        <f t="shared" si="2205"/>
        <v>KFH-OPERATIONS DEPARTMENT</v>
      </c>
      <c r="F5402" t="str">
        <f t="shared" si="2206"/>
        <v>IBG</v>
      </c>
      <c r="G5402" t="str">
        <f t="shared" si="2219"/>
        <v>Refund COSHARE 10</v>
      </c>
      <c r="H5402" s="2">
        <v>238.3</v>
      </c>
      <c r="I5402" t="str">
        <f>"ZAMANI BIN ZAKARIA"</f>
        <v>ZAMANI BIN ZAKARIA</v>
      </c>
      <c r="J5402" t="str">
        <f t="shared" si="2203"/>
        <v>CIMB BANK / CIMB ISLAMIC BANK</v>
      </c>
      <c r="K5402" t="str">
        <f>"03110006686521"</f>
        <v>03110006686521</v>
      </c>
      <c r="L5402" t="str">
        <f t="shared" si="2217"/>
        <v>04-08-2020</v>
      </c>
      <c r="M5402" t="str">
        <f t="shared" si="2217"/>
        <v>04-08-2020</v>
      </c>
      <c r="N5402" t="str">
        <f t="shared" si="2207"/>
        <v>001105018356</v>
      </c>
      <c r="O5402" t="str">
        <f t="shared" si="2208"/>
        <v>MYR</v>
      </c>
      <c r="P5402" t="str">
        <f t="shared" si="2218"/>
        <v>NIL</v>
      </c>
      <c r="Q5402" t="str">
        <f t="shared" si="2218"/>
        <v>NIL</v>
      </c>
      <c r="R5402" t="str">
        <f t="shared" si="2195"/>
        <v>Accepted</v>
      </c>
      <c r="S5402" t="str">
        <f t="shared" si="2209"/>
        <v>Approved</v>
      </c>
      <c r="T5402" t="str">
        <f t="shared" si="2196"/>
        <v>10.20.8.188</v>
      </c>
      <c r="U5402" t="str">
        <f t="shared" si="2210"/>
        <v>AZRAD UMAR BIN SHAARI</v>
      </c>
      <c r="V5402" t="str">
        <f t="shared" si="2211"/>
        <v>FARHANA BINTI MUSTAPA</v>
      </c>
      <c r="W5402" t="str">
        <f t="shared" si="2212"/>
        <v>04-08-2020</v>
      </c>
      <c r="X5402" t="str">
        <f t="shared" si="2213"/>
        <v>RAZIMAH ANSAR AHMAD</v>
      </c>
      <c r="Y5402" t="str">
        <f t="shared" si="2214"/>
        <v>04-08-2020</v>
      </c>
      <c r="Z5402" t="str">
        <f>"COS10200804 3752"</f>
        <v>COS10200804 3752</v>
      </c>
    </row>
    <row r="5403" spans="1:26" x14ac:dyDescent="0.25">
      <c r="A5403" t="str">
        <f t="shared" si="2215"/>
        <v>04-08-2020 12:46:39</v>
      </c>
      <c r="B5403" t="str">
        <f>"0000805524"</f>
        <v>0000805524</v>
      </c>
      <c r="C5403" t="str">
        <f t="shared" si="2216"/>
        <v>0000805373</v>
      </c>
      <c r="D5403" t="str">
        <f t="shared" si="2204"/>
        <v>73185</v>
      </c>
      <c r="E5403" t="str">
        <f t="shared" si="2205"/>
        <v>KFH-OPERATIONS DEPARTMENT</v>
      </c>
      <c r="F5403" t="str">
        <f t="shared" si="2206"/>
        <v>IBG</v>
      </c>
      <c r="G5403" t="str">
        <f t="shared" si="2219"/>
        <v>Refund COSHARE 10</v>
      </c>
      <c r="H5403" s="2">
        <v>377.8</v>
      </c>
      <c r="I5403" t="str">
        <f>"ZALINDA BINTI ZAINOL ABIDIN"</f>
        <v>ZALINDA BINTI ZAINOL ABIDIN</v>
      </c>
      <c r="J5403" t="str">
        <f t="shared" si="2203"/>
        <v>CIMB BANK / CIMB ISLAMIC BANK</v>
      </c>
      <c r="K5403" t="str">
        <f>"7620651585"</f>
        <v>7620651585</v>
      </c>
      <c r="L5403" t="str">
        <f t="shared" si="2217"/>
        <v>04-08-2020</v>
      </c>
      <c r="M5403" t="str">
        <f t="shared" si="2217"/>
        <v>04-08-2020</v>
      </c>
      <c r="N5403" t="str">
        <f t="shared" si="2207"/>
        <v>001105018356</v>
      </c>
      <c r="O5403" t="str">
        <f t="shared" si="2208"/>
        <v>MYR</v>
      </c>
      <c r="P5403" t="str">
        <f t="shared" si="2218"/>
        <v>NIL</v>
      </c>
      <c r="Q5403" t="str">
        <f t="shared" si="2218"/>
        <v>NIL</v>
      </c>
      <c r="R5403" t="str">
        <f t="shared" si="2195"/>
        <v>Accepted</v>
      </c>
      <c r="S5403" t="str">
        <f t="shared" si="2209"/>
        <v>Approved</v>
      </c>
      <c r="T5403" t="str">
        <f t="shared" si="2196"/>
        <v>10.20.8.188</v>
      </c>
      <c r="U5403" t="str">
        <f t="shared" si="2210"/>
        <v>AZRAD UMAR BIN SHAARI</v>
      </c>
      <c r="V5403" t="str">
        <f t="shared" si="2211"/>
        <v>FARHANA BINTI MUSTAPA</v>
      </c>
      <c r="W5403" t="str">
        <f t="shared" si="2212"/>
        <v>04-08-2020</v>
      </c>
      <c r="X5403" t="str">
        <f t="shared" si="2213"/>
        <v>RAZIMAH ANSAR AHMAD</v>
      </c>
      <c r="Y5403" t="str">
        <f t="shared" si="2214"/>
        <v>04-08-2020</v>
      </c>
      <c r="Z5403" t="str">
        <f>"COS10200804 3751"</f>
        <v>COS10200804 3751</v>
      </c>
    </row>
    <row r="5404" spans="1:26" x14ac:dyDescent="0.25">
      <c r="A5404" t="str">
        <f t="shared" si="2215"/>
        <v>04-08-2020 12:46:39</v>
      </c>
      <c r="B5404" t="str">
        <f>"0000805523"</f>
        <v>0000805523</v>
      </c>
      <c r="C5404" t="str">
        <f t="shared" si="2216"/>
        <v>0000805373</v>
      </c>
      <c r="D5404" t="str">
        <f t="shared" si="2204"/>
        <v>73185</v>
      </c>
      <c r="E5404" t="str">
        <f t="shared" si="2205"/>
        <v>KFH-OPERATIONS DEPARTMENT</v>
      </c>
      <c r="F5404" t="str">
        <f t="shared" si="2206"/>
        <v>IBG</v>
      </c>
      <c r="G5404" t="str">
        <f t="shared" si="2219"/>
        <v>Refund COSHARE 10</v>
      </c>
      <c r="H5404" s="2">
        <v>638.65</v>
      </c>
      <c r="I5404" t="str">
        <f>"ZALINA BINTI ISMAIL"</f>
        <v>ZALINA BINTI ISMAIL</v>
      </c>
      <c r="J5404" t="str">
        <f t="shared" si="2203"/>
        <v>CIMB BANK / CIMB ISLAMIC BANK</v>
      </c>
      <c r="K5404" t="str">
        <f>"01060064766524"</f>
        <v>01060064766524</v>
      </c>
      <c r="L5404" t="str">
        <f t="shared" si="2217"/>
        <v>04-08-2020</v>
      </c>
      <c r="M5404" t="str">
        <f t="shared" si="2217"/>
        <v>04-08-2020</v>
      </c>
      <c r="N5404" t="str">
        <f t="shared" si="2207"/>
        <v>001105018356</v>
      </c>
      <c r="O5404" t="str">
        <f t="shared" si="2208"/>
        <v>MYR</v>
      </c>
      <c r="P5404" t="str">
        <f t="shared" si="2218"/>
        <v>NIL</v>
      </c>
      <c r="Q5404" t="str">
        <f t="shared" si="2218"/>
        <v>NIL</v>
      </c>
      <c r="R5404" t="str">
        <f t="shared" si="2195"/>
        <v>Accepted</v>
      </c>
      <c r="S5404" t="str">
        <f t="shared" si="2209"/>
        <v>Approved</v>
      </c>
      <c r="T5404" t="str">
        <f t="shared" si="2196"/>
        <v>10.20.8.188</v>
      </c>
      <c r="U5404" t="str">
        <f t="shared" si="2210"/>
        <v>AZRAD UMAR BIN SHAARI</v>
      </c>
      <c r="V5404" t="str">
        <f t="shared" si="2211"/>
        <v>FARHANA BINTI MUSTAPA</v>
      </c>
      <c r="W5404" t="str">
        <f t="shared" si="2212"/>
        <v>04-08-2020</v>
      </c>
      <c r="X5404" t="str">
        <f t="shared" si="2213"/>
        <v>RAZIMAH ANSAR AHMAD</v>
      </c>
      <c r="Y5404" t="str">
        <f t="shared" si="2214"/>
        <v>04-08-2020</v>
      </c>
      <c r="Z5404" t="str">
        <f>"COS10200804 3750"</f>
        <v>COS10200804 3750</v>
      </c>
    </row>
    <row r="5405" spans="1:26" x14ac:dyDescent="0.25">
      <c r="A5405" t="str">
        <f t="shared" si="2215"/>
        <v>04-08-2020 12:46:39</v>
      </c>
      <c r="B5405" t="str">
        <f>"0000805522"</f>
        <v>0000805522</v>
      </c>
      <c r="C5405" t="str">
        <f t="shared" si="2216"/>
        <v>0000805373</v>
      </c>
      <c r="D5405" t="str">
        <f t="shared" si="2204"/>
        <v>73185</v>
      </c>
      <c r="E5405" t="str">
        <f t="shared" si="2205"/>
        <v>KFH-OPERATIONS DEPARTMENT</v>
      </c>
      <c r="F5405" t="str">
        <f t="shared" si="2206"/>
        <v>IBG</v>
      </c>
      <c r="G5405" t="str">
        <f t="shared" si="2219"/>
        <v>Refund COSHARE 10</v>
      </c>
      <c r="H5405" s="2">
        <v>957</v>
      </c>
      <c r="I5405" t="str">
        <f>"ZALIHA BINTI ZAINUDDIN"</f>
        <v>ZALIHA BINTI ZAINUDDIN</v>
      </c>
      <c r="J5405" t="str">
        <f t="shared" si="2203"/>
        <v>CIMB BANK / CIMB ISLAMIC BANK</v>
      </c>
      <c r="K5405" t="str">
        <f>"7002269804"</f>
        <v>7002269804</v>
      </c>
      <c r="L5405" t="str">
        <f t="shared" si="2217"/>
        <v>04-08-2020</v>
      </c>
      <c r="M5405" t="str">
        <f t="shared" si="2217"/>
        <v>04-08-2020</v>
      </c>
      <c r="N5405" t="str">
        <f t="shared" si="2207"/>
        <v>001105018356</v>
      </c>
      <c r="O5405" t="str">
        <f t="shared" si="2208"/>
        <v>MYR</v>
      </c>
      <c r="P5405" t="str">
        <f t="shared" si="2218"/>
        <v>NIL</v>
      </c>
      <c r="Q5405" t="str">
        <f t="shared" si="2218"/>
        <v>NIL</v>
      </c>
      <c r="R5405" t="str">
        <f t="shared" si="2195"/>
        <v>Accepted</v>
      </c>
      <c r="S5405" t="str">
        <f t="shared" si="2209"/>
        <v>Approved</v>
      </c>
      <c r="T5405" t="str">
        <f t="shared" si="2196"/>
        <v>10.20.8.188</v>
      </c>
      <c r="U5405" t="str">
        <f t="shared" si="2210"/>
        <v>AZRAD UMAR BIN SHAARI</v>
      </c>
      <c r="V5405" t="str">
        <f t="shared" si="2211"/>
        <v>FARHANA BINTI MUSTAPA</v>
      </c>
      <c r="W5405" t="str">
        <f t="shared" si="2212"/>
        <v>04-08-2020</v>
      </c>
      <c r="X5405" t="str">
        <f t="shared" si="2213"/>
        <v>RAZIMAH ANSAR AHMAD</v>
      </c>
      <c r="Y5405" t="str">
        <f t="shared" si="2214"/>
        <v>04-08-2020</v>
      </c>
      <c r="Z5405" t="str">
        <f>"COS10200804 3749"</f>
        <v>COS10200804 3749</v>
      </c>
    </row>
    <row r="5406" spans="1:26" x14ac:dyDescent="0.25">
      <c r="A5406" t="str">
        <f t="shared" si="2215"/>
        <v>04-08-2020 12:46:39</v>
      </c>
      <c r="B5406" t="str">
        <f>"0000805521"</f>
        <v>0000805521</v>
      </c>
      <c r="C5406" t="str">
        <f t="shared" si="2216"/>
        <v>0000805373</v>
      </c>
      <c r="D5406" t="str">
        <f t="shared" si="2204"/>
        <v>73185</v>
      </c>
      <c r="E5406" t="str">
        <f t="shared" si="2205"/>
        <v>KFH-OPERATIONS DEPARTMENT</v>
      </c>
      <c r="F5406" t="str">
        <f t="shared" si="2206"/>
        <v>IBG</v>
      </c>
      <c r="G5406" t="str">
        <f t="shared" si="2219"/>
        <v>Refund COSHARE 10</v>
      </c>
      <c r="H5406" s="2">
        <v>344.2</v>
      </c>
      <c r="I5406" t="str">
        <f>"ZALEHA BINTI RASIDI"</f>
        <v>ZALEHA BINTI RASIDI</v>
      </c>
      <c r="J5406" t="str">
        <f t="shared" si="2203"/>
        <v>CIMB BANK / CIMB ISLAMIC BANK</v>
      </c>
      <c r="K5406" t="str">
        <f>"02060068177520"</f>
        <v>02060068177520</v>
      </c>
      <c r="L5406" t="str">
        <f t="shared" si="2217"/>
        <v>04-08-2020</v>
      </c>
      <c r="M5406" t="str">
        <f t="shared" si="2217"/>
        <v>04-08-2020</v>
      </c>
      <c r="N5406" t="str">
        <f t="shared" si="2207"/>
        <v>001105018356</v>
      </c>
      <c r="O5406" t="str">
        <f t="shared" si="2208"/>
        <v>MYR</v>
      </c>
      <c r="P5406" t="str">
        <f t="shared" si="2218"/>
        <v>NIL</v>
      </c>
      <c r="Q5406" t="str">
        <f t="shared" si="2218"/>
        <v>NIL</v>
      </c>
      <c r="R5406" t="str">
        <f t="shared" si="2195"/>
        <v>Accepted</v>
      </c>
      <c r="S5406" t="str">
        <f t="shared" si="2209"/>
        <v>Approved</v>
      </c>
      <c r="T5406" t="str">
        <f t="shared" si="2196"/>
        <v>10.20.8.188</v>
      </c>
      <c r="U5406" t="str">
        <f t="shared" si="2210"/>
        <v>AZRAD UMAR BIN SHAARI</v>
      </c>
      <c r="V5406" t="str">
        <f t="shared" si="2211"/>
        <v>FARHANA BINTI MUSTAPA</v>
      </c>
      <c r="W5406" t="str">
        <f t="shared" si="2212"/>
        <v>04-08-2020</v>
      </c>
      <c r="X5406" t="str">
        <f t="shared" si="2213"/>
        <v>RAZIMAH ANSAR AHMAD</v>
      </c>
      <c r="Y5406" t="str">
        <f t="shared" si="2214"/>
        <v>04-08-2020</v>
      </c>
      <c r="Z5406" t="str">
        <f>"COS10200804 3748"</f>
        <v>COS10200804 3748</v>
      </c>
    </row>
    <row r="5407" spans="1:26" x14ac:dyDescent="0.25">
      <c r="A5407" t="str">
        <f t="shared" si="2215"/>
        <v>04-08-2020 12:46:39</v>
      </c>
      <c r="B5407" t="str">
        <f>"0000805520"</f>
        <v>0000805520</v>
      </c>
      <c r="C5407" t="str">
        <f t="shared" si="2216"/>
        <v>0000805373</v>
      </c>
      <c r="D5407" t="str">
        <f t="shared" si="2204"/>
        <v>73185</v>
      </c>
      <c r="E5407" t="str">
        <f t="shared" si="2205"/>
        <v>KFH-OPERATIONS DEPARTMENT</v>
      </c>
      <c r="F5407" t="str">
        <f t="shared" si="2206"/>
        <v>IBG</v>
      </c>
      <c r="G5407" t="str">
        <f t="shared" si="2219"/>
        <v>Refund COSHARE 10</v>
      </c>
      <c r="H5407" s="2">
        <v>402</v>
      </c>
      <c r="I5407" t="str">
        <f>"ZAKRI BIN HASSAN"</f>
        <v>ZAKRI BIN HASSAN</v>
      </c>
      <c r="J5407" t="str">
        <f t="shared" si="2203"/>
        <v>CIMB BANK / CIMB ISLAMIC BANK</v>
      </c>
      <c r="K5407" t="str">
        <f>"11140001049520"</f>
        <v>11140001049520</v>
      </c>
      <c r="L5407" t="str">
        <f t="shared" ref="L5407:M5426" si="2220">"04-08-2020"</f>
        <v>04-08-2020</v>
      </c>
      <c r="M5407" t="str">
        <f t="shared" si="2220"/>
        <v>04-08-2020</v>
      </c>
      <c r="N5407" t="str">
        <f t="shared" si="2207"/>
        <v>001105018356</v>
      </c>
      <c r="O5407" t="str">
        <f t="shared" si="2208"/>
        <v>MYR</v>
      </c>
      <c r="P5407" t="str">
        <f t="shared" ref="P5407:Q5426" si="2221">"NIL"</f>
        <v>NIL</v>
      </c>
      <c r="Q5407" t="str">
        <f t="shared" si="2221"/>
        <v>NIL</v>
      </c>
      <c r="R5407" t="str">
        <f t="shared" si="2195"/>
        <v>Accepted</v>
      </c>
      <c r="S5407" t="str">
        <f t="shared" si="2209"/>
        <v>Approved</v>
      </c>
      <c r="T5407" t="str">
        <f t="shared" si="2196"/>
        <v>10.20.8.188</v>
      </c>
      <c r="U5407" t="str">
        <f t="shared" si="2210"/>
        <v>AZRAD UMAR BIN SHAARI</v>
      </c>
      <c r="V5407" t="str">
        <f t="shared" si="2211"/>
        <v>FARHANA BINTI MUSTAPA</v>
      </c>
      <c r="W5407" t="str">
        <f t="shared" si="2212"/>
        <v>04-08-2020</v>
      </c>
      <c r="X5407" t="str">
        <f t="shared" si="2213"/>
        <v>RAZIMAH ANSAR AHMAD</v>
      </c>
      <c r="Y5407" t="str">
        <f t="shared" si="2214"/>
        <v>04-08-2020</v>
      </c>
      <c r="Z5407" t="str">
        <f>"COS10200804 3747"</f>
        <v>COS10200804 3747</v>
      </c>
    </row>
    <row r="5408" spans="1:26" x14ac:dyDescent="0.25">
      <c r="A5408" t="str">
        <f t="shared" si="2215"/>
        <v>04-08-2020 12:46:39</v>
      </c>
      <c r="B5408" t="str">
        <f>"0000805519"</f>
        <v>0000805519</v>
      </c>
      <c r="C5408" t="str">
        <f t="shared" si="2216"/>
        <v>0000805373</v>
      </c>
      <c r="D5408" t="str">
        <f t="shared" si="2204"/>
        <v>73185</v>
      </c>
      <c r="E5408" t="str">
        <f t="shared" si="2205"/>
        <v>KFH-OPERATIONS DEPARTMENT</v>
      </c>
      <c r="F5408" t="str">
        <f t="shared" si="2206"/>
        <v>IBG</v>
      </c>
      <c r="G5408" t="str">
        <f t="shared" si="2219"/>
        <v>Refund COSHARE 10</v>
      </c>
      <c r="H5408" s="2">
        <v>946.55</v>
      </c>
      <c r="I5408" t="str">
        <f>"ZAINI  MARIAH BINTI MAT REJAB"</f>
        <v>ZAINI  MARIAH BINTI MAT REJAB</v>
      </c>
      <c r="J5408" t="str">
        <f t="shared" si="2203"/>
        <v>CIMB BANK / CIMB ISLAMIC BANK</v>
      </c>
      <c r="K5408" t="str">
        <f>"02048610438523"</f>
        <v>02048610438523</v>
      </c>
      <c r="L5408" t="str">
        <f t="shared" si="2220"/>
        <v>04-08-2020</v>
      </c>
      <c r="M5408" t="str">
        <f t="shared" si="2220"/>
        <v>04-08-2020</v>
      </c>
      <c r="N5408" t="str">
        <f t="shared" si="2207"/>
        <v>001105018356</v>
      </c>
      <c r="O5408" t="str">
        <f t="shared" si="2208"/>
        <v>MYR</v>
      </c>
      <c r="P5408" t="str">
        <f t="shared" si="2221"/>
        <v>NIL</v>
      </c>
      <c r="Q5408" t="str">
        <f t="shared" si="2221"/>
        <v>NIL</v>
      </c>
      <c r="R5408" t="str">
        <f t="shared" si="2195"/>
        <v>Accepted</v>
      </c>
      <c r="S5408" t="str">
        <f t="shared" si="2209"/>
        <v>Approved</v>
      </c>
      <c r="T5408" t="str">
        <f t="shared" si="2196"/>
        <v>10.20.8.188</v>
      </c>
      <c r="U5408" t="str">
        <f t="shared" si="2210"/>
        <v>AZRAD UMAR BIN SHAARI</v>
      </c>
      <c r="V5408" t="str">
        <f t="shared" si="2211"/>
        <v>FARHANA BINTI MUSTAPA</v>
      </c>
      <c r="W5408" t="str">
        <f t="shared" si="2212"/>
        <v>04-08-2020</v>
      </c>
      <c r="X5408" t="str">
        <f t="shared" si="2213"/>
        <v>RAZIMAH ANSAR AHMAD</v>
      </c>
      <c r="Y5408" t="str">
        <f t="shared" si="2214"/>
        <v>04-08-2020</v>
      </c>
      <c r="Z5408" t="str">
        <f>"COS10200804 3746"</f>
        <v>COS10200804 3746</v>
      </c>
    </row>
    <row r="5409" spans="1:26" x14ac:dyDescent="0.25">
      <c r="A5409" t="str">
        <f t="shared" si="2215"/>
        <v>04-08-2020 12:46:39</v>
      </c>
      <c r="B5409" t="str">
        <f>"0000805518"</f>
        <v>0000805518</v>
      </c>
      <c r="C5409" t="str">
        <f t="shared" si="2216"/>
        <v>0000805373</v>
      </c>
      <c r="D5409" t="str">
        <f t="shared" si="2204"/>
        <v>73185</v>
      </c>
      <c r="E5409" t="str">
        <f t="shared" si="2205"/>
        <v>KFH-OPERATIONS DEPARTMENT</v>
      </c>
      <c r="F5409" t="str">
        <f t="shared" si="2206"/>
        <v>IBG</v>
      </c>
      <c r="G5409" t="str">
        <f t="shared" si="2219"/>
        <v>Refund COSHARE 10</v>
      </c>
      <c r="H5409" s="2">
        <v>125.95</v>
      </c>
      <c r="I5409" t="str">
        <f>"ZAINATUL FAKIH BINTI ZAINON"</f>
        <v>ZAINATUL FAKIH BINTI ZAINON</v>
      </c>
      <c r="J5409" t="str">
        <f t="shared" si="2203"/>
        <v>CIMB BANK / CIMB ISLAMIC BANK</v>
      </c>
      <c r="K5409" t="str">
        <f>"02031322241522"</f>
        <v>02031322241522</v>
      </c>
      <c r="L5409" t="str">
        <f t="shared" si="2220"/>
        <v>04-08-2020</v>
      </c>
      <c r="M5409" t="str">
        <f t="shared" si="2220"/>
        <v>04-08-2020</v>
      </c>
      <c r="N5409" t="str">
        <f t="shared" si="2207"/>
        <v>001105018356</v>
      </c>
      <c r="O5409" t="str">
        <f t="shared" si="2208"/>
        <v>MYR</v>
      </c>
      <c r="P5409" t="str">
        <f t="shared" si="2221"/>
        <v>NIL</v>
      </c>
      <c r="Q5409" t="str">
        <f t="shared" si="2221"/>
        <v>NIL</v>
      </c>
      <c r="R5409" t="str">
        <f t="shared" si="2195"/>
        <v>Accepted</v>
      </c>
      <c r="S5409" t="str">
        <f t="shared" si="2209"/>
        <v>Approved</v>
      </c>
      <c r="T5409" t="str">
        <f t="shared" si="2196"/>
        <v>10.20.8.188</v>
      </c>
      <c r="U5409" t="str">
        <f t="shared" si="2210"/>
        <v>AZRAD UMAR BIN SHAARI</v>
      </c>
      <c r="V5409" t="str">
        <f t="shared" si="2211"/>
        <v>FARHANA BINTI MUSTAPA</v>
      </c>
      <c r="W5409" t="str">
        <f t="shared" si="2212"/>
        <v>04-08-2020</v>
      </c>
      <c r="X5409" t="str">
        <f t="shared" si="2213"/>
        <v>RAZIMAH ANSAR AHMAD</v>
      </c>
      <c r="Y5409" t="str">
        <f t="shared" si="2214"/>
        <v>04-08-2020</v>
      </c>
      <c r="Z5409" t="str">
        <f>"COS10200804 3745"</f>
        <v>COS10200804 3745</v>
      </c>
    </row>
    <row r="5410" spans="1:26" x14ac:dyDescent="0.25">
      <c r="A5410" t="str">
        <f t="shared" si="2215"/>
        <v>04-08-2020 12:46:39</v>
      </c>
      <c r="B5410" t="str">
        <f>"0000805517"</f>
        <v>0000805517</v>
      </c>
      <c r="C5410" t="str">
        <f t="shared" si="2216"/>
        <v>0000805373</v>
      </c>
      <c r="D5410" t="str">
        <f t="shared" si="2204"/>
        <v>73185</v>
      </c>
      <c r="E5410" t="str">
        <f t="shared" si="2205"/>
        <v>KFH-OPERATIONS DEPARTMENT</v>
      </c>
      <c r="F5410" t="str">
        <f t="shared" si="2206"/>
        <v>IBG</v>
      </c>
      <c r="G5410" t="str">
        <f t="shared" si="2219"/>
        <v>Refund COSHARE 10</v>
      </c>
      <c r="H5410" s="2">
        <v>1518</v>
      </c>
      <c r="I5410" t="str">
        <f>"ZAINAL BIN AKIN"</f>
        <v>ZAINAL BIN AKIN</v>
      </c>
      <c r="J5410" t="str">
        <f t="shared" si="2203"/>
        <v>CIMB BANK / CIMB ISLAMIC BANK</v>
      </c>
      <c r="K5410" t="str">
        <f>"11060070564526"</f>
        <v>11060070564526</v>
      </c>
      <c r="L5410" t="str">
        <f t="shared" si="2220"/>
        <v>04-08-2020</v>
      </c>
      <c r="M5410" t="str">
        <f t="shared" si="2220"/>
        <v>04-08-2020</v>
      </c>
      <c r="N5410" t="str">
        <f t="shared" si="2207"/>
        <v>001105018356</v>
      </c>
      <c r="O5410" t="str">
        <f t="shared" si="2208"/>
        <v>MYR</v>
      </c>
      <c r="P5410" t="str">
        <f t="shared" si="2221"/>
        <v>NIL</v>
      </c>
      <c r="Q5410" t="str">
        <f t="shared" si="2221"/>
        <v>NIL</v>
      </c>
      <c r="R5410" t="str">
        <f t="shared" ref="R5410:R5473" si="2222">"Accepted"</f>
        <v>Accepted</v>
      </c>
      <c r="S5410" t="str">
        <f t="shared" si="2209"/>
        <v>Approved</v>
      </c>
      <c r="T5410" t="str">
        <f t="shared" ref="T5410:T5473" si="2223">"10.20.8.188"</f>
        <v>10.20.8.188</v>
      </c>
      <c r="U5410" t="str">
        <f t="shared" si="2210"/>
        <v>AZRAD UMAR BIN SHAARI</v>
      </c>
      <c r="V5410" t="str">
        <f t="shared" si="2211"/>
        <v>FARHANA BINTI MUSTAPA</v>
      </c>
      <c r="W5410" t="str">
        <f t="shared" si="2212"/>
        <v>04-08-2020</v>
      </c>
      <c r="X5410" t="str">
        <f t="shared" si="2213"/>
        <v>RAZIMAH ANSAR AHMAD</v>
      </c>
      <c r="Y5410" t="str">
        <f t="shared" si="2214"/>
        <v>04-08-2020</v>
      </c>
      <c r="Z5410" t="str">
        <f>"COS10200804 3744"</f>
        <v>COS10200804 3744</v>
      </c>
    </row>
    <row r="5411" spans="1:26" x14ac:dyDescent="0.25">
      <c r="A5411" t="str">
        <f t="shared" si="2215"/>
        <v>04-08-2020 12:46:39</v>
      </c>
      <c r="B5411" t="str">
        <f>"0000805516"</f>
        <v>0000805516</v>
      </c>
      <c r="C5411" t="str">
        <f t="shared" si="2216"/>
        <v>0000805373</v>
      </c>
      <c r="D5411" t="str">
        <f t="shared" si="2204"/>
        <v>73185</v>
      </c>
      <c r="E5411" t="str">
        <f t="shared" si="2205"/>
        <v>KFH-OPERATIONS DEPARTMENT</v>
      </c>
      <c r="F5411" t="str">
        <f t="shared" si="2206"/>
        <v>IBG</v>
      </c>
      <c r="G5411" t="str">
        <f t="shared" si="2219"/>
        <v>Refund COSHARE 10</v>
      </c>
      <c r="H5411" s="2">
        <v>983</v>
      </c>
      <c r="I5411" t="str">
        <f>"ZAINAB BINTI ABDUL GANI"</f>
        <v>ZAINAB BINTI ABDUL GANI</v>
      </c>
      <c r="J5411" t="str">
        <f t="shared" si="2203"/>
        <v>CIMB BANK / CIMB ISLAMIC BANK</v>
      </c>
      <c r="K5411" t="str">
        <f>"15010061661527"</f>
        <v>15010061661527</v>
      </c>
      <c r="L5411" t="str">
        <f t="shared" si="2220"/>
        <v>04-08-2020</v>
      </c>
      <c r="M5411" t="str">
        <f t="shared" si="2220"/>
        <v>04-08-2020</v>
      </c>
      <c r="N5411" t="str">
        <f t="shared" si="2207"/>
        <v>001105018356</v>
      </c>
      <c r="O5411" t="str">
        <f t="shared" si="2208"/>
        <v>MYR</v>
      </c>
      <c r="P5411" t="str">
        <f t="shared" si="2221"/>
        <v>NIL</v>
      </c>
      <c r="Q5411" t="str">
        <f t="shared" si="2221"/>
        <v>NIL</v>
      </c>
      <c r="R5411" t="str">
        <f t="shared" si="2222"/>
        <v>Accepted</v>
      </c>
      <c r="S5411" t="str">
        <f t="shared" si="2209"/>
        <v>Approved</v>
      </c>
      <c r="T5411" t="str">
        <f t="shared" si="2223"/>
        <v>10.20.8.188</v>
      </c>
      <c r="U5411" t="str">
        <f t="shared" si="2210"/>
        <v>AZRAD UMAR BIN SHAARI</v>
      </c>
      <c r="V5411" t="str">
        <f t="shared" si="2211"/>
        <v>FARHANA BINTI MUSTAPA</v>
      </c>
      <c r="W5411" t="str">
        <f t="shared" si="2212"/>
        <v>04-08-2020</v>
      </c>
      <c r="X5411" t="str">
        <f t="shared" si="2213"/>
        <v>RAZIMAH ANSAR AHMAD</v>
      </c>
      <c r="Y5411" t="str">
        <f t="shared" si="2214"/>
        <v>04-08-2020</v>
      </c>
      <c r="Z5411" t="str">
        <f>"COS10200804 3743"</f>
        <v>COS10200804 3743</v>
      </c>
    </row>
    <row r="5412" spans="1:26" x14ac:dyDescent="0.25">
      <c r="A5412" t="str">
        <f t="shared" si="2215"/>
        <v>04-08-2020 12:46:39</v>
      </c>
      <c r="B5412" t="str">
        <f>"0000805515"</f>
        <v>0000805515</v>
      </c>
      <c r="C5412" t="str">
        <f t="shared" si="2216"/>
        <v>0000805373</v>
      </c>
      <c r="D5412" t="str">
        <f t="shared" si="2204"/>
        <v>73185</v>
      </c>
      <c r="E5412" t="str">
        <f t="shared" si="2205"/>
        <v>KFH-OPERATIONS DEPARTMENT</v>
      </c>
      <c r="F5412" t="str">
        <f t="shared" si="2206"/>
        <v>IBG</v>
      </c>
      <c r="G5412" t="str">
        <f t="shared" si="2219"/>
        <v>Refund COSHARE 10</v>
      </c>
      <c r="H5412" s="2">
        <v>100.75</v>
      </c>
      <c r="I5412" t="str">
        <f>"ZAIMAHLIZA BINTI BUANG"</f>
        <v>ZAIMAHLIZA BINTI BUANG</v>
      </c>
      <c r="J5412" t="str">
        <f t="shared" si="2203"/>
        <v>CIMB BANK / CIMB ISLAMIC BANK</v>
      </c>
      <c r="K5412" t="str">
        <f>"7026418014"</f>
        <v>7026418014</v>
      </c>
      <c r="L5412" t="str">
        <f t="shared" si="2220"/>
        <v>04-08-2020</v>
      </c>
      <c r="M5412" t="str">
        <f t="shared" si="2220"/>
        <v>04-08-2020</v>
      </c>
      <c r="N5412" t="str">
        <f t="shared" si="2207"/>
        <v>001105018356</v>
      </c>
      <c r="O5412" t="str">
        <f t="shared" si="2208"/>
        <v>MYR</v>
      </c>
      <c r="P5412" t="str">
        <f t="shared" si="2221"/>
        <v>NIL</v>
      </c>
      <c r="Q5412" t="str">
        <f t="shared" si="2221"/>
        <v>NIL</v>
      </c>
      <c r="R5412" t="str">
        <f t="shared" si="2222"/>
        <v>Accepted</v>
      </c>
      <c r="S5412" t="str">
        <f t="shared" si="2209"/>
        <v>Approved</v>
      </c>
      <c r="T5412" t="str">
        <f t="shared" si="2223"/>
        <v>10.20.8.188</v>
      </c>
      <c r="U5412" t="str">
        <f t="shared" si="2210"/>
        <v>AZRAD UMAR BIN SHAARI</v>
      </c>
      <c r="V5412" t="str">
        <f t="shared" si="2211"/>
        <v>FARHANA BINTI MUSTAPA</v>
      </c>
      <c r="W5412" t="str">
        <f t="shared" si="2212"/>
        <v>04-08-2020</v>
      </c>
      <c r="X5412" t="str">
        <f t="shared" si="2213"/>
        <v>RAZIMAH ANSAR AHMAD</v>
      </c>
      <c r="Y5412" t="str">
        <f t="shared" si="2214"/>
        <v>04-08-2020</v>
      </c>
      <c r="Z5412" t="str">
        <f>"COS10200804 3742"</f>
        <v>COS10200804 3742</v>
      </c>
    </row>
    <row r="5413" spans="1:26" x14ac:dyDescent="0.25">
      <c r="A5413" t="str">
        <f t="shared" si="2215"/>
        <v>04-08-2020 12:46:39</v>
      </c>
      <c r="B5413" t="str">
        <f>"0000805514"</f>
        <v>0000805514</v>
      </c>
      <c r="C5413" t="str">
        <f t="shared" si="2216"/>
        <v>0000805373</v>
      </c>
      <c r="D5413" t="str">
        <f t="shared" si="2204"/>
        <v>73185</v>
      </c>
      <c r="E5413" t="str">
        <f t="shared" si="2205"/>
        <v>KFH-OPERATIONS DEPARTMENT</v>
      </c>
      <c r="F5413" t="str">
        <f t="shared" si="2206"/>
        <v>IBG</v>
      </c>
      <c r="G5413" t="str">
        <f t="shared" si="2219"/>
        <v>Refund COSHARE 10</v>
      </c>
      <c r="H5413" s="2">
        <v>67.2</v>
      </c>
      <c r="I5413" t="str">
        <f>"ZAILANI BINTI HUSSIN"</f>
        <v>ZAILANI BINTI HUSSIN</v>
      </c>
      <c r="J5413" t="str">
        <f t="shared" si="2203"/>
        <v>CIMB BANK / CIMB ISLAMIC BANK</v>
      </c>
      <c r="K5413" t="str">
        <f>"12150083218521"</f>
        <v>12150083218521</v>
      </c>
      <c r="L5413" t="str">
        <f t="shared" si="2220"/>
        <v>04-08-2020</v>
      </c>
      <c r="M5413" t="str">
        <f t="shared" si="2220"/>
        <v>04-08-2020</v>
      </c>
      <c r="N5413" t="str">
        <f t="shared" si="2207"/>
        <v>001105018356</v>
      </c>
      <c r="O5413" t="str">
        <f t="shared" si="2208"/>
        <v>MYR</v>
      </c>
      <c r="P5413" t="str">
        <f t="shared" si="2221"/>
        <v>NIL</v>
      </c>
      <c r="Q5413" t="str">
        <f t="shared" si="2221"/>
        <v>NIL</v>
      </c>
      <c r="R5413" t="str">
        <f t="shared" si="2222"/>
        <v>Accepted</v>
      </c>
      <c r="S5413" t="str">
        <f t="shared" si="2209"/>
        <v>Approved</v>
      </c>
      <c r="T5413" t="str">
        <f t="shared" si="2223"/>
        <v>10.20.8.188</v>
      </c>
      <c r="U5413" t="str">
        <f t="shared" si="2210"/>
        <v>AZRAD UMAR BIN SHAARI</v>
      </c>
      <c r="V5413" t="str">
        <f t="shared" si="2211"/>
        <v>FARHANA BINTI MUSTAPA</v>
      </c>
      <c r="W5413" t="str">
        <f t="shared" si="2212"/>
        <v>04-08-2020</v>
      </c>
      <c r="X5413" t="str">
        <f t="shared" si="2213"/>
        <v>RAZIMAH ANSAR AHMAD</v>
      </c>
      <c r="Y5413" t="str">
        <f t="shared" si="2214"/>
        <v>04-08-2020</v>
      </c>
      <c r="Z5413" t="str">
        <f>"COS10200804 3741"</f>
        <v>COS10200804 3741</v>
      </c>
    </row>
    <row r="5414" spans="1:26" x14ac:dyDescent="0.25">
      <c r="A5414" t="str">
        <f t="shared" si="2215"/>
        <v>04-08-2020 12:46:39</v>
      </c>
      <c r="B5414" t="str">
        <f>"0000805513"</f>
        <v>0000805513</v>
      </c>
      <c r="C5414" t="str">
        <f t="shared" si="2216"/>
        <v>0000805373</v>
      </c>
      <c r="D5414" t="str">
        <f t="shared" si="2204"/>
        <v>73185</v>
      </c>
      <c r="E5414" t="str">
        <f t="shared" si="2205"/>
        <v>KFH-OPERATIONS DEPARTMENT</v>
      </c>
      <c r="F5414" t="str">
        <f t="shared" si="2206"/>
        <v>IBG</v>
      </c>
      <c r="G5414" t="str">
        <f t="shared" si="2219"/>
        <v>Refund COSHARE 10</v>
      </c>
      <c r="H5414" s="2">
        <v>948.65</v>
      </c>
      <c r="I5414" t="str">
        <f>"ZAIHAN BIN ZAINI"</f>
        <v>ZAIHAN BIN ZAINI</v>
      </c>
      <c r="J5414" t="str">
        <f t="shared" si="2203"/>
        <v>CIMB BANK / CIMB ISLAMIC BANK</v>
      </c>
      <c r="K5414" t="str">
        <f>"7033686312"</f>
        <v>7033686312</v>
      </c>
      <c r="L5414" t="str">
        <f t="shared" si="2220"/>
        <v>04-08-2020</v>
      </c>
      <c r="M5414" t="str">
        <f t="shared" si="2220"/>
        <v>04-08-2020</v>
      </c>
      <c r="N5414" t="str">
        <f t="shared" si="2207"/>
        <v>001105018356</v>
      </c>
      <c r="O5414" t="str">
        <f t="shared" si="2208"/>
        <v>MYR</v>
      </c>
      <c r="P5414" t="str">
        <f t="shared" si="2221"/>
        <v>NIL</v>
      </c>
      <c r="Q5414" t="str">
        <f t="shared" si="2221"/>
        <v>NIL</v>
      </c>
      <c r="R5414" t="str">
        <f t="shared" si="2222"/>
        <v>Accepted</v>
      </c>
      <c r="S5414" t="str">
        <f t="shared" si="2209"/>
        <v>Approved</v>
      </c>
      <c r="T5414" t="str">
        <f t="shared" si="2223"/>
        <v>10.20.8.188</v>
      </c>
      <c r="U5414" t="str">
        <f t="shared" si="2210"/>
        <v>AZRAD UMAR BIN SHAARI</v>
      </c>
      <c r="V5414" t="str">
        <f t="shared" si="2211"/>
        <v>FARHANA BINTI MUSTAPA</v>
      </c>
      <c r="W5414" t="str">
        <f t="shared" si="2212"/>
        <v>04-08-2020</v>
      </c>
      <c r="X5414" t="str">
        <f t="shared" si="2213"/>
        <v>RAZIMAH ANSAR AHMAD</v>
      </c>
      <c r="Y5414" t="str">
        <f t="shared" si="2214"/>
        <v>04-08-2020</v>
      </c>
      <c r="Z5414" t="str">
        <f>"COS10200804 3740"</f>
        <v>COS10200804 3740</v>
      </c>
    </row>
    <row r="5415" spans="1:26" x14ac:dyDescent="0.25">
      <c r="A5415" t="str">
        <f t="shared" si="2215"/>
        <v>04-08-2020 12:46:39</v>
      </c>
      <c r="B5415" t="str">
        <f>"0000805512"</f>
        <v>0000805512</v>
      </c>
      <c r="C5415" t="str">
        <f t="shared" si="2216"/>
        <v>0000805373</v>
      </c>
      <c r="D5415" t="str">
        <f t="shared" si="2204"/>
        <v>73185</v>
      </c>
      <c r="E5415" t="str">
        <f t="shared" si="2205"/>
        <v>KFH-OPERATIONS DEPARTMENT</v>
      </c>
      <c r="F5415" t="str">
        <f t="shared" si="2206"/>
        <v>IBG</v>
      </c>
      <c r="G5415" t="str">
        <f t="shared" si="2219"/>
        <v>Refund COSHARE 10</v>
      </c>
      <c r="H5415" s="2">
        <v>100.65</v>
      </c>
      <c r="I5415" t="str">
        <f>"ZAIDI BIN ZAINAL ABIDIN"</f>
        <v>ZAIDI BIN ZAINAL ABIDIN</v>
      </c>
      <c r="J5415" t="str">
        <f t="shared" si="2203"/>
        <v>CIMB BANK / CIMB ISLAMIC BANK</v>
      </c>
      <c r="K5415" t="str">
        <f>"12150029097528"</f>
        <v>12150029097528</v>
      </c>
      <c r="L5415" t="str">
        <f t="shared" si="2220"/>
        <v>04-08-2020</v>
      </c>
      <c r="M5415" t="str">
        <f t="shared" si="2220"/>
        <v>04-08-2020</v>
      </c>
      <c r="N5415" t="str">
        <f t="shared" si="2207"/>
        <v>001105018356</v>
      </c>
      <c r="O5415" t="str">
        <f t="shared" si="2208"/>
        <v>MYR</v>
      </c>
      <c r="P5415" t="str">
        <f t="shared" si="2221"/>
        <v>NIL</v>
      </c>
      <c r="Q5415" t="str">
        <f t="shared" si="2221"/>
        <v>NIL</v>
      </c>
      <c r="R5415" t="str">
        <f t="shared" si="2222"/>
        <v>Accepted</v>
      </c>
      <c r="S5415" t="str">
        <f t="shared" si="2209"/>
        <v>Approved</v>
      </c>
      <c r="T5415" t="str">
        <f t="shared" si="2223"/>
        <v>10.20.8.188</v>
      </c>
      <c r="U5415" t="str">
        <f t="shared" si="2210"/>
        <v>AZRAD UMAR BIN SHAARI</v>
      </c>
      <c r="V5415" t="str">
        <f t="shared" si="2211"/>
        <v>FARHANA BINTI MUSTAPA</v>
      </c>
      <c r="W5415" t="str">
        <f t="shared" si="2212"/>
        <v>04-08-2020</v>
      </c>
      <c r="X5415" t="str">
        <f t="shared" si="2213"/>
        <v>RAZIMAH ANSAR AHMAD</v>
      </c>
      <c r="Y5415" t="str">
        <f t="shared" si="2214"/>
        <v>04-08-2020</v>
      </c>
      <c r="Z5415" t="str">
        <f>"COS10200804 3739"</f>
        <v>COS10200804 3739</v>
      </c>
    </row>
    <row r="5416" spans="1:26" x14ac:dyDescent="0.25">
      <c r="A5416" t="str">
        <f t="shared" si="2215"/>
        <v>04-08-2020 12:46:39</v>
      </c>
      <c r="B5416" t="str">
        <f>"0000805511"</f>
        <v>0000805511</v>
      </c>
      <c r="C5416" t="str">
        <f t="shared" si="2216"/>
        <v>0000805373</v>
      </c>
      <c r="D5416" t="str">
        <f t="shared" si="2204"/>
        <v>73185</v>
      </c>
      <c r="E5416" t="str">
        <f t="shared" si="2205"/>
        <v>KFH-OPERATIONS DEPARTMENT</v>
      </c>
      <c r="F5416" t="str">
        <f t="shared" si="2206"/>
        <v>IBG</v>
      </c>
      <c r="G5416" t="str">
        <f t="shared" si="2219"/>
        <v>Refund COSHARE 10</v>
      </c>
      <c r="H5416" s="2">
        <v>473.3</v>
      </c>
      <c r="I5416" t="str">
        <f>"ZAIAZMAN BIN MOHD ZAINUDDIN  HILMI"</f>
        <v>ZAIAZMAN BIN MOHD ZAINUDDIN  HILMI</v>
      </c>
      <c r="J5416" t="str">
        <f t="shared" si="2203"/>
        <v>CIMB BANK / CIMB ISLAMIC BANK</v>
      </c>
      <c r="K5416" t="str">
        <f>"12190047089528"</f>
        <v>12190047089528</v>
      </c>
      <c r="L5416" t="str">
        <f t="shared" si="2220"/>
        <v>04-08-2020</v>
      </c>
      <c r="M5416" t="str">
        <f t="shared" si="2220"/>
        <v>04-08-2020</v>
      </c>
      <c r="N5416" t="str">
        <f t="shared" si="2207"/>
        <v>001105018356</v>
      </c>
      <c r="O5416" t="str">
        <f t="shared" si="2208"/>
        <v>MYR</v>
      </c>
      <c r="P5416" t="str">
        <f t="shared" si="2221"/>
        <v>NIL</v>
      </c>
      <c r="Q5416" t="str">
        <f t="shared" si="2221"/>
        <v>NIL</v>
      </c>
      <c r="R5416" t="str">
        <f t="shared" si="2222"/>
        <v>Accepted</v>
      </c>
      <c r="S5416" t="str">
        <f t="shared" si="2209"/>
        <v>Approved</v>
      </c>
      <c r="T5416" t="str">
        <f t="shared" si="2223"/>
        <v>10.20.8.188</v>
      </c>
      <c r="U5416" t="str">
        <f t="shared" si="2210"/>
        <v>AZRAD UMAR BIN SHAARI</v>
      </c>
      <c r="V5416" t="str">
        <f t="shared" si="2211"/>
        <v>FARHANA BINTI MUSTAPA</v>
      </c>
      <c r="W5416" t="str">
        <f t="shared" si="2212"/>
        <v>04-08-2020</v>
      </c>
      <c r="X5416" t="str">
        <f t="shared" si="2213"/>
        <v>RAZIMAH ANSAR AHMAD</v>
      </c>
      <c r="Y5416" t="str">
        <f t="shared" si="2214"/>
        <v>04-08-2020</v>
      </c>
      <c r="Z5416" t="str">
        <f>"COS10200804 3738"</f>
        <v>COS10200804 3738</v>
      </c>
    </row>
    <row r="5417" spans="1:26" x14ac:dyDescent="0.25">
      <c r="A5417" t="str">
        <f t="shared" si="2215"/>
        <v>04-08-2020 12:46:39</v>
      </c>
      <c r="B5417" t="str">
        <f>"0000805510"</f>
        <v>0000805510</v>
      </c>
      <c r="C5417" t="str">
        <f t="shared" si="2216"/>
        <v>0000805373</v>
      </c>
      <c r="D5417" t="str">
        <f t="shared" si="2204"/>
        <v>73185</v>
      </c>
      <c r="E5417" t="str">
        <f t="shared" si="2205"/>
        <v>KFH-OPERATIONS DEPARTMENT</v>
      </c>
      <c r="F5417" t="str">
        <f t="shared" si="2206"/>
        <v>IBG</v>
      </c>
      <c r="G5417" t="str">
        <f t="shared" si="2219"/>
        <v>Refund COSHARE 10</v>
      </c>
      <c r="H5417" s="2">
        <v>730.4</v>
      </c>
      <c r="I5417" t="str">
        <f>"ZAHRIANA BINTI ABU BAKAR"</f>
        <v>ZAHRIANA BINTI ABU BAKAR</v>
      </c>
      <c r="J5417" t="str">
        <f t="shared" si="2203"/>
        <v>CIMB BANK / CIMB ISLAMIC BANK</v>
      </c>
      <c r="K5417" t="str">
        <f>"14115005109521"</f>
        <v>14115005109521</v>
      </c>
      <c r="L5417" t="str">
        <f t="shared" si="2220"/>
        <v>04-08-2020</v>
      </c>
      <c r="M5417" t="str">
        <f t="shared" si="2220"/>
        <v>04-08-2020</v>
      </c>
      <c r="N5417" t="str">
        <f t="shared" si="2207"/>
        <v>001105018356</v>
      </c>
      <c r="O5417" t="str">
        <f t="shared" si="2208"/>
        <v>MYR</v>
      </c>
      <c r="P5417" t="str">
        <f t="shared" si="2221"/>
        <v>NIL</v>
      </c>
      <c r="Q5417" t="str">
        <f t="shared" si="2221"/>
        <v>NIL</v>
      </c>
      <c r="R5417" t="str">
        <f t="shared" si="2222"/>
        <v>Accepted</v>
      </c>
      <c r="S5417" t="str">
        <f t="shared" si="2209"/>
        <v>Approved</v>
      </c>
      <c r="T5417" t="str">
        <f t="shared" si="2223"/>
        <v>10.20.8.188</v>
      </c>
      <c r="U5417" t="str">
        <f t="shared" si="2210"/>
        <v>AZRAD UMAR BIN SHAARI</v>
      </c>
      <c r="V5417" t="str">
        <f t="shared" si="2211"/>
        <v>FARHANA BINTI MUSTAPA</v>
      </c>
      <c r="W5417" t="str">
        <f t="shared" si="2212"/>
        <v>04-08-2020</v>
      </c>
      <c r="X5417" t="str">
        <f t="shared" si="2213"/>
        <v>RAZIMAH ANSAR AHMAD</v>
      </c>
      <c r="Y5417" t="str">
        <f t="shared" si="2214"/>
        <v>04-08-2020</v>
      </c>
      <c r="Z5417" t="str">
        <f>"COS10200804 3737"</f>
        <v>COS10200804 3737</v>
      </c>
    </row>
    <row r="5418" spans="1:26" x14ac:dyDescent="0.25">
      <c r="A5418" t="str">
        <f t="shared" ref="A5418:A5449" si="2224">"04-08-2020 12:46:39"</f>
        <v>04-08-2020 12:46:39</v>
      </c>
      <c r="B5418" t="str">
        <f>"0000805509"</f>
        <v>0000805509</v>
      </c>
      <c r="C5418" t="str">
        <f t="shared" ref="C5418:C5449" si="2225">"0000805373"</f>
        <v>0000805373</v>
      </c>
      <c r="D5418" t="str">
        <f t="shared" si="2204"/>
        <v>73185</v>
      </c>
      <c r="E5418" t="str">
        <f t="shared" si="2205"/>
        <v>KFH-OPERATIONS DEPARTMENT</v>
      </c>
      <c r="F5418" t="str">
        <f t="shared" si="2206"/>
        <v>IBG</v>
      </c>
      <c r="G5418" t="str">
        <f t="shared" si="2219"/>
        <v>Refund COSHARE 10</v>
      </c>
      <c r="H5418" s="2">
        <v>42</v>
      </c>
      <c r="I5418" t="str">
        <f>"ZAHIRAH BINTI ZOLKAFLI"</f>
        <v>ZAHIRAH BINTI ZOLKAFLI</v>
      </c>
      <c r="J5418" t="str">
        <f t="shared" si="2203"/>
        <v>CIMB BANK / CIMB ISLAMIC BANK</v>
      </c>
      <c r="K5418" t="str">
        <f>"12190067403520"</f>
        <v>12190067403520</v>
      </c>
      <c r="L5418" t="str">
        <f t="shared" si="2220"/>
        <v>04-08-2020</v>
      </c>
      <c r="M5418" t="str">
        <f t="shared" si="2220"/>
        <v>04-08-2020</v>
      </c>
      <c r="N5418" t="str">
        <f t="shared" si="2207"/>
        <v>001105018356</v>
      </c>
      <c r="O5418" t="str">
        <f t="shared" si="2208"/>
        <v>MYR</v>
      </c>
      <c r="P5418" t="str">
        <f t="shared" si="2221"/>
        <v>NIL</v>
      </c>
      <c r="Q5418" t="str">
        <f t="shared" si="2221"/>
        <v>NIL</v>
      </c>
      <c r="R5418" t="str">
        <f t="shared" si="2222"/>
        <v>Accepted</v>
      </c>
      <c r="S5418" t="str">
        <f t="shared" si="2209"/>
        <v>Approved</v>
      </c>
      <c r="T5418" t="str">
        <f t="shared" si="2223"/>
        <v>10.20.8.188</v>
      </c>
      <c r="U5418" t="str">
        <f t="shared" si="2210"/>
        <v>AZRAD UMAR BIN SHAARI</v>
      </c>
      <c r="V5418" t="str">
        <f t="shared" si="2211"/>
        <v>FARHANA BINTI MUSTAPA</v>
      </c>
      <c r="W5418" t="str">
        <f t="shared" si="2212"/>
        <v>04-08-2020</v>
      </c>
      <c r="X5418" t="str">
        <f t="shared" si="2213"/>
        <v>RAZIMAH ANSAR AHMAD</v>
      </c>
      <c r="Y5418" t="str">
        <f t="shared" si="2214"/>
        <v>04-08-2020</v>
      </c>
      <c r="Z5418" t="str">
        <f>"COS10200804 3736"</f>
        <v>COS10200804 3736</v>
      </c>
    </row>
    <row r="5419" spans="1:26" x14ac:dyDescent="0.25">
      <c r="A5419" t="str">
        <f t="shared" si="2224"/>
        <v>04-08-2020 12:46:39</v>
      </c>
      <c r="B5419" t="str">
        <f>"0000805508"</f>
        <v>0000805508</v>
      </c>
      <c r="C5419" t="str">
        <f t="shared" si="2225"/>
        <v>0000805373</v>
      </c>
      <c r="D5419" t="str">
        <f t="shared" si="2204"/>
        <v>73185</v>
      </c>
      <c r="E5419" t="str">
        <f t="shared" si="2205"/>
        <v>KFH-OPERATIONS DEPARTMENT</v>
      </c>
      <c r="F5419" t="str">
        <f t="shared" si="2206"/>
        <v>IBG</v>
      </c>
      <c r="G5419" t="str">
        <f t="shared" si="2219"/>
        <v>Refund COSHARE 10</v>
      </c>
      <c r="H5419" s="2">
        <v>680</v>
      </c>
      <c r="I5419" t="str">
        <f>"ZAHIDATUN ZAINAB BINTI ZAINUDIN"</f>
        <v>ZAHIDATUN ZAINAB BINTI ZAINUDIN</v>
      </c>
      <c r="J5419" t="str">
        <f t="shared" si="2203"/>
        <v>CIMB BANK / CIMB ISLAMIC BANK</v>
      </c>
      <c r="K5419" t="str">
        <f>"7606211717"</f>
        <v>7606211717</v>
      </c>
      <c r="L5419" t="str">
        <f t="shared" si="2220"/>
        <v>04-08-2020</v>
      </c>
      <c r="M5419" t="str">
        <f t="shared" si="2220"/>
        <v>04-08-2020</v>
      </c>
      <c r="N5419" t="str">
        <f t="shared" si="2207"/>
        <v>001105018356</v>
      </c>
      <c r="O5419" t="str">
        <f t="shared" si="2208"/>
        <v>MYR</v>
      </c>
      <c r="P5419" t="str">
        <f t="shared" si="2221"/>
        <v>NIL</v>
      </c>
      <c r="Q5419" t="str">
        <f t="shared" si="2221"/>
        <v>NIL</v>
      </c>
      <c r="R5419" t="str">
        <f t="shared" si="2222"/>
        <v>Accepted</v>
      </c>
      <c r="S5419" t="str">
        <f t="shared" si="2209"/>
        <v>Approved</v>
      </c>
      <c r="T5419" t="str">
        <f t="shared" si="2223"/>
        <v>10.20.8.188</v>
      </c>
      <c r="U5419" t="str">
        <f t="shared" si="2210"/>
        <v>AZRAD UMAR BIN SHAARI</v>
      </c>
      <c r="V5419" t="str">
        <f t="shared" si="2211"/>
        <v>FARHANA BINTI MUSTAPA</v>
      </c>
      <c r="W5419" t="str">
        <f t="shared" si="2212"/>
        <v>04-08-2020</v>
      </c>
      <c r="X5419" t="str">
        <f t="shared" si="2213"/>
        <v>RAZIMAH ANSAR AHMAD</v>
      </c>
      <c r="Y5419" t="str">
        <f t="shared" si="2214"/>
        <v>04-08-2020</v>
      </c>
      <c r="Z5419" t="str">
        <f>"COS10200804 3735"</f>
        <v>COS10200804 3735</v>
      </c>
    </row>
    <row r="5420" spans="1:26" x14ac:dyDescent="0.25">
      <c r="A5420" t="str">
        <f t="shared" si="2224"/>
        <v>04-08-2020 12:46:39</v>
      </c>
      <c r="B5420" t="str">
        <f>"0000805507"</f>
        <v>0000805507</v>
      </c>
      <c r="C5420" t="str">
        <f t="shared" si="2225"/>
        <v>0000805373</v>
      </c>
      <c r="D5420" t="str">
        <f t="shared" si="2204"/>
        <v>73185</v>
      </c>
      <c r="E5420" t="str">
        <f t="shared" si="2205"/>
        <v>KFH-OPERATIONS DEPARTMENT</v>
      </c>
      <c r="F5420" t="str">
        <f t="shared" si="2206"/>
        <v>IBG</v>
      </c>
      <c r="G5420" t="str">
        <f t="shared" si="2219"/>
        <v>Refund COSHARE 10</v>
      </c>
      <c r="H5420" s="2">
        <v>1563</v>
      </c>
      <c r="I5420" t="str">
        <f>"ZAHANI BINTI JUSOH"</f>
        <v>ZAHANI BINTI JUSOH</v>
      </c>
      <c r="J5420" t="str">
        <f t="shared" si="2203"/>
        <v>CIMB BANK / CIMB ISLAMIC BANK</v>
      </c>
      <c r="K5420" t="str">
        <f>"01040079090522"</f>
        <v>01040079090522</v>
      </c>
      <c r="L5420" t="str">
        <f t="shared" si="2220"/>
        <v>04-08-2020</v>
      </c>
      <c r="M5420" t="str">
        <f t="shared" si="2220"/>
        <v>04-08-2020</v>
      </c>
      <c r="N5420" t="str">
        <f t="shared" si="2207"/>
        <v>001105018356</v>
      </c>
      <c r="O5420" t="str">
        <f t="shared" si="2208"/>
        <v>MYR</v>
      </c>
      <c r="P5420" t="str">
        <f t="shared" si="2221"/>
        <v>NIL</v>
      </c>
      <c r="Q5420" t="str">
        <f t="shared" si="2221"/>
        <v>NIL</v>
      </c>
      <c r="R5420" t="str">
        <f t="shared" si="2222"/>
        <v>Accepted</v>
      </c>
      <c r="S5420" t="str">
        <f t="shared" si="2209"/>
        <v>Approved</v>
      </c>
      <c r="T5420" t="str">
        <f t="shared" si="2223"/>
        <v>10.20.8.188</v>
      </c>
      <c r="U5420" t="str">
        <f t="shared" si="2210"/>
        <v>AZRAD UMAR BIN SHAARI</v>
      </c>
      <c r="V5420" t="str">
        <f t="shared" si="2211"/>
        <v>FARHANA BINTI MUSTAPA</v>
      </c>
      <c r="W5420" t="str">
        <f t="shared" si="2212"/>
        <v>04-08-2020</v>
      </c>
      <c r="X5420" t="str">
        <f t="shared" si="2213"/>
        <v>RAZIMAH ANSAR AHMAD</v>
      </c>
      <c r="Y5420" t="str">
        <f t="shared" si="2214"/>
        <v>04-08-2020</v>
      </c>
      <c r="Z5420" t="str">
        <f>"COS10200804 3734"</f>
        <v>COS10200804 3734</v>
      </c>
    </row>
    <row r="5421" spans="1:26" x14ac:dyDescent="0.25">
      <c r="A5421" t="str">
        <f t="shared" si="2224"/>
        <v>04-08-2020 12:46:39</v>
      </c>
      <c r="B5421" t="str">
        <f>"0000805506"</f>
        <v>0000805506</v>
      </c>
      <c r="C5421" t="str">
        <f t="shared" si="2225"/>
        <v>0000805373</v>
      </c>
      <c r="D5421" t="str">
        <f t="shared" si="2204"/>
        <v>73185</v>
      </c>
      <c r="E5421" t="str">
        <f t="shared" si="2205"/>
        <v>KFH-OPERATIONS DEPARTMENT</v>
      </c>
      <c r="F5421" t="str">
        <f t="shared" si="2206"/>
        <v>IBG</v>
      </c>
      <c r="G5421" t="str">
        <f t="shared" si="2219"/>
        <v>Refund COSHARE 10</v>
      </c>
      <c r="H5421" s="2">
        <v>1023.25</v>
      </c>
      <c r="I5421" t="str">
        <f>"ZAHALUDIN BIN ADAM"</f>
        <v>ZAHALUDIN BIN ADAM</v>
      </c>
      <c r="J5421" t="str">
        <f t="shared" si="2203"/>
        <v>CIMB BANK / CIMB ISLAMIC BANK</v>
      </c>
      <c r="K5421" t="str">
        <f>"13050035348522"</f>
        <v>13050035348522</v>
      </c>
      <c r="L5421" t="str">
        <f t="shared" si="2220"/>
        <v>04-08-2020</v>
      </c>
      <c r="M5421" t="str">
        <f t="shared" si="2220"/>
        <v>04-08-2020</v>
      </c>
      <c r="N5421" t="str">
        <f t="shared" si="2207"/>
        <v>001105018356</v>
      </c>
      <c r="O5421" t="str">
        <f t="shared" si="2208"/>
        <v>MYR</v>
      </c>
      <c r="P5421" t="str">
        <f t="shared" si="2221"/>
        <v>NIL</v>
      </c>
      <c r="Q5421" t="str">
        <f t="shared" si="2221"/>
        <v>NIL</v>
      </c>
      <c r="R5421" t="str">
        <f t="shared" si="2222"/>
        <v>Accepted</v>
      </c>
      <c r="S5421" t="str">
        <f t="shared" si="2209"/>
        <v>Approved</v>
      </c>
      <c r="T5421" t="str">
        <f t="shared" si="2223"/>
        <v>10.20.8.188</v>
      </c>
      <c r="U5421" t="str">
        <f t="shared" si="2210"/>
        <v>AZRAD UMAR BIN SHAARI</v>
      </c>
      <c r="V5421" t="str">
        <f t="shared" si="2211"/>
        <v>FARHANA BINTI MUSTAPA</v>
      </c>
      <c r="W5421" t="str">
        <f t="shared" si="2212"/>
        <v>04-08-2020</v>
      </c>
      <c r="X5421" t="str">
        <f t="shared" si="2213"/>
        <v>RAZIMAH ANSAR AHMAD</v>
      </c>
      <c r="Y5421" t="str">
        <f t="shared" si="2214"/>
        <v>04-08-2020</v>
      </c>
      <c r="Z5421" t="str">
        <f>"COS10200804 3733"</f>
        <v>COS10200804 3733</v>
      </c>
    </row>
    <row r="5422" spans="1:26" x14ac:dyDescent="0.25">
      <c r="A5422" t="str">
        <f t="shared" si="2224"/>
        <v>04-08-2020 12:46:39</v>
      </c>
      <c r="B5422" t="str">
        <f>"0000805505"</f>
        <v>0000805505</v>
      </c>
      <c r="C5422" t="str">
        <f t="shared" si="2225"/>
        <v>0000805373</v>
      </c>
      <c r="D5422" t="str">
        <f t="shared" si="2204"/>
        <v>73185</v>
      </c>
      <c r="E5422" t="str">
        <f t="shared" si="2205"/>
        <v>KFH-OPERATIONS DEPARTMENT</v>
      </c>
      <c r="F5422" t="str">
        <f t="shared" si="2206"/>
        <v>IBG</v>
      </c>
      <c r="G5422" t="str">
        <f t="shared" si="2219"/>
        <v>Refund COSHARE 10</v>
      </c>
      <c r="H5422" s="2">
        <v>201.5</v>
      </c>
      <c r="I5422" t="str">
        <f>"YUZLINA BINTI HAJI ABDULLAH"</f>
        <v>YUZLINA BINTI HAJI ABDULLAH</v>
      </c>
      <c r="J5422" t="str">
        <f t="shared" si="2203"/>
        <v>CIMB BANK / CIMB ISLAMIC BANK</v>
      </c>
      <c r="K5422" t="str">
        <f>"03100066441527"</f>
        <v>03100066441527</v>
      </c>
      <c r="L5422" t="str">
        <f t="shared" si="2220"/>
        <v>04-08-2020</v>
      </c>
      <c r="M5422" t="str">
        <f t="shared" si="2220"/>
        <v>04-08-2020</v>
      </c>
      <c r="N5422" t="str">
        <f t="shared" si="2207"/>
        <v>001105018356</v>
      </c>
      <c r="O5422" t="str">
        <f t="shared" si="2208"/>
        <v>MYR</v>
      </c>
      <c r="P5422" t="str">
        <f t="shared" si="2221"/>
        <v>NIL</v>
      </c>
      <c r="Q5422" t="str">
        <f t="shared" si="2221"/>
        <v>NIL</v>
      </c>
      <c r="R5422" t="str">
        <f t="shared" si="2222"/>
        <v>Accepted</v>
      </c>
      <c r="S5422" t="str">
        <f t="shared" si="2209"/>
        <v>Approved</v>
      </c>
      <c r="T5422" t="str">
        <f t="shared" si="2223"/>
        <v>10.20.8.188</v>
      </c>
      <c r="U5422" t="str">
        <f t="shared" si="2210"/>
        <v>AZRAD UMAR BIN SHAARI</v>
      </c>
      <c r="V5422" t="str">
        <f t="shared" si="2211"/>
        <v>FARHANA BINTI MUSTAPA</v>
      </c>
      <c r="W5422" t="str">
        <f t="shared" si="2212"/>
        <v>04-08-2020</v>
      </c>
      <c r="X5422" t="str">
        <f t="shared" si="2213"/>
        <v>RAZIMAH ANSAR AHMAD</v>
      </c>
      <c r="Y5422" t="str">
        <f t="shared" si="2214"/>
        <v>04-08-2020</v>
      </c>
      <c r="Z5422" t="str">
        <f>"COS10200804 3732"</f>
        <v>COS10200804 3732</v>
      </c>
    </row>
    <row r="5423" spans="1:26" x14ac:dyDescent="0.25">
      <c r="A5423" t="str">
        <f t="shared" si="2224"/>
        <v>04-08-2020 12:46:39</v>
      </c>
      <c r="B5423" t="str">
        <f>"0000805504"</f>
        <v>0000805504</v>
      </c>
      <c r="C5423" t="str">
        <f t="shared" si="2225"/>
        <v>0000805373</v>
      </c>
      <c r="D5423" t="str">
        <f t="shared" si="2204"/>
        <v>73185</v>
      </c>
      <c r="E5423" t="str">
        <f t="shared" si="2205"/>
        <v>KFH-OPERATIONS DEPARTMENT</v>
      </c>
      <c r="F5423" t="str">
        <f t="shared" si="2206"/>
        <v>IBG</v>
      </c>
      <c r="G5423" t="str">
        <f t="shared" si="2219"/>
        <v>Refund COSHARE 10</v>
      </c>
      <c r="H5423" s="2">
        <v>75.599999999999994</v>
      </c>
      <c r="I5423" t="str">
        <f>"YUSUF BIN AHMAD"</f>
        <v>YUSUF BIN AHMAD</v>
      </c>
      <c r="J5423" t="str">
        <f t="shared" si="2203"/>
        <v>CIMB BANK / CIMB ISLAMIC BANK</v>
      </c>
      <c r="K5423" t="str">
        <f>"11090052638525"</f>
        <v>11090052638525</v>
      </c>
      <c r="L5423" t="str">
        <f t="shared" si="2220"/>
        <v>04-08-2020</v>
      </c>
      <c r="M5423" t="str">
        <f t="shared" si="2220"/>
        <v>04-08-2020</v>
      </c>
      <c r="N5423" t="str">
        <f t="shared" si="2207"/>
        <v>001105018356</v>
      </c>
      <c r="O5423" t="str">
        <f t="shared" si="2208"/>
        <v>MYR</v>
      </c>
      <c r="P5423" t="str">
        <f t="shared" si="2221"/>
        <v>NIL</v>
      </c>
      <c r="Q5423" t="str">
        <f t="shared" si="2221"/>
        <v>NIL</v>
      </c>
      <c r="R5423" t="str">
        <f t="shared" si="2222"/>
        <v>Accepted</v>
      </c>
      <c r="S5423" t="str">
        <f t="shared" si="2209"/>
        <v>Approved</v>
      </c>
      <c r="T5423" t="str">
        <f t="shared" si="2223"/>
        <v>10.20.8.188</v>
      </c>
      <c r="U5423" t="str">
        <f t="shared" si="2210"/>
        <v>AZRAD UMAR BIN SHAARI</v>
      </c>
      <c r="V5423" t="str">
        <f t="shared" si="2211"/>
        <v>FARHANA BINTI MUSTAPA</v>
      </c>
      <c r="W5423" t="str">
        <f t="shared" si="2212"/>
        <v>04-08-2020</v>
      </c>
      <c r="X5423" t="str">
        <f t="shared" si="2213"/>
        <v>RAZIMAH ANSAR AHMAD</v>
      </c>
      <c r="Y5423" t="str">
        <f t="shared" si="2214"/>
        <v>04-08-2020</v>
      </c>
      <c r="Z5423" t="str">
        <f>"COS10200804 3731"</f>
        <v>COS10200804 3731</v>
      </c>
    </row>
    <row r="5424" spans="1:26" x14ac:dyDescent="0.25">
      <c r="A5424" t="str">
        <f t="shared" si="2224"/>
        <v>04-08-2020 12:46:39</v>
      </c>
      <c r="B5424" t="str">
        <f>"0000805503"</f>
        <v>0000805503</v>
      </c>
      <c r="C5424" t="str">
        <f t="shared" si="2225"/>
        <v>0000805373</v>
      </c>
      <c r="D5424" t="str">
        <f t="shared" si="2204"/>
        <v>73185</v>
      </c>
      <c r="E5424" t="str">
        <f t="shared" si="2205"/>
        <v>KFH-OPERATIONS DEPARTMENT</v>
      </c>
      <c r="F5424" t="str">
        <f t="shared" si="2206"/>
        <v>IBG</v>
      </c>
      <c r="G5424" t="str">
        <f t="shared" si="2219"/>
        <v>Refund COSHARE 10</v>
      </c>
      <c r="H5424" s="2">
        <v>403</v>
      </c>
      <c r="I5424" t="str">
        <f>"YUSRIZAN BIN ZAINAL ABIDIN"</f>
        <v>YUSRIZAN BIN ZAINAL ABIDIN</v>
      </c>
      <c r="J5424" t="str">
        <f t="shared" si="2203"/>
        <v>CIMB BANK / CIMB ISLAMIC BANK</v>
      </c>
      <c r="K5424" t="str">
        <f>"7033047628"</f>
        <v>7033047628</v>
      </c>
      <c r="L5424" t="str">
        <f t="shared" si="2220"/>
        <v>04-08-2020</v>
      </c>
      <c r="M5424" t="str">
        <f t="shared" si="2220"/>
        <v>04-08-2020</v>
      </c>
      <c r="N5424" t="str">
        <f t="shared" si="2207"/>
        <v>001105018356</v>
      </c>
      <c r="O5424" t="str">
        <f t="shared" si="2208"/>
        <v>MYR</v>
      </c>
      <c r="P5424" t="str">
        <f t="shared" si="2221"/>
        <v>NIL</v>
      </c>
      <c r="Q5424" t="str">
        <f t="shared" si="2221"/>
        <v>NIL</v>
      </c>
      <c r="R5424" t="str">
        <f t="shared" si="2222"/>
        <v>Accepted</v>
      </c>
      <c r="S5424" t="str">
        <f t="shared" si="2209"/>
        <v>Approved</v>
      </c>
      <c r="T5424" t="str">
        <f t="shared" si="2223"/>
        <v>10.20.8.188</v>
      </c>
      <c r="U5424" t="str">
        <f t="shared" si="2210"/>
        <v>AZRAD UMAR BIN SHAARI</v>
      </c>
      <c r="V5424" t="str">
        <f t="shared" si="2211"/>
        <v>FARHANA BINTI MUSTAPA</v>
      </c>
      <c r="W5424" t="str">
        <f t="shared" si="2212"/>
        <v>04-08-2020</v>
      </c>
      <c r="X5424" t="str">
        <f t="shared" si="2213"/>
        <v>RAZIMAH ANSAR AHMAD</v>
      </c>
      <c r="Y5424" t="str">
        <f t="shared" si="2214"/>
        <v>04-08-2020</v>
      </c>
      <c r="Z5424" t="str">
        <f>"COS10200804 3730"</f>
        <v>COS10200804 3730</v>
      </c>
    </row>
    <row r="5425" spans="1:26" x14ac:dyDescent="0.25">
      <c r="A5425" t="str">
        <f t="shared" si="2224"/>
        <v>04-08-2020 12:46:39</v>
      </c>
      <c r="B5425" t="str">
        <f>"0000805502"</f>
        <v>0000805502</v>
      </c>
      <c r="C5425" t="str">
        <f t="shared" si="2225"/>
        <v>0000805373</v>
      </c>
      <c r="D5425" t="str">
        <f t="shared" si="2204"/>
        <v>73185</v>
      </c>
      <c r="E5425" t="str">
        <f t="shared" si="2205"/>
        <v>KFH-OPERATIONS DEPARTMENT</v>
      </c>
      <c r="F5425" t="str">
        <f t="shared" si="2206"/>
        <v>IBG</v>
      </c>
      <c r="G5425" t="str">
        <f t="shared" si="2219"/>
        <v>Refund COSHARE 10</v>
      </c>
      <c r="H5425" s="2">
        <v>1339.75</v>
      </c>
      <c r="I5425" t="str">
        <f>"YUSRI BIN IBRAHIM"</f>
        <v>YUSRI BIN IBRAHIM</v>
      </c>
      <c r="J5425" t="str">
        <f t="shared" si="2203"/>
        <v>CIMB BANK / CIMB ISLAMIC BANK</v>
      </c>
      <c r="K5425" t="str">
        <f>"11090049873524"</f>
        <v>11090049873524</v>
      </c>
      <c r="L5425" t="str">
        <f t="shared" si="2220"/>
        <v>04-08-2020</v>
      </c>
      <c r="M5425" t="str">
        <f t="shared" si="2220"/>
        <v>04-08-2020</v>
      </c>
      <c r="N5425" t="str">
        <f t="shared" si="2207"/>
        <v>001105018356</v>
      </c>
      <c r="O5425" t="str">
        <f t="shared" si="2208"/>
        <v>MYR</v>
      </c>
      <c r="P5425" t="str">
        <f t="shared" si="2221"/>
        <v>NIL</v>
      </c>
      <c r="Q5425" t="str">
        <f t="shared" si="2221"/>
        <v>NIL</v>
      </c>
      <c r="R5425" t="str">
        <f t="shared" si="2222"/>
        <v>Accepted</v>
      </c>
      <c r="S5425" t="str">
        <f t="shared" si="2209"/>
        <v>Approved</v>
      </c>
      <c r="T5425" t="str">
        <f t="shared" si="2223"/>
        <v>10.20.8.188</v>
      </c>
      <c r="U5425" t="str">
        <f t="shared" si="2210"/>
        <v>AZRAD UMAR BIN SHAARI</v>
      </c>
      <c r="V5425" t="str">
        <f t="shared" si="2211"/>
        <v>FARHANA BINTI MUSTAPA</v>
      </c>
      <c r="W5425" t="str">
        <f t="shared" si="2212"/>
        <v>04-08-2020</v>
      </c>
      <c r="X5425" t="str">
        <f t="shared" si="2213"/>
        <v>RAZIMAH ANSAR AHMAD</v>
      </c>
      <c r="Y5425" t="str">
        <f t="shared" si="2214"/>
        <v>04-08-2020</v>
      </c>
      <c r="Z5425" t="str">
        <f>"COS10200804 3729"</f>
        <v>COS10200804 3729</v>
      </c>
    </row>
    <row r="5426" spans="1:26" x14ac:dyDescent="0.25">
      <c r="A5426" t="str">
        <f t="shared" si="2224"/>
        <v>04-08-2020 12:46:39</v>
      </c>
      <c r="B5426" t="str">
        <f>"0000805501"</f>
        <v>0000805501</v>
      </c>
      <c r="C5426" t="str">
        <f t="shared" si="2225"/>
        <v>0000805373</v>
      </c>
      <c r="D5426" t="str">
        <f t="shared" si="2204"/>
        <v>73185</v>
      </c>
      <c r="E5426" t="str">
        <f t="shared" si="2205"/>
        <v>KFH-OPERATIONS DEPARTMENT</v>
      </c>
      <c r="F5426" t="str">
        <f t="shared" si="2206"/>
        <v>IBG</v>
      </c>
      <c r="G5426" t="str">
        <f t="shared" si="2219"/>
        <v>Refund COSHARE 10</v>
      </c>
      <c r="H5426" s="2">
        <v>671.6</v>
      </c>
      <c r="I5426" t="str">
        <f>"YUSRAN BIN MOHD BAHARI"</f>
        <v>YUSRAN BIN MOHD BAHARI</v>
      </c>
      <c r="J5426" t="str">
        <f t="shared" si="2203"/>
        <v>CIMB BANK / CIMB ISLAMIC BANK</v>
      </c>
      <c r="K5426" t="str">
        <f>"12180085121528"</f>
        <v>12180085121528</v>
      </c>
      <c r="L5426" t="str">
        <f t="shared" si="2220"/>
        <v>04-08-2020</v>
      </c>
      <c r="M5426" t="str">
        <f t="shared" si="2220"/>
        <v>04-08-2020</v>
      </c>
      <c r="N5426" t="str">
        <f t="shared" si="2207"/>
        <v>001105018356</v>
      </c>
      <c r="O5426" t="str">
        <f t="shared" si="2208"/>
        <v>MYR</v>
      </c>
      <c r="P5426" t="str">
        <f t="shared" si="2221"/>
        <v>NIL</v>
      </c>
      <c r="Q5426" t="str">
        <f t="shared" si="2221"/>
        <v>NIL</v>
      </c>
      <c r="R5426" t="str">
        <f t="shared" si="2222"/>
        <v>Accepted</v>
      </c>
      <c r="S5426" t="str">
        <f t="shared" si="2209"/>
        <v>Approved</v>
      </c>
      <c r="T5426" t="str">
        <f t="shared" si="2223"/>
        <v>10.20.8.188</v>
      </c>
      <c r="U5426" t="str">
        <f t="shared" si="2210"/>
        <v>AZRAD UMAR BIN SHAARI</v>
      </c>
      <c r="V5426" t="str">
        <f t="shared" si="2211"/>
        <v>FARHANA BINTI MUSTAPA</v>
      </c>
      <c r="W5426" t="str">
        <f t="shared" si="2212"/>
        <v>04-08-2020</v>
      </c>
      <c r="X5426" t="str">
        <f t="shared" si="2213"/>
        <v>RAZIMAH ANSAR AHMAD</v>
      </c>
      <c r="Y5426" t="str">
        <f t="shared" si="2214"/>
        <v>04-08-2020</v>
      </c>
      <c r="Z5426" t="str">
        <f>"COS10200804 3728"</f>
        <v>COS10200804 3728</v>
      </c>
    </row>
    <row r="5427" spans="1:26" x14ac:dyDescent="0.25">
      <c r="A5427" t="str">
        <f t="shared" si="2224"/>
        <v>04-08-2020 12:46:39</v>
      </c>
      <c r="B5427" t="str">
        <f>"0000805500"</f>
        <v>0000805500</v>
      </c>
      <c r="C5427" t="str">
        <f t="shared" si="2225"/>
        <v>0000805373</v>
      </c>
      <c r="D5427" t="str">
        <f t="shared" si="2204"/>
        <v>73185</v>
      </c>
      <c r="E5427" t="str">
        <f t="shared" si="2205"/>
        <v>KFH-OPERATIONS DEPARTMENT</v>
      </c>
      <c r="F5427" t="str">
        <f t="shared" si="2206"/>
        <v>IBG</v>
      </c>
      <c r="G5427" t="str">
        <f t="shared" si="2219"/>
        <v>Refund COSHARE 10</v>
      </c>
      <c r="H5427" s="2">
        <v>1079.8</v>
      </c>
      <c r="I5427" t="str">
        <f>"YUSOF BIN HAMID"</f>
        <v>YUSOF BIN HAMID</v>
      </c>
      <c r="J5427" t="str">
        <f t="shared" si="2203"/>
        <v>CIMB BANK / CIMB ISLAMIC BANK</v>
      </c>
      <c r="K5427" t="str">
        <f>"10040018054524"</f>
        <v>10040018054524</v>
      </c>
      <c r="L5427" t="str">
        <f t="shared" ref="L5427:M5446" si="2226">"04-08-2020"</f>
        <v>04-08-2020</v>
      </c>
      <c r="M5427" t="str">
        <f t="shared" si="2226"/>
        <v>04-08-2020</v>
      </c>
      <c r="N5427" t="str">
        <f t="shared" si="2207"/>
        <v>001105018356</v>
      </c>
      <c r="O5427" t="str">
        <f t="shared" si="2208"/>
        <v>MYR</v>
      </c>
      <c r="P5427" t="str">
        <f t="shared" ref="P5427:Q5446" si="2227">"NIL"</f>
        <v>NIL</v>
      </c>
      <c r="Q5427" t="str">
        <f t="shared" si="2227"/>
        <v>NIL</v>
      </c>
      <c r="R5427" t="str">
        <f t="shared" si="2222"/>
        <v>Accepted</v>
      </c>
      <c r="S5427" t="str">
        <f t="shared" si="2209"/>
        <v>Approved</v>
      </c>
      <c r="T5427" t="str">
        <f t="shared" si="2223"/>
        <v>10.20.8.188</v>
      </c>
      <c r="U5427" t="str">
        <f t="shared" si="2210"/>
        <v>AZRAD UMAR BIN SHAARI</v>
      </c>
      <c r="V5427" t="str">
        <f t="shared" si="2211"/>
        <v>FARHANA BINTI MUSTAPA</v>
      </c>
      <c r="W5427" t="str">
        <f t="shared" si="2212"/>
        <v>04-08-2020</v>
      </c>
      <c r="X5427" t="str">
        <f t="shared" si="2213"/>
        <v>RAZIMAH ANSAR AHMAD</v>
      </c>
      <c r="Y5427" t="str">
        <f t="shared" si="2214"/>
        <v>04-08-2020</v>
      </c>
      <c r="Z5427" t="str">
        <f>"COS10200804 3727"</f>
        <v>COS10200804 3727</v>
      </c>
    </row>
    <row r="5428" spans="1:26" x14ac:dyDescent="0.25">
      <c r="A5428" t="str">
        <f t="shared" si="2224"/>
        <v>04-08-2020 12:46:39</v>
      </c>
      <c r="B5428" t="str">
        <f>"0000805499"</f>
        <v>0000805499</v>
      </c>
      <c r="C5428" t="str">
        <f t="shared" si="2225"/>
        <v>0000805373</v>
      </c>
      <c r="D5428" t="str">
        <f t="shared" si="2204"/>
        <v>73185</v>
      </c>
      <c r="E5428" t="str">
        <f t="shared" si="2205"/>
        <v>KFH-OPERATIONS DEPARTMENT</v>
      </c>
      <c r="F5428" t="str">
        <f t="shared" si="2206"/>
        <v>IBG</v>
      </c>
      <c r="G5428" t="str">
        <f t="shared" si="2219"/>
        <v>Refund COSHARE 10</v>
      </c>
      <c r="H5428" s="2">
        <v>1091.3499999999999</v>
      </c>
      <c r="I5428" t="str">
        <f>"YUSNIZA BINTI YUNUS"</f>
        <v>YUSNIZA BINTI YUNUS</v>
      </c>
      <c r="J5428" t="str">
        <f t="shared" si="2203"/>
        <v>CIMB BANK / CIMB ISLAMIC BANK</v>
      </c>
      <c r="K5428" t="str">
        <f>"08090081320526"</f>
        <v>08090081320526</v>
      </c>
      <c r="L5428" t="str">
        <f t="shared" si="2226"/>
        <v>04-08-2020</v>
      </c>
      <c r="M5428" t="str">
        <f t="shared" si="2226"/>
        <v>04-08-2020</v>
      </c>
      <c r="N5428" t="str">
        <f t="shared" si="2207"/>
        <v>001105018356</v>
      </c>
      <c r="O5428" t="str">
        <f t="shared" si="2208"/>
        <v>MYR</v>
      </c>
      <c r="P5428" t="str">
        <f t="shared" si="2227"/>
        <v>NIL</v>
      </c>
      <c r="Q5428" t="str">
        <f t="shared" si="2227"/>
        <v>NIL</v>
      </c>
      <c r="R5428" t="str">
        <f t="shared" si="2222"/>
        <v>Accepted</v>
      </c>
      <c r="S5428" t="str">
        <f t="shared" si="2209"/>
        <v>Approved</v>
      </c>
      <c r="T5428" t="str">
        <f t="shared" si="2223"/>
        <v>10.20.8.188</v>
      </c>
      <c r="U5428" t="str">
        <f t="shared" si="2210"/>
        <v>AZRAD UMAR BIN SHAARI</v>
      </c>
      <c r="V5428" t="str">
        <f t="shared" si="2211"/>
        <v>FARHANA BINTI MUSTAPA</v>
      </c>
      <c r="W5428" t="str">
        <f t="shared" si="2212"/>
        <v>04-08-2020</v>
      </c>
      <c r="X5428" t="str">
        <f t="shared" si="2213"/>
        <v>RAZIMAH ANSAR AHMAD</v>
      </c>
      <c r="Y5428" t="str">
        <f t="shared" si="2214"/>
        <v>04-08-2020</v>
      </c>
      <c r="Z5428" t="str">
        <f>"COS10200804 3726"</f>
        <v>COS10200804 3726</v>
      </c>
    </row>
    <row r="5429" spans="1:26" x14ac:dyDescent="0.25">
      <c r="A5429" t="str">
        <f t="shared" si="2224"/>
        <v>04-08-2020 12:46:39</v>
      </c>
      <c r="B5429" t="str">
        <f>"0000805498"</f>
        <v>0000805498</v>
      </c>
      <c r="C5429" t="str">
        <f t="shared" si="2225"/>
        <v>0000805373</v>
      </c>
      <c r="D5429" t="str">
        <f t="shared" si="2204"/>
        <v>73185</v>
      </c>
      <c r="E5429" t="str">
        <f t="shared" si="2205"/>
        <v>KFH-OPERATIONS DEPARTMENT</v>
      </c>
      <c r="F5429" t="str">
        <f t="shared" si="2206"/>
        <v>IBG</v>
      </c>
      <c r="G5429" t="str">
        <f t="shared" si="2219"/>
        <v>Refund COSHARE 10</v>
      </c>
      <c r="H5429" s="2">
        <v>1326</v>
      </c>
      <c r="I5429" t="str">
        <f>"YUSMAZRI BIN YUSOF"</f>
        <v>YUSMAZRI BIN YUSOF</v>
      </c>
      <c r="J5429" t="str">
        <f t="shared" si="2203"/>
        <v>CIMB BANK / CIMB ISLAMIC BANK</v>
      </c>
      <c r="K5429" t="str">
        <f>"7049947734"</f>
        <v>7049947734</v>
      </c>
      <c r="L5429" t="str">
        <f t="shared" si="2226"/>
        <v>04-08-2020</v>
      </c>
      <c r="M5429" t="str">
        <f t="shared" si="2226"/>
        <v>04-08-2020</v>
      </c>
      <c r="N5429" t="str">
        <f t="shared" si="2207"/>
        <v>001105018356</v>
      </c>
      <c r="O5429" t="str">
        <f t="shared" si="2208"/>
        <v>MYR</v>
      </c>
      <c r="P5429" t="str">
        <f t="shared" si="2227"/>
        <v>NIL</v>
      </c>
      <c r="Q5429" t="str">
        <f t="shared" si="2227"/>
        <v>NIL</v>
      </c>
      <c r="R5429" t="str">
        <f t="shared" si="2222"/>
        <v>Accepted</v>
      </c>
      <c r="S5429" t="str">
        <f t="shared" si="2209"/>
        <v>Approved</v>
      </c>
      <c r="T5429" t="str">
        <f t="shared" si="2223"/>
        <v>10.20.8.188</v>
      </c>
      <c r="U5429" t="str">
        <f t="shared" si="2210"/>
        <v>AZRAD UMAR BIN SHAARI</v>
      </c>
      <c r="V5429" t="str">
        <f t="shared" si="2211"/>
        <v>FARHANA BINTI MUSTAPA</v>
      </c>
      <c r="W5429" t="str">
        <f t="shared" si="2212"/>
        <v>04-08-2020</v>
      </c>
      <c r="X5429" t="str">
        <f t="shared" si="2213"/>
        <v>RAZIMAH ANSAR AHMAD</v>
      </c>
      <c r="Y5429" t="str">
        <f t="shared" si="2214"/>
        <v>04-08-2020</v>
      </c>
      <c r="Z5429" t="str">
        <f>"COS10200804 3725"</f>
        <v>COS10200804 3725</v>
      </c>
    </row>
    <row r="5430" spans="1:26" x14ac:dyDescent="0.25">
      <c r="A5430" t="str">
        <f t="shared" si="2224"/>
        <v>04-08-2020 12:46:39</v>
      </c>
      <c r="B5430" t="str">
        <f>"0000805497"</f>
        <v>0000805497</v>
      </c>
      <c r="C5430" t="str">
        <f t="shared" si="2225"/>
        <v>0000805373</v>
      </c>
      <c r="D5430" t="str">
        <f t="shared" si="2204"/>
        <v>73185</v>
      </c>
      <c r="E5430" t="str">
        <f t="shared" si="2205"/>
        <v>KFH-OPERATIONS DEPARTMENT</v>
      </c>
      <c r="F5430" t="str">
        <f t="shared" si="2206"/>
        <v>IBG</v>
      </c>
      <c r="G5430" t="str">
        <f t="shared" si="2219"/>
        <v>Refund COSHARE 10</v>
      </c>
      <c r="H5430" s="2">
        <v>461.75</v>
      </c>
      <c r="I5430" t="str">
        <f>"YUSMAN BIN SALIHIN"</f>
        <v>YUSMAN BIN SALIHIN</v>
      </c>
      <c r="J5430" t="str">
        <f t="shared" si="2203"/>
        <v>CIMB BANK / CIMB ISLAMIC BANK</v>
      </c>
      <c r="K5430" t="str">
        <f>"7063638064"</f>
        <v>7063638064</v>
      </c>
      <c r="L5430" t="str">
        <f t="shared" si="2226"/>
        <v>04-08-2020</v>
      </c>
      <c r="M5430" t="str">
        <f t="shared" si="2226"/>
        <v>04-08-2020</v>
      </c>
      <c r="N5430" t="str">
        <f t="shared" si="2207"/>
        <v>001105018356</v>
      </c>
      <c r="O5430" t="str">
        <f t="shared" si="2208"/>
        <v>MYR</v>
      </c>
      <c r="P5430" t="str">
        <f t="shared" si="2227"/>
        <v>NIL</v>
      </c>
      <c r="Q5430" t="str">
        <f t="shared" si="2227"/>
        <v>NIL</v>
      </c>
      <c r="R5430" t="str">
        <f t="shared" si="2222"/>
        <v>Accepted</v>
      </c>
      <c r="S5430" t="str">
        <f t="shared" si="2209"/>
        <v>Approved</v>
      </c>
      <c r="T5430" t="str">
        <f t="shared" si="2223"/>
        <v>10.20.8.188</v>
      </c>
      <c r="U5430" t="str">
        <f t="shared" si="2210"/>
        <v>AZRAD UMAR BIN SHAARI</v>
      </c>
      <c r="V5430" t="str">
        <f t="shared" si="2211"/>
        <v>FARHANA BINTI MUSTAPA</v>
      </c>
      <c r="W5430" t="str">
        <f t="shared" si="2212"/>
        <v>04-08-2020</v>
      </c>
      <c r="X5430" t="str">
        <f t="shared" si="2213"/>
        <v>RAZIMAH ANSAR AHMAD</v>
      </c>
      <c r="Y5430" t="str">
        <f t="shared" si="2214"/>
        <v>04-08-2020</v>
      </c>
      <c r="Z5430" t="str">
        <f>"COS10200804 3724"</f>
        <v>COS10200804 3724</v>
      </c>
    </row>
    <row r="5431" spans="1:26" x14ac:dyDescent="0.25">
      <c r="A5431" t="str">
        <f t="shared" si="2224"/>
        <v>04-08-2020 12:46:39</v>
      </c>
      <c r="B5431" t="str">
        <f>"0000805496"</f>
        <v>0000805496</v>
      </c>
      <c r="C5431" t="str">
        <f t="shared" si="2225"/>
        <v>0000805373</v>
      </c>
      <c r="D5431" t="str">
        <f t="shared" si="2204"/>
        <v>73185</v>
      </c>
      <c r="E5431" t="str">
        <f t="shared" si="2205"/>
        <v>KFH-OPERATIONS DEPARTMENT</v>
      </c>
      <c r="F5431" t="str">
        <f t="shared" si="2206"/>
        <v>IBG</v>
      </c>
      <c r="G5431" t="str">
        <f t="shared" si="2219"/>
        <v>Refund COSHARE 10</v>
      </c>
      <c r="H5431" s="2">
        <v>1379.2</v>
      </c>
      <c r="I5431" t="str">
        <f>"YUSLIZA BINTI MAT YUSOF"</f>
        <v>YUSLIZA BINTI MAT YUSOF</v>
      </c>
      <c r="J5431" t="str">
        <f t="shared" si="2203"/>
        <v>CIMB BANK / CIMB ISLAMIC BANK</v>
      </c>
      <c r="K5431" t="str">
        <f>"7624633965"</f>
        <v>7624633965</v>
      </c>
      <c r="L5431" t="str">
        <f t="shared" si="2226"/>
        <v>04-08-2020</v>
      </c>
      <c r="M5431" t="str">
        <f t="shared" si="2226"/>
        <v>04-08-2020</v>
      </c>
      <c r="N5431" t="str">
        <f t="shared" si="2207"/>
        <v>001105018356</v>
      </c>
      <c r="O5431" t="str">
        <f t="shared" si="2208"/>
        <v>MYR</v>
      </c>
      <c r="P5431" t="str">
        <f t="shared" si="2227"/>
        <v>NIL</v>
      </c>
      <c r="Q5431" t="str">
        <f t="shared" si="2227"/>
        <v>NIL</v>
      </c>
      <c r="R5431" t="str">
        <f t="shared" si="2222"/>
        <v>Accepted</v>
      </c>
      <c r="S5431" t="str">
        <f t="shared" si="2209"/>
        <v>Approved</v>
      </c>
      <c r="T5431" t="str">
        <f t="shared" si="2223"/>
        <v>10.20.8.188</v>
      </c>
      <c r="U5431" t="str">
        <f t="shared" si="2210"/>
        <v>AZRAD UMAR BIN SHAARI</v>
      </c>
      <c r="V5431" t="str">
        <f t="shared" si="2211"/>
        <v>FARHANA BINTI MUSTAPA</v>
      </c>
      <c r="W5431" t="str">
        <f t="shared" si="2212"/>
        <v>04-08-2020</v>
      </c>
      <c r="X5431" t="str">
        <f t="shared" si="2213"/>
        <v>RAZIMAH ANSAR AHMAD</v>
      </c>
      <c r="Y5431" t="str">
        <f t="shared" si="2214"/>
        <v>04-08-2020</v>
      </c>
      <c r="Z5431" t="str">
        <f>"COS10200804 3723"</f>
        <v>COS10200804 3723</v>
      </c>
    </row>
    <row r="5432" spans="1:26" x14ac:dyDescent="0.25">
      <c r="A5432" t="str">
        <f t="shared" si="2224"/>
        <v>04-08-2020 12:46:39</v>
      </c>
      <c r="B5432" t="str">
        <f>"0000805495"</f>
        <v>0000805495</v>
      </c>
      <c r="C5432" t="str">
        <f t="shared" si="2225"/>
        <v>0000805373</v>
      </c>
      <c r="D5432" t="str">
        <f t="shared" si="2204"/>
        <v>73185</v>
      </c>
      <c r="E5432" t="str">
        <f t="shared" si="2205"/>
        <v>KFH-OPERATIONS DEPARTMENT</v>
      </c>
      <c r="F5432" t="str">
        <f t="shared" si="2206"/>
        <v>IBG</v>
      </c>
      <c r="G5432" t="str">
        <f t="shared" si="2219"/>
        <v>Refund COSHARE 10</v>
      </c>
      <c r="H5432" s="2">
        <v>932</v>
      </c>
      <c r="I5432" t="str">
        <f>"YUSHAIRI BIN MOHD YUSOF"</f>
        <v>YUSHAIRI BIN MOHD YUSOF</v>
      </c>
      <c r="J5432" t="str">
        <f t="shared" si="2203"/>
        <v>CIMB BANK / CIMB ISLAMIC BANK</v>
      </c>
      <c r="K5432" t="str">
        <f>"7621681083"</f>
        <v>7621681083</v>
      </c>
      <c r="L5432" t="str">
        <f t="shared" si="2226"/>
        <v>04-08-2020</v>
      </c>
      <c r="M5432" t="str">
        <f t="shared" si="2226"/>
        <v>04-08-2020</v>
      </c>
      <c r="N5432" t="str">
        <f t="shared" si="2207"/>
        <v>001105018356</v>
      </c>
      <c r="O5432" t="str">
        <f t="shared" si="2208"/>
        <v>MYR</v>
      </c>
      <c r="P5432" t="str">
        <f t="shared" si="2227"/>
        <v>NIL</v>
      </c>
      <c r="Q5432" t="str">
        <f t="shared" si="2227"/>
        <v>NIL</v>
      </c>
      <c r="R5432" t="str">
        <f t="shared" si="2222"/>
        <v>Accepted</v>
      </c>
      <c r="S5432" t="str">
        <f t="shared" si="2209"/>
        <v>Approved</v>
      </c>
      <c r="T5432" t="str">
        <f t="shared" si="2223"/>
        <v>10.20.8.188</v>
      </c>
      <c r="U5432" t="str">
        <f t="shared" si="2210"/>
        <v>AZRAD UMAR BIN SHAARI</v>
      </c>
      <c r="V5432" t="str">
        <f t="shared" si="2211"/>
        <v>FARHANA BINTI MUSTAPA</v>
      </c>
      <c r="W5432" t="str">
        <f t="shared" si="2212"/>
        <v>04-08-2020</v>
      </c>
      <c r="X5432" t="str">
        <f t="shared" si="2213"/>
        <v>RAZIMAH ANSAR AHMAD</v>
      </c>
      <c r="Y5432" t="str">
        <f t="shared" si="2214"/>
        <v>04-08-2020</v>
      </c>
      <c r="Z5432" t="str">
        <f>"COS10200804 3722"</f>
        <v>COS10200804 3722</v>
      </c>
    </row>
    <row r="5433" spans="1:26" x14ac:dyDescent="0.25">
      <c r="A5433" t="str">
        <f t="shared" si="2224"/>
        <v>04-08-2020 12:46:39</v>
      </c>
      <c r="B5433" t="str">
        <f>"0000805494"</f>
        <v>0000805494</v>
      </c>
      <c r="C5433" t="str">
        <f t="shared" si="2225"/>
        <v>0000805373</v>
      </c>
      <c r="D5433" t="str">
        <f t="shared" si="2204"/>
        <v>73185</v>
      </c>
      <c r="E5433" t="str">
        <f t="shared" si="2205"/>
        <v>KFH-OPERATIONS DEPARTMENT</v>
      </c>
      <c r="F5433" t="str">
        <f t="shared" si="2206"/>
        <v>IBG</v>
      </c>
      <c r="G5433" t="str">
        <f t="shared" si="2219"/>
        <v>Refund COSHARE 10</v>
      </c>
      <c r="H5433" s="2">
        <v>814.35</v>
      </c>
      <c r="I5433" t="str">
        <f>"YUSAZLIN BINTI M0HD NOR"</f>
        <v>YUSAZLIN BINTI M0HD NOR</v>
      </c>
      <c r="J5433" t="str">
        <f t="shared" si="2203"/>
        <v>CIMB BANK / CIMB ISLAMIC BANK</v>
      </c>
      <c r="K5433" t="str">
        <f>"7602157138"</f>
        <v>7602157138</v>
      </c>
      <c r="L5433" t="str">
        <f t="shared" si="2226"/>
        <v>04-08-2020</v>
      </c>
      <c r="M5433" t="str">
        <f t="shared" si="2226"/>
        <v>04-08-2020</v>
      </c>
      <c r="N5433" t="str">
        <f t="shared" si="2207"/>
        <v>001105018356</v>
      </c>
      <c r="O5433" t="str">
        <f t="shared" si="2208"/>
        <v>MYR</v>
      </c>
      <c r="P5433" t="str">
        <f t="shared" si="2227"/>
        <v>NIL</v>
      </c>
      <c r="Q5433" t="str">
        <f t="shared" si="2227"/>
        <v>NIL</v>
      </c>
      <c r="R5433" t="str">
        <f t="shared" si="2222"/>
        <v>Accepted</v>
      </c>
      <c r="S5433" t="str">
        <f t="shared" si="2209"/>
        <v>Approved</v>
      </c>
      <c r="T5433" t="str">
        <f t="shared" si="2223"/>
        <v>10.20.8.188</v>
      </c>
      <c r="U5433" t="str">
        <f t="shared" si="2210"/>
        <v>AZRAD UMAR BIN SHAARI</v>
      </c>
      <c r="V5433" t="str">
        <f t="shared" si="2211"/>
        <v>FARHANA BINTI MUSTAPA</v>
      </c>
      <c r="W5433" t="str">
        <f t="shared" si="2212"/>
        <v>04-08-2020</v>
      </c>
      <c r="X5433" t="str">
        <f t="shared" si="2213"/>
        <v>RAZIMAH ANSAR AHMAD</v>
      </c>
      <c r="Y5433" t="str">
        <f t="shared" si="2214"/>
        <v>04-08-2020</v>
      </c>
      <c r="Z5433" t="str">
        <f>"COS10200804 3721"</f>
        <v>COS10200804 3721</v>
      </c>
    </row>
    <row r="5434" spans="1:26" x14ac:dyDescent="0.25">
      <c r="A5434" t="str">
        <f t="shared" si="2224"/>
        <v>04-08-2020 12:46:39</v>
      </c>
      <c r="B5434" t="str">
        <f>"0000805493"</f>
        <v>0000805493</v>
      </c>
      <c r="C5434" t="str">
        <f t="shared" si="2225"/>
        <v>0000805373</v>
      </c>
      <c r="D5434" t="str">
        <f t="shared" si="2204"/>
        <v>73185</v>
      </c>
      <c r="E5434" t="str">
        <f t="shared" si="2205"/>
        <v>KFH-OPERATIONS DEPARTMENT</v>
      </c>
      <c r="F5434" t="str">
        <f t="shared" si="2206"/>
        <v>IBG</v>
      </c>
      <c r="G5434" t="str">
        <f t="shared" si="2219"/>
        <v>Refund COSHARE 10</v>
      </c>
      <c r="H5434" s="2">
        <v>722</v>
      </c>
      <c r="I5434" t="str">
        <f>"YONG SALINA BINTI ISMAIL"</f>
        <v>YONG SALINA BINTI ISMAIL</v>
      </c>
      <c r="J5434" t="str">
        <f t="shared" si="2203"/>
        <v>CIMB BANK / CIMB ISLAMIC BANK</v>
      </c>
      <c r="K5434" t="str">
        <f>"02080000843206"</f>
        <v>02080000843206</v>
      </c>
      <c r="L5434" t="str">
        <f t="shared" si="2226"/>
        <v>04-08-2020</v>
      </c>
      <c r="M5434" t="str">
        <f t="shared" si="2226"/>
        <v>04-08-2020</v>
      </c>
      <c r="N5434" t="str">
        <f t="shared" si="2207"/>
        <v>001105018356</v>
      </c>
      <c r="O5434" t="str">
        <f t="shared" si="2208"/>
        <v>MYR</v>
      </c>
      <c r="P5434" t="str">
        <f t="shared" si="2227"/>
        <v>NIL</v>
      </c>
      <c r="Q5434" t="str">
        <f t="shared" si="2227"/>
        <v>NIL</v>
      </c>
      <c r="R5434" t="str">
        <f t="shared" si="2222"/>
        <v>Accepted</v>
      </c>
      <c r="S5434" t="str">
        <f t="shared" si="2209"/>
        <v>Approved</v>
      </c>
      <c r="T5434" t="str">
        <f t="shared" si="2223"/>
        <v>10.20.8.188</v>
      </c>
      <c r="U5434" t="str">
        <f t="shared" si="2210"/>
        <v>AZRAD UMAR BIN SHAARI</v>
      </c>
      <c r="V5434" t="str">
        <f t="shared" si="2211"/>
        <v>FARHANA BINTI MUSTAPA</v>
      </c>
      <c r="W5434" t="str">
        <f t="shared" si="2212"/>
        <v>04-08-2020</v>
      </c>
      <c r="X5434" t="str">
        <f t="shared" si="2213"/>
        <v>RAZIMAH ANSAR AHMAD</v>
      </c>
      <c r="Y5434" t="str">
        <f t="shared" si="2214"/>
        <v>04-08-2020</v>
      </c>
      <c r="Z5434" t="str">
        <f>"COS10200804 3720"</f>
        <v>COS10200804 3720</v>
      </c>
    </row>
    <row r="5435" spans="1:26" x14ac:dyDescent="0.25">
      <c r="A5435" t="str">
        <f t="shared" si="2224"/>
        <v>04-08-2020 12:46:39</v>
      </c>
      <c r="B5435" t="str">
        <f>"0000805492"</f>
        <v>0000805492</v>
      </c>
      <c r="C5435" t="str">
        <f t="shared" si="2225"/>
        <v>0000805373</v>
      </c>
      <c r="D5435" t="str">
        <f t="shared" si="2204"/>
        <v>73185</v>
      </c>
      <c r="E5435" t="str">
        <f t="shared" si="2205"/>
        <v>KFH-OPERATIONS DEPARTMENT</v>
      </c>
      <c r="F5435" t="str">
        <f t="shared" si="2206"/>
        <v>IBG</v>
      </c>
      <c r="G5435" t="str">
        <f t="shared" si="2219"/>
        <v>Refund COSHARE 10</v>
      </c>
      <c r="H5435" s="2">
        <v>151</v>
      </c>
      <c r="I5435" t="str">
        <f>"YESSICA ANAK NICHOL"</f>
        <v>YESSICA ANAK NICHOL</v>
      </c>
      <c r="J5435" t="str">
        <f t="shared" si="2203"/>
        <v>CIMB BANK / CIMB ISLAMIC BANK</v>
      </c>
      <c r="K5435" t="str">
        <f>"7032333557"</f>
        <v>7032333557</v>
      </c>
      <c r="L5435" t="str">
        <f t="shared" si="2226"/>
        <v>04-08-2020</v>
      </c>
      <c r="M5435" t="str">
        <f t="shared" si="2226"/>
        <v>04-08-2020</v>
      </c>
      <c r="N5435" t="str">
        <f t="shared" si="2207"/>
        <v>001105018356</v>
      </c>
      <c r="O5435" t="str">
        <f t="shared" si="2208"/>
        <v>MYR</v>
      </c>
      <c r="P5435" t="str">
        <f t="shared" si="2227"/>
        <v>NIL</v>
      </c>
      <c r="Q5435" t="str">
        <f t="shared" si="2227"/>
        <v>NIL</v>
      </c>
      <c r="R5435" t="str">
        <f t="shared" si="2222"/>
        <v>Accepted</v>
      </c>
      <c r="S5435" t="str">
        <f t="shared" si="2209"/>
        <v>Approved</v>
      </c>
      <c r="T5435" t="str">
        <f t="shared" si="2223"/>
        <v>10.20.8.188</v>
      </c>
      <c r="U5435" t="str">
        <f t="shared" si="2210"/>
        <v>AZRAD UMAR BIN SHAARI</v>
      </c>
      <c r="V5435" t="str">
        <f t="shared" si="2211"/>
        <v>FARHANA BINTI MUSTAPA</v>
      </c>
      <c r="W5435" t="str">
        <f t="shared" si="2212"/>
        <v>04-08-2020</v>
      </c>
      <c r="X5435" t="str">
        <f t="shared" si="2213"/>
        <v>RAZIMAH ANSAR AHMAD</v>
      </c>
      <c r="Y5435" t="str">
        <f t="shared" si="2214"/>
        <v>04-08-2020</v>
      </c>
      <c r="Z5435" t="str">
        <f>"COS10200804 3719"</f>
        <v>COS10200804 3719</v>
      </c>
    </row>
    <row r="5436" spans="1:26" x14ac:dyDescent="0.25">
      <c r="A5436" t="str">
        <f t="shared" si="2224"/>
        <v>04-08-2020 12:46:39</v>
      </c>
      <c r="B5436" t="str">
        <f>"0000805491"</f>
        <v>0000805491</v>
      </c>
      <c r="C5436" t="str">
        <f t="shared" si="2225"/>
        <v>0000805373</v>
      </c>
      <c r="D5436" t="str">
        <f t="shared" si="2204"/>
        <v>73185</v>
      </c>
      <c r="E5436" t="str">
        <f t="shared" si="2205"/>
        <v>KFH-OPERATIONS DEPARTMENT</v>
      </c>
      <c r="F5436" t="str">
        <f t="shared" si="2206"/>
        <v>IBG</v>
      </c>
      <c r="G5436" t="str">
        <f t="shared" si="2219"/>
        <v>Refund COSHARE 10</v>
      </c>
      <c r="H5436" s="2">
        <v>1287.3</v>
      </c>
      <c r="I5436" t="str">
        <f>"YEONG KUI NYAP"</f>
        <v>YEONG KUI NYAP</v>
      </c>
      <c r="J5436" t="str">
        <f t="shared" ref="J5436:J5499" si="2228">"CIMB BANK / CIMB ISLAMIC BANK"</f>
        <v>CIMB BANK / CIMB ISLAMIC BANK</v>
      </c>
      <c r="K5436" t="str">
        <f>"11080048089528"</f>
        <v>11080048089528</v>
      </c>
      <c r="L5436" t="str">
        <f t="shared" si="2226"/>
        <v>04-08-2020</v>
      </c>
      <c r="M5436" t="str">
        <f t="shared" si="2226"/>
        <v>04-08-2020</v>
      </c>
      <c r="N5436" t="str">
        <f t="shared" si="2207"/>
        <v>001105018356</v>
      </c>
      <c r="O5436" t="str">
        <f t="shared" si="2208"/>
        <v>MYR</v>
      </c>
      <c r="P5436" t="str">
        <f t="shared" si="2227"/>
        <v>NIL</v>
      </c>
      <c r="Q5436" t="str">
        <f t="shared" si="2227"/>
        <v>NIL</v>
      </c>
      <c r="R5436" t="str">
        <f t="shared" si="2222"/>
        <v>Accepted</v>
      </c>
      <c r="S5436" t="str">
        <f t="shared" si="2209"/>
        <v>Approved</v>
      </c>
      <c r="T5436" t="str">
        <f t="shared" si="2223"/>
        <v>10.20.8.188</v>
      </c>
      <c r="U5436" t="str">
        <f t="shared" si="2210"/>
        <v>AZRAD UMAR BIN SHAARI</v>
      </c>
      <c r="V5436" t="str">
        <f t="shared" si="2211"/>
        <v>FARHANA BINTI MUSTAPA</v>
      </c>
      <c r="W5436" t="str">
        <f t="shared" si="2212"/>
        <v>04-08-2020</v>
      </c>
      <c r="X5436" t="str">
        <f t="shared" si="2213"/>
        <v>RAZIMAH ANSAR AHMAD</v>
      </c>
      <c r="Y5436" t="str">
        <f t="shared" si="2214"/>
        <v>04-08-2020</v>
      </c>
      <c r="Z5436" t="str">
        <f>"COS10200804 3718"</f>
        <v>COS10200804 3718</v>
      </c>
    </row>
    <row r="5437" spans="1:26" x14ac:dyDescent="0.25">
      <c r="A5437" t="str">
        <f t="shared" si="2224"/>
        <v>04-08-2020 12:46:39</v>
      </c>
      <c r="B5437" t="str">
        <f>"0000805490"</f>
        <v>0000805490</v>
      </c>
      <c r="C5437" t="str">
        <f t="shared" si="2225"/>
        <v>0000805373</v>
      </c>
      <c r="D5437" t="str">
        <f t="shared" si="2204"/>
        <v>73185</v>
      </c>
      <c r="E5437" t="str">
        <f t="shared" si="2205"/>
        <v>KFH-OPERATIONS DEPARTMENT</v>
      </c>
      <c r="F5437" t="str">
        <f t="shared" si="2206"/>
        <v>IBG</v>
      </c>
      <c r="G5437" t="str">
        <f t="shared" si="2219"/>
        <v>Refund COSHARE 10</v>
      </c>
      <c r="H5437" s="2">
        <v>294</v>
      </c>
      <c r="I5437" t="str">
        <f>"YENNY ANAK NICHOL"</f>
        <v>YENNY ANAK NICHOL</v>
      </c>
      <c r="J5437" t="str">
        <f t="shared" si="2228"/>
        <v>CIMB BANK / CIMB ISLAMIC BANK</v>
      </c>
      <c r="K5437" t="str">
        <f>"7033104707"</f>
        <v>7033104707</v>
      </c>
      <c r="L5437" t="str">
        <f t="shared" si="2226"/>
        <v>04-08-2020</v>
      </c>
      <c r="M5437" t="str">
        <f t="shared" si="2226"/>
        <v>04-08-2020</v>
      </c>
      <c r="N5437" t="str">
        <f t="shared" si="2207"/>
        <v>001105018356</v>
      </c>
      <c r="O5437" t="str">
        <f t="shared" si="2208"/>
        <v>MYR</v>
      </c>
      <c r="P5437" t="str">
        <f t="shared" si="2227"/>
        <v>NIL</v>
      </c>
      <c r="Q5437" t="str">
        <f t="shared" si="2227"/>
        <v>NIL</v>
      </c>
      <c r="R5437" t="str">
        <f t="shared" si="2222"/>
        <v>Accepted</v>
      </c>
      <c r="S5437" t="str">
        <f t="shared" si="2209"/>
        <v>Approved</v>
      </c>
      <c r="T5437" t="str">
        <f t="shared" si="2223"/>
        <v>10.20.8.188</v>
      </c>
      <c r="U5437" t="str">
        <f t="shared" si="2210"/>
        <v>AZRAD UMAR BIN SHAARI</v>
      </c>
      <c r="V5437" t="str">
        <f t="shared" si="2211"/>
        <v>FARHANA BINTI MUSTAPA</v>
      </c>
      <c r="W5437" t="str">
        <f t="shared" si="2212"/>
        <v>04-08-2020</v>
      </c>
      <c r="X5437" t="str">
        <f t="shared" si="2213"/>
        <v>RAZIMAH ANSAR AHMAD</v>
      </c>
      <c r="Y5437" t="str">
        <f t="shared" si="2214"/>
        <v>04-08-2020</v>
      </c>
      <c r="Z5437" t="str">
        <f>"COS10200804 3717"</f>
        <v>COS10200804 3717</v>
      </c>
    </row>
    <row r="5438" spans="1:26" x14ac:dyDescent="0.25">
      <c r="A5438" t="str">
        <f t="shared" si="2224"/>
        <v>04-08-2020 12:46:39</v>
      </c>
      <c r="B5438" t="str">
        <f>"0000805489"</f>
        <v>0000805489</v>
      </c>
      <c r="C5438" t="str">
        <f t="shared" si="2225"/>
        <v>0000805373</v>
      </c>
      <c r="D5438" t="str">
        <f t="shared" si="2204"/>
        <v>73185</v>
      </c>
      <c r="E5438" t="str">
        <f t="shared" si="2205"/>
        <v>KFH-OPERATIONS DEPARTMENT</v>
      </c>
      <c r="F5438" t="str">
        <f t="shared" si="2206"/>
        <v>IBG</v>
      </c>
      <c r="G5438" t="str">
        <f t="shared" si="2219"/>
        <v>Refund COSHARE 10</v>
      </c>
      <c r="H5438" s="2">
        <v>450.4</v>
      </c>
      <c r="I5438" t="str">
        <f>"YAZID BIN UMAR"</f>
        <v>YAZID BIN UMAR</v>
      </c>
      <c r="J5438" t="str">
        <f t="shared" si="2228"/>
        <v>CIMB BANK / CIMB ISLAMIC BANK</v>
      </c>
      <c r="K5438" t="str">
        <f>"10060010129526"</f>
        <v>10060010129526</v>
      </c>
      <c r="L5438" t="str">
        <f t="shared" si="2226"/>
        <v>04-08-2020</v>
      </c>
      <c r="M5438" t="str">
        <f t="shared" si="2226"/>
        <v>04-08-2020</v>
      </c>
      <c r="N5438" t="str">
        <f t="shared" si="2207"/>
        <v>001105018356</v>
      </c>
      <c r="O5438" t="str">
        <f t="shared" si="2208"/>
        <v>MYR</v>
      </c>
      <c r="P5438" t="str">
        <f t="shared" si="2227"/>
        <v>NIL</v>
      </c>
      <c r="Q5438" t="str">
        <f t="shared" si="2227"/>
        <v>NIL</v>
      </c>
      <c r="R5438" t="str">
        <f t="shared" si="2222"/>
        <v>Accepted</v>
      </c>
      <c r="S5438" t="str">
        <f t="shared" si="2209"/>
        <v>Approved</v>
      </c>
      <c r="T5438" t="str">
        <f t="shared" si="2223"/>
        <v>10.20.8.188</v>
      </c>
      <c r="U5438" t="str">
        <f t="shared" si="2210"/>
        <v>AZRAD UMAR BIN SHAARI</v>
      </c>
      <c r="V5438" t="str">
        <f t="shared" si="2211"/>
        <v>FARHANA BINTI MUSTAPA</v>
      </c>
      <c r="W5438" t="str">
        <f t="shared" si="2212"/>
        <v>04-08-2020</v>
      </c>
      <c r="X5438" t="str">
        <f t="shared" si="2213"/>
        <v>RAZIMAH ANSAR AHMAD</v>
      </c>
      <c r="Y5438" t="str">
        <f t="shared" si="2214"/>
        <v>04-08-2020</v>
      </c>
      <c r="Z5438" t="str">
        <f>"COS10200804 3716"</f>
        <v>COS10200804 3716</v>
      </c>
    </row>
    <row r="5439" spans="1:26" x14ac:dyDescent="0.25">
      <c r="A5439" t="str">
        <f t="shared" si="2224"/>
        <v>04-08-2020 12:46:39</v>
      </c>
      <c r="B5439" t="str">
        <f>"0000805488"</f>
        <v>0000805488</v>
      </c>
      <c r="C5439" t="str">
        <f t="shared" si="2225"/>
        <v>0000805373</v>
      </c>
      <c r="D5439" t="str">
        <f t="shared" si="2204"/>
        <v>73185</v>
      </c>
      <c r="E5439" t="str">
        <f t="shared" si="2205"/>
        <v>KFH-OPERATIONS DEPARTMENT</v>
      </c>
      <c r="F5439" t="str">
        <f t="shared" si="2206"/>
        <v>IBG</v>
      </c>
      <c r="G5439" t="str">
        <f t="shared" si="2219"/>
        <v>Refund COSHARE 10</v>
      </c>
      <c r="H5439" s="2">
        <v>587.65</v>
      </c>
      <c r="I5439" t="str">
        <f>"YASSER ARAFAT BIN ZAINAL RASHID"</f>
        <v>YASSER ARAFAT BIN ZAINAL RASHID</v>
      </c>
      <c r="J5439" t="str">
        <f t="shared" si="2228"/>
        <v>CIMB BANK / CIMB ISLAMIC BANK</v>
      </c>
      <c r="K5439" t="str">
        <f>"08060064510523"</f>
        <v>08060064510523</v>
      </c>
      <c r="L5439" t="str">
        <f t="shared" si="2226"/>
        <v>04-08-2020</v>
      </c>
      <c r="M5439" t="str">
        <f t="shared" si="2226"/>
        <v>04-08-2020</v>
      </c>
      <c r="N5439" t="str">
        <f t="shared" si="2207"/>
        <v>001105018356</v>
      </c>
      <c r="O5439" t="str">
        <f t="shared" si="2208"/>
        <v>MYR</v>
      </c>
      <c r="P5439" t="str">
        <f t="shared" si="2227"/>
        <v>NIL</v>
      </c>
      <c r="Q5439" t="str">
        <f t="shared" si="2227"/>
        <v>NIL</v>
      </c>
      <c r="R5439" t="str">
        <f t="shared" si="2222"/>
        <v>Accepted</v>
      </c>
      <c r="S5439" t="str">
        <f t="shared" si="2209"/>
        <v>Approved</v>
      </c>
      <c r="T5439" t="str">
        <f t="shared" si="2223"/>
        <v>10.20.8.188</v>
      </c>
      <c r="U5439" t="str">
        <f t="shared" si="2210"/>
        <v>AZRAD UMAR BIN SHAARI</v>
      </c>
      <c r="V5439" t="str">
        <f t="shared" si="2211"/>
        <v>FARHANA BINTI MUSTAPA</v>
      </c>
      <c r="W5439" t="str">
        <f t="shared" si="2212"/>
        <v>04-08-2020</v>
      </c>
      <c r="X5439" t="str">
        <f t="shared" si="2213"/>
        <v>RAZIMAH ANSAR AHMAD</v>
      </c>
      <c r="Y5439" t="str">
        <f t="shared" si="2214"/>
        <v>04-08-2020</v>
      </c>
      <c r="Z5439" t="str">
        <f>"COS10200804 3715"</f>
        <v>COS10200804 3715</v>
      </c>
    </row>
    <row r="5440" spans="1:26" x14ac:dyDescent="0.25">
      <c r="A5440" t="str">
        <f t="shared" si="2224"/>
        <v>04-08-2020 12:46:39</v>
      </c>
      <c r="B5440" t="str">
        <f>"0000805487"</f>
        <v>0000805487</v>
      </c>
      <c r="C5440" t="str">
        <f t="shared" si="2225"/>
        <v>0000805373</v>
      </c>
      <c r="D5440" t="str">
        <f t="shared" si="2204"/>
        <v>73185</v>
      </c>
      <c r="E5440" t="str">
        <f t="shared" si="2205"/>
        <v>KFH-OPERATIONS DEPARTMENT</v>
      </c>
      <c r="F5440" t="str">
        <f t="shared" si="2206"/>
        <v>IBG</v>
      </c>
      <c r="G5440" t="str">
        <f t="shared" si="2219"/>
        <v>Refund COSHARE 10</v>
      </c>
      <c r="H5440" s="2">
        <v>913.55</v>
      </c>
      <c r="I5440" t="str">
        <f>"YASMIN BINTI ABDUL RAZAK"</f>
        <v>YASMIN BINTI ABDUL RAZAK</v>
      </c>
      <c r="J5440" t="str">
        <f t="shared" si="2228"/>
        <v>CIMB BANK / CIMB ISLAMIC BANK</v>
      </c>
      <c r="K5440" t="str">
        <f>"12480061978521"</f>
        <v>12480061978521</v>
      </c>
      <c r="L5440" t="str">
        <f t="shared" si="2226"/>
        <v>04-08-2020</v>
      </c>
      <c r="M5440" t="str">
        <f t="shared" si="2226"/>
        <v>04-08-2020</v>
      </c>
      <c r="N5440" t="str">
        <f t="shared" si="2207"/>
        <v>001105018356</v>
      </c>
      <c r="O5440" t="str">
        <f t="shared" si="2208"/>
        <v>MYR</v>
      </c>
      <c r="P5440" t="str">
        <f t="shared" si="2227"/>
        <v>NIL</v>
      </c>
      <c r="Q5440" t="str">
        <f t="shared" si="2227"/>
        <v>NIL</v>
      </c>
      <c r="R5440" t="str">
        <f t="shared" si="2222"/>
        <v>Accepted</v>
      </c>
      <c r="S5440" t="str">
        <f t="shared" si="2209"/>
        <v>Approved</v>
      </c>
      <c r="T5440" t="str">
        <f t="shared" si="2223"/>
        <v>10.20.8.188</v>
      </c>
      <c r="U5440" t="str">
        <f t="shared" si="2210"/>
        <v>AZRAD UMAR BIN SHAARI</v>
      </c>
      <c r="V5440" t="str">
        <f t="shared" si="2211"/>
        <v>FARHANA BINTI MUSTAPA</v>
      </c>
      <c r="W5440" t="str">
        <f t="shared" si="2212"/>
        <v>04-08-2020</v>
      </c>
      <c r="X5440" t="str">
        <f t="shared" si="2213"/>
        <v>RAZIMAH ANSAR AHMAD</v>
      </c>
      <c r="Y5440" t="str">
        <f t="shared" si="2214"/>
        <v>04-08-2020</v>
      </c>
      <c r="Z5440" t="str">
        <f>"COS10200804 3714"</f>
        <v>COS10200804 3714</v>
      </c>
    </row>
    <row r="5441" spans="1:26" x14ac:dyDescent="0.25">
      <c r="A5441" t="str">
        <f t="shared" si="2224"/>
        <v>04-08-2020 12:46:39</v>
      </c>
      <c r="B5441" t="str">
        <f>"0000805486"</f>
        <v>0000805486</v>
      </c>
      <c r="C5441" t="str">
        <f t="shared" si="2225"/>
        <v>0000805373</v>
      </c>
      <c r="D5441" t="str">
        <f t="shared" si="2204"/>
        <v>73185</v>
      </c>
      <c r="E5441" t="str">
        <f t="shared" si="2205"/>
        <v>KFH-OPERATIONS DEPARTMENT</v>
      </c>
      <c r="F5441" t="str">
        <f t="shared" si="2206"/>
        <v>IBG</v>
      </c>
      <c r="G5441" t="str">
        <f t="shared" si="2219"/>
        <v>Refund COSHARE 10</v>
      </c>
      <c r="H5441" s="2">
        <v>152</v>
      </c>
      <c r="I5441" t="str">
        <f>"YAN NORA SHAFINI BINTI MOHAMAD"</f>
        <v>YAN NORA SHAFINI BINTI MOHAMAD</v>
      </c>
      <c r="J5441" t="str">
        <f t="shared" si="2228"/>
        <v>CIMB BANK / CIMB ISLAMIC BANK</v>
      </c>
      <c r="K5441" t="str">
        <f>"7040848653"</f>
        <v>7040848653</v>
      </c>
      <c r="L5441" t="str">
        <f t="shared" si="2226"/>
        <v>04-08-2020</v>
      </c>
      <c r="M5441" t="str">
        <f t="shared" si="2226"/>
        <v>04-08-2020</v>
      </c>
      <c r="N5441" t="str">
        <f t="shared" si="2207"/>
        <v>001105018356</v>
      </c>
      <c r="O5441" t="str">
        <f t="shared" si="2208"/>
        <v>MYR</v>
      </c>
      <c r="P5441" t="str">
        <f t="shared" si="2227"/>
        <v>NIL</v>
      </c>
      <c r="Q5441" t="str">
        <f t="shared" si="2227"/>
        <v>NIL</v>
      </c>
      <c r="R5441" t="str">
        <f t="shared" si="2222"/>
        <v>Accepted</v>
      </c>
      <c r="S5441" t="str">
        <f t="shared" si="2209"/>
        <v>Approved</v>
      </c>
      <c r="T5441" t="str">
        <f t="shared" si="2223"/>
        <v>10.20.8.188</v>
      </c>
      <c r="U5441" t="str">
        <f t="shared" si="2210"/>
        <v>AZRAD UMAR BIN SHAARI</v>
      </c>
      <c r="V5441" t="str">
        <f t="shared" si="2211"/>
        <v>FARHANA BINTI MUSTAPA</v>
      </c>
      <c r="W5441" t="str">
        <f t="shared" si="2212"/>
        <v>04-08-2020</v>
      </c>
      <c r="X5441" t="str">
        <f t="shared" si="2213"/>
        <v>RAZIMAH ANSAR AHMAD</v>
      </c>
      <c r="Y5441" t="str">
        <f t="shared" si="2214"/>
        <v>04-08-2020</v>
      </c>
      <c r="Z5441" t="str">
        <f>"COS10200804 3713"</f>
        <v>COS10200804 3713</v>
      </c>
    </row>
    <row r="5442" spans="1:26" x14ac:dyDescent="0.25">
      <c r="A5442" t="str">
        <f t="shared" si="2224"/>
        <v>04-08-2020 12:46:39</v>
      </c>
      <c r="B5442" t="str">
        <f>"0000805485"</f>
        <v>0000805485</v>
      </c>
      <c r="C5442" t="str">
        <f t="shared" si="2225"/>
        <v>0000805373</v>
      </c>
      <c r="D5442" t="str">
        <f t="shared" si="2204"/>
        <v>73185</v>
      </c>
      <c r="E5442" t="str">
        <f t="shared" si="2205"/>
        <v>KFH-OPERATIONS DEPARTMENT</v>
      </c>
      <c r="F5442" t="str">
        <f t="shared" si="2206"/>
        <v>IBG</v>
      </c>
      <c r="G5442" t="str">
        <f t="shared" si="2219"/>
        <v>Refund COSHARE 10</v>
      </c>
      <c r="H5442" s="2">
        <v>335.8</v>
      </c>
      <c r="I5442" t="str">
        <f>"YAN NORA SHAFINI BINTI MOHAMAD"</f>
        <v>YAN NORA SHAFINI BINTI MOHAMAD</v>
      </c>
      <c r="J5442" t="str">
        <f t="shared" si="2228"/>
        <v>CIMB BANK / CIMB ISLAMIC BANK</v>
      </c>
      <c r="K5442" t="str">
        <f>"7040848653"</f>
        <v>7040848653</v>
      </c>
      <c r="L5442" t="str">
        <f t="shared" si="2226"/>
        <v>04-08-2020</v>
      </c>
      <c r="M5442" t="str">
        <f t="shared" si="2226"/>
        <v>04-08-2020</v>
      </c>
      <c r="N5442" t="str">
        <f t="shared" si="2207"/>
        <v>001105018356</v>
      </c>
      <c r="O5442" t="str">
        <f t="shared" si="2208"/>
        <v>MYR</v>
      </c>
      <c r="P5442" t="str">
        <f t="shared" si="2227"/>
        <v>NIL</v>
      </c>
      <c r="Q5442" t="str">
        <f t="shared" si="2227"/>
        <v>NIL</v>
      </c>
      <c r="R5442" t="str">
        <f t="shared" si="2222"/>
        <v>Accepted</v>
      </c>
      <c r="S5442" t="str">
        <f t="shared" si="2209"/>
        <v>Approved</v>
      </c>
      <c r="T5442" t="str">
        <f t="shared" si="2223"/>
        <v>10.20.8.188</v>
      </c>
      <c r="U5442" t="str">
        <f t="shared" si="2210"/>
        <v>AZRAD UMAR BIN SHAARI</v>
      </c>
      <c r="V5442" t="str">
        <f t="shared" si="2211"/>
        <v>FARHANA BINTI MUSTAPA</v>
      </c>
      <c r="W5442" t="str">
        <f t="shared" si="2212"/>
        <v>04-08-2020</v>
      </c>
      <c r="X5442" t="str">
        <f t="shared" si="2213"/>
        <v>RAZIMAH ANSAR AHMAD</v>
      </c>
      <c r="Y5442" t="str">
        <f t="shared" si="2214"/>
        <v>04-08-2020</v>
      </c>
      <c r="Z5442" t="str">
        <f>"COS10200804 3712"</f>
        <v>COS10200804 3712</v>
      </c>
    </row>
    <row r="5443" spans="1:26" x14ac:dyDescent="0.25">
      <c r="A5443" t="str">
        <f t="shared" si="2224"/>
        <v>04-08-2020 12:46:39</v>
      </c>
      <c r="B5443" t="str">
        <f>"0000805484"</f>
        <v>0000805484</v>
      </c>
      <c r="C5443" t="str">
        <f t="shared" si="2225"/>
        <v>0000805373</v>
      </c>
      <c r="D5443" t="str">
        <f t="shared" si="2204"/>
        <v>73185</v>
      </c>
      <c r="E5443" t="str">
        <f t="shared" si="2205"/>
        <v>KFH-OPERATIONS DEPARTMENT</v>
      </c>
      <c r="F5443" t="str">
        <f t="shared" si="2206"/>
        <v>IBG</v>
      </c>
      <c r="G5443" t="str">
        <f t="shared" si="2219"/>
        <v>Refund COSHARE 10</v>
      </c>
      <c r="H5443" s="2">
        <v>671.6</v>
      </c>
      <c r="I5443" t="str">
        <f>"YAHYA BIN IDRIS"</f>
        <v>YAHYA BIN IDRIS</v>
      </c>
      <c r="J5443" t="str">
        <f t="shared" si="2228"/>
        <v>CIMB BANK / CIMB ISLAMIC BANK</v>
      </c>
      <c r="K5443" t="str">
        <f>"7037551056"</f>
        <v>7037551056</v>
      </c>
      <c r="L5443" t="str">
        <f t="shared" si="2226"/>
        <v>04-08-2020</v>
      </c>
      <c r="M5443" t="str">
        <f t="shared" si="2226"/>
        <v>04-08-2020</v>
      </c>
      <c r="N5443" t="str">
        <f t="shared" si="2207"/>
        <v>001105018356</v>
      </c>
      <c r="O5443" t="str">
        <f t="shared" si="2208"/>
        <v>MYR</v>
      </c>
      <c r="P5443" t="str">
        <f t="shared" si="2227"/>
        <v>NIL</v>
      </c>
      <c r="Q5443" t="str">
        <f t="shared" si="2227"/>
        <v>NIL</v>
      </c>
      <c r="R5443" t="str">
        <f t="shared" si="2222"/>
        <v>Accepted</v>
      </c>
      <c r="S5443" t="str">
        <f t="shared" si="2209"/>
        <v>Approved</v>
      </c>
      <c r="T5443" t="str">
        <f t="shared" si="2223"/>
        <v>10.20.8.188</v>
      </c>
      <c r="U5443" t="str">
        <f t="shared" si="2210"/>
        <v>AZRAD UMAR BIN SHAARI</v>
      </c>
      <c r="V5443" t="str">
        <f t="shared" si="2211"/>
        <v>FARHANA BINTI MUSTAPA</v>
      </c>
      <c r="W5443" t="str">
        <f t="shared" si="2212"/>
        <v>04-08-2020</v>
      </c>
      <c r="X5443" t="str">
        <f t="shared" si="2213"/>
        <v>RAZIMAH ANSAR AHMAD</v>
      </c>
      <c r="Y5443" t="str">
        <f t="shared" si="2214"/>
        <v>04-08-2020</v>
      </c>
      <c r="Z5443" t="str">
        <f>"COS10200804 3711"</f>
        <v>COS10200804 3711</v>
      </c>
    </row>
    <row r="5444" spans="1:26" x14ac:dyDescent="0.25">
      <c r="A5444" t="str">
        <f t="shared" si="2224"/>
        <v>04-08-2020 12:46:39</v>
      </c>
      <c r="B5444" t="str">
        <f>"0000805483"</f>
        <v>0000805483</v>
      </c>
      <c r="C5444" t="str">
        <f t="shared" si="2225"/>
        <v>0000805373</v>
      </c>
      <c r="D5444" t="str">
        <f t="shared" si="2204"/>
        <v>73185</v>
      </c>
      <c r="E5444" t="str">
        <f t="shared" si="2205"/>
        <v>KFH-OPERATIONS DEPARTMENT</v>
      </c>
      <c r="F5444" t="str">
        <f t="shared" si="2206"/>
        <v>IBG</v>
      </c>
      <c r="G5444" t="str">
        <f t="shared" si="2219"/>
        <v>Refund COSHARE 10</v>
      </c>
      <c r="H5444" s="2">
        <v>1774.05</v>
      </c>
      <c r="I5444" t="str">
        <f>"WIRDATI BINTI MOHD RADZI"</f>
        <v>WIRDATI BINTI MOHD RADZI</v>
      </c>
      <c r="J5444" t="str">
        <f t="shared" si="2228"/>
        <v>CIMB BANK / CIMB ISLAMIC BANK</v>
      </c>
      <c r="K5444" t="str">
        <f>"14240013824528"</f>
        <v>14240013824528</v>
      </c>
      <c r="L5444" t="str">
        <f t="shared" si="2226"/>
        <v>04-08-2020</v>
      </c>
      <c r="M5444" t="str">
        <f t="shared" si="2226"/>
        <v>04-08-2020</v>
      </c>
      <c r="N5444" t="str">
        <f t="shared" si="2207"/>
        <v>001105018356</v>
      </c>
      <c r="O5444" t="str">
        <f t="shared" si="2208"/>
        <v>MYR</v>
      </c>
      <c r="P5444" t="str">
        <f t="shared" si="2227"/>
        <v>NIL</v>
      </c>
      <c r="Q5444" t="str">
        <f t="shared" si="2227"/>
        <v>NIL</v>
      </c>
      <c r="R5444" t="str">
        <f t="shared" si="2222"/>
        <v>Accepted</v>
      </c>
      <c r="S5444" t="str">
        <f t="shared" si="2209"/>
        <v>Approved</v>
      </c>
      <c r="T5444" t="str">
        <f t="shared" si="2223"/>
        <v>10.20.8.188</v>
      </c>
      <c r="U5444" t="str">
        <f t="shared" si="2210"/>
        <v>AZRAD UMAR BIN SHAARI</v>
      </c>
      <c r="V5444" t="str">
        <f t="shared" si="2211"/>
        <v>FARHANA BINTI MUSTAPA</v>
      </c>
      <c r="W5444" t="str">
        <f t="shared" si="2212"/>
        <v>04-08-2020</v>
      </c>
      <c r="X5444" t="str">
        <f t="shared" si="2213"/>
        <v>RAZIMAH ANSAR AHMAD</v>
      </c>
      <c r="Y5444" t="str">
        <f t="shared" si="2214"/>
        <v>04-08-2020</v>
      </c>
      <c r="Z5444" t="str">
        <f>"COS10200804 3710"</f>
        <v>COS10200804 3710</v>
      </c>
    </row>
    <row r="5445" spans="1:26" x14ac:dyDescent="0.25">
      <c r="A5445" t="str">
        <f t="shared" si="2224"/>
        <v>04-08-2020 12:46:39</v>
      </c>
      <c r="B5445" t="str">
        <f>"0000805482"</f>
        <v>0000805482</v>
      </c>
      <c r="C5445" t="str">
        <f t="shared" si="2225"/>
        <v>0000805373</v>
      </c>
      <c r="D5445" t="str">
        <f t="shared" si="2204"/>
        <v>73185</v>
      </c>
      <c r="E5445" t="str">
        <f t="shared" si="2205"/>
        <v>KFH-OPERATIONS DEPARTMENT</v>
      </c>
      <c r="F5445" t="str">
        <f t="shared" si="2206"/>
        <v>IBG</v>
      </c>
      <c r="G5445" t="str">
        <f t="shared" si="2219"/>
        <v>Refund COSHARE 10</v>
      </c>
      <c r="H5445" s="2">
        <v>235</v>
      </c>
      <c r="I5445" t="str">
        <f>"WIDYA RAHAYU BINTI ASSAN"</f>
        <v>WIDYA RAHAYU BINTI ASSAN</v>
      </c>
      <c r="J5445" t="str">
        <f t="shared" si="2228"/>
        <v>CIMB BANK / CIMB ISLAMIC BANK</v>
      </c>
      <c r="K5445" t="str">
        <f>"14330000851200"</f>
        <v>14330000851200</v>
      </c>
      <c r="L5445" t="str">
        <f t="shared" si="2226"/>
        <v>04-08-2020</v>
      </c>
      <c r="M5445" t="str">
        <f t="shared" si="2226"/>
        <v>04-08-2020</v>
      </c>
      <c r="N5445" t="str">
        <f t="shared" si="2207"/>
        <v>001105018356</v>
      </c>
      <c r="O5445" t="str">
        <f t="shared" si="2208"/>
        <v>MYR</v>
      </c>
      <c r="P5445" t="str">
        <f t="shared" si="2227"/>
        <v>NIL</v>
      </c>
      <c r="Q5445" t="str">
        <f t="shared" si="2227"/>
        <v>NIL</v>
      </c>
      <c r="R5445" t="str">
        <f t="shared" si="2222"/>
        <v>Accepted</v>
      </c>
      <c r="S5445" t="str">
        <f t="shared" si="2209"/>
        <v>Approved</v>
      </c>
      <c r="T5445" t="str">
        <f t="shared" si="2223"/>
        <v>10.20.8.188</v>
      </c>
      <c r="U5445" t="str">
        <f t="shared" si="2210"/>
        <v>AZRAD UMAR BIN SHAARI</v>
      </c>
      <c r="V5445" t="str">
        <f t="shared" si="2211"/>
        <v>FARHANA BINTI MUSTAPA</v>
      </c>
      <c r="W5445" t="str">
        <f t="shared" si="2212"/>
        <v>04-08-2020</v>
      </c>
      <c r="X5445" t="str">
        <f t="shared" si="2213"/>
        <v>RAZIMAH ANSAR AHMAD</v>
      </c>
      <c r="Y5445" t="str">
        <f t="shared" si="2214"/>
        <v>04-08-2020</v>
      </c>
      <c r="Z5445" t="str">
        <f>"COS10200804 3709"</f>
        <v>COS10200804 3709</v>
      </c>
    </row>
    <row r="5446" spans="1:26" x14ac:dyDescent="0.25">
      <c r="A5446" t="str">
        <f t="shared" si="2224"/>
        <v>04-08-2020 12:46:39</v>
      </c>
      <c r="B5446" t="str">
        <f>"0000805481"</f>
        <v>0000805481</v>
      </c>
      <c r="C5446" t="str">
        <f t="shared" si="2225"/>
        <v>0000805373</v>
      </c>
      <c r="D5446" t="str">
        <f t="shared" si="2204"/>
        <v>73185</v>
      </c>
      <c r="E5446" t="str">
        <f t="shared" si="2205"/>
        <v>KFH-OPERATIONS DEPARTMENT</v>
      </c>
      <c r="F5446" t="str">
        <f t="shared" si="2206"/>
        <v>IBG</v>
      </c>
      <c r="G5446" t="str">
        <f t="shared" si="2219"/>
        <v>Refund COSHARE 10</v>
      </c>
      <c r="H5446" s="2">
        <v>940.25</v>
      </c>
      <c r="I5446" t="str">
        <f>"WATIMEH BINTI JAIL"</f>
        <v>WATIMEH BINTI JAIL</v>
      </c>
      <c r="J5446" t="str">
        <f t="shared" si="2228"/>
        <v>CIMB BANK / CIMB ISLAMIC BANK</v>
      </c>
      <c r="K5446" t="str">
        <f>"10060029822523"</f>
        <v>10060029822523</v>
      </c>
      <c r="L5446" t="str">
        <f t="shared" si="2226"/>
        <v>04-08-2020</v>
      </c>
      <c r="M5446" t="str">
        <f t="shared" si="2226"/>
        <v>04-08-2020</v>
      </c>
      <c r="N5446" t="str">
        <f t="shared" si="2207"/>
        <v>001105018356</v>
      </c>
      <c r="O5446" t="str">
        <f t="shared" si="2208"/>
        <v>MYR</v>
      </c>
      <c r="P5446" t="str">
        <f t="shared" si="2227"/>
        <v>NIL</v>
      </c>
      <c r="Q5446" t="str">
        <f t="shared" si="2227"/>
        <v>NIL</v>
      </c>
      <c r="R5446" t="str">
        <f t="shared" si="2222"/>
        <v>Accepted</v>
      </c>
      <c r="S5446" t="str">
        <f t="shared" si="2209"/>
        <v>Approved</v>
      </c>
      <c r="T5446" t="str">
        <f t="shared" si="2223"/>
        <v>10.20.8.188</v>
      </c>
      <c r="U5446" t="str">
        <f t="shared" si="2210"/>
        <v>AZRAD UMAR BIN SHAARI</v>
      </c>
      <c r="V5446" t="str">
        <f t="shared" si="2211"/>
        <v>FARHANA BINTI MUSTAPA</v>
      </c>
      <c r="W5446" t="str">
        <f t="shared" si="2212"/>
        <v>04-08-2020</v>
      </c>
      <c r="X5446" t="str">
        <f t="shared" si="2213"/>
        <v>RAZIMAH ANSAR AHMAD</v>
      </c>
      <c r="Y5446" t="str">
        <f t="shared" si="2214"/>
        <v>04-08-2020</v>
      </c>
      <c r="Z5446" t="str">
        <f>"COS10200804 3708"</f>
        <v>COS10200804 3708</v>
      </c>
    </row>
    <row r="5447" spans="1:26" x14ac:dyDescent="0.25">
      <c r="A5447" t="str">
        <f t="shared" si="2224"/>
        <v>04-08-2020 12:46:39</v>
      </c>
      <c r="B5447" t="str">
        <f>"0000805480"</f>
        <v>0000805480</v>
      </c>
      <c r="C5447" t="str">
        <f t="shared" si="2225"/>
        <v>0000805373</v>
      </c>
      <c r="D5447" t="str">
        <f t="shared" ref="D5447:D5510" si="2229">"73185"</f>
        <v>73185</v>
      </c>
      <c r="E5447" t="str">
        <f t="shared" ref="E5447:E5510" si="2230">"KFH-OPERATIONS DEPARTMENT"</f>
        <v>KFH-OPERATIONS DEPARTMENT</v>
      </c>
      <c r="F5447" t="str">
        <f t="shared" ref="F5447:F5510" si="2231">"IBG"</f>
        <v>IBG</v>
      </c>
      <c r="G5447" t="str">
        <f t="shared" si="2219"/>
        <v>Refund COSHARE 10</v>
      </c>
      <c r="H5447" s="2">
        <v>839.5</v>
      </c>
      <c r="I5447" t="str">
        <f>"WAN ZULKHAIRI BIN WAN HAMAT"</f>
        <v>WAN ZULKHAIRI BIN WAN HAMAT</v>
      </c>
      <c r="J5447" t="str">
        <f t="shared" si="2228"/>
        <v>CIMB BANK / CIMB ISLAMIC BANK</v>
      </c>
      <c r="K5447" t="str">
        <f>"10040072451520"</f>
        <v>10040072451520</v>
      </c>
      <c r="L5447" t="str">
        <f t="shared" ref="L5447:M5466" si="2232">"04-08-2020"</f>
        <v>04-08-2020</v>
      </c>
      <c r="M5447" t="str">
        <f t="shared" si="2232"/>
        <v>04-08-2020</v>
      </c>
      <c r="N5447" t="str">
        <f t="shared" ref="N5447:N5510" si="2233">"001105018356"</f>
        <v>001105018356</v>
      </c>
      <c r="O5447" t="str">
        <f t="shared" ref="O5447:O5510" si="2234">"MYR"</f>
        <v>MYR</v>
      </c>
      <c r="P5447" t="str">
        <f t="shared" ref="P5447:Q5466" si="2235">"NIL"</f>
        <v>NIL</v>
      </c>
      <c r="Q5447" t="str">
        <f t="shared" si="2235"/>
        <v>NIL</v>
      </c>
      <c r="R5447" t="str">
        <f t="shared" si="2222"/>
        <v>Accepted</v>
      </c>
      <c r="S5447" t="str">
        <f t="shared" ref="S5447:S5510" si="2236">"Approved"</f>
        <v>Approved</v>
      </c>
      <c r="T5447" t="str">
        <f t="shared" si="2223"/>
        <v>10.20.8.188</v>
      </c>
      <c r="U5447" t="str">
        <f t="shared" ref="U5447:U5510" si="2237">"AZRAD UMAR BIN SHAARI"</f>
        <v>AZRAD UMAR BIN SHAARI</v>
      </c>
      <c r="V5447" t="str">
        <f t="shared" ref="V5447:V5510" si="2238">"FARHANA BINTI MUSTAPA"</f>
        <v>FARHANA BINTI MUSTAPA</v>
      </c>
      <c r="W5447" t="str">
        <f t="shared" ref="W5447:W5510" si="2239">"04-08-2020"</f>
        <v>04-08-2020</v>
      </c>
      <c r="X5447" t="str">
        <f t="shared" ref="X5447:X5510" si="2240">"RAZIMAH ANSAR AHMAD"</f>
        <v>RAZIMAH ANSAR AHMAD</v>
      </c>
      <c r="Y5447" t="str">
        <f t="shared" ref="Y5447:Y5510" si="2241">"04-08-2020"</f>
        <v>04-08-2020</v>
      </c>
      <c r="Z5447" t="str">
        <f>"COS10200804 3707"</f>
        <v>COS10200804 3707</v>
      </c>
    </row>
    <row r="5448" spans="1:26" x14ac:dyDescent="0.25">
      <c r="A5448" t="str">
        <f t="shared" si="2224"/>
        <v>04-08-2020 12:46:39</v>
      </c>
      <c r="B5448" t="str">
        <f>"0000805479"</f>
        <v>0000805479</v>
      </c>
      <c r="C5448" t="str">
        <f t="shared" si="2225"/>
        <v>0000805373</v>
      </c>
      <c r="D5448" t="str">
        <f t="shared" si="2229"/>
        <v>73185</v>
      </c>
      <c r="E5448" t="str">
        <f t="shared" si="2230"/>
        <v>KFH-OPERATIONS DEPARTMENT</v>
      </c>
      <c r="F5448" t="str">
        <f t="shared" si="2231"/>
        <v>IBG</v>
      </c>
      <c r="G5448" t="str">
        <f t="shared" si="2219"/>
        <v>Refund COSHARE 10</v>
      </c>
      <c r="H5448" s="2">
        <v>251.85</v>
      </c>
      <c r="I5448" t="str">
        <f>"WAN SURYAIDA BINTI WAN SHUHAIMI"</f>
        <v>WAN SURYAIDA BINTI WAN SHUHAIMI</v>
      </c>
      <c r="J5448" t="str">
        <f t="shared" si="2228"/>
        <v>CIMB BANK / CIMB ISLAMIC BANK</v>
      </c>
      <c r="K5448" t="str">
        <f>"08030107703521"</f>
        <v>08030107703521</v>
      </c>
      <c r="L5448" t="str">
        <f t="shared" si="2232"/>
        <v>04-08-2020</v>
      </c>
      <c r="M5448" t="str">
        <f t="shared" si="2232"/>
        <v>04-08-2020</v>
      </c>
      <c r="N5448" t="str">
        <f t="shared" si="2233"/>
        <v>001105018356</v>
      </c>
      <c r="O5448" t="str">
        <f t="shared" si="2234"/>
        <v>MYR</v>
      </c>
      <c r="P5448" t="str">
        <f t="shared" si="2235"/>
        <v>NIL</v>
      </c>
      <c r="Q5448" t="str">
        <f t="shared" si="2235"/>
        <v>NIL</v>
      </c>
      <c r="R5448" t="str">
        <f t="shared" si="2222"/>
        <v>Accepted</v>
      </c>
      <c r="S5448" t="str">
        <f t="shared" si="2236"/>
        <v>Approved</v>
      </c>
      <c r="T5448" t="str">
        <f t="shared" si="2223"/>
        <v>10.20.8.188</v>
      </c>
      <c r="U5448" t="str">
        <f t="shared" si="2237"/>
        <v>AZRAD UMAR BIN SHAARI</v>
      </c>
      <c r="V5448" t="str">
        <f t="shared" si="2238"/>
        <v>FARHANA BINTI MUSTAPA</v>
      </c>
      <c r="W5448" t="str">
        <f t="shared" si="2239"/>
        <v>04-08-2020</v>
      </c>
      <c r="X5448" t="str">
        <f t="shared" si="2240"/>
        <v>RAZIMAH ANSAR AHMAD</v>
      </c>
      <c r="Y5448" t="str">
        <f t="shared" si="2241"/>
        <v>04-08-2020</v>
      </c>
      <c r="Z5448" t="str">
        <f>"COS10200804 3706"</f>
        <v>COS10200804 3706</v>
      </c>
    </row>
    <row r="5449" spans="1:26" x14ac:dyDescent="0.25">
      <c r="A5449" t="str">
        <f t="shared" si="2224"/>
        <v>04-08-2020 12:46:39</v>
      </c>
      <c r="B5449" t="str">
        <f>"0000805478"</f>
        <v>0000805478</v>
      </c>
      <c r="C5449" t="str">
        <f t="shared" si="2225"/>
        <v>0000805373</v>
      </c>
      <c r="D5449" t="str">
        <f t="shared" si="2229"/>
        <v>73185</v>
      </c>
      <c r="E5449" t="str">
        <f t="shared" si="2230"/>
        <v>KFH-OPERATIONS DEPARTMENT</v>
      </c>
      <c r="F5449" t="str">
        <f t="shared" si="2231"/>
        <v>IBG</v>
      </c>
      <c r="G5449" t="str">
        <f t="shared" si="2219"/>
        <v>Refund COSHARE 10</v>
      </c>
      <c r="H5449" s="2">
        <v>394.55</v>
      </c>
      <c r="I5449" t="str">
        <f>"WAN SITI ZAINAB BINTI WAN NAWANG"</f>
        <v>WAN SITI ZAINAB BINTI WAN NAWANG</v>
      </c>
      <c r="J5449" t="str">
        <f t="shared" si="2228"/>
        <v>CIMB BANK / CIMB ISLAMIC BANK</v>
      </c>
      <c r="K5449" t="str">
        <f>"03080014093529"</f>
        <v>03080014093529</v>
      </c>
      <c r="L5449" t="str">
        <f t="shared" si="2232"/>
        <v>04-08-2020</v>
      </c>
      <c r="M5449" t="str">
        <f t="shared" si="2232"/>
        <v>04-08-2020</v>
      </c>
      <c r="N5449" t="str">
        <f t="shared" si="2233"/>
        <v>001105018356</v>
      </c>
      <c r="O5449" t="str">
        <f t="shared" si="2234"/>
        <v>MYR</v>
      </c>
      <c r="P5449" t="str">
        <f t="shared" si="2235"/>
        <v>NIL</v>
      </c>
      <c r="Q5449" t="str">
        <f t="shared" si="2235"/>
        <v>NIL</v>
      </c>
      <c r="R5449" t="str">
        <f t="shared" si="2222"/>
        <v>Accepted</v>
      </c>
      <c r="S5449" t="str">
        <f t="shared" si="2236"/>
        <v>Approved</v>
      </c>
      <c r="T5449" t="str">
        <f t="shared" si="2223"/>
        <v>10.20.8.188</v>
      </c>
      <c r="U5449" t="str">
        <f t="shared" si="2237"/>
        <v>AZRAD UMAR BIN SHAARI</v>
      </c>
      <c r="V5449" t="str">
        <f t="shared" si="2238"/>
        <v>FARHANA BINTI MUSTAPA</v>
      </c>
      <c r="W5449" t="str">
        <f t="shared" si="2239"/>
        <v>04-08-2020</v>
      </c>
      <c r="X5449" t="str">
        <f t="shared" si="2240"/>
        <v>RAZIMAH ANSAR AHMAD</v>
      </c>
      <c r="Y5449" t="str">
        <f t="shared" si="2241"/>
        <v>04-08-2020</v>
      </c>
      <c r="Z5449" t="str">
        <f>"COS10200804 3705"</f>
        <v>COS10200804 3705</v>
      </c>
    </row>
    <row r="5450" spans="1:26" x14ac:dyDescent="0.25">
      <c r="A5450" t="str">
        <f t="shared" ref="A5450:A5481" si="2242">"04-08-2020 12:46:39"</f>
        <v>04-08-2020 12:46:39</v>
      </c>
      <c r="B5450" t="str">
        <f>"0000805477"</f>
        <v>0000805477</v>
      </c>
      <c r="C5450" t="str">
        <f t="shared" ref="C5450:C5481" si="2243">"0000805373"</f>
        <v>0000805373</v>
      </c>
      <c r="D5450" t="str">
        <f t="shared" si="2229"/>
        <v>73185</v>
      </c>
      <c r="E5450" t="str">
        <f t="shared" si="2230"/>
        <v>KFH-OPERATIONS DEPARTMENT</v>
      </c>
      <c r="F5450" t="str">
        <f t="shared" si="2231"/>
        <v>IBG</v>
      </c>
      <c r="G5450" t="str">
        <f t="shared" si="2219"/>
        <v>Refund COSHARE 10</v>
      </c>
      <c r="H5450" s="2">
        <v>453.35</v>
      </c>
      <c r="I5450" t="str">
        <f>"WAN SITI NOR MARJAN BINTI WAN OMAR"</f>
        <v>WAN SITI NOR MARJAN BINTI WAN OMAR</v>
      </c>
      <c r="J5450" t="str">
        <f t="shared" si="2228"/>
        <v>CIMB BANK / CIMB ISLAMIC BANK</v>
      </c>
      <c r="K5450" t="str">
        <f>"08200001146527"</f>
        <v>08200001146527</v>
      </c>
      <c r="L5450" t="str">
        <f t="shared" si="2232"/>
        <v>04-08-2020</v>
      </c>
      <c r="M5450" t="str">
        <f t="shared" si="2232"/>
        <v>04-08-2020</v>
      </c>
      <c r="N5450" t="str">
        <f t="shared" si="2233"/>
        <v>001105018356</v>
      </c>
      <c r="O5450" t="str">
        <f t="shared" si="2234"/>
        <v>MYR</v>
      </c>
      <c r="P5450" t="str">
        <f t="shared" si="2235"/>
        <v>NIL</v>
      </c>
      <c r="Q5450" t="str">
        <f t="shared" si="2235"/>
        <v>NIL</v>
      </c>
      <c r="R5450" t="str">
        <f t="shared" si="2222"/>
        <v>Accepted</v>
      </c>
      <c r="S5450" t="str">
        <f t="shared" si="2236"/>
        <v>Approved</v>
      </c>
      <c r="T5450" t="str">
        <f t="shared" si="2223"/>
        <v>10.20.8.188</v>
      </c>
      <c r="U5450" t="str">
        <f t="shared" si="2237"/>
        <v>AZRAD UMAR BIN SHAARI</v>
      </c>
      <c r="V5450" t="str">
        <f t="shared" si="2238"/>
        <v>FARHANA BINTI MUSTAPA</v>
      </c>
      <c r="W5450" t="str">
        <f t="shared" si="2239"/>
        <v>04-08-2020</v>
      </c>
      <c r="X5450" t="str">
        <f t="shared" si="2240"/>
        <v>RAZIMAH ANSAR AHMAD</v>
      </c>
      <c r="Y5450" t="str">
        <f t="shared" si="2241"/>
        <v>04-08-2020</v>
      </c>
      <c r="Z5450" t="str">
        <f>"COS10200804 3704"</f>
        <v>COS10200804 3704</v>
      </c>
    </row>
    <row r="5451" spans="1:26" x14ac:dyDescent="0.25">
      <c r="A5451" t="str">
        <f t="shared" si="2242"/>
        <v>04-08-2020 12:46:39</v>
      </c>
      <c r="B5451" t="str">
        <f>"0000805476"</f>
        <v>0000805476</v>
      </c>
      <c r="C5451" t="str">
        <f t="shared" si="2243"/>
        <v>0000805373</v>
      </c>
      <c r="D5451" t="str">
        <f t="shared" si="2229"/>
        <v>73185</v>
      </c>
      <c r="E5451" t="str">
        <f t="shared" si="2230"/>
        <v>KFH-OPERATIONS DEPARTMENT</v>
      </c>
      <c r="F5451" t="str">
        <f t="shared" si="2231"/>
        <v>IBG</v>
      </c>
      <c r="G5451" t="str">
        <f t="shared" si="2219"/>
        <v>Refund COSHARE 10</v>
      </c>
      <c r="H5451" s="2">
        <v>1000.85</v>
      </c>
      <c r="I5451" t="str">
        <f>"WAN SALMAH BINTI AHMAD"</f>
        <v>WAN SALMAH BINTI AHMAD</v>
      </c>
      <c r="J5451" t="str">
        <f t="shared" si="2228"/>
        <v>CIMB BANK / CIMB ISLAMIC BANK</v>
      </c>
      <c r="K5451" t="str">
        <f>"7007937715"</f>
        <v>7007937715</v>
      </c>
      <c r="L5451" t="str">
        <f t="shared" si="2232"/>
        <v>04-08-2020</v>
      </c>
      <c r="M5451" t="str">
        <f t="shared" si="2232"/>
        <v>04-08-2020</v>
      </c>
      <c r="N5451" t="str">
        <f t="shared" si="2233"/>
        <v>001105018356</v>
      </c>
      <c r="O5451" t="str">
        <f t="shared" si="2234"/>
        <v>MYR</v>
      </c>
      <c r="P5451" t="str">
        <f t="shared" si="2235"/>
        <v>NIL</v>
      </c>
      <c r="Q5451" t="str">
        <f t="shared" si="2235"/>
        <v>NIL</v>
      </c>
      <c r="R5451" t="str">
        <f t="shared" si="2222"/>
        <v>Accepted</v>
      </c>
      <c r="S5451" t="str">
        <f t="shared" si="2236"/>
        <v>Approved</v>
      </c>
      <c r="T5451" t="str">
        <f t="shared" si="2223"/>
        <v>10.20.8.188</v>
      </c>
      <c r="U5451" t="str">
        <f t="shared" si="2237"/>
        <v>AZRAD UMAR BIN SHAARI</v>
      </c>
      <c r="V5451" t="str">
        <f t="shared" si="2238"/>
        <v>FARHANA BINTI MUSTAPA</v>
      </c>
      <c r="W5451" t="str">
        <f t="shared" si="2239"/>
        <v>04-08-2020</v>
      </c>
      <c r="X5451" t="str">
        <f t="shared" si="2240"/>
        <v>RAZIMAH ANSAR AHMAD</v>
      </c>
      <c r="Y5451" t="str">
        <f t="shared" si="2241"/>
        <v>04-08-2020</v>
      </c>
      <c r="Z5451" t="str">
        <f>"COS10200804 3703"</f>
        <v>COS10200804 3703</v>
      </c>
    </row>
    <row r="5452" spans="1:26" x14ac:dyDescent="0.25">
      <c r="A5452" t="str">
        <f t="shared" si="2242"/>
        <v>04-08-2020 12:46:39</v>
      </c>
      <c r="B5452" t="str">
        <f>"0000805475"</f>
        <v>0000805475</v>
      </c>
      <c r="C5452" t="str">
        <f t="shared" si="2243"/>
        <v>0000805373</v>
      </c>
      <c r="D5452" t="str">
        <f t="shared" si="2229"/>
        <v>73185</v>
      </c>
      <c r="E5452" t="str">
        <f t="shared" si="2230"/>
        <v>KFH-OPERATIONS DEPARTMENT</v>
      </c>
      <c r="F5452" t="str">
        <f t="shared" si="2231"/>
        <v>IBG</v>
      </c>
      <c r="G5452" t="str">
        <f t="shared" ref="G5452:G5515" si="2244">"Refund COSHARE 10"</f>
        <v>Refund COSHARE 10</v>
      </c>
      <c r="H5452" s="2">
        <v>923.45</v>
      </c>
      <c r="I5452" t="str">
        <f>"WAN ROZAINI BINTI WAN AHMAD"</f>
        <v>WAN ROZAINI BINTI WAN AHMAD</v>
      </c>
      <c r="J5452" t="str">
        <f t="shared" si="2228"/>
        <v>CIMB BANK / CIMB ISLAMIC BANK</v>
      </c>
      <c r="K5452" t="str">
        <f>"12760009578527"</f>
        <v>12760009578527</v>
      </c>
      <c r="L5452" t="str">
        <f t="shared" si="2232"/>
        <v>04-08-2020</v>
      </c>
      <c r="M5452" t="str">
        <f t="shared" si="2232"/>
        <v>04-08-2020</v>
      </c>
      <c r="N5452" t="str">
        <f t="shared" si="2233"/>
        <v>001105018356</v>
      </c>
      <c r="O5452" t="str">
        <f t="shared" si="2234"/>
        <v>MYR</v>
      </c>
      <c r="P5452" t="str">
        <f t="shared" si="2235"/>
        <v>NIL</v>
      </c>
      <c r="Q5452" t="str">
        <f t="shared" si="2235"/>
        <v>NIL</v>
      </c>
      <c r="R5452" t="str">
        <f t="shared" si="2222"/>
        <v>Accepted</v>
      </c>
      <c r="S5452" t="str">
        <f t="shared" si="2236"/>
        <v>Approved</v>
      </c>
      <c r="T5452" t="str">
        <f t="shared" si="2223"/>
        <v>10.20.8.188</v>
      </c>
      <c r="U5452" t="str">
        <f t="shared" si="2237"/>
        <v>AZRAD UMAR BIN SHAARI</v>
      </c>
      <c r="V5452" t="str">
        <f t="shared" si="2238"/>
        <v>FARHANA BINTI MUSTAPA</v>
      </c>
      <c r="W5452" t="str">
        <f t="shared" si="2239"/>
        <v>04-08-2020</v>
      </c>
      <c r="X5452" t="str">
        <f t="shared" si="2240"/>
        <v>RAZIMAH ANSAR AHMAD</v>
      </c>
      <c r="Y5452" t="str">
        <f t="shared" si="2241"/>
        <v>04-08-2020</v>
      </c>
      <c r="Z5452" t="str">
        <f>"COS10200804 3702"</f>
        <v>COS10200804 3702</v>
      </c>
    </row>
    <row r="5453" spans="1:26" x14ac:dyDescent="0.25">
      <c r="A5453" t="str">
        <f t="shared" si="2242"/>
        <v>04-08-2020 12:46:39</v>
      </c>
      <c r="B5453" t="str">
        <f>"0000805474"</f>
        <v>0000805474</v>
      </c>
      <c r="C5453" t="str">
        <f t="shared" si="2243"/>
        <v>0000805373</v>
      </c>
      <c r="D5453" t="str">
        <f t="shared" si="2229"/>
        <v>73185</v>
      </c>
      <c r="E5453" t="str">
        <f t="shared" si="2230"/>
        <v>KFH-OPERATIONS DEPARTMENT</v>
      </c>
      <c r="F5453" t="str">
        <f t="shared" si="2231"/>
        <v>IBG</v>
      </c>
      <c r="G5453" t="str">
        <f t="shared" si="2244"/>
        <v>Refund COSHARE 10</v>
      </c>
      <c r="H5453" s="2">
        <v>924</v>
      </c>
      <c r="I5453" t="str">
        <f>"WAN ROUZFAIZAL BIN WAN ROUZLAN"</f>
        <v>WAN ROUZFAIZAL BIN WAN ROUZLAN</v>
      </c>
      <c r="J5453" t="str">
        <f t="shared" si="2228"/>
        <v>CIMB BANK / CIMB ISLAMIC BANK</v>
      </c>
      <c r="K5453" t="str">
        <f>"7615218370"</f>
        <v>7615218370</v>
      </c>
      <c r="L5453" t="str">
        <f t="shared" si="2232"/>
        <v>04-08-2020</v>
      </c>
      <c r="M5453" t="str">
        <f t="shared" si="2232"/>
        <v>04-08-2020</v>
      </c>
      <c r="N5453" t="str">
        <f t="shared" si="2233"/>
        <v>001105018356</v>
      </c>
      <c r="O5453" t="str">
        <f t="shared" si="2234"/>
        <v>MYR</v>
      </c>
      <c r="P5453" t="str">
        <f t="shared" si="2235"/>
        <v>NIL</v>
      </c>
      <c r="Q5453" t="str">
        <f t="shared" si="2235"/>
        <v>NIL</v>
      </c>
      <c r="R5453" t="str">
        <f t="shared" si="2222"/>
        <v>Accepted</v>
      </c>
      <c r="S5453" t="str">
        <f t="shared" si="2236"/>
        <v>Approved</v>
      </c>
      <c r="T5453" t="str">
        <f t="shared" si="2223"/>
        <v>10.20.8.188</v>
      </c>
      <c r="U5453" t="str">
        <f t="shared" si="2237"/>
        <v>AZRAD UMAR BIN SHAARI</v>
      </c>
      <c r="V5453" t="str">
        <f t="shared" si="2238"/>
        <v>FARHANA BINTI MUSTAPA</v>
      </c>
      <c r="W5453" t="str">
        <f t="shared" si="2239"/>
        <v>04-08-2020</v>
      </c>
      <c r="X5453" t="str">
        <f t="shared" si="2240"/>
        <v>RAZIMAH ANSAR AHMAD</v>
      </c>
      <c r="Y5453" t="str">
        <f t="shared" si="2241"/>
        <v>04-08-2020</v>
      </c>
      <c r="Z5453" t="str">
        <f>"COS10200804 3701"</f>
        <v>COS10200804 3701</v>
      </c>
    </row>
    <row r="5454" spans="1:26" x14ac:dyDescent="0.25">
      <c r="A5454" t="str">
        <f t="shared" si="2242"/>
        <v>04-08-2020 12:46:39</v>
      </c>
      <c r="B5454" t="str">
        <f>"0000805473"</f>
        <v>0000805473</v>
      </c>
      <c r="C5454" t="str">
        <f t="shared" si="2243"/>
        <v>0000805373</v>
      </c>
      <c r="D5454" t="str">
        <f t="shared" si="2229"/>
        <v>73185</v>
      </c>
      <c r="E5454" t="str">
        <f t="shared" si="2230"/>
        <v>KFH-OPERATIONS DEPARTMENT</v>
      </c>
      <c r="F5454" t="str">
        <f t="shared" si="2231"/>
        <v>IBG</v>
      </c>
      <c r="G5454" t="str">
        <f t="shared" si="2244"/>
        <v>Refund COSHARE 10</v>
      </c>
      <c r="H5454" s="2">
        <v>1518</v>
      </c>
      <c r="I5454" t="str">
        <f>"WAN RIKINO BIN WAN IBRAHIM"</f>
        <v>WAN RIKINO BIN WAN IBRAHIM</v>
      </c>
      <c r="J5454" t="str">
        <f t="shared" si="2228"/>
        <v>CIMB BANK / CIMB ISLAMIC BANK</v>
      </c>
      <c r="K5454" t="str">
        <f>"7001844893"</f>
        <v>7001844893</v>
      </c>
      <c r="L5454" t="str">
        <f t="shared" si="2232"/>
        <v>04-08-2020</v>
      </c>
      <c r="M5454" t="str">
        <f t="shared" si="2232"/>
        <v>04-08-2020</v>
      </c>
      <c r="N5454" t="str">
        <f t="shared" si="2233"/>
        <v>001105018356</v>
      </c>
      <c r="O5454" t="str">
        <f t="shared" si="2234"/>
        <v>MYR</v>
      </c>
      <c r="P5454" t="str">
        <f t="shared" si="2235"/>
        <v>NIL</v>
      </c>
      <c r="Q5454" t="str">
        <f t="shared" si="2235"/>
        <v>NIL</v>
      </c>
      <c r="R5454" t="str">
        <f t="shared" si="2222"/>
        <v>Accepted</v>
      </c>
      <c r="S5454" t="str">
        <f t="shared" si="2236"/>
        <v>Approved</v>
      </c>
      <c r="T5454" t="str">
        <f t="shared" si="2223"/>
        <v>10.20.8.188</v>
      </c>
      <c r="U5454" t="str">
        <f t="shared" si="2237"/>
        <v>AZRAD UMAR BIN SHAARI</v>
      </c>
      <c r="V5454" t="str">
        <f t="shared" si="2238"/>
        <v>FARHANA BINTI MUSTAPA</v>
      </c>
      <c r="W5454" t="str">
        <f t="shared" si="2239"/>
        <v>04-08-2020</v>
      </c>
      <c r="X5454" t="str">
        <f t="shared" si="2240"/>
        <v>RAZIMAH ANSAR AHMAD</v>
      </c>
      <c r="Y5454" t="str">
        <f t="shared" si="2241"/>
        <v>04-08-2020</v>
      </c>
      <c r="Z5454" t="str">
        <f>"COS10200804 3700"</f>
        <v>COS10200804 3700</v>
      </c>
    </row>
    <row r="5455" spans="1:26" x14ac:dyDescent="0.25">
      <c r="A5455" t="str">
        <f t="shared" si="2242"/>
        <v>04-08-2020 12:46:39</v>
      </c>
      <c r="B5455" t="str">
        <f>"0000805472"</f>
        <v>0000805472</v>
      </c>
      <c r="C5455" t="str">
        <f t="shared" si="2243"/>
        <v>0000805373</v>
      </c>
      <c r="D5455" t="str">
        <f t="shared" si="2229"/>
        <v>73185</v>
      </c>
      <c r="E5455" t="str">
        <f t="shared" si="2230"/>
        <v>KFH-OPERATIONS DEPARTMENT</v>
      </c>
      <c r="F5455" t="str">
        <f t="shared" si="2231"/>
        <v>IBG</v>
      </c>
      <c r="G5455" t="str">
        <f t="shared" si="2244"/>
        <v>Refund COSHARE 10</v>
      </c>
      <c r="H5455" s="2">
        <v>151.15</v>
      </c>
      <c r="I5455" t="str">
        <f>"WAN RAMIZUL FAUZAN BIN WAN SAMSUDDIN"</f>
        <v>WAN RAMIZUL FAUZAN BIN WAN SAMSUDDIN</v>
      </c>
      <c r="J5455" t="str">
        <f t="shared" si="2228"/>
        <v>CIMB BANK / CIMB ISLAMIC BANK</v>
      </c>
      <c r="K5455" t="str">
        <f>"13080007684526"</f>
        <v>13080007684526</v>
      </c>
      <c r="L5455" t="str">
        <f t="shared" si="2232"/>
        <v>04-08-2020</v>
      </c>
      <c r="M5455" t="str">
        <f t="shared" si="2232"/>
        <v>04-08-2020</v>
      </c>
      <c r="N5455" t="str">
        <f t="shared" si="2233"/>
        <v>001105018356</v>
      </c>
      <c r="O5455" t="str">
        <f t="shared" si="2234"/>
        <v>MYR</v>
      </c>
      <c r="P5455" t="str">
        <f t="shared" si="2235"/>
        <v>NIL</v>
      </c>
      <c r="Q5455" t="str">
        <f t="shared" si="2235"/>
        <v>NIL</v>
      </c>
      <c r="R5455" t="str">
        <f t="shared" si="2222"/>
        <v>Accepted</v>
      </c>
      <c r="S5455" t="str">
        <f t="shared" si="2236"/>
        <v>Approved</v>
      </c>
      <c r="T5455" t="str">
        <f t="shared" si="2223"/>
        <v>10.20.8.188</v>
      </c>
      <c r="U5455" t="str">
        <f t="shared" si="2237"/>
        <v>AZRAD UMAR BIN SHAARI</v>
      </c>
      <c r="V5455" t="str">
        <f t="shared" si="2238"/>
        <v>FARHANA BINTI MUSTAPA</v>
      </c>
      <c r="W5455" t="str">
        <f t="shared" si="2239"/>
        <v>04-08-2020</v>
      </c>
      <c r="X5455" t="str">
        <f t="shared" si="2240"/>
        <v>RAZIMAH ANSAR AHMAD</v>
      </c>
      <c r="Y5455" t="str">
        <f t="shared" si="2241"/>
        <v>04-08-2020</v>
      </c>
      <c r="Z5455" t="str">
        <f>"COS10200804 3699"</f>
        <v>COS10200804 3699</v>
      </c>
    </row>
    <row r="5456" spans="1:26" x14ac:dyDescent="0.25">
      <c r="A5456" t="str">
        <f t="shared" si="2242"/>
        <v>04-08-2020 12:46:39</v>
      </c>
      <c r="B5456" t="str">
        <f>"0000805471"</f>
        <v>0000805471</v>
      </c>
      <c r="C5456" t="str">
        <f t="shared" si="2243"/>
        <v>0000805373</v>
      </c>
      <c r="D5456" t="str">
        <f t="shared" si="2229"/>
        <v>73185</v>
      </c>
      <c r="E5456" t="str">
        <f t="shared" si="2230"/>
        <v>KFH-OPERATIONS DEPARTMENT</v>
      </c>
      <c r="F5456" t="str">
        <f t="shared" si="2231"/>
        <v>IBG</v>
      </c>
      <c r="G5456" t="str">
        <f t="shared" si="2244"/>
        <v>Refund COSHARE 10</v>
      </c>
      <c r="H5456" s="2">
        <v>184.7</v>
      </c>
      <c r="I5456" t="str">
        <f>"WAN NUR FARAHDILLA BINTI WAN MOHD FAUZI"</f>
        <v>WAN NUR FARAHDILLA BINTI WAN MOHD FAUZI</v>
      </c>
      <c r="J5456" t="str">
        <f t="shared" si="2228"/>
        <v>CIMB BANK / CIMB ISLAMIC BANK</v>
      </c>
      <c r="K5456" t="str">
        <f>"16010009381524"</f>
        <v>16010009381524</v>
      </c>
      <c r="L5456" t="str">
        <f t="shared" si="2232"/>
        <v>04-08-2020</v>
      </c>
      <c r="M5456" t="str">
        <f t="shared" si="2232"/>
        <v>04-08-2020</v>
      </c>
      <c r="N5456" t="str">
        <f t="shared" si="2233"/>
        <v>001105018356</v>
      </c>
      <c r="O5456" t="str">
        <f t="shared" si="2234"/>
        <v>MYR</v>
      </c>
      <c r="P5456" t="str">
        <f t="shared" si="2235"/>
        <v>NIL</v>
      </c>
      <c r="Q5456" t="str">
        <f t="shared" si="2235"/>
        <v>NIL</v>
      </c>
      <c r="R5456" t="str">
        <f t="shared" si="2222"/>
        <v>Accepted</v>
      </c>
      <c r="S5456" t="str">
        <f t="shared" si="2236"/>
        <v>Approved</v>
      </c>
      <c r="T5456" t="str">
        <f t="shared" si="2223"/>
        <v>10.20.8.188</v>
      </c>
      <c r="U5456" t="str">
        <f t="shared" si="2237"/>
        <v>AZRAD UMAR BIN SHAARI</v>
      </c>
      <c r="V5456" t="str">
        <f t="shared" si="2238"/>
        <v>FARHANA BINTI MUSTAPA</v>
      </c>
      <c r="W5456" t="str">
        <f t="shared" si="2239"/>
        <v>04-08-2020</v>
      </c>
      <c r="X5456" t="str">
        <f t="shared" si="2240"/>
        <v>RAZIMAH ANSAR AHMAD</v>
      </c>
      <c r="Y5456" t="str">
        <f t="shared" si="2241"/>
        <v>04-08-2020</v>
      </c>
      <c r="Z5456" t="str">
        <f>"COS10200804 3698"</f>
        <v>COS10200804 3698</v>
      </c>
    </row>
    <row r="5457" spans="1:26" x14ac:dyDescent="0.25">
      <c r="A5457" t="str">
        <f t="shared" si="2242"/>
        <v>04-08-2020 12:46:39</v>
      </c>
      <c r="B5457" t="str">
        <f>"0000805470"</f>
        <v>0000805470</v>
      </c>
      <c r="C5457" t="str">
        <f t="shared" si="2243"/>
        <v>0000805373</v>
      </c>
      <c r="D5457" t="str">
        <f t="shared" si="2229"/>
        <v>73185</v>
      </c>
      <c r="E5457" t="str">
        <f t="shared" si="2230"/>
        <v>KFH-OPERATIONS DEPARTMENT</v>
      </c>
      <c r="F5457" t="str">
        <f t="shared" si="2231"/>
        <v>IBG</v>
      </c>
      <c r="G5457" t="str">
        <f t="shared" si="2244"/>
        <v>Refund COSHARE 10</v>
      </c>
      <c r="H5457" s="2">
        <v>335.8</v>
      </c>
      <c r="I5457" t="str">
        <f>"WAN NORHASNI BINTI W MAMAT"</f>
        <v>WAN NORHASNI BINTI W MAMAT</v>
      </c>
      <c r="J5457" t="str">
        <f t="shared" si="2228"/>
        <v>CIMB BANK / CIMB ISLAMIC BANK</v>
      </c>
      <c r="K5457" t="str">
        <f>"7600233751"</f>
        <v>7600233751</v>
      </c>
      <c r="L5457" t="str">
        <f t="shared" si="2232"/>
        <v>04-08-2020</v>
      </c>
      <c r="M5457" t="str">
        <f t="shared" si="2232"/>
        <v>04-08-2020</v>
      </c>
      <c r="N5457" t="str">
        <f t="shared" si="2233"/>
        <v>001105018356</v>
      </c>
      <c r="O5457" t="str">
        <f t="shared" si="2234"/>
        <v>MYR</v>
      </c>
      <c r="P5457" t="str">
        <f t="shared" si="2235"/>
        <v>NIL</v>
      </c>
      <c r="Q5457" t="str">
        <f t="shared" si="2235"/>
        <v>NIL</v>
      </c>
      <c r="R5457" t="str">
        <f t="shared" si="2222"/>
        <v>Accepted</v>
      </c>
      <c r="S5457" t="str">
        <f t="shared" si="2236"/>
        <v>Approved</v>
      </c>
      <c r="T5457" t="str">
        <f t="shared" si="2223"/>
        <v>10.20.8.188</v>
      </c>
      <c r="U5457" t="str">
        <f t="shared" si="2237"/>
        <v>AZRAD UMAR BIN SHAARI</v>
      </c>
      <c r="V5457" t="str">
        <f t="shared" si="2238"/>
        <v>FARHANA BINTI MUSTAPA</v>
      </c>
      <c r="W5457" t="str">
        <f t="shared" si="2239"/>
        <v>04-08-2020</v>
      </c>
      <c r="X5457" t="str">
        <f t="shared" si="2240"/>
        <v>RAZIMAH ANSAR AHMAD</v>
      </c>
      <c r="Y5457" t="str">
        <f t="shared" si="2241"/>
        <v>04-08-2020</v>
      </c>
      <c r="Z5457" t="str">
        <f>"COS10200804 3697"</f>
        <v>COS10200804 3697</v>
      </c>
    </row>
    <row r="5458" spans="1:26" x14ac:dyDescent="0.25">
      <c r="A5458" t="str">
        <f t="shared" si="2242"/>
        <v>04-08-2020 12:46:39</v>
      </c>
      <c r="B5458" t="str">
        <f>"0000805469"</f>
        <v>0000805469</v>
      </c>
      <c r="C5458" t="str">
        <f t="shared" si="2243"/>
        <v>0000805373</v>
      </c>
      <c r="D5458" t="str">
        <f t="shared" si="2229"/>
        <v>73185</v>
      </c>
      <c r="E5458" t="str">
        <f t="shared" si="2230"/>
        <v>KFH-OPERATIONS DEPARTMENT</v>
      </c>
      <c r="F5458" t="str">
        <f t="shared" si="2231"/>
        <v>IBG</v>
      </c>
      <c r="G5458" t="str">
        <f t="shared" si="2244"/>
        <v>Refund COSHARE 10</v>
      </c>
      <c r="H5458" s="2">
        <v>304</v>
      </c>
      <c r="I5458" t="str">
        <f>"WAN NORHANA BINTI WAN IBRAHIM"</f>
        <v>WAN NORHANA BINTI WAN IBRAHIM</v>
      </c>
      <c r="J5458" t="str">
        <f t="shared" si="2228"/>
        <v>CIMB BANK / CIMB ISLAMIC BANK</v>
      </c>
      <c r="K5458" t="str">
        <f>"14400078274520"</f>
        <v>14400078274520</v>
      </c>
      <c r="L5458" t="str">
        <f t="shared" si="2232"/>
        <v>04-08-2020</v>
      </c>
      <c r="M5458" t="str">
        <f t="shared" si="2232"/>
        <v>04-08-2020</v>
      </c>
      <c r="N5458" t="str">
        <f t="shared" si="2233"/>
        <v>001105018356</v>
      </c>
      <c r="O5458" t="str">
        <f t="shared" si="2234"/>
        <v>MYR</v>
      </c>
      <c r="P5458" t="str">
        <f t="shared" si="2235"/>
        <v>NIL</v>
      </c>
      <c r="Q5458" t="str">
        <f t="shared" si="2235"/>
        <v>NIL</v>
      </c>
      <c r="R5458" t="str">
        <f t="shared" si="2222"/>
        <v>Accepted</v>
      </c>
      <c r="S5458" t="str">
        <f t="shared" si="2236"/>
        <v>Approved</v>
      </c>
      <c r="T5458" t="str">
        <f t="shared" si="2223"/>
        <v>10.20.8.188</v>
      </c>
      <c r="U5458" t="str">
        <f t="shared" si="2237"/>
        <v>AZRAD UMAR BIN SHAARI</v>
      </c>
      <c r="V5458" t="str">
        <f t="shared" si="2238"/>
        <v>FARHANA BINTI MUSTAPA</v>
      </c>
      <c r="W5458" t="str">
        <f t="shared" si="2239"/>
        <v>04-08-2020</v>
      </c>
      <c r="X5458" t="str">
        <f t="shared" si="2240"/>
        <v>RAZIMAH ANSAR AHMAD</v>
      </c>
      <c r="Y5458" t="str">
        <f t="shared" si="2241"/>
        <v>04-08-2020</v>
      </c>
      <c r="Z5458" t="str">
        <f>"COS10200804 3696"</f>
        <v>COS10200804 3696</v>
      </c>
    </row>
    <row r="5459" spans="1:26" x14ac:dyDescent="0.25">
      <c r="A5459" t="str">
        <f t="shared" si="2242"/>
        <v>04-08-2020 12:46:39</v>
      </c>
      <c r="B5459" t="str">
        <f>"0000805468"</f>
        <v>0000805468</v>
      </c>
      <c r="C5459" t="str">
        <f t="shared" si="2243"/>
        <v>0000805373</v>
      </c>
      <c r="D5459" t="str">
        <f t="shared" si="2229"/>
        <v>73185</v>
      </c>
      <c r="E5459" t="str">
        <f t="shared" si="2230"/>
        <v>KFH-OPERATIONS DEPARTMENT</v>
      </c>
      <c r="F5459" t="str">
        <f t="shared" si="2231"/>
        <v>IBG</v>
      </c>
      <c r="G5459" t="str">
        <f t="shared" si="2244"/>
        <v>Refund COSHARE 10</v>
      </c>
      <c r="H5459" s="2">
        <v>491.15</v>
      </c>
      <c r="I5459" t="str">
        <f>"WAN NORAZIEAN BINTI WAN ZAWAWI"</f>
        <v>WAN NORAZIEAN BINTI WAN ZAWAWI</v>
      </c>
      <c r="J5459" t="str">
        <f t="shared" si="2228"/>
        <v>CIMB BANK / CIMB ISLAMIC BANK</v>
      </c>
      <c r="K5459" t="str">
        <f>"03020007321208"</f>
        <v>03020007321208</v>
      </c>
      <c r="L5459" t="str">
        <f t="shared" si="2232"/>
        <v>04-08-2020</v>
      </c>
      <c r="M5459" t="str">
        <f t="shared" si="2232"/>
        <v>04-08-2020</v>
      </c>
      <c r="N5459" t="str">
        <f t="shared" si="2233"/>
        <v>001105018356</v>
      </c>
      <c r="O5459" t="str">
        <f t="shared" si="2234"/>
        <v>MYR</v>
      </c>
      <c r="P5459" t="str">
        <f t="shared" si="2235"/>
        <v>NIL</v>
      </c>
      <c r="Q5459" t="str">
        <f t="shared" si="2235"/>
        <v>NIL</v>
      </c>
      <c r="R5459" t="str">
        <f t="shared" si="2222"/>
        <v>Accepted</v>
      </c>
      <c r="S5459" t="str">
        <f t="shared" si="2236"/>
        <v>Approved</v>
      </c>
      <c r="T5459" t="str">
        <f t="shared" si="2223"/>
        <v>10.20.8.188</v>
      </c>
      <c r="U5459" t="str">
        <f t="shared" si="2237"/>
        <v>AZRAD UMAR BIN SHAARI</v>
      </c>
      <c r="V5459" t="str">
        <f t="shared" si="2238"/>
        <v>FARHANA BINTI MUSTAPA</v>
      </c>
      <c r="W5459" t="str">
        <f t="shared" si="2239"/>
        <v>04-08-2020</v>
      </c>
      <c r="X5459" t="str">
        <f t="shared" si="2240"/>
        <v>RAZIMAH ANSAR AHMAD</v>
      </c>
      <c r="Y5459" t="str">
        <f t="shared" si="2241"/>
        <v>04-08-2020</v>
      </c>
      <c r="Z5459" t="str">
        <f>"COS10200804 3695"</f>
        <v>COS10200804 3695</v>
      </c>
    </row>
    <row r="5460" spans="1:26" x14ac:dyDescent="0.25">
      <c r="A5460" t="str">
        <f t="shared" si="2242"/>
        <v>04-08-2020 12:46:39</v>
      </c>
      <c r="B5460" t="str">
        <f>"0000805467"</f>
        <v>0000805467</v>
      </c>
      <c r="C5460" t="str">
        <f t="shared" si="2243"/>
        <v>0000805373</v>
      </c>
      <c r="D5460" t="str">
        <f t="shared" si="2229"/>
        <v>73185</v>
      </c>
      <c r="E5460" t="str">
        <f t="shared" si="2230"/>
        <v>KFH-OPERATIONS DEPARTMENT</v>
      </c>
      <c r="F5460" t="str">
        <f t="shared" si="2231"/>
        <v>IBG</v>
      </c>
      <c r="G5460" t="str">
        <f t="shared" si="2244"/>
        <v>Refund COSHARE 10</v>
      </c>
      <c r="H5460" s="2">
        <v>1679</v>
      </c>
      <c r="I5460" t="str">
        <f>"WAN NOR AZIANI BINTI MOHD AZMI"</f>
        <v>WAN NOR AZIANI BINTI MOHD AZMI</v>
      </c>
      <c r="J5460" t="str">
        <f t="shared" si="2228"/>
        <v>CIMB BANK / CIMB ISLAMIC BANK</v>
      </c>
      <c r="K5460" t="str">
        <f>"7004611500"</f>
        <v>7004611500</v>
      </c>
      <c r="L5460" t="str">
        <f t="shared" si="2232"/>
        <v>04-08-2020</v>
      </c>
      <c r="M5460" t="str">
        <f t="shared" si="2232"/>
        <v>04-08-2020</v>
      </c>
      <c r="N5460" t="str">
        <f t="shared" si="2233"/>
        <v>001105018356</v>
      </c>
      <c r="O5460" t="str">
        <f t="shared" si="2234"/>
        <v>MYR</v>
      </c>
      <c r="P5460" t="str">
        <f t="shared" si="2235"/>
        <v>NIL</v>
      </c>
      <c r="Q5460" t="str">
        <f t="shared" si="2235"/>
        <v>NIL</v>
      </c>
      <c r="R5460" t="str">
        <f t="shared" si="2222"/>
        <v>Accepted</v>
      </c>
      <c r="S5460" t="str">
        <f t="shared" si="2236"/>
        <v>Approved</v>
      </c>
      <c r="T5460" t="str">
        <f t="shared" si="2223"/>
        <v>10.20.8.188</v>
      </c>
      <c r="U5460" t="str">
        <f t="shared" si="2237"/>
        <v>AZRAD UMAR BIN SHAARI</v>
      </c>
      <c r="V5460" t="str">
        <f t="shared" si="2238"/>
        <v>FARHANA BINTI MUSTAPA</v>
      </c>
      <c r="W5460" t="str">
        <f t="shared" si="2239"/>
        <v>04-08-2020</v>
      </c>
      <c r="X5460" t="str">
        <f t="shared" si="2240"/>
        <v>RAZIMAH ANSAR AHMAD</v>
      </c>
      <c r="Y5460" t="str">
        <f t="shared" si="2241"/>
        <v>04-08-2020</v>
      </c>
      <c r="Z5460" t="str">
        <f>"COS10200804 3694"</f>
        <v>COS10200804 3694</v>
      </c>
    </row>
    <row r="5461" spans="1:26" x14ac:dyDescent="0.25">
      <c r="A5461" t="str">
        <f t="shared" si="2242"/>
        <v>04-08-2020 12:46:39</v>
      </c>
      <c r="B5461" t="str">
        <f>"0000805466"</f>
        <v>0000805466</v>
      </c>
      <c r="C5461" t="str">
        <f t="shared" si="2243"/>
        <v>0000805373</v>
      </c>
      <c r="D5461" t="str">
        <f t="shared" si="2229"/>
        <v>73185</v>
      </c>
      <c r="E5461" t="str">
        <f t="shared" si="2230"/>
        <v>KFH-OPERATIONS DEPARTMENT</v>
      </c>
      <c r="F5461" t="str">
        <f t="shared" si="2231"/>
        <v>IBG</v>
      </c>
      <c r="G5461" t="str">
        <f t="shared" si="2244"/>
        <v>Refund COSHARE 10</v>
      </c>
      <c r="H5461" s="2">
        <v>906.65</v>
      </c>
      <c r="I5461" t="str">
        <f>"WAN NOOR HIDAYAH BINTI WAN ISMAIL"</f>
        <v>WAN NOOR HIDAYAH BINTI WAN ISMAIL</v>
      </c>
      <c r="J5461" t="str">
        <f t="shared" si="2228"/>
        <v>CIMB BANK / CIMB ISLAMIC BANK</v>
      </c>
      <c r="K5461" t="str">
        <f>"12560001757209"</f>
        <v>12560001757209</v>
      </c>
      <c r="L5461" t="str">
        <f t="shared" si="2232"/>
        <v>04-08-2020</v>
      </c>
      <c r="M5461" t="str">
        <f t="shared" si="2232"/>
        <v>04-08-2020</v>
      </c>
      <c r="N5461" t="str">
        <f t="shared" si="2233"/>
        <v>001105018356</v>
      </c>
      <c r="O5461" t="str">
        <f t="shared" si="2234"/>
        <v>MYR</v>
      </c>
      <c r="P5461" t="str">
        <f t="shared" si="2235"/>
        <v>NIL</v>
      </c>
      <c r="Q5461" t="str">
        <f t="shared" si="2235"/>
        <v>NIL</v>
      </c>
      <c r="R5461" t="str">
        <f t="shared" si="2222"/>
        <v>Accepted</v>
      </c>
      <c r="S5461" t="str">
        <f t="shared" si="2236"/>
        <v>Approved</v>
      </c>
      <c r="T5461" t="str">
        <f t="shared" si="2223"/>
        <v>10.20.8.188</v>
      </c>
      <c r="U5461" t="str">
        <f t="shared" si="2237"/>
        <v>AZRAD UMAR BIN SHAARI</v>
      </c>
      <c r="V5461" t="str">
        <f t="shared" si="2238"/>
        <v>FARHANA BINTI MUSTAPA</v>
      </c>
      <c r="W5461" t="str">
        <f t="shared" si="2239"/>
        <v>04-08-2020</v>
      </c>
      <c r="X5461" t="str">
        <f t="shared" si="2240"/>
        <v>RAZIMAH ANSAR AHMAD</v>
      </c>
      <c r="Y5461" t="str">
        <f t="shared" si="2241"/>
        <v>04-08-2020</v>
      </c>
      <c r="Z5461" t="str">
        <f>"COS10200804 3693"</f>
        <v>COS10200804 3693</v>
      </c>
    </row>
    <row r="5462" spans="1:26" x14ac:dyDescent="0.25">
      <c r="A5462" t="str">
        <f t="shared" si="2242"/>
        <v>04-08-2020 12:46:39</v>
      </c>
      <c r="B5462" t="str">
        <f>"0000805465"</f>
        <v>0000805465</v>
      </c>
      <c r="C5462" t="str">
        <f t="shared" si="2243"/>
        <v>0000805373</v>
      </c>
      <c r="D5462" t="str">
        <f t="shared" si="2229"/>
        <v>73185</v>
      </c>
      <c r="E5462" t="str">
        <f t="shared" si="2230"/>
        <v>KFH-OPERATIONS DEPARTMENT</v>
      </c>
      <c r="F5462" t="str">
        <f t="shared" si="2231"/>
        <v>IBG</v>
      </c>
      <c r="G5462" t="str">
        <f t="shared" si="2244"/>
        <v>Refund COSHARE 10</v>
      </c>
      <c r="H5462" s="2">
        <v>94.65</v>
      </c>
      <c r="I5462" t="str">
        <f>"WAN NOOR HAWANI BINTI WAN AB RAHMAN"</f>
        <v>WAN NOOR HAWANI BINTI WAN AB RAHMAN</v>
      </c>
      <c r="J5462" t="str">
        <f t="shared" si="2228"/>
        <v>CIMB BANK / CIMB ISLAMIC BANK</v>
      </c>
      <c r="K5462" t="str">
        <f>"12150058359525"</f>
        <v>12150058359525</v>
      </c>
      <c r="L5462" t="str">
        <f t="shared" si="2232"/>
        <v>04-08-2020</v>
      </c>
      <c r="M5462" t="str">
        <f t="shared" si="2232"/>
        <v>04-08-2020</v>
      </c>
      <c r="N5462" t="str">
        <f t="shared" si="2233"/>
        <v>001105018356</v>
      </c>
      <c r="O5462" t="str">
        <f t="shared" si="2234"/>
        <v>MYR</v>
      </c>
      <c r="P5462" t="str">
        <f t="shared" si="2235"/>
        <v>NIL</v>
      </c>
      <c r="Q5462" t="str">
        <f t="shared" si="2235"/>
        <v>NIL</v>
      </c>
      <c r="R5462" t="str">
        <f t="shared" si="2222"/>
        <v>Accepted</v>
      </c>
      <c r="S5462" t="str">
        <f t="shared" si="2236"/>
        <v>Approved</v>
      </c>
      <c r="T5462" t="str">
        <f t="shared" si="2223"/>
        <v>10.20.8.188</v>
      </c>
      <c r="U5462" t="str">
        <f t="shared" si="2237"/>
        <v>AZRAD UMAR BIN SHAARI</v>
      </c>
      <c r="V5462" t="str">
        <f t="shared" si="2238"/>
        <v>FARHANA BINTI MUSTAPA</v>
      </c>
      <c r="W5462" t="str">
        <f t="shared" si="2239"/>
        <v>04-08-2020</v>
      </c>
      <c r="X5462" t="str">
        <f t="shared" si="2240"/>
        <v>RAZIMAH ANSAR AHMAD</v>
      </c>
      <c r="Y5462" t="str">
        <f t="shared" si="2241"/>
        <v>04-08-2020</v>
      </c>
      <c r="Z5462" t="str">
        <f>"COS10200804 3692"</f>
        <v>COS10200804 3692</v>
      </c>
    </row>
    <row r="5463" spans="1:26" x14ac:dyDescent="0.25">
      <c r="A5463" t="str">
        <f t="shared" si="2242"/>
        <v>04-08-2020 12:46:39</v>
      </c>
      <c r="B5463" t="str">
        <f>"0000805464"</f>
        <v>0000805464</v>
      </c>
      <c r="C5463" t="str">
        <f t="shared" si="2243"/>
        <v>0000805373</v>
      </c>
      <c r="D5463" t="str">
        <f t="shared" si="2229"/>
        <v>73185</v>
      </c>
      <c r="E5463" t="str">
        <f t="shared" si="2230"/>
        <v>KFH-OPERATIONS DEPARTMENT</v>
      </c>
      <c r="F5463" t="str">
        <f t="shared" si="2231"/>
        <v>IBG</v>
      </c>
      <c r="G5463" t="str">
        <f t="shared" si="2244"/>
        <v>Refund COSHARE 10</v>
      </c>
      <c r="H5463" s="2">
        <v>755.55</v>
      </c>
      <c r="I5463" t="str">
        <f>"WAN MUHD AZRUL BIN WAN AHMAD"</f>
        <v>WAN MUHD AZRUL BIN WAN AHMAD</v>
      </c>
      <c r="J5463" t="str">
        <f t="shared" si="2228"/>
        <v>CIMB BANK / CIMB ISLAMIC BANK</v>
      </c>
      <c r="K5463" t="str">
        <f>"03090064615523"</f>
        <v>03090064615523</v>
      </c>
      <c r="L5463" t="str">
        <f t="shared" si="2232"/>
        <v>04-08-2020</v>
      </c>
      <c r="M5463" t="str">
        <f t="shared" si="2232"/>
        <v>04-08-2020</v>
      </c>
      <c r="N5463" t="str">
        <f t="shared" si="2233"/>
        <v>001105018356</v>
      </c>
      <c r="O5463" t="str">
        <f t="shared" si="2234"/>
        <v>MYR</v>
      </c>
      <c r="P5463" t="str">
        <f t="shared" si="2235"/>
        <v>NIL</v>
      </c>
      <c r="Q5463" t="str">
        <f t="shared" si="2235"/>
        <v>NIL</v>
      </c>
      <c r="R5463" t="str">
        <f t="shared" si="2222"/>
        <v>Accepted</v>
      </c>
      <c r="S5463" t="str">
        <f t="shared" si="2236"/>
        <v>Approved</v>
      </c>
      <c r="T5463" t="str">
        <f t="shared" si="2223"/>
        <v>10.20.8.188</v>
      </c>
      <c r="U5463" t="str">
        <f t="shared" si="2237"/>
        <v>AZRAD UMAR BIN SHAARI</v>
      </c>
      <c r="V5463" t="str">
        <f t="shared" si="2238"/>
        <v>FARHANA BINTI MUSTAPA</v>
      </c>
      <c r="W5463" t="str">
        <f t="shared" si="2239"/>
        <v>04-08-2020</v>
      </c>
      <c r="X5463" t="str">
        <f t="shared" si="2240"/>
        <v>RAZIMAH ANSAR AHMAD</v>
      </c>
      <c r="Y5463" t="str">
        <f t="shared" si="2241"/>
        <v>04-08-2020</v>
      </c>
      <c r="Z5463" t="str">
        <f>"COS10200804 3691"</f>
        <v>COS10200804 3691</v>
      </c>
    </row>
    <row r="5464" spans="1:26" x14ac:dyDescent="0.25">
      <c r="A5464" t="str">
        <f t="shared" si="2242"/>
        <v>04-08-2020 12:46:39</v>
      </c>
      <c r="B5464" t="str">
        <f>"0000805463"</f>
        <v>0000805463</v>
      </c>
      <c r="C5464" t="str">
        <f t="shared" si="2243"/>
        <v>0000805373</v>
      </c>
      <c r="D5464" t="str">
        <f t="shared" si="2229"/>
        <v>73185</v>
      </c>
      <c r="E5464" t="str">
        <f t="shared" si="2230"/>
        <v>KFH-OPERATIONS DEPARTMENT</v>
      </c>
      <c r="F5464" t="str">
        <f t="shared" si="2231"/>
        <v>IBG</v>
      </c>
      <c r="G5464" t="str">
        <f t="shared" si="2244"/>
        <v>Refund COSHARE 10</v>
      </c>
      <c r="H5464" s="2">
        <v>1091.3499999999999</v>
      </c>
      <c r="I5464" t="str">
        <f>"WAN MUHD AZRAN BIN MUHAMAD ZUKI"</f>
        <v>WAN MUHD AZRAN BIN MUHAMAD ZUKI</v>
      </c>
      <c r="J5464" t="str">
        <f t="shared" si="2228"/>
        <v>CIMB BANK / CIMB ISLAMIC BANK</v>
      </c>
      <c r="K5464" t="str">
        <f>"13020088781525"</f>
        <v>13020088781525</v>
      </c>
      <c r="L5464" t="str">
        <f t="shared" si="2232"/>
        <v>04-08-2020</v>
      </c>
      <c r="M5464" t="str">
        <f t="shared" si="2232"/>
        <v>04-08-2020</v>
      </c>
      <c r="N5464" t="str">
        <f t="shared" si="2233"/>
        <v>001105018356</v>
      </c>
      <c r="O5464" t="str">
        <f t="shared" si="2234"/>
        <v>MYR</v>
      </c>
      <c r="P5464" t="str">
        <f t="shared" si="2235"/>
        <v>NIL</v>
      </c>
      <c r="Q5464" t="str">
        <f t="shared" si="2235"/>
        <v>NIL</v>
      </c>
      <c r="R5464" t="str">
        <f t="shared" si="2222"/>
        <v>Accepted</v>
      </c>
      <c r="S5464" t="str">
        <f t="shared" si="2236"/>
        <v>Approved</v>
      </c>
      <c r="T5464" t="str">
        <f t="shared" si="2223"/>
        <v>10.20.8.188</v>
      </c>
      <c r="U5464" t="str">
        <f t="shared" si="2237"/>
        <v>AZRAD UMAR BIN SHAARI</v>
      </c>
      <c r="V5464" t="str">
        <f t="shared" si="2238"/>
        <v>FARHANA BINTI MUSTAPA</v>
      </c>
      <c r="W5464" t="str">
        <f t="shared" si="2239"/>
        <v>04-08-2020</v>
      </c>
      <c r="X5464" t="str">
        <f t="shared" si="2240"/>
        <v>RAZIMAH ANSAR AHMAD</v>
      </c>
      <c r="Y5464" t="str">
        <f t="shared" si="2241"/>
        <v>04-08-2020</v>
      </c>
      <c r="Z5464" t="str">
        <f>"COS10200804 3690"</f>
        <v>COS10200804 3690</v>
      </c>
    </row>
    <row r="5465" spans="1:26" x14ac:dyDescent="0.25">
      <c r="A5465" t="str">
        <f t="shared" si="2242"/>
        <v>04-08-2020 12:46:39</v>
      </c>
      <c r="B5465" t="str">
        <f>"0000805462"</f>
        <v>0000805462</v>
      </c>
      <c r="C5465" t="str">
        <f t="shared" si="2243"/>
        <v>0000805373</v>
      </c>
      <c r="D5465" t="str">
        <f t="shared" si="2229"/>
        <v>73185</v>
      </c>
      <c r="E5465" t="str">
        <f t="shared" si="2230"/>
        <v>KFH-OPERATIONS DEPARTMENT</v>
      </c>
      <c r="F5465" t="str">
        <f t="shared" si="2231"/>
        <v>IBG</v>
      </c>
      <c r="G5465" t="str">
        <f t="shared" si="2244"/>
        <v>Refund COSHARE 10</v>
      </c>
      <c r="H5465" s="2">
        <v>797</v>
      </c>
      <c r="I5465" t="str">
        <f>"WAN MOHD NOR FAKARUDIN BIN WAN ABDULLAH"</f>
        <v>WAN MOHD NOR FAKARUDIN BIN WAN ABDULLAH</v>
      </c>
      <c r="J5465" t="str">
        <f t="shared" si="2228"/>
        <v>CIMB BANK / CIMB ISLAMIC BANK</v>
      </c>
      <c r="K5465" t="str">
        <f>"03010095326529"</f>
        <v>03010095326529</v>
      </c>
      <c r="L5465" t="str">
        <f t="shared" si="2232"/>
        <v>04-08-2020</v>
      </c>
      <c r="M5465" t="str">
        <f t="shared" si="2232"/>
        <v>04-08-2020</v>
      </c>
      <c r="N5465" t="str">
        <f t="shared" si="2233"/>
        <v>001105018356</v>
      </c>
      <c r="O5465" t="str">
        <f t="shared" si="2234"/>
        <v>MYR</v>
      </c>
      <c r="P5465" t="str">
        <f t="shared" si="2235"/>
        <v>NIL</v>
      </c>
      <c r="Q5465" t="str">
        <f t="shared" si="2235"/>
        <v>NIL</v>
      </c>
      <c r="R5465" t="str">
        <f t="shared" si="2222"/>
        <v>Accepted</v>
      </c>
      <c r="S5465" t="str">
        <f t="shared" si="2236"/>
        <v>Approved</v>
      </c>
      <c r="T5465" t="str">
        <f t="shared" si="2223"/>
        <v>10.20.8.188</v>
      </c>
      <c r="U5465" t="str">
        <f t="shared" si="2237"/>
        <v>AZRAD UMAR BIN SHAARI</v>
      </c>
      <c r="V5465" t="str">
        <f t="shared" si="2238"/>
        <v>FARHANA BINTI MUSTAPA</v>
      </c>
      <c r="W5465" t="str">
        <f t="shared" si="2239"/>
        <v>04-08-2020</v>
      </c>
      <c r="X5465" t="str">
        <f t="shared" si="2240"/>
        <v>RAZIMAH ANSAR AHMAD</v>
      </c>
      <c r="Y5465" t="str">
        <f t="shared" si="2241"/>
        <v>04-08-2020</v>
      </c>
      <c r="Z5465" t="str">
        <f>"COS10200804 3689"</f>
        <v>COS10200804 3689</v>
      </c>
    </row>
    <row r="5466" spans="1:26" x14ac:dyDescent="0.25">
      <c r="A5466" t="str">
        <f t="shared" si="2242"/>
        <v>04-08-2020 12:46:39</v>
      </c>
      <c r="B5466" t="str">
        <f>"0000805461"</f>
        <v>0000805461</v>
      </c>
      <c r="C5466" t="str">
        <f t="shared" si="2243"/>
        <v>0000805373</v>
      </c>
      <c r="D5466" t="str">
        <f t="shared" si="2229"/>
        <v>73185</v>
      </c>
      <c r="E5466" t="str">
        <f t="shared" si="2230"/>
        <v>KFH-OPERATIONS DEPARTMENT</v>
      </c>
      <c r="F5466" t="str">
        <f t="shared" si="2231"/>
        <v>IBG</v>
      </c>
      <c r="G5466" t="str">
        <f t="shared" si="2244"/>
        <v>Refund COSHARE 10</v>
      </c>
      <c r="H5466" s="2">
        <v>1131</v>
      </c>
      <c r="I5466" t="str">
        <f>"WAN MOHD ABD RAHMAN BIN WAN MOHD YUSOFF"</f>
        <v>WAN MOHD ABD RAHMAN BIN WAN MOHD YUSOFF</v>
      </c>
      <c r="J5466" t="str">
        <f t="shared" si="2228"/>
        <v>CIMB BANK / CIMB ISLAMIC BANK</v>
      </c>
      <c r="K5466" t="str">
        <f>"7050540955"</f>
        <v>7050540955</v>
      </c>
      <c r="L5466" t="str">
        <f t="shared" si="2232"/>
        <v>04-08-2020</v>
      </c>
      <c r="M5466" t="str">
        <f t="shared" si="2232"/>
        <v>04-08-2020</v>
      </c>
      <c r="N5466" t="str">
        <f t="shared" si="2233"/>
        <v>001105018356</v>
      </c>
      <c r="O5466" t="str">
        <f t="shared" si="2234"/>
        <v>MYR</v>
      </c>
      <c r="P5466" t="str">
        <f t="shared" si="2235"/>
        <v>NIL</v>
      </c>
      <c r="Q5466" t="str">
        <f t="shared" si="2235"/>
        <v>NIL</v>
      </c>
      <c r="R5466" t="str">
        <f t="shared" si="2222"/>
        <v>Accepted</v>
      </c>
      <c r="S5466" t="str">
        <f t="shared" si="2236"/>
        <v>Approved</v>
      </c>
      <c r="T5466" t="str">
        <f t="shared" si="2223"/>
        <v>10.20.8.188</v>
      </c>
      <c r="U5466" t="str">
        <f t="shared" si="2237"/>
        <v>AZRAD UMAR BIN SHAARI</v>
      </c>
      <c r="V5466" t="str">
        <f t="shared" si="2238"/>
        <v>FARHANA BINTI MUSTAPA</v>
      </c>
      <c r="W5466" t="str">
        <f t="shared" si="2239"/>
        <v>04-08-2020</v>
      </c>
      <c r="X5466" t="str">
        <f t="shared" si="2240"/>
        <v>RAZIMAH ANSAR AHMAD</v>
      </c>
      <c r="Y5466" t="str">
        <f t="shared" si="2241"/>
        <v>04-08-2020</v>
      </c>
      <c r="Z5466" t="str">
        <f>"COS10200804 3688"</f>
        <v>COS10200804 3688</v>
      </c>
    </row>
    <row r="5467" spans="1:26" x14ac:dyDescent="0.25">
      <c r="A5467" t="str">
        <f t="shared" si="2242"/>
        <v>04-08-2020 12:46:39</v>
      </c>
      <c r="B5467" t="str">
        <f>"0000805460"</f>
        <v>0000805460</v>
      </c>
      <c r="C5467" t="str">
        <f t="shared" si="2243"/>
        <v>0000805373</v>
      </c>
      <c r="D5467" t="str">
        <f t="shared" si="2229"/>
        <v>73185</v>
      </c>
      <c r="E5467" t="str">
        <f t="shared" si="2230"/>
        <v>KFH-OPERATIONS DEPARTMENT</v>
      </c>
      <c r="F5467" t="str">
        <f t="shared" si="2231"/>
        <v>IBG</v>
      </c>
      <c r="G5467" t="str">
        <f t="shared" si="2244"/>
        <v>Refund COSHARE 10</v>
      </c>
      <c r="H5467" s="2">
        <v>629.65</v>
      </c>
      <c r="I5467" t="str">
        <f>"WAN MARZUKI BIN WAN MOHAMAD"</f>
        <v>WAN MARZUKI BIN WAN MOHAMAD</v>
      </c>
      <c r="J5467" t="str">
        <f t="shared" si="2228"/>
        <v>CIMB BANK / CIMB ISLAMIC BANK</v>
      </c>
      <c r="K5467" t="str">
        <f>"7014266376"</f>
        <v>7014266376</v>
      </c>
      <c r="L5467" t="str">
        <f t="shared" ref="L5467:M5486" si="2245">"04-08-2020"</f>
        <v>04-08-2020</v>
      </c>
      <c r="M5467" t="str">
        <f t="shared" si="2245"/>
        <v>04-08-2020</v>
      </c>
      <c r="N5467" t="str">
        <f t="shared" si="2233"/>
        <v>001105018356</v>
      </c>
      <c r="O5467" t="str">
        <f t="shared" si="2234"/>
        <v>MYR</v>
      </c>
      <c r="P5467" t="str">
        <f t="shared" ref="P5467:Q5486" si="2246">"NIL"</f>
        <v>NIL</v>
      </c>
      <c r="Q5467" t="str">
        <f t="shared" si="2246"/>
        <v>NIL</v>
      </c>
      <c r="R5467" t="str">
        <f t="shared" si="2222"/>
        <v>Accepted</v>
      </c>
      <c r="S5467" t="str">
        <f t="shared" si="2236"/>
        <v>Approved</v>
      </c>
      <c r="T5467" t="str">
        <f t="shared" si="2223"/>
        <v>10.20.8.188</v>
      </c>
      <c r="U5467" t="str">
        <f t="shared" si="2237"/>
        <v>AZRAD UMAR BIN SHAARI</v>
      </c>
      <c r="V5467" t="str">
        <f t="shared" si="2238"/>
        <v>FARHANA BINTI MUSTAPA</v>
      </c>
      <c r="W5467" t="str">
        <f t="shared" si="2239"/>
        <v>04-08-2020</v>
      </c>
      <c r="X5467" t="str">
        <f t="shared" si="2240"/>
        <v>RAZIMAH ANSAR AHMAD</v>
      </c>
      <c r="Y5467" t="str">
        <f t="shared" si="2241"/>
        <v>04-08-2020</v>
      </c>
      <c r="Z5467" t="str">
        <f>"COS10200804 3687"</f>
        <v>COS10200804 3687</v>
      </c>
    </row>
    <row r="5468" spans="1:26" x14ac:dyDescent="0.25">
      <c r="A5468" t="str">
        <f t="shared" si="2242"/>
        <v>04-08-2020 12:46:39</v>
      </c>
      <c r="B5468" t="str">
        <f>"0000805459"</f>
        <v>0000805459</v>
      </c>
      <c r="C5468" t="str">
        <f t="shared" si="2243"/>
        <v>0000805373</v>
      </c>
      <c r="D5468" t="str">
        <f t="shared" si="2229"/>
        <v>73185</v>
      </c>
      <c r="E5468" t="str">
        <f t="shared" si="2230"/>
        <v>KFH-OPERATIONS DEPARTMENT</v>
      </c>
      <c r="F5468" t="str">
        <f t="shared" si="2231"/>
        <v>IBG</v>
      </c>
      <c r="G5468" t="str">
        <f t="shared" si="2244"/>
        <v>Refund COSHARE 10</v>
      </c>
      <c r="H5468" s="2">
        <v>839.5</v>
      </c>
      <c r="I5468" t="str">
        <f>"WAN KHAIRUL ANUAR BIN WAN MOHD ZAIN"</f>
        <v>WAN KHAIRUL ANUAR BIN WAN MOHD ZAIN</v>
      </c>
      <c r="J5468" t="str">
        <f t="shared" si="2228"/>
        <v>CIMB BANK / CIMB ISLAMIC BANK</v>
      </c>
      <c r="K5468" t="str">
        <f>"06120034950527"</f>
        <v>06120034950527</v>
      </c>
      <c r="L5468" t="str">
        <f t="shared" si="2245"/>
        <v>04-08-2020</v>
      </c>
      <c r="M5468" t="str">
        <f t="shared" si="2245"/>
        <v>04-08-2020</v>
      </c>
      <c r="N5468" t="str">
        <f t="shared" si="2233"/>
        <v>001105018356</v>
      </c>
      <c r="O5468" t="str">
        <f t="shared" si="2234"/>
        <v>MYR</v>
      </c>
      <c r="P5468" t="str">
        <f t="shared" si="2246"/>
        <v>NIL</v>
      </c>
      <c r="Q5468" t="str">
        <f t="shared" si="2246"/>
        <v>NIL</v>
      </c>
      <c r="R5468" t="str">
        <f t="shared" si="2222"/>
        <v>Accepted</v>
      </c>
      <c r="S5468" t="str">
        <f t="shared" si="2236"/>
        <v>Approved</v>
      </c>
      <c r="T5468" t="str">
        <f t="shared" si="2223"/>
        <v>10.20.8.188</v>
      </c>
      <c r="U5468" t="str">
        <f t="shared" si="2237"/>
        <v>AZRAD UMAR BIN SHAARI</v>
      </c>
      <c r="V5468" t="str">
        <f t="shared" si="2238"/>
        <v>FARHANA BINTI MUSTAPA</v>
      </c>
      <c r="W5468" t="str">
        <f t="shared" si="2239"/>
        <v>04-08-2020</v>
      </c>
      <c r="X5468" t="str">
        <f t="shared" si="2240"/>
        <v>RAZIMAH ANSAR AHMAD</v>
      </c>
      <c r="Y5468" t="str">
        <f t="shared" si="2241"/>
        <v>04-08-2020</v>
      </c>
      <c r="Z5468" t="str">
        <f>"COS10200804 3686"</f>
        <v>COS10200804 3686</v>
      </c>
    </row>
    <row r="5469" spans="1:26" x14ac:dyDescent="0.25">
      <c r="A5469" t="str">
        <f t="shared" si="2242"/>
        <v>04-08-2020 12:46:39</v>
      </c>
      <c r="B5469" t="str">
        <f>"0000805458"</f>
        <v>0000805458</v>
      </c>
      <c r="C5469" t="str">
        <f t="shared" si="2243"/>
        <v>0000805373</v>
      </c>
      <c r="D5469" t="str">
        <f t="shared" si="2229"/>
        <v>73185</v>
      </c>
      <c r="E5469" t="str">
        <f t="shared" si="2230"/>
        <v>KFH-OPERATIONS DEPARTMENT</v>
      </c>
      <c r="F5469" t="str">
        <f t="shared" si="2231"/>
        <v>IBG</v>
      </c>
      <c r="G5469" t="str">
        <f t="shared" si="2244"/>
        <v>Refund COSHARE 10</v>
      </c>
      <c r="H5469" s="2">
        <v>739</v>
      </c>
      <c r="I5469" t="str">
        <f>"WAN IZARNI BT MOHD REJAB"</f>
        <v>WAN IZARNI BT MOHD REJAB</v>
      </c>
      <c r="J5469" t="str">
        <f t="shared" si="2228"/>
        <v>CIMB BANK / CIMB ISLAMIC BANK</v>
      </c>
      <c r="K5469" t="str">
        <f>"05020692812527"</f>
        <v>05020692812527</v>
      </c>
      <c r="L5469" t="str">
        <f t="shared" si="2245"/>
        <v>04-08-2020</v>
      </c>
      <c r="M5469" t="str">
        <f t="shared" si="2245"/>
        <v>04-08-2020</v>
      </c>
      <c r="N5469" t="str">
        <f t="shared" si="2233"/>
        <v>001105018356</v>
      </c>
      <c r="O5469" t="str">
        <f t="shared" si="2234"/>
        <v>MYR</v>
      </c>
      <c r="P5469" t="str">
        <f t="shared" si="2246"/>
        <v>NIL</v>
      </c>
      <c r="Q5469" t="str">
        <f t="shared" si="2246"/>
        <v>NIL</v>
      </c>
      <c r="R5469" t="str">
        <f t="shared" si="2222"/>
        <v>Accepted</v>
      </c>
      <c r="S5469" t="str">
        <f t="shared" si="2236"/>
        <v>Approved</v>
      </c>
      <c r="T5469" t="str">
        <f t="shared" si="2223"/>
        <v>10.20.8.188</v>
      </c>
      <c r="U5469" t="str">
        <f t="shared" si="2237"/>
        <v>AZRAD UMAR BIN SHAARI</v>
      </c>
      <c r="V5469" t="str">
        <f t="shared" si="2238"/>
        <v>FARHANA BINTI MUSTAPA</v>
      </c>
      <c r="W5469" t="str">
        <f t="shared" si="2239"/>
        <v>04-08-2020</v>
      </c>
      <c r="X5469" t="str">
        <f t="shared" si="2240"/>
        <v>RAZIMAH ANSAR AHMAD</v>
      </c>
      <c r="Y5469" t="str">
        <f t="shared" si="2241"/>
        <v>04-08-2020</v>
      </c>
      <c r="Z5469" t="str">
        <f>"COS10200804 3685"</f>
        <v>COS10200804 3685</v>
      </c>
    </row>
    <row r="5470" spans="1:26" x14ac:dyDescent="0.25">
      <c r="A5470" t="str">
        <f t="shared" si="2242"/>
        <v>04-08-2020 12:46:39</v>
      </c>
      <c r="B5470" t="str">
        <f>"0000805457"</f>
        <v>0000805457</v>
      </c>
      <c r="C5470" t="str">
        <f t="shared" si="2243"/>
        <v>0000805373</v>
      </c>
      <c r="D5470" t="str">
        <f t="shared" si="2229"/>
        <v>73185</v>
      </c>
      <c r="E5470" t="str">
        <f t="shared" si="2230"/>
        <v>KFH-OPERATIONS DEPARTMENT</v>
      </c>
      <c r="F5470" t="str">
        <f t="shared" si="2231"/>
        <v>IBG</v>
      </c>
      <c r="G5470" t="str">
        <f t="shared" si="2244"/>
        <v>Refund COSHARE 10</v>
      </c>
      <c r="H5470" s="2">
        <v>587.65</v>
      </c>
      <c r="I5470" t="str">
        <f>"WAN AZLINA BINTI WAN MAMAT"</f>
        <v>WAN AZLINA BINTI WAN MAMAT</v>
      </c>
      <c r="J5470" t="str">
        <f t="shared" si="2228"/>
        <v>CIMB BANK / CIMB ISLAMIC BANK</v>
      </c>
      <c r="K5470" t="str">
        <f>"13020112221529"</f>
        <v>13020112221529</v>
      </c>
      <c r="L5470" t="str">
        <f t="shared" si="2245"/>
        <v>04-08-2020</v>
      </c>
      <c r="M5470" t="str">
        <f t="shared" si="2245"/>
        <v>04-08-2020</v>
      </c>
      <c r="N5470" t="str">
        <f t="shared" si="2233"/>
        <v>001105018356</v>
      </c>
      <c r="O5470" t="str">
        <f t="shared" si="2234"/>
        <v>MYR</v>
      </c>
      <c r="P5470" t="str">
        <f t="shared" si="2246"/>
        <v>NIL</v>
      </c>
      <c r="Q5470" t="str">
        <f t="shared" si="2246"/>
        <v>NIL</v>
      </c>
      <c r="R5470" t="str">
        <f t="shared" si="2222"/>
        <v>Accepted</v>
      </c>
      <c r="S5470" t="str">
        <f t="shared" si="2236"/>
        <v>Approved</v>
      </c>
      <c r="T5470" t="str">
        <f t="shared" si="2223"/>
        <v>10.20.8.188</v>
      </c>
      <c r="U5470" t="str">
        <f t="shared" si="2237"/>
        <v>AZRAD UMAR BIN SHAARI</v>
      </c>
      <c r="V5470" t="str">
        <f t="shared" si="2238"/>
        <v>FARHANA BINTI MUSTAPA</v>
      </c>
      <c r="W5470" t="str">
        <f t="shared" si="2239"/>
        <v>04-08-2020</v>
      </c>
      <c r="X5470" t="str">
        <f t="shared" si="2240"/>
        <v>RAZIMAH ANSAR AHMAD</v>
      </c>
      <c r="Y5470" t="str">
        <f t="shared" si="2241"/>
        <v>04-08-2020</v>
      </c>
      <c r="Z5470" t="str">
        <f>"COS10200804 3684"</f>
        <v>COS10200804 3684</v>
      </c>
    </row>
    <row r="5471" spans="1:26" x14ac:dyDescent="0.25">
      <c r="A5471" t="str">
        <f t="shared" si="2242"/>
        <v>04-08-2020 12:46:39</v>
      </c>
      <c r="B5471" t="str">
        <f>"0000805456"</f>
        <v>0000805456</v>
      </c>
      <c r="C5471" t="str">
        <f t="shared" si="2243"/>
        <v>0000805373</v>
      </c>
      <c r="D5471" t="str">
        <f t="shared" si="2229"/>
        <v>73185</v>
      </c>
      <c r="E5471" t="str">
        <f t="shared" si="2230"/>
        <v>KFH-OPERATIONS DEPARTMENT</v>
      </c>
      <c r="F5471" t="str">
        <f t="shared" si="2231"/>
        <v>IBG</v>
      </c>
      <c r="G5471" t="str">
        <f t="shared" si="2244"/>
        <v>Refund COSHARE 10</v>
      </c>
      <c r="H5471" s="2">
        <v>681</v>
      </c>
      <c r="I5471" t="str">
        <f>"WAN ANIDA BINTI HASAN  WAN ALI"</f>
        <v>WAN ANIDA BINTI HASAN  WAN ALI</v>
      </c>
      <c r="J5471" t="str">
        <f t="shared" si="2228"/>
        <v>CIMB BANK / CIMB ISLAMIC BANK</v>
      </c>
      <c r="K5471" t="str">
        <f>"08060080606525"</f>
        <v>08060080606525</v>
      </c>
      <c r="L5471" t="str">
        <f t="shared" si="2245"/>
        <v>04-08-2020</v>
      </c>
      <c r="M5471" t="str">
        <f t="shared" si="2245"/>
        <v>04-08-2020</v>
      </c>
      <c r="N5471" t="str">
        <f t="shared" si="2233"/>
        <v>001105018356</v>
      </c>
      <c r="O5471" t="str">
        <f t="shared" si="2234"/>
        <v>MYR</v>
      </c>
      <c r="P5471" t="str">
        <f t="shared" si="2246"/>
        <v>NIL</v>
      </c>
      <c r="Q5471" t="str">
        <f t="shared" si="2246"/>
        <v>NIL</v>
      </c>
      <c r="R5471" t="str">
        <f t="shared" si="2222"/>
        <v>Accepted</v>
      </c>
      <c r="S5471" t="str">
        <f t="shared" si="2236"/>
        <v>Approved</v>
      </c>
      <c r="T5471" t="str">
        <f t="shared" si="2223"/>
        <v>10.20.8.188</v>
      </c>
      <c r="U5471" t="str">
        <f t="shared" si="2237"/>
        <v>AZRAD UMAR BIN SHAARI</v>
      </c>
      <c r="V5471" t="str">
        <f t="shared" si="2238"/>
        <v>FARHANA BINTI MUSTAPA</v>
      </c>
      <c r="W5471" t="str">
        <f t="shared" si="2239"/>
        <v>04-08-2020</v>
      </c>
      <c r="X5471" t="str">
        <f t="shared" si="2240"/>
        <v>RAZIMAH ANSAR AHMAD</v>
      </c>
      <c r="Y5471" t="str">
        <f t="shared" si="2241"/>
        <v>04-08-2020</v>
      </c>
      <c r="Z5471" t="str">
        <f>"COS10200804 3683"</f>
        <v>COS10200804 3683</v>
      </c>
    </row>
    <row r="5472" spans="1:26" x14ac:dyDescent="0.25">
      <c r="A5472" t="str">
        <f t="shared" si="2242"/>
        <v>04-08-2020 12:46:39</v>
      </c>
      <c r="B5472" t="str">
        <f>"0000805455"</f>
        <v>0000805455</v>
      </c>
      <c r="C5472" t="str">
        <f t="shared" si="2243"/>
        <v>0000805373</v>
      </c>
      <c r="D5472" t="str">
        <f t="shared" si="2229"/>
        <v>73185</v>
      </c>
      <c r="E5472" t="str">
        <f t="shared" si="2230"/>
        <v>KFH-OPERATIONS DEPARTMENT</v>
      </c>
      <c r="F5472" t="str">
        <f t="shared" si="2231"/>
        <v>IBG</v>
      </c>
      <c r="G5472" t="str">
        <f t="shared" si="2244"/>
        <v>Refund COSHARE 10</v>
      </c>
      <c r="H5472" s="2">
        <v>160</v>
      </c>
      <c r="I5472" t="str">
        <f>"WAHIDATUL AKMA BINTI ABDUL WAHAB"</f>
        <v>WAHIDATUL AKMA BINTI ABDUL WAHAB</v>
      </c>
      <c r="J5472" t="str">
        <f t="shared" si="2228"/>
        <v>CIMB BANK / CIMB ISLAMIC BANK</v>
      </c>
      <c r="K5472" t="str">
        <f>"7008119383"</f>
        <v>7008119383</v>
      </c>
      <c r="L5472" t="str">
        <f t="shared" si="2245"/>
        <v>04-08-2020</v>
      </c>
      <c r="M5472" t="str">
        <f t="shared" si="2245"/>
        <v>04-08-2020</v>
      </c>
      <c r="N5472" t="str">
        <f t="shared" si="2233"/>
        <v>001105018356</v>
      </c>
      <c r="O5472" t="str">
        <f t="shared" si="2234"/>
        <v>MYR</v>
      </c>
      <c r="P5472" t="str">
        <f t="shared" si="2246"/>
        <v>NIL</v>
      </c>
      <c r="Q5472" t="str">
        <f t="shared" si="2246"/>
        <v>NIL</v>
      </c>
      <c r="R5472" t="str">
        <f t="shared" si="2222"/>
        <v>Accepted</v>
      </c>
      <c r="S5472" t="str">
        <f t="shared" si="2236"/>
        <v>Approved</v>
      </c>
      <c r="T5472" t="str">
        <f t="shared" si="2223"/>
        <v>10.20.8.188</v>
      </c>
      <c r="U5472" t="str">
        <f t="shared" si="2237"/>
        <v>AZRAD UMAR BIN SHAARI</v>
      </c>
      <c r="V5472" t="str">
        <f t="shared" si="2238"/>
        <v>FARHANA BINTI MUSTAPA</v>
      </c>
      <c r="W5472" t="str">
        <f t="shared" si="2239"/>
        <v>04-08-2020</v>
      </c>
      <c r="X5472" t="str">
        <f t="shared" si="2240"/>
        <v>RAZIMAH ANSAR AHMAD</v>
      </c>
      <c r="Y5472" t="str">
        <f t="shared" si="2241"/>
        <v>04-08-2020</v>
      </c>
      <c r="Z5472" t="str">
        <f>"COS10200804 3682"</f>
        <v>COS10200804 3682</v>
      </c>
    </row>
    <row r="5473" spans="1:26" x14ac:dyDescent="0.25">
      <c r="A5473" t="str">
        <f t="shared" si="2242"/>
        <v>04-08-2020 12:46:39</v>
      </c>
      <c r="B5473" t="str">
        <f>"0000805454"</f>
        <v>0000805454</v>
      </c>
      <c r="C5473" t="str">
        <f t="shared" si="2243"/>
        <v>0000805373</v>
      </c>
      <c r="D5473" t="str">
        <f t="shared" si="2229"/>
        <v>73185</v>
      </c>
      <c r="E5473" t="str">
        <f t="shared" si="2230"/>
        <v>KFH-OPERATIONS DEPARTMENT</v>
      </c>
      <c r="F5473" t="str">
        <f t="shared" si="2231"/>
        <v>IBG</v>
      </c>
      <c r="G5473" t="str">
        <f t="shared" si="2244"/>
        <v>Refund COSHARE 10</v>
      </c>
      <c r="H5473" s="2">
        <v>225.2</v>
      </c>
      <c r="I5473" t="str">
        <f>"V GANES MOORTHY AL VETHIAH"</f>
        <v>V GANES MOORTHY AL VETHIAH</v>
      </c>
      <c r="J5473" t="str">
        <f t="shared" si="2228"/>
        <v>CIMB BANK / CIMB ISLAMIC BANK</v>
      </c>
      <c r="K5473" t="str">
        <f>"12190047277520"</f>
        <v>12190047277520</v>
      </c>
      <c r="L5473" t="str">
        <f t="shared" si="2245"/>
        <v>04-08-2020</v>
      </c>
      <c r="M5473" t="str">
        <f t="shared" si="2245"/>
        <v>04-08-2020</v>
      </c>
      <c r="N5473" t="str">
        <f t="shared" si="2233"/>
        <v>001105018356</v>
      </c>
      <c r="O5473" t="str">
        <f t="shared" si="2234"/>
        <v>MYR</v>
      </c>
      <c r="P5473" t="str">
        <f t="shared" si="2246"/>
        <v>NIL</v>
      </c>
      <c r="Q5473" t="str">
        <f t="shared" si="2246"/>
        <v>NIL</v>
      </c>
      <c r="R5473" t="str">
        <f t="shared" si="2222"/>
        <v>Accepted</v>
      </c>
      <c r="S5473" t="str">
        <f t="shared" si="2236"/>
        <v>Approved</v>
      </c>
      <c r="T5473" t="str">
        <f t="shared" si="2223"/>
        <v>10.20.8.188</v>
      </c>
      <c r="U5473" t="str">
        <f t="shared" si="2237"/>
        <v>AZRAD UMAR BIN SHAARI</v>
      </c>
      <c r="V5473" t="str">
        <f t="shared" si="2238"/>
        <v>FARHANA BINTI MUSTAPA</v>
      </c>
      <c r="W5473" t="str">
        <f t="shared" si="2239"/>
        <v>04-08-2020</v>
      </c>
      <c r="X5473" t="str">
        <f t="shared" si="2240"/>
        <v>RAZIMAH ANSAR AHMAD</v>
      </c>
      <c r="Y5473" t="str">
        <f t="shared" si="2241"/>
        <v>04-08-2020</v>
      </c>
      <c r="Z5473" t="str">
        <f>"COS10200804 3681"</f>
        <v>COS10200804 3681</v>
      </c>
    </row>
    <row r="5474" spans="1:26" x14ac:dyDescent="0.25">
      <c r="A5474" t="str">
        <f t="shared" si="2242"/>
        <v>04-08-2020 12:46:39</v>
      </c>
      <c r="B5474" t="str">
        <f>"0000805453"</f>
        <v>0000805453</v>
      </c>
      <c r="C5474" t="str">
        <f t="shared" si="2243"/>
        <v>0000805373</v>
      </c>
      <c r="D5474" t="str">
        <f t="shared" si="2229"/>
        <v>73185</v>
      </c>
      <c r="E5474" t="str">
        <f t="shared" si="2230"/>
        <v>KFH-OPERATIONS DEPARTMENT</v>
      </c>
      <c r="F5474" t="str">
        <f t="shared" si="2231"/>
        <v>IBG</v>
      </c>
      <c r="G5474" t="str">
        <f t="shared" si="2244"/>
        <v>Refund COSHARE 10</v>
      </c>
      <c r="H5474" s="2">
        <v>167.9</v>
      </c>
      <c r="I5474" t="str">
        <f>"UNGKU IZUIN BINTI UNGKU HUSNI"</f>
        <v>UNGKU IZUIN BINTI UNGKU HUSNI</v>
      </c>
      <c r="J5474" t="str">
        <f t="shared" si="2228"/>
        <v>CIMB BANK / CIMB ISLAMIC BANK</v>
      </c>
      <c r="K5474" t="str">
        <f>"02050094487523"</f>
        <v>02050094487523</v>
      </c>
      <c r="L5474" t="str">
        <f t="shared" si="2245"/>
        <v>04-08-2020</v>
      </c>
      <c r="M5474" t="str">
        <f t="shared" si="2245"/>
        <v>04-08-2020</v>
      </c>
      <c r="N5474" t="str">
        <f t="shared" si="2233"/>
        <v>001105018356</v>
      </c>
      <c r="O5474" t="str">
        <f t="shared" si="2234"/>
        <v>MYR</v>
      </c>
      <c r="P5474" t="str">
        <f t="shared" si="2246"/>
        <v>NIL</v>
      </c>
      <c r="Q5474" t="str">
        <f t="shared" si="2246"/>
        <v>NIL</v>
      </c>
      <c r="R5474" t="str">
        <f t="shared" ref="R5474:R5537" si="2247">"Accepted"</f>
        <v>Accepted</v>
      </c>
      <c r="S5474" t="str">
        <f t="shared" si="2236"/>
        <v>Approved</v>
      </c>
      <c r="T5474" t="str">
        <f t="shared" ref="T5474:T5537" si="2248">"10.20.8.188"</f>
        <v>10.20.8.188</v>
      </c>
      <c r="U5474" t="str">
        <f t="shared" si="2237"/>
        <v>AZRAD UMAR BIN SHAARI</v>
      </c>
      <c r="V5474" t="str">
        <f t="shared" si="2238"/>
        <v>FARHANA BINTI MUSTAPA</v>
      </c>
      <c r="W5474" t="str">
        <f t="shared" si="2239"/>
        <v>04-08-2020</v>
      </c>
      <c r="X5474" t="str">
        <f t="shared" si="2240"/>
        <v>RAZIMAH ANSAR AHMAD</v>
      </c>
      <c r="Y5474" t="str">
        <f t="shared" si="2241"/>
        <v>04-08-2020</v>
      </c>
      <c r="Z5474" t="str">
        <f>"COS10200804 3680"</f>
        <v>COS10200804 3680</v>
      </c>
    </row>
    <row r="5475" spans="1:26" x14ac:dyDescent="0.25">
      <c r="A5475" t="str">
        <f t="shared" si="2242"/>
        <v>04-08-2020 12:46:39</v>
      </c>
      <c r="B5475" t="str">
        <f>"0000805452"</f>
        <v>0000805452</v>
      </c>
      <c r="C5475" t="str">
        <f t="shared" si="2243"/>
        <v>0000805373</v>
      </c>
      <c r="D5475" t="str">
        <f t="shared" si="2229"/>
        <v>73185</v>
      </c>
      <c r="E5475" t="str">
        <f t="shared" si="2230"/>
        <v>KFH-OPERATIONS DEPARTMENT</v>
      </c>
      <c r="F5475" t="str">
        <f t="shared" si="2231"/>
        <v>IBG</v>
      </c>
      <c r="G5475" t="str">
        <f t="shared" si="2244"/>
        <v>Refund COSHARE 10</v>
      </c>
      <c r="H5475" s="2">
        <v>545.70000000000005</v>
      </c>
      <c r="I5475" t="str">
        <f>"UMERA BINTI ABDUL RAHIM"</f>
        <v>UMERA BINTI ABDUL RAHIM</v>
      </c>
      <c r="J5475" t="str">
        <f t="shared" si="2228"/>
        <v>CIMB BANK / CIMB ISLAMIC BANK</v>
      </c>
      <c r="K5475" t="str">
        <f>"14140122858526"</f>
        <v>14140122858526</v>
      </c>
      <c r="L5475" t="str">
        <f t="shared" si="2245"/>
        <v>04-08-2020</v>
      </c>
      <c r="M5475" t="str">
        <f t="shared" si="2245"/>
        <v>04-08-2020</v>
      </c>
      <c r="N5475" t="str">
        <f t="shared" si="2233"/>
        <v>001105018356</v>
      </c>
      <c r="O5475" t="str">
        <f t="shared" si="2234"/>
        <v>MYR</v>
      </c>
      <c r="P5475" t="str">
        <f t="shared" si="2246"/>
        <v>NIL</v>
      </c>
      <c r="Q5475" t="str">
        <f t="shared" si="2246"/>
        <v>NIL</v>
      </c>
      <c r="R5475" t="str">
        <f t="shared" si="2247"/>
        <v>Accepted</v>
      </c>
      <c r="S5475" t="str">
        <f t="shared" si="2236"/>
        <v>Approved</v>
      </c>
      <c r="T5475" t="str">
        <f t="shared" si="2248"/>
        <v>10.20.8.188</v>
      </c>
      <c r="U5475" t="str">
        <f t="shared" si="2237"/>
        <v>AZRAD UMAR BIN SHAARI</v>
      </c>
      <c r="V5475" t="str">
        <f t="shared" si="2238"/>
        <v>FARHANA BINTI MUSTAPA</v>
      </c>
      <c r="W5475" t="str">
        <f t="shared" si="2239"/>
        <v>04-08-2020</v>
      </c>
      <c r="X5475" t="str">
        <f t="shared" si="2240"/>
        <v>RAZIMAH ANSAR AHMAD</v>
      </c>
      <c r="Y5475" t="str">
        <f t="shared" si="2241"/>
        <v>04-08-2020</v>
      </c>
      <c r="Z5475" t="str">
        <f>"COS10200804 3679"</f>
        <v>COS10200804 3679</v>
      </c>
    </row>
    <row r="5476" spans="1:26" x14ac:dyDescent="0.25">
      <c r="A5476" t="str">
        <f t="shared" si="2242"/>
        <v>04-08-2020 12:46:39</v>
      </c>
      <c r="B5476" t="str">
        <f>"0000805451"</f>
        <v>0000805451</v>
      </c>
      <c r="C5476" t="str">
        <f t="shared" si="2243"/>
        <v>0000805373</v>
      </c>
      <c r="D5476" t="str">
        <f t="shared" si="2229"/>
        <v>73185</v>
      </c>
      <c r="E5476" t="str">
        <f t="shared" si="2230"/>
        <v>KFH-OPERATIONS DEPARTMENT</v>
      </c>
      <c r="F5476" t="str">
        <f t="shared" si="2231"/>
        <v>IBG</v>
      </c>
      <c r="G5476" t="str">
        <f t="shared" si="2244"/>
        <v>Refund COSHARE 10</v>
      </c>
      <c r="H5476" s="2">
        <v>1427.15</v>
      </c>
      <c r="I5476" t="str">
        <f>"UMAR BIN ABD RASAK"</f>
        <v>UMAR BIN ABD RASAK</v>
      </c>
      <c r="J5476" t="str">
        <f t="shared" si="2228"/>
        <v>CIMB BANK / CIMB ISLAMIC BANK</v>
      </c>
      <c r="K5476" t="str">
        <f>"7037961465"</f>
        <v>7037961465</v>
      </c>
      <c r="L5476" t="str">
        <f t="shared" si="2245"/>
        <v>04-08-2020</v>
      </c>
      <c r="M5476" t="str">
        <f t="shared" si="2245"/>
        <v>04-08-2020</v>
      </c>
      <c r="N5476" t="str">
        <f t="shared" si="2233"/>
        <v>001105018356</v>
      </c>
      <c r="O5476" t="str">
        <f t="shared" si="2234"/>
        <v>MYR</v>
      </c>
      <c r="P5476" t="str">
        <f t="shared" si="2246"/>
        <v>NIL</v>
      </c>
      <c r="Q5476" t="str">
        <f t="shared" si="2246"/>
        <v>NIL</v>
      </c>
      <c r="R5476" t="str">
        <f t="shared" si="2247"/>
        <v>Accepted</v>
      </c>
      <c r="S5476" t="str">
        <f t="shared" si="2236"/>
        <v>Approved</v>
      </c>
      <c r="T5476" t="str">
        <f t="shared" si="2248"/>
        <v>10.20.8.188</v>
      </c>
      <c r="U5476" t="str">
        <f t="shared" si="2237"/>
        <v>AZRAD UMAR BIN SHAARI</v>
      </c>
      <c r="V5476" t="str">
        <f t="shared" si="2238"/>
        <v>FARHANA BINTI MUSTAPA</v>
      </c>
      <c r="W5476" t="str">
        <f t="shared" si="2239"/>
        <v>04-08-2020</v>
      </c>
      <c r="X5476" t="str">
        <f t="shared" si="2240"/>
        <v>RAZIMAH ANSAR AHMAD</v>
      </c>
      <c r="Y5476" t="str">
        <f t="shared" si="2241"/>
        <v>04-08-2020</v>
      </c>
      <c r="Z5476" t="str">
        <f>"COS10200804 3678"</f>
        <v>COS10200804 3678</v>
      </c>
    </row>
    <row r="5477" spans="1:26" x14ac:dyDescent="0.25">
      <c r="A5477" t="str">
        <f t="shared" si="2242"/>
        <v>04-08-2020 12:46:39</v>
      </c>
      <c r="B5477" t="str">
        <f>"0000805450"</f>
        <v>0000805450</v>
      </c>
      <c r="C5477" t="str">
        <f t="shared" si="2243"/>
        <v>0000805373</v>
      </c>
      <c r="D5477" t="str">
        <f t="shared" si="2229"/>
        <v>73185</v>
      </c>
      <c r="E5477" t="str">
        <f t="shared" si="2230"/>
        <v>KFH-OPERATIONS DEPARTMENT</v>
      </c>
      <c r="F5477" t="str">
        <f t="shared" si="2231"/>
        <v>IBG</v>
      </c>
      <c r="G5477" t="str">
        <f t="shared" si="2244"/>
        <v>Refund COSHARE 10</v>
      </c>
      <c r="H5477" s="2">
        <v>1679</v>
      </c>
      <c r="I5477" t="str">
        <f>"UMA MAGESWARI AP SUBRAMANIAN"</f>
        <v>UMA MAGESWARI AP SUBRAMANIAN</v>
      </c>
      <c r="J5477" t="str">
        <f t="shared" si="2228"/>
        <v>CIMB BANK / CIMB ISLAMIC BANK</v>
      </c>
      <c r="K5477" t="str">
        <f>"08220000151103"</f>
        <v>08220000151103</v>
      </c>
      <c r="L5477" t="str">
        <f t="shared" si="2245"/>
        <v>04-08-2020</v>
      </c>
      <c r="M5477" t="str">
        <f t="shared" si="2245"/>
        <v>04-08-2020</v>
      </c>
      <c r="N5477" t="str">
        <f t="shared" si="2233"/>
        <v>001105018356</v>
      </c>
      <c r="O5477" t="str">
        <f t="shared" si="2234"/>
        <v>MYR</v>
      </c>
      <c r="P5477" t="str">
        <f t="shared" si="2246"/>
        <v>NIL</v>
      </c>
      <c r="Q5477" t="str">
        <f t="shared" si="2246"/>
        <v>NIL</v>
      </c>
      <c r="R5477" t="str">
        <f t="shared" si="2247"/>
        <v>Accepted</v>
      </c>
      <c r="S5477" t="str">
        <f t="shared" si="2236"/>
        <v>Approved</v>
      </c>
      <c r="T5477" t="str">
        <f t="shared" si="2248"/>
        <v>10.20.8.188</v>
      </c>
      <c r="U5477" t="str">
        <f t="shared" si="2237"/>
        <v>AZRAD UMAR BIN SHAARI</v>
      </c>
      <c r="V5477" t="str">
        <f t="shared" si="2238"/>
        <v>FARHANA BINTI MUSTAPA</v>
      </c>
      <c r="W5477" t="str">
        <f t="shared" si="2239"/>
        <v>04-08-2020</v>
      </c>
      <c r="X5477" t="str">
        <f t="shared" si="2240"/>
        <v>RAZIMAH ANSAR AHMAD</v>
      </c>
      <c r="Y5477" t="str">
        <f t="shared" si="2241"/>
        <v>04-08-2020</v>
      </c>
      <c r="Z5477" t="str">
        <f>"COS10200804 3677"</f>
        <v>COS10200804 3677</v>
      </c>
    </row>
    <row r="5478" spans="1:26" x14ac:dyDescent="0.25">
      <c r="A5478" t="str">
        <f t="shared" si="2242"/>
        <v>04-08-2020 12:46:39</v>
      </c>
      <c r="B5478" t="str">
        <f>"0000805449"</f>
        <v>0000805449</v>
      </c>
      <c r="C5478" t="str">
        <f t="shared" si="2243"/>
        <v>0000805373</v>
      </c>
      <c r="D5478" t="str">
        <f t="shared" si="2229"/>
        <v>73185</v>
      </c>
      <c r="E5478" t="str">
        <f t="shared" si="2230"/>
        <v>KFH-OPERATIONS DEPARTMENT</v>
      </c>
      <c r="F5478" t="str">
        <f t="shared" si="2231"/>
        <v>IBG</v>
      </c>
      <c r="G5478" t="str">
        <f t="shared" si="2244"/>
        <v>Refund COSHARE 10</v>
      </c>
      <c r="H5478" s="2">
        <v>268.64999999999998</v>
      </c>
      <c r="I5478" t="str">
        <f>"UMA DEVI AP RAMAN"</f>
        <v>UMA DEVI AP RAMAN</v>
      </c>
      <c r="J5478" t="str">
        <f t="shared" si="2228"/>
        <v>CIMB BANK / CIMB ISLAMIC BANK</v>
      </c>
      <c r="K5478" t="str">
        <f>"7017191040"</f>
        <v>7017191040</v>
      </c>
      <c r="L5478" t="str">
        <f t="shared" si="2245"/>
        <v>04-08-2020</v>
      </c>
      <c r="M5478" t="str">
        <f t="shared" si="2245"/>
        <v>04-08-2020</v>
      </c>
      <c r="N5478" t="str">
        <f t="shared" si="2233"/>
        <v>001105018356</v>
      </c>
      <c r="O5478" t="str">
        <f t="shared" si="2234"/>
        <v>MYR</v>
      </c>
      <c r="P5478" t="str">
        <f t="shared" si="2246"/>
        <v>NIL</v>
      </c>
      <c r="Q5478" t="str">
        <f t="shared" si="2246"/>
        <v>NIL</v>
      </c>
      <c r="R5478" t="str">
        <f t="shared" si="2247"/>
        <v>Accepted</v>
      </c>
      <c r="S5478" t="str">
        <f t="shared" si="2236"/>
        <v>Approved</v>
      </c>
      <c r="T5478" t="str">
        <f t="shared" si="2248"/>
        <v>10.20.8.188</v>
      </c>
      <c r="U5478" t="str">
        <f t="shared" si="2237"/>
        <v>AZRAD UMAR BIN SHAARI</v>
      </c>
      <c r="V5478" t="str">
        <f t="shared" si="2238"/>
        <v>FARHANA BINTI MUSTAPA</v>
      </c>
      <c r="W5478" t="str">
        <f t="shared" si="2239"/>
        <v>04-08-2020</v>
      </c>
      <c r="X5478" t="str">
        <f t="shared" si="2240"/>
        <v>RAZIMAH ANSAR AHMAD</v>
      </c>
      <c r="Y5478" t="str">
        <f t="shared" si="2241"/>
        <v>04-08-2020</v>
      </c>
      <c r="Z5478" t="str">
        <f>"COS10200804 3676"</f>
        <v>COS10200804 3676</v>
      </c>
    </row>
    <row r="5479" spans="1:26" x14ac:dyDescent="0.25">
      <c r="A5479" t="str">
        <f t="shared" si="2242"/>
        <v>04-08-2020 12:46:39</v>
      </c>
      <c r="B5479" t="str">
        <f>"0000805448"</f>
        <v>0000805448</v>
      </c>
      <c r="C5479" t="str">
        <f t="shared" si="2243"/>
        <v>0000805373</v>
      </c>
      <c r="D5479" t="str">
        <f t="shared" si="2229"/>
        <v>73185</v>
      </c>
      <c r="E5479" t="str">
        <f t="shared" si="2230"/>
        <v>KFH-OPERATIONS DEPARTMENT</v>
      </c>
      <c r="F5479" t="str">
        <f t="shared" si="2231"/>
        <v>IBG</v>
      </c>
      <c r="G5479" t="str">
        <f t="shared" si="2244"/>
        <v>Refund COSHARE 10</v>
      </c>
      <c r="H5479" s="2">
        <v>1544.7</v>
      </c>
      <c r="I5479" t="str">
        <f>"TUNKU AZLINA BINTI TUNKU ISMAIL"</f>
        <v>TUNKU AZLINA BINTI TUNKU ISMAIL</v>
      </c>
      <c r="J5479" t="str">
        <f t="shared" si="2228"/>
        <v>CIMB BANK / CIMB ISLAMIC BANK</v>
      </c>
      <c r="K5479" t="str">
        <f>"7604428925"</f>
        <v>7604428925</v>
      </c>
      <c r="L5479" t="str">
        <f t="shared" si="2245"/>
        <v>04-08-2020</v>
      </c>
      <c r="M5479" t="str">
        <f t="shared" si="2245"/>
        <v>04-08-2020</v>
      </c>
      <c r="N5479" t="str">
        <f t="shared" si="2233"/>
        <v>001105018356</v>
      </c>
      <c r="O5479" t="str">
        <f t="shared" si="2234"/>
        <v>MYR</v>
      </c>
      <c r="P5479" t="str">
        <f t="shared" si="2246"/>
        <v>NIL</v>
      </c>
      <c r="Q5479" t="str">
        <f t="shared" si="2246"/>
        <v>NIL</v>
      </c>
      <c r="R5479" t="str">
        <f t="shared" si="2247"/>
        <v>Accepted</v>
      </c>
      <c r="S5479" t="str">
        <f t="shared" si="2236"/>
        <v>Approved</v>
      </c>
      <c r="T5479" t="str">
        <f t="shared" si="2248"/>
        <v>10.20.8.188</v>
      </c>
      <c r="U5479" t="str">
        <f t="shared" si="2237"/>
        <v>AZRAD UMAR BIN SHAARI</v>
      </c>
      <c r="V5479" t="str">
        <f t="shared" si="2238"/>
        <v>FARHANA BINTI MUSTAPA</v>
      </c>
      <c r="W5479" t="str">
        <f t="shared" si="2239"/>
        <v>04-08-2020</v>
      </c>
      <c r="X5479" t="str">
        <f t="shared" si="2240"/>
        <v>RAZIMAH ANSAR AHMAD</v>
      </c>
      <c r="Y5479" t="str">
        <f t="shared" si="2241"/>
        <v>04-08-2020</v>
      </c>
      <c r="Z5479" t="str">
        <f>"COS10200804 3675"</f>
        <v>COS10200804 3675</v>
      </c>
    </row>
    <row r="5480" spans="1:26" x14ac:dyDescent="0.25">
      <c r="A5480" t="str">
        <f t="shared" si="2242"/>
        <v>04-08-2020 12:46:39</v>
      </c>
      <c r="B5480" t="str">
        <f>"0000805447"</f>
        <v>0000805447</v>
      </c>
      <c r="C5480" t="str">
        <f t="shared" si="2243"/>
        <v>0000805373</v>
      </c>
      <c r="D5480" t="str">
        <f t="shared" si="2229"/>
        <v>73185</v>
      </c>
      <c r="E5480" t="str">
        <f t="shared" si="2230"/>
        <v>KFH-OPERATIONS DEPARTMENT</v>
      </c>
      <c r="F5480" t="str">
        <f t="shared" si="2231"/>
        <v>IBG</v>
      </c>
      <c r="G5480" t="str">
        <f t="shared" si="2244"/>
        <v>Refund COSHARE 10</v>
      </c>
      <c r="H5480" s="2">
        <v>83.95</v>
      </c>
      <c r="I5480" t="str">
        <f>"TUN FATIMAH BINTI AHMAD"</f>
        <v>TUN FATIMAH BINTI AHMAD</v>
      </c>
      <c r="J5480" t="str">
        <f t="shared" si="2228"/>
        <v>CIMB BANK / CIMB ISLAMIC BANK</v>
      </c>
      <c r="K5480" t="str">
        <f>"14360062934527"</f>
        <v>14360062934527</v>
      </c>
      <c r="L5480" t="str">
        <f t="shared" si="2245"/>
        <v>04-08-2020</v>
      </c>
      <c r="M5480" t="str">
        <f t="shared" si="2245"/>
        <v>04-08-2020</v>
      </c>
      <c r="N5480" t="str">
        <f t="shared" si="2233"/>
        <v>001105018356</v>
      </c>
      <c r="O5480" t="str">
        <f t="shared" si="2234"/>
        <v>MYR</v>
      </c>
      <c r="P5480" t="str">
        <f t="shared" si="2246"/>
        <v>NIL</v>
      </c>
      <c r="Q5480" t="str">
        <f t="shared" si="2246"/>
        <v>NIL</v>
      </c>
      <c r="R5480" t="str">
        <f t="shared" si="2247"/>
        <v>Accepted</v>
      </c>
      <c r="S5480" t="str">
        <f t="shared" si="2236"/>
        <v>Approved</v>
      </c>
      <c r="T5480" t="str">
        <f t="shared" si="2248"/>
        <v>10.20.8.188</v>
      </c>
      <c r="U5480" t="str">
        <f t="shared" si="2237"/>
        <v>AZRAD UMAR BIN SHAARI</v>
      </c>
      <c r="V5480" t="str">
        <f t="shared" si="2238"/>
        <v>FARHANA BINTI MUSTAPA</v>
      </c>
      <c r="W5480" t="str">
        <f t="shared" si="2239"/>
        <v>04-08-2020</v>
      </c>
      <c r="X5480" t="str">
        <f t="shared" si="2240"/>
        <v>RAZIMAH ANSAR AHMAD</v>
      </c>
      <c r="Y5480" t="str">
        <f t="shared" si="2241"/>
        <v>04-08-2020</v>
      </c>
      <c r="Z5480" t="str">
        <f>"COS10200804 3674"</f>
        <v>COS10200804 3674</v>
      </c>
    </row>
    <row r="5481" spans="1:26" x14ac:dyDescent="0.25">
      <c r="A5481" t="str">
        <f t="shared" si="2242"/>
        <v>04-08-2020 12:46:39</v>
      </c>
      <c r="B5481" t="str">
        <f>"0000805446"</f>
        <v>0000805446</v>
      </c>
      <c r="C5481" t="str">
        <f t="shared" si="2243"/>
        <v>0000805373</v>
      </c>
      <c r="D5481" t="str">
        <f t="shared" si="2229"/>
        <v>73185</v>
      </c>
      <c r="E5481" t="str">
        <f t="shared" si="2230"/>
        <v>KFH-OPERATIONS DEPARTMENT</v>
      </c>
      <c r="F5481" t="str">
        <f t="shared" si="2231"/>
        <v>IBG</v>
      </c>
      <c r="G5481" t="str">
        <f t="shared" si="2244"/>
        <v>Refund COSHARE 10</v>
      </c>
      <c r="H5481" s="2">
        <v>548.1</v>
      </c>
      <c r="I5481" t="str">
        <f>"TUKIMEN BIN ROSMAN"</f>
        <v>TUKIMEN BIN ROSMAN</v>
      </c>
      <c r="J5481" t="str">
        <f t="shared" si="2228"/>
        <v>CIMB BANK / CIMB ISLAMIC BANK</v>
      </c>
      <c r="K5481" t="str">
        <f>"14400033629527"</f>
        <v>14400033629527</v>
      </c>
      <c r="L5481" t="str">
        <f t="shared" si="2245"/>
        <v>04-08-2020</v>
      </c>
      <c r="M5481" t="str">
        <f t="shared" si="2245"/>
        <v>04-08-2020</v>
      </c>
      <c r="N5481" t="str">
        <f t="shared" si="2233"/>
        <v>001105018356</v>
      </c>
      <c r="O5481" t="str">
        <f t="shared" si="2234"/>
        <v>MYR</v>
      </c>
      <c r="P5481" t="str">
        <f t="shared" si="2246"/>
        <v>NIL</v>
      </c>
      <c r="Q5481" t="str">
        <f t="shared" si="2246"/>
        <v>NIL</v>
      </c>
      <c r="R5481" t="str">
        <f t="shared" si="2247"/>
        <v>Accepted</v>
      </c>
      <c r="S5481" t="str">
        <f t="shared" si="2236"/>
        <v>Approved</v>
      </c>
      <c r="T5481" t="str">
        <f t="shared" si="2248"/>
        <v>10.20.8.188</v>
      </c>
      <c r="U5481" t="str">
        <f t="shared" si="2237"/>
        <v>AZRAD UMAR BIN SHAARI</v>
      </c>
      <c r="V5481" t="str">
        <f t="shared" si="2238"/>
        <v>FARHANA BINTI MUSTAPA</v>
      </c>
      <c r="W5481" t="str">
        <f t="shared" si="2239"/>
        <v>04-08-2020</v>
      </c>
      <c r="X5481" t="str">
        <f t="shared" si="2240"/>
        <v>RAZIMAH ANSAR AHMAD</v>
      </c>
      <c r="Y5481" t="str">
        <f t="shared" si="2241"/>
        <v>04-08-2020</v>
      </c>
      <c r="Z5481" t="str">
        <f>"COS10200804 3673"</f>
        <v>COS10200804 3673</v>
      </c>
    </row>
    <row r="5482" spans="1:26" x14ac:dyDescent="0.25">
      <c r="A5482" t="str">
        <f t="shared" ref="A5482:A5513" si="2249">"04-08-2020 12:46:39"</f>
        <v>04-08-2020 12:46:39</v>
      </c>
      <c r="B5482" t="str">
        <f>"0000805445"</f>
        <v>0000805445</v>
      </c>
      <c r="C5482" t="str">
        <f t="shared" ref="C5482:C5513" si="2250">"0000805373"</f>
        <v>0000805373</v>
      </c>
      <c r="D5482" t="str">
        <f t="shared" si="2229"/>
        <v>73185</v>
      </c>
      <c r="E5482" t="str">
        <f t="shared" si="2230"/>
        <v>KFH-OPERATIONS DEPARTMENT</v>
      </c>
      <c r="F5482" t="str">
        <f t="shared" si="2231"/>
        <v>IBG</v>
      </c>
      <c r="G5482" t="str">
        <f t="shared" si="2244"/>
        <v>Refund COSHARE 10</v>
      </c>
      <c r="H5482" s="2">
        <v>856.5</v>
      </c>
      <c r="I5482" t="str">
        <f>"TUAN MOHAMAD BIN TUAN NGAH"</f>
        <v>TUAN MOHAMAD BIN TUAN NGAH</v>
      </c>
      <c r="J5482" t="str">
        <f t="shared" si="2228"/>
        <v>CIMB BANK / CIMB ISLAMIC BANK</v>
      </c>
      <c r="K5482" t="str">
        <f>"14230063204520"</f>
        <v>14230063204520</v>
      </c>
      <c r="L5482" t="str">
        <f t="shared" si="2245"/>
        <v>04-08-2020</v>
      </c>
      <c r="M5482" t="str">
        <f t="shared" si="2245"/>
        <v>04-08-2020</v>
      </c>
      <c r="N5482" t="str">
        <f t="shared" si="2233"/>
        <v>001105018356</v>
      </c>
      <c r="O5482" t="str">
        <f t="shared" si="2234"/>
        <v>MYR</v>
      </c>
      <c r="P5482" t="str">
        <f t="shared" si="2246"/>
        <v>NIL</v>
      </c>
      <c r="Q5482" t="str">
        <f t="shared" si="2246"/>
        <v>NIL</v>
      </c>
      <c r="R5482" t="str">
        <f t="shared" si="2247"/>
        <v>Accepted</v>
      </c>
      <c r="S5482" t="str">
        <f t="shared" si="2236"/>
        <v>Approved</v>
      </c>
      <c r="T5482" t="str">
        <f t="shared" si="2248"/>
        <v>10.20.8.188</v>
      </c>
      <c r="U5482" t="str">
        <f t="shared" si="2237"/>
        <v>AZRAD UMAR BIN SHAARI</v>
      </c>
      <c r="V5482" t="str">
        <f t="shared" si="2238"/>
        <v>FARHANA BINTI MUSTAPA</v>
      </c>
      <c r="W5482" t="str">
        <f t="shared" si="2239"/>
        <v>04-08-2020</v>
      </c>
      <c r="X5482" t="str">
        <f t="shared" si="2240"/>
        <v>RAZIMAH ANSAR AHMAD</v>
      </c>
      <c r="Y5482" t="str">
        <f t="shared" si="2241"/>
        <v>04-08-2020</v>
      </c>
      <c r="Z5482" t="str">
        <f>"COS10200804 3672"</f>
        <v>COS10200804 3672</v>
      </c>
    </row>
    <row r="5483" spans="1:26" x14ac:dyDescent="0.25">
      <c r="A5483" t="str">
        <f t="shared" si="2249"/>
        <v>04-08-2020 12:46:39</v>
      </c>
      <c r="B5483" t="str">
        <f>"0000805444"</f>
        <v>0000805444</v>
      </c>
      <c r="C5483" t="str">
        <f t="shared" si="2250"/>
        <v>0000805373</v>
      </c>
      <c r="D5483" t="str">
        <f t="shared" si="2229"/>
        <v>73185</v>
      </c>
      <c r="E5483" t="str">
        <f t="shared" si="2230"/>
        <v>KFH-OPERATIONS DEPARTMENT</v>
      </c>
      <c r="F5483" t="str">
        <f t="shared" si="2231"/>
        <v>IBG</v>
      </c>
      <c r="G5483" t="str">
        <f t="shared" si="2244"/>
        <v>Refund COSHARE 10</v>
      </c>
      <c r="H5483" s="2">
        <v>1518</v>
      </c>
      <c r="I5483" t="str">
        <f>"TUAN KAZUAINEY AKZAN BINTI TUAN MUHD KAMAL"</f>
        <v>TUAN KAZUAINEY AKZAN BINTI TUAN MUHD KAMAL</v>
      </c>
      <c r="J5483" t="str">
        <f t="shared" si="2228"/>
        <v>CIMB BANK / CIMB ISLAMIC BANK</v>
      </c>
      <c r="K5483" t="str">
        <f>"14160045559528"</f>
        <v>14160045559528</v>
      </c>
      <c r="L5483" t="str">
        <f t="shared" si="2245"/>
        <v>04-08-2020</v>
      </c>
      <c r="M5483" t="str">
        <f t="shared" si="2245"/>
        <v>04-08-2020</v>
      </c>
      <c r="N5483" t="str">
        <f t="shared" si="2233"/>
        <v>001105018356</v>
      </c>
      <c r="O5483" t="str">
        <f t="shared" si="2234"/>
        <v>MYR</v>
      </c>
      <c r="P5483" t="str">
        <f t="shared" si="2246"/>
        <v>NIL</v>
      </c>
      <c r="Q5483" t="str">
        <f t="shared" si="2246"/>
        <v>NIL</v>
      </c>
      <c r="R5483" t="str">
        <f t="shared" si="2247"/>
        <v>Accepted</v>
      </c>
      <c r="S5483" t="str">
        <f t="shared" si="2236"/>
        <v>Approved</v>
      </c>
      <c r="T5483" t="str">
        <f t="shared" si="2248"/>
        <v>10.20.8.188</v>
      </c>
      <c r="U5483" t="str">
        <f t="shared" si="2237"/>
        <v>AZRAD UMAR BIN SHAARI</v>
      </c>
      <c r="V5483" t="str">
        <f t="shared" si="2238"/>
        <v>FARHANA BINTI MUSTAPA</v>
      </c>
      <c r="W5483" t="str">
        <f t="shared" si="2239"/>
        <v>04-08-2020</v>
      </c>
      <c r="X5483" t="str">
        <f t="shared" si="2240"/>
        <v>RAZIMAH ANSAR AHMAD</v>
      </c>
      <c r="Y5483" t="str">
        <f t="shared" si="2241"/>
        <v>04-08-2020</v>
      </c>
      <c r="Z5483" t="str">
        <f>"COS10200804 3671"</f>
        <v>COS10200804 3671</v>
      </c>
    </row>
    <row r="5484" spans="1:26" x14ac:dyDescent="0.25">
      <c r="A5484" t="str">
        <f t="shared" si="2249"/>
        <v>04-08-2020 12:46:39</v>
      </c>
      <c r="B5484" t="str">
        <f>"0000805443"</f>
        <v>0000805443</v>
      </c>
      <c r="C5484" t="str">
        <f t="shared" si="2250"/>
        <v>0000805373</v>
      </c>
      <c r="D5484" t="str">
        <f t="shared" si="2229"/>
        <v>73185</v>
      </c>
      <c r="E5484" t="str">
        <f t="shared" si="2230"/>
        <v>KFH-OPERATIONS DEPARTMENT</v>
      </c>
      <c r="F5484" t="str">
        <f t="shared" si="2231"/>
        <v>IBG</v>
      </c>
      <c r="G5484" t="str">
        <f t="shared" si="2244"/>
        <v>Refund COSHARE 10</v>
      </c>
      <c r="H5484" s="2">
        <v>1025.8</v>
      </c>
      <c r="I5484" t="str">
        <f>"TRI MONASYA BINTI SAMSUDIN"</f>
        <v>TRI MONASYA BINTI SAMSUDIN</v>
      </c>
      <c r="J5484" t="str">
        <f t="shared" si="2228"/>
        <v>CIMB BANK / CIMB ISLAMIC BANK</v>
      </c>
      <c r="K5484" t="str">
        <f>"16010004737202"</f>
        <v>16010004737202</v>
      </c>
      <c r="L5484" t="str">
        <f t="shared" si="2245"/>
        <v>04-08-2020</v>
      </c>
      <c r="M5484" t="str">
        <f t="shared" si="2245"/>
        <v>04-08-2020</v>
      </c>
      <c r="N5484" t="str">
        <f t="shared" si="2233"/>
        <v>001105018356</v>
      </c>
      <c r="O5484" t="str">
        <f t="shared" si="2234"/>
        <v>MYR</v>
      </c>
      <c r="P5484" t="str">
        <f t="shared" si="2246"/>
        <v>NIL</v>
      </c>
      <c r="Q5484" t="str">
        <f t="shared" si="2246"/>
        <v>NIL</v>
      </c>
      <c r="R5484" t="str">
        <f t="shared" si="2247"/>
        <v>Accepted</v>
      </c>
      <c r="S5484" t="str">
        <f t="shared" si="2236"/>
        <v>Approved</v>
      </c>
      <c r="T5484" t="str">
        <f t="shared" si="2248"/>
        <v>10.20.8.188</v>
      </c>
      <c r="U5484" t="str">
        <f t="shared" si="2237"/>
        <v>AZRAD UMAR BIN SHAARI</v>
      </c>
      <c r="V5484" t="str">
        <f t="shared" si="2238"/>
        <v>FARHANA BINTI MUSTAPA</v>
      </c>
      <c r="W5484" t="str">
        <f t="shared" si="2239"/>
        <v>04-08-2020</v>
      </c>
      <c r="X5484" t="str">
        <f t="shared" si="2240"/>
        <v>RAZIMAH ANSAR AHMAD</v>
      </c>
      <c r="Y5484" t="str">
        <f t="shared" si="2241"/>
        <v>04-08-2020</v>
      </c>
      <c r="Z5484" t="str">
        <f>"COS10200804 3670"</f>
        <v>COS10200804 3670</v>
      </c>
    </row>
    <row r="5485" spans="1:26" x14ac:dyDescent="0.25">
      <c r="A5485" t="str">
        <f t="shared" si="2249"/>
        <v>04-08-2020 12:46:39</v>
      </c>
      <c r="B5485" t="str">
        <f>"0000805442"</f>
        <v>0000805442</v>
      </c>
      <c r="C5485" t="str">
        <f t="shared" si="2250"/>
        <v>0000805373</v>
      </c>
      <c r="D5485" t="str">
        <f t="shared" si="2229"/>
        <v>73185</v>
      </c>
      <c r="E5485" t="str">
        <f t="shared" si="2230"/>
        <v>KFH-OPERATIONS DEPARTMENT</v>
      </c>
      <c r="F5485" t="str">
        <f t="shared" si="2231"/>
        <v>IBG</v>
      </c>
      <c r="G5485" t="str">
        <f t="shared" si="2244"/>
        <v>Refund COSHARE 10</v>
      </c>
      <c r="H5485" s="2">
        <v>129</v>
      </c>
      <c r="I5485" t="str">
        <f>"TRECEY TRACY JTOJUKA"</f>
        <v>TRECEY TRACY JTOJUKA</v>
      </c>
      <c r="J5485" t="str">
        <f t="shared" si="2228"/>
        <v>CIMB BANK / CIMB ISLAMIC BANK</v>
      </c>
      <c r="K5485" t="str">
        <f>"10020046855523"</f>
        <v>10020046855523</v>
      </c>
      <c r="L5485" t="str">
        <f t="shared" si="2245"/>
        <v>04-08-2020</v>
      </c>
      <c r="M5485" t="str">
        <f t="shared" si="2245"/>
        <v>04-08-2020</v>
      </c>
      <c r="N5485" t="str">
        <f t="shared" si="2233"/>
        <v>001105018356</v>
      </c>
      <c r="O5485" t="str">
        <f t="shared" si="2234"/>
        <v>MYR</v>
      </c>
      <c r="P5485" t="str">
        <f t="shared" si="2246"/>
        <v>NIL</v>
      </c>
      <c r="Q5485" t="str">
        <f t="shared" si="2246"/>
        <v>NIL</v>
      </c>
      <c r="R5485" t="str">
        <f t="shared" si="2247"/>
        <v>Accepted</v>
      </c>
      <c r="S5485" t="str">
        <f t="shared" si="2236"/>
        <v>Approved</v>
      </c>
      <c r="T5485" t="str">
        <f t="shared" si="2248"/>
        <v>10.20.8.188</v>
      </c>
      <c r="U5485" t="str">
        <f t="shared" si="2237"/>
        <v>AZRAD UMAR BIN SHAARI</v>
      </c>
      <c r="V5485" t="str">
        <f t="shared" si="2238"/>
        <v>FARHANA BINTI MUSTAPA</v>
      </c>
      <c r="W5485" t="str">
        <f t="shared" si="2239"/>
        <v>04-08-2020</v>
      </c>
      <c r="X5485" t="str">
        <f t="shared" si="2240"/>
        <v>RAZIMAH ANSAR AHMAD</v>
      </c>
      <c r="Y5485" t="str">
        <f t="shared" si="2241"/>
        <v>04-08-2020</v>
      </c>
      <c r="Z5485" t="str">
        <f>"COS10200804 3669"</f>
        <v>COS10200804 3669</v>
      </c>
    </row>
    <row r="5486" spans="1:26" x14ac:dyDescent="0.25">
      <c r="A5486" t="str">
        <f t="shared" si="2249"/>
        <v>04-08-2020 12:46:39</v>
      </c>
      <c r="B5486" t="str">
        <f>"0000805441"</f>
        <v>0000805441</v>
      </c>
      <c r="C5486" t="str">
        <f t="shared" si="2250"/>
        <v>0000805373</v>
      </c>
      <c r="D5486" t="str">
        <f t="shared" si="2229"/>
        <v>73185</v>
      </c>
      <c r="E5486" t="str">
        <f t="shared" si="2230"/>
        <v>KFH-OPERATIONS DEPARTMENT</v>
      </c>
      <c r="F5486" t="str">
        <f t="shared" si="2231"/>
        <v>IBG</v>
      </c>
      <c r="G5486" t="str">
        <f t="shared" si="2244"/>
        <v>Refund COSHARE 10</v>
      </c>
      <c r="H5486" s="2">
        <v>129</v>
      </c>
      <c r="I5486" t="str">
        <f>"TRECEY TRACY JTOJUKA"</f>
        <v>TRECEY TRACY JTOJUKA</v>
      </c>
      <c r="J5486" t="str">
        <f t="shared" si="2228"/>
        <v>CIMB BANK / CIMB ISLAMIC BANK</v>
      </c>
      <c r="K5486" t="str">
        <f>"10020046855523"</f>
        <v>10020046855523</v>
      </c>
      <c r="L5486" t="str">
        <f t="shared" si="2245"/>
        <v>04-08-2020</v>
      </c>
      <c r="M5486" t="str">
        <f t="shared" si="2245"/>
        <v>04-08-2020</v>
      </c>
      <c r="N5486" t="str">
        <f t="shared" si="2233"/>
        <v>001105018356</v>
      </c>
      <c r="O5486" t="str">
        <f t="shared" si="2234"/>
        <v>MYR</v>
      </c>
      <c r="P5486" t="str">
        <f t="shared" si="2246"/>
        <v>NIL</v>
      </c>
      <c r="Q5486" t="str">
        <f t="shared" si="2246"/>
        <v>NIL</v>
      </c>
      <c r="R5486" t="str">
        <f t="shared" si="2247"/>
        <v>Accepted</v>
      </c>
      <c r="S5486" t="str">
        <f t="shared" si="2236"/>
        <v>Approved</v>
      </c>
      <c r="T5486" t="str">
        <f t="shared" si="2248"/>
        <v>10.20.8.188</v>
      </c>
      <c r="U5486" t="str">
        <f t="shared" si="2237"/>
        <v>AZRAD UMAR BIN SHAARI</v>
      </c>
      <c r="V5486" t="str">
        <f t="shared" si="2238"/>
        <v>FARHANA BINTI MUSTAPA</v>
      </c>
      <c r="W5486" t="str">
        <f t="shared" si="2239"/>
        <v>04-08-2020</v>
      </c>
      <c r="X5486" t="str">
        <f t="shared" si="2240"/>
        <v>RAZIMAH ANSAR AHMAD</v>
      </c>
      <c r="Y5486" t="str">
        <f t="shared" si="2241"/>
        <v>04-08-2020</v>
      </c>
      <c r="Z5486" t="str">
        <f>"COS10200804 3668"</f>
        <v>COS10200804 3668</v>
      </c>
    </row>
    <row r="5487" spans="1:26" x14ac:dyDescent="0.25">
      <c r="A5487" t="str">
        <f t="shared" si="2249"/>
        <v>04-08-2020 12:46:39</v>
      </c>
      <c r="B5487" t="str">
        <f>"0000805440"</f>
        <v>0000805440</v>
      </c>
      <c r="C5487" t="str">
        <f t="shared" si="2250"/>
        <v>0000805373</v>
      </c>
      <c r="D5487" t="str">
        <f t="shared" si="2229"/>
        <v>73185</v>
      </c>
      <c r="E5487" t="str">
        <f t="shared" si="2230"/>
        <v>KFH-OPERATIONS DEPARTMENT</v>
      </c>
      <c r="F5487" t="str">
        <f t="shared" si="2231"/>
        <v>IBG</v>
      </c>
      <c r="G5487" t="str">
        <f t="shared" si="2244"/>
        <v>Refund COSHARE 10</v>
      </c>
      <c r="H5487" s="2">
        <v>419.75</v>
      </c>
      <c r="I5487" t="str">
        <f>"TINA MELANIE AP GEORGE JACOB"</f>
        <v>TINA MELANIE AP GEORGE JACOB</v>
      </c>
      <c r="J5487" t="str">
        <f t="shared" si="2228"/>
        <v>CIMB BANK / CIMB ISLAMIC BANK</v>
      </c>
      <c r="K5487" t="str">
        <f>"01140065492529"</f>
        <v>01140065492529</v>
      </c>
      <c r="L5487" t="str">
        <f t="shared" ref="L5487:M5506" si="2251">"04-08-2020"</f>
        <v>04-08-2020</v>
      </c>
      <c r="M5487" t="str">
        <f t="shared" si="2251"/>
        <v>04-08-2020</v>
      </c>
      <c r="N5487" t="str">
        <f t="shared" si="2233"/>
        <v>001105018356</v>
      </c>
      <c r="O5487" t="str">
        <f t="shared" si="2234"/>
        <v>MYR</v>
      </c>
      <c r="P5487" t="str">
        <f t="shared" ref="P5487:Q5506" si="2252">"NIL"</f>
        <v>NIL</v>
      </c>
      <c r="Q5487" t="str">
        <f t="shared" si="2252"/>
        <v>NIL</v>
      </c>
      <c r="R5487" t="str">
        <f t="shared" si="2247"/>
        <v>Accepted</v>
      </c>
      <c r="S5487" t="str">
        <f t="shared" si="2236"/>
        <v>Approved</v>
      </c>
      <c r="T5487" t="str">
        <f t="shared" si="2248"/>
        <v>10.20.8.188</v>
      </c>
      <c r="U5487" t="str">
        <f t="shared" si="2237"/>
        <v>AZRAD UMAR BIN SHAARI</v>
      </c>
      <c r="V5487" t="str">
        <f t="shared" si="2238"/>
        <v>FARHANA BINTI MUSTAPA</v>
      </c>
      <c r="W5487" t="str">
        <f t="shared" si="2239"/>
        <v>04-08-2020</v>
      </c>
      <c r="X5487" t="str">
        <f t="shared" si="2240"/>
        <v>RAZIMAH ANSAR AHMAD</v>
      </c>
      <c r="Y5487" t="str">
        <f t="shared" si="2241"/>
        <v>04-08-2020</v>
      </c>
      <c r="Z5487" t="str">
        <f>"COS10200804 3667"</f>
        <v>COS10200804 3667</v>
      </c>
    </row>
    <row r="5488" spans="1:26" x14ac:dyDescent="0.25">
      <c r="A5488" t="str">
        <f t="shared" si="2249"/>
        <v>04-08-2020 12:46:39</v>
      </c>
      <c r="B5488" t="str">
        <f>"0000805439"</f>
        <v>0000805439</v>
      </c>
      <c r="C5488" t="str">
        <f t="shared" si="2250"/>
        <v>0000805373</v>
      </c>
      <c r="D5488" t="str">
        <f t="shared" si="2229"/>
        <v>73185</v>
      </c>
      <c r="E5488" t="str">
        <f t="shared" si="2230"/>
        <v>KFH-OPERATIONS DEPARTMENT</v>
      </c>
      <c r="F5488" t="str">
        <f t="shared" si="2231"/>
        <v>IBG</v>
      </c>
      <c r="G5488" t="str">
        <f t="shared" si="2244"/>
        <v>Refund COSHARE 10</v>
      </c>
      <c r="H5488" s="2">
        <v>607</v>
      </c>
      <c r="I5488" t="str">
        <f>"THIRU ALIL ARSI AP ULARKANAZAN"</f>
        <v>THIRU ALIL ARSI AP ULARKANAZAN</v>
      </c>
      <c r="J5488" t="str">
        <f t="shared" si="2228"/>
        <v>CIMB BANK / CIMB ISLAMIC BANK</v>
      </c>
      <c r="K5488" t="str">
        <f>"07450002731520"</f>
        <v>07450002731520</v>
      </c>
      <c r="L5488" t="str">
        <f t="shared" si="2251"/>
        <v>04-08-2020</v>
      </c>
      <c r="M5488" t="str">
        <f t="shared" si="2251"/>
        <v>04-08-2020</v>
      </c>
      <c r="N5488" t="str">
        <f t="shared" si="2233"/>
        <v>001105018356</v>
      </c>
      <c r="O5488" t="str">
        <f t="shared" si="2234"/>
        <v>MYR</v>
      </c>
      <c r="P5488" t="str">
        <f t="shared" si="2252"/>
        <v>NIL</v>
      </c>
      <c r="Q5488" t="str">
        <f t="shared" si="2252"/>
        <v>NIL</v>
      </c>
      <c r="R5488" t="str">
        <f t="shared" si="2247"/>
        <v>Accepted</v>
      </c>
      <c r="S5488" t="str">
        <f t="shared" si="2236"/>
        <v>Approved</v>
      </c>
      <c r="T5488" t="str">
        <f t="shared" si="2248"/>
        <v>10.20.8.188</v>
      </c>
      <c r="U5488" t="str">
        <f t="shared" si="2237"/>
        <v>AZRAD UMAR BIN SHAARI</v>
      </c>
      <c r="V5488" t="str">
        <f t="shared" si="2238"/>
        <v>FARHANA BINTI MUSTAPA</v>
      </c>
      <c r="W5488" t="str">
        <f t="shared" si="2239"/>
        <v>04-08-2020</v>
      </c>
      <c r="X5488" t="str">
        <f t="shared" si="2240"/>
        <v>RAZIMAH ANSAR AHMAD</v>
      </c>
      <c r="Y5488" t="str">
        <f t="shared" si="2241"/>
        <v>04-08-2020</v>
      </c>
      <c r="Z5488" t="str">
        <f>"COS10200804 3666"</f>
        <v>COS10200804 3666</v>
      </c>
    </row>
    <row r="5489" spans="1:26" x14ac:dyDescent="0.25">
      <c r="A5489" t="str">
        <f t="shared" si="2249"/>
        <v>04-08-2020 12:46:39</v>
      </c>
      <c r="B5489" t="str">
        <f>"0000805438"</f>
        <v>0000805438</v>
      </c>
      <c r="C5489" t="str">
        <f t="shared" si="2250"/>
        <v>0000805373</v>
      </c>
      <c r="D5489" t="str">
        <f t="shared" si="2229"/>
        <v>73185</v>
      </c>
      <c r="E5489" t="str">
        <f t="shared" si="2230"/>
        <v>KFH-OPERATIONS DEPARTMENT</v>
      </c>
      <c r="F5489" t="str">
        <f t="shared" si="2231"/>
        <v>IBG</v>
      </c>
      <c r="G5489" t="str">
        <f t="shared" si="2244"/>
        <v>Refund COSHARE 10</v>
      </c>
      <c r="H5489" s="2">
        <v>1167</v>
      </c>
      <c r="I5489" t="str">
        <f>"THENMALAR AP SUPPAIAH"</f>
        <v>THENMALAR AP SUPPAIAH</v>
      </c>
      <c r="J5489" t="str">
        <f t="shared" si="2228"/>
        <v>CIMB BANK / CIMB ISLAMIC BANK</v>
      </c>
      <c r="K5489" t="str">
        <f>"12900007058528"</f>
        <v>12900007058528</v>
      </c>
      <c r="L5489" t="str">
        <f t="shared" si="2251"/>
        <v>04-08-2020</v>
      </c>
      <c r="M5489" t="str">
        <f t="shared" si="2251"/>
        <v>04-08-2020</v>
      </c>
      <c r="N5489" t="str">
        <f t="shared" si="2233"/>
        <v>001105018356</v>
      </c>
      <c r="O5489" t="str">
        <f t="shared" si="2234"/>
        <v>MYR</v>
      </c>
      <c r="P5489" t="str">
        <f t="shared" si="2252"/>
        <v>NIL</v>
      </c>
      <c r="Q5489" t="str">
        <f t="shared" si="2252"/>
        <v>NIL</v>
      </c>
      <c r="R5489" t="str">
        <f t="shared" si="2247"/>
        <v>Accepted</v>
      </c>
      <c r="S5489" t="str">
        <f t="shared" si="2236"/>
        <v>Approved</v>
      </c>
      <c r="T5489" t="str">
        <f t="shared" si="2248"/>
        <v>10.20.8.188</v>
      </c>
      <c r="U5489" t="str">
        <f t="shared" si="2237"/>
        <v>AZRAD UMAR BIN SHAARI</v>
      </c>
      <c r="V5489" t="str">
        <f t="shared" si="2238"/>
        <v>FARHANA BINTI MUSTAPA</v>
      </c>
      <c r="W5489" t="str">
        <f t="shared" si="2239"/>
        <v>04-08-2020</v>
      </c>
      <c r="X5489" t="str">
        <f t="shared" si="2240"/>
        <v>RAZIMAH ANSAR AHMAD</v>
      </c>
      <c r="Y5489" t="str">
        <f t="shared" si="2241"/>
        <v>04-08-2020</v>
      </c>
      <c r="Z5489" t="str">
        <f>"COS10200804 3665"</f>
        <v>COS10200804 3665</v>
      </c>
    </row>
    <row r="5490" spans="1:26" x14ac:dyDescent="0.25">
      <c r="A5490" t="str">
        <f t="shared" si="2249"/>
        <v>04-08-2020 12:46:39</v>
      </c>
      <c r="B5490" t="str">
        <f>"0000805437"</f>
        <v>0000805437</v>
      </c>
      <c r="C5490" t="str">
        <f t="shared" si="2250"/>
        <v>0000805373</v>
      </c>
      <c r="D5490" t="str">
        <f t="shared" si="2229"/>
        <v>73185</v>
      </c>
      <c r="E5490" t="str">
        <f t="shared" si="2230"/>
        <v>KFH-OPERATIONS DEPARTMENT</v>
      </c>
      <c r="F5490" t="str">
        <f t="shared" si="2231"/>
        <v>IBG</v>
      </c>
      <c r="G5490" t="str">
        <f t="shared" si="2244"/>
        <v>Refund COSHARE 10</v>
      </c>
      <c r="H5490" s="2">
        <v>108</v>
      </c>
      <c r="I5490" t="str">
        <f>"THANGADURA A L SUPPIAH"</f>
        <v>THANGADURA A L SUPPIAH</v>
      </c>
      <c r="J5490" t="str">
        <f t="shared" si="2228"/>
        <v>CIMB BANK / CIMB ISLAMIC BANK</v>
      </c>
      <c r="K5490" t="str">
        <f>"12210031355526"</f>
        <v>12210031355526</v>
      </c>
      <c r="L5490" t="str">
        <f t="shared" si="2251"/>
        <v>04-08-2020</v>
      </c>
      <c r="M5490" t="str">
        <f t="shared" si="2251"/>
        <v>04-08-2020</v>
      </c>
      <c r="N5490" t="str">
        <f t="shared" si="2233"/>
        <v>001105018356</v>
      </c>
      <c r="O5490" t="str">
        <f t="shared" si="2234"/>
        <v>MYR</v>
      </c>
      <c r="P5490" t="str">
        <f t="shared" si="2252"/>
        <v>NIL</v>
      </c>
      <c r="Q5490" t="str">
        <f t="shared" si="2252"/>
        <v>NIL</v>
      </c>
      <c r="R5490" t="str">
        <f t="shared" si="2247"/>
        <v>Accepted</v>
      </c>
      <c r="S5490" t="str">
        <f t="shared" si="2236"/>
        <v>Approved</v>
      </c>
      <c r="T5490" t="str">
        <f t="shared" si="2248"/>
        <v>10.20.8.188</v>
      </c>
      <c r="U5490" t="str">
        <f t="shared" si="2237"/>
        <v>AZRAD UMAR BIN SHAARI</v>
      </c>
      <c r="V5490" t="str">
        <f t="shared" si="2238"/>
        <v>FARHANA BINTI MUSTAPA</v>
      </c>
      <c r="W5490" t="str">
        <f t="shared" si="2239"/>
        <v>04-08-2020</v>
      </c>
      <c r="X5490" t="str">
        <f t="shared" si="2240"/>
        <v>RAZIMAH ANSAR AHMAD</v>
      </c>
      <c r="Y5490" t="str">
        <f t="shared" si="2241"/>
        <v>04-08-2020</v>
      </c>
      <c r="Z5490" t="str">
        <f>"COS10200804 3664"</f>
        <v>COS10200804 3664</v>
      </c>
    </row>
    <row r="5491" spans="1:26" x14ac:dyDescent="0.25">
      <c r="A5491" t="str">
        <f t="shared" si="2249"/>
        <v>04-08-2020 12:46:39</v>
      </c>
      <c r="B5491" t="str">
        <f>"0000805436"</f>
        <v>0000805436</v>
      </c>
      <c r="C5491" t="str">
        <f t="shared" si="2250"/>
        <v>0000805373</v>
      </c>
      <c r="D5491" t="str">
        <f t="shared" si="2229"/>
        <v>73185</v>
      </c>
      <c r="E5491" t="str">
        <f t="shared" si="2230"/>
        <v>KFH-OPERATIONS DEPARTMENT</v>
      </c>
      <c r="F5491" t="str">
        <f t="shared" si="2231"/>
        <v>IBG</v>
      </c>
      <c r="G5491" t="str">
        <f t="shared" si="2244"/>
        <v>Refund COSHARE 10</v>
      </c>
      <c r="H5491" s="2">
        <v>1234.0999999999999</v>
      </c>
      <c r="I5491" t="str">
        <f>"THANAREKA AP SURIA NARAYANAN"</f>
        <v>THANAREKA AP SURIA NARAYANAN</v>
      </c>
      <c r="J5491" t="str">
        <f t="shared" si="2228"/>
        <v>CIMB BANK / CIMB ISLAMIC BANK</v>
      </c>
      <c r="K5491" t="str">
        <f>"7030158065"</f>
        <v>7030158065</v>
      </c>
      <c r="L5491" t="str">
        <f t="shared" si="2251"/>
        <v>04-08-2020</v>
      </c>
      <c r="M5491" t="str">
        <f t="shared" si="2251"/>
        <v>04-08-2020</v>
      </c>
      <c r="N5491" t="str">
        <f t="shared" si="2233"/>
        <v>001105018356</v>
      </c>
      <c r="O5491" t="str">
        <f t="shared" si="2234"/>
        <v>MYR</v>
      </c>
      <c r="P5491" t="str">
        <f t="shared" si="2252"/>
        <v>NIL</v>
      </c>
      <c r="Q5491" t="str">
        <f t="shared" si="2252"/>
        <v>NIL</v>
      </c>
      <c r="R5491" t="str">
        <f t="shared" si="2247"/>
        <v>Accepted</v>
      </c>
      <c r="S5491" t="str">
        <f t="shared" si="2236"/>
        <v>Approved</v>
      </c>
      <c r="T5491" t="str">
        <f t="shared" si="2248"/>
        <v>10.20.8.188</v>
      </c>
      <c r="U5491" t="str">
        <f t="shared" si="2237"/>
        <v>AZRAD UMAR BIN SHAARI</v>
      </c>
      <c r="V5491" t="str">
        <f t="shared" si="2238"/>
        <v>FARHANA BINTI MUSTAPA</v>
      </c>
      <c r="W5491" t="str">
        <f t="shared" si="2239"/>
        <v>04-08-2020</v>
      </c>
      <c r="X5491" t="str">
        <f t="shared" si="2240"/>
        <v>RAZIMAH ANSAR AHMAD</v>
      </c>
      <c r="Y5491" t="str">
        <f t="shared" si="2241"/>
        <v>04-08-2020</v>
      </c>
      <c r="Z5491" t="str">
        <f>"COS10200804 3663"</f>
        <v>COS10200804 3663</v>
      </c>
    </row>
    <row r="5492" spans="1:26" x14ac:dyDescent="0.25">
      <c r="A5492" t="str">
        <f t="shared" si="2249"/>
        <v>04-08-2020 12:46:39</v>
      </c>
      <c r="B5492" t="str">
        <f>"0000805435"</f>
        <v>0000805435</v>
      </c>
      <c r="C5492" t="str">
        <f t="shared" si="2250"/>
        <v>0000805373</v>
      </c>
      <c r="D5492" t="str">
        <f t="shared" si="2229"/>
        <v>73185</v>
      </c>
      <c r="E5492" t="str">
        <f t="shared" si="2230"/>
        <v>KFH-OPERATIONS DEPARTMENT</v>
      </c>
      <c r="F5492" t="str">
        <f t="shared" si="2231"/>
        <v>IBG</v>
      </c>
      <c r="G5492" t="str">
        <f t="shared" si="2244"/>
        <v>Refund COSHARE 10</v>
      </c>
      <c r="H5492" s="2">
        <v>419.75</v>
      </c>
      <c r="I5492" t="str">
        <f>"TERRY ANAK LUCAS"</f>
        <v>TERRY ANAK LUCAS</v>
      </c>
      <c r="J5492" t="str">
        <f t="shared" si="2228"/>
        <v>CIMB BANK / CIMB ISLAMIC BANK</v>
      </c>
      <c r="K5492" t="str">
        <f>"7033495554"</f>
        <v>7033495554</v>
      </c>
      <c r="L5492" t="str">
        <f t="shared" si="2251"/>
        <v>04-08-2020</v>
      </c>
      <c r="M5492" t="str">
        <f t="shared" si="2251"/>
        <v>04-08-2020</v>
      </c>
      <c r="N5492" t="str">
        <f t="shared" si="2233"/>
        <v>001105018356</v>
      </c>
      <c r="O5492" t="str">
        <f t="shared" si="2234"/>
        <v>MYR</v>
      </c>
      <c r="P5492" t="str">
        <f t="shared" si="2252"/>
        <v>NIL</v>
      </c>
      <c r="Q5492" t="str">
        <f t="shared" si="2252"/>
        <v>NIL</v>
      </c>
      <c r="R5492" t="str">
        <f t="shared" si="2247"/>
        <v>Accepted</v>
      </c>
      <c r="S5492" t="str">
        <f t="shared" si="2236"/>
        <v>Approved</v>
      </c>
      <c r="T5492" t="str">
        <f t="shared" si="2248"/>
        <v>10.20.8.188</v>
      </c>
      <c r="U5492" t="str">
        <f t="shared" si="2237"/>
        <v>AZRAD UMAR BIN SHAARI</v>
      </c>
      <c r="V5492" t="str">
        <f t="shared" si="2238"/>
        <v>FARHANA BINTI MUSTAPA</v>
      </c>
      <c r="W5492" t="str">
        <f t="shared" si="2239"/>
        <v>04-08-2020</v>
      </c>
      <c r="X5492" t="str">
        <f t="shared" si="2240"/>
        <v>RAZIMAH ANSAR AHMAD</v>
      </c>
      <c r="Y5492" t="str">
        <f t="shared" si="2241"/>
        <v>04-08-2020</v>
      </c>
      <c r="Z5492" t="str">
        <f>"COS10200804 3662"</f>
        <v>COS10200804 3662</v>
      </c>
    </row>
    <row r="5493" spans="1:26" x14ac:dyDescent="0.25">
      <c r="A5493" t="str">
        <f t="shared" si="2249"/>
        <v>04-08-2020 12:46:39</v>
      </c>
      <c r="B5493" t="str">
        <f>"0000805434"</f>
        <v>0000805434</v>
      </c>
      <c r="C5493" t="str">
        <f t="shared" si="2250"/>
        <v>0000805373</v>
      </c>
      <c r="D5493" t="str">
        <f t="shared" si="2229"/>
        <v>73185</v>
      </c>
      <c r="E5493" t="str">
        <f t="shared" si="2230"/>
        <v>KFH-OPERATIONS DEPARTMENT</v>
      </c>
      <c r="F5493" t="str">
        <f t="shared" si="2231"/>
        <v>IBG</v>
      </c>
      <c r="G5493" t="str">
        <f t="shared" si="2244"/>
        <v>Refund COSHARE 10</v>
      </c>
      <c r="H5493" s="2">
        <v>160</v>
      </c>
      <c r="I5493" t="str">
        <f>"TENGKU NOR LIZA BINTI TENGKU YAHYA"</f>
        <v>TENGKU NOR LIZA BINTI TENGKU YAHYA</v>
      </c>
      <c r="J5493" t="str">
        <f t="shared" si="2228"/>
        <v>CIMB BANK / CIMB ISLAMIC BANK</v>
      </c>
      <c r="K5493" t="str">
        <f>"7019252513"</f>
        <v>7019252513</v>
      </c>
      <c r="L5493" t="str">
        <f t="shared" si="2251"/>
        <v>04-08-2020</v>
      </c>
      <c r="M5493" t="str">
        <f t="shared" si="2251"/>
        <v>04-08-2020</v>
      </c>
      <c r="N5493" t="str">
        <f t="shared" si="2233"/>
        <v>001105018356</v>
      </c>
      <c r="O5493" t="str">
        <f t="shared" si="2234"/>
        <v>MYR</v>
      </c>
      <c r="P5493" t="str">
        <f t="shared" si="2252"/>
        <v>NIL</v>
      </c>
      <c r="Q5493" t="str">
        <f t="shared" si="2252"/>
        <v>NIL</v>
      </c>
      <c r="R5493" t="str">
        <f t="shared" si="2247"/>
        <v>Accepted</v>
      </c>
      <c r="S5493" t="str">
        <f t="shared" si="2236"/>
        <v>Approved</v>
      </c>
      <c r="T5493" t="str">
        <f t="shared" si="2248"/>
        <v>10.20.8.188</v>
      </c>
      <c r="U5493" t="str">
        <f t="shared" si="2237"/>
        <v>AZRAD UMAR BIN SHAARI</v>
      </c>
      <c r="V5493" t="str">
        <f t="shared" si="2238"/>
        <v>FARHANA BINTI MUSTAPA</v>
      </c>
      <c r="W5493" t="str">
        <f t="shared" si="2239"/>
        <v>04-08-2020</v>
      </c>
      <c r="X5493" t="str">
        <f t="shared" si="2240"/>
        <v>RAZIMAH ANSAR AHMAD</v>
      </c>
      <c r="Y5493" t="str">
        <f t="shared" si="2241"/>
        <v>04-08-2020</v>
      </c>
      <c r="Z5493" t="str">
        <f>"COS10200804 3661"</f>
        <v>COS10200804 3661</v>
      </c>
    </row>
    <row r="5494" spans="1:26" x14ac:dyDescent="0.25">
      <c r="A5494" t="str">
        <f t="shared" si="2249"/>
        <v>04-08-2020 12:46:39</v>
      </c>
      <c r="B5494" t="str">
        <f>"0000805433"</f>
        <v>0000805433</v>
      </c>
      <c r="C5494" t="str">
        <f t="shared" si="2250"/>
        <v>0000805373</v>
      </c>
      <c r="D5494" t="str">
        <f t="shared" si="2229"/>
        <v>73185</v>
      </c>
      <c r="E5494" t="str">
        <f t="shared" si="2230"/>
        <v>KFH-OPERATIONS DEPARTMENT</v>
      </c>
      <c r="F5494" t="str">
        <f t="shared" si="2231"/>
        <v>IBG</v>
      </c>
      <c r="G5494" t="str">
        <f t="shared" si="2244"/>
        <v>Refund COSHARE 10</v>
      </c>
      <c r="H5494" s="2">
        <v>335.8</v>
      </c>
      <c r="I5494" t="str">
        <f>"TARMIZI BIN ALI RAZAK"</f>
        <v>TARMIZI BIN ALI RAZAK</v>
      </c>
      <c r="J5494" t="str">
        <f t="shared" si="2228"/>
        <v>CIMB BANK / CIMB ISLAMIC BANK</v>
      </c>
      <c r="K5494" t="str">
        <f>"14750001600527"</f>
        <v>14750001600527</v>
      </c>
      <c r="L5494" t="str">
        <f t="shared" si="2251"/>
        <v>04-08-2020</v>
      </c>
      <c r="M5494" t="str">
        <f t="shared" si="2251"/>
        <v>04-08-2020</v>
      </c>
      <c r="N5494" t="str">
        <f t="shared" si="2233"/>
        <v>001105018356</v>
      </c>
      <c r="O5494" t="str">
        <f t="shared" si="2234"/>
        <v>MYR</v>
      </c>
      <c r="P5494" t="str">
        <f t="shared" si="2252"/>
        <v>NIL</v>
      </c>
      <c r="Q5494" t="str">
        <f t="shared" si="2252"/>
        <v>NIL</v>
      </c>
      <c r="R5494" t="str">
        <f t="shared" si="2247"/>
        <v>Accepted</v>
      </c>
      <c r="S5494" t="str">
        <f t="shared" si="2236"/>
        <v>Approved</v>
      </c>
      <c r="T5494" t="str">
        <f t="shared" si="2248"/>
        <v>10.20.8.188</v>
      </c>
      <c r="U5494" t="str">
        <f t="shared" si="2237"/>
        <v>AZRAD UMAR BIN SHAARI</v>
      </c>
      <c r="V5494" t="str">
        <f t="shared" si="2238"/>
        <v>FARHANA BINTI MUSTAPA</v>
      </c>
      <c r="W5494" t="str">
        <f t="shared" si="2239"/>
        <v>04-08-2020</v>
      </c>
      <c r="X5494" t="str">
        <f t="shared" si="2240"/>
        <v>RAZIMAH ANSAR AHMAD</v>
      </c>
      <c r="Y5494" t="str">
        <f t="shared" si="2241"/>
        <v>04-08-2020</v>
      </c>
      <c r="Z5494" t="str">
        <f>"COS10200804 3660"</f>
        <v>COS10200804 3660</v>
      </c>
    </row>
    <row r="5495" spans="1:26" x14ac:dyDescent="0.25">
      <c r="A5495" t="str">
        <f t="shared" si="2249"/>
        <v>04-08-2020 12:46:39</v>
      </c>
      <c r="B5495" t="str">
        <f>"0000805432"</f>
        <v>0000805432</v>
      </c>
      <c r="C5495" t="str">
        <f t="shared" si="2250"/>
        <v>0000805373</v>
      </c>
      <c r="D5495" t="str">
        <f t="shared" si="2229"/>
        <v>73185</v>
      </c>
      <c r="E5495" t="str">
        <f t="shared" si="2230"/>
        <v>KFH-OPERATIONS DEPARTMENT</v>
      </c>
      <c r="F5495" t="str">
        <f t="shared" si="2231"/>
        <v>IBG</v>
      </c>
      <c r="G5495" t="str">
        <f t="shared" si="2244"/>
        <v>Refund COSHARE 10</v>
      </c>
      <c r="H5495" s="2">
        <v>1259.25</v>
      </c>
      <c r="I5495" t="str">
        <f>"TANTY NOORSYIDA BINTI MAHAMAD"</f>
        <v>TANTY NOORSYIDA BINTI MAHAMAD</v>
      </c>
      <c r="J5495" t="str">
        <f t="shared" si="2228"/>
        <v>CIMB BANK / CIMB ISLAMIC BANK</v>
      </c>
      <c r="K5495" t="str">
        <f>"11130064204525"</f>
        <v>11130064204525</v>
      </c>
      <c r="L5495" t="str">
        <f t="shared" si="2251"/>
        <v>04-08-2020</v>
      </c>
      <c r="M5495" t="str">
        <f t="shared" si="2251"/>
        <v>04-08-2020</v>
      </c>
      <c r="N5495" t="str">
        <f t="shared" si="2233"/>
        <v>001105018356</v>
      </c>
      <c r="O5495" t="str">
        <f t="shared" si="2234"/>
        <v>MYR</v>
      </c>
      <c r="P5495" t="str">
        <f t="shared" si="2252"/>
        <v>NIL</v>
      </c>
      <c r="Q5495" t="str">
        <f t="shared" si="2252"/>
        <v>NIL</v>
      </c>
      <c r="R5495" t="str">
        <f t="shared" si="2247"/>
        <v>Accepted</v>
      </c>
      <c r="S5495" t="str">
        <f t="shared" si="2236"/>
        <v>Approved</v>
      </c>
      <c r="T5495" t="str">
        <f t="shared" si="2248"/>
        <v>10.20.8.188</v>
      </c>
      <c r="U5495" t="str">
        <f t="shared" si="2237"/>
        <v>AZRAD UMAR BIN SHAARI</v>
      </c>
      <c r="V5495" t="str">
        <f t="shared" si="2238"/>
        <v>FARHANA BINTI MUSTAPA</v>
      </c>
      <c r="W5495" t="str">
        <f t="shared" si="2239"/>
        <v>04-08-2020</v>
      </c>
      <c r="X5495" t="str">
        <f t="shared" si="2240"/>
        <v>RAZIMAH ANSAR AHMAD</v>
      </c>
      <c r="Y5495" t="str">
        <f t="shared" si="2241"/>
        <v>04-08-2020</v>
      </c>
      <c r="Z5495" t="str">
        <f>"COS10200804 3659"</f>
        <v>COS10200804 3659</v>
      </c>
    </row>
    <row r="5496" spans="1:26" x14ac:dyDescent="0.25">
      <c r="A5496" t="str">
        <f t="shared" si="2249"/>
        <v>04-08-2020 12:46:39</v>
      </c>
      <c r="B5496" t="str">
        <f>"0000805431"</f>
        <v>0000805431</v>
      </c>
      <c r="C5496" t="str">
        <f t="shared" si="2250"/>
        <v>0000805373</v>
      </c>
      <c r="D5496" t="str">
        <f t="shared" si="2229"/>
        <v>73185</v>
      </c>
      <c r="E5496" t="str">
        <f t="shared" si="2230"/>
        <v>KFH-OPERATIONS DEPARTMENT</v>
      </c>
      <c r="F5496" t="str">
        <f t="shared" si="2231"/>
        <v>IBG</v>
      </c>
      <c r="G5496" t="str">
        <f t="shared" si="2244"/>
        <v>Refund COSHARE 10</v>
      </c>
      <c r="H5496" s="2">
        <v>671.6</v>
      </c>
      <c r="I5496" t="str">
        <f>"SYED NAJMUDDIN BIN SYED OMAR"</f>
        <v>SYED NAJMUDDIN BIN SYED OMAR</v>
      </c>
      <c r="J5496" t="str">
        <f t="shared" si="2228"/>
        <v>CIMB BANK / CIMB ISLAMIC BANK</v>
      </c>
      <c r="K5496" t="str">
        <f>"7606853638"</f>
        <v>7606853638</v>
      </c>
      <c r="L5496" t="str">
        <f t="shared" si="2251"/>
        <v>04-08-2020</v>
      </c>
      <c r="M5496" t="str">
        <f t="shared" si="2251"/>
        <v>04-08-2020</v>
      </c>
      <c r="N5496" t="str">
        <f t="shared" si="2233"/>
        <v>001105018356</v>
      </c>
      <c r="O5496" t="str">
        <f t="shared" si="2234"/>
        <v>MYR</v>
      </c>
      <c r="P5496" t="str">
        <f t="shared" si="2252"/>
        <v>NIL</v>
      </c>
      <c r="Q5496" t="str">
        <f t="shared" si="2252"/>
        <v>NIL</v>
      </c>
      <c r="R5496" t="str">
        <f t="shared" si="2247"/>
        <v>Accepted</v>
      </c>
      <c r="S5496" t="str">
        <f t="shared" si="2236"/>
        <v>Approved</v>
      </c>
      <c r="T5496" t="str">
        <f t="shared" si="2248"/>
        <v>10.20.8.188</v>
      </c>
      <c r="U5496" t="str">
        <f t="shared" si="2237"/>
        <v>AZRAD UMAR BIN SHAARI</v>
      </c>
      <c r="V5496" t="str">
        <f t="shared" si="2238"/>
        <v>FARHANA BINTI MUSTAPA</v>
      </c>
      <c r="W5496" t="str">
        <f t="shared" si="2239"/>
        <v>04-08-2020</v>
      </c>
      <c r="X5496" t="str">
        <f t="shared" si="2240"/>
        <v>RAZIMAH ANSAR AHMAD</v>
      </c>
      <c r="Y5496" t="str">
        <f t="shared" si="2241"/>
        <v>04-08-2020</v>
      </c>
      <c r="Z5496" t="str">
        <f>"COS10200804 3658"</f>
        <v>COS10200804 3658</v>
      </c>
    </row>
    <row r="5497" spans="1:26" x14ac:dyDescent="0.25">
      <c r="A5497" t="str">
        <f t="shared" si="2249"/>
        <v>04-08-2020 12:46:39</v>
      </c>
      <c r="B5497" t="str">
        <f>"0000805430"</f>
        <v>0000805430</v>
      </c>
      <c r="C5497" t="str">
        <f t="shared" si="2250"/>
        <v>0000805373</v>
      </c>
      <c r="D5497" t="str">
        <f t="shared" si="2229"/>
        <v>73185</v>
      </c>
      <c r="E5497" t="str">
        <f t="shared" si="2230"/>
        <v>KFH-OPERATIONS DEPARTMENT</v>
      </c>
      <c r="F5497" t="str">
        <f t="shared" si="2231"/>
        <v>IBG</v>
      </c>
      <c r="G5497" t="str">
        <f t="shared" si="2244"/>
        <v>Refund COSHARE 10</v>
      </c>
      <c r="H5497" s="2">
        <v>1049.4000000000001</v>
      </c>
      <c r="I5497" t="str">
        <f>"SYED MOHD SAIFUL AKRAM BIN SD AGIL"</f>
        <v>SYED MOHD SAIFUL AKRAM BIN SD AGIL</v>
      </c>
      <c r="J5497" t="str">
        <f t="shared" si="2228"/>
        <v>CIMB BANK / CIMB ISLAMIC BANK</v>
      </c>
      <c r="K5497" t="str">
        <f>"7005855718"</f>
        <v>7005855718</v>
      </c>
      <c r="L5497" t="str">
        <f t="shared" si="2251"/>
        <v>04-08-2020</v>
      </c>
      <c r="M5497" t="str">
        <f t="shared" si="2251"/>
        <v>04-08-2020</v>
      </c>
      <c r="N5497" t="str">
        <f t="shared" si="2233"/>
        <v>001105018356</v>
      </c>
      <c r="O5497" t="str">
        <f t="shared" si="2234"/>
        <v>MYR</v>
      </c>
      <c r="P5497" t="str">
        <f t="shared" si="2252"/>
        <v>NIL</v>
      </c>
      <c r="Q5497" t="str">
        <f t="shared" si="2252"/>
        <v>NIL</v>
      </c>
      <c r="R5497" t="str">
        <f t="shared" si="2247"/>
        <v>Accepted</v>
      </c>
      <c r="S5497" t="str">
        <f t="shared" si="2236"/>
        <v>Approved</v>
      </c>
      <c r="T5497" t="str">
        <f t="shared" si="2248"/>
        <v>10.20.8.188</v>
      </c>
      <c r="U5497" t="str">
        <f t="shared" si="2237"/>
        <v>AZRAD UMAR BIN SHAARI</v>
      </c>
      <c r="V5497" t="str">
        <f t="shared" si="2238"/>
        <v>FARHANA BINTI MUSTAPA</v>
      </c>
      <c r="W5497" t="str">
        <f t="shared" si="2239"/>
        <v>04-08-2020</v>
      </c>
      <c r="X5497" t="str">
        <f t="shared" si="2240"/>
        <v>RAZIMAH ANSAR AHMAD</v>
      </c>
      <c r="Y5497" t="str">
        <f t="shared" si="2241"/>
        <v>04-08-2020</v>
      </c>
      <c r="Z5497" t="str">
        <f>"COS10200804 3657"</f>
        <v>COS10200804 3657</v>
      </c>
    </row>
    <row r="5498" spans="1:26" x14ac:dyDescent="0.25">
      <c r="A5498" t="str">
        <f t="shared" si="2249"/>
        <v>04-08-2020 12:46:39</v>
      </c>
      <c r="B5498" t="str">
        <f>"0000805429"</f>
        <v>0000805429</v>
      </c>
      <c r="C5498" t="str">
        <f t="shared" si="2250"/>
        <v>0000805373</v>
      </c>
      <c r="D5498" t="str">
        <f t="shared" si="2229"/>
        <v>73185</v>
      </c>
      <c r="E5498" t="str">
        <f t="shared" si="2230"/>
        <v>KFH-OPERATIONS DEPARTMENT</v>
      </c>
      <c r="F5498" t="str">
        <f t="shared" si="2231"/>
        <v>IBG</v>
      </c>
      <c r="G5498" t="str">
        <f t="shared" si="2244"/>
        <v>Refund COSHARE 10</v>
      </c>
      <c r="H5498" s="2">
        <v>759</v>
      </c>
      <c r="I5498" t="str">
        <f>"SYED MOHD IZWAN HIDAYAT BIN SYED MOSTAMAM"</f>
        <v>SYED MOHD IZWAN HIDAYAT BIN SYED MOSTAMAM</v>
      </c>
      <c r="J5498" t="str">
        <f t="shared" si="2228"/>
        <v>CIMB BANK / CIMB ISLAMIC BANK</v>
      </c>
      <c r="K5498" t="str">
        <f>"08050066823524"</f>
        <v>08050066823524</v>
      </c>
      <c r="L5498" t="str">
        <f t="shared" si="2251"/>
        <v>04-08-2020</v>
      </c>
      <c r="M5498" t="str">
        <f t="shared" si="2251"/>
        <v>04-08-2020</v>
      </c>
      <c r="N5498" t="str">
        <f t="shared" si="2233"/>
        <v>001105018356</v>
      </c>
      <c r="O5498" t="str">
        <f t="shared" si="2234"/>
        <v>MYR</v>
      </c>
      <c r="P5498" t="str">
        <f t="shared" si="2252"/>
        <v>NIL</v>
      </c>
      <c r="Q5498" t="str">
        <f t="shared" si="2252"/>
        <v>NIL</v>
      </c>
      <c r="R5498" t="str">
        <f t="shared" si="2247"/>
        <v>Accepted</v>
      </c>
      <c r="S5498" t="str">
        <f t="shared" si="2236"/>
        <v>Approved</v>
      </c>
      <c r="T5498" t="str">
        <f t="shared" si="2248"/>
        <v>10.20.8.188</v>
      </c>
      <c r="U5498" t="str">
        <f t="shared" si="2237"/>
        <v>AZRAD UMAR BIN SHAARI</v>
      </c>
      <c r="V5498" t="str">
        <f t="shared" si="2238"/>
        <v>FARHANA BINTI MUSTAPA</v>
      </c>
      <c r="W5498" t="str">
        <f t="shared" si="2239"/>
        <v>04-08-2020</v>
      </c>
      <c r="X5498" t="str">
        <f t="shared" si="2240"/>
        <v>RAZIMAH ANSAR AHMAD</v>
      </c>
      <c r="Y5498" t="str">
        <f t="shared" si="2241"/>
        <v>04-08-2020</v>
      </c>
      <c r="Z5498" t="str">
        <f>"COS10200804 3656"</f>
        <v>COS10200804 3656</v>
      </c>
    </row>
    <row r="5499" spans="1:26" x14ac:dyDescent="0.25">
      <c r="A5499" t="str">
        <f t="shared" si="2249"/>
        <v>04-08-2020 12:46:39</v>
      </c>
      <c r="B5499" t="str">
        <f>"0000805428"</f>
        <v>0000805428</v>
      </c>
      <c r="C5499" t="str">
        <f t="shared" si="2250"/>
        <v>0000805373</v>
      </c>
      <c r="D5499" t="str">
        <f t="shared" si="2229"/>
        <v>73185</v>
      </c>
      <c r="E5499" t="str">
        <f t="shared" si="2230"/>
        <v>KFH-OPERATIONS DEPARTMENT</v>
      </c>
      <c r="F5499" t="str">
        <f t="shared" si="2231"/>
        <v>IBG</v>
      </c>
      <c r="G5499" t="str">
        <f t="shared" si="2244"/>
        <v>Refund COSHARE 10</v>
      </c>
      <c r="H5499" s="2">
        <v>54.9</v>
      </c>
      <c r="I5499" t="str">
        <f>"SYED MOHD FAILI BIN SYED ISHAK"</f>
        <v>SYED MOHD FAILI BIN SYED ISHAK</v>
      </c>
      <c r="J5499" t="str">
        <f t="shared" si="2228"/>
        <v>CIMB BANK / CIMB ISLAMIC BANK</v>
      </c>
      <c r="K5499" t="str">
        <f>"14400075581525"</f>
        <v>14400075581525</v>
      </c>
      <c r="L5499" t="str">
        <f t="shared" si="2251"/>
        <v>04-08-2020</v>
      </c>
      <c r="M5499" t="str">
        <f t="shared" si="2251"/>
        <v>04-08-2020</v>
      </c>
      <c r="N5499" t="str">
        <f t="shared" si="2233"/>
        <v>001105018356</v>
      </c>
      <c r="O5499" t="str">
        <f t="shared" si="2234"/>
        <v>MYR</v>
      </c>
      <c r="P5499" t="str">
        <f t="shared" si="2252"/>
        <v>NIL</v>
      </c>
      <c r="Q5499" t="str">
        <f t="shared" si="2252"/>
        <v>NIL</v>
      </c>
      <c r="R5499" t="str">
        <f t="shared" si="2247"/>
        <v>Accepted</v>
      </c>
      <c r="S5499" t="str">
        <f t="shared" si="2236"/>
        <v>Approved</v>
      </c>
      <c r="T5499" t="str">
        <f t="shared" si="2248"/>
        <v>10.20.8.188</v>
      </c>
      <c r="U5499" t="str">
        <f t="shared" si="2237"/>
        <v>AZRAD UMAR BIN SHAARI</v>
      </c>
      <c r="V5499" t="str">
        <f t="shared" si="2238"/>
        <v>FARHANA BINTI MUSTAPA</v>
      </c>
      <c r="W5499" t="str">
        <f t="shared" si="2239"/>
        <v>04-08-2020</v>
      </c>
      <c r="X5499" t="str">
        <f t="shared" si="2240"/>
        <v>RAZIMAH ANSAR AHMAD</v>
      </c>
      <c r="Y5499" t="str">
        <f t="shared" si="2241"/>
        <v>04-08-2020</v>
      </c>
      <c r="Z5499" t="str">
        <f>"COS10200804 3655"</f>
        <v>COS10200804 3655</v>
      </c>
    </row>
    <row r="5500" spans="1:26" x14ac:dyDescent="0.25">
      <c r="A5500" t="str">
        <f t="shared" si="2249"/>
        <v>04-08-2020 12:46:39</v>
      </c>
      <c r="B5500" t="str">
        <f>"0000805427"</f>
        <v>0000805427</v>
      </c>
      <c r="C5500" t="str">
        <f t="shared" si="2250"/>
        <v>0000805373</v>
      </c>
      <c r="D5500" t="str">
        <f t="shared" si="2229"/>
        <v>73185</v>
      </c>
      <c r="E5500" t="str">
        <f t="shared" si="2230"/>
        <v>KFH-OPERATIONS DEPARTMENT</v>
      </c>
      <c r="F5500" t="str">
        <f t="shared" si="2231"/>
        <v>IBG</v>
      </c>
      <c r="G5500" t="str">
        <f t="shared" si="2244"/>
        <v>Refund COSHARE 10</v>
      </c>
      <c r="H5500" s="2">
        <v>612.85</v>
      </c>
      <c r="I5500" t="str">
        <f>"SYED MAHATHIR FIRDAUS BIN SYED DIN"</f>
        <v>SYED MAHATHIR FIRDAUS BIN SYED DIN</v>
      </c>
      <c r="J5500" t="str">
        <f t="shared" ref="J5500:J5563" si="2253">"CIMB BANK / CIMB ISLAMIC BANK"</f>
        <v>CIMB BANK / CIMB ISLAMIC BANK</v>
      </c>
      <c r="K5500" t="str">
        <f>"12300061709523"</f>
        <v>12300061709523</v>
      </c>
      <c r="L5500" t="str">
        <f t="shared" si="2251"/>
        <v>04-08-2020</v>
      </c>
      <c r="M5500" t="str">
        <f t="shared" si="2251"/>
        <v>04-08-2020</v>
      </c>
      <c r="N5500" t="str">
        <f t="shared" si="2233"/>
        <v>001105018356</v>
      </c>
      <c r="O5500" t="str">
        <f t="shared" si="2234"/>
        <v>MYR</v>
      </c>
      <c r="P5500" t="str">
        <f t="shared" si="2252"/>
        <v>NIL</v>
      </c>
      <c r="Q5500" t="str">
        <f t="shared" si="2252"/>
        <v>NIL</v>
      </c>
      <c r="R5500" t="str">
        <f t="shared" si="2247"/>
        <v>Accepted</v>
      </c>
      <c r="S5500" t="str">
        <f t="shared" si="2236"/>
        <v>Approved</v>
      </c>
      <c r="T5500" t="str">
        <f t="shared" si="2248"/>
        <v>10.20.8.188</v>
      </c>
      <c r="U5500" t="str">
        <f t="shared" si="2237"/>
        <v>AZRAD UMAR BIN SHAARI</v>
      </c>
      <c r="V5500" t="str">
        <f t="shared" si="2238"/>
        <v>FARHANA BINTI MUSTAPA</v>
      </c>
      <c r="W5500" t="str">
        <f t="shared" si="2239"/>
        <v>04-08-2020</v>
      </c>
      <c r="X5500" t="str">
        <f t="shared" si="2240"/>
        <v>RAZIMAH ANSAR AHMAD</v>
      </c>
      <c r="Y5500" t="str">
        <f t="shared" si="2241"/>
        <v>04-08-2020</v>
      </c>
      <c r="Z5500" t="str">
        <f>"COS10200804 3654"</f>
        <v>COS10200804 3654</v>
      </c>
    </row>
    <row r="5501" spans="1:26" x14ac:dyDescent="0.25">
      <c r="A5501" t="str">
        <f t="shared" si="2249"/>
        <v>04-08-2020 12:46:39</v>
      </c>
      <c r="B5501" t="str">
        <f>"0000805426"</f>
        <v>0000805426</v>
      </c>
      <c r="C5501" t="str">
        <f t="shared" si="2250"/>
        <v>0000805373</v>
      </c>
      <c r="D5501" t="str">
        <f t="shared" si="2229"/>
        <v>73185</v>
      </c>
      <c r="E5501" t="str">
        <f t="shared" si="2230"/>
        <v>KFH-OPERATIONS DEPARTMENT</v>
      </c>
      <c r="F5501" t="str">
        <f t="shared" si="2231"/>
        <v>IBG</v>
      </c>
      <c r="G5501" t="str">
        <f t="shared" si="2244"/>
        <v>Refund COSHARE 10</v>
      </c>
      <c r="H5501" s="2">
        <v>42</v>
      </c>
      <c r="I5501" t="str">
        <f>"SYED KAHAR MUZAKKIR BIN SYED ABUWALMA AL"</f>
        <v>SYED KAHAR MUZAKKIR BIN SYED ABUWALMA AL</v>
      </c>
      <c r="J5501" t="str">
        <f t="shared" si="2253"/>
        <v>CIMB BANK / CIMB ISLAMIC BANK</v>
      </c>
      <c r="K5501" t="str">
        <f>"12150055216529"</f>
        <v>12150055216529</v>
      </c>
      <c r="L5501" t="str">
        <f t="shared" si="2251"/>
        <v>04-08-2020</v>
      </c>
      <c r="M5501" t="str">
        <f t="shared" si="2251"/>
        <v>04-08-2020</v>
      </c>
      <c r="N5501" t="str">
        <f t="shared" si="2233"/>
        <v>001105018356</v>
      </c>
      <c r="O5501" t="str">
        <f t="shared" si="2234"/>
        <v>MYR</v>
      </c>
      <c r="P5501" t="str">
        <f t="shared" si="2252"/>
        <v>NIL</v>
      </c>
      <c r="Q5501" t="str">
        <f t="shared" si="2252"/>
        <v>NIL</v>
      </c>
      <c r="R5501" t="str">
        <f t="shared" si="2247"/>
        <v>Accepted</v>
      </c>
      <c r="S5501" t="str">
        <f t="shared" si="2236"/>
        <v>Approved</v>
      </c>
      <c r="T5501" t="str">
        <f t="shared" si="2248"/>
        <v>10.20.8.188</v>
      </c>
      <c r="U5501" t="str">
        <f t="shared" si="2237"/>
        <v>AZRAD UMAR BIN SHAARI</v>
      </c>
      <c r="V5501" t="str">
        <f t="shared" si="2238"/>
        <v>FARHANA BINTI MUSTAPA</v>
      </c>
      <c r="W5501" t="str">
        <f t="shared" si="2239"/>
        <v>04-08-2020</v>
      </c>
      <c r="X5501" t="str">
        <f t="shared" si="2240"/>
        <v>RAZIMAH ANSAR AHMAD</v>
      </c>
      <c r="Y5501" t="str">
        <f t="shared" si="2241"/>
        <v>04-08-2020</v>
      </c>
      <c r="Z5501" t="str">
        <f>"COS10200804 3653"</f>
        <v>COS10200804 3653</v>
      </c>
    </row>
    <row r="5502" spans="1:26" x14ac:dyDescent="0.25">
      <c r="A5502" t="str">
        <f t="shared" si="2249"/>
        <v>04-08-2020 12:46:39</v>
      </c>
      <c r="B5502" t="str">
        <f>"0000805425"</f>
        <v>0000805425</v>
      </c>
      <c r="C5502" t="str">
        <f t="shared" si="2250"/>
        <v>0000805373</v>
      </c>
      <c r="D5502" t="str">
        <f t="shared" si="2229"/>
        <v>73185</v>
      </c>
      <c r="E5502" t="str">
        <f t="shared" si="2230"/>
        <v>KFH-OPERATIONS DEPARTMENT</v>
      </c>
      <c r="F5502" t="str">
        <f t="shared" si="2231"/>
        <v>IBG</v>
      </c>
      <c r="G5502" t="str">
        <f t="shared" si="2244"/>
        <v>Refund COSHARE 10</v>
      </c>
      <c r="H5502" s="2">
        <v>411.35</v>
      </c>
      <c r="I5502" t="str">
        <f>"SYARIFFAH BINTI ABD MULUK"</f>
        <v>SYARIFFAH BINTI ABD MULUK</v>
      </c>
      <c r="J5502" t="str">
        <f t="shared" si="2253"/>
        <v>CIMB BANK / CIMB ISLAMIC BANK</v>
      </c>
      <c r="K5502" t="str">
        <f>"07140031380527"</f>
        <v>07140031380527</v>
      </c>
      <c r="L5502" t="str">
        <f t="shared" si="2251"/>
        <v>04-08-2020</v>
      </c>
      <c r="M5502" t="str">
        <f t="shared" si="2251"/>
        <v>04-08-2020</v>
      </c>
      <c r="N5502" t="str">
        <f t="shared" si="2233"/>
        <v>001105018356</v>
      </c>
      <c r="O5502" t="str">
        <f t="shared" si="2234"/>
        <v>MYR</v>
      </c>
      <c r="P5502" t="str">
        <f t="shared" si="2252"/>
        <v>NIL</v>
      </c>
      <c r="Q5502" t="str">
        <f t="shared" si="2252"/>
        <v>NIL</v>
      </c>
      <c r="R5502" t="str">
        <f t="shared" si="2247"/>
        <v>Accepted</v>
      </c>
      <c r="S5502" t="str">
        <f t="shared" si="2236"/>
        <v>Approved</v>
      </c>
      <c r="T5502" t="str">
        <f t="shared" si="2248"/>
        <v>10.20.8.188</v>
      </c>
      <c r="U5502" t="str">
        <f t="shared" si="2237"/>
        <v>AZRAD UMAR BIN SHAARI</v>
      </c>
      <c r="V5502" t="str">
        <f t="shared" si="2238"/>
        <v>FARHANA BINTI MUSTAPA</v>
      </c>
      <c r="W5502" t="str">
        <f t="shared" si="2239"/>
        <v>04-08-2020</v>
      </c>
      <c r="X5502" t="str">
        <f t="shared" si="2240"/>
        <v>RAZIMAH ANSAR AHMAD</v>
      </c>
      <c r="Y5502" t="str">
        <f t="shared" si="2241"/>
        <v>04-08-2020</v>
      </c>
      <c r="Z5502" t="str">
        <f>"COS10200804 3652"</f>
        <v>COS10200804 3652</v>
      </c>
    </row>
    <row r="5503" spans="1:26" x14ac:dyDescent="0.25">
      <c r="A5503" t="str">
        <f t="shared" si="2249"/>
        <v>04-08-2020 12:46:39</v>
      </c>
      <c r="B5503" t="str">
        <f>"0000805424"</f>
        <v>0000805424</v>
      </c>
      <c r="C5503" t="str">
        <f t="shared" si="2250"/>
        <v>0000805373</v>
      </c>
      <c r="D5503" t="str">
        <f t="shared" si="2229"/>
        <v>73185</v>
      </c>
      <c r="E5503" t="str">
        <f t="shared" si="2230"/>
        <v>KFH-OPERATIONS DEPARTMENT</v>
      </c>
      <c r="F5503" t="str">
        <f t="shared" si="2231"/>
        <v>IBG</v>
      </c>
      <c r="G5503" t="str">
        <f t="shared" si="2244"/>
        <v>Refund COSHARE 10</v>
      </c>
      <c r="H5503" s="2">
        <v>50.4</v>
      </c>
      <c r="I5503" t="str">
        <f>"SYAMSUL RIZAL BIN ABDUL RAZAK"</f>
        <v>SYAMSUL RIZAL BIN ABDUL RAZAK</v>
      </c>
      <c r="J5503" t="str">
        <f t="shared" si="2253"/>
        <v>CIMB BANK / CIMB ISLAMIC BANK</v>
      </c>
      <c r="K5503" t="str">
        <f>"12250000911207"</f>
        <v>12250000911207</v>
      </c>
      <c r="L5503" t="str">
        <f t="shared" si="2251"/>
        <v>04-08-2020</v>
      </c>
      <c r="M5503" t="str">
        <f t="shared" si="2251"/>
        <v>04-08-2020</v>
      </c>
      <c r="N5503" t="str">
        <f t="shared" si="2233"/>
        <v>001105018356</v>
      </c>
      <c r="O5503" t="str">
        <f t="shared" si="2234"/>
        <v>MYR</v>
      </c>
      <c r="P5503" t="str">
        <f t="shared" si="2252"/>
        <v>NIL</v>
      </c>
      <c r="Q5503" t="str">
        <f t="shared" si="2252"/>
        <v>NIL</v>
      </c>
      <c r="R5503" t="str">
        <f t="shared" si="2247"/>
        <v>Accepted</v>
      </c>
      <c r="S5503" t="str">
        <f t="shared" si="2236"/>
        <v>Approved</v>
      </c>
      <c r="T5503" t="str">
        <f t="shared" si="2248"/>
        <v>10.20.8.188</v>
      </c>
      <c r="U5503" t="str">
        <f t="shared" si="2237"/>
        <v>AZRAD UMAR BIN SHAARI</v>
      </c>
      <c r="V5503" t="str">
        <f t="shared" si="2238"/>
        <v>FARHANA BINTI MUSTAPA</v>
      </c>
      <c r="W5503" t="str">
        <f t="shared" si="2239"/>
        <v>04-08-2020</v>
      </c>
      <c r="X5503" t="str">
        <f t="shared" si="2240"/>
        <v>RAZIMAH ANSAR AHMAD</v>
      </c>
      <c r="Y5503" t="str">
        <f t="shared" si="2241"/>
        <v>04-08-2020</v>
      </c>
      <c r="Z5503" t="str">
        <f>"COS10200804 3651"</f>
        <v>COS10200804 3651</v>
      </c>
    </row>
    <row r="5504" spans="1:26" x14ac:dyDescent="0.25">
      <c r="A5504" t="str">
        <f t="shared" si="2249"/>
        <v>04-08-2020 12:46:39</v>
      </c>
      <c r="B5504" t="str">
        <f>"0000805423"</f>
        <v>0000805423</v>
      </c>
      <c r="C5504" t="str">
        <f t="shared" si="2250"/>
        <v>0000805373</v>
      </c>
      <c r="D5504" t="str">
        <f t="shared" si="2229"/>
        <v>73185</v>
      </c>
      <c r="E5504" t="str">
        <f t="shared" si="2230"/>
        <v>KFH-OPERATIONS DEPARTMENT</v>
      </c>
      <c r="F5504" t="str">
        <f t="shared" si="2231"/>
        <v>IBG</v>
      </c>
      <c r="G5504" t="str">
        <f t="shared" si="2244"/>
        <v>Refund COSHARE 10</v>
      </c>
      <c r="H5504" s="2">
        <v>629.65</v>
      </c>
      <c r="I5504" t="str">
        <f>"SYAMSIAH  ZALEHA BINTI ISMAIL"</f>
        <v>SYAMSIAH  ZALEHA BINTI ISMAIL</v>
      </c>
      <c r="J5504" t="str">
        <f t="shared" si="2253"/>
        <v>CIMB BANK / CIMB ISLAMIC BANK</v>
      </c>
      <c r="K5504" t="str">
        <f>"10020075526526"</f>
        <v>10020075526526</v>
      </c>
      <c r="L5504" t="str">
        <f t="shared" si="2251"/>
        <v>04-08-2020</v>
      </c>
      <c r="M5504" t="str">
        <f t="shared" si="2251"/>
        <v>04-08-2020</v>
      </c>
      <c r="N5504" t="str">
        <f t="shared" si="2233"/>
        <v>001105018356</v>
      </c>
      <c r="O5504" t="str">
        <f t="shared" si="2234"/>
        <v>MYR</v>
      </c>
      <c r="P5504" t="str">
        <f t="shared" si="2252"/>
        <v>NIL</v>
      </c>
      <c r="Q5504" t="str">
        <f t="shared" si="2252"/>
        <v>NIL</v>
      </c>
      <c r="R5504" t="str">
        <f t="shared" si="2247"/>
        <v>Accepted</v>
      </c>
      <c r="S5504" t="str">
        <f t="shared" si="2236"/>
        <v>Approved</v>
      </c>
      <c r="T5504" t="str">
        <f t="shared" si="2248"/>
        <v>10.20.8.188</v>
      </c>
      <c r="U5504" t="str">
        <f t="shared" si="2237"/>
        <v>AZRAD UMAR BIN SHAARI</v>
      </c>
      <c r="V5504" t="str">
        <f t="shared" si="2238"/>
        <v>FARHANA BINTI MUSTAPA</v>
      </c>
      <c r="W5504" t="str">
        <f t="shared" si="2239"/>
        <v>04-08-2020</v>
      </c>
      <c r="X5504" t="str">
        <f t="shared" si="2240"/>
        <v>RAZIMAH ANSAR AHMAD</v>
      </c>
      <c r="Y5504" t="str">
        <f t="shared" si="2241"/>
        <v>04-08-2020</v>
      </c>
      <c r="Z5504" t="str">
        <f>"COS10200804 3650"</f>
        <v>COS10200804 3650</v>
      </c>
    </row>
    <row r="5505" spans="1:26" x14ac:dyDescent="0.25">
      <c r="A5505" t="str">
        <f t="shared" si="2249"/>
        <v>04-08-2020 12:46:39</v>
      </c>
      <c r="B5505" t="str">
        <f>"0000805422"</f>
        <v>0000805422</v>
      </c>
      <c r="C5505" t="str">
        <f t="shared" si="2250"/>
        <v>0000805373</v>
      </c>
      <c r="D5505" t="str">
        <f t="shared" si="2229"/>
        <v>73185</v>
      </c>
      <c r="E5505" t="str">
        <f t="shared" si="2230"/>
        <v>KFH-OPERATIONS DEPARTMENT</v>
      </c>
      <c r="F5505" t="str">
        <f t="shared" si="2231"/>
        <v>IBG</v>
      </c>
      <c r="G5505" t="str">
        <f t="shared" si="2244"/>
        <v>Refund COSHARE 10</v>
      </c>
      <c r="H5505" s="2">
        <v>1517.1</v>
      </c>
      <c r="I5505" t="str">
        <f>"SYALLINI BINTI CHE ROS"</f>
        <v>SYALLINI BINTI CHE ROS</v>
      </c>
      <c r="J5505" t="str">
        <f t="shared" si="2253"/>
        <v>CIMB BANK / CIMB ISLAMIC BANK</v>
      </c>
      <c r="K5505" t="str">
        <f>"7048415699"</f>
        <v>7048415699</v>
      </c>
      <c r="L5505" t="str">
        <f t="shared" si="2251"/>
        <v>04-08-2020</v>
      </c>
      <c r="M5505" t="str">
        <f t="shared" si="2251"/>
        <v>04-08-2020</v>
      </c>
      <c r="N5505" t="str">
        <f t="shared" si="2233"/>
        <v>001105018356</v>
      </c>
      <c r="O5505" t="str">
        <f t="shared" si="2234"/>
        <v>MYR</v>
      </c>
      <c r="P5505" t="str">
        <f t="shared" si="2252"/>
        <v>NIL</v>
      </c>
      <c r="Q5505" t="str">
        <f t="shared" si="2252"/>
        <v>NIL</v>
      </c>
      <c r="R5505" t="str">
        <f t="shared" si="2247"/>
        <v>Accepted</v>
      </c>
      <c r="S5505" t="str">
        <f t="shared" si="2236"/>
        <v>Approved</v>
      </c>
      <c r="T5505" t="str">
        <f t="shared" si="2248"/>
        <v>10.20.8.188</v>
      </c>
      <c r="U5505" t="str">
        <f t="shared" si="2237"/>
        <v>AZRAD UMAR BIN SHAARI</v>
      </c>
      <c r="V5505" t="str">
        <f t="shared" si="2238"/>
        <v>FARHANA BINTI MUSTAPA</v>
      </c>
      <c r="W5505" t="str">
        <f t="shared" si="2239"/>
        <v>04-08-2020</v>
      </c>
      <c r="X5505" t="str">
        <f t="shared" si="2240"/>
        <v>RAZIMAH ANSAR AHMAD</v>
      </c>
      <c r="Y5505" t="str">
        <f t="shared" si="2241"/>
        <v>04-08-2020</v>
      </c>
      <c r="Z5505" t="str">
        <f>"COS10200804 3649"</f>
        <v>COS10200804 3649</v>
      </c>
    </row>
    <row r="5506" spans="1:26" x14ac:dyDescent="0.25">
      <c r="A5506" t="str">
        <f t="shared" si="2249"/>
        <v>04-08-2020 12:46:39</v>
      </c>
      <c r="B5506" t="str">
        <f>"0000805421"</f>
        <v>0000805421</v>
      </c>
      <c r="C5506" t="str">
        <f t="shared" si="2250"/>
        <v>0000805373</v>
      </c>
      <c r="D5506" t="str">
        <f t="shared" si="2229"/>
        <v>73185</v>
      </c>
      <c r="E5506" t="str">
        <f t="shared" si="2230"/>
        <v>KFH-OPERATIONS DEPARTMENT</v>
      </c>
      <c r="F5506" t="str">
        <f t="shared" si="2231"/>
        <v>IBG</v>
      </c>
      <c r="G5506" t="str">
        <f t="shared" si="2244"/>
        <v>Refund COSHARE 10</v>
      </c>
      <c r="H5506" s="2">
        <v>176.85</v>
      </c>
      <c r="I5506" t="str">
        <f>"SYAIDAH NAFISAH BINTI ABD RAHMAN"</f>
        <v>SYAIDAH NAFISAH BINTI ABD RAHMAN</v>
      </c>
      <c r="J5506" t="str">
        <f t="shared" si="2253"/>
        <v>CIMB BANK / CIMB ISLAMIC BANK</v>
      </c>
      <c r="K5506" t="str">
        <f>"7048684295"</f>
        <v>7048684295</v>
      </c>
      <c r="L5506" t="str">
        <f t="shared" si="2251"/>
        <v>04-08-2020</v>
      </c>
      <c r="M5506" t="str">
        <f t="shared" si="2251"/>
        <v>04-08-2020</v>
      </c>
      <c r="N5506" t="str">
        <f t="shared" si="2233"/>
        <v>001105018356</v>
      </c>
      <c r="O5506" t="str">
        <f t="shared" si="2234"/>
        <v>MYR</v>
      </c>
      <c r="P5506" t="str">
        <f t="shared" si="2252"/>
        <v>NIL</v>
      </c>
      <c r="Q5506" t="str">
        <f t="shared" si="2252"/>
        <v>NIL</v>
      </c>
      <c r="R5506" t="str">
        <f t="shared" si="2247"/>
        <v>Accepted</v>
      </c>
      <c r="S5506" t="str">
        <f t="shared" si="2236"/>
        <v>Approved</v>
      </c>
      <c r="T5506" t="str">
        <f t="shared" si="2248"/>
        <v>10.20.8.188</v>
      </c>
      <c r="U5506" t="str">
        <f t="shared" si="2237"/>
        <v>AZRAD UMAR BIN SHAARI</v>
      </c>
      <c r="V5506" t="str">
        <f t="shared" si="2238"/>
        <v>FARHANA BINTI MUSTAPA</v>
      </c>
      <c r="W5506" t="str">
        <f t="shared" si="2239"/>
        <v>04-08-2020</v>
      </c>
      <c r="X5506" t="str">
        <f t="shared" si="2240"/>
        <v>RAZIMAH ANSAR AHMAD</v>
      </c>
      <c r="Y5506" t="str">
        <f t="shared" si="2241"/>
        <v>04-08-2020</v>
      </c>
      <c r="Z5506" t="str">
        <f>"COS10200804 3648"</f>
        <v>COS10200804 3648</v>
      </c>
    </row>
    <row r="5507" spans="1:26" x14ac:dyDescent="0.25">
      <c r="A5507" t="str">
        <f t="shared" si="2249"/>
        <v>04-08-2020 12:46:39</v>
      </c>
      <c r="B5507" t="str">
        <f>"0000805420"</f>
        <v>0000805420</v>
      </c>
      <c r="C5507" t="str">
        <f t="shared" si="2250"/>
        <v>0000805373</v>
      </c>
      <c r="D5507" t="str">
        <f t="shared" si="2229"/>
        <v>73185</v>
      </c>
      <c r="E5507" t="str">
        <f t="shared" si="2230"/>
        <v>KFH-OPERATIONS DEPARTMENT</v>
      </c>
      <c r="F5507" t="str">
        <f t="shared" si="2231"/>
        <v>IBG</v>
      </c>
      <c r="G5507" t="str">
        <f t="shared" si="2244"/>
        <v>Refund COSHARE 10</v>
      </c>
      <c r="H5507" s="2">
        <v>319</v>
      </c>
      <c r="I5507" t="str">
        <f>"SYAHRULNIZAM BIN ISMAIL"</f>
        <v>SYAHRULNIZAM BIN ISMAIL</v>
      </c>
      <c r="J5507" t="str">
        <f t="shared" si="2253"/>
        <v>CIMB BANK / CIMB ISLAMIC BANK</v>
      </c>
      <c r="K5507" t="str">
        <f>"03040032094529"</f>
        <v>03040032094529</v>
      </c>
      <c r="L5507" t="str">
        <f t="shared" ref="L5507:M5526" si="2254">"04-08-2020"</f>
        <v>04-08-2020</v>
      </c>
      <c r="M5507" t="str">
        <f t="shared" si="2254"/>
        <v>04-08-2020</v>
      </c>
      <c r="N5507" t="str">
        <f t="shared" si="2233"/>
        <v>001105018356</v>
      </c>
      <c r="O5507" t="str">
        <f t="shared" si="2234"/>
        <v>MYR</v>
      </c>
      <c r="P5507" t="str">
        <f t="shared" ref="P5507:Q5526" si="2255">"NIL"</f>
        <v>NIL</v>
      </c>
      <c r="Q5507" t="str">
        <f t="shared" si="2255"/>
        <v>NIL</v>
      </c>
      <c r="R5507" t="str">
        <f t="shared" si="2247"/>
        <v>Accepted</v>
      </c>
      <c r="S5507" t="str">
        <f t="shared" si="2236"/>
        <v>Approved</v>
      </c>
      <c r="T5507" t="str">
        <f t="shared" si="2248"/>
        <v>10.20.8.188</v>
      </c>
      <c r="U5507" t="str">
        <f t="shared" si="2237"/>
        <v>AZRAD UMAR BIN SHAARI</v>
      </c>
      <c r="V5507" t="str">
        <f t="shared" si="2238"/>
        <v>FARHANA BINTI MUSTAPA</v>
      </c>
      <c r="W5507" t="str">
        <f t="shared" si="2239"/>
        <v>04-08-2020</v>
      </c>
      <c r="X5507" t="str">
        <f t="shared" si="2240"/>
        <v>RAZIMAH ANSAR AHMAD</v>
      </c>
      <c r="Y5507" t="str">
        <f t="shared" si="2241"/>
        <v>04-08-2020</v>
      </c>
      <c r="Z5507" t="str">
        <f>"COS10200804 3647"</f>
        <v>COS10200804 3647</v>
      </c>
    </row>
    <row r="5508" spans="1:26" x14ac:dyDescent="0.25">
      <c r="A5508" t="str">
        <f t="shared" si="2249"/>
        <v>04-08-2020 12:46:39</v>
      </c>
      <c r="B5508" t="str">
        <f>"0000805419"</f>
        <v>0000805419</v>
      </c>
      <c r="C5508" t="str">
        <f t="shared" si="2250"/>
        <v>0000805373</v>
      </c>
      <c r="D5508" t="str">
        <f t="shared" si="2229"/>
        <v>73185</v>
      </c>
      <c r="E5508" t="str">
        <f t="shared" si="2230"/>
        <v>KFH-OPERATIONS DEPARTMENT</v>
      </c>
      <c r="F5508" t="str">
        <f t="shared" si="2231"/>
        <v>IBG</v>
      </c>
      <c r="G5508" t="str">
        <f t="shared" si="2244"/>
        <v>Refund COSHARE 10</v>
      </c>
      <c r="H5508" s="2">
        <v>649.65</v>
      </c>
      <c r="I5508" t="str">
        <f>"SYAHROL NIZAR BIN SABIDIN"</f>
        <v>SYAHROL NIZAR BIN SABIDIN</v>
      </c>
      <c r="J5508" t="str">
        <f t="shared" si="2253"/>
        <v>CIMB BANK / CIMB ISLAMIC BANK</v>
      </c>
      <c r="K5508" t="str">
        <f>"7009375422"</f>
        <v>7009375422</v>
      </c>
      <c r="L5508" t="str">
        <f t="shared" si="2254"/>
        <v>04-08-2020</v>
      </c>
      <c r="M5508" t="str">
        <f t="shared" si="2254"/>
        <v>04-08-2020</v>
      </c>
      <c r="N5508" t="str">
        <f t="shared" si="2233"/>
        <v>001105018356</v>
      </c>
      <c r="O5508" t="str">
        <f t="shared" si="2234"/>
        <v>MYR</v>
      </c>
      <c r="P5508" t="str">
        <f t="shared" si="2255"/>
        <v>NIL</v>
      </c>
      <c r="Q5508" t="str">
        <f t="shared" si="2255"/>
        <v>NIL</v>
      </c>
      <c r="R5508" t="str">
        <f t="shared" si="2247"/>
        <v>Accepted</v>
      </c>
      <c r="S5508" t="str">
        <f t="shared" si="2236"/>
        <v>Approved</v>
      </c>
      <c r="T5508" t="str">
        <f t="shared" si="2248"/>
        <v>10.20.8.188</v>
      </c>
      <c r="U5508" t="str">
        <f t="shared" si="2237"/>
        <v>AZRAD UMAR BIN SHAARI</v>
      </c>
      <c r="V5508" t="str">
        <f t="shared" si="2238"/>
        <v>FARHANA BINTI MUSTAPA</v>
      </c>
      <c r="W5508" t="str">
        <f t="shared" si="2239"/>
        <v>04-08-2020</v>
      </c>
      <c r="X5508" t="str">
        <f t="shared" si="2240"/>
        <v>RAZIMAH ANSAR AHMAD</v>
      </c>
      <c r="Y5508" t="str">
        <f t="shared" si="2241"/>
        <v>04-08-2020</v>
      </c>
      <c r="Z5508" t="str">
        <f>"COS10200804 3646"</f>
        <v>COS10200804 3646</v>
      </c>
    </row>
    <row r="5509" spans="1:26" x14ac:dyDescent="0.25">
      <c r="A5509" t="str">
        <f t="shared" si="2249"/>
        <v>04-08-2020 12:46:39</v>
      </c>
      <c r="B5509" t="str">
        <f>"0000805418"</f>
        <v>0000805418</v>
      </c>
      <c r="C5509" t="str">
        <f t="shared" si="2250"/>
        <v>0000805373</v>
      </c>
      <c r="D5509" t="str">
        <f t="shared" si="2229"/>
        <v>73185</v>
      </c>
      <c r="E5509" t="str">
        <f t="shared" si="2230"/>
        <v>KFH-OPERATIONS DEPARTMENT</v>
      </c>
      <c r="F5509" t="str">
        <f t="shared" si="2231"/>
        <v>IBG</v>
      </c>
      <c r="G5509" t="str">
        <f t="shared" si="2244"/>
        <v>Refund COSHARE 10</v>
      </c>
      <c r="H5509" s="2">
        <v>533</v>
      </c>
      <c r="I5509" t="str">
        <f>"SUZIYATI BINTI SATAR"</f>
        <v>SUZIYATI BINTI SATAR</v>
      </c>
      <c r="J5509" t="str">
        <f t="shared" si="2253"/>
        <v>CIMB BANK / CIMB ISLAMIC BANK</v>
      </c>
      <c r="K5509" t="str">
        <f>"14120023504521"</f>
        <v>14120023504521</v>
      </c>
      <c r="L5509" t="str">
        <f t="shared" si="2254"/>
        <v>04-08-2020</v>
      </c>
      <c r="M5509" t="str">
        <f t="shared" si="2254"/>
        <v>04-08-2020</v>
      </c>
      <c r="N5509" t="str">
        <f t="shared" si="2233"/>
        <v>001105018356</v>
      </c>
      <c r="O5509" t="str">
        <f t="shared" si="2234"/>
        <v>MYR</v>
      </c>
      <c r="P5509" t="str">
        <f t="shared" si="2255"/>
        <v>NIL</v>
      </c>
      <c r="Q5509" t="str">
        <f t="shared" si="2255"/>
        <v>NIL</v>
      </c>
      <c r="R5509" t="str">
        <f t="shared" si="2247"/>
        <v>Accepted</v>
      </c>
      <c r="S5509" t="str">
        <f t="shared" si="2236"/>
        <v>Approved</v>
      </c>
      <c r="T5509" t="str">
        <f t="shared" si="2248"/>
        <v>10.20.8.188</v>
      </c>
      <c r="U5509" t="str">
        <f t="shared" si="2237"/>
        <v>AZRAD UMAR BIN SHAARI</v>
      </c>
      <c r="V5509" t="str">
        <f t="shared" si="2238"/>
        <v>FARHANA BINTI MUSTAPA</v>
      </c>
      <c r="W5509" t="str">
        <f t="shared" si="2239"/>
        <v>04-08-2020</v>
      </c>
      <c r="X5509" t="str">
        <f t="shared" si="2240"/>
        <v>RAZIMAH ANSAR AHMAD</v>
      </c>
      <c r="Y5509" t="str">
        <f t="shared" si="2241"/>
        <v>04-08-2020</v>
      </c>
      <c r="Z5509" t="str">
        <f>"COS10200804 3645"</f>
        <v>COS10200804 3645</v>
      </c>
    </row>
    <row r="5510" spans="1:26" x14ac:dyDescent="0.25">
      <c r="A5510" t="str">
        <f t="shared" si="2249"/>
        <v>04-08-2020 12:46:39</v>
      </c>
      <c r="B5510" t="str">
        <f>"0000805417"</f>
        <v>0000805417</v>
      </c>
      <c r="C5510" t="str">
        <f t="shared" si="2250"/>
        <v>0000805373</v>
      </c>
      <c r="D5510" t="str">
        <f t="shared" si="2229"/>
        <v>73185</v>
      </c>
      <c r="E5510" t="str">
        <f t="shared" si="2230"/>
        <v>KFH-OPERATIONS DEPARTMENT</v>
      </c>
      <c r="F5510" t="str">
        <f t="shared" si="2231"/>
        <v>IBG</v>
      </c>
      <c r="G5510" t="str">
        <f t="shared" si="2244"/>
        <v>Refund COSHARE 10</v>
      </c>
      <c r="H5510" s="2">
        <v>134.35</v>
      </c>
      <c r="I5510" t="str">
        <f>"SUZINA  BETTY BINTI UBIN  ISMAIL"</f>
        <v>SUZINA  BETTY BINTI UBIN  ISMAIL</v>
      </c>
      <c r="J5510" t="str">
        <f t="shared" si="2253"/>
        <v>CIMB BANK / CIMB ISLAMIC BANK</v>
      </c>
      <c r="K5510" t="str">
        <f>"10030045123522"</f>
        <v>10030045123522</v>
      </c>
      <c r="L5510" t="str">
        <f t="shared" si="2254"/>
        <v>04-08-2020</v>
      </c>
      <c r="M5510" t="str">
        <f t="shared" si="2254"/>
        <v>04-08-2020</v>
      </c>
      <c r="N5510" t="str">
        <f t="shared" si="2233"/>
        <v>001105018356</v>
      </c>
      <c r="O5510" t="str">
        <f t="shared" si="2234"/>
        <v>MYR</v>
      </c>
      <c r="P5510" t="str">
        <f t="shared" si="2255"/>
        <v>NIL</v>
      </c>
      <c r="Q5510" t="str">
        <f t="shared" si="2255"/>
        <v>NIL</v>
      </c>
      <c r="R5510" t="str">
        <f t="shared" si="2247"/>
        <v>Accepted</v>
      </c>
      <c r="S5510" t="str">
        <f t="shared" si="2236"/>
        <v>Approved</v>
      </c>
      <c r="T5510" t="str">
        <f t="shared" si="2248"/>
        <v>10.20.8.188</v>
      </c>
      <c r="U5510" t="str">
        <f t="shared" si="2237"/>
        <v>AZRAD UMAR BIN SHAARI</v>
      </c>
      <c r="V5510" t="str">
        <f t="shared" si="2238"/>
        <v>FARHANA BINTI MUSTAPA</v>
      </c>
      <c r="W5510" t="str">
        <f t="shared" si="2239"/>
        <v>04-08-2020</v>
      </c>
      <c r="X5510" t="str">
        <f t="shared" si="2240"/>
        <v>RAZIMAH ANSAR AHMAD</v>
      </c>
      <c r="Y5510" t="str">
        <f t="shared" si="2241"/>
        <v>04-08-2020</v>
      </c>
      <c r="Z5510" t="str">
        <f>"COS10200804 3644"</f>
        <v>COS10200804 3644</v>
      </c>
    </row>
    <row r="5511" spans="1:26" x14ac:dyDescent="0.25">
      <c r="A5511" t="str">
        <f t="shared" si="2249"/>
        <v>04-08-2020 12:46:39</v>
      </c>
      <c r="B5511" t="str">
        <f>"0000805416"</f>
        <v>0000805416</v>
      </c>
      <c r="C5511" t="str">
        <f t="shared" si="2250"/>
        <v>0000805373</v>
      </c>
      <c r="D5511" t="str">
        <f t="shared" ref="D5511:D5574" si="2256">"73185"</f>
        <v>73185</v>
      </c>
      <c r="E5511" t="str">
        <f t="shared" ref="E5511:E5574" si="2257">"KFH-OPERATIONS DEPARTMENT"</f>
        <v>KFH-OPERATIONS DEPARTMENT</v>
      </c>
      <c r="F5511" t="str">
        <f t="shared" ref="F5511:F5574" si="2258">"IBG"</f>
        <v>IBG</v>
      </c>
      <c r="G5511" t="str">
        <f t="shared" si="2244"/>
        <v>Refund COSHARE 10</v>
      </c>
      <c r="H5511" s="2">
        <v>152</v>
      </c>
      <c r="I5511" t="str">
        <f>"SUZIE ARDAWATI BINTI CHE SOH"</f>
        <v>SUZIE ARDAWATI BINTI CHE SOH</v>
      </c>
      <c r="J5511" t="str">
        <f t="shared" si="2253"/>
        <v>CIMB BANK / CIMB ISLAMIC BANK</v>
      </c>
      <c r="K5511" t="str">
        <f>"13130005126523"</f>
        <v>13130005126523</v>
      </c>
      <c r="L5511" t="str">
        <f t="shared" si="2254"/>
        <v>04-08-2020</v>
      </c>
      <c r="M5511" t="str">
        <f t="shared" si="2254"/>
        <v>04-08-2020</v>
      </c>
      <c r="N5511" t="str">
        <f t="shared" ref="N5511:N5574" si="2259">"001105018356"</f>
        <v>001105018356</v>
      </c>
      <c r="O5511" t="str">
        <f t="shared" ref="O5511:O5574" si="2260">"MYR"</f>
        <v>MYR</v>
      </c>
      <c r="P5511" t="str">
        <f t="shared" si="2255"/>
        <v>NIL</v>
      </c>
      <c r="Q5511" t="str">
        <f t="shared" si="2255"/>
        <v>NIL</v>
      </c>
      <c r="R5511" t="str">
        <f t="shared" si="2247"/>
        <v>Accepted</v>
      </c>
      <c r="S5511" t="str">
        <f t="shared" ref="S5511:S5574" si="2261">"Approved"</f>
        <v>Approved</v>
      </c>
      <c r="T5511" t="str">
        <f t="shared" si="2248"/>
        <v>10.20.8.188</v>
      </c>
      <c r="U5511" t="str">
        <f t="shared" ref="U5511:U5574" si="2262">"AZRAD UMAR BIN SHAARI"</f>
        <v>AZRAD UMAR BIN SHAARI</v>
      </c>
      <c r="V5511" t="str">
        <f t="shared" ref="V5511:V5574" si="2263">"FARHANA BINTI MUSTAPA"</f>
        <v>FARHANA BINTI MUSTAPA</v>
      </c>
      <c r="W5511" t="str">
        <f t="shared" ref="W5511:W5574" si="2264">"04-08-2020"</f>
        <v>04-08-2020</v>
      </c>
      <c r="X5511" t="str">
        <f t="shared" ref="X5511:X5574" si="2265">"RAZIMAH ANSAR AHMAD"</f>
        <v>RAZIMAH ANSAR AHMAD</v>
      </c>
      <c r="Y5511" t="str">
        <f t="shared" ref="Y5511:Y5574" si="2266">"04-08-2020"</f>
        <v>04-08-2020</v>
      </c>
      <c r="Z5511" t="str">
        <f>"COS10200804 3643"</f>
        <v>COS10200804 3643</v>
      </c>
    </row>
    <row r="5512" spans="1:26" x14ac:dyDescent="0.25">
      <c r="A5512" t="str">
        <f t="shared" si="2249"/>
        <v>04-08-2020 12:46:39</v>
      </c>
      <c r="B5512" t="str">
        <f>"0000805415"</f>
        <v>0000805415</v>
      </c>
      <c r="C5512" t="str">
        <f t="shared" si="2250"/>
        <v>0000805373</v>
      </c>
      <c r="D5512" t="str">
        <f t="shared" si="2256"/>
        <v>73185</v>
      </c>
      <c r="E5512" t="str">
        <f t="shared" si="2257"/>
        <v>KFH-OPERATIONS DEPARTMENT</v>
      </c>
      <c r="F5512" t="str">
        <f t="shared" si="2258"/>
        <v>IBG</v>
      </c>
      <c r="G5512" t="str">
        <f t="shared" si="2244"/>
        <v>Refund COSHARE 10</v>
      </c>
      <c r="H5512" s="2">
        <v>83.95</v>
      </c>
      <c r="I5512" t="str">
        <f>"SUZAN BINTI IMPAK"</f>
        <v>SUZAN BINTI IMPAK</v>
      </c>
      <c r="J5512" t="str">
        <f t="shared" si="2253"/>
        <v>CIMB BANK / CIMB ISLAMIC BANK</v>
      </c>
      <c r="K5512" t="str">
        <f>"7037568541"</f>
        <v>7037568541</v>
      </c>
      <c r="L5512" t="str">
        <f t="shared" si="2254"/>
        <v>04-08-2020</v>
      </c>
      <c r="M5512" t="str">
        <f t="shared" si="2254"/>
        <v>04-08-2020</v>
      </c>
      <c r="N5512" t="str">
        <f t="shared" si="2259"/>
        <v>001105018356</v>
      </c>
      <c r="O5512" t="str">
        <f t="shared" si="2260"/>
        <v>MYR</v>
      </c>
      <c r="P5512" t="str">
        <f t="shared" si="2255"/>
        <v>NIL</v>
      </c>
      <c r="Q5512" t="str">
        <f t="shared" si="2255"/>
        <v>NIL</v>
      </c>
      <c r="R5512" t="str">
        <f t="shared" si="2247"/>
        <v>Accepted</v>
      </c>
      <c r="S5512" t="str">
        <f t="shared" si="2261"/>
        <v>Approved</v>
      </c>
      <c r="T5512" t="str">
        <f t="shared" si="2248"/>
        <v>10.20.8.188</v>
      </c>
      <c r="U5512" t="str">
        <f t="shared" si="2262"/>
        <v>AZRAD UMAR BIN SHAARI</v>
      </c>
      <c r="V5512" t="str">
        <f t="shared" si="2263"/>
        <v>FARHANA BINTI MUSTAPA</v>
      </c>
      <c r="W5512" t="str">
        <f t="shared" si="2264"/>
        <v>04-08-2020</v>
      </c>
      <c r="X5512" t="str">
        <f t="shared" si="2265"/>
        <v>RAZIMAH ANSAR AHMAD</v>
      </c>
      <c r="Y5512" t="str">
        <f t="shared" si="2266"/>
        <v>04-08-2020</v>
      </c>
      <c r="Z5512" t="str">
        <f>"COS10200804 3642"</f>
        <v>COS10200804 3642</v>
      </c>
    </row>
    <row r="5513" spans="1:26" x14ac:dyDescent="0.25">
      <c r="A5513" t="str">
        <f t="shared" si="2249"/>
        <v>04-08-2020 12:46:39</v>
      </c>
      <c r="B5513" t="str">
        <f>"0000805414"</f>
        <v>0000805414</v>
      </c>
      <c r="C5513" t="str">
        <f t="shared" si="2250"/>
        <v>0000805373</v>
      </c>
      <c r="D5513" t="str">
        <f t="shared" si="2256"/>
        <v>73185</v>
      </c>
      <c r="E5513" t="str">
        <f t="shared" si="2257"/>
        <v>KFH-OPERATIONS DEPARTMENT</v>
      </c>
      <c r="F5513" t="str">
        <f t="shared" si="2258"/>
        <v>IBG</v>
      </c>
      <c r="G5513" t="str">
        <f t="shared" si="2244"/>
        <v>Refund COSHARE 10</v>
      </c>
      <c r="H5513" s="2">
        <v>83.95</v>
      </c>
      <c r="I5513" t="str">
        <f>"SUZAINIE BINTI ISMAIL"</f>
        <v>SUZAINIE BINTI ISMAIL</v>
      </c>
      <c r="J5513" t="str">
        <f t="shared" si="2253"/>
        <v>CIMB BANK / CIMB ISLAMIC BANK</v>
      </c>
      <c r="K5513" t="str">
        <f>"10090012232524"</f>
        <v>10090012232524</v>
      </c>
      <c r="L5513" t="str">
        <f t="shared" si="2254"/>
        <v>04-08-2020</v>
      </c>
      <c r="M5513" t="str">
        <f t="shared" si="2254"/>
        <v>04-08-2020</v>
      </c>
      <c r="N5513" t="str">
        <f t="shared" si="2259"/>
        <v>001105018356</v>
      </c>
      <c r="O5513" t="str">
        <f t="shared" si="2260"/>
        <v>MYR</v>
      </c>
      <c r="P5513" t="str">
        <f t="shared" si="2255"/>
        <v>NIL</v>
      </c>
      <c r="Q5513" t="str">
        <f t="shared" si="2255"/>
        <v>NIL</v>
      </c>
      <c r="R5513" t="str">
        <f t="shared" si="2247"/>
        <v>Accepted</v>
      </c>
      <c r="S5513" t="str">
        <f t="shared" si="2261"/>
        <v>Approved</v>
      </c>
      <c r="T5513" t="str">
        <f t="shared" si="2248"/>
        <v>10.20.8.188</v>
      </c>
      <c r="U5513" t="str">
        <f t="shared" si="2262"/>
        <v>AZRAD UMAR BIN SHAARI</v>
      </c>
      <c r="V5513" t="str">
        <f t="shared" si="2263"/>
        <v>FARHANA BINTI MUSTAPA</v>
      </c>
      <c r="W5513" t="str">
        <f t="shared" si="2264"/>
        <v>04-08-2020</v>
      </c>
      <c r="X5513" t="str">
        <f t="shared" si="2265"/>
        <v>RAZIMAH ANSAR AHMAD</v>
      </c>
      <c r="Y5513" t="str">
        <f t="shared" si="2266"/>
        <v>04-08-2020</v>
      </c>
      <c r="Z5513" t="str">
        <f>"COS10200804 3641"</f>
        <v>COS10200804 3641</v>
      </c>
    </row>
    <row r="5514" spans="1:26" x14ac:dyDescent="0.25">
      <c r="A5514" t="str">
        <f t="shared" ref="A5514:A5545" si="2267">"04-08-2020 12:46:39"</f>
        <v>04-08-2020 12:46:39</v>
      </c>
      <c r="B5514" t="str">
        <f>"0000805413"</f>
        <v>0000805413</v>
      </c>
      <c r="C5514" t="str">
        <f t="shared" ref="C5514:C5545" si="2268">"0000805373"</f>
        <v>0000805373</v>
      </c>
      <c r="D5514" t="str">
        <f t="shared" si="2256"/>
        <v>73185</v>
      </c>
      <c r="E5514" t="str">
        <f t="shared" si="2257"/>
        <v>KFH-OPERATIONS DEPARTMENT</v>
      </c>
      <c r="F5514" t="str">
        <f t="shared" si="2258"/>
        <v>IBG</v>
      </c>
      <c r="G5514" t="str">
        <f t="shared" si="2244"/>
        <v>Refund COSHARE 10</v>
      </c>
      <c r="H5514" s="2">
        <v>629.65</v>
      </c>
      <c r="I5514" t="str">
        <f>"SUSILAWATI BINTI MD SUKOR"</f>
        <v>SUSILAWATI BINTI MD SUKOR</v>
      </c>
      <c r="J5514" t="str">
        <f t="shared" si="2253"/>
        <v>CIMB BANK / CIMB ISLAMIC BANK</v>
      </c>
      <c r="K5514" t="str">
        <f>"01150063717527"</f>
        <v>01150063717527</v>
      </c>
      <c r="L5514" t="str">
        <f t="shared" si="2254"/>
        <v>04-08-2020</v>
      </c>
      <c r="M5514" t="str">
        <f t="shared" si="2254"/>
        <v>04-08-2020</v>
      </c>
      <c r="N5514" t="str">
        <f t="shared" si="2259"/>
        <v>001105018356</v>
      </c>
      <c r="O5514" t="str">
        <f t="shared" si="2260"/>
        <v>MYR</v>
      </c>
      <c r="P5514" t="str">
        <f t="shared" si="2255"/>
        <v>NIL</v>
      </c>
      <c r="Q5514" t="str">
        <f t="shared" si="2255"/>
        <v>NIL</v>
      </c>
      <c r="R5514" t="str">
        <f t="shared" si="2247"/>
        <v>Accepted</v>
      </c>
      <c r="S5514" t="str">
        <f t="shared" si="2261"/>
        <v>Approved</v>
      </c>
      <c r="T5514" t="str">
        <f t="shared" si="2248"/>
        <v>10.20.8.188</v>
      </c>
      <c r="U5514" t="str">
        <f t="shared" si="2262"/>
        <v>AZRAD UMAR BIN SHAARI</v>
      </c>
      <c r="V5514" t="str">
        <f t="shared" si="2263"/>
        <v>FARHANA BINTI MUSTAPA</v>
      </c>
      <c r="W5514" t="str">
        <f t="shared" si="2264"/>
        <v>04-08-2020</v>
      </c>
      <c r="X5514" t="str">
        <f t="shared" si="2265"/>
        <v>RAZIMAH ANSAR AHMAD</v>
      </c>
      <c r="Y5514" t="str">
        <f t="shared" si="2266"/>
        <v>04-08-2020</v>
      </c>
      <c r="Z5514" t="str">
        <f>"COS10200804 3640"</f>
        <v>COS10200804 3640</v>
      </c>
    </row>
    <row r="5515" spans="1:26" x14ac:dyDescent="0.25">
      <c r="A5515" t="str">
        <f t="shared" si="2267"/>
        <v>04-08-2020 12:46:39</v>
      </c>
      <c r="B5515" t="str">
        <f>"0000805412"</f>
        <v>0000805412</v>
      </c>
      <c r="C5515" t="str">
        <f t="shared" si="2268"/>
        <v>0000805373</v>
      </c>
      <c r="D5515" t="str">
        <f t="shared" si="2256"/>
        <v>73185</v>
      </c>
      <c r="E5515" t="str">
        <f t="shared" si="2257"/>
        <v>KFH-OPERATIONS DEPARTMENT</v>
      </c>
      <c r="F5515" t="str">
        <f t="shared" si="2258"/>
        <v>IBG</v>
      </c>
      <c r="G5515" t="str">
        <f t="shared" si="2244"/>
        <v>Refund COSHARE 10</v>
      </c>
      <c r="H5515" s="2">
        <v>320.25</v>
      </c>
      <c r="I5515" t="str">
        <f>"SURYATI BINTI SAMSI"</f>
        <v>SURYATI BINTI SAMSI</v>
      </c>
      <c r="J5515" t="str">
        <f t="shared" si="2253"/>
        <v>CIMB BANK / CIMB ISLAMIC BANK</v>
      </c>
      <c r="K5515" t="str">
        <f>"10070075201524"</f>
        <v>10070075201524</v>
      </c>
      <c r="L5515" t="str">
        <f t="shared" si="2254"/>
        <v>04-08-2020</v>
      </c>
      <c r="M5515" t="str">
        <f t="shared" si="2254"/>
        <v>04-08-2020</v>
      </c>
      <c r="N5515" t="str">
        <f t="shared" si="2259"/>
        <v>001105018356</v>
      </c>
      <c r="O5515" t="str">
        <f t="shared" si="2260"/>
        <v>MYR</v>
      </c>
      <c r="P5515" t="str">
        <f t="shared" si="2255"/>
        <v>NIL</v>
      </c>
      <c r="Q5515" t="str">
        <f t="shared" si="2255"/>
        <v>NIL</v>
      </c>
      <c r="R5515" t="str">
        <f t="shared" si="2247"/>
        <v>Accepted</v>
      </c>
      <c r="S5515" t="str">
        <f t="shared" si="2261"/>
        <v>Approved</v>
      </c>
      <c r="T5515" t="str">
        <f t="shared" si="2248"/>
        <v>10.20.8.188</v>
      </c>
      <c r="U5515" t="str">
        <f t="shared" si="2262"/>
        <v>AZRAD UMAR BIN SHAARI</v>
      </c>
      <c r="V5515" t="str">
        <f t="shared" si="2263"/>
        <v>FARHANA BINTI MUSTAPA</v>
      </c>
      <c r="W5515" t="str">
        <f t="shared" si="2264"/>
        <v>04-08-2020</v>
      </c>
      <c r="X5515" t="str">
        <f t="shared" si="2265"/>
        <v>RAZIMAH ANSAR AHMAD</v>
      </c>
      <c r="Y5515" t="str">
        <f t="shared" si="2266"/>
        <v>04-08-2020</v>
      </c>
      <c r="Z5515" t="str">
        <f>"COS10200804 3639"</f>
        <v>COS10200804 3639</v>
      </c>
    </row>
    <row r="5516" spans="1:26" x14ac:dyDescent="0.25">
      <c r="A5516" t="str">
        <f t="shared" si="2267"/>
        <v>04-08-2020 12:46:39</v>
      </c>
      <c r="B5516" t="str">
        <f>"0000805411"</f>
        <v>0000805411</v>
      </c>
      <c r="C5516" t="str">
        <f t="shared" si="2268"/>
        <v>0000805373</v>
      </c>
      <c r="D5516" t="str">
        <f t="shared" si="2256"/>
        <v>73185</v>
      </c>
      <c r="E5516" t="str">
        <f t="shared" si="2257"/>
        <v>KFH-OPERATIONS DEPARTMENT</v>
      </c>
      <c r="F5516" t="str">
        <f t="shared" si="2258"/>
        <v>IBG</v>
      </c>
      <c r="G5516" t="str">
        <f t="shared" ref="G5516:G5579" si="2269">"Refund COSHARE 10"</f>
        <v>Refund COSHARE 10</v>
      </c>
      <c r="H5516" s="2">
        <v>42</v>
      </c>
      <c r="I5516" t="str">
        <f>"SURIYANI BINTI YAHYA"</f>
        <v>SURIYANI BINTI YAHYA</v>
      </c>
      <c r="J5516" t="str">
        <f t="shared" si="2253"/>
        <v>CIMB BANK / CIMB ISLAMIC BANK</v>
      </c>
      <c r="K5516" t="str">
        <f>"12440002270201"</f>
        <v>12440002270201</v>
      </c>
      <c r="L5516" t="str">
        <f t="shared" si="2254"/>
        <v>04-08-2020</v>
      </c>
      <c r="M5516" t="str">
        <f t="shared" si="2254"/>
        <v>04-08-2020</v>
      </c>
      <c r="N5516" t="str">
        <f t="shared" si="2259"/>
        <v>001105018356</v>
      </c>
      <c r="O5516" t="str">
        <f t="shared" si="2260"/>
        <v>MYR</v>
      </c>
      <c r="P5516" t="str">
        <f t="shared" si="2255"/>
        <v>NIL</v>
      </c>
      <c r="Q5516" t="str">
        <f t="shared" si="2255"/>
        <v>NIL</v>
      </c>
      <c r="R5516" t="str">
        <f t="shared" si="2247"/>
        <v>Accepted</v>
      </c>
      <c r="S5516" t="str">
        <f t="shared" si="2261"/>
        <v>Approved</v>
      </c>
      <c r="T5516" t="str">
        <f t="shared" si="2248"/>
        <v>10.20.8.188</v>
      </c>
      <c r="U5516" t="str">
        <f t="shared" si="2262"/>
        <v>AZRAD UMAR BIN SHAARI</v>
      </c>
      <c r="V5516" t="str">
        <f t="shared" si="2263"/>
        <v>FARHANA BINTI MUSTAPA</v>
      </c>
      <c r="W5516" t="str">
        <f t="shared" si="2264"/>
        <v>04-08-2020</v>
      </c>
      <c r="X5516" t="str">
        <f t="shared" si="2265"/>
        <v>RAZIMAH ANSAR AHMAD</v>
      </c>
      <c r="Y5516" t="str">
        <f t="shared" si="2266"/>
        <v>04-08-2020</v>
      </c>
      <c r="Z5516" t="str">
        <f>"COS10200804 3638"</f>
        <v>COS10200804 3638</v>
      </c>
    </row>
    <row r="5517" spans="1:26" x14ac:dyDescent="0.25">
      <c r="A5517" t="str">
        <f t="shared" si="2267"/>
        <v>04-08-2020 12:46:39</v>
      </c>
      <c r="B5517" t="str">
        <f>"0000805410"</f>
        <v>0000805410</v>
      </c>
      <c r="C5517" t="str">
        <f t="shared" si="2268"/>
        <v>0000805373</v>
      </c>
      <c r="D5517" t="str">
        <f t="shared" si="2256"/>
        <v>73185</v>
      </c>
      <c r="E5517" t="str">
        <f t="shared" si="2257"/>
        <v>KFH-OPERATIONS DEPARTMENT</v>
      </c>
      <c r="F5517" t="str">
        <f t="shared" si="2258"/>
        <v>IBG</v>
      </c>
      <c r="G5517" t="str">
        <f t="shared" si="2269"/>
        <v>Refund COSHARE 10</v>
      </c>
      <c r="H5517" s="2">
        <v>856.3</v>
      </c>
      <c r="I5517" t="str">
        <f>"SURIYANI BINTI CAMARUDIN"</f>
        <v>SURIYANI BINTI CAMARUDIN</v>
      </c>
      <c r="J5517" t="str">
        <f t="shared" si="2253"/>
        <v>CIMB BANK / CIMB ISLAMIC BANK</v>
      </c>
      <c r="K5517" t="str">
        <f>"14120021592521"</f>
        <v>14120021592521</v>
      </c>
      <c r="L5517" t="str">
        <f t="shared" si="2254"/>
        <v>04-08-2020</v>
      </c>
      <c r="M5517" t="str">
        <f t="shared" si="2254"/>
        <v>04-08-2020</v>
      </c>
      <c r="N5517" t="str">
        <f t="shared" si="2259"/>
        <v>001105018356</v>
      </c>
      <c r="O5517" t="str">
        <f t="shared" si="2260"/>
        <v>MYR</v>
      </c>
      <c r="P5517" t="str">
        <f t="shared" si="2255"/>
        <v>NIL</v>
      </c>
      <c r="Q5517" t="str">
        <f t="shared" si="2255"/>
        <v>NIL</v>
      </c>
      <c r="R5517" t="str">
        <f t="shared" si="2247"/>
        <v>Accepted</v>
      </c>
      <c r="S5517" t="str">
        <f t="shared" si="2261"/>
        <v>Approved</v>
      </c>
      <c r="T5517" t="str">
        <f t="shared" si="2248"/>
        <v>10.20.8.188</v>
      </c>
      <c r="U5517" t="str">
        <f t="shared" si="2262"/>
        <v>AZRAD UMAR BIN SHAARI</v>
      </c>
      <c r="V5517" t="str">
        <f t="shared" si="2263"/>
        <v>FARHANA BINTI MUSTAPA</v>
      </c>
      <c r="W5517" t="str">
        <f t="shared" si="2264"/>
        <v>04-08-2020</v>
      </c>
      <c r="X5517" t="str">
        <f t="shared" si="2265"/>
        <v>RAZIMAH ANSAR AHMAD</v>
      </c>
      <c r="Y5517" t="str">
        <f t="shared" si="2266"/>
        <v>04-08-2020</v>
      </c>
      <c r="Z5517" t="str">
        <f>"COS10200804 3637"</f>
        <v>COS10200804 3637</v>
      </c>
    </row>
    <row r="5518" spans="1:26" x14ac:dyDescent="0.25">
      <c r="A5518" t="str">
        <f t="shared" si="2267"/>
        <v>04-08-2020 12:46:39</v>
      </c>
      <c r="B5518" t="str">
        <f>"0000805409"</f>
        <v>0000805409</v>
      </c>
      <c r="C5518" t="str">
        <f t="shared" si="2268"/>
        <v>0000805373</v>
      </c>
      <c r="D5518" t="str">
        <f t="shared" si="2256"/>
        <v>73185</v>
      </c>
      <c r="E5518" t="str">
        <f t="shared" si="2257"/>
        <v>KFH-OPERATIONS DEPARTMENT</v>
      </c>
      <c r="F5518" t="str">
        <f t="shared" si="2258"/>
        <v>IBG</v>
      </c>
      <c r="G5518" t="str">
        <f t="shared" si="2269"/>
        <v>Refund COSHARE 10</v>
      </c>
      <c r="H5518" s="2">
        <v>58.8</v>
      </c>
      <c r="I5518" t="str">
        <f>"SURIATI BINTI MUHAMAD"</f>
        <v>SURIATI BINTI MUHAMAD</v>
      </c>
      <c r="J5518" t="str">
        <f t="shared" si="2253"/>
        <v>CIMB BANK / CIMB ISLAMIC BANK</v>
      </c>
      <c r="K5518" t="str">
        <f>"7000372356"</f>
        <v>7000372356</v>
      </c>
      <c r="L5518" t="str">
        <f t="shared" si="2254"/>
        <v>04-08-2020</v>
      </c>
      <c r="M5518" t="str">
        <f t="shared" si="2254"/>
        <v>04-08-2020</v>
      </c>
      <c r="N5518" t="str">
        <f t="shared" si="2259"/>
        <v>001105018356</v>
      </c>
      <c r="O5518" t="str">
        <f t="shared" si="2260"/>
        <v>MYR</v>
      </c>
      <c r="P5518" t="str">
        <f t="shared" si="2255"/>
        <v>NIL</v>
      </c>
      <c r="Q5518" t="str">
        <f t="shared" si="2255"/>
        <v>NIL</v>
      </c>
      <c r="R5518" t="str">
        <f t="shared" si="2247"/>
        <v>Accepted</v>
      </c>
      <c r="S5518" t="str">
        <f t="shared" si="2261"/>
        <v>Approved</v>
      </c>
      <c r="T5518" t="str">
        <f t="shared" si="2248"/>
        <v>10.20.8.188</v>
      </c>
      <c r="U5518" t="str">
        <f t="shared" si="2262"/>
        <v>AZRAD UMAR BIN SHAARI</v>
      </c>
      <c r="V5518" t="str">
        <f t="shared" si="2263"/>
        <v>FARHANA BINTI MUSTAPA</v>
      </c>
      <c r="W5518" t="str">
        <f t="shared" si="2264"/>
        <v>04-08-2020</v>
      </c>
      <c r="X5518" t="str">
        <f t="shared" si="2265"/>
        <v>RAZIMAH ANSAR AHMAD</v>
      </c>
      <c r="Y5518" t="str">
        <f t="shared" si="2266"/>
        <v>04-08-2020</v>
      </c>
      <c r="Z5518" t="str">
        <f>"COS10200804 3636"</f>
        <v>COS10200804 3636</v>
      </c>
    </row>
    <row r="5519" spans="1:26" x14ac:dyDescent="0.25">
      <c r="A5519" t="str">
        <f t="shared" si="2267"/>
        <v>04-08-2020 12:46:39</v>
      </c>
      <c r="B5519" t="str">
        <f>"0000805408"</f>
        <v>0000805408</v>
      </c>
      <c r="C5519" t="str">
        <f t="shared" si="2268"/>
        <v>0000805373</v>
      </c>
      <c r="D5519" t="str">
        <f t="shared" si="2256"/>
        <v>73185</v>
      </c>
      <c r="E5519" t="str">
        <f t="shared" si="2257"/>
        <v>KFH-OPERATIONS DEPARTMENT</v>
      </c>
      <c r="F5519" t="str">
        <f t="shared" si="2258"/>
        <v>IBG</v>
      </c>
      <c r="G5519" t="str">
        <f t="shared" si="2269"/>
        <v>Refund COSHARE 10</v>
      </c>
      <c r="H5519" s="2">
        <v>688.4</v>
      </c>
      <c r="I5519" t="str">
        <f>"SURIATI BINTI ABDUL SATAR"</f>
        <v>SURIATI BINTI ABDUL SATAR</v>
      </c>
      <c r="J5519" t="str">
        <f t="shared" si="2253"/>
        <v>CIMB BANK / CIMB ISLAMIC BANK</v>
      </c>
      <c r="K5519" t="str">
        <f>"01160068780524"</f>
        <v>01160068780524</v>
      </c>
      <c r="L5519" t="str">
        <f t="shared" si="2254"/>
        <v>04-08-2020</v>
      </c>
      <c r="M5519" t="str">
        <f t="shared" si="2254"/>
        <v>04-08-2020</v>
      </c>
      <c r="N5519" t="str">
        <f t="shared" si="2259"/>
        <v>001105018356</v>
      </c>
      <c r="O5519" t="str">
        <f t="shared" si="2260"/>
        <v>MYR</v>
      </c>
      <c r="P5519" t="str">
        <f t="shared" si="2255"/>
        <v>NIL</v>
      </c>
      <c r="Q5519" t="str">
        <f t="shared" si="2255"/>
        <v>NIL</v>
      </c>
      <c r="R5519" t="str">
        <f t="shared" si="2247"/>
        <v>Accepted</v>
      </c>
      <c r="S5519" t="str">
        <f t="shared" si="2261"/>
        <v>Approved</v>
      </c>
      <c r="T5519" t="str">
        <f t="shared" si="2248"/>
        <v>10.20.8.188</v>
      </c>
      <c r="U5519" t="str">
        <f t="shared" si="2262"/>
        <v>AZRAD UMAR BIN SHAARI</v>
      </c>
      <c r="V5519" t="str">
        <f t="shared" si="2263"/>
        <v>FARHANA BINTI MUSTAPA</v>
      </c>
      <c r="W5519" t="str">
        <f t="shared" si="2264"/>
        <v>04-08-2020</v>
      </c>
      <c r="X5519" t="str">
        <f t="shared" si="2265"/>
        <v>RAZIMAH ANSAR AHMAD</v>
      </c>
      <c r="Y5519" t="str">
        <f t="shared" si="2266"/>
        <v>04-08-2020</v>
      </c>
      <c r="Z5519" t="str">
        <f>"COS10200804 3635"</f>
        <v>COS10200804 3635</v>
      </c>
    </row>
    <row r="5520" spans="1:26" x14ac:dyDescent="0.25">
      <c r="A5520" t="str">
        <f t="shared" si="2267"/>
        <v>04-08-2020 12:46:39</v>
      </c>
      <c r="B5520" t="str">
        <f>"0000805407"</f>
        <v>0000805407</v>
      </c>
      <c r="C5520" t="str">
        <f t="shared" si="2268"/>
        <v>0000805373</v>
      </c>
      <c r="D5520" t="str">
        <f t="shared" si="2256"/>
        <v>73185</v>
      </c>
      <c r="E5520" t="str">
        <f t="shared" si="2257"/>
        <v>KFH-OPERATIONS DEPARTMENT</v>
      </c>
      <c r="F5520" t="str">
        <f t="shared" si="2258"/>
        <v>IBG</v>
      </c>
      <c r="G5520" t="str">
        <f t="shared" si="2269"/>
        <v>Refund COSHARE 10</v>
      </c>
      <c r="H5520" s="2">
        <v>713.6</v>
      </c>
      <c r="I5520" t="str">
        <f>"SURIANI BINTI MOHD"</f>
        <v>SURIANI BINTI MOHD</v>
      </c>
      <c r="J5520" t="str">
        <f t="shared" si="2253"/>
        <v>CIMB BANK / CIMB ISLAMIC BANK</v>
      </c>
      <c r="K5520" t="str">
        <f>"7008006033"</f>
        <v>7008006033</v>
      </c>
      <c r="L5520" t="str">
        <f t="shared" si="2254"/>
        <v>04-08-2020</v>
      </c>
      <c r="M5520" t="str">
        <f t="shared" si="2254"/>
        <v>04-08-2020</v>
      </c>
      <c r="N5520" t="str">
        <f t="shared" si="2259"/>
        <v>001105018356</v>
      </c>
      <c r="O5520" t="str">
        <f t="shared" si="2260"/>
        <v>MYR</v>
      </c>
      <c r="P5520" t="str">
        <f t="shared" si="2255"/>
        <v>NIL</v>
      </c>
      <c r="Q5520" t="str">
        <f t="shared" si="2255"/>
        <v>NIL</v>
      </c>
      <c r="R5520" t="str">
        <f t="shared" si="2247"/>
        <v>Accepted</v>
      </c>
      <c r="S5520" t="str">
        <f t="shared" si="2261"/>
        <v>Approved</v>
      </c>
      <c r="T5520" t="str">
        <f t="shared" si="2248"/>
        <v>10.20.8.188</v>
      </c>
      <c r="U5520" t="str">
        <f t="shared" si="2262"/>
        <v>AZRAD UMAR BIN SHAARI</v>
      </c>
      <c r="V5520" t="str">
        <f t="shared" si="2263"/>
        <v>FARHANA BINTI MUSTAPA</v>
      </c>
      <c r="W5520" t="str">
        <f t="shared" si="2264"/>
        <v>04-08-2020</v>
      </c>
      <c r="X5520" t="str">
        <f t="shared" si="2265"/>
        <v>RAZIMAH ANSAR AHMAD</v>
      </c>
      <c r="Y5520" t="str">
        <f t="shared" si="2266"/>
        <v>04-08-2020</v>
      </c>
      <c r="Z5520" t="str">
        <f>"COS10200804 3634"</f>
        <v>COS10200804 3634</v>
      </c>
    </row>
    <row r="5521" spans="1:26" x14ac:dyDescent="0.25">
      <c r="A5521" t="str">
        <f t="shared" si="2267"/>
        <v>04-08-2020 12:46:39</v>
      </c>
      <c r="B5521" t="str">
        <f>"0000805406"</f>
        <v>0000805406</v>
      </c>
      <c r="C5521" t="str">
        <f t="shared" si="2268"/>
        <v>0000805373</v>
      </c>
      <c r="D5521" t="str">
        <f t="shared" si="2256"/>
        <v>73185</v>
      </c>
      <c r="E5521" t="str">
        <f t="shared" si="2257"/>
        <v>KFH-OPERATIONS DEPARTMENT</v>
      </c>
      <c r="F5521" t="str">
        <f t="shared" si="2258"/>
        <v>IBG</v>
      </c>
      <c r="G5521" t="str">
        <f t="shared" si="2269"/>
        <v>Refund COSHARE 10</v>
      </c>
      <c r="H5521" s="2">
        <v>839.5</v>
      </c>
      <c r="I5521" t="str">
        <f>"SURIA HARYANTI BINTI SALEHAN"</f>
        <v>SURIA HARYANTI BINTI SALEHAN</v>
      </c>
      <c r="J5521" t="str">
        <f t="shared" si="2253"/>
        <v>CIMB BANK / CIMB ISLAMIC BANK</v>
      </c>
      <c r="K5521" t="str">
        <f>"7040562404"</f>
        <v>7040562404</v>
      </c>
      <c r="L5521" t="str">
        <f t="shared" si="2254"/>
        <v>04-08-2020</v>
      </c>
      <c r="M5521" t="str">
        <f t="shared" si="2254"/>
        <v>04-08-2020</v>
      </c>
      <c r="N5521" t="str">
        <f t="shared" si="2259"/>
        <v>001105018356</v>
      </c>
      <c r="O5521" t="str">
        <f t="shared" si="2260"/>
        <v>MYR</v>
      </c>
      <c r="P5521" t="str">
        <f t="shared" si="2255"/>
        <v>NIL</v>
      </c>
      <c r="Q5521" t="str">
        <f t="shared" si="2255"/>
        <v>NIL</v>
      </c>
      <c r="R5521" t="str">
        <f t="shared" si="2247"/>
        <v>Accepted</v>
      </c>
      <c r="S5521" t="str">
        <f t="shared" si="2261"/>
        <v>Approved</v>
      </c>
      <c r="T5521" t="str">
        <f t="shared" si="2248"/>
        <v>10.20.8.188</v>
      </c>
      <c r="U5521" t="str">
        <f t="shared" si="2262"/>
        <v>AZRAD UMAR BIN SHAARI</v>
      </c>
      <c r="V5521" t="str">
        <f t="shared" si="2263"/>
        <v>FARHANA BINTI MUSTAPA</v>
      </c>
      <c r="W5521" t="str">
        <f t="shared" si="2264"/>
        <v>04-08-2020</v>
      </c>
      <c r="X5521" t="str">
        <f t="shared" si="2265"/>
        <v>RAZIMAH ANSAR AHMAD</v>
      </c>
      <c r="Y5521" t="str">
        <f t="shared" si="2266"/>
        <v>04-08-2020</v>
      </c>
      <c r="Z5521" t="str">
        <f>"COS10200804 3633"</f>
        <v>COS10200804 3633</v>
      </c>
    </row>
    <row r="5522" spans="1:26" x14ac:dyDescent="0.25">
      <c r="A5522" t="str">
        <f t="shared" si="2267"/>
        <v>04-08-2020 12:46:39</v>
      </c>
      <c r="B5522" t="str">
        <f>"0000805405"</f>
        <v>0000805405</v>
      </c>
      <c r="C5522" t="str">
        <f t="shared" si="2268"/>
        <v>0000805373</v>
      </c>
      <c r="D5522" t="str">
        <f t="shared" si="2256"/>
        <v>73185</v>
      </c>
      <c r="E5522" t="str">
        <f t="shared" si="2257"/>
        <v>KFH-OPERATIONS DEPARTMENT</v>
      </c>
      <c r="F5522" t="str">
        <f t="shared" si="2258"/>
        <v>IBG</v>
      </c>
      <c r="G5522" t="str">
        <f t="shared" si="2269"/>
        <v>Refund COSHARE 10</v>
      </c>
      <c r="H5522" s="2">
        <v>713.6</v>
      </c>
      <c r="I5522" t="str">
        <f>"SURIA BINTI JAMALUDDIN"</f>
        <v>SURIA BINTI JAMALUDDIN</v>
      </c>
      <c r="J5522" t="str">
        <f t="shared" si="2253"/>
        <v>CIMB BANK / CIMB ISLAMIC BANK</v>
      </c>
      <c r="K5522" t="str">
        <f>"14380073393525"</f>
        <v>14380073393525</v>
      </c>
      <c r="L5522" t="str">
        <f t="shared" si="2254"/>
        <v>04-08-2020</v>
      </c>
      <c r="M5522" t="str">
        <f t="shared" si="2254"/>
        <v>04-08-2020</v>
      </c>
      <c r="N5522" t="str">
        <f t="shared" si="2259"/>
        <v>001105018356</v>
      </c>
      <c r="O5522" t="str">
        <f t="shared" si="2260"/>
        <v>MYR</v>
      </c>
      <c r="P5522" t="str">
        <f t="shared" si="2255"/>
        <v>NIL</v>
      </c>
      <c r="Q5522" t="str">
        <f t="shared" si="2255"/>
        <v>NIL</v>
      </c>
      <c r="R5522" t="str">
        <f t="shared" si="2247"/>
        <v>Accepted</v>
      </c>
      <c r="S5522" t="str">
        <f t="shared" si="2261"/>
        <v>Approved</v>
      </c>
      <c r="T5522" t="str">
        <f t="shared" si="2248"/>
        <v>10.20.8.188</v>
      </c>
      <c r="U5522" t="str">
        <f t="shared" si="2262"/>
        <v>AZRAD UMAR BIN SHAARI</v>
      </c>
      <c r="V5522" t="str">
        <f t="shared" si="2263"/>
        <v>FARHANA BINTI MUSTAPA</v>
      </c>
      <c r="W5522" t="str">
        <f t="shared" si="2264"/>
        <v>04-08-2020</v>
      </c>
      <c r="X5522" t="str">
        <f t="shared" si="2265"/>
        <v>RAZIMAH ANSAR AHMAD</v>
      </c>
      <c r="Y5522" t="str">
        <f t="shared" si="2266"/>
        <v>04-08-2020</v>
      </c>
      <c r="Z5522" t="str">
        <f>"COS10200804 3632"</f>
        <v>COS10200804 3632</v>
      </c>
    </row>
    <row r="5523" spans="1:26" x14ac:dyDescent="0.25">
      <c r="A5523" t="str">
        <f t="shared" si="2267"/>
        <v>04-08-2020 12:46:39</v>
      </c>
      <c r="B5523" t="str">
        <f>"0000805404"</f>
        <v>0000805404</v>
      </c>
      <c r="C5523" t="str">
        <f t="shared" si="2268"/>
        <v>0000805373</v>
      </c>
      <c r="D5523" t="str">
        <f t="shared" si="2256"/>
        <v>73185</v>
      </c>
      <c r="E5523" t="str">
        <f t="shared" si="2257"/>
        <v>KFH-OPERATIONS DEPARTMENT</v>
      </c>
      <c r="F5523" t="str">
        <f t="shared" si="2258"/>
        <v>IBG</v>
      </c>
      <c r="G5523" t="str">
        <f t="shared" si="2269"/>
        <v>Refund COSHARE 10</v>
      </c>
      <c r="H5523" s="2">
        <v>200</v>
      </c>
      <c r="I5523" t="str">
        <f>"SURIA BINTI HAROON"</f>
        <v>SURIA BINTI HAROON</v>
      </c>
      <c r="J5523" t="str">
        <f t="shared" si="2253"/>
        <v>CIMB BANK / CIMB ISLAMIC BANK</v>
      </c>
      <c r="K5523" t="str">
        <f>"16010005068207"</f>
        <v>16010005068207</v>
      </c>
      <c r="L5523" t="str">
        <f t="shared" si="2254"/>
        <v>04-08-2020</v>
      </c>
      <c r="M5523" t="str">
        <f t="shared" si="2254"/>
        <v>04-08-2020</v>
      </c>
      <c r="N5523" t="str">
        <f t="shared" si="2259"/>
        <v>001105018356</v>
      </c>
      <c r="O5523" t="str">
        <f t="shared" si="2260"/>
        <v>MYR</v>
      </c>
      <c r="P5523" t="str">
        <f t="shared" si="2255"/>
        <v>NIL</v>
      </c>
      <c r="Q5523" t="str">
        <f t="shared" si="2255"/>
        <v>NIL</v>
      </c>
      <c r="R5523" t="str">
        <f t="shared" si="2247"/>
        <v>Accepted</v>
      </c>
      <c r="S5523" t="str">
        <f t="shared" si="2261"/>
        <v>Approved</v>
      </c>
      <c r="T5523" t="str">
        <f t="shared" si="2248"/>
        <v>10.20.8.188</v>
      </c>
      <c r="U5523" t="str">
        <f t="shared" si="2262"/>
        <v>AZRAD UMAR BIN SHAARI</v>
      </c>
      <c r="V5523" t="str">
        <f t="shared" si="2263"/>
        <v>FARHANA BINTI MUSTAPA</v>
      </c>
      <c r="W5523" t="str">
        <f t="shared" si="2264"/>
        <v>04-08-2020</v>
      </c>
      <c r="X5523" t="str">
        <f t="shared" si="2265"/>
        <v>RAZIMAH ANSAR AHMAD</v>
      </c>
      <c r="Y5523" t="str">
        <f t="shared" si="2266"/>
        <v>04-08-2020</v>
      </c>
      <c r="Z5523" t="str">
        <f>"COS10200804 3631"</f>
        <v>COS10200804 3631</v>
      </c>
    </row>
    <row r="5524" spans="1:26" x14ac:dyDescent="0.25">
      <c r="A5524" t="str">
        <f t="shared" si="2267"/>
        <v>04-08-2020 12:46:39</v>
      </c>
      <c r="B5524" t="str">
        <f>"0000805403"</f>
        <v>0000805403</v>
      </c>
      <c r="C5524" t="str">
        <f t="shared" si="2268"/>
        <v>0000805373</v>
      </c>
      <c r="D5524" t="str">
        <f t="shared" si="2256"/>
        <v>73185</v>
      </c>
      <c r="E5524" t="str">
        <f t="shared" si="2257"/>
        <v>KFH-OPERATIONS DEPARTMENT</v>
      </c>
      <c r="F5524" t="str">
        <f t="shared" si="2258"/>
        <v>IBG</v>
      </c>
      <c r="G5524" t="str">
        <f t="shared" si="2269"/>
        <v>Refund COSHARE 10</v>
      </c>
      <c r="H5524" s="2">
        <v>428.15</v>
      </c>
      <c r="I5524" t="str">
        <f>"SURI MASTIKA BINTI MAHAT"</f>
        <v>SURI MASTIKA BINTI MAHAT</v>
      </c>
      <c r="J5524" t="str">
        <f t="shared" si="2253"/>
        <v>CIMB BANK / CIMB ISLAMIC BANK</v>
      </c>
      <c r="K5524" t="str">
        <f>"04060066562524"</f>
        <v>04060066562524</v>
      </c>
      <c r="L5524" t="str">
        <f t="shared" si="2254"/>
        <v>04-08-2020</v>
      </c>
      <c r="M5524" t="str">
        <f t="shared" si="2254"/>
        <v>04-08-2020</v>
      </c>
      <c r="N5524" t="str">
        <f t="shared" si="2259"/>
        <v>001105018356</v>
      </c>
      <c r="O5524" t="str">
        <f t="shared" si="2260"/>
        <v>MYR</v>
      </c>
      <c r="P5524" t="str">
        <f t="shared" si="2255"/>
        <v>NIL</v>
      </c>
      <c r="Q5524" t="str">
        <f t="shared" si="2255"/>
        <v>NIL</v>
      </c>
      <c r="R5524" t="str">
        <f t="shared" si="2247"/>
        <v>Accepted</v>
      </c>
      <c r="S5524" t="str">
        <f t="shared" si="2261"/>
        <v>Approved</v>
      </c>
      <c r="T5524" t="str">
        <f t="shared" si="2248"/>
        <v>10.20.8.188</v>
      </c>
      <c r="U5524" t="str">
        <f t="shared" si="2262"/>
        <v>AZRAD UMAR BIN SHAARI</v>
      </c>
      <c r="V5524" t="str">
        <f t="shared" si="2263"/>
        <v>FARHANA BINTI MUSTAPA</v>
      </c>
      <c r="W5524" t="str">
        <f t="shared" si="2264"/>
        <v>04-08-2020</v>
      </c>
      <c r="X5524" t="str">
        <f t="shared" si="2265"/>
        <v>RAZIMAH ANSAR AHMAD</v>
      </c>
      <c r="Y5524" t="str">
        <f t="shared" si="2266"/>
        <v>04-08-2020</v>
      </c>
      <c r="Z5524" t="str">
        <f>"COS10200804 3630"</f>
        <v>COS10200804 3630</v>
      </c>
    </row>
    <row r="5525" spans="1:26" x14ac:dyDescent="0.25">
      <c r="A5525" t="str">
        <f t="shared" si="2267"/>
        <v>04-08-2020 12:46:39</v>
      </c>
      <c r="B5525" t="str">
        <f>"0000805402"</f>
        <v>0000805402</v>
      </c>
      <c r="C5525" t="str">
        <f t="shared" si="2268"/>
        <v>0000805373</v>
      </c>
      <c r="D5525" t="str">
        <f t="shared" si="2256"/>
        <v>73185</v>
      </c>
      <c r="E5525" t="str">
        <f t="shared" si="2257"/>
        <v>KFH-OPERATIONS DEPARTMENT</v>
      </c>
      <c r="F5525" t="str">
        <f t="shared" si="2258"/>
        <v>IBG</v>
      </c>
      <c r="G5525" t="str">
        <f t="shared" si="2269"/>
        <v>Refund COSHARE 10</v>
      </c>
      <c r="H5525" s="2">
        <v>520.5</v>
      </c>
      <c r="I5525" t="str">
        <f>"SURES AL PERUMAL"</f>
        <v>SURES AL PERUMAL</v>
      </c>
      <c r="J5525" t="str">
        <f t="shared" si="2253"/>
        <v>CIMB BANK / CIMB ISLAMIC BANK</v>
      </c>
      <c r="K5525" t="str">
        <f>"02080074953520"</f>
        <v>02080074953520</v>
      </c>
      <c r="L5525" t="str">
        <f t="shared" si="2254"/>
        <v>04-08-2020</v>
      </c>
      <c r="M5525" t="str">
        <f t="shared" si="2254"/>
        <v>04-08-2020</v>
      </c>
      <c r="N5525" t="str">
        <f t="shared" si="2259"/>
        <v>001105018356</v>
      </c>
      <c r="O5525" t="str">
        <f t="shared" si="2260"/>
        <v>MYR</v>
      </c>
      <c r="P5525" t="str">
        <f t="shared" si="2255"/>
        <v>NIL</v>
      </c>
      <c r="Q5525" t="str">
        <f t="shared" si="2255"/>
        <v>NIL</v>
      </c>
      <c r="R5525" t="str">
        <f t="shared" si="2247"/>
        <v>Accepted</v>
      </c>
      <c r="S5525" t="str">
        <f t="shared" si="2261"/>
        <v>Approved</v>
      </c>
      <c r="T5525" t="str">
        <f t="shared" si="2248"/>
        <v>10.20.8.188</v>
      </c>
      <c r="U5525" t="str">
        <f t="shared" si="2262"/>
        <v>AZRAD UMAR BIN SHAARI</v>
      </c>
      <c r="V5525" t="str">
        <f t="shared" si="2263"/>
        <v>FARHANA BINTI MUSTAPA</v>
      </c>
      <c r="W5525" t="str">
        <f t="shared" si="2264"/>
        <v>04-08-2020</v>
      </c>
      <c r="X5525" t="str">
        <f t="shared" si="2265"/>
        <v>RAZIMAH ANSAR AHMAD</v>
      </c>
      <c r="Y5525" t="str">
        <f t="shared" si="2266"/>
        <v>04-08-2020</v>
      </c>
      <c r="Z5525" t="str">
        <f>"COS10200804 3629"</f>
        <v>COS10200804 3629</v>
      </c>
    </row>
    <row r="5526" spans="1:26" x14ac:dyDescent="0.25">
      <c r="A5526" t="str">
        <f t="shared" si="2267"/>
        <v>04-08-2020 12:46:39</v>
      </c>
      <c r="B5526" t="str">
        <f>"0000805401"</f>
        <v>0000805401</v>
      </c>
      <c r="C5526" t="str">
        <f t="shared" si="2268"/>
        <v>0000805373</v>
      </c>
      <c r="D5526" t="str">
        <f t="shared" si="2256"/>
        <v>73185</v>
      </c>
      <c r="E5526" t="str">
        <f t="shared" si="2257"/>
        <v>KFH-OPERATIONS DEPARTMENT</v>
      </c>
      <c r="F5526" t="str">
        <f t="shared" si="2258"/>
        <v>IBG</v>
      </c>
      <c r="G5526" t="str">
        <f t="shared" si="2269"/>
        <v>Refund COSHARE 10</v>
      </c>
      <c r="H5526" s="2">
        <v>931.85</v>
      </c>
      <c r="I5526" t="str">
        <f>"SURAYAH BINTI MUSLIM"</f>
        <v>SURAYAH BINTI MUSLIM</v>
      </c>
      <c r="J5526" t="str">
        <f t="shared" si="2253"/>
        <v>CIMB BANK / CIMB ISLAMIC BANK</v>
      </c>
      <c r="K5526" t="str">
        <f>"7602562847"</f>
        <v>7602562847</v>
      </c>
      <c r="L5526" t="str">
        <f t="shared" si="2254"/>
        <v>04-08-2020</v>
      </c>
      <c r="M5526" t="str">
        <f t="shared" si="2254"/>
        <v>04-08-2020</v>
      </c>
      <c r="N5526" t="str">
        <f t="shared" si="2259"/>
        <v>001105018356</v>
      </c>
      <c r="O5526" t="str">
        <f t="shared" si="2260"/>
        <v>MYR</v>
      </c>
      <c r="P5526" t="str">
        <f t="shared" si="2255"/>
        <v>NIL</v>
      </c>
      <c r="Q5526" t="str">
        <f t="shared" si="2255"/>
        <v>NIL</v>
      </c>
      <c r="R5526" t="str">
        <f t="shared" si="2247"/>
        <v>Accepted</v>
      </c>
      <c r="S5526" t="str">
        <f t="shared" si="2261"/>
        <v>Approved</v>
      </c>
      <c r="T5526" t="str">
        <f t="shared" si="2248"/>
        <v>10.20.8.188</v>
      </c>
      <c r="U5526" t="str">
        <f t="shared" si="2262"/>
        <v>AZRAD UMAR BIN SHAARI</v>
      </c>
      <c r="V5526" t="str">
        <f t="shared" si="2263"/>
        <v>FARHANA BINTI MUSTAPA</v>
      </c>
      <c r="W5526" t="str">
        <f t="shared" si="2264"/>
        <v>04-08-2020</v>
      </c>
      <c r="X5526" t="str">
        <f t="shared" si="2265"/>
        <v>RAZIMAH ANSAR AHMAD</v>
      </c>
      <c r="Y5526" t="str">
        <f t="shared" si="2266"/>
        <v>04-08-2020</v>
      </c>
      <c r="Z5526" t="str">
        <f>"COS10200804 3628"</f>
        <v>COS10200804 3628</v>
      </c>
    </row>
    <row r="5527" spans="1:26" x14ac:dyDescent="0.25">
      <c r="A5527" t="str">
        <f t="shared" si="2267"/>
        <v>04-08-2020 12:46:39</v>
      </c>
      <c r="B5527" t="str">
        <f>"0000805400"</f>
        <v>0000805400</v>
      </c>
      <c r="C5527" t="str">
        <f t="shared" si="2268"/>
        <v>0000805373</v>
      </c>
      <c r="D5527" t="str">
        <f t="shared" si="2256"/>
        <v>73185</v>
      </c>
      <c r="E5527" t="str">
        <f t="shared" si="2257"/>
        <v>KFH-OPERATIONS DEPARTMENT</v>
      </c>
      <c r="F5527" t="str">
        <f t="shared" si="2258"/>
        <v>IBG</v>
      </c>
      <c r="G5527" t="str">
        <f t="shared" si="2269"/>
        <v>Refund COSHARE 10</v>
      </c>
      <c r="H5527" s="2">
        <v>931.85</v>
      </c>
      <c r="I5527" t="str">
        <f>"SURAYAH BINTI MUSLIM"</f>
        <v>SURAYAH BINTI MUSLIM</v>
      </c>
      <c r="J5527" t="str">
        <f t="shared" si="2253"/>
        <v>CIMB BANK / CIMB ISLAMIC BANK</v>
      </c>
      <c r="K5527" t="str">
        <f>"7602562847"</f>
        <v>7602562847</v>
      </c>
      <c r="L5527" t="str">
        <f t="shared" ref="L5527:M5546" si="2270">"04-08-2020"</f>
        <v>04-08-2020</v>
      </c>
      <c r="M5527" t="str">
        <f t="shared" si="2270"/>
        <v>04-08-2020</v>
      </c>
      <c r="N5527" t="str">
        <f t="shared" si="2259"/>
        <v>001105018356</v>
      </c>
      <c r="O5527" t="str">
        <f t="shared" si="2260"/>
        <v>MYR</v>
      </c>
      <c r="P5527" t="str">
        <f t="shared" ref="P5527:Q5546" si="2271">"NIL"</f>
        <v>NIL</v>
      </c>
      <c r="Q5527" t="str">
        <f t="shared" si="2271"/>
        <v>NIL</v>
      </c>
      <c r="R5527" t="str">
        <f t="shared" si="2247"/>
        <v>Accepted</v>
      </c>
      <c r="S5527" t="str">
        <f t="shared" si="2261"/>
        <v>Approved</v>
      </c>
      <c r="T5527" t="str">
        <f t="shared" si="2248"/>
        <v>10.20.8.188</v>
      </c>
      <c r="U5527" t="str">
        <f t="shared" si="2262"/>
        <v>AZRAD UMAR BIN SHAARI</v>
      </c>
      <c r="V5527" t="str">
        <f t="shared" si="2263"/>
        <v>FARHANA BINTI MUSTAPA</v>
      </c>
      <c r="W5527" t="str">
        <f t="shared" si="2264"/>
        <v>04-08-2020</v>
      </c>
      <c r="X5527" t="str">
        <f t="shared" si="2265"/>
        <v>RAZIMAH ANSAR AHMAD</v>
      </c>
      <c r="Y5527" t="str">
        <f t="shared" si="2266"/>
        <v>04-08-2020</v>
      </c>
      <c r="Z5527" t="str">
        <f>"COS10200804 3627"</f>
        <v>COS10200804 3627</v>
      </c>
    </row>
    <row r="5528" spans="1:26" x14ac:dyDescent="0.25">
      <c r="A5528" t="str">
        <f t="shared" si="2267"/>
        <v>04-08-2020 12:46:39</v>
      </c>
      <c r="B5528" t="str">
        <f>"0000805399"</f>
        <v>0000805399</v>
      </c>
      <c r="C5528" t="str">
        <f t="shared" si="2268"/>
        <v>0000805373</v>
      </c>
      <c r="D5528" t="str">
        <f t="shared" si="2256"/>
        <v>73185</v>
      </c>
      <c r="E5528" t="str">
        <f t="shared" si="2257"/>
        <v>KFH-OPERATIONS DEPARTMENT</v>
      </c>
      <c r="F5528" t="str">
        <f t="shared" si="2258"/>
        <v>IBG</v>
      </c>
      <c r="G5528" t="str">
        <f t="shared" si="2269"/>
        <v>Refund COSHARE 10</v>
      </c>
      <c r="H5528" s="2">
        <v>100.75</v>
      </c>
      <c r="I5528" t="str">
        <f>"SURAIYANI BINTI CHE MASEMAN"</f>
        <v>SURAIYANI BINTI CHE MASEMAN</v>
      </c>
      <c r="J5528" t="str">
        <f t="shared" si="2253"/>
        <v>CIMB BANK / CIMB ISLAMIC BANK</v>
      </c>
      <c r="K5528" t="str">
        <f>"12830000222208"</f>
        <v>12830000222208</v>
      </c>
      <c r="L5528" t="str">
        <f t="shared" si="2270"/>
        <v>04-08-2020</v>
      </c>
      <c r="M5528" t="str">
        <f t="shared" si="2270"/>
        <v>04-08-2020</v>
      </c>
      <c r="N5528" t="str">
        <f t="shared" si="2259"/>
        <v>001105018356</v>
      </c>
      <c r="O5528" t="str">
        <f t="shared" si="2260"/>
        <v>MYR</v>
      </c>
      <c r="P5528" t="str">
        <f t="shared" si="2271"/>
        <v>NIL</v>
      </c>
      <c r="Q5528" t="str">
        <f t="shared" si="2271"/>
        <v>NIL</v>
      </c>
      <c r="R5528" t="str">
        <f t="shared" si="2247"/>
        <v>Accepted</v>
      </c>
      <c r="S5528" t="str">
        <f t="shared" si="2261"/>
        <v>Approved</v>
      </c>
      <c r="T5528" t="str">
        <f t="shared" si="2248"/>
        <v>10.20.8.188</v>
      </c>
      <c r="U5528" t="str">
        <f t="shared" si="2262"/>
        <v>AZRAD UMAR BIN SHAARI</v>
      </c>
      <c r="V5528" t="str">
        <f t="shared" si="2263"/>
        <v>FARHANA BINTI MUSTAPA</v>
      </c>
      <c r="W5528" t="str">
        <f t="shared" si="2264"/>
        <v>04-08-2020</v>
      </c>
      <c r="X5528" t="str">
        <f t="shared" si="2265"/>
        <v>RAZIMAH ANSAR AHMAD</v>
      </c>
      <c r="Y5528" t="str">
        <f t="shared" si="2266"/>
        <v>04-08-2020</v>
      </c>
      <c r="Z5528" t="str">
        <f>"COS10200804 3626"</f>
        <v>COS10200804 3626</v>
      </c>
    </row>
    <row r="5529" spans="1:26" x14ac:dyDescent="0.25">
      <c r="A5529" t="str">
        <f t="shared" si="2267"/>
        <v>04-08-2020 12:46:39</v>
      </c>
      <c r="B5529" t="str">
        <f>"0000805398"</f>
        <v>0000805398</v>
      </c>
      <c r="C5529" t="str">
        <f t="shared" si="2268"/>
        <v>0000805373</v>
      </c>
      <c r="D5529" t="str">
        <f t="shared" si="2256"/>
        <v>73185</v>
      </c>
      <c r="E5529" t="str">
        <f t="shared" si="2257"/>
        <v>KFH-OPERATIONS DEPARTMENT</v>
      </c>
      <c r="F5529" t="str">
        <f t="shared" si="2258"/>
        <v>IBG</v>
      </c>
      <c r="G5529" t="str">
        <f t="shared" si="2269"/>
        <v>Refund COSHARE 10</v>
      </c>
      <c r="H5529" s="2">
        <v>109.15</v>
      </c>
      <c r="I5529" t="str">
        <f>"SUNITA AP JAYA SIKANDAN"</f>
        <v>SUNITA AP JAYA SIKANDAN</v>
      </c>
      <c r="J5529" t="str">
        <f t="shared" si="2253"/>
        <v>CIMB BANK / CIMB ISLAMIC BANK</v>
      </c>
      <c r="K5529" t="str">
        <f>"04010559912507"</f>
        <v>04010559912507</v>
      </c>
      <c r="L5529" t="str">
        <f t="shared" si="2270"/>
        <v>04-08-2020</v>
      </c>
      <c r="M5529" t="str">
        <f t="shared" si="2270"/>
        <v>04-08-2020</v>
      </c>
      <c r="N5529" t="str">
        <f t="shared" si="2259"/>
        <v>001105018356</v>
      </c>
      <c r="O5529" t="str">
        <f t="shared" si="2260"/>
        <v>MYR</v>
      </c>
      <c r="P5529" t="str">
        <f t="shared" si="2271"/>
        <v>NIL</v>
      </c>
      <c r="Q5529" t="str">
        <f t="shared" si="2271"/>
        <v>NIL</v>
      </c>
      <c r="R5529" t="str">
        <f t="shared" si="2247"/>
        <v>Accepted</v>
      </c>
      <c r="S5529" t="str">
        <f t="shared" si="2261"/>
        <v>Approved</v>
      </c>
      <c r="T5529" t="str">
        <f t="shared" si="2248"/>
        <v>10.20.8.188</v>
      </c>
      <c r="U5529" t="str">
        <f t="shared" si="2262"/>
        <v>AZRAD UMAR BIN SHAARI</v>
      </c>
      <c r="V5529" t="str">
        <f t="shared" si="2263"/>
        <v>FARHANA BINTI MUSTAPA</v>
      </c>
      <c r="W5529" t="str">
        <f t="shared" si="2264"/>
        <v>04-08-2020</v>
      </c>
      <c r="X5529" t="str">
        <f t="shared" si="2265"/>
        <v>RAZIMAH ANSAR AHMAD</v>
      </c>
      <c r="Y5529" t="str">
        <f t="shared" si="2266"/>
        <v>04-08-2020</v>
      </c>
      <c r="Z5529" t="str">
        <f>"COS10200804 3625"</f>
        <v>COS10200804 3625</v>
      </c>
    </row>
    <row r="5530" spans="1:26" x14ac:dyDescent="0.25">
      <c r="A5530" t="str">
        <f t="shared" si="2267"/>
        <v>04-08-2020 12:46:39</v>
      </c>
      <c r="B5530" t="str">
        <f>"0000805397"</f>
        <v>0000805397</v>
      </c>
      <c r="C5530" t="str">
        <f t="shared" si="2268"/>
        <v>0000805373</v>
      </c>
      <c r="D5530" t="str">
        <f t="shared" si="2256"/>
        <v>73185</v>
      </c>
      <c r="E5530" t="str">
        <f t="shared" si="2257"/>
        <v>KFH-OPERATIONS DEPARTMENT</v>
      </c>
      <c r="F5530" t="str">
        <f t="shared" si="2258"/>
        <v>IBG</v>
      </c>
      <c r="G5530" t="str">
        <f t="shared" si="2269"/>
        <v>Refund COSHARE 10</v>
      </c>
      <c r="H5530" s="2">
        <v>210</v>
      </c>
      <c r="I5530" t="str">
        <f>"SUNDARAMOORTHI AL MURUGIAH"</f>
        <v>SUNDARAMOORTHI AL MURUGIAH</v>
      </c>
      <c r="J5530" t="str">
        <f t="shared" si="2253"/>
        <v>CIMB BANK / CIMB ISLAMIC BANK</v>
      </c>
      <c r="K5530" t="str">
        <f>"02031315625528"</f>
        <v>02031315625528</v>
      </c>
      <c r="L5530" t="str">
        <f t="shared" si="2270"/>
        <v>04-08-2020</v>
      </c>
      <c r="M5530" t="str">
        <f t="shared" si="2270"/>
        <v>04-08-2020</v>
      </c>
      <c r="N5530" t="str">
        <f t="shared" si="2259"/>
        <v>001105018356</v>
      </c>
      <c r="O5530" t="str">
        <f t="shared" si="2260"/>
        <v>MYR</v>
      </c>
      <c r="P5530" t="str">
        <f t="shared" si="2271"/>
        <v>NIL</v>
      </c>
      <c r="Q5530" t="str">
        <f t="shared" si="2271"/>
        <v>NIL</v>
      </c>
      <c r="R5530" t="str">
        <f t="shared" si="2247"/>
        <v>Accepted</v>
      </c>
      <c r="S5530" t="str">
        <f t="shared" si="2261"/>
        <v>Approved</v>
      </c>
      <c r="T5530" t="str">
        <f t="shared" si="2248"/>
        <v>10.20.8.188</v>
      </c>
      <c r="U5530" t="str">
        <f t="shared" si="2262"/>
        <v>AZRAD UMAR BIN SHAARI</v>
      </c>
      <c r="V5530" t="str">
        <f t="shared" si="2263"/>
        <v>FARHANA BINTI MUSTAPA</v>
      </c>
      <c r="W5530" t="str">
        <f t="shared" si="2264"/>
        <v>04-08-2020</v>
      </c>
      <c r="X5530" t="str">
        <f t="shared" si="2265"/>
        <v>RAZIMAH ANSAR AHMAD</v>
      </c>
      <c r="Y5530" t="str">
        <f t="shared" si="2266"/>
        <v>04-08-2020</v>
      </c>
      <c r="Z5530" t="str">
        <f>"COS10200804 3624"</f>
        <v>COS10200804 3624</v>
      </c>
    </row>
    <row r="5531" spans="1:26" x14ac:dyDescent="0.25">
      <c r="A5531" t="str">
        <f t="shared" si="2267"/>
        <v>04-08-2020 12:46:39</v>
      </c>
      <c r="B5531" t="str">
        <f>"0000805396"</f>
        <v>0000805396</v>
      </c>
      <c r="C5531" t="str">
        <f t="shared" si="2268"/>
        <v>0000805373</v>
      </c>
      <c r="D5531" t="str">
        <f t="shared" si="2256"/>
        <v>73185</v>
      </c>
      <c r="E5531" t="str">
        <f t="shared" si="2257"/>
        <v>KFH-OPERATIONS DEPARTMENT</v>
      </c>
      <c r="F5531" t="str">
        <f t="shared" si="2258"/>
        <v>IBG</v>
      </c>
      <c r="G5531" t="str">
        <f t="shared" si="2269"/>
        <v>Refund COSHARE 10</v>
      </c>
      <c r="H5531" s="2">
        <v>167.9</v>
      </c>
      <c r="I5531" t="str">
        <f>"SUMIATI BINTI POOL"</f>
        <v>SUMIATI BINTI POOL</v>
      </c>
      <c r="J5531" t="str">
        <f t="shared" si="2253"/>
        <v>CIMB BANK / CIMB ISLAMIC BANK</v>
      </c>
      <c r="K5531" t="str">
        <f>"7005323358"</f>
        <v>7005323358</v>
      </c>
      <c r="L5531" t="str">
        <f t="shared" si="2270"/>
        <v>04-08-2020</v>
      </c>
      <c r="M5531" t="str">
        <f t="shared" si="2270"/>
        <v>04-08-2020</v>
      </c>
      <c r="N5531" t="str">
        <f t="shared" si="2259"/>
        <v>001105018356</v>
      </c>
      <c r="O5531" t="str">
        <f t="shared" si="2260"/>
        <v>MYR</v>
      </c>
      <c r="P5531" t="str">
        <f t="shared" si="2271"/>
        <v>NIL</v>
      </c>
      <c r="Q5531" t="str">
        <f t="shared" si="2271"/>
        <v>NIL</v>
      </c>
      <c r="R5531" t="str">
        <f t="shared" si="2247"/>
        <v>Accepted</v>
      </c>
      <c r="S5531" t="str">
        <f t="shared" si="2261"/>
        <v>Approved</v>
      </c>
      <c r="T5531" t="str">
        <f t="shared" si="2248"/>
        <v>10.20.8.188</v>
      </c>
      <c r="U5531" t="str">
        <f t="shared" si="2262"/>
        <v>AZRAD UMAR BIN SHAARI</v>
      </c>
      <c r="V5531" t="str">
        <f t="shared" si="2263"/>
        <v>FARHANA BINTI MUSTAPA</v>
      </c>
      <c r="W5531" t="str">
        <f t="shared" si="2264"/>
        <v>04-08-2020</v>
      </c>
      <c r="X5531" t="str">
        <f t="shared" si="2265"/>
        <v>RAZIMAH ANSAR AHMAD</v>
      </c>
      <c r="Y5531" t="str">
        <f t="shared" si="2266"/>
        <v>04-08-2020</v>
      </c>
      <c r="Z5531" t="str">
        <f>"COS10200804 3623"</f>
        <v>COS10200804 3623</v>
      </c>
    </row>
    <row r="5532" spans="1:26" x14ac:dyDescent="0.25">
      <c r="A5532" t="str">
        <f t="shared" si="2267"/>
        <v>04-08-2020 12:46:39</v>
      </c>
      <c r="B5532" t="str">
        <f>"0000805395"</f>
        <v>0000805395</v>
      </c>
      <c r="C5532" t="str">
        <f t="shared" si="2268"/>
        <v>0000805373</v>
      </c>
      <c r="D5532" t="str">
        <f t="shared" si="2256"/>
        <v>73185</v>
      </c>
      <c r="E5532" t="str">
        <f t="shared" si="2257"/>
        <v>KFH-OPERATIONS DEPARTMENT</v>
      </c>
      <c r="F5532" t="str">
        <f t="shared" si="2258"/>
        <v>IBG</v>
      </c>
      <c r="G5532" t="str">
        <f t="shared" si="2269"/>
        <v>Refund COSHARE 10</v>
      </c>
      <c r="H5532" s="2">
        <v>1605.9</v>
      </c>
      <c r="I5532" t="str">
        <f>"SULAIMAN BIN SUIP"</f>
        <v>SULAIMAN BIN SUIP</v>
      </c>
      <c r="J5532" t="str">
        <f t="shared" si="2253"/>
        <v>CIMB BANK / CIMB ISLAMIC BANK</v>
      </c>
      <c r="K5532" t="str">
        <f>"14200014713524"</f>
        <v>14200014713524</v>
      </c>
      <c r="L5532" t="str">
        <f t="shared" si="2270"/>
        <v>04-08-2020</v>
      </c>
      <c r="M5532" t="str">
        <f t="shared" si="2270"/>
        <v>04-08-2020</v>
      </c>
      <c r="N5532" t="str">
        <f t="shared" si="2259"/>
        <v>001105018356</v>
      </c>
      <c r="O5532" t="str">
        <f t="shared" si="2260"/>
        <v>MYR</v>
      </c>
      <c r="P5532" t="str">
        <f t="shared" si="2271"/>
        <v>NIL</v>
      </c>
      <c r="Q5532" t="str">
        <f t="shared" si="2271"/>
        <v>NIL</v>
      </c>
      <c r="R5532" t="str">
        <f t="shared" si="2247"/>
        <v>Accepted</v>
      </c>
      <c r="S5532" t="str">
        <f t="shared" si="2261"/>
        <v>Approved</v>
      </c>
      <c r="T5532" t="str">
        <f t="shared" si="2248"/>
        <v>10.20.8.188</v>
      </c>
      <c r="U5532" t="str">
        <f t="shared" si="2262"/>
        <v>AZRAD UMAR BIN SHAARI</v>
      </c>
      <c r="V5532" t="str">
        <f t="shared" si="2263"/>
        <v>FARHANA BINTI MUSTAPA</v>
      </c>
      <c r="W5532" t="str">
        <f t="shared" si="2264"/>
        <v>04-08-2020</v>
      </c>
      <c r="X5532" t="str">
        <f t="shared" si="2265"/>
        <v>RAZIMAH ANSAR AHMAD</v>
      </c>
      <c r="Y5532" t="str">
        <f t="shared" si="2266"/>
        <v>04-08-2020</v>
      </c>
      <c r="Z5532" t="str">
        <f>"COS10200804 3622"</f>
        <v>COS10200804 3622</v>
      </c>
    </row>
    <row r="5533" spans="1:26" x14ac:dyDescent="0.25">
      <c r="A5533" t="str">
        <f t="shared" si="2267"/>
        <v>04-08-2020 12:46:39</v>
      </c>
      <c r="B5533" t="str">
        <f>"0000805394"</f>
        <v>0000805394</v>
      </c>
      <c r="C5533" t="str">
        <f t="shared" si="2268"/>
        <v>0000805373</v>
      </c>
      <c r="D5533" t="str">
        <f t="shared" si="2256"/>
        <v>73185</v>
      </c>
      <c r="E5533" t="str">
        <f t="shared" si="2257"/>
        <v>KFH-OPERATIONS DEPARTMENT</v>
      </c>
      <c r="F5533" t="str">
        <f t="shared" si="2258"/>
        <v>IBG</v>
      </c>
      <c r="G5533" t="str">
        <f t="shared" si="2269"/>
        <v>Refund COSHARE 10</v>
      </c>
      <c r="H5533" s="2">
        <v>1605.9</v>
      </c>
      <c r="I5533" t="str">
        <f>"SULAIMAN BIN SUIP"</f>
        <v>SULAIMAN BIN SUIP</v>
      </c>
      <c r="J5533" t="str">
        <f t="shared" si="2253"/>
        <v>CIMB BANK / CIMB ISLAMIC BANK</v>
      </c>
      <c r="K5533" t="str">
        <f>"14200014713524"</f>
        <v>14200014713524</v>
      </c>
      <c r="L5533" t="str">
        <f t="shared" si="2270"/>
        <v>04-08-2020</v>
      </c>
      <c r="M5533" t="str">
        <f t="shared" si="2270"/>
        <v>04-08-2020</v>
      </c>
      <c r="N5533" t="str">
        <f t="shared" si="2259"/>
        <v>001105018356</v>
      </c>
      <c r="O5533" t="str">
        <f t="shared" si="2260"/>
        <v>MYR</v>
      </c>
      <c r="P5533" t="str">
        <f t="shared" si="2271"/>
        <v>NIL</v>
      </c>
      <c r="Q5533" t="str">
        <f t="shared" si="2271"/>
        <v>NIL</v>
      </c>
      <c r="R5533" t="str">
        <f t="shared" si="2247"/>
        <v>Accepted</v>
      </c>
      <c r="S5533" t="str">
        <f t="shared" si="2261"/>
        <v>Approved</v>
      </c>
      <c r="T5533" t="str">
        <f t="shared" si="2248"/>
        <v>10.20.8.188</v>
      </c>
      <c r="U5533" t="str">
        <f t="shared" si="2262"/>
        <v>AZRAD UMAR BIN SHAARI</v>
      </c>
      <c r="V5533" t="str">
        <f t="shared" si="2263"/>
        <v>FARHANA BINTI MUSTAPA</v>
      </c>
      <c r="W5533" t="str">
        <f t="shared" si="2264"/>
        <v>04-08-2020</v>
      </c>
      <c r="X5533" t="str">
        <f t="shared" si="2265"/>
        <v>RAZIMAH ANSAR AHMAD</v>
      </c>
      <c r="Y5533" t="str">
        <f t="shared" si="2266"/>
        <v>04-08-2020</v>
      </c>
      <c r="Z5533" t="str">
        <f>"COS10200804 3621"</f>
        <v>COS10200804 3621</v>
      </c>
    </row>
    <row r="5534" spans="1:26" x14ac:dyDescent="0.25">
      <c r="A5534" t="str">
        <f t="shared" si="2267"/>
        <v>04-08-2020 12:46:39</v>
      </c>
      <c r="B5534" t="str">
        <f>"0000805393"</f>
        <v>0000805393</v>
      </c>
      <c r="C5534" t="str">
        <f t="shared" si="2268"/>
        <v>0000805373</v>
      </c>
      <c r="D5534" t="str">
        <f t="shared" si="2256"/>
        <v>73185</v>
      </c>
      <c r="E5534" t="str">
        <f t="shared" si="2257"/>
        <v>KFH-OPERATIONS DEPARTMENT</v>
      </c>
      <c r="F5534" t="str">
        <f t="shared" si="2258"/>
        <v>IBG</v>
      </c>
      <c r="G5534" t="str">
        <f t="shared" si="2269"/>
        <v>Refund COSHARE 10</v>
      </c>
      <c r="H5534" s="2">
        <v>251.85</v>
      </c>
      <c r="I5534" t="str">
        <f>"SULAIMAN AL MAR"</f>
        <v>SULAIMAN AL MAR</v>
      </c>
      <c r="J5534" t="str">
        <f t="shared" si="2253"/>
        <v>CIMB BANK / CIMB ISLAMIC BANK</v>
      </c>
      <c r="K5534" t="str">
        <f>"06140015375529"</f>
        <v>06140015375529</v>
      </c>
      <c r="L5534" t="str">
        <f t="shared" si="2270"/>
        <v>04-08-2020</v>
      </c>
      <c r="M5534" t="str">
        <f t="shared" si="2270"/>
        <v>04-08-2020</v>
      </c>
      <c r="N5534" t="str">
        <f t="shared" si="2259"/>
        <v>001105018356</v>
      </c>
      <c r="O5534" t="str">
        <f t="shared" si="2260"/>
        <v>MYR</v>
      </c>
      <c r="P5534" t="str">
        <f t="shared" si="2271"/>
        <v>NIL</v>
      </c>
      <c r="Q5534" t="str">
        <f t="shared" si="2271"/>
        <v>NIL</v>
      </c>
      <c r="R5534" t="str">
        <f t="shared" si="2247"/>
        <v>Accepted</v>
      </c>
      <c r="S5534" t="str">
        <f t="shared" si="2261"/>
        <v>Approved</v>
      </c>
      <c r="T5534" t="str">
        <f t="shared" si="2248"/>
        <v>10.20.8.188</v>
      </c>
      <c r="U5534" t="str">
        <f t="shared" si="2262"/>
        <v>AZRAD UMAR BIN SHAARI</v>
      </c>
      <c r="V5534" t="str">
        <f t="shared" si="2263"/>
        <v>FARHANA BINTI MUSTAPA</v>
      </c>
      <c r="W5534" t="str">
        <f t="shared" si="2264"/>
        <v>04-08-2020</v>
      </c>
      <c r="X5534" t="str">
        <f t="shared" si="2265"/>
        <v>RAZIMAH ANSAR AHMAD</v>
      </c>
      <c r="Y5534" t="str">
        <f t="shared" si="2266"/>
        <v>04-08-2020</v>
      </c>
      <c r="Z5534" t="str">
        <f>"COS10200804 3620"</f>
        <v>COS10200804 3620</v>
      </c>
    </row>
    <row r="5535" spans="1:26" x14ac:dyDescent="0.25">
      <c r="A5535" t="str">
        <f t="shared" si="2267"/>
        <v>04-08-2020 12:46:39</v>
      </c>
      <c r="B5535" t="str">
        <f>"0000805392"</f>
        <v>0000805392</v>
      </c>
      <c r="C5535" t="str">
        <f t="shared" si="2268"/>
        <v>0000805373</v>
      </c>
      <c r="D5535" t="str">
        <f t="shared" si="2256"/>
        <v>73185</v>
      </c>
      <c r="E5535" t="str">
        <f t="shared" si="2257"/>
        <v>KFH-OPERATIONS DEPARTMENT</v>
      </c>
      <c r="F5535" t="str">
        <f t="shared" si="2258"/>
        <v>IBG</v>
      </c>
      <c r="G5535" t="str">
        <f t="shared" si="2269"/>
        <v>Refund COSHARE 10</v>
      </c>
      <c r="H5535" s="2">
        <v>235.1</v>
      </c>
      <c r="I5535" t="str">
        <f>"SUHARDIN BIN SIMUN"</f>
        <v>SUHARDIN BIN SIMUN</v>
      </c>
      <c r="J5535" t="str">
        <f t="shared" si="2253"/>
        <v>CIMB BANK / CIMB ISLAMIC BANK</v>
      </c>
      <c r="K5535" t="str">
        <f>"7038882047"</f>
        <v>7038882047</v>
      </c>
      <c r="L5535" t="str">
        <f t="shared" si="2270"/>
        <v>04-08-2020</v>
      </c>
      <c r="M5535" t="str">
        <f t="shared" si="2270"/>
        <v>04-08-2020</v>
      </c>
      <c r="N5535" t="str">
        <f t="shared" si="2259"/>
        <v>001105018356</v>
      </c>
      <c r="O5535" t="str">
        <f t="shared" si="2260"/>
        <v>MYR</v>
      </c>
      <c r="P5535" t="str">
        <f t="shared" si="2271"/>
        <v>NIL</v>
      </c>
      <c r="Q5535" t="str">
        <f t="shared" si="2271"/>
        <v>NIL</v>
      </c>
      <c r="R5535" t="str">
        <f t="shared" si="2247"/>
        <v>Accepted</v>
      </c>
      <c r="S5535" t="str">
        <f t="shared" si="2261"/>
        <v>Approved</v>
      </c>
      <c r="T5535" t="str">
        <f t="shared" si="2248"/>
        <v>10.20.8.188</v>
      </c>
      <c r="U5535" t="str">
        <f t="shared" si="2262"/>
        <v>AZRAD UMAR BIN SHAARI</v>
      </c>
      <c r="V5535" t="str">
        <f t="shared" si="2263"/>
        <v>FARHANA BINTI MUSTAPA</v>
      </c>
      <c r="W5535" t="str">
        <f t="shared" si="2264"/>
        <v>04-08-2020</v>
      </c>
      <c r="X5535" t="str">
        <f t="shared" si="2265"/>
        <v>RAZIMAH ANSAR AHMAD</v>
      </c>
      <c r="Y5535" t="str">
        <f t="shared" si="2266"/>
        <v>04-08-2020</v>
      </c>
      <c r="Z5535" t="str">
        <f>"COS10200804 3619"</f>
        <v>COS10200804 3619</v>
      </c>
    </row>
    <row r="5536" spans="1:26" x14ac:dyDescent="0.25">
      <c r="A5536" t="str">
        <f t="shared" si="2267"/>
        <v>04-08-2020 12:46:39</v>
      </c>
      <c r="B5536" t="str">
        <f>"0000805391"</f>
        <v>0000805391</v>
      </c>
      <c r="C5536" t="str">
        <f t="shared" si="2268"/>
        <v>0000805373</v>
      </c>
      <c r="D5536" t="str">
        <f t="shared" si="2256"/>
        <v>73185</v>
      </c>
      <c r="E5536" t="str">
        <f t="shared" si="2257"/>
        <v>KFH-OPERATIONS DEPARTMENT</v>
      </c>
      <c r="F5536" t="str">
        <f t="shared" si="2258"/>
        <v>IBG</v>
      </c>
      <c r="G5536" t="str">
        <f t="shared" si="2269"/>
        <v>Refund COSHARE 10</v>
      </c>
      <c r="H5536" s="2">
        <v>167.9</v>
      </c>
      <c r="I5536" t="str">
        <f>"SUHANE BINTI SUHEME"</f>
        <v>SUHANE BINTI SUHEME</v>
      </c>
      <c r="J5536" t="str">
        <f t="shared" si="2253"/>
        <v>CIMB BANK / CIMB ISLAMIC BANK</v>
      </c>
      <c r="K5536" t="str">
        <f>"10120012495521"</f>
        <v>10120012495521</v>
      </c>
      <c r="L5536" t="str">
        <f t="shared" si="2270"/>
        <v>04-08-2020</v>
      </c>
      <c r="M5536" t="str">
        <f t="shared" si="2270"/>
        <v>04-08-2020</v>
      </c>
      <c r="N5536" t="str">
        <f t="shared" si="2259"/>
        <v>001105018356</v>
      </c>
      <c r="O5536" t="str">
        <f t="shared" si="2260"/>
        <v>MYR</v>
      </c>
      <c r="P5536" t="str">
        <f t="shared" si="2271"/>
        <v>NIL</v>
      </c>
      <c r="Q5536" t="str">
        <f t="shared" si="2271"/>
        <v>NIL</v>
      </c>
      <c r="R5536" t="str">
        <f t="shared" si="2247"/>
        <v>Accepted</v>
      </c>
      <c r="S5536" t="str">
        <f t="shared" si="2261"/>
        <v>Approved</v>
      </c>
      <c r="T5536" t="str">
        <f t="shared" si="2248"/>
        <v>10.20.8.188</v>
      </c>
      <c r="U5536" t="str">
        <f t="shared" si="2262"/>
        <v>AZRAD UMAR BIN SHAARI</v>
      </c>
      <c r="V5536" t="str">
        <f t="shared" si="2263"/>
        <v>FARHANA BINTI MUSTAPA</v>
      </c>
      <c r="W5536" t="str">
        <f t="shared" si="2264"/>
        <v>04-08-2020</v>
      </c>
      <c r="X5536" t="str">
        <f t="shared" si="2265"/>
        <v>RAZIMAH ANSAR AHMAD</v>
      </c>
      <c r="Y5536" t="str">
        <f t="shared" si="2266"/>
        <v>04-08-2020</v>
      </c>
      <c r="Z5536" t="str">
        <f>"COS10200804 3618"</f>
        <v>COS10200804 3618</v>
      </c>
    </row>
    <row r="5537" spans="1:26" x14ac:dyDescent="0.25">
      <c r="A5537" t="str">
        <f t="shared" si="2267"/>
        <v>04-08-2020 12:46:39</v>
      </c>
      <c r="B5537" t="str">
        <f>"0000805390"</f>
        <v>0000805390</v>
      </c>
      <c r="C5537" t="str">
        <f t="shared" si="2268"/>
        <v>0000805373</v>
      </c>
      <c r="D5537" t="str">
        <f t="shared" si="2256"/>
        <v>73185</v>
      </c>
      <c r="E5537" t="str">
        <f t="shared" si="2257"/>
        <v>KFH-OPERATIONS DEPARTMENT</v>
      </c>
      <c r="F5537" t="str">
        <f t="shared" si="2258"/>
        <v>IBG</v>
      </c>
      <c r="G5537" t="str">
        <f t="shared" si="2269"/>
        <v>Refund COSHARE 10</v>
      </c>
      <c r="H5537" s="2">
        <v>167.9</v>
      </c>
      <c r="I5537" t="str">
        <f>"SUHAIMI BIN SALLEH"</f>
        <v>SUHAIMI BIN SALLEH</v>
      </c>
      <c r="J5537" t="str">
        <f t="shared" si="2253"/>
        <v>CIMB BANK / CIMB ISLAMIC BANK</v>
      </c>
      <c r="K5537" t="str">
        <f>"07051180149527"</f>
        <v>07051180149527</v>
      </c>
      <c r="L5537" t="str">
        <f t="shared" si="2270"/>
        <v>04-08-2020</v>
      </c>
      <c r="M5537" t="str">
        <f t="shared" si="2270"/>
        <v>04-08-2020</v>
      </c>
      <c r="N5537" t="str">
        <f t="shared" si="2259"/>
        <v>001105018356</v>
      </c>
      <c r="O5537" t="str">
        <f t="shared" si="2260"/>
        <v>MYR</v>
      </c>
      <c r="P5537" t="str">
        <f t="shared" si="2271"/>
        <v>NIL</v>
      </c>
      <c r="Q5537" t="str">
        <f t="shared" si="2271"/>
        <v>NIL</v>
      </c>
      <c r="R5537" t="str">
        <f t="shared" si="2247"/>
        <v>Accepted</v>
      </c>
      <c r="S5537" t="str">
        <f t="shared" si="2261"/>
        <v>Approved</v>
      </c>
      <c r="T5537" t="str">
        <f t="shared" si="2248"/>
        <v>10.20.8.188</v>
      </c>
      <c r="U5537" t="str">
        <f t="shared" si="2262"/>
        <v>AZRAD UMAR BIN SHAARI</v>
      </c>
      <c r="V5537" t="str">
        <f t="shared" si="2263"/>
        <v>FARHANA BINTI MUSTAPA</v>
      </c>
      <c r="W5537" t="str">
        <f t="shared" si="2264"/>
        <v>04-08-2020</v>
      </c>
      <c r="X5537" t="str">
        <f t="shared" si="2265"/>
        <v>RAZIMAH ANSAR AHMAD</v>
      </c>
      <c r="Y5537" t="str">
        <f t="shared" si="2266"/>
        <v>04-08-2020</v>
      </c>
      <c r="Z5537" t="str">
        <f>"COS10200804 3617"</f>
        <v>COS10200804 3617</v>
      </c>
    </row>
    <row r="5538" spans="1:26" x14ac:dyDescent="0.25">
      <c r="A5538" t="str">
        <f t="shared" si="2267"/>
        <v>04-08-2020 12:46:39</v>
      </c>
      <c r="B5538" t="str">
        <f>"0000805389"</f>
        <v>0000805389</v>
      </c>
      <c r="C5538" t="str">
        <f t="shared" si="2268"/>
        <v>0000805373</v>
      </c>
      <c r="D5538" t="str">
        <f t="shared" si="2256"/>
        <v>73185</v>
      </c>
      <c r="E5538" t="str">
        <f t="shared" si="2257"/>
        <v>KFH-OPERATIONS DEPARTMENT</v>
      </c>
      <c r="F5538" t="str">
        <f t="shared" si="2258"/>
        <v>IBG</v>
      </c>
      <c r="G5538" t="str">
        <f t="shared" si="2269"/>
        <v>Refund COSHARE 10</v>
      </c>
      <c r="H5538" s="2">
        <v>393.45</v>
      </c>
      <c r="I5538" t="str">
        <f>"SUHAIMI BIN MOHAMMED ESKAK  KHAIRI"</f>
        <v>SUHAIMI BIN MOHAMMED ESKAK  KHAIRI</v>
      </c>
      <c r="J5538" t="str">
        <f t="shared" si="2253"/>
        <v>CIMB BANK / CIMB ISLAMIC BANK</v>
      </c>
      <c r="K5538" t="str">
        <f>"12510011140522"</f>
        <v>12510011140522</v>
      </c>
      <c r="L5538" t="str">
        <f t="shared" si="2270"/>
        <v>04-08-2020</v>
      </c>
      <c r="M5538" t="str">
        <f t="shared" si="2270"/>
        <v>04-08-2020</v>
      </c>
      <c r="N5538" t="str">
        <f t="shared" si="2259"/>
        <v>001105018356</v>
      </c>
      <c r="O5538" t="str">
        <f t="shared" si="2260"/>
        <v>MYR</v>
      </c>
      <c r="P5538" t="str">
        <f t="shared" si="2271"/>
        <v>NIL</v>
      </c>
      <c r="Q5538" t="str">
        <f t="shared" si="2271"/>
        <v>NIL</v>
      </c>
      <c r="R5538" t="str">
        <f t="shared" ref="R5538:R5601" si="2272">"Accepted"</f>
        <v>Accepted</v>
      </c>
      <c r="S5538" t="str">
        <f t="shared" si="2261"/>
        <v>Approved</v>
      </c>
      <c r="T5538" t="str">
        <f t="shared" ref="T5538:T5601" si="2273">"10.20.8.188"</f>
        <v>10.20.8.188</v>
      </c>
      <c r="U5538" t="str">
        <f t="shared" si="2262"/>
        <v>AZRAD UMAR BIN SHAARI</v>
      </c>
      <c r="V5538" t="str">
        <f t="shared" si="2263"/>
        <v>FARHANA BINTI MUSTAPA</v>
      </c>
      <c r="W5538" t="str">
        <f t="shared" si="2264"/>
        <v>04-08-2020</v>
      </c>
      <c r="X5538" t="str">
        <f t="shared" si="2265"/>
        <v>RAZIMAH ANSAR AHMAD</v>
      </c>
      <c r="Y5538" t="str">
        <f t="shared" si="2266"/>
        <v>04-08-2020</v>
      </c>
      <c r="Z5538" t="str">
        <f>"COS10200804 3616"</f>
        <v>COS10200804 3616</v>
      </c>
    </row>
    <row r="5539" spans="1:26" x14ac:dyDescent="0.25">
      <c r="A5539" t="str">
        <f t="shared" si="2267"/>
        <v>04-08-2020 12:46:39</v>
      </c>
      <c r="B5539" t="str">
        <f>"0000805388"</f>
        <v>0000805388</v>
      </c>
      <c r="C5539" t="str">
        <f t="shared" si="2268"/>
        <v>0000805373</v>
      </c>
      <c r="D5539" t="str">
        <f t="shared" si="2256"/>
        <v>73185</v>
      </c>
      <c r="E5539" t="str">
        <f t="shared" si="2257"/>
        <v>KFH-OPERATIONS DEPARTMENT</v>
      </c>
      <c r="F5539" t="str">
        <f t="shared" si="2258"/>
        <v>IBG</v>
      </c>
      <c r="G5539" t="str">
        <f t="shared" si="2269"/>
        <v>Refund COSHARE 10</v>
      </c>
      <c r="H5539" s="2">
        <v>1260</v>
      </c>
      <c r="I5539" t="str">
        <f>"SUHAIMI BIN AINI"</f>
        <v>SUHAIMI BIN AINI</v>
      </c>
      <c r="J5539" t="str">
        <f t="shared" si="2253"/>
        <v>CIMB BANK / CIMB ISLAMIC BANK</v>
      </c>
      <c r="K5539" t="str">
        <f>"05080031258527"</f>
        <v>05080031258527</v>
      </c>
      <c r="L5539" t="str">
        <f t="shared" si="2270"/>
        <v>04-08-2020</v>
      </c>
      <c r="M5539" t="str">
        <f t="shared" si="2270"/>
        <v>04-08-2020</v>
      </c>
      <c r="N5539" t="str">
        <f t="shared" si="2259"/>
        <v>001105018356</v>
      </c>
      <c r="O5539" t="str">
        <f t="shared" si="2260"/>
        <v>MYR</v>
      </c>
      <c r="P5539" t="str">
        <f t="shared" si="2271"/>
        <v>NIL</v>
      </c>
      <c r="Q5539" t="str">
        <f t="shared" si="2271"/>
        <v>NIL</v>
      </c>
      <c r="R5539" t="str">
        <f t="shared" si="2272"/>
        <v>Accepted</v>
      </c>
      <c r="S5539" t="str">
        <f t="shared" si="2261"/>
        <v>Approved</v>
      </c>
      <c r="T5539" t="str">
        <f t="shared" si="2273"/>
        <v>10.20.8.188</v>
      </c>
      <c r="U5539" t="str">
        <f t="shared" si="2262"/>
        <v>AZRAD UMAR BIN SHAARI</v>
      </c>
      <c r="V5539" t="str">
        <f t="shared" si="2263"/>
        <v>FARHANA BINTI MUSTAPA</v>
      </c>
      <c r="W5539" t="str">
        <f t="shared" si="2264"/>
        <v>04-08-2020</v>
      </c>
      <c r="X5539" t="str">
        <f t="shared" si="2265"/>
        <v>RAZIMAH ANSAR AHMAD</v>
      </c>
      <c r="Y5539" t="str">
        <f t="shared" si="2266"/>
        <v>04-08-2020</v>
      </c>
      <c r="Z5539" t="str">
        <f>"COS10200804 3615"</f>
        <v>COS10200804 3615</v>
      </c>
    </row>
    <row r="5540" spans="1:26" x14ac:dyDescent="0.25">
      <c r="A5540" t="str">
        <f t="shared" si="2267"/>
        <v>04-08-2020 12:46:39</v>
      </c>
      <c r="B5540" t="str">
        <f>"0000805387"</f>
        <v>0000805387</v>
      </c>
      <c r="C5540" t="str">
        <f t="shared" si="2268"/>
        <v>0000805373</v>
      </c>
      <c r="D5540" t="str">
        <f t="shared" si="2256"/>
        <v>73185</v>
      </c>
      <c r="E5540" t="str">
        <f t="shared" si="2257"/>
        <v>KFH-OPERATIONS DEPARTMENT</v>
      </c>
      <c r="F5540" t="str">
        <f t="shared" si="2258"/>
        <v>IBG</v>
      </c>
      <c r="G5540" t="str">
        <f t="shared" si="2269"/>
        <v>Refund COSHARE 10</v>
      </c>
      <c r="H5540" s="2">
        <v>94.85</v>
      </c>
      <c r="I5540" t="str">
        <f>"SUHAILY BINTI MD NOH"</f>
        <v>SUHAILY BINTI MD NOH</v>
      </c>
      <c r="J5540" t="str">
        <f t="shared" si="2253"/>
        <v>CIMB BANK / CIMB ISLAMIC BANK</v>
      </c>
      <c r="K5540" t="str">
        <f>"01070017085522"</f>
        <v>01070017085522</v>
      </c>
      <c r="L5540" t="str">
        <f t="shared" si="2270"/>
        <v>04-08-2020</v>
      </c>
      <c r="M5540" t="str">
        <f t="shared" si="2270"/>
        <v>04-08-2020</v>
      </c>
      <c r="N5540" t="str">
        <f t="shared" si="2259"/>
        <v>001105018356</v>
      </c>
      <c r="O5540" t="str">
        <f t="shared" si="2260"/>
        <v>MYR</v>
      </c>
      <c r="P5540" t="str">
        <f t="shared" si="2271"/>
        <v>NIL</v>
      </c>
      <c r="Q5540" t="str">
        <f t="shared" si="2271"/>
        <v>NIL</v>
      </c>
      <c r="R5540" t="str">
        <f t="shared" si="2272"/>
        <v>Accepted</v>
      </c>
      <c r="S5540" t="str">
        <f t="shared" si="2261"/>
        <v>Approved</v>
      </c>
      <c r="T5540" t="str">
        <f t="shared" si="2273"/>
        <v>10.20.8.188</v>
      </c>
      <c r="U5540" t="str">
        <f t="shared" si="2262"/>
        <v>AZRAD UMAR BIN SHAARI</v>
      </c>
      <c r="V5540" t="str">
        <f t="shared" si="2263"/>
        <v>FARHANA BINTI MUSTAPA</v>
      </c>
      <c r="W5540" t="str">
        <f t="shared" si="2264"/>
        <v>04-08-2020</v>
      </c>
      <c r="X5540" t="str">
        <f t="shared" si="2265"/>
        <v>RAZIMAH ANSAR AHMAD</v>
      </c>
      <c r="Y5540" t="str">
        <f t="shared" si="2266"/>
        <v>04-08-2020</v>
      </c>
      <c r="Z5540" t="str">
        <f>"COS10200804 3614"</f>
        <v>COS10200804 3614</v>
      </c>
    </row>
    <row r="5541" spans="1:26" x14ac:dyDescent="0.25">
      <c r="A5541" t="str">
        <f t="shared" si="2267"/>
        <v>04-08-2020 12:46:39</v>
      </c>
      <c r="B5541" t="str">
        <f>"0000805386"</f>
        <v>0000805386</v>
      </c>
      <c r="C5541" t="str">
        <f t="shared" si="2268"/>
        <v>0000805373</v>
      </c>
      <c r="D5541" t="str">
        <f t="shared" si="2256"/>
        <v>73185</v>
      </c>
      <c r="E5541" t="str">
        <f t="shared" si="2257"/>
        <v>KFH-OPERATIONS DEPARTMENT</v>
      </c>
      <c r="F5541" t="str">
        <f t="shared" si="2258"/>
        <v>IBG</v>
      </c>
      <c r="G5541" t="str">
        <f t="shared" si="2269"/>
        <v>Refund COSHARE 10</v>
      </c>
      <c r="H5541" s="2">
        <v>264.89999999999998</v>
      </c>
      <c r="I5541" t="str">
        <f>"SUHAILY BINTI MARWAN"</f>
        <v>SUHAILY BINTI MARWAN</v>
      </c>
      <c r="J5541" t="str">
        <f t="shared" si="2253"/>
        <v>CIMB BANK / CIMB ISLAMIC BANK</v>
      </c>
      <c r="K5541" t="str">
        <f>"12130028497523"</f>
        <v>12130028497523</v>
      </c>
      <c r="L5541" t="str">
        <f t="shared" si="2270"/>
        <v>04-08-2020</v>
      </c>
      <c r="M5541" t="str">
        <f t="shared" si="2270"/>
        <v>04-08-2020</v>
      </c>
      <c r="N5541" t="str">
        <f t="shared" si="2259"/>
        <v>001105018356</v>
      </c>
      <c r="O5541" t="str">
        <f t="shared" si="2260"/>
        <v>MYR</v>
      </c>
      <c r="P5541" t="str">
        <f t="shared" si="2271"/>
        <v>NIL</v>
      </c>
      <c r="Q5541" t="str">
        <f t="shared" si="2271"/>
        <v>NIL</v>
      </c>
      <c r="R5541" t="str">
        <f t="shared" si="2272"/>
        <v>Accepted</v>
      </c>
      <c r="S5541" t="str">
        <f t="shared" si="2261"/>
        <v>Approved</v>
      </c>
      <c r="T5541" t="str">
        <f t="shared" si="2273"/>
        <v>10.20.8.188</v>
      </c>
      <c r="U5541" t="str">
        <f t="shared" si="2262"/>
        <v>AZRAD UMAR BIN SHAARI</v>
      </c>
      <c r="V5541" t="str">
        <f t="shared" si="2263"/>
        <v>FARHANA BINTI MUSTAPA</v>
      </c>
      <c r="W5541" t="str">
        <f t="shared" si="2264"/>
        <v>04-08-2020</v>
      </c>
      <c r="X5541" t="str">
        <f t="shared" si="2265"/>
        <v>RAZIMAH ANSAR AHMAD</v>
      </c>
      <c r="Y5541" t="str">
        <f t="shared" si="2266"/>
        <v>04-08-2020</v>
      </c>
      <c r="Z5541" t="str">
        <f>"COS10200804 3613"</f>
        <v>COS10200804 3613</v>
      </c>
    </row>
    <row r="5542" spans="1:26" x14ac:dyDescent="0.25">
      <c r="A5542" t="str">
        <f t="shared" si="2267"/>
        <v>04-08-2020 12:46:39</v>
      </c>
      <c r="B5542" t="str">
        <f>"0000805385"</f>
        <v>0000805385</v>
      </c>
      <c r="C5542" t="str">
        <f t="shared" si="2268"/>
        <v>0000805373</v>
      </c>
      <c r="D5542" t="str">
        <f t="shared" si="2256"/>
        <v>73185</v>
      </c>
      <c r="E5542" t="str">
        <f t="shared" si="2257"/>
        <v>KFH-OPERATIONS DEPARTMENT</v>
      </c>
      <c r="F5542" t="str">
        <f t="shared" si="2258"/>
        <v>IBG</v>
      </c>
      <c r="G5542" t="str">
        <f t="shared" si="2269"/>
        <v>Refund COSHARE 10</v>
      </c>
      <c r="H5542" s="2">
        <v>109.15</v>
      </c>
      <c r="I5542" t="str">
        <f>"SUHAILI BINTI SUPRA AN"</f>
        <v>SUHAILI BINTI SUPRA AN</v>
      </c>
      <c r="J5542" t="str">
        <f t="shared" si="2253"/>
        <v>CIMB BANK / CIMB ISLAMIC BANK</v>
      </c>
      <c r="K5542" t="str">
        <f>"14115005112528"</f>
        <v>14115005112528</v>
      </c>
      <c r="L5542" t="str">
        <f t="shared" si="2270"/>
        <v>04-08-2020</v>
      </c>
      <c r="M5542" t="str">
        <f t="shared" si="2270"/>
        <v>04-08-2020</v>
      </c>
      <c r="N5542" t="str">
        <f t="shared" si="2259"/>
        <v>001105018356</v>
      </c>
      <c r="O5542" t="str">
        <f t="shared" si="2260"/>
        <v>MYR</v>
      </c>
      <c r="P5542" t="str">
        <f t="shared" si="2271"/>
        <v>NIL</v>
      </c>
      <c r="Q5542" t="str">
        <f t="shared" si="2271"/>
        <v>NIL</v>
      </c>
      <c r="R5542" t="str">
        <f t="shared" si="2272"/>
        <v>Accepted</v>
      </c>
      <c r="S5542" t="str">
        <f t="shared" si="2261"/>
        <v>Approved</v>
      </c>
      <c r="T5542" t="str">
        <f t="shared" si="2273"/>
        <v>10.20.8.188</v>
      </c>
      <c r="U5542" t="str">
        <f t="shared" si="2262"/>
        <v>AZRAD UMAR BIN SHAARI</v>
      </c>
      <c r="V5542" t="str">
        <f t="shared" si="2263"/>
        <v>FARHANA BINTI MUSTAPA</v>
      </c>
      <c r="W5542" t="str">
        <f t="shared" si="2264"/>
        <v>04-08-2020</v>
      </c>
      <c r="X5542" t="str">
        <f t="shared" si="2265"/>
        <v>RAZIMAH ANSAR AHMAD</v>
      </c>
      <c r="Y5542" t="str">
        <f t="shared" si="2266"/>
        <v>04-08-2020</v>
      </c>
      <c r="Z5542" t="str">
        <f>"COS10200804 3612"</f>
        <v>COS10200804 3612</v>
      </c>
    </row>
    <row r="5543" spans="1:26" x14ac:dyDescent="0.25">
      <c r="A5543" t="str">
        <f t="shared" si="2267"/>
        <v>04-08-2020 12:46:39</v>
      </c>
      <c r="B5543" t="str">
        <f>"0000805384"</f>
        <v>0000805384</v>
      </c>
      <c r="C5543" t="str">
        <f t="shared" si="2268"/>
        <v>0000805373</v>
      </c>
      <c r="D5543" t="str">
        <f t="shared" si="2256"/>
        <v>73185</v>
      </c>
      <c r="E5543" t="str">
        <f t="shared" si="2257"/>
        <v>KFH-OPERATIONS DEPARTMENT</v>
      </c>
      <c r="F5543" t="str">
        <f t="shared" si="2258"/>
        <v>IBG</v>
      </c>
      <c r="G5543" t="str">
        <f t="shared" si="2269"/>
        <v>Refund COSHARE 10</v>
      </c>
      <c r="H5543" s="2">
        <v>1524.4</v>
      </c>
      <c r="I5543" t="str">
        <f>"SUHAILAE BINTI MORIDAN"</f>
        <v>SUHAILAE BINTI MORIDAN</v>
      </c>
      <c r="J5543" t="str">
        <f t="shared" si="2253"/>
        <v>CIMB BANK / CIMB ISLAMIC BANK</v>
      </c>
      <c r="K5543" t="str">
        <f>"01060038387520"</f>
        <v>01060038387520</v>
      </c>
      <c r="L5543" t="str">
        <f t="shared" si="2270"/>
        <v>04-08-2020</v>
      </c>
      <c r="M5543" t="str">
        <f t="shared" si="2270"/>
        <v>04-08-2020</v>
      </c>
      <c r="N5543" t="str">
        <f t="shared" si="2259"/>
        <v>001105018356</v>
      </c>
      <c r="O5543" t="str">
        <f t="shared" si="2260"/>
        <v>MYR</v>
      </c>
      <c r="P5543" t="str">
        <f t="shared" si="2271"/>
        <v>NIL</v>
      </c>
      <c r="Q5543" t="str">
        <f t="shared" si="2271"/>
        <v>NIL</v>
      </c>
      <c r="R5543" t="str">
        <f t="shared" si="2272"/>
        <v>Accepted</v>
      </c>
      <c r="S5543" t="str">
        <f t="shared" si="2261"/>
        <v>Approved</v>
      </c>
      <c r="T5543" t="str">
        <f t="shared" si="2273"/>
        <v>10.20.8.188</v>
      </c>
      <c r="U5543" t="str">
        <f t="shared" si="2262"/>
        <v>AZRAD UMAR BIN SHAARI</v>
      </c>
      <c r="V5543" t="str">
        <f t="shared" si="2263"/>
        <v>FARHANA BINTI MUSTAPA</v>
      </c>
      <c r="W5543" t="str">
        <f t="shared" si="2264"/>
        <v>04-08-2020</v>
      </c>
      <c r="X5543" t="str">
        <f t="shared" si="2265"/>
        <v>RAZIMAH ANSAR AHMAD</v>
      </c>
      <c r="Y5543" t="str">
        <f t="shared" si="2266"/>
        <v>04-08-2020</v>
      </c>
      <c r="Z5543" t="str">
        <f>"COS10200804 3611"</f>
        <v>COS10200804 3611</v>
      </c>
    </row>
    <row r="5544" spans="1:26" x14ac:dyDescent="0.25">
      <c r="A5544" t="str">
        <f t="shared" si="2267"/>
        <v>04-08-2020 12:46:39</v>
      </c>
      <c r="B5544" t="str">
        <f>"0000805383"</f>
        <v>0000805383</v>
      </c>
      <c r="C5544" t="str">
        <f t="shared" si="2268"/>
        <v>0000805373</v>
      </c>
      <c r="D5544" t="str">
        <f t="shared" si="2256"/>
        <v>73185</v>
      </c>
      <c r="E5544" t="str">
        <f t="shared" si="2257"/>
        <v>KFH-OPERATIONS DEPARTMENT</v>
      </c>
      <c r="F5544" t="str">
        <f t="shared" si="2258"/>
        <v>IBG</v>
      </c>
      <c r="G5544" t="str">
        <f t="shared" si="2269"/>
        <v>Refund COSHARE 10</v>
      </c>
      <c r="H5544" s="2">
        <v>517.20000000000005</v>
      </c>
      <c r="I5544" t="str">
        <f>"SUHAILA BINTI NASIR"</f>
        <v>SUHAILA BINTI NASIR</v>
      </c>
      <c r="J5544" t="str">
        <f t="shared" si="2253"/>
        <v>CIMB BANK / CIMB ISLAMIC BANK</v>
      </c>
      <c r="K5544" t="str">
        <f>"14160038652523"</f>
        <v>14160038652523</v>
      </c>
      <c r="L5544" t="str">
        <f t="shared" si="2270"/>
        <v>04-08-2020</v>
      </c>
      <c r="M5544" t="str">
        <f t="shared" si="2270"/>
        <v>04-08-2020</v>
      </c>
      <c r="N5544" t="str">
        <f t="shared" si="2259"/>
        <v>001105018356</v>
      </c>
      <c r="O5544" t="str">
        <f t="shared" si="2260"/>
        <v>MYR</v>
      </c>
      <c r="P5544" t="str">
        <f t="shared" si="2271"/>
        <v>NIL</v>
      </c>
      <c r="Q5544" t="str">
        <f t="shared" si="2271"/>
        <v>NIL</v>
      </c>
      <c r="R5544" t="str">
        <f t="shared" si="2272"/>
        <v>Accepted</v>
      </c>
      <c r="S5544" t="str">
        <f t="shared" si="2261"/>
        <v>Approved</v>
      </c>
      <c r="T5544" t="str">
        <f t="shared" si="2273"/>
        <v>10.20.8.188</v>
      </c>
      <c r="U5544" t="str">
        <f t="shared" si="2262"/>
        <v>AZRAD UMAR BIN SHAARI</v>
      </c>
      <c r="V5544" t="str">
        <f t="shared" si="2263"/>
        <v>FARHANA BINTI MUSTAPA</v>
      </c>
      <c r="W5544" t="str">
        <f t="shared" si="2264"/>
        <v>04-08-2020</v>
      </c>
      <c r="X5544" t="str">
        <f t="shared" si="2265"/>
        <v>RAZIMAH ANSAR AHMAD</v>
      </c>
      <c r="Y5544" t="str">
        <f t="shared" si="2266"/>
        <v>04-08-2020</v>
      </c>
      <c r="Z5544" t="str">
        <f>"COS10200804 3610"</f>
        <v>COS10200804 3610</v>
      </c>
    </row>
    <row r="5545" spans="1:26" x14ac:dyDescent="0.25">
      <c r="A5545" t="str">
        <f t="shared" si="2267"/>
        <v>04-08-2020 12:46:39</v>
      </c>
      <c r="B5545" t="str">
        <f>"0000805382"</f>
        <v>0000805382</v>
      </c>
      <c r="C5545" t="str">
        <f t="shared" si="2268"/>
        <v>0000805373</v>
      </c>
      <c r="D5545" t="str">
        <f t="shared" si="2256"/>
        <v>73185</v>
      </c>
      <c r="E5545" t="str">
        <f t="shared" si="2257"/>
        <v>KFH-OPERATIONS DEPARTMENT</v>
      </c>
      <c r="F5545" t="str">
        <f t="shared" si="2258"/>
        <v>IBG</v>
      </c>
      <c r="G5545" t="str">
        <f t="shared" si="2269"/>
        <v>Refund COSHARE 10</v>
      </c>
      <c r="H5545" s="2">
        <v>243</v>
      </c>
      <c r="I5545" t="str">
        <f>"SUHAIDAH BINTI MOHAMED SABIDI"</f>
        <v>SUHAIDAH BINTI MOHAMED SABIDI</v>
      </c>
      <c r="J5545" t="str">
        <f t="shared" si="2253"/>
        <v>CIMB BANK / CIMB ISLAMIC BANK</v>
      </c>
      <c r="K5545" t="str">
        <f>"01170062182522"</f>
        <v>01170062182522</v>
      </c>
      <c r="L5545" t="str">
        <f t="shared" si="2270"/>
        <v>04-08-2020</v>
      </c>
      <c r="M5545" t="str">
        <f t="shared" si="2270"/>
        <v>04-08-2020</v>
      </c>
      <c r="N5545" t="str">
        <f t="shared" si="2259"/>
        <v>001105018356</v>
      </c>
      <c r="O5545" t="str">
        <f t="shared" si="2260"/>
        <v>MYR</v>
      </c>
      <c r="P5545" t="str">
        <f t="shared" si="2271"/>
        <v>NIL</v>
      </c>
      <c r="Q5545" t="str">
        <f t="shared" si="2271"/>
        <v>NIL</v>
      </c>
      <c r="R5545" t="str">
        <f t="shared" si="2272"/>
        <v>Accepted</v>
      </c>
      <c r="S5545" t="str">
        <f t="shared" si="2261"/>
        <v>Approved</v>
      </c>
      <c r="T5545" t="str">
        <f t="shared" si="2273"/>
        <v>10.20.8.188</v>
      </c>
      <c r="U5545" t="str">
        <f t="shared" si="2262"/>
        <v>AZRAD UMAR BIN SHAARI</v>
      </c>
      <c r="V5545" t="str">
        <f t="shared" si="2263"/>
        <v>FARHANA BINTI MUSTAPA</v>
      </c>
      <c r="W5545" t="str">
        <f t="shared" si="2264"/>
        <v>04-08-2020</v>
      </c>
      <c r="X5545" t="str">
        <f t="shared" si="2265"/>
        <v>RAZIMAH ANSAR AHMAD</v>
      </c>
      <c r="Y5545" t="str">
        <f t="shared" si="2266"/>
        <v>04-08-2020</v>
      </c>
      <c r="Z5545" t="str">
        <f>"COS10200804 3609"</f>
        <v>COS10200804 3609</v>
      </c>
    </row>
    <row r="5546" spans="1:26" x14ac:dyDescent="0.25">
      <c r="A5546" t="str">
        <f t="shared" ref="A5546:A5553" si="2274">"04-08-2020 12:46:39"</f>
        <v>04-08-2020 12:46:39</v>
      </c>
      <c r="B5546" t="str">
        <f>"0000805381"</f>
        <v>0000805381</v>
      </c>
      <c r="C5546" t="str">
        <f t="shared" ref="C5546:C5553" si="2275">"0000805373"</f>
        <v>0000805373</v>
      </c>
      <c r="D5546" t="str">
        <f t="shared" si="2256"/>
        <v>73185</v>
      </c>
      <c r="E5546" t="str">
        <f t="shared" si="2257"/>
        <v>KFH-OPERATIONS DEPARTMENT</v>
      </c>
      <c r="F5546" t="str">
        <f t="shared" si="2258"/>
        <v>IBG</v>
      </c>
      <c r="G5546" t="str">
        <f t="shared" si="2269"/>
        <v>Refund COSHARE 10</v>
      </c>
      <c r="H5546" s="2">
        <v>1469.15</v>
      </c>
      <c r="I5546" t="str">
        <f>"SUHAFENDI BIN SULONG"</f>
        <v>SUHAFENDI BIN SULONG</v>
      </c>
      <c r="J5546" t="str">
        <f t="shared" si="2253"/>
        <v>CIMB BANK / CIMB ISLAMIC BANK</v>
      </c>
      <c r="K5546" t="str">
        <f>"12051368681524"</f>
        <v>12051368681524</v>
      </c>
      <c r="L5546" t="str">
        <f t="shared" si="2270"/>
        <v>04-08-2020</v>
      </c>
      <c r="M5546" t="str">
        <f t="shared" si="2270"/>
        <v>04-08-2020</v>
      </c>
      <c r="N5546" t="str">
        <f t="shared" si="2259"/>
        <v>001105018356</v>
      </c>
      <c r="O5546" t="str">
        <f t="shared" si="2260"/>
        <v>MYR</v>
      </c>
      <c r="P5546" t="str">
        <f t="shared" si="2271"/>
        <v>NIL</v>
      </c>
      <c r="Q5546" t="str">
        <f t="shared" si="2271"/>
        <v>NIL</v>
      </c>
      <c r="R5546" t="str">
        <f t="shared" si="2272"/>
        <v>Accepted</v>
      </c>
      <c r="S5546" t="str">
        <f t="shared" si="2261"/>
        <v>Approved</v>
      </c>
      <c r="T5546" t="str">
        <f t="shared" si="2273"/>
        <v>10.20.8.188</v>
      </c>
      <c r="U5546" t="str">
        <f t="shared" si="2262"/>
        <v>AZRAD UMAR BIN SHAARI</v>
      </c>
      <c r="V5546" t="str">
        <f t="shared" si="2263"/>
        <v>FARHANA BINTI MUSTAPA</v>
      </c>
      <c r="W5546" t="str">
        <f t="shared" si="2264"/>
        <v>04-08-2020</v>
      </c>
      <c r="X5546" t="str">
        <f t="shared" si="2265"/>
        <v>RAZIMAH ANSAR AHMAD</v>
      </c>
      <c r="Y5546" t="str">
        <f t="shared" si="2266"/>
        <v>04-08-2020</v>
      </c>
      <c r="Z5546" t="str">
        <f>"COS10200804 3608"</f>
        <v>COS10200804 3608</v>
      </c>
    </row>
    <row r="5547" spans="1:26" x14ac:dyDescent="0.25">
      <c r="A5547" t="str">
        <f t="shared" si="2274"/>
        <v>04-08-2020 12:46:39</v>
      </c>
      <c r="B5547" t="str">
        <f>"0000805380"</f>
        <v>0000805380</v>
      </c>
      <c r="C5547" t="str">
        <f t="shared" si="2275"/>
        <v>0000805373</v>
      </c>
      <c r="D5547" t="str">
        <f t="shared" si="2256"/>
        <v>73185</v>
      </c>
      <c r="E5547" t="str">
        <f t="shared" si="2257"/>
        <v>KFH-OPERATIONS DEPARTMENT</v>
      </c>
      <c r="F5547" t="str">
        <f t="shared" si="2258"/>
        <v>IBG</v>
      </c>
      <c r="G5547" t="str">
        <f t="shared" si="2269"/>
        <v>Refund COSHARE 10</v>
      </c>
      <c r="H5547" s="2">
        <v>1110</v>
      </c>
      <c r="I5547" t="str">
        <f>"SUFIAH BINTI ATI"</f>
        <v>SUFIAH BINTI ATI</v>
      </c>
      <c r="J5547" t="str">
        <f t="shared" si="2253"/>
        <v>CIMB BANK / CIMB ISLAMIC BANK</v>
      </c>
      <c r="K5547" t="str">
        <f>"7038927590"</f>
        <v>7038927590</v>
      </c>
      <c r="L5547" t="str">
        <f t="shared" ref="L5547:M5566" si="2276">"04-08-2020"</f>
        <v>04-08-2020</v>
      </c>
      <c r="M5547" t="str">
        <f t="shared" si="2276"/>
        <v>04-08-2020</v>
      </c>
      <c r="N5547" t="str">
        <f t="shared" si="2259"/>
        <v>001105018356</v>
      </c>
      <c r="O5547" t="str">
        <f t="shared" si="2260"/>
        <v>MYR</v>
      </c>
      <c r="P5547" t="str">
        <f t="shared" ref="P5547:Q5566" si="2277">"NIL"</f>
        <v>NIL</v>
      </c>
      <c r="Q5547" t="str">
        <f t="shared" si="2277"/>
        <v>NIL</v>
      </c>
      <c r="R5547" t="str">
        <f t="shared" si="2272"/>
        <v>Accepted</v>
      </c>
      <c r="S5547" t="str">
        <f t="shared" si="2261"/>
        <v>Approved</v>
      </c>
      <c r="T5547" t="str">
        <f t="shared" si="2273"/>
        <v>10.20.8.188</v>
      </c>
      <c r="U5547" t="str">
        <f t="shared" si="2262"/>
        <v>AZRAD UMAR BIN SHAARI</v>
      </c>
      <c r="V5547" t="str">
        <f t="shared" si="2263"/>
        <v>FARHANA BINTI MUSTAPA</v>
      </c>
      <c r="W5547" t="str">
        <f t="shared" si="2264"/>
        <v>04-08-2020</v>
      </c>
      <c r="X5547" t="str">
        <f t="shared" si="2265"/>
        <v>RAZIMAH ANSAR AHMAD</v>
      </c>
      <c r="Y5547" t="str">
        <f t="shared" si="2266"/>
        <v>04-08-2020</v>
      </c>
      <c r="Z5547" t="str">
        <f>"COS10200804 3607"</f>
        <v>COS10200804 3607</v>
      </c>
    </row>
    <row r="5548" spans="1:26" x14ac:dyDescent="0.25">
      <c r="A5548" t="str">
        <f t="shared" si="2274"/>
        <v>04-08-2020 12:46:39</v>
      </c>
      <c r="B5548" t="str">
        <f>"0000805379"</f>
        <v>0000805379</v>
      </c>
      <c r="C5548" t="str">
        <f t="shared" si="2275"/>
        <v>0000805373</v>
      </c>
      <c r="D5548" t="str">
        <f t="shared" si="2256"/>
        <v>73185</v>
      </c>
      <c r="E5548" t="str">
        <f t="shared" si="2257"/>
        <v>KFH-OPERATIONS DEPARTMENT</v>
      </c>
      <c r="F5548" t="str">
        <f t="shared" si="2258"/>
        <v>IBG</v>
      </c>
      <c r="G5548" t="str">
        <f t="shared" si="2269"/>
        <v>Refund COSHARE 10</v>
      </c>
      <c r="H5548" s="2">
        <v>283.95</v>
      </c>
      <c r="I5548" t="str">
        <f>"SUEHANI  SUHAINI BINTI SIRONG"</f>
        <v>SUEHANI  SUHAINI BINTI SIRONG</v>
      </c>
      <c r="J5548" t="str">
        <f t="shared" si="2253"/>
        <v>CIMB BANK / CIMB ISLAMIC BANK</v>
      </c>
      <c r="K5548" t="str">
        <f>"10030028379526"</f>
        <v>10030028379526</v>
      </c>
      <c r="L5548" t="str">
        <f t="shared" si="2276"/>
        <v>04-08-2020</v>
      </c>
      <c r="M5548" t="str">
        <f t="shared" si="2276"/>
        <v>04-08-2020</v>
      </c>
      <c r="N5548" t="str">
        <f t="shared" si="2259"/>
        <v>001105018356</v>
      </c>
      <c r="O5548" t="str">
        <f t="shared" si="2260"/>
        <v>MYR</v>
      </c>
      <c r="P5548" t="str">
        <f t="shared" si="2277"/>
        <v>NIL</v>
      </c>
      <c r="Q5548" t="str">
        <f t="shared" si="2277"/>
        <v>NIL</v>
      </c>
      <c r="R5548" t="str">
        <f t="shared" si="2272"/>
        <v>Accepted</v>
      </c>
      <c r="S5548" t="str">
        <f t="shared" si="2261"/>
        <v>Approved</v>
      </c>
      <c r="T5548" t="str">
        <f t="shared" si="2273"/>
        <v>10.20.8.188</v>
      </c>
      <c r="U5548" t="str">
        <f t="shared" si="2262"/>
        <v>AZRAD UMAR BIN SHAARI</v>
      </c>
      <c r="V5548" t="str">
        <f t="shared" si="2263"/>
        <v>FARHANA BINTI MUSTAPA</v>
      </c>
      <c r="W5548" t="str">
        <f t="shared" si="2264"/>
        <v>04-08-2020</v>
      </c>
      <c r="X5548" t="str">
        <f t="shared" si="2265"/>
        <v>RAZIMAH ANSAR AHMAD</v>
      </c>
      <c r="Y5548" t="str">
        <f t="shared" si="2266"/>
        <v>04-08-2020</v>
      </c>
      <c r="Z5548" t="str">
        <f>"COS10200804 3606"</f>
        <v>COS10200804 3606</v>
      </c>
    </row>
    <row r="5549" spans="1:26" x14ac:dyDescent="0.25">
      <c r="A5549" t="str">
        <f t="shared" si="2274"/>
        <v>04-08-2020 12:46:39</v>
      </c>
      <c r="B5549" t="str">
        <f>"0000805378"</f>
        <v>0000805378</v>
      </c>
      <c r="C5549" t="str">
        <f t="shared" si="2275"/>
        <v>0000805373</v>
      </c>
      <c r="D5549" t="str">
        <f t="shared" si="2256"/>
        <v>73185</v>
      </c>
      <c r="E5549" t="str">
        <f t="shared" si="2257"/>
        <v>KFH-OPERATIONS DEPARTMENT</v>
      </c>
      <c r="F5549" t="str">
        <f t="shared" si="2258"/>
        <v>IBG</v>
      </c>
      <c r="G5549" t="str">
        <f t="shared" si="2269"/>
        <v>Refund COSHARE 10</v>
      </c>
      <c r="H5549" s="2">
        <v>79.849999999999994</v>
      </c>
      <c r="I5549" t="str">
        <f>"SUDIMAN BIN MUSA"</f>
        <v>SUDIMAN BIN MUSA</v>
      </c>
      <c r="J5549" t="str">
        <f t="shared" si="2253"/>
        <v>CIMB BANK / CIMB ISLAMIC BANK</v>
      </c>
      <c r="K5549" t="str">
        <f>"7029622138"</f>
        <v>7029622138</v>
      </c>
      <c r="L5549" t="str">
        <f t="shared" si="2276"/>
        <v>04-08-2020</v>
      </c>
      <c r="M5549" t="str">
        <f t="shared" si="2276"/>
        <v>04-08-2020</v>
      </c>
      <c r="N5549" t="str">
        <f t="shared" si="2259"/>
        <v>001105018356</v>
      </c>
      <c r="O5549" t="str">
        <f t="shared" si="2260"/>
        <v>MYR</v>
      </c>
      <c r="P5549" t="str">
        <f t="shared" si="2277"/>
        <v>NIL</v>
      </c>
      <c r="Q5549" t="str">
        <f t="shared" si="2277"/>
        <v>NIL</v>
      </c>
      <c r="R5549" t="str">
        <f t="shared" si="2272"/>
        <v>Accepted</v>
      </c>
      <c r="S5549" t="str">
        <f t="shared" si="2261"/>
        <v>Approved</v>
      </c>
      <c r="T5549" t="str">
        <f t="shared" si="2273"/>
        <v>10.20.8.188</v>
      </c>
      <c r="U5549" t="str">
        <f t="shared" si="2262"/>
        <v>AZRAD UMAR BIN SHAARI</v>
      </c>
      <c r="V5549" t="str">
        <f t="shared" si="2263"/>
        <v>FARHANA BINTI MUSTAPA</v>
      </c>
      <c r="W5549" t="str">
        <f t="shared" si="2264"/>
        <v>04-08-2020</v>
      </c>
      <c r="X5549" t="str">
        <f t="shared" si="2265"/>
        <v>RAZIMAH ANSAR AHMAD</v>
      </c>
      <c r="Y5549" t="str">
        <f t="shared" si="2266"/>
        <v>04-08-2020</v>
      </c>
      <c r="Z5549" t="str">
        <f>"COS10200804 3605"</f>
        <v>COS10200804 3605</v>
      </c>
    </row>
    <row r="5550" spans="1:26" x14ac:dyDescent="0.25">
      <c r="A5550" t="str">
        <f t="shared" si="2274"/>
        <v>04-08-2020 12:46:39</v>
      </c>
      <c r="B5550" t="str">
        <f>"0000805377"</f>
        <v>0000805377</v>
      </c>
      <c r="C5550" t="str">
        <f t="shared" si="2275"/>
        <v>0000805373</v>
      </c>
      <c r="D5550" t="str">
        <f t="shared" si="2256"/>
        <v>73185</v>
      </c>
      <c r="E5550" t="str">
        <f t="shared" si="2257"/>
        <v>KFH-OPERATIONS DEPARTMENT</v>
      </c>
      <c r="F5550" t="str">
        <f t="shared" si="2258"/>
        <v>IBG</v>
      </c>
      <c r="G5550" t="str">
        <f t="shared" si="2269"/>
        <v>Refund COSHARE 10</v>
      </c>
      <c r="H5550" s="2">
        <v>1217.3</v>
      </c>
      <c r="I5550" t="str">
        <f>"SUARDIHAZALI BIN ISMAIL"</f>
        <v>SUARDIHAZALI BIN ISMAIL</v>
      </c>
      <c r="J5550" t="str">
        <f t="shared" si="2253"/>
        <v>CIMB BANK / CIMB ISLAMIC BANK</v>
      </c>
      <c r="K5550" t="str">
        <f>"7605039494"</f>
        <v>7605039494</v>
      </c>
      <c r="L5550" t="str">
        <f t="shared" si="2276"/>
        <v>04-08-2020</v>
      </c>
      <c r="M5550" t="str">
        <f t="shared" si="2276"/>
        <v>04-08-2020</v>
      </c>
      <c r="N5550" t="str">
        <f t="shared" si="2259"/>
        <v>001105018356</v>
      </c>
      <c r="O5550" t="str">
        <f t="shared" si="2260"/>
        <v>MYR</v>
      </c>
      <c r="P5550" t="str">
        <f t="shared" si="2277"/>
        <v>NIL</v>
      </c>
      <c r="Q5550" t="str">
        <f t="shared" si="2277"/>
        <v>NIL</v>
      </c>
      <c r="R5550" t="str">
        <f t="shared" si="2272"/>
        <v>Accepted</v>
      </c>
      <c r="S5550" t="str">
        <f t="shared" si="2261"/>
        <v>Approved</v>
      </c>
      <c r="T5550" t="str">
        <f t="shared" si="2273"/>
        <v>10.20.8.188</v>
      </c>
      <c r="U5550" t="str">
        <f t="shared" si="2262"/>
        <v>AZRAD UMAR BIN SHAARI</v>
      </c>
      <c r="V5550" t="str">
        <f t="shared" si="2263"/>
        <v>FARHANA BINTI MUSTAPA</v>
      </c>
      <c r="W5550" t="str">
        <f t="shared" si="2264"/>
        <v>04-08-2020</v>
      </c>
      <c r="X5550" t="str">
        <f t="shared" si="2265"/>
        <v>RAZIMAH ANSAR AHMAD</v>
      </c>
      <c r="Y5550" t="str">
        <f t="shared" si="2266"/>
        <v>04-08-2020</v>
      </c>
      <c r="Z5550" t="str">
        <f>"COS10200804 3604"</f>
        <v>COS10200804 3604</v>
      </c>
    </row>
    <row r="5551" spans="1:26" x14ac:dyDescent="0.25">
      <c r="A5551" t="str">
        <f t="shared" si="2274"/>
        <v>04-08-2020 12:46:39</v>
      </c>
      <c r="B5551" t="str">
        <f>"0000805376"</f>
        <v>0000805376</v>
      </c>
      <c r="C5551" t="str">
        <f t="shared" si="2275"/>
        <v>0000805373</v>
      </c>
      <c r="D5551" t="str">
        <f t="shared" si="2256"/>
        <v>73185</v>
      </c>
      <c r="E5551" t="str">
        <f t="shared" si="2257"/>
        <v>KFH-OPERATIONS DEPARTMENT</v>
      </c>
      <c r="F5551" t="str">
        <f t="shared" si="2258"/>
        <v>IBG</v>
      </c>
      <c r="G5551" t="str">
        <f t="shared" si="2269"/>
        <v>Refund COSHARE 10</v>
      </c>
      <c r="H5551" s="2">
        <v>239</v>
      </c>
      <c r="I5551" t="str">
        <f>"STEPHENS GIDANG UNGGUS"</f>
        <v>STEPHENS GIDANG UNGGUS</v>
      </c>
      <c r="J5551" t="str">
        <f t="shared" si="2253"/>
        <v>CIMB BANK / CIMB ISLAMIC BANK</v>
      </c>
      <c r="K5551" t="str">
        <f>"10050062482525"</f>
        <v>10050062482525</v>
      </c>
      <c r="L5551" t="str">
        <f t="shared" si="2276"/>
        <v>04-08-2020</v>
      </c>
      <c r="M5551" t="str">
        <f t="shared" si="2276"/>
        <v>04-08-2020</v>
      </c>
      <c r="N5551" t="str">
        <f t="shared" si="2259"/>
        <v>001105018356</v>
      </c>
      <c r="O5551" t="str">
        <f t="shared" si="2260"/>
        <v>MYR</v>
      </c>
      <c r="P5551" t="str">
        <f t="shared" si="2277"/>
        <v>NIL</v>
      </c>
      <c r="Q5551" t="str">
        <f t="shared" si="2277"/>
        <v>NIL</v>
      </c>
      <c r="R5551" t="str">
        <f t="shared" si="2272"/>
        <v>Accepted</v>
      </c>
      <c r="S5551" t="str">
        <f t="shared" si="2261"/>
        <v>Approved</v>
      </c>
      <c r="T5551" t="str">
        <f t="shared" si="2273"/>
        <v>10.20.8.188</v>
      </c>
      <c r="U5551" t="str">
        <f t="shared" si="2262"/>
        <v>AZRAD UMAR BIN SHAARI</v>
      </c>
      <c r="V5551" t="str">
        <f t="shared" si="2263"/>
        <v>FARHANA BINTI MUSTAPA</v>
      </c>
      <c r="W5551" t="str">
        <f t="shared" si="2264"/>
        <v>04-08-2020</v>
      </c>
      <c r="X5551" t="str">
        <f t="shared" si="2265"/>
        <v>RAZIMAH ANSAR AHMAD</v>
      </c>
      <c r="Y5551" t="str">
        <f t="shared" si="2266"/>
        <v>04-08-2020</v>
      </c>
      <c r="Z5551" t="str">
        <f>"COS10200804 3603"</f>
        <v>COS10200804 3603</v>
      </c>
    </row>
    <row r="5552" spans="1:26" x14ac:dyDescent="0.25">
      <c r="A5552" t="str">
        <f t="shared" si="2274"/>
        <v>04-08-2020 12:46:39</v>
      </c>
      <c r="B5552" t="str">
        <f>"0000805375"</f>
        <v>0000805375</v>
      </c>
      <c r="C5552" t="str">
        <f t="shared" si="2275"/>
        <v>0000805373</v>
      </c>
      <c r="D5552" t="str">
        <f t="shared" si="2256"/>
        <v>73185</v>
      </c>
      <c r="E5552" t="str">
        <f t="shared" si="2257"/>
        <v>KFH-OPERATIONS DEPARTMENT</v>
      </c>
      <c r="F5552" t="str">
        <f t="shared" si="2258"/>
        <v>IBG</v>
      </c>
      <c r="G5552" t="str">
        <f t="shared" si="2269"/>
        <v>Refund COSHARE 10</v>
      </c>
      <c r="H5552" s="2">
        <v>433</v>
      </c>
      <c r="I5552" t="str">
        <f>"SRI ZUHAIRA BINTI BAHARI"</f>
        <v>SRI ZUHAIRA BINTI BAHARI</v>
      </c>
      <c r="J5552" t="str">
        <f t="shared" si="2253"/>
        <v>CIMB BANK / CIMB ISLAMIC BANK</v>
      </c>
      <c r="K5552" t="str">
        <f>"07130006571208"</f>
        <v>07130006571208</v>
      </c>
      <c r="L5552" t="str">
        <f t="shared" si="2276"/>
        <v>04-08-2020</v>
      </c>
      <c r="M5552" t="str">
        <f t="shared" si="2276"/>
        <v>04-08-2020</v>
      </c>
      <c r="N5552" t="str">
        <f t="shared" si="2259"/>
        <v>001105018356</v>
      </c>
      <c r="O5552" t="str">
        <f t="shared" si="2260"/>
        <v>MYR</v>
      </c>
      <c r="P5552" t="str">
        <f t="shared" si="2277"/>
        <v>NIL</v>
      </c>
      <c r="Q5552" t="str">
        <f t="shared" si="2277"/>
        <v>NIL</v>
      </c>
      <c r="R5552" t="str">
        <f t="shared" si="2272"/>
        <v>Accepted</v>
      </c>
      <c r="S5552" t="str">
        <f t="shared" si="2261"/>
        <v>Approved</v>
      </c>
      <c r="T5552" t="str">
        <f t="shared" si="2273"/>
        <v>10.20.8.188</v>
      </c>
      <c r="U5552" t="str">
        <f t="shared" si="2262"/>
        <v>AZRAD UMAR BIN SHAARI</v>
      </c>
      <c r="V5552" t="str">
        <f t="shared" si="2263"/>
        <v>FARHANA BINTI MUSTAPA</v>
      </c>
      <c r="W5552" t="str">
        <f t="shared" si="2264"/>
        <v>04-08-2020</v>
      </c>
      <c r="X5552" t="str">
        <f t="shared" si="2265"/>
        <v>RAZIMAH ANSAR AHMAD</v>
      </c>
      <c r="Y5552" t="str">
        <f t="shared" si="2266"/>
        <v>04-08-2020</v>
      </c>
      <c r="Z5552" t="str">
        <f>"COS10200804 3602"</f>
        <v>COS10200804 3602</v>
      </c>
    </row>
    <row r="5553" spans="1:26" x14ac:dyDescent="0.25">
      <c r="A5553" t="str">
        <f t="shared" si="2274"/>
        <v>04-08-2020 12:46:39</v>
      </c>
      <c r="B5553" t="str">
        <f>"0000805374"</f>
        <v>0000805374</v>
      </c>
      <c r="C5553" t="str">
        <f t="shared" si="2275"/>
        <v>0000805373</v>
      </c>
      <c r="D5553" t="str">
        <f t="shared" si="2256"/>
        <v>73185</v>
      </c>
      <c r="E5553" t="str">
        <f t="shared" si="2257"/>
        <v>KFH-OPERATIONS DEPARTMENT</v>
      </c>
      <c r="F5553" t="str">
        <f t="shared" si="2258"/>
        <v>IBG</v>
      </c>
      <c r="G5553" t="str">
        <f t="shared" si="2269"/>
        <v>Refund COSHARE 10</v>
      </c>
      <c r="H5553" s="2">
        <v>503.7</v>
      </c>
      <c r="I5553" t="str">
        <f>"SOLEHUDDIN BIN AHMAD"</f>
        <v>SOLEHUDDIN BIN AHMAD</v>
      </c>
      <c r="J5553" t="str">
        <f t="shared" si="2253"/>
        <v>CIMB BANK / CIMB ISLAMIC BANK</v>
      </c>
      <c r="K5553" t="str">
        <f>"12051346946528"</f>
        <v>12051346946528</v>
      </c>
      <c r="L5553" t="str">
        <f t="shared" si="2276"/>
        <v>04-08-2020</v>
      </c>
      <c r="M5553" t="str">
        <f t="shared" si="2276"/>
        <v>04-08-2020</v>
      </c>
      <c r="N5553" t="str">
        <f t="shared" si="2259"/>
        <v>001105018356</v>
      </c>
      <c r="O5553" t="str">
        <f t="shared" si="2260"/>
        <v>MYR</v>
      </c>
      <c r="P5553" t="str">
        <f t="shared" si="2277"/>
        <v>NIL</v>
      </c>
      <c r="Q5553" t="str">
        <f t="shared" si="2277"/>
        <v>NIL</v>
      </c>
      <c r="R5553" t="str">
        <f t="shared" si="2272"/>
        <v>Accepted</v>
      </c>
      <c r="S5553" t="str">
        <f t="shared" si="2261"/>
        <v>Approved</v>
      </c>
      <c r="T5553" t="str">
        <f t="shared" si="2273"/>
        <v>10.20.8.188</v>
      </c>
      <c r="U5553" t="str">
        <f t="shared" si="2262"/>
        <v>AZRAD UMAR BIN SHAARI</v>
      </c>
      <c r="V5553" t="str">
        <f t="shared" si="2263"/>
        <v>FARHANA BINTI MUSTAPA</v>
      </c>
      <c r="W5553" t="str">
        <f t="shared" si="2264"/>
        <v>04-08-2020</v>
      </c>
      <c r="X5553" t="str">
        <f t="shared" si="2265"/>
        <v>RAZIMAH ANSAR AHMAD</v>
      </c>
      <c r="Y5553" t="str">
        <f t="shared" si="2266"/>
        <v>04-08-2020</v>
      </c>
      <c r="Z5553" t="str">
        <f>"COS10200804 3601"</f>
        <v>COS10200804 3601</v>
      </c>
    </row>
    <row r="5554" spans="1:26" x14ac:dyDescent="0.25">
      <c r="A5554" t="str">
        <f t="shared" ref="A5554:A5585" si="2278">"04-08-2020 12:45:31"</f>
        <v>04-08-2020 12:45:31</v>
      </c>
      <c r="B5554" t="str">
        <f>"0000805370"</f>
        <v>0000805370</v>
      </c>
      <c r="C5554" t="str">
        <f t="shared" ref="C5554:C5585" si="2279">"0000805170"</f>
        <v>0000805170</v>
      </c>
      <c r="D5554" t="str">
        <f t="shared" si="2256"/>
        <v>73185</v>
      </c>
      <c r="E5554" t="str">
        <f t="shared" si="2257"/>
        <v>KFH-OPERATIONS DEPARTMENT</v>
      </c>
      <c r="F5554" t="str">
        <f t="shared" si="2258"/>
        <v>IBG</v>
      </c>
      <c r="G5554" t="str">
        <f t="shared" si="2269"/>
        <v>Refund COSHARE 10</v>
      </c>
      <c r="H5554" s="2">
        <v>503.7</v>
      </c>
      <c r="I5554" t="str">
        <f>"SOLEHUDDIN BIN AHMAD"</f>
        <v>SOLEHUDDIN BIN AHMAD</v>
      </c>
      <c r="J5554" t="str">
        <f t="shared" si="2253"/>
        <v>CIMB BANK / CIMB ISLAMIC BANK</v>
      </c>
      <c r="K5554" t="str">
        <f>"12051346946528"</f>
        <v>12051346946528</v>
      </c>
      <c r="L5554" t="str">
        <f t="shared" si="2276"/>
        <v>04-08-2020</v>
      </c>
      <c r="M5554" t="str">
        <f t="shared" si="2276"/>
        <v>04-08-2020</v>
      </c>
      <c r="N5554" t="str">
        <f t="shared" si="2259"/>
        <v>001105018356</v>
      </c>
      <c r="O5554" t="str">
        <f t="shared" si="2260"/>
        <v>MYR</v>
      </c>
      <c r="P5554" t="str">
        <f t="shared" si="2277"/>
        <v>NIL</v>
      </c>
      <c r="Q5554" t="str">
        <f t="shared" si="2277"/>
        <v>NIL</v>
      </c>
      <c r="R5554" t="str">
        <f t="shared" si="2272"/>
        <v>Accepted</v>
      </c>
      <c r="S5554" t="str">
        <f t="shared" si="2261"/>
        <v>Approved</v>
      </c>
      <c r="T5554" t="str">
        <f t="shared" si="2273"/>
        <v>10.20.8.188</v>
      </c>
      <c r="U5554" t="str">
        <f t="shared" si="2262"/>
        <v>AZRAD UMAR BIN SHAARI</v>
      </c>
      <c r="V5554" t="str">
        <f t="shared" si="2263"/>
        <v>FARHANA BINTI MUSTAPA</v>
      </c>
      <c r="W5554" t="str">
        <f t="shared" si="2264"/>
        <v>04-08-2020</v>
      </c>
      <c r="X5554" t="str">
        <f t="shared" si="2265"/>
        <v>RAZIMAH ANSAR AHMAD</v>
      </c>
      <c r="Y5554" t="str">
        <f t="shared" si="2266"/>
        <v>04-08-2020</v>
      </c>
      <c r="Z5554" t="str">
        <f>"COS10200804 3600"</f>
        <v>COS10200804 3600</v>
      </c>
    </row>
    <row r="5555" spans="1:26" x14ac:dyDescent="0.25">
      <c r="A5555" t="str">
        <f t="shared" si="2278"/>
        <v>04-08-2020 12:45:31</v>
      </c>
      <c r="B5555" t="str">
        <f>"0000805369"</f>
        <v>0000805369</v>
      </c>
      <c r="C5555" t="str">
        <f t="shared" si="2279"/>
        <v>0000805170</v>
      </c>
      <c r="D5555" t="str">
        <f t="shared" si="2256"/>
        <v>73185</v>
      </c>
      <c r="E5555" t="str">
        <f t="shared" si="2257"/>
        <v>KFH-OPERATIONS DEPARTMENT</v>
      </c>
      <c r="F5555" t="str">
        <f t="shared" si="2258"/>
        <v>IBG</v>
      </c>
      <c r="G5555" t="str">
        <f t="shared" si="2269"/>
        <v>Refund COSHARE 10</v>
      </c>
      <c r="H5555" s="2">
        <v>614</v>
      </c>
      <c r="I5555" t="str">
        <f>"SOLAHAH BINTI HUSAIN"</f>
        <v>SOLAHAH BINTI HUSAIN</v>
      </c>
      <c r="J5555" t="str">
        <f t="shared" si="2253"/>
        <v>CIMB BANK / CIMB ISLAMIC BANK</v>
      </c>
      <c r="K5555" t="str">
        <f>"16010000154202"</f>
        <v>16010000154202</v>
      </c>
      <c r="L5555" t="str">
        <f t="shared" si="2276"/>
        <v>04-08-2020</v>
      </c>
      <c r="M5555" t="str">
        <f t="shared" si="2276"/>
        <v>04-08-2020</v>
      </c>
      <c r="N5555" t="str">
        <f t="shared" si="2259"/>
        <v>001105018356</v>
      </c>
      <c r="O5555" t="str">
        <f t="shared" si="2260"/>
        <v>MYR</v>
      </c>
      <c r="P5555" t="str">
        <f t="shared" si="2277"/>
        <v>NIL</v>
      </c>
      <c r="Q5555" t="str">
        <f t="shared" si="2277"/>
        <v>NIL</v>
      </c>
      <c r="R5555" t="str">
        <f t="shared" si="2272"/>
        <v>Accepted</v>
      </c>
      <c r="S5555" t="str">
        <f t="shared" si="2261"/>
        <v>Approved</v>
      </c>
      <c r="T5555" t="str">
        <f t="shared" si="2273"/>
        <v>10.20.8.188</v>
      </c>
      <c r="U5555" t="str">
        <f t="shared" si="2262"/>
        <v>AZRAD UMAR BIN SHAARI</v>
      </c>
      <c r="V5555" t="str">
        <f t="shared" si="2263"/>
        <v>FARHANA BINTI MUSTAPA</v>
      </c>
      <c r="W5555" t="str">
        <f t="shared" si="2264"/>
        <v>04-08-2020</v>
      </c>
      <c r="X5555" t="str">
        <f t="shared" si="2265"/>
        <v>RAZIMAH ANSAR AHMAD</v>
      </c>
      <c r="Y5555" t="str">
        <f t="shared" si="2266"/>
        <v>04-08-2020</v>
      </c>
      <c r="Z5555" t="str">
        <f>"COS10200804 3599"</f>
        <v>COS10200804 3599</v>
      </c>
    </row>
    <row r="5556" spans="1:26" x14ac:dyDescent="0.25">
      <c r="A5556" t="str">
        <f t="shared" si="2278"/>
        <v>04-08-2020 12:45:31</v>
      </c>
      <c r="B5556" t="str">
        <f>"0000805368"</f>
        <v>0000805368</v>
      </c>
      <c r="C5556" t="str">
        <f t="shared" si="2279"/>
        <v>0000805170</v>
      </c>
      <c r="D5556" t="str">
        <f t="shared" si="2256"/>
        <v>73185</v>
      </c>
      <c r="E5556" t="str">
        <f t="shared" si="2257"/>
        <v>KFH-OPERATIONS DEPARTMENT</v>
      </c>
      <c r="F5556" t="str">
        <f t="shared" si="2258"/>
        <v>IBG</v>
      </c>
      <c r="G5556" t="str">
        <f t="shared" si="2269"/>
        <v>Refund COSHARE 10</v>
      </c>
      <c r="H5556" s="2">
        <v>1237</v>
      </c>
      <c r="I5556" t="str">
        <f>"SOFIAH BINTI RAZAK"</f>
        <v>SOFIAH BINTI RAZAK</v>
      </c>
      <c r="J5556" t="str">
        <f t="shared" si="2253"/>
        <v>CIMB BANK / CIMB ISLAMIC BANK</v>
      </c>
      <c r="K5556" t="str">
        <f>"12360016610529"</f>
        <v>12360016610529</v>
      </c>
      <c r="L5556" t="str">
        <f t="shared" si="2276"/>
        <v>04-08-2020</v>
      </c>
      <c r="M5556" t="str">
        <f t="shared" si="2276"/>
        <v>04-08-2020</v>
      </c>
      <c r="N5556" t="str">
        <f t="shared" si="2259"/>
        <v>001105018356</v>
      </c>
      <c r="O5556" t="str">
        <f t="shared" si="2260"/>
        <v>MYR</v>
      </c>
      <c r="P5556" t="str">
        <f t="shared" si="2277"/>
        <v>NIL</v>
      </c>
      <c r="Q5556" t="str">
        <f t="shared" si="2277"/>
        <v>NIL</v>
      </c>
      <c r="R5556" t="str">
        <f t="shared" si="2272"/>
        <v>Accepted</v>
      </c>
      <c r="S5556" t="str">
        <f t="shared" si="2261"/>
        <v>Approved</v>
      </c>
      <c r="T5556" t="str">
        <f t="shared" si="2273"/>
        <v>10.20.8.188</v>
      </c>
      <c r="U5556" t="str">
        <f t="shared" si="2262"/>
        <v>AZRAD UMAR BIN SHAARI</v>
      </c>
      <c r="V5556" t="str">
        <f t="shared" si="2263"/>
        <v>FARHANA BINTI MUSTAPA</v>
      </c>
      <c r="W5556" t="str">
        <f t="shared" si="2264"/>
        <v>04-08-2020</v>
      </c>
      <c r="X5556" t="str">
        <f t="shared" si="2265"/>
        <v>RAZIMAH ANSAR AHMAD</v>
      </c>
      <c r="Y5556" t="str">
        <f t="shared" si="2266"/>
        <v>04-08-2020</v>
      </c>
      <c r="Z5556" t="str">
        <f>"COS10200804 3598"</f>
        <v>COS10200804 3598</v>
      </c>
    </row>
    <row r="5557" spans="1:26" x14ac:dyDescent="0.25">
      <c r="A5557" t="str">
        <f t="shared" si="2278"/>
        <v>04-08-2020 12:45:31</v>
      </c>
      <c r="B5557" t="str">
        <f>"0000805367"</f>
        <v>0000805367</v>
      </c>
      <c r="C5557" t="str">
        <f t="shared" si="2279"/>
        <v>0000805170</v>
      </c>
      <c r="D5557" t="str">
        <f t="shared" si="2256"/>
        <v>73185</v>
      </c>
      <c r="E5557" t="str">
        <f t="shared" si="2257"/>
        <v>KFH-OPERATIONS DEPARTMENT</v>
      </c>
      <c r="F5557" t="str">
        <f t="shared" si="2258"/>
        <v>IBG</v>
      </c>
      <c r="G5557" t="str">
        <f t="shared" si="2269"/>
        <v>Refund COSHARE 10</v>
      </c>
      <c r="H5557" s="2">
        <v>645</v>
      </c>
      <c r="I5557" t="str">
        <f>"SITI ZANNARYAH BINTI ZAINI"</f>
        <v>SITI ZANNARYAH BINTI ZAINI</v>
      </c>
      <c r="J5557" t="str">
        <f t="shared" si="2253"/>
        <v>CIMB BANK / CIMB ISLAMIC BANK</v>
      </c>
      <c r="K5557" t="str">
        <f>"7040279322"</f>
        <v>7040279322</v>
      </c>
      <c r="L5557" t="str">
        <f t="shared" si="2276"/>
        <v>04-08-2020</v>
      </c>
      <c r="M5557" t="str">
        <f t="shared" si="2276"/>
        <v>04-08-2020</v>
      </c>
      <c r="N5557" t="str">
        <f t="shared" si="2259"/>
        <v>001105018356</v>
      </c>
      <c r="O5557" t="str">
        <f t="shared" si="2260"/>
        <v>MYR</v>
      </c>
      <c r="P5557" t="str">
        <f t="shared" si="2277"/>
        <v>NIL</v>
      </c>
      <c r="Q5557" t="str">
        <f t="shared" si="2277"/>
        <v>NIL</v>
      </c>
      <c r="R5557" t="str">
        <f t="shared" si="2272"/>
        <v>Accepted</v>
      </c>
      <c r="S5557" t="str">
        <f t="shared" si="2261"/>
        <v>Approved</v>
      </c>
      <c r="T5557" t="str">
        <f t="shared" si="2273"/>
        <v>10.20.8.188</v>
      </c>
      <c r="U5557" t="str">
        <f t="shared" si="2262"/>
        <v>AZRAD UMAR BIN SHAARI</v>
      </c>
      <c r="V5557" t="str">
        <f t="shared" si="2263"/>
        <v>FARHANA BINTI MUSTAPA</v>
      </c>
      <c r="W5557" t="str">
        <f t="shared" si="2264"/>
        <v>04-08-2020</v>
      </c>
      <c r="X5557" t="str">
        <f t="shared" si="2265"/>
        <v>RAZIMAH ANSAR AHMAD</v>
      </c>
      <c r="Y5557" t="str">
        <f t="shared" si="2266"/>
        <v>04-08-2020</v>
      </c>
      <c r="Z5557" t="str">
        <f>"COS10200804 3597"</f>
        <v>COS10200804 3597</v>
      </c>
    </row>
    <row r="5558" spans="1:26" x14ac:dyDescent="0.25">
      <c r="A5558" t="str">
        <f t="shared" si="2278"/>
        <v>04-08-2020 12:45:31</v>
      </c>
      <c r="B5558" t="str">
        <f>"0000805366"</f>
        <v>0000805366</v>
      </c>
      <c r="C5558" t="str">
        <f t="shared" si="2279"/>
        <v>0000805170</v>
      </c>
      <c r="D5558" t="str">
        <f t="shared" si="2256"/>
        <v>73185</v>
      </c>
      <c r="E5558" t="str">
        <f t="shared" si="2257"/>
        <v>KFH-OPERATIONS DEPARTMENT</v>
      </c>
      <c r="F5558" t="str">
        <f t="shared" si="2258"/>
        <v>IBG</v>
      </c>
      <c r="G5558" t="str">
        <f t="shared" si="2269"/>
        <v>Refund COSHARE 10</v>
      </c>
      <c r="H5558" s="2">
        <v>420</v>
      </c>
      <c r="I5558" t="str">
        <f>"SITI ZAHARAH BINTI SHARIFF AMIRUDDIN"</f>
        <v>SITI ZAHARAH BINTI SHARIFF AMIRUDDIN</v>
      </c>
      <c r="J5558" t="str">
        <f t="shared" si="2253"/>
        <v>CIMB BANK / CIMB ISLAMIC BANK</v>
      </c>
      <c r="K5558" t="str">
        <f>"03100073633527"</f>
        <v>03100073633527</v>
      </c>
      <c r="L5558" t="str">
        <f t="shared" si="2276"/>
        <v>04-08-2020</v>
      </c>
      <c r="M5558" t="str">
        <f t="shared" si="2276"/>
        <v>04-08-2020</v>
      </c>
      <c r="N5558" t="str">
        <f t="shared" si="2259"/>
        <v>001105018356</v>
      </c>
      <c r="O5558" t="str">
        <f t="shared" si="2260"/>
        <v>MYR</v>
      </c>
      <c r="P5558" t="str">
        <f t="shared" si="2277"/>
        <v>NIL</v>
      </c>
      <c r="Q5558" t="str">
        <f t="shared" si="2277"/>
        <v>NIL</v>
      </c>
      <c r="R5558" t="str">
        <f t="shared" si="2272"/>
        <v>Accepted</v>
      </c>
      <c r="S5558" t="str">
        <f t="shared" si="2261"/>
        <v>Approved</v>
      </c>
      <c r="T5558" t="str">
        <f t="shared" si="2273"/>
        <v>10.20.8.188</v>
      </c>
      <c r="U5558" t="str">
        <f t="shared" si="2262"/>
        <v>AZRAD UMAR BIN SHAARI</v>
      </c>
      <c r="V5558" t="str">
        <f t="shared" si="2263"/>
        <v>FARHANA BINTI MUSTAPA</v>
      </c>
      <c r="W5558" t="str">
        <f t="shared" si="2264"/>
        <v>04-08-2020</v>
      </c>
      <c r="X5558" t="str">
        <f t="shared" si="2265"/>
        <v>RAZIMAH ANSAR AHMAD</v>
      </c>
      <c r="Y5558" t="str">
        <f t="shared" si="2266"/>
        <v>04-08-2020</v>
      </c>
      <c r="Z5558" t="str">
        <f>"COS10200804 3596"</f>
        <v>COS10200804 3596</v>
      </c>
    </row>
    <row r="5559" spans="1:26" x14ac:dyDescent="0.25">
      <c r="A5559" t="str">
        <f t="shared" si="2278"/>
        <v>04-08-2020 12:45:31</v>
      </c>
      <c r="B5559" t="str">
        <f>"0000805365"</f>
        <v>0000805365</v>
      </c>
      <c r="C5559" t="str">
        <f t="shared" si="2279"/>
        <v>0000805170</v>
      </c>
      <c r="D5559" t="str">
        <f t="shared" si="2256"/>
        <v>73185</v>
      </c>
      <c r="E5559" t="str">
        <f t="shared" si="2257"/>
        <v>KFH-OPERATIONS DEPARTMENT</v>
      </c>
      <c r="F5559" t="str">
        <f t="shared" si="2258"/>
        <v>IBG</v>
      </c>
      <c r="G5559" t="str">
        <f t="shared" si="2269"/>
        <v>Refund COSHARE 10</v>
      </c>
      <c r="H5559" s="2">
        <v>1084.6500000000001</v>
      </c>
      <c r="I5559" t="str">
        <f>"SITI ZAHARAH BINTI BAHARIN"</f>
        <v>SITI ZAHARAH BINTI BAHARIN</v>
      </c>
      <c r="J5559" t="str">
        <f t="shared" si="2253"/>
        <v>CIMB BANK / CIMB ISLAMIC BANK</v>
      </c>
      <c r="K5559" t="str">
        <f>"14400097229522"</f>
        <v>14400097229522</v>
      </c>
      <c r="L5559" t="str">
        <f t="shared" si="2276"/>
        <v>04-08-2020</v>
      </c>
      <c r="M5559" t="str">
        <f t="shared" si="2276"/>
        <v>04-08-2020</v>
      </c>
      <c r="N5559" t="str">
        <f t="shared" si="2259"/>
        <v>001105018356</v>
      </c>
      <c r="O5559" t="str">
        <f t="shared" si="2260"/>
        <v>MYR</v>
      </c>
      <c r="P5559" t="str">
        <f t="shared" si="2277"/>
        <v>NIL</v>
      </c>
      <c r="Q5559" t="str">
        <f t="shared" si="2277"/>
        <v>NIL</v>
      </c>
      <c r="R5559" t="str">
        <f t="shared" si="2272"/>
        <v>Accepted</v>
      </c>
      <c r="S5559" t="str">
        <f t="shared" si="2261"/>
        <v>Approved</v>
      </c>
      <c r="T5559" t="str">
        <f t="shared" si="2273"/>
        <v>10.20.8.188</v>
      </c>
      <c r="U5559" t="str">
        <f t="shared" si="2262"/>
        <v>AZRAD UMAR BIN SHAARI</v>
      </c>
      <c r="V5559" t="str">
        <f t="shared" si="2263"/>
        <v>FARHANA BINTI MUSTAPA</v>
      </c>
      <c r="W5559" t="str">
        <f t="shared" si="2264"/>
        <v>04-08-2020</v>
      </c>
      <c r="X5559" t="str">
        <f t="shared" si="2265"/>
        <v>RAZIMAH ANSAR AHMAD</v>
      </c>
      <c r="Y5559" t="str">
        <f t="shared" si="2266"/>
        <v>04-08-2020</v>
      </c>
      <c r="Z5559" t="str">
        <f>"COS10200804 3595"</f>
        <v>COS10200804 3595</v>
      </c>
    </row>
    <row r="5560" spans="1:26" x14ac:dyDescent="0.25">
      <c r="A5560" t="str">
        <f t="shared" si="2278"/>
        <v>04-08-2020 12:45:31</v>
      </c>
      <c r="B5560" t="str">
        <f>"0000805364"</f>
        <v>0000805364</v>
      </c>
      <c r="C5560" t="str">
        <f t="shared" si="2279"/>
        <v>0000805170</v>
      </c>
      <c r="D5560" t="str">
        <f t="shared" si="2256"/>
        <v>73185</v>
      </c>
      <c r="E5560" t="str">
        <f t="shared" si="2257"/>
        <v>KFH-OPERATIONS DEPARTMENT</v>
      </c>
      <c r="F5560" t="str">
        <f t="shared" si="2258"/>
        <v>IBG</v>
      </c>
      <c r="G5560" t="str">
        <f t="shared" si="2269"/>
        <v>Refund COSHARE 10</v>
      </c>
      <c r="H5560" s="2">
        <v>839.5</v>
      </c>
      <c r="I5560" t="str">
        <f>"SITI YUSLIZA BINTI MOHAMAD YUNUS"</f>
        <v>SITI YUSLIZA BINTI MOHAMAD YUNUS</v>
      </c>
      <c r="J5560" t="str">
        <f t="shared" si="2253"/>
        <v>CIMB BANK / CIMB ISLAMIC BANK</v>
      </c>
      <c r="K5560" t="str">
        <f>"05060147675527"</f>
        <v>05060147675527</v>
      </c>
      <c r="L5560" t="str">
        <f t="shared" si="2276"/>
        <v>04-08-2020</v>
      </c>
      <c r="M5560" t="str">
        <f t="shared" si="2276"/>
        <v>04-08-2020</v>
      </c>
      <c r="N5560" t="str">
        <f t="shared" si="2259"/>
        <v>001105018356</v>
      </c>
      <c r="O5560" t="str">
        <f t="shared" si="2260"/>
        <v>MYR</v>
      </c>
      <c r="P5560" t="str">
        <f t="shared" si="2277"/>
        <v>NIL</v>
      </c>
      <c r="Q5560" t="str">
        <f t="shared" si="2277"/>
        <v>NIL</v>
      </c>
      <c r="R5560" t="str">
        <f t="shared" si="2272"/>
        <v>Accepted</v>
      </c>
      <c r="S5560" t="str">
        <f t="shared" si="2261"/>
        <v>Approved</v>
      </c>
      <c r="T5560" t="str">
        <f t="shared" si="2273"/>
        <v>10.20.8.188</v>
      </c>
      <c r="U5560" t="str">
        <f t="shared" si="2262"/>
        <v>AZRAD UMAR BIN SHAARI</v>
      </c>
      <c r="V5560" t="str">
        <f t="shared" si="2263"/>
        <v>FARHANA BINTI MUSTAPA</v>
      </c>
      <c r="W5560" t="str">
        <f t="shared" si="2264"/>
        <v>04-08-2020</v>
      </c>
      <c r="X5560" t="str">
        <f t="shared" si="2265"/>
        <v>RAZIMAH ANSAR AHMAD</v>
      </c>
      <c r="Y5560" t="str">
        <f t="shared" si="2266"/>
        <v>04-08-2020</v>
      </c>
      <c r="Z5560" t="str">
        <f>"COS10200804 3594"</f>
        <v>COS10200804 3594</v>
      </c>
    </row>
    <row r="5561" spans="1:26" x14ac:dyDescent="0.25">
      <c r="A5561" t="str">
        <f t="shared" si="2278"/>
        <v>04-08-2020 12:45:31</v>
      </c>
      <c r="B5561" t="str">
        <f>"0000805363"</f>
        <v>0000805363</v>
      </c>
      <c r="C5561" t="str">
        <f t="shared" si="2279"/>
        <v>0000805170</v>
      </c>
      <c r="D5561" t="str">
        <f t="shared" si="2256"/>
        <v>73185</v>
      </c>
      <c r="E5561" t="str">
        <f t="shared" si="2257"/>
        <v>KFH-OPERATIONS DEPARTMENT</v>
      </c>
      <c r="F5561" t="str">
        <f t="shared" si="2258"/>
        <v>IBG</v>
      </c>
      <c r="G5561" t="str">
        <f t="shared" si="2269"/>
        <v>Refund COSHARE 10</v>
      </c>
      <c r="H5561" s="2">
        <v>587.65</v>
      </c>
      <c r="I5561" t="str">
        <f>"SITI WAN ZUNITA BINTI WAN MOHD"</f>
        <v>SITI WAN ZUNITA BINTI WAN MOHD</v>
      </c>
      <c r="J5561" t="str">
        <f t="shared" si="2253"/>
        <v>CIMB BANK / CIMB ISLAMIC BANK</v>
      </c>
      <c r="K5561" t="str">
        <f>"05110004319528"</f>
        <v>05110004319528</v>
      </c>
      <c r="L5561" t="str">
        <f t="shared" si="2276"/>
        <v>04-08-2020</v>
      </c>
      <c r="M5561" t="str">
        <f t="shared" si="2276"/>
        <v>04-08-2020</v>
      </c>
      <c r="N5561" t="str">
        <f t="shared" si="2259"/>
        <v>001105018356</v>
      </c>
      <c r="O5561" t="str">
        <f t="shared" si="2260"/>
        <v>MYR</v>
      </c>
      <c r="P5561" t="str">
        <f t="shared" si="2277"/>
        <v>NIL</v>
      </c>
      <c r="Q5561" t="str">
        <f t="shared" si="2277"/>
        <v>NIL</v>
      </c>
      <c r="R5561" t="str">
        <f t="shared" si="2272"/>
        <v>Accepted</v>
      </c>
      <c r="S5561" t="str">
        <f t="shared" si="2261"/>
        <v>Approved</v>
      </c>
      <c r="T5561" t="str">
        <f t="shared" si="2273"/>
        <v>10.20.8.188</v>
      </c>
      <c r="U5561" t="str">
        <f t="shared" si="2262"/>
        <v>AZRAD UMAR BIN SHAARI</v>
      </c>
      <c r="V5561" t="str">
        <f t="shared" si="2263"/>
        <v>FARHANA BINTI MUSTAPA</v>
      </c>
      <c r="W5561" t="str">
        <f t="shared" si="2264"/>
        <v>04-08-2020</v>
      </c>
      <c r="X5561" t="str">
        <f t="shared" si="2265"/>
        <v>RAZIMAH ANSAR AHMAD</v>
      </c>
      <c r="Y5561" t="str">
        <f t="shared" si="2266"/>
        <v>04-08-2020</v>
      </c>
      <c r="Z5561" t="str">
        <f>"COS10200804 3593"</f>
        <v>COS10200804 3593</v>
      </c>
    </row>
    <row r="5562" spans="1:26" x14ac:dyDescent="0.25">
      <c r="A5562" t="str">
        <f t="shared" si="2278"/>
        <v>04-08-2020 12:45:31</v>
      </c>
      <c r="B5562" t="str">
        <f>"0000805362"</f>
        <v>0000805362</v>
      </c>
      <c r="C5562" t="str">
        <f t="shared" si="2279"/>
        <v>0000805170</v>
      </c>
      <c r="D5562" t="str">
        <f t="shared" si="2256"/>
        <v>73185</v>
      </c>
      <c r="E5562" t="str">
        <f t="shared" si="2257"/>
        <v>KFH-OPERATIONS DEPARTMENT</v>
      </c>
      <c r="F5562" t="str">
        <f t="shared" si="2258"/>
        <v>IBG</v>
      </c>
      <c r="G5562" t="str">
        <f t="shared" si="2269"/>
        <v>Refund COSHARE 10</v>
      </c>
      <c r="H5562" s="2">
        <v>759</v>
      </c>
      <c r="I5562" t="str">
        <f>"SITI SHARIZA BINTI ABU ZAKARIA"</f>
        <v>SITI SHARIZA BINTI ABU ZAKARIA</v>
      </c>
      <c r="J5562" t="str">
        <f t="shared" si="2253"/>
        <v>CIMB BANK / CIMB ISLAMIC BANK</v>
      </c>
      <c r="K5562" t="str">
        <f>"01040087087526"</f>
        <v>01040087087526</v>
      </c>
      <c r="L5562" t="str">
        <f t="shared" si="2276"/>
        <v>04-08-2020</v>
      </c>
      <c r="M5562" t="str">
        <f t="shared" si="2276"/>
        <v>04-08-2020</v>
      </c>
      <c r="N5562" t="str">
        <f t="shared" si="2259"/>
        <v>001105018356</v>
      </c>
      <c r="O5562" t="str">
        <f t="shared" si="2260"/>
        <v>MYR</v>
      </c>
      <c r="P5562" t="str">
        <f t="shared" si="2277"/>
        <v>NIL</v>
      </c>
      <c r="Q5562" t="str">
        <f t="shared" si="2277"/>
        <v>NIL</v>
      </c>
      <c r="R5562" t="str">
        <f t="shared" si="2272"/>
        <v>Accepted</v>
      </c>
      <c r="S5562" t="str">
        <f t="shared" si="2261"/>
        <v>Approved</v>
      </c>
      <c r="T5562" t="str">
        <f t="shared" si="2273"/>
        <v>10.20.8.188</v>
      </c>
      <c r="U5562" t="str">
        <f t="shared" si="2262"/>
        <v>AZRAD UMAR BIN SHAARI</v>
      </c>
      <c r="V5562" t="str">
        <f t="shared" si="2263"/>
        <v>FARHANA BINTI MUSTAPA</v>
      </c>
      <c r="W5562" t="str">
        <f t="shared" si="2264"/>
        <v>04-08-2020</v>
      </c>
      <c r="X5562" t="str">
        <f t="shared" si="2265"/>
        <v>RAZIMAH ANSAR AHMAD</v>
      </c>
      <c r="Y5562" t="str">
        <f t="shared" si="2266"/>
        <v>04-08-2020</v>
      </c>
      <c r="Z5562" t="str">
        <f>"COS10200804 3592"</f>
        <v>COS10200804 3592</v>
      </c>
    </row>
    <row r="5563" spans="1:26" x14ac:dyDescent="0.25">
      <c r="A5563" t="str">
        <f t="shared" si="2278"/>
        <v>04-08-2020 12:45:31</v>
      </c>
      <c r="B5563" t="str">
        <f>"0000805361"</f>
        <v>0000805361</v>
      </c>
      <c r="C5563" t="str">
        <f t="shared" si="2279"/>
        <v>0000805170</v>
      </c>
      <c r="D5563" t="str">
        <f t="shared" si="2256"/>
        <v>73185</v>
      </c>
      <c r="E5563" t="str">
        <f t="shared" si="2257"/>
        <v>KFH-OPERATIONS DEPARTMENT</v>
      </c>
      <c r="F5563" t="str">
        <f t="shared" si="2258"/>
        <v>IBG</v>
      </c>
      <c r="G5563" t="str">
        <f t="shared" si="2269"/>
        <v>Refund COSHARE 10</v>
      </c>
      <c r="H5563" s="2">
        <v>492.5</v>
      </c>
      <c r="I5563" t="str">
        <f>"SITI SERIBANI BINTI TAIB"</f>
        <v>SITI SERIBANI BINTI TAIB</v>
      </c>
      <c r="J5563" t="str">
        <f t="shared" si="2253"/>
        <v>CIMB BANK / CIMB ISLAMIC BANK</v>
      </c>
      <c r="K5563" t="str">
        <f>"12270001632208"</f>
        <v>12270001632208</v>
      </c>
      <c r="L5563" t="str">
        <f t="shared" si="2276"/>
        <v>04-08-2020</v>
      </c>
      <c r="M5563" t="str">
        <f t="shared" si="2276"/>
        <v>04-08-2020</v>
      </c>
      <c r="N5563" t="str">
        <f t="shared" si="2259"/>
        <v>001105018356</v>
      </c>
      <c r="O5563" t="str">
        <f t="shared" si="2260"/>
        <v>MYR</v>
      </c>
      <c r="P5563" t="str">
        <f t="shared" si="2277"/>
        <v>NIL</v>
      </c>
      <c r="Q5563" t="str">
        <f t="shared" si="2277"/>
        <v>NIL</v>
      </c>
      <c r="R5563" t="str">
        <f t="shared" si="2272"/>
        <v>Accepted</v>
      </c>
      <c r="S5563" t="str">
        <f t="shared" si="2261"/>
        <v>Approved</v>
      </c>
      <c r="T5563" t="str">
        <f t="shared" si="2273"/>
        <v>10.20.8.188</v>
      </c>
      <c r="U5563" t="str">
        <f t="shared" si="2262"/>
        <v>AZRAD UMAR BIN SHAARI</v>
      </c>
      <c r="V5563" t="str">
        <f t="shared" si="2263"/>
        <v>FARHANA BINTI MUSTAPA</v>
      </c>
      <c r="W5563" t="str">
        <f t="shared" si="2264"/>
        <v>04-08-2020</v>
      </c>
      <c r="X5563" t="str">
        <f t="shared" si="2265"/>
        <v>RAZIMAH ANSAR AHMAD</v>
      </c>
      <c r="Y5563" t="str">
        <f t="shared" si="2266"/>
        <v>04-08-2020</v>
      </c>
      <c r="Z5563" t="str">
        <f>"COS10200804 3591"</f>
        <v>COS10200804 3591</v>
      </c>
    </row>
    <row r="5564" spans="1:26" x14ac:dyDescent="0.25">
      <c r="A5564" t="str">
        <f t="shared" si="2278"/>
        <v>04-08-2020 12:45:31</v>
      </c>
      <c r="B5564" t="str">
        <f>"0000805360"</f>
        <v>0000805360</v>
      </c>
      <c r="C5564" t="str">
        <f t="shared" si="2279"/>
        <v>0000805170</v>
      </c>
      <c r="D5564" t="str">
        <f t="shared" si="2256"/>
        <v>73185</v>
      </c>
      <c r="E5564" t="str">
        <f t="shared" si="2257"/>
        <v>KFH-OPERATIONS DEPARTMENT</v>
      </c>
      <c r="F5564" t="str">
        <f t="shared" si="2258"/>
        <v>IBG</v>
      </c>
      <c r="G5564" t="str">
        <f t="shared" si="2269"/>
        <v>Refund COSHARE 10</v>
      </c>
      <c r="H5564" s="2">
        <v>167.9</v>
      </c>
      <c r="I5564" t="str">
        <f>"SITI SARAH BINTI MOHD NOOR"</f>
        <v>SITI SARAH BINTI MOHD NOOR</v>
      </c>
      <c r="J5564" t="str">
        <f t="shared" ref="J5564:J5627" si="2280">"CIMB BANK / CIMB ISLAMIC BANK"</f>
        <v>CIMB BANK / CIMB ISLAMIC BANK</v>
      </c>
      <c r="K5564" t="str">
        <f>"01230015803527"</f>
        <v>01230015803527</v>
      </c>
      <c r="L5564" t="str">
        <f t="shared" si="2276"/>
        <v>04-08-2020</v>
      </c>
      <c r="M5564" t="str">
        <f t="shared" si="2276"/>
        <v>04-08-2020</v>
      </c>
      <c r="N5564" t="str">
        <f t="shared" si="2259"/>
        <v>001105018356</v>
      </c>
      <c r="O5564" t="str">
        <f t="shared" si="2260"/>
        <v>MYR</v>
      </c>
      <c r="P5564" t="str">
        <f t="shared" si="2277"/>
        <v>NIL</v>
      </c>
      <c r="Q5564" t="str">
        <f t="shared" si="2277"/>
        <v>NIL</v>
      </c>
      <c r="R5564" t="str">
        <f t="shared" si="2272"/>
        <v>Accepted</v>
      </c>
      <c r="S5564" t="str">
        <f t="shared" si="2261"/>
        <v>Approved</v>
      </c>
      <c r="T5564" t="str">
        <f t="shared" si="2273"/>
        <v>10.20.8.188</v>
      </c>
      <c r="U5564" t="str">
        <f t="shared" si="2262"/>
        <v>AZRAD UMAR BIN SHAARI</v>
      </c>
      <c r="V5564" t="str">
        <f t="shared" si="2263"/>
        <v>FARHANA BINTI MUSTAPA</v>
      </c>
      <c r="W5564" t="str">
        <f t="shared" si="2264"/>
        <v>04-08-2020</v>
      </c>
      <c r="X5564" t="str">
        <f t="shared" si="2265"/>
        <v>RAZIMAH ANSAR AHMAD</v>
      </c>
      <c r="Y5564" t="str">
        <f t="shared" si="2266"/>
        <v>04-08-2020</v>
      </c>
      <c r="Z5564" t="str">
        <f>"COS10200804 3590"</f>
        <v>COS10200804 3590</v>
      </c>
    </row>
    <row r="5565" spans="1:26" x14ac:dyDescent="0.25">
      <c r="A5565" t="str">
        <f t="shared" si="2278"/>
        <v>04-08-2020 12:45:31</v>
      </c>
      <c r="B5565" t="str">
        <f>"0000805359"</f>
        <v>0000805359</v>
      </c>
      <c r="C5565" t="str">
        <f t="shared" si="2279"/>
        <v>0000805170</v>
      </c>
      <c r="D5565" t="str">
        <f t="shared" si="2256"/>
        <v>73185</v>
      </c>
      <c r="E5565" t="str">
        <f t="shared" si="2257"/>
        <v>KFH-OPERATIONS DEPARTMENT</v>
      </c>
      <c r="F5565" t="str">
        <f t="shared" si="2258"/>
        <v>IBG</v>
      </c>
      <c r="G5565" t="str">
        <f t="shared" si="2269"/>
        <v>Refund COSHARE 10</v>
      </c>
      <c r="H5565" s="2">
        <v>134.35</v>
      </c>
      <c r="I5565" t="str">
        <f>"SITI SARAH BINTI CHE BONGSU"</f>
        <v>SITI SARAH BINTI CHE BONGSU</v>
      </c>
      <c r="J5565" t="str">
        <f t="shared" si="2280"/>
        <v>CIMB BANK / CIMB ISLAMIC BANK</v>
      </c>
      <c r="K5565" t="str">
        <f>"020078357669"</f>
        <v>020078357669</v>
      </c>
      <c r="L5565" t="str">
        <f t="shared" si="2276"/>
        <v>04-08-2020</v>
      </c>
      <c r="M5565" t="str">
        <f t="shared" si="2276"/>
        <v>04-08-2020</v>
      </c>
      <c r="N5565" t="str">
        <f t="shared" si="2259"/>
        <v>001105018356</v>
      </c>
      <c r="O5565" t="str">
        <f t="shared" si="2260"/>
        <v>MYR</v>
      </c>
      <c r="P5565" t="str">
        <f t="shared" si="2277"/>
        <v>NIL</v>
      </c>
      <c r="Q5565" t="str">
        <f t="shared" si="2277"/>
        <v>NIL</v>
      </c>
      <c r="R5565" t="str">
        <f t="shared" si="2272"/>
        <v>Accepted</v>
      </c>
      <c r="S5565" t="str">
        <f t="shared" si="2261"/>
        <v>Approved</v>
      </c>
      <c r="T5565" t="str">
        <f t="shared" si="2273"/>
        <v>10.20.8.188</v>
      </c>
      <c r="U5565" t="str">
        <f t="shared" si="2262"/>
        <v>AZRAD UMAR BIN SHAARI</v>
      </c>
      <c r="V5565" t="str">
        <f t="shared" si="2263"/>
        <v>FARHANA BINTI MUSTAPA</v>
      </c>
      <c r="W5565" t="str">
        <f t="shared" si="2264"/>
        <v>04-08-2020</v>
      </c>
      <c r="X5565" t="str">
        <f t="shared" si="2265"/>
        <v>RAZIMAH ANSAR AHMAD</v>
      </c>
      <c r="Y5565" t="str">
        <f t="shared" si="2266"/>
        <v>04-08-2020</v>
      </c>
      <c r="Z5565" t="str">
        <f>"COS10200804 3589"</f>
        <v>COS10200804 3589</v>
      </c>
    </row>
    <row r="5566" spans="1:26" x14ac:dyDescent="0.25">
      <c r="A5566" t="str">
        <f t="shared" si="2278"/>
        <v>04-08-2020 12:45:31</v>
      </c>
      <c r="B5566" t="str">
        <f>"0000805358"</f>
        <v>0000805358</v>
      </c>
      <c r="C5566" t="str">
        <f t="shared" si="2279"/>
        <v>0000805170</v>
      </c>
      <c r="D5566" t="str">
        <f t="shared" si="2256"/>
        <v>73185</v>
      </c>
      <c r="E5566" t="str">
        <f t="shared" si="2257"/>
        <v>KFH-OPERATIONS DEPARTMENT</v>
      </c>
      <c r="F5566" t="str">
        <f t="shared" si="2258"/>
        <v>IBG</v>
      </c>
      <c r="G5566" t="str">
        <f t="shared" si="2269"/>
        <v>Refund COSHARE 10</v>
      </c>
      <c r="H5566" s="2">
        <v>419.75</v>
      </c>
      <c r="I5566" t="str">
        <f>"SITI SALEHA BINTI ARIFFIN"</f>
        <v>SITI SALEHA BINTI ARIFFIN</v>
      </c>
      <c r="J5566" t="str">
        <f t="shared" si="2280"/>
        <v>CIMB BANK / CIMB ISLAMIC BANK</v>
      </c>
      <c r="K5566" t="str">
        <f>"7028197547"</f>
        <v>7028197547</v>
      </c>
      <c r="L5566" t="str">
        <f t="shared" si="2276"/>
        <v>04-08-2020</v>
      </c>
      <c r="M5566" t="str">
        <f t="shared" si="2276"/>
        <v>04-08-2020</v>
      </c>
      <c r="N5566" t="str">
        <f t="shared" si="2259"/>
        <v>001105018356</v>
      </c>
      <c r="O5566" t="str">
        <f t="shared" si="2260"/>
        <v>MYR</v>
      </c>
      <c r="P5566" t="str">
        <f t="shared" si="2277"/>
        <v>NIL</v>
      </c>
      <c r="Q5566" t="str">
        <f t="shared" si="2277"/>
        <v>NIL</v>
      </c>
      <c r="R5566" t="str">
        <f t="shared" si="2272"/>
        <v>Accepted</v>
      </c>
      <c r="S5566" t="str">
        <f t="shared" si="2261"/>
        <v>Approved</v>
      </c>
      <c r="T5566" t="str">
        <f t="shared" si="2273"/>
        <v>10.20.8.188</v>
      </c>
      <c r="U5566" t="str">
        <f t="shared" si="2262"/>
        <v>AZRAD UMAR BIN SHAARI</v>
      </c>
      <c r="V5566" t="str">
        <f t="shared" si="2263"/>
        <v>FARHANA BINTI MUSTAPA</v>
      </c>
      <c r="W5566" t="str">
        <f t="shared" si="2264"/>
        <v>04-08-2020</v>
      </c>
      <c r="X5566" t="str">
        <f t="shared" si="2265"/>
        <v>RAZIMAH ANSAR AHMAD</v>
      </c>
      <c r="Y5566" t="str">
        <f t="shared" si="2266"/>
        <v>04-08-2020</v>
      </c>
      <c r="Z5566" t="str">
        <f>"COS10200804 3588"</f>
        <v>COS10200804 3588</v>
      </c>
    </row>
    <row r="5567" spans="1:26" x14ac:dyDescent="0.25">
      <c r="A5567" t="str">
        <f t="shared" si="2278"/>
        <v>04-08-2020 12:45:31</v>
      </c>
      <c r="B5567" t="str">
        <f>"0000805357"</f>
        <v>0000805357</v>
      </c>
      <c r="C5567" t="str">
        <f t="shared" si="2279"/>
        <v>0000805170</v>
      </c>
      <c r="D5567" t="str">
        <f t="shared" si="2256"/>
        <v>73185</v>
      </c>
      <c r="E5567" t="str">
        <f t="shared" si="2257"/>
        <v>KFH-OPERATIONS DEPARTMENT</v>
      </c>
      <c r="F5567" t="str">
        <f t="shared" si="2258"/>
        <v>IBG</v>
      </c>
      <c r="G5567" t="str">
        <f t="shared" si="2269"/>
        <v>Refund COSHARE 10</v>
      </c>
      <c r="H5567" s="2">
        <v>67</v>
      </c>
      <c r="I5567" t="str">
        <f>"SITI SAFINA BINTI MD HUSHIN"</f>
        <v>SITI SAFINA BINTI MD HUSHIN</v>
      </c>
      <c r="J5567" t="str">
        <f t="shared" si="2280"/>
        <v>CIMB BANK / CIMB ISLAMIC BANK</v>
      </c>
      <c r="K5567" t="str">
        <f>"07041093329520"</f>
        <v>07041093329520</v>
      </c>
      <c r="L5567" t="str">
        <f t="shared" ref="L5567:M5586" si="2281">"04-08-2020"</f>
        <v>04-08-2020</v>
      </c>
      <c r="M5567" t="str">
        <f t="shared" si="2281"/>
        <v>04-08-2020</v>
      </c>
      <c r="N5567" t="str">
        <f t="shared" si="2259"/>
        <v>001105018356</v>
      </c>
      <c r="O5567" t="str">
        <f t="shared" si="2260"/>
        <v>MYR</v>
      </c>
      <c r="P5567" t="str">
        <f t="shared" ref="P5567:Q5586" si="2282">"NIL"</f>
        <v>NIL</v>
      </c>
      <c r="Q5567" t="str">
        <f t="shared" si="2282"/>
        <v>NIL</v>
      </c>
      <c r="R5567" t="str">
        <f t="shared" si="2272"/>
        <v>Accepted</v>
      </c>
      <c r="S5567" t="str">
        <f t="shared" si="2261"/>
        <v>Approved</v>
      </c>
      <c r="T5567" t="str">
        <f t="shared" si="2273"/>
        <v>10.20.8.188</v>
      </c>
      <c r="U5567" t="str">
        <f t="shared" si="2262"/>
        <v>AZRAD UMAR BIN SHAARI</v>
      </c>
      <c r="V5567" t="str">
        <f t="shared" si="2263"/>
        <v>FARHANA BINTI MUSTAPA</v>
      </c>
      <c r="W5567" t="str">
        <f t="shared" si="2264"/>
        <v>04-08-2020</v>
      </c>
      <c r="X5567" t="str">
        <f t="shared" si="2265"/>
        <v>RAZIMAH ANSAR AHMAD</v>
      </c>
      <c r="Y5567" t="str">
        <f t="shared" si="2266"/>
        <v>04-08-2020</v>
      </c>
      <c r="Z5567" t="str">
        <f>"COS10200804 3587"</f>
        <v>COS10200804 3587</v>
      </c>
    </row>
    <row r="5568" spans="1:26" x14ac:dyDescent="0.25">
      <c r="A5568" t="str">
        <f t="shared" si="2278"/>
        <v>04-08-2020 12:45:31</v>
      </c>
      <c r="B5568" t="str">
        <f>"0000805356"</f>
        <v>0000805356</v>
      </c>
      <c r="C5568" t="str">
        <f t="shared" si="2279"/>
        <v>0000805170</v>
      </c>
      <c r="D5568" t="str">
        <f t="shared" si="2256"/>
        <v>73185</v>
      </c>
      <c r="E5568" t="str">
        <f t="shared" si="2257"/>
        <v>KFH-OPERATIONS DEPARTMENT</v>
      </c>
      <c r="F5568" t="str">
        <f t="shared" si="2258"/>
        <v>IBG</v>
      </c>
      <c r="G5568" t="str">
        <f t="shared" si="2269"/>
        <v>Refund COSHARE 10</v>
      </c>
      <c r="H5568" s="2">
        <v>663.2</v>
      </c>
      <c r="I5568" t="str">
        <f>"SITI RUHAYAH BINTI MOHDJUNAIDI"</f>
        <v>SITI RUHAYAH BINTI MOHDJUNAIDI</v>
      </c>
      <c r="J5568" t="str">
        <f t="shared" si="2280"/>
        <v>CIMB BANK / CIMB ISLAMIC BANK</v>
      </c>
      <c r="K5568" t="str">
        <f>"10020062255528"</f>
        <v>10020062255528</v>
      </c>
      <c r="L5568" t="str">
        <f t="shared" si="2281"/>
        <v>04-08-2020</v>
      </c>
      <c r="M5568" t="str">
        <f t="shared" si="2281"/>
        <v>04-08-2020</v>
      </c>
      <c r="N5568" t="str">
        <f t="shared" si="2259"/>
        <v>001105018356</v>
      </c>
      <c r="O5568" t="str">
        <f t="shared" si="2260"/>
        <v>MYR</v>
      </c>
      <c r="P5568" t="str">
        <f t="shared" si="2282"/>
        <v>NIL</v>
      </c>
      <c r="Q5568" t="str">
        <f t="shared" si="2282"/>
        <v>NIL</v>
      </c>
      <c r="R5568" t="str">
        <f t="shared" si="2272"/>
        <v>Accepted</v>
      </c>
      <c r="S5568" t="str">
        <f t="shared" si="2261"/>
        <v>Approved</v>
      </c>
      <c r="T5568" t="str">
        <f t="shared" si="2273"/>
        <v>10.20.8.188</v>
      </c>
      <c r="U5568" t="str">
        <f t="shared" si="2262"/>
        <v>AZRAD UMAR BIN SHAARI</v>
      </c>
      <c r="V5568" t="str">
        <f t="shared" si="2263"/>
        <v>FARHANA BINTI MUSTAPA</v>
      </c>
      <c r="W5568" t="str">
        <f t="shared" si="2264"/>
        <v>04-08-2020</v>
      </c>
      <c r="X5568" t="str">
        <f t="shared" si="2265"/>
        <v>RAZIMAH ANSAR AHMAD</v>
      </c>
      <c r="Y5568" t="str">
        <f t="shared" si="2266"/>
        <v>04-08-2020</v>
      </c>
      <c r="Z5568" t="str">
        <f>"COS10200804 3586"</f>
        <v>COS10200804 3586</v>
      </c>
    </row>
    <row r="5569" spans="1:26" x14ac:dyDescent="0.25">
      <c r="A5569" t="str">
        <f t="shared" si="2278"/>
        <v>04-08-2020 12:45:31</v>
      </c>
      <c r="B5569" t="str">
        <f>"0000805355"</f>
        <v>0000805355</v>
      </c>
      <c r="C5569" t="str">
        <f t="shared" si="2279"/>
        <v>0000805170</v>
      </c>
      <c r="D5569" t="str">
        <f t="shared" si="2256"/>
        <v>73185</v>
      </c>
      <c r="E5569" t="str">
        <f t="shared" si="2257"/>
        <v>KFH-OPERATIONS DEPARTMENT</v>
      </c>
      <c r="F5569" t="str">
        <f t="shared" si="2258"/>
        <v>IBG</v>
      </c>
      <c r="G5569" t="str">
        <f t="shared" si="2269"/>
        <v>Refund COSHARE 10</v>
      </c>
      <c r="H5569" s="2">
        <v>209.9</v>
      </c>
      <c r="I5569" t="str">
        <f>"SITI RAIHANA BINTI RAMZAAN"</f>
        <v>SITI RAIHANA BINTI RAMZAAN</v>
      </c>
      <c r="J5569" t="str">
        <f t="shared" si="2280"/>
        <v>CIMB BANK / CIMB ISLAMIC BANK</v>
      </c>
      <c r="K5569" t="str">
        <f>"01020002847208"</f>
        <v>01020002847208</v>
      </c>
      <c r="L5569" t="str">
        <f t="shared" si="2281"/>
        <v>04-08-2020</v>
      </c>
      <c r="M5569" t="str">
        <f t="shared" si="2281"/>
        <v>04-08-2020</v>
      </c>
      <c r="N5569" t="str">
        <f t="shared" si="2259"/>
        <v>001105018356</v>
      </c>
      <c r="O5569" t="str">
        <f t="shared" si="2260"/>
        <v>MYR</v>
      </c>
      <c r="P5569" t="str">
        <f t="shared" si="2282"/>
        <v>NIL</v>
      </c>
      <c r="Q5569" t="str">
        <f t="shared" si="2282"/>
        <v>NIL</v>
      </c>
      <c r="R5569" t="str">
        <f t="shared" si="2272"/>
        <v>Accepted</v>
      </c>
      <c r="S5569" t="str">
        <f t="shared" si="2261"/>
        <v>Approved</v>
      </c>
      <c r="T5569" t="str">
        <f t="shared" si="2273"/>
        <v>10.20.8.188</v>
      </c>
      <c r="U5569" t="str">
        <f t="shared" si="2262"/>
        <v>AZRAD UMAR BIN SHAARI</v>
      </c>
      <c r="V5569" t="str">
        <f t="shared" si="2263"/>
        <v>FARHANA BINTI MUSTAPA</v>
      </c>
      <c r="W5569" t="str">
        <f t="shared" si="2264"/>
        <v>04-08-2020</v>
      </c>
      <c r="X5569" t="str">
        <f t="shared" si="2265"/>
        <v>RAZIMAH ANSAR AHMAD</v>
      </c>
      <c r="Y5569" t="str">
        <f t="shared" si="2266"/>
        <v>04-08-2020</v>
      </c>
      <c r="Z5569" t="str">
        <f>"COS10200804 3585"</f>
        <v>COS10200804 3585</v>
      </c>
    </row>
    <row r="5570" spans="1:26" x14ac:dyDescent="0.25">
      <c r="A5570" t="str">
        <f t="shared" si="2278"/>
        <v>04-08-2020 12:45:31</v>
      </c>
      <c r="B5570" t="str">
        <f>"0000805354"</f>
        <v>0000805354</v>
      </c>
      <c r="C5570" t="str">
        <f t="shared" si="2279"/>
        <v>0000805170</v>
      </c>
      <c r="D5570" t="str">
        <f t="shared" si="2256"/>
        <v>73185</v>
      </c>
      <c r="E5570" t="str">
        <f t="shared" si="2257"/>
        <v>KFH-OPERATIONS DEPARTMENT</v>
      </c>
      <c r="F5570" t="str">
        <f t="shared" si="2258"/>
        <v>IBG</v>
      </c>
      <c r="G5570" t="str">
        <f t="shared" si="2269"/>
        <v>Refund COSHARE 10</v>
      </c>
      <c r="H5570" s="2">
        <v>589.4</v>
      </c>
      <c r="I5570" t="str">
        <f>"SITI RAIHAH BINTI HAMZAH"</f>
        <v>SITI RAIHAH BINTI HAMZAH</v>
      </c>
      <c r="J5570" t="str">
        <f t="shared" si="2280"/>
        <v>CIMB BANK / CIMB ISLAMIC BANK</v>
      </c>
      <c r="K5570" t="str">
        <f>"12190076444527"</f>
        <v>12190076444527</v>
      </c>
      <c r="L5570" t="str">
        <f t="shared" si="2281"/>
        <v>04-08-2020</v>
      </c>
      <c r="M5570" t="str">
        <f t="shared" si="2281"/>
        <v>04-08-2020</v>
      </c>
      <c r="N5570" t="str">
        <f t="shared" si="2259"/>
        <v>001105018356</v>
      </c>
      <c r="O5570" t="str">
        <f t="shared" si="2260"/>
        <v>MYR</v>
      </c>
      <c r="P5570" t="str">
        <f t="shared" si="2282"/>
        <v>NIL</v>
      </c>
      <c r="Q5570" t="str">
        <f t="shared" si="2282"/>
        <v>NIL</v>
      </c>
      <c r="R5570" t="str">
        <f t="shared" si="2272"/>
        <v>Accepted</v>
      </c>
      <c r="S5570" t="str">
        <f t="shared" si="2261"/>
        <v>Approved</v>
      </c>
      <c r="T5570" t="str">
        <f t="shared" si="2273"/>
        <v>10.20.8.188</v>
      </c>
      <c r="U5570" t="str">
        <f t="shared" si="2262"/>
        <v>AZRAD UMAR BIN SHAARI</v>
      </c>
      <c r="V5570" t="str">
        <f t="shared" si="2263"/>
        <v>FARHANA BINTI MUSTAPA</v>
      </c>
      <c r="W5570" t="str">
        <f t="shared" si="2264"/>
        <v>04-08-2020</v>
      </c>
      <c r="X5570" t="str">
        <f t="shared" si="2265"/>
        <v>RAZIMAH ANSAR AHMAD</v>
      </c>
      <c r="Y5570" t="str">
        <f t="shared" si="2266"/>
        <v>04-08-2020</v>
      </c>
      <c r="Z5570" t="str">
        <f>"COS10200804 3584"</f>
        <v>COS10200804 3584</v>
      </c>
    </row>
    <row r="5571" spans="1:26" x14ac:dyDescent="0.25">
      <c r="A5571" t="str">
        <f t="shared" si="2278"/>
        <v>04-08-2020 12:45:31</v>
      </c>
      <c r="B5571" t="str">
        <f>"0000805353"</f>
        <v>0000805353</v>
      </c>
      <c r="C5571" t="str">
        <f t="shared" si="2279"/>
        <v>0000805170</v>
      </c>
      <c r="D5571" t="str">
        <f t="shared" si="2256"/>
        <v>73185</v>
      </c>
      <c r="E5571" t="str">
        <f t="shared" si="2257"/>
        <v>KFH-OPERATIONS DEPARTMENT</v>
      </c>
      <c r="F5571" t="str">
        <f t="shared" si="2258"/>
        <v>IBG</v>
      </c>
      <c r="G5571" t="str">
        <f t="shared" si="2269"/>
        <v>Refund COSHARE 10</v>
      </c>
      <c r="H5571" s="2">
        <v>392.95</v>
      </c>
      <c r="I5571" t="str">
        <f>"SITI RADIAH BINTI MOHD NURI"</f>
        <v>SITI RADIAH BINTI MOHD NURI</v>
      </c>
      <c r="J5571" t="str">
        <f t="shared" si="2280"/>
        <v>CIMB BANK / CIMB ISLAMIC BANK</v>
      </c>
      <c r="K5571" t="str">
        <f>"14220036473523"</f>
        <v>14220036473523</v>
      </c>
      <c r="L5571" t="str">
        <f t="shared" si="2281"/>
        <v>04-08-2020</v>
      </c>
      <c r="M5571" t="str">
        <f t="shared" si="2281"/>
        <v>04-08-2020</v>
      </c>
      <c r="N5571" t="str">
        <f t="shared" si="2259"/>
        <v>001105018356</v>
      </c>
      <c r="O5571" t="str">
        <f t="shared" si="2260"/>
        <v>MYR</v>
      </c>
      <c r="P5571" t="str">
        <f t="shared" si="2282"/>
        <v>NIL</v>
      </c>
      <c r="Q5571" t="str">
        <f t="shared" si="2282"/>
        <v>NIL</v>
      </c>
      <c r="R5571" t="str">
        <f t="shared" si="2272"/>
        <v>Accepted</v>
      </c>
      <c r="S5571" t="str">
        <f t="shared" si="2261"/>
        <v>Approved</v>
      </c>
      <c r="T5571" t="str">
        <f t="shared" si="2273"/>
        <v>10.20.8.188</v>
      </c>
      <c r="U5571" t="str">
        <f t="shared" si="2262"/>
        <v>AZRAD UMAR BIN SHAARI</v>
      </c>
      <c r="V5571" t="str">
        <f t="shared" si="2263"/>
        <v>FARHANA BINTI MUSTAPA</v>
      </c>
      <c r="W5571" t="str">
        <f t="shared" si="2264"/>
        <v>04-08-2020</v>
      </c>
      <c r="X5571" t="str">
        <f t="shared" si="2265"/>
        <v>RAZIMAH ANSAR AHMAD</v>
      </c>
      <c r="Y5571" t="str">
        <f t="shared" si="2266"/>
        <v>04-08-2020</v>
      </c>
      <c r="Z5571" t="str">
        <f>"COS10200804 3583"</f>
        <v>COS10200804 3583</v>
      </c>
    </row>
    <row r="5572" spans="1:26" x14ac:dyDescent="0.25">
      <c r="A5572" t="str">
        <f t="shared" si="2278"/>
        <v>04-08-2020 12:45:31</v>
      </c>
      <c r="B5572" t="str">
        <f>"0000805352"</f>
        <v>0000805352</v>
      </c>
      <c r="C5572" t="str">
        <f t="shared" si="2279"/>
        <v>0000805170</v>
      </c>
      <c r="D5572" t="str">
        <f t="shared" si="2256"/>
        <v>73185</v>
      </c>
      <c r="E5572" t="str">
        <f t="shared" si="2257"/>
        <v>KFH-OPERATIONS DEPARTMENT</v>
      </c>
      <c r="F5572" t="str">
        <f t="shared" si="2258"/>
        <v>IBG</v>
      </c>
      <c r="G5572" t="str">
        <f t="shared" si="2269"/>
        <v>Refund COSHARE 10</v>
      </c>
      <c r="H5572" s="2">
        <v>419.75</v>
      </c>
      <c r="I5572" t="str">
        <f>"SITI NURKAMILLA BINTI RAMDZAN"</f>
        <v>SITI NURKAMILLA BINTI RAMDZAN</v>
      </c>
      <c r="J5572" t="str">
        <f t="shared" si="2280"/>
        <v>CIMB BANK / CIMB ISLAMIC BANK</v>
      </c>
      <c r="K5572" t="str">
        <f>"12160053618523"</f>
        <v>12160053618523</v>
      </c>
      <c r="L5572" t="str">
        <f t="shared" si="2281"/>
        <v>04-08-2020</v>
      </c>
      <c r="M5572" t="str">
        <f t="shared" si="2281"/>
        <v>04-08-2020</v>
      </c>
      <c r="N5572" t="str">
        <f t="shared" si="2259"/>
        <v>001105018356</v>
      </c>
      <c r="O5572" t="str">
        <f t="shared" si="2260"/>
        <v>MYR</v>
      </c>
      <c r="P5572" t="str">
        <f t="shared" si="2282"/>
        <v>NIL</v>
      </c>
      <c r="Q5572" t="str">
        <f t="shared" si="2282"/>
        <v>NIL</v>
      </c>
      <c r="R5572" t="str">
        <f t="shared" si="2272"/>
        <v>Accepted</v>
      </c>
      <c r="S5572" t="str">
        <f t="shared" si="2261"/>
        <v>Approved</v>
      </c>
      <c r="T5572" t="str">
        <f t="shared" si="2273"/>
        <v>10.20.8.188</v>
      </c>
      <c r="U5572" t="str">
        <f t="shared" si="2262"/>
        <v>AZRAD UMAR BIN SHAARI</v>
      </c>
      <c r="V5572" t="str">
        <f t="shared" si="2263"/>
        <v>FARHANA BINTI MUSTAPA</v>
      </c>
      <c r="W5572" t="str">
        <f t="shared" si="2264"/>
        <v>04-08-2020</v>
      </c>
      <c r="X5572" t="str">
        <f t="shared" si="2265"/>
        <v>RAZIMAH ANSAR AHMAD</v>
      </c>
      <c r="Y5572" t="str">
        <f t="shared" si="2266"/>
        <v>04-08-2020</v>
      </c>
      <c r="Z5572" t="str">
        <f>"COS10200804 3582"</f>
        <v>COS10200804 3582</v>
      </c>
    </row>
    <row r="5573" spans="1:26" x14ac:dyDescent="0.25">
      <c r="A5573" t="str">
        <f t="shared" si="2278"/>
        <v>04-08-2020 12:45:31</v>
      </c>
      <c r="B5573" t="str">
        <f>"0000805351"</f>
        <v>0000805351</v>
      </c>
      <c r="C5573" t="str">
        <f t="shared" si="2279"/>
        <v>0000805170</v>
      </c>
      <c r="D5573" t="str">
        <f t="shared" si="2256"/>
        <v>73185</v>
      </c>
      <c r="E5573" t="str">
        <f t="shared" si="2257"/>
        <v>KFH-OPERATIONS DEPARTMENT</v>
      </c>
      <c r="F5573" t="str">
        <f t="shared" si="2258"/>
        <v>IBG</v>
      </c>
      <c r="G5573" t="str">
        <f t="shared" si="2269"/>
        <v>Refund COSHARE 10</v>
      </c>
      <c r="H5573" s="2">
        <v>310.60000000000002</v>
      </c>
      <c r="I5573" t="str">
        <f>"SITI NURHUDA BINTI MD JOHARI"</f>
        <v>SITI NURHUDA BINTI MD JOHARI</v>
      </c>
      <c r="J5573" t="str">
        <f t="shared" si="2280"/>
        <v>CIMB BANK / CIMB ISLAMIC BANK</v>
      </c>
      <c r="K5573" t="str">
        <f>"06120045011525"</f>
        <v>06120045011525</v>
      </c>
      <c r="L5573" t="str">
        <f t="shared" si="2281"/>
        <v>04-08-2020</v>
      </c>
      <c r="M5573" t="str">
        <f t="shared" si="2281"/>
        <v>04-08-2020</v>
      </c>
      <c r="N5573" t="str">
        <f t="shared" si="2259"/>
        <v>001105018356</v>
      </c>
      <c r="O5573" t="str">
        <f t="shared" si="2260"/>
        <v>MYR</v>
      </c>
      <c r="P5573" t="str">
        <f t="shared" si="2282"/>
        <v>NIL</v>
      </c>
      <c r="Q5573" t="str">
        <f t="shared" si="2282"/>
        <v>NIL</v>
      </c>
      <c r="R5573" t="str">
        <f t="shared" si="2272"/>
        <v>Accepted</v>
      </c>
      <c r="S5573" t="str">
        <f t="shared" si="2261"/>
        <v>Approved</v>
      </c>
      <c r="T5573" t="str">
        <f t="shared" si="2273"/>
        <v>10.20.8.188</v>
      </c>
      <c r="U5573" t="str">
        <f t="shared" si="2262"/>
        <v>AZRAD UMAR BIN SHAARI</v>
      </c>
      <c r="V5573" t="str">
        <f t="shared" si="2263"/>
        <v>FARHANA BINTI MUSTAPA</v>
      </c>
      <c r="W5573" t="str">
        <f t="shared" si="2264"/>
        <v>04-08-2020</v>
      </c>
      <c r="X5573" t="str">
        <f t="shared" si="2265"/>
        <v>RAZIMAH ANSAR AHMAD</v>
      </c>
      <c r="Y5573" t="str">
        <f t="shared" si="2266"/>
        <v>04-08-2020</v>
      </c>
      <c r="Z5573" t="str">
        <f>"COS10200804 3581"</f>
        <v>COS10200804 3581</v>
      </c>
    </row>
    <row r="5574" spans="1:26" x14ac:dyDescent="0.25">
      <c r="A5574" t="str">
        <f t="shared" si="2278"/>
        <v>04-08-2020 12:45:31</v>
      </c>
      <c r="B5574" t="str">
        <f>"0000805350"</f>
        <v>0000805350</v>
      </c>
      <c r="C5574" t="str">
        <f t="shared" si="2279"/>
        <v>0000805170</v>
      </c>
      <c r="D5574" t="str">
        <f t="shared" si="2256"/>
        <v>73185</v>
      </c>
      <c r="E5574" t="str">
        <f t="shared" si="2257"/>
        <v>KFH-OPERATIONS DEPARTMENT</v>
      </c>
      <c r="F5574" t="str">
        <f t="shared" si="2258"/>
        <v>IBG</v>
      </c>
      <c r="G5574" t="str">
        <f t="shared" si="2269"/>
        <v>Refund COSHARE 10</v>
      </c>
      <c r="H5574" s="2">
        <v>147.35</v>
      </c>
      <c r="I5574" t="str">
        <f>"SITI NURASIAH BINTI WAHID"</f>
        <v>SITI NURASIAH BINTI WAHID</v>
      </c>
      <c r="J5574" t="str">
        <f t="shared" si="2280"/>
        <v>CIMB BANK / CIMB ISLAMIC BANK</v>
      </c>
      <c r="K5574" t="str">
        <f>"12290097346529"</f>
        <v>12290097346529</v>
      </c>
      <c r="L5574" t="str">
        <f t="shared" si="2281"/>
        <v>04-08-2020</v>
      </c>
      <c r="M5574" t="str">
        <f t="shared" si="2281"/>
        <v>04-08-2020</v>
      </c>
      <c r="N5574" t="str">
        <f t="shared" si="2259"/>
        <v>001105018356</v>
      </c>
      <c r="O5574" t="str">
        <f t="shared" si="2260"/>
        <v>MYR</v>
      </c>
      <c r="P5574" t="str">
        <f t="shared" si="2282"/>
        <v>NIL</v>
      </c>
      <c r="Q5574" t="str">
        <f t="shared" si="2282"/>
        <v>NIL</v>
      </c>
      <c r="R5574" t="str">
        <f t="shared" si="2272"/>
        <v>Accepted</v>
      </c>
      <c r="S5574" t="str">
        <f t="shared" si="2261"/>
        <v>Approved</v>
      </c>
      <c r="T5574" t="str">
        <f t="shared" si="2273"/>
        <v>10.20.8.188</v>
      </c>
      <c r="U5574" t="str">
        <f t="shared" si="2262"/>
        <v>AZRAD UMAR BIN SHAARI</v>
      </c>
      <c r="V5574" t="str">
        <f t="shared" si="2263"/>
        <v>FARHANA BINTI MUSTAPA</v>
      </c>
      <c r="W5574" t="str">
        <f t="shared" si="2264"/>
        <v>04-08-2020</v>
      </c>
      <c r="X5574" t="str">
        <f t="shared" si="2265"/>
        <v>RAZIMAH ANSAR AHMAD</v>
      </c>
      <c r="Y5574" t="str">
        <f t="shared" si="2266"/>
        <v>04-08-2020</v>
      </c>
      <c r="Z5574" t="str">
        <f>"COS10200804 3580"</f>
        <v>COS10200804 3580</v>
      </c>
    </row>
    <row r="5575" spans="1:26" x14ac:dyDescent="0.25">
      <c r="A5575" t="str">
        <f t="shared" si="2278"/>
        <v>04-08-2020 12:45:31</v>
      </c>
      <c r="B5575" t="str">
        <f>"0000805349"</f>
        <v>0000805349</v>
      </c>
      <c r="C5575" t="str">
        <f t="shared" si="2279"/>
        <v>0000805170</v>
      </c>
      <c r="D5575" t="str">
        <f t="shared" ref="D5575:D5638" si="2283">"73185"</f>
        <v>73185</v>
      </c>
      <c r="E5575" t="str">
        <f t="shared" ref="E5575:E5638" si="2284">"KFH-OPERATIONS DEPARTMENT"</f>
        <v>KFH-OPERATIONS DEPARTMENT</v>
      </c>
      <c r="F5575" t="str">
        <f t="shared" ref="F5575:F5638" si="2285">"IBG"</f>
        <v>IBG</v>
      </c>
      <c r="G5575" t="str">
        <f t="shared" si="2269"/>
        <v>Refund COSHARE 10</v>
      </c>
      <c r="H5575" s="2">
        <v>251.85</v>
      </c>
      <c r="I5575" t="str">
        <f>"SITI NURAIHAN BINTI NORDIN"</f>
        <v>SITI NURAIHAN BINTI NORDIN</v>
      </c>
      <c r="J5575" t="str">
        <f t="shared" si="2280"/>
        <v>CIMB BANK / CIMB ISLAMIC BANK</v>
      </c>
      <c r="K5575" t="str">
        <f>"12050000405201"</f>
        <v>12050000405201</v>
      </c>
      <c r="L5575" t="str">
        <f t="shared" si="2281"/>
        <v>04-08-2020</v>
      </c>
      <c r="M5575" t="str">
        <f t="shared" si="2281"/>
        <v>04-08-2020</v>
      </c>
      <c r="N5575" t="str">
        <f t="shared" ref="N5575:N5638" si="2286">"001105018356"</f>
        <v>001105018356</v>
      </c>
      <c r="O5575" t="str">
        <f t="shared" ref="O5575:O5638" si="2287">"MYR"</f>
        <v>MYR</v>
      </c>
      <c r="P5575" t="str">
        <f t="shared" si="2282"/>
        <v>NIL</v>
      </c>
      <c r="Q5575" t="str">
        <f t="shared" si="2282"/>
        <v>NIL</v>
      </c>
      <c r="R5575" t="str">
        <f t="shared" si="2272"/>
        <v>Accepted</v>
      </c>
      <c r="S5575" t="str">
        <f t="shared" ref="S5575:S5638" si="2288">"Approved"</f>
        <v>Approved</v>
      </c>
      <c r="T5575" t="str">
        <f t="shared" si="2273"/>
        <v>10.20.8.188</v>
      </c>
      <c r="U5575" t="str">
        <f t="shared" ref="U5575:U5638" si="2289">"AZRAD UMAR BIN SHAARI"</f>
        <v>AZRAD UMAR BIN SHAARI</v>
      </c>
      <c r="V5575" t="str">
        <f t="shared" ref="V5575:V5638" si="2290">"FARHANA BINTI MUSTAPA"</f>
        <v>FARHANA BINTI MUSTAPA</v>
      </c>
      <c r="W5575" t="str">
        <f t="shared" ref="W5575:W5638" si="2291">"04-08-2020"</f>
        <v>04-08-2020</v>
      </c>
      <c r="X5575" t="str">
        <f t="shared" ref="X5575:X5638" si="2292">"RAZIMAH ANSAR AHMAD"</f>
        <v>RAZIMAH ANSAR AHMAD</v>
      </c>
      <c r="Y5575" t="str">
        <f t="shared" ref="Y5575:Y5638" si="2293">"04-08-2020"</f>
        <v>04-08-2020</v>
      </c>
      <c r="Z5575" t="str">
        <f>"COS10200804 3579"</f>
        <v>COS10200804 3579</v>
      </c>
    </row>
    <row r="5576" spans="1:26" x14ac:dyDescent="0.25">
      <c r="A5576" t="str">
        <f t="shared" si="2278"/>
        <v>04-08-2020 12:45:31</v>
      </c>
      <c r="B5576" t="str">
        <f>"0000805348"</f>
        <v>0000805348</v>
      </c>
      <c r="C5576" t="str">
        <f t="shared" si="2279"/>
        <v>0000805170</v>
      </c>
      <c r="D5576" t="str">
        <f t="shared" si="2283"/>
        <v>73185</v>
      </c>
      <c r="E5576" t="str">
        <f t="shared" si="2284"/>
        <v>KFH-OPERATIONS DEPARTMENT</v>
      </c>
      <c r="F5576" t="str">
        <f t="shared" si="2285"/>
        <v>IBG</v>
      </c>
      <c r="G5576" t="str">
        <f t="shared" si="2269"/>
        <v>Refund COSHARE 10</v>
      </c>
      <c r="H5576" s="2">
        <v>236</v>
      </c>
      <c r="I5576" t="str">
        <f>"SITI NUR ARTIKAH BINTI ABDULLAH"</f>
        <v>SITI NUR ARTIKAH BINTI ABDULLAH</v>
      </c>
      <c r="J5576" t="str">
        <f t="shared" si="2280"/>
        <v>CIMB BANK / CIMB ISLAMIC BANK</v>
      </c>
      <c r="K5576" t="str">
        <f>"7031625957"</f>
        <v>7031625957</v>
      </c>
      <c r="L5576" t="str">
        <f t="shared" si="2281"/>
        <v>04-08-2020</v>
      </c>
      <c r="M5576" t="str">
        <f t="shared" si="2281"/>
        <v>04-08-2020</v>
      </c>
      <c r="N5576" t="str">
        <f t="shared" si="2286"/>
        <v>001105018356</v>
      </c>
      <c r="O5576" t="str">
        <f t="shared" si="2287"/>
        <v>MYR</v>
      </c>
      <c r="P5576" t="str">
        <f t="shared" si="2282"/>
        <v>NIL</v>
      </c>
      <c r="Q5576" t="str">
        <f t="shared" si="2282"/>
        <v>NIL</v>
      </c>
      <c r="R5576" t="str">
        <f t="shared" si="2272"/>
        <v>Accepted</v>
      </c>
      <c r="S5576" t="str">
        <f t="shared" si="2288"/>
        <v>Approved</v>
      </c>
      <c r="T5576" t="str">
        <f t="shared" si="2273"/>
        <v>10.20.8.188</v>
      </c>
      <c r="U5576" t="str">
        <f t="shared" si="2289"/>
        <v>AZRAD UMAR BIN SHAARI</v>
      </c>
      <c r="V5576" t="str">
        <f t="shared" si="2290"/>
        <v>FARHANA BINTI MUSTAPA</v>
      </c>
      <c r="W5576" t="str">
        <f t="shared" si="2291"/>
        <v>04-08-2020</v>
      </c>
      <c r="X5576" t="str">
        <f t="shared" si="2292"/>
        <v>RAZIMAH ANSAR AHMAD</v>
      </c>
      <c r="Y5576" t="str">
        <f t="shared" si="2293"/>
        <v>04-08-2020</v>
      </c>
      <c r="Z5576" t="str">
        <f>"COS10200804 3578"</f>
        <v>COS10200804 3578</v>
      </c>
    </row>
    <row r="5577" spans="1:26" x14ac:dyDescent="0.25">
      <c r="A5577" t="str">
        <f t="shared" si="2278"/>
        <v>04-08-2020 12:45:31</v>
      </c>
      <c r="B5577" t="str">
        <f>"0000805347"</f>
        <v>0000805347</v>
      </c>
      <c r="C5577" t="str">
        <f t="shared" si="2279"/>
        <v>0000805170</v>
      </c>
      <c r="D5577" t="str">
        <f t="shared" si="2283"/>
        <v>73185</v>
      </c>
      <c r="E5577" t="str">
        <f t="shared" si="2284"/>
        <v>KFH-OPERATIONS DEPARTMENT</v>
      </c>
      <c r="F5577" t="str">
        <f t="shared" si="2285"/>
        <v>IBG</v>
      </c>
      <c r="G5577" t="str">
        <f t="shared" si="2269"/>
        <v>Refund COSHARE 10</v>
      </c>
      <c r="H5577" s="2">
        <v>361</v>
      </c>
      <c r="I5577" t="str">
        <f>"SITI NORIHAN BINTI ISMAIL"</f>
        <v>SITI NORIHAN BINTI ISMAIL</v>
      </c>
      <c r="J5577" t="str">
        <f t="shared" si="2280"/>
        <v>CIMB BANK / CIMB ISLAMIC BANK</v>
      </c>
      <c r="K5577" t="str">
        <f>"09020124379521"</f>
        <v>09020124379521</v>
      </c>
      <c r="L5577" t="str">
        <f t="shared" si="2281"/>
        <v>04-08-2020</v>
      </c>
      <c r="M5577" t="str">
        <f t="shared" si="2281"/>
        <v>04-08-2020</v>
      </c>
      <c r="N5577" t="str">
        <f t="shared" si="2286"/>
        <v>001105018356</v>
      </c>
      <c r="O5577" t="str">
        <f t="shared" si="2287"/>
        <v>MYR</v>
      </c>
      <c r="P5577" t="str">
        <f t="shared" si="2282"/>
        <v>NIL</v>
      </c>
      <c r="Q5577" t="str">
        <f t="shared" si="2282"/>
        <v>NIL</v>
      </c>
      <c r="R5577" t="str">
        <f t="shared" si="2272"/>
        <v>Accepted</v>
      </c>
      <c r="S5577" t="str">
        <f t="shared" si="2288"/>
        <v>Approved</v>
      </c>
      <c r="T5577" t="str">
        <f t="shared" si="2273"/>
        <v>10.20.8.188</v>
      </c>
      <c r="U5577" t="str">
        <f t="shared" si="2289"/>
        <v>AZRAD UMAR BIN SHAARI</v>
      </c>
      <c r="V5577" t="str">
        <f t="shared" si="2290"/>
        <v>FARHANA BINTI MUSTAPA</v>
      </c>
      <c r="W5577" t="str">
        <f t="shared" si="2291"/>
        <v>04-08-2020</v>
      </c>
      <c r="X5577" t="str">
        <f t="shared" si="2292"/>
        <v>RAZIMAH ANSAR AHMAD</v>
      </c>
      <c r="Y5577" t="str">
        <f t="shared" si="2293"/>
        <v>04-08-2020</v>
      </c>
      <c r="Z5577" t="str">
        <f>"COS10200804 3577"</f>
        <v>COS10200804 3577</v>
      </c>
    </row>
    <row r="5578" spans="1:26" x14ac:dyDescent="0.25">
      <c r="A5578" t="str">
        <f t="shared" si="2278"/>
        <v>04-08-2020 12:45:31</v>
      </c>
      <c r="B5578" t="str">
        <f>"0000805346"</f>
        <v>0000805346</v>
      </c>
      <c r="C5578" t="str">
        <f t="shared" si="2279"/>
        <v>0000805170</v>
      </c>
      <c r="D5578" t="str">
        <f t="shared" si="2283"/>
        <v>73185</v>
      </c>
      <c r="E5578" t="str">
        <f t="shared" si="2284"/>
        <v>KFH-OPERATIONS DEPARTMENT</v>
      </c>
      <c r="F5578" t="str">
        <f t="shared" si="2285"/>
        <v>IBG</v>
      </c>
      <c r="G5578" t="str">
        <f t="shared" si="2269"/>
        <v>Refund COSHARE 10</v>
      </c>
      <c r="H5578" s="2">
        <v>294.7</v>
      </c>
      <c r="I5578" t="str">
        <f>"SITI NOREHAN BINTI MOHD ROSLI"</f>
        <v>SITI NOREHAN BINTI MOHD ROSLI</v>
      </c>
      <c r="J5578" t="str">
        <f t="shared" si="2280"/>
        <v>CIMB BANK / CIMB ISLAMIC BANK</v>
      </c>
      <c r="K5578" t="str">
        <f>"7051996831"</f>
        <v>7051996831</v>
      </c>
      <c r="L5578" t="str">
        <f t="shared" si="2281"/>
        <v>04-08-2020</v>
      </c>
      <c r="M5578" t="str">
        <f t="shared" si="2281"/>
        <v>04-08-2020</v>
      </c>
      <c r="N5578" t="str">
        <f t="shared" si="2286"/>
        <v>001105018356</v>
      </c>
      <c r="O5578" t="str">
        <f t="shared" si="2287"/>
        <v>MYR</v>
      </c>
      <c r="P5578" t="str">
        <f t="shared" si="2282"/>
        <v>NIL</v>
      </c>
      <c r="Q5578" t="str">
        <f t="shared" si="2282"/>
        <v>NIL</v>
      </c>
      <c r="R5578" t="str">
        <f t="shared" si="2272"/>
        <v>Accepted</v>
      </c>
      <c r="S5578" t="str">
        <f t="shared" si="2288"/>
        <v>Approved</v>
      </c>
      <c r="T5578" t="str">
        <f t="shared" si="2273"/>
        <v>10.20.8.188</v>
      </c>
      <c r="U5578" t="str">
        <f t="shared" si="2289"/>
        <v>AZRAD UMAR BIN SHAARI</v>
      </c>
      <c r="V5578" t="str">
        <f t="shared" si="2290"/>
        <v>FARHANA BINTI MUSTAPA</v>
      </c>
      <c r="W5578" t="str">
        <f t="shared" si="2291"/>
        <v>04-08-2020</v>
      </c>
      <c r="X5578" t="str">
        <f t="shared" si="2292"/>
        <v>RAZIMAH ANSAR AHMAD</v>
      </c>
      <c r="Y5578" t="str">
        <f t="shared" si="2293"/>
        <v>04-08-2020</v>
      </c>
      <c r="Z5578" t="str">
        <f>"COS10200804 3576"</f>
        <v>COS10200804 3576</v>
      </c>
    </row>
    <row r="5579" spans="1:26" x14ac:dyDescent="0.25">
      <c r="A5579" t="str">
        <f t="shared" si="2278"/>
        <v>04-08-2020 12:45:31</v>
      </c>
      <c r="B5579" t="str">
        <f>"0000805345"</f>
        <v>0000805345</v>
      </c>
      <c r="C5579" t="str">
        <f t="shared" si="2279"/>
        <v>0000805170</v>
      </c>
      <c r="D5579" t="str">
        <f t="shared" si="2283"/>
        <v>73185</v>
      </c>
      <c r="E5579" t="str">
        <f t="shared" si="2284"/>
        <v>KFH-OPERATIONS DEPARTMENT</v>
      </c>
      <c r="F5579" t="str">
        <f t="shared" si="2285"/>
        <v>IBG</v>
      </c>
      <c r="G5579" t="str">
        <f t="shared" si="2269"/>
        <v>Refund COSHARE 10</v>
      </c>
      <c r="H5579" s="2">
        <v>167.9</v>
      </c>
      <c r="I5579" t="str">
        <f>"SITI NORAZILAWATI  SNORAZILA BT ARSHAD"</f>
        <v>SITI NORAZILAWATI  SNORAZILA BT ARSHAD</v>
      </c>
      <c r="J5579" t="str">
        <f t="shared" si="2280"/>
        <v>CIMB BANK / CIMB ISLAMIC BANK</v>
      </c>
      <c r="K5579" t="str">
        <f>"14230020939527"</f>
        <v>14230020939527</v>
      </c>
      <c r="L5579" t="str">
        <f t="shared" si="2281"/>
        <v>04-08-2020</v>
      </c>
      <c r="M5579" t="str">
        <f t="shared" si="2281"/>
        <v>04-08-2020</v>
      </c>
      <c r="N5579" t="str">
        <f t="shared" si="2286"/>
        <v>001105018356</v>
      </c>
      <c r="O5579" t="str">
        <f t="shared" si="2287"/>
        <v>MYR</v>
      </c>
      <c r="P5579" t="str">
        <f t="shared" si="2282"/>
        <v>NIL</v>
      </c>
      <c r="Q5579" t="str">
        <f t="shared" si="2282"/>
        <v>NIL</v>
      </c>
      <c r="R5579" t="str">
        <f t="shared" si="2272"/>
        <v>Accepted</v>
      </c>
      <c r="S5579" t="str">
        <f t="shared" si="2288"/>
        <v>Approved</v>
      </c>
      <c r="T5579" t="str">
        <f t="shared" si="2273"/>
        <v>10.20.8.188</v>
      </c>
      <c r="U5579" t="str">
        <f t="shared" si="2289"/>
        <v>AZRAD UMAR BIN SHAARI</v>
      </c>
      <c r="V5579" t="str">
        <f t="shared" si="2290"/>
        <v>FARHANA BINTI MUSTAPA</v>
      </c>
      <c r="W5579" t="str">
        <f t="shared" si="2291"/>
        <v>04-08-2020</v>
      </c>
      <c r="X5579" t="str">
        <f t="shared" si="2292"/>
        <v>RAZIMAH ANSAR AHMAD</v>
      </c>
      <c r="Y5579" t="str">
        <f t="shared" si="2293"/>
        <v>04-08-2020</v>
      </c>
      <c r="Z5579" t="str">
        <f>"COS10200804 3575"</f>
        <v>COS10200804 3575</v>
      </c>
    </row>
    <row r="5580" spans="1:26" x14ac:dyDescent="0.25">
      <c r="A5580" t="str">
        <f t="shared" si="2278"/>
        <v>04-08-2020 12:45:31</v>
      </c>
      <c r="B5580" t="str">
        <f>"0000805344"</f>
        <v>0000805344</v>
      </c>
      <c r="C5580" t="str">
        <f t="shared" si="2279"/>
        <v>0000805170</v>
      </c>
      <c r="D5580" t="str">
        <f t="shared" si="2283"/>
        <v>73185</v>
      </c>
      <c r="E5580" t="str">
        <f t="shared" si="2284"/>
        <v>KFH-OPERATIONS DEPARTMENT</v>
      </c>
      <c r="F5580" t="str">
        <f t="shared" si="2285"/>
        <v>IBG</v>
      </c>
      <c r="G5580" t="str">
        <f t="shared" ref="G5580:G5643" si="2294">"Refund COSHARE 10"</f>
        <v>Refund COSHARE 10</v>
      </c>
      <c r="H5580" s="2">
        <v>196.5</v>
      </c>
      <c r="I5580" t="str">
        <f>"SITI NORASIAH BINTI MAT NAWI"</f>
        <v>SITI NORASIAH BINTI MAT NAWI</v>
      </c>
      <c r="J5580" t="str">
        <f t="shared" si="2280"/>
        <v>CIMB BANK / CIMB ISLAMIC BANK</v>
      </c>
      <c r="K5580" t="str">
        <f>"12260064356520"</f>
        <v>12260064356520</v>
      </c>
      <c r="L5580" t="str">
        <f t="shared" si="2281"/>
        <v>04-08-2020</v>
      </c>
      <c r="M5580" t="str">
        <f t="shared" si="2281"/>
        <v>04-08-2020</v>
      </c>
      <c r="N5580" t="str">
        <f t="shared" si="2286"/>
        <v>001105018356</v>
      </c>
      <c r="O5580" t="str">
        <f t="shared" si="2287"/>
        <v>MYR</v>
      </c>
      <c r="P5580" t="str">
        <f t="shared" si="2282"/>
        <v>NIL</v>
      </c>
      <c r="Q5580" t="str">
        <f t="shared" si="2282"/>
        <v>NIL</v>
      </c>
      <c r="R5580" t="str">
        <f t="shared" si="2272"/>
        <v>Accepted</v>
      </c>
      <c r="S5580" t="str">
        <f t="shared" si="2288"/>
        <v>Approved</v>
      </c>
      <c r="T5580" t="str">
        <f t="shared" si="2273"/>
        <v>10.20.8.188</v>
      </c>
      <c r="U5580" t="str">
        <f t="shared" si="2289"/>
        <v>AZRAD UMAR BIN SHAARI</v>
      </c>
      <c r="V5580" t="str">
        <f t="shared" si="2290"/>
        <v>FARHANA BINTI MUSTAPA</v>
      </c>
      <c r="W5580" t="str">
        <f t="shared" si="2291"/>
        <v>04-08-2020</v>
      </c>
      <c r="X5580" t="str">
        <f t="shared" si="2292"/>
        <v>RAZIMAH ANSAR AHMAD</v>
      </c>
      <c r="Y5580" t="str">
        <f t="shared" si="2293"/>
        <v>04-08-2020</v>
      </c>
      <c r="Z5580" t="str">
        <f>"COS10200804 3574"</f>
        <v>COS10200804 3574</v>
      </c>
    </row>
    <row r="5581" spans="1:26" x14ac:dyDescent="0.25">
      <c r="A5581" t="str">
        <f t="shared" si="2278"/>
        <v>04-08-2020 12:45:31</v>
      </c>
      <c r="B5581" t="str">
        <f>"0000805343"</f>
        <v>0000805343</v>
      </c>
      <c r="C5581" t="str">
        <f t="shared" si="2279"/>
        <v>0000805170</v>
      </c>
      <c r="D5581" t="str">
        <f t="shared" si="2283"/>
        <v>73185</v>
      </c>
      <c r="E5581" t="str">
        <f t="shared" si="2284"/>
        <v>KFH-OPERATIONS DEPARTMENT</v>
      </c>
      <c r="F5581" t="str">
        <f t="shared" si="2285"/>
        <v>IBG</v>
      </c>
      <c r="G5581" t="str">
        <f t="shared" si="2294"/>
        <v>Refund COSHARE 10</v>
      </c>
      <c r="H5581" s="2">
        <v>84</v>
      </c>
      <c r="I5581" t="str">
        <f>"SITI NOR HAFIZAH BINTI AZAHARI"</f>
        <v>SITI NOR HAFIZAH BINTI AZAHARI</v>
      </c>
      <c r="J5581" t="str">
        <f t="shared" si="2280"/>
        <v>CIMB BANK / CIMB ISLAMIC BANK</v>
      </c>
      <c r="K5581" t="str">
        <f>"03010087389528"</f>
        <v>03010087389528</v>
      </c>
      <c r="L5581" t="str">
        <f t="shared" si="2281"/>
        <v>04-08-2020</v>
      </c>
      <c r="M5581" t="str">
        <f t="shared" si="2281"/>
        <v>04-08-2020</v>
      </c>
      <c r="N5581" t="str">
        <f t="shared" si="2286"/>
        <v>001105018356</v>
      </c>
      <c r="O5581" t="str">
        <f t="shared" si="2287"/>
        <v>MYR</v>
      </c>
      <c r="P5581" t="str">
        <f t="shared" si="2282"/>
        <v>NIL</v>
      </c>
      <c r="Q5581" t="str">
        <f t="shared" si="2282"/>
        <v>NIL</v>
      </c>
      <c r="R5581" t="str">
        <f t="shared" si="2272"/>
        <v>Accepted</v>
      </c>
      <c r="S5581" t="str">
        <f t="shared" si="2288"/>
        <v>Approved</v>
      </c>
      <c r="T5581" t="str">
        <f t="shared" si="2273"/>
        <v>10.20.8.188</v>
      </c>
      <c r="U5581" t="str">
        <f t="shared" si="2289"/>
        <v>AZRAD UMAR BIN SHAARI</v>
      </c>
      <c r="V5581" t="str">
        <f t="shared" si="2290"/>
        <v>FARHANA BINTI MUSTAPA</v>
      </c>
      <c r="W5581" t="str">
        <f t="shared" si="2291"/>
        <v>04-08-2020</v>
      </c>
      <c r="X5581" t="str">
        <f t="shared" si="2292"/>
        <v>RAZIMAH ANSAR AHMAD</v>
      </c>
      <c r="Y5581" t="str">
        <f t="shared" si="2293"/>
        <v>04-08-2020</v>
      </c>
      <c r="Z5581" t="str">
        <f>"COS10200804 3573"</f>
        <v>COS10200804 3573</v>
      </c>
    </row>
    <row r="5582" spans="1:26" x14ac:dyDescent="0.25">
      <c r="A5582" t="str">
        <f t="shared" si="2278"/>
        <v>04-08-2020 12:45:31</v>
      </c>
      <c r="B5582" t="str">
        <f>"0000805342"</f>
        <v>0000805342</v>
      </c>
      <c r="C5582" t="str">
        <f t="shared" si="2279"/>
        <v>0000805170</v>
      </c>
      <c r="D5582" t="str">
        <f t="shared" si="2283"/>
        <v>73185</v>
      </c>
      <c r="E5582" t="str">
        <f t="shared" si="2284"/>
        <v>KFH-OPERATIONS DEPARTMENT</v>
      </c>
      <c r="F5582" t="str">
        <f t="shared" si="2285"/>
        <v>IBG</v>
      </c>
      <c r="G5582" t="str">
        <f t="shared" si="2294"/>
        <v>Refund COSHARE 10</v>
      </c>
      <c r="H5582" s="2">
        <v>366</v>
      </c>
      <c r="I5582" t="str">
        <f>"SITI NOR AISAH BINTI ABD AZIZ"</f>
        <v>SITI NOR AISAH BINTI ABD AZIZ</v>
      </c>
      <c r="J5582" t="str">
        <f t="shared" si="2280"/>
        <v>CIMB BANK / CIMB ISLAMIC BANK</v>
      </c>
      <c r="K5582" t="str">
        <f>"7608425706"</f>
        <v>7608425706</v>
      </c>
      <c r="L5582" t="str">
        <f t="shared" si="2281"/>
        <v>04-08-2020</v>
      </c>
      <c r="M5582" t="str">
        <f t="shared" si="2281"/>
        <v>04-08-2020</v>
      </c>
      <c r="N5582" t="str">
        <f t="shared" si="2286"/>
        <v>001105018356</v>
      </c>
      <c r="O5582" t="str">
        <f t="shared" si="2287"/>
        <v>MYR</v>
      </c>
      <c r="P5582" t="str">
        <f t="shared" si="2282"/>
        <v>NIL</v>
      </c>
      <c r="Q5582" t="str">
        <f t="shared" si="2282"/>
        <v>NIL</v>
      </c>
      <c r="R5582" t="str">
        <f t="shared" si="2272"/>
        <v>Accepted</v>
      </c>
      <c r="S5582" t="str">
        <f t="shared" si="2288"/>
        <v>Approved</v>
      </c>
      <c r="T5582" t="str">
        <f t="shared" si="2273"/>
        <v>10.20.8.188</v>
      </c>
      <c r="U5582" t="str">
        <f t="shared" si="2289"/>
        <v>AZRAD UMAR BIN SHAARI</v>
      </c>
      <c r="V5582" t="str">
        <f t="shared" si="2290"/>
        <v>FARHANA BINTI MUSTAPA</v>
      </c>
      <c r="W5582" t="str">
        <f t="shared" si="2291"/>
        <v>04-08-2020</v>
      </c>
      <c r="X5582" t="str">
        <f t="shared" si="2292"/>
        <v>RAZIMAH ANSAR AHMAD</v>
      </c>
      <c r="Y5582" t="str">
        <f t="shared" si="2293"/>
        <v>04-08-2020</v>
      </c>
      <c r="Z5582" t="str">
        <f>"COS10200804 3572"</f>
        <v>COS10200804 3572</v>
      </c>
    </row>
    <row r="5583" spans="1:26" x14ac:dyDescent="0.25">
      <c r="A5583" t="str">
        <f t="shared" si="2278"/>
        <v>04-08-2020 12:45:31</v>
      </c>
      <c r="B5583" t="str">
        <f>"0000805341"</f>
        <v>0000805341</v>
      </c>
      <c r="C5583" t="str">
        <f t="shared" si="2279"/>
        <v>0000805170</v>
      </c>
      <c r="D5583" t="str">
        <f t="shared" si="2283"/>
        <v>73185</v>
      </c>
      <c r="E5583" t="str">
        <f t="shared" si="2284"/>
        <v>KFH-OPERATIONS DEPARTMENT</v>
      </c>
      <c r="F5583" t="str">
        <f t="shared" si="2285"/>
        <v>IBG</v>
      </c>
      <c r="G5583" t="str">
        <f t="shared" si="2294"/>
        <v>Refund COSHARE 10</v>
      </c>
      <c r="H5583" s="2">
        <v>109.15</v>
      </c>
      <c r="I5583" t="str">
        <f>"SITI NOOR HANIM BINTI RASULIN"</f>
        <v>SITI NOOR HANIM BINTI RASULIN</v>
      </c>
      <c r="J5583" t="str">
        <f t="shared" si="2280"/>
        <v>CIMB BANK / CIMB ISLAMIC BANK</v>
      </c>
      <c r="K5583" t="str">
        <f>"07140133263524"</f>
        <v>07140133263524</v>
      </c>
      <c r="L5583" t="str">
        <f t="shared" si="2281"/>
        <v>04-08-2020</v>
      </c>
      <c r="M5583" t="str">
        <f t="shared" si="2281"/>
        <v>04-08-2020</v>
      </c>
      <c r="N5583" t="str">
        <f t="shared" si="2286"/>
        <v>001105018356</v>
      </c>
      <c r="O5583" t="str">
        <f t="shared" si="2287"/>
        <v>MYR</v>
      </c>
      <c r="P5583" t="str">
        <f t="shared" si="2282"/>
        <v>NIL</v>
      </c>
      <c r="Q5583" t="str">
        <f t="shared" si="2282"/>
        <v>NIL</v>
      </c>
      <c r="R5583" t="str">
        <f t="shared" si="2272"/>
        <v>Accepted</v>
      </c>
      <c r="S5583" t="str">
        <f t="shared" si="2288"/>
        <v>Approved</v>
      </c>
      <c r="T5583" t="str">
        <f t="shared" si="2273"/>
        <v>10.20.8.188</v>
      </c>
      <c r="U5583" t="str">
        <f t="shared" si="2289"/>
        <v>AZRAD UMAR BIN SHAARI</v>
      </c>
      <c r="V5583" t="str">
        <f t="shared" si="2290"/>
        <v>FARHANA BINTI MUSTAPA</v>
      </c>
      <c r="W5583" t="str">
        <f t="shared" si="2291"/>
        <v>04-08-2020</v>
      </c>
      <c r="X5583" t="str">
        <f t="shared" si="2292"/>
        <v>RAZIMAH ANSAR AHMAD</v>
      </c>
      <c r="Y5583" t="str">
        <f t="shared" si="2293"/>
        <v>04-08-2020</v>
      </c>
      <c r="Z5583" t="str">
        <f>"COS10200804 3571"</f>
        <v>COS10200804 3571</v>
      </c>
    </row>
    <row r="5584" spans="1:26" x14ac:dyDescent="0.25">
      <c r="A5584" t="str">
        <f t="shared" si="2278"/>
        <v>04-08-2020 12:45:31</v>
      </c>
      <c r="B5584" t="str">
        <f>"0000805340"</f>
        <v>0000805340</v>
      </c>
      <c r="C5584" t="str">
        <f t="shared" si="2279"/>
        <v>0000805170</v>
      </c>
      <c r="D5584" t="str">
        <f t="shared" si="2283"/>
        <v>73185</v>
      </c>
      <c r="E5584" t="str">
        <f t="shared" si="2284"/>
        <v>KFH-OPERATIONS DEPARTMENT</v>
      </c>
      <c r="F5584" t="str">
        <f t="shared" si="2285"/>
        <v>IBG</v>
      </c>
      <c r="G5584" t="str">
        <f t="shared" si="2294"/>
        <v>Refund COSHARE 10</v>
      </c>
      <c r="H5584" s="2">
        <v>198</v>
      </c>
      <c r="I5584" t="str">
        <f>"SITI NABIHA BINTI MD REJAB"</f>
        <v>SITI NABIHA BINTI MD REJAB</v>
      </c>
      <c r="J5584" t="str">
        <f t="shared" si="2280"/>
        <v>CIMB BANK / CIMB ISLAMIC BANK</v>
      </c>
      <c r="K5584" t="str">
        <f>"07180087864527"</f>
        <v>07180087864527</v>
      </c>
      <c r="L5584" t="str">
        <f t="shared" si="2281"/>
        <v>04-08-2020</v>
      </c>
      <c r="M5584" t="str">
        <f t="shared" si="2281"/>
        <v>04-08-2020</v>
      </c>
      <c r="N5584" t="str">
        <f t="shared" si="2286"/>
        <v>001105018356</v>
      </c>
      <c r="O5584" t="str">
        <f t="shared" si="2287"/>
        <v>MYR</v>
      </c>
      <c r="P5584" t="str">
        <f t="shared" si="2282"/>
        <v>NIL</v>
      </c>
      <c r="Q5584" t="str">
        <f t="shared" si="2282"/>
        <v>NIL</v>
      </c>
      <c r="R5584" t="str">
        <f t="shared" si="2272"/>
        <v>Accepted</v>
      </c>
      <c r="S5584" t="str">
        <f t="shared" si="2288"/>
        <v>Approved</v>
      </c>
      <c r="T5584" t="str">
        <f t="shared" si="2273"/>
        <v>10.20.8.188</v>
      </c>
      <c r="U5584" t="str">
        <f t="shared" si="2289"/>
        <v>AZRAD UMAR BIN SHAARI</v>
      </c>
      <c r="V5584" t="str">
        <f t="shared" si="2290"/>
        <v>FARHANA BINTI MUSTAPA</v>
      </c>
      <c r="W5584" t="str">
        <f t="shared" si="2291"/>
        <v>04-08-2020</v>
      </c>
      <c r="X5584" t="str">
        <f t="shared" si="2292"/>
        <v>RAZIMAH ANSAR AHMAD</v>
      </c>
      <c r="Y5584" t="str">
        <f t="shared" si="2293"/>
        <v>04-08-2020</v>
      </c>
      <c r="Z5584" t="str">
        <f>"COS10200804 3570"</f>
        <v>COS10200804 3570</v>
      </c>
    </row>
    <row r="5585" spans="1:26" x14ac:dyDescent="0.25">
      <c r="A5585" t="str">
        <f t="shared" si="2278"/>
        <v>04-08-2020 12:45:31</v>
      </c>
      <c r="B5585" t="str">
        <f>"0000805339"</f>
        <v>0000805339</v>
      </c>
      <c r="C5585" t="str">
        <f t="shared" si="2279"/>
        <v>0000805170</v>
      </c>
      <c r="D5585" t="str">
        <f t="shared" si="2283"/>
        <v>73185</v>
      </c>
      <c r="E5585" t="str">
        <f t="shared" si="2284"/>
        <v>KFH-OPERATIONS DEPARTMENT</v>
      </c>
      <c r="F5585" t="str">
        <f t="shared" si="2285"/>
        <v>IBG</v>
      </c>
      <c r="G5585" t="str">
        <f t="shared" si="2294"/>
        <v>Refund COSHARE 10</v>
      </c>
      <c r="H5585" s="2">
        <v>537.29999999999995</v>
      </c>
      <c r="I5585" t="str">
        <f>"SITI MASYELLA BINTI MOKHTARRUDIN"</f>
        <v>SITI MASYELLA BINTI MOKHTARRUDIN</v>
      </c>
      <c r="J5585" t="str">
        <f t="shared" si="2280"/>
        <v>CIMB BANK / CIMB ISLAMIC BANK</v>
      </c>
      <c r="K5585" t="str">
        <f>"14190069842528"</f>
        <v>14190069842528</v>
      </c>
      <c r="L5585" t="str">
        <f t="shared" si="2281"/>
        <v>04-08-2020</v>
      </c>
      <c r="M5585" t="str">
        <f t="shared" si="2281"/>
        <v>04-08-2020</v>
      </c>
      <c r="N5585" t="str">
        <f t="shared" si="2286"/>
        <v>001105018356</v>
      </c>
      <c r="O5585" t="str">
        <f t="shared" si="2287"/>
        <v>MYR</v>
      </c>
      <c r="P5585" t="str">
        <f t="shared" si="2282"/>
        <v>NIL</v>
      </c>
      <c r="Q5585" t="str">
        <f t="shared" si="2282"/>
        <v>NIL</v>
      </c>
      <c r="R5585" t="str">
        <f t="shared" si="2272"/>
        <v>Accepted</v>
      </c>
      <c r="S5585" t="str">
        <f t="shared" si="2288"/>
        <v>Approved</v>
      </c>
      <c r="T5585" t="str">
        <f t="shared" si="2273"/>
        <v>10.20.8.188</v>
      </c>
      <c r="U5585" t="str">
        <f t="shared" si="2289"/>
        <v>AZRAD UMAR BIN SHAARI</v>
      </c>
      <c r="V5585" t="str">
        <f t="shared" si="2290"/>
        <v>FARHANA BINTI MUSTAPA</v>
      </c>
      <c r="W5585" t="str">
        <f t="shared" si="2291"/>
        <v>04-08-2020</v>
      </c>
      <c r="X5585" t="str">
        <f t="shared" si="2292"/>
        <v>RAZIMAH ANSAR AHMAD</v>
      </c>
      <c r="Y5585" t="str">
        <f t="shared" si="2293"/>
        <v>04-08-2020</v>
      </c>
      <c r="Z5585" t="str">
        <f>"COS10200804 3569"</f>
        <v>COS10200804 3569</v>
      </c>
    </row>
    <row r="5586" spans="1:26" x14ac:dyDescent="0.25">
      <c r="A5586" t="str">
        <f t="shared" ref="A5586:A5617" si="2295">"04-08-2020 12:45:31"</f>
        <v>04-08-2020 12:45:31</v>
      </c>
      <c r="B5586" t="str">
        <f>"0000805338"</f>
        <v>0000805338</v>
      </c>
      <c r="C5586" t="str">
        <f t="shared" ref="C5586:C5617" si="2296">"0000805170"</f>
        <v>0000805170</v>
      </c>
      <c r="D5586" t="str">
        <f t="shared" si="2283"/>
        <v>73185</v>
      </c>
      <c r="E5586" t="str">
        <f t="shared" si="2284"/>
        <v>KFH-OPERATIONS DEPARTMENT</v>
      </c>
      <c r="F5586" t="str">
        <f t="shared" si="2285"/>
        <v>IBG</v>
      </c>
      <c r="G5586" t="str">
        <f t="shared" si="2294"/>
        <v>Refund COSHARE 10</v>
      </c>
      <c r="H5586" s="2">
        <v>835</v>
      </c>
      <c r="I5586" t="str">
        <f>"SITI MASPAUN BINTI DAHLAN"</f>
        <v>SITI MASPAUN BINTI DAHLAN</v>
      </c>
      <c r="J5586" t="str">
        <f t="shared" si="2280"/>
        <v>CIMB BANK / CIMB ISLAMIC BANK</v>
      </c>
      <c r="K5586" t="str">
        <f>"11100064478529"</f>
        <v>11100064478529</v>
      </c>
      <c r="L5586" t="str">
        <f t="shared" si="2281"/>
        <v>04-08-2020</v>
      </c>
      <c r="M5586" t="str">
        <f t="shared" si="2281"/>
        <v>04-08-2020</v>
      </c>
      <c r="N5586" t="str">
        <f t="shared" si="2286"/>
        <v>001105018356</v>
      </c>
      <c r="O5586" t="str">
        <f t="shared" si="2287"/>
        <v>MYR</v>
      </c>
      <c r="P5586" t="str">
        <f t="shared" si="2282"/>
        <v>NIL</v>
      </c>
      <c r="Q5586" t="str">
        <f t="shared" si="2282"/>
        <v>NIL</v>
      </c>
      <c r="R5586" t="str">
        <f t="shared" si="2272"/>
        <v>Accepted</v>
      </c>
      <c r="S5586" t="str">
        <f t="shared" si="2288"/>
        <v>Approved</v>
      </c>
      <c r="T5586" t="str">
        <f t="shared" si="2273"/>
        <v>10.20.8.188</v>
      </c>
      <c r="U5586" t="str">
        <f t="shared" si="2289"/>
        <v>AZRAD UMAR BIN SHAARI</v>
      </c>
      <c r="V5586" t="str">
        <f t="shared" si="2290"/>
        <v>FARHANA BINTI MUSTAPA</v>
      </c>
      <c r="W5586" t="str">
        <f t="shared" si="2291"/>
        <v>04-08-2020</v>
      </c>
      <c r="X5586" t="str">
        <f t="shared" si="2292"/>
        <v>RAZIMAH ANSAR AHMAD</v>
      </c>
      <c r="Y5586" t="str">
        <f t="shared" si="2293"/>
        <v>04-08-2020</v>
      </c>
      <c r="Z5586" t="str">
        <f>"COS10200804 3568"</f>
        <v>COS10200804 3568</v>
      </c>
    </row>
    <row r="5587" spans="1:26" x14ac:dyDescent="0.25">
      <c r="A5587" t="str">
        <f t="shared" si="2295"/>
        <v>04-08-2020 12:45:31</v>
      </c>
      <c r="B5587" t="str">
        <f>"0000805337"</f>
        <v>0000805337</v>
      </c>
      <c r="C5587" t="str">
        <f t="shared" si="2296"/>
        <v>0000805170</v>
      </c>
      <c r="D5587" t="str">
        <f t="shared" si="2283"/>
        <v>73185</v>
      </c>
      <c r="E5587" t="str">
        <f t="shared" si="2284"/>
        <v>KFH-OPERATIONS DEPARTMENT</v>
      </c>
      <c r="F5587" t="str">
        <f t="shared" si="2285"/>
        <v>IBG</v>
      </c>
      <c r="G5587" t="str">
        <f t="shared" si="2294"/>
        <v>Refund COSHARE 10</v>
      </c>
      <c r="H5587" s="2">
        <v>147.35</v>
      </c>
      <c r="I5587" t="str">
        <f>"SITI MASNAH BINTI SALEH"</f>
        <v>SITI MASNAH BINTI SALEH</v>
      </c>
      <c r="J5587" t="str">
        <f t="shared" si="2280"/>
        <v>CIMB BANK / CIMB ISLAMIC BANK</v>
      </c>
      <c r="K5587" t="str">
        <f>"15010067476525"</f>
        <v>15010067476525</v>
      </c>
      <c r="L5587" t="str">
        <f t="shared" ref="L5587:M5606" si="2297">"04-08-2020"</f>
        <v>04-08-2020</v>
      </c>
      <c r="M5587" t="str">
        <f t="shared" si="2297"/>
        <v>04-08-2020</v>
      </c>
      <c r="N5587" t="str">
        <f t="shared" si="2286"/>
        <v>001105018356</v>
      </c>
      <c r="O5587" t="str">
        <f t="shared" si="2287"/>
        <v>MYR</v>
      </c>
      <c r="P5587" t="str">
        <f t="shared" ref="P5587:Q5606" si="2298">"NIL"</f>
        <v>NIL</v>
      </c>
      <c r="Q5587" t="str">
        <f t="shared" si="2298"/>
        <v>NIL</v>
      </c>
      <c r="R5587" t="str">
        <f t="shared" si="2272"/>
        <v>Accepted</v>
      </c>
      <c r="S5587" t="str">
        <f t="shared" si="2288"/>
        <v>Approved</v>
      </c>
      <c r="T5587" t="str">
        <f t="shared" si="2273"/>
        <v>10.20.8.188</v>
      </c>
      <c r="U5587" t="str">
        <f t="shared" si="2289"/>
        <v>AZRAD UMAR BIN SHAARI</v>
      </c>
      <c r="V5587" t="str">
        <f t="shared" si="2290"/>
        <v>FARHANA BINTI MUSTAPA</v>
      </c>
      <c r="W5587" t="str">
        <f t="shared" si="2291"/>
        <v>04-08-2020</v>
      </c>
      <c r="X5587" t="str">
        <f t="shared" si="2292"/>
        <v>RAZIMAH ANSAR AHMAD</v>
      </c>
      <c r="Y5587" t="str">
        <f t="shared" si="2293"/>
        <v>04-08-2020</v>
      </c>
      <c r="Z5587" t="str">
        <f>"COS10200804 3567"</f>
        <v>COS10200804 3567</v>
      </c>
    </row>
    <row r="5588" spans="1:26" x14ac:dyDescent="0.25">
      <c r="A5588" t="str">
        <f t="shared" si="2295"/>
        <v>04-08-2020 12:45:31</v>
      </c>
      <c r="B5588" t="str">
        <f>"0000805336"</f>
        <v>0000805336</v>
      </c>
      <c r="C5588" t="str">
        <f t="shared" si="2296"/>
        <v>0000805170</v>
      </c>
      <c r="D5588" t="str">
        <f t="shared" si="2283"/>
        <v>73185</v>
      </c>
      <c r="E5588" t="str">
        <f t="shared" si="2284"/>
        <v>KFH-OPERATIONS DEPARTMENT</v>
      </c>
      <c r="F5588" t="str">
        <f t="shared" si="2285"/>
        <v>IBG</v>
      </c>
      <c r="G5588" t="str">
        <f t="shared" si="2294"/>
        <v>Refund COSHARE 10</v>
      </c>
      <c r="H5588" s="2">
        <v>1436</v>
      </c>
      <c r="I5588" t="str">
        <f>"SITI MARIYAM BINTI ISTAMAR"</f>
        <v>SITI MARIYAM BINTI ISTAMAR</v>
      </c>
      <c r="J5588" t="str">
        <f t="shared" si="2280"/>
        <v>CIMB BANK / CIMB ISLAMIC BANK</v>
      </c>
      <c r="K5588" t="str">
        <f>"7019233790"</f>
        <v>7019233790</v>
      </c>
      <c r="L5588" t="str">
        <f t="shared" si="2297"/>
        <v>04-08-2020</v>
      </c>
      <c r="M5588" t="str">
        <f t="shared" si="2297"/>
        <v>04-08-2020</v>
      </c>
      <c r="N5588" t="str">
        <f t="shared" si="2286"/>
        <v>001105018356</v>
      </c>
      <c r="O5588" t="str">
        <f t="shared" si="2287"/>
        <v>MYR</v>
      </c>
      <c r="P5588" t="str">
        <f t="shared" si="2298"/>
        <v>NIL</v>
      </c>
      <c r="Q5588" t="str">
        <f t="shared" si="2298"/>
        <v>NIL</v>
      </c>
      <c r="R5588" t="str">
        <f t="shared" si="2272"/>
        <v>Accepted</v>
      </c>
      <c r="S5588" t="str">
        <f t="shared" si="2288"/>
        <v>Approved</v>
      </c>
      <c r="T5588" t="str">
        <f t="shared" si="2273"/>
        <v>10.20.8.188</v>
      </c>
      <c r="U5588" t="str">
        <f t="shared" si="2289"/>
        <v>AZRAD UMAR BIN SHAARI</v>
      </c>
      <c r="V5588" t="str">
        <f t="shared" si="2290"/>
        <v>FARHANA BINTI MUSTAPA</v>
      </c>
      <c r="W5588" t="str">
        <f t="shared" si="2291"/>
        <v>04-08-2020</v>
      </c>
      <c r="X5588" t="str">
        <f t="shared" si="2292"/>
        <v>RAZIMAH ANSAR AHMAD</v>
      </c>
      <c r="Y5588" t="str">
        <f t="shared" si="2293"/>
        <v>04-08-2020</v>
      </c>
      <c r="Z5588" t="str">
        <f>"COS10200804 3566"</f>
        <v>COS10200804 3566</v>
      </c>
    </row>
    <row r="5589" spans="1:26" x14ac:dyDescent="0.25">
      <c r="A5589" t="str">
        <f t="shared" si="2295"/>
        <v>04-08-2020 12:45:31</v>
      </c>
      <c r="B5589" t="str">
        <f>"0000805335"</f>
        <v>0000805335</v>
      </c>
      <c r="C5589" t="str">
        <f t="shared" si="2296"/>
        <v>0000805170</v>
      </c>
      <c r="D5589" t="str">
        <f t="shared" si="2283"/>
        <v>73185</v>
      </c>
      <c r="E5589" t="str">
        <f t="shared" si="2284"/>
        <v>KFH-OPERATIONS DEPARTMENT</v>
      </c>
      <c r="F5589" t="str">
        <f t="shared" si="2285"/>
        <v>IBG</v>
      </c>
      <c r="G5589" t="str">
        <f t="shared" si="2294"/>
        <v>Refund COSHARE 10</v>
      </c>
      <c r="H5589" s="2">
        <v>50.4</v>
      </c>
      <c r="I5589" t="str">
        <f>"SITI MARHAINI BINTI MOHTAR"</f>
        <v>SITI MARHAINI BINTI MOHTAR</v>
      </c>
      <c r="J5589" t="str">
        <f t="shared" si="2280"/>
        <v>CIMB BANK / CIMB ISLAMIC BANK</v>
      </c>
      <c r="K5589" t="str">
        <f>"06140012400522"</f>
        <v>06140012400522</v>
      </c>
      <c r="L5589" t="str">
        <f t="shared" si="2297"/>
        <v>04-08-2020</v>
      </c>
      <c r="M5589" t="str">
        <f t="shared" si="2297"/>
        <v>04-08-2020</v>
      </c>
      <c r="N5589" t="str">
        <f t="shared" si="2286"/>
        <v>001105018356</v>
      </c>
      <c r="O5589" t="str">
        <f t="shared" si="2287"/>
        <v>MYR</v>
      </c>
      <c r="P5589" t="str">
        <f t="shared" si="2298"/>
        <v>NIL</v>
      </c>
      <c r="Q5589" t="str">
        <f t="shared" si="2298"/>
        <v>NIL</v>
      </c>
      <c r="R5589" t="str">
        <f t="shared" si="2272"/>
        <v>Accepted</v>
      </c>
      <c r="S5589" t="str">
        <f t="shared" si="2288"/>
        <v>Approved</v>
      </c>
      <c r="T5589" t="str">
        <f t="shared" si="2273"/>
        <v>10.20.8.188</v>
      </c>
      <c r="U5589" t="str">
        <f t="shared" si="2289"/>
        <v>AZRAD UMAR BIN SHAARI</v>
      </c>
      <c r="V5589" t="str">
        <f t="shared" si="2290"/>
        <v>FARHANA BINTI MUSTAPA</v>
      </c>
      <c r="W5589" t="str">
        <f t="shared" si="2291"/>
        <v>04-08-2020</v>
      </c>
      <c r="X5589" t="str">
        <f t="shared" si="2292"/>
        <v>RAZIMAH ANSAR AHMAD</v>
      </c>
      <c r="Y5589" t="str">
        <f t="shared" si="2293"/>
        <v>04-08-2020</v>
      </c>
      <c r="Z5589" t="str">
        <f>"COS10200804 3565"</f>
        <v>COS10200804 3565</v>
      </c>
    </row>
    <row r="5590" spans="1:26" x14ac:dyDescent="0.25">
      <c r="A5590" t="str">
        <f t="shared" si="2295"/>
        <v>04-08-2020 12:45:31</v>
      </c>
      <c r="B5590" t="str">
        <f>"0000805334"</f>
        <v>0000805334</v>
      </c>
      <c r="C5590" t="str">
        <f t="shared" si="2296"/>
        <v>0000805170</v>
      </c>
      <c r="D5590" t="str">
        <f t="shared" si="2283"/>
        <v>73185</v>
      </c>
      <c r="E5590" t="str">
        <f t="shared" si="2284"/>
        <v>KFH-OPERATIONS DEPARTMENT</v>
      </c>
      <c r="F5590" t="str">
        <f t="shared" si="2285"/>
        <v>IBG</v>
      </c>
      <c r="G5590" t="str">
        <f t="shared" si="2294"/>
        <v>Refund COSHARE 10</v>
      </c>
      <c r="H5590" s="2">
        <v>881.5</v>
      </c>
      <c r="I5590" t="str">
        <f>"SITI ILHAM BINTI SALEH  MUHAMMAD"</f>
        <v>SITI ILHAM BINTI SALEH  MUHAMMAD</v>
      </c>
      <c r="J5590" t="str">
        <f t="shared" si="2280"/>
        <v>CIMB BANK / CIMB ISLAMIC BANK</v>
      </c>
      <c r="K5590" t="str">
        <f>"7051515424"</f>
        <v>7051515424</v>
      </c>
      <c r="L5590" t="str">
        <f t="shared" si="2297"/>
        <v>04-08-2020</v>
      </c>
      <c r="M5590" t="str">
        <f t="shared" si="2297"/>
        <v>04-08-2020</v>
      </c>
      <c r="N5590" t="str">
        <f t="shared" si="2286"/>
        <v>001105018356</v>
      </c>
      <c r="O5590" t="str">
        <f t="shared" si="2287"/>
        <v>MYR</v>
      </c>
      <c r="P5590" t="str">
        <f t="shared" si="2298"/>
        <v>NIL</v>
      </c>
      <c r="Q5590" t="str">
        <f t="shared" si="2298"/>
        <v>NIL</v>
      </c>
      <c r="R5590" t="str">
        <f t="shared" si="2272"/>
        <v>Accepted</v>
      </c>
      <c r="S5590" t="str">
        <f t="shared" si="2288"/>
        <v>Approved</v>
      </c>
      <c r="T5590" t="str">
        <f t="shared" si="2273"/>
        <v>10.20.8.188</v>
      </c>
      <c r="U5590" t="str">
        <f t="shared" si="2289"/>
        <v>AZRAD UMAR BIN SHAARI</v>
      </c>
      <c r="V5590" t="str">
        <f t="shared" si="2290"/>
        <v>FARHANA BINTI MUSTAPA</v>
      </c>
      <c r="W5590" t="str">
        <f t="shared" si="2291"/>
        <v>04-08-2020</v>
      </c>
      <c r="X5590" t="str">
        <f t="shared" si="2292"/>
        <v>RAZIMAH ANSAR AHMAD</v>
      </c>
      <c r="Y5590" t="str">
        <f t="shared" si="2293"/>
        <v>04-08-2020</v>
      </c>
      <c r="Z5590" t="str">
        <f>"COS10200804 3564"</f>
        <v>COS10200804 3564</v>
      </c>
    </row>
    <row r="5591" spans="1:26" x14ac:dyDescent="0.25">
      <c r="A5591" t="str">
        <f t="shared" si="2295"/>
        <v>04-08-2020 12:45:31</v>
      </c>
      <c r="B5591" t="str">
        <f>"0000805333"</f>
        <v>0000805333</v>
      </c>
      <c r="C5591" t="str">
        <f t="shared" si="2296"/>
        <v>0000805170</v>
      </c>
      <c r="D5591" t="str">
        <f t="shared" si="2283"/>
        <v>73185</v>
      </c>
      <c r="E5591" t="str">
        <f t="shared" si="2284"/>
        <v>KFH-OPERATIONS DEPARTMENT</v>
      </c>
      <c r="F5591" t="str">
        <f t="shared" si="2285"/>
        <v>IBG</v>
      </c>
      <c r="G5591" t="str">
        <f t="shared" si="2294"/>
        <v>Refund COSHARE 10</v>
      </c>
      <c r="H5591" s="2">
        <v>839.5</v>
      </c>
      <c r="I5591" t="str">
        <f>"SITI HURAIZAH BINTI MD ISHAK"</f>
        <v>SITI HURAIZAH BINTI MD ISHAK</v>
      </c>
      <c r="J5591" t="str">
        <f t="shared" si="2280"/>
        <v>CIMB BANK / CIMB ISLAMIC BANK</v>
      </c>
      <c r="K5591" t="str">
        <f>"12150070457523"</f>
        <v>12150070457523</v>
      </c>
      <c r="L5591" t="str">
        <f t="shared" si="2297"/>
        <v>04-08-2020</v>
      </c>
      <c r="M5591" t="str">
        <f t="shared" si="2297"/>
        <v>04-08-2020</v>
      </c>
      <c r="N5591" t="str">
        <f t="shared" si="2286"/>
        <v>001105018356</v>
      </c>
      <c r="O5591" t="str">
        <f t="shared" si="2287"/>
        <v>MYR</v>
      </c>
      <c r="P5591" t="str">
        <f t="shared" si="2298"/>
        <v>NIL</v>
      </c>
      <c r="Q5591" t="str">
        <f t="shared" si="2298"/>
        <v>NIL</v>
      </c>
      <c r="R5591" t="str">
        <f t="shared" si="2272"/>
        <v>Accepted</v>
      </c>
      <c r="S5591" t="str">
        <f t="shared" si="2288"/>
        <v>Approved</v>
      </c>
      <c r="T5591" t="str">
        <f t="shared" si="2273"/>
        <v>10.20.8.188</v>
      </c>
      <c r="U5591" t="str">
        <f t="shared" si="2289"/>
        <v>AZRAD UMAR BIN SHAARI</v>
      </c>
      <c r="V5591" t="str">
        <f t="shared" si="2290"/>
        <v>FARHANA BINTI MUSTAPA</v>
      </c>
      <c r="W5591" t="str">
        <f t="shared" si="2291"/>
        <v>04-08-2020</v>
      </c>
      <c r="X5591" t="str">
        <f t="shared" si="2292"/>
        <v>RAZIMAH ANSAR AHMAD</v>
      </c>
      <c r="Y5591" t="str">
        <f t="shared" si="2293"/>
        <v>04-08-2020</v>
      </c>
      <c r="Z5591" t="str">
        <f>"COS10200804 3563"</f>
        <v>COS10200804 3563</v>
      </c>
    </row>
    <row r="5592" spans="1:26" x14ac:dyDescent="0.25">
      <c r="A5592" t="str">
        <f t="shared" si="2295"/>
        <v>04-08-2020 12:45:31</v>
      </c>
      <c r="B5592" t="str">
        <f>"0000805332"</f>
        <v>0000805332</v>
      </c>
      <c r="C5592" t="str">
        <f t="shared" si="2296"/>
        <v>0000805170</v>
      </c>
      <c r="D5592" t="str">
        <f t="shared" si="2283"/>
        <v>73185</v>
      </c>
      <c r="E5592" t="str">
        <f t="shared" si="2284"/>
        <v>KFH-OPERATIONS DEPARTMENT</v>
      </c>
      <c r="F5592" t="str">
        <f t="shared" si="2285"/>
        <v>IBG</v>
      </c>
      <c r="G5592" t="str">
        <f t="shared" si="2294"/>
        <v>Refund COSHARE 10</v>
      </c>
      <c r="H5592" s="2">
        <v>251</v>
      </c>
      <c r="I5592" t="str">
        <f>"SITI HAWA BINTI ASHAK"</f>
        <v>SITI HAWA BINTI ASHAK</v>
      </c>
      <c r="J5592" t="str">
        <f t="shared" si="2280"/>
        <v>CIMB BANK / CIMB ISLAMIC BANK</v>
      </c>
      <c r="K5592" t="str">
        <f>"12230064682521"</f>
        <v>12230064682521</v>
      </c>
      <c r="L5592" t="str">
        <f t="shared" si="2297"/>
        <v>04-08-2020</v>
      </c>
      <c r="M5592" t="str">
        <f t="shared" si="2297"/>
        <v>04-08-2020</v>
      </c>
      <c r="N5592" t="str">
        <f t="shared" si="2286"/>
        <v>001105018356</v>
      </c>
      <c r="O5592" t="str">
        <f t="shared" si="2287"/>
        <v>MYR</v>
      </c>
      <c r="P5592" t="str">
        <f t="shared" si="2298"/>
        <v>NIL</v>
      </c>
      <c r="Q5592" t="str">
        <f t="shared" si="2298"/>
        <v>NIL</v>
      </c>
      <c r="R5592" t="str">
        <f t="shared" si="2272"/>
        <v>Accepted</v>
      </c>
      <c r="S5592" t="str">
        <f t="shared" si="2288"/>
        <v>Approved</v>
      </c>
      <c r="T5592" t="str">
        <f t="shared" si="2273"/>
        <v>10.20.8.188</v>
      </c>
      <c r="U5592" t="str">
        <f t="shared" si="2289"/>
        <v>AZRAD UMAR BIN SHAARI</v>
      </c>
      <c r="V5592" t="str">
        <f t="shared" si="2290"/>
        <v>FARHANA BINTI MUSTAPA</v>
      </c>
      <c r="W5592" t="str">
        <f t="shared" si="2291"/>
        <v>04-08-2020</v>
      </c>
      <c r="X5592" t="str">
        <f t="shared" si="2292"/>
        <v>RAZIMAH ANSAR AHMAD</v>
      </c>
      <c r="Y5592" t="str">
        <f t="shared" si="2293"/>
        <v>04-08-2020</v>
      </c>
      <c r="Z5592" t="str">
        <f>"COS10200804 3562"</f>
        <v>COS10200804 3562</v>
      </c>
    </row>
    <row r="5593" spans="1:26" x14ac:dyDescent="0.25">
      <c r="A5593" t="str">
        <f t="shared" si="2295"/>
        <v>04-08-2020 12:45:31</v>
      </c>
      <c r="B5593" t="str">
        <f>"0000805331"</f>
        <v>0000805331</v>
      </c>
      <c r="C5593" t="str">
        <f t="shared" si="2296"/>
        <v>0000805170</v>
      </c>
      <c r="D5593" t="str">
        <f t="shared" si="2283"/>
        <v>73185</v>
      </c>
      <c r="E5593" t="str">
        <f t="shared" si="2284"/>
        <v>KFH-OPERATIONS DEPARTMENT</v>
      </c>
      <c r="F5593" t="str">
        <f t="shared" si="2285"/>
        <v>IBG</v>
      </c>
      <c r="G5593" t="str">
        <f t="shared" si="2294"/>
        <v>Refund COSHARE 10</v>
      </c>
      <c r="H5593" s="2">
        <v>671.6</v>
      </c>
      <c r="I5593" t="str">
        <f>"SITI HASLINA BT ABDUL RASHID"</f>
        <v>SITI HASLINA BT ABDUL RASHID</v>
      </c>
      <c r="J5593" t="str">
        <f t="shared" si="2280"/>
        <v>CIMB BANK / CIMB ISLAMIC BANK</v>
      </c>
      <c r="K5593" t="str">
        <f>"14330002504202"</f>
        <v>14330002504202</v>
      </c>
      <c r="L5593" t="str">
        <f t="shared" si="2297"/>
        <v>04-08-2020</v>
      </c>
      <c r="M5593" t="str">
        <f t="shared" si="2297"/>
        <v>04-08-2020</v>
      </c>
      <c r="N5593" t="str">
        <f t="shared" si="2286"/>
        <v>001105018356</v>
      </c>
      <c r="O5593" t="str">
        <f t="shared" si="2287"/>
        <v>MYR</v>
      </c>
      <c r="P5593" t="str">
        <f t="shared" si="2298"/>
        <v>NIL</v>
      </c>
      <c r="Q5593" t="str">
        <f t="shared" si="2298"/>
        <v>NIL</v>
      </c>
      <c r="R5593" t="str">
        <f t="shared" si="2272"/>
        <v>Accepted</v>
      </c>
      <c r="S5593" t="str">
        <f t="shared" si="2288"/>
        <v>Approved</v>
      </c>
      <c r="T5593" t="str">
        <f t="shared" si="2273"/>
        <v>10.20.8.188</v>
      </c>
      <c r="U5593" t="str">
        <f t="shared" si="2289"/>
        <v>AZRAD UMAR BIN SHAARI</v>
      </c>
      <c r="V5593" t="str">
        <f t="shared" si="2290"/>
        <v>FARHANA BINTI MUSTAPA</v>
      </c>
      <c r="W5593" t="str">
        <f t="shared" si="2291"/>
        <v>04-08-2020</v>
      </c>
      <c r="X5593" t="str">
        <f t="shared" si="2292"/>
        <v>RAZIMAH ANSAR AHMAD</v>
      </c>
      <c r="Y5593" t="str">
        <f t="shared" si="2293"/>
        <v>04-08-2020</v>
      </c>
      <c r="Z5593" t="str">
        <f>"COS10200804 3561"</f>
        <v>COS10200804 3561</v>
      </c>
    </row>
    <row r="5594" spans="1:26" x14ac:dyDescent="0.25">
      <c r="A5594" t="str">
        <f t="shared" si="2295"/>
        <v>04-08-2020 12:45:31</v>
      </c>
      <c r="B5594" t="str">
        <f>"0000805330"</f>
        <v>0000805330</v>
      </c>
      <c r="C5594" t="str">
        <f t="shared" si="2296"/>
        <v>0000805170</v>
      </c>
      <c r="D5594" t="str">
        <f t="shared" si="2283"/>
        <v>73185</v>
      </c>
      <c r="E5594" t="str">
        <f t="shared" si="2284"/>
        <v>KFH-OPERATIONS DEPARTMENT</v>
      </c>
      <c r="F5594" t="str">
        <f t="shared" si="2285"/>
        <v>IBG</v>
      </c>
      <c r="G5594" t="str">
        <f t="shared" si="2294"/>
        <v>Refund COSHARE 10</v>
      </c>
      <c r="H5594" s="2">
        <v>520.5</v>
      </c>
      <c r="I5594" t="str">
        <f>"SITI HAMIDAH BINTI SAHRY"</f>
        <v>SITI HAMIDAH BINTI SAHRY</v>
      </c>
      <c r="J5594" t="str">
        <f t="shared" si="2280"/>
        <v>CIMB BANK / CIMB ISLAMIC BANK</v>
      </c>
      <c r="K5594" t="str">
        <f>"08100013791525"</f>
        <v>08100013791525</v>
      </c>
      <c r="L5594" t="str">
        <f t="shared" si="2297"/>
        <v>04-08-2020</v>
      </c>
      <c r="M5594" t="str">
        <f t="shared" si="2297"/>
        <v>04-08-2020</v>
      </c>
      <c r="N5594" t="str">
        <f t="shared" si="2286"/>
        <v>001105018356</v>
      </c>
      <c r="O5594" t="str">
        <f t="shared" si="2287"/>
        <v>MYR</v>
      </c>
      <c r="P5594" t="str">
        <f t="shared" si="2298"/>
        <v>NIL</v>
      </c>
      <c r="Q5594" t="str">
        <f t="shared" si="2298"/>
        <v>NIL</v>
      </c>
      <c r="R5594" t="str">
        <f t="shared" si="2272"/>
        <v>Accepted</v>
      </c>
      <c r="S5594" t="str">
        <f t="shared" si="2288"/>
        <v>Approved</v>
      </c>
      <c r="T5594" t="str">
        <f t="shared" si="2273"/>
        <v>10.20.8.188</v>
      </c>
      <c r="U5594" t="str">
        <f t="shared" si="2289"/>
        <v>AZRAD UMAR BIN SHAARI</v>
      </c>
      <c r="V5594" t="str">
        <f t="shared" si="2290"/>
        <v>FARHANA BINTI MUSTAPA</v>
      </c>
      <c r="W5594" t="str">
        <f t="shared" si="2291"/>
        <v>04-08-2020</v>
      </c>
      <c r="X5594" t="str">
        <f t="shared" si="2292"/>
        <v>RAZIMAH ANSAR AHMAD</v>
      </c>
      <c r="Y5594" t="str">
        <f t="shared" si="2293"/>
        <v>04-08-2020</v>
      </c>
      <c r="Z5594" t="str">
        <f>"COS10200804 3560"</f>
        <v>COS10200804 3560</v>
      </c>
    </row>
    <row r="5595" spans="1:26" x14ac:dyDescent="0.25">
      <c r="A5595" t="str">
        <f t="shared" si="2295"/>
        <v>04-08-2020 12:45:31</v>
      </c>
      <c r="B5595" t="str">
        <f>"0000805329"</f>
        <v>0000805329</v>
      </c>
      <c r="C5595" t="str">
        <f t="shared" si="2296"/>
        <v>0000805170</v>
      </c>
      <c r="D5595" t="str">
        <f t="shared" si="2283"/>
        <v>73185</v>
      </c>
      <c r="E5595" t="str">
        <f t="shared" si="2284"/>
        <v>KFH-OPERATIONS DEPARTMENT</v>
      </c>
      <c r="F5595" t="str">
        <f t="shared" si="2285"/>
        <v>IBG</v>
      </c>
      <c r="G5595" t="str">
        <f t="shared" si="2294"/>
        <v>Refund COSHARE 10</v>
      </c>
      <c r="H5595" s="2">
        <v>75</v>
      </c>
      <c r="I5595" t="str">
        <f>"SITI HAJAR BINTI SHAARI"</f>
        <v>SITI HAJAR BINTI SHAARI</v>
      </c>
      <c r="J5595" t="str">
        <f t="shared" si="2280"/>
        <v>CIMB BANK / CIMB ISLAMIC BANK</v>
      </c>
      <c r="K5595" t="str">
        <f>"14170066072525"</f>
        <v>14170066072525</v>
      </c>
      <c r="L5595" t="str">
        <f t="shared" si="2297"/>
        <v>04-08-2020</v>
      </c>
      <c r="M5595" t="str">
        <f t="shared" si="2297"/>
        <v>04-08-2020</v>
      </c>
      <c r="N5595" t="str">
        <f t="shared" si="2286"/>
        <v>001105018356</v>
      </c>
      <c r="O5595" t="str">
        <f t="shared" si="2287"/>
        <v>MYR</v>
      </c>
      <c r="P5595" t="str">
        <f t="shared" si="2298"/>
        <v>NIL</v>
      </c>
      <c r="Q5595" t="str">
        <f t="shared" si="2298"/>
        <v>NIL</v>
      </c>
      <c r="R5595" t="str">
        <f t="shared" si="2272"/>
        <v>Accepted</v>
      </c>
      <c r="S5595" t="str">
        <f t="shared" si="2288"/>
        <v>Approved</v>
      </c>
      <c r="T5595" t="str">
        <f t="shared" si="2273"/>
        <v>10.20.8.188</v>
      </c>
      <c r="U5595" t="str">
        <f t="shared" si="2289"/>
        <v>AZRAD UMAR BIN SHAARI</v>
      </c>
      <c r="V5595" t="str">
        <f t="shared" si="2290"/>
        <v>FARHANA BINTI MUSTAPA</v>
      </c>
      <c r="W5595" t="str">
        <f t="shared" si="2291"/>
        <v>04-08-2020</v>
      </c>
      <c r="X5595" t="str">
        <f t="shared" si="2292"/>
        <v>RAZIMAH ANSAR AHMAD</v>
      </c>
      <c r="Y5595" t="str">
        <f t="shared" si="2293"/>
        <v>04-08-2020</v>
      </c>
      <c r="Z5595" t="str">
        <f>"COS10200804 3559"</f>
        <v>COS10200804 3559</v>
      </c>
    </row>
    <row r="5596" spans="1:26" x14ac:dyDescent="0.25">
      <c r="A5596" t="str">
        <f t="shared" si="2295"/>
        <v>04-08-2020 12:45:31</v>
      </c>
      <c r="B5596" t="str">
        <f>"0000805328"</f>
        <v>0000805328</v>
      </c>
      <c r="C5596" t="str">
        <f t="shared" si="2296"/>
        <v>0000805170</v>
      </c>
      <c r="D5596" t="str">
        <f t="shared" si="2283"/>
        <v>73185</v>
      </c>
      <c r="E5596" t="str">
        <f t="shared" si="2284"/>
        <v>KFH-OPERATIONS DEPARTMENT</v>
      </c>
      <c r="F5596" t="str">
        <f t="shared" si="2285"/>
        <v>IBG</v>
      </c>
      <c r="G5596" t="str">
        <f t="shared" si="2294"/>
        <v>Refund COSHARE 10</v>
      </c>
      <c r="H5596" s="2">
        <v>190</v>
      </c>
      <c r="I5596" t="str">
        <f>"SITI HAJAR BINTI MOHD ROS"</f>
        <v>SITI HAJAR BINTI MOHD ROS</v>
      </c>
      <c r="J5596" t="str">
        <f t="shared" si="2280"/>
        <v>CIMB BANK / CIMB ISLAMIC BANK</v>
      </c>
      <c r="K5596" t="str">
        <f>"12170053371523"</f>
        <v>12170053371523</v>
      </c>
      <c r="L5596" t="str">
        <f t="shared" si="2297"/>
        <v>04-08-2020</v>
      </c>
      <c r="M5596" t="str">
        <f t="shared" si="2297"/>
        <v>04-08-2020</v>
      </c>
      <c r="N5596" t="str">
        <f t="shared" si="2286"/>
        <v>001105018356</v>
      </c>
      <c r="O5596" t="str">
        <f t="shared" si="2287"/>
        <v>MYR</v>
      </c>
      <c r="P5596" t="str">
        <f t="shared" si="2298"/>
        <v>NIL</v>
      </c>
      <c r="Q5596" t="str">
        <f t="shared" si="2298"/>
        <v>NIL</v>
      </c>
      <c r="R5596" t="str">
        <f t="shared" si="2272"/>
        <v>Accepted</v>
      </c>
      <c r="S5596" t="str">
        <f t="shared" si="2288"/>
        <v>Approved</v>
      </c>
      <c r="T5596" t="str">
        <f t="shared" si="2273"/>
        <v>10.20.8.188</v>
      </c>
      <c r="U5596" t="str">
        <f t="shared" si="2289"/>
        <v>AZRAD UMAR BIN SHAARI</v>
      </c>
      <c r="V5596" t="str">
        <f t="shared" si="2290"/>
        <v>FARHANA BINTI MUSTAPA</v>
      </c>
      <c r="W5596" t="str">
        <f t="shared" si="2291"/>
        <v>04-08-2020</v>
      </c>
      <c r="X5596" t="str">
        <f t="shared" si="2292"/>
        <v>RAZIMAH ANSAR AHMAD</v>
      </c>
      <c r="Y5596" t="str">
        <f t="shared" si="2293"/>
        <v>04-08-2020</v>
      </c>
      <c r="Z5596" t="str">
        <f>"COS10200804 3558"</f>
        <v>COS10200804 3558</v>
      </c>
    </row>
    <row r="5597" spans="1:26" x14ac:dyDescent="0.25">
      <c r="A5597" t="str">
        <f t="shared" si="2295"/>
        <v>04-08-2020 12:45:31</v>
      </c>
      <c r="B5597" t="str">
        <f>"0000805327"</f>
        <v>0000805327</v>
      </c>
      <c r="C5597" t="str">
        <f t="shared" si="2296"/>
        <v>0000805170</v>
      </c>
      <c r="D5597" t="str">
        <f t="shared" si="2283"/>
        <v>73185</v>
      </c>
      <c r="E5597" t="str">
        <f t="shared" si="2284"/>
        <v>KFH-OPERATIONS DEPARTMENT</v>
      </c>
      <c r="F5597" t="str">
        <f t="shared" si="2285"/>
        <v>IBG</v>
      </c>
      <c r="G5597" t="str">
        <f t="shared" si="2294"/>
        <v>Refund COSHARE 10</v>
      </c>
      <c r="H5597" s="2">
        <v>302.25</v>
      </c>
      <c r="I5597" t="str">
        <f>"SITI HAJAR BINTI MOHD ALI"</f>
        <v>SITI HAJAR BINTI MOHD ALI</v>
      </c>
      <c r="J5597" t="str">
        <f t="shared" si="2280"/>
        <v>CIMB BANK / CIMB ISLAMIC BANK</v>
      </c>
      <c r="K5597" t="str">
        <f>"7024700472"</f>
        <v>7024700472</v>
      </c>
      <c r="L5597" t="str">
        <f t="shared" si="2297"/>
        <v>04-08-2020</v>
      </c>
      <c r="M5597" t="str">
        <f t="shared" si="2297"/>
        <v>04-08-2020</v>
      </c>
      <c r="N5597" t="str">
        <f t="shared" si="2286"/>
        <v>001105018356</v>
      </c>
      <c r="O5597" t="str">
        <f t="shared" si="2287"/>
        <v>MYR</v>
      </c>
      <c r="P5597" t="str">
        <f t="shared" si="2298"/>
        <v>NIL</v>
      </c>
      <c r="Q5597" t="str">
        <f t="shared" si="2298"/>
        <v>NIL</v>
      </c>
      <c r="R5597" t="str">
        <f t="shared" si="2272"/>
        <v>Accepted</v>
      </c>
      <c r="S5597" t="str">
        <f t="shared" si="2288"/>
        <v>Approved</v>
      </c>
      <c r="T5597" t="str">
        <f t="shared" si="2273"/>
        <v>10.20.8.188</v>
      </c>
      <c r="U5597" t="str">
        <f t="shared" si="2289"/>
        <v>AZRAD UMAR BIN SHAARI</v>
      </c>
      <c r="V5597" t="str">
        <f t="shared" si="2290"/>
        <v>FARHANA BINTI MUSTAPA</v>
      </c>
      <c r="W5597" t="str">
        <f t="shared" si="2291"/>
        <v>04-08-2020</v>
      </c>
      <c r="X5597" t="str">
        <f t="shared" si="2292"/>
        <v>RAZIMAH ANSAR AHMAD</v>
      </c>
      <c r="Y5597" t="str">
        <f t="shared" si="2293"/>
        <v>04-08-2020</v>
      </c>
      <c r="Z5597" t="str">
        <f>"COS10200804 3557"</f>
        <v>COS10200804 3557</v>
      </c>
    </row>
    <row r="5598" spans="1:26" x14ac:dyDescent="0.25">
      <c r="A5598" t="str">
        <f t="shared" si="2295"/>
        <v>04-08-2020 12:45:31</v>
      </c>
      <c r="B5598" t="str">
        <f>"0000805326"</f>
        <v>0000805326</v>
      </c>
      <c r="C5598" t="str">
        <f t="shared" si="2296"/>
        <v>0000805170</v>
      </c>
      <c r="D5598" t="str">
        <f t="shared" si="2283"/>
        <v>73185</v>
      </c>
      <c r="E5598" t="str">
        <f t="shared" si="2284"/>
        <v>KFH-OPERATIONS DEPARTMENT</v>
      </c>
      <c r="F5598" t="str">
        <f t="shared" si="2285"/>
        <v>IBG</v>
      </c>
      <c r="G5598" t="str">
        <f t="shared" si="2294"/>
        <v>Refund COSHARE 10</v>
      </c>
      <c r="H5598" s="2">
        <v>789</v>
      </c>
      <c r="I5598" t="str">
        <f>"SITI HAJAR BINTI HARUN"</f>
        <v>SITI HAJAR BINTI HARUN</v>
      </c>
      <c r="J5598" t="str">
        <f t="shared" si="2280"/>
        <v>CIMB BANK / CIMB ISLAMIC BANK</v>
      </c>
      <c r="K5598" t="str">
        <f>"14230061151525"</f>
        <v>14230061151525</v>
      </c>
      <c r="L5598" t="str">
        <f t="shared" si="2297"/>
        <v>04-08-2020</v>
      </c>
      <c r="M5598" t="str">
        <f t="shared" si="2297"/>
        <v>04-08-2020</v>
      </c>
      <c r="N5598" t="str">
        <f t="shared" si="2286"/>
        <v>001105018356</v>
      </c>
      <c r="O5598" t="str">
        <f t="shared" si="2287"/>
        <v>MYR</v>
      </c>
      <c r="P5598" t="str">
        <f t="shared" si="2298"/>
        <v>NIL</v>
      </c>
      <c r="Q5598" t="str">
        <f t="shared" si="2298"/>
        <v>NIL</v>
      </c>
      <c r="R5598" t="str">
        <f t="shared" si="2272"/>
        <v>Accepted</v>
      </c>
      <c r="S5598" t="str">
        <f t="shared" si="2288"/>
        <v>Approved</v>
      </c>
      <c r="T5598" t="str">
        <f t="shared" si="2273"/>
        <v>10.20.8.188</v>
      </c>
      <c r="U5598" t="str">
        <f t="shared" si="2289"/>
        <v>AZRAD UMAR BIN SHAARI</v>
      </c>
      <c r="V5598" t="str">
        <f t="shared" si="2290"/>
        <v>FARHANA BINTI MUSTAPA</v>
      </c>
      <c r="W5598" t="str">
        <f t="shared" si="2291"/>
        <v>04-08-2020</v>
      </c>
      <c r="X5598" t="str">
        <f t="shared" si="2292"/>
        <v>RAZIMAH ANSAR AHMAD</v>
      </c>
      <c r="Y5598" t="str">
        <f t="shared" si="2293"/>
        <v>04-08-2020</v>
      </c>
      <c r="Z5598" t="str">
        <f>"COS10200804 3556"</f>
        <v>COS10200804 3556</v>
      </c>
    </row>
    <row r="5599" spans="1:26" x14ac:dyDescent="0.25">
      <c r="A5599" t="str">
        <f t="shared" si="2295"/>
        <v>04-08-2020 12:45:31</v>
      </c>
      <c r="B5599" t="str">
        <f>"0000805325"</f>
        <v>0000805325</v>
      </c>
      <c r="C5599" t="str">
        <f t="shared" si="2296"/>
        <v>0000805170</v>
      </c>
      <c r="D5599" t="str">
        <f t="shared" si="2283"/>
        <v>73185</v>
      </c>
      <c r="E5599" t="str">
        <f t="shared" si="2284"/>
        <v>KFH-OPERATIONS DEPARTMENT</v>
      </c>
      <c r="F5599" t="str">
        <f t="shared" si="2285"/>
        <v>IBG</v>
      </c>
      <c r="G5599" t="str">
        <f t="shared" si="2294"/>
        <v>Refund COSHARE 10</v>
      </c>
      <c r="H5599" s="2">
        <v>167.9</v>
      </c>
      <c r="I5599" t="str">
        <f>"SITI HAJAR BINTI AYUB"</f>
        <v>SITI HAJAR BINTI AYUB</v>
      </c>
      <c r="J5599" t="str">
        <f t="shared" si="2280"/>
        <v>CIMB BANK / CIMB ISLAMIC BANK</v>
      </c>
      <c r="K5599" t="str">
        <f>"11120072809525"</f>
        <v>11120072809525</v>
      </c>
      <c r="L5599" t="str">
        <f t="shared" si="2297"/>
        <v>04-08-2020</v>
      </c>
      <c r="M5599" t="str">
        <f t="shared" si="2297"/>
        <v>04-08-2020</v>
      </c>
      <c r="N5599" t="str">
        <f t="shared" si="2286"/>
        <v>001105018356</v>
      </c>
      <c r="O5599" t="str">
        <f t="shared" si="2287"/>
        <v>MYR</v>
      </c>
      <c r="P5599" t="str">
        <f t="shared" si="2298"/>
        <v>NIL</v>
      </c>
      <c r="Q5599" t="str">
        <f t="shared" si="2298"/>
        <v>NIL</v>
      </c>
      <c r="R5599" t="str">
        <f t="shared" si="2272"/>
        <v>Accepted</v>
      </c>
      <c r="S5599" t="str">
        <f t="shared" si="2288"/>
        <v>Approved</v>
      </c>
      <c r="T5599" t="str">
        <f t="shared" si="2273"/>
        <v>10.20.8.188</v>
      </c>
      <c r="U5599" t="str">
        <f t="shared" si="2289"/>
        <v>AZRAD UMAR BIN SHAARI</v>
      </c>
      <c r="V5599" t="str">
        <f t="shared" si="2290"/>
        <v>FARHANA BINTI MUSTAPA</v>
      </c>
      <c r="W5599" t="str">
        <f t="shared" si="2291"/>
        <v>04-08-2020</v>
      </c>
      <c r="X5599" t="str">
        <f t="shared" si="2292"/>
        <v>RAZIMAH ANSAR AHMAD</v>
      </c>
      <c r="Y5599" t="str">
        <f t="shared" si="2293"/>
        <v>04-08-2020</v>
      </c>
      <c r="Z5599" t="str">
        <f>"COS10200804 3555"</f>
        <v>COS10200804 3555</v>
      </c>
    </row>
    <row r="5600" spans="1:26" x14ac:dyDescent="0.25">
      <c r="A5600" t="str">
        <f t="shared" si="2295"/>
        <v>04-08-2020 12:45:31</v>
      </c>
      <c r="B5600" t="str">
        <f>"0000805324"</f>
        <v>0000805324</v>
      </c>
      <c r="C5600" t="str">
        <f t="shared" si="2296"/>
        <v>0000805170</v>
      </c>
      <c r="D5600" t="str">
        <f t="shared" si="2283"/>
        <v>73185</v>
      </c>
      <c r="E5600" t="str">
        <f t="shared" si="2284"/>
        <v>KFH-OPERATIONS DEPARTMENT</v>
      </c>
      <c r="F5600" t="str">
        <f t="shared" si="2285"/>
        <v>IBG</v>
      </c>
      <c r="G5600" t="str">
        <f t="shared" si="2294"/>
        <v>Refund COSHARE 10</v>
      </c>
      <c r="H5600" s="2">
        <v>697.25</v>
      </c>
      <c r="I5600" t="str">
        <f>"SITI HAFSAH BINTI YUNUS  NIZAM"</f>
        <v>SITI HAFSAH BINTI YUNUS  NIZAM</v>
      </c>
      <c r="J5600" t="str">
        <f t="shared" si="2280"/>
        <v>CIMB BANK / CIMB ISLAMIC BANK</v>
      </c>
      <c r="K5600" t="str">
        <f>"10050017977529"</f>
        <v>10050017977529</v>
      </c>
      <c r="L5600" t="str">
        <f t="shared" si="2297"/>
        <v>04-08-2020</v>
      </c>
      <c r="M5600" t="str">
        <f t="shared" si="2297"/>
        <v>04-08-2020</v>
      </c>
      <c r="N5600" t="str">
        <f t="shared" si="2286"/>
        <v>001105018356</v>
      </c>
      <c r="O5600" t="str">
        <f t="shared" si="2287"/>
        <v>MYR</v>
      </c>
      <c r="P5600" t="str">
        <f t="shared" si="2298"/>
        <v>NIL</v>
      </c>
      <c r="Q5600" t="str">
        <f t="shared" si="2298"/>
        <v>NIL</v>
      </c>
      <c r="R5600" t="str">
        <f t="shared" si="2272"/>
        <v>Accepted</v>
      </c>
      <c r="S5600" t="str">
        <f t="shared" si="2288"/>
        <v>Approved</v>
      </c>
      <c r="T5600" t="str">
        <f t="shared" si="2273"/>
        <v>10.20.8.188</v>
      </c>
      <c r="U5600" t="str">
        <f t="shared" si="2289"/>
        <v>AZRAD UMAR BIN SHAARI</v>
      </c>
      <c r="V5600" t="str">
        <f t="shared" si="2290"/>
        <v>FARHANA BINTI MUSTAPA</v>
      </c>
      <c r="W5600" t="str">
        <f t="shared" si="2291"/>
        <v>04-08-2020</v>
      </c>
      <c r="X5600" t="str">
        <f t="shared" si="2292"/>
        <v>RAZIMAH ANSAR AHMAD</v>
      </c>
      <c r="Y5600" t="str">
        <f t="shared" si="2293"/>
        <v>04-08-2020</v>
      </c>
      <c r="Z5600" t="str">
        <f>"COS10200804 3554"</f>
        <v>COS10200804 3554</v>
      </c>
    </row>
    <row r="5601" spans="1:26" x14ac:dyDescent="0.25">
      <c r="A5601" t="str">
        <f t="shared" si="2295"/>
        <v>04-08-2020 12:45:31</v>
      </c>
      <c r="B5601" t="str">
        <f>"0000805323"</f>
        <v>0000805323</v>
      </c>
      <c r="C5601" t="str">
        <f t="shared" si="2296"/>
        <v>0000805170</v>
      </c>
      <c r="D5601" t="str">
        <f t="shared" si="2283"/>
        <v>73185</v>
      </c>
      <c r="E5601" t="str">
        <f t="shared" si="2284"/>
        <v>KFH-OPERATIONS DEPARTMENT</v>
      </c>
      <c r="F5601" t="str">
        <f t="shared" si="2285"/>
        <v>IBG</v>
      </c>
      <c r="G5601" t="str">
        <f t="shared" si="2294"/>
        <v>Refund COSHARE 10</v>
      </c>
      <c r="H5601" s="2">
        <v>235.1</v>
      </c>
      <c r="I5601" t="str">
        <f>"SITI FATIMAH BINTI MAT HUSSIN"</f>
        <v>SITI FATIMAH BINTI MAT HUSSIN</v>
      </c>
      <c r="J5601" t="str">
        <f t="shared" si="2280"/>
        <v>CIMB BANK / CIMB ISLAMIC BANK</v>
      </c>
      <c r="K5601" t="str">
        <f>"12670002401201"</f>
        <v>12670002401201</v>
      </c>
      <c r="L5601" t="str">
        <f t="shared" si="2297"/>
        <v>04-08-2020</v>
      </c>
      <c r="M5601" t="str">
        <f t="shared" si="2297"/>
        <v>04-08-2020</v>
      </c>
      <c r="N5601" t="str">
        <f t="shared" si="2286"/>
        <v>001105018356</v>
      </c>
      <c r="O5601" t="str">
        <f t="shared" si="2287"/>
        <v>MYR</v>
      </c>
      <c r="P5601" t="str">
        <f t="shared" si="2298"/>
        <v>NIL</v>
      </c>
      <c r="Q5601" t="str">
        <f t="shared" si="2298"/>
        <v>NIL</v>
      </c>
      <c r="R5601" t="str">
        <f t="shared" si="2272"/>
        <v>Accepted</v>
      </c>
      <c r="S5601" t="str">
        <f t="shared" si="2288"/>
        <v>Approved</v>
      </c>
      <c r="T5601" t="str">
        <f t="shared" si="2273"/>
        <v>10.20.8.188</v>
      </c>
      <c r="U5601" t="str">
        <f t="shared" si="2289"/>
        <v>AZRAD UMAR BIN SHAARI</v>
      </c>
      <c r="V5601" t="str">
        <f t="shared" si="2290"/>
        <v>FARHANA BINTI MUSTAPA</v>
      </c>
      <c r="W5601" t="str">
        <f t="shared" si="2291"/>
        <v>04-08-2020</v>
      </c>
      <c r="X5601" t="str">
        <f t="shared" si="2292"/>
        <v>RAZIMAH ANSAR AHMAD</v>
      </c>
      <c r="Y5601" t="str">
        <f t="shared" si="2293"/>
        <v>04-08-2020</v>
      </c>
      <c r="Z5601" t="str">
        <f>"COS10200804 3553"</f>
        <v>COS10200804 3553</v>
      </c>
    </row>
    <row r="5602" spans="1:26" x14ac:dyDescent="0.25">
      <c r="A5602" t="str">
        <f t="shared" si="2295"/>
        <v>04-08-2020 12:45:31</v>
      </c>
      <c r="B5602" t="str">
        <f>"0000805322"</f>
        <v>0000805322</v>
      </c>
      <c r="C5602" t="str">
        <f t="shared" si="2296"/>
        <v>0000805170</v>
      </c>
      <c r="D5602" t="str">
        <f t="shared" si="2283"/>
        <v>73185</v>
      </c>
      <c r="E5602" t="str">
        <f t="shared" si="2284"/>
        <v>KFH-OPERATIONS DEPARTMENT</v>
      </c>
      <c r="F5602" t="str">
        <f t="shared" si="2285"/>
        <v>IBG</v>
      </c>
      <c r="G5602" t="str">
        <f t="shared" si="2294"/>
        <v>Refund COSHARE 10</v>
      </c>
      <c r="H5602" s="2">
        <v>344.2</v>
      </c>
      <c r="I5602" t="str">
        <f>"SITI FATIMAH BINTI HASIM"</f>
        <v>SITI FATIMAH BINTI HASIM</v>
      </c>
      <c r="J5602" t="str">
        <f t="shared" si="2280"/>
        <v>CIMB BANK / CIMB ISLAMIC BANK</v>
      </c>
      <c r="K5602" t="str">
        <f>"12150064652525"</f>
        <v>12150064652525</v>
      </c>
      <c r="L5602" t="str">
        <f t="shared" si="2297"/>
        <v>04-08-2020</v>
      </c>
      <c r="M5602" t="str">
        <f t="shared" si="2297"/>
        <v>04-08-2020</v>
      </c>
      <c r="N5602" t="str">
        <f t="shared" si="2286"/>
        <v>001105018356</v>
      </c>
      <c r="O5602" t="str">
        <f t="shared" si="2287"/>
        <v>MYR</v>
      </c>
      <c r="P5602" t="str">
        <f t="shared" si="2298"/>
        <v>NIL</v>
      </c>
      <c r="Q5602" t="str">
        <f t="shared" si="2298"/>
        <v>NIL</v>
      </c>
      <c r="R5602" t="str">
        <f t="shared" ref="R5602:R5665" si="2299">"Accepted"</f>
        <v>Accepted</v>
      </c>
      <c r="S5602" t="str">
        <f t="shared" si="2288"/>
        <v>Approved</v>
      </c>
      <c r="T5602" t="str">
        <f t="shared" ref="T5602:T5665" si="2300">"10.20.8.188"</f>
        <v>10.20.8.188</v>
      </c>
      <c r="U5602" t="str">
        <f t="shared" si="2289"/>
        <v>AZRAD UMAR BIN SHAARI</v>
      </c>
      <c r="V5602" t="str">
        <f t="shared" si="2290"/>
        <v>FARHANA BINTI MUSTAPA</v>
      </c>
      <c r="W5602" t="str">
        <f t="shared" si="2291"/>
        <v>04-08-2020</v>
      </c>
      <c r="X5602" t="str">
        <f t="shared" si="2292"/>
        <v>RAZIMAH ANSAR AHMAD</v>
      </c>
      <c r="Y5602" t="str">
        <f t="shared" si="2293"/>
        <v>04-08-2020</v>
      </c>
      <c r="Z5602" t="str">
        <f>"COS10200804 3552"</f>
        <v>COS10200804 3552</v>
      </c>
    </row>
    <row r="5603" spans="1:26" x14ac:dyDescent="0.25">
      <c r="A5603" t="str">
        <f t="shared" si="2295"/>
        <v>04-08-2020 12:45:31</v>
      </c>
      <c r="B5603" t="str">
        <f>"0000805321"</f>
        <v>0000805321</v>
      </c>
      <c r="C5603" t="str">
        <f t="shared" si="2296"/>
        <v>0000805170</v>
      </c>
      <c r="D5603" t="str">
        <f t="shared" si="2283"/>
        <v>73185</v>
      </c>
      <c r="E5603" t="str">
        <f t="shared" si="2284"/>
        <v>KFH-OPERATIONS DEPARTMENT</v>
      </c>
      <c r="F5603" t="str">
        <f t="shared" si="2285"/>
        <v>IBG</v>
      </c>
      <c r="G5603" t="str">
        <f t="shared" si="2294"/>
        <v>Refund COSHARE 10</v>
      </c>
      <c r="H5603" s="2">
        <v>310.64999999999998</v>
      </c>
      <c r="I5603" t="str">
        <f>"SITI FAIROS BINTI ISMAIL"</f>
        <v>SITI FAIROS BINTI ISMAIL</v>
      </c>
      <c r="J5603" t="str">
        <f t="shared" si="2280"/>
        <v>CIMB BANK / CIMB ISLAMIC BANK</v>
      </c>
      <c r="K5603" t="str">
        <f>"03010102291521"</f>
        <v>03010102291521</v>
      </c>
      <c r="L5603" t="str">
        <f t="shared" si="2297"/>
        <v>04-08-2020</v>
      </c>
      <c r="M5603" t="str">
        <f t="shared" si="2297"/>
        <v>04-08-2020</v>
      </c>
      <c r="N5603" t="str">
        <f t="shared" si="2286"/>
        <v>001105018356</v>
      </c>
      <c r="O5603" t="str">
        <f t="shared" si="2287"/>
        <v>MYR</v>
      </c>
      <c r="P5603" t="str">
        <f t="shared" si="2298"/>
        <v>NIL</v>
      </c>
      <c r="Q5603" t="str">
        <f t="shared" si="2298"/>
        <v>NIL</v>
      </c>
      <c r="R5603" t="str">
        <f t="shared" si="2299"/>
        <v>Accepted</v>
      </c>
      <c r="S5603" t="str">
        <f t="shared" si="2288"/>
        <v>Approved</v>
      </c>
      <c r="T5603" t="str">
        <f t="shared" si="2300"/>
        <v>10.20.8.188</v>
      </c>
      <c r="U5603" t="str">
        <f t="shared" si="2289"/>
        <v>AZRAD UMAR BIN SHAARI</v>
      </c>
      <c r="V5603" t="str">
        <f t="shared" si="2290"/>
        <v>FARHANA BINTI MUSTAPA</v>
      </c>
      <c r="W5603" t="str">
        <f t="shared" si="2291"/>
        <v>04-08-2020</v>
      </c>
      <c r="X5603" t="str">
        <f t="shared" si="2292"/>
        <v>RAZIMAH ANSAR AHMAD</v>
      </c>
      <c r="Y5603" t="str">
        <f t="shared" si="2293"/>
        <v>04-08-2020</v>
      </c>
      <c r="Z5603" t="str">
        <f>"COS10200804 3551"</f>
        <v>COS10200804 3551</v>
      </c>
    </row>
    <row r="5604" spans="1:26" x14ac:dyDescent="0.25">
      <c r="A5604" t="str">
        <f t="shared" si="2295"/>
        <v>04-08-2020 12:45:31</v>
      </c>
      <c r="B5604" t="str">
        <f>"0000805320"</f>
        <v>0000805320</v>
      </c>
      <c r="C5604" t="str">
        <f t="shared" si="2296"/>
        <v>0000805170</v>
      </c>
      <c r="D5604" t="str">
        <f t="shared" si="2283"/>
        <v>73185</v>
      </c>
      <c r="E5604" t="str">
        <f t="shared" si="2284"/>
        <v>KFH-OPERATIONS DEPARTMENT</v>
      </c>
      <c r="F5604" t="str">
        <f t="shared" si="2285"/>
        <v>IBG</v>
      </c>
      <c r="G5604" t="str">
        <f t="shared" si="2294"/>
        <v>Refund COSHARE 10</v>
      </c>
      <c r="H5604" s="2">
        <v>965.45</v>
      </c>
      <c r="I5604" t="str">
        <f>"SITI FADHLINA BINTI MUSTAPA KAMAL"</f>
        <v>SITI FADHLINA BINTI MUSTAPA KAMAL</v>
      </c>
      <c r="J5604" t="str">
        <f t="shared" si="2280"/>
        <v>CIMB BANK / CIMB ISLAMIC BANK</v>
      </c>
      <c r="K5604" t="str">
        <f>"7604741618"</f>
        <v>7604741618</v>
      </c>
      <c r="L5604" t="str">
        <f t="shared" si="2297"/>
        <v>04-08-2020</v>
      </c>
      <c r="M5604" t="str">
        <f t="shared" si="2297"/>
        <v>04-08-2020</v>
      </c>
      <c r="N5604" t="str">
        <f t="shared" si="2286"/>
        <v>001105018356</v>
      </c>
      <c r="O5604" t="str">
        <f t="shared" si="2287"/>
        <v>MYR</v>
      </c>
      <c r="P5604" t="str">
        <f t="shared" si="2298"/>
        <v>NIL</v>
      </c>
      <c r="Q5604" t="str">
        <f t="shared" si="2298"/>
        <v>NIL</v>
      </c>
      <c r="R5604" t="str">
        <f t="shared" si="2299"/>
        <v>Accepted</v>
      </c>
      <c r="S5604" t="str">
        <f t="shared" si="2288"/>
        <v>Approved</v>
      </c>
      <c r="T5604" t="str">
        <f t="shared" si="2300"/>
        <v>10.20.8.188</v>
      </c>
      <c r="U5604" t="str">
        <f t="shared" si="2289"/>
        <v>AZRAD UMAR BIN SHAARI</v>
      </c>
      <c r="V5604" t="str">
        <f t="shared" si="2290"/>
        <v>FARHANA BINTI MUSTAPA</v>
      </c>
      <c r="W5604" t="str">
        <f t="shared" si="2291"/>
        <v>04-08-2020</v>
      </c>
      <c r="X5604" t="str">
        <f t="shared" si="2292"/>
        <v>RAZIMAH ANSAR AHMAD</v>
      </c>
      <c r="Y5604" t="str">
        <f t="shared" si="2293"/>
        <v>04-08-2020</v>
      </c>
      <c r="Z5604" t="str">
        <f>"COS10200804 3550"</f>
        <v>COS10200804 3550</v>
      </c>
    </row>
    <row r="5605" spans="1:26" x14ac:dyDescent="0.25">
      <c r="A5605" t="str">
        <f t="shared" si="2295"/>
        <v>04-08-2020 12:45:31</v>
      </c>
      <c r="B5605" t="str">
        <f>"0000805319"</f>
        <v>0000805319</v>
      </c>
      <c r="C5605" t="str">
        <f t="shared" si="2296"/>
        <v>0000805170</v>
      </c>
      <c r="D5605" t="str">
        <f t="shared" si="2283"/>
        <v>73185</v>
      </c>
      <c r="E5605" t="str">
        <f t="shared" si="2284"/>
        <v>KFH-OPERATIONS DEPARTMENT</v>
      </c>
      <c r="F5605" t="str">
        <f t="shared" si="2285"/>
        <v>IBG</v>
      </c>
      <c r="G5605" t="str">
        <f t="shared" si="2294"/>
        <v>Refund COSHARE 10</v>
      </c>
      <c r="H5605" s="2">
        <v>482.75</v>
      </c>
      <c r="I5605" t="str">
        <f>"SITI DESSYMA BINTI ISNANI"</f>
        <v>SITI DESSYMA BINTI ISNANI</v>
      </c>
      <c r="J5605" t="str">
        <f t="shared" si="2280"/>
        <v>CIMB BANK / CIMB ISLAMIC BANK</v>
      </c>
      <c r="K5605" t="str">
        <f>"14450000530200"</f>
        <v>14450000530200</v>
      </c>
      <c r="L5605" t="str">
        <f t="shared" si="2297"/>
        <v>04-08-2020</v>
      </c>
      <c r="M5605" t="str">
        <f t="shared" si="2297"/>
        <v>04-08-2020</v>
      </c>
      <c r="N5605" t="str">
        <f t="shared" si="2286"/>
        <v>001105018356</v>
      </c>
      <c r="O5605" t="str">
        <f t="shared" si="2287"/>
        <v>MYR</v>
      </c>
      <c r="P5605" t="str">
        <f t="shared" si="2298"/>
        <v>NIL</v>
      </c>
      <c r="Q5605" t="str">
        <f t="shared" si="2298"/>
        <v>NIL</v>
      </c>
      <c r="R5605" t="str">
        <f t="shared" si="2299"/>
        <v>Accepted</v>
      </c>
      <c r="S5605" t="str">
        <f t="shared" si="2288"/>
        <v>Approved</v>
      </c>
      <c r="T5605" t="str">
        <f t="shared" si="2300"/>
        <v>10.20.8.188</v>
      </c>
      <c r="U5605" t="str">
        <f t="shared" si="2289"/>
        <v>AZRAD UMAR BIN SHAARI</v>
      </c>
      <c r="V5605" t="str">
        <f t="shared" si="2290"/>
        <v>FARHANA BINTI MUSTAPA</v>
      </c>
      <c r="W5605" t="str">
        <f t="shared" si="2291"/>
        <v>04-08-2020</v>
      </c>
      <c r="X5605" t="str">
        <f t="shared" si="2292"/>
        <v>RAZIMAH ANSAR AHMAD</v>
      </c>
      <c r="Y5605" t="str">
        <f t="shared" si="2293"/>
        <v>04-08-2020</v>
      </c>
      <c r="Z5605" t="str">
        <f>"COS10200804 3549"</f>
        <v>COS10200804 3549</v>
      </c>
    </row>
    <row r="5606" spans="1:26" x14ac:dyDescent="0.25">
      <c r="A5606" t="str">
        <f t="shared" si="2295"/>
        <v>04-08-2020 12:45:31</v>
      </c>
      <c r="B5606" t="str">
        <f>"0000805318"</f>
        <v>0000805318</v>
      </c>
      <c r="C5606" t="str">
        <f t="shared" si="2296"/>
        <v>0000805170</v>
      </c>
      <c r="D5606" t="str">
        <f t="shared" si="2283"/>
        <v>73185</v>
      </c>
      <c r="E5606" t="str">
        <f t="shared" si="2284"/>
        <v>KFH-OPERATIONS DEPARTMENT</v>
      </c>
      <c r="F5606" t="str">
        <f t="shared" si="2285"/>
        <v>IBG</v>
      </c>
      <c r="G5606" t="str">
        <f t="shared" si="2294"/>
        <v>Refund COSHARE 10</v>
      </c>
      <c r="H5606" s="2">
        <v>482.75</v>
      </c>
      <c r="I5606" t="str">
        <f>"SITI DESSYMA BINTI ISNANI"</f>
        <v>SITI DESSYMA BINTI ISNANI</v>
      </c>
      <c r="J5606" t="str">
        <f t="shared" si="2280"/>
        <v>CIMB BANK / CIMB ISLAMIC BANK</v>
      </c>
      <c r="K5606" t="str">
        <f>"14450000530200"</f>
        <v>14450000530200</v>
      </c>
      <c r="L5606" t="str">
        <f t="shared" si="2297"/>
        <v>04-08-2020</v>
      </c>
      <c r="M5606" t="str">
        <f t="shared" si="2297"/>
        <v>04-08-2020</v>
      </c>
      <c r="N5606" t="str">
        <f t="shared" si="2286"/>
        <v>001105018356</v>
      </c>
      <c r="O5606" t="str">
        <f t="shared" si="2287"/>
        <v>MYR</v>
      </c>
      <c r="P5606" t="str">
        <f t="shared" si="2298"/>
        <v>NIL</v>
      </c>
      <c r="Q5606" t="str">
        <f t="shared" si="2298"/>
        <v>NIL</v>
      </c>
      <c r="R5606" t="str">
        <f t="shared" si="2299"/>
        <v>Accepted</v>
      </c>
      <c r="S5606" t="str">
        <f t="shared" si="2288"/>
        <v>Approved</v>
      </c>
      <c r="T5606" t="str">
        <f t="shared" si="2300"/>
        <v>10.20.8.188</v>
      </c>
      <c r="U5606" t="str">
        <f t="shared" si="2289"/>
        <v>AZRAD UMAR BIN SHAARI</v>
      </c>
      <c r="V5606" t="str">
        <f t="shared" si="2290"/>
        <v>FARHANA BINTI MUSTAPA</v>
      </c>
      <c r="W5606" t="str">
        <f t="shared" si="2291"/>
        <v>04-08-2020</v>
      </c>
      <c r="X5606" t="str">
        <f t="shared" si="2292"/>
        <v>RAZIMAH ANSAR AHMAD</v>
      </c>
      <c r="Y5606" t="str">
        <f t="shared" si="2293"/>
        <v>04-08-2020</v>
      </c>
      <c r="Z5606" t="str">
        <f>"COS10200804 3548"</f>
        <v>COS10200804 3548</v>
      </c>
    </row>
    <row r="5607" spans="1:26" x14ac:dyDescent="0.25">
      <c r="A5607" t="str">
        <f t="shared" si="2295"/>
        <v>04-08-2020 12:45:31</v>
      </c>
      <c r="B5607" t="str">
        <f>"0000805317"</f>
        <v>0000805317</v>
      </c>
      <c r="C5607" t="str">
        <f t="shared" si="2296"/>
        <v>0000805170</v>
      </c>
      <c r="D5607" t="str">
        <f t="shared" si="2283"/>
        <v>73185</v>
      </c>
      <c r="E5607" t="str">
        <f t="shared" si="2284"/>
        <v>KFH-OPERATIONS DEPARTMENT</v>
      </c>
      <c r="F5607" t="str">
        <f t="shared" si="2285"/>
        <v>IBG</v>
      </c>
      <c r="G5607" t="str">
        <f t="shared" si="2294"/>
        <v>Refund COSHARE 10</v>
      </c>
      <c r="H5607" s="2">
        <v>747.15</v>
      </c>
      <c r="I5607" t="str">
        <f>"SITI AZLINA BINTI RAMLI"</f>
        <v>SITI AZLINA BINTI RAMLI</v>
      </c>
      <c r="J5607" t="str">
        <f t="shared" si="2280"/>
        <v>CIMB BANK / CIMB ISLAMIC BANK</v>
      </c>
      <c r="K5607" t="str">
        <f>"7051289682"</f>
        <v>7051289682</v>
      </c>
      <c r="L5607" t="str">
        <f t="shared" ref="L5607:M5626" si="2301">"04-08-2020"</f>
        <v>04-08-2020</v>
      </c>
      <c r="M5607" t="str">
        <f t="shared" si="2301"/>
        <v>04-08-2020</v>
      </c>
      <c r="N5607" t="str">
        <f t="shared" si="2286"/>
        <v>001105018356</v>
      </c>
      <c r="O5607" t="str">
        <f t="shared" si="2287"/>
        <v>MYR</v>
      </c>
      <c r="P5607" t="str">
        <f t="shared" ref="P5607:Q5626" si="2302">"NIL"</f>
        <v>NIL</v>
      </c>
      <c r="Q5607" t="str">
        <f t="shared" si="2302"/>
        <v>NIL</v>
      </c>
      <c r="R5607" t="str">
        <f t="shared" si="2299"/>
        <v>Accepted</v>
      </c>
      <c r="S5607" t="str">
        <f t="shared" si="2288"/>
        <v>Approved</v>
      </c>
      <c r="T5607" t="str">
        <f t="shared" si="2300"/>
        <v>10.20.8.188</v>
      </c>
      <c r="U5607" t="str">
        <f t="shared" si="2289"/>
        <v>AZRAD UMAR BIN SHAARI</v>
      </c>
      <c r="V5607" t="str">
        <f t="shared" si="2290"/>
        <v>FARHANA BINTI MUSTAPA</v>
      </c>
      <c r="W5607" t="str">
        <f t="shared" si="2291"/>
        <v>04-08-2020</v>
      </c>
      <c r="X5607" t="str">
        <f t="shared" si="2292"/>
        <v>RAZIMAH ANSAR AHMAD</v>
      </c>
      <c r="Y5607" t="str">
        <f t="shared" si="2293"/>
        <v>04-08-2020</v>
      </c>
      <c r="Z5607" t="str">
        <f>"COS10200804 3547"</f>
        <v>COS10200804 3547</v>
      </c>
    </row>
    <row r="5608" spans="1:26" x14ac:dyDescent="0.25">
      <c r="A5608" t="str">
        <f t="shared" si="2295"/>
        <v>04-08-2020 12:45:31</v>
      </c>
      <c r="B5608" t="str">
        <f>"0000805316"</f>
        <v>0000805316</v>
      </c>
      <c r="C5608" t="str">
        <f t="shared" si="2296"/>
        <v>0000805170</v>
      </c>
      <c r="D5608" t="str">
        <f t="shared" si="2283"/>
        <v>73185</v>
      </c>
      <c r="E5608" t="str">
        <f t="shared" si="2284"/>
        <v>KFH-OPERATIONS DEPARTMENT</v>
      </c>
      <c r="F5608" t="str">
        <f t="shared" si="2285"/>
        <v>IBG</v>
      </c>
      <c r="G5608" t="str">
        <f t="shared" si="2294"/>
        <v>Refund COSHARE 10</v>
      </c>
      <c r="H5608" s="2">
        <v>258</v>
      </c>
      <c r="I5608" t="str">
        <f>"SITI ALIZA BINTI SALLEH"</f>
        <v>SITI ALIZA BINTI SALLEH</v>
      </c>
      <c r="J5608" t="str">
        <f t="shared" si="2280"/>
        <v>CIMB BANK / CIMB ISLAMIC BANK</v>
      </c>
      <c r="K5608" t="str">
        <f>"7608160998"</f>
        <v>7608160998</v>
      </c>
      <c r="L5608" t="str">
        <f t="shared" si="2301"/>
        <v>04-08-2020</v>
      </c>
      <c r="M5608" t="str">
        <f t="shared" si="2301"/>
        <v>04-08-2020</v>
      </c>
      <c r="N5608" t="str">
        <f t="shared" si="2286"/>
        <v>001105018356</v>
      </c>
      <c r="O5608" t="str">
        <f t="shared" si="2287"/>
        <v>MYR</v>
      </c>
      <c r="P5608" t="str">
        <f t="shared" si="2302"/>
        <v>NIL</v>
      </c>
      <c r="Q5608" t="str">
        <f t="shared" si="2302"/>
        <v>NIL</v>
      </c>
      <c r="R5608" t="str">
        <f t="shared" si="2299"/>
        <v>Accepted</v>
      </c>
      <c r="S5608" t="str">
        <f t="shared" si="2288"/>
        <v>Approved</v>
      </c>
      <c r="T5608" t="str">
        <f t="shared" si="2300"/>
        <v>10.20.8.188</v>
      </c>
      <c r="U5608" t="str">
        <f t="shared" si="2289"/>
        <v>AZRAD UMAR BIN SHAARI</v>
      </c>
      <c r="V5608" t="str">
        <f t="shared" si="2290"/>
        <v>FARHANA BINTI MUSTAPA</v>
      </c>
      <c r="W5608" t="str">
        <f t="shared" si="2291"/>
        <v>04-08-2020</v>
      </c>
      <c r="X5608" t="str">
        <f t="shared" si="2292"/>
        <v>RAZIMAH ANSAR AHMAD</v>
      </c>
      <c r="Y5608" t="str">
        <f t="shared" si="2293"/>
        <v>04-08-2020</v>
      </c>
      <c r="Z5608" t="str">
        <f>"COS10200804 3546"</f>
        <v>COS10200804 3546</v>
      </c>
    </row>
    <row r="5609" spans="1:26" x14ac:dyDescent="0.25">
      <c r="A5609" t="str">
        <f t="shared" si="2295"/>
        <v>04-08-2020 12:45:31</v>
      </c>
      <c r="B5609" t="str">
        <f>"0000805315"</f>
        <v>0000805315</v>
      </c>
      <c r="C5609" t="str">
        <f t="shared" si="2296"/>
        <v>0000805170</v>
      </c>
      <c r="D5609" t="str">
        <f t="shared" si="2283"/>
        <v>73185</v>
      </c>
      <c r="E5609" t="str">
        <f t="shared" si="2284"/>
        <v>KFH-OPERATIONS DEPARTMENT</v>
      </c>
      <c r="F5609" t="str">
        <f t="shared" si="2285"/>
        <v>IBG</v>
      </c>
      <c r="G5609" t="str">
        <f t="shared" si="2294"/>
        <v>Refund COSHARE 10</v>
      </c>
      <c r="H5609" s="2">
        <v>83.95</v>
      </c>
      <c r="I5609" t="str">
        <f>"SITI AINUL MURSYIDA BINTI SHAMSUDIN"</f>
        <v>SITI AINUL MURSYIDA BINTI SHAMSUDIN</v>
      </c>
      <c r="J5609" t="str">
        <f t="shared" si="2280"/>
        <v>CIMB BANK / CIMB ISLAMIC BANK</v>
      </c>
      <c r="K5609" t="str">
        <f>"08060064334523"</f>
        <v>08060064334523</v>
      </c>
      <c r="L5609" t="str">
        <f t="shared" si="2301"/>
        <v>04-08-2020</v>
      </c>
      <c r="M5609" t="str">
        <f t="shared" si="2301"/>
        <v>04-08-2020</v>
      </c>
      <c r="N5609" t="str">
        <f t="shared" si="2286"/>
        <v>001105018356</v>
      </c>
      <c r="O5609" t="str">
        <f t="shared" si="2287"/>
        <v>MYR</v>
      </c>
      <c r="P5609" t="str">
        <f t="shared" si="2302"/>
        <v>NIL</v>
      </c>
      <c r="Q5609" t="str">
        <f t="shared" si="2302"/>
        <v>NIL</v>
      </c>
      <c r="R5609" t="str">
        <f t="shared" si="2299"/>
        <v>Accepted</v>
      </c>
      <c r="S5609" t="str">
        <f t="shared" si="2288"/>
        <v>Approved</v>
      </c>
      <c r="T5609" t="str">
        <f t="shared" si="2300"/>
        <v>10.20.8.188</v>
      </c>
      <c r="U5609" t="str">
        <f t="shared" si="2289"/>
        <v>AZRAD UMAR BIN SHAARI</v>
      </c>
      <c r="V5609" t="str">
        <f t="shared" si="2290"/>
        <v>FARHANA BINTI MUSTAPA</v>
      </c>
      <c r="W5609" t="str">
        <f t="shared" si="2291"/>
        <v>04-08-2020</v>
      </c>
      <c r="X5609" t="str">
        <f t="shared" si="2292"/>
        <v>RAZIMAH ANSAR AHMAD</v>
      </c>
      <c r="Y5609" t="str">
        <f t="shared" si="2293"/>
        <v>04-08-2020</v>
      </c>
      <c r="Z5609" t="str">
        <f>"COS10200804 3545"</f>
        <v>COS10200804 3545</v>
      </c>
    </row>
    <row r="5610" spans="1:26" x14ac:dyDescent="0.25">
      <c r="A5610" t="str">
        <f t="shared" si="2295"/>
        <v>04-08-2020 12:45:31</v>
      </c>
      <c r="B5610" t="str">
        <f>"0000805314"</f>
        <v>0000805314</v>
      </c>
      <c r="C5610" t="str">
        <f t="shared" si="2296"/>
        <v>0000805170</v>
      </c>
      <c r="D5610" t="str">
        <f t="shared" si="2283"/>
        <v>73185</v>
      </c>
      <c r="E5610" t="str">
        <f t="shared" si="2284"/>
        <v>KFH-OPERATIONS DEPARTMENT</v>
      </c>
      <c r="F5610" t="str">
        <f t="shared" si="2285"/>
        <v>IBG</v>
      </c>
      <c r="G5610" t="str">
        <f t="shared" si="2294"/>
        <v>Refund COSHARE 10</v>
      </c>
      <c r="H5610" s="2">
        <v>587.65</v>
      </c>
      <c r="I5610" t="str">
        <f>"SITI  NOORLIZA BINTI MDSALLEH"</f>
        <v>SITI  NOORLIZA BINTI MDSALLEH</v>
      </c>
      <c r="J5610" t="str">
        <f t="shared" si="2280"/>
        <v>CIMB BANK / CIMB ISLAMIC BANK</v>
      </c>
      <c r="K5610" t="str">
        <f>"12490049014526"</f>
        <v>12490049014526</v>
      </c>
      <c r="L5610" t="str">
        <f t="shared" si="2301"/>
        <v>04-08-2020</v>
      </c>
      <c r="M5610" t="str">
        <f t="shared" si="2301"/>
        <v>04-08-2020</v>
      </c>
      <c r="N5610" t="str">
        <f t="shared" si="2286"/>
        <v>001105018356</v>
      </c>
      <c r="O5610" t="str">
        <f t="shared" si="2287"/>
        <v>MYR</v>
      </c>
      <c r="P5610" t="str">
        <f t="shared" si="2302"/>
        <v>NIL</v>
      </c>
      <c r="Q5610" t="str">
        <f t="shared" si="2302"/>
        <v>NIL</v>
      </c>
      <c r="R5610" t="str">
        <f t="shared" si="2299"/>
        <v>Accepted</v>
      </c>
      <c r="S5610" t="str">
        <f t="shared" si="2288"/>
        <v>Approved</v>
      </c>
      <c r="T5610" t="str">
        <f t="shared" si="2300"/>
        <v>10.20.8.188</v>
      </c>
      <c r="U5610" t="str">
        <f t="shared" si="2289"/>
        <v>AZRAD UMAR BIN SHAARI</v>
      </c>
      <c r="V5610" t="str">
        <f t="shared" si="2290"/>
        <v>FARHANA BINTI MUSTAPA</v>
      </c>
      <c r="W5610" t="str">
        <f t="shared" si="2291"/>
        <v>04-08-2020</v>
      </c>
      <c r="X5610" t="str">
        <f t="shared" si="2292"/>
        <v>RAZIMAH ANSAR AHMAD</v>
      </c>
      <c r="Y5610" t="str">
        <f t="shared" si="2293"/>
        <v>04-08-2020</v>
      </c>
      <c r="Z5610" t="str">
        <f>"COS10200804 3544"</f>
        <v>COS10200804 3544</v>
      </c>
    </row>
    <row r="5611" spans="1:26" x14ac:dyDescent="0.25">
      <c r="A5611" t="str">
        <f t="shared" si="2295"/>
        <v>04-08-2020 12:45:31</v>
      </c>
      <c r="B5611" t="str">
        <f>"0000805313"</f>
        <v>0000805313</v>
      </c>
      <c r="C5611" t="str">
        <f t="shared" si="2296"/>
        <v>0000805170</v>
      </c>
      <c r="D5611" t="str">
        <f t="shared" si="2283"/>
        <v>73185</v>
      </c>
      <c r="E5611" t="str">
        <f t="shared" si="2284"/>
        <v>KFH-OPERATIONS DEPARTMENT</v>
      </c>
      <c r="F5611" t="str">
        <f t="shared" si="2285"/>
        <v>IBG</v>
      </c>
      <c r="G5611" t="str">
        <f t="shared" si="2294"/>
        <v>Refund COSHARE 10</v>
      </c>
      <c r="H5611" s="2">
        <v>50.4</v>
      </c>
      <c r="I5611" t="str">
        <f>"SIMON BIN EPIK"</f>
        <v>SIMON BIN EPIK</v>
      </c>
      <c r="J5611" t="str">
        <f t="shared" si="2280"/>
        <v>CIMB BANK / CIMB ISLAMIC BANK</v>
      </c>
      <c r="K5611" t="str">
        <f>"10080002213523"</f>
        <v>10080002213523</v>
      </c>
      <c r="L5611" t="str">
        <f t="shared" si="2301"/>
        <v>04-08-2020</v>
      </c>
      <c r="M5611" t="str">
        <f t="shared" si="2301"/>
        <v>04-08-2020</v>
      </c>
      <c r="N5611" t="str">
        <f t="shared" si="2286"/>
        <v>001105018356</v>
      </c>
      <c r="O5611" t="str">
        <f t="shared" si="2287"/>
        <v>MYR</v>
      </c>
      <c r="P5611" t="str">
        <f t="shared" si="2302"/>
        <v>NIL</v>
      </c>
      <c r="Q5611" t="str">
        <f t="shared" si="2302"/>
        <v>NIL</v>
      </c>
      <c r="R5611" t="str">
        <f t="shared" si="2299"/>
        <v>Accepted</v>
      </c>
      <c r="S5611" t="str">
        <f t="shared" si="2288"/>
        <v>Approved</v>
      </c>
      <c r="T5611" t="str">
        <f t="shared" si="2300"/>
        <v>10.20.8.188</v>
      </c>
      <c r="U5611" t="str">
        <f t="shared" si="2289"/>
        <v>AZRAD UMAR BIN SHAARI</v>
      </c>
      <c r="V5611" t="str">
        <f t="shared" si="2290"/>
        <v>FARHANA BINTI MUSTAPA</v>
      </c>
      <c r="W5611" t="str">
        <f t="shared" si="2291"/>
        <v>04-08-2020</v>
      </c>
      <c r="X5611" t="str">
        <f t="shared" si="2292"/>
        <v>RAZIMAH ANSAR AHMAD</v>
      </c>
      <c r="Y5611" t="str">
        <f t="shared" si="2293"/>
        <v>04-08-2020</v>
      </c>
      <c r="Z5611" t="str">
        <f>"COS10200804 3543"</f>
        <v>COS10200804 3543</v>
      </c>
    </row>
    <row r="5612" spans="1:26" x14ac:dyDescent="0.25">
      <c r="A5612" t="str">
        <f t="shared" si="2295"/>
        <v>04-08-2020 12:45:31</v>
      </c>
      <c r="B5612" t="str">
        <f>"0000805312"</f>
        <v>0000805312</v>
      </c>
      <c r="C5612" t="str">
        <f t="shared" si="2296"/>
        <v>0000805170</v>
      </c>
      <c r="D5612" t="str">
        <f t="shared" si="2283"/>
        <v>73185</v>
      </c>
      <c r="E5612" t="str">
        <f t="shared" si="2284"/>
        <v>KFH-OPERATIONS DEPARTMENT</v>
      </c>
      <c r="F5612" t="str">
        <f t="shared" si="2285"/>
        <v>IBG</v>
      </c>
      <c r="G5612" t="str">
        <f t="shared" si="2294"/>
        <v>Refund COSHARE 10</v>
      </c>
      <c r="H5612" s="2">
        <v>980</v>
      </c>
      <c r="I5612" t="str">
        <f>"SILVESTER BIN GEORGE"</f>
        <v>SILVESTER BIN GEORGE</v>
      </c>
      <c r="J5612" t="str">
        <f t="shared" si="2280"/>
        <v>CIMB BANK / CIMB ISLAMIC BANK</v>
      </c>
      <c r="K5612" t="str">
        <f>"10050065735524"</f>
        <v>10050065735524</v>
      </c>
      <c r="L5612" t="str">
        <f t="shared" si="2301"/>
        <v>04-08-2020</v>
      </c>
      <c r="M5612" t="str">
        <f t="shared" si="2301"/>
        <v>04-08-2020</v>
      </c>
      <c r="N5612" t="str">
        <f t="shared" si="2286"/>
        <v>001105018356</v>
      </c>
      <c r="O5612" t="str">
        <f t="shared" si="2287"/>
        <v>MYR</v>
      </c>
      <c r="P5612" t="str">
        <f t="shared" si="2302"/>
        <v>NIL</v>
      </c>
      <c r="Q5612" t="str">
        <f t="shared" si="2302"/>
        <v>NIL</v>
      </c>
      <c r="R5612" t="str">
        <f t="shared" si="2299"/>
        <v>Accepted</v>
      </c>
      <c r="S5612" t="str">
        <f t="shared" si="2288"/>
        <v>Approved</v>
      </c>
      <c r="T5612" t="str">
        <f t="shared" si="2300"/>
        <v>10.20.8.188</v>
      </c>
      <c r="U5612" t="str">
        <f t="shared" si="2289"/>
        <v>AZRAD UMAR BIN SHAARI</v>
      </c>
      <c r="V5612" t="str">
        <f t="shared" si="2290"/>
        <v>FARHANA BINTI MUSTAPA</v>
      </c>
      <c r="W5612" t="str">
        <f t="shared" si="2291"/>
        <v>04-08-2020</v>
      </c>
      <c r="X5612" t="str">
        <f t="shared" si="2292"/>
        <v>RAZIMAH ANSAR AHMAD</v>
      </c>
      <c r="Y5612" t="str">
        <f t="shared" si="2293"/>
        <v>04-08-2020</v>
      </c>
      <c r="Z5612" t="str">
        <f>"COS10200804 3542"</f>
        <v>COS10200804 3542</v>
      </c>
    </row>
    <row r="5613" spans="1:26" x14ac:dyDescent="0.25">
      <c r="A5613" t="str">
        <f t="shared" si="2295"/>
        <v>04-08-2020 12:45:31</v>
      </c>
      <c r="B5613" t="str">
        <f>"0000805311"</f>
        <v>0000805311</v>
      </c>
      <c r="C5613" t="str">
        <f t="shared" si="2296"/>
        <v>0000805170</v>
      </c>
      <c r="D5613" t="str">
        <f t="shared" si="2283"/>
        <v>73185</v>
      </c>
      <c r="E5613" t="str">
        <f t="shared" si="2284"/>
        <v>KFH-OPERATIONS DEPARTMENT</v>
      </c>
      <c r="F5613" t="str">
        <f t="shared" si="2285"/>
        <v>IBG</v>
      </c>
      <c r="G5613" t="str">
        <f t="shared" si="2294"/>
        <v>Refund COSHARE 10</v>
      </c>
      <c r="H5613" s="2">
        <v>377</v>
      </c>
      <c r="I5613" t="str">
        <f>"SHUKRI BIN AHMAD"</f>
        <v>SHUKRI BIN AHMAD</v>
      </c>
      <c r="J5613" t="str">
        <f t="shared" si="2280"/>
        <v>CIMB BANK / CIMB ISLAMIC BANK</v>
      </c>
      <c r="K5613" t="str">
        <f>"06060059098527"</f>
        <v>06060059098527</v>
      </c>
      <c r="L5613" t="str">
        <f t="shared" si="2301"/>
        <v>04-08-2020</v>
      </c>
      <c r="M5613" t="str">
        <f t="shared" si="2301"/>
        <v>04-08-2020</v>
      </c>
      <c r="N5613" t="str">
        <f t="shared" si="2286"/>
        <v>001105018356</v>
      </c>
      <c r="O5613" t="str">
        <f t="shared" si="2287"/>
        <v>MYR</v>
      </c>
      <c r="P5613" t="str">
        <f t="shared" si="2302"/>
        <v>NIL</v>
      </c>
      <c r="Q5613" t="str">
        <f t="shared" si="2302"/>
        <v>NIL</v>
      </c>
      <c r="R5613" t="str">
        <f t="shared" si="2299"/>
        <v>Accepted</v>
      </c>
      <c r="S5613" t="str">
        <f t="shared" si="2288"/>
        <v>Approved</v>
      </c>
      <c r="T5613" t="str">
        <f t="shared" si="2300"/>
        <v>10.20.8.188</v>
      </c>
      <c r="U5613" t="str">
        <f t="shared" si="2289"/>
        <v>AZRAD UMAR BIN SHAARI</v>
      </c>
      <c r="V5613" t="str">
        <f t="shared" si="2290"/>
        <v>FARHANA BINTI MUSTAPA</v>
      </c>
      <c r="W5613" t="str">
        <f t="shared" si="2291"/>
        <v>04-08-2020</v>
      </c>
      <c r="X5613" t="str">
        <f t="shared" si="2292"/>
        <v>RAZIMAH ANSAR AHMAD</v>
      </c>
      <c r="Y5613" t="str">
        <f t="shared" si="2293"/>
        <v>04-08-2020</v>
      </c>
      <c r="Z5613" t="str">
        <f>"COS10200804 3541"</f>
        <v>COS10200804 3541</v>
      </c>
    </row>
    <row r="5614" spans="1:26" x14ac:dyDescent="0.25">
      <c r="A5614" t="str">
        <f t="shared" si="2295"/>
        <v>04-08-2020 12:45:31</v>
      </c>
      <c r="B5614" t="str">
        <f>"0000805310"</f>
        <v>0000805310</v>
      </c>
      <c r="C5614" t="str">
        <f t="shared" si="2296"/>
        <v>0000805170</v>
      </c>
      <c r="D5614" t="str">
        <f t="shared" si="2283"/>
        <v>73185</v>
      </c>
      <c r="E5614" t="str">
        <f t="shared" si="2284"/>
        <v>KFH-OPERATIONS DEPARTMENT</v>
      </c>
      <c r="F5614" t="str">
        <f t="shared" si="2285"/>
        <v>IBG</v>
      </c>
      <c r="G5614" t="str">
        <f t="shared" si="2294"/>
        <v>Refund COSHARE 10</v>
      </c>
      <c r="H5614" s="2">
        <v>1679</v>
      </c>
      <c r="I5614" t="str">
        <f>"SHUKRAN BIN YUSOF"</f>
        <v>SHUKRAN BIN YUSOF</v>
      </c>
      <c r="J5614" t="str">
        <f t="shared" si="2280"/>
        <v>CIMB BANK / CIMB ISLAMIC BANK</v>
      </c>
      <c r="K5614" t="str">
        <f>"12360013844522"</f>
        <v>12360013844522</v>
      </c>
      <c r="L5614" t="str">
        <f t="shared" si="2301"/>
        <v>04-08-2020</v>
      </c>
      <c r="M5614" t="str">
        <f t="shared" si="2301"/>
        <v>04-08-2020</v>
      </c>
      <c r="N5614" t="str">
        <f t="shared" si="2286"/>
        <v>001105018356</v>
      </c>
      <c r="O5614" t="str">
        <f t="shared" si="2287"/>
        <v>MYR</v>
      </c>
      <c r="P5614" t="str">
        <f t="shared" si="2302"/>
        <v>NIL</v>
      </c>
      <c r="Q5614" t="str">
        <f t="shared" si="2302"/>
        <v>NIL</v>
      </c>
      <c r="R5614" t="str">
        <f t="shared" si="2299"/>
        <v>Accepted</v>
      </c>
      <c r="S5614" t="str">
        <f t="shared" si="2288"/>
        <v>Approved</v>
      </c>
      <c r="T5614" t="str">
        <f t="shared" si="2300"/>
        <v>10.20.8.188</v>
      </c>
      <c r="U5614" t="str">
        <f t="shared" si="2289"/>
        <v>AZRAD UMAR BIN SHAARI</v>
      </c>
      <c r="V5614" t="str">
        <f t="shared" si="2290"/>
        <v>FARHANA BINTI MUSTAPA</v>
      </c>
      <c r="W5614" t="str">
        <f t="shared" si="2291"/>
        <v>04-08-2020</v>
      </c>
      <c r="X5614" t="str">
        <f t="shared" si="2292"/>
        <v>RAZIMAH ANSAR AHMAD</v>
      </c>
      <c r="Y5614" t="str">
        <f t="shared" si="2293"/>
        <v>04-08-2020</v>
      </c>
      <c r="Z5614" t="str">
        <f>"COS10200804 3540"</f>
        <v>COS10200804 3540</v>
      </c>
    </row>
    <row r="5615" spans="1:26" x14ac:dyDescent="0.25">
      <c r="A5615" t="str">
        <f t="shared" si="2295"/>
        <v>04-08-2020 12:45:31</v>
      </c>
      <c r="B5615" t="str">
        <f>"0000805309"</f>
        <v>0000805309</v>
      </c>
      <c r="C5615" t="str">
        <f t="shared" si="2296"/>
        <v>0000805170</v>
      </c>
      <c r="D5615" t="str">
        <f t="shared" si="2283"/>
        <v>73185</v>
      </c>
      <c r="E5615" t="str">
        <f t="shared" si="2284"/>
        <v>KFH-OPERATIONS DEPARTMENT</v>
      </c>
      <c r="F5615" t="str">
        <f t="shared" si="2285"/>
        <v>IBG</v>
      </c>
      <c r="G5615" t="str">
        <f t="shared" si="2294"/>
        <v>Refund COSHARE 10</v>
      </c>
      <c r="H5615" s="2">
        <v>604.45000000000005</v>
      </c>
      <c r="I5615" t="str">
        <f>"SHUHARDI BIN MAHMOOD"</f>
        <v>SHUHARDI BIN MAHMOOD</v>
      </c>
      <c r="J5615" t="str">
        <f t="shared" si="2280"/>
        <v>CIMB BANK / CIMB ISLAMIC BANK</v>
      </c>
      <c r="K5615" t="str">
        <f>"14400097756525"</f>
        <v>14400097756525</v>
      </c>
      <c r="L5615" t="str">
        <f t="shared" si="2301"/>
        <v>04-08-2020</v>
      </c>
      <c r="M5615" t="str">
        <f t="shared" si="2301"/>
        <v>04-08-2020</v>
      </c>
      <c r="N5615" t="str">
        <f t="shared" si="2286"/>
        <v>001105018356</v>
      </c>
      <c r="O5615" t="str">
        <f t="shared" si="2287"/>
        <v>MYR</v>
      </c>
      <c r="P5615" t="str">
        <f t="shared" si="2302"/>
        <v>NIL</v>
      </c>
      <c r="Q5615" t="str">
        <f t="shared" si="2302"/>
        <v>NIL</v>
      </c>
      <c r="R5615" t="str">
        <f t="shared" si="2299"/>
        <v>Accepted</v>
      </c>
      <c r="S5615" t="str">
        <f t="shared" si="2288"/>
        <v>Approved</v>
      </c>
      <c r="T5615" t="str">
        <f t="shared" si="2300"/>
        <v>10.20.8.188</v>
      </c>
      <c r="U5615" t="str">
        <f t="shared" si="2289"/>
        <v>AZRAD UMAR BIN SHAARI</v>
      </c>
      <c r="V5615" t="str">
        <f t="shared" si="2290"/>
        <v>FARHANA BINTI MUSTAPA</v>
      </c>
      <c r="W5615" t="str">
        <f t="shared" si="2291"/>
        <v>04-08-2020</v>
      </c>
      <c r="X5615" t="str">
        <f t="shared" si="2292"/>
        <v>RAZIMAH ANSAR AHMAD</v>
      </c>
      <c r="Y5615" t="str">
        <f t="shared" si="2293"/>
        <v>04-08-2020</v>
      </c>
      <c r="Z5615" t="str">
        <f>"COS10200804 3539"</f>
        <v>COS10200804 3539</v>
      </c>
    </row>
    <row r="5616" spans="1:26" x14ac:dyDescent="0.25">
      <c r="A5616" t="str">
        <f t="shared" si="2295"/>
        <v>04-08-2020 12:45:31</v>
      </c>
      <c r="B5616" t="str">
        <f>"0000805308"</f>
        <v>0000805308</v>
      </c>
      <c r="C5616" t="str">
        <f t="shared" si="2296"/>
        <v>0000805170</v>
      </c>
      <c r="D5616" t="str">
        <f t="shared" si="2283"/>
        <v>73185</v>
      </c>
      <c r="E5616" t="str">
        <f t="shared" si="2284"/>
        <v>KFH-OPERATIONS DEPARTMENT</v>
      </c>
      <c r="F5616" t="str">
        <f t="shared" si="2285"/>
        <v>IBG</v>
      </c>
      <c r="G5616" t="str">
        <f t="shared" si="2294"/>
        <v>Refund COSHARE 10</v>
      </c>
      <c r="H5616" s="2">
        <v>115.35</v>
      </c>
      <c r="I5616" t="str">
        <f>"SHUHAIRIAH BINTI SHAMSUDIN"</f>
        <v>SHUHAIRIAH BINTI SHAMSUDIN</v>
      </c>
      <c r="J5616" t="str">
        <f t="shared" si="2280"/>
        <v>CIMB BANK / CIMB ISLAMIC BANK</v>
      </c>
      <c r="K5616" t="str">
        <f>"06080028585523"</f>
        <v>06080028585523</v>
      </c>
      <c r="L5616" t="str">
        <f t="shared" si="2301"/>
        <v>04-08-2020</v>
      </c>
      <c r="M5616" t="str">
        <f t="shared" si="2301"/>
        <v>04-08-2020</v>
      </c>
      <c r="N5616" t="str">
        <f t="shared" si="2286"/>
        <v>001105018356</v>
      </c>
      <c r="O5616" t="str">
        <f t="shared" si="2287"/>
        <v>MYR</v>
      </c>
      <c r="P5616" t="str">
        <f t="shared" si="2302"/>
        <v>NIL</v>
      </c>
      <c r="Q5616" t="str">
        <f t="shared" si="2302"/>
        <v>NIL</v>
      </c>
      <c r="R5616" t="str">
        <f t="shared" si="2299"/>
        <v>Accepted</v>
      </c>
      <c r="S5616" t="str">
        <f t="shared" si="2288"/>
        <v>Approved</v>
      </c>
      <c r="T5616" t="str">
        <f t="shared" si="2300"/>
        <v>10.20.8.188</v>
      </c>
      <c r="U5616" t="str">
        <f t="shared" si="2289"/>
        <v>AZRAD UMAR BIN SHAARI</v>
      </c>
      <c r="V5616" t="str">
        <f t="shared" si="2290"/>
        <v>FARHANA BINTI MUSTAPA</v>
      </c>
      <c r="W5616" t="str">
        <f t="shared" si="2291"/>
        <v>04-08-2020</v>
      </c>
      <c r="X5616" t="str">
        <f t="shared" si="2292"/>
        <v>RAZIMAH ANSAR AHMAD</v>
      </c>
      <c r="Y5616" t="str">
        <f t="shared" si="2293"/>
        <v>04-08-2020</v>
      </c>
      <c r="Z5616" t="str">
        <f>"COS10200804 3538"</f>
        <v>COS10200804 3538</v>
      </c>
    </row>
    <row r="5617" spans="1:26" x14ac:dyDescent="0.25">
      <c r="A5617" t="str">
        <f t="shared" si="2295"/>
        <v>04-08-2020 12:45:31</v>
      </c>
      <c r="B5617" t="str">
        <f>"0000805307"</f>
        <v>0000805307</v>
      </c>
      <c r="C5617" t="str">
        <f t="shared" si="2296"/>
        <v>0000805170</v>
      </c>
      <c r="D5617" t="str">
        <f t="shared" si="2283"/>
        <v>73185</v>
      </c>
      <c r="E5617" t="str">
        <f t="shared" si="2284"/>
        <v>KFH-OPERATIONS DEPARTMENT</v>
      </c>
      <c r="F5617" t="str">
        <f t="shared" si="2285"/>
        <v>IBG</v>
      </c>
      <c r="G5617" t="str">
        <f t="shared" si="2294"/>
        <v>Refund COSHARE 10</v>
      </c>
      <c r="H5617" s="2">
        <v>320.25</v>
      </c>
      <c r="I5617" t="str">
        <f>"SHUAIMEE BIN MOHAMAD SALLEH"</f>
        <v>SHUAIMEE BIN MOHAMAD SALLEH</v>
      </c>
      <c r="J5617" t="str">
        <f t="shared" si="2280"/>
        <v>CIMB BANK / CIMB ISLAMIC BANK</v>
      </c>
      <c r="K5617" t="str">
        <f>"7600575005"</f>
        <v>7600575005</v>
      </c>
      <c r="L5617" t="str">
        <f t="shared" si="2301"/>
        <v>04-08-2020</v>
      </c>
      <c r="M5617" t="str">
        <f t="shared" si="2301"/>
        <v>04-08-2020</v>
      </c>
      <c r="N5617" t="str">
        <f t="shared" si="2286"/>
        <v>001105018356</v>
      </c>
      <c r="O5617" t="str">
        <f t="shared" si="2287"/>
        <v>MYR</v>
      </c>
      <c r="P5617" t="str">
        <f t="shared" si="2302"/>
        <v>NIL</v>
      </c>
      <c r="Q5617" t="str">
        <f t="shared" si="2302"/>
        <v>NIL</v>
      </c>
      <c r="R5617" t="str">
        <f t="shared" si="2299"/>
        <v>Accepted</v>
      </c>
      <c r="S5617" t="str">
        <f t="shared" si="2288"/>
        <v>Approved</v>
      </c>
      <c r="T5617" t="str">
        <f t="shared" si="2300"/>
        <v>10.20.8.188</v>
      </c>
      <c r="U5617" t="str">
        <f t="shared" si="2289"/>
        <v>AZRAD UMAR BIN SHAARI</v>
      </c>
      <c r="V5617" t="str">
        <f t="shared" si="2290"/>
        <v>FARHANA BINTI MUSTAPA</v>
      </c>
      <c r="W5617" t="str">
        <f t="shared" si="2291"/>
        <v>04-08-2020</v>
      </c>
      <c r="X5617" t="str">
        <f t="shared" si="2292"/>
        <v>RAZIMAH ANSAR AHMAD</v>
      </c>
      <c r="Y5617" t="str">
        <f t="shared" si="2293"/>
        <v>04-08-2020</v>
      </c>
      <c r="Z5617" t="str">
        <f>"COS10200804 3537"</f>
        <v>COS10200804 3537</v>
      </c>
    </row>
    <row r="5618" spans="1:26" x14ac:dyDescent="0.25">
      <c r="A5618" t="str">
        <f t="shared" ref="A5618:A5649" si="2303">"04-08-2020 12:45:31"</f>
        <v>04-08-2020 12:45:31</v>
      </c>
      <c r="B5618" t="str">
        <f>"0000805306"</f>
        <v>0000805306</v>
      </c>
      <c r="C5618" t="str">
        <f t="shared" ref="C5618:C5649" si="2304">"0000805170"</f>
        <v>0000805170</v>
      </c>
      <c r="D5618" t="str">
        <f t="shared" si="2283"/>
        <v>73185</v>
      </c>
      <c r="E5618" t="str">
        <f t="shared" si="2284"/>
        <v>KFH-OPERATIONS DEPARTMENT</v>
      </c>
      <c r="F5618" t="str">
        <f t="shared" si="2285"/>
        <v>IBG</v>
      </c>
      <c r="G5618" t="str">
        <f t="shared" si="2294"/>
        <v>Refund COSHARE 10</v>
      </c>
      <c r="H5618" s="2">
        <v>842.4</v>
      </c>
      <c r="I5618" t="str">
        <f>"SHREESHIVADASAN  AL CHELLIAPAN"</f>
        <v>SHREESHIVADASAN  AL CHELLIAPAN</v>
      </c>
      <c r="J5618" t="str">
        <f t="shared" si="2280"/>
        <v>CIMB BANK / CIMB ISLAMIC BANK</v>
      </c>
      <c r="K5618" t="str">
        <f>"12280069036524"</f>
        <v>12280069036524</v>
      </c>
      <c r="L5618" t="str">
        <f t="shared" si="2301"/>
        <v>04-08-2020</v>
      </c>
      <c r="M5618" t="str">
        <f t="shared" si="2301"/>
        <v>04-08-2020</v>
      </c>
      <c r="N5618" t="str">
        <f t="shared" si="2286"/>
        <v>001105018356</v>
      </c>
      <c r="O5618" t="str">
        <f t="shared" si="2287"/>
        <v>MYR</v>
      </c>
      <c r="P5618" t="str">
        <f t="shared" si="2302"/>
        <v>NIL</v>
      </c>
      <c r="Q5618" t="str">
        <f t="shared" si="2302"/>
        <v>NIL</v>
      </c>
      <c r="R5618" t="str">
        <f t="shared" si="2299"/>
        <v>Accepted</v>
      </c>
      <c r="S5618" t="str">
        <f t="shared" si="2288"/>
        <v>Approved</v>
      </c>
      <c r="T5618" t="str">
        <f t="shared" si="2300"/>
        <v>10.20.8.188</v>
      </c>
      <c r="U5618" t="str">
        <f t="shared" si="2289"/>
        <v>AZRAD UMAR BIN SHAARI</v>
      </c>
      <c r="V5618" t="str">
        <f t="shared" si="2290"/>
        <v>FARHANA BINTI MUSTAPA</v>
      </c>
      <c r="W5618" t="str">
        <f t="shared" si="2291"/>
        <v>04-08-2020</v>
      </c>
      <c r="X5618" t="str">
        <f t="shared" si="2292"/>
        <v>RAZIMAH ANSAR AHMAD</v>
      </c>
      <c r="Y5618" t="str">
        <f t="shared" si="2293"/>
        <v>04-08-2020</v>
      </c>
      <c r="Z5618" t="str">
        <f>"COS10200804 3536"</f>
        <v>COS10200804 3536</v>
      </c>
    </row>
    <row r="5619" spans="1:26" x14ac:dyDescent="0.25">
      <c r="A5619" t="str">
        <f t="shared" si="2303"/>
        <v>04-08-2020 12:45:31</v>
      </c>
      <c r="B5619" t="str">
        <f>"0000805305"</f>
        <v>0000805305</v>
      </c>
      <c r="C5619" t="str">
        <f t="shared" si="2304"/>
        <v>0000805170</v>
      </c>
      <c r="D5619" t="str">
        <f t="shared" si="2283"/>
        <v>73185</v>
      </c>
      <c r="E5619" t="str">
        <f t="shared" si="2284"/>
        <v>KFH-OPERATIONS DEPARTMENT</v>
      </c>
      <c r="F5619" t="str">
        <f t="shared" si="2285"/>
        <v>IBG</v>
      </c>
      <c r="G5619" t="str">
        <f t="shared" si="2294"/>
        <v>Refund COSHARE 10</v>
      </c>
      <c r="H5619" s="2">
        <v>982</v>
      </c>
      <c r="I5619" t="str">
        <f>"SHIRLEY TEOH SHYUE HUA"</f>
        <v>SHIRLEY TEOH SHYUE HUA</v>
      </c>
      <c r="J5619" t="str">
        <f t="shared" si="2280"/>
        <v>CIMB BANK / CIMB ISLAMIC BANK</v>
      </c>
      <c r="K5619" t="str">
        <f>"10020043828528"</f>
        <v>10020043828528</v>
      </c>
      <c r="L5619" t="str">
        <f t="shared" si="2301"/>
        <v>04-08-2020</v>
      </c>
      <c r="M5619" t="str">
        <f t="shared" si="2301"/>
        <v>04-08-2020</v>
      </c>
      <c r="N5619" t="str">
        <f t="shared" si="2286"/>
        <v>001105018356</v>
      </c>
      <c r="O5619" t="str">
        <f t="shared" si="2287"/>
        <v>MYR</v>
      </c>
      <c r="P5619" t="str">
        <f t="shared" si="2302"/>
        <v>NIL</v>
      </c>
      <c r="Q5619" t="str">
        <f t="shared" si="2302"/>
        <v>NIL</v>
      </c>
      <c r="R5619" t="str">
        <f t="shared" si="2299"/>
        <v>Accepted</v>
      </c>
      <c r="S5619" t="str">
        <f t="shared" si="2288"/>
        <v>Approved</v>
      </c>
      <c r="T5619" t="str">
        <f t="shared" si="2300"/>
        <v>10.20.8.188</v>
      </c>
      <c r="U5619" t="str">
        <f t="shared" si="2289"/>
        <v>AZRAD UMAR BIN SHAARI</v>
      </c>
      <c r="V5619" t="str">
        <f t="shared" si="2290"/>
        <v>FARHANA BINTI MUSTAPA</v>
      </c>
      <c r="W5619" t="str">
        <f t="shared" si="2291"/>
        <v>04-08-2020</v>
      </c>
      <c r="X5619" t="str">
        <f t="shared" si="2292"/>
        <v>RAZIMAH ANSAR AHMAD</v>
      </c>
      <c r="Y5619" t="str">
        <f t="shared" si="2293"/>
        <v>04-08-2020</v>
      </c>
      <c r="Z5619" t="str">
        <f>"COS10200804 3535"</f>
        <v>COS10200804 3535</v>
      </c>
    </row>
    <row r="5620" spans="1:26" x14ac:dyDescent="0.25">
      <c r="A5620" t="str">
        <f t="shared" si="2303"/>
        <v>04-08-2020 12:45:31</v>
      </c>
      <c r="B5620" t="str">
        <f>"0000805304"</f>
        <v>0000805304</v>
      </c>
      <c r="C5620" t="str">
        <f t="shared" si="2304"/>
        <v>0000805170</v>
      </c>
      <c r="D5620" t="str">
        <f t="shared" si="2283"/>
        <v>73185</v>
      </c>
      <c r="E5620" t="str">
        <f t="shared" si="2284"/>
        <v>KFH-OPERATIONS DEPARTMENT</v>
      </c>
      <c r="F5620" t="str">
        <f t="shared" si="2285"/>
        <v>IBG</v>
      </c>
      <c r="G5620" t="str">
        <f t="shared" si="2294"/>
        <v>Refund COSHARE 10</v>
      </c>
      <c r="H5620" s="2">
        <v>1708</v>
      </c>
      <c r="I5620" t="str">
        <f>"SHEELA AP MTIRUCHELVAM"</f>
        <v>SHEELA AP MTIRUCHELVAM</v>
      </c>
      <c r="J5620" t="str">
        <f t="shared" si="2280"/>
        <v>CIMB BANK / CIMB ISLAMIC BANK</v>
      </c>
      <c r="K5620" t="str">
        <f>"7604049374"</f>
        <v>7604049374</v>
      </c>
      <c r="L5620" t="str">
        <f t="shared" si="2301"/>
        <v>04-08-2020</v>
      </c>
      <c r="M5620" t="str">
        <f t="shared" si="2301"/>
        <v>04-08-2020</v>
      </c>
      <c r="N5620" t="str">
        <f t="shared" si="2286"/>
        <v>001105018356</v>
      </c>
      <c r="O5620" t="str">
        <f t="shared" si="2287"/>
        <v>MYR</v>
      </c>
      <c r="P5620" t="str">
        <f t="shared" si="2302"/>
        <v>NIL</v>
      </c>
      <c r="Q5620" t="str">
        <f t="shared" si="2302"/>
        <v>NIL</v>
      </c>
      <c r="R5620" t="str">
        <f t="shared" si="2299"/>
        <v>Accepted</v>
      </c>
      <c r="S5620" t="str">
        <f t="shared" si="2288"/>
        <v>Approved</v>
      </c>
      <c r="T5620" t="str">
        <f t="shared" si="2300"/>
        <v>10.20.8.188</v>
      </c>
      <c r="U5620" t="str">
        <f t="shared" si="2289"/>
        <v>AZRAD UMAR BIN SHAARI</v>
      </c>
      <c r="V5620" t="str">
        <f t="shared" si="2290"/>
        <v>FARHANA BINTI MUSTAPA</v>
      </c>
      <c r="W5620" t="str">
        <f t="shared" si="2291"/>
        <v>04-08-2020</v>
      </c>
      <c r="X5620" t="str">
        <f t="shared" si="2292"/>
        <v>RAZIMAH ANSAR AHMAD</v>
      </c>
      <c r="Y5620" t="str">
        <f t="shared" si="2293"/>
        <v>04-08-2020</v>
      </c>
      <c r="Z5620" t="str">
        <f>"COS10200804 3534"</f>
        <v>COS10200804 3534</v>
      </c>
    </row>
    <row r="5621" spans="1:26" x14ac:dyDescent="0.25">
      <c r="A5621" t="str">
        <f t="shared" si="2303"/>
        <v>04-08-2020 12:45:31</v>
      </c>
      <c r="B5621" t="str">
        <f>"0000805303"</f>
        <v>0000805303</v>
      </c>
      <c r="C5621" t="str">
        <f t="shared" si="2304"/>
        <v>0000805170</v>
      </c>
      <c r="D5621" t="str">
        <f t="shared" si="2283"/>
        <v>73185</v>
      </c>
      <c r="E5621" t="str">
        <f t="shared" si="2284"/>
        <v>KFH-OPERATIONS DEPARTMENT</v>
      </c>
      <c r="F5621" t="str">
        <f t="shared" si="2285"/>
        <v>IBG</v>
      </c>
      <c r="G5621" t="str">
        <f t="shared" si="2294"/>
        <v>Refund COSHARE 10</v>
      </c>
      <c r="H5621" s="2">
        <v>537.29999999999995</v>
      </c>
      <c r="I5621" t="str">
        <f>"SHAWALNIZAM BIN MOHAMAT"</f>
        <v>SHAWALNIZAM BIN MOHAMAT</v>
      </c>
      <c r="J5621" t="str">
        <f t="shared" si="2280"/>
        <v>CIMB BANK / CIMB ISLAMIC BANK</v>
      </c>
      <c r="K5621" t="str">
        <f>"7003911428"</f>
        <v>7003911428</v>
      </c>
      <c r="L5621" t="str">
        <f t="shared" si="2301"/>
        <v>04-08-2020</v>
      </c>
      <c r="M5621" t="str">
        <f t="shared" si="2301"/>
        <v>04-08-2020</v>
      </c>
      <c r="N5621" t="str">
        <f t="shared" si="2286"/>
        <v>001105018356</v>
      </c>
      <c r="O5621" t="str">
        <f t="shared" si="2287"/>
        <v>MYR</v>
      </c>
      <c r="P5621" t="str">
        <f t="shared" si="2302"/>
        <v>NIL</v>
      </c>
      <c r="Q5621" t="str">
        <f t="shared" si="2302"/>
        <v>NIL</v>
      </c>
      <c r="R5621" t="str">
        <f t="shared" si="2299"/>
        <v>Accepted</v>
      </c>
      <c r="S5621" t="str">
        <f t="shared" si="2288"/>
        <v>Approved</v>
      </c>
      <c r="T5621" t="str">
        <f t="shared" si="2300"/>
        <v>10.20.8.188</v>
      </c>
      <c r="U5621" t="str">
        <f t="shared" si="2289"/>
        <v>AZRAD UMAR BIN SHAARI</v>
      </c>
      <c r="V5621" t="str">
        <f t="shared" si="2290"/>
        <v>FARHANA BINTI MUSTAPA</v>
      </c>
      <c r="W5621" t="str">
        <f t="shared" si="2291"/>
        <v>04-08-2020</v>
      </c>
      <c r="X5621" t="str">
        <f t="shared" si="2292"/>
        <v>RAZIMAH ANSAR AHMAD</v>
      </c>
      <c r="Y5621" t="str">
        <f t="shared" si="2293"/>
        <v>04-08-2020</v>
      </c>
      <c r="Z5621" t="str">
        <f>"COS10200804 3533"</f>
        <v>COS10200804 3533</v>
      </c>
    </row>
    <row r="5622" spans="1:26" x14ac:dyDescent="0.25">
      <c r="A5622" t="str">
        <f t="shared" si="2303"/>
        <v>04-08-2020 12:45:31</v>
      </c>
      <c r="B5622" t="str">
        <f>"0000805302"</f>
        <v>0000805302</v>
      </c>
      <c r="C5622" t="str">
        <f t="shared" si="2304"/>
        <v>0000805170</v>
      </c>
      <c r="D5622" t="str">
        <f t="shared" si="2283"/>
        <v>73185</v>
      </c>
      <c r="E5622" t="str">
        <f t="shared" si="2284"/>
        <v>KFH-OPERATIONS DEPARTMENT</v>
      </c>
      <c r="F5622" t="str">
        <f t="shared" si="2285"/>
        <v>IBG</v>
      </c>
      <c r="G5622" t="str">
        <f t="shared" si="2294"/>
        <v>Refund COSHARE 10</v>
      </c>
      <c r="H5622" s="2">
        <v>125.95</v>
      </c>
      <c r="I5622" t="str">
        <f>"SHARYNUR BIN SAPDI"</f>
        <v>SHARYNUR BIN SAPDI</v>
      </c>
      <c r="J5622" t="str">
        <f t="shared" si="2280"/>
        <v>CIMB BANK / CIMB ISLAMIC BANK</v>
      </c>
      <c r="K5622" t="str">
        <f>"10020087896524"</f>
        <v>10020087896524</v>
      </c>
      <c r="L5622" t="str">
        <f t="shared" si="2301"/>
        <v>04-08-2020</v>
      </c>
      <c r="M5622" t="str">
        <f t="shared" si="2301"/>
        <v>04-08-2020</v>
      </c>
      <c r="N5622" t="str">
        <f t="shared" si="2286"/>
        <v>001105018356</v>
      </c>
      <c r="O5622" t="str">
        <f t="shared" si="2287"/>
        <v>MYR</v>
      </c>
      <c r="P5622" t="str">
        <f t="shared" si="2302"/>
        <v>NIL</v>
      </c>
      <c r="Q5622" t="str">
        <f t="shared" si="2302"/>
        <v>NIL</v>
      </c>
      <c r="R5622" t="str">
        <f t="shared" si="2299"/>
        <v>Accepted</v>
      </c>
      <c r="S5622" t="str">
        <f t="shared" si="2288"/>
        <v>Approved</v>
      </c>
      <c r="T5622" t="str">
        <f t="shared" si="2300"/>
        <v>10.20.8.188</v>
      </c>
      <c r="U5622" t="str">
        <f t="shared" si="2289"/>
        <v>AZRAD UMAR BIN SHAARI</v>
      </c>
      <c r="V5622" t="str">
        <f t="shared" si="2290"/>
        <v>FARHANA BINTI MUSTAPA</v>
      </c>
      <c r="W5622" t="str">
        <f t="shared" si="2291"/>
        <v>04-08-2020</v>
      </c>
      <c r="X5622" t="str">
        <f t="shared" si="2292"/>
        <v>RAZIMAH ANSAR AHMAD</v>
      </c>
      <c r="Y5622" t="str">
        <f t="shared" si="2293"/>
        <v>04-08-2020</v>
      </c>
      <c r="Z5622" t="str">
        <f>"COS10200804 3532"</f>
        <v>COS10200804 3532</v>
      </c>
    </row>
    <row r="5623" spans="1:26" x14ac:dyDescent="0.25">
      <c r="A5623" t="str">
        <f t="shared" si="2303"/>
        <v>04-08-2020 12:45:31</v>
      </c>
      <c r="B5623" t="str">
        <f>"0000805301"</f>
        <v>0000805301</v>
      </c>
      <c r="C5623" t="str">
        <f t="shared" si="2304"/>
        <v>0000805170</v>
      </c>
      <c r="D5623" t="str">
        <f t="shared" si="2283"/>
        <v>73185</v>
      </c>
      <c r="E5623" t="str">
        <f t="shared" si="2284"/>
        <v>KFH-OPERATIONS DEPARTMENT</v>
      </c>
      <c r="F5623" t="str">
        <f t="shared" si="2285"/>
        <v>IBG</v>
      </c>
      <c r="G5623" t="str">
        <f t="shared" si="2294"/>
        <v>Refund COSHARE 10</v>
      </c>
      <c r="H5623" s="2">
        <v>511.65</v>
      </c>
      <c r="I5623" t="str">
        <f>"SHARNIHAN BINTI ISHAK"</f>
        <v>SHARNIHAN BINTI ISHAK</v>
      </c>
      <c r="J5623" t="str">
        <f t="shared" si="2280"/>
        <v>CIMB BANK / CIMB ISLAMIC BANK</v>
      </c>
      <c r="K5623" t="str">
        <f>"08160078709523"</f>
        <v>08160078709523</v>
      </c>
      <c r="L5623" t="str">
        <f t="shared" si="2301"/>
        <v>04-08-2020</v>
      </c>
      <c r="M5623" t="str">
        <f t="shared" si="2301"/>
        <v>04-08-2020</v>
      </c>
      <c r="N5623" t="str">
        <f t="shared" si="2286"/>
        <v>001105018356</v>
      </c>
      <c r="O5623" t="str">
        <f t="shared" si="2287"/>
        <v>MYR</v>
      </c>
      <c r="P5623" t="str">
        <f t="shared" si="2302"/>
        <v>NIL</v>
      </c>
      <c r="Q5623" t="str">
        <f t="shared" si="2302"/>
        <v>NIL</v>
      </c>
      <c r="R5623" t="str">
        <f t="shared" si="2299"/>
        <v>Accepted</v>
      </c>
      <c r="S5623" t="str">
        <f t="shared" si="2288"/>
        <v>Approved</v>
      </c>
      <c r="T5623" t="str">
        <f t="shared" si="2300"/>
        <v>10.20.8.188</v>
      </c>
      <c r="U5623" t="str">
        <f t="shared" si="2289"/>
        <v>AZRAD UMAR BIN SHAARI</v>
      </c>
      <c r="V5623" t="str">
        <f t="shared" si="2290"/>
        <v>FARHANA BINTI MUSTAPA</v>
      </c>
      <c r="W5623" t="str">
        <f t="shared" si="2291"/>
        <v>04-08-2020</v>
      </c>
      <c r="X5623" t="str">
        <f t="shared" si="2292"/>
        <v>RAZIMAH ANSAR AHMAD</v>
      </c>
      <c r="Y5623" t="str">
        <f t="shared" si="2293"/>
        <v>04-08-2020</v>
      </c>
      <c r="Z5623" t="str">
        <f>"COS10200804 3531"</f>
        <v>COS10200804 3531</v>
      </c>
    </row>
    <row r="5624" spans="1:26" x14ac:dyDescent="0.25">
      <c r="A5624" t="str">
        <f t="shared" si="2303"/>
        <v>04-08-2020 12:45:31</v>
      </c>
      <c r="B5624" t="str">
        <f>"0000805300"</f>
        <v>0000805300</v>
      </c>
      <c r="C5624" t="str">
        <f t="shared" si="2304"/>
        <v>0000805170</v>
      </c>
      <c r="D5624" t="str">
        <f t="shared" si="2283"/>
        <v>73185</v>
      </c>
      <c r="E5624" t="str">
        <f t="shared" si="2284"/>
        <v>KFH-OPERATIONS DEPARTMENT</v>
      </c>
      <c r="F5624" t="str">
        <f t="shared" si="2285"/>
        <v>IBG</v>
      </c>
      <c r="G5624" t="str">
        <f t="shared" si="2294"/>
        <v>Refund COSHARE 10</v>
      </c>
      <c r="H5624" s="2">
        <v>605.79999999999995</v>
      </c>
      <c r="I5624" t="str">
        <f>"SHARMILA HANIM BT JAINAL  ZAINAL"</f>
        <v>SHARMILA HANIM BT JAINAL  ZAINAL</v>
      </c>
      <c r="J5624" t="str">
        <f t="shared" si="2280"/>
        <v>CIMB BANK / CIMB ISLAMIC BANK</v>
      </c>
      <c r="K5624" t="str">
        <f>"12010000272203"</f>
        <v>12010000272203</v>
      </c>
      <c r="L5624" t="str">
        <f t="shared" si="2301"/>
        <v>04-08-2020</v>
      </c>
      <c r="M5624" t="str">
        <f t="shared" si="2301"/>
        <v>04-08-2020</v>
      </c>
      <c r="N5624" t="str">
        <f t="shared" si="2286"/>
        <v>001105018356</v>
      </c>
      <c r="O5624" t="str">
        <f t="shared" si="2287"/>
        <v>MYR</v>
      </c>
      <c r="P5624" t="str">
        <f t="shared" si="2302"/>
        <v>NIL</v>
      </c>
      <c r="Q5624" t="str">
        <f t="shared" si="2302"/>
        <v>NIL</v>
      </c>
      <c r="R5624" t="str">
        <f t="shared" si="2299"/>
        <v>Accepted</v>
      </c>
      <c r="S5624" t="str">
        <f t="shared" si="2288"/>
        <v>Approved</v>
      </c>
      <c r="T5624" t="str">
        <f t="shared" si="2300"/>
        <v>10.20.8.188</v>
      </c>
      <c r="U5624" t="str">
        <f t="shared" si="2289"/>
        <v>AZRAD UMAR BIN SHAARI</v>
      </c>
      <c r="V5624" t="str">
        <f t="shared" si="2290"/>
        <v>FARHANA BINTI MUSTAPA</v>
      </c>
      <c r="W5624" t="str">
        <f t="shared" si="2291"/>
        <v>04-08-2020</v>
      </c>
      <c r="X5624" t="str">
        <f t="shared" si="2292"/>
        <v>RAZIMAH ANSAR AHMAD</v>
      </c>
      <c r="Y5624" t="str">
        <f t="shared" si="2293"/>
        <v>04-08-2020</v>
      </c>
      <c r="Z5624" t="str">
        <f>"COS10200804 3530"</f>
        <v>COS10200804 3530</v>
      </c>
    </row>
    <row r="5625" spans="1:26" x14ac:dyDescent="0.25">
      <c r="A5625" t="str">
        <f t="shared" si="2303"/>
        <v>04-08-2020 12:45:31</v>
      </c>
      <c r="B5625" t="str">
        <f>"0000805299"</f>
        <v>0000805299</v>
      </c>
      <c r="C5625" t="str">
        <f t="shared" si="2304"/>
        <v>0000805170</v>
      </c>
      <c r="D5625" t="str">
        <f t="shared" si="2283"/>
        <v>73185</v>
      </c>
      <c r="E5625" t="str">
        <f t="shared" si="2284"/>
        <v>KFH-OPERATIONS DEPARTMENT</v>
      </c>
      <c r="F5625" t="str">
        <f t="shared" si="2285"/>
        <v>IBG</v>
      </c>
      <c r="G5625" t="str">
        <f t="shared" si="2294"/>
        <v>Refund COSHARE 10</v>
      </c>
      <c r="H5625" s="2">
        <v>1328</v>
      </c>
      <c r="I5625" t="str">
        <f>"SHARMILA BINTI SALISI"</f>
        <v>SHARMILA BINTI SALISI</v>
      </c>
      <c r="J5625" t="str">
        <f t="shared" si="2280"/>
        <v>CIMB BANK / CIMB ISLAMIC BANK</v>
      </c>
      <c r="K5625" t="str">
        <f>"10070025138520"</f>
        <v>10070025138520</v>
      </c>
      <c r="L5625" t="str">
        <f t="shared" si="2301"/>
        <v>04-08-2020</v>
      </c>
      <c r="M5625" t="str">
        <f t="shared" si="2301"/>
        <v>04-08-2020</v>
      </c>
      <c r="N5625" t="str">
        <f t="shared" si="2286"/>
        <v>001105018356</v>
      </c>
      <c r="O5625" t="str">
        <f t="shared" si="2287"/>
        <v>MYR</v>
      </c>
      <c r="P5625" t="str">
        <f t="shared" si="2302"/>
        <v>NIL</v>
      </c>
      <c r="Q5625" t="str">
        <f t="shared" si="2302"/>
        <v>NIL</v>
      </c>
      <c r="R5625" t="str">
        <f t="shared" si="2299"/>
        <v>Accepted</v>
      </c>
      <c r="S5625" t="str">
        <f t="shared" si="2288"/>
        <v>Approved</v>
      </c>
      <c r="T5625" t="str">
        <f t="shared" si="2300"/>
        <v>10.20.8.188</v>
      </c>
      <c r="U5625" t="str">
        <f t="shared" si="2289"/>
        <v>AZRAD UMAR BIN SHAARI</v>
      </c>
      <c r="V5625" t="str">
        <f t="shared" si="2290"/>
        <v>FARHANA BINTI MUSTAPA</v>
      </c>
      <c r="W5625" t="str">
        <f t="shared" si="2291"/>
        <v>04-08-2020</v>
      </c>
      <c r="X5625" t="str">
        <f t="shared" si="2292"/>
        <v>RAZIMAH ANSAR AHMAD</v>
      </c>
      <c r="Y5625" t="str">
        <f t="shared" si="2293"/>
        <v>04-08-2020</v>
      </c>
      <c r="Z5625" t="str">
        <f>"COS10200804 3529"</f>
        <v>COS10200804 3529</v>
      </c>
    </row>
    <row r="5626" spans="1:26" x14ac:dyDescent="0.25">
      <c r="A5626" t="str">
        <f t="shared" si="2303"/>
        <v>04-08-2020 12:45:31</v>
      </c>
      <c r="B5626" t="str">
        <f>"0000805298"</f>
        <v>0000805298</v>
      </c>
      <c r="C5626" t="str">
        <f t="shared" si="2304"/>
        <v>0000805170</v>
      </c>
      <c r="D5626" t="str">
        <f t="shared" si="2283"/>
        <v>73185</v>
      </c>
      <c r="E5626" t="str">
        <f t="shared" si="2284"/>
        <v>KFH-OPERATIONS DEPARTMENT</v>
      </c>
      <c r="F5626" t="str">
        <f t="shared" si="2285"/>
        <v>IBG</v>
      </c>
      <c r="G5626" t="str">
        <f t="shared" si="2294"/>
        <v>Refund COSHARE 10</v>
      </c>
      <c r="H5626" s="2">
        <v>1208.9000000000001</v>
      </c>
      <c r="I5626" t="str">
        <f>"SHARIZAN BINTI SHAHARRUDDIN"</f>
        <v>SHARIZAN BINTI SHAHARRUDDIN</v>
      </c>
      <c r="J5626" t="str">
        <f t="shared" si="2280"/>
        <v>CIMB BANK / CIMB ISLAMIC BANK</v>
      </c>
      <c r="K5626" t="str">
        <f>"14410026831523"</f>
        <v>14410026831523</v>
      </c>
      <c r="L5626" t="str">
        <f t="shared" si="2301"/>
        <v>04-08-2020</v>
      </c>
      <c r="M5626" t="str">
        <f t="shared" si="2301"/>
        <v>04-08-2020</v>
      </c>
      <c r="N5626" t="str">
        <f t="shared" si="2286"/>
        <v>001105018356</v>
      </c>
      <c r="O5626" t="str">
        <f t="shared" si="2287"/>
        <v>MYR</v>
      </c>
      <c r="P5626" t="str">
        <f t="shared" si="2302"/>
        <v>NIL</v>
      </c>
      <c r="Q5626" t="str">
        <f t="shared" si="2302"/>
        <v>NIL</v>
      </c>
      <c r="R5626" t="str">
        <f t="shared" si="2299"/>
        <v>Accepted</v>
      </c>
      <c r="S5626" t="str">
        <f t="shared" si="2288"/>
        <v>Approved</v>
      </c>
      <c r="T5626" t="str">
        <f t="shared" si="2300"/>
        <v>10.20.8.188</v>
      </c>
      <c r="U5626" t="str">
        <f t="shared" si="2289"/>
        <v>AZRAD UMAR BIN SHAARI</v>
      </c>
      <c r="V5626" t="str">
        <f t="shared" si="2290"/>
        <v>FARHANA BINTI MUSTAPA</v>
      </c>
      <c r="W5626" t="str">
        <f t="shared" si="2291"/>
        <v>04-08-2020</v>
      </c>
      <c r="X5626" t="str">
        <f t="shared" si="2292"/>
        <v>RAZIMAH ANSAR AHMAD</v>
      </c>
      <c r="Y5626" t="str">
        <f t="shared" si="2293"/>
        <v>04-08-2020</v>
      </c>
      <c r="Z5626" t="str">
        <f>"COS10200804 3528"</f>
        <v>COS10200804 3528</v>
      </c>
    </row>
    <row r="5627" spans="1:26" x14ac:dyDescent="0.25">
      <c r="A5627" t="str">
        <f t="shared" si="2303"/>
        <v>04-08-2020 12:45:31</v>
      </c>
      <c r="B5627" t="str">
        <f>"0000805297"</f>
        <v>0000805297</v>
      </c>
      <c r="C5627" t="str">
        <f t="shared" si="2304"/>
        <v>0000805170</v>
      </c>
      <c r="D5627" t="str">
        <f t="shared" si="2283"/>
        <v>73185</v>
      </c>
      <c r="E5627" t="str">
        <f t="shared" si="2284"/>
        <v>KFH-OPERATIONS DEPARTMENT</v>
      </c>
      <c r="F5627" t="str">
        <f t="shared" si="2285"/>
        <v>IBG</v>
      </c>
      <c r="G5627" t="str">
        <f t="shared" si="2294"/>
        <v>Refund COSHARE 10</v>
      </c>
      <c r="H5627" s="2">
        <v>888</v>
      </c>
      <c r="I5627" t="str">
        <f>"SHARIPAH BINTI IBRAHIM"</f>
        <v>SHARIPAH BINTI IBRAHIM</v>
      </c>
      <c r="J5627" t="str">
        <f t="shared" si="2280"/>
        <v>CIMB BANK / CIMB ISLAMIC BANK</v>
      </c>
      <c r="K5627" t="str">
        <f>"14400059847522"</f>
        <v>14400059847522</v>
      </c>
      <c r="L5627" t="str">
        <f t="shared" ref="L5627:M5646" si="2305">"04-08-2020"</f>
        <v>04-08-2020</v>
      </c>
      <c r="M5627" t="str">
        <f t="shared" si="2305"/>
        <v>04-08-2020</v>
      </c>
      <c r="N5627" t="str">
        <f t="shared" si="2286"/>
        <v>001105018356</v>
      </c>
      <c r="O5627" t="str">
        <f t="shared" si="2287"/>
        <v>MYR</v>
      </c>
      <c r="P5627" t="str">
        <f t="shared" ref="P5627:Q5646" si="2306">"NIL"</f>
        <v>NIL</v>
      </c>
      <c r="Q5627" t="str">
        <f t="shared" si="2306"/>
        <v>NIL</v>
      </c>
      <c r="R5627" t="str">
        <f t="shared" si="2299"/>
        <v>Accepted</v>
      </c>
      <c r="S5627" t="str">
        <f t="shared" si="2288"/>
        <v>Approved</v>
      </c>
      <c r="T5627" t="str">
        <f t="shared" si="2300"/>
        <v>10.20.8.188</v>
      </c>
      <c r="U5627" t="str">
        <f t="shared" si="2289"/>
        <v>AZRAD UMAR BIN SHAARI</v>
      </c>
      <c r="V5627" t="str">
        <f t="shared" si="2290"/>
        <v>FARHANA BINTI MUSTAPA</v>
      </c>
      <c r="W5627" t="str">
        <f t="shared" si="2291"/>
        <v>04-08-2020</v>
      </c>
      <c r="X5627" t="str">
        <f t="shared" si="2292"/>
        <v>RAZIMAH ANSAR AHMAD</v>
      </c>
      <c r="Y5627" t="str">
        <f t="shared" si="2293"/>
        <v>04-08-2020</v>
      </c>
      <c r="Z5627" t="str">
        <f>"COS10200804 3527"</f>
        <v>COS10200804 3527</v>
      </c>
    </row>
    <row r="5628" spans="1:26" x14ac:dyDescent="0.25">
      <c r="A5628" t="str">
        <f t="shared" si="2303"/>
        <v>04-08-2020 12:45:31</v>
      </c>
      <c r="B5628" t="str">
        <f>"0000805296"</f>
        <v>0000805296</v>
      </c>
      <c r="C5628" t="str">
        <f t="shared" si="2304"/>
        <v>0000805170</v>
      </c>
      <c r="D5628" t="str">
        <f t="shared" si="2283"/>
        <v>73185</v>
      </c>
      <c r="E5628" t="str">
        <f t="shared" si="2284"/>
        <v>KFH-OPERATIONS DEPARTMENT</v>
      </c>
      <c r="F5628" t="str">
        <f t="shared" si="2285"/>
        <v>IBG</v>
      </c>
      <c r="G5628" t="str">
        <f t="shared" si="2294"/>
        <v>Refund COSHARE 10</v>
      </c>
      <c r="H5628" s="2">
        <v>1519.5</v>
      </c>
      <c r="I5628" t="str">
        <f>"SHARIFAH SALMAHHIZAM BINTI SYED SALLEH"</f>
        <v>SHARIFAH SALMAHHIZAM BINTI SYED SALLEH</v>
      </c>
      <c r="J5628" t="str">
        <f t="shared" ref="J5628:J5691" si="2307">"CIMB BANK / CIMB ISLAMIC BANK"</f>
        <v>CIMB BANK / CIMB ISLAMIC BANK</v>
      </c>
      <c r="K5628" t="str">
        <f>"7003519282"</f>
        <v>7003519282</v>
      </c>
      <c r="L5628" t="str">
        <f t="shared" si="2305"/>
        <v>04-08-2020</v>
      </c>
      <c r="M5628" t="str">
        <f t="shared" si="2305"/>
        <v>04-08-2020</v>
      </c>
      <c r="N5628" t="str">
        <f t="shared" si="2286"/>
        <v>001105018356</v>
      </c>
      <c r="O5628" t="str">
        <f t="shared" si="2287"/>
        <v>MYR</v>
      </c>
      <c r="P5628" t="str">
        <f t="shared" si="2306"/>
        <v>NIL</v>
      </c>
      <c r="Q5628" t="str">
        <f t="shared" si="2306"/>
        <v>NIL</v>
      </c>
      <c r="R5628" t="str">
        <f t="shared" si="2299"/>
        <v>Accepted</v>
      </c>
      <c r="S5628" t="str">
        <f t="shared" si="2288"/>
        <v>Approved</v>
      </c>
      <c r="T5628" t="str">
        <f t="shared" si="2300"/>
        <v>10.20.8.188</v>
      </c>
      <c r="U5628" t="str">
        <f t="shared" si="2289"/>
        <v>AZRAD UMAR BIN SHAARI</v>
      </c>
      <c r="V5628" t="str">
        <f t="shared" si="2290"/>
        <v>FARHANA BINTI MUSTAPA</v>
      </c>
      <c r="W5628" t="str">
        <f t="shared" si="2291"/>
        <v>04-08-2020</v>
      </c>
      <c r="X5628" t="str">
        <f t="shared" si="2292"/>
        <v>RAZIMAH ANSAR AHMAD</v>
      </c>
      <c r="Y5628" t="str">
        <f t="shared" si="2293"/>
        <v>04-08-2020</v>
      </c>
      <c r="Z5628" t="str">
        <f>"COS10200804 3526"</f>
        <v>COS10200804 3526</v>
      </c>
    </row>
    <row r="5629" spans="1:26" x14ac:dyDescent="0.25">
      <c r="A5629" t="str">
        <f t="shared" si="2303"/>
        <v>04-08-2020 12:45:31</v>
      </c>
      <c r="B5629" t="str">
        <f>"0000805295"</f>
        <v>0000805295</v>
      </c>
      <c r="C5629" t="str">
        <f t="shared" si="2304"/>
        <v>0000805170</v>
      </c>
      <c r="D5629" t="str">
        <f t="shared" si="2283"/>
        <v>73185</v>
      </c>
      <c r="E5629" t="str">
        <f t="shared" si="2284"/>
        <v>KFH-OPERATIONS DEPARTMENT</v>
      </c>
      <c r="F5629" t="str">
        <f t="shared" si="2285"/>
        <v>IBG</v>
      </c>
      <c r="G5629" t="str">
        <f t="shared" si="2294"/>
        <v>Refund COSHARE 10</v>
      </c>
      <c r="H5629" s="2">
        <v>839.5</v>
      </c>
      <c r="I5629" t="str">
        <f>"SHARIFAH SABARINA BINTI TUAN BAHARU"</f>
        <v>SHARIFAH SABARINA BINTI TUAN BAHARU</v>
      </c>
      <c r="J5629" t="str">
        <f t="shared" si="2307"/>
        <v>CIMB BANK / CIMB ISLAMIC BANK</v>
      </c>
      <c r="K5629" t="str">
        <f>"03020066978527"</f>
        <v>03020066978527</v>
      </c>
      <c r="L5629" t="str">
        <f t="shared" si="2305"/>
        <v>04-08-2020</v>
      </c>
      <c r="M5629" t="str">
        <f t="shared" si="2305"/>
        <v>04-08-2020</v>
      </c>
      <c r="N5629" t="str">
        <f t="shared" si="2286"/>
        <v>001105018356</v>
      </c>
      <c r="O5629" t="str">
        <f t="shared" si="2287"/>
        <v>MYR</v>
      </c>
      <c r="P5629" t="str">
        <f t="shared" si="2306"/>
        <v>NIL</v>
      </c>
      <c r="Q5629" t="str">
        <f t="shared" si="2306"/>
        <v>NIL</v>
      </c>
      <c r="R5629" t="str">
        <f t="shared" si="2299"/>
        <v>Accepted</v>
      </c>
      <c r="S5629" t="str">
        <f t="shared" si="2288"/>
        <v>Approved</v>
      </c>
      <c r="T5629" t="str">
        <f t="shared" si="2300"/>
        <v>10.20.8.188</v>
      </c>
      <c r="U5629" t="str">
        <f t="shared" si="2289"/>
        <v>AZRAD UMAR BIN SHAARI</v>
      </c>
      <c r="V5629" t="str">
        <f t="shared" si="2290"/>
        <v>FARHANA BINTI MUSTAPA</v>
      </c>
      <c r="W5629" t="str">
        <f t="shared" si="2291"/>
        <v>04-08-2020</v>
      </c>
      <c r="X5629" t="str">
        <f t="shared" si="2292"/>
        <v>RAZIMAH ANSAR AHMAD</v>
      </c>
      <c r="Y5629" t="str">
        <f t="shared" si="2293"/>
        <v>04-08-2020</v>
      </c>
      <c r="Z5629" t="str">
        <f>"COS10200804 3525"</f>
        <v>COS10200804 3525</v>
      </c>
    </row>
    <row r="5630" spans="1:26" x14ac:dyDescent="0.25">
      <c r="A5630" t="str">
        <f t="shared" si="2303"/>
        <v>04-08-2020 12:45:31</v>
      </c>
      <c r="B5630" t="str">
        <f>"0000805294"</f>
        <v>0000805294</v>
      </c>
      <c r="C5630" t="str">
        <f t="shared" si="2304"/>
        <v>0000805170</v>
      </c>
      <c r="D5630" t="str">
        <f t="shared" si="2283"/>
        <v>73185</v>
      </c>
      <c r="E5630" t="str">
        <f t="shared" si="2284"/>
        <v>KFH-OPERATIONS DEPARTMENT</v>
      </c>
      <c r="F5630" t="str">
        <f t="shared" si="2285"/>
        <v>IBG</v>
      </c>
      <c r="G5630" t="str">
        <f t="shared" si="2294"/>
        <v>Refund COSHARE 10</v>
      </c>
      <c r="H5630" s="2">
        <v>839.5</v>
      </c>
      <c r="I5630" t="str">
        <f>"SHARIFAH NUR SHAFIDA BINTI SYED AZHAR"</f>
        <v>SHARIFAH NUR SHAFIDA BINTI SYED AZHAR</v>
      </c>
      <c r="J5630" t="str">
        <f t="shared" si="2307"/>
        <v>CIMB BANK / CIMB ISLAMIC BANK</v>
      </c>
      <c r="K5630" t="str">
        <f>"12150069720523"</f>
        <v>12150069720523</v>
      </c>
      <c r="L5630" t="str">
        <f t="shared" si="2305"/>
        <v>04-08-2020</v>
      </c>
      <c r="M5630" t="str">
        <f t="shared" si="2305"/>
        <v>04-08-2020</v>
      </c>
      <c r="N5630" t="str">
        <f t="shared" si="2286"/>
        <v>001105018356</v>
      </c>
      <c r="O5630" t="str">
        <f t="shared" si="2287"/>
        <v>MYR</v>
      </c>
      <c r="P5630" t="str">
        <f t="shared" si="2306"/>
        <v>NIL</v>
      </c>
      <c r="Q5630" t="str">
        <f t="shared" si="2306"/>
        <v>NIL</v>
      </c>
      <c r="R5630" t="str">
        <f t="shared" si="2299"/>
        <v>Accepted</v>
      </c>
      <c r="S5630" t="str">
        <f t="shared" si="2288"/>
        <v>Approved</v>
      </c>
      <c r="T5630" t="str">
        <f t="shared" si="2300"/>
        <v>10.20.8.188</v>
      </c>
      <c r="U5630" t="str">
        <f t="shared" si="2289"/>
        <v>AZRAD UMAR BIN SHAARI</v>
      </c>
      <c r="V5630" t="str">
        <f t="shared" si="2290"/>
        <v>FARHANA BINTI MUSTAPA</v>
      </c>
      <c r="W5630" t="str">
        <f t="shared" si="2291"/>
        <v>04-08-2020</v>
      </c>
      <c r="X5630" t="str">
        <f t="shared" si="2292"/>
        <v>RAZIMAH ANSAR AHMAD</v>
      </c>
      <c r="Y5630" t="str">
        <f t="shared" si="2293"/>
        <v>04-08-2020</v>
      </c>
      <c r="Z5630" t="str">
        <f>"COS10200804 3524"</f>
        <v>COS10200804 3524</v>
      </c>
    </row>
    <row r="5631" spans="1:26" x14ac:dyDescent="0.25">
      <c r="A5631" t="str">
        <f t="shared" si="2303"/>
        <v>04-08-2020 12:45:31</v>
      </c>
      <c r="B5631" t="str">
        <f>"0000805293"</f>
        <v>0000805293</v>
      </c>
      <c r="C5631" t="str">
        <f t="shared" si="2304"/>
        <v>0000805170</v>
      </c>
      <c r="D5631" t="str">
        <f t="shared" si="2283"/>
        <v>73185</v>
      </c>
      <c r="E5631" t="str">
        <f t="shared" si="2284"/>
        <v>KFH-OPERATIONS DEPARTMENT</v>
      </c>
      <c r="F5631" t="str">
        <f t="shared" si="2285"/>
        <v>IBG</v>
      </c>
      <c r="G5631" t="str">
        <f t="shared" si="2294"/>
        <v>Refund COSHARE 10</v>
      </c>
      <c r="H5631" s="2">
        <v>554</v>
      </c>
      <c r="I5631" t="str">
        <f>"SHARIFAH NOR ASILAH BINTI SYED BASIR"</f>
        <v>SHARIFAH NOR ASILAH BINTI SYED BASIR</v>
      </c>
      <c r="J5631" t="str">
        <f t="shared" si="2307"/>
        <v>CIMB BANK / CIMB ISLAMIC BANK</v>
      </c>
      <c r="K5631" t="str">
        <f>"05080077748521"</f>
        <v>05080077748521</v>
      </c>
      <c r="L5631" t="str">
        <f t="shared" si="2305"/>
        <v>04-08-2020</v>
      </c>
      <c r="M5631" t="str">
        <f t="shared" si="2305"/>
        <v>04-08-2020</v>
      </c>
      <c r="N5631" t="str">
        <f t="shared" si="2286"/>
        <v>001105018356</v>
      </c>
      <c r="O5631" t="str">
        <f t="shared" si="2287"/>
        <v>MYR</v>
      </c>
      <c r="P5631" t="str">
        <f t="shared" si="2306"/>
        <v>NIL</v>
      </c>
      <c r="Q5631" t="str">
        <f t="shared" si="2306"/>
        <v>NIL</v>
      </c>
      <c r="R5631" t="str">
        <f t="shared" si="2299"/>
        <v>Accepted</v>
      </c>
      <c r="S5631" t="str">
        <f t="shared" si="2288"/>
        <v>Approved</v>
      </c>
      <c r="T5631" t="str">
        <f t="shared" si="2300"/>
        <v>10.20.8.188</v>
      </c>
      <c r="U5631" t="str">
        <f t="shared" si="2289"/>
        <v>AZRAD UMAR BIN SHAARI</v>
      </c>
      <c r="V5631" t="str">
        <f t="shared" si="2290"/>
        <v>FARHANA BINTI MUSTAPA</v>
      </c>
      <c r="W5631" t="str">
        <f t="shared" si="2291"/>
        <v>04-08-2020</v>
      </c>
      <c r="X5631" t="str">
        <f t="shared" si="2292"/>
        <v>RAZIMAH ANSAR AHMAD</v>
      </c>
      <c r="Y5631" t="str">
        <f t="shared" si="2293"/>
        <v>04-08-2020</v>
      </c>
      <c r="Z5631" t="str">
        <f>"COS10200804 3523"</f>
        <v>COS10200804 3523</v>
      </c>
    </row>
    <row r="5632" spans="1:26" x14ac:dyDescent="0.25">
      <c r="A5632" t="str">
        <f t="shared" si="2303"/>
        <v>04-08-2020 12:45:31</v>
      </c>
      <c r="B5632" t="str">
        <f>"0000805292"</f>
        <v>0000805292</v>
      </c>
      <c r="C5632" t="str">
        <f t="shared" si="2304"/>
        <v>0000805170</v>
      </c>
      <c r="D5632" t="str">
        <f t="shared" si="2283"/>
        <v>73185</v>
      </c>
      <c r="E5632" t="str">
        <f t="shared" si="2284"/>
        <v>KFH-OPERATIONS DEPARTMENT</v>
      </c>
      <c r="F5632" t="str">
        <f t="shared" si="2285"/>
        <v>IBG</v>
      </c>
      <c r="G5632" t="str">
        <f t="shared" si="2294"/>
        <v>Refund COSHARE 10</v>
      </c>
      <c r="H5632" s="2">
        <v>368</v>
      </c>
      <c r="I5632" t="str">
        <f>"SHARIFAH BINTI AHMAD"</f>
        <v>SHARIFAH BINTI AHMAD</v>
      </c>
      <c r="J5632" t="str">
        <f t="shared" si="2307"/>
        <v>CIMB BANK / CIMB ISLAMIC BANK</v>
      </c>
      <c r="K5632" t="str">
        <f>"02060071915520"</f>
        <v>02060071915520</v>
      </c>
      <c r="L5632" t="str">
        <f t="shared" si="2305"/>
        <v>04-08-2020</v>
      </c>
      <c r="M5632" t="str">
        <f t="shared" si="2305"/>
        <v>04-08-2020</v>
      </c>
      <c r="N5632" t="str">
        <f t="shared" si="2286"/>
        <v>001105018356</v>
      </c>
      <c r="O5632" t="str">
        <f t="shared" si="2287"/>
        <v>MYR</v>
      </c>
      <c r="P5632" t="str">
        <f t="shared" si="2306"/>
        <v>NIL</v>
      </c>
      <c r="Q5632" t="str">
        <f t="shared" si="2306"/>
        <v>NIL</v>
      </c>
      <c r="R5632" t="str">
        <f t="shared" si="2299"/>
        <v>Accepted</v>
      </c>
      <c r="S5632" t="str">
        <f t="shared" si="2288"/>
        <v>Approved</v>
      </c>
      <c r="T5632" t="str">
        <f t="shared" si="2300"/>
        <v>10.20.8.188</v>
      </c>
      <c r="U5632" t="str">
        <f t="shared" si="2289"/>
        <v>AZRAD UMAR BIN SHAARI</v>
      </c>
      <c r="V5632" t="str">
        <f t="shared" si="2290"/>
        <v>FARHANA BINTI MUSTAPA</v>
      </c>
      <c r="W5632" t="str">
        <f t="shared" si="2291"/>
        <v>04-08-2020</v>
      </c>
      <c r="X5632" t="str">
        <f t="shared" si="2292"/>
        <v>RAZIMAH ANSAR AHMAD</v>
      </c>
      <c r="Y5632" t="str">
        <f t="shared" si="2293"/>
        <v>04-08-2020</v>
      </c>
      <c r="Z5632" t="str">
        <f>"COS10200804 3522"</f>
        <v>COS10200804 3522</v>
      </c>
    </row>
    <row r="5633" spans="1:26" x14ac:dyDescent="0.25">
      <c r="A5633" t="str">
        <f t="shared" si="2303"/>
        <v>04-08-2020 12:45:31</v>
      </c>
      <c r="B5633" t="str">
        <f>"0000805291"</f>
        <v>0000805291</v>
      </c>
      <c r="C5633" t="str">
        <f t="shared" si="2304"/>
        <v>0000805170</v>
      </c>
      <c r="D5633" t="str">
        <f t="shared" si="2283"/>
        <v>73185</v>
      </c>
      <c r="E5633" t="str">
        <f t="shared" si="2284"/>
        <v>KFH-OPERATIONS DEPARTMENT</v>
      </c>
      <c r="F5633" t="str">
        <f t="shared" si="2285"/>
        <v>IBG</v>
      </c>
      <c r="G5633" t="str">
        <f t="shared" si="2294"/>
        <v>Refund COSHARE 10</v>
      </c>
      <c r="H5633" s="2">
        <v>585</v>
      </c>
      <c r="I5633" t="str">
        <f>"SHARIFAH BINTI ABRAHMAN"</f>
        <v>SHARIFAH BINTI ABRAHMAN</v>
      </c>
      <c r="J5633" t="str">
        <f t="shared" si="2307"/>
        <v>CIMB BANK / CIMB ISLAMIC BANK</v>
      </c>
      <c r="K5633" t="str">
        <f>"14240061969529"</f>
        <v>14240061969529</v>
      </c>
      <c r="L5633" t="str">
        <f t="shared" si="2305"/>
        <v>04-08-2020</v>
      </c>
      <c r="M5633" t="str">
        <f t="shared" si="2305"/>
        <v>04-08-2020</v>
      </c>
      <c r="N5633" t="str">
        <f t="shared" si="2286"/>
        <v>001105018356</v>
      </c>
      <c r="O5633" t="str">
        <f t="shared" si="2287"/>
        <v>MYR</v>
      </c>
      <c r="P5633" t="str">
        <f t="shared" si="2306"/>
        <v>NIL</v>
      </c>
      <c r="Q5633" t="str">
        <f t="shared" si="2306"/>
        <v>NIL</v>
      </c>
      <c r="R5633" t="str">
        <f t="shared" si="2299"/>
        <v>Accepted</v>
      </c>
      <c r="S5633" t="str">
        <f t="shared" si="2288"/>
        <v>Approved</v>
      </c>
      <c r="T5633" t="str">
        <f t="shared" si="2300"/>
        <v>10.20.8.188</v>
      </c>
      <c r="U5633" t="str">
        <f t="shared" si="2289"/>
        <v>AZRAD UMAR BIN SHAARI</v>
      </c>
      <c r="V5633" t="str">
        <f t="shared" si="2290"/>
        <v>FARHANA BINTI MUSTAPA</v>
      </c>
      <c r="W5633" t="str">
        <f t="shared" si="2291"/>
        <v>04-08-2020</v>
      </c>
      <c r="X5633" t="str">
        <f t="shared" si="2292"/>
        <v>RAZIMAH ANSAR AHMAD</v>
      </c>
      <c r="Y5633" t="str">
        <f t="shared" si="2293"/>
        <v>04-08-2020</v>
      </c>
      <c r="Z5633" t="str">
        <f>"COS10200804 3521"</f>
        <v>COS10200804 3521</v>
      </c>
    </row>
    <row r="5634" spans="1:26" x14ac:dyDescent="0.25">
      <c r="A5634" t="str">
        <f t="shared" si="2303"/>
        <v>04-08-2020 12:45:31</v>
      </c>
      <c r="B5634" t="str">
        <f>"0000805290"</f>
        <v>0000805290</v>
      </c>
      <c r="C5634" t="str">
        <f t="shared" si="2304"/>
        <v>0000805170</v>
      </c>
      <c r="D5634" t="str">
        <f t="shared" si="2283"/>
        <v>73185</v>
      </c>
      <c r="E5634" t="str">
        <f t="shared" si="2284"/>
        <v>KFH-OPERATIONS DEPARTMENT</v>
      </c>
      <c r="F5634" t="str">
        <f t="shared" si="2285"/>
        <v>IBG</v>
      </c>
      <c r="G5634" t="str">
        <f t="shared" si="2294"/>
        <v>Refund COSHARE 10</v>
      </c>
      <c r="H5634" s="2">
        <v>528.9</v>
      </c>
      <c r="I5634" t="str">
        <f>"SHANTHIE AP KRISHNAN"</f>
        <v>SHANTHIE AP KRISHNAN</v>
      </c>
      <c r="J5634" t="str">
        <f t="shared" si="2307"/>
        <v>CIMB BANK / CIMB ISLAMIC BANK</v>
      </c>
      <c r="K5634" t="str">
        <f>"7059332150"</f>
        <v>7059332150</v>
      </c>
      <c r="L5634" t="str">
        <f t="shared" si="2305"/>
        <v>04-08-2020</v>
      </c>
      <c r="M5634" t="str">
        <f t="shared" si="2305"/>
        <v>04-08-2020</v>
      </c>
      <c r="N5634" t="str">
        <f t="shared" si="2286"/>
        <v>001105018356</v>
      </c>
      <c r="O5634" t="str">
        <f t="shared" si="2287"/>
        <v>MYR</v>
      </c>
      <c r="P5634" t="str">
        <f t="shared" si="2306"/>
        <v>NIL</v>
      </c>
      <c r="Q5634" t="str">
        <f t="shared" si="2306"/>
        <v>NIL</v>
      </c>
      <c r="R5634" t="str">
        <f t="shared" si="2299"/>
        <v>Accepted</v>
      </c>
      <c r="S5634" t="str">
        <f t="shared" si="2288"/>
        <v>Approved</v>
      </c>
      <c r="T5634" t="str">
        <f t="shared" si="2300"/>
        <v>10.20.8.188</v>
      </c>
      <c r="U5634" t="str">
        <f t="shared" si="2289"/>
        <v>AZRAD UMAR BIN SHAARI</v>
      </c>
      <c r="V5634" t="str">
        <f t="shared" si="2290"/>
        <v>FARHANA BINTI MUSTAPA</v>
      </c>
      <c r="W5634" t="str">
        <f t="shared" si="2291"/>
        <v>04-08-2020</v>
      </c>
      <c r="X5634" t="str">
        <f t="shared" si="2292"/>
        <v>RAZIMAH ANSAR AHMAD</v>
      </c>
      <c r="Y5634" t="str">
        <f t="shared" si="2293"/>
        <v>04-08-2020</v>
      </c>
      <c r="Z5634" t="str">
        <f>"COS10200804 3520"</f>
        <v>COS10200804 3520</v>
      </c>
    </row>
    <row r="5635" spans="1:26" x14ac:dyDescent="0.25">
      <c r="A5635" t="str">
        <f t="shared" si="2303"/>
        <v>04-08-2020 12:45:31</v>
      </c>
      <c r="B5635" t="str">
        <f>"0000805289"</f>
        <v>0000805289</v>
      </c>
      <c r="C5635" t="str">
        <f t="shared" si="2304"/>
        <v>0000805170</v>
      </c>
      <c r="D5635" t="str">
        <f t="shared" si="2283"/>
        <v>73185</v>
      </c>
      <c r="E5635" t="str">
        <f t="shared" si="2284"/>
        <v>KFH-OPERATIONS DEPARTMENT</v>
      </c>
      <c r="F5635" t="str">
        <f t="shared" si="2285"/>
        <v>IBG</v>
      </c>
      <c r="G5635" t="str">
        <f t="shared" si="2294"/>
        <v>Refund COSHARE 10</v>
      </c>
      <c r="H5635" s="2">
        <v>2032.55</v>
      </c>
      <c r="I5635" t="str">
        <f>"SHANGKEREE RANI AP NPERIASAMY"</f>
        <v>SHANGKEREE RANI AP NPERIASAMY</v>
      </c>
      <c r="J5635" t="str">
        <f t="shared" si="2307"/>
        <v>CIMB BANK / CIMB ISLAMIC BANK</v>
      </c>
      <c r="K5635" t="str">
        <f>"12240064723521"</f>
        <v>12240064723521</v>
      </c>
      <c r="L5635" t="str">
        <f t="shared" si="2305"/>
        <v>04-08-2020</v>
      </c>
      <c r="M5635" t="str">
        <f t="shared" si="2305"/>
        <v>04-08-2020</v>
      </c>
      <c r="N5635" t="str">
        <f t="shared" si="2286"/>
        <v>001105018356</v>
      </c>
      <c r="O5635" t="str">
        <f t="shared" si="2287"/>
        <v>MYR</v>
      </c>
      <c r="P5635" t="str">
        <f t="shared" si="2306"/>
        <v>NIL</v>
      </c>
      <c r="Q5635" t="str">
        <f t="shared" si="2306"/>
        <v>NIL</v>
      </c>
      <c r="R5635" t="str">
        <f t="shared" si="2299"/>
        <v>Accepted</v>
      </c>
      <c r="S5635" t="str">
        <f t="shared" si="2288"/>
        <v>Approved</v>
      </c>
      <c r="T5635" t="str">
        <f t="shared" si="2300"/>
        <v>10.20.8.188</v>
      </c>
      <c r="U5635" t="str">
        <f t="shared" si="2289"/>
        <v>AZRAD UMAR BIN SHAARI</v>
      </c>
      <c r="V5635" t="str">
        <f t="shared" si="2290"/>
        <v>FARHANA BINTI MUSTAPA</v>
      </c>
      <c r="W5635" t="str">
        <f t="shared" si="2291"/>
        <v>04-08-2020</v>
      </c>
      <c r="X5635" t="str">
        <f t="shared" si="2292"/>
        <v>RAZIMAH ANSAR AHMAD</v>
      </c>
      <c r="Y5635" t="str">
        <f t="shared" si="2293"/>
        <v>04-08-2020</v>
      </c>
      <c r="Z5635" t="str">
        <f>"COS10200804 3519"</f>
        <v>COS10200804 3519</v>
      </c>
    </row>
    <row r="5636" spans="1:26" x14ac:dyDescent="0.25">
      <c r="A5636" t="str">
        <f t="shared" si="2303"/>
        <v>04-08-2020 12:45:31</v>
      </c>
      <c r="B5636" t="str">
        <f>"0000805288"</f>
        <v>0000805288</v>
      </c>
      <c r="C5636" t="str">
        <f t="shared" si="2304"/>
        <v>0000805170</v>
      </c>
      <c r="D5636" t="str">
        <f t="shared" si="2283"/>
        <v>73185</v>
      </c>
      <c r="E5636" t="str">
        <f t="shared" si="2284"/>
        <v>KFH-OPERATIONS DEPARTMENT</v>
      </c>
      <c r="F5636" t="str">
        <f t="shared" si="2285"/>
        <v>IBG</v>
      </c>
      <c r="G5636" t="str">
        <f t="shared" si="2294"/>
        <v>Refund COSHARE 10</v>
      </c>
      <c r="H5636" s="2">
        <v>225.2</v>
      </c>
      <c r="I5636" t="str">
        <f>"SHAMSUL BADRUL BIN DAWANG"</f>
        <v>SHAMSUL BADRUL BIN DAWANG</v>
      </c>
      <c r="J5636" t="str">
        <f t="shared" si="2307"/>
        <v>CIMB BANK / CIMB ISLAMIC BANK</v>
      </c>
      <c r="K5636" t="str">
        <f>"06080002880209"</f>
        <v>06080002880209</v>
      </c>
      <c r="L5636" t="str">
        <f t="shared" si="2305"/>
        <v>04-08-2020</v>
      </c>
      <c r="M5636" t="str">
        <f t="shared" si="2305"/>
        <v>04-08-2020</v>
      </c>
      <c r="N5636" t="str">
        <f t="shared" si="2286"/>
        <v>001105018356</v>
      </c>
      <c r="O5636" t="str">
        <f t="shared" si="2287"/>
        <v>MYR</v>
      </c>
      <c r="P5636" t="str">
        <f t="shared" si="2306"/>
        <v>NIL</v>
      </c>
      <c r="Q5636" t="str">
        <f t="shared" si="2306"/>
        <v>NIL</v>
      </c>
      <c r="R5636" t="str">
        <f t="shared" si="2299"/>
        <v>Accepted</v>
      </c>
      <c r="S5636" t="str">
        <f t="shared" si="2288"/>
        <v>Approved</v>
      </c>
      <c r="T5636" t="str">
        <f t="shared" si="2300"/>
        <v>10.20.8.188</v>
      </c>
      <c r="U5636" t="str">
        <f t="shared" si="2289"/>
        <v>AZRAD UMAR BIN SHAARI</v>
      </c>
      <c r="V5636" t="str">
        <f t="shared" si="2290"/>
        <v>FARHANA BINTI MUSTAPA</v>
      </c>
      <c r="W5636" t="str">
        <f t="shared" si="2291"/>
        <v>04-08-2020</v>
      </c>
      <c r="X5636" t="str">
        <f t="shared" si="2292"/>
        <v>RAZIMAH ANSAR AHMAD</v>
      </c>
      <c r="Y5636" t="str">
        <f t="shared" si="2293"/>
        <v>04-08-2020</v>
      </c>
      <c r="Z5636" t="str">
        <f>"COS10200804 3518"</f>
        <v>COS10200804 3518</v>
      </c>
    </row>
    <row r="5637" spans="1:26" x14ac:dyDescent="0.25">
      <c r="A5637" t="str">
        <f t="shared" si="2303"/>
        <v>04-08-2020 12:45:31</v>
      </c>
      <c r="B5637" t="str">
        <f>"0000805287"</f>
        <v>0000805287</v>
      </c>
      <c r="C5637" t="str">
        <f t="shared" si="2304"/>
        <v>0000805170</v>
      </c>
      <c r="D5637" t="str">
        <f t="shared" si="2283"/>
        <v>73185</v>
      </c>
      <c r="E5637" t="str">
        <f t="shared" si="2284"/>
        <v>KFH-OPERATIONS DEPARTMENT</v>
      </c>
      <c r="F5637" t="str">
        <f t="shared" si="2285"/>
        <v>IBG</v>
      </c>
      <c r="G5637" t="str">
        <f t="shared" si="2294"/>
        <v>Refund COSHARE 10</v>
      </c>
      <c r="H5637" s="2">
        <v>98</v>
      </c>
      <c r="I5637" t="str">
        <f>"SHAMSUDDIN BIN ISMAIL"</f>
        <v>SHAMSUDDIN BIN ISMAIL</v>
      </c>
      <c r="J5637" t="str">
        <f t="shared" si="2307"/>
        <v>CIMB BANK / CIMB ISLAMIC BANK</v>
      </c>
      <c r="K5637" t="str">
        <f>"03010086832526"</f>
        <v>03010086832526</v>
      </c>
      <c r="L5637" t="str">
        <f t="shared" si="2305"/>
        <v>04-08-2020</v>
      </c>
      <c r="M5637" t="str">
        <f t="shared" si="2305"/>
        <v>04-08-2020</v>
      </c>
      <c r="N5637" t="str">
        <f t="shared" si="2286"/>
        <v>001105018356</v>
      </c>
      <c r="O5637" t="str">
        <f t="shared" si="2287"/>
        <v>MYR</v>
      </c>
      <c r="P5637" t="str">
        <f t="shared" si="2306"/>
        <v>NIL</v>
      </c>
      <c r="Q5637" t="str">
        <f t="shared" si="2306"/>
        <v>NIL</v>
      </c>
      <c r="R5637" t="str">
        <f t="shared" si="2299"/>
        <v>Accepted</v>
      </c>
      <c r="S5637" t="str">
        <f t="shared" si="2288"/>
        <v>Approved</v>
      </c>
      <c r="T5637" t="str">
        <f t="shared" si="2300"/>
        <v>10.20.8.188</v>
      </c>
      <c r="U5637" t="str">
        <f t="shared" si="2289"/>
        <v>AZRAD UMAR BIN SHAARI</v>
      </c>
      <c r="V5637" t="str">
        <f t="shared" si="2290"/>
        <v>FARHANA BINTI MUSTAPA</v>
      </c>
      <c r="W5637" t="str">
        <f t="shared" si="2291"/>
        <v>04-08-2020</v>
      </c>
      <c r="X5637" t="str">
        <f t="shared" si="2292"/>
        <v>RAZIMAH ANSAR AHMAD</v>
      </c>
      <c r="Y5637" t="str">
        <f t="shared" si="2293"/>
        <v>04-08-2020</v>
      </c>
      <c r="Z5637" t="str">
        <f>"COS10200804 3517"</f>
        <v>COS10200804 3517</v>
      </c>
    </row>
    <row r="5638" spans="1:26" x14ac:dyDescent="0.25">
      <c r="A5638" t="str">
        <f t="shared" si="2303"/>
        <v>04-08-2020 12:45:31</v>
      </c>
      <c r="B5638" t="str">
        <f>"0000805286"</f>
        <v>0000805286</v>
      </c>
      <c r="C5638" t="str">
        <f t="shared" si="2304"/>
        <v>0000805170</v>
      </c>
      <c r="D5638" t="str">
        <f t="shared" si="2283"/>
        <v>73185</v>
      </c>
      <c r="E5638" t="str">
        <f t="shared" si="2284"/>
        <v>KFH-OPERATIONS DEPARTMENT</v>
      </c>
      <c r="F5638" t="str">
        <f t="shared" si="2285"/>
        <v>IBG</v>
      </c>
      <c r="G5638" t="str">
        <f t="shared" si="2294"/>
        <v>Refund COSHARE 10</v>
      </c>
      <c r="H5638" s="2">
        <v>683</v>
      </c>
      <c r="I5638" t="str">
        <f>"SHAMIMI SHAZWANI BINTI SAMSUDIN"</f>
        <v>SHAMIMI SHAZWANI BINTI SAMSUDIN</v>
      </c>
      <c r="J5638" t="str">
        <f t="shared" si="2307"/>
        <v>CIMB BANK / CIMB ISLAMIC BANK</v>
      </c>
      <c r="K5638" t="str">
        <f>"07390005074528"</f>
        <v>07390005074528</v>
      </c>
      <c r="L5638" t="str">
        <f t="shared" si="2305"/>
        <v>04-08-2020</v>
      </c>
      <c r="M5638" t="str">
        <f t="shared" si="2305"/>
        <v>04-08-2020</v>
      </c>
      <c r="N5638" t="str">
        <f t="shared" si="2286"/>
        <v>001105018356</v>
      </c>
      <c r="O5638" t="str">
        <f t="shared" si="2287"/>
        <v>MYR</v>
      </c>
      <c r="P5638" t="str">
        <f t="shared" si="2306"/>
        <v>NIL</v>
      </c>
      <c r="Q5638" t="str">
        <f t="shared" si="2306"/>
        <v>NIL</v>
      </c>
      <c r="R5638" t="str">
        <f t="shared" si="2299"/>
        <v>Accepted</v>
      </c>
      <c r="S5638" t="str">
        <f t="shared" si="2288"/>
        <v>Approved</v>
      </c>
      <c r="T5638" t="str">
        <f t="shared" si="2300"/>
        <v>10.20.8.188</v>
      </c>
      <c r="U5638" t="str">
        <f t="shared" si="2289"/>
        <v>AZRAD UMAR BIN SHAARI</v>
      </c>
      <c r="V5638" t="str">
        <f t="shared" si="2290"/>
        <v>FARHANA BINTI MUSTAPA</v>
      </c>
      <c r="W5638" t="str">
        <f t="shared" si="2291"/>
        <v>04-08-2020</v>
      </c>
      <c r="X5638" t="str">
        <f t="shared" si="2292"/>
        <v>RAZIMAH ANSAR AHMAD</v>
      </c>
      <c r="Y5638" t="str">
        <f t="shared" si="2293"/>
        <v>04-08-2020</v>
      </c>
      <c r="Z5638" t="str">
        <f>"COS10200804 3516"</f>
        <v>COS10200804 3516</v>
      </c>
    </row>
    <row r="5639" spans="1:26" x14ac:dyDescent="0.25">
      <c r="A5639" t="str">
        <f t="shared" si="2303"/>
        <v>04-08-2020 12:45:31</v>
      </c>
      <c r="B5639" t="str">
        <f>"0000805285"</f>
        <v>0000805285</v>
      </c>
      <c r="C5639" t="str">
        <f t="shared" si="2304"/>
        <v>0000805170</v>
      </c>
      <c r="D5639" t="str">
        <f t="shared" ref="D5639:D5702" si="2308">"73185"</f>
        <v>73185</v>
      </c>
      <c r="E5639" t="str">
        <f t="shared" ref="E5639:E5702" si="2309">"KFH-OPERATIONS DEPARTMENT"</f>
        <v>KFH-OPERATIONS DEPARTMENT</v>
      </c>
      <c r="F5639" t="str">
        <f t="shared" ref="F5639:F5702" si="2310">"IBG"</f>
        <v>IBG</v>
      </c>
      <c r="G5639" t="str">
        <f t="shared" si="2294"/>
        <v>Refund COSHARE 10</v>
      </c>
      <c r="H5639" s="2">
        <v>556.70000000000005</v>
      </c>
      <c r="I5639" t="str">
        <f>"SHAIFUL REDWAN BIN ABDUL KARIM"</f>
        <v>SHAIFUL REDWAN BIN ABDUL KARIM</v>
      </c>
      <c r="J5639" t="str">
        <f t="shared" si="2307"/>
        <v>CIMB BANK / CIMB ISLAMIC BANK</v>
      </c>
      <c r="K5639" t="str">
        <f>"7010295203"</f>
        <v>7010295203</v>
      </c>
      <c r="L5639" t="str">
        <f t="shared" si="2305"/>
        <v>04-08-2020</v>
      </c>
      <c r="M5639" t="str">
        <f t="shared" si="2305"/>
        <v>04-08-2020</v>
      </c>
      <c r="N5639" t="str">
        <f t="shared" ref="N5639:N5702" si="2311">"001105018356"</f>
        <v>001105018356</v>
      </c>
      <c r="O5639" t="str">
        <f t="shared" ref="O5639:O5702" si="2312">"MYR"</f>
        <v>MYR</v>
      </c>
      <c r="P5639" t="str">
        <f t="shared" si="2306"/>
        <v>NIL</v>
      </c>
      <c r="Q5639" t="str">
        <f t="shared" si="2306"/>
        <v>NIL</v>
      </c>
      <c r="R5639" t="str">
        <f t="shared" si="2299"/>
        <v>Accepted</v>
      </c>
      <c r="S5639" t="str">
        <f t="shared" ref="S5639:S5702" si="2313">"Approved"</f>
        <v>Approved</v>
      </c>
      <c r="T5639" t="str">
        <f t="shared" si="2300"/>
        <v>10.20.8.188</v>
      </c>
      <c r="U5639" t="str">
        <f t="shared" ref="U5639:U5702" si="2314">"AZRAD UMAR BIN SHAARI"</f>
        <v>AZRAD UMAR BIN SHAARI</v>
      </c>
      <c r="V5639" t="str">
        <f t="shared" ref="V5639:V5702" si="2315">"FARHANA BINTI MUSTAPA"</f>
        <v>FARHANA BINTI MUSTAPA</v>
      </c>
      <c r="W5639" t="str">
        <f t="shared" ref="W5639:W5702" si="2316">"04-08-2020"</f>
        <v>04-08-2020</v>
      </c>
      <c r="X5639" t="str">
        <f t="shared" ref="X5639:X5702" si="2317">"RAZIMAH ANSAR AHMAD"</f>
        <v>RAZIMAH ANSAR AHMAD</v>
      </c>
      <c r="Y5639" t="str">
        <f t="shared" ref="Y5639:Y5702" si="2318">"04-08-2020"</f>
        <v>04-08-2020</v>
      </c>
      <c r="Z5639" t="str">
        <f>"COS10200804 3515"</f>
        <v>COS10200804 3515</v>
      </c>
    </row>
    <row r="5640" spans="1:26" x14ac:dyDescent="0.25">
      <c r="A5640" t="str">
        <f t="shared" si="2303"/>
        <v>04-08-2020 12:45:31</v>
      </c>
      <c r="B5640" t="str">
        <f>"0000805284"</f>
        <v>0000805284</v>
      </c>
      <c r="C5640" t="str">
        <f t="shared" si="2304"/>
        <v>0000805170</v>
      </c>
      <c r="D5640" t="str">
        <f t="shared" si="2308"/>
        <v>73185</v>
      </c>
      <c r="E5640" t="str">
        <f t="shared" si="2309"/>
        <v>KFH-OPERATIONS DEPARTMENT</v>
      </c>
      <c r="F5640" t="str">
        <f t="shared" si="2310"/>
        <v>IBG</v>
      </c>
      <c r="G5640" t="str">
        <f t="shared" si="2294"/>
        <v>Refund COSHARE 10</v>
      </c>
      <c r="H5640" s="2">
        <v>294</v>
      </c>
      <c r="I5640" t="str">
        <f>"SHAHRUL NIZAM BIN MOHD ISA"</f>
        <v>SHAHRUL NIZAM BIN MOHD ISA</v>
      </c>
      <c r="J5640" t="str">
        <f t="shared" si="2307"/>
        <v>CIMB BANK / CIMB ISLAMIC BANK</v>
      </c>
      <c r="K5640" t="str">
        <f>"7050962759"</f>
        <v>7050962759</v>
      </c>
      <c r="L5640" t="str">
        <f t="shared" si="2305"/>
        <v>04-08-2020</v>
      </c>
      <c r="M5640" t="str">
        <f t="shared" si="2305"/>
        <v>04-08-2020</v>
      </c>
      <c r="N5640" t="str">
        <f t="shared" si="2311"/>
        <v>001105018356</v>
      </c>
      <c r="O5640" t="str">
        <f t="shared" si="2312"/>
        <v>MYR</v>
      </c>
      <c r="P5640" t="str">
        <f t="shared" si="2306"/>
        <v>NIL</v>
      </c>
      <c r="Q5640" t="str">
        <f t="shared" si="2306"/>
        <v>NIL</v>
      </c>
      <c r="R5640" t="str">
        <f t="shared" si="2299"/>
        <v>Accepted</v>
      </c>
      <c r="S5640" t="str">
        <f t="shared" si="2313"/>
        <v>Approved</v>
      </c>
      <c r="T5640" t="str">
        <f t="shared" si="2300"/>
        <v>10.20.8.188</v>
      </c>
      <c r="U5640" t="str">
        <f t="shared" si="2314"/>
        <v>AZRAD UMAR BIN SHAARI</v>
      </c>
      <c r="V5640" t="str">
        <f t="shared" si="2315"/>
        <v>FARHANA BINTI MUSTAPA</v>
      </c>
      <c r="W5640" t="str">
        <f t="shared" si="2316"/>
        <v>04-08-2020</v>
      </c>
      <c r="X5640" t="str">
        <f t="shared" si="2317"/>
        <v>RAZIMAH ANSAR AHMAD</v>
      </c>
      <c r="Y5640" t="str">
        <f t="shared" si="2318"/>
        <v>04-08-2020</v>
      </c>
      <c r="Z5640" t="str">
        <f>"COS10200804 3514"</f>
        <v>COS10200804 3514</v>
      </c>
    </row>
    <row r="5641" spans="1:26" x14ac:dyDescent="0.25">
      <c r="A5641" t="str">
        <f t="shared" si="2303"/>
        <v>04-08-2020 12:45:31</v>
      </c>
      <c r="B5641" t="str">
        <f>"0000805283"</f>
        <v>0000805283</v>
      </c>
      <c r="C5641" t="str">
        <f t="shared" si="2304"/>
        <v>0000805170</v>
      </c>
      <c r="D5641" t="str">
        <f t="shared" si="2308"/>
        <v>73185</v>
      </c>
      <c r="E5641" t="str">
        <f t="shared" si="2309"/>
        <v>KFH-OPERATIONS DEPARTMENT</v>
      </c>
      <c r="F5641" t="str">
        <f t="shared" si="2310"/>
        <v>IBG</v>
      </c>
      <c r="G5641" t="str">
        <f t="shared" si="2294"/>
        <v>Refund COSHARE 10</v>
      </c>
      <c r="H5641" s="2">
        <v>142.75</v>
      </c>
      <c r="I5641" t="str">
        <f>"SHAHRUL NIZAM BIN ABDUL HALIN"</f>
        <v>SHAHRUL NIZAM BIN ABDUL HALIN</v>
      </c>
      <c r="J5641" t="str">
        <f t="shared" si="2307"/>
        <v>CIMB BANK / CIMB ISLAMIC BANK</v>
      </c>
      <c r="K5641" t="str">
        <f>"7036132328"</f>
        <v>7036132328</v>
      </c>
      <c r="L5641" t="str">
        <f t="shared" si="2305"/>
        <v>04-08-2020</v>
      </c>
      <c r="M5641" t="str">
        <f t="shared" si="2305"/>
        <v>04-08-2020</v>
      </c>
      <c r="N5641" t="str">
        <f t="shared" si="2311"/>
        <v>001105018356</v>
      </c>
      <c r="O5641" t="str">
        <f t="shared" si="2312"/>
        <v>MYR</v>
      </c>
      <c r="P5641" t="str">
        <f t="shared" si="2306"/>
        <v>NIL</v>
      </c>
      <c r="Q5641" t="str">
        <f t="shared" si="2306"/>
        <v>NIL</v>
      </c>
      <c r="R5641" t="str">
        <f t="shared" si="2299"/>
        <v>Accepted</v>
      </c>
      <c r="S5641" t="str">
        <f t="shared" si="2313"/>
        <v>Approved</v>
      </c>
      <c r="T5641" t="str">
        <f t="shared" si="2300"/>
        <v>10.20.8.188</v>
      </c>
      <c r="U5641" t="str">
        <f t="shared" si="2314"/>
        <v>AZRAD UMAR BIN SHAARI</v>
      </c>
      <c r="V5641" t="str">
        <f t="shared" si="2315"/>
        <v>FARHANA BINTI MUSTAPA</v>
      </c>
      <c r="W5641" t="str">
        <f t="shared" si="2316"/>
        <v>04-08-2020</v>
      </c>
      <c r="X5641" t="str">
        <f t="shared" si="2317"/>
        <v>RAZIMAH ANSAR AHMAD</v>
      </c>
      <c r="Y5641" t="str">
        <f t="shared" si="2318"/>
        <v>04-08-2020</v>
      </c>
      <c r="Z5641" t="str">
        <f>"COS10200804 3513"</f>
        <v>COS10200804 3513</v>
      </c>
    </row>
    <row r="5642" spans="1:26" x14ac:dyDescent="0.25">
      <c r="A5642" t="str">
        <f t="shared" si="2303"/>
        <v>04-08-2020 12:45:31</v>
      </c>
      <c r="B5642" t="str">
        <f>"0000805282"</f>
        <v>0000805282</v>
      </c>
      <c r="C5642" t="str">
        <f t="shared" si="2304"/>
        <v>0000805170</v>
      </c>
      <c r="D5642" t="str">
        <f t="shared" si="2308"/>
        <v>73185</v>
      </c>
      <c r="E5642" t="str">
        <f t="shared" si="2309"/>
        <v>KFH-OPERATIONS DEPARTMENT</v>
      </c>
      <c r="F5642" t="str">
        <f t="shared" si="2310"/>
        <v>IBG</v>
      </c>
      <c r="G5642" t="str">
        <f t="shared" si="2294"/>
        <v>Refund COSHARE 10</v>
      </c>
      <c r="H5642" s="2">
        <v>142.75</v>
      </c>
      <c r="I5642" t="str">
        <f>"SHAHRUL NIZAM BIN ABDUL HALIN"</f>
        <v>SHAHRUL NIZAM BIN ABDUL HALIN</v>
      </c>
      <c r="J5642" t="str">
        <f t="shared" si="2307"/>
        <v>CIMB BANK / CIMB ISLAMIC BANK</v>
      </c>
      <c r="K5642" t="str">
        <f>"7036132328"</f>
        <v>7036132328</v>
      </c>
      <c r="L5642" t="str">
        <f t="shared" si="2305"/>
        <v>04-08-2020</v>
      </c>
      <c r="M5642" t="str">
        <f t="shared" si="2305"/>
        <v>04-08-2020</v>
      </c>
      <c r="N5642" t="str">
        <f t="shared" si="2311"/>
        <v>001105018356</v>
      </c>
      <c r="O5642" t="str">
        <f t="shared" si="2312"/>
        <v>MYR</v>
      </c>
      <c r="P5642" t="str">
        <f t="shared" si="2306"/>
        <v>NIL</v>
      </c>
      <c r="Q5642" t="str">
        <f t="shared" si="2306"/>
        <v>NIL</v>
      </c>
      <c r="R5642" t="str">
        <f t="shared" si="2299"/>
        <v>Accepted</v>
      </c>
      <c r="S5642" t="str">
        <f t="shared" si="2313"/>
        <v>Approved</v>
      </c>
      <c r="T5642" t="str">
        <f t="shared" si="2300"/>
        <v>10.20.8.188</v>
      </c>
      <c r="U5642" t="str">
        <f t="shared" si="2314"/>
        <v>AZRAD UMAR BIN SHAARI</v>
      </c>
      <c r="V5642" t="str">
        <f t="shared" si="2315"/>
        <v>FARHANA BINTI MUSTAPA</v>
      </c>
      <c r="W5642" t="str">
        <f t="shared" si="2316"/>
        <v>04-08-2020</v>
      </c>
      <c r="X5642" t="str">
        <f t="shared" si="2317"/>
        <v>RAZIMAH ANSAR AHMAD</v>
      </c>
      <c r="Y5642" t="str">
        <f t="shared" si="2318"/>
        <v>04-08-2020</v>
      </c>
      <c r="Z5642" t="str">
        <f>"COS10200804 3512"</f>
        <v>COS10200804 3512</v>
      </c>
    </row>
    <row r="5643" spans="1:26" x14ac:dyDescent="0.25">
      <c r="A5643" t="str">
        <f t="shared" si="2303"/>
        <v>04-08-2020 12:45:31</v>
      </c>
      <c r="B5643" t="str">
        <f>"0000805281"</f>
        <v>0000805281</v>
      </c>
      <c r="C5643" t="str">
        <f t="shared" si="2304"/>
        <v>0000805170</v>
      </c>
      <c r="D5643" t="str">
        <f t="shared" si="2308"/>
        <v>73185</v>
      </c>
      <c r="E5643" t="str">
        <f t="shared" si="2309"/>
        <v>KFH-OPERATIONS DEPARTMENT</v>
      </c>
      <c r="F5643" t="str">
        <f t="shared" si="2310"/>
        <v>IBG</v>
      </c>
      <c r="G5643" t="str">
        <f t="shared" si="2294"/>
        <v>Refund COSHARE 10</v>
      </c>
      <c r="H5643" s="2">
        <v>125.95</v>
      </c>
      <c r="I5643" t="str">
        <f>"SHAHRUL KAMAROHAIZAD BIN ABU BAKAR"</f>
        <v>SHAHRUL KAMAROHAIZAD BIN ABU BAKAR</v>
      </c>
      <c r="J5643" t="str">
        <f t="shared" si="2307"/>
        <v>CIMB BANK / CIMB ISLAMIC BANK</v>
      </c>
      <c r="K5643" t="str">
        <f>"7617537520"</f>
        <v>7617537520</v>
      </c>
      <c r="L5643" t="str">
        <f t="shared" si="2305"/>
        <v>04-08-2020</v>
      </c>
      <c r="M5643" t="str">
        <f t="shared" si="2305"/>
        <v>04-08-2020</v>
      </c>
      <c r="N5643" t="str">
        <f t="shared" si="2311"/>
        <v>001105018356</v>
      </c>
      <c r="O5643" t="str">
        <f t="shared" si="2312"/>
        <v>MYR</v>
      </c>
      <c r="P5643" t="str">
        <f t="shared" si="2306"/>
        <v>NIL</v>
      </c>
      <c r="Q5643" t="str">
        <f t="shared" si="2306"/>
        <v>NIL</v>
      </c>
      <c r="R5643" t="str">
        <f t="shared" si="2299"/>
        <v>Accepted</v>
      </c>
      <c r="S5643" t="str">
        <f t="shared" si="2313"/>
        <v>Approved</v>
      </c>
      <c r="T5643" t="str">
        <f t="shared" si="2300"/>
        <v>10.20.8.188</v>
      </c>
      <c r="U5643" t="str">
        <f t="shared" si="2314"/>
        <v>AZRAD UMAR BIN SHAARI</v>
      </c>
      <c r="V5643" t="str">
        <f t="shared" si="2315"/>
        <v>FARHANA BINTI MUSTAPA</v>
      </c>
      <c r="W5643" t="str">
        <f t="shared" si="2316"/>
        <v>04-08-2020</v>
      </c>
      <c r="X5643" t="str">
        <f t="shared" si="2317"/>
        <v>RAZIMAH ANSAR AHMAD</v>
      </c>
      <c r="Y5643" t="str">
        <f t="shared" si="2318"/>
        <v>04-08-2020</v>
      </c>
      <c r="Z5643" t="str">
        <f>"COS10200804 3511"</f>
        <v>COS10200804 3511</v>
      </c>
    </row>
    <row r="5644" spans="1:26" x14ac:dyDescent="0.25">
      <c r="A5644" t="str">
        <f t="shared" si="2303"/>
        <v>04-08-2020 12:45:31</v>
      </c>
      <c r="B5644" t="str">
        <f>"0000805280"</f>
        <v>0000805280</v>
      </c>
      <c r="C5644" t="str">
        <f t="shared" si="2304"/>
        <v>0000805170</v>
      </c>
      <c r="D5644" t="str">
        <f t="shared" si="2308"/>
        <v>73185</v>
      </c>
      <c r="E5644" t="str">
        <f t="shared" si="2309"/>
        <v>KFH-OPERATIONS DEPARTMENT</v>
      </c>
      <c r="F5644" t="str">
        <f t="shared" si="2310"/>
        <v>IBG</v>
      </c>
      <c r="G5644" t="str">
        <f t="shared" ref="G5644:G5707" si="2319">"Refund COSHARE 10"</f>
        <v>Refund COSHARE 10</v>
      </c>
      <c r="H5644" s="2">
        <v>254.1</v>
      </c>
      <c r="I5644" t="str">
        <f>"SHAHRUDDIN BIN SHAHRAM"</f>
        <v>SHAHRUDDIN BIN SHAHRAM</v>
      </c>
      <c r="J5644" t="str">
        <f t="shared" si="2307"/>
        <v>CIMB BANK / CIMB ISLAMIC BANK</v>
      </c>
      <c r="K5644" t="str">
        <f>"14200007841528"</f>
        <v>14200007841528</v>
      </c>
      <c r="L5644" t="str">
        <f t="shared" si="2305"/>
        <v>04-08-2020</v>
      </c>
      <c r="M5644" t="str">
        <f t="shared" si="2305"/>
        <v>04-08-2020</v>
      </c>
      <c r="N5644" t="str">
        <f t="shared" si="2311"/>
        <v>001105018356</v>
      </c>
      <c r="O5644" t="str">
        <f t="shared" si="2312"/>
        <v>MYR</v>
      </c>
      <c r="P5644" t="str">
        <f t="shared" si="2306"/>
        <v>NIL</v>
      </c>
      <c r="Q5644" t="str">
        <f t="shared" si="2306"/>
        <v>NIL</v>
      </c>
      <c r="R5644" t="str">
        <f t="shared" si="2299"/>
        <v>Accepted</v>
      </c>
      <c r="S5644" t="str">
        <f t="shared" si="2313"/>
        <v>Approved</v>
      </c>
      <c r="T5644" t="str">
        <f t="shared" si="2300"/>
        <v>10.20.8.188</v>
      </c>
      <c r="U5644" t="str">
        <f t="shared" si="2314"/>
        <v>AZRAD UMAR BIN SHAARI</v>
      </c>
      <c r="V5644" t="str">
        <f t="shared" si="2315"/>
        <v>FARHANA BINTI MUSTAPA</v>
      </c>
      <c r="W5644" t="str">
        <f t="shared" si="2316"/>
        <v>04-08-2020</v>
      </c>
      <c r="X5644" t="str">
        <f t="shared" si="2317"/>
        <v>RAZIMAH ANSAR AHMAD</v>
      </c>
      <c r="Y5644" t="str">
        <f t="shared" si="2318"/>
        <v>04-08-2020</v>
      </c>
      <c r="Z5644" t="str">
        <f>"COS10200804 3510"</f>
        <v>COS10200804 3510</v>
      </c>
    </row>
    <row r="5645" spans="1:26" x14ac:dyDescent="0.25">
      <c r="A5645" t="str">
        <f t="shared" si="2303"/>
        <v>04-08-2020 12:45:31</v>
      </c>
      <c r="B5645" t="str">
        <f>"0000805279"</f>
        <v>0000805279</v>
      </c>
      <c r="C5645" t="str">
        <f t="shared" si="2304"/>
        <v>0000805170</v>
      </c>
      <c r="D5645" t="str">
        <f t="shared" si="2308"/>
        <v>73185</v>
      </c>
      <c r="E5645" t="str">
        <f t="shared" si="2309"/>
        <v>KFH-OPERATIONS DEPARTMENT</v>
      </c>
      <c r="F5645" t="str">
        <f t="shared" si="2310"/>
        <v>IBG</v>
      </c>
      <c r="G5645" t="str">
        <f t="shared" si="2319"/>
        <v>Refund COSHARE 10</v>
      </c>
      <c r="H5645" s="2">
        <v>254.1</v>
      </c>
      <c r="I5645" t="str">
        <f>"SHAHRUDDIN BIN SHAHRAM"</f>
        <v>SHAHRUDDIN BIN SHAHRAM</v>
      </c>
      <c r="J5645" t="str">
        <f t="shared" si="2307"/>
        <v>CIMB BANK / CIMB ISLAMIC BANK</v>
      </c>
      <c r="K5645" t="str">
        <f>"14200007841528"</f>
        <v>14200007841528</v>
      </c>
      <c r="L5645" t="str">
        <f t="shared" si="2305"/>
        <v>04-08-2020</v>
      </c>
      <c r="M5645" t="str">
        <f t="shared" si="2305"/>
        <v>04-08-2020</v>
      </c>
      <c r="N5645" t="str">
        <f t="shared" si="2311"/>
        <v>001105018356</v>
      </c>
      <c r="O5645" t="str">
        <f t="shared" si="2312"/>
        <v>MYR</v>
      </c>
      <c r="P5645" t="str">
        <f t="shared" si="2306"/>
        <v>NIL</v>
      </c>
      <c r="Q5645" t="str">
        <f t="shared" si="2306"/>
        <v>NIL</v>
      </c>
      <c r="R5645" t="str">
        <f t="shared" si="2299"/>
        <v>Accepted</v>
      </c>
      <c r="S5645" t="str">
        <f t="shared" si="2313"/>
        <v>Approved</v>
      </c>
      <c r="T5645" t="str">
        <f t="shared" si="2300"/>
        <v>10.20.8.188</v>
      </c>
      <c r="U5645" t="str">
        <f t="shared" si="2314"/>
        <v>AZRAD UMAR BIN SHAARI</v>
      </c>
      <c r="V5645" t="str">
        <f t="shared" si="2315"/>
        <v>FARHANA BINTI MUSTAPA</v>
      </c>
      <c r="W5645" t="str">
        <f t="shared" si="2316"/>
        <v>04-08-2020</v>
      </c>
      <c r="X5645" t="str">
        <f t="shared" si="2317"/>
        <v>RAZIMAH ANSAR AHMAD</v>
      </c>
      <c r="Y5645" t="str">
        <f t="shared" si="2318"/>
        <v>04-08-2020</v>
      </c>
      <c r="Z5645" t="str">
        <f>"COS10200804 3509"</f>
        <v>COS10200804 3509</v>
      </c>
    </row>
    <row r="5646" spans="1:26" x14ac:dyDescent="0.25">
      <c r="A5646" t="str">
        <f t="shared" si="2303"/>
        <v>04-08-2020 12:45:31</v>
      </c>
      <c r="B5646" t="str">
        <f>"0000805278"</f>
        <v>0000805278</v>
      </c>
      <c r="C5646" t="str">
        <f t="shared" si="2304"/>
        <v>0000805170</v>
      </c>
      <c r="D5646" t="str">
        <f t="shared" si="2308"/>
        <v>73185</v>
      </c>
      <c r="E5646" t="str">
        <f t="shared" si="2309"/>
        <v>KFH-OPERATIONS DEPARTMENT</v>
      </c>
      <c r="F5646" t="str">
        <f t="shared" si="2310"/>
        <v>IBG</v>
      </c>
      <c r="G5646" t="str">
        <f t="shared" si="2319"/>
        <v>Refund COSHARE 10</v>
      </c>
      <c r="H5646" s="2">
        <v>201.5</v>
      </c>
      <c r="I5646" t="str">
        <f>"SHAHRUBARIAH BINTI SHAHARUDDIN"</f>
        <v>SHAHRUBARIAH BINTI SHAHARUDDIN</v>
      </c>
      <c r="J5646" t="str">
        <f t="shared" si="2307"/>
        <v>CIMB BANK / CIMB ISLAMIC BANK</v>
      </c>
      <c r="K5646" t="str">
        <f>"06080068408521"</f>
        <v>06080068408521</v>
      </c>
      <c r="L5646" t="str">
        <f t="shared" si="2305"/>
        <v>04-08-2020</v>
      </c>
      <c r="M5646" t="str">
        <f t="shared" si="2305"/>
        <v>04-08-2020</v>
      </c>
      <c r="N5646" t="str">
        <f t="shared" si="2311"/>
        <v>001105018356</v>
      </c>
      <c r="O5646" t="str">
        <f t="shared" si="2312"/>
        <v>MYR</v>
      </c>
      <c r="P5646" t="str">
        <f t="shared" si="2306"/>
        <v>NIL</v>
      </c>
      <c r="Q5646" t="str">
        <f t="shared" si="2306"/>
        <v>NIL</v>
      </c>
      <c r="R5646" t="str">
        <f t="shared" si="2299"/>
        <v>Accepted</v>
      </c>
      <c r="S5646" t="str">
        <f t="shared" si="2313"/>
        <v>Approved</v>
      </c>
      <c r="T5646" t="str">
        <f t="shared" si="2300"/>
        <v>10.20.8.188</v>
      </c>
      <c r="U5646" t="str">
        <f t="shared" si="2314"/>
        <v>AZRAD UMAR BIN SHAARI</v>
      </c>
      <c r="V5646" t="str">
        <f t="shared" si="2315"/>
        <v>FARHANA BINTI MUSTAPA</v>
      </c>
      <c r="W5646" t="str">
        <f t="shared" si="2316"/>
        <v>04-08-2020</v>
      </c>
      <c r="X5646" t="str">
        <f t="shared" si="2317"/>
        <v>RAZIMAH ANSAR AHMAD</v>
      </c>
      <c r="Y5646" t="str">
        <f t="shared" si="2318"/>
        <v>04-08-2020</v>
      </c>
      <c r="Z5646" t="str">
        <f>"COS10200804 3508"</f>
        <v>COS10200804 3508</v>
      </c>
    </row>
    <row r="5647" spans="1:26" x14ac:dyDescent="0.25">
      <c r="A5647" t="str">
        <f t="shared" si="2303"/>
        <v>04-08-2020 12:45:31</v>
      </c>
      <c r="B5647" t="str">
        <f>"0000805277"</f>
        <v>0000805277</v>
      </c>
      <c r="C5647" t="str">
        <f t="shared" si="2304"/>
        <v>0000805170</v>
      </c>
      <c r="D5647" t="str">
        <f t="shared" si="2308"/>
        <v>73185</v>
      </c>
      <c r="E5647" t="str">
        <f t="shared" si="2309"/>
        <v>KFH-OPERATIONS DEPARTMENT</v>
      </c>
      <c r="F5647" t="str">
        <f t="shared" si="2310"/>
        <v>IBG</v>
      </c>
      <c r="G5647" t="str">
        <f t="shared" si="2319"/>
        <v>Refund COSHARE 10</v>
      </c>
      <c r="H5647" s="2">
        <v>381.1</v>
      </c>
      <c r="I5647" t="str">
        <f>"SHAHROM NURRIZAM BIN ROMLI"</f>
        <v>SHAHROM NURRIZAM BIN ROMLI</v>
      </c>
      <c r="J5647" t="str">
        <f t="shared" si="2307"/>
        <v>CIMB BANK / CIMB ISLAMIC BANK</v>
      </c>
      <c r="K5647" t="str">
        <f>"09020057306524"</f>
        <v>09020057306524</v>
      </c>
      <c r="L5647" t="str">
        <f t="shared" ref="L5647:M5666" si="2320">"04-08-2020"</f>
        <v>04-08-2020</v>
      </c>
      <c r="M5647" t="str">
        <f t="shared" si="2320"/>
        <v>04-08-2020</v>
      </c>
      <c r="N5647" t="str">
        <f t="shared" si="2311"/>
        <v>001105018356</v>
      </c>
      <c r="O5647" t="str">
        <f t="shared" si="2312"/>
        <v>MYR</v>
      </c>
      <c r="P5647" t="str">
        <f t="shared" ref="P5647:Q5666" si="2321">"NIL"</f>
        <v>NIL</v>
      </c>
      <c r="Q5647" t="str">
        <f t="shared" si="2321"/>
        <v>NIL</v>
      </c>
      <c r="R5647" t="str">
        <f t="shared" si="2299"/>
        <v>Accepted</v>
      </c>
      <c r="S5647" t="str">
        <f t="shared" si="2313"/>
        <v>Approved</v>
      </c>
      <c r="T5647" t="str">
        <f t="shared" si="2300"/>
        <v>10.20.8.188</v>
      </c>
      <c r="U5647" t="str">
        <f t="shared" si="2314"/>
        <v>AZRAD UMAR BIN SHAARI</v>
      </c>
      <c r="V5647" t="str">
        <f t="shared" si="2315"/>
        <v>FARHANA BINTI MUSTAPA</v>
      </c>
      <c r="W5647" t="str">
        <f t="shared" si="2316"/>
        <v>04-08-2020</v>
      </c>
      <c r="X5647" t="str">
        <f t="shared" si="2317"/>
        <v>RAZIMAH ANSAR AHMAD</v>
      </c>
      <c r="Y5647" t="str">
        <f t="shared" si="2318"/>
        <v>04-08-2020</v>
      </c>
      <c r="Z5647" t="str">
        <f>"COS10200804 3507"</f>
        <v>COS10200804 3507</v>
      </c>
    </row>
    <row r="5648" spans="1:26" x14ac:dyDescent="0.25">
      <c r="A5648" t="str">
        <f t="shared" si="2303"/>
        <v>04-08-2020 12:45:31</v>
      </c>
      <c r="B5648" t="str">
        <f>"0000805276"</f>
        <v>0000805276</v>
      </c>
      <c r="C5648" t="str">
        <f t="shared" si="2304"/>
        <v>0000805170</v>
      </c>
      <c r="D5648" t="str">
        <f t="shared" si="2308"/>
        <v>73185</v>
      </c>
      <c r="E5648" t="str">
        <f t="shared" si="2309"/>
        <v>KFH-OPERATIONS DEPARTMENT</v>
      </c>
      <c r="F5648" t="str">
        <f t="shared" si="2310"/>
        <v>IBG</v>
      </c>
      <c r="G5648" t="str">
        <f t="shared" si="2319"/>
        <v>Refund COSHARE 10</v>
      </c>
      <c r="H5648" s="2">
        <v>839.5</v>
      </c>
      <c r="I5648" t="str">
        <f>"SHAHRIZAL BIN MD ZAM"</f>
        <v>SHAHRIZAL BIN MD ZAM</v>
      </c>
      <c r="J5648" t="str">
        <f t="shared" si="2307"/>
        <v>CIMB BANK / CIMB ISLAMIC BANK</v>
      </c>
      <c r="K5648" t="str">
        <f>"01210010672523"</f>
        <v>01210010672523</v>
      </c>
      <c r="L5648" t="str">
        <f t="shared" si="2320"/>
        <v>04-08-2020</v>
      </c>
      <c r="M5648" t="str">
        <f t="shared" si="2320"/>
        <v>04-08-2020</v>
      </c>
      <c r="N5648" t="str">
        <f t="shared" si="2311"/>
        <v>001105018356</v>
      </c>
      <c r="O5648" t="str">
        <f t="shared" si="2312"/>
        <v>MYR</v>
      </c>
      <c r="P5648" t="str">
        <f t="shared" si="2321"/>
        <v>NIL</v>
      </c>
      <c r="Q5648" t="str">
        <f t="shared" si="2321"/>
        <v>NIL</v>
      </c>
      <c r="R5648" t="str">
        <f t="shared" si="2299"/>
        <v>Accepted</v>
      </c>
      <c r="S5648" t="str">
        <f t="shared" si="2313"/>
        <v>Approved</v>
      </c>
      <c r="T5648" t="str">
        <f t="shared" si="2300"/>
        <v>10.20.8.188</v>
      </c>
      <c r="U5648" t="str">
        <f t="shared" si="2314"/>
        <v>AZRAD UMAR BIN SHAARI</v>
      </c>
      <c r="V5648" t="str">
        <f t="shared" si="2315"/>
        <v>FARHANA BINTI MUSTAPA</v>
      </c>
      <c r="W5648" t="str">
        <f t="shared" si="2316"/>
        <v>04-08-2020</v>
      </c>
      <c r="X5648" t="str">
        <f t="shared" si="2317"/>
        <v>RAZIMAH ANSAR AHMAD</v>
      </c>
      <c r="Y5648" t="str">
        <f t="shared" si="2318"/>
        <v>04-08-2020</v>
      </c>
      <c r="Z5648" t="str">
        <f>"COS10200804 3506"</f>
        <v>COS10200804 3506</v>
      </c>
    </row>
    <row r="5649" spans="1:26" x14ac:dyDescent="0.25">
      <c r="A5649" t="str">
        <f t="shared" si="2303"/>
        <v>04-08-2020 12:45:31</v>
      </c>
      <c r="B5649" t="str">
        <f>"0000805275"</f>
        <v>0000805275</v>
      </c>
      <c r="C5649" t="str">
        <f t="shared" si="2304"/>
        <v>0000805170</v>
      </c>
      <c r="D5649" t="str">
        <f t="shared" si="2308"/>
        <v>73185</v>
      </c>
      <c r="E5649" t="str">
        <f t="shared" si="2309"/>
        <v>KFH-OPERATIONS DEPARTMENT</v>
      </c>
      <c r="F5649" t="str">
        <f t="shared" si="2310"/>
        <v>IBG</v>
      </c>
      <c r="G5649" t="str">
        <f t="shared" si="2319"/>
        <v>Refund COSHARE 10</v>
      </c>
      <c r="H5649" s="2">
        <v>528.9</v>
      </c>
      <c r="I5649" t="str">
        <f>"SHAHRIN  BIN GIMBA  MUSTIN"</f>
        <v>SHAHRIN  BIN GIMBA  MUSTIN</v>
      </c>
      <c r="J5649" t="str">
        <f t="shared" si="2307"/>
        <v>CIMB BANK / CIMB ISLAMIC BANK</v>
      </c>
      <c r="K5649" t="str">
        <f>"10020074186523"</f>
        <v>10020074186523</v>
      </c>
      <c r="L5649" t="str">
        <f t="shared" si="2320"/>
        <v>04-08-2020</v>
      </c>
      <c r="M5649" t="str">
        <f t="shared" si="2320"/>
        <v>04-08-2020</v>
      </c>
      <c r="N5649" t="str">
        <f t="shared" si="2311"/>
        <v>001105018356</v>
      </c>
      <c r="O5649" t="str">
        <f t="shared" si="2312"/>
        <v>MYR</v>
      </c>
      <c r="P5649" t="str">
        <f t="shared" si="2321"/>
        <v>NIL</v>
      </c>
      <c r="Q5649" t="str">
        <f t="shared" si="2321"/>
        <v>NIL</v>
      </c>
      <c r="R5649" t="str">
        <f t="shared" si="2299"/>
        <v>Accepted</v>
      </c>
      <c r="S5649" t="str">
        <f t="shared" si="2313"/>
        <v>Approved</v>
      </c>
      <c r="T5649" t="str">
        <f t="shared" si="2300"/>
        <v>10.20.8.188</v>
      </c>
      <c r="U5649" t="str">
        <f t="shared" si="2314"/>
        <v>AZRAD UMAR BIN SHAARI</v>
      </c>
      <c r="V5649" t="str">
        <f t="shared" si="2315"/>
        <v>FARHANA BINTI MUSTAPA</v>
      </c>
      <c r="W5649" t="str">
        <f t="shared" si="2316"/>
        <v>04-08-2020</v>
      </c>
      <c r="X5649" t="str">
        <f t="shared" si="2317"/>
        <v>RAZIMAH ANSAR AHMAD</v>
      </c>
      <c r="Y5649" t="str">
        <f t="shared" si="2318"/>
        <v>04-08-2020</v>
      </c>
      <c r="Z5649" t="str">
        <f>"COS10200804 3505"</f>
        <v>COS10200804 3505</v>
      </c>
    </row>
    <row r="5650" spans="1:26" x14ac:dyDescent="0.25">
      <c r="A5650" t="str">
        <f t="shared" ref="A5650:A5681" si="2322">"04-08-2020 12:45:31"</f>
        <v>04-08-2020 12:45:31</v>
      </c>
      <c r="B5650" t="str">
        <f>"0000805274"</f>
        <v>0000805274</v>
      </c>
      <c r="C5650" t="str">
        <f t="shared" ref="C5650:C5681" si="2323">"0000805170"</f>
        <v>0000805170</v>
      </c>
      <c r="D5650" t="str">
        <f t="shared" si="2308"/>
        <v>73185</v>
      </c>
      <c r="E5650" t="str">
        <f t="shared" si="2309"/>
        <v>KFH-OPERATIONS DEPARTMENT</v>
      </c>
      <c r="F5650" t="str">
        <f t="shared" si="2310"/>
        <v>IBG</v>
      </c>
      <c r="G5650" t="str">
        <f t="shared" si="2319"/>
        <v>Refund COSHARE 10</v>
      </c>
      <c r="H5650" s="2">
        <v>100.75</v>
      </c>
      <c r="I5650" t="str">
        <f>"SHAHMINAN BIN MASU UT"</f>
        <v>SHAHMINAN BIN MASU UT</v>
      </c>
      <c r="J5650" t="str">
        <f t="shared" si="2307"/>
        <v>CIMB BANK / CIMB ISLAMIC BANK</v>
      </c>
      <c r="K5650" t="str">
        <f>"11110019715520"</f>
        <v>11110019715520</v>
      </c>
      <c r="L5650" t="str">
        <f t="shared" si="2320"/>
        <v>04-08-2020</v>
      </c>
      <c r="M5650" t="str">
        <f t="shared" si="2320"/>
        <v>04-08-2020</v>
      </c>
      <c r="N5650" t="str">
        <f t="shared" si="2311"/>
        <v>001105018356</v>
      </c>
      <c r="O5650" t="str">
        <f t="shared" si="2312"/>
        <v>MYR</v>
      </c>
      <c r="P5650" t="str">
        <f t="shared" si="2321"/>
        <v>NIL</v>
      </c>
      <c r="Q5650" t="str">
        <f t="shared" si="2321"/>
        <v>NIL</v>
      </c>
      <c r="R5650" t="str">
        <f t="shared" si="2299"/>
        <v>Accepted</v>
      </c>
      <c r="S5650" t="str">
        <f t="shared" si="2313"/>
        <v>Approved</v>
      </c>
      <c r="T5650" t="str">
        <f t="shared" si="2300"/>
        <v>10.20.8.188</v>
      </c>
      <c r="U5650" t="str">
        <f t="shared" si="2314"/>
        <v>AZRAD UMAR BIN SHAARI</v>
      </c>
      <c r="V5650" t="str">
        <f t="shared" si="2315"/>
        <v>FARHANA BINTI MUSTAPA</v>
      </c>
      <c r="W5650" t="str">
        <f t="shared" si="2316"/>
        <v>04-08-2020</v>
      </c>
      <c r="X5650" t="str">
        <f t="shared" si="2317"/>
        <v>RAZIMAH ANSAR AHMAD</v>
      </c>
      <c r="Y5650" t="str">
        <f t="shared" si="2318"/>
        <v>04-08-2020</v>
      </c>
      <c r="Z5650" t="str">
        <f>"COS10200804 3504"</f>
        <v>COS10200804 3504</v>
      </c>
    </row>
    <row r="5651" spans="1:26" x14ac:dyDescent="0.25">
      <c r="A5651" t="str">
        <f t="shared" si="2322"/>
        <v>04-08-2020 12:45:31</v>
      </c>
      <c r="B5651" t="str">
        <f>"0000805273"</f>
        <v>0000805273</v>
      </c>
      <c r="C5651" t="str">
        <f t="shared" si="2323"/>
        <v>0000805170</v>
      </c>
      <c r="D5651" t="str">
        <f t="shared" si="2308"/>
        <v>73185</v>
      </c>
      <c r="E5651" t="str">
        <f t="shared" si="2309"/>
        <v>KFH-OPERATIONS DEPARTMENT</v>
      </c>
      <c r="F5651" t="str">
        <f t="shared" si="2310"/>
        <v>IBG</v>
      </c>
      <c r="G5651" t="str">
        <f t="shared" si="2319"/>
        <v>Refund COSHARE 10</v>
      </c>
      <c r="H5651" s="2">
        <v>1793.4</v>
      </c>
      <c r="I5651" t="str">
        <f>"SHAHIMA BINTI BAKAR"</f>
        <v>SHAHIMA BINTI BAKAR</v>
      </c>
      <c r="J5651" t="str">
        <f t="shared" si="2307"/>
        <v>CIMB BANK / CIMB ISLAMIC BANK</v>
      </c>
      <c r="K5651" t="str">
        <f>"12190078200526"</f>
        <v>12190078200526</v>
      </c>
      <c r="L5651" t="str">
        <f t="shared" si="2320"/>
        <v>04-08-2020</v>
      </c>
      <c r="M5651" t="str">
        <f t="shared" si="2320"/>
        <v>04-08-2020</v>
      </c>
      <c r="N5651" t="str">
        <f t="shared" si="2311"/>
        <v>001105018356</v>
      </c>
      <c r="O5651" t="str">
        <f t="shared" si="2312"/>
        <v>MYR</v>
      </c>
      <c r="P5651" t="str">
        <f t="shared" si="2321"/>
        <v>NIL</v>
      </c>
      <c r="Q5651" t="str">
        <f t="shared" si="2321"/>
        <v>NIL</v>
      </c>
      <c r="R5651" t="str">
        <f t="shared" si="2299"/>
        <v>Accepted</v>
      </c>
      <c r="S5651" t="str">
        <f t="shared" si="2313"/>
        <v>Approved</v>
      </c>
      <c r="T5651" t="str">
        <f t="shared" si="2300"/>
        <v>10.20.8.188</v>
      </c>
      <c r="U5651" t="str">
        <f t="shared" si="2314"/>
        <v>AZRAD UMAR BIN SHAARI</v>
      </c>
      <c r="V5651" t="str">
        <f t="shared" si="2315"/>
        <v>FARHANA BINTI MUSTAPA</v>
      </c>
      <c r="W5651" t="str">
        <f t="shared" si="2316"/>
        <v>04-08-2020</v>
      </c>
      <c r="X5651" t="str">
        <f t="shared" si="2317"/>
        <v>RAZIMAH ANSAR AHMAD</v>
      </c>
      <c r="Y5651" t="str">
        <f t="shared" si="2318"/>
        <v>04-08-2020</v>
      </c>
      <c r="Z5651" t="str">
        <f>"COS10200804 3503"</f>
        <v>COS10200804 3503</v>
      </c>
    </row>
    <row r="5652" spans="1:26" x14ac:dyDescent="0.25">
      <c r="A5652" t="str">
        <f t="shared" si="2322"/>
        <v>04-08-2020 12:45:31</v>
      </c>
      <c r="B5652" t="str">
        <f>"0000805272"</f>
        <v>0000805272</v>
      </c>
      <c r="C5652" t="str">
        <f t="shared" si="2323"/>
        <v>0000805170</v>
      </c>
      <c r="D5652" t="str">
        <f t="shared" si="2308"/>
        <v>73185</v>
      </c>
      <c r="E5652" t="str">
        <f t="shared" si="2309"/>
        <v>KFH-OPERATIONS DEPARTMENT</v>
      </c>
      <c r="F5652" t="str">
        <f t="shared" si="2310"/>
        <v>IBG</v>
      </c>
      <c r="G5652" t="str">
        <f t="shared" si="2319"/>
        <v>Refund COSHARE 10</v>
      </c>
      <c r="H5652" s="2">
        <v>1091.3499999999999</v>
      </c>
      <c r="I5652" t="str">
        <f>"SHAFINI HUSNA BINTI ABDUL RASHID"</f>
        <v>SHAFINI HUSNA BINTI ABDUL RASHID</v>
      </c>
      <c r="J5652" t="str">
        <f t="shared" si="2307"/>
        <v>CIMB BANK / CIMB ISLAMIC BANK</v>
      </c>
      <c r="K5652" t="str">
        <f>"7048668378"</f>
        <v>7048668378</v>
      </c>
      <c r="L5652" t="str">
        <f t="shared" si="2320"/>
        <v>04-08-2020</v>
      </c>
      <c r="M5652" t="str">
        <f t="shared" si="2320"/>
        <v>04-08-2020</v>
      </c>
      <c r="N5652" t="str">
        <f t="shared" si="2311"/>
        <v>001105018356</v>
      </c>
      <c r="O5652" t="str">
        <f t="shared" si="2312"/>
        <v>MYR</v>
      </c>
      <c r="P5652" t="str">
        <f t="shared" si="2321"/>
        <v>NIL</v>
      </c>
      <c r="Q5652" t="str">
        <f t="shared" si="2321"/>
        <v>NIL</v>
      </c>
      <c r="R5652" t="str">
        <f t="shared" si="2299"/>
        <v>Accepted</v>
      </c>
      <c r="S5652" t="str">
        <f t="shared" si="2313"/>
        <v>Approved</v>
      </c>
      <c r="T5652" t="str">
        <f t="shared" si="2300"/>
        <v>10.20.8.188</v>
      </c>
      <c r="U5652" t="str">
        <f t="shared" si="2314"/>
        <v>AZRAD UMAR BIN SHAARI</v>
      </c>
      <c r="V5652" t="str">
        <f t="shared" si="2315"/>
        <v>FARHANA BINTI MUSTAPA</v>
      </c>
      <c r="W5652" t="str">
        <f t="shared" si="2316"/>
        <v>04-08-2020</v>
      </c>
      <c r="X5652" t="str">
        <f t="shared" si="2317"/>
        <v>RAZIMAH ANSAR AHMAD</v>
      </c>
      <c r="Y5652" t="str">
        <f t="shared" si="2318"/>
        <v>04-08-2020</v>
      </c>
      <c r="Z5652" t="str">
        <f>"COS10200804 3502"</f>
        <v>COS10200804 3502</v>
      </c>
    </row>
    <row r="5653" spans="1:26" x14ac:dyDescent="0.25">
      <c r="A5653" t="str">
        <f t="shared" si="2322"/>
        <v>04-08-2020 12:45:31</v>
      </c>
      <c r="B5653" t="str">
        <f>"0000805271"</f>
        <v>0000805271</v>
      </c>
      <c r="C5653" t="str">
        <f t="shared" si="2323"/>
        <v>0000805170</v>
      </c>
      <c r="D5653" t="str">
        <f t="shared" si="2308"/>
        <v>73185</v>
      </c>
      <c r="E5653" t="str">
        <f t="shared" si="2309"/>
        <v>KFH-OPERATIONS DEPARTMENT</v>
      </c>
      <c r="F5653" t="str">
        <f t="shared" si="2310"/>
        <v>IBG</v>
      </c>
      <c r="G5653" t="str">
        <f t="shared" si="2319"/>
        <v>Refund COSHARE 10</v>
      </c>
      <c r="H5653" s="2">
        <v>1074</v>
      </c>
      <c r="I5653" t="str">
        <f>"SHAFIK HARAFI BIN SHUKRI"</f>
        <v>SHAFIK HARAFI BIN SHUKRI</v>
      </c>
      <c r="J5653" t="str">
        <f t="shared" si="2307"/>
        <v>CIMB BANK / CIMB ISLAMIC BANK</v>
      </c>
      <c r="K5653" t="str">
        <f>"12150086554520"</f>
        <v>12150086554520</v>
      </c>
      <c r="L5653" t="str">
        <f t="shared" si="2320"/>
        <v>04-08-2020</v>
      </c>
      <c r="M5653" t="str">
        <f t="shared" si="2320"/>
        <v>04-08-2020</v>
      </c>
      <c r="N5653" t="str">
        <f t="shared" si="2311"/>
        <v>001105018356</v>
      </c>
      <c r="O5653" t="str">
        <f t="shared" si="2312"/>
        <v>MYR</v>
      </c>
      <c r="P5653" t="str">
        <f t="shared" si="2321"/>
        <v>NIL</v>
      </c>
      <c r="Q5653" t="str">
        <f t="shared" si="2321"/>
        <v>NIL</v>
      </c>
      <c r="R5653" t="str">
        <f t="shared" si="2299"/>
        <v>Accepted</v>
      </c>
      <c r="S5653" t="str">
        <f t="shared" si="2313"/>
        <v>Approved</v>
      </c>
      <c r="T5653" t="str">
        <f t="shared" si="2300"/>
        <v>10.20.8.188</v>
      </c>
      <c r="U5653" t="str">
        <f t="shared" si="2314"/>
        <v>AZRAD UMAR BIN SHAARI</v>
      </c>
      <c r="V5653" t="str">
        <f t="shared" si="2315"/>
        <v>FARHANA BINTI MUSTAPA</v>
      </c>
      <c r="W5653" t="str">
        <f t="shared" si="2316"/>
        <v>04-08-2020</v>
      </c>
      <c r="X5653" t="str">
        <f t="shared" si="2317"/>
        <v>RAZIMAH ANSAR AHMAD</v>
      </c>
      <c r="Y5653" t="str">
        <f t="shared" si="2318"/>
        <v>04-08-2020</v>
      </c>
      <c r="Z5653" t="str">
        <f>"COS10200804 3501"</f>
        <v>COS10200804 3501</v>
      </c>
    </row>
    <row r="5654" spans="1:26" x14ac:dyDescent="0.25">
      <c r="A5654" t="str">
        <f t="shared" si="2322"/>
        <v>04-08-2020 12:45:31</v>
      </c>
      <c r="B5654" t="str">
        <f>"0000805270"</f>
        <v>0000805270</v>
      </c>
      <c r="C5654" t="str">
        <f t="shared" si="2323"/>
        <v>0000805170</v>
      </c>
      <c r="D5654" t="str">
        <f t="shared" si="2308"/>
        <v>73185</v>
      </c>
      <c r="E5654" t="str">
        <f t="shared" si="2309"/>
        <v>KFH-OPERATIONS DEPARTMENT</v>
      </c>
      <c r="F5654" t="str">
        <f t="shared" si="2310"/>
        <v>IBG</v>
      </c>
      <c r="G5654" t="str">
        <f t="shared" si="2319"/>
        <v>Refund COSHARE 10</v>
      </c>
      <c r="H5654" s="2">
        <v>190</v>
      </c>
      <c r="I5654" t="str">
        <f>"SH NOORMASHELLA BINTI SYED OTHMAN"</f>
        <v>SH NOORMASHELLA BINTI SYED OTHMAN</v>
      </c>
      <c r="J5654" t="str">
        <f t="shared" si="2307"/>
        <v>CIMB BANK / CIMB ISLAMIC BANK</v>
      </c>
      <c r="K5654" t="str">
        <f>"06100073885520"</f>
        <v>06100073885520</v>
      </c>
      <c r="L5654" t="str">
        <f t="shared" si="2320"/>
        <v>04-08-2020</v>
      </c>
      <c r="M5654" t="str">
        <f t="shared" si="2320"/>
        <v>04-08-2020</v>
      </c>
      <c r="N5654" t="str">
        <f t="shared" si="2311"/>
        <v>001105018356</v>
      </c>
      <c r="O5654" t="str">
        <f t="shared" si="2312"/>
        <v>MYR</v>
      </c>
      <c r="P5654" t="str">
        <f t="shared" si="2321"/>
        <v>NIL</v>
      </c>
      <c r="Q5654" t="str">
        <f t="shared" si="2321"/>
        <v>NIL</v>
      </c>
      <c r="R5654" t="str">
        <f t="shared" si="2299"/>
        <v>Accepted</v>
      </c>
      <c r="S5654" t="str">
        <f t="shared" si="2313"/>
        <v>Approved</v>
      </c>
      <c r="T5654" t="str">
        <f t="shared" si="2300"/>
        <v>10.20.8.188</v>
      </c>
      <c r="U5654" t="str">
        <f t="shared" si="2314"/>
        <v>AZRAD UMAR BIN SHAARI</v>
      </c>
      <c r="V5654" t="str">
        <f t="shared" si="2315"/>
        <v>FARHANA BINTI MUSTAPA</v>
      </c>
      <c r="W5654" t="str">
        <f t="shared" si="2316"/>
        <v>04-08-2020</v>
      </c>
      <c r="X5654" t="str">
        <f t="shared" si="2317"/>
        <v>RAZIMAH ANSAR AHMAD</v>
      </c>
      <c r="Y5654" t="str">
        <f t="shared" si="2318"/>
        <v>04-08-2020</v>
      </c>
      <c r="Z5654" t="str">
        <f>"COS10200804 3500"</f>
        <v>COS10200804 3500</v>
      </c>
    </row>
    <row r="5655" spans="1:26" x14ac:dyDescent="0.25">
      <c r="A5655" t="str">
        <f t="shared" si="2322"/>
        <v>04-08-2020 12:45:31</v>
      </c>
      <c r="B5655" t="str">
        <f>"0000805269"</f>
        <v>0000805269</v>
      </c>
      <c r="C5655" t="str">
        <f t="shared" si="2323"/>
        <v>0000805170</v>
      </c>
      <c r="D5655" t="str">
        <f t="shared" si="2308"/>
        <v>73185</v>
      </c>
      <c r="E5655" t="str">
        <f t="shared" si="2309"/>
        <v>KFH-OPERATIONS DEPARTMENT</v>
      </c>
      <c r="F5655" t="str">
        <f t="shared" si="2310"/>
        <v>IBG</v>
      </c>
      <c r="G5655" t="str">
        <f t="shared" si="2319"/>
        <v>Refund COSHARE 10</v>
      </c>
      <c r="H5655" s="2">
        <v>83.95</v>
      </c>
      <c r="I5655" t="str">
        <f>"SH NOORMASHELLA BINTI SYED OTHMAN"</f>
        <v>SH NOORMASHELLA BINTI SYED OTHMAN</v>
      </c>
      <c r="J5655" t="str">
        <f t="shared" si="2307"/>
        <v>CIMB BANK / CIMB ISLAMIC BANK</v>
      </c>
      <c r="K5655" t="str">
        <f>"06100073885520"</f>
        <v>06100073885520</v>
      </c>
      <c r="L5655" t="str">
        <f t="shared" si="2320"/>
        <v>04-08-2020</v>
      </c>
      <c r="M5655" t="str">
        <f t="shared" si="2320"/>
        <v>04-08-2020</v>
      </c>
      <c r="N5655" t="str">
        <f t="shared" si="2311"/>
        <v>001105018356</v>
      </c>
      <c r="O5655" t="str">
        <f t="shared" si="2312"/>
        <v>MYR</v>
      </c>
      <c r="P5655" t="str">
        <f t="shared" si="2321"/>
        <v>NIL</v>
      </c>
      <c r="Q5655" t="str">
        <f t="shared" si="2321"/>
        <v>NIL</v>
      </c>
      <c r="R5655" t="str">
        <f t="shared" si="2299"/>
        <v>Accepted</v>
      </c>
      <c r="S5655" t="str">
        <f t="shared" si="2313"/>
        <v>Approved</v>
      </c>
      <c r="T5655" t="str">
        <f t="shared" si="2300"/>
        <v>10.20.8.188</v>
      </c>
      <c r="U5655" t="str">
        <f t="shared" si="2314"/>
        <v>AZRAD UMAR BIN SHAARI</v>
      </c>
      <c r="V5655" t="str">
        <f t="shared" si="2315"/>
        <v>FARHANA BINTI MUSTAPA</v>
      </c>
      <c r="W5655" t="str">
        <f t="shared" si="2316"/>
        <v>04-08-2020</v>
      </c>
      <c r="X5655" t="str">
        <f t="shared" si="2317"/>
        <v>RAZIMAH ANSAR AHMAD</v>
      </c>
      <c r="Y5655" t="str">
        <f t="shared" si="2318"/>
        <v>04-08-2020</v>
      </c>
      <c r="Z5655" t="str">
        <f>"COS10200804 3499"</f>
        <v>COS10200804 3499</v>
      </c>
    </row>
    <row r="5656" spans="1:26" x14ac:dyDescent="0.25">
      <c r="A5656" t="str">
        <f t="shared" si="2322"/>
        <v>04-08-2020 12:45:31</v>
      </c>
      <c r="B5656" t="str">
        <f>"0000805268"</f>
        <v>0000805268</v>
      </c>
      <c r="C5656" t="str">
        <f t="shared" si="2323"/>
        <v>0000805170</v>
      </c>
      <c r="D5656" t="str">
        <f t="shared" si="2308"/>
        <v>73185</v>
      </c>
      <c r="E5656" t="str">
        <f t="shared" si="2309"/>
        <v>KFH-OPERATIONS DEPARTMENT</v>
      </c>
      <c r="F5656" t="str">
        <f t="shared" si="2310"/>
        <v>IBG</v>
      </c>
      <c r="G5656" t="str">
        <f t="shared" si="2319"/>
        <v>Refund COSHARE 10</v>
      </c>
      <c r="H5656" s="2">
        <v>139</v>
      </c>
      <c r="I5656" t="str">
        <f>"SERI CHEMPAKA BINTI MOHD YUSOF"</f>
        <v>SERI CHEMPAKA BINTI MOHD YUSOF</v>
      </c>
      <c r="J5656" t="str">
        <f t="shared" si="2307"/>
        <v>CIMB BANK / CIMB ISLAMIC BANK</v>
      </c>
      <c r="K5656" t="str">
        <f>"7010282009"</f>
        <v>7010282009</v>
      </c>
      <c r="L5656" t="str">
        <f t="shared" si="2320"/>
        <v>04-08-2020</v>
      </c>
      <c r="M5656" t="str">
        <f t="shared" si="2320"/>
        <v>04-08-2020</v>
      </c>
      <c r="N5656" t="str">
        <f t="shared" si="2311"/>
        <v>001105018356</v>
      </c>
      <c r="O5656" t="str">
        <f t="shared" si="2312"/>
        <v>MYR</v>
      </c>
      <c r="P5656" t="str">
        <f t="shared" si="2321"/>
        <v>NIL</v>
      </c>
      <c r="Q5656" t="str">
        <f t="shared" si="2321"/>
        <v>NIL</v>
      </c>
      <c r="R5656" t="str">
        <f t="shared" si="2299"/>
        <v>Accepted</v>
      </c>
      <c r="S5656" t="str">
        <f t="shared" si="2313"/>
        <v>Approved</v>
      </c>
      <c r="T5656" t="str">
        <f t="shared" si="2300"/>
        <v>10.20.8.188</v>
      </c>
      <c r="U5656" t="str">
        <f t="shared" si="2314"/>
        <v>AZRAD UMAR BIN SHAARI</v>
      </c>
      <c r="V5656" t="str">
        <f t="shared" si="2315"/>
        <v>FARHANA BINTI MUSTAPA</v>
      </c>
      <c r="W5656" t="str">
        <f t="shared" si="2316"/>
        <v>04-08-2020</v>
      </c>
      <c r="X5656" t="str">
        <f t="shared" si="2317"/>
        <v>RAZIMAH ANSAR AHMAD</v>
      </c>
      <c r="Y5656" t="str">
        <f t="shared" si="2318"/>
        <v>04-08-2020</v>
      </c>
      <c r="Z5656" t="str">
        <f>"COS10200804 3498"</f>
        <v>COS10200804 3498</v>
      </c>
    </row>
    <row r="5657" spans="1:26" x14ac:dyDescent="0.25">
      <c r="A5657" t="str">
        <f t="shared" si="2322"/>
        <v>04-08-2020 12:45:31</v>
      </c>
      <c r="B5657" t="str">
        <f>"0000805267"</f>
        <v>0000805267</v>
      </c>
      <c r="C5657" t="str">
        <f t="shared" si="2323"/>
        <v>0000805170</v>
      </c>
      <c r="D5657" t="str">
        <f t="shared" si="2308"/>
        <v>73185</v>
      </c>
      <c r="E5657" t="str">
        <f t="shared" si="2309"/>
        <v>KFH-OPERATIONS DEPARTMENT</v>
      </c>
      <c r="F5657" t="str">
        <f t="shared" si="2310"/>
        <v>IBG</v>
      </c>
      <c r="G5657" t="str">
        <f t="shared" si="2319"/>
        <v>Refund COSHARE 10</v>
      </c>
      <c r="H5657" s="2">
        <v>190.55</v>
      </c>
      <c r="I5657" t="str">
        <f>"SENGUAN ANAK MUSA"</f>
        <v>SENGUAN ANAK MUSA</v>
      </c>
      <c r="J5657" t="str">
        <f t="shared" si="2307"/>
        <v>CIMB BANK / CIMB ISLAMIC BANK</v>
      </c>
      <c r="K5657" t="str">
        <f>"10040075457522"</f>
        <v>10040075457522</v>
      </c>
      <c r="L5657" t="str">
        <f t="shared" si="2320"/>
        <v>04-08-2020</v>
      </c>
      <c r="M5657" t="str">
        <f t="shared" si="2320"/>
        <v>04-08-2020</v>
      </c>
      <c r="N5657" t="str">
        <f t="shared" si="2311"/>
        <v>001105018356</v>
      </c>
      <c r="O5657" t="str">
        <f t="shared" si="2312"/>
        <v>MYR</v>
      </c>
      <c r="P5657" t="str">
        <f t="shared" si="2321"/>
        <v>NIL</v>
      </c>
      <c r="Q5657" t="str">
        <f t="shared" si="2321"/>
        <v>NIL</v>
      </c>
      <c r="R5657" t="str">
        <f t="shared" si="2299"/>
        <v>Accepted</v>
      </c>
      <c r="S5657" t="str">
        <f t="shared" si="2313"/>
        <v>Approved</v>
      </c>
      <c r="T5657" t="str">
        <f t="shared" si="2300"/>
        <v>10.20.8.188</v>
      </c>
      <c r="U5657" t="str">
        <f t="shared" si="2314"/>
        <v>AZRAD UMAR BIN SHAARI</v>
      </c>
      <c r="V5657" t="str">
        <f t="shared" si="2315"/>
        <v>FARHANA BINTI MUSTAPA</v>
      </c>
      <c r="W5657" t="str">
        <f t="shared" si="2316"/>
        <v>04-08-2020</v>
      </c>
      <c r="X5657" t="str">
        <f t="shared" si="2317"/>
        <v>RAZIMAH ANSAR AHMAD</v>
      </c>
      <c r="Y5657" t="str">
        <f t="shared" si="2318"/>
        <v>04-08-2020</v>
      </c>
      <c r="Z5657" t="str">
        <f>"COS10200804 3497"</f>
        <v>COS10200804 3497</v>
      </c>
    </row>
    <row r="5658" spans="1:26" x14ac:dyDescent="0.25">
      <c r="A5658" t="str">
        <f t="shared" si="2322"/>
        <v>04-08-2020 12:45:31</v>
      </c>
      <c r="B5658" t="str">
        <f>"0000805266"</f>
        <v>0000805266</v>
      </c>
      <c r="C5658" t="str">
        <f t="shared" si="2323"/>
        <v>0000805170</v>
      </c>
      <c r="D5658" t="str">
        <f t="shared" si="2308"/>
        <v>73185</v>
      </c>
      <c r="E5658" t="str">
        <f t="shared" si="2309"/>
        <v>KFH-OPERATIONS DEPARTMENT</v>
      </c>
      <c r="F5658" t="str">
        <f t="shared" si="2310"/>
        <v>IBG</v>
      </c>
      <c r="G5658" t="str">
        <f t="shared" si="2319"/>
        <v>Refund COSHARE 10</v>
      </c>
      <c r="H5658" s="2">
        <v>1290</v>
      </c>
      <c r="I5658" t="str">
        <f>"SEMIAH BINTI EDEN"</f>
        <v>SEMIAH BINTI EDEN</v>
      </c>
      <c r="J5658" t="str">
        <f t="shared" si="2307"/>
        <v>CIMB BANK / CIMB ISLAMIC BANK</v>
      </c>
      <c r="K5658" t="str">
        <f>"11100013897520"</f>
        <v>11100013897520</v>
      </c>
      <c r="L5658" t="str">
        <f t="shared" si="2320"/>
        <v>04-08-2020</v>
      </c>
      <c r="M5658" t="str">
        <f t="shared" si="2320"/>
        <v>04-08-2020</v>
      </c>
      <c r="N5658" t="str">
        <f t="shared" si="2311"/>
        <v>001105018356</v>
      </c>
      <c r="O5658" t="str">
        <f t="shared" si="2312"/>
        <v>MYR</v>
      </c>
      <c r="P5658" t="str">
        <f t="shared" si="2321"/>
        <v>NIL</v>
      </c>
      <c r="Q5658" t="str">
        <f t="shared" si="2321"/>
        <v>NIL</v>
      </c>
      <c r="R5658" t="str">
        <f t="shared" si="2299"/>
        <v>Accepted</v>
      </c>
      <c r="S5658" t="str">
        <f t="shared" si="2313"/>
        <v>Approved</v>
      </c>
      <c r="T5658" t="str">
        <f t="shared" si="2300"/>
        <v>10.20.8.188</v>
      </c>
      <c r="U5658" t="str">
        <f t="shared" si="2314"/>
        <v>AZRAD UMAR BIN SHAARI</v>
      </c>
      <c r="V5658" t="str">
        <f t="shared" si="2315"/>
        <v>FARHANA BINTI MUSTAPA</v>
      </c>
      <c r="W5658" t="str">
        <f t="shared" si="2316"/>
        <v>04-08-2020</v>
      </c>
      <c r="X5658" t="str">
        <f t="shared" si="2317"/>
        <v>RAZIMAH ANSAR AHMAD</v>
      </c>
      <c r="Y5658" t="str">
        <f t="shared" si="2318"/>
        <v>04-08-2020</v>
      </c>
      <c r="Z5658" t="str">
        <f>"COS10200804 3496"</f>
        <v>COS10200804 3496</v>
      </c>
    </row>
    <row r="5659" spans="1:26" x14ac:dyDescent="0.25">
      <c r="A5659" t="str">
        <f t="shared" si="2322"/>
        <v>04-08-2020 12:45:31</v>
      </c>
      <c r="B5659" t="str">
        <f>"0000805265"</f>
        <v>0000805265</v>
      </c>
      <c r="C5659" t="str">
        <f t="shared" si="2323"/>
        <v>0000805170</v>
      </c>
      <c r="D5659" t="str">
        <f t="shared" si="2308"/>
        <v>73185</v>
      </c>
      <c r="E5659" t="str">
        <f t="shared" si="2309"/>
        <v>KFH-OPERATIONS DEPARTMENT</v>
      </c>
      <c r="F5659" t="str">
        <f t="shared" si="2310"/>
        <v>IBG</v>
      </c>
      <c r="G5659" t="str">
        <f t="shared" si="2319"/>
        <v>Refund COSHARE 10</v>
      </c>
      <c r="H5659" s="2">
        <v>1679</v>
      </c>
      <c r="I5659" t="str">
        <f>"SELVAKUMARI AP SELVADURAI"</f>
        <v>SELVAKUMARI AP SELVADURAI</v>
      </c>
      <c r="J5659" t="str">
        <f t="shared" si="2307"/>
        <v>CIMB BANK / CIMB ISLAMIC BANK</v>
      </c>
      <c r="K5659" t="str">
        <f>"7000132952"</f>
        <v>7000132952</v>
      </c>
      <c r="L5659" t="str">
        <f t="shared" si="2320"/>
        <v>04-08-2020</v>
      </c>
      <c r="M5659" t="str">
        <f t="shared" si="2320"/>
        <v>04-08-2020</v>
      </c>
      <c r="N5659" t="str">
        <f t="shared" si="2311"/>
        <v>001105018356</v>
      </c>
      <c r="O5659" t="str">
        <f t="shared" si="2312"/>
        <v>MYR</v>
      </c>
      <c r="P5659" t="str">
        <f t="shared" si="2321"/>
        <v>NIL</v>
      </c>
      <c r="Q5659" t="str">
        <f t="shared" si="2321"/>
        <v>NIL</v>
      </c>
      <c r="R5659" t="str">
        <f t="shared" si="2299"/>
        <v>Accepted</v>
      </c>
      <c r="S5659" t="str">
        <f t="shared" si="2313"/>
        <v>Approved</v>
      </c>
      <c r="T5659" t="str">
        <f t="shared" si="2300"/>
        <v>10.20.8.188</v>
      </c>
      <c r="U5659" t="str">
        <f t="shared" si="2314"/>
        <v>AZRAD UMAR BIN SHAARI</v>
      </c>
      <c r="V5659" t="str">
        <f t="shared" si="2315"/>
        <v>FARHANA BINTI MUSTAPA</v>
      </c>
      <c r="W5659" t="str">
        <f t="shared" si="2316"/>
        <v>04-08-2020</v>
      </c>
      <c r="X5659" t="str">
        <f t="shared" si="2317"/>
        <v>RAZIMAH ANSAR AHMAD</v>
      </c>
      <c r="Y5659" t="str">
        <f t="shared" si="2318"/>
        <v>04-08-2020</v>
      </c>
      <c r="Z5659" t="str">
        <f>"COS10200804 3495"</f>
        <v>COS10200804 3495</v>
      </c>
    </row>
    <row r="5660" spans="1:26" x14ac:dyDescent="0.25">
      <c r="A5660" t="str">
        <f t="shared" si="2322"/>
        <v>04-08-2020 12:45:31</v>
      </c>
      <c r="B5660" t="str">
        <f>"0000805264"</f>
        <v>0000805264</v>
      </c>
      <c r="C5660" t="str">
        <f t="shared" si="2323"/>
        <v>0000805170</v>
      </c>
      <c r="D5660" t="str">
        <f t="shared" si="2308"/>
        <v>73185</v>
      </c>
      <c r="E5660" t="str">
        <f t="shared" si="2309"/>
        <v>KFH-OPERATIONS DEPARTMENT</v>
      </c>
      <c r="F5660" t="str">
        <f t="shared" si="2310"/>
        <v>IBG</v>
      </c>
      <c r="G5660" t="str">
        <f t="shared" si="2319"/>
        <v>Refund COSHARE 10</v>
      </c>
      <c r="H5660" s="2">
        <v>438</v>
      </c>
      <c r="I5660" t="str">
        <f>"SAUDI BIN BUJANG"</f>
        <v>SAUDI BIN BUJANG</v>
      </c>
      <c r="J5660" t="str">
        <f t="shared" si="2307"/>
        <v>CIMB BANK / CIMB ISLAMIC BANK</v>
      </c>
      <c r="K5660" t="str">
        <f>"11100062657523"</f>
        <v>11100062657523</v>
      </c>
      <c r="L5660" t="str">
        <f t="shared" si="2320"/>
        <v>04-08-2020</v>
      </c>
      <c r="M5660" t="str">
        <f t="shared" si="2320"/>
        <v>04-08-2020</v>
      </c>
      <c r="N5660" t="str">
        <f t="shared" si="2311"/>
        <v>001105018356</v>
      </c>
      <c r="O5660" t="str">
        <f t="shared" si="2312"/>
        <v>MYR</v>
      </c>
      <c r="P5660" t="str">
        <f t="shared" si="2321"/>
        <v>NIL</v>
      </c>
      <c r="Q5660" t="str">
        <f t="shared" si="2321"/>
        <v>NIL</v>
      </c>
      <c r="R5660" t="str">
        <f t="shared" si="2299"/>
        <v>Accepted</v>
      </c>
      <c r="S5660" t="str">
        <f t="shared" si="2313"/>
        <v>Approved</v>
      </c>
      <c r="T5660" t="str">
        <f t="shared" si="2300"/>
        <v>10.20.8.188</v>
      </c>
      <c r="U5660" t="str">
        <f t="shared" si="2314"/>
        <v>AZRAD UMAR BIN SHAARI</v>
      </c>
      <c r="V5660" t="str">
        <f t="shared" si="2315"/>
        <v>FARHANA BINTI MUSTAPA</v>
      </c>
      <c r="W5660" t="str">
        <f t="shared" si="2316"/>
        <v>04-08-2020</v>
      </c>
      <c r="X5660" t="str">
        <f t="shared" si="2317"/>
        <v>RAZIMAH ANSAR AHMAD</v>
      </c>
      <c r="Y5660" t="str">
        <f t="shared" si="2318"/>
        <v>04-08-2020</v>
      </c>
      <c r="Z5660" t="str">
        <f>"COS10200804 3494"</f>
        <v>COS10200804 3494</v>
      </c>
    </row>
    <row r="5661" spans="1:26" x14ac:dyDescent="0.25">
      <c r="A5661" t="str">
        <f t="shared" si="2322"/>
        <v>04-08-2020 12:45:31</v>
      </c>
      <c r="B5661" t="str">
        <f>"0000805263"</f>
        <v>0000805263</v>
      </c>
      <c r="C5661" t="str">
        <f t="shared" si="2323"/>
        <v>0000805170</v>
      </c>
      <c r="D5661" t="str">
        <f t="shared" si="2308"/>
        <v>73185</v>
      </c>
      <c r="E5661" t="str">
        <f t="shared" si="2309"/>
        <v>KFH-OPERATIONS DEPARTMENT</v>
      </c>
      <c r="F5661" t="str">
        <f t="shared" si="2310"/>
        <v>IBG</v>
      </c>
      <c r="G5661" t="str">
        <f t="shared" si="2319"/>
        <v>Refund COSHARE 10</v>
      </c>
      <c r="H5661" s="2">
        <v>520.5</v>
      </c>
      <c r="I5661" t="str">
        <f>"SASITHARAN AL NARAYANAN"</f>
        <v>SASITHARAN AL NARAYANAN</v>
      </c>
      <c r="J5661" t="str">
        <f t="shared" si="2307"/>
        <v>CIMB BANK / CIMB ISLAMIC BANK</v>
      </c>
      <c r="K5661" t="str">
        <f>"06080065007528"</f>
        <v>06080065007528</v>
      </c>
      <c r="L5661" t="str">
        <f t="shared" si="2320"/>
        <v>04-08-2020</v>
      </c>
      <c r="M5661" t="str">
        <f t="shared" si="2320"/>
        <v>04-08-2020</v>
      </c>
      <c r="N5661" t="str">
        <f t="shared" si="2311"/>
        <v>001105018356</v>
      </c>
      <c r="O5661" t="str">
        <f t="shared" si="2312"/>
        <v>MYR</v>
      </c>
      <c r="P5661" t="str">
        <f t="shared" si="2321"/>
        <v>NIL</v>
      </c>
      <c r="Q5661" t="str">
        <f t="shared" si="2321"/>
        <v>NIL</v>
      </c>
      <c r="R5661" t="str">
        <f t="shared" si="2299"/>
        <v>Accepted</v>
      </c>
      <c r="S5661" t="str">
        <f t="shared" si="2313"/>
        <v>Approved</v>
      </c>
      <c r="T5661" t="str">
        <f t="shared" si="2300"/>
        <v>10.20.8.188</v>
      </c>
      <c r="U5661" t="str">
        <f t="shared" si="2314"/>
        <v>AZRAD UMAR BIN SHAARI</v>
      </c>
      <c r="V5661" t="str">
        <f t="shared" si="2315"/>
        <v>FARHANA BINTI MUSTAPA</v>
      </c>
      <c r="W5661" t="str">
        <f t="shared" si="2316"/>
        <v>04-08-2020</v>
      </c>
      <c r="X5661" t="str">
        <f t="shared" si="2317"/>
        <v>RAZIMAH ANSAR AHMAD</v>
      </c>
      <c r="Y5661" t="str">
        <f t="shared" si="2318"/>
        <v>04-08-2020</v>
      </c>
      <c r="Z5661" t="str">
        <f>"COS10200804 3493"</f>
        <v>COS10200804 3493</v>
      </c>
    </row>
    <row r="5662" spans="1:26" x14ac:dyDescent="0.25">
      <c r="A5662" t="str">
        <f t="shared" si="2322"/>
        <v>04-08-2020 12:45:31</v>
      </c>
      <c r="B5662" t="str">
        <f>"0000805262"</f>
        <v>0000805262</v>
      </c>
      <c r="C5662" t="str">
        <f t="shared" si="2323"/>
        <v>0000805170</v>
      </c>
      <c r="D5662" t="str">
        <f t="shared" si="2308"/>
        <v>73185</v>
      </c>
      <c r="E5662" t="str">
        <f t="shared" si="2309"/>
        <v>KFH-OPERATIONS DEPARTMENT</v>
      </c>
      <c r="F5662" t="str">
        <f t="shared" si="2310"/>
        <v>IBG</v>
      </c>
      <c r="G5662" t="str">
        <f t="shared" si="2319"/>
        <v>Refund COSHARE 10</v>
      </c>
      <c r="H5662" s="2">
        <v>304</v>
      </c>
      <c r="I5662" t="str">
        <f>"SARIPAH NORIZAN BINTI SAYED OTHMAN"</f>
        <v>SARIPAH NORIZAN BINTI SAYED OTHMAN</v>
      </c>
      <c r="J5662" t="str">
        <f t="shared" si="2307"/>
        <v>CIMB BANK / CIMB ISLAMIC BANK</v>
      </c>
      <c r="K5662" t="str">
        <f>"7052312582"</f>
        <v>7052312582</v>
      </c>
      <c r="L5662" t="str">
        <f t="shared" si="2320"/>
        <v>04-08-2020</v>
      </c>
      <c r="M5662" t="str">
        <f t="shared" si="2320"/>
        <v>04-08-2020</v>
      </c>
      <c r="N5662" t="str">
        <f t="shared" si="2311"/>
        <v>001105018356</v>
      </c>
      <c r="O5662" t="str">
        <f t="shared" si="2312"/>
        <v>MYR</v>
      </c>
      <c r="P5662" t="str">
        <f t="shared" si="2321"/>
        <v>NIL</v>
      </c>
      <c r="Q5662" t="str">
        <f t="shared" si="2321"/>
        <v>NIL</v>
      </c>
      <c r="R5662" t="str">
        <f t="shared" si="2299"/>
        <v>Accepted</v>
      </c>
      <c r="S5662" t="str">
        <f t="shared" si="2313"/>
        <v>Approved</v>
      </c>
      <c r="T5662" t="str">
        <f t="shared" si="2300"/>
        <v>10.20.8.188</v>
      </c>
      <c r="U5662" t="str">
        <f t="shared" si="2314"/>
        <v>AZRAD UMAR BIN SHAARI</v>
      </c>
      <c r="V5662" t="str">
        <f t="shared" si="2315"/>
        <v>FARHANA BINTI MUSTAPA</v>
      </c>
      <c r="W5662" t="str">
        <f t="shared" si="2316"/>
        <v>04-08-2020</v>
      </c>
      <c r="X5662" t="str">
        <f t="shared" si="2317"/>
        <v>RAZIMAH ANSAR AHMAD</v>
      </c>
      <c r="Y5662" t="str">
        <f t="shared" si="2318"/>
        <v>04-08-2020</v>
      </c>
      <c r="Z5662" t="str">
        <f>"COS10200804 3492"</f>
        <v>COS10200804 3492</v>
      </c>
    </row>
    <row r="5663" spans="1:26" x14ac:dyDescent="0.25">
      <c r="A5663" t="str">
        <f t="shared" si="2322"/>
        <v>04-08-2020 12:45:31</v>
      </c>
      <c r="B5663" t="str">
        <f>"0000805261"</f>
        <v>0000805261</v>
      </c>
      <c r="C5663" t="str">
        <f t="shared" si="2323"/>
        <v>0000805170</v>
      </c>
      <c r="D5663" t="str">
        <f t="shared" si="2308"/>
        <v>73185</v>
      </c>
      <c r="E5663" t="str">
        <f t="shared" si="2309"/>
        <v>KFH-OPERATIONS DEPARTMENT</v>
      </c>
      <c r="F5663" t="str">
        <f t="shared" si="2310"/>
        <v>IBG</v>
      </c>
      <c r="G5663" t="str">
        <f t="shared" si="2319"/>
        <v>Refund COSHARE 10</v>
      </c>
      <c r="H5663" s="2">
        <v>503.7</v>
      </c>
      <c r="I5663" t="str">
        <f>"SARINA BINTI ZAINUDDIN"</f>
        <v>SARINA BINTI ZAINUDDIN</v>
      </c>
      <c r="J5663" t="str">
        <f t="shared" si="2307"/>
        <v>CIMB BANK / CIMB ISLAMIC BANK</v>
      </c>
      <c r="K5663" t="str">
        <f>"06021479872521"</f>
        <v>06021479872521</v>
      </c>
      <c r="L5663" t="str">
        <f t="shared" si="2320"/>
        <v>04-08-2020</v>
      </c>
      <c r="M5663" t="str">
        <f t="shared" si="2320"/>
        <v>04-08-2020</v>
      </c>
      <c r="N5663" t="str">
        <f t="shared" si="2311"/>
        <v>001105018356</v>
      </c>
      <c r="O5663" t="str">
        <f t="shared" si="2312"/>
        <v>MYR</v>
      </c>
      <c r="P5663" t="str">
        <f t="shared" si="2321"/>
        <v>NIL</v>
      </c>
      <c r="Q5663" t="str">
        <f t="shared" si="2321"/>
        <v>NIL</v>
      </c>
      <c r="R5663" t="str">
        <f t="shared" si="2299"/>
        <v>Accepted</v>
      </c>
      <c r="S5663" t="str">
        <f t="shared" si="2313"/>
        <v>Approved</v>
      </c>
      <c r="T5663" t="str">
        <f t="shared" si="2300"/>
        <v>10.20.8.188</v>
      </c>
      <c r="U5663" t="str">
        <f t="shared" si="2314"/>
        <v>AZRAD UMAR BIN SHAARI</v>
      </c>
      <c r="V5663" t="str">
        <f t="shared" si="2315"/>
        <v>FARHANA BINTI MUSTAPA</v>
      </c>
      <c r="W5663" t="str">
        <f t="shared" si="2316"/>
        <v>04-08-2020</v>
      </c>
      <c r="X5663" t="str">
        <f t="shared" si="2317"/>
        <v>RAZIMAH ANSAR AHMAD</v>
      </c>
      <c r="Y5663" t="str">
        <f t="shared" si="2318"/>
        <v>04-08-2020</v>
      </c>
      <c r="Z5663" t="str">
        <f>"COS10200804 3491"</f>
        <v>COS10200804 3491</v>
      </c>
    </row>
    <row r="5664" spans="1:26" x14ac:dyDescent="0.25">
      <c r="A5664" t="str">
        <f t="shared" si="2322"/>
        <v>04-08-2020 12:45:31</v>
      </c>
      <c r="B5664" t="str">
        <f>"0000805260"</f>
        <v>0000805260</v>
      </c>
      <c r="C5664" t="str">
        <f t="shared" si="2323"/>
        <v>0000805170</v>
      </c>
      <c r="D5664" t="str">
        <f t="shared" si="2308"/>
        <v>73185</v>
      </c>
      <c r="E5664" t="str">
        <f t="shared" si="2309"/>
        <v>KFH-OPERATIONS DEPARTMENT</v>
      </c>
      <c r="F5664" t="str">
        <f t="shared" si="2310"/>
        <v>IBG</v>
      </c>
      <c r="G5664" t="str">
        <f t="shared" si="2319"/>
        <v>Refund COSHARE 10</v>
      </c>
      <c r="H5664" s="2">
        <v>1284.4000000000001</v>
      </c>
      <c r="I5664" t="str">
        <f>"SARINA BINTI SHARIFF"</f>
        <v>SARINA BINTI SHARIFF</v>
      </c>
      <c r="J5664" t="str">
        <f t="shared" si="2307"/>
        <v>CIMB BANK / CIMB ISLAMIC BANK</v>
      </c>
      <c r="K5664" t="str">
        <f>"12210066020523"</f>
        <v>12210066020523</v>
      </c>
      <c r="L5664" t="str">
        <f t="shared" si="2320"/>
        <v>04-08-2020</v>
      </c>
      <c r="M5664" t="str">
        <f t="shared" si="2320"/>
        <v>04-08-2020</v>
      </c>
      <c r="N5664" t="str">
        <f t="shared" si="2311"/>
        <v>001105018356</v>
      </c>
      <c r="O5664" t="str">
        <f t="shared" si="2312"/>
        <v>MYR</v>
      </c>
      <c r="P5664" t="str">
        <f t="shared" si="2321"/>
        <v>NIL</v>
      </c>
      <c r="Q5664" t="str">
        <f t="shared" si="2321"/>
        <v>NIL</v>
      </c>
      <c r="R5664" t="str">
        <f t="shared" si="2299"/>
        <v>Accepted</v>
      </c>
      <c r="S5664" t="str">
        <f t="shared" si="2313"/>
        <v>Approved</v>
      </c>
      <c r="T5664" t="str">
        <f t="shared" si="2300"/>
        <v>10.20.8.188</v>
      </c>
      <c r="U5664" t="str">
        <f t="shared" si="2314"/>
        <v>AZRAD UMAR BIN SHAARI</v>
      </c>
      <c r="V5664" t="str">
        <f t="shared" si="2315"/>
        <v>FARHANA BINTI MUSTAPA</v>
      </c>
      <c r="W5664" t="str">
        <f t="shared" si="2316"/>
        <v>04-08-2020</v>
      </c>
      <c r="X5664" t="str">
        <f t="shared" si="2317"/>
        <v>RAZIMAH ANSAR AHMAD</v>
      </c>
      <c r="Y5664" t="str">
        <f t="shared" si="2318"/>
        <v>04-08-2020</v>
      </c>
      <c r="Z5664" t="str">
        <f>"COS10200804 3490"</f>
        <v>COS10200804 3490</v>
      </c>
    </row>
    <row r="5665" spans="1:26" x14ac:dyDescent="0.25">
      <c r="A5665" t="str">
        <f t="shared" si="2322"/>
        <v>04-08-2020 12:45:31</v>
      </c>
      <c r="B5665" t="str">
        <f>"0000805259"</f>
        <v>0000805259</v>
      </c>
      <c r="C5665" t="str">
        <f t="shared" si="2323"/>
        <v>0000805170</v>
      </c>
      <c r="D5665" t="str">
        <f t="shared" si="2308"/>
        <v>73185</v>
      </c>
      <c r="E5665" t="str">
        <f t="shared" si="2309"/>
        <v>KFH-OPERATIONS DEPARTMENT</v>
      </c>
      <c r="F5665" t="str">
        <f t="shared" si="2310"/>
        <v>IBG</v>
      </c>
      <c r="G5665" t="str">
        <f t="shared" si="2319"/>
        <v>Refund COSHARE 10</v>
      </c>
      <c r="H5665" s="2">
        <v>696</v>
      </c>
      <c r="I5665" t="str">
        <f>"SARIDIN BIN MOLUSIN"</f>
        <v>SARIDIN BIN MOLUSIN</v>
      </c>
      <c r="J5665" t="str">
        <f t="shared" si="2307"/>
        <v>CIMB BANK / CIMB ISLAMIC BANK</v>
      </c>
      <c r="K5665" t="str">
        <f>"10050026571520"</f>
        <v>10050026571520</v>
      </c>
      <c r="L5665" t="str">
        <f t="shared" si="2320"/>
        <v>04-08-2020</v>
      </c>
      <c r="M5665" t="str">
        <f t="shared" si="2320"/>
        <v>04-08-2020</v>
      </c>
      <c r="N5665" t="str">
        <f t="shared" si="2311"/>
        <v>001105018356</v>
      </c>
      <c r="O5665" t="str">
        <f t="shared" si="2312"/>
        <v>MYR</v>
      </c>
      <c r="P5665" t="str">
        <f t="shared" si="2321"/>
        <v>NIL</v>
      </c>
      <c r="Q5665" t="str">
        <f t="shared" si="2321"/>
        <v>NIL</v>
      </c>
      <c r="R5665" t="str">
        <f t="shared" si="2299"/>
        <v>Accepted</v>
      </c>
      <c r="S5665" t="str">
        <f t="shared" si="2313"/>
        <v>Approved</v>
      </c>
      <c r="T5665" t="str">
        <f t="shared" si="2300"/>
        <v>10.20.8.188</v>
      </c>
      <c r="U5665" t="str">
        <f t="shared" si="2314"/>
        <v>AZRAD UMAR BIN SHAARI</v>
      </c>
      <c r="V5665" t="str">
        <f t="shared" si="2315"/>
        <v>FARHANA BINTI MUSTAPA</v>
      </c>
      <c r="W5665" t="str">
        <f t="shared" si="2316"/>
        <v>04-08-2020</v>
      </c>
      <c r="X5665" t="str">
        <f t="shared" si="2317"/>
        <v>RAZIMAH ANSAR AHMAD</v>
      </c>
      <c r="Y5665" t="str">
        <f t="shared" si="2318"/>
        <v>04-08-2020</v>
      </c>
      <c r="Z5665" t="str">
        <f>"COS10200804 3489"</f>
        <v>COS10200804 3489</v>
      </c>
    </row>
    <row r="5666" spans="1:26" x14ac:dyDescent="0.25">
      <c r="A5666" t="str">
        <f t="shared" si="2322"/>
        <v>04-08-2020 12:45:31</v>
      </c>
      <c r="B5666" t="str">
        <f>"0000805258"</f>
        <v>0000805258</v>
      </c>
      <c r="C5666" t="str">
        <f t="shared" si="2323"/>
        <v>0000805170</v>
      </c>
      <c r="D5666" t="str">
        <f t="shared" si="2308"/>
        <v>73185</v>
      </c>
      <c r="E5666" t="str">
        <f t="shared" si="2309"/>
        <v>KFH-OPERATIONS DEPARTMENT</v>
      </c>
      <c r="F5666" t="str">
        <f t="shared" si="2310"/>
        <v>IBG</v>
      </c>
      <c r="G5666" t="str">
        <f t="shared" si="2319"/>
        <v>Refund COSHARE 10</v>
      </c>
      <c r="H5666" s="2">
        <v>377.8</v>
      </c>
      <c r="I5666" t="str">
        <f>"SARASWATHEE AP ONTROJAMY"</f>
        <v>SARASWATHEE AP ONTROJAMY</v>
      </c>
      <c r="J5666" t="str">
        <f t="shared" si="2307"/>
        <v>CIMB BANK / CIMB ISLAMIC BANK</v>
      </c>
      <c r="K5666" t="str">
        <f>"7010334178"</f>
        <v>7010334178</v>
      </c>
      <c r="L5666" t="str">
        <f t="shared" si="2320"/>
        <v>04-08-2020</v>
      </c>
      <c r="M5666" t="str">
        <f t="shared" si="2320"/>
        <v>04-08-2020</v>
      </c>
      <c r="N5666" t="str">
        <f t="shared" si="2311"/>
        <v>001105018356</v>
      </c>
      <c r="O5666" t="str">
        <f t="shared" si="2312"/>
        <v>MYR</v>
      </c>
      <c r="P5666" t="str">
        <f t="shared" si="2321"/>
        <v>NIL</v>
      </c>
      <c r="Q5666" t="str">
        <f t="shared" si="2321"/>
        <v>NIL</v>
      </c>
      <c r="R5666" t="str">
        <f t="shared" ref="R5666:R5729" si="2324">"Accepted"</f>
        <v>Accepted</v>
      </c>
      <c r="S5666" t="str">
        <f t="shared" si="2313"/>
        <v>Approved</v>
      </c>
      <c r="T5666" t="str">
        <f t="shared" ref="T5666:T5729" si="2325">"10.20.8.188"</f>
        <v>10.20.8.188</v>
      </c>
      <c r="U5666" t="str">
        <f t="shared" si="2314"/>
        <v>AZRAD UMAR BIN SHAARI</v>
      </c>
      <c r="V5666" t="str">
        <f t="shared" si="2315"/>
        <v>FARHANA BINTI MUSTAPA</v>
      </c>
      <c r="W5666" t="str">
        <f t="shared" si="2316"/>
        <v>04-08-2020</v>
      </c>
      <c r="X5666" t="str">
        <f t="shared" si="2317"/>
        <v>RAZIMAH ANSAR AHMAD</v>
      </c>
      <c r="Y5666" t="str">
        <f t="shared" si="2318"/>
        <v>04-08-2020</v>
      </c>
      <c r="Z5666" t="str">
        <f>"COS10200804 3488"</f>
        <v>COS10200804 3488</v>
      </c>
    </row>
    <row r="5667" spans="1:26" x14ac:dyDescent="0.25">
      <c r="A5667" t="str">
        <f t="shared" si="2322"/>
        <v>04-08-2020 12:45:31</v>
      </c>
      <c r="B5667" t="str">
        <f>"0000805257"</f>
        <v>0000805257</v>
      </c>
      <c r="C5667" t="str">
        <f t="shared" si="2323"/>
        <v>0000805170</v>
      </c>
      <c r="D5667" t="str">
        <f t="shared" si="2308"/>
        <v>73185</v>
      </c>
      <c r="E5667" t="str">
        <f t="shared" si="2309"/>
        <v>KFH-OPERATIONS DEPARTMENT</v>
      </c>
      <c r="F5667" t="str">
        <f t="shared" si="2310"/>
        <v>IBG</v>
      </c>
      <c r="G5667" t="str">
        <f t="shared" si="2319"/>
        <v>Refund COSHARE 10</v>
      </c>
      <c r="H5667" s="2">
        <v>847</v>
      </c>
      <c r="I5667" t="str">
        <f>"SAPRI BIN ABDULLAH"</f>
        <v>SAPRI BIN ABDULLAH</v>
      </c>
      <c r="J5667" t="str">
        <f t="shared" si="2307"/>
        <v>CIMB BANK / CIMB ISLAMIC BANK</v>
      </c>
      <c r="K5667" t="str">
        <f>"10120008873526"</f>
        <v>10120008873526</v>
      </c>
      <c r="L5667" t="str">
        <f t="shared" ref="L5667:M5686" si="2326">"04-08-2020"</f>
        <v>04-08-2020</v>
      </c>
      <c r="M5667" t="str">
        <f t="shared" si="2326"/>
        <v>04-08-2020</v>
      </c>
      <c r="N5667" t="str">
        <f t="shared" si="2311"/>
        <v>001105018356</v>
      </c>
      <c r="O5667" t="str">
        <f t="shared" si="2312"/>
        <v>MYR</v>
      </c>
      <c r="P5667" t="str">
        <f t="shared" ref="P5667:Q5686" si="2327">"NIL"</f>
        <v>NIL</v>
      </c>
      <c r="Q5667" t="str">
        <f t="shared" si="2327"/>
        <v>NIL</v>
      </c>
      <c r="R5667" t="str">
        <f t="shared" si="2324"/>
        <v>Accepted</v>
      </c>
      <c r="S5667" t="str">
        <f t="shared" si="2313"/>
        <v>Approved</v>
      </c>
      <c r="T5667" t="str">
        <f t="shared" si="2325"/>
        <v>10.20.8.188</v>
      </c>
      <c r="U5667" t="str">
        <f t="shared" si="2314"/>
        <v>AZRAD UMAR BIN SHAARI</v>
      </c>
      <c r="V5667" t="str">
        <f t="shared" si="2315"/>
        <v>FARHANA BINTI MUSTAPA</v>
      </c>
      <c r="W5667" t="str">
        <f t="shared" si="2316"/>
        <v>04-08-2020</v>
      </c>
      <c r="X5667" t="str">
        <f t="shared" si="2317"/>
        <v>RAZIMAH ANSAR AHMAD</v>
      </c>
      <c r="Y5667" t="str">
        <f t="shared" si="2318"/>
        <v>04-08-2020</v>
      </c>
      <c r="Z5667" t="str">
        <f>"COS10200804 3487"</f>
        <v>COS10200804 3487</v>
      </c>
    </row>
    <row r="5668" spans="1:26" x14ac:dyDescent="0.25">
      <c r="A5668" t="str">
        <f t="shared" si="2322"/>
        <v>04-08-2020 12:45:31</v>
      </c>
      <c r="B5668" t="str">
        <f>"0000805256"</f>
        <v>0000805256</v>
      </c>
      <c r="C5668" t="str">
        <f t="shared" si="2323"/>
        <v>0000805170</v>
      </c>
      <c r="D5668" t="str">
        <f t="shared" si="2308"/>
        <v>73185</v>
      </c>
      <c r="E5668" t="str">
        <f t="shared" si="2309"/>
        <v>KFH-OPERATIONS DEPARTMENT</v>
      </c>
      <c r="F5668" t="str">
        <f t="shared" si="2310"/>
        <v>IBG</v>
      </c>
      <c r="G5668" t="str">
        <f t="shared" si="2319"/>
        <v>Refund COSHARE 10</v>
      </c>
      <c r="H5668" s="2">
        <v>302.25</v>
      </c>
      <c r="I5668" t="str">
        <f>"SANISAH BINTI SHUAINI"</f>
        <v>SANISAH BINTI SHUAINI</v>
      </c>
      <c r="J5668" t="str">
        <f t="shared" si="2307"/>
        <v>CIMB BANK / CIMB ISLAMIC BANK</v>
      </c>
      <c r="K5668" t="str">
        <f>"7006727809"</f>
        <v>7006727809</v>
      </c>
      <c r="L5668" t="str">
        <f t="shared" si="2326"/>
        <v>04-08-2020</v>
      </c>
      <c r="M5668" t="str">
        <f t="shared" si="2326"/>
        <v>04-08-2020</v>
      </c>
      <c r="N5668" t="str">
        <f t="shared" si="2311"/>
        <v>001105018356</v>
      </c>
      <c r="O5668" t="str">
        <f t="shared" si="2312"/>
        <v>MYR</v>
      </c>
      <c r="P5668" t="str">
        <f t="shared" si="2327"/>
        <v>NIL</v>
      </c>
      <c r="Q5668" t="str">
        <f t="shared" si="2327"/>
        <v>NIL</v>
      </c>
      <c r="R5668" t="str">
        <f t="shared" si="2324"/>
        <v>Accepted</v>
      </c>
      <c r="S5668" t="str">
        <f t="shared" si="2313"/>
        <v>Approved</v>
      </c>
      <c r="T5668" t="str">
        <f t="shared" si="2325"/>
        <v>10.20.8.188</v>
      </c>
      <c r="U5668" t="str">
        <f t="shared" si="2314"/>
        <v>AZRAD UMAR BIN SHAARI</v>
      </c>
      <c r="V5668" t="str">
        <f t="shared" si="2315"/>
        <v>FARHANA BINTI MUSTAPA</v>
      </c>
      <c r="W5668" t="str">
        <f t="shared" si="2316"/>
        <v>04-08-2020</v>
      </c>
      <c r="X5668" t="str">
        <f t="shared" si="2317"/>
        <v>RAZIMAH ANSAR AHMAD</v>
      </c>
      <c r="Y5668" t="str">
        <f t="shared" si="2318"/>
        <v>04-08-2020</v>
      </c>
      <c r="Z5668" t="str">
        <f>"COS10200804 3486"</f>
        <v>COS10200804 3486</v>
      </c>
    </row>
    <row r="5669" spans="1:26" x14ac:dyDescent="0.25">
      <c r="A5669" t="str">
        <f t="shared" si="2322"/>
        <v>04-08-2020 12:45:31</v>
      </c>
      <c r="B5669" t="str">
        <f>"0000805255"</f>
        <v>0000805255</v>
      </c>
      <c r="C5669" t="str">
        <f t="shared" si="2323"/>
        <v>0000805170</v>
      </c>
      <c r="D5669" t="str">
        <f t="shared" si="2308"/>
        <v>73185</v>
      </c>
      <c r="E5669" t="str">
        <f t="shared" si="2309"/>
        <v>KFH-OPERATIONS DEPARTMENT</v>
      </c>
      <c r="F5669" t="str">
        <f t="shared" si="2310"/>
        <v>IBG</v>
      </c>
      <c r="G5669" t="str">
        <f t="shared" si="2319"/>
        <v>Refund COSHARE 10</v>
      </c>
      <c r="H5669" s="2">
        <v>640.5</v>
      </c>
      <c r="I5669" t="str">
        <f>"SANISAH BINTI AMIN"</f>
        <v>SANISAH BINTI AMIN</v>
      </c>
      <c r="J5669" t="str">
        <f t="shared" si="2307"/>
        <v>CIMB BANK / CIMB ISLAMIC BANK</v>
      </c>
      <c r="K5669" t="str">
        <f>"01140069178529"</f>
        <v>01140069178529</v>
      </c>
      <c r="L5669" t="str">
        <f t="shared" si="2326"/>
        <v>04-08-2020</v>
      </c>
      <c r="M5669" t="str">
        <f t="shared" si="2326"/>
        <v>04-08-2020</v>
      </c>
      <c r="N5669" t="str">
        <f t="shared" si="2311"/>
        <v>001105018356</v>
      </c>
      <c r="O5669" t="str">
        <f t="shared" si="2312"/>
        <v>MYR</v>
      </c>
      <c r="P5669" t="str">
        <f t="shared" si="2327"/>
        <v>NIL</v>
      </c>
      <c r="Q5669" t="str">
        <f t="shared" si="2327"/>
        <v>NIL</v>
      </c>
      <c r="R5669" t="str">
        <f t="shared" si="2324"/>
        <v>Accepted</v>
      </c>
      <c r="S5669" t="str">
        <f t="shared" si="2313"/>
        <v>Approved</v>
      </c>
      <c r="T5669" t="str">
        <f t="shared" si="2325"/>
        <v>10.20.8.188</v>
      </c>
      <c r="U5669" t="str">
        <f t="shared" si="2314"/>
        <v>AZRAD UMAR BIN SHAARI</v>
      </c>
      <c r="V5669" t="str">
        <f t="shared" si="2315"/>
        <v>FARHANA BINTI MUSTAPA</v>
      </c>
      <c r="W5669" t="str">
        <f t="shared" si="2316"/>
        <v>04-08-2020</v>
      </c>
      <c r="X5669" t="str">
        <f t="shared" si="2317"/>
        <v>RAZIMAH ANSAR AHMAD</v>
      </c>
      <c r="Y5669" t="str">
        <f t="shared" si="2318"/>
        <v>04-08-2020</v>
      </c>
      <c r="Z5669" t="str">
        <f>"COS10200804 3485"</f>
        <v>COS10200804 3485</v>
      </c>
    </row>
    <row r="5670" spans="1:26" x14ac:dyDescent="0.25">
      <c r="A5670" t="str">
        <f t="shared" si="2322"/>
        <v>04-08-2020 12:45:31</v>
      </c>
      <c r="B5670" t="str">
        <f>"0000805254"</f>
        <v>0000805254</v>
      </c>
      <c r="C5670" t="str">
        <f t="shared" si="2323"/>
        <v>0000805170</v>
      </c>
      <c r="D5670" t="str">
        <f t="shared" si="2308"/>
        <v>73185</v>
      </c>
      <c r="E5670" t="str">
        <f t="shared" si="2309"/>
        <v>KFH-OPERATIONS DEPARTMENT</v>
      </c>
      <c r="F5670" t="str">
        <f t="shared" si="2310"/>
        <v>IBG</v>
      </c>
      <c r="G5670" t="str">
        <f t="shared" si="2319"/>
        <v>Refund COSHARE 10</v>
      </c>
      <c r="H5670" s="2">
        <v>134.35</v>
      </c>
      <c r="I5670" t="str">
        <f>"SANI SHAM BIN AWANG SITIAH"</f>
        <v>SANI SHAM BIN AWANG SITIAH</v>
      </c>
      <c r="J5670" t="str">
        <f t="shared" si="2307"/>
        <v>CIMB BANK / CIMB ISLAMIC BANK</v>
      </c>
      <c r="K5670" t="str">
        <f>"10090028537525"</f>
        <v>10090028537525</v>
      </c>
      <c r="L5670" t="str">
        <f t="shared" si="2326"/>
        <v>04-08-2020</v>
      </c>
      <c r="M5670" t="str">
        <f t="shared" si="2326"/>
        <v>04-08-2020</v>
      </c>
      <c r="N5670" t="str">
        <f t="shared" si="2311"/>
        <v>001105018356</v>
      </c>
      <c r="O5670" t="str">
        <f t="shared" si="2312"/>
        <v>MYR</v>
      </c>
      <c r="P5670" t="str">
        <f t="shared" si="2327"/>
        <v>NIL</v>
      </c>
      <c r="Q5670" t="str">
        <f t="shared" si="2327"/>
        <v>NIL</v>
      </c>
      <c r="R5670" t="str">
        <f t="shared" si="2324"/>
        <v>Accepted</v>
      </c>
      <c r="S5670" t="str">
        <f t="shared" si="2313"/>
        <v>Approved</v>
      </c>
      <c r="T5670" t="str">
        <f t="shared" si="2325"/>
        <v>10.20.8.188</v>
      </c>
      <c r="U5670" t="str">
        <f t="shared" si="2314"/>
        <v>AZRAD UMAR BIN SHAARI</v>
      </c>
      <c r="V5670" t="str">
        <f t="shared" si="2315"/>
        <v>FARHANA BINTI MUSTAPA</v>
      </c>
      <c r="W5670" t="str">
        <f t="shared" si="2316"/>
        <v>04-08-2020</v>
      </c>
      <c r="X5670" t="str">
        <f t="shared" si="2317"/>
        <v>RAZIMAH ANSAR AHMAD</v>
      </c>
      <c r="Y5670" t="str">
        <f t="shared" si="2318"/>
        <v>04-08-2020</v>
      </c>
      <c r="Z5670" t="str">
        <f>"COS10200804 3484"</f>
        <v>COS10200804 3484</v>
      </c>
    </row>
    <row r="5671" spans="1:26" x14ac:dyDescent="0.25">
      <c r="A5671" t="str">
        <f t="shared" si="2322"/>
        <v>04-08-2020 12:45:31</v>
      </c>
      <c r="B5671" t="str">
        <f>"0000805253"</f>
        <v>0000805253</v>
      </c>
      <c r="C5671" t="str">
        <f t="shared" si="2323"/>
        <v>0000805170</v>
      </c>
      <c r="D5671" t="str">
        <f t="shared" si="2308"/>
        <v>73185</v>
      </c>
      <c r="E5671" t="str">
        <f t="shared" si="2309"/>
        <v>KFH-OPERATIONS DEPARTMENT</v>
      </c>
      <c r="F5671" t="str">
        <f t="shared" si="2310"/>
        <v>IBG</v>
      </c>
      <c r="G5671" t="str">
        <f t="shared" si="2319"/>
        <v>Refund COSHARE 10</v>
      </c>
      <c r="H5671" s="2">
        <v>763.95</v>
      </c>
      <c r="I5671" t="str">
        <f>"SANI BIN SULHI"</f>
        <v>SANI BIN SULHI</v>
      </c>
      <c r="J5671" t="str">
        <f t="shared" si="2307"/>
        <v>CIMB BANK / CIMB ISLAMIC BANK</v>
      </c>
      <c r="K5671" t="str">
        <f>"11090078410529"</f>
        <v>11090078410529</v>
      </c>
      <c r="L5671" t="str">
        <f t="shared" si="2326"/>
        <v>04-08-2020</v>
      </c>
      <c r="M5671" t="str">
        <f t="shared" si="2326"/>
        <v>04-08-2020</v>
      </c>
      <c r="N5671" t="str">
        <f t="shared" si="2311"/>
        <v>001105018356</v>
      </c>
      <c r="O5671" t="str">
        <f t="shared" si="2312"/>
        <v>MYR</v>
      </c>
      <c r="P5671" t="str">
        <f t="shared" si="2327"/>
        <v>NIL</v>
      </c>
      <c r="Q5671" t="str">
        <f t="shared" si="2327"/>
        <v>NIL</v>
      </c>
      <c r="R5671" t="str">
        <f t="shared" si="2324"/>
        <v>Accepted</v>
      </c>
      <c r="S5671" t="str">
        <f t="shared" si="2313"/>
        <v>Approved</v>
      </c>
      <c r="T5671" t="str">
        <f t="shared" si="2325"/>
        <v>10.20.8.188</v>
      </c>
      <c r="U5671" t="str">
        <f t="shared" si="2314"/>
        <v>AZRAD UMAR BIN SHAARI</v>
      </c>
      <c r="V5671" t="str">
        <f t="shared" si="2315"/>
        <v>FARHANA BINTI MUSTAPA</v>
      </c>
      <c r="W5671" t="str">
        <f t="shared" si="2316"/>
        <v>04-08-2020</v>
      </c>
      <c r="X5671" t="str">
        <f t="shared" si="2317"/>
        <v>RAZIMAH ANSAR AHMAD</v>
      </c>
      <c r="Y5671" t="str">
        <f t="shared" si="2318"/>
        <v>04-08-2020</v>
      </c>
      <c r="Z5671" t="str">
        <f>"COS10200804 3483"</f>
        <v>COS10200804 3483</v>
      </c>
    </row>
    <row r="5672" spans="1:26" x14ac:dyDescent="0.25">
      <c r="A5672" t="str">
        <f t="shared" si="2322"/>
        <v>04-08-2020 12:45:31</v>
      </c>
      <c r="B5672" t="str">
        <f>"0000805252"</f>
        <v>0000805252</v>
      </c>
      <c r="C5672" t="str">
        <f t="shared" si="2323"/>
        <v>0000805170</v>
      </c>
      <c r="D5672" t="str">
        <f t="shared" si="2308"/>
        <v>73185</v>
      </c>
      <c r="E5672" t="str">
        <f t="shared" si="2309"/>
        <v>KFH-OPERATIONS DEPARTMENT</v>
      </c>
      <c r="F5672" t="str">
        <f t="shared" si="2310"/>
        <v>IBG</v>
      </c>
      <c r="G5672" t="str">
        <f t="shared" si="2319"/>
        <v>Refund COSHARE 10</v>
      </c>
      <c r="H5672" s="2">
        <v>182</v>
      </c>
      <c r="I5672" t="str">
        <f>"SANALI BIN ISMAIL"</f>
        <v>SANALI BIN ISMAIL</v>
      </c>
      <c r="J5672" t="str">
        <f t="shared" si="2307"/>
        <v>CIMB BANK / CIMB ISLAMIC BANK</v>
      </c>
      <c r="K5672" t="str">
        <f>"10020030591527"</f>
        <v>10020030591527</v>
      </c>
      <c r="L5672" t="str">
        <f t="shared" si="2326"/>
        <v>04-08-2020</v>
      </c>
      <c r="M5672" t="str">
        <f t="shared" si="2326"/>
        <v>04-08-2020</v>
      </c>
      <c r="N5672" t="str">
        <f t="shared" si="2311"/>
        <v>001105018356</v>
      </c>
      <c r="O5672" t="str">
        <f t="shared" si="2312"/>
        <v>MYR</v>
      </c>
      <c r="P5672" t="str">
        <f t="shared" si="2327"/>
        <v>NIL</v>
      </c>
      <c r="Q5672" t="str">
        <f t="shared" si="2327"/>
        <v>NIL</v>
      </c>
      <c r="R5672" t="str">
        <f t="shared" si="2324"/>
        <v>Accepted</v>
      </c>
      <c r="S5672" t="str">
        <f t="shared" si="2313"/>
        <v>Approved</v>
      </c>
      <c r="T5672" t="str">
        <f t="shared" si="2325"/>
        <v>10.20.8.188</v>
      </c>
      <c r="U5672" t="str">
        <f t="shared" si="2314"/>
        <v>AZRAD UMAR BIN SHAARI</v>
      </c>
      <c r="V5672" t="str">
        <f t="shared" si="2315"/>
        <v>FARHANA BINTI MUSTAPA</v>
      </c>
      <c r="W5672" t="str">
        <f t="shared" si="2316"/>
        <v>04-08-2020</v>
      </c>
      <c r="X5672" t="str">
        <f t="shared" si="2317"/>
        <v>RAZIMAH ANSAR AHMAD</v>
      </c>
      <c r="Y5672" t="str">
        <f t="shared" si="2318"/>
        <v>04-08-2020</v>
      </c>
      <c r="Z5672" t="str">
        <f>"COS10200804 3482"</f>
        <v>COS10200804 3482</v>
      </c>
    </row>
    <row r="5673" spans="1:26" x14ac:dyDescent="0.25">
      <c r="A5673" t="str">
        <f t="shared" si="2322"/>
        <v>04-08-2020 12:45:31</v>
      </c>
      <c r="B5673" t="str">
        <f>"0000805251"</f>
        <v>0000805251</v>
      </c>
      <c r="C5673" t="str">
        <f t="shared" si="2323"/>
        <v>0000805170</v>
      </c>
      <c r="D5673" t="str">
        <f t="shared" si="2308"/>
        <v>73185</v>
      </c>
      <c r="E5673" t="str">
        <f t="shared" si="2309"/>
        <v>KFH-OPERATIONS DEPARTMENT</v>
      </c>
      <c r="F5673" t="str">
        <f t="shared" si="2310"/>
        <v>IBG</v>
      </c>
      <c r="G5673" t="str">
        <f t="shared" si="2319"/>
        <v>Refund COSHARE 10</v>
      </c>
      <c r="H5673" s="2">
        <v>1232.6500000000001</v>
      </c>
      <c r="I5673" t="str">
        <f>"SAMIN  ZULKIFLI BIN SAMBANG  ABD MALIK"</f>
        <v>SAMIN  ZULKIFLI BIN SAMBANG  ABD MALIK</v>
      </c>
      <c r="J5673" t="str">
        <f t="shared" si="2307"/>
        <v>CIMB BANK / CIMB ISLAMIC BANK</v>
      </c>
      <c r="K5673" t="str">
        <f>"10060031195522"</f>
        <v>10060031195522</v>
      </c>
      <c r="L5673" t="str">
        <f t="shared" si="2326"/>
        <v>04-08-2020</v>
      </c>
      <c r="M5673" t="str">
        <f t="shared" si="2326"/>
        <v>04-08-2020</v>
      </c>
      <c r="N5673" t="str">
        <f t="shared" si="2311"/>
        <v>001105018356</v>
      </c>
      <c r="O5673" t="str">
        <f t="shared" si="2312"/>
        <v>MYR</v>
      </c>
      <c r="P5673" t="str">
        <f t="shared" si="2327"/>
        <v>NIL</v>
      </c>
      <c r="Q5673" t="str">
        <f t="shared" si="2327"/>
        <v>NIL</v>
      </c>
      <c r="R5673" t="str">
        <f t="shared" si="2324"/>
        <v>Accepted</v>
      </c>
      <c r="S5673" t="str">
        <f t="shared" si="2313"/>
        <v>Approved</v>
      </c>
      <c r="T5673" t="str">
        <f t="shared" si="2325"/>
        <v>10.20.8.188</v>
      </c>
      <c r="U5673" t="str">
        <f t="shared" si="2314"/>
        <v>AZRAD UMAR BIN SHAARI</v>
      </c>
      <c r="V5673" t="str">
        <f t="shared" si="2315"/>
        <v>FARHANA BINTI MUSTAPA</v>
      </c>
      <c r="W5673" t="str">
        <f t="shared" si="2316"/>
        <v>04-08-2020</v>
      </c>
      <c r="X5673" t="str">
        <f t="shared" si="2317"/>
        <v>RAZIMAH ANSAR AHMAD</v>
      </c>
      <c r="Y5673" t="str">
        <f t="shared" si="2318"/>
        <v>04-08-2020</v>
      </c>
      <c r="Z5673" t="str">
        <f>"COS10200804 3481"</f>
        <v>COS10200804 3481</v>
      </c>
    </row>
    <row r="5674" spans="1:26" x14ac:dyDescent="0.25">
      <c r="A5674" t="str">
        <f t="shared" si="2322"/>
        <v>04-08-2020 12:45:31</v>
      </c>
      <c r="B5674" t="str">
        <f>"0000805250"</f>
        <v>0000805250</v>
      </c>
      <c r="C5674" t="str">
        <f t="shared" si="2323"/>
        <v>0000805170</v>
      </c>
      <c r="D5674" t="str">
        <f t="shared" si="2308"/>
        <v>73185</v>
      </c>
      <c r="E5674" t="str">
        <f t="shared" si="2309"/>
        <v>KFH-OPERATIONS DEPARTMENT</v>
      </c>
      <c r="F5674" t="str">
        <f t="shared" si="2310"/>
        <v>IBG</v>
      </c>
      <c r="G5674" t="str">
        <f t="shared" si="2319"/>
        <v>Refund COSHARE 10</v>
      </c>
      <c r="H5674" s="2">
        <v>839.5</v>
      </c>
      <c r="I5674" t="str">
        <f>"SALWANI BINTI MOHD SOHAIMI"</f>
        <v>SALWANI BINTI MOHD SOHAIMI</v>
      </c>
      <c r="J5674" t="str">
        <f t="shared" si="2307"/>
        <v>CIMB BANK / CIMB ISLAMIC BANK</v>
      </c>
      <c r="K5674" t="str">
        <f>"14370001249208"</f>
        <v>14370001249208</v>
      </c>
      <c r="L5674" t="str">
        <f t="shared" si="2326"/>
        <v>04-08-2020</v>
      </c>
      <c r="M5674" t="str">
        <f t="shared" si="2326"/>
        <v>04-08-2020</v>
      </c>
      <c r="N5674" t="str">
        <f t="shared" si="2311"/>
        <v>001105018356</v>
      </c>
      <c r="O5674" t="str">
        <f t="shared" si="2312"/>
        <v>MYR</v>
      </c>
      <c r="P5674" t="str">
        <f t="shared" si="2327"/>
        <v>NIL</v>
      </c>
      <c r="Q5674" t="str">
        <f t="shared" si="2327"/>
        <v>NIL</v>
      </c>
      <c r="R5674" t="str">
        <f t="shared" si="2324"/>
        <v>Accepted</v>
      </c>
      <c r="S5674" t="str">
        <f t="shared" si="2313"/>
        <v>Approved</v>
      </c>
      <c r="T5674" t="str">
        <f t="shared" si="2325"/>
        <v>10.20.8.188</v>
      </c>
      <c r="U5674" t="str">
        <f t="shared" si="2314"/>
        <v>AZRAD UMAR BIN SHAARI</v>
      </c>
      <c r="V5674" t="str">
        <f t="shared" si="2315"/>
        <v>FARHANA BINTI MUSTAPA</v>
      </c>
      <c r="W5674" t="str">
        <f t="shared" si="2316"/>
        <v>04-08-2020</v>
      </c>
      <c r="X5674" t="str">
        <f t="shared" si="2317"/>
        <v>RAZIMAH ANSAR AHMAD</v>
      </c>
      <c r="Y5674" t="str">
        <f t="shared" si="2318"/>
        <v>04-08-2020</v>
      </c>
      <c r="Z5674" t="str">
        <f>"COS10200804 3480"</f>
        <v>COS10200804 3480</v>
      </c>
    </row>
    <row r="5675" spans="1:26" x14ac:dyDescent="0.25">
      <c r="A5675" t="str">
        <f t="shared" si="2322"/>
        <v>04-08-2020 12:45:31</v>
      </c>
      <c r="B5675" t="str">
        <f>"0000805249"</f>
        <v>0000805249</v>
      </c>
      <c r="C5675" t="str">
        <f t="shared" si="2323"/>
        <v>0000805170</v>
      </c>
      <c r="D5675" t="str">
        <f t="shared" si="2308"/>
        <v>73185</v>
      </c>
      <c r="E5675" t="str">
        <f t="shared" si="2309"/>
        <v>KFH-OPERATIONS DEPARTMENT</v>
      </c>
      <c r="F5675" t="str">
        <f t="shared" si="2310"/>
        <v>IBG</v>
      </c>
      <c r="G5675" t="str">
        <f t="shared" si="2319"/>
        <v>Refund COSHARE 10</v>
      </c>
      <c r="H5675" s="2">
        <v>58.8</v>
      </c>
      <c r="I5675" t="str">
        <f>"SALMILAH BINTI AHMAD"</f>
        <v>SALMILAH BINTI AHMAD</v>
      </c>
      <c r="J5675" t="str">
        <f t="shared" si="2307"/>
        <v>CIMB BANK / CIMB ISLAMIC BANK</v>
      </c>
      <c r="K5675" t="str">
        <f>"7006832208"</f>
        <v>7006832208</v>
      </c>
      <c r="L5675" t="str">
        <f t="shared" si="2326"/>
        <v>04-08-2020</v>
      </c>
      <c r="M5675" t="str">
        <f t="shared" si="2326"/>
        <v>04-08-2020</v>
      </c>
      <c r="N5675" t="str">
        <f t="shared" si="2311"/>
        <v>001105018356</v>
      </c>
      <c r="O5675" t="str">
        <f t="shared" si="2312"/>
        <v>MYR</v>
      </c>
      <c r="P5675" t="str">
        <f t="shared" si="2327"/>
        <v>NIL</v>
      </c>
      <c r="Q5675" t="str">
        <f t="shared" si="2327"/>
        <v>NIL</v>
      </c>
      <c r="R5675" t="str">
        <f t="shared" si="2324"/>
        <v>Accepted</v>
      </c>
      <c r="S5675" t="str">
        <f t="shared" si="2313"/>
        <v>Approved</v>
      </c>
      <c r="T5675" t="str">
        <f t="shared" si="2325"/>
        <v>10.20.8.188</v>
      </c>
      <c r="U5675" t="str">
        <f t="shared" si="2314"/>
        <v>AZRAD UMAR BIN SHAARI</v>
      </c>
      <c r="V5675" t="str">
        <f t="shared" si="2315"/>
        <v>FARHANA BINTI MUSTAPA</v>
      </c>
      <c r="W5675" t="str">
        <f t="shared" si="2316"/>
        <v>04-08-2020</v>
      </c>
      <c r="X5675" t="str">
        <f t="shared" si="2317"/>
        <v>RAZIMAH ANSAR AHMAD</v>
      </c>
      <c r="Y5675" t="str">
        <f t="shared" si="2318"/>
        <v>04-08-2020</v>
      </c>
      <c r="Z5675" t="str">
        <f>"COS10200804 3479"</f>
        <v>COS10200804 3479</v>
      </c>
    </row>
    <row r="5676" spans="1:26" x14ac:dyDescent="0.25">
      <c r="A5676" t="str">
        <f t="shared" si="2322"/>
        <v>04-08-2020 12:45:31</v>
      </c>
      <c r="B5676" t="str">
        <f>"0000805248"</f>
        <v>0000805248</v>
      </c>
      <c r="C5676" t="str">
        <f t="shared" si="2323"/>
        <v>0000805170</v>
      </c>
      <c r="D5676" t="str">
        <f t="shared" si="2308"/>
        <v>73185</v>
      </c>
      <c r="E5676" t="str">
        <f t="shared" si="2309"/>
        <v>KFH-OPERATIONS DEPARTMENT</v>
      </c>
      <c r="F5676" t="str">
        <f t="shared" si="2310"/>
        <v>IBG</v>
      </c>
      <c r="G5676" t="str">
        <f t="shared" si="2319"/>
        <v>Refund COSHARE 10</v>
      </c>
      <c r="H5676" s="2">
        <v>129</v>
      </c>
      <c r="I5676" t="str">
        <f>"SALMIAH BINTI MOHD SOPI"</f>
        <v>SALMIAH BINTI MOHD SOPI</v>
      </c>
      <c r="J5676" t="str">
        <f t="shared" si="2307"/>
        <v>CIMB BANK / CIMB ISLAMIC BANK</v>
      </c>
      <c r="K5676" t="str">
        <f>"12030399517521"</f>
        <v>12030399517521</v>
      </c>
      <c r="L5676" t="str">
        <f t="shared" si="2326"/>
        <v>04-08-2020</v>
      </c>
      <c r="M5676" t="str">
        <f t="shared" si="2326"/>
        <v>04-08-2020</v>
      </c>
      <c r="N5676" t="str">
        <f t="shared" si="2311"/>
        <v>001105018356</v>
      </c>
      <c r="O5676" t="str">
        <f t="shared" si="2312"/>
        <v>MYR</v>
      </c>
      <c r="P5676" t="str">
        <f t="shared" si="2327"/>
        <v>NIL</v>
      </c>
      <c r="Q5676" t="str">
        <f t="shared" si="2327"/>
        <v>NIL</v>
      </c>
      <c r="R5676" t="str">
        <f t="shared" si="2324"/>
        <v>Accepted</v>
      </c>
      <c r="S5676" t="str">
        <f t="shared" si="2313"/>
        <v>Approved</v>
      </c>
      <c r="T5676" t="str">
        <f t="shared" si="2325"/>
        <v>10.20.8.188</v>
      </c>
      <c r="U5676" t="str">
        <f t="shared" si="2314"/>
        <v>AZRAD UMAR BIN SHAARI</v>
      </c>
      <c r="V5676" t="str">
        <f t="shared" si="2315"/>
        <v>FARHANA BINTI MUSTAPA</v>
      </c>
      <c r="W5676" t="str">
        <f t="shared" si="2316"/>
        <v>04-08-2020</v>
      </c>
      <c r="X5676" t="str">
        <f t="shared" si="2317"/>
        <v>RAZIMAH ANSAR AHMAD</v>
      </c>
      <c r="Y5676" t="str">
        <f t="shared" si="2318"/>
        <v>04-08-2020</v>
      </c>
      <c r="Z5676" t="str">
        <f>"COS10200804 3478"</f>
        <v>COS10200804 3478</v>
      </c>
    </row>
    <row r="5677" spans="1:26" x14ac:dyDescent="0.25">
      <c r="A5677" t="str">
        <f t="shared" si="2322"/>
        <v>04-08-2020 12:45:31</v>
      </c>
      <c r="B5677" t="str">
        <f>"0000805247"</f>
        <v>0000805247</v>
      </c>
      <c r="C5677" t="str">
        <f t="shared" si="2323"/>
        <v>0000805170</v>
      </c>
      <c r="D5677" t="str">
        <f t="shared" si="2308"/>
        <v>73185</v>
      </c>
      <c r="E5677" t="str">
        <f t="shared" si="2309"/>
        <v>KFH-OPERATIONS DEPARTMENT</v>
      </c>
      <c r="F5677" t="str">
        <f t="shared" si="2310"/>
        <v>IBG</v>
      </c>
      <c r="G5677" t="str">
        <f t="shared" si="2319"/>
        <v>Refund COSHARE 10</v>
      </c>
      <c r="H5677" s="2">
        <v>50.4</v>
      </c>
      <c r="I5677" t="str">
        <f>"SALMIAH BINTI MAT NAWI"</f>
        <v>SALMIAH BINTI MAT NAWI</v>
      </c>
      <c r="J5677" t="str">
        <f t="shared" si="2307"/>
        <v>CIMB BANK / CIMB ISLAMIC BANK</v>
      </c>
      <c r="K5677" t="str">
        <f>"12180089285528"</f>
        <v>12180089285528</v>
      </c>
      <c r="L5677" t="str">
        <f t="shared" si="2326"/>
        <v>04-08-2020</v>
      </c>
      <c r="M5677" t="str">
        <f t="shared" si="2326"/>
        <v>04-08-2020</v>
      </c>
      <c r="N5677" t="str">
        <f t="shared" si="2311"/>
        <v>001105018356</v>
      </c>
      <c r="O5677" t="str">
        <f t="shared" si="2312"/>
        <v>MYR</v>
      </c>
      <c r="P5677" t="str">
        <f t="shared" si="2327"/>
        <v>NIL</v>
      </c>
      <c r="Q5677" t="str">
        <f t="shared" si="2327"/>
        <v>NIL</v>
      </c>
      <c r="R5677" t="str">
        <f t="shared" si="2324"/>
        <v>Accepted</v>
      </c>
      <c r="S5677" t="str">
        <f t="shared" si="2313"/>
        <v>Approved</v>
      </c>
      <c r="T5677" t="str">
        <f t="shared" si="2325"/>
        <v>10.20.8.188</v>
      </c>
      <c r="U5677" t="str">
        <f t="shared" si="2314"/>
        <v>AZRAD UMAR BIN SHAARI</v>
      </c>
      <c r="V5677" t="str">
        <f t="shared" si="2315"/>
        <v>FARHANA BINTI MUSTAPA</v>
      </c>
      <c r="W5677" t="str">
        <f t="shared" si="2316"/>
        <v>04-08-2020</v>
      </c>
      <c r="X5677" t="str">
        <f t="shared" si="2317"/>
        <v>RAZIMAH ANSAR AHMAD</v>
      </c>
      <c r="Y5677" t="str">
        <f t="shared" si="2318"/>
        <v>04-08-2020</v>
      </c>
      <c r="Z5677" t="str">
        <f>"COS10200804 3477"</f>
        <v>COS10200804 3477</v>
      </c>
    </row>
    <row r="5678" spans="1:26" x14ac:dyDescent="0.25">
      <c r="A5678" t="str">
        <f t="shared" si="2322"/>
        <v>04-08-2020 12:45:31</v>
      </c>
      <c r="B5678" t="str">
        <f>"0000805246"</f>
        <v>0000805246</v>
      </c>
      <c r="C5678" t="str">
        <f t="shared" si="2323"/>
        <v>0000805170</v>
      </c>
      <c r="D5678" t="str">
        <f t="shared" si="2308"/>
        <v>73185</v>
      </c>
      <c r="E5678" t="str">
        <f t="shared" si="2309"/>
        <v>KFH-OPERATIONS DEPARTMENT</v>
      </c>
      <c r="F5678" t="str">
        <f t="shared" si="2310"/>
        <v>IBG</v>
      </c>
      <c r="G5678" t="str">
        <f t="shared" si="2319"/>
        <v>Refund COSHARE 10</v>
      </c>
      <c r="H5678" s="2">
        <v>473.3</v>
      </c>
      <c r="I5678" t="str">
        <f>"SALMA ZALINI BINTI ISMAIL"</f>
        <v>SALMA ZALINI BINTI ISMAIL</v>
      </c>
      <c r="J5678" t="str">
        <f t="shared" si="2307"/>
        <v>CIMB BANK / CIMB ISLAMIC BANK</v>
      </c>
      <c r="K5678" t="str">
        <f>"14270067649523"</f>
        <v>14270067649523</v>
      </c>
      <c r="L5678" t="str">
        <f t="shared" si="2326"/>
        <v>04-08-2020</v>
      </c>
      <c r="M5678" t="str">
        <f t="shared" si="2326"/>
        <v>04-08-2020</v>
      </c>
      <c r="N5678" t="str">
        <f t="shared" si="2311"/>
        <v>001105018356</v>
      </c>
      <c r="O5678" t="str">
        <f t="shared" si="2312"/>
        <v>MYR</v>
      </c>
      <c r="P5678" t="str">
        <f t="shared" si="2327"/>
        <v>NIL</v>
      </c>
      <c r="Q5678" t="str">
        <f t="shared" si="2327"/>
        <v>NIL</v>
      </c>
      <c r="R5678" t="str">
        <f t="shared" si="2324"/>
        <v>Accepted</v>
      </c>
      <c r="S5678" t="str">
        <f t="shared" si="2313"/>
        <v>Approved</v>
      </c>
      <c r="T5678" t="str">
        <f t="shared" si="2325"/>
        <v>10.20.8.188</v>
      </c>
      <c r="U5678" t="str">
        <f t="shared" si="2314"/>
        <v>AZRAD UMAR BIN SHAARI</v>
      </c>
      <c r="V5678" t="str">
        <f t="shared" si="2315"/>
        <v>FARHANA BINTI MUSTAPA</v>
      </c>
      <c r="W5678" t="str">
        <f t="shared" si="2316"/>
        <v>04-08-2020</v>
      </c>
      <c r="X5678" t="str">
        <f t="shared" si="2317"/>
        <v>RAZIMAH ANSAR AHMAD</v>
      </c>
      <c r="Y5678" t="str">
        <f t="shared" si="2318"/>
        <v>04-08-2020</v>
      </c>
      <c r="Z5678" t="str">
        <f>"COS10200804 3476"</f>
        <v>COS10200804 3476</v>
      </c>
    </row>
    <row r="5679" spans="1:26" x14ac:dyDescent="0.25">
      <c r="A5679" t="str">
        <f t="shared" si="2322"/>
        <v>04-08-2020 12:45:31</v>
      </c>
      <c r="B5679" t="str">
        <f>"0000805245"</f>
        <v>0000805245</v>
      </c>
      <c r="C5679" t="str">
        <f t="shared" si="2323"/>
        <v>0000805170</v>
      </c>
      <c r="D5679" t="str">
        <f t="shared" si="2308"/>
        <v>73185</v>
      </c>
      <c r="E5679" t="str">
        <f t="shared" si="2309"/>
        <v>KFH-OPERATIONS DEPARTMENT</v>
      </c>
      <c r="F5679" t="str">
        <f t="shared" si="2310"/>
        <v>IBG</v>
      </c>
      <c r="G5679" t="str">
        <f t="shared" si="2319"/>
        <v>Refund COSHARE 10</v>
      </c>
      <c r="H5679" s="2">
        <v>1485.95</v>
      </c>
      <c r="I5679" t="str">
        <f>"SALIZA BINTI MAT ISA"</f>
        <v>SALIZA BINTI MAT ISA</v>
      </c>
      <c r="J5679" t="str">
        <f t="shared" si="2307"/>
        <v>CIMB BANK / CIMB ISLAMIC BANK</v>
      </c>
      <c r="K5679" t="str">
        <f>"7040788066"</f>
        <v>7040788066</v>
      </c>
      <c r="L5679" t="str">
        <f t="shared" si="2326"/>
        <v>04-08-2020</v>
      </c>
      <c r="M5679" t="str">
        <f t="shared" si="2326"/>
        <v>04-08-2020</v>
      </c>
      <c r="N5679" t="str">
        <f t="shared" si="2311"/>
        <v>001105018356</v>
      </c>
      <c r="O5679" t="str">
        <f t="shared" si="2312"/>
        <v>MYR</v>
      </c>
      <c r="P5679" t="str">
        <f t="shared" si="2327"/>
        <v>NIL</v>
      </c>
      <c r="Q5679" t="str">
        <f t="shared" si="2327"/>
        <v>NIL</v>
      </c>
      <c r="R5679" t="str">
        <f t="shared" si="2324"/>
        <v>Accepted</v>
      </c>
      <c r="S5679" t="str">
        <f t="shared" si="2313"/>
        <v>Approved</v>
      </c>
      <c r="T5679" t="str">
        <f t="shared" si="2325"/>
        <v>10.20.8.188</v>
      </c>
      <c r="U5679" t="str">
        <f t="shared" si="2314"/>
        <v>AZRAD UMAR BIN SHAARI</v>
      </c>
      <c r="V5679" t="str">
        <f t="shared" si="2315"/>
        <v>FARHANA BINTI MUSTAPA</v>
      </c>
      <c r="W5679" t="str">
        <f t="shared" si="2316"/>
        <v>04-08-2020</v>
      </c>
      <c r="X5679" t="str">
        <f t="shared" si="2317"/>
        <v>RAZIMAH ANSAR AHMAD</v>
      </c>
      <c r="Y5679" t="str">
        <f t="shared" si="2318"/>
        <v>04-08-2020</v>
      </c>
      <c r="Z5679" t="str">
        <f>"COS10200804 3475"</f>
        <v>COS10200804 3475</v>
      </c>
    </row>
    <row r="5680" spans="1:26" x14ac:dyDescent="0.25">
      <c r="A5680" t="str">
        <f t="shared" si="2322"/>
        <v>04-08-2020 12:45:31</v>
      </c>
      <c r="B5680" t="str">
        <f>"0000805244"</f>
        <v>0000805244</v>
      </c>
      <c r="C5680" t="str">
        <f t="shared" si="2323"/>
        <v>0000805170</v>
      </c>
      <c r="D5680" t="str">
        <f t="shared" si="2308"/>
        <v>73185</v>
      </c>
      <c r="E5680" t="str">
        <f t="shared" si="2309"/>
        <v>KFH-OPERATIONS DEPARTMENT</v>
      </c>
      <c r="F5680" t="str">
        <f t="shared" si="2310"/>
        <v>IBG</v>
      </c>
      <c r="G5680" t="str">
        <f t="shared" si="2319"/>
        <v>Refund COSHARE 10</v>
      </c>
      <c r="H5680" s="2">
        <v>1366</v>
      </c>
      <c r="I5680" t="str">
        <f>"SALINA BINTI HASSANUDIN"</f>
        <v>SALINA BINTI HASSANUDIN</v>
      </c>
      <c r="J5680" t="str">
        <f t="shared" si="2307"/>
        <v>CIMB BANK / CIMB ISLAMIC BANK</v>
      </c>
      <c r="K5680" t="str">
        <f>"7029949774"</f>
        <v>7029949774</v>
      </c>
      <c r="L5680" t="str">
        <f t="shared" si="2326"/>
        <v>04-08-2020</v>
      </c>
      <c r="M5680" t="str">
        <f t="shared" si="2326"/>
        <v>04-08-2020</v>
      </c>
      <c r="N5680" t="str">
        <f t="shared" si="2311"/>
        <v>001105018356</v>
      </c>
      <c r="O5680" t="str">
        <f t="shared" si="2312"/>
        <v>MYR</v>
      </c>
      <c r="P5680" t="str">
        <f t="shared" si="2327"/>
        <v>NIL</v>
      </c>
      <c r="Q5680" t="str">
        <f t="shared" si="2327"/>
        <v>NIL</v>
      </c>
      <c r="R5680" t="str">
        <f t="shared" si="2324"/>
        <v>Accepted</v>
      </c>
      <c r="S5680" t="str">
        <f t="shared" si="2313"/>
        <v>Approved</v>
      </c>
      <c r="T5680" t="str">
        <f t="shared" si="2325"/>
        <v>10.20.8.188</v>
      </c>
      <c r="U5680" t="str">
        <f t="shared" si="2314"/>
        <v>AZRAD UMAR BIN SHAARI</v>
      </c>
      <c r="V5680" t="str">
        <f t="shared" si="2315"/>
        <v>FARHANA BINTI MUSTAPA</v>
      </c>
      <c r="W5680" t="str">
        <f t="shared" si="2316"/>
        <v>04-08-2020</v>
      </c>
      <c r="X5680" t="str">
        <f t="shared" si="2317"/>
        <v>RAZIMAH ANSAR AHMAD</v>
      </c>
      <c r="Y5680" t="str">
        <f t="shared" si="2318"/>
        <v>04-08-2020</v>
      </c>
      <c r="Z5680" t="str">
        <f>"COS10200804 3474"</f>
        <v>COS10200804 3474</v>
      </c>
    </row>
    <row r="5681" spans="1:26" x14ac:dyDescent="0.25">
      <c r="A5681" t="str">
        <f t="shared" si="2322"/>
        <v>04-08-2020 12:45:31</v>
      </c>
      <c r="B5681" t="str">
        <f>"0000805243"</f>
        <v>0000805243</v>
      </c>
      <c r="C5681" t="str">
        <f t="shared" si="2323"/>
        <v>0000805170</v>
      </c>
      <c r="D5681" t="str">
        <f t="shared" si="2308"/>
        <v>73185</v>
      </c>
      <c r="E5681" t="str">
        <f t="shared" si="2309"/>
        <v>KFH-OPERATIONS DEPARTMENT</v>
      </c>
      <c r="F5681" t="str">
        <f t="shared" si="2310"/>
        <v>IBG</v>
      </c>
      <c r="G5681" t="str">
        <f t="shared" si="2319"/>
        <v>Refund COSHARE 10</v>
      </c>
      <c r="H5681" s="2">
        <v>1176</v>
      </c>
      <c r="I5681" t="str">
        <f>"SALIANA BINTI SAZALI"</f>
        <v>SALIANA BINTI SAZALI</v>
      </c>
      <c r="J5681" t="str">
        <f t="shared" si="2307"/>
        <v>CIMB BANK / CIMB ISLAMIC BANK</v>
      </c>
      <c r="K5681" t="str">
        <f>"7033689987"</f>
        <v>7033689987</v>
      </c>
      <c r="L5681" t="str">
        <f t="shared" si="2326"/>
        <v>04-08-2020</v>
      </c>
      <c r="M5681" t="str">
        <f t="shared" si="2326"/>
        <v>04-08-2020</v>
      </c>
      <c r="N5681" t="str">
        <f t="shared" si="2311"/>
        <v>001105018356</v>
      </c>
      <c r="O5681" t="str">
        <f t="shared" si="2312"/>
        <v>MYR</v>
      </c>
      <c r="P5681" t="str">
        <f t="shared" si="2327"/>
        <v>NIL</v>
      </c>
      <c r="Q5681" t="str">
        <f t="shared" si="2327"/>
        <v>NIL</v>
      </c>
      <c r="R5681" t="str">
        <f t="shared" si="2324"/>
        <v>Accepted</v>
      </c>
      <c r="S5681" t="str">
        <f t="shared" si="2313"/>
        <v>Approved</v>
      </c>
      <c r="T5681" t="str">
        <f t="shared" si="2325"/>
        <v>10.20.8.188</v>
      </c>
      <c r="U5681" t="str">
        <f t="shared" si="2314"/>
        <v>AZRAD UMAR BIN SHAARI</v>
      </c>
      <c r="V5681" t="str">
        <f t="shared" si="2315"/>
        <v>FARHANA BINTI MUSTAPA</v>
      </c>
      <c r="W5681" t="str">
        <f t="shared" si="2316"/>
        <v>04-08-2020</v>
      </c>
      <c r="X5681" t="str">
        <f t="shared" si="2317"/>
        <v>RAZIMAH ANSAR AHMAD</v>
      </c>
      <c r="Y5681" t="str">
        <f t="shared" si="2318"/>
        <v>04-08-2020</v>
      </c>
      <c r="Z5681" t="str">
        <f>"COS10200804 3473"</f>
        <v>COS10200804 3473</v>
      </c>
    </row>
    <row r="5682" spans="1:26" x14ac:dyDescent="0.25">
      <c r="A5682" t="str">
        <f t="shared" ref="A5682:A5713" si="2328">"04-08-2020 12:45:31"</f>
        <v>04-08-2020 12:45:31</v>
      </c>
      <c r="B5682" t="str">
        <f>"0000805242"</f>
        <v>0000805242</v>
      </c>
      <c r="C5682" t="str">
        <f t="shared" ref="C5682:C5713" si="2329">"0000805170"</f>
        <v>0000805170</v>
      </c>
      <c r="D5682" t="str">
        <f t="shared" si="2308"/>
        <v>73185</v>
      </c>
      <c r="E5682" t="str">
        <f t="shared" si="2309"/>
        <v>KFH-OPERATIONS DEPARTMENT</v>
      </c>
      <c r="F5682" t="str">
        <f t="shared" si="2310"/>
        <v>IBG</v>
      </c>
      <c r="G5682" t="str">
        <f t="shared" si="2319"/>
        <v>Refund COSHARE 10</v>
      </c>
      <c r="H5682" s="2">
        <v>125.95</v>
      </c>
      <c r="I5682" t="str">
        <f>"SALEHA BINTI ABU BAKAR"</f>
        <v>SALEHA BINTI ABU BAKAR</v>
      </c>
      <c r="J5682" t="str">
        <f t="shared" si="2307"/>
        <v>CIMB BANK / CIMB ISLAMIC BANK</v>
      </c>
      <c r="K5682" t="str">
        <f>"7040606136"</f>
        <v>7040606136</v>
      </c>
      <c r="L5682" t="str">
        <f t="shared" si="2326"/>
        <v>04-08-2020</v>
      </c>
      <c r="M5682" t="str">
        <f t="shared" si="2326"/>
        <v>04-08-2020</v>
      </c>
      <c r="N5682" t="str">
        <f t="shared" si="2311"/>
        <v>001105018356</v>
      </c>
      <c r="O5682" t="str">
        <f t="shared" si="2312"/>
        <v>MYR</v>
      </c>
      <c r="P5682" t="str">
        <f t="shared" si="2327"/>
        <v>NIL</v>
      </c>
      <c r="Q5682" t="str">
        <f t="shared" si="2327"/>
        <v>NIL</v>
      </c>
      <c r="R5682" t="str">
        <f t="shared" si="2324"/>
        <v>Accepted</v>
      </c>
      <c r="S5682" t="str">
        <f t="shared" si="2313"/>
        <v>Approved</v>
      </c>
      <c r="T5682" t="str">
        <f t="shared" si="2325"/>
        <v>10.20.8.188</v>
      </c>
      <c r="U5682" t="str">
        <f t="shared" si="2314"/>
        <v>AZRAD UMAR BIN SHAARI</v>
      </c>
      <c r="V5682" t="str">
        <f t="shared" si="2315"/>
        <v>FARHANA BINTI MUSTAPA</v>
      </c>
      <c r="W5682" t="str">
        <f t="shared" si="2316"/>
        <v>04-08-2020</v>
      </c>
      <c r="X5682" t="str">
        <f t="shared" si="2317"/>
        <v>RAZIMAH ANSAR AHMAD</v>
      </c>
      <c r="Y5682" t="str">
        <f t="shared" si="2318"/>
        <v>04-08-2020</v>
      </c>
      <c r="Z5682" t="str">
        <f>"COS10200804 3472"</f>
        <v>COS10200804 3472</v>
      </c>
    </row>
    <row r="5683" spans="1:26" x14ac:dyDescent="0.25">
      <c r="A5683" t="str">
        <f t="shared" si="2328"/>
        <v>04-08-2020 12:45:31</v>
      </c>
      <c r="B5683" t="str">
        <f>"0000805241"</f>
        <v>0000805241</v>
      </c>
      <c r="C5683" t="str">
        <f t="shared" si="2329"/>
        <v>0000805170</v>
      </c>
      <c r="D5683" t="str">
        <f t="shared" si="2308"/>
        <v>73185</v>
      </c>
      <c r="E5683" t="str">
        <f t="shared" si="2309"/>
        <v>KFH-OPERATIONS DEPARTMENT</v>
      </c>
      <c r="F5683" t="str">
        <f t="shared" si="2310"/>
        <v>IBG</v>
      </c>
      <c r="G5683" t="str">
        <f t="shared" si="2319"/>
        <v>Refund COSHARE 10</v>
      </c>
      <c r="H5683" s="2">
        <v>569</v>
      </c>
      <c r="I5683" t="str">
        <f>"SALBIAH BINTI MOHD YASSIN"</f>
        <v>SALBIAH BINTI MOHD YASSIN</v>
      </c>
      <c r="J5683" t="str">
        <f t="shared" si="2307"/>
        <v>CIMB BANK / CIMB ISLAMIC BANK</v>
      </c>
      <c r="K5683" t="str">
        <f>"7042563459"</f>
        <v>7042563459</v>
      </c>
      <c r="L5683" t="str">
        <f t="shared" si="2326"/>
        <v>04-08-2020</v>
      </c>
      <c r="M5683" t="str">
        <f t="shared" si="2326"/>
        <v>04-08-2020</v>
      </c>
      <c r="N5683" t="str">
        <f t="shared" si="2311"/>
        <v>001105018356</v>
      </c>
      <c r="O5683" t="str">
        <f t="shared" si="2312"/>
        <v>MYR</v>
      </c>
      <c r="P5683" t="str">
        <f t="shared" si="2327"/>
        <v>NIL</v>
      </c>
      <c r="Q5683" t="str">
        <f t="shared" si="2327"/>
        <v>NIL</v>
      </c>
      <c r="R5683" t="str">
        <f t="shared" si="2324"/>
        <v>Accepted</v>
      </c>
      <c r="S5683" t="str">
        <f t="shared" si="2313"/>
        <v>Approved</v>
      </c>
      <c r="T5683" t="str">
        <f t="shared" si="2325"/>
        <v>10.20.8.188</v>
      </c>
      <c r="U5683" t="str">
        <f t="shared" si="2314"/>
        <v>AZRAD UMAR BIN SHAARI</v>
      </c>
      <c r="V5683" t="str">
        <f t="shared" si="2315"/>
        <v>FARHANA BINTI MUSTAPA</v>
      </c>
      <c r="W5683" t="str">
        <f t="shared" si="2316"/>
        <v>04-08-2020</v>
      </c>
      <c r="X5683" t="str">
        <f t="shared" si="2317"/>
        <v>RAZIMAH ANSAR AHMAD</v>
      </c>
      <c r="Y5683" t="str">
        <f t="shared" si="2318"/>
        <v>04-08-2020</v>
      </c>
      <c r="Z5683" t="str">
        <f>"COS10200804 3471"</f>
        <v>COS10200804 3471</v>
      </c>
    </row>
    <row r="5684" spans="1:26" x14ac:dyDescent="0.25">
      <c r="A5684" t="str">
        <f t="shared" si="2328"/>
        <v>04-08-2020 12:45:31</v>
      </c>
      <c r="B5684" t="str">
        <f>"0000805240"</f>
        <v>0000805240</v>
      </c>
      <c r="C5684" t="str">
        <f t="shared" si="2329"/>
        <v>0000805170</v>
      </c>
      <c r="D5684" t="str">
        <f t="shared" si="2308"/>
        <v>73185</v>
      </c>
      <c r="E5684" t="str">
        <f t="shared" si="2309"/>
        <v>KFH-OPERATIONS DEPARTMENT</v>
      </c>
      <c r="F5684" t="str">
        <f t="shared" si="2310"/>
        <v>IBG</v>
      </c>
      <c r="G5684" t="str">
        <f t="shared" si="2319"/>
        <v>Refund COSHARE 10</v>
      </c>
      <c r="H5684" s="2">
        <v>683</v>
      </c>
      <c r="I5684" t="str">
        <f>"SAKINAH BINTI SEMAU  SEMAON"</f>
        <v>SAKINAH BINTI SEMAU  SEMAON</v>
      </c>
      <c r="J5684" t="str">
        <f t="shared" si="2307"/>
        <v>CIMB BANK / CIMB ISLAMIC BANK</v>
      </c>
      <c r="K5684" t="str">
        <f>"12530076930523"</f>
        <v>12530076930523</v>
      </c>
      <c r="L5684" t="str">
        <f t="shared" si="2326"/>
        <v>04-08-2020</v>
      </c>
      <c r="M5684" t="str">
        <f t="shared" si="2326"/>
        <v>04-08-2020</v>
      </c>
      <c r="N5684" t="str">
        <f t="shared" si="2311"/>
        <v>001105018356</v>
      </c>
      <c r="O5684" t="str">
        <f t="shared" si="2312"/>
        <v>MYR</v>
      </c>
      <c r="P5684" t="str">
        <f t="shared" si="2327"/>
        <v>NIL</v>
      </c>
      <c r="Q5684" t="str">
        <f t="shared" si="2327"/>
        <v>NIL</v>
      </c>
      <c r="R5684" t="str">
        <f t="shared" si="2324"/>
        <v>Accepted</v>
      </c>
      <c r="S5684" t="str">
        <f t="shared" si="2313"/>
        <v>Approved</v>
      </c>
      <c r="T5684" t="str">
        <f t="shared" si="2325"/>
        <v>10.20.8.188</v>
      </c>
      <c r="U5684" t="str">
        <f t="shared" si="2314"/>
        <v>AZRAD UMAR BIN SHAARI</v>
      </c>
      <c r="V5684" t="str">
        <f t="shared" si="2315"/>
        <v>FARHANA BINTI MUSTAPA</v>
      </c>
      <c r="W5684" t="str">
        <f t="shared" si="2316"/>
        <v>04-08-2020</v>
      </c>
      <c r="X5684" t="str">
        <f t="shared" si="2317"/>
        <v>RAZIMAH ANSAR AHMAD</v>
      </c>
      <c r="Y5684" t="str">
        <f t="shared" si="2318"/>
        <v>04-08-2020</v>
      </c>
      <c r="Z5684" t="str">
        <f>"COS10200804 3470"</f>
        <v>COS10200804 3470</v>
      </c>
    </row>
    <row r="5685" spans="1:26" x14ac:dyDescent="0.25">
      <c r="A5685" t="str">
        <f t="shared" si="2328"/>
        <v>04-08-2020 12:45:31</v>
      </c>
      <c r="B5685" t="str">
        <f>"0000805239"</f>
        <v>0000805239</v>
      </c>
      <c r="C5685" t="str">
        <f t="shared" si="2329"/>
        <v>0000805170</v>
      </c>
      <c r="D5685" t="str">
        <f t="shared" si="2308"/>
        <v>73185</v>
      </c>
      <c r="E5685" t="str">
        <f t="shared" si="2309"/>
        <v>KFH-OPERATIONS DEPARTMENT</v>
      </c>
      <c r="F5685" t="str">
        <f t="shared" si="2310"/>
        <v>IBG</v>
      </c>
      <c r="G5685" t="str">
        <f t="shared" si="2319"/>
        <v>Refund COSHARE 10</v>
      </c>
      <c r="H5685" s="2">
        <v>1500</v>
      </c>
      <c r="I5685" t="str">
        <f>"SAITIM BIN YANTIK"</f>
        <v>SAITIM BIN YANTIK</v>
      </c>
      <c r="J5685" t="str">
        <f t="shared" si="2307"/>
        <v>CIMB BANK / CIMB ISLAMIC BANK</v>
      </c>
      <c r="K5685" t="str">
        <f>"7608005801"</f>
        <v>7608005801</v>
      </c>
      <c r="L5685" t="str">
        <f t="shared" si="2326"/>
        <v>04-08-2020</v>
      </c>
      <c r="M5685" t="str">
        <f t="shared" si="2326"/>
        <v>04-08-2020</v>
      </c>
      <c r="N5685" t="str">
        <f t="shared" si="2311"/>
        <v>001105018356</v>
      </c>
      <c r="O5685" t="str">
        <f t="shared" si="2312"/>
        <v>MYR</v>
      </c>
      <c r="P5685" t="str">
        <f t="shared" si="2327"/>
        <v>NIL</v>
      </c>
      <c r="Q5685" t="str">
        <f t="shared" si="2327"/>
        <v>NIL</v>
      </c>
      <c r="R5685" t="str">
        <f t="shared" si="2324"/>
        <v>Accepted</v>
      </c>
      <c r="S5685" t="str">
        <f t="shared" si="2313"/>
        <v>Approved</v>
      </c>
      <c r="T5685" t="str">
        <f t="shared" si="2325"/>
        <v>10.20.8.188</v>
      </c>
      <c r="U5685" t="str">
        <f t="shared" si="2314"/>
        <v>AZRAD UMAR BIN SHAARI</v>
      </c>
      <c r="V5685" t="str">
        <f t="shared" si="2315"/>
        <v>FARHANA BINTI MUSTAPA</v>
      </c>
      <c r="W5685" t="str">
        <f t="shared" si="2316"/>
        <v>04-08-2020</v>
      </c>
      <c r="X5685" t="str">
        <f t="shared" si="2317"/>
        <v>RAZIMAH ANSAR AHMAD</v>
      </c>
      <c r="Y5685" t="str">
        <f t="shared" si="2318"/>
        <v>04-08-2020</v>
      </c>
      <c r="Z5685" t="str">
        <f>"COS10200804 3469"</f>
        <v>COS10200804 3469</v>
      </c>
    </row>
    <row r="5686" spans="1:26" x14ac:dyDescent="0.25">
      <c r="A5686" t="str">
        <f t="shared" si="2328"/>
        <v>04-08-2020 12:45:31</v>
      </c>
      <c r="B5686" t="str">
        <f>"0000805238"</f>
        <v>0000805238</v>
      </c>
      <c r="C5686" t="str">
        <f t="shared" si="2329"/>
        <v>0000805170</v>
      </c>
      <c r="D5686" t="str">
        <f t="shared" si="2308"/>
        <v>73185</v>
      </c>
      <c r="E5686" t="str">
        <f t="shared" si="2309"/>
        <v>KFH-OPERATIONS DEPARTMENT</v>
      </c>
      <c r="F5686" t="str">
        <f t="shared" si="2310"/>
        <v>IBG</v>
      </c>
      <c r="G5686" t="str">
        <f t="shared" si="2319"/>
        <v>Refund COSHARE 10</v>
      </c>
      <c r="H5686" s="2">
        <v>503.7</v>
      </c>
      <c r="I5686" t="str">
        <f>"SAINAN BIN SAHAD"</f>
        <v>SAINAN BIN SAHAD</v>
      </c>
      <c r="J5686" t="str">
        <f t="shared" si="2307"/>
        <v>CIMB BANK / CIMB ISLAMIC BANK</v>
      </c>
      <c r="K5686" t="str">
        <f>"12290098160523"</f>
        <v>12290098160523</v>
      </c>
      <c r="L5686" t="str">
        <f t="shared" si="2326"/>
        <v>04-08-2020</v>
      </c>
      <c r="M5686" t="str">
        <f t="shared" si="2326"/>
        <v>04-08-2020</v>
      </c>
      <c r="N5686" t="str">
        <f t="shared" si="2311"/>
        <v>001105018356</v>
      </c>
      <c r="O5686" t="str">
        <f t="shared" si="2312"/>
        <v>MYR</v>
      </c>
      <c r="P5686" t="str">
        <f t="shared" si="2327"/>
        <v>NIL</v>
      </c>
      <c r="Q5686" t="str">
        <f t="shared" si="2327"/>
        <v>NIL</v>
      </c>
      <c r="R5686" t="str">
        <f t="shared" si="2324"/>
        <v>Accepted</v>
      </c>
      <c r="S5686" t="str">
        <f t="shared" si="2313"/>
        <v>Approved</v>
      </c>
      <c r="T5686" t="str">
        <f t="shared" si="2325"/>
        <v>10.20.8.188</v>
      </c>
      <c r="U5686" t="str">
        <f t="shared" si="2314"/>
        <v>AZRAD UMAR BIN SHAARI</v>
      </c>
      <c r="V5686" t="str">
        <f t="shared" si="2315"/>
        <v>FARHANA BINTI MUSTAPA</v>
      </c>
      <c r="W5686" t="str">
        <f t="shared" si="2316"/>
        <v>04-08-2020</v>
      </c>
      <c r="X5686" t="str">
        <f t="shared" si="2317"/>
        <v>RAZIMAH ANSAR AHMAD</v>
      </c>
      <c r="Y5686" t="str">
        <f t="shared" si="2318"/>
        <v>04-08-2020</v>
      </c>
      <c r="Z5686" t="str">
        <f>"COS10200804 3468"</f>
        <v>COS10200804 3468</v>
      </c>
    </row>
    <row r="5687" spans="1:26" x14ac:dyDescent="0.25">
      <c r="A5687" t="str">
        <f t="shared" si="2328"/>
        <v>04-08-2020 12:45:31</v>
      </c>
      <c r="B5687" t="str">
        <f>"0000805237"</f>
        <v>0000805237</v>
      </c>
      <c r="C5687" t="str">
        <f t="shared" si="2329"/>
        <v>0000805170</v>
      </c>
      <c r="D5687" t="str">
        <f t="shared" si="2308"/>
        <v>73185</v>
      </c>
      <c r="E5687" t="str">
        <f t="shared" si="2309"/>
        <v>KFH-OPERATIONS DEPARTMENT</v>
      </c>
      <c r="F5687" t="str">
        <f t="shared" si="2310"/>
        <v>IBG</v>
      </c>
      <c r="G5687" t="str">
        <f t="shared" si="2319"/>
        <v>Refund COSHARE 10</v>
      </c>
      <c r="H5687" s="2">
        <v>1469.15</v>
      </c>
      <c r="I5687" t="str">
        <f>"SAIFUL REDZUAN BIN AB MANAH"</f>
        <v>SAIFUL REDZUAN BIN AB MANAH</v>
      </c>
      <c r="J5687" t="str">
        <f t="shared" si="2307"/>
        <v>CIMB BANK / CIMB ISLAMIC BANK</v>
      </c>
      <c r="K5687" t="str">
        <f>"06010734100526"</f>
        <v>06010734100526</v>
      </c>
      <c r="L5687" t="str">
        <f t="shared" ref="L5687:M5706" si="2330">"04-08-2020"</f>
        <v>04-08-2020</v>
      </c>
      <c r="M5687" t="str">
        <f t="shared" si="2330"/>
        <v>04-08-2020</v>
      </c>
      <c r="N5687" t="str">
        <f t="shared" si="2311"/>
        <v>001105018356</v>
      </c>
      <c r="O5687" t="str">
        <f t="shared" si="2312"/>
        <v>MYR</v>
      </c>
      <c r="P5687" t="str">
        <f t="shared" ref="P5687:Q5706" si="2331">"NIL"</f>
        <v>NIL</v>
      </c>
      <c r="Q5687" t="str">
        <f t="shared" si="2331"/>
        <v>NIL</v>
      </c>
      <c r="R5687" t="str">
        <f t="shared" si="2324"/>
        <v>Accepted</v>
      </c>
      <c r="S5687" t="str">
        <f t="shared" si="2313"/>
        <v>Approved</v>
      </c>
      <c r="T5687" t="str">
        <f t="shared" si="2325"/>
        <v>10.20.8.188</v>
      </c>
      <c r="U5687" t="str">
        <f t="shared" si="2314"/>
        <v>AZRAD UMAR BIN SHAARI</v>
      </c>
      <c r="V5687" t="str">
        <f t="shared" si="2315"/>
        <v>FARHANA BINTI MUSTAPA</v>
      </c>
      <c r="W5687" t="str">
        <f t="shared" si="2316"/>
        <v>04-08-2020</v>
      </c>
      <c r="X5687" t="str">
        <f t="shared" si="2317"/>
        <v>RAZIMAH ANSAR AHMAD</v>
      </c>
      <c r="Y5687" t="str">
        <f t="shared" si="2318"/>
        <v>04-08-2020</v>
      </c>
      <c r="Z5687" t="str">
        <f>"COS10200804 3467"</f>
        <v>COS10200804 3467</v>
      </c>
    </row>
    <row r="5688" spans="1:26" x14ac:dyDescent="0.25">
      <c r="A5688" t="str">
        <f t="shared" si="2328"/>
        <v>04-08-2020 12:45:31</v>
      </c>
      <c r="B5688" t="str">
        <f>"0000805236"</f>
        <v>0000805236</v>
      </c>
      <c r="C5688" t="str">
        <f t="shared" si="2329"/>
        <v>0000805170</v>
      </c>
      <c r="D5688" t="str">
        <f t="shared" si="2308"/>
        <v>73185</v>
      </c>
      <c r="E5688" t="str">
        <f t="shared" si="2309"/>
        <v>KFH-OPERATIONS DEPARTMENT</v>
      </c>
      <c r="F5688" t="str">
        <f t="shared" si="2310"/>
        <v>IBG</v>
      </c>
      <c r="G5688" t="str">
        <f t="shared" si="2319"/>
        <v>Refund COSHARE 10</v>
      </c>
      <c r="H5688" s="2">
        <v>896</v>
      </c>
      <c r="I5688" t="str">
        <f>"SAIFUL BIN BAHA"</f>
        <v>SAIFUL BIN BAHA</v>
      </c>
      <c r="J5688" t="str">
        <f t="shared" si="2307"/>
        <v>CIMB BANK / CIMB ISLAMIC BANK</v>
      </c>
      <c r="K5688" t="str">
        <f>"11100064644523"</f>
        <v>11100064644523</v>
      </c>
      <c r="L5688" t="str">
        <f t="shared" si="2330"/>
        <v>04-08-2020</v>
      </c>
      <c r="M5688" t="str">
        <f t="shared" si="2330"/>
        <v>04-08-2020</v>
      </c>
      <c r="N5688" t="str">
        <f t="shared" si="2311"/>
        <v>001105018356</v>
      </c>
      <c r="O5688" t="str">
        <f t="shared" si="2312"/>
        <v>MYR</v>
      </c>
      <c r="P5688" t="str">
        <f t="shared" si="2331"/>
        <v>NIL</v>
      </c>
      <c r="Q5688" t="str">
        <f t="shared" si="2331"/>
        <v>NIL</v>
      </c>
      <c r="R5688" t="str">
        <f t="shared" si="2324"/>
        <v>Accepted</v>
      </c>
      <c r="S5688" t="str">
        <f t="shared" si="2313"/>
        <v>Approved</v>
      </c>
      <c r="T5688" t="str">
        <f t="shared" si="2325"/>
        <v>10.20.8.188</v>
      </c>
      <c r="U5688" t="str">
        <f t="shared" si="2314"/>
        <v>AZRAD UMAR BIN SHAARI</v>
      </c>
      <c r="V5688" t="str">
        <f t="shared" si="2315"/>
        <v>FARHANA BINTI MUSTAPA</v>
      </c>
      <c r="W5688" t="str">
        <f t="shared" si="2316"/>
        <v>04-08-2020</v>
      </c>
      <c r="X5688" t="str">
        <f t="shared" si="2317"/>
        <v>RAZIMAH ANSAR AHMAD</v>
      </c>
      <c r="Y5688" t="str">
        <f t="shared" si="2318"/>
        <v>04-08-2020</v>
      </c>
      <c r="Z5688" t="str">
        <f>"COS10200804 3466"</f>
        <v>COS10200804 3466</v>
      </c>
    </row>
    <row r="5689" spans="1:26" x14ac:dyDescent="0.25">
      <c r="A5689" t="str">
        <f t="shared" si="2328"/>
        <v>04-08-2020 12:45:31</v>
      </c>
      <c r="B5689" t="str">
        <f>"0000805235"</f>
        <v>0000805235</v>
      </c>
      <c r="C5689" t="str">
        <f t="shared" si="2329"/>
        <v>0000805170</v>
      </c>
      <c r="D5689" t="str">
        <f t="shared" si="2308"/>
        <v>73185</v>
      </c>
      <c r="E5689" t="str">
        <f t="shared" si="2309"/>
        <v>KFH-OPERATIONS DEPARTMENT</v>
      </c>
      <c r="F5689" t="str">
        <f t="shared" si="2310"/>
        <v>IBG</v>
      </c>
      <c r="G5689" t="str">
        <f t="shared" si="2319"/>
        <v>Refund COSHARE 10</v>
      </c>
      <c r="H5689" s="2">
        <v>69</v>
      </c>
      <c r="I5689" t="str">
        <f>"SAIFUL BAHRI BIN MOHAMAD KHAPIF"</f>
        <v>SAIFUL BAHRI BIN MOHAMAD KHAPIF</v>
      </c>
      <c r="J5689" t="str">
        <f t="shared" si="2307"/>
        <v>CIMB BANK / CIMB ISLAMIC BANK</v>
      </c>
      <c r="K5689" t="str">
        <f>"12440001889205"</f>
        <v>12440001889205</v>
      </c>
      <c r="L5689" t="str">
        <f t="shared" si="2330"/>
        <v>04-08-2020</v>
      </c>
      <c r="M5689" t="str">
        <f t="shared" si="2330"/>
        <v>04-08-2020</v>
      </c>
      <c r="N5689" t="str">
        <f t="shared" si="2311"/>
        <v>001105018356</v>
      </c>
      <c r="O5689" t="str">
        <f t="shared" si="2312"/>
        <v>MYR</v>
      </c>
      <c r="P5689" t="str">
        <f t="shared" si="2331"/>
        <v>NIL</v>
      </c>
      <c r="Q5689" t="str">
        <f t="shared" si="2331"/>
        <v>NIL</v>
      </c>
      <c r="R5689" t="str">
        <f t="shared" si="2324"/>
        <v>Accepted</v>
      </c>
      <c r="S5689" t="str">
        <f t="shared" si="2313"/>
        <v>Approved</v>
      </c>
      <c r="T5689" t="str">
        <f t="shared" si="2325"/>
        <v>10.20.8.188</v>
      </c>
      <c r="U5689" t="str">
        <f t="shared" si="2314"/>
        <v>AZRAD UMAR BIN SHAARI</v>
      </c>
      <c r="V5689" t="str">
        <f t="shared" si="2315"/>
        <v>FARHANA BINTI MUSTAPA</v>
      </c>
      <c r="W5689" t="str">
        <f t="shared" si="2316"/>
        <v>04-08-2020</v>
      </c>
      <c r="X5689" t="str">
        <f t="shared" si="2317"/>
        <v>RAZIMAH ANSAR AHMAD</v>
      </c>
      <c r="Y5689" t="str">
        <f t="shared" si="2318"/>
        <v>04-08-2020</v>
      </c>
      <c r="Z5689" t="str">
        <f>"COS10200804 3465"</f>
        <v>COS10200804 3465</v>
      </c>
    </row>
    <row r="5690" spans="1:26" x14ac:dyDescent="0.25">
      <c r="A5690" t="str">
        <f t="shared" si="2328"/>
        <v>04-08-2020 12:45:31</v>
      </c>
      <c r="B5690" t="str">
        <f>"0000805234"</f>
        <v>0000805234</v>
      </c>
      <c r="C5690" t="str">
        <f t="shared" si="2329"/>
        <v>0000805170</v>
      </c>
      <c r="D5690" t="str">
        <f t="shared" si="2308"/>
        <v>73185</v>
      </c>
      <c r="E5690" t="str">
        <f t="shared" si="2309"/>
        <v>KFH-OPERATIONS DEPARTMENT</v>
      </c>
      <c r="F5690" t="str">
        <f t="shared" si="2310"/>
        <v>IBG</v>
      </c>
      <c r="G5690" t="str">
        <f t="shared" si="2319"/>
        <v>Refund COSHARE 10</v>
      </c>
      <c r="H5690" s="2">
        <v>177.4</v>
      </c>
      <c r="I5690" t="str">
        <f>"SAIFUL BAHAREN BIN HASSAN"</f>
        <v>SAIFUL BAHAREN BIN HASSAN</v>
      </c>
      <c r="J5690" t="str">
        <f t="shared" si="2307"/>
        <v>CIMB BANK / CIMB ISLAMIC BANK</v>
      </c>
      <c r="K5690" t="str">
        <f>"02050118758528"</f>
        <v>02050118758528</v>
      </c>
      <c r="L5690" t="str">
        <f t="shared" si="2330"/>
        <v>04-08-2020</v>
      </c>
      <c r="M5690" t="str">
        <f t="shared" si="2330"/>
        <v>04-08-2020</v>
      </c>
      <c r="N5690" t="str">
        <f t="shared" si="2311"/>
        <v>001105018356</v>
      </c>
      <c r="O5690" t="str">
        <f t="shared" si="2312"/>
        <v>MYR</v>
      </c>
      <c r="P5690" t="str">
        <f t="shared" si="2331"/>
        <v>NIL</v>
      </c>
      <c r="Q5690" t="str">
        <f t="shared" si="2331"/>
        <v>NIL</v>
      </c>
      <c r="R5690" t="str">
        <f t="shared" si="2324"/>
        <v>Accepted</v>
      </c>
      <c r="S5690" t="str">
        <f t="shared" si="2313"/>
        <v>Approved</v>
      </c>
      <c r="T5690" t="str">
        <f t="shared" si="2325"/>
        <v>10.20.8.188</v>
      </c>
      <c r="U5690" t="str">
        <f t="shared" si="2314"/>
        <v>AZRAD UMAR BIN SHAARI</v>
      </c>
      <c r="V5690" t="str">
        <f t="shared" si="2315"/>
        <v>FARHANA BINTI MUSTAPA</v>
      </c>
      <c r="W5690" t="str">
        <f t="shared" si="2316"/>
        <v>04-08-2020</v>
      </c>
      <c r="X5690" t="str">
        <f t="shared" si="2317"/>
        <v>RAZIMAH ANSAR AHMAD</v>
      </c>
      <c r="Y5690" t="str">
        <f t="shared" si="2318"/>
        <v>04-08-2020</v>
      </c>
      <c r="Z5690" t="str">
        <f>"COS10200804 3464"</f>
        <v>COS10200804 3464</v>
      </c>
    </row>
    <row r="5691" spans="1:26" x14ac:dyDescent="0.25">
      <c r="A5691" t="str">
        <f t="shared" si="2328"/>
        <v>04-08-2020 12:45:31</v>
      </c>
      <c r="B5691" t="str">
        <f>"0000805233"</f>
        <v>0000805233</v>
      </c>
      <c r="C5691" t="str">
        <f t="shared" si="2329"/>
        <v>0000805170</v>
      </c>
      <c r="D5691" t="str">
        <f t="shared" si="2308"/>
        <v>73185</v>
      </c>
      <c r="E5691" t="str">
        <f t="shared" si="2309"/>
        <v>KFH-OPERATIONS DEPARTMENT</v>
      </c>
      <c r="F5691" t="str">
        <f t="shared" si="2310"/>
        <v>IBG</v>
      </c>
      <c r="G5691" t="str">
        <f t="shared" si="2319"/>
        <v>Refund COSHARE 10</v>
      </c>
      <c r="H5691" s="2">
        <v>864.45</v>
      </c>
      <c r="I5691" t="str">
        <f>"SAIDAH BINTI CHE KUB"</f>
        <v>SAIDAH BINTI CHE KUB</v>
      </c>
      <c r="J5691" t="str">
        <f t="shared" si="2307"/>
        <v>CIMB BANK / CIMB ISLAMIC BANK</v>
      </c>
      <c r="K5691" t="str">
        <f>"03030025954528"</f>
        <v>03030025954528</v>
      </c>
      <c r="L5691" t="str">
        <f t="shared" si="2330"/>
        <v>04-08-2020</v>
      </c>
      <c r="M5691" t="str">
        <f t="shared" si="2330"/>
        <v>04-08-2020</v>
      </c>
      <c r="N5691" t="str">
        <f t="shared" si="2311"/>
        <v>001105018356</v>
      </c>
      <c r="O5691" t="str">
        <f t="shared" si="2312"/>
        <v>MYR</v>
      </c>
      <c r="P5691" t="str">
        <f t="shared" si="2331"/>
        <v>NIL</v>
      </c>
      <c r="Q5691" t="str">
        <f t="shared" si="2331"/>
        <v>NIL</v>
      </c>
      <c r="R5691" t="str">
        <f t="shared" si="2324"/>
        <v>Accepted</v>
      </c>
      <c r="S5691" t="str">
        <f t="shared" si="2313"/>
        <v>Approved</v>
      </c>
      <c r="T5691" t="str">
        <f t="shared" si="2325"/>
        <v>10.20.8.188</v>
      </c>
      <c r="U5691" t="str">
        <f t="shared" si="2314"/>
        <v>AZRAD UMAR BIN SHAARI</v>
      </c>
      <c r="V5691" t="str">
        <f t="shared" si="2315"/>
        <v>FARHANA BINTI MUSTAPA</v>
      </c>
      <c r="W5691" t="str">
        <f t="shared" si="2316"/>
        <v>04-08-2020</v>
      </c>
      <c r="X5691" t="str">
        <f t="shared" si="2317"/>
        <v>RAZIMAH ANSAR AHMAD</v>
      </c>
      <c r="Y5691" t="str">
        <f t="shared" si="2318"/>
        <v>04-08-2020</v>
      </c>
      <c r="Z5691" t="str">
        <f>"COS10200804 3463"</f>
        <v>COS10200804 3463</v>
      </c>
    </row>
    <row r="5692" spans="1:26" x14ac:dyDescent="0.25">
      <c r="A5692" t="str">
        <f t="shared" si="2328"/>
        <v>04-08-2020 12:45:31</v>
      </c>
      <c r="B5692" t="str">
        <f>"0000805232"</f>
        <v>0000805232</v>
      </c>
      <c r="C5692" t="str">
        <f t="shared" si="2329"/>
        <v>0000805170</v>
      </c>
      <c r="D5692" t="str">
        <f t="shared" si="2308"/>
        <v>73185</v>
      </c>
      <c r="E5692" t="str">
        <f t="shared" si="2309"/>
        <v>KFH-OPERATIONS DEPARTMENT</v>
      </c>
      <c r="F5692" t="str">
        <f t="shared" si="2310"/>
        <v>IBG</v>
      </c>
      <c r="G5692" t="str">
        <f t="shared" si="2319"/>
        <v>Refund COSHARE 10</v>
      </c>
      <c r="H5692" s="2">
        <v>167</v>
      </c>
      <c r="I5692" t="str">
        <f>"SAHRUL FADZIL BIN MOHD IBRAHIM"</f>
        <v>SAHRUL FADZIL BIN MOHD IBRAHIM</v>
      </c>
      <c r="J5692" t="str">
        <f t="shared" ref="J5692:J5755" si="2332">"CIMB BANK / CIMB ISLAMIC BANK"</f>
        <v>CIMB BANK / CIMB ISLAMIC BANK</v>
      </c>
      <c r="K5692" t="str">
        <f>"01190062601529"</f>
        <v>01190062601529</v>
      </c>
      <c r="L5692" t="str">
        <f t="shared" si="2330"/>
        <v>04-08-2020</v>
      </c>
      <c r="M5692" t="str">
        <f t="shared" si="2330"/>
        <v>04-08-2020</v>
      </c>
      <c r="N5692" t="str">
        <f t="shared" si="2311"/>
        <v>001105018356</v>
      </c>
      <c r="O5692" t="str">
        <f t="shared" si="2312"/>
        <v>MYR</v>
      </c>
      <c r="P5692" t="str">
        <f t="shared" si="2331"/>
        <v>NIL</v>
      </c>
      <c r="Q5692" t="str">
        <f t="shared" si="2331"/>
        <v>NIL</v>
      </c>
      <c r="R5692" t="str">
        <f t="shared" si="2324"/>
        <v>Accepted</v>
      </c>
      <c r="S5692" t="str">
        <f t="shared" si="2313"/>
        <v>Approved</v>
      </c>
      <c r="T5692" t="str">
        <f t="shared" si="2325"/>
        <v>10.20.8.188</v>
      </c>
      <c r="U5692" t="str">
        <f t="shared" si="2314"/>
        <v>AZRAD UMAR BIN SHAARI</v>
      </c>
      <c r="V5692" t="str">
        <f t="shared" si="2315"/>
        <v>FARHANA BINTI MUSTAPA</v>
      </c>
      <c r="W5692" t="str">
        <f t="shared" si="2316"/>
        <v>04-08-2020</v>
      </c>
      <c r="X5692" t="str">
        <f t="shared" si="2317"/>
        <v>RAZIMAH ANSAR AHMAD</v>
      </c>
      <c r="Y5692" t="str">
        <f t="shared" si="2318"/>
        <v>04-08-2020</v>
      </c>
      <c r="Z5692" t="str">
        <f>"COS10200804 3462"</f>
        <v>COS10200804 3462</v>
      </c>
    </row>
    <row r="5693" spans="1:26" x14ac:dyDescent="0.25">
      <c r="A5693" t="str">
        <f t="shared" si="2328"/>
        <v>04-08-2020 12:45:31</v>
      </c>
      <c r="B5693" t="str">
        <f>"0000805231"</f>
        <v>0000805231</v>
      </c>
      <c r="C5693" t="str">
        <f t="shared" si="2329"/>
        <v>0000805170</v>
      </c>
      <c r="D5693" t="str">
        <f t="shared" si="2308"/>
        <v>73185</v>
      </c>
      <c r="E5693" t="str">
        <f t="shared" si="2309"/>
        <v>KFH-OPERATIONS DEPARTMENT</v>
      </c>
      <c r="F5693" t="str">
        <f t="shared" si="2310"/>
        <v>IBG</v>
      </c>
      <c r="G5693" t="str">
        <f t="shared" si="2319"/>
        <v>Refund COSHARE 10</v>
      </c>
      <c r="H5693" s="2">
        <v>1410.35</v>
      </c>
      <c r="I5693" t="str">
        <f>"SAFINAH BINTI SAFERI"</f>
        <v>SAFINAH BINTI SAFERI</v>
      </c>
      <c r="J5693" t="str">
        <f t="shared" si="2332"/>
        <v>CIMB BANK / CIMB ISLAMIC BANK</v>
      </c>
      <c r="K5693" t="str">
        <f>"7036199694"</f>
        <v>7036199694</v>
      </c>
      <c r="L5693" t="str">
        <f t="shared" si="2330"/>
        <v>04-08-2020</v>
      </c>
      <c r="M5693" t="str">
        <f t="shared" si="2330"/>
        <v>04-08-2020</v>
      </c>
      <c r="N5693" t="str">
        <f t="shared" si="2311"/>
        <v>001105018356</v>
      </c>
      <c r="O5693" t="str">
        <f t="shared" si="2312"/>
        <v>MYR</v>
      </c>
      <c r="P5693" t="str">
        <f t="shared" si="2331"/>
        <v>NIL</v>
      </c>
      <c r="Q5693" t="str">
        <f t="shared" si="2331"/>
        <v>NIL</v>
      </c>
      <c r="R5693" t="str">
        <f t="shared" si="2324"/>
        <v>Accepted</v>
      </c>
      <c r="S5693" t="str">
        <f t="shared" si="2313"/>
        <v>Approved</v>
      </c>
      <c r="T5693" t="str">
        <f t="shared" si="2325"/>
        <v>10.20.8.188</v>
      </c>
      <c r="U5693" t="str">
        <f t="shared" si="2314"/>
        <v>AZRAD UMAR BIN SHAARI</v>
      </c>
      <c r="V5693" t="str">
        <f t="shared" si="2315"/>
        <v>FARHANA BINTI MUSTAPA</v>
      </c>
      <c r="W5693" t="str">
        <f t="shared" si="2316"/>
        <v>04-08-2020</v>
      </c>
      <c r="X5693" t="str">
        <f t="shared" si="2317"/>
        <v>RAZIMAH ANSAR AHMAD</v>
      </c>
      <c r="Y5693" t="str">
        <f t="shared" si="2318"/>
        <v>04-08-2020</v>
      </c>
      <c r="Z5693" t="str">
        <f>"COS10200804 3461"</f>
        <v>COS10200804 3461</v>
      </c>
    </row>
    <row r="5694" spans="1:26" x14ac:dyDescent="0.25">
      <c r="A5694" t="str">
        <f t="shared" si="2328"/>
        <v>04-08-2020 12:45:31</v>
      </c>
      <c r="B5694" t="str">
        <f>"0000805230"</f>
        <v>0000805230</v>
      </c>
      <c r="C5694" t="str">
        <f t="shared" si="2329"/>
        <v>0000805170</v>
      </c>
      <c r="D5694" t="str">
        <f t="shared" si="2308"/>
        <v>73185</v>
      </c>
      <c r="E5694" t="str">
        <f t="shared" si="2309"/>
        <v>KFH-OPERATIONS DEPARTMENT</v>
      </c>
      <c r="F5694" t="str">
        <f t="shared" si="2310"/>
        <v>IBG</v>
      </c>
      <c r="G5694" t="str">
        <f t="shared" si="2319"/>
        <v>Refund COSHARE 10</v>
      </c>
      <c r="H5694" s="2">
        <v>218.3</v>
      </c>
      <c r="I5694" t="str">
        <f>"SAFINA DIANA BINTI JAMALUDIN"</f>
        <v>SAFINA DIANA BINTI JAMALUDIN</v>
      </c>
      <c r="J5694" t="str">
        <f t="shared" si="2332"/>
        <v>CIMB BANK / CIMB ISLAMIC BANK</v>
      </c>
      <c r="K5694" t="str">
        <f>"12150061965526"</f>
        <v>12150061965526</v>
      </c>
      <c r="L5694" t="str">
        <f t="shared" si="2330"/>
        <v>04-08-2020</v>
      </c>
      <c r="M5694" t="str">
        <f t="shared" si="2330"/>
        <v>04-08-2020</v>
      </c>
      <c r="N5694" t="str">
        <f t="shared" si="2311"/>
        <v>001105018356</v>
      </c>
      <c r="O5694" t="str">
        <f t="shared" si="2312"/>
        <v>MYR</v>
      </c>
      <c r="P5694" t="str">
        <f t="shared" si="2331"/>
        <v>NIL</v>
      </c>
      <c r="Q5694" t="str">
        <f t="shared" si="2331"/>
        <v>NIL</v>
      </c>
      <c r="R5694" t="str">
        <f t="shared" si="2324"/>
        <v>Accepted</v>
      </c>
      <c r="S5694" t="str">
        <f t="shared" si="2313"/>
        <v>Approved</v>
      </c>
      <c r="T5694" t="str">
        <f t="shared" si="2325"/>
        <v>10.20.8.188</v>
      </c>
      <c r="U5694" t="str">
        <f t="shared" si="2314"/>
        <v>AZRAD UMAR BIN SHAARI</v>
      </c>
      <c r="V5694" t="str">
        <f t="shared" si="2315"/>
        <v>FARHANA BINTI MUSTAPA</v>
      </c>
      <c r="W5694" t="str">
        <f t="shared" si="2316"/>
        <v>04-08-2020</v>
      </c>
      <c r="X5694" t="str">
        <f t="shared" si="2317"/>
        <v>RAZIMAH ANSAR AHMAD</v>
      </c>
      <c r="Y5694" t="str">
        <f t="shared" si="2318"/>
        <v>04-08-2020</v>
      </c>
      <c r="Z5694" t="str">
        <f>"COS10200804 3460"</f>
        <v>COS10200804 3460</v>
      </c>
    </row>
    <row r="5695" spans="1:26" x14ac:dyDescent="0.25">
      <c r="A5695" t="str">
        <f t="shared" si="2328"/>
        <v>04-08-2020 12:45:31</v>
      </c>
      <c r="B5695" t="str">
        <f>"0000805229"</f>
        <v>0000805229</v>
      </c>
      <c r="C5695" t="str">
        <f t="shared" si="2329"/>
        <v>0000805170</v>
      </c>
      <c r="D5695" t="str">
        <f t="shared" si="2308"/>
        <v>73185</v>
      </c>
      <c r="E5695" t="str">
        <f t="shared" si="2309"/>
        <v>KFH-OPERATIONS DEPARTMENT</v>
      </c>
      <c r="F5695" t="str">
        <f t="shared" si="2310"/>
        <v>IBG</v>
      </c>
      <c r="G5695" t="str">
        <f t="shared" si="2319"/>
        <v>Refund COSHARE 10</v>
      </c>
      <c r="H5695" s="2">
        <v>83.95</v>
      </c>
      <c r="I5695" t="str">
        <f>"SAFARROFLI BIN MUHAMAD NORDIN"</f>
        <v>SAFARROFLI BIN MUHAMAD NORDIN</v>
      </c>
      <c r="J5695" t="str">
        <f t="shared" si="2332"/>
        <v>CIMB BANK / CIMB ISLAMIC BANK</v>
      </c>
      <c r="K5695" t="str">
        <f>"06060057134520"</f>
        <v>06060057134520</v>
      </c>
      <c r="L5695" t="str">
        <f t="shared" si="2330"/>
        <v>04-08-2020</v>
      </c>
      <c r="M5695" t="str">
        <f t="shared" si="2330"/>
        <v>04-08-2020</v>
      </c>
      <c r="N5695" t="str">
        <f t="shared" si="2311"/>
        <v>001105018356</v>
      </c>
      <c r="O5695" t="str">
        <f t="shared" si="2312"/>
        <v>MYR</v>
      </c>
      <c r="P5695" t="str">
        <f t="shared" si="2331"/>
        <v>NIL</v>
      </c>
      <c r="Q5695" t="str">
        <f t="shared" si="2331"/>
        <v>NIL</v>
      </c>
      <c r="R5695" t="str">
        <f t="shared" si="2324"/>
        <v>Accepted</v>
      </c>
      <c r="S5695" t="str">
        <f t="shared" si="2313"/>
        <v>Approved</v>
      </c>
      <c r="T5695" t="str">
        <f t="shared" si="2325"/>
        <v>10.20.8.188</v>
      </c>
      <c r="U5695" t="str">
        <f t="shared" si="2314"/>
        <v>AZRAD UMAR BIN SHAARI</v>
      </c>
      <c r="V5695" t="str">
        <f t="shared" si="2315"/>
        <v>FARHANA BINTI MUSTAPA</v>
      </c>
      <c r="W5695" t="str">
        <f t="shared" si="2316"/>
        <v>04-08-2020</v>
      </c>
      <c r="X5695" t="str">
        <f t="shared" si="2317"/>
        <v>RAZIMAH ANSAR AHMAD</v>
      </c>
      <c r="Y5695" t="str">
        <f t="shared" si="2318"/>
        <v>04-08-2020</v>
      </c>
      <c r="Z5695" t="str">
        <f>"COS10200804 3459"</f>
        <v>COS10200804 3459</v>
      </c>
    </row>
    <row r="5696" spans="1:26" x14ac:dyDescent="0.25">
      <c r="A5696" t="str">
        <f t="shared" si="2328"/>
        <v>04-08-2020 12:45:31</v>
      </c>
      <c r="B5696" t="str">
        <f>"0000805228"</f>
        <v>0000805228</v>
      </c>
      <c r="C5696" t="str">
        <f t="shared" si="2329"/>
        <v>0000805170</v>
      </c>
      <c r="D5696" t="str">
        <f t="shared" si="2308"/>
        <v>73185</v>
      </c>
      <c r="E5696" t="str">
        <f t="shared" si="2309"/>
        <v>KFH-OPERATIONS DEPARTMENT</v>
      </c>
      <c r="F5696" t="str">
        <f t="shared" si="2310"/>
        <v>IBG</v>
      </c>
      <c r="G5696" t="str">
        <f t="shared" si="2319"/>
        <v>Refund COSHARE 10</v>
      </c>
      <c r="H5696" s="2">
        <v>137.94999999999999</v>
      </c>
      <c r="I5696" t="str">
        <f>"SABRI BIN SAMION"</f>
        <v>SABRI BIN SAMION</v>
      </c>
      <c r="J5696" t="str">
        <f t="shared" si="2332"/>
        <v>CIMB BANK / CIMB ISLAMIC BANK</v>
      </c>
      <c r="K5696" t="str">
        <f>"14400082975522"</f>
        <v>14400082975522</v>
      </c>
      <c r="L5696" t="str">
        <f t="shared" si="2330"/>
        <v>04-08-2020</v>
      </c>
      <c r="M5696" t="str">
        <f t="shared" si="2330"/>
        <v>04-08-2020</v>
      </c>
      <c r="N5696" t="str">
        <f t="shared" si="2311"/>
        <v>001105018356</v>
      </c>
      <c r="O5696" t="str">
        <f t="shared" si="2312"/>
        <v>MYR</v>
      </c>
      <c r="P5696" t="str">
        <f t="shared" si="2331"/>
        <v>NIL</v>
      </c>
      <c r="Q5696" t="str">
        <f t="shared" si="2331"/>
        <v>NIL</v>
      </c>
      <c r="R5696" t="str">
        <f t="shared" si="2324"/>
        <v>Accepted</v>
      </c>
      <c r="S5696" t="str">
        <f t="shared" si="2313"/>
        <v>Approved</v>
      </c>
      <c r="T5696" t="str">
        <f t="shared" si="2325"/>
        <v>10.20.8.188</v>
      </c>
      <c r="U5696" t="str">
        <f t="shared" si="2314"/>
        <v>AZRAD UMAR BIN SHAARI</v>
      </c>
      <c r="V5696" t="str">
        <f t="shared" si="2315"/>
        <v>FARHANA BINTI MUSTAPA</v>
      </c>
      <c r="W5696" t="str">
        <f t="shared" si="2316"/>
        <v>04-08-2020</v>
      </c>
      <c r="X5696" t="str">
        <f t="shared" si="2317"/>
        <v>RAZIMAH ANSAR AHMAD</v>
      </c>
      <c r="Y5696" t="str">
        <f t="shared" si="2318"/>
        <v>04-08-2020</v>
      </c>
      <c r="Z5696" t="str">
        <f>"COS10200804 3458"</f>
        <v>COS10200804 3458</v>
      </c>
    </row>
    <row r="5697" spans="1:26" x14ac:dyDescent="0.25">
      <c r="A5697" t="str">
        <f t="shared" si="2328"/>
        <v>04-08-2020 12:45:31</v>
      </c>
      <c r="B5697" t="str">
        <f>"0000805227"</f>
        <v>0000805227</v>
      </c>
      <c r="C5697" t="str">
        <f t="shared" si="2329"/>
        <v>0000805170</v>
      </c>
      <c r="D5697" t="str">
        <f t="shared" si="2308"/>
        <v>73185</v>
      </c>
      <c r="E5697" t="str">
        <f t="shared" si="2309"/>
        <v>KFH-OPERATIONS DEPARTMENT</v>
      </c>
      <c r="F5697" t="str">
        <f t="shared" si="2310"/>
        <v>IBG</v>
      </c>
      <c r="G5697" t="str">
        <f t="shared" si="2319"/>
        <v>Refund COSHARE 10</v>
      </c>
      <c r="H5697" s="2">
        <v>152</v>
      </c>
      <c r="I5697" t="str">
        <f>"SABBRY BIN IBRAHIM"</f>
        <v>SABBRY BIN IBRAHIM</v>
      </c>
      <c r="J5697" t="str">
        <f t="shared" si="2332"/>
        <v>CIMB BANK / CIMB ISLAMIC BANK</v>
      </c>
      <c r="K5697" t="str">
        <f>"7625052174"</f>
        <v>7625052174</v>
      </c>
      <c r="L5697" t="str">
        <f t="shared" si="2330"/>
        <v>04-08-2020</v>
      </c>
      <c r="M5697" t="str">
        <f t="shared" si="2330"/>
        <v>04-08-2020</v>
      </c>
      <c r="N5697" t="str">
        <f t="shared" si="2311"/>
        <v>001105018356</v>
      </c>
      <c r="O5697" t="str">
        <f t="shared" si="2312"/>
        <v>MYR</v>
      </c>
      <c r="P5697" t="str">
        <f t="shared" si="2331"/>
        <v>NIL</v>
      </c>
      <c r="Q5697" t="str">
        <f t="shared" si="2331"/>
        <v>NIL</v>
      </c>
      <c r="R5697" t="str">
        <f t="shared" si="2324"/>
        <v>Accepted</v>
      </c>
      <c r="S5697" t="str">
        <f t="shared" si="2313"/>
        <v>Approved</v>
      </c>
      <c r="T5697" t="str">
        <f t="shared" si="2325"/>
        <v>10.20.8.188</v>
      </c>
      <c r="U5697" t="str">
        <f t="shared" si="2314"/>
        <v>AZRAD UMAR BIN SHAARI</v>
      </c>
      <c r="V5697" t="str">
        <f t="shared" si="2315"/>
        <v>FARHANA BINTI MUSTAPA</v>
      </c>
      <c r="W5697" t="str">
        <f t="shared" si="2316"/>
        <v>04-08-2020</v>
      </c>
      <c r="X5697" t="str">
        <f t="shared" si="2317"/>
        <v>RAZIMAH ANSAR AHMAD</v>
      </c>
      <c r="Y5697" t="str">
        <f t="shared" si="2318"/>
        <v>04-08-2020</v>
      </c>
      <c r="Z5697" t="str">
        <f>"COS10200804 3457"</f>
        <v>COS10200804 3457</v>
      </c>
    </row>
    <row r="5698" spans="1:26" x14ac:dyDescent="0.25">
      <c r="A5698" t="str">
        <f t="shared" si="2328"/>
        <v>04-08-2020 12:45:31</v>
      </c>
      <c r="B5698" t="str">
        <f>"0000805226"</f>
        <v>0000805226</v>
      </c>
      <c r="C5698" t="str">
        <f t="shared" si="2329"/>
        <v>0000805170</v>
      </c>
      <c r="D5698" t="str">
        <f t="shared" si="2308"/>
        <v>73185</v>
      </c>
      <c r="E5698" t="str">
        <f t="shared" si="2309"/>
        <v>KFH-OPERATIONS DEPARTMENT</v>
      </c>
      <c r="F5698" t="str">
        <f t="shared" si="2310"/>
        <v>IBG</v>
      </c>
      <c r="G5698" t="str">
        <f t="shared" si="2319"/>
        <v>Refund COSHARE 10</v>
      </c>
      <c r="H5698" s="2">
        <v>1175.7</v>
      </c>
      <c r="I5698" t="str">
        <f>"SABARIAH BINTI SAPARI"</f>
        <v>SABARIAH BINTI SAPARI</v>
      </c>
      <c r="J5698" t="str">
        <f t="shared" si="2332"/>
        <v>CIMB BANK / CIMB ISLAMIC BANK</v>
      </c>
      <c r="K5698" t="str">
        <f>"12480032578529"</f>
        <v>12480032578529</v>
      </c>
      <c r="L5698" t="str">
        <f t="shared" si="2330"/>
        <v>04-08-2020</v>
      </c>
      <c r="M5698" t="str">
        <f t="shared" si="2330"/>
        <v>04-08-2020</v>
      </c>
      <c r="N5698" t="str">
        <f t="shared" si="2311"/>
        <v>001105018356</v>
      </c>
      <c r="O5698" t="str">
        <f t="shared" si="2312"/>
        <v>MYR</v>
      </c>
      <c r="P5698" t="str">
        <f t="shared" si="2331"/>
        <v>NIL</v>
      </c>
      <c r="Q5698" t="str">
        <f t="shared" si="2331"/>
        <v>NIL</v>
      </c>
      <c r="R5698" t="str">
        <f t="shared" si="2324"/>
        <v>Accepted</v>
      </c>
      <c r="S5698" t="str">
        <f t="shared" si="2313"/>
        <v>Approved</v>
      </c>
      <c r="T5698" t="str">
        <f t="shared" si="2325"/>
        <v>10.20.8.188</v>
      </c>
      <c r="U5698" t="str">
        <f t="shared" si="2314"/>
        <v>AZRAD UMAR BIN SHAARI</v>
      </c>
      <c r="V5698" t="str">
        <f t="shared" si="2315"/>
        <v>FARHANA BINTI MUSTAPA</v>
      </c>
      <c r="W5698" t="str">
        <f t="shared" si="2316"/>
        <v>04-08-2020</v>
      </c>
      <c r="X5698" t="str">
        <f t="shared" si="2317"/>
        <v>RAZIMAH ANSAR AHMAD</v>
      </c>
      <c r="Y5698" t="str">
        <f t="shared" si="2318"/>
        <v>04-08-2020</v>
      </c>
      <c r="Z5698" t="str">
        <f>"COS10200804 3456"</f>
        <v>COS10200804 3456</v>
      </c>
    </row>
    <row r="5699" spans="1:26" x14ac:dyDescent="0.25">
      <c r="A5699" t="str">
        <f t="shared" si="2328"/>
        <v>04-08-2020 12:45:31</v>
      </c>
      <c r="B5699" t="str">
        <f>"0000805225"</f>
        <v>0000805225</v>
      </c>
      <c r="C5699" t="str">
        <f t="shared" si="2329"/>
        <v>0000805170</v>
      </c>
      <c r="D5699" t="str">
        <f t="shared" si="2308"/>
        <v>73185</v>
      </c>
      <c r="E5699" t="str">
        <f t="shared" si="2309"/>
        <v>KFH-OPERATIONS DEPARTMENT</v>
      </c>
      <c r="F5699" t="str">
        <f t="shared" si="2310"/>
        <v>IBG</v>
      </c>
      <c r="G5699" t="str">
        <f t="shared" si="2319"/>
        <v>Refund COSHARE 10</v>
      </c>
      <c r="H5699" s="2">
        <v>78.849999999999994</v>
      </c>
      <c r="I5699" t="str">
        <f>"SABARIAH BINTI MOHD SHARIF"</f>
        <v>SABARIAH BINTI MOHD SHARIF</v>
      </c>
      <c r="J5699" t="str">
        <f t="shared" si="2332"/>
        <v>CIMB BANK / CIMB ISLAMIC BANK</v>
      </c>
      <c r="K5699" t="str">
        <f>"01040067063527"</f>
        <v>01040067063527</v>
      </c>
      <c r="L5699" t="str">
        <f t="shared" si="2330"/>
        <v>04-08-2020</v>
      </c>
      <c r="M5699" t="str">
        <f t="shared" si="2330"/>
        <v>04-08-2020</v>
      </c>
      <c r="N5699" t="str">
        <f t="shared" si="2311"/>
        <v>001105018356</v>
      </c>
      <c r="O5699" t="str">
        <f t="shared" si="2312"/>
        <v>MYR</v>
      </c>
      <c r="P5699" t="str">
        <f t="shared" si="2331"/>
        <v>NIL</v>
      </c>
      <c r="Q5699" t="str">
        <f t="shared" si="2331"/>
        <v>NIL</v>
      </c>
      <c r="R5699" t="str">
        <f t="shared" si="2324"/>
        <v>Accepted</v>
      </c>
      <c r="S5699" t="str">
        <f t="shared" si="2313"/>
        <v>Approved</v>
      </c>
      <c r="T5699" t="str">
        <f t="shared" si="2325"/>
        <v>10.20.8.188</v>
      </c>
      <c r="U5699" t="str">
        <f t="shared" si="2314"/>
        <v>AZRAD UMAR BIN SHAARI</v>
      </c>
      <c r="V5699" t="str">
        <f t="shared" si="2315"/>
        <v>FARHANA BINTI MUSTAPA</v>
      </c>
      <c r="W5699" t="str">
        <f t="shared" si="2316"/>
        <v>04-08-2020</v>
      </c>
      <c r="X5699" t="str">
        <f t="shared" si="2317"/>
        <v>RAZIMAH ANSAR AHMAD</v>
      </c>
      <c r="Y5699" t="str">
        <f t="shared" si="2318"/>
        <v>04-08-2020</v>
      </c>
      <c r="Z5699" t="str">
        <f>"COS10200804 3455"</f>
        <v>COS10200804 3455</v>
      </c>
    </row>
    <row r="5700" spans="1:26" x14ac:dyDescent="0.25">
      <c r="A5700" t="str">
        <f t="shared" si="2328"/>
        <v>04-08-2020 12:45:31</v>
      </c>
      <c r="B5700" t="str">
        <f>"0000805224"</f>
        <v>0000805224</v>
      </c>
      <c r="C5700" t="str">
        <f t="shared" si="2329"/>
        <v>0000805170</v>
      </c>
      <c r="D5700" t="str">
        <f t="shared" si="2308"/>
        <v>73185</v>
      </c>
      <c r="E5700" t="str">
        <f t="shared" si="2309"/>
        <v>KFH-OPERATIONS DEPARTMENT</v>
      </c>
      <c r="F5700" t="str">
        <f t="shared" si="2310"/>
        <v>IBG</v>
      </c>
      <c r="G5700" t="str">
        <f t="shared" si="2319"/>
        <v>Refund COSHARE 10</v>
      </c>
      <c r="H5700" s="2">
        <v>1041.25</v>
      </c>
      <c r="I5700" t="str">
        <f>"S FAUZIAH BINTI SHAARI"</f>
        <v>S FAUZIAH BINTI SHAARI</v>
      </c>
      <c r="J5700" t="str">
        <f t="shared" si="2332"/>
        <v>CIMB BANK / CIMB ISLAMIC BANK</v>
      </c>
      <c r="K5700" t="str">
        <f>"14400092668526"</f>
        <v>14400092668526</v>
      </c>
      <c r="L5700" t="str">
        <f t="shared" si="2330"/>
        <v>04-08-2020</v>
      </c>
      <c r="M5700" t="str">
        <f t="shared" si="2330"/>
        <v>04-08-2020</v>
      </c>
      <c r="N5700" t="str">
        <f t="shared" si="2311"/>
        <v>001105018356</v>
      </c>
      <c r="O5700" t="str">
        <f t="shared" si="2312"/>
        <v>MYR</v>
      </c>
      <c r="P5700" t="str">
        <f t="shared" si="2331"/>
        <v>NIL</v>
      </c>
      <c r="Q5700" t="str">
        <f t="shared" si="2331"/>
        <v>NIL</v>
      </c>
      <c r="R5700" t="str">
        <f t="shared" si="2324"/>
        <v>Accepted</v>
      </c>
      <c r="S5700" t="str">
        <f t="shared" si="2313"/>
        <v>Approved</v>
      </c>
      <c r="T5700" t="str">
        <f t="shared" si="2325"/>
        <v>10.20.8.188</v>
      </c>
      <c r="U5700" t="str">
        <f t="shared" si="2314"/>
        <v>AZRAD UMAR BIN SHAARI</v>
      </c>
      <c r="V5700" t="str">
        <f t="shared" si="2315"/>
        <v>FARHANA BINTI MUSTAPA</v>
      </c>
      <c r="W5700" t="str">
        <f t="shared" si="2316"/>
        <v>04-08-2020</v>
      </c>
      <c r="X5700" t="str">
        <f t="shared" si="2317"/>
        <v>RAZIMAH ANSAR AHMAD</v>
      </c>
      <c r="Y5700" t="str">
        <f t="shared" si="2318"/>
        <v>04-08-2020</v>
      </c>
      <c r="Z5700" t="str">
        <f>"COS10200804 3454"</f>
        <v>COS10200804 3454</v>
      </c>
    </row>
    <row r="5701" spans="1:26" x14ac:dyDescent="0.25">
      <c r="A5701" t="str">
        <f t="shared" si="2328"/>
        <v>04-08-2020 12:45:31</v>
      </c>
      <c r="B5701" t="str">
        <f>"0000805223"</f>
        <v>0000805223</v>
      </c>
      <c r="C5701" t="str">
        <f t="shared" si="2329"/>
        <v>0000805170</v>
      </c>
      <c r="D5701" t="str">
        <f t="shared" si="2308"/>
        <v>73185</v>
      </c>
      <c r="E5701" t="str">
        <f t="shared" si="2309"/>
        <v>KFH-OPERATIONS DEPARTMENT</v>
      </c>
      <c r="F5701" t="str">
        <f t="shared" si="2310"/>
        <v>IBG</v>
      </c>
      <c r="G5701" t="str">
        <f t="shared" si="2319"/>
        <v>Refund COSHARE 10</v>
      </c>
      <c r="H5701" s="2">
        <v>476.6</v>
      </c>
      <c r="I5701" t="str">
        <f>"RUZIYATUN BINTI AB KADIR"</f>
        <v>RUZIYATUN BINTI AB KADIR</v>
      </c>
      <c r="J5701" t="str">
        <f t="shared" si="2332"/>
        <v>CIMB BANK / CIMB ISLAMIC BANK</v>
      </c>
      <c r="K5701" t="str">
        <f>"12180090743524"</f>
        <v>12180090743524</v>
      </c>
      <c r="L5701" t="str">
        <f t="shared" si="2330"/>
        <v>04-08-2020</v>
      </c>
      <c r="M5701" t="str">
        <f t="shared" si="2330"/>
        <v>04-08-2020</v>
      </c>
      <c r="N5701" t="str">
        <f t="shared" si="2311"/>
        <v>001105018356</v>
      </c>
      <c r="O5701" t="str">
        <f t="shared" si="2312"/>
        <v>MYR</v>
      </c>
      <c r="P5701" t="str">
        <f t="shared" si="2331"/>
        <v>NIL</v>
      </c>
      <c r="Q5701" t="str">
        <f t="shared" si="2331"/>
        <v>NIL</v>
      </c>
      <c r="R5701" t="str">
        <f t="shared" si="2324"/>
        <v>Accepted</v>
      </c>
      <c r="S5701" t="str">
        <f t="shared" si="2313"/>
        <v>Approved</v>
      </c>
      <c r="T5701" t="str">
        <f t="shared" si="2325"/>
        <v>10.20.8.188</v>
      </c>
      <c r="U5701" t="str">
        <f t="shared" si="2314"/>
        <v>AZRAD UMAR BIN SHAARI</v>
      </c>
      <c r="V5701" t="str">
        <f t="shared" si="2315"/>
        <v>FARHANA BINTI MUSTAPA</v>
      </c>
      <c r="W5701" t="str">
        <f t="shared" si="2316"/>
        <v>04-08-2020</v>
      </c>
      <c r="X5701" t="str">
        <f t="shared" si="2317"/>
        <v>RAZIMAH ANSAR AHMAD</v>
      </c>
      <c r="Y5701" t="str">
        <f t="shared" si="2318"/>
        <v>04-08-2020</v>
      </c>
      <c r="Z5701" t="str">
        <f>"COS10200804 3453"</f>
        <v>COS10200804 3453</v>
      </c>
    </row>
    <row r="5702" spans="1:26" x14ac:dyDescent="0.25">
      <c r="A5702" t="str">
        <f t="shared" si="2328"/>
        <v>04-08-2020 12:45:31</v>
      </c>
      <c r="B5702" t="str">
        <f>"0000805222"</f>
        <v>0000805222</v>
      </c>
      <c r="C5702" t="str">
        <f t="shared" si="2329"/>
        <v>0000805170</v>
      </c>
      <c r="D5702" t="str">
        <f t="shared" si="2308"/>
        <v>73185</v>
      </c>
      <c r="E5702" t="str">
        <f t="shared" si="2309"/>
        <v>KFH-OPERATIONS DEPARTMENT</v>
      </c>
      <c r="F5702" t="str">
        <f t="shared" si="2310"/>
        <v>IBG</v>
      </c>
      <c r="G5702" t="str">
        <f t="shared" si="2319"/>
        <v>Refund COSHARE 10</v>
      </c>
      <c r="H5702" s="2">
        <v>1368.4</v>
      </c>
      <c r="I5702" t="str">
        <f>"RUSMILAWATI BINTI ABDULLAH"</f>
        <v>RUSMILAWATI BINTI ABDULLAH</v>
      </c>
      <c r="J5702" t="str">
        <f t="shared" si="2332"/>
        <v>CIMB BANK / CIMB ISLAMIC BANK</v>
      </c>
      <c r="K5702" t="str">
        <f>"7025400580"</f>
        <v>7025400580</v>
      </c>
      <c r="L5702" t="str">
        <f t="shared" si="2330"/>
        <v>04-08-2020</v>
      </c>
      <c r="M5702" t="str">
        <f t="shared" si="2330"/>
        <v>04-08-2020</v>
      </c>
      <c r="N5702" t="str">
        <f t="shared" si="2311"/>
        <v>001105018356</v>
      </c>
      <c r="O5702" t="str">
        <f t="shared" si="2312"/>
        <v>MYR</v>
      </c>
      <c r="P5702" t="str">
        <f t="shared" si="2331"/>
        <v>NIL</v>
      </c>
      <c r="Q5702" t="str">
        <f t="shared" si="2331"/>
        <v>NIL</v>
      </c>
      <c r="R5702" t="str">
        <f t="shared" si="2324"/>
        <v>Accepted</v>
      </c>
      <c r="S5702" t="str">
        <f t="shared" si="2313"/>
        <v>Approved</v>
      </c>
      <c r="T5702" t="str">
        <f t="shared" si="2325"/>
        <v>10.20.8.188</v>
      </c>
      <c r="U5702" t="str">
        <f t="shared" si="2314"/>
        <v>AZRAD UMAR BIN SHAARI</v>
      </c>
      <c r="V5702" t="str">
        <f t="shared" si="2315"/>
        <v>FARHANA BINTI MUSTAPA</v>
      </c>
      <c r="W5702" t="str">
        <f t="shared" si="2316"/>
        <v>04-08-2020</v>
      </c>
      <c r="X5702" t="str">
        <f t="shared" si="2317"/>
        <v>RAZIMAH ANSAR AHMAD</v>
      </c>
      <c r="Y5702" t="str">
        <f t="shared" si="2318"/>
        <v>04-08-2020</v>
      </c>
      <c r="Z5702" t="str">
        <f>"COS10200804 3452"</f>
        <v>COS10200804 3452</v>
      </c>
    </row>
    <row r="5703" spans="1:26" x14ac:dyDescent="0.25">
      <c r="A5703" t="str">
        <f t="shared" si="2328"/>
        <v>04-08-2020 12:45:31</v>
      </c>
      <c r="B5703" t="str">
        <f>"0000805221"</f>
        <v>0000805221</v>
      </c>
      <c r="C5703" t="str">
        <f t="shared" si="2329"/>
        <v>0000805170</v>
      </c>
      <c r="D5703" t="str">
        <f t="shared" ref="D5703:D5766" si="2333">"73185"</f>
        <v>73185</v>
      </c>
      <c r="E5703" t="str">
        <f t="shared" ref="E5703:E5766" si="2334">"KFH-OPERATIONS DEPARTMENT"</f>
        <v>KFH-OPERATIONS DEPARTMENT</v>
      </c>
      <c r="F5703" t="str">
        <f t="shared" ref="F5703:F5766" si="2335">"IBG"</f>
        <v>IBG</v>
      </c>
      <c r="G5703" t="str">
        <f t="shared" si="2319"/>
        <v>Refund COSHARE 10</v>
      </c>
      <c r="H5703" s="2">
        <v>856.3</v>
      </c>
      <c r="I5703" t="str">
        <f>"RUSMAIZURA BINTI YAHAYA"</f>
        <v>RUSMAIZURA BINTI YAHAYA</v>
      </c>
      <c r="J5703" t="str">
        <f t="shared" si="2332"/>
        <v>CIMB BANK / CIMB ISLAMIC BANK</v>
      </c>
      <c r="K5703" t="str">
        <f>"7045394043"</f>
        <v>7045394043</v>
      </c>
      <c r="L5703" t="str">
        <f t="shared" si="2330"/>
        <v>04-08-2020</v>
      </c>
      <c r="M5703" t="str">
        <f t="shared" si="2330"/>
        <v>04-08-2020</v>
      </c>
      <c r="N5703" t="str">
        <f t="shared" ref="N5703:N5766" si="2336">"001105018356"</f>
        <v>001105018356</v>
      </c>
      <c r="O5703" t="str">
        <f t="shared" ref="O5703:O5766" si="2337">"MYR"</f>
        <v>MYR</v>
      </c>
      <c r="P5703" t="str">
        <f t="shared" si="2331"/>
        <v>NIL</v>
      </c>
      <c r="Q5703" t="str">
        <f t="shared" si="2331"/>
        <v>NIL</v>
      </c>
      <c r="R5703" t="str">
        <f t="shared" si="2324"/>
        <v>Accepted</v>
      </c>
      <c r="S5703" t="str">
        <f t="shared" ref="S5703:S5766" si="2338">"Approved"</f>
        <v>Approved</v>
      </c>
      <c r="T5703" t="str">
        <f t="shared" si="2325"/>
        <v>10.20.8.188</v>
      </c>
      <c r="U5703" t="str">
        <f t="shared" ref="U5703:U5766" si="2339">"AZRAD UMAR BIN SHAARI"</f>
        <v>AZRAD UMAR BIN SHAARI</v>
      </c>
      <c r="V5703" t="str">
        <f t="shared" ref="V5703:V5766" si="2340">"FARHANA BINTI MUSTAPA"</f>
        <v>FARHANA BINTI MUSTAPA</v>
      </c>
      <c r="W5703" t="str">
        <f t="shared" ref="W5703:W5766" si="2341">"04-08-2020"</f>
        <v>04-08-2020</v>
      </c>
      <c r="X5703" t="str">
        <f t="shared" ref="X5703:X5766" si="2342">"RAZIMAH ANSAR AHMAD"</f>
        <v>RAZIMAH ANSAR AHMAD</v>
      </c>
      <c r="Y5703" t="str">
        <f t="shared" ref="Y5703:Y5766" si="2343">"04-08-2020"</f>
        <v>04-08-2020</v>
      </c>
      <c r="Z5703" t="str">
        <f>"COS10200804 3451"</f>
        <v>COS10200804 3451</v>
      </c>
    </row>
    <row r="5704" spans="1:26" x14ac:dyDescent="0.25">
      <c r="A5704" t="str">
        <f t="shared" si="2328"/>
        <v>04-08-2020 12:45:31</v>
      </c>
      <c r="B5704" t="str">
        <f>"0000805220"</f>
        <v>0000805220</v>
      </c>
      <c r="C5704" t="str">
        <f t="shared" si="2329"/>
        <v>0000805170</v>
      </c>
      <c r="D5704" t="str">
        <f t="shared" si="2333"/>
        <v>73185</v>
      </c>
      <c r="E5704" t="str">
        <f t="shared" si="2334"/>
        <v>KFH-OPERATIONS DEPARTMENT</v>
      </c>
      <c r="F5704" t="str">
        <f t="shared" si="2335"/>
        <v>IBG</v>
      </c>
      <c r="G5704" t="str">
        <f t="shared" si="2319"/>
        <v>Refund COSHARE 10</v>
      </c>
      <c r="H5704" s="2">
        <v>839.5</v>
      </c>
      <c r="I5704" t="str">
        <f>"RUSLINA BINTI MD HUSAIN"</f>
        <v>RUSLINA BINTI MD HUSAIN</v>
      </c>
      <c r="J5704" t="str">
        <f t="shared" si="2332"/>
        <v>CIMB BANK / CIMB ISLAMIC BANK</v>
      </c>
      <c r="K5704" t="str">
        <f>"05030659586520"</f>
        <v>05030659586520</v>
      </c>
      <c r="L5704" t="str">
        <f t="shared" si="2330"/>
        <v>04-08-2020</v>
      </c>
      <c r="M5704" t="str">
        <f t="shared" si="2330"/>
        <v>04-08-2020</v>
      </c>
      <c r="N5704" t="str">
        <f t="shared" si="2336"/>
        <v>001105018356</v>
      </c>
      <c r="O5704" t="str">
        <f t="shared" si="2337"/>
        <v>MYR</v>
      </c>
      <c r="P5704" t="str">
        <f t="shared" si="2331"/>
        <v>NIL</v>
      </c>
      <c r="Q5704" t="str">
        <f t="shared" si="2331"/>
        <v>NIL</v>
      </c>
      <c r="R5704" t="str">
        <f t="shared" si="2324"/>
        <v>Accepted</v>
      </c>
      <c r="S5704" t="str">
        <f t="shared" si="2338"/>
        <v>Approved</v>
      </c>
      <c r="T5704" t="str">
        <f t="shared" si="2325"/>
        <v>10.20.8.188</v>
      </c>
      <c r="U5704" t="str">
        <f t="shared" si="2339"/>
        <v>AZRAD UMAR BIN SHAARI</v>
      </c>
      <c r="V5704" t="str">
        <f t="shared" si="2340"/>
        <v>FARHANA BINTI MUSTAPA</v>
      </c>
      <c r="W5704" t="str">
        <f t="shared" si="2341"/>
        <v>04-08-2020</v>
      </c>
      <c r="X5704" t="str">
        <f t="shared" si="2342"/>
        <v>RAZIMAH ANSAR AHMAD</v>
      </c>
      <c r="Y5704" t="str">
        <f t="shared" si="2343"/>
        <v>04-08-2020</v>
      </c>
      <c r="Z5704" t="str">
        <f>"COS10200804 3450"</f>
        <v>COS10200804 3450</v>
      </c>
    </row>
    <row r="5705" spans="1:26" x14ac:dyDescent="0.25">
      <c r="A5705" t="str">
        <f t="shared" si="2328"/>
        <v>04-08-2020 12:45:31</v>
      </c>
      <c r="B5705" t="str">
        <f>"0000805219"</f>
        <v>0000805219</v>
      </c>
      <c r="C5705" t="str">
        <f t="shared" si="2329"/>
        <v>0000805170</v>
      </c>
      <c r="D5705" t="str">
        <f t="shared" si="2333"/>
        <v>73185</v>
      </c>
      <c r="E5705" t="str">
        <f t="shared" si="2334"/>
        <v>KFH-OPERATIONS DEPARTMENT</v>
      </c>
      <c r="F5705" t="str">
        <f t="shared" si="2335"/>
        <v>IBG</v>
      </c>
      <c r="G5705" t="str">
        <f t="shared" si="2319"/>
        <v>Refund COSHARE 10</v>
      </c>
      <c r="H5705" s="2">
        <v>839.5</v>
      </c>
      <c r="I5705" t="str">
        <f>"RUSLIDAWATI BINTI RAMLI"</f>
        <v>RUSLIDAWATI BINTI RAMLI</v>
      </c>
      <c r="J5705" t="str">
        <f t="shared" si="2332"/>
        <v>CIMB BANK / CIMB ISLAMIC BANK</v>
      </c>
      <c r="K5705" t="str">
        <f>"7612545581"</f>
        <v>7612545581</v>
      </c>
      <c r="L5705" t="str">
        <f t="shared" si="2330"/>
        <v>04-08-2020</v>
      </c>
      <c r="M5705" t="str">
        <f t="shared" si="2330"/>
        <v>04-08-2020</v>
      </c>
      <c r="N5705" t="str">
        <f t="shared" si="2336"/>
        <v>001105018356</v>
      </c>
      <c r="O5705" t="str">
        <f t="shared" si="2337"/>
        <v>MYR</v>
      </c>
      <c r="P5705" t="str">
        <f t="shared" si="2331"/>
        <v>NIL</v>
      </c>
      <c r="Q5705" t="str">
        <f t="shared" si="2331"/>
        <v>NIL</v>
      </c>
      <c r="R5705" t="str">
        <f t="shared" si="2324"/>
        <v>Accepted</v>
      </c>
      <c r="S5705" t="str">
        <f t="shared" si="2338"/>
        <v>Approved</v>
      </c>
      <c r="T5705" t="str">
        <f t="shared" si="2325"/>
        <v>10.20.8.188</v>
      </c>
      <c r="U5705" t="str">
        <f t="shared" si="2339"/>
        <v>AZRAD UMAR BIN SHAARI</v>
      </c>
      <c r="V5705" t="str">
        <f t="shared" si="2340"/>
        <v>FARHANA BINTI MUSTAPA</v>
      </c>
      <c r="W5705" t="str">
        <f t="shared" si="2341"/>
        <v>04-08-2020</v>
      </c>
      <c r="X5705" t="str">
        <f t="shared" si="2342"/>
        <v>RAZIMAH ANSAR AHMAD</v>
      </c>
      <c r="Y5705" t="str">
        <f t="shared" si="2343"/>
        <v>04-08-2020</v>
      </c>
      <c r="Z5705" t="str">
        <f>"COS10200804 3449"</f>
        <v>COS10200804 3449</v>
      </c>
    </row>
    <row r="5706" spans="1:26" x14ac:dyDescent="0.25">
      <c r="A5706" t="str">
        <f t="shared" si="2328"/>
        <v>04-08-2020 12:45:31</v>
      </c>
      <c r="B5706" t="str">
        <f>"0000805218"</f>
        <v>0000805218</v>
      </c>
      <c r="C5706" t="str">
        <f t="shared" si="2329"/>
        <v>0000805170</v>
      </c>
      <c r="D5706" t="str">
        <f t="shared" si="2333"/>
        <v>73185</v>
      </c>
      <c r="E5706" t="str">
        <f t="shared" si="2334"/>
        <v>KFH-OPERATIONS DEPARTMENT</v>
      </c>
      <c r="F5706" t="str">
        <f t="shared" si="2335"/>
        <v>IBG</v>
      </c>
      <c r="G5706" t="str">
        <f t="shared" si="2319"/>
        <v>Refund COSHARE 10</v>
      </c>
      <c r="H5706" s="2">
        <v>356.85</v>
      </c>
      <c r="I5706" t="str">
        <f>"RUSLI BIN ABD RAHMAN"</f>
        <v>RUSLI BIN ABD RAHMAN</v>
      </c>
      <c r="J5706" t="str">
        <f t="shared" si="2332"/>
        <v>CIMB BANK / CIMB ISLAMIC BANK</v>
      </c>
      <c r="K5706" t="str">
        <f>"12150038171525"</f>
        <v>12150038171525</v>
      </c>
      <c r="L5706" t="str">
        <f t="shared" si="2330"/>
        <v>04-08-2020</v>
      </c>
      <c r="M5706" t="str">
        <f t="shared" si="2330"/>
        <v>04-08-2020</v>
      </c>
      <c r="N5706" t="str">
        <f t="shared" si="2336"/>
        <v>001105018356</v>
      </c>
      <c r="O5706" t="str">
        <f t="shared" si="2337"/>
        <v>MYR</v>
      </c>
      <c r="P5706" t="str">
        <f t="shared" si="2331"/>
        <v>NIL</v>
      </c>
      <c r="Q5706" t="str">
        <f t="shared" si="2331"/>
        <v>NIL</v>
      </c>
      <c r="R5706" t="str">
        <f t="shared" si="2324"/>
        <v>Accepted</v>
      </c>
      <c r="S5706" t="str">
        <f t="shared" si="2338"/>
        <v>Approved</v>
      </c>
      <c r="T5706" t="str">
        <f t="shared" si="2325"/>
        <v>10.20.8.188</v>
      </c>
      <c r="U5706" t="str">
        <f t="shared" si="2339"/>
        <v>AZRAD UMAR BIN SHAARI</v>
      </c>
      <c r="V5706" t="str">
        <f t="shared" si="2340"/>
        <v>FARHANA BINTI MUSTAPA</v>
      </c>
      <c r="W5706" t="str">
        <f t="shared" si="2341"/>
        <v>04-08-2020</v>
      </c>
      <c r="X5706" t="str">
        <f t="shared" si="2342"/>
        <v>RAZIMAH ANSAR AHMAD</v>
      </c>
      <c r="Y5706" t="str">
        <f t="shared" si="2343"/>
        <v>04-08-2020</v>
      </c>
      <c r="Z5706" t="str">
        <f>"COS10200804 3448"</f>
        <v>COS10200804 3448</v>
      </c>
    </row>
    <row r="5707" spans="1:26" x14ac:dyDescent="0.25">
      <c r="A5707" t="str">
        <f t="shared" si="2328"/>
        <v>04-08-2020 12:45:31</v>
      </c>
      <c r="B5707" t="str">
        <f>"0000805217"</f>
        <v>0000805217</v>
      </c>
      <c r="C5707" t="str">
        <f t="shared" si="2329"/>
        <v>0000805170</v>
      </c>
      <c r="D5707" t="str">
        <f t="shared" si="2333"/>
        <v>73185</v>
      </c>
      <c r="E5707" t="str">
        <f t="shared" si="2334"/>
        <v>KFH-OPERATIONS DEPARTMENT</v>
      </c>
      <c r="F5707" t="str">
        <f t="shared" si="2335"/>
        <v>IBG</v>
      </c>
      <c r="G5707" t="str">
        <f t="shared" si="2319"/>
        <v>Refund COSHARE 10</v>
      </c>
      <c r="H5707" s="2">
        <v>117.55</v>
      </c>
      <c r="I5707" t="str">
        <f>"RUSILA BINTI MUHAMMAD"</f>
        <v>RUSILA BINTI MUHAMMAD</v>
      </c>
      <c r="J5707" t="str">
        <f t="shared" si="2332"/>
        <v>CIMB BANK / CIMB ISLAMIC BANK</v>
      </c>
      <c r="K5707" t="str">
        <f>"7606295864"</f>
        <v>7606295864</v>
      </c>
      <c r="L5707" t="str">
        <f t="shared" ref="L5707:M5726" si="2344">"04-08-2020"</f>
        <v>04-08-2020</v>
      </c>
      <c r="M5707" t="str">
        <f t="shared" si="2344"/>
        <v>04-08-2020</v>
      </c>
      <c r="N5707" t="str">
        <f t="shared" si="2336"/>
        <v>001105018356</v>
      </c>
      <c r="O5707" t="str">
        <f t="shared" si="2337"/>
        <v>MYR</v>
      </c>
      <c r="P5707" t="str">
        <f t="shared" ref="P5707:Q5726" si="2345">"NIL"</f>
        <v>NIL</v>
      </c>
      <c r="Q5707" t="str">
        <f t="shared" si="2345"/>
        <v>NIL</v>
      </c>
      <c r="R5707" t="str">
        <f t="shared" si="2324"/>
        <v>Accepted</v>
      </c>
      <c r="S5707" t="str">
        <f t="shared" si="2338"/>
        <v>Approved</v>
      </c>
      <c r="T5707" t="str">
        <f t="shared" si="2325"/>
        <v>10.20.8.188</v>
      </c>
      <c r="U5707" t="str">
        <f t="shared" si="2339"/>
        <v>AZRAD UMAR BIN SHAARI</v>
      </c>
      <c r="V5707" t="str">
        <f t="shared" si="2340"/>
        <v>FARHANA BINTI MUSTAPA</v>
      </c>
      <c r="W5707" t="str">
        <f t="shared" si="2341"/>
        <v>04-08-2020</v>
      </c>
      <c r="X5707" t="str">
        <f t="shared" si="2342"/>
        <v>RAZIMAH ANSAR AHMAD</v>
      </c>
      <c r="Y5707" t="str">
        <f t="shared" si="2343"/>
        <v>04-08-2020</v>
      </c>
      <c r="Z5707" t="str">
        <f>"COS10200804 3447"</f>
        <v>COS10200804 3447</v>
      </c>
    </row>
    <row r="5708" spans="1:26" x14ac:dyDescent="0.25">
      <c r="A5708" t="str">
        <f t="shared" si="2328"/>
        <v>04-08-2020 12:45:31</v>
      </c>
      <c r="B5708" t="str">
        <f>"0000805216"</f>
        <v>0000805216</v>
      </c>
      <c r="C5708" t="str">
        <f t="shared" si="2329"/>
        <v>0000805170</v>
      </c>
      <c r="D5708" t="str">
        <f t="shared" si="2333"/>
        <v>73185</v>
      </c>
      <c r="E5708" t="str">
        <f t="shared" si="2334"/>
        <v>KFH-OPERATIONS DEPARTMENT</v>
      </c>
      <c r="F5708" t="str">
        <f t="shared" si="2335"/>
        <v>IBG</v>
      </c>
      <c r="G5708" t="str">
        <f t="shared" ref="G5708:G5771" si="2346">"Refund COSHARE 10"</f>
        <v>Refund COSHARE 10</v>
      </c>
      <c r="H5708" s="2">
        <v>444.65</v>
      </c>
      <c r="I5708" t="str">
        <f>"RUSDAH BINTI KINSIL"</f>
        <v>RUSDAH BINTI KINSIL</v>
      </c>
      <c r="J5708" t="str">
        <f t="shared" si="2332"/>
        <v>CIMB BANK / CIMB ISLAMIC BANK</v>
      </c>
      <c r="K5708" t="str">
        <f>"10040025730527"</f>
        <v>10040025730527</v>
      </c>
      <c r="L5708" t="str">
        <f t="shared" si="2344"/>
        <v>04-08-2020</v>
      </c>
      <c r="M5708" t="str">
        <f t="shared" si="2344"/>
        <v>04-08-2020</v>
      </c>
      <c r="N5708" t="str">
        <f t="shared" si="2336"/>
        <v>001105018356</v>
      </c>
      <c r="O5708" t="str">
        <f t="shared" si="2337"/>
        <v>MYR</v>
      </c>
      <c r="P5708" t="str">
        <f t="shared" si="2345"/>
        <v>NIL</v>
      </c>
      <c r="Q5708" t="str">
        <f t="shared" si="2345"/>
        <v>NIL</v>
      </c>
      <c r="R5708" t="str">
        <f t="shared" si="2324"/>
        <v>Accepted</v>
      </c>
      <c r="S5708" t="str">
        <f t="shared" si="2338"/>
        <v>Approved</v>
      </c>
      <c r="T5708" t="str">
        <f t="shared" si="2325"/>
        <v>10.20.8.188</v>
      </c>
      <c r="U5708" t="str">
        <f t="shared" si="2339"/>
        <v>AZRAD UMAR BIN SHAARI</v>
      </c>
      <c r="V5708" t="str">
        <f t="shared" si="2340"/>
        <v>FARHANA BINTI MUSTAPA</v>
      </c>
      <c r="W5708" t="str">
        <f t="shared" si="2341"/>
        <v>04-08-2020</v>
      </c>
      <c r="X5708" t="str">
        <f t="shared" si="2342"/>
        <v>RAZIMAH ANSAR AHMAD</v>
      </c>
      <c r="Y5708" t="str">
        <f t="shared" si="2343"/>
        <v>04-08-2020</v>
      </c>
      <c r="Z5708" t="str">
        <f>"COS10200804 3446"</f>
        <v>COS10200804 3446</v>
      </c>
    </row>
    <row r="5709" spans="1:26" x14ac:dyDescent="0.25">
      <c r="A5709" t="str">
        <f t="shared" si="2328"/>
        <v>04-08-2020 12:45:31</v>
      </c>
      <c r="B5709" t="str">
        <f>"0000805215"</f>
        <v>0000805215</v>
      </c>
      <c r="C5709" t="str">
        <f t="shared" si="2329"/>
        <v>0000805170</v>
      </c>
      <c r="D5709" t="str">
        <f t="shared" si="2333"/>
        <v>73185</v>
      </c>
      <c r="E5709" t="str">
        <f t="shared" si="2334"/>
        <v>KFH-OPERATIONS DEPARTMENT</v>
      </c>
      <c r="F5709" t="str">
        <f t="shared" si="2335"/>
        <v>IBG</v>
      </c>
      <c r="G5709" t="str">
        <f t="shared" si="2346"/>
        <v>Refund COSHARE 10</v>
      </c>
      <c r="H5709" s="2">
        <v>83.95</v>
      </c>
      <c r="I5709" t="str">
        <f>"RUMA ANAK EDWARD TINCHANG"</f>
        <v>RUMA ANAK EDWARD TINCHANG</v>
      </c>
      <c r="J5709" t="str">
        <f t="shared" si="2332"/>
        <v>CIMB BANK / CIMB ISLAMIC BANK</v>
      </c>
      <c r="K5709" t="str">
        <f>"11050075963527"</f>
        <v>11050075963527</v>
      </c>
      <c r="L5709" t="str">
        <f t="shared" si="2344"/>
        <v>04-08-2020</v>
      </c>
      <c r="M5709" t="str">
        <f t="shared" si="2344"/>
        <v>04-08-2020</v>
      </c>
      <c r="N5709" t="str">
        <f t="shared" si="2336"/>
        <v>001105018356</v>
      </c>
      <c r="O5709" t="str">
        <f t="shared" si="2337"/>
        <v>MYR</v>
      </c>
      <c r="P5709" t="str">
        <f t="shared" si="2345"/>
        <v>NIL</v>
      </c>
      <c r="Q5709" t="str">
        <f t="shared" si="2345"/>
        <v>NIL</v>
      </c>
      <c r="R5709" t="str">
        <f t="shared" si="2324"/>
        <v>Accepted</v>
      </c>
      <c r="S5709" t="str">
        <f t="shared" si="2338"/>
        <v>Approved</v>
      </c>
      <c r="T5709" t="str">
        <f t="shared" si="2325"/>
        <v>10.20.8.188</v>
      </c>
      <c r="U5709" t="str">
        <f t="shared" si="2339"/>
        <v>AZRAD UMAR BIN SHAARI</v>
      </c>
      <c r="V5709" t="str">
        <f t="shared" si="2340"/>
        <v>FARHANA BINTI MUSTAPA</v>
      </c>
      <c r="W5709" t="str">
        <f t="shared" si="2341"/>
        <v>04-08-2020</v>
      </c>
      <c r="X5709" t="str">
        <f t="shared" si="2342"/>
        <v>RAZIMAH ANSAR AHMAD</v>
      </c>
      <c r="Y5709" t="str">
        <f t="shared" si="2343"/>
        <v>04-08-2020</v>
      </c>
      <c r="Z5709" t="str">
        <f>"COS10200804 3445"</f>
        <v>COS10200804 3445</v>
      </c>
    </row>
    <row r="5710" spans="1:26" x14ac:dyDescent="0.25">
      <c r="A5710" t="str">
        <f t="shared" si="2328"/>
        <v>04-08-2020 12:45:31</v>
      </c>
      <c r="B5710" t="str">
        <f>"0000805214"</f>
        <v>0000805214</v>
      </c>
      <c r="C5710" t="str">
        <f t="shared" si="2329"/>
        <v>0000805170</v>
      </c>
      <c r="D5710" t="str">
        <f t="shared" si="2333"/>
        <v>73185</v>
      </c>
      <c r="E5710" t="str">
        <f t="shared" si="2334"/>
        <v>KFH-OPERATIONS DEPARTMENT</v>
      </c>
      <c r="F5710" t="str">
        <f t="shared" si="2335"/>
        <v>IBG</v>
      </c>
      <c r="G5710" t="str">
        <f t="shared" si="2346"/>
        <v>Refund COSHARE 10</v>
      </c>
      <c r="H5710" s="2">
        <v>598</v>
      </c>
      <c r="I5710" t="str">
        <f>"RULIAH BINTI SHAMSURI"</f>
        <v>RULIAH BINTI SHAMSURI</v>
      </c>
      <c r="J5710" t="str">
        <f t="shared" si="2332"/>
        <v>CIMB BANK / CIMB ISLAMIC BANK</v>
      </c>
      <c r="K5710" t="str">
        <f>"12010361096524"</f>
        <v>12010361096524</v>
      </c>
      <c r="L5710" t="str">
        <f t="shared" si="2344"/>
        <v>04-08-2020</v>
      </c>
      <c r="M5710" t="str">
        <f t="shared" si="2344"/>
        <v>04-08-2020</v>
      </c>
      <c r="N5710" t="str">
        <f t="shared" si="2336"/>
        <v>001105018356</v>
      </c>
      <c r="O5710" t="str">
        <f t="shared" si="2337"/>
        <v>MYR</v>
      </c>
      <c r="P5710" t="str">
        <f t="shared" si="2345"/>
        <v>NIL</v>
      </c>
      <c r="Q5710" t="str">
        <f t="shared" si="2345"/>
        <v>NIL</v>
      </c>
      <c r="R5710" t="str">
        <f t="shared" si="2324"/>
        <v>Accepted</v>
      </c>
      <c r="S5710" t="str">
        <f t="shared" si="2338"/>
        <v>Approved</v>
      </c>
      <c r="T5710" t="str">
        <f t="shared" si="2325"/>
        <v>10.20.8.188</v>
      </c>
      <c r="U5710" t="str">
        <f t="shared" si="2339"/>
        <v>AZRAD UMAR BIN SHAARI</v>
      </c>
      <c r="V5710" t="str">
        <f t="shared" si="2340"/>
        <v>FARHANA BINTI MUSTAPA</v>
      </c>
      <c r="W5710" t="str">
        <f t="shared" si="2341"/>
        <v>04-08-2020</v>
      </c>
      <c r="X5710" t="str">
        <f t="shared" si="2342"/>
        <v>RAZIMAH ANSAR AHMAD</v>
      </c>
      <c r="Y5710" t="str">
        <f t="shared" si="2343"/>
        <v>04-08-2020</v>
      </c>
      <c r="Z5710" t="str">
        <f>"COS10200804 3444"</f>
        <v>COS10200804 3444</v>
      </c>
    </row>
    <row r="5711" spans="1:26" x14ac:dyDescent="0.25">
      <c r="A5711" t="str">
        <f t="shared" si="2328"/>
        <v>04-08-2020 12:45:31</v>
      </c>
      <c r="B5711" t="str">
        <f>"0000805213"</f>
        <v>0000805213</v>
      </c>
      <c r="C5711" t="str">
        <f t="shared" si="2329"/>
        <v>0000805170</v>
      </c>
      <c r="D5711" t="str">
        <f t="shared" si="2333"/>
        <v>73185</v>
      </c>
      <c r="E5711" t="str">
        <f t="shared" si="2334"/>
        <v>KFH-OPERATIONS DEPARTMENT</v>
      </c>
      <c r="F5711" t="str">
        <f t="shared" si="2335"/>
        <v>IBG</v>
      </c>
      <c r="G5711" t="str">
        <f t="shared" si="2346"/>
        <v>Refund COSHARE 10</v>
      </c>
      <c r="H5711" s="2">
        <v>911</v>
      </c>
      <c r="I5711" t="str">
        <f>"RUHANAH BINTI RADIN"</f>
        <v>RUHANAH BINTI RADIN</v>
      </c>
      <c r="J5711" t="str">
        <f t="shared" si="2332"/>
        <v>CIMB BANK / CIMB ISLAMIC BANK</v>
      </c>
      <c r="K5711" t="str">
        <f>"7037632953"</f>
        <v>7037632953</v>
      </c>
      <c r="L5711" t="str">
        <f t="shared" si="2344"/>
        <v>04-08-2020</v>
      </c>
      <c r="M5711" t="str">
        <f t="shared" si="2344"/>
        <v>04-08-2020</v>
      </c>
      <c r="N5711" t="str">
        <f t="shared" si="2336"/>
        <v>001105018356</v>
      </c>
      <c r="O5711" t="str">
        <f t="shared" si="2337"/>
        <v>MYR</v>
      </c>
      <c r="P5711" t="str">
        <f t="shared" si="2345"/>
        <v>NIL</v>
      </c>
      <c r="Q5711" t="str">
        <f t="shared" si="2345"/>
        <v>NIL</v>
      </c>
      <c r="R5711" t="str">
        <f t="shared" si="2324"/>
        <v>Accepted</v>
      </c>
      <c r="S5711" t="str">
        <f t="shared" si="2338"/>
        <v>Approved</v>
      </c>
      <c r="T5711" t="str">
        <f t="shared" si="2325"/>
        <v>10.20.8.188</v>
      </c>
      <c r="U5711" t="str">
        <f t="shared" si="2339"/>
        <v>AZRAD UMAR BIN SHAARI</v>
      </c>
      <c r="V5711" t="str">
        <f t="shared" si="2340"/>
        <v>FARHANA BINTI MUSTAPA</v>
      </c>
      <c r="W5711" t="str">
        <f t="shared" si="2341"/>
        <v>04-08-2020</v>
      </c>
      <c r="X5711" t="str">
        <f t="shared" si="2342"/>
        <v>RAZIMAH ANSAR AHMAD</v>
      </c>
      <c r="Y5711" t="str">
        <f t="shared" si="2343"/>
        <v>04-08-2020</v>
      </c>
      <c r="Z5711" t="str">
        <f>"COS10200804 3443"</f>
        <v>COS10200804 3443</v>
      </c>
    </row>
    <row r="5712" spans="1:26" x14ac:dyDescent="0.25">
      <c r="A5712" t="str">
        <f t="shared" si="2328"/>
        <v>04-08-2020 12:45:31</v>
      </c>
      <c r="B5712" t="str">
        <f>"0000805212"</f>
        <v>0000805212</v>
      </c>
      <c r="C5712" t="str">
        <f t="shared" si="2329"/>
        <v>0000805170</v>
      </c>
      <c r="D5712" t="str">
        <f t="shared" si="2333"/>
        <v>73185</v>
      </c>
      <c r="E5712" t="str">
        <f t="shared" si="2334"/>
        <v>KFH-OPERATIONS DEPARTMENT</v>
      </c>
      <c r="F5712" t="str">
        <f t="shared" si="2335"/>
        <v>IBG</v>
      </c>
      <c r="G5712" t="str">
        <f t="shared" si="2346"/>
        <v>Refund COSHARE 10</v>
      </c>
      <c r="H5712" s="2">
        <v>587.65</v>
      </c>
      <c r="I5712" t="str">
        <f>"RUFINA BINTI FRANCIS"</f>
        <v>RUFINA BINTI FRANCIS</v>
      </c>
      <c r="J5712" t="str">
        <f t="shared" si="2332"/>
        <v>CIMB BANK / CIMB ISLAMIC BANK</v>
      </c>
      <c r="K5712" t="str">
        <f>"10030062173521"</f>
        <v>10030062173521</v>
      </c>
      <c r="L5712" t="str">
        <f t="shared" si="2344"/>
        <v>04-08-2020</v>
      </c>
      <c r="M5712" t="str">
        <f t="shared" si="2344"/>
        <v>04-08-2020</v>
      </c>
      <c r="N5712" t="str">
        <f t="shared" si="2336"/>
        <v>001105018356</v>
      </c>
      <c r="O5712" t="str">
        <f t="shared" si="2337"/>
        <v>MYR</v>
      </c>
      <c r="P5712" t="str">
        <f t="shared" si="2345"/>
        <v>NIL</v>
      </c>
      <c r="Q5712" t="str">
        <f t="shared" si="2345"/>
        <v>NIL</v>
      </c>
      <c r="R5712" t="str">
        <f t="shared" si="2324"/>
        <v>Accepted</v>
      </c>
      <c r="S5712" t="str">
        <f t="shared" si="2338"/>
        <v>Approved</v>
      </c>
      <c r="T5712" t="str">
        <f t="shared" si="2325"/>
        <v>10.20.8.188</v>
      </c>
      <c r="U5712" t="str">
        <f t="shared" si="2339"/>
        <v>AZRAD UMAR BIN SHAARI</v>
      </c>
      <c r="V5712" t="str">
        <f t="shared" si="2340"/>
        <v>FARHANA BINTI MUSTAPA</v>
      </c>
      <c r="W5712" t="str">
        <f t="shared" si="2341"/>
        <v>04-08-2020</v>
      </c>
      <c r="X5712" t="str">
        <f t="shared" si="2342"/>
        <v>RAZIMAH ANSAR AHMAD</v>
      </c>
      <c r="Y5712" t="str">
        <f t="shared" si="2343"/>
        <v>04-08-2020</v>
      </c>
      <c r="Z5712" t="str">
        <f>"COS10200804 3442"</f>
        <v>COS10200804 3442</v>
      </c>
    </row>
    <row r="5713" spans="1:26" x14ac:dyDescent="0.25">
      <c r="A5713" t="str">
        <f t="shared" si="2328"/>
        <v>04-08-2020 12:45:31</v>
      </c>
      <c r="B5713" t="str">
        <f>"0000805211"</f>
        <v>0000805211</v>
      </c>
      <c r="C5713" t="str">
        <f t="shared" si="2329"/>
        <v>0000805170</v>
      </c>
      <c r="D5713" t="str">
        <f t="shared" si="2333"/>
        <v>73185</v>
      </c>
      <c r="E5713" t="str">
        <f t="shared" si="2334"/>
        <v>KFH-OPERATIONS DEPARTMENT</v>
      </c>
      <c r="F5713" t="str">
        <f t="shared" si="2335"/>
        <v>IBG</v>
      </c>
      <c r="G5713" t="str">
        <f t="shared" si="2346"/>
        <v>Refund COSHARE 10</v>
      </c>
      <c r="H5713" s="2">
        <v>1293</v>
      </c>
      <c r="I5713" t="str">
        <f>"RUDDY BIN MARTINI"</f>
        <v>RUDDY BIN MARTINI</v>
      </c>
      <c r="J5713" t="str">
        <f t="shared" si="2332"/>
        <v>CIMB BANK / CIMB ISLAMIC BANK</v>
      </c>
      <c r="K5713" t="str">
        <f>"10030030574523"</f>
        <v>10030030574523</v>
      </c>
      <c r="L5713" t="str">
        <f t="shared" si="2344"/>
        <v>04-08-2020</v>
      </c>
      <c r="M5713" t="str">
        <f t="shared" si="2344"/>
        <v>04-08-2020</v>
      </c>
      <c r="N5713" t="str">
        <f t="shared" si="2336"/>
        <v>001105018356</v>
      </c>
      <c r="O5713" t="str">
        <f t="shared" si="2337"/>
        <v>MYR</v>
      </c>
      <c r="P5713" t="str">
        <f t="shared" si="2345"/>
        <v>NIL</v>
      </c>
      <c r="Q5713" t="str">
        <f t="shared" si="2345"/>
        <v>NIL</v>
      </c>
      <c r="R5713" t="str">
        <f t="shared" si="2324"/>
        <v>Accepted</v>
      </c>
      <c r="S5713" t="str">
        <f t="shared" si="2338"/>
        <v>Approved</v>
      </c>
      <c r="T5713" t="str">
        <f t="shared" si="2325"/>
        <v>10.20.8.188</v>
      </c>
      <c r="U5713" t="str">
        <f t="shared" si="2339"/>
        <v>AZRAD UMAR BIN SHAARI</v>
      </c>
      <c r="V5713" t="str">
        <f t="shared" si="2340"/>
        <v>FARHANA BINTI MUSTAPA</v>
      </c>
      <c r="W5713" t="str">
        <f t="shared" si="2341"/>
        <v>04-08-2020</v>
      </c>
      <c r="X5713" t="str">
        <f t="shared" si="2342"/>
        <v>RAZIMAH ANSAR AHMAD</v>
      </c>
      <c r="Y5713" t="str">
        <f t="shared" si="2343"/>
        <v>04-08-2020</v>
      </c>
      <c r="Z5713" t="str">
        <f>"COS10200804 3441"</f>
        <v>COS10200804 3441</v>
      </c>
    </row>
    <row r="5714" spans="1:26" x14ac:dyDescent="0.25">
      <c r="A5714" t="str">
        <f t="shared" ref="A5714:A5745" si="2347">"04-08-2020 12:45:31"</f>
        <v>04-08-2020 12:45:31</v>
      </c>
      <c r="B5714" t="str">
        <f>"0000805210"</f>
        <v>0000805210</v>
      </c>
      <c r="C5714" t="str">
        <f t="shared" ref="C5714:C5745" si="2348">"0000805170"</f>
        <v>0000805170</v>
      </c>
      <c r="D5714" t="str">
        <f t="shared" si="2333"/>
        <v>73185</v>
      </c>
      <c r="E5714" t="str">
        <f t="shared" si="2334"/>
        <v>KFH-OPERATIONS DEPARTMENT</v>
      </c>
      <c r="F5714" t="str">
        <f t="shared" si="2335"/>
        <v>IBG</v>
      </c>
      <c r="G5714" t="str">
        <f t="shared" si="2346"/>
        <v>Refund COSHARE 10</v>
      </c>
      <c r="H5714" s="2">
        <v>44.35</v>
      </c>
      <c r="I5714" t="str">
        <f>"ROZLITA BINTI PUASA"</f>
        <v>ROZLITA BINTI PUASA</v>
      </c>
      <c r="J5714" t="str">
        <f t="shared" si="2332"/>
        <v>CIMB BANK / CIMB ISLAMIC BANK</v>
      </c>
      <c r="K5714" t="str">
        <f>"12150042169524"</f>
        <v>12150042169524</v>
      </c>
      <c r="L5714" t="str">
        <f t="shared" si="2344"/>
        <v>04-08-2020</v>
      </c>
      <c r="M5714" t="str">
        <f t="shared" si="2344"/>
        <v>04-08-2020</v>
      </c>
      <c r="N5714" t="str">
        <f t="shared" si="2336"/>
        <v>001105018356</v>
      </c>
      <c r="O5714" t="str">
        <f t="shared" si="2337"/>
        <v>MYR</v>
      </c>
      <c r="P5714" t="str">
        <f t="shared" si="2345"/>
        <v>NIL</v>
      </c>
      <c r="Q5714" t="str">
        <f t="shared" si="2345"/>
        <v>NIL</v>
      </c>
      <c r="R5714" t="str">
        <f t="shared" si="2324"/>
        <v>Accepted</v>
      </c>
      <c r="S5714" t="str">
        <f t="shared" si="2338"/>
        <v>Approved</v>
      </c>
      <c r="T5714" t="str">
        <f t="shared" si="2325"/>
        <v>10.20.8.188</v>
      </c>
      <c r="U5714" t="str">
        <f t="shared" si="2339"/>
        <v>AZRAD UMAR BIN SHAARI</v>
      </c>
      <c r="V5714" t="str">
        <f t="shared" si="2340"/>
        <v>FARHANA BINTI MUSTAPA</v>
      </c>
      <c r="W5714" t="str">
        <f t="shared" si="2341"/>
        <v>04-08-2020</v>
      </c>
      <c r="X5714" t="str">
        <f t="shared" si="2342"/>
        <v>RAZIMAH ANSAR AHMAD</v>
      </c>
      <c r="Y5714" t="str">
        <f t="shared" si="2343"/>
        <v>04-08-2020</v>
      </c>
      <c r="Z5714" t="str">
        <f>"COS10200804 3440"</f>
        <v>COS10200804 3440</v>
      </c>
    </row>
    <row r="5715" spans="1:26" x14ac:dyDescent="0.25">
      <c r="A5715" t="str">
        <f t="shared" si="2347"/>
        <v>04-08-2020 12:45:31</v>
      </c>
      <c r="B5715" t="str">
        <f>"0000805209"</f>
        <v>0000805209</v>
      </c>
      <c r="C5715" t="str">
        <f t="shared" si="2348"/>
        <v>0000805170</v>
      </c>
      <c r="D5715" t="str">
        <f t="shared" si="2333"/>
        <v>73185</v>
      </c>
      <c r="E5715" t="str">
        <f t="shared" si="2334"/>
        <v>KFH-OPERATIONS DEPARTMENT</v>
      </c>
      <c r="F5715" t="str">
        <f t="shared" si="2335"/>
        <v>IBG</v>
      </c>
      <c r="G5715" t="str">
        <f t="shared" si="2346"/>
        <v>Refund COSHARE 10</v>
      </c>
      <c r="H5715" s="2">
        <v>251</v>
      </c>
      <c r="I5715" t="str">
        <f>"ROZITA BINTI RAJALI  RAZALI"</f>
        <v>ROZITA BINTI RAJALI  RAZALI</v>
      </c>
      <c r="J5715" t="str">
        <f t="shared" si="2332"/>
        <v>CIMB BANK / CIMB ISLAMIC BANK</v>
      </c>
      <c r="K5715" t="str">
        <f>"03020066034526"</f>
        <v>03020066034526</v>
      </c>
      <c r="L5715" t="str">
        <f t="shared" si="2344"/>
        <v>04-08-2020</v>
      </c>
      <c r="M5715" t="str">
        <f t="shared" si="2344"/>
        <v>04-08-2020</v>
      </c>
      <c r="N5715" t="str">
        <f t="shared" si="2336"/>
        <v>001105018356</v>
      </c>
      <c r="O5715" t="str">
        <f t="shared" si="2337"/>
        <v>MYR</v>
      </c>
      <c r="P5715" t="str">
        <f t="shared" si="2345"/>
        <v>NIL</v>
      </c>
      <c r="Q5715" t="str">
        <f t="shared" si="2345"/>
        <v>NIL</v>
      </c>
      <c r="R5715" t="str">
        <f t="shared" si="2324"/>
        <v>Accepted</v>
      </c>
      <c r="S5715" t="str">
        <f t="shared" si="2338"/>
        <v>Approved</v>
      </c>
      <c r="T5715" t="str">
        <f t="shared" si="2325"/>
        <v>10.20.8.188</v>
      </c>
      <c r="U5715" t="str">
        <f t="shared" si="2339"/>
        <v>AZRAD UMAR BIN SHAARI</v>
      </c>
      <c r="V5715" t="str">
        <f t="shared" si="2340"/>
        <v>FARHANA BINTI MUSTAPA</v>
      </c>
      <c r="W5715" t="str">
        <f t="shared" si="2341"/>
        <v>04-08-2020</v>
      </c>
      <c r="X5715" t="str">
        <f t="shared" si="2342"/>
        <v>RAZIMAH ANSAR AHMAD</v>
      </c>
      <c r="Y5715" t="str">
        <f t="shared" si="2343"/>
        <v>04-08-2020</v>
      </c>
      <c r="Z5715" t="str">
        <f>"COS10200804 3439"</f>
        <v>COS10200804 3439</v>
      </c>
    </row>
    <row r="5716" spans="1:26" x14ac:dyDescent="0.25">
      <c r="A5716" t="str">
        <f t="shared" si="2347"/>
        <v>04-08-2020 12:45:31</v>
      </c>
      <c r="B5716" t="str">
        <f>"0000805208"</f>
        <v>0000805208</v>
      </c>
      <c r="C5716" t="str">
        <f t="shared" si="2348"/>
        <v>0000805170</v>
      </c>
      <c r="D5716" t="str">
        <f t="shared" si="2333"/>
        <v>73185</v>
      </c>
      <c r="E5716" t="str">
        <f t="shared" si="2334"/>
        <v>KFH-OPERATIONS DEPARTMENT</v>
      </c>
      <c r="F5716" t="str">
        <f t="shared" si="2335"/>
        <v>IBG</v>
      </c>
      <c r="G5716" t="str">
        <f t="shared" si="2346"/>
        <v>Refund COSHARE 10</v>
      </c>
      <c r="H5716" s="2">
        <v>596.04999999999995</v>
      </c>
      <c r="I5716" t="str">
        <f>"ROZITA BINTI PANDI"</f>
        <v>ROZITA BINTI PANDI</v>
      </c>
      <c r="J5716" t="str">
        <f t="shared" si="2332"/>
        <v>CIMB BANK / CIMB ISLAMIC BANK</v>
      </c>
      <c r="K5716" t="str">
        <f>"11090071643522"</f>
        <v>11090071643522</v>
      </c>
      <c r="L5716" t="str">
        <f t="shared" si="2344"/>
        <v>04-08-2020</v>
      </c>
      <c r="M5716" t="str">
        <f t="shared" si="2344"/>
        <v>04-08-2020</v>
      </c>
      <c r="N5716" t="str">
        <f t="shared" si="2336"/>
        <v>001105018356</v>
      </c>
      <c r="O5716" t="str">
        <f t="shared" si="2337"/>
        <v>MYR</v>
      </c>
      <c r="P5716" t="str">
        <f t="shared" si="2345"/>
        <v>NIL</v>
      </c>
      <c r="Q5716" t="str">
        <f t="shared" si="2345"/>
        <v>NIL</v>
      </c>
      <c r="R5716" t="str">
        <f t="shared" si="2324"/>
        <v>Accepted</v>
      </c>
      <c r="S5716" t="str">
        <f t="shared" si="2338"/>
        <v>Approved</v>
      </c>
      <c r="T5716" t="str">
        <f t="shared" si="2325"/>
        <v>10.20.8.188</v>
      </c>
      <c r="U5716" t="str">
        <f t="shared" si="2339"/>
        <v>AZRAD UMAR BIN SHAARI</v>
      </c>
      <c r="V5716" t="str">
        <f t="shared" si="2340"/>
        <v>FARHANA BINTI MUSTAPA</v>
      </c>
      <c r="W5716" t="str">
        <f t="shared" si="2341"/>
        <v>04-08-2020</v>
      </c>
      <c r="X5716" t="str">
        <f t="shared" si="2342"/>
        <v>RAZIMAH ANSAR AHMAD</v>
      </c>
      <c r="Y5716" t="str">
        <f t="shared" si="2343"/>
        <v>04-08-2020</v>
      </c>
      <c r="Z5716" t="str">
        <f>"COS10200804 3438"</f>
        <v>COS10200804 3438</v>
      </c>
    </row>
    <row r="5717" spans="1:26" x14ac:dyDescent="0.25">
      <c r="A5717" t="str">
        <f t="shared" si="2347"/>
        <v>04-08-2020 12:45:31</v>
      </c>
      <c r="B5717" t="str">
        <f>"0000805207"</f>
        <v>0000805207</v>
      </c>
      <c r="C5717" t="str">
        <f t="shared" si="2348"/>
        <v>0000805170</v>
      </c>
      <c r="D5717" t="str">
        <f t="shared" si="2333"/>
        <v>73185</v>
      </c>
      <c r="E5717" t="str">
        <f t="shared" si="2334"/>
        <v>KFH-OPERATIONS DEPARTMENT</v>
      </c>
      <c r="F5717" t="str">
        <f t="shared" si="2335"/>
        <v>IBG</v>
      </c>
      <c r="G5717" t="str">
        <f t="shared" si="2346"/>
        <v>Refund COSHARE 10</v>
      </c>
      <c r="H5717" s="2">
        <v>987</v>
      </c>
      <c r="I5717" t="str">
        <f>"ROZITA BINTI HUSSIN"</f>
        <v>ROZITA BINTI HUSSIN</v>
      </c>
      <c r="J5717" t="str">
        <f t="shared" si="2332"/>
        <v>CIMB BANK / CIMB ISLAMIC BANK</v>
      </c>
      <c r="K5717" t="str">
        <f>"7002313872"</f>
        <v>7002313872</v>
      </c>
      <c r="L5717" t="str">
        <f t="shared" si="2344"/>
        <v>04-08-2020</v>
      </c>
      <c r="M5717" t="str">
        <f t="shared" si="2344"/>
        <v>04-08-2020</v>
      </c>
      <c r="N5717" t="str">
        <f t="shared" si="2336"/>
        <v>001105018356</v>
      </c>
      <c r="O5717" t="str">
        <f t="shared" si="2337"/>
        <v>MYR</v>
      </c>
      <c r="P5717" t="str">
        <f t="shared" si="2345"/>
        <v>NIL</v>
      </c>
      <c r="Q5717" t="str">
        <f t="shared" si="2345"/>
        <v>NIL</v>
      </c>
      <c r="R5717" t="str">
        <f t="shared" si="2324"/>
        <v>Accepted</v>
      </c>
      <c r="S5717" t="str">
        <f t="shared" si="2338"/>
        <v>Approved</v>
      </c>
      <c r="T5717" t="str">
        <f t="shared" si="2325"/>
        <v>10.20.8.188</v>
      </c>
      <c r="U5717" t="str">
        <f t="shared" si="2339"/>
        <v>AZRAD UMAR BIN SHAARI</v>
      </c>
      <c r="V5717" t="str">
        <f t="shared" si="2340"/>
        <v>FARHANA BINTI MUSTAPA</v>
      </c>
      <c r="W5717" t="str">
        <f t="shared" si="2341"/>
        <v>04-08-2020</v>
      </c>
      <c r="X5717" t="str">
        <f t="shared" si="2342"/>
        <v>RAZIMAH ANSAR AHMAD</v>
      </c>
      <c r="Y5717" t="str">
        <f t="shared" si="2343"/>
        <v>04-08-2020</v>
      </c>
      <c r="Z5717" t="str">
        <f>"COS10200804 3437"</f>
        <v>COS10200804 3437</v>
      </c>
    </row>
    <row r="5718" spans="1:26" x14ac:dyDescent="0.25">
      <c r="A5718" t="str">
        <f t="shared" si="2347"/>
        <v>04-08-2020 12:45:31</v>
      </c>
      <c r="B5718" t="str">
        <f>"0000805206"</f>
        <v>0000805206</v>
      </c>
      <c r="C5718" t="str">
        <f t="shared" si="2348"/>
        <v>0000805170</v>
      </c>
      <c r="D5718" t="str">
        <f t="shared" si="2333"/>
        <v>73185</v>
      </c>
      <c r="E5718" t="str">
        <f t="shared" si="2334"/>
        <v>KFH-OPERATIONS DEPARTMENT</v>
      </c>
      <c r="F5718" t="str">
        <f t="shared" si="2335"/>
        <v>IBG</v>
      </c>
      <c r="G5718" t="str">
        <f t="shared" si="2346"/>
        <v>Refund COSHARE 10</v>
      </c>
      <c r="H5718" s="2">
        <v>987</v>
      </c>
      <c r="I5718" t="str">
        <f>"ROZITA BINTI HUSSIN"</f>
        <v>ROZITA BINTI HUSSIN</v>
      </c>
      <c r="J5718" t="str">
        <f t="shared" si="2332"/>
        <v>CIMB BANK / CIMB ISLAMIC BANK</v>
      </c>
      <c r="K5718" t="str">
        <f>"7002313872"</f>
        <v>7002313872</v>
      </c>
      <c r="L5718" t="str">
        <f t="shared" si="2344"/>
        <v>04-08-2020</v>
      </c>
      <c r="M5718" t="str">
        <f t="shared" si="2344"/>
        <v>04-08-2020</v>
      </c>
      <c r="N5718" t="str">
        <f t="shared" si="2336"/>
        <v>001105018356</v>
      </c>
      <c r="O5718" t="str">
        <f t="shared" si="2337"/>
        <v>MYR</v>
      </c>
      <c r="P5718" t="str">
        <f t="shared" si="2345"/>
        <v>NIL</v>
      </c>
      <c r="Q5718" t="str">
        <f t="shared" si="2345"/>
        <v>NIL</v>
      </c>
      <c r="R5718" t="str">
        <f t="shared" si="2324"/>
        <v>Accepted</v>
      </c>
      <c r="S5718" t="str">
        <f t="shared" si="2338"/>
        <v>Approved</v>
      </c>
      <c r="T5718" t="str">
        <f t="shared" si="2325"/>
        <v>10.20.8.188</v>
      </c>
      <c r="U5718" t="str">
        <f t="shared" si="2339"/>
        <v>AZRAD UMAR BIN SHAARI</v>
      </c>
      <c r="V5718" t="str">
        <f t="shared" si="2340"/>
        <v>FARHANA BINTI MUSTAPA</v>
      </c>
      <c r="W5718" t="str">
        <f t="shared" si="2341"/>
        <v>04-08-2020</v>
      </c>
      <c r="X5718" t="str">
        <f t="shared" si="2342"/>
        <v>RAZIMAH ANSAR AHMAD</v>
      </c>
      <c r="Y5718" t="str">
        <f t="shared" si="2343"/>
        <v>04-08-2020</v>
      </c>
      <c r="Z5718" t="str">
        <f>"COS10200804 3436"</f>
        <v>COS10200804 3436</v>
      </c>
    </row>
    <row r="5719" spans="1:26" x14ac:dyDescent="0.25">
      <c r="A5719" t="str">
        <f t="shared" si="2347"/>
        <v>04-08-2020 12:45:31</v>
      </c>
      <c r="B5719" t="str">
        <f>"0000805205"</f>
        <v>0000805205</v>
      </c>
      <c r="C5719" t="str">
        <f t="shared" si="2348"/>
        <v>0000805170</v>
      </c>
      <c r="D5719" t="str">
        <f t="shared" si="2333"/>
        <v>73185</v>
      </c>
      <c r="E5719" t="str">
        <f t="shared" si="2334"/>
        <v>KFH-OPERATIONS DEPARTMENT</v>
      </c>
      <c r="F5719" t="str">
        <f t="shared" si="2335"/>
        <v>IBG</v>
      </c>
      <c r="G5719" t="str">
        <f t="shared" si="2346"/>
        <v>Refund COSHARE 10</v>
      </c>
      <c r="H5719" s="2">
        <v>1217.3</v>
      </c>
      <c r="I5719" t="str">
        <f>"ROZILAWATI BINTI JEMAN"</f>
        <v>ROZILAWATI BINTI JEMAN</v>
      </c>
      <c r="J5719" t="str">
        <f t="shared" si="2332"/>
        <v>CIMB BANK / CIMB ISLAMIC BANK</v>
      </c>
      <c r="K5719" t="str">
        <f>"7032732011"</f>
        <v>7032732011</v>
      </c>
      <c r="L5719" t="str">
        <f t="shared" si="2344"/>
        <v>04-08-2020</v>
      </c>
      <c r="M5719" t="str">
        <f t="shared" si="2344"/>
        <v>04-08-2020</v>
      </c>
      <c r="N5719" t="str">
        <f t="shared" si="2336"/>
        <v>001105018356</v>
      </c>
      <c r="O5719" t="str">
        <f t="shared" si="2337"/>
        <v>MYR</v>
      </c>
      <c r="P5719" t="str">
        <f t="shared" si="2345"/>
        <v>NIL</v>
      </c>
      <c r="Q5719" t="str">
        <f t="shared" si="2345"/>
        <v>NIL</v>
      </c>
      <c r="R5719" t="str">
        <f t="shared" si="2324"/>
        <v>Accepted</v>
      </c>
      <c r="S5719" t="str">
        <f t="shared" si="2338"/>
        <v>Approved</v>
      </c>
      <c r="T5719" t="str">
        <f t="shared" si="2325"/>
        <v>10.20.8.188</v>
      </c>
      <c r="U5719" t="str">
        <f t="shared" si="2339"/>
        <v>AZRAD UMAR BIN SHAARI</v>
      </c>
      <c r="V5719" t="str">
        <f t="shared" si="2340"/>
        <v>FARHANA BINTI MUSTAPA</v>
      </c>
      <c r="W5719" t="str">
        <f t="shared" si="2341"/>
        <v>04-08-2020</v>
      </c>
      <c r="X5719" t="str">
        <f t="shared" si="2342"/>
        <v>RAZIMAH ANSAR AHMAD</v>
      </c>
      <c r="Y5719" t="str">
        <f t="shared" si="2343"/>
        <v>04-08-2020</v>
      </c>
      <c r="Z5719" t="str">
        <f>"COS10200804 3435"</f>
        <v>COS10200804 3435</v>
      </c>
    </row>
    <row r="5720" spans="1:26" x14ac:dyDescent="0.25">
      <c r="A5720" t="str">
        <f t="shared" si="2347"/>
        <v>04-08-2020 12:45:31</v>
      </c>
      <c r="B5720" t="str">
        <f>"0000805204"</f>
        <v>0000805204</v>
      </c>
      <c r="C5720" t="str">
        <f t="shared" si="2348"/>
        <v>0000805170</v>
      </c>
      <c r="D5720" t="str">
        <f t="shared" si="2333"/>
        <v>73185</v>
      </c>
      <c r="E5720" t="str">
        <f t="shared" si="2334"/>
        <v>KFH-OPERATIONS DEPARTMENT</v>
      </c>
      <c r="F5720" t="str">
        <f t="shared" si="2335"/>
        <v>IBG</v>
      </c>
      <c r="G5720" t="str">
        <f t="shared" si="2346"/>
        <v>Refund COSHARE 10</v>
      </c>
      <c r="H5720" s="2">
        <v>443</v>
      </c>
      <c r="I5720" t="str">
        <f>"ROZILAWATI BINTI CHE AHMAD"</f>
        <v>ROZILAWATI BINTI CHE AHMAD</v>
      </c>
      <c r="J5720" t="str">
        <f t="shared" si="2332"/>
        <v>CIMB BANK / CIMB ISLAMIC BANK</v>
      </c>
      <c r="K5720" t="str">
        <f>"14400084113520"</f>
        <v>14400084113520</v>
      </c>
      <c r="L5720" t="str">
        <f t="shared" si="2344"/>
        <v>04-08-2020</v>
      </c>
      <c r="M5720" t="str">
        <f t="shared" si="2344"/>
        <v>04-08-2020</v>
      </c>
      <c r="N5720" t="str">
        <f t="shared" si="2336"/>
        <v>001105018356</v>
      </c>
      <c r="O5720" t="str">
        <f t="shared" si="2337"/>
        <v>MYR</v>
      </c>
      <c r="P5720" t="str">
        <f t="shared" si="2345"/>
        <v>NIL</v>
      </c>
      <c r="Q5720" t="str">
        <f t="shared" si="2345"/>
        <v>NIL</v>
      </c>
      <c r="R5720" t="str">
        <f t="shared" si="2324"/>
        <v>Accepted</v>
      </c>
      <c r="S5720" t="str">
        <f t="shared" si="2338"/>
        <v>Approved</v>
      </c>
      <c r="T5720" t="str">
        <f t="shared" si="2325"/>
        <v>10.20.8.188</v>
      </c>
      <c r="U5720" t="str">
        <f t="shared" si="2339"/>
        <v>AZRAD UMAR BIN SHAARI</v>
      </c>
      <c r="V5720" t="str">
        <f t="shared" si="2340"/>
        <v>FARHANA BINTI MUSTAPA</v>
      </c>
      <c r="W5720" t="str">
        <f t="shared" si="2341"/>
        <v>04-08-2020</v>
      </c>
      <c r="X5720" t="str">
        <f t="shared" si="2342"/>
        <v>RAZIMAH ANSAR AHMAD</v>
      </c>
      <c r="Y5720" t="str">
        <f t="shared" si="2343"/>
        <v>04-08-2020</v>
      </c>
      <c r="Z5720" t="str">
        <f>"COS10200804 3434"</f>
        <v>COS10200804 3434</v>
      </c>
    </row>
    <row r="5721" spans="1:26" x14ac:dyDescent="0.25">
      <c r="A5721" t="str">
        <f t="shared" si="2347"/>
        <v>04-08-2020 12:45:31</v>
      </c>
      <c r="B5721" t="str">
        <f>"0000805203"</f>
        <v>0000805203</v>
      </c>
      <c r="C5721" t="str">
        <f t="shared" si="2348"/>
        <v>0000805170</v>
      </c>
      <c r="D5721" t="str">
        <f t="shared" si="2333"/>
        <v>73185</v>
      </c>
      <c r="E5721" t="str">
        <f t="shared" si="2334"/>
        <v>KFH-OPERATIONS DEPARTMENT</v>
      </c>
      <c r="F5721" t="str">
        <f t="shared" si="2335"/>
        <v>IBG</v>
      </c>
      <c r="G5721" t="str">
        <f t="shared" si="2346"/>
        <v>Refund COSHARE 10</v>
      </c>
      <c r="H5721" s="2">
        <v>335.8</v>
      </c>
      <c r="I5721" t="str">
        <f>"ROZIANA BINTI KOPON"</f>
        <v>ROZIANA BINTI KOPON</v>
      </c>
      <c r="J5721" t="str">
        <f t="shared" si="2332"/>
        <v>CIMB BANK / CIMB ISLAMIC BANK</v>
      </c>
      <c r="K5721" t="str">
        <f>"11070000086206"</f>
        <v>11070000086206</v>
      </c>
      <c r="L5721" t="str">
        <f t="shared" si="2344"/>
        <v>04-08-2020</v>
      </c>
      <c r="M5721" t="str">
        <f t="shared" si="2344"/>
        <v>04-08-2020</v>
      </c>
      <c r="N5721" t="str">
        <f t="shared" si="2336"/>
        <v>001105018356</v>
      </c>
      <c r="O5721" t="str">
        <f t="shared" si="2337"/>
        <v>MYR</v>
      </c>
      <c r="P5721" t="str">
        <f t="shared" si="2345"/>
        <v>NIL</v>
      </c>
      <c r="Q5721" t="str">
        <f t="shared" si="2345"/>
        <v>NIL</v>
      </c>
      <c r="R5721" t="str">
        <f t="shared" si="2324"/>
        <v>Accepted</v>
      </c>
      <c r="S5721" t="str">
        <f t="shared" si="2338"/>
        <v>Approved</v>
      </c>
      <c r="T5721" t="str">
        <f t="shared" si="2325"/>
        <v>10.20.8.188</v>
      </c>
      <c r="U5721" t="str">
        <f t="shared" si="2339"/>
        <v>AZRAD UMAR BIN SHAARI</v>
      </c>
      <c r="V5721" t="str">
        <f t="shared" si="2340"/>
        <v>FARHANA BINTI MUSTAPA</v>
      </c>
      <c r="W5721" t="str">
        <f t="shared" si="2341"/>
        <v>04-08-2020</v>
      </c>
      <c r="X5721" t="str">
        <f t="shared" si="2342"/>
        <v>RAZIMAH ANSAR AHMAD</v>
      </c>
      <c r="Y5721" t="str">
        <f t="shared" si="2343"/>
        <v>04-08-2020</v>
      </c>
      <c r="Z5721" t="str">
        <f>"COS10200804 3433"</f>
        <v>COS10200804 3433</v>
      </c>
    </row>
    <row r="5722" spans="1:26" x14ac:dyDescent="0.25">
      <c r="A5722" t="str">
        <f t="shared" si="2347"/>
        <v>04-08-2020 12:45:31</v>
      </c>
      <c r="B5722" t="str">
        <f>"0000805202"</f>
        <v>0000805202</v>
      </c>
      <c r="C5722" t="str">
        <f t="shared" si="2348"/>
        <v>0000805170</v>
      </c>
      <c r="D5722" t="str">
        <f t="shared" si="2333"/>
        <v>73185</v>
      </c>
      <c r="E5722" t="str">
        <f t="shared" si="2334"/>
        <v>KFH-OPERATIONS DEPARTMENT</v>
      </c>
      <c r="F5722" t="str">
        <f t="shared" si="2335"/>
        <v>IBG</v>
      </c>
      <c r="G5722" t="str">
        <f t="shared" si="2346"/>
        <v>Refund COSHARE 10</v>
      </c>
      <c r="H5722" s="2">
        <v>1510</v>
      </c>
      <c r="I5722" t="str">
        <f>"ROZIANA BINTI AMRIZAL"</f>
        <v>ROZIANA BINTI AMRIZAL</v>
      </c>
      <c r="J5722" t="str">
        <f t="shared" si="2332"/>
        <v>CIMB BANK / CIMB ISLAMIC BANK</v>
      </c>
      <c r="K5722" t="str">
        <f>"7001727304"</f>
        <v>7001727304</v>
      </c>
      <c r="L5722" t="str">
        <f t="shared" si="2344"/>
        <v>04-08-2020</v>
      </c>
      <c r="M5722" t="str">
        <f t="shared" si="2344"/>
        <v>04-08-2020</v>
      </c>
      <c r="N5722" t="str">
        <f t="shared" si="2336"/>
        <v>001105018356</v>
      </c>
      <c r="O5722" t="str">
        <f t="shared" si="2337"/>
        <v>MYR</v>
      </c>
      <c r="P5722" t="str">
        <f t="shared" si="2345"/>
        <v>NIL</v>
      </c>
      <c r="Q5722" t="str">
        <f t="shared" si="2345"/>
        <v>NIL</v>
      </c>
      <c r="R5722" t="str">
        <f t="shared" si="2324"/>
        <v>Accepted</v>
      </c>
      <c r="S5722" t="str">
        <f t="shared" si="2338"/>
        <v>Approved</v>
      </c>
      <c r="T5722" t="str">
        <f t="shared" si="2325"/>
        <v>10.20.8.188</v>
      </c>
      <c r="U5722" t="str">
        <f t="shared" si="2339"/>
        <v>AZRAD UMAR BIN SHAARI</v>
      </c>
      <c r="V5722" t="str">
        <f t="shared" si="2340"/>
        <v>FARHANA BINTI MUSTAPA</v>
      </c>
      <c r="W5722" t="str">
        <f t="shared" si="2341"/>
        <v>04-08-2020</v>
      </c>
      <c r="X5722" t="str">
        <f t="shared" si="2342"/>
        <v>RAZIMAH ANSAR AHMAD</v>
      </c>
      <c r="Y5722" t="str">
        <f t="shared" si="2343"/>
        <v>04-08-2020</v>
      </c>
      <c r="Z5722" t="str">
        <f>"COS10200804 3432"</f>
        <v>COS10200804 3432</v>
      </c>
    </row>
    <row r="5723" spans="1:26" x14ac:dyDescent="0.25">
      <c r="A5723" t="str">
        <f t="shared" si="2347"/>
        <v>04-08-2020 12:45:31</v>
      </c>
      <c r="B5723" t="str">
        <f>"0000805201"</f>
        <v>0000805201</v>
      </c>
      <c r="C5723" t="str">
        <f t="shared" si="2348"/>
        <v>0000805170</v>
      </c>
      <c r="D5723" t="str">
        <f t="shared" si="2333"/>
        <v>73185</v>
      </c>
      <c r="E5723" t="str">
        <f t="shared" si="2334"/>
        <v>KFH-OPERATIONS DEPARTMENT</v>
      </c>
      <c r="F5723" t="str">
        <f t="shared" si="2335"/>
        <v>IBG</v>
      </c>
      <c r="G5723" t="str">
        <f t="shared" si="2346"/>
        <v>Refund COSHARE 10</v>
      </c>
      <c r="H5723" s="2">
        <v>583</v>
      </c>
      <c r="I5723" t="str">
        <f>"ROZI BINTI RAMLI"</f>
        <v>ROZI BINTI RAMLI</v>
      </c>
      <c r="J5723" t="str">
        <f t="shared" si="2332"/>
        <v>CIMB BANK / CIMB ISLAMIC BANK</v>
      </c>
      <c r="K5723" t="str">
        <f>"07220013385527"</f>
        <v>07220013385527</v>
      </c>
      <c r="L5723" t="str">
        <f t="shared" si="2344"/>
        <v>04-08-2020</v>
      </c>
      <c r="M5723" t="str">
        <f t="shared" si="2344"/>
        <v>04-08-2020</v>
      </c>
      <c r="N5723" t="str">
        <f t="shared" si="2336"/>
        <v>001105018356</v>
      </c>
      <c r="O5723" t="str">
        <f t="shared" si="2337"/>
        <v>MYR</v>
      </c>
      <c r="P5723" t="str">
        <f t="shared" si="2345"/>
        <v>NIL</v>
      </c>
      <c r="Q5723" t="str">
        <f t="shared" si="2345"/>
        <v>NIL</v>
      </c>
      <c r="R5723" t="str">
        <f t="shared" si="2324"/>
        <v>Accepted</v>
      </c>
      <c r="S5723" t="str">
        <f t="shared" si="2338"/>
        <v>Approved</v>
      </c>
      <c r="T5723" t="str">
        <f t="shared" si="2325"/>
        <v>10.20.8.188</v>
      </c>
      <c r="U5723" t="str">
        <f t="shared" si="2339"/>
        <v>AZRAD UMAR BIN SHAARI</v>
      </c>
      <c r="V5723" t="str">
        <f t="shared" si="2340"/>
        <v>FARHANA BINTI MUSTAPA</v>
      </c>
      <c r="W5723" t="str">
        <f t="shared" si="2341"/>
        <v>04-08-2020</v>
      </c>
      <c r="X5723" t="str">
        <f t="shared" si="2342"/>
        <v>RAZIMAH ANSAR AHMAD</v>
      </c>
      <c r="Y5723" t="str">
        <f t="shared" si="2343"/>
        <v>04-08-2020</v>
      </c>
      <c r="Z5723" t="str">
        <f>"COS10200804 3431"</f>
        <v>COS10200804 3431</v>
      </c>
    </row>
    <row r="5724" spans="1:26" x14ac:dyDescent="0.25">
      <c r="A5724" t="str">
        <f t="shared" si="2347"/>
        <v>04-08-2020 12:45:31</v>
      </c>
      <c r="B5724" t="str">
        <f>"0000805200"</f>
        <v>0000805200</v>
      </c>
      <c r="C5724" t="str">
        <f t="shared" si="2348"/>
        <v>0000805170</v>
      </c>
      <c r="D5724" t="str">
        <f t="shared" si="2333"/>
        <v>73185</v>
      </c>
      <c r="E5724" t="str">
        <f t="shared" si="2334"/>
        <v>KFH-OPERATIONS DEPARTMENT</v>
      </c>
      <c r="F5724" t="str">
        <f t="shared" si="2335"/>
        <v>IBG</v>
      </c>
      <c r="G5724" t="str">
        <f t="shared" si="2346"/>
        <v>Refund COSHARE 10</v>
      </c>
      <c r="H5724" s="2">
        <v>831.1</v>
      </c>
      <c r="I5724" t="str">
        <f>"ROZDLEEYANA BINTI ROSLI"</f>
        <v>ROZDLEEYANA BINTI ROSLI</v>
      </c>
      <c r="J5724" t="str">
        <f t="shared" si="2332"/>
        <v>CIMB BANK / CIMB ISLAMIC BANK</v>
      </c>
      <c r="K5724" t="str">
        <f>"02120011773526"</f>
        <v>02120011773526</v>
      </c>
      <c r="L5724" t="str">
        <f t="shared" si="2344"/>
        <v>04-08-2020</v>
      </c>
      <c r="M5724" t="str">
        <f t="shared" si="2344"/>
        <v>04-08-2020</v>
      </c>
      <c r="N5724" t="str">
        <f t="shared" si="2336"/>
        <v>001105018356</v>
      </c>
      <c r="O5724" t="str">
        <f t="shared" si="2337"/>
        <v>MYR</v>
      </c>
      <c r="P5724" t="str">
        <f t="shared" si="2345"/>
        <v>NIL</v>
      </c>
      <c r="Q5724" t="str">
        <f t="shared" si="2345"/>
        <v>NIL</v>
      </c>
      <c r="R5724" t="str">
        <f t="shared" si="2324"/>
        <v>Accepted</v>
      </c>
      <c r="S5724" t="str">
        <f t="shared" si="2338"/>
        <v>Approved</v>
      </c>
      <c r="T5724" t="str">
        <f t="shared" si="2325"/>
        <v>10.20.8.188</v>
      </c>
      <c r="U5724" t="str">
        <f t="shared" si="2339"/>
        <v>AZRAD UMAR BIN SHAARI</v>
      </c>
      <c r="V5724" t="str">
        <f t="shared" si="2340"/>
        <v>FARHANA BINTI MUSTAPA</v>
      </c>
      <c r="W5724" t="str">
        <f t="shared" si="2341"/>
        <v>04-08-2020</v>
      </c>
      <c r="X5724" t="str">
        <f t="shared" si="2342"/>
        <v>RAZIMAH ANSAR AHMAD</v>
      </c>
      <c r="Y5724" t="str">
        <f t="shared" si="2343"/>
        <v>04-08-2020</v>
      </c>
      <c r="Z5724" t="str">
        <f>"COS10200804 3430"</f>
        <v>COS10200804 3430</v>
      </c>
    </row>
    <row r="5725" spans="1:26" x14ac:dyDescent="0.25">
      <c r="A5725" t="str">
        <f t="shared" si="2347"/>
        <v>04-08-2020 12:45:31</v>
      </c>
      <c r="B5725" t="str">
        <f>"0000805199"</f>
        <v>0000805199</v>
      </c>
      <c r="C5725" t="str">
        <f t="shared" si="2348"/>
        <v>0000805170</v>
      </c>
      <c r="D5725" t="str">
        <f t="shared" si="2333"/>
        <v>73185</v>
      </c>
      <c r="E5725" t="str">
        <f t="shared" si="2334"/>
        <v>KFH-OPERATIONS DEPARTMENT</v>
      </c>
      <c r="F5725" t="str">
        <f t="shared" si="2335"/>
        <v>IBG</v>
      </c>
      <c r="G5725" t="str">
        <f t="shared" si="2346"/>
        <v>Refund COSHARE 10</v>
      </c>
      <c r="H5725" s="2">
        <v>671.6</v>
      </c>
      <c r="I5725" t="str">
        <f>"ROZANNA BINTI SIDEK"</f>
        <v>ROZANNA BINTI SIDEK</v>
      </c>
      <c r="J5725" t="str">
        <f t="shared" si="2332"/>
        <v>CIMB BANK / CIMB ISLAMIC BANK</v>
      </c>
      <c r="K5725" t="str">
        <f>"7001636985"</f>
        <v>7001636985</v>
      </c>
      <c r="L5725" t="str">
        <f t="shared" si="2344"/>
        <v>04-08-2020</v>
      </c>
      <c r="M5725" t="str">
        <f t="shared" si="2344"/>
        <v>04-08-2020</v>
      </c>
      <c r="N5725" t="str">
        <f t="shared" si="2336"/>
        <v>001105018356</v>
      </c>
      <c r="O5725" t="str">
        <f t="shared" si="2337"/>
        <v>MYR</v>
      </c>
      <c r="P5725" t="str">
        <f t="shared" si="2345"/>
        <v>NIL</v>
      </c>
      <c r="Q5725" t="str">
        <f t="shared" si="2345"/>
        <v>NIL</v>
      </c>
      <c r="R5725" t="str">
        <f t="shared" si="2324"/>
        <v>Accepted</v>
      </c>
      <c r="S5725" t="str">
        <f t="shared" si="2338"/>
        <v>Approved</v>
      </c>
      <c r="T5725" t="str">
        <f t="shared" si="2325"/>
        <v>10.20.8.188</v>
      </c>
      <c r="U5725" t="str">
        <f t="shared" si="2339"/>
        <v>AZRAD UMAR BIN SHAARI</v>
      </c>
      <c r="V5725" t="str">
        <f t="shared" si="2340"/>
        <v>FARHANA BINTI MUSTAPA</v>
      </c>
      <c r="W5725" t="str">
        <f t="shared" si="2341"/>
        <v>04-08-2020</v>
      </c>
      <c r="X5725" t="str">
        <f t="shared" si="2342"/>
        <v>RAZIMAH ANSAR AHMAD</v>
      </c>
      <c r="Y5725" t="str">
        <f t="shared" si="2343"/>
        <v>04-08-2020</v>
      </c>
      <c r="Z5725" t="str">
        <f>"COS10200804 3429"</f>
        <v>COS10200804 3429</v>
      </c>
    </row>
    <row r="5726" spans="1:26" x14ac:dyDescent="0.25">
      <c r="A5726" t="str">
        <f t="shared" si="2347"/>
        <v>04-08-2020 12:45:31</v>
      </c>
      <c r="B5726" t="str">
        <f>"0000805198"</f>
        <v>0000805198</v>
      </c>
      <c r="C5726" t="str">
        <f t="shared" si="2348"/>
        <v>0000805170</v>
      </c>
      <c r="D5726" t="str">
        <f t="shared" si="2333"/>
        <v>73185</v>
      </c>
      <c r="E5726" t="str">
        <f t="shared" si="2334"/>
        <v>KFH-OPERATIONS DEPARTMENT</v>
      </c>
      <c r="F5726" t="str">
        <f t="shared" si="2335"/>
        <v>IBG</v>
      </c>
      <c r="G5726" t="str">
        <f t="shared" si="2346"/>
        <v>Refund COSHARE 10</v>
      </c>
      <c r="H5726" s="2">
        <v>74.95</v>
      </c>
      <c r="I5726" t="str">
        <f>"ROZANA BINTI HASHIM"</f>
        <v>ROZANA BINTI HASHIM</v>
      </c>
      <c r="J5726" t="str">
        <f t="shared" si="2332"/>
        <v>CIMB BANK / CIMB ISLAMIC BANK</v>
      </c>
      <c r="K5726" t="str">
        <f>"12230076380520"</f>
        <v>12230076380520</v>
      </c>
      <c r="L5726" t="str">
        <f t="shared" si="2344"/>
        <v>04-08-2020</v>
      </c>
      <c r="M5726" t="str">
        <f t="shared" si="2344"/>
        <v>04-08-2020</v>
      </c>
      <c r="N5726" t="str">
        <f t="shared" si="2336"/>
        <v>001105018356</v>
      </c>
      <c r="O5726" t="str">
        <f t="shared" si="2337"/>
        <v>MYR</v>
      </c>
      <c r="P5726" t="str">
        <f t="shared" si="2345"/>
        <v>NIL</v>
      </c>
      <c r="Q5726" t="str">
        <f t="shared" si="2345"/>
        <v>NIL</v>
      </c>
      <c r="R5726" t="str">
        <f t="shared" si="2324"/>
        <v>Accepted</v>
      </c>
      <c r="S5726" t="str">
        <f t="shared" si="2338"/>
        <v>Approved</v>
      </c>
      <c r="T5726" t="str">
        <f t="shared" si="2325"/>
        <v>10.20.8.188</v>
      </c>
      <c r="U5726" t="str">
        <f t="shared" si="2339"/>
        <v>AZRAD UMAR BIN SHAARI</v>
      </c>
      <c r="V5726" t="str">
        <f t="shared" si="2340"/>
        <v>FARHANA BINTI MUSTAPA</v>
      </c>
      <c r="W5726" t="str">
        <f t="shared" si="2341"/>
        <v>04-08-2020</v>
      </c>
      <c r="X5726" t="str">
        <f t="shared" si="2342"/>
        <v>RAZIMAH ANSAR AHMAD</v>
      </c>
      <c r="Y5726" t="str">
        <f t="shared" si="2343"/>
        <v>04-08-2020</v>
      </c>
      <c r="Z5726" t="str">
        <f>"COS10200804 3428"</f>
        <v>COS10200804 3428</v>
      </c>
    </row>
    <row r="5727" spans="1:26" x14ac:dyDescent="0.25">
      <c r="A5727" t="str">
        <f t="shared" si="2347"/>
        <v>04-08-2020 12:45:31</v>
      </c>
      <c r="B5727" t="str">
        <f>"0000805197"</f>
        <v>0000805197</v>
      </c>
      <c r="C5727" t="str">
        <f t="shared" si="2348"/>
        <v>0000805170</v>
      </c>
      <c r="D5727" t="str">
        <f t="shared" si="2333"/>
        <v>73185</v>
      </c>
      <c r="E5727" t="str">
        <f t="shared" si="2334"/>
        <v>KFH-OPERATIONS DEPARTMENT</v>
      </c>
      <c r="F5727" t="str">
        <f t="shared" si="2335"/>
        <v>IBG</v>
      </c>
      <c r="G5727" t="str">
        <f t="shared" si="2346"/>
        <v>Refund COSHARE 10</v>
      </c>
      <c r="H5727" s="2">
        <v>83.95</v>
      </c>
      <c r="I5727" t="str">
        <f>"ROZALIZA BINTI BUJANG"</f>
        <v>ROZALIZA BINTI BUJANG</v>
      </c>
      <c r="J5727" t="str">
        <f t="shared" si="2332"/>
        <v>CIMB BANK / CIMB ISLAMIC BANK</v>
      </c>
      <c r="K5727" t="str">
        <f>"11015022829523"</f>
        <v>11015022829523</v>
      </c>
      <c r="L5727" t="str">
        <f t="shared" ref="L5727:M5746" si="2349">"04-08-2020"</f>
        <v>04-08-2020</v>
      </c>
      <c r="M5727" t="str">
        <f t="shared" si="2349"/>
        <v>04-08-2020</v>
      </c>
      <c r="N5727" t="str">
        <f t="shared" si="2336"/>
        <v>001105018356</v>
      </c>
      <c r="O5727" t="str">
        <f t="shared" si="2337"/>
        <v>MYR</v>
      </c>
      <c r="P5727" t="str">
        <f t="shared" ref="P5727:Q5746" si="2350">"NIL"</f>
        <v>NIL</v>
      </c>
      <c r="Q5727" t="str">
        <f t="shared" si="2350"/>
        <v>NIL</v>
      </c>
      <c r="R5727" t="str">
        <f t="shared" si="2324"/>
        <v>Accepted</v>
      </c>
      <c r="S5727" t="str">
        <f t="shared" si="2338"/>
        <v>Approved</v>
      </c>
      <c r="T5727" t="str">
        <f t="shared" si="2325"/>
        <v>10.20.8.188</v>
      </c>
      <c r="U5727" t="str">
        <f t="shared" si="2339"/>
        <v>AZRAD UMAR BIN SHAARI</v>
      </c>
      <c r="V5727" t="str">
        <f t="shared" si="2340"/>
        <v>FARHANA BINTI MUSTAPA</v>
      </c>
      <c r="W5727" t="str">
        <f t="shared" si="2341"/>
        <v>04-08-2020</v>
      </c>
      <c r="X5727" t="str">
        <f t="shared" si="2342"/>
        <v>RAZIMAH ANSAR AHMAD</v>
      </c>
      <c r="Y5727" t="str">
        <f t="shared" si="2343"/>
        <v>04-08-2020</v>
      </c>
      <c r="Z5727" t="str">
        <f>"COS10200804 3427"</f>
        <v>COS10200804 3427</v>
      </c>
    </row>
    <row r="5728" spans="1:26" x14ac:dyDescent="0.25">
      <c r="A5728" t="str">
        <f t="shared" si="2347"/>
        <v>04-08-2020 12:45:31</v>
      </c>
      <c r="B5728" t="str">
        <f>"0000805196"</f>
        <v>0000805196</v>
      </c>
      <c r="C5728" t="str">
        <f t="shared" si="2348"/>
        <v>0000805170</v>
      </c>
      <c r="D5728" t="str">
        <f t="shared" si="2333"/>
        <v>73185</v>
      </c>
      <c r="E5728" t="str">
        <f t="shared" si="2334"/>
        <v>KFH-OPERATIONS DEPARTMENT</v>
      </c>
      <c r="F5728" t="str">
        <f t="shared" si="2335"/>
        <v>IBG</v>
      </c>
      <c r="G5728" t="str">
        <f t="shared" si="2346"/>
        <v>Refund COSHARE 10</v>
      </c>
      <c r="H5728" s="2">
        <v>805.95</v>
      </c>
      <c r="I5728" t="str">
        <f>"ROZAIDIN BIN TOTOI"</f>
        <v>ROZAIDIN BIN TOTOI</v>
      </c>
      <c r="J5728" t="str">
        <f t="shared" si="2332"/>
        <v>CIMB BANK / CIMB ISLAMIC BANK</v>
      </c>
      <c r="K5728" t="str">
        <f>"12480067321520"</f>
        <v>12480067321520</v>
      </c>
      <c r="L5728" t="str">
        <f t="shared" si="2349"/>
        <v>04-08-2020</v>
      </c>
      <c r="M5728" t="str">
        <f t="shared" si="2349"/>
        <v>04-08-2020</v>
      </c>
      <c r="N5728" t="str">
        <f t="shared" si="2336"/>
        <v>001105018356</v>
      </c>
      <c r="O5728" t="str">
        <f t="shared" si="2337"/>
        <v>MYR</v>
      </c>
      <c r="P5728" t="str">
        <f t="shared" si="2350"/>
        <v>NIL</v>
      </c>
      <c r="Q5728" t="str">
        <f t="shared" si="2350"/>
        <v>NIL</v>
      </c>
      <c r="R5728" t="str">
        <f t="shared" si="2324"/>
        <v>Accepted</v>
      </c>
      <c r="S5728" t="str">
        <f t="shared" si="2338"/>
        <v>Approved</v>
      </c>
      <c r="T5728" t="str">
        <f t="shared" si="2325"/>
        <v>10.20.8.188</v>
      </c>
      <c r="U5728" t="str">
        <f t="shared" si="2339"/>
        <v>AZRAD UMAR BIN SHAARI</v>
      </c>
      <c r="V5728" t="str">
        <f t="shared" si="2340"/>
        <v>FARHANA BINTI MUSTAPA</v>
      </c>
      <c r="W5728" t="str">
        <f t="shared" si="2341"/>
        <v>04-08-2020</v>
      </c>
      <c r="X5728" t="str">
        <f t="shared" si="2342"/>
        <v>RAZIMAH ANSAR AHMAD</v>
      </c>
      <c r="Y5728" t="str">
        <f t="shared" si="2343"/>
        <v>04-08-2020</v>
      </c>
      <c r="Z5728" t="str">
        <f>"COS10200804 3426"</f>
        <v>COS10200804 3426</v>
      </c>
    </row>
    <row r="5729" spans="1:26" x14ac:dyDescent="0.25">
      <c r="A5729" t="str">
        <f t="shared" si="2347"/>
        <v>04-08-2020 12:45:31</v>
      </c>
      <c r="B5729" t="str">
        <f>"0000805195"</f>
        <v>0000805195</v>
      </c>
      <c r="C5729" t="str">
        <f t="shared" si="2348"/>
        <v>0000805170</v>
      </c>
      <c r="D5729" t="str">
        <f t="shared" si="2333"/>
        <v>73185</v>
      </c>
      <c r="E5729" t="str">
        <f t="shared" si="2334"/>
        <v>KFH-OPERATIONS DEPARTMENT</v>
      </c>
      <c r="F5729" t="str">
        <f t="shared" si="2335"/>
        <v>IBG</v>
      </c>
      <c r="G5729" t="str">
        <f t="shared" si="2346"/>
        <v>Refund COSHARE 10</v>
      </c>
      <c r="H5729" s="2">
        <v>167.9</v>
      </c>
      <c r="I5729" t="str">
        <f>"ROSZLINE BINTI RAMLEE"</f>
        <v>ROSZLINE BINTI RAMLEE</v>
      </c>
      <c r="J5729" t="str">
        <f t="shared" si="2332"/>
        <v>CIMB BANK / CIMB ISLAMIC BANK</v>
      </c>
      <c r="K5729" t="str">
        <f>"12110014054520"</f>
        <v>12110014054520</v>
      </c>
      <c r="L5729" t="str">
        <f t="shared" si="2349"/>
        <v>04-08-2020</v>
      </c>
      <c r="M5729" t="str">
        <f t="shared" si="2349"/>
        <v>04-08-2020</v>
      </c>
      <c r="N5729" t="str">
        <f t="shared" si="2336"/>
        <v>001105018356</v>
      </c>
      <c r="O5729" t="str">
        <f t="shared" si="2337"/>
        <v>MYR</v>
      </c>
      <c r="P5729" t="str">
        <f t="shared" si="2350"/>
        <v>NIL</v>
      </c>
      <c r="Q5729" t="str">
        <f t="shared" si="2350"/>
        <v>NIL</v>
      </c>
      <c r="R5729" t="str">
        <f t="shared" si="2324"/>
        <v>Accepted</v>
      </c>
      <c r="S5729" t="str">
        <f t="shared" si="2338"/>
        <v>Approved</v>
      </c>
      <c r="T5729" t="str">
        <f t="shared" si="2325"/>
        <v>10.20.8.188</v>
      </c>
      <c r="U5729" t="str">
        <f t="shared" si="2339"/>
        <v>AZRAD UMAR BIN SHAARI</v>
      </c>
      <c r="V5729" t="str">
        <f t="shared" si="2340"/>
        <v>FARHANA BINTI MUSTAPA</v>
      </c>
      <c r="W5729" t="str">
        <f t="shared" si="2341"/>
        <v>04-08-2020</v>
      </c>
      <c r="X5729" t="str">
        <f t="shared" si="2342"/>
        <v>RAZIMAH ANSAR AHMAD</v>
      </c>
      <c r="Y5729" t="str">
        <f t="shared" si="2343"/>
        <v>04-08-2020</v>
      </c>
      <c r="Z5729" t="str">
        <f>"COS10200804 3425"</f>
        <v>COS10200804 3425</v>
      </c>
    </row>
    <row r="5730" spans="1:26" x14ac:dyDescent="0.25">
      <c r="A5730" t="str">
        <f t="shared" si="2347"/>
        <v>04-08-2020 12:45:31</v>
      </c>
      <c r="B5730" t="str">
        <f>"0000805194"</f>
        <v>0000805194</v>
      </c>
      <c r="C5730" t="str">
        <f t="shared" si="2348"/>
        <v>0000805170</v>
      </c>
      <c r="D5730" t="str">
        <f t="shared" si="2333"/>
        <v>73185</v>
      </c>
      <c r="E5730" t="str">
        <f t="shared" si="2334"/>
        <v>KFH-OPERATIONS DEPARTMENT</v>
      </c>
      <c r="F5730" t="str">
        <f t="shared" si="2335"/>
        <v>IBG</v>
      </c>
      <c r="G5730" t="str">
        <f t="shared" si="2346"/>
        <v>Refund COSHARE 10</v>
      </c>
      <c r="H5730" s="2">
        <v>672</v>
      </c>
      <c r="I5730" t="str">
        <f>"ROSZITA BINTI IBRAHIM"</f>
        <v>ROSZITA BINTI IBRAHIM</v>
      </c>
      <c r="J5730" t="str">
        <f t="shared" si="2332"/>
        <v>CIMB BANK / CIMB ISLAMIC BANK</v>
      </c>
      <c r="K5730" t="str">
        <f>"14160061727528"</f>
        <v>14160061727528</v>
      </c>
      <c r="L5730" t="str">
        <f t="shared" si="2349"/>
        <v>04-08-2020</v>
      </c>
      <c r="M5730" t="str">
        <f t="shared" si="2349"/>
        <v>04-08-2020</v>
      </c>
      <c r="N5730" t="str">
        <f t="shared" si="2336"/>
        <v>001105018356</v>
      </c>
      <c r="O5730" t="str">
        <f t="shared" si="2337"/>
        <v>MYR</v>
      </c>
      <c r="P5730" t="str">
        <f t="shared" si="2350"/>
        <v>NIL</v>
      </c>
      <c r="Q5730" t="str">
        <f t="shared" si="2350"/>
        <v>NIL</v>
      </c>
      <c r="R5730" t="str">
        <f t="shared" ref="R5730:R5793" si="2351">"Accepted"</f>
        <v>Accepted</v>
      </c>
      <c r="S5730" t="str">
        <f t="shared" si="2338"/>
        <v>Approved</v>
      </c>
      <c r="T5730" t="str">
        <f t="shared" ref="T5730:T5793" si="2352">"10.20.8.188"</f>
        <v>10.20.8.188</v>
      </c>
      <c r="U5730" t="str">
        <f t="shared" si="2339"/>
        <v>AZRAD UMAR BIN SHAARI</v>
      </c>
      <c r="V5730" t="str">
        <f t="shared" si="2340"/>
        <v>FARHANA BINTI MUSTAPA</v>
      </c>
      <c r="W5730" t="str">
        <f t="shared" si="2341"/>
        <v>04-08-2020</v>
      </c>
      <c r="X5730" t="str">
        <f t="shared" si="2342"/>
        <v>RAZIMAH ANSAR AHMAD</v>
      </c>
      <c r="Y5730" t="str">
        <f t="shared" si="2343"/>
        <v>04-08-2020</v>
      </c>
      <c r="Z5730" t="str">
        <f>"COS10200804 3424"</f>
        <v>COS10200804 3424</v>
      </c>
    </row>
    <row r="5731" spans="1:26" x14ac:dyDescent="0.25">
      <c r="A5731" t="str">
        <f t="shared" si="2347"/>
        <v>04-08-2020 12:45:31</v>
      </c>
      <c r="B5731" t="str">
        <f>"0000805193"</f>
        <v>0000805193</v>
      </c>
      <c r="C5731" t="str">
        <f t="shared" si="2348"/>
        <v>0000805170</v>
      </c>
      <c r="D5731" t="str">
        <f t="shared" si="2333"/>
        <v>73185</v>
      </c>
      <c r="E5731" t="str">
        <f t="shared" si="2334"/>
        <v>KFH-OPERATIONS DEPARTMENT</v>
      </c>
      <c r="F5731" t="str">
        <f t="shared" si="2335"/>
        <v>IBG</v>
      </c>
      <c r="G5731" t="str">
        <f t="shared" si="2346"/>
        <v>Refund COSHARE 10</v>
      </c>
      <c r="H5731" s="2">
        <v>302.89999999999998</v>
      </c>
      <c r="I5731" t="str">
        <f>"ROSZAINI BINTI YUSOF"</f>
        <v>ROSZAINI BINTI YUSOF</v>
      </c>
      <c r="J5731" t="str">
        <f t="shared" si="2332"/>
        <v>CIMB BANK / CIMB ISLAMIC BANK</v>
      </c>
      <c r="K5731" t="str">
        <f>"12150027655524"</f>
        <v>12150027655524</v>
      </c>
      <c r="L5731" t="str">
        <f t="shared" si="2349"/>
        <v>04-08-2020</v>
      </c>
      <c r="M5731" t="str">
        <f t="shared" si="2349"/>
        <v>04-08-2020</v>
      </c>
      <c r="N5731" t="str">
        <f t="shared" si="2336"/>
        <v>001105018356</v>
      </c>
      <c r="O5731" t="str">
        <f t="shared" si="2337"/>
        <v>MYR</v>
      </c>
      <c r="P5731" t="str">
        <f t="shared" si="2350"/>
        <v>NIL</v>
      </c>
      <c r="Q5731" t="str">
        <f t="shared" si="2350"/>
        <v>NIL</v>
      </c>
      <c r="R5731" t="str">
        <f t="shared" si="2351"/>
        <v>Accepted</v>
      </c>
      <c r="S5731" t="str">
        <f t="shared" si="2338"/>
        <v>Approved</v>
      </c>
      <c r="T5731" t="str">
        <f t="shared" si="2352"/>
        <v>10.20.8.188</v>
      </c>
      <c r="U5731" t="str">
        <f t="shared" si="2339"/>
        <v>AZRAD UMAR BIN SHAARI</v>
      </c>
      <c r="V5731" t="str">
        <f t="shared" si="2340"/>
        <v>FARHANA BINTI MUSTAPA</v>
      </c>
      <c r="W5731" t="str">
        <f t="shared" si="2341"/>
        <v>04-08-2020</v>
      </c>
      <c r="X5731" t="str">
        <f t="shared" si="2342"/>
        <v>RAZIMAH ANSAR AHMAD</v>
      </c>
      <c r="Y5731" t="str">
        <f t="shared" si="2343"/>
        <v>04-08-2020</v>
      </c>
      <c r="Z5731" t="str">
        <f>"COS10200804 3423"</f>
        <v>COS10200804 3423</v>
      </c>
    </row>
    <row r="5732" spans="1:26" x14ac:dyDescent="0.25">
      <c r="A5732" t="str">
        <f t="shared" si="2347"/>
        <v>04-08-2020 12:45:31</v>
      </c>
      <c r="B5732" t="str">
        <f>"0000805192"</f>
        <v>0000805192</v>
      </c>
      <c r="C5732" t="str">
        <f t="shared" si="2348"/>
        <v>0000805170</v>
      </c>
      <c r="D5732" t="str">
        <f t="shared" si="2333"/>
        <v>73185</v>
      </c>
      <c r="E5732" t="str">
        <f t="shared" si="2334"/>
        <v>KFH-OPERATIONS DEPARTMENT</v>
      </c>
      <c r="F5732" t="str">
        <f t="shared" si="2335"/>
        <v>IBG</v>
      </c>
      <c r="G5732" t="str">
        <f t="shared" si="2346"/>
        <v>Refund COSHARE 10</v>
      </c>
      <c r="H5732" s="2">
        <v>1578</v>
      </c>
      <c r="I5732" t="str">
        <f>"ROSNIDA BT MOHNONG"</f>
        <v>ROSNIDA BT MOHNONG</v>
      </c>
      <c r="J5732" t="str">
        <f t="shared" si="2332"/>
        <v>CIMB BANK / CIMB ISLAMIC BANK</v>
      </c>
      <c r="K5732" t="str">
        <f>"13040061379526"</f>
        <v>13040061379526</v>
      </c>
      <c r="L5732" t="str">
        <f t="shared" si="2349"/>
        <v>04-08-2020</v>
      </c>
      <c r="M5732" t="str">
        <f t="shared" si="2349"/>
        <v>04-08-2020</v>
      </c>
      <c r="N5732" t="str">
        <f t="shared" si="2336"/>
        <v>001105018356</v>
      </c>
      <c r="O5732" t="str">
        <f t="shared" si="2337"/>
        <v>MYR</v>
      </c>
      <c r="P5732" t="str">
        <f t="shared" si="2350"/>
        <v>NIL</v>
      </c>
      <c r="Q5732" t="str">
        <f t="shared" si="2350"/>
        <v>NIL</v>
      </c>
      <c r="R5732" t="str">
        <f t="shared" si="2351"/>
        <v>Accepted</v>
      </c>
      <c r="S5732" t="str">
        <f t="shared" si="2338"/>
        <v>Approved</v>
      </c>
      <c r="T5732" t="str">
        <f t="shared" si="2352"/>
        <v>10.20.8.188</v>
      </c>
      <c r="U5732" t="str">
        <f t="shared" si="2339"/>
        <v>AZRAD UMAR BIN SHAARI</v>
      </c>
      <c r="V5732" t="str">
        <f t="shared" si="2340"/>
        <v>FARHANA BINTI MUSTAPA</v>
      </c>
      <c r="W5732" t="str">
        <f t="shared" si="2341"/>
        <v>04-08-2020</v>
      </c>
      <c r="X5732" t="str">
        <f t="shared" si="2342"/>
        <v>RAZIMAH ANSAR AHMAD</v>
      </c>
      <c r="Y5732" t="str">
        <f t="shared" si="2343"/>
        <v>04-08-2020</v>
      </c>
      <c r="Z5732" t="str">
        <f>"COS10200804 3422"</f>
        <v>COS10200804 3422</v>
      </c>
    </row>
    <row r="5733" spans="1:26" x14ac:dyDescent="0.25">
      <c r="A5733" t="str">
        <f t="shared" si="2347"/>
        <v>04-08-2020 12:45:31</v>
      </c>
      <c r="B5733" t="str">
        <f>"0000805191"</f>
        <v>0000805191</v>
      </c>
      <c r="C5733" t="str">
        <f t="shared" si="2348"/>
        <v>0000805170</v>
      </c>
      <c r="D5733" t="str">
        <f t="shared" si="2333"/>
        <v>73185</v>
      </c>
      <c r="E5733" t="str">
        <f t="shared" si="2334"/>
        <v>KFH-OPERATIONS DEPARTMENT</v>
      </c>
      <c r="F5733" t="str">
        <f t="shared" si="2335"/>
        <v>IBG</v>
      </c>
      <c r="G5733" t="str">
        <f t="shared" si="2346"/>
        <v>Refund COSHARE 10</v>
      </c>
      <c r="H5733" s="2">
        <v>646.45000000000005</v>
      </c>
      <c r="I5733" t="str">
        <f>"ROSNANIWATI BINTI RASIDI"</f>
        <v>ROSNANIWATI BINTI RASIDI</v>
      </c>
      <c r="J5733" t="str">
        <f t="shared" si="2332"/>
        <v>CIMB BANK / CIMB ISLAMIC BANK</v>
      </c>
      <c r="K5733" t="str">
        <f>"7019328767"</f>
        <v>7019328767</v>
      </c>
      <c r="L5733" t="str">
        <f t="shared" si="2349"/>
        <v>04-08-2020</v>
      </c>
      <c r="M5733" t="str">
        <f t="shared" si="2349"/>
        <v>04-08-2020</v>
      </c>
      <c r="N5733" t="str">
        <f t="shared" si="2336"/>
        <v>001105018356</v>
      </c>
      <c r="O5733" t="str">
        <f t="shared" si="2337"/>
        <v>MYR</v>
      </c>
      <c r="P5733" t="str">
        <f t="shared" si="2350"/>
        <v>NIL</v>
      </c>
      <c r="Q5733" t="str">
        <f t="shared" si="2350"/>
        <v>NIL</v>
      </c>
      <c r="R5733" t="str">
        <f t="shared" si="2351"/>
        <v>Accepted</v>
      </c>
      <c r="S5733" t="str">
        <f t="shared" si="2338"/>
        <v>Approved</v>
      </c>
      <c r="T5733" t="str">
        <f t="shared" si="2352"/>
        <v>10.20.8.188</v>
      </c>
      <c r="U5733" t="str">
        <f t="shared" si="2339"/>
        <v>AZRAD UMAR BIN SHAARI</v>
      </c>
      <c r="V5733" t="str">
        <f t="shared" si="2340"/>
        <v>FARHANA BINTI MUSTAPA</v>
      </c>
      <c r="W5733" t="str">
        <f t="shared" si="2341"/>
        <v>04-08-2020</v>
      </c>
      <c r="X5733" t="str">
        <f t="shared" si="2342"/>
        <v>RAZIMAH ANSAR AHMAD</v>
      </c>
      <c r="Y5733" t="str">
        <f t="shared" si="2343"/>
        <v>04-08-2020</v>
      </c>
      <c r="Z5733" t="str">
        <f>"COS10200804 3421"</f>
        <v>COS10200804 3421</v>
      </c>
    </row>
    <row r="5734" spans="1:26" x14ac:dyDescent="0.25">
      <c r="A5734" t="str">
        <f t="shared" si="2347"/>
        <v>04-08-2020 12:45:31</v>
      </c>
      <c r="B5734" t="str">
        <f>"0000805190"</f>
        <v>0000805190</v>
      </c>
      <c r="C5734" t="str">
        <f t="shared" si="2348"/>
        <v>0000805170</v>
      </c>
      <c r="D5734" t="str">
        <f t="shared" si="2333"/>
        <v>73185</v>
      </c>
      <c r="E5734" t="str">
        <f t="shared" si="2334"/>
        <v>KFH-OPERATIONS DEPARTMENT</v>
      </c>
      <c r="F5734" t="str">
        <f t="shared" si="2335"/>
        <v>IBG</v>
      </c>
      <c r="G5734" t="str">
        <f t="shared" si="2346"/>
        <v>Refund COSHARE 10</v>
      </c>
      <c r="H5734" s="2">
        <v>77.599999999999994</v>
      </c>
      <c r="I5734" t="str">
        <f>"ROSNANI BINTI OMAR"</f>
        <v>ROSNANI BINTI OMAR</v>
      </c>
      <c r="J5734" t="str">
        <f t="shared" si="2332"/>
        <v>CIMB BANK / CIMB ISLAMIC BANK</v>
      </c>
      <c r="K5734" t="str">
        <f>"06021476102521"</f>
        <v>06021476102521</v>
      </c>
      <c r="L5734" t="str">
        <f t="shared" si="2349"/>
        <v>04-08-2020</v>
      </c>
      <c r="M5734" t="str">
        <f t="shared" si="2349"/>
        <v>04-08-2020</v>
      </c>
      <c r="N5734" t="str">
        <f t="shared" si="2336"/>
        <v>001105018356</v>
      </c>
      <c r="O5734" t="str">
        <f t="shared" si="2337"/>
        <v>MYR</v>
      </c>
      <c r="P5734" t="str">
        <f t="shared" si="2350"/>
        <v>NIL</v>
      </c>
      <c r="Q5734" t="str">
        <f t="shared" si="2350"/>
        <v>NIL</v>
      </c>
      <c r="R5734" t="str">
        <f t="shared" si="2351"/>
        <v>Accepted</v>
      </c>
      <c r="S5734" t="str">
        <f t="shared" si="2338"/>
        <v>Approved</v>
      </c>
      <c r="T5734" t="str">
        <f t="shared" si="2352"/>
        <v>10.20.8.188</v>
      </c>
      <c r="U5734" t="str">
        <f t="shared" si="2339"/>
        <v>AZRAD UMAR BIN SHAARI</v>
      </c>
      <c r="V5734" t="str">
        <f t="shared" si="2340"/>
        <v>FARHANA BINTI MUSTAPA</v>
      </c>
      <c r="W5734" t="str">
        <f t="shared" si="2341"/>
        <v>04-08-2020</v>
      </c>
      <c r="X5734" t="str">
        <f t="shared" si="2342"/>
        <v>RAZIMAH ANSAR AHMAD</v>
      </c>
      <c r="Y5734" t="str">
        <f t="shared" si="2343"/>
        <v>04-08-2020</v>
      </c>
      <c r="Z5734" t="str">
        <f>"COS10200804 3420"</f>
        <v>COS10200804 3420</v>
      </c>
    </row>
    <row r="5735" spans="1:26" x14ac:dyDescent="0.25">
      <c r="A5735" t="str">
        <f t="shared" si="2347"/>
        <v>04-08-2020 12:45:31</v>
      </c>
      <c r="B5735" t="str">
        <f>"0000805189"</f>
        <v>0000805189</v>
      </c>
      <c r="C5735" t="str">
        <f t="shared" si="2348"/>
        <v>0000805170</v>
      </c>
      <c r="D5735" t="str">
        <f t="shared" si="2333"/>
        <v>73185</v>
      </c>
      <c r="E5735" t="str">
        <f t="shared" si="2334"/>
        <v>KFH-OPERATIONS DEPARTMENT</v>
      </c>
      <c r="F5735" t="str">
        <f t="shared" si="2335"/>
        <v>IBG</v>
      </c>
      <c r="G5735" t="str">
        <f t="shared" si="2346"/>
        <v>Refund COSHARE 10</v>
      </c>
      <c r="H5735" s="2">
        <v>1432.55</v>
      </c>
      <c r="I5735" t="str">
        <f>"ROSNAH BINTI AGYAHYA"</f>
        <v>ROSNAH BINTI AGYAHYA</v>
      </c>
      <c r="J5735" t="str">
        <f t="shared" si="2332"/>
        <v>CIMB BANK / CIMB ISLAMIC BANK</v>
      </c>
      <c r="K5735" t="str">
        <f>"10040014271521"</f>
        <v>10040014271521</v>
      </c>
      <c r="L5735" t="str">
        <f t="shared" si="2349"/>
        <v>04-08-2020</v>
      </c>
      <c r="M5735" t="str">
        <f t="shared" si="2349"/>
        <v>04-08-2020</v>
      </c>
      <c r="N5735" t="str">
        <f t="shared" si="2336"/>
        <v>001105018356</v>
      </c>
      <c r="O5735" t="str">
        <f t="shared" si="2337"/>
        <v>MYR</v>
      </c>
      <c r="P5735" t="str">
        <f t="shared" si="2350"/>
        <v>NIL</v>
      </c>
      <c r="Q5735" t="str">
        <f t="shared" si="2350"/>
        <v>NIL</v>
      </c>
      <c r="R5735" t="str">
        <f t="shared" si="2351"/>
        <v>Accepted</v>
      </c>
      <c r="S5735" t="str">
        <f t="shared" si="2338"/>
        <v>Approved</v>
      </c>
      <c r="T5735" t="str">
        <f t="shared" si="2352"/>
        <v>10.20.8.188</v>
      </c>
      <c r="U5735" t="str">
        <f t="shared" si="2339"/>
        <v>AZRAD UMAR BIN SHAARI</v>
      </c>
      <c r="V5735" t="str">
        <f t="shared" si="2340"/>
        <v>FARHANA BINTI MUSTAPA</v>
      </c>
      <c r="W5735" t="str">
        <f t="shared" si="2341"/>
        <v>04-08-2020</v>
      </c>
      <c r="X5735" t="str">
        <f t="shared" si="2342"/>
        <v>RAZIMAH ANSAR AHMAD</v>
      </c>
      <c r="Y5735" t="str">
        <f t="shared" si="2343"/>
        <v>04-08-2020</v>
      </c>
      <c r="Z5735" t="str">
        <f>"COS10200804 3419"</f>
        <v>COS10200804 3419</v>
      </c>
    </row>
    <row r="5736" spans="1:26" x14ac:dyDescent="0.25">
      <c r="A5736" t="str">
        <f t="shared" si="2347"/>
        <v>04-08-2020 12:45:31</v>
      </c>
      <c r="B5736" t="str">
        <f>"0000805188"</f>
        <v>0000805188</v>
      </c>
      <c r="C5736" t="str">
        <f t="shared" si="2348"/>
        <v>0000805170</v>
      </c>
      <c r="D5736" t="str">
        <f t="shared" si="2333"/>
        <v>73185</v>
      </c>
      <c r="E5736" t="str">
        <f t="shared" si="2334"/>
        <v>KFH-OPERATIONS DEPARTMENT</v>
      </c>
      <c r="F5736" t="str">
        <f t="shared" si="2335"/>
        <v>IBG</v>
      </c>
      <c r="G5736" t="str">
        <f t="shared" si="2346"/>
        <v>Refund COSHARE 10</v>
      </c>
      <c r="H5736" s="2">
        <v>377.8</v>
      </c>
      <c r="I5736" t="str">
        <f>"ROSNAH BINTI ABDULLAH"</f>
        <v>ROSNAH BINTI ABDULLAH</v>
      </c>
      <c r="J5736" t="str">
        <f t="shared" si="2332"/>
        <v>CIMB BANK / CIMB ISLAMIC BANK</v>
      </c>
      <c r="K5736" t="str">
        <f>"12010362238520"</f>
        <v>12010362238520</v>
      </c>
      <c r="L5736" t="str">
        <f t="shared" si="2349"/>
        <v>04-08-2020</v>
      </c>
      <c r="M5736" t="str">
        <f t="shared" si="2349"/>
        <v>04-08-2020</v>
      </c>
      <c r="N5736" t="str">
        <f t="shared" si="2336"/>
        <v>001105018356</v>
      </c>
      <c r="O5736" t="str">
        <f t="shared" si="2337"/>
        <v>MYR</v>
      </c>
      <c r="P5736" t="str">
        <f t="shared" si="2350"/>
        <v>NIL</v>
      </c>
      <c r="Q5736" t="str">
        <f t="shared" si="2350"/>
        <v>NIL</v>
      </c>
      <c r="R5736" t="str">
        <f t="shared" si="2351"/>
        <v>Accepted</v>
      </c>
      <c r="S5736" t="str">
        <f t="shared" si="2338"/>
        <v>Approved</v>
      </c>
      <c r="T5736" t="str">
        <f t="shared" si="2352"/>
        <v>10.20.8.188</v>
      </c>
      <c r="U5736" t="str">
        <f t="shared" si="2339"/>
        <v>AZRAD UMAR BIN SHAARI</v>
      </c>
      <c r="V5736" t="str">
        <f t="shared" si="2340"/>
        <v>FARHANA BINTI MUSTAPA</v>
      </c>
      <c r="W5736" t="str">
        <f t="shared" si="2341"/>
        <v>04-08-2020</v>
      </c>
      <c r="X5736" t="str">
        <f t="shared" si="2342"/>
        <v>RAZIMAH ANSAR AHMAD</v>
      </c>
      <c r="Y5736" t="str">
        <f t="shared" si="2343"/>
        <v>04-08-2020</v>
      </c>
      <c r="Z5736" t="str">
        <f>"COS10200804 3418"</f>
        <v>COS10200804 3418</v>
      </c>
    </row>
    <row r="5737" spans="1:26" x14ac:dyDescent="0.25">
      <c r="A5737" t="str">
        <f t="shared" si="2347"/>
        <v>04-08-2020 12:45:31</v>
      </c>
      <c r="B5737" t="str">
        <f>"0000805187"</f>
        <v>0000805187</v>
      </c>
      <c r="C5737" t="str">
        <f t="shared" si="2348"/>
        <v>0000805170</v>
      </c>
      <c r="D5737" t="str">
        <f t="shared" si="2333"/>
        <v>73185</v>
      </c>
      <c r="E5737" t="str">
        <f t="shared" si="2334"/>
        <v>KFH-OPERATIONS DEPARTMENT</v>
      </c>
      <c r="F5737" t="str">
        <f t="shared" si="2335"/>
        <v>IBG</v>
      </c>
      <c r="G5737" t="str">
        <f t="shared" si="2346"/>
        <v>Refund COSHARE 10</v>
      </c>
      <c r="H5737" s="2">
        <v>1443.95</v>
      </c>
      <c r="I5737" t="str">
        <f>"ROSMINI BINTI DAUD"</f>
        <v>ROSMINI BINTI DAUD</v>
      </c>
      <c r="J5737" t="str">
        <f t="shared" si="2332"/>
        <v>CIMB BANK / CIMB ISLAMIC BANK</v>
      </c>
      <c r="K5737" t="str">
        <f>"13070012312525"</f>
        <v>13070012312525</v>
      </c>
      <c r="L5737" t="str">
        <f t="shared" si="2349"/>
        <v>04-08-2020</v>
      </c>
      <c r="M5737" t="str">
        <f t="shared" si="2349"/>
        <v>04-08-2020</v>
      </c>
      <c r="N5737" t="str">
        <f t="shared" si="2336"/>
        <v>001105018356</v>
      </c>
      <c r="O5737" t="str">
        <f t="shared" si="2337"/>
        <v>MYR</v>
      </c>
      <c r="P5737" t="str">
        <f t="shared" si="2350"/>
        <v>NIL</v>
      </c>
      <c r="Q5737" t="str">
        <f t="shared" si="2350"/>
        <v>NIL</v>
      </c>
      <c r="R5737" t="str">
        <f t="shared" si="2351"/>
        <v>Accepted</v>
      </c>
      <c r="S5737" t="str">
        <f t="shared" si="2338"/>
        <v>Approved</v>
      </c>
      <c r="T5737" t="str">
        <f t="shared" si="2352"/>
        <v>10.20.8.188</v>
      </c>
      <c r="U5737" t="str">
        <f t="shared" si="2339"/>
        <v>AZRAD UMAR BIN SHAARI</v>
      </c>
      <c r="V5737" t="str">
        <f t="shared" si="2340"/>
        <v>FARHANA BINTI MUSTAPA</v>
      </c>
      <c r="W5737" t="str">
        <f t="shared" si="2341"/>
        <v>04-08-2020</v>
      </c>
      <c r="X5737" t="str">
        <f t="shared" si="2342"/>
        <v>RAZIMAH ANSAR AHMAD</v>
      </c>
      <c r="Y5737" t="str">
        <f t="shared" si="2343"/>
        <v>04-08-2020</v>
      </c>
      <c r="Z5737" t="str">
        <f>"COS10200804 3417"</f>
        <v>COS10200804 3417</v>
      </c>
    </row>
    <row r="5738" spans="1:26" x14ac:dyDescent="0.25">
      <c r="A5738" t="str">
        <f t="shared" si="2347"/>
        <v>04-08-2020 12:45:31</v>
      </c>
      <c r="B5738" t="str">
        <f>"0000805186"</f>
        <v>0000805186</v>
      </c>
      <c r="C5738" t="str">
        <f t="shared" si="2348"/>
        <v>0000805170</v>
      </c>
      <c r="D5738" t="str">
        <f t="shared" si="2333"/>
        <v>73185</v>
      </c>
      <c r="E5738" t="str">
        <f t="shared" si="2334"/>
        <v>KFH-OPERATIONS DEPARTMENT</v>
      </c>
      <c r="F5738" t="str">
        <f t="shared" si="2335"/>
        <v>IBG</v>
      </c>
      <c r="G5738" t="str">
        <f t="shared" si="2346"/>
        <v>Refund COSHARE 10</v>
      </c>
      <c r="H5738" s="2">
        <v>190.55</v>
      </c>
      <c r="I5738" t="str">
        <f>"ROSMIN BIN HAJI TAHIR"</f>
        <v>ROSMIN BIN HAJI TAHIR</v>
      </c>
      <c r="J5738" t="str">
        <f t="shared" si="2332"/>
        <v>CIMB BANK / CIMB ISLAMIC BANK</v>
      </c>
      <c r="K5738" t="str">
        <f>"12560004667524"</f>
        <v>12560004667524</v>
      </c>
      <c r="L5738" t="str">
        <f t="shared" si="2349"/>
        <v>04-08-2020</v>
      </c>
      <c r="M5738" t="str">
        <f t="shared" si="2349"/>
        <v>04-08-2020</v>
      </c>
      <c r="N5738" t="str">
        <f t="shared" si="2336"/>
        <v>001105018356</v>
      </c>
      <c r="O5738" t="str">
        <f t="shared" si="2337"/>
        <v>MYR</v>
      </c>
      <c r="P5738" t="str">
        <f t="shared" si="2350"/>
        <v>NIL</v>
      </c>
      <c r="Q5738" t="str">
        <f t="shared" si="2350"/>
        <v>NIL</v>
      </c>
      <c r="R5738" t="str">
        <f t="shared" si="2351"/>
        <v>Accepted</v>
      </c>
      <c r="S5738" t="str">
        <f t="shared" si="2338"/>
        <v>Approved</v>
      </c>
      <c r="T5738" t="str">
        <f t="shared" si="2352"/>
        <v>10.20.8.188</v>
      </c>
      <c r="U5738" t="str">
        <f t="shared" si="2339"/>
        <v>AZRAD UMAR BIN SHAARI</v>
      </c>
      <c r="V5738" t="str">
        <f t="shared" si="2340"/>
        <v>FARHANA BINTI MUSTAPA</v>
      </c>
      <c r="W5738" t="str">
        <f t="shared" si="2341"/>
        <v>04-08-2020</v>
      </c>
      <c r="X5738" t="str">
        <f t="shared" si="2342"/>
        <v>RAZIMAH ANSAR AHMAD</v>
      </c>
      <c r="Y5738" t="str">
        <f t="shared" si="2343"/>
        <v>04-08-2020</v>
      </c>
      <c r="Z5738" t="str">
        <f>"COS10200804 3416"</f>
        <v>COS10200804 3416</v>
      </c>
    </row>
    <row r="5739" spans="1:26" x14ac:dyDescent="0.25">
      <c r="A5739" t="str">
        <f t="shared" si="2347"/>
        <v>04-08-2020 12:45:31</v>
      </c>
      <c r="B5739" t="str">
        <f>"0000805185"</f>
        <v>0000805185</v>
      </c>
      <c r="C5739" t="str">
        <f t="shared" si="2348"/>
        <v>0000805170</v>
      </c>
      <c r="D5739" t="str">
        <f t="shared" si="2333"/>
        <v>73185</v>
      </c>
      <c r="E5739" t="str">
        <f t="shared" si="2334"/>
        <v>KFH-OPERATIONS DEPARTMENT</v>
      </c>
      <c r="F5739" t="str">
        <f t="shared" si="2335"/>
        <v>IBG</v>
      </c>
      <c r="G5739" t="str">
        <f t="shared" si="2346"/>
        <v>Refund COSHARE 10</v>
      </c>
      <c r="H5739" s="2">
        <v>109</v>
      </c>
      <c r="I5739" t="str">
        <f>"ROSMAWATI BINTI NAZMI"</f>
        <v>ROSMAWATI BINTI NAZMI</v>
      </c>
      <c r="J5739" t="str">
        <f t="shared" si="2332"/>
        <v>CIMB BANK / CIMB ISLAMIC BANK</v>
      </c>
      <c r="K5739" t="str">
        <f>"08090015474527"</f>
        <v>08090015474527</v>
      </c>
      <c r="L5739" t="str">
        <f t="shared" si="2349"/>
        <v>04-08-2020</v>
      </c>
      <c r="M5739" t="str">
        <f t="shared" si="2349"/>
        <v>04-08-2020</v>
      </c>
      <c r="N5739" t="str">
        <f t="shared" si="2336"/>
        <v>001105018356</v>
      </c>
      <c r="O5739" t="str">
        <f t="shared" si="2337"/>
        <v>MYR</v>
      </c>
      <c r="P5739" t="str">
        <f t="shared" si="2350"/>
        <v>NIL</v>
      </c>
      <c r="Q5739" t="str">
        <f t="shared" si="2350"/>
        <v>NIL</v>
      </c>
      <c r="R5739" t="str">
        <f t="shared" si="2351"/>
        <v>Accepted</v>
      </c>
      <c r="S5739" t="str">
        <f t="shared" si="2338"/>
        <v>Approved</v>
      </c>
      <c r="T5739" t="str">
        <f t="shared" si="2352"/>
        <v>10.20.8.188</v>
      </c>
      <c r="U5739" t="str">
        <f t="shared" si="2339"/>
        <v>AZRAD UMAR BIN SHAARI</v>
      </c>
      <c r="V5739" t="str">
        <f t="shared" si="2340"/>
        <v>FARHANA BINTI MUSTAPA</v>
      </c>
      <c r="W5739" t="str">
        <f t="shared" si="2341"/>
        <v>04-08-2020</v>
      </c>
      <c r="X5739" t="str">
        <f t="shared" si="2342"/>
        <v>RAZIMAH ANSAR AHMAD</v>
      </c>
      <c r="Y5739" t="str">
        <f t="shared" si="2343"/>
        <v>04-08-2020</v>
      </c>
      <c r="Z5739" t="str">
        <f>"COS10200804 3415"</f>
        <v>COS10200804 3415</v>
      </c>
    </row>
    <row r="5740" spans="1:26" x14ac:dyDescent="0.25">
      <c r="A5740" t="str">
        <f t="shared" si="2347"/>
        <v>04-08-2020 12:45:31</v>
      </c>
      <c r="B5740" t="str">
        <f>"0000805184"</f>
        <v>0000805184</v>
      </c>
      <c r="C5740" t="str">
        <f t="shared" si="2348"/>
        <v>0000805170</v>
      </c>
      <c r="D5740" t="str">
        <f t="shared" si="2333"/>
        <v>73185</v>
      </c>
      <c r="E5740" t="str">
        <f t="shared" si="2334"/>
        <v>KFH-OPERATIONS DEPARTMENT</v>
      </c>
      <c r="F5740" t="str">
        <f t="shared" si="2335"/>
        <v>IBG</v>
      </c>
      <c r="G5740" t="str">
        <f t="shared" si="2346"/>
        <v>Refund COSHARE 10</v>
      </c>
      <c r="H5740" s="2">
        <v>117.9</v>
      </c>
      <c r="I5740" t="str">
        <f>"ROSMAWATI BINTI AHAMAD"</f>
        <v>ROSMAWATI BINTI AHAMAD</v>
      </c>
      <c r="J5740" t="str">
        <f t="shared" si="2332"/>
        <v>CIMB BANK / CIMB ISLAMIC BANK</v>
      </c>
      <c r="K5740" t="str">
        <f>"11070038159528"</f>
        <v>11070038159528</v>
      </c>
      <c r="L5740" t="str">
        <f t="shared" si="2349"/>
        <v>04-08-2020</v>
      </c>
      <c r="M5740" t="str">
        <f t="shared" si="2349"/>
        <v>04-08-2020</v>
      </c>
      <c r="N5740" t="str">
        <f t="shared" si="2336"/>
        <v>001105018356</v>
      </c>
      <c r="O5740" t="str">
        <f t="shared" si="2337"/>
        <v>MYR</v>
      </c>
      <c r="P5740" t="str">
        <f t="shared" si="2350"/>
        <v>NIL</v>
      </c>
      <c r="Q5740" t="str">
        <f t="shared" si="2350"/>
        <v>NIL</v>
      </c>
      <c r="R5740" t="str">
        <f t="shared" si="2351"/>
        <v>Accepted</v>
      </c>
      <c r="S5740" t="str">
        <f t="shared" si="2338"/>
        <v>Approved</v>
      </c>
      <c r="T5740" t="str">
        <f t="shared" si="2352"/>
        <v>10.20.8.188</v>
      </c>
      <c r="U5740" t="str">
        <f t="shared" si="2339"/>
        <v>AZRAD UMAR BIN SHAARI</v>
      </c>
      <c r="V5740" t="str">
        <f t="shared" si="2340"/>
        <v>FARHANA BINTI MUSTAPA</v>
      </c>
      <c r="W5740" t="str">
        <f t="shared" si="2341"/>
        <v>04-08-2020</v>
      </c>
      <c r="X5740" t="str">
        <f t="shared" si="2342"/>
        <v>RAZIMAH ANSAR AHMAD</v>
      </c>
      <c r="Y5740" t="str">
        <f t="shared" si="2343"/>
        <v>04-08-2020</v>
      </c>
      <c r="Z5740" t="str">
        <f>"COS10200804 3414"</f>
        <v>COS10200804 3414</v>
      </c>
    </row>
    <row r="5741" spans="1:26" x14ac:dyDescent="0.25">
      <c r="A5741" t="str">
        <f t="shared" si="2347"/>
        <v>04-08-2020 12:45:31</v>
      </c>
      <c r="B5741" t="str">
        <f>"0000805183"</f>
        <v>0000805183</v>
      </c>
      <c r="C5741" t="str">
        <f t="shared" si="2348"/>
        <v>0000805170</v>
      </c>
      <c r="D5741" t="str">
        <f t="shared" si="2333"/>
        <v>73185</v>
      </c>
      <c r="E5741" t="str">
        <f t="shared" si="2334"/>
        <v>KFH-OPERATIONS DEPARTMENT</v>
      </c>
      <c r="F5741" t="str">
        <f t="shared" si="2335"/>
        <v>IBG</v>
      </c>
      <c r="G5741" t="str">
        <f t="shared" si="2346"/>
        <v>Refund COSHARE 10</v>
      </c>
      <c r="H5741" s="2">
        <v>411.75</v>
      </c>
      <c r="I5741" t="str">
        <f>"ROSMARIZAL BINTI RAMLI"</f>
        <v>ROSMARIZAL BINTI RAMLI</v>
      </c>
      <c r="J5741" t="str">
        <f t="shared" si="2332"/>
        <v>CIMB BANK / CIMB ISLAMIC BANK</v>
      </c>
      <c r="K5741" t="str">
        <f>"03010087751525"</f>
        <v>03010087751525</v>
      </c>
      <c r="L5741" t="str">
        <f t="shared" si="2349"/>
        <v>04-08-2020</v>
      </c>
      <c r="M5741" t="str">
        <f t="shared" si="2349"/>
        <v>04-08-2020</v>
      </c>
      <c r="N5741" t="str">
        <f t="shared" si="2336"/>
        <v>001105018356</v>
      </c>
      <c r="O5741" t="str">
        <f t="shared" si="2337"/>
        <v>MYR</v>
      </c>
      <c r="P5741" t="str">
        <f t="shared" si="2350"/>
        <v>NIL</v>
      </c>
      <c r="Q5741" t="str">
        <f t="shared" si="2350"/>
        <v>NIL</v>
      </c>
      <c r="R5741" t="str">
        <f t="shared" si="2351"/>
        <v>Accepted</v>
      </c>
      <c r="S5741" t="str">
        <f t="shared" si="2338"/>
        <v>Approved</v>
      </c>
      <c r="T5741" t="str">
        <f t="shared" si="2352"/>
        <v>10.20.8.188</v>
      </c>
      <c r="U5741" t="str">
        <f t="shared" si="2339"/>
        <v>AZRAD UMAR BIN SHAARI</v>
      </c>
      <c r="V5741" t="str">
        <f t="shared" si="2340"/>
        <v>FARHANA BINTI MUSTAPA</v>
      </c>
      <c r="W5741" t="str">
        <f t="shared" si="2341"/>
        <v>04-08-2020</v>
      </c>
      <c r="X5741" t="str">
        <f t="shared" si="2342"/>
        <v>RAZIMAH ANSAR AHMAD</v>
      </c>
      <c r="Y5741" t="str">
        <f t="shared" si="2343"/>
        <v>04-08-2020</v>
      </c>
      <c r="Z5741" t="str">
        <f>"COS10200804 3413"</f>
        <v>COS10200804 3413</v>
      </c>
    </row>
    <row r="5742" spans="1:26" x14ac:dyDescent="0.25">
      <c r="A5742" t="str">
        <f t="shared" si="2347"/>
        <v>04-08-2020 12:45:31</v>
      </c>
      <c r="B5742" t="str">
        <f>"0000805182"</f>
        <v>0000805182</v>
      </c>
      <c r="C5742" t="str">
        <f t="shared" si="2348"/>
        <v>0000805170</v>
      </c>
      <c r="D5742" t="str">
        <f t="shared" si="2333"/>
        <v>73185</v>
      </c>
      <c r="E5742" t="str">
        <f t="shared" si="2334"/>
        <v>KFH-OPERATIONS DEPARTMENT</v>
      </c>
      <c r="F5742" t="str">
        <f t="shared" si="2335"/>
        <v>IBG</v>
      </c>
      <c r="G5742" t="str">
        <f t="shared" si="2346"/>
        <v>Refund COSHARE 10</v>
      </c>
      <c r="H5742" s="2">
        <v>453.35</v>
      </c>
      <c r="I5742" t="str">
        <f>"ROSMALIZA BINTI MOHD ROSDAN"</f>
        <v>ROSMALIZA BINTI MOHD ROSDAN</v>
      </c>
      <c r="J5742" t="str">
        <f t="shared" si="2332"/>
        <v>CIMB BANK / CIMB ISLAMIC BANK</v>
      </c>
      <c r="K5742" t="str">
        <f>"06120091992520"</f>
        <v>06120091992520</v>
      </c>
      <c r="L5742" t="str">
        <f t="shared" si="2349"/>
        <v>04-08-2020</v>
      </c>
      <c r="M5742" t="str">
        <f t="shared" si="2349"/>
        <v>04-08-2020</v>
      </c>
      <c r="N5742" t="str">
        <f t="shared" si="2336"/>
        <v>001105018356</v>
      </c>
      <c r="O5742" t="str">
        <f t="shared" si="2337"/>
        <v>MYR</v>
      </c>
      <c r="P5742" t="str">
        <f t="shared" si="2350"/>
        <v>NIL</v>
      </c>
      <c r="Q5742" t="str">
        <f t="shared" si="2350"/>
        <v>NIL</v>
      </c>
      <c r="R5742" t="str">
        <f t="shared" si="2351"/>
        <v>Accepted</v>
      </c>
      <c r="S5742" t="str">
        <f t="shared" si="2338"/>
        <v>Approved</v>
      </c>
      <c r="T5742" t="str">
        <f t="shared" si="2352"/>
        <v>10.20.8.188</v>
      </c>
      <c r="U5742" t="str">
        <f t="shared" si="2339"/>
        <v>AZRAD UMAR BIN SHAARI</v>
      </c>
      <c r="V5742" t="str">
        <f t="shared" si="2340"/>
        <v>FARHANA BINTI MUSTAPA</v>
      </c>
      <c r="W5742" t="str">
        <f t="shared" si="2341"/>
        <v>04-08-2020</v>
      </c>
      <c r="X5742" t="str">
        <f t="shared" si="2342"/>
        <v>RAZIMAH ANSAR AHMAD</v>
      </c>
      <c r="Y5742" t="str">
        <f t="shared" si="2343"/>
        <v>04-08-2020</v>
      </c>
      <c r="Z5742" t="str">
        <f>"COS10200804 3412"</f>
        <v>COS10200804 3412</v>
      </c>
    </row>
    <row r="5743" spans="1:26" x14ac:dyDescent="0.25">
      <c r="A5743" t="str">
        <f t="shared" si="2347"/>
        <v>04-08-2020 12:45:31</v>
      </c>
      <c r="B5743" t="str">
        <f>"0000805181"</f>
        <v>0000805181</v>
      </c>
      <c r="C5743" t="str">
        <f t="shared" si="2348"/>
        <v>0000805170</v>
      </c>
      <c r="D5743" t="str">
        <f t="shared" si="2333"/>
        <v>73185</v>
      </c>
      <c r="E5743" t="str">
        <f t="shared" si="2334"/>
        <v>KFH-OPERATIONS DEPARTMENT</v>
      </c>
      <c r="F5743" t="str">
        <f t="shared" si="2335"/>
        <v>IBG</v>
      </c>
      <c r="G5743" t="str">
        <f t="shared" si="2346"/>
        <v>Refund COSHARE 10</v>
      </c>
      <c r="H5743" s="2">
        <v>1192.0999999999999</v>
      </c>
      <c r="I5743" t="str">
        <f>"ROSMAJAHWATIE BINTI ROSMAN"</f>
        <v>ROSMAJAHWATIE BINTI ROSMAN</v>
      </c>
      <c r="J5743" t="str">
        <f t="shared" si="2332"/>
        <v>CIMB BANK / CIMB ISLAMIC BANK</v>
      </c>
      <c r="K5743" t="str">
        <f>"10030068819522"</f>
        <v>10030068819522</v>
      </c>
      <c r="L5743" t="str">
        <f t="shared" si="2349"/>
        <v>04-08-2020</v>
      </c>
      <c r="M5743" t="str">
        <f t="shared" si="2349"/>
        <v>04-08-2020</v>
      </c>
      <c r="N5743" t="str">
        <f t="shared" si="2336"/>
        <v>001105018356</v>
      </c>
      <c r="O5743" t="str">
        <f t="shared" si="2337"/>
        <v>MYR</v>
      </c>
      <c r="P5743" t="str">
        <f t="shared" si="2350"/>
        <v>NIL</v>
      </c>
      <c r="Q5743" t="str">
        <f t="shared" si="2350"/>
        <v>NIL</v>
      </c>
      <c r="R5743" t="str">
        <f t="shared" si="2351"/>
        <v>Accepted</v>
      </c>
      <c r="S5743" t="str">
        <f t="shared" si="2338"/>
        <v>Approved</v>
      </c>
      <c r="T5743" t="str">
        <f t="shared" si="2352"/>
        <v>10.20.8.188</v>
      </c>
      <c r="U5743" t="str">
        <f t="shared" si="2339"/>
        <v>AZRAD UMAR BIN SHAARI</v>
      </c>
      <c r="V5743" t="str">
        <f t="shared" si="2340"/>
        <v>FARHANA BINTI MUSTAPA</v>
      </c>
      <c r="W5743" t="str">
        <f t="shared" si="2341"/>
        <v>04-08-2020</v>
      </c>
      <c r="X5743" t="str">
        <f t="shared" si="2342"/>
        <v>RAZIMAH ANSAR AHMAD</v>
      </c>
      <c r="Y5743" t="str">
        <f t="shared" si="2343"/>
        <v>04-08-2020</v>
      </c>
      <c r="Z5743" t="str">
        <f>"COS10200804 3411"</f>
        <v>COS10200804 3411</v>
      </c>
    </row>
    <row r="5744" spans="1:26" x14ac:dyDescent="0.25">
      <c r="A5744" t="str">
        <f t="shared" si="2347"/>
        <v>04-08-2020 12:45:31</v>
      </c>
      <c r="B5744" t="str">
        <f>"0000805180"</f>
        <v>0000805180</v>
      </c>
      <c r="C5744" t="str">
        <f t="shared" si="2348"/>
        <v>0000805170</v>
      </c>
      <c r="D5744" t="str">
        <f t="shared" si="2333"/>
        <v>73185</v>
      </c>
      <c r="E5744" t="str">
        <f t="shared" si="2334"/>
        <v>KFH-OPERATIONS DEPARTMENT</v>
      </c>
      <c r="F5744" t="str">
        <f t="shared" si="2335"/>
        <v>IBG</v>
      </c>
      <c r="G5744" t="str">
        <f t="shared" si="2346"/>
        <v>Refund COSHARE 10</v>
      </c>
      <c r="H5744" s="2">
        <v>835</v>
      </c>
      <c r="I5744" t="str">
        <f>"ROSMAIZA BINTI YUNUS"</f>
        <v>ROSMAIZA BINTI YUNUS</v>
      </c>
      <c r="J5744" t="str">
        <f t="shared" si="2332"/>
        <v>CIMB BANK / CIMB ISLAMIC BANK</v>
      </c>
      <c r="K5744" t="str">
        <f>"13040064430526"</f>
        <v>13040064430526</v>
      </c>
      <c r="L5744" t="str">
        <f t="shared" si="2349"/>
        <v>04-08-2020</v>
      </c>
      <c r="M5744" t="str">
        <f t="shared" si="2349"/>
        <v>04-08-2020</v>
      </c>
      <c r="N5744" t="str">
        <f t="shared" si="2336"/>
        <v>001105018356</v>
      </c>
      <c r="O5744" t="str">
        <f t="shared" si="2337"/>
        <v>MYR</v>
      </c>
      <c r="P5744" t="str">
        <f t="shared" si="2350"/>
        <v>NIL</v>
      </c>
      <c r="Q5744" t="str">
        <f t="shared" si="2350"/>
        <v>NIL</v>
      </c>
      <c r="R5744" t="str">
        <f t="shared" si="2351"/>
        <v>Accepted</v>
      </c>
      <c r="S5744" t="str">
        <f t="shared" si="2338"/>
        <v>Approved</v>
      </c>
      <c r="T5744" t="str">
        <f t="shared" si="2352"/>
        <v>10.20.8.188</v>
      </c>
      <c r="U5744" t="str">
        <f t="shared" si="2339"/>
        <v>AZRAD UMAR BIN SHAARI</v>
      </c>
      <c r="V5744" t="str">
        <f t="shared" si="2340"/>
        <v>FARHANA BINTI MUSTAPA</v>
      </c>
      <c r="W5744" t="str">
        <f t="shared" si="2341"/>
        <v>04-08-2020</v>
      </c>
      <c r="X5744" t="str">
        <f t="shared" si="2342"/>
        <v>RAZIMAH ANSAR AHMAD</v>
      </c>
      <c r="Y5744" t="str">
        <f t="shared" si="2343"/>
        <v>04-08-2020</v>
      </c>
      <c r="Z5744" t="str">
        <f>"COS10200804 3410"</f>
        <v>COS10200804 3410</v>
      </c>
    </row>
    <row r="5745" spans="1:26" x14ac:dyDescent="0.25">
      <c r="A5745" t="str">
        <f t="shared" si="2347"/>
        <v>04-08-2020 12:45:31</v>
      </c>
      <c r="B5745" t="str">
        <f>"0000805179"</f>
        <v>0000805179</v>
      </c>
      <c r="C5745" t="str">
        <f t="shared" si="2348"/>
        <v>0000805170</v>
      </c>
      <c r="D5745" t="str">
        <f t="shared" si="2333"/>
        <v>73185</v>
      </c>
      <c r="E5745" t="str">
        <f t="shared" si="2334"/>
        <v>KFH-OPERATIONS DEPARTMENT</v>
      </c>
      <c r="F5745" t="str">
        <f t="shared" si="2335"/>
        <v>IBG</v>
      </c>
      <c r="G5745" t="str">
        <f t="shared" si="2346"/>
        <v>Refund COSHARE 10</v>
      </c>
      <c r="H5745" s="2">
        <v>839.5</v>
      </c>
      <c r="I5745" t="str">
        <f>"ROSMAINI BINTI AHMAD"</f>
        <v>ROSMAINI BINTI AHMAD</v>
      </c>
      <c r="J5745" t="str">
        <f t="shared" si="2332"/>
        <v>CIMB BANK / CIMB ISLAMIC BANK</v>
      </c>
      <c r="K5745" t="str">
        <f>"05020692468527"</f>
        <v>05020692468527</v>
      </c>
      <c r="L5745" t="str">
        <f t="shared" si="2349"/>
        <v>04-08-2020</v>
      </c>
      <c r="M5745" t="str">
        <f t="shared" si="2349"/>
        <v>04-08-2020</v>
      </c>
      <c r="N5745" t="str">
        <f t="shared" si="2336"/>
        <v>001105018356</v>
      </c>
      <c r="O5745" t="str">
        <f t="shared" si="2337"/>
        <v>MYR</v>
      </c>
      <c r="P5745" t="str">
        <f t="shared" si="2350"/>
        <v>NIL</v>
      </c>
      <c r="Q5745" t="str">
        <f t="shared" si="2350"/>
        <v>NIL</v>
      </c>
      <c r="R5745" t="str">
        <f t="shared" si="2351"/>
        <v>Accepted</v>
      </c>
      <c r="S5745" t="str">
        <f t="shared" si="2338"/>
        <v>Approved</v>
      </c>
      <c r="T5745" t="str">
        <f t="shared" si="2352"/>
        <v>10.20.8.188</v>
      </c>
      <c r="U5745" t="str">
        <f t="shared" si="2339"/>
        <v>AZRAD UMAR BIN SHAARI</v>
      </c>
      <c r="V5745" t="str">
        <f t="shared" si="2340"/>
        <v>FARHANA BINTI MUSTAPA</v>
      </c>
      <c r="W5745" t="str">
        <f t="shared" si="2341"/>
        <v>04-08-2020</v>
      </c>
      <c r="X5745" t="str">
        <f t="shared" si="2342"/>
        <v>RAZIMAH ANSAR AHMAD</v>
      </c>
      <c r="Y5745" t="str">
        <f t="shared" si="2343"/>
        <v>04-08-2020</v>
      </c>
      <c r="Z5745" t="str">
        <f>"COS10200804 3409"</f>
        <v>COS10200804 3409</v>
      </c>
    </row>
    <row r="5746" spans="1:26" x14ac:dyDescent="0.25">
      <c r="A5746" t="str">
        <f t="shared" ref="A5746:A5753" si="2353">"04-08-2020 12:45:31"</f>
        <v>04-08-2020 12:45:31</v>
      </c>
      <c r="B5746" t="str">
        <f>"0000805178"</f>
        <v>0000805178</v>
      </c>
      <c r="C5746" t="str">
        <f t="shared" ref="C5746:C5753" si="2354">"0000805170"</f>
        <v>0000805170</v>
      </c>
      <c r="D5746" t="str">
        <f t="shared" si="2333"/>
        <v>73185</v>
      </c>
      <c r="E5746" t="str">
        <f t="shared" si="2334"/>
        <v>KFH-OPERATIONS DEPARTMENT</v>
      </c>
      <c r="F5746" t="str">
        <f t="shared" si="2335"/>
        <v>IBG</v>
      </c>
      <c r="G5746" t="str">
        <f t="shared" si="2346"/>
        <v>Refund COSHARE 10</v>
      </c>
      <c r="H5746" s="2">
        <v>1051.0999999999999</v>
      </c>
      <c r="I5746" t="str">
        <f>"ROSMAH BINTI SIDI"</f>
        <v>ROSMAH BINTI SIDI</v>
      </c>
      <c r="J5746" t="str">
        <f t="shared" si="2332"/>
        <v>CIMB BANK / CIMB ISLAMIC BANK</v>
      </c>
      <c r="K5746" t="str">
        <f>"11070022858529"</f>
        <v>11070022858529</v>
      </c>
      <c r="L5746" t="str">
        <f t="shared" si="2349"/>
        <v>04-08-2020</v>
      </c>
      <c r="M5746" t="str">
        <f t="shared" si="2349"/>
        <v>04-08-2020</v>
      </c>
      <c r="N5746" t="str">
        <f t="shared" si="2336"/>
        <v>001105018356</v>
      </c>
      <c r="O5746" t="str">
        <f t="shared" si="2337"/>
        <v>MYR</v>
      </c>
      <c r="P5746" t="str">
        <f t="shared" si="2350"/>
        <v>NIL</v>
      </c>
      <c r="Q5746" t="str">
        <f t="shared" si="2350"/>
        <v>NIL</v>
      </c>
      <c r="R5746" t="str">
        <f t="shared" si="2351"/>
        <v>Accepted</v>
      </c>
      <c r="S5746" t="str">
        <f t="shared" si="2338"/>
        <v>Approved</v>
      </c>
      <c r="T5746" t="str">
        <f t="shared" si="2352"/>
        <v>10.20.8.188</v>
      </c>
      <c r="U5746" t="str">
        <f t="shared" si="2339"/>
        <v>AZRAD UMAR BIN SHAARI</v>
      </c>
      <c r="V5746" t="str">
        <f t="shared" si="2340"/>
        <v>FARHANA BINTI MUSTAPA</v>
      </c>
      <c r="W5746" t="str">
        <f t="shared" si="2341"/>
        <v>04-08-2020</v>
      </c>
      <c r="X5746" t="str">
        <f t="shared" si="2342"/>
        <v>RAZIMAH ANSAR AHMAD</v>
      </c>
      <c r="Y5746" t="str">
        <f t="shared" si="2343"/>
        <v>04-08-2020</v>
      </c>
      <c r="Z5746" t="str">
        <f>"COS10200804 3408"</f>
        <v>COS10200804 3408</v>
      </c>
    </row>
    <row r="5747" spans="1:26" x14ac:dyDescent="0.25">
      <c r="A5747" t="str">
        <f t="shared" si="2353"/>
        <v>04-08-2020 12:45:31</v>
      </c>
      <c r="B5747" t="str">
        <f>"0000805177"</f>
        <v>0000805177</v>
      </c>
      <c r="C5747" t="str">
        <f t="shared" si="2354"/>
        <v>0000805170</v>
      </c>
      <c r="D5747" t="str">
        <f t="shared" si="2333"/>
        <v>73185</v>
      </c>
      <c r="E5747" t="str">
        <f t="shared" si="2334"/>
        <v>KFH-OPERATIONS DEPARTMENT</v>
      </c>
      <c r="F5747" t="str">
        <f t="shared" si="2335"/>
        <v>IBG</v>
      </c>
      <c r="G5747" t="str">
        <f t="shared" si="2346"/>
        <v>Refund COSHARE 10</v>
      </c>
      <c r="H5747" s="2">
        <v>759</v>
      </c>
      <c r="I5747" t="str">
        <f>"ROSLIZAH BINTI ABDUL RAHIM"</f>
        <v>ROSLIZAH BINTI ABDUL RAHIM</v>
      </c>
      <c r="J5747" t="str">
        <f t="shared" si="2332"/>
        <v>CIMB BANK / CIMB ISLAMIC BANK</v>
      </c>
      <c r="K5747" t="str">
        <f>"01050007434209"</f>
        <v>01050007434209</v>
      </c>
      <c r="L5747" t="str">
        <f t="shared" ref="L5747:M5766" si="2355">"04-08-2020"</f>
        <v>04-08-2020</v>
      </c>
      <c r="M5747" t="str">
        <f t="shared" si="2355"/>
        <v>04-08-2020</v>
      </c>
      <c r="N5747" t="str">
        <f t="shared" si="2336"/>
        <v>001105018356</v>
      </c>
      <c r="O5747" t="str">
        <f t="shared" si="2337"/>
        <v>MYR</v>
      </c>
      <c r="P5747" t="str">
        <f t="shared" ref="P5747:Q5766" si="2356">"NIL"</f>
        <v>NIL</v>
      </c>
      <c r="Q5747" t="str">
        <f t="shared" si="2356"/>
        <v>NIL</v>
      </c>
      <c r="R5747" t="str">
        <f t="shared" si="2351"/>
        <v>Accepted</v>
      </c>
      <c r="S5747" t="str">
        <f t="shared" si="2338"/>
        <v>Approved</v>
      </c>
      <c r="T5747" t="str">
        <f t="shared" si="2352"/>
        <v>10.20.8.188</v>
      </c>
      <c r="U5747" t="str">
        <f t="shared" si="2339"/>
        <v>AZRAD UMAR BIN SHAARI</v>
      </c>
      <c r="V5747" t="str">
        <f t="shared" si="2340"/>
        <v>FARHANA BINTI MUSTAPA</v>
      </c>
      <c r="W5747" t="str">
        <f t="shared" si="2341"/>
        <v>04-08-2020</v>
      </c>
      <c r="X5747" t="str">
        <f t="shared" si="2342"/>
        <v>RAZIMAH ANSAR AHMAD</v>
      </c>
      <c r="Y5747" t="str">
        <f t="shared" si="2343"/>
        <v>04-08-2020</v>
      </c>
      <c r="Z5747" t="str">
        <f>"COS10200804 3407"</f>
        <v>COS10200804 3407</v>
      </c>
    </row>
    <row r="5748" spans="1:26" x14ac:dyDescent="0.25">
      <c r="A5748" t="str">
        <f t="shared" si="2353"/>
        <v>04-08-2020 12:45:31</v>
      </c>
      <c r="B5748" t="str">
        <f>"0000805176"</f>
        <v>0000805176</v>
      </c>
      <c r="C5748" t="str">
        <f t="shared" si="2354"/>
        <v>0000805170</v>
      </c>
      <c r="D5748" t="str">
        <f t="shared" si="2333"/>
        <v>73185</v>
      </c>
      <c r="E5748" t="str">
        <f t="shared" si="2334"/>
        <v>KFH-OPERATIONS DEPARTMENT</v>
      </c>
      <c r="F5748" t="str">
        <f t="shared" si="2335"/>
        <v>IBG</v>
      </c>
      <c r="G5748" t="str">
        <f t="shared" si="2346"/>
        <v>Refund COSHARE 10</v>
      </c>
      <c r="H5748" s="2">
        <v>100.75</v>
      </c>
      <c r="I5748" t="str">
        <f>"ROSLIZA BINTI AMIR"</f>
        <v>ROSLIZA BINTI AMIR</v>
      </c>
      <c r="J5748" t="str">
        <f t="shared" si="2332"/>
        <v>CIMB BANK / CIMB ISLAMIC BANK</v>
      </c>
      <c r="K5748" t="str">
        <f>"14400080297529"</f>
        <v>14400080297529</v>
      </c>
      <c r="L5748" t="str">
        <f t="shared" si="2355"/>
        <v>04-08-2020</v>
      </c>
      <c r="M5748" t="str">
        <f t="shared" si="2355"/>
        <v>04-08-2020</v>
      </c>
      <c r="N5748" t="str">
        <f t="shared" si="2336"/>
        <v>001105018356</v>
      </c>
      <c r="O5748" t="str">
        <f t="shared" si="2337"/>
        <v>MYR</v>
      </c>
      <c r="P5748" t="str">
        <f t="shared" si="2356"/>
        <v>NIL</v>
      </c>
      <c r="Q5748" t="str">
        <f t="shared" si="2356"/>
        <v>NIL</v>
      </c>
      <c r="R5748" t="str">
        <f t="shared" si="2351"/>
        <v>Accepted</v>
      </c>
      <c r="S5748" t="str">
        <f t="shared" si="2338"/>
        <v>Approved</v>
      </c>
      <c r="T5748" t="str">
        <f t="shared" si="2352"/>
        <v>10.20.8.188</v>
      </c>
      <c r="U5748" t="str">
        <f t="shared" si="2339"/>
        <v>AZRAD UMAR BIN SHAARI</v>
      </c>
      <c r="V5748" t="str">
        <f t="shared" si="2340"/>
        <v>FARHANA BINTI MUSTAPA</v>
      </c>
      <c r="W5748" t="str">
        <f t="shared" si="2341"/>
        <v>04-08-2020</v>
      </c>
      <c r="X5748" t="str">
        <f t="shared" si="2342"/>
        <v>RAZIMAH ANSAR AHMAD</v>
      </c>
      <c r="Y5748" t="str">
        <f t="shared" si="2343"/>
        <v>04-08-2020</v>
      </c>
      <c r="Z5748" t="str">
        <f>"COS10200804 3406"</f>
        <v>COS10200804 3406</v>
      </c>
    </row>
    <row r="5749" spans="1:26" x14ac:dyDescent="0.25">
      <c r="A5749" t="str">
        <f t="shared" si="2353"/>
        <v>04-08-2020 12:45:31</v>
      </c>
      <c r="B5749" t="str">
        <f>"0000805175"</f>
        <v>0000805175</v>
      </c>
      <c r="C5749" t="str">
        <f t="shared" si="2354"/>
        <v>0000805170</v>
      </c>
      <c r="D5749" t="str">
        <f t="shared" si="2333"/>
        <v>73185</v>
      </c>
      <c r="E5749" t="str">
        <f t="shared" si="2334"/>
        <v>KFH-OPERATIONS DEPARTMENT</v>
      </c>
      <c r="F5749" t="str">
        <f t="shared" si="2335"/>
        <v>IBG</v>
      </c>
      <c r="G5749" t="str">
        <f t="shared" si="2346"/>
        <v>Refund COSHARE 10</v>
      </c>
      <c r="H5749" s="2">
        <v>228</v>
      </c>
      <c r="I5749" t="str">
        <f>"ROSLINDA BINTI MAHALI"</f>
        <v>ROSLINDA BINTI MAHALI</v>
      </c>
      <c r="J5749" t="str">
        <f t="shared" si="2332"/>
        <v>CIMB BANK / CIMB ISLAMIC BANK</v>
      </c>
      <c r="K5749" t="str">
        <f>"7042331654"</f>
        <v>7042331654</v>
      </c>
      <c r="L5749" t="str">
        <f t="shared" si="2355"/>
        <v>04-08-2020</v>
      </c>
      <c r="M5749" t="str">
        <f t="shared" si="2355"/>
        <v>04-08-2020</v>
      </c>
      <c r="N5749" t="str">
        <f t="shared" si="2336"/>
        <v>001105018356</v>
      </c>
      <c r="O5749" t="str">
        <f t="shared" si="2337"/>
        <v>MYR</v>
      </c>
      <c r="P5749" t="str">
        <f t="shared" si="2356"/>
        <v>NIL</v>
      </c>
      <c r="Q5749" t="str">
        <f t="shared" si="2356"/>
        <v>NIL</v>
      </c>
      <c r="R5749" t="str">
        <f t="shared" si="2351"/>
        <v>Accepted</v>
      </c>
      <c r="S5749" t="str">
        <f t="shared" si="2338"/>
        <v>Approved</v>
      </c>
      <c r="T5749" t="str">
        <f t="shared" si="2352"/>
        <v>10.20.8.188</v>
      </c>
      <c r="U5749" t="str">
        <f t="shared" si="2339"/>
        <v>AZRAD UMAR BIN SHAARI</v>
      </c>
      <c r="V5749" t="str">
        <f t="shared" si="2340"/>
        <v>FARHANA BINTI MUSTAPA</v>
      </c>
      <c r="W5749" t="str">
        <f t="shared" si="2341"/>
        <v>04-08-2020</v>
      </c>
      <c r="X5749" t="str">
        <f t="shared" si="2342"/>
        <v>RAZIMAH ANSAR AHMAD</v>
      </c>
      <c r="Y5749" t="str">
        <f t="shared" si="2343"/>
        <v>04-08-2020</v>
      </c>
      <c r="Z5749" t="str">
        <f>"COS10200804 3405"</f>
        <v>COS10200804 3405</v>
      </c>
    </row>
    <row r="5750" spans="1:26" x14ac:dyDescent="0.25">
      <c r="A5750" t="str">
        <f t="shared" si="2353"/>
        <v>04-08-2020 12:45:31</v>
      </c>
      <c r="B5750" t="str">
        <f>"0000805174"</f>
        <v>0000805174</v>
      </c>
      <c r="C5750" t="str">
        <f t="shared" si="2354"/>
        <v>0000805170</v>
      </c>
      <c r="D5750" t="str">
        <f t="shared" si="2333"/>
        <v>73185</v>
      </c>
      <c r="E5750" t="str">
        <f t="shared" si="2334"/>
        <v>KFH-OPERATIONS DEPARTMENT</v>
      </c>
      <c r="F5750" t="str">
        <f t="shared" si="2335"/>
        <v>IBG</v>
      </c>
      <c r="G5750" t="str">
        <f t="shared" si="2346"/>
        <v>Refund COSHARE 10</v>
      </c>
      <c r="H5750" s="2">
        <v>228</v>
      </c>
      <c r="I5750" t="str">
        <f>"ROSLIDZAWATI BINTI KASIM"</f>
        <v>ROSLIDZAWATI BINTI KASIM</v>
      </c>
      <c r="J5750" t="str">
        <f t="shared" si="2332"/>
        <v>CIMB BANK / CIMB ISLAMIC BANK</v>
      </c>
      <c r="K5750" t="str">
        <f>"11100065194528"</f>
        <v>11100065194528</v>
      </c>
      <c r="L5750" t="str">
        <f t="shared" si="2355"/>
        <v>04-08-2020</v>
      </c>
      <c r="M5750" t="str">
        <f t="shared" si="2355"/>
        <v>04-08-2020</v>
      </c>
      <c r="N5750" t="str">
        <f t="shared" si="2336"/>
        <v>001105018356</v>
      </c>
      <c r="O5750" t="str">
        <f t="shared" si="2337"/>
        <v>MYR</v>
      </c>
      <c r="P5750" t="str">
        <f t="shared" si="2356"/>
        <v>NIL</v>
      </c>
      <c r="Q5750" t="str">
        <f t="shared" si="2356"/>
        <v>NIL</v>
      </c>
      <c r="R5750" t="str">
        <f t="shared" si="2351"/>
        <v>Accepted</v>
      </c>
      <c r="S5750" t="str">
        <f t="shared" si="2338"/>
        <v>Approved</v>
      </c>
      <c r="T5750" t="str">
        <f t="shared" si="2352"/>
        <v>10.20.8.188</v>
      </c>
      <c r="U5750" t="str">
        <f t="shared" si="2339"/>
        <v>AZRAD UMAR BIN SHAARI</v>
      </c>
      <c r="V5750" t="str">
        <f t="shared" si="2340"/>
        <v>FARHANA BINTI MUSTAPA</v>
      </c>
      <c r="W5750" t="str">
        <f t="shared" si="2341"/>
        <v>04-08-2020</v>
      </c>
      <c r="X5750" t="str">
        <f t="shared" si="2342"/>
        <v>RAZIMAH ANSAR AHMAD</v>
      </c>
      <c r="Y5750" t="str">
        <f t="shared" si="2343"/>
        <v>04-08-2020</v>
      </c>
      <c r="Z5750" t="str">
        <f>"COS10200804 3404"</f>
        <v>COS10200804 3404</v>
      </c>
    </row>
    <row r="5751" spans="1:26" x14ac:dyDescent="0.25">
      <c r="A5751" t="str">
        <f t="shared" si="2353"/>
        <v>04-08-2020 12:45:31</v>
      </c>
      <c r="B5751" t="str">
        <f>"0000805173"</f>
        <v>0000805173</v>
      </c>
      <c r="C5751" t="str">
        <f t="shared" si="2354"/>
        <v>0000805170</v>
      </c>
      <c r="D5751" t="str">
        <f t="shared" si="2333"/>
        <v>73185</v>
      </c>
      <c r="E5751" t="str">
        <f t="shared" si="2334"/>
        <v>KFH-OPERATIONS DEPARTMENT</v>
      </c>
      <c r="F5751" t="str">
        <f t="shared" si="2335"/>
        <v>IBG</v>
      </c>
      <c r="G5751" t="str">
        <f t="shared" si="2346"/>
        <v>Refund COSHARE 10</v>
      </c>
      <c r="H5751" s="2">
        <v>214.15</v>
      </c>
      <c r="I5751" t="str">
        <f>"ROSLEE BIN NASBON"</f>
        <v>ROSLEE BIN NASBON</v>
      </c>
      <c r="J5751" t="str">
        <f t="shared" si="2332"/>
        <v>CIMB BANK / CIMB ISLAMIC BANK</v>
      </c>
      <c r="K5751" t="str">
        <f>"01150012356522"</f>
        <v>01150012356522</v>
      </c>
      <c r="L5751" t="str">
        <f t="shared" si="2355"/>
        <v>04-08-2020</v>
      </c>
      <c r="M5751" t="str">
        <f t="shared" si="2355"/>
        <v>04-08-2020</v>
      </c>
      <c r="N5751" t="str">
        <f t="shared" si="2336"/>
        <v>001105018356</v>
      </c>
      <c r="O5751" t="str">
        <f t="shared" si="2337"/>
        <v>MYR</v>
      </c>
      <c r="P5751" t="str">
        <f t="shared" si="2356"/>
        <v>NIL</v>
      </c>
      <c r="Q5751" t="str">
        <f t="shared" si="2356"/>
        <v>NIL</v>
      </c>
      <c r="R5751" t="str">
        <f t="shared" si="2351"/>
        <v>Accepted</v>
      </c>
      <c r="S5751" t="str">
        <f t="shared" si="2338"/>
        <v>Approved</v>
      </c>
      <c r="T5751" t="str">
        <f t="shared" si="2352"/>
        <v>10.20.8.188</v>
      </c>
      <c r="U5751" t="str">
        <f t="shared" si="2339"/>
        <v>AZRAD UMAR BIN SHAARI</v>
      </c>
      <c r="V5751" t="str">
        <f t="shared" si="2340"/>
        <v>FARHANA BINTI MUSTAPA</v>
      </c>
      <c r="W5751" t="str">
        <f t="shared" si="2341"/>
        <v>04-08-2020</v>
      </c>
      <c r="X5751" t="str">
        <f t="shared" si="2342"/>
        <v>RAZIMAH ANSAR AHMAD</v>
      </c>
      <c r="Y5751" t="str">
        <f t="shared" si="2343"/>
        <v>04-08-2020</v>
      </c>
      <c r="Z5751" t="str">
        <f>"COS10200804 3403"</f>
        <v>COS10200804 3403</v>
      </c>
    </row>
    <row r="5752" spans="1:26" x14ac:dyDescent="0.25">
      <c r="A5752" t="str">
        <f t="shared" si="2353"/>
        <v>04-08-2020 12:45:31</v>
      </c>
      <c r="B5752" t="str">
        <f>"0000805172"</f>
        <v>0000805172</v>
      </c>
      <c r="C5752" t="str">
        <f t="shared" si="2354"/>
        <v>0000805170</v>
      </c>
      <c r="D5752" t="str">
        <f t="shared" si="2333"/>
        <v>73185</v>
      </c>
      <c r="E5752" t="str">
        <f t="shared" si="2334"/>
        <v>KFH-OPERATIONS DEPARTMENT</v>
      </c>
      <c r="F5752" t="str">
        <f t="shared" si="2335"/>
        <v>IBG</v>
      </c>
      <c r="G5752" t="str">
        <f t="shared" si="2346"/>
        <v>Refund COSHARE 10</v>
      </c>
      <c r="H5752" s="2">
        <v>789</v>
      </c>
      <c r="I5752" t="str">
        <f>"ROSLAN BIN RZALI"</f>
        <v>ROSLAN BIN RZALI</v>
      </c>
      <c r="J5752" t="str">
        <f t="shared" si="2332"/>
        <v>CIMB BANK / CIMB ISLAMIC BANK</v>
      </c>
      <c r="K5752" t="str">
        <f>"7031020225"</f>
        <v>7031020225</v>
      </c>
      <c r="L5752" t="str">
        <f t="shared" si="2355"/>
        <v>04-08-2020</v>
      </c>
      <c r="M5752" t="str">
        <f t="shared" si="2355"/>
        <v>04-08-2020</v>
      </c>
      <c r="N5752" t="str">
        <f t="shared" si="2336"/>
        <v>001105018356</v>
      </c>
      <c r="O5752" t="str">
        <f t="shared" si="2337"/>
        <v>MYR</v>
      </c>
      <c r="P5752" t="str">
        <f t="shared" si="2356"/>
        <v>NIL</v>
      </c>
      <c r="Q5752" t="str">
        <f t="shared" si="2356"/>
        <v>NIL</v>
      </c>
      <c r="R5752" t="str">
        <f t="shared" si="2351"/>
        <v>Accepted</v>
      </c>
      <c r="S5752" t="str">
        <f t="shared" si="2338"/>
        <v>Approved</v>
      </c>
      <c r="T5752" t="str">
        <f t="shared" si="2352"/>
        <v>10.20.8.188</v>
      </c>
      <c r="U5752" t="str">
        <f t="shared" si="2339"/>
        <v>AZRAD UMAR BIN SHAARI</v>
      </c>
      <c r="V5752" t="str">
        <f t="shared" si="2340"/>
        <v>FARHANA BINTI MUSTAPA</v>
      </c>
      <c r="W5752" t="str">
        <f t="shared" si="2341"/>
        <v>04-08-2020</v>
      </c>
      <c r="X5752" t="str">
        <f t="shared" si="2342"/>
        <v>RAZIMAH ANSAR AHMAD</v>
      </c>
      <c r="Y5752" t="str">
        <f t="shared" si="2343"/>
        <v>04-08-2020</v>
      </c>
      <c r="Z5752" t="str">
        <f>"COS10200804 3402"</f>
        <v>COS10200804 3402</v>
      </c>
    </row>
    <row r="5753" spans="1:26" x14ac:dyDescent="0.25">
      <c r="A5753" t="str">
        <f t="shared" si="2353"/>
        <v>04-08-2020 12:45:31</v>
      </c>
      <c r="B5753" t="str">
        <f>"0000805171"</f>
        <v>0000805171</v>
      </c>
      <c r="C5753" t="str">
        <f t="shared" si="2354"/>
        <v>0000805170</v>
      </c>
      <c r="D5753" t="str">
        <f t="shared" si="2333"/>
        <v>73185</v>
      </c>
      <c r="E5753" t="str">
        <f t="shared" si="2334"/>
        <v>KFH-OPERATIONS DEPARTMENT</v>
      </c>
      <c r="F5753" t="str">
        <f t="shared" si="2335"/>
        <v>IBG</v>
      </c>
      <c r="G5753" t="str">
        <f t="shared" si="2346"/>
        <v>Refund COSHARE 10</v>
      </c>
      <c r="H5753" s="2">
        <v>789</v>
      </c>
      <c r="I5753" t="str">
        <f>"ROSLAN BIN RZALI"</f>
        <v>ROSLAN BIN RZALI</v>
      </c>
      <c r="J5753" t="str">
        <f t="shared" si="2332"/>
        <v>CIMB BANK / CIMB ISLAMIC BANK</v>
      </c>
      <c r="K5753" t="str">
        <f>"7031020225"</f>
        <v>7031020225</v>
      </c>
      <c r="L5753" t="str">
        <f t="shared" si="2355"/>
        <v>04-08-2020</v>
      </c>
      <c r="M5753" t="str">
        <f t="shared" si="2355"/>
        <v>04-08-2020</v>
      </c>
      <c r="N5753" t="str">
        <f t="shared" si="2336"/>
        <v>001105018356</v>
      </c>
      <c r="O5753" t="str">
        <f t="shared" si="2337"/>
        <v>MYR</v>
      </c>
      <c r="P5753" t="str">
        <f t="shared" si="2356"/>
        <v>NIL</v>
      </c>
      <c r="Q5753" t="str">
        <f t="shared" si="2356"/>
        <v>NIL</v>
      </c>
      <c r="R5753" t="str">
        <f t="shared" si="2351"/>
        <v>Accepted</v>
      </c>
      <c r="S5753" t="str">
        <f t="shared" si="2338"/>
        <v>Approved</v>
      </c>
      <c r="T5753" t="str">
        <f t="shared" si="2352"/>
        <v>10.20.8.188</v>
      </c>
      <c r="U5753" t="str">
        <f t="shared" si="2339"/>
        <v>AZRAD UMAR BIN SHAARI</v>
      </c>
      <c r="V5753" t="str">
        <f t="shared" si="2340"/>
        <v>FARHANA BINTI MUSTAPA</v>
      </c>
      <c r="W5753" t="str">
        <f t="shared" si="2341"/>
        <v>04-08-2020</v>
      </c>
      <c r="X5753" t="str">
        <f t="shared" si="2342"/>
        <v>RAZIMAH ANSAR AHMAD</v>
      </c>
      <c r="Y5753" t="str">
        <f t="shared" si="2343"/>
        <v>04-08-2020</v>
      </c>
      <c r="Z5753" t="str">
        <f>"COS10200804 3401"</f>
        <v>COS10200804 3401</v>
      </c>
    </row>
    <row r="5754" spans="1:26" x14ac:dyDescent="0.25">
      <c r="A5754" t="str">
        <f t="shared" ref="A5754:A5785" si="2357">"04-08-2020 12:44:36"</f>
        <v>04-08-2020 12:44:36</v>
      </c>
      <c r="B5754" t="str">
        <f>"0000805168"</f>
        <v>0000805168</v>
      </c>
      <c r="C5754" t="str">
        <f t="shared" ref="C5754:C5785" si="2358">"0000804968"</f>
        <v>0000804968</v>
      </c>
      <c r="D5754" t="str">
        <f t="shared" si="2333"/>
        <v>73185</v>
      </c>
      <c r="E5754" t="str">
        <f t="shared" si="2334"/>
        <v>KFH-OPERATIONS DEPARTMENT</v>
      </c>
      <c r="F5754" t="str">
        <f t="shared" si="2335"/>
        <v>IBG</v>
      </c>
      <c r="G5754" t="str">
        <f t="shared" si="2346"/>
        <v>Refund COSHARE 10</v>
      </c>
      <c r="H5754" s="2">
        <v>727.35</v>
      </c>
      <c r="I5754" t="str">
        <f>"ROSLAN ABAR"</f>
        <v>ROSLAN ABAR</v>
      </c>
      <c r="J5754" t="str">
        <f t="shared" si="2332"/>
        <v>CIMB BANK / CIMB ISLAMIC BANK</v>
      </c>
      <c r="K5754" t="str">
        <f>"10050071495520"</f>
        <v>10050071495520</v>
      </c>
      <c r="L5754" t="str">
        <f t="shared" si="2355"/>
        <v>04-08-2020</v>
      </c>
      <c r="M5754" t="str">
        <f t="shared" si="2355"/>
        <v>04-08-2020</v>
      </c>
      <c r="N5754" t="str">
        <f t="shared" si="2336"/>
        <v>001105018356</v>
      </c>
      <c r="O5754" t="str">
        <f t="shared" si="2337"/>
        <v>MYR</v>
      </c>
      <c r="P5754" t="str">
        <f t="shared" si="2356"/>
        <v>NIL</v>
      </c>
      <c r="Q5754" t="str">
        <f t="shared" si="2356"/>
        <v>NIL</v>
      </c>
      <c r="R5754" t="str">
        <f t="shared" si="2351"/>
        <v>Accepted</v>
      </c>
      <c r="S5754" t="str">
        <f t="shared" si="2338"/>
        <v>Approved</v>
      </c>
      <c r="T5754" t="str">
        <f t="shared" si="2352"/>
        <v>10.20.8.188</v>
      </c>
      <c r="U5754" t="str">
        <f t="shared" si="2339"/>
        <v>AZRAD UMAR BIN SHAARI</v>
      </c>
      <c r="V5754" t="str">
        <f t="shared" si="2340"/>
        <v>FARHANA BINTI MUSTAPA</v>
      </c>
      <c r="W5754" t="str">
        <f t="shared" si="2341"/>
        <v>04-08-2020</v>
      </c>
      <c r="X5754" t="str">
        <f t="shared" si="2342"/>
        <v>RAZIMAH ANSAR AHMAD</v>
      </c>
      <c r="Y5754" t="str">
        <f t="shared" si="2343"/>
        <v>04-08-2020</v>
      </c>
      <c r="Z5754" t="str">
        <f>"COS10200804 3400"</f>
        <v>COS10200804 3400</v>
      </c>
    </row>
    <row r="5755" spans="1:26" x14ac:dyDescent="0.25">
      <c r="A5755" t="str">
        <f t="shared" si="2357"/>
        <v>04-08-2020 12:44:36</v>
      </c>
      <c r="B5755" t="str">
        <f>"0000805167"</f>
        <v>0000805167</v>
      </c>
      <c r="C5755" t="str">
        <f t="shared" si="2358"/>
        <v>0000804968</v>
      </c>
      <c r="D5755" t="str">
        <f t="shared" si="2333"/>
        <v>73185</v>
      </c>
      <c r="E5755" t="str">
        <f t="shared" si="2334"/>
        <v>KFH-OPERATIONS DEPARTMENT</v>
      </c>
      <c r="F5755" t="str">
        <f t="shared" si="2335"/>
        <v>IBG</v>
      </c>
      <c r="G5755" t="str">
        <f t="shared" si="2346"/>
        <v>Refund COSHARE 10</v>
      </c>
      <c r="H5755" s="2">
        <v>1807.45</v>
      </c>
      <c r="I5755" t="str">
        <f>"ROSIMAH BINTI ABU BAKAR"</f>
        <v>ROSIMAH BINTI ABU BAKAR</v>
      </c>
      <c r="J5755" t="str">
        <f t="shared" si="2332"/>
        <v>CIMB BANK / CIMB ISLAMIC BANK</v>
      </c>
      <c r="K5755" t="str">
        <f>"7039151931"</f>
        <v>7039151931</v>
      </c>
      <c r="L5755" t="str">
        <f t="shared" si="2355"/>
        <v>04-08-2020</v>
      </c>
      <c r="M5755" t="str">
        <f t="shared" si="2355"/>
        <v>04-08-2020</v>
      </c>
      <c r="N5755" t="str">
        <f t="shared" si="2336"/>
        <v>001105018356</v>
      </c>
      <c r="O5755" t="str">
        <f t="shared" si="2337"/>
        <v>MYR</v>
      </c>
      <c r="P5755" t="str">
        <f t="shared" si="2356"/>
        <v>NIL</v>
      </c>
      <c r="Q5755" t="str">
        <f t="shared" si="2356"/>
        <v>NIL</v>
      </c>
      <c r="R5755" t="str">
        <f t="shared" si="2351"/>
        <v>Accepted</v>
      </c>
      <c r="S5755" t="str">
        <f t="shared" si="2338"/>
        <v>Approved</v>
      </c>
      <c r="T5755" t="str">
        <f t="shared" si="2352"/>
        <v>10.20.8.188</v>
      </c>
      <c r="U5755" t="str">
        <f t="shared" si="2339"/>
        <v>AZRAD UMAR BIN SHAARI</v>
      </c>
      <c r="V5755" t="str">
        <f t="shared" si="2340"/>
        <v>FARHANA BINTI MUSTAPA</v>
      </c>
      <c r="W5755" t="str">
        <f t="shared" si="2341"/>
        <v>04-08-2020</v>
      </c>
      <c r="X5755" t="str">
        <f t="shared" si="2342"/>
        <v>RAZIMAH ANSAR AHMAD</v>
      </c>
      <c r="Y5755" t="str">
        <f t="shared" si="2343"/>
        <v>04-08-2020</v>
      </c>
      <c r="Z5755" t="str">
        <f>"COS10200804 3399"</f>
        <v>COS10200804 3399</v>
      </c>
    </row>
    <row r="5756" spans="1:26" x14ac:dyDescent="0.25">
      <c r="A5756" t="str">
        <f t="shared" si="2357"/>
        <v>04-08-2020 12:44:36</v>
      </c>
      <c r="B5756" t="str">
        <f>"0000805166"</f>
        <v>0000805166</v>
      </c>
      <c r="C5756" t="str">
        <f t="shared" si="2358"/>
        <v>0000804968</v>
      </c>
      <c r="D5756" t="str">
        <f t="shared" si="2333"/>
        <v>73185</v>
      </c>
      <c r="E5756" t="str">
        <f t="shared" si="2334"/>
        <v>KFH-OPERATIONS DEPARTMENT</v>
      </c>
      <c r="F5756" t="str">
        <f t="shared" si="2335"/>
        <v>IBG</v>
      </c>
      <c r="G5756" t="str">
        <f t="shared" si="2346"/>
        <v>Refund COSHARE 10</v>
      </c>
      <c r="H5756" s="2">
        <v>1055</v>
      </c>
      <c r="I5756" t="str">
        <f>"ROSILAWATI BT MOHD SOFIAN  ABD KARIM"</f>
        <v>ROSILAWATI BT MOHD SOFIAN  ABD KARIM</v>
      </c>
      <c r="J5756" t="str">
        <f t="shared" ref="J5756:J5819" si="2359">"CIMB BANK / CIMB ISLAMIC BANK"</f>
        <v>CIMB BANK / CIMB ISLAMIC BANK</v>
      </c>
      <c r="K5756" t="str">
        <f>"7036836311"</f>
        <v>7036836311</v>
      </c>
      <c r="L5756" t="str">
        <f t="shared" si="2355"/>
        <v>04-08-2020</v>
      </c>
      <c r="M5756" t="str">
        <f t="shared" si="2355"/>
        <v>04-08-2020</v>
      </c>
      <c r="N5756" t="str">
        <f t="shared" si="2336"/>
        <v>001105018356</v>
      </c>
      <c r="O5756" t="str">
        <f t="shared" si="2337"/>
        <v>MYR</v>
      </c>
      <c r="P5756" t="str">
        <f t="shared" si="2356"/>
        <v>NIL</v>
      </c>
      <c r="Q5756" t="str">
        <f t="shared" si="2356"/>
        <v>NIL</v>
      </c>
      <c r="R5756" t="str">
        <f t="shared" si="2351"/>
        <v>Accepted</v>
      </c>
      <c r="S5756" t="str">
        <f t="shared" si="2338"/>
        <v>Approved</v>
      </c>
      <c r="T5756" t="str">
        <f t="shared" si="2352"/>
        <v>10.20.8.188</v>
      </c>
      <c r="U5756" t="str">
        <f t="shared" si="2339"/>
        <v>AZRAD UMAR BIN SHAARI</v>
      </c>
      <c r="V5756" t="str">
        <f t="shared" si="2340"/>
        <v>FARHANA BINTI MUSTAPA</v>
      </c>
      <c r="W5756" t="str">
        <f t="shared" si="2341"/>
        <v>04-08-2020</v>
      </c>
      <c r="X5756" t="str">
        <f t="shared" si="2342"/>
        <v>RAZIMAH ANSAR AHMAD</v>
      </c>
      <c r="Y5756" t="str">
        <f t="shared" si="2343"/>
        <v>04-08-2020</v>
      </c>
      <c r="Z5756" t="str">
        <f>"COS10200804 3398"</f>
        <v>COS10200804 3398</v>
      </c>
    </row>
    <row r="5757" spans="1:26" x14ac:dyDescent="0.25">
      <c r="A5757" t="str">
        <f t="shared" si="2357"/>
        <v>04-08-2020 12:44:36</v>
      </c>
      <c r="B5757" t="str">
        <f>"0000805165"</f>
        <v>0000805165</v>
      </c>
      <c r="C5757" t="str">
        <f t="shared" si="2358"/>
        <v>0000804968</v>
      </c>
      <c r="D5757" t="str">
        <f t="shared" si="2333"/>
        <v>73185</v>
      </c>
      <c r="E5757" t="str">
        <f t="shared" si="2334"/>
        <v>KFH-OPERATIONS DEPARTMENT</v>
      </c>
      <c r="F5757" t="str">
        <f t="shared" si="2335"/>
        <v>IBG</v>
      </c>
      <c r="G5757" t="str">
        <f t="shared" si="2346"/>
        <v>Refund COSHARE 10</v>
      </c>
      <c r="H5757" s="2">
        <v>461.75</v>
      </c>
      <c r="I5757" t="str">
        <f>"ROSHILA BINTI ZAKIR HUSIN"</f>
        <v>ROSHILA BINTI ZAKIR HUSIN</v>
      </c>
      <c r="J5757" t="str">
        <f t="shared" si="2359"/>
        <v>CIMB BANK / CIMB ISLAMIC BANK</v>
      </c>
      <c r="K5757" t="str">
        <f>"07290037247528"</f>
        <v>07290037247528</v>
      </c>
      <c r="L5757" t="str">
        <f t="shared" si="2355"/>
        <v>04-08-2020</v>
      </c>
      <c r="M5757" t="str">
        <f t="shared" si="2355"/>
        <v>04-08-2020</v>
      </c>
      <c r="N5757" t="str">
        <f t="shared" si="2336"/>
        <v>001105018356</v>
      </c>
      <c r="O5757" t="str">
        <f t="shared" si="2337"/>
        <v>MYR</v>
      </c>
      <c r="P5757" t="str">
        <f t="shared" si="2356"/>
        <v>NIL</v>
      </c>
      <c r="Q5757" t="str">
        <f t="shared" si="2356"/>
        <v>NIL</v>
      </c>
      <c r="R5757" t="str">
        <f t="shared" si="2351"/>
        <v>Accepted</v>
      </c>
      <c r="S5757" t="str">
        <f t="shared" si="2338"/>
        <v>Approved</v>
      </c>
      <c r="T5757" t="str">
        <f t="shared" si="2352"/>
        <v>10.20.8.188</v>
      </c>
      <c r="U5757" t="str">
        <f t="shared" si="2339"/>
        <v>AZRAD UMAR BIN SHAARI</v>
      </c>
      <c r="V5757" t="str">
        <f t="shared" si="2340"/>
        <v>FARHANA BINTI MUSTAPA</v>
      </c>
      <c r="W5757" t="str">
        <f t="shared" si="2341"/>
        <v>04-08-2020</v>
      </c>
      <c r="X5757" t="str">
        <f t="shared" si="2342"/>
        <v>RAZIMAH ANSAR AHMAD</v>
      </c>
      <c r="Y5757" t="str">
        <f t="shared" si="2343"/>
        <v>04-08-2020</v>
      </c>
      <c r="Z5757" t="str">
        <f>"COS10200804 3397"</f>
        <v>COS10200804 3397</v>
      </c>
    </row>
    <row r="5758" spans="1:26" x14ac:dyDescent="0.25">
      <c r="A5758" t="str">
        <f t="shared" si="2357"/>
        <v>04-08-2020 12:44:36</v>
      </c>
      <c r="B5758" t="str">
        <f>"0000805164"</f>
        <v>0000805164</v>
      </c>
      <c r="C5758" t="str">
        <f t="shared" si="2358"/>
        <v>0000804968</v>
      </c>
      <c r="D5758" t="str">
        <f t="shared" si="2333"/>
        <v>73185</v>
      </c>
      <c r="E5758" t="str">
        <f t="shared" si="2334"/>
        <v>KFH-OPERATIONS DEPARTMENT</v>
      </c>
      <c r="F5758" t="str">
        <f t="shared" si="2335"/>
        <v>IBG</v>
      </c>
      <c r="G5758" t="str">
        <f t="shared" si="2346"/>
        <v>Refund COSHARE 10</v>
      </c>
      <c r="H5758" s="2">
        <v>201</v>
      </c>
      <c r="I5758" t="str">
        <f>"ROSHIDI BIN RAHMAT  ABDUL RAHMAN"</f>
        <v>ROSHIDI BIN RAHMAT  ABDUL RAHMAN</v>
      </c>
      <c r="J5758" t="str">
        <f t="shared" si="2359"/>
        <v>CIMB BANK / CIMB ISLAMIC BANK</v>
      </c>
      <c r="K5758" t="str">
        <f>"08030042243527"</f>
        <v>08030042243527</v>
      </c>
      <c r="L5758" t="str">
        <f t="shared" si="2355"/>
        <v>04-08-2020</v>
      </c>
      <c r="M5758" t="str">
        <f t="shared" si="2355"/>
        <v>04-08-2020</v>
      </c>
      <c r="N5758" t="str">
        <f t="shared" si="2336"/>
        <v>001105018356</v>
      </c>
      <c r="O5758" t="str">
        <f t="shared" si="2337"/>
        <v>MYR</v>
      </c>
      <c r="P5758" t="str">
        <f t="shared" si="2356"/>
        <v>NIL</v>
      </c>
      <c r="Q5758" t="str">
        <f t="shared" si="2356"/>
        <v>NIL</v>
      </c>
      <c r="R5758" t="str">
        <f t="shared" si="2351"/>
        <v>Accepted</v>
      </c>
      <c r="S5758" t="str">
        <f t="shared" si="2338"/>
        <v>Approved</v>
      </c>
      <c r="T5758" t="str">
        <f t="shared" si="2352"/>
        <v>10.20.8.188</v>
      </c>
      <c r="U5758" t="str">
        <f t="shared" si="2339"/>
        <v>AZRAD UMAR BIN SHAARI</v>
      </c>
      <c r="V5758" t="str">
        <f t="shared" si="2340"/>
        <v>FARHANA BINTI MUSTAPA</v>
      </c>
      <c r="W5758" t="str">
        <f t="shared" si="2341"/>
        <v>04-08-2020</v>
      </c>
      <c r="X5758" t="str">
        <f t="shared" si="2342"/>
        <v>RAZIMAH ANSAR AHMAD</v>
      </c>
      <c r="Y5758" t="str">
        <f t="shared" si="2343"/>
        <v>04-08-2020</v>
      </c>
      <c r="Z5758" t="str">
        <f>"COS10200804 3396"</f>
        <v>COS10200804 3396</v>
      </c>
    </row>
    <row r="5759" spans="1:26" x14ac:dyDescent="0.25">
      <c r="A5759" t="str">
        <f t="shared" si="2357"/>
        <v>04-08-2020 12:44:36</v>
      </c>
      <c r="B5759" t="str">
        <f>"0000805163"</f>
        <v>0000805163</v>
      </c>
      <c r="C5759" t="str">
        <f t="shared" si="2358"/>
        <v>0000804968</v>
      </c>
      <c r="D5759" t="str">
        <f t="shared" si="2333"/>
        <v>73185</v>
      </c>
      <c r="E5759" t="str">
        <f t="shared" si="2334"/>
        <v>KFH-OPERATIONS DEPARTMENT</v>
      </c>
      <c r="F5759" t="str">
        <f t="shared" si="2335"/>
        <v>IBG</v>
      </c>
      <c r="G5759" t="str">
        <f t="shared" si="2346"/>
        <v>Refund COSHARE 10</v>
      </c>
      <c r="H5759" s="2">
        <v>344.2</v>
      </c>
      <c r="I5759" t="str">
        <f>"ROSHEDI BIN MOHD KHALID  HALIM"</f>
        <v>ROSHEDI BIN MOHD KHALID  HALIM</v>
      </c>
      <c r="J5759" t="str">
        <f t="shared" si="2359"/>
        <v>CIMB BANK / CIMB ISLAMIC BANK</v>
      </c>
      <c r="K5759" t="str">
        <f>"02140072579522"</f>
        <v>02140072579522</v>
      </c>
      <c r="L5759" t="str">
        <f t="shared" si="2355"/>
        <v>04-08-2020</v>
      </c>
      <c r="M5759" t="str">
        <f t="shared" si="2355"/>
        <v>04-08-2020</v>
      </c>
      <c r="N5759" t="str">
        <f t="shared" si="2336"/>
        <v>001105018356</v>
      </c>
      <c r="O5759" t="str">
        <f t="shared" si="2337"/>
        <v>MYR</v>
      </c>
      <c r="P5759" t="str">
        <f t="shared" si="2356"/>
        <v>NIL</v>
      </c>
      <c r="Q5759" t="str">
        <f t="shared" si="2356"/>
        <v>NIL</v>
      </c>
      <c r="R5759" t="str">
        <f t="shared" si="2351"/>
        <v>Accepted</v>
      </c>
      <c r="S5759" t="str">
        <f t="shared" si="2338"/>
        <v>Approved</v>
      </c>
      <c r="T5759" t="str">
        <f t="shared" si="2352"/>
        <v>10.20.8.188</v>
      </c>
      <c r="U5759" t="str">
        <f t="shared" si="2339"/>
        <v>AZRAD UMAR BIN SHAARI</v>
      </c>
      <c r="V5759" t="str">
        <f t="shared" si="2340"/>
        <v>FARHANA BINTI MUSTAPA</v>
      </c>
      <c r="W5759" t="str">
        <f t="shared" si="2341"/>
        <v>04-08-2020</v>
      </c>
      <c r="X5759" t="str">
        <f t="shared" si="2342"/>
        <v>RAZIMAH ANSAR AHMAD</v>
      </c>
      <c r="Y5759" t="str">
        <f t="shared" si="2343"/>
        <v>04-08-2020</v>
      </c>
      <c r="Z5759" t="str">
        <f>"COS10200804 3395"</f>
        <v>COS10200804 3395</v>
      </c>
    </row>
    <row r="5760" spans="1:26" x14ac:dyDescent="0.25">
      <c r="A5760" t="str">
        <f t="shared" si="2357"/>
        <v>04-08-2020 12:44:36</v>
      </c>
      <c r="B5760" t="str">
        <f>"0000805162"</f>
        <v>0000805162</v>
      </c>
      <c r="C5760" t="str">
        <f t="shared" si="2358"/>
        <v>0000804968</v>
      </c>
      <c r="D5760" t="str">
        <f t="shared" si="2333"/>
        <v>73185</v>
      </c>
      <c r="E5760" t="str">
        <f t="shared" si="2334"/>
        <v>KFH-OPERATIONS DEPARTMENT</v>
      </c>
      <c r="F5760" t="str">
        <f t="shared" si="2335"/>
        <v>IBG</v>
      </c>
      <c r="G5760" t="str">
        <f t="shared" si="2346"/>
        <v>Refund COSHARE 10</v>
      </c>
      <c r="H5760" s="2">
        <v>260.25</v>
      </c>
      <c r="I5760" t="str">
        <f>"ROSHAZLINA BINTI ROSLI"</f>
        <v>ROSHAZLINA BINTI ROSLI</v>
      </c>
      <c r="J5760" t="str">
        <f t="shared" si="2359"/>
        <v>CIMB BANK / CIMB ISLAMIC BANK</v>
      </c>
      <c r="K5760" t="str">
        <f>"06100068118528"</f>
        <v>06100068118528</v>
      </c>
      <c r="L5760" t="str">
        <f t="shared" si="2355"/>
        <v>04-08-2020</v>
      </c>
      <c r="M5760" t="str">
        <f t="shared" si="2355"/>
        <v>04-08-2020</v>
      </c>
      <c r="N5760" t="str">
        <f t="shared" si="2336"/>
        <v>001105018356</v>
      </c>
      <c r="O5760" t="str">
        <f t="shared" si="2337"/>
        <v>MYR</v>
      </c>
      <c r="P5760" t="str">
        <f t="shared" si="2356"/>
        <v>NIL</v>
      </c>
      <c r="Q5760" t="str">
        <f t="shared" si="2356"/>
        <v>NIL</v>
      </c>
      <c r="R5760" t="str">
        <f t="shared" si="2351"/>
        <v>Accepted</v>
      </c>
      <c r="S5760" t="str">
        <f t="shared" si="2338"/>
        <v>Approved</v>
      </c>
      <c r="T5760" t="str">
        <f t="shared" si="2352"/>
        <v>10.20.8.188</v>
      </c>
      <c r="U5760" t="str">
        <f t="shared" si="2339"/>
        <v>AZRAD UMAR BIN SHAARI</v>
      </c>
      <c r="V5760" t="str">
        <f t="shared" si="2340"/>
        <v>FARHANA BINTI MUSTAPA</v>
      </c>
      <c r="W5760" t="str">
        <f t="shared" si="2341"/>
        <v>04-08-2020</v>
      </c>
      <c r="X5760" t="str">
        <f t="shared" si="2342"/>
        <v>RAZIMAH ANSAR AHMAD</v>
      </c>
      <c r="Y5760" t="str">
        <f t="shared" si="2343"/>
        <v>04-08-2020</v>
      </c>
      <c r="Z5760" t="str">
        <f>"COS10200804 3394"</f>
        <v>COS10200804 3394</v>
      </c>
    </row>
    <row r="5761" spans="1:26" x14ac:dyDescent="0.25">
      <c r="A5761" t="str">
        <f t="shared" si="2357"/>
        <v>04-08-2020 12:44:36</v>
      </c>
      <c r="B5761" t="str">
        <f>"0000805161"</f>
        <v>0000805161</v>
      </c>
      <c r="C5761" t="str">
        <f t="shared" si="2358"/>
        <v>0000804968</v>
      </c>
      <c r="D5761" t="str">
        <f t="shared" si="2333"/>
        <v>73185</v>
      </c>
      <c r="E5761" t="str">
        <f t="shared" si="2334"/>
        <v>KFH-OPERATIONS DEPARTMENT</v>
      </c>
      <c r="F5761" t="str">
        <f t="shared" si="2335"/>
        <v>IBG</v>
      </c>
      <c r="G5761" t="str">
        <f t="shared" si="2346"/>
        <v>Refund COSHARE 10</v>
      </c>
      <c r="H5761" s="2">
        <v>442.05</v>
      </c>
      <c r="I5761" t="str">
        <f>"ROSHAIDA BINTI JUSOH"</f>
        <v>ROSHAIDA BINTI JUSOH</v>
      </c>
      <c r="J5761" t="str">
        <f t="shared" si="2359"/>
        <v>CIMB BANK / CIMB ISLAMIC BANK</v>
      </c>
      <c r="K5761" t="str">
        <f>"12190076907528"</f>
        <v>12190076907528</v>
      </c>
      <c r="L5761" t="str">
        <f t="shared" si="2355"/>
        <v>04-08-2020</v>
      </c>
      <c r="M5761" t="str">
        <f t="shared" si="2355"/>
        <v>04-08-2020</v>
      </c>
      <c r="N5761" t="str">
        <f t="shared" si="2336"/>
        <v>001105018356</v>
      </c>
      <c r="O5761" t="str">
        <f t="shared" si="2337"/>
        <v>MYR</v>
      </c>
      <c r="P5761" t="str">
        <f t="shared" si="2356"/>
        <v>NIL</v>
      </c>
      <c r="Q5761" t="str">
        <f t="shared" si="2356"/>
        <v>NIL</v>
      </c>
      <c r="R5761" t="str">
        <f t="shared" si="2351"/>
        <v>Accepted</v>
      </c>
      <c r="S5761" t="str">
        <f t="shared" si="2338"/>
        <v>Approved</v>
      </c>
      <c r="T5761" t="str">
        <f t="shared" si="2352"/>
        <v>10.20.8.188</v>
      </c>
      <c r="U5761" t="str">
        <f t="shared" si="2339"/>
        <v>AZRAD UMAR BIN SHAARI</v>
      </c>
      <c r="V5761" t="str">
        <f t="shared" si="2340"/>
        <v>FARHANA BINTI MUSTAPA</v>
      </c>
      <c r="W5761" t="str">
        <f t="shared" si="2341"/>
        <v>04-08-2020</v>
      </c>
      <c r="X5761" t="str">
        <f t="shared" si="2342"/>
        <v>RAZIMAH ANSAR AHMAD</v>
      </c>
      <c r="Y5761" t="str">
        <f t="shared" si="2343"/>
        <v>04-08-2020</v>
      </c>
      <c r="Z5761" t="str">
        <f>"COS10200804 3393"</f>
        <v>COS10200804 3393</v>
      </c>
    </row>
    <row r="5762" spans="1:26" x14ac:dyDescent="0.25">
      <c r="A5762" t="str">
        <f t="shared" si="2357"/>
        <v>04-08-2020 12:44:36</v>
      </c>
      <c r="B5762" t="str">
        <f>"0000805160"</f>
        <v>0000805160</v>
      </c>
      <c r="C5762" t="str">
        <f t="shared" si="2358"/>
        <v>0000804968</v>
      </c>
      <c r="D5762" t="str">
        <f t="shared" si="2333"/>
        <v>73185</v>
      </c>
      <c r="E5762" t="str">
        <f t="shared" si="2334"/>
        <v>KFH-OPERATIONS DEPARTMENT</v>
      </c>
      <c r="F5762" t="str">
        <f t="shared" si="2335"/>
        <v>IBG</v>
      </c>
      <c r="G5762" t="str">
        <f t="shared" si="2346"/>
        <v>Refund COSHARE 10</v>
      </c>
      <c r="H5762" s="2">
        <v>1366</v>
      </c>
      <c r="I5762" t="str">
        <f>"ROSHAFIZA BINTI YAHAYA"</f>
        <v>ROSHAFIZA BINTI YAHAYA</v>
      </c>
      <c r="J5762" t="str">
        <f t="shared" si="2359"/>
        <v>CIMB BANK / CIMB ISLAMIC BANK</v>
      </c>
      <c r="K5762" t="str">
        <f>"07290028656522"</f>
        <v>07290028656522</v>
      </c>
      <c r="L5762" t="str">
        <f t="shared" si="2355"/>
        <v>04-08-2020</v>
      </c>
      <c r="M5762" t="str">
        <f t="shared" si="2355"/>
        <v>04-08-2020</v>
      </c>
      <c r="N5762" t="str">
        <f t="shared" si="2336"/>
        <v>001105018356</v>
      </c>
      <c r="O5762" t="str">
        <f t="shared" si="2337"/>
        <v>MYR</v>
      </c>
      <c r="P5762" t="str">
        <f t="shared" si="2356"/>
        <v>NIL</v>
      </c>
      <c r="Q5762" t="str">
        <f t="shared" si="2356"/>
        <v>NIL</v>
      </c>
      <c r="R5762" t="str">
        <f t="shared" si="2351"/>
        <v>Accepted</v>
      </c>
      <c r="S5762" t="str">
        <f t="shared" si="2338"/>
        <v>Approved</v>
      </c>
      <c r="T5762" t="str">
        <f t="shared" si="2352"/>
        <v>10.20.8.188</v>
      </c>
      <c r="U5762" t="str">
        <f t="shared" si="2339"/>
        <v>AZRAD UMAR BIN SHAARI</v>
      </c>
      <c r="V5762" t="str">
        <f t="shared" si="2340"/>
        <v>FARHANA BINTI MUSTAPA</v>
      </c>
      <c r="W5762" t="str">
        <f t="shared" si="2341"/>
        <v>04-08-2020</v>
      </c>
      <c r="X5762" t="str">
        <f t="shared" si="2342"/>
        <v>RAZIMAH ANSAR AHMAD</v>
      </c>
      <c r="Y5762" t="str">
        <f t="shared" si="2343"/>
        <v>04-08-2020</v>
      </c>
      <c r="Z5762" t="str">
        <f>"COS10200804 3392"</f>
        <v>COS10200804 3392</v>
      </c>
    </row>
    <row r="5763" spans="1:26" x14ac:dyDescent="0.25">
      <c r="A5763" t="str">
        <f t="shared" si="2357"/>
        <v>04-08-2020 12:44:36</v>
      </c>
      <c r="B5763" t="str">
        <f>"0000805159"</f>
        <v>0000805159</v>
      </c>
      <c r="C5763" t="str">
        <f t="shared" si="2358"/>
        <v>0000804968</v>
      </c>
      <c r="D5763" t="str">
        <f t="shared" si="2333"/>
        <v>73185</v>
      </c>
      <c r="E5763" t="str">
        <f t="shared" si="2334"/>
        <v>KFH-OPERATIONS DEPARTMENT</v>
      </c>
      <c r="F5763" t="str">
        <f t="shared" si="2335"/>
        <v>IBG</v>
      </c>
      <c r="G5763" t="str">
        <f t="shared" si="2346"/>
        <v>Refund COSHARE 10</v>
      </c>
      <c r="H5763" s="2">
        <v>881.5</v>
      </c>
      <c r="I5763" t="str">
        <f>"ROSELY BIN KASIM"</f>
        <v>ROSELY BIN KASIM</v>
      </c>
      <c r="J5763" t="str">
        <f t="shared" si="2359"/>
        <v>CIMB BANK / CIMB ISLAMIC BANK</v>
      </c>
      <c r="K5763" t="str">
        <f>"10040063446527"</f>
        <v>10040063446527</v>
      </c>
      <c r="L5763" t="str">
        <f t="shared" si="2355"/>
        <v>04-08-2020</v>
      </c>
      <c r="M5763" t="str">
        <f t="shared" si="2355"/>
        <v>04-08-2020</v>
      </c>
      <c r="N5763" t="str">
        <f t="shared" si="2336"/>
        <v>001105018356</v>
      </c>
      <c r="O5763" t="str">
        <f t="shared" si="2337"/>
        <v>MYR</v>
      </c>
      <c r="P5763" t="str">
        <f t="shared" si="2356"/>
        <v>NIL</v>
      </c>
      <c r="Q5763" t="str">
        <f t="shared" si="2356"/>
        <v>NIL</v>
      </c>
      <c r="R5763" t="str">
        <f t="shared" si="2351"/>
        <v>Accepted</v>
      </c>
      <c r="S5763" t="str">
        <f t="shared" si="2338"/>
        <v>Approved</v>
      </c>
      <c r="T5763" t="str">
        <f t="shared" si="2352"/>
        <v>10.20.8.188</v>
      </c>
      <c r="U5763" t="str">
        <f t="shared" si="2339"/>
        <v>AZRAD UMAR BIN SHAARI</v>
      </c>
      <c r="V5763" t="str">
        <f t="shared" si="2340"/>
        <v>FARHANA BINTI MUSTAPA</v>
      </c>
      <c r="W5763" t="str">
        <f t="shared" si="2341"/>
        <v>04-08-2020</v>
      </c>
      <c r="X5763" t="str">
        <f t="shared" si="2342"/>
        <v>RAZIMAH ANSAR AHMAD</v>
      </c>
      <c r="Y5763" t="str">
        <f t="shared" si="2343"/>
        <v>04-08-2020</v>
      </c>
      <c r="Z5763" t="str">
        <f>"COS10200804 3391"</f>
        <v>COS10200804 3391</v>
      </c>
    </row>
    <row r="5764" spans="1:26" x14ac:dyDescent="0.25">
      <c r="A5764" t="str">
        <f t="shared" si="2357"/>
        <v>04-08-2020 12:44:36</v>
      </c>
      <c r="B5764" t="str">
        <f>"0000805158"</f>
        <v>0000805158</v>
      </c>
      <c r="C5764" t="str">
        <f t="shared" si="2358"/>
        <v>0000804968</v>
      </c>
      <c r="D5764" t="str">
        <f t="shared" si="2333"/>
        <v>73185</v>
      </c>
      <c r="E5764" t="str">
        <f t="shared" si="2334"/>
        <v>KFH-OPERATIONS DEPARTMENT</v>
      </c>
      <c r="F5764" t="str">
        <f t="shared" si="2335"/>
        <v>IBG</v>
      </c>
      <c r="G5764" t="str">
        <f t="shared" si="2346"/>
        <v>Refund COSHARE 10</v>
      </c>
      <c r="H5764" s="2">
        <v>50.4</v>
      </c>
      <c r="I5764" t="str">
        <f>"ROSELINA BINTI HASHIM"</f>
        <v>ROSELINA BINTI HASHIM</v>
      </c>
      <c r="J5764" t="str">
        <f t="shared" si="2359"/>
        <v>CIMB BANK / CIMB ISLAMIC BANK</v>
      </c>
      <c r="K5764" t="str">
        <f>"12210037464520"</f>
        <v>12210037464520</v>
      </c>
      <c r="L5764" t="str">
        <f t="shared" si="2355"/>
        <v>04-08-2020</v>
      </c>
      <c r="M5764" t="str">
        <f t="shared" si="2355"/>
        <v>04-08-2020</v>
      </c>
      <c r="N5764" t="str">
        <f t="shared" si="2336"/>
        <v>001105018356</v>
      </c>
      <c r="O5764" t="str">
        <f t="shared" si="2337"/>
        <v>MYR</v>
      </c>
      <c r="P5764" t="str">
        <f t="shared" si="2356"/>
        <v>NIL</v>
      </c>
      <c r="Q5764" t="str">
        <f t="shared" si="2356"/>
        <v>NIL</v>
      </c>
      <c r="R5764" t="str">
        <f t="shared" si="2351"/>
        <v>Accepted</v>
      </c>
      <c r="S5764" t="str">
        <f t="shared" si="2338"/>
        <v>Approved</v>
      </c>
      <c r="T5764" t="str">
        <f t="shared" si="2352"/>
        <v>10.20.8.188</v>
      </c>
      <c r="U5764" t="str">
        <f t="shared" si="2339"/>
        <v>AZRAD UMAR BIN SHAARI</v>
      </c>
      <c r="V5764" t="str">
        <f t="shared" si="2340"/>
        <v>FARHANA BINTI MUSTAPA</v>
      </c>
      <c r="W5764" t="str">
        <f t="shared" si="2341"/>
        <v>04-08-2020</v>
      </c>
      <c r="X5764" t="str">
        <f t="shared" si="2342"/>
        <v>RAZIMAH ANSAR AHMAD</v>
      </c>
      <c r="Y5764" t="str">
        <f t="shared" si="2343"/>
        <v>04-08-2020</v>
      </c>
      <c r="Z5764" t="str">
        <f>"COS10200804 3390"</f>
        <v>COS10200804 3390</v>
      </c>
    </row>
    <row r="5765" spans="1:26" x14ac:dyDescent="0.25">
      <c r="A5765" t="str">
        <f t="shared" si="2357"/>
        <v>04-08-2020 12:44:36</v>
      </c>
      <c r="B5765" t="str">
        <f>"0000805157"</f>
        <v>0000805157</v>
      </c>
      <c r="C5765" t="str">
        <f t="shared" si="2358"/>
        <v>0000804968</v>
      </c>
      <c r="D5765" t="str">
        <f t="shared" si="2333"/>
        <v>73185</v>
      </c>
      <c r="E5765" t="str">
        <f t="shared" si="2334"/>
        <v>KFH-OPERATIONS DEPARTMENT</v>
      </c>
      <c r="F5765" t="str">
        <f t="shared" si="2335"/>
        <v>IBG</v>
      </c>
      <c r="G5765" t="str">
        <f t="shared" si="2346"/>
        <v>Refund COSHARE 10</v>
      </c>
      <c r="H5765" s="2">
        <v>805.95</v>
      </c>
      <c r="I5765" t="str">
        <f>"ROSEAMIZAH BINTI SHARIF"</f>
        <v>ROSEAMIZAH BINTI SHARIF</v>
      </c>
      <c r="J5765" t="str">
        <f t="shared" si="2359"/>
        <v>CIMB BANK / CIMB ISLAMIC BANK</v>
      </c>
      <c r="K5765" t="str">
        <f>"7057203854"</f>
        <v>7057203854</v>
      </c>
      <c r="L5765" t="str">
        <f t="shared" si="2355"/>
        <v>04-08-2020</v>
      </c>
      <c r="M5765" t="str">
        <f t="shared" si="2355"/>
        <v>04-08-2020</v>
      </c>
      <c r="N5765" t="str">
        <f t="shared" si="2336"/>
        <v>001105018356</v>
      </c>
      <c r="O5765" t="str">
        <f t="shared" si="2337"/>
        <v>MYR</v>
      </c>
      <c r="P5765" t="str">
        <f t="shared" si="2356"/>
        <v>NIL</v>
      </c>
      <c r="Q5765" t="str">
        <f t="shared" si="2356"/>
        <v>NIL</v>
      </c>
      <c r="R5765" t="str">
        <f t="shared" si="2351"/>
        <v>Accepted</v>
      </c>
      <c r="S5765" t="str">
        <f t="shared" si="2338"/>
        <v>Approved</v>
      </c>
      <c r="T5765" t="str">
        <f t="shared" si="2352"/>
        <v>10.20.8.188</v>
      </c>
      <c r="U5765" t="str">
        <f t="shared" si="2339"/>
        <v>AZRAD UMAR BIN SHAARI</v>
      </c>
      <c r="V5765" t="str">
        <f t="shared" si="2340"/>
        <v>FARHANA BINTI MUSTAPA</v>
      </c>
      <c r="W5765" t="str">
        <f t="shared" si="2341"/>
        <v>04-08-2020</v>
      </c>
      <c r="X5765" t="str">
        <f t="shared" si="2342"/>
        <v>RAZIMAH ANSAR AHMAD</v>
      </c>
      <c r="Y5765" t="str">
        <f t="shared" si="2343"/>
        <v>04-08-2020</v>
      </c>
      <c r="Z5765" t="str">
        <f>"COS10200804 3389"</f>
        <v>COS10200804 3389</v>
      </c>
    </row>
    <row r="5766" spans="1:26" x14ac:dyDescent="0.25">
      <c r="A5766" t="str">
        <f t="shared" si="2357"/>
        <v>04-08-2020 12:44:36</v>
      </c>
      <c r="B5766" t="str">
        <f>"0000805156"</f>
        <v>0000805156</v>
      </c>
      <c r="C5766" t="str">
        <f t="shared" si="2358"/>
        <v>0000804968</v>
      </c>
      <c r="D5766" t="str">
        <f t="shared" si="2333"/>
        <v>73185</v>
      </c>
      <c r="E5766" t="str">
        <f t="shared" si="2334"/>
        <v>KFH-OPERATIONS DEPARTMENT</v>
      </c>
      <c r="F5766" t="str">
        <f t="shared" si="2335"/>
        <v>IBG</v>
      </c>
      <c r="G5766" t="str">
        <f t="shared" si="2346"/>
        <v>Refund COSHARE 10</v>
      </c>
      <c r="H5766" s="2">
        <v>377.8</v>
      </c>
      <c r="I5766" t="str">
        <f>"ROSE MAZIRA BINTI MOHAMAD"</f>
        <v>ROSE MAZIRA BINTI MOHAMAD</v>
      </c>
      <c r="J5766" t="str">
        <f t="shared" si="2359"/>
        <v>CIMB BANK / CIMB ISLAMIC BANK</v>
      </c>
      <c r="K5766" t="str">
        <f>"14160066917525"</f>
        <v>14160066917525</v>
      </c>
      <c r="L5766" t="str">
        <f t="shared" si="2355"/>
        <v>04-08-2020</v>
      </c>
      <c r="M5766" t="str">
        <f t="shared" si="2355"/>
        <v>04-08-2020</v>
      </c>
      <c r="N5766" t="str">
        <f t="shared" si="2336"/>
        <v>001105018356</v>
      </c>
      <c r="O5766" t="str">
        <f t="shared" si="2337"/>
        <v>MYR</v>
      </c>
      <c r="P5766" t="str">
        <f t="shared" si="2356"/>
        <v>NIL</v>
      </c>
      <c r="Q5766" t="str">
        <f t="shared" si="2356"/>
        <v>NIL</v>
      </c>
      <c r="R5766" t="str">
        <f t="shared" si="2351"/>
        <v>Accepted</v>
      </c>
      <c r="S5766" t="str">
        <f t="shared" si="2338"/>
        <v>Approved</v>
      </c>
      <c r="T5766" t="str">
        <f t="shared" si="2352"/>
        <v>10.20.8.188</v>
      </c>
      <c r="U5766" t="str">
        <f t="shared" si="2339"/>
        <v>AZRAD UMAR BIN SHAARI</v>
      </c>
      <c r="V5766" t="str">
        <f t="shared" si="2340"/>
        <v>FARHANA BINTI MUSTAPA</v>
      </c>
      <c r="W5766" t="str">
        <f t="shared" si="2341"/>
        <v>04-08-2020</v>
      </c>
      <c r="X5766" t="str">
        <f t="shared" si="2342"/>
        <v>RAZIMAH ANSAR AHMAD</v>
      </c>
      <c r="Y5766" t="str">
        <f t="shared" si="2343"/>
        <v>04-08-2020</v>
      </c>
      <c r="Z5766" t="str">
        <f>"COS10200804 3388"</f>
        <v>COS10200804 3388</v>
      </c>
    </row>
    <row r="5767" spans="1:26" x14ac:dyDescent="0.25">
      <c r="A5767" t="str">
        <f t="shared" si="2357"/>
        <v>04-08-2020 12:44:36</v>
      </c>
      <c r="B5767" t="str">
        <f>"0000805155"</f>
        <v>0000805155</v>
      </c>
      <c r="C5767" t="str">
        <f t="shared" si="2358"/>
        <v>0000804968</v>
      </c>
      <c r="D5767" t="str">
        <f t="shared" ref="D5767:D5830" si="2360">"73185"</f>
        <v>73185</v>
      </c>
      <c r="E5767" t="str">
        <f t="shared" ref="E5767:E5830" si="2361">"KFH-OPERATIONS DEPARTMENT"</f>
        <v>KFH-OPERATIONS DEPARTMENT</v>
      </c>
      <c r="F5767" t="str">
        <f t="shared" ref="F5767:F5830" si="2362">"IBG"</f>
        <v>IBG</v>
      </c>
      <c r="G5767" t="str">
        <f t="shared" si="2346"/>
        <v>Refund COSHARE 10</v>
      </c>
      <c r="H5767" s="2">
        <v>83.95</v>
      </c>
      <c r="I5767" t="str">
        <f>"ROSE HASNITA BINTI AHMAD RASHID"</f>
        <v>ROSE HASNITA BINTI AHMAD RASHID</v>
      </c>
      <c r="J5767" t="str">
        <f t="shared" si="2359"/>
        <v>CIMB BANK / CIMB ISLAMIC BANK</v>
      </c>
      <c r="K5767" t="str">
        <f>"020058695085"</f>
        <v>020058695085</v>
      </c>
      <c r="L5767" t="str">
        <f t="shared" ref="L5767:M5786" si="2363">"04-08-2020"</f>
        <v>04-08-2020</v>
      </c>
      <c r="M5767" t="str">
        <f t="shared" si="2363"/>
        <v>04-08-2020</v>
      </c>
      <c r="N5767" t="str">
        <f t="shared" ref="N5767:N5830" si="2364">"001105018356"</f>
        <v>001105018356</v>
      </c>
      <c r="O5767" t="str">
        <f t="shared" ref="O5767:O5830" si="2365">"MYR"</f>
        <v>MYR</v>
      </c>
      <c r="P5767" t="str">
        <f t="shared" ref="P5767:Q5786" si="2366">"NIL"</f>
        <v>NIL</v>
      </c>
      <c r="Q5767" t="str">
        <f t="shared" si="2366"/>
        <v>NIL</v>
      </c>
      <c r="R5767" t="str">
        <f t="shared" si="2351"/>
        <v>Accepted</v>
      </c>
      <c r="S5767" t="str">
        <f t="shared" ref="S5767:S5830" si="2367">"Approved"</f>
        <v>Approved</v>
      </c>
      <c r="T5767" t="str">
        <f t="shared" si="2352"/>
        <v>10.20.8.188</v>
      </c>
      <c r="U5767" t="str">
        <f t="shared" ref="U5767:U5830" si="2368">"AZRAD UMAR BIN SHAARI"</f>
        <v>AZRAD UMAR BIN SHAARI</v>
      </c>
      <c r="V5767" t="str">
        <f t="shared" ref="V5767:V5830" si="2369">"FARHANA BINTI MUSTAPA"</f>
        <v>FARHANA BINTI MUSTAPA</v>
      </c>
      <c r="W5767" t="str">
        <f t="shared" ref="W5767:W5830" si="2370">"04-08-2020"</f>
        <v>04-08-2020</v>
      </c>
      <c r="X5767" t="str">
        <f t="shared" ref="X5767:X5830" si="2371">"RAZIMAH ANSAR AHMAD"</f>
        <v>RAZIMAH ANSAR AHMAD</v>
      </c>
      <c r="Y5767" t="str">
        <f t="shared" ref="Y5767:Y5830" si="2372">"04-08-2020"</f>
        <v>04-08-2020</v>
      </c>
      <c r="Z5767" t="str">
        <f>"COS10200804 3387"</f>
        <v>COS10200804 3387</v>
      </c>
    </row>
    <row r="5768" spans="1:26" x14ac:dyDescent="0.25">
      <c r="A5768" t="str">
        <f t="shared" si="2357"/>
        <v>04-08-2020 12:44:36</v>
      </c>
      <c r="B5768" t="str">
        <f>"0000805154"</f>
        <v>0000805154</v>
      </c>
      <c r="C5768" t="str">
        <f t="shared" si="2358"/>
        <v>0000804968</v>
      </c>
      <c r="D5768" t="str">
        <f t="shared" si="2360"/>
        <v>73185</v>
      </c>
      <c r="E5768" t="str">
        <f t="shared" si="2361"/>
        <v>KFH-OPERATIONS DEPARTMENT</v>
      </c>
      <c r="F5768" t="str">
        <f t="shared" si="2362"/>
        <v>IBG</v>
      </c>
      <c r="G5768" t="str">
        <f t="shared" si="2346"/>
        <v>Refund COSHARE 10</v>
      </c>
      <c r="H5768" s="2">
        <v>67.2</v>
      </c>
      <c r="I5768" t="str">
        <f>"ROSDILLAH BIN HASBULA"</f>
        <v>ROSDILLAH BIN HASBULA</v>
      </c>
      <c r="J5768" t="str">
        <f t="shared" si="2359"/>
        <v>CIMB BANK / CIMB ISLAMIC BANK</v>
      </c>
      <c r="K5768" t="str">
        <f>"7606361963"</f>
        <v>7606361963</v>
      </c>
      <c r="L5768" t="str">
        <f t="shared" si="2363"/>
        <v>04-08-2020</v>
      </c>
      <c r="M5768" t="str">
        <f t="shared" si="2363"/>
        <v>04-08-2020</v>
      </c>
      <c r="N5768" t="str">
        <f t="shared" si="2364"/>
        <v>001105018356</v>
      </c>
      <c r="O5768" t="str">
        <f t="shared" si="2365"/>
        <v>MYR</v>
      </c>
      <c r="P5768" t="str">
        <f t="shared" si="2366"/>
        <v>NIL</v>
      </c>
      <c r="Q5768" t="str">
        <f t="shared" si="2366"/>
        <v>NIL</v>
      </c>
      <c r="R5768" t="str">
        <f t="shared" si="2351"/>
        <v>Accepted</v>
      </c>
      <c r="S5768" t="str">
        <f t="shared" si="2367"/>
        <v>Approved</v>
      </c>
      <c r="T5768" t="str">
        <f t="shared" si="2352"/>
        <v>10.20.8.188</v>
      </c>
      <c r="U5768" t="str">
        <f t="shared" si="2368"/>
        <v>AZRAD UMAR BIN SHAARI</v>
      </c>
      <c r="V5768" t="str">
        <f t="shared" si="2369"/>
        <v>FARHANA BINTI MUSTAPA</v>
      </c>
      <c r="W5768" t="str">
        <f t="shared" si="2370"/>
        <v>04-08-2020</v>
      </c>
      <c r="X5768" t="str">
        <f t="shared" si="2371"/>
        <v>RAZIMAH ANSAR AHMAD</v>
      </c>
      <c r="Y5768" t="str">
        <f t="shared" si="2372"/>
        <v>04-08-2020</v>
      </c>
      <c r="Z5768" t="str">
        <f>"COS10200804 3386"</f>
        <v>COS10200804 3386</v>
      </c>
    </row>
    <row r="5769" spans="1:26" x14ac:dyDescent="0.25">
      <c r="A5769" t="str">
        <f t="shared" si="2357"/>
        <v>04-08-2020 12:44:36</v>
      </c>
      <c r="B5769" t="str">
        <f>"0000805153"</f>
        <v>0000805153</v>
      </c>
      <c r="C5769" t="str">
        <f t="shared" si="2358"/>
        <v>0000804968</v>
      </c>
      <c r="D5769" t="str">
        <f t="shared" si="2360"/>
        <v>73185</v>
      </c>
      <c r="E5769" t="str">
        <f t="shared" si="2361"/>
        <v>KFH-OPERATIONS DEPARTMENT</v>
      </c>
      <c r="F5769" t="str">
        <f t="shared" si="2362"/>
        <v>IBG</v>
      </c>
      <c r="G5769" t="str">
        <f t="shared" si="2346"/>
        <v>Refund COSHARE 10</v>
      </c>
      <c r="H5769" s="2">
        <v>345.95</v>
      </c>
      <c r="I5769" t="str">
        <f>"ROSDI BIN SAIMAN"</f>
        <v>ROSDI BIN SAIMAN</v>
      </c>
      <c r="J5769" t="str">
        <f t="shared" si="2359"/>
        <v>CIMB BANK / CIMB ISLAMIC BANK</v>
      </c>
      <c r="K5769" t="str">
        <f>"15010071923527"</f>
        <v>15010071923527</v>
      </c>
      <c r="L5769" t="str">
        <f t="shared" si="2363"/>
        <v>04-08-2020</v>
      </c>
      <c r="M5769" t="str">
        <f t="shared" si="2363"/>
        <v>04-08-2020</v>
      </c>
      <c r="N5769" t="str">
        <f t="shared" si="2364"/>
        <v>001105018356</v>
      </c>
      <c r="O5769" t="str">
        <f t="shared" si="2365"/>
        <v>MYR</v>
      </c>
      <c r="P5769" t="str">
        <f t="shared" si="2366"/>
        <v>NIL</v>
      </c>
      <c r="Q5769" t="str">
        <f t="shared" si="2366"/>
        <v>NIL</v>
      </c>
      <c r="R5769" t="str">
        <f t="shared" si="2351"/>
        <v>Accepted</v>
      </c>
      <c r="S5769" t="str">
        <f t="shared" si="2367"/>
        <v>Approved</v>
      </c>
      <c r="T5769" t="str">
        <f t="shared" si="2352"/>
        <v>10.20.8.188</v>
      </c>
      <c r="U5769" t="str">
        <f t="shared" si="2368"/>
        <v>AZRAD UMAR BIN SHAARI</v>
      </c>
      <c r="V5769" t="str">
        <f t="shared" si="2369"/>
        <v>FARHANA BINTI MUSTAPA</v>
      </c>
      <c r="W5769" t="str">
        <f t="shared" si="2370"/>
        <v>04-08-2020</v>
      </c>
      <c r="X5769" t="str">
        <f t="shared" si="2371"/>
        <v>RAZIMAH ANSAR AHMAD</v>
      </c>
      <c r="Y5769" t="str">
        <f t="shared" si="2372"/>
        <v>04-08-2020</v>
      </c>
      <c r="Z5769" t="str">
        <f>"COS10200804 3385"</f>
        <v>COS10200804 3385</v>
      </c>
    </row>
    <row r="5770" spans="1:26" x14ac:dyDescent="0.25">
      <c r="A5770" t="str">
        <f t="shared" si="2357"/>
        <v>04-08-2020 12:44:36</v>
      </c>
      <c r="B5770" t="str">
        <f>"0000805152"</f>
        <v>0000805152</v>
      </c>
      <c r="C5770" t="str">
        <f t="shared" si="2358"/>
        <v>0000804968</v>
      </c>
      <c r="D5770" t="str">
        <f t="shared" si="2360"/>
        <v>73185</v>
      </c>
      <c r="E5770" t="str">
        <f t="shared" si="2361"/>
        <v>KFH-OPERATIONS DEPARTMENT</v>
      </c>
      <c r="F5770" t="str">
        <f t="shared" si="2362"/>
        <v>IBG</v>
      </c>
      <c r="G5770" t="str">
        <f t="shared" si="2346"/>
        <v>Refund COSHARE 10</v>
      </c>
      <c r="H5770" s="2">
        <v>1221.05</v>
      </c>
      <c r="I5770" t="str">
        <f>"ROSALINE ANAK SIBOS"</f>
        <v>ROSALINE ANAK SIBOS</v>
      </c>
      <c r="J5770" t="str">
        <f t="shared" si="2359"/>
        <v>CIMB BANK / CIMB ISLAMIC BANK</v>
      </c>
      <c r="K5770" t="str">
        <f>"11070045938521"</f>
        <v>11070045938521</v>
      </c>
      <c r="L5770" t="str">
        <f t="shared" si="2363"/>
        <v>04-08-2020</v>
      </c>
      <c r="M5770" t="str">
        <f t="shared" si="2363"/>
        <v>04-08-2020</v>
      </c>
      <c r="N5770" t="str">
        <f t="shared" si="2364"/>
        <v>001105018356</v>
      </c>
      <c r="O5770" t="str">
        <f t="shared" si="2365"/>
        <v>MYR</v>
      </c>
      <c r="P5770" t="str">
        <f t="shared" si="2366"/>
        <v>NIL</v>
      </c>
      <c r="Q5770" t="str">
        <f t="shared" si="2366"/>
        <v>NIL</v>
      </c>
      <c r="R5770" t="str">
        <f t="shared" si="2351"/>
        <v>Accepted</v>
      </c>
      <c r="S5770" t="str">
        <f t="shared" si="2367"/>
        <v>Approved</v>
      </c>
      <c r="T5770" t="str">
        <f t="shared" si="2352"/>
        <v>10.20.8.188</v>
      </c>
      <c r="U5770" t="str">
        <f t="shared" si="2368"/>
        <v>AZRAD UMAR BIN SHAARI</v>
      </c>
      <c r="V5770" t="str">
        <f t="shared" si="2369"/>
        <v>FARHANA BINTI MUSTAPA</v>
      </c>
      <c r="W5770" t="str">
        <f t="shared" si="2370"/>
        <v>04-08-2020</v>
      </c>
      <c r="X5770" t="str">
        <f t="shared" si="2371"/>
        <v>RAZIMAH ANSAR AHMAD</v>
      </c>
      <c r="Y5770" t="str">
        <f t="shared" si="2372"/>
        <v>04-08-2020</v>
      </c>
      <c r="Z5770" t="str">
        <f>"COS10200804 3384"</f>
        <v>COS10200804 3384</v>
      </c>
    </row>
    <row r="5771" spans="1:26" x14ac:dyDescent="0.25">
      <c r="A5771" t="str">
        <f t="shared" si="2357"/>
        <v>04-08-2020 12:44:36</v>
      </c>
      <c r="B5771" t="str">
        <f>"0000805151"</f>
        <v>0000805151</v>
      </c>
      <c r="C5771" t="str">
        <f t="shared" si="2358"/>
        <v>0000804968</v>
      </c>
      <c r="D5771" t="str">
        <f t="shared" si="2360"/>
        <v>73185</v>
      </c>
      <c r="E5771" t="str">
        <f t="shared" si="2361"/>
        <v>KFH-OPERATIONS DEPARTMENT</v>
      </c>
      <c r="F5771" t="str">
        <f t="shared" si="2362"/>
        <v>IBG</v>
      </c>
      <c r="G5771" t="str">
        <f t="shared" si="2346"/>
        <v>Refund COSHARE 10</v>
      </c>
      <c r="H5771" s="2">
        <v>772.35</v>
      </c>
      <c r="I5771" t="str">
        <f>"ROS AFIZA BINTI HASSAN"</f>
        <v>ROS AFIZA BINTI HASSAN</v>
      </c>
      <c r="J5771" t="str">
        <f t="shared" si="2359"/>
        <v>CIMB BANK / CIMB ISLAMIC BANK</v>
      </c>
      <c r="K5771" t="str">
        <f>"14160039556525"</f>
        <v>14160039556525</v>
      </c>
      <c r="L5771" t="str">
        <f t="shared" si="2363"/>
        <v>04-08-2020</v>
      </c>
      <c r="M5771" t="str">
        <f t="shared" si="2363"/>
        <v>04-08-2020</v>
      </c>
      <c r="N5771" t="str">
        <f t="shared" si="2364"/>
        <v>001105018356</v>
      </c>
      <c r="O5771" t="str">
        <f t="shared" si="2365"/>
        <v>MYR</v>
      </c>
      <c r="P5771" t="str">
        <f t="shared" si="2366"/>
        <v>NIL</v>
      </c>
      <c r="Q5771" t="str">
        <f t="shared" si="2366"/>
        <v>NIL</v>
      </c>
      <c r="R5771" t="str">
        <f t="shared" si="2351"/>
        <v>Accepted</v>
      </c>
      <c r="S5771" t="str">
        <f t="shared" si="2367"/>
        <v>Approved</v>
      </c>
      <c r="T5771" t="str">
        <f t="shared" si="2352"/>
        <v>10.20.8.188</v>
      </c>
      <c r="U5771" t="str">
        <f t="shared" si="2368"/>
        <v>AZRAD UMAR BIN SHAARI</v>
      </c>
      <c r="V5771" t="str">
        <f t="shared" si="2369"/>
        <v>FARHANA BINTI MUSTAPA</v>
      </c>
      <c r="W5771" t="str">
        <f t="shared" si="2370"/>
        <v>04-08-2020</v>
      </c>
      <c r="X5771" t="str">
        <f t="shared" si="2371"/>
        <v>RAZIMAH ANSAR AHMAD</v>
      </c>
      <c r="Y5771" t="str">
        <f t="shared" si="2372"/>
        <v>04-08-2020</v>
      </c>
      <c r="Z5771" t="str">
        <f>"COS10200804 3383"</f>
        <v>COS10200804 3383</v>
      </c>
    </row>
    <row r="5772" spans="1:26" x14ac:dyDescent="0.25">
      <c r="A5772" t="str">
        <f t="shared" si="2357"/>
        <v>04-08-2020 12:44:36</v>
      </c>
      <c r="B5772" t="str">
        <f>"0000805150"</f>
        <v>0000805150</v>
      </c>
      <c r="C5772" t="str">
        <f t="shared" si="2358"/>
        <v>0000804968</v>
      </c>
      <c r="D5772" t="str">
        <f t="shared" si="2360"/>
        <v>73185</v>
      </c>
      <c r="E5772" t="str">
        <f t="shared" si="2361"/>
        <v>KFH-OPERATIONS DEPARTMENT</v>
      </c>
      <c r="F5772" t="str">
        <f t="shared" si="2362"/>
        <v>IBG</v>
      </c>
      <c r="G5772" t="str">
        <f t="shared" ref="G5772:G5835" si="2373">"Refund COSHARE 10"</f>
        <v>Refund COSHARE 10</v>
      </c>
      <c r="H5772" s="2">
        <v>381.1</v>
      </c>
      <c r="I5772" t="str">
        <f>"ROHIMAH BINTI MAT DAUD  MOHD SALLEH"</f>
        <v>ROHIMAH BINTI MAT DAUD  MOHD SALLEH</v>
      </c>
      <c r="J5772" t="str">
        <f t="shared" si="2359"/>
        <v>CIMB BANK / CIMB ISLAMIC BANK</v>
      </c>
      <c r="K5772" t="str">
        <f>"06090030532526"</f>
        <v>06090030532526</v>
      </c>
      <c r="L5772" t="str">
        <f t="shared" si="2363"/>
        <v>04-08-2020</v>
      </c>
      <c r="M5772" t="str">
        <f t="shared" si="2363"/>
        <v>04-08-2020</v>
      </c>
      <c r="N5772" t="str">
        <f t="shared" si="2364"/>
        <v>001105018356</v>
      </c>
      <c r="O5772" t="str">
        <f t="shared" si="2365"/>
        <v>MYR</v>
      </c>
      <c r="P5772" t="str">
        <f t="shared" si="2366"/>
        <v>NIL</v>
      </c>
      <c r="Q5772" t="str">
        <f t="shared" si="2366"/>
        <v>NIL</v>
      </c>
      <c r="R5772" t="str">
        <f t="shared" si="2351"/>
        <v>Accepted</v>
      </c>
      <c r="S5772" t="str">
        <f t="shared" si="2367"/>
        <v>Approved</v>
      </c>
      <c r="T5772" t="str">
        <f t="shared" si="2352"/>
        <v>10.20.8.188</v>
      </c>
      <c r="U5772" t="str">
        <f t="shared" si="2368"/>
        <v>AZRAD UMAR BIN SHAARI</v>
      </c>
      <c r="V5772" t="str">
        <f t="shared" si="2369"/>
        <v>FARHANA BINTI MUSTAPA</v>
      </c>
      <c r="W5772" t="str">
        <f t="shared" si="2370"/>
        <v>04-08-2020</v>
      </c>
      <c r="X5772" t="str">
        <f t="shared" si="2371"/>
        <v>RAZIMAH ANSAR AHMAD</v>
      </c>
      <c r="Y5772" t="str">
        <f t="shared" si="2372"/>
        <v>04-08-2020</v>
      </c>
      <c r="Z5772" t="str">
        <f>"COS10200804 3382"</f>
        <v>COS10200804 3382</v>
      </c>
    </row>
    <row r="5773" spans="1:26" x14ac:dyDescent="0.25">
      <c r="A5773" t="str">
        <f t="shared" si="2357"/>
        <v>04-08-2020 12:44:36</v>
      </c>
      <c r="B5773" t="str">
        <f>"0000805149"</f>
        <v>0000805149</v>
      </c>
      <c r="C5773" t="str">
        <f t="shared" si="2358"/>
        <v>0000804968</v>
      </c>
      <c r="D5773" t="str">
        <f t="shared" si="2360"/>
        <v>73185</v>
      </c>
      <c r="E5773" t="str">
        <f t="shared" si="2361"/>
        <v>KFH-OPERATIONS DEPARTMENT</v>
      </c>
      <c r="F5773" t="str">
        <f t="shared" si="2362"/>
        <v>IBG</v>
      </c>
      <c r="G5773" t="str">
        <f t="shared" si="2373"/>
        <v>Refund COSHARE 10</v>
      </c>
      <c r="H5773" s="2">
        <v>491.2</v>
      </c>
      <c r="I5773" t="str">
        <f>"ROHILA BINTI MAHMUD"</f>
        <v>ROHILA BINTI MAHMUD</v>
      </c>
      <c r="J5773" t="str">
        <f t="shared" si="2359"/>
        <v>CIMB BANK / CIMB ISLAMIC BANK</v>
      </c>
      <c r="K5773" t="str">
        <f>"12230064151528"</f>
        <v>12230064151528</v>
      </c>
      <c r="L5773" t="str">
        <f t="shared" si="2363"/>
        <v>04-08-2020</v>
      </c>
      <c r="M5773" t="str">
        <f t="shared" si="2363"/>
        <v>04-08-2020</v>
      </c>
      <c r="N5773" t="str">
        <f t="shared" si="2364"/>
        <v>001105018356</v>
      </c>
      <c r="O5773" t="str">
        <f t="shared" si="2365"/>
        <v>MYR</v>
      </c>
      <c r="P5773" t="str">
        <f t="shared" si="2366"/>
        <v>NIL</v>
      </c>
      <c r="Q5773" t="str">
        <f t="shared" si="2366"/>
        <v>NIL</v>
      </c>
      <c r="R5773" t="str">
        <f t="shared" si="2351"/>
        <v>Accepted</v>
      </c>
      <c r="S5773" t="str">
        <f t="shared" si="2367"/>
        <v>Approved</v>
      </c>
      <c r="T5773" t="str">
        <f t="shared" si="2352"/>
        <v>10.20.8.188</v>
      </c>
      <c r="U5773" t="str">
        <f t="shared" si="2368"/>
        <v>AZRAD UMAR BIN SHAARI</v>
      </c>
      <c r="V5773" t="str">
        <f t="shared" si="2369"/>
        <v>FARHANA BINTI MUSTAPA</v>
      </c>
      <c r="W5773" t="str">
        <f t="shared" si="2370"/>
        <v>04-08-2020</v>
      </c>
      <c r="X5773" t="str">
        <f t="shared" si="2371"/>
        <v>RAZIMAH ANSAR AHMAD</v>
      </c>
      <c r="Y5773" t="str">
        <f t="shared" si="2372"/>
        <v>04-08-2020</v>
      </c>
      <c r="Z5773" t="str">
        <f>"COS10200804 3381"</f>
        <v>COS10200804 3381</v>
      </c>
    </row>
    <row r="5774" spans="1:26" x14ac:dyDescent="0.25">
      <c r="A5774" t="str">
        <f t="shared" si="2357"/>
        <v>04-08-2020 12:44:36</v>
      </c>
      <c r="B5774" t="str">
        <f>"0000805148"</f>
        <v>0000805148</v>
      </c>
      <c r="C5774" t="str">
        <f t="shared" si="2358"/>
        <v>0000804968</v>
      </c>
      <c r="D5774" t="str">
        <f t="shared" si="2360"/>
        <v>73185</v>
      </c>
      <c r="E5774" t="str">
        <f t="shared" si="2361"/>
        <v>KFH-OPERATIONS DEPARTMENT</v>
      </c>
      <c r="F5774" t="str">
        <f t="shared" si="2362"/>
        <v>IBG</v>
      </c>
      <c r="G5774" t="str">
        <f t="shared" si="2373"/>
        <v>Refund COSHARE 10</v>
      </c>
      <c r="H5774" s="2">
        <v>83.95</v>
      </c>
      <c r="I5774" t="str">
        <f>"ROHIDA BINTI KAMARUDIN"</f>
        <v>ROHIDA BINTI KAMARUDIN</v>
      </c>
      <c r="J5774" t="str">
        <f t="shared" si="2359"/>
        <v>CIMB BANK / CIMB ISLAMIC BANK</v>
      </c>
      <c r="K5774" t="str">
        <f>"7030305330"</f>
        <v>7030305330</v>
      </c>
      <c r="L5774" t="str">
        <f t="shared" si="2363"/>
        <v>04-08-2020</v>
      </c>
      <c r="M5774" t="str">
        <f t="shared" si="2363"/>
        <v>04-08-2020</v>
      </c>
      <c r="N5774" t="str">
        <f t="shared" si="2364"/>
        <v>001105018356</v>
      </c>
      <c r="O5774" t="str">
        <f t="shared" si="2365"/>
        <v>MYR</v>
      </c>
      <c r="P5774" t="str">
        <f t="shared" si="2366"/>
        <v>NIL</v>
      </c>
      <c r="Q5774" t="str">
        <f t="shared" si="2366"/>
        <v>NIL</v>
      </c>
      <c r="R5774" t="str">
        <f t="shared" si="2351"/>
        <v>Accepted</v>
      </c>
      <c r="S5774" t="str">
        <f t="shared" si="2367"/>
        <v>Approved</v>
      </c>
      <c r="T5774" t="str">
        <f t="shared" si="2352"/>
        <v>10.20.8.188</v>
      </c>
      <c r="U5774" t="str">
        <f t="shared" si="2368"/>
        <v>AZRAD UMAR BIN SHAARI</v>
      </c>
      <c r="V5774" t="str">
        <f t="shared" si="2369"/>
        <v>FARHANA BINTI MUSTAPA</v>
      </c>
      <c r="W5774" t="str">
        <f t="shared" si="2370"/>
        <v>04-08-2020</v>
      </c>
      <c r="X5774" t="str">
        <f t="shared" si="2371"/>
        <v>RAZIMAH ANSAR AHMAD</v>
      </c>
      <c r="Y5774" t="str">
        <f t="shared" si="2372"/>
        <v>04-08-2020</v>
      </c>
      <c r="Z5774" t="str">
        <f>"COS10200804 3380"</f>
        <v>COS10200804 3380</v>
      </c>
    </row>
    <row r="5775" spans="1:26" x14ac:dyDescent="0.25">
      <c r="A5775" t="str">
        <f t="shared" si="2357"/>
        <v>04-08-2020 12:44:36</v>
      </c>
      <c r="B5775" t="str">
        <f>"0000805147"</f>
        <v>0000805147</v>
      </c>
      <c r="C5775" t="str">
        <f t="shared" si="2358"/>
        <v>0000804968</v>
      </c>
      <c r="D5775" t="str">
        <f t="shared" si="2360"/>
        <v>73185</v>
      </c>
      <c r="E5775" t="str">
        <f t="shared" si="2361"/>
        <v>KFH-OPERATIONS DEPARTMENT</v>
      </c>
      <c r="F5775" t="str">
        <f t="shared" si="2362"/>
        <v>IBG</v>
      </c>
      <c r="G5775" t="str">
        <f t="shared" si="2373"/>
        <v>Refund COSHARE 10</v>
      </c>
      <c r="H5775" s="2">
        <v>1267.6500000000001</v>
      </c>
      <c r="I5775" t="str">
        <f>"ROHANI MADAN"</f>
        <v>ROHANI MADAN</v>
      </c>
      <c r="J5775" t="str">
        <f t="shared" si="2359"/>
        <v>CIMB BANK / CIMB ISLAMIC BANK</v>
      </c>
      <c r="K5775" t="str">
        <f>"10020001602207"</f>
        <v>10020001602207</v>
      </c>
      <c r="L5775" t="str">
        <f t="shared" si="2363"/>
        <v>04-08-2020</v>
      </c>
      <c r="M5775" t="str">
        <f t="shared" si="2363"/>
        <v>04-08-2020</v>
      </c>
      <c r="N5775" t="str">
        <f t="shared" si="2364"/>
        <v>001105018356</v>
      </c>
      <c r="O5775" t="str">
        <f t="shared" si="2365"/>
        <v>MYR</v>
      </c>
      <c r="P5775" t="str">
        <f t="shared" si="2366"/>
        <v>NIL</v>
      </c>
      <c r="Q5775" t="str">
        <f t="shared" si="2366"/>
        <v>NIL</v>
      </c>
      <c r="R5775" t="str">
        <f t="shared" si="2351"/>
        <v>Accepted</v>
      </c>
      <c r="S5775" t="str">
        <f t="shared" si="2367"/>
        <v>Approved</v>
      </c>
      <c r="T5775" t="str">
        <f t="shared" si="2352"/>
        <v>10.20.8.188</v>
      </c>
      <c r="U5775" t="str">
        <f t="shared" si="2368"/>
        <v>AZRAD UMAR BIN SHAARI</v>
      </c>
      <c r="V5775" t="str">
        <f t="shared" si="2369"/>
        <v>FARHANA BINTI MUSTAPA</v>
      </c>
      <c r="W5775" t="str">
        <f t="shared" si="2370"/>
        <v>04-08-2020</v>
      </c>
      <c r="X5775" t="str">
        <f t="shared" si="2371"/>
        <v>RAZIMAH ANSAR AHMAD</v>
      </c>
      <c r="Y5775" t="str">
        <f t="shared" si="2372"/>
        <v>04-08-2020</v>
      </c>
      <c r="Z5775" t="str">
        <f>"COS10200804 3379"</f>
        <v>COS10200804 3379</v>
      </c>
    </row>
    <row r="5776" spans="1:26" x14ac:dyDescent="0.25">
      <c r="A5776" t="str">
        <f t="shared" si="2357"/>
        <v>04-08-2020 12:44:36</v>
      </c>
      <c r="B5776" t="str">
        <f>"0000805146"</f>
        <v>0000805146</v>
      </c>
      <c r="C5776" t="str">
        <f t="shared" si="2358"/>
        <v>0000804968</v>
      </c>
      <c r="D5776" t="str">
        <f t="shared" si="2360"/>
        <v>73185</v>
      </c>
      <c r="E5776" t="str">
        <f t="shared" si="2361"/>
        <v>KFH-OPERATIONS DEPARTMENT</v>
      </c>
      <c r="F5776" t="str">
        <f t="shared" si="2362"/>
        <v>IBG</v>
      </c>
      <c r="G5776" t="str">
        <f t="shared" si="2373"/>
        <v>Refund COSHARE 10</v>
      </c>
      <c r="H5776" s="2">
        <v>607</v>
      </c>
      <c r="I5776" t="str">
        <f>"ROHANI BINTI MOHAMED ARIFIN"</f>
        <v>ROHANI BINTI MOHAMED ARIFIN</v>
      </c>
      <c r="J5776" t="str">
        <f t="shared" si="2359"/>
        <v>CIMB BANK / CIMB ISLAMIC BANK</v>
      </c>
      <c r="K5776" t="str">
        <f>"14400094543524"</f>
        <v>14400094543524</v>
      </c>
      <c r="L5776" t="str">
        <f t="shared" si="2363"/>
        <v>04-08-2020</v>
      </c>
      <c r="M5776" t="str">
        <f t="shared" si="2363"/>
        <v>04-08-2020</v>
      </c>
      <c r="N5776" t="str">
        <f t="shared" si="2364"/>
        <v>001105018356</v>
      </c>
      <c r="O5776" t="str">
        <f t="shared" si="2365"/>
        <v>MYR</v>
      </c>
      <c r="P5776" t="str">
        <f t="shared" si="2366"/>
        <v>NIL</v>
      </c>
      <c r="Q5776" t="str">
        <f t="shared" si="2366"/>
        <v>NIL</v>
      </c>
      <c r="R5776" t="str">
        <f t="shared" si="2351"/>
        <v>Accepted</v>
      </c>
      <c r="S5776" t="str">
        <f t="shared" si="2367"/>
        <v>Approved</v>
      </c>
      <c r="T5776" t="str">
        <f t="shared" si="2352"/>
        <v>10.20.8.188</v>
      </c>
      <c r="U5776" t="str">
        <f t="shared" si="2368"/>
        <v>AZRAD UMAR BIN SHAARI</v>
      </c>
      <c r="V5776" t="str">
        <f t="shared" si="2369"/>
        <v>FARHANA BINTI MUSTAPA</v>
      </c>
      <c r="W5776" t="str">
        <f t="shared" si="2370"/>
        <v>04-08-2020</v>
      </c>
      <c r="X5776" t="str">
        <f t="shared" si="2371"/>
        <v>RAZIMAH ANSAR AHMAD</v>
      </c>
      <c r="Y5776" t="str">
        <f t="shared" si="2372"/>
        <v>04-08-2020</v>
      </c>
      <c r="Z5776" t="str">
        <f>"COS10200804 3378"</f>
        <v>COS10200804 3378</v>
      </c>
    </row>
    <row r="5777" spans="1:26" x14ac:dyDescent="0.25">
      <c r="A5777" t="str">
        <f t="shared" si="2357"/>
        <v>04-08-2020 12:44:36</v>
      </c>
      <c r="B5777" t="str">
        <f>"0000805145"</f>
        <v>0000805145</v>
      </c>
      <c r="C5777" t="str">
        <f t="shared" si="2358"/>
        <v>0000804968</v>
      </c>
      <c r="D5777" t="str">
        <f t="shared" si="2360"/>
        <v>73185</v>
      </c>
      <c r="E5777" t="str">
        <f t="shared" si="2361"/>
        <v>KFH-OPERATIONS DEPARTMENT</v>
      </c>
      <c r="F5777" t="str">
        <f t="shared" si="2362"/>
        <v>IBG</v>
      </c>
      <c r="G5777" t="str">
        <f t="shared" si="2373"/>
        <v>Refund COSHARE 10</v>
      </c>
      <c r="H5777" s="2">
        <v>759</v>
      </c>
      <c r="I5777" t="str">
        <f>"ROHANI BINTI KAMARUDIN"</f>
        <v>ROHANI BINTI KAMARUDIN</v>
      </c>
      <c r="J5777" t="str">
        <f t="shared" si="2359"/>
        <v>CIMB BANK / CIMB ISLAMIC BANK</v>
      </c>
      <c r="K5777" t="str">
        <f>"14460003678525"</f>
        <v>14460003678525</v>
      </c>
      <c r="L5777" t="str">
        <f t="shared" si="2363"/>
        <v>04-08-2020</v>
      </c>
      <c r="M5777" t="str">
        <f t="shared" si="2363"/>
        <v>04-08-2020</v>
      </c>
      <c r="N5777" t="str">
        <f t="shared" si="2364"/>
        <v>001105018356</v>
      </c>
      <c r="O5777" t="str">
        <f t="shared" si="2365"/>
        <v>MYR</v>
      </c>
      <c r="P5777" t="str">
        <f t="shared" si="2366"/>
        <v>NIL</v>
      </c>
      <c r="Q5777" t="str">
        <f t="shared" si="2366"/>
        <v>NIL</v>
      </c>
      <c r="R5777" t="str">
        <f t="shared" si="2351"/>
        <v>Accepted</v>
      </c>
      <c r="S5777" t="str">
        <f t="shared" si="2367"/>
        <v>Approved</v>
      </c>
      <c r="T5777" t="str">
        <f t="shared" si="2352"/>
        <v>10.20.8.188</v>
      </c>
      <c r="U5777" t="str">
        <f t="shared" si="2368"/>
        <v>AZRAD UMAR BIN SHAARI</v>
      </c>
      <c r="V5777" t="str">
        <f t="shared" si="2369"/>
        <v>FARHANA BINTI MUSTAPA</v>
      </c>
      <c r="W5777" t="str">
        <f t="shared" si="2370"/>
        <v>04-08-2020</v>
      </c>
      <c r="X5777" t="str">
        <f t="shared" si="2371"/>
        <v>RAZIMAH ANSAR AHMAD</v>
      </c>
      <c r="Y5777" t="str">
        <f t="shared" si="2372"/>
        <v>04-08-2020</v>
      </c>
      <c r="Z5777" t="str">
        <f>"COS10200804 3377"</f>
        <v>COS10200804 3377</v>
      </c>
    </row>
    <row r="5778" spans="1:26" x14ac:dyDescent="0.25">
      <c r="A5778" t="str">
        <f t="shared" si="2357"/>
        <v>04-08-2020 12:44:36</v>
      </c>
      <c r="B5778" t="str">
        <f>"0000805144"</f>
        <v>0000805144</v>
      </c>
      <c r="C5778" t="str">
        <f t="shared" si="2358"/>
        <v>0000804968</v>
      </c>
      <c r="D5778" t="str">
        <f t="shared" si="2360"/>
        <v>73185</v>
      </c>
      <c r="E5778" t="str">
        <f t="shared" si="2361"/>
        <v>KFH-OPERATIONS DEPARTMENT</v>
      </c>
      <c r="F5778" t="str">
        <f t="shared" si="2362"/>
        <v>IBG</v>
      </c>
      <c r="G5778" t="str">
        <f t="shared" si="2373"/>
        <v>Refund COSHARE 10</v>
      </c>
      <c r="H5778" s="2">
        <v>494</v>
      </c>
      <c r="I5778" t="str">
        <f>"ROHANI BIN RANI"</f>
        <v>ROHANI BIN RANI</v>
      </c>
      <c r="J5778" t="str">
        <f t="shared" si="2359"/>
        <v>CIMB BANK / CIMB ISLAMIC BANK</v>
      </c>
      <c r="K5778" t="str">
        <f>"01180033719529"</f>
        <v>01180033719529</v>
      </c>
      <c r="L5778" t="str">
        <f t="shared" si="2363"/>
        <v>04-08-2020</v>
      </c>
      <c r="M5778" t="str">
        <f t="shared" si="2363"/>
        <v>04-08-2020</v>
      </c>
      <c r="N5778" t="str">
        <f t="shared" si="2364"/>
        <v>001105018356</v>
      </c>
      <c r="O5778" t="str">
        <f t="shared" si="2365"/>
        <v>MYR</v>
      </c>
      <c r="P5778" t="str">
        <f t="shared" si="2366"/>
        <v>NIL</v>
      </c>
      <c r="Q5778" t="str">
        <f t="shared" si="2366"/>
        <v>NIL</v>
      </c>
      <c r="R5778" t="str">
        <f t="shared" si="2351"/>
        <v>Accepted</v>
      </c>
      <c r="S5778" t="str">
        <f t="shared" si="2367"/>
        <v>Approved</v>
      </c>
      <c r="T5778" t="str">
        <f t="shared" si="2352"/>
        <v>10.20.8.188</v>
      </c>
      <c r="U5778" t="str">
        <f t="shared" si="2368"/>
        <v>AZRAD UMAR BIN SHAARI</v>
      </c>
      <c r="V5778" t="str">
        <f t="shared" si="2369"/>
        <v>FARHANA BINTI MUSTAPA</v>
      </c>
      <c r="W5778" t="str">
        <f t="shared" si="2370"/>
        <v>04-08-2020</v>
      </c>
      <c r="X5778" t="str">
        <f t="shared" si="2371"/>
        <v>RAZIMAH ANSAR AHMAD</v>
      </c>
      <c r="Y5778" t="str">
        <f t="shared" si="2372"/>
        <v>04-08-2020</v>
      </c>
      <c r="Z5778" t="str">
        <f>"COS10200804 3376"</f>
        <v>COS10200804 3376</v>
      </c>
    </row>
    <row r="5779" spans="1:26" x14ac:dyDescent="0.25">
      <c r="A5779" t="str">
        <f t="shared" si="2357"/>
        <v>04-08-2020 12:44:36</v>
      </c>
      <c r="B5779" t="str">
        <f>"0000805143"</f>
        <v>0000805143</v>
      </c>
      <c r="C5779" t="str">
        <f t="shared" si="2358"/>
        <v>0000804968</v>
      </c>
      <c r="D5779" t="str">
        <f t="shared" si="2360"/>
        <v>73185</v>
      </c>
      <c r="E5779" t="str">
        <f t="shared" si="2361"/>
        <v>KFH-OPERATIONS DEPARTMENT</v>
      </c>
      <c r="F5779" t="str">
        <f t="shared" si="2362"/>
        <v>IBG</v>
      </c>
      <c r="G5779" t="str">
        <f t="shared" si="2373"/>
        <v>Refund COSHARE 10</v>
      </c>
      <c r="H5779" s="2">
        <v>176.3</v>
      </c>
      <c r="I5779" t="str">
        <f>"ROHANA BINTI MOHD JAPAII"</f>
        <v>ROHANA BINTI MOHD JAPAII</v>
      </c>
      <c r="J5779" t="str">
        <f t="shared" si="2359"/>
        <v>CIMB BANK / CIMB ISLAMIC BANK</v>
      </c>
      <c r="K5779" t="str">
        <f>"08120000492209"</f>
        <v>08120000492209</v>
      </c>
      <c r="L5779" t="str">
        <f t="shared" si="2363"/>
        <v>04-08-2020</v>
      </c>
      <c r="M5779" t="str">
        <f t="shared" si="2363"/>
        <v>04-08-2020</v>
      </c>
      <c r="N5779" t="str">
        <f t="shared" si="2364"/>
        <v>001105018356</v>
      </c>
      <c r="O5779" t="str">
        <f t="shared" si="2365"/>
        <v>MYR</v>
      </c>
      <c r="P5779" t="str">
        <f t="shared" si="2366"/>
        <v>NIL</v>
      </c>
      <c r="Q5779" t="str">
        <f t="shared" si="2366"/>
        <v>NIL</v>
      </c>
      <c r="R5779" t="str">
        <f t="shared" si="2351"/>
        <v>Accepted</v>
      </c>
      <c r="S5779" t="str">
        <f t="shared" si="2367"/>
        <v>Approved</v>
      </c>
      <c r="T5779" t="str">
        <f t="shared" si="2352"/>
        <v>10.20.8.188</v>
      </c>
      <c r="U5779" t="str">
        <f t="shared" si="2368"/>
        <v>AZRAD UMAR BIN SHAARI</v>
      </c>
      <c r="V5779" t="str">
        <f t="shared" si="2369"/>
        <v>FARHANA BINTI MUSTAPA</v>
      </c>
      <c r="W5779" t="str">
        <f t="shared" si="2370"/>
        <v>04-08-2020</v>
      </c>
      <c r="X5779" t="str">
        <f t="shared" si="2371"/>
        <v>RAZIMAH ANSAR AHMAD</v>
      </c>
      <c r="Y5779" t="str">
        <f t="shared" si="2372"/>
        <v>04-08-2020</v>
      </c>
      <c r="Z5779" t="str">
        <f>"COS10200804 3375"</f>
        <v>COS10200804 3375</v>
      </c>
    </row>
    <row r="5780" spans="1:26" x14ac:dyDescent="0.25">
      <c r="A5780" t="str">
        <f t="shared" si="2357"/>
        <v>04-08-2020 12:44:36</v>
      </c>
      <c r="B5780" t="str">
        <f>"0000805142"</f>
        <v>0000805142</v>
      </c>
      <c r="C5780" t="str">
        <f t="shared" si="2358"/>
        <v>0000804968</v>
      </c>
      <c r="D5780" t="str">
        <f t="shared" si="2360"/>
        <v>73185</v>
      </c>
      <c r="E5780" t="str">
        <f t="shared" si="2361"/>
        <v>KFH-OPERATIONS DEPARTMENT</v>
      </c>
      <c r="F5780" t="str">
        <f t="shared" si="2362"/>
        <v>IBG</v>
      </c>
      <c r="G5780" t="str">
        <f t="shared" si="2373"/>
        <v>Refund COSHARE 10</v>
      </c>
      <c r="H5780" s="2">
        <v>831.1</v>
      </c>
      <c r="I5780" t="str">
        <f>"ROHANA BINTI MD NAWI"</f>
        <v>ROHANA BINTI MD NAWI</v>
      </c>
      <c r="J5780" t="str">
        <f t="shared" si="2359"/>
        <v>CIMB BANK / CIMB ISLAMIC BANK</v>
      </c>
      <c r="K5780" t="str">
        <f>"7009088380"</f>
        <v>7009088380</v>
      </c>
      <c r="L5780" t="str">
        <f t="shared" si="2363"/>
        <v>04-08-2020</v>
      </c>
      <c r="M5780" t="str">
        <f t="shared" si="2363"/>
        <v>04-08-2020</v>
      </c>
      <c r="N5780" t="str">
        <f t="shared" si="2364"/>
        <v>001105018356</v>
      </c>
      <c r="O5780" t="str">
        <f t="shared" si="2365"/>
        <v>MYR</v>
      </c>
      <c r="P5780" t="str">
        <f t="shared" si="2366"/>
        <v>NIL</v>
      </c>
      <c r="Q5780" t="str">
        <f t="shared" si="2366"/>
        <v>NIL</v>
      </c>
      <c r="R5780" t="str">
        <f t="shared" si="2351"/>
        <v>Accepted</v>
      </c>
      <c r="S5780" t="str">
        <f t="shared" si="2367"/>
        <v>Approved</v>
      </c>
      <c r="T5780" t="str">
        <f t="shared" si="2352"/>
        <v>10.20.8.188</v>
      </c>
      <c r="U5780" t="str">
        <f t="shared" si="2368"/>
        <v>AZRAD UMAR BIN SHAARI</v>
      </c>
      <c r="V5780" t="str">
        <f t="shared" si="2369"/>
        <v>FARHANA BINTI MUSTAPA</v>
      </c>
      <c r="W5780" t="str">
        <f t="shared" si="2370"/>
        <v>04-08-2020</v>
      </c>
      <c r="X5780" t="str">
        <f t="shared" si="2371"/>
        <v>RAZIMAH ANSAR AHMAD</v>
      </c>
      <c r="Y5780" t="str">
        <f t="shared" si="2372"/>
        <v>04-08-2020</v>
      </c>
      <c r="Z5780" t="str">
        <f>"COS10200804 3374"</f>
        <v>COS10200804 3374</v>
      </c>
    </row>
    <row r="5781" spans="1:26" x14ac:dyDescent="0.25">
      <c r="A5781" t="str">
        <f t="shared" si="2357"/>
        <v>04-08-2020 12:44:36</v>
      </c>
      <c r="B5781" t="str">
        <f>"0000805141"</f>
        <v>0000805141</v>
      </c>
      <c r="C5781" t="str">
        <f t="shared" si="2358"/>
        <v>0000804968</v>
      </c>
      <c r="D5781" t="str">
        <f t="shared" si="2360"/>
        <v>73185</v>
      </c>
      <c r="E5781" t="str">
        <f t="shared" si="2361"/>
        <v>KFH-OPERATIONS DEPARTMENT</v>
      </c>
      <c r="F5781" t="str">
        <f t="shared" si="2362"/>
        <v>IBG</v>
      </c>
      <c r="G5781" t="str">
        <f t="shared" si="2373"/>
        <v>Refund COSHARE 10</v>
      </c>
      <c r="H5781" s="2">
        <v>165</v>
      </c>
      <c r="I5781" t="str">
        <f>"ROHANA BINTI MAT TAHIR"</f>
        <v>ROHANA BINTI MAT TAHIR</v>
      </c>
      <c r="J5781" t="str">
        <f t="shared" si="2359"/>
        <v>CIMB BANK / CIMB ISLAMIC BANK</v>
      </c>
      <c r="K5781" t="str">
        <f>"08120067865524"</f>
        <v>08120067865524</v>
      </c>
      <c r="L5781" t="str">
        <f t="shared" si="2363"/>
        <v>04-08-2020</v>
      </c>
      <c r="M5781" t="str">
        <f t="shared" si="2363"/>
        <v>04-08-2020</v>
      </c>
      <c r="N5781" t="str">
        <f t="shared" si="2364"/>
        <v>001105018356</v>
      </c>
      <c r="O5781" t="str">
        <f t="shared" si="2365"/>
        <v>MYR</v>
      </c>
      <c r="P5781" t="str">
        <f t="shared" si="2366"/>
        <v>NIL</v>
      </c>
      <c r="Q5781" t="str">
        <f t="shared" si="2366"/>
        <v>NIL</v>
      </c>
      <c r="R5781" t="str">
        <f t="shared" si="2351"/>
        <v>Accepted</v>
      </c>
      <c r="S5781" t="str">
        <f t="shared" si="2367"/>
        <v>Approved</v>
      </c>
      <c r="T5781" t="str">
        <f t="shared" si="2352"/>
        <v>10.20.8.188</v>
      </c>
      <c r="U5781" t="str">
        <f t="shared" si="2368"/>
        <v>AZRAD UMAR BIN SHAARI</v>
      </c>
      <c r="V5781" t="str">
        <f t="shared" si="2369"/>
        <v>FARHANA BINTI MUSTAPA</v>
      </c>
      <c r="W5781" t="str">
        <f t="shared" si="2370"/>
        <v>04-08-2020</v>
      </c>
      <c r="X5781" t="str">
        <f t="shared" si="2371"/>
        <v>RAZIMAH ANSAR AHMAD</v>
      </c>
      <c r="Y5781" t="str">
        <f t="shared" si="2372"/>
        <v>04-08-2020</v>
      </c>
      <c r="Z5781" t="str">
        <f>"COS10200804 3373"</f>
        <v>COS10200804 3373</v>
      </c>
    </row>
    <row r="5782" spans="1:26" x14ac:dyDescent="0.25">
      <c r="A5782" t="str">
        <f t="shared" si="2357"/>
        <v>04-08-2020 12:44:36</v>
      </c>
      <c r="B5782" t="str">
        <f>"0000805140"</f>
        <v>0000805140</v>
      </c>
      <c r="C5782" t="str">
        <f t="shared" si="2358"/>
        <v>0000804968</v>
      </c>
      <c r="D5782" t="str">
        <f t="shared" si="2360"/>
        <v>73185</v>
      </c>
      <c r="E5782" t="str">
        <f t="shared" si="2361"/>
        <v>KFH-OPERATIONS DEPARTMENT</v>
      </c>
      <c r="F5782" t="str">
        <f t="shared" si="2362"/>
        <v>IBG</v>
      </c>
      <c r="G5782" t="str">
        <f t="shared" si="2373"/>
        <v>Refund COSHARE 10</v>
      </c>
      <c r="H5782" s="2">
        <v>50.4</v>
      </c>
      <c r="I5782" t="str">
        <f>"ROHAIZAT BIN HAMBALI"</f>
        <v>ROHAIZAT BIN HAMBALI</v>
      </c>
      <c r="J5782" t="str">
        <f t="shared" si="2359"/>
        <v>CIMB BANK / CIMB ISLAMIC BANK</v>
      </c>
      <c r="K5782" t="str">
        <f>"14400096035523"</f>
        <v>14400096035523</v>
      </c>
      <c r="L5782" t="str">
        <f t="shared" si="2363"/>
        <v>04-08-2020</v>
      </c>
      <c r="M5782" t="str">
        <f t="shared" si="2363"/>
        <v>04-08-2020</v>
      </c>
      <c r="N5782" t="str">
        <f t="shared" si="2364"/>
        <v>001105018356</v>
      </c>
      <c r="O5782" t="str">
        <f t="shared" si="2365"/>
        <v>MYR</v>
      </c>
      <c r="P5782" t="str">
        <f t="shared" si="2366"/>
        <v>NIL</v>
      </c>
      <c r="Q5782" t="str">
        <f t="shared" si="2366"/>
        <v>NIL</v>
      </c>
      <c r="R5782" t="str">
        <f t="shared" si="2351"/>
        <v>Accepted</v>
      </c>
      <c r="S5782" t="str">
        <f t="shared" si="2367"/>
        <v>Approved</v>
      </c>
      <c r="T5782" t="str">
        <f t="shared" si="2352"/>
        <v>10.20.8.188</v>
      </c>
      <c r="U5782" t="str">
        <f t="shared" si="2368"/>
        <v>AZRAD UMAR BIN SHAARI</v>
      </c>
      <c r="V5782" t="str">
        <f t="shared" si="2369"/>
        <v>FARHANA BINTI MUSTAPA</v>
      </c>
      <c r="W5782" t="str">
        <f t="shared" si="2370"/>
        <v>04-08-2020</v>
      </c>
      <c r="X5782" t="str">
        <f t="shared" si="2371"/>
        <v>RAZIMAH ANSAR AHMAD</v>
      </c>
      <c r="Y5782" t="str">
        <f t="shared" si="2372"/>
        <v>04-08-2020</v>
      </c>
      <c r="Z5782" t="str">
        <f>"COS10200804 3372"</f>
        <v>COS10200804 3372</v>
      </c>
    </row>
    <row r="5783" spans="1:26" x14ac:dyDescent="0.25">
      <c r="A5783" t="str">
        <f t="shared" si="2357"/>
        <v>04-08-2020 12:44:36</v>
      </c>
      <c r="B5783" t="str">
        <f>"0000805139"</f>
        <v>0000805139</v>
      </c>
      <c r="C5783" t="str">
        <f t="shared" si="2358"/>
        <v>0000804968</v>
      </c>
      <c r="D5783" t="str">
        <f t="shared" si="2360"/>
        <v>73185</v>
      </c>
      <c r="E5783" t="str">
        <f t="shared" si="2361"/>
        <v>KFH-OPERATIONS DEPARTMENT</v>
      </c>
      <c r="F5783" t="str">
        <f t="shared" si="2362"/>
        <v>IBG</v>
      </c>
      <c r="G5783" t="str">
        <f t="shared" si="2373"/>
        <v>Refund COSHARE 10</v>
      </c>
      <c r="H5783" s="2">
        <v>1724</v>
      </c>
      <c r="I5783" t="str">
        <f>"ROHAIZAD BIN MOHAMMAD SAID"</f>
        <v>ROHAIZAD BIN MOHAMMAD SAID</v>
      </c>
      <c r="J5783" t="str">
        <f t="shared" si="2359"/>
        <v>CIMB BANK / CIMB ISLAMIC BANK</v>
      </c>
      <c r="K5783" t="str">
        <f>"12260027520520"</f>
        <v>12260027520520</v>
      </c>
      <c r="L5783" t="str">
        <f t="shared" si="2363"/>
        <v>04-08-2020</v>
      </c>
      <c r="M5783" t="str">
        <f t="shared" si="2363"/>
        <v>04-08-2020</v>
      </c>
      <c r="N5783" t="str">
        <f t="shared" si="2364"/>
        <v>001105018356</v>
      </c>
      <c r="O5783" t="str">
        <f t="shared" si="2365"/>
        <v>MYR</v>
      </c>
      <c r="P5783" t="str">
        <f t="shared" si="2366"/>
        <v>NIL</v>
      </c>
      <c r="Q5783" t="str">
        <f t="shared" si="2366"/>
        <v>NIL</v>
      </c>
      <c r="R5783" t="str">
        <f t="shared" si="2351"/>
        <v>Accepted</v>
      </c>
      <c r="S5783" t="str">
        <f t="shared" si="2367"/>
        <v>Approved</v>
      </c>
      <c r="T5783" t="str">
        <f t="shared" si="2352"/>
        <v>10.20.8.188</v>
      </c>
      <c r="U5783" t="str">
        <f t="shared" si="2368"/>
        <v>AZRAD UMAR BIN SHAARI</v>
      </c>
      <c r="V5783" t="str">
        <f t="shared" si="2369"/>
        <v>FARHANA BINTI MUSTAPA</v>
      </c>
      <c r="W5783" t="str">
        <f t="shared" si="2370"/>
        <v>04-08-2020</v>
      </c>
      <c r="X5783" t="str">
        <f t="shared" si="2371"/>
        <v>RAZIMAH ANSAR AHMAD</v>
      </c>
      <c r="Y5783" t="str">
        <f t="shared" si="2372"/>
        <v>04-08-2020</v>
      </c>
      <c r="Z5783" t="str">
        <f>"COS10200804 3371"</f>
        <v>COS10200804 3371</v>
      </c>
    </row>
    <row r="5784" spans="1:26" x14ac:dyDescent="0.25">
      <c r="A5784" t="str">
        <f t="shared" si="2357"/>
        <v>04-08-2020 12:44:36</v>
      </c>
      <c r="B5784" t="str">
        <f>"0000805138"</f>
        <v>0000805138</v>
      </c>
      <c r="C5784" t="str">
        <f t="shared" si="2358"/>
        <v>0000804968</v>
      </c>
      <c r="D5784" t="str">
        <f t="shared" si="2360"/>
        <v>73185</v>
      </c>
      <c r="E5784" t="str">
        <f t="shared" si="2361"/>
        <v>KFH-OPERATIONS DEPARTMENT</v>
      </c>
      <c r="F5784" t="str">
        <f t="shared" si="2362"/>
        <v>IBG</v>
      </c>
      <c r="G5784" t="str">
        <f t="shared" si="2373"/>
        <v>Refund COSHARE 10</v>
      </c>
      <c r="H5784" s="2">
        <v>152</v>
      </c>
      <c r="I5784" t="str">
        <f>"ROHAIDA BINTI ISMAIL"</f>
        <v>ROHAIDA BINTI ISMAIL</v>
      </c>
      <c r="J5784" t="str">
        <f t="shared" si="2359"/>
        <v>CIMB BANK / CIMB ISLAMIC BANK</v>
      </c>
      <c r="K5784" t="str">
        <f>"14400098091529"</f>
        <v>14400098091529</v>
      </c>
      <c r="L5784" t="str">
        <f t="shared" si="2363"/>
        <v>04-08-2020</v>
      </c>
      <c r="M5784" t="str">
        <f t="shared" si="2363"/>
        <v>04-08-2020</v>
      </c>
      <c r="N5784" t="str">
        <f t="shared" si="2364"/>
        <v>001105018356</v>
      </c>
      <c r="O5784" t="str">
        <f t="shared" si="2365"/>
        <v>MYR</v>
      </c>
      <c r="P5784" t="str">
        <f t="shared" si="2366"/>
        <v>NIL</v>
      </c>
      <c r="Q5784" t="str">
        <f t="shared" si="2366"/>
        <v>NIL</v>
      </c>
      <c r="R5784" t="str">
        <f t="shared" si="2351"/>
        <v>Accepted</v>
      </c>
      <c r="S5784" t="str">
        <f t="shared" si="2367"/>
        <v>Approved</v>
      </c>
      <c r="T5784" t="str">
        <f t="shared" si="2352"/>
        <v>10.20.8.188</v>
      </c>
      <c r="U5784" t="str">
        <f t="shared" si="2368"/>
        <v>AZRAD UMAR BIN SHAARI</v>
      </c>
      <c r="V5784" t="str">
        <f t="shared" si="2369"/>
        <v>FARHANA BINTI MUSTAPA</v>
      </c>
      <c r="W5784" t="str">
        <f t="shared" si="2370"/>
        <v>04-08-2020</v>
      </c>
      <c r="X5784" t="str">
        <f t="shared" si="2371"/>
        <v>RAZIMAH ANSAR AHMAD</v>
      </c>
      <c r="Y5784" t="str">
        <f t="shared" si="2372"/>
        <v>04-08-2020</v>
      </c>
      <c r="Z5784" t="str">
        <f>"COS10200804 3370"</f>
        <v>COS10200804 3370</v>
      </c>
    </row>
    <row r="5785" spans="1:26" x14ac:dyDescent="0.25">
      <c r="A5785" t="str">
        <f t="shared" si="2357"/>
        <v>04-08-2020 12:44:36</v>
      </c>
      <c r="B5785" t="str">
        <f>"0000805137"</f>
        <v>0000805137</v>
      </c>
      <c r="C5785" t="str">
        <f t="shared" si="2358"/>
        <v>0000804968</v>
      </c>
      <c r="D5785" t="str">
        <f t="shared" si="2360"/>
        <v>73185</v>
      </c>
      <c r="E5785" t="str">
        <f t="shared" si="2361"/>
        <v>KFH-OPERATIONS DEPARTMENT</v>
      </c>
      <c r="F5785" t="str">
        <f t="shared" si="2362"/>
        <v>IBG</v>
      </c>
      <c r="G5785" t="str">
        <f t="shared" si="2373"/>
        <v>Refund COSHARE 10</v>
      </c>
      <c r="H5785" s="2">
        <v>196.5</v>
      </c>
      <c r="I5785" t="str">
        <f>"ROHADI BIN KAMALUDIN"</f>
        <v>ROHADI BIN KAMALUDIN</v>
      </c>
      <c r="J5785" t="str">
        <f t="shared" si="2359"/>
        <v>CIMB BANK / CIMB ISLAMIC BANK</v>
      </c>
      <c r="K5785" t="str">
        <f>"06130069733521"</f>
        <v>06130069733521</v>
      </c>
      <c r="L5785" t="str">
        <f t="shared" si="2363"/>
        <v>04-08-2020</v>
      </c>
      <c r="M5785" t="str">
        <f t="shared" si="2363"/>
        <v>04-08-2020</v>
      </c>
      <c r="N5785" t="str">
        <f t="shared" si="2364"/>
        <v>001105018356</v>
      </c>
      <c r="O5785" t="str">
        <f t="shared" si="2365"/>
        <v>MYR</v>
      </c>
      <c r="P5785" t="str">
        <f t="shared" si="2366"/>
        <v>NIL</v>
      </c>
      <c r="Q5785" t="str">
        <f t="shared" si="2366"/>
        <v>NIL</v>
      </c>
      <c r="R5785" t="str">
        <f t="shared" si="2351"/>
        <v>Accepted</v>
      </c>
      <c r="S5785" t="str">
        <f t="shared" si="2367"/>
        <v>Approved</v>
      </c>
      <c r="T5785" t="str">
        <f t="shared" si="2352"/>
        <v>10.20.8.188</v>
      </c>
      <c r="U5785" t="str">
        <f t="shared" si="2368"/>
        <v>AZRAD UMAR BIN SHAARI</v>
      </c>
      <c r="V5785" t="str">
        <f t="shared" si="2369"/>
        <v>FARHANA BINTI MUSTAPA</v>
      </c>
      <c r="W5785" t="str">
        <f t="shared" si="2370"/>
        <v>04-08-2020</v>
      </c>
      <c r="X5785" t="str">
        <f t="shared" si="2371"/>
        <v>RAZIMAH ANSAR AHMAD</v>
      </c>
      <c r="Y5785" t="str">
        <f t="shared" si="2372"/>
        <v>04-08-2020</v>
      </c>
      <c r="Z5785" t="str">
        <f>"COS10200804 3369"</f>
        <v>COS10200804 3369</v>
      </c>
    </row>
    <row r="5786" spans="1:26" x14ac:dyDescent="0.25">
      <c r="A5786" t="str">
        <f t="shared" ref="A5786:A5817" si="2374">"04-08-2020 12:44:36"</f>
        <v>04-08-2020 12:44:36</v>
      </c>
      <c r="B5786" t="str">
        <f>"0000805136"</f>
        <v>0000805136</v>
      </c>
      <c r="C5786" t="str">
        <f t="shared" ref="C5786:C5817" si="2375">"0000804968"</f>
        <v>0000804968</v>
      </c>
      <c r="D5786" t="str">
        <f t="shared" si="2360"/>
        <v>73185</v>
      </c>
      <c r="E5786" t="str">
        <f t="shared" si="2361"/>
        <v>KFH-OPERATIONS DEPARTMENT</v>
      </c>
      <c r="F5786" t="str">
        <f t="shared" si="2362"/>
        <v>IBG</v>
      </c>
      <c r="G5786" t="str">
        <f t="shared" si="2373"/>
        <v>Refund COSHARE 10</v>
      </c>
      <c r="H5786" s="2">
        <v>1259.25</v>
      </c>
      <c r="I5786" t="str">
        <f>"ROGER ANTHONY DANGGOK"</f>
        <v>ROGER ANTHONY DANGGOK</v>
      </c>
      <c r="J5786" t="str">
        <f t="shared" si="2359"/>
        <v>CIMB BANK / CIMB ISLAMIC BANK</v>
      </c>
      <c r="K5786" t="str">
        <f>"12160049428524"</f>
        <v>12160049428524</v>
      </c>
      <c r="L5786" t="str">
        <f t="shared" si="2363"/>
        <v>04-08-2020</v>
      </c>
      <c r="M5786" t="str">
        <f t="shared" si="2363"/>
        <v>04-08-2020</v>
      </c>
      <c r="N5786" t="str">
        <f t="shared" si="2364"/>
        <v>001105018356</v>
      </c>
      <c r="O5786" t="str">
        <f t="shared" si="2365"/>
        <v>MYR</v>
      </c>
      <c r="P5786" t="str">
        <f t="shared" si="2366"/>
        <v>NIL</v>
      </c>
      <c r="Q5786" t="str">
        <f t="shared" si="2366"/>
        <v>NIL</v>
      </c>
      <c r="R5786" t="str">
        <f t="shared" si="2351"/>
        <v>Accepted</v>
      </c>
      <c r="S5786" t="str">
        <f t="shared" si="2367"/>
        <v>Approved</v>
      </c>
      <c r="T5786" t="str">
        <f t="shared" si="2352"/>
        <v>10.20.8.188</v>
      </c>
      <c r="U5786" t="str">
        <f t="shared" si="2368"/>
        <v>AZRAD UMAR BIN SHAARI</v>
      </c>
      <c r="V5786" t="str">
        <f t="shared" si="2369"/>
        <v>FARHANA BINTI MUSTAPA</v>
      </c>
      <c r="W5786" t="str">
        <f t="shared" si="2370"/>
        <v>04-08-2020</v>
      </c>
      <c r="X5786" t="str">
        <f t="shared" si="2371"/>
        <v>RAZIMAH ANSAR AHMAD</v>
      </c>
      <c r="Y5786" t="str">
        <f t="shared" si="2372"/>
        <v>04-08-2020</v>
      </c>
      <c r="Z5786" t="str">
        <f>"COS10200804 3368"</f>
        <v>COS10200804 3368</v>
      </c>
    </row>
    <row r="5787" spans="1:26" x14ac:dyDescent="0.25">
      <c r="A5787" t="str">
        <f t="shared" si="2374"/>
        <v>04-08-2020 12:44:36</v>
      </c>
      <c r="B5787" t="str">
        <f>"0000805135"</f>
        <v>0000805135</v>
      </c>
      <c r="C5787" t="str">
        <f t="shared" si="2375"/>
        <v>0000804968</v>
      </c>
      <c r="D5787" t="str">
        <f t="shared" si="2360"/>
        <v>73185</v>
      </c>
      <c r="E5787" t="str">
        <f t="shared" si="2361"/>
        <v>KFH-OPERATIONS DEPARTMENT</v>
      </c>
      <c r="F5787" t="str">
        <f t="shared" si="2362"/>
        <v>IBG</v>
      </c>
      <c r="G5787" t="str">
        <f t="shared" si="2373"/>
        <v>Refund COSHARE 10</v>
      </c>
      <c r="H5787" s="2">
        <v>471</v>
      </c>
      <c r="I5787" t="str">
        <f>"ROGAN ARUN KUMAR AL KANDIAH"</f>
        <v>ROGAN ARUN KUMAR AL KANDIAH</v>
      </c>
      <c r="J5787" t="str">
        <f t="shared" si="2359"/>
        <v>CIMB BANK / CIMB ISLAMIC BANK</v>
      </c>
      <c r="K5787" t="str">
        <f>"14400094244524"</f>
        <v>14400094244524</v>
      </c>
      <c r="L5787" t="str">
        <f t="shared" ref="L5787:M5806" si="2376">"04-08-2020"</f>
        <v>04-08-2020</v>
      </c>
      <c r="M5787" t="str">
        <f t="shared" si="2376"/>
        <v>04-08-2020</v>
      </c>
      <c r="N5787" t="str">
        <f t="shared" si="2364"/>
        <v>001105018356</v>
      </c>
      <c r="O5787" t="str">
        <f t="shared" si="2365"/>
        <v>MYR</v>
      </c>
      <c r="P5787" t="str">
        <f t="shared" ref="P5787:Q5806" si="2377">"NIL"</f>
        <v>NIL</v>
      </c>
      <c r="Q5787" t="str">
        <f t="shared" si="2377"/>
        <v>NIL</v>
      </c>
      <c r="R5787" t="str">
        <f t="shared" si="2351"/>
        <v>Accepted</v>
      </c>
      <c r="S5787" t="str">
        <f t="shared" si="2367"/>
        <v>Approved</v>
      </c>
      <c r="T5787" t="str">
        <f t="shared" si="2352"/>
        <v>10.20.8.188</v>
      </c>
      <c r="U5787" t="str">
        <f t="shared" si="2368"/>
        <v>AZRAD UMAR BIN SHAARI</v>
      </c>
      <c r="V5787" t="str">
        <f t="shared" si="2369"/>
        <v>FARHANA BINTI MUSTAPA</v>
      </c>
      <c r="W5787" t="str">
        <f t="shared" si="2370"/>
        <v>04-08-2020</v>
      </c>
      <c r="X5787" t="str">
        <f t="shared" si="2371"/>
        <v>RAZIMAH ANSAR AHMAD</v>
      </c>
      <c r="Y5787" t="str">
        <f t="shared" si="2372"/>
        <v>04-08-2020</v>
      </c>
      <c r="Z5787" t="str">
        <f>"COS10200804 3367"</f>
        <v>COS10200804 3367</v>
      </c>
    </row>
    <row r="5788" spans="1:26" x14ac:dyDescent="0.25">
      <c r="A5788" t="str">
        <f t="shared" si="2374"/>
        <v>04-08-2020 12:44:36</v>
      </c>
      <c r="B5788" t="str">
        <f>"0000805134"</f>
        <v>0000805134</v>
      </c>
      <c r="C5788" t="str">
        <f t="shared" si="2375"/>
        <v>0000804968</v>
      </c>
      <c r="D5788" t="str">
        <f t="shared" si="2360"/>
        <v>73185</v>
      </c>
      <c r="E5788" t="str">
        <f t="shared" si="2361"/>
        <v>KFH-OPERATIONS DEPARTMENT</v>
      </c>
      <c r="F5788" t="str">
        <f t="shared" si="2362"/>
        <v>IBG</v>
      </c>
      <c r="G5788" t="str">
        <f t="shared" si="2373"/>
        <v>Refund COSHARE 10</v>
      </c>
      <c r="H5788" s="2">
        <v>1679</v>
      </c>
      <c r="I5788" t="str">
        <f>"ROBIN BINTI SULUKAN"</f>
        <v>ROBIN BINTI SULUKAN</v>
      </c>
      <c r="J5788" t="str">
        <f t="shared" si="2359"/>
        <v>CIMB BANK / CIMB ISLAMIC BANK</v>
      </c>
      <c r="K5788" t="str">
        <f>"7009960149"</f>
        <v>7009960149</v>
      </c>
      <c r="L5788" t="str">
        <f t="shared" si="2376"/>
        <v>04-08-2020</v>
      </c>
      <c r="M5788" t="str">
        <f t="shared" si="2376"/>
        <v>04-08-2020</v>
      </c>
      <c r="N5788" t="str">
        <f t="shared" si="2364"/>
        <v>001105018356</v>
      </c>
      <c r="O5788" t="str">
        <f t="shared" si="2365"/>
        <v>MYR</v>
      </c>
      <c r="P5788" t="str">
        <f t="shared" si="2377"/>
        <v>NIL</v>
      </c>
      <c r="Q5788" t="str">
        <f t="shared" si="2377"/>
        <v>NIL</v>
      </c>
      <c r="R5788" t="str">
        <f t="shared" si="2351"/>
        <v>Accepted</v>
      </c>
      <c r="S5788" t="str">
        <f t="shared" si="2367"/>
        <v>Approved</v>
      </c>
      <c r="T5788" t="str">
        <f t="shared" si="2352"/>
        <v>10.20.8.188</v>
      </c>
      <c r="U5788" t="str">
        <f t="shared" si="2368"/>
        <v>AZRAD UMAR BIN SHAARI</v>
      </c>
      <c r="V5788" t="str">
        <f t="shared" si="2369"/>
        <v>FARHANA BINTI MUSTAPA</v>
      </c>
      <c r="W5788" t="str">
        <f t="shared" si="2370"/>
        <v>04-08-2020</v>
      </c>
      <c r="X5788" t="str">
        <f t="shared" si="2371"/>
        <v>RAZIMAH ANSAR AHMAD</v>
      </c>
      <c r="Y5788" t="str">
        <f t="shared" si="2372"/>
        <v>04-08-2020</v>
      </c>
      <c r="Z5788" t="str">
        <f>"COS10200804 3366"</f>
        <v>COS10200804 3366</v>
      </c>
    </row>
    <row r="5789" spans="1:26" x14ac:dyDescent="0.25">
      <c r="A5789" t="str">
        <f t="shared" si="2374"/>
        <v>04-08-2020 12:44:36</v>
      </c>
      <c r="B5789" t="str">
        <f>"0000805133"</f>
        <v>0000805133</v>
      </c>
      <c r="C5789" t="str">
        <f t="shared" si="2375"/>
        <v>0000804968</v>
      </c>
      <c r="D5789" t="str">
        <f t="shared" si="2360"/>
        <v>73185</v>
      </c>
      <c r="E5789" t="str">
        <f t="shared" si="2361"/>
        <v>KFH-OPERATIONS DEPARTMENT</v>
      </c>
      <c r="F5789" t="str">
        <f t="shared" si="2362"/>
        <v>IBG</v>
      </c>
      <c r="G5789" t="str">
        <f t="shared" si="2373"/>
        <v>Refund COSHARE 10</v>
      </c>
      <c r="H5789" s="2">
        <v>58.8</v>
      </c>
      <c r="I5789" t="str">
        <f>"ROBERT ANAK DIAMOND"</f>
        <v>ROBERT ANAK DIAMOND</v>
      </c>
      <c r="J5789" t="str">
        <f t="shared" si="2359"/>
        <v>CIMB BANK / CIMB ISLAMIC BANK</v>
      </c>
      <c r="K5789" t="str">
        <f>"11130066964528"</f>
        <v>11130066964528</v>
      </c>
      <c r="L5789" t="str">
        <f t="shared" si="2376"/>
        <v>04-08-2020</v>
      </c>
      <c r="M5789" t="str">
        <f t="shared" si="2376"/>
        <v>04-08-2020</v>
      </c>
      <c r="N5789" t="str">
        <f t="shared" si="2364"/>
        <v>001105018356</v>
      </c>
      <c r="O5789" t="str">
        <f t="shared" si="2365"/>
        <v>MYR</v>
      </c>
      <c r="P5789" t="str">
        <f t="shared" si="2377"/>
        <v>NIL</v>
      </c>
      <c r="Q5789" t="str">
        <f t="shared" si="2377"/>
        <v>NIL</v>
      </c>
      <c r="R5789" t="str">
        <f t="shared" si="2351"/>
        <v>Accepted</v>
      </c>
      <c r="S5789" t="str">
        <f t="shared" si="2367"/>
        <v>Approved</v>
      </c>
      <c r="T5789" t="str">
        <f t="shared" si="2352"/>
        <v>10.20.8.188</v>
      </c>
      <c r="U5789" t="str">
        <f t="shared" si="2368"/>
        <v>AZRAD UMAR BIN SHAARI</v>
      </c>
      <c r="V5789" t="str">
        <f t="shared" si="2369"/>
        <v>FARHANA BINTI MUSTAPA</v>
      </c>
      <c r="W5789" t="str">
        <f t="shared" si="2370"/>
        <v>04-08-2020</v>
      </c>
      <c r="X5789" t="str">
        <f t="shared" si="2371"/>
        <v>RAZIMAH ANSAR AHMAD</v>
      </c>
      <c r="Y5789" t="str">
        <f t="shared" si="2372"/>
        <v>04-08-2020</v>
      </c>
      <c r="Z5789" t="str">
        <f>"COS10200804 3365"</f>
        <v>COS10200804 3365</v>
      </c>
    </row>
    <row r="5790" spans="1:26" x14ac:dyDescent="0.25">
      <c r="A5790" t="str">
        <f t="shared" si="2374"/>
        <v>04-08-2020 12:44:36</v>
      </c>
      <c r="B5790" t="str">
        <f>"0000805132"</f>
        <v>0000805132</v>
      </c>
      <c r="C5790" t="str">
        <f t="shared" si="2375"/>
        <v>0000804968</v>
      </c>
      <c r="D5790" t="str">
        <f t="shared" si="2360"/>
        <v>73185</v>
      </c>
      <c r="E5790" t="str">
        <f t="shared" si="2361"/>
        <v>KFH-OPERATIONS DEPARTMENT</v>
      </c>
      <c r="F5790" t="str">
        <f t="shared" si="2362"/>
        <v>IBG</v>
      </c>
      <c r="G5790" t="str">
        <f t="shared" si="2373"/>
        <v>Refund COSHARE 10</v>
      </c>
      <c r="H5790" s="2">
        <v>226.7</v>
      </c>
      <c r="I5790" t="str">
        <f>"RIZAL IZWAN BIN ABD RAZAK"</f>
        <v>RIZAL IZWAN BIN ABD RAZAK</v>
      </c>
      <c r="J5790" t="str">
        <f t="shared" si="2359"/>
        <v>CIMB BANK / CIMB ISLAMIC BANK</v>
      </c>
      <c r="K5790" t="str">
        <f>"7606207142"</f>
        <v>7606207142</v>
      </c>
      <c r="L5790" t="str">
        <f t="shared" si="2376"/>
        <v>04-08-2020</v>
      </c>
      <c r="M5790" t="str">
        <f t="shared" si="2376"/>
        <v>04-08-2020</v>
      </c>
      <c r="N5790" t="str">
        <f t="shared" si="2364"/>
        <v>001105018356</v>
      </c>
      <c r="O5790" t="str">
        <f t="shared" si="2365"/>
        <v>MYR</v>
      </c>
      <c r="P5790" t="str">
        <f t="shared" si="2377"/>
        <v>NIL</v>
      </c>
      <c r="Q5790" t="str">
        <f t="shared" si="2377"/>
        <v>NIL</v>
      </c>
      <c r="R5790" t="str">
        <f t="shared" si="2351"/>
        <v>Accepted</v>
      </c>
      <c r="S5790" t="str">
        <f t="shared" si="2367"/>
        <v>Approved</v>
      </c>
      <c r="T5790" t="str">
        <f t="shared" si="2352"/>
        <v>10.20.8.188</v>
      </c>
      <c r="U5790" t="str">
        <f t="shared" si="2368"/>
        <v>AZRAD UMAR BIN SHAARI</v>
      </c>
      <c r="V5790" t="str">
        <f t="shared" si="2369"/>
        <v>FARHANA BINTI MUSTAPA</v>
      </c>
      <c r="W5790" t="str">
        <f t="shared" si="2370"/>
        <v>04-08-2020</v>
      </c>
      <c r="X5790" t="str">
        <f t="shared" si="2371"/>
        <v>RAZIMAH ANSAR AHMAD</v>
      </c>
      <c r="Y5790" t="str">
        <f t="shared" si="2372"/>
        <v>04-08-2020</v>
      </c>
      <c r="Z5790" t="str">
        <f>"COS10200804 3364"</f>
        <v>COS10200804 3364</v>
      </c>
    </row>
    <row r="5791" spans="1:26" x14ac:dyDescent="0.25">
      <c r="A5791" t="str">
        <f t="shared" si="2374"/>
        <v>04-08-2020 12:44:36</v>
      </c>
      <c r="B5791" t="str">
        <f>"0000805131"</f>
        <v>0000805131</v>
      </c>
      <c r="C5791" t="str">
        <f t="shared" si="2375"/>
        <v>0000804968</v>
      </c>
      <c r="D5791" t="str">
        <f t="shared" si="2360"/>
        <v>73185</v>
      </c>
      <c r="E5791" t="str">
        <f t="shared" si="2361"/>
        <v>KFH-OPERATIONS DEPARTMENT</v>
      </c>
      <c r="F5791" t="str">
        <f t="shared" si="2362"/>
        <v>IBG</v>
      </c>
      <c r="G5791" t="str">
        <f t="shared" si="2373"/>
        <v>Refund COSHARE 10</v>
      </c>
      <c r="H5791" s="2">
        <v>1040</v>
      </c>
      <c r="I5791" t="str">
        <f>"RIXCO ALMENTRIX  DESMON SOLIUH"</f>
        <v>RIXCO ALMENTRIX  DESMON SOLIUH</v>
      </c>
      <c r="J5791" t="str">
        <f t="shared" si="2359"/>
        <v>CIMB BANK / CIMB ISLAMIC BANK</v>
      </c>
      <c r="K5791" t="str">
        <f>"10050034827522"</f>
        <v>10050034827522</v>
      </c>
      <c r="L5791" t="str">
        <f t="shared" si="2376"/>
        <v>04-08-2020</v>
      </c>
      <c r="M5791" t="str">
        <f t="shared" si="2376"/>
        <v>04-08-2020</v>
      </c>
      <c r="N5791" t="str">
        <f t="shared" si="2364"/>
        <v>001105018356</v>
      </c>
      <c r="O5791" t="str">
        <f t="shared" si="2365"/>
        <v>MYR</v>
      </c>
      <c r="P5791" t="str">
        <f t="shared" si="2377"/>
        <v>NIL</v>
      </c>
      <c r="Q5791" t="str">
        <f t="shared" si="2377"/>
        <v>NIL</v>
      </c>
      <c r="R5791" t="str">
        <f t="shared" si="2351"/>
        <v>Accepted</v>
      </c>
      <c r="S5791" t="str">
        <f t="shared" si="2367"/>
        <v>Approved</v>
      </c>
      <c r="T5791" t="str">
        <f t="shared" si="2352"/>
        <v>10.20.8.188</v>
      </c>
      <c r="U5791" t="str">
        <f t="shared" si="2368"/>
        <v>AZRAD UMAR BIN SHAARI</v>
      </c>
      <c r="V5791" t="str">
        <f t="shared" si="2369"/>
        <v>FARHANA BINTI MUSTAPA</v>
      </c>
      <c r="W5791" t="str">
        <f t="shared" si="2370"/>
        <v>04-08-2020</v>
      </c>
      <c r="X5791" t="str">
        <f t="shared" si="2371"/>
        <v>RAZIMAH ANSAR AHMAD</v>
      </c>
      <c r="Y5791" t="str">
        <f t="shared" si="2372"/>
        <v>04-08-2020</v>
      </c>
      <c r="Z5791" t="str">
        <f>"COS10200804 3363"</f>
        <v>COS10200804 3363</v>
      </c>
    </row>
    <row r="5792" spans="1:26" x14ac:dyDescent="0.25">
      <c r="A5792" t="str">
        <f t="shared" si="2374"/>
        <v>04-08-2020 12:44:36</v>
      </c>
      <c r="B5792" t="str">
        <f>"0000805130"</f>
        <v>0000805130</v>
      </c>
      <c r="C5792" t="str">
        <f t="shared" si="2375"/>
        <v>0000804968</v>
      </c>
      <c r="D5792" t="str">
        <f t="shared" si="2360"/>
        <v>73185</v>
      </c>
      <c r="E5792" t="str">
        <f t="shared" si="2361"/>
        <v>KFH-OPERATIONS DEPARTMENT</v>
      </c>
      <c r="F5792" t="str">
        <f t="shared" si="2362"/>
        <v>IBG</v>
      </c>
      <c r="G5792" t="str">
        <f t="shared" si="2373"/>
        <v>Refund COSHARE 10</v>
      </c>
      <c r="H5792" s="2">
        <v>762.2</v>
      </c>
      <c r="I5792" t="str">
        <f>"RIDZWAN BIN MOHD NOR"</f>
        <v>RIDZWAN BIN MOHD NOR</v>
      </c>
      <c r="J5792" t="str">
        <f t="shared" si="2359"/>
        <v>CIMB BANK / CIMB ISLAMIC BANK</v>
      </c>
      <c r="K5792" t="str">
        <f>"14400080142527"</f>
        <v>14400080142527</v>
      </c>
      <c r="L5792" t="str">
        <f t="shared" si="2376"/>
        <v>04-08-2020</v>
      </c>
      <c r="M5792" t="str">
        <f t="shared" si="2376"/>
        <v>04-08-2020</v>
      </c>
      <c r="N5792" t="str">
        <f t="shared" si="2364"/>
        <v>001105018356</v>
      </c>
      <c r="O5792" t="str">
        <f t="shared" si="2365"/>
        <v>MYR</v>
      </c>
      <c r="P5792" t="str">
        <f t="shared" si="2377"/>
        <v>NIL</v>
      </c>
      <c r="Q5792" t="str">
        <f t="shared" si="2377"/>
        <v>NIL</v>
      </c>
      <c r="R5792" t="str">
        <f t="shared" si="2351"/>
        <v>Accepted</v>
      </c>
      <c r="S5792" t="str">
        <f t="shared" si="2367"/>
        <v>Approved</v>
      </c>
      <c r="T5792" t="str">
        <f t="shared" si="2352"/>
        <v>10.20.8.188</v>
      </c>
      <c r="U5792" t="str">
        <f t="shared" si="2368"/>
        <v>AZRAD UMAR BIN SHAARI</v>
      </c>
      <c r="V5792" t="str">
        <f t="shared" si="2369"/>
        <v>FARHANA BINTI MUSTAPA</v>
      </c>
      <c r="W5792" t="str">
        <f t="shared" si="2370"/>
        <v>04-08-2020</v>
      </c>
      <c r="X5792" t="str">
        <f t="shared" si="2371"/>
        <v>RAZIMAH ANSAR AHMAD</v>
      </c>
      <c r="Y5792" t="str">
        <f t="shared" si="2372"/>
        <v>04-08-2020</v>
      </c>
      <c r="Z5792" t="str">
        <f>"COS10200804 3362"</f>
        <v>COS10200804 3362</v>
      </c>
    </row>
    <row r="5793" spans="1:26" x14ac:dyDescent="0.25">
      <c r="A5793" t="str">
        <f t="shared" si="2374"/>
        <v>04-08-2020 12:44:36</v>
      </c>
      <c r="B5793" t="str">
        <f>"0000805129"</f>
        <v>0000805129</v>
      </c>
      <c r="C5793" t="str">
        <f t="shared" si="2375"/>
        <v>0000804968</v>
      </c>
      <c r="D5793" t="str">
        <f t="shared" si="2360"/>
        <v>73185</v>
      </c>
      <c r="E5793" t="str">
        <f t="shared" si="2361"/>
        <v>KFH-OPERATIONS DEPARTMENT</v>
      </c>
      <c r="F5793" t="str">
        <f t="shared" si="2362"/>
        <v>IBG</v>
      </c>
      <c r="G5793" t="str">
        <f t="shared" si="2373"/>
        <v>Refund COSHARE 10</v>
      </c>
      <c r="H5793" s="2">
        <v>587.65</v>
      </c>
      <c r="I5793" t="str">
        <f>"RIDZUAN BIN SANI"</f>
        <v>RIDZUAN BIN SANI</v>
      </c>
      <c r="J5793" t="str">
        <f t="shared" si="2359"/>
        <v>CIMB BANK / CIMB ISLAMIC BANK</v>
      </c>
      <c r="K5793" t="str">
        <f>"12051404185529"</f>
        <v>12051404185529</v>
      </c>
      <c r="L5793" t="str">
        <f t="shared" si="2376"/>
        <v>04-08-2020</v>
      </c>
      <c r="M5793" t="str">
        <f t="shared" si="2376"/>
        <v>04-08-2020</v>
      </c>
      <c r="N5793" t="str">
        <f t="shared" si="2364"/>
        <v>001105018356</v>
      </c>
      <c r="O5793" t="str">
        <f t="shared" si="2365"/>
        <v>MYR</v>
      </c>
      <c r="P5793" t="str">
        <f t="shared" si="2377"/>
        <v>NIL</v>
      </c>
      <c r="Q5793" t="str">
        <f t="shared" si="2377"/>
        <v>NIL</v>
      </c>
      <c r="R5793" t="str">
        <f t="shared" si="2351"/>
        <v>Accepted</v>
      </c>
      <c r="S5793" t="str">
        <f t="shared" si="2367"/>
        <v>Approved</v>
      </c>
      <c r="T5793" t="str">
        <f t="shared" si="2352"/>
        <v>10.20.8.188</v>
      </c>
      <c r="U5793" t="str">
        <f t="shared" si="2368"/>
        <v>AZRAD UMAR BIN SHAARI</v>
      </c>
      <c r="V5793" t="str">
        <f t="shared" si="2369"/>
        <v>FARHANA BINTI MUSTAPA</v>
      </c>
      <c r="W5793" t="str">
        <f t="shared" si="2370"/>
        <v>04-08-2020</v>
      </c>
      <c r="X5793" t="str">
        <f t="shared" si="2371"/>
        <v>RAZIMAH ANSAR AHMAD</v>
      </c>
      <c r="Y5793" t="str">
        <f t="shared" si="2372"/>
        <v>04-08-2020</v>
      </c>
      <c r="Z5793" t="str">
        <f>"COS10200804 3361"</f>
        <v>COS10200804 3361</v>
      </c>
    </row>
    <row r="5794" spans="1:26" x14ac:dyDescent="0.25">
      <c r="A5794" t="str">
        <f t="shared" si="2374"/>
        <v>04-08-2020 12:44:36</v>
      </c>
      <c r="B5794" t="str">
        <f>"0000805128"</f>
        <v>0000805128</v>
      </c>
      <c r="C5794" t="str">
        <f t="shared" si="2375"/>
        <v>0000804968</v>
      </c>
      <c r="D5794" t="str">
        <f t="shared" si="2360"/>
        <v>73185</v>
      </c>
      <c r="E5794" t="str">
        <f t="shared" si="2361"/>
        <v>KFH-OPERATIONS DEPARTMENT</v>
      </c>
      <c r="F5794" t="str">
        <f t="shared" si="2362"/>
        <v>IBG</v>
      </c>
      <c r="G5794" t="str">
        <f t="shared" si="2373"/>
        <v>Refund COSHARE 10</v>
      </c>
      <c r="H5794" s="2">
        <v>1002</v>
      </c>
      <c r="I5794" t="str">
        <f>"RIDZUAN BIN MOHAMED FADIL"</f>
        <v>RIDZUAN BIN MOHAMED FADIL</v>
      </c>
      <c r="J5794" t="str">
        <f t="shared" si="2359"/>
        <v>CIMB BANK / CIMB ISLAMIC BANK</v>
      </c>
      <c r="K5794" t="str">
        <f>"11050073674529"</f>
        <v>11050073674529</v>
      </c>
      <c r="L5794" t="str">
        <f t="shared" si="2376"/>
        <v>04-08-2020</v>
      </c>
      <c r="M5794" t="str">
        <f t="shared" si="2376"/>
        <v>04-08-2020</v>
      </c>
      <c r="N5794" t="str">
        <f t="shared" si="2364"/>
        <v>001105018356</v>
      </c>
      <c r="O5794" t="str">
        <f t="shared" si="2365"/>
        <v>MYR</v>
      </c>
      <c r="P5794" t="str">
        <f t="shared" si="2377"/>
        <v>NIL</v>
      </c>
      <c r="Q5794" t="str">
        <f t="shared" si="2377"/>
        <v>NIL</v>
      </c>
      <c r="R5794" t="str">
        <f t="shared" ref="R5794:R5857" si="2378">"Accepted"</f>
        <v>Accepted</v>
      </c>
      <c r="S5794" t="str">
        <f t="shared" si="2367"/>
        <v>Approved</v>
      </c>
      <c r="T5794" t="str">
        <f t="shared" ref="T5794:T5857" si="2379">"10.20.8.188"</f>
        <v>10.20.8.188</v>
      </c>
      <c r="U5794" t="str">
        <f t="shared" si="2368"/>
        <v>AZRAD UMAR BIN SHAARI</v>
      </c>
      <c r="V5794" t="str">
        <f t="shared" si="2369"/>
        <v>FARHANA BINTI MUSTAPA</v>
      </c>
      <c r="W5794" t="str">
        <f t="shared" si="2370"/>
        <v>04-08-2020</v>
      </c>
      <c r="X5794" t="str">
        <f t="shared" si="2371"/>
        <v>RAZIMAH ANSAR AHMAD</v>
      </c>
      <c r="Y5794" t="str">
        <f t="shared" si="2372"/>
        <v>04-08-2020</v>
      </c>
      <c r="Z5794" t="str">
        <f>"COS10200804 3360"</f>
        <v>COS10200804 3360</v>
      </c>
    </row>
    <row r="5795" spans="1:26" x14ac:dyDescent="0.25">
      <c r="A5795" t="str">
        <f t="shared" si="2374"/>
        <v>04-08-2020 12:44:36</v>
      </c>
      <c r="B5795" t="str">
        <f>"0000805127"</f>
        <v>0000805127</v>
      </c>
      <c r="C5795" t="str">
        <f t="shared" si="2375"/>
        <v>0000804968</v>
      </c>
      <c r="D5795" t="str">
        <f t="shared" si="2360"/>
        <v>73185</v>
      </c>
      <c r="E5795" t="str">
        <f t="shared" si="2361"/>
        <v>KFH-OPERATIONS DEPARTMENT</v>
      </c>
      <c r="F5795" t="str">
        <f t="shared" si="2362"/>
        <v>IBG</v>
      </c>
      <c r="G5795" t="str">
        <f t="shared" si="2373"/>
        <v>Refund COSHARE 10</v>
      </c>
      <c r="H5795" s="2">
        <v>100.75</v>
      </c>
      <c r="I5795" t="str">
        <f>"RHYMIE BIN MOHD RAMLI"</f>
        <v>RHYMIE BIN MOHD RAMLI</v>
      </c>
      <c r="J5795" t="str">
        <f t="shared" si="2359"/>
        <v>CIMB BANK / CIMB ISLAMIC BANK</v>
      </c>
      <c r="K5795" t="str">
        <f>"12230031979521"</f>
        <v>12230031979521</v>
      </c>
      <c r="L5795" t="str">
        <f t="shared" si="2376"/>
        <v>04-08-2020</v>
      </c>
      <c r="M5795" t="str">
        <f t="shared" si="2376"/>
        <v>04-08-2020</v>
      </c>
      <c r="N5795" t="str">
        <f t="shared" si="2364"/>
        <v>001105018356</v>
      </c>
      <c r="O5795" t="str">
        <f t="shared" si="2365"/>
        <v>MYR</v>
      </c>
      <c r="P5795" t="str">
        <f t="shared" si="2377"/>
        <v>NIL</v>
      </c>
      <c r="Q5795" t="str">
        <f t="shared" si="2377"/>
        <v>NIL</v>
      </c>
      <c r="R5795" t="str">
        <f t="shared" si="2378"/>
        <v>Accepted</v>
      </c>
      <c r="S5795" t="str">
        <f t="shared" si="2367"/>
        <v>Approved</v>
      </c>
      <c r="T5795" t="str">
        <f t="shared" si="2379"/>
        <v>10.20.8.188</v>
      </c>
      <c r="U5795" t="str">
        <f t="shared" si="2368"/>
        <v>AZRAD UMAR BIN SHAARI</v>
      </c>
      <c r="V5795" t="str">
        <f t="shared" si="2369"/>
        <v>FARHANA BINTI MUSTAPA</v>
      </c>
      <c r="W5795" t="str">
        <f t="shared" si="2370"/>
        <v>04-08-2020</v>
      </c>
      <c r="X5795" t="str">
        <f t="shared" si="2371"/>
        <v>RAZIMAH ANSAR AHMAD</v>
      </c>
      <c r="Y5795" t="str">
        <f t="shared" si="2372"/>
        <v>04-08-2020</v>
      </c>
      <c r="Z5795" t="str">
        <f>"COS10200804 3359"</f>
        <v>COS10200804 3359</v>
      </c>
    </row>
    <row r="5796" spans="1:26" x14ac:dyDescent="0.25">
      <c r="A5796" t="str">
        <f t="shared" si="2374"/>
        <v>04-08-2020 12:44:36</v>
      </c>
      <c r="B5796" t="str">
        <f>"0000805126"</f>
        <v>0000805126</v>
      </c>
      <c r="C5796" t="str">
        <f t="shared" si="2375"/>
        <v>0000804968</v>
      </c>
      <c r="D5796" t="str">
        <f t="shared" si="2360"/>
        <v>73185</v>
      </c>
      <c r="E5796" t="str">
        <f t="shared" si="2361"/>
        <v>KFH-OPERATIONS DEPARTMENT</v>
      </c>
      <c r="F5796" t="str">
        <f t="shared" si="2362"/>
        <v>IBG</v>
      </c>
      <c r="G5796" t="str">
        <f t="shared" si="2373"/>
        <v>Refund COSHARE 10</v>
      </c>
      <c r="H5796" s="2">
        <v>209.9</v>
      </c>
      <c r="I5796" t="str">
        <f>"RENNY GRECE JEPLIN"</f>
        <v>RENNY GRECE JEPLIN</v>
      </c>
      <c r="J5796" t="str">
        <f t="shared" si="2359"/>
        <v>CIMB BANK / CIMB ISLAMIC BANK</v>
      </c>
      <c r="K5796" t="str">
        <f>"10020082903529"</f>
        <v>10020082903529</v>
      </c>
      <c r="L5796" t="str">
        <f t="shared" si="2376"/>
        <v>04-08-2020</v>
      </c>
      <c r="M5796" t="str">
        <f t="shared" si="2376"/>
        <v>04-08-2020</v>
      </c>
      <c r="N5796" t="str">
        <f t="shared" si="2364"/>
        <v>001105018356</v>
      </c>
      <c r="O5796" t="str">
        <f t="shared" si="2365"/>
        <v>MYR</v>
      </c>
      <c r="P5796" t="str">
        <f t="shared" si="2377"/>
        <v>NIL</v>
      </c>
      <c r="Q5796" t="str">
        <f t="shared" si="2377"/>
        <v>NIL</v>
      </c>
      <c r="R5796" t="str">
        <f t="shared" si="2378"/>
        <v>Accepted</v>
      </c>
      <c r="S5796" t="str">
        <f t="shared" si="2367"/>
        <v>Approved</v>
      </c>
      <c r="T5796" t="str">
        <f t="shared" si="2379"/>
        <v>10.20.8.188</v>
      </c>
      <c r="U5796" t="str">
        <f t="shared" si="2368"/>
        <v>AZRAD UMAR BIN SHAARI</v>
      </c>
      <c r="V5796" t="str">
        <f t="shared" si="2369"/>
        <v>FARHANA BINTI MUSTAPA</v>
      </c>
      <c r="W5796" t="str">
        <f t="shared" si="2370"/>
        <v>04-08-2020</v>
      </c>
      <c r="X5796" t="str">
        <f t="shared" si="2371"/>
        <v>RAZIMAH ANSAR AHMAD</v>
      </c>
      <c r="Y5796" t="str">
        <f t="shared" si="2372"/>
        <v>04-08-2020</v>
      </c>
      <c r="Z5796" t="str">
        <f>"COS10200804 3358"</f>
        <v>COS10200804 3358</v>
      </c>
    </row>
    <row r="5797" spans="1:26" x14ac:dyDescent="0.25">
      <c r="A5797" t="str">
        <f t="shared" si="2374"/>
        <v>04-08-2020 12:44:36</v>
      </c>
      <c r="B5797" t="str">
        <f>"0000805125"</f>
        <v>0000805125</v>
      </c>
      <c r="C5797" t="str">
        <f t="shared" si="2375"/>
        <v>0000804968</v>
      </c>
      <c r="D5797" t="str">
        <f t="shared" si="2360"/>
        <v>73185</v>
      </c>
      <c r="E5797" t="str">
        <f t="shared" si="2361"/>
        <v>KFH-OPERATIONS DEPARTMENT</v>
      </c>
      <c r="F5797" t="str">
        <f t="shared" si="2362"/>
        <v>IBG</v>
      </c>
      <c r="G5797" t="str">
        <f t="shared" si="2373"/>
        <v>Refund COSHARE 10</v>
      </c>
      <c r="H5797" s="2">
        <v>453.35</v>
      </c>
      <c r="I5797" t="str">
        <f>"REMY SYARMILA BINTI MOHAMED SEBLI"</f>
        <v>REMY SYARMILA BINTI MOHAMED SEBLI</v>
      </c>
      <c r="J5797" t="str">
        <f t="shared" si="2359"/>
        <v>CIMB BANK / CIMB ISLAMIC BANK</v>
      </c>
      <c r="K5797" t="str">
        <f>"11015013520524"</f>
        <v>11015013520524</v>
      </c>
      <c r="L5797" t="str">
        <f t="shared" si="2376"/>
        <v>04-08-2020</v>
      </c>
      <c r="M5797" t="str">
        <f t="shared" si="2376"/>
        <v>04-08-2020</v>
      </c>
      <c r="N5797" t="str">
        <f t="shared" si="2364"/>
        <v>001105018356</v>
      </c>
      <c r="O5797" t="str">
        <f t="shared" si="2365"/>
        <v>MYR</v>
      </c>
      <c r="P5797" t="str">
        <f t="shared" si="2377"/>
        <v>NIL</v>
      </c>
      <c r="Q5797" t="str">
        <f t="shared" si="2377"/>
        <v>NIL</v>
      </c>
      <c r="R5797" t="str">
        <f t="shared" si="2378"/>
        <v>Accepted</v>
      </c>
      <c r="S5797" t="str">
        <f t="shared" si="2367"/>
        <v>Approved</v>
      </c>
      <c r="T5797" t="str">
        <f t="shared" si="2379"/>
        <v>10.20.8.188</v>
      </c>
      <c r="U5797" t="str">
        <f t="shared" si="2368"/>
        <v>AZRAD UMAR BIN SHAARI</v>
      </c>
      <c r="V5797" t="str">
        <f t="shared" si="2369"/>
        <v>FARHANA BINTI MUSTAPA</v>
      </c>
      <c r="W5797" t="str">
        <f t="shared" si="2370"/>
        <v>04-08-2020</v>
      </c>
      <c r="X5797" t="str">
        <f t="shared" si="2371"/>
        <v>RAZIMAH ANSAR AHMAD</v>
      </c>
      <c r="Y5797" t="str">
        <f t="shared" si="2372"/>
        <v>04-08-2020</v>
      </c>
      <c r="Z5797" t="str">
        <f>"COS10200804 3357"</f>
        <v>COS10200804 3357</v>
      </c>
    </row>
    <row r="5798" spans="1:26" x14ac:dyDescent="0.25">
      <c r="A5798" t="str">
        <f t="shared" si="2374"/>
        <v>04-08-2020 12:44:36</v>
      </c>
      <c r="B5798" t="str">
        <f>"0000805124"</f>
        <v>0000805124</v>
      </c>
      <c r="C5798" t="str">
        <f t="shared" si="2375"/>
        <v>0000804968</v>
      </c>
      <c r="D5798" t="str">
        <f t="shared" si="2360"/>
        <v>73185</v>
      </c>
      <c r="E5798" t="str">
        <f t="shared" si="2361"/>
        <v>KFH-OPERATIONS DEPARTMENT</v>
      </c>
      <c r="F5798" t="str">
        <f t="shared" si="2362"/>
        <v>IBG</v>
      </c>
      <c r="G5798" t="str">
        <f t="shared" si="2373"/>
        <v>Refund COSHARE 10</v>
      </c>
      <c r="H5798" s="2">
        <v>312</v>
      </c>
      <c r="I5798" t="str">
        <f>"REMMY BIN SHAHRIN"</f>
        <v>REMMY BIN SHAHRIN</v>
      </c>
      <c r="J5798" t="str">
        <f t="shared" si="2359"/>
        <v>CIMB BANK / CIMB ISLAMIC BANK</v>
      </c>
      <c r="K5798" t="str">
        <f>"14230068132528"</f>
        <v>14230068132528</v>
      </c>
      <c r="L5798" t="str">
        <f t="shared" si="2376"/>
        <v>04-08-2020</v>
      </c>
      <c r="M5798" t="str">
        <f t="shared" si="2376"/>
        <v>04-08-2020</v>
      </c>
      <c r="N5798" t="str">
        <f t="shared" si="2364"/>
        <v>001105018356</v>
      </c>
      <c r="O5798" t="str">
        <f t="shared" si="2365"/>
        <v>MYR</v>
      </c>
      <c r="P5798" t="str">
        <f t="shared" si="2377"/>
        <v>NIL</v>
      </c>
      <c r="Q5798" t="str">
        <f t="shared" si="2377"/>
        <v>NIL</v>
      </c>
      <c r="R5798" t="str">
        <f t="shared" si="2378"/>
        <v>Accepted</v>
      </c>
      <c r="S5798" t="str">
        <f t="shared" si="2367"/>
        <v>Approved</v>
      </c>
      <c r="T5798" t="str">
        <f t="shared" si="2379"/>
        <v>10.20.8.188</v>
      </c>
      <c r="U5798" t="str">
        <f t="shared" si="2368"/>
        <v>AZRAD UMAR BIN SHAARI</v>
      </c>
      <c r="V5798" t="str">
        <f t="shared" si="2369"/>
        <v>FARHANA BINTI MUSTAPA</v>
      </c>
      <c r="W5798" t="str">
        <f t="shared" si="2370"/>
        <v>04-08-2020</v>
      </c>
      <c r="X5798" t="str">
        <f t="shared" si="2371"/>
        <v>RAZIMAH ANSAR AHMAD</v>
      </c>
      <c r="Y5798" t="str">
        <f t="shared" si="2372"/>
        <v>04-08-2020</v>
      </c>
      <c r="Z5798" t="str">
        <f>"COS10200804 3356"</f>
        <v>COS10200804 3356</v>
      </c>
    </row>
    <row r="5799" spans="1:26" x14ac:dyDescent="0.25">
      <c r="A5799" t="str">
        <f t="shared" si="2374"/>
        <v>04-08-2020 12:44:36</v>
      </c>
      <c r="B5799" t="str">
        <f>"0000805123"</f>
        <v>0000805123</v>
      </c>
      <c r="C5799" t="str">
        <f t="shared" si="2375"/>
        <v>0000804968</v>
      </c>
      <c r="D5799" t="str">
        <f t="shared" si="2360"/>
        <v>73185</v>
      </c>
      <c r="E5799" t="str">
        <f t="shared" si="2361"/>
        <v>KFH-OPERATIONS DEPARTMENT</v>
      </c>
      <c r="F5799" t="str">
        <f t="shared" si="2362"/>
        <v>IBG</v>
      </c>
      <c r="G5799" t="str">
        <f t="shared" si="2373"/>
        <v>Refund COSHARE 10</v>
      </c>
      <c r="H5799" s="2">
        <v>923.45</v>
      </c>
      <c r="I5799" t="str">
        <f>"REMMY BIN SHAHRIN"</f>
        <v>REMMY BIN SHAHRIN</v>
      </c>
      <c r="J5799" t="str">
        <f t="shared" si="2359"/>
        <v>CIMB BANK / CIMB ISLAMIC BANK</v>
      </c>
      <c r="K5799" t="str">
        <f>"14230068132528"</f>
        <v>14230068132528</v>
      </c>
      <c r="L5799" t="str">
        <f t="shared" si="2376"/>
        <v>04-08-2020</v>
      </c>
      <c r="M5799" t="str">
        <f t="shared" si="2376"/>
        <v>04-08-2020</v>
      </c>
      <c r="N5799" t="str">
        <f t="shared" si="2364"/>
        <v>001105018356</v>
      </c>
      <c r="O5799" t="str">
        <f t="shared" si="2365"/>
        <v>MYR</v>
      </c>
      <c r="P5799" t="str">
        <f t="shared" si="2377"/>
        <v>NIL</v>
      </c>
      <c r="Q5799" t="str">
        <f t="shared" si="2377"/>
        <v>NIL</v>
      </c>
      <c r="R5799" t="str">
        <f t="shared" si="2378"/>
        <v>Accepted</v>
      </c>
      <c r="S5799" t="str">
        <f t="shared" si="2367"/>
        <v>Approved</v>
      </c>
      <c r="T5799" t="str">
        <f t="shared" si="2379"/>
        <v>10.20.8.188</v>
      </c>
      <c r="U5799" t="str">
        <f t="shared" si="2368"/>
        <v>AZRAD UMAR BIN SHAARI</v>
      </c>
      <c r="V5799" t="str">
        <f t="shared" si="2369"/>
        <v>FARHANA BINTI MUSTAPA</v>
      </c>
      <c r="W5799" t="str">
        <f t="shared" si="2370"/>
        <v>04-08-2020</v>
      </c>
      <c r="X5799" t="str">
        <f t="shared" si="2371"/>
        <v>RAZIMAH ANSAR AHMAD</v>
      </c>
      <c r="Y5799" t="str">
        <f t="shared" si="2372"/>
        <v>04-08-2020</v>
      </c>
      <c r="Z5799" t="str">
        <f>"COS10200804 3355"</f>
        <v>COS10200804 3355</v>
      </c>
    </row>
    <row r="5800" spans="1:26" x14ac:dyDescent="0.25">
      <c r="A5800" t="str">
        <f t="shared" si="2374"/>
        <v>04-08-2020 12:44:36</v>
      </c>
      <c r="B5800" t="str">
        <f>"0000805122"</f>
        <v>0000805122</v>
      </c>
      <c r="C5800" t="str">
        <f t="shared" si="2375"/>
        <v>0000804968</v>
      </c>
      <c r="D5800" t="str">
        <f t="shared" si="2360"/>
        <v>73185</v>
      </c>
      <c r="E5800" t="str">
        <f t="shared" si="2361"/>
        <v>KFH-OPERATIONS DEPARTMENT</v>
      </c>
      <c r="F5800" t="str">
        <f t="shared" si="2362"/>
        <v>IBG</v>
      </c>
      <c r="G5800" t="str">
        <f t="shared" si="2373"/>
        <v>Refund COSHARE 10</v>
      </c>
      <c r="H5800" s="2">
        <v>443.5</v>
      </c>
      <c r="I5800" t="str">
        <f>"REGINA BINTI AKIM"</f>
        <v>REGINA BINTI AKIM</v>
      </c>
      <c r="J5800" t="str">
        <f t="shared" si="2359"/>
        <v>CIMB BANK / CIMB ISLAMIC BANK</v>
      </c>
      <c r="K5800" t="str">
        <f>"10030064812526"</f>
        <v>10030064812526</v>
      </c>
      <c r="L5800" t="str">
        <f t="shared" si="2376"/>
        <v>04-08-2020</v>
      </c>
      <c r="M5800" t="str">
        <f t="shared" si="2376"/>
        <v>04-08-2020</v>
      </c>
      <c r="N5800" t="str">
        <f t="shared" si="2364"/>
        <v>001105018356</v>
      </c>
      <c r="O5800" t="str">
        <f t="shared" si="2365"/>
        <v>MYR</v>
      </c>
      <c r="P5800" t="str">
        <f t="shared" si="2377"/>
        <v>NIL</v>
      </c>
      <c r="Q5800" t="str">
        <f t="shared" si="2377"/>
        <v>NIL</v>
      </c>
      <c r="R5800" t="str">
        <f t="shared" si="2378"/>
        <v>Accepted</v>
      </c>
      <c r="S5800" t="str">
        <f t="shared" si="2367"/>
        <v>Approved</v>
      </c>
      <c r="T5800" t="str">
        <f t="shared" si="2379"/>
        <v>10.20.8.188</v>
      </c>
      <c r="U5800" t="str">
        <f t="shared" si="2368"/>
        <v>AZRAD UMAR BIN SHAARI</v>
      </c>
      <c r="V5800" t="str">
        <f t="shared" si="2369"/>
        <v>FARHANA BINTI MUSTAPA</v>
      </c>
      <c r="W5800" t="str">
        <f t="shared" si="2370"/>
        <v>04-08-2020</v>
      </c>
      <c r="X5800" t="str">
        <f t="shared" si="2371"/>
        <v>RAZIMAH ANSAR AHMAD</v>
      </c>
      <c r="Y5800" t="str">
        <f t="shared" si="2372"/>
        <v>04-08-2020</v>
      </c>
      <c r="Z5800" t="str">
        <f>"COS10200804 3354"</f>
        <v>COS10200804 3354</v>
      </c>
    </row>
    <row r="5801" spans="1:26" x14ac:dyDescent="0.25">
      <c r="A5801" t="str">
        <f t="shared" si="2374"/>
        <v>04-08-2020 12:44:36</v>
      </c>
      <c r="B5801" t="str">
        <f>"0000805121"</f>
        <v>0000805121</v>
      </c>
      <c r="C5801" t="str">
        <f t="shared" si="2375"/>
        <v>0000804968</v>
      </c>
      <c r="D5801" t="str">
        <f t="shared" si="2360"/>
        <v>73185</v>
      </c>
      <c r="E5801" t="str">
        <f t="shared" si="2361"/>
        <v>KFH-OPERATIONS DEPARTMENT</v>
      </c>
      <c r="F5801" t="str">
        <f t="shared" si="2362"/>
        <v>IBG</v>
      </c>
      <c r="G5801" t="str">
        <f t="shared" si="2373"/>
        <v>Refund COSHARE 10</v>
      </c>
      <c r="H5801" s="2">
        <v>176.85</v>
      </c>
      <c r="I5801" t="str">
        <f>"RAZUMA BINTI MORSHIDI"</f>
        <v>RAZUMA BINTI MORSHIDI</v>
      </c>
      <c r="J5801" t="str">
        <f t="shared" si="2359"/>
        <v>CIMB BANK / CIMB ISLAMIC BANK</v>
      </c>
      <c r="K5801" t="str">
        <f>"11060072115521"</f>
        <v>11060072115521</v>
      </c>
      <c r="L5801" t="str">
        <f t="shared" si="2376"/>
        <v>04-08-2020</v>
      </c>
      <c r="M5801" t="str">
        <f t="shared" si="2376"/>
        <v>04-08-2020</v>
      </c>
      <c r="N5801" t="str">
        <f t="shared" si="2364"/>
        <v>001105018356</v>
      </c>
      <c r="O5801" t="str">
        <f t="shared" si="2365"/>
        <v>MYR</v>
      </c>
      <c r="P5801" t="str">
        <f t="shared" si="2377"/>
        <v>NIL</v>
      </c>
      <c r="Q5801" t="str">
        <f t="shared" si="2377"/>
        <v>NIL</v>
      </c>
      <c r="R5801" t="str">
        <f t="shared" si="2378"/>
        <v>Accepted</v>
      </c>
      <c r="S5801" t="str">
        <f t="shared" si="2367"/>
        <v>Approved</v>
      </c>
      <c r="T5801" t="str">
        <f t="shared" si="2379"/>
        <v>10.20.8.188</v>
      </c>
      <c r="U5801" t="str">
        <f t="shared" si="2368"/>
        <v>AZRAD UMAR BIN SHAARI</v>
      </c>
      <c r="V5801" t="str">
        <f t="shared" si="2369"/>
        <v>FARHANA BINTI MUSTAPA</v>
      </c>
      <c r="W5801" t="str">
        <f t="shared" si="2370"/>
        <v>04-08-2020</v>
      </c>
      <c r="X5801" t="str">
        <f t="shared" si="2371"/>
        <v>RAZIMAH ANSAR AHMAD</v>
      </c>
      <c r="Y5801" t="str">
        <f t="shared" si="2372"/>
        <v>04-08-2020</v>
      </c>
      <c r="Z5801" t="str">
        <f>"COS10200804 3353"</f>
        <v>COS10200804 3353</v>
      </c>
    </row>
    <row r="5802" spans="1:26" x14ac:dyDescent="0.25">
      <c r="A5802" t="str">
        <f t="shared" si="2374"/>
        <v>04-08-2020 12:44:36</v>
      </c>
      <c r="B5802" t="str">
        <f>"0000805120"</f>
        <v>0000805120</v>
      </c>
      <c r="C5802" t="str">
        <f t="shared" si="2375"/>
        <v>0000804968</v>
      </c>
      <c r="D5802" t="str">
        <f t="shared" si="2360"/>
        <v>73185</v>
      </c>
      <c r="E5802" t="str">
        <f t="shared" si="2361"/>
        <v>KFH-OPERATIONS DEPARTMENT</v>
      </c>
      <c r="F5802" t="str">
        <f t="shared" si="2362"/>
        <v>IBG</v>
      </c>
      <c r="G5802" t="str">
        <f t="shared" si="2373"/>
        <v>Refund COSHARE 10</v>
      </c>
      <c r="H5802" s="2">
        <v>134</v>
      </c>
      <c r="I5802" t="str">
        <f>"RAZALLY BIN ISMAIL"</f>
        <v>RAZALLY BIN ISMAIL</v>
      </c>
      <c r="J5802" t="str">
        <f t="shared" si="2359"/>
        <v>CIMB BANK / CIMB ISLAMIC BANK</v>
      </c>
      <c r="K5802" t="str">
        <f>"02120025135525"</f>
        <v>02120025135525</v>
      </c>
      <c r="L5802" t="str">
        <f t="shared" si="2376"/>
        <v>04-08-2020</v>
      </c>
      <c r="M5802" t="str">
        <f t="shared" si="2376"/>
        <v>04-08-2020</v>
      </c>
      <c r="N5802" t="str">
        <f t="shared" si="2364"/>
        <v>001105018356</v>
      </c>
      <c r="O5802" t="str">
        <f t="shared" si="2365"/>
        <v>MYR</v>
      </c>
      <c r="P5802" t="str">
        <f t="shared" si="2377"/>
        <v>NIL</v>
      </c>
      <c r="Q5802" t="str">
        <f t="shared" si="2377"/>
        <v>NIL</v>
      </c>
      <c r="R5802" t="str">
        <f t="shared" si="2378"/>
        <v>Accepted</v>
      </c>
      <c r="S5802" t="str">
        <f t="shared" si="2367"/>
        <v>Approved</v>
      </c>
      <c r="T5802" t="str">
        <f t="shared" si="2379"/>
        <v>10.20.8.188</v>
      </c>
      <c r="U5802" t="str">
        <f t="shared" si="2368"/>
        <v>AZRAD UMAR BIN SHAARI</v>
      </c>
      <c r="V5802" t="str">
        <f t="shared" si="2369"/>
        <v>FARHANA BINTI MUSTAPA</v>
      </c>
      <c r="W5802" t="str">
        <f t="shared" si="2370"/>
        <v>04-08-2020</v>
      </c>
      <c r="X5802" t="str">
        <f t="shared" si="2371"/>
        <v>RAZIMAH ANSAR AHMAD</v>
      </c>
      <c r="Y5802" t="str">
        <f t="shared" si="2372"/>
        <v>04-08-2020</v>
      </c>
      <c r="Z5802" t="str">
        <f>"COS10200804 3352"</f>
        <v>COS10200804 3352</v>
      </c>
    </row>
    <row r="5803" spans="1:26" x14ac:dyDescent="0.25">
      <c r="A5803" t="str">
        <f t="shared" si="2374"/>
        <v>04-08-2020 12:44:36</v>
      </c>
      <c r="B5803" t="str">
        <f>"0000805119"</f>
        <v>0000805119</v>
      </c>
      <c r="C5803" t="str">
        <f t="shared" si="2375"/>
        <v>0000804968</v>
      </c>
      <c r="D5803" t="str">
        <f t="shared" si="2360"/>
        <v>73185</v>
      </c>
      <c r="E5803" t="str">
        <f t="shared" si="2361"/>
        <v>KFH-OPERATIONS DEPARTMENT</v>
      </c>
      <c r="F5803" t="str">
        <f t="shared" si="2362"/>
        <v>IBG</v>
      </c>
      <c r="G5803" t="str">
        <f t="shared" si="2373"/>
        <v>Refund COSHARE 10</v>
      </c>
      <c r="H5803" s="2">
        <v>520.5</v>
      </c>
      <c r="I5803" t="str">
        <f>"RAZALI BIN MANAH"</f>
        <v>RAZALI BIN MANAH</v>
      </c>
      <c r="J5803" t="str">
        <f t="shared" si="2359"/>
        <v>CIMB BANK / CIMB ISLAMIC BANK</v>
      </c>
      <c r="K5803" t="str">
        <f>"01150069675524"</f>
        <v>01150069675524</v>
      </c>
      <c r="L5803" t="str">
        <f t="shared" si="2376"/>
        <v>04-08-2020</v>
      </c>
      <c r="M5803" t="str">
        <f t="shared" si="2376"/>
        <v>04-08-2020</v>
      </c>
      <c r="N5803" t="str">
        <f t="shared" si="2364"/>
        <v>001105018356</v>
      </c>
      <c r="O5803" t="str">
        <f t="shared" si="2365"/>
        <v>MYR</v>
      </c>
      <c r="P5803" t="str">
        <f t="shared" si="2377"/>
        <v>NIL</v>
      </c>
      <c r="Q5803" t="str">
        <f t="shared" si="2377"/>
        <v>NIL</v>
      </c>
      <c r="R5803" t="str">
        <f t="shared" si="2378"/>
        <v>Accepted</v>
      </c>
      <c r="S5803" t="str">
        <f t="shared" si="2367"/>
        <v>Approved</v>
      </c>
      <c r="T5803" t="str">
        <f t="shared" si="2379"/>
        <v>10.20.8.188</v>
      </c>
      <c r="U5803" t="str">
        <f t="shared" si="2368"/>
        <v>AZRAD UMAR BIN SHAARI</v>
      </c>
      <c r="V5803" t="str">
        <f t="shared" si="2369"/>
        <v>FARHANA BINTI MUSTAPA</v>
      </c>
      <c r="W5803" t="str">
        <f t="shared" si="2370"/>
        <v>04-08-2020</v>
      </c>
      <c r="X5803" t="str">
        <f t="shared" si="2371"/>
        <v>RAZIMAH ANSAR AHMAD</v>
      </c>
      <c r="Y5803" t="str">
        <f t="shared" si="2372"/>
        <v>04-08-2020</v>
      </c>
      <c r="Z5803" t="str">
        <f>"COS10200804 3351"</f>
        <v>COS10200804 3351</v>
      </c>
    </row>
    <row r="5804" spans="1:26" x14ac:dyDescent="0.25">
      <c r="A5804" t="str">
        <f t="shared" si="2374"/>
        <v>04-08-2020 12:44:36</v>
      </c>
      <c r="B5804" t="str">
        <f>"0000805118"</f>
        <v>0000805118</v>
      </c>
      <c r="C5804" t="str">
        <f t="shared" si="2375"/>
        <v>0000804968</v>
      </c>
      <c r="D5804" t="str">
        <f t="shared" si="2360"/>
        <v>73185</v>
      </c>
      <c r="E5804" t="str">
        <f t="shared" si="2361"/>
        <v>KFH-OPERATIONS DEPARTMENT</v>
      </c>
      <c r="F5804" t="str">
        <f t="shared" si="2362"/>
        <v>IBG</v>
      </c>
      <c r="G5804" t="str">
        <f t="shared" si="2373"/>
        <v>Refund COSHARE 10</v>
      </c>
      <c r="H5804" s="2">
        <v>152</v>
      </c>
      <c r="I5804" t="str">
        <f>"RAZALI BIN AHMAD"</f>
        <v>RAZALI BIN AHMAD</v>
      </c>
      <c r="J5804" t="str">
        <f t="shared" si="2359"/>
        <v>CIMB BANK / CIMB ISLAMIC BANK</v>
      </c>
      <c r="K5804" t="str">
        <f>"7023757646"</f>
        <v>7023757646</v>
      </c>
      <c r="L5804" t="str">
        <f t="shared" si="2376"/>
        <v>04-08-2020</v>
      </c>
      <c r="M5804" t="str">
        <f t="shared" si="2376"/>
        <v>04-08-2020</v>
      </c>
      <c r="N5804" t="str">
        <f t="shared" si="2364"/>
        <v>001105018356</v>
      </c>
      <c r="O5804" t="str">
        <f t="shared" si="2365"/>
        <v>MYR</v>
      </c>
      <c r="P5804" t="str">
        <f t="shared" si="2377"/>
        <v>NIL</v>
      </c>
      <c r="Q5804" t="str">
        <f t="shared" si="2377"/>
        <v>NIL</v>
      </c>
      <c r="R5804" t="str">
        <f t="shared" si="2378"/>
        <v>Accepted</v>
      </c>
      <c r="S5804" t="str">
        <f t="shared" si="2367"/>
        <v>Approved</v>
      </c>
      <c r="T5804" t="str">
        <f t="shared" si="2379"/>
        <v>10.20.8.188</v>
      </c>
      <c r="U5804" t="str">
        <f t="shared" si="2368"/>
        <v>AZRAD UMAR BIN SHAARI</v>
      </c>
      <c r="V5804" t="str">
        <f t="shared" si="2369"/>
        <v>FARHANA BINTI MUSTAPA</v>
      </c>
      <c r="W5804" t="str">
        <f t="shared" si="2370"/>
        <v>04-08-2020</v>
      </c>
      <c r="X5804" t="str">
        <f t="shared" si="2371"/>
        <v>RAZIMAH ANSAR AHMAD</v>
      </c>
      <c r="Y5804" t="str">
        <f t="shared" si="2372"/>
        <v>04-08-2020</v>
      </c>
      <c r="Z5804" t="str">
        <f>"COS10200804 3350"</f>
        <v>COS10200804 3350</v>
      </c>
    </row>
    <row r="5805" spans="1:26" x14ac:dyDescent="0.25">
      <c r="A5805" t="str">
        <f t="shared" si="2374"/>
        <v>04-08-2020 12:44:36</v>
      </c>
      <c r="B5805" t="str">
        <f>"0000805117"</f>
        <v>0000805117</v>
      </c>
      <c r="C5805" t="str">
        <f t="shared" si="2375"/>
        <v>0000804968</v>
      </c>
      <c r="D5805" t="str">
        <f t="shared" si="2360"/>
        <v>73185</v>
      </c>
      <c r="E5805" t="str">
        <f t="shared" si="2361"/>
        <v>KFH-OPERATIONS DEPARTMENT</v>
      </c>
      <c r="F5805" t="str">
        <f t="shared" si="2362"/>
        <v>IBG</v>
      </c>
      <c r="G5805" t="str">
        <f t="shared" si="2373"/>
        <v>Refund COSHARE 10</v>
      </c>
      <c r="H5805" s="2">
        <v>442.05</v>
      </c>
      <c r="I5805" t="str">
        <f>"RATNA DEWI AP P GOPALAKRISHNA"</f>
        <v>RATNA DEWI AP P GOPALAKRISHNA</v>
      </c>
      <c r="J5805" t="str">
        <f t="shared" si="2359"/>
        <v>CIMB BANK / CIMB ISLAMIC BANK</v>
      </c>
      <c r="K5805" t="str">
        <f>"14200025431522"</f>
        <v>14200025431522</v>
      </c>
      <c r="L5805" t="str">
        <f t="shared" si="2376"/>
        <v>04-08-2020</v>
      </c>
      <c r="M5805" t="str">
        <f t="shared" si="2376"/>
        <v>04-08-2020</v>
      </c>
      <c r="N5805" t="str">
        <f t="shared" si="2364"/>
        <v>001105018356</v>
      </c>
      <c r="O5805" t="str">
        <f t="shared" si="2365"/>
        <v>MYR</v>
      </c>
      <c r="P5805" t="str">
        <f t="shared" si="2377"/>
        <v>NIL</v>
      </c>
      <c r="Q5805" t="str">
        <f t="shared" si="2377"/>
        <v>NIL</v>
      </c>
      <c r="R5805" t="str">
        <f t="shared" si="2378"/>
        <v>Accepted</v>
      </c>
      <c r="S5805" t="str">
        <f t="shared" si="2367"/>
        <v>Approved</v>
      </c>
      <c r="T5805" t="str">
        <f t="shared" si="2379"/>
        <v>10.20.8.188</v>
      </c>
      <c r="U5805" t="str">
        <f t="shared" si="2368"/>
        <v>AZRAD UMAR BIN SHAARI</v>
      </c>
      <c r="V5805" t="str">
        <f t="shared" si="2369"/>
        <v>FARHANA BINTI MUSTAPA</v>
      </c>
      <c r="W5805" t="str">
        <f t="shared" si="2370"/>
        <v>04-08-2020</v>
      </c>
      <c r="X5805" t="str">
        <f t="shared" si="2371"/>
        <v>RAZIMAH ANSAR AHMAD</v>
      </c>
      <c r="Y5805" t="str">
        <f t="shared" si="2372"/>
        <v>04-08-2020</v>
      </c>
      <c r="Z5805" t="str">
        <f>"COS10200804 3349"</f>
        <v>COS10200804 3349</v>
      </c>
    </row>
    <row r="5806" spans="1:26" x14ac:dyDescent="0.25">
      <c r="A5806" t="str">
        <f t="shared" si="2374"/>
        <v>04-08-2020 12:44:36</v>
      </c>
      <c r="B5806" t="str">
        <f>"0000805116"</f>
        <v>0000805116</v>
      </c>
      <c r="C5806" t="str">
        <f t="shared" si="2375"/>
        <v>0000804968</v>
      </c>
      <c r="D5806" t="str">
        <f t="shared" si="2360"/>
        <v>73185</v>
      </c>
      <c r="E5806" t="str">
        <f t="shared" si="2361"/>
        <v>KFH-OPERATIONS DEPARTMENT</v>
      </c>
      <c r="F5806" t="str">
        <f t="shared" si="2362"/>
        <v>IBG</v>
      </c>
      <c r="G5806" t="str">
        <f t="shared" si="2373"/>
        <v>Refund COSHARE 10</v>
      </c>
      <c r="H5806" s="2">
        <v>713.6</v>
      </c>
      <c r="I5806" t="str">
        <f>"RASYIDAH BINTI ABD RAZAK"</f>
        <v>RASYIDAH BINTI ABD RAZAK</v>
      </c>
      <c r="J5806" t="str">
        <f t="shared" si="2359"/>
        <v>CIMB BANK / CIMB ISLAMIC BANK</v>
      </c>
      <c r="K5806" t="str">
        <f>"14180070992526"</f>
        <v>14180070992526</v>
      </c>
      <c r="L5806" t="str">
        <f t="shared" si="2376"/>
        <v>04-08-2020</v>
      </c>
      <c r="M5806" t="str">
        <f t="shared" si="2376"/>
        <v>04-08-2020</v>
      </c>
      <c r="N5806" t="str">
        <f t="shared" si="2364"/>
        <v>001105018356</v>
      </c>
      <c r="O5806" t="str">
        <f t="shared" si="2365"/>
        <v>MYR</v>
      </c>
      <c r="P5806" t="str">
        <f t="shared" si="2377"/>
        <v>NIL</v>
      </c>
      <c r="Q5806" t="str">
        <f t="shared" si="2377"/>
        <v>NIL</v>
      </c>
      <c r="R5806" t="str">
        <f t="shared" si="2378"/>
        <v>Accepted</v>
      </c>
      <c r="S5806" t="str">
        <f t="shared" si="2367"/>
        <v>Approved</v>
      </c>
      <c r="T5806" t="str">
        <f t="shared" si="2379"/>
        <v>10.20.8.188</v>
      </c>
      <c r="U5806" t="str">
        <f t="shared" si="2368"/>
        <v>AZRAD UMAR BIN SHAARI</v>
      </c>
      <c r="V5806" t="str">
        <f t="shared" si="2369"/>
        <v>FARHANA BINTI MUSTAPA</v>
      </c>
      <c r="W5806" t="str">
        <f t="shared" si="2370"/>
        <v>04-08-2020</v>
      </c>
      <c r="X5806" t="str">
        <f t="shared" si="2371"/>
        <v>RAZIMAH ANSAR AHMAD</v>
      </c>
      <c r="Y5806" t="str">
        <f t="shared" si="2372"/>
        <v>04-08-2020</v>
      </c>
      <c r="Z5806" t="str">
        <f>"COS10200804 3348"</f>
        <v>COS10200804 3348</v>
      </c>
    </row>
    <row r="5807" spans="1:26" x14ac:dyDescent="0.25">
      <c r="A5807" t="str">
        <f t="shared" si="2374"/>
        <v>04-08-2020 12:44:36</v>
      </c>
      <c r="B5807" t="str">
        <f>"0000805115"</f>
        <v>0000805115</v>
      </c>
      <c r="C5807" t="str">
        <f t="shared" si="2375"/>
        <v>0000804968</v>
      </c>
      <c r="D5807" t="str">
        <f t="shared" si="2360"/>
        <v>73185</v>
      </c>
      <c r="E5807" t="str">
        <f t="shared" si="2361"/>
        <v>KFH-OPERATIONS DEPARTMENT</v>
      </c>
      <c r="F5807" t="str">
        <f t="shared" si="2362"/>
        <v>IBG</v>
      </c>
      <c r="G5807" t="str">
        <f t="shared" si="2373"/>
        <v>Refund COSHARE 10</v>
      </c>
      <c r="H5807" s="2">
        <v>563</v>
      </c>
      <c r="I5807" t="str">
        <f>"RASILAN JOHNY  ROSLAN"</f>
        <v>RASILAN JOHNY  ROSLAN</v>
      </c>
      <c r="J5807" t="str">
        <f t="shared" si="2359"/>
        <v>CIMB BANK / CIMB ISLAMIC BANK</v>
      </c>
      <c r="K5807" t="str">
        <f>"10050019452523"</f>
        <v>10050019452523</v>
      </c>
      <c r="L5807" t="str">
        <f t="shared" ref="L5807:M5826" si="2380">"04-08-2020"</f>
        <v>04-08-2020</v>
      </c>
      <c r="M5807" t="str">
        <f t="shared" si="2380"/>
        <v>04-08-2020</v>
      </c>
      <c r="N5807" t="str">
        <f t="shared" si="2364"/>
        <v>001105018356</v>
      </c>
      <c r="O5807" t="str">
        <f t="shared" si="2365"/>
        <v>MYR</v>
      </c>
      <c r="P5807" t="str">
        <f t="shared" ref="P5807:Q5826" si="2381">"NIL"</f>
        <v>NIL</v>
      </c>
      <c r="Q5807" t="str">
        <f t="shared" si="2381"/>
        <v>NIL</v>
      </c>
      <c r="R5807" t="str">
        <f t="shared" si="2378"/>
        <v>Accepted</v>
      </c>
      <c r="S5807" t="str">
        <f t="shared" si="2367"/>
        <v>Approved</v>
      </c>
      <c r="T5807" t="str">
        <f t="shared" si="2379"/>
        <v>10.20.8.188</v>
      </c>
      <c r="U5807" t="str">
        <f t="shared" si="2368"/>
        <v>AZRAD UMAR BIN SHAARI</v>
      </c>
      <c r="V5807" t="str">
        <f t="shared" si="2369"/>
        <v>FARHANA BINTI MUSTAPA</v>
      </c>
      <c r="W5807" t="str">
        <f t="shared" si="2370"/>
        <v>04-08-2020</v>
      </c>
      <c r="X5807" t="str">
        <f t="shared" si="2371"/>
        <v>RAZIMAH ANSAR AHMAD</v>
      </c>
      <c r="Y5807" t="str">
        <f t="shared" si="2372"/>
        <v>04-08-2020</v>
      </c>
      <c r="Z5807" t="str">
        <f>"COS10200804 3347"</f>
        <v>COS10200804 3347</v>
      </c>
    </row>
    <row r="5808" spans="1:26" x14ac:dyDescent="0.25">
      <c r="A5808" t="str">
        <f t="shared" si="2374"/>
        <v>04-08-2020 12:44:36</v>
      </c>
      <c r="B5808" t="str">
        <f>"0000805114"</f>
        <v>0000805114</v>
      </c>
      <c r="C5808" t="str">
        <f t="shared" si="2375"/>
        <v>0000804968</v>
      </c>
      <c r="D5808" t="str">
        <f t="shared" si="2360"/>
        <v>73185</v>
      </c>
      <c r="E5808" t="str">
        <f t="shared" si="2361"/>
        <v>KFH-OPERATIONS DEPARTMENT</v>
      </c>
      <c r="F5808" t="str">
        <f t="shared" si="2362"/>
        <v>IBG</v>
      </c>
      <c r="G5808" t="str">
        <f t="shared" si="2373"/>
        <v>Refund COSHARE 10</v>
      </c>
      <c r="H5808" s="2">
        <v>92.35</v>
      </c>
      <c r="I5808" t="str">
        <f>"RASIDAH BINTI RASIT"</f>
        <v>RASIDAH BINTI RASIT</v>
      </c>
      <c r="J5808" t="str">
        <f t="shared" si="2359"/>
        <v>CIMB BANK / CIMB ISLAMIC BANK</v>
      </c>
      <c r="K5808" t="str">
        <f>"10040038583528"</f>
        <v>10040038583528</v>
      </c>
      <c r="L5808" t="str">
        <f t="shared" si="2380"/>
        <v>04-08-2020</v>
      </c>
      <c r="M5808" t="str">
        <f t="shared" si="2380"/>
        <v>04-08-2020</v>
      </c>
      <c r="N5808" t="str">
        <f t="shared" si="2364"/>
        <v>001105018356</v>
      </c>
      <c r="O5808" t="str">
        <f t="shared" si="2365"/>
        <v>MYR</v>
      </c>
      <c r="P5808" t="str">
        <f t="shared" si="2381"/>
        <v>NIL</v>
      </c>
      <c r="Q5808" t="str">
        <f t="shared" si="2381"/>
        <v>NIL</v>
      </c>
      <c r="R5808" t="str">
        <f t="shared" si="2378"/>
        <v>Accepted</v>
      </c>
      <c r="S5808" t="str">
        <f t="shared" si="2367"/>
        <v>Approved</v>
      </c>
      <c r="T5808" t="str">
        <f t="shared" si="2379"/>
        <v>10.20.8.188</v>
      </c>
      <c r="U5808" t="str">
        <f t="shared" si="2368"/>
        <v>AZRAD UMAR BIN SHAARI</v>
      </c>
      <c r="V5808" t="str">
        <f t="shared" si="2369"/>
        <v>FARHANA BINTI MUSTAPA</v>
      </c>
      <c r="W5808" t="str">
        <f t="shared" si="2370"/>
        <v>04-08-2020</v>
      </c>
      <c r="X5808" t="str">
        <f t="shared" si="2371"/>
        <v>RAZIMAH ANSAR AHMAD</v>
      </c>
      <c r="Y5808" t="str">
        <f t="shared" si="2372"/>
        <v>04-08-2020</v>
      </c>
      <c r="Z5808" t="str">
        <f>"COS10200804 3346"</f>
        <v>COS10200804 3346</v>
      </c>
    </row>
    <row r="5809" spans="1:26" x14ac:dyDescent="0.25">
      <c r="A5809" t="str">
        <f t="shared" si="2374"/>
        <v>04-08-2020 12:44:36</v>
      </c>
      <c r="B5809" t="str">
        <f>"0000805113"</f>
        <v>0000805113</v>
      </c>
      <c r="C5809" t="str">
        <f t="shared" si="2375"/>
        <v>0000804968</v>
      </c>
      <c r="D5809" t="str">
        <f t="shared" si="2360"/>
        <v>73185</v>
      </c>
      <c r="E5809" t="str">
        <f t="shared" si="2361"/>
        <v>KFH-OPERATIONS DEPARTMENT</v>
      </c>
      <c r="F5809" t="str">
        <f t="shared" si="2362"/>
        <v>IBG</v>
      </c>
      <c r="G5809" t="str">
        <f t="shared" si="2373"/>
        <v>Refund COSHARE 10</v>
      </c>
      <c r="H5809" s="2">
        <v>1660.1</v>
      </c>
      <c r="I5809" t="str">
        <f>"RASHEDAH BINTI IDRIS AHMAD"</f>
        <v>RASHEDAH BINTI IDRIS AHMAD</v>
      </c>
      <c r="J5809" t="str">
        <f t="shared" si="2359"/>
        <v>CIMB BANK / CIMB ISLAMIC BANK</v>
      </c>
      <c r="K5809" t="str">
        <f>"01110010407529"</f>
        <v>01110010407529</v>
      </c>
      <c r="L5809" t="str">
        <f t="shared" si="2380"/>
        <v>04-08-2020</v>
      </c>
      <c r="M5809" t="str">
        <f t="shared" si="2380"/>
        <v>04-08-2020</v>
      </c>
      <c r="N5809" t="str">
        <f t="shared" si="2364"/>
        <v>001105018356</v>
      </c>
      <c r="O5809" t="str">
        <f t="shared" si="2365"/>
        <v>MYR</v>
      </c>
      <c r="P5809" t="str">
        <f t="shared" si="2381"/>
        <v>NIL</v>
      </c>
      <c r="Q5809" t="str">
        <f t="shared" si="2381"/>
        <v>NIL</v>
      </c>
      <c r="R5809" t="str">
        <f t="shared" si="2378"/>
        <v>Accepted</v>
      </c>
      <c r="S5809" t="str">
        <f t="shared" si="2367"/>
        <v>Approved</v>
      </c>
      <c r="T5809" t="str">
        <f t="shared" si="2379"/>
        <v>10.20.8.188</v>
      </c>
      <c r="U5809" t="str">
        <f t="shared" si="2368"/>
        <v>AZRAD UMAR BIN SHAARI</v>
      </c>
      <c r="V5809" t="str">
        <f t="shared" si="2369"/>
        <v>FARHANA BINTI MUSTAPA</v>
      </c>
      <c r="W5809" t="str">
        <f t="shared" si="2370"/>
        <v>04-08-2020</v>
      </c>
      <c r="X5809" t="str">
        <f t="shared" si="2371"/>
        <v>RAZIMAH ANSAR AHMAD</v>
      </c>
      <c r="Y5809" t="str">
        <f t="shared" si="2372"/>
        <v>04-08-2020</v>
      </c>
      <c r="Z5809" t="str">
        <f>"COS10200804 3345"</f>
        <v>COS10200804 3345</v>
      </c>
    </row>
    <row r="5810" spans="1:26" x14ac:dyDescent="0.25">
      <c r="A5810" t="str">
        <f t="shared" si="2374"/>
        <v>04-08-2020 12:44:36</v>
      </c>
      <c r="B5810" t="str">
        <f>"0000805112"</f>
        <v>0000805112</v>
      </c>
      <c r="C5810" t="str">
        <f t="shared" si="2375"/>
        <v>0000804968</v>
      </c>
      <c r="D5810" t="str">
        <f t="shared" si="2360"/>
        <v>73185</v>
      </c>
      <c r="E5810" t="str">
        <f t="shared" si="2361"/>
        <v>KFH-OPERATIONS DEPARTMENT</v>
      </c>
      <c r="F5810" t="str">
        <f t="shared" si="2362"/>
        <v>IBG</v>
      </c>
      <c r="G5810" t="str">
        <f t="shared" si="2373"/>
        <v>Refund COSHARE 10</v>
      </c>
      <c r="H5810" s="2">
        <v>671.6</v>
      </c>
      <c r="I5810" t="str">
        <f>"RASHA AFZAL BIN SHAFII"</f>
        <v>RASHA AFZAL BIN SHAFII</v>
      </c>
      <c r="J5810" t="str">
        <f t="shared" si="2359"/>
        <v>CIMB BANK / CIMB ISLAMIC BANK</v>
      </c>
      <c r="K5810" t="str">
        <f>"14400093268524"</f>
        <v>14400093268524</v>
      </c>
      <c r="L5810" t="str">
        <f t="shared" si="2380"/>
        <v>04-08-2020</v>
      </c>
      <c r="M5810" t="str">
        <f t="shared" si="2380"/>
        <v>04-08-2020</v>
      </c>
      <c r="N5810" t="str">
        <f t="shared" si="2364"/>
        <v>001105018356</v>
      </c>
      <c r="O5810" t="str">
        <f t="shared" si="2365"/>
        <v>MYR</v>
      </c>
      <c r="P5810" t="str">
        <f t="shared" si="2381"/>
        <v>NIL</v>
      </c>
      <c r="Q5810" t="str">
        <f t="shared" si="2381"/>
        <v>NIL</v>
      </c>
      <c r="R5810" t="str">
        <f t="shared" si="2378"/>
        <v>Accepted</v>
      </c>
      <c r="S5810" t="str">
        <f t="shared" si="2367"/>
        <v>Approved</v>
      </c>
      <c r="T5810" t="str">
        <f t="shared" si="2379"/>
        <v>10.20.8.188</v>
      </c>
      <c r="U5810" t="str">
        <f t="shared" si="2368"/>
        <v>AZRAD UMAR BIN SHAARI</v>
      </c>
      <c r="V5810" t="str">
        <f t="shared" si="2369"/>
        <v>FARHANA BINTI MUSTAPA</v>
      </c>
      <c r="W5810" t="str">
        <f t="shared" si="2370"/>
        <v>04-08-2020</v>
      </c>
      <c r="X5810" t="str">
        <f t="shared" si="2371"/>
        <v>RAZIMAH ANSAR AHMAD</v>
      </c>
      <c r="Y5810" t="str">
        <f t="shared" si="2372"/>
        <v>04-08-2020</v>
      </c>
      <c r="Z5810" t="str">
        <f>"COS10200804 3344"</f>
        <v>COS10200804 3344</v>
      </c>
    </row>
    <row r="5811" spans="1:26" x14ac:dyDescent="0.25">
      <c r="A5811" t="str">
        <f t="shared" si="2374"/>
        <v>04-08-2020 12:44:36</v>
      </c>
      <c r="B5811" t="str">
        <f>"0000805111"</f>
        <v>0000805111</v>
      </c>
      <c r="C5811" t="str">
        <f t="shared" si="2375"/>
        <v>0000804968</v>
      </c>
      <c r="D5811" t="str">
        <f t="shared" si="2360"/>
        <v>73185</v>
      </c>
      <c r="E5811" t="str">
        <f t="shared" si="2361"/>
        <v>KFH-OPERATIONS DEPARTMENT</v>
      </c>
      <c r="F5811" t="str">
        <f t="shared" si="2362"/>
        <v>IBG</v>
      </c>
      <c r="G5811" t="str">
        <f t="shared" si="2373"/>
        <v>Refund COSHARE 10</v>
      </c>
      <c r="H5811" s="2">
        <v>259</v>
      </c>
      <c r="I5811" t="str">
        <f>"RANJANI AP NANTHAN"</f>
        <v>RANJANI AP NANTHAN</v>
      </c>
      <c r="J5811" t="str">
        <f t="shared" si="2359"/>
        <v>CIMB BANK / CIMB ISLAMIC BANK</v>
      </c>
      <c r="K5811" t="str">
        <f>"08110064736525"</f>
        <v>08110064736525</v>
      </c>
      <c r="L5811" t="str">
        <f t="shared" si="2380"/>
        <v>04-08-2020</v>
      </c>
      <c r="M5811" t="str">
        <f t="shared" si="2380"/>
        <v>04-08-2020</v>
      </c>
      <c r="N5811" t="str">
        <f t="shared" si="2364"/>
        <v>001105018356</v>
      </c>
      <c r="O5811" t="str">
        <f t="shared" si="2365"/>
        <v>MYR</v>
      </c>
      <c r="P5811" t="str">
        <f t="shared" si="2381"/>
        <v>NIL</v>
      </c>
      <c r="Q5811" t="str">
        <f t="shared" si="2381"/>
        <v>NIL</v>
      </c>
      <c r="R5811" t="str">
        <f t="shared" si="2378"/>
        <v>Accepted</v>
      </c>
      <c r="S5811" t="str">
        <f t="shared" si="2367"/>
        <v>Approved</v>
      </c>
      <c r="T5811" t="str">
        <f t="shared" si="2379"/>
        <v>10.20.8.188</v>
      </c>
      <c r="U5811" t="str">
        <f t="shared" si="2368"/>
        <v>AZRAD UMAR BIN SHAARI</v>
      </c>
      <c r="V5811" t="str">
        <f t="shared" si="2369"/>
        <v>FARHANA BINTI MUSTAPA</v>
      </c>
      <c r="W5811" t="str">
        <f t="shared" si="2370"/>
        <v>04-08-2020</v>
      </c>
      <c r="X5811" t="str">
        <f t="shared" si="2371"/>
        <v>RAZIMAH ANSAR AHMAD</v>
      </c>
      <c r="Y5811" t="str">
        <f t="shared" si="2372"/>
        <v>04-08-2020</v>
      </c>
      <c r="Z5811" t="str">
        <f>"COS10200804 3343"</f>
        <v>COS10200804 3343</v>
      </c>
    </row>
    <row r="5812" spans="1:26" x14ac:dyDescent="0.25">
      <c r="A5812" t="str">
        <f t="shared" si="2374"/>
        <v>04-08-2020 12:44:36</v>
      </c>
      <c r="B5812" t="str">
        <f>"0000805110"</f>
        <v>0000805110</v>
      </c>
      <c r="C5812" t="str">
        <f t="shared" si="2375"/>
        <v>0000804968</v>
      </c>
      <c r="D5812" t="str">
        <f t="shared" si="2360"/>
        <v>73185</v>
      </c>
      <c r="E5812" t="str">
        <f t="shared" si="2361"/>
        <v>KFH-OPERATIONS DEPARTMENT</v>
      </c>
      <c r="F5812" t="str">
        <f t="shared" si="2362"/>
        <v>IBG</v>
      </c>
      <c r="G5812" t="str">
        <f t="shared" si="2373"/>
        <v>Refund COSHARE 10</v>
      </c>
      <c r="H5812" s="2">
        <v>491.15</v>
      </c>
      <c r="I5812" t="str">
        <f>"RAMZAN BIN ABD GANI"</f>
        <v>RAMZAN BIN ABD GANI</v>
      </c>
      <c r="J5812" t="str">
        <f t="shared" si="2359"/>
        <v>CIMB BANK / CIMB ISLAMIC BANK</v>
      </c>
      <c r="K5812" t="str">
        <f>"7008300258"</f>
        <v>7008300258</v>
      </c>
      <c r="L5812" t="str">
        <f t="shared" si="2380"/>
        <v>04-08-2020</v>
      </c>
      <c r="M5812" t="str">
        <f t="shared" si="2380"/>
        <v>04-08-2020</v>
      </c>
      <c r="N5812" t="str">
        <f t="shared" si="2364"/>
        <v>001105018356</v>
      </c>
      <c r="O5812" t="str">
        <f t="shared" si="2365"/>
        <v>MYR</v>
      </c>
      <c r="P5812" t="str">
        <f t="shared" si="2381"/>
        <v>NIL</v>
      </c>
      <c r="Q5812" t="str">
        <f t="shared" si="2381"/>
        <v>NIL</v>
      </c>
      <c r="R5812" t="str">
        <f t="shared" si="2378"/>
        <v>Accepted</v>
      </c>
      <c r="S5812" t="str">
        <f t="shared" si="2367"/>
        <v>Approved</v>
      </c>
      <c r="T5812" t="str">
        <f t="shared" si="2379"/>
        <v>10.20.8.188</v>
      </c>
      <c r="U5812" t="str">
        <f t="shared" si="2368"/>
        <v>AZRAD UMAR BIN SHAARI</v>
      </c>
      <c r="V5812" t="str">
        <f t="shared" si="2369"/>
        <v>FARHANA BINTI MUSTAPA</v>
      </c>
      <c r="W5812" t="str">
        <f t="shared" si="2370"/>
        <v>04-08-2020</v>
      </c>
      <c r="X5812" t="str">
        <f t="shared" si="2371"/>
        <v>RAZIMAH ANSAR AHMAD</v>
      </c>
      <c r="Y5812" t="str">
        <f t="shared" si="2372"/>
        <v>04-08-2020</v>
      </c>
      <c r="Z5812" t="str">
        <f>"COS10200804 3342"</f>
        <v>COS10200804 3342</v>
      </c>
    </row>
    <row r="5813" spans="1:26" x14ac:dyDescent="0.25">
      <c r="A5813" t="str">
        <f t="shared" si="2374"/>
        <v>04-08-2020 12:44:36</v>
      </c>
      <c r="B5813" t="str">
        <f>"0000805109"</f>
        <v>0000805109</v>
      </c>
      <c r="C5813" t="str">
        <f t="shared" si="2375"/>
        <v>0000804968</v>
      </c>
      <c r="D5813" t="str">
        <f t="shared" si="2360"/>
        <v>73185</v>
      </c>
      <c r="E5813" t="str">
        <f t="shared" si="2361"/>
        <v>KFH-OPERATIONS DEPARTMENT</v>
      </c>
      <c r="F5813" t="str">
        <f t="shared" si="2362"/>
        <v>IBG</v>
      </c>
      <c r="G5813" t="str">
        <f t="shared" si="2373"/>
        <v>Refund COSHARE 10</v>
      </c>
      <c r="H5813" s="2">
        <v>676</v>
      </c>
      <c r="I5813" t="str">
        <f>"RAMNO BIN GABRIEL"</f>
        <v>RAMNO BIN GABRIEL</v>
      </c>
      <c r="J5813" t="str">
        <f t="shared" si="2359"/>
        <v>CIMB BANK / CIMB ISLAMIC BANK</v>
      </c>
      <c r="K5813" t="str">
        <f>"10030074033526"</f>
        <v>10030074033526</v>
      </c>
      <c r="L5813" t="str">
        <f t="shared" si="2380"/>
        <v>04-08-2020</v>
      </c>
      <c r="M5813" t="str">
        <f t="shared" si="2380"/>
        <v>04-08-2020</v>
      </c>
      <c r="N5813" t="str">
        <f t="shared" si="2364"/>
        <v>001105018356</v>
      </c>
      <c r="O5813" t="str">
        <f t="shared" si="2365"/>
        <v>MYR</v>
      </c>
      <c r="P5813" t="str">
        <f t="shared" si="2381"/>
        <v>NIL</v>
      </c>
      <c r="Q5813" t="str">
        <f t="shared" si="2381"/>
        <v>NIL</v>
      </c>
      <c r="R5813" t="str">
        <f t="shared" si="2378"/>
        <v>Accepted</v>
      </c>
      <c r="S5813" t="str">
        <f t="shared" si="2367"/>
        <v>Approved</v>
      </c>
      <c r="T5813" t="str">
        <f t="shared" si="2379"/>
        <v>10.20.8.188</v>
      </c>
      <c r="U5813" t="str">
        <f t="shared" si="2368"/>
        <v>AZRAD UMAR BIN SHAARI</v>
      </c>
      <c r="V5813" t="str">
        <f t="shared" si="2369"/>
        <v>FARHANA BINTI MUSTAPA</v>
      </c>
      <c r="W5813" t="str">
        <f t="shared" si="2370"/>
        <v>04-08-2020</v>
      </c>
      <c r="X5813" t="str">
        <f t="shared" si="2371"/>
        <v>RAZIMAH ANSAR AHMAD</v>
      </c>
      <c r="Y5813" t="str">
        <f t="shared" si="2372"/>
        <v>04-08-2020</v>
      </c>
      <c r="Z5813" t="str">
        <f>"COS10200804 3341"</f>
        <v>COS10200804 3341</v>
      </c>
    </row>
    <row r="5814" spans="1:26" x14ac:dyDescent="0.25">
      <c r="A5814" t="str">
        <f t="shared" si="2374"/>
        <v>04-08-2020 12:44:36</v>
      </c>
      <c r="B5814" t="str">
        <f>"0000805108"</f>
        <v>0000805108</v>
      </c>
      <c r="C5814" t="str">
        <f t="shared" si="2375"/>
        <v>0000804968</v>
      </c>
      <c r="D5814" t="str">
        <f t="shared" si="2360"/>
        <v>73185</v>
      </c>
      <c r="E5814" t="str">
        <f t="shared" si="2361"/>
        <v>KFH-OPERATIONS DEPARTMENT</v>
      </c>
      <c r="F5814" t="str">
        <f t="shared" si="2362"/>
        <v>IBG</v>
      </c>
      <c r="G5814" t="str">
        <f t="shared" si="2373"/>
        <v>Refund COSHARE 10</v>
      </c>
      <c r="H5814" s="2">
        <v>436.55</v>
      </c>
      <c r="I5814" t="str">
        <f>"RAMLI BIN MUDAT"</f>
        <v>RAMLI BIN MUDAT</v>
      </c>
      <c r="J5814" t="str">
        <f t="shared" si="2359"/>
        <v>CIMB BANK / CIMB ISLAMIC BANK</v>
      </c>
      <c r="K5814" t="str">
        <f>"12470066177521"</f>
        <v>12470066177521</v>
      </c>
      <c r="L5814" t="str">
        <f t="shared" si="2380"/>
        <v>04-08-2020</v>
      </c>
      <c r="M5814" t="str">
        <f t="shared" si="2380"/>
        <v>04-08-2020</v>
      </c>
      <c r="N5814" t="str">
        <f t="shared" si="2364"/>
        <v>001105018356</v>
      </c>
      <c r="O5814" t="str">
        <f t="shared" si="2365"/>
        <v>MYR</v>
      </c>
      <c r="P5814" t="str">
        <f t="shared" si="2381"/>
        <v>NIL</v>
      </c>
      <c r="Q5814" t="str">
        <f t="shared" si="2381"/>
        <v>NIL</v>
      </c>
      <c r="R5814" t="str">
        <f t="shared" si="2378"/>
        <v>Accepted</v>
      </c>
      <c r="S5814" t="str">
        <f t="shared" si="2367"/>
        <v>Approved</v>
      </c>
      <c r="T5814" t="str">
        <f t="shared" si="2379"/>
        <v>10.20.8.188</v>
      </c>
      <c r="U5814" t="str">
        <f t="shared" si="2368"/>
        <v>AZRAD UMAR BIN SHAARI</v>
      </c>
      <c r="V5814" t="str">
        <f t="shared" si="2369"/>
        <v>FARHANA BINTI MUSTAPA</v>
      </c>
      <c r="W5814" t="str">
        <f t="shared" si="2370"/>
        <v>04-08-2020</v>
      </c>
      <c r="X5814" t="str">
        <f t="shared" si="2371"/>
        <v>RAZIMAH ANSAR AHMAD</v>
      </c>
      <c r="Y5814" t="str">
        <f t="shared" si="2372"/>
        <v>04-08-2020</v>
      </c>
      <c r="Z5814" t="str">
        <f>"COS10200804 3340"</f>
        <v>COS10200804 3340</v>
      </c>
    </row>
    <row r="5815" spans="1:26" x14ac:dyDescent="0.25">
      <c r="A5815" t="str">
        <f t="shared" si="2374"/>
        <v>04-08-2020 12:44:36</v>
      </c>
      <c r="B5815" t="str">
        <f>"0000805107"</f>
        <v>0000805107</v>
      </c>
      <c r="C5815" t="str">
        <f t="shared" si="2375"/>
        <v>0000804968</v>
      </c>
      <c r="D5815" t="str">
        <f t="shared" si="2360"/>
        <v>73185</v>
      </c>
      <c r="E5815" t="str">
        <f t="shared" si="2361"/>
        <v>KFH-OPERATIONS DEPARTMENT</v>
      </c>
      <c r="F5815" t="str">
        <f t="shared" si="2362"/>
        <v>IBG</v>
      </c>
      <c r="G5815" t="str">
        <f t="shared" si="2373"/>
        <v>Refund COSHARE 10</v>
      </c>
      <c r="H5815" s="2">
        <v>1301</v>
      </c>
      <c r="I5815" t="str">
        <f>"RAMLEE BIN LIMIN"</f>
        <v>RAMLEE BIN LIMIN</v>
      </c>
      <c r="J5815" t="str">
        <f t="shared" si="2359"/>
        <v>CIMB BANK / CIMB ISLAMIC BANK</v>
      </c>
      <c r="K5815" t="str">
        <f>"7038853483"</f>
        <v>7038853483</v>
      </c>
      <c r="L5815" t="str">
        <f t="shared" si="2380"/>
        <v>04-08-2020</v>
      </c>
      <c r="M5815" t="str">
        <f t="shared" si="2380"/>
        <v>04-08-2020</v>
      </c>
      <c r="N5815" t="str">
        <f t="shared" si="2364"/>
        <v>001105018356</v>
      </c>
      <c r="O5815" t="str">
        <f t="shared" si="2365"/>
        <v>MYR</v>
      </c>
      <c r="P5815" t="str">
        <f t="shared" si="2381"/>
        <v>NIL</v>
      </c>
      <c r="Q5815" t="str">
        <f t="shared" si="2381"/>
        <v>NIL</v>
      </c>
      <c r="R5815" t="str">
        <f t="shared" si="2378"/>
        <v>Accepted</v>
      </c>
      <c r="S5815" t="str">
        <f t="shared" si="2367"/>
        <v>Approved</v>
      </c>
      <c r="T5815" t="str">
        <f t="shared" si="2379"/>
        <v>10.20.8.188</v>
      </c>
      <c r="U5815" t="str">
        <f t="shared" si="2368"/>
        <v>AZRAD UMAR BIN SHAARI</v>
      </c>
      <c r="V5815" t="str">
        <f t="shared" si="2369"/>
        <v>FARHANA BINTI MUSTAPA</v>
      </c>
      <c r="W5815" t="str">
        <f t="shared" si="2370"/>
        <v>04-08-2020</v>
      </c>
      <c r="X5815" t="str">
        <f t="shared" si="2371"/>
        <v>RAZIMAH ANSAR AHMAD</v>
      </c>
      <c r="Y5815" t="str">
        <f t="shared" si="2372"/>
        <v>04-08-2020</v>
      </c>
      <c r="Z5815" t="str">
        <f>"COS10200804 3339"</f>
        <v>COS10200804 3339</v>
      </c>
    </row>
    <row r="5816" spans="1:26" x14ac:dyDescent="0.25">
      <c r="A5816" t="str">
        <f t="shared" si="2374"/>
        <v>04-08-2020 12:44:36</v>
      </c>
      <c r="B5816" t="str">
        <f>"0000805106"</f>
        <v>0000805106</v>
      </c>
      <c r="C5816" t="str">
        <f t="shared" si="2375"/>
        <v>0000804968</v>
      </c>
      <c r="D5816" t="str">
        <f t="shared" si="2360"/>
        <v>73185</v>
      </c>
      <c r="E5816" t="str">
        <f t="shared" si="2361"/>
        <v>KFH-OPERATIONS DEPARTMENT</v>
      </c>
      <c r="F5816" t="str">
        <f t="shared" si="2362"/>
        <v>IBG</v>
      </c>
      <c r="G5816" t="str">
        <f t="shared" si="2373"/>
        <v>Refund COSHARE 10</v>
      </c>
      <c r="H5816" s="2">
        <v>685.6</v>
      </c>
      <c r="I5816" t="str">
        <f>"RAMLAWATI BINTI ROHANI"</f>
        <v>RAMLAWATI BINTI ROHANI</v>
      </c>
      <c r="J5816" t="str">
        <f t="shared" si="2359"/>
        <v>CIMB BANK / CIMB ISLAMIC BANK</v>
      </c>
      <c r="K5816" t="str">
        <f>"01180068131522"</f>
        <v>01180068131522</v>
      </c>
      <c r="L5816" t="str">
        <f t="shared" si="2380"/>
        <v>04-08-2020</v>
      </c>
      <c r="M5816" t="str">
        <f t="shared" si="2380"/>
        <v>04-08-2020</v>
      </c>
      <c r="N5816" t="str">
        <f t="shared" si="2364"/>
        <v>001105018356</v>
      </c>
      <c r="O5816" t="str">
        <f t="shared" si="2365"/>
        <v>MYR</v>
      </c>
      <c r="P5816" t="str">
        <f t="shared" si="2381"/>
        <v>NIL</v>
      </c>
      <c r="Q5816" t="str">
        <f t="shared" si="2381"/>
        <v>NIL</v>
      </c>
      <c r="R5816" t="str">
        <f t="shared" si="2378"/>
        <v>Accepted</v>
      </c>
      <c r="S5816" t="str">
        <f t="shared" si="2367"/>
        <v>Approved</v>
      </c>
      <c r="T5816" t="str">
        <f t="shared" si="2379"/>
        <v>10.20.8.188</v>
      </c>
      <c r="U5816" t="str">
        <f t="shared" si="2368"/>
        <v>AZRAD UMAR BIN SHAARI</v>
      </c>
      <c r="V5816" t="str">
        <f t="shared" si="2369"/>
        <v>FARHANA BINTI MUSTAPA</v>
      </c>
      <c r="W5816" t="str">
        <f t="shared" si="2370"/>
        <v>04-08-2020</v>
      </c>
      <c r="X5816" t="str">
        <f t="shared" si="2371"/>
        <v>RAZIMAH ANSAR AHMAD</v>
      </c>
      <c r="Y5816" t="str">
        <f t="shared" si="2372"/>
        <v>04-08-2020</v>
      </c>
      <c r="Z5816" t="str">
        <f>"COS10200804 3338"</f>
        <v>COS10200804 3338</v>
      </c>
    </row>
    <row r="5817" spans="1:26" x14ac:dyDescent="0.25">
      <c r="A5817" t="str">
        <f t="shared" si="2374"/>
        <v>04-08-2020 12:44:36</v>
      </c>
      <c r="B5817" t="str">
        <f>"0000805105"</f>
        <v>0000805105</v>
      </c>
      <c r="C5817" t="str">
        <f t="shared" si="2375"/>
        <v>0000804968</v>
      </c>
      <c r="D5817" t="str">
        <f t="shared" si="2360"/>
        <v>73185</v>
      </c>
      <c r="E5817" t="str">
        <f t="shared" si="2361"/>
        <v>KFH-OPERATIONS DEPARTMENT</v>
      </c>
      <c r="F5817" t="str">
        <f t="shared" si="2362"/>
        <v>IBG</v>
      </c>
      <c r="G5817" t="str">
        <f t="shared" si="2373"/>
        <v>Refund COSHARE 10</v>
      </c>
      <c r="H5817" s="2">
        <v>142.75</v>
      </c>
      <c r="I5817" t="str">
        <f>"RAMIZAN BIN ABDUL RAZAK"</f>
        <v>RAMIZAN BIN ABDUL RAZAK</v>
      </c>
      <c r="J5817" t="str">
        <f t="shared" si="2359"/>
        <v>CIMB BANK / CIMB ISLAMIC BANK</v>
      </c>
      <c r="K5817" t="str">
        <f>"7607254114"</f>
        <v>7607254114</v>
      </c>
      <c r="L5817" t="str">
        <f t="shared" si="2380"/>
        <v>04-08-2020</v>
      </c>
      <c r="M5817" t="str">
        <f t="shared" si="2380"/>
        <v>04-08-2020</v>
      </c>
      <c r="N5817" t="str">
        <f t="shared" si="2364"/>
        <v>001105018356</v>
      </c>
      <c r="O5817" t="str">
        <f t="shared" si="2365"/>
        <v>MYR</v>
      </c>
      <c r="P5817" t="str">
        <f t="shared" si="2381"/>
        <v>NIL</v>
      </c>
      <c r="Q5817" t="str">
        <f t="shared" si="2381"/>
        <v>NIL</v>
      </c>
      <c r="R5817" t="str">
        <f t="shared" si="2378"/>
        <v>Accepted</v>
      </c>
      <c r="S5817" t="str">
        <f t="shared" si="2367"/>
        <v>Approved</v>
      </c>
      <c r="T5817" t="str">
        <f t="shared" si="2379"/>
        <v>10.20.8.188</v>
      </c>
      <c r="U5817" t="str">
        <f t="shared" si="2368"/>
        <v>AZRAD UMAR BIN SHAARI</v>
      </c>
      <c r="V5817" t="str">
        <f t="shared" si="2369"/>
        <v>FARHANA BINTI MUSTAPA</v>
      </c>
      <c r="W5817" t="str">
        <f t="shared" si="2370"/>
        <v>04-08-2020</v>
      </c>
      <c r="X5817" t="str">
        <f t="shared" si="2371"/>
        <v>RAZIMAH ANSAR AHMAD</v>
      </c>
      <c r="Y5817" t="str">
        <f t="shared" si="2372"/>
        <v>04-08-2020</v>
      </c>
      <c r="Z5817" t="str">
        <f>"COS10200804 3337"</f>
        <v>COS10200804 3337</v>
      </c>
    </row>
    <row r="5818" spans="1:26" x14ac:dyDescent="0.25">
      <c r="A5818" t="str">
        <f t="shared" ref="A5818:A5849" si="2382">"04-08-2020 12:44:36"</f>
        <v>04-08-2020 12:44:36</v>
      </c>
      <c r="B5818" t="str">
        <f>"0000805104"</f>
        <v>0000805104</v>
      </c>
      <c r="C5818" t="str">
        <f t="shared" ref="C5818:C5849" si="2383">"0000804968"</f>
        <v>0000804968</v>
      </c>
      <c r="D5818" t="str">
        <f t="shared" si="2360"/>
        <v>73185</v>
      </c>
      <c r="E5818" t="str">
        <f t="shared" si="2361"/>
        <v>KFH-OPERATIONS DEPARTMENT</v>
      </c>
      <c r="F5818" t="str">
        <f t="shared" si="2362"/>
        <v>IBG</v>
      </c>
      <c r="G5818" t="str">
        <f t="shared" si="2373"/>
        <v>Refund COSHARE 10</v>
      </c>
      <c r="H5818" s="2">
        <v>403</v>
      </c>
      <c r="I5818" t="str">
        <f>"RAJJEMAH BINTI DARAMAN"</f>
        <v>RAJJEMAH BINTI DARAMAN</v>
      </c>
      <c r="J5818" t="str">
        <f t="shared" si="2359"/>
        <v>CIMB BANK / CIMB ISLAMIC BANK</v>
      </c>
      <c r="K5818" t="str">
        <f>"11080092995528"</f>
        <v>11080092995528</v>
      </c>
      <c r="L5818" t="str">
        <f t="shared" si="2380"/>
        <v>04-08-2020</v>
      </c>
      <c r="M5818" t="str">
        <f t="shared" si="2380"/>
        <v>04-08-2020</v>
      </c>
      <c r="N5818" t="str">
        <f t="shared" si="2364"/>
        <v>001105018356</v>
      </c>
      <c r="O5818" t="str">
        <f t="shared" si="2365"/>
        <v>MYR</v>
      </c>
      <c r="P5818" t="str">
        <f t="shared" si="2381"/>
        <v>NIL</v>
      </c>
      <c r="Q5818" t="str">
        <f t="shared" si="2381"/>
        <v>NIL</v>
      </c>
      <c r="R5818" t="str">
        <f t="shared" si="2378"/>
        <v>Accepted</v>
      </c>
      <c r="S5818" t="str">
        <f t="shared" si="2367"/>
        <v>Approved</v>
      </c>
      <c r="T5818" t="str">
        <f t="shared" si="2379"/>
        <v>10.20.8.188</v>
      </c>
      <c r="U5818" t="str">
        <f t="shared" si="2368"/>
        <v>AZRAD UMAR BIN SHAARI</v>
      </c>
      <c r="V5818" t="str">
        <f t="shared" si="2369"/>
        <v>FARHANA BINTI MUSTAPA</v>
      </c>
      <c r="W5818" t="str">
        <f t="shared" si="2370"/>
        <v>04-08-2020</v>
      </c>
      <c r="X5818" t="str">
        <f t="shared" si="2371"/>
        <v>RAZIMAH ANSAR AHMAD</v>
      </c>
      <c r="Y5818" t="str">
        <f t="shared" si="2372"/>
        <v>04-08-2020</v>
      </c>
      <c r="Z5818" t="str">
        <f>"COS10200804 3336"</f>
        <v>COS10200804 3336</v>
      </c>
    </row>
    <row r="5819" spans="1:26" x14ac:dyDescent="0.25">
      <c r="A5819" t="str">
        <f t="shared" si="2382"/>
        <v>04-08-2020 12:44:36</v>
      </c>
      <c r="B5819" t="str">
        <f>"0000805103"</f>
        <v>0000805103</v>
      </c>
      <c r="C5819" t="str">
        <f t="shared" si="2383"/>
        <v>0000804968</v>
      </c>
      <c r="D5819" t="str">
        <f t="shared" si="2360"/>
        <v>73185</v>
      </c>
      <c r="E5819" t="str">
        <f t="shared" si="2361"/>
        <v>KFH-OPERATIONS DEPARTMENT</v>
      </c>
      <c r="F5819" t="str">
        <f t="shared" si="2362"/>
        <v>IBG</v>
      </c>
      <c r="G5819" t="str">
        <f t="shared" si="2373"/>
        <v>Refund COSHARE 10</v>
      </c>
      <c r="H5819" s="2">
        <v>631.65</v>
      </c>
      <c r="I5819" t="str">
        <f>"RAJAGOPAL AL MURUGAN"</f>
        <v>RAJAGOPAL AL MURUGAN</v>
      </c>
      <c r="J5819" t="str">
        <f t="shared" si="2359"/>
        <v>CIMB BANK / CIMB ISLAMIC BANK</v>
      </c>
      <c r="K5819" t="str">
        <f>"7601722348"</f>
        <v>7601722348</v>
      </c>
      <c r="L5819" t="str">
        <f t="shared" si="2380"/>
        <v>04-08-2020</v>
      </c>
      <c r="M5819" t="str">
        <f t="shared" si="2380"/>
        <v>04-08-2020</v>
      </c>
      <c r="N5819" t="str">
        <f t="shared" si="2364"/>
        <v>001105018356</v>
      </c>
      <c r="O5819" t="str">
        <f t="shared" si="2365"/>
        <v>MYR</v>
      </c>
      <c r="P5819" t="str">
        <f t="shared" si="2381"/>
        <v>NIL</v>
      </c>
      <c r="Q5819" t="str">
        <f t="shared" si="2381"/>
        <v>NIL</v>
      </c>
      <c r="R5819" t="str">
        <f t="shared" si="2378"/>
        <v>Accepted</v>
      </c>
      <c r="S5819" t="str">
        <f t="shared" si="2367"/>
        <v>Approved</v>
      </c>
      <c r="T5819" t="str">
        <f t="shared" si="2379"/>
        <v>10.20.8.188</v>
      </c>
      <c r="U5819" t="str">
        <f t="shared" si="2368"/>
        <v>AZRAD UMAR BIN SHAARI</v>
      </c>
      <c r="V5819" t="str">
        <f t="shared" si="2369"/>
        <v>FARHANA BINTI MUSTAPA</v>
      </c>
      <c r="W5819" t="str">
        <f t="shared" si="2370"/>
        <v>04-08-2020</v>
      </c>
      <c r="X5819" t="str">
        <f t="shared" si="2371"/>
        <v>RAZIMAH ANSAR AHMAD</v>
      </c>
      <c r="Y5819" t="str">
        <f t="shared" si="2372"/>
        <v>04-08-2020</v>
      </c>
      <c r="Z5819" t="str">
        <f>"COS10200804 3335"</f>
        <v>COS10200804 3335</v>
      </c>
    </row>
    <row r="5820" spans="1:26" x14ac:dyDescent="0.25">
      <c r="A5820" t="str">
        <f t="shared" si="2382"/>
        <v>04-08-2020 12:44:36</v>
      </c>
      <c r="B5820" t="str">
        <f>"0000805102"</f>
        <v>0000805102</v>
      </c>
      <c r="C5820" t="str">
        <f t="shared" si="2383"/>
        <v>0000804968</v>
      </c>
      <c r="D5820" t="str">
        <f t="shared" si="2360"/>
        <v>73185</v>
      </c>
      <c r="E5820" t="str">
        <f t="shared" si="2361"/>
        <v>KFH-OPERATIONS DEPARTMENT</v>
      </c>
      <c r="F5820" t="str">
        <f t="shared" si="2362"/>
        <v>IBG</v>
      </c>
      <c r="G5820" t="str">
        <f t="shared" si="2373"/>
        <v>Refund COSHARE 10</v>
      </c>
      <c r="H5820" s="2">
        <v>535.29999999999995</v>
      </c>
      <c r="I5820" t="str">
        <f>"RAJA SHAHBUDIN BIN RAJA MOHD NAZIR"</f>
        <v>RAJA SHAHBUDIN BIN RAJA MOHD NAZIR</v>
      </c>
      <c r="J5820" t="str">
        <f t="shared" ref="J5820:J5883" si="2384">"CIMB BANK / CIMB ISLAMIC BANK"</f>
        <v>CIMB BANK / CIMB ISLAMIC BANK</v>
      </c>
      <c r="K5820" t="str">
        <f>"05060061902522"</f>
        <v>05060061902522</v>
      </c>
      <c r="L5820" t="str">
        <f t="shared" si="2380"/>
        <v>04-08-2020</v>
      </c>
      <c r="M5820" t="str">
        <f t="shared" si="2380"/>
        <v>04-08-2020</v>
      </c>
      <c r="N5820" t="str">
        <f t="shared" si="2364"/>
        <v>001105018356</v>
      </c>
      <c r="O5820" t="str">
        <f t="shared" si="2365"/>
        <v>MYR</v>
      </c>
      <c r="P5820" t="str">
        <f t="shared" si="2381"/>
        <v>NIL</v>
      </c>
      <c r="Q5820" t="str">
        <f t="shared" si="2381"/>
        <v>NIL</v>
      </c>
      <c r="R5820" t="str">
        <f t="shared" si="2378"/>
        <v>Accepted</v>
      </c>
      <c r="S5820" t="str">
        <f t="shared" si="2367"/>
        <v>Approved</v>
      </c>
      <c r="T5820" t="str">
        <f t="shared" si="2379"/>
        <v>10.20.8.188</v>
      </c>
      <c r="U5820" t="str">
        <f t="shared" si="2368"/>
        <v>AZRAD UMAR BIN SHAARI</v>
      </c>
      <c r="V5820" t="str">
        <f t="shared" si="2369"/>
        <v>FARHANA BINTI MUSTAPA</v>
      </c>
      <c r="W5820" t="str">
        <f t="shared" si="2370"/>
        <v>04-08-2020</v>
      </c>
      <c r="X5820" t="str">
        <f t="shared" si="2371"/>
        <v>RAZIMAH ANSAR AHMAD</v>
      </c>
      <c r="Y5820" t="str">
        <f t="shared" si="2372"/>
        <v>04-08-2020</v>
      </c>
      <c r="Z5820" t="str">
        <f>"COS10200804 3334"</f>
        <v>COS10200804 3334</v>
      </c>
    </row>
    <row r="5821" spans="1:26" x14ac:dyDescent="0.25">
      <c r="A5821" t="str">
        <f t="shared" si="2382"/>
        <v>04-08-2020 12:44:36</v>
      </c>
      <c r="B5821" t="str">
        <f>"0000805101"</f>
        <v>0000805101</v>
      </c>
      <c r="C5821" t="str">
        <f t="shared" si="2383"/>
        <v>0000804968</v>
      </c>
      <c r="D5821" t="str">
        <f t="shared" si="2360"/>
        <v>73185</v>
      </c>
      <c r="E5821" t="str">
        <f t="shared" si="2361"/>
        <v>KFH-OPERATIONS DEPARTMENT</v>
      </c>
      <c r="F5821" t="str">
        <f t="shared" si="2362"/>
        <v>IBG</v>
      </c>
      <c r="G5821" t="str">
        <f t="shared" si="2373"/>
        <v>Refund COSHARE 10</v>
      </c>
      <c r="H5821" s="2">
        <v>1259.25</v>
      </c>
      <c r="I5821" t="str">
        <f>"RAJA MOHD AFFENDY BIN RAJA BIDIN"</f>
        <v>RAJA MOHD AFFENDY BIN RAJA BIDIN</v>
      </c>
      <c r="J5821" t="str">
        <f t="shared" si="2384"/>
        <v>CIMB BANK / CIMB ISLAMIC BANK</v>
      </c>
      <c r="K5821" t="str">
        <f>"10130000159204"</f>
        <v>10130000159204</v>
      </c>
      <c r="L5821" t="str">
        <f t="shared" si="2380"/>
        <v>04-08-2020</v>
      </c>
      <c r="M5821" t="str">
        <f t="shared" si="2380"/>
        <v>04-08-2020</v>
      </c>
      <c r="N5821" t="str">
        <f t="shared" si="2364"/>
        <v>001105018356</v>
      </c>
      <c r="O5821" t="str">
        <f t="shared" si="2365"/>
        <v>MYR</v>
      </c>
      <c r="P5821" t="str">
        <f t="shared" si="2381"/>
        <v>NIL</v>
      </c>
      <c r="Q5821" t="str">
        <f t="shared" si="2381"/>
        <v>NIL</v>
      </c>
      <c r="R5821" t="str">
        <f t="shared" si="2378"/>
        <v>Accepted</v>
      </c>
      <c r="S5821" t="str">
        <f t="shared" si="2367"/>
        <v>Approved</v>
      </c>
      <c r="T5821" t="str">
        <f t="shared" si="2379"/>
        <v>10.20.8.188</v>
      </c>
      <c r="U5821" t="str">
        <f t="shared" si="2368"/>
        <v>AZRAD UMAR BIN SHAARI</v>
      </c>
      <c r="V5821" t="str">
        <f t="shared" si="2369"/>
        <v>FARHANA BINTI MUSTAPA</v>
      </c>
      <c r="W5821" t="str">
        <f t="shared" si="2370"/>
        <v>04-08-2020</v>
      </c>
      <c r="X5821" t="str">
        <f t="shared" si="2371"/>
        <v>RAZIMAH ANSAR AHMAD</v>
      </c>
      <c r="Y5821" t="str">
        <f t="shared" si="2372"/>
        <v>04-08-2020</v>
      </c>
      <c r="Z5821" t="str">
        <f>"COS10200804 3333"</f>
        <v>COS10200804 3333</v>
      </c>
    </row>
    <row r="5822" spans="1:26" x14ac:dyDescent="0.25">
      <c r="A5822" t="str">
        <f t="shared" si="2382"/>
        <v>04-08-2020 12:44:36</v>
      </c>
      <c r="B5822" t="str">
        <f>"0000805100"</f>
        <v>0000805100</v>
      </c>
      <c r="C5822" t="str">
        <f t="shared" si="2383"/>
        <v>0000804968</v>
      </c>
      <c r="D5822" t="str">
        <f t="shared" si="2360"/>
        <v>73185</v>
      </c>
      <c r="E5822" t="str">
        <f t="shared" si="2361"/>
        <v>KFH-OPERATIONS DEPARTMENT</v>
      </c>
      <c r="F5822" t="str">
        <f t="shared" si="2362"/>
        <v>IBG</v>
      </c>
      <c r="G5822" t="str">
        <f t="shared" si="2373"/>
        <v>Refund COSHARE 10</v>
      </c>
      <c r="H5822" s="2">
        <v>159.69999999999999</v>
      </c>
      <c r="I5822" t="str">
        <f>"RAJA AHMAD FAUZI BIN RAJA ISHAK"</f>
        <v>RAJA AHMAD FAUZI BIN RAJA ISHAK</v>
      </c>
      <c r="J5822" t="str">
        <f t="shared" si="2384"/>
        <v>CIMB BANK / CIMB ISLAMIC BANK</v>
      </c>
      <c r="K5822" t="str">
        <f>"01170009736522"</f>
        <v>01170009736522</v>
      </c>
      <c r="L5822" t="str">
        <f t="shared" si="2380"/>
        <v>04-08-2020</v>
      </c>
      <c r="M5822" t="str">
        <f t="shared" si="2380"/>
        <v>04-08-2020</v>
      </c>
      <c r="N5822" t="str">
        <f t="shared" si="2364"/>
        <v>001105018356</v>
      </c>
      <c r="O5822" t="str">
        <f t="shared" si="2365"/>
        <v>MYR</v>
      </c>
      <c r="P5822" t="str">
        <f t="shared" si="2381"/>
        <v>NIL</v>
      </c>
      <c r="Q5822" t="str">
        <f t="shared" si="2381"/>
        <v>NIL</v>
      </c>
      <c r="R5822" t="str">
        <f t="shared" si="2378"/>
        <v>Accepted</v>
      </c>
      <c r="S5822" t="str">
        <f t="shared" si="2367"/>
        <v>Approved</v>
      </c>
      <c r="T5822" t="str">
        <f t="shared" si="2379"/>
        <v>10.20.8.188</v>
      </c>
      <c r="U5822" t="str">
        <f t="shared" si="2368"/>
        <v>AZRAD UMAR BIN SHAARI</v>
      </c>
      <c r="V5822" t="str">
        <f t="shared" si="2369"/>
        <v>FARHANA BINTI MUSTAPA</v>
      </c>
      <c r="W5822" t="str">
        <f t="shared" si="2370"/>
        <v>04-08-2020</v>
      </c>
      <c r="X5822" t="str">
        <f t="shared" si="2371"/>
        <v>RAZIMAH ANSAR AHMAD</v>
      </c>
      <c r="Y5822" t="str">
        <f t="shared" si="2372"/>
        <v>04-08-2020</v>
      </c>
      <c r="Z5822" t="str">
        <f>"COS10200804 3332"</f>
        <v>COS10200804 3332</v>
      </c>
    </row>
    <row r="5823" spans="1:26" x14ac:dyDescent="0.25">
      <c r="A5823" t="str">
        <f t="shared" si="2382"/>
        <v>04-08-2020 12:44:36</v>
      </c>
      <c r="B5823" t="str">
        <f>"0000805099"</f>
        <v>0000805099</v>
      </c>
      <c r="C5823" t="str">
        <f t="shared" si="2383"/>
        <v>0000804968</v>
      </c>
      <c r="D5823" t="str">
        <f t="shared" si="2360"/>
        <v>73185</v>
      </c>
      <c r="E5823" t="str">
        <f t="shared" si="2361"/>
        <v>KFH-OPERATIONS DEPARTMENT</v>
      </c>
      <c r="F5823" t="str">
        <f t="shared" si="2362"/>
        <v>IBG</v>
      </c>
      <c r="G5823" t="str">
        <f t="shared" si="2373"/>
        <v>Refund COSHARE 10</v>
      </c>
      <c r="H5823" s="2">
        <v>1270.3499999999999</v>
      </c>
      <c r="I5823" t="str">
        <f>"RAHMALAH BINTI SALLEHROSMALAH"</f>
        <v>RAHMALAH BINTI SALLEHROSMALAH</v>
      </c>
      <c r="J5823" t="str">
        <f t="shared" si="2384"/>
        <v>CIMB BANK / CIMB ISLAMIC BANK</v>
      </c>
      <c r="K5823" t="str">
        <f>"7037670313"</f>
        <v>7037670313</v>
      </c>
      <c r="L5823" t="str">
        <f t="shared" si="2380"/>
        <v>04-08-2020</v>
      </c>
      <c r="M5823" t="str">
        <f t="shared" si="2380"/>
        <v>04-08-2020</v>
      </c>
      <c r="N5823" t="str">
        <f t="shared" si="2364"/>
        <v>001105018356</v>
      </c>
      <c r="O5823" t="str">
        <f t="shared" si="2365"/>
        <v>MYR</v>
      </c>
      <c r="P5823" t="str">
        <f t="shared" si="2381"/>
        <v>NIL</v>
      </c>
      <c r="Q5823" t="str">
        <f t="shared" si="2381"/>
        <v>NIL</v>
      </c>
      <c r="R5823" t="str">
        <f t="shared" si="2378"/>
        <v>Accepted</v>
      </c>
      <c r="S5823" t="str">
        <f t="shared" si="2367"/>
        <v>Approved</v>
      </c>
      <c r="T5823" t="str">
        <f t="shared" si="2379"/>
        <v>10.20.8.188</v>
      </c>
      <c r="U5823" t="str">
        <f t="shared" si="2368"/>
        <v>AZRAD UMAR BIN SHAARI</v>
      </c>
      <c r="V5823" t="str">
        <f t="shared" si="2369"/>
        <v>FARHANA BINTI MUSTAPA</v>
      </c>
      <c r="W5823" t="str">
        <f t="shared" si="2370"/>
        <v>04-08-2020</v>
      </c>
      <c r="X5823" t="str">
        <f t="shared" si="2371"/>
        <v>RAZIMAH ANSAR AHMAD</v>
      </c>
      <c r="Y5823" t="str">
        <f t="shared" si="2372"/>
        <v>04-08-2020</v>
      </c>
      <c r="Z5823" t="str">
        <f>"COS10200804 3331"</f>
        <v>COS10200804 3331</v>
      </c>
    </row>
    <row r="5824" spans="1:26" x14ac:dyDescent="0.25">
      <c r="A5824" t="str">
        <f t="shared" si="2382"/>
        <v>04-08-2020 12:44:36</v>
      </c>
      <c r="B5824" t="str">
        <f>"0000805098"</f>
        <v>0000805098</v>
      </c>
      <c r="C5824" t="str">
        <f t="shared" si="2383"/>
        <v>0000804968</v>
      </c>
      <c r="D5824" t="str">
        <f t="shared" si="2360"/>
        <v>73185</v>
      </c>
      <c r="E5824" t="str">
        <f t="shared" si="2361"/>
        <v>KFH-OPERATIONS DEPARTMENT</v>
      </c>
      <c r="F5824" t="str">
        <f t="shared" si="2362"/>
        <v>IBG</v>
      </c>
      <c r="G5824" t="str">
        <f t="shared" si="2373"/>
        <v>Refund COSHARE 10</v>
      </c>
      <c r="H5824" s="2">
        <v>839.5</v>
      </c>
      <c r="I5824" t="str">
        <f>"RAHIMAH BINTI ABD RAHIM"</f>
        <v>RAHIMAH BINTI ABD RAHIM</v>
      </c>
      <c r="J5824" t="str">
        <f t="shared" si="2384"/>
        <v>CIMB BANK / CIMB ISLAMIC BANK</v>
      </c>
      <c r="K5824" t="str">
        <f>"03080007382525"</f>
        <v>03080007382525</v>
      </c>
      <c r="L5824" t="str">
        <f t="shared" si="2380"/>
        <v>04-08-2020</v>
      </c>
      <c r="M5824" t="str">
        <f t="shared" si="2380"/>
        <v>04-08-2020</v>
      </c>
      <c r="N5824" t="str">
        <f t="shared" si="2364"/>
        <v>001105018356</v>
      </c>
      <c r="O5824" t="str">
        <f t="shared" si="2365"/>
        <v>MYR</v>
      </c>
      <c r="P5824" t="str">
        <f t="shared" si="2381"/>
        <v>NIL</v>
      </c>
      <c r="Q5824" t="str">
        <f t="shared" si="2381"/>
        <v>NIL</v>
      </c>
      <c r="R5824" t="str">
        <f t="shared" si="2378"/>
        <v>Accepted</v>
      </c>
      <c r="S5824" t="str">
        <f t="shared" si="2367"/>
        <v>Approved</v>
      </c>
      <c r="T5824" t="str">
        <f t="shared" si="2379"/>
        <v>10.20.8.188</v>
      </c>
      <c r="U5824" t="str">
        <f t="shared" si="2368"/>
        <v>AZRAD UMAR BIN SHAARI</v>
      </c>
      <c r="V5824" t="str">
        <f t="shared" si="2369"/>
        <v>FARHANA BINTI MUSTAPA</v>
      </c>
      <c r="W5824" t="str">
        <f t="shared" si="2370"/>
        <v>04-08-2020</v>
      </c>
      <c r="X5824" t="str">
        <f t="shared" si="2371"/>
        <v>RAZIMAH ANSAR AHMAD</v>
      </c>
      <c r="Y5824" t="str">
        <f t="shared" si="2372"/>
        <v>04-08-2020</v>
      </c>
      <c r="Z5824" t="str">
        <f>"COS10200804 3330"</f>
        <v>COS10200804 3330</v>
      </c>
    </row>
    <row r="5825" spans="1:26" x14ac:dyDescent="0.25">
      <c r="A5825" t="str">
        <f t="shared" si="2382"/>
        <v>04-08-2020 12:44:36</v>
      </c>
      <c r="B5825" t="str">
        <f>"0000805097"</f>
        <v>0000805097</v>
      </c>
      <c r="C5825" t="str">
        <f t="shared" si="2383"/>
        <v>0000804968</v>
      </c>
      <c r="D5825" t="str">
        <f t="shared" si="2360"/>
        <v>73185</v>
      </c>
      <c r="E5825" t="str">
        <f t="shared" si="2361"/>
        <v>KFH-OPERATIONS DEPARTMENT</v>
      </c>
      <c r="F5825" t="str">
        <f t="shared" si="2362"/>
        <v>IBG</v>
      </c>
      <c r="G5825" t="str">
        <f t="shared" si="2373"/>
        <v>Refund COSHARE 10</v>
      </c>
      <c r="H5825" s="2">
        <v>655</v>
      </c>
      <c r="I5825" t="str">
        <f>"RAHAYU BINTI RAZALI"</f>
        <v>RAHAYU BINTI RAZALI</v>
      </c>
      <c r="J5825" t="str">
        <f t="shared" si="2384"/>
        <v>CIMB BANK / CIMB ISLAMIC BANK</v>
      </c>
      <c r="K5825" t="str">
        <f>"12150071593527"</f>
        <v>12150071593527</v>
      </c>
      <c r="L5825" t="str">
        <f t="shared" si="2380"/>
        <v>04-08-2020</v>
      </c>
      <c r="M5825" t="str">
        <f t="shared" si="2380"/>
        <v>04-08-2020</v>
      </c>
      <c r="N5825" t="str">
        <f t="shared" si="2364"/>
        <v>001105018356</v>
      </c>
      <c r="O5825" t="str">
        <f t="shared" si="2365"/>
        <v>MYR</v>
      </c>
      <c r="P5825" t="str">
        <f t="shared" si="2381"/>
        <v>NIL</v>
      </c>
      <c r="Q5825" t="str">
        <f t="shared" si="2381"/>
        <v>NIL</v>
      </c>
      <c r="R5825" t="str">
        <f t="shared" si="2378"/>
        <v>Accepted</v>
      </c>
      <c r="S5825" t="str">
        <f t="shared" si="2367"/>
        <v>Approved</v>
      </c>
      <c r="T5825" t="str">
        <f t="shared" si="2379"/>
        <v>10.20.8.188</v>
      </c>
      <c r="U5825" t="str">
        <f t="shared" si="2368"/>
        <v>AZRAD UMAR BIN SHAARI</v>
      </c>
      <c r="V5825" t="str">
        <f t="shared" si="2369"/>
        <v>FARHANA BINTI MUSTAPA</v>
      </c>
      <c r="W5825" t="str">
        <f t="shared" si="2370"/>
        <v>04-08-2020</v>
      </c>
      <c r="X5825" t="str">
        <f t="shared" si="2371"/>
        <v>RAZIMAH ANSAR AHMAD</v>
      </c>
      <c r="Y5825" t="str">
        <f t="shared" si="2372"/>
        <v>04-08-2020</v>
      </c>
      <c r="Z5825" t="str">
        <f>"COS10200804 3329"</f>
        <v>COS10200804 3329</v>
      </c>
    </row>
    <row r="5826" spans="1:26" x14ac:dyDescent="0.25">
      <c r="A5826" t="str">
        <f t="shared" si="2382"/>
        <v>04-08-2020 12:44:36</v>
      </c>
      <c r="B5826" t="str">
        <f>"0000805096"</f>
        <v>0000805096</v>
      </c>
      <c r="C5826" t="str">
        <f t="shared" si="2383"/>
        <v>0000804968</v>
      </c>
      <c r="D5826" t="str">
        <f t="shared" si="2360"/>
        <v>73185</v>
      </c>
      <c r="E5826" t="str">
        <f t="shared" si="2361"/>
        <v>KFH-OPERATIONS DEPARTMENT</v>
      </c>
      <c r="F5826" t="str">
        <f t="shared" si="2362"/>
        <v>IBG</v>
      </c>
      <c r="G5826" t="str">
        <f t="shared" si="2373"/>
        <v>Refund COSHARE 10</v>
      </c>
      <c r="H5826" s="2">
        <v>881.5</v>
      </c>
      <c r="I5826" t="str">
        <f>"RAHAYU BINTI AHMAD"</f>
        <v>RAHAYU BINTI AHMAD</v>
      </c>
      <c r="J5826" t="str">
        <f t="shared" si="2384"/>
        <v>CIMB BANK / CIMB ISLAMIC BANK</v>
      </c>
      <c r="K5826" t="str">
        <f>"14200062652527"</f>
        <v>14200062652527</v>
      </c>
      <c r="L5826" t="str">
        <f t="shared" si="2380"/>
        <v>04-08-2020</v>
      </c>
      <c r="M5826" t="str">
        <f t="shared" si="2380"/>
        <v>04-08-2020</v>
      </c>
      <c r="N5826" t="str">
        <f t="shared" si="2364"/>
        <v>001105018356</v>
      </c>
      <c r="O5826" t="str">
        <f t="shared" si="2365"/>
        <v>MYR</v>
      </c>
      <c r="P5826" t="str">
        <f t="shared" si="2381"/>
        <v>NIL</v>
      </c>
      <c r="Q5826" t="str">
        <f t="shared" si="2381"/>
        <v>NIL</v>
      </c>
      <c r="R5826" t="str">
        <f t="shared" si="2378"/>
        <v>Accepted</v>
      </c>
      <c r="S5826" t="str">
        <f t="shared" si="2367"/>
        <v>Approved</v>
      </c>
      <c r="T5826" t="str">
        <f t="shared" si="2379"/>
        <v>10.20.8.188</v>
      </c>
      <c r="U5826" t="str">
        <f t="shared" si="2368"/>
        <v>AZRAD UMAR BIN SHAARI</v>
      </c>
      <c r="V5826" t="str">
        <f t="shared" si="2369"/>
        <v>FARHANA BINTI MUSTAPA</v>
      </c>
      <c r="W5826" t="str">
        <f t="shared" si="2370"/>
        <v>04-08-2020</v>
      </c>
      <c r="X5826" t="str">
        <f t="shared" si="2371"/>
        <v>RAZIMAH ANSAR AHMAD</v>
      </c>
      <c r="Y5826" t="str">
        <f t="shared" si="2372"/>
        <v>04-08-2020</v>
      </c>
      <c r="Z5826" t="str">
        <f>"COS10200804 3328"</f>
        <v>COS10200804 3328</v>
      </c>
    </row>
    <row r="5827" spans="1:26" x14ac:dyDescent="0.25">
      <c r="A5827" t="str">
        <f t="shared" si="2382"/>
        <v>04-08-2020 12:44:36</v>
      </c>
      <c r="B5827" t="str">
        <f>"0000805095"</f>
        <v>0000805095</v>
      </c>
      <c r="C5827" t="str">
        <f t="shared" si="2383"/>
        <v>0000804968</v>
      </c>
      <c r="D5827" t="str">
        <f t="shared" si="2360"/>
        <v>73185</v>
      </c>
      <c r="E5827" t="str">
        <f t="shared" si="2361"/>
        <v>KFH-OPERATIONS DEPARTMENT</v>
      </c>
      <c r="F5827" t="str">
        <f t="shared" si="2362"/>
        <v>IBG</v>
      </c>
      <c r="G5827" t="str">
        <f t="shared" si="2373"/>
        <v>Refund COSHARE 10</v>
      </c>
      <c r="H5827" s="2">
        <v>588</v>
      </c>
      <c r="I5827" t="str">
        <f>"RAHAYU BINTI AHMAD"</f>
        <v>RAHAYU BINTI AHMAD</v>
      </c>
      <c r="J5827" t="str">
        <f t="shared" si="2384"/>
        <v>CIMB BANK / CIMB ISLAMIC BANK</v>
      </c>
      <c r="K5827" t="str">
        <f>"14200062652527"</f>
        <v>14200062652527</v>
      </c>
      <c r="L5827" t="str">
        <f t="shared" ref="L5827:M5846" si="2385">"04-08-2020"</f>
        <v>04-08-2020</v>
      </c>
      <c r="M5827" t="str">
        <f t="shared" si="2385"/>
        <v>04-08-2020</v>
      </c>
      <c r="N5827" t="str">
        <f t="shared" si="2364"/>
        <v>001105018356</v>
      </c>
      <c r="O5827" t="str">
        <f t="shared" si="2365"/>
        <v>MYR</v>
      </c>
      <c r="P5827" t="str">
        <f t="shared" ref="P5827:Q5846" si="2386">"NIL"</f>
        <v>NIL</v>
      </c>
      <c r="Q5827" t="str">
        <f t="shared" si="2386"/>
        <v>NIL</v>
      </c>
      <c r="R5827" t="str">
        <f t="shared" si="2378"/>
        <v>Accepted</v>
      </c>
      <c r="S5827" t="str">
        <f t="shared" si="2367"/>
        <v>Approved</v>
      </c>
      <c r="T5827" t="str">
        <f t="shared" si="2379"/>
        <v>10.20.8.188</v>
      </c>
      <c r="U5827" t="str">
        <f t="shared" si="2368"/>
        <v>AZRAD UMAR BIN SHAARI</v>
      </c>
      <c r="V5827" t="str">
        <f t="shared" si="2369"/>
        <v>FARHANA BINTI MUSTAPA</v>
      </c>
      <c r="W5827" t="str">
        <f t="shared" si="2370"/>
        <v>04-08-2020</v>
      </c>
      <c r="X5827" t="str">
        <f t="shared" si="2371"/>
        <v>RAZIMAH ANSAR AHMAD</v>
      </c>
      <c r="Y5827" t="str">
        <f t="shared" si="2372"/>
        <v>04-08-2020</v>
      </c>
      <c r="Z5827" t="str">
        <f>"COS10200804 3327"</f>
        <v>COS10200804 3327</v>
      </c>
    </row>
    <row r="5828" spans="1:26" x14ac:dyDescent="0.25">
      <c r="A5828" t="str">
        <f t="shared" si="2382"/>
        <v>04-08-2020 12:44:36</v>
      </c>
      <c r="B5828" t="str">
        <f>"0000805094"</f>
        <v>0000805094</v>
      </c>
      <c r="C5828" t="str">
        <f t="shared" si="2383"/>
        <v>0000804968</v>
      </c>
      <c r="D5828" t="str">
        <f t="shared" si="2360"/>
        <v>73185</v>
      </c>
      <c r="E5828" t="str">
        <f t="shared" si="2361"/>
        <v>KFH-OPERATIONS DEPARTMENT</v>
      </c>
      <c r="F5828" t="str">
        <f t="shared" si="2362"/>
        <v>IBG</v>
      </c>
      <c r="G5828" t="str">
        <f t="shared" si="2373"/>
        <v>Refund COSHARE 10</v>
      </c>
      <c r="H5828" s="2">
        <v>588</v>
      </c>
      <c r="I5828" t="str">
        <f>"RAHAYU BINTI AHMAD"</f>
        <v>RAHAYU BINTI AHMAD</v>
      </c>
      <c r="J5828" t="str">
        <f t="shared" si="2384"/>
        <v>CIMB BANK / CIMB ISLAMIC BANK</v>
      </c>
      <c r="K5828" t="str">
        <f>"14200062652527"</f>
        <v>14200062652527</v>
      </c>
      <c r="L5828" t="str">
        <f t="shared" si="2385"/>
        <v>04-08-2020</v>
      </c>
      <c r="M5828" t="str">
        <f t="shared" si="2385"/>
        <v>04-08-2020</v>
      </c>
      <c r="N5828" t="str">
        <f t="shared" si="2364"/>
        <v>001105018356</v>
      </c>
      <c r="O5828" t="str">
        <f t="shared" si="2365"/>
        <v>MYR</v>
      </c>
      <c r="P5828" t="str">
        <f t="shared" si="2386"/>
        <v>NIL</v>
      </c>
      <c r="Q5828" t="str">
        <f t="shared" si="2386"/>
        <v>NIL</v>
      </c>
      <c r="R5828" t="str">
        <f t="shared" si="2378"/>
        <v>Accepted</v>
      </c>
      <c r="S5828" t="str">
        <f t="shared" si="2367"/>
        <v>Approved</v>
      </c>
      <c r="T5828" t="str">
        <f t="shared" si="2379"/>
        <v>10.20.8.188</v>
      </c>
      <c r="U5828" t="str">
        <f t="shared" si="2368"/>
        <v>AZRAD UMAR BIN SHAARI</v>
      </c>
      <c r="V5828" t="str">
        <f t="shared" si="2369"/>
        <v>FARHANA BINTI MUSTAPA</v>
      </c>
      <c r="W5828" t="str">
        <f t="shared" si="2370"/>
        <v>04-08-2020</v>
      </c>
      <c r="X5828" t="str">
        <f t="shared" si="2371"/>
        <v>RAZIMAH ANSAR AHMAD</v>
      </c>
      <c r="Y5828" t="str">
        <f t="shared" si="2372"/>
        <v>04-08-2020</v>
      </c>
      <c r="Z5828" t="str">
        <f>"COS10200804 3326"</f>
        <v>COS10200804 3326</v>
      </c>
    </row>
    <row r="5829" spans="1:26" x14ac:dyDescent="0.25">
      <c r="A5829" t="str">
        <f t="shared" si="2382"/>
        <v>04-08-2020 12:44:36</v>
      </c>
      <c r="B5829" t="str">
        <f>"0000805093"</f>
        <v>0000805093</v>
      </c>
      <c r="C5829" t="str">
        <f t="shared" si="2383"/>
        <v>0000804968</v>
      </c>
      <c r="D5829" t="str">
        <f t="shared" si="2360"/>
        <v>73185</v>
      </c>
      <c r="E5829" t="str">
        <f t="shared" si="2361"/>
        <v>KFH-OPERATIONS DEPARTMENT</v>
      </c>
      <c r="F5829" t="str">
        <f t="shared" si="2362"/>
        <v>IBG</v>
      </c>
      <c r="G5829" t="str">
        <f t="shared" si="2373"/>
        <v>Refund COSHARE 10</v>
      </c>
      <c r="H5829" s="2">
        <v>881.5</v>
      </c>
      <c r="I5829" t="str">
        <f>"RAHAYU BINTI AHMAD"</f>
        <v>RAHAYU BINTI AHMAD</v>
      </c>
      <c r="J5829" t="str">
        <f t="shared" si="2384"/>
        <v>CIMB BANK / CIMB ISLAMIC BANK</v>
      </c>
      <c r="K5829" t="str">
        <f>"14200062652527"</f>
        <v>14200062652527</v>
      </c>
      <c r="L5829" t="str">
        <f t="shared" si="2385"/>
        <v>04-08-2020</v>
      </c>
      <c r="M5829" t="str">
        <f t="shared" si="2385"/>
        <v>04-08-2020</v>
      </c>
      <c r="N5829" t="str">
        <f t="shared" si="2364"/>
        <v>001105018356</v>
      </c>
      <c r="O5829" t="str">
        <f t="shared" si="2365"/>
        <v>MYR</v>
      </c>
      <c r="P5829" t="str">
        <f t="shared" si="2386"/>
        <v>NIL</v>
      </c>
      <c r="Q5829" t="str">
        <f t="shared" si="2386"/>
        <v>NIL</v>
      </c>
      <c r="R5829" t="str">
        <f t="shared" si="2378"/>
        <v>Accepted</v>
      </c>
      <c r="S5829" t="str">
        <f t="shared" si="2367"/>
        <v>Approved</v>
      </c>
      <c r="T5829" t="str">
        <f t="shared" si="2379"/>
        <v>10.20.8.188</v>
      </c>
      <c r="U5829" t="str">
        <f t="shared" si="2368"/>
        <v>AZRAD UMAR BIN SHAARI</v>
      </c>
      <c r="V5829" t="str">
        <f t="shared" si="2369"/>
        <v>FARHANA BINTI MUSTAPA</v>
      </c>
      <c r="W5829" t="str">
        <f t="shared" si="2370"/>
        <v>04-08-2020</v>
      </c>
      <c r="X5829" t="str">
        <f t="shared" si="2371"/>
        <v>RAZIMAH ANSAR AHMAD</v>
      </c>
      <c r="Y5829" t="str">
        <f t="shared" si="2372"/>
        <v>04-08-2020</v>
      </c>
      <c r="Z5829" t="str">
        <f>"COS10200804 3325"</f>
        <v>COS10200804 3325</v>
      </c>
    </row>
    <row r="5830" spans="1:26" x14ac:dyDescent="0.25">
      <c r="A5830" t="str">
        <f t="shared" si="2382"/>
        <v>04-08-2020 12:44:36</v>
      </c>
      <c r="B5830" t="str">
        <f>"0000805092"</f>
        <v>0000805092</v>
      </c>
      <c r="C5830" t="str">
        <f t="shared" si="2383"/>
        <v>0000804968</v>
      </c>
      <c r="D5830" t="str">
        <f t="shared" si="2360"/>
        <v>73185</v>
      </c>
      <c r="E5830" t="str">
        <f t="shared" si="2361"/>
        <v>KFH-OPERATIONS DEPARTMENT</v>
      </c>
      <c r="F5830" t="str">
        <f t="shared" si="2362"/>
        <v>IBG</v>
      </c>
      <c r="G5830" t="str">
        <f t="shared" si="2373"/>
        <v>Refund COSHARE 10</v>
      </c>
      <c r="H5830" s="2">
        <v>456</v>
      </c>
      <c r="I5830" t="str">
        <f>"RAFIZAH BINTI MANSOR"</f>
        <v>RAFIZAH BINTI MANSOR</v>
      </c>
      <c r="J5830" t="str">
        <f t="shared" si="2384"/>
        <v>CIMB BANK / CIMB ISLAMIC BANK</v>
      </c>
      <c r="K5830" t="str">
        <f>"7001839483"</f>
        <v>7001839483</v>
      </c>
      <c r="L5830" t="str">
        <f t="shared" si="2385"/>
        <v>04-08-2020</v>
      </c>
      <c r="M5830" t="str">
        <f t="shared" si="2385"/>
        <v>04-08-2020</v>
      </c>
      <c r="N5830" t="str">
        <f t="shared" si="2364"/>
        <v>001105018356</v>
      </c>
      <c r="O5830" t="str">
        <f t="shared" si="2365"/>
        <v>MYR</v>
      </c>
      <c r="P5830" t="str">
        <f t="shared" si="2386"/>
        <v>NIL</v>
      </c>
      <c r="Q5830" t="str">
        <f t="shared" si="2386"/>
        <v>NIL</v>
      </c>
      <c r="R5830" t="str">
        <f t="shared" si="2378"/>
        <v>Accepted</v>
      </c>
      <c r="S5830" t="str">
        <f t="shared" si="2367"/>
        <v>Approved</v>
      </c>
      <c r="T5830" t="str">
        <f t="shared" si="2379"/>
        <v>10.20.8.188</v>
      </c>
      <c r="U5830" t="str">
        <f t="shared" si="2368"/>
        <v>AZRAD UMAR BIN SHAARI</v>
      </c>
      <c r="V5830" t="str">
        <f t="shared" si="2369"/>
        <v>FARHANA BINTI MUSTAPA</v>
      </c>
      <c r="W5830" t="str">
        <f t="shared" si="2370"/>
        <v>04-08-2020</v>
      </c>
      <c r="X5830" t="str">
        <f t="shared" si="2371"/>
        <v>RAZIMAH ANSAR AHMAD</v>
      </c>
      <c r="Y5830" t="str">
        <f t="shared" si="2372"/>
        <v>04-08-2020</v>
      </c>
      <c r="Z5830" t="str">
        <f>"COS10200804 3324"</f>
        <v>COS10200804 3324</v>
      </c>
    </row>
    <row r="5831" spans="1:26" x14ac:dyDescent="0.25">
      <c r="A5831" t="str">
        <f t="shared" si="2382"/>
        <v>04-08-2020 12:44:36</v>
      </c>
      <c r="B5831" t="str">
        <f>"0000805091"</f>
        <v>0000805091</v>
      </c>
      <c r="C5831" t="str">
        <f t="shared" si="2383"/>
        <v>0000804968</v>
      </c>
      <c r="D5831" t="str">
        <f t="shared" ref="D5831:D5894" si="2387">"73185"</f>
        <v>73185</v>
      </c>
      <c r="E5831" t="str">
        <f t="shared" ref="E5831:E5894" si="2388">"KFH-OPERATIONS DEPARTMENT"</f>
        <v>KFH-OPERATIONS DEPARTMENT</v>
      </c>
      <c r="F5831" t="str">
        <f t="shared" ref="F5831:F5894" si="2389">"IBG"</f>
        <v>IBG</v>
      </c>
      <c r="G5831" t="str">
        <f t="shared" si="2373"/>
        <v>Refund COSHARE 10</v>
      </c>
      <c r="H5831" s="2">
        <v>1073.3</v>
      </c>
      <c r="I5831" t="str">
        <f>"RAFIDAH BINTI NAHAK"</f>
        <v>RAFIDAH BINTI NAHAK</v>
      </c>
      <c r="J5831" t="str">
        <f t="shared" si="2384"/>
        <v>CIMB BANK / CIMB ISLAMIC BANK</v>
      </c>
      <c r="K5831" t="str">
        <f>"01270005478528"</f>
        <v>01270005478528</v>
      </c>
      <c r="L5831" t="str">
        <f t="shared" si="2385"/>
        <v>04-08-2020</v>
      </c>
      <c r="M5831" t="str">
        <f t="shared" si="2385"/>
        <v>04-08-2020</v>
      </c>
      <c r="N5831" t="str">
        <f t="shared" ref="N5831:N5894" si="2390">"001105018356"</f>
        <v>001105018356</v>
      </c>
      <c r="O5831" t="str">
        <f t="shared" ref="O5831:O5894" si="2391">"MYR"</f>
        <v>MYR</v>
      </c>
      <c r="P5831" t="str">
        <f t="shared" si="2386"/>
        <v>NIL</v>
      </c>
      <c r="Q5831" t="str">
        <f t="shared" si="2386"/>
        <v>NIL</v>
      </c>
      <c r="R5831" t="str">
        <f t="shared" si="2378"/>
        <v>Accepted</v>
      </c>
      <c r="S5831" t="str">
        <f t="shared" ref="S5831:S5894" si="2392">"Approved"</f>
        <v>Approved</v>
      </c>
      <c r="T5831" t="str">
        <f t="shared" si="2379"/>
        <v>10.20.8.188</v>
      </c>
      <c r="U5831" t="str">
        <f t="shared" ref="U5831:U5894" si="2393">"AZRAD UMAR BIN SHAARI"</f>
        <v>AZRAD UMAR BIN SHAARI</v>
      </c>
      <c r="V5831" t="str">
        <f t="shared" ref="V5831:V5894" si="2394">"FARHANA BINTI MUSTAPA"</f>
        <v>FARHANA BINTI MUSTAPA</v>
      </c>
      <c r="W5831" t="str">
        <f t="shared" ref="W5831:W5894" si="2395">"04-08-2020"</f>
        <v>04-08-2020</v>
      </c>
      <c r="X5831" t="str">
        <f t="shared" ref="X5831:X5894" si="2396">"RAZIMAH ANSAR AHMAD"</f>
        <v>RAZIMAH ANSAR AHMAD</v>
      </c>
      <c r="Y5831" t="str">
        <f t="shared" ref="Y5831:Y5894" si="2397">"04-08-2020"</f>
        <v>04-08-2020</v>
      </c>
      <c r="Z5831" t="str">
        <f>"COS10200804 3323"</f>
        <v>COS10200804 3323</v>
      </c>
    </row>
    <row r="5832" spans="1:26" x14ac:dyDescent="0.25">
      <c r="A5832" t="str">
        <f t="shared" si="2382"/>
        <v>04-08-2020 12:44:36</v>
      </c>
      <c r="B5832" t="str">
        <f>"0000805090"</f>
        <v>0000805090</v>
      </c>
      <c r="C5832" t="str">
        <f t="shared" si="2383"/>
        <v>0000804968</v>
      </c>
      <c r="D5832" t="str">
        <f t="shared" si="2387"/>
        <v>73185</v>
      </c>
      <c r="E5832" t="str">
        <f t="shared" si="2388"/>
        <v>KFH-OPERATIONS DEPARTMENT</v>
      </c>
      <c r="F5832" t="str">
        <f t="shared" si="2389"/>
        <v>IBG</v>
      </c>
      <c r="G5832" t="str">
        <f t="shared" si="2373"/>
        <v>Refund COSHARE 10</v>
      </c>
      <c r="H5832" s="2">
        <v>722</v>
      </c>
      <c r="I5832" t="str">
        <f>"RAFIDAH BINTI HASHIM"</f>
        <v>RAFIDAH BINTI HASHIM</v>
      </c>
      <c r="J5832" t="str">
        <f t="shared" si="2384"/>
        <v>CIMB BANK / CIMB ISLAMIC BANK</v>
      </c>
      <c r="K5832" t="str">
        <f>"08160067215528"</f>
        <v>08160067215528</v>
      </c>
      <c r="L5832" t="str">
        <f t="shared" si="2385"/>
        <v>04-08-2020</v>
      </c>
      <c r="M5832" t="str">
        <f t="shared" si="2385"/>
        <v>04-08-2020</v>
      </c>
      <c r="N5832" t="str">
        <f t="shared" si="2390"/>
        <v>001105018356</v>
      </c>
      <c r="O5832" t="str">
        <f t="shared" si="2391"/>
        <v>MYR</v>
      </c>
      <c r="P5832" t="str">
        <f t="shared" si="2386"/>
        <v>NIL</v>
      </c>
      <c r="Q5832" t="str">
        <f t="shared" si="2386"/>
        <v>NIL</v>
      </c>
      <c r="R5832" t="str">
        <f t="shared" si="2378"/>
        <v>Accepted</v>
      </c>
      <c r="S5832" t="str">
        <f t="shared" si="2392"/>
        <v>Approved</v>
      </c>
      <c r="T5832" t="str">
        <f t="shared" si="2379"/>
        <v>10.20.8.188</v>
      </c>
      <c r="U5832" t="str">
        <f t="shared" si="2393"/>
        <v>AZRAD UMAR BIN SHAARI</v>
      </c>
      <c r="V5832" t="str">
        <f t="shared" si="2394"/>
        <v>FARHANA BINTI MUSTAPA</v>
      </c>
      <c r="W5832" t="str">
        <f t="shared" si="2395"/>
        <v>04-08-2020</v>
      </c>
      <c r="X5832" t="str">
        <f t="shared" si="2396"/>
        <v>RAZIMAH ANSAR AHMAD</v>
      </c>
      <c r="Y5832" t="str">
        <f t="shared" si="2397"/>
        <v>04-08-2020</v>
      </c>
      <c r="Z5832" t="str">
        <f>"COS10200804 3322"</f>
        <v>COS10200804 3322</v>
      </c>
    </row>
    <row r="5833" spans="1:26" x14ac:dyDescent="0.25">
      <c r="A5833" t="str">
        <f t="shared" si="2382"/>
        <v>04-08-2020 12:44:36</v>
      </c>
      <c r="B5833" t="str">
        <f>"0000805089"</f>
        <v>0000805089</v>
      </c>
      <c r="C5833" t="str">
        <f t="shared" si="2383"/>
        <v>0000804968</v>
      </c>
      <c r="D5833" t="str">
        <f t="shared" si="2387"/>
        <v>73185</v>
      </c>
      <c r="E5833" t="str">
        <f t="shared" si="2388"/>
        <v>KFH-OPERATIONS DEPARTMENT</v>
      </c>
      <c r="F5833" t="str">
        <f t="shared" si="2389"/>
        <v>IBG</v>
      </c>
      <c r="G5833" t="str">
        <f t="shared" si="2373"/>
        <v>Refund COSHARE 10</v>
      </c>
      <c r="H5833" s="2">
        <v>83.95</v>
      </c>
      <c r="I5833" t="str">
        <f>"RABIATUL ADAWIYAH  NOOR AISHAH"</f>
        <v>RABIATUL ADAWIYAH  NOOR AISHAH</v>
      </c>
      <c r="J5833" t="str">
        <f t="shared" si="2384"/>
        <v>CIMB BANK / CIMB ISLAMIC BANK</v>
      </c>
      <c r="K5833" t="str">
        <f>"07160061308524"</f>
        <v>07160061308524</v>
      </c>
      <c r="L5833" t="str">
        <f t="shared" si="2385"/>
        <v>04-08-2020</v>
      </c>
      <c r="M5833" t="str">
        <f t="shared" si="2385"/>
        <v>04-08-2020</v>
      </c>
      <c r="N5833" t="str">
        <f t="shared" si="2390"/>
        <v>001105018356</v>
      </c>
      <c r="O5833" t="str">
        <f t="shared" si="2391"/>
        <v>MYR</v>
      </c>
      <c r="P5833" t="str">
        <f t="shared" si="2386"/>
        <v>NIL</v>
      </c>
      <c r="Q5833" t="str">
        <f t="shared" si="2386"/>
        <v>NIL</v>
      </c>
      <c r="R5833" t="str">
        <f t="shared" si="2378"/>
        <v>Accepted</v>
      </c>
      <c r="S5833" t="str">
        <f t="shared" si="2392"/>
        <v>Approved</v>
      </c>
      <c r="T5833" t="str">
        <f t="shared" si="2379"/>
        <v>10.20.8.188</v>
      </c>
      <c r="U5833" t="str">
        <f t="shared" si="2393"/>
        <v>AZRAD UMAR BIN SHAARI</v>
      </c>
      <c r="V5833" t="str">
        <f t="shared" si="2394"/>
        <v>FARHANA BINTI MUSTAPA</v>
      </c>
      <c r="W5833" t="str">
        <f t="shared" si="2395"/>
        <v>04-08-2020</v>
      </c>
      <c r="X5833" t="str">
        <f t="shared" si="2396"/>
        <v>RAZIMAH ANSAR AHMAD</v>
      </c>
      <c r="Y5833" t="str">
        <f t="shared" si="2397"/>
        <v>04-08-2020</v>
      </c>
      <c r="Z5833" t="str">
        <f>"COS10200804 3321"</f>
        <v>COS10200804 3321</v>
      </c>
    </row>
    <row r="5834" spans="1:26" x14ac:dyDescent="0.25">
      <c r="A5834" t="str">
        <f t="shared" si="2382"/>
        <v>04-08-2020 12:44:36</v>
      </c>
      <c r="B5834" t="str">
        <f>"0000805088"</f>
        <v>0000805088</v>
      </c>
      <c r="C5834" t="str">
        <f t="shared" si="2383"/>
        <v>0000804968</v>
      </c>
      <c r="D5834" t="str">
        <f t="shared" si="2387"/>
        <v>73185</v>
      </c>
      <c r="E5834" t="str">
        <f t="shared" si="2388"/>
        <v>KFH-OPERATIONS DEPARTMENT</v>
      </c>
      <c r="F5834" t="str">
        <f t="shared" si="2389"/>
        <v>IBG</v>
      </c>
      <c r="G5834" t="str">
        <f t="shared" si="2373"/>
        <v>Refund COSHARE 10</v>
      </c>
      <c r="H5834" s="2">
        <v>1351.6</v>
      </c>
      <c r="I5834" t="str">
        <f>"RABIAH BINTI MOHAMAD ALI"</f>
        <v>RABIAH BINTI MOHAMAD ALI</v>
      </c>
      <c r="J5834" t="str">
        <f t="shared" si="2384"/>
        <v>CIMB BANK / CIMB ISLAMIC BANK</v>
      </c>
      <c r="K5834" t="str">
        <f>"7018363889"</f>
        <v>7018363889</v>
      </c>
      <c r="L5834" t="str">
        <f t="shared" si="2385"/>
        <v>04-08-2020</v>
      </c>
      <c r="M5834" t="str">
        <f t="shared" si="2385"/>
        <v>04-08-2020</v>
      </c>
      <c r="N5834" t="str">
        <f t="shared" si="2390"/>
        <v>001105018356</v>
      </c>
      <c r="O5834" t="str">
        <f t="shared" si="2391"/>
        <v>MYR</v>
      </c>
      <c r="P5834" t="str">
        <f t="shared" si="2386"/>
        <v>NIL</v>
      </c>
      <c r="Q5834" t="str">
        <f t="shared" si="2386"/>
        <v>NIL</v>
      </c>
      <c r="R5834" t="str">
        <f t="shared" si="2378"/>
        <v>Accepted</v>
      </c>
      <c r="S5834" t="str">
        <f t="shared" si="2392"/>
        <v>Approved</v>
      </c>
      <c r="T5834" t="str">
        <f t="shared" si="2379"/>
        <v>10.20.8.188</v>
      </c>
      <c r="U5834" t="str">
        <f t="shared" si="2393"/>
        <v>AZRAD UMAR BIN SHAARI</v>
      </c>
      <c r="V5834" t="str">
        <f t="shared" si="2394"/>
        <v>FARHANA BINTI MUSTAPA</v>
      </c>
      <c r="W5834" t="str">
        <f t="shared" si="2395"/>
        <v>04-08-2020</v>
      </c>
      <c r="X5834" t="str">
        <f t="shared" si="2396"/>
        <v>RAZIMAH ANSAR AHMAD</v>
      </c>
      <c r="Y5834" t="str">
        <f t="shared" si="2397"/>
        <v>04-08-2020</v>
      </c>
      <c r="Z5834" t="str">
        <f>"COS10200804 3320"</f>
        <v>COS10200804 3320</v>
      </c>
    </row>
    <row r="5835" spans="1:26" x14ac:dyDescent="0.25">
      <c r="A5835" t="str">
        <f t="shared" si="2382"/>
        <v>04-08-2020 12:44:36</v>
      </c>
      <c r="B5835" t="str">
        <f>"0000805087"</f>
        <v>0000805087</v>
      </c>
      <c r="C5835" t="str">
        <f t="shared" si="2383"/>
        <v>0000804968</v>
      </c>
      <c r="D5835" t="str">
        <f t="shared" si="2387"/>
        <v>73185</v>
      </c>
      <c r="E5835" t="str">
        <f t="shared" si="2388"/>
        <v>KFH-OPERATIONS DEPARTMENT</v>
      </c>
      <c r="F5835" t="str">
        <f t="shared" si="2389"/>
        <v>IBG</v>
      </c>
      <c r="G5835" t="str">
        <f t="shared" si="2373"/>
        <v>Refund COSHARE 10</v>
      </c>
      <c r="H5835" s="2">
        <v>741</v>
      </c>
      <c r="I5835" t="str">
        <f>"RABEAH BINTI MADUNI"</f>
        <v>RABEAH BINTI MADUNI</v>
      </c>
      <c r="J5835" t="str">
        <f t="shared" si="2384"/>
        <v>CIMB BANK / CIMB ISLAMIC BANK</v>
      </c>
      <c r="K5835" t="str">
        <f>"11080001332201"</f>
        <v>11080001332201</v>
      </c>
      <c r="L5835" t="str">
        <f t="shared" si="2385"/>
        <v>04-08-2020</v>
      </c>
      <c r="M5835" t="str">
        <f t="shared" si="2385"/>
        <v>04-08-2020</v>
      </c>
      <c r="N5835" t="str">
        <f t="shared" si="2390"/>
        <v>001105018356</v>
      </c>
      <c r="O5835" t="str">
        <f t="shared" si="2391"/>
        <v>MYR</v>
      </c>
      <c r="P5835" t="str">
        <f t="shared" si="2386"/>
        <v>NIL</v>
      </c>
      <c r="Q5835" t="str">
        <f t="shared" si="2386"/>
        <v>NIL</v>
      </c>
      <c r="R5835" t="str">
        <f t="shared" si="2378"/>
        <v>Accepted</v>
      </c>
      <c r="S5835" t="str">
        <f t="shared" si="2392"/>
        <v>Approved</v>
      </c>
      <c r="T5835" t="str">
        <f t="shared" si="2379"/>
        <v>10.20.8.188</v>
      </c>
      <c r="U5835" t="str">
        <f t="shared" si="2393"/>
        <v>AZRAD UMAR BIN SHAARI</v>
      </c>
      <c r="V5835" t="str">
        <f t="shared" si="2394"/>
        <v>FARHANA BINTI MUSTAPA</v>
      </c>
      <c r="W5835" t="str">
        <f t="shared" si="2395"/>
        <v>04-08-2020</v>
      </c>
      <c r="X5835" t="str">
        <f t="shared" si="2396"/>
        <v>RAZIMAH ANSAR AHMAD</v>
      </c>
      <c r="Y5835" t="str">
        <f t="shared" si="2397"/>
        <v>04-08-2020</v>
      </c>
      <c r="Z5835" t="str">
        <f>"COS10200804 3319"</f>
        <v>COS10200804 3319</v>
      </c>
    </row>
    <row r="5836" spans="1:26" x14ac:dyDescent="0.25">
      <c r="A5836" t="str">
        <f t="shared" si="2382"/>
        <v>04-08-2020 12:44:36</v>
      </c>
      <c r="B5836" t="str">
        <f>"0000805086"</f>
        <v>0000805086</v>
      </c>
      <c r="C5836" t="str">
        <f t="shared" si="2383"/>
        <v>0000804968</v>
      </c>
      <c r="D5836" t="str">
        <f t="shared" si="2387"/>
        <v>73185</v>
      </c>
      <c r="E5836" t="str">
        <f t="shared" si="2388"/>
        <v>KFH-OPERATIONS DEPARTMENT</v>
      </c>
      <c r="F5836" t="str">
        <f t="shared" si="2389"/>
        <v>IBG</v>
      </c>
      <c r="G5836" t="str">
        <f t="shared" ref="G5836:G5899" si="2398">"Refund COSHARE 10"</f>
        <v>Refund COSHARE 10</v>
      </c>
      <c r="H5836" s="2">
        <v>1679</v>
      </c>
      <c r="I5836" t="str">
        <f>"PUVANESVARAN AL SUBRAMANIAM"</f>
        <v>PUVANESVARAN AL SUBRAMANIAM</v>
      </c>
      <c r="J5836" t="str">
        <f t="shared" si="2384"/>
        <v>CIMB BANK / CIMB ISLAMIC BANK</v>
      </c>
      <c r="K5836" t="str">
        <f>"12190067044521"</f>
        <v>12190067044521</v>
      </c>
      <c r="L5836" t="str">
        <f t="shared" si="2385"/>
        <v>04-08-2020</v>
      </c>
      <c r="M5836" t="str">
        <f t="shared" si="2385"/>
        <v>04-08-2020</v>
      </c>
      <c r="N5836" t="str">
        <f t="shared" si="2390"/>
        <v>001105018356</v>
      </c>
      <c r="O5836" t="str">
        <f t="shared" si="2391"/>
        <v>MYR</v>
      </c>
      <c r="P5836" t="str">
        <f t="shared" si="2386"/>
        <v>NIL</v>
      </c>
      <c r="Q5836" t="str">
        <f t="shared" si="2386"/>
        <v>NIL</v>
      </c>
      <c r="R5836" t="str">
        <f t="shared" si="2378"/>
        <v>Accepted</v>
      </c>
      <c r="S5836" t="str">
        <f t="shared" si="2392"/>
        <v>Approved</v>
      </c>
      <c r="T5836" t="str">
        <f t="shared" si="2379"/>
        <v>10.20.8.188</v>
      </c>
      <c r="U5836" t="str">
        <f t="shared" si="2393"/>
        <v>AZRAD UMAR BIN SHAARI</v>
      </c>
      <c r="V5836" t="str">
        <f t="shared" si="2394"/>
        <v>FARHANA BINTI MUSTAPA</v>
      </c>
      <c r="W5836" t="str">
        <f t="shared" si="2395"/>
        <v>04-08-2020</v>
      </c>
      <c r="X5836" t="str">
        <f t="shared" si="2396"/>
        <v>RAZIMAH ANSAR AHMAD</v>
      </c>
      <c r="Y5836" t="str">
        <f t="shared" si="2397"/>
        <v>04-08-2020</v>
      </c>
      <c r="Z5836" t="str">
        <f>"COS10200804 3318"</f>
        <v>COS10200804 3318</v>
      </c>
    </row>
    <row r="5837" spans="1:26" x14ac:dyDescent="0.25">
      <c r="A5837" t="str">
        <f t="shared" si="2382"/>
        <v>04-08-2020 12:44:36</v>
      </c>
      <c r="B5837" t="str">
        <f>"0000805085"</f>
        <v>0000805085</v>
      </c>
      <c r="C5837" t="str">
        <f t="shared" si="2383"/>
        <v>0000804968</v>
      </c>
      <c r="D5837" t="str">
        <f t="shared" si="2387"/>
        <v>73185</v>
      </c>
      <c r="E5837" t="str">
        <f t="shared" si="2388"/>
        <v>KFH-OPERATIONS DEPARTMENT</v>
      </c>
      <c r="F5837" t="str">
        <f t="shared" si="2389"/>
        <v>IBG</v>
      </c>
      <c r="G5837" t="str">
        <f t="shared" si="2398"/>
        <v>Refund COSHARE 10</v>
      </c>
      <c r="H5837" s="2">
        <v>196.45</v>
      </c>
      <c r="I5837" t="str">
        <f>"PUTRI NOR SALIHAH BINTI MEGAT AZRAAI"</f>
        <v>PUTRI NOR SALIHAH BINTI MEGAT AZRAAI</v>
      </c>
      <c r="J5837" t="str">
        <f t="shared" si="2384"/>
        <v>CIMB BANK / CIMB ISLAMIC BANK</v>
      </c>
      <c r="K5837" t="str">
        <f>"07090049476524"</f>
        <v>07090049476524</v>
      </c>
      <c r="L5837" t="str">
        <f t="shared" si="2385"/>
        <v>04-08-2020</v>
      </c>
      <c r="M5837" t="str">
        <f t="shared" si="2385"/>
        <v>04-08-2020</v>
      </c>
      <c r="N5837" t="str">
        <f t="shared" si="2390"/>
        <v>001105018356</v>
      </c>
      <c r="O5837" t="str">
        <f t="shared" si="2391"/>
        <v>MYR</v>
      </c>
      <c r="P5837" t="str">
        <f t="shared" si="2386"/>
        <v>NIL</v>
      </c>
      <c r="Q5837" t="str">
        <f t="shared" si="2386"/>
        <v>NIL</v>
      </c>
      <c r="R5837" t="str">
        <f t="shared" si="2378"/>
        <v>Accepted</v>
      </c>
      <c r="S5837" t="str">
        <f t="shared" si="2392"/>
        <v>Approved</v>
      </c>
      <c r="T5837" t="str">
        <f t="shared" si="2379"/>
        <v>10.20.8.188</v>
      </c>
      <c r="U5837" t="str">
        <f t="shared" si="2393"/>
        <v>AZRAD UMAR BIN SHAARI</v>
      </c>
      <c r="V5837" t="str">
        <f t="shared" si="2394"/>
        <v>FARHANA BINTI MUSTAPA</v>
      </c>
      <c r="W5837" t="str">
        <f t="shared" si="2395"/>
        <v>04-08-2020</v>
      </c>
      <c r="X5837" t="str">
        <f t="shared" si="2396"/>
        <v>RAZIMAH ANSAR AHMAD</v>
      </c>
      <c r="Y5837" t="str">
        <f t="shared" si="2397"/>
        <v>04-08-2020</v>
      </c>
      <c r="Z5837" t="str">
        <f>"COS10200804 3317"</f>
        <v>COS10200804 3317</v>
      </c>
    </row>
    <row r="5838" spans="1:26" x14ac:dyDescent="0.25">
      <c r="A5838" t="str">
        <f t="shared" si="2382"/>
        <v>04-08-2020 12:44:36</v>
      </c>
      <c r="B5838" t="str">
        <f>"0000805084"</f>
        <v>0000805084</v>
      </c>
      <c r="C5838" t="str">
        <f t="shared" si="2383"/>
        <v>0000804968</v>
      </c>
      <c r="D5838" t="str">
        <f t="shared" si="2387"/>
        <v>73185</v>
      </c>
      <c r="E5838" t="str">
        <f t="shared" si="2388"/>
        <v>KFH-OPERATIONS DEPARTMENT</v>
      </c>
      <c r="F5838" t="str">
        <f t="shared" si="2389"/>
        <v>IBG</v>
      </c>
      <c r="G5838" t="str">
        <f t="shared" si="2398"/>
        <v>Refund COSHARE 10</v>
      </c>
      <c r="H5838" s="2">
        <v>738.8</v>
      </c>
      <c r="I5838" t="str">
        <f>"PUTERI NURIN ALAMIN BT WAN ZAINAL ALAM"</f>
        <v>PUTERI NURIN ALAMIN BT WAN ZAINAL ALAM</v>
      </c>
      <c r="J5838" t="str">
        <f t="shared" si="2384"/>
        <v>CIMB BANK / CIMB ISLAMIC BANK</v>
      </c>
      <c r="K5838" t="str">
        <f>"13090001108527"</f>
        <v>13090001108527</v>
      </c>
      <c r="L5838" t="str">
        <f t="shared" si="2385"/>
        <v>04-08-2020</v>
      </c>
      <c r="M5838" t="str">
        <f t="shared" si="2385"/>
        <v>04-08-2020</v>
      </c>
      <c r="N5838" t="str">
        <f t="shared" si="2390"/>
        <v>001105018356</v>
      </c>
      <c r="O5838" t="str">
        <f t="shared" si="2391"/>
        <v>MYR</v>
      </c>
      <c r="P5838" t="str">
        <f t="shared" si="2386"/>
        <v>NIL</v>
      </c>
      <c r="Q5838" t="str">
        <f t="shared" si="2386"/>
        <v>NIL</v>
      </c>
      <c r="R5838" t="str">
        <f t="shared" si="2378"/>
        <v>Accepted</v>
      </c>
      <c r="S5838" t="str">
        <f t="shared" si="2392"/>
        <v>Approved</v>
      </c>
      <c r="T5838" t="str">
        <f t="shared" si="2379"/>
        <v>10.20.8.188</v>
      </c>
      <c r="U5838" t="str">
        <f t="shared" si="2393"/>
        <v>AZRAD UMAR BIN SHAARI</v>
      </c>
      <c r="V5838" t="str">
        <f t="shared" si="2394"/>
        <v>FARHANA BINTI MUSTAPA</v>
      </c>
      <c r="W5838" t="str">
        <f t="shared" si="2395"/>
        <v>04-08-2020</v>
      </c>
      <c r="X5838" t="str">
        <f t="shared" si="2396"/>
        <v>RAZIMAH ANSAR AHMAD</v>
      </c>
      <c r="Y5838" t="str">
        <f t="shared" si="2397"/>
        <v>04-08-2020</v>
      </c>
      <c r="Z5838" t="str">
        <f>"COS10200804 3316"</f>
        <v>COS10200804 3316</v>
      </c>
    </row>
    <row r="5839" spans="1:26" x14ac:dyDescent="0.25">
      <c r="A5839" t="str">
        <f t="shared" si="2382"/>
        <v>04-08-2020 12:44:36</v>
      </c>
      <c r="B5839" t="str">
        <f>"0000805083"</f>
        <v>0000805083</v>
      </c>
      <c r="C5839" t="str">
        <f t="shared" si="2383"/>
        <v>0000804968</v>
      </c>
      <c r="D5839" t="str">
        <f t="shared" si="2387"/>
        <v>73185</v>
      </c>
      <c r="E5839" t="str">
        <f t="shared" si="2388"/>
        <v>KFH-OPERATIONS DEPARTMENT</v>
      </c>
      <c r="F5839" t="str">
        <f t="shared" si="2389"/>
        <v>IBG</v>
      </c>
      <c r="G5839" t="str">
        <f t="shared" si="2398"/>
        <v>Refund COSHARE 10</v>
      </c>
      <c r="H5839" s="2">
        <v>125.95</v>
      </c>
      <c r="I5839" t="str">
        <f>"PUTERI NAJIHAH BINTI MEGAT ABU BAKAR"</f>
        <v>PUTERI NAJIHAH BINTI MEGAT ABU BAKAR</v>
      </c>
      <c r="J5839" t="str">
        <f t="shared" si="2384"/>
        <v>CIMB BANK / CIMB ISLAMIC BANK</v>
      </c>
      <c r="K5839" t="str">
        <f>"10090015679524"</f>
        <v>10090015679524</v>
      </c>
      <c r="L5839" t="str">
        <f t="shared" si="2385"/>
        <v>04-08-2020</v>
      </c>
      <c r="M5839" t="str">
        <f t="shared" si="2385"/>
        <v>04-08-2020</v>
      </c>
      <c r="N5839" t="str">
        <f t="shared" si="2390"/>
        <v>001105018356</v>
      </c>
      <c r="O5839" t="str">
        <f t="shared" si="2391"/>
        <v>MYR</v>
      </c>
      <c r="P5839" t="str">
        <f t="shared" si="2386"/>
        <v>NIL</v>
      </c>
      <c r="Q5839" t="str">
        <f t="shared" si="2386"/>
        <v>NIL</v>
      </c>
      <c r="R5839" t="str">
        <f t="shared" si="2378"/>
        <v>Accepted</v>
      </c>
      <c r="S5839" t="str">
        <f t="shared" si="2392"/>
        <v>Approved</v>
      </c>
      <c r="T5839" t="str">
        <f t="shared" si="2379"/>
        <v>10.20.8.188</v>
      </c>
      <c r="U5839" t="str">
        <f t="shared" si="2393"/>
        <v>AZRAD UMAR BIN SHAARI</v>
      </c>
      <c r="V5839" t="str">
        <f t="shared" si="2394"/>
        <v>FARHANA BINTI MUSTAPA</v>
      </c>
      <c r="W5839" t="str">
        <f t="shared" si="2395"/>
        <v>04-08-2020</v>
      </c>
      <c r="X5839" t="str">
        <f t="shared" si="2396"/>
        <v>RAZIMAH ANSAR AHMAD</v>
      </c>
      <c r="Y5839" t="str">
        <f t="shared" si="2397"/>
        <v>04-08-2020</v>
      </c>
      <c r="Z5839" t="str">
        <f>"COS10200804 3315"</f>
        <v>COS10200804 3315</v>
      </c>
    </row>
    <row r="5840" spans="1:26" x14ac:dyDescent="0.25">
      <c r="A5840" t="str">
        <f t="shared" si="2382"/>
        <v>04-08-2020 12:44:36</v>
      </c>
      <c r="B5840" t="str">
        <f>"0000805082"</f>
        <v>0000805082</v>
      </c>
      <c r="C5840" t="str">
        <f t="shared" si="2383"/>
        <v>0000804968</v>
      </c>
      <c r="D5840" t="str">
        <f t="shared" si="2387"/>
        <v>73185</v>
      </c>
      <c r="E5840" t="str">
        <f t="shared" si="2388"/>
        <v>KFH-OPERATIONS DEPARTMENT</v>
      </c>
      <c r="F5840" t="str">
        <f t="shared" si="2389"/>
        <v>IBG</v>
      </c>
      <c r="G5840" t="str">
        <f t="shared" si="2398"/>
        <v>Refund COSHARE 10</v>
      </c>
      <c r="H5840" s="2">
        <v>839.5</v>
      </c>
      <c r="I5840" t="str">
        <f>"PUTERI IRIENA EMIELIA BINTI ALIAS"</f>
        <v>PUTERI IRIENA EMIELIA BINTI ALIAS</v>
      </c>
      <c r="J5840" t="str">
        <f t="shared" si="2384"/>
        <v>CIMB BANK / CIMB ISLAMIC BANK</v>
      </c>
      <c r="K5840" t="str">
        <f>"7030871576"</f>
        <v>7030871576</v>
      </c>
      <c r="L5840" t="str">
        <f t="shared" si="2385"/>
        <v>04-08-2020</v>
      </c>
      <c r="M5840" t="str">
        <f t="shared" si="2385"/>
        <v>04-08-2020</v>
      </c>
      <c r="N5840" t="str">
        <f t="shared" si="2390"/>
        <v>001105018356</v>
      </c>
      <c r="O5840" t="str">
        <f t="shared" si="2391"/>
        <v>MYR</v>
      </c>
      <c r="P5840" t="str">
        <f t="shared" si="2386"/>
        <v>NIL</v>
      </c>
      <c r="Q5840" t="str">
        <f t="shared" si="2386"/>
        <v>NIL</v>
      </c>
      <c r="R5840" t="str">
        <f t="shared" si="2378"/>
        <v>Accepted</v>
      </c>
      <c r="S5840" t="str">
        <f t="shared" si="2392"/>
        <v>Approved</v>
      </c>
      <c r="T5840" t="str">
        <f t="shared" si="2379"/>
        <v>10.20.8.188</v>
      </c>
      <c r="U5840" t="str">
        <f t="shared" si="2393"/>
        <v>AZRAD UMAR BIN SHAARI</v>
      </c>
      <c r="V5840" t="str">
        <f t="shared" si="2394"/>
        <v>FARHANA BINTI MUSTAPA</v>
      </c>
      <c r="W5840" t="str">
        <f t="shared" si="2395"/>
        <v>04-08-2020</v>
      </c>
      <c r="X5840" t="str">
        <f t="shared" si="2396"/>
        <v>RAZIMAH ANSAR AHMAD</v>
      </c>
      <c r="Y5840" t="str">
        <f t="shared" si="2397"/>
        <v>04-08-2020</v>
      </c>
      <c r="Z5840" t="str">
        <f>"COS10200804 3314"</f>
        <v>COS10200804 3314</v>
      </c>
    </row>
    <row r="5841" spans="1:26" x14ac:dyDescent="0.25">
      <c r="A5841" t="str">
        <f t="shared" si="2382"/>
        <v>04-08-2020 12:44:36</v>
      </c>
      <c r="B5841" t="str">
        <f>"0000805081"</f>
        <v>0000805081</v>
      </c>
      <c r="C5841" t="str">
        <f t="shared" si="2383"/>
        <v>0000804968</v>
      </c>
      <c r="D5841" t="str">
        <f t="shared" si="2387"/>
        <v>73185</v>
      </c>
      <c r="E5841" t="str">
        <f t="shared" si="2388"/>
        <v>KFH-OPERATIONS DEPARTMENT</v>
      </c>
      <c r="F5841" t="str">
        <f t="shared" si="2389"/>
        <v>IBG</v>
      </c>
      <c r="G5841" t="str">
        <f t="shared" si="2398"/>
        <v>Refund COSHARE 10</v>
      </c>
      <c r="H5841" s="2">
        <v>1679</v>
      </c>
      <c r="I5841" t="str">
        <f>"PRISCILLA AMBROSE"</f>
        <v>PRISCILLA AMBROSE</v>
      </c>
      <c r="J5841" t="str">
        <f t="shared" si="2384"/>
        <v>CIMB BANK / CIMB ISLAMIC BANK</v>
      </c>
      <c r="K5841" t="str">
        <f>"10050067613520"</f>
        <v>10050067613520</v>
      </c>
      <c r="L5841" t="str">
        <f t="shared" si="2385"/>
        <v>04-08-2020</v>
      </c>
      <c r="M5841" t="str">
        <f t="shared" si="2385"/>
        <v>04-08-2020</v>
      </c>
      <c r="N5841" t="str">
        <f t="shared" si="2390"/>
        <v>001105018356</v>
      </c>
      <c r="O5841" t="str">
        <f t="shared" si="2391"/>
        <v>MYR</v>
      </c>
      <c r="P5841" t="str">
        <f t="shared" si="2386"/>
        <v>NIL</v>
      </c>
      <c r="Q5841" t="str">
        <f t="shared" si="2386"/>
        <v>NIL</v>
      </c>
      <c r="R5841" t="str">
        <f t="shared" si="2378"/>
        <v>Accepted</v>
      </c>
      <c r="S5841" t="str">
        <f t="shared" si="2392"/>
        <v>Approved</v>
      </c>
      <c r="T5841" t="str">
        <f t="shared" si="2379"/>
        <v>10.20.8.188</v>
      </c>
      <c r="U5841" t="str">
        <f t="shared" si="2393"/>
        <v>AZRAD UMAR BIN SHAARI</v>
      </c>
      <c r="V5841" t="str">
        <f t="shared" si="2394"/>
        <v>FARHANA BINTI MUSTAPA</v>
      </c>
      <c r="W5841" t="str">
        <f t="shared" si="2395"/>
        <v>04-08-2020</v>
      </c>
      <c r="X5841" t="str">
        <f t="shared" si="2396"/>
        <v>RAZIMAH ANSAR AHMAD</v>
      </c>
      <c r="Y5841" t="str">
        <f t="shared" si="2397"/>
        <v>04-08-2020</v>
      </c>
      <c r="Z5841" t="str">
        <f>"COS10200804 3313"</f>
        <v>COS10200804 3313</v>
      </c>
    </row>
    <row r="5842" spans="1:26" x14ac:dyDescent="0.25">
      <c r="A5842" t="str">
        <f t="shared" si="2382"/>
        <v>04-08-2020 12:44:36</v>
      </c>
      <c r="B5842" t="str">
        <f>"0000805080"</f>
        <v>0000805080</v>
      </c>
      <c r="C5842" t="str">
        <f t="shared" si="2383"/>
        <v>0000804968</v>
      </c>
      <c r="D5842" t="str">
        <f t="shared" si="2387"/>
        <v>73185</v>
      </c>
      <c r="E5842" t="str">
        <f t="shared" si="2388"/>
        <v>KFH-OPERATIONS DEPARTMENT</v>
      </c>
      <c r="F5842" t="str">
        <f t="shared" si="2389"/>
        <v>IBG</v>
      </c>
      <c r="G5842" t="str">
        <f t="shared" si="2398"/>
        <v>Refund COSHARE 10</v>
      </c>
      <c r="H5842" s="2">
        <v>380</v>
      </c>
      <c r="I5842" t="str">
        <f>"POHI BIN SABAS"</f>
        <v>POHI BIN SABAS</v>
      </c>
      <c r="J5842" t="str">
        <f t="shared" si="2384"/>
        <v>CIMB BANK / CIMB ISLAMIC BANK</v>
      </c>
      <c r="K5842" t="str">
        <f>"10070068857525"</f>
        <v>10070068857525</v>
      </c>
      <c r="L5842" t="str">
        <f t="shared" si="2385"/>
        <v>04-08-2020</v>
      </c>
      <c r="M5842" t="str">
        <f t="shared" si="2385"/>
        <v>04-08-2020</v>
      </c>
      <c r="N5842" t="str">
        <f t="shared" si="2390"/>
        <v>001105018356</v>
      </c>
      <c r="O5842" t="str">
        <f t="shared" si="2391"/>
        <v>MYR</v>
      </c>
      <c r="P5842" t="str">
        <f t="shared" si="2386"/>
        <v>NIL</v>
      </c>
      <c r="Q5842" t="str">
        <f t="shared" si="2386"/>
        <v>NIL</v>
      </c>
      <c r="R5842" t="str">
        <f t="shared" si="2378"/>
        <v>Accepted</v>
      </c>
      <c r="S5842" t="str">
        <f t="shared" si="2392"/>
        <v>Approved</v>
      </c>
      <c r="T5842" t="str">
        <f t="shared" si="2379"/>
        <v>10.20.8.188</v>
      </c>
      <c r="U5842" t="str">
        <f t="shared" si="2393"/>
        <v>AZRAD UMAR BIN SHAARI</v>
      </c>
      <c r="V5842" t="str">
        <f t="shared" si="2394"/>
        <v>FARHANA BINTI MUSTAPA</v>
      </c>
      <c r="W5842" t="str">
        <f t="shared" si="2395"/>
        <v>04-08-2020</v>
      </c>
      <c r="X5842" t="str">
        <f t="shared" si="2396"/>
        <v>RAZIMAH ANSAR AHMAD</v>
      </c>
      <c r="Y5842" t="str">
        <f t="shared" si="2397"/>
        <v>04-08-2020</v>
      </c>
      <c r="Z5842" t="str">
        <f>"COS10200804 3312"</f>
        <v>COS10200804 3312</v>
      </c>
    </row>
    <row r="5843" spans="1:26" x14ac:dyDescent="0.25">
      <c r="A5843" t="str">
        <f t="shared" si="2382"/>
        <v>04-08-2020 12:44:36</v>
      </c>
      <c r="B5843" t="str">
        <f>"0000805079"</f>
        <v>0000805079</v>
      </c>
      <c r="C5843" t="str">
        <f t="shared" si="2383"/>
        <v>0000804968</v>
      </c>
      <c r="D5843" t="str">
        <f t="shared" si="2387"/>
        <v>73185</v>
      </c>
      <c r="E5843" t="str">
        <f t="shared" si="2388"/>
        <v>KFH-OPERATIONS DEPARTMENT</v>
      </c>
      <c r="F5843" t="str">
        <f t="shared" si="2389"/>
        <v>IBG</v>
      </c>
      <c r="G5843" t="str">
        <f t="shared" si="2398"/>
        <v>Refund COSHARE 10</v>
      </c>
      <c r="H5843" s="2">
        <v>478</v>
      </c>
      <c r="I5843" t="str">
        <f>"PHYLYSSCA LINA ANAK GUMPEB"</f>
        <v>PHYLYSSCA LINA ANAK GUMPEB</v>
      </c>
      <c r="J5843" t="str">
        <f t="shared" si="2384"/>
        <v>CIMB BANK / CIMB ISLAMIC BANK</v>
      </c>
      <c r="K5843" t="str">
        <f>"11140001714201"</f>
        <v>11140001714201</v>
      </c>
      <c r="L5843" t="str">
        <f t="shared" si="2385"/>
        <v>04-08-2020</v>
      </c>
      <c r="M5843" t="str">
        <f t="shared" si="2385"/>
        <v>04-08-2020</v>
      </c>
      <c r="N5843" t="str">
        <f t="shared" si="2390"/>
        <v>001105018356</v>
      </c>
      <c r="O5843" t="str">
        <f t="shared" si="2391"/>
        <v>MYR</v>
      </c>
      <c r="P5843" t="str">
        <f t="shared" si="2386"/>
        <v>NIL</v>
      </c>
      <c r="Q5843" t="str">
        <f t="shared" si="2386"/>
        <v>NIL</v>
      </c>
      <c r="R5843" t="str">
        <f t="shared" si="2378"/>
        <v>Accepted</v>
      </c>
      <c r="S5843" t="str">
        <f t="shared" si="2392"/>
        <v>Approved</v>
      </c>
      <c r="T5843" t="str">
        <f t="shared" si="2379"/>
        <v>10.20.8.188</v>
      </c>
      <c r="U5843" t="str">
        <f t="shared" si="2393"/>
        <v>AZRAD UMAR BIN SHAARI</v>
      </c>
      <c r="V5843" t="str">
        <f t="shared" si="2394"/>
        <v>FARHANA BINTI MUSTAPA</v>
      </c>
      <c r="W5843" t="str">
        <f t="shared" si="2395"/>
        <v>04-08-2020</v>
      </c>
      <c r="X5843" t="str">
        <f t="shared" si="2396"/>
        <v>RAZIMAH ANSAR AHMAD</v>
      </c>
      <c r="Y5843" t="str">
        <f t="shared" si="2397"/>
        <v>04-08-2020</v>
      </c>
      <c r="Z5843" t="str">
        <f>"COS10200804 3311"</f>
        <v>COS10200804 3311</v>
      </c>
    </row>
    <row r="5844" spans="1:26" x14ac:dyDescent="0.25">
      <c r="A5844" t="str">
        <f t="shared" si="2382"/>
        <v>04-08-2020 12:44:36</v>
      </c>
      <c r="B5844" t="str">
        <f>"0000805078"</f>
        <v>0000805078</v>
      </c>
      <c r="C5844" t="str">
        <f t="shared" si="2383"/>
        <v>0000804968</v>
      </c>
      <c r="D5844" t="str">
        <f t="shared" si="2387"/>
        <v>73185</v>
      </c>
      <c r="E5844" t="str">
        <f t="shared" si="2388"/>
        <v>KFH-OPERATIONS DEPARTMENT</v>
      </c>
      <c r="F5844" t="str">
        <f t="shared" si="2389"/>
        <v>IBG</v>
      </c>
      <c r="G5844" t="str">
        <f t="shared" si="2398"/>
        <v>Refund COSHARE 10</v>
      </c>
      <c r="H5844" s="2">
        <v>840</v>
      </c>
      <c r="I5844" t="str">
        <f>"PHYLLIS JOHN PANIAH"</f>
        <v>PHYLLIS JOHN PANIAH</v>
      </c>
      <c r="J5844" t="str">
        <f t="shared" si="2384"/>
        <v>CIMB BANK / CIMB ISLAMIC BANK</v>
      </c>
      <c r="K5844" t="str">
        <f>"15010035083524"</f>
        <v>15010035083524</v>
      </c>
      <c r="L5844" t="str">
        <f t="shared" si="2385"/>
        <v>04-08-2020</v>
      </c>
      <c r="M5844" t="str">
        <f t="shared" si="2385"/>
        <v>04-08-2020</v>
      </c>
      <c r="N5844" t="str">
        <f t="shared" si="2390"/>
        <v>001105018356</v>
      </c>
      <c r="O5844" t="str">
        <f t="shared" si="2391"/>
        <v>MYR</v>
      </c>
      <c r="P5844" t="str">
        <f t="shared" si="2386"/>
        <v>NIL</v>
      </c>
      <c r="Q5844" t="str">
        <f t="shared" si="2386"/>
        <v>NIL</v>
      </c>
      <c r="R5844" t="str">
        <f t="shared" si="2378"/>
        <v>Accepted</v>
      </c>
      <c r="S5844" t="str">
        <f t="shared" si="2392"/>
        <v>Approved</v>
      </c>
      <c r="T5844" t="str">
        <f t="shared" si="2379"/>
        <v>10.20.8.188</v>
      </c>
      <c r="U5844" t="str">
        <f t="shared" si="2393"/>
        <v>AZRAD UMAR BIN SHAARI</v>
      </c>
      <c r="V5844" t="str">
        <f t="shared" si="2394"/>
        <v>FARHANA BINTI MUSTAPA</v>
      </c>
      <c r="W5844" t="str">
        <f t="shared" si="2395"/>
        <v>04-08-2020</v>
      </c>
      <c r="X5844" t="str">
        <f t="shared" si="2396"/>
        <v>RAZIMAH ANSAR AHMAD</v>
      </c>
      <c r="Y5844" t="str">
        <f t="shared" si="2397"/>
        <v>04-08-2020</v>
      </c>
      <c r="Z5844" t="str">
        <f>"COS10200804 3310"</f>
        <v>COS10200804 3310</v>
      </c>
    </row>
    <row r="5845" spans="1:26" x14ac:dyDescent="0.25">
      <c r="A5845" t="str">
        <f t="shared" si="2382"/>
        <v>04-08-2020 12:44:36</v>
      </c>
      <c r="B5845" t="str">
        <f>"0000805077"</f>
        <v>0000805077</v>
      </c>
      <c r="C5845" t="str">
        <f t="shared" si="2383"/>
        <v>0000804968</v>
      </c>
      <c r="D5845" t="str">
        <f t="shared" si="2387"/>
        <v>73185</v>
      </c>
      <c r="E5845" t="str">
        <f t="shared" si="2388"/>
        <v>KFH-OPERATIONS DEPARTMENT</v>
      </c>
      <c r="F5845" t="str">
        <f t="shared" si="2389"/>
        <v>IBG</v>
      </c>
      <c r="G5845" t="str">
        <f t="shared" si="2398"/>
        <v>Refund COSHARE 10</v>
      </c>
      <c r="H5845" s="2">
        <v>289</v>
      </c>
      <c r="I5845" t="str">
        <f>"PETRONELLA BINTI WALEFRED"</f>
        <v>PETRONELLA BINTI WALEFRED</v>
      </c>
      <c r="J5845" t="str">
        <f t="shared" si="2384"/>
        <v>CIMB BANK / CIMB ISLAMIC BANK</v>
      </c>
      <c r="K5845" t="str">
        <f>"7034580125"</f>
        <v>7034580125</v>
      </c>
      <c r="L5845" t="str">
        <f t="shared" si="2385"/>
        <v>04-08-2020</v>
      </c>
      <c r="M5845" t="str">
        <f t="shared" si="2385"/>
        <v>04-08-2020</v>
      </c>
      <c r="N5845" t="str">
        <f t="shared" si="2390"/>
        <v>001105018356</v>
      </c>
      <c r="O5845" t="str">
        <f t="shared" si="2391"/>
        <v>MYR</v>
      </c>
      <c r="P5845" t="str">
        <f t="shared" si="2386"/>
        <v>NIL</v>
      </c>
      <c r="Q5845" t="str">
        <f t="shared" si="2386"/>
        <v>NIL</v>
      </c>
      <c r="R5845" t="str">
        <f t="shared" si="2378"/>
        <v>Accepted</v>
      </c>
      <c r="S5845" t="str">
        <f t="shared" si="2392"/>
        <v>Approved</v>
      </c>
      <c r="T5845" t="str">
        <f t="shared" si="2379"/>
        <v>10.20.8.188</v>
      </c>
      <c r="U5845" t="str">
        <f t="shared" si="2393"/>
        <v>AZRAD UMAR BIN SHAARI</v>
      </c>
      <c r="V5845" t="str">
        <f t="shared" si="2394"/>
        <v>FARHANA BINTI MUSTAPA</v>
      </c>
      <c r="W5845" t="str">
        <f t="shared" si="2395"/>
        <v>04-08-2020</v>
      </c>
      <c r="X5845" t="str">
        <f t="shared" si="2396"/>
        <v>RAZIMAH ANSAR AHMAD</v>
      </c>
      <c r="Y5845" t="str">
        <f t="shared" si="2397"/>
        <v>04-08-2020</v>
      </c>
      <c r="Z5845" t="str">
        <f>"COS10200804 3309"</f>
        <v>COS10200804 3309</v>
      </c>
    </row>
    <row r="5846" spans="1:26" x14ac:dyDescent="0.25">
      <c r="A5846" t="str">
        <f t="shared" si="2382"/>
        <v>04-08-2020 12:44:36</v>
      </c>
      <c r="B5846" t="str">
        <f>"0000805076"</f>
        <v>0000805076</v>
      </c>
      <c r="C5846" t="str">
        <f t="shared" si="2383"/>
        <v>0000804968</v>
      </c>
      <c r="D5846" t="str">
        <f t="shared" si="2387"/>
        <v>73185</v>
      </c>
      <c r="E5846" t="str">
        <f t="shared" si="2388"/>
        <v>KFH-OPERATIONS DEPARTMENT</v>
      </c>
      <c r="F5846" t="str">
        <f t="shared" si="2389"/>
        <v>IBG</v>
      </c>
      <c r="G5846" t="str">
        <f t="shared" si="2398"/>
        <v>Refund COSHARE 10</v>
      </c>
      <c r="H5846" s="2">
        <v>167.9</v>
      </c>
      <c r="I5846" t="str">
        <f>"PAYAZILA BINTI YAHYA"</f>
        <v>PAYAZILA BINTI YAHYA</v>
      </c>
      <c r="J5846" t="str">
        <f t="shared" si="2384"/>
        <v>CIMB BANK / CIMB ISLAMIC BANK</v>
      </c>
      <c r="K5846" t="str">
        <f>"03070013301526"</f>
        <v>03070013301526</v>
      </c>
      <c r="L5846" t="str">
        <f t="shared" si="2385"/>
        <v>04-08-2020</v>
      </c>
      <c r="M5846" t="str">
        <f t="shared" si="2385"/>
        <v>04-08-2020</v>
      </c>
      <c r="N5846" t="str">
        <f t="shared" si="2390"/>
        <v>001105018356</v>
      </c>
      <c r="O5846" t="str">
        <f t="shared" si="2391"/>
        <v>MYR</v>
      </c>
      <c r="P5846" t="str">
        <f t="shared" si="2386"/>
        <v>NIL</v>
      </c>
      <c r="Q5846" t="str">
        <f t="shared" si="2386"/>
        <v>NIL</v>
      </c>
      <c r="R5846" t="str">
        <f t="shared" si="2378"/>
        <v>Accepted</v>
      </c>
      <c r="S5846" t="str">
        <f t="shared" si="2392"/>
        <v>Approved</v>
      </c>
      <c r="T5846" t="str">
        <f t="shared" si="2379"/>
        <v>10.20.8.188</v>
      </c>
      <c r="U5846" t="str">
        <f t="shared" si="2393"/>
        <v>AZRAD UMAR BIN SHAARI</v>
      </c>
      <c r="V5846" t="str">
        <f t="shared" si="2394"/>
        <v>FARHANA BINTI MUSTAPA</v>
      </c>
      <c r="W5846" t="str">
        <f t="shared" si="2395"/>
        <v>04-08-2020</v>
      </c>
      <c r="X5846" t="str">
        <f t="shared" si="2396"/>
        <v>RAZIMAH ANSAR AHMAD</v>
      </c>
      <c r="Y5846" t="str">
        <f t="shared" si="2397"/>
        <v>04-08-2020</v>
      </c>
      <c r="Z5846" t="str">
        <f>"COS10200804 3308"</f>
        <v>COS10200804 3308</v>
      </c>
    </row>
    <row r="5847" spans="1:26" x14ac:dyDescent="0.25">
      <c r="A5847" t="str">
        <f t="shared" si="2382"/>
        <v>04-08-2020 12:44:36</v>
      </c>
      <c r="B5847" t="str">
        <f>"0000805075"</f>
        <v>0000805075</v>
      </c>
      <c r="C5847" t="str">
        <f t="shared" si="2383"/>
        <v>0000804968</v>
      </c>
      <c r="D5847" t="str">
        <f t="shared" si="2387"/>
        <v>73185</v>
      </c>
      <c r="E5847" t="str">
        <f t="shared" si="2388"/>
        <v>KFH-OPERATIONS DEPARTMENT</v>
      </c>
      <c r="F5847" t="str">
        <f t="shared" si="2389"/>
        <v>IBG</v>
      </c>
      <c r="G5847" t="str">
        <f t="shared" si="2398"/>
        <v>Refund COSHARE 10</v>
      </c>
      <c r="H5847" s="2">
        <v>621.20000000000005</v>
      </c>
      <c r="I5847" t="str">
        <f>"PAUL ANAK JOHEM"</f>
        <v>PAUL ANAK JOHEM</v>
      </c>
      <c r="J5847" t="str">
        <f t="shared" si="2384"/>
        <v>CIMB BANK / CIMB ISLAMIC BANK</v>
      </c>
      <c r="K5847" t="str">
        <f>"7031803597"</f>
        <v>7031803597</v>
      </c>
      <c r="L5847" t="str">
        <f t="shared" ref="L5847:M5866" si="2399">"04-08-2020"</f>
        <v>04-08-2020</v>
      </c>
      <c r="M5847" t="str">
        <f t="shared" si="2399"/>
        <v>04-08-2020</v>
      </c>
      <c r="N5847" t="str">
        <f t="shared" si="2390"/>
        <v>001105018356</v>
      </c>
      <c r="O5847" t="str">
        <f t="shared" si="2391"/>
        <v>MYR</v>
      </c>
      <c r="P5847" t="str">
        <f t="shared" ref="P5847:Q5866" si="2400">"NIL"</f>
        <v>NIL</v>
      </c>
      <c r="Q5847" t="str">
        <f t="shared" si="2400"/>
        <v>NIL</v>
      </c>
      <c r="R5847" t="str">
        <f t="shared" si="2378"/>
        <v>Accepted</v>
      </c>
      <c r="S5847" t="str">
        <f t="shared" si="2392"/>
        <v>Approved</v>
      </c>
      <c r="T5847" t="str">
        <f t="shared" si="2379"/>
        <v>10.20.8.188</v>
      </c>
      <c r="U5847" t="str">
        <f t="shared" si="2393"/>
        <v>AZRAD UMAR BIN SHAARI</v>
      </c>
      <c r="V5847" t="str">
        <f t="shared" si="2394"/>
        <v>FARHANA BINTI MUSTAPA</v>
      </c>
      <c r="W5847" t="str">
        <f t="shared" si="2395"/>
        <v>04-08-2020</v>
      </c>
      <c r="X5847" t="str">
        <f t="shared" si="2396"/>
        <v>RAZIMAH ANSAR AHMAD</v>
      </c>
      <c r="Y5847" t="str">
        <f t="shared" si="2397"/>
        <v>04-08-2020</v>
      </c>
      <c r="Z5847" t="str">
        <f>"COS10200804 3307"</f>
        <v>COS10200804 3307</v>
      </c>
    </row>
    <row r="5848" spans="1:26" x14ac:dyDescent="0.25">
      <c r="A5848" t="str">
        <f t="shared" si="2382"/>
        <v>04-08-2020 12:44:36</v>
      </c>
      <c r="B5848" t="str">
        <f>"0000805074"</f>
        <v>0000805074</v>
      </c>
      <c r="C5848" t="str">
        <f t="shared" si="2383"/>
        <v>0000804968</v>
      </c>
      <c r="D5848" t="str">
        <f t="shared" si="2387"/>
        <v>73185</v>
      </c>
      <c r="E5848" t="str">
        <f t="shared" si="2388"/>
        <v>KFH-OPERATIONS DEPARTMENT</v>
      </c>
      <c r="F5848" t="str">
        <f t="shared" si="2389"/>
        <v>IBG</v>
      </c>
      <c r="G5848" t="str">
        <f t="shared" si="2398"/>
        <v>Refund COSHARE 10</v>
      </c>
      <c r="H5848" s="2">
        <v>125.95</v>
      </c>
      <c r="I5848" t="str">
        <f>"PASMAH BINTI PASION"</f>
        <v>PASMAH BINTI PASION</v>
      </c>
      <c r="J5848" t="str">
        <f t="shared" si="2384"/>
        <v>CIMB BANK / CIMB ISLAMIC BANK</v>
      </c>
      <c r="K5848" t="str">
        <f>"10040061704529"</f>
        <v>10040061704529</v>
      </c>
      <c r="L5848" t="str">
        <f t="shared" si="2399"/>
        <v>04-08-2020</v>
      </c>
      <c r="M5848" t="str">
        <f t="shared" si="2399"/>
        <v>04-08-2020</v>
      </c>
      <c r="N5848" t="str">
        <f t="shared" si="2390"/>
        <v>001105018356</v>
      </c>
      <c r="O5848" t="str">
        <f t="shared" si="2391"/>
        <v>MYR</v>
      </c>
      <c r="P5848" t="str">
        <f t="shared" si="2400"/>
        <v>NIL</v>
      </c>
      <c r="Q5848" t="str">
        <f t="shared" si="2400"/>
        <v>NIL</v>
      </c>
      <c r="R5848" t="str">
        <f t="shared" si="2378"/>
        <v>Accepted</v>
      </c>
      <c r="S5848" t="str">
        <f t="shared" si="2392"/>
        <v>Approved</v>
      </c>
      <c r="T5848" t="str">
        <f t="shared" si="2379"/>
        <v>10.20.8.188</v>
      </c>
      <c r="U5848" t="str">
        <f t="shared" si="2393"/>
        <v>AZRAD UMAR BIN SHAARI</v>
      </c>
      <c r="V5848" t="str">
        <f t="shared" si="2394"/>
        <v>FARHANA BINTI MUSTAPA</v>
      </c>
      <c r="W5848" t="str">
        <f t="shared" si="2395"/>
        <v>04-08-2020</v>
      </c>
      <c r="X5848" t="str">
        <f t="shared" si="2396"/>
        <v>RAZIMAH ANSAR AHMAD</v>
      </c>
      <c r="Y5848" t="str">
        <f t="shared" si="2397"/>
        <v>04-08-2020</v>
      </c>
      <c r="Z5848" t="str">
        <f>"COS10200804 3306"</f>
        <v>COS10200804 3306</v>
      </c>
    </row>
    <row r="5849" spans="1:26" x14ac:dyDescent="0.25">
      <c r="A5849" t="str">
        <f t="shared" si="2382"/>
        <v>04-08-2020 12:44:36</v>
      </c>
      <c r="B5849" t="str">
        <f>"0000805073"</f>
        <v>0000805073</v>
      </c>
      <c r="C5849" t="str">
        <f t="shared" si="2383"/>
        <v>0000804968</v>
      </c>
      <c r="D5849" t="str">
        <f t="shared" si="2387"/>
        <v>73185</v>
      </c>
      <c r="E5849" t="str">
        <f t="shared" si="2388"/>
        <v>KFH-OPERATIONS DEPARTMENT</v>
      </c>
      <c r="F5849" t="str">
        <f t="shared" si="2389"/>
        <v>IBG</v>
      </c>
      <c r="G5849" t="str">
        <f t="shared" si="2398"/>
        <v>Refund COSHARE 10</v>
      </c>
      <c r="H5849" s="2">
        <v>418</v>
      </c>
      <c r="I5849" t="str">
        <f>"PARVATHY AP NAGAPPAN"</f>
        <v>PARVATHY AP NAGAPPAN</v>
      </c>
      <c r="J5849" t="str">
        <f t="shared" si="2384"/>
        <v>CIMB BANK / CIMB ISLAMIC BANK</v>
      </c>
      <c r="K5849" t="str">
        <f>"01080012561525"</f>
        <v>01080012561525</v>
      </c>
      <c r="L5849" t="str">
        <f t="shared" si="2399"/>
        <v>04-08-2020</v>
      </c>
      <c r="M5849" t="str">
        <f t="shared" si="2399"/>
        <v>04-08-2020</v>
      </c>
      <c r="N5849" t="str">
        <f t="shared" si="2390"/>
        <v>001105018356</v>
      </c>
      <c r="O5849" t="str">
        <f t="shared" si="2391"/>
        <v>MYR</v>
      </c>
      <c r="P5849" t="str">
        <f t="shared" si="2400"/>
        <v>NIL</v>
      </c>
      <c r="Q5849" t="str">
        <f t="shared" si="2400"/>
        <v>NIL</v>
      </c>
      <c r="R5849" t="str">
        <f t="shared" si="2378"/>
        <v>Accepted</v>
      </c>
      <c r="S5849" t="str">
        <f t="shared" si="2392"/>
        <v>Approved</v>
      </c>
      <c r="T5849" t="str">
        <f t="shared" si="2379"/>
        <v>10.20.8.188</v>
      </c>
      <c r="U5849" t="str">
        <f t="shared" si="2393"/>
        <v>AZRAD UMAR BIN SHAARI</v>
      </c>
      <c r="V5849" t="str">
        <f t="shared" si="2394"/>
        <v>FARHANA BINTI MUSTAPA</v>
      </c>
      <c r="W5849" t="str">
        <f t="shared" si="2395"/>
        <v>04-08-2020</v>
      </c>
      <c r="X5849" t="str">
        <f t="shared" si="2396"/>
        <v>RAZIMAH ANSAR AHMAD</v>
      </c>
      <c r="Y5849" t="str">
        <f t="shared" si="2397"/>
        <v>04-08-2020</v>
      </c>
      <c r="Z5849" t="str">
        <f>"COS10200804 3305"</f>
        <v>COS10200804 3305</v>
      </c>
    </row>
    <row r="5850" spans="1:26" x14ac:dyDescent="0.25">
      <c r="A5850" t="str">
        <f t="shared" ref="A5850:A5881" si="2401">"04-08-2020 12:44:36"</f>
        <v>04-08-2020 12:44:36</v>
      </c>
      <c r="B5850" t="str">
        <f>"0000805072"</f>
        <v>0000805072</v>
      </c>
      <c r="C5850" t="str">
        <f t="shared" ref="C5850:C5881" si="2402">"0000804968"</f>
        <v>0000804968</v>
      </c>
      <c r="D5850" t="str">
        <f t="shared" si="2387"/>
        <v>73185</v>
      </c>
      <c r="E5850" t="str">
        <f t="shared" si="2388"/>
        <v>KFH-OPERATIONS DEPARTMENT</v>
      </c>
      <c r="F5850" t="str">
        <f t="shared" si="2389"/>
        <v>IBG</v>
      </c>
      <c r="G5850" t="str">
        <f t="shared" si="2398"/>
        <v>Refund COSHARE 10</v>
      </c>
      <c r="H5850" s="2">
        <v>436.55</v>
      </c>
      <c r="I5850" t="str">
        <f>"PARIDA BINTI USMAN"</f>
        <v>PARIDA BINTI USMAN</v>
      </c>
      <c r="J5850" t="str">
        <f t="shared" si="2384"/>
        <v>CIMB BANK / CIMB ISLAMIC BANK</v>
      </c>
      <c r="K5850" t="str">
        <f>"14230021860528"</f>
        <v>14230021860528</v>
      </c>
      <c r="L5850" t="str">
        <f t="shared" si="2399"/>
        <v>04-08-2020</v>
      </c>
      <c r="M5850" t="str">
        <f t="shared" si="2399"/>
        <v>04-08-2020</v>
      </c>
      <c r="N5850" t="str">
        <f t="shared" si="2390"/>
        <v>001105018356</v>
      </c>
      <c r="O5850" t="str">
        <f t="shared" si="2391"/>
        <v>MYR</v>
      </c>
      <c r="P5850" t="str">
        <f t="shared" si="2400"/>
        <v>NIL</v>
      </c>
      <c r="Q5850" t="str">
        <f t="shared" si="2400"/>
        <v>NIL</v>
      </c>
      <c r="R5850" t="str">
        <f t="shared" si="2378"/>
        <v>Accepted</v>
      </c>
      <c r="S5850" t="str">
        <f t="shared" si="2392"/>
        <v>Approved</v>
      </c>
      <c r="T5850" t="str">
        <f t="shared" si="2379"/>
        <v>10.20.8.188</v>
      </c>
      <c r="U5850" t="str">
        <f t="shared" si="2393"/>
        <v>AZRAD UMAR BIN SHAARI</v>
      </c>
      <c r="V5850" t="str">
        <f t="shared" si="2394"/>
        <v>FARHANA BINTI MUSTAPA</v>
      </c>
      <c r="W5850" t="str">
        <f t="shared" si="2395"/>
        <v>04-08-2020</v>
      </c>
      <c r="X5850" t="str">
        <f t="shared" si="2396"/>
        <v>RAZIMAH ANSAR AHMAD</v>
      </c>
      <c r="Y5850" t="str">
        <f t="shared" si="2397"/>
        <v>04-08-2020</v>
      </c>
      <c r="Z5850" t="str">
        <f>"COS10200804 3304"</f>
        <v>COS10200804 3304</v>
      </c>
    </row>
    <row r="5851" spans="1:26" x14ac:dyDescent="0.25">
      <c r="A5851" t="str">
        <f t="shared" si="2401"/>
        <v>04-08-2020 12:44:36</v>
      </c>
      <c r="B5851" t="str">
        <f>"0000805071"</f>
        <v>0000805071</v>
      </c>
      <c r="C5851" t="str">
        <f t="shared" si="2402"/>
        <v>0000804968</v>
      </c>
      <c r="D5851" t="str">
        <f t="shared" si="2387"/>
        <v>73185</v>
      </c>
      <c r="E5851" t="str">
        <f t="shared" si="2388"/>
        <v>KFH-OPERATIONS DEPARTMENT</v>
      </c>
      <c r="F5851" t="str">
        <f t="shared" si="2389"/>
        <v>IBG</v>
      </c>
      <c r="G5851" t="str">
        <f t="shared" si="2398"/>
        <v>Refund COSHARE 10</v>
      </c>
      <c r="H5851" s="2">
        <v>419.75</v>
      </c>
      <c r="I5851" t="str">
        <f>"PANGURUSAN  MASDIN BIN PUMPUNGA"</f>
        <v>PANGURUSAN  MASDIN BIN PUMPUNGA</v>
      </c>
      <c r="J5851" t="str">
        <f t="shared" si="2384"/>
        <v>CIMB BANK / CIMB ISLAMIC BANK</v>
      </c>
      <c r="K5851" t="str">
        <f>"10110000443207"</f>
        <v>10110000443207</v>
      </c>
      <c r="L5851" t="str">
        <f t="shared" si="2399"/>
        <v>04-08-2020</v>
      </c>
      <c r="M5851" t="str">
        <f t="shared" si="2399"/>
        <v>04-08-2020</v>
      </c>
      <c r="N5851" t="str">
        <f t="shared" si="2390"/>
        <v>001105018356</v>
      </c>
      <c r="O5851" t="str">
        <f t="shared" si="2391"/>
        <v>MYR</v>
      </c>
      <c r="P5851" t="str">
        <f t="shared" si="2400"/>
        <v>NIL</v>
      </c>
      <c r="Q5851" t="str">
        <f t="shared" si="2400"/>
        <v>NIL</v>
      </c>
      <c r="R5851" t="str">
        <f t="shared" si="2378"/>
        <v>Accepted</v>
      </c>
      <c r="S5851" t="str">
        <f t="shared" si="2392"/>
        <v>Approved</v>
      </c>
      <c r="T5851" t="str">
        <f t="shared" si="2379"/>
        <v>10.20.8.188</v>
      </c>
      <c r="U5851" t="str">
        <f t="shared" si="2393"/>
        <v>AZRAD UMAR BIN SHAARI</v>
      </c>
      <c r="V5851" t="str">
        <f t="shared" si="2394"/>
        <v>FARHANA BINTI MUSTAPA</v>
      </c>
      <c r="W5851" t="str">
        <f t="shared" si="2395"/>
        <v>04-08-2020</v>
      </c>
      <c r="X5851" t="str">
        <f t="shared" si="2396"/>
        <v>RAZIMAH ANSAR AHMAD</v>
      </c>
      <c r="Y5851" t="str">
        <f t="shared" si="2397"/>
        <v>04-08-2020</v>
      </c>
      <c r="Z5851" t="str">
        <f>"COS10200804 3303"</f>
        <v>COS10200804 3303</v>
      </c>
    </row>
    <row r="5852" spans="1:26" x14ac:dyDescent="0.25">
      <c r="A5852" t="str">
        <f t="shared" si="2401"/>
        <v>04-08-2020 12:44:36</v>
      </c>
      <c r="B5852" t="str">
        <f>"0000805070"</f>
        <v>0000805070</v>
      </c>
      <c r="C5852" t="str">
        <f t="shared" si="2402"/>
        <v>0000804968</v>
      </c>
      <c r="D5852" t="str">
        <f t="shared" si="2387"/>
        <v>73185</v>
      </c>
      <c r="E5852" t="str">
        <f t="shared" si="2388"/>
        <v>KFH-OPERATIONS DEPARTMENT</v>
      </c>
      <c r="F5852" t="str">
        <f t="shared" si="2389"/>
        <v>IBG</v>
      </c>
      <c r="G5852" t="str">
        <f t="shared" si="2398"/>
        <v>Refund COSHARE 10</v>
      </c>
      <c r="H5852" s="2">
        <v>49.15</v>
      </c>
      <c r="I5852" t="str">
        <f>"PALADIUS BIN NNAJIR"</f>
        <v>PALADIUS BIN NNAJIR</v>
      </c>
      <c r="J5852" t="str">
        <f t="shared" si="2384"/>
        <v>CIMB BANK / CIMB ISLAMIC BANK</v>
      </c>
      <c r="K5852" t="str">
        <f>"7037539218"</f>
        <v>7037539218</v>
      </c>
      <c r="L5852" t="str">
        <f t="shared" si="2399"/>
        <v>04-08-2020</v>
      </c>
      <c r="M5852" t="str">
        <f t="shared" si="2399"/>
        <v>04-08-2020</v>
      </c>
      <c r="N5852" t="str">
        <f t="shared" si="2390"/>
        <v>001105018356</v>
      </c>
      <c r="O5852" t="str">
        <f t="shared" si="2391"/>
        <v>MYR</v>
      </c>
      <c r="P5852" t="str">
        <f t="shared" si="2400"/>
        <v>NIL</v>
      </c>
      <c r="Q5852" t="str">
        <f t="shared" si="2400"/>
        <v>NIL</v>
      </c>
      <c r="R5852" t="str">
        <f t="shared" si="2378"/>
        <v>Accepted</v>
      </c>
      <c r="S5852" t="str">
        <f t="shared" si="2392"/>
        <v>Approved</v>
      </c>
      <c r="T5852" t="str">
        <f t="shared" si="2379"/>
        <v>10.20.8.188</v>
      </c>
      <c r="U5852" t="str">
        <f t="shared" si="2393"/>
        <v>AZRAD UMAR BIN SHAARI</v>
      </c>
      <c r="V5852" t="str">
        <f t="shared" si="2394"/>
        <v>FARHANA BINTI MUSTAPA</v>
      </c>
      <c r="W5852" t="str">
        <f t="shared" si="2395"/>
        <v>04-08-2020</v>
      </c>
      <c r="X5852" t="str">
        <f t="shared" si="2396"/>
        <v>RAZIMAH ANSAR AHMAD</v>
      </c>
      <c r="Y5852" t="str">
        <f t="shared" si="2397"/>
        <v>04-08-2020</v>
      </c>
      <c r="Z5852" t="str">
        <f>"COS10200804 3302"</f>
        <v>COS10200804 3302</v>
      </c>
    </row>
    <row r="5853" spans="1:26" x14ac:dyDescent="0.25">
      <c r="A5853" t="str">
        <f t="shared" si="2401"/>
        <v>04-08-2020 12:44:36</v>
      </c>
      <c r="B5853" t="str">
        <f>"0000805069"</f>
        <v>0000805069</v>
      </c>
      <c r="C5853" t="str">
        <f t="shared" si="2402"/>
        <v>0000804968</v>
      </c>
      <c r="D5853" t="str">
        <f t="shared" si="2387"/>
        <v>73185</v>
      </c>
      <c r="E5853" t="str">
        <f t="shared" si="2388"/>
        <v>KFH-OPERATIONS DEPARTMENT</v>
      </c>
      <c r="F5853" t="str">
        <f t="shared" si="2389"/>
        <v>IBG</v>
      </c>
      <c r="G5853" t="str">
        <f t="shared" si="2398"/>
        <v>Refund COSHARE 10</v>
      </c>
      <c r="H5853" s="2">
        <v>1136</v>
      </c>
      <c r="I5853" t="str">
        <f>"PALADIUS BIN NNAJIR"</f>
        <v>PALADIUS BIN NNAJIR</v>
      </c>
      <c r="J5853" t="str">
        <f t="shared" si="2384"/>
        <v>CIMB BANK / CIMB ISLAMIC BANK</v>
      </c>
      <c r="K5853" t="str">
        <f>"7037539218"</f>
        <v>7037539218</v>
      </c>
      <c r="L5853" t="str">
        <f t="shared" si="2399"/>
        <v>04-08-2020</v>
      </c>
      <c r="M5853" t="str">
        <f t="shared" si="2399"/>
        <v>04-08-2020</v>
      </c>
      <c r="N5853" t="str">
        <f t="shared" si="2390"/>
        <v>001105018356</v>
      </c>
      <c r="O5853" t="str">
        <f t="shared" si="2391"/>
        <v>MYR</v>
      </c>
      <c r="P5853" t="str">
        <f t="shared" si="2400"/>
        <v>NIL</v>
      </c>
      <c r="Q5853" t="str">
        <f t="shared" si="2400"/>
        <v>NIL</v>
      </c>
      <c r="R5853" t="str">
        <f t="shared" si="2378"/>
        <v>Accepted</v>
      </c>
      <c r="S5853" t="str">
        <f t="shared" si="2392"/>
        <v>Approved</v>
      </c>
      <c r="T5853" t="str">
        <f t="shared" si="2379"/>
        <v>10.20.8.188</v>
      </c>
      <c r="U5853" t="str">
        <f t="shared" si="2393"/>
        <v>AZRAD UMAR BIN SHAARI</v>
      </c>
      <c r="V5853" t="str">
        <f t="shared" si="2394"/>
        <v>FARHANA BINTI MUSTAPA</v>
      </c>
      <c r="W5853" t="str">
        <f t="shared" si="2395"/>
        <v>04-08-2020</v>
      </c>
      <c r="X5853" t="str">
        <f t="shared" si="2396"/>
        <v>RAZIMAH ANSAR AHMAD</v>
      </c>
      <c r="Y5853" t="str">
        <f t="shared" si="2397"/>
        <v>04-08-2020</v>
      </c>
      <c r="Z5853" t="str">
        <f>"COS10200804 3301"</f>
        <v>COS10200804 3301</v>
      </c>
    </row>
    <row r="5854" spans="1:26" x14ac:dyDescent="0.25">
      <c r="A5854" t="str">
        <f t="shared" si="2401"/>
        <v>04-08-2020 12:44:36</v>
      </c>
      <c r="B5854" t="str">
        <f>"0000805068"</f>
        <v>0000805068</v>
      </c>
      <c r="C5854" t="str">
        <f t="shared" si="2402"/>
        <v>0000804968</v>
      </c>
      <c r="D5854" t="str">
        <f t="shared" si="2387"/>
        <v>73185</v>
      </c>
      <c r="E5854" t="str">
        <f t="shared" si="2388"/>
        <v>KFH-OPERATIONS DEPARTMENT</v>
      </c>
      <c r="F5854" t="str">
        <f t="shared" si="2389"/>
        <v>IBG</v>
      </c>
      <c r="G5854" t="str">
        <f t="shared" si="2398"/>
        <v>Refund COSHARE 10</v>
      </c>
      <c r="H5854" s="2">
        <v>503.7</v>
      </c>
      <c r="I5854" t="str">
        <f>"PAIRINS BIN BADIN"</f>
        <v>PAIRINS BIN BADIN</v>
      </c>
      <c r="J5854" t="str">
        <f t="shared" si="2384"/>
        <v>CIMB BANK / CIMB ISLAMIC BANK</v>
      </c>
      <c r="K5854" t="str">
        <f>"7039148056"</f>
        <v>7039148056</v>
      </c>
      <c r="L5854" t="str">
        <f t="shared" si="2399"/>
        <v>04-08-2020</v>
      </c>
      <c r="M5854" t="str">
        <f t="shared" si="2399"/>
        <v>04-08-2020</v>
      </c>
      <c r="N5854" t="str">
        <f t="shared" si="2390"/>
        <v>001105018356</v>
      </c>
      <c r="O5854" t="str">
        <f t="shared" si="2391"/>
        <v>MYR</v>
      </c>
      <c r="P5854" t="str">
        <f t="shared" si="2400"/>
        <v>NIL</v>
      </c>
      <c r="Q5854" t="str">
        <f t="shared" si="2400"/>
        <v>NIL</v>
      </c>
      <c r="R5854" t="str">
        <f t="shared" si="2378"/>
        <v>Accepted</v>
      </c>
      <c r="S5854" t="str">
        <f t="shared" si="2392"/>
        <v>Approved</v>
      </c>
      <c r="T5854" t="str">
        <f t="shared" si="2379"/>
        <v>10.20.8.188</v>
      </c>
      <c r="U5854" t="str">
        <f t="shared" si="2393"/>
        <v>AZRAD UMAR BIN SHAARI</v>
      </c>
      <c r="V5854" t="str">
        <f t="shared" si="2394"/>
        <v>FARHANA BINTI MUSTAPA</v>
      </c>
      <c r="W5854" t="str">
        <f t="shared" si="2395"/>
        <v>04-08-2020</v>
      </c>
      <c r="X5854" t="str">
        <f t="shared" si="2396"/>
        <v>RAZIMAH ANSAR AHMAD</v>
      </c>
      <c r="Y5854" t="str">
        <f t="shared" si="2397"/>
        <v>04-08-2020</v>
      </c>
      <c r="Z5854" t="str">
        <f>"COS10200804 3300"</f>
        <v>COS10200804 3300</v>
      </c>
    </row>
    <row r="5855" spans="1:26" x14ac:dyDescent="0.25">
      <c r="A5855" t="str">
        <f t="shared" si="2401"/>
        <v>04-08-2020 12:44:36</v>
      </c>
      <c r="B5855" t="str">
        <f>"0000805067"</f>
        <v>0000805067</v>
      </c>
      <c r="C5855" t="str">
        <f t="shared" si="2402"/>
        <v>0000804968</v>
      </c>
      <c r="D5855" t="str">
        <f t="shared" si="2387"/>
        <v>73185</v>
      </c>
      <c r="E5855" t="str">
        <f t="shared" si="2388"/>
        <v>KFH-OPERATIONS DEPARTMENT</v>
      </c>
      <c r="F5855" t="str">
        <f t="shared" si="2389"/>
        <v>IBG</v>
      </c>
      <c r="G5855" t="str">
        <f t="shared" si="2398"/>
        <v>Refund COSHARE 10</v>
      </c>
      <c r="H5855" s="2">
        <v>50.4</v>
      </c>
      <c r="I5855" t="str">
        <f>"PADJIRI BIN SANI"</f>
        <v>PADJIRI BIN SANI</v>
      </c>
      <c r="J5855" t="str">
        <f t="shared" si="2384"/>
        <v>CIMB BANK / CIMB ISLAMIC BANK</v>
      </c>
      <c r="K5855" t="str">
        <f>"10030062806528"</f>
        <v>10030062806528</v>
      </c>
      <c r="L5855" t="str">
        <f t="shared" si="2399"/>
        <v>04-08-2020</v>
      </c>
      <c r="M5855" t="str">
        <f t="shared" si="2399"/>
        <v>04-08-2020</v>
      </c>
      <c r="N5855" t="str">
        <f t="shared" si="2390"/>
        <v>001105018356</v>
      </c>
      <c r="O5855" t="str">
        <f t="shared" si="2391"/>
        <v>MYR</v>
      </c>
      <c r="P5855" t="str">
        <f t="shared" si="2400"/>
        <v>NIL</v>
      </c>
      <c r="Q5855" t="str">
        <f t="shared" si="2400"/>
        <v>NIL</v>
      </c>
      <c r="R5855" t="str">
        <f t="shared" si="2378"/>
        <v>Accepted</v>
      </c>
      <c r="S5855" t="str">
        <f t="shared" si="2392"/>
        <v>Approved</v>
      </c>
      <c r="T5855" t="str">
        <f t="shared" si="2379"/>
        <v>10.20.8.188</v>
      </c>
      <c r="U5855" t="str">
        <f t="shared" si="2393"/>
        <v>AZRAD UMAR BIN SHAARI</v>
      </c>
      <c r="V5855" t="str">
        <f t="shared" si="2394"/>
        <v>FARHANA BINTI MUSTAPA</v>
      </c>
      <c r="W5855" t="str">
        <f t="shared" si="2395"/>
        <v>04-08-2020</v>
      </c>
      <c r="X5855" t="str">
        <f t="shared" si="2396"/>
        <v>RAZIMAH ANSAR AHMAD</v>
      </c>
      <c r="Y5855" t="str">
        <f t="shared" si="2397"/>
        <v>04-08-2020</v>
      </c>
      <c r="Z5855" t="str">
        <f>"COS10200804 3299"</f>
        <v>COS10200804 3299</v>
      </c>
    </row>
    <row r="5856" spans="1:26" x14ac:dyDescent="0.25">
      <c r="A5856" t="str">
        <f t="shared" si="2401"/>
        <v>04-08-2020 12:44:36</v>
      </c>
      <c r="B5856" t="str">
        <f>"0000805066"</f>
        <v>0000805066</v>
      </c>
      <c r="C5856" t="str">
        <f t="shared" si="2402"/>
        <v>0000804968</v>
      </c>
      <c r="D5856" t="str">
        <f t="shared" si="2387"/>
        <v>73185</v>
      </c>
      <c r="E5856" t="str">
        <f t="shared" si="2388"/>
        <v>KFH-OPERATIONS DEPARTMENT</v>
      </c>
      <c r="F5856" t="str">
        <f t="shared" si="2389"/>
        <v>IBG</v>
      </c>
      <c r="G5856" t="str">
        <f t="shared" si="2398"/>
        <v>Refund COSHARE 10</v>
      </c>
      <c r="H5856" s="2">
        <v>281.5</v>
      </c>
      <c r="I5856" t="str">
        <f>"OWIN BIN BETER"</f>
        <v>OWIN BIN BETER</v>
      </c>
      <c r="J5856" t="str">
        <f t="shared" si="2384"/>
        <v>CIMB BANK / CIMB ISLAMIC BANK</v>
      </c>
      <c r="K5856" t="str">
        <f>"10050023015529"</f>
        <v>10050023015529</v>
      </c>
      <c r="L5856" t="str">
        <f t="shared" si="2399"/>
        <v>04-08-2020</v>
      </c>
      <c r="M5856" t="str">
        <f t="shared" si="2399"/>
        <v>04-08-2020</v>
      </c>
      <c r="N5856" t="str">
        <f t="shared" si="2390"/>
        <v>001105018356</v>
      </c>
      <c r="O5856" t="str">
        <f t="shared" si="2391"/>
        <v>MYR</v>
      </c>
      <c r="P5856" t="str">
        <f t="shared" si="2400"/>
        <v>NIL</v>
      </c>
      <c r="Q5856" t="str">
        <f t="shared" si="2400"/>
        <v>NIL</v>
      </c>
      <c r="R5856" t="str">
        <f t="shared" si="2378"/>
        <v>Accepted</v>
      </c>
      <c r="S5856" t="str">
        <f t="shared" si="2392"/>
        <v>Approved</v>
      </c>
      <c r="T5856" t="str">
        <f t="shared" si="2379"/>
        <v>10.20.8.188</v>
      </c>
      <c r="U5856" t="str">
        <f t="shared" si="2393"/>
        <v>AZRAD UMAR BIN SHAARI</v>
      </c>
      <c r="V5856" t="str">
        <f t="shared" si="2394"/>
        <v>FARHANA BINTI MUSTAPA</v>
      </c>
      <c r="W5856" t="str">
        <f t="shared" si="2395"/>
        <v>04-08-2020</v>
      </c>
      <c r="X5856" t="str">
        <f t="shared" si="2396"/>
        <v>RAZIMAH ANSAR AHMAD</v>
      </c>
      <c r="Y5856" t="str">
        <f t="shared" si="2397"/>
        <v>04-08-2020</v>
      </c>
      <c r="Z5856" t="str">
        <f>"COS10200804 3298"</f>
        <v>COS10200804 3298</v>
      </c>
    </row>
    <row r="5857" spans="1:26" x14ac:dyDescent="0.25">
      <c r="A5857" t="str">
        <f t="shared" si="2401"/>
        <v>04-08-2020 12:44:36</v>
      </c>
      <c r="B5857" t="str">
        <f>"0000805065"</f>
        <v>0000805065</v>
      </c>
      <c r="C5857" t="str">
        <f t="shared" si="2402"/>
        <v>0000804968</v>
      </c>
      <c r="D5857" t="str">
        <f t="shared" si="2387"/>
        <v>73185</v>
      </c>
      <c r="E5857" t="str">
        <f t="shared" si="2388"/>
        <v>KFH-OPERATIONS DEPARTMENT</v>
      </c>
      <c r="F5857" t="str">
        <f t="shared" si="2389"/>
        <v>IBG</v>
      </c>
      <c r="G5857" t="str">
        <f t="shared" si="2398"/>
        <v>Refund COSHARE 10</v>
      </c>
      <c r="H5857" s="2">
        <v>1578.25</v>
      </c>
      <c r="I5857" t="str">
        <f>"OTHMAN BIN ADAM"</f>
        <v>OTHMAN BIN ADAM</v>
      </c>
      <c r="J5857" t="str">
        <f t="shared" si="2384"/>
        <v>CIMB BANK / CIMB ISLAMIC BANK</v>
      </c>
      <c r="K5857" t="str">
        <f>"7605136763"</f>
        <v>7605136763</v>
      </c>
      <c r="L5857" t="str">
        <f t="shared" si="2399"/>
        <v>04-08-2020</v>
      </c>
      <c r="M5857" t="str">
        <f t="shared" si="2399"/>
        <v>04-08-2020</v>
      </c>
      <c r="N5857" t="str">
        <f t="shared" si="2390"/>
        <v>001105018356</v>
      </c>
      <c r="O5857" t="str">
        <f t="shared" si="2391"/>
        <v>MYR</v>
      </c>
      <c r="P5857" t="str">
        <f t="shared" si="2400"/>
        <v>NIL</v>
      </c>
      <c r="Q5857" t="str">
        <f t="shared" si="2400"/>
        <v>NIL</v>
      </c>
      <c r="R5857" t="str">
        <f t="shared" si="2378"/>
        <v>Accepted</v>
      </c>
      <c r="S5857" t="str">
        <f t="shared" si="2392"/>
        <v>Approved</v>
      </c>
      <c r="T5857" t="str">
        <f t="shared" si="2379"/>
        <v>10.20.8.188</v>
      </c>
      <c r="U5857" t="str">
        <f t="shared" si="2393"/>
        <v>AZRAD UMAR BIN SHAARI</v>
      </c>
      <c r="V5857" t="str">
        <f t="shared" si="2394"/>
        <v>FARHANA BINTI MUSTAPA</v>
      </c>
      <c r="W5857" t="str">
        <f t="shared" si="2395"/>
        <v>04-08-2020</v>
      </c>
      <c r="X5857" t="str">
        <f t="shared" si="2396"/>
        <v>RAZIMAH ANSAR AHMAD</v>
      </c>
      <c r="Y5857" t="str">
        <f t="shared" si="2397"/>
        <v>04-08-2020</v>
      </c>
      <c r="Z5857" t="str">
        <f>"COS10200804 3297"</f>
        <v>COS10200804 3297</v>
      </c>
    </row>
    <row r="5858" spans="1:26" x14ac:dyDescent="0.25">
      <c r="A5858" t="str">
        <f t="shared" si="2401"/>
        <v>04-08-2020 12:44:36</v>
      </c>
      <c r="B5858" t="str">
        <f>"0000805064"</f>
        <v>0000805064</v>
      </c>
      <c r="C5858" t="str">
        <f t="shared" si="2402"/>
        <v>0000804968</v>
      </c>
      <c r="D5858" t="str">
        <f t="shared" si="2387"/>
        <v>73185</v>
      </c>
      <c r="E5858" t="str">
        <f t="shared" si="2388"/>
        <v>KFH-OPERATIONS DEPARTMENT</v>
      </c>
      <c r="F5858" t="str">
        <f t="shared" si="2389"/>
        <v>IBG</v>
      </c>
      <c r="G5858" t="str">
        <f t="shared" si="2398"/>
        <v>Refund COSHARE 10</v>
      </c>
      <c r="H5858" s="2">
        <v>337.8</v>
      </c>
      <c r="I5858" t="str">
        <f>"OSMAN BIN GHANI"</f>
        <v>OSMAN BIN GHANI</v>
      </c>
      <c r="J5858" t="str">
        <f t="shared" si="2384"/>
        <v>CIMB BANK / CIMB ISLAMIC BANK</v>
      </c>
      <c r="K5858" t="str">
        <f>"10040066614522"</f>
        <v>10040066614522</v>
      </c>
      <c r="L5858" t="str">
        <f t="shared" si="2399"/>
        <v>04-08-2020</v>
      </c>
      <c r="M5858" t="str">
        <f t="shared" si="2399"/>
        <v>04-08-2020</v>
      </c>
      <c r="N5858" t="str">
        <f t="shared" si="2390"/>
        <v>001105018356</v>
      </c>
      <c r="O5858" t="str">
        <f t="shared" si="2391"/>
        <v>MYR</v>
      </c>
      <c r="P5858" t="str">
        <f t="shared" si="2400"/>
        <v>NIL</v>
      </c>
      <c r="Q5858" t="str">
        <f t="shared" si="2400"/>
        <v>NIL</v>
      </c>
      <c r="R5858" t="str">
        <f t="shared" ref="R5858:R5921" si="2403">"Accepted"</f>
        <v>Accepted</v>
      </c>
      <c r="S5858" t="str">
        <f t="shared" si="2392"/>
        <v>Approved</v>
      </c>
      <c r="T5858" t="str">
        <f t="shared" ref="T5858:T5921" si="2404">"10.20.8.188"</f>
        <v>10.20.8.188</v>
      </c>
      <c r="U5858" t="str">
        <f t="shared" si="2393"/>
        <v>AZRAD UMAR BIN SHAARI</v>
      </c>
      <c r="V5858" t="str">
        <f t="shared" si="2394"/>
        <v>FARHANA BINTI MUSTAPA</v>
      </c>
      <c r="W5858" t="str">
        <f t="shared" si="2395"/>
        <v>04-08-2020</v>
      </c>
      <c r="X5858" t="str">
        <f t="shared" si="2396"/>
        <v>RAZIMAH ANSAR AHMAD</v>
      </c>
      <c r="Y5858" t="str">
        <f t="shared" si="2397"/>
        <v>04-08-2020</v>
      </c>
      <c r="Z5858" t="str">
        <f>"COS10200804 3296"</f>
        <v>COS10200804 3296</v>
      </c>
    </row>
    <row r="5859" spans="1:26" x14ac:dyDescent="0.25">
      <c r="A5859" t="str">
        <f t="shared" si="2401"/>
        <v>04-08-2020 12:44:36</v>
      </c>
      <c r="B5859" t="str">
        <f>"0000805063"</f>
        <v>0000805063</v>
      </c>
      <c r="C5859" t="str">
        <f t="shared" si="2402"/>
        <v>0000804968</v>
      </c>
      <c r="D5859" t="str">
        <f t="shared" si="2387"/>
        <v>73185</v>
      </c>
      <c r="E5859" t="str">
        <f t="shared" si="2388"/>
        <v>KFH-OPERATIONS DEPARTMENT</v>
      </c>
      <c r="F5859" t="str">
        <f t="shared" si="2389"/>
        <v>IBG</v>
      </c>
      <c r="G5859" t="str">
        <f t="shared" si="2398"/>
        <v>Refund COSHARE 10</v>
      </c>
      <c r="H5859" s="2">
        <v>710</v>
      </c>
      <c r="I5859" t="str">
        <f>"OOI YING YING"</f>
        <v>OOI YING YING</v>
      </c>
      <c r="J5859" t="str">
        <f t="shared" si="2384"/>
        <v>CIMB BANK / CIMB ISLAMIC BANK</v>
      </c>
      <c r="K5859" t="str">
        <f>"08060069179526"</f>
        <v>08060069179526</v>
      </c>
      <c r="L5859" t="str">
        <f t="shared" si="2399"/>
        <v>04-08-2020</v>
      </c>
      <c r="M5859" t="str">
        <f t="shared" si="2399"/>
        <v>04-08-2020</v>
      </c>
      <c r="N5859" t="str">
        <f t="shared" si="2390"/>
        <v>001105018356</v>
      </c>
      <c r="O5859" t="str">
        <f t="shared" si="2391"/>
        <v>MYR</v>
      </c>
      <c r="P5859" t="str">
        <f t="shared" si="2400"/>
        <v>NIL</v>
      </c>
      <c r="Q5859" t="str">
        <f t="shared" si="2400"/>
        <v>NIL</v>
      </c>
      <c r="R5859" t="str">
        <f t="shared" si="2403"/>
        <v>Accepted</v>
      </c>
      <c r="S5859" t="str">
        <f t="shared" si="2392"/>
        <v>Approved</v>
      </c>
      <c r="T5859" t="str">
        <f t="shared" si="2404"/>
        <v>10.20.8.188</v>
      </c>
      <c r="U5859" t="str">
        <f t="shared" si="2393"/>
        <v>AZRAD UMAR BIN SHAARI</v>
      </c>
      <c r="V5859" t="str">
        <f t="shared" si="2394"/>
        <v>FARHANA BINTI MUSTAPA</v>
      </c>
      <c r="W5859" t="str">
        <f t="shared" si="2395"/>
        <v>04-08-2020</v>
      </c>
      <c r="X5859" t="str">
        <f t="shared" si="2396"/>
        <v>RAZIMAH ANSAR AHMAD</v>
      </c>
      <c r="Y5859" t="str">
        <f t="shared" si="2397"/>
        <v>04-08-2020</v>
      </c>
      <c r="Z5859" t="str">
        <f>"COS10200804 3295"</f>
        <v>COS10200804 3295</v>
      </c>
    </row>
    <row r="5860" spans="1:26" x14ac:dyDescent="0.25">
      <c r="A5860" t="str">
        <f t="shared" si="2401"/>
        <v>04-08-2020 12:44:36</v>
      </c>
      <c r="B5860" t="str">
        <f>"0000805062"</f>
        <v>0000805062</v>
      </c>
      <c r="C5860" t="str">
        <f t="shared" si="2402"/>
        <v>0000804968</v>
      </c>
      <c r="D5860" t="str">
        <f t="shared" si="2387"/>
        <v>73185</v>
      </c>
      <c r="E5860" t="str">
        <f t="shared" si="2388"/>
        <v>KFH-OPERATIONS DEPARTMENT</v>
      </c>
      <c r="F5860" t="str">
        <f t="shared" si="2389"/>
        <v>IBG</v>
      </c>
      <c r="G5860" t="str">
        <f t="shared" si="2398"/>
        <v>Refund COSHARE 10</v>
      </c>
      <c r="H5860" s="2">
        <v>76</v>
      </c>
      <c r="I5860" t="str">
        <f>"OMAR BIN OSMAN"</f>
        <v>OMAR BIN OSMAN</v>
      </c>
      <c r="J5860" t="str">
        <f t="shared" si="2384"/>
        <v>CIMB BANK / CIMB ISLAMIC BANK</v>
      </c>
      <c r="K5860" t="str">
        <f>"04060084359528"</f>
        <v>04060084359528</v>
      </c>
      <c r="L5860" t="str">
        <f t="shared" si="2399"/>
        <v>04-08-2020</v>
      </c>
      <c r="M5860" t="str">
        <f t="shared" si="2399"/>
        <v>04-08-2020</v>
      </c>
      <c r="N5860" t="str">
        <f t="shared" si="2390"/>
        <v>001105018356</v>
      </c>
      <c r="O5860" t="str">
        <f t="shared" si="2391"/>
        <v>MYR</v>
      </c>
      <c r="P5860" t="str">
        <f t="shared" si="2400"/>
        <v>NIL</v>
      </c>
      <c r="Q5860" t="str">
        <f t="shared" si="2400"/>
        <v>NIL</v>
      </c>
      <c r="R5860" t="str">
        <f t="shared" si="2403"/>
        <v>Accepted</v>
      </c>
      <c r="S5860" t="str">
        <f t="shared" si="2392"/>
        <v>Approved</v>
      </c>
      <c r="T5860" t="str">
        <f t="shared" si="2404"/>
        <v>10.20.8.188</v>
      </c>
      <c r="U5860" t="str">
        <f t="shared" si="2393"/>
        <v>AZRAD UMAR BIN SHAARI</v>
      </c>
      <c r="V5860" t="str">
        <f t="shared" si="2394"/>
        <v>FARHANA BINTI MUSTAPA</v>
      </c>
      <c r="W5860" t="str">
        <f t="shared" si="2395"/>
        <v>04-08-2020</v>
      </c>
      <c r="X5860" t="str">
        <f t="shared" si="2396"/>
        <v>RAZIMAH ANSAR AHMAD</v>
      </c>
      <c r="Y5860" t="str">
        <f t="shared" si="2397"/>
        <v>04-08-2020</v>
      </c>
      <c r="Z5860" t="str">
        <f>"COS10200804 3294"</f>
        <v>COS10200804 3294</v>
      </c>
    </row>
    <row r="5861" spans="1:26" x14ac:dyDescent="0.25">
      <c r="A5861" t="str">
        <f t="shared" si="2401"/>
        <v>04-08-2020 12:44:36</v>
      </c>
      <c r="B5861" t="str">
        <f>"0000805061"</f>
        <v>0000805061</v>
      </c>
      <c r="C5861" t="str">
        <f t="shared" si="2402"/>
        <v>0000804968</v>
      </c>
      <c r="D5861" t="str">
        <f t="shared" si="2387"/>
        <v>73185</v>
      </c>
      <c r="E5861" t="str">
        <f t="shared" si="2388"/>
        <v>KFH-OPERATIONS DEPARTMENT</v>
      </c>
      <c r="F5861" t="str">
        <f t="shared" si="2389"/>
        <v>IBG</v>
      </c>
      <c r="G5861" t="str">
        <f t="shared" si="2398"/>
        <v>Refund COSHARE 10</v>
      </c>
      <c r="H5861" s="2">
        <v>177.4</v>
      </c>
      <c r="I5861" t="str">
        <f>"NUWIN ANAK TENUAI"</f>
        <v>NUWIN ANAK TENUAI</v>
      </c>
      <c r="J5861" t="str">
        <f t="shared" si="2384"/>
        <v>CIMB BANK / CIMB ISLAMIC BANK</v>
      </c>
      <c r="K5861" t="str">
        <f>"11050094949528"</f>
        <v>11050094949528</v>
      </c>
      <c r="L5861" t="str">
        <f t="shared" si="2399"/>
        <v>04-08-2020</v>
      </c>
      <c r="M5861" t="str">
        <f t="shared" si="2399"/>
        <v>04-08-2020</v>
      </c>
      <c r="N5861" t="str">
        <f t="shared" si="2390"/>
        <v>001105018356</v>
      </c>
      <c r="O5861" t="str">
        <f t="shared" si="2391"/>
        <v>MYR</v>
      </c>
      <c r="P5861" t="str">
        <f t="shared" si="2400"/>
        <v>NIL</v>
      </c>
      <c r="Q5861" t="str">
        <f t="shared" si="2400"/>
        <v>NIL</v>
      </c>
      <c r="R5861" t="str">
        <f t="shared" si="2403"/>
        <v>Accepted</v>
      </c>
      <c r="S5861" t="str">
        <f t="shared" si="2392"/>
        <v>Approved</v>
      </c>
      <c r="T5861" t="str">
        <f t="shared" si="2404"/>
        <v>10.20.8.188</v>
      </c>
      <c r="U5861" t="str">
        <f t="shared" si="2393"/>
        <v>AZRAD UMAR BIN SHAARI</v>
      </c>
      <c r="V5861" t="str">
        <f t="shared" si="2394"/>
        <v>FARHANA BINTI MUSTAPA</v>
      </c>
      <c r="W5861" t="str">
        <f t="shared" si="2395"/>
        <v>04-08-2020</v>
      </c>
      <c r="X5861" t="str">
        <f t="shared" si="2396"/>
        <v>RAZIMAH ANSAR AHMAD</v>
      </c>
      <c r="Y5861" t="str">
        <f t="shared" si="2397"/>
        <v>04-08-2020</v>
      </c>
      <c r="Z5861" t="str">
        <f>"COS10200804 3293"</f>
        <v>COS10200804 3293</v>
      </c>
    </row>
    <row r="5862" spans="1:26" x14ac:dyDescent="0.25">
      <c r="A5862" t="str">
        <f t="shared" si="2401"/>
        <v>04-08-2020 12:44:36</v>
      </c>
      <c r="B5862" t="str">
        <f>"0000805060"</f>
        <v>0000805060</v>
      </c>
      <c r="C5862" t="str">
        <f t="shared" si="2402"/>
        <v>0000804968</v>
      </c>
      <c r="D5862" t="str">
        <f t="shared" si="2387"/>
        <v>73185</v>
      </c>
      <c r="E5862" t="str">
        <f t="shared" si="2388"/>
        <v>KFH-OPERATIONS DEPARTMENT</v>
      </c>
      <c r="F5862" t="str">
        <f t="shared" si="2389"/>
        <v>IBG</v>
      </c>
      <c r="G5862" t="str">
        <f t="shared" si="2398"/>
        <v>Refund COSHARE 10</v>
      </c>
      <c r="H5862" s="2">
        <v>1259.25</v>
      </c>
      <c r="I5862" t="str">
        <f>"NUURAULIA BINTI MD ISA"</f>
        <v>NUURAULIA BINTI MD ISA</v>
      </c>
      <c r="J5862" t="str">
        <f t="shared" si="2384"/>
        <v>CIMB BANK / CIMB ISLAMIC BANK</v>
      </c>
      <c r="K5862" t="str">
        <f>"14420068564522"</f>
        <v>14420068564522</v>
      </c>
      <c r="L5862" t="str">
        <f t="shared" si="2399"/>
        <v>04-08-2020</v>
      </c>
      <c r="M5862" t="str">
        <f t="shared" si="2399"/>
        <v>04-08-2020</v>
      </c>
      <c r="N5862" t="str">
        <f t="shared" si="2390"/>
        <v>001105018356</v>
      </c>
      <c r="O5862" t="str">
        <f t="shared" si="2391"/>
        <v>MYR</v>
      </c>
      <c r="P5862" t="str">
        <f t="shared" si="2400"/>
        <v>NIL</v>
      </c>
      <c r="Q5862" t="str">
        <f t="shared" si="2400"/>
        <v>NIL</v>
      </c>
      <c r="R5862" t="str">
        <f t="shared" si="2403"/>
        <v>Accepted</v>
      </c>
      <c r="S5862" t="str">
        <f t="shared" si="2392"/>
        <v>Approved</v>
      </c>
      <c r="T5862" t="str">
        <f t="shared" si="2404"/>
        <v>10.20.8.188</v>
      </c>
      <c r="U5862" t="str">
        <f t="shared" si="2393"/>
        <v>AZRAD UMAR BIN SHAARI</v>
      </c>
      <c r="V5862" t="str">
        <f t="shared" si="2394"/>
        <v>FARHANA BINTI MUSTAPA</v>
      </c>
      <c r="W5862" t="str">
        <f t="shared" si="2395"/>
        <v>04-08-2020</v>
      </c>
      <c r="X5862" t="str">
        <f t="shared" si="2396"/>
        <v>RAZIMAH ANSAR AHMAD</v>
      </c>
      <c r="Y5862" t="str">
        <f t="shared" si="2397"/>
        <v>04-08-2020</v>
      </c>
      <c r="Z5862" t="str">
        <f>"COS10200804 3292"</f>
        <v>COS10200804 3292</v>
      </c>
    </row>
    <row r="5863" spans="1:26" x14ac:dyDescent="0.25">
      <c r="A5863" t="str">
        <f t="shared" si="2401"/>
        <v>04-08-2020 12:44:36</v>
      </c>
      <c r="B5863" t="str">
        <f>"0000805059"</f>
        <v>0000805059</v>
      </c>
      <c r="C5863" t="str">
        <f t="shared" si="2402"/>
        <v>0000804968</v>
      </c>
      <c r="D5863" t="str">
        <f t="shared" si="2387"/>
        <v>73185</v>
      </c>
      <c r="E5863" t="str">
        <f t="shared" si="2388"/>
        <v>KFH-OPERATIONS DEPARTMENT</v>
      </c>
      <c r="F5863" t="str">
        <f t="shared" si="2389"/>
        <v>IBG</v>
      </c>
      <c r="G5863" t="str">
        <f t="shared" si="2398"/>
        <v>Refund COSHARE 10</v>
      </c>
      <c r="H5863" s="2">
        <v>820.25</v>
      </c>
      <c r="I5863" t="str">
        <f>"NURULHUDA BINTI AHMAD"</f>
        <v>NURULHUDA BINTI AHMAD</v>
      </c>
      <c r="J5863" t="str">
        <f t="shared" si="2384"/>
        <v>CIMB BANK / CIMB ISLAMIC BANK</v>
      </c>
      <c r="K5863" t="str">
        <f>"01120014835528"</f>
        <v>01120014835528</v>
      </c>
      <c r="L5863" t="str">
        <f t="shared" si="2399"/>
        <v>04-08-2020</v>
      </c>
      <c r="M5863" t="str">
        <f t="shared" si="2399"/>
        <v>04-08-2020</v>
      </c>
      <c r="N5863" t="str">
        <f t="shared" si="2390"/>
        <v>001105018356</v>
      </c>
      <c r="O5863" t="str">
        <f t="shared" si="2391"/>
        <v>MYR</v>
      </c>
      <c r="P5863" t="str">
        <f t="shared" si="2400"/>
        <v>NIL</v>
      </c>
      <c r="Q5863" t="str">
        <f t="shared" si="2400"/>
        <v>NIL</v>
      </c>
      <c r="R5863" t="str">
        <f t="shared" si="2403"/>
        <v>Accepted</v>
      </c>
      <c r="S5863" t="str">
        <f t="shared" si="2392"/>
        <v>Approved</v>
      </c>
      <c r="T5863" t="str">
        <f t="shared" si="2404"/>
        <v>10.20.8.188</v>
      </c>
      <c r="U5863" t="str">
        <f t="shared" si="2393"/>
        <v>AZRAD UMAR BIN SHAARI</v>
      </c>
      <c r="V5863" t="str">
        <f t="shared" si="2394"/>
        <v>FARHANA BINTI MUSTAPA</v>
      </c>
      <c r="W5863" t="str">
        <f t="shared" si="2395"/>
        <v>04-08-2020</v>
      </c>
      <c r="X5863" t="str">
        <f t="shared" si="2396"/>
        <v>RAZIMAH ANSAR AHMAD</v>
      </c>
      <c r="Y5863" t="str">
        <f t="shared" si="2397"/>
        <v>04-08-2020</v>
      </c>
      <c r="Z5863" t="str">
        <f>"COS10200804 3291"</f>
        <v>COS10200804 3291</v>
      </c>
    </row>
    <row r="5864" spans="1:26" x14ac:dyDescent="0.25">
      <c r="A5864" t="str">
        <f t="shared" si="2401"/>
        <v>04-08-2020 12:44:36</v>
      </c>
      <c r="B5864" t="str">
        <f>"0000805058"</f>
        <v>0000805058</v>
      </c>
      <c r="C5864" t="str">
        <f t="shared" si="2402"/>
        <v>0000804968</v>
      </c>
      <c r="D5864" t="str">
        <f t="shared" si="2387"/>
        <v>73185</v>
      </c>
      <c r="E5864" t="str">
        <f t="shared" si="2388"/>
        <v>KFH-OPERATIONS DEPARTMENT</v>
      </c>
      <c r="F5864" t="str">
        <f t="shared" si="2389"/>
        <v>IBG</v>
      </c>
      <c r="G5864" t="str">
        <f t="shared" si="2398"/>
        <v>Refund COSHARE 10</v>
      </c>
      <c r="H5864" s="2">
        <v>327.60000000000002</v>
      </c>
      <c r="I5864" t="str">
        <f>"NURULHAINI BINTI SHAPII"</f>
        <v>NURULHAINI BINTI SHAPII</v>
      </c>
      <c r="J5864" t="str">
        <f t="shared" si="2384"/>
        <v>CIMB BANK / CIMB ISLAMIC BANK</v>
      </c>
      <c r="K5864" t="str">
        <f>"7619663263"</f>
        <v>7619663263</v>
      </c>
      <c r="L5864" t="str">
        <f t="shared" si="2399"/>
        <v>04-08-2020</v>
      </c>
      <c r="M5864" t="str">
        <f t="shared" si="2399"/>
        <v>04-08-2020</v>
      </c>
      <c r="N5864" t="str">
        <f t="shared" si="2390"/>
        <v>001105018356</v>
      </c>
      <c r="O5864" t="str">
        <f t="shared" si="2391"/>
        <v>MYR</v>
      </c>
      <c r="P5864" t="str">
        <f t="shared" si="2400"/>
        <v>NIL</v>
      </c>
      <c r="Q5864" t="str">
        <f t="shared" si="2400"/>
        <v>NIL</v>
      </c>
      <c r="R5864" t="str">
        <f t="shared" si="2403"/>
        <v>Accepted</v>
      </c>
      <c r="S5864" t="str">
        <f t="shared" si="2392"/>
        <v>Approved</v>
      </c>
      <c r="T5864" t="str">
        <f t="shared" si="2404"/>
        <v>10.20.8.188</v>
      </c>
      <c r="U5864" t="str">
        <f t="shared" si="2393"/>
        <v>AZRAD UMAR BIN SHAARI</v>
      </c>
      <c r="V5864" t="str">
        <f t="shared" si="2394"/>
        <v>FARHANA BINTI MUSTAPA</v>
      </c>
      <c r="W5864" t="str">
        <f t="shared" si="2395"/>
        <v>04-08-2020</v>
      </c>
      <c r="X5864" t="str">
        <f t="shared" si="2396"/>
        <v>RAZIMAH ANSAR AHMAD</v>
      </c>
      <c r="Y5864" t="str">
        <f t="shared" si="2397"/>
        <v>04-08-2020</v>
      </c>
      <c r="Z5864" t="str">
        <f>"COS10200804 3290"</f>
        <v>COS10200804 3290</v>
      </c>
    </row>
    <row r="5865" spans="1:26" x14ac:dyDescent="0.25">
      <c r="A5865" t="str">
        <f t="shared" si="2401"/>
        <v>04-08-2020 12:44:36</v>
      </c>
      <c r="B5865" t="str">
        <f>"0000805057"</f>
        <v>0000805057</v>
      </c>
      <c r="C5865" t="str">
        <f t="shared" si="2402"/>
        <v>0000804968</v>
      </c>
      <c r="D5865" t="str">
        <f t="shared" si="2387"/>
        <v>73185</v>
      </c>
      <c r="E5865" t="str">
        <f t="shared" si="2388"/>
        <v>KFH-OPERATIONS DEPARTMENT</v>
      </c>
      <c r="F5865" t="str">
        <f t="shared" si="2389"/>
        <v>IBG</v>
      </c>
      <c r="G5865" t="str">
        <f t="shared" si="2398"/>
        <v>Refund COSHARE 10</v>
      </c>
      <c r="H5865" s="2">
        <v>327.60000000000002</v>
      </c>
      <c r="I5865" t="str">
        <f>"NURULHAINI BINTI SHAPII"</f>
        <v>NURULHAINI BINTI SHAPII</v>
      </c>
      <c r="J5865" t="str">
        <f t="shared" si="2384"/>
        <v>CIMB BANK / CIMB ISLAMIC BANK</v>
      </c>
      <c r="K5865" t="str">
        <f>"7619663263"</f>
        <v>7619663263</v>
      </c>
      <c r="L5865" t="str">
        <f t="shared" si="2399"/>
        <v>04-08-2020</v>
      </c>
      <c r="M5865" t="str">
        <f t="shared" si="2399"/>
        <v>04-08-2020</v>
      </c>
      <c r="N5865" t="str">
        <f t="shared" si="2390"/>
        <v>001105018356</v>
      </c>
      <c r="O5865" t="str">
        <f t="shared" si="2391"/>
        <v>MYR</v>
      </c>
      <c r="P5865" t="str">
        <f t="shared" si="2400"/>
        <v>NIL</v>
      </c>
      <c r="Q5865" t="str">
        <f t="shared" si="2400"/>
        <v>NIL</v>
      </c>
      <c r="R5865" t="str">
        <f t="shared" si="2403"/>
        <v>Accepted</v>
      </c>
      <c r="S5865" t="str">
        <f t="shared" si="2392"/>
        <v>Approved</v>
      </c>
      <c r="T5865" t="str">
        <f t="shared" si="2404"/>
        <v>10.20.8.188</v>
      </c>
      <c r="U5865" t="str">
        <f t="shared" si="2393"/>
        <v>AZRAD UMAR BIN SHAARI</v>
      </c>
      <c r="V5865" t="str">
        <f t="shared" si="2394"/>
        <v>FARHANA BINTI MUSTAPA</v>
      </c>
      <c r="W5865" t="str">
        <f t="shared" si="2395"/>
        <v>04-08-2020</v>
      </c>
      <c r="X5865" t="str">
        <f t="shared" si="2396"/>
        <v>RAZIMAH ANSAR AHMAD</v>
      </c>
      <c r="Y5865" t="str">
        <f t="shared" si="2397"/>
        <v>04-08-2020</v>
      </c>
      <c r="Z5865" t="str">
        <f>"COS10200804 3289"</f>
        <v>COS10200804 3289</v>
      </c>
    </row>
    <row r="5866" spans="1:26" x14ac:dyDescent="0.25">
      <c r="A5866" t="str">
        <f t="shared" si="2401"/>
        <v>04-08-2020 12:44:36</v>
      </c>
      <c r="B5866" t="str">
        <f>"0000805056"</f>
        <v>0000805056</v>
      </c>
      <c r="C5866" t="str">
        <f t="shared" si="2402"/>
        <v>0000804968</v>
      </c>
      <c r="D5866" t="str">
        <f t="shared" si="2387"/>
        <v>73185</v>
      </c>
      <c r="E5866" t="str">
        <f t="shared" si="2388"/>
        <v>KFH-OPERATIONS DEPARTMENT</v>
      </c>
      <c r="F5866" t="str">
        <f t="shared" si="2389"/>
        <v>IBG</v>
      </c>
      <c r="G5866" t="str">
        <f t="shared" si="2398"/>
        <v>Refund COSHARE 10</v>
      </c>
      <c r="H5866" s="2">
        <v>503.7</v>
      </c>
      <c r="I5866" t="str">
        <f>"NURULAZMI BIN ZULKORNAIN"</f>
        <v>NURULAZMI BIN ZULKORNAIN</v>
      </c>
      <c r="J5866" t="str">
        <f t="shared" si="2384"/>
        <v>CIMB BANK / CIMB ISLAMIC BANK</v>
      </c>
      <c r="K5866" t="str">
        <f>"12330084977528"</f>
        <v>12330084977528</v>
      </c>
      <c r="L5866" t="str">
        <f t="shared" si="2399"/>
        <v>04-08-2020</v>
      </c>
      <c r="M5866" t="str">
        <f t="shared" si="2399"/>
        <v>04-08-2020</v>
      </c>
      <c r="N5866" t="str">
        <f t="shared" si="2390"/>
        <v>001105018356</v>
      </c>
      <c r="O5866" t="str">
        <f t="shared" si="2391"/>
        <v>MYR</v>
      </c>
      <c r="P5866" t="str">
        <f t="shared" si="2400"/>
        <v>NIL</v>
      </c>
      <c r="Q5866" t="str">
        <f t="shared" si="2400"/>
        <v>NIL</v>
      </c>
      <c r="R5866" t="str">
        <f t="shared" si="2403"/>
        <v>Accepted</v>
      </c>
      <c r="S5866" t="str">
        <f t="shared" si="2392"/>
        <v>Approved</v>
      </c>
      <c r="T5866" t="str">
        <f t="shared" si="2404"/>
        <v>10.20.8.188</v>
      </c>
      <c r="U5866" t="str">
        <f t="shared" si="2393"/>
        <v>AZRAD UMAR BIN SHAARI</v>
      </c>
      <c r="V5866" t="str">
        <f t="shared" si="2394"/>
        <v>FARHANA BINTI MUSTAPA</v>
      </c>
      <c r="W5866" t="str">
        <f t="shared" si="2395"/>
        <v>04-08-2020</v>
      </c>
      <c r="X5866" t="str">
        <f t="shared" si="2396"/>
        <v>RAZIMAH ANSAR AHMAD</v>
      </c>
      <c r="Y5866" t="str">
        <f t="shared" si="2397"/>
        <v>04-08-2020</v>
      </c>
      <c r="Z5866" t="str">
        <f>"COS10200804 3288"</f>
        <v>COS10200804 3288</v>
      </c>
    </row>
    <row r="5867" spans="1:26" x14ac:dyDescent="0.25">
      <c r="A5867" t="str">
        <f t="shared" si="2401"/>
        <v>04-08-2020 12:44:36</v>
      </c>
      <c r="B5867" t="str">
        <f>"0000805055"</f>
        <v>0000805055</v>
      </c>
      <c r="C5867" t="str">
        <f t="shared" si="2402"/>
        <v>0000804968</v>
      </c>
      <c r="D5867" t="str">
        <f t="shared" si="2387"/>
        <v>73185</v>
      </c>
      <c r="E5867" t="str">
        <f t="shared" si="2388"/>
        <v>KFH-OPERATIONS DEPARTMENT</v>
      </c>
      <c r="F5867" t="str">
        <f t="shared" si="2389"/>
        <v>IBG</v>
      </c>
      <c r="G5867" t="str">
        <f t="shared" si="2398"/>
        <v>Refund COSHARE 10</v>
      </c>
      <c r="H5867" s="2">
        <v>145</v>
      </c>
      <c r="I5867" t="str">
        <f>"NURUL ZAWIN NAJIHA BINTI KHAIRUDIN"</f>
        <v>NURUL ZAWIN NAJIHA BINTI KHAIRUDIN</v>
      </c>
      <c r="J5867" t="str">
        <f t="shared" si="2384"/>
        <v>CIMB BANK / CIMB ISLAMIC BANK</v>
      </c>
      <c r="K5867" t="str">
        <f>"12360021017527"</f>
        <v>12360021017527</v>
      </c>
      <c r="L5867" t="str">
        <f t="shared" ref="L5867:M5886" si="2405">"04-08-2020"</f>
        <v>04-08-2020</v>
      </c>
      <c r="M5867" t="str">
        <f t="shared" si="2405"/>
        <v>04-08-2020</v>
      </c>
      <c r="N5867" t="str">
        <f t="shared" si="2390"/>
        <v>001105018356</v>
      </c>
      <c r="O5867" t="str">
        <f t="shared" si="2391"/>
        <v>MYR</v>
      </c>
      <c r="P5867" t="str">
        <f t="shared" ref="P5867:Q5886" si="2406">"NIL"</f>
        <v>NIL</v>
      </c>
      <c r="Q5867" t="str">
        <f t="shared" si="2406"/>
        <v>NIL</v>
      </c>
      <c r="R5867" t="str">
        <f t="shared" si="2403"/>
        <v>Accepted</v>
      </c>
      <c r="S5867" t="str">
        <f t="shared" si="2392"/>
        <v>Approved</v>
      </c>
      <c r="T5867" t="str">
        <f t="shared" si="2404"/>
        <v>10.20.8.188</v>
      </c>
      <c r="U5867" t="str">
        <f t="shared" si="2393"/>
        <v>AZRAD UMAR BIN SHAARI</v>
      </c>
      <c r="V5867" t="str">
        <f t="shared" si="2394"/>
        <v>FARHANA BINTI MUSTAPA</v>
      </c>
      <c r="W5867" t="str">
        <f t="shared" si="2395"/>
        <v>04-08-2020</v>
      </c>
      <c r="X5867" t="str">
        <f t="shared" si="2396"/>
        <v>RAZIMAH ANSAR AHMAD</v>
      </c>
      <c r="Y5867" t="str">
        <f t="shared" si="2397"/>
        <v>04-08-2020</v>
      </c>
      <c r="Z5867" t="str">
        <f>"COS10200804 3287"</f>
        <v>COS10200804 3287</v>
      </c>
    </row>
    <row r="5868" spans="1:26" x14ac:dyDescent="0.25">
      <c r="A5868" t="str">
        <f t="shared" si="2401"/>
        <v>04-08-2020 12:44:36</v>
      </c>
      <c r="B5868" t="str">
        <f>"0000805054"</f>
        <v>0000805054</v>
      </c>
      <c r="C5868" t="str">
        <f t="shared" si="2402"/>
        <v>0000804968</v>
      </c>
      <c r="D5868" t="str">
        <f t="shared" si="2387"/>
        <v>73185</v>
      </c>
      <c r="E5868" t="str">
        <f t="shared" si="2388"/>
        <v>KFH-OPERATIONS DEPARTMENT</v>
      </c>
      <c r="F5868" t="str">
        <f t="shared" si="2389"/>
        <v>IBG</v>
      </c>
      <c r="G5868" t="str">
        <f t="shared" si="2398"/>
        <v>Refund COSHARE 10</v>
      </c>
      <c r="H5868" s="2">
        <v>46</v>
      </c>
      <c r="I5868" t="str">
        <f>"NURUL NOR HIDAYU BINTI AMAN SHAH"</f>
        <v>NURUL NOR HIDAYU BINTI AMAN SHAH</v>
      </c>
      <c r="J5868" t="str">
        <f t="shared" si="2384"/>
        <v>CIMB BANK / CIMB ISLAMIC BANK</v>
      </c>
      <c r="K5868" t="str">
        <f>"12530082730528"</f>
        <v>12530082730528</v>
      </c>
      <c r="L5868" t="str">
        <f t="shared" si="2405"/>
        <v>04-08-2020</v>
      </c>
      <c r="M5868" t="str">
        <f t="shared" si="2405"/>
        <v>04-08-2020</v>
      </c>
      <c r="N5868" t="str">
        <f t="shared" si="2390"/>
        <v>001105018356</v>
      </c>
      <c r="O5868" t="str">
        <f t="shared" si="2391"/>
        <v>MYR</v>
      </c>
      <c r="P5868" t="str">
        <f t="shared" si="2406"/>
        <v>NIL</v>
      </c>
      <c r="Q5868" t="str">
        <f t="shared" si="2406"/>
        <v>NIL</v>
      </c>
      <c r="R5868" t="str">
        <f t="shared" si="2403"/>
        <v>Accepted</v>
      </c>
      <c r="S5868" t="str">
        <f t="shared" si="2392"/>
        <v>Approved</v>
      </c>
      <c r="T5868" t="str">
        <f t="shared" si="2404"/>
        <v>10.20.8.188</v>
      </c>
      <c r="U5868" t="str">
        <f t="shared" si="2393"/>
        <v>AZRAD UMAR BIN SHAARI</v>
      </c>
      <c r="V5868" t="str">
        <f t="shared" si="2394"/>
        <v>FARHANA BINTI MUSTAPA</v>
      </c>
      <c r="W5868" t="str">
        <f t="shared" si="2395"/>
        <v>04-08-2020</v>
      </c>
      <c r="X5868" t="str">
        <f t="shared" si="2396"/>
        <v>RAZIMAH ANSAR AHMAD</v>
      </c>
      <c r="Y5868" t="str">
        <f t="shared" si="2397"/>
        <v>04-08-2020</v>
      </c>
      <c r="Z5868" t="str">
        <f>"COS10200804 3286"</f>
        <v>COS10200804 3286</v>
      </c>
    </row>
    <row r="5869" spans="1:26" x14ac:dyDescent="0.25">
      <c r="A5869" t="str">
        <f t="shared" si="2401"/>
        <v>04-08-2020 12:44:36</v>
      </c>
      <c r="B5869" t="str">
        <f>"0000805053"</f>
        <v>0000805053</v>
      </c>
      <c r="C5869" t="str">
        <f t="shared" si="2402"/>
        <v>0000804968</v>
      </c>
      <c r="D5869" t="str">
        <f t="shared" si="2387"/>
        <v>73185</v>
      </c>
      <c r="E5869" t="str">
        <f t="shared" si="2388"/>
        <v>KFH-OPERATIONS DEPARTMENT</v>
      </c>
      <c r="F5869" t="str">
        <f t="shared" si="2389"/>
        <v>IBG</v>
      </c>
      <c r="G5869" t="str">
        <f t="shared" si="2398"/>
        <v>Refund COSHARE 10</v>
      </c>
      <c r="H5869" s="2">
        <v>987</v>
      </c>
      <c r="I5869" t="str">
        <f>"NURUL IZZAH BINTI ZAKARIA"</f>
        <v>NURUL IZZAH BINTI ZAKARIA</v>
      </c>
      <c r="J5869" t="str">
        <f t="shared" si="2384"/>
        <v>CIMB BANK / CIMB ISLAMIC BANK</v>
      </c>
      <c r="K5869" t="str">
        <f>"14420061228526"</f>
        <v>14420061228526</v>
      </c>
      <c r="L5869" t="str">
        <f t="shared" si="2405"/>
        <v>04-08-2020</v>
      </c>
      <c r="M5869" t="str">
        <f t="shared" si="2405"/>
        <v>04-08-2020</v>
      </c>
      <c r="N5869" t="str">
        <f t="shared" si="2390"/>
        <v>001105018356</v>
      </c>
      <c r="O5869" t="str">
        <f t="shared" si="2391"/>
        <v>MYR</v>
      </c>
      <c r="P5869" t="str">
        <f t="shared" si="2406"/>
        <v>NIL</v>
      </c>
      <c r="Q5869" t="str">
        <f t="shared" si="2406"/>
        <v>NIL</v>
      </c>
      <c r="R5869" t="str">
        <f t="shared" si="2403"/>
        <v>Accepted</v>
      </c>
      <c r="S5869" t="str">
        <f t="shared" si="2392"/>
        <v>Approved</v>
      </c>
      <c r="T5869" t="str">
        <f t="shared" si="2404"/>
        <v>10.20.8.188</v>
      </c>
      <c r="U5869" t="str">
        <f t="shared" si="2393"/>
        <v>AZRAD UMAR BIN SHAARI</v>
      </c>
      <c r="V5869" t="str">
        <f t="shared" si="2394"/>
        <v>FARHANA BINTI MUSTAPA</v>
      </c>
      <c r="W5869" t="str">
        <f t="shared" si="2395"/>
        <v>04-08-2020</v>
      </c>
      <c r="X5869" t="str">
        <f t="shared" si="2396"/>
        <v>RAZIMAH ANSAR AHMAD</v>
      </c>
      <c r="Y5869" t="str">
        <f t="shared" si="2397"/>
        <v>04-08-2020</v>
      </c>
      <c r="Z5869" t="str">
        <f>"COS10200804 3285"</f>
        <v>COS10200804 3285</v>
      </c>
    </row>
    <row r="5870" spans="1:26" x14ac:dyDescent="0.25">
      <c r="A5870" t="str">
        <f t="shared" si="2401"/>
        <v>04-08-2020 12:44:36</v>
      </c>
      <c r="B5870" t="str">
        <f>"0000805052"</f>
        <v>0000805052</v>
      </c>
      <c r="C5870" t="str">
        <f t="shared" si="2402"/>
        <v>0000804968</v>
      </c>
      <c r="D5870" t="str">
        <f t="shared" si="2387"/>
        <v>73185</v>
      </c>
      <c r="E5870" t="str">
        <f t="shared" si="2388"/>
        <v>KFH-OPERATIONS DEPARTMENT</v>
      </c>
      <c r="F5870" t="str">
        <f t="shared" si="2389"/>
        <v>IBG</v>
      </c>
      <c r="G5870" t="str">
        <f t="shared" si="2398"/>
        <v>Refund COSHARE 10</v>
      </c>
      <c r="H5870" s="2">
        <v>847.9</v>
      </c>
      <c r="I5870" t="str">
        <f>"NURUL HUDA BINTI MOHD ARIFFIN"</f>
        <v>NURUL HUDA BINTI MOHD ARIFFIN</v>
      </c>
      <c r="J5870" t="str">
        <f t="shared" si="2384"/>
        <v>CIMB BANK / CIMB ISLAMIC BANK</v>
      </c>
      <c r="K5870" t="str">
        <f>"05080082116529"</f>
        <v>05080082116529</v>
      </c>
      <c r="L5870" t="str">
        <f t="shared" si="2405"/>
        <v>04-08-2020</v>
      </c>
      <c r="M5870" t="str">
        <f t="shared" si="2405"/>
        <v>04-08-2020</v>
      </c>
      <c r="N5870" t="str">
        <f t="shared" si="2390"/>
        <v>001105018356</v>
      </c>
      <c r="O5870" t="str">
        <f t="shared" si="2391"/>
        <v>MYR</v>
      </c>
      <c r="P5870" t="str">
        <f t="shared" si="2406"/>
        <v>NIL</v>
      </c>
      <c r="Q5870" t="str">
        <f t="shared" si="2406"/>
        <v>NIL</v>
      </c>
      <c r="R5870" t="str">
        <f t="shared" si="2403"/>
        <v>Accepted</v>
      </c>
      <c r="S5870" t="str">
        <f t="shared" si="2392"/>
        <v>Approved</v>
      </c>
      <c r="T5870" t="str">
        <f t="shared" si="2404"/>
        <v>10.20.8.188</v>
      </c>
      <c r="U5870" t="str">
        <f t="shared" si="2393"/>
        <v>AZRAD UMAR BIN SHAARI</v>
      </c>
      <c r="V5870" t="str">
        <f t="shared" si="2394"/>
        <v>FARHANA BINTI MUSTAPA</v>
      </c>
      <c r="W5870" t="str">
        <f t="shared" si="2395"/>
        <v>04-08-2020</v>
      </c>
      <c r="X5870" t="str">
        <f t="shared" si="2396"/>
        <v>RAZIMAH ANSAR AHMAD</v>
      </c>
      <c r="Y5870" t="str">
        <f t="shared" si="2397"/>
        <v>04-08-2020</v>
      </c>
      <c r="Z5870" t="str">
        <f>"COS10200804 3284"</f>
        <v>COS10200804 3284</v>
      </c>
    </row>
    <row r="5871" spans="1:26" x14ac:dyDescent="0.25">
      <c r="A5871" t="str">
        <f t="shared" si="2401"/>
        <v>04-08-2020 12:44:36</v>
      </c>
      <c r="B5871" t="str">
        <f>"0000805051"</f>
        <v>0000805051</v>
      </c>
      <c r="C5871" t="str">
        <f t="shared" si="2402"/>
        <v>0000804968</v>
      </c>
      <c r="D5871" t="str">
        <f t="shared" si="2387"/>
        <v>73185</v>
      </c>
      <c r="E5871" t="str">
        <f t="shared" si="2388"/>
        <v>KFH-OPERATIONS DEPARTMENT</v>
      </c>
      <c r="F5871" t="str">
        <f t="shared" si="2389"/>
        <v>IBG</v>
      </c>
      <c r="G5871" t="str">
        <f t="shared" si="2398"/>
        <v>Refund COSHARE 10</v>
      </c>
      <c r="H5871" s="2">
        <v>251.85</v>
      </c>
      <c r="I5871" t="str">
        <f>"NURUL HUDA BINTI HARUNJUSOH"</f>
        <v>NURUL HUDA BINTI HARUNJUSOH</v>
      </c>
      <c r="J5871" t="str">
        <f t="shared" si="2384"/>
        <v>CIMB BANK / CIMB ISLAMIC BANK</v>
      </c>
      <c r="K5871" t="str">
        <f>"09020110688526"</f>
        <v>09020110688526</v>
      </c>
      <c r="L5871" t="str">
        <f t="shared" si="2405"/>
        <v>04-08-2020</v>
      </c>
      <c r="M5871" t="str">
        <f t="shared" si="2405"/>
        <v>04-08-2020</v>
      </c>
      <c r="N5871" t="str">
        <f t="shared" si="2390"/>
        <v>001105018356</v>
      </c>
      <c r="O5871" t="str">
        <f t="shared" si="2391"/>
        <v>MYR</v>
      </c>
      <c r="P5871" t="str">
        <f t="shared" si="2406"/>
        <v>NIL</v>
      </c>
      <c r="Q5871" t="str">
        <f t="shared" si="2406"/>
        <v>NIL</v>
      </c>
      <c r="R5871" t="str">
        <f t="shared" si="2403"/>
        <v>Accepted</v>
      </c>
      <c r="S5871" t="str">
        <f t="shared" si="2392"/>
        <v>Approved</v>
      </c>
      <c r="T5871" t="str">
        <f t="shared" si="2404"/>
        <v>10.20.8.188</v>
      </c>
      <c r="U5871" t="str">
        <f t="shared" si="2393"/>
        <v>AZRAD UMAR BIN SHAARI</v>
      </c>
      <c r="V5871" t="str">
        <f t="shared" si="2394"/>
        <v>FARHANA BINTI MUSTAPA</v>
      </c>
      <c r="W5871" t="str">
        <f t="shared" si="2395"/>
        <v>04-08-2020</v>
      </c>
      <c r="X5871" t="str">
        <f t="shared" si="2396"/>
        <v>RAZIMAH ANSAR AHMAD</v>
      </c>
      <c r="Y5871" t="str">
        <f t="shared" si="2397"/>
        <v>04-08-2020</v>
      </c>
      <c r="Z5871" t="str">
        <f>"COS10200804 3283"</f>
        <v>COS10200804 3283</v>
      </c>
    </row>
    <row r="5872" spans="1:26" x14ac:dyDescent="0.25">
      <c r="A5872" t="str">
        <f t="shared" si="2401"/>
        <v>04-08-2020 12:44:36</v>
      </c>
      <c r="B5872" t="str">
        <f>"0000805050"</f>
        <v>0000805050</v>
      </c>
      <c r="C5872" t="str">
        <f t="shared" si="2402"/>
        <v>0000804968</v>
      </c>
      <c r="D5872" t="str">
        <f t="shared" si="2387"/>
        <v>73185</v>
      </c>
      <c r="E5872" t="str">
        <f t="shared" si="2388"/>
        <v>KFH-OPERATIONS DEPARTMENT</v>
      </c>
      <c r="F5872" t="str">
        <f t="shared" si="2389"/>
        <v>IBG</v>
      </c>
      <c r="G5872" t="str">
        <f t="shared" si="2398"/>
        <v>Refund COSHARE 10</v>
      </c>
      <c r="H5872" s="2">
        <v>982.25</v>
      </c>
      <c r="I5872" t="str">
        <f>"NURUL FAUZANI BINTI MOHD HUSSIN"</f>
        <v>NURUL FAUZANI BINTI MOHD HUSSIN</v>
      </c>
      <c r="J5872" t="str">
        <f t="shared" si="2384"/>
        <v>CIMB BANK / CIMB ISLAMIC BANK</v>
      </c>
      <c r="K5872" t="str">
        <f>"14400085615522"</f>
        <v>14400085615522</v>
      </c>
      <c r="L5872" t="str">
        <f t="shared" si="2405"/>
        <v>04-08-2020</v>
      </c>
      <c r="M5872" t="str">
        <f t="shared" si="2405"/>
        <v>04-08-2020</v>
      </c>
      <c r="N5872" t="str">
        <f t="shared" si="2390"/>
        <v>001105018356</v>
      </c>
      <c r="O5872" t="str">
        <f t="shared" si="2391"/>
        <v>MYR</v>
      </c>
      <c r="P5872" t="str">
        <f t="shared" si="2406"/>
        <v>NIL</v>
      </c>
      <c r="Q5872" t="str">
        <f t="shared" si="2406"/>
        <v>NIL</v>
      </c>
      <c r="R5872" t="str">
        <f t="shared" si="2403"/>
        <v>Accepted</v>
      </c>
      <c r="S5872" t="str">
        <f t="shared" si="2392"/>
        <v>Approved</v>
      </c>
      <c r="T5872" t="str">
        <f t="shared" si="2404"/>
        <v>10.20.8.188</v>
      </c>
      <c r="U5872" t="str">
        <f t="shared" si="2393"/>
        <v>AZRAD UMAR BIN SHAARI</v>
      </c>
      <c r="V5872" t="str">
        <f t="shared" si="2394"/>
        <v>FARHANA BINTI MUSTAPA</v>
      </c>
      <c r="W5872" t="str">
        <f t="shared" si="2395"/>
        <v>04-08-2020</v>
      </c>
      <c r="X5872" t="str">
        <f t="shared" si="2396"/>
        <v>RAZIMAH ANSAR AHMAD</v>
      </c>
      <c r="Y5872" t="str">
        <f t="shared" si="2397"/>
        <v>04-08-2020</v>
      </c>
      <c r="Z5872" t="str">
        <f>"COS10200804 3282"</f>
        <v>COS10200804 3282</v>
      </c>
    </row>
    <row r="5873" spans="1:26" x14ac:dyDescent="0.25">
      <c r="A5873" t="str">
        <f t="shared" si="2401"/>
        <v>04-08-2020 12:44:36</v>
      </c>
      <c r="B5873" t="str">
        <f>"0000805049"</f>
        <v>0000805049</v>
      </c>
      <c r="C5873" t="str">
        <f t="shared" si="2402"/>
        <v>0000804968</v>
      </c>
      <c r="D5873" t="str">
        <f t="shared" si="2387"/>
        <v>73185</v>
      </c>
      <c r="E5873" t="str">
        <f t="shared" si="2388"/>
        <v>KFH-OPERATIONS DEPARTMENT</v>
      </c>
      <c r="F5873" t="str">
        <f t="shared" si="2389"/>
        <v>IBG</v>
      </c>
      <c r="G5873" t="str">
        <f t="shared" si="2398"/>
        <v>Refund COSHARE 10</v>
      </c>
      <c r="H5873" s="2">
        <v>226.7</v>
      </c>
      <c r="I5873" t="str">
        <f>"NURUL BALQIAH BINTI ROSLAN"</f>
        <v>NURUL BALQIAH BINTI ROSLAN</v>
      </c>
      <c r="J5873" t="str">
        <f t="shared" si="2384"/>
        <v>CIMB BANK / CIMB ISLAMIC BANK</v>
      </c>
      <c r="K5873" t="str">
        <f>"06030813976524"</f>
        <v>06030813976524</v>
      </c>
      <c r="L5873" t="str">
        <f t="shared" si="2405"/>
        <v>04-08-2020</v>
      </c>
      <c r="M5873" t="str">
        <f t="shared" si="2405"/>
        <v>04-08-2020</v>
      </c>
      <c r="N5873" t="str">
        <f t="shared" si="2390"/>
        <v>001105018356</v>
      </c>
      <c r="O5873" t="str">
        <f t="shared" si="2391"/>
        <v>MYR</v>
      </c>
      <c r="P5873" t="str">
        <f t="shared" si="2406"/>
        <v>NIL</v>
      </c>
      <c r="Q5873" t="str">
        <f t="shared" si="2406"/>
        <v>NIL</v>
      </c>
      <c r="R5873" t="str">
        <f t="shared" si="2403"/>
        <v>Accepted</v>
      </c>
      <c r="S5873" t="str">
        <f t="shared" si="2392"/>
        <v>Approved</v>
      </c>
      <c r="T5873" t="str">
        <f t="shared" si="2404"/>
        <v>10.20.8.188</v>
      </c>
      <c r="U5873" t="str">
        <f t="shared" si="2393"/>
        <v>AZRAD UMAR BIN SHAARI</v>
      </c>
      <c r="V5873" t="str">
        <f t="shared" si="2394"/>
        <v>FARHANA BINTI MUSTAPA</v>
      </c>
      <c r="W5873" t="str">
        <f t="shared" si="2395"/>
        <v>04-08-2020</v>
      </c>
      <c r="X5873" t="str">
        <f t="shared" si="2396"/>
        <v>RAZIMAH ANSAR AHMAD</v>
      </c>
      <c r="Y5873" t="str">
        <f t="shared" si="2397"/>
        <v>04-08-2020</v>
      </c>
      <c r="Z5873" t="str">
        <f>"COS10200804 3281"</f>
        <v>COS10200804 3281</v>
      </c>
    </row>
    <row r="5874" spans="1:26" x14ac:dyDescent="0.25">
      <c r="A5874" t="str">
        <f t="shared" si="2401"/>
        <v>04-08-2020 12:44:36</v>
      </c>
      <c r="B5874" t="str">
        <f>"0000805048"</f>
        <v>0000805048</v>
      </c>
      <c r="C5874" t="str">
        <f t="shared" si="2402"/>
        <v>0000804968</v>
      </c>
      <c r="D5874" t="str">
        <f t="shared" si="2387"/>
        <v>73185</v>
      </c>
      <c r="E5874" t="str">
        <f t="shared" si="2388"/>
        <v>KFH-OPERATIONS DEPARTMENT</v>
      </c>
      <c r="F5874" t="str">
        <f t="shared" si="2389"/>
        <v>IBG</v>
      </c>
      <c r="G5874" t="str">
        <f t="shared" si="2398"/>
        <v>Refund COSHARE 10</v>
      </c>
      <c r="H5874" s="2">
        <v>293.85000000000002</v>
      </c>
      <c r="I5874" t="str">
        <f>"NURUL AIDYLLA BINTI YAACOB"</f>
        <v>NURUL AIDYLLA BINTI YAACOB</v>
      </c>
      <c r="J5874" t="str">
        <f t="shared" si="2384"/>
        <v>CIMB BANK / CIMB ISLAMIC BANK</v>
      </c>
      <c r="K5874" t="str">
        <f>"7029033718"</f>
        <v>7029033718</v>
      </c>
      <c r="L5874" t="str">
        <f t="shared" si="2405"/>
        <v>04-08-2020</v>
      </c>
      <c r="M5874" t="str">
        <f t="shared" si="2405"/>
        <v>04-08-2020</v>
      </c>
      <c r="N5874" t="str">
        <f t="shared" si="2390"/>
        <v>001105018356</v>
      </c>
      <c r="O5874" t="str">
        <f t="shared" si="2391"/>
        <v>MYR</v>
      </c>
      <c r="P5874" t="str">
        <f t="shared" si="2406"/>
        <v>NIL</v>
      </c>
      <c r="Q5874" t="str">
        <f t="shared" si="2406"/>
        <v>NIL</v>
      </c>
      <c r="R5874" t="str">
        <f t="shared" si="2403"/>
        <v>Accepted</v>
      </c>
      <c r="S5874" t="str">
        <f t="shared" si="2392"/>
        <v>Approved</v>
      </c>
      <c r="T5874" t="str">
        <f t="shared" si="2404"/>
        <v>10.20.8.188</v>
      </c>
      <c r="U5874" t="str">
        <f t="shared" si="2393"/>
        <v>AZRAD UMAR BIN SHAARI</v>
      </c>
      <c r="V5874" t="str">
        <f t="shared" si="2394"/>
        <v>FARHANA BINTI MUSTAPA</v>
      </c>
      <c r="W5874" t="str">
        <f t="shared" si="2395"/>
        <v>04-08-2020</v>
      </c>
      <c r="X5874" t="str">
        <f t="shared" si="2396"/>
        <v>RAZIMAH ANSAR AHMAD</v>
      </c>
      <c r="Y5874" t="str">
        <f t="shared" si="2397"/>
        <v>04-08-2020</v>
      </c>
      <c r="Z5874" t="str">
        <f>"COS10200804 3280"</f>
        <v>COS10200804 3280</v>
      </c>
    </row>
    <row r="5875" spans="1:26" x14ac:dyDescent="0.25">
      <c r="A5875" t="str">
        <f t="shared" si="2401"/>
        <v>04-08-2020 12:44:36</v>
      </c>
      <c r="B5875" t="str">
        <f>"0000805047"</f>
        <v>0000805047</v>
      </c>
      <c r="C5875" t="str">
        <f t="shared" si="2402"/>
        <v>0000804968</v>
      </c>
      <c r="D5875" t="str">
        <f t="shared" si="2387"/>
        <v>73185</v>
      </c>
      <c r="E5875" t="str">
        <f t="shared" si="2388"/>
        <v>KFH-OPERATIONS DEPARTMENT</v>
      </c>
      <c r="F5875" t="str">
        <f t="shared" si="2389"/>
        <v>IBG</v>
      </c>
      <c r="G5875" t="str">
        <f t="shared" si="2398"/>
        <v>Refund COSHARE 10</v>
      </c>
      <c r="H5875" s="2">
        <v>94</v>
      </c>
      <c r="I5875" t="str">
        <f>"NURUL AAIN BINTI NAZRI"</f>
        <v>NURUL AAIN BINTI NAZRI</v>
      </c>
      <c r="J5875" t="str">
        <f t="shared" si="2384"/>
        <v>CIMB BANK / CIMB ISLAMIC BANK</v>
      </c>
      <c r="K5875" t="str">
        <f>"7036813019"</f>
        <v>7036813019</v>
      </c>
      <c r="L5875" t="str">
        <f t="shared" si="2405"/>
        <v>04-08-2020</v>
      </c>
      <c r="M5875" t="str">
        <f t="shared" si="2405"/>
        <v>04-08-2020</v>
      </c>
      <c r="N5875" t="str">
        <f t="shared" si="2390"/>
        <v>001105018356</v>
      </c>
      <c r="O5875" t="str">
        <f t="shared" si="2391"/>
        <v>MYR</v>
      </c>
      <c r="P5875" t="str">
        <f t="shared" si="2406"/>
        <v>NIL</v>
      </c>
      <c r="Q5875" t="str">
        <f t="shared" si="2406"/>
        <v>NIL</v>
      </c>
      <c r="R5875" t="str">
        <f t="shared" si="2403"/>
        <v>Accepted</v>
      </c>
      <c r="S5875" t="str">
        <f t="shared" si="2392"/>
        <v>Approved</v>
      </c>
      <c r="T5875" t="str">
        <f t="shared" si="2404"/>
        <v>10.20.8.188</v>
      </c>
      <c r="U5875" t="str">
        <f t="shared" si="2393"/>
        <v>AZRAD UMAR BIN SHAARI</v>
      </c>
      <c r="V5875" t="str">
        <f t="shared" si="2394"/>
        <v>FARHANA BINTI MUSTAPA</v>
      </c>
      <c r="W5875" t="str">
        <f t="shared" si="2395"/>
        <v>04-08-2020</v>
      </c>
      <c r="X5875" t="str">
        <f t="shared" si="2396"/>
        <v>RAZIMAH ANSAR AHMAD</v>
      </c>
      <c r="Y5875" t="str">
        <f t="shared" si="2397"/>
        <v>04-08-2020</v>
      </c>
      <c r="Z5875" t="str">
        <f>"COS10200804 3279"</f>
        <v>COS10200804 3279</v>
      </c>
    </row>
    <row r="5876" spans="1:26" x14ac:dyDescent="0.25">
      <c r="A5876" t="str">
        <f t="shared" si="2401"/>
        <v>04-08-2020 12:44:36</v>
      </c>
      <c r="B5876" t="str">
        <f>"0000805046"</f>
        <v>0000805046</v>
      </c>
      <c r="C5876" t="str">
        <f t="shared" si="2402"/>
        <v>0000804968</v>
      </c>
      <c r="D5876" t="str">
        <f t="shared" si="2387"/>
        <v>73185</v>
      </c>
      <c r="E5876" t="str">
        <f t="shared" si="2388"/>
        <v>KFH-OPERATIONS DEPARTMENT</v>
      </c>
      <c r="F5876" t="str">
        <f t="shared" si="2389"/>
        <v>IBG</v>
      </c>
      <c r="G5876" t="str">
        <f t="shared" si="2398"/>
        <v>Refund COSHARE 10</v>
      </c>
      <c r="H5876" s="2">
        <v>94</v>
      </c>
      <c r="I5876" t="str">
        <f>"NURUL AAIN BINTI NAZRI"</f>
        <v>NURUL AAIN BINTI NAZRI</v>
      </c>
      <c r="J5876" t="str">
        <f t="shared" si="2384"/>
        <v>CIMB BANK / CIMB ISLAMIC BANK</v>
      </c>
      <c r="K5876" t="str">
        <f>"7036813019"</f>
        <v>7036813019</v>
      </c>
      <c r="L5876" t="str">
        <f t="shared" si="2405"/>
        <v>04-08-2020</v>
      </c>
      <c r="M5876" t="str">
        <f t="shared" si="2405"/>
        <v>04-08-2020</v>
      </c>
      <c r="N5876" t="str">
        <f t="shared" si="2390"/>
        <v>001105018356</v>
      </c>
      <c r="O5876" t="str">
        <f t="shared" si="2391"/>
        <v>MYR</v>
      </c>
      <c r="P5876" t="str">
        <f t="shared" si="2406"/>
        <v>NIL</v>
      </c>
      <c r="Q5876" t="str">
        <f t="shared" si="2406"/>
        <v>NIL</v>
      </c>
      <c r="R5876" t="str">
        <f t="shared" si="2403"/>
        <v>Accepted</v>
      </c>
      <c r="S5876" t="str">
        <f t="shared" si="2392"/>
        <v>Approved</v>
      </c>
      <c r="T5876" t="str">
        <f t="shared" si="2404"/>
        <v>10.20.8.188</v>
      </c>
      <c r="U5876" t="str">
        <f t="shared" si="2393"/>
        <v>AZRAD UMAR BIN SHAARI</v>
      </c>
      <c r="V5876" t="str">
        <f t="shared" si="2394"/>
        <v>FARHANA BINTI MUSTAPA</v>
      </c>
      <c r="W5876" t="str">
        <f t="shared" si="2395"/>
        <v>04-08-2020</v>
      </c>
      <c r="X5876" t="str">
        <f t="shared" si="2396"/>
        <v>RAZIMAH ANSAR AHMAD</v>
      </c>
      <c r="Y5876" t="str">
        <f t="shared" si="2397"/>
        <v>04-08-2020</v>
      </c>
      <c r="Z5876" t="str">
        <f>"COS10200804 3278"</f>
        <v>COS10200804 3278</v>
      </c>
    </row>
    <row r="5877" spans="1:26" x14ac:dyDescent="0.25">
      <c r="A5877" t="str">
        <f t="shared" si="2401"/>
        <v>04-08-2020 12:44:36</v>
      </c>
      <c r="B5877" t="str">
        <f>"0000805045"</f>
        <v>0000805045</v>
      </c>
      <c r="C5877" t="str">
        <f t="shared" si="2402"/>
        <v>0000804968</v>
      </c>
      <c r="D5877" t="str">
        <f t="shared" si="2387"/>
        <v>73185</v>
      </c>
      <c r="E5877" t="str">
        <f t="shared" si="2388"/>
        <v>KFH-OPERATIONS DEPARTMENT</v>
      </c>
      <c r="F5877" t="str">
        <f t="shared" si="2389"/>
        <v>IBG</v>
      </c>
      <c r="G5877" t="str">
        <f t="shared" si="2398"/>
        <v>Refund COSHARE 10</v>
      </c>
      <c r="H5877" s="2">
        <v>92</v>
      </c>
      <c r="I5877" t="str">
        <f>"NURSYLAWATY BINTI ABDULLAH"</f>
        <v>NURSYLAWATY BINTI ABDULLAH</v>
      </c>
      <c r="J5877" t="str">
        <f t="shared" si="2384"/>
        <v>CIMB BANK / CIMB ISLAMIC BANK</v>
      </c>
      <c r="K5877" t="str">
        <f>"03010083168527"</f>
        <v>03010083168527</v>
      </c>
      <c r="L5877" t="str">
        <f t="shared" si="2405"/>
        <v>04-08-2020</v>
      </c>
      <c r="M5877" t="str">
        <f t="shared" si="2405"/>
        <v>04-08-2020</v>
      </c>
      <c r="N5877" t="str">
        <f t="shared" si="2390"/>
        <v>001105018356</v>
      </c>
      <c r="O5877" t="str">
        <f t="shared" si="2391"/>
        <v>MYR</v>
      </c>
      <c r="P5877" t="str">
        <f t="shared" si="2406"/>
        <v>NIL</v>
      </c>
      <c r="Q5877" t="str">
        <f t="shared" si="2406"/>
        <v>NIL</v>
      </c>
      <c r="R5877" t="str">
        <f t="shared" si="2403"/>
        <v>Accepted</v>
      </c>
      <c r="S5877" t="str">
        <f t="shared" si="2392"/>
        <v>Approved</v>
      </c>
      <c r="T5877" t="str">
        <f t="shared" si="2404"/>
        <v>10.20.8.188</v>
      </c>
      <c r="U5877" t="str">
        <f t="shared" si="2393"/>
        <v>AZRAD UMAR BIN SHAARI</v>
      </c>
      <c r="V5877" t="str">
        <f t="shared" si="2394"/>
        <v>FARHANA BINTI MUSTAPA</v>
      </c>
      <c r="W5877" t="str">
        <f t="shared" si="2395"/>
        <v>04-08-2020</v>
      </c>
      <c r="X5877" t="str">
        <f t="shared" si="2396"/>
        <v>RAZIMAH ANSAR AHMAD</v>
      </c>
      <c r="Y5877" t="str">
        <f t="shared" si="2397"/>
        <v>04-08-2020</v>
      </c>
      <c r="Z5877" t="str">
        <f>"COS10200804 3277"</f>
        <v>COS10200804 3277</v>
      </c>
    </row>
    <row r="5878" spans="1:26" x14ac:dyDescent="0.25">
      <c r="A5878" t="str">
        <f t="shared" si="2401"/>
        <v>04-08-2020 12:44:36</v>
      </c>
      <c r="B5878" t="str">
        <f>"0000805044"</f>
        <v>0000805044</v>
      </c>
      <c r="C5878" t="str">
        <f t="shared" si="2402"/>
        <v>0000804968</v>
      </c>
      <c r="D5878" t="str">
        <f t="shared" si="2387"/>
        <v>73185</v>
      </c>
      <c r="E5878" t="str">
        <f t="shared" si="2388"/>
        <v>KFH-OPERATIONS DEPARTMENT</v>
      </c>
      <c r="F5878" t="str">
        <f t="shared" si="2389"/>
        <v>IBG</v>
      </c>
      <c r="G5878" t="str">
        <f t="shared" si="2398"/>
        <v>Refund COSHARE 10</v>
      </c>
      <c r="H5878" s="2">
        <v>357.45</v>
      </c>
      <c r="I5878" t="str">
        <f>"NURSALWATI BINTI ALI"</f>
        <v>NURSALWATI BINTI ALI</v>
      </c>
      <c r="J5878" t="str">
        <f t="shared" si="2384"/>
        <v>CIMB BANK / CIMB ISLAMIC BANK</v>
      </c>
      <c r="K5878" t="str">
        <f>"02130014955527"</f>
        <v>02130014955527</v>
      </c>
      <c r="L5878" t="str">
        <f t="shared" si="2405"/>
        <v>04-08-2020</v>
      </c>
      <c r="M5878" t="str">
        <f t="shared" si="2405"/>
        <v>04-08-2020</v>
      </c>
      <c r="N5878" t="str">
        <f t="shared" si="2390"/>
        <v>001105018356</v>
      </c>
      <c r="O5878" t="str">
        <f t="shared" si="2391"/>
        <v>MYR</v>
      </c>
      <c r="P5878" t="str">
        <f t="shared" si="2406"/>
        <v>NIL</v>
      </c>
      <c r="Q5878" t="str">
        <f t="shared" si="2406"/>
        <v>NIL</v>
      </c>
      <c r="R5878" t="str">
        <f t="shared" si="2403"/>
        <v>Accepted</v>
      </c>
      <c r="S5878" t="str">
        <f t="shared" si="2392"/>
        <v>Approved</v>
      </c>
      <c r="T5878" t="str">
        <f t="shared" si="2404"/>
        <v>10.20.8.188</v>
      </c>
      <c r="U5878" t="str">
        <f t="shared" si="2393"/>
        <v>AZRAD UMAR BIN SHAARI</v>
      </c>
      <c r="V5878" t="str">
        <f t="shared" si="2394"/>
        <v>FARHANA BINTI MUSTAPA</v>
      </c>
      <c r="W5878" t="str">
        <f t="shared" si="2395"/>
        <v>04-08-2020</v>
      </c>
      <c r="X5878" t="str">
        <f t="shared" si="2396"/>
        <v>RAZIMAH ANSAR AHMAD</v>
      </c>
      <c r="Y5878" t="str">
        <f t="shared" si="2397"/>
        <v>04-08-2020</v>
      </c>
      <c r="Z5878" t="str">
        <f>"COS10200804 3276"</f>
        <v>COS10200804 3276</v>
      </c>
    </row>
    <row r="5879" spans="1:26" x14ac:dyDescent="0.25">
      <c r="A5879" t="str">
        <f t="shared" si="2401"/>
        <v>04-08-2020 12:44:36</v>
      </c>
      <c r="B5879" t="str">
        <f>"0000805043"</f>
        <v>0000805043</v>
      </c>
      <c r="C5879" t="str">
        <f t="shared" si="2402"/>
        <v>0000804968</v>
      </c>
      <c r="D5879" t="str">
        <f t="shared" si="2387"/>
        <v>73185</v>
      </c>
      <c r="E5879" t="str">
        <f t="shared" si="2388"/>
        <v>KFH-OPERATIONS DEPARTMENT</v>
      </c>
      <c r="F5879" t="str">
        <f t="shared" si="2389"/>
        <v>IBG</v>
      </c>
      <c r="G5879" t="str">
        <f t="shared" si="2398"/>
        <v>Refund COSHARE 10</v>
      </c>
      <c r="H5879" s="2">
        <v>100.75</v>
      </c>
      <c r="I5879" t="str">
        <f>"NURSABRINA ABDULLAH"</f>
        <v>NURSABRINA ABDULLAH</v>
      </c>
      <c r="J5879" t="str">
        <f t="shared" si="2384"/>
        <v>CIMB BANK / CIMB ISLAMIC BANK</v>
      </c>
      <c r="K5879" t="str">
        <f>"11110005828524"</f>
        <v>11110005828524</v>
      </c>
      <c r="L5879" t="str">
        <f t="shared" si="2405"/>
        <v>04-08-2020</v>
      </c>
      <c r="M5879" t="str">
        <f t="shared" si="2405"/>
        <v>04-08-2020</v>
      </c>
      <c r="N5879" t="str">
        <f t="shared" si="2390"/>
        <v>001105018356</v>
      </c>
      <c r="O5879" t="str">
        <f t="shared" si="2391"/>
        <v>MYR</v>
      </c>
      <c r="P5879" t="str">
        <f t="shared" si="2406"/>
        <v>NIL</v>
      </c>
      <c r="Q5879" t="str">
        <f t="shared" si="2406"/>
        <v>NIL</v>
      </c>
      <c r="R5879" t="str">
        <f t="shared" si="2403"/>
        <v>Accepted</v>
      </c>
      <c r="S5879" t="str">
        <f t="shared" si="2392"/>
        <v>Approved</v>
      </c>
      <c r="T5879" t="str">
        <f t="shared" si="2404"/>
        <v>10.20.8.188</v>
      </c>
      <c r="U5879" t="str">
        <f t="shared" si="2393"/>
        <v>AZRAD UMAR BIN SHAARI</v>
      </c>
      <c r="V5879" t="str">
        <f t="shared" si="2394"/>
        <v>FARHANA BINTI MUSTAPA</v>
      </c>
      <c r="W5879" t="str">
        <f t="shared" si="2395"/>
        <v>04-08-2020</v>
      </c>
      <c r="X5879" t="str">
        <f t="shared" si="2396"/>
        <v>RAZIMAH ANSAR AHMAD</v>
      </c>
      <c r="Y5879" t="str">
        <f t="shared" si="2397"/>
        <v>04-08-2020</v>
      </c>
      <c r="Z5879" t="str">
        <f>"COS10200804 3275"</f>
        <v>COS10200804 3275</v>
      </c>
    </row>
    <row r="5880" spans="1:26" x14ac:dyDescent="0.25">
      <c r="A5880" t="str">
        <f t="shared" si="2401"/>
        <v>04-08-2020 12:44:36</v>
      </c>
      <c r="B5880" t="str">
        <f>"0000805042"</f>
        <v>0000805042</v>
      </c>
      <c r="C5880" t="str">
        <f t="shared" si="2402"/>
        <v>0000804968</v>
      </c>
      <c r="D5880" t="str">
        <f t="shared" si="2387"/>
        <v>73185</v>
      </c>
      <c r="E5880" t="str">
        <f t="shared" si="2388"/>
        <v>KFH-OPERATIONS DEPARTMENT</v>
      </c>
      <c r="F5880" t="str">
        <f t="shared" si="2389"/>
        <v>IBG</v>
      </c>
      <c r="G5880" t="str">
        <f t="shared" si="2398"/>
        <v>Refund COSHARE 10</v>
      </c>
      <c r="H5880" s="2">
        <v>1175.3</v>
      </c>
      <c r="I5880" t="str">
        <f>"NURRULHUDDA BINTI MAMAT"</f>
        <v>NURRULHUDDA BINTI MAMAT</v>
      </c>
      <c r="J5880" t="str">
        <f t="shared" si="2384"/>
        <v>CIMB BANK / CIMB ISLAMIC BANK</v>
      </c>
      <c r="K5880" t="str">
        <f>"7041830139"</f>
        <v>7041830139</v>
      </c>
      <c r="L5880" t="str">
        <f t="shared" si="2405"/>
        <v>04-08-2020</v>
      </c>
      <c r="M5880" t="str">
        <f t="shared" si="2405"/>
        <v>04-08-2020</v>
      </c>
      <c r="N5880" t="str">
        <f t="shared" si="2390"/>
        <v>001105018356</v>
      </c>
      <c r="O5880" t="str">
        <f t="shared" si="2391"/>
        <v>MYR</v>
      </c>
      <c r="P5880" t="str">
        <f t="shared" si="2406"/>
        <v>NIL</v>
      </c>
      <c r="Q5880" t="str">
        <f t="shared" si="2406"/>
        <v>NIL</v>
      </c>
      <c r="R5880" t="str">
        <f t="shared" si="2403"/>
        <v>Accepted</v>
      </c>
      <c r="S5880" t="str">
        <f t="shared" si="2392"/>
        <v>Approved</v>
      </c>
      <c r="T5880" t="str">
        <f t="shared" si="2404"/>
        <v>10.20.8.188</v>
      </c>
      <c r="U5880" t="str">
        <f t="shared" si="2393"/>
        <v>AZRAD UMAR BIN SHAARI</v>
      </c>
      <c r="V5880" t="str">
        <f t="shared" si="2394"/>
        <v>FARHANA BINTI MUSTAPA</v>
      </c>
      <c r="W5880" t="str">
        <f t="shared" si="2395"/>
        <v>04-08-2020</v>
      </c>
      <c r="X5880" t="str">
        <f t="shared" si="2396"/>
        <v>RAZIMAH ANSAR AHMAD</v>
      </c>
      <c r="Y5880" t="str">
        <f t="shared" si="2397"/>
        <v>04-08-2020</v>
      </c>
      <c r="Z5880" t="str">
        <f>"COS10200804 3274"</f>
        <v>COS10200804 3274</v>
      </c>
    </row>
    <row r="5881" spans="1:26" x14ac:dyDescent="0.25">
      <c r="A5881" t="str">
        <f t="shared" si="2401"/>
        <v>04-08-2020 12:44:36</v>
      </c>
      <c r="B5881" t="str">
        <f>"0000805041"</f>
        <v>0000805041</v>
      </c>
      <c r="C5881" t="str">
        <f t="shared" si="2402"/>
        <v>0000804968</v>
      </c>
      <c r="D5881" t="str">
        <f t="shared" si="2387"/>
        <v>73185</v>
      </c>
      <c r="E5881" t="str">
        <f t="shared" si="2388"/>
        <v>KFH-OPERATIONS DEPARTMENT</v>
      </c>
      <c r="F5881" t="str">
        <f t="shared" si="2389"/>
        <v>IBG</v>
      </c>
      <c r="G5881" t="str">
        <f t="shared" si="2398"/>
        <v>Refund COSHARE 10</v>
      </c>
      <c r="H5881" s="2">
        <v>228</v>
      </c>
      <c r="I5881" t="str">
        <f>"NURMIMIE BINTI ABDULLAH"</f>
        <v>NURMIMIE BINTI ABDULLAH</v>
      </c>
      <c r="J5881" t="str">
        <f t="shared" si="2384"/>
        <v>CIMB BANK / CIMB ISLAMIC BANK</v>
      </c>
      <c r="K5881" t="str">
        <f>"03010097263525"</f>
        <v>03010097263525</v>
      </c>
      <c r="L5881" t="str">
        <f t="shared" si="2405"/>
        <v>04-08-2020</v>
      </c>
      <c r="M5881" t="str">
        <f t="shared" si="2405"/>
        <v>04-08-2020</v>
      </c>
      <c r="N5881" t="str">
        <f t="shared" si="2390"/>
        <v>001105018356</v>
      </c>
      <c r="O5881" t="str">
        <f t="shared" si="2391"/>
        <v>MYR</v>
      </c>
      <c r="P5881" t="str">
        <f t="shared" si="2406"/>
        <v>NIL</v>
      </c>
      <c r="Q5881" t="str">
        <f t="shared" si="2406"/>
        <v>NIL</v>
      </c>
      <c r="R5881" t="str">
        <f t="shared" si="2403"/>
        <v>Accepted</v>
      </c>
      <c r="S5881" t="str">
        <f t="shared" si="2392"/>
        <v>Approved</v>
      </c>
      <c r="T5881" t="str">
        <f t="shared" si="2404"/>
        <v>10.20.8.188</v>
      </c>
      <c r="U5881" t="str">
        <f t="shared" si="2393"/>
        <v>AZRAD UMAR BIN SHAARI</v>
      </c>
      <c r="V5881" t="str">
        <f t="shared" si="2394"/>
        <v>FARHANA BINTI MUSTAPA</v>
      </c>
      <c r="W5881" t="str">
        <f t="shared" si="2395"/>
        <v>04-08-2020</v>
      </c>
      <c r="X5881" t="str">
        <f t="shared" si="2396"/>
        <v>RAZIMAH ANSAR AHMAD</v>
      </c>
      <c r="Y5881" t="str">
        <f t="shared" si="2397"/>
        <v>04-08-2020</v>
      </c>
      <c r="Z5881" t="str">
        <f>"COS10200804 3273"</f>
        <v>COS10200804 3273</v>
      </c>
    </row>
    <row r="5882" spans="1:26" x14ac:dyDescent="0.25">
      <c r="A5882" t="str">
        <f t="shared" ref="A5882:A5913" si="2407">"04-08-2020 12:44:36"</f>
        <v>04-08-2020 12:44:36</v>
      </c>
      <c r="B5882" t="str">
        <f>"0000805040"</f>
        <v>0000805040</v>
      </c>
      <c r="C5882" t="str">
        <f t="shared" ref="C5882:C5913" si="2408">"0000804968"</f>
        <v>0000804968</v>
      </c>
      <c r="D5882" t="str">
        <f t="shared" si="2387"/>
        <v>73185</v>
      </c>
      <c r="E5882" t="str">
        <f t="shared" si="2388"/>
        <v>KFH-OPERATIONS DEPARTMENT</v>
      </c>
      <c r="F5882" t="str">
        <f t="shared" si="2389"/>
        <v>IBG</v>
      </c>
      <c r="G5882" t="str">
        <f t="shared" si="2398"/>
        <v>Refund COSHARE 10</v>
      </c>
      <c r="H5882" s="2">
        <v>251.85</v>
      </c>
      <c r="I5882" t="str">
        <f>"NURMIMIE BINTI ABDULLAH"</f>
        <v>NURMIMIE BINTI ABDULLAH</v>
      </c>
      <c r="J5882" t="str">
        <f t="shared" si="2384"/>
        <v>CIMB BANK / CIMB ISLAMIC BANK</v>
      </c>
      <c r="K5882" t="str">
        <f>"03010097263525"</f>
        <v>03010097263525</v>
      </c>
      <c r="L5882" t="str">
        <f t="shared" si="2405"/>
        <v>04-08-2020</v>
      </c>
      <c r="M5882" t="str">
        <f t="shared" si="2405"/>
        <v>04-08-2020</v>
      </c>
      <c r="N5882" t="str">
        <f t="shared" si="2390"/>
        <v>001105018356</v>
      </c>
      <c r="O5882" t="str">
        <f t="shared" si="2391"/>
        <v>MYR</v>
      </c>
      <c r="P5882" t="str">
        <f t="shared" si="2406"/>
        <v>NIL</v>
      </c>
      <c r="Q5882" t="str">
        <f t="shared" si="2406"/>
        <v>NIL</v>
      </c>
      <c r="R5882" t="str">
        <f t="shared" si="2403"/>
        <v>Accepted</v>
      </c>
      <c r="S5882" t="str">
        <f t="shared" si="2392"/>
        <v>Approved</v>
      </c>
      <c r="T5882" t="str">
        <f t="shared" si="2404"/>
        <v>10.20.8.188</v>
      </c>
      <c r="U5882" t="str">
        <f t="shared" si="2393"/>
        <v>AZRAD UMAR BIN SHAARI</v>
      </c>
      <c r="V5882" t="str">
        <f t="shared" si="2394"/>
        <v>FARHANA BINTI MUSTAPA</v>
      </c>
      <c r="W5882" t="str">
        <f t="shared" si="2395"/>
        <v>04-08-2020</v>
      </c>
      <c r="X5882" t="str">
        <f t="shared" si="2396"/>
        <v>RAZIMAH ANSAR AHMAD</v>
      </c>
      <c r="Y5882" t="str">
        <f t="shared" si="2397"/>
        <v>04-08-2020</v>
      </c>
      <c r="Z5882" t="str">
        <f>"COS10200804 3272"</f>
        <v>COS10200804 3272</v>
      </c>
    </row>
    <row r="5883" spans="1:26" x14ac:dyDescent="0.25">
      <c r="A5883" t="str">
        <f t="shared" si="2407"/>
        <v>04-08-2020 12:44:36</v>
      </c>
      <c r="B5883" t="str">
        <f>"0000805039"</f>
        <v>0000805039</v>
      </c>
      <c r="C5883" t="str">
        <f t="shared" si="2408"/>
        <v>0000804968</v>
      </c>
      <c r="D5883" t="str">
        <f t="shared" si="2387"/>
        <v>73185</v>
      </c>
      <c r="E5883" t="str">
        <f t="shared" si="2388"/>
        <v>KFH-OPERATIONS DEPARTMENT</v>
      </c>
      <c r="F5883" t="str">
        <f t="shared" si="2389"/>
        <v>IBG</v>
      </c>
      <c r="G5883" t="str">
        <f t="shared" si="2398"/>
        <v>Refund COSHARE 10</v>
      </c>
      <c r="H5883" s="2">
        <v>713.6</v>
      </c>
      <c r="I5883" t="str">
        <f>"NURMANIZA BINTI DAMAN HURI"</f>
        <v>NURMANIZA BINTI DAMAN HURI</v>
      </c>
      <c r="J5883" t="str">
        <f t="shared" si="2384"/>
        <v>CIMB BANK / CIMB ISLAMIC BANK</v>
      </c>
      <c r="K5883" t="str">
        <f>"13040067736520"</f>
        <v>13040067736520</v>
      </c>
      <c r="L5883" t="str">
        <f t="shared" si="2405"/>
        <v>04-08-2020</v>
      </c>
      <c r="M5883" t="str">
        <f t="shared" si="2405"/>
        <v>04-08-2020</v>
      </c>
      <c r="N5883" t="str">
        <f t="shared" si="2390"/>
        <v>001105018356</v>
      </c>
      <c r="O5883" t="str">
        <f t="shared" si="2391"/>
        <v>MYR</v>
      </c>
      <c r="P5883" t="str">
        <f t="shared" si="2406"/>
        <v>NIL</v>
      </c>
      <c r="Q5883" t="str">
        <f t="shared" si="2406"/>
        <v>NIL</v>
      </c>
      <c r="R5883" t="str">
        <f t="shared" si="2403"/>
        <v>Accepted</v>
      </c>
      <c r="S5883" t="str">
        <f t="shared" si="2392"/>
        <v>Approved</v>
      </c>
      <c r="T5883" t="str">
        <f t="shared" si="2404"/>
        <v>10.20.8.188</v>
      </c>
      <c r="U5883" t="str">
        <f t="shared" si="2393"/>
        <v>AZRAD UMAR BIN SHAARI</v>
      </c>
      <c r="V5883" t="str">
        <f t="shared" si="2394"/>
        <v>FARHANA BINTI MUSTAPA</v>
      </c>
      <c r="W5883" t="str">
        <f t="shared" si="2395"/>
        <v>04-08-2020</v>
      </c>
      <c r="X5883" t="str">
        <f t="shared" si="2396"/>
        <v>RAZIMAH ANSAR AHMAD</v>
      </c>
      <c r="Y5883" t="str">
        <f t="shared" si="2397"/>
        <v>04-08-2020</v>
      </c>
      <c r="Z5883" t="str">
        <f>"COS10200804 3271"</f>
        <v>COS10200804 3271</v>
      </c>
    </row>
    <row r="5884" spans="1:26" x14ac:dyDescent="0.25">
      <c r="A5884" t="str">
        <f t="shared" si="2407"/>
        <v>04-08-2020 12:44:36</v>
      </c>
      <c r="B5884" t="str">
        <f>"0000805038"</f>
        <v>0000805038</v>
      </c>
      <c r="C5884" t="str">
        <f t="shared" si="2408"/>
        <v>0000804968</v>
      </c>
      <c r="D5884" t="str">
        <f t="shared" si="2387"/>
        <v>73185</v>
      </c>
      <c r="E5884" t="str">
        <f t="shared" si="2388"/>
        <v>KFH-OPERATIONS DEPARTMENT</v>
      </c>
      <c r="F5884" t="str">
        <f t="shared" si="2389"/>
        <v>IBG</v>
      </c>
      <c r="G5884" t="str">
        <f t="shared" si="2398"/>
        <v>Refund COSHARE 10</v>
      </c>
      <c r="H5884" s="2">
        <v>881.5</v>
      </c>
      <c r="I5884" t="str">
        <f>"NURMALINDAWATI BINTI MAYUSRAN"</f>
        <v>NURMALINDAWATI BINTI MAYUSRAN</v>
      </c>
      <c r="J5884" t="str">
        <f t="shared" ref="J5884:J5947" si="2409">"CIMB BANK / CIMB ISLAMIC BANK"</f>
        <v>CIMB BANK / CIMB ISLAMIC BANK</v>
      </c>
      <c r="K5884" t="str">
        <f>"7001229953"</f>
        <v>7001229953</v>
      </c>
      <c r="L5884" t="str">
        <f t="shared" si="2405"/>
        <v>04-08-2020</v>
      </c>
      <c r="M5884" t="str">
        <f t="shared" si="2405"/>
        <v>04-08-2020</v>
      </c>
      <c r="N5884" t="str">
        <f t="shared" si="2390"/>
        <v>001105018356</v>
      </c>
      <c r="O5884" t="str">
        <f t="shared" si="2391"/>
        <v>MYR</v>
      </c>
      <c r="P5884" t="str">
        <f t="shared" si="2406"/>
        <v>NIL</v>
      </c>
      <c r="Q5884" t="str">
        <f t="shared" si="2406"/>
        <v>NIL</v>
      </c>
      <c r="R5884" t="str">
        <f t="shared" si="2403"/>
        <v>Accepted</v>
      </c>
      <c r="S5884" t="str">
        <f t="shared" si="2392"/>
        <v>Approved</v>
      </c>
      <c r="T5884" t="str">
        <f t="shared" si="2404"/>
        <v>10.20.8.188</v>
      </c>
      <c r="U5884" t="str">
        <f t="shared" si="2393"/>
        <v>AZRAD UMAR BIN SHAARI</v>
      </c>
      <c r="V5884" t="str">
        <f t="shared" si="2394"/>
        <v>FARHANA BINTI MUSTAPA</v>
      </c>
      <c r="W5884" t="str">
        <f t="shared" si="2395"/>
        <v>04-08-2020</v>
      </c>
      <c r="X5884" t="str">
        <f t="shared" si="2396"/>
        <v>RAZIMAH ANSAR AHMAD</v>
      </c>
      <c r="Y5884" t="str">
        <f t="shared" si="2397"/>
        <v>04-08-2020</v>
      </c>
      <c r="Z5884" t="str">
        <f>"COS10200804 3270"</f>
        <v>COS10200804 3270</v>
      </c>
    </row>
    <row r="5885" spans="1:26" x14ac:dyDescent="0.25">
      <c r="A5885" t="str">
        <f t="shared" si="2407"/>
        <v>04-08-2020 12:44:36</v>
      </c>
      <c r="B5885" t="str">
        <f>"0000805037"</f>
        <v>0000805037</v>
      </c>
      <c r="C5885" t="str">
        <f t="shared" si="2408"/>
        <v>0000804968</v>
      </c>
      <c r="D5885" t="str">
        <f t="shared" si="2387"/>
        <v>73185</v>
      </c>
      <c r="E5885" t="str">
        <f t="shared" si="2388"/>
        <v>KFH-OPERATIONS DEPARTMENT</v>
      </c>
      <c r="F5885" t="str">
        <f t="shared" si="2389"/>
        <v>IBG</v>
      </c>
      <c r="G5885" t="str">
        <f t="shared" si="2398"/>
        <v>Refund COSHARE 10</v>
      </c>
      <c r="H5885" s="2">
        <v>226.7</v>
      </c>
      <c r="I5885" t="str">
        <f>"NURMAIRA BINTI ISMAIL"</f>
        <v>NURMAIRA BINTI ISMAIL</v>
      </c>
      <c r="J5885" t="str">
        <f t="shared" si="2409"/>
        <v>CIMB BANK / CIMB ISLAMIC BANK</v>
      </c>
      <c r="K5885" t="str">
        <f>"12280062364525"</f>
        <v>12280062364525</v>
      </c>
      <c r="L5885" t="str">
        <f t="shared" si="2405"/>
        <v>04-08-2020</v>
      </c>
      <c r="M5885" t="str">
        <f t="shared" si="2405"/>
        <v>04-08-2020</v>
      </c>
      <c r="N5885" t="str">
        <f t="shared" si="2390"/>
        <v>001105018356</v>
      </c>
      <c r="O5885" t="str">
        <f t="shared" si="2391"/>
        <v>MYR</v>
      </c>
      <c r="P5885" t="str">
        <f t="shared" si="2406"/>
        <v>NIL</v>
      </c>
      <c r="Q5885" t="str">
        <f t="shared" si="2406"/>
        <v>NIL</v>
      </c>
      <c r="R5885" t="str">
        <f t="shared" si="2403"/>
        <v>Accepted</v>
      </c>
      <c r="S5885" t="str">
        <f t="shared" si="2392"/>
        <v>Approved</v>
      </c>
      <c r="T5885" t="str">
        <f t="shared" si="2404"/>
        <v>10.20.8.188</v>
      </c>
      <c r="U5885" t="str">
        <f t="shared" si="2393"/>
        <v>AZRAD UMAR BIN SHAARI</v>
      </c>
      <c r="V5885" t="str">
        <f t="shared" si="2394"/>
        <v>FARHANA BINTI MUSTAPA</v>
      </c>
      <c r="W5885" t="str">
        <f t="shared" si="2395"/>
        <v>04-08-2020</v>
      </c>
      <c r="X5885" t="str">
        <f t="shared" si="2396"/>
        <v>RAZIMAH ANSAR AHMAD</v>
      </c>
      <c r="Y5885" t="str">
        <f t="shared" si="2397"/>
        <v>04-08-2020</v>
      </c>
      <c r="Z5885" t="str">
        <f>"COS10200804 3269"</f>
        <v>COS10200804 3269</v>
      </c>
    </row>
    <row r="5886" spans="1:26" x14ac:dyDescent="0.25">
      <c r="A5886" t="str">
        <f t="shared" si="2407"/>
        <v>04-08-2020 12:44:36</v>
      </c>
      <c r="B5886" t="str">
        <f>"0000805036"</f>
        <v>0000805036</v>
      </c>
      <c r="C5886" t="str">
        <f t="shared" si="2408"/>
        <v>0000804968</v>
      </c>
      <c r="D5886" t="str">
        <f t="shared" si="2387"/>
        <v>73185</v>
      </c>
      <c r="E5886" t="str">
        <f t="shared" si="2388"/>
        <v>KFH-OPERATIONS DEPARTMENT</v>
      </c>
      <c r="F5886" t="str">
        <f t="shared" si="2389"/>
        <v>IBG</v>
      </c>
      <c r="G5886" t="str">
        <f t="shared" si="2398"/>
        <v>Refund COSHARE 10</v>
      </c>
      <c r="H5886" s="2">
        <v>688.4</v>
      </c>
      <c r="I5886" t="str">
        <f>"NURLAYALI WATIS"</f>
        <v>NURLAYALI WATIS</v>
      </c>
      <c r="J5886" t="str">
        <f t="shared" si="2409"/>
        <v>CIMB BANK / CIMB ISLAMIC BANK</v>
      </c>
      <c r="K5886" t="str">
        <f>"10050069486529"</f>
        <v>10050069486529</v>
      </c>
      <c r="L5886" t="str">
        <f t="shared" si="2405"/>
        <v>04-08-2020</v>
      </c>
      <c r="M5886" t="str">
        <f t="shared" si="2405"/>
        <v>04-08-2020</v>
      </c>
      <c r="N5886" t="str">
        <f t="shared" si="2390"/>
        <v>001105018356</v>
      </c>
      <c r="O5886" t="str">
        <f t="shared" si="2391"/>
        <v>MYR</v>
      </c>
      <c r="P5886" t="str">
        <f t="shared" si="2406"/>
        <v>NIL</v>
      </c>
      <c r="Q5886" t="str">
        <f t="shared" si="2406"/>
        <v>NIL</v>
      </c>
      <c r="R5886" t="str">
        <f t="shared" si="2403"/>
        <v>Accepted</v>
      </c>
      <c r="S5886" t="str">
        <f t="shared" si="2392"/>
        <v>Approved</v>
      </c>
      <c r="T5886" t="str">
        <f t="shared" si="2404"/>
        <v>10.20.8.188</v>
      </c>
      <c r="U5886" t="str">
        <f t="shared" si="2393"/>
        <v>AZRAD UMAR BIN SHAARI</v>
      </c>
      <c r="V5886" t="str">
        <f t="shared" si="2394"/>
        <v>FARHANA BINTI MUSTAPA</v>
      </c>
      <c r="W5886" t="str">
        <f t="shared" si="2395"/>
        <v>04-08-2020</v>
      </c>
      <c r="X5886" t="str">
        <f t="shared" si="2396"/>
        <v>RAZIMAH ANSAR AHMAD</v>
      </c>
      <c r="Y5886" t="str">
        <f t="shared" si="2397"/>
        <v>04-08-2020</v>
      </c>
      <c r="Z5886" t="str">
        <f>"COS10200804 3268"</f>
        <v>COS10200804 3268</v>
      </c>
    </row>
    <row r="5887" spans="1:26" x14ac:dyDescent="0.25">
      <c r="A5887" t="str">
        <f t="shared" si="2407"/>
        <v>04-08-2020 12:44:36</v>
      </c>
      <c r="B5887" t="str">
        <f>"0000805035"</f>
        <v>0000805035</v>
      </c>
      <c r="C5887" t="str">
        <f t="shared" si="2408"/>
        <v>0000804968</v>
      </c>
      <c r="D5887" t="str">
        <f t="shared" si="2387"/>
        <v>73185</v>
      </c>
      <c r="E5887" t="str">
        <f t="shared" si="2388"/>
        <v>KFH-OPERATIONS DEPARTMENT</v>
      </c>
      <c r="F5887" t="str">
        <f t="shared" si="2389"/>
        <v>IBG</v>
      </c>
      <c r="G5887" t="str">
        <f t="shared" si="2398"/>
        <v>Refund COSHARE 10</v>
      </c>
      <c r="H5887" s="2">
        <v>260.25</v>
      </c>
      <c r="I5887" t="str">
        <f>"NURIMAH BINTI MATRI"</f>
        <v>NURIMAH BINTI MATRI</v>
      </c>
      <c r="J5887" t="str">
        <f t="shared" si="2409"/>
        <v>CIMB BANK / CIMB ISLAMIC BANK</v>
      </c>
      <c r="K5887" t="str">
        <f>"10030061372529"</f>
        <v>10030061372529</v>
      </c>
      <c r="L5887" t="str">
        <f t="shared" ref="L5887:M5906" si="2410">"04-08-2020"</f>
        <v>04-08-2020</v>
      </c>
      <c r="M5887" t="str">
        <f t="shared" si="2410"/>
        <v>04-08-2020</v>
      </c>
      <c r="N5887" t="str">
        <f t="shared" si="2390"/>
        <v>001105018356</v>
      </c>
      <c r="O5887" t="str">
        <f t="shared" si="2391"/>
        <v>MYR</v>
      </c>
      <c r="P5887" t="str">
        <f t="shared" ref="P5887:Q5906" si="2411">"NIL"</f>
        <v>NIL</v>
      </c>
      <c r="Q5887" t="str">
        <f t="shared" si="2411"/>
        <v>NIL</v>
      </c>
      <c r="R5887" t="str">
        <f t="shared" si="2403"/>
        <v>Accepted</v>
      </c>
      <c r="S5887" t="str">
        <f t="shared" si="2392"/>
        <v>Approved</v>
      </c>
      <c r="T5887" t="str">
        <f t="shared" si="2404"/>
        <v>10.20.8.188</v>
      </c>
      <c r="U5887" t="str">
        <f t="shared" si="2393"/>
        <v>AZRAD UMAR BIN SHAARI</v>
      </c>
      <c r="V5887" t="str">
        <f t="shared" si="2394"/>
        <v>FARHANA BINTI MUSTAPA</v>
      </c>
      <c r="W5887" t="str">
        <f t="shared" si="2395"/>
        <v>04-08-2020</v>
      </c>
      <c r="X5887" t="str">
        <f t="shared" si="2396"/>
        <v>RAZIMAH ANSAR AHMAD</v>
      </c>
      <c r="Y5887" t="str">
        <f t="shared" si="2397"/>
        <v>04-08-2020</v>
      </c>
      <c r="Z5887" t="str">
        <f>"COS10200804 3267"</f>
        <v>COS10200804 3267</v>
      </c>
    </row>
    <row r="5888" spans="1:26" x14ac:dyDescent="0.25">
      <c r="A5888" t="str">
        <f t="shared" si="2407"/>
        <v>04-08-2020 12:44:36</v>
      </c>
      <c r="B5888" t="str">
        <f>"0000805034"</f>
        <v>0000805034</v>
      </c>
      <c r="C5888" t="str">
        <f t="shared" si="2408"/>
        <v>0000804968</v>
      </c>
      <c r="D5888" t="str">
        <f t="shared" si="2387"/>
        <v>73185</v>
      </c>
      <c r="E5888" t="str">
        <f t="shared" si="2388"/>
        <v>KFH-OPERATIONS DEPARTMENT</v>
      </c>
      <c r="F5888" t="str">
        <f t="shared" si="2389"/>
        <v>IBG</v>
      </c>
      <c r="G5888" t="str">
        <f t="shared" si="2398"/>
        <v>Refund COSHARE 10</v>
      </c>
      <c r="H5888" s="2">
        <v>228</v>
      </c>
      <c r="I5888" t="str">
        <f>"NURHIDAYAH BINTI KARIM"</f>
        <v>NURHIDAYAH BINTI KARIM</v>
      </c>
      <c r="J5888" t="str">
        <f t="shared" si="2409"/>
        <v>CIMB BANK / CIMB ISLAMIC BANK</v>
      </c>
      <c r="K5888" t="str">
        <f>"7620454465"</f>
        <v>7620454465</v>
      </c>
      <c r="L5888" t="str">
        <f t="shared" si="2410"/>
        <v>04-08-2020</v>
      </c>
      <c r="M5888" t="str">
        <f t="shared" si="2410"/>
        <v>04-08-2020</v>
      </c>
      <c r="N5888" t="str">
        <f t="shared" si="2390"/>
        <v>001105018356</v>
      </c>
      <c r="O5888" t="str">
        <f t="shared" si="2391"/>
        <v>MYR</v>
      </c>
      <c r="P5888" t="str">
        <f t="shared" si="2411"/>
        <v>NIL</v>
      </c>
      <c r="Q5888" t="str">
        <f t="shared" si="2411"/>
        <v>NIL</v>
      </c>
      <c r="R5888" t="str">
        <f t="shared" si="2403"/>
        <v>Accepted</v>
      </c>
      <c r="S5888" t="str">
        <f t="shared" si="2392"/>
        <v>Approved</v>
      </c>
      <c r="T5888" t="str">
        <f t="shared" si="2404"/>
        <v>10.20.8.188</v>
      </c>
      <c r="U5888" t="str">
        <f t="shared" si="2393"/>
        <v>AZRAD UMAR BIN SHAARI</v>
      </c>
      <c r="V5888" t="str">
        <f t="shared" si="2394"/>
        <v>FARHANA BINTI MUSTAPA</v>
      </c>
      <c r="W5888" t="str">
        <f t="shared" si="2395"/>
        <v>04-08-2020</v>
      </c>
      <c r="X5888" t="str">
        <f t="shared" si="2396"/>
        <v>RAZIMAH ANSAR AHMAD</v>
      </c>
      <c r="Y5888" t="str">
        <f t="shared" si="2397"/>
        <v>04-08-2020</v>
      </c>
      <c r="Z5888" t="str">
        <f>"COS10200804 3266"</f>
        <v>COS10200804 3266</v>
      </c>
    </row>
    <row r="5889" spans="1:26" x14ac:dyDescent="0.25">
      <c r="A5889" t="str">
        <f t="shared" si="2407"/>
        <v>04-08-2020 12:44:36</v>
      </c>
      <c r="B5889" t="str">
        <f>"0000805033"</f>
        <v>0000805033</v>
      </c>
      <c r="C5889" t="str">
        <f t="shared" si="2408"/>
        <v>0000804968</v>
      </c>
      <c r="D5889" t="str">
        <f t="shared" si="2387"/>
        <v>73185</v>
      </c>
      <c r="E5889" t="str">
        <f t="shared" si="2388"/>
        <v>KFH-OPERATIONS DEPARTMENT</v>
      </c>
      <c r="F5889" t="str">
        <f t="shared" si="2389"/>
        <v>IBG</v>
      </c>
      <c r="G5889" t="str">
        <f t="shared" si="2398"/>
        <v>Refund COSHARE 10</v>
      </c>
      <c r="H5889" s="2">
        <v>42</v>
      </c>
      <c r="I5889" t="str">
        <f>"NURHANANI BINTI AWANG  ALI"</f>
        <v>NURHANANI BINTI AWANG  ALI</v>
      </c>
      <c r="J5889" t="str">
        <f t="shared" si="2409"/>
        <v>CIMB BANK / CIMB ISLAMIC BANK</v>
      </c>
      <c r="K5889" t="str">
        <f>"7626021027"</f>
        <v>7626021027</v>
      </c>
      <c r="L5889" t="str">
        <f t="shared" si="2410"/>
        <v>04-08-2020</v>
      </c>
      <c r="M5889" t="str">
        <f t="shared" si="2410"/>
        <v>04-08-2020</v>
      </c>
      <c r="N5889" t="str">
        <f t="shared" si="2390"/>
        <v>001105018356</v>
      </c>
      <c r="O5889" t="str">
        <f t="shared" si="2391"/>
        <v>MYR</v>
      </c>
      <c r="P5889" t="str">
        <f t="shared" si="2411"/>
        <v>NIL</v>
      </c>
      <c r="Q5889" t="str">
        <f t="shared" si="2411"/>
        <v>NIL</v>
      </c>
      <c r="R5889" t="str">
        <f t="shared" si="2403"/>
        <v>Accepted</v>
      </c>
      <c r="S5889" t="str">
        <f t="shared" si="2392"/>
        <v>Approved</v>
      </c>
      <c r="T5889" t="str">
        <f t="shared" si="2404"/>
        <v>10.20.8.188</v>
      </c>
      <c r="U5889" t="str">
        <f t="shared" si="2393"/>
        <v>AZRAD UMAR BIN SHAARI</v>
      </c>
      <c r="V5889" t="str">
        <f t="shared" si="2394"/>
        <v>FARHANA BINTI MUSTAPA</v>
      </c>
      <c r="W5889" t="str">
        <f t="shared" si="2395"/>
        <v>04-08-2020</v>
      </c>
      <c r="X5889" t="str">
        <f t="shared" si="2396"/>
        <v>RAZIMAH ANSAR AHMAD</v>
      </c>
      <c r="Y5889" t="str">
        <f t="shared" si="2397"/>
        <v>04-08-2020</v>
      </c>
      <c r="Z5889" t="str">
        <f>"COS10200804 3265"</f>
        <v>COS10200804 3265</v>
      </c>
    </row>
    <row r="5890" spans="1:26" x14ac:dyDescent="0.25">
      <c r="A5890" t="str">
        <f t="shared" si="2407"/>
        <v>04-08-2020 12:44:36</v>
      </c>
      <c r="B5890" t="str">
        <f>"0000805032"</f>
        <v>0000805032</v>
      </c>
      <c r="C5890" t="str">
        <f t="shared" si="2408"/>
        <v>0000804968</v>
      </c>
      <c r="D5890" t="str">
        <f t="shared" si="2387"/>
        <v>73185</v>
      </c>
      <c r="E5890" t="str">
        <f t="shared" si="2388"/>
        <v>KFH-OPERATIONS DEPARTMENT</v>
      </c>
      <c r="F5890" t="str">
        <f t="shared" si="2389"/>
        <v>IBG</v>
      </c>
      <c r="G5890" t="str">
        <f t="shared" si="2398"/>
        <v>Refund COSHARE 10</v>
      </c>
      <c r="H5890" s="2">
        <v>84</v>
      </c>
      <c r="I5890" t="str">
        <f>"NURHALINA BINTI HAZIZAN"</f>
        <v>NURHALINA BINTI HAZIZAN</v>
      </c>
      <c r="J5890" t="str">
        <f t="shared" si="2409"/>
        <v>CIMB BANK / CIMB ISLAMIC BANK</v>
      </c>
      <c r="K5890" t="str">
        <f>"06060057216526"</f>
        <v>06060057216526</v>
      </c>
      <c r="L5890" t="str">
        <f t="shared" si="2410"/>
        <v>04-08-2020</v>
      </c>
      <c r="M5890" t="str">
        <f t="shared" si="2410"/>
        <v>04-08-2020</v>
      </c>
      <c r="N5890" t="str">
        <f t="shared" si="2390"/>
        <v>001105018356</v>
      </c>
      <c r="O5890" t="str">
        <f t="shared" si="2391"/>
        <v>MYR</v>
      </c>
      <c r="P5890" t="str">
        <f t="shared" si="2411"/>
        <v>NIL</v>
      </c>
      <c r="Q5890" t="str">
        <f t="shared" si="2411"/>
        <v>NIL</v>
      </c>
      <c r="R5890" t="str">
        <f t="shared" si="2403"/>
        <v>Accepted</v>
      </c>
      <c r="S5890" t="str">
        <f t="shared" si="2392"/>
        <v>Approved</v>
      </c>
      <c r="T5890" t="str">
        <f t="shared" si="2404"/>
        <v>10.20.8.188</v>
      </c>
      <c r="U5890" t="str">
        <f t="shared" si="2393"/>
        <v>AZRAD UMAR BIN SHAARI</v>
      </c>
      <c r="V5890" t="str">
        <f t="shared" si="2394"/>
        <v>FARHANA BINTI MUSTAPA</v>
      </c>
      <c r="W5890" t="str">
        <f t="shared" si="2395"/>
        <v>04-08-2020</v>
      </c>
      <c r="X5890" t="str">
        <f t="shared" si="2396"/>
        <v>RAZIMAH ANSAR AHMAD</v>
      </c>
      <c r="Y5890" t="str">
        <f t="shared" si="2397"/>
        <v>04-08-2020</v>
      </c>
      <c r="Z5890" t="str">
        <f>"COS10200804 3264"</f>
        <v>COS10200804 3264</v>
      </c>
    </row>
    <row r="5891" spans="1:26" x14ac:dyDescent="0.25">
      <c r="A5891" t="str">
        <f t="shared" si="2407"/>
        <v>04-08-2020 12:44:36</v>
      </c>
      <c r="B5891" t="str">
        <f>"0000805031"</f>
        <v>0000805031</v>
      </c>
      <c r="C5891" t="str">
        <f t="shared" si="2408"/>
        <v>0000804968</v>
      </c>
      <c r="D5891" t="str">
        <f t="shared" si="2387"/>
        <v>73185</v>
      </c>
      <c r="E5891" t="str">
        <f t="shared" si="2388"/>
        <v>KFH-OPERATIONS DEPARTMENT</v>
      </c>
      <c r="F5891" t="str">
        <f t="shared" si="2389"/>
        <v>IBG</v>
      </c>
      <c r="G5891" t="str">
        <f t="shared" si="2398"/>
        <v>Refund COSHARE 10</v>
      </c>
      <c r="H5891" s="2">
        <v>254.05</v>
      </c>
      <c r="I5891" t="str">
        <f>"NURAZWIN BINTI SURAIMI"</f>
        <v>NURAZWIN BINTI SURAIMI</v>
      </c>
      <c r="J5891" t="str">
        <f t="shared" si="2409"/>
        <v>CIMB BANK / CIMB ISLAMIC BANK</v>
      </c>
      <c r="K5891" t="str">
        <f>"01050100076522"</f>
        <v>01050100076522</v>
      </c>
      <c r="L5891" t="str">
        <f t="shared" si="2410"/>
        <v>04-08-2020</v>
      </c>
      <c r="M5891" t="str">
        <f t="shared" si="2410"/>
        <v>04-08-2020</v>
      </c>
      <c r="N5891" t="str">
        <f t="shared" si="2390"/>
        <v>001105018356</v>
      </c>
      <c r="O5891" t="str">
        <f t="shared" si="2391"/>
        <v>MYR</v>
      </c>
      <c r="P5891" t="str">
        <f t="shared" si="2411"/>
        <v>NIL</v>
      </c>
      <c r="Q5891" t="str">
        <f t="shared" si="2411"/>
        <v>NIL</v>
      </c>
      <c r="R5891" t="str">
        <f t="shared" si="2403"/>
        <v>Accepted</v>
      </c>
      <c r="S5891" t="str">
        <f t="shared" si="2392"/>
        <v>Approved</v>
      </c>
      <c r="T5891" t="str">
        <f t="shared" si="2404"/>
        <v>10.20.8.188</v>
      </c>
      <c r="U5891" t="str">
        <f t="shared" si="2393"/>
        <v>AZRAD UMAR BIN SHAARI</v>
      </c>
      <c r="V5891" t="str">
        <f t="shared" si="2394"/>
        <v>FARHANA BINTI MUSTAPA</v>
      </c>
      <c r="W5891" t="str">
        <f t="shared" si="2395"/>
        <v>04-08-2020</v>
      </c>
      <c r="X5891" t="str">
        <f t="shared" si="2396"/>
        <v>RAZIMAH ANSAR AHMAD</v>
      </c>
      <c r="Y5891" t="str">
        <f t="shared" si="2397"/>
        <v>04-08-2020</v>
      </c>
      <c r="Z5891" t="str">
        <f>"COS10200804 3263"</f>
        <v>COS10200804 3263</v>
      </c>
    </row>
    <row r="5892" spans="1:26" x14ac:dyDescent="0.25">
      <c r="A5892" t="str">
        <f t="shared" si="2407"/>
        <v>04-08-2020 12:44:36</v>
      </c>
      <c r="B5892" t="str">
        <f>"0000805030"</f>
        <v>0000805030</v>
      </c>
      <c r="C5892" t="str">
        <f t="shared" si="2408"/>
        <v>0000804968</v>
      </c>
      <c r="D5892" t="str">
        <f t="shared" si="2387"/>
        <v>73185</v>
      </c>
      <c r="E5892" t="str">
        <f t="shared" si="2388"/>
        <v>KFH-OPERATIONS DEPARTMENT</v>
      </c>
      <c r="F5892" t="str">
        <f t="shared" si="2389"/>
        <v>IBG</v>
      </c>
      <c r="G5892" t="str">
        <f t="shared" si="2398"/>
        <v>Refund COSHARE 10</v>
      </c>
      <c r="H5892" s="2">
        <v>755.55</v>
      </c>
      <c r="I5892" t="str">
        <f>"NURASMIZA BINTI ISA"</f>
        <v>NURASMIZA BINTI ISA</v>
      </c>
      <c r="J5892" t="str">
        <f t="shared" si="2409"/>
        <v>CIMB BANK / CIMB ISLAMIC BANK</v>
      </c>
      <c r="K5892" t="str">
        <f>"02070035495521"</f>
        <v>02070035495521</v>
      </c>
      <c r="L5892" t="str">
        <f t="shared" si="2410"/>
        <v>04-08-2020</v>
      </c>
      <c r="M5892" t="str">
        <f t="shared" si="2410"/>
        <v>04-08-2020</v>
      </c>
      <c r="N5892" t="str">
        <f t="shared" si="2390"/>
        <v>001105018356</v>
      </c>
      <c r="O5892" t="str">
        <f t="shared" si="2391"/>
        <v>MYR</v>
      </c>
      <c r="P5892" t="str">
        <f t="shared" si="2411"/>
        <v>NIL</v>
      </c>
      <c r="Q5892" t="str">
        <f t="shared" si="2411"/>
        <v>NIL</v>
      </c>
      <c r="R5892" t="str">
        <f t="shared" si="2403"/>
        <v>Accepted</v>
      </c>
      <c r="S5892" t="str">
        <f t="shared" si="2392"/>
        <v>Approved</v>
      </c>
      <c r="T5892" t="str">
        <f t="shared" si="2404"/>
        <v>10.20.8.188</v>
      </c>
      <c r="U5892" t="str">
        <f t="shared" si="2393"/>
        <v>AZRAD UMAR BIN SHAARI</v>
      </c>
      <c r="V5892" t="str">
        <f t="shared" si="2394"/>
        <v>FARHANA BINTI MUSTAPA</v>
      </c>
      <c r="W5892" t="str">
        <f t="shared" si="2395"/>
        <v>04-08-2020</v>
      </c>
      <c r="X5892" t="str">
        <f t="shared" si="2396"/>
        <v>RAZIMAH ANSAR AHMAD</v>
      </c>
      <c r="Y5892" t="str">
        <f t="shared" si="2397"/>
        <v>04-08-2020</v>
      </c>
      <c r="Z5892" t="str">
        <f>"COS10200804 3262"</f>
        <v>COS10200804 3262</v>
      </c>
    </row>
    <row r="5893" spans="1:26" x14ac:dyDescent="0.25">
      <c r="A5893" t="str">
        <f t="shared" si="2407"/>
        <v>04-08-2020 12:44:36</v>
      </c>
      <c r="B5893" t="str">
        <f>"0000805029"</f>
        <v>0000805029</v>
      </c>
      <c r="C5893" t="str">
        <f t="shared" si="2408"/>
        <v>0000804968</v>
      </c>
      <c r="D5893" t="str">
        <f t="shared" si="2387"/>
        <v>73185</v>
      </c>
      <c r="E5893" t="str">
        <f t="shared" si="2388"/>
        <v>KFH-OPERATIONS DEPARTMENT</v>
      </c>
      <c r="F5893" t="str">
        <f t="shared" si="2389"/>
        <v>IBG</v>
      </c>
      <c r="G5893" t="str">
        <f t="shared" si="2398"/>
        <v>Refund COSHARE 10</v>
      </c>
      <c r="H5893" s="2">
        <v>209.9</v>
      </c>
      <c r="I5893" t="str">
        <f>"NURAIN BINTI AHMAD TUMISAN"</f>
        <v>NURAIN BINTI AHMAD TUMISAN</v>
      </c>
      <c r="J5893" t="str">
        <f t="shared" si="2409"/>
        <v>CIMB BANK / CIMB ISLAMIC BANK</v>
      </c>
      <c r="K5893" t="str">
        <f>"01170063100525"</f>
        <v>01170063100525</v>
      </c>
      <c r="L5893" t="str">
        <f t="shared" si="2410"/>
        <v>04-08-2020</v>
      </c>
      <c r="M5893" t="str">
        <f t="shared" si="2410"/>
        <v>04-08-2020</v>
      </c>
      <c r="N5893" t="str">
        <f t="shared" si="2390"/>
        <v>001105018356</v>
      </c>
      <c r="O5893" t="str">
        <f t="shared" si="2391"/>
        <v>MYR</v>
      </c>
      <c r="P5893" t="str">
        <f t="shared" si="2411"/>
        <v>NIL</v>
      </c>
      <c r="Q5893" t="str">
        <f t="shared" si="2411"/>
        <v>NIL</v>
      </c>
      <c r="R5893" t="str">
        <f t="shared" si="2403"/>
        <v>Accepted</v>
      </c>
      <c r="S5893" t="str">
        <f t="shared" si="2392"/>
        <v>Approved</v>
      </c>
      <c r="T5893" t="str">
        <f t="shared" si="2404"/>
        <v>10.20.8.188</v>
      </c>
      <c r="U5893" t="str">
        <f t="shared" si="2393"/>
        <v>AZRAD UMAR BIN SHAARI</v>
      </c>
      <c r="V5893" t="str">
        <f t="shared" si="2394"/>
        <v>FARHANA BINTI MUSTAPA</v>
      </c>
      <c r="W5893" t="str">
        <f t="shared" si="2395"/>
        <v>04-08-2020</v>
      </c>
      <c r="X5893" t="str">
        <f t="shared" si="2396"/>
        <v>RAZIMAH ANSAR AHMAD</v>
      </c>
      <c r="Y5893" t="str">
        <f t="shared" si="2397"/>
        <v>04-08-2020</v>
      </c>
      <c r="Z5893" t="str">
        <f>"COS10200804 3261"</f>
        <v>COS10200804 3261</v>
      </c>
    </row>
    <row r="5894" spans="1:26" x14ac:dyDescent="0.25">
      <c r="A5894" t="str">
        <f t="shared" si="2407"/>
        <v>04-08-2020 12:44:36</v>
      </c>
      <c r="B5894" t="str">
        <f>"0000805028"</f>
        <v>0000805028</v>
      </c>
      <c r="C5894" t="str">
        <f t="shared" si="2408"/>
        <v>0000804968</v>
      </c>
      <c r="D5894" t="str">
        <f t="shared" si="2387"/>
        <v>73185</v>
      </c>
      <c r="E5894" t="str">
        <f t="shared" si="2388"/>
        <v>KFH-OPERATIONS DEPARTMENT</v>
      </c>
      <c r="F5894" t="str">
        <f t="shared" si="2389"/>
        <v>IBG</v>
      </c>
      <c r="G5894" t="str">
        <f t="shared" si="2398"/>
        <v>Refund COSHARE 10</v>
      </c>
      <c r="H5894" s="2">
        <v>532</v>
      </c>
      <c r="I5894" t="str">
        <f>"NURAFIZA BINTI ABD RAZAK"</f>
        <v>NURAFIZA BINTI ABD RAZAK</v>
      </c>
      <c r="J5894" t="str">
        <f t="shared" si="2409"/>
        <v>CIMB BANK / CIMB ISLAMIC BANK</v>
      </c>
      <c r="K5894" t="str">
        <f>"08100063198527"</f>
        <v>08100063198527</v>
      </c>
      <c r="L5894" t="str">
        <f t="shared" si="2410"/>
        <v>04-08-2020</v>
      </c>
      <c r="M5894" t="str">
        <f t="shared" si="2410"/>
        <v>04-08-2020</v>
      </c>
      <c r="N5894" t="str">
        <f t="shared" si="2390"/>
        <v>001105018356</v>
      </c>
      <c r="O5894" t="str">
        <f t="shared" si="2391"/>
        <v>MYR</v>
      </c>
      <c r="P5894" t="str">
        <f t="shared" si="2411"/>
        <v>NIL</v>
      </c>
      <c r="Q5894" t="str">
        <f t="shared" si="2411"/>
        <v>NIL</v>
      </c>
      <c r="R5894" t="str">
        <f t="shared" si="2403"/>
        <v>Accepted</v>
      </c>
      <c r="S5894" t="str">
        <f t="shared" si="2392"/>
        <v>Approved</v>
      </c>
      <c r="T5894" t="str">
        <f t="shared" si="2404"/>
        <v>10.20.8.188</v>
      </c>
      <c r="U5894" t="str">
        <f t="shared" si="2393"/>
        <v>AZRAD UMAR BIN SHAARI</v>
      </c>
      <c r="V5894" t="str">
        <f t="shared" si="2394"/>
        <v>FARHANA BINTI MUSTAPA</v>
      </c>
      <c r="W5894" t="str">
        <f t="shared" si="2395"/>
        <v>04-08-2020</v>
      </c>
      <c r="X5894" t="str">
        <f t="shared" si="2396"/>
        <v>RAZIMAH ANSAR AHMAD</v>
      </c>
      <c r="Y5894" t="str">
        <f t="shared" si="2397"/>
        <v>04-08-2020</v>
      </c>
      <c r="Z5894" t="str">
        <f>"COS10200804 3260"</f>
        <v>COS10200804 3260</v>
      </c>
    </row>
    <row r="5895" spans="1:26" x14ac:dyDescent="0.25">
      <c r="A5895" t="str">
        <f t="shared" si="2407"/>
        <v>04-08-2020 12:44:36</v>
      </c>
      <c r="B5895" t="str">
        <f>"0000805027"</f>
        <v>0000805027</v>
      </c>
      <c r="C5895" t="str">
        <f t="shared" si="2408"/>
        <v>0000804968</v>
      </c>
      <c r="D5895" t="str">
        <f t="shared" ref="D5895:D5958" si="2412">"73185"</f>
        <v>73185</v>
      </c>
      <c r="E5895" t="str">
        <f t="shared" ref="E5895:E5958" si="2413">"KFH-OPERATIONS DEPARTMENT"</f>
        <v>KFH-OPERATIONS DEPARTMENT</v>
      </c>
      <c r="F5895" t="str">
        <f t="shared" ref="F5895:F5958" si="2414">"IBG"</f>
        <v>IBG</v>
      </c>
      <c r="G5895" t="str">
        <f t="shared" si="2398"/>
        <v>Refund COSHARE 10</v>
      </c>
      <c r="H5895" s="2">
        <v>429.8</v>
      </c>
      <c r="I5895" t="str">
        <f>"NUR ZUBAIDAH BINTI NADXAMAN"</f>
        <v>NUR ZUBAIDAH BINTI NADXAMAN</v>
      </c>
      <c r="J5895" t="str">
        <f t="shared" si="2409"/>
        <v>CIMB BANK / CIMB ISLAMIC BANK</v>
      </c>
      <c r="K5895" t="str">
        <f>"7004327126"</f>
        <v>7004327126</v>
      </c>
      <c r="L5895" t="str">
        <f t="shared" si="2410"/>
        <v>04-08-2020</v>
      </c>
      <c r="M5895" t="str">
        <f t="shared" si="2410"/>
        <v>04-08-2020</v>
      </c>
      <c r="N5895" t="str">
        <f t="shared" ref="N5895:N5958" si="2415">"001105018356"</f>
        <v>001105018356</v>
      </c>
      <c r="O5895" t="str">
        <f t="shared" ref="O5895:O5958" si="2416">"MYR"</f>
        <v>MYR</v>
      </c>
      <c r="P5895" t="str">
        <f t="shared" si="2411"/>
        <v>NIL</v>
      </c>
      <c r="Q5895" t="str">
        <f t="shared" si="2411"/>
        <v>NIL</v>
      </c>
      <c r="R5895" t="str">
        <f t="shared" si="2403"/>
        <v>Accepted</v>
      </c>
      <c r="S5895" t="str">
        <f t="shared" ref="S5895:S5958" si="2417">"Approved"</f>
        <v>Approved</v>
      </c>
      <c r="T5895" t="str">
        <f t="shared" si="2404"/>
        <v>10.20.8.188</v>
      </c>
      <c r="U5895" t="str">
        <f t="shared" ref="U5895:U5958" si="2418">"AZRAD UMAR BIN SHAARI"</f>
        <v>AZRAD UMAR BIN SHAARI</v>
      </c>
      <c r="V5895" t="str">
        <f t="shared" ref="V5895:V5958" si="2419">"FARHANA BINTI MUSTAPA"</f>
        <v>FARHANA BINTI MUSTAPA</v>
      </c>
      <c r="W5895" t="str">
        <f t="shared" ref="W5895:W5958" si="2420">"04-08-2020"</f>
        <v>04-08-2020</v>
      </c>
      <c r="X5895" t="str">
        <f t="shared" ref="X5895:X5958" si="2421">"RAZIMAH ANSAR AHMAD"</f>
        <v>RAZIMAH ANSAR AHMAD</v>
      </c>
      <c r="Y5895" t="str">
        <f t="shared" ref="Y5895:Y5958" si="2422">"04-08-2020"</f>
        <v>04-08-2020</v>
      </c>
      <c r="Z5895" t="str">
        <f>"COS10200804 3259"</f>
        <v>COS10200804 3259</v>
      </c>
    </row>
    <row r="5896" spans="1:26" x14ac:dyDescent="0.25">
      <c r="A5896" t="str">
        <f t="shared" si="2407"/>
        <v>04-08-2020 12:44:36</v>
      </c>
      <c r="B5896" t="str">
        <f>"0000805026"</f>
        <v>0000805026</v>
      </c>
      <c r="C5896" t="str">
        <f t="shared" si="2408"/>
        <v>0000804968</v>
      </c>
      <c r="D5896" t="str">
        <f t="shared" si="2412"/>
        <v>73185</v>
      </c>
      <c r="E5896" t="str">
        <f t="shared" si="2413"/>
        <v>KFH-OPERATIONS DEPARTMENT</v>
      </c>
      <c r="F5896" t="str">
        <f t="shared" si="2414"/>
        <v>IBG</v>
      </c>
      <c r="G5896" t="str">
        <f t="shared" si="2398"/>
        <v>Refund COSHARE 10</v>
      </c>
      <c r="H5896" s="2">
        <v>587.65</v>
      </c>
      <c r="I5896" t="str">
        <f>"NUR SURIFA AZLINA BT SULIMAN  SULAIMAN"</f>
        <v>NUR SURIFA AZLINA BT SULIMAN  SULAIMAN</v>
      </c>
      <c r="J5896" t="str">
        <f t="shared" si="2409"/>
        <v>CIMB BANK / CIMB ISLAMIC BANK</v>
      </c>
      <c r="K5896" t="str">
        <f>"7606977990"</f>
        <v>7606977990</v>
      </c>
      <c r="L5896" t="str">
        <f t="shared" si="2410"/>
        <v>04-08-2020</v>
      </c>
      <c r="M5896" t="str">
        <f t="shared" si="2410"/>
        <v>04-08-2020</v>
      </c>
      <c r="N5896" t="str">
        <f t="shared" si="2415"/>
        <v>001105018356</v>
      </c>
      <c r="O5896" t="str">
        <f t="shared" si="2416"/>
        <v>MYR</v>
      </c>
      <c r="P5896" t="str">
        <f t="shared" si="2411"/>
        <v>NIL</v>
      </c>
      <c r="Q5896" t="str">
        <f t="shared" si="2411"/>
        <v>NIL</v>
      </c>
      <c r="R5896" t="str">
        <f t="shared" si="2403"/>
        <v>Accepted</v>
      </c>
      <c r="S5896" t="str">
        <f t="shared" si="2417"/>
        <v>Approved</v>
      </c>
      <c r="T5896" t="str">
        <f t="shared" si="2404"/>
        <v>10.20.8.188</v>
      </c>
      <c r="U5896" t="str">
        <f t="shared" si="2418"/>
        <v>AZRAD UMAR BIN SHAARI</v>
      </c>
      <c r="V5896" t="str">
        <f t="shared" si="2419"/>
        <v>FARHANA BINTI MUSTAPA</v>
      </c>
      <c r="W5896" t="str">
        <f t="shared" si="2420"/>
        <v>04-08-2020</v>
      </c>
      <c r="X5896" t="str">
        <f t="shared" si="2421"/>
        <v>RAZIMAH ANSAR AHMAD</v>
      </c>
      <c r="Y5896" t="str">
        <f t="shared" si="2422"/>
        <v>04-08-2020</v>
      </c>
      <c r="Z5896" t="str">
        <f>"COS10200804 3258"</f>
        <v>COS10200804 3258</v>
      </c>
    </row>
    <row r="5897" spans="1:26" x14ac:dyDescent="0.25">
      <c r="A5897" t="str">
        <f t="shared" si="2407"/>
        <v>04-08-2020 12:44:36</v>
      </c>
      <c r="B5897" t="str">
        <f>"0000805025"</f>
        <v>0000805025</v>
      </c>
      <c r="C5897" t="str">
        <f t="shared" si="2408"/>
        <v>0000804968</v>
      </c>
      <c r="D5897" t="str">
        <f t="shared" si="2412"/>
        <v>73185</v>
      </c>
      <c r="E5897" t="str">
        <f t="shared" si="2413"/>
        <v>KFH-OPERATIONS DEPARTMENT</v>
      </c>
      <c r="F5897" t="str">
        <f t="shared" si="2414"/>
        <v>IBG</v>
      </c>
      <c r="G5897" t="str">
        <f t="shared" si="2398"/>
        <v>Refund COSHARE 10</v>
      </c>
      <c r="H5897" s="2">
        <v>491.15</v>
      </c>
      <c r="I5897" t="str">
        <f>"NUR SAFAWATI BINTI BAHARIM"</f>
        <v>NUR SAFAWATI BINTI BAHARIM</v>
      </c>
      <c r="J5897" t="str">
        <f t="shared" si="2409"/>
        <v>CIMB BANK / CIMB ISLAMIC BANK</v>
      </c>
      <c r="K5897" t="str">
        <f>"04070025135525"</f>
        <v>04070025135525</v>
      </c>
      <c r="L5897" t="str">
        <f t="shared" si="2410"/>
        <v>04-08-2020</v>
      </c>
      <c r="M5897" t="str">
        <f t="shared" si="2410"/>
        <v>04-08-2020</v>
      </c>
      <c r="N5897" t="str">
        <f t="shared" si="2415"/>
        <v>001105018356</v>
      </c>
      <c r="O5897" t="str">
        <f t="shared" si="2416"/>
        <v>MYR</v>
      </c>
      <c r="P5897" t="str">
        <f t="shared" si="2411"/>
        <v>NIL</v>
      </c>
      <c r="Q5897" t="str">
        <f t="shared" si="2411"/>
        <v>NIL</v>
      </c>
      <c r="R5897" t="str">
        <f t="shared" si="2403"/>
        <v>Accepted</v>
      </c>
      <c r="S5897" t="str">
        <f t="shared" si="2417"/>
        <v>Approved</v>
      </c>
      <c r="T5897" t="str">
        <f t="shared" si="2404"/>
        <v>10.20.8.188</v>
      </c>
      <c r="U5897" t="str">
        <f t="shared" si="2418"/>
        <v>AZRAD UMAR BIN SHAARI</v>
      </c>
      <c r="V5897" t="str">
        <f t="shared" si="2419"/>
        <v>FARHANA BINTI MUSTAPA</v>
      </c>
      <c r="W5897" t="str">
        <f t="shared" si="2420"/>
        <v>04-08-2020</v>
      </c>
      <c r="X5897" t="str">
        <f t="shared" si="2421"/>
        <v>RAZIMAH ANSAR AHMAD</v>
      </c>
      <c r="Y5897" t="str">
        <f t="shared" si="2422"/>
        <v>04-08-2020</v>
      </c>
      <c r="Z5897" t="str">
        <f>"COS10200804 3257"</f>
        <v>COS10200804 3257</v>
      </c>
    </row>
    <row r="5898" spans="1:26" x14ac:dyDescent="0.25">
      <c r="A5898" t="str">
        <f t="shared" si="2407"/>
        <v>04-08-2020 12:44:36</v>
      </c>
      <c r="B5898" t="str">
        <f>"0000805024"</f>
        <v>0000805024</v>
      </c>
      <c r="C5898" t="str">
        <f t="shared" si="2408"/>
        <v>0000804968</v>
      </c>
      <c r="D5898" t="str">
        <f t="shared" si="2412"/>
        <v>73185</v>
      </c>
      <c r="E5898" t="str">
        <f t="shared" si="2413"/>
        <v>KFH-OPERATIONS DEPARTMENT</v>
      </c>
      <c r="F5898" t="str">
        <f t="shared" si="2414"/>
        <v>IBG</v>
      </c>
      <c r="G5898" t="str">
        <f t="shared" si="2398"/>
        <v>Refund COSHARE 10</v>
      </c>
      <c r="H5898" s="2">
        <v>1208.9000000000001</v>
      </c>
      <c r="I5898" t="str">
        <f>"NUR NADIA BINTI TAHIR"</f>
        <v>NUR NADIA BINTI TAHIR</v>
      </c>
      <c r="J5898" t="str">
        <f t="shared" si="2409"/>
        <v>CIMB BANK / CIMB ISLAMIC BANK</v>
      </c>
      <c r="K5898" t="str">
        <f>"04050065950526"</f>
        <v>04050065950526</v>
      </c>
      <c r="L5898" t="str">
        <f t="shared" si="2410"/>
        <v>04-08-2020</v>
      </c>
      <c r="M5898" t="str">
        <f t="shared" si="2410"/>
        <v>04-08-2020</v>
      </c>
      <c r="N5898" t="str">
        <f t="shared" si="2415"/>
        <v>001105018356</v>
      </c>
      <c r="O5898" t="str">
        <f t="shared" si="2416"/>
        <v>MYR</v>
      </c>
      <c r="P5898" t="str">
        <f t="shared" si="2411"/>
        <v>NIL</v>
      </c>
      <c r="Q5898" t="str">
        <f t="shared" si="2411"/>
        <v>NIL</v>
      </c>
      <c r="R5898" t="str">
        <f t="shared" si="2403"/>
        <v>Accepted</v>
      </c>
      <c r="S5898" t="str">
        <f t="shared" si="2417"/>
        <v>Approved</v>
      </c>
      <c r="T5898" t="str">
        <f t="shared" si="2404"/>
        <v>10.20.8.188</v>
      </c>
      <c r="U5898" t="str">
        <f t="shared" si="2418"/>
        <v>AZRAD UMAR BIN SHAARI</v>
      </c>
      <c r="V5898" t="str">
        <f t="shared" si="2419"/>
        <v>FARHANA BINTI MUSTAPA</v>
      </c>
      <c r="W5898" t="str">
        <f t="shared" si="2420"/>
        <v>04-08-2020</v>
      </c>
      <c r="X5898" t="str">
        <f t="shared" si="2421"/>
        <v>RAZIMAH ANSAR AHMAD</v>
      </c>
      <c r="Y5898" t="str">
        <f t="shared" si="2422"/>
        <v>04-08-2020</v>
      </c>
      <c r="Z5898" t="str">
        <f>"COS10200804 3256"</f>
        <v>COS10200804 3256</v>
      </c>
    </row>
    <row r="5899" spans="1:26" x14ac:dyDescent="0.25">
      <c r="A5899" t="str">
        <f t="shared" si="2407"/>
        <v>04-08-2020 12:44:36</v>
      </c>
      <c r="B5899" t="str">
        <f>"0000805023"</f>
        <v>0000805023</v>
      </c>
      <c r="C5899" t="str">
        <f t="shared" si="2408"/>
        <v>0000804968</v>
      </c>
      <c r="D5899" t="str">
        <f t="shared" si="2412"/>
        <v>73185</v>
      </c>
      <c r="E5899" t="str">
        <f t="shared" si="2413"/>
        <v>KFH-OPERATIONS DEPARTMENT</v>
      </c>
      <c r="F5899" t="str">
        <f t="shared" si="2414"/>
        <v>IBG</v>
      </c>
      <c r="G5899" t="str">
        <f t="shared" si="2398"/>
        <v>Refund COSHARE 10</v>
      </c>
      <c r="H5899" s="2">
        <v>304</v>
      </c>
      <c r="I5899" t="str">
        <f>"NUR MOHAMAD BIN MOHAMAD SYED"</f>
        <v>NUR MOHAMAD BIN MOHAMAD SYED</v>
      </c>
      <c r="J5899" t="str">
        <f t="shared" si="2409"/>
        <v>CIMB BANK / CIMB ISLAMIC BANK</v>
      </c>
      <c r="K5899" t="str">
        <f>"12150058510520"</f>
        <v>12150058510520</v>
      </c>
      <c r="L5899" t="str">
        <f t="shared" si="2410"/>
        <v>04-08-2020</v>
      </c>
      <c r="M5899" t="str">
        <f t="shared" si="2410"/>
        <v>04-08-2020</v>
      </c>
      <c r="N5899" t="str">
        <f t="shared" si="2415"/>
        <v>001105018356</v>
      </c>
      <c r="O5899" t="str">
        <f t="shared" si="2416"/>
        <v>MYR</v>
      </c>
      <c r="P5899" t="str">
        <f t="shared" si="2411"/>
        <v>NIL</v>
      </c>
      <c r="Q5899" t="str">
        <f t="shared" si="2411"/>
        <v>NIL</v>
      </c>
      <c r="R5899" t="str">
        <f t="shared" si="2403"/>
        <v>Accepted</v>
      </c>
      <c r="S5899" t="str">
        <f t="shared" si="2417"/>
        <v>Approved</v>
      </c>
      <c r="T5899" t="str">
        <f t="shared" si="2404"/>
        <v>10.20.8.188</v>
      </c>
      <c r="U5899" t="str">
        <f t="shared" si="2418"/>
        <v>AZRAD UMAR BIN SHAARI</v>
      </c>
      <c r="V5899" t="str">
        <f t="shared" si="2419"/>
        <v>FARHANA BINTI MUSTAPA</v>
      </c>
      <c r="W5899" t="str">
        <f t="shared" si="2420"/>
        <v>04-08-2020</v>
      </c>
      <c r="X5899" t="str">
        <f t="shared" si="2421"/>
        <v>RAZIMAH ANSAR AHMAD</v>
      </c>
      <c r="Y5899" t="str">
        <f t="shared" si="2422"/>
        <v>04-08-2020</v>
      </c>
      <c r="Z5899" t="str">
        <f>"COS10200804 3255"</f>
        <v>COS10200804 3255</v>
      </c>
    </row>
    <row r="5900" spans="1:26" x14ac:dyDescent="0.25">
      <c r="A5900" t="str">
        <f t="shared" si="2407"/>
        <v>04-08-2020 12:44:36</v>
      </c>
      <c r="B5900" t="str">
        <f>"0000805022"</f>
        <v>0000805022</v>
      </c>
      <c r="C5900" t="str">
        <f t="shared" si="2408"/>
        <v>0000804968</v>
      </c>
      <c r="D5900" t="str">
        <f t="shared" si="2412"/>
        <v>73185</v>
      </c>
      <c r="E5900" t="str">
        <f t="shared" si="2413"/>
        <v>KFH-OPERATIONS DEPARTMENT</v>
      </c>
      <c r="F5900" t="str">
        <f t="shared" si="2414"/>
        <v>IBG</v>
      </c>
      <c r="G5900" t="str">
        <f t="shared" ref="G5900:G5963" si="2423">"Refund COSHARE 10"</f>
        <v>Refund COSHARE 10</v>
      </c>
      <c r="H5900" s="2">
        <v>76</v>
      </c>
      <c r="I5900" t="str">
        <f>"NUR IZYANI BINTI BORHAN"</f>
        <v>NUR IZYANI BINTI BORHAN</v>
      </c>
      <c r="J5900" t="str">
        <f t="shared" si="2409"/>
        <v>CIMB BANK / CIMB ISLAMIC BANK</v>
      </c>
      <c r="K5900" t="str">
        <f>"06130066522526"</f>
        <v>06130066522526</v>
      </c>
      <c r="L5900" t="str">
        <f t="shared" si="2410"/>
        <v>04-08-2020</v>
      </c>
      <c r="M5900" t="str">
        <f t="shared" si="2410"/>
        <v>04-08-2020</v>
      </c>
      <c r="N5900" t="str">
        <f t="shared" si="2415"/>
        <v>001105018356</v>
      </c>
      <c r="O5900" t="str">
        <f t="shared" si="2416"/>
        <v>MYR</v>
      </c>
      <c r="P5900" t="str">
        <f t="shared" si="2411"/>
        <v>NIL</v>
      </c>
      <c r="Q5900" t="str">
        <f t="shared" si="2411"/>
        <v>NIL</v>
      </c>
      <c r="R5900" t="str">
        <f t="shared" si="2403"/>
        <v>Accepted</v>
      </c>
      <c r="S5900" t="str">
        <f t="shared" si="2417"/>
        <v>Approved</v>
      </c>
      <c r="T5900" t="str">
        <f t="shared" si="2404"/>
        <v>10.20.8.188</v>
      </c>
      <c r="U5900" t="str">
        <f t="shared" si="2418"/>
        <v>AZRAD UMAR BIN SHAARI</v>
      </c>
      <c r="V5900" t="str">
        <f t="shared" si="2419"/>
        <v>FARHANA BINTI MUSTAPA</v>
      </c>
      <c r="W5900" t="str">
        <f t="shared" si="2420"/>
        <v>04-08-2020</v>
      </c>
      <c r="X5900" t="str">
        <f t="shared" si="2421"/>
        <v>RAZIMAH ANSAR AHMAD</v>
      </c>
      <c r="Y5900" t="str">
        <f t="shared" si="2422"/>
        <v>04-08-2020</v>
      </c>
      <c r="Z5900" t="str">
        <f>"COS10200804 3254"</f>
        <v>COS10200804 3254</v>
      </c>
    </row>
    <row r="5901" spans="1:26" x14ac:dyDescent="0.25">
      <c r="A5901" t="str">
        <f t="shared" si="2407"/>
        <v>04-08-2020 12:44:36</v>
      </c>
      <c r="B5901" t="str">
        <f>"0000805021"</f>
        <v>0000805021</v>
      </c>
      <c r="C5901" t="str">
        <f t="shared" si="2408"/>
        <v>0000804968</v>
      </c>
      <c r="D5901" t="str">
        <f t="shared" si="2412"/>
        <v>73185</v>
      </c>
      <c r="E5901" t="str">
        <f t="shared" si="2413"/>
        <v>KFH-OPERATIONS DEPARTMENT</v>
      </c>
      <c r="F5901" t="str">
        <f t="shared" si="2414"/>
        <v>IBG</v>
      </c>
      <c r="G5901" t="str">
        <f t="shared" si="2423"/>
        <v>Refund COSHARE 10</v>
      </c>
      <c r="H5901" s="2">
        <v>83.95</v>
      </c>
      <c r="I5901" t="str">
        <f>"NUR HAYATI FARRAHDILA ABDULLAH"</f>
        <v>NUR HAYATI FARRAHDILA ABDULLAH</v>
      </c>
      <c r="J5901" t="str">
        <f t="shared" si="2409"/>
        <v>CIMB BANK / CIMB ISLAMIC BANK</v>
      </c>
      <c r="K5901" t="str">
        <f>"7061885048"</f>
        <v>7061885048</v>
      </c>
      <c r="L5901" t="str">
        <f t="shared" si="2410"/>
        <v>04-08-2020</v>
      </c>
      <c r="M5901" t="str">
        <f t="shared" si="2410"/>
        <v>04-08-2020</v>
      </c>
      <c r="N5901" t="str">
        <f t="shared" si="2415"/>
        <v>001105018356</v>
      </c>
      <c r="O5901" t="str">
        <f t="shared" si="2416"/>
        <v>MYR</v>
      </c>
      <c r="P5901" t="str">
        <f t="shared" si="2411"/>
        <v>NIL</v>
      </c>
      <c r="Q5901" t="str">
        <f t="shared" si="2411"/>
        <v>NIL</v>
      </c>
      <c r="R5901" t="str">
        <f t="shared" si="2403"/>
        <v>Accepted</v>
      </c>
      <c r="S5901" t="str">
        <f t="shared" si="2417"/>
        <v>Approved</v>
      </c>
      <c r="T5901" t="str">
        <f t="shared" si="2404"/>
        <v>10.20.8.188</v>
      </c>
      <c r="U5901" t="str">
        <f t="shared" si="2418"/>
        <v>AZRAD UMAR BIN SHAARI</v>
      </c>
      <c r="V5901" t="str">
        <f t="shared" si="2419"/>
        <v>FARHANA BINTI MUSTAPA</v>
      </c>
      <c r="W5901" t="str">
        <f t="shared" si="2420"/>
        <v>04-08-2020</v>
      </c>
      <c r="X5901" t="str">
        <f t="shared" si="2421"/>
        <v>RAZIMAH ANSAR AHMAD</v>
      </c>
      <c r="Y5901" t="str">
        <f t="shared" si="2422"/>
        <v>04-08-2020</v>
      </c>
      <c r="Z5901" t="str">
        <f>"COS10200804 3253"</f>
        <v>COS10200804 3253</v>
      </c>
    </row>
    <row r="5902" spans="1:26" x14ac:dyDescent="0.25">
      <c r="A5902" t="str">
        <f t="shared" si="2407"/>
        <v>04-08-2020 12:44:36</v>
      </c>
      <c r="B5902" t="str">
        <f>"0000805020"</f>
        <v>0000805020</v>
      </c>
      <c r="C5902" t="str">
        <f t="shared" si="2408"/>
        <v>0000804968</v>
      </c>
      <c r="D5902" t="str">
        <f t="shared" si="2412"/>
        <v>73185</v>
      </c>
      <c r="E5902" t="str">
        <f t="shared" si="2413"/>
        <v>KFH-OPERATIONS DEPARTMENT</v>
      </c>
      <c r="F5902" t="str">
        <f t="shared" si="2414"/>
        <v>IBG</v>
      </c>
      <c r="G5902" t="str">
        <f t="shared" si="2423"/>
        <v>Refund COSHARE 10</v>
      </c>
      <c r="H5902" s="2">
        <v>75.599999999999994</v>
      </c>
      <c r="I5902" t="str">
        <f>"NUR HAFEEZIE BIN MOHD ARIFIN"</f>
        <v>NUR HAFEEZIE BIN MOHD ARIFIN</v>
      </c>
      <c r="J5902" t="str">
        <f t="shared" si="2409"/>
        <v>CIMB BANK / CIMB ISLAMIC BANK</v>
      </c>
      <c r="K5902" t="str">
        <f>"12670006495524"</f>
        <v>12670006495524</v>
      </c>
      <c r="L5902" t="str">
        <f t="shared" si="2410"/>
        <v>04-08-2020</v>
      </c>
      <c r="M5902" t="str">
        <f t="shared" si="2410"/>
        <v>04-08-2020</v>
      </c>
      <c r="N5902" t="str">
        <f t="shared" si="2415"/>
        <v>001105018356</v>
      </c>
      <c r="O5902" t="str">
        <f t="shared" si="2416"/>
        <v>MYR</v>
      </c>
      <c r="P5902" t="str">
        <f t="shared" si="2411"/>
        <v>NIL</v>
      </c>
      <c r="Q5902" t="str">
        <f t="shared" si="2411"/>
        <v>NIL</v>
      </c>
      <c r="R5902" t="str">
        <f t="shared" si="2403"/>
        <v>Accepted</v>
      </c>
      <c r="S5902" t="str">
        <f t="shared" si="2417"/>
        <v>Approved</v>
      </c>
      <c r="T5902" t="str">
        <f t="shared" si="2404"/>
        <v>10.20.8.188</v>
      </c>
      <c r="U5902" t="str">
        <f t="shared" si="2418"/>
        <v>AZRAD UMAR BIN SHAARI</v>
      </c>
      <c r="V5902" t="str">
        <f t="shared" si="2419"/>
        <v>FARHANA BINTI MUSTAPA</v>
      </c>
      <c r="W5902" t="str">
        <f t="shared" si="2420"/>
        <v>04-08-2020</v>
      </c>
      <c r="X5902" t="str">
        <f t="shared" si="2421"/>
        <v>RAZIMAH ANSAR AHMAD</v>
      </c>
      <c r="Y5902" t="str">
        <f t="shared" si="2422"/>
        <v>04-08-2020</v>
      </c>
      <c r="Z5902" t="str">
        <f>"COS10200804 3252"</f>
        <v>COS10200804 3252</v>
      </c>
    </row>
    <row r="5903" spans="1:26" x14ac:dyDescent="0.25">
      <c r="A5903" t="str">
        <f t="shared" si="2407"/>
        <v>04-08-2020 12:44:36</v>
      </c>
      <c r="B5903" t="str">
        <f>"0000805019"</f>
        <v>0000805019</v>
      </c>
      <c r="C5903" t="str">
        <f t="shared" si="2408"/>
        <v>0000804968</v>
      </c>
      <c r="D5903" t="str">
        <f t="shared" si="2412"/>
        <v>73185</v>
      </c>
      <c r="E5903" t="str">
        <f t="shared" si="2413"/>
        <v>KFH-OPERATIONS DEPARTMENT</v>
      </c>
      <c r="F5903" t="str">
        <f t="shared" si="2414"/>
        <v>IBG</v>
      </c>
      <c r="G5903" t="str">
        <f t="shared" si="2423"/>
        <v>Refund COSHARE 10</v>
      </c>
      <c r="H5903" s="2">
        <v>1679</v>
      </c>
      <c r="I5903" t="str">
        <f>"NUR FARAH BINTI ABD GHANI"</f>
        <v>NUR FARAH BINTI ABD GHANI</v>
      </c>
      <c r="J5903" t="str">
        <f t="shared" si="2409"/>
        <v>CIMB BANK / CIMB ISLAMIC BANK</v>
      </c>
      <c r="K5903" t="str">
        <f>"12620001836523"</f>
        <v>12620001836523</v>
      </c>
      <c r="L5903" t="str">
        <f t="shared" si="2410"/>
        <v>04-08-2020</v>
      </c>
      <c r="M5903" t="str">
        <f t="shared" si="2410"/>
        <v>04-08-2020</v>
      </c>
      <c r="N5903" t="str">
        <f t="shared" si="2415"/>
        <v>001105018356</v>
      </c>
      <c r="O5903" t="str">
        <f t="shared" si="2416"/>
        <v>MYR</v>
      </c>
      <c r="P5903" t="str">
        <f t="shared" si="2411"/>
        <v>NIL</v>
      </c>
      <c r="Q5903" t="str">
        <f t="shared" si="2411"/>
        <v>NIL</v>
      </c>
      <c r="R5903" t="str">
        <f t="shared" si="2403"/>
        <v>Accepted</v>
      </c>
      <c r="S5903" t="str">
        <f t="shared" si="2417"/>
        <v>Approved</v>
      </c>
      <c r="T5903" t="str">
        <f t="shared" si="2404"/>
        <v>10.20.8.188</v>
      </c>
      <c r="U5903" t="str">
        <f t="shared" si="2418"/>
        <v>AZRAD UMAR BIN SHAARI</v>
      </c>
      <c r="V5903" t="str">
        <f t="shared" si="2419"/>
        <v>FARHANA BINTI MUSTAPA</v>
      </c>
      <c r="W5903" t="str">
        <f t="shared" si="2420"/>
        <v>04-08-2020</v>
      </c>
      <c r="X5903" t="str">
        <f t="shared" si="2421"/>
        <v>RAZIMAH ANSAR AHMAD</v>
      </c>
      <c r="Y5903" t="str">
        <f t="shared" si="2422"/>
        <v>04-08-2020</v>
      </c>
      <c r="Z5903" t="str">
        <f>"COS10200804 3251"</f>
        <v>COS10200804 3251</v>
      </c>
    </row>
    <row r="5904" spans="1:26" x14ac:dyDescent="0.25">
      <c r="A5904" t="str">
        <f t="shared" si="2407"/>
        <v>04-08-2020 12:44:36</v>
      </c>
      <c r="B5904" t="str">
        <f>"0000805018"</f>
        <v>0000805018</v>
      </c>
      <c r="C5904" t="str">
        <f t="shared" si="2408"/>
        <v>0000804968</v>
      </c>
      <c r="D5904" t="str">
        <f t="shared" si="2412"/>
        <v>73185</v>
      </c>
      <c r="E5904" t="str">
        <f t="shared" si="2413"/>
        <v>KFH-OPERATIONS DEPARTMENT</v>
      </c>
      <c r="F5904" t="str">
        <f t="shared" si="2414"/>
        <v>IBG</v>
      </c>
      <c r="G5904" t="str">
        <f t="shared" si="2423"/>
        <v>Refund COSHARE 10</v>
      </c>
      <c r="H5904" s="2">
        <v>839.5</v>
      </c>
      <c r="I5904" t="str">
        <f>"NUR FAIZURAINI BINTI YAAKOB"</f>
        <v>NUR FAIZURAINI BINTI YAAKOB</v>
      </c>
      <c r="J5904" t="str">
        <f t="shared" si="2409"/>
        <v>CIMB BANK / CIMB ISLAMIC BANK</v>
      </c>
      <c r="K5904" t="str">
        <f>"11090080090528"</f>
        <v>11090080090528</v>
      </c>
      <c r="L5904" t="str">
        <f t="shared" si="2410"/>
        <v>04-08-2020</v>
      </c>
      <c r="M5904" t="str">
        <f t="shared" si="2410"/>
        <v>04-08-2020</v>
      </c>
      <c r="N5904" t="str">
        <f t="shared" si="2415"/>
        <v>001105018356</v>
      </c>
      <c r="O5904" t="str">
        <f t="shared" si="2416"/>
        <v>MYR</v>
      </c>
      <c r="P5904" t="str">
        <f t="shared" si="2411"/>
        <v>NIL</v>
      </c>
      <c r="Q5904" t="str">
        <f t="shared" si="2411"/>
        <v>NIL</v>
      </c>
      <c r="R5904" t="str">
        <f t="shared" si="2403"/>
        <v>Accepted</v>
      </c>
      <c r="S5904" t="str">
        <f t="shared" si="2417"/>
        <v>Approved</v>
      </c>
      <c r="T5904" t="str">
        <f t="shared" si="2404"/>
        <v>10.20.8.188</v>
      </c>
      <c r="U5904" t="str">
        <f t="shared" si="2418"/>
        <v>AZRAD UMAR BIN SHAARI</v>
      </c>
      <c r="V5904" t="str">
        <f t="shared" si="2419"/>
        <v>FARHANA BINTI MUSTAPA</v>
      </c>
      <c r="W5904" t="str">
        <f t="shared" si="2420"/>
        <v>04-08-2020</v>
      </c>
      <c r="X5904" t="str">
        <f t="shared" si="2421"/>
        <v>RAZIMAH ANSAR AHMAD</v>
      </c>
      <c r="Y5904" t="str">
        <f t="shared" si="2422"/>
        <v>04-08-2020</v>
      </c>
      <c r="Z5904" t="str">
        <f>"COS10200804 3250"</f>
        <v>COS10200804 3250</v>
      </c>
    </row>
    <row r="5905" spans="1:26" x14ac:dyDescent="0.25">
      <c r="A5905" t="str">
        <f t="shared" si="2407"/>
        <v>04-08-2020 12:44:36</v>
      </c>
      <c r="B5905" t="str">
        <f>"0000805017"</f>
        <v>0000805017</v>
      </c>
      <c r="C5905" t="str">
        <f t="shared" si="2408"/>
        <v>0000804968</v>
      </c>
      <c r="D5905" t="str">
        <f t="shared" si="2412"/>
        <v>73185</v>
      </c>
      <c r="E5905" t="str">
        <f t="shared" si="2413"/>
        <v>KFH-OPERATIONS DEPARTMENT</v>
      </c>
      <c r="F5905" t="str">
        <f t="shared" si="2414"/>
        <v>IBG</v>
      </c>
      <c r="G5905" t="str">
        <f t="shared" si="2423"/>
        <v>Refund COSHARE 10</v>
      </c>
      <c r="H5905" s="2">
        <v>224.15</v>
      </c>
      <c r="I5905" t="str">
        <f>"NUR EDAWANI BINTI JAMEL"</f>
        <v>NUR EDAWANI BINTI JAMEL</v>
      </c>
      <c r="J5905" t="str">
        <f t="shared" si="2409"/>
        <v>CIMB BANK / CIMB ISLAMIC BANK</v>
      </c>
      <c r="K5905" t="str">
        <f>"7612238786"</f>
        <v>7612238786</v>
      </c>
      <c r="L5905" t="str">
        <f t="shared" si="2410"/>
        <v>04-08-2020</v>
      </c>
      <c r="M5905" t="str">
        <f t="shared" si="2410"/>
        <v>04-08-2020</v>
      </c>
      <c r="N5905" t="str">
        <f t="shared" si="2415"/>
        <v>001105018356</v>
      </c>
      <c r="O5905" t="str">
        <f t="shared" si="2416"/>
        <v>MYR</v>
      </c>
      <c r="P5905" t="str">
        <f t="shared" si="2411"/>
        <v>NIL</v>
      </c>
      <c r="Q5905" t="str">
        <f t="shared" si="2411"/>
        <v>NIL</v>
      </c>
      <c r="R5905" t="str">
        <f t="shared" si="2403"/>
        <v>Accepted</v>
      </c>
      <c r="S5905" t="str">
        <f t="shared" si="2417"/>
        <v>Approved</v>
      </c>
      <c r="T5905" t="str">
        <f t="shared" si="2404"/>
        <v>10.20.8.188</v>
      </c>
      <c r="U5905" t="str">
        <f t="shared" si="2418"/>
        <v>AZRAD UMAR BIN SHAARI</v>
      </c>
      <c r="V5905" t="str">
        <f t="shared" si="2419"/>
        <v>FARHANA BINTI MUSTAPA</v>
      </c>
      <c r="W5905" t="str">
        <f t="shared" si="2420"/>
        <v>04-08-2020</v>
      </c>
      <c r="X5905" t="str">
        <f t="shared" si="2421"/>
        <v>RAZIMAH ANSAR AHMAD</v>
      </c>
      <c r="Y5905" t="str">
        <f t="shared" si="2422"/>
        <v>04-08-2020</v>
      </c>
      <c r="Z5905" t="str">
        <f>"COS10200804 3249"</f>
        <v>COS10200804 3249</v>
      </c>
    </row>
    <row r="5906" spans="1:26" x14ac:dyDescent="0.25">
      <c r="A5906" t="str">
        <f t="shared" si="2407"/>
        <v>04-08-2020 12:44:36</v>
      </c>
      <c r="B5906" t="str">
        <f>"0000805016"</f>
        <v>0000805016</v>
      </c>
      <c r="C5906" t="str">
        <f t="shared" si="2408"/>
        <v>0000804968</v>
      </c>
      <c r="D5906" t="str">
        <f t="shared" si="2412"/>
        <v>73185</v>
      </c>
      <c r="E5906" t="str">
        <f t="shared" si="2413"/>
        <v>KFH-OPERATIONS DEPARTMENT</v>
      </c>
      <c r="F5906" t="str">
        <f t="shared" si="2414"/>
        <v>IBG</v>
      </c>
      <c r="G5906" t="str">
        <f t="shared" si="2423"/>
        <v>Refund COSHARE 10</v>
      </c>
      <c r="H5906" s="2">
        <v>100.75</v>
      </c>
      <c r="I5906" t="str">
        <f>"NUR AZZURA BINTI JUMATLI"</f>
        <v>NUR AZZURA BINTI JUMATLI</v>
      </c>
      <c r="J5906" t="str">
        <f t="shared" si="2409"/>
        <v>CIMB BANK / CIMB ISLAMIC BANK</v>
      </c>
      <c r="K5906" t="str">
        <f>"10130002025208"</f>
        <v>10130002025208</v>
      </c>
      <c r="L5906" t="str">
        <f t="shared" si="2410"/>
        <v>04-08-2020</v>
      </c>
      <c r="M5906" t="str">
        <f t="shared" si="2410"/>
        <v>04-08-2020</v>
      </c>
      <c r="N5906" t="str">
        <f t="shared" si="2415"/>
        <v>001105018356</v>
      </c>
      <c r="O5906" t="str">
        <f t="shared" si="2416"/>
        <v>MYR</v>
      </c>
      <c r="P5906" t="str">
        <f t="shared" si="2411"/>
        <v>NIL</v>
      </c>
      <c r="Q5906" t="str">
        <f t="shared" si="2411"/>
        <v>NIL</v>
      </c>
      <c r="R5906" t="str">
        <f t="shared" si="2403"/>
        <v>Accepted</v>
      </c>
      <c r="S5906" t="str">
        <f t="shared" si="2417"/>
        <v>Approved</v>
      </c>
      <c r="T5906" t="str">
        <f t="shared" si="2404"/>
        <v>10.20.8.188</v>
      </c>
      <c r="U5906" t="str">
        <f t="shared" si="2418"/>
        <v>AZRAD UMAR BIN SHAARI</v>
      </c>
      <c r="V5906" t="str">
        <f t="shared" si="2419"/>
        <v>FARHANA BINTI MUSTAPA</v>
      </c>
      <c r="W5906" t="str">
        <f t="shared" si="2420"/>
        <v>04-08-2020</v>
      </c>
      <c r="X5906" t="str">
        <f t="shared" si="2421"/>
        <v>RAZIMAH ANSAR AHMAD</v>
      </c>
      <c r="Y5906" t="str">
        <f t="shared" si="2422"/>
        <v>04-08-2020</v>
      </c>
      <c r="Z5906" t="str">
        <f>"COS10200804 3248"</f>
        <v>COS10200804 3248</v>
      </c>
    </row>
    <row r="5907" spans="1:26" x14ac:dyDescent="0.25">
      <c r="A5907" t="str">
        <f t="shared" si="2407"/>
        <v>04-08-2020 12:44:36</v>
      </c>
      <c r="B5907" t="str">
        <f>"0000805015"</f>
        <v>0000805015</v>
      </c>
      <c r="C5907" t="str">
        <f t="shared" si="2408"/>
        <v>0000804968</v>
      </c>
      <c r="D5907" t="str">
        <f t="shared" si="2412"/>
        <v>73185</v>
      </c>
      <c r="E5907" t="str">
        <f t="shared" si="2413"/>
        <v>KFH-OPERATIONS DEPARTMENT</v>
      </c>
      <c r="F5907" t="str">
        <f t="shared" si="2414"/>
        <v>IBG</v>
      </c>
      <c r="G5907" t="str">
        <f t="shared" si="2423"/>
        <v>Refund COSHARE 10</v>
      </c>
      <c r="H5907" s="2">
        <v>419.75</v>
      </c>
      <c r="I5907" t="str">
        <f>"NUR AZZIMATUL BINTI ZOLKIFLI"</f>
        <v>NUR AZZIMATUL BINTI ZOLKIFLI</v>
      </c>
      <c r="J5907" t="str">
        <f t="shared" si="2409"/>
        <v>CIMB BANK / CIMB ISLAMIC BANK</v>
      </c>
      <c r="K5907" t="str">
        <f>"12280066026523"</f>
        <v>12280066026523</v>
      </c>
      <c r="L5907" t="str">
        <f t="shared" ref="L5907:M5926" si="2424">"04-08-2020"</f>
        <v>04-08-2020</v>
      </c>
      <c r="M5907" t="str">
        <f t="shared" si="2424"/>
        <v>04-08-2020</v>
      </c>
      <c r="N5907" t="str">
        <f t="shared" si="2415"/>
        <v>001105018356</v>
      </c>
      <c r="O5907" t="str">
        <f t="shared" si="2416"/>
        <v>MYR</v>
      </c>
      <c r="P5907" t="str">
        <f t="shared" ref="P5907:Q5926" si="2425">"NIL"</f>
        <v>NIL</v>
      </c>
      <c r="Q5907" t="str">
        <f t="shared" si="2425"/>
        <v>NIL</v>
      </c>
      <c r="R5907" t="str">
        <f t="shared" si="2403"/>
        <v>Accepted</v>
      </c>
      <c r="S5907" t="str">
        <f t="shared" si="2417"/>
        <v>Approved</v>
      </c>
      <c r="T5907" t="str">
        <f t="shared" si="2404"/>
        <v>10.20.8.188</v>
      </c>
      <c r="U5907" t="str">
        <f t="shared" si="2418"/>
        <v>AZRAD UMAR BIN SHAARI</v>
      </c>
      <c r="V5907" t="str">
        <f t="shared" si="2419"/>
        <v>FARHANA BINTI MUSTAPA</v>
      </c>
      <c r="W5907" t="str">
        <f t="shared" si="2420"/>
        <v>04-08-2020</v>
      </c>
      <c r="X5907" t="str">
        <f t="shared" si="2421"/>
        <v>RAZIMAH ANSAR AHMAD</v>
      </c>
      <c r="Y5907" t="str">
        <f t="shared" si="2422"/>
        <v>04-08-2020</v>
      </c>
      <c r="Z5907" t="str">
        <f>"COS10200804 3247"</f>
        <v>COS10200804 3247</v>
      </c>
    </row>
    <row r="5908" spans="1:26" x14ac:dyDescent="0.25">
      <c r="A5908" t="str">
        <f t="shared" si="2407"/>
        <v>04-08-2020 12:44:36</v>
      </c>
      <c r="B5908" t="str">
        <f>"0000805014"</f>
        <v>0000805014</v>
      </c>
      <c r="C5908" t="str">
        <f t="shared" si="2408"/>
        <v>0000804968</v>
      </c>
      <c r="D5908" t="str">
        <f t="shared" si="2412"/>
        <v>73185</v>
      </c>
      <c r="E5908" t="str">
        <f t="shared" si="2413"/>
        <v>KFH-OPERATIONS DEPARTMENT</v>
      </c>
      <c r="F5908" t="str">
        <f t="shared" si="2414"/>
        <v>IBG</v>
      </c>
      <c r="G5908" t="str">
        <f t="shared" si="2423"/>
        <v>Refund COSHARE 10</v>
      </c>
      <c r="H5908" s="2">
        <v>839.5</v>
      </c>
      <c r="I5908" t="str">
        <f>"NUR AZMAWATI BINTI AZLAN"</f>
        <v>NUR AZMAWATI BINTI AZLAN</v>
      </c>
      <c r="J5908" t="str">
        <f t="shared" si="2409"/>
        <v>CIMB BANK / CIMB ISLAMIC BANK</v>
      </c>
      <c r="K5908" t="str">
        <f>"08160016938523"</f>
        <v>08160016938523</v>
      </c>
      <c r="L5908" t="str">
        <f t="shared" si="2424"/>
        <v>04-08-2020</v>
      </c>
      <c r="M5908" t="str">
        <f t="shared" si="2424"/>
        <v>04-08-2020</v>
      </c>
      <c r="N5908" t="str">
        <f t="shared" si="2415"/>
        <v>001105018356</v>
      </c>
      <c r="O5908" t="str">
        <f t="shared" si="2416"/>
        <v>MYR</v>
      </c>
      <c r="P5908" t="str">
        <f t="shared" si="2425"/>
        <v>NIL</v>
      </c>
      <c r="Q5908" t="str">
        <f t="shared" si="2425"/>
        <v>NIL</v>
      </c>
      <c r="R5908" t="str">
        <f t="shared" si="2403"/>
        <v>Accepted</v>
      </c>
      <c r="S5908" t="str">
        <f t="shared" si="2417"/>
        <v>Approved</v>
      </c>
      <c r="T5908" t="str">
        <f t="shared" si="2404"/>
        <v>10.20.8.188</v>
      </c>
      <c r="U5908" t="str">
        <f t="shared" si="2418"/>
        <v>AZRAD UMAR BIN SHAARI</v>
      </c>
      <c r="V5908" t="str">
        <f t="shared" si="2419"/>
        <v>FARHANA BINTI MUSTAPA</v>
      </c>
      <c r="W5908" t="str">
        <f t="shared" si="2420"/>
        <v>04-08-2020</v>
      </c>
      <c r="X5908" t="str">
        <f t="shared" si="2421"/>
        <v>RAZIMAH ANSAR AHMAD</v>
      </c>
      <c r="Y5908" t="str">
        <f t="shared" si="2422"/>
        <v>04-08-2020</v>
      </c>
      <c r="Z5908" t="str">
        <f>"COS10200804 3246"</f>
        <v>COS10200804 3246</v>
      </c>
    </row>
    <row r="5909" spans="1:26" x14ac:dyDescent="0.25">
      <c r="A5909" t="str">
        <f t="shared" si="2407"/>
        <v>04-08-2020 12:44:36</v>
      </c>
      <c r="B5909" t="str">
        <f>"0000805013"</f>
        <v>0000805013</v>
      </c>
      <c r="C5909" t="str">
        <f t="shared" si="2408"/>
        <v>0000804968</v>
      </c>
      <c r="D5909" t="str">
        <f t="shared" si="2412"/>
        <v>73185</v>
      </c>
      <c r="E5909" t="str">
        <f t="shared" si="2413"/>
        <v>KFH-OPERATIONS DEPARTMENT</v>
      </c>
      <c r="F5909" t="str">
        <f t="shared" si="2414"/>
        <v>IBG</v>
      </c>
      <c r="G5909" t="str">
        <f t="shared" si="2423"/>
        <v>Refund COSHARE 10</v>
      </c>
      <c r="H5909" s="2">
        <v>100.75</v>
      </c>
      <c r="I5909" t="str">
        <f>"NUR AZLAN BIN MOHIDIN"</f>
        <v>NUR AZLAN BIN MOHIDIN</v>
      </c>
      <c r="J5909" t="str">
        <f t="shared" si="2409"/>
        <v>CIMB BANK / CIMB ISLAMIC BANK</v>
      </c>
      <c r="K5909" t="str">
        <f>"7606361468"</f>
        <v>7606361468</v>
      </c>
      <c r="L5909" t="str">
        <f t="shared" si="2424"/>
        <v>04-08-2020</v>
      </c>
      <c r="M5909" t="str">
        <f t="shared" si="2424"/>
        <v>04-08-2020</v>
      </c>
      <c r="N5909" t="str">
        <f t="shared" si="2415"/>
        <v>001105018356</v>
      </c>
      <c r="O5909" t="str">
        <f t="shared" si="2416"/>
        <v>MYR</v>
      </c>
      <c r="P5909" t="str">
        <f t="shared" si="2425"/>
        <v>NIL</v>
      </c>
      <c r="Q5909" t="str">
        <f t="shared" si="2425"/>
        <v>NIL</v>
      </c>
      <c r="R5909" t="str">
        <f t="shared" si="2403"/>
        <v>Accepted</v>
      </c>
      <c r="S5909" t="str">
        <f t="shared" si="2417"/>
        <v>Approved</v>
      </c>
      <c r="T5909" t="str">
        <f t="shared" si="2404"/>
        <v>10.20.8.188</v>
      </c>
      <c r="U5909" t="str">
        <f t="shared" si="2418"/>
        <v>AZRAD UMAR BIN SHAARI</v>
      </c>
      <c r="V5909" t="str">
        <f t="shared" si="2419"/>
        <v>FARHANA BINTI MUSTAPA</v>
      </c>
      <c r="W5909" t="str">
        <f t="shared" si="2420"/>
        <v>04-08-2020</v>
      </c>
      <c r="X5909" t="str">
        <f t="shared" si="2421"/>
        <v>RAZIMAH ANSAR AHMAD</v>
      </c>
      <c r="Y5909" t="str">
        <f t="shared" si="2422"/>
        <v>04-08-2020</v>
      </c>
      <c r="Z5909" t="str">
        <f>"COS10200804 3245"</f>
        <v>COS10200804 3245</v>
      </c>
    </row>
    <row r="5910" spans="1:26" x14ac:dyDescent="0.25">
      <c r="A5910" t="str">
        <f t="shared" si="2407"/>
        <v>04-08-2020 12:44:36</v>
      </c>
      <c r="B5910" t="str">
        <f>"0000805012"</f>
        <v>0000805012</v>
      </c>
      <c r="C5910" t="str">
        <f t="shared" si="2408"/>
        <v>0000804968</v>
      </c>
      <c r="D5910" t="str">
        <f t="shared" si="2412"/>
        <v>73185</v>
      </c>
      <c r="E5910" t="str">
        <f t="shared" si="2413"/>
        <v>KFH-OPERATIONS DEPARTMENT</v>
      </c>
      <c r="F5910" t="str">
        <f t="shared" si="2414"/>
        <v>IBG</v>
      </c>
      <c r="G5910" t="str">
        <f t="shared" si="2423"/>
        <v>Refund COSHARE 10</v>
      </c>
      <c r="H5910" s="2">
        <v>585</v>
      </c>
      <c r="I5910" t="str">
        <f>"NUR AQILAH BINTI SAMSUDDIN"</f>
        <v>NUR AQILAH BINTI SAMSUDDIN</v>
      </c>
      <c r="J5910" t="str">
        <f t="shared" si="2409"/>
        <v>CIMB BANK / CIMB ISLAMIC BANK</v>
      </c>
      <c r="K5910" t="str">
        <f>"7030392079"</f>
        <v>7030392079</v>
      </c>
      <c r="L5910" t="str">
        <f t="shared" si="2424"/>
        <v>04-08-2020</v>
      </c>
      <c r="M5910" t="str">
        <f t="shared" si="2424"/>
        <v>04-08-2020</v>
      </c>
      <c r="N5910" t="str">
        <f t="shared" si="2415"/>
        <v>001105018356</v>
      </c>
      <c r="O5910" t="str">
        <f t="shared" si="2416"/>
        <v>MYR</v>
      </c>
      <c r="P5910" t="str">
        <f t="shared" si="2425"/>
        <v>NIL</v>
      </c>
      <c r="Q5910" t="str">
        <f t="shared" si="2425"/>
        <v>NIL</v>
      </c>
      <c r="R5910" t="str">
        <f t="shared" si="2403"/>
        <v>Accepted</v>
      </c>
      <c r="S5910" t="str">
        <f t="shared" si="2417"/>
        <v>Approved</v>
      </c>
      <c r="T5910" t="str">
        <f t="shared" si="2404"/>
        <v>10.20.8.188</v>
      </c>
      <c r="U5910" t="str">
        <f t="shared" si="2418"/>
        <v>AZRAD UMAR BIN SHAARI</v>
      </c>
      <c r="V5910" t="str">
        <f t="shared" si="2419"/>
        <v>FARHANA BINTI MUSTAPA</v>
      </c>
      <c r="W5910" t="str">
        <f t="shared" si="2420"/>
        <v>04-08-2020</v>
      </c>
      <c r="X5910" t="str">
        <f t="shared" si="2421"/>
        <v>RAZIMAH ANSAR AHMAD</v>
      </c>
      <c r="Y5910" t="str">
        <f t="shared" si="2422"/>
        <v>04-08-2020</v>
      </c>
      <c r="Z5910" t="str">
        <f>"COS10200804 3244"</f>
        <v>COS10200804 3244</v>
      </c>
    </row>
    <row r="5911" spans="1:26" x14ac:dyDescent="0.25">
      <c r="A5911" t="str">
        <f t="shared" si="2407"/>
        <v>04-08-2020 12:44:36</v>
      </c>
      <c r="B5911" t="str">
        <f>"0000805011"</f>
        <v>0000805011</v>
      </c>
      <c r="C5911" t="str">
        <f t="shared" si="2408"/>
        <v>0000804968</v>
      </c>
      <c r="D5911" t="str">
        <f t="shared" si="2412"/>
        <v>73185</v>
      </c>
      <c r="E5911" t="str">
        <f t="shared" si="2413"/>
        <v>KFH-OPERATIONS DEPARTMENT</v>
      </c>
      <c r="F5911" t="str">
        <f t="shared" si="2414"/>
        <v>IBG</v>
      </c>
      <c r="G5911" t="str">
        <f t="shared" si="2423"/>
        <v>Refund COSHARE 10</v>
      </c>
      <c r="H5911" s="2">
        <v>419.75</v>
      </c>
      <c r="I5911" t="str">
        <f>"NUR AIN ZULAIKHA BINTI MOHD ZAHID"</f>
        <v>NUR AIN ZULAIKHA BINTI MOHD ZAHID</v>
      </c>
      <c r="J5911" t="str">
        <f t="shared" si="2409"/>
        <v>CIMB BANK / CIMB ISLAMIC BANK</v>
      </c>
      <c r="K5911" t="str">
        <f>"7601163377"</f>
        <v>7601163377</v>
      </c>
      <c r="L5911" t="str">
        <f t="shared" si="2424"/>
        <v>04-08-2020</v>
      </c>
      <c r="M5911" t="str">
        <f t="shared" si="2424"/>
        <v>04-08-2020</v>
      </c>
      <c r="N5911" t="str">
        <f t="shared" si="2415"/>
        <v>001105018356</v>
      </c>
      <c r="O5911" t="str">
        <f t="shared" si="2416"/>
        <v>MYR</v>
      </c>
      <c r="P5911" t="str">
        <f t="shared" si="2425"/>
        <v>NIL</v>
      </c>
      <c r="Q5911" t="str">
        <f t="shared" si="2425"/>
        <v>NIL</v>
      </c>
      <c r="R5911" t="str">
        <f t="shared" si="2403"/>
        <v>Accepted</v>
      </c>
      <c r="S5911" t="str">
        <f t="shared" si="2417"/>
        <v>Approved</v>
      </c>
      <c r="T5911" t="str">
        <f t="shared" si="2404"/>
        <v>10.20.8.188</v>
      </c>
      <c r="U5911" t="str">
        <f t="shared" si="2418"/>
        <v>AZRAD UMAR BIN SHAARI</v>
      </c>
      <c r="V5911" t="str">
        <f t="shared" si="2419"/>
        <v>FARHANA BINTI MUSTAPA</v>
      </c>
      <c r="W5911" t="str">
        <f t="shared" si="2420"/>
        <v>04-08-2020</v>
      </c>
      <c r="X5911" t="str">
        <f t="shared" si="2421"/>
        <v>RAZIMAH ANSAR AHMAD</v>
      </c>
      <c r="Y5911" t="str">
        <f t="shared" si="2422"/>
        <v>04-08-2020</v>
      </c>
      <c r="Z5911" t="str">
        <f>"COS10200804 3243"</f>
        <v>COS10200804 3243</v>
      </c>
    </row>
    <row r="5912" spans="1:26" x14ac:dyDescent="0.25">
      <c r="A5912" t="str">
        <f t="shared" si="2407"/>
        <v>04-08-2020 12:44:36</v>
      </c>
      <c r="B5912" t="str">
        <f>"0000805010"</f>
        <v>0000805010</v>
      </c>
      <c r="C5912" t="str">
        <f t="shared" si="2408"/>
        <v>0000804968</v>
      </c>
      <c r="D5912" t="str">
        <f t="shared" si="2412"/>
        <v>73185</v>
      </c>
      <c r="E5912" t="str">
        <f t="shared" si="2413"/>
        <v>KFH-OPERATIONS DEPARTMENT</v>
      </c>
      <c r="F5912" t="str">
        <f t="shared" si="2414"/>
        <v>IBG</v>
      </c>
      <c r="G5912" t="str">
        <f t="shared" si="2423"/>
        <v>Refund COSHARE 10</v>
      </c>
      <c r="H5912" s="2">
        <v>759</v>
      </c>
      <c r="I5912" t="str">
        <f>"NUR ADILLAH BINTI KAMARUZZAMAN"</f>
        <v>NUR ADILLAH BINTI KAMARUZZAMAN</v>
      </c>
      <c r="J5912" t="str">
        <f t="shared" si="2409"/>
        <v>CIMB BANK / CIMB ISLAMIC BANK</v>
      </c>
      <c r="K5912" t="str">
        <f>"08030110219528"</f>
        <v>08030110219528</v>
      </c>
      <c r="L5912" t="str">
        <f t="shared" si="2424"/>
        <v>04-08-2020</v>
      </c>
      <c r="M5912" t="str">
        <f t="shared" si="2424"/>
        <v>04-08-2020</v>
      </c>
      <c r="N5912" t="str">
        <f t="shared" si="2415"/>
        <v>001105018356</v>
      </c>
      <c r="O5912" t="str">
        <f t="shared" si="2416"/>
        <v>MYR</v>
      </c>
      <c r="P5912" t="str">
        <f t="shared" si="2425"/>
        <v>NIL</v>
      </c>
      <c r="Q5912" t="str">
        <f t="shared" si="2425"/>
        <v>NIL</v>
      </c>
      <c r="R5912" t="str">
        <f t="shared" si="2403"/>
        <v>Accepted</v>
      </c>
      <c r="S5912" t="str">
        <f t="shared" si="2417"/>
        <v>Approved</v>
      </c>
      <c r="T5912" t="str">
        <f t="shared" si="2404"/>
        <v>10.20.8.188</v>
      </c>
      <c r="U5912" t="str">
        <f t="shared" si="2418"/>
        <v>AZRAD UMAR BIN SHAARI</v>
      </c>
      <c r="V5912" t="str">
        <f t="shared" si="2419"/>
        <v>FARHANA BINTI MUSTAPA</v>
      </c>
      <c r="W5912" t="str">
        <f t="shared" si="2420"/>
        <v>04-08-2020</v>
      </c>
      <c r="X5912" t="str">
        <f t="shared" si="2421"/>
        <v>RAZIMAH ANSAR AHMAD</v>
      </c>
      <c r="Y5912" t="str">
        <f t="shared" si="2422"/>
        <v>04-08-2020</v>
      </c>
      <c r="Z5912" t="str">
        <f>"COS10200804 3242"</f>
        <v>COS10200804 3242</v>
      </c>
    </row>
    <row r="5913" spans="1:26" x14ac:dyDescent="0.25">
      <c r="A5913" t="str">
        <f t="shared" si="2407"/>
        <v>04-08-2020 12:44:36</v>
      </c>
      <c r="B5913" t="str">
        <f>"0000805009"</f>
        <v>0000805009</v>
      </c>
      <c r="C5913" t="str">
        <f t="shared" si="2408"/>
        <v>0000804968</v>
      </c>
      <c r="D5913" t="str">
        <f t="shared" si="2412"/>
        <v>73185</v>
      </c>
      <c r="E5913" t="str">
        <f t="shared" si="2413"/>
        <v>KFH-OPERATIONS DEPARTMENT</v>
      </c>
      <c r="F5913" t="str">
        <f t="shared" si="2414"/>
        <v>IBG</v>
      </c>
      <c r="G5913" t="str">
        <f t="shared" si="2423"/>
        <v>Refund COSHARE 10</v>
      </c>
      <c r="H5913" s="2">
        <v>1260</v>
      </c>
      <c r="I5913" t="str">
        <f>"NUARJI BIN SAWATAN"</f>
        <v>NUARJI BIN SAWATAN</v>
      </c>
      <c r="J5913" t="str">
        <f t="shared" si="2409"/>
        <v>CIMB BANK / CIMB ISLAMIC BANK</v>
      </c>
      <c r="K5913" t="str">
        <f>"7070672101"</f>
        <v>7070672101</v>
      </c>
      <c r="L5913" t="str">
        <f t="shared" si="2424"/>
        <v>04-08-2020</v>
      </c>
      <c r="M5913" t="str">
        <f t="shared" si="2424"/>
        <v>04-08-2020</v>
      </c>
      <c r="N5913" t="str">
        <f t="shared" si="2415"/>
        <v>001105018356</v>
      </c>
      <c r="O5913" t="str">
        <f t="shared" si="2416"/>
        <v>MYR</v>
      </c>
      <c r="P5913" t="str">
        <f t="shared" si="2425"/>
        <v>NIL</v>
      </c>
      <c r="Q5913" t="str">
        <f t="shared" si="2425"/>
        <v>NIL</v>
      </c>
      <c r="R5913" t="str">
        <f t="shared" si="2403"/>
        <v>Accepted</v>
      </c>
      <c r="S5913" t="str">
        <f t="shared" si="2417"/>
        <v>Approved</v>
      </c>
      <c r="T5913" t="str">
        <f t="shared" si="2404"/>
        <v>10.20.8.188</v>
      </c>
      <c r="U5913" t="str">
        <f t="shared" si="2418"/>
        <v>AZRAD UMAR BIN SHAARI</v>
      </c>
      <c r="V5913" t="str">
        <f t="shared" si="2419"/>
        <v>FARHANA BINTI MUSTAPA</v>
      </c>
      <c r="W5913" t="str">
        <f t="shared" si="2420"/>
        <v>04-08-2020</v>
      </c>
      <c r="X5913" t="str">
        <f t="shared" si="2421"/>
        <v>RAZIMAH ANSAR AHMAD</v>
      </c>
      <c r="Y5913" t="str">
        <f t="shared" si="2422"/>
        <v>04-08-2020</v>
      </c>
      <c r="Z5913" t="str">
        <f>"COS10200804 3241"</f>
        <v>COS10200804 3241</v>
      </c>
    </row>
    <row r="5914" spans="1:26" x14ac:dyDescent="0.25">
      <c r="A5914" t="str">
        <f t="shared" ref="A5914:A5945" si="2426">"04-08-2020 12:44:36"</f>
        <v>04-08-2020 12:44:36</v>
      </c>
      <c r="B5914" t="str">
        <f>"0000805008"</f>
        <v>0000805008</v>
      </c>
      <c r="C5914" t="str">
        <f t="shared" ref="C5914:C5945" si="2427">"0000804968"</f>
        <v>0000804968</v>
      </c>
      <c r="D5914" t="str">
        <f t="shared" si="2412"/>
        <v>73185</v>
      </c>
      <c r="E5914" t="str">
        <f t="shared" si="2413"/>
        <v>KFH-OPERATIONS DEPARTMENT</v>
      </c>
      <c r="F5914" t="str">
        <f t="shared" si="2414"/>
        <v>IBG</v>
      </c>
      <c r="G5914" t="str">
        <f t="shared" si="2423"/>
        <v>Refund COSHARE 10</v>
      </c>
      <c r="H5914" s="2">
        <v>587.65</v>
      </c>
      <c r="I5914" t="str">
        <f>"NORZULAILA BINTI AWANG NIT"</f>
        <v>NORZULAILA BINTI AWANG NIT</v>
      </c>
      <c r="J5914" t="str">
        <f t="shared" si="2409"/>
        <v>CIMB BANK / CIMB ISLAMIC BANK</v>
      </c>
      <c r="K5914" t="str">
        <f>"06130071390521"</f>
        <v>06130071390521</v>
      </c>
      <c r="L5914" t="str">
        <f t="shared" si="2424"/>
        <v>04-08-2020</v>
      </c>
      <c r="M5914" t="str">
        <f t="shared" si="2424"/>
        <v>04-08-2020</v>
      </c>
      <c r="N5914" t="str">
        <f t="shared" si="2415"/>
        <v>001105018356</v>
      </c>
      <c r="O5914" t="str">
        <f t="shared" si="2416"/>
        <v>MYR</v>
      </c>
      <c r="P5914" t="str">
        <f t="shared" si="2425"/>
        <v>NIL</v>
      </c>
      <c r="Q5914" t="str">
        <f t="shared" si="2425"/>
        <v>NIL</v>
      </c>
      <c r="R5914" t="str">
        <f t="shared" si="2403"/>
        <v>Accepted</v>
      </c>
      <c r="S5914" t="str">
        <f t="shared" si="2417"/>
        <v>Approved</v>
      </c>
      <c r="T5914" t="str">
        <f t="shared" si="2404"/>
        <v>10.20.8.188</v>
      </c>
      <c r="U5914" t="str">
        <f t="shared" si="2418"/>
        <v>AZRAD UMAR BIN SHAARI</v>
      </c>
      <c r="V5914" t="str">
        <f t="shared" si="2419"/>
        <v>FARHANA BINTI MUSTAPA</v>
      </c>
      <c r="W5914" t="str">
        <f t="shared" si="2420"/>
        <v>04-08-2020</v>
      </c>
      <c r="X5914" t="str">
        <f t="shared" si="2421"/>
        <v>RAZIMAH ANSAR AHMAD</v>
      </c>
      <c r="Y5914" t="str">
        <f t="shared" si="2422"/>
        <v>04-08-2020</v>
      </c>
      <c r="Z5914" t="str">
        <f>"COS10200804 3240"</f>
        <v>COS10200804 3240</v>
      </c>
    </row>
    <row r="5915" spans="1:26" x14ac:dyDescent="0.25">
      <c r="A5915" t="str">
        <f t="shared" si="2426"/>
        <v>04-08-2020 12:44:36</v>
      </c>
      <c r="B5915" t="str">
        <f>"0000805007"</f>
        <v>0000805007</v>
      </c>
      <c r="C5915" t="str">
        <f t="shared" si="2427"/>
        <v>0000804968</v>
      </c>
      <c r="D5915" t="str">
        <f t="shared" si="2412"/>
        <v>73185</v>
      </c>
      <c r="E5915" t="str">
        <f t="shared" si="2413"/>
        <v>KFH-OPERATIONS DEPARTMENT</v>
      </c>
      <c r="F5915" t="str">
        <f t="shared" si="2414"/>
        <v>IBG</v>
      </c>
      <c r="G5915" t="str">
        <f t="shared" si="2423"/>
        <v>Refund COSHARE 10</v>
      </c>
      <c r="H5915" s="2">
        <v>109.15</v>
      </c>
      <c r="I5915" t="str">
        <f>"NORZIZI BINTI ZAKARIA"</f>
        <v>NORZIZI BINTI ZAKARIA</v>
      </c>
      <c r="J5915" t="str">
        <f t="shared" si="2409"/>
        <v>CIMB BANK / CIMB ISLAMIC BANK</v>
      </c>
      <c r="K5915" t="str">
        <f>"14350072261523"</f>
        <v>14350072261523</v>
      </c>
      <c r="L5915" t="str">
        <f t="shared" si="2424"/>
        <v>04-08-2020</v>
      </c>
      <c r="M5915" t="str">
        <f t="shared" si="2424"/>
        <v>04-08-2020</v>
      </c>
      <c r="N5915" t="str">
        <f t="shared" si="2415"/>
        <v>001105018356</v>
      </c>
      <c r="O5915" t="str">
        <f t="shared" si="2416"/>
        <v>MYR</v>
      </c>
      <c r="P5915" t="str">
        <f t="shared" si="2425"/>
        <v>NIL</v>
      </c>
      <c r="Q5915" t="str">
        <f t="shared" si="2425"/>
        <v>NIL</v>
      </c>
      <c r="R5915" t="str">
        <f t="shared" si="2403"/>
        <v>Accepted</v>
      </c>
      <c r="S5915" t="str">
        <f t="shared" si="2417"/>
        <v>Approved</v>
      </c>
      <c r="T5915" t="str">
        <f t="shared" si="2404"/>
        <v>10.20.8.188</v>
      </c>
      <c r="U5915" t="str">
        <f t="shared" si="2418"/>
        <v>AZRAD UMAR BIN SHAARI</v>
      </c>
      <c r="V5915" t="str">
        <f t="shared" si="2419"/>
        <v>FARHANA BINTI MUSTAPA</v>
      </c>
      <c r="W5915" t="str">
        <f t="shared" si="2420"/>
        <v>04-08-2020</v>
      </c>
      <c r="X5915" t="str">
        <f t="shared" si="2421"/>
        <v>RAZIMAH ANSAR AHMAD</v>
      </c>
      <c r="Y5915" t="str">
        <f t="shared" si="2422"/>
        <v>04-08-2020</v>
      </c>
      <c r="Z5915" t="str">
        <f>"COS10200804 3239"</f>
        <v>COS10200804 3239</v>
      </c>
    </row>
    <row r="5916" spans="1:26" x14ac:dyDescent="0.25">
      <c r="A5916" t="str">
        <f t="shared" si="2426"/>
        <v>04-08-2020 12:44:36</v>
      </c>
      <c r="B5916" t="str">
        <f>"0000805006"</f>
        <v>0000805006</v>
      </c>
      <c r="C5916" t="str">
        <f t="shared" si="2427"/>
        <v>0000804968</v>
      </c>
      <c r="D5916" t="str">
        <f t="shared" si="2412"/>
        <v>73185</v>
      </c>
      <c r="E5916" t="str">
        <f t="shared" si="2413"/>
        <v>KFH-OPERATIONS DEPARTMENT</v>
      </c>
      <c r="F5916" t="str">
        <f t="shared" si="2414"/>
        <v>IBG</v>
      </c>
      <c r="G5916" t="str">
        <f t="shared" si="2423"/>
        <v>Refund COSHARE 10</v>
      </c>
      <c r="H5916" s="2">
        <v>94.65</v>
      </c>
      <c r="I5916" t="str">
        <f>"NORZIEANA BINTI ABD SHUKOR"</f>
        <v>NORZIEANA BINTI ABD SHUKOR</v>
      </c>
      <c r="J5916" t="str">
        <f t="shared" si="2409"/>
        <v>CIMB BANK / CIMB ISLAMIC BANK</v>
      </c>
      <c r="K5916" t="str">
        <f>"14400095448529"</f>
        <v>14400095448529</v>
      </c>
      <c r="L5916" t="str">
        <f t="shared" si="2424"/>
        <v>04-08-2020</v>
      </c>
      <c r="M5916" t="str">
        <f t="shared" si="2424"/>
        <v>04-08-2020</v>
      </c>
      <c r="N5916" t="str">
        <f t="shared" si="2415"/>
        <v>001105018356</v>
      </c>
      <c r="O5916" t="str">
        <f t="shared" si="2416"/>
        <v>MYR</v>
      </c>
      <c r="P5916" t="str">
        <f t="shared" si="2425"/>
        <v>NIL</v>
      </c>
      <c r="Q5916" t="str">
        <f t="shared" si="2425"/>
        <v>NIL</v>
      </c>
      <c r="R5916" t="str">
        <f t="shared" si="2403"/>
        <v>Accepted</v>
      </c>
      <c r="S5916" t="str">
        <f t="shared" si="2417"/>
        <v>Approved</v>
      </c>
      <c r="T5916" t="str">
        <f t="shared" si="2404"/>
        <v>10.20.8.188</v>
      </c>
      <c r="U5916" t="str">
        <f t="shared" si="2418"/>
        <v>AZRAD UMAR BIN SHAARI</v>
      </c>
      <c r="V5916" t="str">
        <f t="shared" si="2419"/>
        <v>FARHANA BINTI MUSTAPA</v>
      </c>
      <c r="W5916" t="str">
        <f t="shared" si="2420"/>
        <v>04-08-2020</v>
      </c>
      <c r="X5916" t="str">
        <f t="shared" si="2421"/>
        <v>RAZIMAH ANSAR AHMAD</v>
      </c>
      <c r="Y5916" t="str">
        <f t="shared" si="2422"/>
        <v>04-08-2020</v>
      </c>
      <c r="Z5916" t="str">
        <f>"COS10200804 3238"</f>
        <v>COS10200804 3238</v>
      </c>
    </row>
    <row r="5917" spans="1:26" x14ac:dyDescent="0.25">
      <c r="A5917" t="str">
        <f t="shared" si="2426"/>
        <v>04-08-2020 12:44:36</v>
      </c>
      <c r="B5917" t="str">
        <f>"0000805005"</f>
        <v>0000805005</v>
      </c>
      <c r="C5917" t="str">
        <f t="shared" si="2427"/>
        <v>0000804968</v>
      </c>
      <c r="D5917" t="str">
        <f t="shared" si="2412"/>
        <v>73185</v>
      </c>
      <c r="E5917" t="str">
        <f t="shared" si="2413"/>
        <v>KFH-OPERATIONS DEPARTMENT</v>
      </c>
      <c r="F5917" t="str">
        <f t="shared" si="2414"/>
        <v>IBG</v>
      </c>
      <c r="G5917" t="str">
        <f t="shared" si="2423"/>
        <v>Refund COSHARE 10</v>
      </c>
      <c r="H5917" s="2">
        <v>965.45</v>
      </c>
      <c r="I5917" t="str">
        <f>"NORZALIZAWATI ARYANI BINTI MD TAHIR"</f>
        <v>NORZALIZAWATI ARYANI BINTI MD TAHIR</v>
      </c>
      <c r="J5917" t="str">
        <f t="shared" si="2409"/>
        <v>CIMB BANK / CIMB ISLAMIC BANK</v>
      </c>
      <c r="K5917" t="str">
        <f>"7002306682"</f>
        <v>7002306682</v>
      </c>
      <c r="L5917" t="str">
        <f t="shared" si="2424"/>
        <v>04-08-2020</v>
      </c>
      <c r="M5917" t="str">
        <f t="shared" si="2424"/>
        <v>04-08-2020</v>
      </c>
      <c r="N5917" t="str">
        <f t="shared" si="2415"/>
        <v>001105018356</v>
      </c>
      <c r="O5917" t="str">
        <f t="shared" si="2416"/>
        <v>MYR</v>
      </c>
      <c r="P5917" t="str">
        <f t="shared" si="2425"/>
        <v>NIL</v>
      </c>
      <c r="Q5917" t="str">
        <f t="shared" si="2425"/>
        <v>NIL</v>
      </c>
      <c r="R5917" t="str">
        <f t="shared" si="2403"/>
        <v>Accepted</v>
      </c>
      <c r="S5917" t="str">
        <f t="shared" si="2417"/>
        <v>Approved</v>
      </c>
      <c r="T5917" t="str">
        <f t="shared" si="2404"/>
        <v>10.20.8.188</v>
      </c>
      <c r="U5917" t="str">
        <f t="shared" si="2418"/>
        <v>AZRAD UMAR BIN SHAARI</v>
      </c>
      <c r="V5917" t="str">
        <f t="shared" si="2419"/>
        <v>FARHANA BINTI MUSTAPA</v>
      </c>
      <c r="W5917" t="str">
        <f t="shared" si="2420"/>
        <v>04-08-2020</v>
      </c>
      <c r="X5917" t="str">
        <f t="shared" si="2421"/>
        <v>RAZIMAH ANSAR AHMAD</v>
      </c>
      <c r="Y5917" t="str">
        <f t="shared" si="2422"/>
        <v>04-08-2020</v>
      </c>
      <c r="Z5917" t="str">
        <f>"COS10200804 3237"</f>
        <v>COS10200804 3237</v>
      </c>
    </row>
    <row r="5918" spans="1:26" x14ac:dyDescent="0.25">
      <c r="A5918" t="str">
        <f t="shared" si="2426"/>
        <v>04-08-2020 12:44:36</v>
      </c>
      <c r="B5918" t="str">
        <f>"0000805004"</f>
        <v>0000805004</v>
      </c>
      <c r="C5918" t="str">
        <f t="shared" si="2427"/>
        <v>0000804968</v>
      </c>
      <c r="D5918" t="str">
        <f t="shared" si="2412"/>
        <v>73185</v>
      </c>
      <c r="E5918" t="str">
        <f t="shared" si="2413"/>
        <v>KFH-OPERATIONS DEPARTMENT</v>
      </c>
      <c r="F5918" t="str">
        <f t="shared" si="2414"/>
        <v>IBG</v>
      </c>
      <c r="G5918" t="str">
        <f t="shared" si="2423"/>
        <v>Refund COSHARE 10</v>
      </c>
      <c r="H5918" s="2">
        <v>965.45</v>
      </c>
      <c r="I5918" t="str">
        <f>"NORZALIZAWATI ARYANI BINTI MD TAHIR"</f>
        <v>NORZALIZAWATI ARYANI BINTI MD TAHIR</v>
      </c>
      <c r="J5918" t="str">
        <f t="shared" si="2409"/>
        <v>CIMB BANK / CIMB ISLAMIC BANK</v>
      </c>
      <c r="K5918" t="str">
        <f>"7002306682"</f>
        <v>7002306682</v>
      </c>
      <c r="L5918" t="str">
        <f t="shared" si="2424"/>
        <v>04-08-2020</v>
      </c>
      <c r="M5918" t="str">
        <f t="shared" si="2424"/>
        <v>04-08-2020</v>
      </c>
      <c r="N5918" t="str">
        <f t="shared" si="2415"/>
        <v>001105018356</v>
      </c>
      <c r="O5918" t="str">
        <f t="shared" si="2416"/>
        <v>MYR</v>
      </c>
      <c r="P5918" t="str">
        <f t="shared" si="2425"/>
        <v>NIL</v>
      </c>
      <c r="Q5918" t="str">
        <f t="shared" si="2425"/>
        <v>NIL</v>
      </c>
      <c r="R5918" t="str">
        <f t="shared" si="2403"/>
        <v>Accepted</v>
      </c>
      <c r="S5918" t="str">
        <f t="shared" si="2417"/>
        <v>Approved</v>
      </c>
      <c r="T5918" t="str">
        <f t="shared" si="2404"/>
        <v>10.20.8.188</v>
      </c>
      <c r="U5918" t="str">
        <f t="shared" si="2418"/>
        <v>AZRAD UMAR BIN SHAARI</v>
      </c>
      <c r="V5918" t="str">
        <f t="shared" si="2419"/>
        <v>FARHANA BINTI MUSTAPA</v>
      </c>
      <c r="W5918" t="str">
        <f t="shared" si="2420"/>
        <v>04-08-2020</v>
      </c>
      <c r="X5918" t="str">
        <f t="shared" si="2421"/>
        <v>RAZIMAH ANSAR AHMAD</v>
      </c>
      <c r="Y5918" t="str">
        <f t="shared" si="2422"/>
        <v>04-08-2020</v>
      </c>
      <c r="Z5918" t="str">
        <f>"COS10200804 3236"</f>
        <v>COS10200804 3236</v>
      </c>
    </row>
    <row r="5919" spans="1:26" x14ac:dyDescent="0.25">
      <c r="A5919" t="str">
        <f t="shared" si="2426"/>
        <v>04-08-2020 12:44:36</v>
      </c>
      <c r="B5919" t="str">
        <f>"0000805003"</f>
        <v>0000805003</v>
      </c>
      <c r="C5919" t="str">
        <f t="shared" si="2427"/>
        <v>0000804968</v>
      </c>
      <c r="D5919" t="str">
        <f t="shared" si="2412"/>
        <v>73185</v>
      </c>
      <c r="E5919" t="str">
        <f t="shared" si="2413"/>
        <v>KFH-OPERATIONS DEPARTMENT</v>
      </c>
      <c r="F5919" t="str">
        <f t="shared" si="2414"/>
        <v>IBG</v>
      </c>
      <c r="G5919" t="str">
        <f t="shared" si="2423"/>
        <v>Refund COSHARE 10</v>
      </c>
      <c r="H5919" s="2">
        <v>965.45</v>
      </c>
      <c r="I5919" t="str">
        <f>"NORZAHANI BT HASSAN"</f>
        <v>NORZAHANI BT HASSAN</v>
      </c>
      <c r="J5919" t="str">
        <f t="shared" si="2409"/>
        <v>CIMB BANK / CIMB ISLAMIC BANK</v>
      </c>
      <c r="K5919" t="str">
        <f>"11050056433520"</f>
        <v>11050056433520</v>
      </c>
      <c r="L5919" t="str">
        <f t="shared" si="2424"/>
        <v>04-08-2020</v>
      </c>
      <c r="M5919" t="str">
        <f t="shared" si="2424"/>
        <v>04-08-2020</v>
      </c>
      <c r="N5919" t="str">
        <f t="shared" si="2415"/>
        <v>001105018356</v>
      </c>
      <c r="O5919" t="str">
        <f t="shared" si="2416"/>
        <v>MYR</v>
      </c>
      <c r="P5919" t="str">
        <f t="shared" si="2425"/>
        <v>NIL</v>
      </c>
      <c r="Q5919" t="str">
        <f t="shared" si="2425"/>
        <v>NIL</v>
      </c>
      <c r="R5919" t="str">
        <f t="shared" si="2403"/>
        <v>Accepted</v>
      </c>
      <c r="S5919" t="str">
        <f t="shared" si="2417"/>
        <v>Approved</v>
      </c>
      <c r="T5919" t="str">
        <f t="shared" si="2404"/>
        <v>10.20.8.188</v>
      </c>
      <c r="U5919" t="str">
        <f t="shared" si="2418"/>
        <v>AZRAD UMAR BIN SHAARI</v>
      </c>
      <c r="V5919" t="str">
        <f t="shared" si="2419"/>
        <v>FARHANA BINTI MUSTAPA</v>
      </c>
      <c r="W5919" t="str">
        <f t="shared" si="2420"/>
        <v>04-08-2020</v>
      </c>
      <c r="X5919" t="str">
        <f t="shared" si="2421"/>
        <v>RAZIMAH ANSAR AHMAD</v>
      </c>
      <c r="Y5919" t="str">
        <f t="shared" si="2422"/>
        <v>04-08-2020</v>
      </c>
      <c r="Z5919" t="str">
        <f>"COS10200804 3235"</f>
        <v>COS10200804 3235</v>
      </c>
    </row>
    <row r="5920" spans="1:26" x14ac:dyDescent="0.25">
      <c r="A5920" t="str">
        <f t="shared" si="2426"/>
        <v>04-08-2020 12:44:36</v>
      </c>
      <c r="B5920" t="str">
        <f>"0000805002"</f>
        <v>0000805002</v>
      </c>
      <c r="C5920" t="str">
        <f t="shared" si="2427"/>
        <v>0000804968</v>
      </c>
      <c r="D5920" t="str">
        <f t="shared" si="2412"/>
        <v>73185</v>
      </c>
      <c r="E5920" t="str">
        <f t="shared" si="2413"/>
        <v>KFH-OPERATIONS DEPARTMENT</v>
      </c>
      <c r="F5920" t="str">
        <f t="shared" si="2414"/>
        <v>IBG</v>
      </c>
      <c r="G5920" t="str">
        <f t="shared" si="2423"/>
        <v>Refund COSHARE 10</v>
      </c>
      <c r="H5920" s="2">
        <v>1586.1</v>
      </c>
      <c r="I5920" t="str">
        <f>"NORYATI BINTI MOHAMMED"</f>
        <v>NORYATI BINTI MOHAMMED</v>
      </c>
      <c r="J5920" t="str">
        <f t="shared" si="2409"/>
        <v>CIMB BANK / CIMB ISLAMIC BANK</v>
      </c>
      <c r="K5920" t="str">
        <f>"7039948173"</f>
        <v>7039948173</v>
      </c>
      <c r="L5920" t="str">
        <f t="shared" si="2424"/>
        <v>04-08-2020</v>
      </c>
      <c r="M5920" t="str">
        <f t="shared" si="2424"/>
        <v>04-08-2020</v>
      </c>
      <c r="N5920" t="str">
        <f t="shared" si="2415"/>
        <v>001105018356</v>
      </c>
      <c r="O5920" t="str">
        <f t="shared" si="2416"/>
        <v>MYR</v>
      </c>
      <c r="P5920" t="str">
        <f t="shared" si="2425"/>
        <v>NIL</v>
      </c>
      <c r="Q5920" t="str">
        <f t="shared" si="2425"/>
        <v>NIL</v>
      </c>
      <c r="R5920" t="str">
        <f t="shared" si="2403"/>
        <v>Accepted</v>
      </c>
      <c r="S5920" t="str">
        <f t="shared" si="2417"/>
        <v>Approved</v>
      </c>
      <c r="T5920" t="str">
        <f t="shared" si="2404"/>
        <v>10.20.8.188</v>
      </c>
      <c r="U5920" t="str">
        <f t="shared" si="2418"/>
        <v>AZRAD UMAR BIN SHAARI</v>
      </c>
      <c r="V5920" t="str">
        <f t="shared" si="2419"/>
        <v>FARHANA BINTI MUSTAPA</v>
      </c>
      <c r="W5920" t="str">
        <f t="shared" si="2420"/>
        <v>04-08-2020</v>
      </c>
      <c r="X5920" t="str">
        <f t="shared" si="2421"/>
        <v>RAZIMAH ANSAR AHMAD</v>
      </c>
      <c r="Y5920" t="str">
        <f t="shared" si="2422"/>
        <v>04-08-2020</v>
      </c>
      <c r="Z5920" t="str">
        <f>"COS10200804 3234"</f>
        <v>COS10200804 3234</v>
      </c>
    </row>
    <row r="5921" spans="1:26" x14ac:dyDescent="0.25">
      <c r="A5921" t="str">
        <f t="shared" si="2426"/>
        <v>04-08-2020 12:44:36</v>
      </c>
      <c r="B5921" t="str">
        <f>"0000805001"</f>
        <v>0000805001</v>
      </c>
      <c r="C5921" t="str">
        <f t="shared" si="2427"/>
        <v>0000804968</v>
      </c>
      <c r="D5921" t="str">
        <f t="shared" si="2412"/>
        <v>73185</v>
      </c>
      <c r="E5921" t="str">
        <f t="shared" si="2413"/>
        <v>KFH-OPERATIONS DEPARTMENT</v>
      </c>
      <c r="F5921" t="str">
        <f t="shared" si="2414"/>
        <v>IBG</v>
      </c>
      <c r="G5921" t="str">
        <f t="shared" si="2423"/>
        <v>Refund COSHARE 10</v>
      </c>
      <c r="H5921" s="2">
        <v>92</v>
      </c>
      <c r="I5921" t="str">
        <f>"NORWATI BINTI TEH HASSAN"</f>
        <v>NORWATI BINTI TEH HASSAN</v>
      </c>
      <c r="J5921" t="str">
        <f t="shared" si="2409"/>
        <v>CIMB BANK / CIMB ISLAMIC BANK</v>
      </c>
      <c r="K5921" t="str">
        <f>"14220030746527"</f>
        <v>14220030746527</v>
      </c>
      <c r="L5921" t="str">
        <f t="shared" si="2424"/>
        <v>04-08-2020</v>
      </c>
      <c r="M5921" t="str">
        <f t="shared" si="2424"/>
        <v>04-08-2020</v>
      </c>
      <c r="N5921" t="str">
        <f t="shared" si="2415"/>
        <v>001105018356</v>
      </c>
      <c r="O5921" t="str">
        <f t="shared" si="2416"/>
        <v>MYR</v>
      </c>
      <c r="P5921" t="str">
        <f t="shared" si="2425"/>
        <v>NIL</v>
      </c>
      <c r="Q5921" t="str">
        <f t="shared" si="2425"/>
        <v>NIL</v>
      </c>
      <c r="R5921" t="str">
        <f t="shared" si="2403"/>
        <v>Accepted</v>
      </c>
      <c r="S5921" t="str">
        <f t="shared" si="2417"/>
        <v>Approved</v>
      </c>
      <c r="T5921" t="str">
        <f t="shared" si="2404"/>
        <v>10.20.8.188</v>
      </c>
      <c r="U5921" t="str">
        <f t="shared" si="2418"/>
        <v>AZRAD UMAR BIN SHAARI</v>
      </c>
      <c r="V5921" t="str">
        <f t="shared" si="2419"/>
        <v>FARHANA BINTI MUSTAPA</v>
      </c>
      <c r="W5921" t="str">
        <f t="shared" si="2420"/>
        <v>04-08-2020</v>
      </c>
      <c r="X5921" t="str">
        <f t="shared" si="2421"/>
        <v>RAZIMAH ANSAR AHMAD</v>
      </c>
      <c r="Y5921" t="str">
        <f t="shared" si="2422"/>
        <v>04-08-2020</v>
      </c>
      <c r="Z5921" t="str">
        <f>"COS10200804 3233"</f>
        <v>COS10200804 3233</v>
      </c>
    </row>
    <row r="5922" spans="1:26" x14ac:dyDescent="0.25">
      <c r="A5922" t="str">
        <f t="shared" si="2426"/>
        <v>04-08-2020 12:44:36</v>
      </c>
      <c r="B5922" t="str">
        <f>"0000805000"</f>
        <v>0000805000</v>
      </c>
      <c r="C5922" t="str">
        <f t="shared" si="2427"/>
        <v>0000804968</v>
      </c>
      <c r="D5922" t="str">
        <f t="shared" si="2412"/>
        <v>73185</v>
      </c>
      <c r="E5922" t="str">
        <f t="shared" si="2413"/>
        <v>KFH-OPERATIONS DEPARTMENT</v>
      </c>
      <c r="F5922" t="str">
        <f t="shared" si="2414"/>
        <v>IBG</v>
      </c>
      <c r="G5922" t="str">
        <f t="shared" si="2423"/>
        <v>Refund COSHARE 10</v>
      </c>
      <c r="H5922" s="2">
        <v>814.05</v>
      </c>
      <c r="I5922" t="str">
        <f>"NORULBAHYA BIN AB RAHMAN"</f>
        <v>NORULBAHYA BIN AB RAHMAN</v>
      </c>
      <c r="J5922" t="str">
        <f t="shared" si="2409"/>
        <v>CIMB BANK / CIMB ISLAMIC BANK</v>
      </c>
      <c r="K5922" t="str">
        <f>"03060026322528"</f>
        <v>03060026322528</v>
      </c>
      <c r="L5922" t="str">
        <f t="shared" si="2424"/>
        <v>04-08-2020</v>
      </c>
      <c r="M5922" t="str">
        <f t="shared" si="2424"/>
        <v>04-08-2020</v>
      </c>
      <c r="N5922" t="str">
        <f t="shared" si="2415"/>
        <v>001105018356</v>
      </c>
      <c r="O5922" t="str">
        <f t="shared" si="2416"/>
        <v>MYR</v>
      </c>
      <c r="P5922" t="str">
        <f t="shared" si="2425"/>
        <v>NIL</v>
      </c>
      <c r="Q5922" t="str">
        <f t="shared" si="2425"/>
        <v>NIL</v>
      </c>
      <c r="R5922" t="str">
        <f t="shared" ref="R5922:R5985" si="2428">"Accepted"</f>
        <v>Accepted</v>
      </c>
      <c r="S5922" t="str">
        <f t="shared" si="2417"/>
        <v>Approved</v>
      </c>
      <c r="T5922" t="str">
        <f t="shared" ref="T5922:T5985" si="2429">"10.20.8.188"</f>
        <v>10.20.8.188</v>
      </c>
      <c r="U5922" t="str">
        <f t="shared" si="2418"/>
        <v>AZRAD UMAR BIN SHAARI</v>
      </c>
      <c r="V5922" t="str">
        <f t="shared" si="2419"/>
        <v>FARHANA BINTI MUSTAPA</v>
      </c>
      <c r="W5922" t="str">
        <f t="shared" si="2420"/>
        <v>04-08-2020</v>
      </c>
      <c r="X5922" t="str">
        <f t="shared" si="2421"/>
        <v>RAZIMAH ANSAR AHMAD</v>
      </c>
      <c r="Y5922" t="str">
        <f t="shared" si="2422"/>
        <v>04-08-2020</v>
      </c>
      <c r="Z5922" t="str">
        <f>"COS10200804 3232"</f>
        <v>COS10200804 3232</v>
      </c>
    </row>
    <row r="5923" spans="1:26" x14ac:dyDescent="0.25">
      <c r="A5923" t="str">
        <f t="shared" si="2426"/>
        <v>04-08-2020 12:44:36</v>
      </c>
      <c r="B5923" t="str">
        <f>"0000804999"</f>
        <v>0000804999</v>
      </c>
      <c r="C5923" t="str">
        <f t="shared" si="2427"/>
        <v>0000804968</v>
      </c>
      <c r="D5923" t="str">
        <f t="shared" si="2412"/>
        <v>73185</v>
      </c>
      <c r="E5923" t="str">
        <f t="shared" si="2413"/>
        <v>KFH-OPERATIONS DEPARTMENT</v>
      </c>
      <c r="F5923" t="str">
        <f t="shared" si="2414"/>
        <v>IBG</v>
      </c>
      <c r="G5923" t="str">
        <f t="shared" si="2423"/>
        <v>Refund COSHARE 10</v>
      </c>
      <c r="H5923" s="2">
        <v>839.5</v>
      </c>
      <c r="I5923" t="str">
        <f>"NORSHARZEELA BINTI SHAHARUDDIN"</f>
        <v>NORSHARZEELA BINTI SHAHARUDDIN</v>
      </c>
      <c r="J5923" t="str">
        <f t="shared" si="2409"/>
        <v>CIMB BANK / CIMB ISLAMIC BANK</v>
      </c>
      <c r="K5923" t="str">
        <f>"7001870325"</f>
        <v>7001870325</v>
      </c>
      <c r="L5923" t="str">
        <f t="shared" si="2424"/>
        <v>04-08-2020</v>
      </c>
      <c r="M5923" t="str">
        <f t="shared" si="2424"/>
        <v>04-08-2020</v>
      </c>
      <c r="N5923" t="str">
        <f t="shared" si="2415"/>
        <v>001105018356</v>
      </c>
      <c r="O5923" t="str">
        <f t="shared" si="2416"/>
        <v>MYR</v>
      </c>
      <c r="P5923" t="str">
        <f t="shared" si="2425"/>
        <v>NIL</v>
      </c>
      <c r="Q5923" t="str">
        <f t="shared" si="2425"/>
        <v>NIL</v>
      </c>
      <c r="R5923" t="str">
        <f t="shared" si="2428"/>
        <v>Accepted</v>
      </c>
      <c r="S5923" t="str">
        <f t="shared" si="2417"/>
        <v>Approved</v>
      </c>
      <c r="T5923" t="str">
        <f t="shared" si="2429"/>
        <v>10.20.8.188</v>
      </c>
      <c r="U5923" t="str">
        <f t="shared" si="2418"/>
        <v>AZRAD UMAR BIN SHAARI</v>
      </c>
      <c r="V5923" t="str">
        <f t="shared" si="2419"/>
        <v>FARHANA BINTI MUSTAPA</v>
      </c>
      <c r="W5923" t="str">
        <f t="shared" si="2420"/>
        <v>04-08-2020</v>
      </c>
      <c r="X5923" t="str">
        <f t="shared" si="2421"/>
        <v>RAZIMAH ANSAR AHMAD</v>
      </c>
      <c r="Y5923" t="str">
        <f t="shared" si="2422"/>
        <v>04-08-2020</v>
      </c>
      <c r="Z5923" t="str">
        <f>"COS10200804 3231"</f>
        <v>COS10200804 3231</v>
      </c>
    </row>
    <row r="5924" spans="1:26" x14ac:dyDescent="0.25">
      <c r="A5924" t="str">
        <f t="shared" si="2426"/>
        <v>04-08-2020 12:44:36</v>
      </c>
      <c r="B5924" t="str">
        <f>"0000804998"</f>
        <v>0000804998</v>
      </c>
      <c r="C5924" t="str">
        <f t="shared" si="2427"/>
        <v>0000804968</v>
      </c>
      <c r="D5924" t="str">
        <f t="shared" si="2412"/>
        <v>73185</v>
      </c>
      <c r="E5924" t="str">
        <f t="shared" si="2413"/>
        <v>KFH-OPERATIONS DEPARTMENT</v>
      </c>
      <c r="F5924" t="str">
        <f t="shared" si="2414"/>
        <v>IBG</v>
      </c>
      <c r="G5924" t="str">
        <f t="shared" si="2423"/>
        <v>Refund COSHARE 10</v>
      </c>
      <c r="H5924" s="2">
        <v>50.4</v>
      </c>
      <c r="I5924" t="str">
        <f>"NORSHARIZA BINTI MOHD DERUS"</f>
        <v>NORSHARIZA BINTI MOHD DERUS</v>
      </c>
      <c r="J5924" t="str">
        <f t="shared" si="2409"/>
        <v>CIMB BANK / CIMB ISLAMIC BANK</v>
      </c>
      <c r="K5924" t="str">
        <f>"14150064512525"</f>
        <v>14150064512525</v>
      </c>
      <c r="L5924" t="str">
        <f t="shared" si="2424"/>
        <v>04-08-2020</v>
      </c>
      <c r="M5924" t="str">
        <f t="shared" si="2424"/>
        <v>04-08-2020</v>
      </c>
      <c r="N5924" t="str">
        <f t="shared" si="2415"/>
        <v>001105018356</v>
      </c>
      <c r="O5924" t="str">
        <f t="shared" si="2416"/>
        <v>MYR</v>
      </c>
      <c r="P5924" t="str">
        <f t="shared" si="2425"/>
        <v>NIL</v>
      </c>
      <c r="Q5924" t="str">
        <f t="shared" si="2425"/>
        <v>NIL</v>
      </c>
      <c r="R5924" t="str">
        <f t="shared" si="2428"/>
        <v>Accepted</v>
      </c>
      <c r="S5924" t="str">
        <f t="shared" si="2417"/>
        <v>Approved</v>
      </c>
      <c r="T5924" t="str">
        <f t="shared" si="2429"/>
        <v>10.20.8.188</v>
      </c>
      <c r="U5924" t="str">
        <f t="shared" si="2418"/>
        <v>AZRAD UMAR BIN SHAARI</v>
      </c>
      <c r="V5924" t="str">
        <f t="shared" si="2419"/>
        <v>FARHANA BINTI MUSTAPA</v>
      </c>
      <c r="W5924" t="str">
        <f t="shared" si="2420"/>
        <v>04-08-2020</v>
      </c>
      <c r="X5924" t="str">
        <f t="shared" si="2421"/>
        <v>RAZIMAH ANSAR AHMAD</v>
      </c>
      <c r="Y5924" t="str">
        <f t="shared" si="2422"/>
        <v>04-08-2020</v>
      </c>
      <c r="Z5924" t="str">
        <f>"COS10200804 3230"</f>
        <v>COS10200804 3230</v>
      </c>
    </row>
    <row r="5925" spans="1:26" x14ac:dyDescent="0.25">
      <c r="A5925" t="str">
        <f t="shared" si="2426"/>
        <v>04-08-2020 12:44:36</v>
      </c>
      <c r="B5925" t="str">
        <f>"0000804997"</f>
        <v>0000804997</v>
      </c>
      <c r="C5925" t="str">
        <f t="shared" si="2427"/>
        <v>0000804968</v>
      </c>
      <c r="D5925" t="str">
        <f t="shared" si="2412"/>
        <v>73185</v>
      </c>
      <c r="E5925" t="str">
        <f t="shared" si="2413"/>
        <v>KFH-OPERATIONS DEPARTMENT</v>
      </c>
      <c r="F5925" t="str">
        <f t="shared" si="2414"/>
        <v>IBG</v>
      </c>
      <c r="G5925" t="str">
        <f t="shared" si="2423"/>
        <v>Refund COSHARE 10</v>
      </c>
      <c r="H5925" s="2">
        <v>1259.25</v>
      </c>
      <c r="I5925" t="str">
        <f>"NORSHARINAWATI BINTI SHABUDIN"</f>
        <v>NORSHARINAWATI BINTI SHABUDIN</v>
      </c>
      <c r="J5925" t="str">
        <f t="shared" si="2409"/>
        <v>CIMB BANK / CIMB ISLAMIC BANK</v>
      </c>
      <c r="K5925" t="str">
        <f>"7050484704"</f>
        <v>7050484704</v>
      </c>
      <c r="L5925" t="str">
        <f t="shared" si="2424"/>
        <v>04-08-2020</v>
      </c>
      <c r="M5925" t="str">
        <f t="shared" si="2424"/>
        <v>04-08-2020</v>
      </c>
      <c r="N5925" t="str">
        <f t="shared" si="2415"/>
        <v>001105018356</v>
      </c>
      <c r="O5925" t="str">
        <f t="shared" si="2416"/>
        <v>MYR</v>
      </c>
      <c r="P5925" t="str">
        <f t="shared" si="2425"/>
        <v>NIL</v>
      </c>
      <c r="Q5925" t="str">
        <f t="shared" si="2425"/>
        <v>NIL</v>
      </c>
      <c r="R5925" t="str">
        <f t="shared" si="2428"/>
        <v>Accepted</v>
      </c>
      <c r="S5925" t="str">
        <f t="shared" si="2417"/>
        <v>Approved</v>
      </c>
      <c r="T5925" t="str">
        <f t="shared" si="2429"/>
        <v>10.20.8.188</v>
      </c>
      <c r="U5925" t="str">
        <f t="shared" si="2418"/>
        <v>AZRAD UMAR BIN SHAARI</v>
      </c>
      <c r="V5925" t="str">
        <f t="shared" si="2419"/>
        <v>FARHANA BINTI MUSTAPA</v>
      </c>
      <c r="W5925" t="str">
        <f t="shared" si="2420"/>
        <v>04-08-2020</v>
      </c>
      <c r="X5925" t="str">
        <f t="shared" si="2421"/>
        <v>RAZIMAH ANSAR AHMAD</v>
      </c>
      <c r="Y5925" t="str">
        <f t="shared" si="2422"/>
        <v>04-08-2020</v>
      </c>
      <c r="Z5925" t="str">
        <f>"COS10200804 3229"</f>
        <v>COS10200804 3229</v>
      </c>
    </row>
    <row r="5926" spans="1:26" x14ac:dyDescent="0.25">
      <c r="A5926" t="str">
        <f t="shared" si="2426"/>
        <v>04-08-2020 12:44:36</v>
      </c>
      <c r="B5926" t="str">
        <f>"0000804996"</f>
        <v>0000804996</v>
      </c>
      <c r="C5926" t="str">
        <f t="shared" si="2427"/>
        <v>0000804968</v>
      </c>
      <c r="D5926" t="str">
        <f t="shared" si="2412"/>
        <v>73185</v>
      </c>
      <c r="E5926" t="str">
        <f t="shared" si="2413"/>
        <v>KFH-OPERATIONS DEPARTMENT</v>
      </c>
      <c r="F5926" t="str">
        <f t="shared" si="2414"/>
        <v>IBG</v>
      </c>
      <c r="G5926" t="str">
        <f t="shared" si="2423"/>
        <v>Refund COSHARE 10</v>
      </c>
      <c r="H5926" s="2">
        <v>145</v>
      </c>
      <c r="I5926" t="str">
        <f>"NORSHAHIDA BINTI ABD KHALID"</f>
        <v>NORSHAHIDA BINTI ABD KHALID</v>
      </c>
      <c r="J5926" t="str">
        <f t="shared" si="2409"/>
        <v>CIMB BANK / CIMB ISLAMIC BANK</v>
      </c>
      <c r="K5926" t="str">
        <f>"14230065534523"</f>
        <v>14230065534523</v>
      </c>
      <c r="L5926" t="str">
        <f t="shared" si="2424"/>
        <v>04-08-2020</v>
      </c>
      <c r="M5926" t="str">
        <f t="shared" si="2424"/>
        <v>04-08-2020</v>
      </c>
      <c r="N5926" t="str">
        <f t="shared" si="2415"/>
        <v>001105018356</v>
      </c>
      <c r="O5926" t="str">
        <f t="shared" si="2416"/>
        <v>MYR</v>
      </c>
      <c r="P5926" t="str">
        <f t="shared" si="2425"/>
        <v>NIL</v>
      </c>
      <c r="Q5926" t="str">
        <f t="shared" si="2425"/>
        <v>NIL</v>
      </c>
      <c r="R5926" t="str">
        <f t="shared" si="2428"/>
        <v>Accepted</v>
      </c>
      <c r="S5926" t="str">
        <f t="shared" si="2417"/>
        <v>Approved</v>
      </c>
      <c r="T5926" t="str">
        <f t="shared" si="2429"/>
        <v>10.20.8.188</v>
      </c>
      <c r="U5926" t="str">
        <f t="shared" si="2418"/>
        <v>AZRAD UMAR BIN SHAARI</v>
      </c>
      <c r="V5926" t="str">
        <f t="shared" si="2419"/>
        <v>FARHANA BINTI MUSTAPA</v>
      </c>
      <c r="W5926" t="str">
        <f t="shared" si="2420"/>
        <v>04-08-2020</v>
      </c>
      <c r="X5926" t="str">
        <f t="shared" si="2421"/>
        <v>RAZIMAH ANSAR AHMAD</v>
      </c>
      <c r="Y5926" t="str">
        <f t="shared" si="2422"/>
        <v>04-08-2020</v>
      </c>
      <c r="Z5926" t="str">
        <f>"COS10200804 3228"</f>
        <v>COS10200804 3228</v>
      </c>
    </row>
    <row r="5927" spans="1:26" x14ac:dyDescent="0.25">
      <c r="A5927" t="str">
        <f t="shared" si="2426"/>
        <v>04-08-2020 12:44:36</v>
      </c>
      <c r="B5927" t="str">
        <f>"0000804995"</f>
        <v>0000804995</v>
      </c>
      <c r="C5927" t="str">
        <f t="shared" si="2427"/>
        <v>0000804968</v>
      </c>
      <c r="D5927" t="str">
        <f t="shared" si="2412"/>
        <v>73185</v>
      </c>
      <c r="E5927" t="str">
        <f t="shared" si="2413"/>
        <v>KFH-OPERATIONS DEPARTMENT</v>
      </c>
      <c r="F5927" t="str">
        <f t="shared" si="2414"/>
        <v>IBG</v>
      </c>
      <c r="G5927" t="str">
        <f t="shared" si="2423"/>
        <v>Refund COSHARE 10</v>
      </c>
      <c r="H5927" s="2">
        <v>839.5</v>
      </c>
      <c r="I5927" t="str">
        <f>"NORSALIHAN BINTI MD AMIN"</f>
        <v>NORSALIHAN BINTI MD AMIN</v>
      </c>
      <c r="J5927" t="str">
        <f t="shared" si="2409"/>
        <v>CIMB BANK / CIMB ISLAMIC BANK</v>
      </c>
      <c r="K5927" t="str">
        <f>"7001818959"</f>
        <v>7001818959</v>
      </c>
      <c r="L5927" t="str">
        <f t="shared" ref="L5927:M5946" si="2430">"04-08-2020"</f>
        <v>04-08-2020</v>
      </c>
      <c r="M5927" t="str">
        <f t="shared" si="2430"/>
        <v>04-08-2020</v>
      </c>
      <c r="N5927" t="str">
        <f t="shared" si="2415"/>
        <v>001105018356</v>
      </c>
      <c r="O5927" t="str">
        <f t="shared" si="2416"/>
        <v>MYR</v>
      </c>
      <c r="P5927" t="str">
        <f t="shared" ref="P5927:Q5946" si="2431">"NIL"</f>
        <v>NIL</v>
      </c>
      <c r="Q5927" t="str">
        <f t="shared" si="2431"/>
        <v>NIL</v>
      </c>
      <c r="R5927" t="str">
        <f t="shared" si="2428"/>
        <v>Accepted</v>
      </c>
      <c r="S5927" t="str">
        <f t="shared" si="2417"/>
        <v>Approved</v>
      </c>
      <c r="T5927" t="str">
        <f t="shared" si="2429"/>
        <v>10.20.8.188</v>
      </c>
      <c r="U5927" t="str">
        <f t="shared" si="2418"/>
        <v>AZRAD UMAR BIN SHAARI</v>
      </c>
      <c r="V5927" t="str">
        <f t="shared" si="2419"/>
        <v>FARHANA BINTI MUSTAPA</v>
      </c>
      <c r="W5927" t="str">
        <f t="shared" si="2420"/>
        <v>04-08-2020</v>
      </c>
      <c r="X5927" t="str">
        <f t="shared" si="2421"/>
        <v>RAZIMAH ANSAR AHMAD</v>
      </c>
      <c r="Y5927" t="str">
        <f t="shared" si="2422"/>
        <v>04-08-2020</v>
      </c>
      <c r="Z5927" t="str">
        <f>"COS10200804 3227"</f>
        <v>COS10200804 3227</v>
      </c>
    </row>
    <row r="5928" spans="1:26" x14ac:dyDescent="0.25">
      <c r="A5928" t="str">
        <f t="shared" si="2426"/>
        <v>04-08-2020 12:44:36</v>
      </c>
      <c r="B5928" t="str">
        <f>"0000804994"</f>
        <v>0000804994</v>
      </c>
      <c r="C5928" t="str">
        <f t="shared" si="2427"/>
        <v>0000804968</v>
      </c>
      <c r="D5928" t="str">
        <f t="shared" si="2412"/>
        <v>73185</v>
      </c>
      <c r="E5928" t="str">
        <f t="shared" si="2413"/>
        <v>KFH-OPERATIONS DEPARTMENT</v>
      </c>
      <c r="F5928" t="str">
        <f t="shared" si="2414"/>
        <v>IBG</v>
      </c>
      <c r="G5928" t="str">
        <f t="shared" si="2423"/>
        <v>Refund COSHARE 10</v>
      </c>
      <c r="H5928" s="2">
        <v>503.7</v>
      </c>
      <c r="I5928" t="str">
        <f>"NOROSILA BINTI ABDUL HADI"</f>
        <v>NOROSILA BINTI ABDUL HADI</v>
      </c>
      <c r="J5928" t="str">
        <f t="shared" si="2409"/>
        <v>CIMB BANK / CIMB ISLAMIC BANK</v>
      </c>
      <c r="K5928" t="str">
        <f>"11010001755200"</f>
        <v>11010001755200</v>
      </c>
      <c r="L5928" t="str">
        <f t="shared" si="2430"/>
        <v>04-08-2020</v>
      </c>
      <c r="M5928" t="str">
        <f t="shared" si="2430"/>
        <v>04-08-2020</v>
      </c>
      <c r="N5928" t="str">
        <f t="shared" si="2415"/>
        <v>001105018356</v>
      </c>
      <c r="O5928" t="str">
        <f t="shared" si="2416"/>
        <v>MYR</v>
      </c>
      <c r="P5928" t="str">
        <f t="shared" si="2431"/>
        <v>NIL</v>
      </c>
      <c r="Q5928" t="str">
        <f t="shared" si="2431"/>
        <v>NIL</v>
      </c>
      <c r="R5928" t="str">
        <f t="shared" si="2428"/>
        <v>Accepted</v>
      </c>
      <c r="S5928" t="str">
        <f t="shared" si="2417"/>
        <v>Approved</v>
      </c>
      <c r="T5928" t="str">
        <f t="shared" si="2429"/>
        <v>10.20.8.188</v>
      </c>
      <c r="U5928" t="str">
        <f t="shared" si="2418"/>
        <v>AZRAD UMAR BIN SHAARI</v>
      </c>
      <c r="V5928" t="str">
        <f t="shared" si="2419"/>
        <v>FARHANA BINTI MUSTAPA</v>
      </c>
      <c r="W5928" t="str">
        <f t="shared" si="2420"/>
        <v>04-08-2020</v>
      </c>
      <c r="X5928" t="str">
        <f t="shared" si="2421"/>
        <v>RAZIMAH ANSAR AHMAD</v>
      </c>
      <c r="Y5928" t="str">
        <f t="shared" si="2422"/>
        <v>04-08-2020</v>
      </c>
      <c r="Z5928" t="str">
        <f>"COS10200804 3226"</f>
        <v>COS10200804 3226</v>
      </c>
    </row>
    <row r="5929" spans="1:26" x14ac:dyDescent="0.25">
      <c r="A5929" t="str">
        <f t="shared" si="2426"/>
        <v>04-08-2020 12:44:36</v>
      </c>
      <c r="B5929" t="str">
        <f>"0000804993"</f>
        <v>0000804993</v>
      </c>
      <c r="C5929" t="str">
        <f t="shared" si="2427"/>
        <v>0000804968</v>
      </c>
      <c r="D5929" t="str">
        <f t="shared" si="2412"/>
        <v>73185</v>
      </c>
      <c r="E5929" t="str">
        <f t="shared" si="2413"/>
        <v>KFH-OPERATIONS DEPARTMENT</v>
      </c>
      <c r="F5929" t="str">
        <f t="shared" si="2414"/>
        <v>IBG</v>
      </c>
      <c r="G5929" t="str">
        <f t="shared" si="2423"/>
        <v>Refund COSHARE 10</v>
      </c>
      <c r="H5929" s="2">
        <v>654.85</v>
      </c>
      <c r="I5929" t="str">
        <f>"NOROM BIN BAHARUM"</f>
        <v>NOROM BIN BAHARUM</v>
      </c>
      <c r="J5929" t="str">
        <f t="shared" si="2409"/>
        <v>CIMB BANK / CIMB ISLAMIC BANK</v>
      </c>
      <c r="K5929" t="str">
        <f>"06030000978207"</f>
        <v>06030000978207</v>
      </c>
      <c r="L5929" t="str">
        <f t="shared" si="2430"/>
        <v>04-08-2020</v>
      </c>
      <c r="M5929" t="str">
        <f t="shared" si="2430"/>
        <v>04-08-2020</v>
      </c>
      <c r="N5929" t="str">
        <f t="shared" si="2415"/>
        <v>001105018356</v>
      </c>
      <c r="O5929" t="str">
        <f t="shared" si="2416"/>
        <v>MYR</v>
      </c>
      <c r="P5929" t="str">
        <f t="shared" si="2431"/>
        <v>NIL</v>
      </c>
      <c r="Q5929" t="str">
        <f t="shared" si="2431"/>
        <v>NIL</v>
      </c>
      <c r="R5929" t="str">
        <f t="shared" si="2428"/>
        <v>Accepted</v>
      </c>
      <c r="S5929" t="str">
        <f t="shared" si="2417"/>
        <v>Approved</v>
      </c>
      <c r="T5929" t="str">
        <f t="shared" si="2429"/>
        <v>10.20.8.188</v>
      </c>
      <c r="U5929" t="str">
        <f t="shared" si="2418"/>
        <v>AZRAD UMAR BIN SHAARI</v>
      </c>
      <c r="V5929" t="str">
        <f t="shared" si="2419"/>
        <v>FARHANA BINTI MUSTAPA</v>
      </c>
      <c r="W5929" t="str">
        <f t="shared" si="2420"/>
        <v>04-08-2020</v>
      </c>
      <c r="X5929" t="str">
        <f t="shared" si="2421"/>
        <v>RAZIMAH ANSAR AHMAD</v>
      </c>
      <c r="Y5929" t="str">
        <f t="shared" si="2422"/>
        <v>04-08-2020</v>
      </c>
      <c r="Z5929" t="str">
        <f>"COS10200804 3225"</f>
        <v>COS10200804 3225</v>
      </c>
    </row>
    <row r="5930" spans="1:26" x14ac:dyDescent="0.25">
      <c r="A5930" t="str">
        <f t="shared" si="2426"/>
        <v>04-08-2020 12:44:36</v>
      </c>
      <c r="B5930" t="str">
        <f>"0000804992"</f>
        <v>0000804992</v>
      </c>
      <c r="C5930" t="str">
        <f t="shared" si="2427"/>
        <v>0000804968</v>
      </c>
      <c r="D5930" t="str">
        <f t="shared" si="2412"/>
        <v>73185</v>
      </c>
      <c r="E5930" t="str">
        <f t="shared" si="2413"/>
        <v>KFH-OPERATIONS DEPARTMENT</v>
      </c>
      <c r="F5930" t="str">
        <f t="shared" si="2414"/>
        <v>IBG</v>
      </c>
      <c r="G5930" t="str">
        <f t="shared" si="2423"/>
        <v>Refund COSHARE 10</v>
      </c>
      <c r="H5930" s="2">
        <v>1620.25</v>
      </c>
      <c r="I5930" t="str">
        <f>"NORNAZALIZA BINTI ABDUL HALIM"</f>
        <v>NORNAZALIZA BINTI ABDUL HALIM</v>
      </c>
      <c r="J5930" t="str">
        <f t="shared" si="2409"/>
        <v>CIMB BANK / CIMB ISLAMIC BANK</v>
      </c>
      <c r="K5930" t="str">
        <f>"06021466821522"</f>
        <v>06021466821522</v>
      </c>
      <c r="L5930" t="str">
        <f t="shared" si="2430"/>
        <v>04-08-2020</v>
      </c>
      <c r="M5930" t="str">
        <f t="shared" si="2430"/>
        <v>04-08-2020</v>
      </c>
      <c r="N5930" t="str">
        <f t="shared" si="2415"/>
        <v>001105018356</v>
      </c>
      <c r="O5930" t="str">
        <f t="shared" si="2416"/>
        <v>MYR</v>
      </c>
      <c r="P5930" t="str">
        <f t="shared" si="2431"/>
        <v>NIL</v>
      </c>
      <c r="Q5930" t="str">
        <f t="shared" si="2431"/>
        <v>NIL</v>
      </c>
      <c r="R5930" t="str">
        <f t="shared" si="2428"/>
        <v>Accepted</v>
      </c>
      <c r="S5930" t="str">
        <f t="shared" si="2417"/>
        <v>Approved</v>
      </c>
      <c r="T5930" t="str">
        <f t="shared" si="2429"/>
        <v>10.20.8.188</v>
      </c>
      <c r="U5930" t="str">
        <f t="shared" si="2418"/>
        <v>AZRAD UMAR BIN SHAARI</v>
      </c>
      <c r="V5930" t="str">
        <f t="shared" si="2419"/>
        <v>FARHANA BINTI MUSTAPA</v>
      </c>
      <c r="W5930" t="str">
        <f t="shared" si="2420"/>
        <v>04-08-2020</v>
      </c>
      <c r="X5930" t="str">
        <f t="shared" si="2421"/>
        <v>RAZIMAH ANSAR AHMAD</v>
      </c>
      <c r="Y5930" t="str">
        <f t="shared" si="2422"/>
        <v>04-08-2020</v>
      </c>
      <c r="Z5930" t="str">
        <f>"COS10200804 3224"</f>
        <v>COS10200804 3224</v>
      </c>
    </row>
    <row r="5931" spans="1:26" x14ac:dyDescent="0.25">
      <c r="A5931" t="str">
        <f t="shared" si="2426"/>
        <v>04-08-2020 12:44:36</v>
      </c>
      <c r="B5931" t="str">
        <f>"0000804991"</f>
        <v>0000804991</v>
      </c>
      <c r="C5931" t="str">
        <f t="shared" si="2427"/>
        <v>0000804968</v>
      </c>
      <c r="D5931" t="str">
        <f t="shared" si="2412"/>
        <v>73185</v>
      </c>
      <c r="E5931" t="str">
        <f t="shared" si="2413"/>
        <v>KFH-OPERATIONS DEPARTMENT</v>
      </c>
      <c r="F5931" t="str">
        <f t="shared" si="2414"/>
        <v>IBG</v>
      </c>
      <c r="G5931" t="str">
        <f t="shared" si="2423"/>
        <v>Refund COSHARE 10</v>
      </c>
      <c r="H5931" s="2">
        <v>167.9</v>
      </c>
      <c r="I5931" t="str">
        <f>"NORMANIZAM BIN NARUDIN"</f>
        <v>NORMANIZAM BIN NARUDIN</v>
      </c>
      <c r="J5931" t="str">
        <f t="shared" si="2409"/>
        <v>CIMB BANK / CIMB ISLAMIC BANK</v>
      </c>
      <c r="K5931" t="str">
        <f>"11160005055520"</f>
        <v>11160005055520</v>
      </c>
      <c r="L5931" t="str">
        <f t="shared" si="2430"/>
        <v>04-08-2020</v>
      </c>
      <c r="M5931" t="str">
        <f t="shared" si="2430"/>
        <v>04-08-2020</v>
      </c>
      <c r="N5931" t="str">
        <f t="shared" si="2415"/>
        <v>001105018356</v>
      </c>
      <c r="O5931" t="str">
        <f t="shared" si="2416"/>
        <v>MYR</v>
      </c>
      <c r="P5931" t="str">
        <f t="shared" si="2431"/>
        <v>NIL</v>
      </c>
      <c r="Q5931" t="str">
        <f t="shared" si="2431"/>
        <v>NIL</v>
      </c>
      <c r="R5931" t="str">
        <f t="shared" si="2428"/>
        <v>Accepted</v>
      </c>
      <c r="S5931" t="str">
        <f t="shared" si="2417"/>
        <v>Approved</v>
      </c>
      <c r="T5931" t="str">
        <f t="shared" si="2429"/>
        <v>10.20.8.188</v>
      </c>
      <c r="U5931" t="str">
        <f t="shared" si="2418"/>
        <v>AZRAD UMAR BIN SHAARI</v>
      </c>
      <c r="V5931" t="str">
        <f t="shared" si="2419"/>
        <v>FARHANA BINTI MUSTAPA</v>
      </c>
      <c r="W5931" t="str">
        <f t="shared" si="2420"/>
        <v>04-08-2020</v>
      </c>
      <c r="X5931" t="str">
        <f t="shared" si="2421"/>
        <v>RAZIMAH ANSAR AHMAD</v>
      </c>
      <c r="Y5931" t="str">
        <f t="shared" si="2422"/>
        <v>04-08-2020</v>
      </c>
      <c r="Z5931" t="str">
        <f>"COS10200804 3223"</f>
        <v>COS10200804 3223</v>
      </c>
    </row>
    <row r="5932" spans="1:26" x14ac:dyDescent="0.25">
      <c r="A5932" t="str">
        <f t="shared" si="2426"/>
        <v>04-08-2020 12:44:36</v>
      </c>
      <c r="B5932" t="str">
        <f>"0000804990"</f>
        <v>0000804990</v>
      </c>
      <c r="C5932" t="str">
        <f t="shared" si="2427"/>
        <v>0000804968</v>
      </c>
      <c r="D5932" t="str">
        <f t="shared" si="2412"/>
        <v>73185</v>
      </c>
      <c r="E5932" t="str">
        <f t="shared" si="2413"/>
        <v>KFH-OPERATIONS DEPARTMENT</v>
      </c>
      <c r="F5932" t="str">
        <f t="shared" si="2414"/>
        <v>IBG</v>
      </c>
      <c r="G5932" t="str">
        <f t="shared" si="2423"/>
        <v>Refund COSHARE 10</v>
      </c>
      <c r="H5932" s="2">
        <v>125.95</v>
      </c>
      <c r="I5932" t="str">
        <f>"NORLIZAN BIN OTHMAN  MD THIS"</f>
        <v>NORLIZAN BIN OTHMAN  MD THIS</v>
      </c>
      <c r="J5932" t="str">
        <f t="shared" si="2409"/>
        <v>CIMB BANK / CIMB ISLAMIC BANK</v>
      </c>
      <c r="K5932" t="str">
        <f>"12470003384523"</f>
        <v>12470003384523</v>
      </c>
      <c r="L5932" t="str">
        <f t="shared" si="2430"/>
        <v>04-08-2020</v>
      </c>
      <c r="M5932" t="str">
        <f t="shared" si="2430"/>
        <v>04-08-2020</v>
      </c>
      <c r="N5932" t="str">
        <f t="shared" si="2415"/>
        <v>001105018356</v>
      </c>
      <c r="O5932" t="str">
        <f t="shared" si="2416"/>
        <v>MYR</v>
      </c>
      <c r="P5932" t="str">
        <f t="shared" si="2431"/>
        <v>NIL</v>
      </c>
      <c r="Q5932" t="str">
        <f t="shared" si="2431"/>
        <v>NIL</v>
      </c>
      <c r="R5932" t="str">
        <f t="shared" si="2428"/>
        <v>Accepted</v>
      </c>
      <c r="S5932" t="str">
        <f t="shared" si="2417"/>
        <v>Approved</v>
      </c>
      <c r="T5932" t="str">
        <f t="shared" si="2429"/>
        <v>10.20.8.188</v>
      </c>
      <c r="U5932" t="str">
        <f t="shared" si="2418"/>
        <v>AZRAD UMAR BIN SHAARI</v>
      </c>
      <c r="V5932" t="str">
        <f t="shared" si="2419"/>
        <v>FARHANA BINTI MUSTAPA</v>
      </c>
      <c r="W5932" t="str">
        <f t="shared" si="2420"/>
        <v>04-08-2020</v>
      </c>
      <c r="X5932" t="str">
        <f t="shared" si="2421"/>
        <v>RAZIMAH ANSAR AHMAD</v>
      </c>
      <c r="Y5932" t="str">
        <f t="shared" si="2422"/>
        <v>04-08-2020</v>
      </c>
      <c r="Z5932" t="str">
        <f>"COS10200804 3222"</f>
        <v>COS10200804 3222</v>
      </c>
    </row>
    <row r="5933" spans="1:26" x14ac:dyDescent="0.25">
      <c r="A5933" t="str">
        <f t="shared" si="2426"/>
        <v>04-08-2020 12:44:36</v>
      </c>
      <c r="B5933" t="str">
        <f>"0000804989"</f>
        <v>0000804989</v>
      </c>
      <c r="C5933" t="str">
        <f t="shared" si="2427"/>
        <v>0000804968</v>
      </c>
      <c r="D5933" t="str">
        <f t="shared" si="2412"/>
        <v>73185</v>
      </c>
      <c r="E5933" t="str">
        <f t="shared" si="2413"/>
        <v>KFH-OPERATIONS DEPARTMENT</v>
      </c>
      <c r="F5933" t="str">
        <f t="shared" si="2414"/>
        <v>IBG</v>
      </c>
      <c r="G5933" t="str">
        <f t="shared" si="2423"/>
        <v>Refund COSHARE 10</v>
      </c>
      <c r="H5933" s="2">
        <v>100</v>
      </c>
      <c r="I5933" t="str">
        <f>"NORLIZA BINTI MUHAMMAD"</f>
        <v>NORLIZA BINTI MUHAMMAD</v>
      </c>
      <c r="J5933" t="str">
        <f t="shared" si="2409"/>
        <v>CIMB BANK / CIMB ISLAMIC BANK</v>
      </c>
      <c r="K5933" t="str">
        <f>"03030062658525"</f>
        <v>03030062658525</v>
      </c>
      <c r="L5933" t="str">
        <f t="shared" si="2430"/>
        <v>04-08-2020</v>
      </c>
      <c r="M5933" t="str">
        <f t="shared" si="2430"/>
        <v>04-08-2020</v>
      </c>
      <c r="N5933" t="str">
        <f t="shared" si="2415"/>
        <v>001105018356</v>
      </c>
      <c r="O5933" t="str">
        <f t="shared" si="2416"/>
        <v>MYR</v>
      </c>
      <c r="P5933" t="str">
        <f t="shared" si="2431"/>
        <v>NIL</v>
      </c>
      <c r="Q5933" t="str">
        <f t="shared" si="2431"/>
        <v>NIL</v>
      </c>
      <c r="R5933" t="str">
        <f t="shared" si="2428"/>
        <v>Accepted</v>
      </c>
      <c r="S5933" t="str">
        <f t="shared" si="2417"/>
        <v>Approved</v>
      </c>
      <c r="T5933" t="str">
        <f t="shared" si="2429"/>
        <v>10.20.8.188</v>
      </c>
      <c r="U5933" t="str">
        <f t="shared" si="2418"/>
        <v>AZRAD UMAR BIN SHAARI</v>
      </c>
      <c r="V5933" t="str">
        <f t="shared" si="2419"/>
        <v>FARHANA BINTI MUSTAPA</v>
      </c>
      <c r="W5933" t="str">
        <f t="shared" si="2420"/>
        <v>04-08-2020</v>
      </c>
      <c r="X5933" t="str">
        <f t="shared" si="2421"/>
        <v>RAZIMAH ANSAR AHMAD</v>
      </c>
      <c r="Y5933" t="str">
        <f t="shared" si="2422"/>
        <v>04-08-2020</v>
      </c>
      <c r="Z5933" t="str">
        <f>"COS10200804 3221"</f>
        <v>COS10200804 3221</v>
      </c>
    </row>
    <row r="5934" spans="1:26" x14ac:dyDescent="0.25">
      <c r="A5934" t="str">
        <f t="shared" si="2426"/>
        <v>04-08-2020 12:44:36</v>
      </c>
      <c r="B5934" t="str">
        <f>"0000804988"</f>
        <v>0000804988</v>
      </c>
      <c r="C5934" t="str">
        <f t="shared" si="2427"/>
        <v>0000804968</v>
      </c>
      <c r="D5934" t="str">
        <f t="shared" si="2412"/>
        <v>73185</v>
      </c>
      <c r="E5934" t="str">
        <f t="shared" si="2413"/>
        <v>KFH-OPERATIONS DEPARTMENT</v>
      </c>
      <c r="F5934" t="str">
        <f t="shared" si="2414"/>
        <v>IBG</v>
      </c>
      <c r="G5934" t="str">
        <f t="shared" si="2423"/>
        <v>Refund COSHARE 10</v>
      </c>
      <c r="H5934" s="2">
        <v>847.9</v>
      </c>
      <c r="I5934" t="str">
        <f>"NORLIZA BINTI MOKHTAR"</f>
        <v>NORLIZA BINTI MOKHTAR</v>
      </c>
      <c r="J5934" t="str">
        <f t="shared" si="2409"/>
        <v>CIMB BANK / CIMB ISLAMIC BANK</v>
      </c>
      <c r="K5934" t="str">
        <f>"12260070254520"</f>
        <v>12260070254520</v>
      </c>
      <c r="L5934" t="str">
        <f t="shared" si="2430"/>
        <v>04-08-2020</v>
      </c>
      <c r="M5934" t="str">
        <f t="shared" si="2430"/>
        <v>04-08-2020</v>
      </c>
      <c r="N5934" t="str">
        <f t="shared" si="2415"/>
        <v>001105018356</v>
      </c>
      <c r="O5934" t="str">
        <f t="shared" si="2416"/>
        <v>MYR</v>
      </c>
      <c r="P5934" t="str">
        <f t="shared" si="2431"/>
        <v>NIL</v>
      </c>
      <c r="Q5934" t="str">
        <f t="shared" si="2431"/>
        <v>NIL</v>
      </c>
      <c r="R5934" t="str">
        <f t="shared" si="2428"/>
        <v>Accepted</v>
      </c>
      <c r="S5934" t="str">
        <f t="shared" si="2417"/>
        <v>Approved</v>
      </c>
      <c r="T5934" t="str">
        <f t="shared" si="2429"/>
        <v>10.20.8.188</v>
      </c>
      <c r="U5934" t="str">
        <f t="shared" si="2418"/>
        <v>AZRAD UMAR BIN SHAARI</v>
      </c>
      <c r="V5934" t="str">
        <f t="shared" si="2419"/>
        <v>FARHANA BINTI MUSTAPA</v>
      </c>
      <c r="W5934" t="str">
        <f t="shared" si="2420"/>
        <v>04-08-2020</v>
      </c>
      <c r="X5934" t="str">
        <f t="shared" si="2421"/>
        <v>RAZIMAH ANSAR AHMAD</v>
      </c>
      <c r="Y5934" t="str">
        <f t="shared" si="2422"/>
        <v>04-08-2020</v>
      </c>
      <c r="Z5934" t="str">
        <f>"COS10200804 3220"</f>
        <v>COS10200804 3220</v>
      </c>
    </row>
    <row r="5935" spans="1:26" x14ac:dyDescent="0.25">
      <c r="A5935" t="str">
        <f t="shared" si="2426"/>
        <v>04-08-2020 12:44:36</v>
      </c>
      <c r="B5935" t="str">
        <f>"0000804987"</f>
        <v>0000804987</v>
      </c>
      <c r="C5935" t="str">
        <f t="shared" si="2427"/>
        <v>0000804968</v>
      </c>
      <c r="D5935" t="str">
        <f t="shared" si="2412"/>
        <v>73185</v>
      </c>
      <c r="E5935" t="str">
        <f t="shared" si="2413"/>
        <v>KFH-OPERATIONS DEPARTMENT</v>
      </c>
      <c r="F5935" t="str">
        <f t="shared" si="2414"/>
        <v>IBG</v>
      </c>
      <c r="G5935" t="str">
        <f t="shared" si="2423"/>
        <v>Refund COSHARE 10</v>
      </c>
      <c r="H5935" s="2">
        <v>1385.2</v>
      </c>
      <c r="I5935" t="str">
        <f>"NORLIZA BINTI IBRAHIM"</f>
        <v>NORLIZA BINTI IBRAHIM</v>
      </c>
      <c r="J5935" t="str">
        <f t="shared" si="2409"/>
        <v>CIMB BANK / CIMB ISLAMIC BANK</v>
      </c>
      <c r="K5935" t="str">
        <f>"7001817007"</f>
        <v>7001817007</v>
      </c>
      <c r="L5935" t="str">
        <f t="shared" si="2430"/>
        <v>04-08-2020</v>
      </c>
      <c r="M5935" t="str">
        <f t="shared" si="2430"/>
        <v>04-08-2020</v>
      </c>
      <c r="N5935" t="str">
        <f t="shared" si="2415"/>
        <v>001105018356</v>
      </c>
      <c r="O5935" t="str">
        <f t="shared" si="2416"/>
        <v>MYR</v>
      </c>
      <c r="P5935" t="str">
        <f t="shared" si="2431"/>
        <v>NIL</v>
      </c>
      <c r="Q5935" t="str">
        <f t="shared" si="2431"/>
        <v>NIL</v>
      </c>
      <c r="R5935" t="str">
        <f t="shared" si="2428"/>
        <v>Accepted</v>
      </c>
      <c r="S5935" t="str">
        <f t="shared" si="2417"/>
        <v>Approved</v>
      </c>
      <c r="T5935" t="str">
        <f t="shared" si="2429"/>
        <v>10.20.8.188</v>
      </c>
      <c r="U5935" t="str">
        <f t="shared" si="2418"/>
        <v>AZRAD UMAR BIN SHAARI</v>
      </c>
      <c r="V5935" t="str">
        <f t="shared" si="2419"/>
        <v>FARHANA BINTI MUSTAPA</v>
      </c>
      <c r="W5935" t="str">
        <f t="shared" si="2420"/>
        <v>04-08-2020</v>
      </c>
      <c r="X5935" t="str">
        <f t="shared" si="2421"/>
        <v>RAZIMAH ANSAR AHMAD</v>
      </c>
      <c r="Y5935" t="str">
        <f t="shared" si="2422"/>
        <v>04-08-2020</v>
      </c>
      <c r="Z5935" t="str">
        <f>"COS10200804 3219"</f>
        <v>COS10200804 3219</v>
      </c>
    </row>
    <row r="5936" spans="1:26" x14ac:dyDescent="0.25">
      <c r="A5936" t="str">
        <f t="shared" si="2426"/>
        <v>04-08-2020 12:44:36</v>
      </c>
      <c r="B5936" t="str">
        <f>"0000804986"</f>
        <v>0000804986</v>
      </c>
      <c r="C5936" t="str">
        <f t="shared" si="2427"/>
        <v>0000804968</v>
      </c>
      <c r="D5936" t="str">
        <f t="shared" si="2412"/>
        <v>73185</v>
      </c>
      <c r="E5936" t="str">
        <f t="shared" si="2413"/>
        <v>KFH-OPERATIONS DEPARTMENT</v>
      </c>
      <c r="F5936" t="str">
        <f t="shared" si="2414"/>
        <v>IBG</v>
      </c>
      <c r="G5936" t="str">
        <f t="shared" si="2423"/>
        <v>Refund COSHARE 10</v>
      </c>
      <c r="H5936" s="2">
        <v>160.94999999999999</v>
      </c>
      <c r="I5936" t="str">
        <f>"NORLIZA BINTI DS SHILDLOVESKY"</f>
        <v>NORLIZA BINTI DS SHILDLOVESKY</v>
      </c>
      <c r="J5936" t="str">
        <f t="shared" si="2409"/>
        <v>CIMB BANK / CIMB ISLAMIC BANK</v>
      </c>
      <c r="K5936" t="str">
        <f>"10040066559527"</f>
        <v>10040066559527</v>
      </c>
      <c r="L5936" t="str">
        <f t="shared" si="2430"/>
        <v>04-08-2020</v>
      </c>
      <c r="M5936" t="str">
        <f t="shared" si="2430"/>
        <v>04-08-2020</v>
      </c>
      <c r="N5936" t="str">
        <f t="shared" si="2415"/>
        <v>001105018356</v>
      </c>
      <c r="O5936" t="str">
        <f t="shared" si="2416"/>
        <v>MYR</v>
      </c>
      <c r="P5936" t="str">
        <f t="shared" si="2431"/>
        <v>NIL</v>
      </c>
      <c r="Q5936" t="str">
        <f t="shared" si="2431"/>
        <v>NIL</v>
      </c>
      <c r="R5936" t="str">
        <f t="shared" si="2428"/>
        <v>Accepted</v>
      </c>
      <c r="S5936" t="str">
        <f t="shared" si="2417"/>
        <v>Approved</v>
      </c>
      <c r="T5936" t="str">
        <f t="shared" si="2429"/>
        <v>10.20.8.188</v>
      </c>
      <c r="U5936" t="str">
        <f t="shared" si="2418"/>
        <v>AZRAD UMAR BIN SHAARI</v>
      </c>
      <c r="V5936" t="str">
        <f t="shared" si="2419"/>
        <v>FARHANA BINTI MUSTAPA</v>
      </c>
      <c r="W5936" t="str">
        <f t="shared" si="2420"/>
        <v>04-08-2020</v>
      </c>
      <c r="X5936" t="str">
        <f t="shared" si="2421"/>
        <v>RAZIMAH ANSAR AHMAD</v>
      </c>
      <c r="Y5936" t="str">
        <f t="shared" si="2422"/>
        <v>04-08-2020</v>
      </c>
      <c r="Z5936" t="str">
        <f>"COS10200804 3218"</f>
        <v>COS10200804 3218</v>
      </c>
    </row>
    <row r="5937" spans="1:26" x14ac:dyDescent="0.25">
      <c r="A5937" t="str">
        <f t="shared" si="2426"/>
        <v>04-08-2020 12:44:36</v>
      </c>
      <c r="B5937" t="str">
        <f>"0000804985"</f>
        <v>0000804985</v>
      </c>
      <c r="C5937" t="str">
        <f t="shared" si="2427"/>
        <v>0000804968</v>
      </c>
      <c r="D5937" t="str">
        <f t="shared" si="2412"/>
        <v>73185</v>
      </c>
      <c r="E5937" t="str">
        <f t="shared" si="2413"/>
        <v>KFH-OPERATIONS DEPARTMENT</v>
      </c>
      <c r="F5937" t="str">
        <f t="shared" si="2414"/>
        <v>IBG</v>
      </c>
      <c r="G5937" t="str">
        <f t="shared" si="2423"/>
        <v>Refund COSHARE 10</v>
      </c>
      <c r="H5937" s="2">
        <v>713.6</v>
      </c>
      <c r="I5937" t="str">
        <f>"NORLISA BT MAT NASIR"</f>
        <v>NORLISA BT MAT NASIR</v>
      </c>
      <c r="J5937" t="str">
        <f t="shared" si="2409"/>
        <v>CIMB BANK / CIMB ISLAMIC BANK</v>
      </c>
      <c r="K5937" t="str">
        <f>"7620463792"</f>
        <v>7620463792</v>
      </c>
      <c r="L5937" t="str">
        <f t="shared" si="2430"/>
        <v>04-08-2020</v>
      </c>
      <c r="M5937" t="str">
        <f t="shared" si="2430"/>
        <v>04-08-2020</v>
      </c>
      <c r="N5937" t="str">
        <f t="shared" si="2415"/>
        <v>001105018356</v>
      </c>
      <c r="O5937" t="str">
        <f t="shared" si="2416"/>
        <v>MYR</v>
      </c>
      <c r="P5937" t="str">
        <f t="shared" si="2431"/>
        <v>NIL</v>
      </c>
      <c r="Q5937" t="str">
        <f t="shared" si="2431"/>
        <v>NIL</v>
      </c>
      <c r="R5937" t="str">
        <f t="shared" si="2428"/>
        <v>Accepted</v>
      </c>
      <c r="S5937" t="str">
        <f t="shared" si="2417"/>
        <v>Approved</v>
      </c>
      <c r="T5937" t="str">
        <f t="shared" si="2429"/>
        <v>10.20.8.188</v>
      </c>
      <c r="U5937" t="str">
        <f t="shared" si="2418"/>
        <v>AZRAD UMAR BIN SHAARI</v>
      </c>
      <c r="V5937" t="str">
        <f t="shared" si="2419"/>
        <v>FARHANA BINTI MUSTAPA</v>
      </c>
      <c r="W5937" t="str">
        <f t="shared" si="2420"/>
        <v>04-08-2020</v>
      </c>
      <c r="X5937" t="str">
        <f t="shared" si="2421"/>
        <v>RAZIMAH ANSAR AHMAD</v>
      </c>
      <c r="Y5937" t="str">
        <f t="shared" si="2422"/>
        <v>04-08-2020</v>
      </c>
      <c r="Z5937" t="str">
        <f>"COS10200804 3217"</f>
        <v>COS10200804 3217</v>
      </c>
    </row>
    <row r="5938" spans="1:26" x14ac:dyDescent="0.25">
      <c r="A5938" t="str">
        <f t="shared" si="2426"/>
        <v>04-08-2020 12:44:36</v>
      </c>
      <c r="B5938" t="str">
        <f>"0000804984"</f>
        <v>0000804984</v>
      </c>
      <c r="C5938" t="str">
        <f t="shared" si="2427"/>
        <v>0000804968</v>
      </c>
      <c r="D5938" t="str">
        <f t="shared" si="2412"/>
        <v>73185</v>
      </c>
      <c r="E5938" t="str">
        <f t="shared" si="2413"/>
        <v>KFH-OPERATIONS DEPARTMENT</v>
      </c>
      <c r="F5938" t="str">
        <f t="shared" si="2414"/>
        <v>IBG</v>
      </c>
      <c r="G5938" t="str">
        <f t="shared" si="2423"/>
        <v>Refund COSHARE 10</v>
      </c>
      <c r="H5938" s="2">
        <v>923.45</v>
      </c>
      <c r="I5938" t="str">
        <f>"NORLINDA BT DARAMAN"</f>
        <v>NORLINDA BT DARAMAN</v>
      </c>
      <c r="J5938" t="str">
        <f t="shared" si="2409"/>
        <v>CIMB BANK / CIMB ISLAMIC BANK</v>
      </c>
      <c r="K5938" t="str">
        <f>"7600846725"</f>
        <v>7600846725</v>
      </c>
      <c r="L5938" t="str">
        <f t="shared" si="2430"/>
        <v>04-08-2020</v>
      </c>
      <c r="M5938" t="str">
        <f t="shared" si="2430"/>
        <v>04-08-2020</v>
      </c>
      <c r="N5938" t="str">
        <f t="shared" si="2415"/>
        <v>001105018356</v>
      </c>
      <c r="O5938" t="str">
        <f t="shared" si="2416"/>
        <v>MYR</v>
      </c>
      <c r="P5938" t="str">
        <f t="shared" si="2431"/>
        <v>NIL</v>
      </c>
      <c r="Q5938" t="str">
        <f t="shared" si="2431"/>
        <v>NIL</v>
      </c>
      <c r="R5938" t="str">
        <f t="shared" si="2428"/>
        <v>Accepted</v>
      </c>
      <c r="S5938" t="str">
        <f t="shared" si="2417"/>
        <v>Approved</v>
      </c>
      <c r="T5938" t="str">
        <f t="shared" si="2429"/>
        <v>10.20.8.188</v>
      </c>
      <c r="U5938" t="str">
        <f t="shared" si="2418"/>
        <v>AZRAD UMAR BIN SHAARI</v>
      </c>
      <c r="V5938" t="str">
        <f t="shared" si="2419"/>
        <v>FARHANA BINTI MUSTAPA</v>
      </c>
      <c r="W5938" t="str">
        <f t="shared" si="2420"/>
        <v>04-08-2020</v>
      </c>
      <c r="X5938" t="str">
        <f t="shared" si="2421"/>
        <v>RAZIMAH ANSAR AHMAD</v>
      </c>
      <c r="Y5938" t="str">
        <f t="shared" si="2422"/>
        <v>04-08-2020</v>
      </c>
      <c r="Z5938" t="str">
        <f>"COS10200804 3216"</f>
        <v>COS10200804 3216</v>
      </c>
    </row>
    <row r="5939" spans="1:26" x14ac:dyDescent="0.25">
      <c r="A5939" t="str">
        <f t="shared" si="2426"/>
        <v>04-08-2020 12:44:36</v>
      </c>
      <c r="B5939" t="str">
        <f>"0000804983"</f>
        <v>0000804983</v>
      </c>
      <c r="C5939" t="str">
        <f t="shared" si="2427"/>
        <v>0000804968</v>
      </c>
      <c r="D5939" t="str">
        <f t="shared" si="2412"/>
        <v>73185</v>
      </c>
      <c r="E5939" t="str">
        <f t="shared" si="2413"/>
        <v>KFH-OPERATIONS DEPARTMENT</v>
      </c>
      <c r="F5939" t="str">
        <f t="shared" si="2414"/>
        <v>IBG</v>
      </c>
      <c r="G5939" t="str">
        <f t="shared" si="2423"/>
        <v>Refund COSHARE 10</v>
      </c>
      <c r="H5939" s="2">
        <v>1834</v>
      </c>
      <c r="I5939" t="str">
        <f>"NORLIDA BT HUSIN"</f>
        <v>NORLIDA BT HUSIN</v>
      </c>
      <c r="J5939" t="str">
        <f t="shared" si="2409"/>
        <v>CIMB BANK / CIMB ISLAMIC BANK</v>
      </c>
      <c r="K5939" t="str">
        <f>"12100033546521"</f>
        <v>12100033546521</v>
      </c>
      <c r="L5939" t="str">
        <f t="shared" si="2430"/>
        <v>04-08-2020</v>
      </c>
      <c r="M5939" t="str">
        <f t="shared" si="2430"/>
        <v>04-08-2020</v>
      </c>
      <c r="N5939" t="str">
        <f t="shared" si="2415"/>
        <v>001105018356</v>
      </c>
      <c r="O5939" t="str">
        <f t="shared" si="2416"/>
        <v>MYR</v>
      </c>
      <c r="P5939" t="str">
        <f t="shared" si="2431"/>
        <v>NIL</v>
      </c>
      <c r="Q5939" t="str">
        <f t="shared" si="2431"/>
        <v>NIL</v>
      </c>
      <c r="R5939" t="str">
        <f t="shared" si="2428"/>
        <v>Accepted</v>
      </c>
      <c r="S5939" t="str">
        <f t="shared" si="2417"/>
        <v>Approved</v>
      </c>
      <c r="T5939" t="str">
        <f t="shared" si="2429"/>
        <v>10.20.8.188</v>
      </c>
      <c r="U5939" t="str">
        <f t="shared" si="2418"/>
        <v>AZRAD UMAR BIN SHAARI</v>
      </c>
      <c r="V5939" t="str">
        <f t="shared" si="2419"/>
        <v>FARHANA BINTI MUSTAPA</v>
      </c>
      <c r="W5939" t="str">
        <f t="shared" si="2420"/>
        <v>04-08-2020</v>
      </c>
      <c r="X5939" t="str">
        <f t="shared" si="2421"/>
        <v>RAZIMAH ANSAR AHMAD</v>
      </c>
      <c r="Y5939" t="str">
        <f t="shared" si="2422"/>
        <v>04-08-2020</v>
      </c>
      <c r="Z5939" t="str">
        <f>"COS10200804 3215"</f>
        <v>COS10200804 3215</v>
      </c>
    </row>
    <row r="5940" spans="1:26" x14ac:dyDescent="0.25">
      <c r="A5940" t="str">
        <f t="shared" si="2426"/>
        <v>04-08-2020 12:44:36</v>
      </c>
      <c r="B5940" t="str">
        <f>"0000804982"</f>
        <v>0000804982</v>
      </c>
      <c r="C5940" t="str">
        <f t="shared" si="2427"/>
        <v>0000804968</v>
      </c>
      <c r="D5940" t="str">
        <f t="shared" si="2412"/>
        <v>73185</v>
      </c>
      <c r="E5940" t="str">
        <f t="shared" si="2413"/>
        <v>KFH-OPERATIONS DEPARTMENT</v>
      </c>
      <c r="F5940" t="str">
        <f t="shared" si="2414"/>
        <v>IBG</v>
      </c>
      <c r="G5940" t="str">
        <f t="shared" si="2423"/>
        <v>Refund COSHARE 10</v>
      </c>
      <c r="H5940" s="2">
        <v>755.55</v>
      </c>
      <c r="I5940" t="str">
        <f>"NORLIANA BINTI RAMELI"</f>
        <v>NORLIANA BINTI RAMELI</v>
      </c>
      <c r="J5940" t="str">
        <f t="shared" si="2409"/>
        <v>CIMB BANK / CIMB ISLAMIC BANK</v>
      </c>
      <c r="K5940" t="str">
        <f>"14400062070523"</f>
        <v>14400062070523</v>
      </c>
      <c r="L5940" t="str">
        <f t="shared" si="2430"/>
        <v>04-08-2020</v>
      </c>
      <c r="M5940" t="str">
        <f t="shared" si="2430"/>
        <v>04-08-2020</v>
      </c>
      <c r="N5940" t="str">
        <f t="shared" si="2415"/>
        <v>001105018356</v>
      </c>
      <c r="O5940" t="str">
        <f t="shared" si="2416"/>
        <v>MYR</v>
      </c>
      <c r="P5940" t="str">
        <f t="shared" si="2431"/>
        <v>NIL</v>
      </c>
      <c r="Q5940" t="str">
        <f t="shared" si="2431"/>
        <v>NIL</v>
      </c>
      <c r="R5940" t="str">
        <f t="shared" si="2428"/>
        <v>Accepted</v>
      </c>
      <c r="S5940" t="str">
        <f t="shared" si="2417"/>
        <v>Approved</v>
      </c>
      <c r="T5940" t="str">
        <f t="shared" si="2429"/>
        <v>10.20.8.188</v>
      </c>
      <c r="U5940" t="str">
        <f t="shared" si="2418"/>
        <v>AZRAD UMAR BIN SHAARI</v>
      </c>
      <c r="V5940" t="str">
        <f t="shared" si="2419"/>
        <v>FARHANA BINTI MUSTAPA</v>
      </c>
      <c r="W5940" t="str">
        <f t="shared" si="2420"/>
        <v>04-08-2020</v>
      </c>
      <c r="X5940" t="str">
        <f t="shared" si="2421"/>
        <v>RAZIMAH ANSAR AHMAD</v>
      </c>
      <c r="Y5940" t="str">
        <f t="shared" si="2422"/>
        <v>04-08-2020</v>
      </c>
      <c r="Z5940" t="str">
        <f>"COS10200804 3214"</f>
        <v>COS10200804 3214</v>
      </c>
    </row>
    <row r="5941" spans="1:26" x14ac:dyDescent="0.25">
      <c r="A5941" t="str">
        <f t="shared" si="2426"/>
        <v>04-08-2020 12:44:36</v>
      </c>
      <c r="B5941" t="str">
        <f>"0000804981"</f>
        <v>0000804981</v>
      </c>
      <c r="C5941" t="str">
        <f t="shared" si="2427"/>
        <v>0000804968</v>
      </c>
      <c r="D5941" t="str">
        <f t="shared" si="2412"/>
        <v>73185</v>
      </c>
      <c r="E5941" t="str">
        <f t="shared" si="2413"/>
        <v>KFH-OPERATIONS DEPARTMENT</v>
      </c>
      <c r="F5941" t="str">
        <f t="shared" si="2414"/>
        <v>IBG</v>
      </c>
      <c r="G5941" t="str">
        <f t="shared" si="2423"/>
        <v>Refund COSHARE 10</v>
      </c>
      <c r="H5941" s="2">
        <v>428.15</v>
      </c>
      <c r="I5941" t="str">
        <f>"NORLIANA BINTI MD AMIN"</f>
        <v>NORLIANA BINTI MD AMIN</v>
      </c>
      <c r="J5941" t="str">
        <f t="shared" si="2409"/>
        <v>CIMB BANK / CIMB ISLAMIC BANK</v>
      </c>
      <c r="K5941" t="str">
        <f>"7605241817"</f>
        <v>7605241817</v>
      </c>
      <c r="L5941" t="str">
        <f t="shared" si="2430"/>
        <v>04-08-2020</v>
      </c>
      <c r="M5941" t="str">
        <f t="shared" si="2430"/>
        <v>04-08-2020</v>
      </c>
      <c r="N5941" t="str">
        <f t="shared" si="2415"/>
        <v>001105018356</v>
      </c>
      <c r="O5941" t="str">
        <f t="shared" si="2416"/>
        <v>MYR</v>
      </c>
      <c r="P5941" t="str">
        <f t="shared" si="2431"/>
        <v>NIL</v>
      </c>
      <c r="Q5941" t="str">
        <f t="shared" si="2431"/>
        <v>NIL</v>
      </c>
      <c r="R5941" t="str">
        <f t="shared" si="2428"/>
        <v>Accepted</v>
      </c>
      <c r="S5941" t="str">
        <f t="shared" si="2417"/>
        <v>Approved</v>
      </c>
      <c r="T5941" t="str">
        <f t="shared" si="2429"/>
        <v>10.20.8.188</v>
      </c>
      <c r="U5941" t="str">
        <f t="shared" si="2418"/>
        <v>AZRAD UMAR BIN SHAARI</v>
      </c>
      <c r="V5941" t="str">
        <f t="shared" si="2419"/>
        <v>FARHANA BINTI MUSTAPA</v>
      </c>
      <c r="W5941" t="str">
        <f t="shared" si="2420"/>
        <v>04-08-2020</v>
      </c>
      <c r="X5941" t="str">
        <f t="shared" si="2421"/>
        <v>RAZIMAH ANSAR AHMAD</v>
      </c>
      <c r="Y5941" t="str">
        <f t="shared" si="2422"/>
        <v>04-08-2020</v>
      </c>
      <c r="Z5941" t="str">
        <f>"COS10200804 3213"</f>
        <v>COS10200804 3213</v>
      </c>
    </row>
    <row r="5942" spans="1:26" x14ac:dyDescent="0.25">
      <c r="A5942" t="str">
        <f t="shared" si="2426"/>
        <v>04-08-2020 12:44:36</v>
      </c>
      <c r="B5942" t="str">
        <f>"0000804980"</f>
        <v>0000804980</v>
      </c>
      <c r="C5942" t="str">
        <f t="shared" si="2427"/>
        <v>0000804968</v>
      </c>
      <c r="D5942" t="str">
        <f t="shared" si="2412"/>
        <v>73185</v>
      </c>
      <c r="E5942" t="str">
        <f t="shared" si="2413"/>
        <v>KFH-OPERATIONS DEPARTMENT</v>
      </c>
      <c r="F5942" t="str">
        <f t="shared" si="2414"/>
        <v>IBG</v>
      </c>
      <c r="G5942" t="str">
        <f t="shared" si="2423"/>
        <v>Refund COSHARE 10</v>
      </c>
      <c r="H5942" s="2">
        <v>114</v>
      </c>
      <c r="I5942" t="str">
        <f>"NORLEEDA BINTI JAMALUDIN"</f>
        <v>NORLEEDA BINTI JAMALUDIN</v>
      </c>
      <c r="J5942" t="str">
        <f t="shared" si="2409"/>
        <v>CIMB BANK / CIMB ISLAMIC BANK</v>
      </c>
      <c r="K5942" t="str">
        <f>"12170050994522"</f>
        <v>12170050994522</v>
      </c>
      <c r="L5942" t="str">
        <f t="shared" si="2430"/>
        <v>04-08-2020</v>
      </c>
      <c r="M5942" t="str">
        <f t="shared" si="2430"/>
        <v>04-08-2020</v>
      </c>
      <c r="N5942" t="str">
        <f t="shared" si="2415"/>
        <v>001105018356</v>
      </c>
      <c r="O5942" t="str">
        <f t="shared" si="2416"/>
        <v>MYR</v>
      </c>
      <c r="P5942" t="str">
        <f t="shared" si="2431"/>
        <v>NIL</v>
      </c>
      <c r="Q5942" t="str">
        <f t="shared" si="2431"/>
        <v>NIL</v>
      </c>
      <c r="R5942" t="str">
        <f t="shared" si="2428"/>
        <v>Accepted</v>
      </c>
      <c r="S5942" t="str">
        <f t="shared" si="2417"/>
        <v>Approved</v>
      </c>
      <c r="T5942" t="str">
        <f t="shared" si="2429"/>
        <v>10.20.8.188</v>
      </c>
      <c r="U5942" t="str">
        <f t="shared" si="2418"/>
        <v>AZRAD UMAR BIN SHAARI</v>
      </c>
      <c r="V5942" t="str">
        <f t="shared" si="2419"/>
        <v>FARHANA BINTI MUSTAPA</v>
      </c>
      <c r="W5942" t="str">
        <f t="shared" si="2420"/>
        <v>04-08-2020</v>
      </c>
      <c r="X5942" t="str">
        <f t="shared" si="2421"/>
        <v>RAZIMAH ANSAR AHMAD</v>
      </c>
      <c r="Y5942" t="str">
        <f t="shared" si="2422"/>
        <v>04-08-2020</v>
      </c>
      <c r="Z5942" t="str">
        <f>"COS10200804 3212"</f>
        <v>COS10200804 3212</v>
      </c>
    </row>
    <row r="5943" spans="1:26" x14ac:dyDescent="0.25">
      <c r="A5943" t="str">
        <f t="shared" si="2426"/>
        <v>04-08-2020 12:44:36</v>
      </c>
      <c r="B5943" t="str">
        <f>"0000804979"</f>
        <v>0000804979</v>
      </c>
      <c r="C5943" t="str">
        <f t="shared" si="2427"/>
        <v>0000804968</v>
      </c>
      <c r="D5943" t="str">
        <f t="shared" si="2412"/>
        <v>73185</v>
      </c>
      <c r="E5943" t="str">
        <f t="shared" si="2413"/>
        <v>KFH-OPERATIONS DEPARTMENT</v>
      </c>
      <c r="F5943" t="str">
        <f t="shared" si="2414"/>
        <v>IBG</v>
      </c>
      <c r="G5943" t="str">
        <f t="shared" si="2423"/>
        <v>Refund COSHARE 10</v>
      </c>
      <c r="H5943" s="2">
        <v>167.9</v>
      </c>
      <c r="I5943" t="str">
        <f>"NORLEEDA BINTI JAMALUDIN"</f>
        <v>NORLEEDA BINTI JAMALUDIN</v>
      </c>
      <c r="J5943" t="str">
        <f t="shared" si="2409"/>
        <v>CIMB BANK / CIMB ISLAMIC BANK</v>
      </c>
      <c r="K5943" t="str">
        <f>"12170050994522"</f>
        <v>12170050994522</v>
      </c>
      <c r="L5943" t="str">
        <f t="shared" si="2430"/>
        <v>04-08-2020</v>
      </c>
      <c r="M5943" t="str">
        <f t="shared" si="2430"/>
        <v>04-08-2020</v>
      </c>
      <c r="N5943" t="str">
        <f t="shared" si="2415"/>
        <v>001105018356</v>
      </c>
      <c r="O5943" t="str">
        <f t="shared" si="2416"/>
        <v>MYR</v>
      </c>
      <c r="P5943" t="str">
        <f t="shared" si="2431"/>
        <v>NIL</v>
      </c>
      <c r="Q5943" t="str">
        <f t="shared" si="2431"/>
        <v>NIL</v>
      </c>
      <c r="R5943" t="str">
        <f t="shared" si="2428"/>
        <v>Accepted</v>
      </c>
      <c r="S5943" t="str">
        <f t="shared" si="2417"/>
        <v>Approved</v>
      </c>
      <c r="T5943" t="str">
        <f t="shared" si="2429"/>
        <v>10.20.8.188</v>
      </c>
      <c r="U5943" t="str">
        <f t="shared" si="2418"/>
        <v>AZRAD UMAR BIN SHAARI</v>
      </c>
      <c r="V5943" t="str">
        <f t="shared" si="2419"/>
        <v>FARHANA BINTI MUSTAPA</v>
      </c>
      <c r="W5943" t="str">
        <f t="shared" si="2420"/>
        <v>04-08-2020</v>
      </c>
      <c r="X5943" t="str">
        <f t="shared" si="2421"/>
        <v>RAZIMAH ANSAR AHMAD</v>
      </c>
      <c r="Y5943" t="str">
        <f t="shared" si="2422"/>
        <v>04-08-2020</v>
      </c>
      <c r="Z5943" t="str">
        <f>"COS10200804 3211"</f>
        <v>COS10200804 3211</v>
      </c>
    </row>
    <row r="5944" spans="1:26" x14ac:dyDescent="0.25">
      <c r="A5944" t="str">
        <f t="shared" si="2426"/>
        <v>04-08-2020 12:44:36</v>
      </c>
      <c r="B5944" t="str">
        <f>"0000804978"</f>
        <v>0000804978</v>
      </c>
      <c r="C5944" t="str">
        <f t="shared" si="2427"/>
        <v>0000804968</v>
      </c>
      <c r="D5944" t="str">
        <f t="shared" si="2412"/>
        <v>73185</v>
      </c>
      <c r="E5944" t="str">
        <f t="shared" si="2413"/>
        <v>KFH-OPERATIONS DEPARTMENT</v>
      </c>
      <c r="F5944" t="str">
        <f t="shared" si="2414"/>
        <v>IBG</v>
      </c>
      <c r="G5944" t="str">
        <f t="shared" si="2423"/>
        <v>Refund COSHARE 10</v>
      </c>
      <c r="H5944" s="2">
        <v>470.15</v>
      </c>
      <c r="I5944" t="str">
        <f>"NORLAILIE BINTI AHMAD"</f>
        <v>NORLAILIE BINTI AHMAD</v>
      </c>
      <c r="J5944" t="str">
        <f t="shared" si="2409"/>
        <v>CIMB BANK / CIMB ISLAMIC BANK</v>
      </c>
      <c r="K5944" t="str">
        <f>"12260071249520"</f>
        <v>12260071249520</v>
      </c>
      <c r="L5944" t="str">
        <f t="shared" si="2430"/>
        <v>04-08-2020</v>
      </c>
      <c r="M5944" t="str">
        <f t="shared" si="2430"/>
        <v>04-08-2020</v>
      </c>
      <c r="N5944" t="str">
        <f t="shared" si="2415"/>
        <v>001105018356</v>
      </c>
      <c r="O5944" t="str">
        <f t="shared" si="2416"/>
        <v>MYR</v>
      </c>
      <c r="P5944" t="str">
        <f t="shared" si="2431"/>
        <v>NIL</v>
      </c>
      <c r="Q5944" t="str">
        <f t="shared" si="2431"/>
        <v>NIL</v>
      </c>
      <c r="R5944" t="str">
        <f t="shared" si="2428"/>
        <v>Accepted</v>
      </c>
      <c r="S5944" t="str">
        <f t="shared" si="2417"/>
        <v>Approved</v>
      </c>
      <c r="T5944" t="str">
        <f t="shared" si="2429"/>
        <v>10.20.8.188</v>
      </c>
      <c r="U5944" t="str">
        <f t="shared" si="2418"/>
        <v>AZRAD UMAR BIN SHAARI</v>
      </c>
      <c r="V5944" t="str">
        <f t="shared" si="2419"/>
        <v>FARHANA BINTI MUSTAPA</v>
      </c>
      <c r="W5944" t="str">
        <f t="shared" si="2420"/>
        <v>04-08-2020</v>
      </c>
      <c r="X5944" t="str">
        <f t="shared" si="2421"/>
        <v>RAZIMAH ANSAR AHMAD</v>
      </c>
      <c r="Y5944" t="str">
        <f t="shared" si="2422"/>
        <v>04-08-2020</v>
      </c>
      <c r="Z5944" t="str">
        <f>"COS10200804 3210"</f>
        <v>COS10200804 3210</v>
      </c>
    </row>
    <row r="5945" spans="1:26" x14ac:dyDescent="0.25">
      <c r="A5945" t="str">
        <f t="shared" si="2426"/>
        <v>04-08-2020 12:44:36</v>
      </c>
      <c r="B5945" t="str">
        <f>"0000804977"</f>
        <v>0000804977</v>
      </c>
      <c r="C5945" t="str">
        <f t="shared" si="2427"/>
        <v>0000804968</v>
      </c>
      <c r="D5945" t="str">
        <f t="shared" si="2412"/>
        <v>73185</v>
      </c>
      <c r="E5945" t="str">
        <f t="shared" si="2413"/>
        <v>KFH-OPERATIONS DEPARTMENT</v>
      </c>
      <c r="F5945" t="str">
        <f t="shared" si="2414"/>
        <v>IBG</v>
      </c>
      <c r="G5945" t="str">
        <f t="shared" si="2423"/>
        <v>Refund COSHARE 10</v>
      </c>
      <c r="H5945" s="2">
        <v>428.15</v>
      </c>
      <c r="I5945" t="str">
        <f>"NORLAILA BT AB RAZAK"</f>
        <v>NORLAILA BT AB RAZAK</v>
      </c>
      <c r="J5945" t="str">
        <f t="shared" si="2409"/>
        <v>CIMB BANK / CIMB ISLAMIC BANK</v>
      </c>
      <c r="K5945" t="str">
        <f>"01140034022524"</f>
        <v>01140034022524</v>
      </c>
      <c r="L5945" t="str">
        <f t="shared" si="2430"/>
        <v>04-08-2020</v>
      </c>
      <c r="M5945" t="str">
        <f t="shared" si="2430"/>
        <v>04-08-2020</v>
      </c>
      <c r="N5945" t="str">
        <f t="shared" si="2415"/>
        <v>001105018356</v>
      </c>
      <c r="O5945" t="str">
        <f t="shared" si="2416"/>
        <v>MYR</v>
      </c>
      <c r="P5945" t="str">
        <f t="shared" si="2431"/>
        <v>NIL</v>
      </c>
      <c r="Q5945" t="str">
        <f t="shared" si="2431"/>
        <v>NIL</v>
      </c>
      <c r="R5945" t="str">
        <f t="shared" si="2428"/>
        <v>Accepted</v>
      </c>
      <c r="S5945" t="str">
        <f t="shared" si="2417"/>
        <v>Approved</v>
      </c>
      <c r="T5945" t="str">
        <f t="shared" si="2429"/>
        <v>10.20.8.188</v>
      </c>
      <c r="U5945" t="str">
        <f t="shared" si="2418"/>
        <v>AZRAD UMAR BIN SHAARI</v>
      </c>
      <c r="V5945" t="str">
        <f t="shared" si="2419"/>
        <v>FARHANA BINTI MUSTAPA</v>
      </c>
      <c r="W5945" t="str">
        <f t="shared" si="2420"/>
        <v>04-08-2020</v>
      </c>
      <c r="X5945" t="str">
        <f t="shared" si="2421"/>
        <v>RAZIMAH ANSAR AHMAD</v>
      </c>
      <c r="Y5945" t="str">
        <f t="shared" si="2422"/>
        <v>04-08-2020</v>
      </c>
      <c r="Z5945" t="str">
        <f>"COS10200804 3209"</f>
        <v>COS10200804 3209</v>
      </c>
    </row>
    <row r="5946" spans="1:26" x14ac:dyDescent="0.25">
      <c r="A5946" t="str">
        <f t="shared" ref="A5946:A5953" si="2432">"04-08-2020 12:44:36"</f>
        <v>04-08-2020 12:44:36</v>
      </c>
      <c r="B5946" t="str">
        <f>"0000804976"</f>
        <v>0000804976</v>
      </c>
      <c r="C5946" t="str">
        <f t="shared" ref="C5946:C5953" si="2433">"0000804968"</f>
        <v>0000804968</v>
      </c>
      <c r="D5946" t="str">
        <f t="shared" si="2412"/>
        <v>73185</v>
      </c>
      <c r="E5946" t="str">
        <f t="shared" si="2413"/>
        <v>KFH-OPERATIONS DEPARTMENT</v>
      </c>
      <c r="F5946" t="str">
        <f t="shared" si="2414"/>
        <v>IBG</v>
      </c>
      <c r="G5946" t="str">
        <f t="shared" si="2423"/>
        <v>Refund COSHARE 10</v>
      </c>
      <c r="H5946" s="2">
        <v>67.2</v>
      </c>
      <c r="I5946" t="str">
        <f>"NORLAILA BINTI ZAKARIA"</f>
        <v>NORLAILA BINTI ZAKARIA</v>
      </c>
      <c r="J5946" t="str">
        <f t="shared" si="2409"/>
        <v>CIMB BANK / CIMB ISLAMIC BANK</v>
      </c>
      <c r="K5946" t="str">
        <f>"14150063634520"</f>
        <v>14150063634520</v>
      </c>
      <c r="L5946" t="str">
        <f t="shared" si="2430"/>
        <v>04-08-2020</v>
      </c>
      <c r="M5946" t="str">
        <f t="shared" si="2430"/>
        <v>04-08-2020</v>
      </c>
      <c r="N5946" t="str">
        <f t="shared" si="2415"/>
        <v>001105018356</v>
      </c>
      <c r="O5946" t="str">
        <f t="shared" si="2416"/>
        <v>MYR</v>
      </c>
      <c r="P5946" t="str">
        <f t="shared" si="2431"/>
        <v>NIL</v>
      </c>
      <c r="Q5946" t="str">
        <f t="shared" si="2431"/>
        <v>NIL</v>
      </c>
      <c r="R5946" t="str">
        <f t="shared" si="2428"/>
        <v>Accepted</v>
      </c>
      <c r="S5946" t="str">
        <f t="shared" si="2417"/>
        <v>Approved</v>
      </c>
      <c r="T5946" t="str">
        <f t="shared" si="2429"/>
        <v>10.20.8.188</v>
      </c>
      <c r="U5946" t="str">
        <f t="shared" si="2418"/>
        <v>AZRAD UMAR BIN SHAARI</v>
      </c>
      <c r="V5946" t="str">
        <f t="shared" si="2419"/>
        <v>FARHANA BINTI MUSTAPA</v>
      </c>
      <c r="W5946" t="str">
        <f t="shared" si="2420"/>
        <v>04-08-2020</v>
      </c>
      <c r="X5946" t="str">
        <f t="shared" si="2421"/>
        <v>RAZIMAH ANSAR AHMAD</v>
      </c>
      <c r="Y5946" t="str">
        <f t="shared" si="2422"/>
        <v>04-08-2020</v>
      </c>
      <c r="Z5946" t="str">
        <f>"COS10200804 3208"</f>
        <v>COS10200804 3208</v>
      </c>
    </row>
    <row r="5947" spans="1:26" x14ac:dyDescent="0.25">
      <c r="A5947" t="str">
        <f t="shared" si="2432"/>
        <v>04-08-2020 12:44:36</v>
      </c>
      <c r="B5947" t="str">
        <f>"0000804975"</f>
        <v>0000804975</v>
      </c>
      <c r="C5947" t="str">
        <f t="shared" si="2433"/>
        <v>0000804968</v>
      </c>
      <c r="D5947" t="str">
        <f t="shared" si="2412"/>
        <v>73185</v>
      </c>
      <c r="E5947" t="str">
        <f t="shared" si="2413"/>
        <v>KFH-OPERATIONS DEPARTMENT</v>
      </c>
      <c r="F5947" t="str">
        <f t="shared" si="2414"/>
        <v>IBG</v>
      </c>
      <c r="G5947" t="str">
        <f t="shared" si="2423"/>
        <v>Refund COSHARE 10</v>
      </c>
      <c r="H5947" s="2">
        <v>923.45</v>
      </c>
      <c r="I5947" t="str">
        <f>"NORLAILA BINTI HASSAN"</f>
        <v>NORLAILA BINTI HASSAN</v>
      </c>
      <c r="J5947" t="str">
        <f t="shared" si="2409"/>
        <v>CIMB BANK / CIMB ISLAMIC BANK</v>
      </c>
      <c r="K5947" t="str">
        <f>"14150061097522"</f>
        <v>14150061097522</v>
      </c>
      <c r="L5947" t="str">
        <f t="shared" ref="L5947:M5966" si="2434">"04-08-2020"</f>
        <v>04-08-2020</v>
      </c>
      <c r="M5947" t="str">
        <f t="shared" si="2434"/>
        <v>04-08-2020</v>
      </c>
      <c r="N5947" t="str">
        <f t="shared" si="2415"/>
        <v>001105018356</v>
      </c>
      <c r="O5947" t="str">
        <f t="shared" si="2416"/>
        <v>MYR</v>
      </c>
      <c r="P5947" t="str">
        <f t="shared" ref="P5947:Q5966" si="2435">"NIL"</f>
        <v>NIL</v>
      </c>
      <c r="Q5947" t="str">
        <f t="shared" si="2435"/>
        <v>NIL</v>
      </c>
      <c r="R5947" t="str">
        <f t="shared" si="2428"/>
        <v>Accepted</v>
      </c>
      <c r="S5947" t="str">
        <f t="shared" si="2417"/>
        <v>Approved</v>
      </c>
      <c r="T5947" t="str">
        <f t="shared" si="2429"/>
        <v>10.20.8.188</v>
      </c>
      <c r="U5947" t="str">
        <f t="shared" si="2418"/>
        <v>AZRAD UMAR BIN SHAARI</v>
      </c>
      <c r="V5947" t="str">
        <f t="shared" si="2419"/>
        <v>FARHANA BINTI MUSTAPA</v>
      </c>
      <c r="W5947" t="str">
        <f t="shared" si="2420"/>
        <v>04-08-2020</v>
      </c>
      <c r="X5947" t="str">
        <f t="shared" si="2421"/>
        <v>RAZIMAH ANSAR AHMAD</v>
      </c>
      <c r="Y5947" t="str">
        <f t="shared" si="2422"/>
        <v>04-08-2020</v>
      </c>
      <c r="Z5947" t="str">
        <f>"COS10200804 3207"</f>
        <v>COS10200804 3207</v>
      </c>
    </row>
    <row r="5948" spans="1:26" x14ac:dyDescent="0.25">
      <c r="A5948" t="str">
        <f t="shared" si="2432"/>
        <v>04-08-2020 12:44:36</v>
      </c>
      <c r="B5948" t="str">
        <f>"0000804974"</f>
        <v>0000804974</v>
      </c>
      <c r="C5948" t="str">
        <f t="shared" si="2433"/>
        <v>0000804968</v>
      </c>
      <c r="D5948" t="str">
        <f t="shared" si="2412"/>
        <v>73185</v>
      </c>
      <c r="E5948" t="str">
        <f t="shared" si="2413"/>
        <v>KFH-OPERATIONS DEPARTMENT</v>
      </c>
      <c r="F5948" t="str">
        <f t="shared" si="2414"/>
        <v>IBG</v>
      </c>
      <c r="G5948" t="str">
        <f t="shared" si="2423"/>
        <v>Refund COSHARE 10</v>
      </c>
      <c r="H5948" s="2">
        <v>56.8</v>
      </c>
      <c r="I5948" t="str">
        <f>"NORIZAN BIN MEHAT"</f>
        <v>NORIZAN BIN MEHAT</v>
      </c>
      <c r="J5948" t="str">
        <f t="shared" ref="J5948:J6011" si="2436">"CIMB BANK / CIMB ISLAMIC BANK"</f>
        <v>CIMB BANK / CIMB ISLAMIC BANK</v>
      </c>
      <c r="K5948" t="str">
        <f>"08260006519526"</f>
        <v>08260006519526</v>
      </c>
      <c r="L5948" t="str">
        <f t="shared" si="2434"/>
        <v>04-08-2020</v>
      </c>
      <c r="M5948" t="str">
        <f t="shared" si="2434"/>
        <v>04-08-2020</v>
      </c>
      <c r="N5948" t="str">
        <f t="shared" si="2415"/>
        <v>001105018356</v>
      </c>
      <c r="O5948" t="str">
        <f t="shared" si="2416"/>
        <v>MYR</v>
      </c>
      <c r="P5948" t="str">
        <f t="shared" si="2435"/>
        <v>NIL</v>
      </c>
      <c r="Q5948" t="str">
        <f t="shared" si="2435"/>
        <v>NIL</v>
      </c>
      <c r="R5948" t="str">
        <f t="shared" si="2428"/>
        <v>Accepted</v>
      </c>
      <c r="S5948" t="str">
        <f t="shared" si="2417"/>
        <v>Approved</v>
      </c>
      <c r="T5948" t="str">
        <f t="shared" si="2429"/>
        <v>10.20.8.188</v>
      </c>
      <c r="U5948" t="str">
        <f t="shared" si="2418"/>
        <v>AZRAD UMAR BIN SHAARI</v>
      </c>
      <c r="V5948" t="str">
        <f t="shared" si="2419"/>
        <v>FARHANA BINTI MUSTAPA</v>
      </c>
      <c r="W5948" t="str">
        <f t="shared" si="2420"/>
        <v>04-08-2020</v>
      </c>
      <c r="X5948" t="str">
        <f t="shared" si="2421"/>
        <v>RAZIMAH ANSAR AHMAD</v>
      </c>
      <c r="Y5948" t="str">
        <f t="shared" si="2422"/>
        <v>04-08-2020</v>
      </c>
      <c r="Z5948" t="str">
        <f>"COS10200804 3206"</f>
        <v>COS10200804 3206</v>
      </c>
    </row>
    <row r="5949" spans="1:26" x14ac:dyDescent="0.25">
      <c r="A5949" t="str">
        <f t="shared" si="2432"/>
        <v>04-08-2020 12:44:36</v>
      </c>
      <c r="B5949" t="str">
        <f>"0000804973"</f>
        <v>0000804973</v>
      </c>
      <c r="C5949" t="str">
        <f t="shared" si="2433"/>
        <v>0000804968</v>
      </c>
      <c r="D5949" t="str">
        <f t="shared" si="2412"/>
        <v>73185</v>
      </c>
      <c r="E5949" t="str">
        <f t="shared" si="2413"/>
        <v>KFH-OPERATIONS DEPARTMENT</v>
      </c>
      <c r="F5949" t="str">
        <f t="shared" si="2414"/>
        <v>IBG</v>
      </c>
      <c r="G5949" t="str">
        <f t="shared" si="2423"/>
        <v>Refund COSHARE 10</v>
      </c>
      <c r="H5949" s="2">
        <v>177.4</v>
      </c>
      <c r="I5949" t="str">
        <f>"NORIZA BINTI REPEN"</f>
        <v>NORIZA BINTI REPEN</v>
      </c>
      <c r="J5949" t="str">
        <f t="shared" si="2436"/>
        <v>CIMB BANK / CIMB ISLAMIC BANK</v>
      </c>
      <c r="K5949" t="str">
        <f>"11060030252528"</f>
        <v>11060030252528</v>
      </c>
      <c r="L5949" t="str">
        <f t="shared" si="2434"/>
        <v>04-08-2020</v>
      </c>
      <c r="M5949" t="str">
        <f t="shared" si="2434"/>
        <v>04-08-2020</v>
      </c>
      <c r="N5949" t="str">
        <f t="shared" si="2415"/>
        <v>001105018356</v>
      </c>
      <c r="O5949" t="str">
        <f t="shared" si="2416"/>
        <v>MYR</v>
      </c>
      <c r="P5949" t="str">
        <f t="shared" si="2435"/>
        <v>NIL</v>
      </c>
      <c r="Q5949" t="str">
        <f t="shared" si="2435"/>
        <v>NIL</v>
      </c>
      <c r="R5949" t="str">
        <f t="shared" si="2428"/>
        <v>Accepted</v>
      </c>
      <c r="S5949" t="str">
        <f t="shared" si="2417"/>
        <v>Approved</v>
      </c>
      <c r="T5949" t="str">
        <f t="shared" si="2429"/>
        <v>10.20.8.188</v>
      </c>
      <c r="U5949" t="str">
        <f t="shared" si="2418"/>
        <v>AZRAD UMAR BIN SHAARI</v>
      </c>
      <c r="V5949" t="str">
        <f t="shared" si="2419"/>
        <v>FARHANA BINTI MUSTAPA</v>
      </c>
      <c r="W5949" t="str">
        <f t="shared" si="2420"/>
        <v>04-08-2020</v>
      </c>
      <c r="X5949" t="str">
        <f t="shared" si="2421"/>
        <v>RAZIMAH ANSAR AHMAD</v>
      </c>
      <c r="Y5949" t="str">
        <f t="shared" si="2422"/>
        <v>04-08-2020</v>
      </c>
      <c r="Z5949" t="str">
        <f>"COS10200804 3205"</f>
        <v>COS10200804 3205</v>
      </c>
    </row>
    <row r="5950" spans="1:26" x14ac:dyDescent="0.25">
      <c r="A5950" t="str">
        <f t="shared" si="2432"/>
        <v>04-08-2020 12:44:36</v>
      </c>
      <c r="B5950" t="str">
        <f>"0000804972"</f>
        <v>0000804972</v>
      </c>
      <c r="C5950" t="str">
        <f t="shared" si="2433"/>
        <v>0000804968</v>
      </c>
      <c r="D5950" t="str">
        <f t="shared" si="2412"/>
        <v>73185</v>
      </c>
      <c r="E5950" t="str">
        <f t="shared" si="2413"/>
        <v>KFH-OPERATIONS DEPARTMENT</v>
      </c>
      <c r="F5950" t="str">
        <f t="shared" si="2414"/>
        <v>IBG</v>
      </c>
      <c r="G5950" t="str">
        <f t="shared" si="2423"/>
        <v>Refund COSHARE 10</v>
      </c>
      <c r="H5950" s="2">
        <v>91</v>
      </c>
      <c r="I5950" t="str">
        <f>"NORIZA BINTI MD ALI"</f>
        <v>NORIZA BINTI MD ALI</v>
      </c>
      <c r="J5950" t="str">
        <f t="shared" si="2436"/>
        <v>CIMB BANK / CIMB ISLAMIC BANK</v>
      </c>
      <c r="K5950" t="str">
        <f>"09020130373521"</f>
        <v>09020130373521</v>
      </c>
      <c r="L5950" t="str">
        <f t="shared" si="2434"/>
        <v>04-08-2020</v>
      </c>
      <c r="M5950" t="str">
        <f t="shared" si="2434"/>
        <v>04-08-2020</v>
      </c>
      <c r="N5950" t="str">
        <f t="shared" si="2415"/>
        <v>001105018356</v>
      </c>
      <c r="O5950" t="str">
        <f t="shared" si="2416"/>
        <v>MYR</v>
      </c>
      <c r="P5950" t="str">
        <f t="shared" si="2435"/>
        <v>NIL</v>
      </c>
      <c r="Q5950" t="str">
        <f t="shared" si="2435"/>
        <v>NIL</v>
      </c>
      <c r="R5950" t="str">
        <f t="shared" si="2428"/>
        <v>Accepted</v>
      </c>
      <c r="S5950" t="str">
        <f t="shared" si="2417"/>
        <v>Approved</v>
      </c>
      <c r="T5950" t="str">
        <f t="shared" si="2429"/>
        <v>10.20.8.188</v>
      </c>
      <c r="U5950" t="str">
        <f t="shared" si="2418"/>
        <v>AZRAD UMAR BIN SHAARI</v>
      </c>
      <c r="V5950" t="str">
        <f t="shared" si="2419"/>
        <v>FARHANA BINTI MUSTAPA</v>
      </c>
      <c r="W5950" t="str">
        <f t="shared" si="2420"/>
        <v>04-08-2020</v>
      </c>
      <c r="X5950" t="str">
        <f t="shared" si="2421"/>
        <v>RAZIMAH ANSAR AHMAD</v>
      </c>
      <c r="Y5950" t="str">
        <f t="shared" si="2422"/>
        <v>04-08-2020</v>
      </c>
      <c r="Z5950" t="str">
        <f>"COS10200804 3204"</f>
        <v>COS10200804 3204</v>
      </c>
    </row>
    <row r="5951" spans="1:26" x14ac:dyDescent="0.25">
      <c r="A5951" t="str">
        <f t="shared" si="2432"/>
        <v>04-08-2020 12:44:36</v>
      </c>
      <c r="B5951" t="str">
        <f>"0000804971"</f>
        <v>0000804971</v>
      </c>
      <c r="C5951" t="str">
        <f t="shared" si="2433"/>
        <v>0000804968</v>
      </c>
      <c r="D5951" t="str">
        <f t="shared" si="2412"/>
        <v>73185</v>
      </c>
      <c r="E5951" t="str">
        <f t="shared" si="2413"/>
        <v>KFH-OPERATIONS DEPARTMENT</v>
      </c>
      <c r="F5951" t="str">
        <f t="shared" si="2414"/>
        <v>IBG</v>
      </c>
      <c r="G5951" t="str">
        <f t="shared" si="2423"/>
        <v>Refund COSHARE 10</v>
      </c>
      <c r="H5951" s="2">
        <v>352.6</v>
      </c>
      <c r="I5951" t="str">
        <f>"NORITA BINTI SANYUT"</f>
        <v>NORITA BINTI SANYUT</v>
      </c>
      <c r="J5951" t="str">
        <f t="shared" si="2436"/>
        <v>CIMB BANK / CIMB ISLAMIC BANK</v>
      </c>
      <c r="K5951" t="str">
        <f>"14200023804524"</f>
        <v>14200023804524</v>
      </c>
      <c r="L5951" t="str">
        <f t="shared" si="2434"/>
        <v>04-08-2020</v>
      </c>
      <c r="M5951" t="str">
        <f t="shared" si="2434"/>
        <v>04-08-2020</v>
      </c>
      <c r="N5951" t="str">
        <f t="shared" si="2415"/>
        <v>001105018356</v>
      </c>
      <c r="O5951" t="str">
        <f t="shared" si="2416"/>
        <v>MYR</v>
      </c>
      <c r="P5951" t="str">
        <f t="shared" si="2435"/>
        <v>NIL</v>
      </c>
      <c r="Q5951" t="str">
        <f t="shared" si="2435"/>
        <v>NIL</v>
      </c>
      <c r="R5951" t="str">
        <f t="shared" si="2428"/>
        <v>Accepted</v>
      </c>
      <c r="S5951" t="str">
        <f t="shared" si="2417"/>
        <v>Approved</v>
      </c>
      <c r="T5951" t="str">
        <f t="shared" si="2429"/>
        <v>10.20.8.188</v>
      </c>
      <c r="U5951" t="str">
        <f t="shared" si="2418"/>
        <v>AZRAD UMAR BIN SHAARI</v>
      </c>
      <c r="V5951" t="str">
        <f t="shared" si="2419"/>
        <v>FARHANA BINTI MUSTAPA</v>
      </c>
      <c r="W5951" t="str">
        <f t="shared" si="2420"/>
        <v>04-08-2020</v>
      </c>
      <c r="X5951" t="str">
        <f t="shared" si="2421"/>
        <v>RAZIMAH ANSAR AHMAD</v>
      </c>
      <c r="Y5951" t="str">
        <f t="shared" si="2422"/>
        <v>04-08-2020</v>
      </c>
      <c r="Z5951" t="str">
        <f>"COS10200804 3203"</f>
        <v>COS10200804 3203</v>
      </c>
    </row>
    <row r="5952" spans="1:26" x14ac:dyDescent="0.25">
      <c r="A5952" t="str">
        <f t="shared" si="2432"/>
        <v>04-08-2020 12:44:36</v>
      </c>
      <c r="B5952" t="str">
        <f>"0000804970"</f>
        <v>0000804970</v>
      </c>
      <c r="C5952" t="str">
        <f t="shared" si="2433"/>
        <v>0000804968</v>
      </c>
      <c r="D5952" t="str">
        <f t="shared" si="2412"/>
        <v>73185</v>
      </c>
      <c r="E5952" t="str">
        <f t="shared" si="2413"/>
        <v>KFH-OPERATIONS DEPARTMENT</v>
      </c>
      <c r="F5952" t="str">
        <f t="shared" si="2414"/>
        <v>IBG</v>
      </c>
      <c r="G5952" t="str">
        <f t="shared" si="2423"/>
        <v>Refund COSHARE 10</v>
      </c>
      <c r="H5952" s="2">
        <v>352.6</v>
      </c>
      <c r="I5952" t="str">
        <f>"NORITA BINTI SANYUT"</f>
        <v>NORITA BINTI SANYUT</v>
      </c>
      <c r="J5952" t="str">
        <f t="shared" si="2436"/>
        <v>CIMB BANK / CIMB ISLAMIC BANK</v>
      </c>
      <c r="K5952" t="str">
        <f>"14200023804524"</f>
        <v>14200023804524</v>
      </c>
      <c r="L5952" t="str">
        <f t="shared" si="2434"/>
        <v>04-08-2020</v>
      </c>
      <c r="M5952" t="str">
        <f t="shared" si="2434"/>
        <v>04-08-2020</v>
      </c>
      <c r="N5952" t="str">
        <f t="shared" si="2415"/>
        <v>001105018356</v>
      </c>
      <c r="O5952" t="str">
        <f t="shared" si="2416"/>
        <v>MYR</v>
      </c>
      <c r="P5952" t="str">
        <f t="shared" si="2435"/>
        <v>NIL</v>
      </c>
      <c r="Q5952" t="str">
        <f t="shared" si="2435"/>
        <v>NIL</v>
      </c>
      <c r="R5952" t="str">
        <f t="shared" si="2428"/>
        <v>Accepted</v>
      </c>
      <c r="S5952" t="str">
        <f t="shared" si="2417"/>
        <v>Approved</v>
      </c>
      <c r="T5952" t="str">
        <f t="shared" si="2429"/>
        <v>10.20.8.188</v>
      </c>
      <c r="U5952" t="str">
        <f t="shared" si="2418"/>
        <v>AZRAD UMAR BIN SHAARI</v>
      </c>
      <c r="V5952" t="str">
        <f t="shared" si="2419"/>
        <v>FARHANA BINTI MUSTAPA</v>
      </c>
      <c r="W5952" t="str">
        <f t="shared" si="2420"/>
        <v>04-08-2020</v>
      </c>
      <c r="X5952" t="str">
        <f t="shared" si="2421"/>
        <v>RAZIMAH ANSAR AHMAD</v>
      </c>
      <c r="Y5952" t="str">
        <f t="shared" si="2422"/>
        <v>04-08-2020</v>
      </c>
      <c r="Z5952" t="str">
        <f>"COS10200804 3202"</f>
        <v>COS10200804 3202</v>
      </c>
    </row>
    <row r="5953" spans="1:26" x14ac:dyDescent="0.25">
      <c r="A5953" t="str">
        <f t="shared" si="2432"/>
        <v>04-08-2020 12:44:36</v>
      </c>
      <c r="B5953" t="str">
        <f>"0000804969"</f>
        <v>0000804969</v>
      </c>
      <c r="C5953" t="str">
        <f t="shared" si="2433"/>
        <v>0000804968</v>
      </c>
      <c r="D5953" t="str">
        <f t="shared" si="2412"/>
        <v>73185</v>
      </c>
      <c r="E5953" t="str">
        <f t="shared" si="2413"/>
        <v>KFH-OPERATIONS DEPARTMENT</v>
      </c>
      <c r="F5953" t="str">
        <f t="shared" si="2414"/>
        <v>IBG</v>
      </c>
      <c r="G5953" t="str">
        <f t="shared" si="2423"/>
        <v>Refund COSHARE 10</v>
      </c>
      <c r="H5953" s="2">
        <v>923.45</v>
      </c>
      <c r="I5953" t="str">
        <f>"NORISYAH BINTI RAMLEE"</f>
        <v>NORISYAH BINTI RAMLEE</v>
      </c>
      <c r="J5953" t="str">
        <f t="shared" si="2436"/>
        <v>CIMB BANK / CIMB ISLAMIC BANK</v>
      </c>
      <c r="K5953" t="str">
        <f>"07120003288522"</f>
        <v>07120003288522</v>
      </c>
      <c r="L5953" t="str">
        <f t="shared" si="2434"/>
        <v>04-08-2020</v>
      </c>
      <c r="M5953" t="str">
        <f t="shared" si="2434"/>
        <v>04-08-2020</v>
      </c>
      <c r="N5953" t="str">
        <f t="shared" si="2415"/>
        <v>001105018356</v>
      </c>
      <c r="O5953" t="str">
        <f t="shared" si="2416"/>
        <v>MYR</v>
      </c>
      <c r="P5953" t="str">
        <f t="shared" si="2435"/>
        <v>NIL</v>
      </c>
      <c r="Q5953" t="str">
        <f t="shared" si="2435"/>
        <v>NIL</v>
      </c>
      <c r="R5953" t="str">
        <f t="shared" si="2428"/>
        <v>Accepted</v>
      </c>
      <c r="S5953" t="str">
        <f t="shared" si="2417"/>
        <v>Approved</v>
      </c>
      <c r="T5953" t="str">
        <f t="shared" si="2429"/>
        <v>10.20.8.188</v>
      </c>
      <c r="U5953" t="str">
        <f t="shared" si="2418"/>
        <v>AZRAD UMAR BIN SHAARI</v>
      </c>
      <c r="V5953" t="str">
        <f t="shared" si="2419"/>
        <v>FARHANA BINTI MUSTAPA</v>
      </c>
      <c r="W5953" t="str">
        <f t="shared" si="2420"/>
        <v>04-08-2020</v>
      </c>
      <c r="X5953" t="str">
        <f t="shared" si="2421"/>
        <v>RAZIMAH ANSAR AHMAD</v>
      </c>
      <c r="Y5953" t="str">
        <f t="shared" si="2422"/>
        <v>04-08-2020</v>
      </c>
      <c r="Z5953" t="str">
        <f>"COS10200804 3201"</f>
        <v>COS10200804 3201</v>
      </c>
    </row>
    <row r="5954" spans="1:26" x14ac:dyDescent="0.25">
      <c r="A5954" t="str">
        <f t="shared" ref="A5954:A5985" si="2437">"04-08-2020 12:43:51"</f>
        <v>04-08-2020 12:43:51</v>
      </c>
      <c r="B5954" t="str">
        <f>"0000804967"</f>
        <v>0000804967</v>
      </c>
      <c r="C5954" t="str">
        <f t="shared" ref="C5954:C5985" si="2438">"0000804767"</f>
        <v>0000804767</v>
      </c>
      <c r="D5954" t="str">
        <f t="shared" si="2412"/>
        <v>73185</v>
      </c>
      <c r="E5954" t="str">
        <f t="shared" si="2413"/>
        <v>KFH-OPERATIONS DEPARTMENT</v>
      </c>
      <c r="F5954" t="str">
        <f t="shared" si="2414"/>
        <v>IBG</v>
      </c>
      <c r="G5954" t="str">
        <f t="shared" si="2423"/>
        <v>Refund COSHARE 10</v>
      </c>
      <c r="H5954" s="2">
        <v>422.4</v>
      </c>
      <c r="I5954" t="str">
        <f>"NORISMAWATI BINTI OSMAN"</f>
        <v>NORISMAWATI BINTI OSMAN</v>
      </c>
      <c r="J5954" t="str">
        <f t="shared" si="2436"/>
        <v>CIMB BANK / CIMB ISLAMIC BANK</v>
      </c>
      <c r="K5954" t="str">
        <f>"021182503971"</f>
        <v>021182503971</v>
      </c>
      <c r="L5954" t="str">
        <f t="shared" si="2434"/>
        <v>04-08-2020</v>
      </c>
      <c r="M5954" t="str">
        <f t="shared" si="2434"/>
        <v>04-08-2020</v>
      </c>
      <c r="N5954" t="str">
        <f t="shared" si="2415"/>
        <v>001105018356</v>
      </c>
      <c r="O5954" t="str">
        <f t="shared" si="2416"/>
        <v>MYR</v>
      </c>
      <c r="P5954" t="str">
        <f t="shared" si="2435"/>
        <v>NIL</v>
      </c>
      <c r="Q5954" t="str">
        <f t="shared" si="2435"/>
        <v>NIL</v>
      </c>
      <c r="R5954" t="str">
        <f t="shared" si="2428"/>
        <v>Accepted</v>
      </c>
      <c r="S5954" t="str">
        <f t="shared" si="2417"/>
        <v>Approved</v>
      </c>
      <c r="T5954" t="str">
        <f t="shared" si="2429"/>
        <v>10.20.8.188</v>
      </c>
      <c r="U5954" t="str">
        <f t="shared" si="2418"/>
        <v>AZRAD UMAR BIN SHAARI</v>
      </c>
      <c r="V5954" t="str">
        <f t="shared" si="2419"/>
        <v>FARHANA BINTI MUSTAPA</v>
      </c>
      <c r="W5954" t="str">
        <f t="shared" si="2420"/>
        <v>04-08-2020</v>
      </c>
      <c r="X5954" t="str">
        <f t="shared" si="2421"/>
        <v>RAZIMAH ANSAR AHMAD</v>
      </c>
      <c r="Y5954" t="str">
        <f t="shared" si="2422"/>
        <v>04-08-2020</v>
      </c>
      <c r="Z5954" t="str">
        <f>"COS10200804 3200"</f>
        <v>COS10200804 3200</v>
      </c>
    </row>
    <row r="5955" spans="1:26" x14ac:dyDescent="0.25">
      <c r="A5955" t="str">
        <f t="shared" si="2437"/>
        <v>04-08-2020 12:43:51</v>
      </c>
      <c r="B5955" t="str">
        <f>"0000804966"</f>
        <v>0000804966</v>
      </c>
      <c r="C5955" t="str">
        <f t="shared" si="2438"/>
        <v>0000804767</v>
      </c>
      <c r="D5955" t="str">
        <f t="shared" si="2412"/>
        <v>73185</v>
      </c>
      <c r="E5955" t="str">
        <f t="shared" si="2413"/>
        <v>KFH-OPERATIONS DEPARTMENT</v>
      </c>
      <c r="F5955" t="str">
        <f t="shared" si="2414"/>
        <v>IBG</v>
      </c>
      <c r="G5955" t="str">
        <f t="shared" si="2423"/>
        <v>Refund COSHARE 10</v>
      </c>
      <c r="H5955" s="2">
        <v>75</v>
      </c>
      <c r="I5955" t="str">
        <f>"NORIMA BINTI MAT NAZIR"</f>
        <v>NORIMA BINTI MAT NAZIR</v>
      </c>
      <c r="J5955" t="str">
        <f t="shared" si="2436"/>
        <v>CIMB BANK / CIMB ISLAMIC BANK</v>
      </c>
      <c r="K5955" t="str">
        <f>"14220033986526"</f>
        <v>14220033986526</v>
      </c>
      <c r="L5955" t="str">
        <f t="shared" si="2434"/>
        <v>04-08-2020</v>
      </c>
      <c r="M5955" t="str">
        <f t="shared" si="2434"/>
        <v>04-08-2020</v>
      </c>
      <c r="N5955" t="str">
        <f t="shared" si="2415"/>
        <v>001105018356</v>
      </c>
      <c r="O5955" t="str">
        <f t="shared" si="2416"/>
        <v>MYR</v>
      </c>
      <c r="P5955" t="str">
        <f t="shared" si="2435"/>
        <v>NIL</v>
      </c>
      <c r="Q5955" t="str">
        <f t="shared" si="2435"/>
        <v>NIL</v>
      </c>
      <c r="R5955" t="str">
        <f t="shared" si="2428"/>
        <v>Accepted</v>
      </c>
      <c r="S5955" t="str">
        <f t="shared" si="2417"/>
        <v>Approved</v>
      </c>
      <c r="T5955" t="str">
        <f t="shared" si="2429"/>
        <v>10.20.8.188</v>
      </c>
      <c r="U5955" t="str">
        <f t="shared" si="2418"/>
        <v>AZRAD UMAR BIN SHAARI</v>
      </c>
      <c r="V5955" t="str">
        <f t="shared" si="2419"/>
        <v>FARHANA BINTI MUSTAPA</v>
      </c>
      <c r="W5955" t="str">
        <f t="shared" si="2420"/>
        <v>04-08-2020</v>
      </c>
      <c r="X5955" t="str">
        <f t="shared" si="2421"/>
        <v>RAZIMAH ANSAR AHMAD</v>
      </c>
      <c r="Y5955" t="str">
        <f t="shared" si="2422"/>
        <v>04-08-2020</v>
      </c>
      <c r="Z5955" t="str">
        <f>"COS10200804 3199"</f>
        <v>COS10200804 3199</v>
      </c>
    </row>
    <row r="5956" spans="1:26" x14ac:dyDescent="0.25">
      <c r="A5956" t="str">
        <f t="shared" si="2437"/>
        <v>04-08-2020 12:43:51</v>
      </c>
      <c r="B5956" t="str">
        <f>"0000804965"</f>
        <v>0000804965</v>
      </c>
      <c r="C5956" t="str">
        <f t="shared" si="2438"/>
        <v>0000804767</v>
      </c>
      <c r="D5956" t="str">
        <f t="shared" si="2412"/>
        <v>73185</v>
      </c>
      <c r="E5956" t="str">
        <f t="shared" si="2413"/>
        <v>KFH-OPERATIONS DEPARTMENT</v>
      </c>
      <c r="F5956" t="str">
        <f t="shared" si="2414"/>
        <v>IBG</v>
      </c>
      <c r="G5956" t="str">
        <f t="shared" si="2423"/>
        <v>Refund COSHARE 10</v>
      </c>
      <c r="H5956" s="2">
        <v>151</v>
      </c>
      <c r="I5956" t="str">
        <f>"NORIAH BINTI YA"</f>
        <v>NORIAH BINTI YA</v>
      </c>
      <c r="J5956" t="str">
        <f t="shared" si="2436"/>
        <v>CIMB BANK / CIMB ISLAMIC BANK</v>
      </c>
      <c r="K5956" t="str">
        <f>"06021481926525"</f>
        <v>06021481926525</v>
      </c>
      <c r="L5956" t="str">
        <f t="shared" si="2434"/>
        <v>04-08-2020</v>
      </c>
      <c r="M5956" t="str">
        <f t="shared" si="2434"/>
        <v>04-08-2020</v>
      </c>
      <c r="N5956" t="str">
        <f t="shared" si="2415"/>
        <v>001105018356</v>
      </c>
      <c r="O5956" t="str">
        <f t="shared" si="2416"/>
        <v>MYR</v>
      </c>
      <c r="P5956" t="str">
        <f t="shared" si="2435"/>
        <v>NIL</v>
      </c>
      <c r="Q5956" t="str">
        <f t="shared" si="2435"/>
        <v>NIL</v>
      </c>
      <c r="R5956" t="str">
        <f t="shared" si="2428"/>
        <v>Accepted</v>
      </c>
      <c r="S5956" t="str">
        <f t="shared" si="2417"/>
        <v>Approved</v>
      </c>
      <c r="T5956" t="str">
        <f t="shared" si="2429"/>
        <v>10.20.8.188</v>
      </c>
      <c r="U5956" t="str">
        <f t="shared" si="2418"/>
        <v>AZRAD UMAR BIN SHAARI</v>
      </c>
      <c r="V5956" t="str">
        <f t="shared" si="2419"/>
        <v>FARHANA BINTI MUSTAPA</v>
      </c>
      <c r="W5956" t="str">
        <f t="shared" si="2420"/>
        <v>04-08-2020</v>
      </c>
      <c r="X5956" t="str">
        <f t="shared" si="2421"/>
        <v>RAZIMAH ANSAR AHMAD</v>
      </c>
      <c r="Y5956" t="str">
        <f t="shared" si="2422"/>
        <v>04-08-2020</v>
      </c>
      <c r="Z5956" t="str">
        <f>"COS10200804 3198"</f>
        <v>COS10200804 3198</v>
      </c>
    </row>
    <row r="5957" spans="1:26" x14ac:dyDescent="0.25">
      <c r="A5957" t="str">
        <f t="shared" si="2437"/>
        <v>04-08-2020 12:43:51</v>
      </c>
      <c r="B5957" t="str">
        <f>"0000804964"</f>
        <v>0000804964</v>
      </c>
      <c r="C5957" t="str">
        <f t="shared" si="2438"/>
        <v>0000804767</v>
      </c>
      <c r="D5957" t="str">
        <f t="shared" si="2412"/>
        <v>73185</v>
      </c>
      <c r="E5957" t="str">
        <f t="shared" si="2413"/>
        <v>KFH-OPERATIONS DEPARTMENT</v>
      </c>
      <c r="F5957" t="str">
        <f t="shared" si="2414"/>
        <v>IBG</v>
      </c>
      <c r="G5957" t="str">
        <f t="shared" si="2423"/>
        <v>Refund COSHARE 10</v>
      </c>
      <c r="H5957" s="2">
        <v>777</v>
      </c>
      <c r="I5957" t="str">
        <f>"NORHIDAYU BINTI BASIR"</f>
        <v>NORHIDAYU BINTI BASIR</v>
      </c>
      <c r="J5957" t="str">
        <f t="shared" si="2436"/>
        <v>CIMB BANK / CIMB ISLAMIC BANK</v>
      </c>
      <c r="K5957" t="str">
        <f>"01180066034526"</f>
        <v>01180066034526</v>
      </c>
      <c r="L5957" t="str">
        <f t="shared" si="2434"/>
        <v>04-08-2020</v>
      </c>
      <c r="M5957" t="str">
        <f t="shared" si="2434"/>
        <v>04-08-2020</v>
      </c>
      <c r="N5957" t="str">
        <f t="shared" si="2415"/>
        <v>001105018356</v>
      </c>
      <c r="O5957" t="str">
        <f t="shared" si="2416"/>
        <v>MYR</v>
      </c>
      <c r="P5957" t="str">
        <f t="shared" si="2435"/>
        <v>NIL</v>
      </c>
      <c r="Q5957" t="str">
        <f t="shared" si="2435"/>
        <v>NIL</v>
      </c>
      <c r="R5957" t="str">
        <f t="shared" si="2428"/>
        <v>Accepted</v>
      </c>
      <c r="S5957" t="str">
        <f t="shared" si="2417"/>
        <v>Approved</v>
      </c>
      <c r="T5957" t="str">
        <f t="shared" si="2429"/>
        <v>10.20.8.188</v>
      </c>
      <c r="U5957" t="str">
        <f t="shared" si="2418"/>
        <v>AZRAD UMAR BIN SHAARI</v>
      </c>
      <c r="V5957" t="str">
        <f t="shared" si="2419"/>
        <v>FARHANA BINTI MUSTAPA</v>
      </c>
      <c r="W5957" t="str">
        <f t="shared" si="2420"/>
        <v>04-08-2020</v>
      </c>
      <c r="X5957" t="str">
        <f t="shared" si="2421"/>
        <v>RAZIMAH ANSAR AHMAD</v>
      </c>
      <c r="Y5957" t="str">
        <f t="shared" si="2422"/>
        <v>04-08-2020</v>
      </c>
      <c r="Z5957" t="str">
        <f>"COS10200804 3197"</f>
        <v>COS10200804 3197</v>
      </c>
    </row>
    <row r="5958" spans="1:26" x14ac:dyDescent="0.25">
      <c r="A5958" t="str">
        <f t="shared" si="2437"/>
        <v>04-08-2020 12:43:51</v>
      </c>
      <c r="B5958" t="str">
        <f>"0000804963"</f>
        <v>0000804963</v>
      </c>
      <c r="C5958" t="str">
        <f t="shared" si="2438"/>
        <v>0000804767</v>
      </c>
      <c r="D5958" t="str">
        <f t="shared" si="2412"/>
        <v>73185</v>
      </c>
      <c r="E5958" t="str">
        <f t="shared" si="2413"/>
        <v>KFH-OPERATIONS DEPARTMENT</v>
      </c>
      <c r="F5958" t="str">
        <f t="shared" si="2414"/>
        <v>IBG</v>
      </c>
      <c r="G5958" t="str">
        <f t="shared" si="2423"/>
        <v>Refund COSHARE 10</v>
      </c>
      <c r="H5958" s="2">
        <v>1376.8</v>
      </c>
      <c r="I5958" t="str">
        <f>"NORHIDAYAH BINTI OMAR"</f>
        <v>NORHIDAYAH BINTI OMAR</v>
      </c>
      <c r="J5958" t="str">
        <f t="shared" si="2436"/>
        <v>CIMB BANK / CIMB ISLAMIC BANK</v>
      </c>
      <c r="K5958" t="str">
        <f>"7607711073"</f>
        <v>7607711073</v>
      </c>
      <c r="L5958" t="str">
        <f t="shared" si="2434"/>
        <v>04-08-2020</v>
      </c>
      <c r="M5958" t="str">
        <f t="shared" si="2434"/>
        <v>04-08-2020</v>
      </c>
      <c r="N5958" t="str">
        <f t="shared" si="2415"/>
        <v>001105018356</v>
      </c>
      <c r="O5958" t="str">
        <f t="shared" si="2416"/>
        <v>MYR</v>
      </c>
      <c r="P5958" t="str">
        <f t="shared" si="2435"/>
        <v>NIL</v>
      </c>
      <c r="Q5958" t="str">
        <f t="shared" si="2435"/>
        <v>NIL</v>
      </c>
      <c r="R5958" t="str">
        <f t="shared" si="2428"/>
        <v>Accepted</v>
      </c>
      <c r="S5958" t="str">
        <f t="shared" si="2417"/>
        <v>Approved</v>
      </c>
      <c r="T5958" t="str">
        <f t="shared" si="2429"/>
        <v>10.20.8.188</v>
      </c>
      <c r="U5958" t="str">
        <f t="shared" si="2418"/>
        <v>AZRAD UMAR BIN SHAARI</v>
      </c>
      <c r="V5958" t="str">
        <f t="shared" si="2419"/>
        <v>FARHANA BINTI MUSTAPA</v>
      </c>
      <c r="W5958" t="str">
        <f t="shared" si="2420"/>
        <v>04-08-2020</v>
      </c>
      <c r="X5958" t="str">
        <f t="shared" si="2421"/>
        <v>RAZIMAH ANSAR AHMAD</v>
      </c>
      <c r="Y5958" t="str">
        <f t="shared" si="2422"/>
        <v>04-08-2020</v>
      </c>
      <c r="Z5958" t="str">
        <f>"COS10200804 3196"</f>
        <v>COS10200804 3196</v>
      </c>
    </row>
    <row r="5959" spans="1:26" x14ac:dyDescent="0.25">
      <c r="A5959" t="str">
        <f t="shared" si="2437"/>
        <v>04-08-2020 12:43:51</v>
      </c>
      <c r="B5959" t="str">
        <f>"0000804962"</f>
        <v>0000804962</v>
      </c>
      <c r="C5959" t="str">
        <f t="shared" si="2438"/>
        <v>0000804767</v>
      </c>
      <c r="D5959" t="str">
        <f t="shared" ref="D5959:D6022" si="2439">"73185"</f>
        <v>73185</v>
      </c>
      <c r="E5959" t="str">
        <f t="shared" ref="E5959:E6022" si="2440">"KFH-OPERATIONS DEPARTMENT"</f>
        <v>KFH-OPERATIONS DEPARTMENT</v>
      </c>
      <c r="F5959" t="str">
        <f t="shared" ref="F5959:F6022" si="2441">"IBG"</f>
        <v>IBG</v>
      </c>
      <c r="G5959" t="str">
        <f t="shared" si="2423"/>
        <v>Refund COSHARE 10</v>
      </c>
      <c r="H5959" s="2">
        <v>911</v>
      </c>
      <c r="I5959" t="str">
        <f>"NORHAZIANA BINTI SALEHUDDIN"</f>
        <v>NORHAZIANA BINTI SALEHUDDIN</v>
      </c>
      <c r="J5959" t="str">
        <f t="shared" si="2436"/>
        <v>CIMB BANK / CIMB ISLAMIC BANK</v>
      </c>
      <c r="K5959" t="str">
        <f>"7009976875"</f>
        <v>7009976875</v>
      </c>
      <c r="L5959" t="str">
        <f t="shared" si="2434"/>
        <v>04-08-2020</v>
      </c>
      <c r="M5959" t="str">
        <f t="shared" si="2434"/>
        <v>04-08-2020</v>
      </c>
      <c r="N5959" t="str">
        <f t="shared" ref="N5959:N6022" si="2442">"001105018356"</f>
        <v>001105018356</v>
      </c>
      <c r="O5959" t="str">
        <f t="shared" ref="O5959:O6022" si="2443">"MYR"</f>
        <v>MYR</v>
      </c>
      <c r="P5959" t="str">
        <f t="shared" si="2435"/>
        <v>NIL</v>
      </c>
      <c r="Q5959" t="str">
        <f t="shared" si="2435"/>
        <v>NIL</v>
      </c>
      <c r="R5959" t="str">
        <f t="shared" si="2428"/>
        <v>Accepted</v>
      </c>
      <c r="S5959" t="str">
        <f t="shared" ref="S5959:S6022" si="2444">"Approved"</f>
        <v>Approved</v>
      </c>
      <c r="T5959" t="str">
        <f t="shared" si="2429"/>
        <v>10.20.8.188</v>
      </c>
      <c r="U5959" t="str">
        <f t="shared" ref="U5959:U6022" si="2445">"AZRAD UMAR BIN SHAARI"</f>
        <v>AZRAD UMAR BIN SHAARI</v>
      </c>
      <c r="V5959" t="str">
        <f t="shared" ref="V5959:V6022" si="2446">"FARHANA BINTI MUSTAPA"</f>
        <v>FARHANA BINTI MUSTAPA</v>
      </c>
      <c r="W5959" t="str">
        <f t="shared" ref="W5959:W6022" si="2447">"04-08-2020"</f>
        <v>04-08-2020</v>
      </c>
      <c r="X5959" t="str">
        <f t="shared" ref="X5959:X6022" si="2448">"RAZIMAH ANSAR AHMAD"</f>
        <v>RAZIMAH ANSAR AHMAD</v>
      </c>
      <c r="Y5959" t="str">
        <f t="shared" ref="Y5959:Y6022" si="2449">"04-08-2020"</f>
        <v>04-08-2020</v>
      </c>
      <c r="Z5959" t="str">
        <f>"COS10200804 3195"</f>
        <v>COS10200804 3195</v>
      </c>
    </row>
    <row r="5960" spans="1:26" x14ac:dyDescent="0.25">
      <c r="A5960" t="str">
        <f t="shared" si="2437"/>
        <v>04-08-2020 12:43:51</v>
      </c>
      <c r="B5960" t="str">
        <f>"0000804961"</f>
        <v>0000804961</v>
      </c>
      <c r="C5960" t="str">
        <f t="shared" si="2438"/>
        <v>0000804767</v>
      </c>
      <c r="D5960" t="str">
        <f t="shared" si="2439"/>
        <v>73185</v>
      </c>
      <c r="E5960" t="str">
        <f t="shared" si="2440"/>
        <v>KFH-OPERATIONS DEPARTMENT</v>
      </c>
      <c r="F5960" t="str">
        <f t="shared" si="2441"/>
        <v>IBG</v>
      </c>
      <c r="G5960" t="str">
        <f t="shared" si="2423"/>
        <v>Refund COSHARE 10</v>
      </c>
      <c r="H5960" s="2">
        <v>75.599999999999994</v>
      </c>
      <c r="I5960" t="str">
        <f>"NORHAYATI BINTI RAMLI"</f>
        <v>NORHAYATI BINTI RAMLI</v>
      </c>
      <c r="J5960" t="str">
        <f t="shared" si="2436"/>
        <v>CIMB BANK / CIMB ISLAMIC BANK</v>
      </c>
      <c r="K5960" t="str">
        <f>"12530061669529"</f>
        <v>12530061669529</v>
      </c>
      <c r="L5960" t="str">
        <f t="shared" si="2434"/>
        <v>04-08-2020</v>
      </c>
      <c r="M5960" t="str">
        <f t="shared" si="2434"/>
        <v>04-08-2020</v>
      </c>
      <c r="N5960" t="str">
        <f t="shared" si="2442"/>
        <v>001105018356</v>
      </c>
      <c r="O5960" t="str">
        <f t="shared" si="2443"/>
        <v>MYR</v>
      </c>
      <c r="P5960" t="str">
        <f t="shared" si="2435"/>
        <v>NIL</v>
      </c>
      <c r="Q5960" t="str">
        <f t="shared" si="2435"/>
        <v>NIL</v>
      </c>
      <c r="R5960" t="str">
        <f t="shared" si="2428"/>
        <v>Accepted</v>
      </c>
      <c r="S5960" t="str">
        <f t="shared" si="2444"/>
        <v>Approved</v>
      </c>
      <c r="T5960" t="str">
        <f t="shared" si="2429"/>
        <v>10.20.8.188</v>
      </c>
      <c r="U5960" t="str">
        <f t="shared" si="2445"/>
        <v>AZRAD UMAR BIN SHAARI</v>
      </c>
      <c r="V5960" t="str">
        <f t="shared" si="2446"/>
        <v>FARHANA BINTI MUSTAPA</v>
      </c>
      <c r="W5960" t="str">
        <f t="shared" si="2447"/>
        <v>04-08-2020</v>
      </c>
      <c r="X5960" t="str">
        <f t="shared" si="2448"/>
        <v>RAZIMAH ANSAR AHMAD</v>
      </c>
      <c r="Y5960" t="str">
        <f t="shared" si="2449"/>
        <v>04-08-2020</v>
      </c>
      <c r="Z5960" t="str">
        <f>"COS10200804 3194"</f>
        <v>COS10200804 3194</v>
      </c>
    </row>
    <row r="5961" spans="1:26" x14ac:dyDescent="0.25">
      <c r="A5961" t="str">
        <f t="shared" si="2437"/>
        <v>04-08-2020 12:43:51</v>
      </c>
      <c r="B5961" t="str">
        <f>"0000804960"</f>
        <v>0000804960</v>
      </c>
      <c r="C5961" t="str">
        <f t="shared" si="2438"/>
        <v>0000804767</v>
      </c>
      <c r="D5961" t="str">
        <f t="shared" si="2439"/>
        <v>73185</v>
      </c>
      <c r="E5961" t="str">
        <f t="shared" si="2440"/>
        <v>KFH-OPERATIONS DEPARTMENT</v>
      </c>
      <c r="F5961" t="str">
        <f t="shared" si="2441"/>
        <v>IBG</v>
      </c>
      <c r="G5961" t="str">
        <f t="shared" si="2423"/>
        <v>Refund COSHARE 10</v>
      </c>
      <c r="H5961" s="2">
        <v>75.599999999999994</v>
      </c>
      <c r="I5961" t="str">
        <f>"NORHAYATI BINTI RAMLI"</f>
        <v>NORHAYATI BINTI RAMLI</v>
      </c>
      <c r="J5961" t="str">
        <f t="shared" si="2436"/>
        <v>CIMB BANK / CIMB ISLAMIC BANK</v>
      </c>
      <c r="K5961" t="str">
        <f>"12530061669529"</f>
        <v>12530061669529</v>
      </c>
      <c r="L5961" t="str">
        <f t="shared" si="2434"/>
        <v>04-08-2020</v>
      </c>
      <c r="M5961" t="str">
        <f t="shared" si="2434"/>
        <v>04-08-2020</v>
      </c>
      <c r="N5961" t="str">
        <f t="shared" si="2442"/>
        <v>001105018356</v>
      </c>
      <c r="O5961" t="str">
        <f t="shared" si="2443"/>
        <v>MYR</v>
      </c>
      <c r="P5961" t="str">
        <f t="shared" si="2435"/>
        <v>NIL</v>
      </c>
      <c r="Q5961" t="str">
        <f t="shared" si="2435"/>
        <v>NIL</v>
      </c>
      <c r="R5961" t="str">
        <f t="shared" si="2428"/>
        <v>Accepted</v>
      </c>
      <c r="S5961" t="str">
        <f t="shared" si="2444"/>
        <v>Approved</v>
      </c>
      <c r="T5961" t="str">
        <f t="shared" si="2429"/>
        <v>10.20.8.188</v>
      </c>
      <c r="U5961" t="str">
        <f t="shared" si="2445"/>
        <v>AZRAD UMAR BIN SHAARI</v>
      </c>
      <c r="V5961" t="str">
        <f t="shared" si="2446"/>
        <v>FARHANA BINTI MUSTAPA</v>
      </c>
      <c r="W5961" t="str">
        <f t="shared" si="2447"/>
        <v>04-08-2020</v>
      </c>
      <c r="X5961" t="str">
        <f t="shared" si="2448"/>
        <v>RAZIMAH ANSAR AHMAD</v>
      </c>
      <c r="Y5961" t="str">
        <f t="shared" si="2449"/>
        <v>04-08-2020</v>
      </c>
      <c r="Z5961" t="str">
        <f>"COS10200804 3193"</f>
        <v>COS10200804 3193</v>
      </c>
    </row>
    <row r="5962" spans="1:26" x14ac:dyDescent="0.25">
      <c r="A5962" t="str">
        <f t="shared" si="2437"/>
        <v>04-08-2020 12:43:51</v>
      </c>
      <c r="B5962" t="str">
        <f>"0000804959"</f>
        <v>0000804959</v>
      </c>
      <c r="C5962" t="str">
        <f t="shared" si="2438"/>
        <v>0000804767</v>
      </c>
      <c r="D5962" t="str">
        <f t="shared" si="2439"/>
        <v>73185</v>
      </c>
      <c r="E5962" t="str">
        <f t="shared" si="2440"/>
        <v>KFH-OPERATIONS DEPARTMENT</v>
      </c>
      <c r="F5962" t="str">
        <f t="shared" si="2441"/>
        <v>IBG</v>
      </c>
      <c r="G5962" t="str">
        <f t="shared" si="2423"/>
        <v>Refund COSHARE 10</v>
      </c>
      <c r="H5962" s="2">
        <v>167.9</v>
      </c>
      <c r="I5962" t="str">
        <f>"NORHAYATI BINTI MUHAMAD"</f>
        <v>NORHAYATI BINTI MUHAMAD</v>
      </c>
      <c r="J5962" t="str">
        <f t="shared" si="2436"/>
        <v>CIMB BANK / CIMB ISLAMIC BANK</v>
      </c>
      <c r="K5962" t="str">
        <f>"12150068526526"</f>
        <v>12150068526526</v>
      </c>
      <c r="L5962" t="str">
        <f t="shared" si="2434"/>
        <v>04-08-2020</v>
      </c>
      <c r="M5962" t="str">
        <f t="shared" si="2434"/>
        <v>04-08-2020</v>
      </c>
      <c r="N5962" t="str">
        <f t="shared" si="2442"/>
        <v>001105018356</v>
      </c>
      <c r="O5962" t="str">
        <f t="shared" si="2443"/>
        <v>MYR</v>
      </c>
      <c r="P5962" t="str">
        <f t="shared" si="2435"/>
        <v>NIL</v>
      </c>
      <c r="Q5962" t="str">
        <f t="shared" si="2435"/>
        <v>NIL</v>
      </c>
      <c r="R5962" t="str">
        <f t="shared" si="2428"/>
        <v>Accepted</v>
      </c>
      <c r="S5962" t="str">
        <f t="shared" si="2444"/>
        <v>Approved</v>
      </c>
      <c r="T5962" t="str">
        <f t="shared" si="2429"/>
        <v>10.20.8.188</v>
      </c>
      <c r="U5962" t="str">
        <f t="shared" si="2445"/>
        <v>AZRAD UMAR BIN SHAARI</v>
      </c>
      <c r="V5962" t="str">
        <f t="shared" si="2446"/>
        <v>FARHANA BINTI MUSTAPA</v>
      </c>
      <c r="W5962" t="str">
        <f t="shared" si="2447"/>
        <v>04-08-2020</v>
      </c>
      <c r="X5962" t="str">
        <f t="shared" si="2448"/>
        <v>RAZIMAH ANSAR AHMAD</v>
      </c>
      <c r="Y5962" t="str">
        <f t="shared" si="2449"/>
        <v>04-08-2020</v>
      </c>
      <c r="Z5962" t="str">
        <f>"COS10200804 3192"</f>
        <v>COS10200804 3192</v>
      </c>
    </row>
    <row r="5963" spans="1:26" x14ac:dyDescent="0.25">
      <c r="A5963" t="str">
        <f t="shared" si="2437"/>
        <v>04-08-2020 12:43:51</v>
      </c>
      <c r="B5963" t="str">
        <f>"0000804958"</f>
        <v>0000804958</v>
      </c>
      <c r="C5963" t="str">
        <f t="shared" si="2438"/>
        <v>0000804767</v>
      </c>
      <c r="D5963" t="str">
        <f t="shared" si="2439"/>
        <v>73185</v>
      </c>
      <c r="E5963" t="str">
        <f t="shared" si="2440"/>
        <v>KFH-OPERATIONS DEPARTMENT</v>
      </c>
      <c r="F5963" t="str">
        <f t="shared" si="2441"/>
        <v>IBG</v>
      </c>
      <c r="G5963" t="str">
        <f t="shared" si="2423"/>
        <v>Refund COSHARE 10</v>
      </c>
      <c r="H5963" s="2">
        <v>604.45000000000005</v>
      </c>
      <c r="I5963" t="str">
        <f>"NORHASSFAIZA BINTI RAHIM"</f>
        <v>NORHASSFAIZA BINTI RAHIM</v>
      </c>
      <c r="J5963" t="str">
        <f t="shared" si="2436"/>
        <v>CIMB BANK / CIMB ISLAMIC BANK</v>
      </c>
      <c r="K5963" t="str">
        <f>"14400069953521"</f>
        <v>14400069953521</v>
      </c>
      <c r="L5963" t="str">
        <f t="shared" si="2434"/>
        <v>04-08-2020</v>
      </c>
      <c r="M5963" t="str">
        <f t="shared" si="2434"/>
        <v>04-08-2020</v>
      </c>
      <c r="N5963" t="str">
        <f t="shared" si="2442"/>
        <v>001105018356</v>
      </c>
      <c r="O5963" t="str">
        <f t="shared" si="2443"/>
        <v>MYR</v>
      </c>
      <c r="P5963" t="str">
        <f t="shared" si="2435"/>
        <v>NIL</v>
      </c>
      <c r="Q5963" t="str">
        <f t="shared" si="2435"/>
        <v>NIL</v>
      </c>
      <c r="R5963" t="str">
        <f t="shared" si="2428"/>
        <v>Accepted</v>
      </c>
      <c r="S5963" t="str">
        <f t="shared" si="2444"/>
        <v>Approved</v>
      </c>
      <c r="T5963" t="str">
        <f t="shared" si="2429"/>
        <v>10.20.8.188</v>
      </c>
      <c r="U5963" t="str">
        <f t="shared" si="2445"/>
        <v>AZRAD UMAR BIN SHAARI</v>
      </c>
      <c r="V5963" t="str">
        <f t="shared" si="2446"/>
        <v>FARHANA BINTI MUSTAPA</v>
      </c>
      <c r="W5963" t="str">
        <f t="shared" si="2447"/>
        <v>04-08-2020</v>
      </c>
      <c r="X5963" t="str">
        <f t="shared" si="2448"/>
        <v>RAZIMAH ANSAR AHMAD</v>
      </c>
      <c r="Y5963" t="str">
        <f t="shared" si="2449"/>
        <v>04-08-2020</v>
      </c>
      <c r="Z5963" t="str">
        <f>"COS10200804 3191"</f>
        <v>COS10200804 3191</v>
      </c>
    </row>
    <row r="5964" spans="1:26" x14ac:dyDescent="0.25">
      <c r="A5964" t="str">
        <f t="shared" si="2437"/>
        <v>04-08-2020 12:43:51</v>
      </c>
      <c r="B5964" t="str">
        <f>"0000804957"</f>
        <v>0000804957</v>
      </c>
      <c r="C5964" t="str">
        <f t="shared" si="2438"/>
        <v>0000804767</v>
      </c>
      <c r="D5964" t="str">
        <f t="shared" si="2439"/>
        <v>73185</v>
      </c>
      <c r="E5964" t="str">
        <f t="shared" si="2440"/>
        <v>KFH-OPERATIONS DEPARTMENT</v>
      </c>
      <c r="F5964" t="str">
        <f t="shared" si="2441"/>
        <v>IBG</v>
      </c>
      <c r="G5964" t="str">
        <f t="shared" ref="G5964:G6027" si="2450">"Refund COSHARE 10"</f>
        <v>Refund COSHARE 10</v>
      </c>
      <c r="H5964" s="2">
        <v>1026</v>
      </c>
      <c r="I5964" t="str">
        <f>"NORHASIMAH BINTI SAWAIEHASSAN"</f>
        <v>NORHASIMAH BINTI SAWAIEHASSAN</v>
      </c>
      <c r="J5964" t="str">
        <f t="shared" si="2436"/>
        <v>CIMB BANK / CIMB ISLAMIC BANK</v>
      </c>
      <c r="K5964" t="str">
        <f>"12510000845201"</f>
        <v>12510000845201</v>
      </c>
      <c r="L5964" t="str">
        <f t="shared" si="2434"/>
        <v>04-08-2020</v>
      </c>
      <c r="M5964" t="str">
        <f t="shared" si="2434"/>
        <v>04-08-2020</v>
      </c>
      <c r="N5964" t="str">
        <f t="shared" si="2442"/>
        <v>001105018356</v>
      </c>
      <c r="O5964" t="str">
        <f t="shared" si="2443"/>
        <v>MYR</v>
      </c>
      <c r="P5964" t="str">
        <f t="shared" si="2435"/>
        <v>NIL</v>
      </c>
      <c r="Q5964" t="str">
        <f t="shared" si="2435"/>
        <v>NIL</v>
      </c>
      <c r="R5964" t="str">
        <f t="shared" si="2428"/>
        <v>Accepted</v>
      </c>
      <c r="S5964" t="str">
        <f t="shared" si="2444"/>
        <v>Approved</v>
      </c>
      <c r="T5964" t="str">
        <f t="shared" si="2429"/>
        <v>10.20.8.188</v>
      </c>
      <c r="U5964" t="str">
        <f t="shared" si="2445"/>
        <v>AZRAD UMAR BIN SHAARI</v>
      </c>
      <c r="V5964" t="str">
        <f t="shared" si="2446"/>
        <v>FARHANA BINTI MUSTAPA</v>
      </c>
      <c r="W5964" t="str">
        <f t="shared" si="2447"/>
        <v>04-08-2020</v>
      </c>
      <c r="X5964" t="str">
        <f t="shared" si="2448"/>
        <v>RAZIMAH ANSAR AHMAD</v>
      </c>
      <c r="Y5964" t="str">
        <f t="shared" si="2449"/>
        <v>04-08-2020</v>
      </c>
      <c r="Z5964" t="str">
        <f>"COS10200804 3190"</f>
        <v>COS10200804 3190</v>
      </c>
    </row>
    <row r="5965" spans="1:26" x14ac:dyDescent="0.25">
      <c r="A5965" t="str">
        <f t="shared" si="2437"/>
        <v>04-08-2020 12:43:51</v>
      </c>
      <c r="B5965" t="str">
        <f>"0000804956"</f>
        <v>0000804956</v>
      </c>
      <c r="C5965" t="str">
        <f t="shared" si="2438"/>
        <v>0000804767</v>
      </c>
      <c r="D5965" t="str">
        <f t="shared" si="2439"/>
        <v>73185</v>
      </c>
      <c r="E5965" t="str">
        <f t="shared" si="2440"/>
        <v>KFH-OPERATIONS DEPARTMENT</v>
      </c>
      <c r="F5965" t="str">
        <f t="shared" si="2441"/>
        <v>IBG</v>
      </c>
      <c r="G5965" t="str">
        <f t="shared" si="2450"/>
        <v>Refund COSHARE 10</v>
      </c>
      <c r="H5965" s="2">
        <v>1679</v>
      </c>
      <c r="I5965" t="str">
        <f>"NORHASHMIRA BINTI ABDULLAH"</f>
        <v>NORHASHMIRA BINTI ABDULLAH</v>
      </c>
      <c r="J5965" t="str">
        <f t="shared" si="2436"/>
        <v>CIMB BANK / CIMB ISLAMIC BANK</v>
      </c>
      <c r="K5965" t="str">
        <f>"7050502595"</f>
        <v>7050502595</v>
      </c>
      <c r="L5965" t="str">
        <f t="shared" si="2434"/>
        <v>04-08-2020</v>
      </c>
      <c r="M5965" t="str">
        <f t="shared" si="2434"/>
        <v>04-08-2020</v>
      </c>
      <c r="N5965" t="str">
        <f t="shared" si="2442"/>
        <v>001105018356</v>
      </c>
      <c r="O5965" t="str">
        <f t="shared" si="2443"/>
        <v>MYR</v>
      </c>
      <c r="P5965" t="str">
        <f t="shared" si="2435"/>
        <v>NIL</v>
      </c>
      <c r="Q5965" t="str">
        <f t="shared" si="2435"/>
        <v>NIL</v>
      </c>
      <c r="R5965" t="str">
        <f t="shared" si="2428"/>
        <v>Accepted</v>
      </c>
      <c r="S5965" t="str">
        <f t="shared" si="2444"/>
        <v>Approved</v>
      </c>
      <c r="T5965" t="str">
        <f t="shared" si="2429"/>
        <v>10.20.8.188</v>
      </c>
      <c r="U5965" t="str">
        <f t="shared" si="2445"/>
        <v>AZRAD UMAR BIN SHAARI</v>
      </c>
      <c r="V5965" t="str">
        <f t="shared" si="2446"/>
        <v>FARHANA BINTI MUSTAPA</v>
      </c>
      <c r="W5965" t="str">
        <f t="shared" si="2447"/>
        <v>04-08-2020</v>
      </c>
      <c r="X5965" t="str">
        <f t="shared" si="2448"/>
        <v>RAZIMAH ANSAR AHMAD</v>
      </c>
      <c r="Y5965" t="str">
        <f t="shared" si="2449"/>
        <v>04-08-2020</v>
      </c>
      <c r="Z5965" t="str">
        <f>"COS10200804 3189"</f>
        <v>COS10200804 3189</v>
      </c>
    </row>
    <row r="5966" spans="1:26" x14ac:dyDescent="0.25">
      <c r="A5966" t="str">
        <f t="shared" si="2437"/>
        <v>04-08-2020 12:43:51</v>
      </c>
      <c r="B5966" t="str">
        <f>"0000804955"</f>
        <v>0000804955</v>
      </c>
      <c r="C5966" t="str">
        <f t="shared" si="2438"/>
        <v>0000804767</v>
      </c>
      <c r="D5966" t="str">
        <f t="shared" si="2439"/>
        <v>73185</v>
      </c>
      <c r="E5966" t="str">
        <f t="shared" si="2440"/>
        <v>KFH-OPERATIONS DEPARTMENT</v>
      </c>
      <c r="F5966" t="str">
        <f t="shared" si="2441"/>
        <v>IBG</v>
      </c>
      <c r="G5966" t="str">
        <f t="shared" si="2450"/>
        <v>Refund COSHARE 10</v>
      </c>
      <c r="H5966" s="2">
        <v>814.35</v>
      </c>
      <c r="I5966" t="str">
        <f>"NORHASANAH BINTI ABDURAHMAN"</f>
        <v>NORHASANAH BINTI ABDURAHMAN</v>
      </c>
      <c r="J5966" t="str">
        <f t="shared" si="2436"/>
        <v>CIMB BANK / CIMB ISLAMIC BANK</v>
      </c>
      <c r="K5966" t="str">
        <f>"7043053079"</f>
        <v>7043053079</v>
      </c>
      <c r="L5966" t="str">
        <f t="shared" si="2434"/>
        <v>04-08-2020</v>
      </c>
      <c r="M5966" t="str">
        <f t="shared" si="2434"/>
        <v>04-08-2020</v>
      </c>
      <c r="N5966" t="str">
        <f t="shared" si="2442"/>
        <v>001105018356</v>
      </c>
      <c r="O5966" t="str">
        <f t="shared" si="2443"/>
        <v>MYR</v>
      </c>
      <c r="P5966" t="str">
        <f t="shared" si="2435"/>
        <v>NIL</v>
      </c>
      <c r="Q5966" t="str">
        <f t="shared" si="2435"/>
        <v>NIL</v>
      </c>
      <c r="R5966" t="str">
        <f t="shared" si="2428"/>
        <v>Accepted</v>
      </c>
      <c r="S5966" t="str">
        <f t="shared" si="2444"/>
        <v>Approved</v>
      </c>
      <c r="T5966" t="str">
        <f t="shared" si="2429"/>
        <v>10.20.8.188</v>
      </c>
      <c r="U5966" t="str">
        <f t="shared" si="2445"/>
        <v>AZRAD UMAR BIN SHAARI</v>
      </c>
      <c r="V5966" t="str">
        <f t="shared" si="2446"/>
        <v>FARHANA BINTI MUSTAPA</v>
      </c>
      <c r="W5966" t="str">
        <f t="shared" si="2447"/>
        <v>04-08-2020</v>
      </c>
      <c r="X5966" t="str">
        <f t="shared" si="2448"/>
        <v>RAZIMAH ANSAR AHMAD</v>
      </c>
      <c r="Y5966" t="str">
        <f t="shared" si="2449"/>
        <v>04-08-2020</v>
      </c>
      <c r="Z5966" t="str">
        <f>"COS10200804 3188"</f>
        <v>COS10200804 3188</v>
      </c>
    </row>
    <row r="5967" spans="1:26" x14ac:dyDescent="0.25">
      <c r="A5967" t="str">
        <f t="shared" si="2437"/>
        <v>04-08-2020 12:43:51</v>
      </c>
      <c r="B5967" t="str">
        <f>"0000804954"</f>
        <v>0000804954</v>
      </c>
      <c r="C5967" t="str">
        <f t="shared" si="2438"/>
        <v>0000804767</v>
      </c>
      <c r="D5967" t="str">
        <f t="shared" si="2439"/>
        <v>73185</v>
      </c>
      <c r="E5967" t="str">
        <f t="shared" si="2440"/>
        <v>KFH-OPERATIONS DEPARTMENT</v>
      </c>
      <c r="F5967" t="str">
        <f t="shared" si="2441"/>
        <v>IBG</v>
      </c>
      <c r="G5967" t="str">
        <f t="shared" si="2450"/>
        <v>Refund COSHARE 10</v>
      </c>
      <c r="H5967" s="2">
        <v>152</v>
      </c>
      <c r="I5967" t="str">
        <f>"NORHANI IDAYU BINTI MOHD IZANSHAH"</f>
        <v>NORHANI IDAYU BINTI MOHD IZANSHAH</v>
      </c>
      <c r="J5967" t="str">
        <f t="shared" si="2436"/>
        <v>CIMB BANK / CIMB ISLAMIC BANK</v>
      </c>
      <c r="K5967" t="str">
        <f>"01040122921521"</f>
        <v>01040122921521</v>
      </c>
      <c r="L5967" t="str">
        <f t="shared" ref="L5967:M5986" si="2451">"04-08-2020"</f>
        <v>04-08-2020</v>
      </c>
      <c r="M5967" t="str">
        <f t="shared" si="2451"/>
        <v>04-08-2020</v>
      </c>
      <c r="N5967" t="str">
        <f t="shared" si="2442"/>
        <v>001105018356</v>
      </c>
      <c r="O5967" t="str">
        <f t="shared" si="2443"/>
        <v>MYR</v>
      </c>
      <c r="P5967" t="str">
        <f t="shared" ref="P5967:Q5986" si="2452">"NIL"</f>
        <v>NIL</v>
      </c>
      <c r="Q5967" t="str">
        <f t="shared" si="2452"/>
        <v>NIL</v>
      </c>
      <c r="R5967" t="str">
        <f t="shared" si="2428"/>
        <v>Accepted</v>
      </c>
      <c r="S5967" t="str">
        <f t="shared" si="2444"/>
        <v>Approved</v>
      </c>
      <c r="T5967" t="str">
        <f t="shared" si="2429"/>
        <v>10.20.8.188</v>
      </c>
      <c r="U5967" t="str">
        <f t="shared" si="2445"/>
        <v>AZRAD UMAR BIN SHAARI</v>
      </c>
      <c r="V5967" t="str">
        <f t="shared" si="2446"/>
        <v>FARHANA BINTI MUSTAPA</v>
      </c>
      <c r="W5967" t="str">
        <f t="shared" si="2447"/>
        <v>04-08-2020</v>
      </c>
      <c r="X5967" t="str">
        <f t="shared" si="2448"/>
        <v>RAZIMAH ANSAR AHMAD</v>
      </c>
      <c r="Y5967" t="str">
        <f t="shared" si="2449"/>
        <v>04-08-2020</v>
      </c>
      <c r="Z5967" t="str">
        <f>"COS10200804 3187"</f>
        <v>COS10200804 3187</v>
      </c>
    </row>
    <row r="5968" spans="1:26" x14ac:dyDescent="0.25">
      <c r="A5968" t="str">
        <f t="shared" si="2437"/>
        <v>04-08-2020 12:43:51</v>
      </c>
      <c r="B5968" t="str">
        <f>"0000804953"</f>
        <v>0000804953</v>
      </c>
      <c r="C5968" t="str">
        <f t="shared" si="2438"/>
        <v>0000804767</v>
      </c>
      <c r="D5968" t="str">
        <f t="shared" si="2439"/>
        <v>73185</v>
      </c>
      <c r="E5968" t="str">
        <f t="shared" si="2440"/>
        <v>KFH-OPERATIONS DEPARTMENT</v>
      </c>
      <c r="F5968" t="str">
        <f t="shared" si="2441"/>
        <v>IBG</v>
      </c>
      <c r="G5968" t="str">
        <f t="shared" si="2450"/>
        <v>Refund COSHARE 10</v>
      </c>
      <c r="H5968" s="2">
        <v>478</v>
      </c>
      <c r="I5968" t="str">
        <f>"NORHAFIZAH BINTI MOHD GHAZALI"</f>
        <v>NORHAFIZAH BINTI MOHD GHAZALI</v>
      </c>
      <c r="J5968" t="str">
        <f t="shared" si="2436"/>
        <v>CIMB BANK / CIMB ISLAMIC BANK</v>
      </c>
      <c r="K5968" t="str">
        <f>"02070031152521"</f>
        <v>02070031152521</v>
      </c>
      <c r="L5968" t="str">
        <f t="shared" si="2451"/>
        <v>04-08-2020</v>
      </c>
      <c r="M5968" t="str">
        <f t="shared" si="2451"/>
        <v>04-08-2020</v>
      </c>
      <c r="N5968" t="str">
        <f t="shared" si="2442"/>
        <v>001105018356</v>
      </c>
      <c r="O5968" t="str">
        <f t="shared" si="2443"/>
        <v>MYR</v>
      </c>
      <c r="P5968" t="str">
        <f t="shared" si="2452"/>
        <v>NIL</v>
      </c>
      <c r="Q5968" t="str">
        <f t="shared" si="2452"/>
        <v>NIL</v>
      </c>
      <c r="R5968" t="str">
        <f t="shared" si="2428"/>
        <v>Accepted</v>
      </c>
      <c r="S5968" t="str">
        <f t="shared" si="2444"/>
        <v>Approved</v>
      </c>
      <c r="T5968" t="str">
        <f t="shared" si="2429"/>
        <v>10.20.8.188</v>
      </c>
      <c r="U5968" t="str">
        <f t="shared" si="2445"/>
        <v>AZRAD UMAR BIN SHAARI</v>
      </c>
      <c r="V5968" t="str">
        <f t="shared" si="2446"/>
        <v>FARHANA BINTI MUSTAPA</v>
      </c>
      <c r="W5968" t="str">
        <f t="shared" si="2447"/>
        <v>04-08-2020</v>
      </c>
      <c r="X5968" t="str">
        <f t="shared" si="2448"/>
        <v>RAZIMAH ANSAR AHMAD</v>
      </c>
      <c r="Y5968" t="str">
        <f t="shared" si="2449"/>
        <v>04-08-2020</v>
      </c>
      <c r="Z5968" t="str">
        <f>"COS10200804 3186"</f>
        <v>COS10200804 3186</v>
      </c>
    </row>
    <row r="5969" spans="1:26" x14ac:dyDescent="0.25">
      <c r="A5969" t="str">
        <f t="shared" si="2437"/>
        <v>04-08-2020 12:43:51</v>
      </c>
      <c r="B5969" t="str">
        <f>"0000804952"</f>
        <v>0000804952</v>
      </c>
      <c r="C5969" t="str">
        <f t="shared" si="2438"/>
        <v>0000804767</v>
      </c>
      <c r="D5969" t="str">
        <f t="shared" si="2439"/>
        <v>73185</v>
      </c>
      <c r="E5969" t="str">
        <f t="shared" si="2440"/>
        <v>KFH-OPERATIONS DEPARTMENT</v>
      </c>
      <c r="F5969" t="str">
        <f t="shared" si="2441"/>
        <v>IBG</v>
      </c>
      <c r="G5969" t="str">
        <f t="shared" si="2450"/>
        <v>Refund COSHARE 10</v>
      </c>
      <c r="H5969" s="2">
        <v>1067</v>
      </c>
      <c r="I5969" t="str">
        <f>"NORHAFIZAH BINTI MOHD GHAZALI"</f>
        <v>NORHAFIZAH BINTI MOHD GHAZALI</v>
      </c>
      <c r="J5969" t="str">
        <f t="shared" si="2436"/>
        <v>CIMB BANK / CIMB ISLAMIC BANK</v>
      </c>
      <c r="K5969" t="str">
        <f>"02070031152521"</f>
        <v>02070031152521</v>
      </c>
      <c r="L5969" t="str">
        <f t="shared" si="2451"/>
        <v>04-08-2020</v>
      </c>
      <c r="M5969" t="str">
        <f t="shared" si="2451"/>
        <v>04-08-2020</v>
      </c>
      <c r="N5969" t="str">
        <f t="shared" si="2442"/>
        <v>001105018356</v>
      </c>
      <c r="O5969" t="str">
        <f t="shared" si="2443"/>
        <v>MYR</v>
      </c>
      <c r="P5969" t="str">
        <f t="shared" si="2452"/>
        <v>NIL</v>
      </c>
      <c r="Q5969" t="str">
        <f t="shared" si="2452"/>
        <v>NIL</v>
      </c>
      <c r="R5969" t="str">
        <f t="shared" si="2428"/>
        <v>Accepted</v>
      </c>
      <c r="S5969" t="str">
        <f t="shared" si="2444"/>
        <v>Approved</v>
      </c>
      <c r="T5969" t="str">
        <f t="shared" si="2429"/>
        <v>10.20.8.188</v>
      </c>
      <c r="U5969" t="str">
        <f t="shared" si="2445"/>
        <v>AZRAD UMAR BIN SHAARI</v>
      </c>
      <c r="V5969" t="str">
        <f t="shared" si="2446"/>
        <v>FARHANA BINTI MUSTAPA</v>
      </c>
      <c r="W5969" t="str">
        <f t="shared" si="2447"/>
        <v>04-08-2020</v>
      </c>
      <c r="X5969" t="str">
        <f t="shared" si="2448"/>
        <v>RAZIMAH ANSAR AHMAD</v>
      </c>
      <c r="Y5969" t="str">
        <f t="shared" si="2449"/>
        <v>04-08-2020</v>
      </c>
      <c r="Z5969" t="str">
        <f>"COS10200804 3185"</f>
        <v>COS10200804 3185</v>
      </c>
    </row>
    <row r="5970" spans="1:26" x14ac:dyDescent="0.25">
      <c r="A5970" t="str">
        <f t="shared" si="2437"/>
        <v>04-08-2020 12:43:51</v>
      </c>
      <c r="B5970" t="str">
        <f>"0000804951"</f>
        <v>0000804951</v>
      </c>
      <c r="C5970" t="str">
        <f t="shared" si="2438"/>
        <v>0000804767</v>
      </c>
      <c r="D5970" t="str">
        <f t="shared" si="2439"/>
        <v>73185</v>
      </c>
      <c r="E5970" t="str">
        <f t="shared" si="2440"/>
        <v>KFH-OPERATIONS DEPARTMENT</v>
      </c>
      <c r="F5970" t="str">
        <f t="shared" si="2441"/>
        <v>IBG</v>
      </c>
      <c r="G5970" t="str">
        <f t="shared" si="2450"/>
        <v>Refund COSHARE 10</v>
      </c>
      <c r="H5970" s="2">
        <v>167.9</v>
      </c>
      <c r="I5970" t="str">
        <f>"NORHADZRIN BINTI JASMAN"</f>
        <v>NORHADZRIN BINTI JASMAN</v>
      </c>
      <c r="J5970" t="str">
        <f t="shared" si="2436"/>
        <v>CIMB BANK / CIMB ISLAMIC BANK</v>
      </c>
      <c r="K5970" t="str">
        <f>"01220010291527"</f>
        <v>01220010291527</v>
      </c>
      <c r="L5970" t="str">
        <f t="shared" si="2451"/>
        <v>04-08-2020</v>
      </c>
      <c r="M5970" t="str">
        <f t="shared" si="2451"/>
        <v>04-08-2020</v>
      </c>
      <c r="N5970" t="str">
        <f t="shared" si="2442"/>
        <v>001105018356</v>
      </c>
      <c r="O5970" t="str">
        <f t="shared" si="2443"/>
        <v>MYR</v>
      </c>
      <c r="P5970" t="str">
        <f t="shared" si="2452"/>
        <v>NIL</v>
      </c>
      <c r="Q5970" t="str">
        <f t="shared" si="2452"/>
        <v>NIL</v>
      </c>
      <c r="R5970" t="str">
        <f t="shared" si="2428"/>
        <v>Accepted</v>
      </c>
      <c r="S5970" t="str">
        <f t="shared" si="2444"/>
        <v>Approved</v>
      </c>
      <c r="T5970" t="str">
        <f t="shared" si="2429"/>
        <v>10.20.8.188</v>
      </c>
      <c r="U5970" t="str">
        <f t="shared" si="2445"/>
        <v>AZRAD UMAR BIN SHAARI</v>
      </c>
      <c r="V5970" t="str">
        <f t="shared" si="2446"/>
        <v>FARHANA BINTI MUSTAPA</v>
      </c>
      <c r="W5970" t="str">
        <f t="shared" si="2447"/>
        <v>04-08-2020</v>
      </c>
      <c r="X5970" t="str">
        <f t="shared" si="2448"/>
        <v>RAZIMAH ANSAR AHMAD</v>
      </c>
      <c r="Y5970" t="str">
        <f t="shared" si="2449"/>
        <v>04-08-2020</v>
      </c>
      <c r="Z5970" t="str">
        <f>"COS10200804 3184"</f>
        <v>COS10200804 3184</v>
      </c>
    </row>
    <row r="5971" spans="1:26" x14ac:dyDescent="0.25">
      <c r="A5971" t="str">
        <f t="shared" si="2437"/>
        <v>04-08-2020 12:43:51</v>
      </c>
      <c r="B5971" t="str">
        <f>"0000804950"</f>
        <v>0000804950</v>
      </c>
      <c r="C5971" t="str">
        <f t="shared" si="2438"/>
        <v>0000804767</v>
      </c>
      <c r="D5971" t="str">
        <f t="shared" si="2439"/>
        <v>73185</v>
      </c>
      <c r="E5971" t="str">
        <f t="shared" si="2440"/>
        <v>KFH-OPERATIONS DEPARTMENT</v>
      </c>
      <c r="F5971" t="str">
        <f t="shared" si="2441"/>
        <v>IBG</v>
      </c>
      <c r="G5971" t="str">
        <f t="shared" si="2450"/>
        <v>Refund COSHARE 10</v>
      </c>
      <c r="H5971" s="2">
        <v>221.75</v>
      </c>
      <c r="I5971" t="str">
        <f>"NORHADI BIN ABDUL RAHIM"</f>
        <v>NORHADI BIN ABDUL RAHIM</v>
      </c>
      <c r="J5971" t="str">
        <f t="shared" si="2436"/>
        <v>CIMB BANK / CIMB ISLAMIC BANK</v>
      </c>
      <c r="K5971" t="str">
        <f>"16010005694523"</f>
        <v>16010005694523</v>
      </c>
      <c r="L5971" t="str">
        <f t="shared" si="2451"/>
        <v>04-08-2020</v>
      </c>
      <c r="M5971" t="str">
        <f t="shared" si="2451"/>
        <v>04-08-2020</v>
      </c>
      <c r="N5971" t="str">
        <f t="shared" si="2442"/>
        <v>001105018356</v>
      </c>
      <c r="O5971" t="str">
        <f t="shared" si="2443"/>
        <v>MYR</v>
      </c>
      <c r="P5971" t="str">
        <f t="shared" si="2452"/>
        <v>NIL</v>
      </c>
      <c r="Q5971" t="str">
        <f t="shared" si="2452"/>
        <v>NIL</v>
      </c>
      <c r="R5971" t="str">
        <f t="shared" si="2428"/>
        <v>Accepted</v>
      </c>
      <c r="S5971" t="str">
        <f t="shared" si="2444"/>
        <v>Approved</v>
      </c>
      <c r="T5971" t="str">
        <f t="shared" si="2429"/>
        <v>10.20.8.188</v>
      </c>
      <c r="U5971" t="str">
        <f t="shared" si="2445"/>
        <v>AZRAD UMAR BIN SHAARI</v>
      </c>
      <c r="V5971" t="str">
        <f t="shared" si="2446"/>
        <v>FARHANA BINTI MUSTAPA</v>
      </c>
      <c r="W5971" t="str">
        <f t="shared" si="2447"/>
        <v>04-08-2020</v>
      </c>
      <c r="X5971" t="str">
        <f t="shared" si="2448"/>
        <v>RAZIMAH ANSAR AHMAD</v>
      </c>
      <c r="Y5971" t="str">
        <f t="shared" si="2449"/>
        <v>04-08-2020</v>
      </c>
      <c r="Z5971" t="str">
        <f>"COS10200804 3183"</f>
        <v>COS10200804 3183</v>
      </c>
    </row>
    <row r="5972" spans="1:26" x14ac:dyDescent="0.25">
      <c r="A5972" t="str">
        <f t="shared" si="2437"/>
        <v>04-08-2020 12:43:51</v>
      </c>
      <c r="B5972" t="str">
        <f>"0000804949"</f>
        <v>0000804949</v>
      </c>
      <c r="C5972" t="str">
        <f t="shared" si="2438"/>
        <v>0000804767</v>
      </c>
      <c r="D5972" t="str">
        <f t="shared" si="2439"/>
        <v>73185</v>
      </c>
      <c r="E5972" t="str">
        <f t="shared" si="2440"/>
        <v>KFH-OPERATIONS DEPARTMENT</v>
      </c>
      <c r="F5972" t="str">
        <f t="shared" si="2441"/>
        <v>IBG</v>
      </c>
      <c r="G5972" t="str">
        <f t="shared" si="2450"/>
        <v>Refund COSHARE 10</v>
      </c>
      <c r="H5972" s="2">
        <v>587.65</v>
      </c>
      <c r="I5972" t="str">
        <f>"NORHABINA BINTI ABD ARIS"</f>
        <v>NORHABINA BINTI ABD ARIS</v>
      </c>
      <c r="J5972" t="str">
        <f t="shared" si="2436"/>
        <v>CIMB BANK / CIMB ISLAMIC BANK</v>
      </c>
      <c r="K5972" t="str">
        <f>"12150066422520"</f>
        <v>12150066422520</v>
      </c>
      <c r="L5972" t="str">
        <f t="shared" si="2451"/>
        <v>04-08-2020</v>
      </c>
      <c r="M5972" t="str">
        <f t="shared" si="2451"/>
        <v>04-08-2020</v>
      </c>
      <c r="N5972" t="str">
        <f t="shared" si="2442"/>
        <v>001105018356</v>
      </c>
      <c r="O5972" t="str">
        <f t="shared" si="2443"/>
        <v>MYR</v>
      </c>
      <c r="P5972" t="str">
        <f t="shared" si="2452"/>
        <v>NIL</v>
      </c>
      <c r="Q5972" t="str">
        <f t="shared" si="2452"/>
        <v>NIL</v>
      </c>
      <c r="R5972" t="str">
        <f t="shared" si="2428"/>
        <v>Accepted</v>
      </c>
      <c r="S5972" t="str">
        <f t="shared" si="2444"/>
        <v>Approved</v>
      </c>
      <c r="T5972" t="str">
        <f t="shared" si="2429"/>
        <v>10.20.8.188</v>
      </c>
      <c r="U5972" t="str">
        <f t="shared" si="2445"/>
        <v>AZRAD UMAR BIN SHAARI</v>
      </c>
      <c r="V5972" t="str">
        <f t="shared" si="2446"/>
        <v>FARHANA BINTI MUSTAPA</v>
      </c>
      <c r="W5972" t="str">
        <f t="shared" si="2447"/>
        <v>04-08-2020</v>
      </c>
      <c r="X5972" t="str">
        <f t="shared" si="2448"/>
        <v>RAZIMAH ANSAR AHMAD</v>
      </c>
      <c r="Y5972" t="str">
        <f t="shared" si="2449"/>
        <v>04-08-2020</v>
      </c>
      <c r="Z5972" t="str">
        <f>"COS10200804 3182"</f>
        <v>COS10200804 3182</v>
      </c>
    </row>
    <row r="5973" spans="1:26" x14ac:dyDescent="0.25">
      <c r="A5973" t="str">
        <f t="shared" si="2437"/>
        <v>04-08-2020 12:43:51</v>
      </c>
      <c r="B5973" t="str">
        <f>"0000804948"</f>
        <v>0000804948</v>
      </c>
      <c r="C5973" t="str">
        <f t="shared" si="2438"/>
        <v>0000804767</v>
      </c>
      <c r="D5973" t="str">
        <f t="shared" si="2439"/>
        <v>73185</v>
      </c>
      <c r="E5973" t="str">
        <f t="shared" si="2440"/>
        <v>KFH-OPERATIONS DEPARTMENT</v>
      </c>
      <c r="F5973" t="str">
        <f t="shared" si="2441"/>
        <v>IBG</v>
      </c>
      <c r="G5973" t="str">
        <f t="shared" si="2450"/>
        <v>Refund COSHARE 10</v>
      </c>
      <c r="H5973" s="2">
        <v>1116.9000000000001</v>
      </c>
      <c r="I5973" t="str">
        <f>"NORFIZWAN BIN SAIM"</f>
        <v>NORFIZWAN BIN SAIM</v>
      </c>
      <c r="J5973" t="str">
        <f t="shared" si="2436"/>
        <v>CIMB BANK / CIMB ISLAMIC BANK</v>
      </c>
      <c r="K5973" t="str">
        <f>"01310024594528"</f>
        <v>01310024594528</v>
      </c>
      <c r="L5973" t="str">
        <f t="shared" si="2451"/>
        <v>04-08-2020</v>
      </c>
      <c r="M5973" t="str">
        <f t="shared" si="2451"/>
        <v>04-08-2020</v>
      </c>
      <c r="N5973" t="str">
        <f t="shared" si="2442"/>
        <v>001105018356</v>
      </c>
      <c r="O5973" t="str">
        <f t="shared" si="2443"/>
        <v>MYR</v>
      </c>
      <c r="P5973" t="str">
        <f t="shared" si="2452"/>
        <v>NIL</v>
      </c>
      <c r="Q5973" t="str">
        <f t="shared" si="2452"/>
        <v>NIL</v>
      </c>
      <c r="R5973" t="str">
        <f t="shared" si="2428"/>
        <v>Accepted</v>
      </c>
      <c r="S5973" t="str">
        <f t="shared" si="2444"/>
        <v>Approved</v>
      </c>
      <c r="T5973" t="str">
        <f t="shared" si="2429"/>
        <v>10.20.8.188</v>
      </c>
      <c r="U5973" t="str">
        <f t="shared" si="2445"/>
        <v>AZRAD UMAR BIN SHAARI</v>
      </c>
      <c r="V5973" t="str">
        <f t="shared" si="2446"/>
        <v>FARHANA BINTI MUSTAPA</v>
      </c>
      <c r="W5973" t="str">
        <f t="shared" si="2447"/>
        <v>04-08-2020</v>
      </c>
      <c r="X5973" t="str">
        <f t="shared" si="2448"/>
        <v>RAZIMAH ANSAR AHMAD</v>
      </c>
      <c r="Y5973" t="str">
        <f t="shared" si="2449"/>
        <v>04-08-2020</v>
      </c>
      <c r="Z5973" t="str">
        <f>"COS10200804 3181"</f>
        <v>COS10200804 3181</v>
      </c>
    </row>
    <row r="5974" spans="1:26" x14ac:dyDescent="0.25">
      <c r="A5974" t="str">
        <f t="shared" si="2437"/>
        <v>04-08-2020 12:43:51</v>
      </c>
      <c r="B5974" t="str">
        <f>"0000804947"</f>
        <v>0000804947</v>
      </c>
      <c r="C5974" t="str">
        <f t="shared" si="2438"/>
        <v>0000804767</v>
      </c>
      <c r="D5974" t="str">
        <f t="shared" si="2439"/>
        <v>73185</v>
      </c>
      <c r="E5974" t="str">
        <f t="shared" si="2440"/>
        <v>KFH-OPERATIONS DEPARTMENT</v>
      </c>
      <c r="F5974" t="str">
        <f t="shared" si="2441"/>
        <v>IBG</v>
      </c>
      <c r="G5974" t="str">
        <f t="shared" si="2450"/>
        <v>Refund COSHARE 10</v>
      </c>
      <c r="H5974" s="2">
        <v>353</v>
      </c>
      <c r="I5974" t="str">
        <f>"NORFAZIRA BINTI ADZHAR"</f>
        <v>NORFAZIRA BINTI ADZHAR</v>
      </c>
      <c r="J5974" t="str">
        <f t="shared" si="2436"/>
        <v>CIMB BANK / CIMB ISLAMIC BANK</v>
      </c>
      <c r="K5974" t="str">
        <f>"7036417037"</f>
        <v>7036417037</v>
      </c>
      <c r="L5974" t="str">
        <f t="shared" si="2451"/>
        <v>04-08-2020</v>
      </c>
      <c r="M5974" t="str">
        <f t="shared" si="2451"/>
        <v>04-08-2020</v>
      </c>
      <c r="N5974" t="str">
        <f t="shared" si="2442"/>
        <v>001105018356</v>
      </c>
      <c r="O5974" t="str">
        <f t="shared" si="2443"/>
        <v>MYR</v>
      </c>
      <c r="P5974" t="str">
        <f t="shared" si="2452"/>
        <v>NIL</v>
      </c>
      <c r="Q5974" t="str">
        <f t="shared" si="2452"/>
        <v>NIL</v>
      </c>
      <c r="R5974" t="str">
        <f t="shared" si="2428"/>
        <v>Accepted</v>
      </c>
      <c r="S5974" t="str">
        <f t="shared" si="2444"/>
        <v>Approved</v>
      </c>
      <c r="T5974" t="str">
        <f t="shared" si="2429"/>
        <v>10.20.8.188</v>
      </c>
      <c r="U5974" t="str">
        <f t="shared" si="2445"/>
        <v>AZRAD UMAR BIN SHAARI</v>
      </c>
      <c r="V5974" t="str">
        <f t="shared" si="2446"/>
        <v>FARHANA BINTI MUSTAPA</v>
      </c>
      <c r="W5974" t="str">
        <f t="shared" si="2447"/>
        <v>04-08-2020</v>
      </c>
      <c r="X5974" t="str">
        <f t="shared" si="2448"/>
        <v>RAZIMAH ANSAR AHMAD</v>
      </c>
      <c r="Y5974" t="str">
        <f t="shared" si="2449"/>
        <v>04-08-2020</v>
      </c>
      <c r="Z5974" t="str">
        <f>"COS10200804 3180"</f>
        <v>COS10200804 3180</v>
      </c>
    </row>
    <row r="5975" spans="1:26" x14ac:dyDescent="0.25">
      <c r="A5975" t="str">
        <f t="shared" si="2437"/>
        <v>04-08-2020 12:43:51</v>
      </c>
      <c r="B5975" t="str">
        <f>"0000804946"</f>
        <v>0000804946</v>
      </c>
      <c r="C5975" t="str">
        <f t="shared" si="2438"/>
        <v>0000804767</v>
      </c>
      <c r="D5975" t="str">
        <f t="shared" si="2439"/>
        <v>73185</v>
      </c>
      <c r="E5975" t="str">
        <f t="shared" si="2440"/>
        <v>KFH-OPERATIONS DEPARTMENT</v>
      </c>
      <c r="F5975" t="str">
        <f t="shared" si="2441"/>
        <v>IBG</v>
      </c>
      <c r="G5975" t="str">
        <f t="shared" si="2450"/>
        <v>Refund COSHARE 10</v>
      </c>
      <c r="H5975" s="2">
        <v>353</v>
      </c>
      <c r="I5975" t="str">
        <f>"NORFAZIRA BINTI ADZHAR"</f>
        <v>NORFAZIRA BINTI ADZHAR</v>
      </c>
      <c r="J5975" t="str">
        <f t="shared" si="2436"/>
        <v>CIMB BANK / CIMB ISLAMIC BANK</v>
      </c>
      <c r="K5975" t="str">
        <f>"7036417037"</f>
        <v>7036417037</v>
      </c>
      <c r="L5975" t="str">
        <f t="shared" si="2451"/>
        <v>04-08-2020</v>
      </c>
      <c r="M5975" t="str">
        <f t="shared" si="2451"/>
        <v>04-08-2020</v>
      </c>
      <c r="N5975" t="str">
        <f t="shared" si="2442"/>
        <v>001105018356</v>
      </c>
      <c r="O5975" t="str">
        <f t="shared" si="2443"/>
        <v>MYR</v>
      </c>
      <c r="P5975" t="str">
        <f t="shared" si="2452"/>
        <v>NIL</v>
      </c>
      <c r="Q5975" t="str">
        <f t="shared" si="2452"/>
        <v>NIL</v>
      </c>
      <c r="R5975" t="str">
        <f t="shared" si="2428"/>
        <v>Accepted</v>
      </c>
      <c r="S5975" t="str">
        <f t="shared" si="2444"/>
        <v>Approved</v>
      </c>
      <c r="T5975" t="str">
        <f t="shared" si="2429"/>
        <v>10.20.8.188</v>
      </c>
      <c r="U5975" t="str">
        <f t="shared" si="2445"/>
        <v>AZRAD UMAR BIN SHAARI</v>
      </c>
      <c r="V5975" t="str">
        <f t="shared" si="2446"/>
        <v>FARHANA BINTI MUSTAPA</v>
      </c>
      <c r="W5975" t="str">
        <f t="shared" si="2447"/>
        <v>04-08-2020</v>
      </c>
      <c r="X5975" t="str">
        <f t="shared" si="2448"/>
        <v>RAZIMAH ANSAR AHMAD</v>
      </c>
      <c r="Y5975" t="str">
        <f t="shared" si="2449"/>
        <v>04-08-2020</v>
      </c>
      <c r="Z5975" t="str">
        <f>"COS10200804 3179"</f>
        <v>COS10200804 3179</v>
      </c>
    </row>
    <row r="5976" spans="1:26" x14ac:dyDescent="0.25">
      <c r="A5976" t="str">
        <f t="shared" si="2437"/>
        <v>04-08-2020 12:43:51</v>
      </c>
      <c r="B5976" t="str">
        <f>"0000804945"</f>
        <v>0000804945</v>
      </c>
      <c r="C5976" t="str">
        <f t="shared" si="2438"/>
        <v>0000804767</v>
      </c>
      <c r="D5976" t="str">
        <f t="shared" si="2439"/>
        <v>73185</v>
      </c>
      <c r="E5976" t="str">
        <f t="shared" si="2440"/>
        <v>KFH-OPERATIONS DEPARTMENT</v>
      </c>
      <c r="F5976" t="str">
        <f t="shared" si="2441"/>
        <v>IBG</v>
      </c>
      <c r="G5976" t="str">
        <f t="shared" si="2450"/>
        <v>Refund COSHARE 10</v>
      </c>
      <c r="H5976" s="2">
        <v>228</v>
      </c>
      <c r="I5976" t="str">
        <f>"NORFAZDRINA BINTI SOBIRIN"</f>
        <v>NORFAZDRINA BINTI SOBIRIN</v>
      </c>
      <c r="J5976" t="str">
        <f t="shared" si="2436"/>
        <v>CIMB BANK / CIMB ISLAMIC BANK</v>
      </c>
      <c r="K5976" t="str">
        <f>"12180092018529"</f>
        <v>12180092018529</v>
      </c>
      <c r="L5976" t="str">
        <f t="shared" si="2451"/>
        <v>04-08-2020</v>
      </c>
      <c r="M5976" t="str">
        <f t="shared" si="2451"/>
        <v>04-08-2020</v>
      </c>
      <c r="N5976" t="str">
        <f t="shared" si="2442"/>
        <v>001105018356</v>
      </c>
      <c r="O5976" t="str">
        <f t="shared" si="2443"/>
        <v>MYR</v>
      </c>
      <c r="P5976" t="str">
        <f t="shared" si="2452"/>
        <v>NIL</v>
      </c>
      <c r="Q5976" t="str">
        <f t="shared" si="2452"/>
        <v>NIL</v>
      </c>
      <c r="R5976" t="str">
        <f t="shared" si="2428"/>
        <v>Accepted</v>
      </c>
      <c r="S5976" t="str">
        <f t="shared" si="2444"/>
        <v>Approved</v>
      </c>
      <c r="T5976" t="str">
        <f t="shared" si="2429"/>
        <v>10.20.8.188</v>
      </c>
      <c r="U5976" t="str">
        <f t="shared" si="2445"/>
        <v>AZRAD UMAR BIN SHAARI</v>
      </c>
      <c r="V5976" t="str">
        <f t="shared" si="2446"/>
        <v>FARHANA BINTI MUSTAPA</v>
      </c>
      <c r="W5976" t="str">
        <f t="shared" si="2447"/>
        <v>04-08-2020</v>
      </c>
      <c r="X5976" t="str">
        <f t="shared" si="2448"/>
        <v>RAZIMAH ANSAR AHMAD</v>
      </c>
      <c r="Y5976" t="str">
        <f t="shared" si="2449"/>
        <v>04-08-2020</v>
      </c>
      <c r="Z5976" t="str">
        <f>"COS10200804 3178"</f>
        <v>COS10200804 3178</v>
      </c>
    </row>
    <row r="5977" spans="1:26" x14ac:dyDescent="0.25">
      <c r="A5977" t="str">
        <f t="shared" si="2437"/>
        <v>04-08-2020 12:43:51</v>
      </c>
      <c r="B5977" t="str">
        <f>"0000804944"</f>
        <v>0000804944</v>
      </c>
      <c r="C5977" t="str">
        <f t="shared" si="2438"/>
        <v>0000804767</v>
      </c>
      <c r="D5977" t="str">
        <f t="shared" si="2439"/>
        <v>73185</v>
      </c>
      <c r="E5977" t="str">
        <f t="shared" si="2440"/>
        <v>KFH-OPERATIONS DEPARTMENT</v>
      </c>
      <c r="F5977" t="str">
        <f t="shared" si="2441"/>
        <v>IBG</v>
      </c>
      <c r="G5977" t="str">
        <f t="shared" si="2450"/>
        <v>Refund COSHARE 10</v>
      </c>
      <c r="H5977" s="2">
        <v>495</v>
      </c>
      <c r="I5977" t="str">
        <f>"NORFADILAH BINTI MD RANI"</f>
        <v>NORFADILAH BINTI MD RANI</v>
      </c>
      <c r="J5977" t="str">
        <f t="shared" si="2436"/>
        <v>CIMB BANK / CIMB ISLAMIC BANK</v>
      </c>
      <c r="K5977" t="str">
        <f>"7010328709"</f>
        <v>7010328709</v>
      </c>
      <c r="L5977" t="str">
        <f t="shared" si="2451"/>
        <v>04-08-2020</v>
      </c>
      <c r="M5977" t="str">
        <f t="shared" si="2451"/>
        <v>04-08-2020</v>
      </c>
      <c r="N5977" t="str">
        <f t="shared" si="2442"/>
        <v>001105018356</v>
      </c>
      <c r="O5977" t="str">
        <f t="shared" si="2443"/>
        <v>MYR</v>
      </c>
      <c r="P5977" t="str">
        <f t="shared" si="2452"/>
        <v>NIL</v>
      </c>
      <c r="Q5977" t="str">
        <f t="shared" si="2452"/>
        <v>NIL</v>
      </c>
      <c r="R5977" t="str">
        <f t="shared" si="2428"/>
        <v>Accepted</v>
      </c>
      <c r="S5977" t="str">
        <f t="shared" si="2444"/>
        <v>Approved</v>
      </c>
      <c r="T5977" t="str">
        <f t="shared" si="2429"/>
        <v>10.20.8.188</v>
      </c>
      <c r="U5977" t="str">
        <f t="shared" si="2445"/>
        <v>AZRAD UMAR BIN SHAARI</v>
      </c>
      <c r="V5977" t="str">
        <f t="shared" si="2446"/>
        <v>FARHANA BINTI MUSTAPA</v>
      </c>
      <c r="W5977" t="str">
        <f t="shared" si="2447"/>
        <v>04-08-2020</v>
      </c>
      <c r="X5977" t="str">
        <f t="shared" si="2448"/>
        <v>RAZIMAH ANSAR AHMAD</v>
      </c>
      <c r="Y5977" t="str">
        <f t="shared" si="2449"/>
        <v>04-08-2020</v>
      </c>
      <c r="Z5977" t="str">
        <f>"COS10200804 3177"</f>
        <v>COS10200804 3177</v>
      </c>
    </row>
    <row r="5978" spans="1:26" x14ac:dyDescent="0.25">
      <c r="A5978" t="str">
        <f t="shared" si="2437"/>
        <v>04-08-2020 12:43:51</v>
      </c>
      <c r="B5978" t="str">
        <f>"0000804943"</f>
        <v>0000804943</v>
      </c>
      <c r="C5978" t="str">
        <f t="shared" si="2438"/>
        <v>0000804767</v>
      </c>
      <c r="D5978" t="str">
        <f t="shared" si="2439"/>
        <v>73185</v>
      </c>
      <c r="E5978" t="str">
        <f t="shared" si="2440"/>
        <v>KFH-OPERATIONS DEPARTMENT</v>
      </c>
      <c r="F5978" t="str">
        <f t="shared" si="2441"/>
        <v>IBG</v>
      </c>
      <c r="G5978" t="str">
        <f t="shared" si="2450"/>
        <v>Refund COSHARE 10</v>
      </c>
      <c r="H5978" s="2">
        <v>67.2</v>
      </c>
      <c r="I5978" t="str">
        <f>"NOREKHSAN BIN SIDEK"</f>
        <v>NOREKHSAN BIN SIDEK</v>
      </c>
      <c r="J5978" t="str">
        <f t="shared" si="2436"/>
        <v>CIMB BANK / CIMB ISLAMIC BANK</v>
      </c>
      <c r="K5978" t="str">
        <f>"11060062968520"</f>
        <v>11060062968520</v>
      </c>
      <c r="L5978" t="str">
        <f t="shared" si="2451"/>
        <v>04-08-2020</v>
      </c>
      <c r="M5978" t="str">
        <f t="shared" si="2451"/>
        <v>04-08-2020</v>
      </c>
      <c r="N5978" t="str">
        <f t="shared" si="2442"/>
        <v>001105018356</v>
      </c>
      <c r="O5978" t="str">
        <f t="shared" si="2443"/>
        <v>MYR</v>
      </c>
      <c r="P5978" t="str">
        <f t="shared" si="2452"/>
        <v>NIL</v>
      </c>
      <c r="Q5978" t="str">
        <f t="shared" si="2452"/>
        <v>NIL</v>
      </c>
      <c r="R5978" t="str">
        <f t="shared" si="2428"/>
        <v>Accepted</v>
      </c>
      <c r="S5978" t="str">
        <f t="shared" si="2444"/>
        <v>Approved</v>
      </c>
      <c r="T5978" t="str">
        <f t="shared" si="2429"/>
        <v>10.20.8.188</v>
      </c>
      <c r="U5978" t="str">
        <f t="shared" si="2445"/>
        <v>AZRAD UMAR BIN SHAARI</v>
      </c>
      <c r="V5978" t="str">
        <f t="shared" si="2446"/>
        <v>FARHANA BINTI MUSTAPA</v>
      </c>
      <c r="W5978" t="str">
        <f t="shared" si="2447"/>
        <v>04-08-2020</v>
      </c>
      <c r="X5978" t="str">
        <f t="shared" si="2448"/>
        <v>RAZIMAH ANSAR AHMAD</v>
      </c>
      <c r="Y5978" t="str">
        <f t="shared" si="2449"/>
        <v>04-08-2020</v>
      </c>
      <c r="Z5978" t="str">
        <f>"COS10200804 3176"</f>
        <v>COS10200804 3176</v>
      </c>
    </row>
    <row r="5979" spans="1:26" x14ac:dyDescent="0.25">
      <c r="A5979" t="str">
        <f t="shared" si="2437"/>
        <v>04-08-2020 12:43:51</v>
      </c>
      <c r="B5979" t="str">
        <f>"0000804942"</f>
        <v>0000804942</v>
      </c>
      <c r="C5979" t="str">
        <f t="shared" si="2438"/>
        <v>0000804767</v>
      </c>
      <c r="D5979" t="str">
        <f t="shared" si="2439"/>
        <v>73185</v>
      </c>
      <c r="E5979" t="str">
        <f t="shared" si="2440"/>
        <v>KFH-OPERATIONS DEPARTMENT</v>
      </c>
      <c r="F5979" t="str">
        <f t="shared" si="2441"/>
        <v>IBG</v>
      </c>
      <c r="G5979" t="str">
        <f t="shared" si="2450"/>
        <v>Refund COSHARE 10</v>
      </c>
      <c r="H5979" s="2">
        <v>251.85</v>
      </c>
      <c r="I5979" t="str">
        <f>"NOREHAN BINTI JAAFAR"</f>
        <v>NOREHAN BINTI JAAFAR</v>
      </c>
      <c r="J5979" t="str">
        <f t="shared" si="2436"/>
        <v>CIMB BANK / CIMB ISLAMIC BANK</v>
      </c>
      <c r="K5979" t="str">
        <f>"07390005582522"</f>
        <v>07390005582522</v>
      </c>
      <c r="L5979" t="str">
        <f t="shared" si="2451"/>
        <v>04-08-2020</v>
      </c>
      <c r="M5979" t="str">
        <f t="shared" si="2451"/>
        <v>04-08-2020</v>
      </c>
      <c r="N5979" t="str">
        <f t="shared" si="2442"/>
        <v>001105018356</v>
      </c>
      <c r="O5979" t="str">
        <f t="shared" si="2443"/>
        <v>MYR</v>
      </c>
      <c r="P5979" t="str">
        <f t="shared" si="2452"/>
        <v>NIL</v>
      </c>
      <c r="Q5979" t="str">
        <f t="shared" si="2452"/>
        <v>NIL</v>
      </c>
      <c r="R5979" t="str">
        <f t="shared" si="2428"/>
        <v>Accepted</v>
      </c>
      <c r="S5979" t="str">
        <f t="shared" si="2444"/>
        <v>Approved</v>
      </c>
      <c r="T5979" t="str">
        <f t="shared" si="2429"/>
        <v>10.20.8.188</v>
      </c>
      <c r="U5979" t="str">
        <f t="shared" si="2445"/>
        <v>AZRAD UMAR BIN SHAARI</v>
      </c>
      <c r="V5979" t="str">
        <f t="shared" si="2446"/>
        <v>FARHANA BINTI MUSTAPA</v>
      </c>
      <c r="W5979" t="str">
        <f t="shared" si="2447"/>
        <v>04-08-2020</v>
      </c>
      <c r="X5979" t="str">
        <f t="shared" si="2448"/>
        <v>RAZIMAH ANSAR AHMAD</v>
      </c>
      <c r="Y5979" t="str">
        <f t="shared" si="2449"/>
        <v>04-08-2020</v>
      </c>
      <c r="Z5979" t="str">
        <f>"COS10200804 3175"</f>
        <v>COS10200804 3175</v>
      </c>
    </row>
    <row r="5980" spans="1:26" x14ac:dyDescent="0.25">
      <c r="A5980" t="str">
        <f t="shared" si="2437"/>
        <v>04-08-2020 12:43:51</v>
      </c>
      <c r="B5980" t="str">
        <f>"0000804941"</f>
        <v>0000804941</v>
      </c>
      <c r="C5980" t="str">
        <f t="shared" si="2438"/>
        <v>0000804767</v>
      </c>
      <c r="D5980" t="str">
        <f t="shared" si="2439"/>
        <v>73185</v>
      </c>
      <c r="E5980" t="str">
        <f t="shared" si="2440"/>
        <v>KFH-OPERATIONS DEPARTMENT</v>
      </c>
      <c r="F5980" t="str">
        <f t="shared" si="2441"/>
        <v>IBG</v>
      </c>
      <c r="G5980" t="str">
        <f t="shared" si="2450"/>
        <v>Refund COSHARE 10</v>
      </c>
      <c r="H5980" s="2">
        <v>127.05</v>
      </c>
      <c r="I5980" t="str">
        <f>"NORDIN BIN DOLLAH"</f>
        <v>NORDIN BIN DOLLAH</v>
      </c>
      <c r="J5980" t="str">
        <f t="shared" si="2436"/>
        <v>CIMB BANK / CIMB ISLAMIC BANK</v>
      </c>
      <c r="K5980" t="str">
        <f>"06060029188521"</f>
        <v>06060029188521</v>
      </c>
      <c r="L5980" t="str">
        <f t="shared" si="2451"/>
        <v>04-08-2020</v>
      </c>
      <c r="M5980" t="str">
        <f t="shared" si="2451"/>
        <v>04-08-2020</v>
      </c>
      <c r="N5980" t="str">
        <f t="shared" si="2442"/>
        <v>001105018356</v>
      </c>
      <c r="O5980" t="str">
        <f t="shared" si="2443"/>
        <v>MYR</v>
      </c>
      <c r="P5980" t="str">
        <f t="shared" si="2452"/>
        <v>NIL</v>
      </c>
      <c r="Q5980" t="str">
        <f t="shared" si="2452"/>
        <v>NIL</v>
      </c>
      <c r="R5980" t="str">
        <f t="shared" si="2428"/>
        <v>Accepted</v>
      </c>
      <c r="S5980" t="str">
        <f t="shared" si="2444"/>
        <v>Approved</v>
      </c>
      <c r="T5980" t="str">
        <f t="shared" si="2429"/>
        <v>10.20.8.188</v>
      </c>
      <c r="U5980" t="str">
        <f t="shared" si="2445"/>
        <v>AZRAD UMAR BIN SHAARI</v>
      </c>
      <c r="V5980" t="str">
        <f t="shared" si="2446"/>
        <v>FARHANA BINTI MUSTAPA</v>
      </c>
      <c r="W5980" t="str">
        <f t="shared" si="2447"/>
        <v>04-08-2020</v>
      </c>
      <c r="X5980" t="str">
        <f t="shared" si="2448"/>
        <v>RAZIMAH ANSAR AHMAD</v>
      </c>
      <c r="Y5980" t="str">
        <f t="shared" si="2449"/>
        <v>04-08-2020</v>
      </c>
      <c r="Z5980" t="str">
        <f>"COS10200804 3174"</f>
        <v>COS10200804 3174</v>
      </c>
    </row>
    <row r="5981" spans="1:26" x14ac:dyDescent="0.25">
      <c r="A5981" t="str">
        <f t="shared" si="2437"/>
        <v>04-08-2020 12:43:51</v>
      </c>
      <c r="B5981" t="str">
        <f>"0000804940"</f>
        <v>0000804940</v>
      </c>
      <c r="C5981" t="str">
        <f t="shared" si="2438"/>
        <v>0000804767</v>
      </c>
      <c r="D5981" t="str">
        <f t="shared" si="2439"/>
        <v>73185</v>
      </c>
      <c r="E5981" t="str">
        <f t="shared" si="2440"/>
        <v>KFH-OPERATIONS DEPARTMENT</v>
      </c>
      <c r="F5981" t="str">
        <f t="shared" si="2441"/>
        <v>IBG</v>
      </c>
      <c r="G5981" t="str">
        <f t="shared" si="2450"/>
        <v>Refund COSHARE 10</v>
      </c>
      <c r="H5981" s="2">
        <v>109.15</v>
      </c>
      <c r="I5981" t="str">
        <f>"NORDAYATI BINTI AMIT"</f>
        <v>NORDAYATI BINTI AMIT</v>
      </c>
      <c r="J5981" t="str">
        <f t="shared" si="2436"/>
        <v>CIMB BANK / CIMB ISLAMIC BANK</v>
      </c>
      <c r="K5981" t="str">
        <f>"10030035093526"</f>
        <v>10030035093526</v>
      </c>
      <c r="L5981" t="str">
        <f t="shared" si="2451"/>
        <v>04-08-2020</v>
      </c>
      <c r="M5981" t="str">
        <f t="shared" si="2451"/>
        <v>04-08-2020</v>
      </c>
      <c r="N5981" t="str">
        <f t="shared" si="2442"/>
        <v>001105018356</v>
      </c>
      <c r="O5981" t="str">
        <f t="shared" si="2443"/>
        <v>MYR</v>
      </c>
      <c r="P5981" t="str">
        <f t="shared" si="2452"/>
        <v>NIL</v>
      </c>
      <c r="Q5981" t="str">
        <f t="shared" si="2452"/>
        <v>NIL</v>
      </c>
      <c r="R5981" t="str">
        <f t="shared" si="2428"/>
        <v>Accepted</v>
      </c>
      <c r="S5981" t="str">
        <f t="shared" si="2444"/>
        <v>Approved</v>
      </c>
      <c r="T5981" t="str">
        <f t="shared" si="2429"/>
        <v>10.20.8.188</v>
      </c>
      <c r="U5981" t="str">
        <f t="shared" si="2445"/>
        <v>AZRAD UMAR BIN SHAARI</v>
      </c>
      <c r="V5981" t="str">
        <f t="shared" si="2446"/>
        <v>FARHANA BINTI MUSTAPA</v>
      </c>
      <c r="W5981" t="str">
        <f t="shared" si="2447"/>
        <v>04-08-2020</v>
      </c>
      <c r="X5981" t="str">
        <f t="shared" si="2448"/>
        <v>RAZIMAH ANSAR AHMAD</v>
      </c>
      <c r="Y5981" t="str">
        <f t="shared" si="2449"/>
        <v>04-08-2020</v>
      </c>
      <c r="Z5981" t="str">
        <f>"COS10200804 3173"</f>
        <v>COS10200804 3173</v>
      </c>
    </row>
    <row r="5982" spans="1:26" x14ac:dyDescent="0.25">
      <c r="A5982" t="str">
        <f t="shared" si="2437"/>
        <v>04-08-2020 12:43:51</v>
      </c>
      <c r="B5982" t="str">
        <f>"0000804939"</f>
        <v>0000804939</v>
      </c>
      <c r="C5982" t="str">
        <f t="shared" si="2438"/>
        <v>0000804767</v>
      </c>
      <c r="D5982" t="str">
        <f t="shared" si="2439"/>
        <v>73185</v>
      </c>
      <c r="E5982" t="str">
        <f t="shared" si="2440"/>
        <v>KFH-OPERATIONS DEPARTMENT</v>
      </c>
      <c r="F5982" t="str">
        <f t="shared" si="2441"/>
        <v>IBG</v>
      </c>
      <c r="G5982" t="str">
        <f t="shared" si="2450"/>
        <v>Refund COSHARE 10</v>
      </c>
      <c r="H5982" s="2">
        <v>839.5</v>
      </c>
      <c r="I5982" t="str">
        <f>"NORBAIZURA BINTI BAKARI"</f>
        <v>NORBAIZURA BINTI BAKARI</v>
      </c>
      <c r="J5982" t="str">
        <f t="shared" si="2436"/>
        <v>CIMB BANK / CIMB ISLAMIC BANK</v>
      </c>
      <c r="K5982" t="str">
        <f>"7006405656"</f>
        <v>7006405656</v>
      </c>
      <c r="L5982" t="str">
        <f t="shared" si="2451"/>
        <v>04-08-2020</v>
      </c>
      <c r="M5982" t="str">
        <f t="shared" si="2451"/>
        <v>04-08-2020</v>
      </c>
      <c r="N5982" t="str">
        <f t="shared" si="2442"/>
        <v>001105018356</v>
      </c>
      <c r="O5982" t="str">
        <f t="shared" si="2443"/>
        <v>MYR</v>
      </c>
      <c r="P5982" t="str">
        <f t="shared" si="2452"/>
        <v>NIL</v>
      </c>
      <c r="Q5982" t="str">
        <f t="shared" si="2452"/>
        <v>NIL</v>
      </c>
      <c r="R5982" t="str">
        <f t="shared" si="2428"/>
        <v>Accepted</v>
      </c>
      <c r="S5982" t="str">
        <f t="shared" si="2444"/>
        <v>Approved</v>
      </c>
      <c r="T5982" t="str">
        <f t="shared" si="2429"/>
        <v>10.20.8.188</v>
      </c>
      <c r="U5982" t="str">
        <f t="shared" si="2445"/>
        <v>AZRAD UMAR BIN SHAARI</v>
      </c>
      <c r="V5982" t="str">
        <f t="shared" si="2446"/>
        <v>FARHANA BINTI MUSTAPA</v>
      </c>
      <c r="W5982" t="str">
        <f t="shared" si="2447"/>
        <v>04-08-2020</v>
      </c>
      <c r="X5982" t="str">
        <f t="shared" si="2448"/>
        <v>RAZIMAH ANSAR AHMAD</v>
      </c>
      <c r="Y5982" t="str">
        <f t="shared" si="2449"/>
        <v>04-08-2020</v>
      </c>
      <c r="Z5982" t="str">
        <f>"COS10200804 3172"</f>
        <v>COS10200804 3172</v>
      </c>
    </row>
    <row r="5983" spans="1:26" x14ac:dyDescent="0.25">
      <c r="A5983" t="str">
        <f t="shared" si="2437"/>
        <v>04-08-2020 12:43:51</v>
      </c>
      <c r="B5983" t="str">
        <f>"0000804938"</f>
        <v>0000804938</v>
      </c>
      <c r="C5983" t="str">
        <f t="shared" si="2438"/>
        <v>0000804767</v>
      </c>
      <c r="D5983" t="str">
        <f t="shared" si="2439"/>
        <v>73185</v>
      </c>
      <c r="E5983" t="str">
        <f t="shared" si="2440"/>
        <v>KFH-OPERATIONS DEPARTMENT</v>
      </c>
      <c r="F5983" t="str">
        <f t="shared" si="2441"/>
        <v>IBG</v>
      </c>
      <c r="G5983" t="str">
        <f t="shared" si="2450"/>
        <v>Refund COSHARE 10</v>
      </c>
      <c r="H5983" s="2">
        <v>251.85</v>
      </c>
      <c r="I5983" t="str">
        <f>"NORAZRIN BINTI MOHAMAT JANI"</f>
        <v>NORAZRIN BINTI MOHAMAT JANI</v>
      </c>
      <c r="J5983" t="str">
        <f t="shared" si="2436"/>
        <v>CIMB BANK / CIMB ISLAMIC BANK</v>
      </c>
      <c r="K5983" t="str">
        <f>"7010683781"</f>
        <v>7010683781</v>
      </c>
      <c r="L5983" t="str">
        <f t="shared" si="2451"/>
        <v>04-08-2020</v>
      </c>
      <c r="M5983" t="str">
        <f t="shared" si="2451"/>
        <v>04-08-2020</v>
      </c>
      <c r="N5983" t="str">
        <f t="shared" si="2442"/>
        <v>001105018356</v>
      </c>
      <c r="O5983" t="str">
        <f t="shared" si="2443"/>
        <v>MYR</v>
      </c>
      <c r="P5983" t="str">
        <f t="shared" si="2452"/>
        <v>NIL</v>
      </c>
      <c r="Q5983" t="str">
        <f t="shared" si="2452"/>
        <v>NIL</v>
      </c>
      <c r="R5983" t="str">
        <f t="shared" si="2428"/>
        <v>Accepted</v>
      </c>
      <c r="S5983" t="str">
        <f t="shared" si="2444"/>
        <v>Approved</v>
      </c>
      <c r="T5983" t="str">
        <f t="shared" si="2429"/>
        <v>10.20.8.188</v>
      </c>
      <c r="U5983" t="str">
        <f t="shared" si="2445"/>
        <v>AZRAD UMAR BIN SHAARI</v>
      </c>
      <c r="V5983" t="str">
        <f t="shared" si="2446"/>
        <v>FARHANA BINTI MUSTAPA</v>
      </c>
      <c r="W5983" t="str">
        <f t="shared" si="2447"/>
        <v>04-08-2020</v>
      </c>
      <c r="X5983" t="str">
        <f t="shared" si="2448"/>
        <v>RAZIMAH ANSAR AHMAD</v>
      </c>
      <c r="Y5983" t="str">
        <f t="shared" si="2449"/>
        <v>04-08-2020</v>
      </c>
      <c r="Z5983" t="str">
        <f>"COS10200804 3171"</f>
        <v>COS10200804 3171</v>
      </c>
    </row>
    <row r="5984" spans="1:26" x14ac:dyDescent="0.25">
      <c r="A5984" t="str">
        <f t="shared" si="2437"/>
        <v>04-08-2020 12:43:51</v>
      </c>
      <c r="B5984" t="str">
        <f>"0000804937"</f>
        <v>0000804937</v>
      </c>
      <c r="C5984" t="str">
        <f t="shared" si="2438"/>
        <v>0000804767</v>
      </c>
      <c r="D5984" t="str">
        <f t="shared" si="2439"/>
        <v>73185</v>
      </c>
      <c r="E5984" t="str">
        <f t="shared" si="2440"/>
        <v>KFH-OPERATIONS DEPARTMENT</v>
      </c>
      <c r="F5984" t="str">
        <f t="shared" si="2441"/>
        <v>IBG</v>
      </c>
      <c r="G5984" t="str">
        <f t="shared" si="2450"/>
        <v>Refund COSHARE 10</v>
      </c>
      <c r="H5984" s="2">
        <v>1007.4</v>
      </c>
      <c r="I5984" t="str">
        <f>"NORAZNA BINTI MOHAMAD HATIM"</f>
        <v>NORAZNA BINTI MOHAMAD HATIM</v>
      </c>
      <c r="J5984" t="str">
        <f t="shared" si="2436"/>
        <v>CIMB BANK / CIMB ISLAMIC BANK</v>
      </c>
      <c r="K5984" t="str">
        <f>"7031577931"</f>
        <v>7031577931</v>
      </c>
      <c r="L5984" t="str">
        <f t="shared" si="2451"/>
        <v>04-08-2020</v>
      </c>
      <c r="M5984" t="str">
        <f t="shared" si="2451"/>
        <v>04-08-2020</v>
      </c>
      <c r="N5984" t="str">
        <f t="shared" si="2442"/>
        <v>001105018356</v>
      </c>
      <c r="O5984" t="str">
        <f t="shared" si="2443"/>
        <v>MYR</v>
      </c>
      <c r="P5984" t="str">
        <f t="shared" si="2452"/>
        <v>NIL</v>
      </c>
      <c r="Q5984" t="str">
        <f t="shared" si="2452"/>
        <v>NIL</v>
      </c>
      <c r="R5984" t="str">
        <f t="shared" si="2428"/>
        <v>Accepted</v>
      </c>
      <c r="S5984" t="str">
        <f t="shared" si="2444"/>
        <v>Approved</v>
      </c>
      <c r="T5984" t="str">
        <f t="shared" si="2429"/>
        <v>10.20.8.188</v>
      </c>
      <c r="U5984" t="str">
        <f t="shared" si="2445"/>
        <v>AZRAD UMAR BIN SHAARI</v>
      </c>
      <c r="V5984" t="str">
        <f t="shared" si="2446"/>
        <v>FARHANA BINTI MUSTAPA</v>
      </c>
      <c r="W5984" t="str">
        <f t="shared" si="2447"/>
        <v>04-08-2020</v>
      </c>
      <c r="X5984" t="str">
        <f t="shared" si="2448"/>
        <v>RAZIMAH ANSAR AHMAD</v>
      </c>
      <c r="Y5984" t="str">
        <f t="shared" si="2449"/>
        <v>04-08-2020</v>
      </c>
      <c r="Z5984" t="str">
        <f>"COS10200804 3170"</f>
        <v>COS10200804 3170</v>
      </c>
    </row>
    <row r="5985" spans="1:26" x14ac:dyDescent="0.25">
      <c r="A5985" t="str">
        <f t="shared" si="2437"/>
        <v>04-08-2020 12:43:51</v>
      </c>
      <c r="B5985" t="str">
        <f>"0000804936"</f>
        <v>0000804936</v>
      </c>
      <c r="C5985" t="str">
        <f t="shared" si="2438"/>
        <v>0000804767</v>
      </c>
      <c r="D5985" t="str">
        <f t="shared" si="2439"/>
        <v>73185</v>
      </c>
      <c r="E5985" t="str">
        <f t="shared" si="2440"/>
        <v>KFH-OPERATIONS DEPARTMENT</v>
      </c>
      <c r="F5985" t="str">
        <f t="shared" si="2441"/>
        <v>IBG</v>
      </c>
      <c r="G5985" t="str">
        <f t="shared" si="2450"/>
        <v>Refund COSHARE 10</v>
      </c>
      <c r="H5985" s="2">
        <v>152</v>
      </c>
      <c r="I5985" t="str">
        <f>"NORAZLIZA BINTI YAACOB"</f>
        <v>NORAZLIZA BINTI YAACOB</v>
      </c>
      <c r="J5985" t="str">
        <f t="shared" si="2436"/>
        <v>CIMB BANK / CIMB ISLAMIC BANK</v>
      </c>
      <c r="K5985" t="str">
        <f>"02060062424527"</f>
        <v>02060062424527</v>
      </c>
      <c r="L5985" t="str">
        <f t="shared" si="2451"/>
        <v>04-08-2020</v>
      </c>
      <c r="M5985" t="str">
        <f t="shared" si="2451"/>
        <v>04-08-2020</v>
      </c>
      <c r="N5985" t="str">
        <f t="shared" si="2442"/>
        <v>001105018356</v>
      </c>
      <c r="O5985" t="str">
        <f t="shared" si="2443"/>
        <v>MYR</v>
      </c>
      <c r="P5985" t="str">
        <f t="shared" si="2452"/>
        <v>NIL</v>
      </c>
      <c r="Q5985" t="str">
        <f t="shared" si="2452"/>
        <v>NIL</v>
      </c>
      <c r="R5985" t="str">
        <f t="shared" si="2428"/>
        <v>Accepted</v>
      </c>
      <c r="S5985" t="str">
        <f t="shared" si="2444"/>
        <v>Approved</v>
      </c>
      <c r="T5985" t="str">
        <f t="shared" si="2429"/>
        <v>10.20.8.188</v>
      </c>
      <c r="U5985" t="str">
        <f t="shared" si="2445"/>
        <v>AZRAD UMAR BIN SHAARI</v>
      </c>
      <c r="V5985" t="str">
        <f t="shared" si="2446"/>
        <v>FARHANA BINTI MUSTAPA</v>
      </c>
      <c r="W5985" t="str">
        <f t="shared" si="2447"/>
        <v>04-08-2020</v>
      </c>
      <c r="X5985" t="str">
        <f t="shared" si="2448"/>
        <v>RAZIMAH ANSAR AHMAD</v>
      </c>
      <c r="Y5985" t="str">
        <f t="shared" si="2449"/>
        <v>04-08-2020</v>
      </c>
      <c r="Z5985" t="str">
        <f>"COS10200804 3169"</f>
        <v>COS10200804 3169</v>
      </c>
    </row>
    <row r="5986" spans="1:26" x14ac:dyDescent="0.25">
      <c r="A5986" t="str">
        <f t="shared" ref="A5986:A6017" si="2453">"04-08-2020 12:43:51"</f>
        <v>04-08-2020 12:43:51</v>
      </c>
      <c r="B5986" t="str">
        <f>"0000804935"</f>
        <v>0000804935</v>
      </c>
      <c r="C5986" t="str">
        <f t="shared" ref="C5986:C6017" si="2454">"0000804767"</f>
        <v>0000804767</v>
      </c>
      <c r="D5986" t="str">
        <f t="shared" si="2439"/>
        <v>73185</v>
      </c>
      <c r="E5986" t="str">
        <f t="shared" si="2440"/>
        <v>KFH-OPERATIONS DEPARTMENT</v>
      </c>
      <c r="F5986" t="str">
        <f t="shared" si="2441"/>
        <v>IBG</v>
      </c>
      <c r="G5986" t="str">
        <f t="shared" si="2450"/>
        <v>Refund COSHARE 10</v>
      </c>
      <c r="H5986" s="2">
        <v>83.95</v>
      </c>
      <c r="I5986" t="str">
        <f>"NORAZLINA BINTI MOHAMMED SHAFIE"</f>
        <v>NORAZLINA BINTI MOHAMMED SHAFIE</v>
      </c>
      <c r="J5986" t="str">
        <f t="shared" si="2436"/>
        <v>CIMB BANK / CIMB ISLAMIC BANK</v>
      </c>
      <c r="K5986" t="str">
        <f>"12140064130525"</f>
        <v>12140064130525</v>
      </c>
      <c r="L5986" t="str">
        <f t="shared" si="2451"/>
        <v>04-08-2020</v>
      </c>
      <c r="M5986" t="str">
        <f t="shared" si="2451"/>
        <v>04-08-2020</v>
      </c>
      <c r="N5986" t="str">
        <f t="shared" si="2442"/>
        <v>001105018356</v>
      </c>
      <c r="O5986" t="str">
        <f t="shared" si="2443"/>
        <v>MYR</v>
      </c>
      <c r="P5986" t="str">
        <f t="shared" si="2452"/>
        <v>NIL</v>
      </c>
      <c r="Q5986" t="str">
        <f t="shared" si="2452"/>
        <v>NIL</v>
      </c>
      <c r="R5986" t="str">
        <f t="shared" ref="R5986:R6049" si="2455">"Accepted"</f>
        <v>Accepted</v>
      </c>
      <c r="S5986" t="str">
        <f t="shared" si="2444"/>
        <v>Approved</v>
      </c>
      <c r="T5986" t="str">
        <f t="shared" ref="T5986:T6049" si="2456">"10.20.8.188"</f>
        <v>10.20.8.188</v>
      </c>
      <c r="U5986" t="str">
        <f t="shared" si="2445"/>
        <v>AZRAD UMAR BIN SHAARI</v>
      </c>
      <c r="V5986" t="str">
        <f t="shared" si="2446"/>
        <v>FARHANA BINTI MUSTAPA</v>
      </c>
      <c r="W5986" t="str">
        <f t="shared" si="2447"/>
        <v>04-08-2020</v>
      </c>
      <c r="X5986" t="str">
        <f t="shared" si="2448"/>
        <v>RAZIMAH ANSAR AHMAD</v>
      </c>
      <c r="Y5986" t="str">
        <f t="shared" si="2449"/>
        <v>04-08-2020</v>
      </c>
      <c r="Z5986" t="str">
        <f>"COS10200804 3168"</f>
        <v>COS10200804 3168</v>
      </c>
    </row>
    <row r="5987" spans="1:26" x14ac:dyDescent="0.25">
      <c r="A5987" t="str">
        <f t="shared" si="2453"/>
        <v>04-08-2020 12:43:51</v>
      </c>
      <c r="B5987" t="str">
        <f>"0000804934"</f>
        <v>0000804934</v>
      </c>
      <c r="C5987" t="str">
        <f t="shared" si="2454"/>
        <v>0000804767</v>
      </c>
      <c r="D5987" t="str">
        <f t="shared" si="2439"/>
        <v>73185</v>
      </c>
      <c r="E5987" t="str">
        <f t="shared" si="2440"/>
        <v>KFH-OPERATIONS DEPARTMENT</v>
      </c>
      <c r="F5987" t="str">
        <f t="shared" si="2441"/>
        <v>IBG</v>
      </c>
      <c r="G5987" t="str">
        <f t="shared" si="2450"/>
        <v>Refund COSHARE 10</v>
      </c>
      <c r="H5987" s="2">
        <v>353.3</v>
      </c>
      <c r="I5987" t="str">
        <f>"NORAZLIN BINTI HASSAN"</f>
        <v>NORAZLIN BINTI HASSAN</v>
      </c>
      <c r="J5987" t="str">
        <f t="shared" si="2436"/>
        <v>CIMB BANK / CIMB ISLAMIC BANK</v>
      </c>
      <c r="K5987" t="str">
        <f>"01110009652527"</f>
        <v>01110009652527</v>
      </c>
      <c r="L5987" t="str">
        <f t="shared" ref="L5987:M6006" si="2457">"04-08-2020"</f>
        <v>04-08-2020</v>
      </c>
      <c r="M5987" t="str">
        <f t="shared" si="2457"/>
        <v>04-08-2020</v>
      </c>
      <c r="N5987" t="str">
        <f t="shared" si="2442"/>
        <v>001105018356</v>
      </c>
      <c r="O5987" t="str">
        <f t="shared" si="2443"/>
        <v>MYR</v>
      </c>
      <c r="P5987" t="str">
        <f t="shared" ref="P5987:Q6006" si="2458">"NIL"</f>
        <v>NIL</v>
      </c>
      <c r="Q5987" t="str">
        <f t="shared" si="2458"/>
        <v>NIL</v>
      </c>
      <c r="R5987" t="str">
        <f t="shared" si="2455"/>
        <v>Accepted</v>
      </c>
      <c r="S5987" t="str">
        <f t="shared" si="2444"/>
        <v>Approved</v>
      </c>
      <c r="T5987" t="str">
        <f t="shared" si="2456"/>
        <v>10.20.8.188</v>
      </c>
      <c r="U5987" t="str">
        <f t="shared" si="2445"/>
        <v>AZRAD UMAR BIN SHAARI</v>
      </c>
      <c r="V5987" t="str">
        <f t="shared" si="2446"/>
        <v>FARHANA BINTI MUSTAPA</v>
      </c>
      <c r="W5987" t="str">
        <f t="shared" si="2447"/>
        <v>04-08-2020</v>
      </c>
      <c r="X5987" t="str">
        <f t="shared" si="2448"/>
        <v>RAZIMAH ANSAR AHMAD</v>
      </c>
      <c r="Y5987" t="str">
        <f t="shared" si="2449"/>
        <v>04-08-2020</v>
      </c>
      <c r="Z5987" t="str">
        <f>"COS10200804 3167"</f>
        <v>COS10200804 3167</v>
      </c>
    </row>
    <row r="5988" spans="1:26" x14ac:dyDescent="0.25">
      <c r="A5988" t="str">
        <f t="shared" si="2453"/>
        <v>04-08-2020 12:43:51</v>
      </c>
      <c r="B5988" t="str">
        <f>"0000804933"</f>
        <v>0000804933</v>
      </c>
      <c r="C5988" t="str">
        <f t="shared" si="2454"/>
        <v>0000804767</v>
      </c>
      <c r="D5988" t="str">
        <f t="shared" si="2439"/>
        <v>73185</v>
      </c>
      <c r="E5988" t="str">
        <f t="shared" si="2440"/>
        <v>KFH-OPERATIONS DEPARTMENT</v>
      </c>
      <c r="F5988" t="str">
        <f t="shared" si="2441"/>
        <v>IBG</v>
      </c>
      <c r="G5988" t="str">
        <f t="shared" si="2450"/>
        <v>Refund COSHARE 10</v>
      </c>
      <c r="H5988" s="2">
        <v>201</v>
      </c>
      <c r="I5988" t="str">
        <f>"NORAZIZAH BINTI MAT ALI"</f>
        <v>NORAZIZAH BINTI MAT ALI</v>
      </c>
      <c r="J5988" t="str">
        <f t="shared" si="2436"/>
        <v>CIMB BANK / CIMB ISLAMIC BANK</v>
      </c>
      <c r="K5988" t="str">
        <f>"03060023783523"</f>
        <v>03060023783523</v>
      </c>
      <c r="L5988" t="str">
        <f t="shared" si="2457"/>
        <v>04-08-2020</v>
      </c>
      <c r="M5988" t="str">
        <f t="shared" si="2457"/>
        <v>04-08-2020</v>
      </c>
      <c r="N5988" t="str">
        <f t="shared" si="2442"/>
        <v>001105018356</v>
      </c>
      <c r="O5988" t="str">
        <f t="shared" si="2443"/>
        <v>MYR</v>
      </c>
      <c r="P5988" t="str">
        <f t="shared" si="2458"/>
        <v>NIL</v>
      </c>
      <c r="Q5988" t="str">
        <f t="shared" si="2458"/>
        <v>NIL</v>
      </c>
      <c r="R5988" t="str">
        <f t="shared" si="2455"/>
        <v>Accepted</v>
      </c>
      <c r="S5988" t="str">
        <f t="shared" si="2444"/>
        <v>Approved</v>
      </c>
      <c r="T5988" t="str">
        <f t="shared" si="2456"/>
        <v>10.20.8.188</v>
      </c>
      <c r="U5988" t="str">
        <f t="shared" si="2445"/>
        <v>AZRAD UMAR BIN SHAARI</v>
      </c>
      <c r="V5988" t="str">
        <f t="shared" si="2446"/>
        <v>FARHANA BINTI MUSTAPA</v>
      </c>
      <c r="W5988" t="str">
        <f t="shared" si="2447"/>
        <v>04-08-2020</v>
      </c>
      <c r="X5988" t="str">
        <f t="shared" si="2448"/>
        <v>RAZIMAH ANSAR AHMAD</v>
      </c>
      <c r="Y5988" t="str">
        <f t="shared" si="2449"/>
        <v>04-08-2020</v>
      </c>
      <c r="Z5988" t="str">
        <f>"COS10200804 3166"</f>
        <v>COS10200804 3166</v>
      </c>
    </row>
    <row r="5989" spans="1:26" x14ac:dyDescent="0.25">
      <c r="A5989" t="str">
        <f t="shared" si="2453"/>
        <v>04-08-2020 12:43:51</v>
      </c>
      <c r="B5989" t="str">
        <f>"0000804932"</f>
        <v>0000804932</v>
      </c>
      <c r="C5989" t="str">
        <f t="shared" si="2454"/>
        <v>0000804767</v>
      </c>
      <c r="D5989" t="str">
        <f t="shared" si="2439"/>
        <v>73185</v>
      </c>
      <c r="E5989" t="str">
        <f t="shared" si="2440"/>
        <v>KFH-OPERATIONS DEPARTMENT</v>
      </c>
      <c r="F5989" t="str">
        <f t="shared" si="2441"/>
        <v>IBG</v>
      </c>
      <c r="G5989" t="str">
        <f t="shared" si="2450"/>
        <v>Refund COSHARE 10</v>
      </c>
      <c r="H5989" s="2">
        <v>42</v>
      </c>
      <c r="I5989" t="str">
        <f>"NORAZIZAH BINTI ABDUL WAHAB"</f>
        <v>NORAZIZAH BINTI ABDUL WAHAB</v>
      </c>
      <c r="J5989" t="str">
        <f t="shared" si="2436"/>
        <v>CIMB BANK / CIMB ISLAMIC BANK</v>
      </c>
      <c r="K5989" t="str">
        <f>"14350009219525"</f>
        <v>14350009219525</v>
      </c>
      <c r="L5989" t="str">
        <f t="shared" si="2457"/>
        <v>04-08-2020</v>
      </c>
      <c r="M5989" t="str">
        <f t="shared" si="2457"/>
        <v>04-08-2020</v>
      </c>
      <c r="N5989" t="str">
        <f t="shared" si="2442"/>
        <v>001105018356</v>
      </c>
      <c r="O5989" t="str">
        <f t="shared" si="2443"/>
        <v>MYR</v>
      </c>
      <c r="P5989" t="str">
        <f t="shared" si="2458"/>
        <v>NIL</v>
      </c>
      <c r="Q5989" t="str">
        <f t="shared" si="2458"/>
        <v>NIL</v>
      </c>
      <c r="R5989" t="str">
        <f t="shared" si="2455"/>
        <v>Accepted</v>
      </c>
      <c r="S5989" t="str">
        <f t="shared" si="2444"/>
        <v>Approved</v>
      </c>
      <c r="T5989" t="str">
        <f t="shared" si="2456"/>
        <v>10.20.8.188</v>
      </c>
      <c r="U5989" t="str">
        <f t="shared" si="2445"/>
        <v>AZRAD UMAR BIN SHAARI</v>
      </c>
      <c r="V5989" t="str">
        <f t="shared" si="2446"/>
        <v>FARHANA BINTI MUSTAPA</v>
      </c>
      <c r="W5989" t="str">
        <f t="shared" si="2447"/>
        <v>04-08-2020</v>
      </c>
      <c r="X5989" t="str">
        <f t="shared" si="2448"/>
        <v>RAZIMAH ANSAR AHMAD</v>
      </c>
      <c r="Y5989" t="str">
        <f t="shared" si="2449"/>
        <v>04-08-2020</v>
      </c>
      <c r="Z5989" t="str">
        <f>"COS10200804 3165"</f>
        <v>COS10200804 3165</v>
      </c>
    </row>
    <row r="5990" spans="1:26" x14ac:dyDescent="0.25">
      <c r="A5990" t="str">
        <f t="shared" si="2453"/>
        <v>04-08-2020 12:43:51</v>
      </c>
      <c r="B5990" t="str">
        <f>"0000804931"</f>
        <v>0000804931</v>
      </c>
      <c r="C5990" t="str">
        <f t="shared" si="2454"/>
        <v>0000804767</v>
      </c>
      <c r="D5990" t="str">
        <f t="shared" si="2439"/>
        <v>73185</v>
      </c>
      <c r="E5990" t="str">
        <f t="shared" si="2440"/>
        <v>KFH-OPERATIONS DEPARTMENT</v>
      </c>
      <c r="F5990" t="str">
        <f t="shared" si="2441"/>
        <v>IBG</v>
      </c>
      <c r="G5990" t="str">
        <f t="shared" si="2450"/>
        <v>Refund COSHARE 10</v>
      </c>
      <c r="H5990" s="2">
        <v>148</v>
      </c>
      <c r="I5990" t="str">
        <f>"NORAZIMAH BINTI SHAHRUDIN"</f>
        <v>NORAZIMAH BINTI SHAHRUDIN</v>
      </c>
      <c r="J5990" t="str">
        <f t="shared" si="2436"/>
        <v>CIMB BANK / CIMB ISLAMIC BANK</v>
      </c>
      <c r="K5990" t="str">
        <f>"12480070837528"</f>
        <v>12480070837528</v>
      </c>
      <c r="L5990" t="str">
        <f t="shared" si="2457"/>
        <v>04-08-2020</v>
      </c>
      <c r="M5990" t="str">
        <f t="shared" si="2457"/>
        <v>04-08-2020</v>
      </c>
      <c r="N5990" t="str">
        <f t="shared" si="2442"/>
        <v>001105018356</v>
      </c>
      <c r="O5990" t="str">
        <f t="shared" si="2443"/>
        <v>MYR</v>
      </c>
      <c r="P5990" t="str">
        <f t="shared" si="2458"/>
        <v>NIL</v>
      </c>
      <c r="Q5990" t="str">
        <f t="shared" si="2458"/>
        <v>NIL</v>
      </c>
      <c r="R5990" t="str">
        <f t="shared" si="2455"/>
        <v>Accepted</v>
      </c>
      <c r="S5990" t="str">
        <f t="shared" si="2444"/>
        <v>Approved</v>
      </c>
      <c r="T5990" t="str">
        <f t="shared" si="2456"/>
        <v>10.20.8.188</v>
      </c>
      <c r="U5990" t="str">
        <f t="shared" si="2445"/>
        <v>AZRAD UMAR BIN SHAARI</v>
      </c>
      <c r="V5990" t="str">
        <f t="shared" si="2446"/>
        <v>FARHANA BINTI MUSTAPA</v>
      </c>
      <c r="W5990" t="str">
        <f t="shared" si="2447"/>
        <v>04-08-2020</v>
      </c>
      <c r="X5990" t="str">
        <f t="shared" si="2448"/>
        <v>RAZIMAH ANSAR AHMAD</v>
      </c>
      <c r="Y5990" t="str">
        <f t="shared" si="2449"/>
        <v>04-08-2020</v>
      </c>
      <c r="Z5990" t="str">
        <f>"COS10200804 3164"</f>
        <v>COS10200804 3164</v>
      </c>
    </row>
    <row r="5991" spans="1:26" x14ac:dyDescent="0.25">
      <c r="A5991" t="str">
        <f t="shared" si="2453"/>
        <v>04-08-2020 12:43:51</v>
      </c>
      <c r="B5991" t="str">
        <f>"0000804930"</f>
        <v>0000804930</v>
      </c>
      <c r="C5991" t="str">
        <f t="shared" si="2454"/>
        <v>0000804767</v>
      </c>
      <c r="D5991" t="str">
        <f t="shared" si="2439"/>
        <v>73185</v>
      </c>
      <c r="E5991" t="str">
        <f t="shared" si="2440"/>
        <v>KFH-OPERATIONS DEPARTMENT</v>
      </c>
      <c r="F5991" t="str">
        <f t="shared" si="2441"/>
        <v>IBG</v>
      </c>
      <c r="G5991" t="str">
        <f t="shared" si="2450"/>
        <v>Refund COSHARE 10</v>
      </c>
      <c r="H5991" s="2">
        <v>293.85000000000002</v>
      </c>
      <c r="I5991" t="str">
        <f>"NORAZIFAH BINTI DAUD"</f>
        <v>NORAZIFAH BINTI DAUD</v>
      </c>
      <c r="J5991" t="str">
        <f t="shared" si="2436"/>
        <v>CIMB BANK / CIMB ISLAMIC BANK</v>
      </c>
      <c r="K5991" t="str">
        <f>"14230063442529"</f>
        <v>14230063442529</v>
      </c>
      <c r="L5991" t="str">
        <f t="shared" si="2457"/>
        <v>04-08-2020</v>
      </c>
      <c r="M5991" t="str">
        <f t="shared" si="2457"/>
        <v>04-08-2020</v>
      </c>
      <c r="N5991" t="str">
        <f t="shared" si="2442"/>
        <v>001105018356</v>
      </c>
      <c r="O5991" t="str">
        <f t="shared" si="2443"/>
        <v>MYR</v>
      </c>
      <c r="P5991" t="str">
        <f t="shared" si="2458"/>
        <v>NIL</v>
      </c>
      <c r="Q5991" t="str">
        <f t="shared" si="2458"/>
        <v>NIL</v>
      </c>
      <c r="R5991" t="str">
        <f t="shared" si="2455"/>
        <v>Accepted</v>
      </c>
      <c r="S5991" t="str">
        <f t="shared" si="2444"/>
        <v>Approved</v>
      </c>
      <c r="T5991" t="str">
        <f t="shared" si="2456"/>
        <v>10.20.8.188</v>
      </c>
      <c r="U5991" t="str">
        <f t="shared" si="2445"/>
        <v>AZRAD UMAR BIN SHAARI</v>
      </c>
      <c r="V5991" t="str">
        <f t="shared" si="2446"/>
        <v>FARHANA BINTI MUSTAPA</v>
      </c>
      <c r="W5991" t="str">
        <f t="shared" si="2447"/>
        <v>04-08-2020</v>
      </c>
      <c r="X5991" t="str">
        <f t="shared" si="2448"/>
        <v>RAZIMAH ANSAR AHMAD</v>
      </c>
      <c r="Y5991" t="str">
        <f t="shared" si="2449"/>
        <v>04-08-2020</v>
      </c>
      <c r="Z5991" t="str">
        <f>"COS10200804 3163"</f>
        <v>COS10200804 3163</v>
      </c>
    </row>
    <row r="5992" spans="1:26" x14ac:dyDescent="0.25">
      <c r="A5992" t="str">
        <f t="shared" si="2453"/>
        <v>04-08-2020 12:43:51</v>
      </c>
      <c r="B5992" t="str">
        <f>"0000804929"</f>
        <v>0000804929</v>
      </c>
      <c r="C5992" t="str">
        <f t="shared" si="2454"/>
        <v>0000804767</v>
      </c>
      <c r="D5992" t="str">
        <f t="shared" si="2439"/>
        <v>73185</v>
      </c>
      <c r="E5992" t="str">
        <f t="shared" si="2440"/>
        <v>KFH-OPERATIONS DEPARTMENT</v>
      </c>
      <c r="F5992" t="str">
        <f t="shared" si="2441"/>
        <v>IBG</v>
      </c>
      <c r="G5992" t="str">
        <f t="shared" si="2450"/>
        <v>Refund COSHARE 10</v>
      </c>
      <c r="H5992" s="2">
        <v>166.8</v>
      </c>
      <c r="I5992" t="str">
        <f>"NORAZIAH BINTI YAHAYA"</f>
        <v>NORAZIAH BINTI YAHAYA</v>
      </c>
      <c r="J5992" t="str">
        <f t="shared" si="2436"/>
        <v>CIMB BANK / CIMB ISLAMIC BANK</v>
      </c>
      <c r="K5992" t="str">
        <f>"12190044573527"</f>
        <v>12190044573527</v>
      </c>
      <c r="L5992" t="str">
        <f t="shared" si="2457"/>
        <v>04-08-2020</v>
      </c>
      <c r="M5992" t="str">
        <f t="shared" si="2457"/>
        <v>04-08-2020</v>
      </c>
      <c r="N5992" t="str">
        <f t="shared" si="2442"/>
        <v>001105018356</v>
      </c>
      <c r="O5992" t="str">
        <f t="shared" si="2443"/>
        <v>MYR</v>
      </c>
      <c r="P5992" t="str">
        <f t="shared" si="2458"/>
        <v>NIL</v>
      </c>
      <c r="Q5992" t="str">
        <f t="shared" si="2458"/>
        <v>NIL</v>
      </c>
      <c r="R5992" t="str">
        <f t="shared" si="2455"/>
        <v>Accepted</v>
      </c>
      <c r="S5992" t="str">
        <f t="shared" si="2444"/>
        <v>Approved</v>
      </c>
      <c r="T5992" t="str">
        <f t="shared" si="2456"/>
        <v>10.20.8.188</v>
      </c>
      <c r="U5992" t="str">
        <f t="shared" si="2445"/>
        <v>AZRAD UMAR BIN SHAARI</v>
      </c>
      <c r="V5992" t="str">
        <f t="shared" si="2446"/>
        <v>FARHANA BINTI MUSTAPA</v>
      </c>
      <c r="W5992" t="str">
        <f t="shared" si="2447"/>
        <v>04-08-2020</v>
      </c>
      <c r="X5992" t="str">
        <f t="shared" si="2448"/>
        <v>RAZIMAH ANSAR AHMAD</v>
      </c>
      <c r="Y5992" t="str">
        <f t="shared" si="2449"/>
        <v>04-08-2020</v>
      </c>
      <c r="Z5992" t="str">
        <f>"COS10200804 3162"</f>
        <v>COS10200804 3162</v>
      </c>
    </row>
    <row r="5993" spans="1:26" x14ac:dyDescent="0.25">
      <c r="A5993" t="str">
        <f t="shared" si="2453"/>
        <v>04-08-2020 12:43:51</v>
      </c>
      <c r="B5993" t="str">
        <f>"0000804928"</f>
        <v>0000804928</v>
      </c>
      <c r="C5993" t="str">
        <f t="shared" si="2454"/>
        <v>0000804767</v>
      </c>
      <c r="D5993" t="str">
        <f t="shared" si="2439"/>
        <v>73185</v>
      </c>
      <c r="E5993" t="str">
        <f t="shared" si="2440"/>
        <v>KFH-OPERATIONS DEPARTMENT</v>
      </c>
      <c r="F5993" t="str">
        <f t="shared" si="2441"/>
        <v>IBG</v>
      </c>
      <c r="G5993" t="str">
        <f t="shared" si="2450"/>
        <v>Refund COSHARE 10</v>
      </c>
      <c r="H5993" s="2">
        <v>380</v>
      </c>
      <c r="I5993" t="str">
        <f>"NORAZIAH BINTI AHMAD"</f>
        <v>NORAZIAH BINTI AHMAD</v>
      </c>
      <c r="J5993" t="str">
        <f t="shared" si="2436"/>
        <v>CIMB BANK / CIMB ISLAMIC BANK</v>
      </c>
      <c r="K5993" t="str">
        <f>"12470075392522"</f>
        <v>12470075392522</v>
      </c>
      <c r="L5993" t="str">
        <f t="shared" si="2457"/>
        <v>04-08-2020</v>
      </c>
      <c r="M5993" t="str">
        <f t="shared" si="2457"/>
        <v>04-08-2020</v>
      </c>
      <c r="N5993" t="str">
        <f t="shared" si="2442"/>
        <v>001105018356</v>
      </c>
      <c r="O5993" t="str">
        <f t="shared" si="2443"/>
        <v>MYR</v>
      </c>
      <c r="P5993" t="str">
        <f t="shared" si="2458"/>
        <v>NIL</v>
      </c>
      <c r="Q5993" t="str">
        <f t="shared" si="2458"/>
        <v>NIL</v>
      </c>
      <c r="R5993" t="str">
        <f t="shared" si="2455"/>
        <v>Accepted</v>
      </c>
      <c r="S5993" t="str">
        <f t="shared" si="2444"/>
        <v>Approved</v>
      </c>
      <c r="T5993" t="str">
        <f t="shared" si="2456"/>
        <v>10.20.8.188</v>
      </c>
      <c r="U5993" t="str">
        <f t="shared" si="2445"/>
        <v>AZRAD UMAR BIN SHAARI</v>
      </c>
      <c r="V5993" t="str">
        <f t="shared" si="2446"/>
        <v>FARHANA BINTI MUSTAPA</v>
      </c>
      <c r="W5993" t="str">
        <f t="shared" si="2447"/>
        <v>04-08-2020</v>
      </c>
      <c r="X5993" t="str">
        <f t="shared" si="2448"/>
        <v>RAZIMAH ANSAR AHMAD</v>
      </c>
      <c r="Y5993" t="str">
        <f t="shared" si="2449"/>
        <v>04-08-2020</v>
      </c>
      <c r="Z5993" t="str">
        <f>"COS10200804 3161"</f>
        <v>COS10200804 3161</v>
      </c>
    </row>
    <row r="5994" spans="1:26" x14ac:dyDescent="0.25">
      <c r="A5994" t="str">
        <f t="shared" si="2453"/>
        <v>04-08-2020 12:43:51</v>
      </c>
      <c r="B5994" t="str">
        <f>"0000804927"</f>
        <v>0000804927</v>
      </c>
      <c r="C5994" t="str">
        <f t="shared" si="2454"/>
        <v>0000804767</v>
      </c>
      <c r="D5994" t="str">
        <f t="shared" si="2439"/>
        <v>73185</v>
      </c>
      <c r="E5994" t="str">
        <f t="shared" si="2440"/>
        <v>KFH-OPERATIONS DEPARTMENT</v>
      </c>
      <c r="F5994" t="str">
        <f t="shared" si="2441"/>
        <v>IBG</v>
      </c>
      <c r="G5994" t="str">
        <f t="shared" si="2450"/>
        <v>Refund COSHARE 10</v>
      </c>
      <c r="H5994" s="2">
        <v>923.45</v>
      </c>
      <c r="I5994" t="str">
        <f>"NORAZIAH BINTI AFFENDY"</f>
        <v>NORAZIAH BINTI AFFENDY</v>
      </c>
      <c r="J5994" t="str">
        <f t="shared" si="2436"/>
        <v>CIMB BANK / CIMB ISLAMIC BANK</v>
      </c>
      <c r="K5994" t="str">
        <f>"7035524343"</f>
        <v>7035524343</v>
      </c>
      <c r="L5994" t="str">
        <f t="shared" si="2457"/>
        <v>04-08-2020</v>
      </c>
      <c r="M5994" t="str">
        <f t="shared" si="2457"/>
        <v>04-08-2020</v>
      </c>
      <c r="N5994" t="str">
        <f t="shared" si="2442"/>
        <v>001105018356</v>
      </c>
      <c r="O5994" t="str">
        <f t="shared" si="2443"/>
        <v>MYR</v>
      </c>
      <c r="P5994" t="str">
        <f t="shared" si="2458"/>
        <v>NIL</v>
      </c>
      <c r="Q5994" t="str">
        <f t="shared" si="2458"/>
        <v>NIL</v>
      </c>
      <c r="R5994" t="str">
        <f t="shared" si="2455"/>
        <v>Accepted</v>
      </c>
      <c r="S5994" t="str">
        <f t="shared" si="2444"/>
        <v>Approved</v>
      </c>
      <c r="T5994" t="str">
        <f t="shared" si="2456"/>
        <v>10.20.8.188</v>
      </c>
      <c r="U5994" t="str">
        <f t="shared" si="2445"/>
        <v>AZRAD UMAR BIN SHAARI</v>
      </c>
      <c r="V5994" t="str">
        <f t="shared" si="2446"/>
        <v>FARHANA BINTI MUSTAPA</v>
      </c>
      <c r="W5994" t="str">
        <f t="shared" si="2447"/>
        <v>04-08-2020</v>
      </c>
      <c r="X5994" t="str">
        <f t="shared" si="2448"/>
        <v>RAZIMAH ANSAR AHMAD</v>
      </c>
      <c r="Y5994" t="str">
        <f t="shared" si="2449"/>
        <v>04-08-2020</v>
      </c>
      <c r="Z5994" t="str">
        <f>"COS10200804 3160"</f>
        <v>COS10200804 3160</v>
      </c>
    </row>
    <row r="5995" spans="1:26" x14ac:dyDescent="0.25">
      <c r="A5995" t="str">
        <f t="shared" si="2453"/>
        <v>04-08-2020 12:43:51</v>
      </c>
      <c r="B5995" t="str">
        <f>"0000804926"</f>
        <v>0000804926</v>
      </c>
      <c r="C5995" t="str">
        <f t="shared" si="2454"/>
        <v>0000804767</v>
      </c>
      <c r="D5995" t="str">
        <f t="shared" si="2439"/>
        <v>73185</v>
      </c>
      <c r="E5995" t="str">
        <f t="shared" si="2440"/>
        <v>KFH-OPERATIONS DEPARTMENT</v>
      </c>
      <c r="F5995" t="str">
        <f t="shared" si="2441"/>
        <v>IBG</v>
      </c>
      <c r="G5995" t="str">
        <f t="shared" si="2450"/>
        <v>Refund COSHARE 10</v>
      </c>
      <c r="H5995" s="2">
        <v>873.1</v>
      </c>
      <c r="I5995" t="str">
        <f>"NORAYANEE BINTI MAT NOR"</f>
        <v>NORAYANEE BINTI MAT NOR</v>
      </c>
      <c r="J5995" t="str">
        <f t="shared" si="2436"/>
        <v>CIMB BANK / CIMB ISLAMIC BANK</v>
      </c>
      <c r="K5995" t="str">
        <f>"7611602092"</f>
        <v>7611602092</v>
      </c>
      <c r="L5995" t="str">
        <f t="shared" si="2457"/>
        <v>04-08-2020</v>
      </c>
      <c r="M5995" t="str">
        <f t="shared" si="2457"/>
        <v>04-08-2020</v>
      </c>
      <c r="N5995" t="str">
        <f t="shared" si="2442"/>
        <v>001105018356</v>
      </c>
      <c r="O5995" t="str">
        <f t="shared" si="2443"/>
        <v>MYR</v>
      </c>
      <c r="P5995" t="str">
        <f t="shared" si="2458"/>
        <v>NIL</v>
      </c>
      <c r="Q5995" t="str">
        <f t="shared" si="2458"/>
        <v>NIL</v>
      </c>
      <c r="R5995" t="str">
        <f t="shared" si="2455"/>
        <v>Accepted</v>
      </c>
      <c r="S5995" t="str">
        <f t="shared" si="2444"/>
        <v>Approved</v>
      </c>
      <c r="T5995" t="str">
        <f t="shared" si="2456"/>
        <v>10.20.8.188</v>
      </c>
      <c r="U5995" t="str">
        <f t="shared" si="2445"/>
        <v>AZRAD UMAR BIN SHAARI</v>
      </c>
      <c r="V5995" t="str">
        <f t="shared" si="2446"/>
        <v>FARHANA BINTI MUSTAPA</v>
      </c>
      <c r="W5995" t="str">
        <f t="shared" si="2447"/>
        <v>04-08-2020</v>
      </c>
      <c r="X5995" t="str">
        <f t="shared" si="2448"/>
        <v>RAZIMAH ANSAR AHMAD</v>
      </c>
      <c r="Y5995" t="str">
        <f t="shared" si="2449"/>
        <v>04-08-2020</v>
      </c>
      <c r="Z5995" t="str">
        <f>"COS10200804 3159"</f>
        <v>COS10200804 3159</v>
      </c>
    </row>
    <row r="5996" spans="1:26" x14ac:dyDescent="0.25">
      <c r="A5996" t="str">
        <f t="shared" si="2453"/>
        <v>04-08-2020 12:43:51</v>
      </c>
      <c r="B5996" t="str">
        <f>"0000804925"</f>
        <v>0000804925</v>
      </c>
      <c r="C5996" t="str">
        <f t="shared" si="2454"/>
        <v>0000804767</v>
      </c>
      <c r="D5996" t="str">
        <f t="shared" si="2439"/>
        <v>73185</v>
      </c>
      <c r="E5996" t="str">
        <f t="shared" si="2440"/>
        <v>KFH-OPERATIONS DEPARTMENT</v>
      </c>
      <c r="F5996" t="str">
        <f t="shared" si="2441"/>
        <v>IBG</v>
      </c>
      <c r="G5996" t="str">
        <f t="shared" si="2450"/>
        <v>Refund COSHARE 10</v>
      </c>
      <c r="H5996" s="2">
        <v>152</v>
      </c>
      <c r="I5996" t="str">
        <f>"NORATIQAH BINTI AHAMAD"</f>
        <v>NORATIQAH BINTI AHAMAD</v>
      </c>
      <c r="J5996" t="str">
        <f t="shared" si="2436"/>
        <v>CIMB BANK / CIMB ISLAMIC BANK</v>
      </c>
      <c r="K5996" t="str">
        <f>"05060163657521"</f>
        <v>05060163657521</v>
      </c>
      <c r="L5996" t="str">
        <f t="shared" si="2457"/>
        <v>04-08-2020</v>
      </c>
      <c r="M5996" t="str">
        <f t="shared" si="2457"/>
        <v>04-08-2020</v>
      </c>
      <c r="N5996" t="str">
        <f t="shared" si="2442"/>
        <v>001105018356</v>
      </c>
      <c r="O5996" t="str">
        <f t="shared" si="2443"/>
        <v>MYR</v>
      </c>
      <c r="P5996" t="str">
        <f t="shared" si="2458"/>
        <v>NIL</v>
      </c>
      <c r="Q5996" t="str">
        <f t="shared" si="2458"/>
        <v>NIL</v>
      </c>
      <c r="R5996" t="str">
        <f t="shared" si="2455"/>
        <v>Accepted</v>
      </c>
      <c r="S5996" t="str">
        <f t="shared" si="2444"/>
        <v>Approved</v>
      </c>
      <c r="T5996" t="str">
        <f t="shared" si="2456"/>
        <v>10.20.8.188</v>
      </c>
      <c r="U5996" t="str">
        <f t="shared" si="2445"/>
        <v>AZRAD UMAR BIN SHAARI</v>
      </c>
      <c r="V5996" t="str">
        <f t="shared" si="2446"/>
        <v>FARHANA BINTI MUSTAPA</v>
      </c>
      <c r="W5996" t="str">
        <f t="shared" si="2447"/>
        <v>04-08-2020</v>
      </c>
      <c r="X5996" t="str">
        <f t="shared" si="2448"/>
        <v>RAZIMAH ANSAR AHMAD</v>
      </c>
      <c r="Y5996" t="str">
        <f t="shared" si="2449"/>
        <v>04-08-2020</v>
      </c>
      <c r="Z5996" t="str">
        <f>"COS10200804 3158"</f>
        <v>COS10200804 3158</v>
      </c>
    </row>
    <row r="5997" spans="1:26" x14ac:dyDescent="0.25">
      <c r="A5997" t="str">
        <f t="shared" si="2453"/>
        <v>04-08-2020 12:43:51</v>
      </c>
      <c r="B5997" t="str">
        <f>"0000804924"</f>
        <v>0000804924</v>
      </c>
      <c r="C5997" t="str">
        <f t="shared" si="2454"/>
        <v>0000804767</v>
      </c>
      <c r="D5997" t="str">
        <f t="shared" si="2439"/>
        <v>73185</v>
      </c>
      <c r="E5997" t="str">
        <f t="shared" si="2440"/>
        <v>KFH-OPERATIONS DEPARTMENT</v>
      </c>
      <c r="F5997" t="str">
        <f t="shared" si="2441"/>
        <v>IBG</v>
      </c>
      <c r="G5997" t="str">
        <f t="shared" si="2450"/>
        <v>Refund COSHARE 10</v>
      </c>
      <c r="H5997" s="2">
        <v>218.3</v>
      </c>
      <c r="I5997" t="str">
        <f>"NORASLIZA BINTI MOHD MIM"</f>
        <v>NORASLIZA BINTI MOHD MIM</v>
      </c>
      <c r="J5997" t="str">
        <f t="shared" si="2436"/>
        <v>CIMB BANK / CIMB ISLAMIC BANK</v>
      </c>
      <c r="K5997" t="str">
        <f>"01140027300522"</f>
        <v>01140027300522</v>
      </c>
      <c r="L5997" t="str">
        <f t="shared" si="2457"/>
        <v>04-08-2020</v>
      </c>
      <c r="M5997" t="str">
        <f t="shared" si="2457"/>
        <v>04-08-2020</v>
      </c>
      <c r="N5997" t="str">
        <f t="shared" si="2442"/>
        <v>001105018356</v>
      </c>
      <c r="O5997" t="str">
        <f t="shared" si="2443"/>
        <v>MYR</v>
      </c>
      <c r="P5997" t="str">
        <f t="shared" si="2458"/>
        <v>NIL</v>
      </c>
      <c r="Q5997" t="str">
        <f t="shared" si="2458"/>
        <v>NIL</v>
      </c>
      <c r="R5997" t="str">
        <f t="shared" si="2455"/>
        <v>Accepted</v>
      </c>
      <c r="S5997" t="str">
        <f t="shared" si="2444"/>
        <v>Approved</v>
      </c>
      <c r="T5997" t="str">
        <f t="shared" si="2456"/>
        <v>10.20.8.188</v>
      </c>
      <c r="U5997" t="str">
        <f t="shared" si="2445"/>
        <v>AZRAD UMAR BIN SHAARI</v>
      </c>
      <c r="V5997" t="str">
        <f t="shared" si="2446"/>
        <v>FARHANA BINTI MUSTAPA</v>
      </c>
      <c r="W5997" t="str">
        <f t="shared" si="2447"/>
        <v>04-08-2020</v>
      </c>
      <c r="X5997" t="str">
        <f t="shared" si="2448"/>
        <v>RAZIMAH ANSAR AHMAD</v>
      </c>
      <c r="Y5997" t="str">
        <f t="shared" si="2449"/>
        <v>04-08-2020</v>
      </c>
      <c r="Z5997" t="str">
        <f>"COS10200804 3157"</f>
        <v>COS10200804 3157</v>
      </c>
    </row>
    <row r="5998" spans="1:26" x14ac:dyDescent="0.25">
      <c r="A5998" t="str">
        <f t="shared" si="2453"/>
        <v>04-08-2020 12:43:51</v>
      </c>
      <c r="B5998" t="str">
        <f>"0000804923"</f>
        <v>0000804923</v>
      </c>
      <c r="C5998" t="str">
        <f t="shared" si="2454"/>
        <v>0000804767</v>
      </c>
      <c r="D5998" t="str">
        <f t="shared" si="2439"/>
        <v>73185</v>
      </c>
      <c r="E5998" t="str">
        <f t="shared" si="2440"/>
        <v>KFH-OPERATIONS DEPARTMENT</v>
      </c>
      <c r="F5998" t="str">
        <f t="shared" si="2441"/>
        <v>IBG</v>
      </c>
      <c r="G5998" t="str">
        <f t="shared" si="2450"/>
        <v>Refund COSHARE 10</v>
      </c>
      <c r="H5998" s="2">
        <v>688.4</v>
      </c>
      <c r="I5998" t="str">
        <f>"NORASIKIN BINTI JOHARI"</f>
        <v>NORASIKIN BINTI JOHARI</v>
      </c>
      <c r="J5998" t="str">
        <f t="shared" si="2436"/>
        <v>CIMB BANK / CIMB ISLAMIC BANK</v>
      </c>
      <c r="K5998" t="str">
        <f>"7008965233"</f>
        <v>7008965233</v>
      </c>
      <c r="L5998" t="str">
        <f t="shared" si="2457"/>
        <v>04-08-2020</v>
      </c>
      <c r="M5998" t="str">
        <f t="shared" si="2457"/>
        <v>04-08-2020</v>
      </c>
      <c r="N5998" t="str">
        <f t="shared" si="2442"/>
        <v>001105018356</v>
      </c>
      <c r="O5998" t="str">
        <f t="shared" si="2443"/>
        <v>MYR</v>
      </c>
      <c r="P5998" t="str">
        <f t="shared" si="2458"/>
        <v>NIL</v>
      </c>
      <c r="Q5998" t="str">
        <f t="shared" si="2458"/>
        <v>NIL</v>
      </c>
      <c r="R5998" t="str">
        <f t="shared" si="2455"/>
        <v>Accepted</v>
      </c>
      <c r="S5998" t="str">
        <f t="shared" si="2444"/>
        <v>Approved</v>
      </c>
      <c r="T5998" t="str">
        <f t="shared" si="2456"/>
        <v>10.20.8.188</v>
      </c>
      <c r="U5998" t="str">
        <f t="shared" si="2445"/>
        <v>AZRAD UMAR BIN SHAARI</v>
      </c>
      <c r="V5998" t="str">
        <f t="shared" si="2446"/>
        <v>FARHANA BINTI MUSTAPA</v>
      </c>
      <c r="W5998" t="str">
        <f t="shared" si="2447"/>
        <v>04-08-2020</v>
      </c>
      <c r="X5998" t="str">
        <f t="shared" si="2448"/>
        <v>RAZIMAH ANSAR AHMAD</v>
      </c>
      <c r="Y5998" t="str">
        <f t="shared" si="2449"/>
        <v>04-08-2020</v>
      </c>
      <c r="Z5998" t="str">
        <f>"COS10200804 3156"</f>
        <v>COS10200804 3156</v>
      </c>
    </row>
    <row r="5999" spans="1:26" x14ac:dyDescent="0.25">
      <c r="A5999" t="str">
        <f t="shared" si="2453"/>
        <v>04-08-2020 12:43:51</v>
      </c>
      <c r="B5999" t="str">
        <f>"0000804922"</f>
        <v>0000804922</v>
      </c>
      <c r="C5999" t="str">
        <f t="shared" si="2454"/>
        <v>0000804767</v>
      </c>
      <c r="D5999" t="str">
        <f t="shared" si="2439"/>
        <v>73185</v>
      </c>
      <c r="E5999" t="str">
        <f t="shared" si="2440"/>
        <v>KFH-OPERATIONS DEPARTMENT</v>
      </c>
      <c r="F5999" t="str">
        <f t="shared" si="2441"/>
        <v>IBG</v>
      </c>
      <c r="G5999" t="str">
        <f t="shared" si="2450"/>
        <v>Refund COSHARE 10</v>
      </c>
      <c r="H5999" s="2">
        <v>50.4</v>
      </c>
      <c r="I5999" t="str">
        <f>"NORASHIKIN BINTI SAMURI"</f>
        <v>NORASHIKIN BINTI SAMURI</v>
      </c>
      <c r="J5999" t="str">
        <f t="shared" si="2436"/>
        <v>CIMB BANK / CIMB ISLAMIC BANK</v>
      </c>
      <c r="K5999" t="str">
        <f>"01140028638525"</f>
        <v>01140028638525</v>
      </c>
      <c r="L5999" t="str">
        <f t="shared" si="2457"/>
        <v>04-08-2020</v>
      </c>
      <c r="M5999" t="str">
        <f t="shared" si="2457"/>
        <v>04-08-2020</v>
      </c>
      <c r="N5999" t="str">
        <f t="shared" si="2442"/>
        <v>001105018356</v>
      </c>
      <c r="O5999" t="str">
        <f t="shared" si="2443"/>
        <v>MYR</v>
      </c>
      <c r="P5999" t="str">
        <f t="shared" si="2458"/>
        <v>NIL</v>
      </c>
      <c r="Q5999" t="str">
        <f t="shared" si="2458"/>
        <v>NIL</v>
      </c>
      <c r="R5999" t="str">
        <f t="shared" si="2455"/>
        <v>Accepted</v>
      </c>
      <c r="S5999" t="str">
        <f t="shared" si="2444"/>
        <v>Approved</v>
      </c>
      <c r="T5999" t="str">
        <f t="shared" si="2456"/>
        <v>10.20.8.188</v>
      </c>
      <c r="U5999" t="str">
        <f t="shared" si="2445"/>
        <v>AZRAD UMAR BIN SHAARI</v>
      </c>
      <c r="V5999" t="str">
        <f t="shared" si="2446"/>
        <v>FARHANA BINTI MUSTAPA</v>
      </c>
      <c r="W5999" t="str">
        <f t="shared" si="2447"/>
        <v>04-08-2020</v>
      </c>
      <c r="X5999" t="str">
        <f t="shared" si="2448"/>
        <v>RAZIMAH ANSAR AHMAD</v>
      </c>
      <c r="Y5999" t="str">
        <f t="shared" si="2449"/>
        <v>04-08-2020</v>
      </c>
      <c r="Z5999" t="str">
        <f>"COS10200804 3155"</f>
        <v>COS10200804 3155</v>
      </c>
    </row>
    <row r="6000" spans="1:26" x14ac:dyDescent="0.25">
      <c r="A6000" t="str">
        <f t="shared" si="2453"/>
        <v>04-08-2020 12:43:51</v>
      </c>
      <c r="B6000" t="str">
        <f>"0000804921"</f>
        <v>0000804921</v>
      </c>
      <c r="C6000" t="str">
        <f t="shared" si="2454"/>
        <v>0000804767</v>
      </c>
      <c r="D6000" t="str">
        <f t="shared" si="2439"/>
        <v>73185</v>
      </c>
      <c r="E6000" t="str">
        <f t="shared" si="2440"/>
        <v>KFH-OPERATIONS DEPARTMENT</v>
      </c>
      <c r="F6000" t="str">
        <f t="shared" si="2441"/>
        <v>IBG</v>
      </c>
      <c r="G6000" t="str">
        <f t="shared" si="2450"/>
        <v>Refund COSHARE 10</v>
      </c>
      <c r="H6000" s="2">
        <v>503.7</v>
      </c>
      <c r="I6000" t="str">
        <f>"NORASHIKIN BINTI DALIYANA"</f>
        <v>NORASHIKIN BINTI DALIYANA</v>
      </c>
      <c r="J6000" t="str">
        <f t="shared" si="2436"/>
        <v>CIMB BANK / CIMB ISLAMIC BANK</v>
      </c>
      <c r="K6000" t="str">
        <f>"08060064551528"</f>
        <v>08060064551528</v>
      </c>
      <c r="L6000" t="str">
        <f t="shared" si="2457"/>
        <v>04-08-2020</v>
      </c>
      <c r="M6000" t="str">
        <f t="shared" si="2457"/>
        <v>04-08-2020</v>
      </c>
      <c r="N6000" t="str">
        <f t="shared" si="2442"/>
        <v>001105018356</v>
      </c>
      <c r="O6000" t="str">
        <f t="shared" si="2443"/>
        <v>MYR</v>
      </c>
      <c r="P6000" t="str">
        <f t="shared" si="2458"/>
        <v>NIL</v>
      </c>
      <c r="Q6000" t="str">
        <f t="shared" si="2458"/>
        <v>NIL</v>
      </c>
      <c r="R6000" t="str">
        <f t="shared" si="2455"/>
        <v>Accepted</v>
      </c>
      <c r="S6000" t="str">
        <f t="shared" si="2444"/>
        <v>Approved</v>
      </c>
      <c r="T6000" t="str">
        <f t="shared" si="2456"/>
        <v>10.20.8.188</v>
      </c>
      <c r="U6000" t="str">
        <f t="shared" si="2445"/>
        <v>AZRAD UMAR BIN SHAARI</v>
      </c>
      <c r="V6000" t="str">
        <f t="shared" si="2446"/>
        <v>FARHANA BINTI MUSTAPA</v>
      </c>
      <c r="W6000" t="str">
        <f t="shared" si="2447"/>
        <v>04-08-2020</v>
      </c>
      <c r="X6000" t="str">
        <f t="shared" si="2448"/>
        <v>RAZIMAH ANSAR AHMAD</v>
      </c>
      <c r="Y6000" t="str">
        <f t="shared" si="2449"/>
        <v>04-08-2020</v>
      </c>
      <c r="Z6000" t="str">
        <f>"COS10200804 3154"</f>
        <v>COS10200804 3154</v>
      </c>
    </row>
    <row r="6001" spans="1:26" x14ac:dyDescent="0.25">
      <c r="A6001" t="str">
        <f t="shared" si="2453"/>
        <v>04-08-2020 12:43:51</v>
      </c>
      <c r="B6001" t="str">
        <f>"0000804920"</f>
        <v>0000804920</v>
      </c>
      <c r="C6001" t="str">
        <f t="shared" si="2454"/>
        <v>0000804767</v>
      </c>
      <c r="D6001" t="str">
        <f t="shared" si="2439"/>
        <v>73185</v>
      </c>
      <c r="E6001" t="str">
        <f t="shared" si="2440"/>
        <v>KFH-OPERATIONS DEPARTMENT</v>
      </c>
      <c r="F6001" t="str">
        <f t="shared" si="2441"/>
        <v>IBG</v>
      </c>
      <c r="G6001" t="str">
        <f t="shared" si="2450"/>
        <v>Refund COSHARE 10</v>
      </c>
      <c r="H6001" s="2">
        <v>167.9</v>
      </c>
      <c r="I6001" t="str">
        <f>"NORASHIDAH BINTI A RASHID"</f>
        <v>NORASHIDAH BINTI A RASHID</v>
      </c>
      <c r="J6001" t="str">
        <f t="shared" si="2436"/>
        <v>CIMB BANK / CIMB ISLAMIC BANK</v>
      </c>
      <c r="K6001" t="str">
        <f>"7048657580"</f>
        <v>7048657580</v>
      </c>
      <c r="L6001" t="str">
        <f t="shared" si="2457"/>
        <v>04-08-2020</v>
      </c>
      <c r="M6001" t="str">
        <f t="shared" si="2457"/>
        <v>04-08-2020</v>
      </c>
      <c r="N6001" t="str">
        <f t="shared" si="2442"/>
        <v>001105018356</v>
      </c>
      <c r="O6001" t="str">
        <f t="shared" si="2443"/>
        <v>MYR</v>
      </c>
      <c r="P6001" t="str">
        <f t="shared" si="2458"/>
        <v>NIL</v>
      </c>
      <c r="Q6001" t="str">
        <f t="shared" si="2458"/>
        <v>NIL</v>
      </c>
      <c r="R6001" t="str">
        <f t="shared" si="2455"/>
        <v>Accepted</v>
      </c>
      <c r="S6001" t="str">
        <f t="shared" si="2444"/>
        <v>Approved</v>
      </c>
      <c r="T6001" t="str">
        <f t="shared" si="2456"/>
        <v>10.20.8.188</v>
      </c>
      <c r="U6001" t="str">
        <f t="shared" si="2445"/>
        <v>AZRAD UMAR BIN SHAARI</v>
      </c>
      <c r="V6001" t="str">
        <f t="shared" si="2446"/>
        <v>FARHANA BINTI MUSTAPA</v>
      </c>
      <c r="W6001" t="str">
        <f t="shared" si="2447"/>
        <v>04-08-2020</v>
      </c>
      <c r="X6001" t="str">
        <f t="shared" si="2448"/>
        <v>RAZIMAH ANSAR AHMAD</v>
      </c>
      <c r="Y6001" t="str">
        <f t="shared" si="2449"/>
        <v>04-08-2020</v>
      </c>
      <c r="Z6001" t="str">
        <f>"COS10200804 3153"</f>
        <v>COS10200804 3153</v>
      </c>
    </row>
    <row r="6002" spans="1:26" x14ac:dyDescent="0.25">
      <c r="A6002" t="str">
        <f t="shared" si="2453"/>
        <v>04-08-2020 12:43:51</v>
      </c>
      <c r="B6002" t="str">
        <f>"0000804919"</f>
        <v>0000804919</v>
      </c>
      <c r="C6002" t="str">
        <f t="shared" si="2454"/>
        <v>0000804767</v>
      </c>
      <c r="D6002" t="str">
        <f t="shared" si="2439"/>
        <v>73185</v>
      </c>
      <c r="E6002" t="str">
        <f t="shared" si="2440"/>
        <v>KFH-OPERATIONS DEPARTMENT</v>
      </c>
      <c r="F6002" t="str">
        <f t="shared" si="2441"/>
        <v>IBG</v>
      </c>
      <c r="G6002" t="str">
        <f t="shared" si="2450"/>
        <v>Refund COSHARE 10</v>
      </c>
      <c r="H6002" s="2">
        <v>268.64999999999998</v>
      </c>
      <c r="I6002" t="str">
        <f>"NORAINI BINTI MAT HASSAN"</f>
        <v>NORAINI BINTI MAT HASSAN</v>
      </c>
      <c r="J6002" t="str">
        <f t="shared" si="2436"/>
        <v>CIMB BANK / CIMB ISLAMIC BANK</v>
      </c>
      <c r="K6002" t="str">
        <f>"12420005808523"</f>
        <v>12420005808523</v>
      </c>
      <c r="L6002" t="str">
        <f t="shared" si="2457"/>
        <v>04-08-2020</v>
      </c>
      <c r="M6002" t="str">
        <f t="shared" si="2457"/>
        <v>04-08-2020</v>
      </c>
      <c r="N6002" t="str">
        <f t="shared" si="2442"/>
        <v>001105018356</v>
      </c>
      <c r="O6002" t="str">
        <f t="shared" si="2443"/>
        <v>MYR</v>
      </c>
      <c r="P6002" t="str">
        <f t="shared" si="2458"/>
        <v>NIL</v>
      </c>
      <c r="Q6002" t="str">
        <f t="shared" si="2458"/>
        <v>NIL</v>
      </c>
      <c r="R6002" t="str">
        <f t="shared" si="2455"/>
        <v>Accepted</v>
      </c>
      <c r="S6002" t="str">
        <f t="shared" si="2444"/>
        <v>Approved</v>
      </c>
      <c r="T6002" t="str">
        <f t="shared" si="2456"/>
        <v>10.20.8.188</v>
      </c>
      <c r="U6002" t="str">
        <f t="shared" si="2445"/>
        <v>AZRAD UMAR BIN SHAARI</v>
      </c>
      <c r="V6002" t="str">
        <f t="shared" si="2446"/>
        <v>FARHANA BINTI MUSTAPA</v>
      </c>
      <c r="W6002" t="str">
        <f t="shared" si="2447"/>
        <v>04-08-2020</v>
      </c>
      <c r="X6002" t="str">
        <f t="shared" si="2448"/>
        <v>RAZIMAH ANSAR AHMAD</v>
      </c>
      <c r="Y6002" t="str">
        <f t="shared" si="2449"/>
        <v>04-08-2020</v>
      </c>
      <c r="Z6002" t="str">
        <f>"COS10200804 3152"</f>
        <v>COS10200804 3152</v>
      </c>
    </row>
    <row r="6003" spans="1:26" x14ac:dyDescent="0.25">
      <c r="A6003" t="str">
        <f t="shared" si="2453"/>
        <v>04-08-2020 12:43:51</v>
      </c>
      <c r="B6003" t="str">
        <f>"0000804918"</f>
        <v>0000804918</v>
      </c>
      <c r="C6003" t="str">
        <f t="shared" si="2454"/>
        <v>0000804767</v>
      </c>
      <c r="D6003" t="str">
        <f t="shared" si="2439"/>
        <v>73185</v>
      </c>
      <c r="E6003" t="str">
        <f t="shared" si="2440"/>
        <v>KFH-OPERATIONS DEPARTMENT</v>
      </c>
      <c r="F6003" t="str">
        <f t="shared" si="2441"/>
        <v>IBG</v>
      </c>
      <c r="G6003" t="str">
        <f t="shared" si="2450"/>
        <v>Refund COSHARE 10</v>
      </c>
      <c r="H6003" s="2">
        <v>568</v>
      </c>
      <c r="I6003" t="str">
        <f>"NORAINI BINTI ABDUL RAHMAN"</f>
        <v>NORAINI BINTI ABDUL RAHMAN</v>
      </c>
      <c r="J6003" t="str">
        <f t="shared" si="2436"/>
        <v>CIMB BANK / CIMB ISLAMIC BANK</v>
      </c>
      <c r="K6003" t="str">
        <f>"01180025286524"</f>
        <v>01180025286524</v>
      </c>
      <c r="L6003" t="str">
        <f t="shared" si="2457"/>
        <v>04-08-2020</v>
      </c>
      <c r="M6003" t="str">
        <f t="shared" si="2457"/>
        <v>04-08-2020</v>
      </c>
      <c r="N6003" t="str">
        <f t="shared" si="2442"/>
        <v>001105018356</v>
      </c>
      <c r="O6003" t="str">
        <f t="shared" si="2443"/>
        <v>MYR</v>
      </c>
      <c r="P6003" t="str">
        <f t="shared" si="2458"/>
        <v>NIL</v>
      </c>
      <c r="Q6003" t="str">
        <f t="shared" si="2458"/>
        <v>NIL</v>
      </c>
      <c r="R6003" t="str">
        <f t="shared" si="2455"/>
        <v>Accepted</v>
      </c>
      <c r="S6003" t="str">
        <f t="shared" si="2444"/>
        <v>Approved</v>
      </c>
      <c r="T6003" t="str">
        <f t="shared" si="2456"/>
        <v>10.20.8.188</v>
      </c>
      <c r="U6003" t="str">
        <f t="shared" si="2445"/>
        <v>AZRAD UMAR BIN SHAARI</v>
      </c>
      <c r="V6003" t="str">
        <f t="shared" si="2446"/>
        <v>FARHANA BINTI MUSTAPA</v>
      </c>
      <c r="W6003" t="str">
        <f t="shared" si="2447"/>
        <v>04-08-2020</v>
      </c>
      <c r="X6003" t="str">
        <f t="shared" si="2448"/>
        <v>RAZIMAH ANSAR AHMAD</v>
      </c>
      <c r="Y6003" t="str">
        <f t="shared" si="2449"/>
        <v>04-08-2020</v>
      </c>
      <c r="Z6003" t="str">
        <f>"COS10200804 3151"</f>
        <v>COS10200804 3151</v>
      </c>
    </row>
    <row r="6004" spans="1:26" x14ac:dyDescent="0.25">
      <c r="A6004" t="str">
        <f t="shared" si="2453"/>
        <v>04-08-2020 12:43:51</v>
      </c>
      <c r="B6004" t="str">
        <f>"0000804917"</f>
        <v>0000804917</v>
      </c>
      <c r="C6004" t="str">
        <f t="shared" si="2454"/>
        <v>0000804767</v>
      </c>
      <c r="D6004" t="str">
        <f t="shared" si="2439"/>
        <v>73185</v>
      </c>
      <c r="E6004" t="str">
        <f t="shared" si="2440"/>
        <v>KFH-OPERATIONS DEPARTMENT</v>
      </c>
      <c r="F6004" t="str">
        <f t="shared" si="2441"/>
        <v>IBG</v>
      </c>
      <c r="G6004" t="str">
        <f t="shared" si="2450"/>
        <v>Refund COSHARE 10</v>
      </c>
      <c r="H6004" s="2">
        <v>469</v>
      </c>
      <c r="I6004" t="str">
        <f>"NORAIDAH BINTI JUMIN"</f>
        <v>NORAIDAH BINTI JUMIN</v>
      </c>
      <c r="J6004" t="str">
        <f t="shared" si="2436"/>
        <v>CIMB BANK / CIMB ISLAMIC BANK</v>
      </c>
      <c r="K6004" t="str">
        <f>"10050067988525"</f>
        <v>10050067988525</v>
      </c>
      <c r="L6004" t="str">
        <f t="shared" si="2457"/>
        <v>04-08-2020</v>
      </c>
      <c r="M6004" t="str">
        <f t="shared" si="2457"/>
        <v>04-08-2020</v>
      </c>
      <c r="N6004" t="str">
        <f t="shared" si="2442"/>
        <v>001105018356</v>
      </c>
      <c r="O6004" t="str">
        <f t="shared" si="2443"/>
        <v>MYR</v>
      </c>
      <c r="P6004" t="str">
        <f t="shared" si="2458"/>
        <v>NIL</v>
      </c>
      <c r="Q6004" t="str">
        <f t="shared" si="2458"/>
        <v>NIL</v>
      </c>
      <c r="R6004" t="str">
        <f t="shared" si="2455"/>
        <v>Accepted</v>
      </c>
      <c r="S6004" t="str">
        <f t="shared" si="2444"/>
        <v>Approved</v>
      </c>
      <c r="T6004" t="str">
        <f t="shared" si="2456"/>
        <v>10.20.8.188</v>
      </c>
      <c r="U6004" t="str">
        <f t="shared" si="2445"/>
        <v>AZRAD UMAR BIN SHAARI</v>
      </c>
      <c r="V6004" t="str">
        <f t="shared" si="2446"/>
        <v>FARHANA BINTI MUSTAPA</v>
      </c>
      <c r="W6004" t="str">
        <f t="shared" si="2447"/>
        <v>04-08-2020</v>
      </c>
      <c r="X6004" t="str">
        <f t="shared" si="2448"/>
        <v>RAZIMAH ANSAR AHMAD</v>
      </c>
      <c r="Y6004" t="str">
        <f t="shared" si="2449"/>
        <v>04-08-2020</v>
      </c>
      <c r="Z6004" t="str">
        <f>"COS10200804 3150"</f>
        <v>COS10200804 3150</v>
      </c>
    </row>
    <row r="6005" spans="1:26" x14ac:dyDescent="0.25">
      <c r="A6005" t="str">
        <f t="shared" si="2453"/>
        <v>04-08-2020 12:43:51</v>
      </c>
      <c r="B6005" t="str">
        <f>"0000804916"</f>
        <v>0000804916</v>
      </c>
      <c r="C6005" t="str">
        <f t="shared" si="2454"/>
        <v>0000804767</v>
      </c>
      <c r="D6005" t="str">
        <f t="shared" si="2439"/>
        <v>73185</v>
      </c>
      <c r="E6005" t="str">
        <f t="shared" si="2440"/>
        <v>KFH-OPERATIONS DEPARTMENT</v>
      </c>
      <c r="F6005" t="str">
        <f t="shared" si="2441"/>
        <v>IBG</v>
      </c>
      <c r="G6005" t="str">
        <f t="shared" si="2450"/>
        <v>Refund COSHARE 10</v>
      </c>
      <c r="H6005" s="2">
        <v>176</v>
      </c>
      <c r="I6005" t="str">
        <f>"NORAFIDAH BINTI LAJIS"</f>
        <v>NORAFIDAH BINTI LAJIS</v>
      </c>
      <c r="J6005" t="str">
        <f t="shared" si="2436"/>
        <v>CIMB BANK / CIMB ISLAMIC BANK</v>
      </c>
      <c r="K6005" t="str">
        <f>"01120067282527"</f>
        <v>01120067282527</v>
      </c>
      <c r="L6005" t="str">
        <f t="shared" si="2457"/>
        <v>04-08-2020</v>
      </c>
      <c r="M6005" t="str">
        <f t="shared" si="2457"/>
        <v>04-08-2020</v>
      </c>
      <c r="N6005" t="str">
        <f t="shared" si="2442"/>
        <v>001105018356</v>
      </c>
      <c r="O6005" t="str">
        <f t="shared" si="2443"/>
        <v>MYR</v>
      </c>
      <c r="P6005" t="str">
        <f t="shared" si="2458"/>
        <v>NIL</v>
      </c>
      <c r="Q6005" t="str">
        <f t="shared" si="2458"/>
        <v>NIL</v>
      </c>
      <c r="R6005" t="str">
        <f t="shared" si="2455"/>
        <v>Accepted</v>
      </c>
      <c r="S6005" t="str">
        <f t="shared" si="2444"/>
        <v>Approved</v>
      </c>
      <c r="T6005" t="str">
        <f t="shared" si="2456"/>
        <v>10.20.8.188</v>
      </c>
      <c r="U6005" t="str">
        <f t="shared" si="2445"/>
        <v>AZRAD UMAR BIN SHAARI</v>
      </c>
      <c r="V6005" t="str">
        <f t="shared" si="2446"/>
        <v>FARHANA BINTI MUSTAPA</v>
      </c>
      <c r="W6005" t="str">
        <f t="shared" si="2447"/>
        <v>04-08-2020</v>
      </c>
      <c r="X6005" t="str">
        <f t="shared" si="2448"/>
        <v>RAZIMAH ANSAR AHMAD</v>
      </c>
      <c r="Y6005" t="str">
        <f t="shared" si="2449"/>
        <v>04-08-2020</v>
      </c>
      <c r="Z6005" t="str">
        <f>"COS10200804 3149"</f>
        <v>COS10200804 3149</v>
      </c>
    </row>
    <row r="6006" spans="1:26" x14ac:dyDescent="0.25">
      <c r="A6006" t="str">
        <f t="shared" si="2453"/>
        <v>04-08-2020 12:43:51</v>
      </c>
      <c r="B6006" t="str">
        <f>"0000804915"</f>
        <v>0000804915</v>
      </c>
      <c r="C6006" t="str">
        <f t="shared" si="2454"/>
        <v>0000804767</v>
      </c>
      <c r="D6006" t="str">
        <f t="shared" si="2439"/>
        <v>73185</v>
      </c>
      <c r="E6006" t="str">
        <f t="shared" si="2440"/>
        <v>KFH-OPERATIONS DEPARTMENT</v>
      </c>
      <c r="F6006" t="str">
        <f t="shared" si="2441"/>
        <v>IBG</v>
      </c>
      <c r="G6006" t="str">
        <f t="shared" si="2450"/>
        <v>Refund COSHARE 10</v>
      </c>
      <c r="H6006" s="2">
        <v>50.4</v>
      </c>
      <c r="I6006" t="str">
        <f>"NOR ZARINA BINTI ZAKARIA"</f>
        <v>NOR ZARINA BINTI ZAKARIA</v>
      </c>
      <c r="J6006" t="str">
        <f t="shared" si="2436"/>
        <v>CIMB BANK / CIMB ISLAMIC BANK</v>
      </c>
      <c r="K6006" t="str">
        <f>"12160046813523"</f>
        <v>12160046813523</v>
      </c>
      <c r="L6006" t="str">
        <f t="shared" si="2457"/>
        <v>04-08-2020</v>
      </c>
      <c r="M6006" t="str">
        <f t="shared" si="2457"/>
        <v>04-08-2020</v>
      </c>
      <c r="N6006" t="str">
        <f t="shared" si="2442"/>
        <v>001105018356</v>
      </c>
      <c r="O6006" t="str">
        <f t="shared" si="2443"/>
        <v>MYR</v>
      </c>
      <c r="P6006" t="str">
        <f t="shared" si="2458"/>
        <v>NIL</v>
      </c>
      <c r="Q6006" t="str">
        <f t="shared" si="2458"/>
        <v>NIL</v>
      </c>
      <c r="R6006" t="str">
        <f t="shared" si="2455"/>
        <v>Accepted</v>
      </c>
      <c r="S6006" t="str">
        <f t="shared" si="2444"/>
        <v>Approved</v>
      </c>
      <c r="T6006" t="str">
        <f t="shared" si="2456"/>
        <v>10.20.8.188</v>
      </c>
      <c r="U6006" t="str">
        <f t="shared" si="2445"/>
        <v>AZRAD UMAR BIN SHAARI</v>
      </c>
      <c r="V6006" t="str">
        <f t="shared" si="2446"/>
        <v>FARHANA BINTI MUSTAPA</v>
      </c>
      <c r="W6006" t="str">
        <f t="shared" si="2447"/>
        <v>04-08-2020</v>
      </c>
      <c r="X6006" t="str">
        <f t="shared" si="2448"/>
        <v>RAZIMAH ANSAR AHMAD</v>
      </c>
      <c r="Y6006" t="str">
        <f t="shared" si="2449"/>
        <v>04-08-2020</v>
      </c>
      <c r="Z6006" t="str">
        <f>"COS10200804 3148"</f>
        <v>COS10200804 3148</v>
      </c>
    </row>
    <row r="6007" spans="1:26" x14ac:dyDescent="0.25">
      <c r="A6007" t="str">
        <f t="shared" si="2453"/>
        <v>04-08-2020 12:43:51</v>
      </c>
      <c r="B6007" t="str">
        <f>"0000804914"</f>
        <v>0000804914</v>
      </c>
      <c r="C6007" t="str">
        <f t="shared" si="2454"/>
        <v>0000804767</v>
      </c>
      <c r="D6007" t="str">
        <f t="shared" si="2439"/>
        <v>73185</v>
      </c>
      <c r="E6007" t="str">
        <f t="shared" si="2440"/>
        <v>KFH-OPERATIONS DEPARTMENT</v>
      </c>
      <c r="F6007" t="str">
        <f t="shared" si="2441"/>
        <v>IBG</v>
      </c>
      <c r="G6007" t="str">
        <f t="shared" si="2450"/>
        <v>Refund COSHARE 10</v>
      </c>
      <c r="H6007" s="2">
        <v>1070</v>
      </c>
      <c r="I6007" t="str">
        <f>"NOR ZALIZA BINTI ZAINUDDIN"</f>
        <v>NOR ZALIZA BINTI ZAINUDDIN</v>
      </c>
      <c r="J6007" t="str">
        <f t="shared" si="2436"/>
        <v>CIMB BANK / CIMB ISLAMIC BANK</v>
      </c>
      <c r="K6007" t="str">
        <f>"14230020093525"</f>
        <v>14230020093525</v>
      </c>
      <c r="L6007" t="str">
        <f t="shared" ref="L6007:M6026" si="2459">"04-08-2020"</f>
        <v>04-08-2020</v>
      </c>
      <c r="M6007" t="str">
        <f t="shared" si="2459"/>
        <v>04-08-2020</v>
      </c>
      <c r="N6007" t="str">
        <f t="shared" si="2442"/>
        <v>001105018356</v>
      </c>
      <c r="O6007" t="str">
        <f t="shared" si="2443"/>
        <v>MYR</v>
      </c>
      <c r="P6007" t="str">
        <f t="shared" ref="P6007:Q6026" si="2460">"NIL"</f>
        <v>NIL</v>
      </c>
      <c r="Q6007" t="str">
        <f t="shared" si="2460"/>
        <v>NIL</v>
      </c>
      <c r="R6007" t="str">
        <f t="shared" si="2455"/>
        <v>Accepted</v>
      </c>
      <c r="S6007" t="str">
        <f t="shared" si="2444"/>
        <v>Approved</v>
      </c>
      <c r="T6007" t="str">
        <f t="shared" si="2456"/>
        <v>10.20.8.188</v>
      </c>
      <c r="U6007" t="str">
        <f t="shared" si="2445"/>
        <v>AZRAD UMAR BIN SHAARI</v>
      </c>
      <c r="V6007" t="str">
        <f t="shared" si="2446"/>
        <v>FARHANA BINTI MUSTAPA</v>
      </c>
      <c r="W6007" t="str">
        <f t="shared" si="2447"/>
        <v>04-08-2020</v>
      </c>
      <c r="X6007" t="str">
        <f t="shared" si="2448"/>
        <v>RAZIMAH ANSAR AHMAD</v>
      </c>
      <c r="Y6007" t="str">
        <f t="shared" si="2449"/>
        <v>04-08-2020</v>
      </c>
      <c r="Z6007" t="str">
        <f>"COS10200804 3147"</f>
        <v>COS10200804 3147</v>
      </c>
    </row>
    <row r="6008" spans="1:26" x14ac:dyDescent="0.25">
      <c r="A6008" t="str">
        <f t="shared" si="2453"/>
        <v>04-08-2020 12:43:51</v>
      </c>
      <c r="B6008" t="str">
        <f>"0000804913"</f>
        <v>0000804913</v>
      </c>
      <c r="C6008" t="str">
        <f t="shared" si="2454"/>
        <v>0000804767</v>
      </c>
      <c r="D6008" t="str">
        <f t="shared" si="2439"/>
        <v>73185</v>
      </c>
      <c r="E6008" t="str">
        <f t="shared" si="2440"/>
        <v>KFH-OPERATIONS DEPARTMENT</v>
      </c>
      <c r="F6008" t="str">
        <f t="shared" si="2441"/>
        <v>IBG</v>
      </c>
      <c r="G6008" t="str">
        <f t="shared" si="2450"/>
        <v>Refund COSHARE 10</v>
      </c>
      <c r="H6008" s="2">
        <v>419.75</v>
      </c>
      <c r="I6008" t="str">
        <f>"NOR ZAIHANA BINTI MOHAMAD ZAIN"</f>
        <v>NOR ZAIHANA BINTI MOHAMAD ZAIN</v>
      </c>
      <c r="J6008" t="str">
        <f t="shared" si="2436"/>
        <v>CIMB BANK / CIMB ISLAMIC BANK</v>
      </c>
      <c r="K6008" t="str">
        <f>"7046150007"</f>
        <v>7046150007</v>
      </c>
      <c r="L6008" t="str">
        <f t="shared" si="2459"/>
        <v>04-08-2020</v>
      </c>
      <c r="M6008" t="str">
        <f t="shared" si="2459"/>
        <v>04-08-2020</v>
      </c>
      <c r="N6008" t="str">
        <f t="shared" si="2442"/>
        <v>001105018356</v>
      </c>
      <c r="O6008" t="str">
        <f t="shared" si="2443"/>
        <v>MYR</v>
      </c>
      <c r="P6008" t="str">
        <f t="shared" si="2460"/>
        <v>NIL</v>
      </c>
      <c r="Q6008" t="str">
        <f t="shared" si="2460"/>
        <v>NIL</v>
      </c>
      <c r="R6008" t="str">
        <f t="shared" si="2455"/>
        <v>Accepted</v>
      </c>
      <c r="S6008" t="str">
        <f t="shared" si="2444"/>
        <v>Approved</v>
      </c>
      <c r="T6008" t="str">
        <f t="shared" si="2456"/>
        <v>10.20.8.188</v>
      </c>
      <c r="U6008" t="str">
        <f t="shared" si="2445"/>
        <v>AZRAD UMAR BIN SHAARI</v>
      </c>
      <c r="V6008" t="str">
        <f t="shared" si="2446"/>
        <v>FARHANA BINTI MUSTAPA</v>
      </c>
      <c r="W6008" t="str">
        <f t="shared" si="2447"/>
        <v>04-08-2020</v>
      </c>
      <c r="X6008" t="str">
        <f t="shared" si="2448"/>
        <v>RAZIMAH ANSAR AHMAD</v>
      </c>
      <c r="Y6008" t="str">
        <f t="shared" si="2449"/>
        <v>04-08-2020</v>
      </c>
      <c r="Z6008" t="str">
        <f>"COS10200804 3146"</f>
        <v>COS10200804 3146</v>
      </c>
    </row>
    <row r="6009" spans="1:26" x14ac:dyDescent="0.25">
      <c r="A6009" t="str">
        <f t="shared" si="2453"/>
        <v>04-08-2020 12:43:51</v>
      </c>
      <c r="B6009" t="str">
        <f>"0000804912"</f>
        <v>0000804912</v>
      </c>
      <c r="C6009" t="str">
        <f t="shared" si="2454"/>
        <v>0000804767</v>
      </c>
      <c r="D6009" t="str">
        <f t="shared" si="2439"/>
        <v>73185</v>
      </c>
      <c r="E6009" t="str">
        <f t="shared" si="2440"/>
        <v>KFH-OPERATIONS DEPARTMENT</v>
      </c>
      <c r="F6009" t="str">
        <f t="shared" si="2441"/>
        <v>IBG</v>
      </c>
      <c r="G6009" t="str">
        <f t="shared" si="2450"/>
        <v>Refund COSHARE 10</v>
      </c>
      <c r="H6009" s="2">
        <v>529</v>
      </c>
      <c r="I6009" t="str">
        <f>"NOR SYARIZAL BIN ABDULLAH"</f>
        <v>NOR SYARIZAL BIN ABDULLAH</v>
      </c>
      <c r="J6009" t="str">
        <f t="shared" si="2436"/>
        <v>CIMB BANK / CIMB ISLAMIC BANK</v>
      </c>
      <c r="K6009" t="str">
        <f>"12190060461525"</f>
        <v>12190060461525</v>
      </c>
      <c r="L6009" t="str">
        <f t="shared" si="2459"/>
        <v>04-08-2020</v>
      </c>
      <c r="M6009" t="str">
        <f t="shared" si="2459"/>
        <v>04-08-2020</v>
      </c>
      <c r="N6009" t="str">
        <f t="shared" si="2442"/>
        <v>001105018356</v>
      </c>
      <c r="O6009" t="str">
        <f t="shared" si="2443"/>
        <v>MYR</v>
      </c>
      <c r="P6009" t="str">
        <f t="shared" si="2460"/>
        <v>NIL</v>
      </c>
      <c r="Q6009" t="str">
        <f t="shared" si="2460"/>
        <v>NIL</v>
      </c>
      <c r="R6009" t="str">
        <f t="shared" si="2455"/>
        <v>Accepted</v>
      </c>
      <c r="S6009" t="str">
        <f t="shared" si="2444"/>
        <v>Approved</v>
      </c>
      <c r="T6009" t="str">
        <f t="shared" si="2456"/>
        <v>10.20.8.188</v>
      </c>
      <c r="U6009" t="str">
        <f t="shared" si="2445"/>
        <v>AZRAD UMAR BIN SHAARI</v>
      </c>
      <c r="V6009" t="str">
        <f t="shared" si="2446"/>
        <v>FARHANA BINTI MUSTAPA</v>
      </c>
      <c r="W6009" t="str">
        <f t="shared" si="2447"/>
        <v>04-08-2020</v>
      </c>
      <c r="X6009" t="str">
        <f t="shared" si="2448"/>
        <v>RAZIMAH ANSAR AHMAD</v>
      </c>
      <c r="Y6009" t="str">
        <f t="shared" si="2449"/>
        <v>04-08-2020</v>
      </c>
      <c r="Z6009" t="str">
        <f>"COS10200804 3145"</f>
        <v>COS10200804 3145</v>
      </c>
    </row>
    <row r="6010" spans="1:26" x14ac:dyDescent="0.25">
      <c r="A6010" t="str">
        <f t="shared" si="2453"/>
        <v>04-08-2020 12:43:51</v>
      </c>
      <c r="B6010" t="str">
        <f>"0000804911"</f>
        <v>0000804911</v>
      </c>
      <c r="C6010" t="str">
        <f t="shared" si="2454"/>
        <v>0000804767</v>
      </c>
      <c r="D6010" t="str">
        <f t="shared" si="2439"/>
        <v>73185</v>
      </c>
      <c r="E6010" t="str">
        <f t="shared" si="2440"/>
        <v>KFH-OPERATIONS DEPARTMENT</v>
      </c>
      <c r="F6010" t="str">
        <f t="shared" si="2441"/>
        <v>IBG</v>
      </c>
      <c r="G6010" t="str">
        <f t="shared" si="2450"/>
        <v>Refund COSHARE 10</v>
      </c>
      <c r="H6010" s="2">
        <v>380</v>
      </c>
      <c r="I6010" t="str">
        <f>"NOR SURAIYA BINTI HASHIM"</f>
        <v>NOR SURAIYA BINTI HASHIM</v>
      </c>
      <c r="J6010" t="str">
        <f t="shared" si="2436"/>
        <v>CIMB BANK / CIMB ISLAMIC BANK</v>
      </c>
      <c r="K6010" t="str">
        <f>"08120004129204"</f>
        <v>08120004129204</v>
      </c>
      <c r="L6010" t="str">
        <f t="shared" si="2459"/>
        <v>04-08-2020</v>
      </c>
      <c r="M6010" t="str">
        <f t="shared" si="2459"/>
        <v>04-08-2020</v>
      </c>
      <c r="N6010" t="str">
        <f t="shared" si="2442"/>
        <v>001105018356</v>
      </c>
      <c r="O6010" t="str">
        <f t="shared" si="2443"/>
        <v>MYR</v>
      </c>
      <c r="P6010" t="str">
        <f t="shared" si="2460"/>
        <v>NIL</v>
      </c>
      <c r="Q6010" t="str">
        <f t="shared" si="2460"/>
        <v>NIL</v>
      </c>
      <c r="R6010" t="str">
        <f t="shared" si="2455"/>
        <v>Accepted</v>
      </c>
      <c r="S6010" t="str">
        <f t="shared" si="2444"/>
        <v>Approved</v>
      </c>
      <c r="T6010" t="str">
        <f t="shared" si="2456"/>
        <v>10.20.8.188</v>
      </c>
      <c r="U6010" t="str">
        <f t="shared" si="2445"/>
        <v>AZRAD UMAR BIN SHAARI</v>
      </c>
      <c r="V6010" t="str">
        <f t="shared" si="2446"/>
        <v>FARHANA BINTI MUSTAPA</v>
      </c>
      <c r="W6010" t="str">
        <f t="shared" si="2447"/>
        <v>04-08-2020</v>
      </c>
      <c r="X6010" t="str">
        <f t="shared" si="2448"/>
        <v>RAZIMAH ANSAR AHMAD</v>
      </c>
      <c r="Y6010" t="str">
        <f t="shared" si="2449"/>
        <v>04-08-2020</v>
      </c>
      <c r="Z6010" t="str">
        <f>"COS10200804 3144"</f>
        <v>COS10200804 3144</v>
      </c>
    </row>
    <row r="6011" spans="1:26" x14ac:dyDescent="0.25">
      <c r="A6011" t="str">
        <f t="shared" si="2453"/>
        <v>04-08-2020 12:43:51</v>
      </c>
      <c r="B6011" t="str">
        <f>"0000804910"</f>
        <v>0000804910</v>
      </c>
      <c r="C6011" t="str">
        <f t="shared" si="2454"/>
        <v>0000804767</v>
      </c>
      <c r="D6011" t="str">
        <f t="shared" si="2439"/>
        <v>73185</v>
      </c>
      <c r="E6011" t="str">
        <f t="shared" si="2440"/>
        <v>KFH-OPERATIONS DEPARTMENT</v>
      </c>
      <c r="F6011" t="str">
        <f t="shared" si="2441"/>
        <v>IBG</v>
      </c>
      <c r="G6011" t="str">
        <f t="shared" si="2450"/>
        <v>Refund COSHARE 10</v>
      </c>
      <c r="H6011" s="2">
        <v>1561.5</v>
      </c>
      <c r="I6011" t="str">
        <f>"NOR SALWA BINTI AZHAR"</f>
        <v>NOR SALWA BINTI AZHAR</v>
      </c>
      <c r="J6011" t="str">
        <f t="shared" si="2436"/>
        <v>CIMB BANK / CIMB ISLAMIC BANK</v>
      </c>
      <c r="K6011" t="str">
        <f>"02100000178205"</f>
        <v>02100000178205</v>
      </c>
      <c r="L6011" t="str">
        <f t="shared" si="2459"/>
        <v>04-08-2020</v>
      </c>
      <c r="M6011" t="str">
        <f t="shared" si="2459"/>
        <v>04-08-2020</v>
      </c>
      <c r="N6011" t="str">
        <f t="shared" si="2442"/>
        <v>001105018356</v>
      </c>
      <c r="O6011" t="str">
        <f t="shared" si="2443"/>
        <v>MYR</v>
      </c>
      <c r="P6011" t="str">
        <f t="shared" si="2460"/>
        <v>NIL</v>
      </c>
      <c r="Q6011" t="str">
        <f t="shared" si="2460"/>
        <v>NIL</v>
      </c>
      <c r="R6011" t="str">
        <f t="shared" si="2455"/>
        <v>Accepted</v>
      </c>
      <c r="S6011" t="str">
        <f t="shared" si="2444"/>
        <v>Approved</v>
      </c>
      <c r="T6011" t="str">
        <f t="shared" si="2456"/>
        <v>10.20.8.188</v>
      </c>
      <c r="U6011" t="str">
        <f t="shared" si="2445"/>
        <v>AZRAD UMAR BIN SHAARI</v>
      </c>
      <c r="V6011" t="str">
        <f t="shared" si="2446"/>
        <v>FARHANA BINTI MUSTAPA</v>
      </c>
      <c r="W6011" t="str">
        <f t="shared" si="2447"/>
        <v>04-08-2020</v>
      </c>
      <c r="X6011" t="str">
        <f t="shared" si="2448"/>
        <v>RAZIMAH ANSAR AHMAD</v>
      </c>
      <c r="Y6011" t="str">
        <f t="shared" si="2449"/>
        <v>04-08-2020</v>
      </c>
      <c r="Z6011" t="str">
        <f>"COS10200804 3143"</f>
        <v>COS10200804 3143</v>
      </c>
    </row>
    <row r="6012" spans="1:26" x14ac:dyDescent="0.25">
      <c r="A6012" t="str">
        <f t="shared" si="2453"/>
        <v>04-08-2020 12:43:51</v>
      </c>
      <c r="B6012" t="str">
        <f>"0000804909"</f>
        <v>0000804909</v>
      </c>
      <c r="C6012" t="str">
        <f t="shared" si="2454"/>
        <v>0000804767</v>
      </c>
      <c r="D6012" t="str">
        <f t="shared" si="2439"/>
        <v>73185</v>
      </c>
      <c r="E6012" t="str">
        <f t="shared" si="2440"/>
        <v>KFH-OPERATIONS DEPARTMENT</v>
      </c>
      <c r="F6012" t="str">
        <f t="shared" si="2441"/>
        <v>IBG</v>
      </c>
      <c r="G6012" t="str">
        <f t="shared" si="2450"/>
        <v>Refund COSHARE 10</v>
      </c>
      <c r="H6012" s="2">
        <v>873</v>
      </c>
      <c r="I6012" t="str">
        <f>"NOR SALINA BINTI JAAFAR"</f>
        <v>NOR SALINA BINTI JAAFAR</v>
      </c>
      <c r="J6012" t="str">
        <f t="shared" ref="J6012:J6075" si="2461">"CIMB BANK / CIMB ISLAMIC BANK"</f>
        <v>CIMB BANK / CIMB ISLAMIC BANK</v>
      </c>
      <c r="K6012" t="str">
        <f>"08040041140525"</f>
        <v>08040041140525</v>
      </c>
      <c r="L6012" t="str">
        <f t="shared" si="2459"/>
        <v>04-08-2020</v>
      </c>
      <c r="M6012" t="str">
        <f t="shared" si="2459"/>
        <v>04-08-2020</v>
      </c>
      <c r="N6012" t="str">
        <f t="shared" si="2442"/>
        <v>001105018356</v>
      </c>
      <c r="O6012" t="str">
        <f t="shared" si="2443"/>
        <v>MYR</v>
      </c>
      <c r="P6012" t="str">
        <f t="shared" si="2460"/>
        <v>NIL</v>
      </c>
      <c r="Q6012" t="str">
        <f t="shared" si="2460"/>
        <v>NIL</v>
      </c>
      <c r="R6012" t="str">
        <f t="shared" si="2455"/>
        <v>Accepted</v>
      </c>
      <c r="S6012" t="str">
        <f t="shared" si="2444"/>
        <v>Approved</v>
      </c>
      <c r="T6012" t="str">
        <f t="shared" si="2456"/>
        <v>10.20.8.188</v>
      </c>
      <c r="U6012" t="str">
        <f t="shared" si="2445"/>
        <v>AZRAD UMAR BIN SHAARI</v>
      </c>
      <c r="V6012" t="str">
        <f t="shared" si="2446"/>
        <v>FARHANA BINTI MUSTAPA</v>
      </c>
      <c r="W6012" t="str">
        <f t="shared" si="2447"/>
        <v>04-08-2020</v>
      </c>
      <c r="X6012" t="str">
        <f t="shared" si="2448"/>
        <v>RAZIMAH ANSAR AHMAD</v>
      </c>
      <c r="Y6012" t="str">
        <f t="shared" si="2449"/>
        <v>04-08-2020</v>
      </c>
      <c r="Z6012" t="str">
        <f>"COS10200804 3142"</f>
        <v>COS10200804 3142</v>
      </c>
    </row>
    <row r="6013" spans="1:26" x14ac:dyDescent="0.25">
      <c r="A6013" t="str">
        <f t="shared" si="2453"/>
        <v>04-08-2020 12:43:51</v>
      </c>
      <c r="B6013" t="str">
        <f>"0000804908"</f>
        <v>0000804908</v>
      </c>
      <c r="C6013" t="str">
        <f t="shared" si="2454"/>
        <v>0000804767</v>
      </c>
      <c r="D6013" t="str">
        <f t="shared" si="2439"/>
        <v>73185</v>
      </c>
      <c r="E6013" t="str">
        <f t="shared" si="2440"/>
        <v>KFH-OPERATIONS DEPARTMENT</v>
      </c>
      <c r="F6013" t="str">
        <f t="shared" si="2441"/>
        <v>IBG</v>
      </c>
      <c r="G6013" t="str">
        <f t="shared" si="2450"/>
        <v>Refund COSHARE 10</v>
      </c>
      <c r="H6013" s="2">
        <v>1571.25</v>
      </c>
      <c r="I6013" t="str">
        <f>"NOR ROSHIDAH BINTI MOHD ARSHAD"</f>
        <v>NOR ROSHIDAH BINTI MOHD ARSHAD</v>
      </c>
      <c r="J6013" t="str">
        <f t="shared" si="2461"/>
        <v>CIMB BANK / CIMB ISLAMIC BANK</v>
      </c>
      <c r="K6013" t="str">
        <f>"020058198549"</f>
        <v>020058198549</v>
      </c>
      <c r="L6013" t="str">
        <f t="shared" si="2459"/>
        <v>04-08-2020</v>
      </c>
      <c r="M6013" t="str">
        <f t="shared" si="2459"/>
        <v>04-08-2020</v>
      </c>
      <c r="N6013" t="str">
        <f t="shared" si="2442"/>
        <v>001105018356</v>
      </c>
      <c r="O6013" t="str">
        <f t="shared" si="2443"/>
        <v>MYR</v>
      </c>
      <c r="P6013" t="str">
        <f t="shared" si="2460"/>
        <v>NIL</v>
      </c>
      <c r="Q6013" t="str">
        <f t="shared" si="2460"/>
        <v>NIL</v>
      </c>
      <c r="R6013" t="str">
        <f t="shared" si="2455"/>
        <v>Accepted</v>
      </c>
      <c r="S6013" t="str">
        <f t="shared" si="2444"/>
        <v>Approved</v>
      </c>
      <c r="T6013" t="str">
        <f t="shared" si="2456"/>
        <v>10.20.8.188</v>
      </c>
      <c r="U6013" t="str">
        <f t="shared" si="2445"/>
        <v>AZRAD UMAR BIN SHAARI</v>
      </c>
      <c r="V6013" t="str">
        <f t="shared" si="2446"/>
        <v>FARHANA BINTI MUSTAPA</v>
      </c>
      <c r="W6013" t="str">
        <f t="shared" si="2447"/>
        <v>04-08-2020</v>
      </c>
      <c r="X6013" t="str">
        <f t="shared" si="2448"/>
        <v>RAZIMAH ANSAR AHMAD</v>
      </c>
      <c r="Y6013" t="str">
        <f t="shared" si="2449"/>
        <v>04-08-2020</v>
      </c>
      <c r="Z6013" t="str">
        <f>"COS10200804 3141"</f>
        <v>COS10200804 3141</v>
      </c>
    </row>
    <row r="6014" spans="1:26" x14ac:dyDescent="0.25">
      <c r="A6014" t="str">
        <f t="shared" si="2453"/>
        <v>04-08-2020 12:43:51</v>
      </c>
      <c r="B6014" t="str">
        <f>"0000804907"</f>
        <v>0000804907</v>
      </c>
      <c r="C6014" t="str">
        <f t="shared" si="2454"/>
        <v>0000804767</v>
      </c>
      <c r="D6014" t="str">
        <f t="shared" si="2439"/>
        <v>73185</v>
      </c>
      <c r="E6014" t="str">
        <f t="shared" si="2440"/>
        <v>KFH-OPERATIONS DEPARTMENT</v>
      </c>
      <c r="F6014" t="str">
        <f t="shared" si="2441"/>
        <v>IBG</v>
      </c>
      <c r="G6014" t="str">
        <f t="shared" si="2450"/>
        <v>Refund COSHARE 10</v>
      </c>
      <c r="H6014" s="2">
        <v>114</v>
      </c>
      <c r="I6014" t="str">
        <f>"NOR ROHA BINTI ALIAS  MOHD ZAIN"</f>
        <v>NOR ROHA BINTI ALIAS  MOHD ZAIN</v>
      </c>
      <c r="J6014" t="str">
        <f t="shared" si="2461"/>
        <v>CIMB BANK / CIMB ISLAMIC BANK</v>
      </c>
      <c r="K6014" t="str">
        <f>"01120061538528"</f>
        <v>01120061538528</v>
      </c>
      <c r="L6014" t="str">
        <f t="shared" si="2459"/>
        <v>04-08-2020</v>
      </c>
      <c r="M6014" t="str">
        <f t="shared" si="2459"/>
        <v>04-08-2020</v>
      </c>
      <c r="N6014" t="str">
        <f t="shared" si="2442"/>
        <v>001105018356</v>
      </c>
      <c r="O6014" t="str">
        <f t="shared" si="2443"/>
        <v>MYR</v>
      </c>
      <c r="P6014" t="str">
        <f t="shared" si="2460"/>
        <v>NIL</v>
      </c>
      <c r="Q6014" t="str">
        <f t="shared" si="2460"/>
        <v>NIL</v>
      </c>
      <c r="R6014" t="str">
        <f t="shared" si="2455"/>
        <v>Accepted</v>
      </c>
      <c r="S6014" t="str">
        <f t="shared" si="2444"/>
        <v>Approved</v>
      </c>
      <c r="T6014" t="str">
        <f t="shared" si="2456"/>
        <v>10.20.8.188</v>
      </c>
      <c r="U6014" t="str">
        <f t="shared" si="2445"/>
        <v>AZRAD UMAR BIN SHAARI</v>
      </c>
      <c r="V6014" t="str">
        <f t="shared" si="2446"/>
        <v>FARHANA BINTI MUSTAPA</v>
      </c>
      <c r="W6014" t="str">
        <f t="shared" si="2447"/>
        <v>04-08-2020</v>
      </c>
      <c r="X6014" t="str">
        <f t="shared" si="2448"/>
        <v>RAZIMAH ANSAR AHMAD</v>
      </c>
      <c r="Y6014" t="str">
        <f t="shared" si="2449"/>
        <v>04-08-2020</v>
      </c>
      <c r="Z6014" t="str">
        <f>"COS10200804 3140"</f>
        <v>COS10200804 3140</v>
      </c>
    </row>
    <row r="6015" spans="1:26" x14ac:dyDescent="0.25">
      <c r="A6015" t="str">
        <f t="shared" si="2453"/>
        <v>04-08-2020 12:43:51</v>
      </c>
      <c r="B6015" t="str">
        <f>"0000804906"</f>
        <v>0000804906</v>
      </c>
      <c r="C6015" t="str">
        <f t="shared" si="2454"/>
        <v>0000804767</v>
      </c>
      <c r="D6015" t="str">
        <f t="shared" si="2439"/>
        <v>73185</v>
      </c>
      <c r="E6015" t="str">
        <f t="shared" si="2440"/>
        <v>KFH-OPERATIONS DEPARTMENT</v>
      </c>
      <c r="F6015" t="str">
        <f t="shared" si="2441"/>
        <v>IBG</v>
      </c>
      <c r="G6015" t="str">
        <f t="shared" si="2450"/>
        <v>Refund COSHARE 10</v>
      </c>
      <c r="H6015" s="2">
        <v>1739.5</v>
      </c>
      <c r="I6015" t="str">
        <f>"NOR ROFIZAH BINTI ABDUL MUTALIB"</f>
        <v>NOR ROFIZAH BINTI ABDUL MUTALIB</v>
      </c>
      <c r="J6015" t="str">
        <f t="shared" si="2461"/>
        <v>CIMB BANK / CIMB ISLAMIC BANK</v>
      </c>
      <c r="K6015" t="str">
        <f>"12370005566525"</f>
        <v>12370005566525</v>
      </c>
      <c r="L6015" t="str">
        <f t="shared" si="2459"/>
        <v>04-08-2020</v>
      </c>
      <c r="M6015" t="str">
        <f t="shared" si="2459"/>
        <v>04-08-2020</v>
      </c>
      <c r="N6015" t="str">
        <f t="shared" si="2442"/>
        <v>001105018356</v>
      </c>
      <c r="O6015" t="str">
        <f t="shared" si="2443"/>
        <v>MYR</v>
      </c>
      <c r="P6015" t="str">
        <f t="shared" si="2460"/>
        <v>NIL</v>
      </c>
      <c r="Q6015" t="str">
        <f t="shared" si="2460"/>
        <v>NIL</v>
      </c>
      <c r="R6015" t="str">
        <f t="shared" si="2455"/>
        <v>Accepted</v>
      </c>
      <c r="S6015" t="str">
        <f t="shared" si="2444"/>
        <v>Approved</v>
      </c>
      <c r="T6015" t="str">
        <f t="shared" si="2456"/>
        <v>10.20.8.188</v>
      </c>
      <c r="U6015" t="str">
        <f t="shared" si="2445"/>
        <v>AZRAD UMAR BIN SHAARI</v>
      </c>
      <c r="V6015" t="str">
        <f t="shared" si="2446"/>
        <v>FARHANA BINTI MUSTAPA</v>
      </c>
      <c r="W6015" t="str">
        <f t="shared" si="2447"/>
        <v>04-08-2020</v>
      </c>
      <c r="X6015" t="str">
        <f t="shared" si="2448"/>
        <v>RAZIMAH ANSAR AHMAD</v>
      </c>
      <c r="Y6015" t="str">
        <f t="shared" si="2449"/>
        <v>04-08-2020</v>
      </c>
      <c r="Z6015" t="str">
        <f>"COS10200804 3139"</f>
        <v>COS10200804 3139</v>
      </c>
    </row>
    <row r="6016" spans="1:26" x14ac:dyDescent="0.25">
      <c r="A6016" t="str">
        <f t="shared" si="2453"/>
        <v>04-08-2020 12:43:51</v>
      </c>
      <c r="B6016" t="str">
        <f>"0000804905"</f>
        <v>0000804905</v>
      </c>
      <c r="C6016" t="str">
        <f t="shared" si="2454"/>
        <v>0000804767</v>
      </c>
      <c r="D6016" t="str">
        <f t="shared" si="2439"/>
        <v>73185</v>
      </c>
      <c r="E6016" t="str">
        <f t="shared" si="2440"/>
        <v>KFH-OPERATIONS DEPARTMENT</v>
      </c>
      <c r="F6016" t="str">
        <f t="shared" si="2441"/>
        <v>IBG</v>
      </c>
      <c r="G6016" t="str">
        <f t="shared" si="2450"/>
        <v>Refund COSHARE 10</v>
      </c>
      <c r="H6016" s="2">
        <v>104.15</v>
      </c>
      <c r="I6016" t="str">
        <f>"NOR RIDZWAN BIN MAT NOR"</f>
        <v>NOR RIDZWAN BIN MAT NOR</v>
      </c>
      <c r="J6016" t="str">
        <f t="shared" si="2461"/>
        <v>CIMB BANK / CIMB ISLAMIC BANK</v>
      </c>
      <c r="K6016" t="str">
        <f>"12230062528520"</f>
        <v>12230062528520</v>
      </c>
      <c r="L6016" t="str">
        <f t="shared" si="2459"/>
        <v>04-08-2020</v>
      </c>
      <c r="M6016" t="str">
        <f t="shared" si="2459"/>
        <v>04-08-2020</v>
      </c>
      <c r="N6016" t="str">
        <f t="shared" si="2442"/>
        <v>001105018356</v>
      </c>
      <c r="O6016" t="str">
        <f t="shared" si="2443"/>
        <v>MYR</v>
      </c>
      <c r="P6016" t="str">
        <f t="shared" si="2460"/>
        <v>NIL</v>
      </c>
      <c r="Q6016" t="str">
        <f t="shared" si="2460"/>
        <v>NIL</v>
      </c>
      <c r="R6016" t="str">
        <f t="shared" si="2455"/>
        <v>Accepted</v>
      </c>
      <c r="S6016" t="str">
        <f t="shared" si="2444"/>
        <v>Approved</v>
      </c>
      <c r="T6016" t="str">
        <f t="shared" si="2456"/>
        <v>10.20.8.188</v>
      </c>
      <c r="U6016" t="str">
        <f t="shared" si="2445"/>
        <v>AZRAD UMAR BIN SHAARI</v>
      </c>
      <c r="V6016" t="str">
        <f t="shared" si="2446"/>
        <v>FARHANA BINTI MUSTAPA</v>
      </c>
      <c r="W6016" t="str">
        <f t="shared" si="2447"/>
        <v>04-08-2020</v>
      </c>
      <c r="X6016" t="str">
        <f t="shared" si="2448"/>
        <v>RAZIMAH ANSAR AHMAD</v>
      </c>
      <c r="Y6016" t="str">
        <f t="shared" si="2449"/>
        <v>04-08-2020</v>
      </c>
      <c r="Z6016" t="str">
        <f>"COS10200804 3138"</f>
        <v>COS10200804 3138</v>
      </c>
    </row>
    <row r="6017" spans="1:26" x14ac:dyDescent="0.25">
      <c r="A6017" t="str">
        <f t="shared" si="2453"/>
        <v>04-08-2020 12:43:51</v>
      </c>
      <c r="B6017" t="str">
        <f>"0000804904"</f>
        <v>0000804904</v>
      </c>
      <c r="C6017" t="str">
        <f t="shared" si="2454"/>
        <v>0000804767</v>
      </c>
      <c r="D6017" t="str">
        <f t="shared" si="2439"/>
        <v>73185</v>
      </c>
      <c r="E6017" t="str">
        <f t="shared" si="2440"/>
        <v>KFH-OPERATIONS DEPARTMENT</v>
      </c>
      <c r="F6017" t="str">
        <f t="shared" si="2441"/>
        <v>IBG</v>
      </c>
      <c r="G6017" t="str">
        <f t="shared" si="2450"/>
        <v>Refund COSHARE 10</v>
      </c>
      <c r="H6017" s="2">
        <v>104.15</v>
      </c>
      <c r="I6017" t="str">
        <f>"NOR RIDZWAN BIN MAT NOR"</f>
        <v>NOR RIDZWAN BIN MAT NOR</v>
      </c>
      <c r="J6017" t="str">
        <f t="shared" si="2461"/>
        <v>CIMB BANK / CIMB ISLAMIC BANK</v>
      </c>
      <c r="K6017" t="str">
        <f>"12230062528520"</f>
        <v>12230062528520</v>
      </c>
      <c r="L6017" t="str">
        <f t="shared" si="2459"/>
        <v>04-08-2020</v>
      </c>
      <c r="M6017" t="str">
        <f t="shared" si="2459"/>
        <v>04-08-2020</v>
      </c>
      <c r="N6017" t="str">
        <f t="shared" si="2442"/>
        <v>001105018356</v>
      </c>
      <c r="O6017" t="str">
        <f t="shared" si="2443"/>
        <v>MYR</v>
      </c>
      <c r="P6017" t="str">
        <f t="shared" si="2460"/>
        <v>NIL</v>
      </c>
      <c r="Q6017" t="str">
        <f t="shared" si="2460"/>
        <v>NIL</v>
      </c>
      <c r="R6017" t="str">
        <f t="shared" si="2455"/>
        <v>Accepted</v>
      </c>
      <c r="S6017" t="str">
        <f t="shared" si="2444"/>
        <v>Approved</v>
      </c>
      <c r="T6017" t="str">
        <f t="shared" si="2456"/>
        <v>10.20.8.188</v>
      </c>
      <c r="U6017" t="str">
        <f t="shared" si="2445"/>
        <v>AZRAD UMAR BIN SHAARI</v>
      </c>
      <c r="V6017" t="str">
        <f t="shared" si="2446"/>
        <v>FARHANA BINTI MUSTAPA</v>
      </c>
      <c r="W6017" t="str">
        <f t="shared" si="2447"/>
        <v>04-08-2020</v>
      </c>
      <c r="X6017" t="str">
        <f t="shared" si="2448"/>
        <v>RAZIMAH ANSAR AHMAD</v>
      </c>
      <c r="Y6017" t="str">
        <f t="shared" si="2449"/>
        <v>04-08-2020</v>
      </c>
      <c r="Z6017" t="str">
        <f>"COS10200804 3137"</f>
        <v>COS10200804 3137</v>
      </c>
    </row>
    <row r="6018" spans="1:26" x14ac:dyDescent="0.25">
      <c r="A6018" t="str">
        <f t="shared" ref="A6018:A6049" si="2462">"04-08-2020 12:43:51"</f>
        <v>04-08-2020 12:43:51</v>
      </c>
      <c r="B6018" t="str">
        <f>"0000804903"</f>
        <v>0000804903</v>
      </c>
      <c r="C6018" t="str">
        <f t="shared" ref="C6018:C6049" si="2463">"0000804767"</f>
        <v>0000804767</v>
      </c>
      <c r="D6018" t="str">
        <f t="shared" si="2439"/>
        <v>73185</v>
      </c>
      <c r="E6018" t="str">
        <f t="shared" si="2440"/>
        <v>KFH-OPERATIONS DEPARTMENT</v>
      </c>
      <c r="F6018" t="str">
        <f t="shared" si="2441"/>
        <v>IBG</v>
      </c>
      <c r="G6018" t="str">
        <f t="shared" si="2450"/>
        <v>Refund COSHARE 10</v>
      </c>
      <c r="H6018" s="2">
        <v>405</v>
      </c>
      <c r="I6018" t="str">
        <f>"NOR RASHIDA BINTI MOHAMAD SHAH"</f>
        <v>NOR RASHIDA BINTI MOHAMAD SHAH</v>
      </c>
      <c r="J6018" t="str">
        <f t="shared" si="2461"/>
        <v>CIMB BANK / CIMB ISLAMIC BANK</v>
      </c>
      <c r="K6018" t="str">
        <f>"01040109075527"</f>
        <v>01040109075527</v>
      </c>
      <c r="L6018" t="str">
        <f t="shared" si="2459"/>
        <v>04-08-2020</v>
      </c>
      <c r="M6018" t="str">
        <f t="shared" si="2459"/>
        <v>04-08-2020</v>
      </c>
      <c r="N6018" t="str">
        <f t="shared" si="2442"/>
        <v>001105018356</v>
      </c>
      <c r="O6018" t="str">
        <f t="shared" si="2443"/>
        <v>MYR</v>
      </c>
      <c r="P6018" t="str">
        <f t="shared" si="2460"/>
        <v>NIL</v>
      </c>
      <c r="Q6018" t="str">
        <f t="shared" si="2460"/>
        <v>NIL</v>
      </c>
      <c r="R6018" t="str">
        <f t="shared" si="2455"/>
        <v>Accepted</v>
      </c>
      <c r="S6018" t="str">
        <f t="shared" si="2444"/>
        <v>Approved</v>
      </c>
      <c r="T6018" t="str">
        <f t="shared" si="2456"/>
        <v>10.20.8.188</v>
      </c>
      <c r="U6018" t="str">
        <f t="shared" si="2445"/>
        <v>AZRAD UMAR BIN SHAARI</v>
      </c>
      <c r="V6018" t="str">
        <f t="shared" si="2446"/>
        <v>FARHANA BINTI MUSTAPA</v>
      </c>
      <c r="W6018" t="str">
        <f t="shared" si="2447"/>
        <v>04-08-2020</v>
      </c>
      <c r="X6018" t="str">
        <f t="shared" si="2448"/>
        <v>RAZIMAH ANSAR AHMAD</v>
      </c>
      <c r="Y6018" t="str">
        <f t="shared" si="2449"/>
        <v>04-08-2020</v>
      </c>
      <c r="Z6018" t="str">
        <f>"COS10200804 3136"</f>
        <v>COS10200804 3136</v>
      </c>
    </row>
    <row r="6019" spans="1:26" x14ac:dyDescent="0.25">
      <c r="A6019" t="str">
        <f t="shared" si="2462"/>
        <v>04-08-2020 12:43:51</v>
      </c>
      <c r="B6019" t="str">
        <f>"0000804902"</f>
        <v>0000804902</v>
      </c>
      <c r="C6019" t="str">
        <f t="shared" si="2463"/>
        <v>0000804767</v>
      </c>
      <c r="D6019" t="str">
        <f t="shared" si="2439"/>
        <v>73185</v>
      </c>
      <c r="E6019" t="str">
        <f t="shared" si="2440"/>
        <v>KFH-OPERATIONS DEPARTMENT</v>
      </c>
      <c r="F6019" t="str">
        <f t="shared" si="2441"/>
        <v>IBG</v>
      </c>
      <c r="G6019" t="str">
        <f t="shared" si="2450"/>
        <v>Refund COSHARE 10</v>
      </c>
      <c r="H6019" s="2">
        <v>629.65</v>
      </c>
      <c r="I6019" t="str">
        <f>"NOR LIYANA BINTI SEKARNOR"</f>
        <v>NOR LIYANA BINTI SEKARNOR</v>
      </c>
      <c r="J6019" t="str">
        <f t="shared" si="2461"/>
        <v>CIMB BANK / CIMB ISLAMIC BANK</v>
      </c>
      <c r="K6019" t="str">
        <f>"03030063959522"</f>
        <v>03030063959522</v>
      </c>
      <c r="L6019" t="str">
        <f t="shared" si="2459"/>
        <v>04-08-2020</v>
      </c>
      <c r="M6019" t="str">
        <f t="shared" si="2459"/>
        <v>04-08-2020</v>
      </c>
      <c r="N6019" t="str">
        <f t="shared" si="2442"/>
        <v>001105018356</v>
      </c>
      <c r="O6019" t="str">
        <f t="shared" si="2443"/>
        <v>MYR</v>
      </c>
      <c r="P6019" t="str">
        <f t="shared" si="2460"/>
        <v>NIL</v>
      </c>
      <c r="Q6019" t="str">
        <f t="shared" si="2460"/>
        <v>NIL</v>
      </c>
      <c r="R6019" t="str">
        <f t="shared" si="2455"/>
        <v>Accepted</v>
      </c>
      <c r="S6019" t="str">
        <f t="shared" si="2444"/>
        <v>Approved</v>
      </c>
      <c r="T6019" t="str">
        <f t="shared" si="2456"/>
        <v>10.20.8.188</v>
      </c>
      <c r="U6019" t="str">
        <f t="shared" si="2445"/>
        <v>AZRAD UMAR BIN SHAARI</v>
      </c>
      <c r="V6019" t="str">
        <f t="shared" si="2446"/>
        <v>FARHANA BINTI MUSTAPA</v>
      </c>
      <c r="W6019" t="str">
        <f t="shared" si="2447"/>
        <v>04-08-2020</v>
      </c>
      <c r="X6019" t="str">
        <f t="shared" si="2448"/>
        <v>RAZIMAH ANSAR AHMAD</v>
      </c>
      <c r="Y6019" t="str">
        <f t="shared" si="2449"/>
        <v>04-08-2020</v>
      </c>
      <c r="Z6019" t="str">
        <f>"COS10200804 3135"</f>
        <v>COS10200804 3135</v>
      </c>
    </row>
    <row r="6020" spans="1:26" x14ac:dyDescent="0.25">
      <c r="A6020" t="str">
        <f t="shared" si="2462"/>
        <v>04-08-2020 12:43:51</v>
      </c>
      <c r="B6020" t="str">
        <f>"0000804901"</f>
        <v>0000804901</v>
      </c>
      <c r="C6020" t="str">
        <f t="shared" si="2463"/>
        <v>0000804767</v>
      </c>
      <c r="D6020" t="str">
        <f t="shared" si="2439"/>
        <v>73185</v>
      </c>
      <c r="E6020" t="str">
        <f t="shared" si="2440"/>
        <v>KFH-OPERATIONS DEPARTMENT</v>
      </c>
      <c r="F6020" t="str">
        <f t="shared" si="2441"/>
        <v>IBG</v>
      </c>
      <c r="G6020" t="str">
        <f t="shared" si="2450"/>
        <v>Refund COSHARE 10</v>
      </c>
      <c r="H6020" s="2">
        <v>592</v>
      </c>
      <c r="I6020" t="str">
        <f>"NOR LAILI BINTI RABAT"</f>
        <v>NOR LAILI BINTI RABAT</v>
      </c>
      <c r="J6020" t="str">
        <f t="shared" si="2461"/>
        <v>CIMB BANK / CIMB ISLAMIC BANK</v>
      </c>
      <c r="K6020" t="str">
        <f>"12100000628205"</f>
        <v>12100000628205</v>
      </c>
      <c r="L6020" t="str">
        <f t="shared" si="2459"/>
        <v>04-08-2020</v>
      </c>
      <c r="M6020" t="str">
        <f t="shared" si="2459"/>
        <v>04-08-2020</v>
      </c>
      <c r="N6020" t="str">
        <f t="shared" si="2442"/>
        <v>001105018356</v>
      </c>
      <c r="O6020" t="str">
        <f t="shared" si="2443"/>
        <v>MYR</v>
      </c>
      <c r="P6020" t="str">
        <f t="shared" si="2460"/>
        <v>NIL</v>
      </c>
      <c r="Q6020" t="str">
        <f t="shared" si="2460"/>
        <v>NIL</v>
      </c>
      <c r="R6020" t="str">
        <f t="shared" si="2455"/>
        <v>Accepted</v>
      </c>
      <c r="S6020" t="str">
        <f t="shared" si="2444"/>
        <v>Approved</v>
      </c>
      <c r="T6020" t="str">
        <f t="shared" si="2456"/>
        <v>10.20.8.188</v>
      </c>
      <c r="U6020" t="str">
        <f t="shared" si="2445"/>
        <v>AZRAD UMAR BIN SHAARI</v>
      </c>
      <c r="V6020" t="str">
        <f t="shared" si="2446"/>
        <v>FARHANA BINTI MUSTAPA</v>
      </c>
      <c r="W6020" t="str">
        <f t="shared" si="2447"/>
        <v>04-08-2020</v>
      </c>
      <c r="X6020" t="str">
        <f t="shared" si="2448"/>
        <v>RAZIMAH ANSAR AHMAD</v>
      </c>
      <c r="Y6020" t="str">
        <f t="shared" si="2449"/>
        <v>04-08-2020</v>
      </c>
      <c r="Z6020" t="str">
        <f>"COS10200804 3134"</f>
        <v>COS10200804 3134</v>
      </c>
    </row>
    <row r="6021" spans="1:26" x14ac:dyDescent="0.25">
      <c r="A6021" t="str">
        <f t="shared" si="2462"/>
        <v>04-08-2020 12:43:51</v>
      </c>
      <c r="B6021" t="str">
        <f>"0000804900"</f>
        <v>0000804900</v>
      </c>
      <c r="C6021" t="str">
        <f t="shared" si="2463"/>
        <v>0000804767</v>
      </c>
      <c r="D6021" t="str">
        <f t="shared" si="2439"/>
        <v>73185</v>
      </c>
      <c r="E6021" t="str">
        <f t="shared" si="2440"/>
        <v>KFH-OPERATIONS DEPARTMENT</v>
      </c>
      <c r="F6021" t="str">
        <f t="shared" si="2441"/>
        <v>IBG</v>
      </c>
      <c r="G6021" t="str">
        <f t="shared" si="2450"/>
        <v>Refund COSHARE 10</v>
      </c>
      <c r="H6021" s="2">
        <v>114</v>
      </c>
      <c r="I6021" t="str">
        <f>"NOR LAILI BINTI RABAT"</f>
        <v>NOR LAILI BINTI RABAT</v>
      </c>
      <c r="J6021" t="str">
        <f t="shared" si="2461"/>
        <v>CIMB BANK / CIMB ISLAMIC BANK</v>
      </c>
      <c r="K6021" t="str">
        <f>"12100000628205"</f>
        <v>12100000628205</v>
      </c>
      <c r="L6021" t="str">
        <f t="shared" si="2459"/>
        <v>04-08-2020</v>
      </c>
      <c r="M6021" t="str">
        <f t="shared" si="2459"/>
        <v>04-08-2020</v>
      </c>
      <c r="N6021" t="str">
        <f t="shared" si="2442"/>
        <v>001105018356</v>
      </c>
      <c r="O6021" t="str">
        <f t="shared" si="2443"/>
        <v>MYR</v>
      </c>
      <c r="P6021" t="str">
        <f t="shared" si="2460"/>
        <v>NIL</v>
      </c>
      <c r="Q6021" t="str">
        <f t="shared" si="2460"/>
        <v>NIL</v>
      </c>
      <c r="R6021" t="str">
        <f t="shared" si="2455"/>
        <v>Accepted</v>
      </c>
      <c r="S6021" t="str">
        <f t="shared" si="2444"/>
        <v>Approved</v>
      </c>
      <c r="T6021" t="str">
        <f t="shared" si="2456"/>
        <v>10.20.8.188</v>
      </c>
      <c r="U6021" t="str">
        <f t="shared" si="2445"/>
        <v>AZRAD UMAR BIN SHAARI</v>
      </c>
      <c r="V6021" t="str">
        <f t="shared" si="2446"/>
        <v>FARHANA BINTI MUSTAPA</v>
      </c>
      <c r="W6021" t="str">
        <f t="shared" si="2447"/>
        <v>04-08-2020</v>
      </c>
      <c r="X6021" t="str">
        <f t="shared" si="2448"/>
        <v>RAZIMAH ANSAR AHMAD</v>
      </c>
      <c r="Y6021" t="str">
        <f t="shared" si="2449"/>
        <v>04-08-2020</v>
      </c>
      <c r="Z6021" t="str">
        <f>"COS10200804 3133"</f>
        <v>COS10200804 3133</v>
      </c>
    </row>
    <row r="6022" spans="1:26" x14ac:dyDescent="0.25">
      <c r="A6022" t="str">
        <f t="shared" si="2462"/>
        <v>04-08-2020 12:43:51</v>
      </c>
      <c r="B6022" t="str">
        <f>"0000804899"</f>
        <v>0000804899</v>
      </c>
      <c r="C6022" t="str">
        <f t="shared" si="2463"/>
        <v>0000804767</v>
      </c>
      <c r="D6022" t="str">
        <f t="shared" si="2439"/>
        <v>73185</v>
      </c>
      <c r="E6022" t="str">
        <f t="shared" si="2440"/>
        <v>KFH-OPERATIONS DEPARTMENT</v>
      </c>
      <c r="F6022" t="str">
        <f t="shared" si="2441"/>
        <v>IBG</v>
      </c>
      <c r="G6022" t="str">
        <f t="shared" si="2450"/>
        <v>Refund COSHARE 10</v>
      </c>
      <c r="H6022" s="2">
        <v>292.2</v>
      </c>
      <c r="I6022" t="str">
        <f>"NOR KUDRAH BINTI NORDIN"</f>
        <v>NOR KUDRAH BINTI NORDIN</v>
      </c>
      <c r="J6022" t="str">
        <f t="shared" si="2461"/>
        <v>CIMB BANK / CIMB ISLAMIC BANK</v>
      </c>
      <c r="K6022" t="str">
        <f>"7035397400"</f>
        <v>7035397400</v>
      </c>
      <c r="L6022" t="str">
        <f t="shared" si="2459"/>
        <v>04-08-2020</v>
      </c>
      <c r="M6022" t="str">
        <f t="shared" si="2459"/>
        <v>04-08-2020</v>
      </c>
      <c r="N6022" t="str">
        <f t="shared" si="2442"/>
        <v>001105018356</v>
      </c>
      <c r="O6022" t="str">
        <f t="shared" si="2443"/>
        <v>MYR</v>
      </c>
      <c r="P6022" t="str">
        <f t="shared" si="2460"/>
        <v>NIL</v>
      </c>
      <c r="Q6022" t="str">
        <f t="shared" si="2460"/>
        <v>NIL</v>
      </c>
      <c r="R6022" t="str">
        <f t="shared" si="2455"/>
        <v>Accepted</v>
      </c>
      <c r="S6022" t="str">
        <f t="shared" si="2444"/>
        <v>Approved</v>
      </c>
      <c r="T6022" t="str">
        <f t="shared" si="2456"/>
        <v>10.20.8.188</v>
      </c>
      <c r="U6022" t="str">
        <f t="shared" si="2445"/>
        <v>AZRAD UMAR BIN SHAARI</v>
      </c>
      <c r="V6022" t="str">
        <f t="shared" si="2446"/>
        <v>FARHANA BINTI MUSTAPA</v>
      </c>
      <c r="W6022" t="str">
        <f t="shared" si="2447"/>
        <v>04-08-2020</v>
      </c>
      <c r="X6022" t="str">
        <f t="shared" si="2448"/>
        <v>RAZIMAH ANSAR AHMAD</v>
      </c>
      <c r="Y6022" t="str">
        <f t="shared" si="2449"/>
        <v>04-08-2020</v>
      </c>
      <c r="Z6022" t="str">
        <f>"COS10200804 3132"</f>
        <v>COS10200804 3132</v>
      </c>
    </row>
    <row r="6023" spans="1:26" x14ac:dyDescent="0.25">
      <c r="A6023" t="str">
        <f t="shared" si="2462"/>
        <v>04-08-2020 12:43:51</v>
      </c>
      <c r="B6023" t="str">
        <f>"0000804898"</f>
        <v>0000804898</v>
      </c>
      <c r="C6023" t="str">
        <f t="shared" si="2463"/>
        <v>0000804767</v>
      </c>
      <c r="D6023" t="str">
        <f t="shared" ref="D6023:D6086" si="2464">"73185"</f>
        <v>73185</v>
      </c>
      <c r="E6023" t="str">
        <f t="shared" ref="E6023:E6086" si="2465">"KFH-OPERATIONS DEPARTMENT"</f>
        <v>KFH-OPERATIONS DEPARTMENT</v>
      </c>
      <c r="F6023" t="str">
        <f t="shared" ref="F6023:F6086" si="2466">"IBG"</f>
        <v>IBG</v>
      </c>
      <c r="G6023" t="str">
        <f t="shared" si="2450"/>
        <v>Refund COSHARE 10</v>
      </c>
      <c r="H6023" s="2">
        <v>607</v>
      </c>
      <c r="I6023" t="str">
        <f>"NOR ILIANI BINTI MOHAMED"</f>
        <v>NOR ILIANI BINTI MOHAMED</v>
      </c>
      <c r="J6023" t="str">
        <f t="shared" si="2461"/>
        <v>CIMB BANK / CIMB ISLAMIC BANK</v>
      </c>
      <c r="K6023" t="str">
        <f>"13040068671528"</f>
        <v>13040068671528</v>
      </c>
      <c r="L6023" t="str">
        <f t="shared" si="2459"/>
        <v>04-08-2020</v>
      </c>
      <c r="M6023" t="str">
        <f t="shared" si="2459"/>
        <v>04-08-2020</v>
      </c>
      <c r="N6023" t="str">
        <f t="shared" ref="N6023:N6086" si="2467">"001105018356"</f>
        <v>001105018356</v>
      </c>
      <c r="O6023" t="str">
        <f t="shared" ref="O6023:O6086" si="2468">"MYR"</f>
        <v>MYR</v>
      </c>
      <c r="P6023" t="str">
        <f t="shared" si="2460"/>
        <v>NIL</v>
      </c>
      <c r="Q6023" t="str">
        <f t="shared" si="2460"/>
        <v>NIL</v>
      </c>
      <c r="R6023" t="str">
        <f t="shared" si="2455"/>
        <v>Accepted</v>
      </c>
      <c r="S6023" t="str">
        <f t="shared" ref="S6023:S6086" si="2469">"Approved"</f>
        <v>Approved</v>
      </c>
      <c r="T6023" t="str">
        <f t="shared" si="2456"/>
        <v>10.20.8.188</v>
      </c>
      <c r="U6023" t="str">
        <f t="shared" ref="U6023:U6086" si="2470">"AZRAD UMAR BIN SHAARI"</f>
        <v>AZRAD UMAR BIN SHAARI</v>
      </c>
      <c r="V6023" t="str">
        <f t="shared" ref="V6023:V6086" si="2471">"FARHANA BINTI MUSTAPA"</f>
        <v>FARHANA BINTI MUSTAPA</v>
      </c>
      <c r="W6023" t="str">
        <f t="shared" ref="W6023:W6086" si="2472">"04-08-2020"</f>
        <v>04-08-2020</v>
      </c>
      <c r="X6023" t="str">
        <f t="shared" ref="X6023:X6086" si="2473">"RAZIMAH ANSAR AHMAD"</f>
        <v>RAZIMAH ANSAR AHMAD</v>
      </c>
      <c r="Y6023" t="str">
        <f t="shared" ref="Y6023:Y6086" si="2474">"04-08-2020"</f>
        <v>04-08-2020</v>
      </c>
      <c r="Z6023" t="str">
        <f>"COS10200804 3131"</f>
        <v>COS10200804 3131</v>
      </c>
    </row>
    <row r="6024" spans="1:26" x14ac:dyDescent="0.25">
      <c r="A6024" t="str">
        <f t="shared" si="2462"/>
        <v>04-08-2020 12:43:51</v>
      </c>
      <c r="B6024" t="str">
        <f>"0000804897"</f>
        <v>0000804897</v>
      </c>
      <c r="C6024" t="str">
        <f t="shared" si="2463"/>
        <v>0000804767</v>
      </c>
      <c r="D6024" t="str">
        <f t="shared" si="2464"/>
        <v>73185</v>
      </c>
      <c r="E6024" t="str">
        <f t="shared" si="2465"/>
        <v>KFH-OPERATIONS DEPARTMENT</v>
      </c>
      <c r="F6024" t="str">
        <f t="shared" si="2466"/>
        <v>IBG</v>
      </c>
      <c r="G6024" t="str">
        <f t="shared" si="2450"/>
        <v>Refund COSHARE 10</v>
      </c>
      <c r="H6024" s="2">
        <v>1200.5</v>
      </c>
      <c r="I6024" t="str">
        <f>"NOR HIDAYAH BINTI HASSAN"</f>
        <v>NOR HIDAYAH BINTI HASSAN</v>
      </c>
      <c r="J6024" t="str">
        <f t="shared" si="2461"/>
        <v>CIMB BANK / CIMB ISLAMIC BANK</v>
      </c>
      <c r="K6024" t="str">
        <f>"14760000202200"</f>
        <v>14760000202200</v>
      </c>
      <c r="L6024" t="str">
        <f t="shared" si="2459"/>
        <v>04-08-2020</v>
      </c>
      <c r="M6024" t="str">
        <f t="shared" si="2459"/>
        <v>04-08-2020</v>
      </c>
      <c r="N6024" t="str">
        <f t="shared" si="2467"/>
        <v>001105018356</v>
      </c>
      <c r="O6024" t="str">
        <f t="shared" si="2468"/>
        <v>MYR</v>
      </c>
      <c r="P6024" t="str">
        <f t="shared" si="2460"/>
        <v>NIL</v>
      </c>
      <c r="Q6024" t="str">
        <f t="shared" si="2460"/>
        <v>NIL</v>
      </c>
      <c r="R6024" t="str">
        <f t="shared" si="2455"/>
        <v>Accepted</v>
      </c>
      <c r="S6024" t="str">
        <f t="shared" si="2469"/>
        <v>Approved</v>
      </c>
      <c r="T6024" t="str">
        <f t="shared" si="2456"/>
        <v>10.20.8.188</v>
      </c>
      <c r="U6024" t="str">
        <f t="shared" si="2470"/>
        <v>AZRAD UMAR BIN SHAARI</v>
      </c>
      <c r="V6024" t="str">
        <f t="shared" si="2471"/>
        <v>FARHANA BINTI MUSTAPA</v>
      </c>
      <c r="W6024" t="str">
        <f t="shared" si="2472"/>
        <v>04-08-2020</v>
      </c>
      <c r="X6024" t="str">
        <f t="shared" si="2473"/>
        <v>RAZIMAH ANSAR AHMAD</v>
      </c>
      <c r="Y6024" t="str">
        <f t="shared" si="2474"/>
        <v>04-08-2020</v>
      </c>
      <c r="Z6024" t="str">
        <f>"COS10200804 3130"</f>
        <v>COS10200804 3130</v>
      </c>
    </row>
    <row r="6025" spans="1:26" x14ac:dyDescent="0.25">
      <c r="A6025" t="str">
        <f t="shared" si="2462"/>
        <v>04-08-2020 12:43:51</v>
      </c>
      <c r="B6025" t="str">
        <f>"0000804896"</f>
        <v>0000804896</v>
      </c>
      <c r="C6025" t="str">
        <f t="shared" si="2463"/>
        <v>0000804767</v>
      </c>
      <c r="D6025" t="str">
        <f t="shared" si="2464"/>
        <v>73185</v>
      </c>
      <c r="E6025" t="str">
        <f t="shared" si="2465"/>
        <v>KFH-OPERATIONS DEPARTMENT</v>
      </c>
      <c r="F6025" t="str">
        <f t="shared" si="2466"/>
        <v>IBG</v>
      </c>
      <c r="G6025" t="str">
        <f t="shared" si="2450"/>
        <v>Refund COSHARE 10</v>
      </c>
      <c r="H6025" s="2">
        <v>67.2</v>
      </c>
      <c r="I6025" t="str">
        <f>"NOR HAZLINA BINTI AHMAD NORDIN"</f>
        <v>NOR HAZLINA BINTI AHMAD NORDIN</v>
      </c>
      <c r="J6025" t="str">
        <f t="shared" si="2461"/>
        <v>CIMB BANK / CIMB ISLAMIC BANK</v>
      </c>
      <c r="K6025" t="str">
        <f>"7002585150"</f>
        <v>7002585150</v>
      </c>
      <c r="L6025" t="str">
        <f t="shared" si="2459"/>
        <v>04-08-2020</v>
      </c>
      <c r="M6025" t="str">
        <f t="shared" si="2459"/>
        <v>04-08-2020</v>
      </c>
      <c r="N6025" t="str">
        <f t="shared" si="2467"/>
        <v>001105018356</v>
      </c>
      <c r="O6025" t="str">
        <f t="shared" si="2468"/>
        <v>MYR</v>
      </c>
      <c r="P6025" t="str">
        <f t="shared" si="2460"/>
        <v>NIL</v>
      </c>
      <c r="Q6025" t="str">
        <f t="shared" si="2460"/>
        <v>NIL</v>
      </c>
      <c r="R6025" t="str">
        <f t="shared" si="2455"/>
        <v>Accepted</v>
      </c>
      <c r="S6025" t="str">
        <f t="shared" si="2469"/>
        <v>Approved</v>
      </c>
      <c r="T6025" t="str">
        <f t="shared" si="2456"/>
        <v>10.20.8.188</v>
      </c>
      <c r="U6025" t="str">
        <f t="shared" si="2470"/>
        <v>AZRAD UMAR BIN SHAARI</v>
      </c>
      <c r="V6025" t="str">
        <f t="shared" si="2471"/>
        <v>FARHANA BINTI MUSTAPA</v>
      </c>
      <c r="W6025" t="str">
        <f t="shared" si="2472"/>
        <v>04-08-2020</v>
      </c>
      <c r="X6025" t="str">
        <f t="shared" si="2473"/>
        <v>RAZIMAH ANSAR AHMAD</v>
      </c>
      <c r="Y6025" t="str">
        <f t="shared" si="2474"/>
        <v>04-08-2020</v>
      </c>
      <c r="Z6025" t="str">
        <f>"COS10200804 3129"</f>
        <v>COS10200804 3129</v>
      </c>
    </row>
    <row r="6026" spans="1:26" x14ac:dyDescent="0.25">
      <c r="A6026" t="str">
        <f t="shared" si="2462"/>
        <v>04-08-2020 12:43:51</v>
      </c>
      <c r="B6026" t="str">
        <f>"0000804895"</f>
        <v>0000804895</v>
      </c>
      <c r="C6026" t="str">
        <f t="shared" si="2463"/>
        <v>0000804767</v>
      </c>
      <c r="D6026" t="str">
        <f t="shared" si="2464"/>
        <v>73185</v>
      </c>
      <c r="E6026" t="str">
        <f t="shared" si="2465"/>
        <v>KFH-OPERATIONS DEPARTMENT</v>
      </c>
      <c r="F6026" t="str">
        <f t="shared" si="2466"/>
        <v>IBG</v>
      </c>
      <c r="G6026" t="str">
        <f t="shared" si="2450"/>
        <v>Refund COSHARE 10</v>
      </c>
      <c r="H6026" s="2">
        <v>839.5</v>
      </c>
      <c r="I6026" t="str">
        <f>"NOR HAYATI BINTI ABD RAZAK"</f>
        <v>NOR HAYATI BINTI ABD RAZAK</v>
      </c>
      <c r="J6026" t="str">
        <f t="shared" si="2461"/>
        <v>CIMB BANK / CIMB ISLAMIC BANK</v>
      </c>
      <c r="K6026" t="str">
        <f>"12490087780520"</f>
        <v>12490087780520</v>
      </c>
      <c r="L6026" t="str">
        <f t="shared" si="2459"/>
        <v>04-08-2020</v>
      </c>
      <c r="M6026" t="str">
        <f t="shared" si="2459"/>
        <v>04-08-2020</v>
      </c>
      <c r="N6026" t="str">
        <f t="shared" si="2467"/>
        <v>001105018356</v>
      </c>
      <c r="O6026" t="str">
        <f t="shared" si="2468"/>
        <v>MYR</v>
      </c>
      <c r="P6026" t="str">
        <f t="shared" si="2460"/>
        <v>NIL</v>
      </c>
      <c r="Q6026" t="str">
        <f t="shared" si="2460"/>
        <v>NIL</v>
      </c>
      <c r="R6026" t="str">
        <f t="shared" si="2455"/>
        <v>Accepted</v>
      </c>
      <c r="S6026" t="str">
        <f t="shared" si="2469"/>
        <v>Approved</v>
      </c>
      <c r="T6026" t="str">
        <f t="shared" si="2456"/>
        <v>10.20.8.188</v>
      </c>
      <c r="U6026" t="str">
        <f t="shared" si="2470"/>
        <v>AZRAD UMAR BIN SHAARI</v>
      </c>
      <c r="V6026" t="str">
        <f t="shared" si="2471"/>
        <v>FARHANA BINTI MUSTAPA</v>
      </c>
      <c r="W6026" t="str">
        <f t="shared" si="2472"/>
        <v>04-08-2020</v>
      </c>
      <c r="X6026" t="str">
        <f t="shared" si="2473"/>
        <v>RAZIMAH ANSAR AHMAD</v>
      </c>
      <c r="Y6026" t="str">
        <f t="shared" si="2474"/>
        <v>04-08-2020</v>
      </c>
      <c r="Z6026" t="str">
        <f>"COS10200804 3128"</f>
        <v>COS10200804 3128</v>
      </c>
    </row>
    <row r="6027" spans="1:26" x14ac:dyDescent="0.25">
      <c r="A6027" t="str">
        <f t="shared" si="2462"/>
        <v>04-08-2020 12:43:51</v>
      </c>
      <c r="B6027" t="str">
        <f>"0000804894"</f>
        <v>0000804894</v>
      </c>
      <c r="C6027" t="str">
        <f t="shared" si="2463"/>
        <v>0000804767</v>
      </c>
      <c r="D6027" t="str">
        <f t="shared" si="2464"/>
        <v>73185</v>
      </c>
      <c r="E6027" t="str">
        <f t="shared" si="2465"/>
        <v>KFH-OPERATIONS DEPARTMENT</v>
      </c>
      <c r="F6027" t="str">
        <f t="shared" si="2466"/>
        <v>IBG</v>
      </c>
      <c r="G6027" t="str">
        <f t="shared" si="2450"/>
        <v>Refund COSHARE 10</v>
      </c>
      <c r="H6027" s="2">
        <v>671.6</v>
      </c>
      <c r="I6027" t="str">
        <f>"NOR HAYA BINTI YAAKOB"</f>
        <v>NOR HAYA BINTI YAAKOB</v>
      </c>
      <c r="J6027" t="str">
        <f t="shared" si="2461"/>
        <v>CIMB BANK / CIMB ISLAMIC BANK</v>
      </c>
      <c r="K6027" t="str">
        <f>"12150083419526"</f>
        <v>12150083419526</v>
      </c>
      <c r="L6027" t="str">
        <f t="shared" ref="L6027:M6046" si="2475">"04-08-2020"</f>
        <v>04-08-2020</v>
      </c>
      <c r="M6027" t="str">
        <f t="shared" si="2475"/>
        <v>04-08-2020</v>
      </c>
      <c r="N6027" t="str">
        <f t="shared" si="2467"/>
        <v>001105018356</v>
      </c>
      <c r="O6027" t="str">
        <f t="shared" si="2468"/>
        <v>MYR</v>
      </c>
      <c r="P6027" t="str">
        <f t="shared" ref="P6027:Q6046" si="2476">"NIL"</f>
        <v>NIL</v>
      </c>
      <c r="Q6027" t="str">
        <f t="shared" si="2476"/>
        <v>NIL</v>
      </c>
      <c r="R6027" t="str">
        <f t="shared" si="2455"/>
        <v>Accepted</v>
      </c>
      <c r="S6027" t="str">
        <f t="shared" si="2469"/>
        <v>Approved</v>
      </c>
      <c r="T6027" t="str">
        <f t="shared" si="2456"/>
        <v>10.20.8.188</v>
      </c>
      <c r="U6027" t="str">
        <f t="shared" si="2470"/>
        <v>AZRAD UMAR BIN SHAARI</v>
      </c>
      <c r="V6027" t="str">
        <f t="shared" si="2471"/>
        <v>FARHANA BINTI MUSTAPA</v>
      </c>
      <c r="W6027" t="str">
        <f t="shared" si="2472"/>
        <v>04-08-2020</v>
      </c>
      <c r="X6027" t="str">
        <f t="shared" si="2473"/>
        <v>RAZIMAH ANSAR AHMAD</v>
      </c>
      <c r="Y6027" t="str">
        <f t="shared" si="2474"/>
        <v>04-08-2020</v>
      </c>
      <c r="Z6027" t="str">
        <f>"COS10200804 3127"</f>
        <v>COS10200804 3127</v>
      </c>
    </row>
    <row r="6028" spans="1:26" x14ac:dyDescent="0.25">
      <c r="A6028" t="str">
        <f t="shared" si="2462"/>
        <v>04-08-2020 12:43:51</v>
      </c>
      <c r="B6028" t="str">
        <f>"0000804893"</f>
        <v>0000804893</v>
      </c>
      <c r="C6028" t="str">
        <f t="shared" si="2463"/>
        <v>0000804767</v>
      </c>
      <c r="D6028" t="str">
        <f t="shared" si="2464"/>
        <v>73185</v>
      </c>
      <c r="E6028" t="str">
        <f t="shared" si="2465"/>
        <v>KFH-OPERATIONS DEPARTMENT</v>
      </c>
      <c r="F6028" t="str">
        <f t="shared" si="2466"/>
        <v>IBG</v>
      </c>
      <c r="G6028" t="str">
        <f t="shared" ref="G6028:G6091" si="2477">"Refund COSHARE 10"</f>
        <v>Refund COSHARE 10</v>
      </c>
      <c r="H6028" s="2">
        <v>963.55</v>
      </c>
      <c r="I6028" t="str">
        <f>"NOR HASIM BIN MOHAMED HALIM"</f>
        <v>NOR HASIM BIN MOHAMED HALIM</v>
      </c>
      <c r="J6028" t="str">
        <f t="shared" si="2461"/>
        <v>CIMB BANK / CIMB ISLAMIC BANK</v>
      </c>
      <c r="K6028" t="str">
        <f>"14400031941525"</f>
        <v>14400031941525</v>
      </c>
      <c r="L6028" t="str">
        <f t="shared" si="2475"/>
        <v>04-08-2020</v>
      </c>
      <c r="M6028" t="str">
        <f t="shared" si="2475"/>
        <v>04-08-2020</v>
      </c>
      <c r="N6028" t="str">
        <f t="shared" si="2467"/>
        <v>001105018356</v>
      </c>
      <c r="O6028" t="str">
        <f t="shared" si="2468"/>
        <v>MYR</v>
      </c>
      <c r="P6028" t="str">
        <f t="shared" si="2476"/>
        <v>NIL</v>
      </c>
      <c r="Q6028" t="str">
        <f t="shared" si="2476"/>
        <v>NIL</v>
      </c>
      <c r="R6028" t="str">
        <f t="shared" si="2455"/>
        <v>Accepted</v>
      </c>
      <c r="S6028" t="str">
        <f t="shared" si="2469"/>
        <v>Approved</v>
      </c>
      <c r="T6028" t="str">
        <f t="shared" si="2456"/>
        <v>10.20.8.188</v>
      </c>
      <c r="U6028" t="str">
        <f t="shared" si="2470"/>
        <v>AZRAD UMAR BIN SHAARI</v>
      </c>
      <c r="V6028" t="str">
        <f t="shared" si="2471"/>
        <v>FARHANA BINTI MUSTAPA</v>
      </c>
      <c r="W6028" t="str">
        <f t="shared" si="2472"/>
        <v>04-08-2020</v>
      </c>
      <c r="X6028" t="str">
        <f t="shared" si="2473"/>
        <v>RAZIMAH ANSAR AHMAD</v>
      </c>
      <c r="Y6028" t="str">
        <f t="shared" si="2474"/>
        <v>04-08-2020</v>
      </c>
      <c r="Z6028" t="str">
        <f>"COS10200804 3126"</f>
        <v>COS10200804 3126</v>
      </c>
    </row>
    <row r="6029" spans="1:26" x14ac:dyDescent="0.25">
      <c r="A6029" t="str">
        <f t="shared" si="2462"/>
        <v>04-08-2020 12:43:51</v>
      </c>
      <c r="B6029" t="str">
        <f>"0000804892"</f>
        <v>0000804892</v>
      </c>
      <c r="C6029" t="str">
        <f t="shared" si="2463"/>
        <v>0000804767</v>
      </c>
      <c r="D6029" t="str">
        <f t="shared" si="2464"/>
        <v>73185</v>
      </c>
      <c r="E6029" t="str">
        <f t="shared" si="2465"/>
        <v>KFH-OPERATIONS DEPARTMENT</v>
      </c>
      <c r="F6029" t="str">
        <f t="shared" si="2466"/>
        <v>IBG</v>
      </c>
      <c r="G6029" t="str">
        <f t="shared" si="2477"/>
        <v>Refund COSHARE 10</v>
      </c>
      <c r="H6029" s="2">
        <v>286.55</v>
      </c>
      <c r="I6029" t="str">
        <f>"NOR HASHIM BIN MUSTAFA"</f>
        <v>NOR HASHIM BIN MUSTAFA</v>
      </c>
      <c r="J6029" t="str">
        <f t="shared" si="2461"/>
        <v>CIMB BANK / CIMB ISLAMIC BANK</v>
      </c>
      <c r="K6029" t="str">
        <f>"08050032184525"</f>
        <v>08050032184525</v>
      </c>
      <c r="L6029" t="str">
        <f t="shared" si="2475"/>
        <v>04-08-2020</v>
      </c>
      <c r="M6029" t="str">
        <f t="shared" si="2475"/>
        <v>04-08-2020</v>
      </c>
      <c r="N6029" t="str">
        <f t="shared" si="2467"/>
        <v>001105018356</v>
      </c>
      <c r="O6029" t="str">
        <f t="shared" si="2468"/>
        <v>MYR</v>
      </c>
      <c r="P6029" t="str">
        <f t="shared" si="2476"/>
        <v>NIL</v>
      </c>
      <c r="Q6029" t="str">
        <f t="shared" si="2476"/>
        <v>NIL</v>
      </c>
      <c r="R6029" t="str">
        <f t="shared" si="2455"/>
        <v>Accepted</v>
      </c>
      <c r="S6029" t="str">
        <f t="shared" si="2469"/>
        <v>Approved</v>
      </c>
      <c r="T6029" t="str">
        <f t="shared" si="2456"/>
        <v>10.20.8.188</v>
      </c>
      <c r="U6029" t="str">
        <f t="shared" si="2470"/>
        <v>AZRAD UMAR BIN SHAARI</v>
      </c>
      <c r="V6029" t="str">
        <f t="shared" si="2471"/>
        <v>FARHANA BINTI MUSTAPA</v>
      </c>
      <c r="W6029" t="str">
        <f t="shared" si="2472"/>
        <v>04-08-2020</v>
      </c>
      <c r="X6029" t="str">
        <f t="shared" si="2473"/>
        <v>RAZIMAH ANSAR AHMAD</v>
      </c>
      <c r="Y6029" t="str">
        <f t="shared" si="2474"/>
        <v>04-08-2020</v>
      </c>
      <c r="Z6029" t="str">
        <f>"COS10200804 3125"</f>
        <v>COS10200804 3125</v>
      </c>
    </row>
    <row r="6030" spans="1:26" x14ac:dyDescent="0.25">
      <c r="A6030" t="str">
        <f t="shared" si="2462"/>
        <v>04-08-2020 12:43:51</v>
      </c>
      <c r="B6030" t="str">
        <f>"0000804891"</f>
        <v>0000804891</v>
      </c>
      <c r="C6030" t="str">
        <f t="shared" si="2463"/>
        <v>0000804767</v>
      </c>
      <c r="D6030" t="str">
        <f t="shared" si="2464"/>
        <v>73185</v>
      </c>
      <c r="E6030" t="str">
        <f t="shared" si="2465"/>
        <v>KFH-OPERATIONS DEPARTMENT</v>
      </c>
      <c r="F6030" t="str">
        <f t="shared" si="2466"/>
        <v>IBG</v>
      </c>
      <c r="G6030" t="str">
        <f t="shared" si="2477"/>
        <v>Refund COSHARE 10</v>
      </c>
      <c r="H6030" s="2">
        <v>286.55</v>
      </c>
      <c r="I6030" t="str">
        <f>"NOR HASHIM BIN MUSTAFA"</f>
        <v>NOR HASHIM BIN MUSTAFA</v>
      </c>
      <c r="J6030" t="str">
        <f t="shared" si="2461"/>
        <v>CIMB BANK / CIMB ISLAMIC BANK</v>
      </c>
      <c r="K6030" t="str">
        <f>"08050032184525"</f>
        <v>08050032184525</v>
      </c>
      <c r="L6030" t="str">
        <f t="shared" si="2475"/>
        <v>04-08-2020</v>
      </c>
      <c r="M6030" t="str">
        <f t="shared" si="2475"/>
        <v>04-08-2020</v>
      </c>
      <c r="N6030" t="str">
        <f t="shared" si="2467"/>
        <v>001105018356</v>
      </c>
      <c r="O6030" t="str">
        <f t="shared" si="2468"/>
        <v>MYR</v>
      </c>
      <c r="P6030" t="str">
        <f t="shared" si="2476"/>
        <v>NIL</v>
      </c>
      <c r="Q6030" t="str">
        <f t="shared" si="2476"/>
        <v>NIL</v>
      </c>
      <c r="R6030" t="str">
        <f t="shared" si="2455"/>
        <v>Accepted</v>
      </c>
      <c r="S6030" t="str">
        <f t="shared" si="2469"/>
        <v>Approved</v>
      </c>
      <c r="T6030" t="str">
        <f t="shared" si="2456"/>
        <v>10.20.8.188</v>
      </c>
      <c r="U6030" t="str">
        <f t="shared" si="2470"/>
        <v>AZRAD UMAR BIN SHAARI</v>
      </c>
      <c r="V6030" t="str">
        <f t="shared" si="2471"/>
        <v>FARHANA BINTI MUSTAPA</v>
      </c>
      <c r="W6030" t="str">
        <f t="shared" si="2472"/>
        <v>04-08-2020</v>
      </c>
      <c r="X6030" t="str">
        <f t="shared" si="2473"/>
        <v>RAZIMAH ANSAR AHMAD</v>
      </c>
      <c r="Y6030" t="str">
        <f t="shared" si="2474"/>
        <v>04-08-2020</v>
      </c>
      <c r="Z6030" t="str">
        <f>"COS10200804 3124"</f>
        <v>COS10200804 3124</v>
      </c>
    </row>
    <row r="6031" spans="1:26" x14ac:dyDescent="0.25">
      <c r="A6031" t="str">
        <f t="shared" si="2462"/>
        <v>04-08-2020 12:43:51</v>
      </c>
      <c r="B6031" t="str">
        <f>"0000804890"</f>
        <v>0000804890</v>
      </c>
      <c r="C6031" t="str">
        <f t="shared" si="2463"/>
        <v>0000804767</v>
      </c>
      <c r="D6031" t="str">
        <f t="shared" si="2464"/>
        <v>73185</v>
      </c>
      <c r="E6031" t="str">
        <f t="shared" si="2465"/>
        <v>KFH-OPERATIONS DEPARTMENT</v>
      </c>
      <c r="F6031" t="str">
        <f t="shared" si="2466"/>
        <v>IBG</v>
      </c>
      <c r="G6031" t="str">
        <f t="shared" si="2477"/>
        <v>Refund COSHARE 10</v>
      </c>
      <c r="H6031" s="2">
        <v>293.85000000000002</v>
      </c>
      <c r="I6031" t="str">
        <f>"NOR HASHIDA BINTI DARUS"</f>
        <v>NOR HASHIDA BINTI DARUS</v>
      </c>
      <c r="J6031" t="str">
        <f t="shared" si="2461"/>
        <v>CIMB BANK / CIMB ISLAMIC BANK</v>
      </c>
      <c r="K6031" t="str">
        <f>"09020127289521"</f>
        <v>09020127289521</v>
      </c>
      <c r="L6031" t="str">
        <f t="shared" si="2475"/>
        <v>04-08-2020</v>
      </c>
      <c r="M6031" t="str">
        <f t="shared" si="2475"/>
        <v>04-08-2020</v>
      </c>
      <c r="N6031" t="str">
        <f t="shared" si="2467"/>
        <v>001105018356</v>
      </c>
      <c r="O6031" t="str">
        <f t="shared" si="2468"/>
        <v>MYR</v>
      </c>
      <c r="P6031" t="str">
        <f t="shared" si="2476"/>
        <v>NIL</v>
      </c>
      <c r="Q6031" t="str">
        <f t="shared" si="2476"/>
        <v>NIL</v>
      </c>
      <c r="R6031" t="str">
        <f t="shared" si="2455"/>
        <v>Accepted</v>
      </c>
      <c r="S6031" t="str">
        <f t="shared" si="2469"/>
        <v>Approved</v>
      </c>
      <c r="T6031" t="str">
        <f t="shared" si="2456"/>
        <v>10.20.8.188</v>
      </c>
      <c r="U6031" t="str">
        <f t="shared" si="2470"/>
        <v>AZRAD UMAR BIN SHAARI</v>
      </c>
      <c r="V6031" t="str">
        <f t="shared" si="2471"/>
        <v>FARHANA BINTI MUSTAPA</v>
      </c>
      <c r="W6031" t="str">
        <f t="shared" si="2472"/>
        <v>04-08-2020</v>
      </c>
      <c r="X6031" t="str">
        <f t="shared" si="2473"/>
        <v>RAZIMAH ANSAR AHMAD</v>
      </c>
      <c r="Y6031" t="str">
        <f t="shared" si="2474"/>
        <v>04-08-2020</v>
      </c>
      <c r="Z6031" t="str">
        <f>"COS10200804 3123"</f>
        <v>COS10200804 3123</v>
      </c>
    </row>
    <row r="6032" spans="1:26" x14ac:dyDescent="0.25">
      <c r="A6032" t="str">
        <f t="shared" si="2462"/>
        <v>04-08-2020 12:43:51</v>
      </c>
      <c r="B6032" t="str">
        <f>"0000804889"</f>
        <v>0000804889</v>
      </c>
      <c r="C6032" t="str">
        <f t="shared" si="2463"/>
        <v>0000804767</v>
      </c>
      <c r="D6032" t="str">
        <f t="shared" si="2464"/>
        <v>73185</v>
      </c>
      <c r="E6032" t="str">
        <f t="shared" si="2465"/>
        <v>KFH-OPERATIONS DEPARTMENT</v>
      </c>
      <c r="F6032" t="str">
        <f t="shared" si="2466"/>
        <v>IBG</v>
      </c>
      <c r="G6032" t="str">
        <f t="shared" si="2477"/>
        <v>Refund COSHARE 10</v>
      </c>
      <c r="H6032" s="2">
        <v>184.7</v>
      </c>
      <c r="I6032" t="str">
        <f>"NOR HAMIZAH BINTI MOHAMAD SHARIFF"</f>
        <v>NOR HAMIZAH BINTI MOHAMAD SHARIFF</v>
      </c>
      <c r="J6032" t="str">
        <f t="shared" si="2461"/>
        <v>CIMB BANK / CIMB ISLAMIC BANK</v>
      </c>
      <c r="K6032" t="str">
        <f>"14400086498524"</f>
        <v>14400086498524</v>
      </c>
      <c r="L6032" t="str">
        <f t="shared" si="2475"/>
        <v>04-08-2020</v>
      </c>
      <c r="M6032" t="str">
        <f t="shared" si="2475"/>
        <v>04-08-2020</v>
      </c>
      <c r="N6032" t="str">
        <f t="shared" si="2467"/>
        <v>001105018356</v>
      </c>
      <c r="O6032" t="str">
        <f t="shared" si="2468"/>
        <v>MYR</v>
      </c>
      <c r="P6032" t="str">
        <f t="shared" si="2476"/>
        <v>NIL</v>
      </c>
      <c r="Q6032" t="str">
        <f t="shared" si="2476"/>
        <v>NIL</v>
      </c>
      <c r="R6032" t="str">
        <f t="shared" si="2455"/>
        <v>Accepted</v>
      </c>
      <c r="S6032" t="str">
        <f t="shared" si="2469"/>
        <v>Approved</v>
      </c>
      <c r="T6032" t="str">
        <f t="shared" si="2456"/>
        <v>10.20.8.188</v>
      </c>
      <c r="U6032" t="str">
        <f t="shared" si="2470"/>
        <v>AZRAD UMAR BIN SHAARI</v>
      </c>
      <c r="V6032" t="str">
        <f t="shared" si="2471"/>
        <v>FARHANA BINTI MUSTAPA</v>
      </c>
      <c r="W6032" t="str">
        <f t="shared" si="2472"/>
        <v>04-08-2020</v>
      </c>
      <c r="X6032" t="str">
        <f t="shared" si="2473"/>
        <v>RAZIMAH ANSAR AHMAD</v>
      </c>
      <c r="Y6032" t="str">
        <f t="shared" si="2474"/>
        <v>04-08-2020</v>
      </c>
      <c r="Z6032" t="str">
        <f>"COS10200804 3122"</f>
        <v>COS10200804 3122</v>
      </c>
    </row>
    <row r="6033" spans="1:26" x14ac:dyDescent="0.25">
      <c r="A6033" t="str">
        <f t="shared" si="2462"/>
        <v>04-08-2020 12:43:51</v>
      </c>
      <c r="B6033" t="str">
        <f>"0000804888"</f>
        <v>0000804888</v>
      </c>
      <c r="C6033" t="str">
        <f t="shared" si="2463"/>
        <v>0000804767</v>
      </c>
      <c r="D6033" t="str">
        <f t="shared" si="2464"/>
        <v>73185</v>
      </c>
      <c r="E6033" t="str">
        <f t="shared" si="2465"/>
        <v>KFH-OPERATIONS DEPARTMENT</v>
      </c>
      <c r="F6033" t="str">
        <f t="shared" si="2466"/>
        <v>IBG</v>
      </c>
      <c r="G6033" t="str">
        <f t="shared" si="2477"/>
        <v>Refund COSHARE 10</v>
      </c>
      <c r="H6033" s="2">
        <v>125.95</v>
      </c>
      <c r="I6033" t="str">
        <f>"NOR HAFIZAN BINTI ZAINUDDIN"</f>
        <v>NOR HAFIZAN BINTI ZAINUDDIN</v>
      </c>
      <c r="J6033" t="str">
        <f t="shared" si="2461"/>
        <v>CIMB BANK / CIMB ISLAMIC BANK</v>
      </c>
      <c r="K6033" t="str">
        <f>"7612813755"</f>
        <v>7612813755</v>
      </c>
      <c r="L6033" t="str">
        <f t="shared" si="2475"/>
        <v>04-08-2020</v>
      </c>
      <c r="M6033" t="str">
        <f t="shared" si="2475"/>
        <v>04-08-2020</v>
      </c>
      <c r="N6033" t="str">
        <f t="shared" si="2467"/>
        <v>001105018356</v>
      </c>
      <c r="O6033" t="str">
        <f t="shared" si="2468"/>
        <v>MYR</v>
      </c>
      <c r="P6033" t="str">
        <f t="shared" si="2476"/>
        <v>NIL</v>
      </c>
      <c r="Q6033" t="str">
        <f t="shared" si="2476"/>
        <v>NIL</v>
      </c>
      <c r="R6033" t="str">
        <f t="shared" si="2455"/>
        <v>Accepted</v>
      </c>
      <c r="S6033" t="str">
        <f t="shared" si="2469"/>
        <v>Approved</v>
      </c>
      <c r="T6033" t="str">
        <f t="shared" si="2456"/>
        <v>10.20.8.188</v>
      </c>
      <c r="U6033" t="str">
        <f t="shared" si="2470"/>
        <v>AZRAD UMAR BIN SHAARI</v>
      </c>
      <c r="V6033" t="str">
        <f t="shared" si="2471"/>
        <v>FARHANA BINTI MUSTAPA</v>
      </c>
      <c r="W6033" t="str">
        <f t="shared" si="2472"/>
        <v>04-08-2020</v>
      </c>
      <c r="X6033" t="str">
        <f t="shared" si="2473"/>
        <v>RAZIMAH ANSAR AHMAD</v>
      </c>
      <c r="Y6033" t="str">
        <f t="shared" si="2474"/>
        <v>04-08-2020</v>
      </c>
      <c r="Z6033" t="str">
        <f>"COS10200804 3121"</f>
        <v>COS10200804 3121</v>
      </c>
    </row>
    <row r="6034" spans="1:26" x14ac:dyDescent="0.25">
      <c r="A6034" t="str">
        <f t="shared" si="2462"/>
        <v>04-08-2020 12:43:51</v>
      </c>
      <c r="B6034" t="str">
        <f>"0000804887"</f>
        <v>0000804887</v>
      </c>
      <c r="C6034" t="str">
        <f t="shared" si="2463"/>
        <v>0000804767</v>
      </c>
      <c r="D6034" t="str">
        <f t="shared" si="2464"/>
        <v>73185</v>
      </c>
      <c r="E6034" t="str">
        <f t="shared" si="2465"/>
        <v>KFH-OPERATIONS DEPARTMENT</v>
      </c>
      <c r="F6034" t="str">
        <f t="shared" si="2466"/>
        <v>IBG</v>
      </c>
      <c r="G6034" t="str">
        <f t="shared" si="2477"/>
        <v>Refund COSHARE 10</v>
      </c>
      <c r="H6034" s="2">
        <v>671.6</v>
      </c>
      <c r="I6034" t="str">
        <f>"NOR FAEZAH BT NORDIN"</f>
        <v>NOR FAEZAH BT NORDIN</v>
      </c>
      <c r="J6034" t="str">
        <f t="shared" si="2461"/>
        <v>CIMB BANK / CIMB ISLAMIC BANK</v>
      </c>
      <c r="K6034" t="str">
        <f>"7616995336"</f>
        <v>7616995336</v>
      </c>
      <c r="L6034" t="str">
        <f t="shared" si="2475"/>
        <v>04-08-2020</v>
      </c>
      <c r="M6034" t="str">
        <f t="shared" si="2475"/>
        <v>04-08-2020</v>
      </c>
      <c r="N6034" t="str">
        <f t="shared" si="2467"/>
        <v>001105018356</v>
      </c>
      <c r="O6034" t="str">
        <f t="shared" si="2468"/>
        <v>MYR</v>
      </c>
      <c r="P6034" t="str">
        <f t="shared" si="2476"/>
        <v>NIL</v>
      </c>
      <c r="Q6034" t="str">
        <f t="shared" si="2476"/>
        <v>NIL</v>
      </c>
      <c r="R6034" t="str">
        <f t="shared" si="2455"/>
        <v>Accepted</v>
      </c>
      <c r="S6034" t="str">
        <f t="shared" si="2469"/>
        <v>Approved</v>
      </c>
      <c r="T6034" t="str">
        <f t="shared" si="2456"/>
        <v>10.20.8.188</v>
      </c>
      <c r="U6034" t="str">
        <f t="shared" si="2470"/>
        <v>AZRAD UMAR BIN SHAARI</v>
      </c>
      <c r="V6034" t="str">
        <f t="shared" si="2471"/>
        <v>FARHANA BINTI MUSTAPA</v>
      </c>
      <c r="W6034" t="str">
        <f t="shared" si="2472"/>
        <v>04-08-2020</v>
      </c>
      <c r="X6034" t="str">
        <f t="shared" si="2473"/>
        <v>RAZIMAH ANSAR AHMAD</v>
      </c>
      <c r="Y6034" t="str">
        <f t="shared" si="2474"/>
        <v>04-08-2020</v>
      </c>
      <c r="Z6034" t="str">
        <f>"COS10200804 3120"</f>
        <v>COS10200804 3120</v>
      </c>
    </row>
    <row r="6035" spans="1:26" x14ac:dyDescent="0.25">
      <c r="A6035" t="str">
        <f t="shared" si="2462"/>
        <v>04-08-2020 12:43:51</v>
      </c>
      <c r="B6035" t="str">
        <f>"0000804886"</f>
        <v>0000804886</v>
      </c>
      <c r="C6035" t="str">
        <f t="shared" si="2463"/>
        <v>0000804767</v>
      </c>
      <c r="D6035" t="str">
        <f t="shared" si="2464"/>
        <v>73185</v>
      </c>
      <c r="E6035" t="str">
        <f t="shared" si="2465"/>
        <v>KFH-OPERATIONS DEPARTMENT</v>
      </c>
      <c r="F6035" t="str">
        <f t="shared" si="2466"/>
        <v>IBG</v>
      </c>
      <c r="G6035" t="str">
        <f t="shared" si="2477"/>
        <v>Refund COSHARE 10</v>
      </c>
      <c r="H6035" s="2">
        <v>805.95</v>
      </c>
      <c r="I6035" t="str">
        <f>"NOR FADILAH BINTI JOHAN"</f>
        <v>NOR FADILAH BINTI JOHAN</v>
      </c>
      <c r="J6035" t="str">
        <f t="shared" si="2461"/>
        <v>CIMB BANK / CIMB ISLAMIC BANK</v>
      </c>
      <c r="K6035" t="str">
        <f>"14420065440524"</f>
        <v>14420065440524</v>
      </c>
      <c r="L6035" t="str">
        <f t="shared" si="2475"/>
        <v>04-08-2020</v>
      </c>
      <c r="M6035" t="str">
        <f t="shared" si="2475"/>
        <v>04-08-2020</v>
      </c>
      <c r="N6035" t="str">
        <f t="shared" si="2467"/>
        <v>001105018356</v>
      </c>
      <c r="O6035" t="str">
        <f t="shared" si="2468"/>
        <v>MYR</v>
      </c>
      <c r="P6035" t="str">
        <f t="shared" si="2476"/>
        <v>NIL</v>
      </c>
      <c r="Q6035" t="str">
        <f t="shared" si="2476"/>
        <v>NIL</v>
      </c>
      <c r="R6035" t="str">
        <f t="shared" si="2455"/>
        <v>Accepted</v>
      </c>
      <c r="S6035" t="str">
        <f t="shared" si="2469"/>
        <v>Approved</v>
      </c>
      <c r="T6035" t="str">
        <f t="shared" si="2456"/>
        <v>10.20.8.188</v>
      </c>
      <c r="U6035" t="str">
        <f t="shared" si="2470"/>
        <v>AZRAD UMAR BIN SHAARI</v>
      </c>
      <c r="V6035" t="str">
        <f t="shared" si="2471"/>
        <v>FARHANA BINTI MUSTAPA</v>
      </c>
      <c r="W6035" t="str">
        <f t="shared" si="2472"/>
        <v>04-08-2020</v>
      </c>
      <c r="X6035" t="str">
        <f t="shared" si="2473"/>
        <v>RAZIMAH ANSAR AHMAD</v>
      </c>
      <c r="Y6035" t="str">
        <f t="shared" si="2474"/>
        <v>04-08-2020</v>
      </c>
      <c r="Z6035" t="str">
        <f>"COS10200804 3119"</f>
        <v>COS10200804 3119</v>
      </c>
    </row>
    <row r="6036" spans="1:26" x14ac:dyDescent="0.25">
      <c r="A6036" t="str">
        <f t="shared" si="2462"/>
        <v>04-08-2020 12:43:51</v>
      </c>
      <c r="B6036" t="str">
        <f>"0000804885"</f>
        <v>0000804885</v>
      </c>
      <c r="C6036" t="str">
        <f t="shared" si="2463"/>
        <v>0000804767</v>
      </c>
      <c r="D6036" t="str">
        <f t="shared" si="2464"/>
        <v>73185</v>
      </c>
      <c r="E6036" t="str">
        <f t="shared" si="2465"/>
        <v>KFH-OPERATIONS DEPARTMENT</v>
      </c>
      <c r="F6036" t="str">
        <f t="shared" si="2466"/>
        <v>IBG</v>
      </c>
      <c r="G6036" t="str">
        <f t="shared" si="2477"/>
        <v>Refund COSHARE 10</v>
      </c>
      <c r="H6036" s="2">
        <v>107</v>
      </c>
      <c r="I6036" t="str">
        <f>"NOR BAIZURA BINTI MOHD YUNAN"</f>
        <v>NOR BAIZURA BINTI MOHD YUNAN</v>
      </c>
      <c r="J6036" t="str">
        <f t="shared" si="2461"/>
        <v>CIMB BANK / CIMB ISLAMIC BANK</v>
      </c>
      <c r="K6036" t="str">
        <f>"03020069410523"</f>
        <v>03020069410523</v>
      </c>
      <c r="L6036" t="str">
        <f t="shared" si="2475"/>
        <v>04-08-2020</v>
      </c>
      <c r="M6036" t="str">
        <f t="shared" si="2475"/>
        <v>04-08-2020</v>
      </c>
      <c r="N6036" t="str">
        <f t="shared" si="2467"/>
        <v>001105018356</v>
      </c>
      <c r="O6036" t="str">
        <f t="shared" si="2468"/>
        <v>MYR</v>
      </c>
      <c r="P6036" t="str">
        <f t="shared" si="2476"/>
        <v>NIL</v>
      </c>
      <c r="Q6036" t="str">
        <f t="shared" si="2476"/>
        <v>NIL</v>
      </c>
      <c r="R6036" t="str">
        <f t="shared" si="2455"/>
        <v>Accepted</v>
      </c>
      <c r="S6036" t="str">
        <f t="shared" si="2469"/>
        <v>Approved</v>
      </c>
      <c r="T6036" t="str">
        <f t="shared" si="2456"/>
        <v>10.20.8.188</v>
      </c>
      <c r="U6036" t="str">
        <f t="shared" si="2470"/>
        <v>AZRAD UMAR BIN SHAARI</v>
      </c>
      <c r="V6036" t="str">
        <f t="shared" si="2471"/>
        <v>FARHANA BINTI MUSTAPA</v>
      </c>
      <c r="W6036" t="str">
        <f t="shared" si="2472"/>
        <v>04-08-2020</v>
      </c>
      <c r="X6036" t="str">
        <f t="shared" si="2473"/>
        <v>RAZIMAH ANSAR AHMAD</v>
      </c>
      <c r="Y6036" t="str">
        <f t="shared" si="2474"/>
        <v>04-08-2020</v>
      </c>
      <c r="Z6036" t="str">
        <f>"COS10200804 3118"</f>
        <v>COS10200804 3118</v>
      </c>
    </row>
    <row r="6037" spans="1:26" x14ac:dyDescent="0.25">
      <c r="A6037" t="str">
        <f t="shared" si="2462"/>
        <v>04-08-2020 12:43:51</v>
      </c>
      <c r="B6037" t="str">
        <f>"0000804884"</f>
        <v>0000804884</v>
      </c>
      <c r="C6037" t="str">
        <f t="shared" si="2463"/>
        <v>0000804767</v>
      </c>
      <c r="D6037" t="str">
        <f t="shared" si="2464"/>
        <v>73185</v>
      </c>
      <c r="E6037" t="str">
        <f t="shared" si="2465"/>
        <v>KFH-OPERATIONS DEPARTMENT</v>
      </c>
      <c r="F6037" t="str">
        <f t="shared" si="2466"/>
        <v>IBG</v>
      </c>
      <c r="G6037" t="str">
        <f t="shared" si="2477"/>
        <v>Refund COSHARE 10</v>
      </c>
      <c r="H6037" s="2">
        <v>503.7</v>
      </c>
      <c r="I6037" t="str">
        <f>"NOR AZWIN BINTI AZLAN"</f>
        <v>NOR AZWIN BINTI AZLAN</v>
      </c>
      <c r="J6037" t="str">
        <f t="shared" si="2461"/>
        <v>CIMB BANK / CIMB ISLAMIC BANK</v>
      </c>
      <c r="K6037" t="str">
        <f>"04070062765526"</f>
        <v>04070062765526</v>
      </c>
      <c r="L6037" t="str">
        <f t="shared" si="2475"/>
        <v>04-08-2020</v>
      </c>
      <c r="M6037" t="str">
        <f t="shared" si="2475"/>
        <v>04-08-2020</v>
      </c>
      <c r="N6037" t="str">
        <f t="shared" si="2467"/>
        <v>001105018356</v>
      </c>
      <c r="O6037" t="str">
        <f t="shared" si="2468"/>
        <v>MYR</v>
      </c>
      <c r="P6037" t="str">
        <f t="shared" si="2476"/>
        <v>NIL</v>
      </c>
      <c r="Q6037" t="str">
        <f t="shared" si="2476"/>
        <v>NIL</v>
      </c>
      <c r="R6037" t="str">
        <f t="shared" si="2455"/>
        <v>Accepted</v>
      </c>
      <c r="S6037" t="str">
        <f t="shared" si="2469"/>
        <v>Approved</v>
      </c>
      <c r="T6037" t="str">
        <f t="shared" si="2456"/>
        <v>10.20.8.188</v>
      </c>
      <c r="U6037" t="str">
        <f t="shared" si="2470"/>
        <v>AZRAD UMAR BIN SHAARI</v>
      </c>
      <c r="V6037" t="str">
        <f t="shared" si="2471"/>
        <v>FARHANA BINTI MUSTAPA</v>
      </c>
      <c r="W6037" t="str">
        <f t="shared" si="2472"/>
        <v>04-08-2020</v>
      </c>
      <c r="X6037" t="str">
        <f t="shared" si="2473"/>
        <v>RAZIMAH ANSAR AHMAD</v>
      </c>
      <c r="Y6037" t="str">
        <f t="shared" si="2474"/>
        <v>04-08-2020</v>
      </c>
      <c r="Z6037" t="str">
        <f>"COS10200804 3117"</f>
        <v>COS10200804 3117</v>
      </c>
    </row>
    <row r="6038" spans="1:26" x14ac:dyDescent="0.25">
      <c r="A6038" t="str">
        <f t="shared" si="2462"/>
        <v>04-08-2020 12:43:51</v>
      </c>
      <c r="B6038" t="str">
        <f>"0000804883"</f>
        <v>0000804883</v>
      </c>
      <c r="C6038" t="str">
        <f t="shared" si="2463"/>
        <v>0000804767</v>
      </c>
      <c r="D6038" t="str">
        <f t="shared" si="2464"/>
        <v>73185</v>
      </c>
      <c r="E6038" t="str">
        <f t="shared" si="2465"/>
        <v>KFH-OPERATIONS DEPARTMENT</v>
      </c>
      <c r="F6038" t="str">
        <f t="shared" si="2466"/>
        <v>IBG</v>
      </c>
      <c r="G6038" t="str">
        <f t="shared" si="2477"/>
        <v>Refund COSHARE 10</v>
      </c>
      <c r="H6038" s="2">
        <v>228</v>
      </c>
      <c r="I6038" t="str">
        <f>"NOR AZURA BINTI MOHAMAD ASIR"</f>
        <v>NOR AZURA BINTI MOHAMAD ASIR</v>
      </c>
      <c r="J6038" t="str">
        <f t="shared" si="2461"/>
        <v>CIMB BANK / CIMB ISLAMIC BANK</v>
      </c>
      <c r="K6038" t="str">
        <f>"12380067205521"</f>
        <v>12380067205521</v>
      </c>
      <c r="L6038" t="str">
        <f t="shared" si="2475"/>
        <v>04-08-2020</v>
      </c>
      <c r="M6038" t="str">
        <f t="shared" si="2475"/>
        <v>04-08-2020</v>
      </c>
      <c r="N6038" t="str">
        <f t="shared" si="2467"/>
        <v>001105018356</v>
      </c>
      <c r="O6038" t="str">
        <f t="shared" si="2468"/>
        <v>MYR</v>
      </c>
      <c r="P6038" t="str">
        <f t="shared" si="2476"/>
        <v>NIL</v>
      </c>
      <c r="Q6038" t="str">
        <f t="shared" si="2476"/>
        <v>NIL</v>
      </c>
      <c r="R6038" t="str">
        <f t="shared" si="2455"/>
        <v>Accepted</v>
      </c>
      <c r="S6038" t="str">
        <f t="shared" si="2469"/>
        <v>Approved</v>
      </c>
      <c r="T6038" t="str">
        <f t="shared" si="2456"/>
        <v>10.20.8.188</v>
      </c>
      <c r="U6038" t="str">
        <f t="shared" si="2470"/>
        <v>AZRAD UMAR BIN SHAARI</v>
      </c>
      <c r="V6038" t="str">
        <f t="shared" si="2471"/>
        <v>FARHANA BINTI MUSTAPA</v>
      </c>
      <c r="W6038" t="str">
        <f t="shared" si="2472"/>
        <v>04-08-2020</v>
      </c>
      <c r="X6038" t="str">
        <f t="shared" si="2473"/>
        <v>RAZIMAH ANSAR AHMAD</v>
      </c>
      <c r="Y6038" t="str">
        <f t="shared" si="2474"/>
        <v>04-08-2020</v>
      </c>
      <c r="Z6038" t="str">
        <f>"COS10200804 3116"</f>
        <v>COS10200804 3116</v>
      </c>
    </row>
    <row r="6039" spans="1:26" x14ac:dyDescent="0.25">
      <c r="A6039" t="str">
        <f t="shared" si="2462"/>
        <v>04-08-2020 12:43:51</v>
      </c>
      <c r="B6039" t="str">
        <f>"0000804882"</f>
        <v>0000804882</v>
      </c>
      <c r="C6039" t="str">
        <f t="shared" si="2463"/>
        <v>0000804767</v>
      </c>
      <c r="D6039" t="str">
        <f t="shared" si="2464"/>
        <v>73185</v>
      </c>
      <c r="E6039" t="str">
        <f t="shared" si="2465"/>
        <v>KFH-OPERATIONS DEPARTMENT</v>
      </c>
      <c r="F6039" t="str">
        <f t="shared" si="2466"/>
        <v>IBG</v>
      </c>
      <c r="G6039" t="str">
        <f t="shared" si="2477"/>
        <v>Refund COSHARE 10</v>
      </c>
      <c r="H6039" s="2">
        <v>342</v>
      </c>
      <c r="I6039" t="str">
        <f>"NOR AZRINA BINTI ABDULLAH"</f>
        <v>NOR AZRINA BINTI ABDULLAH</v>
      </c>
      <c r="J6039" t="str">
        <f t="shared" si="2461"/>
        <v>CIMB BANK / CIMB ISLAMIC BANK</v>
      </c>
      <c r="K6039" t="str">
        <f>"14420062846529"</f>
        <v>14420062846529</v>
      </c>
      <c r="L6039" t="str">
        <f t="shared" si="2475"/>
        <v>04-08-2020</v>
      </c>
      <c r="M6039" t="str">
        <f t="shared" si="2475"/>
        <v>04-08-2020</v>
      </c>
      <c r="N6039" t="str">
        <f t="shared" si="2467"/>
        <v>001105018356</v>
      </c>
      <c r="O6039" t="str">
        <f t="shared" si="2468"/>
        <v>MYR</v>
      </c>
      <c r="P6039" t="str">
        <f t="shared" si="2476"/>
        <v>NIL</v>
      </c>
      <c r="Q6039" t="str">
        <f t="shared" si="2476"/>
        <v>NIL</v>
      </c>
      <c r="R6039" t="str">
        <f t="shared" si="2455"/>
        <v>Accepted</v>
      </c>
      <c r="S6039" t="str">
        <f t="shared" si="2469"/>
        <v>Approved</v>
      </c>
      <c r="T6039" t="str">
        <f t="shared" si="2456"/>
        <v>10.20.8.188</v>
      </c>
      <c r="U6039" t="str">
        <f t="shared" si="2470"/>
        <v>AZRAD UMAR BIN SHAARI</v>
      </c>
      <c r="V6039" t="str">
        <f t="shared" si="2471"/>
        <v>FARHANA BINTI MUSTAPA</v>
      </c>
      <c r="W6039" t="str">
        <f t="shared" si="2472"/>
        <v>04-08-2020</v>
      </c>
      <c r="X6039" t="str">
        <f t="shared" si="2473"/>
        <v>RAZIMAH ANSAR AHMAD</v>
      </c>
      <c r="Y6039" t="str">
        <f t="shared" si="2474"/>
        <v>04-08-2020</v>
      </c>
      <c r="Z6039" t="str">
        <f>"COS10200804 3115"</f>
        <v>COS10200804 3115</v>
      </c>
    </row>
    <row r="6040" spans="1:26" x14ac:dyDescent="0.25">
      <c r="A6040" t="str">
        <f t="shared" si="2462"/>
        <v>04-08-2020 12:43:51</v>
      </c>
      <c r="B6040" t="str">
        <f>"0000804881"</f>
        <v>0000804881</v>
      </c>
      <c r="C6040" t="str">
        <f t="shared" si="2463"/>
        <v>0000804767</v>
      </c>
      <c r="D6040" t="str">
        <f t="shared" si="2464"/>
        <v>73185</v>
      </c>
      <c r="E6040" t="str">
        <f t="shared" si="2465"/>
        <v>KFH-OPERATIONS DEPARTMENT</v>
      </c>
      <c r="F6040" t="str">
        <f t="shared" si="2466"/>
        <v>IBG</v>
      </c>
      <c r="G6040" t="str">
        <f t="shared" si="2477"/>
        <v>Refund COSHARE 10</v>
      </c>
      <c r="H6040" s="2">
        <v>228</v>
      </c>
      <c r="I6040" t="str">
        <f>"NOR AZLINA BINTI YAHYA"</f>
        <v>NOR AZLINA BINTI YAHYA</v>
      </c>
      <c r="J6040" t="str">
        <f t="shared" si="2461"/>
        <v>CIMB BANK / CIMB ISLAMIC BANK</v>
      </c>
      <c r="K6040" t="str">
        <f>"12570000522528"</f>
        <v>12570000522528</v>
      </c>
      <c r="L6040" t="str">
        <f t="shared" si="2475"/>
        <v>04-08-2020</v>
      </c>
      <c r="M6040" t="str">
        <f t="shared" si="2475"/>
        <v>04-08-2020</v>
      </c>
      <c r="N6040" t="str">
        <f t="shared" si="2467"/>
        <v>001105018356</v>
      </c>
      <c r="O6040" t="str">
        <f t="shared" si="2468"/>
        <v>MYR</v>
      </c>
      <c r="P6040" t="str">
        <f t="shared" si="2476"/>
        <v>NIL</v>
      </c>
      <c r="Q6040" t="str">
        <f t="shared" si="2476"/>
        <v>NIL</v>
      </c>
      <c r="R6040" t="str">
        <f t="shared" si="2455"/>
        <v>Accepted</v>
      </c>
      <c r="S6040" t="str">
        <f t="shared" si="2469"/>
        <v>Approved</v>
      </c>
      <c r="T6040" t="str">
        <f t="shared" si="2456"/>
        <v>10.20.8.188</v>
      </c>
      <c r="U6040" t="str">
        <f t="shared" si="2470"/>
        <v>AZRAD UMAR BIN SHAARI</v>
      </c>
      <c r="V6040" t="str">
        <f t="shared" si="2471"/>
        <v>FARHANA BINTI MUSTAPA</v>
      </c>
      <c r="W6040" t="str">
        <f t="shared" si="2472"/>
        <v>04-08-2020</v>
      </c>
      <c r="X6040" t="str">
        <f t="shared" si="2473"/>
        <v>RAZIMAH ANSAR AHMAD</v>
      </c>
      <c r="Y6040" t="str">
        <f t="shared" si="2474"/>
        <v>04-08-2020</v>
      </c>
      <c r="Z6040" t="str">
        <f>"COS10200804 3114"</f>
        <v>COS10200804 3114</v>
      </c>
    </row>
    <row r="6041" spans="1:26" x14ac:dyDescent="0.25">
      <c r="A6041" t="str">
        <f t="shared" si="2462"/>
        <v>04-08-2020 12:43:51</v>
      </c>
      <c r="B6041" t="str">
        <f>"0000804880"</f>
        <v>0000804880</v>
      </c>
      <c r="C6041" t="str">
        <f t="shared" si="2463"/>
        <v>0000804767</v>
      </c>
      <c r="D6041" t="str">
        <f t="shared" si="2464"/>
        <v>73185</v>
      </c>
      <c r="E6041" t="str">
        <f t="shared" si="2465"/>
        <v>KFH-OPERATIONS DEPARTMENT</v>
      </c>
      <c r="F6041" t="str">
        <f t="shared" si="2466"/>
        <v>IBG</v>
      </c>
      <c r="G6041" t="str">
        <f t="shared" si="2477"/>
        <v>Refund COSHARE 10</v>
      </c>
      <c r="H6041" s="2">
        <v>587.65</v>
      </c>
      <c r="I6041" t="str">
        <f>"NOR AZLIN BINTI MOHD FADZAL"</f>
        <v>NOR AZLIN BINTI MOHD FADZAL</v>
      </c>
      <c r="J6041" t="str">
        <f t="shared" si="2461"/>
        <v>CIMB BANK / CIMB ISLAMIC BANK</v>
      </c>
      <c r="K6041" t="str">
        <f>"7002972005"</f>
        <v>7002972005</v>
      </c>
      <c r="L6041" t="str">
        <f t="shared" si="2475"/>
        <v>04-08-2020</v>
      </c>
      <c r="M6041" t="str">
        <f t="shared" si="2475"/>
        <v>04-08-2020</v>
      </c>
      <c r="N6041" t="str">
        <f t="shared" si="2467"/>
        <v>001105018356</v>
      </c>
      <c r="O6041" t="str">
        <f t="shared" si="2468"/>
        <v>MYR</v>
      </c>
      <c r="P6041" t="str">
        <f t="shared" si="2476"/>
        <v>NIL</v>
      </c>
      <c r="Q6041" t="str">
        <f t="shared" si="2476"/>
        <v>NIL</v>
      </c>
      <c r="R6041" t="str">
        <f t="shared" si="2455"/>
        <v>Accepted</v>
      </c>
      <c r="S6041" t="str">
        <f t="shared" si="2469"/>
        <v>Approved</v>
      </c>
      <c r="T6041" t="str">
        <f t="shared" si="2456"/>
        <v>10.20.8.188</v>
      </c>
      <c r="U6041" t="str">
        <f t="shared" si="2470"/>
        <v>AZRAD UMAR BIN SHAARI</v>
      </c>
      <c r="V6041" t="str">
        <f t="shared" si="2471"/>
        <v>FARHANA BINTI MUSTAPA</v>
      </c>
      <c r="W6041" t="str">
        <f t="shared" si="2472"/>
        <v>04-08-2020</v>
      </c>
      <c r="X6041" t="str">
        <f t="shared" si="2473"/>
        <v>RAZIMAH ANSAR AHMAD</v>
      </c>
      <c r="Y6041" t="str">
        <f t="shared" si="2474"/>
        <v>04-08-2020</v>
      </c>
      <c r="Z6041" t="str">
        <f>"COS10200804 3113"</f>
        <v>COS10200804 3113</v>
      </c>
    </row>
    <row r="6042" spans="1:26" x14ac:dyDescent="0.25">
      <c r="A6042" t="str">
        <f t="shared" si="2462"/>
        <v>04-08-2020 12:43:51</v>
      </c>
      <c r="B6042" t="str">
        <f>"0000804879"</f>
        <v>0000804879</v>
      </c>
      <c r="C6042" t="str">
        <f t="shared" si="2463"/>
        <v>0000804767</v>
      </c>
      <c r="D6042" t="str">
        <f t="shared" si="2464"/>
        <v>73185</v>
      </c>
      <c r="E6042" t="str">
        <f t="shared" si="2465"/>
        <v>KFH-OPERATIONS DEPARTMENT</v>
      </c>
      <c r="F6042" t="str">
        <f t="shared" si="2466"/>
        <v>IBG</v>
      </c>
      <c r="G6042" t="str">
        <f t="shared" si="2477"/>
        <v>Refund COSHARE 10</v>
      </c>
      <c r="H6042" s="2">
        <v>586.85</v>
      </c>
      <c r="I6042" t="str">
        <f>"NOR AZLIM BINTI MUHAMAD  AZIZ"</f>
        <v>NOR AZLIM BINTI MUHAMAD  AZIZ</v>
      </c>
      <c r="J6042" t="str">
        <f t="shared" si="2461"/>
        <v>CIMB BANK / CIMB ISLAMIC BANK</v>
      </c>
      <c r="K6042" t="str">
        <f>"06130067064520"</f>
        <v>06130067064520</v>
      </c>
      <c r="L6042" t="str">
        <f t="shared" si="2475"/>
        <v>04-08-2020</v>
      </c>
      <c r="M6042" t="str">
        <f t="shared" si="2475"/>
        <v>04-08-2020</v>
      </c>
      <c r="N6042" t="str">
        <f t="shared" si="2467"/>
        <v>001105018356</v>
      </c>
      <c r="O6042" t="str">
        <f t="shared" si="2468"/>
        <v>MYR</v>
      </c>
      <c r="P6042" t="str">
        <f t="shared" si="2476"/>
        <v>NIL</v>
      </c>
      <c r="Q6042" t="str">
        <f t="shared" si="2476"/>
        <v>NIL</v>
      </c>
      <c r="R6042" t="str">
        <f t="shared" si="2455"/>
        <v>Accepted</v>
      </c>
      <c r="S6042" t="str">
        <f t="shared" si="2469"/>
        <v>Approved</v>
      </c>
      <c r="T6042" t="str">
        <f t="shared" si="2456"/>
        <v>10.20.8.188</v>
      </c>
      <c r="U6042" t="str">
        <f t="shared" si="2470"/>
        <v>AZRAD UMAR BIN SHAARI</v>
      </c>
      <c r="V6042" t="str">
        <f t="shared" si="2471"/>
        <v>FARHANA BINTI MUSTAPA</v>
      </c>
      <c r="W6042" t="str">
        <f t="shared" si="2472"/>
        <v>04-08-2020</v>
      </c>
      <c r="X6042" t="str">
        <f t="shared" si="2473"/>
        <v>RAZIMAH ANSAR AHMAD</v>
      </c>
      <c r="Y6042" t="str">
        <f t="shared" si="2474"/>
        <v>04-08-2020</v>
      </c>
      <c r="Z6042" t="str">
        <f>"COS10200804 3112"</f>
        <v>COS10200804 3112</v>
      </c>
    </row>
    <row r="6043" spans="1:26" x14ac:dyDescent="0.25">
      <c r="A6043" t="str">
        <f t="shared" si="2462"/>
        <v>04-08-2020 12:43:51</v>
      </c>
      <c r="B6043" t="str">
        <f>"0000804878"</f>
        <v>0000804878</v>
      </c>
      <c r="C6043" t="str">
        <f t="shared" si="2463"/>
        <v>0000804767</v>
      </c>
      <c r="D6043" t="str">
        <f t="shared" si="2464"/>
        <v>73185</v>
      </c>
      <c r="E6043" t="str">
        <f t="shared" si="2465"/>
        <v>KFH-OPERATIONS DEPARTMENT</v>
      </c>
      <c r="F6043" t="str">
        <f t="shared" si="2466"/>
        <v>IBG</v>
      </c>
      <c r="G6043" t="str">
        <f t="shared" si="2477"/>
        <v>Refund COSHARE 10</v>
      </c>
      <c r="H6043" s="2">
        <v>906.65</v>
      </c>
      <c r="I6043" t="str">
        <f>"NOR AZLIANA BINTI BAHARUDDIN"</f>
        <v>NOR AZLIANA BINTI BAHARUDDIN</v>
      </c>
      <c r="J6043" t="str">
        <f t="shared" si="2461"/>
        <v>CIMB BANK / CIMB ISLAMIC BANK</v>
      </c>
      <c r="K6043" t="str">
        <f>"06120064808521"</f>
        <v>06120064808521</v>
      </c>
      <c r="L6043" t="str">
        <f t="shared" si="2475"/>
        <v>04-08-2020</v>
      </c>
      <c r="M6043" t="str">
        <f t="shared" si="2475"/>
        <v>04-08-2020</v>
      </c>
      <c r="N6043" t="str">
        <f t="shared" si="2467"/>
        <v>001105018356</v>
      </c>
      <c r="O6043" t="str">
        <f t="shared" si="2468"/>
        <v>MYR</v>
      </c>
      <c r="P6043" t="str">
        <f t="shared" si="2476"/>
        <v>NIL</v>
      </c>
      <c r="Q6043" t="str">
        <f t="shared" si="2476"/>
        <v>NIL</v>
      </c>
      <c r="R6043" t="str">
        <f t="shared" si="2455"/>
        <v>Accepted</v>
      </c>
      <c r="S6043" t="str">
        <f t="shared" si="2469"/>
        <v>Approved</v>
      </c>
      <c r="T6043" t="str">
        <f t="shared" si="2456"/>
        <v>10.20.8.188</v>
      </c>
      <c r="U6043" t="str">
        <f t="shared" si="2470"/>
        <v>AZRAD UMAR BIN SHAARI</v>
      </c>
      <c r="V6043" t="str">
        <f t="shared" si="2471"/>
        <v>FARHANA BINTI MUSTAPA</v>
      </c>
      <c r="W6043" t="str">
        <f t="shared" si="2472"/>
        <v>04-08-2020</v>
      </c>
      <c r="X6043" t="str">
        <f t="shared" si="2473"/>
        <v>RAZIMAH ANSAR AHMAD</v>
      </c>
      <c r="Y6043" t="str">
        <f t="shared" si="2474"/>
        <v>04-08-2020</v>
      </c>
      <c r="Z6043" t="str">
        <f>"COS10200804 3111"</f>
        <v>COS10200804 3111</v>
      </c>
    </row>
    <row r="6044" spans="1:26" x14ac:dyDescent="0.25">
      <c r="A6044" t="str">
        <f t="shared" si="2462"/>
        <v>04-08-2020 12:43:51</v>
      </c>
      <c r="B6044" t="str">
        <f>"0000804877"</f>
        <v>0000804877</v>
      </c>
      <c r="C6044" t="str">
        <f t="shared" si="2463"/>
        <v>0000804767</v>
      </c>
      <c r="D6044" t="str">
        <f t="shared" si="2464"/>
        <v>73185</v>
      </c>
      <c r="E6044" t="str">
        <f t="shared" si="2465"/>
        <v>KFH-OPERATIONS DEPARTMENT</v>
      </c>
      <c r="F6044" t="str">
        <f t="shared" si="2466"/>
        <v>IBG</v>
      </c>
      <c r="G6044" t="str">
        <f t="shared" si="2477"/>
        <v>Refund COSHARE 10</v>
      </c>
      <c r="H6044" s="2">
        <v>1703.75</v>
      </c>
      <c r="I6044" t="str">
        <f>"NOR AZIZAH BINTI DARUS"</f>
        <v>NOR AZIZAH BINTI DARUS</v>
      </c>
      <c r="J6044" t="str">
        <f t="shared" si="2461"/>
        <v>CIMB BANK / CIMB ISLAMIC BANK</v>
      </c>
      <c r="K6044" t="str">
        <f>"07200007078522"</f>
        <v>07200007078522</v>
      </c>
      <c r="L6044" t="str">
        <f t="shared" si="2475"/>
        <v>04-08-2020</v>
      </c>
      <c r="M6044" t="str">
        <f t="shared" si="2475"/>
        <v>04-08-2020</v>
      </c>
      <c r="N6044" t="str">
        <f t="shared" si="2467"/>
        <v>001105018356</v>
      </c>
      <c r="O6044" t="str">
        <f t="shared" si="2468"/>
        <v>MYR</v>
      </c>
      <c r="P6044" t="str">
        <f t="shared" si="2476"/>
        <v>NIL</v>
      </c>
      <c r="Q6044" t="str">
        <f t="shared" si="2476"/>
        <v>NIL</v>
      </c>
      <c r="R6044" t="str">
        <f t="shared" si="2455"/>
        <v>Accepted</v>
      </c>
      <c r="S6044" t="str">
        <f t="shared" si="2469"/>
        <v>Approved</v>
      </c>
      <c r="T6044" t="str">
        <f t="shared" si="2456"/>
        <v>10.20.8.188</v>
      </c>
      <c r="U6044" t="str">
        <f t="shared" si="2470"/>
        <v>AZRAD UMAR BIN SHAARI</v>
      </c>
      <c r="V6044" t="str">
        <f t="shared" si="2471"/>
        <v>FARHANA BINTI MUSTAPA</v>
      </c>
      <c r="W6044" t="str">
        <f t="shared" si="2472"/>
        <v>04-08-2020</v>
      </c>
      <c r="X6044" t="str">
        <f t="shared" si="2473"/>
        <v>RAZIMAH ANSAR AHMAD</v>
      </c>
      <c r="Y6044" t="str">
        <f t="shared" si="2474"/>
        <v>04-08-2020</v>
      </c>
      <c r="Z6044" t="str">
        <f>"COS10200804 3110"</f>
        <v>COS10200804 3110</v>
      </c>
    </row>
    <row r="6045" spans="1:26" x14ac:dyDescent="0.25">
      <c r="A6045" t="str">
        <f t="shared" si="2462"/>
        <v>04-08-2020 12:43:51</v>
      </c>
      <c r="B6045" t="str">
        <f>"0000804876"</f>
        <v>0000804876</v>
      </c>
      <c r="C6045" t="str">
        <f t="shared" si="2463"/>
        <v>0000804767</v>
      </c>
      <c r="D6045" t="str">
        <f t="shared" si="2464"/>
        <v>73185</v>
      </c>
      <c r="E6045" t="str">
        <f t="shared" si="2465"/>
        <v>KFH-OPERATIONS DEPARTMENT</v>
      </c>
      <c r="F6045" t="str">
        <f t="shared" si="2466"/>
        <v>IBG</v>
      </c>
      <c r="G6045" t="str">
        <f t="shared" si="2477"/>
        <v>Refund COSHARE 10</v>
      </c>
      <c r="H6045" s="2">
        <v>83.95</v>
      </c>
      <c r="I6045" t="str">
        <f>"NOR AZIZAH BINTI ALIAS"</f>
        <v>NOR AZIZAH BINTI ALIAS</v>
      </c>
      <c r="J6045" t="str">
        <f t="shared" si="2461"/>
        <v>CIMB BANK / CIMB ISLAMIC BANK</v>
      </c>
      <c r="K6045" t="str">
        <f>"7611885837"</f>
        <v>7611885837</v>
      </c>
      <c r="L6045" t="str">
        <f t="shared" si="2475"/>
        <v>04-08-2020</v>
      </c>
      <c r="M6045" t="str">
        <f t="shared" si="2475"/>
        <v>04-08-2020</v>
      </c>
      <c r="N6045" t="str">
        <f t="shared" si="2467"/>
        <v>001105018356</v>
      </c>
      <c r="O6045" t="str">
        <f t="shared" si="2468"/>
        <v>MYR</v>
      </c>
      <c r="P6045" t="str">
        <f t="shared" si="2476"/>
        <v>NIL</v>
      </c>
      <c r="Q6045" t="str">
        <f t="shared" si="2476"/>
        <v>NIL</v>
      </c>
      <c r="R6045" t="str">
        <f t="shared" si="2455"/>
        <v>Accepted</v>
      </c>
      <c r="S6045" t="str">
        <f t="shared" si="2469"/>
        <v>Approved</v>
      </c>
      <c r="T6045" t="str">
        <f t="shared" si="2456"/>
        <v>10.20.8.188</v>
      </c>
      <c r="U6045" t="str">
        <f t="shared" si="2470"/>
        <v>AZRAD UMAR BIN SHAARI</v>
      </c>
      <c r="V6045" t="str">
        <f t="shared" si="2471"/>
        <v>FARHANA BINTI MUSTAPA</v>
      </c>
      <c r="W6045" t="str">
        <f t="shared" si="2472"/>
        <v>04-08-2020</v>
      </c>
      <c r="X6045" t="str">
        <f t="shared" si="2473"/>
        <v>RAZIMAH ANSAR AHMAD</v>
      </c>
      <c r="Y6045" t="str">
        <f t="shared" si="2474"/>
        <v>04-08-2020</v>
      </c>
      <c r="Z6045" t="str">
        <f>"COS10200804 3109"</f>
        <v>COS10200804 3109</v>
      </c>
    </row>
    <row r="6046" spans="1:26" x14ac:dyDescent="0.25">
      <c r="A6046" t="str">
        <f t="shared" si="2462"/>
        <v>04-08-2020 12:43:51</v>
      </c>
      <c r="B6046" t="str">
        <f>"0000804875"</f>
        <v>0000804875</v>
      </c>
      <c r="C6046" t="str">
        <f t="shared" si="2463"/>
        <v>0000804767</v>
      </c>
      <c r="D6046" t="str">
        <f t="shared" si="2464"/>
        <v>73185</v>
      </c>
      <c r="E6046" t="str">
        <f t="shared" si="2465"/>
        <v>KFH-OPERATIONS DEPARTMENT</v>
      </c>
      <c r="F6046" t="str">
        <f t="shared" si="2466"/>
        <v>IBG</v>
      </c>
      <c r="G6046" t="str">
        <f t="shared" si="2477"/>
        <v>Refund COSHARE 10</v>
      </c>
      <c r="H6046" s="2">
        <v>654.85</v>
      </c>
      <c r="I6046" t="str">
        <f>"NOR AZIZAH BINTI ALI  WAHAB"</f>
        <v>NOR AZIZAH BINTI ALI  WAHAB</v>
      </c>
      <c r="J6046" t="str">
        <f t="shared" si="2461"/>
        <v>CIMB BANK / CIMB ISLAMIC BANK</v>
      </c>
      <c r="K6046" t="str">
        <f>"07090037618521"</f>
        <v>07090037618521</v>
      </c>
      <c r="L6046" t="str">
        <f t="shared" si="2475"/>
        <v>04-08-2020</v>
      </c>
      <c r="M6046" t="str">
        <f t="shared" si="2475"/>
        <v>04-08-2020</v>
      </c>
      <c r="N6046" t="str">
        <f t="shared" si="2467"/>
        <v>001105018356</v>
      </c>
      <c r="O6046" t="str">
        <f t="shared" si="2468"/>
        <v>MYR</v>
      </c>
      <c r="P6046" t="str">
        <f t="shared" si="2476"/>
        <v>NIL</v>
      </c>
      <c r="Q6046" t="str">
        <f t="shared" si="2476"/>
        <v>NIL</v>
      </c>
      <c r="R6046" t="str">
        <f t="shared" si="2455"/>
        <v>Accepted</v>
      </c>
      <c r="S6046" t="str">
        <f t="shared" si="2469"/>
        <v>Approved</v>
      </c>
      <c r="T6046" t="str">
        <f t="shared" si="2456"/>
        <v>10.20.8.188</v>
      </c>
      <c r="U6046" t="str">
        <f t="shared" si="2470"/>
        <v>AZRAD UMAR BIN SHAARI</v>
      </c>
      <c r="V6046" t="str">
        <f t="shared" si="2471"/>
        <v>FARHANA BINTI MUSTAPA</v>
      </c>
      <c r="W6046" t="str">
        <f t="shared" si="2472"/>
        <v>04-08-2020</v>
      </c>
      <c r="X6046" t="str">
        <f t="shared" si="2473"/>
        <v>RAZIMAH ANSAR AHMAD</v>
      </c>
      <c r="Y6046" t="str">
        <f t="shared" si="2474"/>
        <v>04-08-2020</v>
      </c>
      <c r="Z6046" t="str">
        <f>"COS10200804 3108"</f>
        <v>COS10200804 3108</v>
      </c>
    </row>
    <row r="6047" spans="1:26" x14ac:dyDescent="0.25">
      <c r="A6047" t="str">
        <f t="shared" si="2462"/>
        <v>04-08-2020 12:43:51</v>
      </c>
      <c r="B6047" t="str">
        <f>"0000804874"</f>
        <v>0000804874</v>
      </c>
      <c r="C6047" t="str">
        <f t="shared" si="2463"/>
        <v>0000804767</v>
      </c>
      <c r="D6047" t="str">
        <f t="shared" si="2464"/>
        <v>73185</v>
      </c>
      <c r="E6047" t="str">
        <f t="shared" si="2465"/>
        <v>KFH-OPERATIONS DEPARTMENT</v>
      </c>
      <c r="F6047" t="str">
        <f t="shared" si="2466"/>
        <v>IBG</v>
      </c>
      <c r="G6047" t="str">
        <f t="shared" si="2477"/>
        <v>Refund COSHARE 10</v>
      </c>
      <c r="H6047" s="2">
        <v>948.65</v>
      </c>
      <c r="I6047" t="str">
        <f>"NOR AZIZAH BINTI ABDUL HAMID"</f>
        <v>NOR AZIZAH BINTI ABDUL HAMID</v>
      </c>
      <c r="J6047" t="str">
        <f t="shared" si="2461"/>
        <v>CIMB BANK / CIMB ISLAMIC BANK</v>
      </c>
      <c r="K6047" t="str">
        <f>"05080034173529"</f>
        <v>05080034173529</v>
      </c>
      <c r="L6047" t="str">
        <f t="shared" ref="L6047:M6066" si="2478">"04-08-2020"</f>
        <v>04-08-2020</v>
      </c>
      <c r="M6047" t="str">
        <f t="shared" si="2478"/>
        <v>04-08-2020</v>
      </c>
      <c r="N6047" t="str">
        <f t="shared" si="2467"/>
        <v>001105018356</v>
      </c>
      <c r="O6047" t="str">
        <f t="shared" si="2468"/>
        <v>MYR</v>
      </c>
      <c r="P6047" t="str">
        <f t="shared" ref="P6047:Q6066" si="2479">"NIL"</f>
        <v>NIL</v>
      </c>
      <c r="Q6047" t="str">
        <f t="shared" si="2479"/>
        <v>NIL</v>
      </c>
      <c r="R6047" t="str">
        <f t="shared" si="2455"/>
        <v>Accepted</v>
      </c>
      <c r="S6047" t="str">
        <f t="shared" si="2469"/>
        <v>Approved</v>
      </c>
      <c r="T6047" t="str">
        <f t="shared" si="2456"/>
        <v>10.20.8.188</v>
      </c>
      <c r="U6047" t="str">
        <f t="shared" si="2470"/>
        <v>AZRAD UMAR BIN SHAARI</v>
      </c>
      <c r="V6047" t="str">
        <f t="shared" si="2471"/>
        <v>FARHANA BINTI MUSTAPA</v>
      </c>
      <c r="W6047" t="str">
        <f t="shared" si="2472"/>
        <v>04-08-2020</v>
      </c>
      <c r="X6047" t="str">
        <f t="shared" si="2473"/>
        <v>RAZIMAH ANSAR AHMAD</v>
      </c>
      <c r="Y6047" t="str">
        <f t="shared" si="2474"/>
        <v>04-08-2020</v>
      </c>
      <c r="Z6047" t="str">
        <f>"COS10200804 3107"</f>
        <v>COS10200804 3107</v>
      </c>
    </row>
    <row r="6048" spans="1:26" x14ac:dyDescent="0.25">
      <c r="A6048" t="str">
        <f t="shared" si="2462"/>
        <v>04-08-2020 12:43:51</v>
      </c>
      <c r="B6048" t="str">
        <f>"0000804873"</f>
        <v>0000804873</v>
      </c>
      <c r="C6048" t="str">
        <f t="shared" si="2463"/>
        <v>0000804767</v>
      </c>
      <c r="D6048" t="str">
        <f t="shared" si="2464"/>
        <v>73185</v>
      </c>
      <c r="E6048" t="str">
        <f t="shared" si="2465"/>
        <v>KFH-OPERATIONS DEPARTMENT</v>
      </c>
      <c r="F6048" t="str">
        <f t="shared" si="2466"/>
        <v>IBG</v>
      </c>
      <c r="G6048" t="str">
        <f t="shared" si="2477"/>
        <v>Refund COSHARE 10</v>
      </c>
      <c r="H6048" s="2">
        <v>1774.05</v>
      </c>
      <c r="I6048" t="str">
        <f>"NOR AZITA BINTI MOHD ARSHAD"</f>
        <v>NOR AZITA BINTI MOHD ARSHAD</v>
      </c>
      <c r="J6048" t="str">
        <f t="shared" si="2461"/>
        <v>CIMB BANK / CIMB ISLAMIC BANK</v>
      </c>
      <c r="K6048" t="str">
        <f>"14400058772522"</f>
        <v>14400058772522</v>
      </c>
      <c r="L6048" t="str">
        <f t="shared" si="2478"/>
        <v>04-08-2020</v>
      </c>
      <c r="M6048" t="str">
        <f t="shared" si="2478"/>
        <v>04-08-2020</v>
      </c>
      <c r="N6048" t="str">
        <f t="shared" si="2467"/>
        <v>001105018356</v>
      </c>
      <c r="O6048" t="str">
        <f t="shared" si="2468"/>
        <v>MYR</v>
      </c>
      <c r="P6048" t="str">
        <f t="shared" si="2479"/>
        <v>NIL</v>
      </c>
      <c r="Q6048" t="str">
        <f t="shared" si="2479"/>
        <v>NIL</v>
      </c>
      <c r="R6048" t="str">
        <f t="shared" si="2455"/>
        <v>Accepted</v>
      </c>
      <c r="S6048" t="str">
        <f t="shared" si="2469"/>
        <v>Approved</v>
      </c>
      <c r="T6048" t="str">
        <f t="shared" si="2456"/>
        <v>10.20.8.188</v>
      </c>
      <c r="U6048" t="str">
        <f t="shared" si="2470"/>
        <v>AZRAD UMAR BIN SHAARI</v>
      </c>
      <c r="V6048" t="str">
        <f t="shared" si="2471"/>
        <v>FARHANA BINTI MUSTAPA</v>
      </c>
      <c r="W6048" t="str">
        <f t="shared" si="2472"/>
        <v>04-08-2020</v>
      </c>
      <c r="X6048" t="str">
        <f t="shared" si="2473"/>
        <v>RAZIMAH ANSAR AHMAD</v>
      </c>
      <c r="Y6048" t="str">
        <f t="shared" si="2474"/>
        <v>04-08-2020</v>
      </c>
      <c r="Z6048" t="str">
        <f>"COS10200804 3106"</f>
        <v>COS10200804 3106</v>
      </c>
    </row>
    <row r="6049" spans="1:26" x14ac:dyDescent="0.25">
      <c r="A6049" t="str">
        <f t="shared" si="2462"/>
        <v>04-08-2020 12:43:51</v>
      </c>
      <c r="B6049" t="str">
        <f>"0000804872"</f>
        <v>0000804872</v>
      </c>
      <c r="C6049" t="str">
        <f t="shared" si="2463"/>
        <v>0000804767</v>
      </c>
      <c r="D6049" t="str">
        <f t="shared" si="2464"/>
        <v>73185</v>
      </c>
      <c r="E6049" t="str">
        <f t="shared" si="2465"/>
        <v>KFH-OPERATIONS DEPARTMENT</v>
      </c>
      <c r="F6049" t="str">
        <f t="shared" si="2466"/>
        <v>IBG</v>
      </c>
      <c r="G6049" t="str">
        <f t="shared" si="2477"/>
        <v>Refund COSHARE 10</v>
      </c>
      <c r="H6049" s="2">
        <v>58.8</v>
      </c>
      <c r="I6049" t="str">
        <f>"NOR AZILA BINTI AZAM"</f>
        <v>NOR AZILA BINTI AZAM</v>
      </c>
      <c r="J6049" t="str">
        <f t="shared" si="2461"/>
        <v>CIMB BANK / CIMB ISLAMIC BANK</v>
      </c>
      <c r="K6049" t="str">
        <f>"02130072945528"</f>
        <v>02130072945528</v>
      </c>
      <c r="L6049" t="str">
        <f t="shared" si="2478"/>
        <v>04-08-2020</v>
      </c>
      <c r="M6049" t="str">
        <f t="shared" si="2478"/>
        <v>04-08-2020</v>
      </c>
      <c r="N6049" t="str">
        <f t="shared" si="2467"/>
        <v>001105018356</v>
      </c>
      <c r="O6049" t="str">
        <f t="shared" si="2468"/>
        <v>MYR</v>
      </c>
      <c r="P6049" t="str">
        <f t="shared" si="2479"/>
        <v>NIL</v>
      </c>
      <c r="Q6049" t="str">
        <f t="shared" si="2479"/>
        <v>NIL</v>
      </c>
      <c r="R6049" t="str">
        <f t="shared" si="2455"/>
        <v>Accepted</v>
      </c>
      <c r="S6049" t="str">
        <f t="shared" si="2469"/>
        <v>Approved</v>
      </c>
      <c r="T6049" t="str">
        <f t="shared" si="2456"/>
        <v>10.20.8.188</v>
      </c>
      <c r="U6049" t="str">
        <f t="shared" si="2470"/>
        <v>AZRAD UMAR BIN SHAARI</v>
      </c>
      <c r="V6049" t="str">
        <f t="shared" si="2471"/>
        <v>FARHANA BINTI MUSTAPA</v>
      </c>
      <c r="W6049" t="str">
        <f t="shared" si="2472"/>
        <v>04-08-2020</v>
      </c>
      <c r="X6049" t="str">
        <f t="shared" si="2473"/>
        <v>RAZIMAH ANSAR AHMAD</v>
      </c>
      <c r="Y6049" t="str">
        <f t="shared" si="2474"/>
        <v>04-08-2020</v>
      </c>
      <c r="Z6049" t="str">
        <f>"COS10200804 3105"</f>
        <v>COS10200804 3105</v>
      </c>
    </row>
    <row r="6050" spans="1:26" x14ac:dyDescent="0.25">
      <c r="A6050" t="str">
        <f t="shared" ref="A6050:A6081" si="2480">"04-08-2020 12:43:51"</f>
        <v>04-08-2020 12:43:51</v>
      </c>
      <c r="B6050" t="str">
        <f>"0000804871"</f>
        <v>0000804871</v>
      </c>
      <c r="C6050" t="str">
        <f t="shared" ref="C6050:C6081" si="2481">"0000804767"</f>
        <v>0000804767</v>
      </c>
      <c r="D6050" t="str">
        <f t="shared" si="2464"/>
        <v>73185</v>
      </c>
      <c r="E6050" t="str">
        <f t="shared" si="2465"/>
        <v>KFH-OPERATIONS DEPARTMENT</v>
      </c>
      <c r="F6050" t="str">
        <f t="shared" si="2466"/>
        <v>IBG</v>
      </c>
      <c r="G6050" t="str">
        <f t="shared" si="2477"/>
        <v>Refund COSHARE 10</v>
      </c>
      <c r="H6050" s="2">
        <v>209.9</v>
      </c>
      <c r="I6050" t="str">
        <f>"NOR AZAM BIN SARLAN"</f>
        <v>NOR AZAM BIN SARLAN</v>
      </c>
      <c r="J6050" t="str">
        <f t="shared" si="2461"/>
        <v>CIMB BANK / CIMB ISLAMIC BANK</v>
      </c>
      <c r="K6050" t="str">
        <f>"12051388710521"</f>
        <v>12051388710521</v>
      </c>
      <c r="L6050" t="str">
        <f t="shared" si="2478"/>
        <v>04-08-2020</v>
      </c>
      <c r="M6050" t="str">
        <f t="shared" si="2478"/>
        <v>04-08-2020</v>
      </c>
      <c r="N6050" t="str">
        <f t="shared" si="2467"/>
        <v>001105018356</v>
      </c>
      <c r="O6050" t="str">
        <f t="shared" si="2468"/>
        <v>MYR</v>
      </c>
      <c r="P6050" t="str">
        <f t="shared" si="2479"/>
        <v>NIL</v>
      </c>
      <c r="Q6050" t="str">
        <f t="shared" si="2479"/>
        <v>NIL</v>
      </c>
      <c r="R6050" t="str">
        <f t="shared" ref="R6050:R6113" si="2482">"Accepted"</f>
        <v>Accepted</v>
      </c>
      <c r="S6050" t="str">
        <f t="shared" si="2469"/>
        <v>Approved</v>
      </c>
      <c r="T6050" t="str">
        <f t="shared" ref="T6050:T6113" si="2483">"10.20.8.188"</f>
        <v>10.20.8.188</v>
      </c>
      <c r="U6050" t="str">
        <f t="shared" si="2470"/>
        <v>AZRAD UMAR BIN SHAARI</v>
      </c>
      <c r="V6050" t="str">
        <f t="shared" si="2471"/>
        <v>FARHANA BINTI MUSTAPA</v>
      </c>
      <c r="W6050" t="str">
        <f t="shared" si="2472"/>
        <v>04-08-2020</v>
      </c>
      <c r="X6050" t="str">
        <f t="shared" si="2473"/>
        <v>RAZIMAH ANSAR AHMAD</v>
      </c>
      <c r="Y6050" t="str">
        <f t="shared" si="2474"/>
        <v>04-08-2020</v>
      </c>
      <c r="Z6050" t="str">
        <f>"COS10200804 3104"</f>
        <v>COS10200804 3104</v>
      </c>
    </row>
    <row r="6051" spans="1:26" x14ac:dyDescent="0.25">
      <c r="A6051" t="str">
        <f t="shared" si="2480"/>
        <v>04-08-2020 12:43:51</v>
      </c>
      <c r="B6051" t="str">
        <f>"0000804870"</f>
        <v>0000804870</v>
      </c>
      <c r="C6051" t="str">
        <f t="shared" si="2481"/>
        <v>0000804767</v>
      </c>
      <c r="D6051" t="str">
        <f t="shared" si="2464"/>
        <v>73185</v>
      </c>
      <c r="E6051" t="str">
        <f t="shared" si="2465"/>
        <v>KFH-OPERATIONS DEPARTMENT</v>
      </c>
      <c r="F6051" t="str">
        <f t="shared" si="2466"/>
        <v>IBG</v>
      </c>
      <c r="G6051" t="str">
        <f t="shared" si="2477"/>
        <v>Refund COSHARE 10</v>
      </c>
      <c r="H6051" s="2">
        <v>941</v>
      </c>
      <c r="I6051" t="str">
        <f>"NOR ASHIKIN BINTI HARUN"</f>
        <v>NOR ASHIKIN BINTI HARUN</v>
      </c>
      <c r="J6051" t="str">
        <f t="shared" si="2461"/>
        <v>CIMB BANK / CIMB ISLAMIC BANK</v>
      </c>
      <c r="K6051" t="str">
        <f>"7619801956"</f>
        <v>7619801956</v>
      </c>
      <c r="L6051" t="str">
        <f t="shared" si="2478"/>
        <v>04-08-2020</v>
      </c>
      <c r="M6051" t="str">
        <f t="shared" si="2478"/>
        <v>04-08-2020</v>
      </c>
      <c r="N6051" t="str">
        <f t="shared" si="2467"/>
        <v>001105018356</v>
      </c>
      <c r="O6051" t="str">
        <f t="shared" si="2468"/>
        <v>MYR</v>
      </c>
      <c r="P6051" t="str">
        <f t="shared" si="2479"/>
        <v>NIL</v>
      </c>
      <c r="Q6051" t="str">
        <f t="shared" si="2479"/>
        <v>NIL</v>
      </c>
      <c r="R6051" t="str">
        <f t="shared" si="2482"/>
        <v>Accepted</v>
      </c>
      <c r="S6051" t="str">
        <f t="shared" si="2469"/>
        <v>Approved</v>
      </c>
      <c r="T6051" t="str">
        <f t="shared" si="2483"/>
        <v>10.20.8.188</v>
      </c>
      <c r="U6051" t="str">
        <f t="shared" si="2470"/>
        <v>AZRAD UMAR BIN SHAARI</v>
      </c>
      <c r="V6051" t="str">
        <f t="shared" si="2471"/>
        <v>FARHANA BINTI MUSTAPA</v>
      </c>
      <c r="W6051" t="str">
        <f t="shared" si="2472"/>
        <v>04-08-2020</v>
      </c>
      <c r="X6051" t="str">
        <f t="shared" si="2473"/>
        <v>RAZIMAH ANSAR AHMAD</v>
      </c>
      <c r="Y6051" t="str">
        <f t="shared" si="2474"/>
        <v>04-08-2020</v>
      </c>
      <c r="Z6051" t="str">
        <f>"COS10200804 3103"</f>
        <v>COS10200804 3103</v>
      </c>
    </row>
    <row r="6052" spans="1:26" x14ac:dyDescent="0.25">
      <c r="A6052" t="str">
        <f t="shared" si="2480"/>
        <v>04-08-2020 12:43:51</v>
      </c>
      <c r="B6052" t="str">
        <f>"0000804869"</f>
        <v>0000804869</v>
      </c>
      <c r="C6052" t="str">
        <f t="shared" si="2481"/>
        <v>0000804767</v>
      </c>
      <c r="D6052" t="str">
        <f t="shared" si="2464"/>
        <v>73185</v>
      </c>
      <c r="E6052" t="str">
        <f t="shared" si="2465"/>
        <v>KFH-OPERATIONS DEPARTMENT</v>
      </c>
      <c r="F6052" t="str">
        <f t="shared" si="2466"/>
        <v>IBG</v>
      </c>
      <c r="G6052" t="str">
        <f t="shared" si="2477"/>
        <v>Refund COSHARE 10</v>
      </c>
      <c r="H6052" s="2">
        <v>296</v>
      </c>
      <c r="I6052" t="str">
        <f>"NOR AQILA SHAKIRA BINTI MOHAMAD NASIR"</f>
        <v>NOR AQILA SHAKIRA BINTI MOHAMAD NASIR</v>
      </c>
      <c r="J6052" t="str">
        <f t="shared" si="2461"/>
        <v>CIMB BANK / CIMB ISLAMIC BANK</v>
      </c>
      <c r="K6052" t="str">
        <f>"7613036346"</f>
        <v>7613036346</v>
      </c>
      <c r="L6052" t="str">
        <f t="shared" si="2478"/>
        <v>04-08-2020</v>
      </c>
      <c r="M6052" t="str">
        <f t="shared" si="2478"/>
        <v>04-08-2020</v>
      </c>
      <c r="N6052" t="str">
        <f t="shared" si="2467"/>
        <v>001105018356</v>
      </c>
      <c r="O6052" t="str">
        <f t="shared" si="2468"/>
        <v>MYR</v>
      </c>
      <c r="P6052" t="str">
        <f t="shared" si="2479"/>
        <v>NIL</v>
      </c>
      <c r="Q6052" t="str">
        <f t="shared" si="2479"/>
        <v>NIL</v>
      </c>
      <c r="R6052" t="str">
        <f t="shared" si="2482"/>
        <v>Accepted</v>
      </c>
      <c r="S6052" t="str">
        <f t="shared" si="2469"/>
        <v>Approved</v>
      </c>
      <c r="T6052" t="str">
        <f t="shared" si="2483"/>
        <v>10.20.8.188</v>
      </c>
      <c r="U6052" t="str">
        <f t="shared" si="2470"/>
        <v>AZRAD UMAR BIN SHAARI</v>
      </c>
      <c r="V6052" t="str">
        <f t="shared" si="2471"/>
        <v>FARHANA BINTI MUSTAPA</v>
      </c>
      <c r="W6052" t="str">
        <f t="shared" si="2472"/>
        <v>04-08-2020</v>
      </c>
      <c r="X6052" t="str">
        <f t="shared" si="2473"/>
        <v>RAZIMAH ANSAR AHMAD</v>
      </c>
      <c r="Y6052" t="str">
        <f t="shared" si="2474"/>
        <v>04-08-2020</v>
      </c>
      <c r="Z6052" t="str">
        <f>"COS10200804 3102"</f>
        <v>COS10200804 3102</v>
      </c>
    </row>
    <row r="6053" spans="1:26" x14ac:dyDescent="0.25">
      <c r="A6053" t="str">
        <f t="shared" si="2480"/>
        <v>04-08-2020 12:43:51</v>
      </c>
      <c r="B6053" t="str">
        <f>"0000804868"</f>
        <v>0000804868</v>
      </c>
      <c r="C6053" t="str">
        <f t="shared" si="2481"/>
        <v>0000804767</v>
      </c>
      <c r="D6053" t="str">
        <f t="shared" si="2464"/>
        <v>73185</v>
      </c>
      <c r="E6053" t="str">
        <f t="shared" si="2465"/>
        <v>KFH-OPERATIONS DEPARTMENT</v>
      </c>
      <c r="F6053" t="str">
        <f t="shared" si="2466"/>
        <v>IBG</v>
      </c>
      <c r="G6053" t="str">
        <f t="shared" si="2477"/>
        <v>Refund COSHARE 10</v>
      </c>
      <c r="H6053" s="2">
        <v>419.75</v>
      </c>
      <c r="I6053" t="str">
        <f>"NOR ALIZA BINTI NASROL"</f>
        <v>NOR ALIZA BINTI NASROL</v>
      </c>
      <c r="J6053" t="str">
        <f t="shared" si="2461"/>
        <v>CIMB BANK / CIMB ISLAMIC BANK</v>
      </c>
      <c r="K6053" t="str">
        <f>"14200066155528"</f>
        <v>14200066155528</v>
      </c>
      <c r="L6053" t="str">
        <f t="shared" si="2478"/>
        <v>04-08-2020</v>
      </c>
      <c r="M6053" t="str">
        <f t="shared" si="2478"/>
        <v>04-08-2020</v>
      </c>
      <c r="N6053" t="str">
        <f t="shared" si="2467"/>
        <v>001105018356</v>
      </c>
      <c r="O6053" t="str">
        <f t="shared" si="2468"/>
        <v>MYR</v>
      </c>
      <c r="P6053" t="str">
        <f t="shared" si="2479"/>
        <v>NIL</v>
      </c>
      <c r="Q6053" t="str">
        <f t="shared" si="2479"/>
        <v>NIL</v>
      </c>
      <c r="R6053" t="str">
        <f t="shared" si="2482"/>
        <v>Accepted</v>
      </c>
      <c r="S6053" t="str">
        <f t="shared" si="2469"/>
        <v>Approved</v>
      </c>
      <c r="T6053" t="str">
        <f t="shared" si="2483"/>
        <v>10.20.8.188</v>
      </c>
      <c r="U6053" t="str">
        <f t="shared" si="2470"/>
        <v>AZRAD UMAR BIN SHAARI</v>
      </c>
      <c r="V6053" t="str">
        <f t="shared" si="2471"/>
        <v>FARHANA BINTI MUSTAPA</v>
      </c>
      <c r="W6053" t="str">
        <f t="shared" si="2472"/>
        <v>04-08-2020</v>
      </c>
      <c r="X6053" t="str">
        <f t="shared" si="2473"/>
        <v>RAZIMAH ANSAR AHMAD</v>
      </c>
      <c r="Y6053" t="str">
        <f t="shared" si="2474"/>
        <v>04-08-2020</v>
      </c>
      <c r="Z6053" t="str">
        <f>"COS10200804 3101"</f>
        <v>COS10200804 3101</v>
      </c>
    </row>
    <row r="6054" spans="1:26" x14ac:dyDescent="0.25">
      <c r="A6054" t="str">
        <f t="shared" si="2480"/>
        <v>04-08-2020 12:43:51</v>
      </c>
      <c r="B6054" t="str">
        <f>"0000804867"</f>
        <v>0000804867</v>
      </c>
      <c r="C6054" t="str">
        <f t="shared" si="2481"/>
        <v>0000804767</v>
      </c>
      <c r="D6054" t="str">
        <f t="shared" si="2464"/>
        <v>73185</v>
      </c>
      <c r="E6054" t="str">
        <f t="shared" si="2465"/>
        <v>KFH-OPERATIONS DEPARTMENT</v>
      </c>
      <c r="F6054" t="str">
        <f t="shared" si="2466"/>
        <v>IBG</v>
      </c>
      <c r="G6054" t="str">
        <f t="shared" si="2477"/>
        <v>Refund COSHARE 10</v>
      </c>
      <c r="H6054" s="2">
        <v>419.75</v>
      </c>
      <c r="I6054" t="str">
        <f>"NOR ALIZA BINTI NASROL"</f>
        <v>NOR ALIZA BINTI NASROL</v>
      </c>
      <c r="J6054" t="str">
        <f t="shared" si="2461"/>
        <v>CIMB BANK / CIMB ISLAMIC BANK</v>
      </c>
      <c r="K6054" t="str">
        <f>"14200066155528"</f>
        <v>14200066155528</v>
      </c>
      <c r="L6054" t="str">
        <f t="shared" si="2478"/>
        <v>04-08-2020</v>
      </c>
      <c r="M6054" t="str">
        <f t="shared" si="2478"/>
        <v>04-08-2020</v>
      </c>
      <c r="N6054" t="str">
        <f t="shared" si="2467"/>
        <v>001105018356</v>
      </c>
      <c r="O6054" t="str">
        <f t="shared" si="2468"/>
        <v>MYR</v>
      </c>
      <c r="P6054" t="str">
        <f t="shared" si="2479"/>
        <v>NIL</v>
      </c>
      <c r="Q6054" t="str">
        <f t="shared" si="2479"/>
        <v>NIL</v>
      </c>
      <c r="R6054" t="str">
        <f t="shared" si="2482"/>
        <v>Accepted</v>
      </c>
      <c r="S6054" t="str">
        <f t="shared" si="2469"/>
        <v>Approved</v>
      </c>
      <c r="T6054" t="str">
        <f t="shared" si="2483"/>
        <v>10.20.8.188</v>
      </c>
      <c r="U6054" t="str">
        <f t="shared" si="2470"/>
        <v>AZRAD UMAR BIN SHAARI</v>
      </c>
      <c r="V6054" t="str">
        <f t="shared" si="2471"/>
        <v>FARHANA BINTI MUSTAPA</v>
      </c>
      <c r="W6054" t="str">
        <f t="shared" si="2472"/>
        <v>04-08-2020</v>
      </c>
      <c r="X6054" t="str">
        <f t="shared" si="2473"/>
        <v>RAZIMAH ANSAR AHMAD</v>
      </c>
      <c r="Y6054" t="str">
        <f t="shared" si="2474"/>
        <v>04-08-2020</v>
      </c>
      <c r="Z6054" t="str">
        <f>"COS10200804 3100"</f>
        <v>COS10200804 3100</v>
      </c>
    </row>
    <row r="6055" spans="1:26" x14ac:dyDescent="0.25">
      <c r="A6055" t="str">
        <f t="shared" si="2480"/>
        <v>04-08-2020 12:43:51</v>
      </c>
      <c r="B6055" t="str">
        <f>"0000804866"</f>
        <v>0000804866</v>
      </c>
      <c r="C6055" t="str">
        <f t="shared" si="2481"/>
        <v>0000804767</v>
      </c>
      <c r="D6055" t="str">
        <f t="shared" si="2464"/>
        <v>73185</v>
      </c>
      <c r="E6055" t="str">
        <f t="shared" si="2465"/>
        <v>KFH-OPERATIONS DEPARTMENT</v>
      </c>
      <c r="F6055" t="str">
        <f t="shared" si="2466"/>
        <v>IBG</v>
      </c>
      <c r="G6055" t="str">
        <f t="shared" si="2477"/>
        <v>Refund COSHARE 10</v>
      </c>
      <c r="H6055" s="2">
        <v>759</v>
      </c>
      <c r="I6055" t="str">
        <f>"NOR AFHDAL ARIFF BIN ARSHAD"</f>
        <v>NOR AFHDAL ARIFF BIN ARSHAD</v>
      </c>
      <c r="J6055" t="str">
        <f t="shared" si="2461"/>
        <v>CIMB BANK / CIMB ISLAMIC BANK</v>
      </c>
      <c r="K6055" t="str">
        <f>"01220019257528"</f>
        <v>01220019257528</v>
      </c>
      <c r="L6055" t="str">
        <f t="shared" si="2478"/>
        <v>04-08-2020</v>
      </c>
      <c r="M6055" t="str">
        <f t="shared" si="2478"/>
        <v>04-08-2020</v>
      </c>
      <c r="N6055" t="str">
        <f t="shared" si="2467"/>
        <v>001105018356</v>
      </c>
      <c r="O6055" t="str">
        <f t="shared" si="2468"/>
        <v>MYR</v>
      </c>
      <c r="P6055" t="str">
        <f t="shared" si="2479"/>
        <v>NIL</v>
      </c>
      <c r="Q6055" t="str">
        <f t="shared" si="2479"/>
        <v>NIL</v>
      </c>
      <c r="R6055" t="str">
        <f t="shared" si="2482"/>
        <v>Accepted</v>
      </c>
      <c r="S6055" t="str">
        <f t="shared" si="2469"/>
        <v>Approved</v>
      </c>
      <c r="T6055" t="str">
        <f t="shared" si="2483"/>
        <v>10.20.8.188</v>
      </c>
      <c r="U6055" t="str">
        <f t="shared" si="2470"/>
        <v>AZRAD UMAR BIN SHAARI</v>
      </c>
      <c r="V6055" t="str">
        <f t="shared" si="2471"/>
        <v>FARHANA BINTI MUSTAPA</v>
      </c>
      <c r="W6055" t="str">
        <f t="shared" si="2472"/>
        <v>04-08-2020</v>
      </c>
      <c r="X6055" t="str">
        <f t="shared" si="2473"/>
        <v>RAZIMAH ANSAR AHMAD</v>
      </c>
      <c r="Y6055" t="str">
        <f t="shared" si="2474"/>
        <v>04-08-2020</v>
      </c>
      <c r="Z6055" t="str">
        <f>"COS10200804 3099"</f>
        <v>COS10200804 3099</v>
      </c>
    </row>
    <row r="6056" spans="1:26" x14ac:dyDescent="0.25">
      <c r="A6056" t="str">
        <f t="shared" si="2480"/>
        <v>04-08-2020 12:43:51</v>
      </c>
      <c r="B6056" t="str">
        <f>"0000804865"</f>
        <v>0000804865</v>
      </c>
      <c r="C6056" t="str">
        <f t="shared" si="2481"/>
        <v>0000804767</v>
      </c>
      <c r="D6056" t="str">
        <f t="shared" si="2464"/>
        <v>73185</v>
      </c>
      <c r="E6056" t="str">
        <f t="shared" si="2465"/>
        <v>KFH-OPERATIONS DEPARTMENT</v>
      </c>
      <c r="F6056" t="str">
        <f t="shared" si="2466"/>
        <v>IBG</v>
      </c>
      <c r="G6056" t="str">
        <f t="shared" si="2477"/>
        <v>Refund COSHARE 10</v>
      </c>
      <c r="H6056" s="2">
        <v>839.5</v>
      </c>
      <c r="I6056" t="str">
        <f>"NOORUL HAMIMI BINTI MARJAWAN"</f>
        <v>NOORUL HAMIMI BINTI MARJAWAN</v>
      </c>
      <c r="J6056" t="str">
        <f t="shared" si="2461"/>
        <v>CIMB BANK / CIMB ISLAMIC BANK</v>
      </c>
      <c r="K6056" t="str">
        <f>"7034219481"</f>
        <v>7034219481</v>
      </c>
      <c r="L6056" t="str">
        <f t="shared" si="2478"/>
        <v>04-08-2020</v>
      </c>
      <c r="M6056" t="str">
        <f t="shared" si="2478"/>
        <v>04-08-2020</v>
      </c>
      <c r="N6056" t="str">
        <f t="shared" si="2467"/>
        <v>001105018356</v>
      </c>
      <c r="O6056" t="str">
        <f t="shared" si="2468"/>
        <v>MYR</v>
      </c>
      <c r="P6056" t="str">
        <f t="shared" si="2479"/>
        <v>NIL</v>
      </c>
      <c r="Q6056" t="str">
        <f t="shared" si="2479"/>
        <v>NIL</v>
      </c>
      <c r="R6056" t="str">
        <f t="shared" si="2482"/>
        <v>Accepted</v>
      </c>
      <c r="S6056" t="str">
        <f t="shared" si="2469"/>
        <v>Approved</v>
      </c>
      <c r="T6056" t="str">
        <f t="shared" si="2483"/>
        <v>10.20.8.188</v>
      </c>
      <c r="U6056" t="str">
        <f t="shared" si="2470"/>
        <v>AZRAD UMAR BIN SHAARI</v>
      </c>
      <c r="V6056" t="str">
        <f t="shared" si="2471"/>
        <v>FARHANA BINTI MUSTAPA</v>
      </c>
      <c r="W6056" t="str">
        <f t="shared" si="2472"/>
        <v>04-08-2020</v>
      </c>
      <c r="X6056" t="str">
        <f t="shared" si="2473"/>
        <v>RAZIMAH ANSAR AHMAD</v>
      </c>
      <c r="Y6056" t="str">
        <f t="shared" si="2474"/>
        <v>04-08-2020</v>
      </c>
      <c r="Z6056" t="str">
        <f>"COS10200804 3098"</f>
        <v>COS10200804 3098</v>
      </c>
    </row>
    <row r="6057" spans="1:26" x14ac:dyDescent="0.25">
      <c r="A6057" t="str">
        <f t="shared" si="2480"/>
        <v>04-08-2020 12:43:51</v>
      </c>
      <c r="B6057" t="str">
        <f>"0000804864"</f>
        <v>0000804864</v>
      </c>
      <c r="C6057" t="str">
        <f t="shared" si="2481"/>
        <v>0000804767</v>
      </c>
      <c r="D6057" t="str">
        <f t="shared" si="2464"/>
        <v>73185</v>
      </c>
      <c r="E6057" t="str">
        <f t="shared" si="2465"/>
        <v>KFH-OPERATIONS DEPARTMENT</v>
      </c>
      <c r="F6057" t="str">
        <f t="shared" si="2466"/>
        <v>IBG</v>
      </c>
      <c r="G6057" t="str">
        <f t="shared" si="2477"/>
        <v>Refund COSHARE 10</v>
      </c>
      <c r="H6057" s="2">
        <v>99</v>
      </c>
      <c r="I6057" t="str">
        <f>"NOORUL HAMIMI BINTI MARJAWAN"</f>
        <v>NOORUL HAMIMI BINTI MARJAWAN</v>
      </c>
      <c r="J6057" t="str">
        <f t="shared" si="2461"/>
        <v>CIMB BANK / CIMB ISLAMIC BANK</v>
      </c>
      <c r="K6057" t="str">
        <f>"7034219481"</f>
        <v>7034219481</v>
      </c>
      <c r="L6057" t="str">
        <f t="shared" si="2478"/>
        <v>04-08-2020</v>
      </c>
      <c r="M6057" t="str">
        <f t="shared" si="2478"/>
        <v>04-08-2020</v>
      </c>
      <c r="N6057" t="str">
        <f t="shared" si="2467"/>
        <v>001105018356</v>
      </c>
      <c r="O6057" t="str">
        <f t="shared" si="2468"/>
        <v>MYR</v>
      </c>
      <c r="P6057" t="str">
        <f t="shared" si="2479"/>
        <v>NIL</v>
      </c>
      <c r="Q6057" t="str">
        <f t="shared" si="2479"/>
        <v>NIL</v>
      </c>
      <c r="R6057" t="str">
        <f t="shared" si="2482"/>
        <v>Accepted</v>
      </c>
      <c r="S6057" t="str">
        <f t="shared" si="2469"/>
        <v>Approved</v>
      </c>
      <c r="T6057" t="str">
        <f t="shared" si="2483"/>
        <v>10.20.8.188</v>
      </c>
      <c r="U6057" t="str">
        <f t="shared" si="2470"/>
        <v>AZRAD UMAR BIN SHAARI</v>
      </c>
      <c r="V6057" t="str">
        <f t="shared" si="2471"/>
        <v>FARHANA BINTI MUSTAPA</v>
      </c>
      <c r="W6057" t="str">
        <f t="shared" si="2472"/>
        <v>04-08-2020</v>
      </c>
      <c r="X6057" t="str">
        <f t="shared" si="2473"/>
        <v>RAZIMAH ANSAR AHMAD</v>
      </c>
      <c r="Y6057" t="str">
        <f t="shared" si="2474"/>
        <v>04-08-2020</v>
      </c>
      <c r="Z6057" t="str">
        <f>"COS10200804 3097"</f>
        <v>COS10200804 3097</v>
      </c>
    </row>
    <row r="6058" spans="1:26" x14ac:dyDescent="0.25">
      <c r="A6058" t="str">
        <f t="shared" si="2480"/>
        <v>04-08-2020 12:43:51</v>
      </c>
      <c r="B6058" t="str">
        <f>"0000804863"</f>
        <v>0000804863</v>
      </c>
      <c r="C6058" t="str">
        <f t="shared" si="2481"/>
        <v>0000804767</v>
      </c>
      <c r="D6058" t="str">
        <f t="shared" si="2464"/>
        <v>73185</v>
      </c>
      <c r="E6058" t="str">
        <f t="shared" si="2465"/>
        <v>KFH-OPERATIONS DEPARTMENT</v>
      </c>
      <c r="F6058" t="str">
        <f t="shared" si="2466"/>
        <v>IBG</v>
      </c>
      <c r="G6058" t="str">
        <f t="shared" si="2477"/>
        <v>Refund COSHARE 10</v>
      </c>
      <c r="H6058" s="2">
        <v>168</v>
      </c>
      <c r="I6058" t="str">
        <f>"NOORSOFIAN BIN GHADZALE"</f>
        <v>NOORSOFIAN BIN GHADZALE</v>
      </c>
      <c r="J6058" t="str">
        <f t="shared" si="2461"/>
        <v>CIMB BANK / CIMB ISLAMIC BANK</v>
      </c>
      <c r="K6058" t="str">
        <f>"7056175854"</f>
        <v>7056175854</v>
      </c>
      <c r="L6058" t="str">
        <f t="shared" si="2478"/>
        <v>04-08-2020</v>
      </c>
      <c r="M6058" t="str">
        <f t="shared" si="2478"/>
        <v>04-08-2020</v>
      </c>
      <c r="N6058" t="str">
        <f t="shared" si="2467"/>
        <v>001105018356</v>
      </c>
      <c r="O6058" t="str">
        <f t="shared" si="2468"/>
        <v>MYR</v>
      </c>
      <c r="P6058" t="str">
        <f t="shared" si="2479"/>
        <v>NIL</v>
      </c>
      <c r="Q6058" t="str">
        <f t="shared" si="2479"/>
        <v>NIL</v>
      </c>
      <c r="R6058" t="str">
        <f t="shared" si="2482"/>
        <v>Accepted</v>
      </c>
      <c r="S6058" t="str">
        <f t="shared" si="2469"/>
        <v>Approved</v>
      </c>
      <c r="T6058" t="str">
        <f t="shared" si="2483"/>
        <v>10.20.8.188</v>
      </c>
      <c r="U6058" t="str">
        <f t="shared" si="2470"/>
        <v>AZRAD UMAR BIN SHAARI</v>
      </c>
      <c r="V6058" t="str">
        <f t="shared" si="2471"/>
        <v>FARHANA BINTI MUSTAPA</v>
      </c>
      <c r="W6058" t="str">
        <f t="shared" si="2472"/>
        <v>04-08-2020</v>
      </c>
      <c r="X6058" t="str">
        <f t="shared" si="2473"/>
        <v>RAZIMAH ANSAR AHMAD</v>
      </c>
      <c r="Y6058" t="str">
        <f t="shared" si="2474"/>
        <v>04-08-2020</v>
      </c>
      <c r="Z6058" t="str">
        <f>"COS10200804 3096"</f>
        <v>COS10200804 3096</v>
      </c>
    </row>
    <row r="6059" spans="1:26" x14ac:dyDescent="0.25">
      <c r="A6059" t="str">
        <f t="shared" si="2480"/>
        <v>04-08-2020 12:43:51</v>
      </c>
      <c r="B6059" t="str">
        <f>"0000804862"</f>
        <v>0000804862</v>
      </c>
      <c r="C6059" t="str">
        <f t="shared" si="2481"/>
        <v>0000804767</v>
      </c>
      <c r="D6059" t="str">
        <f t="shared" si="2464"/>
        <v>73185</v>
      </c>
      <c r="E6059" t="str">
        <f t="shared" si="2465"/>
        <v>KFH-OPERATIONS DEPARTMENT</v>
      </c>
      <c r="F6059" t="str">
        <f t="shared" si="2466"/>
        <v>IBG</v>
      </c>
      <c r="G6059" t="str">
        <f t="shared" si="2477"/>
        <v>Refund COSHARE 10</v>
      </c>
      <c r="H6059" s="2">
        <v>142.75</v>
      </c>
      <c r="I6059" t="str">
        <f>"NOORLINA BINTI AHMAD MIRZA"</f>
        <v>NOORLINA BINTI AHMAD MIRZA</v>
      </c>
      <c r="J6059" t="str">
        <f t="shared" si="2461"/>
        <v>CIMB BANK / CIMB ISLAMIC BANK</v>
      </c>
      <c r="K6059" t="str">
        <f>"7035114134"</f>
        <v>7035114134</v>
      </c>
      <c r="L6059" t="str">
        <f t="shared" si="2478"/>
        <v>04-08-2020</v>
      </c>
      <c r="M6059" t="str">
        <f t="shared" si="2478"/>
        <v>04-08-2020</v>
      </c>
      <c r="N6059" t="str">
        <f t="shared" si="2467"/>
        <v>001105018356</v>
      </c>
      <c r="O6059" t="str">
        <f t="shared" si="2468"/>
        <v>MYR</v>
      </c>
      <c r="P6059" t="str">
        <f t="shared" si="2479"/>
        <v>NIL</v>
      </c>
      <c r="Q6059" t="str">
        <f t="shared" si="2479"/>
        <v>NIL</v>
      </c>
      <c r="R6059" t="str">
        <f t="shared" si="2482"/>
        <v>Accepted</v>
      </c>
      <c r="S6059" t="str">
        <f t="shared" si="2469"/>
        <v>Approved</v>
      </c>
      <c r="T6059" t="str">
        <f t="shared" si="2483"/>
        <v>10.20.8.188</v>
      </c>
      <c r="U6059" t="str">
        <f t="shared" si="2470"/>
        <v>AZRAD UMAR BIN SHAARI</v>
      </c>
      <c r="V6059" t="str">
        <f t="shared" si="2471"/>
        <v>FARHANA BINTI MUSTAPA</v>
      </c>
      <c r="W6059" t="str">
        <f t="shared" si="2472"/>
        <v>04-08-2020</v>
      </c>
      <c r="X6059" t="str">
        <f t="shared" si="2473"/>
        <v>RAZIMAH ANSAR AHMAD</v>
      </c>
      <c r="Y6059" t="str">
        <f t="shared" si="2474"/>
        <v>04-08-2020</v>
      </c>
      <c r="Z6059" t="str">
        <f>"COS10200804 3095"</f>
        <v>COS10200804 3095</v>
      </c>
    </row>
    <row r="6060" spans="1:26" x14ac:dyDescent="0.25">
      <c r="A6060" t="str">
        <f t="shared" si="2480"/>
        <v>04-08-2020 12:43:51</v>
      </c>
      <c r="B6060" t="str">
        <f>"0000804861"</f>
        <v>0000804861</v>
      </c>
      <c r="C6060" t="str">
        <f t="shared" si="2481"/>
        <v>0000804767</v>
      </c>
      <c r="D6060" t="str">
        <f t="shared" si="2464"/>
        <v>73185</v>
      </c>
      <c r="E6060" t="str">
        <f t="shared" si="2465"/>
        <v>KFH-OPERATIONS DEPARTMENT</v>
      </c>
      <c r="F6060" t="str">
        <f t="shared" si="2466"/>
        <v>IBG</v>
      </c>
      <c r="G6060" t="str">
        <f t="shared" si="2477"/>
        <v>Refund COSHARE 10</v>
      </c>
      <c r="H6060" s="2">
        <v>125.95</v>
      </c>
      <c r="I6060" t="str">
        <f>"NOORHAFIZAH BINTI SAIMIN"</f>
        <v>NOORHAFIZAH BINTI SAIMIN</v>
      </c>
      <c r="J6060" t="str">
        <f t="shared" si="2461"/>
        <v>CIMB BANK / CIMB ISLAMIC BANK</v>
      </c>
      <c r="K6060" t="str">
        <f>"01170018244528"</f>
        <v>01170018244528</v>
      </c>
      <c r="L6060" t="str">
        <f t="shared" si="2478"/>
        <v>04-08-2020</v>
      </c>
      <c r="M6060" t="str">
        <f t="shared" si="2478"/>
        <v>04-08-2020</v>
      </c>
      <c r="N6060" t="str">
        <f t="shared" si="2467"/>
        <v>001105018356</v>
      </c>
      <c r="O6060" t="str">
        <f t="shared" si="2468"/>
        <v>MYR</v>
      </c>
      <c r="P6060" t="str">
        <f t="shared" si="2479"/>
        <v>NIL</v>
      </c>
      <c r="Q6060" t="str">
        <f t="shared" si="2479"/>
        <v>NIL</v>
      </c>
      <c r="R6060" t="str">
        <f t="shared" si="2482"/>
        <v>Accepted</v>
      </c>
      <c r="S6060" t="str">
        <f t="shared" si="2469"/>
        <v>Approved</v>
      </c>
      <c r="T6060" t="str">
        <f t="shared" si="2483"/>
        <v>10.20.8.188</v>
      </c>
      <c r="U6060" t="str">
        <f t="shared" si="2470"/>
        <v>AZRAD UMAR BIN SHAARI</v>
      </c>
      <c r="V6060" t="str">
        <f t="shared" si="2471"/>
        <v>FARHANA BINTI MUSTAPA</v>
      </c>
      <c r="W6060" t="str">
        <f t="shared" si="2472"/>
        <v>04-08-2020</v>
      </c>
      <c r="X6060" t="str">
        <f t="shared" si="2473"/>
        <v>RAZIMAH ANSAR AHMAD</v>
      </c>
      <c r="Y6060" t="str">
        <f t="shared" si="2474"/>
        <v>04-08-2020</v>
      </c>
      <c r="Z6060" t="str">
        <f>"COS10200804 3094"</f>
        <v>COS10200804 3094</v>
      </c>
    </row>
    <row r="6061" spans="1:26" x14ac:dyDescent="0.25">
      <c r="A6061" t="str">
        <f t="shared" si="2480"/>
        <v>04-08-2020 12:43:51</v>
      </c>
      <c r="B6061" t="str">
        <f>"0000804860"</f>
        <v>0000804860</v>
      </c>
      <c r="C6061" t="str">
        <f t="shared" si="2481"/>
        <v>0000804767</v>
      </c>
      <c r="D6061" t="str">
        <f t="shared" si="2464"/>
        <v>73185</v>
      </c>
      <c r="E6061" t="str">
        <f t="shared" si="2465"/>
        <v>KFH-OPERATIONS DEPARTMENT</v>
      </c>
      <c r="F6061" t="str">
        <f t="shared" si="2466"/>
        <v>IBG</v>
      </c>
      <c r="G6061" t="str">
        <f t="shared" si="2477"/>
        <v>Refund COSHARE 10</v>
      </c>
      <c r="H6061" s="2">
        <v>129</v>
      </c>
      <c r="I6061" t="str">
        <f>"NOORHAFIZAH BINTI SAIDIAN"</f>
        <v>NOORHAFIZAH BINTI SAIDIAN</v>
      </c>
      <c r="J6061" t="str">
        <f t="shared" si="2461"/>
        <v>CIMB BANK / CIMB ISLAMIC BANK</v>
      </c>
      <c r="K6061" t="str">
        <f>"02090026293520"</f>
        <v>02090026293520</v>
      </c>
      <c r="L6061" t="str">
        <f t="shared" si="2478"/>
        <v>04-08-2020</v>
      </c>
      <c r="M6061" t="str">
        <f t="shared" si="2478"/>
        <v>04-08-2020</v>
      </c>
      <c r="N6061" t="str">
        <f t="shared" si="2467"/>
        <v>001105018356</v>
      </c>
      <c r="O6061" t="str">
        <f t="shared" si="2468"/>
        <v>MYR</v>
      </c>
      <c r="P6061" t="str">
        <f t="shared" si="2479"/>
        <v>NIL</v>
      </c>
      <c r="Q6061" t="str">
        <f t="shared" si="2479"/>
        <v>NIL</v>
      </c>
      <c r="R6061" t="str">
        <f t="shared" si="2482"/>
        <v>Accepted</v>
      </c>
      <c r="S6061" t="str">
        <f t="shared" si="2469"/>
        <v>Approved</v>
      </c>
      <c r="T6061" t="str">
        <f t="shared" si="2483"/>
        <v>10.20.8.188</v>
      </c>
      <c r="U6061" t="str">
        <f t="shared" si="2470"/>
        <v>AZRAD UMAR BIN SHAARI</v>
      </c>
      <c r="V6061" t="str">
        <f t="shared" si="2471"/>
        <v>FARHANA BINTI MUSTAPA</v>
      </c>
      <c r="W6061" t="str">
        <f t="shared" si="2472"/>
        <v>04-08-2020</v>
      </c>
      <c r="X6061" t="str">
        <f t="shared" si="2473"/>
        <v>RAZIMAH ANSAR AHMAD</v>
      </c>
      <c r="Y6061" t="str">
        <f t="shared" si="2474"/>
        <v>04-08-2020</v>
      </c>
      <c r="Z6061" t="str">
        <f>"COS10200804 3093"</f>
        <v>COS10200804 3093</v>
      </c>
    </row>
    <row r="6062" spans="1:26" x14ac:dyDescent="0.25">
      <c r="A6062" t="str">
        <f t="shared" si="2480"/>
        <v>04-08-2020 12:43:51</v>
      </c>
      <c r="B6062" t="str">
        <f>"0000804859"</f>
        <v>0000804859</v>
      </c>
      <c r="C6062" t="str">
        <f t="shared" si="2481"/>
        <v>0000804767</v>
      </c>
      <c r="D6062" t="str">
        <f t="shared" si="2464"/>
        <v>73185</v>
      </c>
      <c r="E6062" t="str">
        <f t="shared" si="2465"/>
        <v>KFH-OPERATIONS DEPARTMENT</v>
      </c>
      <c r="F6062" t="str">
        <f t="shared" si="2466"/>
        <v>IBG</v>
      </c>
      <c r="G6062" t="str">
        <f t="shared" si="2477"/>
        <v>Refund COSHARE 10</v>
      </c>
      <c r="H6062" s="2">
        <v>373.3</v>
      </c>
      <c r="I6062" t="str">
        <f>"NOORASHIKIN BINTI MUSTAFA"</f>
        <v>NOORASHIKIN BINTI MUSTAFA</v>
      </c>
      <c r="J6062" t="str">
        <f t="shared" si="2461"/>
        <v>CIMB BANK / CIMB ISLAMIC BANK</v>
      </c>
      <c r="K6062" t="str">
        <f>"01150021546520"</f>
        <v>01150021546520</v>
      </c>
      <c r="L6062" t="str">
        <f t="shared" si="2478"/>
        <v>04-08-2020</v>
      </c>
      <c r="M6062" t="str">
        <f t="shared" si="2478"/>
        <v>04-08-2020</v>
      </c>
      <c r="N6062" t="str">
        <f t="shared" si="2467"/>
        <v>001105018356</v>
      </c>
      <c r="O6062" t="str">
        <f t="shared" si="2468"/>
        <v>MYR</v>
      </c>
      <c r="P6062" t="str">
        <f t="shared" si="2479"/>
        <v>NIL</v>
      </c>
      <c r="Q6062" t="str">
        <f t="shared" si="2479"/>
        <v>NIL</v>
      </c>
      <c r="R6062" t="str">
        <f t="shared" si="2482"/>
        <v>Accepted</v>
      </c>
      <c r="S6062" t="str">
        <f t="shared" si="2469"/>
        <v>Approved</v>
      </c>
      <c r="T6062" t="str">
        <f t="shared" si="2483"/>
        <v>10.20.8.188</v>
      </c>
      <c r="U6062" t="str">
        <f t="shared" si="2470"/>
        <v>AZRAD UMAR BIN SHAARI</v>
      </c>
      <c r="V6062" t="str">
        <f t="shared" si="2471"/>
        <v>FARHANA BINTI MUSTAPA</v>
      </c>
      <c r="W6062" t="str">
        <f t="shared" si="2472"/>
        <v>04-08-2020</v>
      </c>
      <c r="X6062" t="str">
        <f t="shared" si="2473"/>
        <v>RAZIMAH ANSAR AHMAD</v>
      </c>
      <c r="Y6062" t="str">
        <f t="shared" si="2474"/>
        <v>04-08-2020</v>
      </c>
      <c r="Z6062" t="str">
        <f>"COS10200804 3092"</f>
        <v>COS10200804 3092</v>
      </c>
    </row>
    <row r="6063" spans="1:26" x14ac:dyDescent="0.25">
      <c r="A6063" t="str">
        <f t="shared" si="2480"/>
        <v>04-08-2020 12:43:51</v>
      </c>
      <c r="B6063" t="str">
        <f>"0000804858"</f>
        <v>0000804858</v>
      </c>
      <c r="C6063" t="str">
        <f t="shared" si="2481"/>
        <v>0000804767</v>
      </c>
      <c r="D6063" t="str">
        <f t="shared" si="2464"/>
        <v>73185</v>
      </c>
      <c r="E6063" t="str">
        <f t="shared" si="2465"/>
        <v>KFH-OPERATIONS DEPARTMENT</v>
      </c>
      <c r="F6063" t="str">
        <f t="shared" si="2466"/>
        <v>IBG</v>
      </c>
      <c r="G6063" t="str">
        <f t="shared" si="2477"/>
        <v>Refund COSHARE 10</v>
      </c>
      <c r="H6063" s="2">
        <v>218.3</v>
      </c>
      <c r="I6063" t="str">
        <f>"NOORAINA BINTI AHMAD"</f>
        <v>NOORAINA BINTI AHMAD</v>
      </c>
      <c r="J6063" t="str">
        <f t="shared" si="2461"/>
        <v>CIMB BANK / CIMB ISLAMIC BANK</v>
      </c>
      <c r="K6063" t="str">
        <f>"10110002429206"</f>
        <v>10110002429206</v>
      </c>
      <c r="L6063" t="str">
        <f t="shared" si="2478"/>
        <v>04-08-2020</v>
      </c>
      <c r="M6063" t="str">
        <f t="shared" si="2478"/>
        <v>04-08-2020</v>
      </c>
      <c r="N6063" t="str">
        <f t="shared" si="2467"/>
        <v>001105018356</v>
      </c>
      <c r="O6063" t="str">
        <f t="shared" si="2468"/>
        <v>MYR</v>
      </c>
      <c r="P6063" t="str">
        <f t="shared" si="2479"/>
        <v>NIL</v>
      </c>
      <c r="Q6063" t="str">
        <f t="shared" si="2479"/>
        <v>NIL</v>
      </c>
      <c r="R6063" t="str">
        <f t="shared" si="2482"/>
        <v>Accepted</v>
      </c>
      <c r="S6063" t="str">
        <f t="shared" si="2469"/>
        <v>Approved</v>
      </c>
      <c r="T6063" t="str">
        <f t="shared" si="2483"/>
        <v>10.20.8.188</v>
      </c>
      <c r="U6063" t="str">
        <f t="shared" si="2470"/>
        <v>AZRAD UMAR BIN SHAARI</v>
      </c>
      <c r="V6063" t="str">
        <f t="shared" si="2471"/>
        <v>FARHANA BINTI MUSTAPA</v>
      </c>
      <c r="W6063" t="str">
        <f t="shared" si="2472"/>
        <v>04-08-2020</v>
      </c>
      <c r="X6063" t="str">
        <f t="shared" si="2473"/>
        <v>RAZIMAH ANSAR AHMAD</v>
      </c>
      <c r="Y6063" t="str">
        <f t="shared" si="2474"/>
        <v>04-08-2020</v>
      </c>
      <c r="Z6063" t="str">
        <f>"COS10200804 3091"</f>
        <v>COS10200804 3091</v>
      </c>
    </row>
    <row r="6064" spans="1:26" x14ac:dyDescent="0.25">
      <c r="A6064" t="str">
        <f t="shared" si="2480"/>
        <v>04-08-2020 12:43:51</v>
      </c>
      <c r="B6064" t="str">
        <f>"0000804857"</f>
        <v>0000804857</v>
      </c>
      <c r="C6064" t="str">
        <f t="shared" si="2481"/>
        <v>0000804767</v>
      </c>
      <c r="D6064" t="str">
        <f t="shared" si="2464"/>
        <v>73185</v>
      </c>
      <c r="E6064" t="str">
        <f t="shared" si="2465"/>
        <v>KFH-OPERATIONS DEPARTMENT</v>
      </c>
      <c r="F6064" t="str">
        <f t="shared" si="2466"/>
        <v>IBG</v>
      </c>
      <c r="G6064" t="str">
        <f t="shared" si="2477"/>
        <v>Refund COSHARE 10</v>
      </c>
      <c r="H6064" s="2">
        <v>993.45</v>
      </c>
      <c r="I6064" t="str">
        <f>"NOOR SYAHRIZAM BIN BAKRI"</f>
        <v>NOOR SYAHRIZAM BIN BAKRI</v>
      </c>
      <c r="J6064" t="str">
        <f t="shared" si="2461"/>
        <v>CIMB BANK / CIMB ISLAMIC BANK</v>
      </c>
      <c r="K6064" t="str">
        <f>"7610422173"</f>
        <v>7610422173</v>
      </c>
      <c r="L6064" t="str">
        <f t="shared" si="2478"/>
        <v>04-08-2020</v>
      </c>
      <c r="M6064" t="str">
        <f t="shared" si="2478"/>
        <v>04-08-2020</v>
      </c>
      <c r="N6064" t="str">
        <f t="shared" si="2467"/>
        <v>001105018356</v>
      </c>
      <c r="O6064" t="str">
        <f t="shared" si="2468"/>
        <v>MYR</v>
      </c>
      <c r="P6064" t="str">
        <f t="shared" si="2479"/>
        <v>NIL</v>
      </c>
      <c r="Q6064" t="str">
        <f t="shared" si="2479"/>
        <v>NIL</v>
      </c>
      <c r="R6064" t="str">
        <f t="shared" si="2482"/>
        <v>Accepted</v>
      </c>
      <c r="S6064" t="str">
        <f t="shared" si="2469"/>
        <v>Approved</v>
      </c>
      <c r="T6064" t="str">
        <f t="shared" si="2483"/>
        <v>10.20.8.188</v>
      </c>
      <c r="U6064" t="str">
        <f t="shared" si="2470"/>
        <v>AZRAD UMAR BIN SHAARI</v>
      </c>
      <c r="V6064" t="str">
        <f t="shared" si="2471"/>
        <v>FARHANA BINTI MUSTAPA</v>
      </c>
      <c r="W6064" t="str">
        <f t="shared" si="2472"/>
        <v>04-08-2020</v>
      </c>
      <c r="X6064" t="str">
        <f t="shared" si="2473"/>
        <v>RAZIMAH ANSAR AHMAD</v>
      </c>
      <c r="Y6064" t="str">
        <f t="shared" si="2474"/>
        <v>04-08-2020</v>
      </c>
      <c r="Z6064" t="str">
        <f>"COS10200804 3090"</f>
        <v>COS10200804 3090</v>
      </c>
    </row>
    <row r="6065" spans="1:26" x14ac:dyDescent="0.25">
      <c r="A6065" t="str">
        <f t="shared" si="2480"/>
        <v>04-08-2020 12:43:51</v>
      </c>
      <c r="B6065" t="str">
        <f>"0000804856"</f>
        <v>0000804856</v>
      </c>
      <c r="C6065" t="str">
        <f t="shared" si="2481"/>
        <v>0000804767</v>
      </c>
      <c r="D6065" t="str">
        <f t="shared" si="2464"/>
        <v>73185</v>
      </c>
      <c r="E6065" t="str">
        <f t="shared" si="2465"/>
        <v>KFH-OPERATIONS DEPARTMENT</v>
      </c>
      <c r="F6065" t="str">
        <f t="shared" si="2466"/>
        <v>IBG</v>
      </c>
      <c r="G6065" t="str">
        <f t="shared" si="2477"/>
        <v>Refund COSHARE 10</v>
      </c>
      <c r="H6065" s="2">
        <v>294.7</v>
      </c>
      <c r="I6065" t="str">
        <f>"NOOR SHUHAIDA BT ZULKEFLI"</f>
        <v>NOOR SHUHAIDA BT ZULKEFLI</v>
      </c>
      <c r="J6065" t="str">
        <f t="shared" si="2461"/>
        <v>CIMB BANK / CIMB ISLAMIC BANK</v>
      </c>
      <c r="K6065" t="str">
        <f>"05020702921525"</f>
        <v>05020702921525</v>
      </c>
      <c r="L6065" t="str">
        <f t="shared" si="2478"/>
        <v>04-08-2020</v>
      </c>
      <c r="M6065" t="str">
        <f t="shared" si="2478"/>
        <v>04-08-2020</v>
      </c>
      <c r="N6065" t="str">
        <f t="shared" si="2467"/>
        <v>001105018356</v>
      </c>
      <c r="O6065" t="str">
        <f t="shared" si="2468"/>
        <v>MYR</v>
      </c>
      <c r="P6065" t="str">
        <f t="shared" si="2479"/>
        <v>NIL</v>
      </c>
      <c r="Q6065" t="str">
        <f t="shared" si="2479"/>
        <v>NIL</v>
      </c>
      <c r="R6065" t="str">
        <f t="shared" si="2482"/>
        <v>Accepted</v>
      </c>
      <c r="S6065" t="str">
        <f t="shared" si="2469"/>
        <v>Approved</v>
      </c>
      <c r="T6065" t="str">
        <f t="shared" si="2483"/>
        <v>10.20.8.188</v>
      </c>
      <c r="U6065" t="str">
        <f t="shared" si="2470"/>
        <v>AZRAD UMAR BIN SHAARI</v>
      </c>
      <c r="V6065" t="str">
        <f t="shared" si="2471"/>
        <v>FARHANA BINTI MUSTAPA</v>
      </c>
      <c r="W6065" t="str">
        <f t="shared" si="2472"/>
        <v>04-08-2020</v>
      </c>
      <c r="X6065" t="str">
        <f t="shared" si="2473"/>
        <v>RAZIMAH ANSAR AHMAD</v>
      </c>
      <c r="Y6065" t="str">
        <f t="shared" si="2474"/>
        <v>04-08-2020</v>
      </c>
      <c r="Z6065" t="str">
        <f>"COS10200804 3089"</f>
        <v>COS10200804 3089</v>
      </c>
    </row>
    <row r="6066" spans="1:26" x14ac:dyDescent="0.25">
      <c r="A6066" t="str">
        <f t="shared" si="2480"/>
        <v>04-08-2020 12:43:51</v>
      </c>
      <c r="B6066" t="str">
        <f>"0000804855"</f>
        <v>0000804855</v>
      </c>
      <c r="C6066" t="str">
        <f t="shared" si="2481"/>
        <v>0000804767</v>
      </c>
      <c r="D6066" t="str">
        <f t="shared" si="2464"/>
        <v>73185</v>
      </c>
      <c r="E6066" t="str">
        <f t="shared" si="2465"/>
        <v>KFH-OPERATIONS DEPARTMENT</v>
      </c>
      <c r="F6066" t="str">
        <f t="shared" si="2466"/>
        <v>IBG</v>
      </c>
      <c r="G6066" t="str">
        <f t="shared" si="2477"/>
        <v>Refund COSHARE 10</v>
      </c>
      <c r="H6066" s="2">
        <v>873.1</v>
      </c>
      <c r="I6066" t="str">
        <f>"NOOR MUHAMAT BIN MOHAMED"</f>
        <v>NOOR MUHAMAT BIN MOHAMED</v>
      </c>
      <c r="J6066" t="str">
        <f t="shared" si="2461"/>
        <v>CIMB BANK / CIMB ISLAMIC BANK</v>
      </c>
      <c r="K6066" t="str">
        <f>"12110020724527"</f>
        <v>12110020724527</v>
      </c>
      <c r="L6066" t="str">
        <f t="shared" si="2478"/>
        <v>04-08-2020</v>
      </c>
      <c r="M6066" t="str">
        <f t="shared" si="2478"/>
        <v>04-08-2020</v>
      </c>
      <c r="N6066" t="str">
        <f t="shared" si="2467"/>
        <v>001105018356</v>
      </c>
      <c r="O6066" t="str">
        <f t="shared" si="2468"/>
        <v>MYR</v>
      </c>
      <c r="P6066" t="str">
        <f t="shared" si="2479"/>
        <v>NIL</v>
      </c>
      <c r="Q6066" t="str">
        <f t="shared" si="2479"/>
        <v>NIL</v>
      </c>
      <c r="R6066" t="str">
        <f t="shared" si="2482"/>
        <v>Accepted</v>
      </c>
      <c r="S6066" t="str">
        <f t="shared" si="2469"/>
        <v>Approved</v>
      </c>
      <c r="T6066" t="str">
        <f t="shared" si="2483"/>
        <v>10.20.8.188</v>
      </c>
      <c r="U6066" t="str">
        <f t="shared" si="2470"/>
        <v>AZRAD UMAR BIN SHAARI</v>
      </c>
      <c r="V6066" t="str">
        <f t="shared" si="2471"/>
        <v>FARHANA BINTI MUSTAPA</v>
      </c>
      <c r="W6066" t="str">
        <f t="shared" si="2472"/>
        <v>04-08-2020</v>
      </c>
      <c r="X6066" t="str">
        <f t="shared" si="2473"/>
        <v>RAZIMAH ANSAR AHMAD</v>
      </c>
      <c r="Y6066" t="str">
        <f t="shared" si="2474"/>
        <v>04-08-2020</v>
      </c>
      <c r="Z6066" t="str">
        <f>"COS10200804 3088"</f>
        <v>COS10200804 3088</v>
      </c>
    </row>
    <row r="6067" spans="1:26" x14ac:dyDescent="0.25">
      <c r="A6067" t="str">
        <f t="shared" si="2480"/>
        <v>04-08-2020 12:43:51</v>
      </c>
      <c r="B6067" t="str">
        <f>"0000804854"</f>
        <v>0000804854</v>
      </c>
      <c r="C6067" t="str">
        <f t="shared" si="2481"/>
        <v>0000804767</v>
      </c>
      <c r="D6067" t="str">
        <f t="shared" si="2464"/>
        <v>73185</v>
      </c>
      <c r="E6067" t="str">
        <f t="shared" si="2465"/>
        <v>KFH-OPERATIONS DEPARTMENT</v>
      </c>
      <c r="F6067" t="str">
        <f t="shared" si="2466"/>
        <v>IBG</v>
      </c>
      <c r="G6067" t="str">
        <f t="shared" si="2477"/>
        <v>Refund COSHARE 10</v>
      </c>
      <c r="H6067" s="2">
        <v>151.15</v>
      </c>
      <c r="I6067" t="str">
        <f>"NOOR MOHAMAD FIRDAUS BIN MOHAMAD NOOR"</f>
        <v>NOOR MOHAMAD FIRDAUS BIN MOHAMAD NOOR</v>
      </c>
      <c r="J6067" t="str">
        <f t="shared" si="2461"/>
        <v>CIMB BANK / CIMB ISLAMIC BANK</v>
      </c>
      <c r="K6067" t="str">
        <f>"08180017050524"</f>
        <v>08180017050524</v>
      </c>
      <c r="L6067" t="str">
        <f t="shared" ref="L6067:M6086" si="2484">"04-08-2020"</f>
        <v>04-08-2020</v>
      </c>
      <c r="M6067" t="str">
        <f t="shared" si="2484"/>
        <v>04-08-2020</v>
      </c>
      <c r="N6067" t="str">
        <f t="shared" si="2467"/>
        <v>001105018356</v>
      </c>
      <c r="O6067" t="str">
        <f t="shared" si="2468"/>
        <v>MYR</v>
      </c>
      <c r="P6067" t="str">
        <f t="shared" ref="P6067:Q6086" si="2485">"NIL"</f>
        <v>NIL</v>
      </c>
      <c r="Q6067" t="str">
        <f t="shared" si="2485"/>
        <v>NIL</v>
      </c>
      <c r="R6067" t="str">
        <f t="shared" si="2482"/>
        <v>Accepted</v>
      </c>
      <c r="S6067" t="str">
        <f t="shared" si="2469"/>
        <v>Approved</v>
      </c>
      <c r="T6067" t="str">
        <f t="shared" si="2483"/>
        <v>10.20.8.188</v>
      </c>
      <c r="U6067" t="str">
        <f t="shared" si="2470"/>
        <v>AZRAD UMAR BIN SHAARI</v>
      </c>
      <c r="V6067" t="str">
        <f t="shared" si="2471"/>
        <v>FARHANA BINTI MUSTAPA</v>
      </c>
      <c r="W6067" t="str">
        <f t="shared" si="2472"/>
        <v>04-08-2020</v>
      </c>
      <c r="X6067" t="str">
        <f t="shared" si="2473"/>
        <v>RAZIMAH ANSAR AHMAD</v>
      </c>
      <c r="Y6067" t="str">
        <f t="shared" si="2474"/>
        <v>04-08-2020</v>
      </c>
      <c r="Z6067" t="str">
        <f>"COS10200804 3087"</f>
        <v>COS10200804 3087</v>
      </c>
    </row>
    <row r="6068" spans="1:26" x14ac:dyDescent="0.25">
      <c r="A6068" t="str">
        <f t="shared" si="2480"/>
        <v>04-08-2020 12:43:51</v>
      </c>
      <c r="B6068" t="str">
        <f>"0000804853"</f>
        <v>0000804853</v>
      </c>
      <c r="C6068" t="str">
        <f t="shared" si="2481"/>
        <v>0000804767</v>
      </c>
      <c r="D6068" t="str">
        <f t="shared" si="2464"/>
        <v>73185</v>
      </c>
      <c r="E6068" t="str">
        <f t="shared" si="2465"/>
        <v>KFH-OPERATIONS DEPARTMENT</v>
      </c>
      <c r="F6068" t="str">
        <f t="shared" si="2466"/>
        <v>IBG</v>
      </c>
      <c r="G6068" t="str">
        <f t="shared" si="2477"/>
        <v>Refund COSHARE 10</v>
      </c>
      <c r="H6068" s="2">
        <v>67.2</v>
      </c>
      <c r="I6068" t="str">
        <f>"NOOR MAZUIN BINTI MAT NOOR"</f>
        <v>NOOR MAZUIN BINTI MAT NOOR</v>
      </c>
      <c r="J6068" t="str">
        <f t="shared" si="2461"/>
        <v>CIMB BANK / CIMB ISLAMIC BANK</v>
      </c>
      <c r="K6068" t="str">
        <f>"12440065981529"</f>
        <v>12440065981529</v>
      </c>
      <c r="L6068" t="str">
        <f t="shared" si="2484"/>
        <v>04-08-2020</v>
      </c>
      <c r="M6068" t="str">
        <f t="shared" si="2484"/>
        <v>04-08-2020</v>
      </c>
      <c r="N6068" t="str">
        <f t="shared" si="2467"/>
        <v>001105018356</v>
      </c>
      <c r="O6068" t="str">
        <f t="shared" si="2468"/>
        <v>MYR</v>
      </c>
      <c r="P6068" t="str">
        <f t="shared" si="2485"/>
        <v>NIL</v>
      </c>
      <c r="Q6068" t="str">
        <f t="shared" si="2485"/>
        <v>NIL</v>
      </c>
      <c r="R6068" t="str">
        <f t="shared" si="2482"/>
        <v>Accepted</v>
      </c>
      <c r="S6068" t="str">
        <f t="shared" si="2469"/>
        <v>Approved</v>
      </c>
      <c r="T6068" t="str">
        <f t="shared" si="2483"/>
        <v>10.20.8.188</v>
      </c>
      <c r="U6068" t="str">
        <f t="shared" si="2470"/>
        <v>AZRAD UMAR BIN SHAARI</v>
      </c>
      <c r="V6068" t="str">
        <f t="shared" si="2471"/>
        <v>FARHANA BINTI MUSTAPA</v>
      </c>
      <c r="W6068" t="str">
        <f t="shared" si="2472"/>
        <v>04-08-2020</v>
      </c>
      <c r="X6068" t="str">
        <f t="shared" si="2473"/>
        <v>RAZIMAH ANSAR AHMAD</v>
      </c>
      <c r="Y6068" t="str">
        <f t="shared" si="2474"/>
        <v>04-08-2020</v>
      </c>
      <c r="Z6068" t="str">
        <f>"COS10200804 3086"</f>
        <v>COS10200804 3086</v>
      </c>
    </row>
    <row r="6069" spans="1:26" x14ac:dyDescent="0.25">
      <c r="A6069" t="str">
        <f t="shared" si="2480"/>
        <v>04-08-2020 12:43:51</v>
      </c>
      <c r="B6069" t="str">
        <f>"0000804852"</f>
        <v>0000804852</v>
      </c>
      <c r="C6069" t="str">
        <f t="shared" si="2481"/>
        <v>0000804767</v>
      </c>
      <c r="D6069" t="str">
        <f t="shared" si="2464"/>
        <v>73185</v>
      </c>
      <c r="E6069" t="str">
        <f t="shared" si="2465"/>
        <v>KFH-OPERATIONS DEPARTMENT</v>
      </c>
      <c r="F6069" t="str">
        <f t="shared" si="2466"/>
        <v>IBG</v>
      </c>
      <c r="G6069" t="str">
        <f t="shared" si="2477"/>
        <v>Refund COSHARE 10</v>
      </c>
      <c r="H6069" s="2">
        <v>1259.25</v>
      </c>
      <c r="I6069" t="str">
        <f>"NOOR MAHIZAH BINTI TOMPANG  MOHD ZAIN"</f>
        <v>NOOR MAHIZAH BINTI TOMPANG  MOHD ZAIN</v>
      </c>
      <c r="J6069" t="str">
        <f t="shared" si="2461"/>
        <v>CIMB BANK / CIMB ISLAMIC BANK</v>
      </c>
      <c r="K6069" t="str">
        <f>"12051385100525"</f>
        <v>12051385100525</v>
      </c>
      <c r="L6069" t="str">
        <f t="shared" si="2484"/>
        <v>04-08-2020</v>
      </c>
      <c r="M6069" t="str">
        <f t="shared" si="2484"/>
        <v>04-08-2020</v>
      </c>
      <c r="N6069" t="str">
        <f t="shared" si="2467"/>
        <v>001105018356</v>
      </c>
      <c r="O6069" t="str">
        <f t="shared" si="2468"/>
        <v>MYR</v>
      </c>
      <c r="P6069" t="str">
        <f t="shared" si="2485"/>
        <v>NIL</v>
      </c>
      <c r="Q6069" t="str">
        <f t="shared" si="2485"/>
        <v>NIL</v>
      </c>
      <c r="R6069" t="str">
        <f t="shared" si="2482"/>
        <v>Accepted</v>
      </c>
      <c r="S6069" t="str">
        <f t="shared" si="2469"/>
        <v>Approved</v>
      </c>
      <c r="T6069" t="str">
        <f t="shared" si="2483"/>
        <v>10.20.8.188</v>
      </c>
      <c r="U6069" t="str">
        <f t="shared" si="2470"/>
        <v>AZRAD UMAR BIN SHAARI</v>
      </c>
      <c r="V6069" t="str">
        <f t="shared" si="2471"/>
        <v>FARHANA BINTI MUSTAPA</v>
      </c>
      <c r="W6069" t="str">
        <f t="shared" si="2472"/>
        <v>04-08-2020</v>
      </c>
      <c r="X6069" t="str">
        <f t="shared" si="2473"/>
        <v>RAZIMAH ANSAR AHMAD</v>
      </c>
      <c r="Y6069" t="str">
        <f t="shared" si="2474"/>
        <v>04-08-2020</v>
      </c>
      <c r="Z6069" t="str">
        <f>"COS10200804 3085"</f>
        <v>COS10200804 3085</v>
      </c>
    </row>
    <row r="6070" spans="1:26" x14ac:dyDescent="0.25">
      <c r="A6070" t="str">
        <f t="shared" si="2480"/>
        <v>04-08-2020 12:43:51</v>
      </c>
      <c r="B6070" t="str">
        <f>"0000804851"</f>
        <v>0000804851</v>
      </c>
      <c r="C6070" t="str">
        <f t="shared" si="2481"/>
        <v>0000804767</v>
      </c>
      <c r="D6070" t="str">
        <f t="shared" si="2464"/>
        <v>73185</v>
      </c>
      <c r="E6070" t="str">
        <f t="shared" si="2465"/>
        <v>KFH-OPERATIONS DEPARTMENT</v>
      </c>
      <c r="F6070" t="str">
        <f t="shared" si="2466"/>
        <v>IBG</v>
      </c>
      <c r="G6070" t="str">
        <f t="shared" si="2477"/>
        <v>Refund COSHARE 10</v>
      </c>
      <c r="H6070" s="2">
        <v>83.95</v>
      </c>
      <c r="I6070" t="str">
        <f>"NOOR ISMARINA BINTI ARSHAD"</f>
        <v>NOOR ISMARINA BINTI ARSHAD</v>
      </c>
      <c r="J6070" t="str">
        <f t="shared" si="2461"/>
        <v>CIMB BANK / CIMB ISLAMIC BANK</v>
      </c>
      <c r="K6070" t="str">
        <f>"02050129379523"</f>
        <v>02050129379523</v>
      </c>
      <c r="L6070" t="str">
        <f t="shared" si="2484"/>
        <v>04-08-2020</v>
      </c>
      <c r="M6070" t="str">
        <f t="shared" si="2484"/>
        <v>04-08-2020</v>
      </c>
      <c r="N6070" t="str">
        <f t="shared" si="2467"/>
        <v>001105018356</v>
      </c>
      <c r="O6070" t="str">
        <f t="shared" si="2468"/>
        <v>MYR</v>
      </c>
      <c r="P6070" t="str">
        <f t="shared" si="2485"/>
        <v>NIL</v>
      </c>
      <c r="Q6070" t="str">
        <f t="shared" si="2485"/>
        <v>NIL</v>
      </c>
      <c r="R6070" t="str">
        <f t="shared" si="2482"/>
        <v>Accepted</v>
      </c>
      <c r="S6070" t="str">
        <f t="shared" si="2469"/>
        <v>Approved</v>
      </c>
      <c r="T6070" t="str">
        <f t="shared" si="2483"/>
        <v>10.20.8.188</v>
      </c>
      <c r="U6070" t="str">
        <f t="shared" si="2470"/>
        <v>AZRAD UMAR BIN SHAARI</v>
      </c>
      <c r="V6070" t="str">
        <f t="shared" si="2471"/>
        <v>FARHANA BINTI MUSTAPA</v>
      </c>
      <c r="W6070" t="str">
        <f t="shared" si="2472"/>
        <v>04-08-2020</v>
      </c>
      <c r="X6070" t="str">
        <f t="shared" si="2473"/>
        <v>RAZIMAH ANSAR AHMAD</v>
      </c>
      <c r="Y6070" t="str">
        <f t="shared" si="2474"/>
        <v>04-08-2020</v>
      </c>
      <c r="Z6070" t="str">
        <f>"COS10200804 3084"</f>
        <v>COS10200804 3084</v>
      </c>
    </row>
    <row r="6071" spans="1:26" x14ac:dyDescent="0.25">
      <c r="A6071" t="str">
        <f t="shared" si="2480"/>
        <v>04-08-2020 12:43:51</v>
      </c>
      <c r="B6071" t="str">
        <f>"0000804850"</f>
        <v>0000804850</v>
      </c>
      <c r="C6071" t="str">
        <f t="shared" si="2481"/>
        <v>0000804767</v>
      </c>
      <c r="D6071" t="str">
        <f t="shared" si="2464"/>
        <v>73185</v>
      </c>
      <c r="E6071" t="str">
        <f t="shared" si="2465"/>
        <v>KFH-OPERATIONS DEPARTMENT</v>
      </c>
      <c r="F6071" t="str">
        <f t="shared" si="2466"/>
        <v>IBG</v>
      </c>
      <c r="G6071" t="str">
        <f t="shared" si="2477"/>
        <v>Refund COSHARE 10</v>
      </c>
      <c r="H6071" s="2">
        <v>167.9</v>
      </c>
      <c r="I6071" t="str">
        <f>"NOOR ISMARINA BINTI ARSHAD"</f>
        <v>NOOR ISMARINA BINTI ARSHAD</v>
      </c>
      <c r="J6071" t="str">
        <f t="shared" si="2461"/>
        <v>CIMB BANK / CIMB ISLAMIC BANK</v>
      </c>
      <c r="K6071" t="str">
        <f>"02050129379523"</f>
        <v>02050129379523</v>
      </c>
      <c r="L6071" t="str">
        <f t="shared" si="2484"/>
        <v>04-08-2020</v>
      </c>
      <c r="M6071" t="str">
        <f t="shared" si="2484"/>
        <v>04-08-2020</v>
      </c>
      <c r="N6071" t="str">
        <f t="shared" si="2467"/>
        <v>001105018356</v>
      </c>
      <c r="O6071" t="str">
        <f t="shared" si="2468"/>
        <v>MYR</v>
      </c>
      <c r="P6071" t="str">
        <f t="shared" si="2485"/>
        <v>NIL</v>
      </c>
      <c r="Q6071" t="str">
        <f t="shared" si="2485"/>
        <v>NIL</v>
      </c>
      <c r="R6071" t="str">
        <f t="shared" si="2482"/>
        <v>Accepted</v>
      </c>
      <c r="S6071" t="str">
        <f t="shared" si="2469"/>
        <v>Approved</v>
      </c>
      <c r="T6071" t="str">
        <f t="shared" si="2483"/>
        <v>10.20.8.188</v>
      </c>
      <c r="U6071" t="str">
        <f t="shared" si="2470"/>
        <v>AZRAD UMAR BIN SHAARI</v>
      </c>
      <c r="V6071" t="str">
        <f t="shared" si="2471"/>
        <v>FARHANA BINTI MUSTAPA</v>
      </c>
      <c r="W6071" t="str">
        <f t="shared" si="2472"/>
        <v>04-08-2020</v>
      </c>
      <c r="X6071" t="str">
        <f t="shared" si="2473"/>
        <v>RAZIMAH ANSAR AHMAD</v>
      </c>
      <c r="Y6071" t="str">
        <f t="shared" si="2474"/>
        <v>04-08-2020</v>
      </c>
      <c r="Z6071" t="str">
        <f>"COS10200804 3083"</f>
        <v>COS10200804 3083</v>
      </c>
    </row>
    <row r="6072" spans="1:26" x14ac:dyDescent="0.25">
      <c r="A6072" t="str">
        <f t="shared" si="2480"/>
        <v>04-08-2020 12:43:51</v>
      </c>
      <c r="B6072" t="str">
        <f>"0000804849"</f>
        <v>0000804849</v>
      </c>
      <c r="C6072" t="str">
        <f t="shared" si="2481"/>
        <v>0000804767</v>
      </c>
      <c r="D6072" t="str">
        <f t="shared" si="2464"/>
        <v>73185</v>
      </c>
      <c r="E6072" t="str">
        <f t="shared" si="2465"/>
        <v>KFH-OPERATIONS DEPARTMENT</v>
      </c>
      <c r="F6072" t="str">
        <f t="shared" si="2466"/>
        <v>IBG</v>
      </c>
      <c r="G6072" t="str">
        <f t="shared" si="2477"/>
        <v>Refund COSHARE 10</v>
      </c>
      <c r="H6072" s="2">
        <v>1009</v>
      </c>
      <c r="I6072" t="str">
        <f>"NOOR HAYATI BINTI JAIS"</f>
        <v>NOOR HAYATI BINTI JAIS</v>
      </c>
      <c r="J6072" t="str">
        <f t="shared" si="2461"/>
        <v>CIMB BANK / CIMB ISLAMIC BANK</v>
      </c>
      <c r="K6072" t="str">
        <f>"01140061748523"</f>
        <v>01140061748523</v>
      </c>
      <c r="L6072" t="str">
        <f t="shared" si="2484"/>
        <v>04-08-2020</v>
      </c>
      <c r="M6072" t="str">
        <f t="shared" si="2484"/>
        <v>04-08-2020</v>
      </c>
      <c r="N6072" t="str">
        <f t="shared" si="2467"/>
        <v>001105018356</v>
      </c>
      <c r="O6072" t="str">
        <f t="shared" si="2468"/>
        <v>MYR</v>
      </c>
      <c r="P6072" t="str">
        <f t="shared" si="2485"/>
        <v>NIL</v>
      </c>
      <c r="Q6072" t="str">
        <f t="shared" si="2485"/>
        <v>NIL</v>
      </c>
      <c r="R6072" t="str">
        <f t="shared" si="2482"/>
        <v>Accepted</v>
      </c>
      <c r="S6072" t="str">
        <f t="shared" si="2469"/>
        <v>Approved</v>
      </c>
      <c r="T6072" t="str">
        <f t="shared" si="2483"/>
        <v>10.20.8.188</v>
      </c>
      <c r="U6072" t="str">
        <f t="shared" si="2470"/>
        <v>AZRAD UMAR BIN SHAARI</v>
      </c>
      <c r="V6072" t="str">
        <f t="shared" si="2471"/>
        <v>FARHANA BINTI MUSTAPA</v>
      </c>
      <c r="W6072" t="str">
        <f t="shared" si="2472"/>
        <v>04-08-2020</v>
      </c>
      <c r="X6072" t="str">
        <f t="shared" si="2473"/>
        <v>RAZIMAH ANSAR AHMAD</v>
      </c>
      <c r="Y6072" t="str">
        <f t="shared" si="2474"/>
        <v>04-08-2020</v>
      </c>
      <c r="Z6072" t="str">
        <f>"COS10200804 3082"</f>
        <v>COS10200804 3082</v>
      </c>
    </row>
    <row r="6073" spans="1:26" x14ac:dyDescent="0.25">
      <c r="A6073" t="str">
        <f t="shared" si="2480"/>
        <v>04-08-2020 12:43:51</v>
      </c>
      <c r="B6073" t="str">
        <f>"0000804848"</f>
        <v>0000804848</v>
      </c>
      <c r="C6073" t="str">
        <f t="shared" si="2481"/>
        <v>0000804767</v>
      </c>
      <c r="D6073" t="str">
        <f t="shared" si="2464"/>
        <v>73185</v>
      </c>
      <c r="E6073" t="str">
        <f t="shared" si="2465"/>
        <v>KFH-OPERATIONS DEPARTMENT</v>
      </c>
      <c r="F6073" t="str">
        <f t="shared" si="2466"/>
        <v>IBG</v>
      </c>
      <c r="G6073" t="str">
        <f t="shared" si="2477"/>
        <v>Refund COSHARE 10</v>
      </c>
      <c r="H6073" s="2">
        <v>478.55</v>
      </c>
      <c r="I6073" t="str">
        <f>"NOOR HASMAWATI BINTI GANI"</f>
        <v>NOOR HASMAWATI BINTI GANI</v>
      </c>
      <c r="J6073" t="str">
        <f t="shared" si="2461"/>
        <v>CIMB BANK / CIMB ISLAMIC BANK</v>
      </c>
      <c r="K6073" t="str">
        <f>"12180079333524"</f>
        <v>12180079333524</v>
      </c>
      <c r="L6073" t="str">
        <f t="shared" si="2484"/>
        <v>04-08-2020</v>
      </c>
      <c r="M6073" t="str">
        <f t="shared" si="2484"/>
        <v>04-08-2020</v>
      </c>
      <c r="N6073" t="str">
        <f t="shared" si="2467"/>
        <v>001105018356</v>
      </c>
      <c r="O6073" t="str">
        <f t="shared" si="2468"/>
        <v>MYR</v>
      </c>
      <c r="P6073" t="str">
        <f t="shared" si="2485"/>
        <v>NIL</v>
      </c>
      <c r="Q6073" t="str">
        <f t="shared" si="2485"/>
        <v>NIL</v>
      </c>
      <c r="R6073" t="str">
        <f t="shared" si="2482"/>
        <v>Accepted</v>
      </c>
      <c r="S6073" t="str">
        <f t="shared" si="2469"/>
        <v>Approved</v>
      </c>
      <c r="T6073" t="str">
        <f t="shared" si="2483"/>
        <v>10.20.8.188</v>
      </c>
      <c r="U6073" t="str">
        <f t="shared" si="2470"/>
        <v>AZRAD UMAR BIN SHAARI</v>
      </c>
      <c r="V6073" t="str">
        <f t="shared" si="2471"/>
        <v>FARHANA BINTI MUSTAPA</v>
      </c>
      <c r="W6073" t="str">
        <f t="shared" si="2472"/>
        <v>04-08-2020</v>
      </c>
      <c r="X6073" t="str">
        <f t="shared" si="2473"/>
        <v>RAZIMAH ANSAR AHMAD</v>
      </c>
      <c r="Y6073" t="str">
        <f t="shared" si="2474"/>
        <v>04-08-2020</v>
      </c>
      <c r="Z6073" t="str">
        <f>"COS10200804 3081"</f>
        <v>COS10200804 3081</v>
      </c>
    </row>
    <row r="6074" spans="1:26" x14ac:dyDescent="0.25">
      <c r="A6074" t="str">
        <f t="shared" si="2480"/>
        <v>04-08-2020 12:43:51</v>
      </c>
      <c r="B6074" t="str">
        <f>"0000804847"</f>
        <v>0000804847</v>
      </c>
      <c r="C6074" t="str">
        <f t="shared" si="2481"/>
        <v>0000804767</v>
      </c>
      <c r="D6074" t="str">
        <f t="shared" si="2464"/>
        <v>73185</v>
      </c>
      <c r="E6074" t="str">
        <f t="shared" si="2465"/>
        <v>KFH-OPERATIONS DEPARTMENT</v>
      </c>
      <c r="F6074" t="str">
        <f t="shared" si="2466"/>
        <v>IBG</v>
      </c>
      <c r="G6074" t="str">
        <f t="shared" si="2477"/>
        <v>Refund COSHARE 10</v>
      </c>
      <c r="H6074" s="2">
        <v>335.8</v>
      </c>
      <c r="I6074" t="str">
        <f>"NOOR FAEZAH BINTI MOHAMED SUPIAN"</f>
        <v>NOOR FAEZAH BINTI MOHAMED SUPIAN</v>
      </c>
      <c r="J6074" t="str">
        <f t="shared" si="2461"/>
        <v>CIMB BANK / CIMB ISLAMIC BANK</v>
      </c>
      <c r="K6074" t="str">
        <f>"14440070798529"</f>
        <v>14440070798529</v>
      </c>
      <c r="L6074" t="str">
        <f t="shared" si="2484"/>
        <v>04-08-2020</v>
      </c>
      <c r="M6074" t="str">
        <f t="shared" si="2484"/>
        <v>04-08-2020</v>
      </c>
      <c r="N6074" t="str">
        <f t="shared" si="2467"/>
        <v>001105018356</v>
      </c>
      <c r="O6074" t="str">
        <f t="shared" si="2468"/>
        <v>MYR</v>
      </c>
      <c r="P6074" t="str">
        <f t="shared" si="2485"/>
        <v>NIL</v>
      </c>
      <c r="Q6074" t="str">
        <f t="shared" si="2485"/>
        <v>NIL</v>
      </c>
      <c r="R6074" t="str">
        <f t="shared" si="2482"/>
        <v>Accepted</v>
      </c>
      <c r="S6074" t="str">
        <f t="shared" si="2469"/>
        <v>Approved</v>
      </c>
      <c r="T6074" t="str">
        <f t="shared" si="2483"/>
        <v>10.20.8.188</v>
      </c>
      <c r="U6074" t="str">
        <f t="shared" si="2470"/>
        <v>AZRAD UMAR BIN SHAARI</v>
      </c>
      <c r="V6074" t="str">
        <f t="shared" si="2471"/>
        <v>FARHANA BINTI MUSTAPA</v>
      </c>
      <c r="W6074" t="str">
        <f t="shared" si="2472"/>
        <v>04-08-2020</v>
      </c>
      <c r="X6074" t="str">
        <f t="shared" si="2473"/>
        <v>RAZIMAH ANSAR AHMAD</v>
      </c>
      <c r="Y6074" t="str">
        <f t="shared" si="2474"/>
        <v>04-08-2020</v>
      </c>
      <c r="Z6074" t="str">
        <f>"COS10200804 3080"</f>
        <v>COS10200804 3080</v>
      </c>
    </row>
    <row r="6075" spans="1:26" x14ac:dyDescent="0.25">
      <c r="A6075" t="str">
        <f t="shared" si="2480"/>
        <v>04-08-2020 12:43:51</v>
      </c>
      <c r="B6075" t="str">
        <f>"0000804846"</f>
        <v>0000804846</v>
      </c>
      <c r="C6075" t="str">
        <f t="shared" si="2481"/>
        <v>0000804767</v>
      </c>
      <c r="D6075" t="str">
        <f t="shared" si="2464"/>
        <v>73185</v>
      </c>
      <c r="E6075" t="str">
        <f t="shared" si="2465"/>
        <v>KFH-OPERATIONS DEPARTMENT</v>
      </c>
      <c r="F6075" t="str">
        <f t="shared" si="2466"/>
        <v>IBG</v>
      </c>
      <c r="G6075" t="str">
        <f t="shared" si="2477"/>
        <v>Refund COSHARE 10</v>
      </c>
      <c r="H6075" s="2">
        <v>38</v>
      </c>
      <c r="I6075" t="str">
        <f>"NOOR BAIZURA FAIRUZ BINTI ABDUL RAHIM"</f>
        <v>NOOR BAIZURA FAIRUZ BINTI ABDUL RAHIM</v>
      </c>
      <c r="J6075" t="str">
        <f t="shared" si="2461"/>
        <v>CIMB BANK / CIMB ISLAMIC BANK</v>
      </c>
      <c r="K6075" t="str">
        <f>"04030074990521"</f>
        <v>04030074990521</v>
      </c>
      <c r="L6075" t="str">
        <f t="shared" si="2484"/>
        <v>04-08-2020</v>
      </c>
      <c r="M6075" t="str">
        <f t="shared" si="2484"/>
        <v>04-08-2020</v>
      </c>
      <c r="N6075" t="str">
        <f t="shared" si="2467"/>
        <v>001105018356</v>
      </c>
      <c r="O6075" t="str">
        <f t="shared" si="2468"/>
        <v>MYR</v>
      </c>
      <c r="P6075" t="str">
        <f t="shared" si="2485"/>
        <v>NIL</v>
      </c>
      <c r="Q6075" t="str">
        <f t="shared" si="2485"/>
        <v>NIL</v>
      </c>
      <c r="R6075" t="str">
        <f t="shared" si="2482"/>
        <v>Accepted</v>
      </c>
      <c r="S6075" t="str">
        <f t="shared" si="2469"/>
        <v>Approved</v>
      </c>
      <c r="T6075" t="str">
        <f t="shared" si="2483"/>
        <v>10.20.8.188</v>
      </c>
      <c r="U6075" t="str">
        <f t="shared" si="2470"/>
        <v>AZRAD UMAR BIN SHAARI</v>
      </c>
      <c r="V6075" t="str">
        <f t="shared" si="2471"/>
        <v>FARHANA BINTI MUSTAPA</v>
      </c>
      <c r="W6075" t="str">
        <f t="shared" si="2472"/>
        <v>04-08-2020</v>
      </c>
      <c r="X6075" t="str">
        <f t="shared" si="2473"/>
        <v>RAZIMAH ANSAR AHMAD</v>
      </c>
      <c r="Y6075" t="str">
        <f t="shared" si="2474"/>
        <v>04-08-2020</v>
      </c>
      <c r="Z6075" t="str">
        <f>"COS10200804 3079"</f>
        <v>COS10200804 3079</v>
      </c>
    </row>
    <row r="6076" spans="1:26" x14ac:dyDescent="0.25">
      <c r="A6076" t="str">
        <f t="shared" si="2480"/>
        <v>04-08-2020 12:43:51</v>
      </c>
      <c r="B6076" t="str">
        <f>"0000804845"</f>
        <v>0000804845</v>
      </c>
      <c r="C6076" t="str">
        <f t="shared" si="2481"/>
        <v>0000804767</v>
      </c>
      <c r="D6076" t="str">
        <f t="shared" si="2464"/>
        <v>73185</v>
      </c>
      <c r="E6076" t="str">
        <f t="shared" si="2465"/>
        <v>KFH-OPERATIONS DEPARTMENT</v>
      </c>
      <c r="F6076" t="str">
        <f t="shared" si="2466"/>
        <v>IBG</v>
      </c>
      <c r="G6076" t="str">
        <f t="shared" si="2477"/>
        <v>Refund COSHARE 10</v>
      </c>
      <c r="H6076" s="2">
        <v>403</v>
      </c>
      <c r="I6076" t="str">
        <f>"NOOR AZUREEN BINTI MOHD KAMIL"</f>
        <v>NOOR AZUREEN BINTI MOHD KAMIL</v>
      </c>
      <c r="J6076" t="str">
        <f t="shared" ref="J6076:J6139" si="2486">"CIMB BANK / CIMB ISLAMIC BANK"</f>
        <v>CIMB BANK / CIMB ISLAMIC BANK</v>
      </c>
      <c r="K6076" t="str">
        <f>"14060542198528"</f>
        <v>14060542198528</v>
      </c>
      <c r="L6076" t="str">
        <f t="shared" si="2484"/>
        <v>04-08-2020</v>
      </c>
      <c r="M6076" t="str">
        <f t="shared" si="2484"/>
        <v>04-08-2020</v>
      </c>
      <c r="N6076" t="str">
        <f t="shared" si="2467"/>
        <v>001105018356</v>
      </c>
      <c r="O6076" t="str">
        <f t="shared" si="2468"/>
        <v>MYR</v>
      </c>
      <c r="P6076" t="str">
        <f t="shared" si="2485"/>
        <v>NIL</v>
      </c>
      <c r="Q6076" t="str">
        <f t="shared" si="2485"/>
        <v>NIL</v>
      </c>
      <c r="R6076" t="str">
        <f t="shared" si="2482"/>
        <v>Accepted</v>
      </c>
      <c r="S6076" t="str">
        <f t="shared" si="2469"/>
        <v>Approved</v>
      </c>
      <c r="T6076" t="str">
        <f t="shared" si="2483"/>
        <v>10.20.8.188</v>
      </c>
      <c r="U6076" t="str">
        <f t="shared" si="2470"/>
        <v>AZRAD UMAR BIN SHAARI</v>
      </c>
      <c r="V6076" t="str">
        <f t="shared" si="2471"/>
        <v>FARHANA BINTI MUSTAPA</v>
      </c>
      <c r="W6076" t="str">
        <f t="shared" si="2472"/>
        <v>04-08-2020</v>
      </c>
      <c r="X6076" t="str">
        <f t="shared" si="2473"/>
        <v>RAZIMAH ANSAR AHMAD</v>
      </c>
      <c r="Y6076" t="str">
        <f t="shared" si="2474"/>
        <v>04-08-2020</v>
      </c>
      <c r="Z6076" t="str">
        <f>"COS10200804 3078"</f>
        <v>COS10200804 3078</v>
      </c>
    </row>
    <row r="6077" spans="1:26" x14ac:dyDescent="0.25">
      <c r="A6077" t="str">
        <f t="shared" si="2480"/>
        <v>04-08-2020 12:43:51</v>
      </c>
      <c r="B6077" t="str">
        <f>"0000804844"</f>
        <v>0000804844</v>
      </c>
      <c r="C6077" t="str">
        <f t="shared" si="2481"/>
        <v>0000804767</v>
      </c>
      <c r="D6077" t="str">
        <f t="shared" si="2464"/>
        <v>73185</v>
      </c>
      <c r="E6077" t="str">
        <f t="shared" si="2465"/>
        <v>KFH-OPERATIONS DEPARTMENT</v>
      </c>
      <c r="F6077" t="str">
        <f t="shared" si="2466"/>
        <v>IBG</v>
      </c>
      <c r="G6077" t="str">
        <f t="shared" si="2477"/>
        <v>Refund COSHARE 10</v>
      </c>
      <c r="H6077" s="2">
        <v>293.85000000000002</v>
      </c>
      <c r="I6077" t="str">
        <f>"NOOR AZURA BINTI ALIAS"</f>
        <v>NOOR AZURA BINTI ALIAS</v>
      </c>
      <c r="J6077" t="str">
        <f t="shared" si="2486"/>
        <v>CIMB BANK / CIMB ISLAMIC BANK</v>
      </c>
      <c r="K6077" t="str">
        <f>"7603521630"</f>
        <v>7603521630</v>
      </c>
      <c r="L6077" t="str">
        <f t="shared" si="2484"/>
        <v>04-08-2020</v>
      </c>
      <c r="M6077" t="str">
        <f t="shared" si="2484"/>
        <v>04-08-2020</v>
      </c>
      <c r="N6077" t="str">
        <f t="shared" si="2467"/>
        <v>001105018356</v>
      </c>
      <c r="O6077" t="str">
        <f t="shared" si="2468"/>
        <v>MYR</v>
      </c>
      <c r="P6077" t="str">
        <f t="shared" si="2485"/>
        <v>NIL</v>
      </c>
      <c r="Q6077" t="str">
        <f t="shared" si="2485"/>
        <v>NIL</v>
      </c>
      <c r="R6077" t="str">
        <f t="shared" si="2482"/>
        <v>Accepted</v>
      </c>
      <c r="S6077" t="str">
        <f t="shared" si="2469"/>
        <v>Approved</v>
      </c>
      <c r="T6077" t="str">
        <f t="shared" si="2483"/>
        <v>10.20.8.188</v>
      </c>
      <c r="U6077" t="str">
        <f t="shared" si="2470"/>
        <v>AZRAD UMAR BIN SHAARI</v>
      </c>
      <c r="V6077" t="str">
        <f t="shared" si="2471"/>
        <v>FARHANA BINTI MUSTAPA</v>
      </c>
      <c r="W6077" t="str">
        <f t="shared" si="2472"/>
        <v>04-08-2020</v>
      </c>
      <c r="X6077" t="str">
        <f t="shared" si="2473"/>
        <v>RAZIMAH ANSAR AHMAD</v>
      </c>
      <c r="Y6077" t="str">
        <f t="shared" si="2474"/>
        <v>04-08-2020</v>
      </c>
      <c r="Z6077" t="str">
        <f>"COS10200804 3077"</f>
        <v>COS10200804 3077</v>
      </c>
    </row>
    <row r="6078" spans="1:26" x14ac:dyDescent="0.25">
      <c r="A6078" t="str">
        <f t="shared" si="2480"/>
        <v>04-08-2020 12:43:51</v>
      </c>
      <c r="B6078" t="str">
        <f>"0000804843"</f>
        <v>0000804843</v>
      </c>
      <c r="C6078" t="str">
        <f t="shared" si="2481"/>
        <v>0000804767</v>
      </c>
      <c r="D6078" t="str">
        <f t="shared" si="2464"/>
        <v>73185</v>
      </c>
      <c r="E6078" t="str">
        <f t="shared" si="2465"/>
        <v>KFH-OPERATIONS DEPARTMENT</v>
      </c>
      <c r="F6078" t="str">
        <f t="shared" si="2466"/>
        <v>IBG</v>
      </c>
      <c r="G6078" t="str">
        <f t="shared" si="2477"/>
        <v>Refund COSHARE 10</v>
      </c>
      <c r="H6078" s="2">
        <v>42</v>
      </c>
      <c r="I6078" t="str">
        <f>"NOOR AZLAN BIN WAHANAN"</f>
        <v>NOOR AZLAN BIN WAHANAN</v>
      </c>
      <c r="J6078" t="str">
        <f t="shared" si="2486"/>
        <v>CIMB BANK / CIMB ISLAMIC BANK</v>
      </c>
      <c r="K6078" t="str">
        <f>"12360028882521"</f>
        <v>12360028882521</v>
      </c>
      <c r="L6078" t="str">
        <f t="shared" si="2484"/>
        <v>04-08-2020</v>
      </c>
      <c r="M6078" t="str">
        <f t="shared" si="2484"/>
        <v>04-08-2020</v>
      </c>
      <c r="N6078" t="str">
        <f t="shared" si="2467"/>
        <v>001105018356</v>
      </c>
      <c r="O6078" t="str">
        <f t="shared" si="2468"/>
        <v>MYR</v>
      </c>
      <c r="P6078" t="str">
        <f t="shared" si="2485"/>
        <v>NIL</v>
      </c>
      <c r="Q6078" t="str">
        <f t="shared" si="2485"/>
        <v>NIL</v>
      </c>
      <c r="R6078" t="str">
        <f t="shared" si="2482"/>
        <v>Accepted</v>
      </c>
      <c r="S6078" t="str">
        <f t="shared" si="2469"/>
        <v>Approved</v>
      </c>
      <c r="T6078" t="str">
        <f t="shared" si="2483"/>
        <v>10.20.8.188</v>
      </c>
      <c r="U6078" t="str">
        <f t="shared" si="2470"/>
        <v>AZRAD UMAR BIN SHAARI</v>
      </c>
      <c r="V6078" t="str">
        <f t="shared" si="2471"/>
        <v>FARHANA BINTI MUSTAPA</v>
      </c>
      <c r="W6078" t="str">
        <f t="shared" si="2472"/>
        <v>04-08-2020</v>
      </c>
      <c r="X6078" t="str">
        <f t="shared" si="2473"/>
        <v>RAZIMAH ANSAR AHMAD</v>
      </c>
      <c r="Y6078" t="str">
        <f t="shared" si="2474"/>
        <v>04-08-2020</v>
      </c>
      <c r="Z6078" t="str">
        <f>"COS10200804 3076"</f>
        <v>COS10200804 3076</v>
      </c>
    </row>
    <row r="6079" spans="1:26" x14ac:dyDescent="0.25">
      <c r="A6079" t="str">
        <f t="shared" si="2480"/>
        <v>04-08-2020 12:43:51</v>
      </c>
      <c r="B6079" t="str">
        <f>"0000804842"</f>
        <v>0000804842</v>
      </c>
      <c r="C6079" t="str">
        <f t="shared" si="2481"/>
        <v>0000804767</v>
      </c>
      <c r="D6079" t="str">
        <f t="shared" si="2464"/>
        <v>73185</v>
      </c>
      <c r="E6079" t="str">
        <f t="shared" si="2465"/>
        <v>KFH-OPERATIONS DEPARTMENT</v>
      </c>
      <c r="F6079" t="str">
        <f t="shared" si="2466"/>
        <v>IBG</v>
      </c>
      <c r="G6079" t="str">
        <f t="shared" si="2477"/>
        <v>Refund COSHARE 10</v>
      </c>
      <c r="H6079" s="2">
        <v>251.85</v>
      </c>
      <c r="I6079" t="str">
        <f>"NOOR AZIRA BT AHMAD"</f>
        <v>NOOR AZIRA BT AHMAD</v>
      </c>
      <c r="J6079" t="str">
        <f t="shared" si="2486"/>
        <v>CIMB BANK / CIMB ISLAMIC BANK</v>
      </c>
      <c r="K6079" t="str">
        <f>"02120019169526"</f>
        <v>02120019169526</v>
      </c>
      <c r="L6079" t="str">
        <f t="shared" si="2484"/>
        <v>04-08-2020</v>
      </c>
      <c r="M6079" t="str">
        <f t="shared" si="2484"/>
        <v>04-08-2020</v>
      </c>
      <c r="N6079" t="str">
        <f t="shared" si="2467"/>
        <v>001105018356</v>
      </c>
      <c r="O6079" t="str">
        <f t="shared" si="2468"/>
        <v>MYR</v>
      </c>
      <c r="P6079" t="str">
        <f t="shared" si="2485"/>
        <v>NIL</v>
      </c>
      <c r="Q6079" t="str">
        <f t="shared" si="2485"/>
        <v>NIL</v>
      </c>
      <c r="R6079" t="str">
        <f t="shared" si="2482"/>
        <v>Accepted</v>
      </c>
      <c r="S6079" t="str">
        <f t="shared" si="2469"/>
        <v>Approved</v>
      </c>
      <c r="T6079" t="str">
        <f t="shared" si="2483"/>
        <v>10.20.8.188</v>
      </c>
      <c r="U6079" t="str">
        <f t="shared" si="2470"/>
        <v>AZRAD UMAR BIN SHAARI</v>
      </c>
      <c r="V6079" t="str">
        <f t="shared" si="2471"/>
        <v>FARHANA BINTI MUSTAPA</v>
      </c>
      <c r="W6079" t="str">
        <f t="shared" si="2472"/>
        <v>04-08-2020</v>
      </c>
      <c r="X6079" t="str">
        <f t="shared" si="2473"/>
        <v>RAZIMAH ANSAR AHMAD</v>
      </c>
      <c r="Y6079" t="str">
        <f t="shared" si="2474"/>
        <v>04-08-2020</v>
      </c>
      <c r="Z6079" t="str">
        <f>"COS10200804 3075"</f>
        <v>COS10200804 3075</v>
      </c>
    </row>
    <row r="6080" spans="1:26" x14ac:dyDescent="0.25">
      <c r="A6080" t="str">
        <f t="shared" si="2480"/>
        <v>04-08-2020 12:43:51</v>
      </c>
      <c r="B6080" t="str">
        <f>"0000804841"</f>
        <v>0000804841</v>
      </c>
      <c r="C6080" t="str">
        <f t="shared" si="2481"/>
        <v>0000804767</v>
      </c>
      <c r="D6080" t="str">
        <f t="shared" si="2464"/>
        <v>73185</v>
      </c>
      <c r="E6080" t="str">
        <f t="shared" si="2465"/>
        <v>KFH-OPERATIONS DEPARTMENT</v>
      </c>
      <c r="F6080" t="str">
        <f t="shared" si="2466"/>
        <v>IBG</v>
      </c>
      <c r="G6080" t="str">
        <f t="shared" si="2477"/>
        <v>Refund COSHARE 10</v>
      </c>
      <c r="H6080" s="2">
        <v>767.2</v>
      </c>
      <c r="I6080" t="str">
        <f>"NOOR AZIMAH BINTI JAAFAR"</f>
        <v>NOOR AZIMAH BINTI JAAFAR</v>
      </c>
      <c r="J6080" t="str">
        <f t="shared" si="2486"/>
        <v>CIMB BANK / CIMB ISLAMIC BANK</v>
      </c>
      <c r="K6080" t="str">
        <f>"03080009286529"</f>
        <v>03080009286529</v>
      </c>
      <c r="L6080" t="str">
        <f t="shared" si="2484"/>
        <v>04-08-2020</v>
      </c>
      <c r="M6080" t="str">
        <f t="shared" si="2484"/>
        <v>04-08-2020</v>
      </c>
      <c r="N6080" t="str">
        <f t="shared" si="2467"/>
        <v>001105018356</v>
      </c>
      <c r="O6080" t="str">
        <f t="shared" si="2468"/>
        <v>MYR</v>
      </c>
      <c r="P6080" t="str">
        <f t="shared" si="2485"/>
        <v>NIL</v>
      </c>
      <c r="Q6080" t="str">
        <f t="shared" si="2485"/>
        <v>NIL</v>
      </c>
      <c r="R6080" t="str">
        <f t="shared" si="2482"/>
        <v>Accepted</v>
      </c>
      <c r="S6080" t="str">
        <f t="shared" si="2469"/>
        <v>Approved</v>
      </c>
      <c r="T6080" t="str">
        <f t="shared" si="2483"/>
        <v>10.20.8.188</v>
      </c>
      <c r="U6080" t="str">
        <f t="shared" si="2470"/>
        <v>AZRAD UMAR BIN SHAARI</v>
      </c>
      <c r="V6080" t="str">
        <f t="shared" si="2471"/>
        <v>FARHANA BINTI MUSTAPA</v>
      </c>
      <c r="W6080" t="str">
        <f t="shared" si="2472"/>
        <v>04-08-2020</v>
      </c>
      <c r="X6080" t="str">
        <f t="shared" si="2473"/>
        <v>RAZIMAH ANSAR AHMAD</v>
      </c>
      <c r="Y6080" t="str">
        <f t="shared" si="2474"/>
        <v>04-08-2020</v>
      </c>
      <c r="Z6080" t="str">
        <f>"COS10200804 3074"</f>
        <v>COS10200804 3074</v>
      </c>
    </row>
    <row r="6081" spans="1:26" x14ac:dyDescent="0.25">
      <c r="A6081" t="str">
        <f t="shared" si="2480"/>
        <v>04-08-2020 12:43:51</v>
      </c>
      <c r="B6081" t="str">
        <f>"0000804840"</f>
        <v>0000804840</v>
      </c>
      <c r="C6081" t="str">
        <f t="shared" si="2481"/>
        <v>0000804767</v>
      </c>
      <c r="D6081" t="str">
        <f t="shared" si="2464"/>
        <v>73185</v>
      </c>
      <c r="E6081" t="str">
        <f t="shared" si="2465"/>
        <v>KFH-OPERATIONS DEPARTMENT</v>
      </c>
      <c r="F6081" t="str">
        <f t="shared" si="2466"/>
        <v>IBG</v>
      </c>
      <c r="G6081" t="str">
        <f t="shared" si="2477"/>
        <v>Refund COSHARE 10</v>
      </c>
      <c r="H6081" s="2">
        <v>965.45</v>
      </c>
      <c r="I6081" t="str">
        <f>"NOOR AZIEMAH BINTI MOHD AMRI"</f>
        <v>NOOR AZIEMAH BINTI MOHD AMRI</v>
      </c>
      <c r="J6081" t="str">
        <f t="shared" si="2486"/>
        <v>CIMB BANK / CIMB ISLAMIC BANK</v>
      </c>
      <c r="K6081" t="str">
        <f>"7024812749"</f>
        <v>7024812749</v>
      </c>
      <c r="L6081" t="str">
        <f t="shared" si="2484"/>
        <v>04-08-2020</v>
      </c>
      <c r="M6081" t="str">
        <f t="shared" si="2484"/>
        <v>04-08-2020</v>
      </c>
      <c r="N6081" t="str">
        <f t="shared" si="2467"/>
        <v>001105018356</v>
      </c>
      <c r="O6081" t="str">
        <f t="shared" si="2468"/>
        <v>MYR</v>
      </c>
      <c r="P6081" t="str">
        <f t="shared" si="2485"/>
        <v>NIL</v>
      </c>
      <c r="Q6081" t="str">
        <f t="shared" si="2485"/>
        <v>NIL</v>
      </c>
      <c r="R6081" t="str">
        <f t="shared" si="2482"/>
        <v>Accepted</v>
      </c>
      <c r="S6081" t="str">
        <f t="shared" si="2469"/>
        <v>Approved</v>
      </c>
      <c r="T6081" t="str">
        <f t="shared" si="2483"/>
        <v>10.20.8.188</v>
      </c>
      <c r="U6081" t="str">
        <f t="shared" si="2470"/>
        <v>AZRAD UMAR BIN SHAARI</v>
      </c>
      <c r="V6081" t="str">
        <f t="shared" si="2471"/>
        <v>FARHANA BINTI MUSTAPA</v>
      </c>
      <c r="W6081" t="str">
        <f t="shared" si="2472"/>
        <v>04-08-2020</v>
      </c>
      <c r="X6081" t="str">
        <f t="shared" si="2473"/>
        <v>RAZIMAH ANSAR AHMAD</v>
      </c>
      <c r="Y6081" t="str">
        <f t="shared" si="2474"/>
        <v>04-08-2020</v>
      </c>
      <c r="Z6081" t="str">
        <f>"COS10200804 3073"</f>
        <v>COS10200804 3073</v>
      </c>
    </row>
    <row r="6082" spans="1:26" x14ac:dyDescent="0.25">
      <c r="A6082" t="str">
        <f t="shared" ref="A6082:A6113" si="2487">"04-08-2020 12:43:51"</f>
        <v>04-08-2020 12:43:51</v>
      </c>
      <c r="B6082" t="str">
        <f>"0000804839"</f>
        <v>0000804839</v>
      </c>
      <c r="C6082" t="str">
        <f t="shared" ref="C6082:C6113" si="2488">"0000804767"</f>
        <v>0000804767</v>
      </c>
      <c r="D6082" t="str">
        <f t="shared" si="2464"/>
        <v>73185</v>
      </c>
      <c r="E6082" t="str">
        <f t="shared" si="2465"/>
        <v>KFH-OPERATIONS DEPARTMENT</v>
      </c>
      <c r="F6082" t="str">
        <f t="shared" si="2466"/>
        <v>IBG</v>
      </c>
      <c r="G6082" t="str">
        <f t="shared" si="2477"/>
        <v>Refund COSHARE 10</v>
      </c>
      <c r="H6082" s="2">
        <v>1328</v>
      </c>
      <c r="I6082" t="str">
        <f>"NOOR ATIQAH BINTI MOHD NOH"</f>
        <v>NOOR ATIQAH BINTI MOHD NOH</v>
      </c>
      <c r="J6082" t="str">
        <f t="shared" si="2486"/>
        <v>CIMB BANK / CIMB ISLAMIC BANK</v>
      </c>
      <c r="K6082" t="str">
        <f>"12180084374523"</f>
        <v>12180084374523</v>
      </c>
      <c r="L6082" t="str">
        <f t="shared" si="2484"/>
        <v>04-08-2020</v>
      </c>
      <c r="M6082" t="str">
        <f t="shared" si="2484"/>
        <v>04-08-2020</v>
      </c>
      <c r="N6082" t="str">
        <f t="shared" si="2467"/>
        <v>001105018356</v>
      </c>
      <c r="O6082" t="str">
        <f t="shared" si="2468"/>
        <v>MYR</v>
      </c>
      <c r="P6082" t="str">
        <f t="shared" si="2485"/>
        <v>NIL</v>
      </c>
      <c r="Q6082" t="str">
        <f t="shared" si="2485"/>
        <v>NIL</v>
      </c>
      <c r="R6082" t="str">
        <f t="shared" si="2482"/>
        <v>Accepted</v>
      </c>
      <c r="S6082" t="str">
        <f t="shared" si="2469"/>
        <v>Approved</v>
      </c>
      <c r="T6082" t="str">
        <f t="shared" si="2483"/>
        <v>10.20.8.188</v>
      </c>
      <c r="U6082" t="str">
        <f t="shared" si="2470"/>
        <v>AZRAD UMAR BIN SHAARI</v>
      </c>
      <c r="V6082" t="str">
        <f t="shared" si="2471"/>
        <v>FARHANA BINTI MUSTAPA</v>
      </c>
      <c r="W6082" t="str">
        <f t="shared" si="2472"/>
        <v>04-08-2020</v>
      </c>
      <c r="X6082" t="str">
        <f t="shared" si="2473"/>
        <v>RAZIMAH ANSAR AHMAD</v>
      </c>
      <c r="Y6082" t="str">
        <f t="shared" si="2474"/>
        <v>04-08-2020</v>
      </c>
      <c r="Z6082" t="str">
        <f>"COS10200804 3072"</f>
        <v>COS10200804 3072</v>
      </c>
    </row>
    <row r="6083" spans="1:26" x14ac:dyDescent="0.25">
      <c r="A6083" t="str">
        <f t="shared" si="2487"/>
        <v>04-08-2020 12:43:51</v>
      </c>
      <c r="B6083" t="str">
        <f>"0000804838"</f>
        <v>0000804838</v>
      </c>
      <c r="C6083" t="str">
        <f t="shared" si="2488"/>
        <v>0000804767</v>
      </c>
      <c r="D6083" t="str">
        <f t="shared" si="2464"/>
        <v>73185</v>
      </c>
      <c r="E6083" t="str">
        <f t="shared" si="2465"/>
        <v>KFH-OPERATIONS DEPARTMENT</v>
      </c>
      <c r="F6083" t="str">
        <f t="shared" si="2466"/>
        <v>IBG</v>
      </c>
      <c r="G6083" t="str">
        <f t="shared" si="2477"/>
        <v>Refund COSHARE 10</v>
      </c>
      <c r="H6083" s="2">
        <v>478.55</v>
      </c>
      <c r="I6083" t="str">
        <f>"NOOR AIN BINTI AHMAD ISA"</f>
        <v>NOOR AIN BINTI AHMAD ISA</v>
      </c>
      <c r="J6083" t="str">
        <f t="shared" si="2486"/>
        <v>CIMB BANK / CIMB ISLAMIC BANK</v>
      </c>
      <c r="K6083" t="str">
        <f>"7622857820"</f>
        <v>7622857820</v>
      </c>
      <c r="L6083" t="str">
        <f t="shared" si="2484"/>
        <v>04-08-2020</v>
      </c>
      <c r="M6083" t="str">
        <f t="shared" si="2484"/>
        <v>04-08-2020</v>
      </c>
      <c r="N6083" t="str">
        <f t="shared" si="2467"/>
        <v>001105018356</v>
      </c>
      <c r="O6083" t="str">
        <f t="shared" si="2468"/>
        <v>MYR</v>
      </c>
      <c r="P6083" t="str">
        <f t="shared" si="2485"/>
        <v>NIL</v>
      </c>
      <c r="Q6083" t="str">
        <f t="shared" si="2485"/>
        <v>NIL</v>
      </c>
      <c r="R6083" t="str">
        <f t="shared" si="2482"/>
        <v>Accepted</v>
      </c>
      <c r="S6083" t="str">
        <f t="shared" si="2469"/>
        <v>Approved</v>
      </c>
      <c r="T6083" t="str">
        <f t="shared" si="2483"/>
        <v>10.20.8.188</v>
      </c>
      <c r="U6083" t="str">
        <f t="shared" si="2470"/>
        <v>AZRAD UMAR BIN SHAARI</v>
      </c>
      <c r="V6083" t="str">
        <f t="shared" si="2471"/>
        <v>FARHANA BINTI MUSTAPA</v>
      </c>
      <c r="W6083" t="str">
        <f t="shared" si="2472"/>
        <v>04-08-2020</v>
      </c>
      <c r="X6083" t="str">
        <f t="shared" si="2473"/>
        <v>RAZIMAH ANSAR AHMAD</v>
      </c>
      <c r="Y6083" t="str">
        <f t="shared" si="2474"/>
        <v>04-08-2020</v>
      </c>
      <c r="Z6083" t="str">
        <f>"COS10200804 3071"</f>
        <v>COS10200804 3071</v>
      </c>
    </row>
    <row r="6084" spans="1:26" x14ac:dyDescent="0.25">
      <c r="A6084" t="str">
        <f t="shared" si="2487"/>
        <v>04-08-2020 12:43:51</v>
      </c>
      <c r="B6084" t="str">
        <f>"0000804837"</f>
        <v>0000804837</v>
      </c>
      <c r="C6084" t="str">
        <f t="shared" si="2488"/>
        <v>0000804767</v>
      </c>
      <c r="D6084" t="str">
        <f t="shared" si="2464"/>
        <v>73185</v>
      </c>
      <c r="E6084" t="str">
        <f t="shared" si="2465"/>
        <v>KFH-OPERATIONS DEPARTMENT</v>
      </c>
      <c r="F6084" t="str">
        <f t="shared" si="2466"/>
        <v>IBG</v>
      </c>
      <c r="G6084" t="str">
        <f t="shared" si="2477"/>
        <v>Refund COSHARE 10</v>
      </c>
      <c r="H6084" s="2">
        <v>710</v>
      </c>
      <c r="I6084" t="str">
        <f>"NOIZALIZAN BINTI AHMADON"</f>
        <v>NOIZALIZAN BINTI AHMADON</v>
      </c>
      <c r="J6084" t="str">
        <f t="shared" si="2486"/>
        <v>CIMB BANK / CIMB ISLAMIC BANK</v>
      </c>
      <c r="K6084" t="str">
        <f>"7612820602"</f>
        <v>7612820602</v>
      </c>
      <c r="L6084" t="str">
        <f t="shared" si="2484"/>
        <v>04-08-2020</v>
      </c>
      <c r="M6084" t="str">
        <f t="shared" si="2484"/>
        <v>04-08-2020</v>
      </c>
      <c r="N6084" t="str">
        <f t="shared" si="2467"/>
        <v>001105018356</v>
      </c>
      <c r="O6084" t="str">
        <f t="shared" si="2468"/>
        <v>MYR</v>
      </c>
      <c r="P6084" t="str">
        <f t="shared" si="2485"/>
        <v>NIL</v>
      </c>
      <c r="Q6084" t="str">
        <f t="shared" si="2485"/>
        <v>NIL</v>
      </c>
      <c r="R6084" t="str">
        <f t="shared" si="2482"/>
        <v>Accepted</v>
      </c>
      <c r="S6084" t="str">
        <f t="shared" si="2469"/>
        <v>Approved</v>
      </c>
      <c r="T6084" t="str">
        <f t="shared" si="2483"/>
        <v>10.20.8.188</v>
      </c>
      <c r="U6084" t="str">
        <f t="shared" si="2470"/>
        <v>AZRAD UMAR BIN SHAARI</v>
      </c>
      <c r="V6084" t="str">
        <f t="shared" si="2471"/>
        <v>FARHANA BINTI MUSTAPA</v>
      </c>
      <c r="W6084" t="str">
        <f t="shared" si="2472"/>
        <v>04-08-2020</v>
      </c>
      <c r="X6084" t="str">
        <f t="shared" si="2473"/>
        <v>RAZIMAH ANSAR AHMAD</v>
      </c>
      <c r="Y6084" t="str">
        <f t="shared" si="2474"/>
        <v>04-08-2020</v>
      </c>
      <c r="Z6084" t="str">
        <f>"COS10200804 3070"</f>
        <v>COS10200804 3070</v>
      </c>
    </row>
    <row r="6085" spans="1:26" x14ac:dyDescent="0.25">
      <c r="A6085" t="str">
        <f t="shared" si="2487"/>
        <v>04-08-2020 12:43:51</v>
      </c>
      <c r="B6085" t="str">
        <f>"0000804836"</f>
        <v>0000804836</v>
      </c>
      <c r="C6085" t="str">
        <f t="shared" si="2488"/>
        <v>0000804767</v>
      </c>
      <c r="D6085" t="str">
        <f t="shared" si="2464"/>
        <v>73185</v>
      </c>
      <c r="E6085" t="str">
        <f t="shared" si="2465"/>
        <v>KFH-OPERATIONS DEPARTMENT</v>
      </c>
      <c r="F6085" t="str">
        <f t="shared" si="2466"/>
        <v>IBG</v>
      </c>
      <c r="G6085" t="str">
        <f t="shared" si="2477"/>
        <v>Refund COSHARE 10</v>
      </c>
      <c r="H6085" s="2">
        <v>204</v>
      </c>
      <c r="I6085" t="str">
        <f>"NOAITI BT A MANAF"</f>
        <v>NOAITI BT A MANAF</v>
      </c>
      <c r="J6085" t="str">
        <f t="shared" si="2486"/>
        <v>CIMB BANK / CIMB ISLAMIC BANK</v>
      </c>
      <c r="K6085" t="str">
        <f>"06021479831527"</f>
        <v>06021479831527</v>
      </c>
      <c r="L6085" t="str">
        <f t="shared" si="2484"/>
        <v>04-08-2020</v>
      </c>
      <c r="M6085" t="str">
        <f t="shared" si="2484"/>
        <v>04-08-2020</v>
      </c>
      <c r="N6085" t="str">
        <f t="shared" si="2467"/>
        <v>001105018356</v>
      </c>
      <c r="O6085" t="str">
        <f t="shared" si="2468"/>
        <v>MYR</v>
      </c>
      <c r="P6085" t="str">
        <f t="shared" si="2485"/>
        <v>NIL</v>
      </c>
      <c r="Q6085" t="str">
        <f t="shared" si="2485"/>
        <v>NIL</v>
      </c>
      <c r="R6085" t="str">
        <f t="shared" si="2482"/>
        <v>Accepted</v>
      </c>
      <c r="S6085" t="str">
        <f t="shared" si="2469"/>
        <v>Approved</v>
      </c>
      <c r="T6085" t="str">
        <f t="shared" si="2483"/>
        <v>10.20.8.188</v>
      </c>
      <c r="U6085" t="str">
        <f t="shared" si="2470"/>
        <v>AZRAD UMAR BIN SHAARI</v>
      </c>
      <c r="V6085" t="str">
        <f t="shared" si="2471"/>
        <v>FARHANA BINTI MUSTAPA</v>
      </c>
      <c r="W6085" t="str">
        <f t="shared" si="2472"/>
        <v>04-08-2020</v>
      </c>
      <c r="X6085" t="str">
        <f t="shared" si="2473"/>
        <v>RAZIMAH ANSAR AHMAD</v>
      </c>
      <c r="Y6085" t="str">
        <f t="shared" si="2474"/>
        <v>04-08-2020</v>
      </c>
      <c r="Z6085" t="str">
        <f>"COS10200804 3069"</f>
        <v>COS10200804 3069</v>
      </c>
    </row>
    <row r="6086" spans="1:26" x14ac:dyDescent="0.25">
      <c r="A6086" t="str">
        <f t="shared" si="2487"/>
        <v>04-08-2020 12:43:51</v>
      </c>
      <c r="B6086" t="str">
        <f>"0000804835"</f>
        <v>0000804835</v>
      </c>
      <c r="C6086" t="str">
        <f t="shared" si="2488"/>
        <v>0000804767</v>
      </c>
      <c r="D6086" t="str">
        <f t="shared" si="2464"/>
        <v>73185</v>
      </c>
      <c r="E6086" t="str">
        <f t="shared" si="2465"/>
        <v>KFH-OPERATIONS DEPARTMENT</v>
      </c>
      <c r="F6086" t="str">
        <f t="shared" si="2466"/>
        <v>IBG</v>
      </c>
      <c r="G6086" t="str">
        <f t="shared" si="2477"/>
        <v>Refund COSHARE 10</v>
      </c>
      <c r="H6086" s="2">
        <v>1749.8</v>
      </c>
      <c r="I6086" t="str">
        <f>"NISHAM BIN CHE ANI"</f>
        <v>NISHAM BIN CHE ANI</v>
      </c>
      <c r="J6086" t="str">
        <f t="shared" si="2486"/>
        <v>CIMB BANK / CIMB ISLAMIC BANK</v>
      </c>
      <c r="K6086" t="str">
        <f>"07290022972524"</f>
        <v>07290022972524</v>
      </c>
      <c r="L6086" t="str">
        <f t="shared" si="2484"/>
        <v>04-08-2020</v>
      </c>
      <c r="M6086" t="str">
        <f t="shared" si="2484"/>
        <v>04-08-2020</v>
      </c>
      <c r="N6086" t="str">
        <f t="shared" si="2467"/>
        <v>001105018356</v>
      </c>
      <c r="O6086" t="str">
        <f t="shared" si="2468"/>
        <v>MYR</v>
      </c>
      <c r="P6086" t="str">
        <f t="shared" si="2485"/>
        <v>NIL</v>
      </c>
      <c r="Q6086" t="str">
        <f t="shared" si="2485"/>
        <v>NIL</v>
      </c>
      <c r="R6086" t="str">
        <f t="shared" si="2482"/>
        <v>Accepted</v>
      </c>
      <c r="S6086" t="str">
        <f t="shared" si="2469"/>
        <v>Approved</v>
      </c>
      <c r="T6086" t="str">
        <f t="shared" si="2483"/>
        <v>10.20.8.188</v>
      </c>
      <c r="U6086" t="str">
        <f t="shared" si="2470"/>
        <v>AZRAD UMAR BIN SHAARI</v>
      </c>
      <c r="V6086" t="str">
        <f t="shared" si="2471"/>
        <v>FARHANA BINTI MUSTAPA</v>
      </c>
      <c r="W6086" t="str">
        <f t="shared" si="2472"/>
        <v>04-08-2020</v>
      </c>
      <c r="X6086" t="str">
        <f t="shared" si="2473"/>
        <v>RAZIMAH ANSAR AHMAD</v>
      </c>
      <c r="Y6086" t="str">
        <f t="shared" si="2474"/>
        <v>04-08-2020</v>
      </c>
      <c r="Z6086" t="str">
        <f>"COS10200804 3068"</f>
        <v>COS10200804 3068</v>
      </c>
    </row>
    <row r="6087" spans="1:26" x14ac:dyDescent="0.25">
      <c r="A6087" t="str">
        <f t="shared" si="2487"/>
        <v>04-08-2020 12:43:51</v>
      </c>
      <c r="B6087" t="str">
        <f>"0000804834"</f>
        <v>0000804834</v>
      </c>
      <c r="C6087" t="str">
        <f t="shared" si="2488"/>
        <v>0000804767</v>
      </c>
      <c r="D6087" t="str">
        <f t="shared" ref="D6087:D6150" si="2489">"73185"</f>
        <v>73185</v>
      </c>
      <c r="E6087" t="str">
        <f t="shared" ref="E6087:E6150" si="2490">"KFH-OPERATIONS DEPARTMENT"</f>
        <v>KFH-OPERATIONS DEPARTMENT</v>
      </c>
      <c r="F6087" t="str">
        <f t="shared" ref="F6087:F6150" si="2491">"IBG"</f>
        <v>IBG</v>
      </c>
      <c r="G6087" t="str">
        <f t="shared" si="2477"/>
        <v>Refund COSHARE 10</v>
      </c>
      <c r="H6087" s="2">
        <v>1518</v>
      </c>
      <c r="I6087" t="str">
        <f>"NIK ZUSARAWANY BINTI WAN AHMAD"</f>
        <v>NIK ZUSARAWANY BINTI WAN AHMAD</v>
      </c>
      <c r="J6087" t="str">
        <f t="shared" si="2486"/>
        <v>CIMB BANK / CIMB ISLAMIC BANK</v>
      </c>
      <c r="K6087" t="str">
        <f>"7050047935"</f>
        <v>7050047935</v>
      </c>
      <c r="L6087" t="str">
        <f t="shared" ref="L6087:M6106" si="2492">"04-08-2020"</f>
        <v>04-08-2020</v>
      </c>
      <c r="M6087" t="str">
        <f t="shared" si="2492"/>
        <v>04-08-2020</v>
      </c>
      <c r="N6087" t="str">
        <f t="shared" ref="N6087:N6150" si="2493">"001105018356"</f>
        <v>001105018356</v>
      </c>
      <c r="O6087" t="str">
        <f t="shared" ref="O6087:O6150" si="2494">"MYR"</f>
        <v>MYR</v>
      </c>
      <c r="P6087" t="str">
        <f t="shared" ref="P6087:Q6106" si="2495">"NIL"</f>
        <v>NIL</v>
      </c>
      <c r="Q6087" t="str">
        <f t="shared" si="2495"/>
        <v>NIL</v>
      </c>
      <c r="R6087" t="str">
        <f t="shared" si="2482"/>
        <v>Accepted</v>
      </c>
      <c r="S6087" t="str">
        <f t="shared" ref="S6087:S6150" si="2496">"Approved"</f>
        <v>Approved</v>
      </c>
      <c r="T6087" t="str">
        <f t="shared" si="2483"/>
        <v>10.20.8.188</v>
      </c>
      <c r="U6087" t="str">
        <f t="shared" ref="U6087:U6150" si="2497">"AZRAD UMAR BIN SHAARI"</f>
        <v>AZRAD UMAR BIN SHAARI</v>
      </c>
      <c r="V6087" t="str">
        <f t="shared" ref="V6087:V6150" si="2498">"FARHANA BINTI MUSTAPA"</f>
        <v>FARHANA BINTI MUSTAPA</v>
      </c>
      <c r="W6087" t="str">
        <f t="shared" ref="W6087:W6150" si="2499">"04-08-2020"</f>
        <v>04-08-2020</v>
      </c>
      <c r="X6087" t="str">
        <f t="shared" ref="X6087:X6150" si="2500">"RAZIMAH ANSAR AHMAD"</f>
        <v>RAZIMAH ANSAR AHMAD</v>
      </c>
      <c r="Y6087" t="str">
        <f t="shared" ref="Y6087:Y6150" si="2501">"04-08-2020"</f>
        <v>04-08-2020</v>
      </c>
      <c r="Z6087" t="str">
        <f>"COS10200804 3067"</f>
        <v>COS10200804 3067</v>
      </c>
    </row>
    <row r="6088" spans="1:26" x14ac:dyDescent="0.25">
      <c r="A6088" t="str">
        <f t="shared" si="2487"/>
        <v>04-08-2020 12:43:51</v>
      </c>
      <c r="B6088" t="str">
        <f>"0000804833"</f>
        <v>0000804833</v>
      </c>
      <c r="C6088" t="str">
        <f t="shared" si="2488"/>
        <v>0000804767</v>
      </c>
      <c r="D6088" t="str">
        <f t="shared" si="2489"/>
        <v>73185</v>
      </c>
      <c r="E6088" t="str">
        <f t="shared" si="2490"/>
        <v>KFH-OPERATIONS DEPARTMENT</v>
      </c>
      <c r="F6088" t="str">
        <f t="shared" si="2491"/>
        <v>IBG</v>
      </c>
      <c r="G6088" t="str">
        <f t="shared" si="2477"/>
        <v>Refund COSHARE 10</v>
      </c>
      <c r="H6088" s="2">
        <v>255.8</v>
      </c>
      <c r="I6088" t="str">
        <f>"NIK ZAID BIN NIK ABDUL RAHMAN"</f>
        <v>NIK ZAID BIN NIK ABDUL RAHMAN</v>
      </c>
      <c r="J6088" t="str">
        <f t="shared" si="2486"/>
        <v>CIMB BANK / CIMB ISLAMIC BANK</v>
      </c>
      <c r="K6088" t="str">
        <f>"16010001641205"</f>
        <v>16010001641205</v>
      </c>
      <c r="L6088" t="str">
        <f t="shared" si="2492"/>
        <v>04-08-2020</v>
      </c>
      <c r="M6088" t="str">
        <f t="shared" si="2492"/>
        <v>04-08-2020</v>
      </c>
      <c r="N6088" t="str">
        <f t="shared" si="2493"/>
        <v>001105018356</v>
      </c>
      <c r="O6088" t="str">
        <f t="shared" si="2494"/>
        <v>MYR</v>
      </c>
      <c r="P6088" t="str">
        <f t="shared" si="2495"/>
        <v>NIL</v>
      </c>
      <c r="Q6088" t="str">
        <f t="shared" si="2495"/>
        <v>NIL</v>
      </c>
      <c r="R6088" t="str">
        <f t="shared" si="2482"/>
        <v>Accepted</v>
      </c>
      <c r="S6088" t="str">
        <f t="shared" si="2496"/>
        <v>Approved</v>
      </c>
      <c r="T6088" t="str">
        <f t="shared" si="2483"/>
        <v>10.20.8.188</v>
      </c>
      <c r="U6088" t="str">
        <f t="shared" si="2497"/>
        <v>AZRAD UMAR BIN SHAARI</v>
      </c>
      <c r="V6088" t="str">
        <f t="shared" si="2498"/>
        <v>FARHANA BINTI MUSTAPA</v>
      </c>
      <c r="W6088" t="str">
        <f t="shared" si="2499"/>
        <v>04-08-2020</v>
      </c>
      <c r="X6088" t="str">
        <f t="shared" si="2500"/>
        <v>RAZIMAH ANSAR AHMAD</v>
      </c>
      <c r="Y6088" t="str">
        <f t="shared" si="2501"/>
        <v>04-08-2020</v>
      </c>
      <c r="Z6088" t="str">
        <f>"COS10200804 3066"</f>
        <v>COS10200804 3066</v>
      </c>
    </row>
    <row r="6089" spans="1:26" x14ac:dyDescent="0.25">
      <c r="A6089" t="str">
        <f t="shared" si="2487"/>
        <v>04-08-2020 12:43:51</v>
      </c>
      <c r="B6089" t="str">
        <f>"0000804832"</f>
        <v>0000804832</v>
      </c>
      <c r="C6089" t="str">
        <f t="shared" si="2488"/>
        <v>0000804767</v>
      </c>
      <c r="D6089" t="str">
        <f t="shared" si="2489"/>
        <v>73185</v>
      </c>
      <c r="E6089" t="str">
        <f t="shared" si="2490"/>
        <v>KFH-OPERATIONS DEPARTMENT</v>
      </c>
      <c r="F6089" t="str">
        <f t="shared" si="2491"/>
        <v>IBG</v>
      </c>
      <c r="G6089" t="str">
        <f t="shared" si="2477"/>
        <v>Refund COSHARE 10</v>
      </c>
      <c r="H6089" s="2">
        <v>559.95000000000005</v>
      </c>
      <c r="I6089" t="str">
        <f>"NIK SUZIELA BINTI NIK FAUZI"</f>
        <v>NIK SUZIELA BINTI NIK FAUZI</v>
      </c>
      <c r="J6089" t="str">
        <f t="shared" si="2486"/>
        <v>CIMB BANK / CIMB ISLAMIC BANK</v>
      </c>
      <c r="K6089" t="str">
        <f>"7050437067"</f>
        <v>7050437067</v>
      </c>
      <c r="L6089" t="str">
        <f t="shared" si="2492"/>
        <v>04-08-2020</v>
      </c>
      <c r="M6089" t="str">
        <f t="shared" si="2492"/>
        <v>04-08-2020</v>
      </c>
      <c r="N6089" t="str">
        <f t="shared" si="2493"/>
        <v>001105018356</v>
      </c>
      <c r="O6089" t="str">
        <f t="shared" si="2494"/>
        <v>MYR</v>
      </c>
      <c r="P6089" t="str">
        <f t="shared" si="2495"/>
        <v>NIL</v>
      </c>
      <c r="Q6089" t="str">
        <f t="shared" si="2495"/>
        <v>NIL</v>
      </c>
      <c r="R6089" t="str">
        <f t="shared" si="2482"/>
        <v>Accepted</v>
      </c>
      <c r="S6089" t="str">
        <f t="shared" si="2496"/>
        <v>Approved</v>
      </c>
      <c r="T6089" t="str">
        <f t="shared" si="2483"/>
        <v>10.20.8.188</v>
      </c>
      <c r="U6089" t="str">
        <f t="shared" si="2497"/>
        <v>AZRAD UMAR BIN SHAARI</v>
      </c>
      <c r="V6089" t="str">
        <f t="shared" si="2498"/>
        <v>FARHANA BINTI MUSTAPA</v>
      </c>
      <c r="W6089" t="str">
        <f t="shared" si="2499"/>
        <v>04-08-2020</v>
      </c>
      <c r="X6089" t="str">
        <f t="shared" si="2500"/>
        <v>RAZIMAH ANSAR AHMAD</v>
      </c>
      <c r="Y6089" t="str">
        <f t="shared" si="2501"/>
        <v>04-08-2020</v>
      </c>
      <c r="Z6089" t="str">
        <f>"COS10200804 3065"</f>
        <v>COS10200804 3065</v>
      </c>
    </row>
    <row r="6090" spans="1:26" x14ac:dyDescent="0.25">
      <c r="A6090" t="str">
        <f t="shared" si="2487"/>
        <v>04-08-2020 12:43:51</v>
      </c>
      <c r="B6090" t="str">
        <f>"0000804831"</f>
        <v>0000804831</v>
      </c>
      <c r="C6090" t="str">
        <f t="shared" si="2488"/>
        <v>0000804767</v>
      </c>
      <c r="D6090" t="str">
        <f t="shared" si="2489"/>
        <v>73185</v>
      </c>
      <c r="E6090" t="str">
        <f t="shared" si="2490"/>
        <v>KFH-OPERATIONS DEPARTMENT</v>
      </c>
      <c r="F6090" t="str">
        <f t="shared" si="2491"/>
        <v>IBG</v>
      </c>
      <c r="G6090" t="str">
        <f t="shared" si="2477"/>
        <v>Refund COSHARE 10</v>
      </c>
      <c r="H6090" s="2">
        <v>281</v>
      </c>
      <c r="I6090" t="str">
        <f>"NIK ROSFAYUNE BINTI NIK JAFFAR"</f>
        <v>NIK ROSFAYUNE BINTI NIK JAFFAR</v>
      </c>
      <c r="J6090" t="str">
        <f t="shared" si="2486"/>
        <v>CIMB BANK / CIMB ISLAMIC BANK</v>
      </c>
      <c r="K6090" t="str">
        <f>"7607681728"</f>
        <v>7607681728</v>
      </c>
      <c r="L6090" t="str">
        <f t="shared" si="2492"/>
        <v>04-08-2020</v>
      </c>
      <c r="M6090" t="str">
        <f t="shared" si="2492"/>
        <v>04-08-2020</v>
      </c>
      <c r="N6090" t="str">
        <f t="shared" si="2493"/>
        <v>001105018356</v>
      </c>
      <c r="O6090" t="str">
        <f t="shared" si="2494"/>
        <v>MYR</v>
      </c>
      <c r="P6090" t="str">
        <f t="shared" si="2495"/>
        <v>NIL</v>
      </c>
      <c r="Q6090" t="str">
        <f t="shared" si="2495"/>
        <v>NIL</v>
      </c>
      <c r="R6090" t="str">
        <f t="shared" si="2482"/>
        <v>Accepted</v>
      </c>
      <c r="S6090" t="str">
        <f t="shared" si="2496"/>
        <v>Approved</v>
      </c>
      <c r="T6090" t="str">
        <f t="shared" si="2483"/>
        <v>10.20.8.188</v>
      </c>
      <c r="U6090" t="str">
        <f t="shared" si="2497"/>
        <v>AZRAD UMAR BIN SHAARI</v>
      </c>
      <c r="V6090" t="str">
        <f t="shared" si="2498"/>
        <v>FARHANA BINTI MUSTAPA</v>
      </c>
      <c r="W6090" t="str">
        <f t="shared" si="2499"/>
        <v>04-08-2020</v>
      </c>
      <c r="X6090" t="str">
        <f t="shared" si="2500"/>
        <v>RAZIMAH ANSAR AHMAD</v>
      </c>
      <c r="Y6090" t="str">
        <f t="shared" si="2501"/>
        <v>04-08-2020</v>
      </c>
      <c r="Z6090" t="str">
        <f>"COS10200804 3064"</f>
        <v>COS10200804 3064</v>
      </c>
    </row>
    <row r="6091" spans="1:26" x14ac:dyDescent="0.25">
      <c r="A6091" t="str">
        <f t="shared" si="2487"/>
        <v>04-08-2020 12:43:51</v>
      </c>
      <c r="B6091" t="str">
        <f>"0000804830"</f>
        <v>0000804830</v>
      </c>
      <c r="C6091" t="str">
        <f t="shared" si="2488"/>
        <v>0000804767</v>
      </c>
      <c r="D6091" t="str">
        <f t="shared" si="2489"/>
        <v>73185</v>
      </c>
      <c r="E6091" t="str">
        <f t="shared" si="2490"/>
        <v>KFH-OPERATIONS DEPARTMENT</v>
      </c>
      <c r="F6091" t="str">
        <f t="shared" si="2491"/>
        <v>IBG</v>
      </c>
      <c r="G6091" t="str">
        <f t="shared" si="2477"/>
        <v>Refund COSHARE 10</v>
      </c>
      <c r="H6091" s="2">
        <v>965.45</v>
      </c>
      <c r="I6091" t="str">
        <f>"NIK RAFEAH BINTI NIK"</f>
        <v>NIK RAFEAH BINTI NIK</v>
      </c>
      <c r="J6091" t="str">
        <f t="shared" si="2486"/>
        <v>CIMB BANK / CIMB ISLAMIC BANK</v>
      </c>
      <c r="K6091" t="str">
        <f>"12180109391523"</f>
        <v>12180109391523</v>
      </c>
      <c r="L6091" t="str">
        <f t="shared" si="2492"/>
        <v>04-08-2020</v>
      </c>
      <c r="M6091" t="str">
        <f t="shared" si="2492"/>
        <v>04-08-2020</v>
      </c>
      <c r="N6091" t="str">
        <f t="shared" si="2493"/>
        <v>001105018356</v>
      </c>
      <c r="O6091" t="str">
        <f t="shared" si="2494"/>
        <v>MYR</v>
      </c>
      <c r="P6091" t="str">
        <f t="shared" si="2495"/>
        <v>NIL</v>
      </c>
      <c r="Q6091" t="str">
        <f t="shared" si="2495"/>
        <v>NIL</v>
      </c>
      <c r="R6091" t="str">
        <f t="shared" si="2482"/>
        <v>Accepted</v>
      </c>
      <c r="S6091" t="str">
        <f t="shared" si="2496"/>
        <v>Approved</v>
      </c>
      <c r="T6091" t="str">
        <f t="shared" si="2483"/>
        <v>10.20.8.188</v>
      </c>
      <c r="U6091" t="str">
        <f t="shared" si="2497"/>
        <v>AZRAD UMAR BIN SHAARI</v>
      </c>
      <c r="V6091" t="str">
        <f t="shared" si="2498"/>
        <v>FARHANA BINTI MUSTAPA</v>
      </c>
      <c r="W6091" t="str">
        <f t="shared" si="2499"/>
        <v>04-08-2020</v>
      </c>
      <c r="X6091" t="str">
        <f t="shared" si="2500"/>
        <v>RAZIMAH ANSAR AHMAD</v>
      </c>
      <c r="Y6091" t="str">
        <f t="shared" si="2501"/>
        <v>04-08-2020</v>
      </c>
      <c r="Z6091" t="str">
        <f>"COS10200804 3063"</f>
        <v>COS10200804 3063</v>
      </c>
    </row>
    <row r="6092" spans="1:26" x14ac:dyDescent="0.25">
      <c r="A6092" t="str">
        <f t="shared" si="2487"/>
        <v>04-08-2020 12:43:51</v>
      </c>
      <c r="B6092" t="str">
        <f>"0000804829"</f>
        <v>0000804829</v>
      </c>
      <c r="C6092" t="str">
        <f t="shared" si="2488"/>
        <v>0000804767</v>
      </c>
      <c r="D6092" t="str">
        <f t="shared" si="2489"/>
        <v>73185</v>
      </c>
      <c r="E6092" t="str">
        <f t="shared" si="2490"/>
        <v>KFH-OPERATIONS DEPARTMENT</v>
      </c>
      <c r="F6092" t="str">
        <f t="shared" si="2491"/>
        <v>IBG</v>
      </c>
      <c r="G6092" t="str">
        <f t="shared" ref="G6092:G6155" si="2502">"Refund COSHARE 10"</f>
        <v>Refund COSHARE 10</v>
      </c>
      <c r="H6092" s="2">
        <v>100.75</v>
      </c>
      <c r="I6092" t="str">
        <f>"NIK NOR AIDA BINTI RAJA ISMAIL"</f>
        <v>NIK NOR AIDA BINTI RAJA ISMAIL</v>
      </c>
      <c r="J6092" t="str">
        <f t="shared" si="2486"/>
        <v>CIMB BANK / CIMB ISLAMIC BANK</v>
      </c>
      <c r="K6092" t="str">
        <f>"7605408985"</f>
        <v>7605408985</v>
      </c>
      <c r="L6092" t="str">
        <f t="shared" si="2492"/>
        <v>04-08-2020</v>
      </c>
      <c r="M6092" t="str">
        <f t="shared" si="2492"/>
        <v>04-08-2020</v>
      </c>
      <c r="N6092" t="str">
        <f t="shared" si="2493"/>
        <v>001105018356</v>
      </c>
      <c r="O6092" t="str">
        <f t="shared" si="2494"/>
        <v>MYR</v>
      </c>
      <c r="P6092" t="str">
        <f t="shared" si="2495"/>
        <v>NIL</v>
      </c>
      <c r="Q6092" t="str">
        <f t="shared" si="2495"/>
        <v>NIL</v>
      </c>
      <c r="R6092" t="str">
        <f t="shared" si="2482"/>
        <v>Accepted</v>
      </c>
      <c r="S6092" t="str">
        <f t="shared" si="2496"/>
        <v>Approved</v>
      </c>
      <c r="T6092" t="str">
        <f t="shared" si="2483"/>
        <v>10.20.8.188</v>
      </c>
      <c r="U6092" t="str">
        <f t="shared" si="2497"/>
        <v>AZRAD UMAR BIN SHAARI</v>
      </c>
      <c r="V6092" t="str">
        <f t="shared" si="2498"/>
        <v>FARHANA BINTI MUSTAPA</v>
      </c>
      <c r="W6092" t="str">
        <f t="shared" si="2499"/>
        <v>04-08-2020</v>
      </c>
      <c r="X6092" t="str">
        <f t="shared" si="2500"/>
        <v>RAZIMAH ANSAR AHMAD</v>
      </c>
      <c r="Y6092" t="str">
        <f t="shared" si="2501"/>
        <v>04-08-2020</v>
      </c>
      <c r="Z6092" t="str">
        <f>"COS10200804 3062"</f>
        <v>COS10200804 3062</v>
      </c>
    </row>
    <row r="6093" spans="1:26" x14ac:dyDescent="0.25">
      <c r="A6093" t="str">
        <f t="shared" si="2487"/>
        <v>04-08-2020 12:43:51</v>
      </c>
      <c r="B6093" t="str">
        <f>"0000804828"</f>
        <v>0000804828</v>
      </c>
      <c r="C6093" t="str">
        <f t="shared" si="2488"/>
        <v>0000804767</v>
      </c>
      <c r="D6093" t="str">
        <f t="shared" si="2489"/>
        <v>73185</v>
      </c>
      <c r="E6093" t="str">
        <f t="shared" si="2490"/>
        <v>KFH-OPERATIONS DEPARTMENT</v>
      </c>
      <c r="F6093" t="str">
        <f t="shared" si="2491"/>
        <v>IBG</v>
      </c>
      <c r="G6093" t="str">
        <f t="shared" si="2502"/>
        <v>Refund COSHARE 10</v>
      </c>
      <c r="H6093" s="2">
        <v>386.2</v>
      </c>
      <c r="I6093" t="str">
        <f>"NIK MOHD AZNIZAN BIN NIK IBRAHIM"</f>
        <v>NIK MOHD AZNIZAN BIN NIK IBRAHIM</v>
      </c>
      <c r="J6093" t="str">
        <f t="shared" si="2486"/>
        <v>CIMB BANK / CIMB ISLAMIC BANK</v>
      </c>
      <c r="K6093" t="str">
        <f>"12150008891054"</f>
        <v>12150008891054</v>
      </c>
      <c r="L6093" t="str">
        <f t="shared" si="2492"/>
        <v>04-08-2020</v>
      </c>
      <c r="M6093" t="str">
        <f t="shared" si="2492"/>
        <v>04-08-2020</v>
      </c>
      <c r="N6093" t="str">
        <f t="shared" si="2493"/>
        <v>001105018356</v>
      </c>
      <c r="O6093" t="str">
        <f t="shared" si="2494"/>
        <v>MYR</v>
      </c>
      <c r="P6093" t="str">
        <f t="shared" si="2495"/>
        <v>NIL</v>
      </c>
      <c r="Q6093" t="str">
        <f t="shared" si="2495"/>
        <v>NIL</v>
      </c>
      <c r="R6093" t="str">
        <f t="shared" si="2482"/>
        <v>Accepted</v>
      </c>
      <c r="S6093" t="str">
        <f t="shared" si="2496"/>
        <v>Approved</v>
      </c>
      <c r="T6093" t="str">
        <f t="shared" si="2483"/>
        <v>10.20.8.188</v>
      </c>
      <c r="U6093" t="str">
        <f t="shared" si="2497"/>
        <v>AZRAD UMAR BIN SHAARI</v>
      </c>
      <c r="V6093" t="str">
        <f t="shared" si="2498"/>
        <v>FARHANA BINTI MUSTAPA</v>
      </c>
      <c r="W6093" t="str">
        <f t="shared" si="2499"/>
        <v>04-08-2020</v>
      </c>
      <c r="X6093" t="str">
        <f t="shared" si="2500"/>
        <v>RAZIMAH ANSAR AHMAD</v>
      </c>
      <c r="Y6093" t="str">
        <f t="shared" si="2501"/>
        <v>04-08-2020</v>
      </c>
      <c r="Z6093" t="str">
        <f>"COS10200804 3061"</f>
        <v>COS10200804 3061</v>
      </c>
    </row>
    <row r="6094" spans="1:26" x14ac:dyDescent="0.25">
      <c r="A6094" t="str">
        <f t="shared" si="2487"/>
        <v>04-08-2020 12:43:51</v>
      </c>
      <c r="B6094" t="str">
        <f>"0000804827"</f>
        <v>0000804827</v>
      </c>
      <c r="C6094" t="str">
        <f t="shared" si="2488"/>
        <v>0000804767</v>
      </c>
      <c r="D6094" t="str">
        <f t="shared" si="2489"/>
        <v>73185</v>
      </c>
      <c r="E6094" t="str">
        <f t="shared" si="2490"/>
        <v>KFH-OPERATIONS DEPARTMENT</v>
      </c>
      <c r="F6094" t="str">
        <f t="shared" si="2491"/>
        <v>IBG</v>
      </c>
      <c r="G6094" t="str">
        <f t="shared" si="2502"/>
        <v>Refund COSHARE 10</v>
      </c>
      <c r="H6094" s="2">
        <v>481.75</v>
      </c>
      <c r="I6094" t="str">
        <f>"NIK MARINA BINTI NIK ADIB"</f>
        <v>NIK MARINA BINTI NIK ADIB</v>
      </c>
      <c r="J6094" t="str">
        <f t="shared" si="2486"/>
        <v>CIMB BANK / CIMB ISLAMIC BANK</v>
      </c>
      <c r="K6094" t="str">
        <f>"03020075692520"</f>
        <v>03020075692520</v>
      </c>
      <c r="L6094" t="str">
        <f t="shared" si="2492"/>
        <v>04-08-2020</v>
      </c>
      <c r="M6094" t="str">
        <f t="shared" si="2492"/>
        <v>04-08-2020</v>
      </c>
      <c r="N6094" t="str">
        <f t="shared" si="2493"/>
        <v>001105018356</v>
      </c>
      <c r="O6094" t="str">
        <f t="shared" si="2494"/>
        <v>MYR</v>
      </c>
      <c r="P6094" t="str">
        <f t="shared" si="2495"/>
        <v>NIL</v>
      </c>
      <c r="Q6094" t="str">
        <f t="shared" si="2495"/>
        <v>NIL</v>
      </c>
      <c r="R6094" t="str">
        <f t="shared" si="2482"/>
        <v>Accepted</v>
      </c>
      <c r="S6094" t="str">
        <f t="shared" si="2496"/>
        <v>Approved</v>
      </c>
      <c r="T6094" t="str">
        <f t="shared" si="2483"/>
        <v>10.20.8.188</v>
      </c>
      <c r="U6094" t="str">
        <f t="shared" si="2497"/>
        <v>AZRAD UMAR BIN SHAARI</v>
      </c>
      <c r="V6094" t="str">
        <f t="shared" si="2498"/>
        <v>FARHANA BINTI MUSTAPA</v>
      </c>
      <c r="W6094" t="str">
        <f t="shared" si="2499"/>
        <v>04-08-2020</v>
      </c>
      <c r="X6094" t="str">
        <f t="shared" si="2500"/>
        <v>RAZIMAH ANSAR AHMAD</v>
      </c>
      <c r="Y6094" t="str">
        <f t="shared" si="2501"/>
        <v>04-08-2020</v>
      </c>
      <c r="Z6094" t="str">
        <f>"COS10200804 3060"</f>
        <v>COS10200804 3060</v>
      </c>
    </row>
    <row r="6095" spans="1:26" x14ac:dyDescent="0.25">
      <c r="A6095" t="str">
        <f t="shared" si="2487"/>
        <v>04-08-2020 12:43:51</v>
      </c>
      <c r="B6095" t="str">
        <f>"0000804826"</f>
        <v>0000804826</v>
      </c>
      <c r="C6095" t="str">
        <f t="shared" si="2488"/>
        <v>0000804767</v>
      </c>
      <c r="D6095" t="str">
        <f t="shared" si="2489"/>
        <v>73185</v>
      </c>
      <c r="E6095" t="str">
        <f t="shared" si="2490"/>
        <v>KFH-OPERATIONS DEPARTMENT</v>
      </c>
      <c r="F6095" t="str">
        <f t="shared" si="2491"/>
        <v>IBG</v>
      </c>
      <c r="G6095" t="str">
        <f t="shared" si="2502"/>
        <v>Refund COSHARE 10</v>
      </c>
      <c r="H6095" s="2">
        <v>671.6</v>
      </c>
      <c r="I6095" t="str">
        <f>"NIK JAMILAH BINTI MOKHTAR"</f>
        <v>NIK JAMILAH BINTI MOKHTAR</v>
      </c>
      <c r="J6095" t="str">
        <f t="shared" si="2486"/>
        <v>CIMB BANK / CIMB ISLAMIC BANK</v>
      </c>
      <c r="K6095" t="str">
        <f>"7052980785"</f>
        <v>7052980785</v>
      </c>
      <c r="L6095" t="str">
        <f t="shared" si="2492"/>
        <v>04-08-2020</v>
      </c>
      <c r="M6095" t="str">
        <f t="shared" si="2492"/>
        <v>04-08-2020</v>
      </c>
      <c r="N6095" t="str">
        <f t="shared" si="2493"/>
        <v>001105018356</v>
      </c>
      <c r="O6095" t="str">
        <f t="shared" si="2494"/>
        <v>MYR</v>
      </c>
      <c r="P6095" t="str">
        <f t="shared" si="2495"/>
        <v>NIL</v>
      </c>
      <c r="Q6095" t="str">
        <f t="shared" si="2495"/>
        <v>NIL</v>
      </c>
      <c r="R6095" t="str">
        <f t="shared" si="2482"/>
        <v>Accepted</v>
      </c>
      <c r="S6095" t="str">
        <f t="shared" si="2496"/>
        <v>Approved</v>
      </c>
      <c r="T6095" t="str">
        <f t="shared" si="2483"/>
        <v>10.20.8.188</v>
      </c>
      <c r="U6095" t="str">
        <f t="shared" si="2497"/>
        <v>AZRAD UMAR BIN SHAARI</v>
      </c>
      <c r="V6095" t="str">
        <f t="shared" si="2498"/>
        <v>FARHANA BINTI MUSTAPA</v>
      </c>
      <c r="W6095" t="str">
        <f t="shared" si="2499"/>
        <v>04-08-2020</v>
      </c>
      <c r="X6095" t="str">
        <f t="shared" si="2500"/>
        <v>RAZIMAH ANSAR AHMAD</v>
      </c>
      <c r="Y6095" t="str">
        <f t="shared" si="2501"/>
        <v>04-08-2020</v>
      </c>
      <c r="Z6095" t="str">
        <f>"COS10200804 3059"</f>
        <v>COS10200804 3059</v>
      </c>
    </row>
    <row r="6096" spans="1:26" x14ac:dyDescent="0.25">
      <c r="A6096" t="str">
        <f t="shared" si="2487"/>
        <v>04-08-2020 12:43:51</v>
      </c>
      <c r="B6096" t="str">
        <f>"0000804825"</f>
        <v>0000804825</v>
      </c>
      <c r="C6096" t="str">
        <f t="shared" si="2488"/>
        <v>0000804767</v>
      </c>
      <c r="D6096" t="str">
        <f t="shared" si="2489"/>
        <v>73185</v>
      </c>
      <c r="E6096" t="str">
        <f t="shared" si="2490"/>
        <v>KFH-OPERATIONS DEPARTMENT</v>
      </c>
      <c r="F6096" t="str">
        <f t="shared" si="2491"/>
        <v>IBG</v>
      </c>
      <c r="G6096" t="str">
        <f t="shared" si="2502"/>
        <v>Refund COSHARE 10</v>
      </c>
      <c r="H6096" s="2">
        <v>801.65</v>
      </c>
      <c r="I6096" t="str">
        <f>"NIK FATIHAH BINTI NIK ABDULLAH"</f>
        <v>NIK FATIHAH BINTI NIK ABDULLAH</v>
      </c>
      <c r="J6096" t="str">
        <f t="shared" si="2486"/>
        <v>CIMB BANK / CIMB ISLAMIC BANK</v>
      </c>
      <c r="K6096" t="str">
        <f>"14400085204520"</f>
        <v>14400085204520</v>
      </c>
      <c r="L6096" t="str">
        <f t="shared" si="2492"/>
        <v>04-08-2020</v>
      </c>
      <c r="M6096" t="str">
        <f t="shared" si="2492"/>
        <v>04-08-2020</v>
      </c>
      <c r="N6096" t="str">
        <f t="shared" si="2493"/>
        <v>001105018356</v>
      </c>
      <c r="O6096" t="str">
        <f t="shared" si="2494"/>
        <v>MYR</v>
      </c>
      <c r="P6096" t="str">
        <f t="shared" si="2495"/>
        <v>NIL</v>
      </c>
      <c r="Q6096" t="str">
        <f t="shared" si="2495"/>
        <v>NIL</v>
      </c>
      <c r="R6096" t="str">
        <f t="shared" si="2482"/>
        <v>Accepted</v>
      </c>
      <c r="S6096" t="str">
        <f t="shared" si="2496"/>
        <v>Approved</v>
      </c>
      <c r="T6096" t="str">
        <f t="shared" si="2483"/>
        <v>10.20.8.188</v>
      </c>
      <c r="U6096" t="str">
        <f t="shared" si="2497"/>
        <v>AZRAD UMAR BIN SHAARI</v>
      </c>
      <c r="V6096" t="str">
        <f t="shared" si="2498"/>
        <v>FARHANA BINTI MUSTAPA</v>
      </c>
      <c r="W6096" t="str">
        <f t="shared" si="2499"/>
        <v>04-08-2020</v>
      </c>
      <c r="X6096" t="str">
        <f t="shared" si="2500"/>
        <v>RAZIMAH ANSAR AHMAD</v>
      </c>
      <c r="Y6096" t="str">
        <f t="shared" si="2501"/>
        <v>04-08-2020</v>
      </c>
      <c r="Z6096" t="str">
        <f>"COS10200804 3058"</f>
        <v>COS10200804 3058</v>
      </c>
    </row>
    <row r="6097" spans="1:26" x14ac:dyDescent="0.25">
      <c r="A6097" t="str">
        <f t="shared" si="2487"/>
        <v>04-08-2020 12:43:51</v>
      </c>
      <c r="B6097" t="str">
        <f>"0000804824"</f>
        <v>0000804824</v>
      </c>
      <c r="C6097" t="str">
        <f t="shared" si="2488"/>
        <v>0000804767</v>
      </c>
      <c r="D6097" t="str">
        <f t="shared" si="2489"/>
        <v>73185</v>
      </c>
      <c r="E6097" t="str">
        <f t="shared" si="2490"/>
        <v>KFH-OPERATIONS DEPARTMENT</v>
      </c>
      <c r="F6097" t="str">
        <f t="shared" si="2491"/>
        <v>IBG</v>
      </c>
      <c r="G6097" t="str">
        <f t="shared" si="2502"/>
        <v>Refund COSHARE 10</v>
      </c>
      <c r="H6097" s="2">
        <v>461.75</v>
      </c>
      <c r="I6097" t="str">
        <f>"NIK AZIHAN BIN ISMAIL"</f>
        <v>NIK AZIHAN BIN ISMAIL</v>
      </c>
      <c r="J6097" t="str">
        <f t="shared" si="2486"/>
        <v>CIMB BANK / CIMB ISLAMIC BANK</v>
      </c>
      <c r="K6097" t="str">
        <f>"12230061308526"</f>
        <v>12230061308526</v>
      </c>
      <c r="L6097" t="str">
        <f t="shared" si="2492"/>
        <v>04-08-2020</v>
      </c>
      <c r="M6097" t="str">
        <f t="shared" si="2492"/>
        <v>04-08-2020</v>
      </c>
      <c r="N6097" t="str">
        <f t="shared" si="2493"/>
        <v>001105018356</v>
      </c>
      <c r="O6097" t="str">
        <f t="shared" si="2494"/>
        <v>MYR</v>
      </c>
      <c r="P6097" t="str">
        <f t="shared" si="2495"/>
        <v>NIL</v>
      </c>
      <c r="Q6097" t="str">
        <f t="shared" si="2495"/>
        <v>NIL</v>
      </c>
      <c r="R6097" t="str">
        <f t="shared" si="2482"/>
        <v>Accepted</v>
      </c>
      <c r="S6097" t="str">
        <f t="shared" si="2496"/>
        <v>Approved</v>
      </c>
      <c r="T6097" t="str">
        <f t="shared" si="2483"/>
        <v>10.20.8.188</v>
      </c>
      <c r="U6097" t="str">
        <f t="shared" si="2497"/>
        <v>AZRAD UMAR BIN SHAARI</v>
      </c>
      <c r="V6097" t="str">
        <f t="shared" si="2498"/>
        <v>FARHANA BINTI MUSTAPA</v>
      </c>
      <c r="W6097" t="str">
        <f t="shared" si="2499"/>
        <v>04-08-2020</v>
      </c>
      <c r="X6097" t="str">
        <f t="shared" si="2500"/>
        <v>RAZIMAH ANSAR AHMAD</v>
      </c>
      <c r="Y6097" t="str">
        <f t="shared" si="2501"/>
        <v>04-08-2020</v>
      </c>
      <c r="Z6097" t="str">
        <f>"COS10200804 3057"</f>
        <v>COS10200804 3057</v>
      </c>
    </row>
    <row r="6098" spans="1:26" x14ac:dyDescent="0.25">
      <c r="A6098" t="str">
        <f t="shared" si="2487"/>
        <v>04-08-2020 12:43:51</v>
      </c>
      <c r="B6098" t="str">
        <f>"0000804823"</f>
        <v>0000804823</v>
      </c>
      <c r="C6098" t="str">
        <f t="shared" si="2488"/>
        <v>0000804767</v>
      </c>
      <c r="D6098" t="str">
        <f t="shared" si="2489"/>
        <v>73185</v>
      </c>
      <c r="E6098" t="str">
        <f t="shared" si="2490"/>
        <v>KFH-OPERATIONS DEPARTMENT</v>
      </c>
      <c r="F6098" t="str">
        <f t="shared" si="2491"/>
        <v>IBG</v>
      </c>
      <c r="G6098" t="str">
        <f t="shared" si="2502"/>
        <v>Refund COSHARE 10</v>
      </c>
      <c r="H6098" s="2">
        <v>545.70000000000005</v>
      </c>
      <c r="I6098" t="str">
        <f>"NIK AMIRAH BINTI NIK AB RAHMAN"</f>
        <v>NIK AMIRAH BINTI NIK AB RAHMAN</v>
      </c>
      <c r="J6098" t="str">
        <f t="shared" si="2486"/>
        <v>CIMB BANK / CIMB ISLAMIC BANK</v>
      </c>
      <c r="K6098" t="str">
        <f>"7015317309"</f>
        <v>7015317309</v>
      </c>
      <c r="L6098" t="str">
        <f t="shared" si="2492"/>
        <v>04-08-2020</v>
      </c>
      <c r="M6098" t="str">
        <f t="shared" si="2492"/>
        <v>04-08-2020</v>
      </c>
      <c r="N6098" t="str">
        <f t="shared" si="2493"/>
        <v>001105018356</v>
      </c>
      <c r="O6098" t="str">
        <f t="shared" si="2494"/>
        <v>MYR</v>
      </c>
      <c r="P6098" t="str">
        <f t="shared" si="2495"/>
        <v>NIL</v>
      </c>
      <c r="Q6098" t="str">
        <f t="shared" si="2495"/>
        <v>NIL</v>
      </c>
      <c r="R6098" t="str">
        <f t="shared" si="2482"/>
        <v>Accepted</v>
      </c>
      <c r="S6098" t="str">
        <f t="shared" si="2496"/>
        <v>Approved</v>
      </c>
      <c r="T6098" t="str">
        <f t="shared" si="2483"/>
        <v>10.20.8.188</v>
      </c>
      <c r="U6098" t="str">
        <f t="shared" si="2497"/>
        <v>AZRAD UMAR BIN SHAARI</v>
      </c>
      <c r="V6098" t="str">
        <f t="shared" si="2498"/>
        <v>FARHANA BINTI MUSTAPA</v>
      </c>
      <c r="W6098" t="str">
        <f t="shared" si="2499"/>
        <v>04-08-2020</v>
      </c>
      <c r="X6098" t="str">
        <f t="shared" si="2500"/>
        <v>RAZIMAH ANSAR AHMAD</v>
      </c>
      <c r="Y6098" t="str">
        <f t="shared" si="2501"/>
        <v>04-08-2020</v>
      </c>
      <c r="Z6098" t="str">
        <f>"COS10200804 3056"</f>
        <v>COS10200804 3056</v>
      </c>
    </row>
    <row r="6099" spans="1:26" x14ac:dyDescent="0.25">
      <c r="A6099" t="str">
        <f t="shared" si="2487"/>
        <v>04-08-2020 12:43:51</v>
      </c>
      <c r="B6099" t="str">
        <f>"0000804822"</f>
        <v>0000804822</v>
      </c>
      <c r="C6099" t="str">
        <f t="shared" si="2488"/>
        <v>0000804767</v>
      </c>
      <c r="D6099" t="str">
        <f t="shared" si="2489"/>
        <v>73185</v>
      </c>
      <c r="E6099" t="str">
        <f t="shared" si="2490"/>
        <v>KFH-OPERATIONS DEPARTMENT</v>
      </c>
      <c r="F6099" t="str">
        <f t="shared" si="2491"/>
        <v>IBG</v>
      </c>
      <c r="G6099" t="str">
        <f t="shared" si="2502"/>
        <v>Refund COSHARE 10</v>
      </c>
      <c r="H6099" s="2">
        <v>1679</v>
      </c>
      <c r="I6099" t="str">
        <f>"NIK AHMAD NIZAM BIN NIK MALEK"</f>
        <v>NIK AHMAD NIZAM BIN NIK MALEK</v>
      </c>
      <c r="J6099" t="str">
        <f t="shared" si="2486"/>
        <v>CIMB BANK / CIMB ISLAMIC BANK</v>
      </c>
      <c r="K6099" t="str">
        <f>"7619282313"</f>
        <v>7619282313</v>
      </c>
      <c r="L6099" t="str">
        <f t="shared" si="2492"/>
        <v>04-08-2020</v>
      </c>
      <c r="M6099" t="str">
        <f t="shared" si="2492"/>
        <v>04-08-2020</v>
      </c>
      <c r="N6099" t="str">
        <f t="shared" si="2493"/>
        <v>001105018356</v>
      </c>
      <c r="O6099" t="str">
        <f t="shared" si="2494"/>
        <v>MYR</v>
      </c>
      <c r="P6099" t="str">
        <f t="shared" si="2495"/>
        <v>NIL</v>
      </c>
      <c r="Q6099" t="str">
        <f t="shared" si="2495"/>
        <v>NIL</v>
      </c>
      <c r="R6099" t="str">
        <f t="shared" si="2482"/>
        <v>Accepted</v>
      </c>
      <c r="S6099" t="str">
        <f t="shared" si="2496"/>
        <v>Approved</v>
      </c>
      <c r="T6099" t="str">
        <f t="shared" si="2483"/>
        <v>10.20.8.188</v>
      </c>
      <c r="U6099" t="str">
        <f t="shared" si="2497"/>
        <v>AZRAD UMAR BIN SHAARI</v>
      </c>
      <c r="V6099" t="str">
        <f t="shared" si="2498"/>
        <v>FARHANA BINTI MUSTAPA</v>
      </c>
      <c r="W6099" t="str">
        <f t="shared" si="2499"/>
        <v>04-08-2020</v>
      </c>
      <c r="X6099" t="str">
        <f t="shared" si="2500"/>
        <v>RAZIMAH ANSAR AHMAD</v>
      </c>
      <c r="Y6099" t="str">
        <f t="shared" si="2501"/>
        <v>04-08-2020</v>
      </c>
      <c r="Z6099" t="str">
        <f>"COS10200804 3055"</f>
        <v>COS10200804 3055</v>
      </c>
    </row>
    <row r="6100" spans="1:26" x14ac:dyDescent="0.25">
      <c r="A6100" t="str">
        <f t="shared" si="2487"/>
        <v>04-08-2020 12:43:51</v>
      </c>
      <c r="B6100" t="str">
        <f>"0000804821"</f>
        <v>0000804821</v>
      </c>
      <c r="C6100" t="str">
        <f t="shared" si="2488"/>
        <v>0000804767</v>
      </c>
      <c r="D6100" t="str">
        <f t="shared" si="2489"/>
        <v>73185</v>
      </c>
      <c r="E6100" t="str">
        <f t="shared" si="2490"/>
        <v>KFH-OPERATIONS DEPARTMENT</v>
      </c>
      <c r="F6100" t="str">
        <f t="shared" si="2491"/>
        <v>IBG</v>
      </c>
      <c r="G6100" t="str">
        <f t="shared" si="2502"/>
        <v>Refund COSHARE 10</v>
      </c>
      <c r="H6100" s="2">
        <v>83.95</v>
      </c>
      <c r="I6100" t="str">
        <f>"NICHOLAS HAMILTON ANAK DIWIP"</f>
        <v>NICHOLAS HAMILTON ANAK DIWIP</v>
      </c>
      <c r="J6100" t="str">
        <f t="shared" si="2486"/>
        <v>CIMB BANK / CIMB ISLAMIC BANK</v>
      </c>
      <c r="K6100" t="str">
        <f>"11080086632528"</f>
        <v>11080086632528</v>
      </c>
      <c r="L6100" t="str">
        <f t="shared" si="2492"/>
        <v>04-08-2020</v>
      </c>
      <c r="M6100" t="str">
        <f t="shared" si="2492"/>
        <v>04-08-2020</v>
      </c>
      <c r="N6100" t="str">
        <f t="shared" si="2493"/>
        <v>001105018356</v>
      </c>
      <c r="O6100" t="str">
        <f t="shared" si="2494"/>
        <v>MYR</v>
      </c>
      <c r="P6100" t="str">
        <f t="shared" si="2495"/>
        <v>NIL</v>
      </c>
      <c r="Q6100" t="str">
        <f t="shared" si="2495"/>
        <v>NIL</v>
      </c>
      <c r="R6100" t="str">
        <f t="shared" si="2482"/>
        <v>Accepted</v>
      </c>
      <c r="S6100" t="str">
        <f t="shared" si="2496"/>
        <v>Approved</v>
      </c>
      <c r="T6100" t="str">
        <f t="shared" si="2483"/>
        <v>10.20.8.188</v>
      </c>
      <c r="U6100" t="str">
        <f t="shared" si="2497"/>
        <v>AZRAD UMAR BIN SHAARI</v>
      </c>
      <c r="V6100" t="str">
        <f t="shared" si="2498"/>
        <v>FARHANA BINTI MUSTAPA</v>
      </c>
      <c r="W6100" t="str">
        <f t="shared" si="2499"/>
        <v>04-08-2020</v>
      </c>
      <c r="X6100" t="str">
        <f t="shared" si="2500"/>
        <v>RAZIMAH ANSAR AHMAD</v>
      </c>
      <c r="Y6100" t="str">
        <f t="shared" si="2501"/>
        <v>04-08-2020</v>
      </c>
      <c r="Z6100" t="str">
        <f>"COS10200804 3054"</f>
        <v>COS10200804 3054</v>
      </c>
    </row>
    <row r="6101" spans="1:26" x14ac:dyDescent="0.25">
      <c r="A6101" t="str">
        <f t="shared" si="2487"/>
        <v>04-08-2020 12:43:51</v>
      </c>
      <c r="B6101" t="str">
        <f>"0000804820"</f>
        <v>0000804820</v>
      </c>
      <c r="C6101" t="str">
        <f t="shared" si="2488"/>
        <v>0000804767</v>
      </c>
      <c r="D6101" t="str">
        <f t="shared" si="2489"/>
        <v>73185</v>
      </c>
      <c r="E6101" t="str">
        <f t="shared" si="2490"/>
        <v>KFH-OPERATIONS DEPARTMENT</v>
      </c>
      <c r="F6101" t="str">
        <f t="shared" si="2491"/>
        <v>IBG</v>
      </c>
      <c r="G6101" t="str">
        <f t="shared" si="2502"/>
        <v>Refund COSHARE 10</v>
      </c>
      <c r="H6101" s="2">
        <v>68.8</v>
      </c>
      <c r="I6101" t="str">
        <f>"NICHOLAS BIN MELVIN"</f>
        <v>NICHOLAS BIN MELVIN</v>
      </c>
      <c r="J6101" t="str">
        <f t="shared" si="2486"/>
        <v>CIMB BANK / CIMB ISLAMIC BANK</v>
      </c>
      <c r="K6101" t="str">
        <f>"7038674927"</f>
        <v>7038674927</v>
      </c>
      <c r="L6101" t="str">
        <f t="shared" si="2492"/>
        <v>04-08-2020</v>
      </c>
      <c r="M6101" t="str">
        <f t="shared" si="2492"/>
        <v>04-08-2020</v>
      </c>
      <c r="N6101" t="str">
        <f t="shared" si="2493"/>
        <v>001105018356</v>
      </c>
      <c r="O6101" t="str">
        <f t="shared" si="2494"/>
        <v>MYR</v>
      </c>
      <c r="P6101" t="str">
        <f t="shared" si="2495"/>
        <v>NIL</v>
      </c>
      <c r="Q6101" t="str">
        <f t="shared" si="2495"/>
        <v>NIL</v>
      </c>
      <c r="R6101" t="str">
        <f t="shared" si="2482"/>
        <v>Accepted</v>
      </c>
      <c r="S6101" t="str">
        <f t="shared" si="2496"/>
        <v>Approved</v>
      </c>
      <c r="T6101" t="str">
        <f t="shared" si="2483"/>
        <v>10.20.8.188</v>
      </c>
      <c r="U6101" t="str">
        <f t="shared" si="2497"/>
        <v>AZRAD UMAR BIN SHAARI</v>
      </c>
      <c r="V6101" t="str">
        <f t="shared" si="2498"/>
        <v>FARHANA BINTI MUSTAPA</v>
      </c>
      <c r="W6101" t="str">
        <f t="shared" si="2499"/>
        <v>04-08-2020</v>
      </c>
      <c r="X6101" t="str">
        <f t="shared" si="2500"/>
        <v>RAZIMAH ANSAR AHMAD</v>
      </c>
      <c r="Y6101" t="str">
        <f t="shared" si="2501"/>
        <v>04-08-2020</v>
      </c>
      <c r="Z6101" t="str">
        <f>"COS10200804 3053"</f>
        <v>COS10200804 3053</v>
      </c>
    </row>
    <row r="6102" spans="1:26" x14ac:dyDescent="0.25">
      <c r="A6102" t="str">
        <f t="shared" si="2487"/>
        <v>04-08-2020 12:43:51</v>
      </c>
      <c r="B6102" t="str">
        <f>"0000804819"</f>
        <v>0000804819</v>
      </c>
      <c r="C6102" t="str">
        <f t="shared" si="2488"/>
        <v>0000804767</v>
      </c>
      <c r="D6102" t="str">
        <f t="shared" si="2489"/>
        <v>73185</v>
      </c>
      <c r="E6102" t="str">
        <f t="shared" si="2490"/>
        <v>KFH-OPERATIONS DEPARTMENT</v>
      </c>
      <c r="F6102" t="str">
        <f t="shared" si="2491"/>
        <v>IBG</v>
      </c>
      <c r="G6102" t="str">
        <f t="shared" si="2502"/>
        <v>Refund COSHARE 10</v>
      </c>
      <c r="H6102" s="2">
        <v>181</v>
      </c>
      <c r="I6102" t="str">
        <f>"NGUI SUI FUNG"</f>
        <v>NGUI SUI FUNG</v>
      </c>
      <c r="J6102" t="str">
        <f t="shared" si="2486"/>
        <v>CIMB BANK / CIMB ISLAMIC BANK</v>
      </c>
      <c r="K6102" t="str">
        <f>"10070006021528"</f>
        <v>10070006021528</v>
      </c>
      <c r="L6102" t="str">
        <f t="shared" si="2492"/>
        <v>04-08-2020</v>
      </c>
      <c r="M6102" t="str">
        <f t="shared" si="2492"/>
        <v>04-08-2020</v>
      </c>
      <c r="N6102" t="str">
        <f t="shared" si="2493"/>
        <v>001105018356</v>
      </c>
      <c r="O6102" t="str">
        <f t="shared" si="2494"/>
        <v>MYR</v>
      </c>
      <c r="P6102" t="str">
        <f t="shared" si="2495"/>
        <v>NIL</v>
      </c>
      <c r="Q6102" t="str">
        <f t="shared" si="2495"/>
        <v>NIL</v>
      </c>
      <c r="R6102" t="str">
        <f t="shared" si="2482"/>
        <v>Accepted</v>
      </c>
      <c r="S6102" t="str">
        <f t="shared" si="2496"/>
        <v>Approved</v>
      </c>
      <c r="T6102" t="str">
        <f t="shared" si="2483"/>
        <v>10.20.8.188</v>
      </c>
      <c r="U6102" t="str">
        <f t="shared" si="2497"/>
        <v>AZRAD UMAR BIN SHAARI</v>
      </c>
      <c r="V6102" t="str">
        <f t="shared" si="2498"/>
        <v>FARHANA BINTI MUSTAPA</v>
      </c>
      <c r="W6102" t="str">
        <f t="shared" si="2499"/>
        <v>04-08-2020</v>
      </c>
      <c r="X6102" t="str">
        <f t="shared" si="2500"/>
        <v>RAZIMAH ANSAR AHMAD</v>
      </c>
      <c r="Y6102" t="str">
        <f t="shared" si="2501"/>
        <v>04-08-2020</v>
      </c>
      <c r="Z6102" t="str">
        <f>"COS10200804 3052"</f>
        <v>COS10200804 3052</v>
      </c>
    </row>
    <row r="6103" spans="1:26" x14ac:dyDescent="0.25">
      <c r="A6103" t="str">
        <f t="shared" si="2487"/>
        <v>04-08-2020 12:43:51</v>
      </c>
      <c r="B6103" t="str">
        <f>"0000804818"</f>
        <v>0000804818</v>
      </c>
      <c r="C6103" t="str">
        <f t="shared" si="2488"/>
        <v>0000804767</v>
      </c>
      <c r="D6103" t="str">
        <f t="shared" si="2489"/>
        <v>73185</v>
      </c>
      <c r="E6103" t="str">
        <f t="shared" si="2490"/>
        <v>KFH-OPERATIONS DEPARTMENT</v>
      </c>
      <c r="F6103" t="str">
        <f t="shared" si="2491"/>
        <v>IBG</v>
      </c>
      <c r="G6103" t="str">
        <f t="shared" si="2502"/>
        <v>Refund COSHARE 10</v>
      </c>
      <c r="H6103" s="2">
        <v>758</v>
      </c>
      <c r="I6103" t="str">
        <f>"NGUI SUI FUNG"</f>
        <v>NGUI SUI FUNG</v>
      </c>
      <c r="J6103" t="str">
        <f t="shared" si="2486"/>
        <v>CIMB BANK / CIMB ISLAMIC BANK</v>
      </c>
      <c r="K6103" t="str">
        <f>"10070006021528"</f>
        <v>10070006021528</v>
      </c>
      <c r="L6103" t="str">
        <f t="shared" si="2492"/>
        <v>04-08-2020</v>
      </c>
      <c r="M6103" t="str">
        <f t="shared" si="2492"/>
        <v>04-08-2020</v>
      </c>
      <c r="N6103" t="str">
        <f t="shared" si="2493"/>
        <v>001105018356</v>
      </c>
      <c r="O6103" t="str">
        <f t="shared" si="2494"/>
        <v>MYR</v>
      </c>
      <c r="P6103" t="str">
        <f t="shared" si="2495"/>
        <v>NIL</v>
      </c>
      <c r="Q6103" t="str">
        <f t="shared" si="2495"/>
        <v>NIL</v>
      </c>
      <c r="R6103" t="str">
        <f t="shared" si="2482"/>
        <v>Accepted</v>
      </c>
      <c r="S6103" t="str">
        <f t="shared" si="2496"/>
        <v>Approved</v>
      </c>
      <c r="T6103" t="str">
        <f t="shared" si="2483"/>
        <v>10.20.8.188</v>
      </c>
      <c r="U6103" t="str">
        <f t="shared" si="2497"/>
        <v>AZRAD UMAR BIN SHAARI</v>
      </c>
      <c r="V6103" t="str">
        <f t="shared" si="2498"/>
        <v>FARHANA BINTI MUSTAPA</v>
      </c>
      <c r="W6103" t="str">
        <f t="shared" si="2499"/>
        <v>04-08-2020</v>
      </c>
      <c r="X6103" t="str">
        <f t="shared" si="2500"/>
        <v>RAZIMAH ANSAR AHMAD</v>
      </c>
      <c r="Y6103" t="str">
        <f t="shared" si="2501"/>
        <v>04-08-2020</v>
      </c>
      <c r="Z6103" t="str">
        <f>"COS10200804 3051"</f>
        <v>COS10200804 3051</v>
      </c>
    </row>
    <row r="6104" spans="1:26" x14ac:dyDescent="0.25">
      <c r="A6104" t="str">
        <f t="shared" si="2487"/>
        <v>04-08-2020 12:43:51</v>
      </c>
      <c r="B6104" t="str">
        <f>"0000804817"</f>
        <v>0000804817</v>
      </c>
      <c r="C6104" t="str">
        <f t="shared" si="2488"/>
        <v>0000804767</v>
      </c>
      <c r="D6104" t="str">
        <f t="shared" si="2489"/>
        <v>73185</v>
      </c>
      <c r="E6104" t="str">
        <f t="shared" si="2490"/>
        <v>KFH-OPERATIONS DEPARTMENT</v>
      </c>
      <c r="F6104" t="str">
        <f t="shared" si="2491"/>
        <v>IBG</v>
      </c>
      <c r="G6104" t="str">
        <f t="shared" si="2502"/>
        <v>Refund COSHARE 10</v>
      </c>
      <c r="H6104" s="2">
        <v>946.55</v>
      </c>
      <c r="I6104" t="str">
        <f>"NGUI SUI FUNG"</f>
        <v>NGUI SUI FUNG</v>
      </c>
      <c r="J6104" t="str">
        <f t="shared" si="2486"/>
        <v>CIMB BANK / CIMB ISLAMIC BANK</v>
      </c>
      <c r="K6104" t="str">
        <f>"10070006021528"</f>
        <v>10070006021528</v>
      </c>
      <c r="L6104" t="str">
        <f t="shared" si="2492"/>
        <v>04-08-2020</v>
      </c>
      <c r="M6104" t="str">
        <f t="shared" si="2492"/>
        <v>04-08-2020</v>
      </c>
      <c r="N6104" t="str">
        <f t="shared" si="2493"/>
        <v>001105018356</v>
      </c>
      <c r="O6104" t="str">
        <f t="shared" si="2494"/>
        <v>MYR</v>
      </c>
      <c r="P6104" t="str">
        <f t="shared" si="2495"/>
        <v>NIL</v>
      </c>
      <c r="Q6104" t="str">
        <f t="shared" si="2495"/>
        <v>NIL</v>
      </c>
      <c r="R6104" t="str">
        <f t="shared" si="2482"/>
        <v>Accepted</v>
      </c>
      <c r="S6104" t="str">
        <f t="shared" si="2496"/>
        <v>Approved</v>
      </c>
      <c r="T6104" t="str">
        <f t="shared" si="2483"/>
        <v>10.20.8.188</v>
      </c>
      <c r="U6104" t="str">
        <f t="shared" si="2497"/>
        <v>AZRAD UMAR BIN SHAARI</v>
      </c>
      <c r="V6104" t="str">
        <f t="shared" si="2498"/>
        <v>FARHANA BINTI MUSTAPA</v>
      </c>
      <c r="W6104" t="str">
        <f t="shared" si="2499"/>
        <v>04-08-2020</v>
      </c>
      <c r="X6104" t="str">
        <f t="shared" si="2500"/>
        <v>RAZIMAH ANSAR AHMAD</v>
      </c>
      <c r="Y6104" t="str">
        <f t="shared" si="2501"/>
        <v>04-08-2020</v>
      </c>
      <c r="Z6104" t="str">
        <f>"COS10200804 3050"</f>
        <v>COS10200804 3050</v>
      </c>
    </row>
    <row r="6105" spans="1:26" x14ac:dyDescent="0.25">
      <c r="A6105" t="str">
        <f t="shared" si="2487"/>
        <v>04-08-2020 12:43:51</v>
      </c>
      <c r="B6105" t="str">
        <f>"0000804816"</f>
        <v>0000804816</v>
      </c>
      <c r="C6105" t="str">
        <f t="shared" si="2488"/>
        <v>0000804767</v>
      </c>
      <c r="D6105" t="str">
        <f t="shared" si="2489"/>
        <v>73185</v>
      </c>
      <c r="E6105" t="str">
        <f t="shared" si="2490"/>
        <v>KFH-OPERATIONS DEPARTMENT</v>
      </c>
      <c r="F6105" t="str">
        <f t="shared" si="2491"/>
        <v>IBG</v>
      </c>
      <c r="G6105" t="str">
        <f t="shared" si="2502"/>
        <v>Refund COSHARE 10</v>
      </c>
      <c r="H6105" s="2">
        <v>67.55</v>
      </c>
      <c r="I6105" t="str">
        <f>"NELSON ANAK DAVID"</f>
        <v>NELSON ANAK DAVID</v>
      </c>
      <c r="J6105" t="str">
        <f t="shared" si="2486"/>
        <v>CIMB BANK / CIMB ISLAMIC BANK</v>
      </c>
      <c r="K6105" t="str">
        <f>"11090037517522"</f>
        <v>11090037517522</v>
      </c>
      <c r="L6105" t="str">
        <f t="shared" si="2492"/>
        <v>04-08-2020</v>
      </c>
      <c r="M6105" t="str">
        <f t="shared" si="2492"/>
        <v>04-08-2020</v>
      </c>
      <c r="N6105" t="str">
        <f t="shared" si="2493"/>
        <v>001105018356</v>
      </c>
      <c r="O6105" t="str">
        <f t="shared" si="2494"/>
        <v>MYR</v>
      </c>
      <c r="P6105" t="str">
        <f t="shared" si="2495"/>
        <v>NIL</v>
      </c>
      <c r="Q6105" t="str">
        <f t="shared" si="2495"/>
        <v>NIL</v>
      </c>
      <c r="R6105" t="str">
        <f t="shared" si="2482"/>
        <v>Accepted</v>
      </c>
      <c r="S6105" t="str">
        <f t="shared" si="2496"/>
        <v>Approved</v>
      </c>
      <c r="T6105" t="str">
        <f t="shared" si="2483"/>
        <v>10.20.8.188</v>
      </c>
      <c r="U6105" t="str">
        <f t="shared" si="2497"/>
        <v>AZRAD UMAR BIN SHAARI</v>
      </c>
      <c r="V6105" t="str">
        <f t="shared" si="2498"/>
        <v>FARHANA BINTI MUSTAPA</v>
      </c>
      <c r="W6105" t="str">
        <f t="shared" si="2499"/>
        <v>04-08-2020</v>
      </c>
      <c r="X6105" t="str">
        <f t="shared" si="2500"/>
        <v>RAZIMAH ANSAR AHMAD</v>
      </c>
      <c r="Y6105" t="str">
        <f t="shared" si="2501"/>
        <v>04-08-2020</v>
      </c>
      <c r="Z6105" t="str">
        <f>"COS10200804 3049"</f>
        <v>COS10200804 3049</v>
      </c>
    </row>
    <row r="6106" spans="1:26" x14ac:dyDescent="0.25">
      <c r="A6106" t="str">
        <f t="shared" si="2487"/>
        <v>04-08-2020 12:43:51</v>
      </c>
      <c r="B6106" t="str">
        <f>"0000804815"</f>
        <v>0000804815</v>
      </c>
      <c r="C6106" t="str">
        <f t="shared" si="2488"/>
        <v>0000804767</v>
      </c>
      <c r="D6106" t="str">
        <f t="shared" si="2489"/>
        <v>73185</v>
      </c>
      <c r="E6106" t="str">
        <f t="shared" si="2490"/>
        <v>KFH-OPERATIONS DEPARTMENT</v>
      </c>
      <c r="F6106" t="str">
        <f t="shared" si="2491"/>
        <v>IBG</v>
      </c>
      <c r="G6106" t="str">
        <f t="shared" si="2502"/>
        <v>Refund COSHARE 10</v>
      </c>
      <c r="H6106" s="2">
        <v>850</v>
      </c>
      <c r="I6106" t="str">
        <f>"NELLMON BIN SALIN"</f>
        <v>NELLMON BIN SALIN</v>
      </c>
      <c r="J6106" t="str">
        <f t="shared" si="2486"/>
        <v>CIMB BANK / CIMB ISLAMIC BANK</v>
      </c>
      <c r="K6106" t="str">
        <f>"11050074758521"</f>
        <v>11050074758521</v>
      </c>
      <c r="L6106" t="str">
        <f t="shared" si="2492"/>
        <v>04-08-2020</v>
      </c>
      <c r="M6106" t="str">
        <f t="shared" si="2492"/>
        <v>04-08-2020</v>
      </c>
      <c r="N6106" t="str">
        <f t="shared" si="2493"/>
        <v>001105018356</v>
      </c>
      <c r="O6106" t="str">
        <f t="shared" si="2494"/>
        <v>MYR</v>
      </c>
      <c r="P6106" t="str">
        <f t="shared" si="2495"/>
        <v>NIL</v>
      </c>
      <c r="Q6106" t="str">
        <f t="shared" si="2495"/>
        <v>NIL</v>
      </c>
      <c r="R6106" t="str">
        <f t="shared" si="2482"/>
        <v>Accepted</v>
      </c>
      <c r="S6106" t="str">
        <f t="shared" si="2496"/>
        <v>Approved</v>
      </c>
      <c r="T6106" t="str">
        <f t="shared" si="2483"/>
        <v>10.20.8.188</v>
      </c>
      <c r="U6106" t="str">
        <f t="shared" si="2497"/>
        <v>AZRAD UMAR BIN SHAARI</v>
      </c>
      <c r="V6106" t="str">
        <f t="shared" si="2498"/>
        <v>FARHANA BINTI MUSTAPA</v>
      </c>
      <c r="W6106" t="str">
        <f t="shared" si="2499"/>
        <v>04-08-2020</v>
      </c>
      <c r="X6106" t="str">
        <f t="shared" si="2500"/>
        <v>RAZIMAH ANSAR AHMAD</v>
      </c>
      <c r="Y6106" t="str">
        <f t="shared" si="2501"/>
        <v>04-08-2020</v>
      </c>
      <c r="Z6106" t="str">
        <f>"COS10200804 3048"</f>
        <v>COS10200804 3048</v>
      </c>
    </row>
    <row r="6107" spans="1:26" x14ac:dyDescent="0.25">
      <c r="A6107" t="str">
        <f t="shared" si="2487"/>
        <v>04-08-2020 12:43:51</v>
      </c>
      <c r="B6107" t="str">
        <f>"0000804814"</f>
        <v>0000804814</v>
      </c>
      <c r="C6107" t="str">
        <f t="shared" si="2488"/>
        <v>0000804767</v>
      </c>
      <c r="D6107" t="str">
        <f t="shared" si="2489"/>
        <v>73185</v>
      </c>
      <c r="E6107" t="str">
        <f t="shared" si="2490"/>
        <v>KFH-OPERATIONS DEPARTMENT</v>
      </c>
      <c r="F6107" t="str">
        <f t="shared" si="2491"/>
        <v>IBG</v>
      </c>
      <c r="G6107" t="str">
        <f t="shared" si="2502"/>
        <v>Refund COSHARE 10</v>
      </c>
      <c r="H6107" s="2">
        <v>1007.4</v>
      </c>
      <c r="I6107" t="str">
        <f>"NAZRI BIN MOHAMED"</f>
        <v>NAZRI BIN MOHAMED</v>
      </c>
      <c r="J6107" t="str">
        <f t="shared" si="2486"/>
        <v>CIMB BANK / CIMB ISLAMIC BANK</v>
      </c>
      <c r="K6107" t="str">
        <f>"7036378786"</f>
        <v>7036378786</v>
      </c>
      <c r="L6107" t="str">
        <f t="shared" ref="L6107:M6126" si="2503">"04-08-2020"</f>
        <v>04-08-2020</v>
      </c>
      <c r="M6107" t="str">
        <f t="shared" si="2503"/>
        <v>04-08-2020</v>
      </c>
      <c r="N6107" t="str">
        <f t="shared" si="2493"/>
        <v>001105018356</v>
      </c>
      <c r="O6107" t="str">
        <f t="shared" si="2494"/>
        <v>MYR</v>
      </c>
      <c r="P6107" t="str">
        <f t="shared" ref="P6107:Q6126" si="2504">"NIL"</f>
        <v>NIL</v>
      </c>
      <c r="Q6107" t="str">
        <f t="shared" si="2504"/>
        <v>NIL</v>
      </c>
      <c r="R6107" t="str">
        <f t="shared" si="2482"/>
        <v>Accepted</v>
      </c>
      <c r="S6107" t="str">
        <f t="shared" si="2496"/>
        <v>Approved</v>
      </c>
      <c r="T6107" t="str">
        <f t="shared" si="2483"/>
        <v>10.20.8.188</v>
      </c>
      <c r="U6107" t="str">
        <f t="shared" si="2497"/>
        <v>AZRAD UMAR BIN SHAARI</v>
      </c>
      <c r="V6107" t="str">
        <f t="shared" si="2498"/>
        <v>FARHANA BINTI MUSTAPA</v>
      </c>
      <c r="W6107" t="str">
        <f t="shared" si="2499"/>
        <v>04-08-2020</v>
      </c>
      <c r="X6107" t="str">
        <f t="shared" si="2500"/>
        <v>RAZIMAH ANSAR AHMAD</v>
      </c>
      <c r="Y6107" t="str">
        <f t="shared" si="2501"/>
        <v>04-08-2020</v>
      </c>
      <c r="Z6107" t="str">
        <f>"COS10200804 3047"</f>
        <v>COS10200804 3047</v>
      </c>
    </row>
    <row r="6108" spans="1:26" x14ac:dyDescent="0.25">
      <c r="A6108" t="str">
        <f t="shared" si="2487"/>
        <v>04-08-2020 12:43:51</v>
      </c>
      <c r="B6108" t="str">
        <f>"0000804813"</f>
        <v>0000804813</v>
      </c>
      <c r="C6108" t="str">
        <f t="shared" si="2488"/>
        <v>0000804767</v>
      </c>
      <c r="D6108" t="str">
        <f t="shared" si="2489"/>
        <v>73185</v>
      </c>
      <c r="E6108" t="str">
        <f t="shared" si="2490"/>
        <v>KFH-OPERATIONS DEPARTMENT</v>
      </c>
      <c r="F6108" t="str">
        <f t="shared" si="2491"/>
        <v>IBG</v>
      </c>
      <c r="G6108" t="str">
        <f t="shared" si="2502"/>
        <v>Refund COSHARE 10</v>
      </c>
      <c r="H6108" s="2">
        <v>1007.4</v>
      </c>
      <c r="I6108" t="str">
        <f>"NAZRI BIN MOHAMED"</f>
        <v>NAZRI BIN MOHAMED</v>
      </c>
      <c r="J6108" t="str">
        <f t="shared" si="2486"/>
        <v>CIMB BANK / CIMB ISLAMIC BANK</v>
      </c>
      <c r="K6108" t="str">
        <f>"7036378786"</f>
        <v>7036378786</v>
      </c>
      <c r="L6108" t="str">
        <f t="shared" si="2503"/>
        <v>04-08-2020</v>
      </c>
      <c r="M6108" t="str">
        <f t="shared" si="2503"/>
        <v>04-08-2020</v>
      </c>
      <c r="N6108" t="str">
        <f t="shared" si="2493"/>
        <v>001105018356</v>
      </c>
      <c r="O6108" t="str">
        <f t="shared" si="2494"/>
        <v>MYR</v>
      </c>
      <c r="P6108" t="str">
        <f t="shared" si="2504"/>
        <v>NIL</v>
      </c>
      <c r="Q6108" t="str">
        <f t="shared" si="2504"/>
        <v>NIL</v>
      </c>
      <c r="R6108" t="str">
        <f t="shared" si="2482"/>
        <v>Accepted</v>
      </c>
      <c r="S6108" t="str">
        <f t="shared" si="2496"/>
        <v>Approved</v>
      </c>
      <c r="T6108" t="str">
        <f t="shared" si="2483"/>
        <v>10.20.8.188</v>
      </c>
      <c r="U6108" t="str">
        <f t="shared" si="2497"/>
        <v>AZRAD UMAR BIN SHAARI</v>
      </c>
      <c r="V6108" t="str">
        <f t="shared" si="2498"/>
        <v>FARHANA BINTI MUSTAPA</v>
      </c>
      <c r="W6108" t="str">
        <f t="shared" si="2499"/>
        <v>04-08-2020</v>
      </c>
      <c r="X6108" t="str">
        <f t="shared" si="2500"/>
        <v>RAZIMAH ANSAR AHMAD</v>
      </c>
      <c r="Y6108" t="str">
        <f t="shared" si="2501"/>
        <v>04-08-2020</v>
      </c>
      <c r="Z6108" t="str">
        <f>"COS10200804 3046"</f>
        <v>COS10200804 3046</v>
      </c>
    </row>
    <row r="6109" spans="1:26" x14ac:dyDescent="0.25">
      <c r="A6109" t="str">
        <f t="shared" si="2487"/>
        <v>04-08-2020 12:43:51</v>
      </c>
      <c r="B6109" t="str">
        <f>"0000804812"</f>
        <v>0000804812</v>
      </c>
      <c r="C6109" t="str">
        <f t="shared" si="2488"/>
        <v>0000804767</v>
      </c>
      <c r="D6109" t="str">
        <f t="shared" si="2489"/>
        <v>73185</v>
      </c>
      <c r="E6109" t="str">
        <f t="shared" si="2490"/>
        <v>KFH-OPERATIONS DEPARTMENT</v>
      </c>
      <c r="F6109" t="str">
        <f t="shared" si="2491"/>
        <v>IBG</v>
      </c>
      <c r="G6109" t="str">
        <f t="shared" si="2502"/>
        <v>Refund COSHARE 10</v>
      </c>
      <c r="H6109" s="2">
        <v>503.7</v>
      </c>
      <c r="I6109" t="str">
        <f>"NAZLAH BINTI MUSTAFFA"</f>
        <v>NAZLAH BINTI MUSTAFFA</v>
      </c>
      <c r="J6109" t="str">
        <f t="shared" si="2486"/>
        <v>CIMB BANK / CIMB ISLAMIC BANK</v>
      </c>
      <c r="K6109" t="str">
        <f>"01150071086526"</f>
        <v>01150071086526</v>
      </c>
      <c r="L6109" t="str">
        <f t="shared" si="2503"/>
        <v>04-08-2020</v>
      </c>
      <c r="M6109" t="str">
        <f t="shared" si="2503"/>
        <v>04-08-2020</v>
      </c>
      <c r="N6109" t="str">
        <f t="shared" si="2493"/>
        <v>001105018356</v>
      </c>
      <c r="O6109" t="str">
        <f t="shared" si="2494"/>
        <v>MYR</v>
      </c>
      <c r="P6109" t="str">
        <f t="shared" si="2504"/>
        <v>NIL</v>
      </c>
      <c r="Q6109" t="str">
        <f t="shared" si="2504"/>
        <v>NIL</v>
      </c>
      <c r="R6109" t="str">
        <f t="shared" si="2482"/>
        <v>Accepted</v>
      </c>
      <c r="S6109" t="str">
        <f t="shared" si="2496"/>
        <v>Approved</v>
      </c>
      <c r="T6109" t="str">
        <f t="shared" si="2483"/>
        <v>10.20.8.188</v>
      </c>
      <c r="U6109" t="str">
        <f t="shared" si="2497"/>
        <v>AZRAD UMAR BIN SHAARI</v>
      </c>
      <c r="V6109" t="str">
        <f t="shared" si="2498"/>
        <v>FARHANA BINTI MUSTAPA</v>
      </c>
      <c r="W6109" t="str">
        <f t="shared" si="2499"/>
        <v>04-08-2020</v>
      </c>
      <c r="X6109" t="str">
        <f t="shared" si="2500"/>
        <v>RAZIMAH ANSAR AHMAD</v>
      </c>
      <c r="Y6109" t="str">
        <f t="shared" si="2501"/>
        <v>04-08-2020</v>
      </c>
      <c r="Z6109" t="str">
        <f>"COS10200804 3045"</f>
        <v>COS10200804 3045</v>
      </c>
    </row>
    <row r="6110" spans="1:26" x14ac:dyDescent="0.25">
      <c r="A6110" t="str">
        <f t="shared" si="2487"/>
        <v>04-08-2020 12:43:51</v>
      </c>
      <c r="B6110" t="str">
        <f>"0000804811"</f>
        <v>0000804811</v>
      </c>
      <c r="C6110" t="str">
        <f t="shared" si="2488"/>
        <v>0000804767</v>
      </c>
      <c r="D6110" t="str">
        <f t="shared" si="2489"/>
        <v>73185</v>
      </c>
      <c r="E6110" t="str">
        <f t="shared" si="2490"/>
        <v>KFH-OPERATIONS DEPARTMENT</v>
      </c>
      <c r="F6110" t="str">
        <f t="shared" si="2491"/>
        <v>IBG</v>
      </c>
      <c r="G6110" t="str">
        <f t="shared" si="2502"/>
        <v>Refund COSHARE 10</v>
      </c>
      <c r="H6110" s="2">
        <v>167.9</v>
      </c>
      <c r="I6110" t="str">
        <f>"NAZERI BIN SALIMIN"</f>
        <v>NAZERI BIN SALIMIN</v>
      </c>
      <c r="J6110" t="str">
        <f t="shared" si="2486"/>
        <v>CIMB BANK / CIMB ISLAMIC BANK</v>
      </c>
      <c r="K6110" t="str">
        <f>"11020000238200"</f>
        <v>11020000238200</v>
      </c>
      <c r="L6110" t="str">
        <f t="shared" si="2503"/>
        <v>04-08-2020</v>
      </c>
      <c r="M6110" t="str">
        <f t="shared" si="2503"/>
        <v>04-08-2020</v>
      </c>
      <c r="N6110" t="str">
        <f t="shared" si="2493"/>
        <v>001105018356</v>
      </c>
      <c r="O6110" t="str">
        <f t="shared" si="2494"/>
        <v>MYR</v>
      </c>
      <c r="P6110" t="str">
        <f t="shared" si="2504"/>
        <v>NIL</v>
      </c>
      <c r="Q6110" t="str">
        <f t="shared" si="2504"/>
        <v>NIL</v>
      </c>
      <c r="R6110" t="str">
        <f t="shared" si="2482"/>
        <v>Accepted</v>
      </c>
      <c r="S6110" t="str">
        <f t="shared" si="2496"/>
        <v>Approved</v>
      </c>
      <c r="T6110" t="str">
        <f t="shared" si="2483"/>
        <v>10.20.8.188</v>
      </c>
      <c r="U6110" t="str">
        <f t="shared" si="2497"/>
        <v>AZRAD UMAR BIN SHAARI</v>
      </c>
      <c r="V6110" t="str">
        <f t="shared" si="2498"/>
        <v>FARHANA BINTI MUSTAPA</v>
      </c>
      <c r="W6110" t="str">
        <f t="shared" si="2499"/>
        <v>04-08-2020</v>
      </c>
      <c r="X6110" t="str">
        <f t="shared" si="2500"/>
        <v>RAZIMAH ANSAR AHMAD</v>
      </c>
      <c r="Y6110" t="str">
        <f t="shared" si="2501"/>
        <v>04-08-2020</v>
      </c>
      <c r="Z6110" t="str">
        <f>"COS10200804 3044"</f>
        <v>COS10200804 3044</v>
      </c>
    </row>
    <row r="6111" spans="1:26" x14ac:dyDescent="0.25">
      <c r="A6111" t="str">
        <f t="shared" si="2487"/>
        <v>04-08-2020 12:43:51</v>
      </c>
      <c r="B6111" t="str">
        <f>"0000804810"</f>
        <v>0000804810</v>
      </c>
      <c r="C6111" t="str">
        <f t="shared" si="2488"/>
        <v>0000804767</v>
      </c>
      <c r="D6111" t="str">
        <f t="shared" si="2489"/>
        <v>73185</v>
      </c>
      <c r="E6111" t="str">
        <f t="shared" si="2490"/>
        <v>KFH-OPERATIONS DEPARTMENT</v>
      </c>
      <c r="F6111" t="str">
        <f t="shared" si="2491"/>
        <v>IBG</v>
      </c>
      <c r="G6111" t="str">
        <f t="shared" si="2502"/>
        <v>Refund COSHARE 10</v>
      </c>
      <c r="H6111" s="2">
        <v>209.9</v>
      </c>
      <c r="I6111" t="str">
        <f>"NAZATUL ASIFAH BINTI RAZALI"</f>
        <v>NAZATUL ASIFAH BINTI RAZALI</v>
      </c>
      <c r="J6111" t="str">
        <f t="shared" si="2486"/>
        <v>CIMB BANK / CIMB ISLAMIC BANK</v>
      </c>
      <c r="K6111" t="str">
        <f>"7600871981"</f>
        <v>7600871981</v>
      </c>
      <c r="L6111" t="str">
        <f t="shared" si="2503"/>
        <v>04-08-2020</v>
      </c>
      <c r="M6111" t="str">
        <f t="shared" si="2503"/>
        <v>04-08-2020</v>
      </c>
      <c r="N6111" t="str">
        <f t="shared" si="2493"/>
        <v>001105018356</v>
      </c>
      <c r="O6111" t="str">
        <f t="shared" si="2494"/>
        <v>MYR</v>
      </c>
      <c r="P6111" t="str">
        <f t="shared" si="2504"/>
        <v>NIL</v>
      </c>
      <c r="Q6111" t="str">
        <f t="shared" si="2504"/>
        <v>NIL</v>
      </c>
      <c r="R6111" t="str">
        <f t="shared" si="2482"/>
        <v>Accepted</v>
      </c>
      <c r="S6111" t="str">
        <f t="shared" si="2496"/>
        <v>Approved</v>
      </c>
      <c r="T6111" t="str">
        <f t="shared" si="2483"/>
        <v>10.20.8.188</v>
      </c>
      <c r="U6111" t="str">
        <f t="shared" si="2497"/>
        <v>AZRAD UMAR BIN SHAARI</v>
      </c>
      <c r="V6111" t="str">
        <f t="shared" si="2498"/>
        <v>FARHANA BINTI MUSTAPA</v>
      </c>
      <c r="W6111" t="str">
        <f t="shared" si="2499"/>
        <v>04-08-2020</v>
      </c>
      <c r="X6111" t="str">
        <f t="shared" si="2500"/>
        <v>RAZIMAH ANSAR AHMAD</v>
      </c>
      <c r="Y6111" t="str">
        <f t="shared" si="2501"/>
        <v>04-08-2020</v>
      </c>
      <c r="Z6111" t="str">
        <f>"COS10200804 3043"</f>
        <v>COS10200804 3043</v>
      </c>
    </row>
    <row r="6112" spans="1:26" x14ac:dyDescent="0.25">
      <c r="A6112" t="str">
        <f t="shared" si="2487"/>
        <v>04-08-2020 12:43:51</v>
      </c>
      <c r="B6112" t="str">
        <f>"0000804809"</f>
        <v>0000804809</v>
      </c>
      <c r="C6112" t="str">
        <f t="shared" si="2488"/>
        <v>0000804767</v>
      </c>
      <c r="D6112" t="str">
        <f t="shared" si="2489"/>
        <v>73185</v>
      </c>
      <c r="E6112" t="str">
        <f t="shared" si="2490"/>
        <v>KFH-OPERATIONS DEPARTMENT</v>
      </c>
      <c r="F6112" t="str">
        <f t="shared" si="2491"/>
        <v>IBG</v>
      </c>
      <c r="G6112" t="str">
        <f t="shared" si="2502"/>
        <v>Refund COSHARE 10</v>
      </c>
      <c r="H6112" s="2">
        <v>251.85</v>
      </c>
      <c r="I6112" t="str">
        <f>"NAZARUDIN BIN MOHD KASSIM"</f>
        <v>NAZARUDIN BIN MOHD KASSIM</v>
      </c>
      <c r="J6112" t="str">
        <f t="shared" si="2486"/>
        <v>CIMB BANK / CIMB ISLAMIC BANK</v>
      </c>
      <c r="K6112" t="str">
        <f>"08190004312520"</f>
        <v>08190004312520</v>
      </c>
      <c r="L6112" t="str">
        <f t="shared" si="2503"/>
        <v>04-08-2020</v>
      </c>
      <c r="M6112" t="str">
        <f t="shared" si="2503"/>
        <v>04-08-2020</v>
      </c>
      <c r="N6112" t="str">
        <f t="shared" si="2493"/>
        <v>001105018356</v>
      </c>
      <c r="O6112" t="str">
        <f t="shared" si="2494"/>
        <v>MYR</v>
      </c>
      <c r="P6112" t="str">
        <f t="shared" si="2504"/>
        <v>NIL</v>
      </c>
      <c r="Q6112" t="str">
        <f t="shared" si="2504"/>
        <v>NIL</v>
      </c>
      <c r="R6112" t="str">
        <f t="shared" si="2482"/>
        <v>Accepted</v>
      </c>
      <c r="S6112" t="str">
        <f t="shared" si="2496"/>
        <v>Approved</v>
      </c>
      <c r="T6112" t="str">
        <f t="shared" si="2483"/>
        <v>10.20.8.188</v>
      </c>
      <c r="U6112" t="str">
        <f t="shared" si="2497"/>
        <v>AZRAD UMAR BIN SHAARI</v>
      </c>
      <c r="V6112" t="str">
        <f t="shared" si="2498"/>
        <v>FARHANA BINTI MUSTAPA</v>
      </c>
      <c r="W6112" t="str">
        <f t="shared" si="2499"/>
        <v>04-08-2020</v>
      </c>
      <c r="X6112" t="str">
        <f t="shared" si="2500"/>
        <v>RAZIMAH ANSAR AHMAD</v>
      </c>
      <c r="Y6112" t="str">
        <f t="shared" si="2501"/>
        <v>04-08-2020</v>
      </c>
      <c r="Z6112" t="str">
        <f>"COS10200804 3042"</f>
        <v>COS10200804 3042</v>
      </c>
    </row>
    <row r="6113" spans="1:26" x14ac:dyDescent="0.25">
      <c r="A6113" t="str">
        <f t="shared" si="2487"/>
        <v>04-08-2020 12:43:51</v>
      </c>
      <c r="B6113" t="str">
        <f>"0000804808"</f>
        <v>0000804808</v>
      </c>
      <c r="C6113" t="str">
        <f t="shared" si="2488"/>
        <v>0000804767</v>
      </c>
      <c r="D6113" t="str">
        <f t="shared" si="2489"/>
        <v>73185</v>
      </c>
      <c r="E6113" t="str">
        <f t="shared" si="2490"/>
        <v>KFH-OPERATIONS DEPARTMENT</v>
      </c>
      <c r="F6113" t="str">
        <f t="shared" si="2491"/>
        <v>IBG</v>
      </c>
      <c r="G6113" t="str">
        <f t="shared" si="2502"/>
        <v>Refund COSHARE 10</v>
      </c>
      <c r="H6113" s="2">
        <v>369.15</v>
      </c>
      <c r="I6113" t="str">
        <f>"NAZARUDDIN BIN MOHD WAZIR"</f>
        <v>NAZARUDDIN BIN MOHD WAZIR</v>
      </c>
      <c r="J6113" t="str">
        <f t="shared" si="2486"/>
        <v>CIMB BANK / CIMB ISLAMIC BANK</v>
      </c>
      <c r="K6113" t="str">
        <f>"12170006995528"</f>
        <v>12170006995528</v>
      </c>
      <c r="L6113" t="str">
        <f t="shared" si="2503"/>
        <v>04-08-2020</v>
      </c>
      <c r="M6113" t="str">
        <f t="shared" si="2503"/>
        <v>04-08-2020</v>
      </c>
      <c r="N6113" t="str">
        <f t="shared" si="2493"/>
        <v>001105018356</v>
      </c>
      <c r="O6113" t="str">
        <f t="shared" si="2494"/>
        <v>MYR</v>
      </c>
      <c r="P6113" t="str">
        <f t="shared" si="2504"/>
        <v>NIL</v>
      </c>
      <c r="Q6113" t="str">
        <f t="shared" si="2504"/>
        <v>NIL</v>
      </c>
      <c r="R6113" t="str">
        <f t="shared" si="2482"/>
        <v>Accepted</v>
      </c>
      <c r="S6113" t="str">
        <f t="shared" si="2496"/>
        <v>Approved</v>
      </c>
      <c r="T6113" t="str">
        <f t="shared" si="2483"/>
        <v>10.20.8.188</v>
      </c>
      <c r="U6113" t="str">
        <f t="shared" si="2497"/>
        <v>AZRAD UMAR BIN SHAARI</v>
      </c>
      <c r="V6113" t="str">
        <f t="shared" si="2498"/>
        <v>FARHANA BINTI MUSTAPA</v>
      </c>
      <c r="W6113" t="str">
        <f t="shared" si="2499"/>
        <v>04-08-2020</v>
      </c>
      <c r="X6113" t="str">
        <f t="shared" si="2500"/>
        <v>RAZIMAH ANSAR AHMAD</v>
      </c>
      <c r="Y6113" t="str">
        <f t="shared" si="2501"/>
        <v>04-08-2020</v>
      </c>
      <c r="Z6113" t="str">
        <f>"COS10200804 3041"</f>
        <v>COS10200804 3041</v>
      </c>
    </row>
    <row r="6114" spans="1:26" x14ac:dyDescent="0.25">
      <c r="A6114" t="str">
        <f t="shared" ref="A6114:A6145" si="2505">"04-08-2020 12:43:51"</f>
        <v>04-08-2020 12:43:51</v>
      </c>
      <c r="B6114" t="str">
        <f>"0000804807"</f>
        <v>0000804807</v>
      </c>
      <c r="C6114" t="str">
        <f t="shared" ref="C6114:C6145" si="2506">"0000804767"</f>
        <v>0000804767</v>
      </c>
      <c r="D6114" t="str">
        <f t="shared" si="2489"/>
        <v>73185</v>
      </c>
      <c r="E6114" t="str">
        <f t="shared" si="2490"/>
        <v>KFH-OPERATIONS DEPARTMENT</v>
      </c>
      <c r="F6114" t="str">
        <f t="shared" si="2491"/>
        <v>IBG</v>
      </c>
      <c r="G6114" t="str">
        <f t="shared" si="2502"/>
        <v>Refund COSHARE 10</v>
      </c>
      <c r="H6114" s="2">
        <v>713.6</v>
      </c>
      <c r="I6114" t="str">
        <f>"NATRATUL FAHEZA BINTI MOHD RASID"</f>
        <v>NATRATUL FAHEZA BINTI MOHD RASID</v>
      </c>
      <c r="J6114" t="str">
        <f t="shared" si="2486"/>
        <v>CIMB BANK / CIMB ISLAMIC BANK</v>
      </c>
      <c r="K6114" t="str">
        <f>"12010356946520"</f>
        <v>12010356946520</v>
      </c>
      <c r="L6114" t="str">
        <f t="shared" si="2503"/>
        <v>04-08-2020</v>
      </c>
      <c r="M6114" t="str">
        <f t="shared" si="2503"/>
        <v>04-08-2020</v>
      </c>
      <c r="N6114" t="str">
        <f t="shared" si="2493"/>
        <v>001105018356</v>
      </c>
      <c r="O6114" t="str">
        <f t="shared" si="2494"/>
        <v>MYR</v>
      </c>
      <c r="P6114" t="str">
        <f t="shared" si="2504"/>
        <v>NIL</v>
      </c>
      <c r="Q6114" t="str">
        <f t="shared" si="2504"/>
        <v>NIL</v>
      </c>
      <c r="R6114" t="str">
        <f t="shared" ref="R6114:R6177" si="2507">"Accepted"</f>
        <v>Accepted</v>
      </c>
      <c r="S6114" t="str">
        <f t="shared" si="2496"/>
        <v>Approved</v>
      </c>
      <c r="T6114" t="str">
        <f t="shared" ref="T6114:T6177" si="2508">"10.20.8.188"</f>
        <v>10.20.8.188</v>
      </c>
      <c r="U6114" t="str">
        <f t="shared" si="2497"/>
        <v>AZRAD UMAR BIN SHAARI</v>
      </c>
      <c r="V6114" t="str">
        <f t="shared" si="2498"/>
        <v>FARHANA BINTI MUSTAPA</v>
      </c>
      <c r="W6114" t="str">
        <f t="shared" si="2499"/>
        <v>04-08-2020</v>
      </c>
      <c r="X6114" t="str">
        <f t="shared" si="2500"/>
        <v>RAZIMAH ANSAR AHMAD</v>
      </c>
      <c r="Y6114" t="str">
        <f t="shared" si="2501"/>
        <v>04-08-2020</v>
      </c>
      <c r="Z6114" t="str">
        <f>"COS10200804 3040"</f>
        <v>COS10200804 3040</v>
      </c>
    </row>
    <row r="6115" spans="1:26" x14ac:dyDescent="0.25">
      <c r="A6115" t="str">
        <f t="shared" si="2505"/>
        <v>04-08-2020 12:43:51</v>
      </c>
      <c r="B6115" t="str">
        <f>"0000804806"</f>
        <v>0000804806</v>
      </c>
      <c r="C6115" t="str">
        <f t="shared" si="2506"/>
        <v>0000804767</v>
      </c>
      <c r="D6115" t="str">
        <f t="shared" si="2489"/>
        <v>73185</v>
      </c>
      <c r="E6115" t="str">
        <f t="shared" si="2490"/>
        <v>KFH-OPERATIONS DEPARTMENT</v>
      </c>
      <c r="F6115" t="str">
        <f t="shared" si="2491"/>
        <v>IBG</v>
      </c>
      <c r="G6115" t="str">
        <f t="shared" si="2502"/>
        <v>Refund COSHARE 10</v>
      </c>
      <c r="H6115" s="2">
        <v>415</v>
      </c>
      <c r="I6115" t="str">
        <f>"NASRUL FITRI BIN YAHAYA"</f>
        <v>NASRUL FITRI BIN YAHAYA</v>
      </c>
      <c r="J6115" t="str">
        <f t="shared" si="2486"/>
        <v>CIMB BANK / CIMB ISLAMIC BANK</v>
      </c>
      <c r="K6115" t="str">
        <f>"08120003945208"</f>
        <v>08120003945208</v>
      </c>
      <c r="L6115" t="str">
        <f t="shared" si="2503"/>
        <v>04-08-2020</v>
      </c>
      <c r="M6115" t="str">
        <f t="shared" si="2503"/>
        <v>04-08-2020</v>
      </c>
      <c r="N6115" t="str">
        <f t="shared" si="2493"/>
        <v>001105018356</v>
      </c>
      <c r="O6115" t="str">
        <f t="shared" si="2494"/>
        <v>MYR</v>
      </c>
      <c r="P6115" t="str">
        <f t="shared" si="2504"/>
        <v>NIL</v>
      </c>
      <c r="Q6115" t="str">
        <f t="shared" si="2504"/>
        <v>NIL</v>
      </c>
      <c r="R6115" t="str">
        <f t="shared" si="2507"/>
        <v>Accepted</v>
      </c>
      <c r="S6115" t="str">
        <f t="shared" si="2496"/>
        <v>Approved</v>
      </c>
      <c r="T6115" t="str">
        <f t="shared" si="2508"/>
        <v>10.20.8.188</v>
      </c>
      <c r="U6115" t="str">
        <f t="shared" si="2497"/>
        <v>AZRAD UMAR BIN SHAARI</v>
      </c>
      <c r="V6115" t="str">
        <f t="shared" si="2498"/>
        <v>FARHANA BINTI MUSTAPA</v>
      </c>
      <c r="W6115" t="str">
        <f t="shared" si="2499"/>
        <v>04-08-2020</v>
      </c>
      <c r="X6115" t="str">
        <f t="shared" si="2500"/>
        <v>RAZIMAH ANSAR AHMAD</v>
      </c>
      <c r="Y6115" t="str">
        <f t="shared" si="2501"/>
        <v>04-08-2020</v>
      </c>
      <c r="Z6115" t="str">
        <f>"COS10200804 3039"</f>
        <v>COS10200804 3039</v>
      </c>
    </row>
    <row r="6116" spans="1:26" x14ac:dyDescent="0.25">
      <c r="A6116" t="str">
        <f t="shared" si="2505"/>
        <v>04-08-2020 12:43:51</v>
      </c>
      <c r="B6116" t="str">
        <f>"0000804805"</f>
        <v>0000804805</v>
      </c>
      <c r="C6116" t="str">
        <f t="shared" si="2506"/>
        <v>0000804767</v>
      </c>
      <c r="D6116" t="str">
        <f t="shared" si="2489"/>
        <v>73185</v>
      </c>
      <c r="E6116" t="str">
        <f t="shared" si="2490"/>
        <v>KFH-OPERATIONS DEPARTMENT</v>
      </c>
      <c r="F6116" t="str">
        <f t="shared" si="2491"/>
        <v>IBG</v>
      </c>
      <c r="G6116" t="str">
        <f t="shared" si="2502"/>
        <v>Refund COSHARE 10</v>
      </c>
      <c r="H6116" s="2">
        <v>128</v>
      </c>
      <c r="I6116" t="str">
        <f>"NASARUDIN BIN HAMZAH"</f>
        <v>NASARUDIN BIN HAMZAH</v>
      </c>
      <c r="J6116" t="str">
        <f t="shared" si="2486"/>
        <v>CIMB BANK / CIMB ISLAMIC BANK</v>
      </c>
      <c r="K6116" t="str">
        <f>"06060020238529"</f>
        <v>06060020238529</v>
      </c>
      <c r="L6116" t="str">
        <f t="shared" si="2503"/>
        <v>04-08-2020</v>
      </c>
      <c r="M6116" t="str">
        <f t="shared" si="2503"/>
        <v>04-08-2020</v>
      </c>
      <c r="N6116" t="str">
        <f t="shared" si="2493"/>
        <v>001105018356</v>
      </c>
      <c r="O6116" t="str">
        <f t="shared" si="2494"/>
        <v>MYR</v>
      </c>
      <c r="P6116" t="str">
        <f t="shared" si="2504"/>
        <v>NIL</v>
      </c>
      <c r="Q6116" t="str">
        <f t="shared" si="2504"/>
        <v>NIL</v>
      </c>
      <c r="R6116" t="str">
        <f t="shared" si="2507"/>
        <v>Accepted</v>
      </c>
      <c r="S6116" t="str">
        <f t="shared" si="2496"/>
        <v>Approved</v>
      </c>
      <c r="T6116" t="str">
        <f t="shared" si="2508"/>
        <v>10.20.8.188</v>
      </c>
      <c r="U6116" t="str">
        <f t="shared" si="2497"/>
        <v>AZRAD UMAR BIN SHAARI</v>
      </c>
      <c r="V6116" t="str">
        <f t="shared" si="2498"/>
        <v>FARHANA BINTI MUSTAPA</v>
      </c>
      <c r="W6116" t="str">
        <f t="shared" si="2499"/>
        <v>04-08-2020</v>
      </c>
      <c r="X6116" t="str">
        <f t="shared" si="2500"/>
        <v>RAZIMAH ANSAR AHMAD</v>
      </c>
      <c r="Y6116" t="str">
        <f t="shared" si="2501"/>
        <v>04-08-2020</v>
      </c>
      <c r="Z6116" t="str">
        <f>"COS10200804 3038"</f>
        <v>COS10200804 3038</v>
      </c>
    </row>
    <row r="6117" spans="1:26" x14ac:dyDescent="0.25">
      <c r="A6117" t="str">
        <f t="shared" si="2505"/>
        <v>04-08-2020 12:43:51</v>
      </c>
      <c r="B6117" t="str">
        <f>"0000804804"</f>
        <v>0000804804</v>
      </c>
      <c r="C6117" t="str">
        <f t="shared" si="2506"/>
        <v>0000804767</v>
      </c>
      <c r="D6117" t="str">
        <f t="shared" si="2489"/>
        <v>73185</v>
      </c>
      <c r="E6117" t="str">
        <f t="shared" si="2490"/>
        <v>KFH-OPERATIONS DEPARTMENT</v>
      </c>
      <c r="F6117" t="str">
        <f t="shared" si="2491"/>
        <v>IBG</v>
      </c>
      <c r="G6117" t="str">
        <f t="shared" si="2502"/>
        <v>Refund COSHARE 10</v>
      </c>
      <c r="H6117" s="2">
        <v>128</v>
      </c>
      <c r="I6117" t="str">
        <f>"NASARUDIN BIN HAMZAH"</f>
        <v>NASARUDIN BIN HAMZAH</v>
      </c>
      <c r="J6117" t="str">
        <f t="shared" si="2486"/>
        <v>CIMB BANK / CIMB ISLAMIC BANK</v>
      </c>
      <c r="K6117" t="str">
        <f>"06060020238529"</f>
        <v>06060020238529</v>
      </c>
      <c r="L6117" t="str">
        <f t="shared" si="2503"/>
        <v>04-08-2020</v>
      </c>
      <c r="M6117" t="str">
        <f t="shared" si="2503"/>
        <v>04-08-2020</v>
      </c>
      <c r="N6117" t="str">
        <f t="shared" si="2493"/>
        <v>001105018356</v>
      </c>
      <c r="O6117" t="str">
        <f t="shared" si="2494"/>
        <v>MYR</v>
      </c>
      <c r="P6117" t="str">
        <f t="shared" si="2504"/>
        <v>NIL</v>
      </c>
      <c r="Q6117" t="str">
        <f t="shared" si="2504"/>
        <v>NIL</v>
      </c>
      <c r="R6117" t="str">
        <f t="shared" si="2507"/>
        <v>Accepted</v>
      </c>
      <c r="S6117" t="str">
        <f t="shared" si="2496"/>
        <v>Approved</v>
      </c>
      <c r="T6117" t="str">
        <f t="shared" si="2508"/>
        <v>10.20.8.188</v>
      </c>
      <c r="U6117" t="str">
        <f t="shared" si="2497"/>
        <v>AZRAD UMAR BIN SHAARI</v>
      </c>
      <c r="V6117" t="str">
        <f t="shared" si="2498"/>
        <v>FARHANA BINTI MUSTAPA</v>
      </c>
      <c r="W6117" t="str">
        <f t="shared" si="2499"/>
        <v>04-08-2020</v>
      </c>
      <c r="X6117" t="str">
        <f t="shared" si="2500"/>
        <v>RAZIMAH ANSAR AHMAD</v>
      </c>
      <c r="Y6117" t="str">
        <f t="shared" si="2501"/>
        <v>04-08-2020</v>
      </c>
      <c r="Z6117" t="str">
        <f>"COS10200804 3037"</f>
        <v>COS10200804 3037</v>
      </c>
    </row>
    <row r="6118" spans="1:26" x14ac:dyDescent="0.25">
      <c r="A6118" t="str">
        <f t="shared" si="2505"/>
        <v>04-08-2020 12:43:51</v>
      </c>
      <c r="B6118" t="str">
        <f>"0000804803"</f>
        <v>0000804803</v>
      </c>
      <c r="C6118" t="str">
        <f t="shared" si="2506"/>
        <v>0000804767</v>
      </c>
      <c r="D6118" t="str">
        <f t="shared" si="2489"/>
        <v>73185</v>
      </c>
      <c r="E6118" t="str">
        <f t="shared" si="2490"/>
        <v>KFH-OPERATIONS DEPARTMENT</v>
      </c>
      <c r="F6118" t="str">
        <f t="shared" si="2491"/>
        <v>IBG</v>
      </c>
      <c r="G6118" t="str">
        <f t="shared" si="2502"/>
        <v>Refund COSHARE 10</v>
      </c>
      <c r="H6118" s="2">
        <v>638</v>
      </c>
      <c r="I6118" t="str">
        <f>"NARHISHAM BIN NAYAN"</f>
        <v>NARHISHAM BIN NAYAN</v>
      </c>
      <c r="J6118" t="str">
        <f t="shared" si="2486"/>
        <v>CIMB BANK / CIMB ISLAMIC BANK</v>
      </c>
      <c r="K6118" t="str">
        <f>"07140027619523"</f>
        <v>07140027619523</v>
      </c>
      <c r="L6118" t="str">
        <f t="shared" si="2503"/>
        <v>04-08-2020</v>
      </c>
      <c r="M6118" t="str">
        <f t="shared" si="2503"/>
        <v>04-08-2020</v>
      </c>
      <c r="N6118" t="str">
        <f t="shared" si="2493"/>
        <v>001105018356</v>
      </c>
      <c r="O6118" t="str">
        <f t="shared" si="2494"/>
        <v>MYR</v>
      </c>
      <c r="P6118" t="str">
        <f t="shared" si="2504"/>
        <v>NIL</v>
      </c>
      <c r="Q6118" t="str">
        <f t="shared" si="2504"/>
        <v>NIL</v>
      </c>
      <c r="R6118" t="str">
        <f t="shared" si="2507"/>
        <v>Accepted</v>
      </c>
      <c r="S6118" t="str">
        <f t="shared" si="2496"/>
        <v>Approved</v>
      </c>
      <c r="T6118" t="str">
        <f t="shared" si="2508"/>
        <v>10.20.8.188</v>
      </c>
      <c r="U6118" t="str">
        <f t="shared" si="2497"/>
        <v>AZRAD UMAR BIN SHAARI</v>
      </c>
      <c r="V6118" t="str">
        <f t="shared" si="2498"/>
        <v>FARHANA BINTI MUSTAPA</v>
      </c>
      <c r="W6118" t="str">
        <f t="shared" si="2499"/>
        <v>04-08-2020</v>
      </c>
      <c r="X6118" t="str">
        <f t="shared" si="2500"/>
        <v>RAZIMAH ANSAR AHMAD</v>
      </c>
      <c r="Y6118" t="str">
        <f t="shared" si="2501"/>
        <v>04-08-2020</v>
      </c>
      <c r="Z6118" t="str">
        <f>"COS10200804 3036"</f>
        <v>COS10200804 3036</v>
      </c>
    </row>
    <row r="6119" spans="1:26" x14ac:dyDescent="0.25">
      <c r="A6119" t="str">
        <f t="shared" si="2505"/>
        <v>04-08-2020 12:43:51</v>
      </c>
      <c r="B6119" t="str">
        <f>"0000804802"</f>
        <v>0000804802</v>
      </c>
      <c r="C6119" t="str">
        <f t="shared" si="2506"/>
        <v>0000804767</v>
      </c>
      <c r="D6119" t="str">
        <f t="shared" si="2489"/>
        <v>73185</v>
      </c>
      <c r="E6119" t="str">
        <f t="shared" si="2490"/>
        <v>KFH-OPERATIONS DEPARTMENT</v>
      </c>
      <c r="F6119" t="str">
        <f t="shared" si="2491"/>
        <v>IBG</v>
      </c>
      <c r="G6119" t="str">
        <f t="shared" si="2502"/>
        <v>Refund COSHARE 10</v>
      </c>
      <c r="H6119" s="2">
        <v>151.15</v>
      </c>
      <c r="I6119" t="str">
        <f>"NAPSAH BINTI JAMALI"</f>
        <v>NAPSAH BINTI JAMALI</v>
      </c>
      <c r="J6119" t="str">
        <f t="shared" si="2486"/>
        <v>CIMB BANK / CIMB ISLAMIC BANK</v>
      </c>
      <c r="K6119" t="str">
        <f>"11070039841520"</f>
        <v>11070039841520</v>
      </c>
      <c r="L6119" t="str">
        <f t="shared" si="2503"/>
        <v>04-08-2020</v>
      </c>
      <c r="M6119" t="str">
        <f t="shared" si="2503"/>
        <v>04-08-2020</v>
      </c>
      <c r="N6119" t="str">
        <f t="shared" si="2493"/>
        <v>001105018356</v>
      </c>
      <c r="O6119" t="str">
        <f t="shared" si="2494"/>
        <v>MYR</v>
      </c>
      <c r="P6119" t="str">
        <f t="shared" si="2504"/>
        <v>NIL</v>
      </c>
      <c r="Q6119" t="str">
        <f t="shared" si="2504"/>
        <v>NIL</v>
      </c>
      <c r="R6119" t="str">
        <f t="shared" si="2507"/>
        <v>Accepted</v>
      </c>
      <c r="S6119" t="str">
        <f t="shared" si="2496"/>
        <v>Approved</v>
      </c>
      <c r="T6119" t="str">
        <f t="shared" si="2508"/>
        <v>10.20.8.188</v>
      </c>
      <c r="U6119" t="str">
        <f t="shared" si="2497"/>
        <v>AZRAD UMAR BIN SHAARI</v>
      </c>
      <c r="V6119" t="str">
        <f t="shared" si="2498"/>
        <v>FARHANA BINTI MUSTAPA</v>
      </c>
      <c r="W6119" t="str">
        <f t="shared" si="2499"/>
        <v>04-08-2020</v>
      </c>
      <c r="X6119" t="str">
        <f t="shared" si="2500"/>
        <v>RAZIMAH ANSAR AHMAD</v>
      </c>
      <c r="Y6119" t="str">
        <f t="shared" si="2501"/>
        <v>04-08-2020</v>
      </c>
      <c r="Z6119" t="str">
        <f>"COS10200804 3035"</f>
        <v>COS10200804 3035</v>
      </c>
    </row>
    <row r="6120" spans="1:26" x14ac:dyDescent="0.25">
      <c r="A6120" t="str">
        <f t="shared" si="2505"/>
        <v>04-08-2020 12:43:51</v>
      </c>
      <c r="B6120" t="str">
        <f>"0000804801"</f>
        <v>0000804801</v>
      </c>
      <c r="C6120" t="str">
        <f t="shared" si="2506"/>
        <v>0000804767</v>
      </c>
      <c r="D6120" t="str">
        <f t="shared" si="2489"/>
        <v>73185</v>
      </c>
      <c r="E6120" t="str">
        <f t="shared" si="2490"/>
        <v>KFH-OPERATIONS DEPARTMENT</v>
      </c>
      <c r="F6120" t="str">
        <f t="shared" si="2491"/>
        <v>IBG</v>
      </c>
      <c r="G6120" t="str">
        <f t="shared" si="2502"/>
        <v>Refund COSHARE 10</v>
      </c>
      <c r="H6120" s="2">
        <v>183</v>
      </c>
      <c r="I6120" t="str">
        <f>"NANG ZAINAB BINTI NIK ABD HAMID"</f>
        <v>NANG ZAINAB BINTI NIK ABD HAMID</v>
      </c>
      <c r="J6120" t="str">
        <f t="shared" si="2486"/>
        <v>CIMB BANK / CIMB ISLAMIC BANK</v>
      </c>
      <c r="K6120" t="str">
        <f>"7046981449"</f>
        <v>7046981449</v>
      </c>
      <c r="L6120" t="str">
        <f t="shared" si="2503"/>
        <v>04-08-2020</v>
      </c>
      <c r="M6120" t="str">
        <f t="shared" si="2503"/>
        <v>04-08-2020</v>
      </c>
      <c r="N6120" t="str">
        <f t="shared" si="2493"/>
        <v>001105018356</v>
      </c>
      <c r="O6120" t="str">
        <f t="shared" si="2494"/>
        <v>MYR</v>
      </c>
      <c r="P6120" t="str">
        <f t="shared" si="2504"/>
        <v>NIL</v>
      </c>
      <c r="Q6120" t="str">
        <f t="shared" si="2504"/>
        <v>NIL</v>
      </c>
      <c r="R6120" t="str">
        <f t="shared" si="2507"/>
        <v>Accepted</v>
      </c>
      <c r="S6120" t="str">
        <f t="shared" si="2496"/>
        <v>Approved</v>
      </c>
      <c r="T6120" t="str">
        <f t="shared" si="2508"/>
        <v>10.20.8.188</v>
      </c>
      <c r="U6120" t="str">
        <f t="shared" si="2497"/>
        <v>AZRAD UMAR BIN SHAARI</v>
      </c>
      <c r="V6120" t="str">
        <f t="shared" si="2498"/>
        <v>FARHANA BINTI MUSTAPA</v>
      </c>
      <c r="W6120" t="str">
        <f t="shared" si="2499"/>
        <v>04-08-2020</v>
      </c>
      <c r="X6120" t="str">
        <f t="shared" si="2500"/>
        <v>RAZIMAH ANSAR AHMAD</v>
      </c>
      <c r="Y6120" t="str">
        <f t="shared" si="2501"/>
        <v>04-08-2020</v>
      </c>
      <c r="Z6120" t="str">
        <f>"COS10200804 3034"</f>
        <v>COS10200804 3034</v>
      </c>
    </row>
    <row r="6121" spans="1:26" x14ac:dyDescent="0.25">
      <c r="A6121" t="str">
        <f t="shared" si="2505"/>
        <v>04-08-2020 12:43:51</v>
      </c>
      <c r="B6121" t="str">
        <f>"0000804800"</f>
        <v>0000804800</v>
      </c>
      <c r="C6121" t="str">
        <f t="shared" si="2506"/>
        <v>0000804767</v>
      </c>
      <c r="D6121" t="str">
        <f t="shared" si="2489"/>
        <v>73185</v>
      </c>
      <c r="E6121" t="str">
        <f t="shared" si="2490"/>
        <v>KFH-OPERATIONS DEPARTMENT</v>
      </c>
      <c r="F6121" t="str">
        <f t="shared" si="2491"/>
        <v>IBG</v>
      </c>
      <c r="G6121" t="str">
        <f t="shared" si="2502"/>
        <v>Refund COSHARE 10</v>
      </c>
      <c r="H6121" s="2">
        <v>419.75</v>
      </c>
      <c r="I6121" t="str">
        <f>"NALINAH AP NATARAJA  NADARAJAN"</f>
        <v>NALINAH AP NATARAJA  NADARAJAN</v>
      </c>
      <c r="J6121" t="str">
        <f t="shared" si="2486"/>
        <v>CIMB BANK / CIMB ISLAMIC BANK</v>
      </c>
      <c r="K6121" t="str">
        <f>"12150065443522"</f>
        <v>12150065443522</v>
      </c>
      <c r="L6121" t="str">
        <f t="shared" si="2503"/>
        <v>04-08-2020</v>
      </c>
      <c r="M6121" t="str">
        <f t="shared" si="2503"/>
        <v>04-08-2020</v>
      </c>
      <c r="N6121" t="str">
        <f t="shared" si="2493"/>
        <v>001105018356</v>
      </c>
      <c r="O6121" t="str">
        <f t="shared" si="2494"/>
        <v>MYR</v>
      </c>
      <c r="P6121" t="str">
        <f t="shared" si="2504"/>
        <v>NIL</v>
      </c>
      <c r="Q6121" t="str">
        <f t="shared" si="2504"/>
        <v>NIL</v>
      </c>
      <c r="R6121" t="str">
        <f t="shared" si="2507"/>
        <v>Accepted</v>
      </c>
      <c r="S6121" t="str">
        <f t="shared" si="2496"/>
        <v>Approved</v>
      </c>
      <c r="T6121" t="str">
        <f t="shared" si="2508"/>
        <v>10.20.8.188</v>
      </c>
      <c r="U6121" t="str">
        <f t="shared" si="2497"/>
        <v>AZRAD UMAR BIN SHAARI</v>
      </c>
      <c r="V6121" t="str">
        <f t="shared" si="2498"/>
        <v>FARHANA BINTI MUSTAPA</v>
      </c>
      <c r="W6121" t="str">
        <f t="shared" si="2499"/>
        <v>04-08-2020</v>
      </c>
      <c r="X6121" t="str">
        <f t="shared" si="2500"/>
        <v>RAZIMAH ANSAR AHMAD</v>
      </c>
      <c r="Y6121" t="str">
        <f t="shared" si="2501"/>
        <v>04-08-2020</v>
      </c>
      <c r="Z6121" t="str">
        <f>"COS10200804 3033"</f>
        <v>COS10200804 3033</v>
      </c>
    </row>
    <row r="6122" spans="1:26" x14ac:dyDescent="0.25">
      <c r="A6122" t="str">
        <f t="shared" si="2505"/>
        <v>04-08-2020 12:43:51</v>
      </c>
      <c r="B6122" t="str">
        <f>"0000804799"</f>
        <v>0000804799</v>
      </c>
      <c r="C6122" t="str">
        <f t="shared" si="2506"/>
        <v>0000804767</v>
      </c>
      <c r="D6122" t="str">
        <f t="shared" si="2489"/>
        <v>73185</v>
      </c>
      <c r="E6122" t="str">
        <f t="shared" si="2490"/>
        <v>KFH-OPERATIONS DEPARTMENT</v>
      </c>
      <c r="F6122" t="str">
        <f t="shared" si="2491"/>
        <v>IBG</v>
      </c>
      <c r="G6122" t="str">
        <f t="shared" si="2502"/>
        <v>Refund COSHARE 10</v>
      </c>
      <c r="H6122" s="2">
        <v>491.15</v>
      </c>
      <c r="I6122" t="str">
        <f>"NAJWA BINTI MISJAN  MISDAN"</f>
        <v>NAJWA BINTI MISJAN  MISDAN</v>
      </c>
      <c r="J6122" t="str">
        <f t="shared" si="2486"/>
        <v>CIMB BANK / CIMB ISLAMIC BANK</v>
      </c>
      <c r="K6122" t="str">
        <f>"12150046025528"</f>
        <v>12150046025528</v>
      </c>
      <c r="L6122" t="str">
        <f t="shared" si="2503"/>
        <v>04-08-2020</v>
      </c>
      <c r="M6122" t="str">
        <f t="shared" si="2503"/>
        <v>04-08-2020</v>
      </c>
      <c r="N6122" t="str">
        <f t="shared" si="2493"/>
        <v>001105018356</v>
      </c>
      <c r="O6122" t="str">
        <f t="shared" si="2494"/>
        <v>MYR</v>
      </c>
      <c r="P6122" t="str">
        <f t="shared" si="2504"/>
        <v>NIL</v>
      </c>
      <c r="Q6122" t="str">
        <f t="shared" si="2504"/>
        <v>NIL</v>
      </c>
      <c r="R6122" t="str">
        <f t="shared" si="2507"/>
        <v>Accepted</v>
      </c>
      <c r="S6122" t="str">
        <f t="shared" si="2496"/>
        <v>Approved</v>
      </c>
      <c r="T6122" t="str">
        <f t="shared" si="2508"/>
        <v>10.20.8.188</v>
      </c>
      <c r="U6122" t="str">
        <f t="shared" si="2497"/>
        <v>AZRAD UMAR BIN SHAARI</v>
      </c>
      <c r="V6122" t="str">
        <f t="shared" si="2498"/>
        <v>FARHANA BINTI MUSTAPA</v>
      </c>
      <c r="W6122" t="str">
        <f t="shared" si="2499"/>
        <v>04-08-2020</v>
      </c>
      <c r="X6122" t="str">
        <f t="shared" si="2500"/>
        <v>RAZIMAH ANSAR AHMAD</v>
      </c>
      <c r="Y6122" t="str">
        <f t="shared" si="2501"/>
        <v>04-08-2020</v>
      </c>
      <c r="Z6122" t="str">
        <f>"COS10200804 3032"</f>
        <v>COS10200804 3032</v>
      </c>
    </row>
    <row r="6123" spans="1:26" x14ac:dyDescent="0.25">
      <c r="A6123" t="str">
        <f t="shared" si="2505"/>
        <v>04-08-2020 12:43:51</v>
      </c>
      <c r="B6123" t="str">
        <f>"0000804798"</f>
        <v>0000804798</v>
      </c>
      <c r="C6123" t="str">
        <f t="shared" si="2506"/>
        <v>0000804767</v>
      </c>
      <c r="D6123" t="str">
        <f t="shared" si="2489"/>
        <v>73185</v>
      </c>
      <c r="E6123" t="str">
        <f t="shared" si="2490"/>
        <v>KFH-OPERATIONS DEPARTMENT</v>
      </c>
      <c r="F6123" t="str">
        <f t="shared" si="2491"/>
        <v>IBG</v>
      </c>
      <c r="G6123" t="str">
        <f t="shared" si="2502"/>
        <v>Refund COSHARE 10</v>
      </c>
      <c r="H6123" s="2">
        <v>302.25</v>
      </c>
      <c r="I6123" t="str">
        <f>"NAINA HARYANTY BINTI SAFARUDIN"</f>
        <v>NAINA HARYANTY BINTI SAFARUDIN</v>
      </c>
      <c r="J6123" t="str">
        <f t="shared" si="2486"/>
        <v>CIMB BANK / CIMB ISLAMIC BANK</v>
      </c>
      <c r="K6123" t="str">
        <f>"11150067974523"</f>
        <v>11150067974523</v>
      </c>
      <c r="L6123" t="str">
        <f t="shared" si="2503"/>
        <v>04-08-2020</v>
      </c>
      <c r="M6123" t="str">
        <f t="shared" si="2503"/>
        <v>04-08-2020</v>
      </c>
      <c r="N6123" t="str">
        <f t="shared" si="2493"/>
        <v>001105018356</v>
      </c>
      <c r="O6123" t="str">
        <f t="shared" si="2494"/>
        <v>MYR</v>
      </c>
      <c r="P6123" t="str">
        <f t="shared" si="2504"/>
        <v>NIL</v>
      </c>
      <c r="Q6123" t="str">
        <f t="shared" si="2504"/>
        <v>NIL</v>
      </c>
      <c r="R6123" t="str">
        <f t="shared" si="2507"/>
        <v>Accepted</v>
      </c>
      <c r="S6123" t="str">
        <f t="shared" si="2496"/>
        <v>Approved</v>
      </c>
      <c r="T6123" t="str">
        <f t="shared" si="2508"/>
        <v>10.20.8.188</v>
      </c>
      <c r="U6123" t="str">
        <f t="shared" si="2497"/>
        <v>AZRAD UMAR BIN SHAARI</v>
      </c>
      <c r="V6123" t="str">
        <f t="shared" si="2498"/>
        <v>FARHANA BINTI MUSTAPA</v>
      </c>
      <c r="W6123" t="str">
        <f t="shared" si="2499"/>
        <v>04-08-2020</v>
      </c>
      <c r="X6123" t="str">
        <f t="shared" si="2500"/>
        <v>RAZIMAH ANSAR AHMAD</v>
      </c>
      <c r="Y6123" t="str">
        <f t="shared" si="2501"/>
        <v>04-08-2020</v>
      </c>
      <c r="Z6123" t="str">
        <f>"COS10200804 3031"</f>
        <v>COS10200804 3031</v>
      </c>
    </row>
    <row r="6124" spans="1:26" x14ac:dyDescent="0.25">
      <c r="A6124" t="str">
        <f t="shared" si="2505"/>
        <v>04-08-2020 12:43:51</v>
      </c>
      <c r="B6124" t="str">
        <f>"0000804797"</f>
        <v>0000804797</v>
      </c>
      <c r="C6124" t="str">
        <f t="shared" si="2506"/>
        <v>0000804767</v>
      </c>
      <c r="D6124" t="str">
        <f t="shared" si="2489"/>
        <v>73185</v>
      </c>
      <c r="E6124" t="str">
        <f t="shared" si="2490"/>
        <v>KFH-OPERATIONS DEPARTMENT</v>
      </c>
      <c r="F6124" t="str">
        <f t="shared" si="2491"/>
        <v>IBG</v>
      </c>
      <c r="G6124" t="str">
        <f t="shared" si="2502"/>
        <v>Refund COSHARE 10</v>
      </c>
      <c r="H6124" s="2">
        <v>106.45</v>
      </c>
      <c r="I6124" t="str">
        <f>"NAFSIAH BINTI SHAFIE"</f>
        <v>NAFSIAH BINTI SHAFIE</v>
      </c>
      <c r="J6124" t="str">
        <f t="shared" si="2486"/>
        <v>CIMB BANK / CIMB ISLAMIC BANK</v>
      </c>
      <c r="K6124" t="str">
        <f>"7028166222"</f>
        <v>7028166222</v>
      </c>
      <c r="L6124" t="str">
        <f t="shared" si="2503"/>
        <v>04-08-2020</v>
      </c>
      <c r="M6124" t="str">
        <f t="shared" si="2503"/>
        <v>04-08-2020</v>
      </c>
      <c r="N6124" t="str">
        <f t="shared" si="2493"/>
        <v>001105018356</v>
      </c>
      <c r="O6124" t="str">
        <f t="shared" si="2494"/>
        <v>MYR</v>
      </c>
      <c r="P6124" t="str">
        <f t="shared" si="2504"/>
        <v>NIL</v>
      </c>
      <c r="Q6124" t="str">
        <f t="shared" si="2504"/>
        <v>NIL</v>
      </c>
      <c r="R6124" t="str">
        <f t="shared" si="2507"/>
        <v>Accepted</v>
      </c>
      <c r="S6124" t="str">
        <f t="shared" si="2496"/>
        <v>Approved</v>
      </c>
      <c r="T6124" t="str">
        <f t="shared" si="2508"/>
        <v>10.20.8.188</v>
      </c>
      <c r="U6124" t="str">
        <f t="shared" si="2497"/>
        <v>AZRAD UMAR BIN SHAARI</v>
      </c>
      <c r="V6124" t="str">
        <f t="shared" si="2498"/>
        <v>FARHANA BINTI MUSTAPA</v>
      </c>
      <c r="W6124" t="str">
        <f t="shared" si="2499"/>
        <v>04-08-2020</v>
      </c>
      <c r="X6124" t="str">
        <f t="shared" si="2500"/>
        <v>RAZIMAH ANSAR AHMAD</v>
      </c>
      <c r="Y6124" t="str">
        <f t="shared" si="2501"/>
        <v>04-08-2020</v>
      </c>
      <c r="Z6124" t="str">
        <f>"COS10200804 3030"</f>
        <v>COS10200804 3030</v>
      </c>
    </row>
    <row r="6125" spans="1:26" x14ac:dyDescent="0.25">
      <c r="A6125" t="str">
        <f t="shared" si="2505"/>
        <v>04-08-2020 12:43:51</v>
      </c>
      <c r="B6125" t="str">
        <f>"0000804796"</f>
        <v>0000804796</v>
      </c>
      <c r="C6125" t="str">
        <f t="shared" si="2506"/>
        <v>0000804767</v>
      </c>
      <c r="D6125" t="str">
        <f t="shared" si="2489"/>
        <v>73185</v>
      </c>
      <c r="E6125" t="str">
        <f t="shared" si="2490"/>
        <v>KFH-OPERATIONS DEPARTMENT</v>
      </c>
      <c r="F6125" t="str">
        <f t="shared" si="2491"/>
        <v>IBG</v>
      </c>
      <c r="G6125" t="str">
        <f t="shared" si="2502"/>
        <v>Refund COSHARE 10</v>
      </c>
      <c r="H6125" s="2">
        <v>243</v>
      </c>
      <c r="I6125" t="str">
        <f>"NADIRAH BINTI ABDUL KADIR"</f>
        <v>NADIRAH BINTI ABDUL KADIR</v>
      </c>
      <c r="J6125" t="str">
        <f t="shared" si="2486"/>
        <v>CIMB BANK / CIMB ISLAMIC BANK</v>
      </c>
      <c r="K6125" t="str">
        <f>"06100070124523"</f>
        <v>06100070124523</v>
      </c>
      <c r="L6125" t="str">
        <f t="shared" si="2503"/>
        <v>04-08-2020</v>
      </c>
      <c r="M6125" t="str">
        <f t="shared" si="2503"/>
        <v>04-08-2020</v>
      </c>
      <c r="N6125" t="str">
        <f t="shared" si="2493"/>
        <v>001105018356</v>
      </c>
      <c r="O6125" t="str">
        <f t="shared" si="2494"/>
        <v>MYR</v>
      </c>
      <c r="P6125" t="str">
        <f t="shared" si="2504"/>
        <v>NIL</v>
      </c>
      <c r="Q6125" t="str">
        <f t="shared" si="2504"/>
        <v>NIL</v>
      </c>
      <c r="R6125" t="str">
        <f t="shared" si="2507"/>
        <v>Accepted</v>
      </c>
      <c r="S6125" t="str">
        <f t="shared" si="2496"/>
        <v>Approved</v>
      </c>
      <c r="T6125" t="str">
        <f t="shared" si="2508"/>
        <v>10.20.8.188</v>
      </c>
      <c r="U6125" t="str">
        <f t="shared" si="2497"/>
        <v>AZRAD UMAR BIN SHAARI</v>
      </c>
      <c r="V6125" t="str">
        <f t="shared" si="2498"/>
        <v>FARHANA BINTI MUSTAPA</v>
      </c>
      <c r="W6125" t="str">
        <f t="shared" si="2499"/>
        <v>04-08-2020</v>
      </c>
      <c r="X6125" t="str">
        <f t="shared" si="2500"/>
        <v>RAZIMAH ANSAR AHMAD</v>
      </c>
      <c r="Y6125" t="str">
        <f t="shared" si="2501"/>
        <v>04-08-2020</v>
      </c>
      <c r="Z6125" t="str">
        <f>"COS10200804 3029"</f>
        <v>COS10200804 3029</v>
      </c>
    </row>
    <row r="6126" spans="1:26" x14ac:dyDescent="0.25">
      <c r="A6126" t="str">
        <f t="shared" si="2505"/>
        <v>04-08-2020 12:43:51</v>
      </c>
      <c r="B6126" t="str">
        <f>"0000804795"</f>
        <v>0000804795</v>
      </c>
      <c r="C6126" t="str">
        <f t="shared" si="2506"/>
        <v>0000804767</v>
      </c>
      <c r="D6126" t="str">
        <f t="shared" si="2489"/>
        <v>73185</v>
      </c>
      <c r="E6126" t="str">
        <f t="shared" si="2490"/>
        <v>KFH-OPERATIONS DEPARTMENT</v>
      </c>
      <c r="F6126" t="str">
        <f t="shared" si="2491"/>
        <v>IBG</v>
      </c>
      <c r="G6126" t="str">
        <f t="shared" si="2502"/>
        <v>Refund COSHARE 10</v>
      </c>
      <c r="H6126" s="2">
        <v>201.5</v>
      </c>
      <c r="I6126" t="str">
        <f>"NADIAH BINTI NADZARI"</f>
        <v>NADIAH BINTI NADZARI</v>
      </c>
      <c r="J6126" t="str">
        <f t="shared" si="2486"/>
        <v>CIMB BANK / CIMB ISLAMIC BANK</v>
      </c>
      <c r="K6126" t="str">
        <f>"7617127028"</f>
        <v>7617127028</v>
      </c>
      <c r="L6126" t="str">
        <f t="shared" si="2503"/>
        <v>04-08-2020</v>
      </c>
      <c r="M6126" t="str">
        <f t="shared" si="2503"/>
        <v>04-08-2020</v>
      </c>
      <c r="N6126" t="str">
        <f t="shared" si="2493"/>
        <v>001105018356</v>
      </c>
      <c r="O6126" t="str">
        <f t="shared" si="2494"/>
        <v>MYR</v>
      </c>
      <c r="P6126" t="str">
        <f t="shared" si="2504"/>
        <v>NIL</v>
      </c>
      <c r="Q6126" t="str">
        <f t="shared" si="2504"/>
        <v>NIL</v>
      </c>
      <c r="R6126" t="str">
        <f t="shared" si="2507"/>
        <v>Accepted</v>
      </c>
      <c r="S6126" t="str">
        <f t="shared" si="2496"/>
        <v>Approved</v>
      </c>
      <c r="T6126" t="str">
        <f t="shared" si="2508"/>
        <v>10.20.8.188</v>
      </c>
      <c r="U6126" t="str">
        <f t="shared" si="2497"/>
        <v>AZRAD UMAR BIN SHAARI</v>
      </c>
      <c r="V6126" t="str">
        <f t="shared" si="2498"/>
        <v>FARHANA BINTI MUSTAPA</v>
      </c>
      <c r="W6126" t="str">
        <f t="shared" si="2499"/>
        <v>04-08-2020</v>
      </c>
      <c r="X6126" t="str">
        <f t="shared" si="2500"/>
        <v>RAZIMAH ANSAR AHMAD</v>
      </c>
      <c r="Y6126" t="str">
        <f t="shared" si="2501"/>
        <v>04-08-2020</v>
      </c>
      <c r="Z6126" t="str">
        <f>"COS10200804 3028"</f>
        <v>COS10200804 3028</v>
      </c>
    </row>
    <row r="6127" spans="1:26" x14ac:dyDescent="0.25">
      <c r="A6127" t="str">
        <f t="shared" si="2505"/>
        <v>04-08-2020 12:43:51</v>
      </c>
      <c r="B6127" t="str">
        <f>"0000804794"</f>
        <v>0000804794</v>
      </c>
      <c r="C6127" t="str">
        <f t="shared" si="2506"/>
        <v>0000804767</v>
      </c>
      <c r="D6127" t="str">
        <f t="shared" si="2489"/>
        <v>73185</v>
      </c>
      <c r="E6127" t="str">
        <f t="shared" si="2490"/>
        <v>KFH-OPERATIONS DEPARTMENT</v>
      </c>
      <c r="F6127" t="str">
        <f t="shared" si="2491"/>
        <v>IBG</v>
      </c>
      <c r="G6127" t="str">
        <f t="shared" si="2502"/>
        <v>Refund COSHARE 10</v>
      </c>
      <c r="H6127" s="2">
        <v>587.65</v>
      </c>
      <c r="I6127" t="str">
        <f>"NADDIA BINTI KAMIS"</f>
        <v>NADDIA BINTI KAMIS</v>
      </c>
      <c r="J6127" t="str">
        <f t="shared" si="2486"/>
        <v>CIMB BANK / CIMB ISLAMIC BANK</v>
      </c>
      <c r="K6127" t="str">
        <f>"12180076400525"</f>
        <v>12180076400525</v>
      </c>
      <c r="L6127" t="str">
        <f t="shared" ref="L6127:M6146" si="2509">"04-08-2020"</f>
        <v>04-08-2020</v>
      </c>
      <c r="M6127" t="str">
        <f t="shared" si="2509"/>
        <v>04-08-2020</v>
      </c>
      <c r="N6127" t="str">
        <f t="shared" si="2493"/>
        <v>001105018356</v>
      </c>
      <c r="O6127" t="str">
        <f t="shared" si="2494"/>
        <v>MYR</v>
      </c>
      <c r="P6127" t="str">
        <f t="shared" ref="P6127:Q6146" si="2510">"NIL"</f>
        <v>NIL</v>
      </c>
      <c r="Q6127" t="str">
        <f t="shared" si="2510"/>
        <v>NIL</v>
      </c>
      <c r="R6127" t="str">
        <f t="shared" si="2507"/>
        <v>Accepted</v>
      </c>
      <c r="S6127" t="str">
        <f t="shared" si="2496"/>
        <v>Approved</v>
      </c>
      <c r="T6127" t="str">
        <f t="shared" si="2508"/>
        <v>10.20.8.188</v>
      </c>
      <c r="U6127" t="str">
        <f t="shared" si="2497"/>
        <v>AZRAD UMAR BIN SHAARI</v>
      </c>
      <c r="V6127" t="str">
        <f t="shared" si="2498"/>
        <v>FARHANA BINTI MUSTAPA</v>
      </c>
      <c r="W6127" t="str">
        <f t="shared" si="2499"/>
        <v>04-08-2020</v>
      </c>
      <c r="X6127" t="str">
        <f t="shared" si="2500"/>
        <v>RAZIMAH ANSAR AHMAD</v>
      </c>
      <c r="Y6127" t="str">
        <f t="shared" si="2501"/>
        <v>04-08-2020</v>
      </c>
      <c r="Z6127" t="str">
        <f>"COS10200804 3027"</f>
        <v>COS10200804 3027</v>
      </c>
    </row>
    <row r="6128" spans="1:26" x14ac:dyDescent="0.25">
      <c r="A6128" t="str">
        <f t="shared" si="2505"/>
        <v>04-08-2020 12:43:51</v>
      </c>
      <c r="B6128" t="str">
        <f>"0000804793"</f>
        <v>0000804793</v>
      </c>
      <c r="C6128" t="str">
        <f t="shared" si="2506"/>
        <v>0000804767</v>
      </c>
      <c r="D6128" t="str">
        <f t="shared" si="2489"/>
        <v>73185</v>
      </c>
      <c r="E6128" t="str">
        <f t="shared" si="2490"/>
        <v>KFH-OPERATIONS DEPARTMENT</v>
      </c>
      <c r="F6128" t="str">
        <f t="shared" si="2491"/>
        <v>IBG</v>
      </c>
      <c r="G6128" t="str">
        <f t="shared" si="2502"/>
        <v>Refund COSHARE 10</v>
      </c>
      <c r="H6128" s="2">
        <v>193.1</v>
      </c>
      <c r="I6128" t="str">
        <f>"MUTARUDDIN BIN CHE MAT"</f>
        <v>MUTARUDDIN BIN CHE MAT</v>
      </c>
      <c r="J6128" t="str">
        <f t="shared" si="2486"/>
        <v>CIMB BANK / CIMB ISLAMIC BANK</v>
      </c>
      <c r="K6128" t="str">
        <f>"12150067939521"</f>
        <v>12150067939521</v>
      </c>
      <c r="L6128" t="str">
        <f t="shared" si="2509"/>
        <v>04-08-2020</v>
      </c>
      <c r="M6128" t="str">
        <f t="shared" si="2509"/>
        <v>04-08-2020</v>
      </c>
      <c r="N6128" t="str">
        <f t="shared" si="2493"/>
        <v>001105018356</v>
      </c>
      <c r="O6128" t="str">
        <f t="shared" si="2494"/>
        <v>MYR</v>
      </c>
      <c r="P6128" t="str">
        <f t="shared" si="2510"/>
        <v>NIL</v>
      </c>
      <c r="Q6128" t="str">
        <f t="shared" si="2510"/>
        <v>NIL</v>
      </c>
      <c r="R6128" t="str">
        <f t="shared" si="2507"/>
        <v>Accepted</v>
      </c>
      <c r="S6128" t="str">
        <f t="shared" si="2496"/>
        <v>Approved</v>
      </c>
      <c r="T6128" t="str">
        <f t="shared" si="2508"/>
        <v>10.20.8.188</v>
      </c>
      <c r="U6128" t="str">
        <f t="shared" si="2497"/>
        <v>AZRAD UMAR BIN SHAARI</v>
      </c>
      <c r="V6128" t="str">
        <f t="shared" si="2498"/>
        <v>FARHANA BINTI MUSTAPA</v>
      </c>
      <c r="W6128" t="str">
        <f t="shared" si="2499"/>
        <v>04-08-2020</v>
      </c>
      <c r="X6128" t="str">
        <f t="shared" si="2500"/>
        <v>RAZIMAH ANSAR AHMAD</v>
      </c>
      <c r="Y6128" t="str">
        <f t="shared" si="2501"/>
        <v>04-08-2020</v>
      </c>
      <c r="Z6128" t="str">
        <f>"COS10200804 3026"</f>
        <v>COS10200804 3026</v>
      </c>
    </row>
    <row r="6129" spans="1:26" x14ac:dyDescent="0.25">
      <c r="A6129" t="str">
        <f t="shared" si="2505"/>
        <v>04-08-2020 12:43:51</v>
      </c>
      <c r="B6129" t="str">
        <f>"0000804792"</f>
        <v>0000804792</v>
      </c>
      <c r="C6129" t="str">
        <f t="shared" si="2506"/>
        <v>0000804767</v>
      </c>
      <c r="D6129" t="str">
        <f t="shared" si="2489"/>
        <v>73185</v>
      </c>
      <c r="E6129" t="str">
        <f t="shared" si="2490"/>
        <v>KFH-OPERATIONS DEPARTMENT</v>
      </c>
      <c r="F6129" t="str">
        <f t="shared" si="2491"/>
        <v>IBG</v>
      </c>
      <c r="G6129" t="str">
        <f t="shared" si="2502"/>
        <v>Refund COSHARE 10</v>
      </c>
      <c r="H6129" s="2">
        <v>319</v>
      </c>
      <c r="I6129" t="str">
        <f>"MUSYAHRIL NAZEEM BIN MUSHAHAR"</f>
        <v>MUSYAHRIL NAZEEM BIN MUSHAHAR</v>
      </c>
      <c r="J6129" t="str">
        <f t="shared" si="2486"/>
        <v>CIMB BANK / CIMB ISLAMIC BANK</v>
      </c>
      <c r="K6129" t="str">
        <f>"12260024914524"</f>
        <v>12260024914524</v>
      </c>
      <c r="L6129" t="str">
        <f t="shared" si="2509"/>
        <v>04-08-2020</v>
      </c>
      <c r="M6129" t="str">
        <f t="shared" si="2509"/>
        <v>04-08-2020</v>
      </c>
      <c r="N6129" t="str">
        <f t="shared" si="2493"/>
        <v>001105018356</v>
      </c>
      <c r="O6129" t="str">
        <f t="shared" si="2494"/>
        <v>MYR</v>
      </c>
      <c r="P6129" t="str">
        <f t="shared" si="2510"/>
        <v>NIL</v>
      </c>
      <c r="Q6129" t="str">
        <f t="shared" si="2510"/>
        <v>NIL</v>
      </c>
      <c r="R6129" t="str">
        <f t="shared" si="2507"/>
        <v>Accepted</v>
      </c>
      <c r="S6129" t="str">
        <f t="shared" si="2496"/>
        <v>Approved</v>
      </c>
      <c r="T6129" t="str">
        <f t="shared" si="2508"/>
        <v>10.20.8.188</v>
      </c>
      <c r="U6129" t="str">
        <f t="shared" si="2497"/>
        <v>AZRAD UMAR BIN SHAARI</v>
      </c>
      <c r="V6129" t="str">
        <f t="shared" si="2498"/>
        <v>FARHANA BINTI MUSTAPA</v>
      </c>
      <c r="W6129" t="str">
        <f t="shared" si="2499"/>
        <v>04-08-2020</v>
      </c>
      <c r="X6129" t="str">
        <f t="shared" si="2500"/>
        <v>RAZIMAH ANSAR AHMAD</v>
      </c>
      <c r="Y6129" t="str">
        <f t="shared" si="2501"/>
        <v>04-08-2020</v>
      </c>
      <c r="Z6129" t="str">
        <f>"COS10200804 3025"</f>
        <v>COS10200804 3025</v>
      </c>
    </row>
    <row r="6130" spans="1:26" x14ac:dyDescent="0.25">
      <c r="A6130" t="str">
        <f t="shared" si="2505"/>
        <v>04-08-2020 12:43:51</v>
      </c>
      <c r="B6130" t="str">
        <f>"0000804791"</f>
        <v>0000804791</v>
      </c>
      <c r="C6130" t="str">
        <f t="shared" si="2506"/>
        <v>0000804767</v>
      </c>
      <c r="D6130" t="str">
        <f t="shared" si="2489"/>
        <v>73185</v>
      </c>
      <c r="E6130" t="str">
        <f t="shared" si="2490"/>
        <v>KFH-OPERATIONS DEPARTMENT</v>
      </c>
      <c r="F6130" t="str">
        <f t="shared" si="2491"/>
        <v>IBG</v>
      </c>
      <c r="G6130" t="str">
        <f t="shared" si="2502"/>
        <v>Refund COSHARE 10</v>
      </c>
      <c r="H6130" s="2">
        <v>613</v>
      </c>
      <c r="I6130" t="str">
        <f>"MUSTAFA KAMAL BIN ABD MUTALIP"</f>
        <v>MUSTAFA KAMAL BIN ABD MUTALIP</v>
      </c>
      <c r="J6130" t="str">
        <f t="shared" si="2486"/>
        <v>CIMB BANK / CIMB ISLAMIC BANK</v>
      </c>
      <c r="K6130" t="str">
        <f>"7001819782"</f>
        <v>7001819782</v>
      </c>
      <c r="L6130" t="str">
        <f t="shared" si="2509"/>
        <v>04-08-2020</v>
      </c>
      <c r="M6130" t="str">
        <f t="shared" si="2509"/>
        <v>04-08-2020</v>
      </c>
      <c r="N6130" t="str">
        <f t="shared" si="2493"/>
        <v>001105018356</v>
      </c>
      <c r="O6130" t="str">
        <f t="shared" si="2494"/>
        <v>MYR</v>
      </c>
      <c r="P6130" t="str">
        <f t="shared" si="2510"/>
        <v>NIL</v>
      </c>
      <c r="Q6130" t="str">
        <f t="shared" si="2510"/>
        <v>NIL</v>
      </c>
      <c r="R6130" t="str">
        <f t="shared" si="2507"/>
        <v>Accepted</v>
      </c>
      <c r="S6130" t="str">
        <f t="shared" si="2496"/>
        <v>Approved</v>
      </c>
      <c r="T6130" t="str">
        <f t="shared" si="2508"/>
        <v>10.20.8.188</v>
      </c>
      <c r="U6130" t="str">
        <f t="shared" si="2497"/>
        <v>AZRAD UMAR BIN SHAARI</v>
      </c>
      <c r="V6130" t="str">
        <f t="shared" si="2498"/>
        <v>FARHANA BINTI MUSTAPA</v>
      </c>
      <c r="W6130" t="str">
        <f t="shared" si="2499"/>
        <v>04-08-2020</v>
      </c>
      <c r="X6130" t="str">
        <f t="shared" si="2500"/>
        <v>RAZIMAH ANSAR AHMAD</v>
      </c>
      <c r="Y6130" t="str">
        <f t="shared" si="2501"/>
        <v>04-08-2020</v>
      </c>
      <c r="Z6130" t="str">
        <f>"COS10200804 3024"</f>
        <v>COS10200804 3024</v>
      </c>
    </row>
    <row r="6131" spans="1:26" x14ac:dyDescent="0.25">
      <c r="A6131" t="str">
        <f t="shared" si="2505"/>
        <v>04-08-2020 12:43:51</v>
      </c>
      <c r="B6131" t="str">
        <f>"0000804790"</f>
        <v>0000804790</v>
      </c>
      <c r="C6131" t="str">
        <f t="shared" si="2506"/>
        <v>0000804767</v>
      </c>
      <c r="D6131" t="str">
        <f t="shared" si="2489"/>
        <v>73185</v>
      </c>
      <c r="E6131" t="str">
        <f t="shared" si="2490"/>
        <v>KFH-OPERATIONS DEPARTMENT</v>
      </c>
      <c r="F6131" t="str">
        <f t="shared" si="2491"/>
        <v>IBG</v>
      </c>
      <c r="G6131" t="str">
        <f t="shared" si="2502"/>
        <v>Refund COSHARE 10</v>
      </c>
      <c r="H6131" s="2">
        <v>159.5</v>
      </c>
      <c r="I6131" t="str">
        <f>"MUSLIMAH BT MUSTAFFA BAKRI"</f>
        <v>MUSLIMAH BT MUSTAFFA BAKRI</v>
      </c>
      <c r="J6131" t="str">
        <f t="shared" si="2486"/>
        <v>CIMB BANK / CIMB ISLAMIC BANK</v>
      </c>
      <c r="K6131" t="str">
        <f>"14150029171526"</f>
        <v>14150029171526</v>
      </c>
      <c r="L6131" t="str">
        <f t="shared" si="2509"/>
        <v>04-08-2020</v>
      </c>
      <c r="M6131" t="str">
        <f t="shared" si="2509"/>
        <v>04-08-2020</v>
      </c>
      <c r="N6131" t="str">
        <f t="shared" si="2493"/>
        <v>001105018356</v>
      </c>
      <c r="O6131" t="str">
        <f t="shared" si="2494"/>
        <v>MYR</v>
      </c>
      <c r="P6131" t="str">
        <f t="shared" si="2510"/>
        <v>NIL</v>
      </c>
      <c r="Q6131" t="str">
        <f t="shared" si="2510"/>
        <v>NIL</v>
      </c>
      <c r="R6131" t="str">
        <f t="shared" si="2507"/>
        <v>Accepted</v>
      </c>
      <c r="S6131" t="str">
        <f t="shared" si="2496"/>
        <v>Approved</v>
      </c>
      <c r="T6131" t="str">
        <f t="shared" si="2508"/>
        <v>10.20.8.188</v>
      </c>
      <c r="U6131" t="str">
        <f t="shared" si="2497"/>
        <v>AZRAD UMAR BIN SHAARI</v>
      </c>
      <c r="V6131" t="str">
        <f t="shared" si="2498"/>
        <v>FARHANA BINTI MUSTAPA</v>
      </c>
      <c r="W6131" t="str">
        <f t="shared" si="2499"/>
        <v>04-08-2020</v>
      </c>
      <c r="X6131" t="str">
        <f t="shared" si="2500"/>
        <v>RAZIMAH ANSAR AHMAD</v>
      </c>
      <c r="Y6131" t="str">
        <f t="shared" si="2501"/>
        <v>04-08-2020</v>
      </c>
      <c r="Z6131" t="str">
        <f>"COS10200804 3023"</f>
        <v>COS10200804 3023</v>
      </c>
    </row>
    <row r="6132" spans="1:26" x14ac:dyDescent="0.25">
      <c r="A6132" t="str">
        <f t="shared" si="2505"/>
        <v>04-08-2020 12:43:51</v>
      </c>
      <c r="B6132" t="str">
        <f>"0000804789"</f>
        <v>0000804789</v>
      </c>
      <c r="C6132" t="str">
        <f t="shared" si="2506"/>
        <v>0000804767</v>
      </c>
      <c r="D6132" t="str">
        <f t="shared" si="2489"/>
        <v>73185</v>
      </c>
      <c r="E6132" t="str">
        <f t="shared" si="2490"/>
        <v>KFH-OPERATIONS DEPARTMENT</v>
      </c>
      <c r="F6132" t="str">
        <f t="shared" si="2491"/>
        <v>IBG</v>
      </c>
      <c r="G6132" t="str">
        <f t="shared" si="2502"/>
        <v>Refund COSHARE 10</v>
      </c>
      <c r="H6132" s="2">
        <v>839.5</v>
      </c>
      <c r="I6132" t="str">
        <f>"MUSHITA BINTI AHMED"</f>
        <v>MUSHITA BINTI AHMED</v>
      </c>
      <c r="J6132" t="str">
        <f t="shared" si="2486"/>
        <v>CIMB BANK / CIMB ISLAMIC BANK</v>
      </c>
      <c r="K6132" t="str">
        <f>"02120022554521"</f>
        <v>02120022554521</v>
      </c>
      <c r="L6132" t="str">
        <f t="shared" si="2509"/>
        <v>04-08-2020</v>
      </c>
      <c r="M6132" t="str">
        <f t="shared" si="2509"/>
        <v>04-08-2020</v>
      </c>
      <c r="N6132" t="str">
        <f t="shared" si="2493"/>
        <v>001105018356</v>
      </c>
      <c r="O6132" t="str">
        <f t="shared" si="2494"/>
        <v>MYR</v>
      </c>
      <c r="P6132" t="str">
        <f t="shared" si="2510"/>
        <v>NIL</v>
      </c>
      <c r="Q6132" t="str">
        <f t="shared" si="2510"/>
        <v>NIL</v>
      </c>
      <c r="R6132" t="str">
        <f t="shared" si="2507"/>
        <v>Accepted</v>
      </c>
      <c r="S6132" t="str">
        <f t="shared" si="2496"/>
        <v>Approved</v>
      </c>
      <c r="T6132" t="str">
        <f t="shared" si="2508"/>
        <v>10.20.8.188</v>
      </c>
      <c r="U6132" t="str">
        <f t="shared" si="2497"/>
        <v>AZRAD UMAR BIN SHAARI</v>
      </c>
      <c r="V6132" t="str">
        <f t="shared" si="2498"/>
        <v>FARHANA BINTI MUSTAPA</v>
      </c>
      <c r="W6132" t="str">
        <f t="shared" si="2499"/>
        <v>04-08-2020</v>
      </c>
      <c r="X6132" t="str">
        <f t="shared" si="2500"/>
        <v>RAZIMAH ANSAR AHMAD</v>
      </c>
      <c r="Y6132" t="str">
        <f t="shared" si="2501"/>
        <v>04-08-2020</v>
      </c>
      <c r="Z6132" t="str">
        <f>"COS10200804 3022"</f>
        <v>COS10200804 3022</v>
      </c>
    </row>
    <row r="6133" spans="1:26" x14ac:dyDescent="0.25">
      <c r="A6133" t="str">
        <f t="shared" si="2505"/>
        <v>04-08-2020 12:43:51</v>
      </c>
      <c r="B6133" t="str">
        <f>"0000804788"</f>
        <v>0000804788</v>
      </c>
      <c r="C6133" t="str">
        <f t="shared" si="2506"/>
        <v>0000804767</v>
      </c>
      <c r="D6133" t="str">
        <f t="shared" si="2489"/>
        <v>73185</v>
      </c>
      <c r="E6133" t="str">
        <f t="shared" si="2490"/>
        <v>KFH-OPERATIONS DEPARTMENT</v>
      </c>
      <c r="F6133" t="str">
        <f t="shared" si="2491"/>
        <v>IBG</v>
      </c>
      <c r="G6133" t="str">
        <f t="shared" si="2502"/>
        <v>Refund COSHARE 10</v>
      </c>
      <c r="H6133" s="2">
        <v>251.85</v>
      </c>
      <c r="I6133" t="str">
        <f>"MURNI HARIYANTI BINTI MUSLIM"</f>
        <v>MURNI HARIYANTI BINTI MUSLIM</v>
      </c>
      <c r="J6133" t="str">
        <f t="shared" si="2486"/>
        <v>CIMB BANK / CIMB ISLAMIC BANK</v>
      </c>
      <c r="K6133" t="str">
        <f>"03010090106527"</f>
        <v>03010090106527</v>
      </c>
      <c r="L6133" t="str">
        <f t="shared" si="2509"/>
        <v>04-08-2020</v>
      </c>
      <c r="M6133" t="str">
        <f t="shared" si="2509"/>
        <v>04-08-2020</v>
      </c>
      <c r="N6133" t="str">
        <f t="shared" si="2493"/>
        <v>001105018356</v>
      </c>
      <c r="O6133" t="str">
        <f t="shared" si="2494"/>
        <v>MYR</v>
      </c>
      <c r="P6133" t="str">
        <f t="shared" si="2510"/>
        <v>NIL</v>
      </c>
      <c r="Q6133" t="str">
        <f t="shared" si="2510"/>
        <v>NIL</v>
      </c>
      <c r="R6133" t="str">
        <f t="shared" si="2507"/>
        <v>Accepted</v>
      </c>
      <c r="S6133" t="str">
        <f t="shared" si="2496"/>
        <v>Approved</v>
      </c>
      <c r="T6133" t="str">
        <f t="shared" si="2508"/>
        <v>10.20.8.188</v>
      </c>
      <c r="U6133" t="str">
        <f t="shared" si="2497"/>
        <v>AZRAD UMAR BIN SHAARI</v>
      </c>
      <c r="V6133" t="str">
        <f t="shared" si="2498"/>
        <v>FARHANA BINTI MUSTAPA</v>
      </c>
      <c r="W6133" t="str">
        <f t="shared" si="2499"/>
        <v>04-08-2020</v>
      </c>
      <c r="X6133" t="str">
        <f t="shared" si="2500"/>
        <v>RAZIMAH ANSAR AHMAD</v>
      </c>
      <c r="Y6133" t="str">
        <f t="shared" si="2501"/>
        <v>04-08-2020</v>
      </c>
      <c r="Z6133" t="str">
        <f>"COS10200804 3021"</f>
        <v>COS10200804 3021</v>
      </c>
    </row>
    <row r="6134" spans="1:26" x14ac:dyDescent="0.25">
      <c r="A6134" t="str">
        <f t="shared" si="2505"/>
        <v>04-08-2020 12:43:51</v>
      </c>
      <c r="B6134" t="str">
        <f>"0000804787"</f>
        <v>0000804787</v>
      </c>
      <c r="C6134" t="str">
        <f t="shared" si="2506"/>
        <v>0000804767</v>
      </c>
      <c r="D6134" t="str">
        <f t="shared" si="2489"/>
        <v>73185</v>
      </c>
      <c r="E6134" t="str">
        <f t="shared" si="2490"/>
        <v>KFH-OPERATIONS DEPARTMENT</v>
      </c>
      <c r="F6134" t="str">
        <f t="shared" si="2491"/>
        <v>IBG</v>
      </c>
      <c r="G6134" t="str">
        <f t="shared" si="2502"/>
        <v>Refund COSHARE 10</v>
      </c>
      <c r="H6134" s="2">
        <v>532.20000000000005</v>
      </c>
      <c r="I6134" t="str">
        <f>"MUNIROH BINTI MD SAAD"</f>
        <v>MUNIROH BINTI MD SAAD</v>
      </c>
      <c r="J6134" t="str">
        <f t="shared" si="2486"/>
        <v>CIMB BANK / CIMB ISLAMIC BANK</v>
      </c>
      <c r="K6134" t="str">
        <f>"02060096557520"</f>
        <v>02060096557520</v>
      </c>
      <c r="L6134" t="str">
        <f t="shared" si="2509"/>
        <v>04-08-2020</v>
      </c>
      <c r="M6134" t="str">
        <f t="shared" si="2509"/>
        <v>04-08-2020</v>
      </c>
      <c r="N6134" t="str">
        <f t="shared" si="2493"/>
        <v>001105018356</v>
      </c>
      <c r="O6134" t="str">
        <f t="shared" si="2494"/>
        <v>MYR</v>
      </c>
      <c r="P6134" t="str">
        <f t="shared" si="2510"/>
        <v>NIL</v>
      </c>
      <c r="Q6134" t="str">
        <f t="shared" si="2510"/>
        <v>NIL</v>
      </c>
      <c r="R6134" t="str">
        <f t="shared" si="2507"/>
        <v>Accepted</v>
      </c>
      <c r="S6134" t="str">
        <f t="shared" si="2496"/>
        <v>Approved</v>
      </c>
      <c r="T6134" t="str">
        <f t="shared" si="2508"/>
        <v>10.20.8.188</v>
      </c>
      <c r="U6134" t="str">
        <f t="shared" si="2497"/>
        <v>AZRAD UMAR BIN SHAARI</v>
      </c>
      <c r="V6134" t="str">
        <f t="shared" si="2498"/>
        <v>FARHANA BINTI MUSTAPA</v>
      </c>
      <c r="W6134" t="str">
        <f t="shared" si="2499"/>
        <v>04-08-2020</v>
      </c>
      <c r="X6134" t="str">
        <f t="shared" si="2500"/>
        <v>RAZIMAH ANSAR AHMAD</v>
      </c>
      <c r="Y6134" t="str">
        <f t="shared" si="2501"/>
        <v>04-08-2020</v>
      </c>
      <c r="Z6134" t="str">
        <f>"COS10200804 3020"</f>
        <v>COS10200804 3020</v>
      </c>
    </row>
    <row r="6135" spans="1:26" x14ac:dyDescent="0.25">
      <c r="A6135" t="str">
        <f t="shared" si="2505"/>
        <v>04-08-2020 12:43:51</v>
      </c>
      <c r="B6135" t="str">
        <f>"0000804786"</f>
        <v>0000804786</v>
      </c>
      <c r="C6135" t="str">
        <f t="shared" si="2506"/>
        <v>0000804767</v>
      </c>
      <c r="D6135" t="str">
        <f t="shared" si="2489"/>
        <v>73185</v>
      </c>
      <c r="E6135" t="str">
        <f t="shared" si="2490"/>
        <v>KFH-OPERATIONS DEPARTMENT</v>
      </c>
      <c r="F6135" t="str">
        <f t="shared" si="2491"/>
        <v>IBG</v>
      </c>
      <c r="G6135" t="str">
        <f t="shared" si="2502"/>
        <v>Refund COSHARE 10</v>
      </c>
      <c r="H6135" s="2">
        <v>307</v>
      </c>
      <c r="I6135" t="str">
        <f>"MUNIROH BINTI MD SAAD"</f>
        <v>MUNIROH BINTI MD SAAD</v>
      </c>
      <c r="J6135" t="str">
        <f t="shared" si="2486"/>
        <v>CIMB BANK / CIMB ISLAMIC BANK</v>
      </c>
      <c r="K6135" t="str">
        <f>"02060096557520"</f>
        <v>02060096557520</v>
      </c>
      <c r="L6135" t="str">
        <f t="shared" si="2509"/>
        <v>04-08-2020</v>
      </c>
      <c r="M6135" t="str">
        <f t="shared" si="2509"/>
        <v>04-08-2020</v>
      </c>
      <c r="N6135" t="str">
        <f t="shared" si="2493"/>
        <v>001105018356</v>
      </c>
      <c r="O6135" t="str">
        <f t="shared" si="2494"/>
        <v>MYR</v>
      </c>
      <c r="P6135" t="str">
        <f t="shared" si="2510"/>
        <v>NIL</v>
      </c>
      <c r="Q6135" t="str">
        <f t="shared" si="2510"/>
        <v>NIL</v>
      </c>
      <c r="R6135" t="str">
        <f t="shared" si="2507"/>
        <v>Accepted</v>
      </c>
      <c r="S6135" t="str">
        <f t="shared" si="2496"/>
        <v>Approved</v>
      </c>
      <c r="T6135" t="str">
        <f t="shared" si="2508"/>
        <v>10.20.8.188</v>
      </c>
      <c r="U6135" t="str">
        <f t="shared" si="2497"/>
        <v>AZRAD UMAR BIN SHAARI</v>
      </c>
      <c r="V6135" t="str">
        <f t="shared" si="2498"/>
        <v>FARHANA BINTI MUSTAPA</v>
      </c>
      <c r="W6135" t="str">
        <f t="shared" si="2499"/>
        <v>04-08-2020</v>
      </c>
      <c r="X6135" t="str">
        <f t="shared" si="2500"/>
        <v>RAZIMAH ANSAR AHMAD</v>
      </c>
      <c r="Y6135" t="str">
        <f t="shared" si="2501"/>
        <v>04-08-2020</v>
      </c>
      <c r="Z6135" t="str">
        <f>"COS10200804 3019"</f>
        <v>COS10200804 3019</v>
      </c>
    </row>
    <row r="6136" spans="1:26" x14ac:dyDescent="0.25">
      <c r="A6136" t="str">
        <f t="shared" si="2505"/>
        <v>04-08-2020 12:43:51</v>
      </c>
      <c r="B6136" t="str">
        <f>"0000804785"</f>
        <v>0000804785</v>
      </c>
      <c r="C6136" t="str">
        <f t="shared" si="2506"/>
        <v>0000804767</v>
      </c>
      <c r="D6136" t="str">
        <f t="shared" si="2489"/>
        <v>73185</v>
      </c>
      <c r="E6136" t="str">
        <f t="shared" si="2490"/>
        <v>KFH-OPERATIONS DEPARTMENT</v>
      </c>
      <c r="F6136" t="str">
        <f t="shared" si="2491"/>
        <v>IBG</v>
      </c>
      <c r="G6136" t="str">
        <f t="shared" si="2502"/>
        <v>Refund COSHARE 10</v>
      </c>
      <c r="H6136" s="2">
        <v>92</v>
      </c>
      <c r="I6136" t="str">
        <f>"MUHD HAMMAMI BIN YUSOFF"</f>
        <v>MUHD HAMMAMI BIN YUSOFF</v>
      </c>
      <c r="J6136" t="str">
        <f t="shared" si="2486"/>
        <v>CIMB BANK / CIMB ISLAMIC BANK</v>
      </c>
      <c r="K6136" t="str">
        <f>"12380074304528"</f>
        <v>12380074304528</v>
      </c>
      <c r="L6136" t="str">
        <f t="shared" si="2509"/>
        <v>04-08-2020</v>
      </c>
      <c r="M6136" t="str">
        <f t="shared" si="2509"/>
        <v>04-08-2020</v>
      </c>
      <c r="N6136" t="str">
        <f t="shared" si="2493"/>
        <v>001105018356</v>
      </c>
      <c r="O6136" t="str">
        <f t="shared" si="2494"/>
        <v>MYR</v>
      </c>
      <c r="P6136" t="str">
        <f t="shared" si="2510"/>
        <v>NIL</v>
      </c>
      <c r="Q6136" t="str">
        <f t="shared" si="2510"/>
        <v>NIL</v>
      </c>
      <c r="R6136" t="str">
        <f t="shared" si="2507"/>
        <v>Accepted</v>
      </c>
      <c r="S6136" t="str">
        <f t="shared" si="2496"/>
        <v>Approved</v>
      </c>
      <c r="T6136" t="str">
        <f t="shared" si="2508"/>
        <v>10.20.8.188</v>
      </c>
      <c r="U6136" t="str">
        <f t="shared" si="2497"/>
        <v>AZRAD UMAR BIN SHAARI</v>
      </c>
      <c r="V6136" t="str">
        <f t="shared" si="2498"/>
        <v>FARHANA BINTI MUSTAPA</v>
      </c>
      <c r="W6136" t="str">
        <f t="shared" si="2499"/>
        <v>04-08-2020</v>
      </c>
      <c r="X6136" t="str">
        <f t="shared" si="2500"/>
        <v>RAZIMAH ANSAR AHMAD</v>
      </c>
      <c r="Y6136" t="str">
        <f t="shared" si="2501"/>
        <v>04-08-2020</v>
      </c>
      <c r="Z6136" t="str">
        <f>"COS10200804 3018"</f>
        <v>COS10200804 3018</v>
      </c>
    </row>
    <row r="6137" spans="1:26" x14ac:dyDescent="0.25">
      <c r="A6137" t="str">
        <f t="shared" si="2505"/>
        <v>04-08-2020 12:43:51</v>
      </c>
      <c r="B6137" t="str">
        <f>"0000804784"</f>
        <v>0000804784</v>
      </c>
      <c r="C6137" t="str">
        <f t="shared" si="2506"/>
        <v>0000804767</v>
      </c>
      <c r="D6137" t="str">
        <f t="shared" si="2489"/>
        <v>73185</v>
      </c>
      <c r="E6137" t="str">
        <f t="shared" si="2490"/>
        <v>KFH-OPERATIONS DEPARTMENT</v>
      </c>
      <c r="F6137" t="str">
        <f t="shared" si="2491"/>
        <v>IBG</v>
      </c>
      <c r="G6137" t="str">
        <f t="shared" si="2502"/>
        <v>Refund COSHARE 10</v>
      </c>
      <c r="H6137" s="2">
        <v>42</v>
      </c>
      <c r="I6137" t="str">
        <f>"MUHD HAMMAMI BIN YUSOFF"</f>
        <v>MUHD HAMMAMI BIN YUSOFF</v>
      </c>
      <c r="J6137" t="str">
        <f t="shared" si="2486"/>
        <v>CIMB BANK / CIMB ISLAMIC BANK</v>
      </c>
      <c r="K6137" t="str">
        <f>"12380074304528"</f>
        <v>12380074304528</v>
      </c>
      <c r="L6137" t="str">
        <f t="shared" si="2509"/>
        <v>04-08-2020</v>
      </c>
      <c r="M6137" t="str">
        <f t="shared" si="2509"/>
        <v>04-08-2020</v>
      </c>
      <c r="N6137" t="str">
        <f t="shared" si="2493"/>
        <v>001105018356</v>
      </c>
      <c r="O6137" t="str">
        <f t="shared" si="2494"/>
        <v>MYR</v>
      </c>
      <c r="P6137" t="str">
        <f t="shared" si="2510"/>
        <v>NIL</v>
      </c>
      <c r="Q6137" t="str">
        <f t="shared" si="2510"/>
        <v>NIL</v>
      </c>
      <c r="R6137" t="str">
        <f t="shared" si="2507"/>
        <v>Accepted</v>
      </c>
      <c r="S6137" t="str">
        <f t="shared" si="2496"/>
        <v>Approved</v>
      </c>
      <c r="T6137" t="str">
        <f t="shared" si="2508"/>
        <v>10.20.8.188</v>
      </c>
      <c r="U6137" t="str">
        <f t="shared" si="2497"/>
        <v>AZRAD UMAR BIN SHAARI</v>
      </c>
      <c r="V6137" t="str">
        <f t="shared" si="2498"/>
        <v>FARHANA BINTI MUSTAPA</v>
      </c>
      <c r="W6137" t="str">
        <f t="shared" si="2499"/>
        <v>04-08-2020</v>
      </c>
      <c r="X6137" t="str">
        <f t="shared" si="2500"/>
        <v>RAZIMAH ANSAR AHMAD</v>
      </c>
      <c r="Y6137" t="str">
        <f t="shared" si="2501"/>
        <v>04-08-2020</v>
      </c>
      <c r="Z6137" t="str">
        <f>"COS10200804 3017"</f>
        <v>COS10200804 3017</v>
      </c>
    </row>
    <row r="6138" spans="1:26" x14ac:dyDescent="0.25">
      <c r="A6138" t="str">
        <f t="shared" si="2505"/>
        <v>04-08-2020 12:43:51</v>
      </c>
      <c r="B6138" t="str">
        <f>"0000804783"</f>
        <v>0000804783</v>
      </c>
      <c r="C6138" t="str">
        <f t="shared" si="2506"/>
        <v>0000804767</v>
      </c>
      <c r="D6138" t="str">
        <f t="shared" si="2489"/>
        <v>73185</v>
      </c>
      <c r="E6138" t="str">
        <f t="shared" si="2490"/>
        <v>KFH-OPERATIONS DEPARTMENT</v>
      </c>
      <c r="F6138" t="str">
        <f t="shared" si="2491"/>
        <v>IBG</v>
      </c>
      <c r="G6138" t="str">
        <f t="shared" si="2502"/>
        <v>Refund COSHARE 10</v>
      </c>
      <c r="H6138" s="2">
        <v>864.7</v>
      </c>
      <c r="I6138" t="str">
        <f>"MUHANIZA BINTI CHE WIL"</f>
        <v>MUHANIZA BINTI CHE WIL</v>
      </c>
      <c r="J6138" t="str">
        <f t="shared" si="2486"/>
        <v>CIMB BANK / CIMB ISLAMIC BANK</v>
      </c>
      <c r="K6138" t="str">
        <f>"12180102078526"</f>
        <v>12180102078526</v>
      </c>
      <c r="L6138" t="str">
        <f t="shared" si="2509"/>
        <v>04-08-2020</v>
      </c>
      <c r="M6138" t="str">
        <f t="shared" si="2509"/>
        <v>04-08-2020</v>
      </c>
      <c r="N6138" t="str">
        <f t="shared" si="2493"/>
        <v>001105018356</v>
      </c>
      <c r="O6138" t="str">
        <f t="shared" si="2494"/>
        <v>MYR</v>
      </c>
      <c r="P6138" t="str">
        <f t="shared" si="2510"/>
        <v>NIL</v>
      </c>
      <c r="Q6138" t="str">
        <f t="shared" si="2510"/>
        <v>NIL</v>
      </c>
      <c r="R6138" t="str">
        <f t="shared" si="2507"/>
        <v>Accepted</v>
      </c>
      <c r="S6138" t="str">
        <f t="shared" si="2496"/>
        <v>Approved</v>
      </c>
      <c r="T6138" t="str">
        <f t="shared" si="2508"/>
        <v>10.20.8.188</v>
      </c>
      <c r="U6138" t="str">
        <f t="shared" si="2497"/>
        <v>AZRAD UMAR BIN SHAARI</v>
      </c>
      <c r="V6138" t="str">
        <f t="shared" si="2498"/>
        <v>FARHANA BINTI MUSTAPA</v>
      </c>
      <c r="W6138" t="str">
        <f t="shared" si="2499"/>
        <v>04-08-2020</v>
      </c>
      <c r="X6138" t="str">
        <f t="shared" si="2500"/>
        <v>RAZIMAH ANSAR AHMAD</v>
      </c>
      <c r="Y6138" t="str">
        <f t="shared" si="2501"/>
        <v>04-08-2020</v>
      </c>
      <c r="Z6138" t="str">
        <f>"COS10200804 3016"</f>
        <v>COS10200804 3016</v>
      </c>
    </row>
    <row r="6139" spans="1:26" x14ac:dyDescent="0.25">
      <c r="A6139" t="str">
        <f t="shared" si="2505"/>
        <v>04-08-2020 12:43:51</v>
      </c>
      <c r="B6139" t="str">
        <f>"0000804782"</f>
        <v>0000804782</v>
      </c>
      <c r="C6139" t="str">
        <f t="shared" si="2506"/>
        <v>0000804767</v>
      </c>
      <c r="D6139" t="str">
        <f t="shared" si="2489"/>
        <v>73185</v>
      </c>
      <c r="E6139" t="str">
        <f t="shared" si="2490"/>
        <v>KFH-OPERATIONS DEPARTMENT</v>
      </c>
      <c r="F6139" t="str">
        <f t="shared" si="2491"/>
        <v>IBG</v>
      </c>
      <c r="G6139" t="str">
        <f t="shared" si="2502"/>
        <v>Refund COSHARE 10</v>
      </c>
      <c r="H6139" s="2">
        <v>67.2</v>
      </c>
      <c r="I6139" t="str">
        <f>"MUHAMMAD ZULKIFLI BIN ARIFIN"</f>
        <v>MUHAMMAD ZULKIFLI BIN ARIFIN</v>
      </c>
      <c r="J6139" t="str">
        <f t="shared" si="2486"/>
        <v>CIMB BANK / CIMB ISLAMIC BANK</v>
      </c>
      <c r="K6139" t="str">
        <f>"12470080916528"</f>
        <v>12470080916528</v>
      </c>
      <c r="L6139" t="str">
        <f t="shared" si="2509"/>
        <v>04-08-2020</v>
      </c>
      <c r="M6139" t="str">
        <f t="shared" si="2509"/>
        <v>04-08-2020</v>
      </c>
      <c r="N6139" t="str">
        <f t="shared" si="2493"/>
        <v>001105018356</v>
      </c>
      <c r="O6139" t="str">
        <f t="shared" si="2494"/>
        <v>MYR</v>
      </c>
      <c r="P6139" t="str">
        <f t="shared" si="2510"/>
        <v>NIL</v>
      </c>
      <c r="Q6139" t="str">
        <f t="shared" si="2510"/>
        <v>NIL</v>
      </c>
      <c r="R6139" t="str">
        <f t="shared" si="2507"/>
        <v>Accepted</v>
      </c>
      <c r="S6139" t="str">
        <f t="shared" si="2496"/>
        <v>Approved</v>
      </c>
      <c r="T6139" t="str">
        <f t="shared" si="2508"/>
        <v>10.20.8.188</v>
      </c>
      <c r="U6139" t="str">
        <f t="shared" si="2497"/>
        <v>AZRAD UMAR BIN SHAARI</v>
      </c>
      <c r="V6139" t="str">
        <f t="shared" si="2498"/>
        <v>FARHANA BINTI MUSTAPA</v>
      </c>
      <c r="W6139" t="str">
        <f t="shared" si="2499"/>
        <v>04-08-2020</v>
      </c>
      <c r="X6139" t="str">
        <f t="shared" si="2500"/>
        <v>RAZIMAH ANSAR AHMAD</v>
      </c>
      <c r="Y6139" t="str">
        <f t="shared" si="2501"/>
        <v>04-08-2020</v>
      </c>
      <c r="Z6139" t="str">
        <f>"COS10200804 3015"</f>
        <v>COS10200804 3015</v>
      </c>
    </row>
    <row r="6140" spans="1:26" x14ac:dyDescent="0.25">
      <c r="A6140" t="str">
        <f t="shared" si="2505"/>
        <v>04-08-2020 12:43:51</v>
      </c>
      <c r="B6140" t="str">
        <f>"0000804781"</f>
        <v>0000804781</v>
      </c>
      <c r="C6140" t="str">
        <f t="shared" si="2506"/>
        <v>0000804767</v>
      </c>
      <c r="D6140" t="str">
        <f t="shared" si="2489"/>
        <v>73185</v>
      </c>
      <c r="E6140" t="str">
        <f t="shared" si="2490"/>
        <v>KFH-OPERATIONS DEPARTMENT</v>
      </c>
      <c r="F6140" t="str">
        <f t="shared" si="2491"/>
        <v>IBG</v>
      </c>
      <c r="G6140" t="str">
        <f t="shared" si="2502"/>
        <v>Refund COSHARE 10</v>
      </c>
      <c r="H6140" s="2">
        <v>83.95</v>
      </c>
      <c r="I6140" t="str">
        <f>"MUHAMMAD ZULFADLI BIN NOR LISMAN"</f>
        <v>MUHAMMAD ZULFADLI BIN NOR LISMAN</v>
      </c>
      <c r="J6140" t="str">
        <f t="shared" ref="J6140:J6203" si="2511">"CIMB BANK / CIMB ISLAMIC BANK"</f>
        <v>CIMB BANK / CIMB ISLAMIC BANK</v>
      </c>
      <c r="K6140" t="str">
        <f>"7014233988"</f>
        <v>7014233988</v>
      </c>
      <c r="L6140" t="str">
        <f t="shared" si="2509"/>
        <v>04-08-2020</v>
      </c>
      <c r="M6140" t="str">
        <f t="shared" si="2509"/>
        <v>04-08-2020</v>
      </c>
      <c r="N6140" t="str">
        <f t="shared" si="2493"/>
        <v>001105018356</v>
      </c>
      <c r="O6140" t="str">
        <f t="shared" si="2494"/>
        <v>MYR</v>
      </c>
      <c r="P6140" t="str">
        <f t="shared" si="2510"/>
        <v>NIL</v>
      </c>
      <c r="Q6140" t="str">
        <f t="shared" si="2510"/>
        <v>NIL</v>
      </c>
      <c r="R6140" t="str">
        <f t="shared" si="2507"/>
        <v>Accepted</v>
      </c>
      <c r="S6140" t="str">
        <f t="shared" si="2496"/>
        <v>Approved</v>
      </c>
      <c r="T6140" t="str">
        <f t="shared" si="2508"/>
        <v>10.20.8.188</v>
      </c>
      <c r="U6140" t="str">
        <f t="shared" si="2497"/>
        <v>AZRAD UMAR BIN SHAARI</v>
      </c>
      <c r="V6140" t="str">
        <f t="shared" si="2498"/>
        <v>FARHANA BINTI MUSTAPA</v>
      </c>
      <c r="W6140" t="str">
        <f t="shared" si="2499"/>
        <v>04-08-2020</v>
      </c>
      <c r="X6140" t="str">
        <f t="shared" si="2500"/>
        <v>RAZIMAH ANSAR AHMAD</v>
      </c>
      <c r="Y6140" t="str">
        <f t="shared" si="2501"/>
        <v>04-08-2020</v>
      </c>
      <c r="Z6140" t="str">
        <f>"COS10200804 3014"</f>
        <v>COS10200804 3014</v>
      </c>
    </row>
    <row r="6141" spans="1:26" x14ac:dyDescent="0.25">
      <c r="A6141" t="str">
        <f t="shared" si="2505"/>
        <v>04-08-2020 12:43:51</v>
      </c>
      <c r="B6141" t="str">
        <f>"0000804780"</f>
        <v>0000804780</v>
      </c>
      <c r="C6141" t="str">
        <f t="shared" si="2506"/>
        <v>0000804767</v>
      </c>
      <c r="D6141" t="str">
        <f t="shared" si="2489"/>
        <v>73185</v>
      </c>
      <c r="E6141" t="str">
        <f t="shared" si="2490"/>
        <v>KFH-OPERATIONS DEPARTMENT</v>
      </c>
      <c r="F6141" t="str">
        <f t="shared" si="2491"/>
        <v>IBG</v>
      </c>
      <c r="G6141" t="str">
        <f t="shared" si="2502"/>
        <v>Refund COSHARE 10</v>
      </c>
      <c r="H6141" s="2">
        <v>258.60000000000002</v>
      </c>
      <c r="I6141" t="str">
        <f>"MUHAMMAD ZAKI BIN SULAIMAN"</f>
        <v>MUHAMMAD ZAKI BIN SULAIMAN</v>
      </c>
      <c r="J6141" t="str">
        <f t="shared" si="2511"/>
        <v>CIMB BANK / CIMB ISLAMIC BANK</v>
      </c>
      <c r="K6141" t="str">
        <f>"14160036645522"</f>
        <v>14160036645522</v>
      </c>
      <c r="L6141" t="str">
        <f t="shared" si="2509"/>
        <v>04-08-2020</v>
      </c>
      <c r="M6141" t="str">
        <f t="shared" si="2509"/>
        <v>04-08-2020</v>
      </c>
      <c r="N6141" t="str">
        <f t="shared" si="2493"/>
        <v>001105018356</v>
      </c>
      <c r="O6141" t="str">
        <f t="shared" si="2494"/>
        <v>MYR</v>
      </c>
      <c r="P6141" t="str">
        <f t="shared" si="2510"/>
        <v>NIL</v>
      </c>
      <c r="Q6141" t="str">
        <f t="shared" si="2510"/>
        <v>NIL</v>
      </c>
      <c r="R6141" t="str">
        <f t="shared" si="2507"/>
        <v>Accepted</v>
      </c>
      <c r="S6141" t="str">
        <f t="shared" si="2496"/>
        <v>Approved</v>
      </c>
      <c r="T6141" t="str">
        <f t="shared" si="2508"/>
        <v>10.20.8.188</v>
      </c>
      <c r="U6141" t="str">
        <f t="shared" si="2497"/>
        <v>AZRAD UMAR BIN SHAARI</v>
      </c>
      <c r="V6141" t="str">
        <f t="shared" si="2498"/>
        <v>FARHANA BINTI MUSTAPA</v>
      </c>
      <c r="W6141" t="str">
        <f t="shared" si="2499"/>
        <v>04-08-2020</v>
      </c>
      <c r="X6141" t="str">
        <f t="shared" si="2500"/>
        <v>RAZIMAH ANSAR AHMAD</v>
      </c>
      <c r="Y6141" t="str">
        <f t="shared" si="2501"/>
        <v>04-08-2020</v>
      </c>
      <c r="Z6141" t="str">
        <f>"COS10200804 3013"</f>
        <v>COS10200804 3013</v>
      </c>
    </row>
    <row r="6142" spans="1:26" x14ac:dyDescent="0.25">
      <c r="A6142" t="str">
        <f t="shared" si="2505"/>
        <v>04-08-2020 12:43:51</v>
      </c>
      <c r="B6142" t="str">
        <f>"0000804779"</f>
        <v>0000804779</v>
      </c>
      <c r="C6142" t="str">
        <f t="shared" si="2506"/>
        <v>0000804767</v>
      </c>
      <c r="D6142" t="str">
        <f t="shared" si="2489"/>
        <v>73185</v>
      </c>
      <c r="E6142" t="str">
        <f t="shared" si="2490"/>
        <v>KFH-OPERATIONS DEPARTMENT</v>
      </c>
      <c r="F6142" t="str">
        <f t="shared" si="2491"/>
        <v>IBG</v>
      </c>
      <c r="G6142" t="str">
        <f t="shared" si="2502"/>
        <v>Refund COSHARE 10</v>
      </c>
      <c r="H6142" s="2">
        <v>78.599999999999994</v>
      </c>
      <c r="I6142" t="str">
        <f>"MUHAMMAD YUSOF BIN DERASOL"</f>
        <v>MUHAMMAD YUSOF BIN DERASOL</v>
      </c>
      <c r="J6142" t="str">
        <f t="shared" si="2511"/>
        <v>CIMB BANK / CIMB ISLAMIC BANK</v>
      </c>
      <c r="K6142" t="str">
        <f>"12330062404526"</f>
        <v>12330062404526</v>
      </c>
      <c r="L6142" t="str">
        <f t="shared" si="2509"/>
        <v>04-08-2020</v>
      </c>
      <c r="M6142" t="str">
        <f t="shared" si="2509"/>
        <v>04-08-2020</v>
      </c>
      <c r="N6142" t="str">
        <f t="shared" si="2493"/>
        <v>001105018356</v>
      </c>
      <c r="O6142" t="str">
        <f t="shared" si="2494"/>
        <v>MYR</v>
      </c>
      <c r="P6142" t="str">
        <f t="shared" si="2510"/>
        <v>NIL</v>
      </c>
      <c r="Q6142" t="str">
        <f t="shared" si="2510"/>
        <v>NIL</v>
      </c>
      <c r="R6142" t="str">
        <f t="shared" si="2507"/>
        <v>Accepted</v>
      </c>
      <c r="S6142" t="str">
        <f t="shared" si="2496"/>
        <v>Approved</v>
      </c>
      <c r="T6142" t="str">
        <f t="shared" si="2508"/>
        <v>10.20.8.188</v>
      </c>
      <c r="U6142" t="str">
        <f t="shared" si="2497"/>
        <v>AZRAD UMAR BIN SHAARI</v>
      </c>
      <c r="V6142" t="str">
        <f t="shared" si="2498"/>
        <v>FARHANA BINTI MUSTAPA</v>
      </c>
      <c r="W6142" t="str">
        <f t="shared" si="2499"/>
        <v>04-08-2020</v>
      </c>
      <c r="X6142" t="str">
        <f t="shared" si="2500"/>
        <v>RAZIMAH ANSAR AHMAD</v>
      </c>
      <c r="Y6142" t="str">
        <f t="shared" si="2501"/>
        <v>04-08-2020</v>
      </c>
      <c r="Z6142" t="str">
        <f>"COS10200804 3012"</f>
        <v>COS10200804 3012</v>
      </c>
    </row>
    <row r="6143" spans="1:26" x14ac:dyDescent="0.25">
      <c r="A6143" t="str">
        <f t="shared" si="2505"/>
        <v>04-08-2020 12:43:51</v>
      </c>
      <c r="B6143" t="str">
        <f>"0000804778"</f>
        <v>0000804778</v>
      </c>
      <c r="C6143" t="str">
        <f t="shared" si="2506"/>
        <v>0000804767</v>
      </c>
      <c r="D6143" t="str">
        <f t="shared" si="2489"/>
        <v>73185</v>
      </c>
      <c r="E6143" t="str">
        <f t="shared" si="2490"/>
        <v>KFH-OPERATIONS DEPARTMENT</v>
      </c>
      <c r="F6143" t="str">
        <f t="shared" si="2491"/>
        <v>IBG</v>
      </c>
      <c r="G6143" t="str">
        <f t="shared" si="2502"/>
        <v>Refund COSHARE 10</v>
      </c>
      <c r="H6143" s="2">
        <v>310.64999999999998</v>
      </c>
      <c r="I6143" t="str">
        <f>"MUHAMMAD SYAHRIL AFZAN BIN MAT LAZIM"</f>
        <v>MUHAMMAD SYAHRIL AFZAN BIN MAT LAZIM</v>
      </c>
      <c r="J6143" t="str">
        <f t="shared" si="2511"/>
        <v>CIMB BANK / CIMB ISLAMIC BANK</v>
      </c>
      <c r="K6143" t="str">
        <f>"01220022812529"</f>
        <v>01220022812529</v>
      </c>
      <c r="L6143" t="str">
        <f t="shared" si="2509"/>
        <v>04-08-2020</v>
      </c>
      <c r="M6143" t="str">
        <f t="shared" si="2509"/>
        <v>04-08-2020</v>
      </c>
      <c r="N6143" t="str">
        <f t="shared" si="2493"/>
        <v>001105018356</v>
      </c>
      <c r="O6143" t="str">
        <f t="shared" si="2494"/>
        <v>MYR</v>
      </c>
      <c r="P6143" t="str">
        <f t="shared" si="2510"/>
        <v>NIL</v>
      </c>
      <c r="Q6143" t="str">
        <f t="shared" si="2510"/>
        <v>NIL</v>
      </c>
      <c r="R6143" t="str">
        <f t="shared" si="2507"/>
        <v>Accepted</v>
      </c>
      <c r="S6143" t="str">
        <f t="shared" si="2496"/>
        <v>Approved</v>
      </c>
      <c r="T6143" t="str">
        <f t="shared" si="2508"/>
        <v>10.20.8.188</v>
      </c>
      <c r="U6143" t="str">
        <f t="shared" si="2497"/>
        <v>AZRAD UMAR BIN SHAARI</v>
      </c>
      <c r="V6143" t="str">
        <f t="shared" si="2498"/>
        <v>FARHANA BINTI MUSTAPA</v>
      </c>
      <c r="W6143" t="str">
        <f t="shared" si="2499"/>
        <v>04-08-2020</v>
      </c>
      <c r="X6143" t="str">
        <f t="shared" si="2500"/>
        <v>RAZIMAH ANSAR AHMAD</v>
      </c>
      <c r="Y6143" t="str">
        <f t="shared" si="2501"/>
        <v>04-08-2020</v>
      </c>
      <c r="Z6143" t="str">
        <f>"COS10200804 3011"</f>
        <v>COS10200804 3011</v>
      </c>
    </row>
    <row r="6144" spans="1:26" x14ac:dyDescent="0.25">
      <c r="A6144" t="str">
        <f t="shared" si="2505"/>
        <v>04-08-2020 12:43:51</v>
      </c>
      <c r="B6144" t="str">
        <f>"0000804777"</f>
        <v>0000804777</v>
      </c>
      <c r="C6144" t="str">
        <f t="shared" si="2506"/>
        <v>0000804767</v>
      </c>
      <c r="D6144" t="str">
        <f t="shared" si="2489"/>
        <v>73185</v>
      </c>
      <c r="E6144" t="str">
        <f t="shared" si="2490"/>
        <v>KFH-OPERATIONS DEPARTMENT</v>
      </c>
      <c r="F6144" t="str">
        <f t="shared" si="2491"/>
        <v>IBG</v>
      </c>
      <c r="G6144" t="str">
        <f t="shared" si="2502"/>
        <v>Refund COSHARE 10</v>
      </c>
      <c r="H6144" s="2">
        <v>268.64999999999998</v>
      </c>
      <c r="I6144" t="str">
        <f>"MUHAMMAD SHAIFUL FAHMI BIN ISMAIL"</f>
        <v>MUHAMMAD SHAIFUL FAHMI BIN ISMAIL</v>
      </c>
      <c r="J6144" t="str">
        <f t="shared" si="2511"/>
        <v>CIMB BANK / CIMB ISLAMIC BANK</v>
      </c>
      <c r="K6144" t="str">
        <f>"06120075205523"</f>
        <v>06120075205523</v>
      </c>
      <c r="L6144" t="str">
        <f t="shared" si="2509"/>
        <v>04-08-2020</v>
      </c>
      <c r="M6144" t="str">
        <f t="shared" si="2509"/>
        <v>04-08-2020</v>
      </c>
      <c r="N6144" t="str">
        <f t="shared" si="2493"/>
        <v>001105018356</v>
      </c>
      <c r="O6144" t="str">
        <f t="shared" si="2494"/>
        <v>MYR</v>
      </c>
      <c r="P6144" t="str">
        <f t="shared" si="2510"/>
        <v>NIL</v>
      </c>
      <c r="Q6144" t="str">
        <f t="shared" si="2510"/>
        <v>NIL</v>
      </c>
      <c r="R6144" t="str">
        <f t="shared" si="2507"/>
        <v>Accepted</v>
      </c>
      <c r="S6144" t="str">
        <f t="shared" si="2496"/>
        <v>Approved</v>
      </c>
      <c r="T6144" t="str">
        <f t="shared" si="2508"/>
        <v>10.20.8.188</v>
      </c>
      <c r="U6144" t="str">
        <f t="shared" si="2497"/>
        <v>AZRAD UMAR BIN SHAARI</v>
      </c>
      <c r="V6144" t="str">
        <f t="shared" si="2498"/>
        <v>FARHANA BINTI MUSTAPA</v>
      </c>
      <c r="W6144" t="str">
        <f t="shared" si="2499"/>
        <v>04-08-2020</v>
      </c>
      <c r="X6144" t="str">
        <f t="shared" si="2500"/>
        <v>RAZIMAH ANSAR AHMAD</v>
      </c>
      <c r="Y6144" t="str">
        <f t="shared" si="2501"/>
        <v>04-08-2020</v>
      </c>
      <c r="Z6144" t="str">
        <f>"COS10200804 3010"</f>
        <v>COS10200804 3010</v>
      </c>
    </row>
    <row r="6145" spans="1:26" x14ac:dyDescent="0.25">
      <c r="A6145" t="str">
        <f t="shared" si="2505"/>
        <v>04-08-2020 12:43:51</v>
      </c>
      <c r="B6145" t="str">
        <f>"0000804776"</f>
        <v>0000804776</v>
      </c>
      <c r="C6145" t="str">
        <f t="shared" si="2506"/>
        <v>0000804767</v>
      </c>
      <c r="D6145" t="str">
        <f t="shared" si="2489"/>
        <v>73185</v>
      </c>
      <c r="E6145" t="str">
        <f t="shared" si="2490"/>
        <v>KFH-OPERATIONS DEPARTMENT</v>
      </c>
      <c r="F6145" t="str">
        <f t="shared" si="2491"/>
        <v>IBG</v>
      </c>
      <c r="G6145" t="str">
        <f t="shared" si="2502"/>
        <v>Refund COSHARE 10</v>
      </c>
      <c r="H6145" s="2">
        <v>235.1</v>
      </c>
      <c r="I6145" t="str">
        <f>"MUHAMMAD SHAHRUL BIN MD NASIR"</f>
        <v>MUHAMMAD SHAHRUL BIN MD NASIR</v>
      </c>
      <c r="J6145" t="str">
        <f t="shared" si="2511"/>
        <v>CIMB BANK / CIMB ISLAMIC BANK</v>
      </c>
      <c r="K6145" t="str">
        <f>"12510008635524"</f>
        <v>12510008635524</v>
      </c>
      <c r="L6145" t="str">
        <f t="shared" si="2509"/>
        <v>04-08-2020</v>
      </c>
      <c r="M6145" t="str">
        <f t="shared" si="2509"/>
        <v>04-08-2020</v>
      </c>
      <c r="N6145" t="str">
        <f t="shared" si="2493"/>
        <v>001105018356</v>
      </c>
      <c r="O6145" t="str">
        <f t="shared" si="2494"/>
        <v>MYR</v>
      </c>
      <c r="P6145" t="str">
        <f t="shared" si="2510"/>
        <v>NIL</v>
      </c>
      <c r="Q6145" t="str">
        <f t="shared" si="2510"/>
        <v>NIL</v>
      </c>
      <c r="R6145" t="str">
        <f t="shared" si="2507"/>
        <v>Accepted</v>
      </c>
      <c r="S6145" t="str">
        <f t="shared" si="2496"/>
        <v>Approved</v>
      </c>
      <c r="T6145" t="str">
        <f t="shared" si="2508"/>
        <v>10.20.8.188</v>
      </c>
      <c r="U6145" t="str">
        <f t="shared" si="2497"/>
        <v>AZRAD UMAR BIN SHAARI</v>
      </c>
      <c r="V6145" t="str">
        <f t="shared" si="2498"/>
        <v>FARHANA BINTI MUSTAPA</v>
      </c>
      <c r="W6145" t="str">
        <f t="shared" si="2499"/>
        <v>04-08-2020</v>
      </c>
      <c r="X6145" t="str">
        <f t="shared" si="2500"/>
        <v>RAZIMAH ANSAR AHMAD</v>
      </c>
      <c r="Y6145" t="str">
        <f t="shared" si="2501"/>
        <v>04-08-2020</v>
      </c>
      <c r="Z6145" t="str">
        <f>"COS10200804 3009"</f>
        <v>COS10200804 3009</v>
      </c>
    </row>
    <row r="6146" spans="1:26" x14ac:dyDescent="0.25">
      <c r="A6146" t="str">
        <f t="shared" ref="A6146:A6153" si="2512">"04-08-2020 12:43:51"</f>
        <v>04-08-2020 12:43:51</v>
      </c>
      <c r="B6146" t="str">
        <f>"0000804775"</f>
        <v>0000804775</v>
      </c>
      <c r="C6146" t="str">
        <f t="shared" ref="C6146:C6153" si="2513">"0000804767"</f>
        <v>0000804767</v>
      </c>
      <c r="D6146" t="str">
        <f t="shared" si="2489"/>
        <v>73185</v>
      </c>
      <c r="E6146" t="str">
        <f t="shared" si="2490"/>
        <v>KFH-OPERATIONS DEPARTMENT</v>
      </c>
      <c r="F6146" t="str">
        <f t="shared" si="2491"/>
        <v>IBG</v>
      </c>
      <c r="G6146" t="str">
        <f t="shared" si="2502"/>
        <v>Refund COSHARE 10</v>
      </c>
      <c r="H6146" s="2">
        <v>744</v>
      </c>
      <c r="I6146" t="str">
        <f>"MUHAMMAD SHAH BIN AB RAHIM"</f>
        <v>MUHAMMAD SHAH BIN AB RAHIM</v>
      </c>
      <c r="J6146" t="str">
        <f t="shared" si="2511"/>
        <v>CIMB BANK / CIMB ISLAMIC BANK</v>
      </c>
      <c r="K6146" t="str">
        <f>"01090076565524"</f>
        <v>01090076565524</v>
      </c>
      <c r="L6146" t="str">
        <f t="shared" si="2509"/>
        <v>04-08-2020</v>
      </c>
      <c r="M6146" t="str">
        <f t="shared" si="2509"/>
        <v>04-08-2020</v>
      </c>
      <c r="N6146" t="str">
        <f t="shared" si="2493"/>
        <v>001105018356</v>
      </c>
      <c r="O6146" t="str">
        <f t="shared" si="2494"/>
        <v>MYR</v>
      </c>
      <c r="P6146" t="str">
        <f t="shared" si="2510"/>
        <v>NIL</v>
      </c>
      <c r="Q6146" t="str">
        <f t="shared" si="2510"/>
        <v>NIL</v>
      </c>
      <c r="R6146" t="str">
        <f t="shared" si="2507"/>
        <v>Accepted</v>
      </c>
      <c r="S6146" t="str">
        <f t="shared" si="2496"/>
        <v>Approved</v>
      </c>
      <c r="T6146" t="str">
        <f t="shared" si="2508"/>
        <v>10.20.8.188</v>
      </c>
      <c r="U6146" t="str">
        <f t="shared" si="2497"/>
        <v>AZRAD UMAR BIN SHAARI</v>
      </c>
      <c r="V6146" t="str">
        <f t="shared" si="2498"/>
        <v>FARHANA BINTI MUSTAPA</v>
      </c>
      <c r="W6146" t="str">
        <f t="shared" si="2499"/>
        <v>04-08-2020</v>
      </c>
      <c r="X6146" t="str">
        <f t="shared" si="2500"/>
        <v>RAZIMAH ANSAR AHMAD</v>
      </c>
      <c r="Y6146" t="str">
        <f t="shared" si="2501"/>
        <v>04-08-2020</v>
      </c>
      <c r="Z6146" t="str">
        <f>"COS10200804 3008"</f>
        <v>COS10200804 3008</v>
      </c>
    </row>
    <row r="6147" spans="1:26" x14ac:dyDescent="0.25">
      <c r="A6147" t="str">
        <f t="shared" si="2512"/>
        <v>04-08-2020 12:43:51</v>
      </c>
      <c r="B6147" t="str">
        <f>"0000804774"</f>
        <v>0000804774</v>
      </c>
      <c r="C6147" t="str">
        <f t="shared" si="2513"/>
        <v>0000804767</v>
      </c>
      <c r="D6147" t="str">
        <f t="shared" si="2489"/>
        <v>73185</v>
      </c>
      <c r="E6147" t="str">
        <f t="shared" si="2490"/>
        <v>KFH-OPERATIONS DEPARTMENT</v>
      </c>
      <c r="F6147" t="str">
        <f t="shared" si="2491"/>
        <v>IBG</v>
      </c>
      <c r="G6147" t="str">
        <f t="shared" si="2502"/>
        <v>Refund COSHARE 10</v>
      </c>
      <c r="H6147" s="2">
        <v>587.65</v>
      </c>
      <c r="I6147" t="str">
        <f>"MUHAMMAD SHAH BIN AB RAHIM"</f>
        <v>MUHAMMAD SHAH BIN AB RAHIM</v>
      </c>
      <c r="J6147" t="str">
        <f t="shared" si="2511"/>
        <v>CIMB BANK / CIMB ISLAMIC BANK</v>
      </c>
      <c r="K6147" t="str">
        <f>"01090076565524"</f>
        <v>01090076565524</v>
      </c>
      <c r="L6147" t="str">
        <f t="shared" ref="L6147:M6166" si="2514">"04-08-2020"</f>
        <v>04-08-2020</v>
      </c>
      <c r="M6147" t="str">
        <f t="shared" si="2514"/>
        <v>04-08-2020</v>
      </c>
      <c r="N6147" t="str">
        <f t="shared" si="2493"/>
        <v>001105018356</v>
      </c>
      <c r="O6147" t="str">
        <f t="shared" si="2494"/>
        <v>MYR</v>
      </c>
      <c r="P6147" t="str">
        <f t="shared" ref="P6147:Q6166" si="2515">"NIL"</f>
        <v>NIL</v>
      </c>
      <c r="Q6147" t="str">
        <f t="shared" si="2515"/>
        <v>NIL</v>
      </c>
      <c r="R6147" t="str">
        <f t="shared" si="2507"/>
        <v>Accepted</v>
      </c>
      <c r="S6147" t="str">
        <f t="shared" si="2496"/>
        <v>Approved</v>
      </c>
      <c r="T6147" t="str">
        <f t="shared" si="2508"/>
        <v>10.20.8.188</v>
      </c>
      <c r="U6147" t="str">
        <f t="shared" si="2497"/>
        <v>AZRAD UMAR BIN SHAARI</v>
      </c>
      <c r="V6147" t="str">
        <f t="shared" si="2498"/>
        <v>FARHANA BINTI MUSTAPA</v>
      </c>
      <c r="W6147" t="str">
        <f t="shared" si="2499"/>
        <v>04-08-2020</v>
      </c>
      <c r="X6147" t="str">
        <f t="shared" si="2500"/>
        <v>RAZIMAH ANSAR AHMAD</v>
      </c>
      <c r="Y6147" t="str">
        <f t="shared" si="2501"/>
        <v>04-08-2020</v>
      </c>
      <c r="Z6147" t="str">
        <f>"COS10200804 3007"</f>
        <v>COS10200804 3007</v>
      </c>
    </row>
    <row r="6148" spans="1:26" x14ac:dyDescent="0.25">
      <c r="A6148" t="str">
        <f t="shared" si="2512"/>
        <v>04-08-2020 12:43:51</v>
      </c>
      <c r="B6148" t="str">
        <f>"0000804773"</f>
        <v>0000804773</v>
      </c>
      <c r="C6148" t="str">
        <f t="shared" si="2513"/>
        <v>0000804767</v>
      </c>
      <c r="D6148" t="str">
        <f t="shared" si="2489"/>
        <v>73185</v>
      </c>
      <c r="E6148" t="str">
        <f t="shared" si="2490"/>
        <v>KFH-OPERATIONS DEPARTMENT</v>
      </c>
      <c r="F6148" t="str">
        <f t="shared" si="2491"/>
        <v>IBG</v>
      </c>
      <c r="G6148" t="str">
        <f t="shared" si="2502"/>
        <v>Refund COSHARE 10</v>
      </c>
      <c r="H6148" s="2">
        <v>654.85</v>
      </c>
      <c r="I6148" t="str">
        <f>"MUHAMMAD SAIFUL BIN ABDUL RASHID"</f>
        <v>MUHAMMAD SAIFUL BIN ABDUL RASHID</v>
      </c>
      <c r="J6148" t="str">
        <f t="shared" si="2511"/>
        <v>CIMB BANK / CIMB ISLAMIC BANK</v>
      </c>
      <c r="K6148" t="str">
        <f>"7005329336"</f>
        <v>7005329336</v>
      </c>
      <c r="L6148" t="str">
        <f t="shared" si="2514"/>
        <v>04-08-2020</v>
      </c>
      <c r="M6148" t="str">
        <f t="shared" si="2514"/>
        <v>04-08-2020</v>
      </c>
      <c r="N6148" t="str">
        <f t="shared" si="2493"/>
        <v>001105018356</v>
      </c>
      <c r="O6148" t="str">
        <f t="shared" si="2494"/>
        <v>MYR</v>
      </c>
      <c r="P6148" t="str">
        <f t="shared" si="2515"/>
        <v>NIL</v>
      </c>
      <c r="Q6148" t="str">
        <f t="shared" si="2515"/>
        <v>NIL</v>
      </c>
      <c r="R6148" t="str">
        <f t="shared" si="2507"/>
        <v>Accepted</v>
      </c>
      <c r="S6148" t="str">
        <f t="shared" si="2496"/>
        <v>Approved</v>
      </c>
      <c r="T6148" t="str">
        <f t="shared" si="2508"/>
        <v>10.20.8.188</v>
      </c>
      <c r="U6148" t="str">
        <f t="shared" si="2497"/>
        <v>AZRAD UMAR BIN SHAARI</v>
      </c>
      <c r="V6148" t="str">
        <f t="shared" si="2498"/>
        <v>FARHANA BINTI MUSTAPA</v>
      </c>
      <c r="W6148" t="str">
        <f t="shared" si="2499"/>
        <v>04-08-2020</v>
      </c>
      <c r="X6148" t="str">
        <f t="shared" si="2500"/>
        <v>RAZIMAH ANSAR AHMAD</v>
      </c>
      <c r="Y6148" t="str">
        <f t="shared" si="2501"/>
        <v>04-08-2020</v>
      </c>
      <c r="Z6148" t="str">
        <f>"COS10200804 3006"</f>
        <v>COS10200804 3006</v>
      </c>
    </row>
    <row r="6149" spans="1:26" x14ac:dyDescent="0.25">
      <c r="A6149" t="str">
        <f t="shared" si="2512"/>
        <v>04-08-2020 12:43:51</v>
      </c>
      <c r="B6149" t="str">
        <f>"0000804772"</f>
        <v>0000804772</v>
      </c>
      <c r="C6149" t="str">
        <f t="shared" si="2513"/>
        <v>0000804767</v>
      </c>
      <c r="D6149" t="str">
        <f t="shared" si="2489"/>
        <v>73185</v>
      </c>
      <c r="E6149" t="str">
        <f t="shared" si="2490"/>
        <v>KFH-OPERATIONS DEPARTMENT</v>
      </c>
      <c r="F6149" t="str">
        <f t="shared" si="2491"/>
        <v>IBG</v>
      </c>
      <c r="G6149" t="str">
        <f t="shared" si="2502"/>
        <v>Refund COSHARE 10</v>
      </c>
      <c r="H6149" s="2">
        <v>434.65</v>
      </c>
      <c r="I6149" t="str">
        <f>"MUHAMMAD SABRI BIN ABDUL LATIF"</f>
        <v>MUHAMMAD SABRI BIN ABDUL LATIF</v>
      </c>
      <c r="J6149" t="str">
        <f t="shared" si="2511"/>
        <v>CIMB BANK / CIMB ISLAMIC BANK</v>
      </c>
      <c r="K6149" t="str">
        <f>"7043009052"</f>
        <v>7043009052</v>
      </c>
      <c r="L6149" t="str">
        <f t="shared" si="2514"/>
        <v>04-08-2020</v>
      </c>
      <c r="M6149" t="str">
        <f t="shared" si="2514"/>
        <v>04-08-2020</v>
      </c>
      <c r="N6149" t="str">
        <f t="shared" si="2493"/>
        <v>001105018356</v>
      </c>
      <c r="O6149" t="str">
        <f t="shared" si="2494"/>
        <v>MYR</v>
      </c>
      <c r="P6149" t="str">
        <f t="shared" si="2515"/>
        <v>NIL</v>
      </c>
      <c r="Q6149" t="str">
        <f t="shared" si="2515"/>
        <v>NIL</v>
      </c>
      <c r="R6149" t="str">
        <f t="shared" si="2507"/>
        <v>Accepted</v>
      </c>
      <c r="S6149" t="str">
        <f t="shared" si="2496"/>
        <v>Approved</v>
      </c>
      <c r="T6149" t="str">
        <f t="shared" si="2508"/>
        <v>10.20.8.188</v>
      </c>
      <c r="U6149" t="str">
        <f t="shared" si="2497"/>
        <v>AZRAD UMAR BIN SHAARI</v>
      </c>
      <c r="V6149" t="str">
        <f t="shared" si="2498"/>
        <v>FARHANA BINTI MUSTAPA</v>
      </c>
      <c r="W6149" t="str">
        <f t="shared" si="2499"/>
        <v>04-08-2020</v>
      </c>
      <c r="X6149" t="str">
        <f t="shared" si="2500"/>
        <v>RAZIMAH ANSAR AHMAD</v>
      </c>
      <c r="Y6149" t="str">
        <f t="shared" si="2501"/>
        <v>04-08-2020</v>
      </c>
      <c r="Z6149" t="str">
        <f>"COS10200804 3005"</f>
        <v>COS10200804 3005</v>
      </c>
    </row>
    <row r="6150" spans="1:26" x14ac:dyDescent="0.25">
      <c r="A6150" t="str">
        <f t="shared" si="2512"/>
        <v>04-08-2020 12:43:51</v>
      </c>
      <c r="B6150" t="str">
        <f>"0000804771"</f>
        <v>0000804771</v>
      </c>
      <c r="C6150" t="str">
        <f t="shared" si="2513"/>
        <v>0000804767</v>
      </c>
      <c r="D6150" t="str">
        <f t="shared" si="2489"/>
        <v>73185</v>
      </c>
      <c r="E6150" t="str">
        <f t="shared" si="2490"/>
        <v>KFH-OPERATIONS DEPARTMENT</v>
      </c>
      <c r="F6150" t="str">
        <f t="shared" si="2491"/>
        <v>IBG</v>
      </c>
      <c r="G6150" t="str">
        <f t="shared" si="2502"/>
        <v>Refund COSHARE 10</v>
      </c>
      <c r="H6150" s="2">
        <v>152</v>
      </c>
      <c r="I6150" t="str">
        <f>"MUHAMMAD RAKIS BIN NASIRAN"</f>
        <v>MUHAMMAD RAKIS BIN NASIRAN</v>
      </c>
      <c r="J6150" t="str">
        <f t="shared" si="2511"/>
        <v>CIMB BANK / CIMB ISLAMIC BANK</v>
      </c>
      <c r="K6150" t="str">
        <f>"14230065430521"</f>
        <v>14230065430521</v>
      </c>
      <c r="L6150" t="str">
        <f t="shared" si="2514"/>
        <v>04-08-2020</v>
      </c>
      <c r="M6150" t="str">
        <f t="shared" si="2514"/>
        <v>04-08-2020</v>
      </c>
      <c r="N6150" t="str">
        <f t="shared" si="2493"/>
        <v>001105018356</v>
      </c>
      <c r="O6150" t="str">
        <f t="shared" si="2494"/>
        <v>MYR</v>
      </c>
      <c r="P6150" t="str">
        <f t="shared" si="2515"/>
        <v>NIL</v>
      </c>
      <c r="Q6150" t="str">
        <f t="shared" si="2515"/>
        <v>NIL</v>
      </c>
      <c r="R6150" t="str">
        <f t="shared" si="2507"/>
        <v>Accepted</v>
      </c>
      <c r="S6150" t="str">
        <f t="shared" si="2496"/>
        <v>Approved</v>
      </c>
      <c r="T6150" t="str">
        <f t="shared" si="2508"/>
        <v>10.20.8.188</v>
      </c>
      <c r="U6150" t="str">
        <f t="shared" si="2497"/>
        <v>AZRAD UMAR BIN SHAARI</v>
      </c>
      <c r="V6150" t="str">
        <f t="shared" si="2498"/>
        <v>FARHANA BINTI MUSTAPA</v>
      </c>
      <c r="W6150" t="str">
        <f t="shared" si="2499"/>
        <v>04-08-2020</v>
      </c>
      <c r="X6150" t="str">
        <f t="shared" si="2500"/>
        <v>RAZIMAH ANSAR AHMAD</v>
      </c>
      <c r="Y6150" t="str">
        <f t="shared" si="2501"/>
        <v>04-08-2020</v>
      </c>
      <c r="Z6150" t="str">
        <f>"COS10200804 3004"</f>
        <v>COS10200804 3004</v>
      </c>
    </row>
    <row r="6151" spans="1:26" x14ac:dyDescent="0.25">
      <c r="A6151" t="str">
        <f t="shared" si="2512"/>
        <v>04-08-2020 12:43:51</v>
      </c>
      <c r="B6151" t="str">
        <f>"0000804770"</f>
        <v>0000804770</v>
      </c>
      <c r="C6151" t="str">
        <f t="shared" si="2513"/>
        <v>0000804767</v>
      </c>
      <c r="D6151" t="str">
        <f t="shared" ref="D6151:D6214" si="2516">"73185"</f>
        <v>73185</v>
      </c>
      <c r="E6151" t="str">
        <f t="shared" ref="E6151:E6214" si="2517">"KFH-OPERATIONS DEPARTMENT"</f>
        <v>KFH-OPERATIONS DEPARTMENT</v>
      </c>
      <c r="F6151" t="str">
        <f t="shared" ref="F6151:F6214" si="2518">"IBG"</f>
        <v>IBG</v>
      </c>
      <c r="G6151" t="str">
        <f t="shared" si="2502"/>
        <v>Refund COSHARE 10</v>
      </c>
      <c r="H6151" s="2">
        <v>42</v>
      </c>
      <c r="I6151" t="str">
        <f>"MUHAMMAD QAIYUM BIN SUHAIMI"</f>
        <v>MUHAMMAD QAIYUM BIN SUHAIMI</v>
      </c>
      <c r="J6151" t="str">
        <f t="shared" si="2511"/>
        <v>CIMB BANK / CIMB ISLAMIC BANK</v>
      </c>
      <c r="K6151" t="str">
        <f>"13030037100522"</f>
        <v>13030037100522</v>
      </c>
      <c r="L6151" t="str">
        <f t="shared" si="2514"/>
        <v>04-08-2020</v>
      </c>
      <c r="M6151" t="str">
        <f t="shared" si="2514"/>
        <v>04-08-2020</v>
      </c>
      <c r="N6151" t="str">
        <f t="shared" ref="N6151:N6214" si="2519">"001105018356"</f>
        <v>001105018356</v>
      </c>
      <c r="O6151" t="str">
        <f t="shared" ref="O6151:O6214" si="2520">"MYR"</f>
        <v>MYR</v>
      </c>
      <c r="P6151" t="str">
        <f t="shared" si="2515"/>
        <v>NIL</v>
      </c>
      <c r="Q6151" t="str">
        <f t="shared" si="2515"/>
        <v>NIL</v>
      </c>
      <c r="R6151" t="str">
        <f t="shared" si="2507"/>
        <v>Accepted</v>
      </c>
      <c r="S6151" t="str">
        <f t="shared" ref="S6151:S6214" si="2521">"Approved"</f>
        <v>Approved</v>
      </c>
      <c r="T6151" t="str">
        <f t="shared" si="2508"/>
        <v>10.20.8.188</v>
      </c>
      <c r="U6151" t="str">
        <f t="shared" ref="U6151:U6214" si="2522">"AZRAD UMAR BIN SHAARI"</f>
        <v>AZRAD UMAR BIN SHAARI</v>
      </c>
      <c r="V6151" t="str">
        <f t="shared" ref="V6151:V6214" si="2523">"FARHANA BINTI MUSTAPA"</f>
        <v>FARHANA BINTI MUSTAPA</v>
      </c>
      <c r="W6151" t="str">
        <f t="shared" ref="W6151:W6214" si="2524">"04-08-2020"</f>
        <v>04-08-2020</v>
      </c>
      <c r="X6151" t="str">
        <f t="shared" ref="X6151:X6214" si="2525">"RAZIMAH ANSAR AHMAD"</f>
        <v>RAZIMAH ANSAR AHMAD</v>
      </c>
      <c r="Y6151" t="str">
        <f t="shared" ref="Y6151:Y6214" si="2526">"04-08-2020"</f>
        <v>04-08-2020</v>
      </c>
      <c r="Z6151" t="str">
        <f>"COS10200804 3003"</f>
        <v>COS10200804 3003</v>
      </c>
    </row>
    <row r="6152" spans="1:26" x14ac:dyDescent="0.25">
      <c r="A6152" t="str">
        <f t="shared" si="2512"/>
        <v>04-08-2020 12:43:51</v>
      </c>
      <c r="B6152" t="str">
        <f>"0000804769"</f>
        <v>0000804769</v>
      </c>
      <c r="C6152" t="str">
        <f t="shared" si="2513"/>
        <v>0000804767</v>
      </c>
      <c r="D6152" t="str">
        <f t="shared" si="2516"/>
        <v>73185</v>
      </c>
      <c r="E6152" t="str">
        <f t="shared" si="2517"/>
        <v>KFH-OPERATIONS DEPARTMENT</v>
      </c>
      <c r="F6152" t="str">
        <f t="shared" si="2518"/>
        <v>IBG</v>
      </c>
      <c r="G6152" t="str">
        <f t="shared" si="2502"/>
        <v>Refund COSHARE 10</v>
      </c>
      <c r="H6152" s="2">
        <v>839.5</v>
      </c>
      <c r="I6152" t="str">
        <f>"MUHAMMAD HASNI BIN ABDUL AZIZ"</f>
        <v>MUHAMMAD HASNI BIN ABDUL AZIZ</v>
      </c>
      <c r="J6152" t="str">
        <f t="shared" si="2511"/>
        <v>CIMB BANK / CIMB ISLAMIC BANK</v>
      </c>
      <c r="K6152" t="str">
        <f>"7009410525"</f>
        <v>7009410525</v>
      </c>
      <c r="L6152" t="str">
        <f t="shared" si="2514"/>
        <v>04-08-2020</v>
      </c>
      <c r="M6152" t="str">
        <f t="shared" si="2514"/>
        <v>04-08-2020</v>
      </c>
      <c r="N6152" t="str">
        <f t="shared" si="2519"/>
        <v>001105018356</v>
      </c>
      <c r="O6152" t="str">
        <f t="shared" si="2520"/>
        <v>MYR</v>
      </c>
      <c r="P6152" t="str">
        <f t="shared" si="2515"/>
        <v>NIL</v>
      </c>
      <c r="Q6152" t="str">
        <f t="shared" si="2515"/>
        <v>NIL</v>
      </c>
      <c r="R6152" t="str">
        <f t="shared" si="2507"/>
        <v>Accepted</v>
      </c>
      <c r="S6152" t="str">
        <f t="shared" si="2521"/>
        <v>Approved</v>
      </c>
      <c r="T6152" t="str">
        <f t="shared" si="2508"/>
        <v>10.20.8.188</v>
      </c>
      <c r="U6152" t="str">
        <f t="shared" si="2522"/>
        <v>AZRAD UMAR BIN SHAARI</v>
      </c>
      <c r="V6152" t="str">
        <f t="shared" si="2523"/>
        <v>FARHANA BINTI MUSTAPA</v>
      </c>
      <c r="W6152" t="str">
        <f t="shared" si="2524"/>
        <v>04-08-2020</v>
      </c>
      <c r="X6152" t="str">
        <f t="shared" si="2525"/>
        <v>RAZIMAH ANSAR AHMAD</v>
      </c>
      <c r="Y6152" t="str">
        <f t="shared" si="2526"/>
        <v>04-08-2020</v>
      </c>
      <c r="Z6152" t="str">
        <f>"COS10200804 3002"</f>
        <v>COS10200804 3002</v>
      </c>
    </row>
    <row r="6153" spans="1:26" x14ac:dyDescent="0.25">
      <c r="A6153" t="str">
        <f t="shared" si="2512"/>
        <v>04-08-2020 12:43:51</v>
      </c>
      <c r="B6153" t="str">
        <f>"0000804768"</f>
        <v>0000804768</v>
      </c>
      <c r="C6153" t="str">
        <f t="shared" si="2513"/>
        <v>0000804767</v>
      </c>
      <c r="D6153" t="str">
        <f t="shared" si="2516"/>
        <v>73185</v>
      </c>
      <c r="E6153" t="str">
        <f t="shared" si="2517"/>
        <v>KFH-OPERATIONS DEPARTMENT</v>
      </c>
      <c r="F6153" t="str">
        <f t="shared" si="2518"/>
        <v>IBG</v>
      </c>
      <c r="G6153" t="str">
        <f t="shared" si="2502"/>
        <v>Refund COSHARE 10</v>
      </c>
      <c r="H6153" s="2">
        <v>83.95</v>
      </c>
      <c r="I6153" t="str">
        <f>"MUHAMMAD FIRDAUS BIN ABU BAKAR"</f>
        <v>MUHAMMAD FIRDAUS BIN ABU BAKAR</v>
      </c>
      <c r="J6153" t="str">
        <f t="shared" si="2511"/>
        <v>CIMB BANK / CIMB ISLAMIC BANK</v>
      </c>
      <c r="K6153" t="str">
        <f>"16010006046528"</f>
        <v>16010006046528</v>
      </c>
      <c r="L6153" t="str">
        <f t="shared" si="2514"/>
        <v>04-08-2020</v>
      </c>
      <c r="M6153" t="str">
        <f t="shared" si="2514"/>
        <v>04-08-2020</v>
      </c>
      <c r="N6153" t="str">
        <f t="shared" si="2519"/>
        <v>001105018356</v>
      </c>
      <c r="O6153" t="str">
        <f t="shared" si="2520"/>
        <v>MYR</v>
      </c>
      <c r="P6153" t="str">
        <f t="shared" si="2515"/>
        <v>NIL</v>
      </c>
      <c r="Q6153" t="str">
        <f t="shared" si="2515"/>
        <v>NIL</v>
      </c>
      <c r="R6153" t="str">
        <f t="shared" si="2507"/>
        <v>Accepted</v>
      </c>
      <c r="S6153" t="str">
        <f t="shared" si="2521"/>
        <v>Approved</v>
      </c>
      <c r="T6153" t="str">
        <f t="shared" si="2508"/>
        <v>10.20.8.188</v>
      </c>
      <c r="U6153" t="str">
        <f t="shared" si="2522"/>
        <v>AZRAD UMAR BIN SHAARI</v>
      </c>
      <c r="V6153" t="str">
        <f t="shared" si="2523"/>
        <v>FARHANA BINTI MUSTAPA</v>
      </c>
      <c r="W6153" t="str">
        <f t="shared" si="2524"/>
        <v>04-08-2020</v>
      </c>
      <c r="X6153" t="str">
        <f t="shared" si="2525"/>
        <v>RAZIMAH ANSAR AHMAD</v>
      </c>
      <c r="Y6153" t="str">
        <f t="shared" si="2526"/>
        <v>04-08-2020</v>
      </c>
      <c r="Z6153" t="str">
        <f>"COS10200804 3001"</f>
        <v>COS10200804 3001</v>
      </c>
    </row>
    <row r="6154" spans="1:26" x14ac:dyDescent="0.25">
      <c r="A6154" t="str">
        <f t="shared" ref="A6154:A6185" si="2527">"04-08-2020 12:40:28"</f>
        <v>04-08-2020 12:40:28</v>
      </c>
      <c r="B6154" t="str">
        <f>"0000804764"</f>
        <v>0000804764</v>
      </c>
      <c r="C6154" t="str">
        <f t="shared" ref="C6154:C6185" si="2528">"0000804564"</f>
        <v>0000804564</v>
      </c>
      <c r="D6154" t="str">
        <f t="shared" si="2516"/>
        <v>73185</v>
      </c>
      <c r="E6154" t="str">
        <f t="shared" si="2517"/>
        <v>KFH-OPERATIONS DEPARTMENT</v>
      </c>
      <c r="F6154" t="str">
        <f t="shared" si="2518"/>
        <v>IBG</v>
      </c>
      <c r="G6154" t="str">
        <f t="shared" si="2502"/>
        <v>Refund COSHARE 10</v>
      </c>
      <c r="H6154" s="2">
        <v>50.4</v>
      </c>
      <c r="I6154" t="str">
        <f>"MUHAMMAD FAZRY HISHAM B BAHARUDDIN"</f>
        <v>MUHAMMAD FAZRY HISHAM B BAHARUDDIN</v>
      </c>
      <c r="J6154" t="str">
        <f t="shared" si="2511"/>
        <v>CIMB BANK / CIMB ISLAMIC BANK</v>
      </c>
      <c r="K6154" t="str">
        <f>"7036838765"</f>
        <v>7036838765</v>
      </c>
      <c r="L6154" t="str">
        <f t="shared" si="2514"/>
        <v>04-08-2020</v>
      </c>
      <c r="M6154" t="str">
        <f t="shared" si="2514"/>
        <v>04-08-2020</v>
      </c>
      <c r="N6154" t="str">
        <f t="shared" si="2519"/>
        <v>001105018356</v>
      </c>
      <c r="O6154" t="str">
        <f t="shared" si="2520"/>
        <v>MYR</v>
      </c>
      <c r="P6154" t="str">
        <f t="shared" si="2515"/>
        <v>NIL</v>
      </c>
      <c r="Q6154" t="str">
        <f t="shared" si="2515"/>
        <v>NIL</v>
      </c>
      <c r="R6154" t="str">
        <f t="shared" si="2507"/>
        <v>Accepted</v>
      </c>
      <c r="S6154" t="str">
        <f t="shared" si="2521"/>
        <v>Approved</v>
      </c>
      <c r="T6154" t="str">
        <f t="shared" si="2508"/>
        <v>10.20.8.188</v>
      </c>
      <c r="U6154" t="str">
        <f t="shared" si="2522"/>
        <v>AZRAD UMAR BIN SHAARI</v>
      </c>
      <c r="V6154" t="str">
        <f t="shared" si="2523"/>
        <v>FARHANA BINTI MUSTAPA</v>
      </c>
      <c r="W6154" t="str">
        <f t="shared" si="2524"/>
        <v>04-08-2020</v>
      </c>
      <c r="X6154" t="str">
        <f t="shared" si="2525"/>
        <v>RAZIMAH ANSAR AHMAD</v>
      </c>
      <c r="Y6154" t="str">
        <f t="shared" si="2526"/>
        <v>04-08-2020</v>
      </c>
      <c r="Z6154" t="str">
        <f>"COS10200804 3000"</f>
        <v>COS10200804 3000</v>
      </c>
    </row>
    <row r="6155" spans="1:26" x14ac:dyDescent="0.25">
      <c r="A6155" t="str">
        <f t="shared" si="2527"/>
        <v>04-08-2020 12:40:28</v>
      </c>
      <c r="B6155" t="str">
        <f>"0000804763"</f>
        <v>0000804763</v>
      </c>
      <c r="C6155" t="str">
        <f t="shared" si="2528"/>
        <v>0000804564</v>
      </c>
      <c r="D6155" t="str">
        <f t="shared" si="2516"/>
        <v>73185</v>
      </c>
      <c r="E6155" t="str">
        <f t="shared" si="2517"/>
        <v>KFH-OPERATIONS DEPARTMENT</v>
      </c>
      <c r="F6155" t="str">
        <f t="shared" si="2518"/>
        <v>IBG</v>
      </c>
      <c r="G6155" t="str">
        <f t="shared" si="2502"/>
        <v>Refund COSHARE 10</v>
      </c>
      <c r="H6155" s="2">
        <v>1469.15</v>
      </c>
      <c r="I6155" t="str">
        <f>"MUHAMMAD FARUQ BIN MD YUNUS"</f>
        <v>MUHAMMAD FARUQ BIN MD YUNUS</v>
      </c>
      <c r="J6155" t="str">
        <f t="shared" si="2511"/>
        <v>CIMB BANK / CIMB ISLAMIC BANK</v>
      </c>
      <c r="K6155" t="str">
        <f>"12440081807520"</f>
        <v>12440081807520</v>
      </c>
      <c r="L6155" t="str">
        <f t="shared" si="2514"/>
        <v>04-08-2020</v>
      </c>
      <c r="M6155" t="str">
        <f t="shared" si="2514"/>
        <v>04-08-2020</v>
      </c>
      <c r="N6155" t="str">
        <f t="shared" si="2519"/>
        <v>001105018356</v>
      </c>
      <c r="O6155" t="str">
        <f t="shared" si="2520"/>
        <v>MYR</v>
      </c>
      <c r="P6155" t="str">
        <f t="shared" si="2515"/>
        <v>NIL</v>
      </c>
      <c r="Q6155" t="str">
        <f t="shared" si="2515"/>
        <v>NIL</v>
      </c>
      <c r="R6155" t="str">
        <f t="shared" si="2507"/>
        <v>Accepted</v>
      </c>
      <c r="S6155" t="str">
        <f t="shared" si="2521"/>
        <v>Approved</v>
      </c>
      <c r="T6155" t="str">
        <f t="shared" si="2508"/>
        <v>10.20.8.188</v>
      </c>
      <c r="U6155" t="str">
        <f t="shared" si="2522"/>
        <v>AZRAD UMAR BIN SHAARI</v>
      </c>
      <c r="V6155" t="str">
        <f t="shared" si="2523"/>
        <v>FARHANA BINTI MUSTAPA</v>
      </c>
      <c r="W6155" t="str">
        <f t="shared" si="2524"/>
        <v>04-08-2020</v>
      </c>
      <c r="X6155" t="str">
        <f t="shared" si="2525"/>
        <v>RAZIMAH ANSAR AHMAD</v>
      </c>
      <c r="Y6155" t="str">
        <f t="shared" si="2526"/>
        <v>04-08-2020</v>
      </c>
      <c r="Z6155" t="str">
        <f>"COS10200804 2999"</f>
        <v>COS10200804 2999</v>
      </c>
    </row>
    <row r="6156" spans="1:26" x14ac:dyDescent="0.25">
      <c r="A6156" t="str">
        <f t="shared" si="2527"/>
        <v>04-08-2020 12:40:28</v>
      </c>
      <c r="B6156" t="str">
        <f>"0000804762"</f>
        <v>0000804762</v>
      </c>
      <c r="C6156" t="str">
        <f t="shared" si="2528"/>
        <v>0000804564</v>
      </c>
      <c r="D6156" t="str">
        <f t="shared" si="2516"/>
        <v>73185</v>
      </c>
      <c r="E6156" t="str">
        <f t="shared" si="2517"/>
        <v>KFH-OPERATIONS DEPARTMENT</v>
      </c>
      <c r="F6156" t="str">
        <f t="shared" si="2518"/>
        <v>IBG</v>
      </c>
      <c r="G6156" t="str">
        <f t="shared" ref="G6156:G6219" si="2529">"Refund COSHARE 10"</f>
        <v>Refund COSHARE 10</v>
      </c>
      <c r="H6156" s="2">
        <v>83.95</v>
      </c>
      <c r="I6156" t="str">
        <f>"MUHAMMAD FAIZUL BIN ALIAS"</f>
        <v>MUHAMMAD FAIZUL BIN ALIAS</v>
      </c>
      <c r="J6156" t="str">
        <f t="shared" si="2511"/>
        <v>CIMB BANK / CIMB ISLAMIC BANK</v>
      </c>
      <c r="K6156" t="str">
        <f>"16010004837203"</f>
        <v>16010004837203</v>
      </c>
      <c r="L6156" t="str">
        <f t="shared" si="2514"/>
        <v>04-08-2020</v>
      </c>
      <c r="M6156" t="str">
        <f t="shared" si="2514"/>
        <v>04-08-2020</v>
      </c>
      <c r="N6156" t="str">
        <f t="shared" si="2519"/>
        <v>001105018356</v>
      </c>
      <c r="O6156" t="str">
        <f t="shared" si="2520"/>
        <v>MYR</v>
      </c>
      <c r="P6156" t="str">
        <f t="shared" si="2515"/>
        <v>NIL</v>
      </c>
      <c r="Q6156" t="str">
        <f t="shared" si="2515"/>
        <v>NIL</v>
      </c>
      <c r="R6156" t="str">
        <f t="shared" si="2507"/>
        <v>Accepted</v>
      </c>
      <c r="S6156" t="str">
        <f t="shared" si="2521"/>
        <v>Approved</v>
      </c>
      <c r="T6156" t="str">
        <f t="shared" si="2508"/>
        <v>10.20.8.188</v>
      </c>
      <c r="U6156" t="str">
        <f t="shared" si="2522"/>
        <v>AZRAD UMAR BIN SHAARI</v>
      </c>
      <c r="V6156" t="str">
        <f t="shared" si="2523"/>
        <v>FARHANA BINTI MUSTAPA</v>
      </c>
      <c r="W6156" t="str">
        <f t="shared" si="2524"/>
        <v>04-08-2020</v>
      </c>
      <c r="X6156" t="str">
        <f t="shared" si="2525"/>
        <v>RAZIMAH ANSAR AHMAD</v>
      </c>
      <c r="Y6156" t="str">
        <f t="shared" si="2526"/>
        <v>04-08-2020</v>
      </c>
      <c r="Z6156" t="str">
        <f>"COS10200804 2998"</f>
        <v>COS10200804 2998</v>
      </c>
    </row>
    <row r="6157" spans="1:26" x14ac:dyDescent="0.25">
      <c r="A6157" t="str">
        <f t="shared" si="2527"/>
        <v>04-08-2020 12:40:28</v>
      </c>
      <c r="B6157" t="str">
        <f>"0000804761"</f>
        <v>0000804761</v>
      </c>
      <c r="C6157" t="str">
        <f t="shared" si="2528"/>
        <v>0000804564</v>
      </c>
      <c r="D6157" t="str">
        <f t="shared" si="2516"/>
        <v>73185</v>
      </c>
      <c r="E6157" t="str">
        <f t="shared" si="2517"/>
        <v>KFH-OPERATIONS DEPARTMENT</v>
      </c>
      <c r="F6157" t="str">
        <f t="shared" si="2518"/>
        <v>IBG</v>
      </c>
      <c r="G6157" t="str">
        <f t="shared" si="2529"/>
        <v>Refund COSHARE 10</v>
      </c>
      <c r="H6157" s="2">
        <v>1250.8499999999999</v>
      </c>
      <c r="I6157" t="str">
        <f>"MUHAMMAD FADZLEE BIN KHALID"</f>
        <v>MUHAMMAD FADZLEE BIN KHALID</v>
      </c>
      <c r="J6157" t="str">
        <f t="shared" si="2511"/>
        <v>CIMB BANK / CIMB ISLAMIC BANK</v>
      </c>
      <c r="K6157" t="str">
        <f>"12230065800526"</f>
        <v>12230065800526</v>
      </c>
      <c r="L6157" t="str">
        <f t="shared" si="2514"/>
        <v>04-08-2020</v>
      </c>
      <c r="M6157" t="str">
        <f t="shared" si="2514"/>
        <v>04-08-2020</v>
      </c>
      <c r="N6157" t="str">
        <f t="shared" si="2519"/>
        <v>001105018356</v>
      </c>
      <c r="O6157" t="str">
        <f t="shared" si="2520"/>
        <v>MYR</v>
      </c>
      <c r="P6157" t="str">
        <f t="shared" si="2515"/>
        <v>NIL</v>
      </c>
      <c r="Q6157" t="str">
        <f t="shared" si="2515"/>
        <v>NIL</v>
      </c>
      <c r="R6157" t="str">
        <f t="shared" si="2507"/>
        <v>Accepted</v>
      </c>
      <c r="S6157" t="str">
        <f t="shared" si="2521"/>
        <v>Approved</v>
      </c>
      <c r="T6157" t="str">
        <f t="shared" si="2508"/>
        <v>10.20.8.188</v>
      </c>
      <c r="U6157" t="str">
        <f t="shared" si="2522"/>
        <v>AZRAD UMAR BIN SHAARI</v>
      </c>
      <c r="V6157" t="str">
        <f t="shared" si="2523"/>
        <v>FARHANA BINTI MUSTAPA</v>
      </c>
      <c r="W6157" t="str">
        <f t="shared" si="2524"/>
        <v>04-08-2020</v>
      </c>
      <c r="X6157" t="str">
        <f t="shared" si="2525"/>
        <v>RAZIMAH ANSAR AHMAD</v>
      </c>
      <c r="Y6157" t="str">
        <f t="shared" si="2526"/>
        <v>04-08-2020</v>
      </c>
      <c r="Z6157" t="str">
        <f>"COS10200804 2997"</f>
        <v>COS10200804 2997</v>
      </c>
    </row>
    <row r="6158" spans="1:26" x14ac:dyDescent="0.25">
      <c r="A6158" t="str">
        <f t="shared" si="2527"/>
        <v>04-08-2020 12:40:28</v>
      </c>
      <c r="B6158" t="str">
        <f>"0000804760"</f>
        <v>0000804760</v>
      </c>
      <c r="C6158" t="str">
        <f t="shared" si="2528"/>
        <v>0000804564</v>
      </c>
      <c r="D6158" t="str">
        <f t="shared" si="2516"/>
        <v>73185</v>
      </c>
      <c r="E6158" t="str">
        <f t="shared" si="2517"/>
        <v>KFH-OPERATIONS DEPARTMENT</v>
      </c>
      <c r="F6158" t="str">
        <f t="shared" si="2518"/>
        <v>IBG</v>
      </c>
      <c r="G6158" t="str">
        <f t="shared" si="2529"/>
        <v>Refund COSHARE 10</v>
      </c>
      <c r="H6158" s="2">
        <v>392.95</v>
      </c>
      <c r="I6158" t="str">
        <f>"MUHAMMAD AZRAR HAQKIMI BIN ABD RASHID"</f>
        <v>MUHAMMAD AZRAR HAQKIMI BIN ABD RASHID</v>
      </c>
      <c r="J6158" t="str">
        <f t="shared" si="2511"/>
        <v>CIMB BANK / CIMB ISLAMIC BANK</v>
      </c>
      <c r="K6158" t="str">
        <f>"14400101221524"</f>
        <v>14400101221524</v>
      </c>
      <c r="L6158" t="str">
        <f t="shared" si="2514"/>
        <v>04-08-2020</v>
      </c>
      <c r="M6158" t="str">
        <f t="shared" si="2514"/>
        <v>04-08-2020</v>
      </c>
      <c r="N6158" t="str">
        <f t="shared" si="2519"/>
        <v>001105018356</v>
      </c>
      <c r="O6158" t="str">
        <f t="shared" si="2520"/>
        <v>MYR</v>
      </c>
      <c r="P6158" t="str">
        <f t="shared" si="2515"/>
        <v>NIL</v>
      </c>
      <c r="Q6158" t="str">
        <f t="shared" si="2515"/>
        <v>NIL</v>
      </c>
      <c r="R6158" t="str">
        <f t="shared" si="2507"/>
        <v>Accepted</v>
      </c>
      <c r="S6158" t="str">
        <f t="shared" si="2521"/>
        <v>Approved</v>
      </c>
      <c r="T6158" t="str">
        <f t="shared" si="2508"/>
        <v>10.20.8.188</v>
      </c>
      <c r="U6158" t="str">
        <f t="shared" si="2522"/>
        <v>AZRAD UMAR BIN SHAARI</v>
      </c>
      <c r="V6158" t="str">
        <f t="shared" si="2523"/>
        <v>FARHANA BINTI MUSTAPA</v>
      </c>
      <c r="W6158" t="str">
        <f t="shared" si="2524"/>
        <v>04-08-2020</v>
      </c>
      <c r="X6158" t="str">
        <f t="shared" si="2525"/>
        <v>RAZIMAH ANSAR AHMAD</v>
      </c>
      <c r="Y6158" t="str">
        <f t="shared" si="2526"/>
        <v>04-08-2020</v>
      </c>
      <c r="Z6158" t="str">
        <f>"COS10200804 2996"</f>
        <v>COS10200804 2996</v>
      </c>
    </row>
    <row r="6159" spans="1:26" x14ac:dyDescent="0.25">
      <c r="A6159" t="str">
        <f t="shared" si="2527"/>
        <v>04-08-2020 12:40:28</v>
      </c>
      <c r="B6159" t="str">
        <f>"0000804759"</f>
        <v>0000804759</v>
      </c>
      <c r="C6159" t="str">
        <f t="shared" si="2528"/>
        <v>0000804564</v>
      </c>
      <c r="D6159" t="str">
        <f t="shared" si="2516"/>
        <v>73185</v>
      </c>
      <c r="E6159" t="str">
        <f t="shared" si="2517"/>
        <v>KFH-OPERATIONS DEPARTMENT</v>
      </c>
      <c r="F6159" t="str">
        <f t="shared" si="2518"/>
        <v>IBG</v>
      </c>
      <c r="G6159" t="str">
        <f t="shared" si="2529"/>
        <v>Refund COSHARE 10</v>
      </c>
      <c r="H6159" s="2">
        <v>293.85000000000002</v>
      </c>
      <c r="I6159" t="str">
        <f>"MUHAMMAD ASROR BIN ABU HARI"</f>
        <v>MUHAMMAD ASROR BIN ABU HARI</v>
      </c>
      <c r="J6159" t="str">
        <f t="shared" si="2511"/>
        <v>CIMB BANK / CIMB ISLAMIC BANK</v>
      </c>
      <c r="K6159" t="str">
        <f>"12130069875527"</f>
        <v>12130069875527</v>
      </c>
      <c r="L6159" t="str">
        <f t="shared" si="2514"/>
        <v>04-08-2020</v>
      </c>
      <c r="M6159" t="str">
        <f t="shared" si="2514"/>
        <v>04-08-2020</v>
      </c>
      <c r="N6159" t="str">
        <f t="shared" si="2519"/>
        <v>001105018356</v>
      </c>
      <c r="O6159" t="str">
        <f t="shared" si="2520"/>
        <v>MYR</v>
      </c>
      <c r="P6159" t="str">
        <f t="shared" si="2515"/>
        <v>NIL</v>
      </c>
      <c r="Q6159" t="str">
        <f t="shared" si="2515"/>
        <v>NIL</v>
      </c>
      <c r="R6159" t="str">
        <f t="shared" si="2507"/>
        <v>Accepted</v>
      </c>
      <c r="S6159" t="str">
        <f t="shared" si="2521"/>
        <v>Approved</v>
      </c>
      <c r="T6159" t="str">
        <f t="shared" si="2508"/>
        <v>10.20.8.188</v>
      </c>
      <c r="U6159" t="str">
        <f t="shared" si="2522"/>
        <v>AZRAD UMAR BIN SHAARI</v>
      </c>
      <c r="V6159" t="str">
        <f t="shared" si="2523"/>
        <v>FARHANA BINTI MUSTAPA</v>
      </c>
      <c r="W6159" t="str">
        <f t="shared" si="2524"/>
        <v>04-08-2020</v>
      </c>
      <c r="X6159" t="str">
        <f t="shared" si="2525"/>
        <v>RAZIMAH ANSAR AHMAD</v>
      </c>
      <c r="Y6159" t="str">
        <f t="shared" si="2526"/>
        <v>04-08-2020</v>
      </c>
      <c r="Z6159" t="str">
        <f>"COS10200804 2995"</f>
        <v>COS10200804 2995</v>
      </c>
    </row>
    <row r="6160" spans="1:26" x14ac:dyDescent="0.25">
      <c r="A6160" t="str">
        <f t="shared" si="2527"/>
        <v>04-08-2020 12:40:28</v>
      </c>
      <c r="B6160" t="str">
        <f>"0000804758"</f>
        <v>0000804758</v>
      </c>
      <c r="C6160" t="str">
        <f t="shared" si="2528"/>
        <v>0000804564</v>
      </c>
      <c r="D6160" t="str">
        <f t="shared" si="2516"/>
        <v>73185</v>
      </c>
      <c r="E6160" t="str">
        <f t="shared" si="2517"/>
        <v>KFH-OPERATIONS DEPARTMENT</v>
      </c>
      <c r="F6160" t="str">
        <f t="shared" si="2518"/>
        <v>IBG</v>
      </c>
      <c r="G6160" t="str">
        <f t="shared" si="2529"/>
        <v>Refund COSHARE 10</v>
      </c>
      <c r="H6160" s="2">
        <v>1518</v>
      </c>
      <c r="I6160" t="str">
        <f>"MUHAMMAD ARIF BIN YAKUB"</f>
        <v>MUHAMMAD ARIF BIN YAKUB</v>
      </c>
      <c r="J6160" t="str">
        <f t="shared" si="2511"/>
        <v>CIMB BANK / CIMB ISLAMIC BANK</v>
      </c>
      <c r="K6160" t="str">
        <f>"7601176333"</f>
        <v>7601176333</v>
      </c>
      <c r="L6160" t="str">
        <f t="shared" si="2514"/>
        <v>04-08-2020</v>
      </c>
      <c r="M6160" t="str">
        <f t="shared" si="2514"/>
        <v>04-08-2020</v>
      </c>
      <c r="N6160" t="str">
        <f t="shared" si="2519"/>
        <v>001105018356</v>
      </c>
      <c r="O6160" t="str">
        <f t="shared" si="2520"/>
        <v>MYR</v>
      </c>
      <c r="P6160" t="str">
        <f t="shared" si="2515"/>
        <v>NIL</v>
      </c>
      <c r="Q6160" t="str">
        <f t="shared" si="2515"/>
        <v>NIL</v>
      </c>
      <c r="R6160" t="str">
        <f t="shared" si="2507"/>
        <v>Accepted</v>
      </c>
      <c r="S6160" t="str">
        <f t="shared" si="2521"/>
        <v>Approved</v>
      </c>
      <c r="T6160" t="str">
        <f t="shared" si="2508"/>
        <v>10.20.8.188</v>
      </c>
      <c r="U6160" t="str">
        <f t="shared" si="2522"/>
        <v>AZRAD UMAR BIN SHAARI</v>
      </c>
      <c r="V6160" t="str">
        <f t="shared" si="2523"/>
        <v>FARHANA BINTI MUSTAPA</v>
      </c>
      <c r="W6160" t="str">
        <f t="shared" si="2524"/>
        <v>04-08-2020</v>
      </c>
      <c r="X6160" t="str">
        <f t="shared" si="2525"/>
        <v>RAZIMAH ANSAR AHMAD</v>
      </c>
      <c r="Y6160" t="str">
        <f t="shared" si="2526"/>
        <v>04-08-2020</v>
      </c>
      <c r="Z6160" t="str">
        <f>"COS10200804 2994"</f>
        <v>COS10200804 2994</v>
      </c>
    </row>
    <row r="6161" spans="1:26" x14ac:dyDescent="0.25">
      <c r="A6161" t="str">
        <f t="shared" si="2527"/>
        <v>04-08-2020 12:40:28</v>
      </c>
      <c r="B6161" t="str">
        <f>"0000804757"</f>
        <v>0000804757</v>
      </c>
      <c r="C6161" t="str">
        <f t="shared" si="2528"/>
        <v>0000804564</v>
      </c>
      <c r="D6161" t="str">
        <f t="shared" si="2516"/>
        <v>73185</v>
      </c>
      <c r="E6161" t="str">
        <f t="shared" si="2517"/>
        <v>KFH-OPERATIONS DEPARTMENT</v>
      </c>
      <c r="F6161" t="str">
        <f t="shared" si="2518"/>
        <v>IBG</v>
      </c>
      <c r="G6161" t="str">
        <f t="shared" si="2529"/>
        <v>Refund COSHARE 10</v>
      </c>
      <c r="H6161" s="2">
        <v>92.35</v>
      </c>
      <c r="I6161" t="str">
        <f>"MUHAMMAD AKMAL BIN MOHD NOOR"</f>
        <v>MUHAMMAD AKMAL BIN MOHD NOOR</v>
      </c>
      <c r="J6161" t="str">
        <f t="shared" si="2511"/>
        <v>CIMB BANK / CIMB ISLAMIC BANK</v>
      </c>
      <c r="K6161" t="str">
        <f>"08240006975523"</f>
        <v>08240006975523</v>
      </c>
      <c r="L6161" t="str">
        <f t="shared" si="2514"/>
        <v>04-08-2020</v>
      </c>
      <c r="M6161" t="str">
        <f t="shared" si="2514"/>
        <v>04-08-2020</v>
      </c>
      <c r="N6161" t="str">
        <f t="shared" si="2519"/>
        <v>001105018356</v>
      </c>
      <c r="O6161" t="str">
        <f t="shared" si="2520"/>
        <v>MYR</v>
      </c>
      <c r="P6161" t="str">
        <f t="shared" si="2515"/>
        <v>NIL</v>
      </c>
      <c r="Q6161" t="str">
        <f t="shared" si="2515"/>
        <v>NIL</v>
      </c>
      <c r="R6161" t="str">
        <f t="shared" si="2507"/>
        <v>Accepted</v>
      </c>
      <c r="S6161" t="str">
        <f t="shared" si="2521"/>
        <v>Approved</v>
      </c>
      <c r="T6161" t="str">
        <f t="shared" si="2508"/>
        <v>10.20.8.188</v>
      </c>
      <c r="U6161" t="str">
        <f t="shared" si="2522"/>
        <v>AZRAD UMAR BIN SHAARI</v>
      </c>
      <c r="V6161" t="str">
        <f t="shared" si="2523"/>
        <v>FARHANA BINTI MUSTAPA</v>
      </c>
      <c r="W6161" t="str">
        <f t="shared" si="2524"/>
        <v>04-08-2020</v>
      </c>
      <c r="X6161" t="str">
        <f t="shared" si="2525"/>
        <v>RAZIMAH ANSAR AHMAD</v>
      </c>
      <c r="Y6161" t="str">
        <f t="shared" si="2526"/>
        <v>04-08-2020</v>
      </c>
      <c r="Z6161" t="str">
        <f>"COS10200804 2993"</f>
        <v>COS10200804 2993</v>
      </c>
    </row>
    <row r="6162" spans="1:26" x14ac:dyDescent="0.25">
      <c r="A6162" t="str">
        <f t="shared" si="2527"/>
        <v>04-08-2020 12:40:28</v>
      </c>
      <c r="B6162" t="str">
        <f>"0000804756"</f>
        <v>0000804756</v>
      </c>
      <c r="C6162" t="str">
        <f t="shared" si="2528"/>
        <v>0000804564</v>
      </c>
      <c r="D6162" t="str">
        <f t="shared" si="2516"/>
        <v>73185</v>
      </c>
      <c r="E6162" t="str">
        <f t="shared" si="2517"/>
        <v>KFH-OPERATIONS DEPARTMENT</v>
      </c>
      <c r="F6162" t="str">
        <f t="shared" si="2518"/>
        <v>IBG</v>
      </c>
      <c r="G6162" t="str">
        <f t="shared" si="2529"/>
        <v>Refund COSHARE 10</v>
      </c>
      <c r="H6162" s="2">
        <v>824</v>
      </c>
      <c r="I6162" t="str">
        <f>"MUHAMMAD AIZUDDIN BIN MD RAHIM"</f>
        <v>MUHAMMAD AIZUDDIN BIN MD RAHIM</v>
      </c>
      <c r="J6162" t="str">
        <f t="shared" si="2511"/>
        <v>CIMB BANK / CIMB ISLAMIC BANK</v>
      </c>
      <c r="K6162" t="str">
        <f>"7049511808"</f>
        <v>7049511808</v>
      </c>
      <c r="L6162" t="str">
        <f t="shared" si="2514"/>
        <v>04-08-2020</v>
      </c>
      <c r="M6162" t="str">
        <f t="shared" si="2514"/>
        <v>04-08-2020</v>
      </c>
      <c r="N6162" t="str">
        <f t="shared" si="2519"/>
        <v>001105018356</v>
      </c>
      <c r="O6162" t="str">
        <f t="shared" si="2520"/>
        <v>MYR</v>
      </c>
      <c r="P6162" t="str">
        <f t="shared" si="2515"/>
        <v>NIL</v>
      </c>
      <c r="Q6162" t="str">
        <f t="shared" si="2515"/>
        <v>NIL</v>
      </c>
      <c r="R6162" t="str">
        <f t="shared" si="2507"/>
        <v>Accepted</v>
      </c>
      <c r="S6162" t="str">
        <f t="shared" si="2521"/>
        <v>Approved</v>
      </c>
      <c r="T6162" t="str">
        <f t="shared" si="2508"/>
        <v>10.20.8.188</v>
      </c>
      <c r="U6162" t="str">
        <f t="shared" si="2522"/>
        <v>AZRAD UMAR BIN SHAARI</v>
      </c>
      <c r="V6162" t="str">
        <f t="shared" si="2523"/>
        <v>FARHANA BINTI MUSTAPA</v>
      </c>
      <c r="W6162" t="str">
        <f t="shared" si="2524"/>
        <v>04-08-2020</v>
      </c>
      <c r="X6162" t="str">
        <f t="shared" si="2525"/>
        <v>RAZIMAH ANSAR AHMAD</v>
      </c>
      <c r="Y6162" t="str">
        <f t="shared" si="2526"/>
        <v>04-08-2020</v>
      </c>
      <c r="Z6162" t="str">
        <f>"COS10200804 2992"</f>
        <v>COS10200804 2992</v>
      </c>
    </row>
    <row r="6163" spans="1:26" x14ac:dyDescent="0.25">
      <c r="A6163" t="str">
        <f t="shared" si="2527"/>
        <v>04-08-2020 12:40:28</v>
      </c>
      <c r="B6163" t="str">
        <f>"0000804755"</f>
        <v>0000804755</v>
      </c>
      <c r="C6163" t="str">
        <f t="shared" si="2528"/>
        <v>0000804564</v>
      </c>
      <c r="D6163" t="str">
        <f t="shared" si="2516"/>
        <v>73185</v>
      </c>
      <c r="E6163" t="str">
        <f t="shared" si="2517"/>
        <v>KFH-OPERATIONS DEPARTMENT</v>
      </c>
      <c r="F6163" t="str">
        <f t="shared" si="2518"/>
        <v>IBG</v>
      </c>
      <c r="G6163" t="str">
        <f t="shared" si="2529"/>
        <v>Refund COSHARE 10</v>
      </c>
      <c r="H6163" s="2">
        <v>67.2</v>
      </c>
      <c r="I6163" t="str">
        <f>"MUHAMMAD ADZIIM BIN ABD WAHAB"</f>
        <v>MUHAMMAD ADZIIM BIN ABD WAHAB</v>
      </c>
      <c r="J6163" t="str">
        <f t="shared" si="2511"/>
        <v>CIMB BANK / CIMB ISLAMIC BANK</v>
      </c>
      <c r="K6163" t="str">
        <f>"14140128594525"</f>
        <v>14140128594525</v>
      </c>
      <c r="L6163" t="str">
        <f t="shared" si="2514"/>
        <v>04-08-2020</v>
      </c>
      <c r="M6163" t="str">
        <f t="shared" si="2514"/>
        <v>04-08-2020</v>
      </c>
      <c r="N6163" t="str">
        <f t="shared" si="2519"/>
        <v>001105018356</v>
      </c>
      <c r="O6163" t="str">
        <f t="shared" si="2520"/>
        <v>MYR</v>
      </c>
      <c r="P6163" t="str">
        <f t="shared" si="2515"/>
        <v>NIL</v>
      </c>
      <c r="Q6163" t="str">
        <f t="shared" si="2515"/>
        <v>NIL</v>
      </c>
      <c r="R6163" t="str">
        <f t="shared" si="2507"/>
        <v>Accepted</v>
      </c>
      <c r="S6163" t="str">
        <f t="shared" si="2521"/>
        <v>Approved</v>
      </c>
      <c r="T6163" t="str">
        <f t="shared" si="2508"/>
        <v>10.20.8.188</v>
      </c>
      <c r="U6163" t="str">
        <f t="shared" si="2522"/>
        <v>AZRAD UMAR BIN SHAARI</v>
      </c>
      <c r="V6163" t="str">
        <f t="shared" si="2523"/>
        <v>FARHANA BINTI MUSTAPA</v>
      </c>
      <c r="W6163" t="str">
        <f t="shared" si="2524"/>
        <v>04-08-2020</v>
      </c>
      <c r="X6163" t="str">
        <f t="shared" si="2525"/>
        <v>RAZIMAH ANSAR AHMAD</v>
      </c>
      <c r="Y6163" t="str">
        <f t="shared" si="2526"/>
        <v>04-08-2020</v>
      </c>
      <c r="Z6163" t="str">
        <f>"COS10200804 2991"</f>
        <v>COS10200804 2991</v>
      </c>
    </row>
    <row r="6164" spans="1:26" x14ac:dyDescent="0.25">
      <c r="A6164" t="str">
        <f t="shared" si="2527"/>
        <v>04-08-2020 12:40:28</v>
      </c>
      <c r="B6164" t="str">
        <f>"0000804754"</f>
        <v>0000804754</v>
      </c>
      <c r="C6164" t="str">
        <f t="shared" si="2528"/>
        <v>0000804564</v>
      </c>
      <c r="D6164" t="str">
        <f t="shared" si="2516"/>
        <v>73185</v>
      </c>
      <c r="E6164" t="str">
        <f t="shared" si="2517"/>
        <v>KFH-OPERATIONS DEPARTMENT</v>
      </c>
      <c r="F6164" t="str">
        <f t="shared" si="2518"/>
        <v>IBG</v>
      </c>
      <c r="G6164" t="str">
        <f t="shared" si="2529"/>
        <v>Refund COSHARE 10</v>
      </c>
      <c r="H6164" s="2">
        <v>497</v>
      </c>
      <c r="I6164" t="str">
        <f>"MUHAMAD YUSOFF BIN CHE DAUS"</f>
        <v>MUHAMAD YUSOFF BIN CHE DAUS</v>
      </c>
      <c r="J6164" t="str">
        <f t="shared" si="2511"/>
        <v>CIMB BANK / CIMB ISLAMIC BANK</v>
      </c>
      <c r="K6164" t="str">
        <f>"06060053718529"</f>
        <v>06060053718529</v>
      </c>
      <c r="L6164" t="str">
        <f t="shared" si="2514"/>
        <v>04-08-2020</v>
      </c>
      <c r="M6164" t="str">
        <f t="shared" si="2514"/>
        <v>04-08-2020</v>
      </c>
      <c r="N6164" t="str">
        <f t="shared" si="2519"/>
        <v>001105018356</v>
      </c>
      <c r="O6164" t="str">
        <f t="shared" si="2520"/>
        <v>MYR</v>
      </c>
      <c r="P6164" t="str">
        <f t="shared" si="2515"/>
        <v>NIL</v>
      </c>
      <c r="Q6164" t="str">
        <f t="shared" si="2515"/>
        <v>NIL</v>
      </c>
      <c r="R6164" t="str">
        <f t="shared" si="2507"/>
        <v>Accepted</v>
      </c>
      <c r="S6164" t="str">
        <f t="shared" si="2521"/>
        <v>Approved</v>
      </c>
      <c r="T6164" t="str">
        <f t="shared" si="2508"/>
        <v>10.20.8.188</v>
      </c>
      <c r="U6164" t="str">
        <f t="shared" si="2522"/>
        <v>AZRAD UMAR BIN SHAARI</v>
      </c>
      <c r="V6164" t="str">
        <f t="shared" si="2523"/>
        <v>FARHANA BINTI MUSTAPA</v>
      </c>
      <c r="W6164" t="str">
        <f t="shared" si="2524"/>
        <v>04-08-2020</v>
      </c>
      <c r="X6164" t="str">
        <f t="shared" si="2525"/>
        <v>RAZIMAH ANSAR AHMAD</v>
      </c>
      <c r="Y6164" t="str">
        <f t="shared" si="2526"/>
        <v>04-08-2020</v>
      </c>
      <c r="Z6164" t="str">
        <f>"COS10200804 2990"</f>
        <v>COS10200804 2990</v>
      </c>
    </row>
    <row r="6165" spans="1:26" x14ac:dyDescent="0.25">
      <c r="A6165" t="str">
        <f t="shared" si="2527"/>
        <v>04-08-2020 12:40:28</v>
      </c>
      <c r="B6165" t="str">
        <f>"0000804753"</f>
        <v>0000804753</v>
      </c>
      <c r="C6165" t="str">
        <f t="shared" si="2528"/>
        <v>0000804564</v>
      </c>
      <c r="D6165" t="str">
        <f t="shared" si="2516"/>
        <v>73185</v>
      </c>
      <c r="E6165" t="str">
        <f t="shared" si="2517"/>
        <v>KFH-OPERATIONS DEPARTMENT</v>
      </c>
      <c r="F6165" t="str">
        <f t="shared" si="2518"/>
        <v>IBG</v>
      </c>
      <c r="G6165" t="str">
        <f t="shared" si="2529"/>
        <v>Refund COSHARE 10</v>
      </c>
      <c r="H6165" s="2">
        <v>1125.95</v>
      </c>
      <c r="I6165" t="str">
        <f>"MUHAMAD YUSOFF BIN CHE DAUD"</f>
        <v>MUHAMAD YUSOFF BIN CHE DAUD</v>
      </c>
      <c r="J6165" t="str">
        <f t="shared" si="2511"/>
        <v>CIMB BANK / CIMB ISLAMIC BANK</v>
      </c>
      <c r="K6165" t="str">
        <f>"06060053718529"</f>
        <v>06060053718529</v>
      </c>
      <c r="L6165" t="str">
        <f t="shared" si="2514"/>
        <v>04-08-2020</v>
      </c>
      <c r="M6165" t="str">
        <f t="shared" si="2514"/>
        <v>04-08-2020</v>
      </c>
      <c r="N6165" t="str">
        <f t="shared" si="2519"/>
        <v>001105018356</v>
      </c>
      <c r="O6165" t="str">
        <f t="shared" si="2520"/>
        <v>MYR</v>
      </c>
      <c r="P6165" t="str">
        <f t="shared" si="2515"/>
        <v>NIL</v>
      </c>
      <c r="Q6165" t="str">
        <f t="shared" si="2515"/>
        <v>NIL</v>
      </c>
      <c r="R6165" t="str">
        <f t="shared" si="2507"/>
        <v>Accepted</v>
      </c>
      <c r="S6165" t="str">
        <f t="shared" si="2521"/>
        <v>Approved</v>
      </c>
      <c r="T6165" t="str">
        <f t="shared" si="2508"/>
        <v>10.20.8.188</v>
      </c>
      <c r="U6165" t="str">
        <f t="shared" si="2522"/>
        <v>AZRAD UMAR BIN SHAARI</v>
      </c>
      <c r="V6165" t="str">
        <f t="shared" si="2523"/>
        <v>FARHANA BINTI MUSTAPA</v>
      </c>
      <c r="W6165" t="str">
        <f t="shared" si="2524"/>
        <v>04-08-2020</v>
      </c>
      <c r="X6165" t="str">
        <f t="shared" si="2525"/>
        <v>RAZIMAH ANSAR AHMAD</v>
      </c>
      <c r="Y6165" t="str">
        <f t="shared" si="2526"/>
        <v>04-08-2020</v>
      </c>
      <c r="Z6165" t="str">
        <f>"COS10200804 2989"</f>
        <v>COS10200804 2989</v>
      </c>
    </row>
    <row r="6166" spans="1:26" x14ac:dyDescent="0.25">
      <c r="A6166" t="str">
        <f t="shared" si="2527"/>
        <v>04-08-2020 12:40:28</v>
      </c>
      <c r="B6166" t="str">
        <f>"0000804752"</f>
        <v>0000804752</v>
      </c>
      <c r="C6166" t="str">
        <f t="shared" si="2528"/>
        <v>0000804564</v>
      </c>
      <c r="D6166" t="str">
        <f t="shared" si="2516"/>
        <v>73185</v>
      </c>
      <c r="E6166" t="str">
        <f t="shared" si="2517"/>
        <v>KFH-OPERATIONS DEPARTMENT</v>
      </c>
      <c r="F6166" t="str">
        <f t="shared" si="2518"/>
        <v>IBG</v>
      </c>
      <c r="G6166" t="str">
        <f t="shared" si="2529"/>
        <v>Refund COSHARE 10</v>
      </c>
      <c r="H6166" s="2">
        <v>683</v>
      </c>
      <c r="I6166" t="str">
        <f>"MUHAMAD SHAHIR BIN ZAINUL MUKHTAR"</f>
        <v>MUHAMAD SHAHIR BIN ZAINUL MUKHTAR</v>
      </c>
      <c r="J6166" t="str">
        <f t="shared" si="2511"/>
        <v>CIMB BANK / CIMB ISLAMIC BANK</v>
      </c>
      <c r="K6166" t="str">
        <f>"08070000771205"</f>
        <v>08070000771205</v>
      </c>
      <c r="L6166" t="str">
        <f t="shared" si="2514"/>
        <v>04-08-2020</v>
      </c>
      <c r="M6166" t="str">
        <f t="shared" si="2514"/>
        <v>04-08-2020</v>
      </c>
      <c r="N6166" t="str">
        <f t="shared" si="2519"/>
        <v>001105018356</v>
      </c>
      <c r="O6166" t="str">
        <f t="shared" si="2520"/>
        <v>MYR</v>
      </c>
      <c r="P6166" t="str">
        <f t="shared" si="2515"/>
        <v>NIL</v>
      </c>
      <c r="Q6166" t="str">
        <f t="shared" si="2515"/>
        <v>NIL</v>
      </c>
      <c r="R6166" t="str">
        <f t="shared" si="2507"/>
        <v>Accepted</v>
      </c>
      <c r="S6166" t="str">
        <f t="shared" si="2521"/>
        <v>Approved</v>
      </c>
      <c r="T6166" t="str">
        <f t="shared" si="2508"/>
        <v>10.20.8.188</v>
      </c>
      <c r="U6166" t="str">
        <f t="shared" si="2522"/>
        <v>AZRAD UMAR BIN SHAARI</v>
      </c>
      <c r="V6166" t="str">
        <f t="shared" si="2523"/>
        <v>FARHANA BINTI MUSTAPA</v>
      </c>
      <c r="W6166" t="str">
        <f t="shared" si="2524"/>
        <v>04-08-2020</v>
      </c>
      <c r="X6166" t="str">
        <f t="shared" si="2525"/>
        <v>RAZIMAH ANSAR AHMAD</v>
      </c>
      <c r="Y6166" t="str">
        <f t="shared" si="2526"/>
        <v>04-08-2020</v>
      </c>
      <c r="Z6166" t="str">
        <f>"COS10200804 2988"</f>
        <v>COS10200804 2988</v>
      </c>
    </row>
    <row r="6167" spans="1:26" x14ac:dyDescent="0.25">
      <c r="A6167" t="str">
        <f t="shared" si="2527"/>
        <v>04-08-2020 12:40:28</v>
      </c>
      <c r="B6167" t="str">
        <f>"0000804751"</f>
        <v>0000804751</v>
      </c>
      <c r="C6167" t="str">
        <f t="shared" si="2528"/>
        <v>0000804564</v>
      </c>
      <c r="D6167" t="str">
        <f t="shared" si="2516"/>
        <v>73185</v>
      </c>
      <c r="E6167" t="str">
        <f t="shared" si="2517"/>
        <v>KFH-OPERATIONS DEPARTMENT</v>
      </c>
      <c r="F6167" t="str">
        <f t="shared" si="2518"/>
        <v>IBG</v>
      </c>
      <c r="G6167" t="str">
        <f t="shared" si="2529"/>
        <v>Refund COSHARE 10</v>
      </c>
      <c r="H6167" s="2">
        <v>683</v>
      </c>
      <c r="I6167" t="str">
        <f>"MUHAMAD SHAHIR BIN ZAINUL MUKHTAR"</f>
        <v>MUHAMAD SHAHIR BIN ZAINUL MUKHTAR</v>
      </c>
      <c r="J6167" t="str">
        <f t="shared" si="2511"/>
        <v>CIMB BANK / CIMB ISLAMIC BANK</v>
      </c>
      <c r="K6167" t="str">
        <f>"08070000771205"</f>
        <v>08070000771205</v>
      </c>
      <c r="L6167" t="str">
        <f t="shared" ref="L6167:M6186" si="2530">"04-08-2020"</f>
        <v>04-08-2020</v>
      </c>
      <c r="M6167" t="str">
        <f t="shared" si="2530"/>
        <v>04-08-2020</v>
      </c>
      <c r="N6167" t="str">
        <f t="shared" si="2519"/>
        <v>001105018356</v>
      </c>
      <c r="O6167" t="str">
        <f t="shared" si="2520"/>
        <v>MYR</v>
      </c>
      <c r="P6167" t="str">
        <f t="shared" ref="P6167:Q6186" si="2531">"NIL"</f>
        <v>NIL</v>
      </c>
      <c r="Q6167" t="str">
        <f t="shared" si="2531"/>
        <v>NIL</v>
      </c>
      <c r="R6167" t="str">
        <f t="shared" si="2507"/>
        <v>Accepted</v>
      </c>
      <c r="S6167" t="str">
        <f t="shared" si="2521"/>
        <v>Approved</v>
      </c>
      <c r="T6167" t="str">
        <f t="shared" si="2508"/>
        <v>10.20.8.188</v>
      </c>
      <c r="U6167" t="str">
        <f t="shared" si="2522"/>
        <v>AZRAD UMAR BIN SHAARI</v>
      </c>
      <c r="V6167" t="str">
        <f t="shared" si="2523"/>
        <v>FARHANA BINTI MUSTAPA</v>
      </c>
      <c r="W6167" t="str">
        <f t="shared" si="2524"/>
        <v>04-08-2020</v>
      </c>
      <c r="X6167" t="str">
        <f t="shared" si="2525"/>
        <v>RAZIMAH ANSAR AHMAD</v>
      </c>
      <c r="Y6167" t="str">
        <f t="shared" si="2526"/>
        <v>04-08-2020</v>
      </c>
      <c r="Z6167" t="str">
        <f>"COS10200804 2987"</f>
        <v>COS10200804 2987</v>
      </c>
    </row>
    <row r="6168" spans="1:26" x14ac:dyDescent="0.25">
      <c r="A6168" t="str">
        <f t="shared" si="2527"/>
        <v>04-08-2020 12:40:28</v>
      </c>
      <c r="B6168" t="str">
        <f>"0000804750"</f>
        <v>0000804750</v>
      </c>
      <c r="C6168" t="str">
        <f t="shared" si="2528"/>
        <v>0000804564</v>
      </c>
      <c r="D6168" t="str">
        <f t="shared" si="2516"/>
        <v>73185</v>
      </c>
      <c r="E6168" t="str">
        <f t="shared" si="2517"/>
        <v>KFH-OPERATIONS DEPARTMENT</v>
      </c>
      <c r="F6168" t="str">
        <f t="shared" si="2518"/>
        <v>IBG</v>
      </c>
      <c r="G6168" t="str">
        <f t="shared" si="2529"/>
        <v>Refund COSHARE 10</v>
      </c>
      <c r="H6168" s="2">
        <v>125.95</v>
      </c>
      <c r="I6168" t="str">
        <f>"MUHAMAD RIZAL BIN HAWARI"</f>
        <v>MUHAMAD RIZAL BIN HAWARI</v>
      </c>
      <c r="J6168" t="str">
        <f t="shared" si="2511"/>
        <v>CIMB BANK / CIMB ISLAMIC BANK</v>
      </c>
      <c r="K6168" t="str">
        <f>"12510063677524"</f>
        <v>12510063677524</v>
      </c>
      <c r="L6168" t="str">
        <f t="shared" si="2530"/>
        <v>04-08-2020</v>
      </c>
      <c r="M6168" t="str">
        <f t="shared" si="2530"/>
        <v>04-08-2020</v>
      </c>
      <c r="N6168" t="str">
        <f t="shared" si="2519"/>
        <v>001105018356</v>
      </c>
      <c r="O6168" t="str">
        <f t="shared" si="2520"/>
        <v>MYR</v>
      </c>
      <c r="P6168" t="str">
        <f t="shared" si="2531"/>
        <v>NIL</v>
      </c>
      <c r="Q6168" t="str">
        <f t="shared" si="2531"/>
        <v>NIL</v>
      </c>
      <c r="R6168" t="str">
        <f t="shared" si="2507"/>
        <v>Accepted</v>
      </c>
      <c r="S6168" t="str">
        <f t="shared" si="2521"/>
        <v>Approved</v>
      </c>
      <c r="T6168" t="str">
        <f t="shared" si="2508"/>
        <v>10.20.8.188</v>
      </c>
      <c r="U6168" t="str">
        <f t="shared" si="2522"/>
        <v>AZRAD UMAR BIN SHAARI</v>
      </c>
      <c r="V6168" t="str">
        <f t="shared" si="2523"/>
        <v>FARHANA BINTI MUSTAPA</v>
      </c>
      <c r="W6168" t="str">
        <f t="shared" si="2524"/>
        <v>04-08-2020</v>
      </c>
      <c r="X6168" t="str">
        <f t="shared" si="2525"/>
        <v>RAZIMAH ANSAR AHMAD</v>
      </c>
      <c r="Y6168" t="str">
        <f t="shared" si="2526"/>
        <v>04-08-2020</v>
      </c>
      <c r="Z6168" t="str">
        <f>"COS10200804 2986"</f>
        <v>COS10200804 2986</v>
      </c>
    </row>
    <row r="6169" spans="1:26" x14ac:dyDescent="0.25">
      <c r="A6169" t="str">
        <f t="shared" si="2527"/>
        <v>04-08-2020 12:40:28</v>
      </c>
      <c r="B6169" t="str">
        <f>"0000804749"</f>
        <v>0000804749</v>
      </c>
      <c r="C6169" t="str">
        <f t="shared" si="2528"/>
        <v>0000804564</v>
      </c>
      <c r="D6169" t="str">
        <f t="shared" si="2516"/>
        <v>73185</v>
      </c>
      <c r="E6169" t="str">
        <f t="shared" si="2517"/>
        <v>KFH-OPERATIONS DEPARTMENT</v>
      </c>
      <c r="F6169" t="str">
        <f t="shared" si="2518"/>
        <v>IBG</v>
      </c>
      <c r="G6169" t="str">
        <f t="shared" si="2529"/>
        <v>Refund COSHARE 10</v>
      </c>
      <c r="H6169" s="2">
        <v>125.95</v>
      </c>
      <c r="I6169" t="str">
        <f>"MUHAMAD RIZAL BIN HAWARI"</f>
        <v>MUHAMAD RIZAL BIN HAWARI</v>
      </c>
      <c r="J6169" t="str">
        <f t="shared" si="2511"/>
        <v>CIMB BANK / CIMB ISLAMIC BANK</v>
      </c>
      <c r="K6169" t="str">
        <f>"12510063677524"</f>
        <v>12510063677524</v>
      </c>
      <c r="L6169" t="str">
        <f t="shared" si="2530"/>
        <v>04-08-2020</v>
      </c>
      <c r="M6169" t="str">
        <f t="shared" si="2530"/>
        <v>04-08-2020</v>
      </c>
      <c r="N6169" t="str">
        <f t="shared" si="2519"/>
        <v>001105018356</v>
      </c>
      <c r="O6169" t="str">
        <f t="shared" si="2520"/>
        <v>MYR</v>
      </c>
      <c r="P6169" t="str">
        <f t="shared" si="2531"/>
        <v>NIL</v>
      </c>
      <c r="Q6169" t="str">
        <f t="shared" si="2531"/>
        <v>NIL</v>
      </c>
      <c r="R6169" t="str">
        <f t="shared" si="2507"/>
        <v>Accepted</v>
      </c>
      <c r="S6169" t="str">
        <f t="shared" si="2521"/>
        <v>Approved</v>
      </c>
      <c r="T6169" t="str">
        <f t="shared" si="2508"/>
        <v>10.20.8.188</v>
      </c>
      <c r="U6169" t="str">
        <f t="shared" si="2522"/>
        <v>AZRAD UMAR BIN SHAARI</v>
      </c>
      <c r="V6169" t="str">
        <f t="shared" si="2523"/>
        <v>FARHANA BINTI MUSTAPA</v>
      </c>
      <c r="W6169" t="str">
        <f t="shared" si="2524"/>
        <v>04-08-2020</v>
      </c>
      <c r="X6169" t="str">
        <f t="shared" si="2525"/>
        <v>RAZIMAH ANSAR AHMAD</v>
      </c>
      <c r="Y6169" t="str">
        <f t="shared" si="2526"/>
        <v>04-08-2020</v>
      </c>
      <c r="Z6169" t="str">
        <f>"COS10200804 2985"</f>
        <v>COS10200804 2985</v>
      </c>
    </row>
    <row r="6170" spans="1:26" x14ac:dyDescent="0.25">
      <c r="A6170" t="str">
        <f t="shared" si="2527"/>
        <v>04-08-2020 12:40:28</v>
      </c>
      <c r="B6170" t="str">
        <f>"0000804748"</f>
        <v>0000804748</v>
      </c>
      <c r="C6170" t="str">
        <f t="shared" si="2528"/>
        <v>0000804564</v>
      </c>
      <c r="D6170" t="str">
        <f t="shared" si="2516"/>
        <v>73185</v>
      </c>
      <c r="E6170" t="str">
        <f t="shared" si="2517"/>
        <v>KFH-OPERATIONS DEPARTMENT</v>
      </c>
      <c r="F6170" t="str">
        <f t="shared" si="2518"/>
        <v>IBG</v>
      </c>
      <c r="G6170" t="str">
        <f t="shared" si="2529"/>
        <v>Refund COSHARE 10</v>
      </c>
      <c r="H6170" s="2">
        <v>457.5</v>
      </c>
      <c r="I6170" t="str">
        <f>"MUHAMAD HUSAINI BIN MUHAMAD MUKHTAR"</f>
        <v>MUHAMAD HUSAINI BIN MUHAMAD MUKHTAR</v>
      </c>
      <c r="J6170" t="str">
        <f t="shared" si="2511"/>
        <v>CIMB BANK / CIMB ISLAMIC BANK</v>
      </c>
      <c r="K6170" t="str">
        <f>"12150003070206"</f>
        <v>12150003070206</v>
      </c>
      <c r="L6170" t="str">
        <f t="shared" si="2530"/>
        <v>04-08-2020</v>
      </c>
      <c r="M6170" t="str">
        <f t="shared" si="2530"/>
        <v>04-08-2020</v>
      </c>
      <c r="N6170" t="str">
        <f t="shared" si="2519"/>
        <v>001105018356</v>
      </c>
      <c r="O6170" t="str">
        <f t="shared" si="2520"/>
        <v>MYR</v>
      </c>
      <c r="P6170" t="str">
        <f t="shared" si="2531"/>
        <v>NIL</v>
      </c>
      <c r="Q6170" t="str">
        <f t="shared" si="2531"/>
        <v>NIL</v>
      </c>
      <c r="R6170" t="str">
        <f t="shared" si="2507"/>
        <v>Accepted</v>
      </c>
      <c r="S6170" t="str">
        <f t="shared" si="2521"/>
        <v>Approved</v>
      </c>
      <c r="T6170" t="str">
        <f t="shared" si="2508"/>
        <v>10.20.8.188</v>
      </c>
      <c r="U6170" t="str">
        <f t="shared" si="2522"/>
        <v>AZRAD UMAR BIN SHAARI</v>
      </c>
      <c r="V6170" t="str">
        <f t="shared" si="2523"/>
        <v>FARHANA BINTI MUSTAPA</v>
      </c>
      <c r="W6170" t="str">
        <f t="shared" si="2524"/>
        <v>04-08-2020</v>
      </c>
      <c r="X6170" t="str">
        <f t="shared" si="2525"/>
        <v>RAZIMAH ANSAR AHMAD</v>
      </c>
      <c r="Y6170" t="str">
        <f t="shared" si="2526"/>
        <v>04-08-2020</v>
      </c>
      <c r="Z6170" t="str">
        <f>"COS10200804 2984"</f>
        <v>COS10200804 2984</v>
      </c>
    </row>
    <row r="6171" spans="1:26" x14ac:dyDescent="0.25">
      <c r="A6171" t="str">
        <f t="shared" si="2527"/>
        <v>04-08-2020 12:40:28</v>
      </c>
      <c r="B6171" t="str">
        <f>"0000804747"</f>
        <v>0000804747</v>
      </c>
      <c r="C6171" t="str">
        <f t="shared" si="2528"/>
        <v>0000804564</v>
      </c>
      <c r="D6171" t="str">
        <f t="shared" si="2516"/>
        <v>73185</v>
      </c>
      <c r="E6171" t="str">
        <f t="shared" si="2517"/>
        <v>KFH-OPERATIONS DEPARTMENT</v>
      </c>
      <c r="F6171" t="str">
        <f t="shared" si="2518"/>
        <v>IBG</v>
      </c>
      <c r="G6171" t="str">
        <f t="shared" si="2529"/>
        <v>Refund COSHARE 10</v>
      </c>
      <c r="H6171" s="2">
        <v>911</v>
      </c>
      <c r="I6171" t="str">
        <f>"MUHAMAD FAZLAN BIN MOKHTAR"</f>
        <v>MUHAMAD FAZLAN BIN MOKHTAR</v>
      </c>
      <c r="J6171" t="str">
        <f t="shared" si="2511"/>
        <v>CIMB BANK / CIMB ISLAMIC BANK</v>
      </c>
      <c r="K6171" t="str">
        <f>"7028472832"</f>
        <v>7028472832</v>
      </c>
      <c r="L6171" t="str">
        <f t="shared" si="2530"/>
        <v>04-08-2020</v>
      </c>
      <c r="M6171" t="str">
        <f t="shared" si="2530"/>
        <v>04-08-2020</v>
      </c>
      <c r="N6171" t="str">
        <f t="shared" si="2519"/>
        <v>001105018356</v>
      </c>
      <c r="O6171" t="str">
        <f t="shared" si="2520"/>
        <v>MYR</v>
      </c>
      <c r="P6171" t="str">
        <f t="shared" si="2531"/>
        <v>NIL</v>
      </c>
      <c r="Q6171" t="str">
        <f t="shared" si="2531"/>
        <v>NIL</v>
      </c>
      <c r="R6171" t="str">
        <f t="shared" si="2507"/>
        <v>Accepted</v>
      </c>
      <c r="S6171" t="str">
        <f t="shared" si="2521"/>
        <v>Approved</v>
      </c>
      <c r="T6171" t="str">
        <f t="shared" si="2508"/>
        <v>10.20.8.188</v>
      </c>
      <c r="U6171" t="str">
        <f t="shared" si="2522"/>
        <v>AZRAD UMAR BIN SHAARI</v>
      </c>
      <c r="V6171" t="str">
        <f t="shared" si="2523"/>
        <v>FARHANA BINTI MUSTAPA</v>
      </c>
      <c r="W6171" t="str">
        <f t="shared" si="2524"/>
        <v>04-08-2020</v>
      </c>
      <c r="X6171" t="str">
        <f t="shared" si="2525"/>
        <v>RAZIMAH ANSAR AHMAD</v>
      </c>
      <c r="Y6171" t="str">
        <f t="shared" si="2526"/>
        <v>04-08-2020</v>
      </c>
      <c r="Z6171" t="str">
        <f>"COS10200804 2983"</f>
        <v>COS10200804 2983</v>
      </c>
    </row>
    <row r="6172" spans="1:26" x14ac:dyDescent="0.25">
      <c r="A6172" t="str">
        <f t="shared" si="2527"/>
        <v>04-08-2020 12:40:28</v>
      </c>
      <c r="B6172" t="str">
        <f>"0000804746"</f>
        <v>0000804746</v>
      </c>
      <c r="C6172" t="str">
        <f t="shared" si="2528"/>
        <v>0000804564</v>
      </c>
      <c r="D6172" t="str">
        <f t="shared" si="2516"/>
        <v>73185</v>
      </c>
      <c r="E6172" t="str">
        <f t="shared" si="2517"/>
        <v>KFH-OPERATIONS DEPARTMENT</v>
      </c>
      <c r="F6172" t="str">
        <f t="shared" si="2518"/>
        <v>IBG</v>
      </c>
      <c r="G6172" t="str">
        <f t="shared" si="2529"/>
        <v>Refund COSHARE 10</v>
      </c>
      <c r="H6172" s="2">
        <v>911</v>
      </c>
      <c r="I6172" t="str">
        <f>"MUHAMAD FAZLAN BIN MOKHTAR"</f>
        <v>MUHAMAD FAZLAN BIN MOKHTAR</v>
      </c>
      <c r="J6172" t="str">
        <f t="shared" si="2511"/>
        <v>CIMB BANK / CIMB ISLAMIC BANK</v>
      </c>
      <c r="K6172" t="str">
        <f>"7028472832"</f>
        <v>7028472832</v>
      </c>
      <c r="L6172" t="str">
        <f t="shared" si="2530"/>
        <v>04-08-2020</v>
      </c>
      <c r="M6172" t="str">
        <f t="shared" si="2530"/>
        <v>04-08-2020</v>
      </c>
      <c r="N6172" t="str">
        <f t="shared" si="2519"/>
        <v>001105018356</v>
      </c>
      <c r="O6172" t="str">
        <f t="shared" si="2520"/>
        <v>MYR</v>
      </c>
      <c r="P6172" t="str">
        <f t="shared" si="2531"/>
        <v>NIL</v>
      </c>
      <c r="Q6172" t="str">
        <f t="shared" si="2531"/>
        <v>NIL</v>
      </c>
      <c r="R6172" t="str">
        <f t="shared" si="2507"/>
        <v>Accepted</v>
      </c>
      <c r="S6172" t="str">
        <f t="shared" si="2521"/>
        <v>Approved</v>
      </c>
      <c r="T6172" t="str">
        <f t="shared" si="2508"/>
        <v>10.20.8.188</v>
      </c>
      <c r="U6172" t="str">
        <f t="shared" si="2522"/>
        <v>AZRAD UMAR BIN SHAARI</v>
      </c>
      <c r="V6172" t="str">
        <f t="shared" si="2523"/>
        <v>FARHANA BINTI MUSTAPA</v>
      </c>
      <c r="W6172" t="str">
        <f t="shared" si="2524"/>
        <v>04-08-2020</v>
      </c>
      <c r="X6172" t="str">
        <f t="shared" si="2525"/>
        <v>RAZIMAH ANSAR AHMAD</v>
      </c>
      <c r="Y6172" t="str">
        <f t="shared" si="2526"/>
        <v>04-08-2020</v>
      </c>
      <c r="Z6172" t="str">
        <f>"COS10200804 2982"</f>
        <v>COS10200804 2982</v>
      </c>
    </row>
    <row r="6173" spans="1:26" x14ac:dyDescent="0.25">
      <c r="A6173" t="str">
        <f t="shared" si="2527"/>
        <v>04-08-2020 12:40:28</v>
      </c>
      <c r="B6173" t="str">
        <f>"0000804745"</f>
        <v>0000804745</v>
      </c>
      <c r="C6173" t="str">
        <f t="shared" si="2528"/>
        <v>0000804564</v>
      </c>
      <c r="D6173" t="str">
        <f t="shared" si="2516"/>
        <v>73185</v>
      </c>
      <c r="E6173" t="str">
        <f t="shared" si="2517"/>
        <v>KFH-OPERATIONS DEPARTMENT</v>
      </c>
      <c r="F6173" t="str">
        <f t="shared" si="2518"/>
        <v>IBG</v>
      </c>
      <c r="G6173" t="str">
        <f t="shared" si="2529"/>
        <v>Refund COSHARE 10</v>
      </c>
      <c r="H6173" s="2">
        <v>405</v>
      </c>
      <c r="I6173" t="str">
        <f>"MUHAMAD FAKRUL HAFIZ BIN ABDUL RASHID"</f>
        <v>MUHAMAD FAKRUL HAFIZ BIN ABDUL RASHID</v>
      </c>
      <c r="J6173" t="str">
        <f t="shared" si="2511"/>
        <v>CIMB BANK / CIMB ISLAMIC BANK</v>
      </c>
      <c r="K6173" t="str">
        <f>"11050077809523"</f>
        <v>11050077809523</v>
      </c>
      <c r="L6173" t="str">
        <f t="shared" si="2530"/>
        <v>04-08-2020</v>
      </c>
      <c r="M6173" t="str">
        <f t="shared" si="2530"/>
        <v>04-08-2020</v>
      </c>
      <c r="N6173" t="str">
        <f t="shared" si="2519"/>
        <v>001105018356</v>
      </c>
      <c r="O6173" t="str">
        <f t="shared" si="2520"/>
        <v>MYR</v>
      </c>
      <c r="P6173" t="str">
        <f t="shared" si="2531"/>
        <v>NIL</v>
      </c>
      <c r="Q6173" t="str">
        <f t="shared" si="2531"/>
        <v>NIL</v>
      </c>
      <c r="R6173" t="str">
        <f t="shared" si="2507"/>
        <v>Accepted</v>
      </c>
      <c r="S6173" t="str">
        <f t="shared" si="2521"/>
        <v>Approved</v>
      </c>
      <c r="T6173" t="str">
        <f t="shared" si="2508"/>
        <v>10.20.8.188</v>
      </c>
      <c r="U6173" t="str">
        <f t="shared" si="2522"/>
        <v>AZRAD UMAR BIN SHAARI</v>
      </c>
      <c r="V6173" t="str">
        <f t="shared" si="2523"/>
        <v>FARHANA BINTI MUSTAPA</v>
      </c>
      <c r="W6173" t="str">
        <f t="shared" si="2524"/>
        <v>04-08-2020</v>
      </c>
      <c r="X6173" t="str">
        <f t="shared" si="2525"/>
        <v>RAZIMAH ANSAR AHMAD</v>
      </c>
      <c r="Y6173" t="str">
        <f t="shared" si="2526"/>
        <v>04-08-2020</v>
      </c>
      <c r="Z6173" t="str">
        <f>"COS10200804 2981"</f>
        <v>COS10200804 2981</v>
      </c>
    </row>
    <row r="6174" spans="1:26" x14ac:dyDescent="0.25">
      <c r="A6174" t="str">
        <f t="shared" si="2527"/>
        <v>04-08-2020 12:40:28</v>
      </c>
      <c r="B6174" t="str">
        <f>"0000804744"</f>
        <v>0000804744</v>
      </c>
      <c r="C6174" t="str">
        <f t="shared" si="2528"/>
        <v>0000804564</v>
      </c>
      <c r="D6174" t="str">
        <f t="shared" si="2516"/>
        <v>73185</v>
      </c>
      <c r="E6174" t="str">
        <f t="shared" si="2517"/>
        <v>KFH-OPERATIONS DEPARTMENT</v>
      </c>
      <c r="F6174" t="str">
        <f t="shared" si="2518"/>
        <v>IBG</v>
      </c>
      <c r="G6174" t="str">
        <f t="shared" si="2529"/>
        <v>Refund COSHARE 10</v>
      </c>
      <c r="H6174" s="2">
        <v>58.8</v>
      </c>
      <c r="I6174" t="str">
        <f>"MUHAMAD FAIZAL BIN RAMLI"</f>
        <v>MUHAMAD FAIZAL BIN RAMLI</v>
      </c>
      <c r="J6174" t="str">
        <f t="shared" si="2511"/>
        <v>CIMB BANK / CIMB ISLAMIC BANK</v>
      </c>
      <c r="K6174" t="str">
        <f>"04080076248529"</f>
        <v>04080076248529</v>
      </c>
      <c r="L6174" t="str">
        <f t="shared" si="2530"/>
        <v>04-08-2020</v>
      </c>
      <c r="M6174" t="str">
        <f t="shared" si="2530"/>
        <v>04-08-2020</v>
      </c>
      <c r="N6174" t="str">
        <f t="shared" si="2519"/>
        <v>001105018356</v>
      </c>
      <c r="O6174" t="str">
        <f t="shared" si="2520"/>
        <v>MYR</v>
      </c>
      <c r="P6174" t="str">
        <f t="shared" si="2531"/>
        <v>NIL</v>
      </c>
      <c r="Q6174" t="str">
        <f t="shared" si="2531"/>
        <v>NIL</v>
      </c>
      <c r="R6174" t="str">
        <f t="shared" si="2507"/>
        <v>Accepted</v>
      </c>
      <c r="S6174" t="str">
        <f t="shared" si="2521"/>
        <v>Approved</v>
      </c>
      <c r="T6174" t="str">
        <f t="shared" si="2508"/>
        <v>10.20.8.188</v>
      </c>
      <c r="U6174" t="str">
        <f t="shared" si="2522"/>
        <v>AZRAD UMAR BIN SHAARI</v>
      </c>
      <c r="V6174" t="str">
        <f t="shared" si="2523"/>
        <v>FARHANA BINTI MUSTAPA</v>
      </c>
      <c r="W6174" t="str">
        <f t="shared" si="2524"/>
        <v>04-08-2020</v>
      </c>
      <c r="X6174" t="str">
        <f t="shared" si="2525"/>
        <v>RAZIMAH ANSAR AHMAD</v>
      </c>
      <c r="Y6174" t="str">
        <f t="shared" si="2526"/>
        <v>04-08-2020</v>
      </c>
      <c r="Z6174" t="str">
        <f>"COS10200804 2980"</f>
        <v>COS10200804 2980</v>
      </c>
    </row>
    <row r="6175" spans="1:26" x14ac:dyDescent="0.25">
      <c r="A6175" t="str">
        <f t="shared" si="2527"/>
        <v>04-08-2020 12:40:28</v>
      </c>
      <c r="B6175" t="str">
        <f>"0000804743"</f>
        <v>0000804743</v>
      </c>
      <c r="C6175" t="str">
        <f t="shared" si="2528"/>
        <v>0000804564</v>
      </c>
      <c r="D6175" t="str">
        <f t="shared" si="2516"/>
        <v>73185</v>
      </c>
      <c r="E6175" t="str">
        <f t="shared" si="2517"/>
        <v>KFH-OPERATIONS DEPARTMENT</v>
      </c>
      <c r="F6175" t="str">
        <f t="shared" si="2518"/>
        <v>IBG</v>
      </c>
      <c r="G6175" t="str">
        <f t="shared" si="2529"/>
        <v>Refund COSHARE 10</v>
      </c>
      <c r="H6175" s="2">
        <v>83.95</v>
      </c>
      <c r="I6175" t="str">
        <f>"MUHAMAD BIN MAAROF"</f>
        <v>MUHAMAD BIN MAAROF</v>
      </c>
      <c r="J6175" t="str">
        <f t="shared" si="2511"/>
        <v>CIMB BANK / CIMB ISLAMIC BANK</v>
      </c>
      <c r="K6175" t="str">
        <f>"7012554231"</f>
        <v>7012554231</v>
      </c>
      <c r="L6175" t="str">
        <f t="shared" si="2530"/>
        <v>04-08-2020</v>
      </c>
      <c r="M6175" t="str">
        <f t="shared" si="2530"/>
        <v>04-08-2020</v>
      </c>
      <c r="N6175" t="str">
        <f t="shared" si="2519"/>
        <v>001105018356</v>
      </c>
      <c r="O6175" t="str">
        <f t="shared" si="2520"/>
        <v>MYR</v>
      </c>
      <c r="P6175" t="str">
        <f t="shared" si="2531"/>
        <v>NIL</v>
      </c>
      <c r="Q6175" t="str">
        <f t="shared" si="2531"/>
        <v>NIL</v>
      </c>
      <c r="R6175" t="str">
        <f t="shared" si="2507"/>
        <v>Accepted</v>
      </c>
      <c r="S6175" t="str">
        <f t="shared" si="2521"/>
        <v>Approved</v>
      </c>
      <c r="T6175" t="str">
        <f t="shared" si="2508"/>
        <v>10.20.8.188</v>
      </c>
      <c r="U6175" t="str">
        <f t="shared" si="2522"/>
        <v>AZRAD UMAR BIN SHAARI</v>
      </c>
      <c r="V6175" t="str">
        <f t="shared" si="2523"/>
        <v>FARHANA BINTI MUSTAPA</v>
      </c>
      <c r="W6175" t="str">
        <f t="shared" si="2524"/>
        <v>04-08-2020</v>
      </c>
      <c r="X6175" t="str">
        <f t="shared" si="2525"/>
        <v>RAZIMAH ANSAR AHMAD</v>
      </c>
      <c r="Y6175" t="str">
        <f t="shared" si="2526"/>
        <v>04-08-2020</v>
      </c>
      <c r="Z6175" t="str">
        <f>"COS10200804 2979"</f>
        <v>COS10200804 2979</v>
      </c>
    </row>
    <row r="6176" spans="1:26" x14ac:dyDescent="0.25">
      <c r="A6176" t="str">
        <f t="shared" si="2527"/>
        <v>04-08-2020 12:40:28</v>
      </c>
      <c r="B6176" t="str">
        <f>"0000804742"</f>
        <v>0000804742</v>
      </c>
      <c r="C6176" t="str">
        <f t="shared" si="2528"/>
        <v>0000804564</v>
      </c>
      <c r="D6176" t="str">
        <f t="shared" si="2516"/>
        <v>73185</v>
      </c>
      <c r="E6176" t="str">
        <f t="shared" si="2517"/>
        <v>KFH-OPERATIONS DEPARTMENT</v>
      </c>
      <c r="F6176" t="str">
        <f t="shared" si="2518"/>
        <v>IBG</v>
      </c>
      <c r="G6176" t="str">
        <f t="shared" si="2529"/>
        <v>Refund COSHARE 10</v>
      </c>
      <c r="H6176" s="2">
        <v>151.15</v>
      </c>
      <c r="I6176" t="str">
        <f>"MONALIZA BINTI MOHD YUSOF"</f>
        <v>MONALIZA BINTI MOHD YUSOF</v>
      </c>
      <c r="J6176" t="str">
        <f t="shared" si="2511"/>
        <v>CIMB BANK / CIMB ISLAMIC BANK</v>
      </c>
      <c r="K6176" t="str">
        <f>"05060065331528"</f>
        <v>05060065331528</v>
      </c>
      <c r="L6176" t="str">
        <f t="shared" si="2530"/>
        <v>04-08-2020</v>
      </c>
      <c r="M6176" t="str">
        <f t="shared" si="2530"/>
        <v>04-08-2020</v>
      </c>
      <c r="N6176" t="str">
        <f t="shared" si="2519"/>
        <v>001105018356</v>
      </c>
      <c r="O6176" t="str">
        <f t="shared" si="2520"/>
        <v>MYR</v>
      </c>
      <c r="P6176" t="str">
        <f t="shared" si="2531"/>
        <v>NIL</v>
      </c>
      <c r="Q6176" t="str">
        <f t="shared" si="2531"/>
        <v>NIL</v>
      </c>
      <c r="R6176" t="str">
        <f t="shared" si="2507"/>
        <v>Accepted</v>
      </c>
      <c r="S6176" t="str">
        <f t="shared" si="2521"/>
        <v>Approved</v>
      </c>
      <c r="T6176" t="str">
        <f t="shared" si="2508"/>
        <v>10.20.8.188</v>
      </c>
      <c r="U6176" t="str">
        <f t="shared" si="2522"/>
        <v>AZRAD UMAR BIN SHAARI</v>
      </c>
      <c r="V6176" t="str">
        <f t="shared" si="2523"/>
        <v>FARHANA BINTI MUSTAPA</v>
      </c>
      <c r="W6176" t="str">
        <f t="shared" si="2524"/>
        <v>04-08-2020</v>
      </c>
      <c r="X6176" t="str">
        <f t="shared" si="2525"/>
        <v>RAZIMAH ANSAR AHMAD</v>
      </c>
      <c r="Y6176" t="str">
        <f t="shared" si="2526"/>
        <v>04-08-2020</v>
      </c>
      <c r="Z6176" t="str">
        <f>"COS10200804 2978"</f>
        <v>COS10200804 2978</v>
      </c>
    </row>
    <row r="6177" spans="1:26" x14ac:dyDescent="0.25">
      <c r="A6177" t="str">
        <f t="shared" si="2527"/>
        <v>04-08-2020 12:40:28</v>
      </c>
      <c r="B6177" t="str">
        <f>"0000804741"</f>
        <v>0000804741</v>
      </c>
      <c r="C6177" t="str">
        <f t="shared" si="2528"/>
        <v>0000804564</v>
      </c>
      <c r="D6177" t="str">
        <f t="shared" si="2516"/>
        <v>73185</v>
      </c>
      <c r="E6177" t="str">
        <f t="shared" si="2517"/>
        <v>KFH-OPERATIONS DEPARTMENT</v>
      </c>
      <c r="F6177" t="str">
        <f t="shared" si="2518"/>
        <v>IBG</v>
      </c>
      <c r="G6177" t="str">
        <f t="shared" si="2529"/>
        <v>Refund COSHARE 10</v>
      </c>
      <c r="H6177" s="2">
        <v>361</v>
      </c>
      <c r="I6177" t="str">
        <f>"MOHHADI BIN ABU BAKAR"</f>
        <v>MOHHADI BIN ABU BAKAR</v>
      </c>
      <c r="J6177" t="str">
        <f t="shared" si="2511"/>
        <v>CIMB BANK / CIMB ISLAMIC BANK</v>
      </c>
      <c r="K6177" t="str">
        <f>"10100001940521"</f>
        <v>10100001940521</v>
      </c>
      <c r="L6177" t="str">
        <f t="shared" si="2530"/>
        <v>04-08-2020</v>
      </c>
      <c r="M6177" t="str">
        <f t="shared" si="2530"/>
        <v>04-08-2020</v>
      </c>
      <c r="N6177" t="str">
        <f t="shared" si="2519"/>
        <v>001105018356</v>
      </c>
      <c r="O6177" t="str">
        <f t="shared" si="2520"/>
        <v>MYR</v>
      </c>
      <c r="P6177" t="str">
        <f t="shared" si="2531"/>
        <v>NIL</v>
      </c>
      <c r="Q6177" t="str">
        <f t="shared" si="2531"/>
        <v>NIL</v>
      </c>
      <c r="R6177" t="str">
        <f t="shared" si="2507"/>
        <v>Accepted</v>
      </c>
      <c r="S6177" t="str">
        <f t="shared" si="2521"/>
        <v>Approved</v>
      </c>
      <c r="T6177" t="str">
        <f t="shared" si="2508"/>
        <v>10.20.8.188</v>
      </c>
      <c r="U6177" t="str">
        <f t="shared" si="2522"/>
        <v>AZRAD UMAR BIN SHAARI</v>
      </c>
      <c r="V6177" t="str">
        <f t="shared" si="2523"/>
        <v>FARHANA BINTI MUSTAPA</v>
      </c>
      <c r="W6177" t="str">
        <f t="shared" si="2524"/>
        <v>04-08-2020</v>
      </c>
      <c r="X6177" t="str">
        <f t="shared" si="2525"/>
        <v>RAZIMAH ANSAR AHMAD</v>
      </c>
      <c r="Y6177" t="str">
        <f t="shared" si="2526"/>
        <v>04-08-2020</v>
      </c>
      <c r="Z6177" t="str">
        <f>"COS10200804 2977"</f>
        <v>COS10200804 2977</v>
      </c>
    </row>
    <row r="6178" spans="1:26" x14ac:dyDescent="0.25">
      <c r="A6178" t="str">
        <f t="shared" si="2527"/>
        <v>04-08-2020 12:40:28</v>
      </c>
      <c r="B6178" t="str">
        <f>"0000804740"</f>
        <v>0000804740</v>
      </c>
      <c r="C6178" t="str">
        <f t="shared" si="2528"/>
        <v>0000804564</v>
      </c>
      <c r="D6178" t="str">
        <f t="shared" si="2516"/>
        <v>73185</v>
      </c>
      <c r="E6178" t="str">
        <f t="shared" si="2517"/>
        <v>KFH-OPERATIONS DEPARTMENT</v>
      </c>
      <c r="F6178" t="str">
        <f t="shared" si="2518"/>
        <v>IBG</v>
      </c>
      <c r="G6178" t="str">
        <f t="shared" si="2529"/>
        <v>Refund COSHARE 10</v>
      </c>
      <c r="H6178" s="2">
        <v>999</v>
      </c>
      <c r="I6178" t="str">
        <f>"MOHDFAZLY BIN ZULKIFLY"</f>
        <v>MOHDFAZLY BIN ZULKIFLY</v>
      </c>
      <c r="J6178" t="str">
        <f t="shared" si="2511"/>
        <v>CIMB BANK / CIMB ISLAMIC BANK</v>
      </c>
      <c r="K6178" t="str">
        <f>"14160067422524"</f>
        <v>14160067422524</v>
      </c>
      <c r="L6178" t="str">
        <f t="shared" si="2530"/>
        <v>04-08-2020</v>
      </c>
      <c r="M6178" t="str">
        <f t="shared" si="2530"/>
        <v>04-08-2020</v>
      </c>
      <c r="N6178" t="str">
        <f t="shared" si="2519"/>
        <v>001105018356</v>
      </c>
      <c r="O6178" t="str">
        <f t="shared" si="2520"/>
        <v>MYR</v>
      </c>
      <c r="P6178" t="str">
        <f t="shared" si="2531"/>
        <v>NIL</v>
      </c>
      <c r="Q6178" t="str">
        <f t="shared" si="2531"/>
        <v>NIL</v>
      </c>
      <c r="R6178" t="str">
        <f t="shared" ref="R6178:R6241" si="2532">"Accepted"</f>
        <v>Accepted</v>
      </c>
      <c r="S6178" t="str">
        <f t="shared" si="2521"/>
        <v>Approved</v>
      </c>
      <c r="T6178" t="str">
        <f t="shared" ref="T6178:T6241" si="2533">"10.20.8.188"</f>
        <v>10.20.8.188</v>
      </c>
      <c r="U6178" t="str">
        <f t="shared" si="2522"/>
        <v>AZRAD UMAR BIN SHAARI</v>
      </c>
      <c r="V6178" t="str">
        <f t="shared" si="2523"/>
        <v>FARHANA BINTI MUSTAPA</v>
      </c>
      <c r="W6178" t="str">
        <f t="shared" si="2524"/>
        <v>04-08-2020</v>
      </c>
      <c r="X6178" t="str">
        <f t="shared" si="2525"/>
        <v>RAZIMAH ANSAR AHMAD</v>
      </c>
      <c r="Y6178" t="str">
        <f t="shared" si="2526"/>
        <v>04-08-2020</v>
      </c>
      <c r="Z6178" t="str">
        <f>"COS10200804 2976"</f>
        <v>COS10200804 2976</v>
      </c>
    </row>
    <row r="6179" spans="1:26" x14ac:dyDescent="0.25">
      <c r="A6179" t="str">
        <f t="shared" si="2527"/>
        <v>04-08-2020 12:40:28</v>
      </c>
      <c r="B6179" t="str">
        <f>"0000804739"</f>
        <v>0000804739</v>
      </c>
      <c r="C6179" t="str">
        <f t="shared" si="2528"/>
        <v>0000804564</v>
      </c>
      <c r="D6179" t="str">
        <f t="shared" si="2516"/>
        <v>73185</v>
      </c>
      <c r="E6179" t="str">
        <f t="shared" si="2517"/>
        <v>KFH-OPERATIONS DEPARTMENT</v>
      </c>
      <c r="F6179" t="str">
        <f t="shared" si="2518"/>
        <v>IBG</v>
      </c>
      <c r="G6179" t="str">
        <f t="shared" si="2529"/>
        <v>Refund COSHARE 10</v>
      </c>
      <c r="H6179" s="2">
        <v>850</v>
      </c>
      <c r="I6179" t="str">
        <f>"MOHD ZURAIDI BIN MD NASIR"</f>
        <v>MOHD ZURAIDI BIN MD NASIR</v>
      </c>
      <c r="J6179" t="str">
        <f t="shared" si="2511"/>
        <v>CIMB BANK / CIMB ISLAMIC BANK</v>
      </c>
      <c r="K6179" t="str">
        <f>"7618283411"</f>
        <v>7618283411</v>
      </c>
      <c r="L6179" t="str">
        <f t="shared" si="2530"/>
        <v>04-08-2020</v>
      </c>
      <c r="M6179" t="str">
        <f t="shared" si="2530"/>
        <v>04-08-2020</v>
      </c>
      <c r="N6179" t="str">
        <f t="shared" si="2519"/>
        <v>001105018356</v>
      </c>
      <c r="O6179" t="str">
        <f t="shared" si="2520"/>
        <v>MYR</v>
      </c>
      <c r="P6179" t="str">
        <f t="shared" si="2531"/>
        <v>NIL</v>
      </c>
      <c r="Q6179" t="str">
        <f t="shared" si="2531"/>
        <v>NIL</v>
      </c>
      <c r="R6179" t="str">
        <f t="shared" si="2532"/>
        <v>Accepted</v>
      </c>
      <c r="S6179" t="str">
        <f t="shared" si="2521"/>
        <v>Approved</v>
      </c>
      <c r="T6179" t="str">
        <f t="shared" si="2533"/>
        <v>10.20.8.188</v>
      </c>
      <c r="U6179" t="str">
        <f t="shared" si="2522"/>
        <v>AZRAD UMAR BIN SHAARI</v>
      </c>
      <c r="V6179" t="str">
        <f t="shared" si="2523"/>
        <v>FARHANA BINTI MUSTAPA</v>
      </c>
      <c r="W6179" t="str">
        <f t="shared" si="2524"/>
        <v>04-08-2020</v>
      </c>
      <c r="X6179" t="str">
        <f t="shared" si="2525"/>
        <v>RAZIMAH ANSAR AHMAD</v>
      </c>
      <c r="Y6179" t="str">
        <f t="shared" si="2526"/>
        <v>04-08-2020</v>
      </c>
      <c r="Z6179" t="str">
        <f>"COS10200804 2975"</f>
        <v>COS10200804 2975</v>
      </c>
    </row>
    <row r="6180" spans="1:26" x14ac:dyDescent="0.25">
      <c r="A6180" t="str">
        <f t="shared" si="2527"/>
        <v>04-08-2020 12:40:28</v>
      </c>
      <c r="B6180" t="str">
        <f>"0000804738"</f>
        <v>0000804738</v>
      </c>
      <c r="C6180" t="str">
        <f t="shared" si="2528"/>
        <v>0000804564</v>
      </c>
      <c r="D6180" t="str">
        <f t="shared" si="2516"/>
        <v>73185</v>
      </c>
      <c r="E6180" t="str">
        <f t="shared" si="2517"/>
        <v>KFH-OPERATIONS DEPARTMENT</v>
      </c>
      <c r="F6180" t="str">
        <f t="shared" si="2518"/>
        <v>IBG</v>
      </c>
      <c r="G6180" t="str">
        <f t="shared" si="2529"/>
        <v>Refund COSHARE 10</v>
      </c>
      <c r="H6180" s="2">
        <v>567.95000000000005</v>
      </c>
      <c r="I6180" t="str">
        <f>"MOHD ZULWAWI BIN HASHIM"</f>
        <v>MOHD ZULWAWI BIN HASHIM</v>
      </c>
      <c r="J6180" t="str">
        <f t="shared" si="2511"/>
        <v>CIMB BANK / CIMB ISLAMIC BANK</v>
      </c>
      <c r="K6180" t="str">
        <f>"10090017096525"</f>
        <v>10090017096525</v>
      </c>
      <c r="L6180" t="str">
        <f t="shared" si="2530"/>
        <v>04-08-2020</v>
      </c>
      <c r="M6180" t="str">
        <f t="shared" si="2530"/>
        <v>04-08-2020</v>
      </c>
      <c r="N6180" t="str">
        <f t="shared" si="2519"/>
        <v>001105018356</v>
      </c>
      <c r="O6180" t="str">
        <f t="shared" si="2520"/>
        <v>MYR</v>
      </c>
      <c r="P6180" t="str">
        <f t="shared" si="2531"/>
        <v>NIL</v>
      </c>
      <c r="Q6180" t="str">
        <f t="shared" si="2531"/>
        <v>NIL</v>
      </c>
      <c r="R6180" t="str">
        <f t="shared" si="2532"/>
        <v>Accepted</v>
      </c>
      <c r="S6180" t="str">
        <f t="shared" si="2521"/>
        <v>Approved</v>
      </c>
      <c r="T6180" t="str">
        <f t="shared" si="2533"/>
        <v>10.20.8.188</v>
      </c>
      <c r="U6180" t="str">
        <f t="shared" si="2522"/>
        <v>AZRAD UMAR BIN SHAARI</v>
      </c>
      <c r="V6180" t="str">
        <f t="shared" si="2523"/>
        <v>FARHANA BINTI MUSTAPA</v>
      </c>
      <c r="W6180" t="str">
        <f t="shared" si="2524"/>
        <v>04-08-2020</v>
      </c>
      <c r="X6180" t="str">
        <f t="shared" si="2525"/>
        <v>RAZIMAH ANSAR AHMAD</v>
      </c>
      <c r="Y6180" t="str">
        <f t="shared" si="2526"/>
        <v>04-08-2020</v>
      </c>
      <c r="Z6180" t="str">
        <f>"COS10200804 2974"</f>
        <v>COS10200804 2974</v>
      </c>
    </row>
    <row r="6181" spans="1:26" x14ac:dyDescent="0.25">
      <c r="A6181" t="str">
        <f t="shared" si="2527"/>
        <v>04-08-2020 12:40:28</v>
      </c>
      <c r="B6181" t="str">
        <f>"0000804737"</f>
        <v>0000804737</v>
      </c>
      <c r="C6181" t="str">
        <f t="shared" si="2528"/>
        <v>0000804564</v>
      </c>
      <c r="D6181" t="str">
        <f t="shared" si="2516"/>
        <v>73185</v>
      </c>
      <c r="E6181" t="str">
        <f t="shared" si="2517"/>
        <v>KFH-OPERATIONS DEPARTMENT</v>
      </c>
      <c r="F6181" t="str">
        <f t="shared" si="2518"/>
        <v>IBG</v>
      </c>
      <c r="G6181" t="str">
        <f t="shared" si="2529"/>
        <v>Refund COSHARE 10</v>
      </c>
      <c r="H6181" s="2">
        <v>95.35</v>
      </c>
      <c r="I6181" t="str">
        <f>"MOHD ZULKIFLI BIN RAMLI"</f>
        <v>MOHD ZULKIFLI BIN RAMLI</v>
      </c>
      <c r="J6181" t="str">
        <f t="shared" si="2511"/>
        <v>CIMB BANK / CIMB ISLAMIC BANK</v>
      </c>
      <c r="K6181" t="str">
        <f>"7036493364"</f>
        <v>7036493364</v>
      </c>
      <c r="L6181" t="str">
        <f t="shared" si="2530"/>
        <v>04-08-2020</v>
      </c>
      <c r="M6181" t="str">
        <f t="shared" si="2530"/>
        <v>04-08-2020</v>
      </c>
      <c r="N6181" t="str">
        <f t="shared" si="2519"/>
        <v>001105018356</v>
      </c>
      <c r="O6181" t="str">
        <f t="shared" si="2520"/>
        <v>MYR</v>
      </c>
      <c r="P6181" t="str">
        <f t="shared" si="2531"/>
        <v>NIL</v>
      </c>
      <c r="Q6181" t="str">
        <f t="shared" si="2531"/>
        <v>NIL</v>
      </c>
      <c r="R6181" t="str">
        <f t="shared" si="2532"/>
        <v>Accepted</v>
      </c>
      <c r="S6181" t="str">
        <f t="shared" si="2521"/>
        <v>Approved</v>
      </c>
      <c r="T6181" t="str">
        <f t="shared" si="2533"/>
        <v>10.20.8.188</v>
      </c>
      <c r="U6181" t="str">
        <f t="shared" si="2522"/>
        <v>AZRAD UMAR BIN SHAARI</v>
      </c>
      <c r="V6181" t="str">
        <f t="shared" si="2523"/>
        <v>FARHANA BINTI MUSTAPA</v>
      </c>
      <c r="W6181" t="str">
        <f t="shared" si="2524"/>
        <v>04-08-2020</v>
      </c>
      <c r="X6181" t="str">
        <f t="shared" si="2525"/>
        <v>RAZIMAH ANSAR AHMAD</v>
      </c>
      <c r="Y6181" t="str">
        <f t="shared" si="2526"/>
        <v>04-08-2020</v>
      </c>
      <c r="Z6181" t="str">
        <f>"COS10200804 2973"</f>
        <v>COS10200804 2973</v>
      </c>
    </row>
    <row r="6182" spans="1:26" x14ac:dyDescent="0.25">
      <c r="A6182" t="str">
        <f t="shared" si="2527"/>
        <v>04-08-2020 12:40:28</v>
      </c>
      <c r="B6182" t="str">
        <f>"0000804736"</f>
        <v>0000804736</v>
      </c>
      <c r="C6182" t="str">
        <f t="shared" si="2528"/>
        <v>0000804564</v>
      </c>
      <c r="D6182" t="str">
        <f t="shared" si="2516"/>
        <v>73185</v>
      </c>
      <c r="E6182" t="str">
        <f t="shared" si="2517"/>
        <v>KFH-OPERATIONS DEPARTMENT</v>
      </c>
      <c r="F6182" t="str">
        <f t="shared" si="2518"/>
        <v>IBG</v>
      </c>
      <c r="G6182" t="str">
        <f t="shared" si="2529"/>
        <v>Refund COSHARE 10</v>
      </c>
      <c r="H6182" s="2">
        <v>95.35</v>
      </c>
      <c r="I6182" t="str">
        <f>"MOHD ZULKIFLI BIN RAMLI"</f>
        <v>MOHD ZULKIFLI BIN RAMLI</v>
      </c>
      <c r="J6182" t="str">
        <f t="shared" si="2511"/>
        <v>CIMB BANK / CIMB ISLAMIC BANK</v>
      </c>
      <c r="K6182" t="str">
        <f>"7036493364"</f>
        <v>7036493364</v>
      </c>
      <c r="L6182" t="str">
        <f t="shared" si="2530"/>
        <v>04-08-2020</v>
      </c>
      <c r="M6182" t="str">
        <f t="shared" si="2530"/>
        <v>04-08-2020</v>
      </c>
      <c r="N6182" t="str">
        <f t="shared" si="2519"/>
        <v>001105018356</v>
      </c>
      <c r="O6182" t="str">
        <f t="shared" si="2520"/>
        <v>MYR</v>
      </c>
      <c r="P6182" t="str">
        <f t="shared" si="2531"/>
        <v>NIL</v>
      </c>
      <c r="Q6182" t="str">
        <f t="shared" si="2531"/>
        <v>NIL</v>
      </c>
      <c r="R6182" t="str">
        <f t="shared" si="2532"/>
        <v>Accepted</v>
      </c>
      <c r="S6182" t="str">
        <f t="shared" si="2521"/>
        <v>Approved</v>
      </c>
      <c r="T6182" t="str">
        <f t="shared" si="2533"/>
        <v>10.20.8.188</v>
      </c>
      <c r="U6182" t="str">
        <f t="shared" si="2522"/>
        <v>AZRAD UMAR BIN SHAARI</v>
      </c>
      <c r="V6182" t="str">
        <f t="shared" si="2523"/>
        <v>FARHANA BINTI MUSTAPA</v>
      </c>
      <c r="W6182" t="str">
        <f t="shared" si="2524"/>
        <v>04-08-2020</v>
      </c>
      <c r="X6182" t="str">
        <f t="shared" si="2525"/>
        <v>RAZIMAH ANSAR AHMAD</v>
      </c>
      <c r="Y6182" t="str">
        <f t="shared" si="2526"/>
        <v>04-08-2020</v>
      </c>
      <c r="Z6182" t="str">
        <f>"COS10200804 2972"</f>
        <v>COS10200804 2972</v>
      </c>
    </row>
    <row r="6183" spans="1:26" x14ac:dyDescent="0.25">
      <c r="A6183" t="str">
        <f t="shared" si="2527"/>
        <v>04-08-2020 12:40:28</v>
      </c>
      <c r="B6183" t="str">
        <f>"0000804735"</f>
        <v>0000804735</v>
      </c>
      <c r="C6183" t="str">
        <f t="shared" si="2528"/>
        <v>0000804564</v>
      </c>
      <c r="D6183" t="str">
        <f t="shared" si="2516"/>
        <v>73185</v>
      </c>
      <c r="E6183" t="str">
        <f t="shared" si="2517"/>
        <v>KFH-OPERATIONS DEPARTMENT</v>
      </c>
      <c r="F6183" t="str">
        <f t="shared" si="2518"/>
        <v>IBG</v>
      </c>
      <c r="G6183" t="str">
        <f t="shared" si="2529"/>
        <v>Refund COSHARE 10</v>
      </c>
      <c r="H6183" s="2">
        <v>74.95</v>
      </c>
      <c r="I6183" t="str">
        <f>"MOHD ZUKRI BIN ABDULLAH"</f>
        <v>MOHD ZUKRI BIN ABDULLAH</v>
      </c>
      <c r="J6183" t="str">
        <f t="shared" si="2511"/>
        <v>CIMB BANK / CIMB ISLAMIC BANK</v>
      </c>
      <c r="K6183" t="str">
        <f>"03020076726526"</f>
        <v>03020076726526</v>
      </c>
      <c r="L6183" t="str">
        <f t="shared" si="2530"/>
        <v>04-08-2020</v>
      </c>
      <c r="M6183" t="str">
        <f t="shared" si="2530"/>
        <v>04-08-2020</v>
      </c>
      <c r="N6183" t="str">
        <f t="shared" si="2519"/>
        <v>001105018356</v>
      </c>
      <c r="O6183" t="str">
        <f t="shared" si="2520"/>
        <v>MYR</v>
      </c>
      <c r="P6183" t="str">
        <f t="shared" si="2531"/>
        <v>NIL</v>
      </c>
      <c r="Q6183" t="str">
        <f t="shared" si="2531"/>
        <v>NIL</v>
      </c>
      <c r="R6183" t="str">
        <f t="shared" si="2532"/>
        <v>Accepted</v>
      </c>
      <c r="S6183" t="str">
        <f t="shared" si="2521"/>
        <v>Approved</v>
      </c>
      <c r="T6183" t="str">
        <f t="shared" si="2533"/>
        <v>10.20.8.188</v>
      </c>
      <c r="U6183" t="str">
        <f t="shared" si="2522"/>
        <v>AZRAD UMAR BIN SHAARI</v>
      </c>
      <c r="V6183" t="str">
        <f t="shared" si="2523"/>
        <v>FARHANA BINTI MUSTAPA</v>
      </c>
      <c r="W6183" t="str">
        <f t="shared" si="2524"/>
        <v>04-08-2020</v>
      </c>
      <c r="X6183" t="str">
        <f t="shared" si="2525"/>
        <v>RAZIMAH ANSAR AHMAD</v>
      </c>
      <c r="Y6183" t="str">
        <f t="shared" si="2526"/>
        <v>04-08-2020</v>
      </c>
      <c r="Z6183" t="str">
        <f>"COS10200804 2971"</f>
        <v>COS10200804 2971</v>
      </c>
    </row>
    <row r="6184" spans="1:26" x14ac:dyDescent="0.25">
      <c r="A6184" t="str">
        <f t="shared" si="2527"/>
        <v>04-08-2020 12:40:28</v>
      </c>
      <c r="B6184" t="str">
        <f>"0000804734"</f>
        <v>0000804734</v>
      </c>
      <c r="C6184" t="str">
        <f t="shared" si="2528"/>
        <v>0000804564</v>
      </c>
      <c r="D6184" t="str">
        <f t="shared" si="2516"/>
        <v>73185</v>
      </c>
      <c r="E6184" t="str">
        <f t="shared" si="2517"/>
        <v>KFH-OPERATIONS DEPARTMENT</v>
      </c>
      <c r="F6184" t="str">
        <f t="shared" si="2518"/>
        <v>IBG</v>
      </c>
      <c r="G6184" t="str">
        <f t="shared" si="2529"/>
        <v>Refund COSHARE 10</v>
      </c>
      <c r="H6184" s="2">
        <v>680</v>
      </c>
      <c r="I6184" t="str">
        <f>"MOHD ZUKHAIR BIN ABU HASHIM"</f>
        <v>MOHD ZUKHAIR BIN ABU HASHIM</v>
      </c>
      <c r="J6184" t="str">
        <f t="shared" si="2511"/>
        <v>CIMB BANK / CIMB ISLAMIC BANK</v>
      </c>
      <c r="K6184" t="str">
        <f>"12150000499208"</f>
        <v>12150000499208</v>
      </c>
      <c r="L6184" t="str">
        <f t="shared" si="2530"/>
        <v>04-08-2020</v>
      </c>
      <c r="M6184" t="str">
        <f t="shared" si="2530"/>
        <v>04-08-2020</v>
      </c>
      <c r="N6184" t="str">
        <f t="shared" si="2519"/>
        <v>001105018356</v>
      </c>
      <c r="O6184" t="str">
        <f t="shared" si="2520"/>
        <v>MYR</v>
      </c>
      <c r="P6184" t="str">
        <f t="shared" si="2531"/>
        <v>NIL</v>
      </c>
      <c r="Q6184" t="str">
        <f t="shared" si="2531"/>
        <v>NIL</v>
      </c>
      <c r="R6184" t="str">
        <f t="shared" si="2532"/>
        <v>Accepted</v>
      </c>
      <c r="S6184" t="str">
        <f t="shared" si="2521"/>
        <v>Approved</v>
      </c>
      <c r="T6184" t="str">
        <f t="shared" si="2533"/>
        <v>10.20.8.188</v>
      </c>
      <c r="U6184" t="str">
        <f t="shared" si="2522"/>
        <v>AZRAD UMAR BIN SHAARI</v>
      </c>
      <c r="V6184" t="str">
        <f t="shared" si="2523"/>
        <v>FARHANA BINTI MUSTAPA</v>
      </c>
      <c r="W6184" t="str">
        <f t="shared" si="2524"/>
        <v>04-08-2020</v>
      </c>
      <c r="X6184" t="str">
        <f t="shared" si="2525"/>
        <v>RAZIMAH ANSAR AHMAD</v>
      </c>
      <c r="Y6184" t="str">
        <f t="shared" si="2526"/>
        <v>04-08-2020</v>
      </c>
      <c r="Z6184" t="str">
        <f>"COS10200804 2970"</f>
        <v>COS10200804 2970</v>
      </c>
    </row>
    <row r="6185" spans="1:26" x14ac:dyDescent="0.25">
      <c r="A6185" t="str">
        <f t="shared" si="2527"/>
        <v>04-08-2020 12:40:28</v>
      </c>
      <c r="B6185" t="str">
        <f>"0000804733"</f>
        <v>0000804733</v>
      </c>
      <c r="C6185" t="str">
        <f t="shared" si="2528"/>
        <v>0000804564</v>
      </c>
      <c r="D6185" t="str">
        <f t="shared" si="2516"/>
        <v>73185</v>
      </c>
      <c r="E6185" t="str">
        <f t="shared" si="2517"/>
        <v>KFH-OPERATIONS DEPARTMENT</v>
      </c>
      <c r="F6185" t="str">
        <f t="shared" si="2518"/>
        <v>IBG</v>
      </c>
      <c r="G6185" t="str">
        <f t="shared" si="2529"/>
        <v>Refund COSHARE 10</v>
      </c>
      <c r="H6185" s="2">
        <v>251.85</v>
      </c>
      <c r="I6185" t="str">
        <f>"MOHD ZAWARI BIN ABDUL WAHAB"</f>
        <v>MOHD ZAWARI BIN ABDUL WAHAB</v>
      </c>
      <c r="J6185" t="str">
        <f t="shared" si="2511"/>
        <v>CIMB BANK / CIMB ISLAMIC BANK</v>
      </c>
      <c r="K6185" t="str">
        <f>"12210078164524"</f>
        <v>12210078164524</v>
      </c>
      <c r="L6185" t="str">
        <f t="shared" si="2530"/>
        <v>04-08-2020</v>
      </c>
      <c r="M6185" t="str">
        <f t="shared" si="2530"/>
        <v>04-08-2020</v>
      </c>
      <c r="N6185" t="str">
        <f t="shared" si="2519"/>
        <v>001105018356</v>
      </c>
      <c r="O6185" t="str">
        <f t="shared" si="2520"/>
        <v>MYR</v>
      </c>
      <c r="P6185" t="str">
        <f t="shared" si="2531"/>
        <v>NIL</v>
      </c>
      <c r="Q6185" t="str">
        <f t="shared" si="2531"/>
        <v>NIL</v>
      </c>
      <c r="R6185" t="str">
        <f t="shared" si="2532"/>
        <v>Accepted</v>
      </c>
      <c r="S6185" t="str">
        <f t="shared" si="2521"/>
        <v>Approved</v>
      </c>
      <c r="T6185" t="str">
        <f t="shared" si="2533"/>
        <v>10.20.8.188</v>
      </c>
      <c r="U6185" t="str">
        <f t="shared" si="2522"/>
        <v>AZRAD UMAR BIN SHAARI</v>
      </c>
      <c r="V6185" t="str">
        <f t="shared" si="2523"/>
        <v>FARHANA BINTI MUSTAPA</v>
      </c>
      <c r="W6185" t="str">
        <f t="shared" si="2524"/>
        <v>04-08-2020</v>
      </c>
      <c r="X6185" t="str">
        <f t="shared" si="2525"/>
        <v>RAZIMAH ANSAR AHMAD</v>
      </c>
      <c r="Y6185" t="str">
        <f t="shared" si="2526"/>
        <v>04-08-2020</v>
      </c>
      <c r="Z6185" t="str">
        <f>"COS10200804 2969"</f>
        <v>COS10200804 2969</v>
      </c>
    </row>
    <row r="6186" spans="1:26" x14ac:dyDescent="0.25">
      <c r="A6186" t="str">
        <f t="shared" ref="A6186:A6217" si="2534">"04-08-2020 12:40:28"</f>
        <v>04-08-2020 12:40:28</v>
      </c>
      <c r="B6186" t="str">
        <f>"0000804732"</f>
        <v>0000804732</v>
      </c>
      <c r="C6186" t="str">
        <f t="shared" ref="C6186:C6217" si="2535">"0000804564"</f>
        <v>0000804564</v>
      </c>
      <c r="D6186" t="str">
        <f t="shared" si="2516"/>
        <v>73185</v>
      </c>
      <c r="E6186" t="str">
        <f t="shared" si="2517"/>
        <v>KFH-OPERATIONS DEPARTMENT</v>
      </c>
      <c r="F6186" t="str">
        <f t="shared" si="2518"/>
        <v>IBG</v>
      </c>
      <c r="G6186" t="str">
        <f t="shared" si="2529"/>
        <v>Refund COSHARE 10</v>
      </c>
      <c r="H6186" s="2">
        <v>125.95</v>
      </c>
      <c r="I6186" t="str">
        <f>"MOHD ZAIRUL BIN SALEH"</f>
        <v>MOHD ZAIRUL BIN SALEH</v>
      </c>
      <c r="J6186" t="str">
        <f t="shared" si="2511"/>
        <v>CIMB BANK / CIMB ISLAMIC BANK</v>
      </c>
      <c r="K6186" t="str">
        <f>"14400081580529"</f>
        <v>14400081580529</v>
      </c>
      <c r="L6186" t="str">
        <f t="shared" si="2530"/>
        <v>04-08-2020</v>
      </c>
      <c r="M6186" t="str">
        <f t="shared" si="2530"/>
        <v>04-08-2020</v>
      </c>
      <c r="N6186" t="str">
        <f t="shared" si="2519"/>
        <v>001105018356</v>
      </c>
      <c r="O6186" t="str">
        <f t="shared" si="2520"/>
        <v>MYR</v>
      </c>
      <c r="P6186" t="str">
        <f t="shared" si="2531"/>
        <v>NIL</v>
      </c>
      <c r="Q6186" t="str">
        <f t="shared" si="2531"/>
        <v>NIL</v>
      </c>
      <c r="R6186" t="str">
        <f t="shared" si="2532"/>
        <v>Accepted</v>
      </c>
      <c r="S6186" t="str">
        <f t="shared" si="2521"/>
        <v>Approved</v>
      </c>
      <c r="T6186" t="str">
        <f t="shared" si="2533"/>
        <v>10.20.8.188</v>
      </c>
      <c r="U6186" t="str">
        <f t="shared" si="2522"/>
        <v>AZRAD UMAR BIN SHAARI</v>
      </c>
      <c r="V6186" t="str">
        <f t="shared" si="2523"/>
        <v>FARHANA BINTI MUSTAPA</v>
      </c>
      <c r="W6186" t="str">
        <f t="shared" si="2524"/>
        <v>04-08-2020</v>
      </c>
      <c r="X6186" t="str">
        <f t="shared" si="2525"/>
        <v>RAZIMAH ANSAR AHMAD</v>
      </c>
      <c r="Y6186" t="str">
        <f t="shared" si="2526"/>
        <v>04-08-2020</v>
      </c>
      <c r="Z6186" t="str">
        <f>"COS10200804 2968"</f>
        <v>COS10200804 2968</v>
      </c>
    </row>
    <row r="6187" spans="1:26" x14ac:dyDescent="0.25">
      <c r="A6187" t="str">
        <f t="shared" si="2534"/>
        <v>04-08-2020 12:40:28</v>
      </c>
      <c r="B6187" t="str">
        <f>"0000804731"</f>
        <v>0000804731</v>
      </c>
      <c r="C6187" t="str">
        <f t="shared" si="2535"/>
        <v>0000804564</v>
      </c>
      <c r="D6187" t="str">
        <f t="shared" si="2516"/>
        <v>73185</v>
      </c>
      <c r="E6187" t="str">
        <f t="shared" si="2517"/>
        <v>KFH-OPERATIONS DEPARTMENT</v>
      </c>
      <c r="F6187" t="str">
        <f t="shared" si="2518"/>
        <v>IBG</v>
      </c>
      <c r="G6187" t="str">
        <f t="shared" si="2529"/>
        <v>Refund COSHARE 10</v>
      </c>
      <c r="H6187" s="2">
        <v>503.7</v>
      </c>
      <c r="I6187" t="str">
        <f>"MOHD ZAINURIN BIN MD YASIN"</f>
        <v>MOHD ZAINURIN BIN MD YASIN</v>
      </c>
      <c r="J6187" t="str">
        <f t="shared" si="2511"/>
        <v>CIMB BANK / CIMB ISLAMIC BANK</v>
      </c>
      <c r="K6187" t="str">
        <f>"12051340967520"</f>
        <v>12051340967520</v>
      </c>
      <c r="L6187" t="str">
        <f t="shared" ref="L6187:M6206" si="2536">"04-08-2020"</f>
        <v>04-08-2020</v>
      </c>
      <c r="M6187" t="str">
        <f t="shared" si="2536"/>
        <v>04-08-2020</v>
      </c>
      <c r="N6187" t="str">
        <f t="shared" si="2519"/>
        <v>001105018356</v>
      </c>
      <c r="O6187" t="str">
        <f t="shared" si="2520"/>
        <v>MYR</v>
      </c>
      <c r="P6187" t="str">
        <f t="shared" ref="P6187:Q6206" si="2537">"NIL"</f>
        <v>NIL</v>
      </c>
      <c r="Q6187" t="str">
        <f t="shared" si="2537"/>
        <v>NIL</v>
      </c>
      <c r="R6187" t="str">
        <f t="shared" si="2532"/>
        <v>Accepted</v>
      </c>
      <c r="S6187" t="str">
        <f t="shared" si="2521"/>
        <v>Approved</v>
      </c>
      <c r="T6187" t="str">
        <f t="shared" si="2533"/>
        <v>10.20.8.188</v>
      </c>
      <c r="U6187" t="str">
        <f t="shared" si="2522"/>
        <v>AZRAD UMAR BIN SHAARI</v>
      </c>
      <c r="V6187" t="str">
        <f t="shared" si="2523"/>
        <v>FARHANA BINTI MUSTAPA</v>
      </c>
      <c r="W6187" t="str">
        <f t="shared" si="2524"/>
        <v>04-08-2020</v>
      </c>
      <c r="X6187" t="str">
        <f t="shared" si="2525"/>
        <v>RAZIMAH ANSAR AHMAD</v>
      </c>
      <c r="Y6187" t="str">
        <f t="shared" si="2526"/>
        <v>04-08-2020</v>
      </c>
      <c r="Z6187" t="str">
        <f>"COS10200804 2967"</f>
        <v>COS10200804 2967</v>
      </c>
    </row>
    <row r="6188" spans="1:26" x14ac:dyDescent="0.25">
      <c r="A6188" t="str">
        <f t="shared" si="2534"/>
        <v>04-08-2020 12:40:28</v>
      </c>
      <c r="B6188" t="str">
        <f>"0000804730"</f>
        <v>0000804730</v>
      </c>
      <c r="C6188" t="str">
        <f t="shared" si="2535"/>
        <v>0000804564</v>
      </c>
      <c r="D6188" t="str">
        <f t="shared" si="2516"/>
        <v>73185</v>
      </c>
      <c r="E6188" t="str">
        <f t="shared" si="2517"/>
        <v>KFH-OPERATIONS DEPARTMENT</v>
      </c>
      <c r="F6188" t="str">
        <f t="shared" si="2518"/>
        <v>IBG</v>
      </c>
      <c r="G6188" t="str">
        <f t="shared" si="2529"/>
        <v>Refund COSHARE 10</v>
      </c>
      <c r="H6188" s="2">
        <v>151.15</v>
      </c>
      <c r="I6188" t="str">
        <f>"MOHD ZABIDI BIN JAMBARI"</f>
        <v>MOHD ZABIDI BIN JAMBARI</v>
      </c>
      <c r="J6188" t="str">
        <f t="shared" si="2511"/>
        <v>CIMB BANK / CIMB ISLAMIC BANK</v>
      </c>
      <c r="K6188" t="str">
        <f>"01240061625521"</f>
        <v>01240061625521</v>
      </c>
      <c r="L6188" t="str">
        <f t="shared" si="2536"/>
        <v>04-08-2020</v>
      </c>
      <c r="M6188" t="str">
        <f t="shared" si="2536"/>
        <v>04-08-2020</v>
      </c>
      <c r="N6188" t="str">
        <f t="shared" si="2519"/>
        <v>001105018356</v>
      </c>
      <c r="O6188" t="str">
        <f t="shared" si="2520"/>
        <v>MYR</v>
      </c>
      <c r="P6188" t="str">
        <f t="shared" si="2537"/>
        <v>NIL</v>
      </c>
      <c r="Q6188" t="str">
        <f t="shared" si="2537"/>
        <v>NIL</v>
      </c>
      <c r="R6188" t="str">
        <f t="shared" si="2532"/>
        <v>Accepted</v>
      </c>
      <c r="S6188" t="str">
        <f t="shared" si="2521"/>
        <v>Approved</v>
      </c>
      <c r="T6188" t="str">
        <f t="shared" si="2533"/>
        <v>10.20.8.188</v>
      </c>
      <c r="U6188" t="str">
        <f t="shared" si="2522"/>
        <v>AZRAD UMAR BIN SHAARI</v>
      </c>
      <c r="V6188" t="str">
        <f t="shared" si="2523"/>
        <v>FARHANA BINTI MUSTAPA</v>
      </c>
      <c r="W6188" t="str">
        <f t="shared" si="2524"/>
        <v>04-08-2020</v>
      </c>
      <c r="X6188" t="str">
        <f t="shared" si="2525"/>
        <v>RAZIMAH ANSAR AHMAD</v>
      </c>
      <c r="Y6188" t="str">
        <f t="shared" si="2526"/>
        <v>04-08-2020</v>
      </c>
      <c r="Z6188" t="str">
        <f>"COS10200804 2966"</f>
        <v>COS10200804 2966</v>
      </c>
    </row>
    <row r="6189" spans="1:26" x14ac:dyDescent="0.25">
      <c r="A6189" t="str">
        <f t="shared" si="2534"/>
        <v>04-08-2020 12:40:28</v>
      </c>
      <c r="B6189" t="str">
        <f>"0000804729"</f>
        <v>0000804729</v>
      </c>
      <c r="C6189" t="str">
        <f t="shared" si="2535"/>
        <v>0000804564</v>
      </c>
      <c r="D6189" t="str">
        <f t="shared" si="2516"/>
        <v>73185</v>
      </c>
      <c r="E6189" t="str">
        <f t="shared" si="2517"/>
        <v>KFH-OPERATIONS DEPARTMENT</v>
      </c>
      <c r="F6189" t="str">
        <f t="shared" si="2518"/>
        <v>IBG</v>
      </c>
      <c r="G6189" t="str">
        <f t="shared" si="2529"/>
        <v>Refund COSHARE 10</v>
      </c>
      <c r="H6189" s="2">
        <v>999</v>
      </c>
      <c r="I6189" t="str">
        <f>"MOHD YUZAIRI BIN MD YUSOF"</f>
        <v>MOHD YUZAIRI BIN MD YUSOF</v>
      </c>
      <c r="J6189" t="str">
        <f t="shared" si="2511"/>
        <v>CIMB BANK / CIMB ISLAMIC BANK</v>
      </c>
      <c r="K6189" t="str">
        <f>"13060066547523"</f>
        <v>13060066547523</v>
      </c>
      <c r="L6189" t="str">
        <f t="shared" si="2536"/>
        <v>04-08-2020</v>
      </c>
      <c r="M6189" t="str">
        <f t="shared" si="2536"/>
        <v>04-08-2020</v>
      </c>
      <c r="N6189" t="str">
        <f t="shared" si="2519"/>
        <v>001105018356</v>
      </c>
      <c r="O6189" t="str">
        <f t="shared" si="2520"/>
        <v>MYR</v>
      </c>
      <c r="P6189" t="str">
        <f t="shared" si="2537"/>
        <v>NIL</v>
      </c>
      <c r="Q6189" t="str">
        <f t="shared" si="2537"/>
        <v>NIL</v>
      </c>
      <c r="R6189" t="str">
        <f t="shared" si="2532"/>
        <v>Accepted</v>
      </c>
      <c r="S6189" t="str">
        <f t="shared" si="2521"/>
        <v>Approved</v>
      </c>
      <c r="T6189" t="str">
        <f t="shared" si="2533"/>
        <v>10.20.8.188</v>
      </c>
      <c r="U6189" t="str">
        <f t="shared" si="2522"/>
        <v>AZRAD UMAR BIN SHAARI</v>
      </c>
      <c r="V6189" t="str">
        <f t="shared" si="2523"/>
        <v>FARHANA BINTI MUSTAPA</v>
      </c>
      <c r="W6189" t="str">
        <f t="shared" si="2524"/>
        <v>04-08-2020</v>
      </c>
      <c r="X6189" t="str">
        <f t="shared" si="2525"/>
        <v>RAZIMAH ANSAR AHMAD</v>
      </c>
      <c r="Y6189" t="str">
        <f t="shared" si="2526"/>
        <v>04-08-2020</v>
      </c>
      <c r="Z6189" t="str">
        <f>"COS10200804 2965"</f>
        <v>COS10200804 2965</v>
      </c>
    </row>
    <row r="6190" spans="1:26" x14ac:dyDescent="0.25">
      <c r="A6190" t="str">
        <f t="shared" si="2534"/>
        <v>04-08-2020 12:40:28</v>
      </c>
      <c r="B6190" t="str">
        <f>"0000804728"</f>
        <v>0000804728</v>
      </c>
      <c r="C6190" t="str">
        <f t="shared" si="2535"/>
        <v>0000804564</v>
      </c>
      <c r="D6190" t="str">
        <f t="shared" si="2516"/>
        <v>73185</v>
      </c>
      <c r="E6190" t="str">
        <f t="shared" si="2517"/>
        <v>KFH-OPERATIONS DEPARTMENT</v>
      </c>
      <c r="F6190" t="str">
        <f t="shared" si="2518"/>
        <v>IBG</v>
      </c>
      <c r="G6190" t="str">
        <f t="shared" si="2529"/>
        <v>Refund COSHARE 10</v>
      </c>
      <c r="H6190" s="2">
        <v>1412</v>
      </c>
      <c r="I6190" t="str">
        <f>"MOHD YUSRI BIN JAMRIN"</f>
        <v>MOHD YUSRI BIN JAMRIN</v>
      </c>
      <c r="J6190" t="str">
        <f t="shared" si="2511"/>
        <v>CIMB BANK / CIMB ISLAMIC BANK</v>
      </c>
      <c r="K6190" t="str">
        <f>"10120010629522"</f>
        <v>10120010629522</v>
      </c>
      <c r="L6190" t="str">
        <f t="shared" si="2536"/>
        <v>04-08-2020</v>
      </c>
      <c r="M6190" t="str">
        <f t="shared" si="2536"/>
        <v>04-08-2020</v>
      </c>
      <c r="N6190" t="str">
        <f t="shared" si="2519"/>
        <v>001105018356</v>
      </c>
      <c r="O6190" t="str">
        <f t="shared" si="2520"/>
        <v>MYR</v>
      </c>
      <c r="P6190" t="str">
        <f t="shared" si="2537"/>
        <v>NIL</v>
      </c>
      <c r="Q6190" t="str">
        <f t="shared" si="2537"/>
        <v>NIL</v>
      </c>
      <c r="R6190" t="str">
        <f t="shared" si="2532"/>
        <v>Accepted</v>
      </c>
      <c r="S6190" t="str">
        <f t="shared" si="2521"/>
        <v>Approved</v>
      </c>
      <c r="T6190" t="str">
        <f t="shared" si="2533"/>
        <v>10.20.8.188</v>
      </c>
      <c r="U6190" t="str">
        <f t="shared" si="2522"/>
        <v>AZRAD UMAR BIN SHAARI</v>
      </c>
      <c r="V6190" t="str">
        <f t="shared" si="2523"/>
        <v>FARHANA BINTI MUSTAPA</v>
      </c>
      <c r="W6190" t="str">
        <f t="shared" si="2524"/>
        <v>04-08-2020</v>
      </c>
      <c r="X6190" t="str">
        <f t="shared" si="2525"/>
        <v>RAZIMAH ANSAR AHMAD</v>
      </c>
      <c r="Y6190" t="str">
        <f t="shared" si="2526"/>
        <v>04-08-2020</v>
      </c>
      <c r="Z6190" t="str">
        <f>"COS10200804 2964"</f>
        <v>COS10200804 2964</v>
      </c>
    </row>
    <row r="6191" spans="1:26" x14ac:dyDescent="0.25">
      <c r="A6191" t="str">
        <f t="shared" si="2534"/>
        <v>04-08-2020 12:40:28</v>
      </c>
      <c r="B6191" t="str">
        <f>"0000804727"</f>
        <v>0000804727</v>
      </c>
      <c r="C6191" t="str">
        <f t="shared" si="2535"/>
        <v>0000804564</v>
      </c>
      <c r="D6191" t="str">
        <f t="shared" si="2516"/>
        <v>73185</v>
      </c>
      <c r="E6191" t="str">
        <f t="shared" si="2517"/>
        <v>KFH-OPERATIONS DEPARTMENT</v>
      </c>
      <c r="F6191" t="str">
        <f t="shared" si="2518"/>
        <v>IBG</v>
      </c>
      <c r="G6191" t="str">
        <f t="shared" si="2529"/>
        <v>Refund COSHARE 10</v>
      </c>
      <c r="H6191" s="2">
        <v>747.15</v>
      </c>
      <c r="I6191" t="str">
        <f>"MOHD YUSRI BIN AB GHANI"</f>
        <v>MOHD YUSRI BIN AB GHANI</v>
      </c>
      <c r="J6191" t="str">
        <f t="shared" si="2511"/>
        <v>CIMB BANK / CIMB ISLAMIC BANK</v>
      </c>
      <c r="K6191" t="str">
        <f>"7032191509"</f>
        <v>7032191509</v>
      </c>
      <c r="L6191" t="str">
        <f t="shared" si="2536"/>
        <v>04-08-2020</v>
      </c>
      <c r="M6191" t="str">
        <f t="shared" si="2536"/>
        <v>04-08-2020</v>
      </c>
      <c r="N6191" t="str">
        <f t="shared" si="2519"/>
        <v>001105018356</v>
      </c>
      <c r="O6191" t="str">
        <f t="shared" si="2520"/>
        <v>MYR</v>
      </c>
      <c r="P6191" t="str">
        <f t="shared" si="2537"/>
        <v>NIL</v>
      </c>
      <c r="Q6191" t="str">
        <f t="shared" si="2537"/>
        <v>NIL</v>
      </c>
      <c r="R6191" t="str">
        <f t="shared" si="2532"/>
        <v>Accepted</v>
      </c>
      <c r="S6191" t="str">
        <f t="shared" si="2521"/>
        <v>Approved</v>
      </c>
      <c r="T6191" t="str">
        <f t="shared" si="2533"/>
        <v>10.20.8.188</v>
      </c>
      <c r="U6191" t="str">
        <f t="shared" si="2522"/>
        <v>AZRAD UMAR BIN SHAARI</v>
      </c>
      <c r="V6191" t="str">
        <f t="shared" si="2523"/>
        <v>FARHANA BINTI MUSTAPA</v>
      </c>
      <c r="W6191" t="str">
        <f t="shared" si="2524"/>
        <v>04-08-2020</v>
      </c>
      <c r="X6191" t="str">
        <f t="shared" si="2525"/>
        <v>RAZIMAH ANSAR AHMAD</v>
      </c>
      <c r="Y6191" t="str">
        <f t="shared" si="2526"/>
        <v>04-08-2020</v>
      </c>
      <c r="Z6191" t="str">
        <f>"COS10200804 2963"</f>
        <v>COS10200804 2963</v>
      </c>
    </row>
    <row r="6192" spans="1:26" x14ac:dyDescent="0.25">
      <c r="A6192" t="str">
        <f t="shared" si="2534"/>
        <v>04-08-2020 12:40:28</v>
      </c>
      <c r="B6192" t="str">
        <f>"0000804726"</f>
        <v>0000804726</v>
      </c>
      <c r="C6192" t="str">
        <f t="shared" si="2535"/>
        <v>0000804564</v>
      </c>
      <c r="D6192" t="str">
        <f t="shared" si="2516"/>
        <v>73185</v>
      </c>
      <c r="E6192" t="str">
        <f t="shared" si="2517"/>
        <v>KFH-OPERATIONS DEPARTMENT</v>
      </c>
      <c r="F6192" t="str">
        <f t="shared" si="2518"/>
        <v>IBG</v>
      </c>
      <c r="G6192" t="str">
        <f t="shared" si="2529"/>
        <v>Refund COSHARE 10</v>
      </c>
      <c r="H6192" s="2">
        <v>1658.75</v>
      </c>
      <c r="I6192" t="str">
        <f>"MOHD YUSFEE BIN MOHAMED YUSOF"</f>
        <v>MOHD YUSFEE BIN MOHAMED YUSOF</v>
      </c>
      <c r="J6192" t="str">
        <f t="shared" si="2511"/>
        <v>CIMB BANK / CIMB ISLAMIC BANK</v>
      </c>
      <c r="K6192" t="str">
        <f>"7031542670"</f>
        <v>7031542670</v>
      </c>
      <c r="L6192" t="str">
        <f t="shared" si="2536"/>
        <v>04-08-2020</v>
      </c>
      <c r="M6192" t="str">
        <f t="shared" si="2536"/>
        <v>04-08-2020</v>
      </c>
      <c r="N6192" t="str">
        <f t="shared" si="2519"/>
        <v>001105018356</v>
      </c>
      <c r="O6192" t="str">
        <f t="shared" si="2520"/>
        <v>MYR</v>
      </c>
      <c r="P6192" t="str">
        <f t="shared" si="2537"/>
        <v>NIL</v>
      </c>
      <c r="Q6192" t="str">
        <f t="shared" si="2537"/>
        <v>NIL</v>
      </c>
      <c r="R6192" t="str">
        <f t="shared" si="2532"/>
        <v>Accepted</v>
      </c>
      <c r="S6192" t="str">
        <f t="shared" si="2521"/>
        <v>Approved</v>
      </c>
      <c r="T6192" t="str">
        <f t="shared" si="2533"/>
        <v>10.20.8.188</v>
      </c>
      <c r="U6192" t="str">
        <f t="shared" si="2522"/>
        <v>AZRAD UMAR BIN SHAARI</v>
      </c>
      <c r="V6192" t="str">
        <f t="shared" si="2523"/>
        <v>FARHANA BINTI MUSTAPA</v>
      </c>
      <c r="W6192" t="str">
        <f t="shared" si="2524"/>
        <v>04-08-2020</v>
      </c>
      <c r="X6192" t="str">
        <f t="shared" si="2525"/>
        <v>RAZIMAH ANSAR AHMAD</v>
      </c>
      <c r="Y6192" t="str">
        <f t="shared" si="2526"/>
        <v>04-08-2020</v>
      </c>
      <c r="Z6192" t="str">
        <f>"COS10200804 2962"</f>
        <v>COS10200804 2962</v>
      </c>
    </row>
    <row r="6193" spans="1:26" x14ac:dyDescent="0.25">
      <c r="A6193" t="str">
        <f t="shared" si="2534"/>
        <v>04-08-2020 12:40:28</v>
      </c>
      <c r="B6193" t="str">
        <f>"0000804725"</f>
        <v>0000804725</v>
      </c>
      <c r="C6193" t="str">
        <f t="shared" si="2535"/>
        <v>0000804564</v>
      </c>
      <c r="D6193" t="str">
        <f t="shared" si="2516"/>
        <v>73185</v>
      </c>
      <c r="E6193" t="str">
        <f t="shared" si="2517"/>
        <v>KFH-OPERATIONS DEPARTMENT</v>
      </c>
      <c r="F6193" t="str">
        <f t="shared" si="2518"/>
        <v>IBG</v>
      </c>
      <c r="G6193" t="str">
        <f t="shared" si="2529"/>
        <v>Refund COSHARE 10</v>
      </c>
      <c r="H6193" s="2">
        <v>103.45</v>
      </c>
      <c r="I6193" t="str">
        <f>"MOHD YASMIN BIN YAHAYA"</f>
        <v>MOHD YASMIN BIN YAHAYA</v>
      </c>
      <c r="J6193" t="str">
        <f t="shared" si="2511"/>
        <v>CIMB BANK / CIMB ISLAMIC BANK</v>
      </c>
      <c r="K6193" t="str">
        <f>"12170067466523"</f>
        <v>12170067466523</v>
      </c>
      <c r="L6193" t="str">
        <f t="shared" si="2536"/>
        <v>04-08-2020</v>
      </c>
      <c r="M6193" t="str">
        <f t="shared" si="2536"/>
        <v>04-08-2020</v>
      </c>
      <c r="N6193" t="str">
        <f t="shared" si="2519"/>
        <v>001105018356</v>
      </c>
      <c r="O6193" t="str">
        <f t="shared" si="2520"/>
        <v>MYR</v>
      </c>
      <c r="P6193" t="str">
        <f t="shared" si="2537"/>
        <v>NIL</v>
      </c>
      <c r="Q6193" t="str">
        <f t="shared" si="2537"/>
        <v>NIL</v>
      </c>
      <c r="R6193" t="str">
        <f t="shared" si="2532"/>
        <v>Accepted</v>
      </c>
      <c r="S6193" t="str">
        <f t="shared" si="2521"/>
        <v>Approved</v>
      </c>
      <c r="T6193" t="str">
        <f t="shared" si="2533"/>
        <v>10.20.8.188</v>
      </c>
      <c r="U6193" t="str">
        <f t="shared" si="2522"/>
        <v>AZRAD UMAR BIN SHAARI</v>
      </c>
      <c r="V6193" t="str">
        <f t="shared" si="2523"/>
        <v>FARHANA BINTI MUSTAPA</v>
      </c>
      <c r="W6193" t="str">
        <f t="shared" si="2524"/>
        <v>04-08-2020</v>
      </c>
      <c r="X6193" t="str">
        <f t="shared" si="2525"/>
        <v>RAZIMAH ANSAR AHMAD</v>
      </c>
      <c r="Y6193" t="str">
        <f t="shared" si="2526"/>
        <v>04-08-2020</v>
      </c>
      <c r="Z6193" t="str">
        <f>"COS10200804 2961"</f>
        <v>COS10200804 2961</v>
      </c>
    </row>
    <row r="6194" spans="1:26" x14ac:dyDescent="0.25">
      <c r="A6194" t="str">
        <f t="shared" si="2534"/>
        <v>04-08-2020 12:40:28</v>
      </c>
      <c r="B6194" t="str">
        <f>"0000804724"</f>
        <v>0000804724</v>
      </c>
      <c r="C6194" t="str">
        <f t="shared" si="2535"/>
        <v>0000804564</v>
      </c>
      <c r="D6194" t="str">
        <f t="shared" si="2516"/>
        <v>73185</v>
      </c>
      <c r="E6194" t="str">
        <f t="shared" si="2517"/>
        <v>KFH-OPERATIONS DEPARTMENT</v>
      </c>
      <c r="F6194" t="str">
        <f t="shared" si="2518"/>
        <v>IBG</v>
      </c>
      <c r="G6194" t="str">
        <f t="shared" si="2529"/>
        <v>Refund COSHARE 10</v>
      </c>
      <c r="H6194" s="2">
        <v>945</v>
      </c>
      <c r="I6194" t="str">
        <f>"MOHD TAUPEIK BIN MOHD SAMUJI"</f>
        <v>MOHD TAUPEIK BIN MOHD SAMUJI</v>
      </c>
      <c r="J6194" t="str">
        <f t="shared" si="2511"/>
        <v>CIMB BANK / CIMB ISLAMIC BANK</v>
      </c>
      <c r="K6194" t="str">
        <f>"06140011757528"</f>
        <v>06140011757528</v>
      </c>
      <c r="L6194" t="str">
        <f t="shared" si="2536"/>
        <v>04-08-2020</v>
      </c>
      <c r="M6194" t="str">
        <f t="shared" si="2536"/>
        <v>04-08-2020</v>
      </c>
      <c r="N6194" t="str">
        <f t="shared" si="2519"/>
        <v>001105018356</v>
      </c>
      <c r="O6194" t="str">
        <f t="shared" si="2520"/>
        <v>MYR</v>
      </c>
      <c r="P6194" t="str">
        <f t="shared" si="2537"/>
        <v>NIL</v>
      </c>
      <c r="Q6194" t="str">
        <f t="shared" si="2537"/>
        <v>NIL</v>
      </c>
      <c r="R6194" t="str">
        <f t="shared" si="2532"/>
        <v>Accepted</v>
      </c>
      <c r="S6194" t="str">
        <f t="shared" si="2521"/>
        <v>Approved</v>
      </c>
      <c r="T6194" t="str">
        <f t="shared" si="2533"/>
        <v>10.20.8.188</v>
      </c>
      <c r="U6194" t="str">
        <f t="shared" si="2522"/>
        <v>AZRAD UMAR BIN SHAARI</v>
      </c>
      <c r="V6194" t="str">
        <f t="shared" si="2523"/>
        <v>FARHANA BINTI MUSTAPA</v>
      </c>
      <c r="W6194" t="str">
        <f t="shared" si="2524"/>
        <v>04-08-2020</v>
      </c>
      <c r="X6194" t="str">
        <f t="shared" si="2525"/>
        <v>RAZIMAH ANSAR AHMAD</v>
      </c>
      <c r="Y6194" t="str">
        <f t="shared" si="2526"/>
        <v>04-08-2020</v>
      </c>
      <c r="Z6194" t="str">
        <f>"COS10200804 2960"</f>
        <v>COS10200804 2960</v>
      </c>
    </row>
    <row r="6195" spans="1:26" x14ac:dyDescent="0.25">
      <c r="A6195" t="str">
        <f t="shared" si="2534"/>
        <v>04-08-2020 12:40:28</v>
      </c>
      <c r="B6195" t="str">
        <f>"0000804723"</f>
        <v>0000804723</v>
      </c>
      <c r="C6195" t="str">
        <f t="shared" si="2535"/>
        <v>0000804564</v>
      </c>
      <c r="D6195" t="str">
        <f t="shared" si="2516"/>
        <v>73185</v>
      </c>
      <c r="E6195" t="str">
        <f t="shared" si="2517"/>
        <v>KFH-OPERATIONS DEPARTMENT</v>
      </c>
      <c r="F6195" t="str">
        <f t="shared" si="2518"/>
        <v>IBG</v>
      </c>
      <c r="G6195" t="str">
        <f t="shared" si="2529"/>
        <v>Refund COSHARE 10</v>
      </c>
      <c r="H6195" s="2">
        <v>835</v>
      </c>
      <c r="I6195" t="str">
        <f>"MOHD TARMIZI BIN MAT SALLEH"</f>
        <v>MOHD TARMIZI BIN MAT SALLEH</v>
      </c>
      <c r="J6195" t="str">
        <f t="shared" si="2511"/>
        <v>CIMB BANK / CIMB ISLAMIC BANK</v>
      </c>
      <c r="K6195" t="str">
        <f>"03010111881523"</f>
        <v>03010111881523</v>
      </c>
      <c r="L6195" t="str">
        <f t="shared" si="2536"/>
        <v>04-08-2020</v>
      </c>
      <c r="M6195" t="str">
        <f t="shared" si="2536"/>
        <v>04-08-2020</v>
      </c>
      <c r="N6195" t="str">
        <f t="shared" si="2519"/>
        <v>001105018356</v>
      </c>
      <c r="O6195" t="str">
        <f t="shared" si="2520"/>
        <v>MYR</v>
      </c>
      <c r="P6195" t="str">
        <f t="shared" si="2537"/>
        <v>NIL</v>
      </c>
      <c r="Q6195" t="str">
        <f t="shared" si="2537"/>
        <v>NIL</v>
      </c>
      <c r="R6195" t="str">
        <f t="shared" si="2532"/>
        <v>Accepted</v>
      </c>
      <c r="S6195" t="str">
        <f t="shared" si="2521"/>
        <v>Approved</v>
      </c>
      <c r="T6195" t="str">
        <f t="shared" si="2533"/>
        <v>10.20.8.188</v>
      </c>
      <c r="U6195" t="str">
        <f t="shared" si="2522"/>
        <v>AZRAD UMAR BIN SHAARI</v>
      </c>
      <c r="V6195" t="str">
        <f t="shared" si="2523"/>
        <v>FARHANA BINTI MUSTAPA</v>
      </c>
      <c r="W6195" t="str">
        <f t="shared" si="2524"/>
        <v>04-08-2020</v>
      </c>
      <c r="X6195" t="str">
        <f t="shared" si="2525"/>
        <v>RAZIMAH ANSAR AHMAD</v>
      </c>
      <c r="Y6195" t="str">
        <f t="shared" si="2526"/>
        <v>04-08-2020</v>
      </c>
      <c r="Z6195" t="str">
        <f>"COS10200804 2959"</f>
        <v>COS10200804 2959</v>
      </c>
    </row>
    <row r="6196" spans="1:26" x14ac:dyDescent="0.25">
      <c r="A6196" t="str">
        <f t="shared" si="2534"/>
        <v>04-08-2020 12:40:28</v>
      </c>
      <c r="B6196" t="str">
        <f>"0000804722"</f>
        <v>0000804722</v>
      </c>
      <c r="C6196" t="str">
        <f t="shared" si="2535"/>
        <v>0000804564</v>
      </c>
      <c r="D6196" t="str">
        <f t="shared" si="2516"/>
        <v>73185</v>
      </c>
      <c r="E6196" t="str">
        <f t="shared" si="2517"/>
        <v>KFH-OPERATIONS DEPARTMENT</v>
      </c>
      <c r="F6196" t="str">
        <f t="shared" si="2518"/>
        <v>IBG</v>
      </c>
      <c r="G6196" t="str">
        <f t="shared" si="2529"/>
        <v>Refund COSHARE 10</v>
      </c>
      <c r="H6196" s="2">
        <v>420.9</v>
      </c>
      <c r="I6196" t="str">
        <f>"MOHD TARMIZI BIN MAT ISA"</f>
        <v>MOHD TARMIZI BIN MAT ISA</v>
      </c>
      <c r="J6196" t="str">
        <f t="shared" si="2511"/>
        <v>CIMB BANK / CIMB ISLAMIC BANK</v>
      </c>
      <c r="K6196" t="str">
        <f>"06090022641528"</f>
        <v>06090022641528</v>
      </c>
      <c r="L6196" t="str">
        <f t="shared" si="2536"/>
        <v>04-08-2020</v>
      </c>
      <c r="M6196" t="str">
        <f t="shared" si="2536"/>
        <v>04-08-2020</v>
      </c>
      <c r="N6196" t="str">
        <f t="shared" si="2519"/>
        <v>001105018356</v>
      </c>
      <c r="O6196" t="str">
        <f t="shared" si="2520"/>
        <v>MYR</v>
      </c>
      <c r="P6196" t="str">
        <f t="shared" si="2537"/>
        <v>NIL</v>
      </c>
      <c r="Q6196" t="str">
        <f t="shared" si="2537"/>
        <v>NIL</v>
      </c>
      <c r="R6196" t="str">
        <f t="shared" si="2532"/>
        <v>Accepted</v>
      </c>
      <c r="S6196" t="str">
        <f t="shared" si="2521"/>
        <v>Approved</v>
      </c>
      <c r="T6196" t="str">
        <f t="shared" si="2533"/>
        <v>10.20.8.188</v>
      </c>
      <c r="U6196" t="str">
        <f t="shared" si="2522"/>
        <v>AZRAD UMAR BIN SHAARI</v>
      </c>
      <c r="V6196" t="str">
        <f t="shared" si="2523"/>
        <v>FARHANA BINTI MUSTAPA</v>
      </c>
      <c r="W6196" t="str">
        <f t="shared" si="2524"/>
        <v>04-08-2020</v>
      </c>
      <c r="X6196" t="str">
        <f t="shared" si="2525"/>
        <v>RAZIMAH ANSAR AHMAD</v>
      </c>
      <c r="Y6196" t="str">
        <f t="shared" si="2526"/>
        <v>04-08-2020</v>
      </c>
      <c r="Z6196" t="str">
        <f>"COS10200804 2958"</f>
        <v>COS10200804 2958</v>
      </c>
    </row>
    <row r="6197" spans="1:26" x14ac:dyDescent="0.25">
      <c r="A6197" t="str">
        <f t="shared" si="2534"/>
        <v>04-08-2020 12:40:28</v>
      </c>
      <c r="B6197" t="str">
        <f>"0000804721"</f>
        <v>0000804721</v>
      </c>
      <c r="C6197" t="str">
        <f t="shared" si="2535"/>
        <v>0000804564</v>
      </c>
      <c r="D6197" t="str">
        <f t="shared" si="2516"/>
        <v>73185</v>
      </c>
      <c r="E6197" t="str">
        <f t="shared" si="2517"/>
        <v>KFH-OPERATIONS DEPARTMENT</v>
      </c>
      <c r="F6197" t="str">
        <f t="shared" si="2518"/>
        <v>IBG</v>
      </c>
      <c r="G6197" t="str">
        <f t="shared" si="2529"/>
        <v>Refund COSHARE 10</v>
      </c>
      <c r="H6197" s="2">
        <v>822.7</v>
      </c>
      <c r="I6197" t="str">
        <f>"MOHD TAJUDDIN BIN OTHMAN"</f>
        <v>MOHD TAJUDDIN BIN OTHMAN</v>
      </c>
      <c r="J6197" t="str">
        <f t="shared" si="2511"/>
        <v>CIMB BANK / CIMB ISLAMIC BANK</v>
      </c>
      <c r="K6197" t="str">
        <f>"7029074874"</f>
        <v>7029074874</v>
      </c>
      <c r="L6197" t="str">
        <f t="shared" si="2536"/>
        <v>04-08-2020</v>
      </c>
      <c r="M6197" t="str">
        <f t="shared" si="2536"/>
        <v>04-08-2020</v>
      </c>
      <c r="N6197" t="str">
        <f t="shared" si="2519"/>
        <v>001105018356</v>
      </c>
      <c r="O6197" t="str">
        <f t="shared" si="2520"/>
        <v>MYR</v>
      </c>
      <c r="P6197" t="str">
        <f t="shared" si="2537"/>
        <v>NIL</v>
      </c>
      <c r="Q6197" t="str">
        <f t="shared" si="2537"/>
        <v>NIL</v>
      </c>
      <c r="R6197" t="str">
        <f t="shared" si="2532"/>
        <v>Accepted</v>
      </c>
      <c r="S6197" t="str">
        <f t="shared" si="2521"/>
        <v>Approved</v>
      </c>
      <c r="T6197" t="str">
        <f t="shared" si="2533"/>
        <v>10.20.8.188</v>
      </c>
      <c r="U6197" t="str">
        <f t="shared" si="2522"/>
        <v>AZRAD UMAR BIN SHAARI</v>
      </c>
      <c r="V6197" t="str">
        <f t="shared" si="2523"/>
        <v>FARHANA BINTI MUSTAPA</v>
      </c>
      <c r="W6197" t="str">
        <f t="shared" si="2524"/>
        <v>04-08-2020</v>
      </c>
      <c r="X6197" t="str">
        <f t="shared" si="2525"/>
        <v>RAZIMAH ANSAR AHMAD</v>
      </c>
      <c r="Y6197" t="str">
        <f t="shared" si="2526"/>
        <v>04-08-2020</v>
      </c>
      <c r="Z6197" t="str">
        <f>"COS10200804 2957"</f>
        <v>COS10200804 2957</v>
      </c>
    </row>
    <row r="6198" spans="1:26" x14ac:dyDescent="0.25">
      <c r="A6198" t="str">
        <f t="shared" si="2534"/>
        <v>04-08-2020 12:40:28</v>
      </c>
      <c r="B6198" t="str">
        <f>"0000804720"</f>
        <v>0000804720</v>
      </c>
      <c r="C6198" t="str">
        <f t="shared" si="2535"/>
        <v>0000804564</v>
      </c>
      <c r="D6198" t="str">
        <f t="shared" si="2516"/>
        <v>73185</v>
      </c>
      <c r="E6198" t="str">
        <f t="shared" si="2517"/>
        <v>KFH-OPERATIONS DEPARTMENT</v>
      </c>
      <c r="F6198" t="str">
        <f t="shared" si="2518"/>
        <v>IBG</v>
      </c>
      <c r="G6198" t="str">
        <f t="shared" si="2529"/>
        <v>Refund COSHARE 10</v>
      </c>
      <c r="H6198" s="2">
        <v>822.7</v>
      </c>
      <c r="I6198" t="str">
        <f>"MOHD TAJUDDIN BIN OTHMAN"</f>
        <v>MOHD TAJUDDIN BIN OTHMAN</v>
      </c>
      <c r="J6198" t="str">
        <f t="shared" si="2511"/>
        <v>CIMB BANK / CIMB ISLAMIC BANK</v>
      </c>
      <c r="K6198" t="str">
        <f>"7029074874"</f>
        <v>7029074874</v>
      </c>
      <c r="L6198" t="str">
        <f t="shared" si="2536"/>
        <v>04-08-2020</v>
      </c>
      <c r="M6198" t="str">
        <f t="shared" si="2536"/>
        <v>04-08-2020</v>
      </c>
      <c r="N6198" t="str">
        <f t="shared" si="2519"/>
        <v>001105018356</v>
      </c>
      <c r="O6198" t="str">
        <f t="shared" si="2520"/>
        <v>MYR</v>
      </c>
      <c r="P6198" t="str">
        <f t="shared" si="2537"/>
        <v>NIL</v>
      </c>
      <c r="Q6198" t="str">
        <f t="shared" si="2537"/>
        <v>NIL</v>
      </c>
      <c r="R6198" t="str">
        <f t="shared" si="2532"/>
        <v>Accepted</v>
      </c>
      <c r="S6198" t="str">
        <f t="shared" si="2521"/>
        <v>Approved</v>
      </c>
      <c r="T6198" t="str">
        <f t="shared" si="2533"/>
        <v>10.20.8.188</v>
      </c>
      <c r="U6198" t="str">
        <f t="shared" si="2522"/>
        <v>AZRAD UMAR BIN SHAARI</v>
      </c>
      <c r="V6198" t="str">
        <f t="shared" si="2523"/>
        <v>FARHANA BINTI MUSTAPA</v>
      </c>
      <c r="W6198" t="str">
        <f t="shared" si="2524"/>
        <v>04-08-2020</v>
      </c>
      <c r="X6198" t="str">
        <f t="shared" si="2525"/>
        <v>RAZIMAH ANSAR AHMAD</v>
      </c>
      <c r="Y6198" t="str">
        <f t="shared" si="2526"/>
        <v>04-08-2020</v>
      </c>
      <c r="Z6198" t="str">
        <f>"COS10200804 2956"</f>
        <v>COS10200804 2956</v>
      </c>
    </row>
    <row r="6199" spans="1:26" x14ac:dyDescent="0.25">
      <c r="A6199" t="str">
        <f t="shared" si="2534"/>
        <v>04-08-2020 12:40:28</v>
      </c>
      <c r="B6199" t="str">
        <f>"0000804719"</f>
        <v>0000804719</v>
      </c>
      <c r="C6199" t="str">
        <f t="shared" si="2535"/>
        <v>0000804564</v>
      </c>
      <c r="D6199" t="str">
        <f t="shared" si="2516"/>
        <v>73185</v>
      </c>
      <c r="E6199" t="str">
        <f t="shared" si="2517"/>
        <v>KFH-OPERATIONS DEPARTMENT</v>
      </c>
      <c r="F6199" t="str">
        <f t="shared" si="2518"/>
        <v>IBG</v>
      </c>
      <c r="G6199" t="str">
        <f t="shared" si="2529"/>
        <v>Refund COSHARE 10</v>
      </c>
      <c r="H6199" s="2">
        <v>151.15</v>
      </c>
      <c r="I6199" t="str">
        <f>"MOHD SYAHROL NIZAM BIN SULAIMAN"</f>
        <v>MOHD SYAHROL NIZAM BIN SULAIMAN</v>
      </c>
      <c r="J6199" t="str">
        <f t="shared" si="2511"/>
        <v>CIMB BANK / CIMB ISLAMIC BANK</v>
      </c>
      <c r="K6199" t="str">
        <f>"12560001904205"</f>
        <v>12560001904205</v>
      </c>
      <c r="L6199" t="str">
        <f t="shared" si="2536"/>
        <v>04-08-2020</v>
      </c>
      <c r="M6199" t="str">
        <f t="shared" si="2536"/>
        <v>04-08-2020</v>
      </c>
      <c r="N6199" t="str">
        <f t="shared" si="2519"/>
        <v>001105018356</v>
      </c>
      <c r="O6199" t="str">
        <f t="shared" si="2520"/>
        <v>MYR</v>
      </c>
      <c r="P6199" t="str">
        <f t="shared" si="2537"/>
        <v>NIL</v>
      </c>
      <c r="Q6199" t="str">
        <f t="shared" si="2537"/>
        <v>NIL</v>
      </c>
      <c r="R6199" t="str">
        <f t="shared" si="2532"/>
        <v>Accepted</v>
      </c>
      <c r="S6199" t="str">
        <f t="shared" si="2521"/>
        <v>Approved</v>
      </c>
      <c r="T6199" t="str">
        <f t="shared" si="2533"/>
        <v>10.20.8.188</v>
      </c>
      <c r="U6199" t="str">
        <f t="shared" si="2522"/>
        <v>AZRAD UMAR BIN SHAARI</v>
      </c>
      <c r="V6199" t="str">
        <f t="shared" si="2523"/>
        <v>FARHANA BINTI MUSTAPA</v>
      </c>
      <c r="W6199" t="str">
        <f t="shared" si="2524"/>
        <v>04-08-2020</v>
      </c>
      <c r="X6199" t="str">
        <f t="shared" si="2525"/>
        <v>RAZIMAH ANSAR AHMAD</v>
      </c>
      <c r="Y6199" t="str">
        <f t="shared" si="2526"/>
        <v>04-08-2020</v>
      </c>
      <c r="Z6199" t="str">
        <f>"COS10200804 2955"</f>
        <v>COS10200804 2955</v>
      </c>
    </row>
    <row r="6200" spans="1:26" x14ac:dyDescent="0.25">
      <c r="A6200" t="str">
        <f t="shared" si="2534"/>
        <v>04-08-2020 12:40:28</v>
      </c>
      <c r="B6200" t="str">
        <f>"0000804718"</f>
        <v>0000804718</v>
      </c>
      <c r="C6200" t="str">
        <f t="shared" si="2535"/>
        <v>0000804564</v>
      </c>
      <c r="D6200" t="str">
        <f t="shared" si="2516"/>
        <v>73185</v>
      </c>
      <c r="E6200" t="str">
        <f t="shared" si="2517"/>
        <v>KFH-OPERATIONS DEPARTMENT</v>
      </c>
      <c r="F6200" t="str">
        <f t="shared" si="2518"/>
        <v>IBG</v>
      </c>
      <c r="G6200" t="str">
        <f t="shared" si="2529"/>
        <v>Refund COSHARE 10</v>
      </c>
      <c r="H6200" s="2">
        <v>587.65</v>
      </c>
      <c r="I6200" t="str">
        <f>"MOHD SUKRI BIN UMAR BAKI  AB HAMID"</f>
        <v>MOHD SUKRI BIN UMAR BAKI  AB HAMID</v>
      </c>
      <c r="J6200" t="str">
        <f t="shared" si="2511"/>
        <v>CIMB BANK / CIMB ISLAMIC BANK</v>
      </c>
      <c r="K6200" t="str">
        <f>"12150072960528"</f>
        <v>12150072960528</v>
      </c>
      <c r="L6200" t="str">
        <f t="shared" si="2536"/>
        <v>04-08-2020</v>
      </c>
      <c r="M6200" t="str">
        <f t="shared" si="2536"/>
        <v>04-08-2020</v>
      </c>
      <c r="N6200" t="str">
        <f t="shared" si="2519"/>
        <v>001105018356</v>
      </c>
      <c r="O6200" t="str">
        <f t="shared" si="2520"/>
        <v>MYR</v>
      </c>
      <c r="P6200" t="str">
        <f t="shared" si="2537"/>
        <v>NIL</v>
      </c>
      <c r="Q6200" t="str">
        <f t="shared" si="2537"/>
        <v>NIL</v>
      </c>
      <c r="R6200" t="str">
        <f t="shared" si="2532"/>
        <v>Accepted</v>
      </c>
      <c r="S6200" t="str">
        <f t="shared" si="2521"/>
        <v>Approved</v>
      </c>
      <c r="T6200" t="str">
        <f t="shared" si="2533"/>
        <v>10.20.8.188</v>
      </c>
      <c r="U6200" t="str">
        <f t="shared" si="2522"/>
        <v>AZRAD UMAR BIN SHAARI</v>
      </c>
      <c r="V6200" t="str">
        <f t="shared" si="2523"/>
        <v>FARHANA BINTI MUSTAPA</v>
      </c>
      <c r="W6200" t="str">
        <f t="shared" si="2524"/>
        <v>04-08-2020</v>
      </c>
      <c r="X6200" t="str">
        <f t="shared" si="2525"/>
        <v>RAZIMAH ANSAR AHMAD</v>
      </c>
      <c r="Y6200" t="str">
        <f t="shared" si="2526"/>
        <v>04-08-2020</v>
      </c>
      <c r="Z6200" t="str">
        <f>"COS10200804 2954"</f>
        <v>COS10200804 2954</v>
      </c>
    </row>
    <row r="6201" spans="1:26" x14ac:dyDescent="0.25">
      <c r="A6201" t="str">
        <f t="shared" si="2534"/>
        <v>04-08-2020 12:40:28</v>
      </c>
      <c r="B6201" t="str">
        <f>"0000804717"</f>
        <v>0000804717</v>
      </c>
      <c r="C6201" t="str">
        <f t="shared" si="2535"/>
        <v>0000804564</v>
      </c>
      <c r="D6201" t="str">
        <f t="shared" si="2516"/>
        <v>73185</v>
      </c>
      <c r="E6201" t="str">
        <f t="shared" si="2517"/>
        <v>KFH-OPERATIONS DEPARTMENT</v>
      </c>
      <c r="F6201" t="str">
        <f t="shared" si="2518"/>
        <v>IBG</v>
      </c>
      <c r="G6201" t="str">
        <f t="shared" si="2529"/>
        <v>Refund COSHARE 10</v>
      </c>
      <c r="H6201" s="2">
        <v>125.95</v>
      </c>
      <c r="I6201" t="str">
        <f>"MOHD SUHAIRI BIN YAMIN"</f>
        <v>MOHD SUHAIRI BIN YAMIN</v>
      </c>
      <c r="J6201" t="str">
        <f t="shared" si="2511"/>
        <v>CIMB BANK / CIMB ISLAMIC BANK</v>
      </c>
      <c r="K6201" t="str">
        <f>"14230021562522"</f>
        <v>14230021562522</v>
      </c>
      <c r="L6201" t="str">
        <f t="shared" si="2536"/>
        <v>04-08-2020</v>
      </c>
      <c r="M6201" t="str">
        <f t="shared" si="2536"/>
        <v>04-08-2020</v>
      </c>
      <c r="N6201" t="str">
        <f t="shared" si="2519"/>
        <v>001105018356</v>
      </c>
      <c r="O6201" t="str">
        <f t="shared" si="2520"/>
        <v>MYR</v>
      </c>
      <c r="P6201" t="str">
        <f t="shared" si="2537"/>
        <v>NIL</v>
      </c>
      <c r="Q6201" t="str">
        <f t="shared" si="2537"/>
        <v>NIL</v>
      </c>
      <c r="R6201" t="str">
        <f t="shared" si="2532"/>
        <v>Accepted</v>
      </c>
      <c r="S6201" t="str">
        <f t="shared" si="2521"/>
        <v>Approved</v>
      </c>
      <c r="T6201" t="str">
        <f t="shared" si="2533"/>
        <v>10.20.8.188</v>
      </c>
      <c r="U6201" t="str">
        <f t="shared" si="2522"/>
        <v>AZRAD UMAR BIN SHAARI</v>
      </c>
      <c r="V6201" t="str">
        <f t="shared" si="2523"/>
        <v>FARHANA BINTI MUSTAPA</v>
      </c>
      <c r="W6201" t="str">
        <f t="shared" si="2524"/>
        <v>04-08-2020</v>
      </c>
      <c r="X6201" t="str">
        <f t="shared" si="2525"/>
        <v>RAZIMAH ANSAR AHMAD</v>
      </c>
      <c r="Y6201" t="str">
        <f t="shared" si="2526"/>
        <v>04-08-2020</v>
      </c>
      <c r="Z6201" t="str">
        <f>"COS10200804 2953"</f>
        <v>COS10200804 2953</v>
      </c>
    </row>
    <row r="6202" spans="1:26" x14ac:dyDescent="0.25">
      <c r="A6202" t="str">
        <f t="shared" si="2534"/>
        <v>04-08-2020 12:40:28</v>
      </c>
      <c r="B6202" t="str">
        <f>"0000804716"</f>
        <v>0000804716</v>
      </c>
      <c r="C6202" t="str">
        <f t="shared" si="2535"/>
        <v>0000804564</v>
      </c>
      <c r="D6202" t="str">
        <f t="shared" si="2516"/>
        <v>73185</v>
      </c>
      <c r="E6202" t="str">
        <f t="shared" si="2517"/>
        <v>KFH-OPERATIONS DEPARTMENT</v>
      </c>
      <c r="F6202" t="str">
        <f t="shared" si="2518"/>
        <v>IBG</v>
      </c>
      <c r="G6202" t="str">
        <f t="shared" si="2529"/>
        <v>Refund COSHARE 10</v>
      </c>
      <c r="H6202" s="2">
        <v>160</v>
      </c>
      <c r="I6202" t="str">
        <f>"MOHD SUFRI BIN AG KASSIM"</f>
        <v>MOHD SUFRI BIN AG KASSIM</v>
      </c>
      <c r="J6202" t="str">
        <f t="shared" si="2511"/>
        <v>CIMB BANK / CIMB ISLAMIC BANK</v>
      </c>
      <c r="K6202" t="str">
        <f>"7037583673"</f>
        <v>7037583673</v>
      </c>
      <c r="L6202" t="str">
        <f t="shared" si="2536"/>
        <v>04-08-2020</v>
      </c>
      <c r="M6202" t="str">
        <f t="shared" si="2536"/>
        <v>04-08-2020</v>
      </c>
      <c r="N6202" t="str">
        <f t="shared" si="2519"/>
        <v>001105018356</v>
      </c>
      <c r="O6202" t="str">
        <f t="shared" si="2520"/>
        <v>MYR</v>
      </c>
      <c r="P6202" t="str">
        <f t="shared" si="2537"/>
        <v>NIL</v>
      </c>
      <c r="Q6202" t="str">
        <f t="shared" si="2537"/>
        <v>NIL</v>
      </c>
      <c r="R6202" t="str">
        <f t="shared" si="2532"/>
        <v>Accepted</v>
      </c>
      <c r="S6202" t="str">
        <f t="shared" si="2521"/>
        <v>Approved</v>
      </c>
      <c r="T6202" t="str">
        <f t="shared" si="2533"/>
        <v>10.20.8.188</v>
      </c>
      <c r="U6202" t="str">
        <f t="shared" si="2522"/>
        <v>AZRAD UMAR BIN SHAARI</v>
      </c>
      <c r="V6202" t="str">
        <f t="shared" si="2523"/>
        <v>FARHANA BINTI MUSTAPA</v>
      </c>
      <c r="W6202" t="str">
        <f t="shared" si="2524"/>
        <v>04-08-2020</v>
      </c>
      <c r="X6202" t="str">
        <f t="shared" si="2525"/>
        <v>RAZIMAH ANSAR AHMAD</v>
      </c>
      <c r="Y6202" t="str">
        <f t="shared" si="2526"/>
        <v>04-08-2020</v>
      </c>
      <c r="Z6202" t="str">
        <f>"COS10200804 2952"</f>
        <v>COS10200804 2952</v>
      </c>
    </row>
    <row r="6203" spans="1:26" x14ac:dyDescent="0.25">
      <c r="A6203" t="str">
        <f t="shared" si="2534"/>
        <v>04-08-2020 12:40:28</v>
      </c>
      <c r="B6203" t="str">
        <f>"0000804715"</f>
        <v>0000804715</v>
      </c>
      <c r="C6203" t="str">
        <f t="shared" si="2535"/>
        <v>0000804564</v>
      </c>
      <c r="D6203" t="str">
        <f t="shared" si="2516"/>
        <v>73185</v>
      </c>
      <c r="E6203" t="str">
        <f t="shared" si="2517"/>
        <v>KFH-OPERATIONS DEPARTMENT</v>
      </c>
      <c r="F6203" t="str">
        <f t="shared" si="2518"/>
        <v>IBG</v>
      </c>
      <c r="G6203" t="str">
        <f t="shared" si="2529"/>
        <v>Refund COSHARE 10</v>
      </c>
      <c r="H6203" s="2">
        <v>629.65</v>
      </c>
      <c r="I6203" t="str">
        <f>"MOHD SUFIAN BIN JAAPAR"</f>
        <v>MOHD SUFIAN BIN JAAPAR</v>
      </c>
      <c r="J6203" t="str">
        <f t="shared" si="2511"/>
        <v>CIMB BANK / CIMB ISLAMIC BANK</v>
      </c>
      <c r="K6203" t="str">
        <f>"07180061436524"</f>
        <v>07180061436524</v>
      </c>
      <c r="L6203" t="str">
        <f t="shared" si="2536"/>
        <v>04-08-2020</v>
      </c>
      <c r="M6203" t="str">
        <f t="shared" si="2536"/>
        <v>04-08-2020</v>
      </c>
      <c r="N6203" t="str">
        <f t="shared" si="2519"/>
        <v>001105018356</v>
      </c>
      <c r="O6203" t="str">
        <f t="shared" si="2520"/>
        <v>MYR</v>
      </c>
      <c r="P6203" t="str">
        <f t="shared" si="2537"/>
        <v>NIL</v>
      </c>
      <c r="Q6203" t="str">
        <f t="shared" si="2537"/>
        <v>NIL</v>
      </c>
      <c r="R6203" t="str">
        <f t="shared" si="2532"/>
        <v>Accepted</v>
      </c>
      <c r="S6203" t="str">
        <f t="shared" si="2521"/>
        <v>Approved</v>
      </c>
      <c r="T6203" t="str">
        <f t="shared" si="2533"/>
        <v>10.20.8.188</v>
      </c>
      <c r="U6203" t="str">
        <f t="shared" si="2522"/>
        <v>AZRAD UMAR BIN SHAARI</v>
      </c>
      <c r="V6203" t="str">
        <f t="shared" si="2523"/>
        <v>FARHANA BINTI MUSTAPA</v>
      </c>
      <c r="W6203" t="str">
        <f t="shared" si="2524"/>
        <v>04-08-2020</v>
      </c>
      <c r="X6203" t="str">
        <f t="shared" si="2525"/>
        <v>RAZIMAH ANSAR AHMAD</v>
      </c>
      <c r="Y6203" t="str">
        <f t="shared" si="2526"/>
        <v>04-08-2020</v>
      </c>
      <c r="Z6203" t="str">
        <f>"COS10200804 2951"</f>
        <v>COS10200804 2951</v>
      </c>
    </row>
    <row r="6204" spans="1:26" x14ac:dyDescent="0.25">
      <c r="A6204" t="str">
        <f t="shared" si="2534"/>
        <v>04-08-2020 12:40:28</v>
      </c>
      <c r="B6204" t="str">
        <f>"0000804714"</f>
        <v>0000804714</v>
      </c>
      <c r="C6204" t="str">
        <f t="shared" si="2535"/>
        <v>0000804564</v>
      </c>
      <c r="D6204" t="str">
        <f t="shared" si="2516"/>
        <v>73185</v>
      </c>
      <c r="E6204" t="str">
        <f t="shared" si="2517"/>
        <v>KFH-OPERATIONS DEPARTMENT</v>
      </c>
      <c r="F6204" t="str">
        <f t="shared" si="2518"/>
        <v>IBG</v>
      </c>
      <c r="G6204" t="str">
        <f t="shared" si="2529"/>
        <v>Refund COSHARE 10</v>
      </c>
      <c r="H6204" s="2">
        <v>50.4</v>
      </c>
      <c r="I6204" t="str">
        <f>"MOHD SOLLEHI BIN AHMAD SURIN"</f>
        <v>MOHD SOLLEHI BIN AHMAD SURIN</v>
      </c>
      <c r="J6204" t="str">
        <f t="shared" ref="J6204:J6267" si="2538">"CIMB BANK / CIMB ISLAMIC BANK"</f>
        <v>CIMB BANK / CIMB ISLAMIC BANK</v>
      </c>
      <c r="K6204" t="str">
        <f>"11050081058523"</f>
        <v>11050081058523</v>
      </c>
      <c r="L6204" t="str">
        <f t="shared" si="2536"/>
        <v>04-08-2020</v>
      </c>
      <c r="M6204" t="str">
        <f t="shared" si="2536"/>
        <v>04-08-2020</v>
      </c>
      <c r="N6204" t="str">
        <f t="shared" si="2519"/>
        <v>001105018356</v>
      </c>
      <c r="O6204" t="str">
        <f t="shared" si="2520"/>
        <v>MYR</v>
      </c>
      <c r="P6204" t="str">
        <f t="shared" si="2537"/>
        <v>NIL</v>
      </c>
      <c r="Q6204" t="str">
        <f t="shared" si="2537"/>
        <v>NIL</v>
      </c>
      <c r="R6204" t="str">
        <f t="shared" si="2532"/>
        <v>Accepted</v>
      </c>
      <c r="S6204" t="str">
        <f t="shared" si="2521"/>
        <v>Approved</v>
      </c>
      <c r="T6204" t="str">
        <f t="shared" si="2533"/>
        <v>10.20.8.188</v>
      </c>
      <c r="U6204" t="str">
        <f t="shared" si="2522"/>
        <v>AZRAD UMAR BIN SHAARI</v>
      </c>
      <c r="V6204" t="str">
        <f t="shared" si="2523"/>
        <v>FARHANA BINTI MUSTAPA</v>
      </c>
      <c r="W6204" t="str">
        <f t="shared" si="2524"/>
        <v>04-08-2020</v>
      </c>
      <c r="X6204" t="str">
        <f t="shared" si="2525"/>
        <v>RAZIMAH ANSAR AHMAD</v>
      </c>
      <c r="Y6204" t="str">
        <f t="shared" si="2526"/>
        <v>04-08-2020</v>
      </c>
      <c r="Z6204" t="str">
        <f>"COS10200804 2950"</f>
        <v>COS10200804 2950</v>
      </c>
    </row>
    <row r="6205" spans="1:26" x14ac:dyDescent="0.25">
      <c r="A6205" t="str">
        <f t="shared" si="2534"/>
        <v>04-08-2020 12:40:28</v>
      </c>
      <c r="B6205" t="str">
        <f>"0000804713"</f>
        <v>0000804713</v>
      </c>
      <c r="C6205" t="str">
        <f t="shared" si="2535"/>
        <v>0000804564</v>
      </c>
      <c r="D6205" t="str">
        <f t="shared" si="2516"/>
        <v>73185</v>
      </c>
      <c r="E6205" t="str">
        <f t="shared" si="2517"/>
        <v>KFH-OPERATIONS DEPARTMENT</v>
      </c>
      <c r="F6205" t="str">
        <f t="shared" si="2518"/>
        <v>IBG</v>
      </c>
      <c r="G6205" t="str">
        <f t="shared" si="2529"/>
        <v>Refund COSHARE 10</v>
      </c>
      <c r="H6205" s="2">
        <v>1527.9</v>
      </c>
      <c r="I6205" t="str">
        <f>"MOHD SOFIE SAIFULL BIN SALEH"</f>
        <v>MOHD SOFIE SAIFULL BIN SALEH</v>
      </c>
      <c r="J6205" t="str">
        <f t="shared" si="2538"/>
        <v>CIMB BANK / CIMB ISLAMIC BANK</v>
      </c>
      <c r="K6205" t="str">
        <f>"10020054056529"</f>
        <v>10020054056529</v>
      </c>
      <c r="L6205" t="str">
        <f t="shared" si="2536"/>
        <v>04-08-2020</v>
      </c>
      <c r="M6205" t="str">
        <f t="shared" si="2536"/>
        <v>04-08-2020</v>
      </c>
      <c r="N6205" t="str">
        <f t="shared" si="2519"/>
        <v>001105018356</v>
      </c>
      <c r="O6205" t="str">
        <f t="shared" si="2520"/>
        <v>MYR</v>
      </c>
      <c r="P6205" t="str">
        <f t="shared" si="2537"/>
        <v>NIL</v>
      </c>
      <c r="Q6205" t="str">
        <f t="shared" si="2537"/>
        <v>NIL</v>
      </c>
      <c r="R6205" t="str">
        <f t="shared" si="2532"/>
        <v>Accepted</v>
      </c>
      <c r="S6205" t="str">
        <f t="shared" si="2521"/>
        <v>Approved</v>
      </c>
      <c r="T6205" t="str">
        <f t="shared" si="2533"/>
        <v>10.20.8.188</v>
      </c>
      <c r="U6205" t="str">
        <f t="shared" si="2522"/>
        <v>AZRAD UMAR BIN SHAARI</v>
      </c>
      <c r="V6205" t="str">
        <f t="shared" si="2523"/>
        <v>FARHANA BINTI MUSTAPA</v>
      </c>
      <c r="W6205" t="str">
        <f t="shared" si="2524"/>
        <v>04-08-2020</v>
      </c>
      <c r="X6205" t="str">
        <f t="shared" si="2525"/>
        <v>RAZIMAH ANSAR AHMAD</v>
      </c>
      <c r="Y6205" t="str">
        <f t="shared" si="2526"/>
        <v>04-08-2020</v>
      </c>
      <c r="Z6205" t="str">
        <f>"COS10200804 2949"</f>
        <v>COS10200804 2949</v>
      </c>
    </row>
    <row r="6206" spans="1:26" x14ac:dyDescent="0.25">
      <c r="A6206" t="str">
        <f t="shared" si="2534"/>
        <v>04-08-2020 12:40:28</v>
      </c>
      <c r="B6206" t="str">
        <f>"0000804712"</f>
        <v>0000804712</v>
      </c>
      <c r="C6206" t="str">
        <f t="shared" si="2535"/>
        <v>0000804564</v>
      </c>
      <c r="D6206" t="str">
        <f t="shared" si="2516"/>
        <v>73185</v>
      </c>
      <c r="E6206" t="str">
        <f t="shared" si="2517"/>
        <v>KFH-OPERATIONS DEPARTMENT</v>
      </c>
      <c r="F6206" t="str">
        <f t="shared" si="2518"/>
        <v>IBG</v>
      </c>
      <c r="G6206" t="str">
        <f t="shared" si="2529"/>
        <v>Refund COSHARE 10</v>
      </c>
      <c r="H6206" s="2">
        <v>732.7</v>
      </c>
      <c r="I6206" t="str">
        <f>"MOHD SOFFIAN BIN SETAPA"</f>
        <v>MOHD SOFFIAN BIN SETAPA</v>
      </c>
      <c r="J6206" t="str">
        <f t="shared" si="2538"/>
        <v>CIMB BANK / CIMB ISLAMIC BANK</v>
      </c>
      <c r="K6206" t="str">
        <f>"08110014141523"</f>
        <v>08110014141523</v>
      </c>
      <c r="L6206" t="str">
        <f t="shared" si="2536"/>
        <v>04-08-2020</v>
      </c>
      <c r="M6206" t="str">
        <f t="shared" si="2536"/>
        <v>04-08-2020</v>
      </c>
      <c r="N6206" t="str">
        <f t="shared" si="2519"/>
        <v>001105018356</v>
      </c>
      <c r="O6206" t="str">
        <f t="shared" si="2520"/>
        <v>MYR</v>
      </c>
      <c r="P6206" t="str">
        <f t="shared" si="2537"/>
        <v>NIL</v>
      </c>
      <c r="Q6206" t="str">
        <f t="shared" si="2537"/>
        <v>NIL</v>
      </c>
      <c r="R6206" t="str">
        <f t="shared" si="2532"/>
        <v>Accepted</v>
      </c>
      <c r="S6206" t="str">
        <f t="shared" si="2521"/>
        <v>Approved</v>
      </c>
      <c r="T6206" t="str">
        <f t="shared" si="2533"/>
        <v>10.20.8.188</v>
      </c>
      <c r="U6206" t="str">
        <f t="shared" si="2522"/>
        <v>AZRAD UMAR BIN SHAARI</v>
      </c>
      <c r="V6206" t="str">
        <f t="shared" si="2523"/>
        <v>FARHANA BINTI MUSTAPA</v>
      </c>
      <c r="W6206" t="str">
        <f t="shared" si="2524"/>
        <v>04-08-2020</v>
      </c>
      <c r="X6206" t="str">
        <f t="shared" si="2525"/>
        <v>RAZIMAH ANSAR AHMAD</v>
      </c>
      <c r="Y6206" t="str">
        <f t="shared" si="2526"/>
        <v>04-08-2020</v>
      </c>
      <c r="Z6206" t="str">
        <f>"COS10200804 2948"</f>
        <v>COS10200804 2948</v>
      </c>
    </row>
    <row r="6207" spans="1:26" x14ac:dyDescent="0.25">
      <c r="A6207" t="str">
        <f t="shared" si="2534"/>
        <v>04-08-2020 12:40:28</v>
      </c>
      <c r="B6207" t="str">
        <f>"0000804711"</f>
        <v>0000804711</v>
      </c>
      <c r="C6207" t="str">
        <f t="shared" si="2535"/>
        <v>0000804564</v>
      </c>
      <c r="D6207" t="str">
        <f t="shared" si="2516"/>
        <v>73185</v>
      </c>
      <c r="E6207" t="str">
        <f t="shared" si="2517"/>
        <v>KFH-OPERATIONS DEPARTMENT</v>
      </c>
      <c r="F6207" t="str">
        <f t="shared" si="2518"/>
        <v>IBG</v>
      </c>
      <c r="G6207" t="str">
        <f t="shared" si="2529"/>
        <v>Refund COSHARE 10</v>
      </c>
      <c r="H6207" s="2">
        <v>58.8</v>
      </c>
      <c r="I6207" t="str">
        <f>"MOHD SOBRI BIN ALI"</f>
        <v>MOHD SOBRI BIN ALI</v>
      </c>
      <c r="J6207" t="str">
        <f t="shared" si="2538"/>
        <v>CIMB BANK / CIMB ISLAMIC BANK</v>
      </c>
      <c r="K6207" t="str">
        <f>"13120002530521"</f>
        <v>13120002530521</v>
      </c>
      <c r="L6207" t="str">
        <f t="shared" ref="L6207:M6226" si="2539">"04-08-2020"</f>
        <v>04-08-2020</v>
      </c>
      <c r="M6207" t="str">
        <f t="shared" si="2539"/>
        <v>04-08-2020</v>
      </c>
      <c r="N6207" t="str">
        <f t="shared" si="2519"/>
        <v>001105018356</v>
      </c>
      <c r="O6207" t="str">
        <f t="shared" si="2520"/>
        <v>MYR</v>
      </c>
      <c r="P6207" t="str">
        <f t="shared" ref="P6207:Q6226" si="2540">"NIL"</f>
        <v>NIL</v>
      </c>
      <c r="Q6207" t="str">
        <f t="shared" si="2540"/>
        <v>NIL</v>
      </c>
      <c r="R6207" t="str">
        <f t="shared" si="2532"/>
        <v>Accepted</v>
      </c>
      <c r="S6207" t="str">
        <f t="shared" si="2521"/>
        <v>Approved</v>
      </c>
      <c r="T6207" t="str">
        <f t="shared" si="2533"/>
        <v>10.20.8.188</v>
      </c>
      <c r="U6207" t="str">
        <f t="shared" si="2522"/>
        <v>AZRAD UMAR BIN SHAARI</v>
      </c>
      <c r="V6207" t="str">
        <f t="shared" si="2523"/>
        <v>FARHANA BINTI MUSTAPA</v>
      </c>
      <c r="W6207" t="str">
        <f t="shared" si="2524"/>
        <v>04-08-2020</v>
      </c>
      <c r="X6207" t="str">
        <f t="shared" si="2525"/>
        <v>RAZIMAH ANSAR AHMAD</v>
      </c>
      <c r="Y6207" t="str">
        <f t="shared" si="2526"/>
        <v>04-08-2020</v>
      </c>
      <c r="Z6207" t="str">
        <f>"COS10200804 2947"</f>
        <v>COS10200804 2947</v>
      </c>
    </row>
    <row r="6208" spans="1:26" x14ac:dyDescent="0.25">
      <c r="A6208" t="str">
        <f t="shared" si="2534"/>
        <v>04-08-2020 12:40:28</v>
      </c>
      <c r="B6208" t="str">
        <f>"0000804710"</f>
        <v>0000804710</v>
      </c>
      <c r="C6208" t="str">
        <f t="shared" si="2535"/>
        <v>0000804564</v>
      </c>
      <c r="D6208" t="str">
        <f t="shared" si="2516"/>
        <v>73185</v>
      </c>
      <c r="E6208" t="str">
        <f t="shared" si="2517"/>
        <v>KFH-OPERATIONS DEPARTMENT</v>
      </c>
      <c r="F6208" t="str">
        <f t="shared" si="2518"/>
        <v>IBG</v>
      </c>
      <c r="G6208" t="str">
        <f t="shared" si="2529"/>
        <v>Refund COSHARE 10</v>
      </c>
      <c r="H6208" s="2">
        <v>92.35</v>
      </c>
      <c r="I6208" t="str">
        <f>"MOHD SHUKRI BIN DARUS"</f>
        <v>MOHD SHUKRI BIN DARUS</v>
      </c>
      <c r="J6208" t="str">
        <f t="shared" si="2538"/>
        <v>CIMB BANK / CIMB ISLAMIC BANK</v>
      </c>
      <c r="K6208" t="str">
        <f>"02110034829528"</f>
        <v>02110034829528</v>
      </c>
      <c r="L6208" t="str">
        <f t="shared" si="2539"/>
        <v>04-08-2020</v>
      </c>
      <c r="M6208" t="str">
        <f t="shared" si="2539"/>
        <v>04-08-2020</v>
      </c>
      <c r="N6208" t="str">
        <f t="shared" si="2519"/>
        <v>001105018356</v>
      </c>
      <c r="O6208" t="str">
        <f t="shared" si="2520"/>
        <v>MYR</v>
      </c>
      <c r="P6208" t="str">
        <f t="shared" si="2540"/>
        <v>NIL</v>
      </c>
      <c r="Q6208" t="str">
        <f t="shared" si="2540"/>
        <v>NIL</v>
      </c>
      <c r="R6208" t="str">
        <f t="shared" si="2532"/>
        <v>Accepted</v>
      </c>
      <c r="S6208" t="str">
        <f t="shared" si="2521"/>
        <v>Approved</v>
      </c>
      <c r="T6208" t="str">
        <f t="shared" si="2533"/>
        <v>10.20.8.188</v>
      </c>
      <c r="U6208" t="str">
        <f t="shared" si="2522"/>
        <v>AZRAD UMAR BIN SHAARI</v>
      </c>
      <c r="V6208" t="str">
        <f t="shared" si="2523"/>
        <v>FARHANA BINTI MUSTAPA</v>
      </c>
      <c r="W6208" t="str">
        <f t="shared" si="2524"/>
        <v>04-08-2020</v>
      </c>
      <c r="X6208" t="str">
        <f t="shared" si="2525"/>
        <v>RAZIMAH ANSAR AHMAD</v>
      </c>
      <c r="Y6208" t="str">
        <f t="shared" si="2526"/>
        <v>04-08-2020</v>
      </c>
      <c r="Z6208" t="str">
        <f>"COS10200804 2946"</f>
        <v>COS10200804 2946</v>
      </c>
    </row>
    <row r="6209" spans="1:26" x14ac:dyDescent="0.25">
      <c r="A6209" t="str">
        <f t="shared" si="2534"/>
        <v>04-08-2020 12:40:28</v>
      </c>
      <c r="B6209" t="str">
        <f>"0000804709"</f>
        <v>0000804709</v>
      </c>
      <c r="C6209" t="str">
        <f t="shared" si="2535"/>
        <v>0000804564</v>
      </c>
      <c r="D6209" t="str">
        <f t="shared" si="2516"/>
        <v>73185</v>
      </c>
      <c r="E6209" t="str">
        <f t="shared" si="2517"/>
        <v>KFH-OPERATIONS DEPARTMENT</v>
      </c>
      <c r="F6209" t="str">
        <f t="shared" si="2518"/>
        <v>IBG</v>
      </c>
      <c r="G6209" t="str">
        <f t="shared" si="2529"/>
        <v>Refund COSHARE 10</v>
      </c>
      <c r="H6209" s="2">
        <v>58.8</v>
      </c>
      <c r="I6209" t="str">
        <f>"MOHD SHAZLI BIN MAHMUD"</f>
        <v>MOHD SHAZLI BIN MAHMUD</v>
      </c>
      <c r="J6209" t="str">
        <f t="shared" si="2538"/>
        <v>CIMB BANK / CIMB ISLAMIC BANK</v>
      </c>
      <c r="K6209" t="str">
        <f>"7046773400"</f>
        <v>7046773400</v>
      </c>
      <c r="L6209" t="str">
        <f t="shared" si="2539"/>
        <v>04-08-2020</v>
      </c>
      <c r="M6209" t="str">
        <f t="shared" si="2539"/>
        <v>04-08-2020</v>
      </c>
      <c r="N6209" t="str">
        <f t="shared" si="2519"/>
        <v>001105018356</v>
      </c>
      <c r="O6209" t="str">
        <f t="shared" si="2520"/>
        <v>MYR</v>
      </c>
      <c r="P6209" t="str">
        <f t="shared" si="2540"/>
        <v>NIL</v>
      </c>
      <c r="Q6209" t="str">
        <f t="shared" si="2540"/>
        <v>NIL</v>
      </c>
      <c r="R6209" t="str">
        <f t="shared" si="2532"/>
        <v>Accepted</v>
      </c>
      <c r="S6209" t="str">
        <f t="shared" si="2521"/>
        <v>Approved</v>
      </c>
      <c r="T6209" t="str">
        <f t="shared" si="2533"/>
        <v>10.20.8.188</v>
      </c>
      <c r="U6209" t="str">
        <f t="shared" si="2522"/>
        <v>AZRAD UMAR BIN SHAARI</v>
      </c>
      <c r="V6209" t="str">
        <f t="shared" si="2523"/>
        <v>FARHANA BINTI MUSTAPA</v>
      </c>
      <c r="W6209" t="str">
        <f t="shared" si="2524"/>
        <v>04-08-2020</v>
      </c>
      <c r="X6209" t="str">
        <f t="shared" si="2525"/>
        <v>RAZIMAH ANSAR AHMAD</v>
      </c>
      <c r="Y6209" t="str">
        <f t="shared" si="2526"/>
        <v>04-08-2020</v>
      </c>
      <c r="Z6209" t="str">
        <f>"COS10200804 2945"</f>
        <v>COS10200804 2945</v>
      </c>
    </row>
    <row r="6210" spans="1:26" x14ac:dyDescent="0.25">
      <c r="A6210" t="str">
        <f t="shared" si="2534"/>
        <v>04-08-2020 12:40:28</v>
      </c>
      <c r="B6210" t="str">
        <f>"0000804708"</f>
        <v>0000804708</v>
      </c>
      <c r="C6210" t="str">
        <f t="shared" si="2535"/>
        <v>0000804564</v>
      </c>
      <c r="D6210" t="str">
        <f t="shared" si="2516"/>
        <v>73185</v>
      </c>
      <c r="E6210" t="str">
        <f t="shared" si="2517"/>
        <v>KFH-OPERATIONS DEPARTMENT</v>
      </c>
      <c r="F6210" t="str">
        <f t="shared" si="2518"/>
        <v>IBG</v>
      </c>
      <c r="G6210" t="str">
        <f t="shared" si="2529"/>
        <v>Refund COSHARE 10</v>
      </c>
      <c r="H6210" s="2">
        <v>839.5</v>
      </c>
      <c r="I6210" t="str">
        <f>"MOHD SHARIZAN BIN SAIAN"</f>
        <v>MOHD SHARIZAN BIN SAIAN</v>
      </c>
      <c r="J6210" t="str">
        <f t="shared" si="2538"/>
        <v>CIMB BANK / CIMB ISLAMIC BANK</v>
      </c>
      <c r="K6210" t="str">
        <f>"7008809151"</f>
        <v>7008809151</v>
      </c>
      <c r="L6210" t="str">
        <f t="shared" si="2539"/>
        <v>04-08-2020</v>
      </c>
      <c r="M6210" t="str">
        <f t="shared" si="2539"/>
        <v>04-08-2020</v>
      </c>
      <c r="N6210" t="str">
        <f t="shared" si="2519"/>
        <v>001105018356</v>
      </c>
      <c r="O6210" t="str">
        <f t="shared" si="2520"/>
        <v>MYR</v>
      </c>
      <c r="P6210" t="str">
        <f t="shared" si="2540"/>
        <v>NIL</v>
      </c>
      <c r="Q6210" t="str">
        <f t="shared" si="2540"/>
        <v>NIL</v>
      </c>
      <c r="R6210" t="str">
        <f t="shared" si="2532"/>
        <v>Accepted</v>
      </c>
      <c r="S6210" t="str">
        <f t="shared" si="2521"/>
        <v>Approved</v>
      </c>
      <c r="T6210" t="str">
        <f t="shared" si="2533"/>
        <v>10.20.8.188</v>
      </c>
      <c r="U6210" t="str">
        <f t="shared" si="2522"/>
        <v>AZRAD UMAR BIN SHAARI</v>
      </c>
      <c r="V6210" t="str">
        <f t="shared" si="2523"/>
        <v>FARHANA BINTI MUSTAPA</v>
      </c>
      <c r="W6210" t="str">
        <f t="shared" si="2524"/>
        <v>04-08-2020</v>
      </c>
      <c r="X6210" t="str">
        <f t="shared" si="2525"/>
        <v>RAZIMAH ANSAR AHMAD</v>
      </c>
      <c r="Y6210" t="str">
        <f t="shared" si="2526"/>
        <v>04-08-2020</v>
      </c>
      <c r="Z6210" t="str">
        <f>"COS10200804 2944"</f>
        <v>COS10200804 2944</v>
      </c>
    </row>
    <row r="6211" spans="1:26" x14ac:dyDescent="0.25">
      <c r="A6211" t="str">
        <f t="shared" si="2534"/>
        <v>04-08-2020 12:40:28</v>
      </c>
      <c r="B6211" t="str">
        <f>"0000804707"</f>
        <v>0000804707</v>
      </c>
      <c r="C6211" t="str">
        <f t="shared" si="2535"/>
        <v>0000804564</v>
      </c>
      <c r="D6211" t="str">
        <f t="shared" si="2516"/>
        <v>73185</v>
      </c>
      <c r="E6211" t="str">
        <f t="shared" si="2517"/>
        <v>KFH-OPERATIONS DEPARTMENT</v>
      </c>
      <c r="F6211" t="str">
        <f t="shared" si="2518"/>
        <v>IBG</v>
      </c>
      <c r="G6211" t="str">
        <f t="shared" si="2529"/>
        <v>Refund COSHARE 10</v>
      </c>
      <c r="H6211" s="2">
        <v>293.85000000000002</v>
      </c>
      <c r="I6211" t="str">
        <f>"MOHD SHARIPUDIN BIN MUHD NOR"</f>
        <v>MOHD SHARIPUDIN BIN MUHD NOR</v>
      </c>
      <c r="J6211" t="str">
        <f t="shared" si="2538"/>
        <v>CIMB BANK / CIMB ISLAMIC BANK</v>
      </c>
      <c r="K6211" t="str">
        <f>"7065797488"</f>
        <v>7065797488</v>
      </c>
      <c r="L6211" t="str">
        <f t="shared" si="2539"/>
        <v>04-08-2020</v>
      </c>
      <c r="M6211" t="str">
        <f t="shared" si="2539"/>
        <v>04-08-2020</v>
      </c>
      <c r="N6211" t="str">
        <f t="shared" si="2519"/>
        <v>001105018356</v>
      </c>
      <c r="O6211" t="str">
        <f t="shared" si="2520"/>
        <v>MYR</v>
      </c>
      <c r="P6211" t="str">
        <f t="shared" si="2540"/>
        <v>NIL</v>
      </c>
      <c r="Q6211" t="str">
        <f t="shared" si="2540"/>
        <v>NIL</v>
      </c>
      <c r="R6211" t="str">
        <f t="shared" si="2532"/>
        <v>Accepted</v>
      </c>
      <c r="S6211" t="str">
        <f t="shared" si="2521"/>
        <v>Approved</v>
      </c>
      <c r="T6211" t="str">
        <f t="shared" si="2533"/>
        <v>10.20.8.188</v>
      </c>
      <c r="U6211" t="str">
        <f t="shared" si="2522"/>
        <v>AZRAD UMAR BIN SHAARI</v>
      </c>
      <c r="V6211" t="str">
        <f t="shared" si="2523"/>
        <v>FARHANA BINTI MUSTAPA</v>
      </c>
      <c r="W6211" t="str">
        <f t="shared" si="2524"/>
        <v>04-08-2020</v>
      </c>
      <c r="X6211" t="str">
        <f t="shared" si="2525"/>
        <v>RAZIMAH ANSAR AHMAD</v>
      </c>
      <c r="Y6211" t="str">
        <f t="shared" si="2526"/>
        <v>04-08-2020</v>
      </c>
      <c r="Z6211" t="str">
        <f>"COS10200804 2943"</f>
        <v>COS10200804 2943</v>
      </c>
    </row>
    <row r="6212" spans="1:26" x14ac:dyDescent="0.25">
      <c r="A6212" t="str">
        <f t="shared" si="2534"/>
        <v>04-08-2020 12:40:28</v>
      </c>
      <c r="B6212" t="str">
        <f>"0000804706"</f>
        <v>0000804706</v>
      </c>
      <c r="C6212" t="str">
        <f t="shared" si="2535"/>
        <v>0000804564</v>
      </c>
      <c r="D6212" t="str">
        <f t="shared" si="2516"/>
        <v>73185</v>
      </c>
      <c r="E6212" t="str">
        <f t="shared" si="2517"/>
        <v>KFH-OPERATIONS DEPARTMENT</v>
      </c>
      <c r="F6212" t="str">
        <f t="shared" si="2518"/>
        <v>IBG</v>
      </c>
      <c r="G6212" t="str">
        <f t="shared" si="2529"/>
        <v>Refund COSHARE 10</v>
      </c>
      <c r="H6212" s="2">
        <v>193.1</v>
      </c>
      <c r="I6212" t="str">
        <f>"MOHD SHARIL BIN DZAMRUD"</f>
        <v>MOHD SHARIL BIN DZAMRUD</v>
      </c>
      <c r="J6212" t="str">
        <f t="shared" si="2538"/>
        <v>CIMB BANK / CIMB ISLAMIC BANK</v>
      </c>
      <c r="K6212" t="str">
        <f>"12150059558526"</f>
        <v>12150059558526</v>
      </c>
      <c r="L6212" t="str">
        <f t="shared" si="2539"/>
        <v>04-08-2020</v>
      </c>
      <c r="M6212" t="str">
        <f t="shared" si="2539"/>
        <v>04-08-2020</v>
      </c>
      <c r="N6212" t="str">
        <f t="shared" si="2519"/>
        <v>001105018356</v>
      </c>
      <c r="O6212" t="str">
        <f t="shared" si="2520"/>
        <v>MYR</v>
      </c>
      <c r="P6212" t="str">
        <f t="shared" si="2540"/>
        <v>NIL</v>
      </c>
      <c r="Q6212" t="str">
        <f t="shared" si="2540"/>
        <v>NIL</v>
      </c>
      <c r="R6212" t="str">
        <f t="shared" si="2532"/>
        <v>Accepted</v>
      </c>
      <c r="S6212" t="str">
        <f t="shared" si="2521"/>
        <v>Approved</v>
      </c>
      <c r="T6212" t="str">
        <f t="shared" si="2533"/>
        <v>10.20.8.188</v>
      </c>
      <c r="U6212" t="str">
        <f t="shared" si="2522"/>
        <v>AZRAD UMAR BIN SHAARI</v>
      </c>
      <c r="V6212" t="str">
        <f t="shared" si="2523"/>
        <v>FARHANA BINTI MUSTAPA</v>
      </c>
      <c r="W6212" t="str">
        <f t="shared" si="2524"/>
        <v>04-08-2020</v>
      </c>
      <c r="X6212" t="str">
        <f t="shared" si="2525"/>
        <v>RAZIMAH ANSAR AHMAD</v>
      </c>
      <c r="Y6212" t="str">
        <f t="shared" si="2526"/>
        <v>04-08-2020</v>
      </c>
      <c r="Z6212" t="str">
        <f>"COS10200804 2942"</f>
        <v>COS10200804 2942</v>
      </c>
    </row>
    <row r="6213" spans="1:26" x14ac:dyDescent="0.25">
      <c r="A6213" t="str">
        <f t="shared" si="2534"/>
        <v>04-08-2020 12:40:28</v>
      </c>
      <c r="B6213" t="str">
        <f>"0000804705"</f>
        <v>0000804705</v>
      </c>
      <c r="C6213" t="str">
        <f t="shared" si="2535"/>
        <v>0000804564</v>
      </c>
      <c r="D6213" t="str">
        <f t="shared" si="2516"/>
        <v>73185</v>
      </c>
      <c r="E6213" t="str">
        <f t="shared" si="2517"/>
        <v>KFH-OPERATIONS DEPARTMENT</v>
      </c>
      <c r="F6213" t="str">
        <f t="shared" si="2518"/>
        <v>IBG</v>
      </c>
      <c r="G6213" t="str">
        <f t="shared" si="2529"/>
        <v>Refund COSHARE 10</v>
      </c>
      <c r="H6213" s="2">
        <v>302.25</v>
      </c>
      <c r="I6213" t="str">
        <f>"MOHD SHAIFUL BIN SATRO"</f>
        <v>MOHD SHAIFUL BIN SATRO</v>
      </c>
      <c r="J6213" t="str">
        <f t="shared" si="2538"/>
        <v>CIMB BANK / CIMB ISLAMIC BANK</v>
      </c>
      <c r="K6213" t="str">
        <f>"12360013443526"</f>
        <v>12360013443526</v>
      </c>
      <c r="L6213" t="str">
        <f t="shared" si="2539"/>
        <v>04-08-2020</v>
      </c>
      <c r="M6213" t="str">
        <f t="shared" si="2539"/>
        <v>04-08-2020</v>
      </c>
      <c r="N6213" t="str">
        <f t="shared" si="2519"/>
        <v>001105018356</v>
      </c>
      <c r="O6213" t="str">
        <f t="shared" si="2520"/>
        <v>MYR</v>
      </c>
      <c r="P6213" t="str">
        <f t="shared" si="2540"/>
        <v>NIL</v>
      </c>
      <c r="Q6213" t="str">
        <f t="shared" si="2540"/>
        <v>NIL</v>
      </c>
      <c r="R6213" t="str">
        <f t="shared" si="2532"/>
        <v>Accepted</v>
      </c>
      <c r="S6213" t="str">
        <f t="shared" si="2521"/>
        <v>Approved</v>
      </c>
      <c r="T6213" t="str">
        <f t="shared" si="2533"/>
        <v>10.20.8.188</v>
      </c>
      <c r="U6213" t="str">
        <f t="shared" si="2522"/>
        <v>AZRAD UMAR BIN SHAARI</v>
      </c>
      <c r="V6213" t="str">
        <f t="shared" si="2523"/>
        <v>FARHANA BINTI MUSTAPA</v>
      </c>
      <c r="W6213" t="str">
        <f t="shared" si="2524"/>
        <v>04-08-2020</v>
      </c>
      <c r="X6213" t="str">
        <f t="shared" si="2525"/>
        <v>RAZIMAH ANSAR AHMAD</v>
      </c>
      <c r="Y6213" t="str">
        <f t="shared" si="2526"/>
        <v>04-08-2020</v>
      </c>
      <c r="Z6213" t="str">
        <f>"COS10200804 2941"</f>
        <v>COS10200804 2941</v>
      </c>
    </row>
    <row r="6214" spans="1:26" x14ac:dyDescent="0.25">
      <c r="A6214" t="str">
        <f t="shared" si="2534"/>
        <v>04-08-2020 12:40:28</v>
      </c>
      <c r="B6214" t="str">
        <f>"0000804704"</f>
        <v>0000804704</v>
      </c>
      <c r="C6214" t="str">
        <f t="shared" si="2535"/>
        <v>0000804564</v>
      </c>
      <c r="D6214" t="str">
        <f t="shared" si="2516"/>
        <v>73185</v>
      </c>
      <c r="E6214" t="str">
        <f t="shared" si="2517"/>
        <v>KFH-OPERATIONS DEPARTMENT</v>
      </c>
      <c r="F6214" t="str">
        <f t="shared" si="2518"/>
        <v>IBG</v>
      </c>
      <c r="G6214" t="str">
        <f t="shared" si="2529"/>
        <v>Refund COSHARE 10</v>
      </c>
      <c r="H6214" s="2">
        <v>151.15</v>
      </c>
      <c r="I6214" t="str">
        <f>"MOHD SHAHRURIZAL BIN SHARIFF"</f>
        <v>MOHD SHAHRURIZAL BIN SHARIFF</v>
      </c>
      <c r="J6214" t="str">
        <f t="shared" si="2538"/>
        <v>CIMB BANK / CIMB ISLAMIC BANK</v>
      </c>
      <c r="K6214" t="str">
        <f>"02010000013209"</f>
        <v>02010000013209</v>
      </c>
      <c r="L6214" t="str">
        <f t="shared" si="2539"/>
        <v>04-08-2020</v>
      </c>
      <c r="M6214" t="str">
        <f t="shared" si="2539"/>
        <v>04-08-2020</v>
      </c>
      <c r="N6214" t="str">
        <f t="shared" si="2519"/>
        <v>001105018356</v>
      </c>
      <c r="O6214" t="str">
        <f t="shared" si="2520"/>
        <v>MYR</v>
      </c>
      <c r="P6214" t="str">
        <f t="shared" si="2540"/>
        <v>NIL</v>
      </c>
      <c r="Q6214" t="str">
        <f t="shared" si="2540"/>
        <v>NIL</v>
      </c>
      <c r="R6214" t="str">
        <f t="shared" si="2532"/>
        <v>Accepted</v>
      </c>
      <c r="S6214" t="str">
        <f t="shared" si="2521"/>
        <v>Approved</v>
      </c>
      <c r="T6214" t="str">
        <f t="shared" si="2533"/>
        <v>10.20.8.188</v>
      </c>
      <c r="U6214" t="str">
        <f t="shared" si="2522"/>
        <v>AZRAD UMAR BIN SHAARI</v>
      </c>
      <c r="V6214" t="str">
        <f t="shared" si="2523"/>
        <v>FARHANA BINTI MUSTAPA</v>
      </c>
      <c r="W6214" t="str">
        <f t="shared" si="2524"/>
        <v>04-08-2020</v>
      </c>
      <c r="X6214" t="str">
        <f t="shared" si="2525"/>
        <v>RAZIMAH ANSAR AHMAD</v>
      </c>
      <c r="Y6214" t="str">
        <f t="shared" si="2526"/>
        <v>04-08-2020</v>
      </c>
      <c r="Z6214" t="str">
        <f>"COS10200804 2940"</f>
        <v>COS10200804 2940</v>
      </c>
    </row>
    <row r="6215" spans="1:26" x14ac:dyDescent="0.25">
      <c r="A6215" t="str">
        <f t="shared" si="2534"/>
        <v>04-08-2020 12:40:28</v>
      </c>
      <c r="B6215" t="str">
        <f>"0000804703"</f>
        <v>0000804703</v>
      </c>
      <c r="C6215" t="str">
        <f t="shared" si="2535"/>
        <v>0000804564</v>
      </c>
      <c r="D6215" t="str">
        <f t="shared" ref="D6215:D6278" si="2541">"73185"</f>
        <v>73185</v>
      </c>
      <c r="E6215" t="str">
        <f t="shared" ref="E6215:E6278" si="2542">"KFH-OPERATIONS DEPARTMENT"</f>
        <v>KFH-OPERATIONS DEPARTMENT</v>
      </c>
      <c r="F6215" t="str">
        <f t="shared" ref="F6215:F6278" si="2543">"IBG"</f>
        <v>IBG</v>
      </c>
      <c r="G6215" t="str">
        <f t="shared" si="2529"/>
        <v>Refund COSHARE 10</v>
      </c>
      <c r="H6215" s="2">
        <v>298</v>
      </c>
      <c r="I6215" t="str">
        <f>"MOHD SHAHRIZAL BIN KAMARUZAMAN"</f>
        <v>MOHD SHAHRIZAL BIN KAMARUZAMAN</v>
      </c>
      <c r="J6215" t="str">
        <f t="shared" si="2538"/>
        <v>CIMB BANK / CIMB ISLAMIC BANK</v>
      </c>
      <c r="K6215" t="str">
        <f>"12260078758520"</f>
        <v>12260078758520</v>
      </c>
      <c r="L6215" t="str">
        <f t="shared" si="2539"/>
        <v>04-08-2020</v>
      </c>
      <c r="M6215" t="str">
        <f t="shared" si="2539"/>
        <v>04-08-2020</v>
      </c>
      <c r="N6215" t="str">
        <f t="shared" ref="N6215:N6278" si="2544">"001105018356"</f>
        <v>001105018356</v>
      </c>
      <c r="O6215" t="str">
        <f t="shared" ref="O6215:O6278" si="2545">"MYR"</f>
        <v>MYR</v>
      </c>
      <c r="P6215" t="str">
        <f t="shared" si="2540"/>
        <v>NIL</v>
      </c>
      <c r="Q6215" t="str">
        <f t="shared" si="2540"/>
        <v>NIL</v>
      </c>
      <c r="R6215" t="str">
        <f t="shared" si="2532"/>
        <v>Accepted</v>
      </c>
      <c r="S6215" t="str">
        <f t="shared" ref="S6215:S6278" si="2546">"Approved"</f>
        <v>Approved</v>
      </c>
      <c r="T6215" t="str">
        <f t="shared" si="2533"/>
        <v>10.20.8.188</v>
      </c>
      <c r="U6215" t="str">
        <f t="shared" ref="U6215:U6278" si="2547">"AZRAD UMAR BIN SHAARI"</f>
        <v>AZRAD UMAR BIN SHAARI</v>
      </c>
      <c r="V6215" t="str">
        <f t="shared" ref="V6215:V6278" si="2548">"FARHANA BINTI MUSTAPA"</f>
        <v>FARHANA BINTI MUSTAPA</v>
      </c>
      <c r="W6215" t="str">
        <f t="shared" ref="W6215:W6278" si="2549">"04-08-2020"</f>
        <v>04-08-2020</v>
      </c>
      <c r="X6215" t="str">
        <f t="shared" ref="X6215:X6278" si="2550">"RAZIMAH ANSAR AHMAD"</f>
        <v>RAZIMAH ANSAR AHMAD</v>
      </c>
      <c r="Y6215" t="str">
        <f t="shared" ref="Y6215:Y6278" si="2551">"04-08-2020"</f>
        <v>04-08-2020</v>
      </c>
      <c r="Z6215" t="str">
        <f>"COS10200804 2939"</f>
        <v>COS10200804 2939</v>
      </c>
    </row>
    <row r="6216" spans="1:26" x14ac:dyDescent="0.25">
      <c r="A6216" t="str">
        <f t="shared" si="2534"/>
        <v>04-08-2020 12:40:28</v>
      </c>
      <c r="B6216" t="str">
        <f>"0000804702"</f>
        <v>0000804702</v>
      </c>
      <c r="C6216" t="str">
        <f t="shared" si="2535"/>
        <v>0000804564</v>
      </c>
      <c r="D6216" t="str">
        <f t="shared" si="2541"/>
        <v>73185</v>
      </c>
      <c r="E6216" t="str">
        <f t="shared" si="2542"/>
        <v>KFH-OPERATIONS DEPARTMENT</v>
      </c>
      <c r="F6216" t="str">
        <f t="shared" si="2543"/>
        <v>IBG</v>
      </c>
      <c r="G6216" t="str">
        <f t="shared" si="2529"/>
        <v>Refund COSHARE 10</v>
      </c>
      <c r="H6216" s="2">
        <v>1846.5</v>
      </c>
      <c r="I6216" t="str">
        <f>"MOHD SHAHRIR BIN MOHD ALI"</f>
        <v>MOHD SHAHRIR BIN MOHD ALI</v>
      </c>
      <c r="J6216" t="str">
        <f t="shared" si="2538"/>
        <v>CIMB BANK / CIMB ISLAMIC BANK</v>
      </c>
      <c r="K6216" t="str">
        <f>"14200007358050"</f>
        <v>14200007358050</v>
      </c>
      <c r="L6216" t="str">
        <f t="shared" si="2539"/>
        <v>04-08-2020</v>
      </c>
      <c r="M6216" t="str">
        <f t="shared" si="2539"/>
        <v>04-08-2020</v>
      </c>
      <c r="N6216" t="str">
        <f t="shared" si="2544"/>
        <v>001105018356</v>
      </c>
      <c r="O6216" t="str">
        <f t="shared" si="2545"/>
        <v>MYR</v>
      </c>
      <c r="P6216" t="str">
        <f t="shared" si="2540"/>
        <v>NIL</v>
      </c>
      <c r="Q6216" t="str">
        <f t="shared" si="2540"/>
        <v>NIL</v>
      </c>
      <c r="R6216" t="str">
        <f t="shared" si="2532"/>
        <v>Accepted</v>
      </c>
      <c r="S6216" t="str">
        <f t="shared" si="2546"/>
        <v>Approved</v>
      </c>
      <c r="T6216" t="str">
        <f t="shared" si="2533"/>
        <v>10.20.8.188</v>
      </c>
      <c r="U6216" t="str">
        <f t="shared" si="2547"/>
        <v>AZRAD UMAR BIN SHAARI</v>
      </c>
      <c r="V6216" t="str">
        <f t="shared" si="2548"/>
        <v>FARHANA BINTI MUSTAPA</v>
      </c>
      <c r="W6216" t="str">
        <f t="shared" si="2549"/>
        <v>04-08-2020</v>
      </c>
      <c r="X6216" t="str">
        <f t="shared" si="2550"/>
        <v>RAZIMAH ANSAR AHMAD</v>
      </c>
      <c r="Y6216" t="str">
        <f t="shared" si="2551"/>
        <v>04-08-2020</v>
      </c>
      <c r="Z6216" t="str">
        <f>"COS10200804 2938"</f>
        <v>COS10200804 2938</v>
      </c>
    </row>
    <row r="6217" spans="1:26" x14ac:dyDescent="0.25">
      <c r="A6217" t="str">
        <f t="shared" si="2534"/>
        <v>04-08-2020 12:40:28</v>
      </c>
      <c r="B6217" t="str">
        <f>"0000804701"</f>
        <v>0000804701</v>
      </c>
      <c r="C6217" t="str">
        <f t="shared" si="2535"/>
        <v>0000804564</v>
      </c>
      <c r="D6217" t="str">
        <f t="shared" si="2541"/>
        <v>73185</v>
      </c>
      <c r="E6217" t="str">
        <f t="shared" si="2542"/>
        <v>KFH-OPERATIONS DEPARTMENT</v>
      </c>
      <c r="F6217" t="str">
        <f t="shared" si="2543"/>
        <v>IBG</v>
      </c>
      <c r="G6217" t="str">
        <f t="shared" si="2529"/>
        <v>Refund COSHARE 10</v>
      </c>
      <c r="H6217" s="2">
        <v>1846.5</v>
      </c>
      <c r="I6217" t="str">
        <f>"MOHD SHAHRIR BIN MOHD ALI"</f>
        <v>MOHD SHAHRIR BIN MOHD ALI</v>
      </c>
      <c r="J6217" t="str">
        <f t="shared" si="2538"/>
        <v>CIMB BANK / CIMB ISLAMIC BANK</v>
      </c>
      <c r="K6217" t="str">
        <f>"14200007358050"</f>
        <v>14200007358050</v>
      </c>
      <c r="L6217" t="str">
        <f t="shared" si="2539"/>
        <v>04-08-2020</v>
      </c>
      <c r="M6217" t="str">
        <f t="shared" si="2539"/>
        <v>04-08-2020</v>
      </c>
      <c r="N6217" t="str">
        <f t="shared" si="2544"/>
        <v>001105018356</v>
      </c>
      <c r="O6217" t="str">
        <f t="shared" si="2545"/>
        <v>MYR</v>
      </c>
      <c r="P6217" t="str">
        <f t="shared" si="2540"/>
        <v>NIL</v>
      </c>
      <c r="Q6217" t="str">
        <f t="shared" si="2540"/>
        <v>NIL</v>
      </c>
      <c r="R6217" t="str">
        <f t="shared" si="2532"/>
        <v>Accepted</v>
      </c>
      <c r="S6217" t="str">
        <f t="shared" si="2546"/>
        <v>Approved</v>
      </c>
      <c r="T6217" t="str">
        <f t="shared" si="2533"/>
        <v>10.20.8.188</v>
      </c>
      <c r="U6217" t="str">
        <f t="shared" si="2547"/>
        <v>AZRAD UMAR BIN SHAARI</v>
      </c>
      <c r="V6217" t="str">
        <f t="shared" si="2548"/>
        <v>FARHANA BINTI MUSTAPA</v>
      </c>
      <c r="W6217" t="str">
        <f t="shared" si="2549"/>
        <v>04-08-2020</v>
      </c>
      <c r="X6217" t="str">
        <f t="shared" si="2550"/>
        <v>RAZIMAH ANSAR AHMAD</v>
      </c>
      <c r="Y6217" t="str">
        <f t="shared" si="2551"/>
        <v>04-08-2020</v>
      </c>
      <c r="Z6217" t="str">
        <f>"COS10200804 2937"</f>
        <v>COS10200804 2937</v>
      </c>
    </row>
    <row r="6218" spans="1:26" x14ac:dyDescent="0.25">
      <c r="A6218" t="str">
        <f t="shared" ref="A6218:A6249" si="2552">"04-08-2020 12:40:28"</f>
        <v>04-08-2020 12:40:28</v>
      </c>
      <c r="B6218" t="str">
        <f>"0000804700"</f>
        <v>0000804700</v>
      </c>
      <c r="C6218" t="str">
        <f t="shared" ref="C6218:C6249" si="2553">"0000804564"</f>
        <v>0000804564</v>
      </c>
      <c r="D6218" t="str">
        <f t="shared" si="2541"/>
        <v>73185</v>
      </c>
      <c r="E6218" t="str">
        <f t="shared" si="2542"/>
        <v>KFH-OPERATIONS DEPARTMENT</v>
      </c>
      <c r="F6218" t="str">
        <f t="shared" si="2543"/>
        <v>IBG</v>
      </c>
      <c r="G6218" t="str">
        <f t="shared" si="2529"/>
        <v>Refund COSHARE 10</v>
      </c>
      <c r="H6218" s="2">
        <v>532</v>
      </c>
      <c r="I6218" t="str">
        <f>"MOHD SHAHNOM BIN YASAK"</f>
        <v>MOHD SHAHNOM BIN YASAK</v>
      </c>
      <c r="J6218" t="str">
        <f t="shared" si="2538"/>
        <v>CIMB BANK / CIMB ISLAMIC BANK</v>
      </c>
      <c r="K6218" t="str">
        <f>"12110011888528"</f>
        <v>12110011888528</v>
      </c>
      <c r="L6218" t="str">
        <f t="shared" si="2539"/>
        <v>04-08-2020</v>
      </c>
      <c r="M6218" t="str">
        <f t="shared" si="2539"/>
        <v>04-08-2020</v>
      </c>
      <c r="N6218" t="str">
        <f t="shared" si="2544"/>
        <v>001105018356</v>
      </c>
      <c r="O6218" t="str">
        <f t="shared" si="2545"/>
        <v>MYR</v>
      </c>
      <c r="P6218" t="str">
        <f t="shared" si="2540"/>
        <v>NIL</v>
      </c>
      <c r="Q6218" t="str">
        <f t="shared" si="2540"/>
        <v>NIL</v>
      </c>
      <c r="R6218" t="str">
        <f t="shared" si="2532"/>
        <v>Accepted</v>
      </c>
      <c r="S6218" t="str">
        <f t="shared" si="2546"/>
        <v>Approved</v>
      </c>
      <c r="T6218" t="str">
        <f t="shared" si="2533"/>
        <v>10.20.8.188</v>
      </c>
      <c r="U6218" t="str">
        <f t="shared" si="2547"/>
        <v>AZRAD UMAR BIN SHAARI</v>
      </c>
      <c r="V6218" t="str">
        <f t="shared" si="2548"/>
        <v>FARHANA BINTI MUSTAPA</v>
      </c>
      <c r="W6218" t="str">
        <f t="shared" si="2549"/>
        <v>04-08-2020</v>
      </c>
      <c r="X6218" t="str">
        <f t="shared" si="2550"/>
        <v>RAZIMAH ANSAR AHMAD</v>
      </c>
      <c r="Y6218" t="str">
        <f t="shared" si="2551"/>
        <v>04-08-2020</v>
      </c>
      <c r="Z6218" t="str">
        <f>"COS10200804 2936"</f>
        <v>COS10200804 2936</v>
      </c>
    </row>
    <row r="6219" spans="1:26" x14ac:dyDescent="0.25">
      <c r="A6219" t="str">
        <f t="shared" si="2552"/>
        <v>04-08-2020 12:40:28</v>
      </c>
      <c r="B6219" t="str">
        <f>"0000804699"</f>
        <v>0000804699</v>
      </c>
      <c r="C6219" t="str">
        <f t="shared" si="2553"/>
        <v>0000804564</v>
      </c>
      <c r="D6219" t="str">
        <f t="shared" si="2541"/>
        <v>73185</v>
      </c>
      <c r="E6219" t="str">
        <f t="shared" si="2542"/>
        <v>KFH-OPERATIONS DEPARTMENT</v>
      </c>
      <c r="F6219" t="str">
        <f t="shared" si="2543"/>
        <v>IBG</v>
      </c>
      <c r="G6219" t="str">
        <f t="shared" si="2529"/>
        <v>Refund COSHARE 10</v>
      </c>
      <c r="H6219" s="2">
        <v>786</v>
      </c>
      <c r="I6219" t="str">
        <f>"MOHD SHAHIR BIN SENI"</f>
        <v>MOHD SHAHIR BIN SENI</v>
      </c>
      <c r="J6219" t="str">
        <f t="shared" si="2538"/>
        <v>CIMB BANK / CIMB ISLAMIC BANK</v>
      </c>
      <c r="K6219" t="str">
        <f>"020517817330"</f>
        <v>020517817330</v>
      </c>
      <c r="L6219" t="str">
        <f t="shared" si="2539"/>
        <v>04-08-2020</v>
      </c>
      <c r="M6219" t="str">
        <f t="shared" si="2539"/>
        <v>04-08-2020</v>
      </c>
      <c r="N6219" t="str">
        <f t="shared" si="2544"/>
        <v>001105018356</v>
      </c>
      <c r="O6219" t="str">
        <f t="shared" si="2545"/>
        <v>MYR</v>
      </c>
      <c r="P6219" t="str">
        <f t="shared" si="2540"/>
        <v>NIL</v>
      </c>
      <c r="Q6219" t="str">
        <f t="shared" si="2540"/>
        <v>NIL</v>
      </c>
      <c r="R6219" t="str">
        <f t="shared" si="2532"/>
        <v>Accepted</v>
      </c>
      <c r="S6219" t="str">
        <f t="shared" si="2546"/>
        <v>Approved</v>
      </c>
      <c r="T6219" t="str">
        <f t="shared" si="2533"/>
        <v>10.20.8.188</v>
      </c>
      <c r="U6219" t="str">
        <f t="shared" si="2547"/>
        <v>AZRAD UMAR BIN SHAARI</v>
      </c>
      <c r="V6219" t="str">
        <f t="shared" si="2548"/>
        <v>FARHANA BINTI MUSTAPA</v>
      </c>
      <c r="W6219" t="str">
        <f t="shared" si="2549"/>
        <v>04-08-2020</v>
      </c>
      <c r="X6219" t="str">
        <f t="shared" si="2550"/>
        <v>RAZIMAH ANSAR AHMAD</v>
      </c>
      <c r="Y6219" t="str">
        <f t="shared" si="2551"/>
        <v>04-08-2020</v>
      </c>
      <c r="Z6219" t="str">
        <f>"COS10200804 2935"</f>
        <v>COS10200804 2935</v>
      </c>
    </row>
    <row r="6220" spans="1:26" x14ac:dyDescent="0.25">
      <c r="A6220" t="str">
        <f t="shared" si="2552"/>
        <v>04-08-2020 12:40:28</v>
      </c>
      <c r="B6220" t="str">
        <f>"0000804698"</f>
        <v>0000804698</v>
      </c>
      <c r="C6220" t="str">
        <f t="shared" si="2553"/>
        <v>0000804564</v>
      </c>
      <c r="D6220" t="str">
        <f t="shared" si="2541"/>
        <v>73185</v>
      </c>
      <c r="E6220" t="str">
        <f t="shared" si="2542"/>
        <v>KFH-OPERATIONS DEPARTMENT</v>
      </c>
      <c r="F6220" t="str">
        <f t="shared" si="2543"/>
        <v>IBG</v>
      </c>
      <c r="G6220" t="str">
        <f t="shared" ref="G6220:G6283" si="2554">"Refund COSHARE 10"</f>
        <v>Refund COSHARE 10</v>
      </c>
      <c r="H6220" s="2">
        <v>411.35</v>
      </c>
      <c r="I6220" t="str">
        <f>"MOHD SHAHIDI BIN MOHAMAD"</f>
        <v>MOHD SHAHIDI BIN MOHAMAD</v>
      </c>
      <c r="J6220" t="str">
        <f t="shared" si="2538"/>
        <v>CIMB BANK / CIMB ISLAMIC BANK</v>
      </c>
      <c r="K6220" t="str">
        <f>"12180066537528"</f>
        <v>12180066537528</v>
      </c>
      <c r="L6220" t="str">
        <f t="shared" si="2539"/>
        <v>04-08-2020</v>
      </c>
      <c r="M6220" t="str">
        <f t="shared" si="2539"/>
        <v>04-08-2020</v>
      </c>
      <c r="N6220" t="str">
        <f t="shared" si="2544"/>
        <v>001105018356</v>
      </c>
      <c r="O6220" t="str">
        <f t="shared" si="2545"/>
        <v>MYR</v>
      </c>
      <c r="P6220" t="str">
        <f t="shared" si="2540"/>
        <v>NIL</v>
      </c>
      <c r="Q6220" t="str">
        <f t="shared" si="2540"/>
        <v>NIL</v>
      </c>
      <c r="R6220" t="str">
        <f t="shared" si="2532"/>
        <v>Accepted</v>
      </c>
      <c r="S6220" t="str">
        <f t="shared" si="2546"/>
        <v>Approved</v>
      </c>
      <c r="T6220" t="str">
        <f t="shared" si="2533"/>
        <v>10.20.8.188</v>
      </c>
      <c r="U6220" t="str">
        <f t="shared" si="2547"/>
        <v>AZRAD UMAR BIN SHAARI</v>
      </c>
      <c r="V6220" t="str">
        <f t="shared" si="2548"/>
        <v>FARHANA BINTI MUSTAPA</v>
      </c>
      <c r="W6220" t="str">
        <f t="shared" si="2549"/>
        <v>04-08-2020</v>
      </c>
      <c r="X6220" t="str">
        <f t="shared" si="2550"/>
        <v>RAZIMAH ANSAR AHMAD</v>
      </c>
      <c r="Y6220" t="str">
        <f t="shared" si="2551"/>
        <v>04-08-2020</v>
      </c>
      <c r="Z6220" t="str">
        <f>"COS10200804 2934"</f>
        <v>COS10200804 2934</v>
      </c>
    </row>
    <row r="6221" spans="1:26" x14ac:dyDescent="0.25">
      <c r="A6221" t="str">
        <f t="shared" si="2552"/>
        <v>04-08-2020 12:40:28</v>
      </c>
      <c r="B6221" t="str">
        <f>"0000804697"</f>
        <v>0000804697</v>
      </c>
      <c r="C6221" t="str">
        <f t="shared" si="2553"/>
        <v>0000804564</v>
      </c>
      <c r="D6221" t="str">
        <f t="shared" si="2541"/>
        <v>73185</v>
      </c>
      <c r="E6221" t="str">
        <f t="shared" si="2542"/>
        <v>KFH-OPERATIONS DEPARTMENT</v>
      </c>
      <c r="F6221" t="str">
        <f t="shared" si="2543"/>
        <v>IBG</v>
      </c>
      <c r="G6221" t="str">
        <f t="shared" si="2554"/>
        <v>Refund COSHARE 10</v>
      </c>
      <c r="H6221" s="2">
        <v>749.45</v>
      </c>
      <c r="I6221" t="str">
        <f>"MOHD SEBARI BIN MOHD SHARIFF"</f>
        <v>MOHD SEBARI BIN MOHD SHARIFF</v>
      </c>
      <c r="J6221" t="str">
        <f t="shared" si="2538"/>
        <v>CIMB BANK / CIMB ISLAMIC BANK</v>
      </c>
      <c r="K6221" t="str">
        <f>"01150005199522"</f>
        <v>01150005199522</v>
      </c>
      <c r="L6221" t="str">
        <f t="shared" si="2539"/>
        <v>04-08-2020</v>
      </c>
      <c r="M6221" t="str">
        <f t="shared" si="2539"/>
        <v>04-08-2020</v>
      </c>
      <c r="N6221" t="str">
        <f t="shared" si="2544"/>
        <v>001105018356</v>
      </c>
      <c r="O6221" t="str">
        <f t="shared" si="2545"/>
        <v>MYR</v>
      </c>
      <c r="P6221" t="str">
        <f t="shared" si="2540"/>
        <v>NIL</v>
      </c>
      <c r="Q6221" t="str">
        <f t="shared" si="2540"/>
        <v>NIL</v>
      </c>
      <c r="R6221" t="str">
        <f t="shared" si="2532"/>
        <v>Accepted</v>
      </c>
      <c r="S6221" t="str">
        <f t="shared" si="2546"/>
        <v>Approved</v>
      </c>
      <c r="T6221" t="str">
        <f t="shared" si="2533"/>
        <v>10.20.8.188</v>
      </c>
      <c r="U6221" t="str">
        <f t="shared" si="2547"/>
        <v>AZRAD UMAR BIN SHAARI</v>
      </c>
      <c r="V6221" t="str">
        <f t="shared" si="2548"/>
        <v>FARHANA BINTI MUSTAPA</v>
      </c>
      <c r="W6221" t="str">
        <f t="shared" si="2549"/>
        <v>04-08-2020</v>
      </c>
      <c r="X6221" t="str">
        <f t="shared" si="2550"/>
        <v>RAZIMAH ANSAR AHMAD</v>
      </c>
      <c r="Y6221" t="str">
        <f t="shared" si="2551"/>
        <v>04-08-2020</v>
      </c>
      <c r="Z6221" t="str">
        <f>"COS10200804 2933"</f>
        <v>COS10200804 2933</v>
      </c>
    </row>
    <row r="6222" spans="1:26" x14ac:dyDescent="0.25">
      <c r="A6222" t="str">
        <f t="shared" si="2552"/>
        <v>04-08-2020 12:40:28</v>
      </c>
      <c r="B6222" t="str">
        <f>"0000804696"</f>
        <v>0000804696</v>
      </c>
      <c r="C6222" t="str">
        <f t="shared" si="2553"/>
        <v>0000804564</v>
      </c>
      <c r="D6222" t="str">
        <f t="shared" si="2541"/>
        <v>73185</v>
      </c>
      <c r="E6222" t="str">
        <f t="shared" si="2542"/>
        <v>KFH-OPERATIONS DEPARTMENT</v>
      </c>
      <c r="F6222" t="str">
        <f t="shared" si="2543"/>
        <v>IBG</v>
      </c>
      <c r="G6222" t="str">
        <f t="shared" si="2554"/>
        <v>Refund COSHARE 10</v>
      </c>
      <c r="H6222" s="2">
        <v>119</v>
      </c>
      <c r="I6222" t="str">
        <f>"MOHD SAIFUL AIZAM BIN MOHD ARIFF"</f>
        <v>MOHD SAIFUL AIZAM BIN MOHD ARIFF</v>
      </c>
      <c r="J6222" t="str">
        <f t="shared" si="2538"/>
        <v>CIMB BANK / CIMB ISLAMIC BANK</v>
      </c>
      <c r="K6222" t="str">
        <f>"7605876867"</f>
        <v>7605876867</v>
      </c>
      <c r="L6222" t="str">
        <f t="shared" si="2539"/>
        <v>04-08-2020</v>
      </c>
      <c r="M6222" t="str">
        <f t="shared" si="2539"/>
        <v>04-08-2020</v>
      </c>
      <c r="N6222" t="str">
        <f t="shared" si="2544"/>
        <v>001105018356</v>
      </c>
      <c r="O6222" t="str">
        <f t="shared" si="2545"/>
        <v>MYR</v>
      </c>
      <c r="P6222" t="str">
        <f t="shared" si="2540"/>
        <v>NIL</v>
      </c>
      <c r="Q6222" t="str">
        <f t="shared" si="2540"/>
        <v>NIL</v>
      </c>
      <c r="R6222" t="str">
        <f t="shared" si="2532"/>
        <v>Accepted</v>
      </c>
      <c r="S6222" t="str">
        <f t="shared" si="2546"/>
        <v>Approved</v>
      </c>
      <c r="T6222" t="str">
        <f t="shared" si="2533"/>
        <v>10.20.8.188</v>
      </c>
      <c r="U6222" t="str">
        <f t="shared" si="2547"/>
        <v>AZRAD UMAR BIN SHAARI</v>
      </c>
      <c r="V6222" t="str">
        <f t="shared" si="2548"/>
        <v>FARHANA BINTI MUSTAPA</v>
      </c>
      <c r="W6222" t="str">
        <f t="shared" si="2549"/>
        <v>04-08-2020</v>
      </c>
      <c r="X6222" t="str">
        <f t="shared" si="2550"/>
        <v>RAZIMAH ANSAR AHMAD</v>
      </c>
      <c r="Y6222" t="str">
        <f t="shared" si="2551"/>
        <v>04-08-2020</v>
      </c>
      <c r="Z6222" t="str">
        <f>"COS10200804 2932"</f>
        <v>COS10200804 2932</v>
      </c>
    </row>
    <row r="6223" spans="1:26" x14ac:dyDescent="0.25">
      <c r="A6223" t="str">
        <f t="shared" si="2552"/>
        <v>04-08-2020 12:40:28</v>
      </c>
      <c r="B6223" t="str">
        <f>"0000804695"</f>
        <v>0000804695</v>
      </c>
      <c r="C6223" t="str">
        <f t="shared" si="2553"/>
        <v>0000804564</v>
      </c>
      <c r="D6223" t="str">
        <f t="shared" si="2541"/>
        <v>73185</v>
      </c>
      <c r="E6223" t="str">
        <f t="shared" si="2542"/>
        <v>KFH-OPERATIONS DEPARTMENT</v>
      </c>
      <c r="F6223" t="str">
        <f t="shared" si="2543"/>
        <v>IBG</v>
      </c>
      <c r="G6223" t="str">
        <f t="shared" si="2554"/>
        <v>Refund COSHARE 10</v>
      </c>
      <c r="H6223" s="2">
        <v>672.35</v>
      </c>
      <c r="I6223" t="str">
        <f>"MOHD SAFWAN BIN HASHIM"</f>
        <v>MOHD SAFWAN BIN HASHIM</v>
      </c>
      <c r="J6223" t="str">
        <f t="shared" si="2538"/>
        <v>CIMB BANK / CIMB ISLAMIC BANK</v>
      </c>
      <c r="K6223" t="str">
        <f>"01040069209526"</f>
        <v>01040069209526</v>
      </c>
      <c r="L6223" t="str">
        <f t="shared" si="2539"/>
        <v>04-08-2020</v>
      </c>
      <c r="M6223" t="str">
        <f t="shared" si="2539"/>
        <v>04-08-2020</v>
      </c>
      <c r="N6223" t="str">
        <f t="shared" si="2544"/>
        <v>001105018356</v>
      </c>
      <c r="O6223" t="str">
        <f t="shared" si="2545"/>
        <v>MYR</v>
      </c>
      <c r="P6223" t="str">
        <f t="shared" si="2540"/>
        <v>NIL</v>
      </c>
      <c r="Q6223" t="str">
        <f t="shared" si="2540"/>
        <v>NIL</v>
      </c>
      <c r="R6223" t="str">
        <f t="shared" si="2532"/>
        <v>Accepted</v>
      </c>
      <c r="S6223" t="str">
        <f t="shared" si="2546"/>
        <v>Approved</v>
      </c>
      <c r="T6223" t="str">
        <f t="shared" si="2533"/>
        <v>10.20.8.188</v>
      </c>
      <c r="U6223" t="str">
        <f t="shared" si="2547"/>
        <v>AZRAD UMAR BIN SHAARI</v>
      </c>
      <c r="V6223" t="str">
        <f t="shared" si="2548"/>
        <v>FARHANA BINTI MUSTAPA</v>
      </c>
      <c r="W6223" t="str">
        <f t="shared" si="2549"/>
        <v>04-08-2020</v>
      </c>
      <c r="X6223" t="str">
        <f t="shared" si="2550"/>
        <v>RAZIMAH ANSAR AHMAD</v>
      </c>
      <c r="Y6223" t="str">
        <f t="shared" si="2551"/>
        <v>04-08-2020</v>
      </c>
      <c r="Z6223" t="str">
        <f>"COS10200804 2931"</f>
        <v>COS10200804 2931</v>
      </c>
    </row>
    <row r="6224" spans="1:26" x14ac:dyDescent="0.25">
      <c r="A6224" t="str">
        <f t="shared" si="2552"/>
        <v>04-08-2020 12:40:28</v>
      </c>
      <c r="B6224" t="str">
        <f>"0000804694"</f>
        <v>0000804694</v>
      </c>
      <c r="C6224" t="str">
        <f t="shared" si="2553"/>
        <v>0000804564</v>
      </c>
      <c r="D6224" t="str">
        <f t="shared" si="2541"/>
        <v>73185</v>
      </c>
      <c r="E6224" t="str">
        <f t="shared" si="2542"/>
        <v>KFH-OPERATIONS DEPARTMENT</v>
      </c>
      <c r="F6224" t="str">
        <f t="shared" si="2543"/>
        <v>IBG</v>
      </c>
      <c r="G6224" t="str">
        <f t="shared" si="2554"/>
        <v>Refund COSHARE 10</v>
      </c>
      <c r="H6224" s="2">
        <v>164.7</v>
      </c>
      <c r="I6224" t="str">
        <f>"MOHD ROSTAM AFFENDI BIN HJ YAKOB"</f>
        <v>MOHD ROSTAM AFFENDI BIN HJ YAKOB</v>
      </c>
      <c r="J6224" t="str">
        <f t="shared" si="2538"/>
        <v>CIMB BANK / CIMB ISLAMIC BANK</v>
      </c>
      <c r="K6224" t="str">
        <f>"02060098032525"</f>
        <v>02060098032525</v>
      </c>
      <c r="L6224" t="str">
        <f t="shared" si="2539"/>
        <v>04-08-2020</v>
      </c>
      <c r="M6224" t="str">
        <f t="shared" si="2539"/>
        <v>04-08-2020</v>
      </c>
      <c r="N6224" t="str">
        <f t="shared" si="2544"/>
        <v>001105018356</v>
      </c>
      <c r="O6224" t="str">
        <f t="shared" si="2545"/>
        <v>MYR</v>
      </c>
      <c r="P6224" t="str">
        <f t="shared" si="2540"/>
        <v>NIL</v>
      </c>
      <c r="Q6224" t="str">
        <f t="shared" si="2540"/>
        <v>NIL</v>
      </c>
      <c r="R6224" t="str">
        <f t="shared" si="2532"/>
        <v>Accepted</v>
      </c>
      <c r="S6224" t="str">
        <f t="shared" si="2546"/>
        <v>Approved</v>
      </c>
      <c r="T6224" t="str">
        <f t="shared" si="2533"/>
        <v>10.20.8.188</v>
      </c>
      <c r="U6224" t="str">
        <f t="shared" si="2547"/>
        <v>AZRAD UMAR BIN SHAARI</v>
      </c>
      <c r="V6224" t="str">
        <f t="shared" si="2548"/>
        <v>FARHANA BINTI MUSTAPA</v>
      </c>
      <c r="W6224" t="str">
        <f t="shared" si="2549"/>
        <v>04-08-2020</v>
      </c>
      <c r="X6224" t="str">
        <f t="shared" si="2550"/>
        <v>RAZIMAH ANSAR AHMAD</v>
      </c>
      <c r="Y6224" t="str">
        <f t="shared" si="2551"/>
        <v>04-08-2020</v>
      </c>
      <c r="Z6224" t="str">
        <f>"COS10200804 2930"</f>
        <v>COS10200804 2930</v>
      </c>
    </row>
    <row r="6225" spans="1:26" x14ac:dyDescent="0.25">
      <c r="A6225" t="str">
        <f t="shared" si="2552"/>
        <v>04-08-2020 12:40:28</v>
      </c>
      <c r="B6225" t="str">
        <f>"0000804693"</f>
        <v>0000804693</v>
      </c>
      <c r="C6225" t="str">
        <f t="shared" si="2553"/>
        <v>0000804564</v>
      </c>
      <c r="D6225" t="str">
        <f t="shared" si="2541"/>
        <v>73185</v>
      </c>
      <c r="E6225" t="str">
        <f t="shared" si="2542"/>
        <v>KFH-OPERATIONS DEPARTMENT</v>
      </c>
      <c r="F6225" t="str">
        <f t="shared" si="2543"/>
        <v>IBG</v>
      </c>
      <c r="G6225" t="str">
        <f t="shared" si="2554"/>
        <v>Refund COSHARE 10</v>
      </c>
      <c r="H6225" s="2">
        <v>176</v>
      </c>
      <c r="I6225" t="str">
        <f>"MOHD ROSLY BIN CAMARUDIN"</f>
        <v>MOHD ROSLY BIN CAMARUDIN</v>
      </c>
      <c r="J6225" t="str">
        <f t="shared" si="2538"/>
        <v>CIMB BANK / CIMB ISLAMIC BANK</v>
      </c>
      <c r="K6225" t="str">
        <f>"7051290894"</f>
        <v>7051290894</v>
      </c>
      <c r="L6225" t="str">
        <f t="shared" si="2539"/>
        <v>04-08-2020</v>
      </c>
      <c r="M6225" t="str">
        <f t="shared" si="2539"/>
        <v>04-08-2020</v>
      </c>
      <c r="N6225" t="str">
        <f t="shared" si="2544"/>
        <v>001105018356</v>
      </c>
      <c r="O6225" t="str">
        <f t="shared" si="2545"/>
        <v>MYR</v>
      </c>
      <c r="P6225" t="str">
        <f t="shared" si="2540"/>
        <v>NIL</v>
      </c>
      <c r="Q6225" t="str">
        <f t="shared" si="2540"/>
        <v>NIL</v>
      </c>
      <c r="R6225" t="str">
        <f t="shared" si="2532"/>
        <v>Accepted</v>
      </c>
      <c r="S6225" t="str">
        <f t="shared" si="2546"/>
        <v>Approved</v>
      </c>
      <c r="T6225" t="str">
        <f t="shared" si="2533"/>
        <v>10.20.8.188</v>
      </c>
      <c r="U6225" t="str">
        <f t="shared" si="2547"/>
        <v>AZRAD UMAR BIN SHAARI</v>
      </c>
      <c r="V6225" t="str">
        <f t="shared" si="2548"/>
        <v>FARHANA BINTI MUSTAPA</v>
      </c>
      <c r="W6225" t="str">
        <f t="shared" si="2549"/>
        <v>04-08-2020</v>
      </c>
      <c r="X6225" t="str">
        <f t="shared" si="2550"/>
        <v>RAZIMAH ANSAR AHMAD</v>
      </c>
      <c r="Y6225" t="str">
        <f t="shared" si="2551"/>
        <v>04-08-2020</v>
      </c>
      <c r="Z6225" t="str">
        <f>"COS10200804 2929"</f>
        <v>COS10200804 2929</v>
      </c>
    </row>
    <row r="6226" spans="1:26" x14ac:dyDescent="0.25">
      <c r="A6226" t="str">
        <f t="shared" si="2552"/>
        <v>04-08-2020 12:40:28</v>
      </c>
      <c r="B6226" t="str">
        <f>"0000804692"</f>
        <v>0000804692</v>
      </c>
      <c r="C6226" t="str">
        <f t="shared" si="2553"/>
        <v>0000804564</v>
      </c>
      <c r="D6226" t="str">
        <f t="shared" si="2541"/>
        <v>73185</v>
      </c>
      <c r="E6226" t="str">
        <f t="shared" si="2542"/>
        <v>KFH-OPERATIONS DEPARTMENT</v>
      </c>
      <c r="F6226" t="str">
        <f t="shared" si="2543"/>
        <v>IBG</v>
      </c>
      <c r="G6226" t="str">
        <f t="shared" si="2554"/>
        <v>Refund COSHARE 10</v>
      </c>
      <c r="H6226" s="2">
        <v>484.95</v>
      </c>
      <c r="I6226" t="str">
        <f>"MOHD ROSLAN BIN ABDULLAH"</f>
        <v>MOHD ROSLAN BIN ABDULLAH</v>
      </c>
      <c r="J6226" t="str">
        <f t="shared" si="2538"/>
        <v>CIMB BANK / CIMB ISLAMIC BANK</v>
      </c>
      <c r="K6226" t="str">
        <f>"12150057461528"</f>
        <v>12150057461528</v>
      </c>
      <c r="L6226" t="str">
        <f t="shared" si="2539"/>
        <v>04-08-2020</v>
      </c>
      <c r="M6226" t="str">
        <f t="shared" si="2539"/>
        <v>04-08-2020</v>
      </c>
      <c r="N6226" t="str">
        <f t="shared" si="2544"/>
        <v>001105018356</v>
      </c>
      <c r="O6226" t="str">
        <f t="shared" si="2545"/>
        <v>MYR</v>
      </c>
      <c r="P6226" t="str">
        <f t="shared" si="2540"/>
        <v>NIL</v>
      </c>
      <c r="Q6226" t="str">
        <f t="shared" si="2540"/>
        <v>NIL</v>
      </c>
      <c r="R6226" t="str">
        <f t="shared" si="2532"/>
        <v>Accepted</v>
      </c>
      <c r="S6226" t="str">
        <f t="shared" si="2546"/>
        <v>Approved</v>
      </c>
      <c r="T6226" t="str">
        <f t="shared" si="2533"/>
        <v>10.20.8.188</v>
      </c>
      <c r="U6226" t="str">
        <f t="shared" si="2547"/>
        <v>AZRAD UMAR BIN SHAARI</v>
      </c>
      <c r="V6226" t="str">
        <f t="shared" si="2548"/>
        <v>FARHANA BINTI MUSTAPA</v>
      </c>
      <c r="W6226" t="str">
        <f t="shared" si="2549"/>
        <v>04-08-2020</v>
      </c>
      <c r="X6226" t="str">
        <f t="shared" si="2550"/>
        <v>RAZIMAH ANSAR AHMAD</v>
      </c>
      <c r="Y6226" t="str">
        <f t="shared" si="2551"/>
        <v>04-08-2020</v>
      </c>
      <c r="Z6226" t="str">
        <f>"COS10200804 2928"</f>
        <v>COS10200804 2928</v>
      </c>
    </row>
    <row r="6227" spans="1:26" x14ac:dyDescent="0.25">
      <c r="A6227" t="str">
        <f t="shared" si="2552"/>
        <v>04-08-2020 12:40:28</v>
      </c>
      <c r="B6227" t="str">
        <f>"0000804691"</f>
        <v>0000804691</v>
      </c>
      <c r="C6227" t="str">
        <f t="shared" si="2553"/>
        <v>0000804564</v>
      </c>
      <c r="D6227" t="str">
        <f t="shared" si="2541"/>
        <v>73185</v>
      </c>
      <c r="E6227" t="str">
        <f t="shared" si="2542"/>
        <v>KFH-OPERATIONS DEPARTMENT</v>
      </c>
      <c r="F6227" t="str">
        <f t="shared" si="2543"/>
        <v>IBG</v>
      </c>
      <c r="G6227" t="str">
        <f t="shared" si="2554"/>
        <v>Refund COSHARE 10</v>
      </c>
      <c r="H6227" s="2">
        <v>484.95</v>
      </c>
      <c r="I6227" t="str">
        <f>"MOHD ROSLAN BIN ABDULLAH"</f>
        <v>MOHD ROSLAN BIN ABDULLAH</v>
      </c>
      <c r="J6227" t="str">
        <f t="shared" si="2538"/>
        <v>CIMB BANK / CIMB ISLAMIC BANK</v>
      </c>
      <c r="K6227" t="str">
        <f>"12150057461528"</f>
        <v>12150057461528</v>
      </c>
      <c r="L6227" t="str">
        <f t="shared" ref="L6227:M6246" si="2555">"04-08-2020"</f>
        <v>04-08-2020</v>
      </c>
      <c r="M6227" t="str">
        <f t="shared" si="2555"/>
        <v>04-08-2020</v>
      </c>
      <c r="N6227" t="str">
        <f t="shared" si="2544"/>
        <v>001105018356</v>
      </c>
      <c r="O6227" t="str">
        <f t="shared" si="2545"/>
        <v>MYR</v>
      </c>
      <c r="P6227" t="str">
        <f t="shared" ref="P6227:Q6246" si="2556">"NIL"</f>
        <v>NIL</v>
      </c>
      <c r="Q6227" t="str">
        <f t="shared" si="2556"/>
        <v>NIL</v>
      </c>
      <c r="R6227" t="str">
        <f t="shared" si="2532"/>
        <v>Accepted</v>
      </c>
      <c r="S6227" t="str">
        <f t="shared" si="2546"/>
        <v>Approved</v>
      </c>
      <c r="T6227" t="str">
        <f t="shared" si="2533"/>
        <v>10.20.8.188</v>
      </c>
      <c r="U6227" t="str">
        <f t="shared" si="2547"/>
        <v>AZRAD UMAR BIN SHAARI</v>
      </c>
      <c r="V6227" t="str">
        <f t="shared" si="2548"/>
        <v>FARHANA BINTI MUSTAPA</v>
      </c>
      <c r="W6227" t="str">
        <f t="shared" si="2549"/>
        <v>04-08-2020</v>
      </c>
      <c r="X6227" t="str">
        <f t="shared" si="2550"/>
        <v>RAZIMAH ANSAR AHMAD</v>
      </c>
      <c r="Y6227" t="str">
        <f t="shared" si="2551"/>
        <v>04-08-2020</v>
      </c>
      <c r="Z6227" t="str">
        <f>"COS10200804 2927"</f>
        <v>COS10200804 2927</v>
      </c>
    </row>
    <row r="6228" spans="1:26" x14ac:dyDescent="0.25">
      <c r="A6228" t="str">
        <f t="shared" si="2552"/>
        <v>04-08-2020 12:40:28</v>
      </c>
      <c r="B6228" t="str">
        <f>"0000804690"</f>
        <v>0000804690</v>
      </c>
      <c r="C6228" t="str">
        <f t="shared" si="2553"/>
        <v>0000804564</v>
      </c>
      <c r="D6228" t="str">
        <f t="shared" si="2541"/>
        <v>73185</v>
      </c>
      <c r="E6228" t="str">
        <f t="shared" si="2542"/>
        <v>KFH-OPERATIONS DEPARTMENT</v>
      </c>
      <c r="F6228" t="str">
        <f t="shared" si="2543"/>
        <v>IBG</v>
      </c>
      <c r="G6228" t="str">
        <f t="shared" si="2554"/>
        <v>Refund COSHARE 10</v>
      </c>
      <c r="H6228" s="2">
        <v>255.4</v>
      </c>
      <c r="I6228" t="str">
        <f>"MOHD RODILA BIN IBRAHIM"</f>
        <v>MOHD RODILA BIN IBRAHIM</v>
      </c>
      <c r="J6228" t="str">
        <f t="shared" si="2538"/>
        <v>CIMB BANK / CIMB ISLAMIC BANK</v>
      </c>
      <c r="K6228" t="str">
        <f>"7049459336"</f>
        <v>7049459336</v>
      </c>
      <c r="L6228" t="str">
        <f t="shared" si="2555"/>
        <v>04-08-2020</v>
      </c>
      <c r="M6228" t="str">
        <f t="shared" si="2555"/>
        <v>04-08-2020</v>
      </c>
      <c r="N6228" t="str">
        <f t="shared" si="2544"/>
        <v>001105018356</v>
      </c>
      <c r="O6228" t="str">
        <f t="shared" si="2545"/>
        <v>MYR</v>
      </c>
      <c r="P6228" t="str">
        <f t="shared" si="2556"/>
        <v>NIL</v>
      </c>
      <c r="Q6228" t="str">
        <f t="shared" si="2556"/>
        <v>NIL</v>
      </c>
      <c r="R6228" t="str">
        <f t="shared" si="2532"/>
        <v>Accepted</v>
      </c>
      <c r="S6228" t="str">
        <f t="shared" si="2546"/>
        <v>Approved</v>
      </c>
      <c r="T6228" t="str">
        <f t="shared" si="2533"/>
        <v>10.20.8.188</v>
      </c>
      <c r="U6228" t="str">
        <f t="shared" si="2547"/>
        <v>AZRAD UMAR BIN SHAARI</v>
      </c>
      <c r="V6228" t="str">
        <f t="shared" si="2548"/>
        <v>FARHANA BINTI MUSTAPA</v>
      </c>
      <c r="W6228" t="str">
        <f t="shared" si="2549"/>
        <v>04-08-2020</v>
      </c>
      <c r="X6228" t="str">
        <f t="shared" si="2550"/>
        <v>RAZIMAH ANSAR AHMAD</v>
      </c>
      <c r="Y6228" t="str">
        <f t="shared" si="2551"/>
        <v>04-08-2020</v>
      </c>
      <c r="Z6228" t="str">
        <f>"COS10200804 2926"</f>
        <v>COS10200804 2926</v>
      </c>
    </row>
    <row r="6229" spans="1:26" x14ac:dyDescent="0.25">
      <c r="A6229" t="str">
        <f t="shared" si="2552"/>
        <v>04-08-2020 12:40:28</v>
      </c>
      <c r="B6229" t="str">
        <f>"0000804689"</f>
        <v>0000804689</v>
      </c>
      <c r="C6229" t="str">
        <f t="shared" si="2553"/>
        <v>0000804564</v>
      </c>
      <c r="D6229" t="str">
        <f t="shared" si="2541"/>
        <v>73185</v>
      </c>
      <c r="E6229" t="str">
        <f t="shared" si="2542"/>
        <v>KFH-OPERATIONS DEPARTMENT</v>
      </c>
      <c r="F6229" t="str">
        <f t="shared" si="2543"/>
        <v>IBG</v>
      </c>
      <c r="G6229" t="str">
        <f t="shared" si="2554"/>
        <v>Refund COSHARE 10</v>
      </c>
      <c r="H6229" s="2">
        <v>1007.4</v>
      </c>
      <c r="I6229" t="str">
        <f>"MOHD RIZAL BIN MOHD NOR"</f>
        <v>MOHD RIZAL BIN MOHD NOR</v>
      </c>
      <c r="J6229" t="str">
        <f t="shared" si="2538"/>
        <v>CIMB BANK / CIMB ISLAMIC BANK</v>
      </c>
      <c r="K6229" t="str">
        <f>"7005309530"</f>
        <v>7005309530</v>
      </c>
      <c r="L6229" t="str">
        <f t="shared" si="2555"/>
        <v>04-08-2020</v>
      </c>
      <c r="M6229" t="str">
        <f t="shared" si="2555"/>
        <v>04-08-2020</v>
      </c>
      <c r="N6229" t="str">
        <f t="shared" si="2544"/>
        <v>001105018356</v>
      </c>
      <c r="O6229" t="str">
        <f t="shared" si="2545"/>
        <v>MYR</v>
      </c>
      <c r="P6229" t="str">
        <f t="shared" si="2556"/>
        <v>NIL</v>
      </c>
      <c r="Q6229" t="str">
        <f t="shared" si="2556"/>
        <v>NIL</v>
      </c>
      <c r="R6229" t="str">
        <f t="shared" si="2532"/>
        <v>Accepted</v>
      </c>
      <c r="S6229" t="str">
        <f t="shared" si="2546"/>
        <v>Approved</v>
      </c>
      <c r="T6229" t="str">
        <f t="shared" si="2533"/>
        <v>10.20.8.188</v>
      </c>
      <c r="U6229" t="str">
        <f t="shared" si="2547"/>
        <v>AZRAD UMAR BIN SHAARI</v>
      </c>
      <c r="V6229" t="str">
        <f t="shared" si="2548"/>
        <v>FARHANA BINTI MUSTAPA</v>
      </c>
      <c r="W6229" t="str">
        <f t="shared" si="2549"/>
        <v>04-08-2020</v>
      </c>
      <c r="X6229" t="str">
        <f t="shared" si="2550"/>
        <v>RAZIMAH ANSAR AHMAD</v>
      </c>
      <c r="Y6229" t="str">
        <f t="shared" si="2551"/>
        <v>04-08-2020</v>
      </c>
      <c r="Z6229" t="str">
        <f>"COS10200804 2925"</f>
        <v>COS10200804 2925</v>
      </c>
    </row>
    <row r="6230" spans="1:26" x14ac:dyDescent="0.25">
      <c r="A6230" t="str">
        <f t="shared" si="2552"/>
        <v>04-08-2020 12:40:28</v>
      </c>
      <c r="B6230" t="str">
        <f>"0000804688"</f>
        <v>0000804688</v>
      </c>
      <c r="C6230" t="str">
        <f t="shared" si="2553"/>
        <v>0000804564</v>
      </c>
      <c r="D6230" t="str">
        <f t="shared" si="2541"/>
        <v>73185</v>
      </c>
      <c r="E6230" t="str">
        <f t="shared" si="2542"/>
        <v>KFH-OPERATIONS DEPARTMENT</v>
      </c>
      <c r="F6230" t="str">
        <f t="shared" si="2543"/>
        <v>IBG</v>
      </c>
      <c r="G6230" t="str">
        <f t="shared" si="2554"/>
        <v>Refund COSHARE 10</v>
      </c>
      <c r="H6230" s="2">
        <v>663.2</v>
      </c>
      <c r="I6230" t="str">
        <f>"MOHD RIZAL BIN MOHD NOR"</f>
        <v>MOHD RIZAL BIN MOHD NOR</v>
      </c>
      <c r="J6230" t="str">
        <f t="shared" si="2538"/>
        <v>CIMB BANK / CIMB ISLAMIC BANK</v>
      </c>
      <c r="K6230" t="str">
        <f>"7005309530"</f>
        <v>7005309530</v>
      </c>
      <c r="L6230" t="str">
        <f t="shared" si="2555"/>
        <v>04-08-2020</v>
      </c>
      <c r="M6230" t="str">
        <f t="shared" si="2555"/>
        <v>04-08-2020</v>
      </c>
      <c r="N6230" t="str">
        <f t="shared" si="2544"/>
        <v>001105018356</v>
      </c>
      <c r="O6230" t="str">
        <f t="shared" si="2545"/>
        <v>MYR</v>
      </c>
      <c r="P6230" t="str">
        <f t="shared" si="2556"/>
        <v>NIL</v>
      </c>
      <c r="Q6230" t="str">
        <f t="shared" si="2556"/>
        <v>NIL</v>
      </c>
      <c r="R6230" t="str">
        <f t="shared" si="2532"/>
        <v>Accepted</v>
      </c>
      <c r="S6230" t="str">
        <f t="shared" si="2546"/>
        <v>Approved</v>
      </c>
      <c r="T6230" t="str">
        <f t="shared" si="2533"/>
        <v>10.20.8.188</v>
      </c>
      <c r="U6230" t="str">
        <f t="shared" si="2547"/>
        <v>AZRAD UMAR BIN SHAARI</v>
      </c>
      <c r="V6230" t="str">
        <f t="shared" si="2548"/>
        <v>FARHANA BINTI MUSTAPA</v>
      </c>
      <c r="W6230" t="str">
        <f t="shared" si="2549"/>
        <v>04-08-2020</v>
      </c>
      <c r="X6230" t="str">
        <f t="shared" si="2550"/>
        <v>RAZIMAH ANSAR AHMAD</v>
      </c>
      <c r="Y6230" t="str">
        <f t="shared" si="2551"/>
        <v>04-08-2020</v>
      </c>
      <c r="Z6230" t="str">
        <f>"COS10200804 2924"</f>
        <v>COS10200804 2924</v>
      </c>
    </row>
    <row r="6231" spans="1:26" x14ac:dyDescent="0.25">
      <c r="A6231" t="str">
        <f t="shared" si="2552"/>
        <v>04-08-2020 12:40:28</v>
      </c>
      <c r="B6231" t="str">
        <f>"0000804687"</f>
        <v>0000804687</v>
      </c>
      <c r="C6231" t="str">
        <f t="shared" si="2553"/>
        <v>0000804564</v>
      </c>
      <c r="D6231" t="str">
        <f t="shared" si="2541"/>
        <v>73185</v>
      </c>
      <c r="E6231" t="str">
        <f t="shared" si="2542"/>
        <v>KFH-OPERATIONS DEPARTMENT</v>
      </c>
      <c r="F6231" t="str">
        <f t="shared" si="2543"/>
        <v>IBG</v>
      </c>
      <c r="G6231" t="str">
        <f t="shared" si="2554"/>
        <v>Refund COSHARE 10</v>
      </c>
      <c r="H6231" s="2">
        <v>100.75</v>
      </c>
      <c r="I6231" t="str">
        <f>"MOHD RIDZWAN BIN MOHD ZIN"</f>
        <v>MOHD RIDZWAN BIN MOHD ZIN</v>
      </c>
      <c r="J6231" t="str">
        <f t="shared" si="2538"/>
        <v>CIMB BANK / CIMB ISLAMIC BANK</v>
      </c>
      <c r="K6231" t="str">
        <f>"07180070641528"</f>
        <v>07180070641528</v>
      </c>
      <c r="L6231" t="str">
        <f t="shared" si="2555"/>
        <v>04-08-2020</v>
      </c>
      <c r="M6231" t="str">
        <f t="shared" si="2555"/>
        <v>04-08-2020</v>
      </c>
      <c r="N6231" t="str">
        <f t="shared" si="2544"/>
        <v>001105018356</v>
      </c>
      <c r="O6231" t="str">
        <f t="shared" si="2545"/>
        <v>MYR</v>
      </c>
      <c r="P6231" t="str">
        <f t="shared" si="2556"/>
        <v>NIL</v>
      </c>
      <c r="Q6231" t="str">
        <f t="shared" si="2556"/>
        <v>NIL</v>
      </c>
      <c r="R6231" t="str">
        <f t="shared" si="2532"/>
        <v>Accepted</v>
      </c>
      <c r="S6231" t="str">
        <f t="shared" si="2546"/>
        <v>Approved</v>
      </c>
      <c r="T6231" t="str">
        <f t="shared" si="2533"/>
        <v>10.20.8.188</v>
      </c>
      <c r="U6231" t="str">
        <f t="shared" si="2547"/>
        <v>AZRAD UMAR BIN SHAARI</v>
      </c>
      <c r="V6231" t="str">
        <f t="shared" si="2548"/>
        <v>FARHANA BINTI MUSTAPA</v>
      </c>
      <c r="W6231" t="str">
        <f t="shared" si="2549"/>
        <v>04-08-2020</v>
      </c>
      <c r="X6231" t="str">
        <f t="shared" si="2550"/>
        <v>RAZIMAH ANSAR AHMAD</v>
      </c>
      <c r="Y6231" t="str">
        <f t="shared" si="2551"/>
        <v>04-08-2020</v>
      </c>
      <c r="Z6231" t="str">
        <f>"COS10200804 2923"</f>
        <v>COS10200804 2923</v>
      </c>
    </row>
    <row r="6232" spans="1:26" x14ac:dyDescent="0.25">
      <c r="A6232" t="str">
        <f t="shared" si="2552"/>
        <v>04-08-2020 12:40:28</v>
      </c>
      <c r="B6232" t="str">
        <f>"0000804686"</f>
        <v>0000804686</v>
      </c>
      <c r="C6232" t="str">
        <f t="shared" si="2553"/>
        <v>0000804564</v>
      </c>
      <c r="D6232" t="str">
        <f t="shared" si="2541"/>
        <v>73185</v>
      </c>
      <c r="E6232" t="str">
        <f t="shared" si="2542"/>
        <v>KFH-OPERATIONS DEPARTMENT</v>
      </c>
      <c r="F6232" t="str">
        <f t="shared" si="2543"/>
        <v>IBG</v>
      </c>
      <c r="G6232" t="str">
        <f t="shared" si="2554"/>
        <v>Refund COSHARE 10</v>
      </c>
      <c r="H6232" s="2">
        <v>1091.3499999999999</v>
      </c>
      <c r="I6232" t="str">
        <f>"MOHD RIDZUWAN BIN MAMAT"</f>
        <v>MOHD RIDZUWAN BIN MAMAT</v>
      </c>
      <c r="J6232" t="str">
        <f t="shared" si="2538"/>
        <v>CIMB BANK / CIMB ISLAMIC BANK</v>
      </c>
      <c r="K6232" t="str">
        <f>"16010011843521"</f>
        <v>16010011843521</v>
      </c>
      <c r="L6232" t="str">
        <f t="shared" si="2555"/>
        <v>04-08-2020</v>
      </c>
      <c r="M6232" t="str">
        <f t="shared" si="2555"/>
        <v>04-08-2020</v>
      </c>
      <c r="N6232" t="str">
        <f t="shared" si="2544"/>
        <v>001105018356</v>
      </c>
      <c r="O6232" t="str">
        <f t="shared" si="2545"/>
        <v>MYR</v>
      </c>
      <c r="P6232" t="str">
        <f t="shared" si="2556"/>
        <v>NIL</v>
      </c>
      <c r="Q6232" t="str">
        <f t="shared" si="2556"/>
        <v>NIL</v>
      </c>
      <c r="R6232" t="str">
        <f t="shared" si="2532"/>
        <v>Accepted</v>
      </c>
      <c r="S6232" t="str">
        <f t="shared" si="2546"/>
        <v>Approved</v>
      </c>
      <c r="T6232" t="str">
        <f t="shared" si="2533"/>
        <v>10.20.8.188</v>
      </c>
      <c r="U6232" t="str">
        <f t="shared" si="2547"/>
        <v>AZRAD UMAR BIN SHAARI</v>
      </c>
      <c r="V6232" t="str">
        <f t="shared" si="2548"/>
        <v>FARHANA BINTI MUSTAPA</v>
      </c>
      <c r="W6232" t="str">
        <f t="shared" si="2549"/>
        <v>04-08-2020</v>
      </c>
      <c r="X6232" t="str">
        <f t="shared" si="2550"/>
        <v>RAZIMAH ANSAR AHMAD</v>
      </c>
      <c r="Y6232" t="str">
        <f t="shared" si="2551"/>
        <v>04-08-2020</v>
      </c>
      <c r="Z6232" t="str">
        <f>"COS10200804 2922"</f>
        <v>COS10200804 2922</v>
      </c>
    </row>
    <row r="6233" spans="1:26" x14ac:dyDescent="0.25">
      <c r="A6233" t="str">
        <f t="shared" si="2552"/>
        <v>04-08-2020 12:40:28</v>
      </c>
      <c r="B6233" t="str">
        <f>"0000804685"</f>
        <v>0000804685</v>
      </c>
      <c r="C6233" t="str">
        <f t="shared" si="2553"/>
        <v>0000804564</v>
      </c>
      <c r="D6233" t="str">
        <f t="shared" si="2541"/>
        <v>73185</v>
      </c>
      <c r="E6233" t="str">
        <f t="shared" si="2542"/>
        <v>KFH-OPERATIONS DEPARTMENT</v>
      </c>
      <c r="F6233" t="str">
        <f t="shared" si="2543"/>
        <v>IBG</v>
      </c>
      <c r="G6233" t="str">
        <f t="shared" si="2554"/>
        <v>Refund COSHARE 10</v>
      </c>
      <c r="H6233" s="2">
        <v>486.95</v>
      </c>
      <c r="I6233" t="str">
        <f>"MOHD REDZAL BIN MOHD ZAINURI"</f>
        <v>MOHD REDZAL BIN MOHD ZAINURI</v>
      </c>
      <c r="J6233" t="str">
        <f t="shared" si="2538"/>
        <v>CIMB BANK / CIMB ISLAMIC BANK</v>
      </c>
      <c r="K6233" t="str">
        <f>"12180092397522"</f>
        <v>12180092397522</v>
      </c>
      <c r="L6233" t="str">
        <f t="shared" si="2555"/>
        <v>04-08-2020</v>
      </c>
      <c r="M6233" t="str">
        <f t="shared" si="2555"/>
        <v>04-08-2020</v>
      </c>
      <c r="N6233" t="str">
        <f t="shared" si="2544"/>
        <v>001105018356</v>
      </c>
      <c r="O6233" t="str">
        <f t="shared" si="2545"/>
        <v>MYR</v>
      </c>
      <c r="P6233" t="str">
        <f t="shared" si="2556"/>
        <v>NIL</v>
      </c>
      <c r="Q6233" t="str">
        <f t="shared" si="2556"/>
        <v>NIL</v>
      </c>
      <c r="R6233" t="str">
        <f t="shared" si="2532"/>
        <v>Accepted</v>
      </c>
      <c r="S6233" t="str">
        <f t="shared" si="2546"/>
        <v>Approved</v>
      </c>
      <c r="T6233" t="str">
        <f t="shared" si="2533"/>
        <v>10.20.8.188</v>
      </c>
      <c r="U6233" t="str">
        <f t="shared" si="2547"/>
        <v>AZRAD UMAR BIN SHAARI</v>
      </c>
      <c r="V6233" t="str">
        <f t="shared" si="2548"/>
        <v>FARHANA BINTI MUSTAPA</v>
      </c>
      <c r="W6233" t="str">
        <f t="shared" si="2549"/>
        <v>04-08-2020</v>
      </c>
      <c r="X6233" t="str">
        <f t="shared" si="2550"/>
        <v>RAZIMAH ANSAR AHMAD</v>
      </c>
      <c r="Y6233" t="str">
        <f t="shared" si="2551"/>
        <v>04-08-2020</v>
      </c>
      <c r="Z6233" t="str">
        <f>"COS10200804 2921"</f>
        <v>COS10200804 2921</v>
      </c>
    </row>
    <row r="6234" spans="1:26" x14ac:dyDescent="0.25">
      <c r="A6234" t="str">
        <f t="shared" si="2552"/>
        <v>04-08-2020 12:40:28</v>
      </c>
      <c r="B6234" t="str">
        <f>"0000804684"</f>
        <v>0000804684</v>
      </c>
      <c r="C6234" t="str">
        <f t="shared" si="2553"/>
        <v>0000804564</v>
      </c>
      <c r="D6234" t="str">
        <f t="shared" si="2541"/>
        <v>73185</v>
      </c>
      <c r="E6234" t="str">
        <f t="shared" si="2542"/>
        <v>KFH-OPERATIONS DEPARTMENT</v>
      </c>
      <c r="F6234" t="str">
        <f t="shared" si="2543"/>
        <v>IBG</v>
      </c>
      <c r="G6234" t="str">
        <f t="shared" si="2554"/>
        <v>Refund COSHARE 10</v>
      </c>
      <c r="H6234" s="2">
        <v>83.95</v>
      </c>
      <c r="I6234" t="str">
        <f>"MOHD RAZIS BIN ESTAT"</f>
        <v>MOHD RAZIS BIN ESTAT</v>
      </c>
      <c r="J6234" t="str">
        <f t="shared" si="2538"/>
        <v>CIMB BANK / CIMB ISLAMIC BANK</v>
      </c>
      <c r="K6234" t="str">
        <f>"12170073069524"</f>
        <v>12170073069524</v>
      </c>
      <c r="L6234" t="str">
        <f t="shared" si="2555"/>
        <v>04-08-2020</v>
      </c>
      <c r="M6234" t="str">
        <f t="shared" si="2555"/>
        <v>04-08-2020</v>
      </c>
      <c r="N6234" t="str">
        <f t="shared" si="2544"/>
        <v>001105018356</v>
      </c>
      <c r="O6234" t="str">
        <f t="shared" si="2545"/>
        <v>MYR</v>
      </c>
      <c r="P6234" t="str">
        <f t="shared" si="2556"/>
        <v>NIL</v>
      </c>
      <c r="Q6234" t="str">
        <f t="shared" si="2556"/>
        <v>NIL</v>
      </c>
      <c r="R6234" t="str">
        <f t="shared" si="2532"/>
        <v>Accepted</v>
      </c>
      <c r="S6234" t="str">
        <f t="shared" si="2546"/>
        <v>Approved</v>
      </c>
      <c r="T6234" t="str">
        <f t="shared" si="2533"/>
        <v>10.20.8.188</v>
      </c>
      <c r="U6234" t="str">
        <f t="shared" si="2547"/>
        <v>AZRAD UMAR BIN SHAARI</v>
      </c>
      <c r="V6234" t="str">
        <f t="shared" si="2548"/>
        <v>FARHANA BINTI MUSTAPA</v>
      </c>
      <c r="W6234" t="str">
        <f t="shared" si="2549"/>
        <v>04-08-2020</v>
      </c>
      <c r="X6234" t="str">
        <f t="shared" si="2550"/>
        <v>RAZIMAH ANSAR AHMAD</v>
      </c>
      <c r="Y6234" t="str">
        <f t="shared" si="2551"/>
        <v>04-08-2020</v>
      </c>
      <c r="Z6234" t="str">
        <f>"COS10200804 2920"</f>
        <v>COS10200804 2920</v>
      </c>
    </row>
    <row r="6235" spans="1:26" x14ac:dyDescent="0.25">
      <c r="A6235" t="str">
        <f t="shared" si="2552"/>
        <v>04-08-2020 12:40:28</v>
      </c>
      <c r="B6235" t="str">
        <f>"0000804683"</f>
        <v>0000804683</v>
      </c>
      <c r="C6235" t="str">
        <f t="shared" si="2553"/>
        <v>0000804564</v>
      </c>
      <c r="D6235" t="str">
        <f t="shared" si="2541"/>
        <v>73185</v>
      </c>
      <c r="E6235" t="str">
        <f t="shared" si="2542"/>
        <v>KFH-OPERATIONS DEPARTMENT</v>
      </c>
      <c r="F6235" t="str">
        <f t="shared" si="2543"/>
        <v>IBG</v>
      </c>
      <c r="G6235" t="str">
        <f t="shared" si="2554"/>
        <v>Refund COSHARE 10</v>
      </c>
      <c r="H6235" s="2">
        <v>254.1</v>
      </c>
      <c r="I6235" t="str">
        <f>"MOHD RAZALI BIN MUSTAFAR"</f>
        <v>MOHD RAZALI BIN MUSTAFAR</v>
      </c>
      <c r="J6235" t="str">
        <f t="shared" si="2538"/>
        <v>CIMB BANK / CIMB ISLAMIC BANK</v>
      </c>
      <c r="K6235" t="str">
        <f>"06050013072058"</f>
        <v>06050013072058</v>
      </c>
      <c r="L6235" t="str">
        <f t="shared" si="2555"/>
        <v>04-08-2020</v>
      </c>
      <c r="M6235" t="str">
        <f t="shared" si="2555"/>
        <v>04-08-2020</v>
      </c>
      <c r="N6235" t="str">
        <f t="shared" si="2544"/>
        <v>001105018356</v>
      </c>
      <c r="O6235" t="str">
        <f t="shared" si="2545"/>
        <v>MYR</v>
      </c>
      <c r="P6235" t="str">
        <f t="shared" si="2556"/>
        <v>NIL</v>
      </c>
      <c r="Q6235" t="str">
        <f t="shared" si="2556"/>
        <v>NIL</v>
      </c>
      <c r="R6235" t="str">
        <f t="shared" si="2532"/>
        <v>Accepted</v>
      </c>
      <c r="S6235" t="str">
        <f t="shared" si="2546"/>
        <v>Approved</v>
      </c>
      <c r="T6235" t="str">
        <f t="shared" si="2533"/>
        <v>10.20.8.188</v>
      </c>
      <c r="U6235" t="str">
        <f t="shared" si="2547"/>
        <v>AZRAD UMAR BIN SHAARI</v>
      </c>
      <c r="V6235" t="str">
        <f t="shared" si="2548"/>
        <v>FARHANA BINTI MUSTAPA</v>
      </c>
      <c r="W6235" t="str">
        <f t="shared" si="2549"/>
        <v>04-08-2020</v>
      </c>
      <c r="X6235" t="str">
        <f t="shared" si="2550"/>
        <v>RAZIMAH ANSAR AHMAD</v>
      </c>
      <c r="Y6235" t="str">
        <f t="shared" si="2551"/>
        <v>04-08-2020</v>
      </c>
      <c r="Z6235" t="str">
        <f>"COS10200804 2919"</f>
        <v>COS10200804 2919</v>
      </c>
    </row>
    <row r="6236" spans="1:26" x14ac:dyDescent="0.25">
      <c r="A6236" t="str">
        <f t="shared" si="2552"/>
        <v>04-08-2020 12:40:28</v>
      </c>
      <c r="B6236" t="str">
        <f>"0000804682"</f>
        <v>0000804682</v>
      </c>
      <c r="C6236" t="str">
        <f t="shared" si="2553"/>
        <v>0000804564</v>
      </c>
      <c r="D6236" t="str">
        <f t="shared" si="2541"/>
        <v>73185</v>
      </c>
      <c r="E6236" t="str">
        <f t="shared" si="2542"/>
        <v>KFH-OPERATIONS DEPARTMENT</v>
      </c>
      <c r="F6236" t="str">
        <f t="shared" si="2543"/>
        <v>IBG</v>
      </c>
      <c r="G6236" t="str">
        <f t="shared" si="2554"/>
        <v>Refund COSHARE 10</v>
      </c>
      <c r="H6236" s="2">
        <v>395</v>
      </c>
      <c r="I6236" t="str">
        <f>"MOHD RAZALI BIN MAT AMIN"</f>
        <v>MOHD RAZALI BIN MAT AMIN</v>
      </c>
      <c r="J6236" t="str">
        <f t="shared" si="2538"/>
        <v>CIMB BANK / CIMB ISLAMIC BANK</v>
      </c>
      <c r="K6236" t="str">
        <f>"7019240447"</f>
        <v>7019240447</v>
      </c>
      <c r="L6236" t="str">
        <f t="shared" si="2555"/>
        <v>04-08-2020</v>
      </c>
      <c r="M6236" t="str">
        <f t="shared" si="2555"/>
        <v>04-08-2020</v>
      </c>
      <c r="N6236" t="str">
        <f t="shared" si="2544"/>
        <v>001105018356</v>
      </c>
      <c r="O6236" t="str">
        <f t="shared" si="2545"/>
        <v>MYR</v>
      </c>
      <c r="P6236" t="str">
        <f t="shared" si="2556"/>
        <v>NIL</v>
      </c>
      <c r="Q6236" t="str">
        <f t="shared" si="2556"/>
        <v>NIL</v>
      </c>
      <c r="R6236" t="str">
        <f t="shared" si="2532"/>
        <v>Accepted</v>
      </c>
      <c r="S6236" t="str">
        <f t="shared" si="2546"/>
        <v>Approved</v>
      </c>
      <c r="T6236" t="str">
        <f t="shared" si="2533"/>
        <v>10.20.8.188</v>
      </c>
      <c r="U6236" t="str">
        <f t="shared" si="2547"/>
        <v>AZRAD UMAR BIN SHAARI</v>
      </c>
      <c r="V6236" t="str">
        <f t="shared" si="2548"/>
        <v>FARHANA BINTI MUSTAPA</v>
      </c>
      <c r="W6236" t="str">
        <f t="shared" si="2549"/>
        <v>04-08-2020</v>
      </c>
      <c r="X6236" t="str">
        <f t="shared" si="2550"/>
        <v>RAZIMAH ANSAR AHMAD</v>
      </c>
      <c r="Y6236" t="str">
        <f t="shared" si="2551"/>
        <v>04-08-2020</v>
      </c>
      <c r="Z6236" t="str">
        <f>"COS10200804 2918"</f>
        <v>COS10200804 2918</v>
      </c>
    </row>
    <row r="6237" spans="1:26" x14ac:dyDescent="0.25">
      <c r="A6237" t="str">
        <f t="shared" si="2552"/>
        <v>04-08-2020 12:40:28</v>
      </c>
      <c r="B6237" t="str">
        <f>"0000804681"</f>
        <v>0000804681</v>
      </c>
      <c r="C6237" t="str">
        <f t="shared" si="2553"/>
        <v>0000804564</v>
      </c>
      <c r="D6237" t="str">
        <f t="shared" si="2541"/>
        <v>73185</v>
      </c>
      <c r="E6237" t="str">
        <f t="shared" si="2542"/>
        <v>KFH-OPERATIONS DEPARTMENT</v>
      </c>
      <c r="F6237" t="str">
        <f t="shared" si="2543"/>
        <v>IBG</v>
      </c>
      <c r="G6237" t="str">
        <f t="shared" si="2554"/>
        <v>Refund COSHARE 10</v>
      </c>
      <c r="H6237" s="2">
        <v>1200.5</v>
      </c>
      <c r="I6237" t="str">
        <f>"MOHD RAZALI BIN MAT AMIN"</f>
        <v>MOHD RAZALI BIN MAT AMIN</v>
      </c>
      <c r="J6237" t="str">
        <f t="shared" si="2538"/>
        <v>CIMB BANK / CIMB ISLAMIC BANK</v>
      </c>
      <c r="K6237" t="str">
        <f>"7019240447"</f>
        <v>7019240447</v>
      </c>
      <c r="L6237" t="str">
        <f t="shared" si="2555"/>
        <v>04-08-2020</v>
      </c>
      <c r="M6237" t="str">
        <f t="shared" si="2555"/>
        <v>04-08-2020</v>
      </c>
      <c r="N6237" t="str">
        <f t="shared" si="2544"/>
        <v>001105018356</v>
      </c>
      <c r="O6237" t="str">
        <f t="shared" si="2545"/>
        <v>MYR</v>
      </c>
      <c r="P6237" t="str">
        <f t="shared" si="2556"/>
        <v>NIL</v>
      </c>
      <c r="Q6237" t="str">
        <f t="shared" si="2556"/>
        <v>NIL</v>
      </c>
      <c r="R6237" t="str">
        <f t="shared" si="2532"/>
        <v>Accepted</v>
      </c>
      <c r="S6237" t="str">
        <f t="shared" si="2546"/>
        <v>Approved</v>
      </c>
      <c r="T6237" t="str">
        <f t="shared" si="2533"/>
        <v>10.20.8.188</v>
      </c>
      <c r="U6237" t="str">
        <f t="shared" si="2547"/>
        <v>AZRAD UMAR BIN SHAARI</v>
      </c>
      <c r="V6237" t="str">
        <f t="shared" si="2548"/>
        <v>FARHANA BINTI MUSTAPA</v>
      </c>
      <c r="W6237" t="str">
        <f t="shared" si="2549"/>
        <v>04-08-2020</v>
      </c>
      <c r="X6237" t="str">
        <f t="shared" si="2550"/>
        <v>RAZIMAH ANSAR AHMAD</v>
      </c>
      <c r="Y6237" t="str">
        <f t="shared" si="2551"/>
        <v>04-08-2020</v>
      </c>
      <c r="Z6237" t="str">
        <f>"COS10200804 2917"</f>
        <v>COS10200804 2917</v>
      </c>
    </row>
    <row r="6238" spans="1:26" x14ac:dyDescent="0.25">
      <c r="A6238" t="str">
        <f t="shared" si="2552"/>
        <v>04-08-2020 12:40:28</v>
      </c>
      <c r="B6238" t="str">
        <f>"0000804680"</f>
        <v>0000804680</v>
      </c>
      <c r="C6238" t="str">
        <f t="shared" si="2553"/>
        <v>0000804564</v>
      </c>
      <c r="D6238" t="str">
        <f t="shared" si="2541"/>
        <v>73185</v>
      </c>
      <c r="E6238" t="str">
        <f t="shared" si="2542"/>
        <v>KFH-OPERATIONS DEPARTMENT</v>
      </c>
      <c r="F6238" t="str">
        <f t="shared" si="2543"/>
        <v>IBG</v>
      </c>
      <c r="G6238" t="str">
        <f t="shared" si="2554"/>
        <v>Refund COSHARE 10</v>
      </c>
      <c r="H6238" s="2">
        <v>607</v>
      </c>
      <c r="I6238" t="str">
        <f>"MOHD RAJAIE BIN MD RAWI"</f>
        <v>MOHD RAJAIE BIN MD RAWI</v>
      </c>
      <c r="J6238" t="str">
        <f t="shared" si="2538"/>
        <v>CIMB BANK / CIMB ISLAMIC BANK</v>
      </c>
      <c r="K6238" t="str">
        <f>"11100074305525"</f>
        <v>11100074305525</v>
      </c>
      <c r="L6238" t="str">
        <f t="shared" si="2555"/>
        <v>04-08-2020</v>
      </c>
      <c r="M6238" t="str">
        <f t="shared" si="2555"/>
        <v>04-08-2020</v>
      </c>
      <c r="N6238" t="str">
        <f t="shared" si="2544"/>
        <v>001105018356</v>
      </c>
      <c r="O6238" t="str">
        <f t="shared" si="2545"/>
        <v>MYR</v>
      </c>
      <c r="P6238" t="str">
        <f t="shared" si="2556"/>
        <v>NIL</v>
      </c>
      <c r="Q6238" t="str">
        <f t="shared" si="2556"/>
        <v>NIL</v>
      </c>
      <c r="R6238" t="str">
        <f t="shared" si="2532"/>
        <v>Accepted</v>
      </c>
      <c r="S6238" t="str">
        <f t="shared" si="2546"/>
        <v>Approved</v>
      </c>
      <c r="T6238" t="str">
        <f t="shared" si="2533"/>
        <v>10.20.8.188</v>
      </c>
      <c r="U6238" t="str">
        <f t="shared" si="2547"/>
        <v>AZRAD UMAR BIN SHAARI</v>
      </c>
      <c r="V6238" t="str">
        <f t="shared" si="2548"/>
        <v>FARHANA BINTI MUSTAPA</v>
      </c>
      <c r="W6238" t="str">
        <f t="shared" si="2549"/>
        <v>04-08-2020</v>
      </c>
      <c r="X6238" t="str">
        <f t="shared" si="2550"/>
        <v>RAZIMAH ANSAR AHMAD</v>
      </c>
      <c r="Y6238" t="str">
        <f t="shared" si="2551"/>
        <v>04-08-2020</v>
      </c>
      <c r="Z6238" t="str">
        <f>"COS10200804 2916"</f>
        <v>COS10200804 2916</v>
      </c>
    </row>
    <row r="6239" spans="1:26" x14ac:dyDescent="0.25">
      <c r="A6239" t="str">
        <f t="shared" si="2552"/>
        <v>04-08-2020 12:40:28</v>
      </c>
      <c r="B6239" t="str">
        <f>"0000804679"</f>
        <v>0000804679</v>
      </c>
      <c r="C6239" t="str">
        <f t="shared" si="2553"/>
        <v>0000804564</v>
      </c>
      <c r="D6239" t="str">
        <f t="shared" si="2541"/>
        <v>73185</v>
      </c>
      <c r="E6239" t="str">
        <f t="shared" si="2542"/>
        <v>KFH-OPERATIONS DEPARTMENT</v>
      </c>
      <c r="F6239" t="str">
        <f t="shared" si="2543"/>
        <v>IBG</v>
      </c>
      <c r="G6239" t="str">
        <f t="shared" si="2554"/>
        <v>Refund COSHARE 10</v>
      </c>
      <c r="H6239" s="2">
        <v>83.95</v>
      </c>
      <c r="I6239" t="str">
        <f>"MOHD RADZUAN BIN ABDULLAH"</f>
        <v>MOHD RADZUAN BIN ABDULLAH</v>
      </c>
      <c r="J6239" t="str">
        <f t="shared" si="2538"/>
        <v>CIMB BANK / CIMB ISLAMIC BANK</v>
      </c>
      <c r="K6239" t="str">
        <f>"01230013001520"</f>
        <v>01230013001520</v>
      </c>
      <c r="L6239" t="str">
        <f t="shared" si="2555"/>
        <v>04-08-2020</v>
      </c>
      <c r="M6239" t="str">
        <f t="shared" si="2555"/>
        <v>04-08-2020</v>
      </c>
      <c r="N6239" t="str">
        <f t="shared" si="2544"/>
        <v>001105018356</v>
      </c>
      <c r="O6239" t="str">
        <f t="shared" si="2545"/>
        <v>MYR</v>
      </c>
      <c r="P6239" t="str">
        <f t="shared" si="2556"/>
        <v>NIL</v>
      </c>
      <c r="Q6239" t="str">
        <f t="shared" si="2556"/>
        <v>NIL</v>
      </c>
      <c r="R6239" t="str">
        <f t="shared" si="2532"/>
        <v>Accepted</v>
      </c>
      <c r="S6239" t="str">
        <f t="shared" si="2546"/>
        <v>Approved</v>
      </c>
      <c r="T6239" t="str">
        <f t="shared" si="2533"/>
        <v>10.20.8.188</v>
      </c>
      <c r="U6239" t="str">
        <f t="shared" si="2547"/>
        <v>AZRAD UMAR BIN SHAARI</v>
      </c>
      <c r="V6239" t="str">
        <f t="shared" si="2548"/>
        <v>FARHANA BINTI MUSTAPA</v>
      </c>
      <c r="W6239" t="str">
        <f t="shared" si="2549"/>
        <v>04-08-2020</v>
      </c>
      <c r="X6239" t="str">
        <f t="shared" si="2550"/>
        <v>RAZIMAH ANSAR AHMAD</v>
      </c>
      <c r="Y6239" t="str">
        <f t="shared" si="2551"/>
        <v>04-08-2020</v>
      </c>
      <c r="Z6239" t="str">
        <f>"COS10200804 2915"</f>
        <v>COS10200804 2915</v>
      </c>
    </row>
    <row r="6240" spans="1:26" x14ac:dyDescent="0.25">
      <c r="A6240" t="str">
        <f t="shared" si="2552"/>
        <v>04-08-2020 12:40:28</v>
      </c>
      <c r="B6240" t="str">
        <f>"0000804678"</f>
        <v>0000804678</v>
      </c>
      <c r="C6240" t="str">
        <f t="shared" si="2553"/>
        <v>0000804564</v>
      </c>
      <c r="D6240" t="str">
        <f t="shared" si="2541"/>
        <v>73185</v>
      </c>
      <c r="E6240" t="str">
        <f t="shared" si="2542"/>
        <v>KFH-OPERATIONS DEPARTMENT</v>
      </c>
      <c r="F6240" t="str">
        <f t="shared" si="2543"/>
        <v>IBG</v>
      </c>
      <c r="G6240" t="str">
        <f t="shared" si="2554"/>
        <v>Refund COSHARE 10</v>
      </c>
      <c r="H6240" s="2">
        <v>58.8</v>
      </c>
      <c r="I6240" t="str">
        <f>"MOHD NURUL NIZAM BIN BASRI"</f>
        <v>MOHD NURUL NIZAM BIN BASRI</v>
      </c>
      <c r="J6240" t="str">
        <f t="shared" si="2538"/>
        <v>CIMB BANK / CIMB ISLAMIC BANK</v>
      </c>
      <c r="K6240" t="str">
        <f>"14240061592522"</f>
        <v>14240061592522</v>
      </c>
      <c r="L6240" t="str">
        <f t="shared" si="2555"/>
        <v>04-08-2020</v>
      </c>
      <c r="M6240" t="str">
        <f t="shared" si="2555"/>
        <v>04-08-2020</v>
      </c>
      <c r="N6240" t="str">
        <f t="shared" si="2544"/>
        <v>001105018356</v>
      </c>
      <c r="O6240" t="str">
        <f t="shared" si="2545"/>
        <v>MYR</v>
      </c>
      <c r="P6240" t="str">
        <f t="shared" si="2556"/>
        <v>NIL</v>
      </c>
      <c r="Q6240" t="str">
        <f t="shared" si="2556"/>
        <v>NIL</v>
      </c>
      <c r="R6240" t="str">
        <f t="shared" si="2532"/>
        <v>Accepted</v>
      </c>
      <c r="S6240" t="str">
        <f t="shared" si="2546"/>
        <v>Approved</v>
      </c>
      <c r="T6240" t="str">
        <f t="shared" si="2533"/>
        <v>10.20.8.188</v>
      </c>
      <c r="U6240" t="str">
        <f t="shared" si="2547"/>
        <v>AZRAD UMAR BIN SHAARI</v>
      </c>
      <c r="V6240" t="str">
        <f t="shared" si="2548"/>
        <v>FARHANA BINTI MUSTAPA</v>
      </c>
      <c r="W6240" t="str">
        <f t="shared" si="2549"/>
        <v>04-08-2020</v>
      </c>
      <c r="X6240" t="str">
        <f t="shared" si="2550"/>
        <v>RAZIMAH ANSAR AHMAD</v>
      </c>
      <c r="Y6240" t="str">
        <f t="shared" si="2551"/>
        <v>04-08-2020</v>
      </c>
      <c r="Z6240" t="str">
        <f>"COS10200804 2914"</f>
        <v>COS10200804 2914</v>
      </c>
    </row>
    <row r="6241" spans="1:26" x14ac:dyDescent="0.25">
      <c r="A6241" t="str">
        <f t="shared" si="2552"/>
        <v>04-08-2020 12:40:28</v>
      </c>
      <c r="B6241" t="str">
        <f>"0000804677"</f>
        <v>0000804677</v>
      </c>
      <c r="C6241" t="str">
        <f t="shared" si="2553"/>
        <v>0000804564</v>
      </c>
      <c r="D6241" t="str">
        <f t="shared" si="2541"/>
        <v>73185</v>
      </c>
      <c r="E6241" t="str">
        <f t="shared" si="2542"/>
        <v>KFH-OPERATIONS DEPARTMENT</v>
      </c>
      <c r="F6241" t="str">
        <f t="shared" si="2543"/>
        <v>IBG</v>
      </c>
      <c r="G6241" t="str">
        <f t="shared" si="2554"/>
        <v>Refund COSHARE 10</v>
      </c>
      <c r="H6241" s="2">
        <v>461.75</v>
      </c>
      <c r="I6241" t="str">
        <f>"MOHD NOR BIN KAMALUDIN"</f>
        <v>MOHD NOR BIN KAMALUDIN</v>
      </c>
      <c r="J6241" t="str">
        <f t="shared" si="2538"/>
        <v>CIMB BANK / CIMB ISLAMIC BANK</v>
      </c>
      <c r="K6241" t="str">
        <f>"12530025013522"</f>
        <v>12530025013522</v>
      </c>
      <c r="L6241" t="str">
        <f t="shared" si="2555"/>
        <v>04-08-2020</v>
      </c>
      <c r="M6241" t="str">
        <f t="shared" si="2555"/>
        <v>04-08-2020</v>
      </c>
      <c r="N6241" t="str">
        <f t="shared" si="2544"/>
        <v>001105018356</v>
      </c>
      <c r="O6241" t="str">
        <f t="shared" si="2545"/>
        <v>MYR</v>
      </c>
      <c r="P6241" t="str">
        <f t="shared" si="2556"/>
        <v>NIL</v>
      </c>
      <c r="Q6241" t="str">
        <f t="shared" si="2556"/>
        <v>NIL</v>
      </c>
      <c r="R6241" t="str">
        <f t="shared" si="2532"/>
        <v>Accepted</v>
      </c>
      <c r="S6241" t="str">
        <f t="shared" si="2546"/>
        <v>Approved</v>
      </c>
      <c r="T6241" t="str">
        <f t="shared" si="2533"/>
        <v>10.20.8.188</v>
      </c>
      <c r="U6241" t="str">
        <f t="shared" si="2547"/>
        <v>AZRAD UMAR BIN SHAARI</v>
      </c>
      <c r="V6241" t="str">
        <f t="shared" si="2548"/>
        <v>FARHANA BINTI MUSTAPA</v>
      </c>
      <c r="W6241" t="str">
        <f t="shared" si="2549"/>
        <v>04-08-2020</v>
      </c>
      <c r="X6241" t="str">
        <f t="shared" si="2550"/>
        <v>RAZIMAH ANSAR AHMAD</v>
      </c>
      <c r="Y6241" t="str">
        <f t="shared" si="2551"/>
        <v>04-08-2020</v>
      </c>
      <c r="Z6241" t="str">
        <f>"COS10200804 2913"</f>
        <v>COS10200804 2913</v>
      </c>
    </row>
    <row r="6242" spans="1:26" x14ac:dyDescent="0.25">
      <c r="A6242" t="str">
        <f t="shared" si="2552"/>
        <v>04-08-2020 12:40:28</v>
      </c>
      <c r="B6242" t="str">
        <f>"0000804676"</f>
        <v>0000804676</v>
      </c>
      <c r="C6242" t="str">
        <f t="shared" si="2553"/>
        <v>0000804564</v>
      </c>
      <c r="D6242" t="str">
        <f t="shared" si="2541"/>
        <v>73185</v>
      </c>
      <c r="E6242" t="str">
        <f t="shared" si="2542"/>
        <v>KFH-OPERATIONS DEPARTMENT</v>
      </c>
      <c r="F6242" t="str">
        <f t="shared" si="2543"/>
        <v>IBG</v>
      </c>
      <c r="G6242" t="str">
        <f t="shared" si="2554"/>
        <v>Refund COSHARE 10</v>
      </c>
      <c r="H6242" s="2">
        <v>320.41000000000003</v>
      </c>
      <c r="I6242" t="str">
        <f>"MOHD NOR ALIAS BIN MOHAMMED JAIS"</f>
        <v>MOHD NOR ALIAS BIN MOHAMMED JAIS</v>
      </c>
      <c r="J6242" t="str">
        <f t="shared" si="2538"/>
        <v>CIMB BANK / CIMB ISLAMIC BANK</v>
      </c>
      <c r="K6242" t="str">
        <f>"7013549768"</f>
        <v>7013549768</v>
      </c>
      <c r="L6242" t="str">
        <f t="shared" si="2555"/>
        <v>04-08-2020</v>
      </c>
      <c r="M6242" t="str">
        <f t="shared" si="2555"/>
        <v>04-08-2020</v>
      </c>
      <c r="N6242" t="str">
        <f t="shared" si="2544"/>
        <v>001105018356</v>
      </c>
      <c r="O6242" t="str">
        <f t="shared" si="2545"/>
        <v>MYR</v>
      </c>
      <c r="P6242" t="str">
        <f t="shared" si="2556"/>
        <v>NIL</v>
      </c>
      <c r="Q6242" t="str">
        <f t="shared" si="2556"/>
        <v>NIL</v>
      </c>
      <c r="R6242" t="str">
        <f t="shared" ref="R6242:R6305" si="2557">"Accepted"</f>
        <v>Accepted</v>
      </c>
      <c r="S6242" t="str">
        <f t="shared" si="2546"/>
        <v>Approved</v>
      </c>
      <c r="T6242" t="str">
        <f t="shared" ref="T6242:T6305" si="2558">"10.20.8.188"</f>
        <v>10.20.8.188</v>
      </c>
      <c r="U6242" t="str">
        <f t="shared" si="2547"/>
        <v>AZRAD UMAR BIN SHAARI</v>
      </c>
      <c r="V6242" t="str">
        <f t="shared" si="2548"/>
        <v>FARHANA BINTI MUSTAPA</v>
      </c>
      <c r="W6242" t="str">
        <f t="shared" si="2549"/>
        <v>04-08-2020</v>
      </c>
      <c r="X6242" t="str">
        <f t="shared" si="2550"/>
        <v>RAZIMAH ANSAR AHMAD</v>
      </c>
      <c r="Y6242" t="str">
        <f t="shared" si="2551"/>
        <v>04-08-2020</v>
      </c>
      <c r="Z6242" t="str">
        <f>"COS10200804 2912"</f>
        <v>COS10200804 2912</v>
      </c>
    </row>
    <row r="6243" spans="1:26" x14ac:dyDescent="0.25">
      <c r="A6243" t="str">
        <f t="shared" si="2552"/>
        <v>04-08-2020 12:40:28</v>
      </c>
      <c r="B6243" t="str">
        <f>"0000804675"</f>
        <v>0000804675</v>
      </c>
      <c r="C6243" t="str">
        <f t="shared" si="2553"/>
        <v>0000804564</v>
      </c>
      <c r="D6243" t="str">
        <f t="shared" si="2541"/>
        <v>73185</v>
      </c>
      <c r="E6243" t="str">
        <f t="shared" si="2542"/>
        <v>KFH-OPERATIONS DEPARTMENT</v>
      </c>
      <c r="F6243" t="str">
        <f t="shared" si="2543"/>
        <v>IBG</v>
      </c>
      <c r="G6243" t="str">
        <f t="shared" si="2554"/>
        <v>Refund COSHARE 10</v>
      </c>
      <c r="H6243" s="2">
        <v>419.75</v>
      </c>
      <c r="I6243" t="str">
        <f>"MOHD NOOR HAFIZ BIN MOHD YUSOF"</f>
        <v>MOHD NOOR HAFIZ BIN MOHD YUSOF</v>
      </c>
      <c r="J6243" t="str">
        <f t="shared" si="2538"/>
        <v>CIMB BANK / CIMB ISLAMIC BANK</v>
      </c>
      <c r="K6243" t="str">
        <f>"02060070468528"</f>
        <v>02060070468528</v>
      </c>
      <c r="L6243" t="str">
        <f t="shared" si="2555"/>
        <v>04-08-2020</v>
      </c>
      <c r="M6243" t="str">
        <f t="shared" si="2555"/>
        <v>04-08-2020</v>
      </c>
      <c r="N6243" t="str">
        <f t="shared" si="2544"/>
        <v>001105018356</v>
      </c>
      <c r="O6243" t="str">
        <f t="shared" si="2545"/>
        <v>MYR</v>
      </c>
      <c r="P6243" t="str">
        <f t="shared" si="2556"/>
        <v>NIL</v>
      </c>
      <c r="Q6243" t="str">
        <f t="shared" si="2556"/>
        <v>NIL</v>
      </c>
      <c r="R6243" t="str">
        <f t="shared" si="2557"/>
        <v>Accepted</v>
      </c>
      <c r="S6243" t="str">
        <f t="shared" si="2546"/>
        <v>Approved</v>
      </c>
      <c r="T6243" t="str">
        <f t="shared" si="2558"/>
        <v>10.20.8.188</v>
      </c>
      <c r="U6243" t="str">
        <f t="shared" si="2547"/>
        <v>AZRAD UMAR BIN SHAARI</v>
      </c>
      <c r="V6243" t="str">
        <f t="shared" si="2548"/>
        <v>FARHANA BINTI MUSTAPA</v>
      </c>
      <c r="W6243" t="str">
        <f t="shared" si="2549"/>
        <v>04-08-2020</v>
      </c>
      <c r="X6243" t="str">
        <f t="shared" si="2550"/>
        <v>RAZIMAH ANSAR AHMAD</v>
      </c>
      <c r="Y6243" t="str">
        <f t="shared" si="2551"/>
        <v>04-08-2020</v>
      </c>
      <c r="Z6243" t="str">
        <f>"COS10200804 2911"</f>
        <v>COS10200804 2911</v>
      </c>
    </row>
    <row r="6244" spans="1:26" x14ac:dyDescent="0.25">
      <c r="A6244" t="str">
        <f t="shared" si="2552"/>
        <v>04-08-2020 12:40:28</v>
      </c>
      <c r="B6244" t="str">
        <f>"0000804674"</f>
        <v>0000804674</v>
      </c>
      <c r="C6244" t="str">
        <f t="shared" si="2553"/>
        <v>0000804564</v>
      </c>
      <c r="D6244" t="str">
        <f t="shared" si="2541"/>
        <v>73185</v>
      </c>
      <c r="E6244" t="str">
        <f t="shared" si="2542"/>
        <v>KFH-OPERATIONS DEPARTMENT</v>
      </c>
      <c r="F6244" t="str">
        <f t="shared" si="2543"/>
        <v>IBG</v>
      </c>
      <c r="G6244" t="str">
        <f t="shared" si="2554"/>
        <v>Refund COSHARE 10</v>
      </c>
      <c r="H6244" s="2">
        <v>336</v>
      </c>
      <c r="I6244" t="str">
        <f>"MOHD NOOR FAZLI BIN MAMAT"</f>
        <v>MOHD NOOR FAZLI BIN MAMAT</v>
      </c>
      <c r="J6244" t="str">
        <f t="shared" si="2538"/>
        <v>CIMB BANK / CIMB ISLAMIC BANK</v>
      </c>
      <c r="K6244" t="str">
        <f>"06050071071520"</f>
        <v>06050071071520</v>
      </c>
      <c r="L6244" t="str">
        <f t="shared" si="2555"/>
        <v>04-08-2020</v>
      </c>
      <c r="M6244" t="str">
        <f t="shared" si="2555"/>
        <v>04-08-2020</v>
      </c>
      <c r="N6244" t="str">
        <f t="shared" si="2544"/>
        <v>001105018356</v>
      </c>
      <c r="O6244" t="str">
        <f t="shared" si="2545"/>
        <v>MYR</v>
      </c>
      <c r="P6244" t="str">
        <f t="shared" si="2556"/>
        <v>NIL</v>
      </c>
      <c r="Q6244" t="str">
        <f t="shared" si="2556"/>
        <v>NIL</v>
      </c>
      <c r="R6244" t="str">
        <f t="shared" si="2557"/>
        <v>Accepted</v>
      </c>
      <c r="S6244" t="str">
        <f t="shared" si="2546"/>
        <v>Approved</v>
      </c>
      <c r="T6244" t="str">
        <f t="shared" si="2558"/>
        <v>10.20.8.188</v>
      </c>
      <c r="U6244" t="str">
        <f t="shared" si="2547"/>
        <v>AZRAD UMAR BIN SHAARI</v>
      </c>
      <c r="V6244" t="str">
        <f t="shared" si="2548"/>
        <v>FARHANA BINTI MUSTAPA</v>
      </c>
      <c r="W6244" t="str">
        <f t="shared" si="2549"/>
        <v>04-08-2020</v>
      </c>
      <c r="X6244" t="str">
        <f t="shared" si="2550"/>
        <v>RAZIMAH ANSAR AHMAD</v>
      </c>
      <c r="Y6244" t="str">
        <f t="shared" si="2551"/>
        <v>04-08-2020</v>
      </c>
      <c r="Z6244" t="str">
        <f>"COS10200804 2910"</f>
        <v>COS10200804 2910</v>
      </c>
    </row>
    <row r="6245" spans="1:26" x14ac:dyDescent="0.25">
      <c r="A6245" t="str">
        <f t="shared" si="2552"/>
        <v>04-08-2020 12:40:28</v>
      </c>
      <c r="B6245" t="str">
        <f>"0000804673"</f>
        <v>0000804673</v>
      </c>
      <c r="C6245" t="str">
        <f t="shared" si="2553"/>
        <v>0000804564</v>
      </c>
      <c r="D6245" t="str">
        <f t="shared" si="2541"/>
        <v>73185</v>
      </c>
      <c r="E6245" t="str">
        <f t="shared" si="2542"/>
        <v>KFH-OPERATIONS DEPARTMENT</v>
      </c>
      <c r="F6245" t="str">
        <f t="shared" si="2543"/>
        <v>IBG</v>
      </c>
      <c r="G6245" t="str">
        <f t="shared" si="2554"/>
        <v>Refund COSHARE 10</v>
      </c>
      <c r="H6245" s="2">
        <v>304</v>
      </c>
      <c r="I6245" t="str">
        <f>"MOHD NOOR EFFENDY BIN RUSMI"</f>
        <v>MOHD NOOR EFFENDY BIN RUSMI</v>
      </c>
      <c r="J6245" t="str">
        <f t="shared" si="2538"/>
        <v>CIMB BANK / CIMB ISLAMIC BANK</v>
      </c>
      <c r="K6245" t="str">
        <f>"05120000663208"</f>
        <v>05120000663208</v>
      </c>
      <c r="L6245" t="str">
        <f t="shared" si="2555"/>
        <v>04-08-2020</v>
      </c>
      <c r="M6245" t="str">
        <f t="shared" si="2555"/>
        <v>04-08-2020</v>
      </c>
      <c r="N6245" t="str">
        <f t="shared" si="2544"/>
        <v>001105018356</v>
      </c>
      <c r="O6245" t="str">
        <f t="shared" si="2545"/>
        <v>MYR</v>
      </c>
      <c r="P6245" t="str">
        <f t="shared" si="2556"/>
        <v>NIL</v>
      </c>
      <c r="Q6245" t="str">
        <f t="shared" si="2556"/>
        <v>NIL</v>
      </c>
      <c r="R6245" t="str">
        <f t="shared" si="2557"/>
        <v>Accepted</v>
      </c>
      <c r="S6245" t="str">
        <f t="shared" si="2546"/>
        <v>Approved</v>
      </c>
      <c r="T6245" t="str">
        <f t="shared" si="2558"/>
        <v>10.20.8.188</v>
      </c>
      <c r="U6245" t="str">
        <f t="shared" si="2547"/>
        <v>AZRAD UMAR BIN SHAARI</v>
      </c>
      <c r="V6245" t="str">
        <f t="shared" si="2548"/>
        <v>FARHANA BINTI MUSTAPA</v>
      </c>
      <c r="W6245" t="str">
        <f t="shared" si="2549"/>
        <v>04-08-2020</v>
      </c>
      <c r="X6245" t="str">
        <f t="shared" si="2550"/>
        <v>RAZIMAH ANSAR AHMAD</v>
      </c>
      <c r="Y6245" t="str">
        <f t="shared" si="2551"/>
        <v>04-08-2020</v>
      </c>
      <c r="Z6245" t="str">
        <f>"COS10200804 2909"</f>
        <v>COS10200804 2909</v>
      </c>
    </row>
    <row r="6246" spans="1:26" x14ac:dyDescent="0.25">
      <c r="A6246" t="str">
        <f t="shared" si="2552"/>
        <v>04-08-2020 12:40:28</v>
      </c>
      <c r="B6246" t="str">
        <f>"0000804672"</f>
        <v>0000804672</v>
      </c>
      <c r="C6246" t="str">
        <f t="shared" si="2553"/>
        <v>0000804564</v>
      </c>
      <c r="D6246" t="str">
        <f t="shared" si="2541"/>
        <v>73185</v>
      </c>
      <c r="E6246" t="str">
        <f t="shared" si="2542"/>
        <v>KFH-OPERATIONS DEPARTMENT</v>
      </c>
      <c r="F6246" t="str">
        <f t="shared" si="2543"/>
        <v>IBG</v>
      </c>
      <c r="G6246" t="str">
        <f t="shared" si="2554"/>
        <v>Refund COSHARE 10</v>
      </c>
      <c r="H6246" s="2">
        <v>151.15</v>
      </c>
      <c r="I6246" t="str">
        <f>"MOHD NAZRIN BIN MOHD NASIR"</f>
        <v>MOHD NAZRIN BIN MOHD NASIR</v>
      </c>
      <c r="J6246" t="str">
        <f t="shared" si="2538"/>
        <v>CIMB BANK / CIMB ISLAMIC BANK</v>
      </c>
      <c r="K6246" t="str">
        <f>"12051394911522"</f>
        <v>12051394911522</v>
      </c>
      <c r="L6246" t="str">
        <f t="shared" si="2555"/>
        <v>04-08-2020</v>
      </c>
      <c r="M6246" t="str">
        <f t="shared" si="2555"/>
        <v>04-08-2020</v>
      </c>
      <c r="N6246" t="str">
        <f t="shared" si="2544"/>
        <v>001105018356</v>
      </c>
      <c r="O6246" t="str">
        <f t="shared" si="2545"/>
        <v>MYR</v>
      </c>
      <c r="P6246" t="str">
        <f t="shared" si="2556"/>
        <v>NIL</v>
      </c>
      <c r="Q6246" t="str">
        <f t="shared" si="2556"/>
        <v>NIL</v>
      </c>
      <c r="R6246" t="str">
        <f t="shared" si="2557"/>
        <v>Accepted</v>
      </c>
      <c r="S6246" t="str">
        <f t="shared" si="2546"/>
        <v>Approved</v>
      </c>
      <c r="T6246" t="str">
        <f t="shared" si="2558"/>
        <v>10.20.8.188</v>
      </c>
      <c r="U6246" t="str">
        <f t="shared" si="2547"/>
        <v>AZRAD UMAR BIN SHAARI</v>
      </c>
      <c r="V6246" t="str">
        <f t="shared" si="2548"/>
        <v>FARHANA BINTI MUSTAPA</v>
      </c>
      <c r="W6246" t="str">
        <f t="shared" si="2549"/>
        <v>04-08-2020</v>
      </c>
      <c r="X6246" t="str">
        <f t="shared" si="2550"/>
        <v>RAZIMAH ANSAR AHMAD</v>
      </c>
      <c r="Y6246" t="str">
        <f t="shared" si="2551"/>
        <v>04-08-2020</v>
      </c>
      <c r="Z6246" t="str">
        <f>"COS10200804 2908"</f>
        <v>COS10200804 2908</v>
      </c>
    </row>
    <row r="6247" spans="1:26" x14ac:dyDescent="0.25">
      <c r="A6247" t="str">
        <f t="shared" si="2552"/>
        <v>04-08-2020 12:40:28</v>
      </c>
      <c r="B6247" t="str">
        <f>"0000804671"</f>
        <v>0000804671</v>
      </c>
      <c r="C6247" t="str">
        <f t="shared" si="2553"/>
        <v>0000804564</v>
      </c>
      <c r="D6247" t="str">
        <f t="shared" si="2541"/>
        <v>73185</v>
      </c>
      <c r="E6247" t="str">
        <f t="shared" si="2542"/>
        <v>KFH-OPERATIONS DEPARTMENT</v>
      </c>
      <c r="F6247" t="str">
        <f t="shared" si="2543"/>
        <v>IBG</v>
      </c>
      <c r="G6247" t="str">
        <f t="shared" si="2554"/>
        <v>Refund COSHARE 10</v>
      </c>
      <c r="H6247" s="2">
        <v>142.75</v>
      </c>
      <c r="I6247" t="str">
        <f>"MOHD NAZRI BIN YUSOF"</f>
        <v>MOHD NAZRI BIN YUSOF</v>
      </c>
      <c r="J6247" t="str">
        <f t="shared" si="2538"/>
        <v>CIMB BANK / CIMB ISLAMIC BANK</v>
      </c>
      <c r="K6247" t="str">
        <f>"12190073936526"</f>
        <v>12190073936526</v>
      </c>
      <c r="L6247" t="str">
        <f t="shared" ref="L6247:M6266" si="2559">"04-08-2020"</f>
        <v>04-08-2020</v>
      </c>
      <c r="M6247" t="str">
        <f t="shared" si="2559"/>
        <v>04-08-2020</v>
      </c>
      <c r="N6247" t="str">
        <f t="shared" si="2544"/>
        <v>001105018356</v>
      </c>
      <c r="O6247" t="str">
        <f t="shared" si="2545"/>
        <v>MYR</v>
      </c>
      <c r="P6247" t="str">
        <f t="shared" ref="P6247:Q6266" si="2560">"NIL"</f>
        <v>NIL</v>
      </c>
      <c r="Q6247" t="str">
        <f t="shared" si="2560"/>
        <v>NIL</v>
      </c>
      <c r="R6247" t="str">
        <f t="shared" si="2557"/>
        <v>Accepted</v>
      </c>
      <c r="S6247" t="str">
        <f t="shared" si="2546"/>
        <v>Approved</v>
      </c>
      <c r="T6247" t="str">
        <f t="shared" si="2558"/>
        <v>10.20.8.188</v>
      </c>
      <c r="U6247" t="str">
        <f t="shared" si="2547"/>
        <v>AZRAD UMAR BIN SHAARI</v>
      </c>
      <c r="V6247" t="str">
        <f t="shared" si="2548"/>
        <v>FARHANA BINTI MUSTAPA</v>
      </c>
      <c r="W6247" t="str">
        <f t="shared" si="2549"/>
        <v>04-08-2020</v>
      </c>
      <c r="X6247" t="str">
        <f t="shared" si="2550"/>
        <v>RAZIMAH ANSAR AHMAD</v>
      </c>
      <c r="Y6247" t="str">
        <f t="shared" si="2551"/>
        <v>04-08-2020</v>
      </c>
      <c r="Z6247" t="str">
        <f>"COS10200804 2907"</f>
        <v>COS10200804 2907</v>
      </c>
    </row>
    <row r="6248" spans="1:26" x14ac:dyDescent="0.25">
      <c r="A6248" t="str">
        <f t="shared" si="2552"/>
        <v>04-08-2020 12:40:28</v>
      </c>
      <c r="B6248" t="str">
        <f>"0000804670"</f>
        <v>0000804670</v>
      </c>
      <c r="C6248" t="str">
        <f t="shared" si="2553"/>
        <v>0000804564</v>
      </c>
      <c r="D6248" t="str">
        <f t="shared" si="2541"/>
        <v>73185</v>
      </c>
      <c r="E6248" t="str">
        <f t="shared" si="2542"/>
        <v>KFH-OPERATIONS DEPARTMENT</v>
      </c>
      <c r="F6248" t="str">
        <f t="shared" si="2543"/>
        <v>IBG</v>
      </c>
      <c r="G6248" t="str">
        <f t="shared" si="2554"/>
        <v>Refund COSHARE 10</v>
      </c>
      <c r="H6248" s="2">
        <v>1662.2</v>
      </c>
      <c r="I6248" t="str">
        <f>"MOHD NASARUDDIN BIN MUHAMED"</f>
        <v>MOHD NASARUDDIN BIN MUHAMED</v>
      </c>
      <c r="J6248" t="str">
        <f t="shared" si="2538"/>
        <v>CIMB BANK / CIMB ISLAMIC BANK</v>
      </c>
      <c r="K6248" t="str">
        <f>"01170064064528"</f>
        <v>01170064064528</v>
      </c>
      <c r="L6248" t="str">
        <f t="shared" si="2559"/>
        <v>04-08-2020</v>
      </c>
      <c r="M6248" t="str">
        <f t="shared" si="2559"/>
        <v>04-08-2020</v>
      </c>
      <c r="N6248" t="str">
        <f t="shared" si="2544"/>
        <v>001105018356</v>
      </c>
      <c r="O6248" t="str">
        <f t="shared" si="2545"/>
        <v>MYR</v>
      </c>
      <c r="P6248" t="str">
        <f t="shared" si="2560"/>
        <v>NIL</v>
      </c>
      <c r="Q6248" t="str">
        <f t="shared" si="2560"/>
        <v>NIL</v>
      </c>
      <c r="R6248" t="str">
        <f t="shared" si="2557"/>
        <v>Accepted</v>
      </c>
      <c r="S6248" t="str">
        <f t="shared" si="2546"/>
        <v>Approved</v>
      </c>
      <c r="T6248" t="str">
        <f t="shared" si="2558"/>
        <v>10.20.8.188</v>
      </c>
      <c r="U6248" t="str">
        <f t="shared" si="2547"/>
        <v>AZRAD UMAR BIN SHAARI</v>
      </c>
      <c r="V6248" t="str">
        <f t="shared" si="2548"/>
        <v>FARHANA BINTI MUSTAPA</v>
      </c>
      <c r="W6248" t="str">
        <f t="shared" si="2549"/>
        <v>04-08-2020</v>
      </c>
      <c r="X6248" t="str">
        <f t="shared" si="2550"/>
        <v>RAZIMAH ANSAR AHMAD</v>
      </c>
      <c r="Y6248" t="str">
        <f t="shared" si="2551"/>
        <v>04-08-2020</v>
      </c>
      <c r="Z6248" t="str">
        <f>"COS10200804 2906"</f>
        <v>COS10200804 2906</v>
      </c>
    </row>
    <row r="6249" spans="1:26" x14ac:dyDescent="0.25">
      <c r="A6249" t="str">
        <f t="shared" si="2552"/>
        <v>04-08-2020 12:40:28</v>
      </c>
      <c r="B6249" t="str">
        <f>"0000804669"</f>
        <v>0000804669</v>
      </c>
      <c r="C6249" t="str">
        <f t="shared" si="2553"/>
        <v>0000804564</v>
      </c>
      <c r="D6249" t="str">
        <f t="shared" si="2541"/>
        <v>73185</v>
      </c>
      <c r="E6249" t="str">
        <f t="shared" si="2542"/>
        <v>KFH-OPERATIONS DEPARTMENT</v>
      </c>
      <c r="F6249" t="str">
        <f t="shared" si="2543"/>
        <v>IBG</v>
      </c>
      <c r="G6249" t="str">
        <f t="shared" si="2554"/>
        <v>Refund COSHARE 10</v>
      </c>
      <c r="H6249" s="2">
        <v>134.35</v>
      </c>
      <c r="I6249" t="str">
        <f>"MOHD NAJIB BIN ZAINAL ABIDIN"</f>
        <v>MOHD NAJIB BIN ZAINAL ABIDIN</v>
      </c>
      <c r="J6249" t="str">
        <f t="shared" si="2538"/>
        <v>CIMB BANK / CIMB ISLAMIC BANK</v>
      </c>
      <c r="K6249" t="str">
        <f>"05060166047526"</f>
        <v>05060166047526</v>
      </c>
      <c r="L6249" t="str">
        <f t="shared" si="2559"/>
        <v>04-08-2020</v>
      </c>
      <c r="M6249" t="str">
        <f t="shared" si="2559"/>
        <v>04-08-2020</v>
      </c>
      <c r="N6249" t="str">
        <f t="shared" si="2544"/>
        <v>001105018356</v>
      </c>
      <c r="O6249" t="str">
        <f t="shared" si="2545"/>
        <v>MYR</v>
      </c>
      <c r="P6249" t="str">
        <f t="shared" si="2560"/>
        <v>NIL</v>
      </c>
      <c r="Q6249" t="str">
        <f t="shared" si="2560"/>
        <v>NIL</v>
      </c>
      <c r="R6249" t="str">
        <f t="shared" si="2557"/>
        <v>Accepted</v>
      </c>
      <c r="S6249" t="str">
        <f t="shared" si="2546"/>
        <v>Approved</v>
      </c>
      <c r="T6249" t="str">
        <f t="shared" si="2558"/>
        <v>10.20.8.188</v>
      </c>
      <c r="U6249" t="str">
        <f t="shared" si="2547"/>
        <v>AZRAD UMAR BIN SHAARI</v>
      </c>
      <c r="V6249" t="str">
        <f t="shared" si="2548"/>
        <v>FARHANA BINTI MUSTAPA</v>
      </c>
      <c r="W6249" t="str">
        <f t="shared" si="2549"/>
        <v>04-08-2020</v>
      </c>
      <c r="X6249" t="str">
        <f t="shared" si="2550"/>
        <v>RAZIMAH ANSAR AHMAD</v>
      </c>
      <c r="Y6249" t="str">
        <f t="shared" si="2551"/>
        <v>04-08-2020</v>
      </c>
      <c r="Z6249" t="str">
        <f>"COS10200804 2905"</f>
        <v>COS10200804 2905</v>
      </c>
    </row>
    <row r="6250" spans="1:26" x14ac:dyDescent="0.25">
      <c r="A6250" t="str">
        <f t="shared" ref="A6250:A6281" si="2561">"04-08-2020 12:40:28"</f>
        <v>04-08-2020 12:40:28</v>
      </c>
      <c r="B6250" t="str">
        <f>"0000804668"</f>
        <v>0000804668</v>
      </c>
      <c r="C6250" t="str">
        <f t="shared" ref="C6250:C6281" si="2562">"0000804564"</f>
        <v>0000804564</v>
      </c>
      <c r="D6250" t="str">
        <f t="shared" si="2541"/>
        <v>73185</v>
      </c>
      <c r="E6250" t="str">
        <f t="shared" si="2542"/>
        <v>KFH-OPERATIONS DEPARTMENT</v>
      </c>
      <c r="F6250" t="str">
        <f t="shared" si="2543"/>
        <v>IBG</v>
      </c>
      <c r="G6250" t="str">
        <f t="shared" si="2554"/>
        <v>Refund COSHARE 10</v>
      </c>
      <c r="H6250" s="2">
        <v>241.4</v>
      </c>
      <c r="I6250" t="str">
        <f>"MOHD NAJIB BIN YUNOS"</f>
        <v>MOHD NAJIB BIN YUNOS</v>
      </c>
      <c r="J6250" t="str">
        <f t="shared" si="2538"/>
        <v>CIMB BANK / CIMB ISLAMIC BANK</v>
      </c>
      <c r="K6250" t="str">
        <f>"7001281579"</f>
        <v>7001281579</v>
      </c>
      <c r="L6250" t="str">
        <f t="shared" si="2559"/>
        <v>04-08-2020</v>
      </c>
      <c r="M6250" t="str">
        <f t="shared" si="2559"/>
        <v>04-08-2020</v>
      </c>
      <c r="N6250" t="str">
        <f t="shared" si="2544"/>
        <v>001105018356</v>
      </c>
      <c r="O6250" t="str">
        <f t="shared" si="2545"/>
        <v>MYR</v>
      </c>
      <c r="P6250" t="str">
        <f t="shared" si="2560"/>
        <v>NIL</v>
      </c>
      <c r="Q6250" t="str">
        <f t="shared" si="2560"/>
        <v>NIL</v>
      </c>
      <c r="R6250" t="str">
        <f t="shared" si="2557"/>
        <v>Accepted</v>
      </c>
      <c r="S6250" t="str">
        <f t="shared" si="2546"/>
        <v>Approved</v>
      </c>
      <c r="T6250" t="str">
        <f t="shared" si="2558"/>
        <v>10.20.8.188</v>
      </c>
      <c r="U6250" t="str">
        <f t="shared" si="2547"/>
        <v>AZRAD UMAR BIN SHAARI</v>
      </c>
      <c r="V6250" t="str">
        <f t="shared" si="2548"/>
        <v>FARHANA BINTI MUSTAPA</v>
      </c>
      <c r="W6250" t="str">
        <f t="shared" si="2549"/>
        <v>04-08-2020</v>
      </c>
      <c r="X6250" t="str">
        <f t="shared" si="2550"/>
        <v>RAZIMAH ANSAR AHMAD</v>
      </c>
      <c r="Y6250" t="str">
        <f t="shared" si="2551"/>
        <v>04-08-2020</v>
      </c>
      <c r="Z6250" t="str">
        <f>"COS10200804 2904"</f>
        <v>COS10200804 2904</v>
      </c>
    </row>
    <row r="6251" spans="1:26" x14ac:dyDescent="0.25">
      <c r="A6251" t="str">
        <f t="shared" si="2561"/>
        <v>04-08-2020 12:40:28</v>
      </c>
      <c r="B6251" t="str">
        <f>"0000804667"</f>
        <v>0000804667</v>
      </c>
      <c r="C6251" t="str">
        <f t="shared" si="2562"/>
        <v>0000804564</v>
      </c>
      <c r="D6251" t="str">
        <f t="shared" si="2541"/>
        <v>73185</v>
      </c>
      <c r="E6251" t="str">
        <f t="shared" si="2542"/>
        <v>KFH-OPERATIONS DEPARTMENT</v>
      </c>
      <c r="F6251" t="str">
        <f t="shared" si="2543"/>
        <v>IBG</v>
      </c>
      <c r="G6251" t="str">
        <f t="shared" si="2554"/>
        <v>Refund COSHARE 10</v>
      </c>
      <c r="H6251" s="2">
        <v>839.5</v>
      </c>
      <c r="I6251" t="str">
        <f>"MOHD NAJIB BIN MOHD YUSOF"</f>
        <v>MOHD NAJIB BIN MOHD YUSOF</v>
      </c>
      <c r="J6251" t="str">
        <f t="shared" si="2538"/>
        <v>CIMB BANK / CIMB ISLAMIC BANK</v>
      </c>
      <c r="K6251" t="str">
        <f>"14120024069525"</f>
        <v>14120024069525</v>
      </c>
      <c r="L6251" t="str">
        <f t="shared" si="2559"/>
        <v>04-08-2020</v>
      </c>
      <c r="M6251" t="str">
        <f t="shared" si="2559"/>
        <v>04-08-2020</v>
      </c>
      <c r="N6251" t="str">
        <f t="shared" si="2544"/>
        <v>001105018356</v>
      </c>
      <c r="O6251" t="str">
        <f t="shared" si="2545"/>
        <v>MYR</v>
      </c>
      <c r="P6251" t="str">
        <f t="shared" si="2560"/>
        <v>NIL</v>
      </c>
      <c r="Q6251" t="str">
        <f t="shared" si="2560"/>
        <v>NIL</v>
      </c>
      <c r="R6251" t="str">
        <f t="shared" si="2557"/>
        <v>Accepted</v>
      </c>
      <c r="S6251" t="str">
        <f t="shared" si="2546"/>
        <v>Approved</v>
      </c>
      <c r="T6251" t="str">
        <f t="shared" si="2558"/>
        <v>10.20.8.188</v>
      </c>
      <c r="U6251" t="str">
        <f t="shared" si="2547"/>
        <v>AZRAD UMAR BIN SHAARI</v>
      </c>
      <c r="V6251" t="str">
        <f t="shared" si="2548"/>
        <v>FARHANA BINTI MUSTAPA</v>
      </c>
      <c r="W6251" t="str">
        <f t="shared" si="2549"/>
        <v>04-08-2020</v>
      </c>
      <c r="X6251" t="str">
        <f t="shared" si="2550"/>
        <v>RAZIMAH ANSAR AHMAD</v>
      </c>
      <c r="Y6251" t="str">
        <f t="shared" si="2551"/>
        <v>04-08-2020</v>
      </c>
      <c r="Z6251" t="str">
        <f>"COS10200804 2903"</f>
        <v>COS10200804 2903</v>
      </c>
    </row>
    <row r="6252" spans="1:26" x14ac:dyDescent="0.25">
      <c r="A6252" t="str">
        <f t="shared" si="2561"/>
        <v>04-08-2020 12:40:28</v>
      </c>
      <c r="B6252" t="str">
        <f>"0000804666"</f>
        <v>0000804666</v>
      </c>
      <c r="C6252" t="str">
        <f t="shared" si="2562"/>
        <v>0000804564</v>
      </c>
      <c r="D6252" t="str">
        <f t="shared" si="2541"/>
        <v>73185</v>
      </c>
      <c r="E6252" t="str">
        <f t="shared" si="2542"/>
        <v>KFH-OPERATIONS DEPARTMENT</v>
      </c>
      <c r="F6252" t="str">
        <f t="shared" si="2543"/>
        <v>IBG</v>
      </c>
      <c r="G6252" t="str">
        <f t="shared" si="2554"/>
        <v>Refund COSHARE 10</v>
      </c>
      <c r="H6252" s="2">
        <v>755.55</v>
      </c>
      <c r="I6252" t="str">
        <f>"MOHD NAIM BIN JAN"</f>
        <v>MOHD NAIM BIN JAN</v>
      </c>
      <c r="J6252" t="str">
        <f t="shared" si="2538"/>
        <v>CIMB BANK / CIMB ISLAMIC BANK</v>
      </c>
      <c r="K6252" t="str">
        <f>"7019733519"</f>
        <v>7019733519</v>
      </c>
      <c r="L6252" t="str">
        <f t="shared" si="2559"/>
        <v>04-08-2020</v>
      </c>
      <c r="M6252" t="str">
        <f t="shared" si="2559"/>
        <v>04-08-2020</v>
      </c>
      <c r="N6252" t="str">
        <f t="shared" si="2544"/>
        <v>001105018356</v>
      </c>
      <c r="O6252" t="str">
        <f t="shared" si="2545"/>
        <v>MYR</v>
      </c>
      <c r="P6252" t="str">
        <f t="shared" si="2560"/>
        <v>NIL</v>
      </c>
      <c r="Q6252" t="str">
        <f t="shared" si="2560"/>
        <v>NIL</v>
      </c>
      <c r="R6252" t="str">
        <f t="shared" si="2557"/>
        <v>Accepted</v>
      </c>
      <c r="S6252" t="str">
        <f t="shared" si="2546"/>
        <v>Approved</v>
      </c>
      <c r="T6252" t="str">
        <f t="shared" si="2558"/>
        <v>10.20.8.188</v>
      </c>
      <c r="U6252" t="str">
        <f t="shared" si="2547"/>
        <v>AZRAD UMAR BIN SHAARI</v>
      </c>
      <c r="V6252" t="str">
        <f t="shared" si="2548"/>
        <v>FARHANA BINTI MUSTAPA</v>
      </c>
      <c r="W6252" t="str">
        <f t="shared" si="2549"/>
        <v>04-08-2020</v>
      </c>
      <c r="X6252" t="str">
        <f t="shared" si="2550"/>
        <v>RAZIMAH ANSAR AHMAD</v>
      </c>
      <c r="Y6252" t="str">
        <f t="shared" si="2551"/>
        <v>04-08-2020</v>
      </c>
      <c r="Z6252" t="str">
        <f>"COS10200804 2902"</f>
        <v>COS10200804 2902</v>
      </c>
    </row>
    <row r="6253" spans="1:26" x14ac:dyDescent="0.25">
      <c r="A6253" t="str">
        <f t="shared" si="2561"/>
        <v>04-08-2020 12:40:28</v>
      </c>
      <c r="B6253" t="str">
        <f>"0000804665"</f>
        <v>0000804665</v>
      </c>
      <c r="C6253" t="str">
        <f t="shared" si="2562"/>
        <v>0000804564</v>
      </c>
      <c r="D6253" t="str">
        <f t="shared" si="2541"/>
        <v>73185</v>
      </c>
      <c r="E6253" t="str">
        <f t="shared" si="2542"/>
        <v>KFH-OPERATIONS DEPARTMENT</v>
      </c>
      <c r="F6253" t="str">
        <f t="shared" si="2543"/>
        <v>IBG</v>
      </c>
      <c r="G6253" t="str">
        <f t="shared" si="2554"/>
        <v>Refund COSHARE 10</v>
      </c>
      <c r="H6253" s="2">
        <v>245.6</v>
      </c>
      <c r="I6253" t="str">
        <f>"MOHD NADZRI BIN WAHIDON"</f>
        <v>MOHD NADZRI BIN WAHIDON</v>
      </c>
      <c r="J6253" t="str">
        <f t="shared" si="2538"/>
        <v>CIMB BANK / CIMB ISLAMIC BANK</v>
      </c>
      <c r="K6253" t="str">
        <f>"01070070472521"</f>
        <v>01070070472521</v>
      </c>
      <c r="L6253" t="str">
        <f t="shared" si="2559"/>
        <v>04-08-2020</v>
      </c>
      <c r="M6253" t="str">
        <f t="shared" si="2559"/>
        <v>04-08-2020</v>
      </c>
      <c r="N6253" t="str">
        <f t="shared" si="2544"/>
        <v>001105018356</v>
      </c>
      <c r="O6253" t="str">
        <f t="shared" si="2545"/>
        <v>MYR</v>
      </c>
      <c r="P6253" t="str">
        <f t="shared" si="2560"/>
        <v>NIL</v>
      </c>
      <c r="Q6253" t="str">
        <f t="shared" si="2560"/>
        <v>NIL</v>
      </c>
      <c r="R6253" t="str">
        <f t="shared" si="2557"/>
        <v>Accepted</v>
      </c>
      <c r="S6253" t="str">
        <f t="shared" si="2546"/>
        <v>Approved</v>
      </c>
      <c r="T6253" t="str">
        <f t="shared" si="2558"/>
        <v>10.20.8.188</v>
      </c>
      <c r="U6253" t="str">
        <f t="shared" si="2547"/>
        <v>AZRAD UMAR BIN SHAARI</v>
      </c>
      <c r="V6253" t="str">
        <f t="shared" si="2548"/>
        <v>FARHANA BINTI MUSTAPA</v>
      </c>
      <c r="W6253" t="str">
        <f t="shared" si="2549"/>
        <v>04-08-2020</v>
      </c>
      <c r="X6253" t="str">
        <f t="shared" si="2550"/>
        <v>RAZIMAH ANSAR AHMAD</v>
      </c>
      <c r="Y6253" t="str">
        <f t="shared" si="2551"/>
        <v>04-08-2020</v>
      </c>
      <c r="Z6253" t="str">
        <f>"COS10200804 2901"</f>
        <v>COS10200804 2901</v>
      </c>
    </row>
    <row r="6254" spans="1:26" x14ac:dyDescent="0.25">
      <c r="A6254" t="str">
        <f t="shared" si="2561"/>
        <v>04-08-2020 12:40:28</v>
      </c>
      <c r="B6254" t="str">
        <f>"0000804664"</f>
        <v>0000804664</v>
      </c>
      <c r="C6254" t="str">
        <f t="shared" si="2562"/>
        <v>0000804564</v>
      </c>
      <c r="D6254" t="str">
        <f t="shared" si="2541"/>
        <v>73185</v>
      </c>
      <c r="E6254" t="str">
        <f t="shared" si="2542"/>
        <v>KFH-OPERATIONS DEPARTMENT</v>
      </c>
      <c r="F6254" t="str">
        <f t="shared" si="2543"/>
        <v>IBG</v>
      </c>
      <c r="G6254" t="str">
        <f t="shared" si="2554"/>
        <v>Refund COSHARE 10</v>
      </c>
      <c r="H6254" s="2">
        <v>755.55</v>
      </c>
      <c r="I6254" t="str">
        <f>"MOHD MUHAIMIN BIN MOHD SALLEH"</f>
        <v>MOHD MUHAIMIN BIN MOHD SALLEH</v>
      </c>
      <c r="J6254" t="str">
        <f t="shared" si="2538"/>
        <v>CIMB BANK / CIMB ISLAMIC BANK</v>
      </c>
      <c r="K6254" t="str">
        <f>"7009072630"</f>
        <v>7009072630</v>
      </c>
      <c r="L6254" t="str">
        <f t="shared" si="2559"/>
        <v>04-08-2020</v>
      </c>
      <c r="M6254" t="str">
        <f t="shared" si="2559"/>
        <v>04-08-2020</v>
      </c>
      <c r="N6254" t="str">
        <f t="shared" si="2544"/>
        <v>001105018356</v>
      </c>
      <c r="O6254" t="str">
        <f t="shared" si="2545"/>
        <v>MYR</v>
      </c>
      <c r="P6254" t="str">
        <f t="shared" si="2560"/>
        <v>NIL</v>
      </c>
      <c r="Q6254" t="str">
        <f t="shared" si="2560"/>
        <v>NIL</v>
      </c>
      <c r="R6254" t="str">
        <f t="shared" si="2557"/>
        <v>Accepted</v>
      </c>
      <c r="S6254" t="str">
        <f t="shared" si="2546"/>
        <v>Approved</v>
      </c>
      <c r="T6254" t="str">
        <f t="shared" si="2558"/>
        <v>10.20.8.188</v>
      </c>
      <c r="U6254" t="str">
        <f t="shared" si="2547"/>
        <v>AZRAD UMAR BIN SHAARI</v>
      </c>
      <c r="V6254" t="str">
        <f t="shared" si="2548"/>
        <v>FARHANA BINTI MUSTAPA</v>
      </c>
      <c r="W6254" t="str">
        <f t="shared" si="2549"/>
        <v>04-08-2020</v>
      </c>
      <c r="X6254" t="str">
        <f t="shared" si="2550"/>
        <v>RAZIMAH ANSAR AHMAD</v>
      </c>
      <c r="Y6254" t="str">
        <f t="shared" si="2551"/>
        <v>04-08-2020</v>
      </c>
      <c r="Z6254" t="str">
        <f>"COS10200804 2900"</f>
        <v>COS10200804 2900</v>
      </c>
    </row>
    <row r="6255" spans="1:26" x14ac:dyDescent="0.25">
      <c r="A6255" t="str">
        <f t="shared" si="2561"/>
        <v>04-08-2020 12:40:28</v>
      </c>
      <c r="B6255" t="str">
        <f>"0000804663"</f>
        <v>0000804663</v>
      </c>
      <c r="C6255" t="str">
        <f t="shared" si="2562"/>
        <v>0000804564</v>
      </c>
      <c r="D6255" t="str">
        <f t="shared" si="2541"/>
        <v>73185</v>
      </c>
      <c r="E6255" t="str">
        <f t="shared" si="2542"/>
        <v>KFH-OPERATIONS DEPARTMENT</v>
      </c>
      <c r="F6255" t="str">
        <f t="shared" si="2543"/>
        <v>IBG</v>
      </c>
      <c r="G6255" t="str">
        <f t="shared" si="2554"/>
        <v>Refund COSHARE 10</v>
      </c>
      <c r="H6255" s="2">
        <v>225.95</v>
      </c>
      <c r="I6255" t="str">
        <f>"MOHD MUAMMAR BIN MOHD ZAIN"</f>
        <v>MOHD MUAMMAR BIN MOHD ZAIN</v>
      </c>
      <c r="J6255" t="str">
        <f t="shared" si="2538"/>
        <v>CIMB BANK / CIMB ISLAMIC BANK</v>
      </c>
      <c r="K6255" t="str">
        <f>"03030031937521"</f>
        <v>03030031937521</v>
      </c>
      <c r="L6255" t="str">
        <f t="shared" si="2559"/>
        <v>04-08-2020</v>
      </c>
      <c r="M6255" t="str">
        <f t="shared" si="2559"/>
        <v>04-08-2020</v>
      </c>
      <c r="N6255" t="str">
        <f t="shared" si="2544"/>
        <v>001105018356</v>
      </c>
      <c r="O6255" t="str">
        <f t="shared" si="2545"/>
        <v>MYR</v>
      </c>
      <c r="P6255" t="str">
        <f t="shared" si="2560"/>
        <v>NIL</v>
      </c>
      <c r="Q6255" t="str">
        <f t="shared" si="2560"/>
        <v>NIL</v>
      </c>
      <c r="R6255" t="str">
        <f t="shared" si="2557"/>
        <v>Accepted</v>
      </c>
      <c r="S6255" t="str">
        <f t="shared" si="2546"/>
        <v>Approved</v>
      </c>
      <c r="T6255" t="str">
        <f t="shared" si="2558"/>
        <v>10.20.8.188</v>
      </c>
      <c r="U6255" t="str">
        <f t="shared" si="2547"/>
        <v>AZRAD UMAR BIN SHAARI</v>
      </c>
      <c r="V6255" t="str">
        <f t="shared" si="2548"/>
        <v>FARHANA BINTI MUSTAPA</v>
      </c>
      <c r="W6255" t="str">
        <f t="shared" si="2549"/>
        <v>04-08-2020</v>
      </c>
      <c r="X6255" t="str">
        <f t="shared" si="2550"/>
        <v>RAZIMAH ANSAR AHMAD</v>
      </c>
      <c r="Y6255" t="str">
        <f t="shared" si="2551"/>
        <v>04-08-2020</v>
      </c>
      <c r="Z6255" t="str">
        <f>"COS10200804 2899"</f>
        <v>COS10200804 2899</v>
      </c>
    </row>
    <row r="6256" spans="1:26" x14ac:dyDescent="0.25">
      <c r="A6256" t="str">
        <f t="shared" si="2561"/>
        <v>04-08-2020 12:40:28</v>
      </c>
      <c r="B6256" t="str">
        <f>"0000804662"</f>
        <v>0000804662</v>
      </c>
      <c r="C6256" t="str">
        <f t="shared" si="2562"/>
        <v>0000804564</v>
      </c>
      <c r="D6256" t="str">
        <f t="shared" si="2541"/>
        <v>73185</v>
      </c>
      <c r="E6256" t="str">
        <f t="shared" si="2542"/>
        <v>KFH-OPERATIONS DEPARTMENT</v>
      </c>
      <c r="F6256" t="str">
        <f t="shared" si="2543"/>
        <v>IBG</v>
      </c>
      <c r="G6256" t="str">
        <f t="shared" si="2554"/>
        <v>Refund COSHARE 10</v>
      </c>
      <c r="H6256" s="2">
        <v>55</v>
      </c>
      <c r="I6256" t="str">
        <f>"MOHD KHAIRUN NIZAM BIN MOHAMMED"</f>
        <v>MOHD KHAIRUN NIZAM BIN MOHAMMED</v>
      </c>
      <c r="J6256" t="str">
        <f t="shared" si="2538"/>
        <v>CIMB BANK / CIMB ISLAMIC BANK</v>
      </c>
      <c r="K6256" t="str">
        <f>"7036075718"</f>
        <v>7036075718</v>
      </c>
      <c r="L6256" t="str">
        <f t="shared" si="2559"/>
        <v>04-08-2020</v>
      </c>
      <c r="M6256" t="str">
        <f t="shared" si="2559"/>
        <v>04-08-2020</v>
      </c>
      <c r="N6256" t="str">
        <f t="shared" si="2544"/>
        <v>001105018356</v>
      </c>
      <c r="O6256" t="str">
        <f t="shared" si="2545"/>
        <v>MYR</v>
      </c>
      <c r="P6256" t="str">
        <f t="shared" si="2560"/>
        <v>NIL</v>
      </c>
      <c r="Q6256" t="str">
        <f t="shared" si="2560"/>
        <v>NIL</v>
      </c>
      <c r="R6256" t="str">
        <f t="shared" si="2557"/>
        <v>Accepted</v>
      </c>
      <c r="S6256" t="str">
        <f t="shared" si="2546"/>
        <v>Approved</v>
      </c>
      <c r="T6256" t="str">
        <f t="shared" si="2558"/>
        <v>10.20.8.188</v>
      </c>
      <c r="U6256" t="str">
        <f t="shared" si="2547"/>
        <v>AZRAD UMAR BIN SHAARI</v>
      </c>
      <c r="V6256" t="str">
        <f t="shared" si="2548"/>
        <v>FARHANA BINTI MUSTAPA</v>
      </c>
      <c r="W6256" t="str">
        <f t="shared" si="2549"/>
        <v>04-08-2020</v>
      </c>
      <c r="X6256" t="str">
        <f t="shared" si="2550"/>
        <v>RAZIMAH ANSAR AHMAD</v>
      </c>
      <c r="Y6256" t="str">
        <f t="shared" si="2551"/>
        <v>04-08-2020</v>
      </c>
      <c r="Z6256" t="str">
        <f>"COS10200804 2898"</f>
        <v>COS10200804 2898</v>
      </c>
    </row>
    <row r="6257" spans="1:26" x14ac:dyDescent="0.25">
      <c r="A6257" t="str">
        <f t="shared" si="2561"/>
        <v>04-08-2020 12:40:28</v>
      </c>
      <c r="B6257" t="str">
        <f>"0000804661"</f>
        <v>0000804661</v>
      </c>
      <c r="C6257" t="str">
        <f t="shared" si="2562"/>
        <v>0000804564</v>
      </c>
      <c r="D6257" t="str">
        <f t="shared" si="2541"/>
        <v>73185</v>
      </c>
      <c r="E6257" t="str">
        <f t="shared" si="2542"/>
        <v>KFH-OPERATIONS DEPARTMENT</v>
      </c>
      <c r="F6257" t="str">
        <f t="shared" si="2543"/>
        <v>IBG</v>
      </c>
      <c r="G6257" t="str">
        <f t="shared" si="2554"/>
        <v>Refund COSHARE 10</v>
      </c>
      <c r="H6257" s="2">
        <v>55</v>
      </c>
      <c r="I6257" t="str">
        <f>"MOHD KHAIRUN NIZAM BIN MOHAMMED"</f>
        <v>MOHD KHAIRUN NIZAM BIN MOHAMMED</v>
      </c>
      <c r="J6257" t="str">
        <f t="shared" si="2538"/>
        <v>CIMB BANK / CIMB ISLAMIC BANK</v>
      </c>
      <c r="K6257" t="str">
        <f>"7036075718"</f>
        <v>7036075718</v>
      </c>
      <c r="L6257" t="str">
        <f t="shared" si="2559"/>
        <v>04-08-2020</v>
      </c>
      <c r="M6257" t="str">
        <f t="shared" si="2559"/>
        <v>04-08-2020</v>
      </c>
      <c r="N6257" t="str">
        <f t="shared" si="2544"/>
        <v>001105018356</v>
      </c>
      <c r="O6257" t="str">
        <f t="shared" si="2545"/>
        <v>MYR</v>
      </c>
      <c r="P6257" t="str">
        <f t="shared" si="2560"/>
        <v>NIL</v>
      </c>
      <c r="Q6257" t="str">
        <f t="shared" si="2560"/>
        <v>NIL</v>
      </c>
      <c r="R6257" t="str">
        <f t="shared" si="2557"/>
        <v>Accepted</v>
      </c>
      <c r="S6257" t="str">
        <f t="shared" si="2546"/>
        <v>Approved</v>
      </c>
      <c r="T6257" t="str">
        <f t="shared" si="2558"/>
        <v>10.20.8.188</v>
      </c>
      <c r="U6257" t="str">
        <f t="shared" si="2547"/>
        <v>AZRAD UMAR BIN SHAARI</v>
      </c>
      <c r="V6257" t="str">
        <f t="shared" si="2548"/>
        <v>FARHANA BINTI MUSTAPA</v>
      </c>
      <c r="W6257" t="str">
        <f t="shared" si="2549"/>
        <v>04-08-2020</v>
      </c>
      <c r="X6257" t="str">
        <f t="shared" si="2550"/>
        <v>RAZIMAH ANSAR AHMAD</v>
      </c>
      <c r="Y6257" t="str">
        <f t="shared" si="2551"/>
        <v>04-08-2020</v>
      </c>
      <c r="Z6257" t="str">
        <f>"COS10200804 2897"</f>
        <v>COS10200804 2897</v>
      </c>
    </row>
    <row r="6258" spans="1:26" x14ac:dyDescent="0.25">
      <c r="A6258" t="str">
        <f t="shared" si="2561"/>
        <v>04-08-2020 12:40:28</v>
      </c>
      <c r="B6258" t="str">
        <f>"0000804660"</f>
        <v>0000804660</v>
      </c>
      <c r="C6258" t="str">
        <f t="shared" si="2562"/>
        <v>0000804564</v>
      </c>
      <c r="D6258" t="str">
        <f t="shared" si="2541"/>
        <v>73185</v>
      </c>
      <c r="E6258" t="str">
        <f t="shared" si="2542"/>
        <v>KFH-OPERATIONS DEPARTMENT</v>
      </c>
      <c r="F6258" t="str">
        <f t="shared" si="2543"/>
        <v>IBG</v>
      </c>
      <c r="G6258" t="str">
        <f t="shared" si="2554"/>
        <v>Refund COSHARE 10</v>
      </c>
      <c r="H6258" s="2">
        <v>716.3</v>
      </c>
      <c r="I6258" t="str">
        <f>"MOHD KHAIRULZAHRIN BIN MD NOR"</f>
        <v>MOHD KHAIRULZAHRIN BIN MD NOR</v>
      </c>
      <c r="J6258" t="str">
        <f t="shared" si="2538"/>
        <v>CIMB BANK / CIMB ISLAMIC BANK</v>
      </c>
      <c r="K6258" t="str">
        <f>"8001204897"</f>
        <v>8001204897</v>
      </c>
      <c r="L6258" t="str">
        <f t="shared" si="2559"/>
        <v>04-08-2020</v>
      </c>
      <c r="M6258" t="str">
        <f t="shared" si="2559"/>
        <v>04-08-2020</v>
      </c>
      <c r="N6258" t="str">
        <f t="shared" si="2544"/>
        <v>001105018356</v>
      </c>
      <c r="O6258" t="str">
        <f t="shared" si="2545"/>
        <v>MYR</v>
      </c>
      <c r="P6258" t="str">
        <f t="shared" si="2560"/>
        <v>NIL</v>
      </c>
      <c r="Q6258" t="str">
        <f t="shared" si="2560"/>
        <v>NIL</v>
      </c>
      <c r="R6258" t="str">
        <f t="shared" si="2557"/>
        <v>Accepted</v>
      </c>
      <c r="S6258" t="str">
        <f t="shared" si="2546"/>
        <v>Approved</v>
      </c>
      <c r="T6258" t="str">
        <f t="shared" si="2558"/>
        <v>10.20.8.188</v>
      </c>
      <c r="U6258" t="str">
        <f t="shared" si="2547"/>
        <v>AZRAD UMAR BIN SHAARI</v>
      </c>
      <c r="V6258" t="str">
        <f t="shared" si="2548"/>
        <v>FARHANA BINTI MUSTAPA</v>
      </c>
      <c r="W6258" t="str">
        <f t="shared" si="2549"/>
        <v>04-08-2020</v>
      </c>
      <c r="X6258" t="str">
        <f t="shared" si="2550"/>
        <v>RAZIMAH ANSAR AHMAD</v>
      </c>
      <c r="Y6258" t="str">
        <f t="shared" si="2551"/>
        <v>04-08-2020</v>
      </c>
      <c r="Z6258" t="str">
        <f>"COS10200804 2896"</f>
        <v>COS10200804 2896</v>
      </c>
    </row>
    <row r="6259" spans="1:26" x14ac:dyDescent="0.25">
      <c r="A6259" t="str">
        <f t="shared" si="2561"/>
        <v>04-08-2020 12:40:28</v>
      </c>
      <c r="B6259" t="str">
        <f>"0000804659"</f>
        <v>0000804659</v>
      </c>
      <c r="C6259" t="str">
        <f t="shared" si="2562"/>
        <v>0000804564</v>
      </c>
      <c r="D6259" t="str">
        <f t="shared" si="2541"/>
        <v>73185</v>
      </c>
      <c r="E6259" t="str">
        <f t="shared" si="2542"/>
        <v>KFH-OPERATIONS DEPARTMENT</v>
      </c>
      <c r="F6259" t="str">
        <f t="shared" si="2543"/>
        <v>IBG</v>
      </c>
      <c r="G6259" t="str">
        <f t="shared" si="2554"/>
        <v>Refund COSHARE 10</v>
      </c>
      <c r="H6259" s="2">
        <v>444.65</v>
      </c>
      <c r="I6259" t="str">
        <f>"MOHD KHAIRUL BIN ASURA"</f>
        <v>MOHD KHAIRUL BIN ASURA</v>
      </c>
      <c r="J6259" t="str">
        <f t="shared" si="2538"/>
        <v>CIMB BANK / CIMB ISLAMIC BANK</v>
      </c>
      <c r="K6259" t="str">
        <f>"01230016317520"</f>
        <v>01230016317520</v>
      </c>
      <c r="L6259" t="str">
        <f t="shared" si="2559"/>
        <v>04-08-2020</v>
      </c>
      <c r="M6259" t="str">
        <f t="shared" si="2559"/>
        <v>04-08-2020</v>
      </c>
      <c r="N6259" t="str">
        <f t="shared" si="2544"/>
        <v>001105018356</v>
      </c>
      <c r="O6259" t="str">
        <f t="shared" si="2545"/>
        <v>MYR</v>
      </c>
      <c r="P6259" t="str">
        <f t="shared" si="2560"/>
        <v>NIL</v>
      </c>
      <c r="Q6259" t="str">
        <f t="shared" si="2560"/>
        <v>NIL</v>
      </c>
      <c r="R6259" t="str">
        <f t="shared" si="2557"/>
        <v>Accepted</v>
      </c>
      <c r="S6259" t="str">
        <f t="shared" si="2546"/>
        <v>Approved</v>
      </c>
      <c r="T6259" t="str">
        <f t="shared" si="2558"/>
        <v>10.20.8.188</v>
      </c>
      <c r="U6259" t="str">
        <f t="shared" si="2547"/>
        <v>AZRAD UMAR BIN SHAARI</v>
      </c>
      <c r="V6259" t="str">
        <f t="shared" si="2548"/>
        <v>FARHANA BINTI MUSTAPA</v>
      </c>
      <c r="W6259" t="str">
        <f t="shared" si="2549"/>
        <v>04-08-2020</v>
      </c>
      <c r="X6259" t="str">
        <f t="shared" si="2550"/>
        <v>RAZIMAH ANSAR AHMAD</v>
      </c>
      <c r="Y6259" t="str">
        <f t="shared" si="2551"/>
        <v>04-08-2020</v>
      </c>
      <c r="Z6259" t="str">
        <f>"COS10200804 2895"</f>
        <v>COS10200804 2895</v>
      </c>
    </row>
    <row r="6260" spans="1:26" x14ac:dyDescent="0.25">
      <c r="A6260" t="str">
        <f t="shared" si="2561"/>
        <v>04-08-2020 12:40:28</v>
      </c>
      <c r="B6260" t="str">
        <f>"0000804658"</f>
        <v>0000804658</v>
      </c>
      <c r="C6260" t="str">
        <f t="shared" si="2562"/>
        <v>0000804564</v>
      </c>
      <c r="D6260" t="str">
        <f t="shared" si="2541"/>
        <v>73185</v>
      </c>
      <c r="E6260" t="str">
        <f t="shared" si="2542"/>
        <v>KFH-OPERATIONS DEPARTMENT</v>
      </c>
      <c r="F6260" t="str">
        <f t="shared" si="2543"/>
        <v>IBG</v>
      </c>
      <c r="G6260" t="str">
        <f t="shared" si="2554"/>
        <v>Refund COSHARE 10</v>
      </c>
      <c r="H6260" s="2">
        <v>461.75</v>
      </c>
      <c r="I6260" t="str">
        <f>"MOHD KHAIRI BIN ESA"</f>
        <v>MOHD KHAIRI BIN ESA</v>
      </c>
      <c r="J6260" t="str">
        <f t="shared" si="2538"/>
        <v>CIMB BANK / CIMB ISLAMIC BANK</v>
      </c>
      <c r="K6260" t="str">
        <f>"01220009482529"</f>
        <v>01220009482529</v>
      </c>
      <c r="L6260" t="str">
        <f t="shared" si="2559"/>
        <v>04-08-2020</v>
      </c>
      <c r="M6260" t="str">
        <f t="shared" si="2559"/>
        <v>04-08-2020</v>
      </c>
      <c r="N6260" t="str">
        <f t="shared" si="2544"/>
        <v>001105018356</v>
      </c>
      <c r="O6260" t="str">
        <f t="shared" si="2545"/>
        <v>MYR</v>
      </c>
      <c r="P6260" t="str">
        <f t="shared" si="2560"/>
        <v>NIL</v>
      </c>
      <c r="Q6260" t="str">
        <f t="shared" si="2560"/>
        <v>NIL</v>
      </c>
      <c r="R6260" t="str">
        <f t="shared" si="2557"/>
        <v>Accepted</v>
      </c>
      <c r="S6260" t="str">
        <f t="shared" si="2546"/>
        <v>Approved</v>
      </c>
      <c r="T6260" t="str">
        <f t="shared" si="2558"/>
        <v>10.20.8.188</v>
      </c>
      <c r="U6260" t="str">
        <f t="shared" si="2547"/>
        <v>AZRAD UMAR BIN SHAARI</v>
      </c>
      <c r="V6260" t="str">
        <f t="shared" si="2548"/>
        <v>FARHANA BINTI MUSTAPA</v>
      </c>
      <c r="W6260" t="str">
        <f t="shared" si="2549"/>
        <v>04-08-2020</v>
      </c>
      <c r="X6260" t="str">
        <f t="shared" si="2550"/>
        <v>RAZIMAH ANSAR AHMAD</v>
      </c>
      <c r="Y6260" t="str">
        <f t="shared" si="2551"/>
        <v>04-08-2020</v>
      </c>
      <c r="Z6260" t="str">
        <f>"COS10200804 2894"</f>
        <v>COS10200804 2894</v>
      </c>
    </row>
    <row r="6261" spans="1:26" x14ac:dyDescent="0.25">
      <c r="A6261" t="str">
        <f t="shared" si="2561"/>
        <v>04-08-2020 12:40:28</v>
      </c>
      <c r="B6261" t="str">
        <f>"0000804657"</f>
        <v>0000804657</v>
      </c>
      <c r="C6261" t="str">
        <f t="shared" si="2562"/>
        <v>0000804564</v>
      </c>
      <c r="D6261" t="str">
        <f t="shared" si="2541"/>
        <v>73185</v>
      </c>
      <c r="E6261" t="str">
        <f t="shared" si="2542"/>
        <v>KFH-OPERATIONS DEPARTMENT</v>
      </c>
      <c r="F6261" t="str">
        <f t="shared" si="2543"/>
        <v>IBG</v>
      </c>
      <c r="G6261" t="str">
        <f t="shared" si="2554"/>
        <v>Refund COSHARE 10</v>
      </c>
      <c r="H6261" s="2">
        <v>358.15</v>
      </c>
      <c r="I6261" t="str">
        <f>"MOHD JAZLAN BIN HASSAN"</f>
        <v>MOHD JAZLAN BIN HASSAN</v>
      </c>
      <c r="J6261" t="str">
        <f t="shared" si="2538"/>
        <v>CIMB BANK / CIMB ISLAMIC BANK</v>
      </c>
      <c r="K6261" t="str">
        <f>"14070487432500"</f>
        <v>14070487432500</v>
      </c>
      <c r="L6261" t="str">
        <f t="shared" si="2559"/>
        <v>04-08-2020</v>
      </c>
      <c r="M6261" t="str">
        <f t="shared" si="2559"/>
        <v>04-08-2020</v>
      </c>
      <c r="N6261" t="str">
        <f t="shared" si="2544"/>
        <v>001105018356</v>
      </c>
      <c r="O6261" t="str">
        <f t="shared" si="2545"/>
        <v>MYR</v>
      </c>
      <c r="P6261" t="str">
        <f t="shared" si="2560"/>
        <v>NIL</v>
      </c>
      <c r="Q6261" t="str">
        <f t="shared" si="2560"/>
        <v>NIL</v>
      </c>
      <c r="R6261" t="str">
        <f t="shared" si="2557"/>
        <v>Accepted</v>
      </c>
      <c r="S6261" t="str">
        <f t="shared" si="2546"/>
        <v>Approved</v>
      </c>
      <c r="T6261" t="str">
        <f t="shared" si="2558"/>
        <v>10.20.8.188</v>
      </c>
      <c r="U6261" t="str">
        <f t="shared" si="2547"/>
        <v>AZRAD UMAR BIN SHAARI</v>
      </c>
      <c r="V6261" t="str">
        <f t="shared" si="2548"/>
        <v>FARHANA BINTI MUSTAPA</v>
      </c>
      <c r="W6261" t="str">
        <f t="shared" si="2549"/>
        <v>04-08-2020</v>
      </c>
      <c r="X6261" t="str">
        <f t="shared" si="2550"/>
        <v>RAZIMAH ANSAR AHMAD</v>
      </c>
      <c r="Y6261" t="str">
        <f t="shared" si="2551"/>
        <v>04-08-2020</v>
      </c>
      <c r="Z6261" t="str">
        <f>"COS10200804 2893"</f>
        <v>COS10200804 2893</v>
      </c>
    </row>
    <row r="6262" spans="1:26" x14ac:dyDescent="0.25">
      <c r="A6262" t="str">
        <f t="shared" si="2561"/>
        <v>04-08-2020 12:40:28</v>
      </c>
      <c r="B6262" t="str">
        <f>"0000804656"</f>
        <v>0000804656</v>
      </c>
      <c r="C6262" t="str">
        <f t="shared" si="2562"/>
        <v>0000804564</v>
      </c>
      <c r="D6262" t="str">
        <f t="shared" si="2541"/>
        <v>73185</v>
      </c>
      <c r="E6262" t="str">
        <f t="shared" si="2542"/>
        <v>KFH-OPERATIONS DEPARTMENT</v>
      </c>
      <c r="F6262" t="str">
        <f t="shared" si="2543"/>
        <v>IBG</v>
      </c>
      <c r="G6262" t="str">
        <f t="shared" si="2554"/>
        <v>Refund COSHARE 10</v>
      </c>
      <c r="H6262" s="2">
        <v>251.85</v>
      </c>
      <c r="I6262" t="str">
        <f>"MOHD JAUZI BIN MOHD SHAHIDIN"</f>
        <v>MOHD JAUZI BIN MOHD SHAHIDIN</v>
      </c>
      <c r="J6262" t="str">
        <f t="shared" si="2538"/>
        <v>CIMB BANK / CIMB ISLAMIC BANK</v>
      </c>
      <c r="K6262" t="str">
        <f>"14400056147520"</f>
        <v>14400056147520</v>
      </c>
      <c r="L6262" t="str">
        <f t="shared" si="2559"/>
        <v>04-08-2020</v>
      </c>
      <c r="M6262" t="str">
        <f t="shared" si="2559"/>
        <v>04-08-2020</v>
      </c>
      <c r="N6262" t="str">
        <f t="shared" si="2544"/>
        <v>001105018356</v>
      </c>
      <c r="O6262" t="str">
        <f t="shared" si="2545"/>
        <v>MYR</v>
      </c>
      <c r="P6262" t="str">
        <f t="shared" si="2560"/>
        <v>NIL</v>
      </c>
      <c r="Q6262" t="str">
        <f t="shared" si="2560"/>
        <v>NIL</v>
      </c>
      <c r="R6262" t="str">
        <f t="shared" si="2557"/>
        <v>Accepted</v>
      </c>
      <c r="S6262" t="str">
        <f t="shared" si="2546"/>
        <v>Approved</v>
      </c>
      <c r="T6262" t="str">
        <f t="shared" si="2558"/>
        <v>10.20.8.188</v>
      </c>
      <c r="U6262" t="str">
        <f t="shared" si="2547"/>
        <v>AZRAD UMAR BIN SHAARI</v>
      </c>
      <c r="V6262" t="str">
        <f t="shared" si="2548"/>
        <v>FARHANA BINTI MUSTAPA</v>
      </c>
      <c r="W6262" t="str">
        <f t="shared" si="2549"/>
        <v>04-08-2020</v>
      </c>
      <c r="X6262" t="str">
        <f t="shared" si="2550"/>
        <v>RAZIMAH ANSAR AHMAD</v>
      </c>
      <c r="Y6262" t="str">
        <f t="shared" si="2551"/>
        <v>04-08-2020</v>
      </c>
      <c r="Z6262" t="str">
        <f>"COS10200804 2892"</f>
        <v>COS10200804 2892</v>
      </c>
    </row>
    <row r="6263" spans="1:26" x14ac:dyDescent="0.25">
      <c r="A6263" t="str">
        <f t="shared" si="2561"/>
        <v>04-08-2020 12:40:28</v>
      </c>
      <c r="B6263" t="str">
        <f>"0000804655"</f>
        <v>0000804655</v>
      </c>
      <c r="C6263" t="str">
        <f t="shared" si="2562"/>
        <v>0000804564</v>
      </c>
      <c r="D6263" t="str">
        <f t="shared" si="2541"/>
        <v>73185</v>
      </c>
      <c r="E6263" t="str">
        <f t="shared" si="2542"/>
        <v>KFH-OPERATIONS DEPARTMENT</v>
      </c>
      <c r="F6263" t="str">
        <f t="shared" si="2543"/>
        <v>IBG</v>
      </c>
      <c r="G6263" t="str">
        <f t="shared" si="2554"/>
        <v>Refund COSHARE 10</v>
      </c>
      <c r="H6263" s="2">
        <v>202</v>
      </c>
      <c r="I6263" t="str">
        <f>"MOHD IZWAN BIN NORDIN"</f>
        <v>MOHD IZWAN BIN NORDIN</v>
      </c>
      <c r="J6263" t="str">
        <f t="shared" si="2538"/>
        <v>CIMB BANK / CIMB ISLAMIC BANK</v>
      </c>
      <c r="K6263" t="str">
        <f>"7601082199"</f>
        <v>7601082199</v>
      </c>
      <c r="L6263" t="str">
        <f t="shared" si="2559"/>
        <v>04-08-2020</v>
      </c>
      <c r="M6263" t="str">
        <f t="shared" si="2559"/>
        <v>04-08-2020</v>
      </c>
      <c r="N6263" t="str">
        <f t="shared" si="2544"/>
        <v>001105018356</v>
      </c>
      <c r="O6263" t="str">
        <f t="shared" si="2545"/>
        <v>MYR</v>
      </c>
      <c r="P6263" t="str">
        <f t="shared" si="2560"/>
        <v>NIL</v>
      </c>
      <c r="Q6263" t="str">
        <f t="shared" si="2560"/>
        <v>NIL</v>
      </c>
      <c r="R6263" t="str">
        <f t="shared" si="2557"/>
        <v>Accepted</v>
      </c>
      <c r="S6263" t="str">
        <f t="shared" si="2546"/>
        <v>Approved</v>
      </c>
      <c r="T6263" t="str">
        <f t="shared" si="2558"/>
        <v>10.20.8.188</v>
      </c>
      <c r="U6263" t="str">
        <f t="shared" si="2547"/>
        <v>AZRAD UMAR BIN SHAARI</v>
      </c>
      <c r="V6263" t="str">
        <f t="shared" si="2548"/>
        <v>FARHANA BINTI MUSTAPA</v>
      </c>
      <c r="W6263" t="str">
        <f t="shared" si="2549"/>
        <v>04-08-2020</v>
      </c>
      <c r="X6263" t="str">
        <f t="shared" si="2550"/>
        <v>RAZIMAH ANSAR AHMAD</v>
      </c>
      <c r="Y6263" t="str">
        <f t="shared" si="2551"/>
        <v>04-08-2020</v>
      </c>
      <c r="Z6263" t="str">
        <f>"COS10200804 2891"</f>
        <v>COS10200804 2891</v>
      </c>
    </row>
    <row r="6264" spans="1:26" x14ac:dyDescent="0.25">
      <c r="A6264" t="str">
        <f t="shared" si="2561"/>
        <v>04-08-2020 12:40:28</v>
      </c>
      <c r="B6264" t="str">
        <f>"0000804654"</f>
        <v>0000804654</v>
      </c>
      <c r="C6264" t="str">
        <f t="shared" si="2562"/>
        <v>0000804564</v>
      </c>
      <c r="D6264" t="str">
        <f t="shared" si="2541"/>
        <v>73185</v>
      </c>
      <c r="E6264" t="str">
        <f t="shared" si="2542"/>
        <v>KFH-OPERATIONS DEPARTMENT</v>
      </c>
      <c r="F6264" t="str">
        <f t="shared" si="2543"/>
        <v>IBG</v>
      </c>
      <c r="G6264" t="str">
        <f t="shared" si="2554"/>
        <v>Refund COSHARE 10</v>
      </c>
      <c r="H6264" s="2">
        <v>167</v>
      </c>
      <c r="I6264" t="str">
        <f>"MOHD IZWAN BIN MOHD KHALIT"</f>
        <v>MOHD IZWAN BIN MOHD KHALIT</v>
      </c>
      <c r="J6264" t="str">
        <f t="shared" si="2538"/>
        <v>CIMB BANK / CIMB ISLAMIC BANK</v>
      </c>
      <c r="K6264" t="str">
        <f>"02050094081523"</f>
        <v>02050094081523</v>
      </c>
      <c r="L6264" t="str">
        <f t="shared" si="2559"/>
        <v>04-08-2020</v>
      </c>
      <c r="M6264" t="str">
        <f t="shared" si="2559"/>
        <v>04-08-2020</v>
      </c>
      <c r="N6264" t="str">
        <f t="shared" si="2544"/>
        <v>001105018356</v>
      </c>
      <c r="O6264" t="str">
        <f t="shared" si="2545"/>
        <v>MYR</v>
      </c>
      <c r="P6264" t="str">
        <f t="shared" si="2560"/>
        <v>NIL</v>
      </c>
      <c r="Q6264" t="str">
        <f t="shared" si="2560"/>
        <v>NIL</v>
      </c>
      <c r="R6264" t="str">
        <f t="shared" si="2557"/>
        <v>Accepted</v>
      </c>
      <c r="S6264" t="str">
        <f t="shared" si="2546"/>
        <v>Approved</v>
      </c>
      <c r="T6264" t="str">
        <f t="shared" si="2558"/>
        <v>10.20.8.188</v>
      </c>
      <c r="U6264" t="str">
        <f t="shared" si="2547"/>
        <v>AZRAD UMAR BIN SHAARI</v>
      </c>
      <c r="V6264" t="str">
        <f t="shared" si="2548"/>
        <v>FARHANA BINTI MUSTAPA</v>
      </c>
      <c r="W6264" t="str">
        <f t="shared" si="2549"/>
        <v>04-08-2020</v>
      </c>
      <c r="X6264" t="str">
        <f t="shared" si="2550"/>
        <v>RAZIMAH ANSAR AHMAD</v>
      </c>
      <c r="Y6264" t="str">
        <f t="shared" si="2551"/>
        <v>04-08-2020</v>
      </c>
      <c r="Z6264" t="str">
        <f>"COS10200804 2890"</f>
        <v>COS10200804 2890</v>
      </c>
    </row>
    <row r="6265" spans="1:26" x14ac:dyDescent="0.25">
      <c r="A6265" t="str">
        <f t="shared" si="2561"/>
        <v>04-08-2020 12:40:28</v>
      </c>
      <c r="B6265" t="str">
        <f>"0000804653"</f>
        <v>0000804653</v>
      </c>
      <c r="C6265" t="str">
        <f t="shared" si="2562"/>
        <v>0000804564</v>
      </c>
      <c r="D6265" t="str">
        <f t="shared" si="2541"/>
        <v>73185</v>
      </c>
      <c r="E6265" t="str">
        <f t="shared" si="2542"/>
        <v>KFH-OPERATIONS DEPARTMENT</v>
      </c>
      <c r="F6265" t="str">
        <f t="shared" si="2543"/>
        <v>IBG</v>
      </c>
      <c r="G6265" t="str">
        <f t="shared" si="2554"/>
        <v>Refund COSHARE 10</v>
      </c>
      <c r="H6265" s="2">
        <v>361</v>
      </c>
      <c r="I6265" t="str">
        <f>"MOHD IZWAN BIN MASRI"</f>
        <v>MOHD IZWAN BIN MASRI</v>
      </c>
      <c r="J6265" t="str">
        <f t="shared" si="2538"/>
        <v>CIMB BANK / CIMB ISLAMIC BANK</v>
      </c>
      <c r="K6265" t="str">
        <f>"06040005187200"</f>
        <v>06040005187200</v>
      </c>
      <c r="L6265" t="str">
        <f t="shared" si="2559"/>
        <v>04-08-2020</v>
      </c>
      <c r="M6265" t="str">
        <f t="shared" si="2559"/>
        <v>04-08-2020</v>
      </c>
      <c r="N6265" t="str">
        <f t="shared" si="2544"/>
        <v>001105018356</v>
      </c>
      <c r="O6265" t="str">
        <f t="shared" si="2545"/>
        <v>MYR</v>
      </c>
      <c r="P6265" t="str">
        <f t="shared" si="2560"/>
        <v>NIL</v>
      </c>
      <c r="Q6265" t="str">
        <f t="shared" si="2560"/>
        <v>NIL</v>
      </c>
      <c r="R6265" t="str">
        <f t="shared" si="2557"/>
        <v>Accepted</v>
      </c>
      <c r="S6265" t="str">
        <f t="shared" si="2546"/>
        <v>Approved</v>
      </c>
      <c r="T6265" t="str">
        <f t="shared" si="2558"/>
        <v>10.20.8.188</v>
      </c>
      <c r="U6265" t="str">
        <f t="shared" si="2547"/>
        <v>AZRAD UMAR BIN SHAARI</v>
      </c>
      <c r="V6265" t="str">
        <f t="shared" si="2548"/>
        <v>FARHANA BINTI MUSTAPA</v>
      </c>
      <c r="W6265" t="str">
        <f t="shared" si="2549"/>
        <v>04-08-2020</v>
      </c>
      <c r="X6265" t="str">
        <f t="shared" si="2550"/>
        <v>RAZIMAH ANSAR AHMAD</v>
      </c>
      <c r="Y6265" t="str">
        <f t="shared" si="2551"/>
        <v>04-08-2020</v>
      </c>
      <c r="Z6265" t="str">
        <f>"COS10200804 2889"</f>
        <v>COS10200804 2889</v>
      </c>
    </row>
    <row r="6266" spans="1:26" x14ac:dyDescent="0.25">
      <c r="A6266" t="str">
        <f t="shared" si="2561"/>
        <v>04-08-2020 12:40:28</v>
      </c>
      <c r="B6266" t="str">
        <f>"0000804652"</f>
        <v>0000804652</v>
      </c>
      <c r="C6266" t="str">
        <f t="shared" si="2562"/>
        <v>0000804564</v>
      </c>
      <c r="D6266" t="str">
        <f t="shared" si="2541"/>
        <v>73185</v>
      </c>
      <c r="E6266" t="str">
        <f t="shared" si="2542"/>
        <v>KFH-OPERATIONS DEPARTMENT</v>
      </c>
      <c r="F6266" t="str">
        <f t="shared" si="2543"/>
        <v>IBG</v>
      </c>
      <c r="G6266" t="str">
        <f t="shared" si="2554"/>
        <v>Refund COSHARE 10</v>
      </c>
      <c r="H6266" s="2">
        <v>797.55</v>
      </c>
      <c r="I6266" t="str">
        <f>"MOHD IZWAN BIN BUSTAMAM"</f>
        <v>MOHD IZWAN BIN BUSTAMAM</v>
      </c>
      <c r="J6266" t="str">
        <f t="shared" si="2538"/>
        <v>CIMB BANK / CIMB ISLAMIC BANK</v>
      </c>
      <c r="K6266" t="str">
        <f>"03030063707528"</f>
        <v>03030063707528</v>
      </c>
      <c r="L6266" t="str">
        <f t="shared" si="2559"/>
        <v>04-08-2020</v>
      </c>
      <c r="M6266" t="str">
        <f t="shared" si="2559"/>
        <v>04-08-2020</v>
      </c>
      <c r="N6266" t="str">
        <f t="shared" si="2544"/>
        <v>001105018356</v>
      </c>
      <c r="O6266" t="str">
        <f t="shared" si="2545"/>
        <v>MYR</v>
      </c>
      <c r="P6266" t="str">
        <f t="shared" si="2560"/>
        <v>NIL</v>
      </c>
      <c r="Q6266" t="str">
        <f t="shared" si="2560"/>
        <v>NIL</v>
      </c>
      <c r="R6266" t="str">
        <f t="shared" si="2557"/>
        <v>Accepted</v>
      </c>
      <c r="S6266" t="str">
        <f t="shared" si="2546"/>
        <v>Approved</v>
      </c>
      <c r="T6266" t="str">
        <f t="shared" si="2558"/>
        <v>10.20.8.188</v>
      </c>
      <c r="U6266" t="str">
        <f t="shared" si="2547"/>
        <v>AZRAD UMAR BIN SHAARI</v>
      </c>
      <c r="V6266" t="str">
        <f t="shared" si="2548"/>
        <v>FARHANA BINTI MUSTAPA</v>
      </c>
      <c r="W6266" t="str">
        <f t="shared" si="2549"/>
        <v>04-08-2020</v>
      </c>
      <c r="X6266" t="str">
        <f t="shared" si="2550"/>
        <v>RAZIMAH ANSAR AHMAD</v>
      </c>
      <c r="Y6266" t="str">
        <f t="shared" si="2551"/>
        <v>04-08-2020</v>
      </c>
      <c r="Z6266" t="str">
        <f>"COS10200804 2888"</f>
        <v>COS10200804 2888</v>
      </c>
    </row>
    <row r="6267" spans="1:26" x14ac:dyDescent="0.25">
      <c r="A6267" t="str">
        <f t="shared" si="2561"/>
        <v>04-08-2020 12:40:28</v>
      </c>
      <c r="B6267" t="str">
        <f>"0000804651"</f>
        <v>0000804651</v>
      </c>
      <c r="C6267" t="str">
        <f t="shared" si="2562"/>
        <v>0000804564</v>
      </c>
      <c r="D6267" t="str">
        <f t="shared" si="2541"/>
        <v>73185</v>
      </c>
      <c r="E6267" t="str">
        <f t="shared" si="2542"/>
        <v>KFH-OPERATIONS DEPARTMENT</v>
      </c>
      <c r="F6267" t="str">
        <f t="shared" si="2543"/>
        <v>IBG</v>
      </c>
      <c r="G6267" t="str">
        <f t="shared" si="2554"/>
        <v>Refund COSHARE 10</v>
      </c>
      <c r="H6267" s="2">
        <v>486</v>
      </c>
      <c r="I6267" t="str">
        <f>"MOHD ISWADI BIN HAMZAH"</f>
        <v>MOHD ISWADI BIN HAMZAH</v>
      </c>
      <c r="J6267" t="str">
        <f t="shared" si="2538"/>
        <v>CIMB BANK / CIMB ISLAMIC BANK</v>
      </c>
      <c r="K6267" t="str">
        <f>"13090017733528"</f>
        <v>13090017733528</v>
      </c>
      <c r="L6267" t="str">
        <f t="shared" ref="L6267:M6286" si="2563">"04-08-2020"</f>
        <v>04-08-2020</v>
      </c>
      <c r="M6267" t="str">
        <f t="shared" si="2563"/>
        <v>04-08-2020</v>
      </c>
      <c r="N6267" t="str">
        <f t="shared" si="2544"/>
        <v>001105018356</v>
      </c>
      <c r="O6267" t="str">
        <f t="shared" si="2545"/>
        <v>MYR</v>
      </c>
      <c r="P6267" t="str">
        <f t="shared" ref="P6267:Q6286" si="2564">"NIL"</f>
        <v>NIL</v>
      </c>
      <c r="Q6267" t="str">
        <f t="shared" si="2564"/>
        <v>NIL</v>
      </c>
      <c r="R6267" t="str">
        <f t="shared" si="2557"/>
        <v>Accepted</v>
      </c>
      <c r="S6267" t="str">
        <f t="shared" si="2546"/>
        <v>Approved</v>
      </c>
      <c r="T6267" t="str">
        <f t="shared" si="2558"/>
        <v>10.20.8.188</v>
      </c>
      <c r="U6267" t="str">
        <f t="shared" si="2547"/>
        <v>AZRAD UMAR BIN SHAARI</v>
      </c>
      <c r="V6267" t="str">
        <f t="shared" si="2548"/>
        <v>FARHANA BINTI MUSTAPA</v>
      </c>
      <c r="W6267" t="str">
        <f t="shared" si="2549"/>
        <v>04-08-2020</v>
      </c>
      <c r="X6267" t="str">
        <f t="shared" si="2550"/>
        <v>RAZIMAH ANSAR AHMAD</v>
      </c>
      <c r="Y6267" t="str">
        <f t="shared" si="2551"/>
        <v>04-08-2020</v>
      </c>
      <c r="Z6267" t="str">
        <f>"COS10200804 2887"</f>
        <v>COS10200804 2887</v>
      </c>
    </row>
    <row r="6268" spans="1:26" x14ac:dyDescent="0.25">
      <c r="A6268" t="str">
        <f t="shared" si="2561"/>
        <v>04-08-2020 12:40:28</v>
      </c>
      <c r="B6268" t="str">
        <f>"0000804650"</f>
        <v>0000804650</v>
      </c>
      <c r="C6268" t="str">
        <f t="shared" si="2562"/>
        <v>0000804564</v>
      </c>
      <c r="D6268" t="str">
        <f t="shared" si="2541"/>
        <v>73185</v>
      </c>
      <c r="E6268" t="str">
        <f t="shared" si="2542"/>
        <v>KFH-OPERATIONS DEPARTMENT</v>
      </c>
      <c r="F6268" t="str">
        <f t="shared" si="2543"/>
        <v>IBG</v>
      </c>
      <c r="G6268" t="str">
        <f t="shared" si="2554"/>
        <v>Refund COSHARE 10</v>
      </c>
      <c r="H6268" s="2">
        <v>839.5</v>
      </c>
      <c r="I6268" t="str">
        <f>"MOHD IDRIS BIN ISHAK"</f>
        <v>MOHD IDRIS BIN ISHAK</v>
      </c>
      <c r="J6268" t="str">
        <f t="shared" ref="J6268:J6331" si="2565">"CIMB BANK / CIMB ISLAMIC BANK"</f>
        <v>CIMB BANK / CIMB ISLAMIC BANK</v>
      </c>
      <c r="K6268" t="str">
        <f>"7004503386"</f>
        <v>7004503386</v>
      </c>
      <c r="L6268" t="str">
        <f t="shared" si="2563"/>
        <v>04-08-2020</v>
      </c>
      <c r="M6268" t="str">
        <f t="shared" si="2563"/>
        <v>04-08-2020</v>
      </c>
      <c r="N6268" t="str">
        <f t="shared" si="2544"/>
        <v>001105018356</v>
      </c>
      <c r="O6268" t="str">
        <f t="shared" si="2545"/>
        <v>MYR</v>
      </c>
      <c r="P6268" t="str">
        <f t="shared" si="2564"/>
        <v>NIL</v>
      </c>
      <c r="Q6268" t="str">
        <f t="shared" si="2564"/>
        <v>NIL</v>
      </c>
      <c r="R6268" t="str">
        <f t="shared" si="2557"/>
        <v>Accepted</v>
      </c>
      <c r="S6268" t="str">
        <f t="shared" si="2546"/>
        <v>Approved</v>
      </c>
      <c r="T6268" t="str">
        <f t="shared" si="2558"/>
        <v>10.20.8.188</v>
      </c>
      <c r="U6268" t="str">
        <f t="shared" si="2547"/>
        <v>AZRAD UMAR BIN SHAARI</v>
      </c>
      <c r="V6268" t="str">
        <f t="shared" si="2548"/>
        <v>FARHANA BINTI MUSTAPA</v>
      </c>
      <c r="W6268" t="str">
        <f t="shared" si="2549"/>
        <v>04-08-2020</v>
      </c>
      <c r="X6268" t="str">
        <f t="shared" si="2550"/>
        <v>RAZIMAH ANSAR AHMAD</v>
      </c>
      <c r="Y6268" t="str">
        <f t="shared" si="2551"/>
        <v>04-08-2020</v>
      </c>
      <c r="Z6268" t="str">
        <f>"COS10200804 2886"</f>
        <v>COS10200804 2886</v>
      </c>
    </row>
    <row r="6269" spans="1:26" x14ac:dyDescent="0.25">
      <c r="A6269" t="str">
        <f t="shared" si="2561"/>
        <v>04-08-2020 12:40:28</v>
      </c>
      <c r="B6269" t="str">
        <f>"0000804649"</f>
        <v>0000804649</v>
      </c>
      <c r="C6269" t="str">
        <f t="shared" si="2562"/>
        <v>0000804564</v>
      </c>
      <c r="D6269" t="str">
        <f t="shared" si="2541"/>
        <v>73185</v>
      </c>
      <c r="E6269" t="str">
        <f t="shared" si="2542"/>
        <v>KFH-OPERATIONS DEPARTMENT</v>
      </c>
      <c r="F6269" t="str">
        <f t="shared" si="2543"/>
        <v>IBG</v>
      </c>
      <c r="G6269" t="str">
        <f t="shared" si="2554"/>
        <v>Refund COSHARE 10</v>
      </c>
      <c r="H6269" s="2">
        <v>335.8</v>
      </c>
      <c r="I6269" t="str">
        <f>"MOHD HAZRI BIN NGAH"</f>
        <v>MOHD HAZRI BIN NGAH</v>
      </c>
      <c r="J6269" t="str">
        <f t="shared" si="2565"/>
        <v>CIMB BANK / CIMB ISLAMIC BANK</v>
      </c>
      <c r="K6269" t="str">
        <f>"7619108491"</f>
        <v>7619108491</v>
      </c>
      <c r="L6269" t="str">
        <f t="shared" si="2563"/>
        <v>04-08-2020</v>
      </c>
      <c r="M6269" t="str">
        <f t="shared" si="2563"/>
        <v>04-08-2020</v>
      </c>
      <c r="N6269" t="str">
        <f t="shared" si="2544"/>
        <v>001105018356</v>
      </c>
      <c r="O6269" t="str">
        <f t="shared" si="2545"/>
        <v>MYR</v>
      </c>
      <c r="P6269" t="str">
        <f t="shared" si="2564"/>
        <v>NIL</v>
      </c>
      <c r="Q6269" t="str">
        <f t="shared" si="2564"/>
        <v>NIL</v>
      </c>
      <c r="R6269" t="str">
        <f t="shared" si="2557"/>
        <v>Accepted</v>
      </c>
      <c r="S6269" t="str">
        <f t="shared" si="2546"/>
        <v>Approved</v>
      </c>
      <c r="T6269" t="str">
        <f t="shared" si="2558"/>
        <v>10.20.8.188</v>
      </c>
      <c r="U6269" t="str">
        <f t="shared" si="2547"/>
        <v>AZRAD UMAR BIN SHAARI</v>
      </c>
      <c r="V6269" t="str">
        <f t="shared" si="2548"/>
        <v>FARHANA BINTI MUSTAPA</v>
      </c>
      <c r="W6269" t="str">
        <f t="shared" si="2549"/>
        <v>04-08-2020</v>
      </c>
      <c r="X6269" t="str">
        <f t="shared" si="2550"/>
        <v>RAZIMAH ANSAR AHMAD</v>
      </c>
      <c r="Y6269" t="str">
        <f t="shared" si="2551"/>
        <v>04-08-2020</v>
      </c>
      <c r="Z6269" t="str">
        <f>"COS10200804 2885"</f>
        <v>COS10200804 2885</v>
      </c>
    </row>
    <row r="6270" spans="1:26" x14ac:dyDescent="0.25">
      <c r="A6270" t="str">
        <f t="shared" si="2561"/>
        <v>04-08-2020 12:40:28</v>
      </c>
      <c r="B6270" t="str">
        <f>"0000804648"</f>
        <v>0000804648</v>
      </c>
      <c r="C6270" t="str">
        <f t="shared" si="2562"/>
        <v>0000804564</v>
      </c>
      <c r="D6270" t="str">
        <f t="shared" si="2541"/>
        <v>73185</v>
      </c>
      <c r="E6270" t="str">
        <f t="shared" si="2542"/>
        <v>KFH-OPERATIONS DEPARTMENT</v>
      </c>
      <c r="F6270" t="str">
        <f t="shared" si="2543"/>
        <v>IBG</v>
      </c>
      <c r="G6270" t="str">
        <f t="shared" si="2554"/>
        <v>Refund COSHARE 10</v>
      </c>
      <c r="H6270" s="2">
        <v>100.75</v>
      </c>
      <c r="I6270" t="str">
        <f>"MOHD HAZLAN BIN MORAH"</f>
        <v>MOHD HAZLAN BIN MORAH</v>
      </c>
      <c r="J6270" t="str">
        <f t="shared" si="2565"/>
        <v>CIMB BANK / CIMB ISLAMIC BANK</v>
      </c>
      <c r="K6270" t="str">
        <f>"10060035649528"</f>
        <v>10060035649528</v>
      </c>
      <c r="L6270" t="str">
        <f t="shared" si="2563"/>
        <v>04-08-2020</v>
      </c>
      <c r="M6270" t="str">
        <f t="shared" si="2563"/>
        <v>04-08-2020</v>
      </c>
      <c r="N6270" t="str">
        <f t="shared" si="2544"/>
        <v>001105018356</v>
      </c>
      <c r="O6270" t="str">
        <f t="shared" si="2545"/>
        <v>MYR</v>
      </c>
      <c r="P6270" t="str">
        <f t="shared" si="2564"/>
        <v>NIL</v>
      </c>
      <c r="Q6270" t="str">
        <f t="shared" si="2564"/>
        <v>NIL</v>
      </c>
      <c r="R6270" t="str">
        <f t="shared" si="2557"/>
        <v>Accepted</v>
      </c>
      <c r="S6270" t="str">
        <f t="shared" si="2546"/>
        <v>Approved</v>
      </c>
      <c r="T6270" t="str">
        <f t="shared" si="2558"/>
        <v>10.20.8.188</v>
      </c>
      <c r="U6270" t="str">
        <f t="shared" si="2547"/>
        <v>AZRAD UMAR BIN SHAARI</v>
      </c>
      <c r="V6270" t="str">
        <f t="shared" si="2548"/>
        <v>FARHANA BINTI MUSTAPA</v>
      </c>
      <c r="W6270" t="str">
        <f t="shared" si="2549"/>
        <v>04-08-2020</v>
      </c>
      <c r="X6270" t="str">
        <f t="shared" si="2550"/>
        <v>RAZIMAH ANSAR AHMAD</v>
      </c>
      <c r="Y6270" t="str">
        <f t="shared" si="2551"/>
        <v>04-08-2020</v>
      </c>
      <c r="Z6270" t="str">
        <f>"COS10200804 2884"</f>
        <v>COS10200804 2884</v>
      </c>
    </row>
    <row r="6271" spans="1:26" x14ac:dyDescent="0.25">
      <c r="A6271" t="str">
        <f t="shared" si="2561"/>
        <v>04-08-2020 12:40:28</v>
      </c>
      <c r="B6271" t="str">
        <f>"0000804647"</f>
        <v>0000804647</v>
      </c>
      <c r="C6271" t="str">
        <f t="shared" si="2562"/>
        <v>0000804564</v>
      </c>
      <c r="D6271" t="str">
        <f t="shared" si="2541"/>
        <v>73185</v>
      </c>
      <c r="E6271" t="str">
        <f t="shared" si="2542"/>
        <v>KFH-OPERATIONS DEPARTMENT</v>
      </c>
      <c r="F6271" t="str">
        <f t="shared" si="2543"/>
        <v>IBG</v>
      </c>
      <c r="G6271" t="str">
        <f t="shared" si="2554"/>
        <v>Refund COSHARE 10</v>
      </c>
      <c r="H6271" s="2">
        <v>244</v>
      </c>
      <c r="I6271" t="str">
        <f>"MOHD HASRUL AZRI BIN ZAINOL"</f>
        <v>MOHD HASRUL AZRI BIN ZAINOL</v>
      </c>
      <c r="J6271" t="str">
        <f t="shared" si="2565"/>
        <v>CIMB BANK / CIMB ISLAMIC BANK</v>
      </c>
      <c r="K6271" t="str">
        <f>"7007193781"</f>
        <v>7007193781</v>
      </c>
      <c r="L6271" t="str">
        <f t="shared" si="2563"/>
        <v>04-08-2020</v>
      </c>
      <c r="M6271" t="str">
        <f t="shared" si="2563"/>
        <v>04-08-2020</v>
      </c>
      <c r="N6271" t="str">
        <f t="shared" si="2544"/>
        <v>001105018356</v>
      </c>
      <c r="O6271" t="str">
        <f t="shared" si="2545"/>
        <v>MYR</v>
      </c>
      <c r="P6271" t="str">
        <f t="shared" si="2564"/>
        <v>NIL</v>
      </c>
      <c r="Q6271" t="str">
        <f t="shared" si="2564"/>
        <v>NIL</v>
      </c>
      <c r="R6271" t="str">
        <f t="shared" si="2557"/>
        <v>Accepted</v>
      </c>
      <c r="S6271" t="str">
        <f t="shared" si="2546"/>
        <v>Approved</v>
      </c>
      <c r="T6271" t="str">
        <f t="shared" si="2558"/>
        <v>10.20.8.188</v>
      </c>
      <c r="U6271" t="str">
        <f t="shared" si="2547"/>
        <v>AZRAD UMAR BIN SHAARI</v>
      </c>
      <c r="V6271" t="str">
        <f t="shared" si="2548"/>
        <v>FARHANA BINTI MUSTAPA</v>
      </c>
      <c r="W6271" t="str">
        <f t="shared" si="2549"/>
        <v>04-08-2020</v>
      </c>
      <c r="X6271" t="str">
        <f t="shared" si="2550"/>
        <v>RAZIMAH ANSAR AHMAD</v>
      </c>
      <c r="Y6271" t="str">
        <f t="shared" si="2551"/>
        <v>04-08-2020</v>
      </c>
      <c r="Z6271" t="str">
        <f>"COS10200804 2883"</f>
        <v>COS10200804 2883</v>
      </c>
    </row>
    <row r="6272" spans="1:26" x14ac:dyDescent="0.25">
      <c r="A6272" t="str">
        <f t="shared" si="2561"/>
        <v>04-08-2020 12:40:28</v>
      </c>
      <c r="B6272" t="str">
        <f>"0000804646"</f>
        <v>0000804646</v>
      </c>
      <c r="C6272" t="str">
        <f t="shared" si="2562"/>
        <v>0000804564</v>
      </c>
      <c r="D6272" t="str">
        <f t="shared" si="2541"/>
        <v>73185</v>
      </c>
      <c r="E6272" t="str">
        <f t="shared" si="2542"/>
        <v>KFH-OPERATIONS DEPARTMENT</v>
      </c>
      <c r="F6272" t="str">
        <f t="shared" si="2543"/>
        <v>IBG</v>
      </c>
      <c r="G6272" t="str">
        <f t="shared" si="2554"/>
        <v>Refund COSHARE 10</v>
      </c>
      <c r="H6272" s="2">
        <v>503.7</v>
      </c>
      <c r="I6272" t="str">
        <f>"MOHD HASRUL ANIZAN BIN MOHD KAMIL"</f>
        <v>MOHD HASRUL ANIZAN BIN MOHD KAMIL</v>
      </c>
      <c r="J6272" t="str">
        <f t="shared" si="2565"/>
        <v>CIMB BANK / CIMB ISLAMIC BANK</v>
      </c>
      <c r="K6272" t="str">
        <f>"08150068711524"</f>
        <v>08150068711524</v>
      </c>
      <c r="L6272" t="str">
        <f t="shared" si="2563"/>
        <v>04-08-2020</v>
      </c>
      <c r="M6272" t="str">
        <f t="shared" si="2563"/>
        <v>04-08-2020</v>
      </c>
      <c r="N6272" t="str">
        <f t="shared" si="2544"/>
        <v>001105018356</v>
      </c>
      <c r="O6272" t="str">
        <f t="shared" si="2545"/>
        <v>MYR</v>
      </c>
      <c r="P6272" t="str">
        <f t="shared" si="2564"/>
        <v>NIL</v>
      </c>
      <c r="Q6272" t="str">
        <f t="shared" si="2564"/>
        <v>NIL</v>
      </c>
      <c r="R6272" t="str">
        <f t="shared" si="2557"/>
        <v>Accepted</v>
      </c>
      <c r="S6272" t="str">
        <f t="shared" si="2546"/>
        <v>Approved</v>
      </c>
      <c r="T6272" t="str">
        <f t="shared" si="2558"/>
        <v>10.20.8.188</v>
      </c>
      <c r="U6272" t="str">
        <f t="shared" si="2547"/>
        <v>AZRAD UMAR BIN SHAARI</v>
      </c>
      <c r="V6272" t="str">
        <f t="shared" si="2548"/>
        <v>FARHANA BINTI MUSTAPA</v>
      </c>
      <c r="W6272" t="str">
        <f t="shared" si="2549"/>
        <v>04-08-2020</v>
      </c>
      <c r="X6272" t="str">
        <f t="shared" si="2550"/>
        <v>RAZIMAH ANSAR AHMAD</v>
      </c>
      <c r="Y6272" t="str">
        <f t="shared" si="2551"/>
        <v>04-08-2020</v>
      </c>
      <c r="Z6272" t="str">
        <f>"COS10200804 2882"</f>
        <v>COS10200804 2882</v>
      </c>
    </row>
    <row r="6273" spans="1:26" x14ac:dyDescent="0.25">
      <c r="A6273" t="str">
        <f t="shared" si="2561"/>
        <v>04-08-2020 12:40:28</v>
      </c>
      <c r="B6273" t="str">
        <f>"0000804645"</f>
        <v>0000804645</v>
      </c>
      <c r="C6273" t="str">
        <f t="shared" si="2562"/>
        <v>0000804564</v>
      </c>
      <c r="D6273" t="str">
        <f t="shared" si="2541"/>
        <v>73185</v>
      </c>
      <c r="E6273" t="str">
        <f t="shared" si="2542"/>
        <v>KFH-OPERATIONS DEPARTMENT</v>
      </c>
      <c r="F6273" t="str">
        <f t="shared" si="2543"/>
        <v>IBG</v>
      </c>
      <c r="G6273" t="str">
        <f t="shared" si="2554"/>
        <v>Refund COSHARE 10</v>
      </c>
      <c r="H6273" s="2">
        <v>889.9</v>
      </c>
      <c r="I6273" t="str">
        <f>"MOHD HASNAN BIN OMAR"</f>
        <v>MOHD HASNAN BIN OMAR</v>
      </c>
      <c r="J6273" t="str">
        <f t="shared" si="2565"/>
        <v>CIMB BANK / CIMB ISLAMIC BANK</v>
      </c>
      <c r="K6273" t="str">
        <f>"7050805206"</f>
        <v>7050805206</v>
      </c>
      <c r="L6273" t="str">
        <f t="shared" si="2563"/>
        <v>04-08-2020</v>
      </c>
      <c r="M6273" t="str">
        <f t="shared" si="2563"/>
        <v>04-08-2020</v>
      </c>
      <c r="N6273" t="str">
        <f t="shared" si="2544"/>
        <v>001105018356</v>
      </c>
      <c r="O6273" t="str">
        <f t="shared" si="2545"/>
        <v>MYR</v>
      </c>
      <c r="P6273" t="str">
        <f t="shared" si="2564"/>
        <v>NIL</v>
      </c>
      <c r="Q6273" t="str">
        <f t="shared" si="2564"/>
        <v>NIL</v>
      </c>
      <c r="R6273" t="str">
        <f t="shared" si="2557"/>
        <v>Accepted</v>
      </c>
      <c r="S6273" t="str">
        <f t="shared" si="2546"/>
        <v>Approved</v>
      </c>
      <c r="T6273" t="str">
        <f t="shared" si="2558"/>
        <v>10.20.8.188</v>
      </c>
      <c r="U6273" t="str">
        <f t="shared" si="2547"/>
        <v>AZRAD UMAR BIN SHAARI</v>
      </c>
      <c r="V6273" t="str">
        <f t="shared" si="2548"/>
        <v>FARHANA BINTI MUSTAPA</v>
      </c>
      <c r="W6273" t="str">
        <f t="shared" si="2549"/>
        <v>04-08-2020</v>
      </c>
      <c r="X6273" t="str">
        <f t="shared" si="2550"/>
        <v>RAZIMAH ANSAR AHMAD</v>
      </c>
      <c r="Y6273" t="str">
        <f t="shared" si="2551"/>
        <v>04-08-2020</v>
      </c>
      <c r="Z6273" t="str">
        <f>"COS10200804 2881"</f>
        <v>COS10200804 2881</v>
      </c>
    </row>
    <row r="6274" spans="1:26" x14ac:dyDescent="0.25">
      <c r="A6274" t="str">
        <f t="shared" si="2561"/>
        <v>04-08-2020 12:40:28</v>
      </c>
      <c r="B6274" t="str">
        <f>"0000804644"</f>
        <v>0000804644</v>
      </c>
      <c r="C6274" t="str">
        <f t="shared" si="2562"/>
        <v>0000804564</v>
      </c>
      <c r="D6274" t="str">
        <f t="shared" si="2541"/>
        <v>73185</v>
      </c>
      <c r="E6274" t="str">
        <f t="shared" si="2542"/>
        <v>KFH-OPERATIONS DEPARTMENT</v>
      </c>
      <c r="F6274" t="str">
        <f t="shared" si="2543"/>
        <v>IBG</v>
      </c>
      <c r="G6274" t="str">
        <f t="shared" si="2554"/>
        <v>Refund COSHARE 10</v>
      </c>
      <c r="H6274" s="2">
        <v>126</v>
      </c>
      <c r="I6274" t="str">
        <f>"MOHD HARIRI BIN SALIM"</f>
        <v>MOHD HARIRI BIN SALIM</v>
      </c>
      <c r="J6274" t="str">
        <f t="shared" si="2565"/>
        <v>CIMB BANK / CIMB ISLAMIC BANK</v>
      </c>
      <c r="K6274" t="str">
        <f>"7025458098"</f>
        <v>7025458098</v>
      </c>
      <c r="L6274" t="str">
        <f t="shared" si="2563"/>
        <v>04-08-2020</v>
      </c>
      <c r="M6274" t="str">
        <f t="shared" si="2563"/>
        <v>04-08-2020</v>
      </c>
      <c r="N6274" t="str">
        <f t="shared" si="2544"/>
        <v>001105018356</v>
      </c>
      <c r="O6274" t="str">
        <f t="shared" si="2545"/>
        <v>MYR</v>
      </c>
      <c r="P6274" t="str">
        <f t="shared" si="2564"/>
        <v>NIL</v>
      </c>
      <c r="Q6274" t="str">
        <f t="shared" si="2564"/>
        <v>NIL</v>
      </c>
      <c r="R6274" t="str">
        <f t="shared" si="2557"/>
        <v>Accepted</v>
      </c>
      <c r="S6274" t="str">
        <f t="shared" si="2546"/>
        <v>Approved</v>
      </c>
      <c r="T6274" t="str">
        <f t="shared" si="2558"/>
        <v>10.20.8.188</v>
      </c>
      <c r="U6274" t="str">
        <f t="shared" si="2547"/>
        <v>AZRAD UMAR BIN SHAARI</v>
      </c>
      <c r="V6274" t="str">
        <f t="shared" si="2548"/>
        <v>FARHANA BINTI MUSTAPA</v>
      </c>
      <c r="W6274" t="str">
        <f t="shared" si="2549"/>
        <v>04-08-2020</v>
      </c>
      <c r="X6274" t="str">
        <f t="shared" si="2550"/>
        <v>RAZIMAH ANSAR AHMAD</v>
      </c>
      <c r="Y6274" t="str">
        <f t="shared" si="2551"/>
        <v>04-08-2020</v>
      </c>
      <c r="Z6274" t="str">
        <f>"COS10200804 2880"</f>
        <v>COS10200804 2880</v>
      </c>
    </row>
    <row r="6275" spans="1:26" x14ac:dyDescent="0.25">
      <c r="A6275" t="str">
        <f t="shared" si="2561"/>
        <v>04-08-2020 12:40:28</v>
      </c>
      <c r="B6275" t="str">
        <f>"0000804643"</f>
        <v>0000804643</v>
      </c>
      <c r="C6275" t="str">
        <f t="shared" si="2562"/>
        <v>0000804564</v>
      </c>
      <c r="D6275" t="str">
        <f t="shared" si="2541"/>
        <v>73185</v>
      </c>
      <c r="E6275" t="str">
        <f t="shared" si="2542"/>
        <v>KFH-OPERATIONS DEPARTMENT</v>
      </c>
      <c r="F6275" t="str">
        <f t="shared" si="2543"/>
        <v>IBG</v>
      </c>
      <c r="G6275" t="str">
        <f t="shared" si="2554"/>
        <v>Refund COSHARE 10</v>
      </c>
      <c r="H6275" s="2">
        <v>152</v>
      </c>
      <c r="I6275" t="str">
        <f>"MOHD HAMLI BIN ALIAS"</f>
        <v>MOHD HAMLI BIN ALIAS</v>
      </c>
      <c r="J6275" t="str">
        <f t="shared" si="2565"/>
        <v>CIMB BANK / CIMB ISLAMIC BANK</v>
      </c>
      <c r="K6275" t="str">
        <f>"12490049099523"</f>
        <v>12490049099523</v>
      </c>
      <c r="L6275" t="str">
        <f t="shared" si="2563"/>
        <v>04-08-2020</v>
      </c>
      <c r="M6275" t="str">
        <f t="shared" si="2563"/>
        <v>04-08-2020</v>
      </c>
      <c r="N6275" t="str">
        <f t="shared" si="2544"/>
        <v>001105018356</v>
      </c>
      <c r="O6275" t="str">
        <f t="shared" si="2545"/>
        <v>MYR</v>
      </c>
      <c r="P6275" t="str">
        <f t="shared" si="2564"/>
        <v>NIL</v>
      </c>
      <c r="Q6275" t="str">
        <f t="shared" si="2564"/>
        <v>NIL</v>
      </c>
      <c r="R6275" t="str">
        <f t="shared" si="2557"/>
        <v>Accepted</v>
      </c>
      <c r="S6275" t="str">
        <f t="shared" si="2546"/>
        <v>Approved</v>
      </c>
      <c r="T6275" t="str">
        <f t="shared" si="2558"/>
        <v>10.20.8.188</v>
      </c>
      <c r="U6275" t="str">
        <f t="shared" si="2547"/>
        <v>AZRAD UMAR BIN SHAARI</v>
      </c>
      <c r="V6275" t="str">
        <f t="shared" si="2548"/>
        <v>FARHANA BINTI MUSTAPA</v>
      </c>
      <c r="W6275" t="str">
        <f t="shared" si="2549"/>
        <v>04-08-2020</v>
      </c>
      <c r="X6275" t="str">
        <f t="shared" si="2550"/>
        <v>RAZIMAH ANSAR AHMAD</v>
      </c>
      <c r="Y6275" t="str">
        <f t="shared" si="2551"/>
        <v>04-08-2020</v>
      </c>
      <c r="Z6275" t="str">
        <f>"COS10200804 2879"</f>
        <v>COS10200804 2879</v>
      </c>
    </row>
    <row r="6276" spans="1:26" x14ac:dyDescent="0.25">
      <c r="A6276" t="str">
        <f t="shared" si="2561"/>
        <v>04-08-2020 12:40:28</v>
      </c>
      <c r="B6276" t="str">
        <f>"0000804642"</f>
        <v>0000804642</v>
      </c>
      <c r="C6276" t="str">
        <f t="shared" si="2562"/>
        <v>0000804564</v>
      </c>
      <c r="D6276" t="str">
        <f t="shared" si="2541"/>
        <v>73185</v>
      </c>
      <c r="E6276" t="str">
        <f t="shared" si="2542"/>
        <v>KFH-OPERATIONS DEPARTMENT</v>
      </c>
      <c r="F6276" t="str">
        <f t="shared" si="2543"/>
        <v>IBG</v>
      </c>
      <c r="G6276" t="str">
        <f t="shared" si="2554"/>
        <v>Refund COSHARE 10</v>
      </c>
      <c r="H6276" s="2">
        <v>209.9</v>
      </c>
      <c r="I6276" t="str">
        <f>"MOHD HAMIM BIN ALI"</f>
        <v>MOHD HAMIM BIN ALI</v>
      </c>
      <c r="J6276" t="str">
        <f t="shared" si="2565"/>
        <v>CIMB BANK / CIMB ISLAMIC BANK</v>
      </c>
      <c r="K6276" t="str">
        <f>"12022904192528"</f>
        <v>12022904192528</v>
      </c>
      <c r="L6276" t="str">
        <f t="shared" si="2563"/>
        <v>04-08-2020</v>
      </c>
      <c r="M6276" t="str">
        <f t="shared" si="2563"/>
        <v>04-08-2020</v>
      </c>
      <c r="N6276" t="str">
        <f t="shared" si="2544"/>
        <v>001105018356</v>
      </c>
      <c r="O6276" t="str">
        <f t="shared" si="2545"/>
        <v>MYR</v>
      </c>
      <c r="P6276" t="str">
        <f t="shared" si="2564"/>
        <v>NIL</v>
      </c>
      <c r="Q6276" t="str">
        <f t="shared" si="2564"/>
        <v>NIL</v>
      </c>
      <c r="R6276" t="str">
        <f t="shared" si="2557"/>
        <v>Accepted</v>
      </c>
      <c r="S6276" t="str">
        <f t="shared" si="2546"/>
        <v>Approved</v>
      </c>
      <c r="T6276" t="str">
        <f t="shared" si="2558"/>
        <v>10.20.8.188</v>
      </c>
      <c r="U6276" t="str">
        <f t="shared" si="2547"/>
        <v>AZRAD UMAR BIN SHAARI</v>
      </c>
      <c r="V6276" t="str">
        <f t="shared" si="2548"/>
        <v>FARHANA BINTI MUSTAPA</v>
      </c>
      <c r="W6276" t="str">
        <f t="shared" si="2549"/>
        <v>04-08-2020</v>
      </c>
      <c r="X6276" t="str">
        <f t="shared" si="2550"/>
        <v>RAZIMAH ANSAR AHMAD</v>
      </c>
      <c r="Y6276" t="str">
        <f t="shared" si="2551"/>
        <v>04-08-2020</v>
      </c>
      <c r="Z6276" t="str">
        <f>"COS10200804 2878"</f>
        <v>COS10200804 2878</v>
      </c>
    </row>
    <row r="6277" spans="1:26" x14ac:dyDescent="0.25">
      <c r="A6277" t="str">
        <f t="shared" si="2561"/>
        <v>04-08-2020 12:40:28</v>
      </c>
      <c r="B6277" t="str">
        <f>"0000804641"</f>
        <v>0000804641</v>
      </c>
      <c r="C6277" t="str">
        <f t="shared" si="2562"/>
        <v>0000804564</v>
      </c>
      <c r="D6277" t="str">
        <f t="shared" si="2541"/>
        <v>73185</v>
      </c>
      <c r="E6277" t="str">
        <f t="shared" si="2542"/>
        <v>KFH-OPERATIONS DEPARTMENT</v>
      </c>
      <c r="F6277" t="str">
        <f t="shared" si="2543"/>
        <v>IBG</v>
      </c>
      <c r="G6277" t="str">
        <f t="shared" si="2554"/>
        <v>Refund COSHARE 10</v>
      </c>
      <c r="H6277" s="2">
        <v>78.599999999999994</v>
      </c>
      <c r="I6277" t="str">
        <f>"MOHD HAIRE BIN MTAHIR"</f>
        <v>MOHD HAIRE BIN MTAHIR</v>
      </c>
      <c r="J6277" t="str">
        <f t="shared" si="2565"/>
        <v>CIMB BANK / CIMB ISLAMIC BANK</v>
      </c>
      <c r="K6277" t="str">
        <f>"12360025400523"</f>
        <v>12360025400523</v>
      </c>
      <c r="L6277" t="str">
        <f t="shared" si="2563"/>
        <v>04-08-2020</v>
      </c>
      <c r="M6277" t="str">
        <f t="shared" si="2563"/>
        <v>04-08-2020</v>
      </c>
      <c r="N6277" t="str">
        <f t="shared" si="2544"/>
        <v>001105018356</v>
      </c>
      <c r="O6277" t="str">
        <f t="shared" si="2545"/>
        <v>MYR</v>
      </c>
      <c r="P6277" t="str">
        <f t="shared" si="2564"/>
        <v>NIL</v>
      </c>
      <c r="Q6277" t="str">
        <f t="shared" si="2564"/>
        <v>NIL</v>
      </c>
      <c r="R6277" t="str">
        <f t="shared" si="2557"/>
        <v>Accepted</v>
      </c>
      <c r="S6277" t="str">
        <f t="shared" si="2546"/>
        <v>Approved</v>
      </c>
      <c r="T6277" t="str">
        <f t="shared" si="2558"/>
        <v>10.20.8.188</v>
      </c>
      <c r="U6277" t="str">
        <f t="shared" si="2547"/>
        <v>AZRAD UMAR BIN SHAARI</v>
      </c>
      <c r="V6277" t="str">
        <f t="shared" si="2548"/>
        <v>FARHANA BINTI MUSTAPA</v>
      </c>
      <c r="W6277" t="str">
        <f t="shared" si="2549"/>
        <v>04-08-2020</v>
      </c>
      <c r="X6277" t="str">
        <f t="shared" si="2550"/>
        <v>RAZIMAH ANSAR AHMAD</v>
      </c>
      <c r="Y6277" t="str">
        <f t="shared" si="2551"/>
        <v>04-08-2020</v>
      </c>
      <c r="Z6277" t="str">
        <f>"COS10200804 2877"</f>
        <v>COS10200804 2877</v>
      </c>
    </row>
    <row r="6278" spans="1:26" x14ac:dyDescent="0.25">
      <c r="A6278" t="str">
        <f t="shared" si="2561"/>
        <v>04-08-2020 12:40:28</v>
      </c>
      <c r="B6278" t="str">
        <f>"0000804640"</f>
        <v>0000804640</v>
      </c>
      <c r="C6278" t="str">
        <f t="shared" si="2562"/>
        <v>0000804564</v>
      </c>
      <c r="D6278" t="str">
        <f t="shared" si="2541"/>
        <v>73185</v>
      </c>
      <c r="E6278" t="str">
        <f t="shared" si="2542"/>
        <v>KFH-OPERATIONS DEPARTMENT</v>
      </c>
      <c r="F6278" t="str">
        <f t="shared" si="2543"/>
        <v>IBG</v>
      </c>
      <c r="G6278" t="str">
        <f t="shared" si="2554"/>
        <v>Refund COSHARE 10</v>
      </c>
      <c r="H6278" s="2">
        <v>671.6</v>
      </c>
      <c r="I6278" t="str">
        <f>"MOHD HAFIZUL BIN HASHIM"</f>
        <v>MOHD HAFIZUL BIN HASHIM</v>
      </c>
      <c r="J6278" t="str">
        <f t="shared" si="2565"/>
        <v>CIMB BANK / CIMB ISLAMIC BANK</v>
      </c>
      <c r="K6278" t="str">
        <f>"02031332023529"</f>
        <v>02031332023529</v>
      </c>
      <c r="L6278" t="str">
        <f t="shared" si="2563"/>
        <v>04-08-2020</v>
      </c>
      <c r="M6278" t="str">
        <f t="shared" si="2563"/>
        <v>04-08-2020</v>
      </c>
      <c r="N6278" t="str">
        <f t="shared" si="2544"/>
        <v>001105018356</v>
      </c>
      <c r="O6278" t="str">
        <f t="shared" si="2545"/>
        <v>MYR</v>
      </c>
      <c r="P6278" t="str">
        <f t="shared" si="2564"/>
        <v>NIL</v>
      </c>
      <c r="Q6278" t="str">
        <f t="shared" si="2564"/>
        <v>NIL</v>
      </c>
      <c r="R6278" t="str">
        <f t="shared" si="2557"/>
        <v>Accepted</v>
      </c>
      <c r="S6278" t="str">
        <f t="shared" si="2546"/>
        <v>Approved</v>
      </c>
      <c r="T6278" t="str">
        <f t="shared" si="2558"/>
        <v>10.20.8.188</v>
      </c>
      <c r="U6278" t="str">
        <f t="shared" si="2547"/>
        <v>AZRAD UMAR BIN SHAARI</v>
      </c>
      <c r="V6278" t="str">
        <f t="shared" si="2548"/>
        <v>FARHANA BINTI MUSTAPA</v>
      </c>
      <c r="W6278" t="str">
        <f t="shared" si="2549"/>
        <v>04-08-2020</v>
      </c>
      <c r="X6278" t="str">
        <f t="shared" si="2550"/>
        <v>RAZIMAH ANSAR AHMAD</v>
      </c>
      <c r="Y6278" t="str">
        <f t="shared" si="2551"/>
        <v>04-08-2020</v>
      </c>
      <c r="Z6278" t="str">
        <f>"COS10200804 2876"</f>
        <v>COS10200804 2876</v>
      </c>
    </row>
    <row r="6279" spans="1:26" x14ac:dyDescent="0.25">
      <c r="A6279" t="str">
        <f t="shared" si="2561"/>
        <v>04-08-2020 12:40:28</v>
      </c>
      <c r="B6279" t="str">
        <f>"0000804639"</f>
        <v>0000804639</v>
      </c>
      <c r="C6279" t="str">
        <f t="shared" si="2562"/>
        <v>0000804564</v>
      </c>
      <c r="D6279" t="str">
        <f t="shared" ref="D6279:D6342" si="2566">"73185"</f>
        <v>73185</v>
      </c>
      <c r="E6279" t="str">
        <f t="shared" ref="E6279:E6342" si="2567">"KFH-OPERATIONS DEPARTMENT"</f>
        <v>KFH-OPERATIONS DEPARTMENT</v>
      </c>
      <c r="F6279" t="str">
        <f t="shared" ref="F6279:F6342" si="2568">"IBG"</f>
        <v>IBG</v>
      </c>
      <c r="G6279" t="str">
        <f t="shared" si="2554"/>
        <v>Refund COSHARE 10</v>
      </c>
      <c r="H6279" s="2">
        <v>307</v>
      </c>
      <c r="I6279" t="str">
        <f>"MOHD HAFIZ BIN KAMISAN"</f>
        <v>MOHD HAFIZ BIN KAMISAN</v>
      </c>
      <c r="J6279" t="str">
        <f t="shared" si="2565"/>
        <v>CIMB BANK / CIMB ISLAMIC BANK</v>
      </c>
      <c r="K6279" t="str">
        <f>"14230063119529"</f>
        <v>14230063119529</v>
      </c>
      <c r="L6279" t="str">
        <f t="shared" si="2563"/>
        <v>04-08-2020</v>
      </c>
      <c r="M6279" t="str">
        <f t="shared" si="2563"/>
        <v>04-08-2020</v>
      </c>
      <c r="N6279" t="str">
        <f t="shared" ref="N6279:N6342" si="2569">"001105018356"</f>
        <v>001105018356</v>
      </c>
      <c r="O6279" t="str">
        <f t="shared" ref="O6279:O6342" si="2570">"MYR"</f>
        <v>MYR</v>
      </c>
      <c r="P6279" t="str">
        <f t="shared" si="2564"/>
        <v>NIL</v>
      </c>
      <c r="Q6279" t="str">
        <f t="shared" si="2564"/>
        <v>NIL</v>
      </c>
      <c r="R6279" t="str">
        <f t="shared" si="2557"/>
        <v>Accepted</v>
      </c>
      <c r="S6279" t="str">
        <f t="shared" ref="S6279:S6342" si="2571">"Approved"</f>
        <v>Approved</v>
      </c>
      <c r="T6279" t="str">
        <f t="shared" si="2558"/>
        <v>10.20.8.188</v>
      </c>
      <c r="U6279" t="str">
        <f t="shared" ref="U6279:U6342" si="2572">"AZRAD UMAR BIN SHAARI"</f>
        <v>AZRAD UMAR BIN SHAARI</v>
      </c>
      <c r="V6279" t="str">
        <f t="shared" ref="V6279:V6342" si="2573">"FARHANA BINTI MUSTAPA"</f>
        <v>FARHANA BINTI MUSTAPA</v>
      </c>
      <c r="W6279" t="str">
        <f t="shared" ref="W6279:W6342" si="2574">"04-08-2020"</f>
        <v>04-08-2020</v>
      </c>
      <c r="X6279" t="str">
        <f t="shared" ref="X6279:X6342" si="2575">"RAZIMAH ANSAR AHMAD"</f>
        <v>RAZIMAH ANSAR AHMAD</v>
      </c>
      <c r="Y6279" t="str">
        <f t="shared" ref="Y6279:Y6342" si="2576">"04-08-2020"</f>
        <v>04-08-2020</v>
      </c>
      <c r="Z6279" t="str">
        <f>"COS10200804 2875"</f>
        <v>COS10200804 2875</v>
      </c>
    </row>
    <row r="6280" spans="1:26" x14ac:dyDescent="0.25">
      <c r="A6280" t="str">
        <f t="shared" si="2561"/>
        <v>04-08-2020 12:40:28</v>
      </c>
      <c r="B6280" t="str">
        <f>"0000804638"</f>
        <v>0000804638</v>
      </c>
      <c r="C6280" t="str">
        <f t="shared" si="2562"/>
        <v>0000804564</v>
      </c>
      <c r="D6280" t="str">
        <f t="shared" si="2566"/>
        <v>73185</v>
      </c>
      <c r="E6280" t="str">
        <f t="shared" si="2567"/>
        <v>KFH-OPERATIONS DEPARTMENT</v>
      </c>
      <c r="F6280" t="str">
        <f t="shared" si="2568"/>
        <v>IBG</v>
      </c>
      <c r="G6280" t="str">
        <f t="shared" si="2554"/>
        <v>Refund COSHARE 10</v>
      </c>
      <c r="H6280" s="2">
        <v>638.04999999999995</v>
      </c>
      <c r="I6280" t="str">
        <f>"MOHD HAFIZ BIN AHMAD"</f>
        <v>MOHD HAFIZ BIN AHMAD</v>
      </c>
      <c r="J6280" t="str">
        <f t="shared" si="2565"/>
        <v>CIMB BANK / CIMB ISLAMIC BANK</v>
      </c>
      <c r="K6280" t="str">
        <f>"7009457495"</f>
        <v>7009457495</v>
      </c>
      <c r="L6280" t="str">
        <f t="shared" si="2563"/>
        <v>04-08-2020</v>
      </c>
      <c r="M6280" t="str">
        <f t="shared" si="2563"/>
        <v>04-08-2020</v>
      </c>
      <c r="N6280" t="str">
        <f t="shared" si="2569"/>
        <v>001105018356</v>
      </c>
      <c r="O6280" t="str">
        <f t="shared" si="2570"/>
        <v>MYR</v>
      </c>
      <c r="P6280" t="str">
        <f t="shared" si="2564"/>
        <v>NIL</v>
      </c>
      <c r="Q6280" t="str">
        <f t="shared" si="2564"/>
        <v>NIL</v>
      </c>
      <c r="R6280" t="str">
        <f t="shared" si="2557"/>
        <v>Accepted</v>
      </c>
      <c r="S6280" t="str">
        <f t="shared" si="2571"/>
        <v>Approved</v>
      </c>
      <c r="T6280" t="str">
        <f t="shared" si="2558"/>
        <v>10.20.8.188</v>
      </c>
      <c r="U6280" t="str">
        <f t="shared" si="2572"/>
        <v>AZRAD UMAR BIN SHAARI</v>
      </c>
      <c r="V6280" t="str">
        <f t="shared" si="2573"/>
        <v>FARHANA BINTI MUSTAPA</v>
      </c>
      <c r="W6280" t="str">
        <f t="shared" si="2574"/>
        <v>04-08-2020</v>
      </c>
      <c r="X6280" t="str">
        <f t="shared" si="2575"/>
        <v>RAZIMAH ANSAR AHMAD</v>
      </c>
      <c r="Y6280" t="str">
        <f t="shared" si="2576"/>
        <v>04-08-2020</v>
      </c>
      <c r="Z6280" t="str">
        <f>"COS10200804 2874"</f>
        <v>COS10200804 2874</v>
      </c>
    </row>
    <row r="6281" spans="1:26" x14ac:dyDescent="0.25">
      <c r="A6281" t="str">
        <f t="shared" si="2561"/>
        <v>04-08-2020 12:40:28</v>
      </c>
      <c r="B6281" t="str">
        <f>"0000804637"</f>
        <v>0000804637</v>
      </c>
      <c r="C6281" t="str">
        <f t="shared" si="2562"/>
        <v>0000804564</v>
      </c>
      <c r="D6281" t="str">
        <f t="shared" si="2566"/>
        <v>73185</v>
      </c>
      <c r="E6281" t="str">
        <f t="shared" si="2567"/>
        <v>KFH-OPERATIONS DEPARTMENT</v>
      </c>
      <c r="F6281" t="str">
        <f t="shared" si="2568"/>
        <v>IBG</v>
      </c>
      <c r="G6281" t="str">
        <f t="shared" si="2554"/>
        <v>Refund COSHARE 10</v>
      </c>
      <c r="H6281" s="2">
        <v>209.9</v>
      </c>
      <c r="I6281" t="str">
        <f>"MOHD HAFIS BIN JUMAAT"</f>
        <v>MOHD HAFIS BIN JUMAAT</v>
      </c>
      <c r="J6281" t="str">
        <f t="shared" si="2565"/>
        <v>CIMB BANK / CIMB ISLAMIC BANK</v>
      </c>
      <c r="K6281" t="str">
        <f>"14200064598528"</f>
        <v>14200064598528</v>
      </c>
      <c r="L6281" t="str">
        <f t="shared" si="2563"/>
        <v>04-08-2020</v>
      </c>
      <c r="M6281" t="str">
        <f t="shared" si="2563"/>
        <v>04-08-2020</v>
      </c>
      <c r="N6281" t="str">
        <f t="shared" si="2569"/>
        <v>001105018356</v>
      </c>
      <c r="O6281" t="str">
        <f t="shared" si="2570"/>
        <v>MYR</v>
      </c>
      <c r="P6281" t="str">
        <f t="shared" si="2564"/>
        <v>NIL</v>
      </c>
      <c r="Q6281" t="str">
        <f t="shared" si="2564"/>
        <v>NIL</v>
      </c>
      <c r="R6281" t="str">
        <f t="shared" si="2557"/>
        <v>Accepted</v>
      </c>
      <c r="S6281" t="str">
        <f t="shared" si="2571"/>
        <v>Approved</v>
      </c>
      <c r="T6281" t="str">
        <f t="shared" si="2558"/>
        <v>10.20.8.188</v>
      </c>
      <c r="U6281" t="str">
        <f t="shared" si="2572"/>
        <v>AZRAD UMAR BIN SHAARI</v>
      </c>
      <c r="V6281" t="str">
        <f t="shared" si="2573"/>
        <v>FARHANA BINTI MUSTAPA</v>
      </c>
      <c r="W6281" t="str">
        <f t="shared" si="2574"/>
        <v>04-08-2020</v>
      </c>
      <c r="X6281" t="str">
        <f t="shared" si="2575"/>
        <v>RAZIMAH ANSAR AHMAD</v>
      </c>
      <c r="Y6281" t="str">
        <f t="shared" si="2576"/>
        <v>04-08-2020</v>
      </c>
      <c r="Z6281" t="str">
        <f>"COS10200804 2873"</f>
        <v>COS10200804 2873</v>
      </c>
    </row>
    <row r="6282" spans="1:26" x14ac:dyDescent="0.25">
      <c r="A6282" t="str">
        <f t="shared" ref="A6282:A6313" si="2577">"04-08-2020 12:40:28"</f>
        <v>04-08-2020 12:40:28</v>
      </c>
      <c r="B6282" t="str">
        <f>"0000804636"</f>
        <v>0000804636</v>
      </c>
      <c r="C6282" t="str">
        <f t="shared" ref="C6282:C6313" si="2578">"0000804564"</f>
        <v>0000804564</v>
      </c>
      <c r="D6282" t="str">
        <f t="shared" si="2566"/>
        <v>73185</v>
      </c>
      <c r="E6282" t="str">
        <f t="shared" si="2567"/>
        <v>KFH-OPERATIONS DEPARTMENT</v>
      </c>
      <c r="F6282" t="str">
        <f t="shared" si="2568"/>
        <v>IBG</v>
      </c>
      <c r="G6282" t="str">
        <f t="shared" si="2554"/>
        <v>Refund COSHARE 10</v>
      </c>
      <c r="H6282" s="2">
        <v>671.6</v>
      </c>
      <c r="I6282" t="str">
        <f>"MOHD HADI SYAIFULLAH"</f>
        <v>MOHD HADI SYAIFULLAH</v>
      </c>
      <c r="J6282" t="str">
        <f t="shared" si="2565"/>
        <v>CIMB BANK / CIMB ISLAMIC BANK</v>
      </c>
      <c r="K6282" t="str">
        <f>"7052317175"</f>
        <v>7052317175</v>
      </c>
      <c r="L6282" t="str">
        <f t="shared" si="2563"/>
        <v>04-08-2020</v>
      </c>
      <c r="M6282" t="str">
        <f t="shared" si="2563"/>
        <v>04-08-2020</v>
      </c>
      <c r="N6282" t="str">
        <f t="shared" si="2569"/>
        <v>001105018356</v>
      </c>
      <c r="O6282" t="str">
        <f t="shared" si="2570"/>
        <v>MYR</v>
      </c>
      <c r="P6282" t="str">
        <f t="shared" si="2564"/>
        <v>NIL</v>
      </c>
      <c r="Q6282" t="str">
        <f t="shared" si="2564"/>
        <v>NIL</v>
      </c>
      <c r="R6282" t="str">
        <f t="shared" si="2557"/>
        <v>Accepted</v>
      </c>
      <c r="S6282" t="str">
        <f t="shared" si="2571"/>
        <v>Approved</v>
      </c>
      <c r="T6282" t="str">
        <f t="shared" si="2558"/>
        <v>10.20.8.188</v>
      </c>
      <c r="U6282" t="str">
        <f t="shared" si="2572"/>
        <v>AZRAD UMAR BIN SHAARI</v>
      </c>
      <c r="V6282" t="str">
        <f t="shared" si="2573"/>
        <v>FARHANA BINTI MUSTAPA</v>
      </c>
      <c r="W6282" t="str">
        <f t="shared" si="2574"/>
        <v>04-08-2020</v>
      </c>
      <c r="X6282" t="str">
        <f t="shared" si="2575"/>
        <v>RAZIMAH ANSAR AHMAD</v>
      </c>
      <c r="Y6282" t="str">
        <f t="shared" si="2576"/>
        <v>04-08-2020</v>
      </c>
      <c r="Z6282" t="str">
        <f>"COS10200804 2872"</f>
        <v>COS10200804 2872</v>
      </c>
    </row>
    <row r="6283" spans="1:26" x14ac:dyDescent="0.25">
      <c r="A6283" t="str">
        <f t="shared" si="2577"/>
        <v>04-08-2020 12:40:28</v>
      </c>
      <c r="B6283" t="str">
        <f>"0000804635"</f>
        <v>0000804635</v>
      </c>
      <c r="C6283" t="str">
        <f t="shared" si="2578"/>
        <v>0000804564</v>
      </c>
      <c r="D6283" t="str">
        <f t="shared" si="2566"/>
        <v>73185</v>
      </c>
      <c r="E6283" t="str">
        <f t="shared" si="2567"/>
        <v>KFH-OPERATIONS DEPARTMENT</v>
      </c>
      <c r="F6283" t="str">
        <f t="shared" si="2568"/>
        <v>IBG</v>
      </c>
      <c r="G6283" t="str">
        <f t="shared" si="2554"/>
        <v>Refund COSHARE 10</v>
      </c>
      <c r="H6283" s="2">
        <v>558</v>
      </c>
      <c r="I6283" t="str">
        <f>"MOHD FUAD BIN SUHAIMI"</f>
        <v>MOHD FUAD BIN SUHAIMI</v>
      </c>
      <c r="J6283" t="str">
        <f t="shared" si="2565"/>
        <v>CIMB BANK / CIMB ISLAMIC BANK</v>
      </c>
      <c r="K6283" t="str">
        <f>"08160001593059"</f>
        <v>08160001593059</v>
      </c>
      <c r="L6283" t="str">
        <f t="shared" si="2563"/>
        <v>04-08-2020</v>
      </c>
      <c r="M6283" t="str">
        <f t="shared" si="2563"/>
        <v>04-08-2020</v>
      </c>
      <c r="N6283" t="str">
        <f t="shared" si="2569"/>
        <v>001105018356</v>
      </c>
      <c r="O6283" t="str">
        <f t="shared" si="2570"/>
        <v>MYR</v>
      </c>
      <c r="P6283" t="str">
        <f t="shared" si="2564"/>
        <v>NIL</v>
      </c>
      <c r="Q6283" t="str">
        <f t="shared" si="2564"/>
        <v>NIL</v>
      </c>
      <c r="R6283" t="str">
        <f t="shared" si="2557"/>
        <v>Accepted</v>
      </c>
      <c r="S6283" t="str">
        <f t="shared" si="2571"/>
        <v>Approved</v>
      </c>
      <c r="T6283" t="str">
        <f t="shared" si="2558"/>
        <v>10.20.8.188</v>
      </c>
      <c r="U6283" t="str">
        <f t="shared" si="2572"/>
        <v>AZRAD UMAR BIN SHAARI</v>
      </c>
      <c r="V6283" t="str">
        <f t="shared" si="2573"/>
        <v>FARHANA BINTI MUSTAPA</v>
      </c>
      <c r="W6283" t="str">
        <f t="shared" si="2574"/>
        <v>04-08-2020</v>
      </c>
      <c r="X6283" t="str">
        <f t="shared" si="2575"/>
        <v>RAZIMAH ANSAR AHMAD</v>
      </c>
      <c r="Y6283" t="str">
        <f t="shared" si="2576"/>
        <v>04-08-2020</v>
      </c>
      <c r="Z6283" t="str">
        <f>"COS10200804 2871"</f>
        <v>COS10200804 2871</v>
      </c>
    </row>
    <row r="6284" spans="1:26" x14ac:dyDescent="0.25">
      <c r="A6284" t="str">
        <f t="shared" si="2577"/>
        <v>04-08-2020 12:40:28</v>
      </c>
      <c r="B6284" t="str">
        <f>"0000804634"</f>
        <v>0000804634</v>
      </c>
      <c r="C6284" t="str">
        <f t="shared" si="2578"/>
        <v>0000804564</v>
      </c>
      <c r="D6284" t="str">
        <f t="shared" si="2566"/>
        <v>73185</v>
      </c>
      <c r="E6284" t="str">
        <f t="shared" si="2567"/>
        <v>KFH-OPERATIONS DEPARTMENT</v>
      </c>
      <c r="F6284" t="str">
        <f t="shared" si="2568"/>
        <v>IBG</v>
      </c>
      <c r="G6284" t="str">
        <f t="shared" ref="G6284:G6347" si="2579">"Refund COSHARE 10"</f>
        <v>Refund COSHARE 10</v>
      </c>
      <c r="H6284" s="2">
        <v>823.5</v>
      </c>
      <c r="I6284" t="str">
        <f>"MOHD FIZAM BIN ZAINON"</f>
        <v>MOHD FIZAM BIN ZAINON</v>
      </c>
      <c r="J6284" t="str">
        <f t="shared" si="2565"/>
        <v>CIMB BANK / CIMB ISLAMIC BANK</v>
      </c>
      <c r="K6284" t="str">
        <f>"02140071468521"</f>
        <v>02140071468521</v>
      </c>
      <c r="L6284" t="str">
        <f t="shared" si="2563"/>
        <v>04-08-2020</v>
      </c>
      <c r="M6284" t="str">
        <f t="shared" si="2563"/>
        <v>04-08-2020</v>
      </c>
      <c r="N6284" t="str">
        <f t="shared" si="2569"/>
        <v>001105018356</v>
      </c>
      <c r="O6284" t="str">
        <f t="shared" si="2570"/>
        <v>MYR</v>
      </c>
      <c r="P6284" t="str">
        <f t="shared" si="2564"/>
        <v>NIL</v>
      </c>
      <c r="Q6284" t="str">
        <f t="shared" si="2564"/>
        <v>NIL</v>
      </c>
      <c r="R6284" t="str">
        <f t="shared" si="2557"/>
        <v>Accepted</v>
      </c>
      <c r="S6284" t="str">
        <f t="shared" si="2571"/>
        <v>Approved</v>
      </c>
      <c r="T6284" t="str">
        <f t="shared" si="2558"/>
        <v>10.20.8.188</v>
      </c>
      <c r="U6284" t="str">
        <f t="shared" si="2572"/>
        <v>AZRAD UMAR BIN SHAARI</v>
      </c>
      <c r="V6284" t="str">
        <f t="shared" si="2573"/>
        <v>FARHANA BINTI MUSTAPA</v>
      </c>
      <c r="W6284" t="str">
        <f t="shared" si="2574"/>
        <v>04-08-2020</v>
      </c>
      <c r="X6284" t="str">
        <f t="shared" si="2575"/>
        <v>RAZIMAH ANSAR AHMAD</v>
      </c>
      <c r="Y6284" t="str">
        <f t="shared" si="2576"/>
        <v>04-08-2020</v>
      </c>
      <c r="Z6284" t="str">
        <f>"COS10200804 2870"</f>
        <v>COS10200804 2870</v>
      </c>
    </row>
    <row r="6285" spans="1:26" x14ac:dyDescent="0.25">
      <c r="A6285" t="str">
        <f t="shared" si="2577"/>
        <v>04-08-2020 12:40:28</v>
      </c>
      <c r="B6285" t="str">
        <f>"0000804633"</f>
        <v>0000804633</v>
      </c>
      <c r="C6285" t="str">
        <f t="shared" si="2578"/>
        <v>0000804564</v>
      </c>
      <c r="D6285" t="str">
        <f t="shared" si="2566"/>
        <v>73185</v>
      </c>
      <c r="E6285" t="str">
        <f t="shared" si="2567"/>
        <v>KFH-OPERATIONS DEPARTMENT</v>
      </c>
      <c r="F6285" t="str">
        <f t="shared" si="2568"/>
        <v>IBG</v>
      </c>
      <c r="G6285" t="str">
        <f t="shared" si="2579"/>
        <v>Refund COSHARE 10</v>
      </c>
      <c r="H6285" s="2">
        <v>335.8</v>
      </c>
      <c r="I6285" t="str">
        <f>"MOHD FISOL BIN ABDUL MUTALIB"</f>
        <v>MOHD FISOL BIN ABDUL MUTALIB</v>
      </c>
      <c r="J6285" t="str">
        <f t="shared" si="2565"/>
        <v>CIMB BANK / CIMB ISLAMIC BANK</v>
      </c>
      <c r="K6285" t="str">
        <f>"02130000704209"</f>
        <v>02130000704209</v>
      </c>
      <c r="L6285" t="str">
        <f t="shared" si="2563"/>
        <v>04-08-2020</v>
      </c>
      <c r="M6285" t="str">
        <f t="shared" si="2563"/>
        <v>04-08-2020</v>
      </c>
      <c r="N6285" t="str">
        <f t="shared" si="2569"/>
        <v>001105018356</v>
      </c>
      <c r="O6285" t="str">
        <f t="shared" si="2570"/>
        <v>MYR</v>
      </c>
      <c r="P6285" t="str">
        <f t="shared" si="2564"/>
        <v>NIL</v>
      </c>
      <c r="Q6285" t="str">
        <f t="shared" si="2564"/>
        <v>NIL</v>
      </c>
      <c r="R6285" t="str">
        <f t="shared" si="2557"/>
        <v>Accepted</v>
      </c>
      <c r="S6285" t="str">
        <f t="shared" si="2571"/>
        <v>Approved</v>
      </c>
      <c r="T6285" t="str">
        <f t="shared" si="2558"/>
        <v>10.20.8.188</v>
      </c>
      <c r="U6285" t="str">
        <f t="shared" si="2572"/>
        <v>AZRAD UMAR BIN SHAARI</v>
      </c>
      <c r="V6285" t="str">
        <f t="shared" si="2573"/>
        <v>FARHANA BINTI MUSTAPA</v>
      </c>
      <c r="W6285" t="str">
        <f t="shared" si="2574"/>
        <v>04-08-2020</v>
      </c>
      <c r="X6285" t="str">
        <f t="shared" si="2575"/>
        <v>RAZIMAH ANSAR AHMAD</v>
      </c>
      <c r="Y6285" t="str">
        <f t="shared" si="2576"/>
        <v>04-08-2020</v>
      </c>
      <c r="Z6285" t="str">
        <f>"COS10200804 2869"</f>
        <v>COS10200804 2869</v>
      </c>
    </row>
    <row r="6286" spans="1:26" x14ac:dyDescent="0.25">
      <c r="A6286" t="str">
        <f t="shared" si="2577"/>
        <v>04-08-2020 12:40:28</v>
      </c>
      <c r="B6286" t="str">
        <f>"0000804632"</f>
        <v>0000804632</v>
      </c>
      <c r="C6286" t="str">
        <f t="shared" si="2578"/>
        <v>0000804564</v>
      </c>
      <c r="D6286" t="str">
        <f t="shared" si="2566"/>
        <v>73185</v>
      </c>
      <c r="E6286" t="str">
        <f t="shared" si="2567"/>
        <v>KFH-OPERATIONS DEPARTMENT</v>
      </c>
      <c r="F6286" t="str">
        <f t="shared" si="2568"/>
        <v>IBG</v>
      </c>
      <c r="G6286" t="str">
        <f t="shared" si="2579"/>
        <v>Refund COSHARE 10</v>
      </c>
      <c r="H6286" s="2">
        <v>218.3</v>
      </c>
      <c r="I6286" t="str">
        <f>"MOHD FIRDAUS BIN SAULIMAN"</f>
        <v>MOHD FIRDAUS BIN SAULIMAN</v>
      </c>
      <c r="J6286" t="str">
        <f t="shared" si="2565"/>
        <v>CIMB BANK / CIMB ISLAMIC BANK</v>
      </c>
      <c r="K6286" t="str">
        <f>"12022904009529"</f>
        <v>12022904009529</v>
      </c>
      <c r="L6286" t="str">
        <f t="shared" si="2563"/>
        <v>04-08-2020</v>
      </c>
      <c r="M6286" t="str">
        <f t="shared" si="2563"/>
        <v>04-08-2020</v>
      </c>
      <c r="N6286" t="str">
        <f t="shared" si="2569"/>
        <v>001105018356</v>
      </c>
      <c r="O6286" t="str">
        <f t="shared" si="2570"/>
        <v>MYR</v>
      </c>
      <c r="P6286" t="str">
        <f t="shared" si="2564"/>
        <v>NIL</v>
      </c>
      <c r="Q6286" t="str">
        <f t="shared" si="2564"/>
        <v>NIL</v>
      </c>
      <c r="R6286" t="str">
        <f t="shared" si="2557"/>
        <v>Accepted</v>
      </c>
      <c r="S6286" t="str">
        <f t="shared" si="2571"/>
        <v>Approved</v>
      </c>
      <c r="T6286" t="str">
        <f t="shared" si="2558"/>
        <v>10.20.8.188</v>
      </c>
      <c r="U6286" t="str">
        <f t="shared" si="2572"/>
        <v>AZRAD UMAR BIN SHAARI</v>
      </c>
      <c r="V6286" t="str">
        <f t="shared" si="2573"/>
        <v>FARHANA BINTI MUSTAPA</v>
      </c>
      <c r="W6286" t="str">
        <f t="shared" si="2574"/>
        <v>04-08-2020</v>
      </c>
      <c r="X6286" t="str">
        <f t="shared" si="2575"/>
        <v>RAZIMAH ANSAR AHMAD</v>
      </c>
      <c r="Y6286" t="str">
        <f t="shared" si="2576"/>
        <v>04-08-2020</v>
      </c>
      <c r="Z6286" t="str">
        <f>"COS10200804 2868"</f>
        <v>COS10200804 2868</v>
      </c>
    </row>
    <row r="6287" spans="1:26" x14ac:dyDescent="0.25">
      <c r="A6287" t="str">
        <f t="shared" si="2577"/>
        <v>04-08-2020 12:40:28</v>
      </c>
      <c r="B6287" t="str">
        <f>"0000804631"</f>
        <v>0000804631</v>
      </c>
      <c r="C6287" t="str">
        <f t="shared" si="2578"/>
        <v>0000804564</v>
      </c>
      <c r="D6287" t="str">
        <f t="shared" si="2566"/>
        <v>73185</v>
      </c>
      <c r="E6287" t="str">
        <f t="shared" si="2567"/>
        <v>KFH-OPERATIONS DEPARTMENT</v>
      </c>
      <c r="F6287" t="str">
        <f t="shared" si="2568"/>
        <v>IBG</v>
      </c>
      <c r="G6287" t="str">
        <f t="shared" si="2579"/>
        <v>Refund COSHARE 10</v>
      </c>
      <c r="H6287" s="2">
        <v>419.75</v>
      </c>
      <c r="I6287" t="str">
        <f>"MOHD FIRDAUS BIN AHMAT"</f>
        <v>MOHD FIRDAUS BIN AHMAT</v>
      </c>
      <c r="J6287" t="str">
        <f t="shared" si="2565"/>
        <v>CIMB BANK / CIMB ISLAMIC BANK</v>
      </c>
      <c r="K6287" t="str">
        <f>"7030152718"</f>
        <v>7030152718</v>
      </c>
      <c r="L6287" t="str">
        <f t="shared" ref="L6287:M6306" si="2580">"04-08-2020"</f>
        <v>04-08-2020</v>
      </c>
      <c r="M6287" t="str">
        <f t="shared" si="2580"/>
        <v>04-08-2020</v>
      </c>
      <c r="N6287" t="str">
        <f t="shared" si="2569"/>
        <v>001105018356</v>
      </c>
      <c r="O6287" t="str">
        <f t="shared" si="2570"/>
        <v>MYR</v>
      </c>
      <c r="P6287" t="str">
        <f t="shared" ref="P6287:Q6306" si="2581">"NIL"</f>
        <v>NIL</v>
      </c>
      <c r="Q6287" t="str">
        <f t="shared" si="2581"/>
        <v>NIL</v>
      </c>
      <c r="R6287" t="str">
        <f t="shared" si="2557"/>
        <v>Accepted</v>
      </c>
      <c r="S6287" t="str">
        <f t="shared" si="2571"/>
        <v>Approved</v>
      </c>
      <c r="T6287" t="str">
        <f t="shared" si="2558"/>
        <v>10.20.8.188</v>
      </c>
      <c r="U6287" t="str">
        <f t="shared" si="2572"/>
        <v>AZRAD UMAR BIN SHAARI</v>
      </c>
      <c r="V6287" t="str">
        <f t="shared" si="2573"/>
        <v>FARHANA BINTI MUSTAPA</v>
      </c>
      <c r="W6287" t="str">
        <f t="shared" si="2574"/>
        <v>04-08-2020</v>
      </c>
      <c r="X6287" t="str">
        <f t="shared" si="2575"/>
        <v>RAZIMAH ANSAR AHMAD</v>
      </c>
      <c r="Y6287" t="str">
        <f t="shared" si="2576"/>
        <v>04-08-2020</v>
      </c>
      <c r="Z6287" t="str">
        <f>"COS10200804 2867"</f>
        <v>COS10200804 2867</v>
      </c>
    </row>
    <row r="6288" spans="1:26" x14ac:dyDescent="0.25">
      <c r="A6288" t="str">
        <f t="shared" si="2577"/>
        <v>04-08-2020 12:40:28</v>
      </c>
      <c r="B6288" t="str">
        <f>"0000804630"</f>
        <v>0000804630</v>
      </c>
      <c r="C6288" t="str">
        <f t="shared" si="2578"/>
        <v>0000804564</v>
      </c>
      <c r="D6288" t="str">
        <f t="shared" si="2566"/>
        <v>73185</v>
      </c>
      <c r="E6288" t="str">
        <f t="shared" si="2567"/>
        <v>KFH-OPERATIONS DEPARTMENT</v>
      </c>
      <c r="F6288" t="str">
        <f t="shared" si="2568"/>
        <v>IBG</v>
      </c>
      <c r="G6288" t="str">
        <f t="shared" si="2579"/>
        <v>Refund COSHARE 10</v>
      </c>
      <c r="H6288" s="2">
        <v>100.75</v>
      </c>
      <c r="I6288" t="str">
        <f>"MOHD FIRDAUS BIN ABDULLAH"</f>
        <v>MOHD FIRDAUS BIN ABDULLAH</v>
      </c>
      <c r="J6288" t="str">
        <f t="shared" si="2565"/>
        <v>CIMB BANK / CIMB ISLAMIC BANK</v>
      </c>
      <c r="K6288" t="str">
        <f>"14350067792522"</f>
        <v>14350067792522</v>
      </c>
      <c r="L6288" t="str">
        <f t="shared" si="2580"/>
        <v>04-08-2020</v>
      </c>
      <c r="M6288" t="str">
        <f t="shared" si="2580"/>
        <v>04-08-2020</v>
      </c>
      <c r="N6288" t="str">
        <f t="shared" si="2569"/>
        <v>001105018356</v>
      </c>
      <c r="O6288" t="str">
        <f t="shared" si="2570"/>
        <v>MYR</v>
      </c>
      <c r="P6288" t="str">
        <f t="shared" si="2581"/>
        <v>NIL</v>
      </c>
      <c r="Q6288" t="str">
        <f t="shared" si="2581"/>
        <v>NIL</v>
      </c>
      <c r="R6288" t="str">
        <f t="shared" si="2557"/>
        <v>Accepted</v>
      </c>
      <c r="S6288" t="str">
        <f t="shared" si="2571"/>
        <v>Approved</v>
      </c>
      <c r="T6288" t="str">
        <f t="shared" si="2558"/>
        <v>10.20.8.188</v>
      </c>
      <c r="U6288" t="str">
        <f t="shared" si="2572"/>
        <v>AZRAD UMAR BIN SHAARI</v>
      </c>
      <c r="V6288" t="str">
        <f t="shared" si="2573"/>
        <v>FARHANA BINTI MUSTAPA</v>
      </c>
      <c r="W6288" t="str">
        <f t="shared" si="2574"/>
        <v>04-08-2020</v>
      </c>
      <c r="X6288" t="str">
        <f t="shared" si="2575"/>
        <v>RAZIMAH ANSAR AHMAD</v>
      </c>
      <c r="Y6288" t="str">
        <f t="shared" si="2576"/>
        <v>04-08-2020</v>
      </c>
      <c r="Z6288" t="str">
        <f>"COS10200804 2866"</f>
        <v>COS10200804 2866</v>
      </c>
    </row>
    <row r="6289" spans="1:26" x14ac:dyDescent="0.25">
      <c r="A6289" t="str">
        <f t="shared" si="2577"/>
        <v>04-08-2020 12:40:28</v>
      </c>
      <c r="B6289" t="str">
        <f>"0000804629"</f>
        <v>0000804629</v>
      </c>
      <c r="C6289" t="str">
        <f t="shared" si="2578"/>
        <v>0000804564</v>
      </c>
      <c r="D6289" t="str">
        <f t="shared" si="2566"/>
        <v>73185</v>
      </c>
      <c r="E6289" t="str">
        <f t="shared" si="2567"/>
        <v>KFH-OPERATIONS DEPARTMENT</v>
      </c>
      <c r="F6289" t="str">
        <f t="shared" si="2568"/>
        <v>IBG</v>
      </c>
      <c r="G6289" t="str">
        <f t="shared" si="2579"/>
        <v>Refund COSHARE 10</v>
      </c>
      <c r="H6289" s="2">
        <v>839.5</v>
      </c>
      <c r="I6289" t="str">
        <f>"MOHD FAUZI BIN MOHD LASIM"</f>
        <v>MOHD FAUZI BIN MOHD LASIM</v>
      </c>
      <c r="J6289" t="str">
        <f t="shared" si="2565"/>
        <v>CIMB BANK / CIMB ISLAMIC BANK</v>
      </c>
      <c r="K6289" t="str">
        <f>"7039968800"</f>
        <v>7039968800</v>
      </c>
      <c r="L6289" t="str">
        <f t="shared" si="2580"/>
        <v>04-08-2020</v>
      </c>
      <c r="M6289" t="str">
        <f t="shared" si="2580"/>
        <v>04-08-2020</v>
      </c>
      <c r="N6289" t="str">
        <f t="shared" si="2569"/>
        <v>001105018356</v>
      </c>
      <c r="O6289" t="str">
        <f t="shared" si="2570"/>
        <v>MYR</v>
      </c>
      <c r="P6289" t="str">
        <f t="shared" si="2581"/>
        <v>NIL</v>
      </c>
      <c r="Q6289" t="str">
        <f t="shared" si="2581"/>
        <v>NIL</v>
      </c>
      <c r="R6289" t="str">
        <f t="shared" si="2557"/>
        <v>Accepted</v>
      </c>
      <c r="S6289" t="str">
        <f t="shared" si="2571"/>
        <v>Approved</v>
      </c>
      <c r="T6289" t="str">
        <f t="shared" si="2558"/>
        <v>10.20.8.188</v>
      </c>
      <c r="U6289" t="str">
        <f t="shared" si="2572"/>
        <v>AZRAD UMAR BIN SHAARI</v>
      </c>
      <c r="V6289" t="str">
        <f t="shared" si="2573"/>
        <v>FARHANA BINTI MUSTAPA</v>
      </c>
      <c r="W6289" t="str">
        <f t="shared" si="2574"/>
        <v>04-08-2020</v>
      </c>
      <c r="X6289" t="str">
        <f t="shared" si="2575"/>
        <v>RAZIMAH ANSAR AHMAD</v>
      </c>
      <c r="Y6289" t="str">
        <f t="shared" si="2576"/>
        <v>04-08-2020</v>
      </c>
      <c r="Z6289" t="str">
        <f>"COS10200804 2865"</f>
        <v>COS10200804 2865</v>
      </c>
    </row>
    <row r="6290" spans="1:26" x14ac:dyDescent="0.25">
      <c r="A6290" t="str">
        <f t="shared" si="2577"/>
        <v>04-08-2020 12:40:28</v>
      </c>
      <c r="B6290" t="str">
        <f>"0000804628"</f>
        <v>0000804628</v>
      </c>
      <c r="C6290" t="str">
        <f t="shared" si="2578"/>
        <v>0000804564</v>
      </c>
      <c r="D6290" t="str">
        <f t="shared" si="2566"/>
        <v>73185</v>
      </c>
      <c r="E6290" t="str">
        <f t="shared" si="2567"/>
        <v>KFH-OPERATIONS DEPARTMENT</v>
      </c>
      <c r="F6290" t="str">
        <f t="shared" si="2568"/>
        <v>IBG</v>
      </c>
      <c r="G6290" t="str">
        <f t="shared" si="2579"/>
        <v>Refund COSHARE 10</v>
      </c>
      <c r="H6290" s="2">
        <v>839.5</v>
      </c>
      <c r="I6290" t="str">
        <f>"MOHD FAUZI BIN MOHD LASIM"</f>
        <v>MOHD FAUZI BIN MOHD LASIM</v>
      </c>
      <c r="J6290" t="str">
        <f t="shared" si="2565"/>
        <v>CIMB BANK / CIMB ISLAMIC BANK</v>
      </c>
      <c r="K6290" t="str">
        <f>"7039968800"</f>
        <v>7039968800</v>
      </c>
      <c r="L6290" t="str">
        <f t="shared" si="2580"/>
        <v>04-08-2020</v>
      </c>
      <c r="M6290" t="str">
        <f t="shared" si="2580"/>
        <v>04-08-2020</v>
      </c>
      <c r="N6290" t="str">
        <f t="shared" si="2569"/>
        <v>001105018356</v>
      </c>
      <c r="O6290" t="str">
        <f t="shared" si="2570"/>
        <v>MYR</v>
      </c>
      <c r="P6290" t="str">
        <f t="shared" si="2581"/>
        <v>NIL</v>
      </c>
      <c r="Q6290" t="str">
        <f t="shared" si="2581"/>
        <v>NIL</v>
      </c>
      <c r="R6290" t="str">
        <f t="shared" si="2557"/>
        <v>Accepted</v>
      </c>
      <c r="S6290" t="str">
        <f t="shared" si="2571"/>
        <v>Approved</v>
      </c>
      <c r="T6290" t="str">
        <f t="shared" si="2558"/>
        <v>10.20.8.188</v>
      </c>
      <c r="U6290" t="str">
        <f t="shared" si="2572"/>
        <v>AZRAD UMAR BIN SHAARI</v>
      </c>
      <c r="V6290" t="str">
        <f t="shared" si="2573"/>
        <v>FARHANA BINTI MUSTAPA</v>
      </c>
      <c r="W6290" t="str">
        <f t="shared" si="2574"/>
        <v>04-08-2020</v>
      </c>
      <c r="X6290" t="str">
        <f t="shared" si="2575"/>
        <v>RAZIMAH ANSAR AHMAD</v>
      </c>
      <c r="Y6290" t="str">
        <f t="shared" si="2576"/>
        <v>04-08-2020</v>
      </c>
      <c r="Z6290" t="str">
        <f>"COS10200804 2864"</f>
        <v>COS10200804 2864</v>
      </c>
    </row>
    <row r="6291" spans="1:26" x14ac:dyDescent="0.25">
      <c r="A6291" t="str">
        <f t="shared" si="2577"/>
        <v>04-08-2020 12:40:28</v>
      </c>
      <c r="B6291" t="str">
        <f>"0000804627"</f>
        <v>0000804627</v>
      </c>
      <c r="C6291" t="str">
        <f t="shared" si="2578"/>
        <v>0000804564</v>
      </c>
      <c r="D6291" t="str">
        <f t="shared" si="2566"/>
        <v>73185</v>
      </c>
      <c r="E6291" t="str">
        <f t="shared" si="2567"/>
        <v>KFH-OPERATIONS DEPARTMENT</v>
      </c>
      <c r="F6291" t="str">
        <f t="shared" si="2568"/>
        <v>IBG</v>
      </c>
      <c r="G6291" t="str">
        <f t="shared" si="2579"/>
        <v>Refund COSHARE 10</v>
      </c>
      <c r="H6291" s="2">
        <v>209.9</v>
      </c>
      <c r="I6291" t="str">
        <f>"MOHD FATLY BIN RAJAK"</f>
        <v>MOHD FATLY BIN RAJAK</v>
      </c>
      <c r="J6291" t="str">
        <f t="shared" si="2565"/>
        <v>CIMB BANK / CIMB ISLAMIC BANK</v>
      </c>
      <c r="K6291" t="str">
        <f>"12180085845526"</f>
        <v>12180085845526</v>
      </c>
      <c r="L6291" t="str">
        <f t="shared" si="2580"/>
        <v>04-08-2020</v>
      </c>
      <c r="M6291" t="str">
        <f t="shared" si="2580"/>
        <v>04-08-2020</v>
      </c>
      <c r="N6291" t="str">
        <f t="shared" si="2569"/>
        <v>001105018356</v>
      </c>
      <c r="O6291" t="str">
        <f t="shared" si="2570"/>
        <v>MYR</v>
      </c>
      <c r="P6291" t="str">
        <f t="shared" si="2581"/>
        <v>NIL</v>
      </c>
      <c r="Q6291" t="str">
        <f t="shared" si="2581"/>
        <v>NIL</v>
      </c>
      <c r="R6291" t="str">
        <f t="shared" si="2557"/>
        <v>Accepted</v>
      </c>
      <c r="S6291" t="str">
        <f t="shared" si="2571"/>
        <v>Approved</v>
      </c>
      <c r="T6291" t="str">
        <f t="shared" si="2558"/>
        <v>10.20.8.188</v>
      </c>
      <c r="U6291" t="str">
        <f t="shared" si="2572"/>
        <v>AZRAD UMAR BIN SHAARI</v>
      </c>
      <c r="V6291" t="str">
        <f t="shared" si="2573"/>
        <v>FARHANA BINTI MUSTAPA</v>
      </c>
      <c r="W6291" t="str">
        <f t="shared" si="2574"/>
        <v>04-08-2020</v>
      </c>
      <c r="X6291" t="str">
        <f t="shared" si="2575"/>
        <v>RAZIMAH ANSAR AHMAD</v>
      </c>
      <c r="Y6291" t="str">
        <f t="shared" si="2576"/>
        <v>04-08-2020</v>
      </c>
      <c r="Z6291" t="str">
        <f>"COS10200804 2863"</f>
        <v>COS10200804 2863</v>
      </c>
    </row>
    <row r="6292" spans="1:26" x14ac:dyDescent="0.25">
      <c r="A6292" t="str">
        <f t="shared" si="2577"/>
        <v>04-08-2020 12:40:28</v>
      </c>
      <c r="B6292" t="str">
        <f>"0000804626"</f>
        <v>0000804626</v>
      </c>
      <c r="C6292" t="str">
        <f t="shared" si="2578"/>
        <v>0000804564</v>
      </c>
      <c r="D6292" t="str">
        <f t="shared" si="2566"/>
        <v>73185</v>
      </c>
      <c r="E6292" t="str">
        <f t="shared" si="2567"/>
        <v>KFH-OPERATIONS DEPARTMENT</v>
      </c>
      <c r="F6292" t="str">
        <f t="shared" si="2568"/>
        <v>IBG</v>
      </c>
      <c r="G6292" t="str">
        <f t="shared" si="2579"/>
        <v>Refund COSHARE 10</v>
      </c>
      <c r="H6292" s="2">
        <v>419.75</v>
      </c>
      <c r="I6292" t="str">
        <f>"MOHD FATHUL KARIM BIN ABU BAKAR"</f>
        <v>MOHD FATHUL KARIM BIN ABU BAKAR</v>
      </c>
      <c r="J6292" t="str">
        <f t="shared" si="2565"/>
        <v>CIMB BANK / CIMB ISLAMIC BANK</v>
      </c>
      <c r="K6292" t="str">
        <f>"12150063060528"</f>
        <v>12150063060528</v>
      </c>
      <c r="L6292" t="str">
        <f t="shared" si="2580"/>
        <v>04-08-2020</v>
      </c>
      <c r="M6292" t="str">
        <f t="shared" si="2580"/>
        <v>04-08-2020</v>
      </c>
      <c r="N6292" t="str">
        <f t="shared" si="2569"/>
        <v>001105018356</v>
      </c>
      <c r="O6292" t="str">
        <f t="shared" si="2570"/>
        <v>MYR</v>
      </c>
      <c r="P6292" t="str">
        <f t="shared" si="2581"/>
        <v>NIL</v>
      </c>
      <c r="Q6292" t="str">
        <f t="shared" si="2581"/>
        <v>NIL</v>
      </c>
      <c r="R6292" t="str">
        <f t="shared" si="2557"/>
        <v>Accepted</v>
      </c>
      <c r="S6292" t="str">
        <f t="shared" si="2571"/>
        <v>Approved</v>
      </c>
      <c r="T6292" t="str">
        <f t="shared" si="2558"/>
        <v>10.20.8.188</v>
      </c>
      <c r="U6292" t="str">
        <f t="shared" si="2572"/>
        <v>AZRAD UMAR BIN SHAARI</v>
      </c>
      <c r="V6292" t="str">
        <f t="shared" si="2573"/>
        <v>FARHANA BINTI MUSTAPA</v>
      </c>
      <c r="W6292" t="str">
        <f t="shared" si="2574"/>
        <v>04-08-2020</v>
      </c>
      <c r="X6292" t="str">
        <f t="shared" si="2575"/>
        <v>RAZIMAH ANSAR AHMAD</v>
      </c>
      <c r="Y6292" t="str">
        <f t="shared" si="2576"/>
        <v>04-08-2020</v>
      </c>
      <c r="Z6292" t="str">
        <f>"COS10200804 2862"</f>
        <v>COS10200804 2862</v>
      </c>
    </row>
    <row r="6293" spans="1:26" x14ac:dyDescent="0.25">
      <c r="A6293" t="str">
        <f t="shared" si="2577"/>
        <v>04-08-2020 12:40:28</v>
      </c>
      <c r="B6293" t="str">
        <f>"0000804625"</f>
        <v>0000804625</v>
      </c>
      <c r="C6293" t="str">
        <f t="shared" si="2578"/>
        <v>0000804564</v>
      </c>
      <c r="D6293" t="str">
        <f t="shared" si="2566"/>
        <v>73185</v>
      </c>
      <c r="E6293" t="str">
        <f t="shared" si="2567"/>
        <v>KFH-OPERATIONS DEPARTMENT</v>
      </c>
      <c r="F6293" t="str">
        <f t="shared" si="2568"/>
        <v>IBG</v>
      </c>
      <c r="G6293" t="str">
        <f t="shared" si="2579"/>
        <v>Refund COSHARE 10</v>
      </c>
      <c r="H6293" s="2">
        <v>587.65</v>
      </c>
      <c r="I6293" t="str">
        <f>"MOHD FARMEZEE BIN ABDULLAH"</f>
        <v>MOHD FARMEZEE BIN ABDULLAH</v>
      </c>
      <c r="J6293" t="str">
        <f t="shared" si="2565"/>
        <v>CIMB BANK / CIMB ISLAMIC BANK</v>
      </c>
      <c r="K6293" t="str">
        <f>"7001957355"</f>
        <v>7001957355</v>
      </c>
      <c r="L6293" t="str">
        <f t="shared" si="2580"/>
        <v>04-08-2020</v>
      </c>
      <c r="M6293" t="str">
        <f t="shared" si="2580"/>
        <v>04-08-2020</v>
      </c>
      <c r="N6293" t="str">
        <f t="shared" si="2569"/>
        <v>001105018356</v>
      </c>
      <c r="O6293" t="str">
        <f t="shared" si="2570"/>
        <v>MYR</v>
      </c>
      <c r="P6293" t="str">
        <f t="shared" si="2581"/>
        <v>NIL</v>
      </c>
      <c r="Q6293" t="str">
        <f t="shared" si="2581"/>
        <v>NIL</v>
      </c>
      <c r="R6293" t="str">
        <f t="shared" si="2557"/>
        <v>Accepted</v>
      </c>
      <c r="S6293" t="str">
        <f t="shared" si="2571"/>
        <v>Approved</v>
      </c>
      <c r="T6293" t="str">
        <f t="shared" si="2558"/>
        <v>10.20.8.188</v>
      </c>
      <c r="U6293" t="str">
        <f t="shared" si="2572"/>
        <v>AZRAD UMAR BIN SHAARI</v>
      </c>
      <c r="V6293" t="str">
        <f t="shared" si="2573"/>
        <v>FARHANA BINTI MUSTAPA</v>
      </c>
      <c r="W6293" t="str">
        <f t="shared" si="2574"/>
        <v>04-08-2020</v>
      </c>
      <c r="X6293" t="str">
        <f t="shared" si="2575"/>
        <v>RAZIMAH ANSAR AHMAD</v>
      </c>
      <c r="Y6293" t="str">
        <f t="shared" si="2576"/>
        <v>04-08-2020</v>
      </c>
      <c r="Z6293" t="str">
        <f>"COS10200804 2861"</f>
        <v>COS10200804 2861</v>
      </c>
    </row>
    <row r="6294" spans="1:26" x14ac:dyDescent="0.25">
      <c r="A6294" t="str">
        <f t="shared" si="2577"/>
        <v>04-08-2020 12:40:28</v>
      </c>
      <c r="B6294" t="str">
        <f>"0000804624"</f>
        <v>0000804624</v>
      </c>
      <c r="C6294" t="str">
        <f t="shared" si="2578"/>
        <v>0000804564</v>
      </c>
      <c r="D6294" t="str">
        <f t="shared" si="2566"/>
        <v>73185</v>
      </c>
      <c r="E6294" t="str">
        <f t="shared" si="2567"/>
        <v>KFH-OPERATIONS DEPARTMENT</v>
      </c>
      <c r="F6294" t="str">
        <f t="shared" si="2568"/>
        <v>IBG</v>
      </c>
      <c r="G6294" t="str">
        <f t="shared" si="2579"/>
        <v>Refund COSHARE 10</v>
      </c>
      <c r="H6294" s="2">
        <v>931.85</v>
      </c>
      <c r="I6294" t="str">
        <f>"MOHD FARIZ BIN ABDUL GALIB"</f>
        <v>MOHD FARIZ BIN ABDUL GALIB</v>
      </c>
      <c r="J6294" t="str">
        <f t="shared" si="2565"/>
        <v>CIMB BANK / CIMB ISLAMIC BANK</v>
      </c>
      <c r="K6294" t="str">
        <f>"11050079466528"</f>
        <v>11050079466528</v>
      </c>
      <c r="L6294" t="str">
        <f t="shared" si="2580"/>
        <v>04-08-2020</v>
      </c>
      <c r="M6294" t="str">
        <f t="shared" si="2580"/>
        <v>04-08-2020</v>
      </c>
      <c r="N6294" t="str">
        <f t="shared" si="2569"/>
        <v>001105018356</v>
      </c>
      <c r="O6294" t="str">
        <f t="shared" si="2570"/>
        <v>MYR</v>
      </c>
      <c r="P6294" t="str">
        <f t="shared" si="2581"/>
        <v>NIL</v>
      </c>
      <c r="Q6294" t="str">
        <f t="shared" si="2581"/>
        <v>NIL</v>
      </c>
      <c r="R6294" t="str">
        <f t="shared" si="2557"/>
        <v>Accepted</v>
      </c>
      <c r="S6294" t="str">
        <f t="shared" si="2571"/>
        <v>Approved</v>
      </c>
      <c r="T6294" t="str">
        <f t="shared" si="2558"/>
        <v>10.20.8.188</v>
      </c>
      <c r="U6294" t="str">
        <f t="shared" si="2572"/>
        <v>AZRAD UMAR BIN SHAARI</v>
      </c>
      <c r="V6294" t="str">
        <f t="shared" si="2573"/>
        <v>FARHANA BINTI MUSTAPA</v>
      </c>
      <c r="W6294" t="str">
        <f t="shared" si="2574"/>
        <v>04-08-2020</v>
      </c>
      <c r="X6294" t="str">
        <f t="shared" si="2575"/>
        <v>RAZIMAH ANSAR AHMAD</v>
      </c>
      <c r="Y6294" t="str">
        <f t="shared" si="2576"/>
        <v>04-08-2020</v>
      </c>
      <c r="Z6294" t="str">
        <f>"COS10200804 2860"</f>
        <v>COS10200804 2860</v>
      </c>
    </row>
    <row r="6295" spans="1:26" x14ac:dyDescent="0.25">
      <c r="A6295" t="str">
        <f t="shared" si="2577"/>
        <v>04-08-2020 12:40:28</v>
      </c>
      <c r="B6295" t="str">
        <f>"0000804623"</f>
        <v>0000804623</v>
      </c>
      <c r="C6295" t="str">
        <f t="shared" si="2578"/>
        <v>0000804564</v>
      </c>
      <c r="D6295" t="str">
        <f t="shared" si="2566"/>
        <v>73185</v>
      </c>
      <c r="E6295" t="str">
        <f t="shared" si="2567"/>
        <v>KFH-OPERATIONS DEPARTMENT</v>
      </c>
      <c r="F6295" t="str">
        <f t="shared" si="2568"/>
        <v>IBG</v>
      </c>
      <c r="G6295" t="str">
        <f t="shared" si="2579"/>
        <v>Refund COSHARE 10</v>
      </c>
      <c r="H6295" s="2">
        <v>772.35</v>
      </c>
      <c r="I6295" t="str">
        <f>"MOHD FARIED BIN MOHD ARRIF"</f>
        <v>MOHD FARIED BIN MOHD ARRIF</v>
      </c>
      <c r="J6295" t="str">
        <f t="shared" si="2565"/>
        <v>CIMB BANK / CIMB ISLAMIC BANK</v>
      </c>
      <c r="K6295" t="str">
        <f>"12051408197527"</f>
        <v>12051408197527</v>
      </c>
      <c r="L6295" t="str">
        <f t="shared" si="2580"/>
        <v>04-08-2020</v>
      </c>
      <c r="M6295" t="str">
        <f t="shared" si="2580"/>
        <v>04-08-2020</v>
      </c>
      <c r="N6295" t="str">
        <f t="shared" si="2569"/>
        <v>001105018356</v>
      </c>
      <c r="O6295" t="str">
        <f t="shared" si="2570"/>
        <v>MYR</v>
      </c>
      <c r="P6295" t="str">
        <f t="shared" si="2581"/>
        <v>NIL</v>
      </c>
      <c r="Q6295" t="str">
        <f t="shared" si="2581"/>
        <v>NIL</v>
      </c>
      <c r="R6295" t="str">
        <f t="shared" si="2557"/>
        <v>Accepted</v>
      </c>
      <c r="S6295" t="str">
        <f t="shared" si="2571"/>
        <v>Approved</v>
      </c>
      <c r="T6295" t="str">
        <f t="shared" si="2558"/>
        <v>10.20.8.188</v>
      </c>
      <c r="U6295" t="str">
        <f t="shared" si="2572"/>
        <v>AZRAD UMAR BIN SHAARI</v>
      </c>
      <c r="V6295" t="str">
        <f t="shared" si="2573"/>
        <v>FARHANA BINTI MUSTAPA</v>
      </c>
      <c r="W6295" t="str">
        <f t="shared" si="2574"/>
        <v>04-08-2020</v>
      </c>
      <c r="X6295" t="str">
        <f t="shared" si="2575"/>
        <v>RAZIMAH ANSAR AHMAD</v>
      </c>
      <c r="Y6295" t="str">
        <f t="shared" si="2576"/>
        <v>04-08-2020</v>
      </c>
      <c r="Z6295" t="str">
        <f>"COS10200804 2859"</f>
        <v>COS10200804 2859</v>
      </c>
    </row>
    <row r="6296" spans="1:26" x14ac:dyDescent="0.25">
      <c r="A6296" t="str">
        <f t="shared" si="2577"/>
        <v>04-08-2020 12:40:28</v>
      </c>
      <c r="B6296" t="str">
        <f>"0000804622"</f>
        <v>0000804622</v>
      </c>
      <c r="C6296" t="str">
        <f t="shared" si="2578"/>
        <v>0000804564</v>
      </c>
      <c r="D6296" t="str">
        <f t="shared" si="2566"/>
        <v>73185</v>
      </c>
      <c r="E6296" t="str">
        <f t="shared" si="2567"/>
        <v>KFH-OPERATIONS DEPARTMENT</v>
      </c>
      <c r="F6296" t="str">
        <f t="shared" si="2568"/>
        <v>IBG</v>
      </c>
      <c r="G6296" t="str">
        <f t="shared" si="2579"/>
        <v>Refund COSHARE 10</v>
      </c>
      <c r="H6296" s="2">
        <v>42</v>
      </c>
      <c r="I6296" t="str">
        <f>"MOHD FARHAN BIN MANSOR"</f>
        <v>MOHD FARHAN BIN MANSOR</v>
      </c>
      <c r="J6296" t="str">
        <f t="shared" si="2565"/>
        <v>CIMB BANK / CIMB ISLAMIC BANK</v>
      </c>
      <c r="K6296" t="str">
        <f>"05090072470523"</f>
        <v>05090072470523</v>
      </c>
      <c r="L6296" t="str">
        <f t="shared" si="2580"/>
        <v>04-08-2020</v>
      </c>
      <c r="M6296" t="str">
        <f t="shared" si="2580"/>
        <v>04-08-2020</v>
      </c>
      <c r="N6296" t="str">
        <f t="shared" si="2569"/>
        <v>001105018356</v>
      </c>
      <c r="O6296" t="str">
        <f t="shared" si="2570"/>
        <v>MYR</v>
      </c>
      <c r="P6296" t="str">
        <f t="shared" si="2581"/>
        <v>NIL</v>
      </c>
      <c r="Q6296" t="str">
        <f t="shared" si="2581"/>
        <v>NIL</v>
      </c>
      <c r="R6296" t="str">
        <f t="shared" si="2557"/>
        <v>Accepted</v>
      </c>
      <c r="S6296" t="str">
        <f t="shared" si="2571"/>
        <v>Approved</v>
      </c>
      <c r="T6296" t="str">
        <f t="shared" si="2558"/>
        <v>10.20.8.188</v>
      </c>
      <c r="U6296" t="str">
        <f t="shared" si="2572"/>
        <v>AZRAD UMAR BIN SHAARI</v>
      </c>
      <c r="V6296" t="str">
        <f t="shared" si="2573"/>
        <v>FARHANA BINTI MUSTAPA</v>
      </c>
      <c r="W6296" t="str">
        <f t="shared" si="2574"/>
        <v>04-08-2020</v>
      </c>
      <c r="X6296" t="str">
        <f t="shared" si="2575"/>
        <v>RAZIMAH ANSAR AHMAD</v>
      </c>
      <c r="Y6296" t="str">
        <f t="shared" si="2576"/>
        <v>04-08-2020</v>
      </c>
      <c r="Z6296" t="str">
        <f>"COS10200804 2858"</f>
        <v>COS10200804 2858</v>
      </c>
    </row>
    <row r="6297" spans="1:26" x14ac:dyDescent="0.25">
      <c r="A6297" t="str">
        <f t="shared" si="2577"/>
        <v>04-08-2020 12:40:28</v>
      </c>
      <c r="B6297" t="str">
        <f>"0000804621"</f>
        <v>0000804621</v>
      </c>
      <c r="C6297" t="str">
        <f t="shared" si="2578"/>
        <v>0000804564</v>
      </c>
      <c r="D6297" t="str">
        <f t="shared" si="2566"/>
        <v>73185</v>
      </c>
      <c r="E6297" t="str">
        <f t="shared" si="2567"/>
        <v>KFH-OPERATIONS DEPARTMENT</v>
      </c>
      <c r="F6297" t="str">
        <f t="shared" si="2568"/>
        <v>IBG</v>
      </c>
      <c r="G6297" t="str">
        <f t="shared" si="2579"/>
        <v>Refund COSHARE 10</v>
      </c>
      <c r="H6297" s="2">
        <v>335.8</v>
      </c>
      <c r="I6297" t="str">
        <f>"MOHD FAKHRIZANI BIN AMIRUDIN"</f>
        <v>MOHD FAKHRIZANI BIN AMIRUDIN</v>
      </c>
      <c r="J6297" t="str">
        <f t="shared" si="2565"/>
        <v>CIMB BANK / CIMB ISLAMIC BANK</v>
      </c>
      <c r="K6297" t="str">
        <f>"01120073759520"</f>
        <v>01120073759520</v>
      </c>
      <c r="L6297" t="str">
        <f t="shared" si="2580"/>
        <v>04-08-2020</v>
      </c>
      <c r="M6297" t="str">
        <f t="shared" si="2580"/>
        <v>04-08-2020</v>
      </c>
      <c r="N6297" t="str">
        <f t="shared" si="2569"/>
        <v>001105018356</v>
      </c>
      <c r="O6297" t="str">
        <f t="shared" si="2570"/>
        <v>MYR</v>
      </c>
      <c r="P6297" t="str">
        <f t="shared" si="2581"/>
        <v>NIL</v>
      </c>
      <c r="Q6297" t="str">
        <f t="shared" si="2581"/>
        <v>NIL</v>
      </c>
      <c r="R6297" t="str">
        <f t="shared" si="2557"/>
        <v>Accepted</v>
      </c>
      <c r="S6297" t="str">
        <f t="shared" si="2571"/>
        <v>Approved</v>
      </c>
      <c r="T6297" t="str">
        <f t="shared" si="2558"/>
        <v>10.20.8.188</v>
      </c>
      <c r="U6297" t="str">
        <f t="shared" si="2572"/>
        <v>AZRAD UMAR BIN SHAARI</v>
      </c>
      <c r="V6297" t="str">
        <f t="shared" si="2573"/>
        <v>FARHANA BINTI MUSTAPA</v>
      </c>
      <c r="W6297" t="str">
        <f t="shared" si="2574"/>
        <v>04-08-2020</v>
      </c>
      <c r="X6297" t="str">
        <f t="shared" si="2575"/>
        <v>RAZIMAH ANSAR AHMAD</v>
      </c>
      <c r="Y6297" t="str">
        <f t="shared" si="2576"/>
        <v>04-08-2020</v>
      </c>
      <c r="Z6297" t="str">
        <f>"COS10200804 2857"</f>
        <v>COS10200804 2857</v>
      </c>
    </row>
    <row r="6298" spans="1:26" x14ac:dyDescent="0.25">
      <c r="A6298" t="str">
        <f t="shared" si="2577"/>
        <v>04-08-2020 12:40:28</v>
      </c>
      <c r="B6298" t="str">
        <f>"0000804620"</f>
        <v>0000804620</v>
      </c>
      <c r="C6298" t="str">
        <f t="shared" si="2578"/>
        <v>0000804564</v>
      </c>
      <c r="D6298" t="str">
        <f t="shared" si="2566"/>
        <v>73185</v>
      </c>
      <c r="E6298" t="str">
        <f t="shared" si="2567"/>
        <v>KFH-OPERATIONS DEPARTMENT</v>
      </c>
      <c r="F6298" t="str">
        <f t="shared" si="2568"/>
        <v>IBG</v>
      </c>
      <c r="G6298" t="str">
        <f t="shared" si="2579"/>
        <v>Refund COSHARE 10</v>
      </c>
      <c r="H6298" s="2">
        <v>671.6</v>
      </c>
      <c r="I6298" t="str">
        <f>"MOHD FAIZOL BIN SADRANI"</f>
        <v>MOHD FAIZOL BIN SADRANI</v>
      </c>
      <c r="J6298" t="str">
        <f t="shared" si="2565"/>
        <v>CIMB BANK / CIMB ISLAMIC BANK</v>
      </c>
      <c r="K6298" t="str">
        <f>"7013327809"</f>
        <v>7013327809</v>
      </c>
      <c r="L6298" t="str">
        <f t="shared" si="2580"/>
        <v>04-08-2020</v>
      </c>
      <c r="M6298" t="str">
        <f t="shared" si="2580"/>
        <v>04-08-2020</v>
      </c>
      <c r="N6298" t="str">
        <f t="shared" si="2569"/>
        <v>001105018356</v>
      </c>
      <c r="O6298" t="str">
        <f t="shared" si="2570"/>
        <v>MYR</v>
      </c>
      <c r="P6298" t="str">
        <f t="shared" si="2581"/>
        <v>NIL</v>
      </c>
      <c r="Q6298" t="str">
        <f t="shared" si="2581"/>
        <v>NIL</v>
      </c>
      <c r="R6298" t="str">
        <f t="shared" si="2557"/>
        <v>Accepted</v>
      </c>
      <c r="S6298" t="str">
        <f t="shared" si="2571"/>
        <v>Approved</v>
      </c>
      <c r="T6298" t="str">
        <f t="shared" si="2558"/>
        <v>10.20.8.188</v>
      </c>
      <c r="U6298" t="str">
        <f t="shared" si="2572"/>
        <v>AZRAD UMAR BIN SHAARI</v>
      </c>
      <c r="V6298" t="str">
        <f t="shared" si="2573"/>
        <v>FARHANA BINTI MUSTAPA</v>
      </c>
      <c r="W6298" t="str">
        <f t="shared" si="2574"/>
        <v>04-08-2020</v>
      </c>
      <c r="X6298" t="str">
        <f t="shared" si="2575"/>
        <v>RAZIMAH ANSAR AHMAD</v>
      </c>
      <c r="Y6298" t="str">
        <f t="shared" si="2576"/>
        <v>04-08-2020</v>
      </c>
      <c r="Z6298" t="str">
        <f>"COS10200804 2856"</f>
        <v>COS10200804 2856</v>
      </c>
    </row>
    <row r="6299" spans="1:26" x14ac:dyDescent="0.25">
      <c r="A6299" t="str">
        <f t="shared" si="2577"/>
        <v>04-08-2020 12:40:28</v>
      </c>
      <c r="B6299" t="str">
        <f>"0000804619"</f>
        <v>0000804619</v>
      </c>
      <c r="C6299" t="str">
        <f t="shared" si="2578"/>
        <v>0000804564</v>
      </c>
      <c r="D6299" t="str">
        <f t="shared" si="2566"/>
        <v>73185</v>
      </c>
      <c r="E6299" t="str">
        <f t="shared" si="2567"/>
        <v>KFH-OPERATIONS DEPARTMENT</v>
      </c>
      <c r="F6299" t="str">
        <f t="shared" si="2568"/>
        <v>IBG</v>
      </c>
      <c r="G6299" t="str">
        <f t="shared" si="2579"/>
        <v>Refund COSHARE 10</v>
      </c>
      <c r="H6299" s="2">
        <v>1267.6500000000001</v>
      </c>
      <c r="I6299" t="str">
        <f>"MOHD FAIZAL BIN ABU BAKAR"</f>
        <v>MOHD FAIZAL BIN ABU BAKAR</v>
      </c>
      <c r="J6299" t="str">
        <f t="shared" si="2565"/>
        <v>CIMB BANK / CIMB ISLAMIC BANK</v>
      </c>
      <c r="K6299" t="str">
        <f>"7047967825"</f>
        <v>7047967825</v>
      </c>
      <c r="L6299" t="str">
        <f t="shared" si="2580"/>
        <v>04-08-2020</v>
      </c>
      <c r="M6299" t="str">
        <f t="shared" si="2580"/>
        <v>04-08-2020</v>
      </c>
      <c r="N6299" t="str">
        <f t="shared" si="2569"/>
        <v>001105018356</v>
      </c>
      <c r="O6299" t="str">
        <f t="shared" si="2570"/>
        <v>MYR</v>
      </c>
      <c r="P6299" t="str">
        <f t="shared" si="2581"/>
        <v>NIL</v>
      </c>
      <c r="Q6299" t="str">
        <f t="shared" si="2581"/>
        <v>NIL</v>
      </c>
      <c r="R6299" t="str">
        <f t="shared" si="2557"/>
        <v>Accepted</v>
      </c>
      <c r="S6299" t="str">
        <f t="shared" si="2571"/>
        <v>Approved</v>
      </c>
      <c r="T6299" t="str">
        <f t="shared" si="2558"/>
        <v>10.20.8.188</v>
      </c>
      <c r="U6299" t="str">
        <f t="shared" si="2572"/>
        <v>AZRAD UMAR BIN SHAARI</v>
      </c>
      <c r="V6299" t="str">
        <f t="shared" si="2573"/>
        <v>FARHANA BINTI MUSTAPA</v>
      </c>
      <c r="W6299" t="str">
        <f t="shared" si="2574"/>
        <v>04-08-2020</v>
      </c>
      <c r="X6299" t="str">
        <f t="shared" si="2575"/>
        <v>RAZIMAH ANSAR AHMAD</v>
      </c>
      <c r="Y6299" t="str">
        <f t="shared" si="2576"/>
        <v>04-08-2020</v>
      </c>
      <c r="Z6299" t="str">
        <f>"COS10200804 2855"</f>
        <v>COS10200804 2855</v>
      </c>
    </row>
    <row r="6300" spans="1:26" x14ac:dyDescent="0.25">
      <c r="A6300" t="str">
        <f t="shared" si="2577"/>
        <v>04-08-2020 12:40:28</v>
      </c>
      <c r="B6300" t="str">
        <f>"0000804618"</f>
        <v>0000804618</v>
      </c>
      <c r="C6300" t="str">
        <f t="shared" si="2578"/>
        <v>0000804564</v>
      </c>
      <c r="D6300" t="str">
        <f t="shared" si="2566"/>
        <v>73185</v>
      </c>
      <c r="E6300" t="str">
        <f t="shared" si="2567"/>
        <v>KFH-OPERATIONS DEPARTMENT</v>
      </c>
      <c r="F6300" t="str">
        <f t="shared" si="2568"/>
        <v>IBG</v>
      </c>
      <c r="G6300" t="str">
        <f t="shared" si="2579"/>
        <v>Refund COSHARE 10</v>
      </c>
      <c r="H6300" s="2">
        <v>614</v>
      </c>
      <c r="I6300" t="str">
        <f>"MOHD FAIZ BIN MOHD KHALID"</f>
        <v>MOHD FAIZ BIN MOHD KHALID</v>
      </c>
      <c r="J6300" t="str">
        <f t="shared" si="2565"/>
        <v>CIMB BANK / CIMB ISLAMIC BANK</v>
      </c>
      <c r="K6300" t="str">
        <f>"11080103099527"</f>
        <v>11080103099527</v>
      </c>
      <c r="L6300" t="str">
        <f t="shared" si="2580"/>
        <v>04-08-2020</v>
      </c>
      <c r="M6300" t="str">
        <f t="shared" si="2580"/>
        <v>04-08-2020</v>
      </c>
      <c r="N6300" t="str">
        <f t="shared" si="2569"/>
        <v>001105018356</v>
      </c>
      <c r="O6300" t="str">
        <f t="shared" si="2570"/>
        <v>MYR</v>
      </c>
      <c r="P6300" t="str">
        <f t="shared" si="2581"/>
        <v>NIL</v>
      </c>
      <c r="Q6300" t="str">
        <f t="shared" si="2581"/>
        <v>NIL</v>
      </c>
      <c r="R6300" t="str">
        <f t="shared" si="2557"/>
        <v>Accepted</v>
      </c>
      <c r="S6300" t="str">
        <f t="shared" si="2571"/>
        <v>Approved</v>
      </c>
      <c r="T6300" t="str">
        <f t="shared" si="2558"/>
        <v>10.20.8.188</v>
      </c>
      <c r="U6300" t="str">
        <f t="shared" si="2572"/>
        <v>AZRAD UMAR BIN SHAARI</v>
      </c>
      <c r="V6300" t="str">
        <f t="shared" si="2573"/>
        <v>FARHANA BINTI MUSTAPA</v>
      </c>
      <c r="W6300" t="str">
        <f t="shared" si="2574"/>
        <v>04-08-2020</v>
      </c>
      <c r="X6300" t="str">
        <f t="shared" si="2575"/>
        <v>RAZIMAH ANSAR AHMAD</v>
      </c>
      <c r="Y6300" t="str">
        <f t="shared" si="2576"/>
        <v>04-08-2020</v>
      </c>
      <c r="Z6300" t="str">
        <f>"COS10200804 2854"</f>
        <v>COS10200804 2854</v>
      </c>
    </row>
    <row r="6301" spans="1:26" x14ac:dyDescent="0.25">
      <c r="A6301" t="str">
        <f t="shared" si="2577"/>
        <v>04-08-2020 12:40:28</v>
      </c>
      <c r="B6301" t="str">
        <f>"0000804617"</f>
        <v>0000804617</v>
      </c>
      <c r="C6301" t="str">
        <f t="shared" si="2578"/>
        <v>0000804564</v>
      </c>
      <c r="D6301" t="str">
        <f t="shared" si="2566"/>
        <v>73185</v>
      </c>
      <c r="E6301" t="str">
        <f t="shared" si="2567"/>
        <v>KFH-OPERATIONS DEPARTMENT</v>
      </c>
      <c r="F6301" t="str">
        <f t="shared" si="2568"/>
        <v>IBG</v>
      </c>
      <c r="G6301" t="str">
        <f t="shared" si="2579"/>
        <v>Refund COSHARE 10</v>
      </c>
      <c r="H6301" s="2">
        <v>67.2</v>
      </c>
      <c r="I6301" t="str">
        <f>"MOHD FAIRUZ BIN MOHD YUSOF"</f>
        <v>MOHD FAIRUZ BIN MOHD YUSOF</v>
      </c>
      <c r="J6301" t="str">
        <f t="shared" si="2565"/>
        <v>CIMB BANK / CIMB ISLAMIC BANK</v>
      </c>
      <c r="K6301" t="str">
        <f>"01080001009209"</f>
        <v>01080001009209</v>
      </c>
      <c r="L6301" t="str">
        <f t="shared" si="2580"/>
        <v>04-08-2020</v>
      </c>
      <c r="M6301" t="str">
        <f t="shared" si="2580"/>
        <v>04-08-2020</v>
      </c>
      <c r="N6301" t="str">
        <f t="shared" si="2569"/>
        <v>001105018356</v>
      </c>
      <c r="O6301" t="str">
        <f t="shared" si="2570"/>
        <v>MYR</v>
      </c>
      <c r="P6301" t="str">
        <f t="shared" si="2581"/>
        <v>NIL</v>
      </c>
      <c r="Q6301" t="str">
        <f t="shared" si="2581"/>
        <v>NIL</v>
      </c>
      <c r="R6301" t="str">
        <f t="shared" si="2557"/>
        <v>Accepted</v>
      </c>
      <c r="S6301" t="str">
        <f t="shared" si="2571"/>
        <v>Approved</v>
      </c>
      <c r="T6301" t="str">
        <f t="shared" si="2558"/>
        <v>10.20.8.188</v>
      </c>
      <c r="U6301" t="str">
        <f t="shared" si="2572"/>
        <v>AZRAD UMAR BIN SHAARI</v>
      </c>
      <c r="V6301" t="str">
        <f t="shared" si="2573"/>
        <v>FARHANA BINTI MUSTAPA</v>
      </c>
      <c r="W6301" t="str">
        <f t="shared" si="2574"/>
        <v>04-08-2020</v>
      </c>
      <c r="X6301" t="str">
        <f t="shared" si="2575"/>
        <v>RAZIMAH ANSAR AHMAD</v>
      </c>
      <c r="Y6301" t="str">
        <f t="shared" si="2576"/>
        <v>04-08-2020</v>
      </c>
      <c r="Z6301" t="str">
        <f>"COS10200804 2853"</f>
        <v>COS10200804 2853</v>
      </c>
    </row>
    <row r="6302" spans="1:26" x14ac:dyDescent="0.25">
      <c r="A6302" t="str">
        <f t="shared" si="2577"/>
        <v>04-08-2020 12:40:28</v>
      </c>
      <c r="B6302" t="str">
        <f>"0000804616"</f>
        <v>0000804616</v>
      </c>
      <c r="C6302" t="str">
        <f t="shared" si="2578"/>
        <v>0000804564</v>
      </c>
      <c r="D6302" t="str">
        <f t="shared" si="2566"/>
        <v>73185</v>
      </c>
      <c r="E6302" t="str">
        <f t="shared" si="2567"/>
        <v>KFH-OPERATIONS DEPARTMENT</v>
      </c>
      <c r="F6302" t="str">
        <f t="shared" si="2568"/>
        <v>IBG</v>
      </c>
      <c r="G6302" t="str">
        <f t="shared" si="2579"/>
        <v>Refund COSHARE 10</v>
      </c>
      <c r="H6302" s="2">
        <v>327</v>
      </c>
      <c r="I6302" t="str">
        <f>"MOHD FAIRUZ BIN AZIZAN"</f>
        <v>MOHD FAIRUZ BIN AZIZAN</v>
      </c>
      <c r="J6302" t="str">
        <f t="shared" si="2565"/>
        <v>CIMB BANK / CIMB ISLAMIC BANK</v>
      </c>
      <c r="K6302" t="str">
        <f>"03110007808527"</f>
        <v>03110007808527</v>
      </c>
      <c r="L6302" t="str">
        <f t="shared" si="2580"/>
        <v>04-08-2020</v>
      </c>
      <c r="M6302" t="str">
        <f t="shared" si="2580"/>
        <v>04-08-2020</v>
      </c>
      <c r="N6302" t="str">
        <f t="shared" si="2569"/>
        <v>001105018356</v>
      </c>
      <c r="O6302" t="str">
        <f t="shared" si="2570"/>
        <v>MYR</v>
      </c>
      <c r="P6302" t="str">
        <f t="shared" si="2581"/>
        <v>NIL</v>
      </c>
      <c r="Q6302" t="str">
        <f t="shared" si="2581"/>
        <v>NIL</v>
      </c>
      <c r="R6302" t="str">
        <f t="shared" si="2557"/>
        <v>Accepted</v>
      </c>
      <c r="S6302" t="str">
        <f t="shared" si="2571"/>
        <v>Approved</v>
      </c>
      <c r="T6302" t="str">
        <f t="shared" si="2558"/>
        <v>10.20.8.188</v>
      </c>
      <c r="U6302" t="str">
        <f t="shared" si="2572"/>
        <v>AZRAD UMAR BIN SHAARI</v>
      </c>
      <c r="V6302" t="str">
        <f t="shared" si="2573"/>
        <v>FARHANA BINTI MUSTAPA</v>
      </c>
      <c r="W6302" t="str">
        <f t="shared" si="2574"/>
        <v>04-08-2020</v>
      </c>
      <c r="X6302" t="str">
        <f t="shared" si="2575"/>
        <v>RAZIMAH ANSAR AHMAD</v>
      </c>
      <c r="Y6302" t="str">
        <f t="shared" si="2576"/>
        <v>04-08-2020</v>
      </c>
      <c r="Z6302" t="str">
        <f>"COS10200804 2852"</f>
        <v>COS10200804 2852</v>
      </c>
    </row>
    <row r="6303" spans="1:26" x14ac:dyDescent="0.25">
      <c r="A6303" t="str">
        <f t="shared" si="2577"/>
        <v>04-08-2020 12:40:28</v>
      </c>
      <c r="B6303" t="str">
        <f>"0000804615"</f>
        <v>0000804615</v>
      </c>
      <c r="C6303" t="str">
        <f t="shared" si="2578"/>
        <v>0000804564</v>
      </c>
      <c r="D6303" t="str">
        <f t="shared" si="2566"/>
        <v>73185</v>
      </c>
      <c r="E6303" t="str">
        <f t="shared" si="2567"/>
        <v>KFH-OPERATIONS DEPARTMENT</v>
      </c>
      <c r="F6303" t="str">
        <f t="shared" si="2568"/>
        <v>IBG</v>
      </c>
      <c r="G6303" t="str">
        <f t="shared" si="2579"/>
        <v>Refund COSHARE 10</v>
      </c>
      <c r="H6303" s="2">
        <v>83.95</v>
      </c>
      <c r="I6303" t="str">
        <f>"MOHD FAIRUS BIN ABD RAHMAN"</f>
        <v>MOHD FAIRUS BIN ABD RAHMAN</v>
      </c>
      <c r="J6303" t="str">
        <f t="shared" si="2565"/>
        <v>CIMB BANK / CIMB ISLAMIC BANK</v>
      </c>
      <c r="K6303" t="str">
        <f>"08140065336520"</f>
        <v>08140065336520</v>
      </c>
      <c r="L6303" t="str">
        <f t="shared" si="2580"/>
        <v>04-08-2020</v>
      </c>
      <c r="M6303" t="str">
        <f t="shared" si="2580"/>
        <v>04-08-2020</v>
      </c>
      <c r="N6303" t="str">
        <f t="shared" si="2569"/>
        <v>001105018356</v>
      </c>
      <c r="O6303" t="str">
        <f t="shared" si="2570"/>
        <v>MYR</v>
      </c>
      <c r="P6303" t="str">
        <f t="shared" si="2581"/>
        <v>NIL</v>
      </c>
      <c r="Q6303" t="str">
        <f t="shared" si="2581"/>
        <v>NIL</v>
      </c>
      <c r="R6303" t="str">
        <f t="shared" si="2557"/>
        <v>Accepted</v>
      </c>
      <c r="S6303" t="str">
        <f t="shared" si="2571"/>
        <v>Approved</v>
      </c>
      <c r="T6303" t="str">
        <f t="shared" si="2558"/>
        <v>10.20.8.188</v>
      </c>
      <c r="U6303" t="str">
        <f t="shared" si="2572"/>
        <v>AZRAD UMAR BIN SHAARI</v>
      </c>
      <c r="V6303" t="str">
        <f t="shared" si="2573"/>
        <v>FARHANA BINTI MUSTAPA</v>
      </c>
      <c r="W6303" t="str">
        <f t="shared" si="2574"/>
        <v>04-08-2020</v>
      </c>
      <c r="X6303" t="str">
        <f t="shared" si="2575"/>
        <v>RAZIMAH ANSAR AHMAD</v>
      </c>
      <c r="Y6303" t="str">
        <f t="shared" si="2576"/>
        <v>04-08-2020</v>
      </c>
      <c r="Z6303" t="str">
        <f>"COS10200804 2851"</f>
        <v>COS10200804 2851</v>
      </c>
    </row>
    <row r="6304" spans="1:26" x14ac:dyDescent="0.25">
      <c r="A6304" t="str">
        <f t="shared" si="2577"/>
        <v>04-08-2020 12:40:28</v>
      </c>
      <c r="B6304" t="str">
        <f>"0000804614"</f>
        <v>0000804614</v>
      </c>
      <c r="C6304" t="str">
        <f t="shared" si="2578"/>
        <v>0000804564</v>
      </c>
      <c r="D6304" t="str">
        <f t="shared" si="2566"/>
        <v>73185</v>
      </c>
      <c r="E6304" t="str">
        <f t="shared" si="2567"/>
        <v>KFH-OPERATIONS DEPARTMENT</v>
      </c>
      <c r="F6304" t="str">
        <f t="shared" si="2568"/>
        <v>IBG</v>
      </c>
      <c r="G6304" t="str">
        <f t="shared" si="2579"/>
        <v>Refund COSHARE 10</v>
      </c>
      <c r="H6304" s="2">
        <v>83.95</v>
      </c>
      <c r="I6304" t="str">
        <f>"MOHD FAIRUS BIN ABD RAHMAN"</f>
        <v>MOHD FAIRUS BIN ABD RAHMAN</v>
      </c>
      <c r="J6304" t="str">
        <f t="shared" si="2565"/>
        <v>CIMB BANK / CIMB ISLAMIC BANK</v>
      </c>
      <c r="K6304" t="str">
        <f>"08140065336520"</f>
        <v>08140065336520</v>
      </c>
      <c r="L6304" t="str">
        <f t="shared" si="2580"/>
        <v>04-08-2020</v>
      </c>
      <c r="M6304" t="str">
        <f t="shared" si="2580"/>
        <v>04-08-2020</v>
      </c>
      <c r="N6304" t="str">
        <f t="shared" si="2569"/>
        <v>001105018356</v>
      </c>
      <c r="O6304" t="str">
        <f t="shared" si="2570"/>
        <v>MYR</v>
      </c>
      <c r="P6304" t="str">
        <f t="shared" si="2581"/>
        <v>NIL</v>
      </c>
      <c r="Q6304" t="str">
        <f t="shared" si="2581"/>
        <v>NIL</v>
      </c>
      <c r="R6304" t="str">
        <f t="shared" si="2557"/>
        <v>Accepted</v>
      </c>
      <c r="S6304" t="str">
        <f t="shared" si="2571"/>
        <v>Approved</v>
      </c>
      <c r="T6304" t="str">
        <f t="shared" si="2558"/>
        <v>10.20.8.188</v>
      </c>
      <c r="U6304" t="str">
        <f t="shared" si="2572"/>
        <v>AZRAD UMAR BIN SHAARI</v>
      </c>
      <c r="V6304" t="str">
        <f t="shared" si="2573"/>
        <v>FARHANA BINTI MUSTAPA</v>
      </c>
      <c r="W6304" t="str">
        <f t="shared" si="2574"/>
        <v>04-08-2020</v>
      </c>
      <c r="X6304" t="str">
        <f t="shared" si="2575"/>
        <v>RAZIMAH ANSAR AHMAD</v>
      </c>
      <c r="Y6304" t="str">
        <f t="shared" si="2576"/>
        <v>04-08-2020</v>
      </c>
      <c r="Z6304" t="str">
        <f>"COS10200804 2850"</f>
        <v>COS10200804 2850</v>
      </c>
    </row>
    <row r="6305" spans="1:26" x14ac:dyDescent="0.25">
      <c r="A6305" t="str">
        <f t="shared" si="2577"/>
        <v>04-08-2020 12:40:28</v>
      </c>
      <c r="B6305" t="str">
        <f>"0000804613"</f>
        <v>0000804613</v>
      </c>
      <c r="C6305" t="str">
        <f t="shared" si="2578"/>
        <v>0000804564</v>
      </c>
      <c r="D6305" t="str">
        <f t="shared" si="2566"/>
        <v>73185</v>
      </c>
      <c r="E6305" t="str">
        <f t="shared" si="2567"/>
        <v>KFH-OPERATIONS DEPARTMENT</v>
      </c>
      <c r="F6305" t="str">
        <f t="shared" si="2568"/>
        <v>IBG</v>
      </c>
      <c r="G6305" t="str">
        <f t="shared" si="2579"/>
        <v>Refund COSHARE 10</v>
      </c>
      <c r="H6305" s="2">
        <v>92.35</v>
      </c>
      <c r="I6305" t="str">
        <f>"MOHD FAIRUL HISHAM BIN ARIFFIN"</f>
        <v>MOHD FAIRUL HISHAM BIN ARIFFIN</v>
      </c>
      <c r="J6305" t="str">
        <f t="shared" si="2565"/>
        <v>CIMB BANK / CIMB ISLAMIC BANK</v>
      </c>
      <c r="K6305" t="str">
        <f>"7008014220"</f>
        <v>7008014220</v>
      </c>
      <c r="L6305" t="str">
        <f t="shared" si="2580"/>
        <v>04-08-2020</v>
      </c>
      <c r="M6305" t="str">
        <f t="shared" si="2580"/>
        <v>04-08-2020</v>
      </c>
      <c r="N6305" t="str">
        <f t="shared" si="2569"/>
        <v>001105018356</v>
      </c>
      <c r="O6305" t="str">
        <f t="shared" si="2570"/>
        <v>MYR</v>
      </c>
      <c r="P6305" t="str">
        <f t="shared" si="2581"/>
        <v>NIL</v>
      </c>
      <c r="Q6305" t="str">
        <f t="shared" si="2581"/>
        <v>NIL</v>
      </c>
      <c r="R6305" t="str">
        <f t="shared" si="2557"/>
        <v>Accepted</v>
      </c>
      <c r="S6305" t="str">
        <f t="shared" si="2571"/>
        <v>Approved</v>
      </c>
      <c r="T6305" t="str">
        <f t="shared" si="2558"/>
        <v>10.20.8.188</v>
      </c>
      <c r="U6305" t="str">
        <f t="shared" si="2572"/>
        <v>AZRAD UMAR BIN SHAARI</v>
      </c>
      <c r="V6305" t="str">
        <f t="shared" si="2573"/>
        <v>FARHANA BINTI MUSTAPA</v>
      </c>
      <c r="W6305" t="str">
        <f t="shared" si="2574"/>
        <v>04-08-2020</v>
      </c>
      <c r="X6305" t="str">
        <f t="shared" si="2575"/>
        <v>RAZIMAH ANSAR AHMAD</v>
      </c>
      <c r="Y6305" t="str">
        <f t="shared" si="2576"/>
        <v>04-08-2020</v>
      </c>
      <c r="Z6305" t="str">
        <f>"COS10200804 2849"</f>
        <v>COS10200804 2849</v>
      </c>
    </row>
    <row r="6306" spans="1:26" x14ac:dyDescent="0.25">
      <c r="A6306" t="str">
        <f t="shared" si="2577"/>
        <v>04-08-2020 12:40:28</v>
      </c>
      <c r="B6306" t="str">
        <f>"0000804612"</f>
        <v>0000804612</v>
      </c>
      <c r="C6306" t="str">
        <f t="shared" si="2578"/>
        <v>0000804564</v>
      </c>
      <c r="D6306" t="str">
        <f t="shared" si="2566"/>
        <v>73185</v>
      </c>
      <c r="E6306" t="str">
        <f t="shared" si="2567"/>
        <v>KFH-OPERATIONS DEPARTMENT</v>
      </c>
      <c r="F6306" t="str">
        <f t="shared" si="2568"/>
        <v>IBG</v>
      </c>
      <c r="G6306" t="str">
        <f t="shared" si="2579"/>
        <v>Refund COSHARE 10</v>
      </c>
      <c r="H6306" s="2">
        <v>134.35</v>
      </c>
      <c r="I6306" t="str">
        <f>"MOHD FAIROZ BIN ISMAIL"</f>
        <v>MOHD FAIROZ BIN ISMAIL</v>
      </c>
      <c r="J6306" t="str">
        <f t="shared" si="2565"/>
        <v>CIMB BANK / CIMB ISLAMIC BANK</v>
      </c>
      <c r="K6306" t="str">
        <f>"11050079428521"</f>
        <v>11050079428521</v>
      </c>
      <c r="L6306" t="str">
        <f t="shared" si="2580"/>
        <v>04-08-2020</v>
      </c>
      <c r="M6306" t="str">
        <f t="shared" si="2580"/>
        <v>04-08-2020</v>
      </c>
      <c r="N6306" t="str">
        <f t="shared" si="2569"/>
        <v>001105018356</v>
      </c>
      <c r="O6306" t="str">
        <f t="shared" si="2570"/>
        <v>MYR</v>
      </c>
      <c r="P6306" t="str">
        <f t="shared" si="2581"/>
        <v>NIL</v>
      </c>
      <c r="Q6306" t="str">
        <f t="shared" si="2581"/>
        <v>NIL</v>
      </c>
      <c r="R6306" t="str">
        <f t="shared" ref="R6306:R6369" si="2582">"Accepted"</f>
        <v>Accepted</v>
      </c>
      <c r="S6306" t="str">
        <f t="shared" si="2571"/>
        <v>Approved</v>
      </c>
      <c r="T6306" t="str">
        <f t="shared" ref="T6306:T6369" si="2583">"10.20.8.188"</f>
        <v>10.20.8.188</v>
      </c>
      <c r="U6306" t="str">
        <f t="shared" si="2572"/>
        <v>AZRAD UMAR BIN SHAARI</v>
      </c>
      <c r="V6306" t="str">
        <f t="shared" si="2573"/>
        <v>FARHANA BINTI MUSTAPA</v>
      </c>
      <c r="W6306" t="str">
        <f t="shared" si="2574"/>
        <v>04-08-2020</v>
      </c>
      <c r="X6306" t="str">
        <f t="shared" si="2575"/>
        <v>RAZIMAH ANSAR AHMAD</v>
      </c>
      <c r="Y6306" t="str">
        <f t="shared" si="2576"/>
        <v>04-08-2020</v>
      </c>
      <c r="Z6306" t="str">
        <f>"COS10200804 2848"</f>
        <v>COS10200804 2848</v>
      </c>
    </row>
    <row r="6307" spans="1:26" x14ac:dyDescent="0.25">
      <c r="A6307" t="str">
        <f t="shared" si="2577"/>
        <v>04-08-2020 12:40:28</v>
      </c>
      <c r="B6307" t="str">
        <f>"0000804611"</f>
        <v>0000804611</v>
      </c>
      <c r="C6307" t="str">
        <f t="shared" si="2578"/>
        <v>0000804564</v>
      </c>
      <c r="D6307" t="str">
        <f t="shared" si="2566"/>
        <v>73185</v>
      </c>
      <c r="E6307" t="str">
        <f t="shared" si="2567"/>
        <v>KFH-OPERATIONS DEPARTMENT</v>
      </c>
      <c r="F6307" t="str">
        <f t="shared" si="2568"/>
        <v>IBG</v>
      </c>
      <c r="G6307" t="str">
        <f t="shared" si="2579"/>
        <v>Refund COSHARE 10</v>
      </c>
      <c r="H6307" s="2">
        <v>193.1</v>
      </c>
      <c r="I6307" t="str">
        <f>"MOHD FADZIL FAIRUS BIN GURIAMAN"</f>
        <v>MOHD FADZIL FAIRUS BIN GURIAMAN</v>
      </c>
      <c r="J6307" t="str">
        <f t="shared" si="2565"/>
        <v>CIMB BANK / CIMB ISLAMIC BANK</v>
      </c>
      <c r="K6307" t="str">
        <f>"01100084363523"</f>
        <v>01100084363523</v>
      </c>
      <c r="L6307" t="str">
        <f t="shared" ref="L6307:M6326" si="2584">"04-08-2020"</f>
        <v>04-08-2020</v>
      </c>
      <c r="M6307" t="str">
        <f t="shared" si="2584"/>
        <v>04-08-2020</v>
      </c>
      <c r="N6307" t="str">
        <f t="shared" si="2569"/>
        <v>001105018356</v>
      </c>
      <c r="O6307" t="str">
        <f t="shared" si="2570"/>
        <v>MYR</v>
      </c>
      <c r="P6307" t="str">
        <f t="shared" ref="P6307:Q6326" si="2585">"NIL"</f>
        <v>NIL</v>
      </c>
      <c r="Q6307" t="str">
        <f t="shared" si="2585"/>
        <v>NIL</v>
      </c>
      <c r="R6307" t="str">
        <f t="shared" si="2582"/>
        <v>Accepted</v>
      </c>
      <c r="S6307" t="str">
        <f t="shared" si="2571"/>
        <v>Approved</v>
      </c>
      <c r="T6307" t="str">
        <f t="shared" si="2583"/>
        <v>10.20.8.188</v>
      </c>
      <c r="U6307" t="str">
        <f t="shared" si="2572"/>
        <v>AZRAD UMAR BIN SHAARI</v>
      </c>
      <c r="V6307" t="str">
        <f t="shared" si="2573"/>
        <v>FARHANA BINTI MUSTAPA</v>
      </c>
      <c r="W6307" t="str">
        <f t="shared" si="2574"/>
        <v>04-08-2020</v>
      </c>
      <c r="X6307" t="str">
        <f t="shared" si="2575"/>
        <v>RAZIMAH ANSAR AHMAD</v>
      </c>
      <c r="Y6307" t="str">
        <f t="shared" si="2576"/>
        <v>04-08-2020</v>
      </c>
      <c r="Z6307" t="str">
        <f>"COS10200804 2847"</f>
        <v>COS10200804 2847</v>
      </c>
    </row>
    <row r="6308" spans="1:26" x14ac:dyDescent="0.25">
      <c r="A6308" t="str">
        <f t="shared" si="2577"/>
        <v>04-08-2020 12:40:28</v>
      </c>
      <c r="B6308" t="str">
        <f>"0000804610"</f>
        <v>0000804610</v>
      </c>
      <c r="C6308" t="str">
        <f t="shared" si="2578"/>
        <v>0000804564</v>
      </c>
      <c r="D6308" t="str">
        <f t="shared" si="2566"/>
        <v>73185</v>
      </c>
      <c r="E6308" t="str">
        <f t="shared" si="2567"/>
        <v>KFH-OPERATIONS DEPARTMENT</v>
      </c>
      <c r="F6308" t="str">
        <f t="shared" si="2568"/>
        <v>IBG</v>
      </c>
      <c r="G6308" t="str">
        <f t="shared" si="2579"/>
        <v>Refund COSHARE 10</v>
      </c>
      <c r="H6308" s="2">
        <v>1653.85</v>
      </c>
      <c r="I6308" t="str">
        <f>"MOHD FADZIL BIN MOHD KHAIRI"</f>
        <v>MOHD FADZIL BIN MOHD KHAIRI</v>
      </c>
      <c r="J6308" t="str">
        <f t="shared" si="2565"/>
        <v>CIMB BANK / CIMB ISLAMIC BANK</v>
      </c>
      <c r="K6308" t="str">
        <f>"7007640897"</f>
        <v>7007640897</v>
      </c>
      <c r="L6308" t="str">
        <f t="shared" si="2584"/>
        <v>04-08-2020</v>
      </c>
      <c r="M6308" t="str">
        <f t="shared" si="2584"/>
        <v>04-08-2020</v>
      </c>
      <c r="N6308" t="str">
        <f t="shared" si="2569"/>
        <v>001105018356</v>
      </c>
      <c r="O6308" t="str">
        <f t="shared" si="2570"/>
        <v>MYR</v>
      </c>
      <c r="P6308" t="str">
        <f t="shared" si="2585"/>
        <v>NIL</v>
      </c>
      <c r="Q6308" t="str">
        <f t="shared" si="2585"/>
        <v>NIL</v>
      </c>
      <c r="R6308" t="str">
        <f t="shared" si="2582"/>
        <v>Accepted</v>
      </c>
      <c r="S6308" t="str">
        <f t="shared" si="2571"/>
        <v>Approved</v>
      </c>
      <c r="T6308" t="str">
        <f t="shared" si="2583"/>
        <v>10.20.8.188</v>
      </c>
      <c r="U6308" t="str">
        <f t="shared" si="2572"/>
        <v>AZRAD UMAR BIN SHAARI</v>
      </c>
      <c r="V6308" t="str">
        <f t="shared" si="2573"/>
        <v>FARHANA BINTI MUSTAPA</v>
      </c>
      <c r="W6308" t="str">
        <f t="shared" si="2574"/>
        <v>04-08-2020</v>
      </c>
      <c r="X6308" t="str">
        <f t="shared" si="2575"/>
        <v>RAZIMAH ANSAR AHMAD</v>
      </c>
      <c r="Y6308" t="str">
        <f t="shared" si="2576"/>
        <v>04-08-2020</v>
      </c>
      <c r="Z6308" t="str">
        <f>"COS10200804 2846"</f>
        <v>COS10200804 2846</v>
      </c>
    </row>
    <row r="6309" spans="1:26" x14ac:dyDescent="0.25">
      <c r="A6309" t="str">
        <f t="shared" si="2577"/>
        <v>04-08-2020 12:40:28</v>
      </c>
      <c r="B6309" t="str">
        <f>"0000804609"</f>
        <v>0000804609</v>
      </c>
      <c r="C6309" t="str">
        <f t="shared" si="2578"/>
        <v>0000804564</v>
      </c>
      <c r="D6309" t="str">
        <f t="shared" si="2566"/>
        <v>73185</v>
      </c>
      <c r="E6309" t="str">
        <f t="shared" si="2567"/>
        <v>KFH-OPERATIONS DEPARTMENT</v>
      </c>
      <c r="F6309" t="str">
        <f t="shared" si="2568"/>
        <v>IBG</v>
      </c>
      <c r="G6309" t="str">
        <f t="shared" si="2579"/>
        <v>Refund COSHARE 10</v>
      </c>
      <c r="H6309" s="2">
        <v>1250.8499999999999</v>
      </c>
      <c r="I6309" t="str">
        <f>"MOHD FADHIL BIN RAZMI"</f>
        <v>MOHD FADHIL BIN RAZMI</v>
      </c>
      <c r="J6309" t="str">
        <f t="shared" si="2565"/>
        <v>CIMB BANK / CIMB ISLAMIC BANK</v>
      </c>
      <c r="K6309" t="str">
        <f>"7003392811"</f>
        <v>7003392811</v>
      </c>
      <c r="L6309" t="str">
        <f t="shared" si="2584"/>
        <v>04-08-2020</v>
      </c>
      <c r="M6309" t="str">
        <f t="shared" si="2584"/>
        <v>04-08-2020</v>
      </c>
      <c r="N6309" t="str">
        <f t="shared" si="2569"/>
        <v>001105018356</v>
      </c>
      <c r="O6309" t="str">
        <f t="shared" si="2570"/>
        <v>MYR</v>
      </c>
      <c r="P6309" t="str">
        <f t="shared" si="2585"/>
        <v>NIL</v>
      </c>
      <c r="Q6309" t="str">
        <f t="shared" si="2585"/>
        <v>NIL</v>
      </c>
      <c r="R6309" t="str">
        <f t="shared" si="2582"/>
        <v>Accepted</v>
      </c>
      <c r="S6309" t="str">
        <f t="shared" si="2571"/>
        <v>Approved</v>
      </c>
      <c r="T6309" t="str">
        <f t="shared" si="2583"/>
        <v>10.20.8.188</v>
      </c>
      <c r="U6309" t="str">
        <f t="shared" si="2572"/>
        <v>AZRAD UMAR BIN SHAARI</v>
      </c>
      <c r="V6309" t="str">
        <f t="shared" si="2573"/>
        <v>FARHANA BINTI MUSTAPA</v>
      </c>
      <c r="W6309" t="str">
        <f t="shared" si="2574"/>
        <v>04-08-2020</v>
      </c>
      <c r="X6309" t="str">
        <f t="shared" si="2575"/>
        <v>RAZIMAH ANSAR AHMAD</v>
      </c>
      <c r="Y6309" t="str">
        <f t="shared" si="2576"/>
        <v>04-08-2020</v>
      </c>
      <c r="Z6309" t="str">
        <f>"COS10200804 2845"</f>
        <v>COS10200804 2845</v>
      </c>
    </row>
    <row r="6310" spans="1:26" x14ac:dyDescent="0.25">
      <c r="A6310" t="str">
        <f t="shared" si="2577"/>
        <v>04-08-2020 12:40:28</v>
      </c>
      <c r="B6310" t="str">
        <f>"0000804608"</f>
        <v>0000804608</v>
      </c>
      <c r="C6310" t="str">
        <f t="shared" si="2578"/>
        <v>0000804564</v>
      </c>
      <c r="D6310" t="str">
        <f t="shared" si="2566"/>
        <v>73185</v>
      </c>
      <c r="E6310" t="str">
        <f t="shared" si="2567"/>
        <v>KFH-OPERATIONS DEPARTMENT</v>
      </c>
      <c r="F6310" t="str">
        <f t="shared" si="2568"/>
        <v>IBG</v>
      </c>
      <c r="G6310" t="str">
        <f t="shared" si="2579"/>
        <v>Refund COSHARE 10</v>
      </c>
      <c r="H6310" s="2">
        <v>1511.1</v>
      </c>
      <c r="I6310" t="str">
        <f>"MOHD EZHAM BIN MOHD TAIB"</f>
        <v>MOHD EZHAM BIN MOHD TAIB</v>
      </c>
      <c r="J6310" t="str">
        <f t="shared" si="2565"/>
        <v>CIMB BANK / CIMB ISLAMIC BANK</v>
      </c>
      <c r="K6310" t="str">
        <f>"7602437004"</f>
        <v>7602437004</v>
      </c>
      <c r="L6310" t="str">
        <f t="shared" si="2584"/>
        <v>04-08-2020</v>
      </c>
      <c r="M6310" t="str">
        <f t="shared" si="2584"/>
        <v>04-08-2020</v>
      </c>
      <c r="N6310" t="str">
        <f t="shared" si="2569"/>
        <v>001105018356</v>
      </c>
      <c r="O6310" t="str">
        <f t="shared" si="2570"/>
        <v>MYR</v>
      </c>
      <c r="P6310" t="str">
        <f t="shared" si="2585"/>
        <v>NIL</v>
      </c>
      <c r="Q6310" t="str">
        <f t="shared" si="2585"/>
        <v>NIL</v>
      </c>
      <c r="R6310" t="str">
        <f t="shared" si="2582"/>
        <v>Accepted</v>
      </c>
      <c r="S6310" t="str">
        <f t="shared" si="2571"/>
        <v>Approved</v>
      </c>
      <c r="T6310" t="str">
        <f t="shared" si="2583"/>
        <v>10.20.8.188</v>
      </c>
      <c r="U6310" t="str">
        <f t="shared" si="2572"/>
        <v>AZRAD UMAR BIN SHAARI</v>
      </c>
      <c r="V6310" t="str">
        <f t="shared" si="2573"/>
        <v>FARHANA BINTI MUSTAPA</v>
      </c>
      <c r="W6310" t="str">
        <f t="shared" si="2574"/>
        <v>04-08-2020</v>
      </c>
      <c r="X6310" t="str">
        <f t="shared" si="2575"/>
        <v>RAZIMAH ANSAR AHMAD</v>
      </c>
      <c r="Y6310" t="str">
        <f t="shared" si="2576"/>
        <v>04-08-2020</v>
      </c>
      <c r="Z6310" t="str">
        <f>"COS10200804 2844"</f>
        <v>COS10200804 2844</v>
      </c>
    </row>
    <row r="6311" spans="1:26" x14ac:dyDescent="0.25">
      <c r="A6311" t="str">
        <f t="shared" si="2577"/>
        <v>04-08-2020 12:40:28</v>
      </c>
      <c r="B6311" t="str">
        <f>"0000804607"</f>
        <v>0000804607</v>
      </c>
      <c r="C6311" t="str">
        <f t="shared" si="2578"/>
        <v>0000804564</v>
      </c>
      <c r="D6311" t="str">
        <f t="shared" si="2566"/>
        <v>73185</v>
      </c>
      <c r="E6311" t="str">
        <f t="shared" si="2567"/>
        <v>KFH-OPERATIONS DEPARTMENT</v>
      </c>
      <c r="F6311" t="str">
        <f t="shared" si="2568"/>
        <v>IBG</v>
      </c>
      <c r="G6311" t="str">
        <f t="shared" si="2579"/>
        <v>Refund COSHARE 10</v>
      </c>
      <c r="H6311" s="2">
        <v>190</v>
      </c>
      <c r="I6311" t="str">
        <f>"MOHD EHWAN NASIR BIN AZMEE"</f>
        <v>MOHD EHWAN NASIR BIN AZMEE</v>
      </c>
      <c r="J6311" t="str">
        <f t="shared" si="2565"/>
        <v>CIMB BANK / CIMB ISLAMIC BANK</v>
      </c>
      <c r="K6311" t="str">
        <f>"12150088185528"</f>
        <v>12150088185528</v>
      </c>
      <c r="L6311" t="str">
        <f t="shared" si="2584"/>
        <v>04-08-2020</v>
      </c>
      <c r="M6311" t="str">
        <f t="shared" si="2584"/>
        <v>04-08-2020</v>
      </c>
      <c r="N6311" t="str">
        <f t="shared" si="2569"/>
        <v>001105018356</v>
      </c>
      <c r="O6311" t="str">
        <f t="shared" si="2570"/>
        <v>MYR</v>
      </c>
      <c r="P6311" t="str">
        <f t="shared" si="2585"/>
        <v>NIL</v>
      </c>
      <c r="Q6311" t="str">
        <f t="shared" si="2585"/>
        <v>NIL</v>
      </c>
      <c r="R6311" t="str">
        <f t="shared" si="2582"/>
        <v>Accepted</v>
      </c>
      <c r="S6311" t="str">
        <f t="shared" si="2571"/>
        <v>Approved</v>
      </c>
      <c r="T6311" t="str">
        <f t="shared" si="2583"/>
        <v>10.20.8.188</v>
      </c>
      <c r="U6311" t="str">
        <f t="shared" si="2572"/>
        <v>AZRAD UMAR BIN SHAARI</v>
      </c>
      <c r="V6311" t="str">
        <f t="shared" si="2573"/>
        <v>FARHANA BINTI MUSTAPA</v>
      </c>
      <c r="W6311" t="str">
        <f t="shared" si="2574"/>
        <v>04-08-2020</v>
      </c>
      <c r="X6311" t="str">
        <f t="shared" si="2575"/>
        <v>RAZIMAH ANSAR AHMAD</v>
      </c>
      <c r="Y6311" t="str">
        <f t="shared" si="2576"/>
        <v>04-08-2020</v>
      </c>
      <c r="Z6311" t="str">
        <f>"COS10200804 2843"</f>
        <v>COS10200804 2843</v>
      </c>
    </row>
    <row r="6312" spans="1:26" x14ac:dyDescent="0.25">
      <c r="A6312" t="str">
        <f t="shared" si="2577"/>
        <v>04-08-2020 12:40:28</v>
      </c>
      <c r="B6312" t="str">
        <f>"0000804606"</f>
        <v>0000804606</v>
      </c>
      <c r="C6312" t="str">
        <f t="shared" si="2578"/>
        <v>0000804564</v>
      </c>
      <c r="D6312" t="str">
        <f t="shared" si="2566"/>
        <v>73185</v>
      </c>
      <c r="E6312" t="str">
        <f t="shared" si="2567"/>
        <v>KFH-OPERATIONS DEPARTMENT</v>
      </c>
      <c r="F6312" t="str">
        <f t="shared" si="2568"/>
        <v>IBG</v>
      </c>
      <c r="G6312" t="str">
        <f t="shared" si="2579"/>
        <v>Refund COSHARE 10</v>
      </c>
      <c r="H6312" s="2">
        <v>206</v>
      </c>
      <c r="I6312" t="str">
        <f>"MOHD DIN BIN AWANG ISA"</f>
        <v>MOHD DIN BIN AWANG ISA</v>
      </c>
      <c r="J6312" t="str">
        <f t="shared" si="2565"/>
        <v>CIMB BANK / CIMB ISLAMIC BANK</v>
      </c>
      <c r="K6312" t="str">
        <f>"7625378032"</f>
        <v>7625378032</v>
      </c>
      <c r="L6312" t="str">
        <f t="shared" si="2584"/>
        <v>04-08-2020</v>
      </c>
      <c r="M6312" t="str">
        <f t="shared" si="2584"/>
        <v>04-08-2020</v>
      </c>
      <c r="N6312" t="str">
        <f t="shared" si="2569"/>
        <v>001105018356</v>
      </c>
      <c r="O6312" t="str">
        <f t="shared" si="2570"/>
        <v>MYR</v>
      </c>
      <c r="P6312" t="str">
        <f t="shared" si="2585"/>
        <v>NIL</v>
      </c>
      <c r="Q6312" t="str">
        <f t="shared" si="2585"/>
        <v>NIL</v>
      </c>
      <c r="R6312" t="str">
        <f t="shared" si="2582"/>
        <v>Accepted</v>
      </c>
      <c r="S6312" t="str">
        <f t="shared" si="2571"/>
        <v>Approved</v>
      </c>
      <c r="T6312" t="str">
        <f t="shared" si="2583"/>
        <v>10.20.8.188</v>
      </c>
      <c r="U6312" t="str">
        <f t="shared" si="2572"/>
        <v>AZRAD UMAR BIN SHAARI</v>
      </c>
      <c r="V6312" t="str">
        <f t="shared" si="2573"/>
        <v>FARHANA BINTI MUSTAPA</v>
      </c>
      <c r="W6312" t="str">
        <f t="shared" si="2574"/>
        <v>04-08-2020</v>
      </c>
      <c r="X6312" t="str">
        <f t="shared" si="2575"/>
        <v>RAZIMAH ANSAR AHMAD</v>
      </c>
      <c r="Y6312" t="str">
        <f t="shared" si="2576"/>
        <v>04-08-2020</v>
      </c>
      <c r="Z6312" t="str">
        <f>"COS10200804 2842"</f>
        <v>COS10200804 2842</v>
      </c>
    </row>
    <row r="6313" spans="1:26" x14ac:dyDescent="0.25">
      <c r="A6313" t="str">
        <f t="shared" si="2577"/>
        <v>04-08-2020 12:40:28</v>
      </c>
      <c r="B6313" t="str">
        <f>"0000804605"</f>
        <v>0000804605</v>
      </c>
      <c r="C6313" t="str">
        <f t="shared" si="2578"/>
        <v>0000804564</v>
      </c>
      <c r="D6313" t="str">
        <f t="shared" si="2566"/>
        <v>73185</v>
      </c>
      <c r="E6313" t="str">
        <f t="shared" si="2567"/>
        <v>KFH-OPERATIONS DEPARTMENT</v>
      </c>
      <c r="F6313" t="str">
        <f t="shared" si="2568"/>
        <v>IBG</v>
      </c>
      <c r="G6313" t="str">
        <f t="shared" si="2579"/>
        <v>Refund COSHARE 10</v>
      </c>
      <c r="H6313" s="2">
        <v>335.8</v>
      </c>
      <c r="I6313" t="str">
        <f>"MOHD BAZLEE BIN YAAKOB"</f>
        <v>MOHD BAZLEE BIN YAAKOB</v>
      </c>
      <c r="J6313" t="str">
        <f t="shared" si="2565"/>
        <v>CIMB BANK / CIMB ISLAMIC BANK</v>
      </c>
      <c r="K6313" t="str">
        <f>"16010003672208"</f>
        <v>16010003672208</v>
      </c>
      <c r="L6313" t="str">
        <f t="shared" si="2584"/>
        <v>04-08-2020</v>
      </c>
      <c r="M6313" t="str">
        <f t="shared" si="2584"/>
        <v>04-08-2020</v>
      </c>
      <c r="N6313" t="str">
        <f t="shared" si="2569"/>
        <v>001105018356</v>
      </c>
      <c r="O6313" t="str">
        <f t="shared" si="2570"/>
        <v>MYR</v>
      </c>
      <c r="P6313" t="str">
        <f t="shared" si="2585"/>
        <v>NIL</v>
      </c>
      <c r="Q6313" t="str">
        <f t="shared" si="2585"/>
        <v>NIL</v>
      </c>
      <c r="R6313" t="str">
        <f t="shared" si="2582"/>
        <v>Accepted</v>
      </c>
      <c r="S6313" t="str">
        <f t="shared" si="2571"/>
        <v>Approved</v>
      </c>
      <c r="T6313" t="str">
        <f t="shared" si="2583"/>
        <v>10.20.8.188</v>
      </c>
      <c r="U6313" t="str">
        <f t="shared" si="2572"/>
        <v>AZRAD UMAR BIN SHAARI</v>
      </c>
      <c r="V6313" t="str">
        <f t="shared" si="2573"/>
        <v>FARHANA BINTI MUSTAPA</v>
      </c>
      <c r="W6313" t="str">
        <f t="shared" si="2574"/>
        <v>04-08-2020</v>
      </c>
      <c r="X6313" t="str">
        <f t="shared" si="2575"/>
        <v>RAZIMAH ANSAR AHMAD</v>
      </c>
      <c r="Y6313" t="str">
        <f t="shared" si="2576"/>
        <v>04-08-2020</v>
      </c>
      <c r="Z6313" t="str">
        <f>"COS10200804 2841"</f>
        <v>COS10200804 2841</v>
      </c>
    </row>
    <row r="6314" spans="1:26" x14ac:dyDescent="0.25">
      <c r="A6314" t="str">
        <f t="shared" ref="A6314:A6345" si="2586">"04-08-2020 12:40:28"</f>
        <v>04-08-2020 12:40:28</v>
      </c>
      <c r="B6314" t="str">
        <f>"0000804604"</f>
        <v>0000804604</v>
      </c>
      <c r="C6314" t="str">
        <f t="shared" ref="C6314:C6345" si="2587">"0000804564"</f>
        <v>0000804564</v>
      </c>
      <c r="D6314" t="str">
        <f t="shared" si="2566"/>
        <v>73185</v>
      </c>
      <c r="E6314" t="str">
        <f t="shared" si="2567"/>
        <v>KFH-OPERATIONS DEPARTMENT</v>
      </c>
      <c r="F6314" t="str">
        <f t="shared" si="2568"/>
        <v>IBG</v>
      </c>
      <c r="G6314" t="str">
        <f t="shared" si="2579"/>
        <v>Refund COSHARE 10</v>
      </c>
      <c r="H6314" s="2">
        <v>604.45000000000005</v>
      </c>
      <c r="I6314" t="str">
        <f>"MOHD AZWAN BIN SHUIB"</f>
        <v>MOHD AZWAN BIN SHUIB</v>
      </c>
      <c r="J6314" t="str">
        <f t="shared" si="2565"/>
        <v>CIMB BANK / CIMB ISLAMIC BANK</v>
      </c>
      <c r="K6314" t="str">
        <f>"7619176543"</f>
        <v>7619176543</v>
      </c>
      <c r="L6314" t="str">
        <f t="shared" si="2584"/>
        <v>04-08-2020</v>
      </c>
      <c r="M6314" t="str">
        <f t="shared" si="2584"/>
        <v>04-08-2020</v>
      </c>
      <c r="N6314" t="str">
        <f t="shared" si="2569"/>
        <v>001105018356</v>
      </c>
      <c r="O6314" t="str">
        <f t="shared" si="2570"/>
        <v>MYR</v>
      </c>
      <c r="P6314" t="str">
        <f t="shared" si="2585"/>
        <v>NIL</v>
      </c>
      <c r="Q6314" t="str">
        <f t="shared" si="2585"/>
        <v>NIL</v>
      </c>
      <c r="R6314" t="str">
        <f t="shared" si="2582"/>
        <v>Accepted</v>
      </c>
      <c r="S6314" t="str">
        <f t="shared" si="2571"/>
        <v>Approved</v>
      </c>
      <c r="T6314" t="str">
        <f t="shared" si="2583"/>
        <v>10.20.8.188</v>
      </c>
      <c r="U6314" t="str">
        <f t="shared" si="2572"/>
        <v>AZRAD UMAR BIN SHAARI</v>
      </c>
      <c r="V6314" t="str">
        <f t="shared" si="2573"/>
        <v>FARHANA BINTI MUSTAPA</v>
      </c>
      <c r="W6314" t="str">
        <f t="shared" si="2574"/>
        <v>04-08-2020</v>
      </c>
      <c r="X6314" t="str">
        <f t="shared" si="2575"/>
        <v>RAZIMAH ANSAR AHMAD</v>
      </c>
      <c r="Y6314" t="str">
        <f t="shared" si="2576"/>
        <v>04-08-2020</v>
      </c>
      <c r="Z6314" t="str">
        <f>"COS10200804 2840"</f>
        <v>COS10200804 2840</v>
      </c>
    </row>
    <row r="6315" spans="1:26" x14ac:dyDescent="0.25">
      <c r="A6315" t="str">
        <f t="shared" si="2586"/>
        <v>04-08-2020 12:40:28</v>
      </c>
      <c r="B6315" t="str">
        <f>"0000804603"</f>
        <v>0000804603</v>
      </c>
      <c r="C6315" t="str">
        <f t="shared" si="2587"/>
        <v>0000804564</v>
      </c>
      <c r="D6315" t="str">
        <f t="shared" si="2566"/>
        <v>73185</v>
      </c>
      <c r="E6315" t="str">
        <f t="shared" si="2567"/>
        <v>KFH-OPERATIONS DEPARTMENT</v>
      </c>
      <c r="F6315" t="str">
        <f t="shared" si="2568"/>
        <v>IBG</v>
      </c>
      <c r="G6315" t="str">
        <f t="shared" si="2579"/>
        <v>Refund COSHARE 10</v>
      </c>
      <c r="H6315" s="2">
        <v>84</v>
      </c>
      <c r="I6315" t="str">
        <f>"MOHD AZWAN BIN NOR HASHIM"</f>
        <v>MOHD AZWAN BIN NOR HASHIM</v>
      </c>
      <c r="J6315" t="str">
        <f t="shared" si="2565"/>
        <v>CIMB BANK / CIMB ISLAMIC BANK</v>
      </c>
      <c r="K6315" t="str">
        <f>"01190068835529"</f>
        <v>01190068835529</v>
      </c>
      <c r="L6315" t="str">
        <f t="shared" si="2584"/>
        <v>04-08-2020</v>
      </c>
      <c r="M6315" t="str">
        <f t="shared" si="2584"/>
        <v>04-08-2020</v>
      </c>
      <c r="N6315" t="str">
        <f t="shared" si="2569"/>
        <v>001105018356</v>
      </c>
      <c r="O6315" t="str">
        <f t="shared" si="2570"/>
        <v>MYR</v>
      </c>
      <c r="P6315" t="str">
        <f t="shared" si="2585"/>
        <v>NIL</v>
      </c>
      <c r="Q6315" t="str">
        <f t="shared" si="2585"/>
        <v>NIL</v>
      </c>
      <c r="R6315" t="str">
        <f t="shared" si="2582"/>
        <v>Accepted</v>
      </c>
      <c r="S6315" t="str">
        <f t="shared" si="2571"/>
        <v>Approved</v>
      </c>
      <c r="T6315" t="str">
        <f t="shared" si="2583"/>
        <v>10.20.8.188</v>
      </c>
      <c r="U6315" t="str">
        <f t="shared" si="2572"/>
        <v>AZRAD UMAR BIN SHAARI</v>
      </c>
      <c r="V6315" t="str">
        <f t="shared" si="2573"/>
        <v>FARHANA BINTI MUSTAPA</v>
      </c>
      <c r="W6315" t="str">
        <f t="shared" si="2574"/>
        <v>04-08-2020</v>
      </c>
      <c r="X6315" t="str">
        <f t="shared" si="2575"/>
        <v>RAZIMAH ANSAR AHMAD</v>
      </c>
      <c r="Y6315" t="str">
        <f t="shared" si="2576"/>
        <v>04-08-2020</v>
      </c>
      <c r="Z6315" t="str">
        <f>"COS10200804 2839"</f>
        <v>COS10200804 2839</v>
      </c>
    </row>
    <row r="6316" spans="1:26" x14ac:dyDescent="0.25">
      <c r="A6316" t="str">
        <f t="shared" si="2586"/>
        <v>04-08-2020 12:40:28</v>
      </c>
      <c r="B6316" t="str">
        <f>"0000804602"</f>
        <v>0000804602</v>
      </c>
      <c r="C6316" t="str">
        <f t="shared" si="2587"/>
        <v>0000804564</v>
      </c>
      <c r="D6316" t="str">
        <f t="shared" si="2566"/>
        <v>73185</v>
      </c>
      <c r="E6316" t="str">
        <f t="shared" si="2567"/>
        <v>KFH-OPERATIONS DEPARTMENT</v>
      </c>
      <c r="F6316" t="str">
        <f t="shared" si="2568"/>
        <v>IBG</v>
      </c>
      <c r="G6316" t="str">
        <f t="shared" si="2579"/>
        <v>Refund COSHARE 10</v>
      </c>
      <c r="H6316" s="2">
        <v>209.9</v>
      </c>
      <c r="I6316" t="str">
        <f>"MOHD AZRIL EZANIE BIN MOHD NOR"</f>
        <v>MOHD AZRIL EZANIE BIN MOHD NOR</v>
      </c>
      <c r="J6316" t="str">
        <f t="shared" si="2565"/>
        <v>CIMB BANK / CIMB ISLAMIC BANK</v>
      </c>
      <c r="K6316" t="str">
        <f>"7028682144"</f>
        <v>7028682144</v>
      </c>
      <c r="L6316" t="str">
        <f t="shared" si="2584"/>
        <v>04-08-2020</v>
      </c>
      <c r="M6316" t="str">
        <f t="shared" si="2584"/>
        <v>04-08-2020</v>
      </c>
      <c r="N6316" t="str">
        <f t="shared" si="2569"/>
        <v>001105018356</v>
      </c>
      <c r="O6316" t="str">
        <f t="shared" si="2570"/>
        <v>MYR</v>
      </c>
      <c r="P6316" t="str">
        <f t="shared" si="2585"/>
        <v>NIL</v>
      </c>
      <c r="Q6316" t="str">
        <f t="shared" si="2585"/>
        <v>NIL</v>
      </c>
      <c r="R6316" t="str">
        <f t="shared" si="2582"/>
        <v>Accepted</v>
      </c>
      <c r="S6316" t="str">
        <f t="shared" si="2571"/>
        <v>Approved</v>
      </c>
      <c r="T6316" t="str">
        <f t="shared" si="2583"/>
        <v>10.20.8.188</v>
      </c>
      <c r="U6316" t="str">
        <f t="shared" si="2572"/>
        <v>AZRAD UMAR BIN SHAARI</v>
      </c>
      <c r="V6316" t="str">
        <f t="shared" si="2573"/>
        <v>FARHANA BINTI MUSTAPA</v>
      </c>
      <c r="W6316" t="str">
        <f t="shared" si="2574"/>
        <v>04-08-2020</v>
      </c>
      <c r="X6316" t="str">
        <f t="shared" si="2575"/>
        <v>RAZIMAH ANSAR AHMAD</v>
      </c>
      <c r="Y6316" t="str">
        <f t="shared" si="2576"/>
        <v>04-08-2020</v>
      </c>
      <c r="Z6316" t="str">
        <f>"COS10200804 2838"</f>
        <v>COS10200804 2838</v>
      </c>
    </row>
    <row r="6317" spans="1:26" x14ac:dyDescent="0.25">
      <c r="A6317" t="str">
        <f t="shared" si="2586"/>
        <v>04-08-2020 12:40:28</v>
      </c>
      <c r="B6317" t="str">
        <f>"0000804601"</f>
        <v>0000804601</v>
      </c>
      <c r="C6317" t="str">
        <f t="shared" si="2587"/>
        <v>0000804564</v>
      </c>
      <c r="D6317" t="str">
        <f t="shared" si="2566"/>
        <v>73185</v>
      </c>
      <c r="E6317" t="str">
        <f t="shared" si="2567"/>
        <v>KFH-OPERATIONS DEPARTMENT</v>
      </c>
      <c r="F6317" t="str">
        <f t="shared" si="2568"/>
        <v>IBG</v>
      </c>
      <c r="G6317" t="str">
        <f t="shared" si="2579"/>
        <v>Refund COSHARE 10</v>
      </c>
      <c r="H6317" s="2">
        <v>167.9</v>
      </c>
      <c r="I6317" t="str">
        <f>"MOHD AZRAY BIN AWANG SABTU"</f>
        <v>MOHD AZRAY BIN AWANG SABTU</v>
      </c>
      <c r="J6317" t="str">
        <f t="shared" si="2565"/>
        <v>CIMB BANK / CIMB ISLAMIC BANK</v>
      </c>
      <c r="K6317" t="str">
        <f>"7621683087"</f>
        <v>7621683087</v>
      </c>
      <c r="L6317" t="str">
        <f t="shared" si="2584"/>
        <v>04-08-2020</v>
      </c>
      <c r="M6317" t="str">
        <f t="shared" si="2584"/>
        <v>04-08-2020</v>
      </c>
      <c r="N6317" t="str">
        <f t="shared" si="2569"/>
        <v>001105018356</v>
      </c>
      <c r="O6317" t="str">
        <f t="shared" si="2570"/>
        <v>MYR</v>
      </c>
      <c r="P6317" t="str">
        <f t="shared" si="2585"/>
        <v>NIL</v>
      </c>
      <c r="Q6317" t="str">
        <f t="shared" si="2585"/>
        <v>NIL</v>
      </c>
      <c r="R6317" t="str">
        <f t="shared" si="2582"/>
        <v>Accepted</v>
      </c>
      <c r="S6317" t="str">
        <f t="shared" si="2571"/>
        <v>Approved</v>
      </c>
      <c r="T6317" t="str">
        <f t="shared" si="2583"/>
        <v>10.20.8.188</v>
      </c>
      <c r="U6317" t="str">
        <f t="shared" si="2572"/>
        <v>AZRAD UMAR BIN SHAARI</v>
      </c>
      <c r="V6317" t="str">
        <f t="shared" si="2573"/>
        <v>FARHANA BINTI MUSTAPA</v>
      </c>
      <c r="W6317" t="str">
        <f t="shared" si="2574"/>
        <v>04-08-2020</v>
      </c>
      <c r="X6317" t="str">
        <f t="shared" si="2575"/>
        <v>RAZIMAH ANSAR AHMAD</v>
      </c>
      <c r="Y6317" t="str">
        <f t="shared" si="2576"/>
        <v>04-08-2020</v>
      </c>
      <c r="Z6317" t="str">
        <f>"COS10200804 2837"</f>
        <v>COS10200804 2837</v>
      </c>
    </row>
    <row r="6318" spans="1:26" x14ac:dyDescent="0.25">
      <c r="A6318" t="str">
        <f t="shared" si="2586"/>
        <v>04-08-2020 12:40:28</v>
      </c>
      <c r="B6318" t="str">
        <f>"0000804600"</f>
        <v>0000804600</v>
      </c>
      <c r="C6318" t="str">
        <f t="shared" si="2587"/>
        <v>0000804564</v>
      </c>
      <c r="D6318" t="str">
        <f t="shared" si="2566"/>
        <v>73185</v>
      </c>
      <c r="E6318" t="str">
        <f t="shared" si="2567"/>
        <v>KFH-OPERATIONS DEPARTMENT</v>
      </c>
      <c r="F6318" t="str">
        <f t="shared" si="2568"/>
        <v>IBG</v>
      </c>
      <c r="G6318" t="str">
        <f t="shared" si="2579"/>
        <v>Refund COSHARE 10</v>
      </c>
      <c r="H6318" s="2">
        <v>503.7</v>
      </c>
      <c r="I6318" t="str">
        <f>"MOHD AZMAN BIN AWANG ALI"</f>
        <v>MOHD AZMAN BIN AWANG ALI</v>
      </c>
      <c r="J6318" t="str">
        <f t="shared" si="2565"/>
        <v>CIMB BANK / CIMB ISLAMIC BANK</v>
      </c>
      <c r="K6318" t="str">
        <f>"14220036541522"</f>
        <v>14220036541522</v>
      </c>
      <c r="L6318" t="str">
        <f t="shared" si="2584"/>
        <v>04-08-2020</v>
      </c>
      <c r="M6318" t="str">
        <f t="shared" si="2584"/>
        <v>04-08-2020</v>
      </c>
      <c r="N6318" t="str">
        <f t="shared" si="2569"/>
        <v>001105018356</v>
      </c>
      <c r="O6318" t="str">
        <f t="shared" si="2570"/>
        <v>MYR</v>
      </c>
      <c r="P6318" t="str">
        <f t="shared" si="2585"/>
        <v>NIL</v>
      </c>
      <c r="Q6318" t="str">
        <f t="shared" si="2585"/>
        <v>NIL</v>
      </c>
      <c r="R6318" t="str">
        <f t="shared" si="2582"/>
        <v>Accepted</v>
      </c>
      <c r="S6318" t="str">
        <f t="shared" si="2571"/>
        <v>Approved</v>
      </c>
      <c r="T6318" t="str">
        <f t="shared" si="2583"/>
        <v>10.20.8.188</v>
      </c>
      <c r="U6318" t="str">
        <f t="shared" si="2572"/>
        <v>AZRAD UMAR BIN SHAARI</v>
      </c>
      <c r="V6318" t="str">
        <f t="shared" si="2573"/>
        <v>FARHANA BINTI MUSTAPA</v>
      </c>
      <c r="W6318" t="str">
        <f t="shared" si="2574"/>
        <v>04-08-2020</v>
      </c>
      <c r="X6318" t="str">
        <f t="shared" si="2575"/>
        <v>RAZIMAH ANSAR AHMAD</v>
      </c>
      <c r="Y6318" t="str">
        <f t="shared" si="2576"/>
        <v>04-08-2020</v>
      </c>
      <c r="Z6318" t="str">
        <f>"COS10200804 2836"</f>
        <v>COS10200804 2836</v>
      </c>
    </row>
    <row r="6319" spans="1:26" x14ac:dyDescent="0.25">
      <c r="A6319" t="str">
        <f t="shared" si="2586"/>
        <v>04-08-2020 12:40:28</v>
      </c>
      <c r="B6319" t="str">
        <f>"0000804599"</f>
        <v>0000804599</v>
      </c>
      <c r="C6319" t="str">
        <f t="shared" si="2587"/>
        <v>0000804564</v>
      </c>
      <c r="D6319" t="str">
        <f t="shared" si="2566"/>
        <v>73185</v>
      </c>
      <c r="E6319" t="str">
        <f t="shared" si="2567"/>
        <v>KFH-OPERATIONS DEPARTMENT</v>
      </c>
      <c r="F6319" t="str">
        <f t="shared" si="2568"/>
        <v>IBG</v>
      </c>
      <c r="G6319" t="str">
        <f t="shared" si="2579"/>
        <v>Refund COSHARE 10</v>
      </c>
      <c r="H6319" s="2">
        <v>189.3</v>
      </c>
      <c r="I6319" t="str">
        <f>"MOHD AZLI BIN MOHD ALI"</f>
        <v>MOHD AZLI BIN MOHD ALI</v>
      </c>
      <c r="J6319" t="str">
        <f t="shared" si="2565"/>
        <v>CIMB BANK / CIMB ISLAMIC BANK</v>
      </c>
      <c r="K6319" t="str">
        <f>"7049966002"</f>
        <v>7049966002</v>
      </c>
      <c r="L6319" t="str">
        <f t="shared" si="2584"/>
        <v>04-08-2020</v>
      </c>
      <c r="M6319" t="str">
        <f t="shared" si="2584"/>
        <v>04-08-2020</v>
      </c>
      <c r="N6319" t="str">
        <f t="shared" si="2569"/>
        <v>001105018356</v>
      </c>
      <c r="O6319" t="str">
        <f t="shared" si="2570"/>
        <v>MYR</v>
      </c>
      <c r="P6319" t="str">
        <f t="shared" si="2585"/>
        <v>NIL</v>
      </c>
      <c r="Q6319" t="str">
        <f t="shared" si="2585"/>
        <v>NIL</v>
      </c>
      <c r="R6319" t="str">
        <f t="shared" si="2582"/>
        <v>Accepted</v>
      </c>
      <c r="S6319" t="str">
        <f t="shared" si="2571"/>
        <v>Approved</v>
      </c>
      <c r="T6319" t="str">
        <f t="shared" si="2583"/>
        <v>10.20.8.188</v>
      </c>
      <c r="U6319" t="str">
        <f t="shared" si="2572"/>
        <v>AZRAD UMAR BIN SHAARI</v>
      </c>
      <c r="V6319" t="str">
        <f t="shared" si="2573"/>
        <v>FARHANA BINTI MUSTAPA</v>
      </c>
      <c r="W6319" t="str">
        <f t="shared" si="2574"/>
        <v>04-08-2020</v>
      </c>
      <c r="X6319" t="str">
        <f t="shared" si="2575"/>
        <v>RAZIMAH ANSAR AHMAD</v>
      </c>
      <c r="Y6319" t="str">
        <f t="shared" si="2576"/>
        <v>04-08-2020</v>
      </c>
      <c r="Z6319" t="str">
        <f>"COS10200804 2835"</f>
        <v>COS10200804 2835</v>
      </c>
    </row>
    <row r="6320" spans="1:26" x14ac:dyDescent="0.25">
      <c r="A6320" t="str">
        <f t="shared" si="2586"/>
        <v>04-08-2020 12:40:28</v>
      </c>
      <c r="B6320" t="str">
        <f>"0000804598"</f>
        <v>0000804598</v>
      </c>
      <c r="C6320" t="str">
        <f t="shared" si="2587"/>
        <v>0000804564</v>
      </c>
      <c r="D6320" t="str">
        <f t="shared" si="2566"/>
        <v>73185</v>
      </c>
      <c r="E6320" t="str">
        <f t="shared" si="2567"/>
        <v>KFH-OPERATIONS DEPARTMENT</v>
      </c>
      <c r="F6320" t="str">
        <f t="shared" si="2568"/>
        <v>IBG</v>
      </c>
      <c r="G6320" t="str">
        <f t="shared" si="2579"/>
        <v>Refund COSHARE 10</v>
      </c>
      <c r="H6320" s="2">
        <v>856.3</v>
      </c>
      <c r="I6320" t="str">
        <f>"MOHD AZIZI BIN AZNAM"</f>
        <v>MOHD AZIZI BIN AZNAM</v>
      </c>
      <c r="J6320" t="str">
        <f t="shared" si="2565"/>
        <v>CIMB BANK / CIMB ISLAMIC BANK</v>
      </c>
      <c r="K6320" t="str">
        <f>"7600935207"</f>
        <v>7600935207</v>
      </c>
      <c r="L6320" t="str">
        <f t="shared" si="2584"/>
        <v>04-08-2020</v>
      </c>
      <c r="M6320" t="str">
        <f t="shared" si="2584"/>
        <v>04-08-2020</v>
      </c>
      <c r="N6320" t="str">
        <f t="shared" si="2569"/>
        <v>001105018356</v>
      </c>
      <c r="O6320" t="str">
        <f t="shared" si="2570"/>
        <v>MYR</v>
      </c>
      <c r="P6320" t="str">
        <f t="shared" si="2585"/>
        <v>NIL</v>
      </c>
      <c r="Q6320" t="str">
        <f t="shared" si="2585"/>
        <v>NIL</v>
      </c>
      <c r="R6320" t="str">
        <f t="shared" si="2582"/>
        <v>Accepted</v>
      </c>
      <c r="S6320" t="str">
        <f t="shared" si="2571"/>
        <v>Approved</v>
      </c>
      <c r="T6320" t="str">
        <f t="shared" si="2583"/>
        <v>10.20.8.188</v>
      </c>
      <c r="U6320" t="str">
        <f t="shared" si="2572"/>
        <v>AZRAD UMAR BIN SHAARI</v>
      </c>
      <c r="V6320" t="str">
        <f t="shared" si="2573"/>
        <v>FARHANA BINTI MUSTAPA</v>
      </c>
      <c r="W6320" t="str">
        <f t="shared" si="2574"/>
        <v>04-08-2020</v>
      </c>
      <c r="X6320" t="str">
        <f t="shared" si="2575"/>
        <v>RAZIMAH ANSAR AHMAD</v>
      </c>
      <c r="Y6320" t="str">
        <f t="shared" si="2576"/>
        <v>04-08-2020</v>
      </c>
      <c r="Z6320" t="str">
        <f>"COS10200804 2834"</f>
        <v>COS10200804 2834</v>
      </c>
    </row>
    <row r="6321" spans="1:26" x14ac:dyDescent="0.25">
      <c r="A6321" t="str">
        <f t="shared" si="2586"/>
        <v>04-08-2020 12:40:28</v>
      </c>
      <c r="B6321" t="str">
        <f>"0000804597"</f>
        <v>0000804597</v>
      </c>
      <c r="C6321" t="str">
        <f t="shared" si="2587"/>
        <v>0000804564</v>
      </c>
      <c r="D6321" t="str">
        <f t="shared" si="2566"/>
        <v>73185</v>
      </c>
      <c r="E6321" t="str">
        <f t="shared" si="2567"/>
        <v>KFH-OPERATIONS DEPARTMENT</v>
      </c>
      <c r="F6321" t="str">
        <f t="shared" si="2568"/>
        <v>IBG</v>
      </c>
      <c r="G6321" t="str">
        <f t="shared" si="2579"/>
        <v>Refund COSHARE 10</v>
      </c>
      <c r="H6321" s="2">
        <v>596.04999999999995</v>
      </c>
      <c r="I6321" t="str">
        <f>"MOHD ASYRAF BIN AZIZ"</f>
        <v>MOHD ASYRAF BIN AZIZ</v>
      </c>
      <c r="J6321" t="str">
        <f t="shared" si="2565"/>
        <v>CIMB BANK / CIMB ISLAMIC BANK</v>
      </c>
      <c r="K6321" t="str">
        <f>"16010014145526"</f>
        <v>16010014145526</v>
      </c>
      <c r="L6321" t="str">
        <f t="shared" si="2584"/>
        <v>04-08-2020</v>
      </c>
      <c r="M6321" t="str">
        <f t="shared" si="2584"/>
        <v>04-08-2020</v>
      </c>
      <c r="N6321" t="str">
        <f t="shared" si="2569"/>
        <v>001105018356</v>
      </c>
      <c r="O6321" t="str">
        <f t="shared" si="2570"/>
        <v>MYR</v>
      </c>
      <c r="P6321" t="str">
        <f t="shared" si="2585"/>
        <v>NIL</v>
      </c>
      <c r="Q6321" t="str">
        <f t="shared" si="2585"/>
        <v>NIL</v>
      </c>
      <c r="R6321" t="str">
        <f t="shared" si="2582"/>
        <v>Accepted</v>
      </c>
      <c r="S6321" t="str">
        <f t="shared" si="2571"/>
        <v>Approved</v>
      </c>
      <c r="T6321" t="str">
        <f t="shared" si="2583"/>
        <v>10.20.8.188</v>
      </c>
      <c r="U6321" t="str">
        <f t="shared" si="2572"/>
        <v>AZRAD UMAR BIN SHAARI</v>
      </c>
      <c r="V6321" t="str">
        <f t="shared" si="2573"/>
        <v>FARHANA BINTI MUSTAPA</v>
      </c>
      <c r="W6321" t="str">
        <f t="shared" si="2574"/>
        <v>04-08-2020</v>
      </c>
      <c r="X6321" t="str">
        <f t="shared" si="2575"/>
        <v>RAZIMAH ANSAR AHMAD</v>
      </c>
      <c r="Y6321" t="str">
        <f t="shared" si="2576"/>
        <v>04-08-2020</v>
      </c>
      <c r="Z6321" t="str">
        <f>"COS10200804 2833"</f>
        <v>COS10200804 2833</v>
      </c>
    </row>
    <row r="6322" spans="1:26" x14ac:dyDescent="0.25">
      <c r="A6322" t="str">
        <f t="shared" si="2586"/>
        <v>04-08-2020 12:40:28</v>
      </c>
      <c r="B6322" t="str">
        <f>"0000804596"</f>
        <v>0000804596</v>
      </c>
      <c r="C6322" t="str">
        <f t="shared" si="2587"/>
        <v>0000804564</v>
      </c>
      <c r="D6322" t="str">
        <f t="shared" si="2566"/>
        <v>73185</v>
      </c>
      <c r="E6322" t="str">
        <f t="shared" si="2567"/>
        <v>KFH-OPERATIONS DEPARTMENT</v>
      </c>
      <c r="F6322" t="str">
        <f t="shared" si="2568"/>
        <v>IBG</v>
      </c>
      <c r="G6322" t="str">
        <f t="shared" si="2579"/>
        <v>Refund COSHARE 10</v>
      </c>
      <c r="H6322" s="2">
        <v>344.2</v>
      </c>
      <c r="I6322" t="str">
        <f>"MOHD ASRUL BIN CHE MOOD"</f>
        <v>MOHD ASRUL BIN CHE MOOD</v>
      </c>
      <c r="J6322" t="str">
        <f t="shared" si="2565"/>
        <v>CIMB BANK / CIMB ISLAMIC BANK</v>
      </c>
      <c r="K6322" t="str">
        <f>"7050821161"</f>
        <v>7050821161</v>
      </c>
      <c r="L6322" t="str">
        <f t="shared" si="2584"/>
        <v>04-08-2020</v>
      </c>
      <c r="M6322" t="str">
        <f t="shared" si="2584"/>
        <v>04-08-2020</v>
      </c>
      <c r="N6322" t="str">
        <f t="shared" si="2569"/>
        <v>001105018356</v>
      </c>
      <c r="O6322" t="str">
        <f t="shared" si="2570"/>
        <v>MYR</v>
      </c>
      <c r="P6322" t="str">
        <f t="shared" si="2585"/>
        <v>NIL</v>
      </c>
      <c r="Q6322" t="str">
        <f t="shared" si="2585"/>
        <v>NIL</v>
      </c>
      <c r="R6322" t="str">
        <f t="shared" si="2582"/>
        <v>Accepted</v>
      </c>
      <c r="S6322" t="str">
        <f t="shared" si="2571"/>
        <v>Approved</v>
      </c>
      <c r="T6322" t="str">
        <f t="shared" si="2583"/>
        <v>10.20.8.188</v>
      </c>
      <c r="U6322" t="str">
        <f t="shared" si="2572"/>
        <v>AZRAD UMAR BIN SHAARI</v>
      </c>
      <c r="V6322" t="str">
        <f t="shared" si="2573"/>
        <v>FARHANA BINTI MUSTAPA</v>
      </c>
      <c r="W6322" t="str">
        <f t="shared" si="2574"/>
        <v>04-08-2020</v>
      </c>
      <c r="X6322" t="str">
        <f t="shared" si="2575"/>
        <v>RAZIMAH ANSAR AHMAD</v>
      </c>
      <c r="Y6322" t="str">
        <f t="shared" si="2576"/>
        <v>04-08-2020</v>
      </c>
      <c r="Z6322" t="str">
        <f>"COS10200804 2832"</f>
        <v>COS10200804 2832</v>
      </c>
    </row>
    <row r="6323" spans="1:26" x14ac:dyDescent="0.25">
      <c r="A6323" t="str">
        <f t="shared" si="2586"/>
        <v>04-08-2020 12:40:28</v>
      </c>
      <c r="B6323" t="str">
        <f>"0000804595"</f>
        <v>0000804595</v>
      </c>
      <c r="C6323" t="str">
        <f t="shared" si="2587"/>
        <v>0000804564</v>
      </c>
      <c r="D6323" t="str">
        <f t="shared" si="2566"/>
        <v>73185</v>
      </c>
      <c r="E6323" t="str">
        <f t="shared" si="2567"/>
        <v>KFH-OPERATIONS DEPARTMENT</v>
      </c>
      <c r="F6323" t="str">
        <f t="shared" si="2568"/>
        <v>IBG</v>
      </c>
      <c r="G6323" t="str">
        <f t="shared" si="2579"/>
        <v>Refund COSHARE 10</v>
      </c>
      <c r="H6323" s="2">
        <v>987</v>
      </c>
      <c r="I6323" t="str">
        <f>"MOHD ARIZ BIN MD KASSIM"</f>
        <v>MOHD ARIZ BIN MD KASSIM</v>
      </c>
      <c r="J6323" t="str">
        <f t="shared" si="2565"/>
        <v>CIMB BANK / CIMB ISLAMIC BANK</v>
      </c>
      <c r="K6323" t="str">
        <f>"7036397030"</f>
        <v>7036397030</v>
      </c>
      <c r="L6323" t="str">
        <f t="shared" si="2584"/>
        <v>04-08-2020</v>
      </c>
      <c r="M6323" t="str">
        <f t="shared" si="2584"/>
        <v>04-08-2020</v>
      </c>
      <c r="N6323" t="str">
        <f t="shared" si="2569"/>
        <v>001105018356</v>
      </c>
      <c r="O6323" t="str">
        <f t="shared" si="2570"/>
        <v>MYR</v>
      </c>
      <c r="P6323" t="str">
        <f t="shared" si="2585"/>
        <v>NIL</v>
      </c>
      <c r="Q6323" t="str">
        <f t="shared" si="2585"/>
        <v>NIL</v>
      </c>
      <c r="R6323" t="str">
        <f t="shared" si="2582"/>
        <v>Accepted</v>
      </c>
      <c r="S6323" t="str">
        <f t="shared" si="2571"/>
        <v>Approved</v>
      </c>
      <c r="T6323" t="str">
        <f t="shared" si="2583"/>
        <v>10.20.8.188</v>
      </c>
      <c r="U6323" t="str">
        <f t="shared" si="2572"/>
        <v>AZRAD UMAR BIN SHAARI</v>
      </c>
      <c r="V6323" t="str">
        <f t="shared" si="2573"/>
        <v>FARHANA BINTI MUSTAPA</v>
      </c>
      <c r="W6323" t="str">
        <f t="shared" si="2574"/>
        <v>04-08-2020</v>
      </c>
      <c r="X6323" t="str">
        <f t="shared" si="2575"/>
        <v>RAZIMAH ANSAR AHMAD</v>
      </c>
      <c r="Y6323" t="str">
        <f t="shared" si="2576"/>
        <v>04-08-2020</v>
      </c>
      <c r="Z6323" t="str">
        <f>"COS10200804 2831"</f>
        <v>COS10200804 2831</v>
      </c>
    </row>
    <row r="6324" spans="1:26" x14ac:dyDescent="0.25">
      <c r="A6324" t="str">
        <f t="shared" si="2586"/>
        <v>04-08-2020 12:40:28</v>
      </c>
      <c r="B6324" t="str">
        <f>"0000804594"</f>
        <v>0000804594</v>
      </c>
      <c r="C6324" t="str">
        <f t="shared" si="2587"/>
        <v>0000804564</v>
      </c>
      <c r="D6324" t="str">
        <f t="shared" si="2566"/>
        <v>73185</v>
      </c>
      <c r="E6324" t="str">
        <f t="shared" si="2567"/>
        <v>KFH-OPERATIONS DEPARTMENT</v>
      </c>
      <c r="F6324" t="str">
        <f t="shared" si="2568"/>
        <v>IBG</v>
      </c>
      <c r="G6324" t="str">
        <f t="shared" si="2579"/>
        <v>Refund COSHARE 10</v>
      </c>
      <c r="H6324" s="2">
        <v>839.5</v>
      </c>
      <c r="I6324" t="str">
        <f>"MOHD AMZARI BIN JIMAT"</f>
        <v>MOHD AMZARI BIN JIMAT</v>
      </c>
      <c r="J6324" t="str">
        <f t="shared" si="2565"/>
        <v>CIMB BANK / CIMB ISLAMIC BANK</v>
      </c>
      <c r="K6324" t="str">
        <f>"02021112514052"</f>
        <v>02021112514052</v>
      </c>
      <c r="L6324" t="str">
        <f t="shared" si="2584"/>
        <v>04-08-2020</v>
      </c>
      <c r="M6324" t="str">
        <f t="shared" si="2584"/>
        <v>04-08-2020</v>
      </c>
      <c r="N6324" t="str">
        <f t="shared" si="2569"/>
        <v>001105018356</v>
      </c>
      <c r="O6324" t="str">
        <f t="shared" si="2570"/>
        <v>MYR</v>
      </c>
      <c r="P6324" t="str">
        <f t="shared" si="2585"/>
        <v>NIL</v>
      </c>
      <c r="Q6324" t="str">
        <f t="shared" si="2585"/>
        <v>NIL</v>
      </c>
      <c r="R6324" t="str">
        <f t="shared" si="2582"/>
        <v>Accepted</v>
      </c>
      <c r="S6324" t="str">
        <f t="shared" si="2571"/>
        <v>Approved</v>
      </c>
      <c r="T6324" t="str">
        <f t="shared" si="2583"/>
        <v>10.20.8.188</v>
      </c>
      <c r="U6324" t="str">
        <f t="shared" si="2572"/>
        <v>AZRAD UMAR BIN SHAARI</v>
      </c>
      <c r="V6324" t="str">
        <f t="shared" si="2573"/>
        <v>FARHANA BINTI MUSTAPA</v>
      </c>
      <c r="W6324" t="str">
        <f t="shared" si="2574"/>
        <v>04-08-2020</v>
      </c>
      <c r="X6324" t="str">
        <f t="shared" si="2575"/>
        <v>RAZIMAH ANSAR AHMAD</v>
      </c>
      <c r="Y6324" t="str">
        <f t="shared" si="2576"/>
        <v>04-08-2020</v>
      </c>
      <c r="Z6324" t="str">
        <f>"COS10200804 2830"</f>
        <v>COS10200804 2830</v>
      </c>
    </row>
    <row r="6325" spans="1:26" x14ac:dyDescent="0.25">
      <c r="A6325" t="str">
        <f t="shared" si="2586"/>
        <v>04-08-2020 12:40:28</v>
      </c>
      <c r="B6325" t="str">
        <f>"0000804593"</f>
        <v>0000804593</v>
      </c>
      <c r="C6325" t="str">
        <f t="shared" si="2587"/>
        <v>0000804564</v>
      </c>
      <c r="D6325" t="str">
        <f t="shared" si="2566"/>
        <v>73185</v>
      </c>
      <c r="E6325" t="str">
        <f t="shared" si="2567"/>
        <v>KFH-OPERATIONS DEPARTMENT</v>
      </c>
      <c r="F6325" t="str">
        <f t="shared" si="2568"/>
        <v>IBG</v>
      </c>
      <c r="G6325" t="str">
        <f t="shared" si="2579"/>
        <v>Refund COSHARE 10</v>
      </c>
      <c r="H6325" s="2">
        <v>419.75</v>
      </c>
      <c r="I6325" t="str">
        <f>"MOHD AMZARI BIN JIMAT"</f>
        <v>MOHD AMZARI BIN JIMAT</v>
      </c>
      <c r="J6325" t="str">
        <f t="shared" si="2565"/>
        <v>CIMB BANK / CIMB ISLAMIC BANK</v>
      </c>
      <c r="K6325" t="str">
        <f>"02021112514052"</f>
        <v>02021112514052</v>
      </c>
      <c r="L6325" t="str">
        <f t="shared" si="2584"/>
        <v>04-08-2020</v>
      </c>
      <c r="M6325" t="str">
        <f t="shared" si="2584"/>
        <v>04-08-2020</v>
      </c>
      <c r="N6325" t="str">
        <f t="shared" si="2569"/>
        <v>001105018356</v>
      </c>
      <c r="O6325" t="str">
        <f t="shared" si="2570"/>
        <v>MYR</v>
      </c>
      <c r="P6325" t="str">
        <f t="shared" si="2585"/>
        <v>NIL</v>
      </c>
      <c r="Q6325" t="str">
        <f t="shared" si="2585"/>
        <v>NIL</v>
      </c>
      <c r="R6325" t="str">
        <f t="shared" si="2582"/>
        <v>Accepted</v>
      </c>
      <c r="S6325" t="str">
        <f t="shared" si="2571"/>
        <v>Approved</v>
      </c>
      <c r="T6325" t="str">
        <f t="shared" si="2583"/>
        <v>10.20.8.188</v>
      </c>
      <c r="U6325" t="str">
        <f t="shared" si="2572"/>
        <v>AZRAD UMAR BIN SHAARI</v>
      </c>
      <c r="V6325" t="str">
        <f t="shared" si="2573"/>
        <v>FARHANA BINTI MUSTAPA</v>
      </c>
      <c r="W6325" t="str">
        <f t="shared" si="2574"/>
        <v>04-08-2020</v>
      </c>
      <c r="X6325" t="str">
        <f t="shared" si="2575"/>
        <v>RAZIMAH ANSAR AHMAD</v>
      </c>
      <c r="Y6325" t="str">
        <f t="shared" si="2576"/>
        <v>04-08-2020</v>
      </c>
      <c r="Z6325" t="str">
        <f>"COS10200804 2829"</f>
        <v>COS10200804 2829</v>
      </c>
    </row>
    <row r="6326" spans="1:26" x14ac:dyDescent="0.25">
      <c r="A6326" t="str">
        <f t="shared" si="2586"/>
        <v>04-08-2020 12:40:28</v>
      </c>
      <c r="B6326" t="str">
        <f>"0000804592"</f>
        <v>0000804592</v>
      </c>
      <c r="C6326" t="str">
        <f t="shared" si="2587"/>
        <v>0000804564</v>
      </c>
      <c r="D6326" t="str">
        <f t="shared" si="2566"/>
        <v>73185</v>
      </c>
      <c r="E6326" t="str">
        <f t="shared" si="2567"/>
        <v>KFH-OPERATIONS DEPARTMENT</v>
      </c>
      <c r="F6326" t="str">
        <f t="shared" si="2568"/>
        <v>IBG</v>
      </c>
      <c r="G6326" t="str">
        <f t="shared" si="2579"/>
        <v>Refund COSHARE 10</v>
      </c>
      <c r="H6326" s="2">
        <v>319.35000000000002</v>
      </c>
      <c r="I6326" t="str">
        <f>"MOHD AMRI BIN ALI"</f>
        <v>MOHD AMRI BIN ALI</v>
      </c>
      <c r="J6326" t="str">
        <f t="shared" si="2565"/>
        <v>CIMB BANK / CIMB ISLAMIC BANK</v>
      </c>
      <c r="K6326" t="str">
        <f>"09020092293528"</f>
        <v>09020092293528</v>
      </c>
      <c r="L6326" t="str">
        <f t="shared" si="2584"/>
        <v>04-08-2020</v>
      </c>
      <c r="M6326" t="str">
        <f t="shared" si="2584"/>
        <v>04-08-2020</v>
      </c>
      <c r="N6326" t="str">
        <f t="shared" si="2569"/>
        <v>001105018356</v>
      </c>
      <c r="O6326" t="str">
        <f t="shared" si="2570"/>
        <v>MYR</v>
      </c>
      <c r="P6326" t="str">
        <f t="shared" si="2585"/>
        <v>NIL</v>
      </c>
      <c r="Q6326" t="str">
        <f t="shared" si="2585"/>
        <v>NIL</v>
      </c>
      <c r="R6326" t="str">
        <f t="shared" si="2582"/>
        <v>Accepted</v>
      </c>
      <c r="S6326" t="str">
        <f t="shared" si="2571"/>
        <v>Approved</v>
      </c>
      <c r="T6326" t="str">
        <f t="shared" si="2583"/>
        <v>10.20.8.188</v>
      </c>
      <c r="U6326" t="str">
        <f t="shared" si="2572"/>
        <v>AZRAD UMAR BIN SHAARI</v>
      </c>
      <c r="V6326" t="str">
        <f t="shared" si="2573"/>
        <v>FARHANA BINTI MUSTAPA</v>
      </c>
      <c r="W6326" t="str">
        <f t="shared" si="2574"/>
        <v>04-08-2020</v>
      </c>
      <c r="X6326" t="str">
        <f t="shared" si="2575"/>
        <v>RAZIMAH ANSAR AHMAD</v>
      </c>
      <c r="Y6326" t="str">
        <f t="shared" si="2576"/>
        <v>04-08-2020</v>
      </c>
      <c r="Z6326" t="str">
        <f>"COS10200804 2828"</f>
        <v>COS10200804 2828</v>
      </c>
    </row>
    <row r="6327" spans="1:26" x14ac:dyDescent="0.25">
      <c r="A6327" t="str">
        <f t="shared" si="2586"/>
        <v>04-08-2020 12:40:28</v>
      </c>
      <c r="B6327" t="str">
        <f>"0000804591"</f>
        <v>0000804591</v>
      </c>
      <c r="C6327" t="str">
        <f t="shared" si="2587"/>
        <v>0000804564</v>
      </c>
      <c r="D6327" t="str">
        <f t="shared" si="2566"/>
        <v>73185</v>
      </c>
      <c r="E6327" t="str">
        <f t="shared" si="2567"/>
        <v>KFH-OPERATIONS DEPARTMENT</v>
      </c>
      <c r="F6327" t="str">
        <f t="shared" si="2568"/>
        <v>IBG</v>
      </c>
      <c r="G6327" t="str">
        <f t="shared" si="2579"/>
        <v>Refund COSHARE 10</v>
      </c>
      <c r="H6327" s="2">
        <v>419.75</v>
      </c>
      <c r="I6327" t="str">
        <f>"MOHD AMIRUL AZMAN BIN ABD WAHAB"</f>
        <v>MOHD AMIRUL AZMAN BIN ABD WAHAB</v>
      </c>
      <c r="J6327" t="str">
        <f t="shared" si="2565"/>
        <v>CIMB BANK / CIMB ISLAMIC BANK</v>
      </c>
      <c r="K6327" t="str">
        <f>"7009445393"</f>
        <v>7009445393</v>
      </c>
      <c r="L6327" t="str">
        <f t="shared" ref="L6327:M6346" si="2588">"04-08-2020"</f>
        <v>04-08-2020</v>
      </c>
      <c r="M6327" t="str">
        <f t="shared" si="2588"/>
        <v>04-08-2020</v>
      </c>
      <c r="N6327" t="str">
        <f t="shared" si="2569"/>
        <v>001105018356</v>
      </c>
      <c r="O6327" t="str">
        <f t="shared" si="2570"/>
        <v>MYR</v>
      </c>
      <c r="P6327" t="str">
        <f t="shared" ref="P6327:Q6346" si="2589">"NIL"</f>
        <v>NIL</v>
      </c>
      <c r="Q6327" t="str">
        <f t="shared" si="2589"/>
        <v>NIL</v>
      </c>
      <c r="R6327" t="str">
        <f t="shared" si="2582"/>
        <v>Accepted</v>
      </c>
      <c r="S6327" t="str">
        <f t="shared" si="2571"/>
        <v>Approved</v>
      </c>
      <c r="T6327" t="str">
        <f t="shared" si="2583"/>
        <v>10.20.8.188</v>
      </c>
      <c r="U6327" t="str">
        <f t="shared" si="2572"/>
        <v>AZRAD UMAR BIN SHAARI</v>
      </c>
      <c r="V6327" t="str">
        <f t="shared" si="2573"/>
        <v>FARHANA BINTI MUSTAPA</v>
      </c>
      <c r="W6327" t="str">
        <f t="shared" si="2574"/>
        <v>04-08-2020</v>
      </c>
      <c r="X6327" t="str">
        <f t="shared" si="2575"/>
        <v>RAZIMAH ANSAR AHMAD</v>
      </c>
      <c r="Y6327" t="str">
        <f t="shared" si="2576"/>
        <v>04-08-2020</v>
      </c>
      <c r="Z6327" t="str">
        <f>"COS10200804 2827"</f>
        <v>COS10200804 2827</v>
      </c>
    </row>
    <row r="6328" spans="1:26" x14ac:dyDescent="0.25">
      <c r="A6328" t="str">
        <f t="shared" si="2586"/>
        <v>04-08-2020 12:40:28</v>
      </c>
      <c r="B6328" t="str">
        <f>"0000804590"</f>
        <v>0000804590</v>
      </c>
      <c r="C6328" t="str">
        <f t="shared" si="2587"/>
        <v>0000804564</v>
      </c>
      <c r="D6328" t="str">
        <f t="shared" si="2566"/>
        <v>73185</v>
      </c>
      <c r="E6328" t="str">
        <f t="shared" si="2567"/>
        <v>KFH-OPERATIONS DEPARTMENT</v>
      </c>
      <c r="F6328" t="str">
        <f t="shared" si="2568"/>
        <v>IBG</v>
      </c>
      <c r="G6328" t="str">
        <f t="shared" si="2579"/>
        <v>Refund COSHARE 10</v>
      </c>
      <c r="H6328" s="2">
        <v>1031.4000000000001</v>
      </c>
      <c r="I6328" t="str">
        <f>"MOHD AMIRUDDIN  BIN MD ALIP"</f>
        <v>MOHD AMIRUDDIN  BIN MD ALIP</v>
      </c>
      <c r="J6328" t="str">
        <f t="shared" si="2565"/>
        <v>CIMB BANK / CIMB ISLAMIC BANK</v>
      </c>
      <c r="K6328" t="str">
        <f>"14180003813209"</f>
        <v>14180003813209</v>
      </c>
      <c r="L6328" t="str">
        <f t="shared" si="2588"/>
        <v>04-08-2020</v>
      </c>
      <c r="M6328" t="str">
        <f t="shared" si="2588"/>
        <v>04-08-2020</v>
      </c>
      <c r="N6328" t="str">
        <f t="shared" si="2569"/>
        <v>001105018356</v>
      </c>
      <c r="O6328" t="str">
        <f t="shared" si="2570"/>
        <v>MYR</v>
      </c>
      <c r="P6328" t="str">
        <f t="shared" si="2589"/>
        <v>NIL</v>
      </c>
      <c r="Q6328" t="str">
        <f t="shared" si="2589"/>
        <v>NIL</v>
      </c>
      <c r="R6328" t="str">
        <f t="shared" si="2582"/>
        <v>Accepted</v>
      </c>
      <c r="S6328" t="str">
        <f t="shared" si="2571"/>
        <v>Approved</v>
      </c>
      <c r="T6328" t="str">
        <f t="shared" si="2583"/>
        <v>10.20.8.188</v>
      </c>
      <c r="U6328" t="str">
        <f t="shared" si="2572"/>
        <v>AZRAD UMAR BIN SHAARI</v>
      </c>
      <c r="V6328" t="str">
        <f t="shared" si="2573"/>
        <v>FARHANA BINTI MUSTAPA</v>
      </c>
      <c r="W6328" t="str">
        <f t="shared" si="2574"/>
        <v>04-08-2020</v>
      </c>
      <c r="X6328" t="str">
        <f t="shared" si="2575"/>
        <v>RAZIMAH ANSAR AHMAD</v>
      </c>
      <c r="Y6328" t="str">
        <f t="shared" si="2576"/>
        <v>04-08-2020</v>
      </c>
      <c r="Z6328" t="str">
        <f>"COS10200804 2826"</f>
        <v>COS10200804 2826</v>
      </c>
    </row>
    <row r="6329" spans="1:26" x14ac:dyDescent="0.25">
      <c r="A6329" t="str">
        <f t="shared" si="2586"/>
        <v>04-08-2020 12:40:28</v>
      </c>
      <c r="B6329" t="str">
        <f>"0000804589"</f>
        <v>0000804589</v>
      </c>
      <c r="C6329" t="str">
        <f t="shared" si="2587"/>
        <v>0000804564</v>
      </c>
      <c r="D6329" t="str">
        <f t="shared" si="2566"/>
        <v>73185</v>
      </c>
      <c r="E6329" t="str">
        <f t="shared" si="2567"/>
        <v>KFH-OPERATIONS DEPARTMENT</v>
      </c>
      <c r="F6329" t="str">
        <f t="shared" si="2568"/>
        <v>IBG</v>
      </c>
      <c r="G6329" t="str">
        <f t="shared" si="2579"/>
        <v>Refund COSHARE 10</v>
      </c>
      <c r="H6329" s="2">
        <v>1518</v>
      </c>
      <c r="I6329" t="str">
        <f>"MOHD AMIR BIN KAMARUZZAMAN"</f>
        <v>MOHD AMIR BIN KAMARUZZAMAN</v>
      </c>
      <c r="J6329" t="str">
        <f t="shared" si="2565"/>
        <v>CIMB BANK / CIMB ISLAMIC BANK</v>
      </c>
      <c r="K6329" t="str">
        <f>"08150061154526"</f>
        <v>08150061154526</v>
      </c>
      <c r="L6329" t="str">
        <f t="shared" si="2588"/>
        <v>04-08-2020</v>
      </c>
      <c r="M6329" t="str">
        <f t="shared" si="2588"/>
        <v>04-08-2020</v>
      </c>
      <c r="N6329" t="str">
        <f t="shared" si="2569"/>
        <v>001105018356</v>
      </c>
      <c r="O6329" t="str">
        <f t="shared" si="2570"/>
        <v>MYR</v>
      </c>
      <c r="P6329" t="str">
        <f t="shared" si="2589"/>
        <v>NIL</v>
      </c>
      <c r="Q6329" t="str">
        <f t="shared" si="2589"/>
        <v>NIL</v>
      </c>
      <c r="R6329" t="str">
        <f t="shared" si="2582"/>
        <v>Accepted</v>
      </c>
      <c r="S6329" t="str">
        <f t="shared" si="2571"/>
        <v>Approved</v>
      </c>
      <c r="T6329" t="str">
        <f t="shared" si="2583"/>
        <v>10.20.8.188</v>
      </c>
      <c r="U6329" t="str">
        <f t="shared" si="2572"/>
        <v>AZRAD UMAR BIN SHAARI</v>
      </c>
      <c r="V6329" t="str">
        <f t="shared" si="2573"/>
        <v>FARHANA BINTI MUSTAPA</v>
      </c>
      <c r="W6329" t="str">
        <f t="shared" si="2574"/>
        <v>04-08-2020</v>
      </c>
      <c r="X6329" t="str">
        <f t="shared" si="2575"/>
        <v>RAZIMAH ANSAR AHMAD</v>
      </c>
      <c r="Y6329" t="str">
        <f t="shared" si="2576"/>
        <v>04-08-2020</v>
      </c>
      <c r="Z6329" t="str">
        <f>"COS10200804 2825"</f>
        <v>COS10200804 2825</v>
      </c>
    </row>
    <row r="6330" spans="1:26" x14ac:dyDescent="0.25">
      <c r="A6330" t="str">
        <f t="shared" si="2586"/>
        <v>04-08-2020 12:40:28</v>
      </c>
      <c r="B6330" t="str">
        <f>"0000804588"</f>
        <v>0000804588</v>
      </c>
      <c r="C6330" t="str">
        <f t="shared" si="2587"/>
        <v>0000804564</v>
      </c>
      <c r="D6330" t="str">
        <f t="shared" si="2566"/>
        <v>73185</v>
      </c>
      <c r="E6330" t="str">
        <f t="shared" si="2567"/>
        <v>KFH-OPERATIONS DEPARTMENT</v>
      </c>
      <c r="F6330" t="str">
        <f t="shared" si="2568"/>
        <v>IBG</v>
      </c>
      <c r="G6330" t="str">
        <f t="shared" si="2579"/>
        <v>Refund COSHARE 10</v>
      </c>
      <c r="H6330" s="2">
        <v>689.6</v>
      </c>
      <c r="I6330" t="str">
        <f>"MOHD AMIN ISMAN BIN ISMAIL"</f>
        <v>MOHD AMIN ISMAN BIN ISMAIL</v>
      </c>
      <c r="J6330" t="str">
        <f t="shared" si="2565"/>
        <v>CIMB BANK / CIMB ISLAMIC BANK</v>
      </c>
      <c r="K6330" t="str">
        <f>"7611382536"</f>
        <v>7611382536</v>
      </c>
      <c r="L6330" t="str">
        <f t="shared" si="2588"/>
        <v>04-08-2020</v>
      </c>
      <c r="M6330" t="str">
        <f t="shared" si="2588"/>
        <v>04-08-2020</v>
      </c>
      <c r="N6330" t="str">
        <f t="shared" si="2569"/>
        <v>001105018356</v>
      </c>
      <c r="O6330" t="str">
        <f t="shared" si="2570"/>
        <v>MYR</v>
      </c>
      <c r="P6330" t="str">
        <f t="shared" si="2589"/>
        <v>NIL</v>
      </c>
      <c r="Q6330" t="str">
        <f t="shared" si="2589"/>
        <v>NIL</v>
      </c>
      <c r="R6330" t="str">
        <f t="shared" si="2582"/>
        <v>Accepted</v>
      </c>
      <c r="S6330" t="str">
        <f t="shared" si="2571"/>
        <v>Approved</v>
      </c>
      <c r="T6330" t="str">
        <f t="shared" si="2583"/>
        <v>10.20.8.188</v>
      </c>
      <c r="U6330" t="str">
        <f t="shared" si="2572"/>
        <v>AZRAD UMAR BIN SHAARI</v>
      </c>
      <c r="V6330" t="str">
        <f t="shared" si="2573"/>
        <v>FARHANA BINTI MUSTAPA</v>
      </c>
      <c r="W6330" t="str">
        <f t="shared" si="2574"/>
        <v>04-08-2020</v>
      </c>
      <c r="X6330" t="str">
        <f t="shared" si="2575"/>
        <v>RAZIMAH ANSAR AHMAD</v>
      </c>
      <c r="Y6330" t="str">
        <f t="shared" si="2576"/>
        <v>04-08-2020</v>
      </c>
      <c r="Z6330" t="str">
        <f>"COS10200804 2824"</f>
        <v>COS10200804 2824</v>
      </c>
    </row>
    <row r="6331" spans="1:26" x14ac:dyDescent="0.25">
      <c r="A6331" t="str">
        <f t="shared" si="2586"/>
        <v>04-08-2020 12:40:28</v>
      </c>
      <c r="B6331" t="str">
        <f>"0000804587"</f>
        <v>0000804587</v>
      </c>
      <c r="C6331" t="str">
        <f t="shared" si="2587"/>
        <v>0000804564</v>
      </c>
      <c r="D6331" t="str">
        <f t="shared" si="2566"/>
        <v>73185</v>
      </c>
      <c r="E6331" t="str">
        <f t="shared" si="2567"/>
        <v>KFH-OPERATIONS DEPARTMENT</v>
      </c>
      <c r="F6331" t="str">
        <f t="shared" si="2568"/>
        <v>IBG</v>
      </c>
      <c r="G6331" t="str">
        <f t="shared" si="2579"/>
        <v>Refund COSHARE 10</v>
      </c>
      <c r="H6331" s="2">
        <v>137</v>
      </c>
      <c r="I6331" t="str">
        <f>"MOHD ALIFF BIN MOHD AMIN"</f>
        <v>MOHD ALIFF BIN MOHD AMIN</v>
      </c>
      <c r="J6331" t="str">
        <f t="shared" si="2565"/>
        <v>CIMB BANK / CIMB ISLAMIC BANK</v>
      </c>
      <c r="K6331" t="str">
        <f>"11030003235207"</f>
        <v>11030003235207</v>
      </c>
      <c r="L6331" t="str">
        <f t="shared" si="2588"/>
        <v>04-08-2020</v>
      </c>
      <c r="M6331" t="str">
        <f t="shared" si="2588"/>
        <v>04-08-2020</v>
      </c>
      <c r="N6331" t="str">
        <f t="shared" si="2569"/>
        <v>001105018356</v>
      </c>
      <c r="O6331" t="str">
        <f t="shared" si="2570"/>
        <v>MYR</v>
      </c>
      <c r="P6331" t="str">
        <f t="shared" si="2589"/>
        <v>NIL</v>
      </c>
      <c r="Q6331" t="str">
        <f t="shared" si="2589"/>
        <v>NIL</v>
      </c>
      <c r="R6331" t="str">
        <f t="shared" si="2582"/>
        <v>Accepted</v>
      </c>
      <c r="S6331" t="str">
        <f t="shared" si="2571"/>
        <v>Approved</v>
      </c>
      <c r="T6331" t="str">
        <f t="shared" si="2583"/>
        <v>10.20.8.188</v>
      </c>
      <c r="U6331" t="str">
        <f t="shared" si="2572"/>
        <v>AZRAD UMAR BIN SHAARI</v>
      </c>
      <c r="V6331" t="str">
        <f t="shared" si="2573"/>
        <v>FARHANA BINTI MUSTAPA</v>
      </c>
      <c r="W6331" t="str">
        <f t="shared" si="2574"/>
        <v>04-08-2020</v>
      </c>
      <c r="X6331" t="str">
        <f t="shared" si="2575"/>
        <v>RAZIMAH ANSAR AHMAD</v>
      </c>
      <c r="Y6331" t="str">
        <f t="shared" si="2576"/>
        <v>04-08-2020</v>
      </c>
      <c r="Z6331" t="str">
        <f>"COS10200804 2823"</f>
        <v>COS10200804 2823</v>
      </c>
    </row>
    <row r="6332" spans="1:26" x14ac:dyDescent="0.25">
      <c r="A6332" t="str">
        <f t="shared" si="2586"/>
        <v>04-08-2020 12:40:28</v>
      </c>
      <c r="B6332" t="str">
        <f>"0000804586"</f>
        <v>0000804586</v>
      </c>
      <c r="C6332" t="str">
        <f t="shared" si="2587"/>
        <v>0000804564</v>
      </c>
      <c r="D6332" t="str">
        <f t="shared" si="2566"/>
        <v>73185</v>
      </c>
      <c r="E6332" t="str">
        <f t="shared" si="2567"/>
        <v>KFH-OPERATIONS DEPARTMENT</v>
      </c>
      <c r="F6332" t="str">
        <f t="shared" si="2568"/>
        <v>IBG</v>
      </c>
      <c r="G6332" t="str">
        <f t="shared" si="2579"/>
        <v>Refund COSHARE 10</v>
      </c>
      <c r="H6332" s="2">
        <v>587.65</v>
      </c>
      <c r="I6332" t="str">
        <f>"MOHD ALIF AIMAN ABDULLAH"</f>
        <v>MOHD ALIF AIMAN ABDULLAH</v>
      </c>
      <c r="J6332" t="str">
        <f t="shared" ref="J6332:J6395" si="2590">"CIMB BANK / CIMB ISLAMIC BANK"</f>
        <v>CIMB BANK / CIMB ISLAMIC BANK</v>
      </c>
      <c r="K6332" t="str">
        <f>"7034244992"</f>
        <v>7034244992</v>
      </c>
      <c r="L6332" t="str">
        <f t="shared" si="2588"/>
        <v>04-08-2020</v>
      </c>
      <c r="M6332" t="str">
        <f t="shared" si="2588"/>
        <v>04-08-2020</v>
      </c>
      <c r="N6332" t="str">
        <f t="shared" si="2569"/>
        <v>001105018356</v>
      </c>
      <c r="O6332" t="str">
        <f t="shared" si="2570"/>
        <v>MYR</v>
      </c>
      <c r="P6332" t="str">
        <f t="shared" si="2589"/>
        <v>NIL</v>
      </c>
      <c r="Q6332" t="str">
        <f t="shared" si="2589"/>
        <v>NIL</v>
      </c>
      <c r="R6332" t="str">
        <f t="shared" si="2582"/>
        <v>Accepted</v>
      </c>
      <c r="S6332" t="str">
        <f t="shared" si="2571"/>
        <v>Approved</v>
      </c>
      <c r="T6332" t="str">
        <f t="shared" si="2583"/>
        <v>10.20.8.188</v>
      </c>
      <c r="U6332" t="str">
        <f t="shared" si="2572"/>
        <v>AZRAD UMAR BIN SHAARI</v>
      </c>
      <c r="V6332" t="str">
        <f t="shared" si="2573"/>
        <v>FARHANA BINTI MUSTAPA</v>
      </c>
      <c r="W6332" t="str">
        <f t="shared" si="2574"/>
        <v>04-08-2020</v>
      </c>
      <c r="X6332" t="str">
        <f t="shared" si="2575"/>
        <v>RAZIMAH ANSAR AHMAD</v>
      </c>
      <c r="Y6332" t="str">
        <f t="shared" si="2576"/>
        <v>04-08-2020</v>
      </c>
      <c r="Z6332" t="str">
        <f>"COS10200804 2822"</f>
        <v>COS10200804 2822</v>
      </c>
    </row>
    <row r="6333" spans="1:26" x14ac:dyDescent="0.25">
      <c r="A6333" t="str">
        <f t="shared" si="2586"/>
        <v>04-08-2020 12:40:28</v>
      </c>
      <c r="B6333" t="str">
        <f>"0000804585"</f>
        <v>0000804585</v>
      </c>
      <c r="C6333" t="str">
        <f t="shared" si="2587"/>
        <v>0000804564</v>
      </c>
      <c r="D6333" t="str">
        <f t="shared" si="2566"/>
        <v>73185</v>
      </c>
      <c r="E6333" t="str">
        <f t="shared" si="2567"/>
        <v>KFH-OPERATIONS DEPARTMENT</v>
      </c>
      <c r="F6333" t="str">
        <f t="shared" si="2568"/>
        <v>IBG</v>
      </c>
      <c r="G6333" t="str">
        <f t="shared" si="2579"/>
        <v>Refund COSHARE 10</v>
      </c>
      <c r="H6333" s="2">
        <v>607</v>
      </c>
      <c r="I6333" t="str">
        <f>"MOHD ALI IMRAN BIN MOHD NOOR"</f>
        <v>MOHD ALI IMRAN BIN MOHD NOOR</v>
      </c>
      <c r="J6333" t="str">
        <f t="shared" si="2590"/>
        <v>CIMB BANK / CIMB ISLAMIC BANK</v>
      </c>
      <c r="K6333" t="str">
        <f>"12290077591527"</f>
        <v>12290077591527</v>
      </c>
      <c r="L6333" t="str">
        <f t="shared" si="2588"/>
        <v>04-08-2020</v>
      </c>
      <c r="M6333" t="str">
        <f t="shared" si="2588"/>
        <v>04-08-2020</v>
      </c>
      <c r="N6333" t="str">
        <f t="shared" si="2569"/>
        <v>001105018356</v>
      </c>
      <c r="O6333" t="str">
        <f t="shared" si="2570"/>
        <v>MYR</v>
      </c>
      <c r="P6333" t="str">
        <f t="shared" si="2589"/>
        <v>NIL</v>
      </c>
      <c r="Q6333" t="str">
        <f t="shared" si="2589"/>
        <v>NIL</v>
      </c>
      <c r="R6333" t="str">
        <f t="shared" si="2582"/>
        <v>Accepted</v>
      </c>
      <c r="S6333" t="str">
        <f t="shared" si="2571"/>
        <v>Approved</v>
      </c>
      <c r="T6333" t="str">
        <f t="shared" si="2583"/>
        <v>10.20.8.188</v>
      </c>
      <c r="U6333" t="str">
        <f t="shared" si="2572"/>
        <v>AZRAD UMAR BIN SHAARI</v>
      </c>
      <c r="V6333" t="str">
        <f t="shared" si="2573"/>
        <v>FARHANA BINTI MUSTAPA</v>
      </c>
      <c r="W6333" t="str">
        <f t="shared" si="2574"/>
        <v>04-08-2020</v>
      </c>
      <c r="X6333" t="str">
        <f t="shared" si="2575"/>
        <v>RAZIMAH ANSAR AHMAD</v>
      </c>
      <c r="Y6333" t="str">
        <f t="shared" si="2576"/>
        <v>04-08-2020</v>
      </c>
      <c r="Z6333" t="str">
        <f>"COS10200804 2821"</f>
        <v>COS10200804 2821</v>
      </c>
    </row>
    <row r="6334" spans="1:26" x14ac:dyDescent="0.25">
      <c r="A6334" t="str">
        <f t="shared" si="2586"/>
        <v>04-08-2020 12:40:28</v>
      </c>
      <c r="B6334" t="str">
        <f>"0000804584"</f>
        <v>0000804584</v>
      </c>
      <c r="C6334" t="str">
        <f t="shared" si="2587"/>
        <v>0000804564</v>
      </c>
      <c r="D6334" t="str">
        <f t="shared" si="2566"/>
        <v>73185</v>
      </c>
      <c r="E6334" t="str">
        <f t="shared" si="2567"/>
        <v>KFH-OPERATIONS DEPARTMENT</v>
      </c>
      <c r="F6334" t="str">
        <f t="shared" si="2568"/>
        <v>IBG</v>
      </c>
      <c r="G6334" t="str">
        <f t="shared" si="2579"/>
        <v>Refund COSHARE 10</v>
      </c>
      <c r="H6334" s="2">
        <v>687.65</v>
      </c>
      <c r="I6334" t="str">
        <f>"MOHD AL IKHSAN BIN GHAZALI"</f>
        <v>MOHD AL IKHSAN BIN GHAZALI</v>
      </c>
      <c r="J6334" t="str">
        <f t="shared" si="2590"/>
        <v>CIMB BANK / CIMB ISLAMIC BANK</v>
      </c>
      <c r="K6334" t="str">
        <f>"12470073782527"</f>
        <v>12470073782527</v>
      </c>
      <c r="L6334" t="str">
        <f t="shared" si="2588"/>
        <v>04-08-2020</v>
      </c>
      <c r="M6334" t="str">
        <f t="shared" si="2588"/>
        <v>04-08-2020</v>
      </c>
      <c r="N6334" t="str">
        <f t="shared" si="2569"/>
        <v>001105018356</v>
      </c>
      <c r="O6334" t="str">
        <f t="shared" si="2570"/>
        <v>MYR</v>
      </c>
      <c r="P6334" t="str">
        <f t="shared" si="2589"/>
        <v>NIL</v>
      </c>
      <c r="Q6334" t="str">
        <f t="shared" si="2589"/>
        <v>NIL</v>
      </c>
      <c r="R6334" t="str">
        <f t="shared" si="2582"/>
        <v>Accepted</v>
      </c>
      <c r="S6334" t="str">
        <f t="shared" si="2571"/>
        <v>Approved</v>
      </c>
      <c r="T6334" t="str">
        <f t="shared" si="2583"/>
        <v>10.20.8.188</v>
      </c>
      <c r="U6334" t="str">
        <f t="shared" si="2572"/>
        <v>AZRAD UMAR BIN SHAARI</v>
      </c>
      <c r="V6334" t="str">
        <f t="shared" si="2573"/>
        <v>FARHANA BINTI MUSTAPA</v>
      </c>
      <c r="W6334" t="str">
        <f t="shared" si="2574"/>
        <v>04-08-2020</v>
      </c>
      <c r="X6334" t="str">
        <f t="shared" si="2575"/>
        <v>RAZIMAH ANSAR AHMAD</v>
      </c>
      <c r="Y6334" t="str">
        <f t="shared" si="2576"/>
        <v>04-08-2020</v>
      </c>
      <c r="Z6334" t="str">
        <f>"COS10200804 2820"</f>
        <v>COS10200804 2820</v>
      </c>
    </row>
    <row r="6335" spans="1:26" x14ac:dyDescent="0.25">
      <c r="A6335" t="str">
        <f t="shared" si="2586"/>
        <v>04-08-2020 12:40:28</v>
      </c>
      <c r="B6335" t="str">
        <f>"0000804583"</f>
        <v>0000804583</v>
      </c>
      <c r="C6335" t="str">
        <f t="shared" si="2587"/>
        <v>0000804564</v>
      </c>
      <c r="D6335" t="str">
        <f t="shared" si="2566"/>
        <v>73185</v>
      </c>
      <c r="E6335" t="str">
        <f t="shared" si="2567"/>
        <v>KFH-OPERATIONS DEPARTMENT</v>
      </c>
      <c r="F6335" t="str">
        <f t="shared" si="2568"/>
        <v>IBG</v>
      </c>
      <c r="G6335" t="str">
        <f t="shared" si="2579"/>
        <v>Refund COSHARE 10</v>
      </c>
      <c r="H6335" s="2">
        <v>1032.5999999999999</v>
      </c>
      <c r="I6335" t="str">
        <f>"MOHD AL FERDDAUS BIN MOHD SAUPI"</f>
        <v>MOHD AL FERDDAUS BIN MOHD SAUPI</v>
      </c>
      <c r="J6335" t="str">
        <f t="shared" si="2590"/>
        <v>CIMB BANK / CIMB ISLAMIC BANK</v>
      </c>
      <c r="K6335" t="str">
        <f>"7026514986"</f>
        <v>7026514986</v>
      </c>
      <c r="L6335" t="str">
        <f t="shared" si="2588"/>
        <v>04-08-2020</v>
      </c>
      <c r="M6335" t="str">
        <f t="shared" si="2588"/>
        <v>04-08-2020</v>
      </c>
      <c r="N6335" t="str">
        <f t="shared" si="2569"/>
        <v>001105018356</v>
      </c>
      <c r="O6335" t="str">
        <f t="shared" si="2570"/>
        <v>MYR</v>
      </c>
      <c r="P6335" t="str">
        <f t="shared" si="2589"/>
        <v>NIL</v>
      </c>
      <c r="Q6335" t="str">
        <f t="shared" si="2589"/>
        <v>NIL</v>
      </c>
      <c r="R6335" t="str">
        <f t="shared" si="2582"/>
        <v>Accepted</v>
      </c>
      <c r="S6335" t="str">
        <f t="shared" si="2571"/>
        <v>Approved</v>
      </c>
      <c r="T6335" t="str">
        <f t="shared" si="2583"/>
        <v>10.20.8.188</v>
      </c>
      <c r="U6335" t="str">
        <f t="shared" si="2572"/>
        <v>AZRAD UMAR BIN SHAARI</v>
      </c>
      <c r="V6335" t="str">
        <f t="shared" si="2573"/>
        <v>FARHANA BINTI MUSTAPA</v>
      </c>
      <c r="W6335" t="str">
        <f t="shared" si="2574"/>
        <v>04-08-2020</v>
      </c>
      <c r="X6335" t="str">
        <f t="shared" si="2575"/>
        <v>RAZIMAH ANSAR AHMAD</v>
      </c>
      <c r="Y6335" t="str">
        <f t="shared" si="2576"/>
        <v>04-08-2020</v>
      </c>
      <c r="Z6335" t="str">
        <f>"COS10200804 2819"</f>
        <v>COS10200804 2819</v>
      </c>
    </row>
    <row r="6336" spans="1:26" x14ac:dyDescent="0.25">
      <c r="A6336" t="str">
        <f t="shared" si="2586"/>
        <v>04-08-2020 12:40:28</v>
      </c>
      <c r="B6336" t="str">
        <f>"0000804582"</f>
        <v>0000804582</v>
      </c>
      <c r="C6336" t="str">
        <f t="shared" si="2587"/>
        <v>0000804564</v>
      </c>
      <c r="D6336" t="str">
        <f t="shared" si="2566"/>
        <v>73185</v>
      </c>
      <c r="E6336" t="str">
        <f t="shared" si="2567"/>
        <v>KFH-OPERATIONS DEPARTMENT</v>
      </c>
      <c r="F6336" t="str">
        <f t="shared" si="2568"/>
        <v>IBG</v>
      </c>
      <c r="G6336" t="str">
        <f t="shared" si="2579"/>
        <v>Refund COSHARE 10</v>
      </c>
      <c r="H6336" s="2">
        <v>381.1</v>
      </c>
      <c r="I6336" t="str">
        <f>"MOHD AKHIR BIN MOHD NOR"</f>
        <v>MOHD AKHIR BIN MOHD NOR</v>
      </c>
      <c r="J6336" t="str">
        <f t="shared" si="2590"/>
        <v>CIMB BANK / CIMB ISLAMIC BANK</v>
      </c>
      <c r="K6336" t="str">
        <f>"12150016406522"</f>
        <v>12150016406522</v>
      </c>
      <c r="L6336" t="str">
        <f t="shared" si="2588"/>
        <v>04-08-2020</v>
      </c>
      <c r="M6336" t="str">
        <f t="shared" si="2588"/>
        <v>04-08-2020</v>
      </c>
      <c r="N6336" t="str">
        <f t="shared" si="2569"/>
        <v>001105018356</v>
      </c>
      <c r="O6336" t="str">
        <f t="shared" si="2570"/>
        <v>MYR</v>
      </c>
      <c r="P6336" t="str">
        <f t="shared" si="2589"/>
        <v>NIL</v>
      </c>
      <c r="Q6336" t="str">
        <f t="shared" si="2589"/>
        <v>NIL</v>
      </c>
      <c r="R6336" t="str">
        <f t="shared" si="2582"/>
        <v>Accepted</v>
      </c>
      <c r="S6336" t="str">
        <f t="shared" si="2571"/>
        <v>Approved</v>
      </c>
      <c r="T6336" t="str">
        <f t="shared" si="2583"/>
        <v>10.20.8.188</v>
      </c>
      <c r="U6336" t="str">
        <f t="shared" si="2572"/>
        <v>AZRAD UMAR BIN SHAARI</v>
      </c>
      <c r="V6336" t="str">
        <f t="shared" si="2573"/>
        <v>FARHANA BINTI MUSTAPA</v>
      </c>
      <c r="W6336" t="str">
        <f t="shared" si="2574"/>
        <v>04-08-2020</v>
      </c>
      <c r="X6336" t="str">
        <f t="shared" si="2575"/>
        <v>RAZIMAH ANSAR AHMAD</v>
      </c>
      <c r="Y6336" t="str">
        <f t="shared" si="2576"/>
        <v>04-08-2020</v>
      </c>
      <c r="Z6336" t="str">
        <f>"COS10200804 2818"</f>
        <v>COS10200804 2818</v>
      </c>
    </row>
    <row r="6337" spans="1:26" x14ac:dyDescent="0.25">
      <c r="A6337" t="str">
        <f t="shared" si="2586"/>
        <v>04-08-2020 12:40:28</v>
      </c>
      <c r="B6337" t="str">
        <f>"0000804581"</f>
        <v>0000804581</v>
      </c>
      <c r="C6337" t="str">
        <f t="shared" si="2587"/>
        <v>0000804564</v>
      </c>
      <c r="D6337" t="str">
        <f t="shared" si="2566"/>
        <v>73185</v>
      </c>
      <c r="E6337" t="str">
        <f t="shared" si="2567"/>
        <v>KFH-OPERATIONS DEPARTMENT</v>
      </c>
      <c r="F6337" t="str">
        <f t="shared" si="2568"/>
        <v>IBG</v>
      </c>
      <c r="G6337" t="str">
        <f t="shared" si="2579"/>
        <v>Refund COSHARE 10</v>
      </c>
      <c r="H6337" s="2">
        <v>474</v>
      </c>
      <c r="I6337" t="str">
        <f>"MOHD AKHI BIN ABU BAKAR"</f>
        <v>MOHD AKHI BIN ABU BAKAR</v>
      </c>
      <c r="J6337" t="str">
        <f t="shared" si="2590"/>
        <v>CIMB BANK / CIMB ISLAMIC BANK</v>
      </c>
      <c r="K6337" t="str">
        <f>"12150008750059"</f>
        <v>12150008750059</v>
      </c>
      <c r="L6337" t="str">
        <f t="shared" si="2588"/>
        <v>04-08-2020</v>
      </c>
      <c r="M6337" t="str">
        <f t="shared" si="2588"/>
        <v>04-08-2020</v>
      </c>
      <c r="N6337" t="str">
        <f t="shared" si="2569"/>
        <v>001105018356</v>
      </c>
      <c r="O6337" t="str">
        <f t="shared" si="2570"/>
        <v>MYR</v>
      </c>
      <c r="P6337" t="str">
        <f t="shared" si="2589"/>
        <v>NIL</v>
      </c>
      <c r="Q6337" t="str">
        <f t="shared" si="2589"/>
        <v>NIL</v>
      </c>
      <c r="R6337" t="str">
        <f t="shared" si="2582"/>
        <v>Accepted</v>
      </c>
      <c r="S6337" t="str">
        <f t="shared" si="2571"/>
        <v>Approved</v>
      </c>
      <c r="T6337" t="str">
        <f t="shared" si="2583"/>
        <v>10.20.8.188</v>
      </c>
      <c r="U6337" t="str">
        <f t="shared" si="2572"/>
        <v>AZRAD UMAR BIN SHAARI</v>
      </c>
      <c r="V6337" t="str">
        <f t="shared" si="2573"/>
        <v>FARHANA BINTI MUSTAPA</v>
      </c>
      <c r="W6337" t="str">
        <f t="shared" si="2574"/>
        <v>04-08-2020</v>
      </c>
      <c r="X6337" t="str">
        <f t="shared" si="2575"/>
        <v>RAZIMAH ANSAR AHMAD</v>
      </c>
      <c r="Y6337" t="str">
        <f t="shared" si="2576"/>
        <v>04-08-2020</v>
      </c>
      <c r="Z6337" t="str">
        <f>"COS10200804 2817"</f>
        <v>COS10200804 2817</v>
      </c>
    </row>
    <row r="6338" spans="1:26" x14ac:dyDescent="0.25">
      <c r="A6338" t="str">
        <f t="shared" si="2586"/>
        <v>04-08-2020 12:40:28</v>
      </c>
      <c r="B6338" t="str">
        <f>"0000804580"</f>
        <v>0000804580</v>
      </c>
      <c r="C6338" t="str">
        <f t="shared" si="2587"/>
        <v>0000804564</v>
      </c>
      <c r="D6338" t="str">
        <f t="shared" si="2566"/>
        <v>73185</v>
      </c>
      <c r="E6338" t="str">
        <f t="shared" si="2567"/>
        <v>KFH-OPERATIONS DEPARTMENT</v>
      </c>
      <c r="F6338" t="str">
        <f t="shared" si="2568"/>
        <v>IBG</v>
      </c>
      <c r="G6338" t="str">
        <f t="shared" si="2579"/>
        <v>Refund COSHARE 10</v>
      </c>
      <c r="H6338" s="2">
        <v>381.45</v>
      </c>
      <c r="I6338" t="str">
        <f>"MOHD AFFENDI BIN JAHARI"</f>
        <v>MOHD AFFENDI BIN JAHARI</v>
      </c>
      <c r="J6338" t="str">
        <f t="shared" si="2590"/>
        <v>CIMB BANK / CIMB ISLAMIC BANK</v>
      </c>
      <c r="K6338" t="str">
        <f>"12051401954521"</f>
        <v>12051401954521</v>
      </c>
      <c r="L6338" t="str">
        <f t="shared" si="2588"/>
        <v>04-08-2020</v>
      </c>
      <c r="M6338" t="str">
        <f t="shared" si="2588"/>
        <v>04-08-2020</v>
      </c>
      <c r="N6338" t="str">
        <f t="shared" si="2569"/>
        <v>001105018356</v>
      </c>
      <c r="O6338" t="str">
        <f t="shared" si="2570"/>
        <v>MYR</v>
      </c>
      <c r="P6338" t="str">
        <f t="shared" si="2589"/>
        <v>NIL</v>
      </c>
      <c r="Q6338" t="str">
        <f t="shared" si="2589"/>
        <v>NIL</v>
      </c>
      <c r="R6338" t="str">
        <f t="shared" si="2582"/>
        <v>Accepted</v>
      </c>
      <c r="S6338" t="str">
        <f t="shared" si="2571"/>
        <v>Approved</v>
      </c>
      <c r="T6338" t="str">
        <f t="shared" si="2583"/>
        <v>10.20.8.188</v>
      </c>
      <c r="U6338" t="str">
        <f t="shared" si="2572"/>
        <v>AZRAD UMAR BIN SHAARI</v>
      </c>
      <c r="V6338" t="str">
        <f t="shared" si="2573"/>
        <v>FARHANA BINTI MUSTAPA</v>
      </c>
      <c r="W6338" t="str">
        <f t="shared" si="2574"/>
        <v>04-08-2020</v>
      </c>
      <c r="X6338" t="str">
        <f t="shared" si="2575"/>
        <v>RAZIMAH ANSAR AHMAD</v>
      </c>
      <c r="Y6338" t="str">
        <f t="shared" si="2576"/>
        <v>04-08-2020</v>
      </c>
      <c r="Z6338" t="str">
        <f>"COS10200804 2816"</f>
        <v>COS10200804 2816</v>
      </c>
    </row>
    <row r="6339" spans="1:26" x14ac:dyDescent="0.25">
      <c r="A6339" t="str">
        <f t="shared" si="2586"/>
        <v>04-08-2020 12:40:28</v>
      </c>
      <c r="B6339" t="str">
        <f>"0000804579"</f>
        <v>0000804579</v>
      </c>
      <c r="C6339" t="str">
        <f t="shared" si="2587"/>
        <v>0000804564</v>
      </c>
      <c r="D6339" t="str">
        <f t="shared" si="2566"/>
        <v>73185</v>
      </c>
      <c r="E6339" t="str">
        <f t="shared" si="2567"/>
        <v>KFH-OPERATIONS DEPARTMENT</v>
      </c>
      <c r="F6339" t="str">
        <f t="shared" si="2568"/>
        <v>IBG</v>
      </c>
      <c r="G6339" t="str">
        <f t="shared" si="2579"/>
        <v>Refund COSHARE 10</v>
      </c>
      <c r="H6339" s="2">
        <v>889.9</v>
      </c>
      <c r="I6339" t="str">
        <f>"MOHASRIDA AZURA BINTI MOHD"</f>
        <v>MOHASRIDA AZURA BINTI MOHD</v>
      </c>
      <c r="J6339" t="str">
        <f t="shared" si="2590"/>
        <v>CIMB BANK / CIMB ISLAMIC BANK</v>
      </c>
      <c r="K6339" t="str">
        <f>"06120064805523"</f>
        <v>06120064805523</v>
      </c>
      <c r="L6339" t="str">
        <f t="shared" si="2588"/>
        <v>04-08-2020</v>
      </c>
      <c r="M6339" t="str">
        <f t="shared" si="2588"/>
        <v>04-08-2020</v>
      </c>
      <c r="N6339" t="str">
        <f t="shared" si="2569"/>
        <v>001105018356</v>
      </c>
      <c r="O6339" t="str">
        <f t="shared" si="2570"/>
        <v>MYR</v>
      </c>
      <c r="P6339" t="str">
        <f t="shared" si="2589"/>
        <v>NIL</v>
      </c>
      <c r="Q6339" t="str">
        <f t="shared" si="2589"/>
        <v>NIL</v>
      </c>
      <c r="R6339" t="str">
        <f t="shared" si="2582"/>
        <v>Accepted</v>
      </c>
      <c r="S6339" t="str">
        <f t="shared" si="2571"/>
        <v>Approved</v>
      </c>
      <c r="T6339" t="str">
        <f t="shared" si="2583"/>
        <v>10.20.8.188</v>
      </c>
      <c r="U6339" t="str">
        <f t="shared" si="2572"/>
        <v>AZRAD UMAR BIN SHAARI</v>
      </c>
      <c r="V6339" t="str">
        <f t="shared" si="2573"/>
        <v>FARHANA BINTI MUSTAPA</v>
      </c>
      <c r="W6339" t="str">
        <f t="shared" si="2574"/>
        <v>04-08-2020</v>
      </c>
      <c r="X6339" t="str">
        <f t="shared" si="2575"/>
        <v>RAZIMAH ANSAR AHMAD</v>
      </c>
      <c r="Y6339" t="str">
        <f t="shared" si="2576"/>
        <v>04-08-2020</v>
      </c>
      <c r="Z6339" t="str">
        <f>"COS10200804 2815"</f>
        <v>COS10200804 2815</v>
      </c>
    </row>
    <row r="6340" spans="1:26" x14ac:dyDescent="0.25">
      <c r="A6340" t="str">
        <f t="shared" si="2586"/>
        <v>04-08-2020 12:40:28</v>
      </c>
      <c r="B6340" t="str">
        <f>"0000804578"</f>
        <v>0000804578</v>
      </c>
      <c r="C6340" t="str">
        <f t="shared" si="2587"/>
        <v>0000804564</v>
      </c>
      <c r="D6340" t="str">
        <f t="shared" si="2566"/>
        <v>73185</v>
      </c>
      <c r="E6340" t="str">
        <f t="shared" si="2567"/>
        <v>KFH-OPERATIONS DEPARTMENT</v>
      </c>
      <c r="F6340" t="str">
        <f t="shared" si="2568"/>
        <v>IBG</v>
      </c>
      <c r="G6340" t="str">
        <f t="shared" si="2579"/>
        <v>Refund COSHARE 10</v>
      </c>
      <c r="H6340" s="2">
        <v>646.4</v>
      </c>
      <c r="I6340" t="str">
        <f>"MOHAMMED AZRUL BIN MD ARIF"</f>
        <v>MOHAMMED AZRUL BIN MD ARIF</v>
      </c>
      <c r="J6340" t="str">
        <f t="shared" si="2590"/>
        <v>CIMB BANK / CIMB ISLAMIC BANK</v>
      </c>
      <c r="K6340" t="str">
        <f>"01050117240528"</f>
        <v>01050117240528</v>
      </c>
      <c r="L6340" t="str">
        <f t="shared" si="2588"/>
        <v>04-08-2020</v>
      </c>
      <c r="M6340" t="str">
        <f t="shared" si="2588"/>
        <v>04-08-2020</v>
      </c>
      <c r="N6340" t="str">
        <f t="shared" si="2569"/>
        <v>001105018356</v>
      </c>
      <c r="O6340" t="str">
        <f t="shared" si="2570"/>
        <v>MYR</v>
      </c>
      <c r="P6340" t="str">
        <f t="shared" si="2589"/>
        <v>NIL</v>
      </c>
      <c r="Q6340" t="str">
        <f t="shared" si="2589"/>
        <v>NIL</v>
      </c>
      <c r="R6340" t="str">
        <f t="shared" si="2582"/>
        <v>Accepted</v>
      </c>
      <c r="S6340" t="str">
        <f t="shared" si="2571"/>
        <v>Approved</v>
      </c>
      <c r="T6340" t="str">
        <f t="shared" si="2583"/>
        <v>10.20.8.188</v>
      </c>
      <c r="U6340" t="str">
        <f t="shared" si="2572"/>
        <v>AZRAD UMAR BIN SHAARI</v>
      </c>
      <c r="V6340" t="str">
        <f t="shared" si="2573"/>
        <v>FARHANA BINTI MUSTAPA</v>
      </c>
      <c r="W6340" t="str">
        <f t="shared" si="2574"/>
        <v>04-08-2020</v>
      </c>
      <c r="X6340" t="str">
        <f t="shared" si="2575"/>
        <v>RAZIMAH ANSAR AHMAD</v>
      </c>
      <c r="Y6340" t="str">
        <f t="shared" si="2576"/>
        <v>04-08-2020</v>
      </c>
      <c r="Z6340" t="str">
        <f>"COS10200804 2814"</f>
        <v>COS10200804 2814</v>
      </c>
    </row>
    <row r="6341" spans="1:26" x14ac:dyDescent="0.25">
      <c r="A6341" t="str">
        <f t="shared" si="2586"/>
        <v>04-08-2020 12:40:28</v>
      </c>
      <c r="B6341" t="str">
        <f>"0000804577"</f>
        <v>0000804577</v>
      </c>
      <c r="C6341" t="str">
        <f t="shared" si="2587"/>
        <v>0000804564</v>
      </c>
      <c r="D6341" t="str">
        <f t="shared" si="2566"/>
        <v>73185</v>
      </c>
      <c r="E6341" t="str">
        <f t="shared" si="2567"/>
        <v>KFH-OPERATIONS DEPARTMENT</v>
      </c>
      <c r="F6341" t="str">
        <f t="shared" si="2568"/>
        <v>IBG</v>
      </c>
      <c r="G6341" t="str">
        <f t="shared" si="2579"/>
        <v>Refund COSHARE 10</v>
      </c>
      <c r="H6341" s="2">
        <v>92.35</v>
      </c>
      <c r="I6341" t="str">
        <f>"MOHAMMAD SAFWAN BIN MOHD SARIT"</f>
        <v>MOHAMMAD SAFWAN BIN MOHD SARIT</v>
      </c>
      <c r="J6341" t="str">
        <f t="shared" si="2590"/>
        <v>CIMB BANK / CIMB ISLAMIC BANK</v>
      </c>
      <c r="K6341" t="str">
        <f>"08170068386520"</f>
        <v>08170068386520</v>
      </c>
      <c r="L6341" t="str">
        <f t="shared" si="2588"/>
        <v>04-08-2020</v>
      </c>
      <c r="M6341" t="str">
        <f t="shared" si="2588"/>
        <v>04-08-2020</v>
      </c>
      <c r="N6341" t="str">
        <f t="shared" si="2569"/>
        <v>001105018356</v>
      </c>
      <c r="O6341" t="str">
        <f t="shared" si="2570"/>
        <v>MYR</v>
      </c>
      <c r="P6341" t="str">
        <f t="shared" si="2589"/>
        <v>NIL</v>
      </c>
      <c r="Q6341" t="str">
        <f t="shared" si="2589"/>
        <v>NIL</v>
      </c>
      <c r="R6341" t="str">
        <f t="shared" si="2582"/>
        <v>Accepted</v>
      </c>
      <c r="S6341" t="str">
        <f t="shared" si="2571"/>
        <v>Approved</v>
      </c>
      <c r="T6341" t="str">
        <f t="shared" si="2583"/>
        <v>10.20.8.188</v>
      </c>
      <c r="U6341" t="str">
        <f t="shared" si="2572"/>
        <v>AZRAD UMAR BIN SHAARI</v>
      </c>
      <c r="V6341" t="str">
        <f t="shared" si="2573"/>
        <v>FARHANA BINTI MUSTAPA</v>
      </c>
      <c r="W6341" t="str">
        <f t="shared" si="2574"/>
        <v>04-08-2020</v>
      </c>
      <c r="X6341" t="str">
        <f t="shared" si="2575"/>
        <v>RAZIMAH ANSAR AHMAD</v>
      </c>
      <c r="Y6341" t="str">
        <f t="shared" si="2576"/>
        <v>04-08-2020</v>
      </c>
      <c r="Z6341" t="str">
        <f>"COS10200804 2813"</f>
        <v>COS10200804 2813</v>
      </c>
    </row>
    <row r="6342" spans="1:26" x14ac:dyDescent="0.25">
      <c r="A6342" t="str">
        <f t="shared" si="2586"/>
        <v>04-08-2020 12:40:28</v>
      </c>
      <c r="B6342" t="str">
        <f>"0000804576"</f>
        <v>0000804576</v>
      </c>
      <c r="C6342" t="str">
        <f t="shared" si="2587"/>
        <v>0000804564</v>
      </c>
      <c r="D6342" t="str">
        <f t="shared" si="2566"/>
        <v>73185</v>
      </c>
      <c r="E6342" t="str">
        <f t="shared" si="2567"/>
        <v>KFH-OPERATIONS DEPARTMENT</v>
      </c>
      <c r="F6342" t="str">
        <f t="shared" si="2568"/>
        <v>IBG</v>
      </c>
      <c r="G6342" t="str">
        <f t="shared" si="2579"/>
        <v>Refund COSHARE 10</v>
      </c>
      <c r="H6342" s="2">
        <v>380</v>
      </c>
      <c r="I6342" t="str">
        <f>"MOHAMMAD RAFI BIN CHE MAT"</f>
        <v>MOHAMMAD RAFI BIN CHE MAT</v>
      </c>
      <c r="J6342" t="str">
        <f t="shared" si="2590"/>
        <v>CIMB BANK / CIMB ISLAMIC BANK</v>
      </c>
      <c r="K6342" t="str">
        <f>"08140007146526"</f>
        <v>08140007146526</v>
      </c>
      <c r="L6342" t="str">
        <f t="shared" si="2588"/>
        <v>04-08-2020</v>
      </c>
      <c r="M6342" t="str">
        <f t="shared" si="2588"/>
        <v>04-08-2020</v>
      </c>
      <c r="N6342" t="str">
        <f t="shared" si="2569"/>
        <v>001105018356</v>
      </c>
      <c r="O6342" t="str">
        <f t="shared" si="2570"/>
        <v>MYR</v>
      </c>
      <c r="P6342" t="str">
        <f t="shared" si="2589"/>
        <v>NIL</v>
      </c>
      <c r="Q6342" t="str">
        <f t="shared" si="2589"/>
        <v>NIL</v>
      </c>
      <c r="R6342" t="str">
        <f t="shared" si="2582"/>
        <v>Accepted</v>
      </c>
      <c r="S6342" t="str">
        <f t="shared" si="2571"/>
        <v>Approved</v>
      </c>
      <c r="T6342" t="str">
        <f t="shared" si="2583"/>
        <v>10.20.8.188</v>
      </c>
      <c r="U6342" t="str">
        <f t="shared" si="2572"/>
        <v>AZRAD UMAR BIN SHAARI</v>
      </c>
      <c r="V6342" t="str">
        <f t="shared" si="2573"/>
        <v>FARHANA BINTI MUSTAPA</v>
      </c>
      <c r="W6342" t="str">
        <f t="shared" si="2574"/>
        <v>04-08-2020</v>
      </c>
      <c r="X6342" t="str">
        <f t="shared" si="2575"/>
        <v>RAZIMAH ANSAR AHMAD</v>
      </c>
      <c r="Y6342" t="str">
        <f t="shared" si="2576"/>
        <v>04-08-2020</v>
      </c>
      <c r="Z6342" t="str">
        <f>"COS10200804 2812"</f>
        <v>COS10200804 2812</v>
      </c>
    </row>
    <row r="6343" spans="1:26" x14ac:dyDescent="0.25">
      <c r="A6343" t="str">
        <f t="shared" si="2586"/>
        <v>04-08-2020 12:40:28</v>
      </c>
      <c r="B6343" t="str">
        <f>"0000804575"</f>
        <v>0000804575</v>
      </c>
      <c r="C6343" t="str">
        <f t="shared" si="2587"/>
        <v>0000804564</v>
      </c>
      <c r="D6343" t="str">
        <f t="shared" ref="D6343:D6406" si="2591">"73185"</f>
        <v>73185</v>
      </c>
      <c r="E6343" t="str">
        <f t="shared" ref="E6343:E6406" si="2592">"KFH-OPERATIONS DEPARTMENT"</f>
        <v>KFH-OPERATIONS DEPARTMENT</v>
      </c>
      <c r="F6343" t="str">
        <f t="shared" ref="F6343:F6406" si="2593">"IBG"</f>
        <v>IBG</v>
      </c>
      <c r="G6343" t="str">
        <f t="shared" si="2579"/>
        <v>Refund COSHARE 10</v>
      </c>
      <c r="H6343" s="2">
        <v>380</v>
      </c>
      <c r="I6343" t="str">
        <f>"MOHAMMAD RAFI BIN CHE MAT"</f>
        <v>MOHAMMAD RAFI BIN CHE MAT</v>
      </c>
      <c r="J6343" t="str">
        <f t="shared" si="2590"/>
        <v>CIMB BANK / CIMB ISLAMIC BANK</v>
      </c>
      <c r="K6343" t="str">
        <f>"08140007146526"</f>
        <v>08140007146526</v>
      </c>
      <c r="L6343" t="str">
        <f t="shared" si="2588"/>
        <v>04-08-2020</v>
      </c>
      <c r="M6343" t="str">
        <f t="shared" si="2588"/>
        <v>04-08-2020</v>
      </c>
      <c r="N6343" t="str">
        <f t="shared" ref="N6343:N6406" si="2594">"001105018356"</f>
        <v>001105018356</v>
      </c>
      <c r="O6343" t="str">
        <f t="shared" ref="O6343:O6406" si="2595">"MYR"</f>
        <v>MYR</v>
      </c>
      <c r="P6343" t="str">
        <f t="shared" si="2589"/>
        <v>NIL</v>
      </c>
      <c r="Q6343" t="str">
        <f t="shared" si="2589"/>
        <v>NIL</v>
      </c>
      <c r="R6343" t="str">
        <f t="shared" si="2582"/>
        <v>Accepted</v>
      </c>
      <c r="S6343" t="str">
        <f t="shared" ref="S6343:S6406" si="2596">"Approved"</f>
        <v>Approved</v>
      </c>
      <c r="T6343" t="str">
        <f t="shared" si="2583"/>
        <v>10.20.8.188</v>
      </c>
      <c r="U6343" t="str">
        <f t="shared" ref="U6343:U6406" si="2597">"AZRAD UMAR BIN SHAARI"</f>
        <v>AZRAD UMAR BIN SHAARI</v>
      </c>
      <c r="V6343" t="str">
        <f t="shared" ref="V6343:V6406" si="2598">"FARHANA BINTI MUSTAPA"</f>
        <v>FARHANA BINTI MUSTAPA</v>
      </c>
      <c r="W6343" t="str">
        <f t="shared" ref="W6343:W6406" si="2599">"04-08-2020"</f>
        <v>04-08-2020</v>
      </c>
      <c r="X6343" t="str">
        <f t="shared" ref="X6343:X6406" si="2600">"RAZIMAH ANSAR AHMAD"</f>
        <v>RAZIMAH ANSAR AHMAD</v>
      </c>
      <c r="Y6343" t="str">
        <f t="shared" ref="Y6343:Y6406" si="2601">"04-08-2020"</f>
        <v>04-08-2020</v>
      </c>
      <c r="Z6343" t="str">
        <f>"COS10200804 2811"</f>
        <v>COS10200804 2811</v>
      </c>
    </row>
    <row r="6344" spans="1:26" x14ac:dyDescent="0.25">
      <c r="A6344" t="str">
        <f t="shared" si="2586"/>
        <v>04-08-2020 12:40:28</v>
      </c>
      <c r="B6344" t="str">
        <f>"0000804574"</f>
        <v>0000804574</v>
      </c>
      <c r="C6344" t="str">
        <f t="shared" si="2587"/>
        <v>0000804564</v>
      </c>
      <c r="D6344" t="str">
        <f t="shared" si="2591"/>
        <v>73185</v>
      </c>
      <c r="E6344" t="str">
        <f t="shared" si="2592"/>
        <v>KFH-OPERATIONS DEPARTMENT</v>
      </c>
      <c r="F6344" t="str">
        <f t="shared" si="2593"/>
        <v>IBG</v>
      </c>
      <c r="G6344" t="str">
        <f t="shared" si="2579"/>
        <v>Refund COSHARE 10</v>
      </c>
      <c r="H6344" s="2">
        <v>755.55</v>
      </c>
      <c r="I6344" t="str">
        <f>"MOHAMMAD MASRI BIN INGKAT"</f>
        <v>MOHAMMAD MASRI BIN INGKAT</v>
      </c>
      <c r="J6344" t="str">
        <f t="shared" si="2590"/>
        <v>CIMB BANK / CIMB ISLAMIC BANK</v>
      </c>
      <c r="K6344" t="str">
        <f>"11020003590208"</f>
        <v>11020003590208</v>
      </c>
      <c r="L6344" t="str">
        <f t="shared" si="2588"/>
        <v>04-08-2020</v>
      </c>
      <c r="M6344" t="str">
        <f t="shared" si="2588"/>
        <v>04-08-2020</v>
      </c>
      <c r="N6344" t="str">
        <f t="shared" si="2594"/>
        <v>001105018356</v>
      </c>
      <c r="O6344" t="str">
        <f t="shared" si="2595"/>
        <v>MYR</v>
      </c>
      <c r="P6344" t="str">
        <f t="shared" si="2589"/>
        <v>NIL</v>
      </c>
      <c r="Q6344" t="str">
        <f t="shared" si="2589"/>
        <v>NIL</v>
      </c>
      <c r="R6344" t="str">
        <f t="shared" si="2582"/>
        <v>Accepted</v>
      </c>
      <c r="S6344" t="str">
        <f t="shared" si="2596"/>
        <v>Approved</v>
      </c>
      <c r="T6344" t="str">
        <f t="shared" si="2583"/>
        <v>10.20.8.188</v>
      </c>
      <c r="U6344" t="str">
        <f t="shared" si="2597"/>
        <v>AZRAD UMAR BIN SHAARI</v>
      </c>
      <c r="V6344" t="str">
        <f t="shared" si="2598"/>
        <v>FARHANA BINTI MUSTAPA</v>
      </c>
      <c r="W6344" t="str">
        <f t="shared" si="2599"/>
        <v>04-08-2020</v>
      </c>
      <c r="X6344" t="str">
        <f t="shared" si="2600"/>
        <v>RAZIMAH ANSAR AHMAD</v>
      </c>
      <c r="Y6344" t="str">
        <f t="shared" si="2601"/>
        <v>04-08-2020</v>
      </c>
      <c r="Z6344" t="str">
        <f>"COS10200804 2810"</f>
        <v>COS10200804 2810</v>
      </c>
    </row>
    <row r="6345" spans="1:26" x14ac:dyDescent="0.25">
      <c r="A6345" t="str">
        <f t="shared" si="2586"/>
        <v>04-08-2020 12:40:28</v>
      </c>
      <c r="B6345" t="str">
        <f>"0000804573"</f>
        <v>0000804573</v>
      </c>
      <c r="C6345" t="str">
        <f t="shared" si="2587"/>
        <v>0000804564</v>
      </c>
      <c r="D6345" t="str">
        <f t="shared" si="2591"/>
        <v>73185</v>
      </c>
      <c r="E6345" t="str">
        <f t="shared" si="2592"/>
        <v>KFH-OPERATIONS DEPARTMENT</v>
      </c>
      <c r="F6345" t="str">
        <f t="shared" si="2593"/>
        <v>IBG</v>
      </c>
      <c r="G6345" t="str">
        <f t="shared" si="2579"/>
        <v>Refund COSHARE 10</v>
      </c>
      <c r="H6345" s="2">
        <v>948.65</v>
      </c>
      <c r="I6345" t="str">
        <f>"MOHAMMAD IZAMUDDIN BIN BUSU AHAMAD"</f>
        <v>MOHAMMAD IZAMUDDIN BIN BUSU AHAMAD</v>
      </c>
      <c r="J6345" t="str">
        <f t="shared" si="2590"/>
        <v>CIMB BANK / CIMB ISLAMIC BANK</v>
      </c>
      <c r="K6345" t="str">
        <f>"14350007189529"</f>
        <v>14350007189529</v>
      </c>
      <c r="L6345" t="str">
        <f t="shared" si="2588"/>
        <v>04-08-2020</v>
      </c>
      <c r="M6345" t="str">
        <f t="shared" si="2588"/>
        <v>04-08-2020</v>
      </c>
      <c r="N6345" t="str">
        <f t="shared" si="2594"/>
        <v>001105018356</v>
      </c>
      <c r="O6345" t="str">
        <f t="shared" si="2595"/>
        <v>MYR</v>
      </c>
      <c r="P6345" t="str">
        <f t="shared" si="2589"/>
        <v>NIL</v>
      </c>
      <c r="Q6345" t="str">
        <f t="shared" si="2589"/>
        <v>NIL</v>
      </c>
      <c r="R6345" t="str">
        <f t="shared" si="2582"/>
        <v>Accepted</v>
      </c>
      <c r="S6345" t="str">
        <f t="shared" si="2596"/>
        <v>Approved</v>
      </c>
      <c r="T6345" t="str">
        <f t="shared" si="2583"/>
        <v>10.20.8.188</v>
      </c>
      <c r="U6345" t="str">
        <f t="shared" si="2597"/>
        <v>AZRAD UMAR BIN SHAARI</v>
      </c>
      <c r="V6345" t="str">
        <f t="shared" si="2598"/>
        <v>FARHANA BINTI MUSTAPA</v>
      </c>
      <c r="W6345" t="str">
        <f t="shared" si="2599"/>
        <v>04-08-2020</v>
      </c>
      <c r="X6345" t="str">
        <f t="shared" si="2600"/>
        <v>RAZIMAH ANSAR AHMAD</v>
      </c>
      <c r="Y6345" t="str">
        <f t="shared" si="2601"/>
        <v>04-08-2020</v>
      </c>
      <c r="Z6345" t="str">
        <f>"COS10200804 2809"</f>
        <v>COS10200804 2809</v>
      </c>
    </row>
    <row r="6346" spans="1:26" x14ac:dyDescent="0.25">
      <c r="A6346" t="str">
        <f t="shared" ref="A6346:A6353" si="2602">"04-08-2020 12:40:28"</f>
        <v>04-08-2020 12:40:28</v>
      </c>
      <c r="B6346" t="str">
        <f>"0000804572"</f>
        <v>0000804572</v>
      </c>
      <c r="C6346" t="str">
        <f t="shared" ref="C6346:C6353" si="2603">"0000804564"</f>
        <v>0000804564</v>
      </c>
      <c r="D6346" t="str">
        <f t="shared" si="2591"/>
        <v>73185</v>
      </c>
      <c r="E6346" t="str">
        <f t="shared" si="2592"/>
        <v>KFH-OPERATIONS DEPARTMENT</v>
      </c>
      <c r="F6346" t="str">
        <f t="shared" si="2593"/>
        <v>IBG</v>
      </c>
      <c r="G6346" t="str">
        <f t="shared" si="2579"/>
        <v>Refund COSHARE 10</v>
      </c>
      <c r="H6346" s="2">
        <v>579</v>
      </c>
      <c r="I6346" t="str">
        <f>"MOHAMMAD IDHAM BIN MAHD SAH"</f>
        <v>MOHAMMAD IDHAM BIN MAHD SAH</v>
      </c>
      <c r="J6346" t="str">
        <f t="shared" si="2590"/>
        <v>CIMB BANK / CIMB ISLAMIC BANK</v>
      </c>
      <c r="K6346" t="str">
        <f>"12260024678525"</f>
        <v>12260024678525</v>
      </c>
      <c r="L6346" t="str">
        <f t="shared" si="2588"/>
        <v>04-08-2020</v>
      </c>
      <c r="M6346" t="str">
        <f t="shared" si="2588"/>
        <v>04-08-2020</v>
      </c>
      <c r="N6346" t="str">
        <f t="shared" si="2594"/>
        <v>001105018356</v>
      </c>
      <c r="O6346" t="str">
        <f t="shared" si="2595"/>
        <v>MYR</v>
      </c>
      <c r="P6346" t="str">
        <f t="shared" si="2589"/>
        <v>NIL</v>
      </c>
      <c r="Q6346" t="str">
        <f t="shared" si="2589"/>
        <v>NIL</v>
      </c>
      <c r="R6346" t="str">
        <f t="shared" si="2582"/>
        <v>Accepted</v>
      </c>
      <c r="S6346" t="str">
        <f t="shared" si="2596"/>
        <v>Approved</v>
      </c>
      <c r="T6346" t="str">
        <f t="shared" si="2583"/>
        <v>10.20.8.188</v>
      </c>
      <c r="U6346" t="str">
        <f t="shared" si="2597"/>
        <v>AZRAD UMAR BIN SHAARI</v>
      </c>
      <c r="V6346" t="str">
        <f t="shared" si="2598"/>
        <v>FARHANA BINTI MUSTAPA</v>
      </c>
      <c r="W6346" t="str">
        <f t="shared" si="2599"/>
        <v>04-08-2020</v>
      </c>
      <c r="X6346" t="str">
        <f t="shared" si="2600"/>
        <v>RAZIMAH ANSAR AHMAD</v>
      </c>
      <c r="Y6346" t="str">
        <f t="shared" si="2601"/>
        <v>04-08-2020</v>
      </c>
      <c r="Z6346" t="str">
        <f>"COS10200804 2808"</f>
        <v>COS10200804 2808</v>
      </c>
    </row>
    <row r="6347" spans="1:26" x14ac:dyDescent="0.25">
      <c r="A6347" t="str">
        <f t="shared" si="2602"/>
        <v>04-08-2020 12:40:28</v>
      </c>
      <c r="B6347" t="str">
        <f>"0000804571"</f>
        <v>0000804571</v>
      </c>
      <c r="C6347" t="str">
        <f t="shared" si="2603"/>
        <v>0000804564</v>
      </c>
      <c r="D6347" t="str">
        <f t="shared" si="2591"/>
        <v>73185</v>
      </c>
      <c r="E6347" t="str">
        <f t="shared" si="2592"/>
        <v>KFH-OPERATIONS DEPARTMENT</v>
      </c>
      <c r="F6347" t="str">
        <f t="shared" si="2593"/>
        <v>IBG</v>
      </c>
      <c r="G6347" t="str">
        <f t="shared" si="2579"/>
        <v>Refund COSHARE 10</v>
      </c>
      <c r="H6347" s="2">
        <v>403</v>
      </c>
      <c r="I6347" t="str">
        <f>"MOHAMMAD FAUZI BIN JAMIL"</f>
        <v>MOHAMMAD FAUZI BIN JAMIL</v>
      </c>
      <c r="J6347" t="str">
        <f t="shared" si="2590"/>
        <v>CIMB BANK / CIMB ISLAMIC BANK</v>
      </c>
      <c r="K6347" t="str">
        <f>"12210040020525"</f>
        <v>12210040020525</v>
      </c>
      <c r="L6347" t="str">
        <f t="shared" ref="L6347:M6366" si="2604">"04-08-2020"</f>
        <v>04-08-2020</v>
      </c>
      <c r="M6347" t="str">
        <f t="shared" si="2604"/>
        <v>04-08-2020</v>
      </c>
      <c r="N6347" t="str">
        <f t="shared" si="2594"/>
        <v>001105018356</v>
      </c>
      <c r="O6347" t="str">
        <f t="shared" si="2595"/>
        <v>MYR</v>
      </c>
      <c r="P6347" t="str">
        <f t="shared" ref="P6347:Q6366" si="2605">"NIL"</f>
        <v>NIL</v>
      </c>
      <c r="Q6347" t="str">
        <f t="shared" si="2605"/>
        <v>NIL</v>
      </c>
      <c r="R6347" t="str">
        <f t="shared" si="2582"/>
        <v>Accepted</v>
      </c>
      <c r="S6347" t="str">
        <f t="shared" si="2596"/>
        <v>Approved</v>
      </c>
      <c r="T6347" t="str">
        <f t="shared" si="2583"/>
        <v>10.20.8.188</v>
      </c>
      <c r="U6347" t="str">
        <f t="shared" si="2597"/>
        <v>AZRAD UMAR BIN SHAARI</v>
      </c>
      <c r="V6347" t="str">
        <f t="shared" si="2598"/>
        <v>FARHANA BINTI MUSTAPA</v>
      </c>
      <c r="W6347" t="str">
        <f t="shared" si="2599"/>
        <v>04-08-2020</v>
      </c>
      <c r="X6347" t="str">
        <f t="shared" si="2600"/>
        <v>RAZIMAH ANSAR AHMAD</v>
      </c>
      <c r="Y6347" t="str">
        <f t="shared" si="2601"/>
        <v>04-08-2020</v>
      </c>
      <c r="Z6347" t="str">
        <f>"COS10200804 2807"</f>
        <v>COS10200804 2807</v>
      </c>
    </row>
    <row r="6348" spans="1:26" x14ac:dyDescent="0.25">
      <c r="A6348" t="str">
        <f t="shared" si="2602"/>
        <v>04-08-2020 12:40:28</v>
      </c>
      <c r="B6348" t="str">
        <f>"0000804570"</f>
        <v>0000804570</v>
      </c>
      <c r="C6348" t="str">
        <f t="shared" si="2603"/>
        <v>0000804564</v>
      </c>
      <c r="D6348" t="str">
        <f t="shared" si="2591"/>
        <v>73185</v>
      </c>
      <c r="E6348" t="str">
        <f t="shared" si="2592"/>
        <v>KFH-OPERATIONS DEPARTMENT</v>
      </c>
      <c r="F6348" t="str">
        <f t="shared" si="2593"/>
        <v>IBG</v>
      </c>
      <c r="G6348" t="str">
        <f t="shared" ref="G6348:G6411" si="2606">"Refund COSHARE 10"</f>
        <v>Refund COSHARE 10</v>
      </c>
      <c r="H6348" s="2">
        <v>487.9</v>
      </c>
      <c r="I6348" t="str">
        <f>"MOHAMMAD BIN YUSUP"</f>
        <v>MOHAMMAD BIN YUSUP</v>
      </c>
      <c r="J6348" t="str">
        <f t="shared" si="2590"/>
        <v>CIMB BANK / CIMB ISLAMIC BANK</v>
      </c>
      <c r="K6348" t="str">
        <f>"7005298860"</f>
        <v>7005298860</v>
      </c>
      <c r="L6348" t="str">
        <f t="shared" si="2604"/>
        <v>04-08-2020</v>
      </c>
      <c r="M6348" t="str">
        <f t="shared" si="2604"/>
        <v>04-08-2020</v>
      </c>
      <c r="N6348" t="str">
        <f t="shared" si="2594"/>
        <v>001105018356</v>
      </c>
      <c r="O6348" t="str">
        <f t="shared" si="2595"/>
        <v>MYR</v>
      </c>
      <c r="P6348" t="str">
        <f t="shared" si="2605"/>
        <v>NIL</v>
      </c>
      <c r="Q6348" t="str">
        <f t="shared" si="2605"/>
        <v>NIL</v>
      </c>
      <c r="R6348" t="str">
        <f t="shared" si="2582"/>
        <v>Accepted</v>
      </c>
      <c r="S6348" t="str">
        <f t="shared" si="2596"/>
        <v>Approved</v>
      </c>
      <c r="T6348" t="str">
        <f t="shared" si="2583"/>
        <v>10.20.8.188</v>
      </c>
      <c r="U6348" t="str">
        <f t="shared" si="2597"/>
        <v>AZRAD UMAR BIN SHAARI</v>
      </c>
      <c r="V6348" t="str">
        <f t="shared" si="2598"/>
        <v>FARHANA BINTI MUSTAPA</v>
      </c>
      <c r="W6348" t="str">
        <f t="shared" si="2599"/>
        <v>04-08-2020</v>
      </c>
      <c r="X6348" t="str">
        <f t="shared" si="2600"/>
        <v>RAZIMAH ANSAR AHMAD</v>
      </c>
      <c r="Y6348" t="str">
        <f t="shared" si="2601"/>
        <v>04-08-2020</v>
      </c>
      <c r="Z6348" t="str">
        <f>"COS10200804 2806"</f>
        <v>COS10200804 2806</v>
      </c>
    </row>
    <row r="6349" spans="1:26" x14ac:dyDescent="0.25">
      <c r="A6349" t="str">
        <f t="shared" si="2602"/>
        <v>04-08-2020 12:40:28</v>
      </c>
      <c r="B6349" t="str">
        <f>"0000804569"</f>
        <v>0000804569</v>
      </c>
      <c r="C6349" t="str">
        <f t="shared" si="2603"/>
        <v>0000804564</v>
      </c>
      <c r="D6349" t="str">
        <f t="shared" si="2591"/>
        <v>73185</v>
      </c>
      <c r="E6349" t="str">
        <f t="shared" si="2592"/>
        <v>KFH-OPERATIONS DEPARTMENT</v>
      </c>
      <c r="F6349" t="str">
        <f t="shared" si="2593"/>
        <v>IBG</v>
      </c>
      <c r="G6349" t="str">
        <f t="shared" si="2606"/>
        <v>Refund COSHARE 10</v>
      </c>
      <c r="H6349" s="2">
        <v>680</v>
      </c>
      <c r="I6349" t="str">
        <f>"MOHAMMAD BIN YUSUP"</f>
        <v>MOHAMMAD BIN YUSUP</v>
      </c>
      <c r="J6349" t="str">
        <f t="shared" si="2590"/>
        <v>CIMB BANK / CIMB ISLAMIC BANK</v>
      </c>
      <c r="K6349" t="str">
        <f>"7005298860"</f>
        <v>7005298860</v>
      </c>
      <c r="L6349" t="str">
        <f t="shared" si="2604"/>
        <v>04-08-2020</v>
      </c>
      <c r="M6349" t="str">
        <f t="shared" si="2604"/>
        <v>04-08-2020</v>
      </c>
      <c r="N6349" t="str">
        <f t="shared" si="2594"/>
        <v>001105018356</v>
      </c>
      <c r="O6349" t="str">
        <f t="shared" si="2595"/>
        <v>MYR</v>
      </c>
      <c r="P6349" t="str">
        <f t="shared" si="2605"/>
        <v>NIL</v>
      </c>
      <c r="Q6349" t="str">
        <f t="shared" si="2605"/>
        <v>NIL</v>
      </c>
      <c r="R6349" t="str">
        <f t="shared" si="2582"/>
        <v>Accepted</v>
      </c>
      <c r="S6349" t="str">
        <f t="shared" si="2596"/>
        <v>Approved</v>
      </c>
      <c r="T6349" t="str">
        <f t="shared" si="2583"/>
        <v>10.20.8.188</v>
      </c>
      <c r="U6349" t="str">
        <f t="shared" si="2597"/>
        <v>AZRAD UMAR BIN SHAARI</v>
      </c>
      <c r="V6349" t="str">
        <f t="shared" si="2598"/>
        <v>FARHANA BINTI MUSTAPA</v>
      </c>
      <c r="W6349" t="str">
        <f t="shared" si="2599"/>
        <v>04-08-2020</v>
      </c>
      <c r="X6349" t="str">
        <f t="shared" si="2600"/>
        <v>RAZIMAH ANSAR AHMAD</v>
      </c>
      <c r="Y6349" t="str">
        <f t="shared" si="2601"/>
        <v>04-08-2020</v>
      </c>
      <c r="Z6349" t="str">
        <f>"COS10200804 2805"</f>
        <v>COS10200804 2805</v>
      </c>
    </row>
    <row r="6350" spans="1:26" x14ac:dyDescent="0.25">
      <c r="A6350" t="str">
        <f t="shared" si="2602"/>
        <v>04-08-2020 12:40:28</v>
      </c>
      <c r="B6350" t="str">
        <f>"0000804568"</f>
        <v>0000804568</v>
      </c>
      <c r="C6350" t="str">
        <f t="shared" si="2603"/>
        <v>0000804564</v>
      </c>
      <c r="D6350" t="str">
        <f t="shared" si="2591"/>
        <v>73185</v>
      </c>
      <c r="E6350" t="str">
        <f t="shared" si="2592"/>
        <v>KFH-OPERATIONS DEPARTMENT</v>
      </c>
      <c r="F6350" t="str">
        <f t="shared" si="2593"/>
        <v>IBG</v>
      </c>
      <c r="G6350" t="str">
        <f t="shared" si="2606"/>
        <v>Refund COSHARE 10</v>
      </c>
      <c r="H6350" s="2">
        <v>503.7</v>
      </c>
      <c r="I6350" t="str">
        <f>"MOHAMMAD AZROL BIN MOHAMMAD HANAFFI"</f>
        <v>MOHAMMAD AZROL BIN MOHAMMAD HANAFFI</v>
      </c>
      <c r="J6350" t="str">
        <f t="shared" si="2590"/>
        <v>CIMB BANK / CIMB ISLAMIC BANK</v>
      </c>
      <c r="K6350" t="str">
        <f>"7038010256"</f>
        <v>7038010256</v>
      </c>
      <c r="L6350" t="str">
        <f t="shared" si="2604"/>
        <v>04-08-2020</v>
      </c>
      <c r="M6350" t="str">
        <f t="shared" si="2604"/>
        <v>04-08-2020</v>
      </c>
      <c r="N6350" t="str">
        <f t="shared" si="2594"/>
        <v>001105018356</v>
      </c>
      <c r="O6350" t="str">
        <f t="shared" si="2595"/>
        <v>MYR</v>
      </c>
      <c r="P6350" t="str">
        <f t="shared" si="2605"/>
        <v>NIL</v>
      </c>
      <c r="Q6350" t="str">
        <f t="shared" si="2605"/>
        <v>NIL</v>
      </c>
      <c r="R6350" t="str">
        <f t="shared" si="2582"/>
        <v>Accepted</v>
      </c>
      <c r="S6350" t="str">
        <f t="shared" si="2596"/>
        <v>Approved</v>
      </c>
      <c r="T6350" t="str">
        <f t="shared" si="2583"/>
        <v>10.20.8.188</v>
      </c>
      <c r="U6350" t="str">
        <f t="shared" si="2597"/>
        <v>AZRAD UMAR BIN SHAARI</v>
      </c>
      <c r="V6350" t="str">
        <f t="shared" si="2598"/>
        <v>FARHANA BINTI MUSTAPA</v>
      </c>
      <c r="W6350" t="str">
        <f t="shared" si="2599"/>
        <v>04-08-2020</v>
      </c>
      <c r="X6350" t="str">
        <f t="shared" si="2600"/>
        <v>RAZIMAH ANSAR AHMAD</v>
      </c>
      <c r="Y6350" t="str">
        <f t="shared" si="2601"/>
        <v>04-08-2020</v>
      </c>
      <c r="Z6350" t="str">
        <f>"COS10200804 2804"</f>
        <v>COS10200804 2804</v>
      </c>
    </row>
    <row r="6351" spans="1:26" x14ac:dyDescent="0.25">
      <c r="A6351" t="str">
        <f t="shared" si="2602"/>
        <v>04-08-2020 12:40:28</v>
      </c>
      <c r="B6351" t="str">
        <f>"0000804567"</f>
        <v>0000804567</v>
      </c>
      <c r="C6351" t="str">
        <f t="shared" si="2603"/>
        <v>0000804564</v>
      </c>
      <c r="D6351" t="str">
        <f t="shared" si="2591"/>
        <v>73185</v>
      </c>
      <c r="E6351" t="str">
        <f t="shared" si="2592"/>
        <v>KFH-OPERATIONS DEPARTMENT</v>
      </c>
      <c r="F6351" t="str">
        <f t="shared" si="2593"/>
        <v>IBG</v>
      </c>
      <c r="G6351" t="str">
        <f t="shared" si="2606"/>
        <v>Refund COSHARE 10</v>
      </c>
      <c r="H6351" s="2">
        <v>729</v>
      </c>
      <c r="I6351" t="str">
        <f>"MOHAMMAD AZLAN BIN LUHI"</f>
        <v>MOHAMMAD AZLAN BIN LUHI</v>
      </c>
      <c r="J6351" t="str">
        <f t="shared" si="2590"/>
        <v>CIMB BANK / CIMB ISLAMIC BANK</v>
      </c>
      <c r="K6351" t="str">
        <f>"7031725203"</f>
        <v>7031725203</v>
      </c>
      <c r="L6351" t="str">
        <f t="shared" si="2604"/>
        <v>04-08-2020</v>
      </c>
      <c r="M6351" t="str">
        <f t="shared" si="2604"/>
        <v>04-08-2020</v>
      </c>
      <c r="N6351" t="str">
        <f t="shared" si="2594"/>
        <v>001105018356</v>
      </c>
      <c r="O6351" t="str">
        <f t="shared" si="2595"/>
        <v>MYR</v>
      </c>
      <c r="P6351" t="str">
        <f t="shared" si="2605"/>
        <v>NIL</v>
      </c>
      <c r="Q6351" t="str">
        <f t="shared" si="2605"/>
        <v>NIL</v>
      </c>
      <c r="R6351" t="str">
        <f t="shared" si="2582"/>
        <v>Accepted</v>
      </c>
      <c r="S6351" t="str">
        <f t="shared" si="2596"/>
        <v>Approved</v>
      </c>
      <c r="T6351" t="str">
        <f t="shared" si="2583"/>
        <v>10.20.8.188</v>
      </c>
      <c r="U6351" t="str">
        <f t="shared" si="2597"/>
        <v>AZRAD UMAR BIN SHAARI</v>
      </c>
      <c r="V6351" t="str">
        <f t="shared" si="2598"/>
        <v>FARHANA BINTI MUSTAPA</v>
      </c>
      <c r="W6351" t="str">
        <f t="shared" si="2599"/>
        <v>04-08-2020</v>
      </c>
      <c r="X6351" t="str">
        <f t="shared" si="2600"/>
        <v>RAZIMAH ANSAR AHMAD</v>
      </c>
      <c r="Y6351" t="str">
        <f t="shared" si="2601"/>
        <v>04-08-2020</v>
      </c>
      <c r="Z6351" t="str">
        <f>"COS10200804 2803"</f>
        <v>COS10200804 2803</v>
      </c>
    </row>
    <row r="6352" spans="1:26" x14ac:dyDescent="0.25">
      <c r="A6352" t="str">
        <f t="shared" si="2602"/>
        <v>04-08-2020 12:40:28</v>
      </c>
      <c r="B6352" t="str">
        <f>"0000804566"</f>
        <v>0000804566</v>
      </c>
      <c r="C6352" t="str">
        <f t="shared" si="2603"/>
        <v>0000804564</v>
      </c>
      <c r="D6352" t="str">
        <f t="shared" si="2591"/>
        <v>73185</v>
      </c>
      <c r="E6352" t="str">
        <f t="shared" si="2592"/>
        <v>KFH-OPERATIONS DEPARTMENT</v>
      </c>
      <c r="F6352" t="str">
        <f t="shared" si="2593"/>
        <v>IBG</v>
      </c>
      <c r="G6352" t="str">
        <f t="shared" si="2606"/>
        <v>Refund COSHARE 10</v>
      </c>
      <c r="H6352" s="2">
        <v>903</v>
      </c>
      <c r="I6352" t="str">
        <f>"MOHAMMAD AMEERUL BIN MOHD ISA"</f>
        <v>MOHAMMAD AMEERUL BIN MOHD ISA</v>
      </c>
      <c r="J6352" t="str">
        <f t="shared" si="2590"/>
        <v>CIMB BANK / CIMB ISLAMIC BANK</v>
      </c>
      <c r="K6352" t="str">
        <f>"8603283786"</f>
        <v>8603283786</v>
      </c>
      <c r="L6352" t="str">
        <f t="shared" si="2604"/>
        <v>04-08-2020</v>
      </c>
      <c r="M6352" t="str">
        <f t="shared" si="2604"/>
        <v>04-08-2020</v>
      </c>
      <c r="N6352" t="str">
        <f t="shared" si="2594"/>
        <v>001105018356</v>
      </c>
      <c r="O6352" t="str">
        <f t="shared" si="2595"/>
        <v>MYR</v>
      </c>
      <c r="P6352" t="str">
        <f t="shared" si="2605"/>
        <v>NIL</v>
      </c>
      <c r="Q6352" t="str">
        <f t="shared" si="2605"/>
        <v>NIL</v>
      </c>
      <c r="R6352" t="str">
        <f t="shared" si="2582"/>
        <v>Accepted</v>
      </c>
      <c r="S6352" t="str">
        <f t="shared" si="2596"/>
        <v>Approved</v>
      </c>
      <c r="T6352" t="str">
        <f t="shared" si="2583"/>
        <v>10.20.8.188</v>
      </c>
      <c r="U6352" t="str">
        <f t="shared" si="2597"/>
        <v>AZRAD UMAR BIN SHAARI</v>
      </c>
      <c r="V6352" t="str">
        <f t="shared" si="2598"/>
        <v>FARHANA BINTI MUSTAPA</v>
      </c>
      <c r="W6352" t="str">
        <f t="shared" si="2599"/>
        <v>04-08-2020</v>
      </c>
      <c r="X6352" t="str">
        <f t="shared" si="2600"/>
        <v>RAZIMAH ANSAR AHMAD</v>
      </c>
      <c r="Y6352" t="str">
        <f t="shared" si="2601"/>
        <v>04-08-2020</v>
      </c>
      <c r="Z6352" t="str">
        <f>"COS10200804 2802"</f>
        <v>COS10200804 2802</v>
      </c>
    </row>
    <row r="6353" spans="1:26" x14ac:dyDescent="0.25">
      <c r="A6353" t="str">
        <f t="shared" si="2602"/>
        <v>04-08-2020 12:40:28</v>
      </c>
      <c r="B6353" t="str">
        <f>"0000804565"</f>
        <v>0000804565</v>
      </c>
      <c r="C6353" t="str">
        <f t="shared" si="2603"/>
        <v>0000804564</v>
      </c>
      <c r="D6353" t="str">
        <f t="shared" si="2591"/>
        <v>73185</v>
      </c>
      <c r="E6353" t="str">
        <f t="shared" si="2592"/>
        <v>KFH-OPERATIONS DEPARTMENT</v>
      </c>
      <c r="F6353" t="str">
        <f t="shared" si="2593"/>
        <v>IBG</v>
      </c>
      <c r="G6353" t="str">
        <f t="shared" si="2606"/>
        <v>Refund COSHARE 10</v>
      </c>
      <c r="H6353" s="2">
        <v>755.55</v>
      </c>
      <c r="I6353" t="str">
        <f>"MOHAMED NORDIN BIN AMAT WAKI  BAKI"</f>
        <v>MOHAMED NORDIN BIN AMAT WAKI  BAKI</v>
      </c>
      <c r="J6353" t="str">
        <f t="shared" si="2590"/>
        <v>CIMB BANK / CIMB ISLAMIC BANK</v>
      </c>
      <c r="K6353" t="str">
        <f>"7002839744"</f>
        <v>7002839744</v>
      </c>
      <c r="L6353" t="str">
        <f t="shared" si="2604"/>
        <v>04-08-2020</v>
      </c>
      <c r="M6353" t="str">
        <f t="shared" si="2604"/>
        <v>04-08-2020</v>
      </c>
      <c r="N6353" t="str">
        <f t="shared" si="2594"/>
        <v>001105018356</v>
      </c>
      <c r="O6353" t="str">
        <f t="shared" si="2595"/>
        <v>MYR</v>
      </c>
      <c r="P6353" t="str">
        <f t="shared" si="2605"/>
        <v>NIL</v>
      </c>
      <c r="Q6353" t="str">
        <f t="shared" si="2605"/>
        <v>NIL</v>
      </c>
      <c r="R6353" t="str">
        <f t="shared" si="2582"/>
        <v>Accepted</v>
      </c>
      <c r="S6353" t="str">
        <f t="shared" si="2596"/>
        <v>Approved</v>
      </c>
      <c r="T6353" t="str">
        <f t="shared" si="2583"/>
        <v>10.20.8.188</v>
      </c>
      <c r="U6353" t="str">
        <f t="shared" si="2597"/>
        <v>AZRAD UMAR BIN SHAARI</v>
      </c>
      <c r="V6353" t="str">
        <f t="shared" si="2598"/>
        <v>FARHANA BINTI MUSTAPA</v>
      </c>
      <c r="W6353" t="str">
        <f t="shared" si="2599"/>
        <v>04-08-2020</v>
      </c>
      <c r="X6353" t="str">
        <f t="shared" si="2600"/>
        <v>RAZIMAH ANSAR AHMAD</v>
      </c>
      <c r="Y6353" t="str">
        <f t="shared" si="2601"/>
        <v>04-08-2020</v>
      </c>
      <c r="Z6353" t="str">
        <f>"COS10200804 2801"</f>
        <v>COS10200804 2801</v>
      </c>
    </row>
    <row r="6354" spans="1:26" x14ac:dyDescent="0.25">
      <c r="A6354" t="str">
        <f t="shared" ref="A6354:A6385" si="2607">"04-08-2020 12:39:14"</f>
        <v>04-08-2020 12:39:14</v>
      </c>
      <c r="B6354" t="str">
        <f>"0000804563"</f>
        <v>0000804563</v>
      </c>
      <c r="C6354" t="str">
        <f t="shared" ref="C6354:C6385" si="2608">"0000804363"</f>
        <v>0000804363</v>
      </c>
      <c r="D6354" t="str">
        <f t="shared" si="2591"/>
        <v>73185</v>
      </c>
      <c r="E6354" t="str">
        <f t="shared" si="2592"/>
        <v>KFH-OPERATIONS DEPARTMENT</v>
      </c>
      <c r="F6354" t="str">
        <f t="shared" si="2593"/>
        <v>IBG</v>
      </c>
      <c r="G6354" t="str">
        <f t="shared" si="2606"/>
        <v>Refund COSHARE 10</v>
      </c>
      <c r="H6354" s="2">
        <v>436.55</v>
      </c>
      <c r="I6354" t="str">
        <f>"MOHAMED NIZAM SYAH BIN MOHAMED YOUSUF"</f>
        <v>MOHAMED NIZAM SYAH BIN MOHAMED YOUSUF</v>
      </c>
      <c r="J6354" t="str">
        <f t="shared" si="2590"/>
        <v>CIMB BANK / CIMB ISLAMIC BANK</v>
      </c>
      <c r="K6354" t="str">
        <f>"14091361938525"</f>
        <v>14091361938525</v>
      </c>
      <c r="L6354" t="str">
        <f t="shared" si="2604"/>
        <v>04-08-2020</v>
      </c>
      <c r="M6354" t="str">
        <f t="shared" si="2604"/>
        <v>04-08-2020</v>
      </c>
      <c r="N6354" t="str">
        <f t="shared" si="2594"/>
        <v>001105018356</v>
      </c>
      <c r="O6354" t="str">
        <f t="shared" si="2595"/>
        <v>MYR</v>
      </c>
      <c r="P6354" t="str">
        <f t="shared" si="2605"/>
        <v>NIL</v>
      </c>
      <c r="Q6354" t="str">
        <f t="shared" si="2605"/>
        <v>NIL</v>
      </c>
      <c r="R6354" t="str">
        <f t="shared" si="2582"/>
        <v>Accepted</v>
      </c>
      <c r="S6354" t="str">
        <f t="shared" si="2596"/>
        <v>Approved</v>
      </c>
      <c r="T6354" t="str">
        <f t="shared" si="2583"/>
        <v>10.20.8.188</v>
      </c>
      <c r="U6354" t="str">
        <f t="shared" si="2597"/>
        <v>AZRAD UMAR BIN SHAARI</v>
      </c>
      <c r="V6354" t="str">
        <f t="shared" si="2598"/>
        <v>FARHANA BINTI MUSTAPA</v>
      </c>
      <c r="W6354" t="str">
        <f t="shared" si="2599"/>
        <v>04-08-2020</v>
      </c>
      <c r="X6354" t="str">
        <f t="shared" si="2600"/>
        <v>RAZIMAH ANSAR AHMAD</v>
      </c>
      <c r="Y6354" t="str">
        <f t="shared" si="2601"/>
        <v>04-08-2020</v>
      </c>
      <c r="Z6354" t="str">
        <f>"COS10200804 2800"</f>
        <v>COS10200804 2800</v>
      </c>
    </row>
    <row r="6355" spans="1:26" x14ac:dyDescent="0.25">
      <c r="A6355" t="str">
        <f t="shared" si="2607"/>
        <v>04-08-2020 12:39:14</v>
      </c>
      <c r="B6355" t="str">
        <f>"0000804562"</f>
        <v>0000804562</v>
      </c>
      <c r="C6355" t="str">
        <f t="shared" si="2608"/>
        <v>0000804363</v>
      </c>
      <c r="D6355" t="str">
        <f t="shared" si="2591"/>
        <v>73185</v>
      </c>
      <c r="E6355" t="str">
        <f t="shared" si="2592"/>
        <v>KFH-OPERATIONS DEPARTMENT</v>
      </c>
      <c r="F6355" t="str">
        <f t="shared" si="2593"/>
        <v>IBG</v>
      </c>
      <c r="G6355" t="str">
        <f t="shared" si="2606"/>
        <v>Refund COSHARE 10</v>
      </c>
      <c r="H6355" s="2">
        <v>1103.4000000000001</v>
      </c>
      <c r="I6355" t="str">
        <f>"MOHAMED ASHA BIN YAHYA"</f>
        <v>MOHAMED ASHA BIN YAHYA</v>
      </c>
      <c r="J6355" t="str">
        <f t="shared" si="2590"/>
        <v>CIMB BANK / CIMB ISLAMIC BANK</v>
      </c>
      <c r="K6355" t="str">
        <f>"14400028615526"</f>
        <v>14400028615526</v>
      </c>
      <c r="L6355" t="str">
        <f t="shared" si="2604"/>
        <v>04-08-2020</v>
      </c>
      <c r="M6355" t="str">
        <f t="shared" si="2604"/>
        <v>04-08-2020</v>
      </c>
      <c r="N6355" t="str">
        <f t="shared" si="2594"/>
        <v>001105018356</v>
      </c>
      <c r="O6355" t="str">
        <f t="shared" si="2595"/>
        <v>MYR</v>
      </c>
      <c r="P6355" t="str">
        <f t="shared" si="2605"/>
        <v>NIL</v>
      </c>
      <c r="Q6355" t="str">
        <f t="shared" si="2605"/>
        <v>NIL</v>
      </c>
      <c r="R6355" t="str">
        <f t="shared" si="2582"/>
        <v>Accepted</v>
      </c>
      <c r="S6355" t="str">
        <f t="shared" si="2596"/>
        <v>Approved</v>
      </c>
      <c r="T6355" t="str">
        <f t="shared" si="2583"/>
        <v>10.20.8.188</v>
      </c>
      <c r="U6355" t="str">
        <f t="shared" si="2597"/>
        <v>AZRAD UMAR BIN SHAARI</v>
      </c>
      <c r="V6355" t="str">
        <f t="shared" si="2598"/>
        <v>FARHANA BINTI MUSTAPA</v>
      </c>
      <c r="W6355" t="str">
        <f t="shared" si="2599"/>
        <v>04-08-2020</v>
      </c>
      <c r="X6355" t="str">
        <f t="shared" si="2600"/>
        <v>RAZIMAH ANSAR AHMAD</v>
      </c>
      <c r="Y6355" t="str">
        <f t="shared" si="2601"/>
        <v>04-08-2020</v>
      </c>
      <c r="Z6355" t="str">
        <f>"COS10200804 2799"</f>
        <v>COS10200804 2799</v>
      </c>
    </row>
    <row r="6356" spans="1:26" x14ac:dyDescent="0.25">
      <c r="A6356" t="str">
        <f t="shared" si="2607"/>
        <v>04-08-2020 12:39:14</v>
      </c>
      <c r="B6356" t="str">
        <f>"0000804561"</f>
        <v>0000804561</v>
      </c>
      <c r="C6356" t="str">
        <f t="shared" si="2608"/>
        <v>0000804363</v>
      </c>
      <c r="D6356" t="str">
        <f t="shared" si="2591"/>
        <v>73185</v>
      </c>
      <c r="E6356" t="str">
        <f t="shared" si="2592"/>
        <v>KFH-OPERATIONS DEPARTMENT</v>
      </c>
      <c r="F6356" t="str">
        <f t="shared" si="2593"/>
        <v>IBG</v>
      </c>
      <c r="G6356" t="str">
        <f t="shared" si="2606"/>
        <v>Refund COSHARE 10</v>
      </c>
      <c r="H6356" s="2">
        <v>394.1</v>
      </c>
      <c r="I6356" t="str">
        <f>"MOHAMAD ZUKI BIN SEMAN"</f>
        <v>MOHAMAD ZUKI BIN SEMAN</v>
      </c>
      <c r="J6356" t="str">
        <f t="shared" si="2590"/>
        <v>CIMB BANK / CIMB ISLAMIC BANK</v>
      </c>
      <c r="K6356" t="str">
        <f>"03110010269528"</f>
        <v>03110010269528</v>
      </c>
      <c r="L6356" t="str">
        <f t="shared" si="2604"/>
        <v>04-08-2020</v>
      </c>
      <c r="M6356" t="str">
        <f t="shared" si="2604"/>
        <v>04-08-2020</v>
      </c>
      <c r="N6356" t="str">
        <f t="shared" si="2594"/>
        <v>001105018356</v>
      </c>
      <c r="O6356" t="str">
        <f t="shared" si="2595"/>
        <v>MYR</v>
      </c>
      <c r="P6356" t="str">
        <f t="shared" si="2605"/>
        <v>NIL</v>
      </c>
      <c r="Q6356" t="str">
        <f t="shared" si="2605"/>
        <v>NIL</v>
      </c>
      <c r="R6356" t="str">
        <f t="shared" si="2582"/>
        <v>Accepted</v>
      </c>
      <c r="S6356" t="str">
        <f t="shared" si="2596"/>
        <v>Approved</v>
      </c>
      <c r="T6356" t="str">
        <f t="shared" si="2583"/>
        <v>10.20.8.188</v>
      </c>
      <c r="U6356" t="str">
        <f t="shared" si="2597"/>
        <v>AZRAD UMAR BIN SHAARI</v>
      </c>
      <c r="V6356" t="str">
        <f t="shared" si="2598"/>
        <v>FARHANA BINTI MUSTAPA</v>
      </c>
      <c r="W6356" t="str">
        <f t="shared" si="2599"/>
        <v>04-08-2020</v>
      </c>
      <c r="X6356" t="str">
        <f t="shared" si="2600"/>
        <v>RAZIMAH ANSAR AHMAD</v>
      </c>
      <c r="Y6356" t="str">
        <f t="shared" si="2601"/>
        <v>04-08-2020</v>
      </c>
      <c r="Z6356" t="str">
        <f>"COS10200804 2798"</f>
        <v>COS10200804 2798</v>
      </c>
    </row>
    <row r="6357" spans="1:26" x14ac:dyDescent="0.25">
      <c r="A6357" t="str">
        <f t="shared" si="2607"/>
        <v>04-08-2020 12:39:14</v>
      </c>
      <c r="B6357" t="str">
        <f>"0000804560"</f>
        <v>0000804560</v>
      </c>
      <c r="C6357" t="str">
        <f t="shared" si="2608"/>
        <v>0000804363</v>
      </c>
      <c r="D6357" t="str">
        <f t="shared" si="2591"/>
        <v>73185</v>
      </c>
      <c r="E6357" t="str">
        <f t="shared" si="2592"/>
        <v>KFH-OPERATIONS DEPARTMENT</v>
      </c>
      <c r="F6357" t="str">
        <f t="shared" si="2593"/>
        <v>IBG</v>
      </c>
      <c r="G6357" t="str">
        <f t="shared" si="2606"/>
        <v>Refund COSHARE 10</v>
      </c>
      <c r="H6357" s="2">
        <v>123.85</v>
      </c>
      <c r="I6357" t="str">
        <f>"MOHAMAD ZUKI BIN GHANI"</f>
        <v>MOHAMAD ZUKI BIN GHANI</v>
      </c>
      <c r="J6357" t="str">
        <f t="shared" si="2590"/>
        <v>CIMB BANK / CIMB ISLAMIC BANK</v>
      </c>
      <c r="K6357" t="str">
        <f>"03010102305524"</f>
        <v>03010102305524</v>
      </c>
      <c r="L6357" t="str">
        <f t="shared" si="2604"/>
        <v>04-08-2020</v>
      </c>
      <c r="M6357" t="str">
        <f t="shared" si="2604"/>
        <v>04-08-2020</v>
      </c>
      <c r="N6357" t="str">
        <f t="shared" si="2594"/>
        <v>001105018356</v>
      </c>
      <c r="O6357" t="str">
        <f t="shared" si="2595"/>
        <v>MYR</v>
      </c>
      <c r="P6357" t="str">
        <f t="shared" si="2605"/>
        <v>NIL</v>
      </c>
      <c r="Q6357" t="str">
        <f t="shared" si="2605"/>
        <v>NIL</v>
      </c>
      <c r="R6357" t="str">
        <f t="shared" si="2582"/>
        <v>Accepted</v>
      </c>
      <c r="S6357" t="str">
        <f t="shared" si="2596"/>
        <v>Approved</v>
      </c>
      <c r="T6357" t="str">
        <f t="shared" si="2583"/>
        <v>10.20.8.188</v>
      </c>
      <c r="U6357" t="str">
        <f t="shared" si="2597"/>
        <v>AZRAD UMAR BIN SHAARI</v>
      </c>
      <c r="V6357" t="str">
        <f t="shared" si="2598"/>
        <v>FARHANA BINTI MUSTAPA</v>
      </c>
      <c r="W6357" t="str">
        <f t="shared" si="2599"/>
        <v>04-08-2020</v>
      </c>
      <c r="X6357" t="str">
        <f t="shared" si="2600"/>
        <v>RAZIMAH ANSAR AHMAD</v>
      </c>
      <c r="Y6357" t="str">
        <f t="shared" si="2601"/>
        <v>04-08-2020</v>
      </c>
      <c r="Z6357" t="str">
        <f>"COS10200804 2797"</f>
        <v>COS10200804 2797</v>
      </c>
    </row>
    <row r="6358" spans="1:26" x14ac:dyDescent="0.25">
      <c r="A6358" t="str">
        <f t="shared" si="2607"/>
        <v>04-08-2020 12:39:14</v>
      </c>
      <c r="B6358" t="str">
        <f>"0000804559"</f>
        <v>0000804559</v>
      </c>
      <c r="C6358" t="str">
        <f t="shared" si="2608"/>
        <v>0000804363</v>
      </c>
      <c r="D6358" t="str">
        <f t="shared" si="2591"/>
        <v>73185</v>
      </c>
      <c r="E6358" t="str">
        <f t="shared" si="2592"/>
        <v>KFH-OPERATIONS DEPARTMENT</v>
      </c>
      <c r="F6358" t="str">
        <f t="shared" si="2593"/>
        <v>IBG</v>
      </c>
      <c r="G6358" t="str">
        <f t="shared" si="2606"/>
        <v>Refund COSHARE 10</v>
      </c>
      <c r="H6358" s="2">
        <v>392.95</v>
      </c>
      <c r="I6358" t="str">
        <f>"MOHAMAD ZAKI BIN MOHAMAD ZAID"</f>
        <v>MOHAMAD ZAKI BIN MOHAMAD ZAID</v>
      </c>
      <c r="J6358" t="str">
        <f t="shared" si="2590"/>
        <v>CIMB BANK / CIMB ISLAMIC BANK</v>
      </c>
      <c r="K6358" t="str">
        <f>"01180041529522"</f>
        <v>01180041529522</v>
      </c>
      <c r="L6358" t="str">
        <f t="shared" si="2604"/>
        <v>04-08-2020</v>
      </c>
      <c r="M6358" t="str">
        <f t="shared" si="2604"/>
        <v>04-08-2020</v>
      </c>
      <c r="N6358" t="str">
        <f t="shared" si="2594"/>
        <v>001105018356</v>
      </c>
      <c r="O6358" t="str">
        <f t="shared" si="2595"/>
        <v>MYR</v>
      </c>
      <c r="P6358" t="str">
        <f t="shared" si="2605"/>
        <v>NIL</v>
      </c>
      <c r="Q6358" t="str">
        <f t="shared" si="2605"/>
        <v>NIL</v>
      </c>
      <c r="R6358" t="str">
        <f t="shared" si="2582"/>
        <v>Accepted</v>
      </c>
      <c r="S6358" t="str">
        <f t="shared" si="2596"/>
        <v>Approved</v>
      </c>
      <c r="T6358" t="str">
        <f t="shared" si="2583"/>
        <v>10.20.8.188</v>
      </c>
      <c r="U6358" t="str">
        <f t="shared" si="2597"/>
        <v>AZRAD UMAR BIN SHAARI</v>
      </c>
      <c r="V6358" t="str">
        <f t="shared" si="2598"/>
        <v>FARHANA BINTI MUSTAPA</v>
      </c>
      <c r="W6358" t="str">
        <f t="shared" si="2599"/>
        <v>04-08-2020</v>
      </c>
      <c r="X6358" t="str">
        <f t="shared" si="2600"/>
        <v>RAZIMAH ANSAR AHMAD</v>
      </c>
      <c r="Y6358" t="str">
        <f t="shared" si="2601"/>
        <v>04-08-2020</v>
      </c>
      <c r="Z6358" t="str">
        <f>"COS10200804 2796"</f>
        <v>COS10200804 2796</v>
      </c>
    </row>
    <row r="6359" spans="1:26" x14ac:dyDescent="0.25">
      <c r="A6359" t="str">
        <f t="shared" si="2607"/>
        <v>04-08-2020 12:39:14</v>
      </c>
      <c r="B6359" t="str">
        <f>"0000804558"</f>
        <v>0000804558</v>
      </c>
      <c r="C6359" t="str">
        <f t="shared" si="2608"/>
        <v>0000804363</v>
      </c>
      <c r="D6359" t="str">
        <f t="shared" si="2591"/>
        <v>73185</v>
      </c>
      <c r="E6359" t="str">
        <f t="shared" si="2592"/>
        <v>KFH-OPERATIONS DEPARTMENT</v>
      </c>
      <c r="F6359" t="str">
        <f t="shared" si="2593"/>
        <v>IBG</v>
      </c>
      <c r="G6359" t="str">
        <f t="shared" si="2606"/>
        <v>Refund COSHARE 10</v>
      </c>
      <c r="H6359" s="2">
        <v>653</v>
      </c>
      <c r="I6359" t="str">
        <f>"MOHAMAD ZAILANI BIN MD ZUKI"</f>
        <v>MOHAMAD ZAILANI BIN MD ZUKI</v>
      </c>
      <c r="J6359" t="str">
        <f t="shared" si="2590"/>
        <v>CIMB BANK / CIMB ISLAMIC BANK</v>
      </c>
      <c r="K6359" t="str">
        <f>"14400054133520"</f>
        <v>14400054133520</v>
      </c>
      <c r="L6359" t="str">
        <f t="shared" si="2604"/>
        <v>04-08-2020</v>
      </c>
      <c r="M6359" t="str">
        <f t="shared" si="2604"/>
        <v>04-08-2020</v>
      </c>
      <c r="N6359" t="str">
        <f t="shared" si="2594"/>
        <v>001105018356</v>
      </c>
      <c r="O6359" t="str">
        <f t="shared" si="2595"/>
        <v>MYR</v>
      </c>
      <c r="P6359" t="str">
        <f t="shared" si="2605"/>
        <v>NIL</v>
      </c>
      <c r="Q6359" t="str">
        <f t="shared" si="2605"/>
        <v>NIL</v>
      </c>
      <c r="R6359" t="str">
        <f t="shared" si="2582"/>
        <v>Accepted</v>
      </c>
      <c r="S6359" t="str">
        <f t="shared" si="2596"/>
        <v>Approved</v>
      </c>
      <c r="T6359" t="str">
        <f t="shared" si="2583"/>
        <v>10.20.8.188</v>
      </c>
      <c r="U6359" t="str">
        <f t="shared" si="2597"/>
        <v>AZRAD UMAR BIN SHAARI</v>
      </c>
      <c r="V6359" t="str">
        <f t="shared" si="2598"/>
        <v>FARHANA BINTI MUSTAPA</v>
      </c>
      <c r="W6359" t="str">
        <f t="shared" si="2599"/>
        <v>04-08-2020</v>
      </c>
      <c r="X6359" t="str">
        <f t="shared" si="2600"/>
        <v>RAZIMAH ANSAR AHMAD</v>
      </c>
      <c r="Y6359" t="str">
        <f t="shared" si="2601"/>
        <v>04-08-2020</v>
      </c>
      <c r="Z6359" t="str">
        <f>"COS10200804 2795"</f>
        <v>COS10200804 2795</v>
      </c>
    </row>
    <row r="6360" spans="1:26" x14ac:dyDescent="0.25">
      <c r="A6360" t="str">
        <f t="shared" si="2607"/>
        <v>04-08-2020 12:39:14</v>
      </c>
      <c r="B6360" t="str">
        <f>"0000804557"</f>
        <v>0000804557</v>
      </c>
      <c r="C6360" t="str">
        <f t="shared" si="2608"/>
        <v>0000804363</v>
      </c>
      <c r="D6360" t="str">
        <f t="shared" si="2591"/>
        <v>73185</v>
      </c>
      <c r="E6360" t="str">
        <f t="shared" si="2592"/>
        <v>KFH-OPERATIONS DEPARTMENT</v>
      </c>
      <c r="F6360" t="str">
        <f t="shared" si="2593"/>
        <v>IBG</v>
      </c>
      <c r="G6360" t="str">
        <f t="shared" si="2606"/>
        <v>Refund COSHARE 10</v>
      </c>
      <c r="H6360" s="2">
        <v>471</v>
      </c>
      <c r="I6360" t="str">
        <f>"MOHAMAD ZAIDAN BIN ZULKEPLI"</f>
        <v>MOHAMAD ZAIDAN BIN ZULKEPLI</v>
      </c>
      <c r="J6360" t="str">
        <f t="shared" si="2590"/>
        <v>CIMB BANK / CIMB ISLAMIC BANK</v>
      </c>
      <c r="K6360" t="str">
        <f>"7033082368"</f>
        <v>7033082368</v>
      </c>
      <c r="L6360" t="str">
        <f t="shared" si="2604"/>
        <v>04-08-2020</v>
      </c>
      <c r="M6360" t="str">
        <f t="shared" si="2604"/>
        <v>04-08-2020</v>
      </c>
      <c r="N6360" t="str">
        <f t="shared" si="2594"/>
        <v>001105018356</v>
      </c>
      <c r="O6360" t="str">
        <f t="shared" si="2595"/>
        <v>MYR</v>
      </c>
      <c r="P6360" t="str">
        <f t="shared" si="2605"/>
        <v>NIL</v>
      </c>
      <c r="Q6360" t="str">
        <f t="shared" si="2605"/>
        <v>NIL</v>
      </c>
      <c r="R6360" t="str">
        <f t="shared" si="2582"/>
        <v>Accepted</v>
      </c>
      <c r="S6360" t="str">
        <f t="shared" si="2596"/>
        <v>Approved</v>
      </c>
      <c r="T6360" t="str">
        <f t="shared" si="2583"/>
        <v>10.20.8.188</v>
      </c>
      <c r="U6360" t="str">
        <f t="shared" si="2597"/>
        <v>AZRAD UMAR BIN SHAARI</v>
      </c>
      <c r="V6360" t="str">
        <f t="shared" si="2598"/>
        <v>FARHANA BINTI MUSTAPA</v>
      </c>
      <c r="W6360" t="str">
        <f t="shared" si="2599"/>
        <v>04-08-2020</v>
      </c>
      <c r="X6360" t="str">
        <f t="shared" si="2600"/>
        <v>RAZIMAH ANSAR AHMAD</v>
      </c>
      <c r="Y6360" t="str">
        <f t="shared" si="2601"/>
        <v>04-08-2020</v>
      </c>
      <c r="Z6360" t="str">
        <f>"COS10200804 2794"</f>
        <v>COS10200804 2794</v>
      </c>
    </row>
    <row r="6361" spans="1:26" x14ac:dyDescent="0.25">
      <c r="A6361" t="str">
        <f t="shared" si="2607"/>
        <v>04-08-2020 12:39:14</v>
      </c>
      <c r="B6361" t="str">
        <f>"0000804556"</f>
        <v>0000804556</v>
      </c>
      <c r="C6361" t="str">
        <f t="shared" si="2608"/>
        <v>0000804363</v>
      </c>
      <c r="D6361" t="str">
        <f t="shared" si="2591"/>
        <v>73185</v>
      </c>
      <c r="E6361" t="str">
        <f t="shared" si="2592"/>
        <v>KFH-OPERATIONS DEPARTMENT</v>
      </c>
      <c r="F6361" t="str">
        <f t="shared" si="2593"/>
        <v>IBG</v>
      </c>
      <c r="G6361" t="str">
        <f t="shared" si="2606"/>
        <v>Refund COSHARE 10</v>
      </c>
      <c r="H6361" s="2">
        <v>839.5</v>
      </c>
      <c r="I6361" t="str">
        <f>"MOHAMAD ZAHIR BIN ABDUL HAMID"</f>
        <v>MOHAMAD ZAHIR BIN ABDUL HAMID</v>
      </c>
      <c r="J6361" t="str">
        <f t="shared" si="2590"/>
        <v>CIMB BANK / CIMB ISLAMIC BANK</v>
      </c>
      <c r="K6361" t="str">
        <f>"12440002446529"</f>
        <v>12440002446529</v>
      </c>
      <c r="L6361" t="str">
        <f t="shared" si="2604"/>
        <v>04-08-2020</v>
      </c>
      <c r="M6361" t="str">
        <f t="shared" si="2604"/>
        <v>04-08-2020</v>
      </c>
      <c r="N6361" t="str">
        <f t="shared" si="2594"/>
        <v>001105018356</v>
      </c>
      <c r="O6361" t="str">
        <f t="shared" si="2595"/>
        <v>MYR</v>
      </c>
      <c r="P6361" t="str">
        <f t="shared" si="2605"/>
        <v>NIL</v>
      </c>
      <c r="Q6361" t="str">
        <f t="shared" si="2605"/>
        <v>NIL</v>
      </c>
      <c r="R6361" t="str">
        <f t="shared" si="2582"/>
        <v>Accepted</v>
      </c>
      <c r="S6361" t="str">
        <f t="shared" si="2596"/>
        <v>Approved</v>
      </c>
      <c r="T6361" t="str">
        <f t="shared" si="2583"/>
        <v>10.20.8.188</v>
      </c>
      <c r="U6361" t="str">
        <f t="shared" si="2597"/>
        <v>AZRAD UMAR BIN SHAARI</v>
      </c>
      <c r="V6361" t="str">
        <f t="shared" si="2598"/>
        <v>FARHANA BINTI MUSTAPA</v>
      </c>
      <c r="W6361" t="str">
        <f t="shared" si="2599"/>
        <v>04-08-2020</v>
      </c>
      <c r="X6361" t="str">
        <f t="shared" si="2600"/>
        <v>RAZIMAH ANSAR AHMAD</v>
      </c>
      <c r="Y6361" t="str">
        <f t="shared" si="2601"/>
        <v>04-08-2020</v>
      </c>
      <c r="Z6361" t="str">
        <f>"COS10200804 2793"</f>
        <v>COS10200804 2793</v>
      </c>
    </row>
    <row r="6362" spans="1:26" x14ac:dyDescent="0.25">
      <c r="A6362" t="str">
        <f t="shared" si="2607"/>
        <v>04-08-2020 12:39:14</v>
      </c>
      <c r="B6362" t="str">
        <f>"0000804555"</f>
        <v>0000804555</v>
      </c>
      <c r="C6362" t="str">
        <f t="shared" si="2608"/>
        <v>0000804363</v>
      </c>
      <c r="D6362" t="str">
        <f t="shared" si="2591"/>
        <v>73185</v>
      </c>
      <c r="E6362" t="str">
        <f t="shared" si="2592"/>
        <v>KFH-OPERATIONS DEPARTMENT</v>
      </c>
      <c r="F6362" t="str">
        <f t="shared" si="2593"/>
        <v>IBG</v>
      </c>
      <c r="G6362" t="str">
        <f t="shared" si="2606"/>
        <v>Refund COSHARE 10</v>
      </c>
      <c r="H6362" s="2">
        <v>83.95</v>
      </c>
      <c r="I6362" t="str">
        <f>"MOHAMAD WIRA BIN SALIM"</f>
        <v>MOHAMAD WIRA BIN SALIM</v>
      </c>
      <c r="J6362" t="str">
        <f t="shared" si="2590"/>
        <v>CIMB BANK / CIMB ISLAMIC BANK</v>
      </c>
      <c r="K6362" t="str">
        <f>"08130068227523"</f>
        <v>08130068227523</v>
      </c>
      <c r="L6362" t="str">
        <f t="shared" si="2604"/>
        <v>04-08-2020</v>
      </c>
      <c r="M6362" t="str">
        <f t="shared" si="2604"/>
        <v>04-08-2020</v>
      </c>
      <c r="N6362" t="str">
        <f t="shared" si="2594"/>
        <v>001105018356</v>
      </c>
      <c r="O6362" t="str">
        <f t="shared" si="2595"/>
        <v>MYR</v>
      </c>
      <c r="P6362" t="str">
        <f t="shared" si="2605"/>
        <v>NIL</v>
      </c>
      <c r="Q6362" t="str">
        <f t="shared" si="2605"/>
        <v>NIL</v>
      </c>
      <c r="R6362" t="str">
        <f t="shared" si="2582"/>
        <v>Accepted</v>
      </c>
      <c r="S6362" t="str">
        <f t="shared" si="2596"/>
        <v>Approved</v>
      </c>
      <c r="T6362" t="str">
        <f t="shared" si="2583"/>
        <v>10.20.8.188</v>
      </c>
      <c r="U6362" t="str">
        <f t="shared" si="2597"/>
        <v>AZRAD UMAR BIN SHAARI</v>
      </c>
      <c r="V6362" t="str">
        <f t="shared" si="2598"/>
        <v>FARHANA BINTI MUSTAPA</v>
      </c>
      <c r="W6362" t="str">
        <f t="shared" si="2599"/>
        <v>04-08-2020</v>
      </c>
      <c r="X6362" t="str">
        <f t="shared" si="2600"/>
        <v>RAZIMAH ANSAR AHMAD</v>
      </c>
      <c r="Y6362" t="str">
        <f t="shared" si="2601"/>
        <v>04-08-2020</v>
      </c>
      <c r="Z6362" t="str">
        <f>"COS10200804 2792"</f>
        <v>COS10200804 2792</v>
      </c>
    </row>
    <row r="6363" spans="1:26" x14ac:dyDescent="0.25">
      <c r="A6363" t="str">
        <f t="shared" si="2607"/>
        <v>04-08-2020 12:39:14</v>
      </c>
      <c r="B6363" t="str">
        <f>"0000804554"</f>
        <v>0000804554</v>
      </c>
      <c r="C6363" t="str">
        <f t="shared" si="2608"/>
        <v>0000804363</v>
      </c>
      <c r="D6363" t="str">
        <f t="shared" si="2591"/>
        <v>73185</v>
      </c>
      <c r="E6363" t="str">
        <f t="shared" si="2592"/>
        <v>KFH-OPERATIONS DEPARTMENT</v>
      </c>
      <c r="F6363" t="str">
        <f t="shared" si="2593"/>
        <v>IBG</v>
      </c>
      <c r="G6363" t="str">
        <f t="shared" si="2606"/>
        <v>Refund COSHARE 10</v>
      </c>
      <c r="H6363" s="2">
        <v>83.95</v>
      </c>
      <c r="I6363" t="str">
        <f>"MOHAMAD WIRA BIN SALIM"</f>
        <v>MOHAMAD WIRA BIN SALIM</v>
      </c>
      <c r="J6363" t="str">
        <f t="shared" si="2590"/>
        <v>CIMB BANK / CIMB ISLAMIC BANK</v>
      </c>
      <c r="K6363" t="str">
        <f>"08130068227523"</f>
        <v>08130068227523</v>
      </c>
      <c r="L6363" t="str">
        <f t="shared" si="2604"/>
        <v>04-08-2020</v>
      </c>
      <c r="M6363" t="str">
        <f t="shared" si="2604"/>
        <v>04-08-2020</v>
      </c>
      <c r="N6363" t="str">
        <f t="shared" si="2594"/>
        <v>001105018356</v>
      </c>
      <c r="O6363" t="str">
        <f t="shared" si="2595"/>
        <v>MYR</v>
      </c>
      <c r="P6363" t="str">
        <f t="shared" si="2605"/>
        <v>NIL</v>
      </c>
      <c r="Q6363" t="str">
        <f t="shared" si="2605"/>
        <v>NIL</v>
      </c>
      <c r="R6363" t="str">
        <f t="shared" si="2582"/>
        <v>Accepted</v>
      </c>
      <c r="S6363" t="str">
        <f t="shared" si="2596"/>
        <v>Approved</v>
      </c>
      <c r="T6363" t="str">
        <f t="shared" si="2583"/>
        <v>10.20.8.188</v>
      </c>
      <c r="U6363" t="str">
        <f t="shared" si="2597"/>
        <v>AZRAD UMAR BIN SHAARI</v>
      </c>
      <c r="V6363" t="str">
        <f t="shared" si="2598"/>
        <v>FARHANA BINTI MUSTAPA</v>
      </c>
      <c r="W6363" t="str">
        <f t="shared" si="2599"/>
        <v>04-08-2020</v>
      </c>
      <c r="X6363" t="str">
        <f t="shared" si="2600"/>
        <v>RAZIMAH ANSAR AHMAD</v>
      </c>
      <c r="Y6363" t="str">
        <f t="shared" si="2601"/>
        <v>04-08-2020</v>
      </c>
      <c r="Z6363" t="str">
        <f>"COS10200804 2791"</f>
        <v>COS10200804 2791</v>
      </c>
    </row>
    <row r="6364" spans="1:26" x14ac:dyDescent="0.25">
      <c r="A6364" t="str">
        <f t="shared" si="2607"/>
        <v>04-08-2020 12:39:14</v>
      </c>
      <c r="B6364" t="str">
        <f>"0000804553"</f>
        <v>0000804553</v>
      </c>
      <c r="C6364" t="str">
        <f t="shared" si="2608"/>
        <v>0000804363</v>
      </c>
      <c r="D6364" t="str">
        <f t="shared" si="2591"/>
        <v>73185</v>
      </c>
      <c r="E6364" t="str">
        <f t="shared" si="2592"/>
        <v>KFH-OPERATIONS DEPARTMENT</v>
      </c>
      <c r="F6364" t="str">
        <f t="shared" si="2593"/>
        <v>IBG</v>
      </c>
      <c r="G6364" t="str">
        <f t="shared" si="2606"/>
        <v>Refund COSHARE 10</v>
      </c>
      <c r="H6364" s="2">
        <v>1217.3</v>
      </c>
      <c r="I6364" t="str">
        <f>"MOHAMAD SURIZAL BIN SULAIMAN"</f>
        <v>MOHAMAD SURIZAL BIN SULAIMAN</v>
      </c>
      <c r="J6364" t="str">
        <f t="shared" si="2590"/>
        <v>CIMB BANK / CIMB ISLAMIC BANK</v>
      </c>
      <c r="K6364" t="str">
        <f>"7602080775"</f>
        <v>7602080775</v>
      </c>
      <c r="L6364" t="str">
        <f t="shared" si="2604"/>
        <v>04-08-2020</v>
      </c>
      <c r="M6364" t="str">
        <f t="shared" si="2604"/>
        <v>04-08-2020</v>
      </c>
      <c r="N6364" t="str">
        <f t="shared" si="2594"/>
        <v>001105018356</v>
      </c>
      <c r="O6364" t="str">
        <f t="shared" si="2595"/>
        <v>MYR</v>
      </c>
      <c r="P6364" t="str">
        <f t="shared" si="2605"/>
        <v>NIL</v>
      </c>
      <c r="Q6364" t="str">
        <f t="shared" si="2605"/>
        <v>NIL</v>
      </c>
      <c r="R6364" t="str">
        <f t="shared" si="2582"/>
        <v>Accepted</v>
      </c>
      <c r="S6364" t="str">
        <f t="shared" si="2596"/>
        <v>Approved</v>
      </c>
      <c r="T6364" t="str">
        <f t="shared" si="2583"/>
        <v>10.20.8.188</v>
      </c>
      <c r="U6364" t="str">
        <f t="shared" si="2597"/>
        <v>AZRAD UMAR BIN SHAARI</v>
      </c>
      <c r="V6364" t="str">
        <f t="shared" si="2598"/>
        <v>FARHANA BINTI MUSTAPA</v>
      </c>
      <c r="W6364" t="str">
        <f t="shared" si="2599"/>
        <v>04-08-2020</v>
      </c>
      <c r="X6364" t="str">
        <f t="shared" si="2600"/>
        <v>RAZIMAH ANSAR AHMAD</v>
      </c>
      <c r="Y6364" t="str">
        <f t="shared" si="2601"/>
        <v>04-08-2020</v>
      </c>
      <c r="Z6364" t="str">
        <f>"COS10200804 2790"</f>
        <v>COS10200804 2790</v>
      </c>
    </row>
    <row r="6365" spans="1:26" x14ac:dyDescent="0.25">
      <c r="A6365" t="str">
        <f t="shared" si="2607"/>
        <v>04-08-2020 12:39:14</v>
      </c>
      <c r="B6365" t="str">
        <f>"0000804552"</f>
        <v>0000804552</v>
      </c>
      <c r="C6365" t="str">
        <f t="shared" si="2608"/>
        <v>0000804363</v>
      </c>
      <c r="D6365" t="str">
        <f t="shared" si="2591"/>
        <v>73185</v>
      </c>
      <c r="E6365" t="str">
        <f t="shared" si="2592"/>
        <v>KFH-OPERATIONS DEPARTMENT</v>
      </c>
      <c r="F6365" t="str">
        <f t="shared" si="2593"/>
        <v>IBG</v>
      </c>
      <c r="G6365" t="str">
        <f t="shared" si="2606"/>
        <v>Refund COSHARE 10</v>
      </c>
      <c r="H6365" s="2">
        <v>1343.2</v>
      </c>
      <c r="I6365" t="str">
        <f>"MOHAMAD SHAIFUL ASHRUL BIN ISHAK"</f>
        <v>MOHAMAD SHAIFUL ASHRUL BIN ISHAK</v>
      </c>
      <c r="J6365" t="str">
        <f t="shared" si="2590"/>
        <v>CIMB BANK / CIMB ISLAMIC BANK</v>
      </c>
      <c r="K6365" t="str">
        <f>"01180035020527"</f>
        <v>01180035020527</v>
      </c>
      <c r="L6365" t="str">
        <f t="shared" si="2604"/>
        <v>04-08-2020</v>
      </c>
      <c r="M6365" t="str">
        <f t="shared" si="2604"/>
        <v>04-08-2020</v>
      </c>
      <c r="N6365" t="str">
        <f t="shared" si="2594"/>
        <v>001105018356</v>
      </c>
      <c r="O6365" t="str">
        <f t="shared" si="2595"/>
        <v>MYR</v>
      </c>
      <c r="P6365" t="str">
        <f t="shared" si="2605"/>
        <v>NIL</v>
      </c>
      <c r="Q6365" t="str">
        <f t="shared" si="2605"/>
        <v>NIL</v>
      </c>
      <c r="R6365" t="str">
        <f t="shared" si="2582"/>
        <v>Accepted</v>
      </c>
      <c r="S6365" t="str">
        <f t="shared" si="2596"/>
        <v>Approved</v>
      </c>
      <c r="T6365" t="str">
        <f t="shared" si="2583"/>
        <v>10.20.8.188</v>
      </c>
      <c r="U6365" t="str">
        <f t="shared" si="2597"/>
        <v>AZRAD UMAR BIN SHAARI</v>
      </c>
      <c r="V6365" t="str">
        <f t="shared" si="2598"/>
        <v>FARHANA BINTI MUSTAPA</v>
      </c>
      <c r="W6365" t="str">
        <f t="shared" si="2599"/>
        <v>04-08-2020</v>
      </c>
      <c r="X6365" t="str">
        <f t="shared" si="2600"/>
        <v>RAZIMAH ANSAR AHMAD</v>
      </c>
      <c r="Y6365" t="str">
        <f t="shared" si="2601"/>
        <v>04-08-2020</v>
      </c>
      <c r="Z6365" t="str">
        <f>"COS10200804 2789"</f>
        <v>COS10200804 2789</v>
      </c>
    </row>
    <row r="6366" spans="1:26" x14ac:dyDescent="0.25">
      <c r="A6366" t="str">
        <f t="shared" si="2607"/>
        <v>04-08-2020 12:39:14</v>
      </c>
      <c r="B6366" t="str">
        <f>"0000804551"</f>
        <v>0000804551</v>
      </c>
      <c r="C6366" t="str">
        <f t="shared" si="2608"/>
        <v>0000804363</v>
      </c>
      <c r="D6366" t="str">
        <f t="shared" si="2591"/>
        <v>73185</v>
      </c>
      <c r="E6366" t="str">
        <f t="shared" si="2592"/>
        <v>KFH-OPERATIONS DEPARTMENT</v>
      </c>
      <c r="F6366" t="str">
        <f t="shared" si="2593"/>
        <v>IBG</v>
      </c>
      <c r="G6366" t="str">
        <f t="shared" si="2606"/>
        <v>Refund COSHARE 10</v>
      </c>
      <c r="H6366" s="2">
        <v>1629.15</v>
      </c>
      <c r="I6366" t="str">
        <f>"MOHAMAD SHABANI BIN NOH  MD NOH"</f>
        <v>MOHAMAD SHABANI BIN NOH  MD NOH</v>
      </c>
      <c r="J6366" t="str">
        <f t="shared" si="2590"/>
        <v>CIMB BANK / CIMB ISLAMIC BANK</v>
      </c>
      <c r="K6366" t="str">
        <f>"7074691875"</f>
        <v>7074691875</v>
      </c>
      <c r="L6366" t="str">
        <f t="shared" si="2604"/>
        <v>04-08-2020</v>
      </c>
      <c r="M6366" t="str">
        <f t="shared" si="2604"/>
        <v>04-08-2020</v>
      </c>
      <c r="N6366" t="str">
        <f t="shared" si="2594"/>
        <v>001105018356</v>
      </c>
      <c r="O6366" t="str">
        <f t="shared" si="2595"/>
        <v>MYR</v>
      </c>
      <c r="P6366" t="str">
        <f t="shared" si="2605"/>
        <v>NIL</v>
      </c>
      <c r="Q6366" t="str">
        <f t="shared" si="2605"/>
        <v>NIL</v>
      </c>
      <c r="R6366" t="str">
        <f t="shared" si="2582"/>
        <v>Accepted</v>
      </c>
      <c r="S6366" t="str">
        <f t="shared" si="2596"/>
        <v>Approved</v>
      </c>
      <c r="T6366" t="str">
        <f t="shared" si="2583"/>
        <v>10.20.8.188</v>
      </c>
      <c r="U6366" t="str">
        <f t="shared" si="2597"/>
        <v>AZRAD UMAR BIN SHAARI</v>
      </c>
      <c r="V6366" t="str">
        <f t="shared" si="2598"/>
        <v>FARHANA BINTI MUSTAPA</v>
      </c>
      <c r="W6366" t="str">
        <f t="shared" si="2599"/>
        <v>04-08-2020</v>
      </c>
      <c r="X6366" t="str">
        <f t="shared" si="2600"/>
        <v>RAZIMAH ANSAR AHMAD</v>
      </c>
      <c r="Y6366" t="str">
        <f t="shared" si="2601"/>
        <v>04-08-2020</v>
      </c>
      <c r="Z6366" t="str">
        <f>"COS10200804 2788"</f>
        <v>COS10200804 2788</v>
      </c>
    </row>
    <row r="6367" spans="1:26" x14ac:dyDescent="0.25">
      <c r="A6367" t="str">
        <f t="shared" si="2607"/>
        <v>04-08-2020 12:39:14</v>
      </c>
      <c r="B6367" t="str">
        <f>"0000804550"</f>
        <v>0000804550</v>
      </c>
      <c r="C6367" t="str">
        <f t="shared" si="2608"/>
        <v>0000804363</v>
      </c>
      <c r="D6367" t="str">
        <f t="shared" si="2591"/>
        <v>73185</v>
      </c>
      <c r="E6367" t="str">
        <f t="shared" si="2592"/>
        <v>KFH-OPERATIONS DEPARTMENT</v>
      </c>
      <c r="F6367" t="str">
        <f t="shared" si="2593"/>
        <v>IBG</v>
      </c>
      <c r="G6367" t="str">
        <f t="shared" si="2606"/>
        <v>Refund COSHARE 10</v>
      </c>
      <c r="H6367" s="2">
        <v>176.85</v>
      </c>
      <c r="I6367" t="str">
        <f>"MOHAMAD ROSIDEK BIN MUSA"</f>
        <v>MOHAMAD ROSIDEK BIN MUSA</v>
      </c>
      <c r="J6367" t="str">
        <f t="shared" si="2590"/>
        <v>CIMB BANK / CIMB ISLAMIC BANK</v>
      </c>
      <c r="K6367" t="str">
        <f>"11090073011529"</f>
        <v>11090073011529</v>
      </c>
      <c r="L6367" t="str">
        <f t="shared" ref="L6367:M6386" si="2609">"04-08-2020"</f>
        <v>04-08-2020</v>
      </c>
      <c r="M6367" t="str">
        <f t="shared" si="2609"/>
        <v>04-08-2020</v>
      </c>
      <c r="N6367" t="str">
        <f t="shared" si="2594"/>
        <v>001105018356</v>
      </c>
      <c r="O6367" t="str">
        <f t="shared" si="2595"/>
        <v>MYR</v>
      </c>
      <c r="P6367" t="str">
        <f t="shared" ref="P6367:Q6386" si="2610">"NIL"</f>
        <v>NIL</v>
      </c>
      <c r="Q6367" t="str">
        <f t="shared" si="2610"/>
        <v>NIL</v>
      </c>
      <c r="R6367" t="str">
        <f t="shared" si="2582"/>
        <v>Accepted</v>
      </c>
      <c r="S6367" t="str">
        <f t="shared" si="2596"/>
        <v>Approved</v>
      </c>
      <c r="T6367" t="str">
        <f t="shared" si="2583"/>
        <v>10.20.8.188</v>
      </c>
      <c r="U6367" t="str">
        <f t="shared" si="2597"/>
        <v>AZRAD UMAR BIN SHAARI</v>
      </c>
      <c r="V6367" t="str">
        <f t="shared" si="2598"/>
        <v>FARHANA BINTI MUSTAPA</v>
      </c>
      <c r="W6367" t="str">
        <f t="shared" si="2599"/>
        <v>04-08-2020</v>
      </c>
      <c r="X6367" t="str">
        <f t="shared" si="2600"/>
        <v>RAZIMAH ANSAR AHMAD</v>
      </c>
      <c r="Y6367" t="str">
        <f t="shared" si="2601"/>
        <v>04-08-2020</v>
      </c>
      <c r="Z6367" t="str">
        <f>"COS10200804 2787"</f>
        <v>COS10200804 2787</v>
      </c>
    </row>
    <row r="6368" spans="1:26" x14ac:dyDescent="0.25">
      <c r="A6368" t="str">
        <f t="shared" si="2607"/>
        <v>04-08-2020 12:39:14</v>
      </c>
      <c r="B6368" t="str">
        <f>"0000804549"</f>
        <v>0000804549</v>
      </c>
      <c r="C6368" t="str">
        <f t="shared" si="2608"/>
        <v>0000804363</v>
      </c>
      <c r="D6368" t="str">
        <f t="shared" si="2591"/>
        <v>73185</v>
      </c>
      <c r="E6368" t="str">
        <f t="shared" si="2592"/>
        <v>KFH-OPERATIONS DEPARTMENT</v>
      </c>
      <c r="F6368" t="str">
        <f t="shared" si="2593"/>
        <v>IBG</v>
      </c>
      <c r="G6368" t="str">
        <f t="shared" si="2606"/>
        <v>Refund COSHARE 10</v>
      </c>
      <c r="H6368" s="2">
        <v>304</v>
      </c>
      <c r="I6368" t="str">
        <f>"MOHAMAD RIZAL BIN HUSSAIN"</f>
        <v>MOHAMAD RIZAL BIN HUSSAIN</v>
      </c>
      <c r="J6368" t="str">
        <f t="shared" si="2590"/>
        <v>CIMB BANK / CIMB ISLAMIC BANK</v>
      </c>
      <c r="K6368" t="str">
        <f>"14240061497525"</f>
        <v>14240061497525</v>
      </c>
      <c r="L6368" t="str">
        <f t="shared" si="2609"/>
        <v>04-08-2020</v>
      </c>
      <c r="M6368" t="str">
        <f t="shared" si="2609"/>
        <v>04-08-2020</v>
      </c>
      <c r="N6368" t="str">
        <f t="shared" si="2594"/>
        <v>001105018356</v>
      </c>
      <c r="O6368" t="str">
        <f t="shared" si="2595"/>
        <v>MYR</v>
      </c>
      <c r="P6368" t="str">
        <f t="shared" si="2610"/>
        <v>NIL</v>
      </c>
      <c r="Q6368" t="str">
        <f t="shared" si="2610"/>
        <v>NIL</v>
      </c>
      <c r="R6368" t="str">
        <f t="shared" si="2582"/>
        <v>Accepted</v>
      </c>
      <c r="S6368" t="str">
        <f t="shared" si="2596"/>
        <v>Approved</v>
      </c>
      <c r="T6368" t="str">
        <f t="shared" si="2583"/>
        <v>10.20.8.188</v>
      </c>
      <c r="U6368" t="str">
        <f t="shared" si="2597"/>
        <v>AZRAD UMAR BIN SHAARI</v>
      </c>
      <c r="V6368" t="str">
        <f t="shared" si="2598"/>
        <v>FARHANA BINTI MUSTAPA</v>
      </c>
      <c r="W6368" t="str">
        <f t="shared" si="2599"/>
        <v>04-08-2020</v>
      </c>
      <c r="X6368" t="str">
        <f t="shared" si="2600"/>
        <v>RAZIMAH ANSAR AHMAD</v>
      </c>
      <c r="Y6368" t="str">
        <f t="shared" si="2601"/>
        <v>04-08-2020</v>
      </c>
      <c r="Z6368" t="str">
        <f>"COS10200804 2786"</f>
        <v>COS10200804 2786</v>
      </c>
    </row>
    <row r="6369" spans="1:26" x14ac:dyDescent="0.25">
      <c r="A6369" t="str">
        <f t="shared" si="2607"/>
        <v>04-08-2020 12:39:14</v>
      </c>
      <c r="B6369" t="str">
        <f>"0000804548"</f>
        <v>0000804548</v>
      </c>
      <c r="C6369" t="str">
        <f t="shared" si="2608"/>
        <v>0000804363</v>
      </c>
      <c r="D6369" t="str">
        <f t="shared" si="2591"/>
        <v>73185</v>
      </c>
      <c r="E6369" t="str">
        <f t="shared" si="2592"/>
        <v>KFH-OPERATIONS DEPARTMENT</v>
      </c>
      <c r="F6369" t="str">
        <f t="shared" si="2593"/>
        <v>IBG</v>
      </c>
      <c r="G6369" t="str">
        <f t="shared" si="2606"/>
        <v>Refund COSHARE 10</v>
      </c>
      <c r="H6369" s="2">
        <v>873.1</v>
      </c>
      <c r="I6369" t="str">
        <f>"MOHAMAD RIBWAN BIN ABAS"</f>
        <v>MOHAMAD RIBWAN BIN ABAS</v>
      </c>
      <c r="J6369" t="str">
        <f t="shared" si="2590"/>
        <v>CIMB BANK / CIMB ISLAMIC BANK</v>
      </c>
      <c r="K6369" t="str">
        <f>"16010003505207"</f>
        <v>16010003505207</v>
      </c>
      <c r="L6369" t="str">
        <f t="shared" si="2609"/>
        <v>04-08-2020</v>
      </c>
      <c r="M6369" t="str">
        <f t="shared" si="2609"/>
        <v>04-08-2020</v>
      </c>
      <c r="N6369" t="str">
        <f t="shared" si="2594"/>
        <v>001105018356</v>
      </c>
      <c r="O6369" t="str">
        <f t="shared" si="2595"/>
        <v>MYR</v>
      </c>
      <c r="P6369" t="str">
        <f t="shared" si="2610"/>
        <v>NIL</v>
      </c>
      <c r="Q6369" t="str">
        <f t="shared" si="2610"/>
        <v>NIL</v>
      </c>
      <c r="R6369" t="str">
        <f t="shared" si="2582"/>
        <v>Accepted</v>
      </c>
      <c r="S6369" t="str">
        <f t="shared" si="2596"/>
        <v>Approved</v>
      </c>
      <c r="T6369" t="str">
        <f t="shared" si="2583"/>
        <v>10.20.8.188</v>
      </c>
      <c r="U6369" t="str">
        <f t="shared" si="2597"/>
        <v>AZRAD UMAR BIN SHAARI</v>
      </c>
      <c r="V6369" t="str">
        <f t="shared" si="2598"/>
        <v>FARHANA BINTI MUSTAPA</v>
      </c>
      <c r="W6369" t="str">
        <f t="shared" si="2599"/>
        <v>04-08-2020</v>
      </c>
      <c r="X6369" t="str">
        <f t="shared" si="2600"/>
        <v>RAZIMAH ANSAR AHMAD</v>
      </c>
      <c r="Y6369" t="str">
        <f t="shared" si="2601"/>
        <v>04-08-2020</v>
      </c>
      <c r="Z6369" t="str">
        <f>"COS10200804 2785"</f>
        <v>COS10200804 2785</v>
      </c>
    </row>
    <row r="6370" spans="1:26" x14ac:dyDescent="0.25">
      <c r="A6370" t="str">
        <f t="shared" si="2607"/>
        <v>04-08-2020 12:39:14</v>
      </c>
      <c r="B6370" t="str">
        <f>"0000804547"</f>
        <v>0000804547</v>
      </c>
      <c r="C6370" t="str">
        <f t="shared" si="2608"/>
        <v>0000804363</v>
      </c>
      <c r="D6370" t="str">
        <f t="shared" si="2591"/>
        <v>73185</v>
      </c>
      <c r="E6370" t="str">
        <f t="shared" si="2592"/>
        <v>KFH-OPERATIONS DEPARTMENT</v>
      </c>
      <c r="F6370" t="str">
        <f t="shared" si="2593"/>
        <v>IBG</v>
      </c>
      <c r="G6370" t="str">
        <f t="shared" si="2606"/>
        <v>Refund COSHARE 10</v>
      </c>
      <c r="H6370" s="2">
        <v>42</v>
      </c>
      <c r="I6370" t="str">
        <f>"MOHAMAD RAZI BIN MOHAMAD ISMAIL"</f>
        <v>MOHAMAD RAZI BIN MOHAMAD ISMAIL</v>
      </c>
      <c r="J6370" t="str">
        <f t="shared" si="2590"/>
        <v>CIMB BANK / CIMB ISLAMIC BANK</v>
      </c>
      <c r="K6370" t="str">
        <f>"06050064569523"</f>
        <v>06050064569523</v>
      </c>
      <c r="L6370" t="str">
        <f t="shared" si="2609"/>
        <v>04-08-2020</v>
      </c>
      <c r="M6370" t="str">
        <f t="shared" si="2609"/>
        <v>04-08-2020</v>
      </c>
      <c r="N6370" t="str">
        <f t="shared" si="2594"/>
        <v>001105018356</v>
      </c>
      <c r="O6370" t="str">
        <f t="shared" si="2595"/>
        <v>MYR</v>
      </c>
      <c r="P6370" t="str">
        <f t="shared" si="2610"/>
        <v>NIL</v>
      </c>
      <c r="Q6370" t="str">
        <f t="shared" si="2610"/>
        <v>NIL</v>
      </c>
      <c r="R6370" t="str">
        <f t="shared" ref="R6370:R6433" si="2611">"Accepted"</f>
        <v>Accepted</v>
      </c>
      <c r="S6370" t="str">
        <f t="shared" si="2596"/>
        <v>Approved</v>
      </c>
      <c r="T6370" t="str">
        <f t="shared" ref="T6370:T6433" si="2612">"10.20.8.188"</f>
        <v>10.20.8.188</v>
      </c>
      <c r="U6370" t="str">
        <f t="shared" si="2597"/>
        <v>AZRAD UMAR BIN SHAARI</v>
      </c>
      <c r="V6370" t="str">
        <f t="shared" si="2598"/>
        <v>FARHANA BINTI MUSTAPA</v>
      </c>
      <c r="W6370" t="str">
        <f t="shared" si="2599"/>
        <v>04-08-2020</v>
      </c>
      <c r="X6370" t="str">
        <f t="shared" si="2600"/>
        <v>RAZIMAH ANSAR AHMAD</v>
      </c>
      <c r="Y6370" t="str">
        <f t="shared" si="2601"/>
        <v>04-08-2020</v>
      </c>
      <c r="Z6370" t="str">
        <f>"COS10200804 2784"</f>
        <v>COS10200804 2784</v>
      </c>
    </row>
    <row r="6371" spans="1:26" x14ac:dyDescent="0.25">
      <c r="A6371" t="str">
        <f t="shared" si="2607"/>
        <v>04-08-2020 12:39:14</v>
      </c>
      <c r="B6371" t="str">
        <f>"0000804546"</f>
        <v>0000804546</v>
      </c>
      <c r="C6371" t="str">
        <f t="shared" si="2608"/>
        <v>0000804363</v>
      </c>
      <c r="D6371" t="str">
        <f t="shared" si="2591"/>
        <v>73185</v>
      </c>
      <c r="E6371" t="str">
        <f t="shared" si="2592"/>
        <v>KFH-OPERATIONS DEPARTMENT</v>
      </c>
      <c r="F6371" t="str">
        <f t="shared" si="2593"/>
        <v>IBG</v>
      </c>
      <c r="G6371" t="str">
        <f t="shared" si="2606"/>
        <v>Refund COSHARE 10</v>
      </c>
      <c r="H6371" s="2">
        <v>789.15</v>
      </c>
      <c r="I6371" t="str">
        <f>"MOHAMAD NOR YAZIN BIN J YANTO"</f>
        <v>MOHAMAD NOR YAZIN BIN J YANTO</v>
      </c>
      <c r="J6371" t="str">
        <f t="shared" si="2590"/>
        <v>CIMB BANK / CIMB ISLAMIC BANK</v>
      </c>
      <c r="K6371" t="str">
        <f>"10010003268207"</f>
        <v>10010003268207</v>
      </c>
      <c r="L6371" t="str">
        <f t="shared" si="2609"/>
        <v>04-08-2020</v>
      </c>
      <c r="M6371" t="str">
        <f t="shared" si="2609"/>
        <v>04-08-2020</v>
      </c>
      <c r="N6371" t="str">
        <f t="shared" si="2594"/>
        <v>001105018356</v>
      </c>
      <c r="O6371" t="str">
        <f t="shared" si="2595"/>
        <v>MYR</v>
      </c>
      <c r="P6371" t="str">
        <f t="shared" si="2610"/>
        <v>NIL</v>
      </c>
      <c r="Q6371" t="str">
        <f t="shared" si="2610"/>
        <v>NIL</v>
      </c>
      <c r="R6371" t="str">
        <f t="shared" si="2611"/>
        <v>Accepted</v>
      </c>
      <c r="S6371" t="str">
        <f t="shared" si="2596"/>
        <v>Approved</v>
      </c>
      <c r="T6371" t="str">
        <f t="shared" si="2612"/>
        <v>10.20.8.188</v>
      </c>
      <c r="U6371" t="str">
        <f t="shared" si="2597"/>
        <v>AZRAD UMAR BIN SHAARI</v>
      </c>
      <c r="V6371" t="str">
        <f t="shared" si="2598"/>
        <v>FARHANA BINTI MUSTAPA</v>
      </c>
      <c r="W6371" t="str">
        <f t="shared" si="2599"/>
        <v>04-08-2020</v>
      </c>
      <c r="X6371" t="str">
        <f t="shared" si="2600"/>
        <v>RAZIMAH ANSAR AHMAD</v>
      </c>
      <c r="Y6371" t="str">
        <f t="shared" si="2601"/>
        <v>04-08-2020</v>
      </c>
      <c r="Z6371" t="str">
        <f>"COS10200804 2783"</f>
        <v>COS10200804 2783</v>
      </c>
    </row>
    <row r="6372" spans="1:26" x14ac:dyDescent="0.25">
      <c r="A6372" t="str">
        <f t="shared" si="2607"/>
        <v>04-08-2020 12:39:14</v>
      </c>
      <c r="B6372" t="str">
        <f>"0000804545"</f>
        <v>0000804545</v>
      </c>
      <c r="C6372" t="str">
        <f t="shared" si="2608"/>
        <v>0000804363</v>
      </c>
      <c r="D6372" t="str">
        <f t="shared" si="2591"/>
        <v>73185</v>
      </c>
      <c r="E6372" t="str">
        <f t="shared" si="2592"/>
        <v>KFH-OPERATIONS DEPARTMENT</v>
      </c>
      <c r="F6372" t="str">
        <f t="shared" si="2593"/>
        <v>IBG</v>
      </c>
      <c r="G6372" t="str">
        <f t="shared" si="2606"/>
        <v>Refund COSHARE 10</v>
      </c>
      <c r="H6372" s="2">
        <v>512.1</v>
      </c>
      <c r="I6372" t="str">
        <f>"MOHAMAD NAZRI BIN SOBIRIN"</f>
        <v>MOHAMAD NAZRI BIN SOBIRIN</v>
      </c>
      <c r="J6372" t="str">
        <f t="shared" si="2590"/>
        <v>CIMB BANK / CIMB ISLAMIC BANK</v>
      </c>
      <c r="K6372" t="str">
        <f>"12360001046523"</f>
        <v>12360001046523</v>
      </c>
      <c r="L6372" t="str">
        <f t="shared" si="2609"/>
        <v>04-08-2020</v>
      </c>
      <c r="M6372" t="str">
        <f t="shared" si="2609"/>
        <v>04-08-2020</v>
      </c>
      <c r="N6372" t="str">
        <f t="shared" si="2594"/>
        <v>001105018356</v>
      </c>
      <c r="O6372" t="str">
        <f t="shared" si="2595"/>
        <v>MYR</v>
      </c>
      <c r="P6372" t="str">
        <f t="shared" si="2610"/>
        <v>NIL</v>
      </c>
      <c r="Q6372" t="str">
        <f t="shared" si="2610"/>
        <v>NIL</v>
      </c>
      <c r="R6372" t="str">
        <f t="shared" si="2611"/>
        <v>Accepted</v>
      </c>
      <c r="S6372" t="str">
        <f t="shared" si="2596"/>
        <v>Approved</v>
      </c>
      <c r="T6372" t="str">
        <f t="shared" si="2612"/>
        <v>10.20.8.188</v>
      </c>
      <c r="U6372" t="str">
        <f t="shared" si="2597"/>
        <v>AZRAD UMAR BIN SHAARI</v>
      </c>
      <c r="V6372" t="str">
        <f t="shared" si="2598"/>
        <v>FARHANA BINTI MUSTAPA</v>
      </c>
      <c r="W6372" t="str">
        <f t="shared" si="2599"/>
        <v>04-08-2020</v>
      </c>
      <c r="X6372" t="str">
        <f t="shared" si="2600"/>
        <v>RAZIMAH ANSAR AHMAD</v>
      </c>
      <c r="Y6372" t="str">
        <f t="shared" si="2601"/>
        <v>04-08-2020</v>
      </c>
      <c r="Z6372" t="str">
        <f>"COS10200804 2782"</f>
        <v>COS10200804 2782</v>
      </c>
    </row>
    <row r="6373" spans="1:26" x14ac:dyDescent="0.25">
      <c r="A6373" t="str">
        <f t="shared" si="2607"/>
        <v>04-08-2020 12:39:14</v>
      </c>
      <c r="B6373" t="str">
        <f>"0000804544"</f>
        <v>0000804544</v>
      </c>
      <c r="C6373" t="str">
        <f t="shared" si="2608"/>
        <v>0000804363</v>
      </c>
      <c r="D6373" t="str">
        <f t="shared" si="2591"/>
        <v>73185</v>
      </c>
      <c r="E6373" t="str">
        <f t="shared" si="2592"/>
        <v>KFH-OPERATIONS DEPARTMENT</v>
      </c>
      <c r="F6373" t="str">
        <f t="shared" si="2593"/>
        <v>IBG</v>
      </c>
      <c r="G6373" t="str">
        <f t="shared" si="2606"/>
        <v>Refund COSHARE 10</v>
      </c>
      <c r="H6373" s="2">
        <v>716.3</v>
      </c>
      <c r="I6373" t="str">
        <f>"MOHAMAD MAJIDI BIN AMIR"</f>
        <v>MOHAMAD MAJIDI BIN AMIR</v>
      </c>
      <c r="J6373" t="str">
        <f t="shared" si="2590"/>
        <v>CIMB BANK / CIMB ISLAMIC BANK</v>
      </c>
      <c r="K6373" t="str">
        <f>"14440004255526"</f>
        <v>14440004255526</v>
      </c>
      <c r="L6373" t="str">
        <f t="shared" si="2609"/>
        <v>04-08-2020</v>
      </c>
      <c r="M6373" t="str">
        <f t="shared" si="2609"/>
        <v>04-08-2020</v>
      </c>
      <c r="N6373" t="str">
        <f t="shared" si="2594"/>
        <v>001105018356</v>
      </c>
      <c r="O6373" t="str">
        <f t="shared" si="2595"/>
        <v>MYR</v>
      </c>
      <c r="P6373" t="str">
        <f t="shared" si="2610"/>
        <v>NIL</v>
      </c>
      <c r="Q6373" t="str">
        <f t="shared" si="2610"/>
        <v>NIL</v>
      </c>
      <c r="R6373" t="str">
        <f t="shared" si="2611"/>
        <v>Accepted</v>
      </c>
      <c r="S6373" t="str">
        <f t="shared" si="2596"/>
        <v>Approved</v>
      </c>
      <c r="T6373" t="str">
        <f t="shared" si="2612"/>
        <v>10.20.8.188</v>
      </c>
      <c r="U6373" t="str">
        <f t="shared" si="2597"/>
        <v>AZRAD UMAR BIN SHAARI</v>
      </c>
      <c r="V6373" t="str">
        <f t="shared" si="2598"/>
        <v>FARHANA BINTI MUSTAPA</v>
      </c>
      <c r="W6373" t="str">
        <f t="shared" si="2599"/>
        <v>04-08-2020</v>
      </c>
      <c r="X6373" t="str">
        <f t="shared" si="2600"/>
        <v>RAZIMAH ANSAR AHMAD</v>
      </c>
      <c r="Y6373" t="str">
        <f t="shared" si="2601"/>
        <v>04-08-2020</v>
      </c>
      <c r="Z6373" t="str">
        <f>"COS10200804 2781"</f>
        <v>COS10200804 2781</v>
      </c>
    </row>
    <row r="6374" spans="1:26" x14ac:dyDescent="0.25">
      <c r="A6374" t="str">
        <f t="shared" si="2607"/>
        <v>04-08-2020 12:39:14</v>
      </c>
      <c r="B6374" t="str">
        <f>"0000804543"</f>
        <v>0000804543</v>
      </c>
      <c r="C6374" t="str">
        <f t="shared" si="2608"/>
        <v>0000804363</v>
      </c>
      <c r="D6374" t="str">
        <f t="shared" si="2591"/>
        <v>73185</v>
      </c>
      <c r="E6374" t="str">
        <f t="shared" si="2592"/>
        <v>KFH-OPERATIONS DEPARTMENT</v>
      </c>
      <c r="F6374" t="str">
        <f t="shared" si="2593"/>
        <v>IBG</v>
      </c>
      <c r="G6374" t="str">
        <f t="shared" si="2606"/>
        <v>Refund COSHARE 10</v>
      </c>
      <c r="H6374" s="2">
        <v>361</v>
      </c>
      <c r="I6374" t="str">
        <f>"MOHAMAD IZWAN BIN ROSLI"</f>
        <v>MOHAMAD IZWAN BIN ROSLI</v>
      </c>
      <c r="J6374" t="str">
        <f t="shared" si="2590"/>
        <v>CIMB BANK / CIMB ISLAMIC BANK</v>
      </c>
      <c r="K6374" t="str">
        <f>"14160064309526"</f>
        <v>14160064309526</v>
      </c>
      <c r="L6374" t="str">
        <f t="shared" si="2609"/>
        <v>04-08-2020</v>
      </c>
      <c r="M6374" t="str">
        <f t="shared" si="2609"/>
        <v>04-08-2020</v>
      </c>
      <c r="N6374" t="str">
        <f t="shared" si="2594"/>
        <v>001105018356</v>
      </c>
      <c r="O6374" t="str">
        <f t="shared" si="2595"/>
        <v>MYR</v>
      </c>
      <c r="P6374" t="str">
        <f t="shared" si="2610"/>
        <v>NIL</v>
      </c>
      <c r="Q6374" t="str">
        <f t="shared" si="2610"/>
        <v>NIL</v>
      </c>
      <c r="R6374" t="str">
        <f t="shared" si="2611"/>
        <v>Accepted</v>
      </c>
      <c r="S6374" t="str">
        <f t="shared" si="2596"/>
        <v>Approved</v>
      </c>
      <c r="T6374" t="str">
        <f t="shared" si="2612"/>
        <v>10.20.8.188</v>
      </c>
      <c r="U6374" t="str">
        <f t="shared" si="2597"/>
        <v>AZRAD UMAR BIN SHAARI</v>
      </c>
      <c r="V6374" t="str">
        <f t="shared" si="2598"/>
        <v>FARHANA BINTI MUSTAPA</v>
      </c>
      <c r="W6374" t="str">
        <f t="shared" si="2599"/>
        <v>04-08-2020</v>
      </c>
      <c r="X6374" t="str">
        <f t="shared" si="2600"/>
        <v>RAZIMAH ANSAR AHMAD</v>
      </c>
      <c r="Y6374" t="str">
        <f t="shared" si="2601"/>
        <v>04-08-2020</v>
      </c>
      <c r="Z6374" t="str">
        <f>"COS10200804 2780"</f>
        <v>COS10200804 2780</v>
      </c>
    </row>
    <row r="6375" spans="1:26" x14ac:dyDescent="0.25">
      <c r="A6375" t="str">
        <f t="shared" si="2607"/>
        <v>04-08-2020 12:39:14</v>
      </c>
      <c r="B6375" t="str">
        <f>"0000804542"</f>
        <v>0000804542</v>
      </c>
      <c r="C6375" t="str">
        <f t="shared" si="2608"/>
        <v>0000804363</v>
      </c>
      <c r="D6375" t="str">
        <f t="shared" si="2591"/>
        <v>73185</v>
      </c>
      <c r="E6375" t="str">
        <f t="shared" si="2592"/>
        <v>KFH-OPERATIONS DEPARTMENT</v>
      </c>
      <c r="F6375" t="str">
        <f t="shared" si="2593"/>
        <v>IBG</v>
      </c>
      <c r="G6375" t="str">
        <f t="shared" si="2606"/>
        <v>Refund COSHARE 10</v>
      </c>
      <c r="H6375" s="2">
        <v>839.5</v>
      </c>
      <c r="I6375" t="str">
        <f>"MOHAMAD IKMAL BIN MARSAL"</f>
        <v>MOHAMAD IKMAL BIN MARSAL</v>
      </c>
      <c r="J6375" t="str">
        <f t="shared" si="2590"/>
        <v>CIMB BANK / CIMB ISLAMIC BANK</v>
      </c>
      <c r="K6375" t="str">
        <f>"11170000580202"</f>
        <v>11170000580202</v>
      </c>
      <c r="L6375" t="str">
        <f t="shared" si="2609"/>
        <v>04-08-2020</v>
      </c>
      <c r="M6375" t="str">
        <f t="shared" si="2609"/>
        <v>04-08-2020</v>
      </c>
      <c r="N6375" t="str">
        <f t="shared" si="2594"/>
        <v>001105018356</v>
      </c>
      <c r="O6375" t="str">
        <f t="shared" si="2595"/>
        <v>MYR</v>
      </c>
      <c r="P6375" t="str">
        <f t="shared" si="2610"/>
        <v>NIL</v>
      </c>
      <c r="Q6375" t="str">
        <f t="shared" si="2610"/>
        <v>NIL</v>
      </c>
      <c r="R6375" t="str">
        <f t="shared" si="2611"/>
        <v>Accepted</v>
      </c>
      <c r="S6375" t="str">
        <f t="shared" si="2596"/>
        <v>Approved</v>
      </c>
      <c r="T6375" t="str">
        <f t="shared" si="2612"/>
        <v>10.20.8.188</v>
      </c>
      <c r="U6375" t="str">
        <f t="shared" si="2597"/>
        <v>AZRAD UMAR BIN SHAARI</v>
      </c>
      <c r="V6375" t="str">
        <f t="shared" si="2598"/>
        <v>FARHANA BINTI MUSTAPA</v>
      </c>
      <c r="W6375" t="str">
        <f t="shared" si="2599"/>
        <v>04-08-2020</v>
      </c>
      <c r="X6375" t="str">
        <f t="shared" si="2600"/>
        <v>RAZIMAH ANSAR AHMAD</v>
      </c>
      <c r="Y6375" t="str">
        <f t="shared" si="2601"/>
        <v>04-08-2020</v>
      </c>
      <c r="Z6375" t="str">
        <f>"COS10200804 2779"</f>
        <v>COS10200804 2779</v>
      </c>
    </row>
    <row r="6376" spans="1:26" x14ac:dyDescent="0.25">
      <c r="A6376" t="str">
        <f t="shared" si="2607"/>
        <v>04-08-2020 12:39:14</v>
      </c>
      <c r="B6376" t="str">
        <f>"0000804541"</f>
        <v>0000804541</v>
      </c>
      <c r="C6376" t="str">
        <f t="shared" si="2608"/>
        <v>0000804363</v>
      </c>
      <c r="D6376" t="str">
        <f t="shared" si="2591"/>
        <v>73185</v>
      </c>
      <c r="E6376" t="str">
        <f t="shared" si="2592"/>
        <v>KFH-OPERATIONS DEPARTMENT</v>
      </c>
      <c r="F6376" t="str">
        <f t="shared" si="2593"/>
        <v>IBG</v>
      </c>
      <c r="G6376" t="str">
        <f t="shared" si="2606"/>
        <v>Refund COSHARE 10</v>
      </c>
      <c r="H6376" s="2">
        <v>42</v>
      </c>
      <c r="I6376" t="str">
        <f>"MOHAMAD HELMY BIN AMIR"</f>
        <v>MOHAMAD HELMY BIN AMIR</v>
      </c>
      <c r="J6376" t="str">
        <f t="shared" si="2590"/>
        <v>CIMB BANK / CIMB ISLAMIC BANK</v>
      </c>
      <c r="K6376" t="str">
        <f>"01050003857204"</f>
        <v>01050003857204</v>
      </c>
      <c r="L6376" t="str">
        <f t="shared" si="2609"/>
        <v>04-08-2020</v>
      </c>
      <c r="M6376" t="str">
        <f t="shared" si="2609"/>
        <v>04-08-2020</v>
      </c>
      <c r="N6376" t="str">
        <f t="shared" si="2594"/>
        <v>001105018356</v>
      </c>
      <c r="O6376" t="str">
        <f t="shared" si="2595"/>
        <v>MYR</v>
      </c>
      <c r="P6376" t="str">
        <f t="shared" si="2610"/>
        <v>NIL</v>
      </c>
      <c r="Q6376" t="str">
        <f t="shared" si="2610"/>
        <v>NIL</v>
      </c>
      <c r="R6376" t="str">
        <f t="shared" si="2611"/>
        <v>Accepted</v>
      </c>
      <c r="S6376" t="str">
        <f t="shared" si="2596"/>
        <v>Approved</v>
      </c>
      <c r="T6376" t="str">
        <f t="shared" si="2612"/>
        <v>10.20.8.188</v>
      </c>
      <c r="U6376" t="str">
        <f t="shared" si="2597"/>
        <v>AZRAD UMAR BIN SHAARI</v>
      </c>
      <c r="V6376" t="str">
        <f t="shared" si="2598"/>
        <v>FARHANA BINTI MUSTAPA</v>
      </c>
      <c r="W6376" t="str">
        <f t="shared" si="2599"/>
        <v>04-08-2020</v>
      </c>
      <c r="X6376" t="str">
        <f t="shared" si="2600"/>
        <v>RAZIMAH ANSAR AHMAD</v>
      </c>
      <c r="Y6376" t="str">
        <f t="shared" si="2601"/>
        <v>04-08-2020</v>
      </c>
      <c r="Z6376" t="str">
        <f>"COS10200804 2778"</f>
        <v>COS10200804 2778</v>
      </c>
    </row>
    <row r="6377" spans="1:26" x14ac:dyDescent="0.25">
      <c r="A6377" t="str">
        <f t="shared" si="2607"/>
        <v>04-08-2020 12:39:14</v>
      </c>
      <c r="B6377" t="str">
        <f>"0000804540"</f>
        <v>0000804540</v>
      </c>
      <c r="C6377" t="str">
        <f t="shared" si="2608"/>
        <v>0000804363</v>
      </c>
      <c r="D6377" t="str">
        <f t="shared" si="2591"/>
        <v>73185</v>
      </c>
      <c r="E6377" t="str">
        <f t="shared" si="2592"/>
        <v>KFH-OPERATIONS DEPARTMENT</v>
      </c>
      <c r="F6377" t="str">
        <f t="shared" si="2593"/>
        <v>IBG</v>
      </c>
      <c r="G6377" t="str">
        <f t="shared" si="2606"/>
        <v>Refund COSHARE 10</v>
      </c>
      <c r="H6377" s="2">
        <v>335.8</v>
      </c>
      <c r="I6377" t="str">
        <f>"MOHAMAD HANAFI BIN MOHAMED SUFFI"</f>
        <v>MOHAMAD HANAFI BIN MOHAMED SUFFI</v>
      </c>
      <c r="J6377" t="str">
        <f t="shared" si="2590"/>
        <v>CIMB BANK / CIMB ISLAMIC BANK</v>
      </c>
      <c r="K6377" t="str">
        <f>"11030002505201"</f>
        <v>11030002505201</v>
      </c>
      <c r="L6377" t="str">
        <f t="shared" si="2609"/>
        <v>04-08-2020</v>
      </c>
      <c r="M6377" t="str">
        <f t="shared" si="2609"/>
        <v>04-08-2020</v>
      </c>
      <c r="N6377" t="str">
        <f t="shared" si="2594"/>
        <v>001105018356</v>
      </c>
      <c r="O6377" t="str">
        <f t="shared" si="2595"/>
        <v>MYR</v>
      </c>
      <c r="P6377" t="str">
        <f t="shared" si="2610"/>
        <v>NIL</v>
      </c>
      <c r="Q6377" t="str">
        <f t="shared" si="2610"/>
        <v>NIL</v>
      </c>
      <c r="R6377" t="str">
        <f t="shared" si="2611"/>
        <v>Accepted</v>
      </c>
      <c r="S6377" t="str">
        <f t="shared" si="2596"/>
        <v>Approved</v>
      </c>
      <c r="T6377" t="str">
        <f t="shared" si="2612"/>
        <v>10.20.8.188</v>
      </c>
      <c r="U6377" t="str">
        <f t="shared" si="2597"/>
        <v>AZRAD UMAR BIN SHAARI</v>
      </c>
      <c r="V6377" t="str">
        <f t="shared" si="2598"/>
        <v>FARHANA BINTI MUSTAPA</v>
      </c>
      <c r="W6377" t="str">
        <f t="shared" si="2599"/>
        <v>04-08-2020</v>
      </c>
      <c r="X6377" t="str">
        <f t="shared" si="2600"/>
        <v>RAZIMAH ANSAR AHMAD</v>
      </c>
      <c r="Y6377" t="str">
        <f t="shared" si="2601"/>
        <v>04-08-2020</v>
      </c>
      <c r="Z6377" t="str">
        <f>"COS10200804 2777"</f>
        <v>COS10200804 2777</v>
      </c>
    </row>
    <row r="6378" spans="1:26" x14ac:dyDescent="0.25">
      <c r="A6378" t="str">
        <f t="shared" si="2607"/>
        <v>04-08-2020 12:39:14</v>
      </c>
      <c r="B6378" t="str">
        <f>"0000804539"</f>
        <v>0000804539</v>
      </c>
      <c r="C6378" t="str">
        <f t="shared" si="2608"/>
        <v>0000804363</v>
      </c>
      <c r="D6378" t="str">
        <f t="shared" si="2591"/>
        <v>73185</v>
      </c>
      <c r="E6378" t="str">
        <f t="shared" si="2592"/>
        <v>KFH-OPERATIONS DEPARTMENT</v>
      </c>
      <c r="F6378" t="str">
        <f t="shared" si="2593"/>
        <v>IBG</v>
      </c>
      <c r="G6378" t="str">
        <f t="shared" si="2606"/>
        <v>Refund COSHARE 10</v>
      </c>
      <c r="H6378" s="2">
        <v>127.05</v>
      </c>
      <c r="I6378" t="str">
        <f>"MOHAMAD HAFAHMI BIN ZAINUDIN"</f>
        <v>MOHAMAD HAFAHMI BIN ZAINUDIN</v>
      </c>
      <c r="J6378" t="str">
        <f t="shared" si="2590"/>
        <v>CIMB BANK / CIMB ISLAMIC BANK</v>
      </c>
      <c r="K6378" t="str">
        <f>"04030075985521"</f>
        <v>04030075985521</v>
      </c>
      <c r="L6378" t="str">
        <f t="shared" si="2609"/>
        <v>04-08-2020</v>
      </c>
      <c r="M6378" t="str">
        <f t="shared" si="2609"/>
        <v>04-08-2020</v>
      </c>
      <c r="N6378" t="str">
        <f t="shared" si="2594"/>
        <v>001105018356</v>
      </c>
      <c r="O6378" t="str">
        <f t="shared" si="2595"/>
        <v>MYR</v>
      </c>
      <c r="P6378" t="str">
        <f t="shared" si="2610"/>
        <v>NIL</v>
      </c>
      <c r="Q6378" t="str">
        <f t="shared" si="2610"/>
        <v>NIL</v>
      </c>
      <c r="R6378" t="str">
        <f t="shared" si="2611"/>
        <v>Accepted</v>
      </c>
      <c r="S6378" t="str">
        <f t="shared" si="2596"/>
        <v>Approved</v>
      </c>
      <c r="T6378" t="str">
        <f t="shared" si="2612"/>
        <v>10.20.8.188</v>
      </c>
      <c r="U6378" t="str">
        <f t="shared" si="2597"/>
        <v>AZRAD UMAR BIN SHAARI</v>
      </c>
      <c r="V6378" t="str">
        <f t="shared" si="2598"/>
        <v>FARHANA BINTI MUSTAPA</v>
      </c>
      <c r="W6378" t="str">
        <f t="shared" si="2599"/>
        <v>04-08-2020</v>
      </c>
      <c r="X6378" t="str">
        <f t="shared" si="2600"/>
        <v>RAZIMAH ANSAR AHMAD</v>
      </c>
      <c r="Y6378" t="str">
        <f t="shared" si="2601"/>
        <v>04-08-2020</v>
      </c>
      <c r="Z6378" t="str">
        <f>"COS10200804 2776"</f>
        <v>COS10200804 2776</v>
      </c>
    </row>
    <row r="6379" spans="1:26" x14ac:dyDescent="0.25">
      <c r="A6379" t="str">
        <f t="shared" si="2607"/>
        <v>04-08-2020 12:39:14</v>
      </c>
      <c r="B6379" t="str">
        <f>"0000804538"</f>
        <v>0000804538</v>
      </c>
      <c r="C6379" t="str">
        <f t="shared" si="2608"/>
        <v>0000804363</v>
      </c>
      <c r="D6379" t="str">
        <f t="shared" si="2591"/>
        <v>73185</v>
      </c>
      <c r="E6379" t="str">
        <f t="shared" si="2592"/>
        <v>KFH-OPERATIONS DEPARTMENT</v>
      </c>
      <c r="F6379" t="str">
        <f t="shared" si="2593"/>
        <v>IBG</v>
      </c>
      <c r="G6379" t="str">
        <f t="shared" si="2606"/>
        <v>Refund COSHARE 10</v>
      </c>
      <c r="H6379" s="2">
        <v>680</v>
      </c>
      <c r="I6379" t="str">
        <f>"MOHAMAD FIRDAUS BIN MOHD HALIM"</f>
        <v>MOHAMAD FIRDAUS BIN MOHD HALIM</v>
      </c>
      <c r="J6379" t="str">
        <f t="shared" si="2590"/>
        <v>CIMB BANK / CIMB ISLAMIC BANK</v>
      </c>
      <c r="K6379" t="str">
        <f>"7045922218"</f>
        <v>7045922218</v>
      </c>
      <c r="L6379" t="str">
        <f t="shared" si="2609"/>
        <v>04-08-2020</v>
      </c>
      <c r="M6379" t="str">
        <f t="shared" si="2609"/>
        <v>04-08-2020</v>
      </c>
      <c r="N6379" t="str">
        <f t="shared" si="2594"/>
        <v>001105018356</v>
      </c>
      <c r="O6379" t="str">
        <f t="shared" si="2595"/>
        <v>MYR</v>
      </c>
      <c r="P6379" t="str">
        <f t="shared" si="2610"/>
        <v>NIL</v>
      </c>
      <c r="Q6379" t="str">
        <f t="shared" si="2610"/>
        <v>NIL</v>
      </c>
      <c r="R6379" t="str">
        <f t="shared" si="2611"/>
        <v>Accepted</v>
      </c>
      <c r="S6379" t="str">
        <f t="shared" si="2596"/>
        <v>Approved</v>
      </c>
      <c r="T6379" t="str">
        <f t="shared" si="2612"/>
        <v>10.20.8.188</v>
      </c>
      <c r="U6379" t="str">
        <f t="shared" si="2597"/>
        <v>AZRAD UMAR BIN SHAARI</v>
      </c>
      <c r="V6379" t="str">
        <f t="shared" si="2598"/>
        <v>FARHANA BINTI MUSTAPA</v>
      </c>
      <c r="W6379" t="str">
        <f t="shared" si="2599"/>
        <v>04-08-2020</v>
      </c>
      <c r="X6379" t="str">
        <f t="shared" si="2600"/>
        <v>RAZIMAH ANSAR AHMAD</v>
      </c>
      <c r="Y6379" t="str">
        <f t="shared" si="2601"/>
        <v>04-08-2020</v>
      </c>
      <c r="Z6379" t="str">
        <f>"COS10200804 2775"</f>
        <v>COS10200804 2775</v>
      </c>
    </row>
    <row r="6380" spans="1:26" x14ac:dyDescent="0.25">
      <c r="A6380" t="str">
        <f t="shared" si="2607"/>
        <v>04-08-2020 12:39:14</v>
      </c>
      <c r="B6380" t="str">
        <f>"0000804537"</f>
        <v>0000804537</v>
      </c>
      <c r="C6380" t="str">
        <f t="shared" si="2608"/>
        <v>0000804363</v>
      </c>
      <c r="D6380" t="str">
        <f t="shared" si="2591"/>
        <v>73185</v>
      </c>
      <c r="E6380" t="str">
        <f t="shared" si="2592"/>
        <v>KFH-OPERATIONS DEPARTMENT</v>
      </c>
      <c r="F6380" t="str">
        <f t="shared" si="2593"/>
        <v>IBG</v>
      </c>
      <c r="G6380" t="str">
        <f t="shared" si="2606"/>
        <v>Refund COSHARE 10</v>
      </c>
      <c r="H6380" s="2">
        <v>1402</v>
      </c>
      <c r="I6380" t="str">
        <f>"MOHAMAD FIRDAUS BIN ABDUL HAMID"</f>
        <v>MOHAMAD FIRDAUS BIN ABDUL HAMID</v>
      </c>
      <c r="J6380" t="str">
        <f t="shared" si="2590"/>
        <v>CIMB BANK / CIMB ISLAMIC BANK</v>
      </c>
      <c r="K6380" t="str">
        <f>"7002813241"</f>
        <v>7002813241</v>
      </c>
      <c r="L6380" t="str">
        <f t="shared" si="2609"/>
        <v>04-08-2020</v>
      </c>
      <c r="M6380" t="str">
        <f t="shared" si="2609"/>
        <v>04-08-2020</v>
      </c>
      <c r="N6380" t="str">
        <f t="shared" si="2594"/>
        <v>001105018356</v>
      </c>
      <c r="O6380" t="str">
        <f t="shared" si="2595"/>
        <v>MYR</v>
      </c>
      <c r="P6380" t="str">
        <f t="shared" si="2610"/>
        <v>NIL</v>
      </c>
      <c r="Q6380" t="str">
        <f t="shared" si="2610"/>
        <v>NIL</v>
      </c>
      <c r="R6380" t="str">
        <f t="shared" si="2611"/>
        <v>Accepted</v>
      </c>
      <c r="S6380" t="str">
        <f t="shared" si="2596"/>
        <v>Approved</v>
      </c>
      <c r="T6380" t="str">
        <f t="shared" si="2612"/>
        <v>10.20.8.188</v>
      </c>
      <c r="U6380" t="str">
        <f t="shared" si="2597"/>
        <v>AZRAD UMAR BIN SHAARI</v>
      </c>
      <c r="V6380" t="str">
        <f t="shared" si="2598"/>
        <v>FARHANA BINTI MUSTAPA</v>
      </c>
      <c r="W6380" t="str">
        <f t="shared" si="2599"/>
        <v>04-08-2020</v>
      </c>
      <c r="X6380" t="str">
        <f t="shared" si="2600"/>
        <v>RAZIMAH ANSAR AHMAD</v>
      </c>
      <c r="Y6380" t="str">
        <f t="shared" si="2601"/>
        <v>04-08-2020</v>
      </c>
      <c r="Z6380" t="str">
        <f>"COS10200804 2774"</f>
        <v>COS10200804 2774</v>
      </c>
    </row>
    <row r="6381" spans="1:26" x14ac:dyDescent="0.25">
      <c r="A6381" t="str">
        <f t="shared" si="2607"/>
        <v>04-08-2020 12:39:14</v>
      </c>
      <c r="B6381" t="str">
        <f>"0000804536"</f>
        <v>0000804536</v>
      </c>
      <c r="C6381" t="str">
        <f t="shared" si="2608"/>
        <v>0000804363</v>
      </c>
      <c r="D6381" t="str">
        <f t="shared" si="2591"/>
        <v>73185</v>
      </c>
      <c r="E6381" t="str">
        <f t="shared" si="2592"/>
        <v>KFH-OPERATIONS DEPARTMENT</v>
      </c>
      <c r="F6381" t="str">
        <f t="shared" si="2593"/>
        <v>IBG</v>
      </c>
      <c r="G6381" t="str">
        <f t="shared" si="2606"/>
        <v>Refund COSHARE 10</v>
      </c>
      <c r="H6381" s="2">
        <v>839.5</v>
      </c>
      <c r="I6381" t="str">
        <f>"MOHAMAD FIKREE BIN ALIAS"</f>
        <v>MOHAMAD FIKREE BIN ALIAS</v>
      </c>
      <c r="J6381" t="str">
        <f t="shared" si="2590"/>
        <v>CIMB BANK / CIMB ISLAMIC BANK</v>
      </c>
      <c r="K6381" t="str">
        <f>"14091367803525"</f>
        <v>14091367803525</v>
      </c>
      <c r="L6381" t="str">
        <f t="shared" si="2609"/>
        <v>04-08-2020</v>
      </c>
      <c r="M6381" t="str">
        <f t="shared" si="2609"/>
        <v>04-08-2020</v>
      </c>
      <c r="N6381" t="str">
        <f t="shared" si="2594"/>
        <v>001105018356</v>
      </c>
      <c r="O6381" t="str">
        <f t="shared" si="2595"/>
        <v>MYR</v>
      </c>
      <c r="P6381" t="str">
        <f t="shared" si="2610"/>
        <v>NIL</v>
      </c>
      <c r="Q6381" t="str">
        <f t="shared" si="2610"/>
        <v>NIL</v>
      </c>
      <c r="R6381" t="str">
        <f t="shared" si="2611"/>
        <v>Accepted</v>
      </c>
      <c r="S6381" t="str">
        <f t="shared" si="2596"/>
        <v>Approved</v>
      </c>
      <c r="T6381" t="str">
        <f t="shared" si="2612"/>
        <v>10.20.8.188</v>
      </c>
      <c r="U6381" t="str">
        <f t="shared" si="2597"/>
        <v>AZRAD UMAR BIN SHAARI</v>
      </c>
      <c r="V6381" t="str">
        <f t="shared" si="2598"/>
        <v>FARHANA BINTI MUSTAPA</v>
      </c>
      <c r="W6381" t="str">
        <f t="shared" si="2599"/>
        <v>04-08-2020</v>
      </c>
      <c r="X6381" t="str">
        <f t="shared" si="2600"/>
        <v>RAZIMAH ANSAR AHMAD</v>
      </c>
      <c r="Y6381" t="str">
        <f t="shared" si="2601"/>
        <v>04-08-2020</v>
      </c>
      <c r="Z6381" t="str">
        <f>"COS10200804 2773"</f>
        <v>COS10200804 2773</v>
      </c>
    </row>
    <row r="6382" spans="1:26" x14ac:dyDescent="0.25">
      <c r="A6382" t="str">
        <f t="shared" si="2607"/>
        <v>04-08-2020 12:39:14</v>
      </c>
      <c r="B6382" t="str">
        <f>"0000804535"</f>
        <v>0000804535</v>
      </c>
      <c r="C6382" t="str">
        <f t="shared" si="2608"/>
        <v>0000804363</v>
      </c>
      <c r="D6382" t="str">
        <f t="shared" si="2591"/>
        <v>73185</v>
      </c>
      <c r="E6382" t="str">
        <f t="shared" si="2592"/>
        <v>KFH-OPERATIONS DEPARTMENT</v>
      </c>
      <c r="F6382" t="str">
        <f t="shared" si="2593"/>
        <v>IBG</v>
      </c>
      <c r="G6382" t="str">
        <f t="shared" si="2606"/>
        <v>Refund COSHARE 10</v>
      </c>
      <c r="H6382" s="2">
        <v>931.85</v>
      </c>
      <c r="I6382" t="str">
        <f>"MOHAMAD FAIZAL BIN SHARUDIN"</f>
        <v>MOHAMAD FAIZAL BIN SHARUDIN</v>
      </c>
      <c r="J6382" t="str">
        <f t="shared" si="2590"/>
        <v>CIMB BANK / CIMB ISLAMIC BANK</v>
      </c>
      <c r="K6382" t="str">
        <f>"12480082933525"</f>
        <v>12480082933525</v>
      </c>
      <c r="L6382" t="str">
        <f t="shared" si="2609"/>
        <v>04-08-2020</v>
      </c>
      <c r="M6382" t="str">
        <f t="shared" si="2609"/>
        <v>04-08-2020</v>
      </c>
      <c r="N6382" t="str">
        <f t="shared" si="2594"/>
        <v>001105018356</v>
      </c>
      <c r="O6382" t="str">
        <f t="shared" si="2595"/>
        <v>MYR</v>
      </c>
      <c r="P6382" t="str">
        <f t="shared" si="2610"/>
        <v>NIL</v>
      </c>
      <c r="Q6382" t="str">
        <f t="shared" si="2610"/>
        <v>NIL</v>
      </c>
      <c r="R6382" t="str">
        <f t="shared" si="2611"/>
        <v>Accepted</v>
      </c>
      <c r="S6382" t="str">
        <f t="shared" si="2596"/>
        <v>Approved</v>
      </c>
      <c r="T6382" t="str">
        <f t="shared" si="2612"/>
        <v>10.20.8.188</v>
      </c>
      <c r="U6382" t="str">
        <f t="shared" si="2597"/>
        <v>AZRAD UMAR BIN SHAARI</v>
      </c>
      <c r="V6382" t="str">
        <f t="shared" si="2598"/>
        <v>FARHANA BINTI MUSTAPA</v>
      </c>
      <c r="W6382" t="str">
        <f t="shared" si="2599"/>
        <v>04-08-2020</v>
      </c>
      <c r="X6382" t="str">
        <f t="shared" si="2600"/>
        <v>RAZIMAH ANSAR AHMAD</v>
      </c>
      <c r="Y6382" t="str">
        <f t="shared" si="2601"/>
        <v>04-08-2020</v>
      </c>
      <c r="Z6382" t="str">
        <f>"COS10200804 2772"</f>
        <v>COS10200804 2772</v>
      </c>
    </row>
    <row r="6383" spans="1:26" x14ac:dyDescent="0.25">
      <c r="A6383" t="str">
        <f t="shared" si="2607"/>
        <v>04-08-2020 12:39:14</v>
      </c>
      <c r="B6383" t="str">
        <f>"0000804534"</f>
        <v>0000804534</v>
      </c>
      <c r="C6383" t="str">
        <f t="shared" si="2608"/>
        <v>0000804363</v>
      </c>
      <c r="D6383" t="str">
        <f t="shared" si="2591"/>
        <v>73185</v>
      </c>
      <c r="E6383" t="str">
        <f t="shared" si="2592"/>
        <v>KFH-OPERATIONS DEPARTMENT</v>
      </c>
      <c r="F6383" t="str">
        <f t="shared" si="2593"/>
        <v>IBG</v>
      </c>
      <c r="G6383" t="str">
        <f t="shared" si="2606"/>
        <v>Refund COSHARE 10</v>
      </c>
      <c r="H6383" s="2">
        <v>129</v>
      </c>
      <c r="I6383" t="str">
        <f>"MOHAMAD FAIZAL BIN PIEE  SHAFIE"</f>
        <v>MOHAMAD FAIZAL BIN PIEE  SHAFIE</v>
      </c>
      <c r="J6383" t="str">
        <f t="shared" si="2590"/>
        <v>CIMB BANK / CIMB ISLAMIC BANK</v>
      </c>
      <c r="K6383" t="str">
        <f>"02020004005205"</f>
        <v>02020004005205</v>
      </c>
      <c r="L6383" t="str">
        <f t="shared" si="2609"/>
        <v>04-08-2020</v>
      </c>
      <c r="M6383" t="str">
        <f t="shared" si="2609"/>
        <v>04-08-2020</v>
      </c>
      <c r="N6383" t="str">
        <f t="shared" si="2594"/>
        <v>001105018356</v>
      </c>
      <c r="O6383" t="str">
        <f t="shared" si="2595"/>
        <v>MYR</v>
      </c>
      <c r="P6383" t="str">
        <f t="shared" si="2610"/>
        <v>NIL</v>
      </c>
      <c r="Q6383" t="str">
        <f t="shared" si="2610"/>
        <v>NIL</v>
      </c>
      <c r="R6383" t="str">
        <f t="shared" si="2611"/>
        <v>Accepted</v>
      </c>
      <c r="S6383" t="str">
        <f t="shared" si="2596"/>
        <v>Approved</v>
      </c>
      <c r="T6383" t="str">
        <f t="shared" si="2612"/>
        <v>10.20.8.188</v>
      </c>
      <c r="U6383" t="str">
        <f t="shared" si="2597"/>
        <v>AZRAD UMAR BIN SHAARI</v>
      </c>
      <c r="V6383" t="str">
        <f t="shared" si="2598"/>
        <v>FARHANA BINTI MUSTAPA</v>
      </c>
      <c r="W6383" t="str">
        <f t="shared" si="2599"/>
        <v>04-08-2020</v>
      </c>
      <c r="X6383" t="str">
        <f t="shared" si="2600"/>
        <v>RAZIMAH ANSAR AHMAD</v>
      </c>
      <c r="Y6383" t="str">
        <f t="shared" si="2601"/>
        <v>04-08-2020</v>
      </c>
      <c r="Z6383" t="str">
        <f>"COS10200804 2771"</f>
        <v>COS10200804 2771</v>
      </c>
    </row>
    <row r="6384" spans="1:26" x14ac:dyDescent="0.25">
      <c r="A6384" t="str">
        <f t="shared" si="2607"/>
        <v>04-08-2020 12:39:14</v>
      </c>
      <c r="B6384" t="str">
        <f>"0000804533"</f>
        <v>0000804533</v>
      </c>
      <c r="C6384" t="str">
        <f t="shared" si="2608"/>
        <v>0000804363</v>
      </c>
      <c r="D6384" t="str">
        <f t="shared" si="2591"/>
        <v>73185</v>
      </c>
      <c r="E6384" t="str">
        <f t="shared" si="2592"/>
        <v>KFH-OPERATIONS DEPARTMENT</v>
      </c>
      <c r="F6384" t="str">
        <f t="shared" si="2593"/>
        <v>IBG</v>
      </c>
      <c r="G6384" t="str">
        <f t="shared" si="2606"/>
        <v>Refund COSHARE 10</v>
      </c>
      <c r="H6384" s="2">
        <v>1041</v>
      </c>
      <c r="I6384" t="str">
        <f>"MOHAMAD FAIRUS FAIZAL BIN WAHAB"</f>
        <v>MOHAMAD FAIRUS FAIZAL BIN WAHAB</v>
      </c>
      <c r="J6384" t="str">
        <f t="shared" si="2590"/>
        <v>CIMB BANK / CIMB ISLAMIC BANK</v>
      </c>
      <c r="K6384" t="str">
        <f>"7606304297"</f>
        <v>7606304297</v>
      </c>
      <c r="L6384" t="str">
        <f t="shared" si="2609"/>
        <v>04-08-2020</v>
      </c>
      <c r="M6384" t="str">
        <f t="shared" si="2609"/>
        <v>04-08-2020</v>
      </c>
      <c r="N6384" t="str">
        <f t="shared" si="2594"/>
        <v>001105018356</v>
      </c>
      <c r="O6384" t="str">
        <f t="shared" si="2595"/>
        <v>MYR</v>
      </c>
      <c r="P6384" t="str">
        <f t="shared" si="2610"/>
        <v>NIL</v>
      </c>
      <c r="Q6384" t="str">
        <f t="shared" si="2610"/>
        <v>NIL</v>
      </c>
      <c r="R6384" t="str">
        <f t="shared" si="2611"/>
        <v>Accepted</v>
      </c>
      <c r="S6384" t="str">
        <f t="shared" si="2596"/>
        <v>Approved</v>
      </c>
      <c r="T6384" t="str">
        <f t="shared" si="2612"/>
        <v>10.20.8.188</v>
      </c>
      <c r="U6384" t="str">
        <f t="shared" si="2597"/>
        <v>AZRAD UMAR BIN SHAARI</v>
      </c>
      <c r="V6384" t="str">
        <f t="shared" si="2598"/>
        <v>FARHANA BINTI MUSTAPA</v>
      </c>
      <c r="W6384" t="str">
        <f t="shared" si="2599"/>
        <v>04-08-2020</v>
      </c>
      <c r="X6384" t="str">
        <f t="shared" si="2600"/>
        <v>RAZIMAH ANSAR AHMAD</v>
      </c>
      <c r="Y6384" t="str">
        <f t="shared" si="2601"/>
        <v>04-08-2020</v>
      </c>
      <c r="Z6384" t="str">
        <f>"COS10200804 2770"</f>
        <v>COS10200804 2770</v>
      </c>
    </row>
    <row r="6385" spans="1:26" x14ac:dyDescent="0.25">
      <c r="A6385" t="str">
        <f t="shared" si="2607"/>
        <v>04-08-2020 12:39:14</v>
      </c>
      <c r="B6385" t="str">
        <f>"0000804532"</f>
        <v>0000804532</v>
      </c>
      <c r="C6385" t="str">
        <f t="shared" si="2608"/>
        <v>0000804363</v>
      </c>
      <c r="D6385" t="str">
        <f t="shared" si="2591"/>
        <v>73185</v>
      </c>
      <c r="E6385" t="str">
        <f t="shared" si="2592"/>
        <v>KFH-OPERATIONS DEPARTMENT</v>
      </c>
      <c r="F6385" t="str">
        <f t="shared" si="2593"/>
        <v>IBG</v>
      </c>
      <c r="G6385" t="str">
        <f t="shared" si="2606"/>
        <v>Refund COSHARE 10</v>
      </c>
      <c r="H6385" s="2">
        <v>554.04999999999995</v>
      </c>
      <c r="I6385" t="str">
        <f>"MOHAMAD FAHMI BIN AHMAD FADZIL"</f>
        <v>MOHAMAD FAHMI BIN AHMAD FADZIL</v>
      </c>
      <c r="J6385" t="str">
        <f t="shared" si="2590"/>
        <v>CIMB BANK / CIMB ISLAMIC BANK</v>
      </c>
      <c r="K6385" t="str">
        <f>"06110002731208"</f>
        <v>06110002731208</v>
      </c>
      <c r="L6385" t="str">
        <f t="shared" si="2609"/>
        <v>04-08-2020</v>
      </c>
      <c r="M6385" t="str">
        <f t="shared" si="2609"/>
        <v>04-08-2020</v>
      </c>
      <c r="N6385" t="str">
        <f t="shared" si="2594"/>
        <v>001105018356</v>
      </c>
      <c r="O6385" t="str">
        <f t="shared" si="2595"/>
        <v>MYR</v>
      </c>
      <c r="P6385" t="str">
        <f t="shared" si="2610"/>
        <v>NIL</v>
      </c>
      <c r="Q6385" t="str">
        <f t="shared" si="2610"/>
        <v>NIL</v>
      </c>
      <c r="R6385" t="str">
        <f t="shared" si="2611"/>
        <v>Accepted</v>
      </c>
      <c r="S6385" t="str">
        <f t="shared" si="2596"/>
        <v>Approved</v>
      </c>
      <c r="T6385" t="str">
        <f t="shared" si="2612"/>
        <v>10.20.8.188</v>
      </c>
      <c r="U6385" t="str">
        <f t="shared" si="2597"/>
        <v>AZRAD UMAR BIN SHAARI</v>
      </c>
      <c r="V6385" t="str">
        <f t="shared" si="2598"/>
        <v>FARHANA BINTI MUSTAPA</v>
      </c>
      <c r="W6385" t="str">
        <f t="shared" si="2599"/>
        <v>04-08-2020</v>
      </c>
      <c r="X6385" t="str">
        <f t="shared" si="2600"/>
        <v>RAZIMAH ANSAR AHMAD</v>
      </c>
      <c r="Y6385" t="str">
        <f t="shared" si="2601"/>
        <v>04-08-2020</v>
      </c>
      <c r="Z6385" t="str">
        <f>"COS10200804 2769"</f>
        <v>COS10200804 2769</v>
      </c>
    </row>
    <row r="6386" spans="1:26" x14ac:dyDescent="0.25">
      <c r="A6386" t="str">
        <f t="shared" ref="A6386:A6417" si="2613">"04-08-2020 12:39:14"</f>
        <v>04-08-2020 12:39:14</v>
      </c>
      <c r="B6386" t="str">
        <f>"0000804531"</f>
        <v>0000804531</v>
      </c>
      <c r="C6386" t="str">
        <f t="shared" ref="C6386:C6417" si="2614">"0000804363"</f>
        <v>0000804363</v>
      </c>
      <c r="D6386" t="str">
        <f t="shared" si="2591"/>
        <v>73185</v>
      </c>
      <c r="E6386" t="str">
        <f t="shared" si="2592"/>
        <v>KFH-OPERATIONS DEPARTMENT</v>
      </c>
      <c r="F6386" t="str">
        <f t="shared" si="2593"/>
        <v>IBG</v>
      </c>
      <c r="G6386" t="str">
        <f t="shared" si="2606"/>
        <v>Refund COSHARE 10</v>
      </c>
      <c r="H6386" s="2">
        <v>100.75</v>
      </c>
      <c r="I6386" t="str">
        <f>"MOHAMAD BIN YAMALANG"</f>
        <v>MOHAMAD BIN YAMALANG</v>
      </c>
      <c r="J6386" t="str">
        <f t="shared" si="2590"/>
        <v>CIMB BANK / CIMB ISLAMIC BANK</v>
      </c>
      <c r="K6386" t="str">
        <f>"10060032511523"</f>
        <v>10060032511523</v>
      </c>
      <c r="L6386" t="str">
        <f t="shared" si="2609"/>
        <v>04-08-2020</v>
      </c>
      <c r="M6386" t="str">
        <f t="shared" si="2609"/>
        <v>04-08-2020</v>
      </c>
      <c r="N6386" t="str">
        <f t="shared" si="2594"/>
        <v>001105018356</v>
      </c>
      <c r="O6386" t="str">
        <f t="shared" si="2595"/>
        <v>MYR</v>
      </c>
      <c r="P6386" t="str">
        <f t="shared" si="2610"/>
        <v>NIL</v>
      </c>
      <c r="Q6386" t="str">
        <f t="shared" si="2610"/>
        <v>NIL</v>
      </c>
      <c r="R6386" t="str">
        <f t="shared" si="2611"/>
        <v>Accepted</v>
      </c>
      <c r="S6386" t="str">
        <f t="shared" si="2596"/>
        <v>Approved</v>
      </c>
      <c r="T6386" t="str">
        <f t="shared" si="2612"/>
        <v>10.20.8.188</v>
      </c>
      <c r="U6386" t="str">
        <f t="shared" si="2597"/>
        <v>AZRAD UMAR BIN SHAARI</v>
      </c>
      <c r="V6386" t="str">
        <f t="shared" si="2598"/>
        <v>FARHANA BINTI MUSTAPA</v>
      </c>
      <c r="W6386" t="str">
        <f t="shared" si="2599"/>
        <v>04-08-2020</v>
      </c>
      <c r="X6386" t="str">
        <f t="shared" si="2600"/>
        <v>RAZIMAH ANSAR AHMAD</v>
      </c>
      <c r="Y6386" t="str">
        <f t="shared" si="2601"/>
        <v>04-08-2020</v>
      </c>
      <c r="Z6386" t="str">
        <f>"COS10200804 2768"</f>
        <v>COS10200804 2768</v>
      </c>
    </row>
    <row r="6387" spans="1:26" x14ac:dyDescent="0.25">
      <c r="A6387" t="str">
        <f t="shared" si="2613"/>
        <v>04-08-2020 12:39:14</v>
      </c>
      <c r="B6387" t="str">
        <f>"0000804530"</f>
        <v>0000804530</v>
      </c>
      <c r="C6387" t="str">
        <f t="shared" si="2614"/>
        <v>0000804363</v>
      </c>
      <c r="D6387" t="str">
        <f t="shared" si="2591"/>
        <v>73185</v>
      </c>
      <c r="E6387" t="str">
        <f t="shared" si="2592"/>
        <v>KFH-OPERATIONS DEPARTMENT</v>
      </c>
      <c r="F6387" t="str">
        <f t="shared" si="2593"/>
        <v>IBG</v>
      </c>
      <c r="G6387" t="str">
        <f t="shared" si="2606"/>
        <v>Refund COSHARE 10</v>
      </c>
      <c r="H6387" s="2">
        <v>691</v>
      </c>
      <c r="I6387" t="str">
        <f>"MOHAMAD AZRIZAL BIN AZIZ"</f>
        <v>MOHAMAD AZRIZAL BIN AZIZ</v>
      </c>
      <c r="J6387" t="str">
        <f t="shared" si="2590"/>
        <v>CIMB BANK / CIMB ISLAMIC BANK</v>
      </c>
      <c r="K6387" t="str">
        <f>"02130002187209"</f>
        <v>02130002187209</v>
      </c>
      <c r="L6387" t="str">
        <f t="shared" ref="L6387:M6406" si="2615">"04-08-2020"</f>
        <v>04-08-2020</v>
      </c>
      <c r="M6387" t="str">
        <f t="shared" si="2615"/>
        <v>04-08-2020</v>
      </c>
      <c r="N6387" t="str">
        <f t="shared" si="2594"/>
        <v>001105018356</v>
      </c>
      <c r="O6387" t="str">
        <f t="shared" si="2595"/>
        <v>MYR</v>
      </c>
      <c r="P6387" t="str">
        <f t="shared" ref="P6387:Q6406" si="2616">"NIL"</f>
        <v>NIL</v>
      </c>
      <c r="Q6387" t="str">
        <f t="shared" si="2616"/>
        <v>NIL</v>
      </c>
      <c r="R6387" t="str">
        <f t="shared" si="2611"/>
        <v>Accepted</v>
      </c>
      <c r="S6387" t="str">
        <f t="shared" si="2596"/>
        <v>Approved</v>
      </c>
      <c r="T6387" t="str">
        <f t="shared" si="2612"/>
        <v>10.20.8.188</v>
      </c>
      <c r="U6387" t="str">
        <f t="shared" si="2597"/>
        <v>AZRAD UMAR BIN SHAARI</v>
      </c>
      <c r="V6387" t="str">
        <f t="shared" si="2598"/>
        <v>FARHANA BINTI MUSTAPA</v>
      </c>
      <c r="W6387" t="str">
        <f t="shared" si="2599"/>
        <v>04-08-2020</v>
      </c>
      <c r="X6387" t="str">
        <f t="shared" si="2600"/>
        <v>RAZIMAH ANSAR AHMAD</v>
      </c>
      <c r="Y6387" t="str">
        <f t="shared" si="2601"/>
        <v>04-08-2020</v>
      </c>
      <c r="Z6387" t="str">
        <f>"COS10200804 2767"</f>
        <v>COS10200804 2767</v>
      </c>
    </row>
    <row r="6388" spans="1:26" x14ac:dyDescent="0.25">
      <c r="A6388" t="str">
        <f t="shared" si="2613"/>
        <v>04-08-2020 12:39:14</v>
      </c>
      <c r="B6388" t="str">
        <f>"0000804529"</f>
        <v>0000804529</v>
      </c>
      <c r="C6388" t="str">
        <f t="shared" si="2614"/>
        <v>0000804363</v>
      </c>
      <c r="D6388" t="str">
        <f t="shared" si="2591"/>
        <v>73185</v>
      </c>
      <c r="E6388" t="str">
        <f t="shared" si="2592"/>
        <v>KFH-OPERATIONS DEPARTMENT</v>
      </c>
      <c r="F6388" t="str">
        <f t="shared" si="2593"/>
        <v>IBG</v>
      </c>
      <c r="G6388" t="str">
        <f t="shared" si="2606"/>
        <v>Refund COSHARE 10</v>
      </c>
      <c r="H6388" s="2">
        <v>419.75</v>
      </c>
      <c r="I6388" t="str">
        <f>"MOHAMAD AZMER BIN ISHAK"</f>
        <v>MOHAMAD AZMER BIN ISHAK</v>
      </c>
      <c r="J6388" t="str">
        <f t="shared" si="2590"/>
        <v>CIMB BANK / CIMB ISLAMIC BANK</v>
      </c>
      <c r="K6388" t="str">
        <f>"7038331064"</f>
        <v>7038331064</v>
      </c>
      <c r="L6388" t="str">
        <f t="shared" si="2615"/>
        <v>04-08-2020</v>
      </c>
      <c r="M6388" t="str">
        <f t="shared" si="2615"/>
        <v>04-08-2020</v>
      </c>
      <c r="N6388" t="str">
        <f t="shared" si="2594"/>
        <v>001105018356</v>
      </c>
      <c r="O6388" t="str">
        <f t="shared" si="2595"/>
        <v>MYR</v>
      </c>
      <c r="P6388" t="str">
        <f t="shared" si="2616"/>
        <v>NIL</v>
      </c>
      <c r="Q6388" t="str">
        <f t="shared" si="2616"/>
        <v>NIL</v>
      </c>
      <c r="R6388" t="str">
        <f t="shared" si="2611"/>
        <v>Accepted</v>
      </c>
      <c r="S6388" t="str">
        <f t="shared" si="2596"/>
        <v>Approved</v>
      </c>
      <c r="T6388" t="str">
        <f t="shared" si="2612"/>
        <v>10.20.8.188</v>
      </c>
      <c r="U6388" t="str">
        <f t="shared" si="2597"/>
        <v>AZRAD UMAR BIN SHAARI</v>
      </c>
      <c r="V6388" t="str">
        <f t="shared" si="2598"/>
        <v>FARHANA BINTI MUSTAPA</v>
      </c>
      <c r="W6388" t="str">
        <f t="shared" si="2599"/>
        <v>04-08-2020</v>
      </c>
      <c r="X6388" t="str">
        <f t="shared" si="2600"/>
        <v>RAZIMAH ANSAR AHMAD</v>
      </c>
      <c r="Y6388" t="str">
        <f t="shared" si="2601"/>
        <v>04-08-2020</v>
      </c>
      <c r="Z6388" t="str">
        <f>"COS10200804 2766"</f>
        <v>COS10200804 2766</v>
      </c>
    </row>
    <row r="6389" spans="1:26" x14ac:dyDescent="0.25">
      <c r="A6389" t="str">
        <f t="shared" si="2613"/>
        <v>04-08-2020 12:39:14</v>
      </c>
      <c r="B6389" t="str">
        <f>"0000804528"</f>
        <v>0000804528</v>
      </c>
      <c r="C6389" t="str">
        <f t="shared" si="2614"/>
        <v>0000804363</v>
      </c>
      <c r="D6389" t="str">
        <f t="shared" si="2591"/>
        <v>73185</v>
      </c>
      <c r="E6389" t="str">
        <f t="shared" si="2592"/>
        <v>KFH-OPERATIONS DEPARTMENT</v>
      </c>
      <c r="F6389" t="str">
        <f t="shared" si="2593"/>
        <v>IBG</v>
      </c>
      <c r="G6389" t="str">
        <f t="shared" si="2606"/>
        <v>Refund COSHARE 10</v>
      </c>
      <c r="H6389" s="2">
        <v>532</v>
      </c>
      <c r="I6389" t="str">
        <f>"MOHAMAD AZLAN BIN ZAKARIA"</f>
        <v>MOHAMAD AZLAN BIN ZAKARIA</v>
      </c>
      <c r="J6389" t="str">
        <f t="shared" si="2590"/>
        <v>CIMB BANK / CIMB ISLAMIC BANK</v>
      </c>
      <c r="K6389" t="str">
        <f>"12051371537523"</f>
        <v>12051371537523</v>
      </c>
      <c r="L6389" t="str">
        <f t="shared" si="2615"/>
        <v>04-08-2020</v>
      </c>
      <c r="M6389" t="str">
        <f t="shared" si="2615"/>
        <v>04-08-2020</v>
      </c>
      <c r="N6389" t="str">
        <f t="shared" si="2594"/>
        <v>001105018356</v>
      </c>
      <c r="O6389" t="str">
        <f t="shared" si="2595"/>
        <v>MYR</v>
      </c>
      <c r="P6389" t="str">
        <f t="shared" si="2616"/>
        <v>NIL</v>
      </c>
      <c r="Q6389" t="str">
        <f t="shared" si="2616"/>
        <v>NIL</v>
      </c>
      <c r="R6389" t="str">
        <f t="shared" si="2611"/>
        <v>Accepted</v>
      </c>
      <c r="S6389" t="str">
        <f t="shared" si="2596"/>
        <v>Approved</v>
      </c>
      <c r="T6389" t="str">
        <f t="shared" si="2612"/>
        <v>10.20.8.188</v>
      </c>
      <c r="U6389" t="str">
        <f t="shared" si="2597"/>
        <v>AZRAD UMAR BIN SHAARI</v>
      </c>
      <c r="V6389" t="str">
        <f t="shared" si="2598"/>
        <v>FARHANA BINTI MUSTAPA</v>
      </c>
      <c r="W6389" t="str">
        <f t="shared" si="2599"/>
        <v>04-08-2020</v>
      </c>
      <c r="X6389" t="str">
        <f t="shared" si="2600"/>
        <v>RAZIMAH ANSAR AHMAD</v>
      </c>
      <c r="Y6389" t="str">
        <f t="shared" si="2601"/>
        <v>04-08-2020</v>
      </c>
      <c r="Z6389" t="str">
        <f>"COS10200804 2765"</f>
        <v>COS10200804 2765</v>
      </c>
    </row>
    <row r="6390" spans="1:26" x14ac:dyDescent="0.25">
      <c r="A6390" t="str">
        <f t="shared" si="2613"/>
        <v>04-08-2020 12:39:14</v>
      </c>
      <c r="B6390" t="str">
        <f>"0000804527"</f>
        <v>0000804527</v>
      </c>
      <c r="C6390" t="str">
        <f t="shared" si="2614"/>
        <v>0000804363</v>
      </c>
      <c r="D6390" t="str">
        <f t="shared" si="2591"/>
        <v>73185</v>
      </c>
      <c r="E6390" t="str">
        <f t="shared" si="2592"/>
        <v>KFH-OPERATIONS DEPARTMENT</v>
      </c>
      <c r="F6390" t="str">
        <f t="shared" si="2593"/>
        <v>IBG</v>
      </c>
      <c r="G6390" t="str">
        <f t="shared" si="2606"/>
        <v>Refund COSHARE 10</v>
      </c>
      <c r="H6390" s="2">
        <v>194</v>
      </c>
      <c r="I6390" t="str">
        <f>"MOHAMAD ALIFF BIN ABD HARIS"</f>
        <v>MOHAMAD ALIFF BIN ABD HARIS</v>
      </c>
      <c r="J6390" t="str">
        <f t="shared" si="2590"/>
        <v>CIMB BANK / CIMB ISLAMIC BANK</v>
      </c>
      <c r="K6390" t="str">
        <f>"7036293017"</f>
        <v>7036293017</v>
      </c>
      <c r="L6390" t="str">
        <f t="shared" si="2615"/>
        <v>04-08-2020</v>
      </c>
      <c r="M6390" t="str">
        <f t="shared" si="2615"/>
        <v>04-08-2020</v>
      </c>
      <c r="N6390" t="str">
        <f t="shared" si="2594"/>
        <v>001105018356</v>
      </c>
      <c r="O6390" t="str">
        <f t="shared" si="2595"/>
        <v>MYR</v>
      </c>
      <c r="P6390" t="str">
        <f t="shared" si="2616"/>
        <v>NIL</v>
      </c>
      <c r="Q6390" t="str">
        <f t="shared" si="2616"/>
        <v>NIL</v>
      </c>
      <c r="R6390" t="str">
        <f t="shared" si="2611"/>
        <v>Accepted</v>
      </c>
      <c r="S6390" t="str">
        <f t="shared" si="2596"/>
        <v>Approved</v>
      </c>
      <c r="T6390" t="str">
        <f t="shared" si="2612"/>
        <v>10.20.8.188</v>
      </c>
      <c r="U6390" t="str">
        <f t="shared" si="2597"/>
        <v>AZRAD UMAR BIN SHAARI</v>
      </c>
      <c r="V6390" t="str">
        <f t="shared" si="2598"/>
        <v>FARHANA BINTI MUSTAPA</v>
      </c>
      <c r="W6390" t="str">
        <f t="shared" si="2599"/>
        <v>04-08-2020</v>
      </c>
      <c r="X6390" t="str">
        <f t="shared" si="2600"/>
        <v>RAZIMAH ANSAR AHMAD</v>
      </c>
      <c r="Y6390" t="str">
        <f t="shared" si="2601"/>
        <v>04-08-2020</v>
      </c>
      <c r="Z6390" t="str">
        <f>"COS10200804 2764"</f>
        <v>COS10200804 2764</v>
      </c>
    </row>
    <row r="6391" spans="1:26" x14ac:dyDescent="0.25">
      <c r="A6391" t="str">
        <f t="shared" si="2613"/>
        <v>04-08-2020 12:39:14</v>
      </c>
      <c r="B6391" t="str">
        <f>"0000804526"</f>
        <v>0000804526</v>
      </c>
      <c r="C6391" t="str">
        <f t="shared" si="2614"/>
        <v>0000804363</v>
      </c>
      <c r="D6391" t="str">
        <f t="shared" si="2591"/>
        <v>73185</v>
      </c>
      <c r="E6391" t="str">
        <f t="shared" si="2592"/>
        <v>KFH-OPERATIONS DEPARTMENT</v>
      </c>
      <c r="F6391" t="str">
        <f t="shared" si="2593"/>
        <v>IBG</v>
      </c>
      <c r="G6391" t="str">
        <f t="shared" si="2606"/>
        <v>Refund COSHARE 10</v>
      </c>
      <c r="H6391" s="2">
        <v>406.85</v>
      </c>
      <c r="I6391" t="str">
        <f>"MLING ANAK SONJEN"</f>
        <v>MLING ANAK SONJEN</v>
      </c>
      <c r="J6391" t="str">
        <f t="shared" si="2590"/>
        <v>CIMB BANK / CIMB ISLAMIC BANK</v>
      </c>
      <c r="K6391" t="str">
        <f>"11050075445527"</f>
        <v>11050075445527</v>
      </c>
      <c r="L6391" t="str">
        <f t="shared" si="2615"/>
        <v>04-08-2020</v>
      </c>
      <c r="M6391" t="str">
        <f t="shared" si="2615"/>
        <v>04-08-2020</v>
      </c>
      <c r="N6391" t="str">
        <f t="shared" si="2594"/>
        <v>001105018356</v>
      </c>
      <c r="O6391" t="str">
        <f t="shared" si="2595"/>
        <v>MYR</v>
      </c>
      <c r="P6391" t="str">
        <f t="shared" si="2616"/>
        <v>NIL</v>
      </c>
      <c r="Q6391" t="str">
        <f t="shared" si="2616"/>
        <v>NIL</v>
      </c>
      <c r="R6391" t="str">
        <f t="shared" si="2611"/>
        <v>Accepted</v>
      </c>
      <c r="S6391" t="str">
        <f t="shared" si="2596"/>
        <v>Approved</v>
      </c>
      <c r="T6391" t="str">
        <f t="shared" si="2612"/>
        <v>10.20.8.188</v>
      </c>
      <c r="U6391" t="str">
        <f t="shared" si="2597"/>
        <v>AZRAD UMAR BIN SHAARI</v>
      </c>
      <c r="V6391" t="str">
        <f t="shared" si="2598"/>
        <v>FARHANA BINTI MUSTAPA</v>
      </c>
      <c r="W6391" t="str">
        <f t="shared" si="2599"/>
        <v>04-08-2020</v>
      </c>
      <c r="X6391" t="str">
        <f t="shared" si="2600"/>
        <v>RAZIMAH ANSAR AHMAD</v>
      </c>
      <c r="Y6391" t="str">
        <f t="shared" si="2601"/>
        <v>04-08-2020</v>
      </c>
      <c r="Z6391" t="str">
        <f>"COS10200804 2763"</f>
        <v>COS10200804 2763</v>
      </c>
    </row>
    <row r="6392" spans="1:26" x14ac:dyDescent="0.25">
      <c r="A6392" t="str">
        <f t="shared" si="2613"/>
        <v>04-08-2020 12:39:14</v>
      </c>
      <c r="B6392" t="str">
        <f>"0000804525"</f>
        <v>0000804525</v>
      </c>
      <c r="C6392" t="str">
        <f t="shared" si="2614"/>
        <v>0000804363</v>
      </c>
      <c r="D6392" t="str">
        <f t="shared" si="2591"/>
        <v>73185</v>
      </c>
      <c r="E6392" t="str">
        <f t="shared" si="2592"/>
        <v>KFH-OPERATIONS DEPARTMENT</v>
      </c>
      <c r="F6392" t="str">
        <f t="shared" si="2593"/>
        <v>IBG</v>
      </c>
      <c r="G6392" t="str">
        <f t="shared" si="2606"/>
        <v>Refund COSHARE 10</v>
      </c>
      <c r="H6392" s="2">
        <v>1375.25</v>
      </c>
      <c r="I6392" t="str">
        <f>"MISYATI BINTI JUMIRAN"</f>
        <v>MISYATI BINTI JUMIRAN</v>
      </c>
      <c r="J6392" t="str">
        <f t="shared" si="2590"/>
        <v>CIMB BANK / CIMB ISLAMIC BANK</v>
      </c>
      <c r="K6392" t="str">
        <f>"05080019046521"</f>
        <v>05080019046521</v>
      </c>
      <c r="L6392" t="str">
        <f t="shared" si="2615"/>
        <v>04-08-2020</v>
      </c>
      <c r="M6392" t="str">
        <f t="shared" si="2615"/>
        <v>04-08-2020</v>
      </c>
      <c r="N6392" t="str">
        <f t="shared" si="2594"/>
        <v>001105018356</v>
      </c>
      <c r="O6392" t="str">
        <f t="shared" si="2595"/>
        <v>MYR</v>
      </c>
      <c r="P6392" t="str">
        <f t="shared" si="2616"/>
        <v>NIL</v>
      </c>
      <c r="Q6392" t="str">
        <f t="shared" si="2616"/>
        <v>NIL</v>
      </c>
      <c r="R6392" t="str">
        <f t="shared" si="2611"/>
        <v>Accepted</v>
      </c>
      <c r="S6392" t="str">
        <f t="shared" si="2596"/>
        <v>Approved</v>
      </c>
      <c r="T6392" t="str">
        <f t="shared" si="2612"/>
        <v>10.20.8.188</v>
      </c>
      <c r="U6392" t="str">
        <f t="shared" si="2597"/>
        <v>AZRAD UMAR BIN SHAARI</v>
      </c>
      <c r="V6392" t="str">
        <f t="shared" si="2598"/>
        <v>FARHANA BINTI MUSTAPA</v>
      </c>
      <c r="W6392" t="str">
        <f t="shared" si="2599"/>
        <v>04-08-2020</v>
      </c>
      <c r="X6392" t="str">
        <f t="shared" si="2600"/>
        <v>RAZIMAH ANSAR AHMAD</v>
      </c>
      <c r="Y6392" t="str">
        <f t="shared" si="2601"/>
        <v>04-08-2020</v>
      </c>
      <c r="Z6392" t="str">
        <f>"COS10200804 2762"</f>
        <v>COS10200804 2762</v>
      </c>
    </row>
    <row r="6393" spans="1:26" x14ac:dyDescent="0.25">
      <c r="A6393" t="str">
        <f t="shared" si="2613"/>
        <v>04-08-2020 12:39:14</v>
      </c>
      <c r="B6393" t="str">
        <f>"0000804524"</f>
        <v>0000804524</v>
      </c>
      <c r="C6393" t="str">
        <f t="shared" si="2614"/>
        <v>0000804363</v>
      </c>
      <c r="D6393" t="str">
        <f t="shared" si="2591"/>
        <v>73185</v>
      </c>
      <c r="E6393" t="str">
        <f t="shared" si="2592"/>
        <v>KFH-OPERATIONS DEPARTMENT</v>
      </c>
      <c r="F6393" t="str">
        <f t="shared" si="2593"/>
        <v>IBG</v>
      </c>
      <c r="G6393" t="str">
        <f t="shared" si="2606"/>
        <v>Refund COSHARE 10</v>
      </c>
      <c r="H6393" s="2">
        <v>503.7</v>
      </c>
      <c r="I6393" t="str">
        <f>"MISNAWATI BINTI LEHAN"</f>
        <v>MISNAWATI BINTI LEHAN</v>
      </c>
      <c r="J6393" t="str">
        <f t="shared" si="2590"/>
        <v>CIMB BANK / CIMB ISLAMIC BANK</v>
      </c>
      <c r="K6393" t="str">
        <f>"06060059048528"</f>
        <v>06060059048528</v>
      </c>
      <c r="L6393" t="str">
        <f t="shared" si="2615"/>
        <v>04-08-2020</v>
      </c>
      <c r="M6393" t="str">
        <f t="shared" si="2615"/>
        <v>04-08-2020</v>
      </c>
      <c r="N6393" t="str">
        <f t="shared" si="2594"/>
        <v>001105018356</v>
      </c>
      <c r="O6393" t="str">
        <f t="shared" si="2595"/>
        <v>MYR</v>
      </c>
      <c r="P6393" t="str">
        <f t="shared" si="2616"/>
        <v>NIL</v>
      </c>
      <c r="Q6393" t="str">
        <f t="shared" si="2616"/>
        <v>NIL</v>
      </c>
      <c r="R6393" t="str">
        <f t="shared" si="2611"/>
        <v>Accepted</v>
      </c>
      <c r="S6393" t="str">
        <f t="shared" si="2596"/>
        <v>Approved</v>
      </c>
      <c r="T6393" t="str">
        <f t="shared" si="2612"/>
        <v>10.20.8.188</v>
      </c>
      <c r="U6393" t="str">
        <f t="shared" si="2597"/>
        <v>AZRAD UMAR BIN SHAARI</v>
      </c>
      <c r="V6393" t="str">
        <f t="shared" si="2598"/>
        <v>FARHANA BINTI MUSTAPA</v>
      </c>
      <c r="W6393" t="str">
        <f t="shared" si="2599"/>
        <v>04-08-2020</v>
      </c>
      <c r="X6393" t="str">
        <f t="shared" si="2600"/>
        <v>RAZIMAH ANSAR AHMAD</v>
      </c>
      <c r="Y6393" t="str">
        <f t="shared" si="2601"/>
        <v>04-08-2020</v>
      </c>
      <c r="Z6393" t="str">
        <f>"COS10200804 2761"</f>
        <v>COS10200804 2761</v>
      </c>
    </row>
    <row r="6394" spans="1:26" x14ac:dyDescent="0.25">
      <c r="A6394" t="str">
        <f t="shared" si="2613"/>
        <v>04-08-2020 12:39:14</v>
      </c>
      <c r="B6394" t="str">
        <f>"0000804523"</f>
        <v>0000804523</v>
      </c>
      <c r="C6394" t="str">
        <f t="shared" si="2614"/>
        <v>0000804363</v>
      </c>
      <c r="D6394" t="str">
        <f t="shared" si="2591"/>
        <v>73185</v>
      </c>
      <c r="E6394" t="str">
        <f t="shared" si="2592"/>
        <v>KFH-OPERATIONS DEPARTMENT</v>
      </c>
      <c r="F6394" t="str">
        <f t="shared" si="2593"/>
        <v>IBG</v>
      </c>
      <c r="G6394" t="str">
        <f t="shared" si="2606"/>
        <v>Refund COSHARE 10</v>
      </c>
      <c r="H6394" s="2">
        <v>296</v>
      </c>
      <c r="I6394" t="str">
        <f>"MIRA AKFINI BINTI MOHD AZLAN"</f>
        <v>MIRA AKFINI BINTI MOHD AZLAN</v>
      </c>
      <c r="J6394" t="str">
        <f t="shared" si="2590"/>
        <v>CIMB BANK / CIMB ISLAMIC BANK</v>
      </c>
      <c r="K6394" t="str">
        <f>"08090001771205"</f>
        <v>08090001771205</v>
      </c>
      <c r="L6394" t="str">
        <f t="shared" si="2615"/>
        <v>04-08-2020</v>
      </c>
      <c r="M6394" t="str">
        <f t="shared" si="2615"/>
        <v>04-08-2020</v>
      </c>
      <c r="N6394" t="str">
        <f t="shared" si="2594"/>
        <v>001105018356</v>
      </c>
      <c r="O6394" t="str">
        <f t="shared" si="2595"/>
        <v>MYR</v>
      </c>
      <c r="P6394" t="str">
        <f t="shared" si="2616"/>
        <v>NIL</v>
      </c>
      <c r="Q6394" t="str">
        <f t="shared" si="2616"/>
        <v>NIL</v>
      </c>
      <c r="R6394" t="str">
        <f t="shared" si="2611"/>
        <v>Accepted</v>
      </c>
      <c r="S6394" t="str">
        <f t="shared" si="2596"/>
        <v>Approved</v>
      </c>
      <c r="T6394" t="str">
        <f t="shared" si="2612"/>
        <v>10.20.8.188</v>
      </c>
      <c r="U6394" t="str">
        <f t="shared" si="2597"/>
        <v>AZRAD UMAR BIN SHAARI</v>
      </c>
      <c r="V6394" t="str">
        <f t="shared" si="2598"/>
        <v>FARHANA BINTI MUSTAPA</v>
      </c>
      <c r="W6394" t="str">
        <f t="shared" si="2599"/>
        <v>04-08-2020</v>
      </c>
      <c r="X6394" t="str">
        <f t="shared" si="2600"/>
        <v>RAZIMAH ANSAR AHMAD</v>
      </c>
      <c r="Y6394" t="str">
        <f t="shared" si="2601"/>
        <v>04-08-2020</v>
      </c>
      <c r="Z6394" t="str">
        <f>"COS10200804 2760"</f>
        <v>COS10200804 2760</v>
      </c>
    </row>
    <row r="6395" spans="1:26" x14ac:dyDescent="0.25">
      <c r="A6395" t="str">
        <f t="shared" si="2613"/>
        <v>04-08-2020 12:39:14</v>
      </c>
      <c r="B6395" t="str">
        <f>"0000804522"</f>
        <v>0000804522</v>
      </c>
      <c r="C6395" t="str">
        <f t="shared" si="2614"/>
        <v>0000804363</v>
      </c>
      <c r="D6395" t="str">
        <f t="shared" si="2591"/>
        <v>73185</v>
      </c>
      <c r="E6395" t="str">
        <f t="shared" si="2592"/>
        <v>KFH-OPERATIONS DEPARTMENT</v>
      </c>
      <c r="F6395" t="str">
        <f t="shared" si="2593"/>
        <v>IBG</v>
      </c>
      <c r="G6395" t="str">
        <f t="shared" si="2606"/>
        <v>Refund COSHARE 10</v>
      </c>
      <c r="H6395" s="2">
        <v>46</v>
      </c>
      <c r="I6395" t="str">
        <f>"MIDADINA BINTI MOHD NOH"</f>
        <v>MIDADINA BINTI MOHD NOH</v>
      </c>
      <c r="J6395" t="str">
        <f t="shared" si="2590"/>
        <v>CIMB BANK / CIMB ISLAMIC BANK</v>
      </c>
      <c r="K6395" t="str">
        <f>"08170077356526"</f>
        <v>08170077356526</v>
      </c>
      <c r="L6395" t="str">
        <f t="shared" si="2615"/>
        <v>04-08-2020</v>
      </c>
      <c r="M6395" t="str">
        <f t="shared" si="2615"/>
        <v>04-08-2020</v>
      </c>
      <c r="N6395" t="str">
        <f t="shared" si="2594"/>
        <v>001105018356</v>
      </c>
      <c r="O6395" t="str">
        <f t="shared" si="2595"/>
        <v>MYR</v>
      </c>
      <c r="P6395" t="str">
        <f t="shared" si="2616"/>
        <v>NIL</v>
      </c>
      <c r="Q6395" t="str">
        <f t="shared" si="2616"/>
        <v>NIL</v>
      </c>
      <c r="R6395" t="str">
        <f t="shared" si="2611"/>
        <v>Accepted</v>
      </c>
      <c r="S6395" t="str">
        <f t="shared" si="2596"/>
        <v>Approved</v>
      </c>
      <c r="T6395" t="str">
        <f t="shared" si="2612"/>
        <v>10.20.8.188</v>
      </c>
      <c r="U6395" t="str">
        <f t="shared" si="2597"/>
        <v>AZRAD UMAR BIN SHAARI</v>
      </c>
      <c r="V6395" t="str">
        <f t="shared" si="2598"/>
        <v>FARHANA BINTI MUSTAPA</v>
      </c>
      <c r="W6395" t="str">
        <f t="shared" si="2599"/>
        <v>04-08-2020</v>
      </c>
      <c r="X6395" t="str">
        <f t="shared" si="2600"/>
        <v>RAZIMAH ANSAR AHMAD</v>
      </c>
      <c r="Y6395" t="str">
        <f t="shared" si="2601"/>
        <v>04-08-2020</v>
      </c>
      <c r="Z6395" t="str">
        <f>"COS10200804 2759"</f>
        <v>COS10200804 2759</v>
      </c>
    </row>
    <row r="6396" spans="1:26" x14ac:dyDescent="0.25">
      <c r="A6396" t="str">
        <f t="shared" si="2613"/>
        <v>04-08-2020 12:39:14</v>
      </c>
      <c r="B6396" t="str">
        <f>"0000804521"</f>
        <v>0000804521</v>
      </c>
      <c r="C6396" t="str">
        <f t="shared" si="2614"/>
        <v>0000804363</v>
      </c>
      <c r="D6396" t="str">
        <f t="shared" si="2591"/>
        <v>73185</v>
      </c>
      <c r="E6396" t="str">
        <f t="shared" si="2592"/>
        <v>KFH-OPERATIONS DEPARTMENT</v>
      </c>
      <c r="F6396" t="str">
        <f t="shared" si="2593"/>
        <v>IBG</v>
      </c>
      <c r="G6396" t="str">
        <f t="shared" si="2606"/>
        <v>Refund COSHARE 10</v>
      </c>
      <c r="H6396" s="2">
        <v>528.9</v>
      </c>
      <c r="I6396" t="str">
        <f>"MICHAEL ANAK JAMES BATANG"</f>
        <v>MICHAEL ANAK JAMES BATANG</v>
      </c>
      <c r="J6396" t="str">
        <f t="shared" ref="J6396:J6459" si="2617">"CIMB BANK / CIMB ISLAMIC BANK"</f>
        <v>CIMB BANK / CIMB ISLAMIC BANK</v>
      </c>
      <c r="K6396" t="str">
        <f>"11100070879521"</f>
        <v>11100070879521</v>
      </c>
      <c r="L6396" t="str">
        <f t="shared" si="2615"/>
        <v>04-08-2020</v>
      </c>
      <c r="M6396" t="str">
        <f t="shared" si="2615"/>
        <v>04-08-2020</v>
      </c>
      <c r="N6396" t="str">
        <f t="shared" si="2594"/>
        <v>001105018356</v>
      </c>
      <c r="O6396" t="str">
        <f t="shared" si="2595"/>
        <v>MYR</v>
      </c>
      <c r="P6396" t="str">
        <f t="shared" si="2616"/>
        <v>NIL</v>
      </c>
      <c r="Q6396" t="str">
        <f t="shared" si="2616"/>
        <v>NIL</v>
      </c>
      <c r="R6396" t="str">
        <f t="shared" si="2611"/>
        <v>Accepted</v>
      </c>
      <c r="S6396" t="str">
        <f t="shared" si="2596"/>
        <v>Approved</v>
      </c>
      <c r="T6396" t="str">
        <f t="shared" si="2612"/>
        <v>10.20.8.188</v>
      </c>
      <c r="U6396" t="str">
        <f t="shared" si="2597"/>
        <v>AZRAD UMAR BIN SHAARI</v>
      </c>
      <c r="V6396" t="str">
        <f t="shared" si="2598"/>
        <v>FARHANA BINTI MUSTAPA</v>
      </c>
      <c r="W6396" t="str">
        <f t="shared" si="2599"/>
        <v>04-08-2020</v>
      </c>
      <c r="X6396" t="str">
        <f t="shared" si="2600"/>
        <v>RAZIMAH ANSAR AHMAD</v>
      </c>
      <c r="Y6396" t="str">
        <f t="shared" si="2601"/>
        <v>04-08-2020</v>
      </c>
      <c r="Z6396" t="str">
        <f>"COS10200804 2758"</f>
        <v>COS10200804 2758</v>
      </c>
    </row>
    <row r="6397" spans="1:26" x14ac:dyDescent="0.25">
      <c r="A6397" t="str">
        <f t="shared" si="2613"/>
        <v>04-08-2020 12:39:14</v>
      </c>
      <c r="B6397" t="str">
        <f>"0000804520"</f>
        <v>0000804520</v>
      </c>
      <c r="C6397" t="str">
        <f t="shared" si="2614"/>
        <v>0000804363</v>
      </c>
      <c r="D6397" t="str">
        <f t="shared" si="2591"/>
        <v>73185</v>
      </c>
      <c r="E6397" t="str">
        <f t="shared" si="2592"/>
        <v>KFH-OPERATIONS DEPARTMENT</v>
      </c>
      <c r="F6397" t="str">
        <f t="shared" si="2593"/>
        <v>IBG</v>
      </c>
      <c r="G6397" t="str">
        <f t="shared" si="2606"/>
        <v>Refund COSHARE 10</v>
      </c>
      <c r="H6397" s="2">
        <v>172.4</v>
      </c>
      <c r="I6397" t="str">
        <f>"MIAZATULAKMA BINTI ADAM"</f>
        <v>MIAZATULAKMA BINTI ADAM</v>
      </c>
      <c r="J6397" t="str">
        <f t="shared" si="2617"/>
        <v>CIMB BANK / CIMB ISLAMIC BANK</v>
      </c>
      <c r="K6397" t="str">
        <f>"06070001977202"</f>
        <v>06070001977202</v>
      </c>
      <c r="L6397" t="str">
        <f t="shared" si="2615"/>
        <v>04-08-2020</v>
      </c>
      <c r="M6397" t="str">
        <f t="shared" si="2615"/>
        <v>04-08-2020</v>
      </c>
      <c r="N6397" t="str">
        <f t="shared" si="2594"/>
        <v>001105018356</v>
      </c>
      <c r="O6397" t="str">
        <f t="shared" si="2595"/>
        <v>MYR</v>
      </c>
      <c r="P6397" t="str">
        <f t="shared" si="2616"/>
        <v>NIL</v>
      </c>
      <c r="Q6397" t="str">
        <f t="shared" si="2616"/>
        <v>NIL</v>
      </c>
      <c r="R6397" t="str">
        <f t="shared" si="2611"/>
        <v>Accepted</v>
      </c>
      <c r="S6397" t="str">
        <f t="shared" si="2596"/>
        <v>Approved</v>
      </c>
      <c r="T6397" t="str">
        <f t="shared" si="2612"/>
        <v>10.20.8.188</v>
      </c>
      <c r="U6397" t="str">
        <f t="shared" si="2597"/>
        <v>AZRAD UMAR BIN SHAARI</v>
      </c>
      <c r="V6397" t="str">
        <f t="shared" si="2598"/>
        <v>FARHANA BINTI MUSTAPA</v>
      </c>
      <c r="W6397" t="str">
        <f t="shared" si="2599"/>
        <v>04-08-2020</v>
      </c>
      <c r="X6397" t="str">
        <f t="shared" si="2600"/>
        <v>RAZIMAH ANSAR AHMAD</v>
      </c>
      <c r="Y6397" t="str">
        <f t="shared" si="2601"/>
        <v>04-08-2020</v>
      </c>
      <c r="Z6397" t="str">
        <f>"COS10200804 2757"</f>
        <v>COS10200804 2757</v>
      </c>
    </row>
    <row r="6398" spans="1:26" x14ac:dyDescent="0.25">
      <c r="A6398" t="str">
        <f t="shared" si="2613"/>
        <v>04-08-2020 12:39:14</v>
      </c>
      <c r="B6398" t="str">
        <f>"0000804519"</f>
        <v>0000804519</v>
      </c>
      <c r="C6398" t="str">
        <f t="shared" si="2614"/>
        <v>0000804363</v>
      </c>
      <c r="D6398" t="str">
        <f t="shared" si="2591"/>
        <v>73185</v>
      </c>
      <c r="E6398" t="str">
        <f t="shared" si="2592"/>
        <v>KFH-OPERATIONS DEPARTMENT</v>
      </c>
      <c r="F6398" t="str">
        <f t="shared" si="2593"/>
        <v>IBG</v>
      </c>
      <c r="G6398" t="str">
        <f t="shared" si="2606"/>
        <v>Refund COSHARE 10</v>
      </c>
      <c r="H6398" s="2">
        <v>316</v>
      </c>
      <c r="I6398" t="str">
        <f>"MERNIE BIN AGO"</f>
        <v>MERNIE BIN AGO</v>
      </c>
      <c r="J6398" t="str">
        <f t="shared" si="2617"/>
        <v>CIMB BANK / CIMB ISLAMIC BANK</v>
      </c>
      <c r="K6398" t="str">
        <f>"11090065673522"</f>
        <v>11090065673522</v>
      </c>
      <c r="L6398" t="str">
        <f t="shared" si="2615"/>
        <v>04-08-2020</v>
      </c>
      <c r="M6398" t="str">
        <f t="shared" si="2615"/>
        <v>04-08-2020</v>
      </c>
      <c r="N6398" t="str">
        <f t="shared" si="2594"/>
        <v>001105018356</v>
      </c>
      <c r="O6398" t="str">
        <f t="shared" si="2595"/>
        <v>MYR</v>
      </c>
      <c r="P6398" t="str">
        <f t="shared" si="2616"/>
        <v>NIL</v>
      </c>
      <c r="Q6398" t="str">
        <f t="shared" si="2616"/>
        <v>NIL</v>
      </c>
      <c r="R6398" t="str">
        <f t="shared" si="2611"/>
        <v>Accepted</v>
      </c>
      <c r="S6398" t="str">
        <f t="shared" si="2596"/>
        <v>Approved</v>
      </c>
      <c r="T6398" t="str">
        <f t="shared" si="2612"/>
        <v>10.20.8.188</v>
      </c>
      <c r="U6398" t="str">
        <f t="shared" si="2597"/>
        <v>AZRAD UMAR BIN SHAARI</v>
      </c>
      <c r="V6398" t="str">
        <f t="shared" si="2598"/>
        <v>FARHANA BINTI MUSTAPA</v>
      </c>
      <c r="W6398" t="str">
        <f t="shared" si="2599"/>
        <v>04-08-2020</v>
      </c>
      <c r="X6398" t="str">
        <f t="shared" si="2600"/>
        <v>RAZIMAH ANSAR AHMAD</v>
      </c>
      <c r="Y6398" t="str">
        <f t="shared" si="2601"/>
        <v>04-08-2020</v>
      </c>
      <c r="Z6398" t="str">
        <f>"COS10200804 2756"</f>
        <v>COS10200804 2756</v>
      </c>
    </row>
    <row r="6399" spans="1:26" x14ac:dyDescent="0.25">
      <c r="A6399" t="str">
        <f t="shared" si="2613"/>
        <v>04-08-2020 12:39:14</v>
      </c>
      <c r="B6399" t="str">
        <f>"0000804518"</f>
        <v>0000804518</v>
      </c>
      <c r="C6399" t="str">
        <f t="shared" si="2614"/>
        <v>0000804363</v>
      </c>
      <c r="D6399" t="str">
        <f t="shared" si="2591"/>
        <v>73185</v>
      </c>
      <c r="E6399" t="str">
        <f t="shared" si="2592"/>
        <v>KFH-OPERATIONS DEPARTMENT</v>
      </c>
      <c r="F6399" t="str">
        <f t="shared" si="2593"/>
        <v>IBG</v>
      </c>
      <c r="G6399" t="str">
        <f t="shared" si="2606"/>
        <v>Refund COSHARE 10</v>
      </c>
      <c r="H6399" s="2">
        <v>79.849999999999994</v>
      </c>
      <c r="I6399" t="str">
        <f>"MEOR MUHAMMAD SALLEHUDDIN"</f>
        <v>MEOR MUHAMMAD SALLEHUDDIN</v>
      </c>
      <c r="J6399" t="str">
        <f t="shared" si="2617"/>
        <v>CIMB BANK / CIMB ISLAMIC BANK</v>
      </c>
      <c r="K6399" t="str">
        <f>"16010006023203"</f>
        <v>16010006023203</v>
      </c>
      <c r="L6399" t="str">
        <f t="shared" si="2615"/>
        <v>04-08-2020</v>
      </c>
      <c r="M6399" t="str">
        <f t="shared" si="2615"/>
        <v>04-08-2020</v>
      </c>
      <c r="N6399" t="str">
        <f t="shared" si="2594"/>
        <v>001105018356</v>
      </c>
      <c r="O6399" t="str">
        <f t="shared" si="2595"/>
        <v>MYR</v>
      </c>
      <c r="P6399" t="str">
        <f t="shared" si="2616"/>
        <v>NIL</v>
      </c>
      <c r="Q6399" t="str">
        <f t="shared" si="2616"/>
        <v>NIL</v>
      </c>
      <c r="R6399" t="str">
        <f t="shared" si="2611"/>
        <v>Accepted</v>
      </c>
      <c r="S6399" t="str">
        <f t="shared" si="2596"/>
        <v>Approved</v>
      </c>
      <c r="T6399" t="str">
        <f t="shared" si="2612"/>
        <v>10.20.8.188</v>
      </c>
      <c r="U6399" t="str">
        <f t="shared" si="2597"/>
        <v>AZRAD UMAR BIN SHAARI</v>
      </c>
      <c r="V6399" t="str">
        <f t="shared" si="2598"/>
        <v>FARHANA BINTI MUSTAPA</v>
      </c>
      <c r="W6399" t="str">
        <f t="shared" si="2599"/>
        <v>04-08-2020</v>
      </c>
      <c r="X6399" t="str">
        <f t="shared" si="2600"/>
        <v>RAZIMAH ANSAR AHMAD</v>
      </c>
      <c r="Y6399" t="str">
        <f t="shared" si="2601"/>
        <v>04-08-2020</v>
      </c>
      <c r="Z6399" t="str">
        <f>"COS10200804 2755"</f>
        <v>COS10200804 2755</v>
      </c>
    </row>
    <row r="6400" spans="1:26" x14ac:dyDescent="0.25">
      <c r="A6400" t="str">
        <f t="shared" si="2613"/>
        <v>04-08-2020 12:39:14</v>
      </c>
      <c r="B6400" t="str">
        <f>"0000804517"</f>
        <v>0000804517</v>
      </c>
      <c r="C6400" t="str">
        <f t="shared" si="2614"/>
        <v>0000804363</v>
      </c>
      <c r="D6400" t="str">
        <f t="shared" si="2591"/>
        <v>73185</v>
      </c>
      <c r="E6400" t="str">
        <f t="shared" si="2592"/>
        <v>KFH-OPERATIONS DEPARTMENT</v>
      </c>
      <c r="F6400" t="str">
        <f t="shared" si="2593"/>
        <v>IBG</v>
      </c>
      <c r="G6400" t="str">
        <f t="shared" si="2606"/>
        <v>Refund COSHARE 10</v>
      </c>
      <c r="H6400" s="2">
        <v>109.15</v>
      </c>
      <c r="I6400" t="str">
        <f>"MELLISSA LEE  SHENNY"</f>
        <v>MELLISSA LEE  SHENNY</v>
      </c>
      <c r="J6400" t="str">
        <f t="shared" si="2617"/>
        <v>CIMB BANK / CIMB ISLAMIC BANK</v>
      </c>
      <c r="K6400" t="str">
        <f>"15010075800524"</f>
        <v>15010075800524</v>
      </c>
      <c r="L6400" t="str">
        <f t="shared" si="2615"/>
        <v>04-08-2020</v>
      </c>
      <c r="M6400" t="str">
        <f t="shared" si="2615"/>
        <v>04-08-2020</v>
      </c>
      <c r="N6400" t="str">
        <f t="shared" si="2594"/>
        <v>001105018356</v>
      </c>
      <c r="O6400" t="str">
        <f t="shared" si="2595"/>
        <v>MYR</v>
      </c>
      <c r="P6400" t="str">
        <f t="shared" si="2616"/>
        <v>NIL</v>
      </c>
      <c r="Q6400" t="str">
        <f t="shared" si="2616"/>
        <v>NIL</v>
      </c>
      <c r="R6400" t="str">
        <f t="shared" si="2611"/>
        <v>Accepted</v>
      </c>
      <c r="S6400" t="str">
        <f t="shared" si="2596"/>
        <v>Approved</v>
      </c>
      <c r="T6400" t="str">
        <f t="shared" si="2612"/>
        <v>10.20.8.188</v>
      </c>
      <c r="U6400" t="str">
        <f t="shared" si="2597"/>
        <v>AZRAD UMAR BIN SHAARI</v>
      </c>
      <c r="V6400" t="str">
        <f t="shared" si="2598"/>
        <v>FARHANA BINTI MUSTAPA</v>
      </c>
      <c r="W6400" t="str">
        <f t="shared" si="2599"/>
        <v>04-08-2020</v>
      </c>
      <c r="X6400" t="str">
        <f t="shared" si="2600"/>
        <v>RAZIMAH ANSAR AHMAD</v>
      </c>
      <c r="Y6400" t="str">
        <f t="shared" si="2601"/>
        <v>04-08-2020</v>
      </c>
      <c r="Z6400" t="str">
        <f>"COS10200804 2754"</f>
        <v>COS10200804 2754</v>
      </c>
    </row>
    <row r="6401" spans="1:26" x14ac:dyDescent="0.25">
      <c r="A6401" t="str">
        <f t="shared" si="2613"/>
        <v>04-08-2020 12:39:14</v>
      </c>
      <c r="B6401" t="str">
        <f>"0000804516"</f>
        <v>0000804516</v>
      </c>
      <c r="C6401" t="str">
        <f t="shared" si="2614"/>
        <v>0000804363</v>
      </c>
      <c r="D6401" t="str">
        <f t="shared" si="2591"/>
        <v>73185</v>
      </c>
      <c r="E6401" t="str">
        <f t="shared" si="2592"/>
        <v>KFH-OPERATIONS DEPARTMENT</v>
      </c>
      <c r="F6401" t="str">
        <f t="shared" si="2593"/>
        <v>IBG</v>
      </c>
      <c r="G6401" t="str">
        <f t="shared" si="2606"/>
        <v>Refund COSHARE 10</v>
      </c>
      <c r="H6401" s="2">
        <v>238.3</v>
      </c>
      <c r="I6401" t="str">
        <f>"MELI BIN MUSTAPA"</f>
        <v>MELI BIN MUSTAPA</v>
      </c>
      <c r="J6401" t="str">
        <f t="shared" si="2617"/>
        <v>CIMB BANK / CIMB ISLAMIC BANK</v>
      </c>
      <c r="K6401" t="str">
        <f>"11140003910521"</f>
        <v>11140003910521</v>
      </c>
      <c r="L6401" t="str">
        <f t="shared" si="2615"/>
        <v>04-08-2020</v>
      </c>
      <c r="M6401" t="str">
        <f t="shared" si="2615"/>
        <v>04-08-2020</v>
      </c>
      <c r="N6401" t="str">
        <f t="shared" si="2594"/>
        <v>001105018356</v>
      </c>
      <c r="O6401" t="str">
        <f t="shared" si="2595"/>
        <v>MYR</v>
      </c>
      <c r="P6401" t="str">
        <f t="shared" si="2616"/>
        <v>NIL</v>
      </c>
      <c r="Q6401" t="str">
        <f t="shared" si="2616"/>
        <v>NIL</v>
      </c>
      <c r="R6401" t="str">
        <f t="shared" si="2611"/>
        <v>Accepted</v>
      </c>
      <c r="S6401" t="str">
        <f t="shared" si="2596"/>
        <v>Approved</v>
      </c>
      <c r="T6401" t="str">
        <f t="shared" si="2612"/>
        <v>10.20.8.188</v>
      </c>
      <c r="U6401" t="str">
        <f t="shared" si="2597"/>
        <v>AZRAD UMAR BIN SHAARI</v>
      </c>
      <c r="V6401" t="str">
        <f t="shared" si="2598"/>
        <v>FARHANA BINTI MUSTAPA</v>
      </c>
      <c r="W6401" t="str">
        <f t="shared" si="2599"/>
        <v>04-08-2020</v>
      </c>
      <c r="X6401" t="str">
        <f t="shared" si="2600"/>
        <v>RAZIMAH ANSAR AHMAD</v>
      </c>
      <c r="Y6401" t="str">
        <f t="shared" si="2601"/>
        <v>04-08-2020</v>
      </c>
      <c r="Z6401" t="str">
        <f>"COS10200804 2753"</f>
        <v>COS10200804 2753</v>
      </c>
    </row>
    <row r="6402" spans="1:26" x14ac:dyDescent="0.25">
      <c r="A6402" t="str">
        <f t="shared" si="2613"/>
        <v>04-08-2020 12:39:14</v>
      </c>
      <c r="B6402" t="str">
        <f>"0000804515"</f>
        <v>0000804515</v>
      </c>
      <c r="C6402" t="str">
        <f t="shared" si="2614"/>
        <v>0000804363</v>
      </c>
      <c r="D6402" t="str">
        <f t="shared" si="2591"/>
        <v>73185</v>
      </c>
      <c r="E6402" t="str">
        <f t="shared" si="2592"/>
        <v>KFH-OPERATIONS DEPARTMENT</v>
      </c>
      <c r="F6402" t="str">
        <f t="shared" si="2593"/>
        <v>IBG</v>
      </c>
      <c r="G6402" t="str">
        <f t="shared" si="2606"/>
        <v>Refund COSHARE 10</v>
      </c>
      <c r="H6402" s="2">
        <v>184.7</v>
      </c>
      <c r="I6402" t="str">
        <f>"MEGAT AMIR RAUS BIN MEGAT ABDULLAH SHIFA"</f>
        <v>MEGAT AMIR RAUS BIN MEGAT ABDULLAH SHIFA</v>
      </c>
      <c r="J6402" t="str">
        <f t="shared" si="2617"/>
        <v>CIMB BANK / CIMB ISLAMIC BANK</v>
      </c>
      <c r="K6402" t="str">
        <f>"7608344047"</f>
        <v>7608344047</v>
      </c>
      <c r="L6402" t="str">
        <f t="shared" si="2615"/>
        <v>04-08-2020</v>
      </c>
      <c r="M6402" t="str">
        <f t="shared" si="2615"/>
        <v>04-08-2020</v>
      </c>
      <c r="N6402" t="str">
        <f t="shared" si="2594"/>
        <v>001105018356</v>
      </c>
      <c r="O6402" t="str">
        <f t="shared" si="2595"/>
        <v>MYR</v>
      </c>
      <c r="P6402" t="str">
        <f t="shared" si="2616"/>
        <v>NIL</v>
      </c>
      <c r="Q6402" t="str">
        <f t="shared" si="2616"/>
        <v>NIL</v>
      </c>
      <c r="R6402" t="str">
        <f t="shared" si="2611"/>
        <v>Accepted</v>
      </c>
      <c r="S6402" t="str">
        <f t="shared" si="2596"/>
        <v>Approved</v>
      </c>
      <c r="T6402" t="str">
        <f t="shared" si="2612"/>
        <v>10.20.8.188</v>
      </c>
      <c r="U6402" t="str">
        <f t="shared" si="2597"/>
        <v>AZRAD UMAR BIN SHAARI</v>
      </c>
      <c r="V6402" t="str">
        <f t="shared" si="2598"/>
        <v>FARHANA BINTI MUSTAPA</v>
      </c>
      <c r="W6402" t="str">
        <f t="shared" si="2599"/>
        <v>04-08-2020</v>
      </c>
      <c r="X6402" t="str">
        <f t="shared" si="2600"/>
        <v>RAZIMAH ANSAR AHMAD</v>
      </c>
      <c r="Y6402" t="str">
        <f t="shared" si="2601"/>
        <v>04-08-2020</v>
      </c>
      <c r="Z6402" t="str">
        <f>"COS10200804 2752"</f>
        <v>COS10200804 2752</v>
      </c>
    </row>
    <row r="6403" spans="1:26" x14ac:dyDescent="0.25">
      <c r="A6403" t="str">
        <f t="shared" si="2613"/>
        <v>04-08-2020 12:39:14</v>
      </c>
      <c r="B6403" t="str">
        <f>"0000804514"</f>
        <v>0000804514</v>
      </c>
      <c r="C6403" t="str">
        <f t="shared" si="2614"/>
        <v>0000804363</v>
      </c>
      <c r="D6403" t="str">
        <f t="shared" si="2591"/>
        <v>73185</v>
      </c>
      <c r="E6403" t="str">
        <f t="shared" si="2592"/>
        <v>KFH-OPERATIONS DEPARTMENT</v>
      </c>
      <c r="F6403" t="str">
        <f t="shared" si="2593"/>
        <v>IBG</v>
      </c>
      <c r="G6403" t="str">
        <f t="shared" si="2606"/>
        <v>Refund COSHARE 10</v>
      </c>
      <c r="H6403" s="2">
        <v>1052.6500000000001</v>
      </c>
      <c r="I6403" t="str">
        <f>"MD SHARI BIN ABDUL RANI"</f>
        <v>MD SHARI BIN ABDUL RANI</v>
      </c>
      <c r="J6403" t="str">
        <f t="shared" si="2617"/>
        <v>CIMB BANK / CIMB ISLAMIC BANK</v>
      </c>
      <c r="K6403" t="str">
        <f>"10070072634527"</f>
        <v>10070072634527</v>
      </c>
      <c r="L6403" t="str">
        <f t="shared" si="2615"/>
        <v>04-08-2020</v>
      </c>
      <c r="M6403" t="str">
        <f t="shared" si="2615"/>
        <v>04-08-2020</v>
      </c>
      <c r="N6403" t="str">
        <f t="shared" si="2594"/>
        <v>001105018356</v>
      </c>
      <c r="O6403" t="str">
        <f t="shared" si="2595"/>
        <v>MYR</v>
      </c>
      <c r="P6403" t="str">
        <f t="shared" si="2616"/>
        <v>NIL</v>
      </c>
      <c r="Q6403" t="str">
        <f t="shared" si="2616"/>
        <v>NIL</v>
      </c>
      <c r="R6403" t="str">
        <f t="shared" si="2611"/>
        <v>Accepted</v>
      </c>
      <c r="S6403" t="str">
        <f t="shared" si="2596"/>
        <v>Approved</v>
      </c>
      <c r="T6403" t="str">
        <f t="shared" si="2612"/>
        <v>10.20.8.188</v>
      </c>
      <c r="U6403" t="str">
        <f t="shared" si="2597"/>
        <v>AZRAD UMAR BIN SHAARI</v>
      </c>
      <c r="V6403" t="str">
        <f t="shared" si="2598"/>
        <v>FARHANA BINTI MUSTAPA</v>
      </c>
      <c r="W6403" t="str">
        <f t="shared" si="2599"/>
        <v>04-08-2020</v>
      </c>
      <c r="X6403" t="str">
        <f t="shared" si="2600"/>
        <v>RAZIMAH ANSAR AHMAD</v>
      </c>
      <c r="Y6403" t="str">
        <f t="shared" si="2601"/>
        <v>04-08-2020</v>
      </c>
      <c r="Z6403" t="str">
        <f>"COS10200804 2751"</f>
        <v>COS10200804 2751</v>
      </c>
    </row>
    <row r="6404" spans="1:26" x14ac:dyDescent="0.25">
      <c r="A6404" t="str">
        <f t="shared" si="2613"/>
        <v>04-08-2020 12:39:14</v>
      </c>
      <c r="B6404" t="str">
        <f>"0000804513"</f>
        <v>0000804513</v>
      </c>
      <c r="C6404" t="str">
        <f t="shared" si="2614"/>
        <v>0000804363</v>
      </c>
      <c r="D6404" t="str">
        <f t="shared" si="2591"/>
        <v>73185</v>
      </c>
      <c r="E6404" t="str">
        <f t="shared" si="2592"/>
        <v>KFH-OPERATIONS DEPARTMENT</v>
      </c>
      <c r="F6404" t="str">
        <f t="shared" si="2593"/>
        <v>IBG</v>
      </c>
      <c r="G6404" t="str">
        <f t="shared" si="2606"/>
        <v>Refund COSHARE 10</v>
      </c>
      <c r="H6404" s="2">
        <v>209.9</v>
      </c>
      <c r="I6404" t="str">
        <f>"MD SALLEHUDDIN BIN CIK AZIZ"</f>
        <v>MD SALLEHUDDIN BIN CIK AZIZ</v>
      </c>
      <c r="J6404" t="str">
        <f t="shared" si="2617"/>
        <v>CIMB BANK / CIMB ISLAMIC BANK</v>
      </c>
      <c r="K6404" t="str">
        <f>"14200062068523"</f>
        <v>14200062068523</v>
      </c>
      <c r="L6404" t="str">
        <f t="shared" si="2615"/>
        <v>04-08-2020</v>
      </c>
      <c r="M6404" t="str">
        <f t="shared" si="2615"/>
        <v>04-08-2020</v>
      </c>
      <c r="N6404" t="str">
        <f t="shared" si="2594"/>
        <v>001105018356</v>
      </c>
      <c r="O6404" t="str">
        <f t="shared" si="2595"/>
        <v>MYR</v>
      </c>
      <c r="P6404" t="str">
        <f t="shared" si="2616"/>
        <v>NIL</v>
      </c>
      <c r="Q6404" t="str">
        <f t="shared" si="2616"/>
        <v>NIL</v>
      </c>
      <c r="R6404" t="str">
        <f t="shared" si="2611"/>
        <v>Accepted</v>
      </c>
      <c r="S6404" t="str">
        <f t="shared" si="2596"/>
        <v>Approved</v>
      </c>
      <c r="T6404" t="str">
        <f t="shared" si="2612"/>
        <v>10.20.8.188</v>
      </c>
      <c r="U6404" t="str">
        <f t="shared" si="2597"/>
        <v>AZRAD UMAR BIN SHAARI</v>
      </c>
      <c r="V6404" t="str">
        <f t="shared" si="2598"/>
        <v>FARHANA BINTI MUSTAPA</v>
      </c>
      <c r="W6404" t="str">
        <f t="shared" si="2599"/>
        <v>04-08-2020</v>
      </c>
      <c r="X6404" t="str">
        <f t="shared" si="2600"/>
        <v>RAZIMAH ANSAR AHMAD</v>
      </c>
      <c r="Y6404" t="str">
        <f t="shared" si="2601"/>
        <v>04-08-2020</v>
      </c>
      <c r="Z6404" t="str">
        <f>"COS10200804 2750"</f>
        <v>COS10200804 2750</v>
      </c>
    </row>
    <row r="6405" spans="1:26" x14ac:dyDescent="0.25">
      <c r="A6405" t="str">
        <f t="shared" si="2613"/>
        <v>04-08-2020 12:39:14</v>
      </c>
      <c r="B6405" t="str">
        <f>"0000804512"</f>
        <v>0000804512</v>
      </c>
      <c r="C6405" t="str">
        <f t="shared" si="2614"/>
        <v>0000804363</v>
      </c>
      <c r="D6405" t="str">
        <f t="shared" si="2591"/>
        <v>73185</v>
      </c>
      <c r="E6405" t="str">
        <f t="shared" si="2592"/>
        <v>KFH-OPERATIONS DEPARTMENT</v>
      </c>
      <c r="F6405" t="str">
        <f t="shared" si="2593"/>
        <v>IBG</v>
      </c>
      <c r="G6405" t="str">
        <f t="shared" si="2606"/>
        <v>Refund COSHARE 10</v>
      </c>
      <c r="H6405" s="2">
        <v>270.25</v>
      </c>
      <c r="I6405" t="str">
        <f>"MD SALLEH BIN ALI"</f>
        <v>MD SALLEH BIN ALI</v>
      </c>
      <c r="J6405" t="str">
        <f t="shared" si="2617"/>
        <v>CIMB BANK / CIMB ISLAMIC BANK</v>
      </c>
      <c r="K6405" t="str">
        <f>"12190044418527"</f>
        <v>12190044418527</v>
      </c>
      <c r="L6405" t="str">
        <f t="shared" si="2615"/>
        <v>04-08-2020</v>
      </c>
      <c r="M6405" t="str">
        <f t="shared" si="2615"/>
        <v>04-08-2020</v>
      </c>
      <c r="N6405" t="str">
        <f t="shared" si="2594"/>
        <v>001105018356</v>
      </c>
      <c r="O6405" t="str">
        <f t="shared" si="2595"/>
        <v>MYR</v>
      </c>
      <c r="P6405" t="str">
        <f t="shared" si="2616"/>
        <v>NIL</v>
      </c>
      <c r="Q6405" t="str">
        <f t="shared" si="2616"/>
        <v>NIL</v>
      </c>
      <c r="R6405" t="str">
        <f t="shared" si="2611"/>
        <v>Accepted</v>
      </c>
      <c r="S6405" t="str">
        <f t="shared" si="2596"/>
        <v>Approved</v>
      </c>
      <c r="T6405" t="str">
        <f t="shared" si="2612"/>
        <v>10.20.8.188</v>
      </c>
      <c r="U6405" t="str">
        <f t="shared" si="2597"/>
        <v>AZRAD UMAR BIN SHAARI</v>
      </c>
      <c r="V6405" t="str">
        <f t="shared" si="2598"/>
        <v>FARHANA BINTI MUSTAPA</v>
      </c>
      <c r="W6405" t="str">
        <f t="shared" si="2599"/>
        <v>04-08-2020</v>
      </c>
      <c r="X6405" t="str">
        <f t="shared" si="2600"/>
        <v>RAZIMAH ANSAR AHMAD</v>
      </c>
      <c r="Y6405" t="str">
        <f t="shared" si="2601"/>
        <v>04-08-2020</v>
      </c>
      <c r="Z6405" t="str">
        <f>"COS10200804 2749"</f>
        <v>COS10200804 2749</v>
      </c>
    </row>
    <row r="6406" spans="1:26" x14ac:dyDescent="0.25">
      <c r="A6406" t="str">
        <f t="shared" si="2613"/>
        <v>04-08-2020 12:39:14</v>
      </c>
      <c r="B6406" t="str">
        <f>"0000804511"</f>
        <v>0000804511</v>
      </c>
      <c r="C6406" t="str">
        <f t="shared" si="2614"/>
        <v>0000804363</v>
      </c>
      <c r="D6406" t="str">
        <f t="shared" si="2591"/>
        <v>73185</v>
      </c>
      <c r="E6406" t="str">
        <f t="shared" si="2592"/>
        <v>KFH-OPERATIONS DEPARTMENT</v>
      </c>
      <c r="F6406" t="str">
        <f t="shared" si="2593"/>
        <v>IBG</v>
      </c>
      <c r="G6406" t="str">
        <f t="shared" si="2606"/>
        <v>Refund COSHARE 10</v>
      </c>
      <c r="H6406" s="2">
        <v>558.95000000000005</v>
      </c>
      <c r="I6406" t="str">
        <f>"MD ESA BIN MOHAMED NONG"</f>
        <v>MD ESA BIN MOHAMED NONG</v>
      </c>
      <c r="J6406" t="str">
        <f t="shared" si="2617"/>
        <v>CIMB BANK / CIMB ISLAMIC BANK</v>
      </c>
      <c r="K6406" t="str">
        <f>"7608320667"</f>
        <v>7608320667</v>
      </c>
      <c r="L6406" t="str">
        <f t="shared" si="2615"/>
        <v>04-08-2020</v>
      </c>
      <c r="M6406" t="str">
        <f t="shared" si="2615"/>
        <v>04-08-2020</v>
      </c>
      <c r="N6406" t="str">
        <f t="shared" si="2594"/>
        <v>001105018356</v>
      </c>
      <c r="O6406" t="str">
        <f t="shared" si="2595"/>
        <v>MYR</v>
      </c>
      <c r="P6406" t="str">
        <f t="shared" si="2616"/>
        <v>NIL</v>
      </c>
      <c r="Q6406" t="str">
        <f t="shared" si="2616"/>
        <v>NIL</v>
      </c>
      <c r="R6406" t="str">
        <f t="shared" si="2611"/>
        <v>Accepted</v>
      </c>
      <c r="S6406" t="str">
        <f t="shared" si="2596"/>
        <v>Approved</v>
      </c>
      <c r="T6406" t="str">
        <f t="shared" si="2612"/>
        <v>10.20.8.188</v>
      </c>
      <c r="U6406" t="str">
        <f t="shared" si="2597"/>
        <v>AZRAD UMAR BIN SHAARI</v>
      </c>
      <c r="V6406" t="str">
        <f t="shared" si="2598"/>
        <v>FARHANA BINTI MUSTAPA</v>
      </c>
      <c r="W6406" t="str">
        <f t="shared" si="2599"/>
        <v>04-08-2020</v>
      </c>
      <c r="X6406" t="str">
        <f t="shared" si="2600"/>
        <v>RAZIMAH ANSAR AHMAD</v>
      </c>
      <c r="Y6406" t="str">
        <f t="shared" si="2601"/>
        <v>04-08-2020</v>
      </c>
      <c r="Z6406" t="str">
        <f>"COS10200804 2748"</f>
        <v>COS10200804 2748</v>
      </c>
    </row>
    <row r="6407" spans="1:26" x14ac:dyDescent="0.25">
      <c r="A6407" t="str">
        <f t="shared" si="2613"/>
        <v>04-08-2020 12:39:14</v>
      </c>
      <c r="B6407" t="str">
        <f>"0000804510"</f>
        <v>0000804510</v>
      </c>
      <c r="C6407" t="str">
        <f t="shared" si="2614"/>
        <v>0000804363</v>
      </c>
      <c r="D6407" t="str">
        <f t="shared" ref="D6407:D6470" si="2618">"73185"</f>
        <v>73185</v>
      </c>
      <c r="E6407" t="str">
        <f t="shared" ref="E6407:E6470" si="2619">"KFH-OPERATIONS DEPARTMENT"</f>
        <v>KFH-OPERATIONS DEPARTMENT</v>
      </c>
      <c r="F6407" t="str">
        <f t="shared" ref="F6407:F6470" si="2620">"IBG"</f>
        <v>IBG</v>
      </c>
      <c r="G6407" t="str">
        <f t="shared" si="2606"/>
        <v>Refund COSHARE 10</v>
      </c>
      <c r="H6407" s="2">
        <v>83.95</v>
      </c>
      <c r="I6407" t="str">
        <f>"MAZURA BINTI MOHAMAD"</f>
        <v>MAZURA BINTI MOHAMAD</v>
      </c>
      <c r="J6407" t="str">
        <f t="shared" si="2617"/>
        <v>CIMB BANK / CIMB ISLAMIC BANK</v>
      </c>
      <c r="K6407" t="str">
        <f>"01120072691528"</f>
        <v>01120072691528</v>
      </c>
      <c r="L6407" t="str">
        <f t="shared" ref="L6407:M6426" si="2621">"04-08-2020"</f>
        <v>04-08-2020</v>
      </c>
      <c r="M6407" t="str">
        <f t="shared" si="2621"/>
        <v>04-08-2020</v>
      </c>
      <c r="N6407" t="str">
        <f t="shared" ref="N6407:N6470" si="2622">"001105018356"</f>
        <v>001105018356</v>
      </c>
      <c r="O6407" t="str">
        <f t="shared" ref="O6407:O6470" si="2623">"MYR"</f>
        <v>MYR</v>
      </c>
      <c r="P6407" t="str">
        <f t="shared" ref="P6407:Q6426" si="2624">"NIL"</f>
        <v>NIL</v>
      </c>
      <c r="Q6407" t="str">
        <f t="shared" si="2624"/>
        <v>NIL</v>
      </c>
      <c r="R6407" t="str">
        <f t="shared" si="2611"/>
        <v>Accepted</v>
      </c>
      <c r="S6407" t="str">
        <f t="shared" ref="S6407:S6470" si="2625">"Approved"</f>
        <v>Approved</v>
      </c>
      <c r="T6407" t="str">
        <f t="shared" si="2612"/>
        <v>10.20.8.188</v>
      </c>
      <c r="U6407" t="str">
        <f t="shared" ref="U6407:U6470" si="2626">"AZRAD UMAR BIN SHAARI"</f>
        <v>AZRAD UMAR BIN SHAARI</v>
      </c>
      <c r="V6407" t="str">
        <f t="shared" ref="V6407:V6470" si="2627">"FARHANA BINTI MUSTAPA"</f>
        <v>FARHANA BINTI MUSTAPA</v>
      </c>
      <c r="W6407" t="str">
        <f t="shared" ref="W6407:W6470" si="2628">"04-08-2020"</f>
        <v>04-08-2020</v>
      </c>
      <c r="X6407" t="str">
        <f t="shared" ref="X6407:X6470" si="2629">"RAZIMAH ANSAR AHMAD"</f>
        <v>RAZIMAH ANSAR AHMAD</v>
      </c>
      <c r="Y6407" t="str">
        <f t="shared" ref="Y6407:Y6470" si="2630">"04-08-2020"</f>
        <v>04-08-2020</v>
      </c>
      <c r="Z6407" t="str">
        <f>"COS10200804 2747"</f>
        <v>COS10200804 2747</v>
      </c>
    </row>
    <row r="6408" spans="1:26" x14ac:dyDescent="0.25">
      <c r="A6408" t="str">
        <f t="shared" si="2613"/>
        <v>04-08-2020 12:39:14</v>
      </c>
      <c r="B6408" t="str">
        <f>"0000804509"</f>
        <v>0000804509</v>
      </c>
      <c r="C6408" t="str">
        <f t="shared" si="2614"/>
        <v>0000804363</v>
      </c>
      <c r="D6408" t="str">
        <f t="shared" si="2618"/>
        <v>73185</v>
      </c>
      <c r="E6408" t="str">
        <f t="shared" si="2619"/>
        <v>KFH-OPERATIONS DEPARTMENT</v>
      </c>
      <c r="F6408" t="str">
        <f t="shared" si="2620"/>
        <v>IBG</v>
      </c>
      <c r="G6408" t="str">
        <f t="shared" si="2606"/>
        <v>Refund COSHARE 10</v>
      </c>
      <c r="H6408" s="2">
        <v>151.15</v>
      </c>
      <c r="I6408" t="str">
        <f>"MAZUIN BINTI ADNAN"</f>
        <v>MAZUIN BINTI ADNAN</v>
      </c>
      <c r="J6408" t="str">
        <f t="shared" si="2617"/>
        <v>CIMB BANK / CIMB ISLAMIC BANK</v>
      </c>
      <c r="K6408" t="str">
        <f>"06021476361523"</f>
        <v>06021476361523</v>
      </c>
      <c r="L6408" t="str">
        <f t="shared" si="2621"/>
        <v>04-08-2020</v>
      </c>
      <c r="M6408" t="str">
        <f t="shared" si="2621"/>
        <v>04-08-2020</v>
      </c>
      <c r="N6408" t="str">
        <f t="shared" si="2622"/>
        <v>001105018356</v>
      </c>
      <c r="O6408" t="str">
        <f t="shared" si="2623"/>
        <v>MYR</v>
      </c>
      <c r="P6408" t="str">
        <f t="shared" si="2624"/>
        <v>NIL</v>
      </c>
      <c r="Q6408" t="str">
        <f t="shared" si="2624"/>
        <v>NIL</v>
      </c>
      <c r="R6408" t="str">
        <f t="shared" si="2611"/>
        <v>Accepted</v>
      </c>
      <c r="S6408" t="str">
        <f t="shared" si="2625"/>
        <v>Approved</v>
      </c>
      <c r="T6408" t="str">
        <f t="shared" si="2612"/>
        <v>10.20.8.188</v>
      </c>
      <c r="U6408" t="str">
        <f t="shared" si="2626"/>
        <v>AZRAD UMAR BIN SHAARI</v>
      </c>
      <c r="V6408" t="str">
        <f t="shared" si="2627"/>
        <v>FARHANA BINTI MUSTAPA</v>
      </c>
      <c r="W6408" t="str">
        <f t="shared" si="2628"/>
        <v>04-08-2020</v>
      </c>
      <c r="X6408" t="str">
        <f t="shared" si="2629"/>
        <v>RAZIMAH ANSAR AHMAD</v>
      </c>
      <c r="Y6408" t="str">
        <f t="shared" si="2630"/>
        <v>04-08-2020</v>
      </c>
      <c r="Z6408" t="str">
        <f>"COS10200804 2746"</f>
        <v>COS10200804 2746</v>
      </c>
    </row>
    <row r="6409" spans="1:26" x14ac:dyDescent="0.25">
      <c r="A6409" t="str">
        <f t="shared" si="2613"/>
        <v>04-08-2020 12:39:14</v>
      </c>
      <c r="B6409" t="str">
        <f>"0000804508"</f>
        <v>0000804508</v>
      </c>
      <c r="C6409" t="str">
        <f t="shared" si="2614"/>
        <v>0000804363</v>
      </c>
      <c r="D6409" t="str">
        <f t="shared" si="2618"/>
        <v>73185</v>
      </c>
      <c r="E6409" t="str">
        <f t="shared" si="2619"/>
        <v>KFH-OPERATIONS DEPARTMENT</v>
      </c>
      <c r="F6409" t="str">
        <f t="shared" si="2620"/>
        <v>IBG</v>
      </c>
      <c r="G6409" t="str">
        <f t="shared" si="2606"/>
        <v>Refund COSHARE 10</v>
      </c>
      <c r="H6409" s="2">
        <v>881.45</v>
      </c>
      <c r="I6409" t="str">
        <f>"MAZRUL HISHAM BIN MUSTAPA KAMAL"</f>
        <v>MAZRUL HISHAM BIN MUSTAPA KAMAL</v>
      </c>
      <c r="J6409" t="str">
        <f t="shared" si="2617"/>
        <v>CIMB BANK / CIMB ISLAMIC BANK</v>
      </c>
      <c r="K6409" t="str">
        <f>"7009572823"</f>
        <v>7009572823</v>
      </c>
      <c r="L6409" t="str">
        <f t="shared" si="2621"/>
        <v>04-08-2020</v>
      </c>
      <c r="M6409" t="str">
        <f t="shared" si="2621"/>
        <v>04-08-2020</v>
      </c>
      <c r="N6409" t="str">
        <f t="shared" si="2622"/>
        <v>001105018356</v>
      </c>
      <c r="O6409" t="str">
        <f t="shared" si="2623"/>
        <v>MYR</v>
      </c>
      <c r="P6409" t="str">
        <f t="shared" si="2624"/>
        <v>NIL</v>
      </c>
      <c r="Q6409" t="str">
        <f t="shared" si="2624"/>
        <v>NIL</v>
      </c>
      <c r="R6409" t="str">
        <f t="shared" si="2611"/>
        <v>Accepted</v>
      </c>
      <c r="S6409" t="str">
        <f t="shared" si="2625"/>
        <v>Approved</v>
      </c>
      <c r="T6409" t="str">
        <f t="shared" si="2612"/>
        <v>10.20.8.188</v>
      </c>
      <c r="U6409" t="str">
        <f t="shared" si="2626"/>
        <v>AZRAD UMAR BIN SHAARI</v>
      </c>
      <c r="V6409" t="str">
        <f t="shared" si="2627"/>
        <v>FARHANA BINTI MUSTAPA</v>
      </c>
      <c r="W6409" t="str">
        <f t="shared" si="2628"/>
        <v>04-08-2020</v>
      </c>
      <c r="X6409" t="str">
        <f t="shared" si="2629"/>
        <v>RAZIMAH ANSAR AHMAD</v>
      </c>
      <c r="Y6409" t="str">
        <f t="shared" si="2630"/>
        <v>04-08-2020</v>
      </c>
      <c r="Z6409" t="str">
        <f>"COS10200804 2745"</f>
        <v>COS10200804 2745</v>
      </c>
    </row>
    <row r="6410" spans="1:26" x14ac:dyDescent="0.25">
      <c r="A6410" t="str">
        <f t="shared" si="2613"/>
        <v>04-08-2020 12:39:14</v>
      </c>
      <c r="B6410" t="str">
        <f>"0000804507"</f>
        <v>0000804507</v>
      </c>
      <c r="C6410" t="str">
        <f t="shared" si="2614"/>
        <v>0000804363</v>
      </c>
      <c r="D6410" t="str">
        <f t="shared" si="2618"/>
        <v>73185</v>
      </c>
      <c r="E6410" t="str">
        <f t="shared" si="2619"/>
        <v>KFH-OPERATIONS DEPARTMENT</v>
      </c>
      <c r="F6410" t="str">
        <f t="shared" si="2620"/>
        <v>IBG</v>
      </c>
      <c r="G6410" t="str">
        <f t="shared" si="2606"/>
        <v>Refund COSHARE 10</v>
      </c>
      <c r="H6410" s="2">
        <v>409.3</v>
      </c>
      <c r="I6410" t="str">
        <f>"MAZRUL ADHA BIN ZAINAL ABIDIN"</f>
        <v>MAZRUL ADHA BIN ZAINAL ABIDIN</v>
      </c>
      <c r="J6410" t="str">
        <f t="shared" si="2617"/>
        <v>CIMB BANK / CIMB ISLAMIC BANK</v>
      </c>
      <c r="K6410" t="str">
        <f>"05150019707528"</f>
        <v>05150019707528</v>
      </c>
      <c r="L6410" t="str">
        <f t="shared" si="2621"/>
        <v>04-08-2020</v>
      </c>
      <c r="M6410" t="str">
        <f t="shared" si="2621"/>
        <v>04-08-2020</v>
      </c>
      <c r="N6410" t="str">
        <f t="shared" si="2622"/>
        <v>001105018356</v>
      </c>
      <c r="O6410" t="str">
        <f t="shared" si="2623"/>
        <v>MYR</v>
      </c>
      <c r="P6410" t="str">
        <f t="shared" si="2624"/>
        <v>NIL</v>
      </c>
      <c r="Q6410" t="str">
        <f t="shared" si="2624"/>
        <v>NIL</v>
      </c>
      <c r="R6410" t="str">
        <f t="shared" si="2611"/>
        <v>Accepted</v>
      </c>
      <c r="S6410" t="str">
        <f t="shared" si="2625"/>
        <v>Approved</v>
      </c>
      <c r="T6410" t="str">
        <f t="shared" si="2612"/>
        <v>10.20.8.188</v>
      </c>
      <c r="U6410" t="str">
        <f t="shared" si="2626"/>
        <v>AZRAD UMAR BIN SHAARI</v>
      </c>
      <c r="V6410" t="str">
        <f t="shared" si="2627"/>
        <v>FARHANA BINTI MUSTAPA</v>
      </c>
      <c r="W6410" t="str">
        <f t="shared" si="2628"/>
        <v>04-08-2020</v>
      </c>
      <c r="X6410" t="str">
        <f t="shared" si="2629"/>
        <v>RAZIMAH ANSAR AHMAD</v>
      </c>
      <c r="Y6410" t="str">
        <f t="shared" si="2630"/>
        <v>04-08-2020</v>
      </c>
      <c r="Z6410" t="str">
        <f>"COS10200804 2744"</f>
        <v>COS10200804 2744</v>
      </c>
    </row>
    <row r="6411" spans="1:26" x14ac:dyDescent="0.25">
      <c r="A6411" t="str">
        <f t="shared" si="2613"/>
        <v>04-08-2020 12:39:14</v>
      </c>
      <c r="B6411" t="str">
        <f>"0000804506"</f>
        <v>0000804506</v>
      </c>
      <c r="C6411" t="str">
        <f t="shared" si="2614"/>
        <v>0000804363</v>
      </c>
      <c r="D6411" t="str">
        <f t="shared" si="2618"/>
        <v>73185</v>
      </c>
      <c r="E6411" t="str">
        <f t="shared" si="2619"/>
        <v>KFH-OPERATIONS DEPARTMENT</v>
      </c>
      <c r="F6411" t="str">
        <f t="shared" si="2620"/>
        <v>IBG</v>
      </c>
      <c r="G6411" t="str">
        <f t="shared" si="2606"/>
        <v>Refund COSHARE 10</v>
      </c>
      <c r="H6411" s="2">
        <v>873.1</v>
      </c>
      <c r="I6411" t="str">
        <f>"MAZNUM BINTI MOHD SABALI"</f>
        <v>MAZNUM BINTI MOHD SABALI</v>
      </c>
      <c r="J6411" t="str">
        <f t="shared" si="2617"/>
        <v>CIMB BANK / CIMB ISLAMIC BANK</v>
      </c>
      <c r="K6411" t="str">
        <f>"7040168121"</f>
        <v>7040168121</v>
      </c>
      <c r="L6411" t="str">
        <f t="shared" si="2621"/>
        <v>04-08-2020</v>
      </c>
      <c r="M6411" t="str">
        <f t="shared" si="2621"/>
        <v>04-08-2020</v>
      </c>
      <c r="N6411" t="str">
        <f t="shared" si="2622"/>
        <v>001105018356</v>
      </c>
      <c r="O6411" t="str">
        <f t="shared" si="2623"/>
        <v>MYR</v>
      </c>
      <c r="P6411" t="str">
        <f t="shared" si="2624"/>
        <v>NIL</v>
      </c>
      <c r="Q6411" t="str">
        <f t="shared" si="2624"/>
        <v>NIL</v>
      </c>
      <c r="R6411" t="str">
        <f t="shared" si="2611"/>
        <v>Accepted</v>
      </c>
      <c r="S6411" t="str">
        <f t="shared" si="2625"/>
        <v>Approved</v>
      </c>
      <c r="T6411" t="str">
        <f t="shared" si="2612"/>
        <v>10.20.8.188</v>
      </c>
      <c r="U6411" t="str">
        <f t="shared" si="2626"/>
        <v>AZRAD UMAR BIN SHAARI</v>
      </c>
      <c r="V6411" t="str">
        <f t="shared" si="2627"/>
        <v>FARHANA BINTI MUSTAPA</v>
      </c>
      <c r="W6411" t="str">
        <f t="shared" si="2628"/>
        <v>04-08-2020</v>
      </c>
      <c r="X6411" t="str">
        <f t="shared" si="2629"/>
        <v>RAZIMAH ANSAR AHMAD</v>
      </c>
      <c r="Y6411" t="str">
        <f t="shared" si="2630"/>
        <v>04-08-2020</v>
      </c>
      <c r="Z6411" t="str">
        <f>"COS10200804 2743"</f>
        <v>COS10200804 2743</v>
      </c>
    </row>
    <row r="6412" spans="1:26" x14ac:dyDescent="0.25">
      <c r="A6412" t="str">
        <f t="shared" si="2613"/>
        <v>04-08-2020 12:39:14</v>
      </c>
      <c r="B6412" t="str">
        <f>"0000804505"</f>
        <v>0000804505</v>
      </c>
      <c r="C6412" t="str">
        <f t="shared" si="2614"/>
        <v>0000804363</v>
      </c>
      <c r="D6412" t="str">
        <f t="shared" si="2618"/>
        <v>73185</v>
      </c>
      <c r="E6412" t="str">
        <f t="shared" si="2619"/>
        <v>KFH-OPERATIONS DEPARTMENT</v>
      </c>
      <c r="F6412" t="str">
        <f t="shared" si="2620"/>
        <v>IBG</v>
      </c>
      <c r="G6412" t="str">
        <f t="shared" ref="G6412:G6475" si="2631">"Refund COSHARE 10"</f>
        <v>Refund COSHARE 10</v>
      </c>
      <c r="H6412" s="2">
        <v>167.9</v>
      </c>
      <c r="I6412" t="str">
        <f>"MAZNI BINTI MAHMUD"</f>
        <v>MAZNI BINTI MAHMUD</v>
      </c>
      <c r="J6412" t="str">
        <f t="shared" si="2617"/>
        <v>CIMB BANK / CIMB ISLAMIC BANK</v>
      </c>
      <c r="K6412" t="str">
        <f>"14230067490528"</f>
        <v>14230067490528</v>
      </c>
      <c r="L6412" t="str">
        <f t="shared" si="2621"/>
        <v>04-08-2020</v>
      </c>
      <c r="M6412" t="str">
        <f t="shared" si="2621"/>
        <v>04-08-2020</v>
      </c>
      <c r="N6412" t="str">
        <f t="shared" si="2622"/>
        <v>001105018356</v>
      </c>
      <c r="O6412" t="str">
        <f t="shared" si="2623"/>
        <v>MYR</v>
      </c>
      <c r="P6412" t="str">
        <f t="shared" si="2624"/>
        <v>NIL</v>
      </c>
      <c r="Q6412" t="str">
        <f t="shared" si="2624"/>
        <v>NIL</v>
      </c>
      <c r="R6412" t="str">
        <f t="shared" si="2611"/>
        <v>Accepted</v>
      </c>
      <c r="S6412" t="str">
        <f t="shared" si="2625"/>
        <v>Approved</v>
      </c>
      <c r="T6412" t="str">
        <f t="shared" si="2612"/>
        <v>10.20.8.188</v>
      </c>
      <c r="U6412" t="str">
        <f t="shared" si="2626"/>
        <v>AZRAD UMAR BIN SHAARI</v>
      </c>
      <c r="V6412" t="str">
        <f t="shared" si="2627"/>
        <v>FARHANA BINTI MUSTAPA</v>
      </c>
      <c r="W6412" t="str">
        <f t="shared" si="2628"/>
        <v>04-08-2020</v>
      </c>
      <c r="X6412" t="str">
        <f t="shared" si="2629"/>
        <v>RAZIMAH ANSAR AHMAD</v>
      </c>
      <c r="Y6412" t="str">
        <f t="shared" si="2630"/>
        <v>04-08-2020</v>
      </c>
      <c r="Z6412" t="str">
        <f>"COS10200804 2742"</f>
        <v>COS10200804 2742</v>
      </c>
    </row>
    <row r="6413" spans="1:26" x14ac:dyDescent="0.25">
      <c r="A6413" t="str">
        <f t="shared" si="2613"/>
        <v>04-08-2020 12:39:14</v>
      </c>
      <c r="B6413" t="str">
        <f>"0000804504"</f>
        <v>0000804504</v>
      </c>
      <c r="C6413" t="str">
        <f t="shared" si="2614"/>
        <v>0000804363</v>
      </c>
      <c r="D6413" t="str">
        <f t="shared" si="2618"/>
        <v>73185</v>
      </c>
      <c r="E6413" t="str">
        <f t="shared" si="2619"/>
        <v>KFH-OPERATIONS DEPARTMENT</v>
      </c>
      <c r="F6413" t="str">
        <f t="shared" si="2620"/>
        <v>IBG</v>
      </c>
      <c r="G6413" t="str">
        <f t="shared" si="2631"/>
        <v>Refund COSHARE 10</v>
      </c>
      <c r="H6413" s="2">
        <v>946.55</v>
      </c>
      <c r="I6413" t="str">
        <f>"MAZNI BINTI KINOT"</f>
        <v>MAZNI BINTI KINOT</v>
      </c>
      <c r="J6413" t="str">
        <f t="shared" si="2617"/>
        <v>CIMB BANK / CIMB ISLAMIC BANK</v>
      </c>
      <c r="K6413" t="str">
        <f>"08200003199526"</f>
        <v>08200003199526</v>
      </c>
      <c r="L6413" t="str">
        <f t="shared" si="2621"/>
        <v>04-08-2020</v>
      </c>
      <c r="M6413" t="str">
        <f t="shared" si="2621"/>
        <v>04-08-2020</v>
      </c>
      <c r="N6413" t="str">
        <f t="shared" si="2622"/>
        <v>001105018356</v>
      </c>
      <c r="O6413" t="str">
        <f t="shared" si="2623"/>
        <v>MYR</v>
      </c>
      <c r="P6413" t="str">
        <f t="shared" si="2624"/>
        <v>NIL</v>
      </c>
      <c r="Q6413" t="str">
        <f t="shared" si="2624"/>
        <v>NIL</v>
      </c>
      <c r="R6413" t="str">
        <f t="shared" si="2611"/>
        <v>Accepted</v>
      </c>
      <c r="S6413" t="str">
        <f t="shared" si="2625"/>
        <v>Approved</v>
      </c>
      <c r="T6413" t="str">
        <f t="shared" si="2612"/>
        <v>10.20.8.188</v>
      </c>
      <c r="U6413" t="str">
        <f t="shared" si="2626"/>
        <v>AZRAD UMAR BIN SHAARI</v>
      </c>
      <c r="V6413" t="str">
        <f t="shared" si="2627"/>
        <v>FARHANA BINTI MUSTAPA</v>
      </c>
      <c r="W6413" t="str">
        <f t="shared" si="2628"/>
        <v>04-08-2020</v>
      </c>
      <c r="X6413" t="str">
        <f t="shared" si="2629"/>
        <v>RAZIMAH ANSAR AHMAD</v>
      </c>
      <c r="Y6413" t="str">
        <f t="shared" si="2630"/>
        <v>04-08-2020</v>
      </c>
      <c r="Z6413" t="str">
        <f>"COS10200804 2741"</f>
        <v>COS10200804 2741</v>
      </c>
    </row>
    <row r="6414" spans="1:26" x14ac:dyDescent="0.25">
      <c r="A6414" t="str">
        <f t="shared" si="2613"/>
        <v>04-08-2020 12:39:14</v>
      </c>
      <c r="B6414" t="str">
        <f>"0000804503"</f>
        <v>0000804503</v>
      </c>
      <c r="C6414" t="str">
        <f t="shared" si="2614"/>
        <v>0000804363</v>
      </c>
      <c r="D6414" t="str">
        <f t="shared" si="2618"/>
        <v>73185</v>
      </c>
      <c r="E6414" t="str">
        <f t="shared" si="2619"/>
        <v>KFH-OPERATIONS DEPARTMENT</v>
      </c>
      <c r="F6414" t="str">
        <f t="shared" si="2620"/>
        <v>IBG</v>
      </c>
      <c r="G6414" t="str">
        <f t="shared" si="2631"/>
        <v>Refund COSHARE 10</v>
      </c>
      <c r="H6414" s="2">
        <v>201.5</v>
      </c>
      <c r="I6414" t="str">
        <f>"MAZNEE BINTI MOHD TAIB"</f>
        <v>MAZNEE BINTI MOHD TAIB</v>
      </c>
      <c r="J6414" t="str">
        <f t="shared" si="2617"/>
        <v>CIMB BANK / CIMB ISLAMIC BANK</v>
      </c>
      <c r="K6414" t="str">
        <f>"06080067590528"</f>
        <v>06080067590528</v>
      </c>
      <c r="L6414" t="str">
        <f t="shared" si="2621"/>
        <v>04-08-2020</v>
      </c>
      <c r="M6414" t="str">
        <f t="shared" si="2621"/>
        <v>04-08-2020</v>
      </c>
      <c r="N6414" t="str">
        <f t="shared" si="2622"/>
        <v>001105018356</v>
      </c>
      <c r="O6414" t="str">
        <f t="shared" si="2623"/>
        <v>MYR</v>
      </c>
      <c r="P6414" t="str">
        <f t="shared" si="2624"/>
        <v>NIL</v>
      </c>
      <c r="Q6414" t="str">
        <f t="shared" si="2624"/>
        <v>NIL</v>
      </c>
      <c r="R6414" t="str">
        <f t="shared" si="2611"/>
        <v>Accepted</v>
      </c>
      <c r="S6414" t="str">
        <f t="shared" si="2625"/>
        <v>Approved</v>
      </c>
      <c r="T6414" t="str">
        <f t="shared" si="2612"/>
        <v>10.20.8.188</v>
      </c>
      <c r="U6414" t="str">
        <f t="shared" si="2626"/>
        <v>AZRAD UMAR BIN SHAARI</v>
      </c>
      <c r="V6414" t="str">
        <f t="shared" si="2627"/>
        <v>FARHANA BINTI MUSTAPA</v>
      </c>
      <c r="W6414" t="str">
        <f t="shared" si="2628"/>
        <v>04-08-2020</v>
      </c>
      <c r="X6414" t="str">
        <f t="shared" si="2629"/>
        <v>RAZIMAH ANSAR AHMAD</v>
      </c>
      <c r="Y6414" t="str">
        <f t="shared" si="2630"/>
        <v>04-08-2020</v>
      </c>
      <c r="Z6414" t="str">
        <f>"COS10200804 2740"</f>
        <v>COS10200804 2740</v>
      </c>
    </row>
    <row r="6415" spans="1:26" x14ac:dyDescent="0.25">
      <c r="A6415" t="str">
        <f t="shared" si="2613"/>
        <v>04-08-2020 12:39:14</v>
      </c>
      <c r="B6415" t="str">
        <f>"0000804502"</f>
        <v>0000804502</v>
      </c>
      <c r="C6415" t="str">
        <f t="shared" si="2614"/>
        <v>0000804363</v>
      </c>
      <c r="D6415" t="str">
        <f t="shared" si="2618"/>
        <v>73185</v>
      </c>
      <c r="E6415" t="str">
        <f t="shared" si="2619"/>
        <v>KFH-OPERATIONS DEPARTMENT</v>
      </c>
      <c r="F6415" t="str">
        <f t="shared" si="2620"/>
        <v>IBG</v>
      </c>
      <c r="G6415" t="str">
        <f t="shared" si="2631"/>
        <v>Refund COSHARE 10</v>
      </c>
      <c r="H6415" s="2">
        <v>839.5</v>
      </c>
      <c r="I6415" t="str">
        <f>"MAZNAH BINTI AHMAD"</f>
        <v>MAZNAH BINTI AHMAD</v>
      </c>
      <c r="J6415" t="str">
        <f t="shared" si="2617"/>
        <v>CIMB BANK / CIMB ISLAMIC BANK</v>
      </c>
      <c r="K6415" t="str">
        <f>"14260015649522"</f>
        <v>14260015649522</v>
      </c>
      <c r="L6415" t="str">
        <f t="shared" si="2621"/>
        <v>04-08-2020</v>
      </c>
      <c r="M6415" t="str">
        <f t="shared" si="2621"/>
        <v>04-08-2020</v>
      </c>
      <c r="N6415" t="str">
        <f t="shared" si="2622"/>
        <v>001105018356</v>
      </c>
      <c r="O6415" t="str">
        <f t="shared" si="2623"/>
        <v>MYR</v>
      </c>
      <c r="P6415" t="str">
        <f t="shared" si="2624"/>
        <v>NIL</v>
      </c>
      <c r="Q6415" t="str">
        <f t="shared" si="2624"/>
        <v>NIL</v>
      </c>
      <c r="R6415" t="str">
        <f t="shared" si="2611"/>
        <v>Accepted</v>
      </c>
      <c r="S6415" t="str">
        <f t="shared" si="2625"/>
        <v>Approved</v>
      </c>
      <c r="T6415" t="str">
        <f t="shared" si="2612"/>
        <v>10.20.8.188</v>
      </c>
      <c r="U6415" t="str">
        <f t="shared" si="2626"/>
        <v>AZRAD UMAR BIN SHAARI</v>
      </c>
      <c r="V6415" t="str">
        <f t="shared" si="2627"/>
        <v>FARHANA BINTI MUSTAPA</v>
      </c>
      <c r="W6415" t="str">
        <f t="shared" si="2628"/>
        <v>04-08-2020</v>
      </c>
      <c r="X6415" t="str">
        <f t="shared" si="2629"/>
        <v>RAZIMAH ANSAR AHMAD</v>
      </c>
      <c r="Y6415" t="str">
        <f t="shared" si="2630"/>
        <v>04-08-2020</v>
      </c>
      <c r="Z6415" t="str">
        <f>"COS10200804 2739"</f>
        <v>COS10200804 2739</v>
      </c>
    </row>
    <row r="6416" spans="1:26" x14ac:dyDescent="0.25">
      <c r="A6416" t="str">
        <f t="shared" si="2613"/>
        <v>04-08-2020 12:39:14</v>
      </c>
      <c r="B6416" t="str">
        <f>"0000804501"</f>
        <v>0000804501</v>
      </c>
      <c r="C6416" t="str">
        <f t="shared" si="2614"/>
        <v>0000804363</v>
      </c>
      <c r="D6416" t="str">
        <f t="shared" si="2618"/>
        <v>73185</v>
      </c>
      <c r="E6416" t="str">
        <f t="shared" si="2619"/>
        <v>KFH-OPERATIONS DEPARTMENT</v>
      </c>
      <c r="F6416" t="str">
        <f t="shared" si="2620"/>
        <v>IBG</v>
      </c>
      <c r="G6416" t="str">
        <f t="shared" si="2631"/>
        <v>Refund COSHARE 10</v>
      </c>
      <c r="H6416" s="2">
        <v>592</v>
      </c>
      <c r="I6416" t="str">
        <f>"MAZLYNA BINTI MD NOR"</f>
        <v>MAZLYNA BINTI MD NOR</v>
      </c>
      <c r="J6416" t="str">
        <f t="shared" si="2617"/>
        <v>CIMB BANK / CIMB ISLAMIC BANK</v>
      </c>
      <c r="K6416" t="str">
        <f>"7012569841"</f>
        <v>7012569841</v>
      </c>
      <c r="L6416" t="str">
        <f t="shared" si="2621"/>
        <v>04-08-2020</v>
      </c>
      <c r="M6416" t="str">
        <f t="shared" si="2621"/>
        <v>04-08-2020</v>
      </c>
      <c r="N6416" t="str">
        <f t="shared" si="2622"/>
        <v>001105018356</v>
      </c>
      <c r="O6416" t="str">
        <f t="shared" si="2623"/>
        <v>MYR</v>
      </c>
      <c r="P6416" t="str">
        <f t="shared" si="2624"/>
        <v>NIL</v>
      </c>
      <c r="Q6416" t="str">
        <f t="shared" si="2624"/>
        <v>NIL</v>
      </c>
      <c r="R6416" t="str">
        <f t="shared" si="2611"/>
        <v>Accepted</v>
      </c>
      <c r="S6416" t="str">
        <f t="shared" si="2625"/>
        <v>Approved</v>
      </c>
      <c r="T6416" t="str">
        <f t="shared" si="2612"/>
        <v>10.20.8.188</v>
      </c>
      <c r="U6416" t="str">
        <f t="shared" si="2626"/>
        <v>AZRAD UMAR BIN SHAARI</v>
      </c>
      <c r="V6416" t="str">
        <f t="shared" si="2627"/>
        <v>FARHANA BINTI MUSTAPA</v>
      </c>
      <c r="W6416" t="str">
        <f t="shared" si="2628"/>
        <v>04-08-2020</v>
      </c>
      <c r="X6416" t="str">
        <f t="shared" si="2629"/>
        <v>RAZIMAH ANSAR AHMAD</v>
      </c>
      <c r="Y6416" t="str">
        <f t="shared" si="2630"/>
        <v>04-08-2020</v>
      </c>
      <c r="Z6416" t="str">
        <f>"COS10200804 2738"</f>
        <v>COS10200804 2738</v>
      </c>
    </row>
    <row r="6417" spans="1:26" x14ac:dyDescent="0.25">
      <c r="A6417" t="str">
        <f t="shared" si="2613"/>
        <v>04-08-2020 12:39:14</v>
      </c>
      <c r="B6417" t="str">
        <f>"0000804500"</f>
        <v>0000804500</v>
      </c>
      <c r="C6417" t="str">
        <f t="shared" si="2614"/>
        <v>0000804363</v>
      </c>
      <c r="D6417" t="str">
        <f t="shared" si="2618"/>
        <v>73185</v>
      </c>
      <c r="E6417" t="str">
        <f t="shared" si="2619"/>
        <v>KFH-OPERATIONS DEPARTMENT</v>
      </c>
      <c r="F6417" t="str">
        <f t="shared" si="2620"/>
        <v>IBG</v>
      </c>
      <c r="G6417" t="str">
        <f t="shared" si="2631"/>
        <v>Refund COSHARE 10</v>
      </c>
      <c r="H6417" s="2">
        <v>762.2</v>
      </c>
      <c r="I6417" t="str">
        <f>"MAZLINAWATI BINTI SAIDIN"</f>
        <v>MAZLINAWATI BINTI SAIDIN</v>
      </c>
      <c r="J6417" t="str">
        <f t="shared" si="2617"/>
        <v>CIMB BANK / CIMB ISLAMIC BANK</v>
      </c>
      <c r="K6417" t="str">
        <f>"12210068123526"</f>
        <v>12210068123526</v>
      </c>
      <c r="L6417" t="str">
        <f t="shared" si="2621"/>
        <v>04-08-2020</v>
      </c>
      <c r="M6417" t="str">
        <f t="shared" si="2621"/>
        <v>04-08-2020</v>
      </c>
      <c r="N6417" t="str">
        <f t="shared" si="2622"/>
        <v>001105018356</v>
      </c>
      <c r="O6417" t="str">
        <f t="shared" si="2623"/>
        <v>MYR</v>
      </c>
      <c r="P6417" t="str">
        <f t="shared" si="2624"/>
        <v>NIL</v>
      </c>
      <c r="Q6417" t="str">
        <f t="shared" si="2624"/>
        <v>NIL</v>
      </c>
      <c r="R6417" t="str">
        <f t="shared" si="2611"/>
        <v>Accepted</v>
      </c>
      <c r="S6417" t="str">
        <f t="shared" si="2625"/>
        <v>Approved</v>
      </c>
      <c r="T6417" t="str">
        <f t="shared" si="2612"/>
        <v>10.20.8.188</v>
      </c>
      <c r="U6417" t="str">
        <f t="shared" si="2626"/>
        <v>AZRAD UMAR BIN SHAARI</v>
      </c>
      <c r="V6417" t="str">
        <f t="shared" si="2627"/>
        <v>FARHANA BINTI MUSTAPA</v>
      </c>
      <c r="W6417" t="str">
        <f t="shared" si="2628"/>
        <v>04-08-2020</v>
      </c>
      <c r="X6417" t="str">
        <f t="shared" si="2629"/>
        <v>RAZIMAH ANSAR AHMAD</v>
      </c>
      <c r="Y6417" t="str">
        <f t="shared" si="2630"/>
        <v>04-08-2020</v>
      </c>
      <c r="Z6417" t="str">
        <f>"COS10200804 2737"</f>
        <v>COS10200804 2737</v>
      </c>
    </row>
    <row r="6418" spans="1:26" x14ac:dyDescent="0.25">
      <c r="A6418" t="str">
        <f t="shared" ref="A6418:A6449" si="2632">"04-08-2020 12:39:14"</f>
        <v>04-08-2020 12:39:14</v>
      </c>
      <c r="B6418" t="str">
        <f>"0000804499"</f>
        <v>0000804499</v>
      </c>
      <c r="C6418" t="str">
        <f t="shared" ref="C6418:C6449" si="2633">"0000804363"</f>
        <v>0000804363</v>
      </c>
      <c r="D6418" t="str">
        <f t="shared" si="2618"/>
        <v>73185</v>
      </c>
      <c r="E6418" t="str">
        <f t="shared" si="2619"/>
        <v>KFH-OPERATIONS DEPARTMENT</v>
      </c>
      <c r="F6418" t="str">
        <f t="shared" si="2620"/>
        <v>IBG</v>
      </c>
      <c r="G6418" t="str">
        <f t="shared" si="2631"/>
        <v>Refund COSHARE 10</v>
      </c>
      <c r="H6418" s="2">
        <v>762.2</v>
      </c>
      <c r="I6418" t="str">
        <f>"MAZLINAWATI BINTI SAIDIN"</f>
        <v>MAZLINAWATI BINTI SAIDIN</v>
      </c>
      <c r="J6418" t="str">
        <f t="shared" si="2617"/>
        <v>CIMB BANK / CIMB ISLAMIC BANK</v>
      </c>
      <c r="K6418" t="str">
        <f>"12210068123526"</f>
        <v>12210068123526</v>
      </c>
      <c r="L6418" t="str">
        <f t="shared" si="2621"/>
        <v>04-08-2020</v>
      </c>
      <c r="M6418" t="str">
        <f t="shared" si="2621"/>
        <v>04-08-2020</v>
      </c>
      <c r="N6418" t="str">
        <f t="shared" si="2622"/>
        <v>001105018356</v>
      </c>
      <c r="O6418" t="str">
        <f t="shared" si="2623"/>
        <v>MYR</v>
      </c>
      <c r="P6418" t="str">
        <f t="shared" si="2624"/>
        <v>NIL</v>
      </c>
      <c r="Q6418" t="str">
        <f t="shared" si="2624"/>
        <v>NIL</v>
      </c>
      <c r="R6418" t="str">
        <f t="shared" si="2611"/>
        <v>Accepted</v>
      </c>
      <c r="S6418" t="str">
        <f t="shared" si="2625"/>
        <v>Approved</v>
      </c>
      <c r="T6418" t="str">
        <f t="shared" si="2612"/>
        <v>10.20.8.188</v>
      </c>
      <c r="U6418" t="str">
        <f t="shared" si="2626"/>
        <v>AZRAD UMAR BIN SHAARI</v>
      </c>
      <c r="V6418" t="str">
        <f t="shared" si="2627"/>
        <v>FARHANA BINTI MUSTAPA</v>
      </c>
      <c r="W6418" t="str">
        <f t="shared" si="2628"/>
        <v>04-08-2020</v>
      </c>
      <c r="X6418" t="str">
        <f t="shared" si="2629"/>
        <v>RAZIMAH ANSAR AHMAD</v>
      </c>
      <c r="Y6418" t="str">
        <f t="shared" si="2630"/>
        <v>04-08-2020</v>
      </c>
      <c r="Z6418" t="str">
        <f>"COS10200804 2736"</f>
        <v>COS10200804 2736</v>
      </c>
    </row>
    <row r="6419" spans="1:26" x14ac:dyDescent="0.25">
      <c r="A6419" t="str">
        <f t="shared" si="2632"/>
        <v>04-08-2020 12:39:14</v>
      </c>
      <c r="B6419" t="str">
        <f>"0000804498"</f>
        <v>0000804498</v>
      </c>
      <c r="C6419" t="str">
        <f t="shared" si="2633"/>
        <v>0000804363</v>
      </c>
      <c r="D6419" t="str">
        <f t="shared" si="2618"/>
        <v>73185</v>
      </c>
      <c r="E6419" t="str">
        <f t="shared" si="2619"/>
        <v>KFH-OPERATIONS DEPARTMENT</v>
      </c>
      <c r="F6419" t="str">
        <f t="shared" si="2620"/>
        <v>IBG</v>
      </c>
      <c r="G6419" t="str">
        <f t="shared" si="2631"/>
        <v>Refund COSHARE 10</v>
      </c>
      <c r="H6419" s="2">
        <v>68</v>
      </c>
      <c r="I6419" t="str">
        <f>"MAZLIN BINTI MOHAMAD"</f>
        <v>MAZLIN BINTI MOHAMAD</v>
      </c>
      <c r="J6419" t="str">
        <f t="shared" si="2617"/>
        <v>CIMB BANK / CIMB ISLAMIC BANK</v>
      </c>
      <c r="K6419" t="str">
        <f>"05030668880529"</f>
        <v>05030668880529</v>
      </c>
      <c r="L6419" t="str">
        <f t="shared" si="2621"/>
        <v>04-08-2020</v>
      </c>
      <c r="M6419" t="str">
        <f t="shared" si="2621"/>
        <v>04-08-2020</v>
      </c>
      <c r="N6419" t="str">
        <f t="shared" si="2622"/>
        <v>001105018356</v>
      </c>
      <c r="O6419" t="str">
        <f t="shared" si="2623"/>
        <v>MYR</v>
      </c>
      <c r="P6419" t="str">
        <f t="shared" si="2624"/>
        <v>NIL</v>
      </c>
      <c r="Q6419" t="str">
        <f t="shared" si="2624"/>
        <v>NIL</v>
      </c>
      <c r="R6419" t="str">
        <f t="shared" si="2611"/>
        <v>Accepted</v>
      </c>
      <c r="S6419" t="str">
        <f t="shared" si="2625"/>
        <v>Approved</v>
      </c>
      <c r="T6419" t="str">
        <f t="shared" si="2612"/>
        <v>10.20.8.188</v>
      </c>
      <c r="U6419" t="str">
        <f t="shared" si="2626"/>
        <v>AZRAD UMAR BIN SHAARI</v>
      </c>
      <c r="V6419" t="str">
        <f t="shared" si="2627"/>
        <v>FARHANA BINTI MUSTAPA</v>
      </c>
      <c r="W6419" t="str">
        <f t="shared" si="2628"/>
        <v>04-08-2020</v>
      </c>
      <c r="X6419" t="str">
        <f t="shared" si="2629"/>
        <v>RAZIMAH ANSAR AHMAD</v>
      </c>
      <c r="Y6419" t="str">
        <f t="shared" si="2630"/>
        <v>04-08-2020</v>
      </c>
      <c r="Z6419" t="str">
        <f>"COS10200804 2735"</f>
        <v>COS10200804 2735</v>
      </c>
    </row>
    <row r="6420" spans="1:26" x14ac:dyDescent="0.25">
      <c r="A6420" t="str">
        <f t="shared" si="2632"/>
        <v>04-08-2020 12:39:14</v>
      </c>
      <c r="B6420" t="str">
        <f>"0000804497"</f>
        <v>0000804497</v>
      </c>
      <c r="C6420" t="str">
        <f t="shared" si="2633"/>
        <v>0000804363</v>
      </c>
      <c r="D6420" t="str">
        <f t="shared" si="2618"/>
        <v>73185</v>
      </c>
      <c r="E6420" t="str">
        <f t="shared" si="2619"/>
        <v>KFH-OPERATIONS DEPARTMENT</v>
      </c>
      <c r="F6420" t="str">
        <f t="shared" si="2620"/>
        <v>IBG</v>
      </c>
      <c r="G6420" t="str">
        <f t="shared" si="2631"/>
        <v>Refund COSHARE 10</v>
      </c>
      <c r="H6420" s="2">
        <v>887</v>
      </c>
      <c r="I6420" t="str">
        <f>"MAZLIAHANIS BINTI MAZLAN"</f>
        <v>MAZLIAHANIS BINTI MAZLAN</v>
      </c>
      <c r="J6420" t="str">
        <f t="shared" si="2617"/>
        <v>CIMB BANK / CIMB ISLAMIC BANK</v>
      </c>
      <c r="K6420" t="str">
        <f>"7040194203"</f>
        <v>7040194203</v>
      </c>
      <c r="L6420" t="str">
        <f t="shared" si="2621"/>
        <v>04-08-2020</v>
      </c>
      <c r="M6420" t="str">
        <f t="shared" si="2621"/>
        <v>04-08-2020</v>
      </c>
      <c r="N6420" t="str">
        <f t="shared" si="2622"/>
        <v>001105018356</v>
      </c>
      <c r="O6420" t="str">
        <f t="shared" si="2623"/>
        <v>MYR</v>
      </c>
      <c r="P6420" t="str">
        <f t="shared" si="2624"/>
        <v>NIL</v>
      </c>
      <c r="Q6420" t="str">
        <f t="shared" si="2624"/>
        <v>NIL</v>
      </c>
      <c r="R6420" t="str">
        <f t="shared" si="2611"/>
        <v>Accepted</v>
      </c>
      <c r="S6420" t="str">
        <f t="shared" si="2625"/>
        <v>Approved</v>
      </c>
      <c r="T6420" t="str">
        <f t="shared" si="2612"/>
        <v>10.20.8.188</v>
      </c>
      <c r="U6420" t="str">
        <f t="shared" si="2626"/>
        <v>AZRAD UMAR BIN SHAARI</v>
      </c>
      <c r="V6420" t="str">
        <f t="shared" si="2627"/>
        <v>FARHANA BINTI MUSTAPA</v>
      </c>
      <c r="W6420" t="str">
        <f t="shared" si="2628"/>
        <v>04-08-2020</v>
      </c>
      <c r="X6420" t="str">
        <f t="shared" si="2629"/>
        <v>RAZIMAH ANSAR AHMAD</v>
      </c>
      <c r="Y6420" t="str">
        <f t="shared" si="2630"/>
        <v>04-08-2020</v>
      </c>
      <c r="Z6420" t="str">
        <f>"COS10200804 2734"</f>
        <v>COS10200804 2734</v>
      </c>
    </row>
    <row r="6421" spans="1:26" x14ac:dyDescent="0.25">
      <c r="A6421" t="str">
        <f t="shared" si="2632"/>
        <v>04-08-2020 12:39:14</v>
      </c>
      <c r="B6421" t="str">
        <f>"0000804496"</f>
        <v>0000804496</v>
      </c>
      <c r="C6421" t="str">
        <f t="shared" si="2633"/>
        <v>0000804363</v>
      </c>
      <c r="D6421" t="str">
        <f t="shared" si="2618"/>
        <v>73185</v>
      </c>
      <c r="E6421" t="str">
        <f t="shared" si="2619"/>
        <v>KFH-OPERATIONS DEPARTMENT</v>
      </c>
      <c r="F6421" t="str">
        <f t="shared" si="2620"/>
        <v>IBG</v>
      </c>
      <c r="G6421" t="str">
        <f t="shared" si="2631"/>
        <v>Refund COSHARE 10</v>
      </c>
      <c r="H6421" s="2">
        <v>1679</v>
      </c>
      <c r="I6421" t="str">
        <f>"MAZLAN BIN KANUN"</f>
        <v>MAZLAN BIN KANUN</v>
      </c>
      <c r="J6421" t="str">
        <f t="shared" si="2617"/>
        <v>CIMB BANK / CIMB ISLAMIC BANK</v>
      </c>
      <c r="K6421" t="str">
        <f>"10060028907525"</f>
        <v>10060028907525</v>
      </c>
      <c r="L6421" t="str">
        <f t="shared" si="2621"/>
        <v>04-08-2020</v>
      </c>
      <c r="M6421" t="str">
        <f t="shared" si="2621"/>
        <v>04-08-2020</v>
      </c>
      <c r="N6421" t="str">
        <f t="shared" si="2622"/>
        <v>001105018356</v>
      </c>
      <c r="O6421" t="str">
        <f t="shared" si="2623"/>
        <v>MYR</v>
      </c>
      <c r="P6421" t="str">
        <f t="shared" si="2624"/>
        <v>NIL</v>
      </c>
      <c r="Q6421" t="str">
        <f t="shared" si="2624"/>
        <v>NIL</v>
      </c>
      <c r="R6421" t="str">
        <f t="shared" si="2611"/>
        <v>Accepted</v>
      </c>
      <c r="S6421" t="str">
        <f t="shared" si="2625"/>
        <v>Approved</v>
      </c>
      <c r="T6421" t="str">
        <f t="shared" si="2612"/>
        <v>10.20.8.188</v>
      </c>
      <c r="U6421" t="str">
        <f t="shared" si="2626"/>
        <v>AZRAD UMAR BIN SHAARI</v>
      </c>
      <c r="V6421" t="str">
        <f t="shared" si="2627"/>
        <v>FARHANA BINTI MUSTAPA</v>
      </c>
      <c r="W6421" t="str">
        <f t="shared" si="2628"/>
        <v>04-08-2020</v>
      </c>
      <c r="X6421" t="str">
        <f t="shared" si="2629"/>
        <v>RAZIMAH ANSAR AHMAD</v>
      </c>
      <c r="Y6421" t="str">
        <f t="shared" si="2630"/>
        <v>04-08-2020</v>
      </c>
      <c r="Z6421" t="str">
        <f>"COS10200804 2733"</f>
        <v>COS10200804 2733</v>
      </c>
    </row>
    <row r="6422" spans="1:26" x14ac:dyDescent="0.25">
      <c r="A6422" t="str">
        <f t="shared" si="2632"/>
        <v>04-08-2020 12:39:14</v>
      </c>
      <c r="B6422" t="str">
        <f>"0000804495"</f>
        <v>0000804495</v>
      </c>
      <c r="C6422" t="str">
        <f t="shared" si="2633"/>
        <v>0000804363</v>
      </c>
      <c r="D6422" t="str">
        <f t="shared" si="2618"/>
        <v>73185</v>
      </c>
      <c r="E6422" t="str">
        <f t="shared" si="2619"/>
        <v>KFH-OPERATIONS DEPARTMENT</v>
      </c>
      <c r="F6422" t="str">
        <f t="shared" si="2620"/>
        <v>IBG</v>
      </c>
      <c r="G6422" t="str">
        <f t="shared" si="2631"/>
        <v>Refund COSHARE 10</v>
      </c>
      <c r="H6422" s="2">
        <v>83.95</v>
      </c>
      <c r="I6422" t="str">
        <f>"MAZLAN BIN AWANG TAN"</f>
        <v>MAZLAN BIN AWANG TAN</v>
      </c>
      <c r="J6422" t="str">
        <f t="shared" si="2617"/>
        <v>CIMB BANK / CIMB ISLAMIC BANK</v>
      </c>
      <c r="K6422" t="str">
        <f>"06021484406525"</f>
        <v>06021484406525</v>
      </c>
      <c r="L6422" t="str">
        <f t="shared" si="2621"/>
        <v>04-08-2020</v>
      </c>
      <c r="M6422" t="str">
        <f t="shared" si="2621"/>
        <v>04-08-2020</v>
      </c>
      <c r="N6422" t="str">
        <f t="shared" si="2622"/>
        <v>001105018356</v>
      </c>
      <c r="O6422" t="str">
        <f t="shared" si="2623"/>
        <v>MYR</v>
      </c>
      <c r="P6422" t="str">
        <f t="shared" si="2624"/>
        <v>NIL</v>
      </c>
      <c r="Q6422" t="str">
        <f t="shared" si="2624"/>
        <v>NIL</v>
      </c>
      <c r="R6422" t="str">
        <f t="shared" si="2611"/>
        <v>Accepted</v>
      </c>
      <c r="S6422" t="str">
        <f t="shared" si="2625"/>
        <v>Approved</v>
      </c>
      <c r="T6422" t="str">
        <f t="shared" si="2612"/>
        <v>10.20.8.188</v>
      </c>
      <c r="U6422" t="str">
        <f t="shared" si="2626"/>
        <v>AZRAD UMAR BIN SHAARI</v>
      </c>
      <c r="V6422" t="str">
        <f t="shared" si="2627"/>
        <v>FARHANA BINTI MUSTAPA</v>
      </c>
      <c r="W6422" t="str">
        <f t="shared" si="2628"/>
        <v>04-08-2020</v>
      </c>
      <c r="X6422" t="str">
        <f t="shared" si="2629"/>
        <v>RAZIMAH ANSAR AHMAD</v>
      </c>
      <c r="Y6422" t="str">
        <f t="shared" si="2630"/>
        <v>04-08-2020</v>
      </c>
      <c r="Z6422" t="str">
        <f>"COS10200804 2732"</f>
        <v>COS10200804 2732</v>
      </c>
    </row>
    <row r="6423" spans="1:26" x14ac:dyDescent="0.25">
      <c r="A6423" t="str">
        <f t="shared" si="2632"/>
        <v>04-08-2020 12:39:14</v>
      </c>
      <c r="B6423" t="str">
        <f>"0000804494"</f>
        <v>0000804494</v>
      </c>
      <c r="C6423" t="str">
        <f t="shared" si="2633"/>
        <v>0000804363</v>
      </c>
      <c r="D6423" t="str">
        <f t="shared" si="2618"/>
        <v>73185</v>
      </c>
      <c r="E6423" t="str">
        <f t="shared" si="2619"/>
        <v>KFH-OPERATIONS DEPARTMENT</v>
      </c>
      <c r="F6423" t="str">
        <f t="shared" si="2620"/>
        <v>IBG</v>
      </c>
      <c r="G6423" t="str">
        <f t="shared" si="2631"/>
        <v>Refund COSHARE 10</v>
      </c>
      <c r="H6423" s="2">
        <v>1518</v>
      </c>
      <c r="I6423" t="str">
        <f>"MAZLAN BIN ABDUL"</f>
        <v>MAZLAN BIN ABDUL</v>
      </c>
      <c r="J6423" t="str">
        <f t="shared" si="2617"/>
        <v>CIMB BANK / CIMB ISLAMIC BANK</v>
      </c>
      <c r="K6423" t="str">
        <f>"10030031566525"</f>
        <v>10030031566525</v>
      </c>
      <c r="L6423" t="str">
        <f t="shared" si="2621"/>
        <v>04-08-2020</v>
      </c>
      <c r="M6423" t="str">
        <f t="shared" si="2621"/>
        <v>04-08-2020</v>
      </c>
      <c r="N6423" t="str">
        <f t="shared" si="2622"/>
        <v>001105018356</v>
      </c>
      <c r="O6423" t="str">
        <f t="shared" si="2623"/>
        <v>MYR</v>
      </c>
      <c r="P6423" t="str">
        <f t="shared" si="2624"/>
        <v>NIL</v>
      </c>
      <c r="Q6423" t="str">
        <f t="shared" si="2624"/>
        <v>NIL</v>
      </c>
      <c r="R6423" t="str">
        <f t="shared" si="2611"/>
        <v>Accepted</v>
      </c>
      <c r="S6423" t="str">
        <f t="shared" si="2625"/>
        <v>Approved</v>
      </c>
      <c r="T6423" t="str">
        <f t="shared" si="2612"/>
        <v>10.20.8.188</v>
      </c>
      <c r="U6423" t="str">
        <f t="shared" si="2626"/>
        <v>AZRAD UMAR BIN SHAARI</v>
      </c>
      <c r="V6423" t="str">
        <f t="shared" si="2627"/>
        <v>FARHANA BINTI MUSTAPA</v>
      </c>
      <c r="W6423" t="str">
        <f t="shared" si="2628"/>
        <v>04-08-2020</v>
      </c>
      <c r="X6423" t="str">
        <f t="shared" si="2629"/>
        <v>RAZIMAH ANSAR AHMAD</v>
      </c>
      <c r="Y6423" t="str">
        <f t="shared" si="2630"/>
        <v>04-08-2020</v>
      </c>
      <c r="Z6423" t="str">
        <f>"COS10200804 2731"</f>
        <v>COS10200804 2731</v>
      </c>
    </row>
    <row r="6424" spans="1:26" x14ac:dyDescent="0.25">
      <c r="A6424" t="str">
        <f t="shared" si="2632"/>
        <v>04-08-2020 12:39:14</v>
      </c>
      <c r="B6424" t="str">
        <f>"0000804493"</f>
        <v>0000804493</v>
      </c>
      <c r="C6424" t="str">
        <f t="shared" si="2633"/>
        <v>0000804363</v>
      </c>
      <c r="D6424" t="str">
        <f t="shared" si="2618"/>
        <v>73185</v>
      </c>
      <c r="E6424" t="str">
        <f t="shared" si="2619"/>
        <v>KFH-OPERATIONS DEPARTMENT</v>
      </c>
      <c r="F6424" t="str">
        <f t="shared" si="2620"/>
        <v>IBG</v>
      </c>
      <c r="G6424" t="str">
        <f t="shared" si="2631"/>
        <v>Refund COSHARE 10</v>
      </c>
      <c r="H6424" s="2">
        <v>155.55000000000001</v>
      </c>
      <c r="I6424" t="str">
        <f>"MAZITTA BINTI YAACOB"</f>
        <v>MAZITTA BINTI YAACOB</v>
      </c>
      <c r="J6424" t="str">
        <f t="shared" si="2617"/>
        <v>CIMB BANK / CIMB ISLAMIC BANK</v>
      </c>
      <c r="K6424" t="str">
        <f>"7023300731"</f>
        <v>7023300731</v>
      </c>
      <c r="L6424" t="str">
        <f t="shared" si="2621"/>
        <v>04-08-2020</v>
      </c>
      <c r="M6424" t="str">
        <f t="shared" si="2621"/>
        <v>04-08-2020</v>
      </c>
      <c r="N6424" t="str">
        <f t="shared" si="2622"/>
        <v>001105018356</v>
      </c>
      <c r="O6424" t="str">
        <f t="shared" si="2623"/>
        <v>MYR</v>
      </c>
      <c r="P6424" t="str">
        <f t="shared" si="2624"/>
        <v>NIL</v>
      </c>
      <c r="Q6424" t="str">
        <f t="shared" si="2624"/>
        <v>NIL</v>
      </c>
      <c r="R6424" t="str">
        <f t="shared" si="2611"/>
        <v>Accepted</v>
      </c>
      <c r="S6424" t="str">
        <f t="shared" si="2625"/>
        <v>Approved</v>
      </c>
      <c r="T6424" t="str">
        <f t="shared" si="2612"/>
        <v>10.20.8.188</v>
      </c>
      <c r="U6424" t="str">
        <f t="shared" si="2626"/>
        <v>AZRAD UMAR BIN SHAARI</v>
      </c>
      <c r="V6424" t="str">
        <f t="shared" si="2627"/>
        <v>FARHANA BINTI MUSTAPA</v>
      </c>
      <c r="W6424" t="str">
        <f t="shared" si="2628"/>
        <v>04-08-2020</v>
      </c>
      <c r="X6424" t="str">
        <f t="shared" si="2629"/>
        <v>RAZIMAH ANSAR AHMAD</v>
      </c>
      <c r="Y6424" t="str">
        <f t="shared" si="2630"/>
        <v>04-08-2020</v>
      </c>
      <c r="Z6424" t="str">
        <f>"COS10200804 2730"</f>
        <v>COS10200804 2730</v>
      </c>
    </row>
    <row r="6425" spans="1:26" x14ac:dyDescent="0.25">
      <c r="A6425" t="str">
        <f t="shared" si="2632"/>
        <v>04-08-2020 12:39:14</v>
      </c>
      <c r="B6425" t="str">
        <f>"0000804492"</f>
        <v>0000804492</v>
      </c>
      <c r="C6425" t="str">
        <f t="shared" si="2633"/>
        <v>0000804363</v>
      </c>
      <c r="D6425" t="str">
        <f t="shared" si="2618"/>
        <v>73185</v>
      </c>
      <c r="E6425" t="str">
        <f t="shared" si="2619"/>
        <v>KFH-OPERATIONS DEPARTMENT</v>
      </c>
      <c r="F6425" t="str">
        <f t="shared" si="2620"/>
        <v>IBG</v>
      </c>
      <c r="G6425" t="str">
        <f t="shared" si="2631"/>
        <v>Refund COSHARE 10</v>
      </c>
      <c r="H6425" s="2">
        <v>558.45000000000005</v>
      </c>
      <c r="I6425" t="str">
        <f>"MAZITA BINTI ABD GHANI"</f>
        <v>MAZITA BINTI ABD GHANI</v>
      </c>
      <c r="J6425" t="str">
        <f t="shared" si="2617"/>
        <v>CIMB BANK / CIMB ISLAMIC BANK</v>
      </c>
      <c r="K6425" t="str">
        <f>"13010004462203"</f>
        <v>13010004462203</v>
      </c>
      <c r="L6425" t="str">
        <f t="shared" si="2621"/>
        <v>04-08-2020</v>
      </c>
      <c r="M6425" t="str">
        <f t="shared" si="2621"/>
        <v>04-08-2020</v>
      </c>
      <c r="N6425" t="str">
        <f t="shared" si="2622"/>
        <v>001105018356</v>
      </c>
      <c r="O6425" t="str">
        <f t="shared" si="2623"/>
        <v>MYR</v>
      </c>
      <c r="P6425" t="str">
        <f t="shared" si="2624"/>
        <v>NIL</v>
      </c>
      <c r="Q6425" t="str">
        <f t="shared" si="2624"/>
        <v>NIL</v>
      </c>
      <c r="R6425" t="str">
        <f t="shared" si="2611"/>
        <v>Accepted</v>
      </c>
      <c r="S6425" t="str">
        <f t="shared" si="2625"/>
        <v>Approved</v>
      </c>
      <c r="T6425" t="str">
        <f t="shared" si="2612"/>
        <v>10.20.8.188</v>
      </c>
      <c r="U6425" t="str">
        <f t="shared" si="2626"/>
        <v>AZRAD UMAR BIN SHAARI</v>
      </c>
      <c r="V6425" t="str">
        <f t="shared" si="2627"/>
        <v>FARHANA BINTI MUSTAPA</v>
      </c>
      <c r="W6425" t="str">
        <f t="shared" si="2628"/>
        <v>04-08-2020</v>
      </c>
      <c r="X6425" t="str">
        <f t="shared" si="2629"/>
        <v>RAZIMAH ANSAR AHMAD</v>
      </c>
      <c r="Y6425" t="str">
        <f t="shared" si="2630"/>
        <v>04-08-2020</v>
      </c>
      <c r="Z6425" t="str">
        <f>"COS10200804 2729"</f>
        <v>COS10200804 2729</v>
      </c>
    </row>
    <row r="6426" spans="1:26" x14ac:dyDescent="0.25">
      <c r="A6426" t="str">
        <f t="shared" si="2632"/>
        <v>04-08-2020 12:39:14</v>
      </c>
      <c r="B6426" t="str">
        <f>"0000804491"</f>
        <v>0000804491</v>
      </c>
      <c r="C6426" t="str">
        <f t="shared" si="2633"/>
        <v>0000804363</v>
      </c>
      <c r="D6426" t="str">
        <f t="shared" si="2618"/>
        <v>73185</v>
      </c>
      <c r="E6426" t="str">
        <f t="shared" si="2619"/>
        <v>KFH-OPERATIONS DEPARTMENT</v>
      </c>
      <c r="F6426" t="str">
        <f t="shared" si="2620"/>
        <v>IBG</v>
      </c>
      <c r="G6426" t="str">
        <f t="shared" si="2631"/>
        <v>Refund COSHARE 10</v>
      </c>
      <c r="H6426" s="2">
        <v>164.05</v>
      </c>
      <c r="I6426" t="str">
        <f>"MAZIDAH BINTI YUNUS"</f>
        <v>MAZIDAH BINTI YUNUS</v>
      </c>
      <c r="J6426" t="str">
        <f t="shared" si="2617"/>
        <v>CIMB BANK / CIMB ISLAMIC BANK</v>
      </c>
      <c r="K6426" t="str">
        <f>"14200012159523"</f>
        <v>14200012159523</v>
      </c>
      <c r="L6426" t="str">
        <f t="shared" si="2621"/>
        <v>04-08-2020</v>
      </c>
      <c r="M6426" t="str">
        <f t="shared" si="2621"/>
        <v>04-08-2020</v>
      </c>
      <c r="N6426" t="str">
        <f t="shared" si="2622"/>
        <v>001105018356</v>
      </c>
      <c r="O6426" t="str">
        <f t="shared" si="2623"/>
        <v>MYR</v>
      </c>
      <c r="P6426" t="str">
        <f t="shared" si="2624"/>
        <v>NIL</v>
      </c>
      <c r="Q6426" t="str">
        <f t="shared" si="2624"/>
        <v>NIL</v>
      </c>
      <c r="R6426" t="str">
        <f t="shared" si="2611"/>
        <v>Accepted</v>
      </c>
      <c r="S6426" t="str">
        <f t="shared" si="2625"/>
        <v>Approved</v>
      </c>
      <c r="T6426" t="str">
        <f t="shared" si="2612"/>
        <v>10.20.8.188</v>
      </c>
      <c r="U6426" t="str">
        <f t="shared" si="2626"/>
        <v>AZRAD UMAR BIN SHAARI</v>
      </c>
      <c r="V6426" t="str">
        <f t="shared" si="2627"/>
        <v>FARHANA BINTI MUSTAPA</v>
      </c>
      <c r="W6426" t="str">
        <f t="shared" si="2628"/>
        <v>04-08-2020</v>
      </c>
      <c r="X6426" t="str">
        <f t="shared" si="2629"/>
        <v>RAZIMAH ANSAR AHMAD</v>
      </c>
      <c r="Y6426" t="str">
        <f t="shared" si="2630"/>
        <v>04-08-2020</v>
      </c>
      <c r="Z6426" t="str">
        <f>"COS10200804 2728"</f>
        <v>COS10200804 2728</v>
      </c>
    </row>
    <row r="6427" spans="1:26" x14ac:dyDescent="0.25">
      <c r="A6427" t="str">
        <f t="shared" si="2632"/>
        <v>04-08-2020 12:39:14</v>
      </c>
      <c r="B6427" t="str">
        <f>"0000804490"</f>
        <v>0000804490</v>
      </c>
      <c r="C6427" t="str">
        <f t="shared" si="2633"/>
        <v>0000804363</v>
      </c>
      <c r="D6427" t="str">
        <f t="shared" si="2618"/>
        <v>73185</v>
      </c>
      <c r="E6427" t="str">
        <f t="shared" si="2619"/>
        <v>KFH-OPERATIONS DEPARTMENT</v>
      </c>
      <c r="F6427" t="str">
        <f t="shared" si="2620"/>
        <v>IBG</v>
      </c>
      <c r="G6427" t="str">
        <f t="shared" si="2631"/>
        <v>Refund COSHARE 10</v>
      </c>
      <c r="H6427" s="2">
        <v>1015.8</v>
      </c>
      <c r="I6427" t="str">
        <f>"MAZIANA BINTI MAZLAN"</f>
        <v>MAZIANA BINTI MAZLAN</v>
      </c>
      <c r="J6427" t="str">
        <f t="shared" si="2617"/>
        <v>CIMB BANK / CIMB ISLAMIC BANK</v>
      </c>
      <c r="K6427" t="str">
        <f>"7035465903"</f>
        <v>7035465903</v>
      </c>
      <c r="L6427" t="str">
        <f t="shared" ref="L6427:M6446" si="2634">"04-08-2020"</f>
        <v>04-08-2020</v>
      </c>
      <c r="M6427" t="str">
        <f t="shared" si="2634"/>
        <v>04-08-2020</v>
      </c>
      <c r="N6427" t="str">
        <f t="shared" si="2622"/>
        <v>001105018356</v>
      </c>
      <c r="O6427" t="str">
        <f t="shared" si="2623"/>
        <v>MYR</v>
      </c>
      <c r="P6427" t="str">
        <f t="shared" ref="P6427:Q6446" si="2635">"NIL"</f>
        <v>NIL</v>
      </c>
      <c r="Q6427" t="str">
        <f t="shared" si="2635"/>
        <v>NIL</v>
      </c>
      <c r="R6427" t="str">
        <f t="shared" si="2611"/>
        <v>Accepted</v>
      </c>
      <c r="S6427" t="str">
        <f t="shared" si="2625"/>
        <v>Approved</v>
      </c>
      <c r="T6427" t="str">
        <f t="shared" si="2612"/>
        <v>10.20.8.188</v>
      </c>
      <c r="U6427" t="str">
        <f t="shared" si="2626"/>
        <v>AZRAD UMAR BIN SHAARI</v>
      </c>
      <c r="V6427" t="str">
        <f t="shared" si="2627"/>
        <v>FARHANA BINTI MUSTAPA</v>
      </c>
      <c r="W6427" t="str">
        <f t="shared" si="2628"/>
        <v>04-08-2020</v>
      </c>
      <c r="X6427" t="str">
        <f t="shared" si="2629"/>
        <v>RAZIMAH ANSAR AHMAD</v>
      </c>
      <c r="Y6427" t="str">
        <f t="shared" si="2630"/>
        <v>04-08-2020</v>
      </c>
      <c r="Z6427" t="str">
        <f>"COS10200804 2727"</f>
        <v>COS10200804 2727</v>
      </c>
    </row>
    <row r="6428" spans="1:26" x14ac:dyDescent="0.25">
      <c r="A6428" t="str">
        <f t="shared" si="2632"/>
        <v>04-08-2020 12:39:14</v>
      </c>
      <c r="B6428" t="str">
        <f>"0000804489"</f>
        <v>0000804489</v>
      </c>
      <c r="C6428" t="str">
        <f t="shared" si="2633"/>
        <v>0000804363</v>
      </c>
      <c r="D6428" t="str">
        <f t="shared" si="2618"/>
        <v>73185</v>
      </c>
      <c r="E6428" t="str">
        <f t="shared" si="2619"/>
        <v>KFH-OPERATIONS DEPARTMENT</v>
      </c>
      <c r="F6428" t="str">
        <f t="shared" si="2620"/>
        <v>IBG</v>
      </c>
      <c r="G6428" t="str">
        <f t="shared" si="2631"/>
        <v>Refund COSHARE 10</v>
      </c>
      <c r="H6428" s="2">
        <v>386.2</v>
      </c>
      <c r="I6428" t="str">
        <f>"MATHAN KUMAR AL MUNIANDY"</f>
        <v>MATHAN KUMAR AL MUNIANDY</v>
      </c>
      <c r="J6428" t="str">
        <f t="shared" si="2617"/>
        <v>CIMB BANK / CIMB ISLAMIC BANK</v>
      </c>
      <c r="K6428" t="str">
        <f>"12090036543522"</f>
        <v>12090036543522</v>
      </c>
      <c r="L6428" t="str">
        <f t="shared" si="2634"/>
        <v>04-08-2020</v>
      </c>
      <c r="M6428" t="str">
        <f t="shared" si="2634"/>
        <v>04-08-2020</v>
      </c>
      <c r="N6428" t="str">
        <f t="shared" si="2622"/>
        <v>001105018356</v>
      </c>
      <c r="O6428" t="str">
        <f t="shared" si="2623"/>
        <v>MYR</v>
      </c>
      <c r="P6428" t="str">
        <f t="shared" si="2635"/>
        <v>NIL</v>
      </c>
      <c r="Q6428" t="str">
        <f t="shared" si="2635"/>
        <v>NIL</v>
      </c>
      <c r="R6428" t="str">
        <f t="shared" si="2611"/>
        <v>Accepted</v>
      </c>
      <c r="S6428" t="str">
        <f t="shared" si="2625"/>
        <v>Approved</v>
      </c>
      <c r="T6428" t="str">
        <f t="shared" si="2612"/>
        <v>10.20.8.188</v>
      </c>
      <c r="U6428" t="str">
        <f t="shared" si="2626"/>
        <v>AZRAD UMAR BIN SHAARI</v>
      </c>
      <c r="V6428" t="str">
        <f t="shared" si="2627"/>
        <v>FARHANA BINTI MUSTAPA</v>
      </c>
      <c r="W6428" t="str">
        <f t="shared" si="2628"/>
        <v>04-08-2020</v>
      </c>
      <c r="X6428" t="str">
        <f t="shared" si="2629"/>
        <v>RAZIMAH ANSAR AHMAD</v>
      </c>
      <c r="Y6428" t="str">
        <f t="shared" si="2630"/>
        <v>04-08-2020</v>
      </c>
      <c r="Z6428" t="str">
        <f>"COS10200804 2726"</f>
        <v>COS10200804 2726</v>
      </c>
    </row>
    <row r="6429" spans="1:26" x14ac:dyDescent="0.25">
      <c r="A6429" t="str">
        <f t="shared" si="2632"/>
        <v>04-08-2020 12:39:14</v>
      </c>
      <c r="B6429" t="str">
        <f>"0000804488"</f>
        <v>0000804488</v>
      </c>
      <c r="C6429" t="str">
        <f t="shared" si="2633"/>
        <v>0000804363</v>
      </c>
      <c r="D6429" t="str">
        <f t="shared" si="2618"/>
        <v>73185</v>
      </c>
      <c r="E6429" t="str">
        <f t="shared" si="2619"/>
        <v>KFH-OPERATIONS DEPARTMENT</v>
      </c>
      <c r="F6429" t="str">
        <f t="shared" si="2620"/>
        <v>IBG</v>
      </c>
      <c r="G6429" t="str">
        <f t="shared" si="2631"/>
        <v>Refund COSHARE 10</v>
      </c>
      <c r="H6429" s="2">
        <v>623</v>
      </c>
      <c r="I6429" t="str">
        <f>"MAT AZRUL BIN MAT ESA"</f>
        <v>MAT AZRUL BIN MAT ESA</v>
      </c>
      <c r="J6429" t="str">
        <f t="shared" si="2617"/>
        <v>CIMB BANK / CIMB ISLAMIC BANK</v>
      </c>
      <c r="K6429" t="str">
        <f>"05090061657528"</f>
        <v>05090061657528</v>
      </c>
      <c r="L6429" t="str">
        <f t="shared" si="2634"/>
        <v>04-08-2020</v>
      </c>
      <c r="M6429" t="str">
        <f t="shared" si="2634"/>
        <v>04-08-2020</v>
      </c>
      <c r="N6429" t="str">
        <f t="shared" si="2622"/>
        <v>001105018356</v>
      </c>
      <c r="O6429" t="str">
        <f t="shared" si="2623"/>
        <v>MYR</v>
      </c>
      <c r="P6429" t="str">
        <f t="shared" si="2635"/>
        <v>NIL</v>
      </c>
      <c r="Q6429" t="str">
        <f t="shared" si="2635"/>
        <v>NIL</v>
      </c>
      <c r="R6429" t="str">
        <f t="shared" si="2611"/>
        <v>Accepted</v>
      </c>
      <c r="S6429" t="str">
        <f t="shared" si="2625"/>
        <v>Approved</v>
      </c>
      <c r="T6429" t="str">
        <f t="shared" si="2612"/>
        <v>10.20.8.188</v>
      </c>
      <c r="U6429" t="str">
        <f t="shared" si="2626"/>
        <v>AZRAD UMAR BIN SHAARI</v>
      </c>
      <c r="V6429" t="str">
        <f t="shared" si="2627"/>
        <v>FARHANA BINTI MUSTAPA</v>
      </c>
      <c r="W6429" t="str">
        <f t="shared" si="2628"/>
        <v>04-08-2020</v>
      </c>
      <c r="X6429" t="str">
        <f t="shared" si="2629"/>
        <v>RAZIMAH ANSAR AHMAD</v>
      </c>
      <c r="Y6429" t="str">
        <f t="shared" si="2630"/>
        <v>04-08-2020</v>
      </c>
      <c r="Z6429" t="str">
        <f>"COS10200804 2725"</f>
        <v>COS10200804 2725</v>
      </c>
    </row>
    <row r="6430" spans="1:26" x14ac:dyDescent="0.25">
      <c r="A6430" t="str">
        <f t="shared" si="2632"/>
        <v>04-08-2020 12:39:14</v>
      </c>
      <c r="B6430" t="str">
        <f>"0000804487"</f>
        <v>0000804487</v>
      </c>
      <c r="C6430" t="str">
        <f t="shared" si="2633"/>
        <v>0000804363</v>
      </c>
      <c r="D6430" t="str">
        <f t="shared" si="2618"/>
        <v>73185</v>
      </c>
      <c r="E6430" t="str">
        <f t="shared" si="2619"/>
        <v>KFH-OPERATIONS DEPARTMENT</v>
      </c>
      <c r="F6430" t="str">
        <f t="shared" si="2620"/>
        <v>IBG</v>
      </c>
      <c r="G6430" t="str">
        <f t="shared" si="2631"/>
        <v>Refund COSHARE 10</v>
      </c>
      <c r="H6430" s="2">
        <v>100.75</v>
      </c>
      <c r="I6430" t="str">
        <f>"MASTURA AYU BINTI JAMALUDIN"</f>
        <v>MASTURA AYU BINTI JAMALUDIN</v>
      </c>
      <c r="J6430" t="str">
        <f t="shared" si="2617"/>
        <v>CIMB BANK / CIMB ISLAMIC BANK</v>
      </c>
      <c r="K6430" t="str">
        <f>"07090061839527"</f>
        <v>07090061839527</v>
      </c>
      <c r="L6430" t="str">
        <f t="shared" si="2634"/>
        <v>04-08-2020</v>
      </c>
      <c r="M6430" t="str">
        <f t="shared" si="2634"/>
        <v>04-08-2020</v>
      </c>
      <c r="N6430" t="str">
        <f t="shared" si="2622"/>
        <v>001105018356</v>
      </c>
      <c r="O6430" t="str">
        <f t="shared" si="2623"/>
        <v>MYR</v>
      </c>
      <c r="P6430" t="str">
        <f t="shared" si="2635"/>
        <v>NIL</v>
      </c>
      <c r="Q6430" t="str">
        <f t="shared" si="2635"/>
        <v>NIL</v>
      </c>
      <c r="R6430" t="str">
        <f t="shared" si="2611"/>
        <v>Accepted</v>
      </c>
      <c r="S6430" t="str">
        <f t="shared" si="2625"/>
        <v>Approved</v>
      </c>
      <c r="T6430" t="str">
        <f t="shared" si="2612"/>
        <v>10.20.8.188</v>
      </c>
      <c r="U6430" t="str">
        <f t="shared" si="2626"/>
        <v>AZRAD UMAR BIN SHAARI</v>
      </c>
      <c r="V6430" t="str">
        <f t="shared" si="2627"/>
        <v>FARHANA BINTI MUSTAPA</v>
      </c>
      <c r="W6430" t="str">
        <f t="shared" si="2628"/>
        <v>04-08-2020</v>
      </c>
      <c r="X6430" t="str">
        <f t="shared" si="2629"/>
        <v>RAZIMAH ANSAR AHMAD</v>
      </c>
      <c r="Y6430" t="str">
        <f t="shared" si="2630"/>
        <v>04-08-2020</v>
      </c>
      <c r="Z6430" t="str">
        <f>"COS10200804 2724"</f>
        <v>COS10200804 2724</v>
      </c>
    </row>
    <row r="6431" spans="1:26" x14ac:dyDescent="0.25">
      <c r="A6431" t="str">
        <f t="shared" si="2632"/>
        <v>04-08-2020 12:39:14</v>
      </c>
      <c r="B6431" t="str">
        <f>"0000804486"</f>
        <v>0000804486</v>
      </c>
      <c r="C6431" t="str">
        <f t="shared" si="2633"/>
        <v>0000804363</v>
      </c>
      <c r="D6431" t="str">
        <f t="shared" si="2618"/>
        <v>73185</v>
      </c>
      <c r="E6431" t="str">
        <f t="shared" si="2619"/>
        <v>KFH-OPERATIONS DEPARTMENT</v>
      </c>
      <c r="F6431" t="str">
        <f t="shared" si="2620"/>
        <v>IBG</v>
      </c>
      <c r="G6431" t="str">
        <f t="shared" si="2631"/>
        <v>Refund COSHARE 10</v>
      </c>
      <c r="H6431" s="2">
        <v>327.45</v>
      </c>
      <c r="I6431" t="str">
        <f>"MASNAH BINTI SULAIMAN"</f>
        <v>MASNAH BINTI SULAIMAN</v>
      </c>
      <c r="J6431" t="str">
        <f t="shared" si="2617"/>
        <v>CIMB BANK / CIMB ISLAMIC BANK</v>
      </c>
      <c r="K6431" t="str">
        <f>"06010003516202"</f>
        <v>06010003516202</v>
      </c>
      <c r="L6431" t="str">
        <f t="shared" si="2634"/>
        <v>04-08-2020</v>
      </c>
      <c r="M6431" t="str">
        <f t="shared" si="2634"/>
        <v>04-08-2020</v>
      </c>
      <c r="N6431" t="str">
        <f t="shared" si="2622"/>
        <v>001105018356</v>
      </c>
      <c r="O6431" t="str">
        <f t="shared" si="2623"/>
        <v>MYR</v>
      </c>
      <c r="P6431" t="str">
        <f t="shared" si="2635"/>
        <v>NIL</v>
      </c>
      <c r="Q6431" t="str">
        <f t="shared" si="2635"/>
        <v>NIL</v>
      </c>
      <c r="R6431" t="str">
        <f t="shared" si="2611"/>
        <v>Accepted</v>
      </c>
      <c r="S6431" t="str">
        <f t="shared" si="2625"/>
        <v>Approved</v>
      </c>
      <c r="T6431" t="str">
        <f t="shared" si="2612"/>
        <v>10.20.8.188</v>
      </c>
      <c r="U6431" t="str">
        <f t="shared" si="2626"/>
        <v>AZRAD UMAR BIN SHAARI</v>
      </c>
      <c r="V6431" t="str">
        <f t="shared" si="2627"/>
        <v>FARHANA BINTI MUSTAPA</v>
      </c>
      <c r="W6431" t="str">
        <f t="shared" si="2628"/>
        <v>04-08-2020</v>
      </c>
      <c r="X6431" t="str">
        <f t="shared" si="2629"/>
        <v>RAZIMAH ANSAR AHMAD</v>
      </c>
      <c r="Y6431" t="str">
        <f t="shared" si="2630"/>
        <v>04-08-2020</v>
      </c>
      <c r="Z6431" t="str">
        <f>"COS10200804 2723"</f>
        <v>COS10200804 2723</v>
      </c>
    </row>
    <row r="6432" spans="1:26" x14ac:dyDescent="0.25">
      <c r="A6432" t="str">
        <f t="shared" si="2632"/>
        <v>04-08-2020 12:39:14</v>
      </c>
      <c r="B6432" t="str">
        <f>"0000804485"</f>
        <v>0000804485</v>
      </c>
      <c r="C6432" t="str">
        <f t="shared" si="2633"/>
        <v>0000804363</v>
      </c>
      <c r="D6432" t="str">
        <f t="shared" si="2618"/>
        <v>73185</v>
      </c>
      <c r="E6432" t="str">
        <f t="shared" si="2619"/>
        <v>KFH-OPERATIONS DEPARTMENT</v>
      </c>
      <c r="F6432" t="str">
        <f t="shared" si="2620"/>
        <v>IBG</v>
      </c>
      <c r="G6432" t="str">
        <f t="shared" si="2631"/>
        <v>Refund COSHARE 10</v>
      </c>
      <c r="H6432" s="2">
        <v>698.1</v>
      </c>
      <c r="I6432" t="str">
        <f>"MASNAH BINTI MOKHSIN"</f>
        <v>MASNAH BINTI MOKHSIN</v>
      </c>
      <c r="J6432" t="str">
        <f t="shared" si="2617"/>
        <v>CIMB BANK / CIMB ISLAMIC BANK</v>
      </c>
      <c r="K6432" t="str">
        <f>"10060004556521"</f>
        <v>10060004556521</v>
      </c>
      <c r="L6432" t="str">
        <f t="shared" si="2634"/>
        <v>04-08-2020</v>
      </c>
      <c r="M6432" t="str">
        <f t="shared" si="2634"/>
        <v>04-08-2020</v>
      </c>
      <c r="N6432" t="str">
        <f t="shared" si="2622"/>
        <v>001105018356</v>
      </c>
      <c r="O6432" t="str">
        <f t="shared" si="2623"/>
        <v>MYR</v>
      </c>
      <c r="P6432" t="str">
        <f t="shared" si="2635"/>
        <v>NIL</v>
      </c>
      <c r="Q6432" t="str">
        <f t="shared" si="2635"/>
        <v>NIL</v>
      </c>
      <c r="R6432" t="str">
        <f t="shared" si="2611"/>
        <v>Accepted</v>
      </c>
      <c r="S6432" t="str">
        <f t="shared" si="2625"/>
        <v>Approved</v>
      </c>
      <c r="T6432" t="str">
        <f t="shared" si="2612"/>
        <v>10.20.8.188</v>
      </c>
      <c r="U6432" t="str">
        <f t="shared" si="2626"/>
        <v>AZRAD UMAR BIN SHAARI</v>
      </c>
      <c r="V6432" t="str">
        <f t="shared" si="2627"/>
        <v>FARHANA BINTI MUSTAPA</v>
      </c>
      <c r="W6432" t="str">
        <f t="shared" si="2628"/>
        <v>04-08-2020</v>
      </c>
      <c r="X6432" t="str">
        <f t="shared" si="2629"/>
        <v>RAZIMAH ANSAR AHMAD</v>
      </c>
      <c r="Y6432" t="str">
        <f t="shared" si="2630"/>
        <v>04-08-2020</v>
      </c>
      <c r="Z6432" t="str">
        <f>"COS10200804 2722"</f>
        <v>COS10200804 2722</v>
      </c>
    </row>
    <row r="6433" spans="1:26" x14ac:dyDescent="0.25">
      <c r="A6433" t="str">
        <f t="shared" si="2632"/>
        <v>04-08-2020 12:39:14</v>
      </c>
      <c r="B6433" t="str">
        <f>"0000804484"</f>
        <v>0000804484</v>
      </c>
      <c r="C6433" t="str">
        <f t="shared" si="2633"/>
        <v>0000804363</v>
      </c>
      <c r="D6433" t="str">
        <f t="shared" si="2618"/>
        <v>73185</v>
      </c>
      <c r="E6433" t="str">
        <f t="shared" si="2619"/>
        <v>KFH-OPERATIONS DEPARTMENT</v>
      </c>
      <c r="F6433" t="str">
        <f t="shared" si="2620"/>
        <v>IBG</v>
      </c>
      <c r="G6433" t="str">
        <f t="shared" si="2631"/>
        <v>Refund COSHARE 10</v>
      </c>
      <c r="H6433" s="2">
        <v>1259.25</v>
      </c>
      <c r="I6433" t="str">
        <f>"MASMULIA BINTI ABDUL RAHMAN"</f>
        <v>MASMULIA BINTI ABDUL RAHMAN</v>
      </c>
      <c r="J6433" t="str">
        <f t="shared" si="2617"/>
        <v>CIMB BANK / CIMB ISLAMIC BANK</v>
      </c>
      <c r="K6433" t="str">
        <f>"14230068795526"</f>
        <v>14230068795526</v>
      </c>
      <c r="L6433" t="str">
        <f t="shared" si="2634"/>
        <v>04-08-2020</v>
      </c>
      <c r="M6433" t="str">
        <f t="shared" si="2634"/>
        <v>04-08-2020</v>
      </c>
      <c r="N6433" t="str">
        <f t="shared" si="2622"/>
        <v>001105018356</v>
      </c>
      <c r="O6433" t="str">
        <f t="shared" si="2623"/>
        <v>MYR</v>
      </c>
      <c r="P6433" t="str">
        <f t="shared" si="2635"/>
        <v>NIL</v>
      </c>
      <c r="Q6433" t="str">
        <f t="shared" si="2635"/>
        <v>NIL</v>
      </c>
      <c r="R6433" t="str">
        <f t="shared" si="2611"/>
        <v>Accepted</v>
      </c>
      <c r="S6433" t="str">
        <f t="shared" si="2625"/>
        <v>Approved</v>
      </c>
      <c r="T6433" t="str">
        <f t="shared" si="2612"/>
        <v>10.20.8.188</v>
      </c>
      <c r="U6433" t="str">
        <f t="shared" si="2626"/>
        <v>AZRAD UMAR BIN SHAARI</v>
      </c>
      <c r="V6433" t="str">
        <f t="shared" si="2627"/>
        <v>FARHANA BINTI MUSTAPA</v>
      </c>
      <c r="W6433" t="str">
        <f t="shared" si="2628"/>
        <v>04-08-2020</v>
      </c>
      <c r="X6433" t="str">
        <f t="shared" si="2629"/>
        <v>RAZIMAH ANSAR AHMAD</v>
      </c>
      <c r="Y6433" t="str">
        <f t="shared" si="2630"/>
        <v>04-08-2020</v>
      </c>
      <c r="Z6433" t="str">
        <f>"COS10200804 2721"</f>
        <v>COS10200804 2721</v>
      </c>
    </row>
    <row r="6434" spans="1:26" x14ac:dyDescent="0.25">
      <c r="A6434" t="str">
        <f t="shared" si="2632"/>
        <v>04-08-2020 12:39:14</v>
      </c>
      <c r="B6434" t="str">
        <f>"0000804483"</f>
        <v>0000804483</v>
      </c>
      <c r="C6434" t="str">
        <f t="shared" si="2633"/>
        <v>0000804363</v>
      </c>
      <c r="D6434" t="str">
        <f t="shared" si="2618"/>
        <v>73185</v>
      </c>
      <c r="E6434" t="str">
        <f t="shared" si="2619"/>
        <v>KFH-OPERATIONS DEPARTMENT</v>
      </c>
      <c r="F6434" t="str">
        <f t="shared" si="2620"/>
        <v>IBG</v>
      </c>
      <c r="G6434" t="str">
        <f t="shared" si="2631"/>
        <v>Refund COSHARE 10</v>
      </c>
      <c r="H6434" s="2">
        <v>167.9</v>
      </c>
      <c r="I6434" t="str">
        <f>"MASLIZA BINTI JAPAR ALI"</f>
        <v>MASLIZA BINTI JAPAR ALI</v>
      </c>
      <c r="J6434" t="str">
        <f t="shared" si="2617"/>
        <v>CIMB BANK / CIMB ISLAMIC BANK</v>
      </c>
      <c r="K6434" t="str">
        <f>"11130070762523"</f>
        <v>11130070762523</v>
      </c>
      <c r="L6434" t="str">
        <f t="shared" si="2634"/>
        <v>04-08-2020</v>
      </c>
      <c r="M6434" t="str">
        <f t="shared" si="2634"/>
        <v>04-08-2020</v>
      </c>
      <c r="N6434" t="str">
        <f t="shared" si="2622"/>
        <v>001105018356</v>
      </c>
      <c r="O6434" t="str">
        <f t="shared" si="2623"/>
        <v>MYR</v>
      </c>
      <c r="P6434" t="str">
        <f t="shared" si="2635"/>
        <v>NIL</v>
      </c>
      <c r="Q6434" t="str">
        <f t="shared" si="2635"/>
        <v>NIL</v>
      </c>
      <c r="R6434" t="str">
        <f t="shared" ref="R6434:R6497" si="2636">"Accepted"</f>
        <v>Accepted</v>
      </c>
      <c r="S6434" t="str">
        <f t="shared" si="2625"/>
        <v>Approved</v>
      </c>
      <c r="T6434" t="str">
        <f t="shared" ref="T6434:T6497" si="2637">"10.20.8.188"</f>
        <v>10.20.8.188</v>
      </c>
      <c r="U6434" t="str">
        <f t="shared" si="2626"/>
        <v>AZRAD UMAR BIN SHAARI</v>
      </c>
      <c r="V6434" t="str">
        <f t="shared" si="2627"/>
        <v>FARHANA BINTI MUSTAPA</v>
      </c>
      <c r="W6434" t="str">
        <f t="shared" si="2628"/>
        <v>04-08-2020</v>
      </c>
      <c r="X6434" t="str">
        <f t="shared" si="2629"/>
        <v>RAZIMAH ANSAR AHMAD</v>
      </c>
      <c r="Y6434" t="str">
        <f t="shared" si="2630"/>
        <v>04-08-2020</v>
      </c>
      <c r="Z6434" t="str">
        <f>"COS10200804 2720"</f>
        <v>COS10200804 2720</v>
      </c>
    </row>
    <row r="6435" spans="1:26" x14ac:dyDescent="0.25">
      <c r="A6435" t="str">
        <f t="shared" si="2632"/>
        <v>04-08-2020 12:39:14</v>
      </c>
      <c r="B6435" t="str">
        <f>"0000804482"</f>
        <v>0000804482</v>
      </c>
      <c r="C6435" t="str">
        <f t="shared" si="2633"/>
        <v>0000804363</v>
      </c>
      <c r="D6435" t="str">
        <f t="shared" si="2618"/>
        <v>73185</v>
      </c>
      <c r="E6435" t="str">
        <f t="shared" si="2619"/>
        <v>KFH-OPERATIONS DEPARTMENT</v>
      </c>
      <c r="F6435" t="str">
        <f t="shared" si="2620"/>
        <v>IBG</v>
      </c>
      <c r="G6435" t="str">
        <f t="shared" si="2631"/>
        <v>Refund COSHARE 10</v>
      </c>
      <c r="H6435" s="2">
        <v>823.5</v>
      </c>
      <c r="I6435" t="str">
        <f>"MASLINA BINTI MAT GHANI"</f>
        <v>MASLINA BINTI MAT GHANI</v>
      </c>
      <c r="J6435" t="str">
        <f t="shared" si="2617"/>
        <v>CIMB BANK / CIMB ISLAMIC BANK</v>
      </c>
      <c r="K6435" t="str">
        <f>"7002789243"</f>
        <v>7002789243</v>
      </c>
      <c r="L6435" t="str">
        <f t="shared" si="2634"/>
        <v>04-08-2020</v>
      </c>
      <c r="M6435" t="str">
        <f t="shared" si="2634"/>
        <v>04-08-2020</v>
      </c>
      <c r="N6435" t="str">
        <f t="shared" si="2622"/>
        <v>001105018356</v>
      </c>
      <c r="O6435" t="str">
        <f t="shared" si="2623"/>
        <v>MYR</v>
      </c>
      <c r="P6435" t="str">
        <f t="shared" si="2635"/>
        <v>NIL</v>
      </c>
      <c r="Q6435" t="str">
        <f t="shared" si="2635"/>
        <v>NIL</v>
      </c>
      <c r="R6435" t="str">
        <f t="shared" si="2636"/>
        <v>Accepted</v>
      </c>
      <c r="S6435" t="str">
        <f t="shared" si="2625"/>
        <v>Approved</v>
      </c>
      <c r="T6435" t="str">
        <f t="shared" si="2637"/>
        <v>10.20.8.188</v>
      </c>
      <c r="U6435" t="str">
        <f t="shared" si="2626"/>
        <v>AZRAD UMAR BIN SHAARI</v>
      </c>
      <c r="V6435" t="str">
        <f t="shared" si="2627"/>
        <v>FARHANA BINTI MUSTAPA</v>
      </c>
      <c r="W6435" t="str">
        <f t="shared" si="2628"/>
        <v>04-08-2020</v>
      </c>
      <c r="X6435" t="str">
        <f t="shared" si="2629"/>
        <v>RAZIMAH ANSAR AHMAD</v>
      </c>
      <c r="Y6435" t="str">
        <f t="shared" si="2630"/>
        <v>04-08-2020</v>
      </c>
      <c r="Z6435" t="str">
        <f>"COS10200804 2719"</f>
        <v>COS10200804 2719</v>
      </c>
    </row>
    <row r="6436" spans="1:26" x14ac:dyDescent="0.25">
      <c r="A6436" t="str">
        <f t="shared" si="2632"/>
        <v>04-08-2020 12:39:14</v>
      </c>
      <c r="B6436" t="str">
        <f>"0000804481"</f>
        <v>0000804481</v>
      </c>
      <c r="C6436" t="str">
        <f t="shared" si="2633"/>
        <v>0000804363</v>
      </c>
      <c r="D6436" t="str">
        <f t="shared" si="2618"/>
        <v>73185</v>
      </c>
      <c r="E6436" t="str">
        <f t="shared" si="2619"/>
        <v>KFH-OPERATIONS DEPARTMENT</v>
      </c>
      <c r="F6436" t="str">
        <f t="shared" si="2620"/>
        <v>IBG</v>
      </c>
      <c r="G6436" t="str">
        <f t="shared" si="2631"/>
        <v>Refund COSHARE 10</v>
      </c>
      <c r="H6436" s="2">
        <v>167</v>
      </c>
      <c r="I6436" t="str">
        <f>"MASITAH BINTI PUTIT"</f>
        <v>MASITAH BINTI PUTIT</v>
      </c>
      <c r="J6436" t="str">
        <f t="shared" si="2617"/>
        <v>CIMB BANK / CIMB ISLAMIC BANK</v>
      </c>
      <c r="K6436" t="str">
        <f>"11100071039524"</f>
        <v>11100071039524</v>
      </c>
      <c r="L6436" t="str">
        <f t="shared" si="2634"/>
        <v>04-08-2020</v>
      </c>
      <c r="M6436" t="str">
        <f t="shared" si="2634"/>
        <v>04-08-2020</v>
      </c>
      <c r="N6436" t="str">
        <f t="shared" si="2622"/>
        <v>001105018356</v>
      </c>
      <c r="O6436" t="str">
        <f t="shared" si="2623"/>
        <v>MYR</v>
      </c>
      <c r="P6436" t="str">
        <f t="shared" si="2635"/>
        <v>NIL</v>
      </c>
      <c r="Q6436" t="str">
        <f t="shared" si="2635"/>
        <v>NIL</v>
      </c>
      <c r="R6436" t="str">
        <f t="shared" si="2636"/>
        <v>Accepted</v>
      </c>
      <c r="S6436" t="str">
        <f t="shared" si="2625"/>
        <v>Approved</v>
      </c>
      <c r="T6436" t="str">
        <f t="shared" si="2637"/>
        <v>10.20.8.188</v>
      </c>
      <c r="U6436" t="str">
        <f t="shared" si="2626"/>
        <v>AZRAD UMAR BIN SHAARI</v>
      </c>
      <c r="V6436" t="str">
        <f t="shared" si="2627"/>
        <v>FARHANA BINTI MUSTAPA</v>
      </c>
      <c r="W6436" t="str">
        <f t="shared" si="2628"/>
        <v>04-08-2020</v>
      </c>
      <c r="X6436" t="str">
        <f t="shared" si="2629"/>
        <v>RAZIMAH ANSAR AHMAD</v>
      </c>
      <c r="Y6436" t="str">
        <f t="shared" si="2630"/>
        <v>04-08-2020</v>
      </c>
      <c r="Z6436" t="str">
        <f>"COS10200804 2718"</f>
        <v>COS10200804 2718</v>
      </c>
    </row>
    <row r="6437" spans="1:26" x14ac:dyDescent="0.25">
      <c r="A6437" t="str">
        <f t="shared" si="2632"/>
        <v>04-08-2020 12:39:14</v>
      </c>
      <c r="B6437" t="str">
        <f>"0000804480"</f>
        <v>0000804480</v>
      </c>
      <c r="C6437" t="str">
        <f t="shared" si="2633"/>
        <v>0000804363</v>
      </c>
      <c r="D6437" t="str">
        <f t="shared" si="2618"/>
        <v>73185</v>
      </c>
      <c r="E6437" t="str">
        <f t="shared" si="2619"/>
        <v>KFH-OPERATIONS DEPARTMENT</v>
      </c>
      <c r="F6437" t="str">
        <f t="shared" si="2620"/>
        <v>IBG</v>
      </c>
      <c r="G6437" t="str">
        <f t="shared" si="2631"/>
        <v>Refund COSHARE 10</v>
      </c>
      <c r="H6437" s="2">
        <v>713.6</v>
      </c>
      <c r="I6437" t="str">
        <f>"MASITA BINTI MAHIDI"</f>
        <v>MASITA BINTI MAHIDI</v>
      </c>
      <c r="J6437" t="str">
        <f t="shared" si="2617"/>
        <v>CIMB BANK / CIMB ISLAMIC BANK</v>
      </c>
      <c r="K6437" t="str">
        <f>"11060062550528"</f>
        <v>11060062550528</v>
      </c>
      <c r="L6437" t="str">
        <f t="shared" si="2634"/>
        <v>04-08-2020</v>
      </c>
      <c r="M6437" t="str">
        <f t="shared" si="2634"/>
        <v>04-08-2020</v>
      </c>
      <c r="N6437" t="str">
        <f t="shared" si="2622"/>
        <v>001105018356</v>
      </c>
      <c r="O6437" t="str">
        <f t="shared" si="2623"/>
        <v>MYR</v>
      </c>
      <c r="P6437" t="str">
        <f t="shared" si="2635"/>
        <v>NIL</v>
      </c>
      <c r="Q6437" t="str">
        <f t="shared" si="2635"/>
        <v>NIL</v>
      </c>
      <c r="R6437" t="str">
        <f t="shared" si="2636"/>
        <v>Accepted</v>
      </c>
      <c r="S6437" t="str">
        <f t="shared" si="2625"/>
        <v>Approved</v>
      </c>
      <c r="T6437" t="str">
        <f t="shared" si="2637"/>
        <v>10.20.8.188</v>
      </c>
      <c r="U6437" t="str">
        <f t="shared" si="2626"/>
        <v>AZRAD UMAR BIN SHAARI</v>
      </c>
      <c r="V6437" t="str">
        <f t="shared" si="2627"/>
        <v>FARHANA BINTI MUSTAPA</v>
      </c>
      <c r="W6437" t="str">
        <f t="shared" si="2628"/>
        <v>04-08-2020</v>
      </c>
      <c r="X6437" t="str">
        <f t="shared" si="2629"/>
        <v>RAZIMAH ANSAR AHMAD</v>
      </c>
      <c r="Y6437" t="str">
        <f t="shared" si="2630"/>
        <v>04-08-2020</v>
      </c>
      <c r="Z6437" t="str">
        <f>"COS10200804 2717"</f>
        <v>COS10200804 2717</v>
      </c>
    </row>
    <row r="6438" spans="1:26" x14ac:dyDescent="0.25">
      <c r="A6438" t="str">
        <f t="shared" si="2632"/>
        <v>04-08-2020 12:39:14</v>
      </c>
      <c r="B6438" t="str">
        <f>"0000804479"</f>
        <v>0000804479</v>
      </c>
      <c r="C6438" t="str">
        <f t="shared" si="2633"/>
        <v>0000804363</v>
      </c>
      <c r="D6438" t="str">
        <f t="shared" si="2618"/>
        <v>73185</v>
      </c>
      <c r="E6438" t="str">
        <f t="shared" si="2619"/>
        <v>KFH-OPERATIONS DEPARTMENT</v>
      </c>
      <c r="F6438" t="str">
        <f t="shared" si="2620"/>
        <v>IBG</v>
      </c>
      <c r="G6438" t="str">
        <f t="shared" si="2631"/>
        <v>Refund COSHARE 10</v>
      </c>
      <c r="H6438" s="2">
        <v>1091.05</v>
      </c>
      <c r="I6438" t="str">
        <f>"MASINAH BINTI MOHD ARIFF"</f>
        <v>MASINAH BINTI MOHD ARIFF</v>
      </c>
      <c r="J6438" t="str">
        <f t="shared" si="2617"/>
        <v>CIMB BANK / CIMB ISLAMIC BANK</v>
      </c>
      <c r="K6438" t="str">
        <f>"7012851964"</f>
        <v>7012851964</v>
      </c>
      <c r="L6438" t="str">
        <f t="shared" si="2634"/>
        <v>04-08-2020</v>
      </c>
      <c r="M6438" t="str">
        <f t="shared" si="2634"/>
        <v>04-08-2020</v>
      </c>
      <c r="N6438" t="str">
        <f t="shared" si="2622"/>
        <v>001105018356</v>
      </c>
      <c r="O6438" t="str">
        <f t="shared" si="2623"/>
        <v>MYR</v>
      </c>
      <c r="P6438" t="str">
        <f t="shared" si="2635"/>
        <v>NIL</v>
      </c>
      <c r="Q6438" t="str">
        <f t="shared" si="2635"/>
        <v>NIL</v>
      </c>
      <c r="R6438" t="str">
        <f t="shared" si="2636"/>
        <v>Accepted</v>
      </c>
      <c r="S6438" t="str">
        <f t="shared" si="2625"/>
        <v>Approved</v>
      </c>
      <c r="T6438" t="str">
        <f t="shared" si="2637"/>
        <v>10.20.8.188</v>
      </c>
      <c r="U6438" t="str">
        <f t="shared" si="2626"/>
        <v>AZRAD UMAR BIN SHAARI</v>
      </c>
      <c r="V6438" t="str">
        <f t="shared" si="2627"/>
        <v>FARHANA BINTI MUSTAPA</v>
      </c>
      <c r="W6438" t="str">
        <f t="shared" si="2628"/>
        <v>04-08-2020</v>
      </c>
      <c r="X6438" t="str">
        <f t="shared" si="2629"/>
        <v>RAZIMAH ANSAR AHMAD</v>
      </c>
      <c r="Y6438" t="str">
        <f t="shared" si="2630"/>
        <v>04-08-2020</v>
      </c>
      <c r="Z6438" t="str">
        <f>"COS10200804 2716"</f>
        <v>COS10200804 2716</v>
      </c>
    </row>
    <row r="6439" spans="1:26" x14ac:dyDescent="0.25">
      <c r="A6439" t="str">
        <f t="shared" si="2632"/>
        <v>04-08-2020 12:39:14</v>
      </c>
      <c r="B6439" t="str">
        <f>"0000804478"</f>
        <v>0000804478</v>
      </c>
      <c r="C6439" t="str">
        <f t="shared" si="2633"/>
        <v>0000804363</v>
      </c>
      <c r="D6439" t="str">
        <f t="shared" si="2618"/>
        <v>73185</v>
      </c>
      <c r="E6439" t="str">
        <f t="shared" si="2619"/>
        <v>KFH-OPERATIONS DEPARTMENT</v>
      </c>
      <c r="F6439" t="str">
        <f t="shared" si="2620"/>
        <v>IBG</v>
      </c>
      <c r="G6439" t="str">
        <f t="shared" si="2631"/>
        <v>Refund COSHARE 10</v>
      </c>
      <c r="H6439" s="2">
        <v>889.9</v>
      </c>
      <c r="I6439" t="str">
        <f>"MASILAWATI BINTI MD ASIM"</f>
        <v>MASILAWATI BINTI MD ASIM</v>
      </c>
      <c r="J6439" t="str">
        <f t="shared" si="2617"/>
        <v>CIMB BANK / CIMB ISLAMIC BANK</v>
      </c>
      <c r="K6439" t="str">
        <f>"14420014619524"</f>
        <v>14420014619524</v>
      </c>
      <c r="L6439" t="str">
        <f t="shared" si="2634"/>
        <v>04-08-2020</v>
      </c>
      <c r="M6439" t="str">
        <f t="shared" si="2634"/>
        <v>04-08-2020</v>
      </c>
      <c r="N6439" t="str">
        <f t="shared" si="2622"/>
        <v>001105018356</v>
      </c>
      <c r="O6439" t="str">
        <f t="shared" si="2623"/>
        <v>MYR</v>
      </c>
      <c r="P6439" t="str">
        <f t="shared" si="2635"/>
        <v>NIL</v>
      </c>
      <c r="Q6439" t="str">
        <f t="shared" si="2635"/>
        <v>NIL</v>
      </c>
      <c r="R6439" t="str">
        <f t="shared" si="2636"/>
        <v>Accepted</v>
      </c>
      <c r="S6439" t="str">
        <f t="shared" si="2625"/>
        <v>Approved</v>
      </c>
      <c r="T6439" t="str">
        <f t="shared" si="2637"/>
        <v>10.20.8.188</v>
      </c>
      <c r="U6439" t="str">
        <f t="shared" si="2626"/>
        <v>AZRAD UMAR BIN SHAARI</v>
      </c>
      <c r="V6439" t="str">
        <f t="shared" si="2627"/>
        <v>FARHANA BINTI MUSTAPA</v>
      </c>
      <c r="W6439" t="str">
        <f t="shared" si="2628"/>
        <v>04-08-2020</v>
      </c>
      <c r="X6439" t="str">
        <f t="shared" si="2629"/>
        <v>RAZIMAH ANSAR AHMAD</v>
      </c>
      <c r="Y6439" t="str">
        <f t="shared" si="2630"/>
        <v>04-08-2020</v>
      </c>
      <c r="Z6439" t="str">
        <f>"COS10200804 2715"</f>
        <v>COS10200804 2715</v>
      </c>
    </row>
    <row r="6440" spans="1:26" x14ac:dyDescent="0.25">
      <c r="A6440" t="str">
        <f t="shared" si="2632"/>
        <v>04-08-2020 12:39:14</v>
      </c>
      <c r="B6440" t="str">
        <f>"0000804477"</f>
        <v>0000804477</v>
      </c>
      <c r="C6440" t="str">
        <f t="shared" si="2633"/>
        <v>0000804363</v>
      </c>
      <c r="D6440" t="str">
        <f t="shared" si="2618"/>
        <v>73185</v>
      </c>
      <c r="E6440" t="str">
        <f t="shared" si="2619"/>
        <v>KFH-OPERATIONS DEPARTMENT</v>
      </c>
      <c r="F6440" t="str">
        <f t="shared" si="2620"/>
        <v>IBG</v>
      </c>
      <c r="G6440" t="str">
        <f t="shared" si="2631"/>
        <v>Refund COSHARE 10</v>
      </c>
      <c r="H6440" s="2">
        <v>443</v>
      </c>
      <c r="I6440" t="str">
        <f>"MARZIANA BINTI HAJI ASMAWI"</f>
        <v>MARZIANA BINTI HAJI ASMAWI</v>
      </c>
      <c r="J6440" t="str">
        <f t="shared" si="2617"/>
        <v>CIMB BANK / CIMB ISLAMIC BANK</v>
      </c>
      <c r="K6440" t="str">
        <f>"02050119437523"</f>
        <v>02050119437523</v>
      </c>
      <c r="L6440" t="str">
        <f t="shared" si="2634"/>
        <v>04-08-2020</v>
      </c>
      <c r="M6440" t="str">
        <f t="shared" si="2634"/>
        <v>04-08-2020</v>
      </c>
      <c r="N6440" t="str">
        <f t="shared" si="2622"/>
        <v>001105018356</v>
      </c>
      <c r="O6440" t="str">
        <f t="shared" si="2623"/>
        <v>MYR</v>
      </c>
      <c r="P6440" t="str">
        <f t="shared" si="2635"/>
        <v>NIL</v>
      </c>
      <c r="Q6440" t="str">
        <f t="shared" si="2635"/>
        <v>NIL</v>
      </c>
      <c r="R6440" t="str">
        <f t="shared" si="2636"/>
        <v>Accepted</v>
      </c>
      <c r="S6440" t="str">
        <f t="shared" si="2625"/>
        <v>Approved</v>
      </c>
      <c r="T6440" t="str">
        <f t="shared" si="2637"/>
        <v>10.20.8.188</v>
      </c>
      <c r="U6440" t="str">
        <f t="shared" si="2626"/>
        <v>AZRAD UMAR BIN SHAARI</v>
      </c>
      <c r="V6440" t="str">
        <f t="shared" si="2627"/>
        <v>FARHANA BINTI MUSTAPA</v>
      </c>
      <c r="W6440" t="str">
        <f t="shared" si="2628"/>
        <v>04-08-2020</v>
      </c>
      <c r="X6440" t="str">
        <f t="shared" si="2629"/>
        <v>RAZIMAH ANSAR AHMAD</v>
      </c>
      <c r="Y6440" t="str">
        <f t="shared" si="2630"/>
        <v>04-08-2020</v>
      </c>
      <c r="Z6440" t="str">
        <f>"COS10200804 2714"</f>
        <v>COS10200804 2714</v>
      </c>
    </row>
    <row r="6441" spans="1:26" x14ac:dyDescent="0.25">
      <c r="A6441" t="str">
        <f t="shared" si="2632"/>
        <v>04-08-2020 12:39:14</v>
      </c>
      <c r="B6441" t="str">
        <f>"0000804476"</f>
        <v>0000804476</v>
      </c>
      <c r="C6441" t="str">
        <f t="shared" si="2633"/>
        <v>0000804363</v>
      </c>
      <c r="D6441" t="str">
        <f t="shared" si="2618"/>
        <v>73185</v>
      </c>
      <c r="E6441" t="str">
        <f t="shared" si="2619"/>
        <v>KFH-OPERATIONS DEPARTMENT</v>
      </c>
      <c r="F6441" t="str">
        <f t="shared" si="2620"/>
        <v>IBG</v>
      </c>
      <c r="G6441" t="str">
        <f t="shared" si="2631"/>
        <v>Refund COSHARE 10</v>
      </c>
      <c r="H6441" s="2">
        <v>42</v>
      </c>
      <c r="I6441" t="str">
        <f>"MARZIA BINTI MUHAMAD"</f>
        <v>MARZIA BINTI MUHAMAD</v>
      </c>
      <c r="J6441" t="str">
        <f t="shared" si="2617"/>
        <v>CIMB BANK / CIMB ISLAMIC BANK</v>
      </c>
      <c r="K6441" t="str">
        <f>"04080063134522"</f>
        <v>04080063134522</v>
      </c>
      <c r="L6441" t="str">
        <f t="shared" si="2634"/>
        <v>04-08-2020</v>
      </c>
      <c r="M6441" t="str">
        <f t="shared" si="2634"/>
        <v>04-08-2020</v>
      </c>
      <c r="N6441" t="str">
        <f t="shared" si="2622"/>
        <v>001105018356</v>
      </c>
      <c r="O6441" t="str">
        <f t="shared" si="2623"/>
        <v>MYR</v>
      </c>
      <c r="P6441" t="str">
        <f t="shared" si="2635"/>
        <v>NIL</v>
      </c>
      <c r="Q6441" t="str">
        <f t="shared" si="2635"/>
        <v>NIL</v>
      </c>
      <c r="R6441" t="str">
        <f t="shared" si="2636"/>
        <v>Accepted</v>
      </c>
      <c r="S6441" t="str">
        <f t="shared" si="2625"/>
        <v>Approved</v>
      </c>
      <c r="T6441" t="str">
        <f t="shared" si="2637"/>
        <v>10.20.8.188</v>
      </c>
      <c r="U6441" t="str">
        <f t="shared" si="2626"/>
        <v>AZRAD UMAR BIN SHAARI</v>
      </c>
      <c r="V6441" t="str">
        <f t="shared" si="2627"/>
        <v>FARHANA BINTI MUSTAPA</v>
      </c>
      <c r="W6441" t="str">
        <f t="shared" si="2628"/>
        <v>04-08-2020</v>
      </c>
      <c r="X6441" t="str">
        <f t="shared" si="2629"/>
        <v>RAZIMAH ANSAR AHMAD</v>
      </c>
      <c r="Y6441" t="str">
        <f t="shared" si="2630"/>
        <v>04-08-2020</v>
      </c>
      <c r="Z6441" t="str">
        <f>"COS10200804 2713"</f>
        <v>COS10200804 2713</v>
      </c>
    </row>
    <row r="6442" spans="1:26" x14ac:dyDescent="0.25">
      <c r="A6442" t="str">
        <f t="shared" si="2632"/>
        <v>04-08-2020 12:39:14</v>
      </c>
      <c r="B6442" t="str">
        <f>"0000804475"</f>
        <v>0000804475</v>
      </c>
      <c r="C6442" t="str">
        <f t="shared" si="2633"/>
        <v>0000804363</v>
      </c>
      <c r="D6442" t="str">
        <f t="shared" si="2618"/>
        <v>73185</v>
      </c>
      <c r="E6442" t="str">
        <f t="shared" si="2619"/>
        <v>KFH-OPERATIONS DEPARTMENT</v>
      </c>
      <c r="F6442" t="str">
        <f t="shared" si="2620"/>
        <v>IBG</v>
      </c>
      <c r="G6442" t="str">
        <f t="shared" si="2631"/>
        <v>Refund COSHARE 10</v>
      </c>
      <c r="H6442" s="2">
        <v>419.75</v>
      </c>
      <c r="I6442" t="str">
        <f>"MARUNI ANAK LANGGA"</f>
        <v>MARUNI ANAK LANGGA</v>
      </c>
      <c r="J6442" t="str">
        <f t="shared" si="2617"/>
        <v>CIMB BANK / CIMB ISLAMIC BANK</v>
      </c>
      <c r="K6442" t="str">
        <f>"11080074047524"</f>
        <v>11080074047524</v>
      </c>
      <c r="L6442" t="str">
        <f t="shared" si="2634"/>
        <v>04-08-2020</v>
      </c>
      <c r="M6442" t="str">
        <f t="shared" si="2634"/>
        <v>04-08-2020</v>
      </c>
      <c r="N6442" t="str">
        <f t="shared" si="2622"/>
        <v>001105018356</v>
      </c>
      <c r="O6442" t="str">
        <f t="shared" si="2623"/>
        <v>MYR</v>
      </c>
      <c r="P6442" t="str">
        <f t="shared" si="2635"/>
        <v>NIL</v>
      </c>
      <c r="Q6442" t="str">
        <f t="shared" si="2635"/>
        <v>NIL</v>
      </c>
      <c r="R6442" t="str">
        <f t="shared" si="2636"/>
        <v>Accepted</v>
      </c>
      <c r="S6442" t="str">
        <f t="shared" si="2625"/>
        <v>Approved</v>
      </c>
      <c r="T6442" t="str">
        <f t="shared" si="2637"/>
        <v>10.20.8.188</v>
      </c>
      <c r="U6442" t="str">
        <f t="shared" si="2626"/>
        <v>AZRAD UMAR BIN SHAARI</v>
      </c>
      <c r="V6442" t="str">
        <f t="shared" si="2627"/>
        <v>FARHANA BINTI MUSTAPA</v>
      </c>
      <c r="W6442" t="str">
        <f t="shared" si="2628"/>
        <v>04-08-2020</v>
      </c>
      <c r="X6442" t="str">
        <f t="shared" si="2629"/>
        <v>RAZIMAH ANSAR AHMAD</v>
      </c>
      <c r="Y6442" t="str">
        <f t="shared" si="2630"/>
        <v>04-08-2020</v>
      </c>
      <c r="Z6442" t="str">
        <f>"COS10200804 2712"</f>
        <v>COS10200804 2712</v>
      </c>
    </row>
    <row r="6443" spans="1:26" x14ac:dyDescent="0.25">
      <c r="A6443" t="str">
        <f t="shared" si="2632"/>
        <v>04-08-2020 12:39:14</v>
      </c>
      <c r="B6443" t="str">
        <f>"0000804474"</f>
        <v>0000804474</v>
      </c>
      <c r="C6443" t="str">
        <f t="shared" si="2633"/>
        <v>0000804363</v>
      </c>
      <c r="D6443" t="str">
        <f t="shared" si="2618"/>
        <v>73185</v>
      </c>
      <c r="E6443" t="str">
        <f t="shared" si="2619"/>
        <v>KFH-OPERATIONS DEPARTMENT</v>
      </c>
      <c r="F6443" t="str">
        <f t="shared" si="2620"/>
        <v>IBG</v>
      </c>
      <c r="G6443" t="str">
        <f t="shared" si="2631"/>
        <v>Refund COSHARE 10</v>
      </c>
      <c r="H6443" s="2">
        <v>209.9</v>
      </c>
      <c r="I6443" t="str">
        <f>"MARRINA BINTI MOHAMAD"</f>
        <v>MARRINA BINTI MOHAMAD</v>
      </c>
      <c r="J6443" t="str">
        <f t="shared" si="2617"/>
        <v>CIMB BANK / CIMB ISLAMIC BANK</v>
      </c>
      <c r="K6443" t="str">
        <f>"01060052664520"</f>
        <v>01060052664520</v>
      </c>
      <c r="L6443" t="str">
        <f t="shared" si="2634"/>
        <v>04-08-2020</v>
      </c>
      <c r="M6443" t="str">
        <f t="shared" si="2634"/>
        <v>04-08-2020</v>
      </c>
      <c r="N6443" t="str">
        <f t="shared" si="2622"/>
        <v>001105018356</v>
      </c>
      <c r="O6443" t="str">
        <f t="shared" si="2623"/>
        <v>MYR</v>
      </c>
      <c r="P6443" t="str">
        <f t="shared" si="2635"/>
        <v>NIL</v>
      </c>
      <c r="Q6443" t="str">
        <f t="shared" si="2635"/>
        <v>NIL</v>
      </c>
      <c r="R6443" t="str">
        <f t="shared" si="2636"/>
        <v>Accepted</v>
      </c>
      <c r="S6443" t="str">
        <f t="shared" si="2625"/>
        <v>Approved</v>
      </c>
      <c r="T6443" t="str">
        <f t="shared" si="2637"/>
        <v>10.20.8.188</v>
      </c>
      <c r="U6443" t="str">
        <f t="shared" si="2626"/>
        <v>AZRAD UMAR BIN SHAARI</v>
      </c>
      <c r="V6443" t="str">
        <f t="shared" si="2627"/>
        <v>FARHANA BINTI MUSTAPA</v>
      </c>
      <c r="W6443" t="str">
        <f t="shared" si="2628"/>
        <v>04-08-2020</v>
      </c>
      <c r="X6443" t="str">
        <f t="shared" si="2629"/>
        <v>RAZIMAH ANSAR AHMAD</v>
      </c>
      <c r="Y6443" t="str">
        <f t="shared" si="2630"/>
        <v>04-08-2020</v>
      </c>
      <c r="Z6443" t="str">
        <f>"COS10200804 2711"</f>
        <v>COS10200804 2711</v>
      </c>
    </row>
    <row r="6444" spans="1:26" x14ac:dyDescent="0.25">
      <c r="A6444" t="str">
        <f t="shared" si="2632"/>
        <v>04-08-2020 12:39:14</v>
      </c>
      <c r="B6444" t="str">
        <f>"0000804473"</f>
        <v>0000804473</v>
      </c>
      <c r="C6444" t="str">
        <f t="shared" si="2633"/>
        <v>0000804363</v>
      </c>
      <c r="D6444" t="str">
        <f t="shared" si="2618"/>
        <v>73185</v>
      </c>
      <c r="E6444" t="str">
        <f t="shared" si="2619"/>
        <v>KFH-OPERATIONS DEPARTMENT</v>
      </c>
      <c r="F6444" t="str">
        <f t="shared" si="2620"/>
        <v>IBG</v>
      </c>
      <c r="G6444" t="str">
        <f t="shared" si="2631"/>
        <v>Refund COSHARE 10</v>
      </c>
      <c r="H6444" s="2">
        <v>621.25</v>
      </c>
      <c r="I6444" t="str">
        <f>"MARLINA BT OMARSAH"</f>
        <v>MARLINA BT OMARSAH</v>
      </c>
      <c r="J6444" t="str">
        <f t="shared" si="2617"/>
        <v>CIMB BANK / CIMB ISLAMIC BANK</v>
      </c>
      <c r="K6444" t="str">
        <f>"7620820250"</f>
        <v>7620820250</v>
      </c>
      <c r="L6444" t="str">
        <f t="shared" si="2634"/>
        <v>04-08-2020</v>
      </c>
      <c r="M6444" t="str">
        <f t="shared" si="2634"/>
        <v>04-08-2020</v>
      </c>
      <c r="N6444" t="str">
        <f t="shared" si="2622"/>
        <v>001105018356</v>
      </c>
      <c r="O6444" t="str">
        <f t="shared" si="2623"/>
        <v>MYR</v>
      </c>
      <c r="P6444" t="str">
        <f t="shared" si="2635"/>
        <v>NIL</v>
      </c>
      <c r="Q6444" t="str">
        <f t="shared" si="2635"/>
        <v>NIL</v>
      </c>
      <c r="R6444" t="str">
        <f t="shared" si="2636"/>
        <v>Accepted</v>
      </c>
      <c r="S6444" t="str">
        <f t="shared" si="2625"/>
        <v>Approved</v>
      </c>
      <c r="T6444" t="str">
        <f t="shared" si="2637"/>
        <v>10.20.8.188</v>
      </c>
      <c r="U6444" t="str">
        <f t="shared" si="2626"/>
        <v>AZRAD UMAR BIN SHAARI</v>
      </c>
      <c r="V6444" t="str">
        <f t="shared" si="2627"/>
        <v>FARHANA BINTI MUSTAPA</v>
      </c>
      <c r="W6444" t="str">
        <f t="shared" si="2628"/>
        <v>04-08-2020</v>
      </c>
      <c r="X6444" t="str">
        <f t="shared" si="2629"/>
        <v>RAZIMAH ANSAR AHMAD</v>
      </c>
      <c r="Y6444" t="str">
        <f t="shared" si="2630"/>
        <v>04-08-2020</v>
      </c>
      <c r="Z6444" t="str">
        <f>"COS10200804 2710"</f>
        <v>COS10200804 2710</v>
      </c>
    </row>
    <row r="6445" spans="1:26" x14ac:dyDescent="0.25">
      <c r="A6445" t="str">
        <f t="shared" si="2632"/>
        <v>04-08-2020 12:39:14</v>
      </c>
      <c r="B6445" t="str">
        <f>"0000804472"</f>
        <v>0000804472</v>
      </c>
      <c r="C6445" t="str">
        <f t="shared" si="2633"/>
        <v>0000804363</v>
      </c>
      <c r="D6445" t="str">
        <f t="shared" si="2618"/>
        <v>73185</v>
      </c>
      <c r="E6445" t="str">
        <f t="shared" si="2619"/>
        <v>KFH-OPERATIONS DEPARTMENT</v>
      </c>
      <c r="F6445" t="str">
        <f t="shared" si="2620"/>
        <v>IBG</v>
      </c>
      <c r="G6445" t="str">
        <f t="shared" si="2631"/>
        <v>Refund COSHARE 10</v>
      </c>
      <c r="H6445" s="2">
        <v>83.95</v>
      </c>
      <c r="I6445" t="str">
        <f>"MARLINA BINTI BADJA"</f>
        <v>MARLINA BINTI BADJA</v>
      </c>
      <c r="J6445" t="str">
        <f t="shared" si="2617"/>
        <v>CIMB BANK / CIMB ISLAMIC BANK</v>
      </c>
      <c r="K6445" t="str">
        <f>"10040066590524"</f>
        <v>10040066590524</v>
      </c>
      <c r="L6445" t="str">
        <f t="shared" si="2634"/>
        <v>04-08-2020</v>
      </c>
      <c r="M6445" t="str">
        <f t="shared" si="2634"/>
        <v>04-08-2020</v>
      </c>
      <c r="N6445" t="str">
        <f t="shared" si="2622"/>
        <v>001105018356</v>
      </c>
      <c r="O6445" t="str">
        <f t="shared" si="2623"/>
        <v>MYR</v>
      </c>
      <c r="P6445" t="str">
        <f t="shared" si="2635"/>
        <v>NIL</v>
      </c>
      <c r="Q6445" t="str">
        <f t="shared" si="2635"/>
        <v>NIL</v>
      </c>
      <c r="R6445" t="str">
        <f t="shared" si="2636"/>
        <v>Accepted</v>
      </c>
      <c r="S6445" t="str">
        <f t="shared" si="2625"/>
        <v>Approved</v>
      </c>
      <c r="T6445" t="str">
        <f t="shared" si="2637"/>
        <v>10.20.8.188</v>
      </c>
      <c r="U6445" t="str">
        <f t="shared" si="2626"/>
        <v>AZRAD UMAR BIN SHAARI</v>
      </c>
      <c r="V6445" t="str">
        <f t="shared" si="2627"/>
        <v>FARHANA BINTI MUSTAPA</v>
      </c>
      <c r="W6445" t="str">
        <f t="shared" si="2628"/>
        <v>04-08-2020</v>
      </c>
      <c r="X6445" t="str">
        <f t="shared" si="2629"/>
        <v>RAZIMAH ANSAR AHMAD</v>
      </c>
      <c r="Y6445" t="str">
        <f t="shared" si="2630"/>
        <v>04-08-2020</v>
      </c>
      <c r="Z6445" t="str">
        <f>"COS10200804 2709"</f>
        <v>COS10200804 2709</v>
      </c>
    </row>
    <row r="6446" spans="1:26" x14ac:dyDescent="0.25">
      <c r="A6446" t="str">
        <f t="shared" si="2632"/>
        <v>04-08-2020 12:39:14</v>
      </c>
      <c r="B6446" t="str">
        <f>"0000804471"</f>
        <v>0000804471</v>
      </c>
      <c r="C6446" t="str">
        <f t="shared" si="2633"/>
        <v>0000804363</v>
      </c>
      <c r="D6446" t="str">
        <f t="shared" si="2618"/>
        <v>73185</v>
      </c>
      <c r="E6446" t="str">
        <f t="shared" si="2619"/>
        <v>KFH-OPERATIONS DEPARTMENT</v>
      </c>
      <c r="F6446" t="str">
        <f t="shared" si="2620"/>
        <v>IBG</v>
      </c>
      <c r="G6446" t="str">
        <f t="shared" si="2631"/>
        <v>Refund COSHARE 10</v>
      </c>
      <c r="H6446" s="2">
        <v>92.35</v>
      </c>
      <c r="I6446" t="str">
        <f>"MARK ANAK MINAH"</f>
        <v>MARK ANAK MINAH</v>
      </c>
      <c r="J6446" t="str">
        <f t="shared" si="2617"/>
        <v>CIMB BANK / CIMB ISLAMIC BANK</v>
      </c>
      <c r="K6446" t="str">
        <f>"11100076890529"</f>
        <v>11100076890529</v>
      </c>
      <c r="L6446" t="str">
        <f t="shared" si="2634"/>
        <v>04-08-2020</v>
      </c>
      <c r="M6446" t="str">
        <f t="shared" si="2634"/>
        <v>04-08-2020</v>
      </c>
      <c r="N6446" t="str">
        <f t="shared" si="2622"/>
        <v>001105018356</v>
      </c>
      <c r="O6446" t="str">
        <f t="shared" si="2623"/>
        <v>MYR</v>
      </c>
      <c r="P6446" t="str">
        <f t="shared" si="2635"/>
        <v>NIL</v>
      </c>
      <c r="Q6446" t="str">
        <f t="shared" si="2635"/>
        <v>NIL</v>
      </c>
      <c r="R6446" t="str">
        <f t="shared" si="2636"/>
        <v>Accepted</v>
      </c>
      <c r="S6446" t="str">
        <f t="shared" si="2625"/>
        <v>Approved</v>
      </c>
      <c r="T6446" t="str">
        <f t="shared" si="2637"/>
        <v>10.20.8.188</v>
      </c>
      <c r="U6446" t="str">
        <f t="shared" si="2626"/>
        <v>AZRAD UMAR BIN SHAARI</v>
      </c>
      <c r="V6446" t="str">
        <f t="shared" si="2627"/>
        <v>FARHANA BINTI MUSTAPA</v>
      </c>
      <c r="W6446" t="str">
        <f t="shared" si="2628"/>
        <v>04-08-2020</v>
      </c>
      <c r="X6446" t="str">
        <f t="shared" si="2629"/>
        <v>RAZIMAH ANSAR AHMAD</v>
      </c>
      <c r="Y6446" t="str">
        <f t="shared" si="2630"/>
        <v>04-08-2020</v>
      </c>
      <c r="Z6446" t="str">
        <f>"COS10200804 2708"</f>
        <v>COS10200804 2708</v>
      </c>
    </row>
    <row r="6447" spans="1:26" x14ac:dyDescent="0.25">
      <c r="A6447" t="str">
        <f t="shared" si="2632"/>
        <v>04-08-2020 12:39:14</v>
      </c>
      <c r="B6447" t="str">
        <f>"0000804470"</f>
        <v>0000804470</v>
      </c>
      <c r="C6447" t="str">
        <f t="shared" si="2633"/>
        <v>0000804363</v>
      </c>
      <c r="D6447" t="str">
        <f t="shared" si="2618"/>
        <v>73185</v>
      </c>
      <c r="E6447" t="str">
        <f t="shared" si="2619"/>
        <v>KFH-OPERATIONS DEPARTMENT</v>
      </c>
      <c r="F6447" t="str">
        <f t="shared" si="2620"/>
        <v>IBG</v>
      </c>
      <c r="G6447" t="str">
        <f t="shared" si="2631"/>
        <v>Refund COSHARE 10</v>
      </c>
      <c r="H6447" s="2">
        <v>387.9</v>
      </c>
      <c r="I6447" t="str">
        <f>"MARINI BINTI NAWAN"</f>
        <v>MARINI BINTI NAWAN</v>
      </c>
      <c r="J6447" t="str">
        <f t="shared" si="2617"/>
        <v>CIMB BANK / CIMB ISLAMIC BANK</v>
      </c>
      <c r="K6447" t="str">
        <f>"12430005010203"</f>
        <v>12430005010203</v>
      </c>
      <c r="L6447" t="str">
        <f t="shared" ref="L6447:M6466" si="2638">"04-08-2020"</f>
        <v>04-08-2020</v>
      </c>
      <c r="M6447" t="str">
        <f t="shared" si="2638"/>
        <v>04-08-2020</v>
      </c>
      <c r="N6447" t="str">
        <f t="shared" si="2622"/>
        <v>001105018356</v>
      </c>
      <c r="O6447" t="str">
        <f t="shared" si="2623"/>
        <v>MYR</v>
      </c>
      <c r="P6447" t="str">
        <f t="shared" ref="P6447:Q6466" si="2639">"NIL"</f>
        <v>NIL</v>
      </c>
      <c r="Q6447" t="str">
        <f t="shared" si="2639"/>
        <v>NIL</v>
      </c>
      <c r="R6447" t="str">
        <f t="shared" si="2636"/>
        <v>Accepted</v>
      </c>
      <c r="S6447" t="str">
        <f t="shared" si="2625"/>
        <v>Approved</v>
      </c>
      <c r="T6447" t="str">
        <f t="shared" si="2637"/>
        <v>10.20.8.188</v>
      </c>
      <c r="U6447" t="str">
        <f t="shared" si="2626"/>
        <v>AZRAD UMAR BIN SHAARI</v>
      </c>
      <c r="V6447" t="str">
        <f t="shared" si="2627"/>
        <v>FARHANA BINTI MUSTAPA</v>
      </c>
      <c r="W6447" t="str">
        <f t="shared" si="2628"/>
        <v>04-08-2020</v>
      </c>
      <c r="X6447" t="str">
        <f t="shared" si="2629"/>
        <v>RAZIMAH ANSAR AHMAD</v>
      </c>
      <c r="Y6447" t="str">
        <f t="shared" si="2630"/>
        <v>04-08-2020</v>
      </c>
      <c r="Z6447" t="str">
        <f>"COS10200804 2707"</f>
        <v>COS10200804 2707</v>
      </c>
    </row>
    <row r="6448" spans="1:26" x14ac:dyDescent="0.25">
      <c r="A6448" t="str">
        <f t="shared" si="2632"/>
        <v>04-08-2020 12:39:14</v>
      </c>
      <c r="B6448" t="str">
        <f>"0000804469"</f>
        <v>0000804469</v>
      </c>
      <c r="C6448" t="str">
        <f t="shared" si="2633"/>
        <v>0000804363</v>
      </c>
      <c r="D6448" t="str">
        <f t="shared" si="2618"/>
        <v>73185</v>
      </c>
      <c r="E6448" t="str">
        <f t="shared" si="2619"/>
        <v>KFH-OPERATIONS DEPARTMENT</v>
      </c>
      <c r="F6448" t="str">
        <f t="shared" si="2620"/>
        <v>IBG</v>
      </c>
      <c r="G6448" t="str">
        <f t="shared" si="2631"/>
        <v>Refund COSHARE 10</v>
      </c>
      <c r="H6448" s="2">
        <v>258</v>
      </c>
      <c r="I6448" t="str">
        <f>"MARINI BINTI ABDUL RAHMAN"</f>
        <v>MARINI BINTI ABDUL RAHMAN</v>
      </c>
      <c r="J6448" t="str">
        <f t="shared" si="2617"/>
        <v>CIMB BANK / CIMB ISLAMIC BANK</v>
      </c>
      <c r="K6448" t="str">
        <f>"7031656010"</f>
        <v>7031656010</v>
      </c>
      <c r="L6448" t="str">
        <f t="shared" si="2638"/>
        <v>04-08-2020</v>
      </c>
      <c r="M6448" t="str">
        <f t="shared" si="2638"/>
        <v>04-08-2020</v>
      </c>
      <c r="N6448" t="str">
        <f t="shared" si="2622"/>
        <v>001105018356</v>
      </c>
      <c r="O6448" t="str">
        <f t="shared" si="2623"/>
        <v>MYR</v>
      </c>
      <c r="P6448" t="str">
        <f t="shared" si="2639"/>
        <v>NIL</v>
      </c>
      <c r="Q6448" t="str">
        <f t="shared" si="2639"/>
        <v>NIL</v>
      </c>
      <c r="R6448" t="str">
        <f t="shared" si="2636"/>
        <v>Accepted</v>
      </c>
      <c r="S6448" t="str">
        <f t="shared" si="2625"/>
        <v>Approved</v>
      </c>
      <c r="T6448" t="str">
        <f t="shared" si="2637"/>
        <v>10.20.8.188</v>
      </c>
      <c r="U6448" t="str">
        <f t="shared" si="2626"/>
        <v>AZRAD UMAR BIN SHAARI</v>
      </c>
      <c r="V6448" t="str">
        <f t="shared" si="2627"/>
        <v>FARHANA BINTI MUSTAPA</v>
      </c>
      <c r="W6448" t="str">
        <f t="shared" si="2628"/>
        <v>04-08-2020</v>
      </c>
      <c r="X6448" t="str">
        <f t="shared" si="2629"/>
        <v>RAZIMAH ANSAR AHMAD</v>
      </c>
      <c r="Y6448" t="str">
        <f t="shared" si="2630"/>
        <v>04-08-2020</v>
      </c>
      <c r="Z6448" t="str">
        <f>"COS10200804 2706"</f>
        <v>COS10200804 2706</v>
      </c>
    </row>
    <row r="6449" spans="1:26" x14ac:dyDescent="0.25">
      <c r="A6449" t="str">
        <f t="shared" si="2632"/>
        <v>04-08-2020 12:39:14</v>
      </c>
      <c r="B6449" t="str">
        <f>"0000804468"</f>
        <v>0000804468</v>
      </c>
      <c r="C6449" t="str">
        <f t="shared" si="2633"/>
        <v>0000804363</v>
      </c>
      <c r="D6449" t="str">
        <f t="shared" si="2618"/>
        <v>73185</v>
      </c>
      <c r="E6449" t="str">
        <f t="shared" si="2619"/>
        <v>KFH-OPERATIONS DEPARTMENT</v>
      </c>
      <c r="F6449" t="str">
        <f t="shared" si="2620"/>
        <v>IBG</v>
      </c>
      <c r="G6449" t="str">
        <f t="shared" si="2631"/>
        <v>Refund COSHARE 10</v>
      </c>
      <c r="H6449" s="2">
        <v>663.2</v>
      </c>
      <c r="I6449" t="str">
        <f>"MARIE MAGDALENE ROBERT SUIMIN"</f>
        <v>MARIE MAGDALENE ROBERT SUIMIN</v>
      </c>
      <c r="J6449" t="str">
        <f t="shared" si="2617"/>
        <v>CIMB BANK / CIMB ISLAMIC BANK</v>
      </c>
      <c r="K6449" t="str">
        <f>"10020063929520"</f>
        <v>10020063929520</v>
      </c>
      <c r="L6449" t="str">
        <f t="shared" si="2638"/>
        <v>04-08-2020</v>
      </c>
      <c r="M6449" t="str">
        <f t="shared" si="2638"/>
        <v>04-08-2020</v>
      </c>
      <c r="N6449" t="str">
        <f t="shared" si="2622"/>
        <v>001105018356</v>
      </c>
      <c r="O6449" t="str">
        <f t="shared" si="2623"/>
        <v>MYR</v>
      </c>
      <c r="P6449" t="str">
        <f t="shared" si="2639"/>
        <v>NIL</v>
      </c>
      <c r="Q6449" t="str">
        <f t="shared" si="2639"/>
        <v>NIL</v>
      </c>
      <c r="R6449" t="str">
        <f t="shared" si="2636"/>
        <v>Accepted</v>
      </c>
      <c r="S6449" t="str">
        <f t="shared" si="2625"/>
        <v>Approved</v>
      </c>
      <c r="T6449" t="str">
        <f t="shared" si="2637"/>
        <v>10.20.8.188</v>
      </c>
      <c r="U6449" t="str">
        <f t="shared" si="2626"/>
        <v>AZRAD UMAR BIN SHAARI</v>
      </c>
      <c r="V6449" t="str">
        <f t="shared" si="2627"/>
        <v>FARHANA BINTI MUSTAPA</v>
      </c>
      <c r="W6449" t="str">
        <f t="shared" si="2628"/>
        <v>04-08-2020</v>
      </c>
      <c r="X6449" t="str">
        <f t="shared" si="2629"/>
        <v>RAZIMAH ANSAR AHMAD</v>
      </c>
      <c r="Y6449" t="str">
        <f t="shared" si="2630"/>
        <v>04-08-2020</v>
      </c>
      <c r="Z6449" t="str">
        <f>"COS10200804 2705"</f>
        <v>COS10200804 2705</v>
      </c>
    </row>
    <row r="6450" spans="1:26" x14ac:dyDescent="0.25">
      <c r="A6450" t="str">
        <f t="shared" ref="A6450:A6481" si="2640">"04-08-2020 12:39:14"</f>
        <v>04-08-2020 12:39:14</v>
      </c>
      <c r="B6450" t="str">
        <f>"0000804467"</f>
        <v>0000804467</v>
      </c>
      <c r="C6450" t="str">
        <f t="shared" ref="C6450:C6481" si="2641">"0000804363"</f>
        <v>0000804363</v>
      </c>
      <c r="D6450" t="str">
        <f t="shared" si="2618"/>
        <v>73185</v>
      </c>
      <c r="E6450" t="str">
        <f t="shared" si="2619"/>
        <v>KFH-OPERATIONS DEPARTMENT</v>
      </c>
      <c r="F6450" t="str">
        <f t="shared" si="2620"/>
        <v>IBG</v>
      </c>
      <c r="G6450" t="str">
        <f t="shared" si="2631"/>
        <v>Refund COSHARE 10</v>
      </c>
      <c r="H6450" s="2">
        <v>75.599999999999994</v>
      </c>
      <c r="I6450" t="str">
        <f>"MARIATON BINTI SANI"</f>
        <v>MARIATON BINTI SANI</v>
      </c>
      <c r="J6450" t="str">
        <f t="shared" si="2617"/>
        <v>CIMB BANK / CIMB ISLAMIC BANK</v>
      </c>
      <c r="K6450" t="str">
        <f>"05020695907521"</f>
        <v>05020695907521</v>
      </c>
      <c r="L6450" t="str">
        <f t="shared" si="2638"/>
        <v>04-08-2020</v>
      </c>
      <c r="M6450" t="str">
        <f t="shared" si="2638"/>
        <v>04-08-2020</v>
      </c>
      <c r="N6450" t="str">
        <f t="shared" si="2622"/>
        <v>001105018356</v>
      </c>
      <c r="O6450" t="str">
        <f t="shared" si="2623"/>
        <v>MYR</v>
      </c>
      <c r="P6450" t="str">
        <f t="shared" si="2639"/>
        <v>NIL</v>
      </c>
      <c r="Q6450" t="str">
        <f t="shared" si="2639"/>
        <v>NIL</v>
      </c>
      <c r="R6450" t="str">
        <f t="shared" si="2636"/>
        <v>Accepted</v>
      </c>
      <c r="S6450" t="str">
        <f t="shared" si="2625"/>
        <v>Approved</v>
      </c>
      <c r="T6450" t="str">
        <f t="shared" si="2637"/>
        <v>10.20.8.188</v>
      </c>
      <c r="U6450" t="str">
        <f t="shared" si="2626"/>
        <v>AZRAD UMAR BIN SHAARI</v>
      </c>
      <c r="V6450" t="str">
        <f t="shared" si="2627"/>
        <v>FARHANA BINTI MUSTAPA</v>
      </c>
      <c r="W6450" t="str">
        <f t="shared" si="2628"/>
        <v>04-08-2020</v>
      </c>
      <c r="X6450" t="str">
        <f t="shared" si="2629"/>
        <v>RAZIMAH ANSAR AHMAD</v>
      </c>
      <c r="Y6450" t="str">
        <f t="shared" si="2630"/>
        <v>04-08-2020</v>
      </c>
      <c r="Z6450" t="str">
        <f>"COS10200804 2704"</f>
        <v>COS10200804 2704</v>
      </c>
    </row>
    <row r="6451" spans="1:26" x14ac:dyDescent="0.25">
      <c r="A6451" t="str">
        <f t="shared" si="2640"/>
        <v>04-08-2020 12:39:14</v>
      </c>
      <c r="B6451" t="str">
        <f>"0000804466"</f>
        <v>0000804466</v>
      </c>
      <c r="C6451" t="str">
        <f t="shared" si="2641"/>
        <v>0000804363</v>
      </c>
      <c r="D6451" t="str">
        <f t="shared" si="2618"/>
        <v>73185</v>
      </c>
      <c r="E6451" t="str">
        <f t="shared" si="2619"/>
        <v>KFH-OPERATIONS DEPARTMENT</v>
      </c>
      <c r="F6451" t="str">
        <f t="shared" si="2620"/>
        <v>IBG</v>
      </c>
      <c r="G6451" t="str">
        <f t="shared" si="2631"/>
        <v>Refund COSHARE 10</v>
      </c>
      <c r="H6451" s="2">
        <v>172</v>
      </c>
      <c r="I6451" t="str">
        <f>"MARIANI BINTI MURAT"</f>
        <v>MARIANI BINTI MURAT</v>
      </c>
      <c r="J6451" t="str">
        <f t="shared" si="2617"/>
        <v>CIMB BANK / CIMB ISLAMIC BANK</v>
      </c>
      <c r="K6451" t="str">
        <f>"07051154234520"</f>
        <v>07051154234520</v>
      </c>
      <c r="L6451" t="str">
        <f t="shared" si="2638"/>
        <v>04-08-2020</v>
      </c>
      <c r="M6451" t="str">
        <f t="shared" si="2638"/>
        <v>04-08-2020</v>
      </c>
      <c r="N6451" t="str">
        <f t="shared" si="2622"/>
        <v>001105018356</v>
      </c>
      <c r="O6451" t="str">
        <f t="shared" si="2623"/>
        <v>MYR</v>
      </c>
      <c r="P6451" t="str">
        <f t="shared" si="2639"/>
        <v>NIL</v>
      </c>
      <c r="Q6451" t="str">
        <f t="shared" si="2639"/>
        <v>NIL</v>
      </c>
      <c r="R6451" t="str">
        <f t="shared" si="2636"/>
        <v>Accepted</v>
      </c>
      <c r="S6451" t="str">
        <f t="shared" si="2625"/>
        <v>Approved</v>
      </c>
      <c r="T6451" t="str">
        <f t="shared" si="2637"/>
        <v>10.20.8.188</v>
      </c>
      <c r="U6451" t="str">
        <f t="shared" si="2626"/>
        <v>AZRAD UMAR BIN SHAARI</v>
      </c>
      <c r="V6451" t="str">
        <f t="shared" si="2627"/>
        <v>FARHANA BINTI MUSTAPA</v>
      </c>
      <c r="W6451" t="str">
        <f t="shared" si="2628"/>
        <v>04-08-2020</v>
      </c>
      <c r="X6451" t="str">
        <f t="shared" si="2629"/>
        <v>RAZIMAH ANSAR AHMAD</v>
      </c>
      <c r="Y6451" t="str">
        <f t="shared" si="2630"/>
        <v>04-08-2020</v>
      </c>
      <c r="Z6451" t="str">
        <f>"COS10200804 2703"</f>
        <v>COS10200804 2703</v>
      </c>
    </row>
    <row r="6452" spans="1:26" x14ac:dyDescent="0.25">
      <c r="A6452" t="str">
        <f t="shared" si="2640"/>
        <v>04-08-2020 12:39:14</v>
      </c>
      <c r="B6452" t="str">
        <f>"0000804465"</f>
        <v>0000804465</v>
      </c>
      <c r="C6452" t="str">
        <f t="shared" si="2641"/>
        <v>0000804363</v>
      </c>
      <c r="D6452" t="str">
        <f t="shared" si="2618"/>
        <v>73185</v>
      </c>
      <c r="E6452" t="str">
        <f t="shared" si="2619"/>
        <v>KFH-OPERATIONS DEPARTMENT</v>
      </c>
      <c r="F6452" t="str">
        <f t="shared" si="2620"/>
        <v>IBG</v>
      </c>
      <c r="G6452" t="str">
        <f t="shared" si="2631"/>
        <v>Refund COSHARE 10</v>
      </c>
      <c r="H6452" s="2">
        <v>607</v>
      </c>
      <c r="I6452" t="str">
        <f>"MARIAM BINTI SUDIN"</f>
        <v>MARIAM BINTI SUDIN</v>
      </c>
      <c r="J6452" t="str">
        <f t="shared" si="2617"/>
        <v>CIMB BANK / CIMB ISLAMIC BANK</v>
      </c>
      <c r="K6452" t="str">
        <f>"01220021474521"</f>
        <v>01220021474521</v>
      </c>
      <c r="L6452" t="str">
        <f t="shared" si="2638"/>
        <v>04-08-2020</v>
      </c>
      <c r="M6452" t="str">
        <f t="shared" si="2638"/>
        <v>04-08-2020</v>
      </c>
      <c r="N6452" t="str">
        <f t="shared" si="2622"/>
        <v>001105018356</v>
      </c>
      <c r="O6452" t="str">
        <f t="shared" si="2623"/>
        <v>MYR</v>
      </c>
      <c r="P6452" t="str">
        <f t="shared" si="2639"/>
        <v>NIL</v>
      </c>
      <c r="Q6452" t="str">
        <f t="shared" si="2639"/>
        <v>NIL</v>
      </c>
      <c r="R6452" t="str">
        <f t="shared" si="2636"/>
        <v>Accepted</v>
      </c>
      <c r="S6452" t="str">
        <f t="shared" si="2625"/>
        <v>Approved</v>
      </c>
      <c r="T6452" t="str">
        <f t="shared" si="2637"/>
        <v>10.20.8.188</v>
      </c>
      <c r="U6452" t="str">
        <f t="shared" si="2626"/>
        <v>AZRAD UMAR BIN SHAARI</v>
      </c>
      <c r="V6452" t="str">
        <f t="shared" si="2627"/>
        <v>FARHANA BINTI MUSTAPA</v>
      </c>
      <c r="W6452" t="str">
        <f t="shared" si="2628"/>
        <v>04-08-2020</v>
      </c>
      <c r="X6452" t="str">
        <f t="shared" si="2629"/>
        <v>RAZIMAH ANSAR AHMAD</v>
      </c>
      <c r="Y6452" t="str">
        <f t="shared" si="2630"/>
        <v>04-08-2020</v>
      </c>
      <c r="Z6452" t="str">
        <f>"COS10200804 2702"</f>
        <v>COS10200804 2702</v>
      </c>
    </row>
    <row r="6453" spans="1:26" x14ac:dyDescent="0.25">
      <c r="A6453" t="str">
        <f t="shared" si="2640"/>
        <v>04-08-2020 12:39:14</v>
      </c>
      <c r="B6453" t="str">
        <f>"0000804464"</f>
        <v>0000804464</v>
      </c>
      <c r="C6453" t="str">
        <f t="shared" si="2641"/>
        <v>0000804363</v>
      </c>
      <c r="D6453" t="str">
        <f t="shared" si="2618"/>
        <v>73185</v>
      </c>
      <c r="E6453" t="str">
        <f t="shared" si="2619"/>
        <v>KFH-OPERATIONS DEPARTMENT</v>
      </c>
      <c r="F6453" t="str">
        <f t="shared" si="2620"/>
        <v>IBG</v>
      </c>
      <c r="G6453" t="str">
        <f t="shared" si="2631"/>
        <v>Refund COSHARE 10</v>
      </c>
      <c r="H6453" s="2">
        <v>1724</v>
      </c>
      <c r="I6453" t="str">
        <f>"MARIAM BINTI MARSIDI"</f>
        <v>MARIAM BINTI MARSIDI</v>
      </c>
      <c r="J6453" t="str">
        <f t="shared" si="2617"/>
        <v>CIMB BANK / CIMB ISLAMIC BANK</v>
      </c>
      <c r="K6453" t="str">
        <f>"7038285973"</f>
        <v>7038285973</v>
      </c>
      <c r="L6453" t="str">
        <f t="shared" si="2638"/>
        <v>04-08-2020</v>
      </c>
      <c r="M6453" t="str">
        <f t="shared" si="2638"/>
        <v>04-08-2020</v>
      </c>
      <c r="N6453" t="str">
        <f t="shared" si="2622"/>
        <v>001105018356</v>
      </c>
      <c r="O6453" t="str">
        <f t="shared" si="2623"/>
        <v>MYR</v>
      </c>
      <c r="P6453" t="str">
        <f t="shared" si="2639"/>
        <v>NIL</v>
      </c>
      <c r="Q6453" t="str">
        <f t="shared" si="2639"/>
        <v>NIL</v>
      </c>
      <c r="R6453" t="str">
        <f t="shared" si="2636"/>
        <v>Accepted</v>
      </c>
      <c r="S6453" t="str">
        <f t="shared" si="2625"/>
        <v>Approved</v>
      </c>
      <c r="T6453" t="str">
        <f t="shared" si="2637"/>
        <v>10.20.8.188</v>
      </c>
      <c r="U6453" t="str">
        <f t="shared" si="2626"/>
        <v>AZRAD UMAR BIN SHAARI</v>
      </c>
      <c r="V6453" t="str">
        <f t="shared" si="2627"/>
        <v>FARHANA BINTI MUSTAPA</v>
      </c>
      <c r="W6453" t="str">
        <f t="shared" si="2628"/>
        <v>04-08-2020</v>
      </c>
      <c r="X6453" t="str">
        <f t="shared" si="2629"/>
        <v>RAZIMAH ANSAR AHMAD</v>
      </c>
      <c r="Y6453" t="str">
        <f t="shared" si="2630"/>
        <v>04-08-2020</v>
      </c>
      <c r="Z6453" t="str">
        <f>"COS10200804 2701"</f>
        <v>COS10200804 2701</v>
      </c>
    </row>
    <row r="6454" spans="1:26" x14ac:dyDescent="0.25">
      <c r="A6454" t="str">
        <f t="shared" si="2640"/>
        <v>04-08-2020 12:39:14</v>
      </c>
      <c r="B6454" t="str">
        <f>"0000804463"</f>
        <v>0000804463</v>
      </c>
      <c r="C6454" t="str">
        <f t="shared" si="2641"/>
        <v>0000804363</v>
      </c>
      <c r="D6454" t="str">
        <f t="shared" si="2618"/>
        <v>73185</v>
      </c>
      <c r="E6454" t="str">
        <f t="shared" si="2619"/>
        <v>KFH-OPERATIONS DEPARTMENT</v>
      </c>
      <c r="F6454" t="str">
        <f t="shared" si="2620"/>
        <v>IBG</v>
      </c>
      <c r="G6454" t="str">
        <f t="shared" si="2631"/>
        <v>Refund COSHARE 10</v>
      </c>
      <c r="H6454" s="2">
        <v>1002.1</v>
      </c>
      <c r="I6454" t="str">
        <f>"MARIAM BINTI JANI"</f>
        <v>MARIAM BINTI JANI</v>
      </c>
      <c r="J6454" t="str">
        <f t="shared" si="2617"/>
        <v>CIMB BANK / CIMB ISLAMIC BANK</v>
      </c>
      <c r="K6454" t="str">
        <f>"14420016920521"</f>
        <v>14420016920521</v>
      </c>
      <c r="L6454" t="str">
        <f t="shared" si="2638"/>
        <v>04-08-2020</v>
      </c>
      <c r="M6454" t="str">
        <f t="shared" si="2638"/>
        <v>04-08-2020</v>
      </c>
      <c r="N6454" t="str">
        <f t="shared" si="2622"/>
        <v>001105018356</v>
      </c>
      <c r="O6454" t="str">
        <f t="shared" si="2623"/>
        <v>MYR</v>
      </c>
      <c r="P6454" t="str">
        <f t="shared" si="2639"/>
        <v>NIL</v>
      </c>
      <c r="Q6454" t="str">
        <f t="shared" si="2639"/>
        <v>NIL</v>
      </c>
      <c r="R6454" t="str">
        <f t="shared" si="2636"/>
        <v>Accepted</v>
      </c>
      <c r="S6454" t="str">
        <f t="shared" si="2625"/>
        <v>Approved</v>
      </c>
      <c r="T6454" t="str">
        <f t="shared" si="2637"/>
        <v>10.20.8.188</v>
      </c>
      <c r="U6454" t="str">
        <f t="shared" si="2626"/>
        <v>AZRAD UMAR BIN SHAARI</v>
      </c>
      <c r="V6454" t="str">
        <f t="shared" si="2627"/>
        <v>FARHANA BINTI MUSTAPA</v>
      </c>
      <c r="W6454" t="str">
        <f t="shared" si="2628"/>
        <v>04-08-2020</v>
      </c>
      <c r="X6454" t="str">
        <f t="shared" si="2629"/>
        <v>RAZIMAH ANSAR AHMAD</v>
      </c>
      <c r="Y6454" t="str">
        <f t="shared" si="2630"/>
        <v>04-08-2020</v>
      </c>
      <c r="Z6454" t="str">
        <f>"COS10200804 2700"</f>
        <v>COS10200804 2700</v>
      </c>
    </row>
    <row r="6455" spans="1:26" x14ac:dyDescent="0.25">
      <c r="A6455" t="str">
        <f t="shared" si="2640"/>
        <v>04-08-2020 12:39:14</v>
      </c>
      <c r="B6455" t="str">
        <f>"0000804462"</f>
        <v>0000804462</v>
      </c>
      <c r="C6455" t="str">
        <f t="shared" si="2641"/>
        <v>0000804363</v>
      </c>
      <c r="D6455" t="str">
        <f t="shared" si="2618"/>
        <v>73185</v>
      </c>
      <c r="E6455" t="str">
        <f t="shared" si="2619"/>
        <v>KFH-OPERATIONS DEPARTMENT</v>
      </c>
      <c r="F6455" t="str">
        <f t="shared" si="2620"/>
        <v>IBG</v>
      </c>
      <c r="G6455" t="str">
        <f t="shared" si="2631"/>
        <v>Refund COSHARE 10</v>
      </c>
      <c r="H6455" s="2">
        <v>881.45</v>
      </c>
      <c r="I6455" t="str">
        <f>"MARIA BINTI RAMBLI"</f>
        <v>MARIA BINTI RAMBLI</v>
      </c>
      <c r="J6455" t="str">
        <f t="shared" si="2617"/>
        <v>CIMB BANK / CIMB ISLAMIC BANK</v>
      </c>
      <c r="K6455" t="str">
        <f>"7606622292"</f>
        <v>7606622292</v>
      </c>
      <c r="L6455" t="str">
        <f t="shared" si="2638"/>
        <v>04-08-2020</v>
      </c>
      <c r="M6455" t="str">
        <f t="shared" si="2638"/>
        <v>04-08-2020</v>
      </c>
      <c r="N6455" t="str">
        <f t="shared" si="2622"/>
        <v>001105018356</v>
      </c>
      <c r="O6455" t="str">
        <f t="shared" si="2623"/>
        <v>MYR</v>
      </c>
      <c r="P6455" t="str">
        <f t="shared" si="2639"/>
        <v>NIL</v>
      </c>
      <c r="Q6455" t="str">
        <f t="shared" si="2639"/>
        <v>NIL</v>
      </c>
      <c r="R6455" t="str">
        <f t="shared" si="2636"/>
        <v>Accepted</v>
      </c>
      <c r="S6455" t="str">
        <f t="shared" si="2625"/>
        <v>Approved</v>
      </c>
      <c r="T6455" t="str">
        <f t="shared" si="2637"/>
        <v>10.20.8.188</v>
      </c>
      <c r="U6455" t="str">
        <f t="shared" si="2626"/>
        <v>AZRAD UMAR BIN SHAARI</v>
      </c>
      <c r="V6455" t="str">
        <f t="shared" si="2627"/>
        <v>FARHANA BINTI MUSTAPA</v>
      </c>
      <c r="W6455" t="str">
        <f t="shared" si="2628"/>
        <v>04-08-2020</v>
      </c>
      <c r="X6455" t="str">
        <f t="shared" si="2629"/>
        <v>RAZIMAH ANSAR AHMAD</v>
      </c>
      <c r="Y6455" t="str">
        <f t="shared" si="2630"/>
        <v>04-08-2020</v>
      </c>
      <c r="Z6455" t="str">
        <f>"COS10200804 2699"</f>
        <v>COS10200804 2699</v>
      </c>
    </row>
    <row r="6456" spans="1:26" x14ac:dyDescent="0.25">
      <c r="A6456" t="str">
        <f t="shared" si="2640"/>
        <v>04-08-2020 12:39:14</v>
      </c>
      <c r="B6456" t="str">
        <f>"0000804461"</f>
        <v>0000804461</v>
      </c>
      <c r="C6456" t="str">
        <f t="shared" si="2641"/>
        <v>0000804363</v>
      </c>
      <c r="D6456" t="str">
        <f t="shared" si="2618"/>
        <v>73185</v>
      </c>
      <c r="E6456" t="str">
        <f t="shared" si="2619"/>
        <v>KFH-OPERATIONS DEPARTMENT</v>
      </c>
      <c r="F6456" t="str">
        <f t="shared" si="2620"/>
        <v>IBG</v>
      </c>
      <c r="G6456" t="str">
        <f t="shared" si="2631"/>
        <v>Refund COSHARE 10</v>
      </c>
      <c r="H6456" s="2">
        <v>444</v>
      </c>
      <c r="I6456" t="str">
        <f>"MARDIN BIN ANOI"</f>
        <v>MARDIN BIN ANOI</v>
      </c>
      <c r="J6456" t="str">
        <f t="shared" si="2617"/>
        <v>CIMB BANK / CIMB ISLAMIC BANK</v>
      </c>
      <c r="K6456" t="str">
        <f>"10040063339529"</f>
        <v>10040063339529</v>
      </c>
      <c r="L6456" t="str">
        <f t="shared" si="2638"/>
        <v>04-08-2020</v>
      </c>
      <c r="M6456" t="str">
        <f t="shared" si="2638"/>
        <v>04-08-2020</v>
      </c>
      <c r="N6456" t="str">
        <f t="shared" si="2622"/>
        <v>001105018356</v>
      </c>
      <c r="O6456" t="str">
        <f t="shared" si="2623"/>
        <v>MYR</v>
      </c>
      <c r="P6456" t="str">
        <f t="shared" si="2639"/>
        <v>NIL</v>
      </c>
      <c r="Q6456" t="str">
        <f t="shared" si="2639"/>
        <v>NIL</v>
      </c>
      <c r="R6456" t="str">
        <f t="shared" si="2636"/>
        <v>Accepted</v>
      </c>
      <c r="S6456" t="str">
        <f t="shared" si="2625"/>
        <v>Approved</v>
      </c>
      <c r="T6456" t="str">
        <f t="shared" si="2637"/>
        <v>10.20.8.188</v>
      </c>
      <c r="U6456" t="str">
        <f t="shared" si="2626"/>
        <v>AZRAD UMAR BIN SHAARI</v>
      </c>
      <c r="V6456" t="str">
        <f t="shared" si="2627"/>
        <v>FARHANA BINTI MUSTAPA</v>
      </c>
      <c r="W6456" t="str">
        <f t="shared" si="2628"/>
        <v>04-08-2020</v>
      </c>
      <c r="X6456" t="str">
        <f t="shared" si="2629"/>
        <v>RAZIMAH ANSAR AHMAD</v>
      </c>
      <c r="Y6456" t="str">
        <f t="shared" si="2630"/>
        <v>04-08-2020</v>
      </c>
      <c r="Z6456" t="str">
        <f>"COS10200804 2698"</f>
        <v>COS10200804 2698</v>
      </c>
    </row>
    <row r="6457" spans="1:26" x14ac:dyDescent="0.25">
      <c r="A6457" t="str">
        <f t="shared" si="2640"/>
        <v>04-08-2020 12:39:14</v>
      </c>
      <c r="B6457" t="str">
        <f>"0000804460"</f>
        <v>0000804460</v>
      </c>
      <c r="C6457" t="str">
        <f t="shared" si="2641"/>
        <v>0000804363</v>
      </c>
      <c r="D6457" t="str">
        <f t="shared" si="2618"/>
        <v>73185</v>
      </c>
      <c r="E6457" t="str">
        <f t="shared" si="2619"/>
        <v>KFH-OPERATIONS DEPARTMENT</v>
      </c>
      <c r="F6457" t="str">
        <f t="shared" si="2620"/>
        <v>IBG</v>
      </c>
      <c r="G6457" t="str">
        <f t="shared" si="2631"/>
        <v>Refund COSHARE 10</v>
      </c>
      <c r="H6457" s="2">
        <v>99</v>
      </c>
      <c r="I6457" t="str">
        <f>"MARDIANA BINTI LEMAN"</f>
        <v>MARDIANA BINTI LEMAN</v>
      </c>
      <c r="J6457" t="str">
        <f t="shared" si="2617"/>
        <v>CIMB BANK / CIMB ISLAMIC BANK</v>
      </c>
      <c r="K6457" t="str">
        <f>"7034237164"</f>
        <v>7034237164</v>
      </c>
      <c r="L6457" t="str">
        <f t="shared" si="2638"/>
        <v>04-08-2020</v>
      </c>
      <c r="M6457" t="str">
        <f t="shared" si="2638"/>
        <v>04-08-2020</v>
      </c>
      <c r="N6457" t="str">
        <f t="shared" si="2622"/>
        <v>001105018356</v>
      </c>
      <c r="O6457" t="str">
        <f t="shared" si="2623"/>
        <v>MYR</v>
      </c>
      <c r="P6457" t="str">
        <f t="shared" si="2639"/>
        <v>NIL</v>
      </c>
      <c r="Q6457" t="str">
        <f t="shared" si="2639"/>
        <v>NIL</v>
      </c>
      <c r="R6457" t="str">
        <f t="shared" si="2636"/>
        <v>Accepted</v>
      </c>
      <c r="S6457" t="str">
        <f t="shared" si="2625"/>
        <v>Approved</v>
      </c>
      <c r="T6457" t="str">
        <f t="shared" si="2637"/>
        <v>10.20.8.188</v>
      </c>
      <c r="U6457" t="str">
        <f t="shared" si="2626"/>
        <v>AZRAD UMAR BIN SHAARI</v>
      </c>
      <c r="V6457" t="str">
        <f t="shared" si="2627"/>
        <v>FARHANA BINTI MUSTAPA</v>
      </c>
      <c r="W6457" t="str">
        <f t="shared" si="2628"/>
        <v>04-08-2020</v>
      </c>
      <c r="X6457" t="str">
        <f t="shared" si="2629"/>
        <v>RAZIMAH ANSAR AHMAD</v>
      </c>
      <c r="Y6457" t="str">
        <f t="shared" si="2630"/>
        <v>04-08-2020</v>
      </c>
      <c r="Z6457" t="str">
        <f>"COS10200804 2697"</f>
        <v>COS10200804 2697</v>
      </c>
    </row>
    <row r="6458" spans="1:26" x14ac:dyDescent="0.25">
      <c r="A6458" t="str">
        <f t="shared" si="2640"/>
        <v>04-08-2020 12:39:14</v>
      </c>
      <c r="B6458" t="str">
        <f>"0000804459"</f>
        <v>0000804459</v>
      </c>
      <c r="C6458" t="str">
        <f t="shared" si="2641"/>
        <v>0000804363</v>
      </c>
      <c r="D6458" t="str">
        <f t="shared" si="2618"/>
        <v>73185</v>
      </c>
      <c r="E6458" t="str">
        <f t="shared" si="2619"/>
        <v>KFH-OPERATIONS DEPARTMENT</v>
      </c>
      <c r="F6458" t="str">
        <f t="shared" si="2620"/>
        <v>IBG</v>
      </c>
      <c r="G6458" t="str">
        <f t="shared" si="2631"/>
        <v>Refund COSHARE 10</v>
      </c>
      <c r="H6458" s="2">
        <v>873.1</v>
      </c>
      <c r="I6458" t="str">
        <f>"MARDIANA BINTI LEMAN"</f>
        <v>MARDIANA BINTI LEMAN</v>
      </c>
      <c r="J6458" t="str">
        <f t="shared" si="2617"/>
        <v>CIMB BANK / CIMB ISLAMIC BANK</v>
      </c>
      <c r="K6458" t="str">
        <f>"7034237164"</f>
        <v>7034237164</v>
      </c>
      <c r="L6458" t="str">
        <f t="shared" si="2638"/>
        <v>04-08-2020</v>
      </c>
      <c r="M6458" t="str">
        <f t="shared" si="2638"/>
        <v>04-08-2020</v>
      </c>
      <c r="N6458" t="str">
        <f t="shared" si="2622"/>
        <v>001105018356</v>
      </c>
      <c r="O6458" t="str">
        <f t="shared" si="2623"/>
        <v>MYR</v>
      </c>
      <c r="P6458" t="str">
        <f t="shared" si="2639"/>
        <v>NIL</v>
      </c>
      <c r="Q6458" t="str">
        <f t="shared" si="2639"/>
        <v>NIL</v>
      </c>
      <c r="R6458" t="str">
        <f t="shared" si="2636"/>
        <v>Accepted</v>
      </c>
      <c r="S6458" t="str">
        <f t="shared" si="2625"/>
        <v>Approved</v>
      </c>
      <c r="T6458" t="str">
        <f t="shared" si="2637"/>
        <v>10.20.8.188</v>
      </c>
      <c r="U6458" t="str">
        <f t="shared" si="2626"/>
        <v>AZRAD UMAR BIN SHAARI</v>
      </c>
      <c r="V6458" t="str">
        <f t="shared" si="2627"/>
        <v>FARHANA BINTI MUSTAPA</v>
      </c>
      <c r="W6458" t="str">
        <f t="shared" si="2628"/>
        <v>04-08-2020</v>
      </c>
      <c r="X6458" t="str">
        <f t="shared" si="2629"/>
        <v>RAZIMAH ANSAR AHMAD</v>
      </c>
      <c r="Y6458" t="str">
        <f t="shared" si="2630"/>
        <v>04-08-2020</v>
      </c>
      <c r="Z6458" t="str">
        <f>"COS10200804 2696"</f>
        <v>COS10200804 2696</v>
      </c>
    </row>
    <row r="6459" spans="1:26" x14ac:dyDescent="0.25">
      <c r="A6459" t="str">
        <f t="shared" si="2640"/>
        <v>04-08-2020 12:39:14</v>
      </c>
      <c r="B6459" t="str">
        <f>"0000804458"</f>
        <v>0000804458</v>
      </c>
      <c r="C6459" t="str">
        <f t="shared" si="2641"/>
        <v>0000804363</v>
      </c>
      <c r="D6459" t="str">
        <f t="shared" si="2618"/>
        <v>73185</v>
      </c>
      <c r="E6459" t="str">
        <f t="shared" si="2619"/>
        <v>KFH-OPERATIONS DEPARTMENT</v>
      </c>
      <c r="F6459" t="str">
        <f t="shared" si="2620"/>
        <v>IBG</v>
      </c>
      <c r="G6459" t="str">
        <f t="shared" si="2631"/>
        <v>Refund COSHARE 10</v>
      </c>
      <c r="H6459" s="2">
        <v>672</v>
      </c>
      <c r="I6459" t="str">
        <f>"MARCOS ANAK ENTRE"</f>
        <v>MARCOS ANAK ENTRE</v>
      </c>
      <c r="J6459" t="str">
        <f t="shared" si="2617"/>
        <v>CIMB BANK / CIMB ISLAMIC BANK</v>
      </c>
      <c r="K6459" t="str">
        <f>"11090087683529"</f>
        <v>11090087683529</v>
      </c>
      <c r="L6459" t="str">
        <f t="shared" si="2638"/>
        <v>04-08-2020</v>
      </c>
      <c r="M6459" t="str">
        <f t="shared" si="2638"/>
        <v>04-08-2020</v>
      </c>
      <c r="N6459" t="str">
        <f t="shared" si="2622"/>
        <v>001105018356</v>
      </c>
      <c r="O6459" t="str">
        <f t="shared" si="2623"/>
        <v>MYR</v>
      </c>
      <c r="P6459" t="str">
        <f t="shared" si="2639"/>
        <v>NIL</v>
      </c>
      <c r="Q6459" t="str">
        <f t="shared" si="2639"/>
        <v>NIL</v>
      </c>
      <c r="R6459" t="str">
        <f t="shared" si="2636"/>
        <v>Accepted</v>
      </c>
      <c r="S6459" t="str">
        <f t="shared" si="2625"/>
        <v>Approved</v>
      </c>
      <c r="T6459" t="str">
        <f t="shared" si="2637"/>
        <v>10.20.8.188</v>
      </c>
      <c r="U6459" t="str">
        <f t="shared" si="2626"/>
        <v>AZRAD UMAR BIN SHAARI</v>
      </c>
      <c r="V6459" t="str">
        <f t="shared" si="2627"/>
        <v>FARHANA BINTI MUSTAPA</v>
      </c>
      <c r="W6459" t="str">
        <f t="shared" si="2628"/>
        <v>04-08-2020</v>
      </c>
      <c r="X6459" t="str">
        <f t="shared" si="2629"/>
        <v>RAZIMAH ANSAR AHMAD</v>
      </c>
      <c r="Y6459" t="str">
        <f t="shared" si="2630"/>
        <v>04-08-2020</v>
      </c>
      <c r="Z6459" t="str">
        <f>"COS10200804 2695"</f>
        <v>COS10200804 2695</v>
      </c>
    </row>
    <row r="6460" spans="1:26" x14ac:dyDescent="0.25">
      <c r="A6460" t="str">
        <f t="shared" si="2640"/>
        <v>04-08-2020 12:39:14</v>
      </c>
      <c r="B6460" t="str">
        <f>"0000804457"</f>
        <v>0000804457</v>
      </c>
      <c r="C6460" t="str">
        <f t="shared" si="2641"/>
        <v>0000804363</v>
      </c>
      <c r="D6460" t="str">
        <f t="shared" si="2618"/>
        <v>73185</v>
      </c>
      <c r="E6460" t="str">
        <f t="shared" si="2619"/>
        <v>KFH-OPERATIONS DEPARTMENT</v>
      </c>
      <c r="F6460" t="str">
        <f t="shared" si="2620"/>
        <v>IBG</v>
      </c>
      <c r="G6460" t="str">
        <f t="shared" si="2631"/>
        <v>Refund COSHARE 10</v>
      </c>
      <c r="H6460" s="2">
        <v>1578</v>
      </c>
      <c r="I6460" t="str">
        <f>"MARCELA HARRY  SAIDI"</f>
        <v>MARCELA HARRY  SAIDI</v>
      </c>
      <c r="J6460" t="str">
        <f t="shared" ref="J6460:J6523" si="2642">"CIMB BANK / CIMB ISLAMIC BANK"</f>
        <v>CIMB BANK / CIMB ISLAMIC BANK</v>
      </c>
      <c r="K6460" t="str">
        <f>"10030028195524"</f>
        <v>10030028195524</v>
      </c>
      <c r="L6460" t="str">
        <f t="shared" si="2638"/>
        <v>04-08-2020</v>
      </c>
      <c r="M6460" t="str">
        <f t="shared" si="2638"/>
        <v>04-08-2020</v>
      </c>
      <c r="N6460" t="str">
        <f t="shared" si="2622"/>
        <v>001105018356</v>
      </c>
      <c r="O6460" t="str">
        <f t="shared" si="2623"/>
        <v>MYR</v>
      </c>
      <c r="P6460" t="str">
        <f t="shared" si="2639"/>
        <v>NIL</v>
      </c>
      <c r="Q6460" t="str">
        <f t="shared" si="2639"/>
        <v>NIL</v>
      </c>
      <c r="R6460" t="str">
        <f t="shared" si="2636"/>
        <v>Accepted</v>
      </c>
      <c r="S6460" t="str">
        <f t="shared" si="2625"/>
        <v>Approved</v>
      </c>
      <c r="T6460" t="str">
        <f t="shared" si="2637"/>
        <v>10.20.8.188</v>
      </c>
      <c r="U6460" t="str">
        <f t="shared" si="2626"/>
        <v>AZRAD UMAR BIN SHAARI</v>
      </c>
      <c r="V6460" t="str">
        <f t="shared" si="2627"/>
        <v>FARHANA BINTI MUSTAPA</v>
      </c>
      <c r="W6460" t="str">
        <f t="shared" si="2628"/>
        <v>04-08-2020</v>
      </c>
      <c r="X6460" t="str">
        <f t="shared" si="2629"/>
        <v>RAZIMAH ANSAR AHMAD</v>
      </c>
      <c r="Y6460" t="str">
        <f t="shared" si="2630"/>
        <v>04-08-2020</v>
      </c>
      <c r="Z6460" t="str">
        <f>"COS10200804 2694"</f>
        <v>COS10200804 2694</v>
      </c>
    </row>
    <row r="6461" spans="1:26" x14ac:dyDescent="0.25">
      <c r="A6461" t="str">
        <f t="shared" si="2640"/>
        <v>04-08-2020 12:39:14</v>
      </c>
      <c r="B6461" t="str">
        <f>"0000804456"</f>
        <v>0000804456</v>
      </c>
      <c r="C6461" t="str">
        <f t="shared" si="2641"/>
        <v>0000804363</v>
      </c>
      <c r="D6461" t="str">
        <f t="shared" si="2618"/>
        <v>73185</v>
      </c>
      <c r="E6461" t="str">
        <f t="shared" si="2619"/>
        <v>KFH-OPERATIONS DEPARTMENT</v>
      </c>
      <c r="F6461" t="str">
        <f t="shared" si="2620"/>
        <v>IBG</v>
      </c>
      <c r="G6461" t="str">
        <f t="shared" si="2631"/>
        <v>Refund COSHARE 10</v>
      </c>
      <c r="H6461" s="2">
        <v>167.9</v>
      </c>
      <c r="I6461" t="str">
        <f>"MANSUR BIN SADE"</f>
        <v>MANSUR BIN SADE</v>
      </c>
      <c r="J6461" t="str">
        <f t="shared" si="2642"/>
        <v>CIMB BANK / CIMB ISLAMIC BANK</v>
      </c>
      <c r="K6461" t="str">
        <f>"7038711650"</f>
        <v>7038711650</v>
      </c>
      <c r="L6461" t="str">
        <f t="shared" si="2638"/>
        <v>04-08-2020</v>
      </c>
      <c r="M6461" t="str">
        <f t="shared" si="2638"/>
        <v>04-08-2020</v>
      </c>
      <c r="N6461" t="str">
        <f t="shared" si="2622"/>
        <v>001105018356</v>
      </c>
      <c r="O6461" t="str">
        <f t="shared" si="2623"/>
        <v>MYR</v>
      </c>
      <c r="P6461" t="str">
        <f t="shared" si="2639"/>
        <v>NIL</v>
      </c>
      <c r="Q6461" t="str">
        <f t="shared" si="2639"/>
        <v>NIL</v>
      </c>
      <c r="R6461" t="str">
        <f t="shared" si="2636"/>
        <v>Accepted</v>
      </c>
      <c r="S6461" t="str">
        <f t="shared" si="2625"/>
        <v>Approved</v>
      </c>
      <c r="T6461" t="str">
        <f t="shared" si="2637"/>
        <v>10.20.8.188</v>
      </c>
      <c r="U6461" t="str">
        <f t="shared" si="2626"/>
        <v>AZRAD UMAR BIN SHAARI</v>
      </c>
      <c r="V6461" t="str">
        <f t="shared" si="2627"/>
        <v>FARHANA BINTI MUSTAPA</v>
      </c>
      <c r="W6461" t="str">
        <f t="shared" si="2628"/>
        <v>04-08-2020</v>
      </c>
      <c r="X6461" t="str">
        <f t="shared" si="2629"/>
        <v>RAZIMAH ANSAR AHMAD</v>
      </c>
      <c r="Y6461" t="str">
        <f t="shared" si="2630"/>
        <v>04-08-2020</v>
      </c>
      <c r="Z6461" t="str">
        <f>"COS10200804 2693"</f>
        <v>COS10200804 2693</v>
      </c>
    </row>
    <row r="6462" spans="1:26" x14ac:dyDescent="0.25">
      <c r="A6462" t="str">
        <f t="shared" si="2640"/>
        <v>04-08-2020 12:39:14</v>
      </c>
      <c r="B6462" t="str">
        <f>"0000804455"</f>
        <v>0000804455</v>
      </c>
      <c r="C6462" t="str">
        <f t="shared" si="2641"/>
        <v>0000804363</v>
      </c>
      <c r="D6462" t="str">
        <f t="shared" si="2618"/>
        <v>73185</v>
      </c>
      <c r="E6462" t="str">
        <f t="shared" si="2619"/>
        <v>KFH-OPERATIONS DEPARTMENT</v>
      </c>
      <c r="F6462" t="str">
        <f t="shared" si="2620"/>
        <v>IBG</v>
      </c>
      <c r="G6462" t="str">
        <f t="shared" si="2631"/>
        <v>Refund COSHARE 10</v>
      </c>
      <c r="H6462" s="2">
        <v>173</v>
      </c>
      <c r="I6462" t="str">
        <f>"MANIMEGALAI AP K RAMASAMY"</f>
        <v>MANIMEGALAI AP K RAMASAMY</v>
      </c>
      <c r="J6462" t="str">
        <f t="shared" si="2642"/>
        <v>CIMB BANK / CIMB ISLAMIC BANK</v>
      </c>
      <c r="K6462" t="str">
        <f>"02031323264523"</f>
        <v>02031323264523</v>
      </c>
      <c r="L6462" t="str">
        <f t="shared" si="2638"/>
        <v>04-08-2020</v>
      </c>
      <c r="M6462" t="str">
        <f t="shared" si="2638"/>
        <v>04-08-2020</v>
      </c>
      <c r="N6462" t="str">
        <f t="shared" si="2622"/>
        <v>001105018356</v>
      </c>
      <c r="O6462" t="str">
        <f t="shared" si="2623"/>
        <v>MYR</v>
      </c>
      <c r="P6462" t="str">
        <f t="shared" si="2639"/>
        <v>NIL</v>
      </c>
      <c r="Q6462" t="str">
        <f t="shared" si="2639"/>
        <v>NIL</v>
      </c>
      <c r="R6462" t="str">
        <f t="shared" si="2636"/>
        <v>Accepted</v>
      </c>
      <c r="S6462" t="str">
        <f t="shared" si="2625"/>
        <v>Approved</v>
      </c>
      <c r="T6462" t="str">
        <f t="shared" si="2637"/>
        <v>10.20.8.188</v>
      </c>
      <c r="U6462" t="str">
        <f t="shared" si="2626"/>
        <v>AZRAD UMAR BIN SHAARI</v>
      </c>
      <c r="V6462" t="str">
        <f t="shared" si="2627"/>
        <v>FARHANA BINTI MUSTAPA</v>
      </c>
      <c r="W6462" t="str">
        <f t="shared" si="2628"/>
        <v>04-08-2020</v>
      </c>
      <c r="X6462" t="str">
        <f t="shared" si="2629"/>
        <v>RAZIMAH ANSAR AHMAD</v>
      </c>
      <c r="Y6462" t="str">
        <f t="shared" si="2630"/>
        <v>04-08-2020</v>
      </c>
      <c r="Z6462" t="str">
        <f>"COS10200804 2692"</f>
        <v>COS10200804 2692</v>
      </c>
    </row>
    <row r="6463" spans="1:26" x14ac:dyDescent="0.25">
      <c r="A6463" t="str">
        <f t="shared" si="2640"/>
        <v>04-08-2020 12:39:14</v>
      </c>
      <c r="B6463" t="str">
        <f>"0000804454"</f>
        <v>0000804454</v>
      </c>
      <c r="C6463" t="str">
        <f t="shared" si="2641"/>
        <v>0000804363</v>
      </c>
      <c r="D6463" t="str">
        <f t="shared" si="2618"/>
        <v>73185</v>
      </c>
      <c r="E6463" t="str">
        <f t="shared" si="2619"/>
        <v>KFH-OPERATIONS DEPARTMENT</v>
      </c>
      <c r="F6463" t="str">
        <f t="shared" si="2620"/>
        <v>IBG</v>
      </c>
      <c r="G6463" t="str">
        <f t="shared" si="2631"/>
        <v>Refund COSHARE 10</v>
      </c>
      <c r="H6463" s="2">
        <v>431</v>
      </c>
      <c r="I6463" t="str">
        <f>"MAIZATUSIMA BINTI JUDI"</f>
        <v>MAIZATUSIMA BINTI JUDI</v>
      </c>
      <c r="J6463" t="str">
        <f t="shared" si="2642"/>
        <v>CIMB BANK / CIMB ISLAMIC BANK</v>
      </c>
      <c r="K6463" t="str">
        <f>"01070026721527"</f>
        <v>01070026721527</v>
      </c>
      <c r="L6463" t="str">
        <f t="shared" si="2638"/>
        <v>04-08-2020</v>
      </c>
      <c r="M6463" t="str">
        <f t="shared" si="2638"/>
        <v>04-08-2020</v>
      </c>
      <c r="N6463" t="str">
        <f t="shared" si="2622"/>
        <v>001105018356</v>
      </c>
      <c r="O6463" t="str">
        <f t="shared" si="2623"/>
        <v>MYR</v>
      </c>
      <c r="P6463" t="str">
        <f t="shared" si="2639"/>
        <v>NIL</v>
      </c>
      <c r="Q6463" t="str">
        <f t="shared" si="2639"/>
        <v>NIL</v>
      </c>
      <c r="R6463" t="str">
        <f t="shared" si="2636"/>
        <v>Accepted</v>
      </c>
      <c r="S6463" t="str">
        <f t="shared" si="2625"/>
        <v>Approved</v>
      </c>
      <c r="T6463" t="str">
        <f t="shared" si="2637"/>
        <v>10.20.8.188</v>
      </c>
      <c r="U6463" t="str">
        <f t="shared" si="2626"/>
        <v>AZRAD UMAR BIN SHAARI</v>
      </c>
      <c r="V6463" t="str">
        <f t="shared" si="2627"/>
        <v>FARHANA BINTI MUSTAPA</v>
      </c>
      <c r="W6463" t="str">
        <f t="shared" si="2628"/>
        <v>04-08-2020</v>
      </c>
      <c r="X6463" t="str">
        <f t="shared" si="2629"/>
        <v>RAZIMAH ANSAR AHMAD</v>
      </c>
      <c r="Y6463" t="str">
        <f t="shared" si="2630"/>
        <v>04-08-2020</v>
      </c>
      <c r="Z6463" t="str">
        <f>"COS10200804 2691"</f>
        <v>COS10200804 2691</v>
      </c>
    </row>
    <row r="6464" spans="1:26" x14ac:dyDescent="0.25">
      <c r="A6464" t="str">
        <f t="shared" si="2640"/>
        <v>04-08-2020 12:39:14</v>
      </c>
      <c r="B6464" t="str">
        <f>"0000804453"</f>
        <v>0000804453</v>
      </c>
      <c r="C6464" t="str">
        <f t="shared" si="2641"/>
        <v>0000804363</v>
      </c>
      <c r="D6464" t="str">
        <f t="shared" si="2618"/>
        <v>73185</v>
      </c>
      <c r="E6464" t="str">
        <f t="shared" si="2619"/>
        <v>KFH-OPERATIONS DEPARTMENT</v>
      </c>
      <c r="F6464" t="str">
        <f t="shared" si="2620"/>
        <v>IBG</v>
      </c>
      <c r="G6464" t="str">
        <f t="shared" si="2631"/>
        <v>Refund COSHARE 10</v>
      </c>
      <c r="H6464" s="2">
        <v>346</v>
      </c>
      <c r="I6464" t="str">
        <f>"MAIMUNAH BINTI MOHAMED"</f>
        <v>MAIMUNAH BINTI MOHAMED</v>
      </c>
      <c r="J6464" t="str">
        <f t="shared" si="2642"/>
        <v>CIMB BANK / CIMB ISLAMIC BANK</v>
      </c>
      <c r="K6464" t="str">
        <f>"07080021827522"</f>
        <v>07080021827522</v>
      </c>
      <c r="L6464" t="str">
        <f t="shared" si="2638"/>
        <v>04-08-2020</v>
      </c>
      <c r="M6464" t="str">
        <f t="shared" si="2638"/>
        <v>04-08-2020</v>
      </c>
      <c r="N6464" t="str">
        <f t="shared" si="2622"/>
        <v>001105018356</v>
      </c>
      <c r="O6464" t="str">
        <f t="shared" si="2623"/>
        <v>MYR</v>
      </c>
      <c r="P6464" t="str">
        <f t="shared" si="2639"/>
        <v>NIL</v>
      </c>
      <c r="Q6464" t="str">
        <f t="shared" si="2639"/>
        <v>NIL</v>
      </c>
      <c r="R6464" t="str">
        <f t="shared" si="2636"/>
        <v>Accepted</v>
      </c>
      <c r="S6464" t="str">
        <f t="shared" si="2625"/>
        <v>Approved</v>
      </c>
      <c r="T6464" t="str">
        <f t="shared" si="2637"/>
        <v>10.20.8.188</v>
      </c>
      <c r="U6464" t="str">
        <f t="shared" si="2626"/>
        <v>AZRAD UMAR BIN SHAARI</v>
      </c>
      <c r="V6464" t="str">
        <f t="shared" si="2627"/>
        <v>FARHANA BINTI MUSTAPA</v>
      </c>
      <c r="W6464" t="str">
        <f t="shared" si="2628"/>
        <v>04-08-2020</v>
      </c>
      <c r="X6464" t="str">
        <f t="shared" si="2629"/>
        <v>RAZIMAH ANSAR AHMAD</v>
      </c>
      <c r="Y6464" t="str">
        <f t="shared" si="2630"/>
        <v>04-08-2020</v>
      </c>
      <c r="Z6464" t="str">
        <f>"COS10200804 2690"</f>
        <v>COS10200804 2690</v>
      </c>
    </row>
    <row r="6465" spans="1:26" x14ac:dyDescent="0.25">
      <c r="A6465" t="str">
        <f t="shared" si="2640"/>
        <v>04-08-2020 12:39:14</v>
      </c>
      <c r="B6465" t="str">
        <f>"0000804452"</f>
        <v>0000804452</v>
      </c>
      <c r="C6465" t="str">
        <f t="shared" si="2641"/>
        <v>0000804363</v>
      </c>
      <c r="D6465" t="str">
        <f t="shared" si="2618"/>
        <v>73185</v>
      </c>
      <c r="E6465" t="str">
        <f t="shared" si="2619"/>
        <v>KFH-OPERATIONS DEPARTMENT</v>
      </c>
      <c r="F6465" t="str">
        <f t="shared" si="2620"/>
        <v>IBG</v>
      </c>
      <c r="G6465" t="str">
        <f t="shared" si="2631"/>
        <v>Refund COSHARE 10</v>
      </c>
      <c r="H6465" s="2">
        <v>95.35</v>
      </c>
      <c r="I6465" t="str">
        <f>"MAIMUNAH BINTI HASHIM"</f>
        <v>MAIMUNAH BINTI HASHIM</v>
      </c>
      <c r="J6465" t="str">
        <f t="shared" si="2642"/>
        <v>CIMB BANK / CIMB ISLAMIC BANK</v>
      </c>
      <c r="K6465" t="str">
        <f>"06130069665522"</f>
        <v>06130069665522</v>
      </c>
      <c r="L6465" t="str">
        <f t="shared" si="2638"/>
        <v>04-08-2020</v>
      </c>
      <c r="M6465" t="str">
        <f t="shared" si="2638"/>
        <v>04-08-2020</v>
      </c>
      <c r="N6465" t="str">
        <f t="shared" si="2622"/>
        <v>001105018356</v>
      </c>
      <c r="O6465" t="str">
        <f t="shared" si="2623"/>
        <v>MYR</v>
      </c>
      <c r="P6465" t="str">
        <f t="shared" si="2639"/>
        <v>NIL</v>
      </c>
      <c r="Q6465" t="str">
        <f t="shared" si="2639"/>
        <v>NIL</v>
      </c>
      <c r="R6465" t="str">
        <f t="shared" si="2636"/>
        <v>Accepted</v>
      </c>
      <c r="S6465" t="str">
        <f t="shared" si="2625"/>
        <v>Approved</v>
      </c>
      <c r="T6465" t="str">
        <f t="shared" si="2637"/>
        <v>10.20.8.188</v>
      </c>
      <c r="U6465" t="str">
        <f t="shared" si="2626"/>
        <v>AZRAD UMAR BIN SHAARI</v>
      </c>
      <c r="V6465" t="str">
        <f t="shared" si="2627"/>
        <v>FARHANA BINTI MUSTAPA</v>
      </c>
      <c r="W6465" t="str">
        <f t="shared" si="2628"/>
        <v>04-08-2020</v>
      </c>
      <c r="X6465" t="str">
        <f t="shared" si="2629"/>
        <v>RAZIMAH ANSAR AHMAD</v>
      </c>
      <c r="Y6465" t="str">
        <f t="shared" si="2630"/>
        <v>04-08-2020</v>
      </c>
      <c r="Z6465" t="str">
        <f>"COS10200804 2689"</f>
        <v>COS10200804 2689</v>
      </c>
    </row>
    <row r="6466" spans="1:26" x14ac:dyDescent="0.25">
      <c r="A6466" t="str">
        <f t="shared" si="2640"/>
        <v>04-08-2020 12:39:14</v>
      </c>
      <c r="B6466" t="str">
        <f>"0000804451"</f>
        <v>0000804451</v>
      </c>
      <c r="C6466" t="str">
        <f t="shared" si="2641"/>
        <v>0000804363</v>
      </c>
      <c r="D6466" t="str">
        <f t="shared" si="2618"/>
        <v>73185</v>
      </c>
      <c r="E6466" t="str">
        <f t="shared" si="2619"/>
        <v>KFH-OPERATIONS DEPARTMENT</v>
      </c>
      <c r="F6466" t="str">
        <f t="shared" si="2620"/>
        <v>IBG</v>
      </c>
      <c r="G6466" t="str">
        <f t="shared" si="2631"/>
        <v>Refund COSHARE 10</v>
      </c>
      <c r="H6466" s="2">
        <v>671.6</v>
      </c>
      <c r="I6466" t="str">
        <f>"MAIMUNAH BINTI BUNIYAMI"</f>
        <v>MAIMUNAH BINTI BUNIYAMI</v>
      </c>
      <c r="J6466" t="str">
        <f t="shared" si="2642"/>
        <v>CIMB BANK / CIMB ISLAMIC BANK</v>
      </c>
      <c r="K6466" t="str">
        <f>"16010014729521"</f>
        <v>16010014729521</v>
      </c>
      <c r="L6466" t="str">
        <f t="shared" si="2638"/>
        <v>04-08-2020</v>
      </c>
      <c r="M6466" t="str">
        <f t="shared" si="2638"/>
        <v>04-08-2020</v>
      </c>
      <c r="N6466" t="str">
        <f t="shared" si="2622"/>
        <v>001105018356</v>
      </c>
      <c r="O6466" t="str">
        <f t="shared" si="2623"/>
        <v>MYR</v>
      </c>
      <c r="P6466" t="str">
        <f t="shared" si="2639"/>
        <v>NIL</v>
      </c>
      <c r="Q6466" t="str">
        <f t="shared" si="2639"/>
        <v>NIL</v>
      </c>
      <c r="R6466" t="str">
        <f t="shared" si="2636"/>
        <v>Accepted</v>
      </c>
      <c r="S6466" t="str">
        <f t="shared" si="2625"/>
        <v>Approved</v>
      </c>
      <c r="T6466" t="str">
        <f t="shared" si="2637"/>
        <v>10.20.8.188</v>
      </c>
      <c r="U6466" t="str">
        <f t="shared" si="2626"/>
        <v>AZRAD UMAR BIN SHAARI</v>
      </c>
      <c r="V6466" t="str">
        <f t="shared" si="2627"/>
        <v>FARHANA BINTI MUSTAPA</v>
      </c>
      <c r="W6466" t="str">
        <f t="shared" si="2628"/>
        <v>04-08-2020</v>
      </c>
      <c r="X6466" t="str">
        <f t="shared" si="2629"/>
        <v>RAZIMAH ANSAR AHMAD</v>
      </c>
      <c r="Y6466" t="str">
        <f t="shared" si="2630"/>
        <v>04-08-2020</v>
      </c>
      <c r="Z6466" t="str">
        <f>"COS10200804 2688"</f>
        <v>COS10200804 2688</v>
      </c>
    </row>
    <row r="6467" spans="1:26" x14ac:dyDescent="0.25">
      <c r="A6467" t="str">
        <f t="shared" si="2640"/>
        <v>04-08-2020 12:39:14</v>
      </c>
      <c r="B6467" t="str">
        <f>"0000804450"</f>
        <v>0000804450</v>
      </c>
      <c r="C6467" t="str">
        <f t="shared" si="2641"/>
        <v>0000804363</v>
      </c>
      <c r="D6467" t="str">
        <f t="shared" si="2618"/>
        <v>73185</v>
      </c>
      <c r="E6467" t="str">
        <f t="shared" si="2619"/>
        <v>KFH-OPERATIONS DEPARTMENT</v>
      </c>
      <c r="F6467" t="str">
        <f t="shared" si="2620"/>
        <v>IBG</v>
      </c>
      <c r="G6467" t="str">
        <f t="shared" si="2631"/>
        <v>Refund COSHARE 10</v>
      </c>
      <c r="H6467" s="2">
        <v>167.9</v>
      </c>
      <c r="I6467" t="str">
        <f>"MAIMUNAH BINTI ABDULLAH"</f>
        <v>MAIMUNAH BINTI ABDULLAH</v>
      </c>
      <c r="J6467" t="str">
        <f t="shared" si="2642"/>
        <v>CIMB BANK / CIMB ISLAMIC BANK</v>
      </c>
      <c r="K6467" t="str">
        <f>"7617996551"</f>
        <v>7617996551</v>
      </c>
      <c r="L6467" t="str">
        <f t="shared" ref="L6467:M6486" si="2643">"04-08-2020"</f>
        <v>04-08-2020</v>
      </c>
      <c r="M6467" t="str">
        <f t="shared" si="2643"/>
        <v>04-08-2020</v>
      </c>
      <c r="N6467" t="str">
        <f t="shared" si="2622"/>
        <v>001105018356</v>
      </c>
      <c r="O6467" t="str">
        <f t="shared" si="2623"/>
        <v>MYR</v>
      </c>
      <c r="P6467" t="str">
        <f t="shared" ref="P6467:Q6486" si="2644">"NIL"</f>
        <v>NIL</v>
      </c>
      <c r="Q6467" t="str">
        <f t="shared" si="2644"/>
        <v>NIL</v>
      </c>
      <c r="R6467" t="str">
        <f t="shared" si="2636"/>
        <v>Accepted</v>
      </c>
      <c r="S6467" t="str">
        <f t="shared" si="2625"/>
        <v>Approved</v>
      </c>
      <c r="T6467" t="str">
        <f t="shared" si="2637"/>
        <v>10.20.8.188</v>
      </c>
      <c r="U6467" t="str">
        <f t="shared" si="2626"/>
        <v>AZRAD UMAR BIN SHAARI</v>
      </c>
      <c r="V6467" t="str">
        <f t="shared" si="2627"/>
        <v>FARHANA BINTI MUSTAPA</v>
      </c>
      <c r="W6467" t="str">
        <f t="shared" si="2628"/>
        <v>04-08-2020</v>
      </c>
      <c r="X6467" t="str">
        <f t="shared" si="2629"/>
        <v>RAZIMAH ANSAR AHMAD</v>
      </c>
      <c r="Y6467" t="str">
        <f t="shared" si="2630"/>
        <v>04-08-2020</v>
      </c>
      <c r="Z6467" t="str">
        <f>"COS10200804 2687"</f>
        <v>COS10200804 2687</v>
      </c>
    </row>
    <row r="6468" spans="1:26" x14ac:dyDescent="0.25">
      <c r="A6468" t="str">
        <f t="shared" si="2640"/>
        <v>04-08-2020 12:39:14</v>
      </c>
      <c r="B6468" t="str">
        <f>"0000804449"</f>
        <v>0000804449</v>
      </c>
      <c r="C6468" t="str">
        <f t="shared" si="2641"/>
        <v>0000804363</v>
      </c>
      <c r="D6468" t="str">
        <f t="shared" si="2618"/>
        <v>73185</v>
      </c>
      <c r="E6468" t="str">
        <f t="shared" si="2619"/>
        <v>KFH-OPERATIONS DEPARTMENT</v>
      </c>
      <c r="F6468" t="str">
        <f t="shared" si="2620"/>
        <v>IBG</v>
      </c>
      <c r="G6468" t="str">
        <f t="shared" si="2631"/>
        <v>Refund COSHARE 10</v>
      </c>
      <c r="H6468" s="2">
        <v>75.599999999999994</v>
      </c>
      <c r="I6468" t="str">
        <f>"MAHANI BINTI SHARIFF"</f>
        <v>MAHANI BINTI SHARIFF</v>
      </c>
      <c r="J6468" t="str">
        <f t="shared" si="2642"/>
        <v>CIMB BANK / CIMB ISLAMIC BANK</v>
      </c>
      <c r="K6468" t="str">
        <f>"12520074115526"</f>
        <v>12520074115526</v>
      </c>
      <c r="L6468" t="str">
        <f t="shared" si="2643"/>
        <v>04-08-2020</v>
      </c>
      <c r="M6468" t="str">
        <f t="shared" si="2643"/>
        <v>04-08-2020</v>
      </c>
      <c r="N6468" t="str">
        <f t="shared" si="2622"/>
        <v>001105018356</v>
      </c>
      <c r="O6468" t="str">
        <f t="shared" si="2623"/>
        <v>MYR</v>
      </c>
      <c r="P6468" t="str">
        <f t="shared" si="2644"/>
        <v>NIL</v>
      </c>
      <c r="Q6468" t="str">
        <f t="shared" si="2644"/>
        <v>NIL</v>
      </c>
      <c r="R6468" t="str">
        <f t="shared" si="2636"/>
        <v>Accepted</v>
      </c>
      <c r="S6468" t="str">
        <f t="shared" si="2625"/>
        <v>Approved</v>
      </c>
      <c r="T6468" t="str">
        <f t="shared" si="2637"/>
        <v>10.20.8.188</v>
      </c>
      <c r="U6468" t="str">
        <f t="shared" si="2626"/>
        <v>AZRAD UMAR BIN SHAARI</v>
      </c>
      <c r="V6468" t="str">
        <f t="shared" si="2627"/>
        <v>FARHANA BINTI MUSTAPA</v>
      </c>
      <c r="W6468" t="str">
        <f t="shared" si="2628"/>
        <v>04-08-2020</v>
      </c>
      <c r="X6468" t="str">
        <f t="shared" si="2629"/>
        <v>RAZIMAH ANSAR AHMAD</v>
      </c>
      <c r="Y6468" t="str">
        <f t="shared" si="2630"/>
        <v>04-08-2020</v>
      </c>
      <c r="Z6468" t="str">
        <f>"COS10200804 2686"</f>
        <v>COS10200804 2686</v>
      </c>
    </row>
    <row r="6469" spans="1:26" x14ac:dyDescent="0.25">
      <c r="A6469" t="str">
        <f t="shared" si="2640"/>
        <v>04-08-2020 12:39:14</v>
      </c>
      <c r="B6469" t="str">
        <f>"0000804448"</f>
        <v>0000804448</v>
      </c>
      <c r="C6469" t="str">
        <f t="shared" si="2641"/>
        <v>0000804363</v>
      </c>
      <c r="D6469" t="str">
        <f t="shared" si="2618"/>
        <v>73185</v>
      </c>
      <c r="E6469" t="str">
        <f t="shared" si="2619"/>
        <v>KFH-OPERATIONS DEPARTMENT</v>
      </c>
      <c r="F6469" t="str">
        <f t="shared" si="2620"/>
        <v>IBG</v>
      </c>
      <c r="G6469" t="str">
        <f t="shared" si="2631"/>
        <v>Refund COSHARE 10</v>
      </c>
      <c r="H6469" s="2">
        <v>1070.75</v>
      </c>
      <c r="I6469" t="str">
        <f>"MAHADZIR BIN RAMLI"</f>
        <v>MAHADZIR BIN RAMLI</v>
      </c>
      <c r="J6469" t="str">
        <f t="shared" si="2642"/>
        <v>CIMB BANK / CIMB ISLAMIC BANK</v>
      </c>
      <c r="K6469" t="str">
        <f>"13020102261527"</f>
        <v>13020102261527</v>
      </c>
      <c r="L6469" t="str">
        <f t="shared" si="2643"/>
        <v>04-08-2020</v>
      </c>
      <c r="M6469" t="str">
        <f t="shared" si="2643"/>
        <v>04-08-2020</v>
      </c>
      <c r="N6469" t="str">
        <f t="shared" si="2622"/>
        <v>001105018356</v>
      </c>
      <c r="O6469" t="str">
        <f t="shared" si="2623"/>
        <v>MYR</v>
      </c>
      <c r="P6469" t="str">
        <f t="shared" si="2644"/>
        <v>NIL</v>
      </c>
      <c r="Q6469" t="str">
        <f t="shared" si="2644"/>
        <v>NIL</v>
      </c>
      <c r="R6469" t="str">
        <f t="shared" si="2636"/>
        <v>Accepted</v>
      </c>
      <c r="S6469" t="str">
        <f t="shared" si="2625"/>
        <v>Approved</v>
      </c>
      <c r="T6469" t="str">
        <f t="shared" si="2637"/>
        <v>10.20.8.188</v>
      </c>
      <c r="U6469" t="str">
        <f t="shared" si="2626"/>
        <v>AZRAD UMAR BIN SHAARI</v>
      </c>
      <c r="V6469" t="str">
        <f t="shared" si="2627"/>
        <v>FARHANA BINTI MUSTAPA</v>
      </c>
      <c r="W6469" t="str">
        <f t="shared" si="2628"/>
        <v>04-08-2020</v>
      </c>
      <c r="X6469" t="str">
        <f t="shared" si="2629"/>
        <v>RAZIMAH ANSAR AHMAD</v>
      </c>
      <c r="Y6469" t="str">
        <f t="shared" si="2630"/>
        <v>04-08-2020</v>
      </c>
      <c r="Z6469" t="str">
        <f>"COS10200804 2685"</f>
        <v>COS10200804 2685</v>
      </c>
    </row>
    <row r="6470" spans="1:26" x14ac:dyDescent="0.25">
      <c r="A6470" t="str">
        <f t="shared" si="2640"/>
        <v>04-08-2020 12:39:14</v>
      </c>
      <c r="B6470" t="str">
        <f>"0000804447"</f>
        <v>0000804447</v>
      </c>
      <c r="C6470" t="str">
        <f t="shared" si="2641"/>
        <v>0000804363</v>
      </c>
      <c r="D6470" t="str">
        <f t="shared" si="2618"/>
        <v>73185</v>
      </c>
      <c r="E6470" t="str">
        <f t="shared" si="2619"/>
        <v>KFH-OPERATIONS DEPARTMENT</v>
      </c>
      <c r="F6470" t="str">
        <f t="shared" si="2620"/>
        <v>IBG</v>
      </c>
      <c r="G6470" t="str">
        <f t="shared" si="2631"/>
        <v>Refund COSHARE 10</v>
      </c>
      <c r="H6470" s="2">
        <v>1133.3499999999999</v>
      </c>
      <c r="I6470" t="str">
        <f>"MADIHAH BINTI MOHAMMAD"</f>
        <v>MADIHAH BINTI MOHAMMAD</v>
      </c>
      <c r="J6470" t="str">
        <f t="shared" si="2642"/>
        <v>CIMB BANK / CIMB ISLAMIC BANK</v>
      </c>
      <c r="K6470" t="str">
        <f>"14140128842525"</f>
        <v>14140128842525</v>
      </c>
      <c r="L6470" t="str">
        <f t="shared" si="2643"/>
        <v>04-08-2020</v>
      </c>
      <c r="M6470" t="str">
        <f t="shared" si="2643"/>
        <v>04-08-2020</v>
      </c>
      <c r="N6470" t="str">
        <f t="shared" si="2622"/>
        <v>001105018356</v>
      </c>
      <c r="O6470" t="str">
        <f t="shared" si="2623"/>
        <v>MYR</v>
      </c>
      <c r="P6470" t="str">
        <f t="shared" si="2644"/>
        <v>NIL</v>
      </c>
      <c r="Q6470" t="str">
        <f t="shared" si="2644"/>
        <v>NIL</v>
      </c>
      <c r="R6470" t="str">
        <f t="shared" si="2636"/>
        <v>Accepted</v>
      </c>
      <c r="S6470" t="str">
        <f t="shared" si="2625"/>
        <v>Approved</v>
      </c>
      <c r="T6470" t="str">
        <f t="shared" si="2637"/>
        <v>10.20.8.188</v>
      </c>
      <c r="U6470" t="str">
        <f t="shared" si="2626"/>
        <v>AZRAD UMAR BIN SHAARI</v>
      </c>
      <c r="V6470" t="str">
        <f t="shared" si="2627"/>
        <v>FARHANA BINTI MUSTAPA</v>
      </c>
      <c r="W6470" t="str">
        <f t="shared" si="2628"/>
        <v>04-08-2020</v>
      </c>
      <c r="X6470" t="str">
        <f t="shared" si="2629"/>
        <v>RAZIMAH ANSAR AHMAD</v>
      </c>
      <c r="Y6470" t="str">
        <f t="shared" si="2630"/>
        <v>04-08-2020</v>
      </c>
      <c r="Z6470" t="str">
        <f>"COS10200804 2684"</f>
        <v>COS10200804 2684</v>
      </c>
    </row>
    <row r="6471" spans="1:26" x14ac:dyDescent="0.25">
      <c r="A6471" t="str">
        <f t="shared" si="2640"/>
        <v>04-08-2020 12:39:14</v>
      </c>
      <c r="B6471" t="str">
        <f>"0000804446"</f>
        <v>0000804446</v>
      </c>
      <c r="C6471" t="str">
        <f t="shared" si="2641"/>
        <v>0000804363</v>
      </c>
      <c r="D6471" t="str">
        <f t="shared" ref="D6471:D6534" si="2645">"73185"</f>
        <v>73185</v>
      </c>
      <c r="E6471" t="str">
        <f t="shared" ref="E6471:E6534" si="2646">"KFH-OPERATIONS DEPARTMENT"</f>
        <v>KFH-OPERATIONS DEPARTMENT</v>
      </c>
      <c r="F6471" t="str">
        <f t="shared" ref="F6471:F6534" si="2647">"IBG"</f>
        <v>IBG</v>
      </c>
      <c r="G6471" t="str">
        <f t="shared" si="2631"/>
        <v>Refund COSHARE 10</v>
      </c>
      <c r="H6471" s="2">
        <v>335.8</v>
      </c>
      <c r="I6471" t="str">
        <f>"MADIHAH BINTI MD JUNOH"</f>
        <v>MADIHAH BINTI MD JUNOH</v>
      </c>
      <c r="J6471" t="str">
        <f t="shared" si="2642"/>
        <v>CIMB BANK / CIMB ISLAMIC BANK</v>
      </c>
      <c r="K6471" t="str">
        <f>"7613871258"</f>
        <v>7613871258</v>
      </c>
      <c r="L6471" t="str">
        <f t="shared" si="2643"/>
        <v>04-08-2020</v>
      </c>
      <c r="M6471" t="str">
        <f t="shared" si="2643"/>
        <v>04-08-2020</v>
      </c>
      <c r="N6471" t="str">
        <f t="shared" ref="N6471:N6534" si="2648">"001105018356"</f>
        <v>001105018356</v>
      </c>
      <c r="O6471" t="str">
        <f t="shared" ref="O6471:O6534" si="2649">"MYR"</f>
        <v>MYR</v>
      </c>
      <c r="P6471" t="str">
        <f t="shared" si="2644"/>
        <v>NIL</v>
      </c>
      <c r="Q6471" t="str">
        <f t="shared" si="2644"/>
        <v>NIL</v>
      </c>
      <c r="R6471" t="str">
        <f t="shared" si="2636"/>
        <v>Accepted</v>
      </c>
      <c r="S6471" t="str">
        <f t="shared" ref="S6471:S6534" si="2650">"Approved"</f>
        <v>Approved</v>
      </c>
      <c r="T6471" t="str">
        <f t="shared" si="2637"/>
        <v>10.20.8.188</v>
      </c>
      <c r="U6471" t="str">
        <f t="shared" ref="U6471:U6534" si="2651">"AZRAD UMAR BIN SHAARI"</f>
        <v>AZRAD UMAR BIN SHAARI</v>
      </c>
      <c r="V6471" t="str">
        <f t="shared" ref="V6471:V6534" si="2652">"FARHANA BINTI MUSTAPA"</f>
        <v>FARHANA BINTI MUSTAPA</v>
      </c>
      <c r="W6471" t="str">
        <f t="shared" ref="W6471:W6534" si="2653">"04-08-2020"</f>
        <v>04-08-2020</v>
      </c>
      <c r="X6471" t="str">
        <f t="shared" ref="X6471:X6534" si="2654">"RAZIMAH ANSAR AHMAD"</f>
        <v>RAZIMAH ANSAR AHMAD</v>
      </c>
      <c r="Y6471" t="str">
        <f t="shared" ref="Y6471:Y6534" si="2655">"04-08-2020"</f>
        <v>04-08-2020</v>
      </c>
      <c r="Z6471" t="str">
        <f>"COS10200804 2683"</f>
        <v>COS10200804 2683</v>
      </c>
    </row>
    <row r="6472" spans="1:26" x14ac:dyDescent="0.25">
      <c r="A6472" t="str">
        <f t="shared" si="2640"/>
        <v>04-08-2020 12:39:14</v>
      </c>
      <c r="B6472" t="str">
        <f>"0000804445"</f>
        <v>0000804445</v>
      </c>
      <c r="C6472" t="str">
        <f t="shared" si="2641"/>
        <v>0000804363</v>
      </c>
      <c r="D6472" t="str">
        <f t="shared" si="2645"/>
        <v>73185</v>
      </c>
      <c r="E6472" t="str">
        <f t="shared" si="2646"/>
        <v>KFH-OPERATIONS DEPARTMENT</v>
      </c>
      <c r="F6472" t="str">
        <f t="shared" si="2647"/>
        <v>IBG</v>
      </c>
      <c r="G6472" t="str">
        <f t="shared" si="2631"/>
        <v>Refund COSHARE 10</v>
      </c>
      <c r="H6472" s="2">
        <v>797.55</v>
      </c>
      <c r="I6472" t="str">
        <f>"MADIAH BINTI ABU BAKAR"</f>
        <v>MADIAH BINTI ABU BAKAR</v>
      </c>
      <c r="J6472" t="str">
        <f t="shared" si="2642"/>
        <v>CIMB BANK / CIMB ISLAMIC BANK</v>
      </c>
      <c r="K6472" t="str">
        <f>"11050076057526"</f>
        <v>11050076057526</v>
      </c>
      <c r="L6472" t="str">
        <f t="shared" si="2643"/>
        <v>04-08-2020</v>
      </c>
      <c r="M6472" t="str">
        <f t="shared" si="2643"/>
        <v>04-08-2020</v>
      </c>
      <c r="N6472" t="str">
        <f t="shared" si="2648"/>
        <v>001105018356</v>
      </c>
      <c r="O6472" t="str">
        <f t="shared" si="2649"/>
        <v>MYR</v>
      </c>
      <c r="P6472" t="str">
        <f t="shared" si="2644"/>
        <v>NIL</v>
      </c>
      <c r="Q6472" t="str">
        <f t="shared" si="2644"/>
        <v>NIL</v>
      </c>
      <c r="R6472" t="str">
        <f t="shared" si="2636"/>
        <v>Accepted</v>
      </c>
      <c r="S6472" t="str">
        <f t="shared" si="2650"/>
        <v>Approved</v>
      </c>
      <c r="T6472" t="str">
        <f t="shared" si="2637"/>
        <v>10.20.8.188</v>
      </c>
      <c r="U6472" t="str">
        <f t="shared" si="2651"/>
        <v>AZRAD UMAR BIN SHAARI</v>
      </c>
      <c r="V6472" t="str">
        <f t="shared" si="2652"/>
        <v>FARHANA BINTI MUSTAPA</v>
      </c>
      <c r="W6472" t="str">
        <f t="shared" si="2653"/>
        <v>04-08-2020</v>
      </c>
      <c r="X6472" t="str">
        <f t="shared" si="2654"/>
        <v>RAZIMAH ANSAR AHMAD</v>
      </c>
      <c r="Y6472" t="str">
        <f t="shared" si="2655"/>
        <v>04-08-2020</v>
      </c>
      <c r="Z6472" t="str">
        <f>"COS10200804 2682"</f>
        <v>COS10200804 2682</v>
      </c>
    </row>
    <row r="6473" spans="1:26" x14ac:dyDescent="0.25">
      <c r="A6473" t="str">
        <f t="shared" si="2640"/>
        <v>04-08-2020 12:39:14</v>
      </c>
      <c r="B6473" t="str">
        <f>"0000804444"</f>
        <v>0000804444</v>
      </c>
      <c r="C6473" t="str">
        <f t="shared" si="2641"/>
        <v>0000804363</v>
      </c>
      <c r="D6473" t="str">
        <f t="shared" si="2645"/>
        <v>73185</v>
      </c>
      <c r="E6473" t="str">
        <f t="shared" si="2646"/>
        <v>KFH-OPERATIONS DEPARTMENT</v>
      </c>
      <c r="F6473" t="str">
        <f t="shared" si="2647"/>
        <v>IBG</v>
      </c>
      <c r="G6473" t="str">
        <f t="shared" si="2631"/>
        <v>Refund COSHARE 10</v>
      </c>
      <c r="H6473" s="2">
        <v>545.70000000000005</v>
      </c>
      <c r="I6473" t="str">
        <f>"MAAROF BIN ABDUL MALIK"</f>
        <v>MAAROF BIN ABDUL MALIK</v>
      </c>
      <c r="J6473" t="str">
        <f t="shared" si="2642"/>
        <v>CIMB BANK / CIMB ISLAMIC BANK</v>
      </c>
      <c r="K6473" t="str">
        <f>"14370001680200"</f>
        <v>14370001680200</v>
      </c>
      <c r="L6473" t="str">
        <f t="shared" si="2643"/>
        <v>04-08-2020</v>
      </c>
      <c r="M6473" t="str">
        <f t="shared" si="2643"/>
        <v>04-08-2020</v>
      </c>
      <c r="N6473" t="str">
        <f t="shared" si="2648"/>
        <v>001105018356</v>
      </c>
      <c r="O6473" t="str">
        <f t="shared" si="2649"/>
        <v>MYR</v>
      </c>
      <c r="P6473" t="str">
        <f t="shared" si="2644"/>
        <v>NIL</v>
      </c>
      <c r="Q6473" t="str">
        <f t="shared" si="2644"/>
        <v>NIL</v>
      </c>
      <c r="R6473" t="str">
        <f t="shared" si="2636"/>
        <v>Accepted</v>
      </c>
      <c r="S6473" t="str">
        <f t="shared" si="2650"/>
        <v>Approved</v>
      </c>
      <c r="T6473" t="str">
        <f t="shared" si="2637"/>
        <v>10.20.8.188</v>
      </c>
      <c r="U6473" t="str">
        <f t="shared" si="2651"/>
        <v>AZRAD UMAR BIN SHAARI</v>
      </c>
      <c r="V6473" t="str">
        <f t="shared" si="2652"/>
        <v>FARHANA BINTI MUSTAPA</v>
      </c>
      <c r="W6473" t="str">
        <f t="shared" si="2653"/>
        <v>04-08-2020</v>
      </c>
      <c r="X6473" t="str">
        <f t="shared" si="2654"/>
        <v>RAZIMAH ANSAR AHMAD</v>
      </c>
      <c r="Y6473" t="str">
        <f t="shared" si="2655"/>
        <v>04-08-2020</v>
      </c>
      <c r="Z6473" t="str">
        <f>"COS10200804 2681"</f>
        <v>COS10200804 2681</v>
      </c>
    </row>
    <row r="6474" spans="1:26" x14ac:dyDescent="0.25">
      <c r="A6474" t="str">
        <f t="shared" si="2640"/>
        <v>04-08-2020 12:39:14</v>
      </c>
      <c r="B6474" t="str">
        <f>"0000804443"</f>
        <v>0000804443</v>
      </c>
      <c r="C6474" t="str">
        <f t="shared" si="2641"/>
        <v>0000804363</v>
      </c>
      <c r="D6474" t="str">
        <f t="shared" si="2645"/>
        <v>73185</v>
      </c>
      <c r="E6474" t="str">
        <f t="shared" si="2646"/>
        <v>KFH-OPERATIONS DEPARTMENT</v>
      </c>
      <c r="F6474" t="str">
        <f t="shared" si="2647"/>
        <v>IBG</v>
      </c>
      <c r="G6474" t="str">
        <f t="shared" si="2631"/>
        <v>Refund COSHARE 10</v>
      </c>
      <c r="H6474" s="2">
        <v>562.5</v>
      </c>
      <c r="I6474" t="str">
        <f>"LYDIE WATIE BINTI MUSTIN"</f>
        <v>LYDIE WATIE BINTI MUSTIN</v>
      </c>
      <c r="J6474" t="str">
        <f t="shared" si="2642"/>
        <v>CIMB BANK / CIMB ISLAMIC BANK</v>
      </c>
      <c r="K6474" t="str">
        <f>"10070067796521"</f>
        <v>10070067796521</v>
      </c>
      <c r="L6474" t="str">
        <f t="shared" si="2643"/>
        <v>04-08-2020</v>
      </c>
      <c r="M6474" t="str">
        <f t="shared" si="2643"/>
        <v>04-08-2020</v>
      </c>
      <c r="N6474" t="str">
        <f t="shared" si="2648"/>
        <v>001105018356</v>
      </c>
      <c r="O6474" t="str">
        <f t="shared" si="2649"/>
        <v>MYR</v>
      </c>
      <c r="P6474" t="str">
        <f t="shared" si="2644"/>
        <v>NIL</v>
      </c>
      <c r="Q6474" t="str">
        <f t="shared" si="2644"/>
        <v>NIL</v>
      </c>
      <c r="R6474" t="str">
        <f t="shared" si="2636"/>
        <v>Accepted</v>
      </c>
      <c r="S6474" t="str">
        <f t="shared" si="2650"/>
        <v>Approved</v>
      </c>
      <c r="T6474" t="str">
        <f t="shared" si="2637"/>
        <v>10.20.8.188</v>
      </c>
      <c r="U6474" t="str">
        <f t="shared" si="2651"/>
        <v>AZRAD UMAR BIN SHAARI</v>
      </c>
      <c r="V6474" t="str">
        <f t="shared" si="2652"/>
        <v>FARHANA BINTI MUSTAPA</v>
      </c>
      <c r="W6474" t="str">
        <f t="shared" si="2653"/>
        <v>04-08-2020</v>
      </c>
      <c r="X6474" t="str">
        <f t="shared" si="2654"/>
        <v>RAZIMAH ANSAR AHMAD</v>
      </c>
      <c r="Y6474" t="str">
        <f t="shared" si="2655"/>
        <v>04-08-2020</v>
      </c>
      <c r="Z6474" t="str">
        <f>"COS10200804 2680"</f>
        <v>COS10200804 2680</v>
      </c>
    </row>
    <row r="6475" spans="1:26" x14ac:dyDescent="0.25">
      <c r="A6475" t="str">
        <f t="shared" si="2640"/>
        <v>04-08-2020 12:39:14</v>
      </c>
      <c r="B6475" t="str">
        <f>"0000804442"</f>
        <v>0000804442</v>
      </c>
      <c r="C6475" t="str">
        <f t="shared" si="2641"/>
        <v>0000804363</v>
      </c>
      <c r="D6475" t="str">
        <f t="shared" si="2645"/>
        <v>73185</v>
      </c>
      <c r="E6475" t="str">
        <f t="shared" si="2646"/>
        <v>KFH-OPERATIONS DEPARTMENT</v>
      </c>
      <c r="F6475" t="str">
        <f t="shared" si="2647"/>
        <v>IBG</v>
      </c>
      <c r="G6475" t="str">
        <f t="shared" si="2631"/>
        <v>Refund COSHARE 10</v>
      </c>
      <c r="H6475" s="2">
        <v>1270.3499999999999</v>
      </c>
      <c r="I6475" t="str">
        <f>"LUSEH  MINDUNG BINTI BALINGI"</f>
        <v>LUSEH  MINDUNG BINTI BALINGI</v>
      </c>
      <c r="J6475" t="str">
        <f t="shared" si="2642"/>
        <v>CIMB BANK / CIMB ISLAMIC BANK</v>
      </c>
      <c r="K6475" t="str">
        <f>"10040020529525"</f>
        <v>10040020529525</v>
      </c>
      <c r="L6475" t="str">
        <f t="shared" si="2643"/>
        <v>04-08-2020</v>
      </c>
      <c r="M6475" t="str">
        <f t="shared" si="2643"/>
        <v>04-08-2020</v>
      </c>
      <c r="N6475" t="str">
        <f t="shared" si="2648"/>
        <v>001105018356</v>
      </c>
      <c r="O6475" t="str">
        <f t="shared" si="2649"/>
        <v>MYR</v>
      </c>
      <c r="P6475" t="str">
        <f t="shared" si="2644"/>
        <v>NIL</v>
      </c>
      <c r="Q6475" t="str">
        <f t="shared" si="2644"/>
        <v>NIL</v>
      </c>
      <c r="R6475" t="str">
        <f t="shared" si="2636"/>
        <v>Accepted</v>
      </c>
      <c r="S6475" t="str">
        <f t="shared" si="2650"/>
        <v>Approved</v>
      </c>
      <c r="T6475" t="str">
        <f t="shared" si="2637"/>
        <v>10.20.8.188</v>
      </c>
      <c r="U6475" t="str">
        <f t="shared" si="2651"/>
        <v>AZRAD UMAR BIN SHAARI</v>
      </c>
      <c r="V6475" t="str">
        <f t="shared" si="2652"/>
        <v>FARHANA BINTI MUSTAPA</v>
      </c>
      <c r="W6475" t="str">
        <f t="shared" si="2653"/>
        <v>04-08-2020</v>
      </c>
      <c r="X6475" t="str">
        <f t="shared" si="2654"/>
        <v>RAZIMAH ANSAR AHMAD</v>
      </c>
      <c r="Y6475" t="str">
        <f t="shared" si="2655"/>
        <v>04-08-2020</v>
      </c>
      <c r="Z6475" t="str">
        <f>"COS10200804 2679"</f>
        <v>COS10200804 2679</v>
      </c>
    </row>
    <row r="6476" spans="1:26" x14ac:dyDescent="0.25">
      <c r="A6476" t="str">
        <f t="shared" si="2640"/>
        <v>04-08-2020 12:39:14</v>
      </c>
      <c r="B6476" t="str">
        <f>"0000804441"</f>
        <v>0000804441</v>
      </c>
      <c r="C6476" t="str">
        <f t="shared" si="2641"/>
        <v>0000804363</v>
      </c>
      <c r="D6476" t="str">
        <f t="shared" si="2645"/>
        <v>73185</v>
      </c>
      <c r="E6476" t="str">
        <f t="shared" si="2646"/>
        <v>KFH-OPERATIONS DEPARTMENT</v>
      </c>
      <c r="F6476" t="str">
        <f t="shared" si="2647"/>
        <v>IBG</v>
      </c>
      <c r="G6476" t="str">
        <f t="shared" ref="G6476:G6539" si="2656">"Refund COSHARE 10"</f>
        <v>Refund COSHARE 10</v>
      </c>
      <c r="H6476" s="2">
        <v>379</v>
      </c>
      <c r="I6476" t="str">
        <f>"LUJIANA SHAREEN ANAK JONAS"</f>
        <v>LUJIANA SHAREEN ANAK JONAS</v>
      </c>
      <c r="J6476" t="str">
        <f t="shared" si="2642"/>
        <v>CIMB BANK / CIMB ISLAMIC BANK</v>
      </c>
      <c r="K6476" t="str">
        <f>"11070045187529"</f>
        <v>11070045187529</v>
      </c>
      <c r="L6476" t="str">
        <f t="shared" si="2643"/>
        <v>04-08-2020</v>
      </c>
      <c r="M6476" t="str">
        <f t="shared" si="2643"/>
        <v>04-08-2020</v>
      </c>
      <c r="N6476" t="str">
        <f t="shared" si="2648"/>
        <v>001105018356</v>
      </c>
      <c r="O6476" t="str">
        <f t="shared" si="2649"/>
        <v>MYR</v>
      </c>
      <c r="P6476" t="str">
        <f t="shared" si="2644"/>
        <v>NIL</v>
      </c>
      <c r="Q6476" t="str">
        <f t="shared" si="2644"/>
        <v>NIL</v>
      </c>
      <c r="R6476" t="str">
        <f t="shared" si="2636"/>
        <v>Accepted</v>
      </c>
      <c r="S6476" t="str">
        <f t="shared" si="2650"/>
        <v>Approved</v>
      </c>
      <c r="T6476" t="str">
        <f t="shared" si="2637"/>
        <v>10.20.8.188</v>
      </c>
      <c r="U6476" t="str">
        <f t="shared" si="2651"/>
        <v>AZRAD UMAR BIN SHAARI</v>
      </c>
      <c r="V6476" t="str">
        <f t="shared" si="2652"/>
        <v>FARHANA BINTI MUSTAPA</v>
      </c>
      <c r="W6476" t="str">
        <f t="shared" si="2653"/>
        <v>04-08-2020</v>
      </c>
      <c r="X6476" t="str">
        <f t="shared" si="2654"/>
        <v>RAZIMAH ANSAR AHMAD</v>
      </c>
      <c r="Y6476" t="str">
        <f t="shared" si="2655"/>
        <v>04-08-2020</v>
      </c>
      <c r="Z6476" t="str">
        <f>"COS10200804 2678"</f>
        <v>COS10200804 2678</v>
      </c>
    </row>
    <row r="6477" spans="1:26" x14ac:dyDescent="0.25">
      <c r="A6477" t="str">
        <f t="shared" si="2640"/>
        <v>04-08-2020 12:39:14</v>
      </c>
      <c r="B6477" t="str">
        <f>"0000804440"</f>
        <v>0000804440</v>
      </c>
      <c r="C6477" t="str">
        <f t="shared" si="2641"/>
        <v>0000804363</v>
      </c>
      <c r="D6477" t="str">
        <f t="shared" si="2645"/>
        <v>73185</v>
      </c>
      <c r="E6477" t="str">
        <f t="shared" si="2646"/>
        <v>KFH-OPERATIONS DEPARTMENT</v>
      </c>
      <c r="F6477" t="str">
        <f t="shared" si="2647"/>
        <v>IBG</v>
      </c>
      <c r="G6477" t="str">
        <f t="shared" si="2656"/>
        <v>Refund COSHARE 10</v>
      </c>
      <c r="H6477" s="2">
        <v>42</v>
      </c>
      <c r="I6477" t="str">
        <f>"LOUREEN JELNY"</f>
        <v>LOUREEN JELNY</v>
      </c>
      <c r="J6477" t="str">
        <f t="shared" si="2642"/>
        <v>CIMB BANK / CIMB ISLAMIC BANK</v>
      </c>
      <c r="K6477" t="str">
        <f>"7033318643"</f>
        <v>7033318643</v>
      </c>
      <c r="L6477" t="str">
        <f t="shared" si="2643"/>
        <v>04-08-2020</v>
      </c>
      <c r="M6477" t="str">
        <f t="shared" si="2643"/>
        <v>04-08-2020</v>
      </c>
      <c r="N6477" t="str">
        <f t="shared" si="2648"/>
        <v>001105018356</v>
      </c>
      <c r="O6477" t="str">
        <f t="shared" si="2649"/>
        <v>MYR</v>
      </c>
      <c r="P6477" t="str">
        <f t="shared" si="2644"/>
        <v>NIL</v>
      </c>
      <c r="Q6477" t="str">
        <f t="shared" si="2644"/>
        <v>NIL</v>
      </c>
      <c r="R6477" t="str">
        <f t="shared" si="2636"/>
        <v>Accepted</v>
      </c>
      <c r="S6477" t="str">
        <f t="shared" si="2650"/>
        <v>Approved</v>
      </c>
      <c r="T6477" t="str">
        <f t="shared" si="2637"/>
        <v>10.20.8.188</v>
      </c>
      <c r="U6477" t="str">
        <f t="shared" si="2651"/>
        <v>AZRAD UMAR BIN SHAARI</v>
      </c>
      <c r="V6477" t="str">
        <f t="shared" si="2652"/>
        <v>FARHANA BINTI MUSTAPA</v>
      </c>
      <c r="W6477" t="str">
        <f t="shared" si="2653"/>
        <v>04-08-2020</v>
      </c>
      <c r="X6477" t="str">
        <f t="shared" si="2654"/>
        <v>RAZIMAH ANSAR AHMAD</v>
      </c>
      <c r="Y6477" t="str">
        <f t="shared" si="2655"/>
        <v>04-08-2020</v>
      </c>
      <c r="Z6477" t="str">
        <f>"COS10200804 2677"</f>
        <v>COS10200804 2677</v>
      </c>
    </row>
    <row r="6478" spans="1:26" x14ac:dyDescent="0.25">
      <c r="A6478" t="str">
        <f t="shared" si="2640"/>
        <v>04-08-2020 12:39:14</v>
      </c>
      <c r="B6478" t="str">
        <f>"0000804439"</f>
        <v>0000804439</v>
      </c>
      <c r="C6478" t="str">
        <f t="shared" si="2641"/>
        <v>0000804363</v>
      </c>
      <c r="D6478" t="str">
        <f t="shared" si="2645"/>
        <v>73185</v>
      </c>
      <c r="E6478" t="str">
        <f t="shared" si="2646"/>
        <v>KFH-OPERATIONS DEPARTMENT</v>
      </c>
      <c r="F6478" t="str">
        <f t="shared" si="2647"/>
        <v>IBG</v>
      </c>
      <c r="G6478" t="str">
        <f t="shared" si="2656"/>
        <v>Refund COSHARE 10</v>
      </c>
      <c r="H6478" s="2">
        <v>183</v>
      </c>
      <c r="I6478" t="str">
        <f>"LOUREEN JELNY"</f>
        <v>LOUREEN JELNY</v>
      </c>
      <c r="J6478" t="str">
        <f t="shared" si="2642"/>
        <v>CIMB BANK / CIMB ISLAMIC BANK</v>
      </c>
      <c r="K6478" t="str">
        <f>"7033318643"</f>
        <v>7033318643</v>
      </c>
      <c r="L6478" t="str">
        <f t="shared" si="2643"/>
        <v>04-08-2020</v>
      </c>
      <c r="M6478" t="str">
        <f t="shared" si="2643"/>
        <v>04-08-2020</v>
      </c>
      <c r="N6478" t="str">
        <f t="shared" si="2648"/>
        <v>001105018356</v>
      </c>
      <c r="O6478" t="str">
        <f t="shared" si="2649"/>
        <v>MYR</v>
      </c>
      <c r="P6478" t="str">
        <f t="shared" si="2644"/>
        <v>NIL</v>
      </c>
      <c r="Q6478" t="str">
        <f t="shared" si="2644"/>
        <v>NIL</v>
      </c>
      <c r="R6478" t="str">
        <f t="shared" si="2636"/>
        <v>Accepted</v>
      </c>
      <c r="S6478" t="str">
        <f t="shared" si="2650"/>
        <v>Approved</v>
      </c>
      <c r="T6478" t="str">
        <f t="shared" si="2637"/>
        <v>10.20.8.188</v>
      </c>
      <c r="U6478" t="str">
        <f t="shared" si="2651"/>
        <v>AZRAD UMAR BIN SHAARI</v>
      </c>
      <c r="V6478" t="str">
        <f t="shared" si="2652"/>
        <v>FARHANA BINTI MUSTAPA</v>
      </c>
      <c r="W6478" t="str">
        <f t="shared" si="2653"/>
        <v>04-08-2020</v>
      </c>
      <c r="X6478" t="str">
        <f t="shared" si="2654"/>
        <v>RAZIMAH ANSAR AHMAD</v>
      </c>
      <c r="Y6478" t="str">
        <f t="shared" si="2655"/>
        <v>04-08-2020</v>
      </c>
      <c r="Z6478" t="str">
        <f>"COS10200804 2676"</f>
        <v>COS10200804 2676</v>
      </c>
    </row>
    <row r="6479" spans="1:26" x14ac:dyDescent="0.25">
      <c r="A6479" t="str">
        <f t="shared" si="2640"/>
        <v>04-08-2020 12:39:14</v>
      </c>
      <c r="B6479" t="str">
        <f>"0000804438"</f>
        <v>0000804438</v>
      </c>
      <c r="C6479" t="str">
        <f t="shared" si="2641"/>
        <v>0000804363</v>
      </c>
      <c r="D6479" t="str">
        <f t="shared" si="2645"/>
        <v>73185</v>
      </c>
      <c r="E6479" t="str">
        <f t="shared" si="2646"/>
        <v>KFH-OPERATIONS DEPARTMENT</v>
      </c>
      <c r="F6479" t="str">
        <f t="shared" si="2647"/>
        <v>IBG</v>
      </c>
      <c r="G6479" t="str">
        <f t="shared" si="2656"/>
        <v>Refund COSHARE 10</v>
      </c>
      <c r="H6479" s="2">
        <v>99</v>
      </c>
      <c r="I6479" t="str">
        <f>"LOUIS ANAK BAONG"</f>
        <v>LOUIS ANAK BAONG</v>
      </c>
      <c r="J6479" t="str">
        <f t="shared" si="2642"/>
        <v>CIMB BANK / CIMB ISLAMIC BANK</v>
      </c>
      <c r="K6479" t="str">
        <f>"11090066787521"</f>
        <v>11090066787521</v>
      </c>
      <c r="L6479" t="str">
        <f t="shared" si="2643"/>
        <v>04-08-2020</v>
      </c>
      <c r="M6479" t="str">
        <f t="shared" si="2643"/>
        <v>04-08-2020</v>
      </c>
      <c r="N6479" t="str">
        <f t="shared" si="2648"/>
        <v>001105018356</v>
      </c>
      <c r="O6479" t="str">
        <f t="shared" si="2649"/>
        <v>MYR</v>
      </c>
      <c r="P6479" t="str">
        <f t="shared" si="2644"/>
        <v>NIL</v>
      </c>
      <c r="Q6479" t="str">
        <f t="shared" si="2644"/>
        <v>NIL</v>
      </c>
      <c r="R6479" t="str">
        <f t="shared" si="2636"/>
        <v>Accepted</v>
      </c>
      <c r="S6479" t="str">
        <f t="shared" si="2650"/>
        <v>Approved</v>
      </c>
      <c r="T6479" t="str">
        <f t="shared" si="2637"/>
        <v>10.20.8.188</v>
      </c>
      <c r="U6479" t="str">
        <f t="shared" si="2651"/>
        <v>AZRAD UMAR BIN SHAARI</v>
      </c>
      <c r="V6479" t="str">
        <f t="shared" si="2652"/>
        <v>FARHANA BINTI MUSTAPA</v>
      </c>
      <c r="W6479" t="str">
        <f t="shared" si="2653"/>
        <v>04-08-2020</v>
      </c>
      <c r="X6479" t="str">
        <f t="shared" si="2654"/>
        <v>RAZIMAH ANSAR AHMAD</v>
      </c>
      <c r="Y6479" t="str">
        <f t="shared" si="2655"/>
        <v>04-08-2020</v>
      </c>
      <c r="Z6479" t="str">
        <f>"COS10200804 2675"</f>
        <v>COS10200804 2675</v>
      </c>
    </row>
    <row r="6480" spans="1:26" x14ac:dyDescent="0.25">
      <c r="A6480" t="str">
        <f t="shared" si="2640"/>
        <v>04-08-2020 12:39:14</v>
      </c>
      <c r="B6480" t="str">
        <f>"0000804437"</f>
        <v>0000804437</v>
      </c>
      <c r="C6480" t="str">
        <f t="shared" si="2641"/>
        <v>0000804363</v>
      </c>
      <c r="D6480" t="str">
        <f t="shared" si="2645"/>
        <v>73185</v>
      </c>
      <c r="E6480" t="str">
        <f t="shared" si="2646"/>
        <v>KFH-OPERATIONS DEPARTMENT</v>
      </c>
      <c r="F6480" t="str">
        <f t="shared" si="2647"/>
        <v>IBG</v>
      </c>
      <c r="G6480" t="str">
        <f t="shared" si="2656"/>
        <v>Refund COSHARE 10</v>
      </c>
      <c r="H6480" s="2">
        <v>107.1</v>
      </c>
      <c r="I6480" t="str">
        <f>"LOTFI AMIR BIN SABA WAHI"</f>
        <v>LOTFI AMIR BIN SABA WAHI</v>
      </c>
      <c r="J6480" t="str">
        <f t="shared" si="2642"/>
        <v>CIMB BANK / CIMB ISLAMIC BANK</v>
      </c>
      <c r="K6480" t="str">
        <f>"14400033633526"</f>
        <v>14400033633526</v>
      </c>
      <c r="L6480" t="str">
        <f t="shared" si="2643"/>
        <v>04-08-2020</v>
      </c>
      <c r="M6480" t="str">
        <f t="shared" si="2643"/>
        <v>04-08-2020</v>
      </c>
      <c r="N6480" t="str">
        <f t="shared" si="2648"/>
        <v>001105018356</v>
      </c>
      <c r="O6480" t="str">
        <f t="shared" si="2649"/>
        <v>MYR</v>
      </c>
      <c r="P6480" t="str">
        <f t="shared" si="2644"/>
        <v>NIL</v>
      </c>
      <c r="Q6480" t="str">
        <f t="shared" si="2644"/>
        <v>NIL</v>
      </c>
      <c r="R6480" t="str">
        <f t="shared" si="2636"/>
        <v>Accepted</v>
      </c>
      <c r="S6480" t="str">
        <f t="shared" si="2650"/>
        <v>Approved</v>
      </c>
      <c r="T6480" t="str">
        <f t="shared" si="2637"/>
        <v>10.20.8.188</v>
      </c>
      <c r="U6480" t="str">
        <f t="shared" si="2651"/>
        <v>AZRAD UMAR BIN SHAARI</v>
      </c>
      <c r="V6480" t="str">
        <f t="shared" si="2652"/>
        <v>FARHANA BINTI MUSTAPA</v>
      </c>
      <c r="W6480" t="str">
        <f t="shared" si="2653"/>
        <v>04-08-2020</v>
      </c>
      <c r="X6480" t="str">
        <f t="shared" si="2654"/>
        <v>RAZIMAH ANSAR AHMAD</v>
      </c>
      <c r="Y6480" t="str">
        <f t="shared" si="2655"/>
        <v>04-08-2020</v>
      </c>
      <c r="Z6480" t="str">
        <f>"COS10200804 2674"</f>
        <v>COS10200804 2674</v>
      </c>
    </row>
    <row r="6481" spans="1:26" x14ac:dyDescent="0.25">
      <c r="A6481" t="str">
        <f t="shared" si="2640"/>
        <v>04-08-2020 12:39:14</v>
      </c>
      <c r="B6481" t="str">
        <f>"0000804436"</f>
        <v>0000804436</v>
      </c>
      <c r="C6481" t="str">
        <f t="shared" si="2641"/>
        <v>0000804363</v>
      </c>
      <c r="D6481" t="str">
        <f t="shared" si="2645"/>
        <v>73185</v>
      </c>
      <c r="E6481" t="str">
        <f t="shared" si="2646"/>
        <v>KFH-OPERATIONS DEPARTMENT</v>
      </c>
      <c r="F6481" t="str">
        <f t="shared" si="2647"/>
        <v>IBG</v>
      </c>
      <c r="G6481" t="str">
        <f t="shared" si="2656"/>
        <v>Refund COSHARE 10</v>
      </c>
      <c r="H6481" s="2">
        <v>335.8</v>
      </c>
      <c r="I6481" t="str">
        <f>"LORNNA THADIUS"</f>
        <v>LORNNA THADIUS</v>
      </c>
      <c r="J6481" t="str">
        <f t="shared" si="2642"/>
        <v>CIMB BANK / CIMB ISLAMIC BANK</v>
      </c>
      <c r="K6481" t="str">
        <f>"14220065634525"</f>
        <v>14220065634525</v>
      </c>
      <c r="L6481" t="str">
        <f t="shared" si="2643"/>
        <v>04-08-2020</v>
      </c>
      <c r="M6481" t="str">
        <f t="shared" si="2643"/>
        <v>04-08-2020</v>
      </c>
      <c r="N6481" t="str">
        <f t="shared" si="2648"/>
        <v>001105018356</v>
      </c>
      <c r="O6481" t="str">
        <f t="shared" si="2649"/>
        <v>MYR</v>
      </c>
      <c r="P6481" t="str">
        <f t="shared" si="2644"/>
        <v>NIL</v>
      </c>
      <c r="Q6481" t="str">
        <f t="shared" si="2644"/>
        <v>NIL</v>
      </c>
      <c r="R6481" t="str">
        <f t="shared" si="2636"/>
        <v>Accepted</v>
      </c>
      <c r="S6481" t="str">
        <f t="shared" si="2650"/>
        <v>Approved</v>
      </c>
      <c r="T6481" t="str">
        <f t="shared" si="2637"/>
        <v>10.20.8.188</v>
      </c>
      <c r="U6481" t="str">
        <f t="shared" si="2651"/>
        <v>AZRAD UMAR BIN SHAARI</v>
      </c>
      <c r="V6481" t="str">
        <f t="shared" si="2652"/>
        <v>FARHANA BINTI MUSTAPA</v>
      </c>
      <c r="W6481" t="str">
        <f t="shared" si="2653"/>
        <v>04-08-2020</v>
      </c>
      <c r="X6481" t="str">
        <f t="shared" si="2654"/>
        <v>RAZIMAH ANSAR AHMAD</v>
      </c>
      <c r="Y6481" t="str">
        <f t="shared" si="2655"/>
        <v>04-08-2020</v>
      </c>
      <c r="Z6481" t="str">
        <f>"COS10200804 2673"</f>
        <v>COS10200804 2673</v>
      </c>
    </row>
    <row r="6482" spans="1:26" x14ac:dyDescent="0.25">
      <c r="A6482" t="str">
        <f t="shared" ref="A6482:A6513" si="2657">"04-08-2020 12:39:14"</f>
        <v>04-08-2020 12:39:14</v>
      </c>
      <c r="B6482" t="str">
        <f>"0000804435"</f>
        <v>0000804435</v>
      </c>
      <c r="C6482" t="str">
        <f t="shared" ref="C6482:C6513" si="2658">"0000804363"</f>
        <v>0000804363</v>
      </c>
      <c r="D6482" t="str">
        <f t="shared" si="2645"/>
        <v>73185</v>
      </c>
      <c r="E6482" t="str">
        <f t="shared" si="2646"/>
        <v>KFH-OPERATIONS DEPARTMENT</v>
      </c>
      <c r="F6482" t="str">
        <f t="shared" si="2647"/>
        <v>IBG</v>
      </c>
      <c r="G6482" t="str">
        <f t="shared" si="2656"/>
        <v>Refund COSHARE 10</v>
      </c>
      <c r="H6482" s="2">
        <v>133</v>
      </c>
      <c r="I6482" t="str">
        <f>"LOCKMANULHAKIM BIN BASIRON"</f>
        <v>LOCKMANULHAKIM BIN BASIRON</v>
      </c>
      <c r="J6482" t="str">
        <f t="shared" si="2642"/>
        <v>CIMB BANK / CIMB ISLAMIC BANK</v>
      </c>
      <c r="K6482" t="str">
        <f>"05170008604523"</f>
        <v>05170008604523</v>
      </c>
      <c r="L6482" t="str">
        <f t="shared" si="2643"/>
        <v>04-08-2020</v>
      </c>
      <c r="M6482" t="str">
        <f t="shared" si="2643"/>
        <v>04-08-2020</v>
      </c>
      <c r="N6482" t="str">
        <f t="shared" si="2648"/>
        <v>001105018356</v>
      </c>
      <c r="O6482" t="str">
        <f t="shared" si="2649"/>
        <v>MYR</v>
      </c>
      <c r="P6482" t="str">
        <f t="shared" si="2644"/>
        <v>NIL</v>
      </c>
      <c r="Q6482" t="str">
        <f t="shared" si="2644"/>
        <v>NIL</v>
      </c>
      <c r="R6482" t="str">
        <f t="shared" si="2636"/>
        <v>Accepted</v>
      </c>
      <c r="S6482" t="str">
        <f t="shared" si="2650"/>
        <v>Approved</v>
      </c>
      <c r="T6482" t="str">
        <f t="shared" si="2637"/>
        <v>10.20.8.188</v>
      </c>
      <c r="U6482" t="str">
        <f t="shared" si="2651"/>
        <v>AZRAD UMAR BIN SHAARI</v>
      </c>
      <c r="V6482" t="str">
        <f t="shared" si="2652"/>
        <v>FARHANA BINTI MUSTAPA</v>
      </c>
      <c r="W6482" t="str">
        <f t="shared" si="2653"/>
        <v>04-08-2020</v>
      </c>
      <c r="X6482" t="str">
        <f t="shared" si="2654"/>
        <v>RAZIMAH ANSAR AHMAD</v>
      </c>
      <c r="Y6482" t="str">
        <f t="shared" si="2655"/>
        <v>04-08-2020</v>
      </c>
      <c r="Z6482" t="str">
        <f>"COS10200804 2672"</f>
        <v>COS10200804 2672</v>
      </c>
    </row>
    <row r="6483" spans="1:26" x14ac:dyDescent="0.25">
      <c r="A6483" t="str">
        <f t="shared" si="2657"/>
        <v>04-08-2020 12:39:14</v>
      </c>
      <c r="B6483" t="str">
        <f>"0000804434"</f>
        <v>0000804434</v>
      </c>
      <c r="C6483" t="str">
        <f t="shared" si="2658"/>
        <v>0000804363</v>
      </c>
      <c r="D6483" t="str">
        <f t="shared" si="2645"/>
        <v>73185</v>
      </c>
      <c r="E6483" t="str">
        <f t="shared" si="2646"/>
        <v>KFH-OPERATIONS DEPARTMENT</v>
      </c>
      <c r="F6483" t="str">
        <f t="shared" si="2647"/>
        <v>IBG</v>
      </c>
      <c r="G6483" t="str">
        <f t="shared" si="2656"/>
        <v>Refund COSHARE 10</v>
      </c>
      <c r="H6483" s="2">
        <v>281.5</v>
      </c>
      <c r="I6483" t="str">
        <f>"LOBORINA TUNJAN"</f>
        <v>LOBORINA TUNJAN</v>
      </c>
      <c r="J6483" t="str">
        <f t="shared" si="2642"/>
        <v>CIMB BANK / CIMB ISLAMIC BANK</v>
      </c>
      <c r="K6483" t="str">
        <f>"14400070196521"</f>
        <v>14400070196521</v>
      </c>
      <c r="L6483" t="str">
        <f t="shared" si="2643"/>
        <v>04-08-2020</v>
      </c>
      <c r="M6483" t="str">
        <f t="shared" si="2643"/>
        <v>04-08-2020</v>
      </c>
      <c r="N6483" t="str">
        <f t="shared" si="2648"/>
        <v>001105018356</v>
      </c>
      <c r="O6483" t="str">
        <f t="shared" si="2649"/>
        <v>MYR</v>
      </c>
      <c r="P6483" t="str">
        <f t="shared" si="2644"/>
        <v>NIL</v>
      </c>
      <c r="Q6483" t="str">
        <f t="shared" si="2644"/>
        <v>NIL</v>
      </c>
      <c r="R6483" t="str">
        <f t="shared" si="2636"/>
        <v>Accepted</v>
      </c>
      <c r="S6483" t="str">
        <f t="shared" si="2650"/>
        <v>Approved</v>
      </c>
      <c r="T6483" t="str">
        <f t="shared" si="2637"/>
        <v>10.20.8.188</v>
      </c>
      <c r="U6483" t="str">
        <f t="shared" si="2651"/>
        <v>AZRAD UMAR BIN SHAARI</v>
      </c>
      <c r="V6483" t="str">
        <f t="shared" si="2652"/>
        <v>FARHANA BINTI MUSTAPA</v>
      </c>
      <c r="W6483" t="str">
        <f t="shared" si="2653"/>
        <v>04-08-2020</v>
      </c>
      <c r="X6483" t="str">
        <f t="shared" si="2654"/>
        <v>RAZIMAH ANSAR AHMAD</v>
      </c>
      <c r="Y6483" t="str">
        <f t="shared" si="2655"/>
        <v>04-08-2020</v>
      </c>
      <c r="Z6483" t="str">
        <f>"COS10200804 2671"</f>
        <v>COS10200804 2671</v>
      </c>
    </row>
    <row r="6484" spans="1:26" x14ac:dyDescent="0.25">
      <c r="A6484" t="str">
        <f t="shared" si="2657"/>
        <v>04-08-2020 12:39:14</v>
      </c>
      <c r="B6484" t="str">
        <f>"0000804433"</f>
        <v>0000804433</v>
      </c>
      <c r="C6484" t="str">
        <f t="shared" si="2658"/>
        <v>0000804363</v>
      </c>
      <c r="D6484" t="str">
        <f t="shared" si="2645"/>
        <v>73185</v>
      </c>
      <c r="E6484" t="str">
        <f t="shared" si="2646"/>
        <v>KFH-OPERATIONS DEPARTMENT</v>
      </c>
      <c r="F6484" t="str">
        <f t="shared" si="2647"/>
        <v>IBG</v>
      </c>
      <c r="G6484" t="str">
        <f t="shared" si="2656"/>
        <v>Refund COSHARE 10</v>
      </c>
      <c r="H6484" s="2">
        <v>147.35</v>
      </c>
      <c r="I6484" t="str">
        <f>"LIZA MARLYNA BINTI MAFAUDZIL"</f>
        <v>LIZA MARLYNA BINTI MAFAUDZIL</v>
      </c>
      <c r="J6484" t="str">
        <f t="shared" si="2642"/>
        <v>CIMB BANK / CIMB ISLAMIC BANK</v>
      </c>
      <c r="K6484" t="str">
        <f>"14230021904529"</f>
        <v>14230021904529</v>
      </c>
      <c r="L6484" t="str">
        <f t="shared" si="2643"/>
        <v>04-08-2020</v>
      </c>
      <c r="M6484" t="str">
        <f t="shared" si="2643"/>
        <v>04-08-2020</v>
      </c>
      <c r="N6484" t="str">
        <f t="shared" si="2648"/>
        <v>001105018356</v>
      </c>
      <c r="O6484" t="str">
        <f t="shared" si="2649"/>
        <v>MYR</v>
      </c>
      <c r="P6484" t="str">
        <f t="shared" si="2644"/>
        <v>NIL</v>
      </c>
      <c r="Q6484" t="str">
        <f t="shared" si="2644"/>
        <v>NIL</v>
      </c>
      <c r="R6484" t="str">
        <f t="shared" si="2636"/>
        <v>Accepted</v>
      </c>
      <c r="S6484" t="str">
        <f t="shared" si="2650"/>
        <v>Approved</v>
      </c>
      <c r="T6484" t="str">
        <f t="shared" si="2637"/>
        <v>10.20.8.188</v>
      </c>
      <c r="U6484" t="str">
        <f t="shared" si="2651"/>
        <v>AZRAD UMAR BIN SHAARI</v>
      </c>
      <c r="V6484" t="str">
        <f t="shared" si="2652"/>
        <v>FARHANA BINTI MUSTAPA</v>
      </c>
      <c r="W6484" t="str">
        <f t="shared" si="2653"/>
        <v>04-08-2020</v>
      </c>
      <c r="X6484" t="str">
        <f t="shared" si="2654"/>
        <v>RAZIMAH ANSAR AHMAD</v>
      </c>
      <c r="Y6484" t="str">
        <f t="shared" si="2655"/>
        <v>04-08-2020</v>
      </c>
      <c r="Z6484" t="str">
        <f>"COS10200804 2670"</f>
        <v>COS10200804 2670</v>
      </c>
    </row>
    <row r="6485" spans="1:26" x14ac:dyDescent="0.25">
      <c r="A6485" t="str">
        <f t="shared" si="2657"/>
        <v>04-08-2020 12:39:14</v>
      </c>
      <c r="B6485" t="str">
        <f>"0000804432"</f>
        <v>0000804432</v>
      </c>
      <c r="C6485" t="str">
        <f t="shared" si="2658"/>
        <v>0000804363</v>
      </c>
      <c r="D6485" t="str">
        <f t="shared" si="2645"/>
        <v>73185</v>
      </c>
      <c r="E6485" t="str">
        <f t="shared" si="2646"/>
        <v>KFH-OPERATIONS DEPARTMENT</v>
      </c>
      <c r="F6485" t="str">
        <f t="shared" si="2647"/>
        <v>IBG</v>
      </c>
      <c r="G6485" t="str">
        <f t="shared" si="2656"/>
        <v>Refund COSHARE 10</v>
      </c>
      <c r="H6485" s="2">
        <v>982.25</v>
      </c>
      <c r="I6485" t="str">
        <f>"LIZA BINTI MOHRIN"</f>
        <v>LIZA BINTI MOHRIN</v>
      </c>
      <c r="J6485" t="str">
        <f t="shared" si="2642"/>
        <v>CIMB BANK / CIMB ISLAMIC BANK</v>
      </c>
      <c r="K6485" t="str">
        <f>"10030069628525"</f>
        <v>10030069628525</v>
      </c>
      <c r="L6485" t="str">
        <f t="shared" si="2643"/>
        <v>04-08-2020</v>
      </c>
      <c r="M6485" t="str">
        <f t="shared" si="2643"/>
        <v>04-08-2020</v>
      </c>
      <c r="N6485" t="str">
        <f t="shared" si="2648"/>
        <v>001105018356</v>
      </c>
      <c r="O6485" t="str">
        <f t="shared" si="2649"/>
        <v>MYR</v>
      </c>
      <c r="P6485" t="str">
        <f t="shared" si="2644"/>
        <v>NIL</v>
      </c>
      <c r="Q6485" t="str">
        <f t="shared" si="2644"/>
        <v>NIL</v>
      </c>
      <c r="R6485" t="str">
        <f t="shared" si="2636"/>
        <v>Accepted</v>
      </c>
      <c r="S6485" t="str">
        <f t="shared" si="2650"/>
        <v>Approved</v>
      </c>
      <c r="T6485" t="str">
        <f t="shared" si="2637"/>
        <v>10.20.8.188</v>
      </c>
      <c r="U6485" t="str">
        <f t="shared" si="2651"/>
        <v>AZRAD UMAR BIN SHAARI</v>
      </c>
      <c r="V6485" t="str">
        <f t="shared" si="2652"/>
        <v>FARHANA BINTI MUSTAPA</v>
      </c>
      <c r="W6485" t="str">
        <f t="shared" si="2653"/>
        <v>04-08-2020</v>
      </c>
      <c r="X6485" t="str">
        <f t="shared" si="2654"/>
        <v>RAZIMAH ANSAR AHMAD</v>
      </c>
      <c r="Y6485" t="str">
        <f t="shared" si="2655"/>
        <v>04-08-2020</v>
      </c>
      <c r="Z6485" t="str">
        <f>"COS10200804 2669"</f>
        <v>COS10200804 2669</v>
      </c>
    </row>
    <row r="6486" spans="1:26" x14ac:dyDescent="0.25">
      <c r="A6486" t="str">
        <f t="shared" si="2657"/>
        <v>04-08-2020 12:39:14</v>
      </c>
      <c r="B6486" t="str">
        <f>"0000804431"</f>
        <v>0000804431</v>
      </c>
      <c r="C6486" t="str">
        <f t="shared" si="2658"/>
        <v>0000804363</v>
      </c>
      <c r="D6486" t="str">
        <f t="shared" si="2645"/>
        <v>73185</v>
      </c>
      <c r="E6486" t="str">
        <f t="shared" si="2646"/>
        <v>KFH-OPERATIONS DEPARTMENT</v>
      </c>
      <c r="F6486" t="str">
        <f t="shared" si="2647"/>
        <v>IBG</v>
      </c>
      <c r="G6486" t="str">
        <f t="shared" si="2656"/>
        <v>Refund COSHARE 10</v>
      </c>
      <c r="H6486" s="2">
        <v>391</v>
      </c>
      <c r="I6486" t="str">
        <f>"LIZA BINTI MAT SAMAN"</f>
        <v>LIZA BINTI MAT SAMAN</v>
      </c>
      <c r="J6486" t="str">
        <f t="shared" si="2642"/>
        <v>CIMB BANK / CIMB ISLAMIC BANK</v>
      </c>
      <c r="K6486" t="str">
        <f>"02031337446520"</f>
        <v>02031337446520</v>
      </c>
      <c r="L6486" t="str">
        <f t="shared" si="2643"/>
        <v>04-08-2020</v>
      </c>
      <c r="M6486" t="str">
        <f t="shared" si="2643"/>
        <v>04-08-2020</v>
      </c>
      <c r="N6486" t="str">
        <f t="shared" si="2648"/>
        <v>001105018356</v>
      </c>
      <c r="O6486" t="str">
        <f t="shared" si="2649"/>
        <v>MYR</v>
      </c>
      <c r="P6486" t="str">
        <f t="shared" si="2644"/>
        <v>NIL</v>
      </c>
      <c r="Q6486" t="str">
        <f t="shared" si="2644"/>
        <v>NIL</v>
      </c>
      <c r="R6486" t="str">
        <f t="shared" si="2636"/>
        <v>Accepted</v>
      </c>
      <c r="S6486" t="str">
        <f t="shared" si="2650"/>
        <v>Approved</v>
      </c>
      <c r="T6486" t="str">
        <f t="shared" si="2637"/>
        <v>10.20.8.188</v>
      </c>
      <c r="U6486" t="str">
        <f t="shared" si="2651"/>
        <v>AZRAD UMAR BIN SHAARI</v>
      </c>
      <c r="V6486" t="str">
        <f t="shared" si="2652"/>
        <v>FARHANA BINTI MUSTAPA</v>
      </c>
      <c r="W6486" t="str">
        <f t="shared" si="2653"/>
        <v>04-08-2020</v>
      </c>
      <c r="X6486" t="str">
        <f t="shared" si="2654"/>
        <v>RAZIMAH ANSAR AHMAD</v>
      </c>
      <c r="Y6486" t="str">
        <f t="shared" si="2655"/>
        <v>04-08-2020</v>
      </c>
      <c r="Z6486" t="str">
        <f>"COS10200804 2668"</f>
        <v>COS10200804 2668</v>
      </c>
    </row>
    <row r="6487" spans="1:26" x14ac:dyDescent="0.25">
      <c r="A6487" t="str">
        <f t="shared" si="2657"/>
        <v>04-08-2020 12:39:14</v>
      </c>
      <c r="B6487" t="str">
        <f>"0000804430"</f>
        <v>0000804430</v>
      </c>
      <c r="C6487" t="str">
        <f t="shared" si="2658"/>
        <v>0000804363</v>
      </c>
      <c r="D6487" t="str">
        <f t="shared" si="2645"/>
        <v>73185</v>
      </c>
      <c r="E6487" t="str">
        <f t="shared" si="2646"/>
        <v>KFH-OPERATIONS DEPARTMENT</v>
      </c>
      <c r="F6487" t="str">
        <f t="shared" si="2647"/>
        <v>IBG</v>
      </c>
      <c r="G6487" t="str">
        <f t="shared" si="2656"/>
        <v>Refund COSHARE 10</v>
      </c>
      <c r="H6487" s="2">
        <v>491.15</v>
      </c>
      <c r="I6487" t="str">
        <f>"LIYANA AZIRA BINTI MOHAMMAD AZMI"</f>
        <v>LIYANA AZIRA BINTI MOHAMMAD AZMI</v>
      </c>
      <c r="J6487" t="str">
        <f t="shared" si="2642"/>
        <v>CIMB BANK / CIMB ISLAMIC BANK</v>
      </c>
      <c r="K6487" t="str">
        <f>"12170023189528"</f>
        <v>12170023189528</v>
      </c>
      <c r="L6487" t="str">
        <f t="shared" ref="L6487:M6506" si="2659">"04-08-2020"</f>
        <v>04-08-2020</v>
      </c>
      <c r="M6487" t="str">
        <f t="shared" si="2659"/>
        <v>04-08-2020</v>
      </c>
      <c r="N6487" t="str">
        <f t="shared" si="2648"/>
        <v>001105018356</v>
      </c>
      <c r="O6487" t="str">
        <f t="shared" si="2649"/>
        <v>MYR</v>
      </c>
      <c r="P6487" t="str">
        <f t="shared" ref="P6487:Q6506" si="2660">"NIL"</f>
        <v>NIL</v>
      </c>
      <c r="Q6487" t="str">
        <f t="shared" si="2660"/>
        <v>NIL</v>
      </c>
      <c r="R6487" t="str">
        <f t="shared" si="2636"/>
        <v>Accepted</v>
      </c>
      <c r="S6487" t="str">
        <f t="shared" si="2650"/>
        <v>Approved</v>
      </c>
      <c r="T6487" t="str">
        <f t="shared" si="2637"/>
        <v>10.20.8.188</v>
      </c>
      <c r="U6487" t="str">
        <f t="shared" si="2651"/>
        <v>AZRAD UMAR BIN SHAARI</v>
      </c>
      <c r="V6487" t="str">
        <f t="shared" si="2652"/>
        <v>FARHANA BINTI MUSTAPA</v>
      </c>
      <c r="W6487" t="str">
        <f t="shared" si="2653"/>
        <v>04-08-2020</v>
      </c>
      <c r="X6487" t="str">
        <f t="shared" si="2654"/>
        <v>RAZIMAH ANSAR AHMAD</v>
      </c>
      <c r="Y6487" t="str">
        <f t="shared" si="2655"/>
        <v>04-08-2020</v>
      </c>
      <c r="Z6487" t="str">
        <f>"COS10200804 2667"</f>
        <v>COS10200804 2667</v>
      </c>
    </row>
    <row r="6488" spans="1:26" x14ac:dyDescent="0.25">
      <c r="A6488" t="str">
        <f t="shared" si="2657"/>
        <v>04-08-2020 12:39:14</v>
      </c>
      <c r="B6488" t="str">
        <f>"0000804429"</f>
        <v>0000804429</v>
      </c>
      <c r="C6488" t="str">
        <f t="shared" si="2658"/>
        <v>0000804363</v>
      </c>
      <c r="D6488" t="str">
        <f t="shared" si="2645"/>
        <v>73185</v>
      </c>
      <c r="E6488" t="str">
        <f t="shared" si="2646"/>
        <v>KFH-OPERATIONS DEPARTMENT</v>
      </c>
      <c r="F6488" t="str">
        <f t="shared" si="2647"/>
        <v>IBG</v>
      </c>
      <c r="G6488" t="str">
        <f t="shared" si="2656"/>
        <v>Refund COSHARE 10</v>
      </c>
      <c r="H6488" s="2">
        <v>377.8</v>
      </c>
      <c r="I6488" t="str">
        <f>"LINAH BINTI MAJIN"</f>
        <v>LINAH BINTI MAJIN</v>
      </c>
      <c r="J6488" t="str">
        <f t="shared" si="2642"/>
        <v>CIMB BANK / CIMB ISLAMIC BANK</v>
      </c>
      <c r="K6488" t="str">
        <f>"11150008847524"</f>
        <v>11150008847524</v>
      </c>
      <c r="L6488" t="str">
        <f t="shared" si="2659"/>
        <v>04-08-2020</v>
      </c>
      <c r="M6488" t="str">
        <f t="shared" si="2659"/>
        <v>04-08-2020</v>
      </c>
      <c r="N6488" t="str">
        <f t="shared" si="2648"/>
        <v>001105018356</v>
      </c>
      <c r="O6488" t="str">
        <f t="shared" si="2649"/>
        <v>MYR</v>
      </c>
      <c r="P6488" t="str">
        <f t="shared" si="2660"/>
        <v>NIL</v>
      </c>
      <c r="Q6488" t="str">
        <f t="shared" si="2660"/>
        <v>NIL</v>
      </c>
      <c r="R6488" t="str">
        <f t="shared" si="2636"/>
        <v>Accepted</v>
      </c>
      <c r="S6488" t="str">
        <f t="shared" si="2650"/>
        <v>Approved</v>
      </c>
      <c r="T6488" t="str">
        <f t="shared" si="2637"/>
        <v>10.20.8.188</v>
      </c>
      <c r="U6488" t="str">
        <f t="shared" si="2651"/>
        <v>AZRAD UMAR BIN SHAARI</v>
      </c>
      <c r="V6488" t="str">
        <f t="shared" si="2652"/>
        <v>FARHANA BINTI MUSTAPA</v>
      </c>
      <c r="W6488" t="str">
        <f t="shared" si="2653"/>
        <v>04-08-2020</v>
      </c>
      <c r="X6488" t="str">
        <f t="shared" si="2654"/>
        <v>RAZIMAH ANSAR AHMAD</v>
      </c>
      <c r="Y6488" t="str">
        <f t="shared" si="2655"/>
        <v>04-08-2020</v>
      </c>
      <c r="Z6488" t="str">
        <f>"COS10200804 2666"</f>
        <v>COS10200804 2666</v>
      </c>
    </row>
    <row r="6489" spans="1:26" x14ac:dyDescent="0.25">
      <c r="A6489" t="str">
        <f t="shared" si="2657"/>
        <v>04-08-2020 12:39:14</v>
      </c>
      <c r="B6489" t="str">
        <f>"0000804428"</f>
        <v>0000804428</v>
      </c>
      <c r="C6489" t="str">
        <f t="shared" si="2658"/>
        <v>0000804363</v>
      </c>
      <c r="D6489" t="str">
        <f t="shared" si="2645"/>
        <v>73185</v>
      </c>
      <c r="E6489" t="str">
        <f t="shared" si="2646"/>
        <v>KFH-OPERATIONS DEPARTMENT</v>
      </c>
      <c r="F6489" t="str">
        <f t="shared" si="2647"/>
        <v>IBG</v>
      </c>
      <c r="G6489" t="str">
        <f t="shared" si="2656"/>
        <v>Refund COSHARE 10</v>
      </c>
      <c r="H6489" s="2">
        <v>411.35</v>
      </c>
      <c r="I6489" t="str">
        <f>"LIM TEE SIANG"</f>
        <v>LIM TEE SIANG</v>
      </c>
      <c r="J6489" t="str">
        <f t="shared" si="2642"/>
        <v>CIMB BANK / CIMB ISLAMIC BANK</v>
      </c>
      <c r="K6489" t="str">
        <f>"07090061570521"</f>
        <v>07090061570521</v>
      </c>
      <c r="L6489" t="str">
        <f t="shared" si="2659"/>
        <v>04-08-2020</v>
      </c>
      <c r="M6489" t="str">
        <f t="shared" si="2659"/>
        <v>04-08-2020</v>
      </c>
      <c r="N6489" t="str">
        <f t="shared" si="2648"/>
        <v>001105018356</v>
      </c>
      <c r="O6489" t="str">
        <f t="shared" si="2649"/>
        <v>MYR</v>
      </c>
      <c r="P6489" t="str">
        <f t="shared" si="2660"/>
        <v>NIL</v>
      </c>
      <c r="Q6489" t="str">
        <f t="shared" si="2660"/>
        <v>NIL</v>
      </c>
      <c r="R6489" t="str">
        <f t="shared" si="2636"/>
        <v>Accepted</v>
      </c>
      <c r="S6489" t="str">
        <f t="shared" si="2650"/>
        <v>Approved</v>
      </c>
      <c r="T6489" t="str">
        <f t="shared" si="2637"/>
        <v>10.20.8.188</v>
      </c>
      <c r="U6489" t="str">
        <f t="shared" si="2651"/>
        <v>AZRAD UMAR BIN SHAARI</v>
      </c>
      <c r="V6489" t="str">
        <f t="shared" si="2652"/>
        <v>FARHANA BINTI MUSTAPA</v>
      </c>
      <c r="W6489" t="str">
        <f t="shared" si="2653"/>
        <v>04-08-2020</v>
      </c>
      <c r="X6489" t="str">
        <f t="shared" si="2654"/>
        <v>RAZIMAH ANSAR AHMAD</v>
      </c>
      <c r="Y6489" t="str">
        <f t="shared" si="2655"/>
        <v>04-08-2020</v>
      </c>
      <c r="Z6489" t="str">
        <f>"COS10200804 2665"</f>
        <v>COS10200804 2665</v>
      </c>
    </row>
    <row r="6490" spans="1:26" x14ac:dyDescent="0.25">
      <c r="A6490" t="str">
        <f t="shared" si="2657"/>
        <v>04-08-2020 12:39:14</v>
      </c>
      <c r="B6490" t="str">
        <f>"0000804427"</f>
        <v>0000804427</v>
      </c>
      <c r="C6490" t="str">
        <f t="shared" si="2658"/>
        <v>0000804363</v>
      </c>
      <c r="D6490" t="str">
        <f t="shared" si="2645"/>
        <v>73185</v>
      </c>
      <c r="E6490" t="str">
        <f t="shared" si="2646"/>
        <v>KFH-OPERATIONS DEPARTMENT</v>
      </c>
      <c r="F6490" t="str">
        <f t="shared" si="2647"/>
        <v>IBG</v>
      </c>
      <c r="G6490" t="str">
        <f t="shared" si="2656"/>
        <v>Refund COSHARE 10</v>
      </c>
      <c r="H6490" s="2">
        <v>1259.25</v>
      </c>
      <c r="I6490" t="str">
        <f>"LILLY BINTI JOSEPH"</f>
        <v>LILLY BINTI JOSEPH</v>
      </c>
      <c r="J6490" t="str">
        <f t="shared" si="2642"/>
        <v>CIMB BANK / CIMB ISLAMIC BANK</v>
      </c>
      <c r="K6490" t="str">
        <f>"10030062819521"</f>
        <v>10030062819521</v>
      </c>
      <c r="L6490" t="str">
        <f t="shared" si="2659"/>
        <v>04-08-2020</v>
      </c>
      <c r="M6490" t="str">
        <f t="shared" si="2659"/>
        <v>04-08-2020</v>
      </c>
      <c r="N6490" t="str">
        <f t="shared" si="2648"/>
        <v>001105018356</v>
      </c>
      <c r="O6490" t="str">
        <f t="shared" si="2649"/>
        <v>MYR</v>
      </c>
      <c r="P6490" t="str">
        <f t="shared" si="2660"/>
        <v>NIL</v>
      </c>
      <c r="Q6490" t="str">
        <f t="shared" si="2660"/>
        <v>NIL</v>
      </c>
      <c r="R6490" t="str">
        <f t="shared" si="2636"/>
        <v>Accepted</v>
      </c>
      <c r="S6490" t="str">
        <f t="shared" si="2650"/>
        <v>Approved</v>
      </c>
      <c r="T6490" t="str">
        <f t="shared" si="2637"/>
        <v>10.20.8.188</v>
      </c>
      <c r="U6490" t="str">
        <f t="shared" si="2651"/>
        <v>AZRAD UMAR BIN SHAARI</v>
      </c>
      <c r="V6490" t="str">
        <f t="shared" si="2652"/>
        <v>FARHANA BINTI MUSTAPA</v>
      </c>
      <c r="W6490" t="str">
        <f t="shared" si="2653"/>
        <v>04-08-2020</v>
      </c>
      <c r="X6490" t="str">
        <f t="shared" si="2654"/>
        <v>RAZIMAH ANSAR AHMAD</v>
      </c>
      <c r="Y6490" t="str">
        <f t="shared" si="2655"/>
        <v>04-08-2020</v>
      </c>
      <c r="Z6490" t="str">
        <f>"COS10200804 2664"</f>
        <v>COS10200804 2664</v>
      </c>
    </row>
    <row r="6491" spans="1:26" x14ac:dyDescent="0.25">
      <c r="A6491" t="str">
        <f t="shared" si="2657"/>
        <v>04-08-2020 12:39:14</v>
      </c>
      <c r="B6491" t="str">
        <f>"0000804426"</f>
        <v>0000804426</v>
      </c>
      <c r="C6491" t="str">
        <f t="shared" si="2658"/>
        <v>0000804363</v>
      </c>
      <c r="D6491" t="str">
        <f t="shared" si="2645"/>
        <v>73185</v>
      </c>
      <c r="E6491" t="str">
        <f t="shared" si="2646"/>
        <v>KFH-OPERATIONS DEPARTMENT</v>
      </c>
      <c r="F6491" t="str">
        <f t="shared" si="2647"/>
        <v>IBG</v>
      </c>
      <c r="G6491" t="str">
        <f t="shared" si="2656"/>
        <v>Refund COSHARE 10</v>
      </c>
      <c r="H6491" s="2">
        <v>1201</v>
      </c>
      <c r="I6491" t="str">
        <f>"LILI FARINA BINTI MOHD RESAT"</f>
        <v>LILI FARINA BINTI MOHD RESAT</v>
      </c>
      <c r="J6491" t="str">
        <f t="shared" si="2642"/>
        <v>CIMB BANK / CIMB ISLAMIC BANK</v>
      </c>
      <c r="K6491" t="str">
        <f>"12440006617524"</f>
        <v>12440006617524</v>
      </c>
      <c r="L6491" t="str">
        <f t="shared" si="2659"/>
        <v>04-08-2020</v>
      </c>
      <c r="M6491" t="str">
        <f t="shared" si="2659"/>
        <v>04-08-2020</v>
      </c>
      <c r="N6491" t="str">
        <f t="shared" si="2648"/>
        <v>001105018356</v>
      </c>
      <c r="O6491" t="str">
        <f t="shared" si="2649"/>
        <v>MYR</v>
      </c>
      <c r="P6491" t="str">
        <f t="shared" si="2660"/>
        <v>NIL</v>
      </c>
      <c r="Q6491" t="str">
        <f t="shared" si="2660"/>
        <v>NIL</v>
      </c>
      <c r="R6491" t="str">
        <f t="shared" si="2636"/>
        <v>Accepted</v>
      </c>
      <c r="S6491" t="str">
        <f t="shared" si="2650"/>
        <v>Approved</v>
      </c>
      <c r="T6491" t="str">
        <f t="shared" si="2637"/>
        <v>10.20.8.188</v>
      </c>
      <c r="U6491" t="str">
        <f t="shared" si="2651"/>
        <v>AZRAD UMAR BIN SHAARI</v>
      </c>
      <c r="V6491" t="str">
        <f t="shared" si="2652"/>
        <v>FARHANA BINTI MUSTAPA</v>
      </c>
      <c r="W6491" t="str">
        <f t="shared" si="2653"/>
        <v>04-08-2020</v>
      </c>
      <c r="X6491" t="str">
        <f t="shared" si="2654"/>
        <v>RAZIMAH ANSAR AHMAD</v>
      </c>
      <c r="Y6491" t="str">
        <f t="shared" si="2655"/>
        <v>04-08-2020</v>
      </c>
      <c r="Z6491" t="str">
        <f>"COS10200804 2663"</f>
        <v>COS10200804 2663</v>
      </c>
    </row>
    <row r="6492" spans="1:26" x14ac:dyDescent="0.25">
      <c r="A6492" t="str">
        <f t="shared" si="2657"/>
        <v>04-08-2020 12:39:14</v>
      </c>
      <c r="B6492" t="str">
        <f>"0000804425"</f>
        <v>0000804425</v>
      </c>
      <c r="C6492" t="str">
        <f t="shared" si="2658"/>
        <v>0000804363</v>
      </c>
      <c r="D6492" t="str">
        <f t="shared" si="2645"/>
        <v>73185</v>
      </c>
      <c r="E6492" t="str">
        <f t="shared" si="2646"/>
        <v>KFH-OPERATIONS DEPARTMENT</v>
      </c>
      <c r="F6492" t="str">
        <f t="shared" si="2647"/>
        <v>IBG</v>
      </c>
      <c r="G6492" t="str">
        <f t="shared" si="2656"/>
        <v>Refund COSHARE 10</v>
      </c>
      <c r="H6492" s="2">
        <v>1201</v>
      </c>
      <c r="I6492" t="str">
        <f>"LILI FARINA BINTI MOHD RESAT"</f>
        <v>LILI FARINA BINTI MOHD RESAT</v>
      </c>
      <c r="J6492" t="str">
        <f t="shared" si="2642"/>
        <v>CIMB BANK / CIMB ISLAMIC BANK</v>
      </c>
      <c r="K6492" t="str">
        <f>"12440006617524"</f>
        <v>12440006617524</v>
      </c>
      <c r="L6492" t="str">
        <f t="shared" si="2659"/>
        <v>04-08-2020</v>
      </c>
      <c r="M6492" t="str">
        <f t="shared" si="2659"/>
        <v>04-08-2020</v>
      </c>
      <c r="N6492" t="str">
        <f t="shared" si="2648"/>
        <v>001105018356</v>
      </c>
      <c r="O6492" t="str">
        <f t="shared" si="2649"/>
        <v>MYR</v>
      </c>
      <c r="P6492" t="str">
        <f t="shared" si="2660"/>
        <v>NIL</v>
      </c>
      <c r="Q6492" t="str">
        <f t="shared" si="2660"/>
        <v>NIL</v>
      </c>
      <c r="R6492" t="str">
        <f t="shared" si="2636"/>
        <v>Accepted</v>
      </c>
      <c r="S6492" t="str">
        <f t="shared" si="2650"/>
        <v>Approved</v>
      </c>
      <c r="T6492" t="str">
        <f t="shared" si="2637"/>
        <v>10.20.8.188</v>
      </c>
      <c r="U6492" t="str">
        <f t="shared" si="2651"/>
        <v>AZRAD UMAR BIN SHAARI</v>
      </c>
      <c r="V6492" t="str">
        <f t="shared" si="2652"/>
        <v>FARHANA BINTI MUSTAPA</v>
      </c>
      <c r="W6492" t="str">
        <f t="shared" si="2653"/>
        <v>04-08-2020</v>
      </c>
      <c r="X6492" t="str">
        <f t="shared" si="2654"/>
        <v>RAZIMAH ANSAR AHMAD</v>
      </c>
      <c r="Y6492" t="str">
        <f t="shared" si="2655"/>
        <v>04-08-2020</v>
      </c>
      <c r="Z6492" t="str">
        <f>"COS10200804 2662"</f>
        <v>COS10200804 2662</v>
      </c>
    </row>
    <row r="6493" spans="1:26" x14ac:dyDescent="0.25">
      <c r="A6493" t="str">
        <f t="shared" si="2657"/>
        <v>04-08-2020 12:39:14</v>
      </c>
      <c r="B6493" t="str">
        <f>"0000804424"</f>
        <v>0000804424</v>
      </c>
      <c r="C6493" t="str">
        <f t="shared" si="2658"/>
        <v>0000804363</v>
      </c>
      <c r="D6493" t="str">
        <f t="shared" si="2645"/>
        <v>73185</v>
      </c>
      <c r="E6493" t="str">
        <f t="shared" si="2646"/>
        <v>KFH-OPERATIONS DEPARTMENT</v>
      </c>
      <c r="F6493" t="str">
        <f t="shared" si="2647"/>
        <v>IBG</v>
      </c>
      <c r="G6493" t="str">
        <f t="shared" si="2656"/>
        <v>Refund COSHARE 10</v>
      </c>
      <c r="H6493" s="2">
        <v>997.35</v>
      </c>
      <c r="I6493" t="str">
        <f>"LIJAJILUN BINTI LANCHIS"</f>
        <v>LIJAJILUN BINTI LANCHIS</v>
      </c>
      <c r="J6493" t="str">
        <f t="shared" si="2642"/>
        <v>CIMB BANK / CIMB ISLAMIC BANK</v>
      </c>
      <c r="K6493" t="str">
        <f>"10040035541527"</f>
        <v>10040035541527</v>
      </c>
      <c r="L6493" t="str">
        <f t="shared" si="2659"/>
        <v>04-08-2020</v>
      </c>
      <c r="M6493" t="str">
        <f t="shared" si="2659"/>
        <v>04-08-2020</v>
      </c>
      <c r="N6493" t="str">
        <f t="shared" si="2648"/>
        <v>001105018356</v>
      </c>
      <c r="O6493" t="str">
        <f t="shared" si="2649"/>
        <v>MYR</v>
      </c>
      <c r="P6493" t="str">
        <f t="shared" si="2660"/>
        <v>NIL</v>
      </c>
      <c r="Q6493" t="str">
        <f t="shared" si="2660"/>
        <v>NIL</v>
      </c>
      <c r="R6493" t="str">
        <f t="shared" si="2636"/>
        <v>Accepted</v>
      </c>
      <c r="S6493" t="str">
        <f t="shared" si="2650"/>
        <v>Approved</v>
      </c>
      <c r="T6493" t="str">
        <f t="shared" si="2637"/>
        <v>10.20.8.188</v>
      </c>
      <c r="U6493" t="str">
        <f t="shared" si="2651"/>
        <v>AZRAD UMAR BIN SHAARI</v>
      </c>
      <c r="V6493" t="str">
        <f t="shared" si="2652"/>
        <v>FARHANA BINTI MUSTAPA</v>
      </c>
      <c r="W6493" t="str">
        <f t="shared" si="2653"/>
        <v>04-08-2020</v>
      </c>
      <c r="X6493" t="str">
        <f t="shared" si="2654"/>
        <v>RAZIMAH ANSAR AHMAD</v>
      </c>
      <c r="Y6493" t="str">
        <f t="shared" si="2655"/>
        <v>04-08-2020</v>
      </c>
      <c r="Z6493" t="str">
        <f>"COS10200804 2661"</f>
        <v>COS10200804 2661</v>
      </c>
    </row>
    <row r="6494" spans="1:26" x14ac:dyDescent="0.25">
      <c r="A6494" t="str">
        <f t="shared" si="2657"/>
        <v>04-08-2020 12:39:14</v>
      </c>
      <c r="B6494" t="str">
        <f>"0000804423"</f>
        <v>0000804423</v>
      </c>
      <c r="C6494" t="str">
        <f t="shared" si="2658"/>
        <v>0000804363</v>
      </c>
      <c r="D6494" t="str">
        <f t="shared" si="2645"/>
        <v>73185</v>
      </c>
      <c r="E6494" t="str">
        <f t="shared" si="2646"/>
        <v>KFH-OPERATIONS DEPARTMENT</v>
      </c>
      <c r="F6494" t="str">
        <f t="shared" si="2647"/>
        <v>IBG</v>
      </c>
      <c r="G6494" t="str">
        <f t="shared" si="2656"/>
        <v>Refund COSHARE 10</v>
      </c>
      <c r="H6494" s="2">
        <v>58.8</v>
      </c>
      <c r="I6494" t="str">
        <f>"LENI AZLINA BINTI SHARIFF"</f>
        <v>LENI AZLINA BINTI SHARIFF</v>
      </c>
      <c r="J6494" t="str">
        <f t="shared" si="2642"/>
        <v>CIMB BANK / CIMB ISLAMIC BANK</v>
      </c>
      <c r="K6494" t="str">
        <f>"12051365349526"</f>
        <v>12051365349526</v>
      </c>
      <c r="L6494" t="str">
        <f t="shared" si="2659"/>
        <v>04-08-2020</v>
      </c>
      <c r="M6494" t="str">
        <f t="shared" si="2659"/>
        <v>04-08-2020</v>
      </c>
      <c r="N6494" t="str">
        <f t="shared" si="2648"/>
        <v>001105018356</v>
      </c>
      <c r="O6494" t="str">
        <f t="shared" si="2649"/>
        <v>MYR</v>
      </c>
      <c r="P6494" t="str">
        <f t="shared" si="2660"/>
        <v>NIL</v>
      </c>
      <c r="Q6494" t="str">
        <f t="shared" si="2660"/>
        <v>NIL</v>
      </c>
      <c r="R6494" t="str">
        <f t="shared" si="2636"/>
        <v>Accepted</v>
      </c>
      <c r="S6494" t="str">
        <f t="shared" si="2650"/>
        <v>Approved</v>
      </c>
      <c r="T6494" t="str">
        <f t="shared" si="2637"/>
        <v>10.20.8.188</v>
      </c>
      <c r="U6494" t="str">
        <f t="shared" si="2651"/>
        <v>AZRAD UMAR BIN SHAARI</v>
      </c>
      <c r="V6494" t="str">
        <f t="shared" si="2652"/>
        <v>FARHANA BINTI MUSTAPA</v>
      </c>
      <c r="W6494" t="str">
        <f t="shared" si="2653"/>
        <v>04-08-2020</v>
      </c>
      <c r="X6494" t="str">
        <f t="shared" si="2654"/>
        <v>RAZIMAH ANSAR AHMAD</v>
      </c>
      <c r="Y6494" t="str">
        <f t="shared" si="2655"/>
        <v>04-08-2020</v>
      </c>
      <c r="Z6494" t="str">
        <f>"COS10200804 2660"</f>
        <v>COS10200804 2660</v>
      </c>
    </row>
    <row r="6495" spans="1:26" x14ac:dyDescent="0.25">
      <c r="A6495" t="str">
        <f t="shared" si="2657"/>
        <v>04-08-2020 12:39:14</v>
      </c>
      <c r="B6495" t="str">
        <f>"0000804422"</f>
        <v>0000804422</v>
      </c>
      <c r="C6495" t="str">
        <f t="shared" si="2658"/>
        <v>0000804363</v>
      </c>
      <c r="D6495" t="str">
        <f t="shared" si="2645"/>
        <v>73185</v>
      </c>
      <c r="E6495" t="str">
        <f t="shared" si="2646"/>
        <v>KFH-OPERATIONS DEPARTMENT</v>
      </c>
      <c r="F6495" t="str">
        <f t="shared" si="2647"/>
        <v>IBG</v>
      </c>
      <c r="G6495" t="str">
        <f t="shared" si="2656"/>
        <v>Refund COSHARE 10</v>
      </c>
      <c r="H6495" s="2">
        <v>569</v>
      </c>
      <c r="I6495" t="str">
        <f>"LEFRIN BINTI SALATI"</f>
        <v>LEFRIN BINTI SALATI</v>
      </c>
      <c r="J6495" t="str">
        <f t="shared" si="2642"/>
        <v>CIMB BANK / CIMB ISLAMIC BANK</v>
      </c>
      <c r="K6495" t="str">
        <f>"10040068852524"</f>
        <v>10040068852524</v>
      </c>
      <c r="L6495" t="str">
        <f t="shared" si="2659"/>
        <v>04-08-2020</v>
      </c>
      <c r="M6495" t="str">
        <f t="shared" si="2659"/>
        <v>04-08-2020</v>
      </c>
      <c r="N6495" t="str">
        <f t="shared" si="2648"/>
        <v>001105018356</v>
      </c>
      <c r="O6495" t="str">
        <f t="shared" si="2649"/>
        <v>MYR</v>
      </c>
      <c r="P6495" t="str">
        <f t="shared" si="2660"/>
        <v>NIL</v>
      </c>
      <c r="Q6495" t="str">
        <f t="shared" si="2660"/>
        <v>NIL</v>
      </c>
      <c r="R6495" t="str">
        <f t="shared" si="2636"/>
        <v>Accepted</v>
      </c>
      <c r="S6495" t="str">
        <f t="shared" si="2650"/>
        <v>Approved</v>
      </c>
      <c r="T6495" t="str">
        <f t="shared" si="2637"/>
        <v>10.20.8.188</v>
      </c>
      <c r="U6495" t="str">
        <f t="shared" si="2651"/>
        <v>AZRAD UMAR BIN SHAARI</v>
      </c>
      <c r="V6495" t="str">
        <f t="shared" si="2652"/>
        <v>FARHANA BINTI MUSTAPA</v>
      </c>
      <c r="W6495" t="str">
        <f t="shared" si="2653"/>
        <v>04-08-2020</v>
      </c>
      <c r="X6495" t="str">
        <f t="shared" si="2654"/>
        <v>RAZIMAH ANSAR AHMAD</v>
      </c>
      <c r="Y6495" t="str">
        <f t="shared" si="2655"/>
        <v>04-08-2020</v>
      </c>
      <c r="Z6495" t="str">
        <f>"COS10200804 2659"</f>
        <v>COS10200804 2659</v>
      </c>
    </row>
    <row r="6496" spans="1:26" x14ac:dyDescent="0.25">
      <c r="A6496" t="str">
        <f t="shared" si="2657"/>
        <v>04-08-2020 12:39:14</v>
      </c>
      <c r="B6496" t="str">
        <f>"0000804421"</f>
        <v>0000804421</v>
      </c>
      <c r="C6496" t="str">
        <f t="shared" si="2658"/>
        <v>0000804363</v>
      </c>
      <c r="D6496" t="str">
        <f t="shared" si="2645"/>
        <v>73185</v>
      </c>
      <c r="E6496" t="str">
        <f t="shared" si="2646"/>
        <v>KFH-OPERATIONS DEPARTMENT</v>
      </c>
      <c r="F6496" t="str">
        <f t="shared" si="2647"/>
        <v>IBG</v>
      </c>
      <c r="G6496" t="str">
        <f t="shared" si="2656"/>
        <v>Refund COSHARE 10</v>
      </c>
      <c r="H6496" s="2">
        <v>503.7</v>
      </c>
      <c r="I6496" t="str">
        <f>"LEFRIN BINTI SALATI"</f>
        <v>LEFRIN BINTI SALATI</v>
      </c>
      <c r="J6496" t="str">
        <f t="shared" si="2642"/>
        <v>CIMB BANK / CIMB ISLAMIC BANK</v>
      </c>
      <c r="K6496" t="str">
        <f>"10040068852524"</f>
        <v>10040068852524</v>
      </c>
      <c r="L6496" t="str">
        <f t="shared" si="2659"/>
        <v>04-08-2020</v>
      </c>
      <c r="M6496" t="str">
        <f t="shared" si="2659"/>
        <v>04-08-2020</v>
      </c>
      <c r="N6496" t="str">
        <f t="shared" si="2648"/>
        <v>001105018356</v>
      </c>
      <c r="O6496" t="str">
        <f t="shared" si="2649"/>
        <v>MYR</v>
      </c>
      <c r="P6496" t="str">
        <f t="shared" si="2660"/>
        <v>NIL</v>
      </c>
      <c r="Q6496" t="str">
        <f t="shared" si="2660"/>
        <v>NIL</v>
      </c>
      <c r="R6496" t="str">
        <f t="shared" si="2636"/>
        <v>Accepted</v>
      </c>
      <c r="S6496" t="str">
        <f t="shared" si="2650"/>
        <v>Approved</v>
      </c>
      <c r="T6496" t="str">
        <f t="shared" si="2637"/>
        <v>10.20.8.188</v>
      </c>
      <c r="U6496" t="str">
        <f t="shared" si="2651"/>
        <v>AZRAD UMAR BIN SHAARI</v>
      </c>
      <c r="V6496" t="str">
        <f t="shared" si="2652"/>
        <v>FARHANA BINTI MUSTAPA</v>
      </c>
      <c r="W6496" t="str">
        <f t="shared" si="2653"/>
        <v>04-08-2020</v>
      </c>
      <c r="X6496" t="str">
        <f t="shared" si="2654"/>
        <v>RAZIMAH ANSAR AHMAD</v>
      </c>
      <c r="Y6496" t="str">
        <f t="shared" si="2655"/>
        <v>04-08-2020</v>
      </c>
      <c r="Z6496" t="str">
        <f>"COS10200804 2658"</f>
        <v>COS10200804 2658</v>
      </c>
    </row>
    <row r="6497" spans="1:26" x14ac:dyDescent="0.25">
      <c r="A6497" t="str">
        <f t="shared" si="2657"/>
        <v>04-08-2020 12:39:14</v>
      </c>
      <c r="B6497" t="str">
        <f>"0000804420"</f>
        <v>0000804420</v>
      </c>
      <c r="C6497" t="str">
        <f t="shared" si="2658"/>
        <v>0000804363</v>
      </c>
      <c r="D6497" t="str">
        <f t="shared" si="2645"/>
        <v>73185</v>
      </c>
      <c r="E6497" t="str">
        <f t="shared" si="2646"/>
        <v>KFH-OPERATIONS DEPARTMENT</v>
      </c>
      <c r="F6497" t="str">
        <f t="shared" si="2647"/>
        <v>IBG</v>
      </c>
      <c r="G6497" t="str">
        <f t="shared" si="2656"/>
        <v>Refund COSHARE 10</v>
      </c>
      <c r="H6497" s="2">
        <v>83.95</v>
      </c>
      <c r="I6497" t="str">
        <f>"LAZIM BIN GUDAU"</f>
        <v>LAZIM BIN GUDAU</v>
      </c>
      <c r="J6497" t="str">
        <f t="shared" si="2642"/>
        <v>CIMB BANK / CIMB ISLAMIC BANK</v>
      </c>
      <c r="K6497" t="str">
        <f>"10030037018528"</f>
        <v>10030037018528</v>
      </c>
      <c r="L6497" t="str">
        <f t="shared" si="2659"/>
        <v>04-08-2020</v>
      </c>
      <c r="M6497" t="str">
        <f t="shared" si="2659"/>
        <v>04-08-2020</v>
      </c>
      <c r="N6497" t="str">
        <f t="shared" si="2648"/>
        <v>001105018356</v>
      </c>
      <c r="O6497" t="str">
        <f t="shared" si="2649"/>
        <v>MYR</v>
      </c>
      <c r="P6497" t="str">
        <f t="shared" si="2660"/>
        <v>NIL</v>
      </c>
      <c r="Q6497" t="str">
        <f t="shared" si="2660"/>
        <v>NIL</v>
      </c>
      <c r="R6497" t="str">
        <f t="shared" si="2636"/>
        <v>Accepted</v>
      </c>
      <c r="S6497" t="str">
        <f t="shared" si="2650"/>
        <v>Approved</v>
      </c>
      <c r="T6497" t="str">
        <f t="shared" si="2637"/>
        <v>10.20.8.188</v>
      </c>
      <c r="U6497" t="str">
        <f t="shared" si="2651"/>
        <v>AZRAD UMAR BIN SHAARI</v>
      </c>
      <c r="V6497" t="str">
        <f t="shared" si="2652"/>
        <v>FARHANA BINTI MUSTAPA</v>
      </c>
      <c r="W6497" t="str">
        <f t="shared" si="2653"/>
        <v>04-08-2020</v>
      </c>
      <c r="X6497" t="str">
        <f t="shared" si="2654"/>
        <v>RAZIMAH ANSAR AHMAD</v>
      </c>
      <c r="Y6497" t="str">
        <f t="shared" si="2655"/>
        <v>04-08-2020</v>
      </c>
      <c r="Z6497" t="str">
        <f>"COS10200804 2657"</f>
        <v>COS10200804 2657</v>
      </c>
    </row>
    <row r="6498" spans="1:26" x14ac:dyDescent="0.25">
      <c r="A6498" t="str">
        <f t="shared" si="2657"/>
        <v>04-08-2020 12:39:14</v>
      </c>
      <c r="B6498" t="str">
        <f>"0000804419"</f>
        <v>0000804419</v>
      </c>
      <c r="C6498" t="str">
        <f t="shared" si="2658"/>
        <v>0000804363</v>
      </c>
      <c r="D6498" t="str">
        <f t="shared" si="2645"/>
        <v>73185</v>
      </c>
      <c r="E6498" t="str">
        <f t="shared" si="2646"/>
        <v>KFH-OPERATIONS DEPARTMENT</v>
      </c>
      <c r="F6498" t="str">
        <f t="shared" si="2647"/>
        <v>IBG</v>
      </c>
      <c r="G6498" t="str">
        <f t="shared" si="2656"/>
        <v>Refund COSHARE 10</v>
      </c>
      <c r="H6498" s="2">
        <v>1746</v>
      </c>
      <c r="I6498" t="str">
        <f>"LATIZA BINTI A LATIF"</f>
        <v>LATIZA BINTI A LATIF</v>
      </c>
      <c r="J6498" t="str">
        <f t="shared" si="2642"/>
        <v>CIMB BANK / CIMB ISLAMIC BANK</v>
      </c>
      <c r="K6498" t="str">
        <f>"7009395042"</f>
        <v>7009395042</v>
      </c>
      <c r="L6498" t="str">
        <f t="shared" si="2659"/>
        <v>04-08-2020</v>
      </c>
      <c r="M6498" t="str">
        <f t="shared" si="2659"/>
        <v>04-08-2020</v>
      </c>
      <c r="N6498" t="str">
        <f t="shared" si="2648"/>
        <v>001105018356</v>
      </c>
      <c r="O6498" t="str">
        <f t="shared" si="2649"/>
        <v>MYR</v>
      </c>
      <c r="P6498" t="str">
        <f t="shared" si="2660"/>
        <v>NIL</v>
      </c>
      <c r="Q6498" t="str">
        <f t="shared" si="2660"/>
        <v>NIL</v>
      </c>
      <c r="R6498" t="str">
        <f t="shared" ref="R6498:R6561" si="2661">"Accepted"</f>
        <v>Accepted</v>
      </c>
      <c r="S6498" t="str">
        <f t="shared" si="2650"/>
        <v>Approved</v>
      </c>
      <c r="T6498" t="str">
        <f t="shared" ref="T6498:T6561" si="2662">"10.20.8.188"</f>
        <v>10.20.8.188</v>
      </c>
      <c r="U6498" t="str">
        <f t="shared" si="2651"/>
        <v>AZRAD UMAR BIN SHAARI</v>
      </c>
      <c r="V6498" t="str">
        <f t="shared" si="2652"/>
        <v>FARHANA BINTI MUSTAPA</v>
      </c>
      <c r="W6498" t="str">
        <f t="shared" si="2653"/>
        <v>04-08-2020</v>
      </c>
      <c r="X6498" t="str">
        <f t="shared" si="2654"/>
        <v>RAZIMAH ANSAR AHMAD</v>
      </c>
      <c r="Y6498" t="str">
        <f t="shared" si="2655"/>
        <v>04-08-2020</v>
      </c>
      <c r="Z6498" t="str">
        <f>"COS10200804 2656"</f>
        <v>COS10200804 2656</v>
      </c>
    </row>
    <row r="6499" spans="1:26" x14ac:dyDescent="0.25">
      <c r="A6499" t="str">
        <f t="shared" si="2657"/>
        <v>04-08-2020 12:39:14</v>
      </c>
      <c r="B6499" t="str">
        <f>"0000804418"</f>
        <v>0000804418</v>
      </c>
      <c r="C6499" t="str">
        <f t="shared" si="2658"/>
        <v>0000804363</v>
      </c>
      <c r="D6499" t="str">
        <f t="shared" si="2645"/>
        <v>73185</v>
      </c>
      <c r="E6499" t="str">
        <f t="shared" si="2646"/>
        <v>KFH-OPERATIONS DEPARTMENT</v>
      </c>
      <c r="F6499" t="str">
        <f t="shared" si="2647"/>
        <v>IBG</v>
      </c>
      <c r="G6499" t="str">
        <f t="shared" si="2656"/>
        <v>Refund COSHARE 10</v>
      </c>
      <c r="H6499" s="2">
        <v>112.1</v>
      </c>
      <c r="I6499" t="str">
        <f>"LATIFAH BINTI MD DAUD"</f>
        <v>LATIFAH BINTI MD DAUD</v>
      </c>
      <c r="J6499" t="str">
        <f t="shared" si="2642"/>
        <v>CIMB BANK / CIMB ISLAMIC BANK</v>
      </c>
      <c r="K6499" t="str">
        <f>"08160074074524"</f>
        <v>08160074074524</v>
      </c>
      <c r="L6499" t="str">
        <f t="shared" si="2659"/>
        <v>04-08-2020</v>
      </c>
      <c r="M6499" t="str">
        <f t="shared" si="2659"/>
        <v>04-08-2020</v>
      </c>
      <c r="N6499" t="str">
        <f t="shared" si="2648"/>
        <v>001105018356</v>
      </c>
      <c r="O6499" t="str">
        <f t="shared" si="2649"/>
        <v>MYR</v>
      </c>
      <c r="P6499" t="str">
        <f t="shared" si="2660"/>
        <v>NIL</v>
      </c>
      <c r="Q6499" t="str">
        <f t="shared" si="2660"/>
        <v>NIL</v>
      </c>
      <c r="R6499" t="str">
        <f t="shared" si="2661"/>
        <v>Accepted</v>
      </c>
      <c r="S6499" t="str">
        <f t="shared" si="2650"/>
        <v>Approved</v>
      </c>
      <c r="T6499" t="str">
        <f t="shared" si="2662"/>
        <v>10.20.8.188</v>
      </c>
      <c r="U6499" t="str">
        <f t="shared" si="2651"/>
        <v>AZRAD UMAR BIN SHAARI</v>
      </c>
      <c r="V6499" t="str">
        <f t="shared" si="2652"/>
        <v>FARHANA BINTI MUSTAPA</v>
      </c>
      <c r="W6499" t="str">
        <f t="shared" si="2653"/>
        <v>04-08-2020</v>
      </c>
      <c r="X6499" t="str">
        <f t="shared" si="2654"/>
        <v>RAZIMAH ANSAR AHMAD</v>
      </c>
      <c r="Y6499" t="str">
        <f t="shared" si="2655"/>
        <v>04-08-2020</v>
      </c>
      <c r="Z6499" t="str">
        <f>"COS10200804 2655"</f>
        <v>COS10200804 2655</v>
      </c>
    </row>
    <row r="6500" spans="1:26" x14ac:dyDescent="0.25">
      <c r="A6500" t="str">
        <f t="shared" si="2657"/>
        <v>04-08-2020 12:39:14</v>
      </c>
      <c r="B6500" t="str">
        <f>"0000804417"</f>
        <v>0000804417</v>
      </c>
      <c r="C6500" t="str">
        <f t="shared" si="2658"/>
        <v>0000804363</v>
      </c>
      <c r="D6500" t="str">
        <f t="shared" si="2645"/>
        <v>73185</v>
      </c>
      <c r="E6500" t="str">
        <f t="shared" si="2646"/>
        <v>KFH-OPERATIONS DEPARTMENT</v>
      </c>
      <c r="F6500" t="str">
        <f t="shared" si="2647"/>
        <v>IBG</v>
      </c>
      <c r="G6500" t="str">
        <f t="shared" si="2656"/>
        <v>Refund COSHARE 10</v>
      </c>
      <c r="H6500" s="2">
        <v>238.3</v>
      </c>
      <c r="I6500" t="str">
        <f>"LATIF BIN MARSOM"</f>
        <v>LATIF BIN MARSOM</v>
      </c>
      <c r="J6500" t="str">
        <f t="shared" si="2642"/>
        <v>CIMB BANK / CIMB ISLAMIC BANK</v>
      </c>
      <c r="K6500" t="str">
        <f>"01070006863528"</f>
        <v>01070006863528</v>
      </c>
      <c r="L6500" t="str">
        <f t="shared" si="2659"/>
        <v>04-08-2020</v>
      </c>
      <c r="M6500" t="str">
        <f t="shared" si="2659"/>
        <v>04-08-2020</v>
      </c>
      <c r="N6500" t="str">
        <f t="shared" si="2648"/>
        <v>001105018356</v>
      </c>
      <c r="O6500" t="str">
        <f t="shared" si="2649"/>
        <v>MYR</v>
      </c>
      <c r="P6500" t="str">
        <f t="shared" si="2660"/>
        <v>NIL</v>
      </c>
      <c r="Q6500" t="str">
        <f t="shared" si="2660"/>
        <v>NIL</v>
      </c>
      <c r="R6500" t="str">
        <f t="shared" si="2661"/>
        <v>Accepted</v>
      </c>
      <c r="S6500" t="str">
        <f t="shared" si="2650"/>
        <v>Approved</v>
      </c>
      <c r="T6500" t="str">
        <f t="shared" si="2662"/>
        <v>10.20.8.188</v>
      </c>
      <c r="U6500" t="str">
        <f t="shared" si="2651"/>
        <v>AZRAD UMAR BIN SHAARI</v>
      </c>
      <c r="V6500" t="str">
        <f t="shared" si="2652"/>
        <v>FARHANA BINTI MUSTAPA</v>
      </c>
      <c r="W6500" t="str">
        <f t="shared" si="2653"/>
        <v>04-08-2020</v>
      </c>
      <c r="X6500" t="str">
        <f t="shared" si="2654"/>
        <v>RAZIMAH ANSAR AHMAD</v>
      </c>
      <c r="Y6500" t="str">
        <f t="shared" si="2655"/>
        <v>04-08-2020</v>
      </c>
      <c r="Z6500" t="str">
        <f>"COS10200804 2654"</f>
        <v>COS10200804 2654</v>
      </c>
    </row>
    <row r="6501" spans="1:26" x14ac:dyDescent="0.25">
      <c r="A6501" t="str">
        <f t="shared" si="2657"/>
        <v>04-08-2020 12:39:14</v>
      </c>
      <c r="B6501" t="str">
        <f>"0000804416"</f>
        <v>0000804416</v>
      </c>
      <c r="C6501" t="str">
        <f t="shared" si="2658"/>
        <v>0000804363</v>
      </c>
      <c r="D6501" t="str">
        <f t="shared" si="2645"/>
        <v>73185</v>
      </c>
      <c r="E6501" t="str">
        <f t="shared" si="2646"/>
        <v>KFH-OPERATIONS DEPARTMENT</v>
      </c>
      <c r="F6501" t="str">
        <f t="shared" si="2647"/>
        <v>IBG</v>
      </c>
      <c r="G6501" t="str">
        <f t="shared" si="2656"/>
        <v>Refund COSHARE 10</v>
      </c>
      <c r="H6501" s="2">
        <v>755.55</v>
      </c>
      <c r="I6501" t="str">
        <f>"LADYIA BINTI MISIR"</f>
        <v>LADYIA BINTI MISIR</v>
      </c>
      <c r="J6501" t="str">
        <f t="shared" si="2642"/>
        <v>CIMB BANK / CIMB ISLAMIC BANK</v>
      </c>
      <c r="K6501" t="str">
        <f>"7057577018"</f>
        <v>7057577018</v>
      </c>
      <c r="L6501" t="str">
        <f t="shared" si="2659"/>
        <v>04-08-2020</v>
      </c>
      <c r="M6501" t="str">
        <f t="shared" si="2659"/>
        <v>04-08-2020</v>
      </c>
      <c r="N6501" t="str">
        <f t="shared" si="2648"/>
        <v>001105018356</v>
      </c>
      <c r="O6501" t="str">
        <f t="shared" si="2649"/>
        <v>MYR</v>
      </c>
      <c r="P6501" t="str">
        <f t="shared" si="2660"/>
        <v>NIL</v>
      </c>
      <c r="Q6501" t="str">
        <f t="shared" si="2660"/>
        <v>NIL</v>
      </c>
      <c r="R6501" t="str">
        <f t="shared" si="2661"/>
        <v>Accepted</v>
      </c>
      <c r="S6501" t="str">
        <f t="shared" si="2650"/>
        <v>Approved</v>
      </c>
      <c r="T6501" t="str">
        <f t="shared" si="2662"/>
        <v>10.20.8.188</v>
      </c>
      <c r="U6501" t="str">
        <f t="shared" si="2651"/>
        <v>AZRAD UMAR BIN SHAARI</v>
      </c>
      <c r="V6501" t="str">
        <f t="shared" si="2652"/>
        <v>FARHANA BINTI MUSTAPA</v>
      </c>
      <c r="W6501" t="str">
        <f t="shared" si="2653"/>
        <v>04-08-2020</v>
      </c>
      <c r="X6501" t="str">
        <f t="shared" si="2654"/>
        <v>RAZIMAH ANSAR AHMAD</v>
      </c>
      <c r="Y6501" t="str">
        <f t="shared" si="2655"/>
        <v>04-08-2020</v>
      </c>
      <c r="Z6501" t="str">
        <f>"COS10200804 2653"</f>
        <v>COS10200804 2653</v>
      </c>
    </row>
    <row r="6502" spans="1:26" x14ac:dyDescent="0.25">
      <c r="A6502" t="str">
        <f t="shared" si="2657"/>
        <v>04-08-2020 12:39:14</v>
      </c>
      <c r="B6502" t="str">
        <f>"0000804415"</f>
        <v>0000804415</v>
      </c>
      <c r="C6502" t="str">
        <f t="shared" si="2658"/>
        <v>0000804363</v>
      </c>
      <c r="D6502" t="str">
        <f t="shared" si="2645"/>
        <v>73185</v>
      </c>
      <c r="E6502" t="str">
        <f t="shared" si="2646"/>
        <v>KFH-OPERATIONS DEPARTMENT</v>
      </c>
      <c r="F6502" t="str">
        <f t="shared" si="2647"/>
        <v>IBG</v>
      </c>
      <c r="G6502" t="str">
        <f t="shared" si="2656"/>
        <v>Refund COSHARE 10</v>
      </c>
      <c r="H6502" s="2">
        <v>155.19999999999999</v>
      </c>
      <c r="I6502" t="str">
        <f>"KUMARESAN AL RASOO  RASAN"</f>
        <v>KUMARESAN AL RASOO  RASAN</v>
      </c>
      <c r="J6502" t="str">
        <f t="shared" si="2642"/>
        <v>CIMB BANK / CIMB ISLAMIC BANK</v>
      </c>
      <c r="K6502" t="str">
        <f>"12140075253520"</f>
        <v>12140075253520</v>
      </c>
      <c r="L6502" t="str">
        <f t="shared" si="2659"/>
        <v>04-08-2020</v>
      </c>
      <c r="M6502" t="str">
        <f t="shared" si="2659"/>
        <v>04-08-2020</v>
      </c>
      <c r="N6502" t="str">
        <f t="shared" si="2648"/>
        <v>001105018356</v>
      </c>
      <c r="O6502" t="str">
        <f t="shared" si="2649"/>
        <v>MYR</v>
      </c>
      <c r="P6502" t="str">
        <f t="shared" si="2660"/>
        <v>NIL</v>
      </c>
      <c r="Q6502" t="str">
        <f t="shared" si="2660"/>
        <v>NIL</v>
      </c>
      <c r="R6502" t="str">
        <f t="shared" si="2661"/>
        <v>Accepted</v>
      </c>
      <c r="S6502" t="str">
        <f t="shared" si="2650"/>
        <v>Approved</v>
      </c>
      <c r="T6502" t="str">
        <f t="shared" si="2662"/>
        <v>10.20.8.188</v>
      </c>
      <c r="U6502" t="str">
        <f t="shared" si="2651"/>
        <v>AZRAD UMAR BIN SHAARI</v>
      </c>
      <c r="V6502" t="str">
        <f t="shared" si="2652"/>
        <v>FARHANA BINTI MUSTAPA</v>
      </c>
      <c r="W6502" t="str">
        <f t="shared" si="2653"/>
        <v>04-08-2020</v>
      </c>
      <c r="X6502" t="str">
        <f t="shared" si="2654"/>
        <v>RAZIMAH ANSAR AHMAD</v>
      </c>
      <c r="Y6502" t="str">
        <f t="shared" si="2655"/>
        <v>04-08-2020</v>
      </c>
      <c r="Z6502" t="str">
        <f>"COS10200804 2652"</f>
        <v>COS10200804 2652</v>
      </c>
    </row>
    <row r="6503" spans="1:26" x14ac:dyDescent="0.25">
      <c r="A6503" t="str">
        <f t="shared" si="2657"/>
        <v>04-08-2020 12:39:14</v>
      </c>
      <c r="B6503" t="str">
        <f>"0000804414"</f>
        <v>0000804414</v>
      </c>
      <c r="C6503" t="str">
        <f t="shared" si="2658"/>
        <v>0000804363</v>
      </c>
      <c r="D6503" t="str">
        <f t="shared" si="2645"/>
        <v>73185</v>
      </c>
      <c r="E6503" t="str">
        <f t="shared" si="2646"/>
        <v>KFH-OPERATIONS DEPARTMENT</v>
      </c>
      <c r="F6503" t="str">
        <f t="shared" si="2647"/>
        <v>IBG</v>
      </c>
      <c r="G6503" t="str">
        <f t="shared" si="2656"/>
        <v>Refund COSHARE 10</v>
      </c>
      <c r="H6503" s="2">
        <v>83.95</v>
      </c>
      <c r="I6503" t="str">
        <f>"KU MOHD FAIZAL BIN KU HASHIM"</f>
        <v>KU MOHD FAIZAL BIN KU HASHIM</v>
      </c>
      <c r="J6503" t="str">
        <f t="shared" si="2642"/>
        <v>CIMB BANK / CIMB ISLAMIC BANK</v>
      </c>
      <c r="K6503" t="str">
        <f>"09020105932520"</f>
        <v>09020105932520</v>
      </c>
      <c r="L6503" t="str">
        <f t="shared" si="2659"/>
        <v>04-08-2020</v>
      </c>
      <c r="M6503" t="str">
        <f t="shared" si="2659"/>
        <v>04-08-2020</v>
      </c>
      <c r="N6503" t="str">
        <f t="shared" si="2648"/>
        <v>001105018356</v>
      </c>
      <c r="O6503" t="str">
        <f t="shared" si="2649"/>
        <v>MYR</v>
      </c>
      <c r="P6503" t="str">
        <f t="shared" si="2660"/>
        <v>NIL</v>
      </c>
      <c r="Q6503" t="str">
        <f t="shared" si="2660"/>
        <v>NIL</v>
      </c>
      <c r="R6503" t="str">
        <f t="shared" si="2661"/>
        <v>Accepted</v>
      </c>
      <c r="S6503" t="str">
        <f t="shared" si="2650"/>
        <v>Approved</v>
      </c>
      <c r="T6503" t="str">
        <f t="shared" si="2662"/>
        <v>10.20.8.188</v>
      </c>
      <c r="U6503" t="str">
        <f t="shared" si="2651"/>
        <v>AZRAD UMAR BIN SHAARI</v>
      </c>
      <c r="V6503" t="str">
        <f t="shared" si="2652"/>
        <v>FARHANA BINTI MUSTAPA</v>
      </c>
      <c r="W6503" t="str">
        <f t="shared" si="2653"/>
        <v>04-08-2020</v>
      </c>
      <c r="X6503" t="str">
        <f t="shared" si="2654"/>
        <v>RAZIMAH ANSAR AHMAD</v>
      </c>
      <c r="Y6503" t="str">
        <f t="shared" si="2655"/>
        <v>04-08-2020</v>
      </c>
      <c r="Z6503" t="str">
        <f>"COS10200804 2651"</f>
        <v>COS10200804 2651</v>
      </c>
    </row>
    <row r="6504" spans="1:26" x14ac:dyDescent="0.25">
      <c r="A6504" t="str">
        <f t="shared" si="2657"/>
        <v>04-08-2020 12:39:14</v>
      </c>
      <c r="B6504" t="str">
        <f>"0000804413"</f>
        <v>0000804413</v>
      </c>
      <c r="C6504" t="str">
        <f t="shared" si="2658"/>
        <v>0000804363</v>
      </c>
      <c r="D6504" t="str">
        <f t="shared" si="2645"/>
        <v>73185</v>
      </c>
      <c r="E6504" t="str">
        <f t="shared" si="2646"/>
        <v>KFH-OPERATIONS DEPARTMENT</v>
      </c>
      <c r="F6504" t="str">
        <f t="shared" si="2647"/>
        <v>IBG</v>
      </c>
      <c r="G6504" t="str">
        <f t="shared" si="2656"/>
        <v>Refund COSHARE 10</v>
      </c>
      <c r="H6504" s="2">
        <v>380</v>
      </c>
      <c r="I6504" t="str">
        <f>"KONG MEE FAH"</f>
        <v>KONG MEE FAH</v>
      </c>
      <c r="J6504" t="str">
        <f t="shared" si="2642"/>
        <v>CIMB BANK / CIMB ISLAMIC BANK</v>
      </c>
      <c r="K6504" t="str">
        <f>"11080076478520"</f>
        <v>11080076478520</v>
      </c>
      <c r="L6504" t="str">
        <f t="shared" si="2659"/>
        <v>04-08-2020</v>
      </c>
      <c r="M6504" t="str">
        <f t="shared" si="2659"/>
        <v>04-08-2020</v>
      </c>
      <c r="N6504" t="str">
        <f t="shared" si="2648"/>
        <v>001105018356</v>
      </c>
      <c r="O6504" t="str">
        <f t="shared" si="2649"/>
        <v>MYR</v>
      </c>
      <c r="P6504" t="str">
        <f t="shared" si="2660"/>
        <v>NIL</v>
      </c>
      <c r="Q6504" t="str">
        <f t="shared" si="2660"/>
        <v>NIL</v>
      </c>
      <c r="R6504" t="str">
        <f t="shared" si="2661"/>
        <v>Accepted</v>
      </c>
      <c r="S6504" t="str">
        <f t="shared" si="2650"/>
        <v>Approved</v>
      </c>
      <c r="T6504" t="str">
        <f t="shared" si="2662"/>
        <v>10.20.8.188</v>
      </c>
      <c r="U6504" t="str">
        <f t="shared" si="2651"/>
        <v>AZRAD UMAR BIN SHAARI</v>
      </c>
      <c r="V6504" t="str">
        <f t="shared" si="2652"/>
        <v>FARHANA BINTI MUSTAPA</v>
      </c>
      <c r="W6504" t="str">
        <f t="shared" si="2653"/>
        <v>04-08-2020</v>
      </c>
      <c r="X6504" t="str">
        <f t="shared" si="2654"/>
        <v>RAZIMAH ANSAR AHMAD</v>
      </c>
      <c r="Y6504" t="str">
        <f t="shared" si="2655"/>
        <v>04-08-2020</v>
      </c>
      <c r="Z6504" t="str">
        <f>"COS10200804 2650"</f>
        <v>COS10200804 2650</v>
      </c>
    </row>
    <row r="6505" spans="1:26" x14ac:dyDescent="0.25">
      <c r="A6505" t="str">
        <f t="shared" si="2657"/>
        <v>04-08-2020 12:39:14</v>
      </c>
      <c r="B6505" t="str">
        <f>"0000804412"</f>
        <v>0000804412</v>
      </c>
      <c r="C6505" t="str">
        <f t="shared" si="2658"/>
        <v>0000804363</v>
      </c>
      <c r="D6505" t="str">
        <f t="shared" si="2645"/>
        <v>73185</v>
      </c>
      <c r="E6505" t="str">
        <f t="shared" si="2646"/>
        <v>KFH-OPERATIONS DEPARTMENT</v>
      </c>
      <c r="F6505" t="str">
        <f t="shared" si="2647"/>
        <v>IBG</v>
      </c>
      <c r="G6505" t="str">
        <f t="shared" si="2656"/>
        <v>Refund COSHARE 10</v>
      </c>
      <c r="H6505" s="2">
        <v>152</v>
      </c>
      <c r="I6505" t="str">
        <f>"KOMALA AP ARUMON"</f>
        <v>KOMALA AP ARUMON</v>
      </c>
      <c r="J6505" t="str">
        <f t="shared" si="2642"/>
        <v>CIMB BANK / CIMB ISLAMIC BANK</v>
      </c>
      <c r="K6505" t="str">
        <f>"7069564806"</f>
        <v>7069564806</v>
      </c>
      <c r="L6505" t="str">
        <f t="shared" si="2659"/>
        <v>04-08-2020</v>
      </c>
      <c r="M6505" t="str">
        <f t="shared" si="2659"/>
        <v>04-08-2020</v>
      </c>
      <c r="N6505" t="str">
        <f t="shared" si="2648"/>
        <v>001105018356</v>
      </c>
      <c r="O6505" t="str">
        <f t="shared" si="2649"/>
        <v>MYR</v>
      </c>
      <c r="P6505" t="str">
        <f t="shared" si="2660"/>
        <v>NIL</v>
      </c>
      <c r="Q6505" t="str">
        <f t="shared" si="2660"/>
        <v>NIL</v>
      </c>
      <c r="R6505" t="str">
        <f t="shared" si="2661"/>
        <v>Accepted</v>
      </c>
      <c r="S6505" t="str">
        <f t="shared" si="2650"/>
        <v>Approved</v>
      </c>
      <c r="T6505" t="str">
        <f t="shared" si="2662"/>
        <v>10.20.8.188</v>
      </c>
      <c r="U6505" t="str">
        <f t="shared" si="2651"/>
        <v>AZRAD UMAR BIN SHAARI</v>
      </c>
      <c r="V6505" t="str">
        <f t="shared" si="2652"/>
        <v>FARHANA BINTI MUSTAPA</v>
      </c>
      <c r="W6505" t="str">
        <f t="shared" si="2653"/>
        <v>04-08-2020</v>
      </c>
      <c r="X6505" t="str">
        <f t="shared" si="2654"/>
        <v>RAZIMAH ANSAR AHMAD</v>
      </c>
      <c r="Y6505" t="str">
        <f t="shared" si="2655"/>
        <v>04-08-2020</v>
      </c>
      <c r="Z6505" t="str">
        <f>"COS10200804 2649"</f>
        <v>COS10200804 2649</v>
      </c>
    </row>
    <row r="6506" spans="1:26" x14ac:dyDescent="0.25">
      <c r="A6506" t="str">
        <f t="shared" si="2657"/>
        <v>04-08-2020 12:39:14</v>
      </c>
      <c r="B6506" t="str">
        <f>"0000804411"</f>
        <v>0000804411</v>
      </c>
      <c r="C6506" t="str">
        <f t="shared" si="2658"/>
        <v>0000804363</v>
      </c>
      <c r="D6506" t="str">
        <f t="shared" si="2645"/>
        <v>73185</v>
      </c>
      <c r="E6506" t="str">
        <f t="shared" si="2646"/>
        <v>KFH-OPERATIONS DEPARTMENT</v>
      </c>
      <c r="F6506" t="str">
        <f t="shared" si="2647"/>
        <v>IBG</v>
      </c>
      <c r="G6506" t="str">
        <f t="shared" si="2656"/>
        <v>Refund COSHARE 10</v>
      </c>
      <c r="H6506" s="2">
        <v>71.650000000000006</v>
      </c>
      <c r="I6506" t="str">
        <f>"KHUZAIMAH BINTI SUHAIMI"</f>
        <v>KHUZAIMAH BINTI SUHAIMI</v>
      </c>
      <c r="J6506" t="str">
        <f t="shared" si="2642"/>
        <v>CIMB BANK / CIMB ISLAMIC BANK</v>
      </c>
      <c r="K6506" t="str">
        <f>"12110033431520"</f>
        <v>12110033431520</v>
      </c>
      <c r="L6506" t="str">
        <f t="shared" si="2659"/>
        <v>04-08-2020</v>
      </c>
      <c r="M6506" t="str">
        <f t="shared" si="2659"/>
        <v>04-08-2020</v>
      </c>
      <c r="N6506" t="str">
        <f t="shared" si="2648"/>
        <v>001105018356</v>
      </c>
      <c r="O6506" t="str">
        <f t="shared" si="2649"/>
        <v>MYR</v>
      </c>
      <c r="P6506" t="str">
        <f t="shared" si="2660"/>
        <v>NIL</v>
      </c>
      <c r="Q6506" t="str">
        <f t="shared" si="2660"/>
        <v>NIL</v>
      </c>
      <c r="R6506" t="str">
        <f t="shared" si="2661"/>
        <v>Accepted</v>
      </c>
      <c r="S6506" t="str">
        <f t="shared" si="2650"/>
        <v>Approved</v>
      </c>
      <c r="T6506" t="str">
        <f t="shared" si="2662"/>
        <v>10.20.8.188</v>
      </c>
      <c r="U6506" t="str">
        <f t="shared" si="2651"/>
        <v>AZRAD UMAR BIN SHAARI</v>
      </c>
      <c r="V6506" t="str">
        <f t="shared" si="2652"/>
        <v>FARHANA BINTI MUSTAPA</v>
      </c>
      <c r="W6506" t="str">
        <f t="shared" si="2653"/>
        <v>04-08-2020</v>
      </c>
      <c r="X6506" t="str">
        <f t="shared" si="2654"/>
        <v>RAZIMAH ANSAR AHMAD</v>
      </c>
      <c r="Y6506" t="str">
        <f t="shared" si="2655"/>
        <v>04-08-2020</v>
      </c>
      <c r="Z6506" t="str">
        <f>"COS10200804 2648"</f>
        <v>COS10200804 2648</v>
      </c>
    </row>
    <row r="6507" spans="1:26" x14ac:dyDescent="0.25">
      <c r="A6507" t="str">
        <f t="shared" si="2657"/>
        <v>04-08-2020 12:39:14</v>
      </c>
      <c r="B6507" t="str">
        <f>"0000804410"</f>
        <v>0000804410</v>
      </c>
      <c r="C6507" t="str">
        <f t="shared" si="2658"/>
        <v>0000804363</v>
      </c>
      <c r="D6507" t="str">
        <f t="shared" si="2645"/>
        <v>73185</v>
      </c>
      <c r="E6507" t="str">
        <f t="shared" si="2646"/>
        <v>KFH-OPERATIONS DEPARTMENT</v>
      </c>
      <c r="F6507" t="str">
        <f t="shared" si="2647"/>
        <v>IBG</v>
      </c>
      <c r="G6507" t="str">
        <f t="shared" si="2656"/>
        <v>Refund COSHARE 10</v>
      </c>
      <c r="H6507" s="2">
        <v>241</v>
      </c>
      <c r="I6507" t="str">
        <f>"KHRIUL AZIZI BIN KHALID"</f>
        <v>KHRIUL AZIZI BIN KHALID</v>
      </c>
      <c r="J6507" t="str">
        <f t="shared" si="2642"/>
        <v>CIMB BANK / CIMB ISLAMIC BANK</v>
      </c>
      <c r="K6507" t="str">
        <f>"07041086943522"</f>
        <v>07041086943522</v>
      </c>
      <c r="L6507" t="str">
        <f t="shared" ref="L6507:M6526" si="2663">"04-08-2020"</f>
        <v>04-08-2020</v>
      </c>
      <c r="M6507" t="str">
        <f t="shared" si="2663"/>
        <v>04-08-2020</v>
      </c>
      <c r="N6507" t="str">
        <f t="shared" si="2648"/>
        <v>001105018356</v>
      </c>
      <c r="O6507" t="str">
        <f t="shared" si="2649"/>
        <v>MYR</v>
      </c>
      <c r="P6507" t="str">
        <f t="shared" ref="P6507:Q6526" si="2664">"NIL"</f>
        <v>NIL</v>
      </c>
      <c r="Q6507" t="str">
        <f t="shared" si="2664"/>
        <v>NIL</v>
      </c>
      <c r="R6507" t="str">
        <f t="shared" si="2661"/>
        <v>Accepted</v>
      </c>
      <c r="S6507" t="str">
        <f t="shared" si="2650"/>
        <v>Approved</v>
      </c>
      <c r="T6507" t="str">
        <f t="shared" si="2662"/>
        <v>10.20.8.188</v>
      </c>
      <c r="U6507" t="str">
        <f t="shared" si="2651"/>
        <v>AZRAD UMAR BIN SHAARI</v>
      </c>
      <c r="V6507" t="str">
        <f t="shared" si="2652"/>
        <v>FARHANA BINTI MUSTAPA</v>
      </c>
      <c r="W6507" t="str">
        <f t="shared" si="2653"/>
        <v>04-08-2020</v>
      </c>
      <c r="X6507" t="str">
        <f t="shared" si="2654"/>
        <v>RAZIMAH ANSAR AHMAD</v>
      </c>
      <c r="Y6507" t="str">
        <f t="shared" si="2655"/>
        <v>04-08-2020</v>
      </c>
      <c r="Z6507" t="str">
        <f>"COS10200804 2647"</f>
        <v>COS10200804 2647</v>
      </c>
    </row>
    <row r="6508" spans="1:26" x14ac:dyDescent="0.25">
      <c r="A6508" t="str">
        <f t="shared" si="2657"/>
        <v>04-08-2020 12:39:14</v>
      </c>
      <c r="B6508" t="str">
        <f>"0000804409"</f>
        <v>0000804409</v>
      </c>
      <c r="C6508" t="str">
        <f t="shared" si="2658"/>
        <v>0000804363</v>
      </c>
      <c r="D6508" t="str">
        <f t="shared" si="2645"/>
        <v>73185</v>
      </c>
      <c r="E6508" t="str">
        <f t="shared" si="2646"/>
        <v>KFH-OPERATIONS DEPARTMENT</v>
      </c>
      <c r="F6508" t="str">
        <f t="shared" si="2647"/>
        <v>IBG</v>
      </c>
      <c r="G6508" t="str">
        <f t="shared" si="2656"/>
        <v>Refund COSHARE 10</v>
      </c>
      <c r="H6508" s="2">
        <v>319</v>
      </c>
      <c r="I6508" t="str">
        <f>"KHATIJAH BINTI HASSAN"</f>
        <v>KHATIJAH BINTI HASSAN</v>
      </c>
      <c r="J6508" t="str">
        <f t="shared" si="2642"/>
        <v>CIMB BANK / CIMB ISLAMIC BANK</v>
      </c>
      <c r="K6508" t="str">
        <f>"10090000353206"</f>
        <v>10090000353206</v>
      </c>
      <c r="L6508" t="str">
        <f t="shared" si="2663"/>
        <v>04-08-2020</v>
      </c>
      <c r="M6508" t="str">
        <f t="shared" si="2663"/>
        <v>04-08-2020</v>
      </c>
      <c r="N6508" t="str">
        <f t="shared" si="2648"/>
        <v>001105018356</v>
      </c>
      <c r="O6508" t="str">
        <f t="shared" si="2649"/>
        <v>MYR</v>
      </c>
      <c r="P6508" t="str">
        <f t="shared" si="2664"/>
        <v>NIL</v>
      </c>
      <c r="Q6508" t="str">
        <f t="shared" si="2664"/>
        <v>NIL</v>
      </c>
      <c r="R6508" t="str">
        <f t="shared" si="2661"/>
        <v>Accepted</v>
      </c>
      <c r="S6508" t="str">
        <f t="shared" si="2650"/>
        <v>Approved</v>
      </c>
      <c r="T6508" t="str">
        <f t="shared" si="2662"/>
        <v>10.20.8.188</v>
      </c>
      <c r="U6508" t="str">
        <f t="shared" si="2651"/>
        <v>AZRAD UMAR BIN SHAARI</v>
      </c>
      <c r="V6508" t="str">
        <f t="shared" si="2652"/>
        <v>FARHANA BINTI MUSTAPA</v>
      </c>
      <c r="W6508" t="str">
        <f t="shared" si="2653"/>
        <v>04-08-2020</v>
      </c>
      <c r="X6508" t="str">
        <f t="shared" si="2654"/>
        <v>RAZIMAH ANSAR AHMAD</v>
      </c>
      <c r="Y6508" t="str">
        <f t="shared" si="2655"/>
        <v>04-08-2020</v>
      </c>
      <c r="Z6508" t="str">
        <f>"COS10200804 2646"</f>
        <v>COS10200804 2646</v>
      </c>
    </row>
    <row r="6509" spans="1:26" x14ac:dyDescent="0.25">
      <c r="A6509" t="str">
        <f t="shared" si="2657"/>
        <v>04-08-2020 12:39:14</v>
      </c>
      <c r="B6509" t="str">
        <f>"0000804408"</f>
        <v>0000804408</v>
      </c>
      <c r="C6509" t="str">
        <f t="shared" si="2658"/>
        <v>0000804363</v>
      </c>
      <c r="D6509" t="str">
        <f t="shared" si="2645"/>
        <v>73185</v>
      </c>
      <c r="E6509" t="str">
        <f t="shared" si="2646"/>
        <v>KFH-OPERATIONS DEPARTMENT</v>
      </c>
      <c r="F6509" t="str">
        <f t="shared" si="2647"/>
        <v>IBG</v>
      </c>
      <c r="G6509" t="str">
        <f t="shared" si="2656"/>
        <v>Refund COSHARE 10</v>
      </c>
      <c r="H6509" s="2">
        <v>251.85</v>
      </c>
      <c r="I6509" t="str">
        <f>"KHAMISAH BINTI MD YUSOF"</f>
        <v>KHAMISAH BINTI MD YUSOF</v>
      </c>
      <c r="J6509" t="str">
        <f t="shared" si="2642"/>
        <v>CIMB BANK / CIMB ISLAMIC BANK</v>
      </c>
      <c r="K6509" t="str">
        <f>"12110015919522"</f>
        <v>12110015919522</v>
      </c>
      <c r="L6509" t="str">
        <f t="shared" si="2663"/>
        <v>04-08-2020</v>
      </c>
      <c r="M6509" t="str">
        <f t="shared" si="2663"/>
        <v>04-08-2020</v>
      </c>
      <c r="N6509" t="str">
        <f t="shared" si="2648"/>
        <v>001105018356</v>
      </c>
      <c r="O6509" t="str">
        <f t="shared" si="2649"/>
        <v>MYR</v>
      </c>
      <c r="P6509" t="str">
        <f t="shared" si="2664"/>
        <v>NIL</v>
      </c>
      <c r="Q6509" t="str">
        <f t="shared" si="2664"/>
        <v>NIL</v>
      </c>
      <c r="R6509" t="str">
        <f t="shared" si="2661"/>
        <v>Accepted</v>
      </c>
      <c r="S6509" t="str">
        <f t="shared" si="2650"/>
        <v>Approved</v>
      </c>
      <c r="T6509" t="str">
        <f t="shared" si="2662"/>
        <v>10.20.8.188</v>
      </c>
      <c r="U6509" t="str">
        <f t="shared" si="2651"/>
        <v>AZRAD UMAR BIN SHAARI</v>
      </c>
      <c r="V6509" t="str">
        <f t="shared" si="2652"/>
        <v>FARHANA BINTI MUSTAPA</v>
      </c>
      <c r="W6509" t="str">
        <f t="shared" si="2653"/>
        <v>04-08-2020</v>
      </c>
      <c r="X6509" t="str">
        <f t="shared" si="2654"/>
        <v>RAZIMAH ANSAR AHMAD</v>
      </c>
      <c r="Y6509" t="str">
        <f t="shared" si="2655"/>
        <v>04-08-2020</v>
      </c>
      <c r="Z6509" t="str">
        <f>"COS10200804 2645"</f>
        <v>COS10200804 2645</v>
      </c>
    </row>
    <row r="6510" spans="1:26" x14ac:dyDescent="0.25">
      <c r="A6510" t="str">
        <f t="shared" si="2657"/>
        <v>04-08-2020 12:39:14</v>
      </c>
      <c r="B6510" t="str">
        <f>"0000804407"</f>
        <v>0000804407</v>
      </c>
      <c r="C6510" t="str">
        <f t="shared" si="2658"/>
        <v>0000804363</v>
      </c>
      <c r="D6510" t="str">
        <f t="shared" si="2645"/>
        <v>73185</v>
      </c>
      <c r="E6510" t="str">
        <f t="shared" si="2646"/>
        <v>KFH-OPERATIONS DEPARTMENT</v>
      </c>
      <c r="F6510" t="str">
        <f t="shared" si="2647"/>
        <v>IBG</v>
      </c>
      <c r="G6510" t="str">
        <f t="shared" si="2656"/>
        <v>Refund COSHARE 10</v>
      </c>
      <c r="H6510" s="2">
        <v>1530.95</v>
      </c>
      <c r="I6510" t="str">
        <f>"KHALIL KHUSHARI BIN ZAINOL"</f>
        <v>KHALIL KHUSHARI BIN ZAINOL</v>
      </c>
      <c r="J6510" t="str">
        <f t="shared" si="2642"/>
        <v>CIMB BANK / CIMB ISLAMIC BANK</v>
      </c>
      <c r="K6510" t="str">
        <f>"05150021323525"</f>
        <v>05150021323525</v>
      </c>
      <c r="L6510" t="str">
        <f t="shared" si="2663"/>
        <v>04-08-2020</v>
      </c>
      <c r="M6510" t="str">
        <f t="shared" si="2663"/>
        <v>04-08-2020</v>
      </c>
      <c r="N6510" t="str">
        <f t="shared" si="2648"/>
        <v>001105018356</v>
      </c>
      <c r="O6510" t="str">
        <f t="shared" si="2649"/>
        <v>MYR</v>
      </c>
      <c r="P6510" t="str">
        <f t="shared" si="2664"/>
        <v>NIL</v>
      </c>
      <c r="Q6510" t="str">
        <f t="shared" si="2664"/>
        <v>NIL</v>
      </c>
      <c r="R6510" t="str">
        <f t="shared" si="2661"/>
        <v>Accepted</v>
      </c>
      <c r="S6510" t="str">
        <f t="shared" si="2650"/>
        <v>Approved</v>
      </c>
      <c r="T6510" t="str">
        <f t="shared" si="2662"/>
        <v>10.20.8.188</v>
      </c>
      <c r="U6510" t="str">
        <f t="shared" si="2651"/>
        <v>AZRAD UMAR BIN SHAARI</v>
      </c>
      <c r="V6510" t="str">
        <f t="shared" si="2652"/>
        <v>FARHANA BINTI MUSTAPA</v>
      </c>
      <c r="W6510" t="str">
        <f t="shared" si="2653"/>
        <v>04-08-2020</v>
      </c>
      <c r="X6510" t="str">
        <f t="shared" si="2654"/>
        <v>RAZIMAH ANSAR AHMAD</v>
      </c>
      <c r="Y6510" t="str">
        <f t="shared" si="2655"/>
        <v>04-08-2020</v>
      </c>
      <c r="Z6510" t="str">
        <f>"COS10200804 2644"</f>
        <v>COS10200804 2644</v>
      </c>
    </row>
    <row r="6511" spans="1:26" x14ac:dyDescent="0.25">
      <c r="A6511" t="str">
        <f t="shared" si="2657"/>
        <v>04-08-2020 12:39:14</v>
      </c>
      <c r="B6511" t="str">
        <f>"0000804406"</f>
        <v>0000804406</v>
      </c>
      <c r="C6511" t="str">
        <f t="shared" si="2658"/>
        <v>0000804363</v>
      </c>
      <c r="D6511" t="str">
        <f t="shared" si="2645"/>
        <v>73185</v>
      </c>
      <c r="E6511" t="str">
        <f t="shared" si="2646"/>
        <v>KFH-OPERATIONS DEPARTMENT</v>
      </c>
      <c r="F6511" t="str">
        <f t="shared" si="2647"/>
        <v>IBG</v>
      </c>
      <c r="G6511" t="str">
        <f t="shared" si="2656"/>
        <v>Refund COSHARE 10</v>
      </c>
      <c r="H6511" s="2">
        <v>1292.8499999999999</v>
      </c>
      <c r="I6511" t="str">
        <f>"KHALID BIN NULHADI"</f>
        <v>KHALID BIN NULHADI</v>
      </c>
      <c r="J6511" t="str">
        <f t="shared" si="2642"/>
        <v>CIMB BANK / CIMB ISLAMIC BANK</v>
      </c>
      <c r="K6511" t="str">
        <f>"7005286118"</f>
        <v>7005286118</v>
      </c>
      <c r="L6511" t="str">
        <f t="shared" si="2663"/>
        <v>04-08-2020</v>
      </c>
      <c r="M6511" t="str">
        <f t="shared" si="2663"/>
        <v>04-08-2020</v>
      </c>
      <c r="N6511" t="str">
        <f t="shared" si="2648"/>
        <v>001105018356</v>
      </c>
      <c r="O6511" t="str">
        <f t="shared" si="2649"/>
        <v>MYR</v>
      </c>
      <c r="P6511" t="str">
        <f t="shared" si="2664"/>
        <v>NIL</v>
      </c>
      <c r="Q6511" t="str">
        <f t="shared" si="2664"/>
        <v>NIL</v>
      </c>
      <c r="R6511" t="str">
        <f t="shared" si="2661"/>
        <v>Accepted</v>
      </c>
      <c r="S6511" t="str">
        <f t="shared" si="2650"/>
        <v>Approved</v>
      </c>
      <c r="T6511" t="str">
        <f t="shared" si="2662"/>
        <v>10.20.8.188</v>
      </c>
      <c r="U6511" t="str">
        <f t="shared" si="2651"/>
        <v>AZRAD UMAR BIN SHAARI</v>
      </c>
      <c r="V6511" t="str">
        <f t="shared" si="2652"/>
        <v>FARHANA BINTI MUSTAPA</v>
      </c>
      <c r="W6511" t="str">
        <f t="shared" si="2653"/>
        <v>04-08-2020</v>
      </c>
      <c r="X6511" t="str">
        <f t="shared" si="2654"/>
        <v>RAZIMAH ANSAR AHMAD</v>
      </c>
      <c r="Y6511" t="str">
        <f t="shared" si="2655"/>
        <v>04-08-2020</v>
      </c>
      <c r="Z6511" t="str">
        <f>"COS10200804 2643"</f>
        <v>COS10200804 2643</v>
      </c>
    </row>
    <row r="6512" spans="1:26" x14ac:dyDescent="0.25">
      <c r="A6512" t="str">
        <f t="shared" si="2657"/>
        <v>04-08-2020 12:39:14</v>
      </c>
      <c r="B6512" t="str">
        <f>"0000804405"</f>
        <v>0000804405</v>
      </c>
      <c r="C6512" t="str">
        <f t="shared" si="2658"/>
        <v>0000804363</v>
      </c>
      <c r="D6512" t="str">
        <f t="shared" si="2645"/>
        <v>73185</v>
      </c>
      <c r="E6512" t="str">
        <f t="shared" si="2646"/>
        <v>KFH-OPERATIONS DEPARTMENT</v>
      </c>
      <c r="F6512" t="str">
        <f t="shared" si="2647"/>
        <v>IBG</v>
      </c>
      <c r="G6512" t="str">
        <f t="shared" si="2656"/>
        <v>Refund COSHARE 10</v>
      </c>
      <c r="H6512" s="2">
        <v>1586.65</v>
      </c>
      <c r="I6512" t="str">
        <f>"KHAIRUZZIKRI BIN MUHAMAD ANUAR"</f>
        <v>KHAIRUZZIKRI BIN MUHAMAD ANUAR</v>
      </c>
      <c r="J6512" t="str">
        <f t="shared" si="2642"/>
        <v>CIMB BANK / CIMB ISLAMIC BANK</v>
      </c>
      <c r="K6512" t="str">
        <f>"01050106147520"</f>
        <v>01050106147520</v>
      </c>
      <c r="L6512" t="str">
        <f t="shared" si="2663"/>
        <v>04-08-2020</v>
      </c>
      <c r="M6512" t="str">
        <f t="shared" si="2663"/>
        <v>04-08-2020</v>
      </c>
      <c r="N6512" t="str">
        <f t="shared" si="2648"/>
        <v>001105018356</v>
      </c>
      <c r="O6512" t="str">
        <f t="shared" si="2649"/>
        <v>MYR</v>
      </c>
      <c r="P6512" t="str">
        <f t="shared" si="2664"/>
        <v>NIL</v>
      </c>
      <c r="Q6512" t="str">
        <f t="shared" si="2664"/>
        <v>NIL</v>
      </c>
      <c r="R6512" t="str">
        <f t="shared" si="2661"/>
        <v>Accepted</v>
      </c>
      <c r="S6512" t="str">
        <f t="shared" si="2650"/>
        <v>Approved</v>
      </c>
      <c r="T6512" t="str">
        <f t="shared" si="2662"/>
        <v>10.20.8.188</v>
      </c>
      <c r="U6512" t="str">
        <f t="shared" si="2651"/>
        <v>AZRAD UMAR BIN SHAARI</v>
      </c>
      <c r="V6512" t="str">
        <f t="shared" si="2652"/>
        <v>FARHANA BINTI MUSTAPA</v>
      </c>
      <c r="W6512" t="str">
        <f t="shared" si="2653"/>
        <v>04-08-2020</v>
      </c>
      <c r="X6512" t="str">
        <f t="shared" si="2654"/>
        <v>RAZIMAH ANSAR AHMAD</v>
      </c>
      <c r="Y6512" t="str">
        <f t="shared" si="2655"/>
        <v>04-08-2020</v>
      </c>
      <c r="Z6512" t="str">
        <f>"COS10200804 2642"</f>
        <v>COS10200804 2642</v>
      </c>
    </row>
    <row r="6513" spans="1:26" x14ac:dyDescent="0.25">
      <c r="A6513" t="str">
        <f t="shared" si="2657"/>
        <v>04-08-2020 12:39:14</v>
      </c>
      <c r="B6513" t="str">
        <f>"0000804404"</f>
        <v>0000804404</v>
      </c>
      <c r="C6513" t="str">
        <f t="shared" si="2658"/>
        <v>0000804363</v>
      </c>
      <c r="D6513" t="str">
        <f t="shared" si="2645"/>
        <v>73185</v>
      </c>
      <c r="E6513" t="str">
        <f t="shared" si="2646"/>
        <v>KFH-OPERATIONS DEPARTMENT</v>
      </c>
      <c r="F6513" t="str">
        <f t="shared" si="2647"/>
        <v>IBG</v>
      </c>
      <c r="G6513" t="str">
        <f t="shared" si="2656"/>
        <v>Refund COSHARE 10</v>
      </c>
      <c r="H6513" s="2">
        <v>706</v>
      </c>
      <c r="I6513" t="str">
        <f>"KHAIRUNNISA BINTI JADING  HARRIS"</f>
        <v>KHAIRUNNISA BINTI JADING  HARRIS</v>
      </c>
      <c r="J6513" t="str">
        <f t="shared" si="2642"/>
        <v>CIMB BANK / CIMB ISLAMIC BANK</v>
      </c>
      <c r="K6513" t="str">
        <f>"7626105644"</f>
        <v>7626105644</v>
      </c>
      <c r="L6513" t="str">
        <f t="shared" si="2663"/>
        <v>04-08-2020</v>
      </c>
      <c r="M6513" t="str">
        <f t="shared" si="2663"/>
        <v>04-08-2020</v>
      </c>
      <c r="N6513" t="str">
        <f t="shared" si="2648"/>
        <v>001105018356</v>
      </c>
      <c r="O6513" t="str">
        <f t="shared" si="2649"/>
        <v>MYR</v>
      </c>
      <c r="P6513" t="str">
        <f t="shared" si="2664"/>
        <v>NIL</v>
      </c>
      <c r="Q6513" t="str">
        <f t="shared" si="2664"/>
        <v>NIL</v>
      </c>
      <c r="R6513" t="str">
        <f t="shared" si="2661"/>
        <v>Accepted</v>
      </c>
      <c r="S6513" t="str">
        <f t="shared" si="2650"/>
        <v>Approved</v>
      </c>
      <c r="T6513" t="str">
        <f t="shared" si="2662"/>
        <v>10.20.8.188</v>
      </c>
      <c r="U6513" t="str">
        <f t="shared" si="2651"/>
        <v>AZRAD UMAR BIN SHAARI</v>
      </c>
      <c r="V6513" t="str">
        <f t="shared" si="2652"/>
        <v>FARHANA BINTI MUSTAPA</v>
      </c>
      <c r="W6513" t="str">
        <f t="shared" si="2653"/>
        <v>04-08-2020</v>
      </c>
      <c r="X6513" t="str">
        <f t="shared" si="2654"/>
        <v>RAZIMAH ANSAR AHMAD</v>
      </c>
      <c r="Y6513" t="str">
        <f t="shared" si="2655"/>
        <v>04-08-2020</v>
      </c>
      <c r="Z6513" t="str">
        <f>"COS10200804 2641"</f>
        <v>COS10200804 2641</v>
      </c>
    </row>
    <row r="6514" spans="1:26" x14ac:dyDescent="0.25">
      <c r="A6514" t="str">
        <f t="shared" ref="A6514:A6545" si="2665">"04-08-2020 12:39:14"</f>
        <v>04-08-2020 12:39:14</v>
      </c>
      <c r="B6514" t="str">
        <f>"0000804403"</f>
        <v>0000804403</v>
      </c>
      <c r="C6514" t="str">
        <f t="shared" ref="C6514:C6545" si="2666">"0000804363"</f>
        <v>0000804363</v>
      </c>
      <c r="D6514" t="str">
        <f t="shared" si="2645"/>
        <v>73185</v>
      </c>
      <c r="E6514" t="str">
        <f t="shared" si="2646"/>
        <v>KFH-OPERATIONS DEPARTMENT</v>
      </c>
      <c r="F6514" t="str">
        <f t="shared" si="2647"/>
        <v>IBG</v>
      </c>
      <c r="G6514" t="str">
        <f t="shared" si="2656"/>
        <v>Refund COSHARE 10</v>
      </c>
      <c r="H6514" s="2">
        <v>1473.5</v>
      </c>
      <c r="I6514" t="str">
        <f>"KHAIRUL NIZAM BIN OTHMAN"</f>
        <v>KHAIRUL NIZAM BIN OTHMAN</v>
      </c>
      <c r="J6514" t="str">
        <f t="shared" si="2642"/>
        <v>CIMB BANK / CIMB ISLAMIC BANK</v>
      </c>
      <c r="K6514" t="str">
        <f>"7017582886"</f>
        <v>7017582886</v>
      </c>
      <c r="L6514" t="str">
        <f t="shared" si="2663"/>
        <v>04-08-2020</v>
      </c>
      <c r="M6514" t="str">
        <f t="shared" si="2663"/>
        <v>04-08-2020</v>
      </c>
      <c r="N6514" t="str">
        <f t="shared" si="2648"/>
        <v>001105018356</v>
      </c>
      <c r="O6514" t="str">
        <f t="shared" si="2649"/>
        <v>MYR</v>
      </c>
      <c r="P6514" t="str">
        <f t="shared" si="2664"/>
        <v>NIL</v>
      </c>
      <c r="Q6514" t="str">
        <f t="shared" si="2664"/>
        <v>NIL</v>
      </c>
      <c r="R6514" t="str">
        <f t="shared" si="2661"/>
        <v>Accepted</v>
      </c>
      <c r="S6514" t="str">
        <f t="shared" si="2650"/>
        <v>Approved</v>
      </c>
      <c r="T6514" t="str">
        <f t="shared" si="2662"/>
        <v>10.20.8.188</v>
      </c>
      <c r="U6514" t="str">
        <f t="shared" si="2651"/>
        <v>AZRAD UMAR BIN SHAARI</v>
      </c>
      <c r="V6514" t="str">
        <f t="shared" si="2652"/>
        <v>FARHANA BINTI MUSTAPA</v>
      </c>
      <c r="W6514" t="str">
        <f t="shared" si="2653"/>
        <v>04-08-2020</v>
      </c>
      <c r="X6514" t="str">
        <f t="shared" si="2654"/>
        <v>RAZIMAH ANSAR AHMAD</v>
      </c>
      <c r="Y6514" t="str">
        <f t="shared" si="2655"/>
        <v>04-08-2020</v>
      </c>
      <c r="Z6514" t="str">
        <f>"COS10200804 2640"</f>
        <v>COS10200804 2640</v>
      </c>
    </row>
    <row r="6515" spans="1:26" x14ac:dyDescent="0.25">
      <c r="A6515" t="str">
        <f t="shared" si="2665"/>
        <v>04-08-2020 12:39:14</v>
      </c>
      <c r="B6515" t="str">
        <f>"0000804402"</f>
        <v>0000804402</v>
      </c>
      <c r="C6515" t="str">
        <f t="shared" si="2666"/>
        <v>0000804363</v>
      </c>
      <c r="D6515" t="str">
        <f t="shared" si="2645"/>
        <v>73185</v>
      </c>
      <c r="E6515" t="str">
        <f t="shared" si="2646"/>
        <v>KFH-OPERATIONS DEPARTMENT</v>
      </c>
      <c r="F6515" t="str">
        <f t="shared" si="2647"/>
        <v>IBG</v>
      </c>
      <c r="G6515" t="str">
        <f t="shared" si="2656"/>
        <v>Refund COSHARE 10</v>
      </c>
      <c r="H6515" s="2">
        <v>377.8</v>
      </c>
      <c r="I6515" t="str">
        <f>"KHAIRUL FATHI BIN ZAINAL ABIDIN"</f>
        <v>KHAIRUL FATHI BIN ZAINAL ABIDIN</v>
      </c>
      <c r="J6515" t="str">
        <f t="shared" si="2642"/>
        <v>CIMB BANK / CIMB ISLAMIC BANK</v>
      </c>
      <c r="K6515" t="str">
        <f>"06021501841528"</f>
        <v>06021501841528</v>
      </c>
      <c r="L6515" t="str">
        <f t="shared" si="2663"/>
        <v>04-08-2020</v>
      </c>
      <c r="M6515" t="str">
        <f t="shared" si="2663"/>
        <v>04-08-2020</v>
      </c>
      <c r="N6515" t="str">
        <f t="shared" si="2648"/>
        <v>001105018356</v>
      </c>
      <c r="O6515" t="str">
        <f t="shared" si="2649"/>
        <v>MYR</v>
      </c>
      <c r="P6515" t="str">
        <f t="shared" si="2664"/>
        <v>NIL</v>
      </c>
      <c r="Q6515" t="str">
        <f t="shared" si="2664"/>
        <v>NIL</v>
      </c>
      <c r="R6515" t="str">
        <f t="shared" si="2661"/>
        <v>Accepted</v>
      </c>
      <c r="S6515" t="str">
        <f t="shared" si="2650"/>
        <v>Approved</v>
      </c>
      <c r="T6515" t="str">
        <f t="shared" si="2662"/>
        <v>10.20.8.188</v>
      </c>
      <c r="U6515" t="str">
        <f t="shared" si="2651"/>
        <v>AZRAD UMAR BIN SHAARI</v>
      </c>
      <c r="V6515" t="str">
        <f t="shared" si="2652"/>
        <v>FARHANA BINTI MUSTAPA</v>
      </c>
      <c r="W6515" t="str">
        <f t="shared" si="2653"/>
        <v>04-08-2020</v>
      </c>
      <c r="X6515" t="str">
        <f t="shared" si="2654"/>
        <v>RAZIMAH ANSAR AHMAD</v>
      </c>
      <c r="Y6515" t="str">
        <f t="shared" si="2655"/>
        <v>04-08-2020</v>
      </c>
      <c r="Z6515" t="str">
        <f>"COS10200804 2639"</f>
        <v>COS10200804 2639</v>
      </c>
    </row>
    <row r="6516" spans="1:26" x14ac:dyDescent="0.25">
      <c r="A6516" t="str">
        <f t="shared" si="2665"/>
        <v>04-08-2020 12:39:14</v>
      </c>
      <c r="B6516" t="str">
        <f>"0000804401"</f>
        <v>0000804401</v>
      </c>
      <c r="C6516" t="str">
        <f t="shared" si="2666"/>
        <v>0000804363</v>
      </c>
      <c r="D6516" t="str">
        <f t="shared" si="2645"/>
        <v>73185</v>
      </c>
      <c r="E6516" t="str">
        <f t="shared" si="2646"/>
        <v>KFH-OPERATIONS DEPARTMENT</v>
      </c>
      <c r="F6516" t="str">
        <f t="shared" si="2647"/>
        <v>IBG</v>
      </c>
      <c r="G6516" t="str">
        <f t="shared" si="2656"/>
        <v>Refund COSHARE 10</v>
      </c>
      <c r="H6516" s="2">
        <v>722</v>
      </c>
      <c r="I6516" t="str">
        <f>"KHAIRUL BIN SADAT SADASIVAM"</f>
        <v>KHAIRUL BIN SADAT SADASIVAM</v>
      </c>
      <c r="J6516" t="str">
        <f t="shared" si="2642"/>
        <v>CIMB BANK / CIMB ISLAMIC BANK</v>
      </c>
      <c r="K6516" t="str">
        <f>"07140126399528"</f>
        <v>07140126399528</v>
      </c>
      <c r="L6516" t="str">
        <f t="shared" si="2663"/>
        <v>04-08-2020</v>
      </c>
      <c r="M6516" t="str">
        <f t="shared" si="2663"/>
        <v>04-08-2020</v>
      </c>
      <c r="N6516" t="str">
        <f t="shared" si="2648"/>
        <v>001105018356</v>
      </c>
      <c r="O6516" t="str">
        <f t="shared" si="2649"/>
        <v>MYR</v>
      </c>
      <c r="P6516" t="str">
        <f t="shared" si="2664"/>
        <v>NIL</v>
      </c>
      <c r="Q6516" t="str">
        <f t="shared" si="2664"/>
        <v>NIL</v>
      </c>
      <c r="R6516" t="str">
        <f t="shared" si="2661"/>
        <v>Accepted</v>
      </c>
      <c r="S6516" t="str">
        <f t="shared" si="2650"/>
        <v>Approved</v>
      </c>
      <c r="T6516" t="str">
        <f t="shared" si="2662"/>
        <v>10.20.8.188</v>
      </c>
      <c r="U6516" t="str">
        <f t="shared" si="2651"/>
        <v>AZRAD UMAR BIN SHAARI</v>
      </c>
      <c r="V6516" t="str">
        <f t="shared" si="2652"/>
        <v>FARHANA BINTI MUSTAPA</v>
      </c>
      <c r="W6516" t="str">
        <f t="shared" si="2653"/>
        <v>04-08-2020</v>
      </c>
      <c r="X6516" t="str">
        <f t="shared" si="2654"/>
        <v>RAZIMAH ANSAR AHMAD</v>
      </c>
      <c r="Y6516" t="str">
        <f t="shared" si="2655"/>
        <v>04-08-2020</v>
      </c>
      <c r="Z6516" t="str">
        <f>"COS10200804 2638"</f>
        <v>COS10200804 2638</v>
      </c>
    </row>
    <row r="6517" spans="1:26" x14ac:dyDescent="0.25">
      <c r="A6517" t="str">
        <f t="shared" si="2665"/>
        <v>04-08-2020 12:39:14</v>
      </c>
      <c r="B6517" t="str">
        <f>"0000804400"</f>
        <v>0000804400</v>
      </c>
      <c r="C6517" t="str">
        <f t="shared" si="2666"/>
        <v>0000804363</v>
      </c>
      <c r="D6517" t="str">
        <f t="shared" si="2645"/>
        <v>73185</v>
      </c>
      <c r="E6517" t="str">
        <f t="shared" si="2646"/>
        <v>KFH-OPERATIONS DEPARTMENT</v>
      </c>
      <c r="F6517" t="str">
        <f t="shared" si="2647"/>
        <v>IBG</v>
      </c>
      <c r="G6517" t="str">
        <f t="shared" si="2656"/>
        <v>Refund COSHARE 10</v>
      </c>
      <c r="H6517" s="2">
        <v>167.9</v>
      </c>
      <c r="I6517" t="str">
        <f>"KHAIRUL BARIAH BINTI HARUN"</f>
        <v>KHAIRUL BARIAH BINTI HARUN</v>
      </c>
      <c r="J6517" t="str">
        <f t="shared" si="2642"/>
        <v>CIMB BANK / CIMB ISLAMIC BANK</v>
      </c>
      <c r="K6517" t="str">
        <f>"01130072150528"</f>
        <v>01130072150528</v>
      </c>
      <c r="L6517" t="str">
        <f t="shared" si="2663"/>
        <v>04-08-2020</v>
      </c>
      <c r="M6517" t="str">
        <f t="shared" si="2663"/>
        <v>04-08-2020</v>
      </c>
      <c r="N6517" t="str">
        <f t="shared" si="2648"/>
        <v>001105018356</v>
      </c>
      <c r="O6517" t="str">
        <f t="shared" si="2649"/>
        <v>MYR</v>
      </c>
      <c r="P6517" t="str">
        <f t="shared" si="2664"/>
        <v>NIL</v>
      </c>
      <c r="Q6517" t="str">
        <f t="shared" si="2664"/>
        <v>NIL</v>
      </c>
      <c r="R6517" t="str">
        <f t="shared" si="2661"/>
        <v>Accepted</v>
      </c>
      <c r="S6517" t="str">
        <f t="shared" si="2650"/>
        <v>Approved</v>
      </c>
      <c r="T6517" t="str">
        <f t="shared" si="2662"/>
        <v>10.20.8.188</v>
      </c>
      <c r="U6517" t="str">
        <f t="shared" si="2651"/>
        <v>AZRAD UMAR BIN SHAARI</v>
      </c>
      <c r="V6517" t="str">
        <f t="shared" si="2652"/>
        <v>FARHANA BINTI MUSTAPA</v>
      </c>
      <c r="W6517" t="str">
        <f t="shared" si="2653"/>
        <v>04-08-2020</v>
      </c>
      <c r="X6517" t="str">
        <f t="shared" si="2654"/>
        <v>RAZIMAH ANSAR AHMAD</v>
      </c>
      <c r="Y6517" t="str">
        <f t="shared" si="2655"/>
        <v>04-08-2020</v>
      </c>
      <c r="Z6517" t="str">
        <f>"COS10200804 2637"</f>
        <v>COS10200804 2637</v>
      </c>
    </row>
    <row r="6518" spans="1:26" x14ac:dyDescent="0.25">
      <c r="A6518" t="str">
        <f t="shared" si="2665"/>
        <v>04-08-2020 12:39:14</v>
      </c>
      <c r="B6518" t="str">
        <f>"0000804399"</f>
        <v>0000804399</v>
      </c>
      <c r="C6518" t="str">
        <f t="shared" si="2666"/>
        <v>0000804363</v>
      </c>
      <c r="D6518" t="str">
        <f t="shared" si="2645"/>
        <v>73185</v>
      </c>
      <c r="E6518" t="str">
        <f t="shared" si="2646"/>
        <v>KFH-OPERATIONS DEPARTMENT</v>
      </c>
      <c r="F6518" t="str">
        <f t="shared" si="2647"/>
        <v>IBG</v>
      </c>
      <c r="G6518" t="str">
        <f t="shared" si="2656"/>
        <v>Refund COSHARE 10</v>
      </c>
      <c r="H6518" s="2">
        <v>839.5</v>
      </c>
      <c r="I6518" t="str">
        <f>"KHAIRUL AZWAN BIN ABDUL AZIS"</f>
        <v>KHAIRUL AZWAN BIN ABDUL AZIS</v>
      </c>
      <c r="J6518" t="str">
        <f t="shared" si="2642"/>
        <v>CIMB BANK / CIMB ISLAMIC BANK</v>
      </c>
      <c r="K6518" t="str">
        <f>"7024646801"</f>
        <v>7024646801</v>
      </c>
      <c r="L6518" t="str">
        <f t="shared" si="2663"/>
        <v>04-08-2020</v>
      </c>
      <c r="M6518" t="str">
        <f t="shared" si="2663"/>
        <v>04-08-2020</v>
      </c>
      <c r="N6518" t="str">
        <f t="shared" si="2648"/>
        <v>001105018356</v>
      </c>
      <c r="O6518" t="str">
        <f t="shared" si="2649"/>
        <v>MYR</v>
      </c>
      <c r="P6518" t="str">
        <f t="shared" si="2664"/>
        <v>NIL</v>
      </c>
      <c r="Q6518" t="str">
        <f t="shared" si="2664"/>
        <v>NIL</v>
      </c>
      <c r="R6518" t="str">
        <f t="shared" si="2661"/>
        <v>Accepted</v>
      </c>
      <c r="S6518" t="str">
        <f t="shared" si="2650"/>
        <v>Approved</v>
      </c>
      <c r="T6518" t="str">
        <f t="shared" si="2662"/>
        <v>10.20.8.188</v>
      </c>
      <c r="U6518" t="str">
        <f t="shared" si="2651"/>
        <v>AZRAD UMAR BIN SHAARI</v>
      </c>
      <c r="V6518" t="str">
        <f t="shared" si="2652"/>
        <v>FARHANA BINTI MUSTAPA</v>
      </c>
      <c r="W6518" t="str">
        <f t="shared" si="2653"/>
        <v>04-08-2020</v>
      </c>
      <c r="X6518" t="str">
        <f t="shared" si="2654"/>
        <v>RAZIMAH ANSAR AHMAD</v>
      </c>
      <c r="Y6518" t="str">
        <f t="shared" si="2655"/>
        <v>04-08-2020</v>
      </c>
      <c r="Z6518" t="str">
        <f>"COS10200804 2636"</f>
        <v>COS10200804 2636</v>
      </c>
    </row>
    <row r="6519" spans="1:26" x14ac:dyDescent="0.25">
      <c r="A6519" t="str">
        <f t="shared" si="2665"/>
        <v>04-08-2020 12:39:14</v>
      </c>
      <c r="B6519" t="str">
        <f>"0000804398"</f>
        <v>0000804398</v>
      </c>
      <c r="C6519" t="str">
        <f t="shared" si="2666"/>
        <v>0000804363</v>
      </c>
      <c r="D6519" t="str">
        <f t="shared" si="2645"/>
        <v>73185</v>
      </c>
      <c r="E6519" t="str">
        <f t="shared" si="2646"/>
        <v>KFH-OPERATIONS DEPARTMENT</v>
      </c>
      <c r="F6519" t="str">
        <f t="shared" si="2647"/>
        <v>IBG</v>
      </c>
      <c r="G6519" t="str">
        <f t="shared" si="2656"/>
        <v>Refund COSHARE 10</v>
      </c>
      <c r="H6519" s="2">
        <v>342</v>
      </c>
      <c r="I6519" t="str">
        <f>"KHAIRUL ANUAR BIN MOHD JUNUS"</f>
        <v>KHAIRUL ANUAR BIN MOHD JUNUS</v>
      </c>
      <c r="J6519" t="str">
        <f t="shared" si="2642"/>
        <v>CIMB BANK / CIMB ISLAMIC BANK</v>
      </c>
      <c r="K6519" t="str">
        <f>"7001042041"</f>
        <v>7001042041</v>
      </c>
      <c r="L6519" t="str">
        <f t="shared" si="2663"/>
        <v>04-08-2020</v>
      </c>
      <c r="M6519" t="str">
        <f t="shared" si="2663"/>
        <v>04-08-2020</v>
      </c>
      <c r="N6519" t="str">
        <f t="shared" si="2648"/>
        <v>001105018356</v>
      </c>
      <c r="O6519" t="str">
        <f t="shared" si="2649"/>
        <v>MYR</v>
      </c>
      <c r="P6519" t="str">
        <f t="shared" si="2664"/>
        <v>NIL</v>
      </c>
      <c r="Q6519" t="str">
        <f t="shared" si="2664"/>
        <v>NIL</v>
      </c>
      <c r="R6519" t="str">
        <f t="shared" si="2661"/>
        <v>Accepted</v>
      </c>
      <c r="S6519" t="str">
        <f t="shared" si="2650"/>
        <v>Approved</v>
      </c>
      <c r="T6519" t="str">
        <f t="shared" si="2662"/>
        <v>10.20.8.188</v>
      </c>
      <c r="U6519" t="str">
        <f t="shared" si="2651"/>
        <v>AZRAD UMAR BIN SHAARI</v>
      </c>
      <c r="V6519" t="str">
        <f t="shared" si="2652"/>
        <v>FARHANA BINTI MUSTAPA</v>
      </c>
      <c r="W6519" t="str">
        <f t="shared" si="2653"/>
        <v>04-08-2020</v>
      </c>
      <c r="X6519" t="str">
        <f t="shared" si="2654"/>
        <v>RAZIMAH ANSAR AHMAD</v>
      </c>
      <c r="Y6519" t="str">
        <f t="shared" si="2655"/>
        <v>04-08-2020</v>
      </c>
      <c r="Z6519" t="str">
        <f>"COS10200804 2635"</f>
        <v>COS10200804 2635</v>
      </c>
    </row>
    <row r="6520" spans="1:26" x14ac:dyDescent="0.25">
      <c r="A6520" t="str">
        <f t="shared" si="2665"/>
        <v>04-08-2020 12:39:14</v>
      </c>
      <c r="B6520" t="str">
        <f>"0000804397"</f>
        <v>0000804397</v>
      </c>
      <c r="C6520" t="str">
        <f t="shared" si="2666"/>
        <v>0000804363</v>
      </c>
      <c r="D6520" t="str">
        <f t="shared" si="2645"/>
        <v>73185</v>
      </c>
      <c r="E6520" t="str">
        <f t="shared" si="2646"/>
        <v>KFH-OPERATIONS DEPARTMENT</v>
      </c>
      <c r="F6520" t="str">
        <f t="shared" si="2647"/>
        <v>IBG</v>
      </c>
      <c r="G6520" t="str">
        <f t="shared" si="2656"/>
        <v>Refund COSHARE 10</v>
      </c>
      <c r="H6520" s="2">
        <v>134.35</v>
      </c>
      <c r="I6520" t="str">
        <f>"KHAIRUL ANIZAN BIN MAT ZIN"</f>
        <v>KHAIRUL ANIZAN BIN MAT ZIN</v>
      </c>
      <c r="J6520" t="str">
        <f t="shared" si="2642"/>
        <v>CIMB BANK / CIMB ISLAMIC BANK</v>
      </c>
      <c r="K6520" t="str">
        <f>"13030031633520"</f>
        <v>13030031633520</v>
      </c>
      <c r="L6520" t="str">
        <f t="shared" si="2663"/>
        <v>04-08-2020</v>
      </c>
      <c r="M6520" t="str">
        <f t="shared" si="2663"/>
        <v>04-08-2020</v>
      </c>
      <c r="N6520" t="str">
        <f t="shared" si="2648"/>
        <v>001105018356</v>
      </c>
      <c r="O6520" t="str">
        <f t="shared" si="2649"/>
        <v>MYR</v>
      </c>
      <c r="P6520" t="str">
        <f t="shared" si="2664"/>
        <v>NIL</v>
      </c>
      <c r="Q6520" t="str">
        <f t="shared" si="2664"/>
        <v>NIL</v>
      </c>
      <c r="R6520" t="str">
        <f t="shared" si="2661"/>
        <v>Accepted</v>
      </c>
      <c r="S6520" t="str">
        <f t="shared" si="2650"/>
        <v>Approved</v>
      </c>
      <c r="T6520" t="str">
        <f t="shared" si="2662"/>
        <v>10.20.8.188</v>
      </c>
      <c r="U6520" t="str">
        <f t="shared" si="2651"/>
        <v>AZRAD UMAR BIN SHAARI</v>
      </c>
      <c r="V6520" t="str">
        <f t="shared" si="2652"/>
        <v>FARHANA BINTI MUSTAPA</v>
      </c>
      <c r="W6520" t="str">
        <f t="shared" si="2653"/>
        <v>04-08-2020</v>
      </c>
      <c r="X6520" t="str">
        <f t="shared" si="2654"/>
        <v>RAZIMAH ANSAR AHMAD</v>
      </c>
      <c r="Y6520" t="str">
        <f t="shared" si="2655"/>
        <v>04-08-2020</v>
      </c>
      <c r="Z6520" t="str">
        <f>"COS10200804 2634"</f>
        <v>COS10200804 2634</v>
      </c>
    </row>
    <row r="6521" spans="1:26" x14ac:dyDescent="0.25">
      <c r="A6521" t="str">
        <f t="shared" si="2665"/>
        <v>04-08-2020 12:39:14</v>
      </c>
      <c r="B6521" t="str">
        <f>"0000804396"</f>
        <v>0000804396</v>
      </c>
      <c r="C6521" t="str">
        <f t="shared" si="2666"/>
        <v>0000804363</v>
      </c>
      <c r="D6521" t="str">
        <f t="shared" si="2645"/>
        <v>73185</v>
      </c>
      <c r="E6521" t="str">
        <f t="shared" si="2646"/>
        <v>KFH-OPERATIONS DEPARTMENT</v>
      </c>
      <c r="F6521" t="str">
        <f t="shared" si="2647"/>
        <v>IBG</v>
      </c>
      <c r="G6521" t="str">
        <f t="shared" si="2656"/>
        <v>Refund COSHARE 10</v>
      </c>
      <c r="H6521" s="2">
        <v>1290</v>
      </c>
      <c r="I6521" t="str">
        <f>"KHAIRUL ADHA BIN JAAFAR"</f>
        <v>KHAIRUL ADHA BIN JAAFAR</v>
      </c>
      <c r="J6521" t="str">
        <f t="shared" si="2642"/>
        <v>CIMB BANK / CIMB ISLAMIC BANK</v>
      </c>
      <c r="K6521" t="str">
        <f>"7048436430"</f>
        <v>7048436430</v>
      </c>
      <c r="L6521" t="str">
        <f t="shared" si="2663"/>
        <v>04-08-2020</v>
      </c>
      <c r="M6521" t="str">
        <f t="shared" si="2663"/>
        <v>04-08-2020</v>
      </c>
      <c r="N6521" t="str">
        <f t="shared" si="2648"/>
        <v>001105018356</v>
      </c>
      <c r="O6521" t="str">
        <f t="shared" si="2649"/>
        <v>MYR</v>
      </c>
      <c r="P6521" t="str">
        <f t="shared" si="2664"/>
        <v>NIL</v>
      </c>
      <c r="Q6521" t="str">
        <f t="shared" si="2664"/>
        <v>NIL</v>
      </c>
      <c r="R6521" t="str">
        <f t="shared" si="2661"/>
        <v>Accepted</v>
      </c>
      <c r="S6521" t="str">
        <f t="shared" si="2650"/>
        <v>Approved</v>
      </c>
      <c r="T6521" t="str">
        <f t="shared" si="2662"/>
        <v>10.20.8.188</v>
      </c>
      <c r="U6521" t="str">
        <f t="shared" si="2651"/>
        <v>AZRAD UMAR BIN SHAARI</v>
      </c>
      <c r="V6521" t="str">
        <f t="shared" si="2652"/>
        <v>FARHANA BINTI MUSTAPA</v>
      </c>
      <c r="W6521" t="str">
        <f t="shared" si="2653"/>
        <v>04-08-2020</v>
      </c>
      <c r="X6521" t="str">
        <f t="shared" si="2654"/>
        <v>RAZIMAH ANSAR AHMAD</v>
      </c>
      <c r="Y6521" t="str">
        <f t="shared" si="2655"/>
        <v>04-08-2020</v>
      </c>
      <c r="Z6521" t="str">
        <f>"COS10200804 2633"</f>
        <v>COS10200804 2633</v>
      </c>
    </row>
    <row r="6522" spans="1:26" x14ac:dyDescent="0.25">
      <c r="A6522" t="str">
        <f t="shared" si="2665"/>
        <v>04-08-2020 12:39:14</v>
      </c>
      <c r="B6522" t="str">
        <f>"0000804395"</f>
        <v>0000804395</v>
      </c>
      <c r="C6522" t="str">
        <f t="shared" si="2666"/>
        <v>0000804363</v>
      </c>
      <c r="D6522" t="str">
        <f t="shared" si="2645"/>
        <v>73185</v>
      </c>
      <c r="E6522" t="str">
        <f t="shared" si="2646"/>
        <v>KFH-OPERATIONS DEPARTMENT</v>
      </c>
      <c r="F6522" t="str">
        <f t="shared" si="2647"/>
        <v>IBG</v>
      </c>
      <c r="G6522" t="str">
        <f t="shared" si="2656"/>
        <v>Refund COSHARE 10</v>
      </c>
      <c r="H6522" s="2">
        <v>327</v>
      </c>
      <c r="I6522" t="str">
        <f>"KHAIRON AZRAM BIN MD RAMLI"</f>
        <v>KHAIRON AZRAM BIN MD RAMLI</v>
      </c>
      <c r="J6522" t="str">
        <f t="shared" si="2642"/>
        <v>CIMB BANK / CIMB ISLAMIC BANK</v>
      </c>
      <c r="K6522" t="str">
        <f>"16010001863203"</f>
        <v>16010001863203</v>
      </c>
      <c r="L6522" t="str">
        <f t="shared" si="2663"/>
        <v>04-08-2020</v>
      </c>
      <c r="M6522" t="str">
        <f t="shared" si="2663"/>
        <v>04-08-2020</v>
      </c>
      <c r="N6522" t="str">
        <f t="shared" si="2648"/>
        <v>001105018356</v>
      </c>
      <c r="O6522" t="str">
        <f t="shared" si="2649"/>
        <v>MYR</v>
      </c>
      <c r="P6522" t="str">
        <f t="shared" si="2664"/>
        <v>NIL</v>
      </c>
      <c r="Q6522" t="str">
        <f t="shared" si="2664"/>
        <v>NIL</v>
      </c>
      <c r="R6522" t="str">
        <f t="shared" si="2661"/>
        <v>Accepted</v>
      </c>
      <c r="S6522" t="str">
        <f t="shared" si="2650"/>
        <v>Approved</v>
      </c>
      <c r="T6522" t="str">
        <f t="shared" si="2662"/>
        <v>10.20.8.188</v>
      </c>
      <c r="U6522" t="str">
        <f t="shared" si="2651"/>
        <v>AZRAD UMAR BIN SHAARI</v>
      </c>
      <c r="V6522" t="str">
        <f t="shared" si="2652"/>
        <v>FARHANA BINTI MUSTAPA</v>
      </c>
      <c r="W6522" t="str">
        <f t="shared" si="2653"/>
        <v>04-08-2020</v>
      </c>
      <c r="X6522" t="str">
        <f t="shared" si="2654"/>
        <v>RAZIMAH ANSAR AHMAD</v>
      </c>
      <c r="Y6522" t="str">
        <f t="shared" si="2655"/>
        <v>04-08-2020</v>
      </c>
      <c r="Z6522" t="str">
        <f>"COS10200804 2632"</f>
        <v>COS10200804 2632</v>
      </c>
    </row>
    <row r="6523" spans="1:26" x14ac:dyDescent="0.25">
      <c r="A6523" t="str">
        <f t="shared" si="2665"/>
        <v>04-08-2020 12:39:14</v>
      </c>
      <c r="B6523" t="str">
        <f>"0000804394"</f>
        <v>0000804394</v>
      </c>
      <c r="C6523" t="str">
        <f t="shared" si="2666"/>
        <v>0000804363</v>
      </c>
      <c r="D6523" t="str">
        <f t="shared" si="2645"/>
        <v>73185</v>
      </c>
      <c r="E6523" t="str">
        <f t="shared" si="2646"/>
        <v>KFH-OPERATIONS DEPARTMENT</v>
      </c>
      <c r="F6523" t="str">
        <f t="shared" si="2647"/>
        <v>IBG</v>
      </c>
      <c r="G6523" t="str">
        <f t="shared" si="2656"/>
        <v>Refund COSHARE 10</v>
      </c>
      <c r="H6523" s="2">
        <v>193.1</v>
      </c>
      <c r="I6523" t="str">
        <f>"KHAIROL AZLAN BIN ISHAK"</f>
        <v>KHAIROL AZLAN BIN ISHAK</v>
      </c>
      <c r="J6523" t="str">
        <f t="shared" si="2642"/>
        <v>CIMB BANK / CIMB ISLAMIC BANK</v>
      </c>
      <c r="K6523" t="str">
        <f>"02130073574521"</f>
        <v>02130073574521</v>
      </c>
      <c r="L6523" t="str">
        <f t="shared" si="2663"/>
        <v>04-08-2020</v>
      </c>
      <c r="M6523" t="str">
        <f t="shared" si="2663"/>
        <v>04-08-2020</v>
      </c>
      <c r="N6523" t="str">
        <f t="shared" si="2648"/>
        <v>001105018356</v>
      </c>
      <c r="O6523" t="str">
        <f t="shared" si="2649"/>
        <v>MYR</v>
      </c>
      <c r="P6523" t="str">
        <f t="shared" si="2664"/>
        <v>NIL</v>
      </c>
      <c r="Q6523" t="str">
        <f t="shared" si="2664"/>
        <v>NIL</v>
      </c>
      <c r="R6523" t="str">
        <f t="shared" si="2661"/>
        <v>Accepted</v>
      </c>
      <c r="S6523" t="str">
        <f t="shared" si="2650"/>
        <v>Approved</v>
      </c>
      <c r="T6523" t="str">
        <f t="shared" si="2662"/>
        <v>10.20.8.188</v>
      </c>
      <c r="U6523" t="str">
        <f t="shared" si="2651"/>
        <v>AZRAD UMAR BIN SHAARI</v>
      </c>
      <c r="V6523" t="str">
        <f t="shared" si="2652"/>
        <v>FARHANA BINTI MUSTAPA</v>
      </c>
      <c r="W6523" t="str">
        <f t="shared" si="2653"/>
        <v>04-08-2020</v>
      </c>
      <c r="X6523" t="str">
        <f t="shared" si="2654"/>
        <v>RAZIMAH ANSAR AHMAD</v>
      </c>
      <c r="Y6523" t="str">
        <f t="shared" si="2655"/>
        <v>04-08-2020</v>
      </c>
      <c r="Z6523" t="str">
        <f>"COS10200804 2631"</f>
        <v>COS10200804 2631</v>
      </c>
    </row>
    <row r="6524" spans="1:26" x14ac:dyDescent="0.25">
      <c r="A6524" t="str">
        <f t="shared" si="2665"/>
        <v>04-08-2020 12:39:14</v>
      </c>
      <c r="B6524" t="str">
        <f>"0000804393"</f>
        <v>0000804393</v>
      </c>
      <c r="C6524" t="str">
        <f t="shared" si="2666"/>
        <v>0000804363</v>
      </c>
      <c r="D6524" t="str">
        <f t="shared" si="2645"/>
        <v>73185</v>
      </c>
      <c r="E6524" t="str">
        <f t="shared" si="2646"/>
        <v>KFH-OPERATIONS DEPARTMENT</v>
      </c>
      <c r="F6524" t="str">
        <f t="shared" si="2647"/>
        <v>IBG</v>
      </c>
      <c r="G6524" t="str">
        <f t="shared" si="2656"/>
        <v>Refund COSHARE 10</v>
      </c>
      <c r="H6524" s="2">
        <v>243</v>
      </c>
      <c r="I6524" t="str">
        <f>"KHAIRIYAH BINTI BUJANG"</f>
        <v>KHAIRIYAH BINTI BUJANG</v>
      </c>
      <c r="J6524" t="str">
        <f t="shared" ref="J6524:J6587" si="2667">"CIMB BANK / CIMB ISLAMIC BANK"</f>
        <v>CIMB BANK / CIMB ISLAMIC BANK</v>
      </c>
      <c r="K6524" t="str">
        <f>"11050078035523"</f>
        <v>11050078035523</v>
      </c>
      <c r="L6524" t="str">
        <f t="shared" si="2663"/>
        <v>04-08-2020</v>
      </c>
      <c r="M6524" t="str">
        <f t="shared" si="2663"/>
        <v>04-08-2020</v>
      </c>
      <c r="N6524" t="str">
        <f t="shared" si="2648"/>
        <v>001105018356</v>
      </c>
      <c r="O6524" t="str">
        <f t="shared" si="2649"/>
        <v>MYR</v>
      </c>
      <c r="P6524" t="str">
        <f t="shared" si="2664"/>
        <v>NIL</v>
      </c>
      <c r="Q6524" t="str">
        <f t="shared" si="2664"/>
        <v>NIL</v>
      </c>
      <c r="R6524" t="str">
        <f t="shared" si="2661"/>
        <v>Accepted</v>
      </c>
      <c r="S6524" t="str">
        <f t="shared" si="2650"/>
        <v>Approved</v>
      </c>
      <c r="T6524" t="str">
        <f t="shared" si="2662"/>
        <v>10.20.8.188</v>
      </c>
      <c r="U6524" t="str">
        <f t="shared" si="2651"/>
        <v>AZRAD UMAR BIN SHAARI</v>
      </c>
      <c r="V6524" t="str">
        <f t="shared" si="2652"/>
        <v>FARHANA BINTI MUSTAPA</v>
      </c>
      <c r="W6524" t="str">
        <f t="shared" si="2653"/>
        <v>04-08-2020</v>
      </c>
      <c r="X6524" t="str">
        <f t="shared" si="2654"/>
        <v>RAZIMAH ANSAR AHMAD</v>
      </c>
      <c r="Y6524" t="str">
        <f t="shared" si="2655"/>
        <v>04-08-2020</v>
      </c>
      <c r="Z6524" t="str">
        <f>"COS10200804 2630"</f>
        <v>COS10200804 2630</v>
      </c>
    </row>
    <row r="6525" spans="1:26" x14ac:dyDescent="0.25">
      <c r="A6525" t="str">
        <f t="shared" si="2665"/>
        <v>04-08-2020 12:39:14</v>
      </c>
      <c r="B6525" t="str">
        <f>"0000804392"</f>
        <v>0000804392</v>
      </c>
      <c r="C6525" t="str">
        <f t="shared" si="2666"/>
        <v>0000804363</v>
      </c>
      <c r="D6525" t="str">
        <f t="shared" si="2645"/>
        <v>73185</v>
      </c>
      <c r="E6525" t="str">
        <f t="shared" si="2646"/>
        <v>KFH-OPERATIONS DEPARTMENT</v>
      </c>
      <c r="F6525" t="str">
        <f t="shared" si="2647"/>
        <v>IBG</v>
      </c>
      <c r="G6525" t="str">
        <f t="shared" si="2656"/>
        <v>Refund COSHARE 10</v>
      </c>
      <c r="H6525" s="2">
        <v>419.75</v>
      </c>
      <c r="I6525" t="str">
        <f>"KHAIRIL FADLI BIN IBRAHIM"</f>
        <v>KHAIRIL FADLI BIN IBRAHIM</v>
      </c>
      <c r="J6525" t="str">
        <f t="shared" si="2667"/>
        <v>CIMB BANK / CIMB ISLAMIC BANK</v>
      </c>
      <c r="K6525" t="str">
        <f>"7003953024"</f>
        <v>7003953024</v>
      </c>
      <c r="L6525" t="str">
        <f t="shared" si="2663"/>
        <v>04-08-2020</v>
      </c>
      <c r="M6525" t="str">
        <f t="shared" si="2663"/>
        <v>04-08-2020</v>
      </c>
      <c r="N6525" t="str">
        <f t="shared" si="2648"/>
        <v>001105018356</v>
      </c>
      <c r="O6525" t="str">
        <f t="shared" si="2649"/>
        <v>MYR</v>
      </c>
      <c r="P6525" t="str">
        <f t="shared" si="2664"/>
        <v>NIL</v>
      </c>
      <c r="Q6525" t="str">
        <f t="shared" si="2664"/>
        <v>NIL</v>
      </c>
      <c r="R6525" t="str">
        <f t="shared" si="2661"/>
        <v>Accepted</v>
      </c>
      <c r="S6525" t="str">
        <f t="shared" si="2650"/>
        <v>Approved</v>
      </c>
      <c r="T6525" t="str">
        <f t="shared" si="2662"/>
        <v>10.20.8.188</v>
      </c>
      <c r="U6525" t="str">
        <f t="shared" si="2651"/>
        <v>AZRAD UMAR BIN SHAARI</v>
      </c>
      <c r="V6525" t="str">
        <f t="shared" si="2652"/>
        <v>FARHANA BINTI MUSTAPA</v>
      </c>
      <c r="W6525" t="str">
        <f t="shared" si="2653"/>
        <v>04-08-2020</v>
      </c>
      <c r="X6525" t="str">
        <f t="shared" si="2654"/>
        <v>RAZIMAH ANSAR AHMAD</v>
      </c>
      <c r="Y6525" t="str">
        <f t="shared" si="2655"/>
        <v>04-08-2020</v>
      </c>
      <c r="Z6525" t="str">
        <f>"COS10200804 2629"</f>
        <v>COS10200804 2629</v>
      </c>
    </row>
    <row r="6526" spans="1:26" x14ac:dyDescent="0.25">
      <c r="A6526" t="str">
        <f t="shared" si="2665"/>
        <v>04-08-2020 12:39:14</v>
      </c>
      <c r="B6526" t="str">
        <f>"0000804391"</f>
        <v>0000804391</v>
      </c>
      <c r="C6526" t="str">
        <f t="shared" si="2666"/>
        <v>0000804363</v>
      </c>
      <c r="D6526" t="str">
        <f t="shared" si="2645"/>
        <v>73185</v>
      </c>
      <c r="E6526" t="str">
        <f t="shared" si="2646"/>
        <v>KFH-OPERATIONS DEPARTMENT</v>
      </c>
      <c r="F6526" t="str">
        <f t="shared" si="2647"/>
        <v>IBG</v>
      </c>
      <c r="G6526" t="str">
        <f t="shared" si="2656"/>
        <v>Refund COSHARE 10</v>
      </c>
      <c r="H6526" s="2">
        <v>125.95</v>
      </c>
      <c r="I6526" t="str">
        <f>"KERESTILINE BINTI ANTHONY LUPAK"</f>
        <v>KERESTILINE BINTI ANTHONY LUPAK</v>
      </c>
      <c r="J6526" t="str">
        <f t="shared" si="2667"/>
        <v>CIMB BANK / CIMB ISLAMIC BANK</v>
      </c>
      <c r="K6526" t="str">
        <f>"10040040622524"</f>
        <v>10040040622524</v>
      </c>
      <c r="L6526" t="str">
        <f t="shared" si="2663"/>
        <v>04-08-2020</v>
      </c>
      <c r="M6526" t="str">
        <f t="shared" si="2663"/>
        <v>04-08-2020</v>
      </c>
      <c r="N6526" t="str">
        <f t="shared" si="2648"/>
        <v>001105018356</v>
      </c>
      <c r="O6526" t="str">
        <f t="shared" si="2649"/>
        <v>MYR</v>
      </c>
      <c r="P6526" t="str">
        <f t="shared" si="2664"/>
        <v>NIL</v>
      </c>
      <c r="Q6526" t="str">
        <f t="shared" si="2664"/>
        <v>NIL</v>
      </c>
      <c r="R6526" t="str">
        <f t="shared" si="2661"/>
        <v>Accepted</v>
      </c>
      <c r="S6526" t="str">
        <f t="shared" si="2650"/>
        <v>Approved</v>
      </c>
      <c r="T6526" t="str">
        <f t="shared" si="2662"/>
        <v>10.20.8.188</v>
      </c>
      <c r="U6526" t="str">
        <f t="shared" si="2651"/>
        <v>AZRAD UMAR BIN SHAARI</v>
      </c>
      <c r="V6526" t="str">
        <f t="shared" si="2652"/>
        <v>FARHANA BINTI MUSTAPA</v>
      </c>
      <c r="W6526" t="str">
        <f t="shared" si="2653"/>
        <v>04-08-2020</v>
      </c>
      <c r="X6526" t="str">
        <f t="shared" si="2654"/>
        <v>RAZIMAH ANSAR AHMAD</v>
      </c>
      <c r="Y6526" t="str">
        <f t="shared" si="2655"/>
        <v>04-08-2020</v>
      </c>
      <c r="Z6526" t="str">
        <f>"COS10200804 2628"</f>
        <v>COS10200804 2628</v>
      </c>
    </row>
    <row r="6527" spans="1:26" x14ac:dyDescent="0.25">
      <c r="A6527" t="str">
        <f t="shared" si="2665"/>
        <v>04-08-2020 12:39:14</v>
      </c>
      <c r="B6527" t="str">
        <f>"0000804390"</f>
        <v>0000804390</v>
      </c>
      <c r="C6527" t="str">
        <f t="shared" si="2666"/>
        <v>0000804363</v>
      </c>
      <c r="D6527" t="str">
        <f t="shared" si="2645"/>
        <v>73185</v>
      </c>
      <c r="E6527" t="str">
        <f t="shared" si="2646"/>
        <v>KFH-OPERATIONS DEPARTMENT</v>
      </c>
      <c r="F6527" t="str">
        <f t="shared" si="2647"/>
        <v>IBG</v>
      </c>
      <c r="G6527" t="str">
        <f t="shared" si="2656"/>
        <v>Refund COSHARE 10</v>
      </c>
      <c r="H6527" s="2">
        <v>1091.3499999999999</v>
      </c>
      <c r="I6527" t="str">
        <f>"KENNEDY BIN DAVID"</f>
        <v>KENNEDY BIN DAVID</v>
      </c>
      <c r="J6527" t="str">
        <f t="shared" si="2667"/>
        <v>CIMB BANK / CIMB ISLAMIC BANK</v>
      </c>
      <c r="K6527" t="str">
        <f>"7009414309"</f>
        <v>7009414309</v>
      </c>
      <c r="L6527" t="str">
        <f t="shared" ref="L6527:M6546" si="2668">"04-08-2020"</f>
        <v>04-08-2020</v>
      </c>
      <c r="M6527" t="str">
        <f t="shared" si="2668"/>
        <v>04-08-2020</v>
      </c>
      <c r="N6527" t="str">
        <f t="shared" si="2648"/>
        <v>001105018356</v>
      </c>
      <c r="O6527" t="str">
        <f t="shared" si="2649"/>
        <v>MYR</v>
      </c>
      <c r="P6527" t="str">
        <f t="shared" ref="P6527:Q6546" si="2669">"NIL"</f>
        <v>NIL</v>
      </c>
      <c r="Q6527" t="str">
        <f t="shared" si="2669"/>
        <v>NIL</v>
      </c>
      <c r="R6527" t="str">
        <f t="shared" si="2661"/>
        <v>Accepted</v>
      </c>
      <c r="S6527" t="str">
        <f t="shared" si="2650"/>
        <v>Approved</v>
      </c>
      <c r="T6527" t="str">
        <f t="shared" si="2662"/>
        <v>10.20.8.188</v>
      </c>
      <c r="U6527" t="str">
        <f t="shared" si="2651"/>
        <v>AZRAD UMAR BIN SHAARI</v>
      </c>
      <c r="V6527" t="str">
        <f t="shared" si="2652"/>
        <v>FARHANA BINTI MUSTAPA</v>
      </c>
      <c r="W6527" t="str">
        <f t="shared" si="2653"/>
        <v>04-08-2020</v>
      </c>
      <c r="X6527" t="str">
        <f t="shared" si="2654"/>
        <v>RAZIMAH ANSAR AHMAD</v>
      </c>
      <c r="Y6527" t="str">
        <f t="shared" si="2655"/>
        <v>04-08-2020</v>
      </c>
      <c r="Z6527" t="str">
        <f>"COS10200804 2627"</f>
        <v>COS10200804 2627</v>
      </c>
    </row>
    <row r="6528" spans="1:26" x14ac:dyDescent="0.25">
      <c r="A6528" t="str">
        <f t="shared" si="2665"/>
        <v>04-08-2020 12:39:14</v>
      </c>
      <c r="B6528" t="str">
        <f>"0000804389"</f>
        <v>0000804389</v>
      </c>
      <c r="C6528" t="str">
        <f t="shared" si="2666"/>
        <v>0000804363</v>
      </c>
      <c r="D6528" t="str">
        <f t="shared" si="2645"/>
        <v>73185</v>
      </c>
      <c r="E6528" t="str">
        <f t="shared" si="2646"/>
        <v>KFH-OPERATIONS DEPARTMENT</v>
      </c>
      <c r="F6528" t="str">
        <f t="shared" si="2647"/>
        <v>IBG</v>
      </c>
      <c r="G6528" t="str">
        <f t="shared" si="2656"/>
        <v>Refund COSHARE 10</v>
      </c>
      <c r="H6528" s="2">
        <v>712</v>
      </c>
      <c r="I6528" t="str">
        <f>"KATHERINE KAWAYAN"</f>
        <v>KATHERINE KAWAYAN</v>
      </c>
      <c r="J6528" t="str">
        <f t="shared" si="2667"/>
        <v>CIMB BANK / CIMB ISLAMIC BANK</v>
      </c>
      <c r="K6528" t="str">
        <f>"7038891679"</f>
        <v>7038891679</v>
      </c>
      <c r="L6528" t="str">
        <f t="shared" si="2668"/>
        <v>04-08-2020</v>
      </c>
      <c r="M6528" t="str">
        <f t="shared" si="2668"/>
        <v>04-08-2020</v>
      </c>
      <c r="N6528" t="str">
        <f t="shared" si="2648"/>
        <v>001105018356</v>
      </c>
      <c r="O6528" t="str">
        <f t="shared" si="2649"/>
        <v>MYR</v>
      </c>
      <c r="P6528" t="str">
        <f t="shared" si="2669"/>
        <v>NIL</v>
      </c>
      <c r="Q6528" t="str">
        <f t="shared" si="2669"/>
        <v>NIL</v>
      </c>
      <c r="R6528" t="str">
        <f t="shared" si="2661"/>
        <v>Accepted</v>
      </c>
      <c r="S6528" t="str">
        <f t="shared" si="2650"/>
        <v>Approved</v>
      </c>
      <c r="T6528" t="str">
        <f t="shared" si="2662"/>
        <v>10.20.8.188</v>
      </c>
      <c r="U6528" t="str">
        <f t="shared" si="2651"/>
        <v>AZRAD UMAR BIN SHAARI</v>
      </c>
      <c r="V6528" t="str">
        <f t="shared" si="2652"/>
        <v>FARHANA BINTI MUSTAPA</v>
      </c>
      <c r="W6528" t="str">
        <f t="shared" si="2653"/>
        <v>04-08-2020</v>
      </c>
      <c r="X6528" t="str">
        <f t="shared" si="2654"/>
        <v>RAZIMAH ANSAR AHMAD</v>
      </c>
      <c r="Y6528" t="str">
        <f t="shared" si="2655"/>
        <v>04-08-2020</v>
      </c>
      <c r="Z6528" t="str">
        <f>"COS10200804 2626"</f>
        <v>COS10200804 2626</v>
      </c>
    </row>
    <row r="6529" spans="1:26" x14ac:dyDescent="0.25">
      <c r="A6529" t="str">
        <f t="shared" si="2665"/>
        <v>04-08-2020 12:39:14</v>
      </c>
      <c r="B6529" t="str">
        <f>"0000804388"</f>
        <v>0000804388</v>
      </c>
      <c r="C6529" t="str">
        <f t="shared" si="2666"/>
        <v>0000804363</v>
      </c>
      <c r="D6529" t="str">
        <f t="shared" si="2645"/>
        <v>73185</v>
      </c>
      <c r="E6529" t="str">
        <f t="shared" si="2646"/>
        <v>KFH-OPERATIONS DEPARTMENT</v>
      </c>
      <c r="F6529" t="str">
        <f t="shared" si="2647"/>
        <v>IBG</v>
      </c>
      <c r="G6529" t="str">
        <f t="shared" si="2656"/>
        <v>Refund COSHARE 10</v>
      </c>
      <c r="H6529" s="2">
        <v>1524.45</v>
      </c>
      <c r="I6529" t="str">
        <f>"KASRAN BIN MAT JIDDIN"</f>
        <v>KASRAN BIN MAT JIDDIN</v>
      </c>
      <c r="J6529" t="str">
        <f t="shared" si="2667"/>
        <v>CIMB BANK / CIMB ISLAMIC BANK</v>
      </c>
      <c r="K6529" t="str">
        <f>"08170068371521"</f>
        <v>08170068371521</v>
      </c>
      <c r="L6529" t="str">
        <f t="shared" si="2668"/>
        <v>04-08-2020</v>
      </c>
      <c r="M6529" t="str">
        <f t="shared" si="2668"/>
        <v>04-08-2020</v>
      </c>
      <c r="N6529" t="str">
        <f t="shared" si="2648"/>
        <v>001105018356</v>
      </c>
      <c r="O6529" t="str">
        <f t="shared" si="2649"/>
        <v>MYR</v>
      </c>
      <c r="P6529" t="str">
        <f t="shared" si="2669"/>
        <v>NIL</v>
      </c>
      <c r="Q6529" t="str">
        <f t="shared" si="2669"/>
        <v>NIL</v>
      </c>
      <c r="R6529" t="str">
        <f t="shared" si="2661"/>
        <v>Accepted</v>
      </c>
      <c r="S6529" t="str">
        <f t="shared" si="2650"/>
        <v>Approved</v>
      </c>
      <c r="T6529" t="str">
        <f t="shared" si="2662"/>
        <v>10.20.8.188</v>
      </c>
      <c r="U6529" t="str">
        <f t="shared" si="2651"/>
        <v>AZRAD UMAR BIN SHAARI</v>
      </c>
      <c r="V6529" t="str">
        <f t="shared" si="2652"/>
        <v>FARHANA BINTI MUSTAPA</v>
      </c>
      <c r="W6529" t="str">
        <f t="shared" si="2653"/>
        <v>04-08-2020</v>
      </c>
      <c r="X6529" t="str">
        <f t="shared" si="2654"/>
        <v>RAZIMAH ANSAR AHMAD</v>
      </c>
      <c r="Y6529" t="str">
        <f t="shared" si="2655"/>
        <v>04-08-2020</v>
      </c>
      <c r="Z6529" t="str">
        <f>"COS10200804 2625"</f>
        <v>COS10200804 2625</v>
      </c>
    </row>
    <row r="6530" spans="1:26" x14ac:dyDescent="0.25">
      <c r="A6530" t="str">
        <f t="shared" si="2665"/>
        <v>04-08-2020 12:39:14</v>
      </c>
      <c r="B6530" t="str">
        <f>"0000804387"</f>
        <v>0000804387</v>
      </c>
      <c r="C6530" t="str">
        <f t="shared" si="2666"/>
        <v>0000804363</v>
      </c>
      <c r="D6530" t="str">
        <f t="shared" si="2645"/>
        <v>73185</v>
      </c>
      <c r="E6530" t="str">
        <f t="shared" si="2646"/>
        <v>KFH-OPERATIONS DEPARTMENT</v>
      </c>
      <c r="F6530" t="str">
        <f t="shared" si="2647"/>
        <v>IBG</v>
      </c>
      <c r="G6530" t="str">
        <f t="shared" si="2656"/>
        <v>Refund COSHARE 10</v>
      </c>
      <c r="H6530" s="2">
        <v>589.4</v>
      </c>
      <c r="I6530" t="str">
        <f>"KARTINI BINTI ABDUL  MUTALIB"</f>
        <v>KARTINI BINTI ABDUL  MUTALIB</v>
      </c>
      <c r="J6530" t="str">
        <f t="shared" si="2667"/>
        <v>CIMB BANK / CIMB ISLAMIC BANK</v>
      </c>
      <c r="K6530" t="str">
        <f>"12150069246526"</f>
        <v>12150069246526</v>
      </c>
      <c r="L6530" t="str">
        <f t="shared" si="2668"/>
        <v>04-08-2020</v>
      </c>
      <c r="M6530" t="str">
        <f t="shared" si="2668"/>
        <v>04-08-2020</v>
      </c>
      <c r="N6530" t="str">
        <f t="shared" si="2648"/>
        <v>001105018356</v>
      </c>
      <c r="O6530" t="str">
        <f t="shared" si="2649"/>
        <v>MYR</v>
      </c>
      <c r="P6530" t="str">
        <f t="shared" si="2669"/>
        <v>NIL</v>
      </c>
      <c r="Q6530" t="str">
        <f t="shared" si="2669"/>
        <v>NIL</v>
      </c>
      <c r="R6530" t="str">
        <f t="shared" si="2661"/>
        <v>Accepted</v>
      </c>
      <c r="S6530" t="str">
        <f t="shared" si="2650"/>
        <v>Approved</v>
      </c>
      <c r="T6530" t="str">
        <f t="shared" si="2662"/>
        <v>10.20.8.188</v>
      </c>
      <c r="U6530" t="str">
        <f t="shared" si="2651"/>
        <v>AZRAD UMAR BIN SHAARI</v>
      </c>
      <c r="V6530" t="str">
        <f t="shared" si="2652"/>
        <v>FARHANA BINTI MUSTAPA</v>
      </c>
      <c r="W6530" t="str">
        <f t="shared" si="2653"/>
        <v>04-08-2020</v>
      </c>
      <c r="X6530" t="str">
        <f t="shared" si="2654"/>
        <v>RAZIMAH ANSAR AHMAD</v>
      </c>
      <c r="Y6530" t="str">
        <f t="shared" si="2655"/>
        <v>04-08-2020</v>
      </c>
      <c r="Z6530" t="str">
        <f>"COS10200804 2624"</f>
        <v>COS10200804 2624</v>
      </c>
    </row>
    <row r="6531" spans="1:26" x14ac:dyDescent="0.25">
      <c r="A6531" t="str">
        <f t="shared" si="2665"/>
        <v>04-08-2020 12:39:14</v>
      </c>
      <c r="B6531" t="str">
        <f>"0000804386"</f>
        <v>0000804386</v>
      </c>
      <c r="C6531" t="str">
        <f t="shared" si="2666"/>
        <v>0000804363</v>
      </c>
      <c r="D6531" t="str">
        <f t="shared" si="2645"/>
        <v>73185</v>
      </c>
      <c r="E6531" t="str">
        <f t="shared" si="2646"/>
        <v>KFH-OPERATIONS DEPARTMENT</v>
      </c>
      <c r="F6531" t="str">
        <f t="shared" si="2647"/>
        <v>IBG</v>
      </c>
      <c r="G6531" t="str">
        <f t="shared" si="2656"/>
        <v>Refund COSHARE 10</v>
      </c>
      <c r="H6531" s="2">
        <v>75</v>
      </c>
      <c r="I6531" t="str">
        <f>"KARTINA SHARIZA BINTI IBRAHIM"</f>
        <v>KARTINA SHARIZA BINTI IBRAHIM</v>
      </c>
      <c r="J6531" t="str">
        <f t="shared" si="2667"/>
        <v>CIMB BANK / CIMB ISLAMIC BANK</v>
      </c>
      <c r="K6531" t="str">
        <f>"14230068001528"</f>
        <v>14230068001528</v>
      </c>
      <c r="L6531" t="str">
        <f t="shared" si="2668"/>
        <v>04-08-2020</v>
      </c>
      <c r="M6531" t="str">
        <f t="shared" si="2668"/>
        <v>04-08-2020</v>
      </c>
      <c r="N6531" t="str">
        <f t="shared" si="2648"/>
        <v>001105018356</v>
      </c>
      <c r="O6531" t="str">
        <f t="shared" si="2649"/>
        <v>MYR</v>
      </c>
      <c r="P6531" t="str">
        <f t="shared" si="2669"/>
        <v>NIL</v>
      </c>
      <c r="Q6531" t="str">
        <f t="shared" si="2669"/>
        <v>NIL</v>
      </c>
      <c r="R6531" t="str">
        <f t="shared" si="2661"/>
        <v>Accepted</v>
      </c>
      <c r="S6531" t="str">
        <f t="shared" si="2650"/>
        <v>Approved</v>
      </c>
      <c r="T6531" t="str">
        <f t="shared" si="2662"/>
        <v>10.20.8.188</v>
      </c>
      <c r="U6531" t="str">
        <f t="shared" si="2651"/>
        <v>AZRAD UMAR BIN SHAARI</v>
      </c>
      <c r="V6531" t="str">
        <f t="shared" si="2652"/>
        <v>FARHANA BINTI MUSTAPA</v>
      </c>
      <c r="W6531" t="str">
        <f t="shared" si="2653"/>
        <v>04-08-2020</v>
      </c>
      <c r="X6531" t="str">
        <f t="shared" si="2654"/>
        <v>RAZIMAH ANSAR AHMAD</v>
      </c>
      <c r="Y6531" t="str">
        <f t="shared" si="2655"/>
        <v>04-08-2020</v>
      </c>
      <c r="Z6531" t="str">
        <f>"COS10200804 2623"</f>
        <v>COS10200804 2623</v>
      </c>
    </row>
    <row r="6532" spans="1:26" x14ac:dyDescent="0.25">
      <c r="A6532" t="str">
        <f t="shared" si="2665"/>
        <v>04-08-2020 12:39:14</v>
      </c>
      <c r="B6532" t="str">
        <f>"0000804385"</f>
        <v>0000804385</v>
      </c>
      <c r="C6532" t="str">
        <f t="shared" si="2666"/>
        <v>0000804363</v>
      </c>
      <c r="D6532" t="str">
        <f t="shared" si="2645"/>
        <v>73185</v>
      </c>
      <c r="E6532" t="str">
        <f t="shared" si="2646"/>
        <v>KFH-OPERATIONS DEPARTMENT</v>
      </c>
      <c r="F6532" t="str">
        <f t="shared" si="2647"/>
        <v>IBG</v>
      </c>
      <c r="G6532" t="str">
        <f t="shared" si="2656"/>
        <v>Refund COSHARE 10</v>
      </c>
      <c r="H6532" s="2">
        <v>142.75</v>
      </c>
      <c r="I6532" t="str">
        <f>"KARTINA BINTI ABDUL RAHMAN"</f>
        <v>KARTINA BINTI ABDUL RAHMAN</v>
      </c>
      <c r="J6532" t="str">
        <f t="shared" si="2667"/>
        <v>CIMB BANK / CIMB ISLAMIC BANK</v>
      </c>
      <c r="K6532" t="str">
        <f>"7627330468"</f>
        <v>7627330468</v>
      </c>
      <c r="L6532" t="str">
        <f t="shared" si="2668"/>
        <v>04-08-2020</v>
      </c>
      <c r="M6532" t="str">
        <f t="shared" si="2668"/>
        <v>04-08-2020</v>
      </c>
      <c r="N6532" t="str">
        <f t="shared" si="2648"/>
        <v>001105018356</v>
      </c>
      <c r="O6532" t="str">
        <f t="shared" si="2649"/>
        <v>MYR</v>
      </c>
      <c r="P6532" t="str">
        <f t="shared" si="2669"/>
        <v>NIL</v>
      </c>
      <c r="Q6532" t="str">
        <f t="shared" si="2669"/>
        <v>NIL</v>
      </c>
      <c r="R6532" t="str">
        <f t="shared" si="2661"/>
        <v>Accepted</v>
      </c>
      <c r="S6532" t="str">
        <f t="shared" si="2650"/>
        <v>Approved</v>
      </c>
      <c r="T6532" t="str">
        <f t="shared" si="2662"/>
        <v>10.20.8.188</v>
      </c>
      <c r="U6532" t="str">
        <f t="shared" si="2651"/>
        <v>AZRAD UMAR BIN SHAARI</v>
      </c>
      <c r="V6532" t="str">
        <f t="shared" si="2652"/>
        <v>FARHANA BINTI MUSTAPA</v>
      </c>
      <c r="W6532" t="str">
        <f t="shared" si="2653"/>
        <v>04-08-2020</v>
      </c>
      <c r="X6532" t="str">
        <f t="shared" si="2654"/>
        <v>RAZIMAH ANSAR AHMAD</v>
      </c>
      <c r="Y6532" t="str">
        <f t="shared" si="2655"/>
        <v>04-08-2020</v>
      </c>
      <c r="Z6532" t="str">
        <f>"COS10200804 2622"</f>
        <v>COS10200804 2622</v>
      </c>
    </row>
    <row r="6533" spans="1:26" x14ac:dyDescent="0.25">
      <c r="A6533" t="str">
        <f t="shared" si="2665"/>
        <v>04-08-2020 12:39:14</v>
      </c>
      <c r="B6533" t="str">
        <f>"0000804384"</f>
        <v>0000804384</v>
      </c>
      <c r="C6533" t="str">
        <f t="shared" si="2666"/>
        <v>0000804363</v>
      </c>
      <c r="D6533" t="str">
        <f t="shared" si="2645"/>
        <v>73185</v>
      </c>
      <c r="E6533" t="str">
        <f t="shared" si="2646"/>
        <v>KFH-OPERATIONS DEPARTMENT</v>
      </c>
      <c r="F6533" t="str">
        <f t="shared" si="2647"/>
        <v>IBG</v>
      </c>
      <c r="G6533" t="str">
        <f t="shared" si="2656"/>
        <v>Refund COSHARE 10</v>
      </c>
      <c r="H6533" s="2">
        <v>343</v>
      </c>
      <c r="I6533" t="str">
        <f>"KAREN ANAK RUMPANG"</f>
        <v>KAREN ANAK RUMPANG</v>
      </c>
      <c r="J6533" t="str">
        <f t="shared" si="2667"/>
        <v>CIMB BANK / CIMB ISLAMIC BANK</v>
      </c>
      <c r="K6533" t="str">
        <f>"11080081966529"</f>
        <v>11080081966529</v>
      </c>
      <c r="L6533" t="str">
        <f t="shared" si="2668"/>
        <v>04-08-2020</v>
      </c>
      <c r="M6533" t="str">
        <f t="shared" si="2668"/>
        <v>04-08-2020</v>
      </c>
      <c r="N6533" t="str">
        <f t="shared" si="2648"/>
        <v>001105018356</v>
      </c>
      <c r="O6533" t="str">
        <f t="shared" si="2649"/>
        <v>MYR</v>
      </c>
      <c r="P6533" t="str">
        <f t="shared" si="2669"/>
        <v>NIL</v>
      </c>
      <c r="Q6533" t="str">
        <f t="shared" si="2669"/>
        <v>NIL</v>
      </c>
      <c r="R6533" t="str">
        <f t="shared" si="2661"/>
        <v>Accepted</v>
      </c>
      <c r="S6533" t="str">
        <f t="shared" si="2650"/>
        <v>Approved</v>
      </c>
      <c r="T6533" t="str">
        <f t="shared" si="2662"/>
        <v>10.20.8.188</v>
      </c>
      <c r="U6533" t="str">
        <f t="shared" si="2651"/>
        <v>AZRAD UMAR BIN SHAARI</v>
      </c>
      <c r="V6533" t="str">
        <f t="shared" si="2652"/>
        <v>FARHANA BINTI MUSTAPA</v>
      </c>
      <c r="W6533" t="str">
        <f t="shared" si="2653"/>
        <v>04-08-2020</v>
      </c>
      <c r="X6533" t="str">
        <f t="shared" si="2654"/>
        <v>RAZIMAH ANSAR AHMAD</v>
      </c>
      <c r="Y6533" t="str">
        <f t="shared" si="2655"/>
        <v>04-08-2020</v>
      </c>
      <c r="Z6533" t="str">
        <f>"COS10200804 2621"</f>
        <v>COS10200804 2621</v>
      </c>
    </row>
    <row r="6534" spans="1:26" x14ac:dyDescent="0.25">
      <c r="A6534" t="str">
        <f t="shared" si="2665"/>
        <v>04-08-2020 12:39:14</v>
      </c>
      <c r="B6534" t="str">
        <f>"0000804383"</f>
        <v>0000804383</v>
      </c>
      <c r="C6534" t="str">
        <f t="shared" si="2666"/>
        <v>0000804363</v>
      </c>
      <c r="D6534" t="str">
        <f t="shared" si="2645"/>
        <v>73185</v>
      </c>
      <c r="E6534" t="str">
        <f t="shared" si="2646"/>
        <v>KFH-OPERATIONS DEPARTMENT</v>
      </c>
      <c r="F6534" t="str">
        <f t="shared" si="2647"/>
        <v>IBG</v>
      </c>
      <c r="G6534" t="str">
        <f t="shared" si="2656"/>
        <v>Refund COSHARE 10</v>
      </c>
      <c r="H6534" s="2">
        <v>589.4</v>
      </c>
      <c r="I6534" t="str">
        <f>"KAMSIAH BINTI ABDUL KARIM"</f>
        <v>KAMSIAH BINTI ABDUL KARIM</v>
      </c>
      <c r="J6534" t="str">
        <f t="shared" si="2667"/>
        <v>CIMB BANK / CIMB ISLAMIC BANK</v>
      </c>
      <c r="K6534" t="str">
        <f>"7035376683"</f>
        <v>7035376683</v>
      </c>
      <c r="L6534" t="str">
        <f t="shared" si="2668"/>
        <v>04-08-2020</v>
      </c>
      <c r="M6534" t="str">
        <f t="shared" si="2668"/>
        <v>04-08-2020</v>
      </c>
      <c r="N6534" t="str">
        <f t="shared" si="2648"/>
        <v>001105018356</v>
      </c>
      <c r="O6534" t="str">
        <f t="shared" si="2649"/>
        <v>MYR</v>
      </c>
      <c r="P6534" t="str">
        <f t="shared" si="2669"/>
        <v>NIL</v>
      </c>
      <c r="Q6534" t="str">
        <f t="shared" si="2669"/>
        <v>NIL</v>
      </c>
      <c r="R6534" t="str">
        <f t="shared" si="2661"/>
        <v>Accepted</v>
      </c>
      <c r="S6534" t="str">
        <f t="shared" si="2650"/>
        <v>Approved</v>
      </c>
      <c r="T6534" t="str">
        <f t="shared" si="2662"/>
        <v>10.20.8.188</v>
      </c>
      <c r="U6534" t="str">
        <f t="shared" si="2651"/>
        <v>AZRAD UMAR BIN SHAARI</v>
      </c>
      <c r="V6534" t="str">
        <f t="shared" si="2652"/>
        <v>FARHANA BINTI MUSTAPA</v>
      </c>
      <c r="W6534" t="str">
        <f t="shared" si="2653"/>
        <v>04-08-2020</v>
      </c>
      <c r="X6534" t="str">
        <f t="shared" si="2654"/>
        <v>RAZIMAH ANSAR AHMAD</v>
      </c>
      <c r="Y6534" t="str">
        <f t="shared" si="2655"/>
        <v>04-08-2020</v>
      </c>
      <c r="Z6534" t="str">
        <f>"COS10200804 2620"</f>
        <v>COS10200804 2620</v>
      </c>
    </row>
    <row r="6535" spans="1:26" x14ac:dyDescent="0.25">
      <c r="A6535" t="str">
        <f t="shared" si="2665"/>
        <v>04-08-2020 12:39:14</v>
      </c>
      <c r="B6535" t="str">
        <f>"0000804382"</f>
        <v>0000804382</v>
      </c>
      <c r="C6535" t="str">
        <f t="shared" si="2666"/>
        <v>0000804363</v>
      </c>
      <c r="D6535" t="str">
        <f t="shared" ref="D6535:D6598" si="2670">"73185"</f>
        <v>73185</v>
      </c>
      <c r="E6535" t="str">
        <f t="shared" ref="E6535:E6598" si="2671">"KFH-OPERATIONS DEPARTMENT"</f>
        <v>KFH-OPERATIONS DEPARTMENT</v>
      </c>
      <c r="F6535" t="str">
        <f t="shared" ref="F6535:F6598" si="2672">"IBG"</f>
        <v>IBG</v>
      </c>
      <c r="G6535" t="str">
        <f t="shared" si="2656"/>
        <v>Refund COSHARE 10</v>
      </c>
      <c r="H6535" s="2">
        <v>589.4</v>
      </c>
      <c r="I6535" t="str">
        <f>"KAMSIAH BINTI ABDUL KARIM"</f>
        <v>KAMSIAH BINTI ABDUL KARIM</v>
      </c>
      <c r="J6535" t="str">
        <f t="shared" si="2667"/>
        <v>CIMB BANK / CIMB ISLAMIC BANK</v>
      </c>
      <c r="K6535" t="str">
        <f>"7035376683"</f>
        <v>7035376683</v>
      </c>
      <c r="L6535" t="str">
        <f t="shared" si="2668"/>
        <v>04-08-2020</v>
      </c>
      <c r="M6535" t="str">
        <f t="shared" si="2668"/>
        <v>04-08-2020</v>
      </c>
      <c r="N6535" t="str">
        <f t="shared" ref="N6535:N6598" si="2673">"001105018356"</f>
        <v>001105018356</v>
      </c>
      <c r="O6535" t="str">
        <f t="shared" ref="O6535:O6598" si="2674">"MYR"</f>
        <v>MYR</v>
      </c>
      <c r="P6535" t="str">
        <f t="shared" si="2669"/>
        <v>NIL</v>
      </c>
      <c r="Q6535" t="str">
        <f t="shared" si="2669"/>
        <v>NIL</v>
      </c>
      <c r="R6535" t="str">
        <f t="shared" si="2661"/>
        <v>Accepted</v>
      </c>
      <c r="S6535" t="str">
        <f t="shared" ref="S6535:S6598" si="2675">"Approved"</f>
        <v>Approved</v>
      </c>
      <c r="T6535" t="str">
        <f t="shared" si="2662"/>
        <v>10.20.8.188</v>
      </c>
      <c r="U6535" t="str">
        <f t="shared" ref="U6535:U6598" si="2676">"AZRAD UMAR BIN SHAARI"</f>
        <v>AZRAD UMAR BIN SHAARI</v>
      </c>
      <c r="V6535" t="str">
        <f t="shared" ref="V6535:V6598" si="2677">"FARHANA BINTI MUSTAPA"</f>
        <v>FARHANA BINTI MUSTAPA</v>
      </c>
      <c r="W6535" t="str">
        <f t="shared" ref="W6535:W6598" si="2678">"04-08-2020"</f>
        <v>04-08-2020</v>
      </c>
      <c r="X6535" t="str">
        <f t="shared" ref="X6535:X6598" si="2679">"RAZIMAH ANSAR AHMAD"</f>
        <v>RAZIMAH ANSAR AHMAD</v>
      </c>
      <c r="Y6535" t="str">
        <f t="shared" ref="Y6535:Y6598" si="2680">"04-08-2020"</f>
        <v>04-08-2020</v>
      </c>
      <c r="Z6535" t="str">
        <f>"COS10200804 2619"</f>
        <v>COS10200804 2619</v>
      </c>
    </row>
    <row r="6536" spans="1:26" x14ac:dyDescent="0.25">
      <c r="A6536" t="str">
        <f t="shared" si="2665"/>
        <v>04-08-2020 12:39:14</v>
      </c>
      <c r="B6536" t="str">
        <f>"0000804381"</f>
        <v>0000804381</v>
      </c>
      <c r="C6536" t="str">
        <f t="shared" si="2666"/>
        <v>0000804363</v>
      </c>
      <c r="D6536" t="str">
        <f t="shared" si="2670"/>
        <v>73185</v>
      </c>
      <c r="E6536" t="str">
        <f t="shared" si="2671"/>
        <v>KFH-OPERATIONS DEPARTMENT</v>
      </c>
      <c r="F6536" t="str">
        <f t="shared" si="2672"/>
        <v>IBG</v>
      </c>
      <c r="G6536" t="str">
        <f t="shared" si="2656"/>
        <v>Refund COSHARE 10</v>
      </c>
      <c r="H6536" s="2">
        <v>259</v>
      </c>
      <c r="I6536" t="str">
        <f>"KAMISIYAH BINTI ADOM"</f>
        <v>KAMISIYAH BINTI ADOM</v>
      </c>
      <c r="J6536" t="str">
        <f t="shared" si="2667"/>
        <v>CIMB BANK / CIMB ISLAMIC BANK</v>
      </c>
      <c r="K6536" t="str">
        <f>"11060019797527"</f>
        <v>11060019797527</v>
      </c>
      <c r="L6536" t="str">
        <f t="shared" si="2668"/>
        <v>04-08-2020</v>
      </c>
      <c r="M6536" t="str">
        <f t="shared" si="2668"/>
        <v>04-08-2020</v>
      </c>
      <c r="N6536" t="str">
        <f t="shared" si="2673"/>
        <v>001105018356</v>
      </c>
      <c r="O6536" t="str">
        <f t="shared" si="2674"/>
        <v>MYR</v>
      </c>
      <c r="P6536" t="str">
        <f t="shared" si="2669"/>
        <v>NIL</v>
      </c>
      <c r="Q6536" t="str">
        <f t="shared" si="2669"/>
        <v>NIL</v>
      </c>
      <c r="R6536" t="str">
        <f t="shared" si="2661"/>
        <v>Accepted</v>
      </c>
      <c r="S6536" t="str">
        <f t="shared" si="2675"/>
        <v>Approved</v>
      </c>
      <c r="T6536" t="str">
        <f t="shared" si="2662"/>
        <v>10.20.8.188</v>
      </c>
      <c r="U6536" t="str">
        <f t="shared" si="2676"/>
        <v>AZRAD UMAR BIN SHAARI</v>
      </c>
      <c r="V6536" t="str">
        <f t="shared" si="2677"/>
        <v>FARHANA BINTI MUSTAPA</v>
      </c>
      <c r="W6536" t="str">
        <f t="shared" si="2678"/>
        <v>04-08-2020</v>
      </c>
      <c r="X6536" t="str">
        <f t="shared" si="2679"/>
        <v>RAZIMAH ANSAR AHMAD</v>
      </c>
      <c r="Y6536" t="str">
        <f t="shared" si="2680"/>
        <v>04-08-2020</v>
      </c>
      <c r="Z6536" t="str">
        <f>"COS10200804 2618"</f>
        <v>COS10200804 2618</v>
      </c>
    </row>
    <row r="6537" spans="1:26" x14ac:dyDescent="0.25">
      <c r="A6537" t="str">
        <f t="shared" si="2665"/>
        <v>04-08-2020 12:39:14</v>
      </c>
      <c r="B6537" t="str">
        <f>"0000804380"</f>
        <v>0000804380</v>
      </c>
      <c r="C6537" t="str">
        <f t="shared" si="2666"/>
        <v>0000804363</v>
      </c>
      <c r="D6537" t="str">
        <f t="shared" si="2670"/>
        <v>73185</v>
      </c>
      <c r="E6537" t="str">
        <f t="shared" si="2671"/>
        <v>KFH-OPERATIONS DEPARTMENT</v>
      </c>
      <c r="F6537" t="str">
        <f t="shared" si="2672"/>
        <v>IBG</v>
      </c>
      <c r="G6537" t="str">
        <f t="shared" si="2656"/>
        <v>Refund COSHARE 10</v>
      </c>
      <c r="H6537" s="2">
        <v>125.95</v>
      </c>
      <c r="I6537" t="str">
        <f>"KAMARUZAMAN BIN ABDULLAH"</f>
        <v>KAMARUZAMAN BIN ABDULLAH</v>
      </c>
      <c r="J6537" t="str">
        <f t="shared" si="2667"/>
        <v>CIMB BANK / CIMB ISLAMIC BANK</v>
      </c>
      <c r="K6537" t="str">
        <f>"04010589385525"</f>
        <v>04010589385525</v>
      </c>
      <c r="L6537" t="str">
        <f t="shared" si="2668"/>
        <v>04-08-2020</v>
      </c>
      <c r="M6537" t="str">
        <f t="shared" si="2668"/>
        <v>04-08-2020</v>
      </c>
      <c r="N6537" t="str">
        <f t="shared" si="2673"/>
        <v>001105018356</v>
      </c>
      <c r="O6537" t="str">
        <f t="shared" si="2674"/>
        <v>MYR</v>
      </c>
      <c r="P6537" t="str">
        <f t="shared" si="2669"/>
        <v>NIL</v>
      </c>
      <c r="Q6537" t="str">
        <f t="shared" si="2669"/>
        <v>NIL</v>
      </c>
      <c r="R6537" t="str">
        <f t="shared" si="2661"/>
        <v>Accepted</v>
      </c>
      <c r="S6537" t="str">
        <f t="shared" si="2675"/>
        <v>Approved</v>
      </c>
      <c r="T6537" t="str">
        <f t="shared" si="2662"/>
        <v>10.20.8.188</v>
      </c>
      <c r="U6537" t="str">
        <f t="shared" si="2676"/>
        <v>AZRAD UMAR BIN SHAARI</v>
      </c>
      <c r="V6537" t="str">
        <f t="shared" si="2677"/>
        <v>FARHANA BINTI MUSTAPA</v>
      </c>
      <c r="W6537" t="str">
        <f t="shared" si="2678"/>
        <v>04-08-2020</v>
      </c>
      <c r="X6537" t="str">
        <f t="shared" si="2679"/>
        <v>RAZIMAH ANSAR AHMAD</v>
      </c>
      <c r="Y6537" t="str">
        <f t="shared" si="2680"/>
        <v>04-08-2020</v>
      </c>
      <c r="Z6537" t="str">
        <f>"COS10200804 2617"</f>
        <v>COS10200804 2617</v>
      </c>
    </row>
    <row r="6538" spans="1:26" x14ac:dyDescent="0.25">
      <c r="A6538" t="str">
        <f t="shared" si="2665"/>
        <v>04-08-2020 12:39:14</v>
      </c>
      <c r="B6538" t="str">
        <f>"0000804379"</f>
        <v>0000804379</v>
      </c>
      <c r="C6538" t="str">
        <f t="shared" si="2666"/>
        <v>0000804363</v>
      </c>
      <c r="D6538" t="str">
        <f t="shared" si="2670"/>
        <v>73185</v>
      </c>
      <c r="E6538" t="str">
        <f t="shared" si="2671"/>
        <v>KFH-OPERATIONS DEPARTMENT</v>
      </c>
      <c r="F6538" t="str">
        <f t="shared" si="2672"/>
        <v>IBG</v>
      </c>
      <c r="G6538" t="str">
        <f t="shared" si="2656"/>
        <v>Refund COSHARE 10</v>
      </c>
      <c r="H6538" s="2">
        <v>549</v>
      </c>
      <c r="I6538" t="str">
        <f>"KAMARUL NIZAL BIN IDRIS"</f>
        <v>KAMARUL NIZAL BIN IDRIS</v>
      </c>
      <c r="J6538" t="str">
        <f t="shared" si="2667"/>
        <v>CIMB BANK / CIMB ISLAMIC BANK</v>
      </c>
      <c r="K6538" t="str">
        <f>"12180109139520"</f>
        <v>12180109139520</v>
      </c>
      <c r="L6538" t="str">
        <f t="shared" si="2668"/>
        <v>04-08-2020</v>
      </c>
      <c r="M6538" t="str">
        <f t="shared" si="2668"/>
        <v>04-08-2020</v>
      </c>
      <c r="N6538" t="str">
        <f t="shared" si="2673"/>
        <v>001105018356</v>
      </c>
      <c r="O6538" t="str">
        <f t="shared" si="2674"/>
        <v>MYR</v>
      </c>
      <c r="P6538" t="str">
        <f t="shared" si="2669"/>
        <v>NIL</v>
      </c>
      <c r="Q6538" t="str">
        <f t="shared" si="2669"/>
        <v>NIL</v>
      </c>
      <c r="R6538" t="str">
        <f t="shared" si="2661"/>
        <v>Accepted</v>
      </c>
      <c r="S6538" t="str">
        <f t="shared" si="2675"/>
        <v>Approved</v>
      </c>
      <c r="T6538" t="str">
        <f t="shared" si="2662"/>
        <v>10.20.8.188</v>
      </c>
      <c r="U6538" t="str">
        <f t="shared" si="2676"/>
        <v>AZRAD UMAR BIN SHAARI</v>
      </c>
      <c r="V6538" t="str">
        <f t="shared" si="2677"/>
        <v>FARHANA BINTI MUSTAPA</v>
      </c>
      <c r="W6538" t="str">
        <f t="shared" si="2678"/>
        <v>04-08-2020</v>
      </c>
      <c r="X6538" t="str">
        <f t="shared" si="2679"/>
        <v>RAZIMAH ANSAR AHMAD</v>
      </c>
      <c r="Y6538" t="str">
        <f t="shared" si="2680"/>
        <v>04-08-2020</v>
      </c>
      <c r="Z6538" t="str">
        <f>"COS10200804 2616"</f>
        <v>COS10200804 2616</v>
      </c>
    </row>
    <row r="6539" spans="1:26" x14ac:dyDescent="0.25">
      <c r="A6539" t="str">
        <f t="shared" si="2665"/>
        <v>04-08-2020 12:39:14</v>
      </c>
      <c r="B6539" t="str">
        <f>"0000804378"</f>
        <v>0000804378</v>
      </c>
      <c r="C6539" t="str">
        <f t="shared" si="2666"/>
        <v>0000804363</v>
      </c>
      <c r="D6539" t="str">
        <f t="shared" si="2670"/>
        <v>73185</v>
      </c>
      <c r="E6539" t="str">
        <f t="shared" si="2671"/>
        <v>KFH-OPERATIONS DEPARTMENT</v>
      </c>
      <c r="F6539" t="str">
        <f t="shared" si="2672"/>
        <v>IBG</v>
      </c>
      <c r="G6539" t="str">
        <f t="shared" si="2656"/>
        <v>Refund COSHARE 10</v>
      </c>
      <c r="H6539" s="2">
        <v>84</v>
      </c>
      <c r="I6539" t="str">
        <f>"KAMARUL BAHARIN BIN SHAUDIN"</f>
        <v>KAMARUL BAHARIN BIN SHAUDIN</v>
      </c>
      <c r="J6539" t="str">
        <f t="shared" si="2667"/>
        <v>CIMB BANK / CIMB ISLAMIC BANK</v>
      </c>
      <c r="K6539" t="str">
        <f>"08170068710528"</f>
        <v>08170068710528</v>
      </c>
      <c r="L6539" t="str">
        <f t="shared" si="2668"/>
        <v>04-08-2020</v>
      </c>
      <c r="M6539" t="str">
        <f t="shared" si="2668"/>
        <v>04-08-2020</v>
      </c>
      <c r="N6539" t="str">
        <f t="shared" si="2673"/>
        <v>001105018356</v>
      </c>
      <c r="O6539" t="str">
        <f t="shared" si="2674"/>
        <v>MYR</v>
      </c>
      <c r="P6539" t="str">
        <f t="shared" si="2669"/>
        <v>NIL</v>
      </c>
      <c r="Q6539" t="str">
        <f t="shared" si="2669"/>
        <v>NIL</v>
      </c>
      <c r="R6539" t="str">
        <f t="shared" si="2661"/>
        <v>Accepted</v>
      </c>
      <c r="S6539" t="str">
        <f t="shared" si="2675"/>
        <v>Approved</v>
      </c>
      <c r="T6539" t="str">
        <f t="shared" si="2662"/>
        <v>10.20.8.188</v>
      </c>
      <c r="U6539" t="str">
        <f t="shared" si="2676"/>
        <v>AZRAD UMAR BIN SHAARI</v>
      </c>
      <c r="V6539" t="str">
        <f t="shared" si="2677"/>
        <v>FARHANA BINTI MUSTAPA</v>
      </c>
      <c r="W6539" t="str">
        <f t="shared" si="2678"/>
        <v>04-08-2020</v>
      </c>
      <c r="X6539" t="str">
        <f t="shared" si="2679"/>
        <v>RAZIMAH ANSAR AHMAD</v>
      </c>
      <c r="Y6539" t="str">
        <f t="shared" si="2680"/>
        <v>04-08-2020</v>
      </c>
      <c r="Z6539" t="str">
        <f>"COS10200804 2615"</f>
        <v>COS10200804 2615</v>
      </c>
    </row>
    <row r="6540" spans="1:26" x14ac:dyDescent="0.25">
      <c r="A6540" t="str">
        <f t="shared" si="2665"/>
        <v>04-08-2020 12:39:14</v>
      </c>
      <c r="B6540" t="str">
        <f>"0000804377"</f>
        <v>0000804377</v>
      </c>
      <c r="C6540" t="str">
        <f t="shared" si="2666"/>
        <v>0000804363</v>
      </c>
      <c r="D6540" t="str">
        <f t="shared" si="2670"/>
        <v>73185</v>
      </c>
      <c r="E6540" t="str">
        <f t="shared" si="2671"/>
        <v>KFH-OPERATIONS DEPARTMENT</v>
      </c>
      <c r="F6540" t="str">
        <f t="shared" si="2672"/>
        <v>IBG</v>
      </c>
      <c r="G6540" t="str">
        <f t="shared" ref="G6540:G6603" si="2681">"Refund COSHARE 10"</f>
        <v>Refund COSHARE 10</v>
      </c>
      <c r="H6540" s="2">
        <v>419.75</v>
      </c>
      <c r="I6540" t="str">
        <f>"KAMARUL AZLAN BIN CHE EE"</f>
        <v>KAMARUL AZLAN BIN CHE EE</v>
      </c>
      <c r="J6540" t="str">
        <f t="shared" si="2667"/>
        <v>CIMB BANK / CIMB ISLAMIC BANK</v>
      </c>
      <c r="K6540" t="str">
        <f>"7003513828"</f>
        <v>7003513828</v>
      </c>
      <c r="L6540" t="str">
        <f t="shared" si="2668"/>
        <v>04-08-2020</v>
      </c>
      <c r="M6540" t="str">
        <f t="shared" si="2668"/>
        <v>04-08-2020</v>
      </c>
      <c r="N6540" t="str">
        <f t="shared" si="2673"/>
        <v>001105018356</v>
      </c>
      <c r="O6540" t="str">
        <f t="shared" si="2674"/>
        <v>MYR</v>
      </c>
      <c r="P6540" t="str">
        <f t="shared" si="2669"/>
        <v>NIL</v>
      </c>
      <c r="Q6540" t="str">
        <f t="shared" si="2669"/>
        <v>NIL</v>
      </c>
      <c r="R6540" t="str">
        <f t="shared" si="2661"/>
        <v>Accepted</v>
      </c>
      <c r="S6540" t="str">
        <f t="shared" si="2675"/>
        <v>Approved</v>
      </c>
      <c r="T6540" t="str">
        <f t="shared" si="2662"/>
        <v>10.20.8.188</v>
      </c>
      <c r="U6540" t="str">
        <f t="shared" si="2676"/>
        <v>AZRAD UMAR BIN SHAARI</v>
      </c>
      <c r="V6540" t="str">
        <f t="shared" si="2677"/>
        <v>FARHANA BINTI MUSTAPA</v>
      </c>
      <c r="W6540" t="str">
        <f t="shared" si="2678"/>
        <v>04-08-2020</v>
      </c>
      <c r="X6540" t="str">
        <f t="shared" si="2679"/>
        <v>RAZIMAH ANSAR AHMAD</v>
      </c>
      <c r="Y6540" t="str">
        <f t="shared" si="2680"/>
        <v>04-08-2020</v>
      </c>
      <c r="Z6540" t="str">
        <f>"COS10200804 2614"</f>
        <v>COS10200804 2614</v>
      </c>
    </row>
    <row r="6541" spans="1:26" x14ac:dyDescent="0.25">
      <c r="A6541" t="str">
        <f t="shared" si="2665"/>
        <v>04-08-2020 12:39:14</v>
      </c>
      <c r="B6541" t="str">
        <f>"0000804376"</f>
        <v>0000804376</v>
      </c>
      <c r="C6541" t="str">
        <f t="shared" si="2666"/>
        <v>0000804363</v>
      </c>
      <c r="D6541" t="str">
        <f t="shared" si="2670"/>
        <v>73185</v>
      </c>
      <c r="E6541" t="str">
        <f t="shared" si="2671"/>
        <v>KFH-OPERATIONS DEPARTMENT</v>
      </c>
      <c r="F6541" t="str">
        <f t="shared" si="2672"/>
        <v>IBG</v>
      </c>
      <c r="G6541" t="str">
        <f t="shared" si="2681"/>
        <v>Refund COSHARE 10</v>
      </c>
      <c r="H6541" s="2">
        <v>1343.2</v>
      </c>
      <c r="I6541" t="str">
        <f>"KAMARUL ARIFIN BIN MOHAMAD AZHAR"</f>
        <v>KAMARUL ARIFIN BIN MOHAMAD AZHAR</v>
      </c>
      <c r="J6541" t="str">
        <f t="shared" si="2667"/>
        <v>CIMB BANK / CIMB ISLAMIC BANK</v>
      </c>
      <c r="K6541" t="str">
        <f>"01140035748528"</f>
        <v>01140035748528</v>
      </c>
      <c r="L6541" t="str">
        <f t="shared" si="2668"/>
        <v>04-08-2020</v>
      </c>
      <c r="M6541" t="str">
        <f t="shared" si="2668"/>
        <v>04-08-2020</v>
      </c>
      <c r="N6541" t="str">
        <f t="shared" si="2673"/>
        <v>001105018356</v>
      </c>
      <c r="O6541" t="str">
        <f t="shared" si="2674"/>
        <v>MYR</v>
      </c>
      <c r="P6541" t="str">
        <f t="shared" si="2669"/>
        <v>NIL</v>
      </c>
      <c r="Q6541" t="str">
        <f t="shared" si="2669"/>
        <v>NIL</v>
      </c>
      <c r="R6541" t="str">
        <f t="shared" si="2661"/>
        <v>Accepted</v>
      </c>
      <c r="S6541" t="str">
        <f t="shared" si="2675"/>
        <v>Approved</v>
      </c>
      <c r="T6541" t="str">
        <f t="shared" si="2662"/>
        <v>10.20.8.188</v>
      </c>
      <c r="U6541" t="str">
        <f t="shared" si="2676"/>
        <v>AZRAD UMAR BIN SHAARI</v>
      </c>
      <c r="V6541" t="str">
        <f t="shared" si="2677"/>
        <v>FARHANA BINTI MUSTAPA</v>
      </c>
      <c r="W6541" t="str">
        <f t="shared" si="2678"/>
        <v>04-08-2020</v>
      </c>
      <c r="X6541" t="str">
        <f t="shared" si="2679"/>
        <v>RAZIMAH ANSAR AHMAD</v>
      </c>
      <c r="Y6541" t="str">
        <f t="shared" si="2680"/>
        <v>04-08-2020</v>
      </c>
      <c r="Z6541" t="str">
        <f>"COS10200804 2613"</f>
        <v>COS10200804 2613</v>
      </c>
    </row>
    <row r="6542" spans="1:26" x14ac:dyDescent="0.25">
      <c r="A6542" t="str">
        <f t="shared" si="2665"/>
        <v>04-08-2020 12:39:14</v>
      </c>
      <c r="B6542" t="str">
        <f>"0000804375"</f>
        <v>0000804375</v>
      </c>
      <c r="C6542" t="str">
        <f t="shared" si="2666"/>
        <v>0000804363</v>
      </c>
      <c r="D6542" t="str">
        <f t="shared" si="2670"/>
        <v>73185</v>
      </c>
      <c r="E6542" t="str">
        <f t="shared" si="2671"/>
        <v>KFH-OPERATIONS DEPARTMENT</v>
      </c>
      <c r="F6542" t="str">
        <f t="shared" si="2672"/>
        <v>IBG</v>
      </c>
      <c r="G6542" t="str">
        <f t="shared" si="2681"/>
        <v>Refund COSHARE 10</v>
      </c>
      <c r="H6542" s="2">
        <v>135</v>
      </c>
      <c r="I6542" t="str">
        <f>"KAMARUL ARIFFIN BIN MUSTAFFA"</f>
        <v>KAMARUL ARIFFIN BIN MUSTAFFA</v>
      </c>
      <c r="J6542" t="str">
        <f t="shared" si="2667"/>
        <v>CIMB BANK / CIMB ISLAMIC BANK</v>
      </c>
      <c r="K6542" t="str">
        <f>"12180010374053"</f>
        <v>12180010374053</v>
      </c>
      <c r="L6542" t="str">
        <f t="shared" si="2668"/>
        <v>04-08-2020</v>
      </c>
      <c r="M6542" t="str">
        <f t="shared" si="2668"/>
        <v>04-08-2020</v>
      </c>
      <c r="N6542" t="str">
        <f t="shared" si="2673"/>
        <v>001105018356</v>
      </c>
      <c r="O6542" t="str">
        <f t="shared" si="2674"/>
        <v>MYR</v>
      </c>
      <c r="P6542" t="str">
        <f t="shared" si="2669"/>
        <v>NIL</v>
      </c>
      <c r="Q6542" t="str">
        <f t="shared" si="2669"/>
        <v>NIL</v>
      </c>
      <c r="R6542" t="str">
        <f t="shared" si="2661"/>
        <v>Accepted</v>
      </c>
      <c r="S6542" t="str">
        <f t="shared" si="2675"/>
        <v>Approved</v>
      </c>
      <c r="T6542" t="str">
        <f t="shared" si="2662"/>
        <v>10.20.8.188</v>
      </c>
      <c r="U6542" t="str">
        <f t="shared" si="2676"/>
        <v>AZRAD UMAR BIN SHAARI</v>
      </c>
      <c r="V6542" t="str">
        <f t="shared" si="2677"/>
        <v>FARHANA BINTI MUSTAPA</v>
      </c>
      <c r="W6542" t="str">
        <f t="shared" si="2678"/>
        <v>04-08-2020</v>
      </c>
      <c r="X6542" t="str">
        <f t="shared" si="2679"/>
        <v>RAZIMAH ANSAR AHMAD</v>
      </c>
      <c r="Y6542" t="str">
        <f t="shared" si="2680"/>
        <v>04-08-2020</v>
      </c>
      <c r="Z6542" t="str">
        <f>"COS10200804 2612"</f>
        <v>COS10200804 2612</v>
      </c>
    </row>
    <row r="6543" spans="1:26" x14ac:dyDescent="0.25">
      <c r="A6543" t="str">
        <f t="shared" si="2665"/>
        <v>04-08-2020 12:39:14</v>
      </c>
      <c r="B6543" t="str">
        <f>"0000804374"</f>
        <v>0000804374</v>
      </c>
      <c r="C6543" t="str">
        <f t="shared" si="2666"/>
        <v>0000804363</v>
      </c>
      <c r="D6543" t="str">
        <f t="shared" si="2670"/>
        <v>73185</v>
      </c>
      <c r="E6543" t="str">
        <f t="shared" si="2671"/>
        <v>KFH-OPERATIONS DEPARTMENT</v>
      </c>
      <c r="F6543" t="str">
        <f t="shared" si="2672"/>
        <v>IBG</v>
      </c>
      <c r="G6543" t="str">
        <f t="shared" si="2681"/>
        <v>Refund COSHARE 10</v>
      </c>
      <c r="H6543" s="2">
        <v>167.9</v>
      </c>
      <c r="I6543" t="str">
        <f>"KAMARUL ARIFFIN BIN ABDUL MAJID"</f>
        <v>KAMARUL ARIFFIN BIN ABDUL MAJID</v>
      </c>
      <c r="J6543" t="str">
        <f t="shared" si="2667"/>
        <v>CIMB BANK / CIMB ISLAMIC BANK</v>
      </c>
      <c r="K6543" t="str">
        <f>"7011587299"</f>
        <v>7011587299</v>
      </c>
      <c r="L6543" t="str">
        <f t="shared" si="2668"/>
        <v>04-08-2020</v>
      </c>
      <c r="M6543" t="str">
        <f t="shared" si="2668"/>
        <v>04-08-2020</v>
      </c>
      <c r="N6543" t="str">
        <f t="shared" si="2673"/>
        <v>001105018356</v>
      </c>
      <c r="O6543" t="str">
        <f t="shared" si="2674"/>
        <v>MYR</v>
      </c>
      <c r="P6543" t="str">
        <f t="shared" si="2669"/>
        <v>NIL</v>
      </c>
      <c r="Q6543" t="str">
        <f t="shared" si="2669"/>
        <v>NIL</v>
      </c>
      <c r="R6543" t="str">
        <f t="shared" si="2661"/>
        <v>Accepted</v>
      </c>
      <c r="S6543" t="str">
        <f t="shared" si="2675"/>
        <v>Approved</v>
      </c>
      <c r="T6543" t="str">
        <f t="shared" si="2662"/>
        <v>10.20.8.188</v>
      </c>
      <c r="U6543" t="str">
        <f t="shared" si="2676"/>
        <v>AZRAD UMAR BIN SHAARI</v>
      </c>
      <c r="V6543" t="str">
        <f t="shared" si="2677"/>
        <v>FARHANA BINTI MUSTAPA</v>
      </c>
      <c r="W6543" t="str">
        <f t="shared" si="2678"/>
        <v>04-08-2020</v>
      </c>
      <c r="X6543" t="str">
        <f t="shared" si="2679"/>
        <v>RAZIMAH ANSAR AHMAD</v>
      </c>
      <c r="Y6543" t="str">
        <f t="shared" si="2680"/>
        <v>04-08-2020</v>
      </c>
      <c r="Z6543" t="str">
        <f>"COS10200804 2611"</f>
        <v>COS10200804 2611</v>
      </c>
    </row>
    <row r="6544" spans="1:26" x14ac:dyDescent="0.25">
      <c r="A6544" t="str">
        <f t="shared" si="2665"/>
        <v>04-08-2020 12:39:14</v>
      </c>
      <c r="B6544" t="str">
        <f>"0000804373"</f>
        <v>0000804373</v>
      </c>
      <c r="C6544" t="str">
        <f t="shared" si="2666"/>
        <v>0000804363</v>
      </c>
      <c r="D6544" t="str">
        <f t="shared" si="2670"/>
        <v>73185</v>
      </c>
      <c r="E6544" t="str">
        <f t="shared" si="2671"/>
        <v>KFH-OPERATIONS DEPARTMENT</v>
      </c>
      <c r="F6544" t="str">
        <f t="shared" si="2672"/>
        <v>IBG</v>
      </c>
      <c r="G6544" t="str">
        <f t="shared" si="2681"/>
        <v>Refund COSHARE 10</v>
      </c>
      <c r="H6544" s="2">
        <v>190.55</v>
      </c>
      <c r="I6544" t="str">
        <f>"KAMARRUDIN BIN YAACOB"</f>
        <v>KAMARRUDIN BIN YAACOB</v>
      </c>
      <c r="J6544" t="str">
        <f t="shared" si="2667"/>
        <v>CIMB BANK / CIMB ISLAMIC BANK</v>
      </c>
      <c r="K6544" t="str">
        <f>"03050021647529"</f>
        <v>03050021647529</v>
      </c>
      <c r="L6544" t="str">
        <f t="shared" si="2668"/>
        <v>04-08-2020</v>
      </c>
      <c r="M6544" t="str">
        <f t="shared" si="2668"/>
        <v>04-08-2020</v>
      </c>
      <c r="N6544" t="str">
        <f t="shared" si="2673"/>
        <v>001105018356</v>
      </c>
      <c r="O6544" t="str">
        <f t="shared" si="2674"/>
        <v>MYR</v>
      </c>
      <c r="P6544" t="str">
        <f t="shared" si="2669"/>
        <v>NIL</v>
      </c>
      <c r="Q6544" t="str">
        <f t="shared" si="2669"/>
        <v>NIL</v>
      </c>
      <c r="R6544" t="str">
        <f t="shared" si="2661"/>
        <v>Accepted</v>
      </c>
      <c r="S6544" t="str">
        <f t="shared" si="2675"/>
        <v>Approved</v>
      </c>
      <c r="T6544" t="str">
        <f t="shared" si="2662"/>
        <v>10.20.8.188</v>
      </c>
      <c r="U6544" t="str">
        <f t="shared" si="2676"/>
        <v>AZRAD UMAR BIN SHAARI</v>
      </c>
      <c r="V6544" t="str">
        <f t="shared" si="2677"/>
        <v>FARHANA BINTI MUSTAPA</v>
      </c>
      <c r="W6544" t="str">
        <f t="shared" si="2678"/>
        <v>04-08-2020</v>
      </c>
      <c r="X6544" t="str">
        <f t="shared" si="2679"/>
        <v>RAZIMAH ANSAR AHMAD</v>
      </c>
      <c r="Y6544" t="str">
        <f t="shared" si="2680"/>
        <v>04-08-2020</v>
      </c>
      <c r="Z6544" t="str">
        <f>"COS10200804 2610"</f>
        <v>COS10200804 2610</v>
      </c>
    </row>
    <row r="6545" spans="1:26" x14ac:dyDescent="0.25">
      <c r="A6545" t="str">
        <f t="shared" si="2665"/>
        <v>04-08-2020 12:39:14</v>
      </c>
      <c r="B6545" t="str">
        <f>"0000804372"</f>
        <v>0000804372</v>
      </c>
      <c r="C6545" t="str">
        <f t="shared" si="2666"/>
        <v>0000804363</v>
      </c>
      <c r="D6545" t="str">
        <f t="shared" si="2670"/>
        <v>73185</v>
      </c>
      <c r="E6545" t="str">
        <f t="shared" si="2671"/>
        <v>KFH-OPERATIONS DEPARTMENT</v>
      </c>
      <c r="F6545" t="str">
        <f t="shared" si="2672"/>
        <v>IBG</v>
      </c>
      <c r="G6545" t="str">
        <f t="shared" si="2681"/>
        <v>Refund COSHARE 10</v>
      </c>
      <c r="H6545" s="2">
        <v>1638.75</v>
      </c>
      <c r="I6545" t="str">
        <f>"KAMALUDDIN BIN YUSOF"</f>
        <v>KAMALUDDIN BIN YUSOF</v>
      </c>
      <c r="J6545" t="str">
        <f t="shared" si="2667"/>
        <v>CIMB BANK / CIMB ISLAMIC BANK</v>
      </c>
      <c r="K6545" t="str">
        <f>"14140057120524"</f>
        <v>14140057120524</v>
      </c>
      <c r="L6545" t="str">
        <f t="shared" si="2668"/>
        <v>04-08-2020</v>
      </c>
      <c r="M6545" t="str">
        <f t="shared" si="2668"/>
        <v>04-08-2020</v>
      </c>
      <c r="N6545" t="str">
        <f t="shared" si="2673"/>
        <v>001105018356</v>
      </c>
      <c r="O6545" t="str">
        <f t="shared" si="2674"/>
        <v>MYR</v>
      </c>
      <c r="P6545" t="str">
        <f t="shared" si="2669"/>
        <v>NIL</v>
      </c>
      <c r="Q6545" t="str">
        <f t="shared" si="2669"/>
        <v>NIL</v>
      </c>
      <c r="R6545" t="str">
        <f t="shared" si="2661"/>
        <v>Accepted</v>
      </c>
      <c r="S6545" t="str">
        <f t="shared" si="2675"/>
        <v>Approved</v>
      </c>
      <c r="T6545" t="str">
        <f t="shared" si="2662"/>
        <v>10.20.8.188</v>
      </c>
      <c r="U6545" t="str">
        <f t="shared" si="2676"/>
        <v>AZRAD UMAR BIN SHAARI</v>
      </c>
      <c r="V6545" t="str">
        <f t="shared" si="2677"/>
        <v>FARHANA BINTI MUSTAPA</v>
      </c>
      <c r="W6545" t="str">
        <f t="shared" si="2678"/>
        <v>04-08-2020</v>
      </c>
      <c r="X6545" t="str">
        <f t="shared" si="2679"/>
        <v>RAZIMAH ANSAR AHMAD</v>
      </c>
      <c r="Y6545" t="str">
        <f t="shared" si="2680"/>
        <v>04-08-2020</v>
      </c>
      <c r="Z6545" t="str">
        <f>"COS10200804 2609"</f>
        <v>COS10200804 2609</v>
      </c>
    </row>
    <row r="6546" spans="1:26" x14ac:dyDescent="0.25">
      <c r="A6546" t="str">
        <f t="shared" ref="A6546:A6553" si="2682">"04-08-2020 12:39:14"</f>
        <v>04-08-2020 12:39:14</v>
      </c>
      <c r="B6546" t="str">
        <f>"0000804371"</f>
        <v>0000804371</v>
      </c>
      <c r="C6546" t="str">
        <f t="shared" ref="C6546:C6553" si="2683">"0000804363"</f>
        <v>0000804363</v>
      </c>
      <c r="D6546" t="str">
        <f t="shared" si="2670"/>
        <v>73185</v>
      </c>
      <c r="E6546" t="str">
        <f t="shared" si="2671"/>
        <v>KFH-OPERATIONS DEPARTMENT</v>
      </c>
      <c r="F6546" t="str">
        <f t="shared" si="2672"/>
        <v>IBG</v>
      </c>
      <c r="G6546" t="str">
        <f t="shared" si="2681"/>
        <v>Refund COSHARE 10</v>
      </c>
      <c r="H6546" s="2">
        <v>782</v>
      </c>
      <c r="I6546" t="str">
        <f>"KALSOM BINTI MOHD"</f>
        <v>KALSOM BINTI MOHD</v>
      </c>
      <c r="J6546" t="str">
        <f t="shared" si="2667"/>
        <v>CIMB BANK / CIMB ISLAMIC BANK</v>
      </c>
      <c r="K6546" t="str">
        <f>"14180004353208"</f>
        <v>14180004353208</v>
      </c>
      <c r="L6546" t="str">
        <f t="shared" si="2668"/>
        <v>04-08-2020</v>
      </c>
      <c r="M6546" t="str">
        <f t="shared" si="2668"/>
        <v>04-08-2020</v>
      </c>
      <c r="N6546" t="str">
        <f t="shared" si="2673"/>
        <v>001105018356</v>
      </c>
      <c r="O6546" t="str">
        <f t="shared" si="2674"/>
        <v>MYR</v>
      </c>
      <c r="P6546" t="str">
        <f t="shared" si="2669"/>
        <v>NIL</v>
      </c>
      <c r="Q6546" t="str">
        <f t="shared" si="2669"/>
        <v>NIL</v>
      </c>
      <c r="R6546" t="str">
        <f t="shared" si="2661"/>
        <v>Accepted</v>
      </c>
      <c r="S6546" t="str">
        <f t="shared" si="2675"/>
        <v>Approved</v>
      </c>
      <c r="T6546" t="str">
        <f t="shared" si="2662"/>
        <v>10.20.8.188</v>
      </c>
      <c r="U6546" t="str">
        <f t="shared" si="2676"/>
        <v>AZRAD UMAR BIN SHAARI</v>
      </c>
      <c r="V6546" t="str">
        <f t="shared" si="2677"/>
        <v>FARHANA BINTI MUSTAPA</v>
      </c>
      <c r="W6546" t="str">
        <f t="shared" si="2678"/>
        <v>04-08-2020</v>
      </c>
      <c r="X6546" t="str">
        <f t="shared" si="2679"/>
        <v>RAZIMAH ANSAR AHMAD</v>
      </c>
      <c r="Y6546" t="str">
        <f t="shared" si="2680"/>
        <v>04-08-2020</v>
      </c>
      <c r="Z6546" t="str">
        <f>"COS10200804 2608"</f>
        <v>COS10200804 2608</v>
      </c>
    </row>
    <row r="6547" spans="1:26" x14ac:dyDescent="0.25">
      <c r="A6547" t="str">
        <f t="shared" si="2682"/>
        <v>04-08-2020 12:39:14</v>
      </c>
      <c r="B6547" t="str">
        <f>"0000804370"</f>
        <v>0000804370</v>
      </c>
      <c r="C6547" t="str">
        <f t="shared" si="2683"/>
        <v>0000804363</v>
      </c>
      <c r="D6547" t="str">
        <f t="shared" si="2670"/>
        <v>73185</v>
      </c>
      <c r="E6547" t="str">
        <f t="shared" si="2671"/>
        <v>KFH-OPERATIONS DEPARTMENT</v>
      </c>
      <c r="F6547" t="str">
        <f t="shared" si="2672"/>
        <v>IBG</v>
      </c>
      <c r="G6547" t="str">
        <f t="shared" si="2681"/>
        <v>Refund COSHARE 10</v>
      </c>
      <c r="H6547" s="2">
        <v>71.650000000000006</v>
      </c>
      <c r="I6547" t="str">
        <f>"JUVITA  JOVINIA BINTI OMPION"</f>
        <v>JUVITA  JOVINIA BINTI OMPION</v>
      </c>
      <c r="J6547" t="str">
        <f t="shared" si="2667"/>
        <v>CIMB BANK / CIMB ISLAMIC BANK</v>
      </c>
      <c r="K6547" t="str">
        <f>"10050072408521"</f>
        <v>10050072408521</v>
      </c>
      <c r="L6547" t="str">
        <f t="shared" ref="L6547:M6566" si="2684">"04-08-2020"</f>
        <v>04-08-2020</v>
      </c>
      <c r="M6547" t="str">
        <f t="shared" si="2684"/>
        <v>04-08-2020</v>
      </c>
      <c r="N6547" t="str">
        <f t="shared" si="2673"/>
        <v>001105018356</v>
      </c>
      <c r="O6547" t="str">
        <f t="shared" si="2674"/>
        <v>MYR</v>
      </c>
      <c r="P6547" t="str">
        <f t="shared" ref="P6547:Q6566" si="2685">"NIL"</f>
        <v>NIL</v>
      </c>
      <c r="Q6547" t="str">
        <f t="shared" si="2685"/>
        <v>NIL</v>
      </c>
      <c r="R6547" t="str">
        <f t="shared" si="2661"/>
        <v>Accepted</v>
      </c>
      <c r="S6547" t="str">
        <f t="shared" si="2675"/>
        <v>Approved</v>
      </c>
      <c r="T6547" t="str">
        <f t="shared" si="2662"/>
        <v>10.20.8.188</v>
      </c>
      <c r="U6547" t="str">
        <f t="shared" si="2676"/>
        <v>AZRAD UMAR BIN SHAARI</v>
      </c>
      <c r="V6547" t="str">
        <f t="shared" si="2677"/>
        <v>FARHANA BINTI MUSTAPA</v>
      </c>
      <c r="W6547" t="str">
        <f t="shared" si="2678"/>
        <v>04-08-2020</v>
      </c>
      <c r="X6547" t="str">
        <f t="shared" si="2679"/>
        <v>RAZIMAH ANSAR AHMAD</v>
      </c>
      <c r="Y6547" t="str">
        <f t="shared" si="2680"/>
        <v>04-08-2020</v>
      </c>
      <c r="Z6547" t="str">
        <f>"COS10200804 2607"</f>
        <v>COS10200804 2607</v>
      </c>
    </row>
    <row r="6548" spans="1:26" x14ac:dyDescent="0.25">
      <c r="A6548" t="str">
        <f t="shared" si="2682"/>
        <v>04-08-2020 12:39:14</v>
      </c>
      <c r="B6548" t="str">
        <f>"0000804369"</f>
        <v>0000804369</v>
      </c>
      <c r="C6548" t="str">
        <f t="shared" si="2683"/>
        <v>0000804363</v>
      </c>
      <c r="D6548" t="str">
        <f t="shared" si="2670"/>
        <v>73185</v>
      </c>
      <c r="E6548" t="str">
        <f t="shared" si="2671"/>
        <v>KFH-OPERATIONS DEPARTMENT</v>
      </c>
      <c r="F6548" t="str">
        <f t="shared" si="2672"/>
        <v>IBG</v>
      </c>
      <c r="G6548" t="str">
        <f t="shared" si="2681"/>
        <v>Refund COSHARE 10</v>
      </c>
      <c r="H6548" s="2">
        <v>136.75</v>
      </c>
      <c r="I6548" t="str">
        <f>"JURAMINE HUSSIN"</f>
        <v>JURAMINE HUSSIN</v>
      </c>
      <c r="J6548" t="str">
        <f t="shared" si="2667"/>
        <v>CIMB BANK / CIMB ISLAMIC BANK</v>
      </c>
      <c r="K6548" t="str">
        <f>"10040042981520"</f>
        <v>10040042981520</v>
      </c>
      <c r="L6548" t="str">
        <f t="shared" si="2684"/>
        <v>04-08-2020</v>
      </c>
      <c r="M6548" t="str">
        <f t="shared" si="2684"/>
        <v>04-08-2020</v>
      </c>
      <c r="N6548" t="str">
        <f t="shared" si="2673"/>
        <v>001105018356</v>
      </c>
      <c r="O6548" t="str">
        <f t="shared" si="2674"/>
        <v>MYR</v>
      </c>
      <c r="P6548" t="str">
        <f t="shared" si="2685"/>
        <v>NIL</v>
      </c>
      <c r="Q6548" t="str">
        <f t="shared" si="2685"/>
        <v>NIL</v>
      </c>
      <c r="R6548" t="str">
        <f t="shared" si="2661"/>
        <v>Accepted</v>
      </c>
      <c r="S6548" t="str">
        <f t="shared" si="2675"/>
        <v>Approved</v>
      </c>
      <c r="T6548" t="str">
        <f t="shared" si="2662"/>
        <v>10.20.8.188</v>
      </c>
      <c r="U6548" t="str">
        <f t="shared" si="2676"/>
        <v>AZRAD UMAR BIN SHAARI</v>
      </c>
      <c r="V6548" t="str">
        <f t="shared" si="2677"/>
        <v>FARHANA BINTI MUSTAPA</v>
      </c>
      <c r="W6548" t="str">
        <f t="shared" si="2678"/>
        <v>04-08-2020</v>
      </c>
      <c r="X6548" t="str">
        <f t="shared" si="2679"/>
        <v>RAZIMAH ANSAR AHMAD</v>
      </c>
      <c r="Y6548" t="str">
        <f t="shared" si="2680"/>
        <v>04-08-2020</v>
      </c>
      <c r="Z6548" t="str">
        <f>"COS10200804 2606"</f>
        <v>COS10200804 2606</v>
      </c>
    </row>
    <row r="6549" spans="1:26" x14ac:dyDescent="0.25">
      <c r="A6549" t="str">
        <f t="shared" si="2682"/>
        <v>04-08-2020 12:39:14</v>
      </c>
      <c r="B6549" t="str">
        <f>"0000804368"</f>
        <v>0000804368</v>
      </c>
      <c r="C6549" t="str">
        <f t="shared" si="2683"/>
        <v>0000804363</v>
      </c>
      <c r="D6549" t="str">
        <f t="shared" si="2670"/>
        <v>73185</v>
      </c>
      <c r="E6549" t="str">
        <f t="shared" si="2671"/>
        <v>KFH-OPERATIONS DEPARTMENT</v>
      </c>
      <c r="F6549" t="str">
        <f t="shared" si="2672"/>
        <v>IBG</v>
      </c>
      <c r="G6549" t="str">
        <f t="shared" si="2681"/>
        <v>Refund COSHARE 10</v>
      </c>
      <c r="H6549" s="2">
        <v>1292.8499999999999</v>
      </c>
      <c r="I6549" t="str">
        <f>"JUNAIDAH BINTI JAMALUDDIN"</f>
        <v>JUNAIDAH BINTI JAMALUDDIN</v>
      </c>
      <c r="J6549" t="str">
        <f t="shared" si="2667"/>
        <v>CIMB BANK / CIMB ISLAMIC BANK</v>
      </c>
      <c r="K6549" t="str">
        <f>"14330001715200"</f>
        <v>14330001715200</v>
      </c>
      <c r="L6549" t="str">
        <f t="shared" si="2684"/>
        <v>04-08-2020</v>
      </c>
      <c r="M6549" t="str">
        <f t="shared" si="2684"/>
        <v>04-08-2020</v>
      </c>
      <c r="N6549" t="str">
        <f t="shared" si="2673"/>
        <v>001105018356</v>
      </c>
      <c r="O6549" t="str">
        <f t="shared" si="2674"/>
        <v>MYR</v>
      </c>
      <c r="P6549" t="str">
        <f t="shared" si="2685"/>
        <v>NIL</v>
      </c>
      <c r="Q6549" t="str">
        <f t="shared" si="2685"/>
        <v>NIL</v>
      </c>
      <c r="R6549" t="str">
        <f t="shared" si="2661"/>
        <v>Accepted</v>
      </c>
      <c r="S6549" t="str">
        <f t="shared" si="2675"/>
        <v>Approved</v>
      </c>
      <c r="T6549" t="str">
        <f t="shared" si="2662"/>
        <v>10.20.8.188</v>
      </c>
      <c r="U6549" t="str">
        <f t="shared" si="2676"/>
        <v>AZRAD UMAR BIN SHAARI</v>
      </c>
      <c r="V6549" t="str">
        <f t="shared" si="2677"/>
        <v>FARHANA BINTI MUSTAPA</v>
      </c>
      <c r="W6549" t="str">
        <f t="shared" si="2678"/>
        <v>04-08-2020</v>
      </c>
      <c r="X6549" t="str">
        <f t="shared" si="2679"/>
        <v>RAZIMAH ANSAR AHMAD</v>
      </c>
      <c r="Y6549" t="str">
        <f t="shared" si="2680"/>
        <v>04-08-2020</v>
      </c>
      <c r="Z6549" t="str">
        <f>"COS10200804 2605"</f>
        <v>COS10200804 2605</v>
      </c>
    </row>
    <row r="6550" spans="1:26" x14ac:dyDescent="0.25">
      <c r="A6550" t="str">
        <f t="shared" si="2682"/>
        <v>04-08-2020 12:39:14</v>
      </c>
      <c r="B6550" t="str">
        <f>"0000804367"</f>
        <v>0000804367</v>
      </c>
      <c r="C6550" t="str">
        <f t="shared" si="2683"/>
        <v>0000804363</v>
      </c>
      <c r="D6550" t="str">
        <f t="shared" si="2670"/>
        <v>73185</v>
      </c>
      <c r="E6550" t="str">
        <f t="shared" si="2671"/>
        <v>KFH-OPERATIONS DEPARTMENT</v>
      </c>
      <c r="F6550" t="str">
        <f t="shared" si="2672"/>
        <v>IBG</v>
      </c>
      <c r="G6550" t="str">
        <f t="shared" si="2681"/>
        <v>Refund COSHARE 10</v>
      </c>
      <c r="H6550" s="2">
        <v>972.5</v>
      </c>
      <c r="I6550" t="str">
        <f>"JULITA BINTI ALI"</f>
        <v>JULITA BINTI ALI</v>
      </c>
      <c r="J6550" t="str">
        <f t="shared" si="2667"/>
        <v>CIMB BANK / CIMB ISLAMIC BANK</v>
      </c>
      <c r="K6550" t="str">
        <f>"04010605378529"</f>
        <v>04010605378529</v>
      </c>
      <c r="L6550" t="str">
        <f t="shared" si="2684"/>
        <v>04-08-2020</v>
      </c>
      <c r="M6550" t="str">
        <f t="shared" si="2684"/>
        <v>04-08-2020</v>
      </c>
      <c r="N6550" t="str">
        <f t="shared" si="2673"/>
        <v>001105018356</v>
      </c>
      <c r="O6550" t="str">
        <f t="shared" si="2674"/>
        <v>MYR</v>
      </c>
      <c r="P6550" t="str">
        <f t="shared" si="2685"/>
        <v>NIL</v>
      </c>
      <c r="Q6550" t="str">
        <f t="shared" si="2685"/>
        <v>NIL</v>
      </c>
      <c r="R6550" t="str">
        <f t="shared" si="2661"/>
        <v>Accepted</v>
      </c>
      <c r="S6550" t="str">
        <f t="shared" si="2675"/>
        <v>Approved</v>
      </c>
      <c r="T6550" t="str">
        <f t="shared" si="2662"/>
        <v>10.20.8.188</v>
      </c>
      <c r="U6550" t="str">
        <f t="shared" si="2676"/>
        <v>AZRAD UMAR BIN SHAARI</v>
      </c>
      <c r="V6550" t="str">
        <f t="shared" si="2677"/>
        <v>FARHANA BINTI MUSTAPA</v>
      </c>
      <c r="W6550" t="str">
        <f t="shared" si="2678"/>
        <v>04-08-2020</v>
      </c>
      <c r="X6550" t="str">
        <f t="shared" si="2679"/>
        <v>RAZIMAH ANSAR AHMAD</v>
      </c>
      <c r="Y6550" t="str">
        <f t="shared" si="2680"/>
        <v>04-08-2020</v>
      </c>
      <c r="Z6550" t="str">
        <f>"COS10200804 2604"</f>
        <v>COS10200804 2604</v>
      </c>
    </row>
    <row r="6551" spans="1:26" x14ac:dyDescent="0.25">
      <c r="A6551" t="str">
        <f t="shared" si="2682"/>
        <v>04-08-2020 12:39:14</v>
      </c>
      <c r="B6551" t="str">
        <f>"0000804366"</f>
        <v>0000804366</v>
      </c>
      <c r="C6551" t="str">
        <f t="shared" si="2683"/>
        <v>0000804363</v>
      </c>
      <c r="D6551" t="str">
        <f t="shared" si="2670"/>
        <v>73185</v>
      </c>
      <c r="E6551" t="str">
        <f t="shared" si="2671"/>
        <v>KFH-OPERATIONS DEPARTMENT</v>
      </c>
      <c r="F6551" t="str">
        <f t="shared" si="2672"/>
        <v>IBG</v>
      </c>
      <c r="G6551" t="str">
        <f t="shared" si="2681"/>
        <v>Refund COSHARE 10</v>
      </c>
      <c r="H6551" s="2">
        <v>245.6</v>
      </c>
      <c r="I6551" t="str">
        <f>"JULIANA BINTI HASHIM"</f>
        <v>JULIANA BINTI HASHIM</v>
      </c>
      <c r="J6551" t="str">
        <f t="shared" si="2667"/>
        <v>CIMB BANK / CIMB ISLAMIC BANK</v>
      </c>
      <c r="K6551" t="str">
        <f>"02070001847208"</f>
        <v>02070001847208</v>
      </c>
      <c r="L6551" t="str">
        <f t="shared" si="2684"/>
        <v>04-08-2020</v>
      </c>
      <c r="M6551" t="str">
        <f t="shared" si="2684"/>
        <v>04-08-2020</v>
      </c>
      <c r="N6551" t="str">
        <f t="shared" si="2673"/>
        <v>001105018356</v>
      </c>
      <c r="O6551" t="str">
        <f t="shared" si="2674"/>
        <v>MYR</v>
      </c>
      <c r="P6551" t="str">
        <f t="shared" si="2685"/>
        <v>NIL</v>
      </c>
      <c r="Q6551" t="str">
        <f t="shared" si="2685"/>
        <v>NIL</v>
      </c>
      <c r="R6551" t="str">
        <f t="shared" si="2661"/>
        <v>Accepted</v>
      </c>
      <c r="S6551" t="str">
        <f t="shared" si="2675"/>
        <v>Approved</v>
      </c>
      <c r="T6551" t="str">
        <f t="shared" si="2662"/>
        <v>10.20.8.188</v>
      </c>
      <c r="U6551" t="str">
        <f t="shared" si="2676"/>
        <v>AZRAD UMAR BIN SHAARI</v>
      </c>
      <c r="V6551" t="str">
        <f t="shared" si="2677"/>
        <v>FARHANA BINTI MUSTAPA</v>
      </c>
      <c r="W6551" t="str">
        <f t="shared" si="2678"/>
        <v>04-08-2020</v>
      </c>
      <c r="X6551" t="str">
        <f t="shared" si="2679"/>
        <v>RAZIMAH ANSAR AHMAD</v>
      </c>
      <c r="Y6551" t="str">
        <f t="shared" si="2680"/>
        <v>04-08-2020</v>
      </c>
      <c r="Z6551" t="str">
        <f>"COS10200804 2603"</f>
        <v>COS10200804 2603</v>
      </c>
    </row>
    <row r="6552" spans="1:26" x14ac:dyDescent="0.25">
      <c r="A6552" t="str">
        <f t="shared" si="2682"/>
        <v>04-08-2020 12:39:14</v>
      </c>
      <c r="B6552" t="str">
        <f>"0000804365"</f>
        <v>0000804365</v>
      </c>
      <c r="C6552" t="str">
        <f t="shared" si="2683"/>
        <v>0000804363</v>
      </c>
      <c r="D6552" t="str">
        <f t="shared" si="2670"/>
        <v>73185</v>
      </c>
      <c r="E6552" t="str">
        <f t="shared" si="2671"/>
        <v>KFH-OPERATIONS DEPARTMENT</v>
      </c>
      <c r="F6552" t="str">
        <f t="shared" si="2672"/>
        <v>IBG</v>
      </c>
      <c r="G6552" t="str">
        <f t="shared" si="2681"/>
        <v>Refund COSHARE 10</v>
      </c>
      <c r="H6552" s="2">
        <v>100</v>
      </c>
      <c r="I6552" t="str">
        <f>"JULAINA BINTI ABDUL KADIR"</f>
        <v>JULAINA BINTI ABDUL KADIR</v>
      </c>
      <c r="J6552" t="str">
        <f t="shared" si="2667"/>
        <v>CIMB BANK / CIMB ISLAMIC BANK</v>
      </c>
      <c r="K6552" t="str">
        <f>"06021497997520"</f>
        <v>06021497997520</v>
      </c>
      <c r="L6552" t="str">
        <f t="shared" si="2684"/>
        <v>04-08-2020</v>
      </c>
      <c r="M6552" t="str">
        <f t="shared" si="2684"/>
        <v>04-08-2020</v>
      </c>
      <c r="N6552" t="str">
        <f t="shared" si="2673"/>
        <v>001105018356</v>
      </c>
      <c r="O6552" t="str">
        <f t="shared" si="2674"/>
        <v>MYR</v>
      </c>
      <c r="P6552" t="str">
        <f t="shared" si="2685"/>
        <v>NIL</v>
      </c>
      <c r="Q6552" t="str">
        <f t="shared" si="2685"/>
        <v>NIL</v>
      </c>
      <c r="R6552" t="str">
        <f t="shared" si="2661"/>
        <v>Accepted</v>
      </c>
      <c r="S6552" t="str">
        <f t="shared" si="2675"/>
        <v>Approved</v>
      </c>
      <c r="T6552" t="str">
        <f t="shared" si="2662"/>
        <v>10.20.8.188</v>
      </c>
      <c r="U6552" t="str">
        <f t="shared" si="2676"/>
        <v>AZRAD UMAR BIN SHAARI</v>
      </c>
      <c r="V6552" t="str">
        <f t="shared" si="2677"/>
        <v>FARHANA BINTI MUSTAPA</v>
      </c>
      <c r="W6552" t="str">
        <f t="shared" si="2678"/>
        <v>04-08-2020</v>
      </c>
      <c r="X6552" t="str">
        <f t="shared" si="2679"/>
        <v>RAZIMAH ANSAR AHMAD</v>
      </c>
      <c r="Y6552" t="str">
        <f t="shared" si="2680"/>
        <v>04-08-2020</v>
      </c>
      <c r="Z6552" t="str">
        <f>"COS10200804 2602"</f>
        <v>COS10200804 2602</v>
      </c>
    </row>
    <row r="6553" spans="1:26" x14ac:dyDescent="0.25">
      <c r="A6553" t="str">
        <f t="shared" si="2682"/>
        <v>04-08-2020 12:39:14</v>
      </c>
      <c r="B6553" t="str">
        <f>"0000804364"</f>
        <v>0000804364</v>
      </c>
      <c r="C6553" t="str">
        <f t="shared" si="2683"/>
        <v>0000804363</v>
      </c>
      <c r="D6553" t="str">
        <f t="shared" si="2670"/>
        <v>73185</v>
      </c>
      <c r="E6553" t="str">
        <f t="shared" si="2671"/>
        <v>KFH-OPERATIONS DEPARTMENT</v>
      </c>
      <c r="F6553" t="str">
        <f t="shared" si="2672"/>
        <v>IBG</v>
      </c>
      <c r="G6553" t="str">
        <f t="shared" si="2681"/>
        <v>Refund COSHARE 10</v>
      </c>
      <c r="H6553" s="2">
        <v>1675</v>
      </c>
      <c r="I6553" t="str">
        <f>"JUKINAH BINTI YAMAT"</f>
        <v>JUKINAH BINTI YAMAT</v>
      </c>
      <c r="J6553" t="str">
        <f t="shared" si="2667"/>
        <v>CIMB BANK / CIMB ISLAMIC BANK</v>
      </c>
      <c r="K6553" t="str">
        <f>"10050019111526"</f>
        <v>10050019111526</v>
      </c>
      <c r="L6553" t="str">
        <f t="shared" si="2684"/>
        <v>04-08-2020</v>
      </c>
      <c r="M6553" t="str">
        <f t="shared" si="2684"/>
        <v>04-08-2020</v>
      </c>
      <c r="N6553" t="str">
        <f t="shared" si="2673"/>
        <v>001105018356</v>
      </c>
      <c r="O6553" t="str">
        <f t="shared" si="2674"/>
        <v>MYR</v>
      </c>
      <c r="P6553" t="str">
        <f t="shared" si="2685"/>
        <v>NIL</v>
      </c>
      <c r="Q6553" t="str">
        <f t="shared" si="2685"/>
        <v>NIL</v>
      </c>
      <c r="R6553" t="str">
        <f t="shared" si="2661"/>
        <v>Accepted</v>
      </c>
      <c r="S6553" t="str">
        <f t="shared" si="2675"/>
        <v>Approved</v>
      </c>
      <c r="T6553" t="str">
        <f t="shared" si="2662"/>
        <v>10.20.8.188</v>
      </c>
      <c r="U6553" t="str">
        <f t="shared" si="2676"/>
        <v>AZRAD UMAR BIN SHAARI</v>
      </c>
      <c r="V6553" t="str">
        <f t="shared" si="2677"/>
        <v>FARHANA BINTI MUSTAPA</v>
      </c>
      <c r="W6553" t="str">
        <f t="shared" si="2678"/>
        <v>04-08-2020</v>
      </c>
      <c r="X6553" t="str">
        <f t="shared" si="2679"/>
        <v>RAZIMAH ANSAR AHMAD</v>
      </c>
      <c r="Y6553" t="str">
        <f t="shared" si="2680"/>
        <v>04-08-2020</v>
      </c>
      <c r="Z6553" t="str">
        <f>"COS10200804 2601"</f>
        <v>COS10200804 2601</v>
      </c>
    </row>
    <row r="6554" spans="1:26" x14ac:dyDescent="0.25">
      <c r="A6554" t="str">
        <f t="shared" ref="A6554:A6585" si="2686">"04-08-2020 12:37:56"</f>
        <v>04-08-2020 12:37:56</v>
      </c>
      <c r="B6554" t="str">
        <f>"0000804362"</f>
        <v>0000804362</v>
      </c>
      <c r="C6554" t="str">
        <f t="shared" ref="C6554:C6585" si="2687">"0000804162"</f>
        <v>0000804162</v>
      </c>
      <c r="D6554" t="str">
        <f t="shared" si="2670"/>
        <v>73185</v>
      </c>
      <c r="E6554" t="str">
        <f t="shared" si="2671"/>
        <v>KFH-OPERATIONS DEPARTMENT</v>
      </c>
      <c r="F6554" t="str">
        <f t="shared" si="2672"/>
        <v>IBG</v>
      </c>
      <c r="G6554" t="str">
        <f t="shared" si="2681"/>
        <v>Refund COSHARE 10</v>
      </c>
      <c r="H6554" s="2">
        <v>142.75</v>
      </c>
      <c r="I6554" t="str">
        <f>"JUAWAN BINTI BUSMAN"</f>
        <v>JUAWAN BINTI BUSMAN</v>
      </c>
      <c r="J6554" t="str">
        <f t="shared" si="2667"/>
        <v>CIMB BANK / CIMB ISLAMIC BANK</v>
      </c>
      <c r="K6554" t="str">
        <f>"11090050103527"</f>
        <v>11090050103527</v>
      </c>
      <c r="L6554" t="str">
        <f t="shared" si="2684"/>
        <v>04-08-2020</v>
      </c>
      <c r="M6554" t="str">
        <f t="shared" si="2684"/>
        <v>04-08-2020</v>
      </c>
      <c r="N6554" t="str">
        <f t="shared" si="2673"/>
        <v>001105018356</v>
      </c>
      <c r="O6554" t="str">
        <f t="shared" si="2674"/>
        <v>MYR</v>
      </c>
      <c r="P6554" t="str">
        <f t="shared" si="2685"/>
        <v>NIL</v>
      </c>
      <c r="Q6554" t="str">
        <f t="shared" si="2685"/>
        <v>NIL</v>
      </c>
      <c r="R6554" t="str">
        <f t="shared" si="2661"/>
        <v>Accepted</v>
      </c>
      <c r="S6554" t="str">
        <f t="shared" si="2675"/>
        <v>Approved</v>
      </c>
      <c r="T6554" t="str">
        <f t="shared" si="2662"/>
        <v>10.20.8.188</v>
      </c>
      <c r="U6554" t="str">
        <f t="shared" si="2676"/>
        <v>AZRAD UMAR BIN SHAARI</v>
      </c>
      <c r="V6554" t="str">
        <f t="shared" si="2677"/>
        <v>FARHANA BINTI MUSTAPA</v>
      </c>
      <c r="W6554" t="str">
        <f t="shared" si="2678"/>
        <v>04-08-2020</v>
      </c>
      <c r="X6554" t="str">
        <f t="shared" si="2679"/>
        <v>RAZIMAH ANSAR AHMAD</v>
      </c>
      <c r="Y6554" t="str">
        <f t="shared" si="2680"/>
        <v>04-08-2020</v>
      </c>
      <c r="Z6554" t="str">
        <f>"COS10200804 2600"</f>
        <v>COS10200804 2600</v>
      </c>
    </row>
    <row r="6555" spans="1:26" x14ac:dyDescent="0.25">
      <c r="A6555" t="str">
        <f t="shared" si="2686"/>
        <v>04-08-2020 12:37:56</v>
      </c>
      <c r="B6555" t="str">
        <f>"0000804361"</f>
        <v>0000804361</v>
      </c>
      <c r="C6555" t="str">
        <f t="shared" si="2687"/>
        <v>0000804162</v>
      </c>
      <c r="D6555" t="str">
        <f t="shared" si="2670"/>
        <v>73185</v>
      </c>
      <c r="E6555" t="str">
        <f t="shared" si="2671"/>
        <v>KFH-OPERATIONS DEPARTMENT</v>
      </c>
      <c r="F6555" t="str">
        <f t="shared" si="2672"/>
        <v>IBG</v>
      </c>
      <c r="G6555" t="str">
        <f t="shared" si="2681"/>
        <v>Refund COSHARE 10</v>
      </c>
      <c r="H6555" s="2">
        <v>151.15</v>
      </c>
      <c r="I6555" t="str">
        <f>"JOSSIE BIN LANGKAIT"</f>
        <v>JOSSIE BIN LANGKAIT</v>
      </c>
      <c r="J6555" t="str">
        <f t="shared" si="2667"/>
        <v>CIMB BANK / CIMB ISLAMIC BANK</v>
      </c>
      <c r="K6555" t="str">
        <f>"10050081181525"</f>
        <v>10050081181525</v>
      </c>
      <c r="L6555" t="str">
        <f t="shared" si="2684"/>
        <v>04-08-2020</v>
      </c>
      <c r="M6555" t="str">
        <f t="shared" si="2684"/>
        <v>04-08-2020</v>
      </c>
      <c r="N6555" t="str">
        <f t="shared" si="2673"/>
        <v>001105018356</v>
      </c>
      <c r="O6555" t="str">
        <f t="shared" si="2674"/>
        <v>MYR</v>
      </c>
      <c r="P6555" t="str">
        <f t="shared" si="2685"/>
        <v>NIL</v>
      </c>
      <c r="Q6555" t="str">
        <f t="shared" si="2685"/>
        <v>NIL</v>
      </c>
      <c r="R6555" t="str">
        <f t="shared" si="2661"/>
        <v>Accepted</v>
      </c>
      <c r="S6555" t="str">
        <f t="shared" si="2675"/>
        <v>Approved</v>
      </c>
      <c r="T6555" t="str">
        <f t="shared" si="2662"/>
        <v>10.20.8.188</v>
      </c>
      <c r="U6555" t="str">
        <f t="shared" si="2676"/>
        <v>AZRAD UMAR BIN SHAARI</v>
      </c>
      <c r="V6555" t="str">
        <f t="shared" si="2677"/>
        <v>FARHANA BINTI MUSTAPA</v>
      </c>
      <c r="W6555" t="str">
        <f t="shared" si="2678"/>
        <v>04-08-2020</v>
      </c>
      <c r="X6555" t="str">
        <f t="shared" si="2679"/>
        <v>RAZIMAH ANSAR AHMAD</v>
      </c>
      <c r="Y6555" t="str">
        <f t="shared" si="2680"/>
        <v>04-08-2020</v>
      </c>
      <c r="Z6555" t="str">
        <f>"COS10200804 2599"</f>
        <v>COS10200804 2599</v>
      </c>
    </row>
    <row r="6556" spans="1:26" x14ac:dyDescent="0.25">
      <c r="A6556" t="str">
        <f t="shared" si="2686"/>
        <v>04-08-2020 12:37:56</v>
      </c>
      <c r="B6556" t="str">
        <f>"0000804360"</f>
        <v>0000804360</v>
      </c>
      <c r="C6556" t="str">
        <f t="shared" si="2687"/>
        <v>0000804162</v>
      </c>
      <c r="D6556" t="str">
        <f t="shared" si="2670"/>
        <v>73185</v>
      </c>
      <c r="E6556" t="str">
        <f t="shared" si="2671"/>
        <v>KFH-OPERATIONS DEPARTMENT</v>
      </c>
      <c r="F6556" t="str">
        <f t="shared" si="2672"/>
        <v>IBG</v>
      </c>
      <c r="G6556" t="str">
        <f t="shared" si="2681"/>
        <v>Refund COSHARE 10</v>
      </c>
      <c r="H6556" s="2">
        <v>167.9</v>
      </c>
      <c r="I6556" t="str">
        <f>"JONIUS  JHON MICKEY"</f>
        <v>JONIUS  JHON MICKEY</v>
      </c>
      <c r="J6556" t="str">
        <f t="shared" si="2667"/>
        <v>CIMB BANK / CIMB ISLAMIC BANK</v>
      </c>
      <c r="K6556" t="str">
        <f>"10050034891524"</f>
        <v>10050034891524</v>
      </c>
      <c r="L6556" t="str">
        <f t="shared" si="2684"/>
        <v>04-08-2020</v>
      </c>
      <c r="M6556" t="str">
        <f t="shared" si="2684"/>
        <v>04-08-2020</v>
      </c>
      <c r="N6556" t="str">
        <f t="shared" si="2673"/>
        <v>001105018356</v>
      </c>
      <c r="O6556" t="str">
        <f t="shared" si="2674"/>
        <v>MYR</v>
      </c>
      <c r="P6556" t="str">
        <f t="shared" si="2685"/>
        <v>NIL</v>
      </c>
      <c r="Q6556" t="str">
        <f t="shared" si="2685"/>
        <v>NIL</v>
      </c>
      <c r="R6556" t="str">
        <f t="shared" si="2661"/>
        <v>Accepted</v>
      </c>
      <c r="S6556" t="str">
        <f t="shared" si="2675"/>
        <v>Approved</v>
      </c>
      <c r="T6556" t="str">
        <f t="shared" si="2662"/>
        <v>10.20.8.188</v>
      </c>
      <c r="U6556" t="str">
        <f t="shared" si="2676"/>
        <v>AZRAD UMAR BIN SHAARI</v>
      </c>
      <c r="V6556" t="str">
        <f t="shared" si="2677"/>
        <v>FARHANA BINTI MUSTAPA</v>
      </c>
      <c r="W6556" t="str">
        <f t="shared" si="2678"/>
        <v>04-08-2020</v>
      </c>
      <c r="X6556" t="str">
        <f t="shared" si="2679"/>
        <v>RAZIMAH ANSAR AHMAD</v>
      </c>
      <c r="Y6556" t="str">
        <f t="shared" si="2680"/>
        <v>04-08-2020</v>
      </c>
      <c r="Z6556" t="str">
        <f>"COS10200804 2598"</f>
        <v>COS10200804 2598</v>
      </c>
    </row>
    <row r="6557" spans="1:26" x14ac:dyDescent="0.25">
      <c r="A6557" t="str">
        <f t="shared" si="2686"/>
        <v>04-08-2020 12:37:56</v>
      </c>
      <c r="B6557" t="str">
        <f>"0000804359"</f>
        <v>0000804359</v>
      </c>
      <c r="C6557" t="str">
        <f t="shared" si="2687"/>
        <v>0000804162</v>
      </c>
      <c r="D6557" t="str">
        <f t="shared" si="2670"/>
        <v>73185</v>
      </c>
      <c r="E6557" t="str">
        <f t="shared" si="2671"/>
        <v>KFH-OPERATIONS DEPARTMENT</v>
      </c>
      <c r="F6557" t="str">
        <f t="shared" si="2672"/>
        <v>IBG</v>
      </c>
      <c r="G6557" t="str">
        <f t="shared" si="2681"/>
        <v>Refund COSHARE 10</v>
      </c>
      <c r="H6557" s="2">
        <v>1679</v>
      </c>
      <c r="I6557" t="str">
        <f>"JOHNY JUSTINUS  SAHIMAT"</f>
        <v>JOHNY JUSTINUS  SAHIMAT</v>
      </c>
      <c r="J6557" t="str">
        <f t="shared" si="2667"/>
        <v>CIMB BANK / CIMB ISLAMIC BANK</v>
      </c>
      <c r="K6557" t="str">
        <f>"7632499947"</f>
        <v>7632499947</v>
      </c>
      <c r="L6557" t="str">
        <f t="shared" si="2684"/>
        <v>04-08-2020</v>
      </c>
      <c r="M6557" t="str">
        <f t="shared" si="2684"/>
        <v>04-08-2020</v>
      </c>
      <c r="N6557" t="str">
        <f t="shared" si="2673"/>
        <v>001105018356</v>
      </c>
      <c r="O6557" t="str">
        <f t="shared" si="2674"/>
        <v>MYR</v>
      </c>
      <c r="P6557" t="str">
        <f t="shared" si="2685"/>
        <v>NIL</v>
      </c>
      <c r="Q6557" t="str">
        <f t="shared" si="2685"/>
        <v>NIL</v>
      </c>
      <c r="R6557" t="str">
        <f t="shared" si="2661"/>
        <v>Accepted</v>
      </c>
      <c r="S6557" t="str">
        <f t="shared" si="2675"/>
        <v>Approved</v>
      </c>
      <c r="T6557" t="str">
        <f t="shared" si="2662"/>
        <v>10.20.8.188</v>
      </c>
      <c r="U6557" t="str">
        <f t="shared" si="2676"/>
        <v>AZRAD UMAR BIN SHAARI</v>
      </c>
      <c r="V6557" t="str">
        <f t="shared" si="2677"/>
        <v>FARHANA BINTI MUSTAPA</v>
      </c>
      <c r="W6557" t="str">
        <f t="shared" si="2678"/>
        <v>04-08-2020</v>
      </c>
      <c r="X6557" t="str">
        <f t="shared" si="2679"/>
        <v>RAZIMAH ANSAR AHMAD</v>
      </c>
      <c r="Y6557" t="str">
        <f t="shared" si="2680"/>
        <v>04-08-2020</v>
      </c>
      <c r="Z6557" t="str">
        <f>"COS10200804 2597"</f>
        <v>COS10200804 2597</v>
      </c>
    </row>
    <row r="6558" spans="1:26" x14ac:dyDescent="0.25">
      <c r="A6558" t="str">
        <f t="shared" si="2686"/>
        <v>04-08-2020 12:37:56</v>
      </c>
      <c r="B6558" t="str">
        <f>"0000804358"</f>
        <v>0000804358</v>
      </c>
      <c r="C6558" t="str">
        <f t="shared" si="2687"/>
        <v>0000804162</v>
      </c>
      <c r="D6558" t="str">
        <f t="shared" si="2670"/>
        <v>73185</v>
      </c>
      <c r="E6558" t="str">
        <f t="shared" si="2671"/>
        <v>KFH-OPERATIONS DEPARTMENT</v>
      </c>
      <c r="F6558" t="str">
        <f t="shared" si="2672"/>
        <v>IBG</v>
      </c>
      <c r="G6558" t="str">
        <f t="shared" si="2681"/>
        <v>Refund COSHARE 10</v>
      </c>
      <c r="H6558" s="2">
        <v>175</v>
      </c>
      <c r="I6558" t="str">
        <f>"JOHNNY ANAK BAYANG"</f>
        <v>JOHNNY ANAK BAYANG</v>
      </c>
      <c r="J6558" t="str">
        <f t="shared" si="2667"/>
        <v>CIMB BANK / CIMB ISLAMIC BANK</v>
      </c>
      <c r="K6558" t="str">
        <f>"7624895838"</f>
        <v>7624895838</v>
      </c>
      <c r="L6558" t="str">
        <f t="shared" si="2684"/>
        <v>04-08-2020</v>
      </c>
      <c r="M6558" t="str">
        <f t="shared" si="2684"/>
        <v>04-08-2020</v>
      </c>
      <c r="N6558" t="str">
        <f t="shared" si="2673"/>
        <v>001105018356</v>
      </c>
      <c r="O6558" t="str">
        <f t="shared" si="2674"/>
        <v>MYR</v>
      </c>
      <c r="P6558" t="str">
        <f t="shared" si="2685"/>
        <v>NIL</v>
      </c>
      <c r="Q6558" t="str">
        <f t="shared" si="2685"/>
        <v>NIL</v>
      </c>
      <c r="R6558" t="str">
        <f t="shared" si="2661"/>
        <v>Accepted</v>
      </c>
      <c r="S6558" t="str">
        <f t="shared" si="2675"/>
        <v>Approved</v>
      </c>
      <c r="T6558" t="str">
        <f t="shared" si="2662"/>
        <v>10.20.8.188</v>
      </c>
      <c r="U6558" t="str">
        <f t="shared" si="2676"/>
        <v>AZRAD UMAR BIN SHAARI</v>
      </c>
      <c r="V6558" t="str">
        <f t="shared" si="2677"/>
        <v>FARHANA BINTI MUSTAPA</v>
      </c>
      <c r="W6558" t="str">
        <f t="shared" si="2678"/>
        <v>04-08-2020</v>
      </c>
      <c r="X6558" t="str">
        <f t="shared" si="2679"/>
        <v>RAZIMAH ANSAR AHMAD</v>
      </c>
      <c r="Y6558" t="str">
        <f t="shared" si="2680"/>
        <v>04-08-2020</v>
      </c>
      <c r="Z6558" t="str">
        <f>"COS10200804 2596"</f>
        <v>COS10200804 2596</v>
      </c>
    </row>
    <row r="6559" spans="1:26" x14ac:dyDescent="0.25">
      <c r="A6559" t="str">
        <f t="shared" si="2686"/>
        <v>04-08-2020 12:37:56</v>
      </c>
      <c r="B6559" t="str">
        <f>"0000804357"</f>
        <v>0000804357</v>
      </c>
      <c r="C6559" t="str">
        <f t="shared" si="2687"/>
        <v>0000804162</v>
      </c>
      <c r="D6559" t="str">
        <f t="shared" si="2670"/>
        <v>73185</v>
      </c>
      <c r="E6559" t="str">
        <f t="shared" si="2671"/>
        <v>KFH-OPERATIONS DEPARTMENT</v>
      </c>
      <c r="F6559" t="str">
        <f t="shared" si="2672"/>
        <v>IBG</v>
      </c>
      <c r="G6559" t="str">
        <f t="shared" si="2681"/>
        <v>Refund COSHARE 10</v>
      </c>
      <c r="H6559" s="2">
        <v>763.95</v>
      </c>
      <c r="I6559" t="str">
        <f>"JOHN SEGAR AL SOONDDARAM"</f>
        <v>JOHN SEGAR AL SOONDDARAM</v>
      </c>
      <c r="J6559" t="str">
        <f t="shared" si="2667"/>
        <v>CIMB BANK / CIMB ISLAMIC BANK</v>
      </c>
      <c r="K6559" t="str">
        <f>"7618810239"</f>
        <v>7618810239</v>
      </c>
      <c r="L6559" t="str">
        <f t="shared" si="2684"/>
        <v>04-08-2020</v>
      </c>
      <c r="M6559" t="str">
        <f t="shared" si="2684"/>
        <v>04-08-2020</v>
      </c>
      <c r="N6559" t="str">
        <f t="shared" si="2673"/>
        <v>001105018356</v>
      </c>
      <c r="O6559" t="str">
        <f t="shared" si="2674"/>
        <v>MYR</v>
      </c>
      <c r="P6559" t="str">
        <f t="shared" si="2685"/>
        <v>NIL</v>
      </c>
      <c r="Q6559" t="str">
        <f t="shared" si="2685"/>
        <v>NIL</v>
      </c>
      <c r="R6559" t="str">
        <f t="shared" si="2661"/>
        <v>Accepted</v>
      </c>
      <c r="S6559" t="str">
        <f t="shared" si="2675"/>
        <v>Approved</v>
      </c>
      <c r="T6559" t="str">
        <f t="shared" si="2662"/>
        <v>10.20.8.188</v>
      </c>
      <c r="U6559" t="str">
        <f t="shared" si="2676"/>
        <v>AZRAD UMAR BIN SHAARI</v>
      </c>
      <c r="V6559" t="str">
        <f t="shared" si="2677"/>
        <v>FARHANA BINTI MUSTAPA</v>
      </c>
      <c r="W6559" t="str">
        <f t="shared" si="2678"/>
        <v>04-08-2020</v>
      </c>
      <c r="X6559" t="str">
        <f t="shared" si="2679"/>
        <v>RAZIMAH ANSAR AHMAD</v>
      </c>
      <c r="Y6559" t="str">
        <f t="shared" si="2680"/>
        <v>04-08-2020</v>
      </c>
      <c r="Z6559" t="str">
        <f>"COS10200804 2595"</f>
        <v>COS10200804 2595</v>
      </c>
    </row>
    <row r="6560" spans="1:26" x14ac:dyDescent="0.25">
      <c r="A6560" t="str">
        <f t="shared" si="2686"/>
        <v>04-08-2020 12:37:56</v>
      </c>
      <c r="B6560" t="str">
        <f>"0000804356"</f>
        <v>0000804356</v>
      </c>
      <c r="C6560" t="str">
        <f t="shared" si="2687"/>
        <v>0000804162</v>
      </c>
      <c r="D6560" t="str">
        <f t="shared" si="2670"/>
        <v>73185</v>
      </c>
      <c r="E6560" t="str">
        <f t="shared" si="2671"/>
        <v>KFH-OPERATIONS DEPARTMENT</v>
      </c>
      <c r="F6560" t="str">
        <f t="shared" si="2672"/>
        <v>IBG</v>
      </c>
      <c r="G6560" t="str">
        <f t="shared" si="2681"/>
        <v>Refund COSHARE 10</v>
      </c>
      <c r="H6560" s="2">
        <v>579</v>
      </c>
      <c r="I6560" t="str">
        <f>"JOHN PAKAR ANAK AKENG"</f>
        <v>JOHN PAKAR ANAK AKENG</v>
      </c>
      <c r="J6560" t="str">
        <f t="shared" si="2667"/>
        <v>CIMB BANK / CIMB ISLAMIC BANK</v>
      </c>
      <c r="K6560" t="str">
        <f>"11150068102524"</f>
        <v>11150068102524</v>
      </c>
      <c r="L6560" t="str">
        <f t="shared" si="2684"/>
        <v>04-08-2020</v>
      </c>
      <c r="M6560" t="str">
        <f t="shared" si="2684"/>
        <v>04-08-2020</v>
      </c>
      <c r="N6560" t="str">
        <f t="shared" si="2673"/>
        <v>001105018356</v>
      </c>
      <c r="O6560" t="str">
        <f t="shared" si="2674"/>
        <v>MYR</v>
      </c>
      <c r="P6560" t="str">
        <f t="shared" si="2685"/>
        <v>NIL</v>
      </c>
      <c r="Q6560" t="str">
        <f t="shared" si="2685"/>
        <v>NIL</v>
      </c>
      <c r="R6560" t="str">
        <f t="shared" si="2661"/>
        <v>Accepted</v>
      </c>
      <c r="S6560" t="str">
        <f t="shared" si="2675"/>
        <v>Approved</v>
      </c>
      <c r="T6560" t="str">
        <f t="shared" si="2662"/>
        <v>10.20.8.188</v>
      </c>
      <c r="U6560" t="str">
        <f t="shared" si="2676"/>
        <v>AZRAD UMAR BIN SHAARI</v>
      </c>
      <c r="V6560" t="str">
        <f t="shared" si="2677"/>
        <v>FARHANA BINTI MUSTAPA</v>
      </c>
      <c r="W6560" t="str">
        <f t="shared" si="2678"/>
        <v>04-08-2020</v>
      </c>
      <c r="X6560" t="str">
        <f t="shared" si="2679"/>
        <v>RAZIMAH ANSAR AHMAD</v>
      </c>
      <c r="Y6560" t="str">
        <f t="shared" si="2680"/>
        <v>04-08-2020</v>
      </c>
      <c r="Z6560" t="str">
        <f>"COS10200804 2594"</f>
        <v>COS10200804 2594</v>
      </c>
    </row>
    <row r="6561" spans="1:26" x14ac:dyDescent="0.25">
      <c r="A6561" t="str">
        <f t="shared" si="2686"/>
        <v>04-08-2020 12:37:56</v>
      </c>
      <c r="B6561" t="str">
        <f>"0000804355"</f>
        <v>0000804355</v>
      </c>
      <c r="C6561" t="str">
        <f t="shared" si="2687"/>
        <v>0000804162</v>
      </c>
      <c r="D6561" t="str">
        <f t="shared" si="2670"/>
        <v>73185</v>
      </c>
      <c r="E6561" t="str">
        <f t="shared" si="2671"/>
        <v>KFH-OPERATIONS DEPARTMENT</v>
      </c>
      <c r="F6561" t="str">
        <f t="shared" si="2672"/>
        <v>IBG</v>
      </c>
      <c r="G6561" t="str">
        <f t="shared" si="2681"/>
        <v>Refund COSHARE 10</v>
      </c>
      <c r="H6561" s="2">
        <v>64.05</v>
      </c>
      <c r="I6561" t="str">
        <f>"JOAN ANAK LUCAS MONET"</f>
        <v>JOAN ANAK LUCAS MONET</v>
      </c>
      <c r="J6561" t="str">
        <f t="shared" si="2667"/>
        <v>CIMB BANK / CIMB ISLAMIC BANK</v>
      </c>
      <c r="K6561" t="str">
        <f>"11050081653525"</f>
        <v>11050081653525</v>
      </c>
      <c r="L6561" t="str">
        <f t="shared" si="2684"/>
        <v>04-08-2020</v>
      </c>
      <c r="M6561" t="str">
        <f t="shared" si="2684"/>
        <v>04-08-2020</v>
      </c>
      <c r="N6561" t="str">
        <f t="shared" si="2673"/>
        <v>001105018356</v>
      </c>
      <c r="O6561" t="str">
        <f t="shared" si="2674"/>
        <v>MYR</v>
      </c>
      <c r="P6561" t="str">
        <f t="shared" si="2685"/>
        <v>NIL</v>
      </c>
      <c r="Q6561" t="str">
        <f t="shared" si="2685"/>
        <v>NIL</v>
      </c>
      <c r="R6561" t="str">
        <f t="shared" si="2661"/>
        <v>Accepted</v>
      </c>
      <c r="S6561" t="str">
        <f t="shared" si="2675"/>
        <v>Approved</v>
      </c>
      <c r="T6561" t="str">
        <f t="shared" si="2662"/>
        <v>10.20.8.188</v>
      </c>
      <c r="U6561" t="str">
        <f t="shared" si="2676"/>
        <v>AZRAD UMAR BIN SHAARI</v>
      </c>
      <c r="V6561" t="str">
        <f t="shared" si="2677"/>
        <v>FARHANA BINTI MUSTAPA</v>
      </c>
      <c r="W6561" t="str">
        <f t="shared" si="2678"/>
        <v>04-08-2020</v>
      </c>
      <c r="X6561" t="str">
        <f t="shared" si="2679"/>
        <v>RAZIMAH ANSAR AHMAD</v>
      </c>
      <c r="Y6561" t="str">
        <f t="shared" si="2680"/>
        <v>04-08-2020</v>
      </c>
      <c r="Z6561" t="str">
        <f>"COS10200804 2593"</f>
        <v>COS10200804 2593</v>
      </c>
    </row>
    <row r="6562" spans="1:26" x14ac:dyDescent="0.25">
      <c r="A6562" t="str">
        <f t="shared" si="2686"/>
        <v>04-08-2020 12:37:56</v>
      </c>
      <c r="B6562" t="str">
        <f>"0000804354"</f>
        <v>0000804354</v>
      </c>
      <c r="C6562" t="str">
        <f t="shared" si="2687"/>
        <v>0000804162</v>
      </c>
      <c r="D6562" t="str">
        <f t="shared" si="2670"/>
        <v>73185</v>
      </c>
      <c r="E6562" t="str">
        <f t="shared" si="2671"/>
        <v>KFH-OPERATIONS DEPARTMENT</v>
      </c>
      <c r="F6562" t="str">
        <f t="shared" si="2672"/>
        <v>IBG</v>
      </c>
      <c r="G6562" t="str">
        <f t="shared" si="2681"/>
        <v>Refund COSHARE 10</v>
      </c>
      <c r="H6562" s="2">
        <v>92</v>
      </c>
      <c r="I6562" t="str">
        <f>"JOAN ANAK LUCAS MONET"</f>
        <v>JOAN ANAK LUCAS MONET</v>
      </c>
      <c r="J6562" t="str">
        <f t="shared" si="2667"/>
        <v>CIMB BANK / CIMB ISLAMIC BANK</v>
      </c>
      <c r="K6562" t="str">
        <f>"11050081653525"</f>
        <v>11050081653525</v>
      </c>
      <c r="L6562" t="str">
        <f t="shared" si="2684"/>
        <v>04-08-2020</v>
      </c>
      <c r="M6562" t="str">
        <f t="shared" si="2684"/>
        <v>04-08-2020</v>
      </c>
      <c r="N6562" t="str">
        <f t="shared" si="2673"/>
        <v>001105018356</v>
      </c>
      <c r="O6562" t="str">
        <f t="shared" si="2674"/>
        <v>MYR</v>
      </c>
      <c r="P6562" t="str">
        <f t="shared" si="2685"/>
        <v>NIL</v>
      </c>
      <c r="Q6562" t="str">
        <f t="shared" si="2685"/>
        <v>NIL</v>
      </c>
      <c r="R6562" t="str">
        <f t="shared" ref="R6562:R6625" si="2688">"Accepted"</f>
        <v>Accepted</v>
      </c>
      <c r="S6562" t="str">
        <f t="shared" si="2675"/>
        <v>Approved</v>
      </c>
      <c r="T6562" t="str">
        <f t="shared" ref="T6562:T6625" si="2689">"10.20.8.188"</f>
        <v>10.20.8.188</v>
      </c>
      <c r="U6562" t="str">
        <f t="shared" si="2676"/>
        <v>AZRAD UMAR BIN SHAARI</v>
      </c>
      <c r="V6562" t="str">
        <f t="shared" si="2677"/>
        <v>FARHANA BINTI MUSTAPA</v>
      </c>
      <c r="W6562" t="str">
        <f t="shared" si="2678"/>
        <v>04-08-2020</v>
      </c>
      <c r="X6562" t="str">
        <f t="shared" si="2679"/>
        <v>RAZIMAH ANSAR AHMAD</v>
      </c>
      <c r="Y6562" t="str">
        <f t="shared" si="2680"/>
        <v>04-08-2020</v>
      </c>
      <c r="Z6562" t="str">
        <f>"COS10200804 2592"</f>
        <v>COS10200804 2592</v>
      </c>
    </row>
    <row r="6563" spans="1:26" x14ac:dyDescent="0.25">
      <c r="A6563" t="str">
        <f t="shared" si="2686"/>
        <v>04-08-2020 12:37:56</v>
      </c>
      <c r="B6563" t="str">
        <f>"0000804353"</f>
        <v>0000804353</v>
      </c>
      <c r="C6563" t="str">
        <f t="shared" si="2687"/>
        <v>0000804162</v>
      </c>
      <c r="D6563" t="str">
        <f t="shared" si="2670"/>
        <v>73185</v>
      </c>
      <c r="E6563" t="str">
        <f t="shared" si="2671"/>
        <v>KFH-OPERATIONS DEPARTMENT</v>
      </c>
      <c r="F6563" t="str">
        <f t="shared" si="2672"/>
        <v>IBG</v>
      </c>
      <c r="G6563" t="str">
        <f t="shared" si="2681"/>
        <v>Refund COSHARE 10</v>
      </c>
      <c r="H6563" s="2">
        <v>193.1</v>
      </c>
      <c r="I6563" t="str">
        <f>"JISAM BIN SAID"</f>
        <v>JISAM BIN SAID</v>
      </c>
      <c r="J6563" t="str">
        <f t="shared" si="2667"/>
        <v>CIMB BANK / CIMB ISLAMIC BANK</v>
      </c>
      <c r="K6563" t="str">
        <f>"7038271784"</f>
        <v>7038271784</v>
      </c>
      <c r="L6563" t="str">
        <f t="shared" si="2684"/>
        <v>04-08-2020</v>
      </c>
      <c r="M6563" t="str">
        <f t="shared" si="2684"/>
        <v>04-08-2020</v>
      </c>
      <c r="N6563" t="str">
        <f t="shared" si="2673"/>
        <v>001105018356</v>
      </c>
      <c r="O6563" t="str">
        <f t="shared" si="2674"/>
        <v>MYR</v>
      </c>
      <c r="P6563" t="str">
        <f t="shared" si="2685"/>
        <v>NIL</v>
      </c>
      <c r="Q6563" t="str">
        <f t="shared" si="2685"/>
        <v>NIL</v>
      </c>
      <c r="R6563" t="str">
        <f t="shared" si="2688"/>
        <v>Accepted</v>
      </c>
      <c r="S6563" t="str">
        <f t="shared" si="2675"/>
        <v>Approved</v>
      </c>
      <c r="T6563" t="str">
        <f t="shared" si="2689"/>
        <v>10.20.8.188</v>
      </c>
      <c r="U6563" t="str">
        <f t="shared" si="2676"/>
        <v>AZRAD UMAR BIN SHAARI</v>
      </c>
      <c r="V6563" t="str">
        <f t="shared" si="2677"/>
        <v>FARHANA BINTI MUSTAPA</v>
      </c>
      <c r="W6563" t="str">
        <f t="shared" si="2678"/>
        <v>04-08-2020</v>
      </c>
      <c r="X6563" t="str">
        <f t="shared" si="2679"/>
        <v>RAZIMAH ANSAR AHMAD</v>
      </c>
      <c r="Y6563" t="str">
        <f t="shared" si="2680"/>
        <v>04-08-2020</v>
      </c>
      <c r="Z6563" t="str">
        <f>"COS10200804 2591"</f>
        <v>COS10200804 2591</v>
      </c>
    </row>
    <row r="6564" spans="1:26" x14ac:dyDescent="0.25">
      <c r="A6564" t="str">
        <f t="shared" si="2686"/>
        <v>04-08-2020 12:37:56</v>
      </c>
      <c r="B6564" t="str">
        <f>"0000804352"</f>
        <v>0000804352</v>
      </c>
      <c r="C6564" t="str">
        <f t="shared" si="2687"/>
        <v>0000804162</v>
      </c>
      <c r="D6564" t="str">
        <f t="shared" si="2670"/>
        <v>73185</v>
      </c>
      <c r="E6564" t="str">
        <f t="shared" si="2671"/>
        <v>KFH-OPERATIONS DEPARTMENT</v>
      </c>
      <c r="F6564" t="str">
        <f t="shared" si="2672"/>
        <v>IBG</v>
      </c>
      <c r="G6564" t="str">
        <f t="shared" si="2681"/>
        <v>Refund COSHARE 10</v>
      </c>
      <c r="H6564" s="2">
        <v>1519.5</v>
      </c>
      <c r="I6564" t="str">
        <f>"JILMI BIN GAPOR"</f>
        <v>JILMI BIN GAPOR</v>
      </c>
      <c r="J6564" t="str">
        <f t="shared" si="2667"/>
        <v>CIMB BANK / CIMB ISLAMIC BANK</v>
      </c>
      <c r="K6564" t="str">
        <f>"7039176437"</f>
        <v>7039176437</v>
      </c>
      <c r="L6564" t="str">
        <f t="shared" si="2684"/>
        <v>04-08-2020</v>
      </c>
      <c r="M6564" t="str">
        <f t="shared" si="2684"/>
        <v>04-08-2020</v>
      </c>
      <c r="N6564" t="str">
        <f t="shared" si="2673"/>
        <v>001105018356</v>
      </c>
      <c r="O6564" t="str">
        <f t="shared" si="2674"/>
        <v>MYR</v>
      </c>
      <c r="P6564" t="str">
        <f t="shared" si="2685"/>
        <v>NIL</v>
      </c>
      <c r="Q6564" t="str">
        <f t="shared" si="2685"/>
        <v>NIL</v>
      </c>
      <c r="R6564" t="str">
        <f t="shared" si="2688"/>
        <v>Accepted</v>
      </c>
      <c r="S6564" t="str">
        <f t="shared" si="2675"/>
        <v>Approved</v>
      </c>
      <c r="T6564" t="str">
        <f t="shared" si="2689"/>
        <v>10.20.8.188</v>
      </c>
      <c r="U6564" t="str">
        <f t="shared" si="2676"/>
        <v>AZRAD UMAR BIN SHAARI</v>
      </c>
      <c r="V6564" t="str">
        <f t="shared" si="2677"/>
        <v>FARHANA BINTI MUSTAPA</v>
      </c>
      <c r="W6564" t="str">
        <f t="shared" si="2678"/>
        <v>04-08-2020</v>
      </c>
      <c r="X6564" t="str">
        <f t="shared" si="2679"/>
        <v>RAZIMAH ANSAR AHMAD</v>
      </c>
      <c r="Y6564" t="str">
        <f t="shared" si="2680"/>
        <v>04-08-2020</v>
      </c>
      <c r="Z6564" t="str">
        <f>"COS10200804 2590"</f>
        <v>COS10200804 2590</v>
      </c>
    </row>
    <row r="6565" spans="1:26" x14ac:dyDescent="0.25">
      <c r="A6565" t="str">
        <f t="shared" si="2686"/>
        <v>04-08-2020 12:37:56</v>
      </c>
      <c r="B6565" t="str">
        <f>"0000804351"</f>
        <v>0000804351</v>
      </c>
      <c r="C6565" t="str">
        <f t="shared" si="2687"/>
        <v>0000804162</v>
      </c>
      <c r="D6565" t="str">
        <f t="shared" si="2670"/>
        <v>73185</v>
      </c>
      <c r="E6565" t="str">
        <f t="shared" si="2671"/>
        <v>KFH-OPERATIONS DEPARTMENT</v>
      </c>
      <c r="F6565" t="str">
        <f t="shared" si="2672"/>
        <v>IBG</v>
      </c>
      <c r="G6565" t="str">
        <f t="shared" si="2681"/>
        <v>Refund COSHARE 10</v>
      </c>
      <c r="H6565" s="2">
        <v>1328</v>
      </c>
      <c r="I6565" t="str">
        <f>"JESSIECA JEMLEE"</f>
        <v>JESSIECA JEMLEE</v>
      </c>
      <c r="J6565" t="str">
        <f t="shared" si="2667"/>
        <v>CIMB BANK / CIMB ISLAMIC BANK</v>
      </c>
      <c r="K6565" t="str">
        <f>"10050073545528"</f>
        <v>10050073545528</v>
      </c>
      <c r="L6565" t="str">
        <f t="shared" si="2684"/>
        <v>04-08-2020</v>
      </c>
      <c r="M6565" t="str">
        <f t="shared" si="2684"/>
        <v>04-08-2020</v>
      </c>
      <c r="N6565" t="str">
        <f t="shared" si="2673"/>
        <v>001105018356</v>
      </c>
      <c r="O6565" t="str">
        <f t="shared" si="2674"/>
        <v>MYR</v>
      </c>
      <c r="P6565" t="str">
        <f t="shared" si="2685"/>
        <v>NIL</v>
      </c>
      <c r="Q6565" t="str">
        <f t="shared" si="2685"/>
        <v>NIL</v>
      </c>
      <c r="R6565" t="str">
        <f t="shared" si="2688"/>
        <v>Accepted</v>
      </c>
      <c r="S6565" t="str">
        <f t="shared" si="2675"/>
        <v>Approved</v>
      </c>
      <c r="T6565" t="str">
        <f t="shared" si="2689"/>
        <v>10.20.8.188</v>
      </c>
      <c r="U6565" t="str">
        <f t="shared" si="2676"/>
        <v>AZRAD UMAR BIN SHAARI</v>
      </c>
      <c r="V6565" t="str">
        <f t="shared" si="2677"/>
        <v>FARHANA BINTI MUSTAPA</v>
      </c>
      <c r="W6565" t="str">
        <f t="shared" si="2678"/>
        <v>04-08-2020</v>
      </c>
      <c r="X6565" t="str">
        <f t="shared" si="2679"/>
        <v>RAZIMAH ANSAR AHMAD</v>
      </c>
      <c r="Y6565" t="str">
        <f t="shared" si="2680"/>
        <v>04-08-2020</v>
      </c>
      <c r="Z6565" t="str">
        <f>"COS10200804 2589"</f>
        <v>COS10200804 2589</v>
      </c>
    </row>
    <row r="6566" spans="1:26" x14ac:dyDescent="0.25">
      <c r="A6566" t="str">
        <f t="shared" si="2686"/>
        <v>04-08-2020 12:37:56</v>
      </c>
      <c r="B6566" t="str">
        <f>"0000804350"</f>
        <v>0000804350</v>
      </c>
      <c r="C6566" t="str">
        <f t="shared" si="2687"/>
        <v>0000804162</v>
      </c>
      <c r="D6566" t="str">
        <f t="shared" si="2670"/>
        <v>73185</v>
      </c>
      <c r="E6566" t="str">
        <f t="shared" si="2671"/>
        <v>KFH-OPERATIONS DEPARTMENT</v>
      </c>
      <c r="F6566" t="str">
        <f t="shared" si="2672"/>
        <v>IBG</v>
      </c>
      <c r="G6566" t="str">
        <f t="shared" si="2681"/>
        <v>Refund COSHARE 10</v>
      </c>
      <c r="H6566" s="2">
        <v>479</v>
      </c>
      <c r="I6566" t="str">
        <f>"JENNY POH SIOW LEE"</f>
        <v>JENNY POH SIOW LEE</v>
      </c>
      <c r="J6566" t="str">
        <f t="shared" si="2667"/>
        <v>CIMB BANK / CIMB ISLAMIC BANK</v>
      </c>
      <c r="K6566" t="str">
        <f>"10060034914529"</f>
        <v>10060034914529</v>
      </c>
      <c r="L6566" t="str">
        <f t="shared" si="2684"/>
        <v>04-08-2020</v>
      </c>
      <c r="M6566" t="str">
        <f t="shared" si="2684"/>
        <v>04-08-2020</v>
      </c>
      <c r="N6566" t="str">
        <f t="shared" si="2673"/>
        <v>001105018356</v>
      </c>
      <c r="O6566" t="str">
        <f t="shared" si="2674"/>
        <v>MYR</v>
      </c>
      <c r="P6566" t="str">
        <f t="shared" si="2685"/>
        <v>NIL</v>
      </c>
      <c r="Q6566" t="str">
        <f t="shared" si="2685"/>
        <v>NIL</v>
      </c>
      <c r="R6566" t="str">
        <f t="shared" si="2688"/>
        <v>Accepted</v>
      </c>
      <c r="S6566" t="str">
        <f t="shared" si="2675"/>
        <v>Approved</v>
      </c>
      <c r="T6566" t="str">
        <f t="shared" si="2689"/>
        <v>10.20.8.188</v>
      </c>
      <c r="U6566" t="str">
        <f t="shared" si="2676"/>
        <v>AZRAD UMAR BIN SHAARI</v>
      </c>
      <c r="V6566" t="str">
        <f t="shared" si="2677"/>
        <v>FARHANA BINTI MUSTAPA</v>
      </c>
      <c r="W6566" t="str">
        <f t="shared" si="2678"/>
        <v>04-08-2020</v>
      </c>
      <c r="X6566" t="str">
        <f t="shared" si="2679"/>
        <v>RAZIMAH ANSAR AHMAD</v>
      </c>
      <c r="Y6566" t="str">
        <f t="shared" si="2680"/>
        <v>04-08-2020</v>
      </c>
      <c r="Z6566" t="str">
        <f>"COS10200804 2588"</f>
        <v>COS10200804 2588</v>
      </c>
    </row>
    <row r="6567" spans="1:26" x14ac:dyDescent="0.25">
      <c r="A6567" t="str">
        <f t="shared" si="2686"/>
        <v>04-08-2020 12:37:56</v>
      </c>
      <c r="B6567" t="str">
        <f>"0000804349"</f>
        <v>0000804349</v>
      </c>
      <c r="C6567" t="str">
        <f t="shared" si="2687"/>
        <v>0000804162</v>
      </c>
      <c r="D6567" t="str">
        <f t="shared" si="2670"/>
        <v>73185</v>
      </c>
      <c r="E6567" t="str">
        <f t="shared" si="2671"/>
        <v>KFH-OPERATIONS DEPARTMENT</v>
      </c>
      <c r="F6567" t="str">
        <f t="shared" si="2672"/>
        <v>IBG</v>
      </c>
      <c r="G6567" t="str">
        <f t="shared" si="2681"/>
        <v>Refund COSHARE 10</v>
      </c>
      <c r="H6567" s="2">
        <v>1176</v>
      </c>
      <c r="I6567" t="str">
        <f>"JENNIFER BINTI SUKOR  JOHN"</f>
        <v>JENNIFER BINTI SUKOR  JOHN</v>
      </c>
      <c r="J6567" t="str">
        <f t="shared" si="2667"/>
        <v>CIMB BANK / CIMB ISLAMIC BANK</v>
      </c>
      <c r="K6567" t="str">
        <f>"11090050889523"</f>
        <v>11090050889523</v>
      </c>
      <c r="L6567" t="str">
        <f t="shared" ref="L6567:M6586" si="2690">"04-08-2020"</f>
        <v>04-08-2020</v>
      </c>
      <c r="M6567" t="str">
        <f t="shared" si="2690"/>
        <v>04-08-2020</v>
      </c>
      <c r="N6567" t="str">
        <f t="shared" si="2673"/>
        <v>001105018356</v>
      </c>
      <c r="O6567" t="str">
        <f t="shared" si="2674"/>
        <v>MYR</v>
      </c>
      <c r="P6567" t="str">
        <f t="shared" ref="P6567:Q6586" si="2691">"NIL"</f>
        <v>NIL</v>
      </c>
      <c r="Q6567" t="str">
        <f t="shared" si="2691"/>
        <v>NIL</v>
      </c>
      <c r="R6567" t="str">
        <f t="shared" si="2688"/>
        <v>Accepted</v>
      </c>
      <c r="S6567" t="str">
        <f t="shared" si="2675"/>
        <v>Approved</v>
      </c>
      <c r="T6567" t="str">
        <f t="shared" si="2689"/>
        <v>10.20.8.188</v>
      </c>
      <c r="U6567" t="str">
        <f t="shared" si="2676"/>
        <v>AZRAD UMAR BIN SHAARI</v>
      </c>
      <c r="V6567" t="str">
        <f t="shared" si="2677"/>
        <v>FARHANA BINTI MUSTAPA</v>
      </c>
      <c r="W6567" t="str">
        <f t="shared" si="2678"/>
        <v>04-08-2020</v>
      </c>
      <c r="X6567" t="str">
        <f t="shared" si="2679"/>
        <v>RAZIMAH ANSAR AHMAD</v>
      </c>
      <c r="Y6567" t="str">
        <f t="shared" si="2680"/>
        <v>04-08-2020</v>
      </c>
      <c r="Z6567" t="str">
        <f>"COS10200804 2587"</f>
        <v>COS10200804 2587</v>
      </c>
    </row>
    <row r="6568" spans="1:26" x14ac:dyDescent="0.25">
      <c r="A6568" t="str">
        <f t="shared" si="2686"/>
        <v>04-08-2020 12:37:56</v>
      </c>
      <c r="B6568" t="str">
        <f>"0000804348"</f>
        <v>0000804348</v>
      </c>
      <c r="C6568" t="str">
        <f t="shared" si="2687"/>
        <v>0000804162</v>
      </c>
      <c r="D6568" t="str">
        <f t="shared" si="2670"/>
        <v>73185</v>
      </c>
      <c r="E6568" t="str">
        <f t="shared" si="2671"/>
        <v>KFH-OPERATIONS DEPARTMENT</v>
      </c>
      <c r="F6568" t="str">
        <f t="shared" si="2672"/>
        <v>IBG</v>
      </c>
      <c r="G6568" t="str">
        <f t="shared" si="2681"/>
        <v>Refund COSHARE 10</v>
      </c>
      <c r="H6568" s="2">
        <v>491.15</v>
      </c>
      <c r="I6568" t="str">
        <f>"JENIFFER ANAK MAURICE"</f>
        <v>JENIFFER ANAK MAURICE</v>
      </c>
      <c r="J6568" t="str">
        <f t="shared" si="2667"/>
        <v>CIMB BANK / CIMB ISLAMIC BANK</v>
      </c>
      <c r="K6568" t="str">
        <f>"11070043197520"</f>
        <v>11070043197520</v>
      </c>
      <c r="L6568" t="str">
        <f t="shared" si="2690"/>
        <v>04-08-2020</v>
      </c>
      <c r="M6568" t="str">
        <f t="shared" si="2690"/>
        <v>04-08-2020</v>
      </c>
      <c r="N6568" t="str">
        <f t="shared" si="2673"/>
        <v>001105018356</v>
      </c>
      <c r="O6568" t="str">
        <f t="shared" si="2674"/>
        <v>MYR</v>
      </c>
      <c r="P6568" t="str">
        <f t="shared" si="2691"/>
        <v>NIL</v>
      </c>
      <c r="Q6568" t="str">
        <f t="shared" si="2691"/>
        <v>NIL</v>
      </c>
      <c r="R6568" t="str">
        <f t="shared" si="2688"/>
        <v>Accepted</v>
      </c>
      <c r="S6568" t="str">
        <f t="shared" si="2675"/>
        <v>Approved</v>
      </c>
      <c r="T6568" t="str">
        <f t="shared" si="2689"/>
        <v>10.20.8.188</v>
      </c>
      <c r="U6568" t="str">
        <f t="shared" si="2676"/>
        <v>AZRAD UMAR BIN SHAARI</v>
      </c>
      <c r="V6568" t="str">
        <f t="shared" si="2677"/>
        <v>FARHANA BINTI MUSTAPA</v>
      </c>
      <c r="W6568" t="str">
        <f t="shared" si="2678"/>
        <v>04-08-2020</v>
      </c>
      <c r="X6568" t="str">
        <f t="shared" si="2679"/>
        <v>RAZIMAH ANSAR AHMAD</v>
      </c>
      <c r="Y6568" t="str">
        <f t="shared" si="2680"/>
        <v>04-08-2020</v>
      </c>
      <c r="Z6568" t="str">
        <f>"COS10200804 2586"</f>
        <v>COS10200804 2586</v>
      </c>
    </row>
    <row r="6569" spans="1:26" x14ac:dyDescent="0.25">
      <c r="A6569" t="str">
        <f t="shared" si="2686"/>
        <v>04-08-2020 12:37:56</v>
      </c>
      <c r="B6569" t="str">
        <f>"0000804347"</f>
        <v>0000804347</v>
      </c>
      <c r="C6569" t="str">
        <f t="shared" si="2687"/>
        <v>0000804162</v>
      </c>
      <c r="D6569" t="str">
        <f t="shared" si="2670"/>
        <v>73185</v>
      </c>
      <c r="E6569" t="str">
        <f t="shared" si="2671"/>
        <v>KFH-OPERATIONS DEPARTMENT</v>
      </c>
      <c r="F6569" t="str">
        <f t="shared" si="2672"/>
        <v>IBG</v>
      </c>
      <c r="G6569" t="str">
        <f t="shared" si="2681"/>
        <v>Refund COSHARE 10</v>
      </c>
      <c r="H6569" s="2">
        <v>251.85</v>
      </c>
      <c r="I6569" t="str">
        <f>"JEGATHIS AL RAMAN"</f>
        <v>JEGATHIS AL RAMAN</v>
      </c>
      <c r="J6569" t="str">
        <f t="shared" si="2667"/>
        <v>CIMB BANK / CIMB ISLAMIC BANK</v>
      </c>
      <c r="K6569" t="str">
        <f>"7066368555"</f>
        <v>7066368555</v>
      </c>
      <c r="L6569" t="str">
        <f t="shared" si="2690"/>
        <v>04-08-2020</v>
      </c>
      <c r="M6569" t="str">
        <f t="shared" si="2690"/>
        <v>04-08-2020</v>
      </c>
      <c r="N6569" t="str">
        <f t="shared" si="2673"/>
        <v>001105018356</v>
      </c>
      <c r="O6569" t="str">
        <f t="shared" si="2674"/>
        <v>MYR</v>
      </c>
      <c r="P6569" t="str">
        <f t="shared" si="2691"/>
        <v>NIL</v>
      </c>
      <c r="Q6569" t="str">
        <f t="shared" si="2691"/>
        <v>NIL</v>
      </c>
      <c r="R6569" t="str">
        <f t="shared" si="2688"/>
        <v>Accepted</v>
      </c>
      <c r="S6569" t="str">
        <f t="shared" si="2675"/>
        <v>Approved</v>
      </c>
      <c r="T6569" t="str">
        <f t="shared" si="2689"/>
        <v>10.20.8.188</v>
      </c>
      <c r="U6569" t="str">
        <f t="shared" si="2676"/>
        <v>AZRAD UMAR BIN SHAARI</v>
      </c>
      <c r="V6569" t="str">
        <f t="shared" si="2677"/>
        <v>FARHANA BINTI MUSTAPA</v>
      </c>
      <c r="W6569" t="str">
        <f t="shared" si="2678"/>
        <v>04-08-2020</v>
      </c>
      <c r="X6569" t="str">
        <f t="shared" si="2679"/>
        <v>RAZIMAH ANSAR AHMAD</v>
      </c>
      <c r="Y6569" t="str">
        <f t="shared" si="2680"/>
        <v>04-08-2020</v>
      </c>
      <c r="Z6569" t="str">
        <f>"COS10200804 2585"</f>
        <v>COS10200804 2585</v>
      </c>
    </row>
    <row r="6570" spans="1:26" x14ac:dyDescent="0.25">
      <c r="A6570" t="str">
        <f t="shared" si="2686"/>
        <v>04-08-2020 12:37:56</v>
      </c>
      <c r="B6570" t="str">
        <f>"0000804346"</f>
        <v>0000804346</v>
      </c>
      <c r="C6570" t="str">
        <f t="shared" si="2687"/>
        <v>0000804162</v>
      </c>
      <c r="D6570" t="str">
        <f t="shared" si="2670"/>
        <v>73185</v>
      </c>
      <c r="E6570" t="str">
        <f t="shared" si="2671"/>
        <v>KFH-OPERATIONS DEPARTMENT</v>
      </c>
      <c r="F6570" t="str">
        <f t="shared" si="2672"/>
        <v>IBG</v>
      </c>
      <c r="G6570" t="str">
        <f t="shared" si="2681"/>
        <v>Refund COSHARE 10</v>
      </c>
      <c r="H6570" s="2">
        <v>722.85</v>
      </c>
      <c r="I6570" t="str">
        <f>"JAWA ANAK CHABU"</f>
        <v>JAWA ANAK CHABU</v>
      </c>
      <c r="J6570" t="str">
        <f t="shared" si="2667"/>
        <v>CIMB BANK / CIMB ISLAMIC BANK</v>
      </c>
      <c r="K6570" t="str">
        <f>"11090071077524"</f>
        <v>11090071077524</v>
      </c>
      <c r="L6570" t="str">
        <f t="shared" si="2690"/>
        <v>04-08-2020</v>
      </c>
      <c r="M6570" t="str">
        <f t="shared" si="2690"/>
        <v>04-08-2020</v>
      </c>
      <c r="N6570" t="str">
        <f t="shared" si="2673"/>
        <v>001105018356</v>
      </c>
      <c r="O6570" t="str">
        <f t="shared" si="2674"/>
        <v>MYR</v>
      </c>
      <c r="P6570" t="str">
        <f t="shared" si="2691"/>
        <v>NIL</v>
      </c>
      <c r="Q6570" t="str">
        <f t="shared" si="2691"/>
        <v>NIL</v>
      </c>
      <c r="R6570" t="str">
        <f t="shared" si="2688"/>
        <v>Accepted</v>
      </c>
      <c r="S6570" t="str">
        <f t="shared" si="2675"/>
        <v>Approved</v>
      </c>
      <c r="T6570" t="str">
        <f t="shared" si="2689"/>
        <v>10.20.8.188</v>
      </c>
      <c r="U6570" t="str">
        <f t="shared" si="2676"/>
        <v>AZRAD UMAR BIN SHAARI</v>
      </c>
      <c r="V6570" t="str">
        <f t="shared" si="2677"/>
        <v>FARHANA BINTI MUSTAPA</v>
      </c>
      <c r="W6570" t="str">
        <f t="shared" si="2678"/>
        <v>04-08-2020</v>
      </c>
      <c r="X6570" t="str">
        <f t="shared" si="2679"/>
        <v>RAZIMAH ANSAR AHMAD</v>
      </c>
      <c r="Y6570" t="str">
        <f t="shared" si="2680"/>
        <v>04-08-2020</v>
      </c>
      <c r="Z6570" t="str">
        <f>"COS10200804 2584"</f>
        <v>COS10200804 2584</v>
      </c>
    </row>
    <row r="6571" spans="1:26" x14ac:dyDescent="0.25">
      <c r="A6571" t="str">
        <f t="shared" si="2686"/>
        <v>04-08-2020 12:37:56</v>
      </c>
      <c r="B6571" t="str">
        <f>"0000804345"</f>
        <v>0000804345</v>
      </c>
      <c r="C6571" t="str">
        <f t="shared" si="2687"/>
        <v>0000804162</v>
      </c>
      <c r="D6571" t="str">
        <f t="shared" si="2670"/>
        <v>73185</v>
      </c>
      <c r="E6571" t="str">
        <f t="shared" si="2671"/>
        <v>KFH-OPERATIONS DEPARTMENT</v>
      </c>
      <c r="F6571" t="str">
        <f t="shared" si="2672"/>
        <v>IBG</v>
      </c>
      <c r="G6571" t="str">
        <f t="shared" si="2681"/>
        <v>Refund COSHARE 10</v>
      </c>
      <c r="H6571" s="2">
        <v>83.95</v>
      </c>
      <c r="I6571" t="str">
        <f>"JASRUL ADHA BIN JOHARI"</f>
        <v>JASRUL ADHA BIN JOHARI</v>
      </c>
      <c r="J6571" t="str">
        <f t="shared" si="2667"/>
        <v>CIMB BANK / CIMB ISLAMIC BANK</v>
      </c>
      <c r="K6571" t="str">
        <f>"09020110681527"</f>
        <v>09020110681527</v>
      </c>
      <c r="L6571" t="str">
        <f t="shared" si="2690"/>
        <v>04-08-2020</v>
      </c>
      <c r="M6571" t="str">
        <f t="shared" si="2690"/>
        <v>04-08-2020</v>
      </c>
      <c r="N6571" t="str">
        <f t="shared" si="2673"/>
        <v>001105018356</v>
      </c>
      <c r="O6571" t="str">
        <f t="shared" si="2674"/>
        <v>MYR</v>
      </c>
      <c r="P6571" t="str">
        <f t="shared" si="2691"/>
        <v>NIL</v>
      </c>
      <c r="Q6571" t="str">
        <f t="shared" si="2691"/>
        <v>NIL</v>
      </c>
      <c r="R6571" t="str">
        <f t="shared" si="2688"/>
        <v>Accepted</v>
      </c>
      <c r="S6571" t="str">
        <f t="shared" si="2675"/>
        <v>Approved</v>
      </c>
      <c r="T6571" t="str">
        <f t="shared" si="2689"/>
        <v>10.20.8.188</v>
      </c>
      <c r="U6571" t="str">
        <f t="shared" si="2676"/>
        <v>AZRAD UMAR BIN SHAARI</v>
      </c>
      <c r="V6571" t="str">
        <f t="shared" si="2677"/>
        <v>FARHANA BINTI MUSTAPA</v>
      </c>
      <c r="W6571" t="str">
        <f t="shared" si="2678"/>
        <v>04-08-2020</v>
      </c>
      <c r="X6571" t="str">
        <f t="shared" si="2679"/>
        <v>RAZIMAH ANSAR AHMAD</v>
      </c>
      <c r="Y6571" t="str">
        <f t="shared" si="2680"/>
        <v>04-08-2020</v>
      </c>
      <c r="Z6571" t="str">
        <f>"COS10200804 2583"</f>
        <v>COS10200804 2583</v>
      </c>
    </row>
    <row r="6572" spans="1:26" x14ac:dyDescent="0.25">
      <c r="A6572" t="str">
        <f t="shared" si="2686"/>
        <v>04-08-2020 12:37:56</v>
      </c>
      <c r="B6572" t="str">
        <f>"0000804344"</f>
        <v>0000804344</v>
      </c>
      <c r="C6572" t="str">
        <f t="shared" si="2687"/>
        <v>0000804162</v>
      </c>
      <c r="D6572" t="str">
        <f t="shared" si="2670"/>
        <v>73185</v>
      </c>
      <c r="E6572" t="str">
        <f t="shared" si="2671"/>
        <v>KFH-OPERATIONS DEPARTMENT</v>
      </c>
      <c r="F6572" t="str">
        <f t="shared" si="2672"/>
        <v>IBG</v>
      </c>
      <c r="G6572" t="str">
        <f t="shared" si="2681"/>
        <v>Refund COSHARE 10</v>
      </c>
      <c r="H6572" s="2">
        <v>956</v>
      </c>
      <c r="I6572" t="str">
        <f>"JASMAWATI BINTI JOHAN"</f>
        <v>JASMAWATI BINTI JOHAN</v>
      </c>
      <c r="J6572" t="str">
        <f t="shared" si="2667"/>
        <v>CIMB BANK / CIMB ISLAMIC BANK</v>
      </c>
      <c r="K6572" t="str">
        <f>"7012607919"</f>
        <v>7012607919</v>
      </c>
      <c r="L6572" t="str">
        <f t="shared" si="2690"/>
        <v>04-08-2020</v>
      </c>
      <c r="M6572" t="str">
        <f t="shared" si="2690"/>
        <v>04-08-2020</v>
      </c>
      <c r="N6572" t="str">
        <f t="shared" si="2673"/>
        <v>001105018356</v>
      </c>
      <c r="O6572" t="str">
        <f t="shared" si="2674"/>
        <v>MYR</v>
      </c>
      <c r="P6572" t="str">
        <f t="shared" si="2691"/>
        <v>NIL</v>
      </c>
      <c r="Q6572" t="str">
        <f t="shared" si="2691"/>
        <v>NIL</v>
      </c>
      <c r="R6572" t="str">
        <f t="shared" si="2688"/>
        <v>Accepted</v>
      </c>
      <c r="S6572" t="str">
        <f t="shared" si="2675"/>
        <v>Approved</v>
      </c>
      <c r="T6572" t="str">
        <f t="shared" si="2689"/>
        <v>10.20.8.188</v>
      </c>
      <c r="U6572" t="str">
        <f t="shared" si="2676"/>
        <v>AZRAD UMAR BIN SHAARI</v>
      </c>
      <c r="V6572" t="str">
        <f t="shared" si="2677"/>
        <v>FARHANA BINTI MUSTAPA</v>
      </c>
      <c r="W6572" t="str">
        <f t="shared" si="2678"/>
        <v>04-08-2020</v>
      </c>
      <c r="X6572" t="str">
        <f t="shared" si="2679"/>
        <v>RAZIMAH ANSAR AHMAD</v>
      </c>
      <c r="Y6572" t="str">
        <f t="shared" si="2680"/>
        <v>04-08-2020</v>
      </c>
      <c r="Z6572" t="str">
        <f>"COS10200804 2582"</f>
        <v>COS10200804 2582</v>
      </c>
    </row>
    <row r="6573" spans="1:26" x14ac:dyDescent="0.25">
      <c r="A6573" t="str">
        <f t="shared" si="2686"/>
        <v>04-08-2020 12:37:56</v>
      </c>
      <c r="B6573" t="str">
        <f>"0000804343"</f>
        <v>0000804343</v>
      </c>
      <c r="C6573" t="str">
        <f t="shared" si="2687"/>
        <v>0000804162</v>
      </c>
      <c r="D6573" t="str">
        <f t="shared" si="2670"/>
        <v>73185</v>
      </c>
      <c r="E6573" t="str">
        <f t="shared" si="2671"/>
        <v>KFH-OPERATIONS DEPARTMENT</v>
      </c>
      <c r="F6573" t="str">
        <f t="shared" si="2672"/>
        <v>IBG</v>
      </c>
      <c r="G6573" t="str">
        <f t="shared" si="2681"/>
        <v>Refund COSHARE 10</v>
      </c>
      <c r="H6573" s="2">
        <v>71</v>
      </c>
      <c r="I6573" t="str">
        <f>"JASLIH  JASIMIN BIN DUMIN  RAHIMAN"</f>
        <v>JASLIH  JASIMIN BIN DUMIN  RAHIMAN</v>
      </c>
      <c r="J6573" t="str">
        <f t="shared" si="2667"/>
        <v>CIMB BANK / CIMB ISLAMIC BANK</v>
      </c>
      <c r="K6573" t="str">
        <f>"10020086045525"</f>
        <v>10020086045525</v>
      </c>
      <c r="L6573" t="str">
        <f t="shared" si="2690"/>
        <v>04-08-2020</v>
      </c>
      <c r="M6573" t="str">
        <f t="shared" si="2690"/>
        <v>04-08-2020</v>
      </c>
      <c r="N6573" t="str">
        <f t="shared" si="2673"/>
        <v>001105018356</v>
      </c>
      <c r="O6573" t="str">
        <f t="shared" si="2674"/>
        <v>MYR</v>
      </c>
      <c r="P6573" t="str">
        <f t="shared" si="2691"/>
        <v>NIL</v>
      </c>
      <c r="Q6573" t="str">
        <f t="shared" si="2691"/>
        <v>NIL</v>
      </c>
      <c r="R6573" t="str">
        <f t="shared" si="2688"/>
        <v>Accepted</v>
      </c>
      <c r="S6573" t="str">
        <f t="shared" si="2675"/>
        <v>Approved</v>
      </c>
      <c r="T6573" t="str">
        <f t="shared" si="2689"/>
        <v>10.20.8.188</v>
      </c>
      <c r="U6573" t="str">
        <f t="shared" si="2676"/>
        <v>AZRAD UMAR BIN SHAARI</v>
      </c>
      <c r="V6573" t="str">
        <f t="shared" si="2677"/>
        <v>FARHANA BINTI MUSTAPA</v>
      </c>
      <c r="W6573" t="str">
        <f t="shared" si="2678"/>
        <v>04-08-2020</v>
      </c>
      <c r="X6573" t="str">
        <f t="shared" si="2679"/>
        <v>RAZIMAH ANSAR AHMAD</v>
      </c>
      <c r="Y6573" t="str">
        <f t="shared" si="2680"/>
        <v>04-08-2020</v>
      </c>
      <c r="Z6573" t="str">
        <f>"COS10200804 2581"</f>
        <v>COS10200804 2581</v>
      </c>
    </row>
    <row r="6574" spans="1:26" x14ac:dyDescent="0.25">
      <c r="A6574" t="str">
        <f t="shared" si="2686"/>
        <v>04-08-2020 12:37:56</v>
      </c>
      <c r="B6574" t="str">
        <f>"0000804342"</f>
        <v>0000804342</v>
      </c>
      <c r="C6574" t="str">
        <f t="shared" si="2687"/>
        <v>0000804162</v>
      </c>
      <c r="D6574" t="str">
        <f t="shared" si="2670"/>
        <v>73185</v>
      </c>
      <c r="E6574" t="str">
        <f t="shared" si="2671"/>
        <v>KFH-OPERATIONS DEPARTMENT</v>
      </c>
      <c r="F6574" t="str">
        <f t="shared" si="2672"/>
        <v>IBG</v>
      </c>
      <c r="G6574" t="str">
        <f t="shared" si="2681"/>
        <v>Refund COSHARE 10</v>
      </c>
      <c r="H6574" s="2">
        <v>807</v>
      </c>
      <c r="I6574" t="str">
        <f>"JASITHA AP THAVARAJAH"</f>
        <v>JASITHA AP THAVARAJAH</v>
      </c>
      <c r="J6574" t="str">
        <f t="shared" si="2667"/>
        <v>CIMB BANK / CIMB ISLAMIC BANK</v>
      </c>
      <c r="K6574" t="str">
        <f>"7024058890"</f>
        <v>7024058890</v>
      </c>
      <c r="L6574" t="str">
        <f t="shared" si="2690"/>
        <v>04-08-2020</v>
      </c>
      <c r="M6574" t="str">
        <f t="shared" si="2690"/>
        <v>04-08-2020</v>
      </c>
      <c r="N6574" t="str">
        <f t="shared" si="2673"/>
        <v>001105018356</v>
      </c>
      <c r="O6574" t="str">
        <f t="shared" si="2674"/>
        <v>MYR</v>
      </c>
      <c r="P6574" t="str">
        <f t="shared" si="2691"/>
        <v>NIL</v>
      </c>
      <c r="Q6574" t="str">
        <f t="shared" si="2691"/>
        <v>NIL</v>
      </c>
      <c r="R6574" t="str">
        <f t="shared" si="2688"/>
        <v>Accepted</v>
      </c>
      <c r="S6574" t="str">
        <f t="shared" si="2675"/>
        <v>Approved</v>
      </c>
      <c r="T6574" t="str">
        <f t="shared" si="2689"/>
        <v>10.20.8.188</v>
      </c>
      <c r="U6574" t="str">
        <f t="shared" si="2676"/>
        <v>AZRAD UMAR BIN SHAARI</v>
      </c>
      <c r="V6574" t="str">
        <f t="shared" si="2677"/>
        <v>FARHANA BINTI MUSTAPA</v>
      </c>
      <c r="W6574" t="str">
        <f t="shared" si="2678"/>
        <v>04-08-2020</v>
      </c>
      <c r="X6574" t="str">
        <f t="shared" si="2679"/>
        <v>RAZIMAH ANSAR AHMAD</v>
      </c>
      <c r="Y6574" t="str">
        <f t="shared" si="2680"/>
        <v>04-08-2020</v>
      </c>
      <c r="Z6574" t="str">
        <f>"COS10200804 2580"</f>
        <v>COS10200804 2580</v>
      </c>
    </row>
    <row r="6575" spans="1:26" x14ac:dyDescent="0.25">
      <c r="A6575" t="str">
        <f t="shared" si="2686"/>
        <v>04-08-2020 12:37:56</v>
      </c>
      <c r="B6575" t="str">
        <f>"0000804341"</f>
        <v>0000804341</v>
      </c>
      <c r="C6575" t="str">
        <f t="shared" si="2687"/>
        <v>0000804162</v>
      </c>
      <c r="D6575" t="str">
        <f t="shared" si="2670"/>
        <v>73185</v>
      </c>
      <c r="E6575" t="str">
        <f t="shared" si="2671"/>
        <v>KFH-OPERATIONS DEPARTMENT</v>
      </c>
      <c r="F6575" t="str">
        <f t="shared" si="2672"/>
        <v>IBG</v>
      </c>
      <c r="G6575" t="str">
        <f t="shared" si="2681"/>
        <v>Refund COSHARE 10</v>
      </c>
      <c r="H6575" s="2">
        <v>839.5</v>
      </c>
      <c r="I6575" t="str">
        <f>"JAMOT  YUSEVENDER BIN MANGANJI   PETER"</f>
        <v>JAMOT  YUSEVENDER BIN MANGANJI   PETER</v>
      </c>
      <c r="J6575" t="str">
        <f t="shared" si="2667"/>
        <v>CIMB BANK / CIMB ISLAMIC BANK</v>
      </c>
      <c r="K6575" t="str">
        <f>"7019209717"</f>
        <v>7019209717</v>
      </c>
      <c r="L6575" t="str">
        <f t="shared" si="2690"/>
        <v>04-08-2020</v>
      </c>
      <c r="M6575" t="str">
        <f t="shared" si="2690"/>
        <v>04-08-2020</v>
      </c>
      <c r="N6575" t="str">
        <f t="shared" si="2673"/>
        <v>001105018356</v>
      </c>
      <c r="O6575" t="str">
        <f t="shared" si="2674"/>
        <v>MYR</v>
      </c>
      <c r="P6575" t="str">
        <f t="shared" si="2691"/>
        <v>NIL</v>
      </c>
      <c r="Q6575" t="str">
        <f t="shared" si="2691"/>
        <v>NIL</v>
      </c>
      <c r="R6575" t="str">
        <f t="shared" si="2688"/>
        <v>Accepted</v>
      </c>
      <c r="S6575" t="str">
        <f t="shared" si="2675"/>
        <v>Approved</v>
      </c>
      <c r="T6575" t="str">
        <f t="shared" si="2689"/>
        <v>10.20.8.188</v>
      </c>
      <c r="U6575" t="str">
        <f t="shared" si="2676"/>
        <v>AZRAD UMAR BIN SHAARI</v>
      </c>
      <c r="V6575" t="str">
        <f t="shared" si="2677"/>
        <v>FARHANA BINTI MUSTAPA</v>
      </c>
      <c r="W6575" t="str">
        <f t="shared" si="2678"/>
        <v>04-08-2020</v>
      </c>
      <c r="X6575" t="str">
        <f t="shared" si="2679"/>
        <v>RAZIMAH ANSAR AHMAD</v>
      </c>
      <c r="Y6575" t="str">
        <f t="shared" si="2680"/>
        <v>04-08-2020</v>
      </c>
      <c r="Z6575" t="str">
        <f>"COS10200804 2579"</f>
        <v>COS10200804 2579</v>
      </c>
    </row>
    <row r="6576" spans="1:26" x14ac:dyDescent="0.25">
      <c r="A6576" t="str">
        <f t="shared" si="2686"/>
        <v>04-08-2020 12:37:56</v>
      </c>
      <c r="B6576" t="str">
        <f>"0000804340"</f>
        <v>0000804340</v>
      </c>
      <c r="C6576" t="str">
        <f t="shared" si="2687"/>
        <v>0000804162</v>
      </c>
      <c r="D6576" t="str">
        <f t="shared" si="2670"/>
        <v>73185</v>
      </c>
      <c r="E6576" t="str">
        <f t="shared" si="2671"/>
        <v>KFH-OPERATIONS DEPARTMENT</v>
      </c>
      <c r="F6576" t="str">
        <f t="shared" si="2672"/>
        <v>IBG</v>
      </c>
      <c r="G6576" t="str">
        <f t="shared" si="2681"/>
        <v>Refund COSHARE 10</v>
      </c>
      <c r="H6576" s="2">
        <v>1670.6</v>
      </c>
      <c r="I6576" t="str">
        <f>"JAMILAH BINTI ABDUL RASHID"</f>
        <v>JAMILAH BINTI ABDUL RASHID</v>
      </c>
      <c r="J6576" t="str">
        <f t="shared" si="2667"/>
        <v>CIMB BANK / CIMB ISLAMIC BANK</v>
      </c>
      <c r="K6576" t="str">
        <f>"7010916584"</f>
        <v>7010916584</v>
      </c>
      <c r="L6576" t="str">
        <f t="shared" si="2690"/>
        <v>04-08-2020</v>
      </c>
      <c r="M6576" t="str">
        <f t="shared" si="2690"/>
        <v>04-08-2020</v>
      </c>
      <c r="N6576" t="str">
        <f t="shared" si="2673"/>
        <v>001105018356</v>
      </c>
      <c r="O6576" t="str">
        <f t="shared" si="2674"/>
        <v>MYR</v>
      </c>
      <c r="P6576" t="str">
        <f t="shared" si="2691"/>
        <v>NIL</v>
      </c>
      <c r="Q6576" t="str">
        <f t="shared" si="2691"/>
        <v>NIL</v>
      </c>
      <c r="R6576" t="str">
        <f t="shared" si="2688"/>
        <v>Accepted</v>
      </c>
      <c r="S6576" t="str">
        <f t="shared" si="2675"/>
        <v>Approved</v>
      </c>
      <c r="T6576" t="str">
        <f t="shared" si="2689"/>
        <v>10.20.8.188</v>
      </c>
      <c r="U6576" t="str">
        <f t="shared" si="2676"/>
        <v>AZRAD UMAR BIN SHAARI</v>
      </c>
      <c r="V6576" t="str">
        <f t="shared" si="2677"/>
        <v>FARHANA BINTI MUSTAPA</v>
      </c>
      <c r="W6576" t="str">
        <f t="shared" si="2678"/>
        <v>04-08-2020</v>
      </c>
      <c r="X6576" t="str">
        <f t="shared" si="2679"/>
        <v>RAZIMAH ANSAR AHMAD</v>
      </c>
      <c r="Y6576" t="str">
        <f t="shared" si="2680"/>
        <v>04-08-2020</v>
      </c>
      <c r="Z6576" t="str">
        <f>"COS10200804 2578"</f>
        <v>COS10200804 2578</v>
      </c>
    </row>
    <row r="6577" spans="1:26" x14ac:dyDescent="0.25">
      <c r="A6577" t="str">
        <f t="shared" si="2686"/>
        <v>04-08-2020 12:37:56</v>
      </c>
      <c r="B6577" t="str">
        <f>"0000804339"</f>
        <v>0000804339</v>
      </c>
      <c r="C6577" t="str">
        <f t="shared" si="2687"/>
        <v>0000804162</v>
      </c>
      <c r="D6577" t="str">
        <f t="shared" si="2670"/>
        <v>73185</v>
      </c>
      <c r="E6577" t="str">
        <f t="shared" si="2671"/>
        <v>KFH-OPERATIONS DEPARTMENT</v>
      </c>
      <c r="F6577" t="str">
        <f t="shared" si="2672"/>
        <v>IBG</v>
      </c>
      <c r="G6577" t="str">
        <f t="shared" si="2681"/>
        <v>Refund COSHARE 10</v>
      </c>
      <c r="H6577" s="2">
        <v>1614</v>
      </c>
      <c r="I6577" t="str">
        <f>"JAMILA BINTI MOHD"</f>
        <v>JAMILA BINTI MOHD</v>
      </c>
      <c r="J6577" t="str">
        <f t="shared" si="2667"/>
        <v>CIMB BANK / CIMB ISLAMIC BANK</v>
      </c>
      <c r="K6577" t="str">
        <f>"14250010270522"</f>
        <v>14250010270522</v>
      </c>
      <c r="L6577" t="str">
        <f t="shared" si="2690"/>
        <v>04-08-2020</v>
      </c>
      <c r="M6577" t="str">
        <f t="shared" si="2690"/>
        <v>04-08-2020</v>
      </c>
      <c r="N6577" t="str">
        <f t="shared" si="2673"/>
        <v>001105018356</v>
      </c>
      <c r="O6577" t="str">
        <f t="shared" si="2674"/>
        <v>MYR</v>
      </c>
      <c r="P6577" t="str">
        <f t="shared" si="2691"/>
        <v>NIL</v>
      </c>
      <c r="Q6577" t="str">
        <f t="shared" si="2691"/>
        <v>NIL</v>
      </c>
      <c r="R6577" t="str">
        <f t="shared" si="2688"/>
        <v>Accepted</v>
      </c>
      <c r="S6577" t="str">
        <f t="shared" si="2675"/>
        <v>Approved</v>
      </c>
      <c r="T6577" t="str">
        <f t="shared" si="2689"/>
        <v>10.20.8.188</v>
      </c>
      <c r="U6577" t="str">
        <f t="shared" si="2676"/>
        <v>AZRAD UMAR BIN SHAARI</v>
      </c>
      <c r="V6577" t="str">
        <f t="shared" si="2677"/>
        <v>FARHANA BINTI MUSTAPA</v>
      </c>
      <c r="W6577" t="str">
        <f t="shared" si="2678"/>
        <v>04-08-2020</v>
      </c>
      <c r="X6577" t="str">
        <f t="shared" si="2679"/>
        <v>RAZIMAH ANSAR AHMAD</v>
      </c>
      <c r="Y6577" t="str">
        <f t="shared" si="2680"/>
        <v>04-08-2020</v>
      </c>
      <c r="Z6577" t="str">
        <f>"COS10200804 2577"</f>
        <v>COS10200804 2577</v>
      </c>
    </row>
    <row r="6578" spans="1:26" x14ac:dyDescent="0.25">
      <c r="A6578" t="str">
        <f t="shared" si="2686"/>
        <v>04-08-2020 12:37:56</v>
      </c>
      <c r="B6578" t="str">
        <f>"0000804338"</f>
        <v>0000804338</v>
      </c>
      <c r="C6578" t="str">
        <f t="shared" si="2687"/>
        <v>0000804162</v>
      </c>
      <c r="D6578" t="str">
        <f t="shared" si="2670"/>
        <v>73185</v>
      </c>
      <c r="E6578" t="str">
        <f t="shared" si="2671"/>
        <v>KFH-OPERATIONS DEPARTMENT</v>
      </c>
      <c r="F6578" t="str">
        <f t="shared" si="2672"/>
        <v>IBG</v>
      </c>
      <c r="G6578" t="str">
        <f t="shared" si="2681"/>
        <v>Refund COSHARE 10</v>
      </c>
      <c r="H6578" s="2">
        <v>612.04999999999995</v>
      </c>
      <c r="I6578" t="str">
        <f>"JAMARI BIN PUTIT"</f>
        <v>JAMARI BIN PUTIT</v>
      </c>
      <c r="J6578" t="str">
        <f t="shared" si="2667"/>
        <v>CIMB BANK / CIMB ISLAMIC BANK</v>
      </c>
      <c r="K6578" t="str">
        <f>"11010001612208"</f>
        <v>11010001612208</v>
      </c>
      <c r="L6578" t="str">
        <f t="shared" si="2690"/>
        <v>04-08-2020</v>
      </c>
      <c r="M6578" t="str">
        <f t="shared" si="2690"/>
        <v>04-08-2020</v>
      </c>
      <c r="N6578" t="str">
        <f t="shared" si="2673"/>
        <v>001105018356</v>
      </c>
      <c r="O6578" t="str">
        <f t="shared" si="2674"/>
        <v>MYR</v>
      </c>
      <c r="P6578" t="str">
        <f t="shared" si="2691"/>
        <v>NIL</v>
      </c>
      <c r="Q6578" t="str">
        <f t="shared" si="2691"/>
        <v>NIL</v>
      </c>
      <c r="R6578" t="str">
        <f t="shared" si="2688"/>
        <v>Accepted</v>
      </c>
      <c r="S6578" t="str">
        <f t="shared" si="2675"/>
        <v>Approved</v>
      </c>
      <c r="T6578" t="str">
        <f t="shared" si="2689"/>
        <v>10.20.8.188</v>
      </c>
      <c r="U6578" t="str">
        <f t="shared" si="2676"/>
        <v>AZRAD UMAR BIN SHAARI</v>
      </c>
      <c r="V6578" t="str">
        <f t="shared" si="2677"/>
        <v>FARHANA BINTI MUSTAPA</v>
      </c>
      <c r="W6578" t="str">
        <f t="shared" si="2678"/>
        <v>04-08-2020</v>
      </c>
      <c r="X6578" t="str">
        <f t="shared" si="2679"/>
        <v>RAZIMAH ANSAR AHMAD</v>
      </c>
      <c r="Y6578" t="str">
        <f t="shared" si="2680"/>
        <v>04-08-2020</v>
      </c>
      <c r="Z6578" t="str">
        <f>"COS10200804 2576"</f>
        <v>COS10200804 2576</v>
      </c>
    </row>
    <row r="6579" spans="1:26" x14ac:dyDescent="0.25">
      <c r="A6579" t="str">
        <f t="shared" si="2686"/>
        <v>04-08-2020 12:37:56</v>
      </c>
      <c r="B6579" t="str">
        <f>"0000804337"</f>
        <v>0000804337</v>
      </c>
      <c r="C6579" t="str">
        <f t="shared" si="2687"/>
        <v>0000804162</v>
      </c>
      <c r="D6579" t="str">
        <f t="shared" si="2670"/>
        <v>73185</v>
      </c>
      <c r="E6579" t="str">
        <f t="shared" si="2671"/>
        <v>KFH-OPERATIONS DEPARTMENT</v>
      </c>
      <c r="F6579" t="str">
        <f t="shared" si="2672"/>
        <v>IBG</v>
      </c>
      <c r="G6579" t="str">
        <f t="shared" si="2681"/>
        <v>Refund COSHARE 10</v>
      </c>
      <c r="H6579" s="2">
        <v>219</v>
      </c>
      <c r="I6579" t="str">
        <f>"JAMARI BIN PUTIT"</f>
        <v>JAMARI BIN PUTIT</v>
      </c>
      <c r="J6579" t="str">
        <f t="shared" si="2667"/>
        <v>CIMB BANK / CIMB ISLAMIC BANK</v>
      </c>
      <c r="K6579" t="str">
        <f>"11010001612208"</f>
        <v>11010001612208</v>
      </c>
      <c r="L6579" t="str">
        <f t="shared" si="2690"/>
        <v>04-08-2020</v>
      </c>
      <c r="M6579" t="str">
        <f t="shared" si="2690"/>
        <v>04-08-2020</v>
      </c>
      <c r="N6579" t="str">
        <f t="shared" si="2673"/>
        <v>001105018356</v>
      </c>
      <c r="O6579" t="str">
        <f t="shared" si="2674"/>
        <v>MYR</v>
      </c>
      <c r="P6579" t="str">
        <f t="shared" si="2691"/>
        <v>NIL</v>
      </c>
      <c r="Q6579" t="str">
        <f t="shared" si="2691"/>
        <v>NIL</v>
      </c>
      <c r="R6579" t="str">
        <f t="shared" si="2688"/>
        <v>Accepted</v>
      </c>
      <c r="S6579" t="str">
        <f t="shared" si="2675"/>
        <v>Approved</v>
      </c>
      <c r="T6579" t="str">
        <f t="shared" si="2689"/>
        <v>10.20.8.188</v>
      </c>
      <c r="U6579" t="str">
        <f t="shared" si="2676"/>
        <v>AZRAD UMAR BIN SHAARI</v>
      </c>
      <c r="V6579" t="str">
        <f t="shared" si="2677"/>
        <v>FARHANA BINTI MUSTAPA</v>
      </c>
      <c r="W6579" t="str">
        <f t="shared" si="2678"/>
        <v>04-08-2020</v>
      </c>
      <c r="X6579" t="str">
        <f t="shared" si="2679"/>
        <v>RAZIMAH ANSAR AHMAD</v>
      </c>
      <c r="Y6579" t="str">
        <f t="shared" si="2680"/>
        <v>04-08-2020</v>
      </c>
      <c r="Z6579" t="str">
        <f>"COS10200804 2575"</f>
        <v>COS10200804 2575</v>
      </c>
    </row>
    <row r="6580" spans="1:26" x14ac:dyDescent="0.25">
      <c r="A6580" t="str">
        <f t="shared" si="2686"/>
        <v>04-08-2020 12:37:56</v>
      </c>
      <c r="B6580" t="str">
        <f>"0000804336"</f>
        <v>0000804336</v>
      </c>
      <c r="C6580" t="str">
        <f t="shared" si="2687"/>
        <v>0000804162</v>
      </c>
      <c r="D6580" t="str">
        <f t="shared" si="2670"/>
        <v>73185</v>
      </c>
      <c r="E6580" t="str">
        <f t="shared" si="2671"/>
        <v>KFH-OPERATIONS DEPARTMENT</v>
      </c>
      <c r="F6580" t="str">
        <f t="shared" si="2672"/>
        <v>IBG</v>
      </c>
      <c r="G6580" t="str">
        <f t="shared" si="2681"/>
        <v>Refund COSHARE 10</v>
      </c>
      <c r="H6580" s="2">
        <v>1158.5</v>
      </c>
      <c r="I6580" t="str">
        <f>"JAMALI BIN JALALUDDIN"</f>
        <v>JAMALI BIN JALALUDDIN</v>
      </c>
      <c r="J6580" t="str">
        <f t="shared" si="2667"/>
        <v>CIMB BANK / CIMB ISLAMIC BANK</v>
      </c>
      <c r="K6580" t="str">
        <f>"7009433558"</f>
        <v>7009433558</v>
      </c>
      <c r="L6580" t="str">
        <f t="shared" si="2690"/>
        <v>04-08-2020</v>
      </c>
      <c r="M6580" t="str">
        <f t="shared" si="2690"/>
        <v>04-08-2020</v>
      </c>
      <c r="N6580" t="str">
        <f t="shared" si="2673"/>
        <v>001105018356</v>
      </c>
      <c r="O6580" t="str">
        <f t="shared" si="2674"/>
        <v>MYR</v>
      </c>
      <c r="P6580" t="str">
        <f t="shared" si="2691"/>
        <v>NIL</v>
      </c>
      <c r="Q6580" t="str">
        <f t="shared" si="2691"/>
        <v>NIL</v>
      </c>
      <c r="R6580" t="str">
        <f t="shared" si="2688"/>
        <v>Accepted</v>
      </c>
      <c r="S6580" t="str">
        <f t="shared" si="2675"/>
        <v>Approved</v>
      </c>
      <c r="T6580" t="str">
        <f t="shared" si="2689"/>
        <v>10.20.8.188</v>
      </c>
      <c r="U6580" t="str">
        <f t="shared" si="2676"/>
        <v>AZRAD UMAR BIN SHAARI</v>
      </c>
      <c r="V6580" t="str">
        <f t="shared" si="2677"/>
        <v>FARHANA BINTI MUSTAPA</v>
      </c>
      <c r="W6580" t="str">
        <f t="shared" si="2678"/>
        <v>04-08-2020</v>
      </c>
      <c r="X6580" t="str">
        <f t="shared" si="2679"/>
        <v>RAZIMAH ANSAR AHMAD</v>
      </c>
      <c r="Y6580" t="str">
        <f t="shared" si="2680"/>
        <v>04-08-2020</v>
      </c>
      <c r="Z6580" t="str">
        <f>"COS10200804 2574"</f>
        <v>COS10200804 2574</v>
      </c>
    </row>
    <row r="6581" spans="1:26" x14ac:dyDescent="0.25">
      <c r="A6581" t="str">
        <f t="shared" si="2686"/>
        <v>04-08-2020 12:37:56</v>
      </c>
      <c r="B6581" t="str">
        <f>"0000804335"</f>
        <v>0000804335</v>
      </c>
      <c r="C6581" t="str">
        <f t="shared" si="2687"/>
        <v>0000804162</v>
      </c>
      <c r="D6581" t="str">
        <f t="shared" si="2670"/>
        <v>73185</v>
      </c>
      <c r="E6581" t="str">
        <f t="shared" si="2671"/>
        <v>KFH-OPERATIONS DEPARTMENT</v>
      </c>
      <c r="F6581" t="str">
        <f t="shared" si="2672"/>
        <v>IBG</v>
      </c>
      <c r="G6581" t="str">
        <f t="shared" si="2681"/>
        <v>Refund COSHARE 10</v>
      </c>
      <c r="H6581" s="2">
        <v>252</v>
      </c>
      <c r="I6581" t="str">
        <f>"JAMALI BIN JALALUDDIN"</f>
        <v>JAMALI BIN JALALUDDIN</v>
      </c>
      <c r="J6581" t="str">
        <f t="shared" si="2667"/>
        <v>CIMB BANK / CIMB ISLAMIC BANK</v>
      </c>
      <c r="K6581" t="str">
        <f>"7009433558"</f>
        <v>7009433558</v>
      </c>
      <c r="L6581" t="str">
        <f t="shared" si="2690"/>
        <v>04-08-2020</v>
      </c>
      <c r="M6581" t="str">
        <f t="shared" si="2690"/>
        <v>04-08-2020</v>
      </c>
      <c r="N6581" t="str">
        <f t="shared" si="2673"/>
        <v>001105018356</v>
      </c>
      <c r="O6581" t="str">
        <f t="shared" si="2674"/>
        <v>MYR</v>
      </c>
      <c r="P6581" t="str">
        <f t="shared" si="2691"/>
        <v>NIL</v>
      </c>
      <c r="Q6581" t="str">
        <f t="shared" si="2691"/>
        <v>NIL</v>
      </c>
      <c r="R6581" t="str">
        <f t="shared" si="2688"/>
        <v>Accepted</v>
      </c>
      <c r="S6581" t="str">
        <f t="shared" si="2675"/>
        <v>Approved</v>
      </c>
      <c r="T6581" t="str">
        <f t="shared" si="2689"/>
        <v>10.20.8.188</v>
      </c>
      <c r="U6581" t="str">
        <f t="shared" si="2676"/>
        <v>AZRAD UMAR BIN SHAARI</v>
      </c>
      <c r="V6581" t="str">
        <f t="shared" si="2677"/>
        <v>FARHANA BINTI MUSTAPA</v>
      </c>
      <c r="W6581" t="str">
        <f t="shared" si="2678"/>
        <v>04-08-2020</v>
      </c>
      <c r="X6581" t="str">
        <f t="shared" si="2679"/>
        <v>RAZIMAH ANSAR AHMAD</v>
      </c>
      <c r="Y6581" t="str">
        <f t="shared" si="2680"/>
        <v>04-08-2020</v>
      </c>
      <c r="Z6581" t="str">
        <f>"COS10200804 2573"</f>
        <v>COS10200804 2573</v>
      </c>
    </row>
    <row r="6582" spans="1:26" x14ac:dyDescent="0.25">
      <c r="A6582" t="str">
        <f t="shared" si="2686"/>
        <v>04-08-2020 12:37:56</v>
      </c>
      <c r="B6582" t="str">
        <f>"0000804334"</f>
        <v>0000804334</v>
      </c>
      <c r="C6582" t="str">
        <f t="shared" si="2687"/>
        <v>0000804162</v>
      </c>
      <c r="D6582" t="str">
        <f t="shared" si="2670"/>
        <v>73185</v>
      </c>
      <c r="E6582" t="str">
        <f t="shared" si="2671"/>
        <v>KFH-OPERATIONS DEPARTMENT</v>
      </c>
      <c r="F6582" t="str">
        <f t="shared" si="2672"/>
        <v>IBG</v>
      </c>
      <c r="G6582" t="str">
        <f t="shared" si="2681"/>
        <v>Refund COSHARE 10</v>
      </c>
      <c r="H6582" s="2">
        <v>965.45</v>
      </c>
      <c r="I6582" t="str">
        <f>"JALI MOHAMAD JALIL"</f>
        <v>JALI MOHAMAD JALIL</v>
      </c>
      <c r="J6582" t="str">
        <f t="shared" si="2667"/>
        <v>CIMB BANK / CIMB ISLAMIC BANK</v>
      </c>
      <c r="K6582" t="str">
        <f>"7606307862"</f>
        <v>7606307862</v>
      </c>
      <c r="L6582" t="str">
        <f t="shared" si="2690"/>
        <v>04-08-2020</v>
      </c>
      <c r="M6582" t="str">
        <f t="shared" si="2690"/>
        <v>04-08-2020</v>
      </c>
      <c r="N6582" t="str">
        <f t="shared" si="2673"/>
        <v>001105018356</v>
      </c>
      <c r="O6582" t="str">
        <f t="shared" si="2674"/>
        <v>MYR</v>
      </c>
      <c r="P6582" t="str">
        <f t="shared" si="2691"/>
        <v>NIL</v>
      </c>
      <c r="Q6582" t="str">
        <f t="shared" si="2691"/>
        <v>NIL</v>
      </c>
      <c r="R6582" t="str">
        <f t="shared" si="2688"/>
        <v>Accepted</v>
      </c>
      <c r="S6582" t="str">
        <f t="shared" si="2675"/>
        <v>Approved</v>
      </c>
      <c r="T6582" t="str">
        <f t="shared" si="2689"/>
        <v>10.20.8.188</v>
      </c>
      <c r="U6582" t="str">
        <f t="shared" si="2676"/>
        <v>AZRAD UMAR BIN SHAARI</v>
      </c>
      <c r="V6582" t="str">
        <f t="shared" si="2677"/>
        <v>FARHANA BINTI MUSTAPA</v>
      </c>
      <c r="W6582" t="str">
        <f t="shared" si="2678"/>
        <v>04-08-2020</v>
      </c>
      <c r="X6582" t="str">
        <f t="shared" si="2679"/>
        <v>RAZIMAH ANSAR AHMAD</v>
      </c>
      <c r="Y6582" t="str">
        <f t="shared" si="2680"/>
        <v>04-08-2020</v>
      </c>
      <c r="Z6582" t="str">
        <f>"COS10200804 2572"</f>
        <v>COS10200804 2572</v>
      </c>
    </row>
    <row r="6583" spans="1:26" x14ac:dyDescent="0.25">
      <c r="A6583" t="str">
        <f t="shared" si="2686"/>
        <v>04-08-2020 12:37:56</v>
      </c>
      <c r="B6583" t="str">
        <f>"0000804333"</f>
        <v>0000804333</v>
      </c>
      <c r="C6583" t="str">
        <f t="shared" si="2687"/>
        <v>0000804162</v>
      </c>
      <c r="D6583" t="str">
        <f t="shared" si="2670"/>
        <v>73185</v>
      </c>
      <c r="E6583" t="str">
        <f t="shared" si="2671"/>
        <v>KFH-OPERATIONS DEPARTMENT</v>
      </c>
      <c r="F6583" t="str">
        <f t="shared" si="2672"/>
        <v>IBG</v>
      </c>
      <c r="G6583" t="str">
        <f t="shared" si="2681"/>
        <v>Refund COSHARE 10</v>
      </c>
      <c r="H6583" s="2">
        <v>1093.7</v>
      </c>
      <c r="I6583" t="str">
        <f>"JALALUDIN BIN MD KASSIM"</f>
        <v>JALALUDIN BIN MD KASSIM</v>
      </c>
      <c r="J6583" t="str">
        <f t="shared" si="2667"/>
        <v>CIMB BANK / CIMB ISLAMIC BANK</v>
      </c>
      <c r="K6583" t="str">
        <f>"12190034223523"</f>
        <v>12190034223523</v>
      </c>
      <c r="L6583" t="str">
        <f t="shared" si="2690"/>
        <v>04-08-2020</v>
      </c>
      <c r="M6583" t="str">
        <f t="shared" si="2690"/>
        <v>04-08-2020</v>
      </c>
      <c r="N6583" t="str">
        <f t="shared" si="2673"/>
        <v>001105018356</v>
      </c>
      <c r="O6583" t="str">
        <f t="shared" si="2674"/>
        <v>MYR</v>
      </c>
      <c r="P6583" t="str">
        <f t="shared" si="2691"/>
        <v>NIL</v>
      </c>
      <c r="Q6583" t="str">
        <f t="shared" si="2691"/>
        <v>NIL</v>
      </c>
      <c r="R6583" t="str">
        <f t="shared" si="2688"/>
        <v>Accepted</v>
      </c>
      <c r="S6583" t="str">
        <f t="shared" si="2675"/>
        <v>Approved</v>
      </c>
      <c r="T6583" t="str">
        <f t="shared" si="2689"/>
        <v>10.20.8.188</v>
      </c>
      <c r="U6583" t="str">
        <f t="shared" si="2676"/>
        <v>AZRAD UMAR BIN SHAARI</v>
      </c>
      <c r="V6583" t="str">
        <f t="shared" si="2677"/>
        <v>FARHANA BINTI MUSTAPA</v>
      </c>
      <c r="W6583" t="str">
        <f t="shared" si="2678"/>
        <v>04-08-2020</v>
      </c>
      <c r="X6583" t="str">
        <f t="shared" si="2679"/>
        <v>RAZIMAH ANSAR AHMAD</v>
      </c>
      <c r="Y6583" t="str">
        <f t="shared" si="2680"/>
        <v>04-08-2020</v>
      </c>
      <c r="Z6583" t="str">
        <f>"COS10200804 2571"</f>
        <v>COS10200804 2571</v>
      </c>
    </row>
    <row r="6584" spans="1:26" x14ac:dyDescent="0.25">
      <c r="A6584" t="str">
        <f t="shared" si="2686"/>
        <v>04-08-2020 12:37:56</v>
      </c>
      <c r="B6584" t="str">
        <f>"0000804332"</f>
        <v>0000804332</v>
      </c>
      <c r="C6584" t="str">
        <f t="shared" si="2687"/>
        <v>0000804162</v>
      </c>
      <c r="D6584" t="str">
        <f t="shared" si="2670"/>
        <v>73185</v>
      </c>
      <c r="E6584" t="str">
        <f t="shared" si="2671"/>
        <v>KFH-OPERATIONS DEPARTMENT</v>
      </c>
      <c r="F6584" t="str">
        <f t="shared" si="2672"/>
        <v>IBG</v>
      </c>
      <c r="G6584" t="str">
        <f t="shared" si="2681"/>
        <v>Refund COSHARE 10</v>
      </c>
      <c r="H6584" s="2">
        <v>688.4</v>
      </c>
      <c r="I6584" t="str">
        <f>"JAKIRIN BIN RASIMIN"</f>
        <v>JAKIRIN BIN RASIMIN</v>
      </c>
      <c r="J6584" t="str">
        <f t="shared" si="2667"/>
        <v>CIMB BANK / CIMB ISLAMIC BANK</v>
      </c>
      <c r="K6584" t="str">
        <f>"10030036989527"</f>
        <v>10030036989527</v>
      </c>
      <c r="L6584" t="str">
        <f t="shared" si="2690"/>
        <v>04-08-2020</v>
      </c>
      <c r="M6584" t="str">
        <f t="shared" si="2690"/>
        <v>04-08-2020</v>
      </c>
      <c r="N6584" t="str">
        <f t="shared" si="2673"/>
        <v>001105018356</v>
      </c>
      <c r="O6584" t="str">
        <f t="shared" si="2674"/>
        <v>MYR</v>
      </c>
      <c r="P6584" t="str">
        <f t="shared" si="2691"/>
        <v>NIL</v>
      </c>
      <c r="Q6584" t="str">
        <f t="shared" si="2691"/>
        <v>NIL</v>
      </c>
      <c r="R6584" t="str">
        <f t="shared" si="2688"/>
        <v>Accepted</v>
      </c>
      <c r="S6584" t="str">
        <f t="shared" si="2675"/>
        <v>Approved</v>
      </c>
      <c r="T6584" t="str">
        <f t="shared" si="2689"/>
        <v>10.20.8.188</v>
      </c>
      <c r="U6584" t="str">
        <f t="shared" si="2676"/>
        <v>AZRAD UMAR BIN SHAARI</v>
      </c>
      <c r="V6584" t="str">
        <f t="shared" si="2677"/>
        <v>FARHANA BINTI MUSTAPA</v>
      </c>
      <c r="W6584" t="str">
        <f t="shared" si="2678"/>
        <v>04-08-2020</v>
      </c>
      <c r="X6584" t="str">
        <f t="shared" si="2679"/>
        <v>RAZIMAH ANSAR AHMAD</v>
      </c>
      <c r="Y6584" t="str">
        <f t="shared" si="2680"/>
        <v>04-08-2020</v>
      </c>
      <c r="Z6584" t="str">
        <f>"COS10200804 2570"</f>
        <v>COS10200804 2570</v>
      </c>
    </row>
    <row r="6585" spans="1:26" x14ac:dyDescent="0.25">
      <c r="A6585" t="str">
        <f t="shared" si="2686"/>
        <v>04-08-2020 12:37:56</v>
      </c>
      <c r="B6585" t="str">
        <f>"0000804331"</f>
        <v>0000804331</v>
      </c>
      <c r="C6585" t="str">
        <f t="shared" si="2687"/>
        <v>0000804162</v>
      </c>
      <c r="D6585" t="str">
        <f t="shared" si="2670"/>
        <v>73185</v>
      </c>
      <c r="E6585" t="str">
        <f t="shared" si="2671"/>
        <v>KFH-OPERATIONS DEPARTMENT</v>
      </c>
      <c r="F6585" t="str">
        <f t="shared" si="2672"/>
        <v>IBG</v>
      </c>
      <c r="G6585" t="str">
        <f t="shared" si="2681"/>
        <v>Refund COSHARE 10</v>
      </c>
      <c r="H6585" s="2">
        <v>92.35</v>
      </c>
      <c r="I6585" t="str">
        <f>"JAINAH NAHASIN"</f>
        <v>JAINAH NAHASIN</v>
      </c>
      <c r="J6585" t="str">
        <f t="shared" si="2667"/>
        <v>CIMB BANK / CIMB ISLAMIC BANK</v>
      </c>
      <c r="K6585" t="str">
        <f>"10050034349524"</f>
        <v>10050034349524</v>
      </c>
      <c r="L6585" t="str">
        <f t="shared" si="2690"/>
        <v>04-08-2020</v>
      </c>
      <c r="M6585" t="str">
        <f t="shared" si="2690"/>
        <v>04-08-2020</v>
      </c>
      <c r="N6585" t="str">
        <f t="shared" si="2673"/>
        <v>001105018356</v>
      </c>
      <c r="O6585" t="str">
        <f t="shared" si="2674"/>
        <v>MYR</v>
      </c>
      <c r="P6585" t="str">
        <f t="shared" si="2691"/>
        <v>NIL</v>
      </c>
      <c r="Q6585" t="str">
        <f t="shared" si="2691"/>
        <v>NIL</v>
      </c>
      <c r="R6585" t="str">
        <f t="shared" si="2688"/>
        <v>Accepted</v>
      </c>
      <c r="S6585" t="str">
        <f t="shared" si="2675"/>
        <v>Approved</v>
      </c>
      <c r="T6585" t="str">
        <f t="shared" si="2689"/>
        <v>10.20.8.188</v>
      </c>
      <c r="U6585" t="str">
        <f t="shared" si="2676"/>
        <v>AZRAD UMAR BIN SHAARI</v>
      </c>
      <c r="V6585" t="str">
        <f t="shared" si="2677"/>
        <v>FARHANA BINTI MUSTAPA</v>
      </c>
      <c r="W6585" t="str">
        <f t="shared" si="2678"/>
        <v>04-08-2020</v>
      </c>
      <c r="X6585" t="str">
        <f t="shared" si="2679"/>
        <v>RAZIMAH ANSAR AHMAD</v>
      </c>
      <c r="Y6585" t="str">
        <f t="shared" si="2680"/>
        <v>04-08-2020</v>
      </c>
      <c r="Z6585" t="str">
        <f>"COS10200804 2569"</f>
        <v>COS10200804 2569</v>
      </c>
    </row>
    <row r="6586" spans="1:26" x14ac:dyDescent="0.25">
      <c r="A6586" t="str">
        <f t="shared" ref="A6586:A6617" si="2692">"04-08-2020 12:37:56"</f>
        <v>04-08-2020 12:37:56</v>
      </c>
      <c r="B6586" t="str">
        <f>"0000804330"</f>
        <v>0000804330</v>
      </c>
      <c r="C6586" t="str">
        <f t="shared" ref="C6586:C6617" si="2693">"0000804162"</f>
        <v>0000804162</v>
      </c>
      <c r="D6586" t="str">
        <f t="shared" si="2670"/>
        <v>73185</v>
      </c>
      <c r="E6586" t="str">
        <f t="shared" si="2671"/>
        <v>KFH-OPERATIONS DEPARTMENT</v>
      </c>
      <c r="F6586" t="str">
        <f t="shared" si="2672"/>
        <v>IBG</v>
      </c>
      <c r="G6586" t="str">
        <f t="shared" si="2681"/>
        <v>Refund COSHARE 10</v>
      </c>
      <c r="H6586" s="2">
        <v>42</v>
      </c>
      <c r="I6586" t="str">
        <f>"JAFRILY BINTI JA AFAR"</f>
        <v>JAFRILY BINTI JA AFAR</v>
      </c>
      <c r="J6586" t="str">
        <f t="shared" si="2667"/>
        <v>CIMB BANK / CIMB ISLAMIC BANK</v>
      </c>
      <c r="K6586" t="str">
        <f>"7026598645"</f>
        <v>7026598645</v>
      </c>
      <c r="L6586" t="str">
        <f t="shared" si="2690"/>
        <v>04-08-2020</v>
      </c>
      <c r="M6586" t="str">
        <f t="shared" si="2690"/>
        <v>04-08-2020</v>
      </c>
      <c r="N6586" t="str">
        <f t="shared" si="2673"/>
        <v>001105018356</v>
      </c>
      <c r="O6586" t="str">
        <f t="shared" si="2674"/>
        <v>MYR</v>
      </c>
      <c r="P6586" t="str">
        <f t="shared" si="2691"/>
        <v>NIL</v>
      </c>
      <c r="Q6586" t="str">
        <f t="shared" si="2691"/>
        <v>NIL</v>
      </c>
      <c r="R6586" t="str">
        <f t="shared" si="2688"/>
        <v>Accepted</v>
      </c>
      <c r="S6586" t="str">
        <f t="shared" si="2675"/>
        <v>Approved</v>
      </c>
      <c r="T6586" t="str">
        <f t="shared" si="2689"/>
        <v>10.20.8.188</v>
      </c>
      <c r="U6586" t="str">
        <f t="shared" si="2676"/>
        <v>AZRAD UMAR BIN SHAARI</v>
      </c>
      <c r="V6586" t="str">
        <f t="shared" si="2677"/>
        <v>FARHANA BINTI MUSTAPA</v>
      </c>
      <c r="W6586" t="str">
        <f t="shared" si="2678"/>
        <v>04-08-2020</v>
      </c>
      <c r="X6586" t="str">
        <f t="shared" si="2679"/>
        <v>RAZIMAH ANSAR AHMAD</v>
      </c>
      <c r="Y6586" t="str">
        <f t="shared" si="2680"/>
        <v>04-08-2020</v>
      </c>
      <c r="Z6586" t="str">
        <f>"COS10200804 2568"</f>
        <v>COS10200804 2568</v>
      </c>
    </row>
    <row r="6587" spans="1:26" x14ac:dyDescent="0.25">
      <c r="A6587" t="str">
        <f t="shared" si="2692"/>
        <v>04-08-2020 12:37:56</v>
      </c>
      <c r="B6587" t="str">
        <f>"0000804329"</f>
        <v>0000804329</v>
      </c>
      <c r="C6587" t="str">
        <f t="shared" si="2693"/>
        <v>0000804162</v>
      </c>
      <c r="D6587" t="str">
        <f t="shared" si="2670"/>
        <v>73185</v>
      </c>
      <c r="E6587" t="str">
        <f t="shared" si="2671"/>
        <v>KFH-OPERATIONS DEPARTMENT</v>
      </c>
      <c r="F6587" t="str">
        <f t="shared" si="2672"/>
        <v>IBG</v>
      </c>
      <c r="G6587" t="str">
        <f t="shared" si="2681"/>
        <v>Refund COSHARE 10</v>
      </c>
      <c r="H6587" s="2">
        <v>1351.6</v>
      </c>
      <c r="I6587" t="str">
        <f>"JACKSON LODIUS"</f>
        <v>JACKSON LODIUS</v>
      </c>
      <c r="J6587" t="str">
        <f t="shared" si="2667"/>
        <v>CIMB BANK / CIMB ISLAMIC BANK</v>
      </c>
      <c r="K6587" t="str">
        <f>"7039119416"</f>
        <v>7039119416</v>
      </c>
      <c r="L6587" t="str">
        <f t="shared" ref="L6587:M6606" si="2694">"04-08-2020"</f>
        <v>04-08-2020</v>
      </c>
      <c r="M6587" t="str">
        <f t="shared" si="2694"/>
        <v>04-08-2020</v>
      </c>
      <c r="N6587" t="str">
        <f t="shared" si="2673"/>
        <v>001105018356</v>
      </c>
      <c r="O6587" t="str">
        <f t="shared" si="2674"/>
        <v>MYR</v>
      </c>
      <c r="P6587" t="str">
        <f t="shared" ref="P6587:Q6606" si="2695">"NIL"</f>
        <v>NIL</v>
      </c>
      <c r="Q6587" t="str">
        <f t="shared" si="2695"/>
        <v>NIL</v>
      </c>
      <c r="R6587" t="str">
        <f t="shared" si="2688"/>
        <v>Accepted</v>
      </c>
      <c r="S6587" t="str">
        <f t="shared" si="2675"/>
        <v>Approved</v>
      </c>
      <c r="T6587" t="str">
        <f t="shared" si="2689"/>
        <v>10.20.8.188</v>
      </c>
      <c r="U6587" t="str">
        <f t="shared" si="2676"/>
        <v>AZRAD UMAR BIN SHAARI</v>
      </c>
      <c r="V6587" t="str">
        <f t="shared" si="2677"/>
        <v>FARHANA BINTI MUSTAPA</v>
      </c>
      <c r="W6587" t="str">
        <f t="shared" si="2678"/>
        <v>04-08-2020</v>
      </c>
      <c r="X6587" t="str">
        <f t="shared" si="2679"/>
        <v>RAZIMAH ANSAR AHMAD</v>
      </c>
      <c r="Y6587" t="str">
        <f t="shared" si="2680"/>
        <v>04-08-2020</v>
      </c>
      <c r="Z6587" t="str">
        <f>"COS10200804 2567"</f>
        <v>COS10200804 2567</v>
      </c>
    </row>
    <row r="6588" spans="1:26" x14ac:dyDescent="0.25">
      <c r="A6588" t="str">
        <f t="shared" si="2692"/>
        <v>04-08-2020 12:37:56</v>
      </c>
      <c r="B6588" t="str">
        <f>"0000804328"</f>
        <v>0000804328</v>
      </c>
      <c r="C6588" t="str">
        <f t="shared" si="2693"/>
        <v>0000804162</v>
      </c>
      <c r="D6588" t="str">
        <f t="shared" si="2670"/>
        <v>73185</v>
      </c>
      <c r="E6588" t="str">
        <f t="shared" si="2671"/>
        <v>KFH-OPERATIONS DEPARTMENT</v>
      </c>
      <c r="F6588" t="str">
        <f t="shared" si="2672"/>
        <v>IBG</v>
      </c>
      <c r="G6588" t="str">
        <f t="shared" si="2681"/>
        <v>Refund COSHARE 10</v>
      </c>
      <c r="H6588" s="2">
        <v>75.599999999999994</v>
      </c>
      <c r="I6588" t="str">
        <f>"JACKSON ANAK INTING"</f>
        <v>JACKSON ANAK INTING</v>
      </c>
      <c r="J6588" t="str">
        <f t="shared" ref="J6588:J6651" si="2696">"CIMB BANK / CIMB ISLAMIC BANK"</f>
        <v>CIMB BANK / CIMB ISLAMIC BANK</v>
      </c>
      <c r="K6588" t="str">
        <f>"11100074767527"</f>
        <v>11100074767527</v>
      </c>
      <c r="L6588" t="str">
        <f t="shared" si="2694"/>
        <v>04-08-2020</v>
      </c>
      <c r="M6588" t="str">
        <f t="shared" si="2694"/>
        <v>04-08-2020</v>
      </c>
      <c r="N6588" t="str">
        <f t="shared" si="2673"/>
        <v>001105018356</v>
      </c>
      <c r="O6588" t="str">
        <f t="shared" si="2674"/>
        <v>MYR</v>
      </c>
      <c r="P6588" t="str">
        <f t="shared" si="2695"/>
        <v>NIL</v>
      </c>
      <c r="Q6588" t="str">
        <f t="shared" si="2695"/>
        <v>NIL</v>
      </c>
      <c r="R6588" t="str">
        <f t="shared" si="2688"/>
        <v>Accepted</v>
      </c>
      <c r="S6588" t="str">
        <f t="shared" si="2675"/>
        <v>Approved</v>
      </c>
      <c r="T6588" t="str">
        <f t="shared" si="2689"/>
        <v>10.20.8.188</v>
      </c>
      <c r="U6588" t="str">
        <f t="shared" si="2676"/>
        <v>AZRAD UMAR BIN SHAARI</v>
      </c>
      <c r="V6588" t="str">
        <f t="shared" si="2677"/>
        <v>FARHANA BINTI MUSTAPA</v>
      </c>
      <c r="W6588" t="str">
        <f t="shared" si="2678"/>
        <v>04-08-2020</v>
      </c>
      <c r="X6588" t="str">
        <f t="shared" si="2679"/>
        <v>RAZIMAH ANSAR AHMAD</v>
      </c>
      <c r="Y6588" t="str">
        <f t="shared" si="2680"/>
        <v>04-08-2020</v>
      </c>
      <c r="Z6588" t="str">
        <f>"COS10200804 2566"</f>
        <v>COS10200804 2566</v>
      </c>
    </row>
    <row r="6589" spans="1:26" x14ac:dyDescent="0.25">
      <c r="A6589" t="str">
        <f t="shared" si="2692"/>
        <v>04-08-2020 12:37:56</v>
      </c>
      <c r="B6589" t="str">
        <f>"0000804327"</f>
        <v>0000804327</v>
      </c>
      <c r="C6589" t="str">
        <f t="shared" si="2693"/>
        <v>0000804162</v>
      </c>
      <c r="D6589" t="str">
        <f t="shared" si="2670"/>
        <v>73185</v>
      </c>
      <c r="E6589" t="str">
        <f t="shared" si="2671"/>
        <v>KFH-OPERATIONS DEPARTMENT</v>
      </c>
      <c r="F6589" t="str">
        <f t="shared" si="2672"/>
        <v>IBG</v>
      </c>
      <c r="G6589" t="str">
        <f t="shared" si="2681"/>
        <v>Refund COSHARE 10</v>
      </c>
      <c r="H6589" s="2">
        <v>1259</v>
      </c>
      <c r="I6589" t="str">
        <f>"JABRI BIN HASAN"</f>
        <v>JABRI BIN HASAN</v>
      </c>
      <c r="J6589" t="str">
        <f t="shared" si="2696"/>
        <v>CIMB BANK / CIMB ISLAMIC BANK</v>
      </c>
      <c r="K6589" t="str">
        <f>"07110019813521"</f>
        <v>07110019813521</v>
      </c>
      <c r="L6589" t="str">
        <f t="shared" si="2694"/>
        <v>04-08-2020</v>
      </c>
      <c r="M6589" t="str">
        <f t="shared" si="2694"/>
        <v>04-08-2020</v>
      </c>
      <c r="N6589" t="str">
        <f t="shared" si="2673"/>
        <v>001105018356</v>
      </c>
      <c r="O6589" t="str">
        <f t="shared" si="2674"/>
        <v>MYR</v>
      </c>
      <c r="P6589" t="str">
        <f t="shared" si="2695"/>
        <v>NIL</v>
      </c>
      <c r="Q6589" t="str">
        <f t="shared" si="2695"/>
        <v>NIL</v>
      </c>
      <c r="R6589" t="str">
        <f t="shared" si="2688"/>
        <v>Accepted</v>
      </c>
      <c r="S6589" t="str">
        <f t="shared" si="2675"/>
        <v>Approved</v>
      </c>
      <c r="T6589" t="str">
        <f t="shared" si="2689"/>
        <v>10.20.8.188</v>
      </c>
      <c r="U6589" t="str">
        <f t="shared" si="2676"/>
        <v>AZRAD UMAR BIN SHAARI</v>
      </c>
      <c r="V6589" t="str">
        <f t="shared" si="2677"/>
        <v>FARHANA BINTI MUSTAPA</v>
      </c>
      <c r="W6589" t="str">
        <f t="shared" si="2678"/>
        <v>04-08-2020</v>
      </c>
      <c r="X6589" t="str">
        <f t="shared" si="2679"/>
        <v>RAZIMAH ANSAR AHMAD</v>
      </c>
      <c r="Y6589" t="str">
        <f t="shared" si="2680"/>
        <v>04-08-2020</v>
      </c>
      <c r="Z6589" t="str">
        <f>"COS10200804 2565"</f>
        <v>COS10200804 2565</v>
      </c>
    </row>
    <row r="6590" spans="1:26" x14ac:dyDescent="0.25">
      <c r="A6590" t="str">
        <f t="shared" si="2692"/>
        <v>04-08-2020 12:37:56</v>
      </c>
      <c r="B6590" t="str">
        <f>"0000804326"</f>
        <v>0000804326</v>
      </c>
      <c r="C6590" t="str">
        <f t="shared" si="2693"/>
        <v>0000804162</v>
      </c>
      <c r="D6590" t="str">
        <f t="shared" si="2670"/>
        <v>73185</v>
      </c>
      <c r="E6590" t="str">
        <f t="shared" si="2671"/>
        <v>KFH-OPERATIONS DEPARTMENT</v>
      </c>
      <c r="F6590" t="str">
        <f t="shared" si="2672"/>
        <v>IBG</v>
      </c>
      <c r="G6590" t="str">
        <f t="shared" si="2681"/>
        <v>Refund COSHARE 10</v>
      </c>
      <c r="H6590" s="2">
        <v>503.7</v>
      </c>
      <c r="I6590" t="str">
        <f>"JBJULIA BINTI JUSTIN"</f>
        <v>JBJULIA BINTI JUSTIN</v>
      </c>
      <c r="J6590" t="str">
        <f t="shared" si="2696"/>
        <v>CIMB BANK / CIMB ISLAMIC BANK</v>
      </c>
      <c r="K6590" t="str">
        <f>"7037992154"</f>
        <v>7037992154</v>
      </c>
      <c r="L6590" t="str">
        <f t="shared" si="2694"/>
        <v>04-08-2020</v>
      </c>
      <c r="M6590" t="str">
        <f t="shared" si="2694"/>
        <v>04-08-2020</v>
      </c>
      <c r="N6590" t="str">
        <f t="shared" si="2673"/>
        <v>001105018356</v>
      </c>
      <c r="O6590" t="str">
        <f t="shared" si="2674"/>
        <v>MYR</v>
      </c>
      <c r="P6590" t="str">
        <f t="shared" si="2695"/>
        <v>NIL</v>
      </c>
      <c r="Q6590" t="str">
        <f t="shared" si="2695"/>
        <v>NIL</v>
      </c>
      <c r="R6590" t="str">
        <f t="shared" si="2688"/>
        <v>Accepted</v>
      </c>
      <c r="S6590" t="str">
        <f t="shared" si="2675"/>
        <v>Approved</v>
      </c>
      <c r="T6590" t="str">
        <f t="shared" si="2689"/>
        <v>10.20.8.188</v>
      </c>
      <c r="U6590" t="str">
        <f t="shared" si="2676"/>
        <v>AZRAD UMAR BIN SHAARI</v>
      </c>
      <c r="V6590" t="str">
        <f t="shared" si="2677"/>
        <v>FARHANA BINTI MUSTAPA</v>
      </c>
      <c r="W6590" t="str">
        <f t="shared" si="2678"/>
        <v>04-08-2020</v>
      </c>
      <c r="X6590" t="str">
        <f t="shared" si="2679"/>
        <v>RAZIMAH ANSAR AHMAD</v>
      </c>
      <c r="Y6590" t="str">
        <f t="shared" si="2680"/>
        <v>04-08-2020</v>
      </c>
      <c r="Z6590" t="str">
        <f>"COS10200804 2564"</f>
        <v>COS10200804 2564</v>
      </c>
    </row>
    <row r="6591" spans="1:26" x14ac:dyDescent="0.25">
      <c r="A6591" t="str">
        <f t="shared" si="2692"/>
        <v>04-08-2020 12:37:56</v>
      </c>
      <c r="B6591" t="str">
        <f>"0000804325"</f>
        <v>0000804325</v>
      </c>
      <c r="C6591" t="str">
        <f t="shared" si="2693"/>
        <v>0000804162</v>
      </c>
      <c r="D6591" t="str">
        <f t="shared" si="2670"/>
        <v>73185</v>
      </c>
      <c r="E6591" t="str">
        <f t="shared" si="2671"/>
        <v>KFH-OPERATIONS DEPARTMENT</v>
      </c>
      <c r="F6591" t="str">
        <f t="shared" si="2672"/>
        <v>IBG</v>
      </c>
      <c r="G6591" t="str">
        <f t="shared" si="2681"/>
        <v>Refund COSHARE 10</v>
      </c>
      <c r="H6591" s="2">
        <v>1452.35</v>
      </c>
      <c r="I6591" t="str">
        <f>"IZWAN HELMIZAN BIN ISHAK"</f>
        <v>IZWAN HELMIZAN BIN ISHAK</v>
      </c>
      <c r="J6591" t="str">
        <f t="shared" si="2696"/>
        <v>CIMB BANK / CIMB ISLAMIC BANK</v>
      </c>
      <c r="K6591" t="str">
        <f>"7609541878"</f>
        <v>7609541878</v>
      </c>
      <c r="L6591" t="str">
        <f t="shared" si="2694"/>
        <v>04-08-2020</v>
      </c>
      <c r="M6591" t="str">
        <f t="shared" si="2694"/>
        <v>04-08-2020</v>
      </c>
      <c r="N6591" t="str">
        <f t="shared" si="2673"/>
        <v>001105018356</v>
      </c>
      <c r="O6591" t="str">
        <f t="shared" si="2674"/>
        <v>MYR</v>
      </c>
      <c r="P6591" t="str">
        <f t="shared" si="2695"/>
        <v>NIL</v>
      </c>
      <c r="Q6591" t="str">
        <f t="shared" si="2695"/>
        <v>NIL</v>
      </c>
      <c r="R6591" t="str">
        <f t="shared" si="2688"/>
        <v>Accepted</v>
      </c>
      <c r="S6591" t="str">
        <f t="shared" si="2675"/>
        <v>Approved</v>
      </c>
      <c r="T6591" t="str">
        <f t="shared" si="2689"/>
        <v>10.20.8.188</v>
      </c>
      <c r="U6591" t="str">
        <f t="shared" si="2676"/>
        <v>AZRAD UMAR BIN SHAARI</v>
      </c>
      <c r="V6591" t="str">
        <f t="shared" si="2677"/>
        <v>FARHANA BINTI MUSTAPA</v>
      </c>
      <c r="W6591" t="str">
        <f t="shared" si="2678"/>
        <v>04-08-2020</v>
      </c>
      <c r="X6591" t="str">
        <f t="shared" si="2679"/>
        <v>RAZIMAH ANSAR AHMAD</v>
      </c>
      <c r="Y6591" t="str">
        <f t="shared" si="2680"/>
        <v>04-08-2020</v>
      </c>
      <c r="Z6591" t="str">
        <f>"COS10200804 2563"</f>
        <v>COS10200804 2563</v>
      </c>
    </row>
    <row r="6592" spans="1:26" x14ac:dyDescent="0.25">
      <c r="A6592" t="str">
        <f t="shared" si="2692"/>
        <v>04-08-2020 12:37:56</v>
      </c>
      <c r="B6592" t="str">
        <f>"0000804324"</f>
        <v>0000804324</v>
      </c>
      <c r="C6592" t="str">
        <f t="shared" si="2693"/>
        <v>0000804162</v>
      </c>
      <c r="D6592" t="str">
        <f t="shared" si="2670"/>
        <v>73185</v>
      </c>
      <c r="E6592" t="str">
        <f t="shared" si="2671"/>
        <v>KFH-OPERATIONS DEPARTMENT</v>
      </c>
      <c r="F6592" t="str">
        <f t="shared" si="2672"/>
        <v>IBG</v>
      </c>
      <c r="G6592" t="str">
        <f t="shared" si="2681"/>
        <v>Refund COSHARE 10</v>
      </c>
      <c r="H6592" s="2">
        <v>1334.8</v>
      </c>
      <c r="I6592" t="str">
        <f>"IZAN BINTI MAHDIN"</f>
        <v>IZAN BINTI MAHDIN</v>
      </c>
      <c r="J6592" t="str">
        <f t="shared" si="2696"/>
        <v>CIMB BANK / CIMB ISLAMIC BANK</v>
      </c>
      <c r="K6592" t="str">
        <f>"7618567759"</f>
        <v>7618567759</v>
      </c>
      <c r="L6592" t="str">
        <f t="shared" si="2694"/>
        <v>04-08-2020</v>
      </c>
      <c r="M6592" t="str">
        <f t="shared" si="2694"/>
        <v>04-08-2020</v>
      </c>
      <c r="N6592" t="str">
        <f t="shared" si="2673"/>
        <v>001105018356</v>
      </c>
      <c r="O6592" t="str">
        <f t="shared" si="2674"/>
        <v>MYR</v>
      </c>
      <c r="P6592" t="str">
        <f t="shared" si="2695"/>
        <v>NIL</v>
      </c>
      <c r="Q6592" t="str">
        <f t="shared" si="2695"/>
        <v>NIL</v>
      </c>
      <c r="R6592" t="str">
        <f t="shared" si="2688"/>
        <v>Accepted</v>
      </c>
      <c r="S6592" t="str">
        <f t="shared" si="2675"/>
        <v>Approved</v>
      </c>
      <c r="T6592" t="str">
        <f t="shared" si="2689"/>
        <v>10.20.8.188</v>
      </c>
      <c r="U6592" t="str">
        <f t="shared" si="2676"/>
        <v>AZRAD UMAR BIN SHAARI</v>
      </c>
      <c r="V6592" t="str">
        <f t="shared" si="2677"/>
        <v>FARHANA BINTI MUSTAPA</v>
      </c>
      <c r="W6592" t="str">
        <f t="shared" si="2678"/>
        <v>04-08-2020</v>
      </c>
      <c r="X6592" t="str">
        <f t="shared" si="2679"/>
        <v>RAZIMAH ANSAR AHMAD</v>
      </c>
      <c r="Y6592" t="str">
        <f t="shared" si="2680"/>
        <v>04-08-2020</v>
      </c>
      <c r="Z6592" t="str">
        <f>"COS10200804 2562"</f>
        <v>COS10200804 2562</v>
      </c>
    </row>
    <row r="6593" spans="1:26" x14ac:dyDescent="0.25">
      <c r="A6593" t="str">
        <f t="shared" si="2692"/>
        <v>04-08-2020 12:37:56</v>
      </c>
      <c r="B6593" t="str">
        <f>"0000804323"</f>
        <v>0000804323</v>
      </c>
      <c r="C6593" t="str">
        <f t="shared" si="2693"/>
        <v>0000804162</v>
      </c>
      <c r="D6593" t="str">
        <f t="shared" si="2670"/>
        <v>73185</v>
      </c>
      <c r="E6593" t="str">
        <f t="shared" si="2671"/>
        <v>KFH-OPERATIONS DEPARTMENT</v>
      </c>
      <c r="F6593" t="str">
        <f t="shared" si="2672"/>
        <v>IBG</v>
      </c>
      <c r="G6593" t="str">
        <f t="shared" si="2681"/>
        <v>Refund COSHARE 10</v>
      </c>
      <c r="H6593" s="2">
        <v>869.3</v>
      </c>
      <c r="I6593" t="str">
        <f>"ISWANDY BIN ABDULLAH MAIL ANAK GANDA"</f>
        <v>ISWANDY BIN ABDULLAH MAIL ANAK GANDA</v>
      </c>
      <c r="J6593" t="str">
        <f t="shared" si="2696"/>
        <v>CIMB BANK / CIMB ISLAMIC BANK</v>
      </c>
      <c r="K6593" t="str">
        <f>"11080000261202"</f>
        <v>11080000261202</v>
      </c>
      <c r="L6593" t="str">
        <f t="shared" si="2694"/>
        <v>04-08-2020</v>
      </c>
      <c r="M6593" t="str">
        <f t="shared" si="2694"/>
        <v>04-08-2020</v>
      </c>
      <c r="N6593" t="str">
        <f t="shared" si="2673"/>
        <v>001105018356</v>
      </c>
      <c r="O6593" t="str">
        <f t="shared" si="2674"/>
        <v>MYR</v>
      </c>
      <c r="P6593" t="str">
        <f t="shared" si="2695"/>
        <v>NIL</v>
      </c>
      <c r="Q6593" t="str">
        <f t="shared" si="2695"/>
        <v>NIL</v>
      </c>
      <c r="R6593" t="str">
        <f t="shared" si="2688"/>
        <v>Accepted</v>
      </c>
      <c r="S6593" t="str">
        <f t="shared" si="2675"/>
        <v>Approved</v>
      </c>
      <c r="T6593" t="str">
        <f t="shared" si="2689"/>
        <v>10.20.8.188</v>
      </c>
      <c r="U6593" t="str">
        <f t="shared" si="2676"/>
        <v>AZRAD UMAR BIN SHAARI</v>
      </c>
      <c r="V6593" t="str">
        <f t="shared" si="2677"/>
        <v>FARHANA BINTI MUSTAPA</v>
      </c>
      <c r="W6593" t="str">
        <f t="shared" si="2678"/>
        <v>04-08-2020</v>
      </c>
      <c r="X6593" t="str">
        <f t="shared" si="2679"/>
        <v>RAZIMAH ANSAR AHMAD</v>
      </c>
      <c r="Y6593" t="str">
        <f t="shared" si="2680"/>
        <v>04-08-2020</v>
      </c>
      <c r="Z6593" t="str">
        <f>"COS10200804 2561"</f>
        <v>COS10200804 2561</v>
      </c>
    </row>
    <row r="6594" spans="1:26" x14ac:dyDescent="0.25">
      <c r="A6594" t="str">
        <f t="shared" si="2692"/>
        <v>04-08-2020 12:37:56</v>
      </c>
      <c r="B6594" t="str">
        <f>"0000804322"</f>
        <v>0000804322</v>
      </c>
      <c r="C6594" t="str">
        <f t="shared" si="2693"/>
        <v>0000804162</v>
      </c>
      <c r="D6594" t="str">
        <f t="shared" si="2670"/>
        <v>73185</v>
      </c>
      <c r="E6594" t="str">
        <f t="shared" si="2671"/>
        <v>KFH-OPERATIONS DEPARTMENT</v>
      </c>
      <c r="F6594" t="str">
        <f t="shared" si="2672"/>
        <v>IBG</v>
      </c>
      <c r="G6594" t="str">
        <f t="shared" si="2681"/>
        <v>Refund COSHARE 10</v>
      </c>
      <c r="H6594" s="2">
        <v>478.55</v>
      </c>
      <c r="I6594" t="str">
        <f>"ISMARZIANA BINTI SALLEH"</f>
        <v>ISMARZIANA BINTI SALLEH</v>
      </c>
      <c r="J6594" t="str">
        <f t="shared" si="2696"/>
        <v>CIMB BANK / CIMB ISLAMIC BANK</v>
      </c>
      <c r="K6594" t="str">
        <f>"12290071784520"</f>
        <v>12290071784520</v>
      </c>
      <c r="L6594" t="str">
        <f t="shared" si="2694"/>
        <v>04-08-2020</v>
      </c>
      <c r="M6594" t="str">
        <f t="shared" si="2694"/>
        <v>04-08-2020</v>
      </c>
      <c r="N6594" t="str">
        <f t="shared" si="2673"/>
        <v>001105018356</v>
      </c>
      <c r="O6594" t="str">
        <f t="shared" si="2674"/>
        <v>MYR</v>
      </c>
      <c r="P6594" t="str">
        <f t="shared" si="2695"/>
        <v>NIL</v>
      </c>
      <c r="Q6594" t="str">
        <f t="shared" si="2695"/>
        <v>NIL</v>
      </c>
      <c r="R6594" t="str">
        <f t="shared" si="2688"/>
        <v>Accepted</v>
      </c>
      <c r="S6594" t="str">
        <f t="shared" si="2675"/>
        <v>Approved</v>
      </c>
      <c r="T6594" t="str">
        <f t="shared" si="2689"/>
        <v>10.20.8.188</v>
      </c>
      <c r="U6594" t="str">
        <f t="shared" si="2676"/>
        <v>AZRAD UMAR BIN SHAARI</v>
      </c>
      <c r="V6594" t="str">
        <f t="shared" si="2677"/>
        <v>FARHANA BINTI MUSTAPA</v>
      </c>
      <c r="W6594" t="str">
        <f t="shared" si="2678"/>
        <v>04-08-2020</v>
      </c>
      <c r="X6594" t="str">
        <f t="shared" si="2679"/>
        <v>RAZIMAH ANSAR AHMAD</v>
      </c>
      <c r="Y6594" t="str">
        <f t="shared" si="2680"/>
        <v>04-08-2020</v>
      </c>
      <c r="Z6594" t="str">
        <f>"COS10200804 2560"</f>
        <v>COS10200804 2560</v>
      </c>
    </row>
    <row r="6595" spans="1:26" x14ac:dyDescent="0.25">
      <c r="A6595" t="str">
        <f t="shared" si="2692"/>
        <v>04-08-2020 12:37:56</v>
      </c>
      <c r="B6595" t="str">
        <f>"0000804321"</f>
        <v>0000804321</v>
      </c>
      <c r="C6595" t="str">
        <f t="shared" si="2693"/>
        <v>0000804162</v>
      </c>
      <c r="D6595" t="str">
        <f t="shared" si="2670"/>
        <v>73185</v>
      </c>
      <c r="E6595" t="str">
        <f t="shared" si="2671"/>
        <v>KFH-OPERATIONS DEPARTMENT</v>
      </c>
      <c r="F6595" t="str">
        <f t="shared" si="2672"/>
        <v>IBG</v>
      </c>
      <c r="G6595" t="str">
        <f t="shared" si="2681"/>
        <v>Refund COSHARE 10</v>
      </c>
      <c r="H6595" s="2">
        <v>856.3</v>
      </c>
      <c r="I6595" t="str">
        <f>"ISMANIZAM BIN CHE ISMAIL"</f>
        <v>ISMANIZAM BIN CHE ISMAIL</v>
      </c>
      <c r="J6595" t="str">
        <f t="shared" si="2696"/>
        <v>CIMB BANK / CIMB ISLAMIC BANK</v>
      </c>
      <c r="K6595" t="str">
        <f>"14400052667529"</f>
        <v>14400052667529</v>
      </c>
      <c r="L6595" t="str">
        <f t="shared" si="2694"/>
        <v>04-08-2020</v>
      </c>
      <c r="M6595" t="str">
        <f t="shared" si="2694"/>
        <v>04-08-2020</v>
      </c>
      <c r="N6595" t="str">
        <f t="shared" si="2673"/>
        <v>001105018356</v>
      </c>
      <c r="O6595" t="str">
        <f t="shared" si="2674"/>
        <v>MYR</v>
      </c>
      <c r="P6595" t="str">
        <f t="shared" si="2695"/>
        <v>NIL</v>
      </c>
      <c r="Q6595" t="str">
        <f t="shared" si="2695"/>
        <v>NIL</v>
      </c>
      <c r="R6595" t="str">
        <f t="shared" si="2688"/>
        <v>Accepted</v>
      </c>
      <c r="S6595" t="str">
        <f t="shared" si="2675"/>
        <v>Approved</v>
      </c>
      <c r="T6595" t="str">
        <f t="shared" si="2689"/>
        <v>10.20.8.188</v>
      </c>
      <c r="U6595" t="str">
        <f t="shared" si="2676"/>
        <v>AZRAD UMAR BIN SHAARI</v>
      </c>
      <c r="V6595" t="str">
        <f t="shared" si="2677"/>
        <v>FARHANA BINTI MUSTAPA</v>
      </c>
      <c r="W6595" t="str">
        <f t="shared" si="2678"/>
        <v>04-08-2020</v>
      </c>
      <c r="X6595" t="str">
        <f t="shared" si="2679"/>
        <v>RAZIMAH ANSAR AHMAD</v>
      </c>
      <c r="Y6595" t="str">
        <f t="shared" si="2680"/>
        <v>04-08-2020</v>
      </c>
      <c r="Z6595" t="str">
        <f>"COS10200804 2559"</f>
        <v>COS10200804 2559</v>
      </c>
    </row>
    <row r="6596" spans="1:26" x14ac:dyDescent="0.25">
      <c r="A6596" t="str">
        <f t="shared" si="2692"/>
        <v>04-08-2020 12:37:56</v>
      </c>
      <c r="B6596" t="str">
        <f>"0000804320"</f>
        <v>0000804320</v>
      </c>
      <c r="C6596" t="str">
        <f t="shared" si="2693"/>
        <v>0000804162</v>
      </c>
      <c r="D6596" t="str">
        <f t="shared" si="2670"/>
        <v>73185</v>
      </c>
      <c r="E6596" t="str">
        <f t="shared" si="2671"/>
        <v>KFH-OPERATIONS DEPARTMENT</v>
      </c>
      <c r="F6596" t="str">
        <f t="shared" si="2672"/>
        <v>IBG</v>
      </c>
      <c r="G6596" t="str">
        <f t="shared" si="2681"/>
        <v>Refund COSHARE 10</v>
      </c>
      <c r="H6596" s="2">
        <v>55</v>
      </c>
      <c r="I6596" t="str">
        <f>"ISMAIL BIN ZAKARIA"</f>
        <v>ISMAIL BIN ZAKARIA</v>
      </c>
      <c r="J6596" t="str">
        <f t="shared" si="2696"/>
        <v>CIMB BANK / CIMB ISLAMIC BANK</v>
      </c>
      <c r="K6596" t="str">
        <f>"08160066296522"</f>
        <v>08160066296522</v>
      </c>
      <c r="L6596" t="str">
        <f t="shared" si="2694"/>
        <v>04-08-2020</v>
      </c>
      <c r="M6596" t="str">
        <f t="shared" si="2694"/>
        <v>04-08-2020</v>
      </c>
      <c r="N6596" t="str">
        <f t="shared" si="2673"/>
        <v>001105018356</v>
      </c>
      <c r="O6596" t="str">
        <f t="shared" si="2674"/>
        <v>MYR</v>
      </c>
      <c r="P6596" t="str">
        <f t="shared" si="2695"/>
        <v>NIL</v>
      </c>
      <c r="Q6596" t="str">
        <f t="shared" si="2695"/>
        <v>NIL</v>
      </c>
      <c r="R6596" t="str">
        <f t="shared" si="2688"/>
        <v>Accepted</v>
      </c>
      <c r="S6596" t="str">
        <f t="shared" si="2675"/>
        <v>Approved</v>
      </c>
      <c r="T6596" t="str">
        <f t="shared" si="2689"/>
        <v>10.20.8.188</v>
      </c>
      <c r="U6596" t="str">
        <f t="shared" si="2676"/>
        <v>AZRAD UMAR BIN SHAARI</v>
      </c>
      <c r="V6596" t="str">
        <f t="shared" si="2677"/>
        <v>FARHANA BINTI MUSTAPA</v>
      </c>
      <c r="W6596" t="str">
        <f t="shared" si="2678"/>
        <v>04-08-2020</v>
      </c>
      <c r="X6596" t="str">
        <f t="shared" si="2679"/>
        <v>RAZIMAH ANSAR AHMAD</v>
      </c>
      <c r="Y6596" t="str">
        <f t="shared" si="2680"/>
        <v>04-08-2020</v>
      </c>
      <c r="Z6596" t="str">
        <f>"COS10200804 2558"</f>
        <v>COS10200804 2558</v>
      </c>
    </row>
    <row r="6597" spans="1:26" x14ac:dyDescent="0.25">
      <c r="A6597" t="str">
        <f t="shared" si="2692"/>
        <v>04-08-2020 12:37:56</v>
      </c>
      <c r="B6597" t="str">
        <f>"0000804319"</f>
        <v>0000804319</v>
      </c>
      <c r="C6597" t="str">
        <f t="shared" si="2693"/>
        <v>0000804162</v>
      </c>
      <c r="D6597" t="str">
        <f t="shared" si="2670"/>
        <v>73185</v>
      </c>
      <c r="E6597" t="str">
        <f t="shared" si="2671"/>
        <v>KFH-OPERATIONS DEPARTMENT</v>
      </c>
      <c r="F6597" t="str">
        <f t="shared" si="2672"/>
        <v>IBG</v>
      </c>
      <c r="G6597" t="str">
        <f t="shared" si="2681"/>
        <v>Refund COSHARE 10</v>
      </c>
      <c r="H6597" s="2">
        <v>1301.25</v>
      </c>
      <c r="I6597" t="str">
        <f>"ISMAIL BIN MOHAMAD"</f>
        <v>ISMAIL BIN MOHAMAD</v>
      </c>
      <c r="J6597" t="str">
        <f t="shared" si="2696"/>
        <v>CIMB BANK / CIMB ISLAMIC BANK</v>
      </c>
      <c r="K6597" t="str">
        <f>"7032136906"</f>
        <v>7032136906</v>
      </c>
      <c r="L6597" t="str">
        <f t="shared" si="2694"/>
        <v>04-08-2020</v>
      </c>
      <c r="M6597" t="str">
        <f t="shared" si="2694"/>
        <v>04-08-2020</v>
      </c>
      <c r="N6597" t="str">
        <f t="shared" si="2673"/>
        <v>001105018356</v>
      </c>
      <c r="O6597" t="str">
        <f t="shared" si="2674"/>
        <v>MYR</v>
      </c>
      <c r="P6597" t="str">
        <f t="shared" si="2695"/>
        <v>NIL</v>
      </c>
      <c r="Q6597" t="str">
        <f t="shared" si="2695"/>
        <v>NIL</v>
      </c>
      <c r="R6597" t="str">
        <f t="shared" si="2688"/>
        <v>Accepted</v>
      </c>
      <c r="S6597" t="str">
        <f t="shared" si="2675"/>
        <v>Approved</v>
      </c>
      <c r="T6597" t="str">
        <f t="shared" si="2689"/>
        <v>10.20.8.188</v>
      </c>
      <c r="U6597" t="str">
        <f t="shared" si="2676"/>
        <v>AZRAD UMAR BIN SHAARI</v>
      </c>
      <c r="V6597" t="str">
        <f t="shared" si="2677"/>
        <v>FARHANA BINTI MUSTAPA</v>
      </c>
      <c r="W6597" t="str">
        <f t="shared" si="2678"/>
        <v>04-08-2020</v>
      </c>
      <c r="X6597" t="str">
        <f t="shared" si="2679"/>
        <v>RAZIMAH ANSAR AHMAD</v>
      </c>
      <c r="Y6597" t="str">
        <f t="shared" si="2680"/>
        <v>04-08-2020</v>
      </c>
      <c r="Z6597" t="str">
        <f>"COS10200804 2557"</f>
        <v>COS10200804 2557</v>
      </c>
    </row>
    <row r="6598" spans="1:26" x14ac:dyDescent="0.25">
      <c r="A6598" t="str">
        <f t="shared" si="2692"/>
        <v>04-08-2020 12:37:56</v>
      </c>
      <c r="B6598" t="str">
        <f>"0000804318"</f>
        <v>0000804318</v>
      </c>
      <c r="C6598" t="str">
        <f t="shared" si="2693"/>
        <v>0000804162</v>
      </c>
      <c r="D6598" t="str">
        <f t="shared" si="2670"/>
        <v>73185</v>
      </c>
      <c r="E6598" t="str">
        <f t="shared" si="2671"/>
        <v>KFH-OPERATIONS DEPARTMENT</v>
      </c>
      <c r="F6598" t="str">
        <f t="shared" si="2672"/>
        <v>IBG</v>
      </c>
      <c r="G6598" t="str">
        <f t="shared" si="2681"/>
        <v>Refund COSHARE 10</v>
      </c>
      <c r="H6598" s="2">
        <v>906.65</v>
      </c>
      <c r="I6598" t="str">
        <f>"ISMAIL BIN ABDULLAH"</f>
        <v>ISMAIL BIN ABDULLAH</v>
      </c>
      <c r="J6598" t="str">
        <f t="shared" si="2696"/>
        <v>CIMB BANK / CIMB ISLAMIC BANK</v>
      </c>
      <c r="K6598" t="str">
        <f>"7003948252"</f>
        <v>7003948252</v>
      </c>
      <c r="L6598" t="str">
        <f t="shared" si="2694"/>
        <v>04-08-2020</v>
      </c>
      <c r="M6598" t="str">
        <f t="shared" si="2694"/>
        <v>04-08-2020</v>
      </c>
      <c r="N6598" t="str">
        <f t="shared" si="2673"/>
        <v>001105018356</v>
      </c>
      <c r="O6598" t="str">
        <f t="shared" si="2674"/>
        <v>MYR</v>
      </c>
      <c r="P6598" t="str">
        <f t="shared" si="2695"/>
        <v>NIL</v>
      </c>
      <c r="Q6598" t="str">
        <f t="shared" si="2695"/>
        <v>NIL</v>
      </c>
      <c r="R6598" t="str">
        <f t="shared" si="2688"/>
        <v>Accepted</v>
      </c>
      <c r="S6598" t="str">
        <f t="shared" si="2675"/>
        <v>Approved</v>
      </c>
      <c r="T6598" t="str">
        <f t="shared" si="2689"/>
        <v>10.20.8.188</v>
      </c>
      <c r="U6598" t="str">
        <f t="shared" si="2676"/>
        <v>AZRAD UMAR BIN SHAARI</v>
      </c>
      <c r="V6598" t="str">
        <f t="shared" si="2677"/>
        <v>FARHANA BINTI MUSTAPA</v>
      </c>
      <c r="W6598" t="str">
        <f t="shared" si="2678"/>
        <v>04-08-2020</v>
      </c>
      <c r="X6598" t="str">
        <f t="shared" si="2679"/>
        <v>RAZIMAH ANSAR AHMAD</v>
      </c>
      <c r="Y6598" t="str">
        <f t="shared" si="2680"/>
        <v>04-08-2020</v>
      </c>
      <c r="Z6598" t="str">
        <f>"COS10200804 2556"</f>
        <v>COS10200804 2556</v>
      </c>
    </row>
    <row r="6599" spans="1:26" x14ac:dyDescent="0.25">
      <c r="A6599" t="str">
        <f t="shared" si="2692"/>
        <v>04-08-2020 12:37:56</v>
      </c>
      <c r="B6599" t="str">
        <f>"0000804317"</f>
        <v>0000804317</v>
      </c>
      <c r="C6599" t="str">
        <f t="shared" si="2693"/>
        <v>0000804162</v>
      </c>
      <c r="D6599" t="str">
        <f t="shared" ref="D6599:D6662" si="2697">"73185"</f>
        <v>73185</v>
      </c>
      <c r="E6599" t="str">
        <f t="shared" ref="E6599:E6662" si="2698">"KFH-OPERATIONS DEPARTMENT"</f>
        <v>KFH-OPERATIONS DEPARTMENT</v>
      </c>
      <c r="F6599" t="str">
        <f t="shared" ref="F6599:F6662" si="2699">"IBG"</f>
        <v>IBG</v>
      </c>
      <c r="G6599" t="str">
        <f t="shared" si="2681"/>
        <v>Refund COSHARE 10</v>
      </c>
      <c r="H6599" s="2">
        <v>1679</v>
      </c>
      <c r="I6599" t="str">
        <f>"ISMAHANI BINTI ISMAIL"</f>
        <v>ISMAHANI BINTI ISMAIL</v>
      </c>
      <c r="J6599" t="str">
        <f t="shared" si="2696"/>
        <v>CIMB BANK / CIMB ISLAMIC BANK</v>
      </c>
      <c r="K6599" t="str">
        <f>"01160029421529"</f>
        <v>01160029421529</v>
      </c>
      <c r="L6599" t="str">
        <f t="shared" si="2694"/>
        <v>04-08-2020</v>
      </c>
      <c r="M6599" t="str">
        <f t="shared" si="2694"/>
        <v>04-08-2020</v>
      </c>
      <c r="N6599" t="str">
        <f t="shared" ref="N6599:N6662" si="2700">"001105018356"</f>
        <v>001105018356</v>
      </c>
      <c r="O6599" t="str">
        <f t="shared" ref="O6599:O6662" si="2701">"MYR"</f>
        <v>MYR</v>
      </c>
      <c r="P6599" t="str">
        <f t="shared" si="2695"/>
        <v>NIL</v>
      </c>
      <c r="Q6599" t="str">
        <f t="shared" si="2695"/>
        <v>NIL</v>
      </c>
      <c r="R6599" t="str">
        <f t="shared" si="2688"/>
        <v>Accepted</v>
      </c>
      <c r="S6599" t="str">
        <f t="shared" ref="S6599:S6662" si="2702">"Approved"</f>
        <v>Approved</v>
      </c>
      <c r="T6599" t="str">
        <f t="shared" si="2689"/>
        <v>10.20.8.188</v>
      </c>
      <c r="U6599" t="str">
        <f t="shared" ref="U6599:U6662" si="2703">"AZRAD UMAR BIN SHAARI"</f>
        <v>AZRAD UMAR BIN SHAARI</v>
      </c>
      <c r="V6599" t="str">
        <f t="shared" ref="V6599:V6662" si="2704">"FARHANA BINTI MUSTAPA"</f>
        <v>FARHANA BINTI MUSTAPA</v>
      </c>
      <c r="W6599" t="str">
        <f t="shared" ref="W6599:W6662" si="2705">"04-08-2020"</f>
        <v>04-08-2020</v>
      </c>
      <c r="X6599" t="str">
        <f t="shared" ref="X6599:X6662" si="2706">"RAZIMAH ANSAR AHMAD"</f>
        <v>RAZIMAH ANSAR AHMAD</v>
      </c>
      <c r="Y6599" t="str">
        <f t="shared" ref="Y6599:Y6662" si="2707">"04-08-2020"</f>
        <v>04-08-2020</v>
      </c>
      <c r="Z6599" t="str">
        <f>"COS10200804 2555"</f>
        <v>COS10200804 2555</v>
      </c>
    </row>
    <row r="6600" spans="1:26" x14ac:dyDescent="0.25">
      <c r="A6600" t="str">
        <f t="shared" si="2692"/>
        <v>04-08-2020 12:37:56</v>
      </c>
      <c r="B6600" t="str">
        <f>"0000804316"</f>
        <v>0000804316</v>
      </c>
      <c r="C6600" t="str">
        <f t="shared" si="2693"/>
        <v>0000804162</v>
      </c>
      <c r="D6600" t="str">
        <f t="shared" si="2697"/>
        <v>73185</v>
      </c>
      <c r="E6600" t="str">
        <f t="shared" si="2698"/>
        <v>KFH-OPERATIONS DEPARTMENT</v>
      </c>
      <c r="F6600" t="str">
        <f t="shared" si="2699"/>
        <v>IBG</v>
      </c>
      <c r="G6600" t="str">
        <f t="shared" si="2681"/>
        <v>Refund COSHARE 10</v>
      </c>
      <c r="H6600" s="2">
        <v>839.5</v>
      </c>
      <c r="I6600" t="str">
        <f>"ISKANDAR BIN ABU BAKAR"</f>
        <v>ISKANDAR BIN ABU BAKAR</v>
      </c>
      <c r="J6600" t="str">
        <f t="shared" si="2696"/>
        <v>CIMB BANK / CIMB ISLAMIC BANK</v>
      </c>
      <c r="K6600" t="str">
        <f>"7009422184"</f>
        <v>7009422184</v>
      </c>
      <c r="L6600" t="str">
        <f t="shared" si="2694"/>
        <v>04-08-2020</v>
      </c>
      <c r="M6600" t="str">
        <f t="shared" si="2694"/>
        <v>04-08-2020</v>
      </c>
      <c r="N6600" t="str">
        <f t="shared" si="2700"/>
        <v>001105018356</v>
      </c>
      <c r="O6600" t="str">
        <f t="shared" si="2701"/>
        <v>MYR</v>
      </c>
      <c r="P6600" t="str">
        <f t="shared" si="2695"/>
        <v>NIL</v>
      </c>
      <c r="Q6600" t="str">
        <f t="shared" si="2695"/>
        <v>NIL</v>
      </c>
      <c r="R6600" t="str">
        <f t="shared" si="2688"/>
        <v>Accepted</v>
      </c>
      <c r="S6600" t="str">
        <f t="shared" si="2702"/>
        <v>Approved</v>
      </c>
      <c r="T6600" t="str">
        <f t="shared" si="2689"/>
        <v>10.20.8.188</v>
      </c>
      <c r="U6600" t="str">
        <f t="shared" si="2703"/>
        <v>AZRAD UMAR BIN SHAARI</v>
      </c>
      <c r="V6600" t="str">
        <f t="shared" si="2704"/>
        <v>FARHANA BINTI MUSTAPA</v>
      </c>
      <c r="W6600" t="str">
        <f t="shared" si="2705"/>
        <v>04-08-2020</v>
      </c>
      <c r="X6600" t="str">
        <f t="shared" si="2706"/>
        <v>RAZIMAH ANSAR AHMAD</v>
      </c>
      <c r="Y6600" t="str">
        <f t="shared" si="2707"/>
        <v>04-08-2020</v>
      </c>
      <c r="Z6600" t="str">
        <f>"COS10200804 2554"</f>
        <v>COS10200804 2554</v>
      </c>
    </row>
    <row r="6601" spans="1:26" x14ac:dyDescent="0.25">
      <c r="A6601" t="str">
        <f t="shared" si="2692"/>
        <v>04-08-2020 12:37:56</v>
      </c>
      <c r="B6601" t="str">
        <f>"0000804315"</f>
        <v>0000804315</v>
      </c>
      <c r="C6601" t="str">
        <f t="shared" si="2693"/>
        <v>0000804162</v>
      </c>
      <c r="D6601" t="str">
        <f t="shared" si="2697"/>
        <v>73185</v>
      </c>
      <c r="E6601" t="str">
        <f t="shared" si="2698"/>
        <v>KFH-OPERATIONS DEPARTMENT</v>
      </c>
      <c r="F6601" t="str">
        <f t="shared" si="2699"/>
        <v>IBG</v>
      </c>
      <c r="G6601" t="str">
        <f t="shared" si="2681"/>
        <v>Refund COSHARE 10</v>
      </c>
      <c r="H6601" s="2">
        <v>285.45</v>
      </c>
      <c r="I6601" t="str">
        <f>"ISHAM BIN HASSAN"</f>
        <v>ISHAM BIN HASSAN</v>
      </c>
      <c r="J6601" t="str">
        <f t="shared" si="2696"/>
        <v>CIMB BANK / CIMB ISLAMIC BANK</v>
      </c>
      <c r="K6601" t="str">
        <f>"11080040208529"</f>
        <v>11080040208529</v>
      </c>
      <c r="L6601" t="str">
        <f t="shared" si="2694"/>
        <v>04-08-2020</v>
      </c>
      <c r="M6601" t="str">
        <f t="shared" si="2694"/>
        <v>04-08-2020</v>
      </c>
      <c r="N6601" t="str">
        <f t="shared" si="2700"/>
        <v>001105018356</v>
      </c>
      <c r="O6601" t="str">
        <f t="shared" si="2701"/>
        <v>MYR</v>
      </c>
      <c r="P6601" t="str">
        <f t="shared" si="2695"/>
        <v>NIL</v>
      </c>
      <c r="Q6601" t="str">
        <f t="shared" si="2695"/>
        <v>NIL</v>
      </c>
      <c r="R6601" t="str">
        <f t="shared" si="2688"/>
        <v>Accepted</v>
      </c>
      <c r="S6601" t="str">
        <f t="shared" si="2702"/>
        <v>Approved</v>
      </c>
      <c r="T6601" t="str">
        <f t="shared" si="2689"/>
        <v>10.20.8.188</v>
      </c>
      <c r="U6601" t="str">
        <f t="shared" si="2703"/>
        <v>AZRAD UMAR BIN SHAARI</v>
      </c>
      <c r="V6601" t="str">
        <f t="shared" si="2704"/>
        <v>FARHANA BINTI MUSTAPA</v>
      </c>
      <c r="W6601" t="str">
        <f t="shared" si="2705"/>
        <v>04-08-2020</v>
      </c>
      <c r="X6601" t="str">
        <f t="shared" si="2706"/>
        <v>RAZIMAH ANSAR AHMAD</v>
      </c>
      <c r="Y6601" t="str">
        <f t="shared" si="2707"/>
        <v>04-08-2020</v>
      </c>
      <c r="Z6601" t="str">
        <f>"COS10200804 2553"</f>
        <v>COS10200804 2553</v>
      </c>
    </row>
    <row r="6602" spans="1:26" x14ac:dyDescent="0.25">
      <c r="A6602" t="str">
        <f t="shared" si="2692"/>
        <v>04-08-2020 12:37:56</v>
      </c>
      <c r="B6602" t="str">
        <f>"0000804314"</f>
        <v>0000804314</v>
      </c>
      <c r="C6602" t="str">
        <f t="shared" si="2693"/>
        <v>0000804162</v>
      </c>
      <c r="D6602" t="str">
        <f t="shared" si="2697"/>
        <v>73185</v>
      </c>
      <c r="E6602" t="str">
        <f t="shared" si="2698"/>
        <v>KFH-OPERATIONS DEPARTMENT</v>
      </c>
      <c r="F6602" t="str">
        <f t="shared" si="2699"/>
        <v>IBG</v>
      </c>
      <c r="G6602" t="str">
        <f t="shared" si="2681"/>
        <v>Refund COSHARE 10</v>
      </c>
      <c r="H6602" s="2">
        <v>279.5</v>
      </c>
      <c r="I6602" t="str">
        <f>"ISHAK BIN AHMAD"</f>
        <v>ISHAK BIN AHMAD</v>
      </c>
      <c r="J6602" t="str">
        <f t="shared" si="2696"/>
        <v>CIMB BANK / CIMB ISLAMIC BANK</v>
      </c>
      <c r="K6602" t="str">
        <f>"01180008272526"</f>
        <v>01180008272526</v>
      </c>
      <c r="L6602" t="str">
        <f t="shared" si="2694"/>
        <v>04-08-2020</v>
      </c>
      <c r="M6602" t="str">
        <f t="shared" si="2694"/>
        <v>04-08-2020</v>
      </c>
      <c r="N6602" t="str">
        <f t="shared" si="2700"/>
        <v>001105018356</v>
      </c>
      <c r="O6602" t="str">
        <f t="shared" si="2701"/>
        <v>MYR</v>
      </c>
      <c r="P6602" t="str">
        <f t="shared" si="2695"/>
        <v>NIL</v>
      </c>
      <c r="Q6602" t="str">
        <f t="shared" si="2695"/>
        <v>NIL</v>
      </c>
      <c r="R6602" t="str">
        <f t="shared" si="2688"/>
        <v>Accepted</v>
      </c>
      <c r="S6602" t="str">
        <f t="shared" si="2702"/>
        <v>Approved</v>
      </c>
      <c r="T6602" t="str">
        <f t="shared" si="2689"/>
        <v>10.20.8.188</v>
      </c>
      <c r="U6602" t="str">
        <f t="shared" si="2703"/>
        <v>AZRAD UMAR BIN SHAARI</v>
      </c>
      <c r="V6602" t="str">
        <f t="shared" si="2704"/>
        <v>FARHANA BINTI MUSTAPA</v>
      </c>
      <c r="W6602" t="str">
        <f t="shared" si="2705"/>
        <v>04-08-2020</v>
      </c>
      <c r="X6602" t="str">
        <f t="shared" si="2706"/>
        <v>RAZIMAH ANSAR AHMAD</v>
      </c>
      <c r="Y6602" t="str">
        <f t="shared" si="2707"/>
        <v>04-08-2020</v>
      </c>
      <c r="Z6602" t="str">
        <f>"COS10200804 2552"</f>
        <v>COS10200804 2552</v>
      </c>
    </row>
    <row r="6603" spans="1:26" x14ac:dyDescent="0.25">
      <c r="A6603" t="str">
        <f t="shared" si="2692"/>
        <v>04-08-2020 12:37:56</v>
      </c>
      <c r="B6603" t="str">
        <f>"0000804313"</f>
        <v>0000804313</v>
      </c>
      <c r="C6603" t="str">
        <f t="shared" si="2693"/>
        <v>0000804162</v>
      </c>
      <c r="D6603" t="str">
        <f t="shared" si="2697"/>
        <v>73185</v>
      </c>
      <c r="E6603" t="str">
        <f t="shared" si="2698"/>
        <v>KFH-OPERATIONS DEPARTMENT</v>
      </c>
      <c r="F6603" t="str">
        <f t="shared" si="2699"/>
        <v>IBG</v>
      </c>
      <c r="G6603" t="str">
        <f t="shared" si="2681"/>
        <v>Refund COSHARE 10</v>
      </c>
      <c r="H6603" s="2">
        <v>1024.2</v>
      </c>
      <c r="I6603" t="str">
        <f>"IRWAN BIN ABDUL"</f>
        <v>IRWAN BIN ABDUL</v>
      </c>
      <c r="J6603" t="str">
        <f t="shared" si="2696"/>
        <v>CIMB BANK / CIMB ISLAMIC BANK</v>
      </c>
      <c r="K6603" t="str">
        <f>"7031387120"</f>
        <v>7031387120</v>
      </c>
      <c r="L6603" t="str">
        <f t="shared" si="2694"/>
        <v>04-08-2020</v>
      </c>
      <c r="M6603" t="str">
        <f t="shared" si="2694"/>
        <v>04-08-2020</v>
      </c>
      <c r="N6603" t="str">
        <f t="shared" si="2700"/>
        <v>001105018356</v>
      </c>
      <c r="O6603" t="str">
        <f t="shared" si="2701"/>
        <v>MYR</v>
      </c>
      <c r="P6603" t="str">
        <f t="shared" si="2695"/>
        <v>NIL</v>
      </c>
      <c r="Q6603" t="str">
        <f t="shared" si="2695"/>
        <v>NIL</v>
      </c>
      <c r="R6603" t="str">
        <f t="shared" si="2688"/>
        <v>Accepted</v>
      </c>
      <c r="S6603" t="str">
        <f t="shared" si="2702"/>
        <v>Approved</v>
      </c>
      <c r="T6603" t="str">
        <f t="shared" si="2689"/>
        <v>10.20.8.188</v>
      </c>
      <c r="U6603" t="str">
        <f t="shared" si="2703"/>
        <v>AZRAD UMAR BIN SHAARI</v>
      </c>
      <c r="V6603" t="str">
        <f t="shared" si="2704"/>
        <v>FARHANA BINTI MUSTAPA</v>
      </c>
      <c r="W6603" t="str">
        <f t="shared" si="2705"/>
        <v>04-08-2020</v>
      </c>
      <c r="X6603" t="str">
        <f t="shared" si="2706"/>
        <v>RAZIMAH ANSAR AHMAD</v>
      </c>
      <c r="Y6603" t="str">
        <f t="shared" si="2707"/>
        <v>04-08-2020</v>
      </c>
      <c r="Z6603" t="str">
        <f>"COS10200804 2551"</f>
        <v>COS10200804 2551</v>
      </c>
    </row>
    <row r="6604" spans="1:26" x14ac:dyDescent="0.25">
      <c r="A6604" t="str">
        <f t="shared" si="2692"/>
        <v>04-08-2020 12:37:56</v>
      </c>
      <c r="B6604" t="str">
        <f>"0000804312"</f>
        <v>0000804312</v>
      </c>
      <c r="C6604" t="str">
        <f t="shared" si="2693"/>
        <v>0000804162</v>
      </c>
      <c r="D6604" t="str">
        <f t="shared" si="2697"/>
        <v>73185</v>
      </c>
      <c r="E6604" t="str">
        <f t="shared" si="2698"/>
        <v>KFH-OPERATIONS DEPARTMENT</v>
      </c>
      <c r="F6604" t="str">
        <f t="shared" si="2699"/>
        <v>IBG</v>
      </c>
      <c r="G6604" t="str">
        <f t="shared" ref="G6604:G6667" si="2708">"Refund COSHARE 10"</f>
        <v>Refund COSHARE 10</v>
      </c>
      <c r="H6604" s="2">
        <v>873</v>
      </c>
      <c r="I6604" t="str">
        <f>"IRENE BINTI PANGGANTIOR"</f>
        <v>IRENE BINTI PANGGANTIOR</v>
      </c>
      <c r="J6604" t="str">
        <f t="shared" si="2696"/>
        <v>CIMB BANK / CIMB ISLAMIC BANK</v>
      </c>
      <c r="K6604" t="str">
        <f>"10030003187202"</f>
        <v>10030003187202</v>
      </c>
      <c r="L6604" t="str">
        <f t="shared" si="2694"/>
        <v>04-08-2020</v>
      </c>
      <c r="M6604" t="str">
        <f t="shared" si="2694"/>
        <v>04-08-2020</v>
      </c>
      <c r="N6604" t="str">
        <f t="shared" si="2700"/>
        <v>001105018356</v>
      </c>
      <c r="O6604" t="str">
        <f t="shared" si="2701"/>
        <v>MYR</v>
      </c>
      <c r="P6604" t="str">
        <f t="shared" si="2695"/>
        <v>NIL</v>
      </c>
      <c r="Q6604" t="str">
        <f t="shared" si="2695"/>
        <v>NIL</v>
      </c>
      <c r="R6604" t="str">
        <f t="shared" si="2688"/>
        <v>Accepted</v>
      </c>
      <c r="S6604" t="str">
        <f t="shared" si="2702"/>
        <v>Approved</v>
      </c>
      <c r="T6604" t="str">
        <f t="shared" si="2689"/>
        <v>10.20.8.188</v>
      </c>
      <c r="U6604" t="str">
        <f t="shared" si="2703"/>
        <v>AZRAD UMAR BIN SHAARI</v>
      </c>
      <c r="V6604" t="str">
        <f t="shared" si="2704"/>
        <v>FARHANA BINTI MUSTAPA</v>
      </c>
      <c r="W6604" t="str">
        <f t="shared" si="2705"/>
        <v>04-08-2020</v>
      </c>
      <c r="X6604" t="str">
        <f t="shared" si="2706"/>
        <v>RAZIMAH ANSAR AHMAD</v>
      </c>
      <c r="Y6604" t="str">
        <f t="shared" si="2707"/>
        <v>04-08-2020</v>
      </c>
      <c r="Z6604" t="str">
        <f>"COS10200804 2550"</f>
        <v>COS10200804 2550</v>
      </c>
    </row>
    <row r="6605" spans="1:26" x14ac:dyDescent="0.25">
      <c r="A6605" t="str">
        <f t="shared" si="2692"/>
        <v>04-08-2020 12:37:56</v>
      </c>
      <c r="B6605" t="str">
        <f>"0000804311"</f>
        <v>0000804311</v>
      </c>
      <c r="C6605" t="str">
        <f t="shared" si="2693"/>
        <v>0000804162</v>
      </c>
      <c r="D6605" t="str">
        <f t="shared" si="2697"/>
        <v>73185</v>
      </c>
      <c r="E6605" t="str">
        <f t="shared" si="2698"/>
        <v>KFH-OPERATIONS DEPARTMENT</v>
      </c>
      <c r="F6605" t="str">
        <f t="shared" si="2699"/>
        <v>IBG</v>
      </c>
      <c r="G6605" t="str">
        <f t="shared" si="2708"/>
        <v>Refund COSHARE 10</v>
      </c>
      <c r="H6605" s="2">
        <v>310.64999999999998</v>
      </c>
      <c r="I6605" t="str">
        <f>"IEDURA  BINTI MOHD NOOR"</f>
        <v>IEDURA  BINTI MOHD NOOR</v>
      </c>
      <c r="J6605" t="str">
        <f t="shared" si="2696"/>
        <v>CIMB BANK / CIMB ISLAMIC BANK</v>
      </c>
      <c r="K6605" t="str">
        <f>"12051353092524"</f>
        <v>12051353092524</v>
      </c>
      <c r="L6605" t="str">
        <f t="shared" si="2694"/>
        <v>04-08-2020</v>
      </c>
      <c r="M6605" t="str">
        <f t="shared" si="2694"/>
        <v>04-08-2020</v>
      </c>
      <c r="N6605" t="str">
        <f t="shared" si="2700"/>
        <v>001105018356</v>
      </c>
      <c r="O6605" t="str">
        <f t="shared" si="2701"/>
        <v>MYR</v>
      </c>
      <c r="P6605" t="str">
        <f t="shared" si="2695"/>
        <v>NIL</v>
      </c>
      <c r="Q6605" t="str">
        <f t="shared" si="2695"/>
        <v>NIL</v>
      </c>
      <c r="R6605" t="str">
        <f t="shared" si="2688"/>
        <v>Accepted</v>
      </c>
      <c r="S6605" t="str">
        <f t="shared" si="2702"/>
        <v>Approved</v>
      </c>
      <c r="T6605" t="str">
        <f t="shared" si="2689"/>
        <v>10.20.8.188</v>
      </c>
      <c r="U6605" t="str">
        <f t="shared" si="2703"/>
        <v>AZRAD UMAR BIN SHAARI</v>
      </c>
      <c r="V6605" t="str">
        <f t="shared" si="2704"/>
        <v>FARHANA BINTI MUSTAPA</v>
      </c>
      <c r="W6605" t="str">
        <f t="shared" si="2705"/>
        <v>04-08-2020</v>
      </c>
      <c r="X6605" t="str">
        <f t="shared" si="2706"/>
        <v>RAZIMAH ANSAR AHMAD</v>
      </c>
      <c r="Y6605" t="str">
        <f t="shared" si="2707"/>
        <v>04-08-2020</v>
      </c>
      <c r="Z6605" t="str">
        <f>"COS10200804 2549"</f>
        <v>COS10200804 2549</v>
      </c>
    </row>
    <row r="6606" spans="1:26" x14ac:dyDescent="0.25">
      <c r="A6606" t="str">
        <f t="shared" si="2692"/>
        <v>04-08-2020 12:37:56</v>
      </c>
      <c r="B6606" t="str">
        <f>"0000804310"</f>
        <v>0000804310</v>
      </c>
      <c r="C6606" t="str">
        <f t="shared" si="2693"/>
        <v>0000804162</v>
      </c>
      <c r="D6606" t="str">
        <f t="shared" si="2697"/>
        <v>73185</v>
      </c>
      <c r="E6606" t="str">
        <f t="shared" si="2698"/>
        <v>KFH-OPERATIONS DEPARTMENT</v>
      </c>
      <c r="F6606" t="str">
        <f t="shared" si="2699"/>
        <v>IBG</v>
      </c>
      <c r="G6606" t="str">
        <f t="shared" si="2708"/>
        <v>Refund COSHARE 10</v>
      </c>
      <c r="H6606" s="2">
        <v>142.75</v>
      </c>
      <c r="I6606" t="str">
        <f>"IEDURA  BINTI MOHD NOOR"</f>
        <v>IEDURA  BINTI MOHD NOOR</v>
      </c>
      <c r="J6606" t="str">
        <f t="shared" si="2696"/>
        <v>CIMB BANK / CIMB ISLAMIC BANK</v>
      </c>
      <c r="K6606" t="str">
        <f>"12051353092524"</f>
        <v>12051353092524</v>
      </c>
      <c r="L6606" t="str">
        <f t="shared" si="2694"/>
        <v>04-08-2020</v>
      </c>
      <c r="M6606" t="str">
        <f t="shared" si="2694"/>
        <v>04-08-2020</v>
      </c>
      <c r="N6606" t="str">
        <f t="shared" si="2700"/>
        <v>001105018356</v>
      </c>
      <c r="O6606" t="str">
        <f t="shared" si="2701"/>
        <v>MYR</v>
      </c>
      <c r="P6606" t="str">
        <f t="shared" si="2695"/>
        <v>NIL</v>
      </c>
      <c r="Q6606" t="str">
        <f t="shared" si="2695"/>
        <v>NIL</v>
      </c>
      <c r="R6606" t="str">
        <f t="shared" si="2688"/>
        <v>Accepted</v>
      </c>
      <c r="S6606" t="str">
        <f t="shared" si="2702"/>
        <v>Approved</v>
      </c>
      <c r="T6606" t="str">
        <f t="shared" si="2689"/>
        <v>10.20.8.188</v>
      </c>
      <c r="U6606" t="str">
        <f t="shared" si="2703"/>
        <v>AZRAD UMAR BIN SHAARI</v>
      </c>
      <c r="V6606" t="str">
        <f t="shared" si="2704"/>
        <v>FARHANA BINTI MUSTAPA</v>
      </c>
      <c r="W6606" t="str">
        <f t="shared" si="2705"/>
        <v>04-08-2020</v>
      </c>
      <c r="X6606" t="str">
        <f t="shared" si="2706"/>
        <v>RAZIMAH ANSAR AHMAD</v>
      </c>
      <c r="Y6606" t="str">
        <f t="shared" si="2707"/>
        <v>04-08-2020</v>
      </c>
      <c r="Z6606" t="str">
        <f>"COS10200804 2548"</f>
        <v>COS10200804 2548</v>
      </c>
    </row>
    <row r="6607" spans="1:26" x14ac:dyDescent="0.25">
      <c r="A6607" t="str">
        <f t="shared" si="2692"/>
        <v>04-08-2020 12:37:56</v>
      </c>
      <c r="B6607" t="str">
        <f>"0000804309"</f>
        <v>0000804309</v>
      </c>
      <c r="C6607" t="str">
        <f t="shared" si="2693"/>
        <v>0000804162</v>
      </c>
      <c r="D6607" t="str">
        <f t="shared" si="2697"/>
        <v>73185</v>
      </c>
      <c r="E6607" t="str">
        <f t="shared" si="2698"/>
        <v>KFH-OPERATIONS DEPARTMENT</v>
      </c>
      <c r="F6607" t="str">
        <f t="shared" si="2699"/>
        <v>IBG</v>
      </c>
      <c r="G6607" t="str">
        <f t="shared" si="2708"/>
        <v>Refund COSHARE 10</v>
      </c>
      <c r="H6607" s="2">
        <v>1679</v>
      </c>
      <c r="I6607" t="str">
        <f>"IDRES BIN SARIB"</f>
        <v>IDRES BIN SARIB</v>
      </c>
      <c r="J6607" t="str">
        <f t="shared" si="2696"/>
        <v>CIMB BANK / CIMB ISLAMIC BANK</v>
      </c>
      <c r="K6607" t="str">
        <f>"11070040002521"</f>
        <v>11070040002521</v>
      </c>
      <c r="L6607" t="str">
        <f t="shared" ref="L6607:M6626" si="2709">"04-08-2020"</f>
        <v>04-08-2020</v>
      </c>
      <c r="M6607" t="str">
        <f t="shared" si="2709"/>
        <v>04-08-2020</v>
      </c>
      <c r="N6607" t="str">
        <f t="shared" si="2700"/>
        <v>001105018356</v>
      </c>
      <c r="O6607" t="str">
        <f t="shared" si="2701"/>
        <v>MYR</v>
      </c>
      <c r="P6607" t="str">
        <f t="shared" ref="P6607:Q6626" si="2710">"NIL"</f>
        <v>NIL</v>
      </c>
      <c r="Q6607" t="str">
        <f t="shared" si="2710"/>
        <v>NIL</v>
      </c>
      <c r="R6607" t="str">
        <f t="shared" si="2688"/>
        <v>Accepted</v>
      </c>
      <c r="S6607" t="str">
        <f t="shared" si="2702"/>
        <v>Approved</v>
      </c>
      <c r="T6607" t="str">
        <f t="shared" si="2689"/>
        <v>10.20.8.188</v>
      </c>
      <c r="U6607" t="str">
        <f t="shared" si="2703"/>
        <v>AZRAD UMAR BIN SHAARI</v>
      </c>
      <c r="V6607" t="str">
        <f t="shared" si="2704"/>
        <v>FARHANA BINTI MUSTAPA</v>
      </c>
      <c r="W6607" t="str">
        <f t="shared" si="2705"/>
        <v>04-08-2020</v>
      </c>
      <c r="X6607" t="str">
        <f t="shared" si="2706"/>
        <v>RAZIMAH ANSAR AHMAD</v>
      </c>
      <c r="Y6607" t="str">
        <f t="shared" si="2707"/>
        <v>04-08-2020</v>
      </c>
      <c r="Z6607" t="str">
        <f>"COS10200804 2547"</f>
        <v>COS10200804 2547</v>
      </c>
    </row>
    <row r="6608" spans="1:26" x14ac:dyDescent="0.25">
      <c r="A6608" t="str">
        <f t="shared" si="2692"/>
        <v>04-08-2020 12:37:56</v>
      </c>
      <c r="B6608" t="str">
        <f>"0000804308"</f>
        <v>0000804308</v>
      </c>
      <c r="C6608" t="str">
        <f t="shared" si="2693"/>
        <v>0000804162</v>
      </c>
      <c r="D6608" t="str">
        <f t="shared" si="2697"/>
        <v>73185</v>
      </c>
      <c r="E6608" t="str">
        <f t="shared" si="2698"/>
        <v>KFH-OPERATIONS DEPARTMENT</v>
      </c>
      <c r="F6608" t="str">
        <f t="shared" si="2699"/>
        <v>IBG</v>
      </c>
      <c r="G6608" t="str">
        <f t="shared" si="2708"/>
        <v>Refund COSHARE 10</v>
      </c>
      <c r="H6608" s="2">
        <v>797</v>
      </c>
      <c r="I6608" t="str">
        <f>"IDAYU BINTI MOHD SALLEH"</f>
        <v>IDAYU BINTI MOHD SALLEH</v>
      </c>
      <c r="J6608" t="str">
        <f t="shared" si="2696"/>
        <v>CIMB BANK / CIMB ISLAMIC BANK</v>
      </c>
      <c r="K6608" t="str">
        <f>"7014026308"</f>
        <v>7014026308</v>
      </c>
      <c r="L6608" t="str">
        <f t="shared" si="2709"/>
        <v>04-08-2020</v>
      </c>
      <c r="M6608" t="str">
        <f t="shared" si="2709"/>
        <v>04-08-2020</v>
      </c>
      <c r="N6608" t="str">
        <f t="shared" si="2700"/>
        <v>001105018356</v>
      </c>
      <c r="O6608" t="str">
        <f t="shared" si="2701"/>
        <v>MYR</v>
      </c>
      <c r="P6608" t="str">
        <f t="shared" si="2710"/>
        <v>NIL</v>
      </c>
      <c r="Q6608" t="str">
        <f t="shared" si="2710"/>
        <v>NIL</v>
      </c>
      <c r="R6608" t="str">
        <f t="shared" si="2688"/>
        <v>Accepted</v>
      </c>
      <c r="S6608" t="str">
        <f t="shared" si="2702"/>
        <v>Approved</v>
      </c>
      <c r="T6608" t="str">
        <f t="shared" si="2689"/>
        <v>10.20.8.188</v>
      </c>
      <c r="U6608" t="str">
        <f t="shared" si="2703"/>
        <v>AZRAD UMAR BIN SHAARI</v>
      </c>
      <c r="V6608" t="str">
        <f t="shared" si="2704"/>
        <v>FARHANA BINTI MUSTAPA</v>
      </c>
      <c r="W6608" t="str">
        <f t="shared" si="2705"/>
        <v>04-08-2020</v>
      </c>
      <c r="X6608" t="str">
        <f t="shared" si="2706"/>
        <v>RAZIMAH ANSAR AHMAD</v>
      </c>
      <c r="Y6608" t="str">
        <f t="shared" si="2707"/>
        <v>04-08-2020</v>
      </c>
      <c r="Z6608" t="str">
        <f>"COS10200804 2546"</f>
        <v>COS10200804 2546</v>
      </c>
    </row>
    <row r="6609" spans="1:26" x14ac:dyDescent="0.25">
      <c r="A6609" t="str">
        <f t="shared" si="2692"/>
        <v>04-08-2020 12:37:56</v>
      </c>
      <c r="B6609" t="str">
        <f>"0000804307"</f>
        <v>0000804307</v>
      </c>
      <c r="C6609" t="str">
        <f t="shared" si="2693"/>
        <v>0000804162</v>
      </c>
      <c r="D6609" t="str">
        <f t="shared" si="2697"/>
        <v>73185</v>
      </c>
      <c r="E6609" t="str">
        <f t="shared" si="2698"/>
        <v>KFH-OPERATIONS DEPARTMENT</v>
      </c>
      <c r="F6609" t="str">
        <f t="shared" si="2699"/>
        <v>IBG</v>
      </c>
      <c r="G6609" t="str">
        <f t="shared" si="2708"/>
        <v>Refund COSHARE 10</v>
      </c>
      <c r="H6609" s="2">
        <v>50</v>
      </c>
      <c r="I6609" t="str">
        <f>"IDAH BINTI MOHD ISA"</f>
        <v>IDAH BINTI MOHD ISA</v>
      </c>
      <c r="J6609" t="str">
        <f t="shared" si="2696"/>
        <v>CIMB BANK / CIMB ISLAMIC BANK</v>
      </c>
      <c r="K6609" t="str">
        <f>"09020050824521"</f>
        <v>09020050824521</v>
      </c>
      <c r="L6609" t="str">
        <f t="shared" si="2709"/>
        <v>04-08-2020</v>
      </c>
      <c r="M6609" t="str">
        <f t="shared" si="2709"/>
        <v>04-08-2020</v>
      </c>
      <c r="N6609" t="str">
        <f t="shared" si="2700"/>
        <v>001105018356</v>
      </c>
      <c r="O6609" t="str">
        <f t="shared" si="2701"/>
        <v>MYR</v>
      </c>
      <c r="P6609" t="str">
        <f t="shared" si="2710"/>
        <v>NIL</v>
      </c>
      <c r="Q6609" t="str">
        <f t="shared" si="2710"/>
        <v>NIL</v>
      </c>
      <c r="R6609" t="str">
        <f t="shared" si="2688"/>
        <v>Accepted</v>
      </c>
      <c r="S6609" t="str">
        <f t="shared" si="2702"/>
        <v>Approved</v>
      </c>
      <c r="T6609" t="str">
        <f t="shared" si="2689"/>
        <v>10.20.8.188</v>
      </c>
      <c r="U6609" t="str">
        <f t="shared" si="2703"/>
        <v>AZRAD UMAR BIN SHAARI</v>
      </c>
      <c r="V6609" t="str">
        <f t="shared" si="2704"/>
        <v>FARHANA BINTI MUSTAPA</v>
      </c>
      <c r="W6609" t="str">
        <f t="shared" si="2705"/>
        <v>04-08-2020</v>
      </c>
      <c r="X6609" t="str">
        <f t="shared" si="2706"/>
        <v>RAZIMAH ANSAR AHMAD</v>
      </c>
      <c r="Y6609" t="str">
        <f t="shared" si="2707"/>
        <v>04-08-2020</v>
      </c>
      <c r="Z6609" t="str">
        <f>"COS10200804 2545"</f>
        <v>COS10200804 2545</v>
      </c>
    </row>
    <row r="6610" spans="1:26" x14ac:dyDescent="0.25">
      <c r="A6610" t="str">
        <f t="shared" si="2692"/>
        <v>04-08-2020 12:37:56</v>
      </c>
      <c r="B6610" t="str">
        <f>"0000804306"</f>
        <v>0000804306</v>
      </c>
      <c r="C6610" t="str">
        <f t="shared" si="2693"/>
        <v>0000804162</v>
      </c>
      <c r="D6610" t="str">
        <f t="shared" si="2697"/>
        <v>73185</v>
      </c>
      <c r="E6610" t="str">
        <f t="shared" si="2698"/>
        <v>KFH-OPERATIONS DEPARTMENT</v>
      </c>
      <c r="F6610" t="str">
        <f t="shared" si="2699"/>
        <v>IBG</v>
      </c>
      <c r="G6610" t="str">
        <f t="shared" si="2708"/>
        <v>Refund COSHARE 10</v>
      </c>
      <c r="H6610" s="2">
        <v>84</v>
      </c>
      <c r="I6610" t="str">
        <f>"IDA FARIDA BINTI SULAIMAN"</f>
        <v>IDA FARIDA BINTI SULAIMAN</v>
      </c>
      <c r="J6610" t="str">
        <f t="shared" si="2696"/>
        <v>CIMB BANK / CIMB ISLAMIC BANK</v>
      </c>
      <c r="K6610" t="str">
        <f>"12220002810208"</f>
        <v>12220002810208</v>
      </c>
      <c r="L6610" t="str">
        <f t="shared" si="2709"/>
        <v>04-08-2020</v>
      </c>
      <c r="M6610" t="str">
        <f t="shared" si="2709"/>
        <v>04-08-2020</v>
      </c>
      <c r="N6610" t="str">
        <f t="shared" si="2700"/>
        <v>001105018356</v>
      </c>
      <c r="O6610" t="str">
        <f t="shared" si="2701"/>
        <v>MYR</v>
      </c>
      <c r="P6610" t="str">
        <f t="shared" si="2710"/>
        <v>NIL</v>
      </c>
      <c r="Q6610" t="str">
        <f t="shared" si="2710"/>
        <v>NIL</v>
      </c>
      <c r="R6610" t="str">
        <f t="shared" si="2688"/>
        <v>Accepted</v>
      </c>
      <c r="S6610" t="str">
        <f t="shared" si="2702"/>
        <v>Approved</v>
      </c>
      <c r="T6610" t="str">
        <f t="shared" si="2689"/>
        <v>10.20.8.188</v>
      </c>
      <c r="U6610" t="str">
        <f t="shared" si="2703"/>
        <v>AZRAD UMAR BIN SHAARI</v>
      </c>
      <c r="V6610" t="str">
        <f t="shared" si="2704"/>
        <v>FARHANA BINTI MUSTAPA</v>
      </c>
      <c r="W6610" t="str">
        <f t="shared" si="2705"/>
        <v>04-08-2020</v>
      </c>
      <c r="X6610" t="str">
        <f t="shared" si="2706"/>
        <v>RAZIMAH ANSAR AHMAD</v>
      </c>
      <c r="Y6610" t="str">
        <f t="shared" si="2707"/>
        <v>04-08-2020</v>
      </c>
      <c r="Z6610" t="str">
        <f>"COS10200804 2544"</f>
        <v>COS10200804 2544</v>
      </c>
    </row>
    <row r="6611" spans="1:26" x14ac:dyDescent="0.25">
      <c r="A6611" t="str">
        <f t="shared" si="2692"/>
        <v>04-08-2020 12:37:56</v>
      </c>
      <c r="B6611" t="str">
        <f>"0000804305"</f>
        <v>0000804305</v>
      </c>
      <c r="C6611" t="str">
        <f t="shared" si="2693"/>
        <v>0000804162</v>
      </c>
      <c r="D6611" t="str">
        <f t="shared" si="2697"/>
        <v>73185</v>
      </c>
      <c r="E6611" t="str">
        <f t="shared" si="2698"/>
        <v>KFH-OPERATIONS DEPARTMENT</v>
      </c>
      <c r="F6611" t="str">
        <f t="shared" si="2699"/>
        <v>IBG</v>
      </c>
      <c r="G6611" t="str">
        <f t="shared" si="2708"/>
        <v>Refund COSHARE 10</v>
      </c>
      <c r="H6611" s="2">
        <v>178</v>
      </c>
      <c r="I6611" t="str">
        <f>"IBRAHIM BIN DAUD"</f>
        <v>IBRAHIM BIN DAUD</v>
      </c>
      <c r="J6611" t="str">
        <f t="shared" si="2696"/>
        <v>CIMB BANK / CIMB ISLAMIC BANK</v>
      </c>
      <c r="K6611" t="str">
        <f>"08130066838523"</f>
        <v>08130066838523</v>
      </c>
      <c r="L6611" t="str">
        <f t="shared" si="2709"/>
        <v>04-08-2020</v>
      </c>
      <c r="M6611" t="str">
        <f t="shared" si="2709"/>
        <v>04-08-2020</v>
      </c>
      <c r="N6611" t="str">
        <f t="shared" si="2700"/>
        <v>001105018356</v>
      </c>
      <c r="O6611" t="str">
        <f t="shared" si="2701"/>
        <v>MYR</v>
      </c>
      <c r="P6611" t="str">
        <f t="shared" si="2710"/>
        <v>NIL</v>
      </c>
      <c r="Q6611" t="str">
        <f t="shared" si="2710"/>
        <v>NIL</v>
      </c>
      <c r="R6611" t="str">
        <f t="shared" si="2688"/>
        <v>Accepted</v>
      </c>
      <c r="S6611" t="str">
        <f t="shared" si="2702"/>
        <v>Approved</v>
      </c>
      <c r="T6611" t="str">
        <f t="shared" si="2689"/>
        <v>10.20.8.188</v>
      </c>
      <c r="U6611" t="str">
        <f t="shared" si="2703"/>
        <v>AZRAD UMAR BIN SHAARI</v>
      </c>
      <c r="V6611" t="str">
        <f t="shared" si="2704"/>
        <v>FARHANA BINTI MUSTAPA</v>
      </c>
      <c r="W6611" t="str">
        <f t="shared" si="2705"/>
        <v>04-08-2020</v>
      </c>
      <c r="X6611" t="str">
        <f t="shared" si="2706"/>
        <v>RAZIMAH ANSAR AHMAD</v>
      </c>
      <c r="Y6611" t="str">
        <f t="shared" si="2707"/>
        <v>04-08-2020</v>
      </c>
      <c r="Z6611" t="str">
        <f>"COS10200804 2543"</f>
        <v>COS10200804 2543</v>
      </c>
    </row>
    <row r="6612" spans="1:26" x14ac:dyDescent="0.25">
      <c r="A6612" t="str">
        <f t="shared" si="2692"/>
        <v>04-08-2020 12:37:56</v>
      </c>
      <c r="B6612" t="str">
        <f>"0000804304"</f>
        <v>0000804304</v>
      </c>
      <c r="C6612" t="str">
        <f t="shared" si="2693"/>
        <v>0000804162</v>
      </c>
      <c r="D6612" t="str">
        <f t="shared" si="2697"/>
        <v>73185</v>
      </c>
      <c r="E6612" t="str">
        <f t="shared" si="2698"/>
        <v>KFH-OPERATIONS DEPARTMENT</v>
      </c>
      <c r="F6612" t="str">
        <f t="shared" si="2699"/>
        <v>IBG</v>
      </c>
      <c r="G6612" t="str">
        <f t="shared" si="2708"/>
        <v>Refund COSHARE 10</v>
      </c>
      <c r="H6612" s="2">
        <v>523.35</v>
      </c>
      <c r="I6612" t="str">
        <f>"IBRAHIM BIN BAHAR0M"</f>
        <v>IBRAHIM BIN BAHAR0M</v>
      </c>
      <c r="J6612" t="str">
        <f t="shared" si="2696"/>
        <v>CIMB BANK / CIMB ISLAMIC BANK</v>
      </c>
      <c r="K6612" t="str">
        <f>"02130067292528"</f>
        <v>02130067292528</v>
      </c>
      <c r="L6612" t="str">
        <f t="shared" si="2709"/>
        <v>04-08-2020</v>
      </c>
      <c r="M6612" t="str">
        <f t="shared" si="2709"/>
        <v>04-08-2020</v>
      </c>
      <c r="N6612" t="str">
        <f t="shared" si="2700"/>
        <v>001105018356</v>
      </c>
      <c r="O6612" t="str">
        <f t="shared" si="2701"/>
        <v>MYR</v>
      </c>
      <c r="P6612" t="str">
        <f t="shared" si="2710"/>
        <v>NIL</v>
      </c>
      <c r="Q6612" t="str">
        <f t="shared" si="2710"/>
        <v>NIL</v>
      </c>
      <c r="R6612" t="str">
        <f t="shared" si="2688"/>
        <v>Accepted</v>
      </c>
      <c r="S6612" t="str">
        <f t="shared" si="2702"/>
        <v>Approved</v>
      </c>
      <c r="T6612" t="str">
        <f t="shared" si="2689"/>
        <v>10.20.8.188</v>
      </c>
      <c r="U6612" t="str">
        <f t="shared" si="2703"/>
        <v>AZRAD UMAR BIN SHAARI</v>
      </c>
      <c r="V6612" t="str">
        <f t="shared" si="2704"/>
        <v>FARHANA BINTI MUSTAPA</v>
      </c>
      <c r="W6612" t="str">
        <f t="shared" si="2705"/>
        <v>04-08-2020</v>
      </c>
      <c r="X6612" t="str">
        <f t="shared" si="2706"/>
        <v>RAZIMAH ANSAR AHMAD</v>
      </c>
      <c r="Y6612" t="str">
        <f t="shared" si="2707"/>
        <v>04-08-2020</v>
      </c>
      <c r="Z6612" t="str">
        <f>"COS10200804 2542"</f>
        <v>COS10200804 2542</v>
      </c>
    </row>
    <row r="6613" spans="1:26" x14ac:dyDescent="0.25">
      <c r="A6613" t="str">
        <f t="shared" si="2692"/>
        <v>04-08-2020 12:37:56</v>
      </c>
      <c r="B6613" t="str">
        <f>"0000804303"</f>
        <v>0000804303</v>
      </c>
      <c r="C6613" t="str">
        <f t="shared" si="2693"/>
        <v>0000804162</v>
      </c>
      <c r="D6613" t="str">
        <f t="shared" si="2697"/>
        <v>73185</v>
      </c>
      <c r="E6613" t="str">
        <f t="shared" si="2698"/>
        <v>KFH-OPERATIONS DEPARTMENT</v>
      </c>
      <c r="F6613" t="str">
        <f t="shared" si="2699"/>
        <v>IBG</v>
      </c>
      <c r="G6613" t="str">
        <f t="shared" si="2708"/>
        <v>Refund COSHARE 10</v>
      </c>
      <c r="H6613" s="2">
        <v>243</v>
      </c>
      <c r="I6613" t="str">
        <f>"IBRAHIM BIN ALI"</f>
        <v>IBRAHIM BIN ALI</v>
      </c>
      <c r="J6613" t="str">
        <f t="shared" si="2696"/>
        <v>CIMB BANK / CIMB ISLAMIC BANK</v>
      </c>
      <c r="K6613" t="str">
        <f>"7036275984"</f>
        <v>7036275984</v>
      </c>
      <c r="L6613" t="str">
        <f t="shared" si="2709"/>
        <v>04-08-2020</v>
      </c>
      <c r="M6613" t="str">
        <f t="shared" si="2709"/>
        <v>04-08-2020</v>
      </c>
      <c r="N6613" t="str">
        <f t="shared" si="2700"/>
        <v>001105018356</v>
      </c>
      <c r="O6613" t="str">
        <f t="shared" si="2701"/>
        <v>MYR</v>
      </c>
      <c r="P6613" t="str">
        <f t="shared" si="2710"/>
        <v>NIL</v>
      </c>
      <c r="Q6613" t="str">
        <f t="shared" si="2710"/>
        <v>NIL</v>
      </c>
      <c r="R6613" t="str">
        <f t="shared" si="2688"/>
        <v>Accepted</v>
      </c>
      <c r="S6613" t="str">
        <f t="shared" si="2702"/>
        <v>Approved</v>
      </c>
      <c r="T6613" t="str">
        <f t="shared" si="2689"/>
        <v>10.20.8.188</v>
      </c>
      <c r="U6613" t="str">
        <f t="shared" si="2703"/>
        <v>AZRAD UMAR BIN SHAARI</v>
      </c>
      <c r="V6613" t="str">
        <f t="shared" si="2704"/>
        <v>FARHANA BINTI MUSTAPA</v>
      </c>
      <c r="W6613" t="str">
        <f t="shared" si="2705"/>
        <v>04-08-2020</v>
      </c>
      <c r="X6613" t="str">
        <f t="shared" si="2706"/>
        <v>RAZIMAH ANSAR AHMAD</v>
      </c>
      <c r="Y6613" t="str">
        <f t="shared" si="2707"/>
        <v>04-08-2020</v>
      </c>
      <c r="Z6613" t="str">
        <f>"COS10200804 2541"</f>
        <v>COS10200804 2541</v>
      </c>
    </row>
    <row r="6614" spans="1:26" x14ac:dyDescent="0.25">
      <c r="A6614" t="str">
        <f t="shared" si="2692"/>
        <v>04-08-2020 12:37:56</v>
      </c>
      <c r="B6614" t="str">
        <f>"0000804302"</f>
        <v>0000804302</v>
      </c>
      <c r="C6614" t="str">
        <f t="shared" si="2693"/>
        <v>0000804162</v>
      </c>
      <c r="D6614" t="str">
        <f t="shared" si="2697"/>
        <v>73185</v>
      </c>
      <c r="E6614" t="str">
        <f t="shared" si="2698"/>
        <v>KFH-OPERATIONS DEPARTMENT</v>
      </c>
      <c r="F6614" t="str">
        <f t="shared" si="2699"/>
        <v>IBG</v>
      </c>
      <c r="G6614" t="str">
        <f t="shared" si="2708"/>
        <v>Refund COSHARE 10</v>
      </c>
      <c r="H6614" s="2">
        <v>1092</v>
      </c>
      <c r="I6614" t="str">
        <f>"HUSLI ASNA BIN HAMZAH"</f>
        <v>HUSLI ASNA BIN HAMZAH</v>
      </c>
      <c r="J6614" t="str">
        <f t="shared" si="2696"/>
        <v>CIMB BANK / CIMB ISLAMIC BANK</v>
      </c>
      <c r="K6614" t="str">
        <f>"7027967685"</f>
        <v>7027967685</v>
      </c>
      <c r="L6614" t="str">
        <f t="shared" si="2709"/>
        <v>04-08-2020</v>
      </c>
      <c r="M6614" t="str">
        <f t="shared" si="2709"/>
        <v>04-08-2020</v>
      </c>
      <c r="N6614" t="str">
        <f t="shared" si="2700"/>
        <v>001105018356</v>
      </c>
      <c r="O6614" t="str">
        <f t="shared" si="2701"/>
        <v>MYR</v>
      </c>
      <c r="P6614" t="str">
        <f t="shared" si="2710"/>
        <v>NIL</v>
      </c>
      <c r="Q6614" t="str">
        <f t="shared" si="2710"/>
        <v>NIL</v>
      </c>
      <c r="R6614" t="str">
        <f t="shared" si="2688"/>
        <v>Accepted</v>
      </c>
      <c r="S6614" t="str">
        <f t="shared" si="2702"/>
        <v>Approved</v>
      </c>
      <c r="T6614" t="str">
        <f t="shared" si="2689"/>
        <v>10.20.8.188</v>
      </c>
      <c r="U6614" t="str">
        <f t="shared" si="2703"/>
        <v>AZRAD UMAR BIN SHAARI</v>
      </c>
      <c r="V6614" t="str">
        <f t="shared" si="2704"/>
        <v>FARHANA BINTI MUSTAPA</v>
      </c>
      <c r="W6614" t="str">
        <f t="shared" si="2705"/>
        <v>04-08-2020</v>
      </c>
      <c r="X6614" t="str">
        <f t="shared" si="2706"/>
        <v>RAZIMAH ANSAR AHMAD</v>
      </c>
      <c r="Y6614" t="str">
        <f t="shared" si="2707"/>
        <v>04-08-2020</v>
      </c>
      <c r="Z6614" t="str">
        <f>"COS10200804 2540"</f>
        <v>COS10200804 2540</v>
      </c>
    </row>
    <row r="6615" spans="1:26" x14ac:dyDescent="0.25">
      <c r="A6615" t="str">
        <f t="shared" si="2692"/>
        <v>04-08-2020 12:37:56</v>
      </c>
      <c r="B6615" t="str">
        <f>"0000804301"</f>
        <v>0000804301</v>
      </c>
      <c r="C6615" t="str">
        <f t="shared" si="2693"/>
        <v>0000804162</v>
      </c>
      <c r="D6615" t="str">
        <f t="shared" si="2697"/>
        <v>73185</v>
      </c>
      <c r="E6615" t="str">
        <f t="shared" si="2698"/>
        <v>KFH-OPERATIONS DEPARTMENT</v>
      </c>
      <c r="F6615" t="str">
        <f t="shared" si="2699"/>
        <v>IBG</v>
      </c>
      <c r="G6615" t="str">
        <f t="shared" si="2708"/>
        <v>Refund COSHARE 10</v>
      </c>
      <c r="H6615" s="2">
        <v>224</v>
      </c>
      <c r="I6615" t="str">
        <f>"HUSAIF BIN MOHAMED"</f>
        <v>HUSAIF BIN MOHAMED</v>
      </c>
      <c r="J6615" t="str">
        <f t="shared" si="2696"/>
        <v>CIMB BANK / CIMB ISLAMIC BANK</v>
      </c>
      <c r="K6615" t="str">
        <f>"01070070890520"</f>
        <v>01070070890520</v>
      </c>
      <c r="L6615" t="str">
        <f t="shared" si="2709"/>
        <v>04-08-2020</v>
      </c>
      <c r="M6615" t="str">
        <f t="shared" si="2709"/>
        <v>04-08-2020</v>
      </c>
      <c r="N6615" t="str">
        <f t="shared" si="2700"/>
        <v>001105018356</v>
      </c>
      <c r="O6615" t="str">
        <f t="shared" si="2701"/>
        <v>MYR</v>
      </c>
      <c r="P6615" t="str">
        <f t="shared" si="2710"/>
        <v>NIL</v>
      </c>
      <c r="Q6615" t="str">
        <f t="shared" si="2710"/>
        <v>NIL</v>
      </c>
      <c r="R6615" t="str">
        <f t="shared" si="2688"/>
        <v>Accepted</v>
      </c>
      <c r="S6615" t="str">
        <f t="shared" si="2702"/>
        <v>Approved</v>
      </c>
      <c r="T6615" t="str">
        <f t="shared" si="2689"/>
        <v>10.20.8.188</v>
      </c>
      <c r="U6615" t="str">
        <f t="shared" si="2703"/>
        <v>AZRAD UMAR BIN SHAARI</v>
      </c>
      <c r="V6615" t="str">
        <f t="shared" si="2704"/>
        <v>FARHANA BINTI MUSTAPA</v>
      </c>
      <c r="W6615" t="str">
        <f t="shared" si="2705"/>
        <v>04-08-2020</v>
      </c>
      <c r="X6615" t="str">
        <f t="shared" si="2706"/>
        <v>RAZIMAH ANSAR AHMAD</v>
      </c>
      <c r="Y6615" t="str">
        <f t="shared" si="2707"/>
        <v>04-08-2020</v>
      </c>
      <c r="Z6615" t="str">
        <f>"COS10200804 2539"</f>
        <v>COS10200804 2539</v>
      </c>
    </row>
    <row r="6616" spans="1:26" x14ac:dyDescent="0.25">
      <c r="A6616" t="str">
        <f t="shared" si="2692"/>
        <v>04-08-2020 12:37:56</v>
      </c>
      <c r="B6616" t="str">
        <f>"0000804300"</f>
        <v>0000804300</v>
      </c>
      <c r="C6616" t="str">
        <f t="shared" si="2693"/>
        <v>0000804162</v>
      </c>
      <c r="D6616" t="str">
        <f t="shared" si="2697"/>
        <v>73185</v>
      </c>
      <c r="E6616" t="str">
        <f t="shared" si="2698"/>
        <v>KFH-OPERATIONS DEPARTMENT</v>
      </c>
      <c r="F6616" t="str">
        <f t="shared" si="2699"/>
        <v>IBG</v>
      </c>
      <c r="G6616" t="str">
        <f t="shared" si="2708"/>
        <v>Refund COSHARE 10</v>
      </c>
      <c r="H6616" s="2">
        <v>60.35</v>
      </c>
      <c r="I6616" t="str">
        <f>"HURUL AIN ZAHRA BINTI MOHD HALIM"</f>
        <v>HURUL AIN ZAHRA BINTI MOHD HALIM</v>
      </c>
      <c r="J6616" t="str">
        <f t="shared" si="2696"/>
        <v>CIMB BANK / CIMB ISLAMIC BANK</v>
      </c>
      <c r="K6616" t="str">
        <f>"12290002314208"</f>
        <v>12290002314208</v>
      </c>
      <c r="L6616" t="str">
        <f t="shared" si="2709"/>
        <v>04-08-2020</v>
      </c>
      <c r="M6616" t="str">
        <f t="shared" si="2709"/>
        <v>04-08-2020</v>
      </c>
      <c r="N6616" t="str">
        <f t="shared" si="2700"/>
        <v>001105018356</v>
      </c>
      <c r="O6616" t="str">
        <f t="shared" si="2701"/>
        <v>MYR</v>
      </c>
      <c r="P6616" t="str">
        <f t="shared" si="2710"/>
        <v>NIL</v>
      </c>
      <c r="Q6616" t="str">
        <f t="shared" si="2710"/>
        <v>NIL</v>
      </c>
      <c r="R6616" t="str">
        <f t="shared" si="2688"/>
        <v>Accepted</v>
      </c>
      <c r="S6616" t="str">
        <f t="shared" si="2702"/>
        <v>Approved</v>
      </c>
      <c r="T6616" t="str">
        <f t="shared" si="2689"/>
        <v>10.20.8.188</v>
      </c>
      <c r="U6616" t="str">
        <f t="shared" si="2703"/>
        <v>AZRAD UMAR BIN SHAARI</v>
      </c>
      <c r="V6616" t="str">
        <f t="shared" si="2704"/>
        <v>FARHANA BINTI MUSTAPA</v>
      </c>
      <c r="W6616" t="str">
        <f t="shared" si="2705"/>
        <v>04-08-2020</v>
      </c>
      <c r="X6616" t="str">
        <f t="shared" si="2706"/>
        <v>RAZIMAH ANSAR AHMAD</v>
      </c>
      <c r="Y6616" t="str">
        <f t="shared" si="2707"/>
        <v>04-08-2020</v>
      </c>
      <c r="Z6616" t="str">
        <f>"COS10200804 2538"</f>
        <v>COS10200804 2538</v>
      </c>
    </row>
    <row r="6617" spans="1:26" x14ac:dyDescent="0.25">
      <c r="A6617" t="str">
        <f t="shared" si="2692"/>
        <v>04-08-2020 12:37:56</v>
      </c>
      <c r="B6617" t="str">
        <f>"0000804299"</f>
        <v>0000804299</v>
      </c>
      <c r="C6617" t="str">
        <f t="shared" si="2693"/>
        <v>0000804162</v>
      </c>
      <c r="D6617" t="str">
        <f t="shared" si="2697"/>
        <v>73185</v>
      </c>
      <c r="E6617" t="str">
        <f t="shared" si="2698"/>
        <v>KFH-OPERATIONS DEPARTMENT</v>
      </c>
      <c r="F6617" t="str">
        <f t="shared" si="2699"/>
        <v>IBG</v>
      </c>
      <c r="G6617" t="str">
        <f t="shared" si="2708"/>
        <v>Refund COSHARE 10</v>
      </c>
      <c r="H6617" s="2">
        <v>1082.95</v>
      </c>
      <c r="I6617" t="str">
        <f>"HISYAM BIN MD DAN"</f>
        <v>HISYAM BIN MD DAN</v>
      </c>
      <c r="J6617" t="str">
        <f t="shared" si="2696"/>
        <v>CIMB BANK / CIMB ISLAMIC BANK</v>
      </c>
      <c r="K6617" t="str">
        <f>"12230034076520"</f>
        <v>12230034076520</v>
      </c>
      <c r="L6617" t="str">
        <f t="shared" si="2709"/>
        <v>04-08-2020</v>
      </c>
      <c r="M6617" t="str">
        <f t="shared" si="2709"/>
        <v>04-08-2020</v>
      </c>
      <c r="N6617" t="str">
        <f t="shared" si="2700"/>
        <v>001105018356</v>
      </c>
      <c r="O6617" t="str">
        <f t="shared" si="2701"/>
        <v>MYR</v>
      </c>
      <c r="P6617" t="str">
        <f t="shared" si="2710"/>
        <v>NIL</v>
      </c>
      <c r="Q6617" t="str">
        <f t="shared" si="2710"/>
        <v>NIL</v>
      </c>
      <c r="R6617" t="str">
        <f t="shared" si="2688"/>
        <v>Accepted</v>
      </c>
      <c r="S6617" t="str">
        <f t="shared" si="2702"/>
        <v>Approved</v>
      </c>
      <c r="T6617" t="str">
        <f t="shared" si="2689"/>
        <v>10.20.8.188</v>
      </c>
      <c r="U6617" t="str">
        <f t="shared" si="2703"/>
        <v>AZRAD UMAR BIN SHAARI</v>
      </c>
      <c r="V6617" t="str">
        <f t="shared" si="2704"/>
        <v>FARHANA BINTI MUSTAPA</v>
      </c>
      <c r="W6617" t="str">
        <f t="shared" si="2705"/>
        <v>04-08-2020</v>
      </c>
      <c r="X6617" t="str">
        <f t="shared" si="2706"/>
        <v>RAZIMAH ANSAR AHMAD</v>
      </c>
      <c r="Y6617" t="str">
        <f t="shared" si="2707"/>
        <v>04-08-2020</v>
      </c>
      <c r="Z6617" t="str">
        <f>"COS10200804 2537"</f>
        <v>COS10200804 2537</v>
      </c>
    </row>
    <row r="6618" spans="1:26" x14ac:dyDescent="0.25">
      <c r="A6618" t="str">
        <f t="shared" ref="A6618:A6649" si="2711">"04-08-2020 12:37:56"</f>
        <v>04-08-2020 12:37:56</v>
      </c>
      <c r="B6618" t="str">
        <f>"0000804298"</f>
        <v>0000804298</v>
      </c>
      <c r="C6618" t="str">
        <f t="shared" ref="C6618:C6649" si="2712">"0000804162"</f>
        <v>0000804162</v>
      </c>
      <c r="D6618" t="str">
        <f t="shared" si="2697"/>
        <v>73185</v>
      </c>
      <c r="E6618" t="str">
        <f t="shared" si="2698"/>
        <v>KFH-OPERATIONS DEPARTMENT</v>
      </c>
      <c r="F6618" t="str">
        <f t="shared" si="2699"/>
        <v>IBG</v>
      </c>
      <c r="G6618" t="str">
        <f t="shared" si="2708"/>
        <v>Refund COSHARE 10</v>
      </c>
      <c r="H6618" s="2">
        <v>1276.05</v>
      </c>
      <c r="I6618" t="str">
        <f>"HISHAM BIN AHMAD"</f>
        <v>HISHAM BIN AHMAD</v>
      </c>
      <c r="J6618" t="str">
        <f t="shared" si="2696"/>
        <v>CIMB BANK / CIMB ISLAMIC BANK</v>
      </c>
      <c r="K6618" t="str">
        <f>"10030077005520"</f>
        <v>10030077005520</v>
      </c>
      <c r="L6618" t="str">
        <f t="shared" si="2709"/>
        <v>04-08-2020</v>
      </c>
      <c r="M6618" t="str">
        <f t="shared" si="2709"/>
        <v>04-08-2020</v>
      </c>
      <c r="N6618" t="str">
        <f t="shared" si="2700"/>
        <v>001105018356</v>
      </c>
      <c r="O6618" t="str">
        <f t="shared" si="2701"/>
        <v>MYR</v>
      </c>
      <c r="P6618" t="str">
        <f t="shared" si="2710"/>
        <v>NIL</v>
      </c>
      <c r="Q6618" t="str">
        <f t="shared" si="2710"/>
        <v>NIL</v>
      </c>
      <c r="R6618" t="str">
        <f t="shared" si="2688"/>
        <v>Accepted</v>
      </c>
      <c r="S6618" t="str">
        <f t="shared" si="2702"/>
        <v>Approved</v>
      </c>
      <c r="T6618" t="str">
        <f t="shared" si="2689"/>
        <v>10.20.8.188</v>
      </c>
      <c r="U6618" t="str">
        <f t="shared" si="2703"/>
        <v>AZRAD UMAR BIN SHAARI</v>
      </c>
      <c r="V6618" t="str">
        <f t="shared" si="2704"/>
        <v>FARHANA BINTI MUSTAPA</v>
      </c>
      <c r="W6618" t="str">
        <f t="shared" si="2705"/>
        <v>04-08-2020</v>
      </c>
      <c r="X6618" t="str">
        <f t="shared" si="2706"/>
        <v>RAZIMAH ANSAR AHMAD</v>
      </c>
      <c r="Y6618" t="str">
        <f t="shared" si="2707"/>
        <v>04-08-2020</v>
      </c>
      <c r="Z6618" t="str">
        <f>"COS10200804 2536"</f>
        <v>COS10200804 2536</v>
      </c>
    </row>
    <row r="6619" spans="1:26" x14ac:dyDescent="0.25">
      <c r="A6619" t="str">
        <f t="shared" si="2711"/>
        <v>04-08-2020 12:37:56</v>
      </c>
      <c r="B6619" t="str">
        <f>"0000804297"</f>
        <v>0000804297</v>
      </c>
      <c r="C6619" t="str">
        <f t="shared" si="2712"/>
        <v>0000804162</v>
      </c>
      <c r="D6619" t="str">
        <f t="shared" si="2697"/>
        <v>73185</v>
      </c>
      <c r="E6619" t="str">
        <f t="shared" si="2698"/>
        <v>KFH-OPERATIONS DEPARTMENT</v>
      </c>
      <c r="F6619" t="str">
        <f t="shared" si="2699"/>
        <v>IBG</v>
      </c>
      <c r="G6619" t="str">
        <f t="shared" si="2708"/>
        <v>Refund COSHARE 10</v>
      </c>
      <c r="H6619" s="2">
        <v>344.2</v>
      </c>
      <c r="I6619" t="str">
        <f>"HILALIYAH BT RAMLI"</f>
        <v>HILALIYAH BT RAMLI</v>
      </c>
      <c r="J6619" t="str">
        <f t="shared" si="2696"/>
        <v>CIMB BANK / CIMB ISLAMIC BANK</v>
      </c>
      <c r="K6619" t="str">
        <f>"06010732881525"</f>
        <v>06010732881525</v>
      </c>
      <c r="L6619" t="str">
        <f t="shared" si="2709"/>
        <v>04-08-2020</v>
      </c>
      <c r="M6619" t="str">
        <f t="shared" si="2709"/>
        <v>04-08-2020</v>
      </c>
      <c r="N6619" t="str">
        <f t="shared" si="2700"/>
        <v>001105018356</v>
      </c>
      <c r="O6619" t="str">
        <f t="shared" si="2701"/>
        <v>MYR</v>
      </c>
      <c r="P6619" t="str">
        <f t="shared" si="2710"/>
        <v>NIL</v>
      </c>
      <c r="Q6619" t="str">
        <f t="shared" si="2710"/>
        <v>NIL</v>
      </c>
      <c r="R6619" t="str">
        <f t="shared" si="2688"/>
        <v>Accepted</v>
      </c>
      <c r="S6619" t="str">
        <f t="shared" si="2702"/>
        <v>Approved</v>
      </c>
      <c r="T6619" t="str">
        <f t="shared" si="2689"/>
        <v>10.20.8.188</v>
      </c>
      <c r="U6619" t="str">
        <f t="shared" si="2703"/>
        <v>AZRAD UMAR BIN SHAARI</v>
      </c>
      <c r="V6619" t="str">
        <f t="shared" si="2704"/>
        <v>FARHANA BINTI MUSTAPA</v>
      </c>
      <c r="W6619" t="str">
        <f t="shared" si="2705"/>
        <v>04-08-2020</v>
      </c>
      <c r="X6619" t="str">
        <f t="shared" si="2706"/>
        <v>RAZIMAH ANSAR AHMAD</v>
      </c>
      <c r="Y6619" t="str">
        <f t="shared" si="2707"/>
        <v>04-08-2020</v>
      </c>
      <c r="Z6619" t="str">
        <f>"COS10200804 2535"</f>
        <v>COS10200804 2535</v>
      </c>
    </row>
    <row r="6620" spans="1:26" x14ac:dyDescent="0.25">
      <c r="A6620" t="str">
        <f t="shared" si="2711"/>
        <v>04-08-2020 12:37:56</v>
      </c>
      <c r="B6620" t="str">
        <f>"0000804296"</f>
        <v>0000804296</v>
      </c>
      <c r="C6620" t="str">
        <f t="shared" si="2712"/>
        <v>0000804162</v>
      </c>
      <c r="D6620" t="str">
        <f t="shared" si="2697"/>
        <v>73185</v>
      </c>
      <c r="E6620" t="str">
        <f t="shared" si="2698"/>
        <v>KFH-OPERATIONS DEPARTMENT</v>
      </c>
      <c r="F6620" t="str">
        <f t="shared" si="2699"/>
        <v>IBG</v>
      </c>
      <c r="G6620" t="str">
        <f t="shared" si="2708"/>
        <v>Refund COSHARE 10</v>
      </c>
      <c r="H6620" s="2">
        <v>419.75</v>
      </c>
      <c r="I6620" t="str">
        <f>"HIDAYAT BIN SHAFIE"</f>
        <v>HIDAYAT BIN SHAFIE</v>
      </c>
      <c r="J6620" t="str">
        <f t="shared" si="2696"/>
        <v>CIMB BANK / CIMB ISLAMIC BANK</v>
      </c>
      <c r="K6620" t="str">
        <f>"04060003277208"</f>
        <v>04060003277208</v>
      </c>
      <c r="L6620" t="str">
        <f t="shared" si="2709"/>
        <v>04-08-2020</v>
      </c>
      <c r="M6620" t="str">
        <f t="shared" si="2709"/>
        <v>04-08-2020</v>
      </c>
      <c r="N6620" t="str">
        <f t="shared" si="2700"/>
        <v>001105018356</v>
      </c>
      <c r="O6620" t="str">
        <f t="shared" si="2701"/>
        <v>MYR</v>
      </c>
      <c r="P6620" t="str">
        <f t="shared" si="2710"/>
        <v>NIL</v>
      </c>
      <c r="Q6620" t="str">
        <f t="shared" si="2710"/>
        <v>NIL</v>
      </c>
      <c r="R6620" t="str">
        <f t="shared" si="2688"/>
        <v>Accepted</v>
      </c>
      <c r="S6620" t="str">
        <f t="shared" si="2702"/>
        <v>Approved</v>
      </c>
      <c r="T6620" t="str">
        <f t="shared" si="2689"/>
        <v>10.20.8.188</v>
      </c>
      <c r="U6620" t="str">
        <f t="shared" si="2703"/>
        <v>AZRAD UMAR BIN SHAARI</v>
      </c>
      <c r="V6620" t="str">
        <f t="shared" si="2704"/>
        <v>FARHANA BINTI MUSTAPA</v>
      </c>
      <c r="W6620" t="str">
        <f t="shared" si="2705"/>
        <v>04-08-2020</v>
      </c>
      <c r="X6620" t="str">
        <f t="shared" si="2706"/>
        <v>RAZIMAH ANSAR AHMAD</v>
      </c>
      <c r="Y6620" t="str">
        <f t="shared" si="2707"/>
        <v>04-08-2020</v>
      </c>
      <c r="Z6620" t="str">
        <f>"COS10200804 2534"</f>
        <v>COS10200804 2534</v>
      </c>
    </row>
    <row r="6621" spans="1:26" x14ac:dyDescent="0.25">
      <c r="A6621" t="str">
        <f t="shared" si="2711"/>
        <v>04-08-2020 12:37:56</v>
      </c>
      <c r="B6621" t="str">
        <f>"0000804295"</f>
        <v>0000804295</v>
      </c>
      <c r="C6621" t="str">
        <f t="shared" si="2712"/>
        <v>0000804162</v>
      </c>
      <c r="D6621" t="str">
        <f t="shared" si="2697"/>
        <v>73185</v>
      </c>
      <c r="E6621" t="str">
        <f t="shared" si="2698"/>
        <v>KFH-OPERATIONS DEPARTMENT</v>
      </c>
      <c r="F6621" t="str">
        <f t="shared" si="2699"/>
        <v>IBG</v>
      </c>
      <c r="G6621" t="str">
        <f t="shared" si="2708"/>
        <v>Refund COSHARE 10</v>
      </c>
      <c r="H6621" s="2">
        <v>524</v>
      </c>
      <c r="I6621" t="str">
        <f>"HIDAYAT BIN SHAFIE"</f>
        <v>HIDAYAT BIN SHAFIE</v>
      </c>
      <c r="J6621" t="str">
        <f t="shared" si="2696"/>
        <v>CIMB BANK / CIMB ISLAMIC BANK</v>
      </c>
      <c r="K6621" t="str">
        <f>"04060003277208"</f>
        <v>04060003277208</v>
      </c>
      <c r="L6621" t="str">
        <f t="shared" si="2709"/>
        <v>04-08-2020</v>
      </c>
      <c r="M6621" t="str">
        <f t="shared" si="2709"/>
        <v>04-08-2020</v>
      </c>
      <c r="N6621" t="str">
        <f t="shared" si="2700"/>
        <v>001105018356</v>
      </c>
      <c r="O6621" t="str">
        <f t="shared" si="2701"/>
        <v>MYR</v>
      </c>
      <c r="P6621" t="str">
        <f t="shared" si="2710"/>
        <v>NIL</v>
      </c>
      <c r="Q6621" t="str">
        <f t="shared" si="2710"/>
        <v>NIL</v>
      </c>
      <c r="R6621" t="str">
        <f t="shared" si="2688"/>
        <v>Accepted</v>
      </c>
      <c r="S6621" t="str">
        <f t="shared" si="2702"/>
        <v>Approved</v>
      </c>
      <c r="T6621" t="str">
        <f t="shared" si="2689"/>
        <v>10.20.8.188</v>
      </c>
      <c r="U6621" t="str">
        <f t="shared" si="2703"/>
        <v>AZRAD UMAR BIN SHAARI</v>
      </c>
      <c r="V6621" t="str">
        <f t="shared" si="2704"/>
        <v>FARHANA BINTI MUSTAPA</v>
      </c>
      <c r="W6621" t="str">
        <f t="shared" si="2705"/>
        <v>04-08-2020</v>
      </c>
      <c r="X6621" t="str">
        <f t="shared" si="2706"/>
        <v>RAZIMAH ANSAR AHMAD</v>
      </c>
      <c r="Y6621" t="str">
        <f t="shared" si="2707"/>
        <v>04-08-2020</v>
      </c>
      <c r="Z6621" t="str">
        <f>"COS10200804 2533"</f>
        <v>COS10200804 2533</v>
      </c>
    </row>
    <row r="6622" spans="1:26" x14ac:dyDescent="0.25">
      <c r="A6622" t="str">
        <f t="shared" si="2711"/>
        <v>04-08-2020 12:37:56</v>
      </c>
      <c r="B6622" t="str">
        <f>"0000804294"</f>
        <v>0000804294</v>
      </c>
      <c r="C6622" t="str">
        <f t="shared" si="2712"/>
        <v>0000804162</v>
      </c>
      <c r="D6622" t="str">
        <f t="shared" si="2697"/>
        <v>73185</v>
      </c>
      <c r="E6622" t="str">
        <f t="shared" si="2698"/>
        <v>KFH-OPERATIONS DEPARTMENT</v>
      </c>
      <c r="F6622" t="str">
        <f t="shared" si="2699"/>
        <v>IBG</v>
      </c>
      <c r="G6622" t="str">
        <f t="shared" si="2708"/>
        <v>Refund COSHARE 10</v>
      </c>
      <c r="H6622" s="2">
        <v>1679</v>
      </c>
      <c r="I6622" t="str">
        <f>"HERMAYATI BINTI JOHAR"</f>
        <v>HERMAYATI BINTI JOHAR</v>
      </c>
      <c r="J6622" t="str">
        <f t="shared" si="2696"/>
        <v>CIMB BANK / CIMB ISLAMIC BANK</v>
      </c>
      <c r="K6622" t="str">
        <f>"01050106168524"</f>
        <v>01050106168524</v>
      </c>
      <c r="L6622" t="str">
        <f t="shared" si="2709"/>
        <v>04-08-2020</v>
      </c>
      <c r="M6622" t="str">
        <f t="shared" si="2709"/>
        <v>04-08-2020</v>
      </c>
      <c r="N6622" t="str">
        <f t="shared" si="2700"/>
        <v>001105018356</v>
      </c>
      <c r="O6622" t="str">
        <f t="shared" si="2701"/>
        <v>MYR</v>
      </c>
      <c r="P6622" t="str">
        <f t="shared" si="2710"/>
        <v>NIL</v>
      </c>
      <c r="Q6622" t="str">
        <f t="shared" si="2710"/>
        <v>NIL</v>
      </c>
      <c r="R6622" t="str">
        <f t="shared" si="2688"/>
        <v>Accepted</v>
      </c>
      <c r="S6622" t="str">
        <f t="shared" si="2702"/>
        <v>Approved</v>
      </c>
      <c r="T6622" t="str">
        <f t="shared" si="2689"/>
        <v>10.20.8.188</v>
      </c>
      <c r="U6622" t="str">
        <f t="shared" si="2703"/>
        <v>AZRAD UMAR BIN SHAARI</v>
      </c>
      <c r="V6622" t="str">
        <f t="shared" si="2704"/>
        <v>FARHANA BINTI MUSTAPA</v>
      </c>
      <c r="W6622" t="str">
        <f t="shared" si="2705"/>
        <v>04-08-2020</v>
      </c>
      <c r="X6622" t="str">
        <f t="shared" si="2706"/>
        <v>RAZIMAH ANSAR AHMAD</v>
      </c>
      <c r="Y6622" t="str">
        <f t="shared" si="2707"/>
        <v>04-08-2020</v>
      </c>
      <c r="Z6622" t="str">
        <f>"COS10200804 2532"</f>
        <v>COS10200804 2532</v>
      </c>
    </row>
    <row r="6623" spans="1:26" x14ac:dyDescent="0.25">
      <c r="A6623" t="str">
        <f t="shared" si="2711"/>
        <v>04-08-2020 12:37:56</v>
      </c>
      <c r="B6623" t="str">
        <f>"0000804293"</f>
        <v>0000804293</v>
      </c>
      <c r="C6623" t="str">
        <f t="shared" si="2712"/>
        <v>0000804162</v>
      </c>
      <c r="D6623" t="str">
        <f t="shared" si="2697"/>
        <v>73185</v>
      </c>
      <c r="E6623" t="str">
        <f t="shared" si="2698"/>
        <v>KFH-OPERATIONS DEPARTMENT</v>
      </c>
      <c r="F6623" t="str">
        <f t="shared" si="2699"/>
        <v>IBG</v>
      </c>
      <c r="G6623" t="str">
        <f t="shared" si="2708"/>
        <v>Refund COSHARE 10</v>
      </c>
      <c r="H6623" s="2">
        <v>1292.8499999999999</v>
      </c>
      <c r="I6623" t="str">
        <f>"HERMAN FUAD BIN MOHAMAD"</f>
        <v>HERMAN FUAD BIN MOHAMAD</v>
      </c>
      <c r="J6623" t="str">
        <f t="shared" si="2696"/>
        <v>CIMB BANK / CIMB ISLAMIC BANK</v>
      </c>
      <c r="K6623" t="str">
        <f>"7005449238"</f>
        <v>7005449238</v>
      </c>
      <c r="L6623" t="str">
        <f t="shared" si="2709"/>
        <v>04-08-2020</v>
      </c>
      <c r="M6623" t="str">
        <f t="shared" si="2709"/>
        <v>04-08-2020</v>
      </c>
      <c r="N6623" t="str">
        <f t="shared" si="2700"/>
        <v>001105018356</v>
      </c>
      <c r="O6623" t="str">
        <f t="shared" si="2701"/>
        <v>MYR</v>
      </c>
      <c r="P6623" t="str">
        <f t="shared" si="2710"/>
        <v>NIL</v>
      </c>
      <c r="Q6623" t="str">
        <f t="shared" si="2710"/>
        <v>NIL</v>
      </c>
      <c r="R6623" t="str">
        <f t="shared" si="2688"/>
        <v>Accepted</v>
      </c>
      <c r="S6623" t="str">
        <f t="shared" si="2702"/>
        <v>Approved</v>
      </c>
      <c r="T6623" t="str">
        <f t="shared" si="2689"/>
        <v>10.20.8.188</v>
      </c>
      <c r="U6623" t="str">
        <f t="shared" si="2703"/>
        <v>AZRAD UMAR BIN SHAARI</v>
      </c>
      <c r="V6623" t="str">
        <f t="shared" si="2704"/>
        <v>FARHANA BINTI MUSTAPA</v>
      </c>
      <c r="W6623" t="str">
        <f t="shared" si="2705"/>
        <v>04-08-2020</v>
      </c>
      <c r="X6623" t="str">
        <f t="shared" si="2706"/>
        <v>RAZIMAH ANSAR AHMAD</v>
      </c>
      <c r="Y6623" t="str">
        <f t="shared" si="2707"/>
        <v>04-08-2020</v>
      </c>
      <c r="Z6623" t="str">
        <f>"COS10200804 2531"</f>
        <v>COS10200804 2531</v>
      </c>
    </row>
    <row r="6624" spans="1:26" x14ac:dyDescent="0.25">
      <c r="A6624" t="str">
        <f t="shared" si="2711"/>
        <v>04-08-2020 12:37:56</v>
      </c>
      <c r="B6624" t="str">
        <f>"0000804292"</f>
        <v>0000804292</v>
      </c>
      <c r="C6624" t="str">
        <f t="shared" si="2712"/>
        <v>0000804162</v>
      </c>
      <c r="D6624" t="str">
        <f t="shared" si="2697"/>
        <v>73185</v>
      </c>
      <c r="E6624" t="str">
        <f t="shared" si="2698"/>
        <v>KFH-OPERATIONS DEPARTMENT</v>
      </c>
      <c r="F6624" t="str">
        <f t="shared" si="2699"/>
        <v>IBG</v>
      </c>
      <c r="G6624" t="str">
        <f t="shared" si="2708"/>
        <v>Refund COSHARE 10</v>
      </c>
      <c r="H6624" s="2">
        <v>839.5</v>
      </c>
      <c r="I6624" t="str">
        <f>"HERMAN BAGONG ANAK GARY GERISAH"</f>
        <v>HERMAN BAGONG ANAK GARY GERISAH</v>
      </c>
      <c r="J6624" t="str">
        <f t="shared" si="2696"/>
        <v>CIMB BANK / CIMB ISLAMIC BANK</v>
      </c>
      <c r="K6624" t="str">
        <f>"11120081283529"</f>
        <v>11120081283529</v>
      </c>
      <c r="L6624" t="str">
        <f t="shared" si="2709"/>
        <v>04-08-2020</v>
      </c>
      <c r="M6624" t="str">
        <f t="shared" si="2709"/>
        <v>04-08-2020</v>
      </c>
      <c r="N6624" t="str">
        <f t="shared" si="2700"/>
        <v>001105018356</v>
      </c>
      <c r="O6624" t="str">
        <f t="shared" si="2701"/>
        <v>MYR</v>
      </c>
      <c r="P6624" t="str">
        <f t="shared" si="2710"/>
        <v>NIL</v>
      </c>
      <c r="Q6624" t="str">
        <f t="shared" si="2710"/>
        <v>NIL</v>
      </c>
      <c r="R6624" t="str">
        <f t="shared" si="2688"/>
        <v>Accepted</v>
      </c>
      <c r="S6624" t="str">
        <f t="shared" si="2702"/>
        <v>Approved</v>
      </c>
      <c r="T6624" t="str">
        <f t="shared" si="2689"/>
        <v>10.20.8.188</v>
      </c>
      <c r="U6624" t="str">
        <f t="shared" si="2703"/>
        <v>AZRAD UMAR BIN SHAARI</v>
      </c>
      <c r="V6624" t="str">
        <f t="shared" si="2704"/>
        <v>FARHANA BINTI MUSTAPA</v>
      </c>
      <c r="W6624" t="str">
        <f t="shared" si="2705"/>
        <v>04-08-2020</v>
      </c>
      <c r="X6624" t="str">
        <f t="shared" si="2706"/>
        <v>RAZIMAH ANSAR AHMAD</v>
      </c>
      <c r="Y6624" t="str">
        <f t="shared" si="2707"/>
        <v>04-08-2020</v>
      </c>
      <c r="Z6624" t="str">
        <f>"COS10200804 2530"</f>
        <v>COS10200804 2530</v>
      </c>
    </row>
    <row r="6625" spans="1:26" x14ac:dyDescent="0.25">
      <c r="A6625" t="str">
        <f t="shared" si="2711"/>
        <v>04-08-2020 12:37:56</v>
      </c>
      <c r="B6625" t="str">
        <f>"0000804291"</f>
        <v>0000804291</v>
      </c>
      <c r="C6625" t="str">
        <f t="shared" si="2712"/>
        <v>0000804162</v>
      </c>
      <c r="D6625" t="str">
        <f t="shared" si="2697"/>
        <v>73185</v>
      </c>
      <c r="E6625" t="str">
        <f t="shared" si="2698"/>
        <v>KFH-OPERATIONS DEPARTMENT</v>
      </c>
      <c r="F6625" t="str">
        <f t="shared" si="2699"/>
        <v>IBG</v>
      </c>
      <c r="G6625" t="str">
        <f t="shared" si="2708"/>
        <v>Refund COSHARE 10</v>
      </c>
      <c r="H6625" s="2">
        <v>461.75</v>
      </c>
      <c r="I6625" t="str">
        <f>"HERIYAN BIN JUMADI"</f>
        <v>HERIYAN BIN JUMADI</v>
      </c>
      <c r="J6625" t="str">
        <f t="shared" si="2696"/>
        <v>CIMB BANK / CIMB ISLAMIC BANK</v>
      </c>
      <c r="K6625" t="str">
        <f>"01270000643205"</f>
        <v>01270000643205</v>
      </c>
      <c r="L6625" t="str">
        <f t="shared" si="2709"/>
        <v>04-08-2020</v>
      </c>
      <c r="M6625" t="str">
        <f t="shared" si="2709"/>
        <v>04-08-2020</v>
      </c>
      <c r="N6625" t="str">
        <f t="shared" si="2700"/>
        <v>001105018356</v>
      </c>
      <c r="O6625" t="str">
        <f t="shared" si="2701"/>
        <v>MYR</v>
      </c>
      <c r="P6625" t="str">
        <f t="shared" si="2710"/>
        <v>NIL</v>
      </c>
      <c r="Q6625" t="str">
        <f t="shared" si="2710"/>
        <v>NIL</v>
      </c>
      <c r="R6625" t="str">
        <f t="shared" si="2688"/>
        <v>Accepted</v>
      </c>
      <c r="S6625" t="str">
        <f t="shared" si="2702"/>
        <v>Approved</v>
      </c>
      <c r="T6625" t="str">
        <f t="shared" si="2689"/>
        <v>10.20.8.188</v>
      </c>
      <c r="U6625" t="str">
        <f t="shared" si="2703"/>
        <v>AZRAD UMAR BIN SHAARI</v>
      </c>
      <c r="V6625" t="str">
        <f t="shared" si="2704"/>
        <v>FARHANA BINTI MUSTAPA</v>
      </c>
      <c r="W6625" t="str">
        <f t="shared" si="2705"/>
        <v>04-08-2020</v>
      </c>
      <c r="X6625" t="str">
        <f t="shared" si="2706"/>
        <v>RAZIMAH ANSAR AHMAD</v>
      </c>
      <c r="Y6625" t="str">
        <f t="shared" si="2707"/>
        <v>04-08-2020</v>
      </c>
      <c r="Z6625" t="str">
        <f>"COS10200804 2529"</f>
        <v>COS10200804 2529</v>
      </c>
    </row>
    <row r="6626" spans="1:26" x14ac:dyDescent="0.25">
      <c r="A6626" t="str">
        <f t="shared" si="2711"/>
        <v>04-08-2020 12:37:56</v>
      </c>
      <c r="B6626" t="str">
        <f>"0000804290"</f>
        <v>0000804290</v>
      </c>
      <c r="C6626" t="str">
        <f t="shared" si="2712"/>
        <v>0000804162</v>
      </c>
      <c r="D6626" t="str">
        <f t="shared" si="2697"/>
        <v>73185</v>
      </c>
      <c r="E6626" t="str">
        <f t="shared" si="2698"/>
        <v>KFH-OPERATIONS DEPARTMENT</v>
      </c>
      <c r="F6626" t="str">
        <f t="shared" si="2699"/>
        <v>IBG</v>
      </c>
      <c r="G6626" t="str">
        <f t="shared" si="2708"/>
        <v>Refund COSHARE 10</v>
      </c>
      <c r="H6626" s="2">
        <v>1252</v>
      </c>
      <c r="I6626" t="str">
        <f>"HEMIAZWAN BIN IKHWAN"</f>
        <v>HEMIAZWAN BIN IKHWAN</v>
      </c>
      <c r="J6626" t="str">
        <f t="shared" si="2696"/>
        <v>CIMB BANK / CIMB ISLAMIC BANK</v>
      </c>
      <c r="K6626" t="str">
        <f>"12260078770528"</f>
        <v>12260078770528</v>
      </c>
      <c r="L6626" t="str">
        <f t="shared" si="2709"/>
        <v>04-08-2020</v>
      </c>
      <c r="M6626" t="str">
        <f t="shared" si="2709"/>
        <v>04-08-2020</v>
      </c>
      <c r="N6626" t="str">
        <f t="shared" si="2700"/>
        <v>001105018356</v>
      </c>
      <c r="O6626" t="str">
        <f t="shared" si="2701"/>
        <v>MYR</v>
      </c>
      <c r="P6626" t="str">
        <f t="shared" si="2710"/>
        <v>NIL</v>
      </c>
      <c r="Q6626" t="str">
        <f t="shared" si="2710"/>
        <v>NIL</v>
      </c>
      <c r="R6626" t="str">
        <f t="shared" ref="R6626:R6689" si="2713">"Accepted"</f>
        <v>Accepted</v>
      </c>
      <c r="S6626" t="str">
        <f t="shared" si="2702"/>
        <v>Approved</v>
      </c>
      <c r="T6626" t="str">
        <f t="shared" ref="T6626:T6689" si="2714">"10.20.8.188"</f>
        <v>10.20.8.188</v>
      </c>
      <c r="U6626" t="str">
        <f t="shared" si="2703"/>
        <v>AZRAD UMAR BIN SHAARI</v>
      </c>
      <c r="V6626" t="str">
        <f t="shared" si="2704"/>
        <v>FARHANA BINTI MUSTAPA</v>
      </c>
      <c r="W6626" t="str">
        <f t="shared" si="2705"/>
        <v>04-08-2020</v>
      </c>
      <c r="X6626" t="str">
        <f t="shared" si="2706"/>
        <v>RAZIMAH ANSAR AHMAD</v>
      </c>
      <c r="Y6626" t="str">
        <f t="shared" si="2707"/>
        <v>04-08-2020</v>
      </c>
      <c r="Z6626" t="str">
        <f>"COS10200804 2528"</f>
        <v>COS10200804 2528</v>
      </c>
    </row>
    <row r="6627" spans="1:26" x14ac:dyDescent="0.25">
      <c r="A6627" t="str">
        <f t="shared" si="2711"/>
        <v>04-08-2020 12:37:56</v>
      </c>
      <c r="B6627" t="str">
        <f>"0000804289"</f>
        <v>0000804289</v>
      </c>
      <c r="C6627" t="str">
        <f t="shared" si="2712"/>
        <v>0000804162</v>
      </c>
      <c r="D6627" t="str">
        <f t="shared" si="2697"/>
        <v>73185</v>
      </c>
      <c r="E6627" t="str">
        <f t="shared" si="2698"/>
        <v>KFH-OPERATIONS DEPARTMENT</v>
      </c>
      <c r="F6627" t="str">
        <f t="shared" si="2699"/>
        <v>IBG</v>
      </c>
      <c r="G6627" t="str">
        <f t="shared" si="2708"/>
        <v>Refund COSHARE 10</v>
      </c>
      <c r="H6627" s="2">
        <v>302.25</v>
      </c>
      <c r="I6627" t="str">
        <f>"HELWARAHANIM BINTI AHMAD SALDI"</f>
        <v>HELWARAHANIM BINTI AHMAD SALDI</v>
      </c>
      <c r="J6627" t="str">
        <f t="shared" si="2696"/>
        <v>CIMB BANK / CIMB ISLAMIC BANK</v>
      </c>
      <c r="K6627" t="str">
        <f>"14400071850521"</f>
        <v>14400071850521</v>
      </c>
      <c r="L6627" t="str">
        <f t="shared" ref="L6627:M6646" si="2715">"04-08-2020"</f>
        <v>04-08-2020</v>
      </c>
      <c r="M6627" t="str">
        <f t="shared" si="2715"/>
        <v>04-08-2020</v>
      </c>
      <c r="N6627" t="str">
        <f t="shared" si="2700"/>
        <v>001105018356</v>
      </c>
      <c r="O6627" t="str">
        <f t="shared" si="2701"/>
        <v>MYR</v>
      </c>
      <c r="P6627" t="str">
        <f t="shared" ref="P6627:Q6646" si="2716">"NIL"</f>
        <v>NIL</v>
      </c>
      <c r="Q6627" t="str">
        <f t="shared" si="2716"/>
        <v>NIL</v>
      </c>
      <c r="R6627" t="str">
        <f t="shared" si="2713"/>
        <v>Accepted</v>
      </c>
      <c r="S6627" t="str">
        <f t="shared" si="2702"/>
        <v>Approved</v>
      </c>
      <c r="T6627" t="str">
        <f t="shared" si="2714"/>
        <v>10.20.8.188</v>
      </c>
      <c r="U6627" t="str">
        <f t="shared" si="2703"/>
        <v>AZRAD UMAR BIN SHAARI</v>
      </c>
      <c r="V6627" t="str">
        <f t="shared" si="2704"/>
        <v>FARHANA BINTI MUSTAPA</v>
      </c>
      <c r="W6627" t="str">
        <f t="shared" si="2705"/>
        <v>04-08-2020</v>
      </c>
      <c r="X6627" t="str">
        <f t="shared" si="2706"/>
        <v>RAZIMAH ANSAR AHMAD</v>
      </c>
      <c r="Y6627" t="str">
        <f t="shared" si="2707"/>
        <v>04-08-2020</v>
      </c>
      <c r="Z6627" t="str">
        <f>"COS10200804 2527"</f>
        <v>COS10200804 2527</v>
      </c>
    </row>
    <row r="6628" spans="1:26" x14ac:dyDescent="0.25">
      <c r="A6628" t="str">
        <f t="shared" si="2711"/>
        <v>04-08-2020 12:37:56</v>
      </c>
      <c r="B6628" t="str">
        <f>"0000804288"</f>
        <v>0000804288</v>
      </c>
      <c r="C6628" t="str">
        <f t="shared" si="2712"/>
        <v>0000804162</v>
      </c>
      <c r="D6628" t="str">
        <f t="shared" si="2697"/>
        <v>73185</v>
      </c>
      <c r="E6628" t="str">
        <f t="shared" si="2698"/>
        <v>KFH-OPERATIONS DEPARTMENT</v>
      </c>
      <c r="F6628" t="str">
        <f t="shared" si="2699"/>
        <v>IBG</v>
      </c>
      <c r="G6628" t="str">
        <f t="shared" si="2708"/>
        <v>Refund COSHARE 10</v>
      </c>
      <c r="H6628" s="2">
        <v>856.3</v>
      </c>
      <c r="I6628" t="str">
        <f>"HELMIE BIN EKNI"</f>
        <v>HELMIE BIN EKNI</v>
      </c>
      <c r="J6628" t="str">
        <f t="shared" si="2696"/>
        <v>CIMB BANK / CIMB ISLAMIC BANK</v>
      </c>
      <c r="K6628" t="str">
        <f>"11130006208528"</f>
        <v>11130006208528</v>
      </c>
      <c r="L6628" t="str">
        <f t="shared" si="2715"/>
        <v>04-08-2020</v>
      </c>
      <c r="M6628" t="str">
        <f t="shared" si="2715"/>
        <v>04-08-2020</v>
      </c>
      <c r="N6628" t="str">
        <f t="shared" si="2700"/>
        <v>001105018356</v>
      </c>
      <c r="O6628" t="str">
        <f t="shared" si="2701"/>
        <v>MYR</v>
      </c>
      <c r="P6628" t="str">
        <f t="shared" si="2716"/>
        <v>NIL</v>
      </c>
      <c r="Q6628" t="str">
        <f t="shared" si="2716"/>
        <v>NIL</v>
      </c>
      <c r="R6628" t="str">
        <f t="shared" si="2713"/>
        <v>Accepted</v>
      </c>
      <c r="S6628" t="str">
        <f t="shared" si="2702"/>
        <v>Approved</v>
      </c>
      <c r="T6628" t="str">
        <f t="shared" si="2714"/>
        <v>10.20.8.188</v>
      </c>
      <c r="U6628" t="str">
        <f t="shared" si="2703"/>
        <v>AZRAD UMAR BIN SHAARI</v>
      </c>
      <c r="V6628" t="str">
        <f t="shared" si="2704"/>
        <v>FARHANA BINTI MUSTAPA</v>
      </c>
      <c r="W6628" t="str">
        <f t="shared" si="2705"/>
        <v>04-08-2020</v>
      </c>
      <c r="X6628" t="str">
        <f t="shared" si="2706"/>
        <v>RAZIMAH ANSAR AHMAD</v>
      </c>
      <c r="Y6628" t="str">
        <f t="shared" si="2707"/>
        <v>04-08-2020</v>
      </c>
      <c r="Z6628" t="str">
        <f>"COS10200804 2526"</f>
        <v>COS10200804 2526</v>
      </c>
    </row>
    <row r="6629" spans="1:26" x14ac:dyDescent="0.25">
      <c r="A6629" t="str">
        <f t="shared" si="2711"/>
        <v>04-08-2020 12:37:56</v>
      </c>
      <c r="B6629" t="str">
        <f>"0000804287"</f>
        <v>0000804287</v>
      </c>
      <c r="C6629" t="str">
        <f t="shared" si="2712"/>
        <v>0000804162</v>
      </c>
      <c r="D6629" t="str">
        <f t="shared" si="2697"/>
        <v>73185</v>
      </c>
      <c r="E6629" t="str">
        <f t="shared" si="2698"/>
        <v>KFH-OPERATIONS DEPARTMENT</v>
      </c>
      <c r="F6629" t="str">
        <f t="shared" si="2699"/>
        <v>IBG</v>
      </c>
      <c r="G6629" t="str">
        <f t="shared" si="2708"/>
        <v>Refund COSHARE 10</v>
      </c>
      <c r="H6629" s="2">
        <v>844.75</v>
      </c>
      <c r="I6629" t="str">
        <f>"HELME BIN AB HAMID"</f>
        <v>HELME BIN AB HAMID</v>
      </c>
      <c r="J6629" t="str">
        <f t="shared" si="2696"/>
        <v>CIMB BANK / CIMB ISLAMIC BANK</v>
      </c>
      <c r="K6629" t="str">
        <f>"16010002862202"</f>
        <v>16010002862202</v>
      </c>
      <c r="L6629" t="str">
        <f t="shared" si="2715"/>
        <v>04-08-2020</v>
      </c>
      <c r="M6629" t="str">
        <f t="shared" si="2715"/>
        <v>04-08-2020</v>
      </c>
      <c r="N6629" t="str">
        <f t="shared" si="2700"/>
        <v>001105018356</v>
      </c>
      <c r="O6629" t="str">
        <f t="shared" si="2701"/>
        <v>MYR</v>
      </c>
      <c r="P6629" t="str">
        <f t="shared" si="2716"/>
        <v>NIL</v>
      </c>
      <c r="Q6629" t="str">
        <f t="shared" si="2716"/>
        <v>NIL</v>
      </c>
      <c r="R6629" t="str">
        <f t="shared" si="2713"/>
        <v>Accepted</v>
      </c>
      <c r="S6629" t="str">
        <f t="shared" si="2702"/>
        <v>Approved</v>
      </c>
      <c r="T6629" t="str">
        <f t="shared" si="2714"/>
        <v>10.20.8.188</v>
      </c>
      <c r="U6629" t="str">
        <f t="shared" si="2703"/>
        <v>AZRAD UMAR BIN SHAARI</v>
      </c>
      <c r="V6629" t="str">
        <f t="shared" si="2704"/>
        <v>FARHANA BINTI MUSTAPA</v>
      </c>
      <c r="W6629" t="str">
        <f t="shared" si="2705"/>
        <v>04-08-2020</v>
      </c>
      <c r="X6629" t="str">
        <f t="shared" si="2706"/>
        <v>RAZIMAH ANSAR AHMAD</v>
      </c>
      <c r="Y6629" t="str">
        <f t="shared" si="2707"/>
        <v>04-08-2020</v>
      </c>
      <c r="Z6629" t="str">
        <f>"COS10200804 2525"</f>
        <v>COS10200804 2525</v>
      </c>
    </row>
    <row r="6630" spans="1:26" x14ac:dyDescent="0.25">
      <c r="A6630" t="str">
        <f t="shared" si="2711"/>
        <v>04-08-2020 12:37:56</v>
      </c>
      <c r="B6630" t="str">
        <f>"0000804286"</f>
        <v>0000804286</v>
      </c>
      <c r="C6630" t="str">
        <f t="shared" si="2712"/>
        <v>0000804162</v>
      </c>
      <c r="D6630" t="str">
        <f t="shared" si="2697"/>
        <v>73185</v>
      </c>
      <c r="E6630" t="str">
        <f t="shared" si="2698"/>
        <v>KFH-OPERATIONS DEPARTMENT</v>
      </c>
      <c r="F6630" t="str">
        <f t="shared" si="2699"/>
        <v>IBG</v>
      </c>
      <c r="G6630" t="str">
        <f t="shared" si="2708"/>
        <v>Refund COSHARE 10</v>
      </c>
      <c r="H6630" s="2">
        <v>178.75</v>
      </c>
      <c r="I6630" t="str">
        <f>"HELEN ANAK UGO"</f>
        <v>HELEN ANAK UGO</v>
      </c>
      <c r="J6630" t="str">
        <f t="shared" si="2696"/>
        <v>CIMB BANK / CIMB ISLAMIC BANK</v>
      </c>
      <c r="K6630" t="str">
        <f>"11090040094524"</f>
        <v>11090040094524</v>
      </c>
      <c r="L6630" t="str">
        <f t="shared" si="2715"/>
        <v>04-08-2020</v>
      </c>
      <c r="M6630" t="str">
        <f t="shared" si="2715"/>
        <v>04-08-2020</v>
      </c>
      <c r="N6630" t="str">
        <f t="shared" si="2700"/>
        <v>001105018356</v>
      </c>
      <c r="O6630" t="str">
        <f t="shared" si="2701"/>
        <v>MYR</v>
      </c>
      <c r="P6630" t="str">
        <f t="shared" si="2716"/>
        <v>NIL</v>
      </c>
      <c r="Q6630" t="str">
        <f t="shared" si="2716"/>
        <v>NIL</v>
      </c>
      <c r="R6630" t="str">
        <f t="shared" si="2713"/>
        <v>Accepted</v>
      </c>
      <c r="S6630" t="str">
        <f t="shared" si="2702"/>
        <v>Approved</v>
      </c>
      <c r="T6630" t="str">
        <f t="shared" si="2714"/>
        <v>10.20.8.188</v>
      </c>
      <c r="U6630" t="str">
        <f t="shared" si="2703"/>
        <v>AZRAD UMAR BIN SHAARI</v>
      </c>
      <c r="V6630" t="str">
        <f t="shared" si="2704"/>
        <v>FARHANA BINTI MUSTAPA</v>
      </c>
      <c r="W6630" t="str">
        <f t="shared" si="2705"/>
        <v>04-08-2020</v>
      </c>
      <c r="X6630" t="str">
        <f t="shared" si="2706"/>
        <v>RAZIMAH ANSAR AHMAD</v>
      </c>
      <c r="Y6630" t="str">
        <f t="shared" si="2707"/>
        <v>04-08-2020</v>
      </c>
      <c r="Z6630" t="str">
        <f>"COS10200804 2524"</f>
        <v>COS10200804 2524</v>
      </c>
    </row>
    <row r="6631" spans="1:26" x14ac:dyDescent="0.25">
      <c r="A6631" t="str">
        <f t="shared" si="2711"/>
        <v>04-08-2020 12:37:56</v>
      </c>
      <c r="B6631" t="str">
        <f>"0000804285"</f>
        <v>0000804285</v>
      </c>
      <c r="C6631" t="str">
        <f t="shared" si="2712"/>
        <v>0000804162</v>
      </c>
      <c r="D6631" t="str">
        <f t="shared" si="2697"/>
        <v>73185</v>
      </c>
      <c r="E6631" t="str">
        <f t="shared" si="2698"/>
        <v>KFH-OPERATIONS DEPARTMENT</v>
      </c>
      <c r="F6631" t="str">
        <f t="shared" si="2699"/>
        <v>IBG</v>
      </c>
      <c r="G6631" t="str">
        <f t="shared" si="2708"/>
        <v>Refund COSHARE 10</v>
      </c>
      <c r="H6631" s="2">
        <v>226</v>
      </c>
      <c r="I6631" t="str">
        <f>"HEFIYANTI BINTI REMELI"</f>
        <v>HEFIYANTI BINTI REMELI</v>
      </c>
      <c r="J6631" t="str">
        <f t="shared" si="2696"/>
        <v>CIMB BANK / CIMB ISLAMIC BANK</v>
      </c>
      <c r="K6631" t="str">
        <f>"07090062465520"</f>
        <v>07090062465520</v>
      </c>
      <c r="L6631" t="str">
        <f t="shared" si="2715"/>
        <v>04-08-2020</v>
      </c>
      <c r="M6631" t="str">
        <f t="shared" si="2715"/>
        <v>04-08-2020</v>
      </c>
      <c r="N6631" t="str">
        <f t="shared" si="2700"/>
        <v>001105018356</v>
      </c>
      <c r="O6631" t="str">
        <f t="shared" si="2701"/>
        <v>MYR</v>
      </c>
      <c r="P6631" t="str">
        <f t="shared" si="2716"/>
        <v>NIL</v>
      </c>
      <c r="Q6631" t="str">
        <f t="shared" si="2716"/>
        <v>NIL</v>
      </c>
      <c r="R6631" t="str">
        <f t="shared" si="2713"/>
        <v>Accepted</v>
      </c>
      <c r="S6631" t="str">
        <f t="shared" si="2702"/>
        <v>Approved</v>
      </c>
      <c r="T6631" t="str">
        <f t="shared" si="2714"/>
        <v>10.20.8.188</v>
      </c>
      <c r="U6631" t="str">
        <f t="shared" si="2703"/>
        <v>AZRAD UMAR BIN SHAARI</v>
      </c>
      <c r="V6631" t="str">
        <f t="shared" si="2704"/>
        <v>FARHANA BINTI MUSTAPA</v>
      </c>
      <c r="W6631" t="str">
        <f t="shared" si="2705"/>
        <v>04-08-2020</v>
      </c>
      <c r="X6631" t="str">
        <f t="shared" si="2706"/>
        <v>RAZIMAH ANSAR AHMAD</v>
      </c>
      <c r="Y6631" t="str">
        <f t="shared" si="2707"/>
        <v>04-08-2020</v>
      </c>
      <c r="Z6631" t="str">
        <f>"COS10200804 2523"</f>
        <v>COS10200804 2523</v>
      </c>
    </row>
    <row r="6632" spans="1:26" x14ac:dyDescent="0.25">
      <c r="A6632" t="str">
        <f t="shared" si="2711"/>
        <v>04-08-2020 12:37:56</v>
      </c>
      <c r="B6632" t="str">
        <f>"0000804284"</f>
        <v>0000804284</v>
      </c>
      <c r="C6632" t="str">
        <f t="shared" si="2712"/>
        <v>0000804162</v>
      </c>
      <c r="D6632" t="str">
        <f t="shared" si="2697"/>
        <v>73185</v>
      </c>
      <c r="E6632" t="str">
        <f t="shared" si="2698"/>
        <v>KFH-OPERATIONS DEPARTMENT</v>
      </c>
      <c r="F6632" t="str">
        <f t="shared" si="2699"/>
        <v>IBG</v>
      </c>
      <c r="G6632" t="str">
        <f t="shared" si="2708"/>
        <v>Refund COSHARE 10</v>
      </c>
      <c r="H6632" s="2">
        <v>444.95</v>
      </c>
      <c r="I6632" t="str">
        <f>"HAZLINA BT HASSAN"</f>
        <v>HAZLINA BT HASSAN</v>
      </c>
      <c r="J6632" t="str">
        <f t="shared" si="2696"/>
        <v>CIMB BANK / CIMB ISLAMIC BANK</v>
      </c>
      <c r="K6632" t="str">
        <f>"12170076240526"</f>
        <v>12170076240526</v>
      </c>
      <c r="L6632" t="str">
        <f t="shared" si="2715"/>
        <v>04-08-2020</v>
      </c>
      <c r="M6632" t="str">
        <f t="shared" si="2715"/>
        <v>04-08-2020</v>
      </c>
      <c r="N6632" t="str">
        <f t="shared" si="2700"/>
        <v>001105018356</v>
      </c>
      <c r="O6632" t="str">
        <f t="shared" si="2701"/>
        <v>MYR</v>
      </c>
      <c r="P6632" t="str">
        <f t="shared" si="2716"/>
        <v>NIL</v>
      </c>
      <c r="Q6632" t="str">
        <f t="shared" si="2716"/>
        <v>NIL</v>
      </c>
      <c r="R6632" t="str">
        <f t="shared" si="2713"/>
        <v>Accepted</v>
      </c>
      <c r="S6632" t="str">
        <f t="shared" si="2702"/>
        <v>Approved</v>
      </c>
      <c r="T6632" t="str">
        <f t="shared" si="2714"/>
        <v>10.20.8.188</v>
      </c>
      <c r="U6632" t="str">
        <f t="shared" si="2703"/>
        <v>AZRAD UMAR BIN SHAARI</v>
      </c>
      <c r="V6632" t="str">
        <f t="shared" si="2704"/>
        <v>FARHANA BINTI MUSTAPA</v>
      </c>
      <c r="W6632" t="str">
        <f t="shared" si="2705"/>
        <v>04-08-2020</v>
      </c>
      <c r="X6632" t="str">
        <f t="shared" si="2706"/>
        <v>RAZIMAH ANSAR AHMAD</v>
      </c>
      <c r="Y6632" t="str">
        <f t="shared" si="2707"/>
        <v>04-08-2020</v>
      </c>
      <c r="Z6632" t="str">
        <f>"COS10200804 2522"</f>
        <v>COS10200804 2522</v>
      </c>
    </row>
    <row r="6633" spans="1:26" x14ac:dyDescent="0.25">
      <c r="A6633" t="str">
        <f t="shared" si="2711"/>
        <v>04-08-2020 12:37:56</v>
      </c>
      <c r="B6633" t="str">
        <f>"0000804283"</f>
        <v>0000804283</v>
      </c>
      <c r="C6633" t="str">
        <f t="shared" si="2712"/>
        <v>0000804162</v>
      </c>
      <c r="D6633" t="str">
        <f t="shared" si="2697"/>
        <v>73185</v>
      </c>
      <c r="E6633" t="str">
        <f t="shared" si="2698"/>
        <v>KFH-OPERATIONS DEPARTMENT</v>
      </c>
      <c r="F6633" t="str">
        <f t="shared" si="2699"/>
        <v>IBG</v>
      </c>
      <c r="G6633" t="str">
        <f t="shared" si="2708"/>
        <v>Refund COSHARE 10</v>
      </c>
      <c r="H6633" s="2">
        <v>713.6</v>
      </c>
      <c r="I6633" t="str">
        <f>"HAZLINA BINTI PANTAU"</f>
        <v>HAZLINA BINTI PANTAU</v>
      </c>
      <c r="J6633" t="str">
        <f t="shared" si="2696"/>
        <v>CIMB BANK / CIMB ISLAMIC BANK</v>
      </c>
      <c r="K6633" t="str">
        <f>"10020064639525"</f>
        <v>10020064639525</v>
      </c>
      <c r="L6633" t="str">
        <f t="shared" si="2715"/>
        <v>04-08-2020</v>
      </c>
      <c r="M6633" t="str">
        <f t="shared" si="2715"/>
        <v>04-08-2020</v>
      </c>
      <c r="N6633" t="str">
        <f t="shared" si="2700"/>
        <v>001105018356</v>
      </c>
      <c r="O6633" t="str">
        <f t="shared" si="2701"/>
        <v>MYR</v>
      </c>
      <c r="P6633" t="str">
        <f t="shared" si="2716"/>
        <v>NIL</v>
      </c>
      <c r="Q6633" t="str">
        <f t="shared" si="2716"/>
        <v>NIL</v>
      </c>
      <c r="R6633" t="str">
        <f t="shared" si="2713"/>
        <v>Accepted</v>
      </c>
      <c r="S6633" t="str">
        <f t="shared" si="2702"/>
        <v>Approved</v>
      </c>
      <c r="T6633" t="str">
        <f t="shared" si="2714"/>
        <v>10.20.8.188</v>
      </c>
      <c r="U6633" t="str">
        <f t="shared" si="2703"/>
        <v>AZRAD UMAR BIN SHAARI</v>
      </c>
      <c r="V6633" t="str">
        <f t="shared" si="2704"/>
        <v>FARHANA BINTI MUSTAPA</v>
      </c>
      <c r="W6633" t="str">
        <f t="shared" si="2705"/>
        <v>04-08-2020</v>
      </c>
      <c r="X6633" t="str">
        <f t="shared" si="2706"/>
        <v>RAZIMAH ANSAR AHMAD</v>
      </c>
      <c r="Y6633" t="str">
        <f t="shared" si="2707"/>
        <v>04-08-2020</v>
      </c>
      <c r="Z6633" t="str">
        <f>"COS10200804 2521"</f>
        <v>COS10200804 2521</v>
      </c>
    </row>
    <row r="6634" spans="1:26" x14ac:dyDescent="0.25">
      <c r="A6634" t="str">
        <f t="shared" si="2711"/>
        <v>04-08-2020 12:37:56</v>
      </c>
      <c r="B6634" t="str">
        <f>"0000804282"</f>
        <v>0000804282</v>
      </c>
      <c r="C6634" t="str">
        <f t="shared" si="2712"/>
        <v>0000804162</v>
      </c>
      <c r="D6634" t="str">
        <f t="shared" si="2697"/>
        <v>73185</v>
      </c>
      <c r="E6634" t="str">
        <f t="shared" si="2698"/>
        <v>KFH-OPERATIONS DEPARTMENT</v>
      </c>
      <c r="F6634" t="str">
        <f t="shared" si="2699"/>
        <v>IBG</v>
      </c>
      <c r="G6634" t="str">
        <f t="shared" si="2708"/>
        <v>Refund COSHARE 10</v>
      </c>
      <c r="H6634" s="2">
        <v>294.7</v>
      </c>
      <c r="I6634" t="str">
        <f>"HAZEL ANAK GEORGE GANTUNG LAPU"</f>
        <v>HAZEL ANAK GEORGE GANTUNG LAPU</v>
      </c>
      <c r="J6634" t="str">
        <f t="shared" si="2696"/>
        <v>CIMB BANK / CIMB ISLAMIC BANK</v>
      </c>
      <c r="K6634" t="str">
        <f>"11070021478524"</f>
        <v>11070021478524</v>
      </c>
      <c r="L6634" t="str">
        <f t="shared" si="2715"/>
        <v>04-08-2020</v>
      </c>
      <c r="M6634" t="str">
        <f t="shared" si="2715"/>
        <v>04-08-2020</v>
      </c>
      <c r="N6634" t="str">
        <f t="shared" si="2700"/>
        <v>001105018356</v>
      </c>
      <c r="O6634" t="str">
        <f t="shared" si="2701"/>
        <v>MYR</v>
      </c>
      <c r="P6634" t="str">
        <f t="shared" si="2716"/>
        <v>NIL</v>
      </c>
      <c r="Q6634" t="str">
        <f t="shared" si="2716"/>
        <v>NIL</v>
      </c>
      <c r="R6634" t="str">
        <f t="shared" si="2713"/>
        <v>Accepted</v>
      </c>
      <c r="S6634" t="str">
        <f t="shared" si="2702"/>
        <v>Approved</v>
      </c>
      <c r="T6634" t="str">
        <f t="shared" si="2714"/>
        <v>10.20.8.188</v>
      </c>
      <c r="U6634" t="str">
        <f t="shared" si="2703"/>
        <v>AZRAD UMAR BIN SHAARI</v>
      </c>
      <c r="V6634" t="str">
        <f t="shared" si="2704"/>
        <v>FARHANA BINTI MUSTAPA</v>
      </c>
      <c r="W6634" t="str">
        <f t="shared" si="2705"/>
        <v>04-08-2020</v>
      </c>
      <c r="X6634" t="str">
        <f t="shared" si="2706"/>
        <v>RAZIMAH ANSAR AHMAD</v>
      </c>
      <c r="Y6634" t="str">
        <f t="shared" si="2707"/>
        <v>04-08-2020</v>
      </c>
      <c r="Z6634" t="str">
        <f>"COS10200804 2520"</f>
        <v>COS10200804 2520</v>
      </c>
    </row>
    <row r="6635" spans="1:26" x14ac:dyDescent="0.25">
      <c r="A6635" t="str">
        <f t="shared" si="2711"/>
        <v>04-08-2020 12:37:56</v>
      </c>
      <c r="B6635" t="str">
        <f>"0000804281"</f>
        <v>0000804281</v>
      </c>
      <c r="C6635" t="str">
        <f t="shared" si="2712"/>
        <v>0000804162</v>
      </c>
      <c r="D6635" t="str">
        <f t="shared" si="2697"/>
        <v>73185</v>
      </c>
      <c r="E6635" t="str">
        <f t="shared" si="2698"/>
        <v>KFH-OPERATIONS DEPARTMENT</v>
      </c>
      <c r="F6635" t="str">
        <f t="shared" si="2699"/>
        <v>IBG</v>
      </c>
      <c r="G6635" t="str">
        <f t="shared" si="2708"/>
        <v>Refund COSHARE 10</v>
      </c>
      <c r="H6635" s="2">
        <v>1328</v>
      </c>
      <c r="I6635" t="str">
        <f>"HAZAROL BIN HALIM"</f>
        <v>HAZAROL BIN HALIM</v>
      </c>
      <c r="J6635" t="str">
        <f t="shared" si="2696"/>
        <v>CIMB BANK / CIMB ISLAMIC BANK</v>
      </c>
      <c r="K6635" t="str">
        <f>"7008378574"</f>
        <v>7008378574</v>
      </c>
      <c r="L6635" t="str">
        <f t="shared" si="2715"/>
        <v>04-08-2020</v>
      </c>
      <c r="M6635" t="str">
        <f t="shared" si="2715"/>
        <v>04-08-2020</v>
      </c>
      <c r="N6635" t="str">
        <f t="shared" si="2700"/>
        <v>001105018356</v>
      </c>
      <c r="O6635" t="str">
        <f t="shared" si="2701"/>
        <v>MYR</v>
      </c>
      <c r="P6635" t="str">
        <f t="shared" si="2716"/>
        <v>NIL</v>
      </c>
      <c r="Q6635" t="str">
        <f t="shared" si="2716"/>
        <v>NIL</v>
      </c>
      <c r="R6635" t="str">
        <f t="shared" si="2713"/>
        <v>Accepted</v>
      </c>
      <c r="S6635" t="str">
        <f t="shared" si="2702"/>
        <v>Approved</v>
      </c>
      <c r="T6635" t="str">
        <f t="shared" si="2714"/>
        <v>10.20.8.188</v>
      </c>
      <c r="U6635" t="str">
        <f t="shared" si="2703"/>
        <v>AZRAD UMAR BIN SHAARI</v>
      </c>
      <c r="V6635" t="str">
        <f t="shared" si="2704"/>
        <v>FARHANA BINTI MUSTAPA</v>
      </c>
      <c r="W6635" t="str">
        <f t="shared" si="2705"/>
        <v>04-08-2020</v>
      </c>
      <c r="X6635" t="str">
        <f t="shared" si="2706"/>
        <v>RAZIMAH ANSAR AHMAD</v>
      </c>
      <c r="Y6635" t="str">
        <f t="shared" si="2707"/>
        <v>04-08-2020</v>
      </c>
      <c r="Z6635" t="str">
        <f>"COS10200804 2519"</f>
        <v>COS10200804 2519</v>
      </c>
    </row>
    <row r="6636" spans="1:26" x14ac:dyDescent="0.25">
      <c r="A6636" t="str">
        <f t="shared" si="2711"/>
        <v>04-08-2020 12:37:56</v>
      </c>
      <c r="B6636" t="str">
        <f>"0000804280"</f>
        <v>0000804280</v>
      </c>
      <c r="C6636" t="str">
        <f t="shared" si="2712"/>
        <v>0000804162</v>
      </c>
      <c r="D6636" t="str">
        <f t="shared" si="2697"/>
        <v>73185</v>
      </c>
      <c r="E6636" t="str">
        <f t="shared" si="2698"/>
        <v>KFH-OPERATIONS DEPARTMENT</v>
      </c>
      <c r="F6636" t="str">
        <f t="shared" si="2699"/>
        <v>IBG</v>
      </c>
      <c r="G6636" t="str">
        <f t="shared" si="2708"/>
        <v>Refund COSHARE 10</v>
      </c>
      <c r="H6636" s="2">
        <v>1393.6</v>
      </c>
      <c r="I6636" t="str">
        <f>"HAYATI BINTI MUHAMAD"</f>
        <v>HAYATI BINTI MUHAMAD</v>
      </c>
      <c r="J6636" t="str">
        <f t="shared" si="2696"/>
        <v>CIMB BANK / CIMB ISLAMIC BANK</v>
      </c>
      <c r="K6636" t="str">
        <f>"13050029439524"</f>
        <v>13050029439524</v>
      </c>
      <c r="L6636" t="str">
        <f t="shared" si="2715"/>
        <v>04-08-2020</v>
      </c>
      <c r="M6636" t="str">
        <f t="shared" si="2715"/>
        <v>04-08-2020</v>
      </c>
      <c r="N6636" t="str">
        <f t="shared" si="2700"/>
        <v>001105018356</v>
      </c>
      <c r="O6636" t="str">
        <f t="shared" si="2701"/>
        <v>MYR</v>
      </c>
      <c r="P6636" t="str">
        <f t="shared" si="2716"/>
        <v>NIL</v>
      </c>
      <c r="Q6636" t="str">
        <f t="shared" si="2716"/>
        <v>NIL</v>
      </c>
      <c r="R6636" t="str">
        <f t="shared" si="2713"/>
        <v>Accepted</v>
      </c>
      <c r="S6636" t="str">
        <f t="shared" si="2702"/>
        <v>Approved</v>
      </c>
      <c r="T6636" t="str">
        <f t="shared" si="2714"/>
        <v>10.20.8.188</v>
      </c>
      <c r="U6636" t="str">
        <f t="shared" si="2703"/>
        <v>AZRAD UMAR BIN SHAARI</v>
      </c>
      <c r="V6636" t="str">
        <f t="shared" si="2704"/>
        <v>FARHANA BINTI MUSTAPA</v>
      </c>
      <c r="W6636" t="str">
        <f t="shared" si="2705"/>
        <v>04-08-2020</v>
      </c>
      <c r="X6636" t="str">
        <f t="shared" si="2706"/>
        <v>RAZIMAH ANSAR AHMAD</v>
      </c>
      <c r="Y6636" t="str">
        <f t="shared" si="2707"/>
        <v>04-08-2020</v>
      </c>
      <c r="Z6636" t="str">
        <f>"COS10200804 2518"</f>
        <v>COS10200804 2518</v>
      </c>
    </row>
    <row r="6637" spans="1:26" x14ac:dyDescent="0.25">
      <c r="A6637" t="str">
        <f t="shared" si="2711"/>
        <v>04-08-2020 12:37:56</v>
      </c>
      <c r="B6637" t="str">
        <f>"0000804279"</f>
        <v>0000804279</v>
      </c>
      <c r="C6637" t="str">
        <f t="shared" si="2712"/>
        <v>0000804162</v>
      </c>
      <c r="D6637" t="str">
        <f t="shared" si="2697"/>
        <v>73185</v>
      </c>
      <c r="E6637" t="str">
        <f t="shared" si="2698"/>
        <v>KFH-OPERATIONS DEPARTMENT</v>
      </c>
      <c r="F6637" t="str">
        <f t="shared" si="2699"/>
        <v>IBG</v>
      </c>
      <c r="G6637" t="str">
        <f t="shared" si="2708"/>
        <v>Refund COSHARE 10</v>
      </c>
      <c r="H6637" s="2">
        <v>884.1</v>
      </c>
      <c r="I6637" t="str">
        <f>"HAYATI BINTI MHD HUSAIN"</f>
        <v>HAYATI BINTI MHD HUSAIN</v>
      </c>
      <c r="J6637" t="str">
        <f t="shared" si="2696"/>
        <v>CIMB BANK / CIMB ISLAMIC BANK</v>
      </c>
      <c r="K6637" t="str">
        <f>"03010093250524"</f>
        <v>03010093250524</v>
      </c>
      <c r="L6637" t="str">
        <f t="shared" si="2715"/>
        <v>04-08-2020</v>
      </c>
      <c r="M6637" t="str">
        <f t="shared" si="2715"/>
        <v>04-08-2020</v>
      </c>
      <c r="N6637" t="str">
        <f t="shared" si="2700"/>
        <v>001105018356</v>
      </c>
      <c r="O6637" t="str">
        <f t="shared" si="2701"/>
        <v>MYR</v>
      </c>
      <c r="P6637" t="str">
        <f t="shared" si="2716"/>
        <v>NIL</v>
      </c>
      <c r="Q6637" t="str">
        <f t="shared" si="2716"/>
        <v>NIL</v>
      </c>
      <c r="R6637" t="str">
        <f t="shared" si="2713"/>
        <v>Accepted</v>
      </c>
      <c r="S6637" t="str">
        <f t="shared" si="2702"/>
        <v>Approved</v>
      </c>
      <c r="T6637" t="str">
        <f t="shared" si="2714"/>
        <v>10.20.8.188</v>
      </c>
      <c r="U6637" t="str">
        <f t="shared" si="2703"/>
        <v>AZRAD UMAR BIN SHAARI</v>
      </c>
      <c r="V6637" t="str">
        <f t="shared" si="2704"/>
        <v>FARHANA BINTI MUSTAPA</v>
      </c>
      <c r="W6637" t="str">
        <f t="shared" si="2705"/>
        <v>04-08-2020</v>
      </c>
      <c r="X6637" t="str">
        <f t="shared" si="2706"/>
        <v>RAZIMAH ANSAR AHMAD</v>
      </c>
      <c r="Y6637" t="str">
        <f t="shared" si="2707"/>
        <v>04-08-2020</v>
      </c>
      <c r="Z6637" t="str">
        <f>"COS10200804 2517"</f>
        <v>COS10200804 2517</v>
      </c>
    </row>
    <row r="6638" spans="1:26" x14ac:dyDescent="0.25">
      <c r="A6638" t="str">
        <f t="shared" si="2711"/>
        <v>04-08-2020 12:37:56</v>
      </c>
      <c r="B6638" t="str">
        <f>"0000804278"</f>
        <v>0000804278</v>
      </c>
      <c r="C6638" t="str">
        <f t="shared" si="2712"/>
        <v>0000804162</v>
      </c>
      <c r="D6638" t="str">
        <f t="shared" si="2697"/>
        <v>73185</v>
      </c>
      <c r="E6638" t="str">
        <f t="shared" si="2698"/>
        <v>KFH-OPERATIONS DEPARTMENT</v>
      </c>
      <c r="F6638" t="str">
        <f t="shared" si="2699"/>
        <v>IBG</v>
      </c>
      <c r="G6638" t="str">
        <f t="shared" si="2708"/>
        <v>Refund COSHARE 10</v>
      </c>
      <c r="H6638" s="2">
        <v>117.55</v>
      </c>
      <c r="I6638" t="str">
        <f>"HAYATI BINTI MAHLA"</f>
        <v>HAYATI BINTI MAHLA</v>
      </c>
      <c r="J6638" t="str">
        <f t="shared" si="2696"/>
        <v>CIMB BANK / CIMB ISLAMIC BANK</v>
      </c>
      <c r="K6638" t="str">
        <f>"11090079355525"</f>
        <v>11090079355525</v>
      </c>
      <c r="L6638" t="str">
        <f t="shared" si="2715"/>
        <v>04-08-2020</v>
      </c>
      <c r="M6638" t="str">
        <f t="shared" si="2715"/>
        <v>04-08-2020</v>
      </c>
      <c r="N6638" t="str">
        <f t="shared" si="2700"/>
        <v>001105018356</v>
      </c>
      <c r="O6638" t="str">
        <f t="shared" si="2701"/>
        <v>MYR</v>
      </c>
      <c r="P6638" t="str">
        <f t="shared" si="2716"/>
        <v>NIL</v>
      </c>
      <c r="Q6638" t="str">
        <f t="shared" si="2716"/>
        <v>NIL</v>
      </c>
      <c r="R6638" t="str">
        <f t="shared" si="2713"/>
        <v>Accepted</v>
      </c>
      <c r="S6638" t="str">
        <f t="shared" si="2702"/>
        <v>Approved</v>
      </c>
      <c r="T6638" t="str">
        <f t="shared" si="2714"/>
        <v>10.20.8.188</v>
      </c>
      <c r="U6638" t="str">
        <f t="shared" si="2703"/>
        <v>AZRAD UMAR BIN SHAARI</v>
      </c>
      <c r="V6638" t="str">
        <f t="shared" si="2704"/>
        <v>FARHANA BINTI MUSTAPA</v>
      </c>
      <c r="W6638" t="str">
        <f t="shared" si="2705"/>
        <v>04-08-2020</v>
      </c>
      <c r="X6638" t="str">
        <f t="shared" si="2706"/>
        <v>RAZIMAH ANSAR AHMAD</v>
      </c>
      <c r="Y6638" t="str">
        <f t="shared" si="2707"/>
        <v>04-08-2020</v>
      </c>
      <c r="Z6638" t="str">
        <f>"COS10200804 2516"</f>
        <v>COS10200804 2516</v>
      </c>
    </row>
    <row r="6639" spans="1:26" x14ac:dyDescent="0.25">
      <c r="A6639" t="str">
        <f t="shared" si="2711"/>
        <v>04-08-2020 12:37:56</v>
      </c>
      <c r="B6639" t="str">
        <f>"0000804277"</f>
        <v>0000804277</v>
      </c>
      <c r="C6639" t="str">
        <f t="shared" si="2712"/>
        <v>0000804162</v>
      </c>
      <c r="D6639" t="str">
        <f t="shared" si="2697"/>
        <v>73185</v>
      </c>
      <c r="E6639" t="str">
        <f t="shared" si="2698"/>
        <v>KFH-OPERATIONS DEPARTMENT</v>
      </c>
      <c r="F6639" t="str">
        <f t="shared" si="2699"/>
        <v>IBG</v>
      </c>
      <c r="G6639" t="str">
        <f t="shared" si="2708"/>
        <v>Refund COSHARE 10</v>
      </c>
      <c r="H6639" s="2">
        <v>218</v>
      </c>
      <c r="I6639" t="str">
        <f>"HAYATI BINTI DAUD"</f>
        <v>HAYATI BINTI DAUD</v>
      </c>
      <c r="J6639" t="str">
        <f t="shared" si="2696"/>
        <v>CIMB BANK / CIMB ISLAMIC BANK</v>
      </c>
      <c r="K6639" t="str">
        <f>"12430000266208"</f>
        <v>12430000266208</v>
      </c>
      <c r="L6639" t="str">
        <f t="shared" si="2715"/>
        <v>04-08-2020</v>
      </c>
      <c r="M6639" t="str">
        <f t="shared" si="2715"/>
        <v>04-08-2020</v>
      </c>
      <c r="N6639" t="str">
        <f t="shared" si="2700"/>
        <v>001105018356</v>
      </c>
      <c r="O6639" t="str">
        <f t="shared" si="2701"/>
        <v>MYR</v>
      </c>
      <c r="P6639" t="str">
        <f t="shared" si="2716"/>
        <v>NIL</v>
      </c>
      <c r="Q6639" t="str">
        <f t="shared" si="2716"/>
        <v>NIL</v>
      </c>
      <c r="R6639" t="str">
        <f t="shared" si="2713"/>
        <v>Accepted</v>
      </c>
      <c r="S6639" t="str">
        <f t="shared" si="2702"/>
        <v>Approved</v>
      </c>
      <c r="T6639" t="str">
        <f t="shared" si="2714"/>
        <v>10.20.8.188</v>
      </c>
      <c r="U6639" t="str">
        <f t="shared" si="2703"/>
        <v>AZRAD UMAR BIN SHAARI</v>
      </c>
      <c r="V6639" t="str">
        <f t="shared" si="2704"/>
        <v>FARHANA BINTI MUSTAPA</v>
      </c>
      <c r="W6639" t="str">
        <f t="shared" si="2705"/>
        <v>04-08-2020</v>
      </c>
      <c r="X6639" t="str">
        <f t="shared" si="2706"/>
        <v>RAZIMAH ANSAR AHMAD</v>
      </c>
      <c r="Y6639" t="str">
        <f t="shared" si="2707"/>
        <v>04-08-2020</v>
      </c>
      <c r="Z6639" t="str">
        <f>"COS10200804 2515"</f>
        <v>COS10200804 2515</v>
      </c>
    </row>
    <row r="6640" spans="1:26" x14ac:dyDescent="0.25">
      <c r="A6640" t="str">
        <f t="shared" si="2711"/>
        <v>04-08-2020 12:37:56</v>
      </c>
      <c r="B6640" t="str">
        <f>"0000804276"</f>
        <v>0000804276</v>
      </c>
      <c r="C6640" t="str">
        <f t="shared" si="2712"/>
        <v>0000804162</v>
      </c>
      <c r="D6640" t="str">
        <f t="shared" si="2697"/>
        <v>73185</v>
      </c>
      <c r="E6640" t="str">
        <f t="shared" si="2698"/>
        <v>KFH-OPERATIONS DEPARTMENT</v>
      </c>
      <c r="F6640" t="str">
        <f t="shared" si="2699"/>
        <v>IBG</v>
      </c>
      <c r="G6640" t="str">
        <f t="shared" si="2708"/>
        <v>Refund COSHARE 10</v>
      </c>
      <c r="H6640" s="2">
        <v>350.25</v>
      </c>
      <c r="I6640" t="str">
        <f>"HAYATI BINTI DAUD"</f>
        <v>HAYATI BINTI DAUD</v>
      </c>
      <c r="J6640" t="str">
        <f t="shared" si="2696"/>
        <v>CIMB BANK / CIMB ISLAMIC BANK</v>
      </c>
      <c r="K6640" t="str">
        <f>"12430000266208"</f>
        <v>12430000266208</v>
      </c>
      <c r="L6640" t="str">
        <f t="shared" si="2715"/>
        <v>04-08-2020</v>
      </c>
      <c r="M6640" t="str">
        <f t="shared" si="2715"/>
        <v>04-08-2020</v>
      </c>
      <c r="N6640" t="str">
        <f t="shared" si="2700"/>
        <v>001105018356</v>
      </c>
      <c r="O6640" t="str">
        <f t="shared" si="2701"/>
        <v>MYR</v>
      </c>
      <c r="P6640" t="str">
        <f t="shared" si="2716"/>
        <v>NIL</v>
      </c>
      <c r="Q6640" t="str">
        <f t="shared" si="2716"/>
        <v>NIL</v>
      </c>
      <c r="R6640" t="str">
        <f t="shared" si="2713"/>
        <v>Accepted</v>
      </c>
      <c r="S6640" t="str">
        <f t="shared" si="2702"/>
        <v>Approved</v>
      </c>
      <c r="T6640" t="str">
        <f t="shared" si="2714"/>
        <v>10.20.8.188</v>
      </c>
      <c r="U6640" t="str">
        <f t="shared" si="2703"/>
        <v>AZRAD UMAR BIN SHAARI</v>
      </c>
      <c r="V6640" t="str">
        <f t="shared" si="2704"/>
        <v>FARHANA BINTI MUSTAPA</v>
      </c>
      <c r="W6640" t="str">
        <f t="shared" si="2705"/>
        <v>04-08-2020</v>
      </c>
      <c r="X6640" t="str">
        <f t="shared" si="2706"/>
        <v>RAZIMAH ANSAR AHMAD</v>
      </c>
      <c r="Y6640" t="str">
        <f t="shared" si="2707"/>
        <v>04-08-2020</v>
      </c>
      <c r="Z6640" t="str">
        <f>"COS10200804 2514"</f>
        <v>COS10200804 2514</v>
      </c>
    </row>
    <row r="6641" spans="1:26" x14ac:dyDescent="0.25">
      <c r="A6641" t="str">
        <f t="shared" si="2711"/>
        <v>04-08-2020 12:37:56</v>
      </c>
      <c r="B6641" t="str">
        <f>"0000804275"</f>
        <v>0000804275</v>
      </c>
      <c r="C6641" t="str">
        <f t="shared" si="2712"/>
        <v>0000804162</v>
      </c>
      <c r="D6641" t="str">
        <f t="shared" si="2697"/>
        <v>73185</v>
      </c>
      <c r="E6641" t="str">
        <f t="shared" si="2698"/>
        <v>KFH-OPERATIONS DEPARTMENT</v>
      </c>
      <c r="F6641" t="str">
        <f t="shared" si="2699"/>
        <v>IBG</v>
      </c>
      <c r="G6641" t="str">
        <f t="shared" si="2708"/>
        <v>Refund COSHARE 10</v>
      </c>
      <c r="H6641" s="2">
        <v>198</v>
      </c>
      <c r="I6641" t="str">
        <f>"HASZRINA BT BAKAR"</f>
        <v>HASZRINA BT BAKAR</v>
      </c>
      <c r="J6641" t="str">
        <f t="shared" si="2696"/>
        <v>CIMB BANK / CIMB ISLAMIC BANK</v>
      </c>
      <c r="K6641" t="str">
        <f>"7616074746"</f>
        <v>7616074746</v>
      </c>
      <c r="L6641" t="str">
        <f t="shared" si="2715"/>
        <v>04-08-2020</v>
      </c>
      <c r="M6641" t="str">
        <f t="shared" si="2715"/>
        <v>04-08-2020</v>
      </c>
      <c r="N6641" t="str">
        <f t="shared" si="2700"/>
        <v>001105018356</v>
      </c>
      <c r="O6641" t="str">
        <f t="shared" si="2701"/>
        <v>MYR</v>
      </c>
      <c r="P6641" t="str">
        <f t="shared" si="2716"/>
        <v>NIL</v>
      </c>
      <c r="Q6641" t="str">
        <f t="shared" si="2716"/>
        <v>NIL</v>
      </c>
      <c r="R6641" t="str">
        <f t="shared" si="2713"/>
        <v>Accepted</v>
      </c>
      <c r="S6641" t="str">
        <f t="shared" si="2702"/>
        <v>Approved</v>
      </c>
      <c r="T6641" t="str">
        <f t="shared" si="2714"/>
        <v>10.20.8.188</v>
      </c>
      <c r="U6641" t="str">
        <f t="shared" si="2703"/>
        <v>AZRAD UMAR BIN SHAARI</v>
      </c>
      <c r="V6641" t="str">
        <f t="shared" si="2704"/>
        <v>FARHANA BINTI MUSTAPA</v>
      </c>
      <c r="W6641" t="str">
        <f t="shared" si="2705"/>
        <v>04-08-2020</v>
      </c>
      <c r="X6641" t="str">
        <f t="shared" si="2706"/>
        <v>RAZIMAH ANSAR AHMAD</v>
      </c>
      <c r="Y6641" t="str">
        <f t="shared" si="2707"/>
        <v>04-08-2020</v>
      </c>
      <c r="Z6641" t="str">
        <f>"COS10200804 2513"</f>
        <v>COS10200804 2513</v>
      </c>
    </row>
    <row r="6642" spans="1:26" x14ac:dyDescent="0.25">
      <c r="A6642" t="str">
        <f t="shared" si="2711"/>
        <v>04-08-2020 12:37:56</v>
      </c>
      <c r="B6642" t="str">
        <f>"0000804274"</f>
        <v>0000804274</v>
      </c>
      <c r="C6642" t="str">
        <f t="shared" si="2712"/>
        <v>0000804162</v>
      </c>
      <c r="D6642" t="str">
        <f t="shared" si="2697"/>
        <v>73185</v>
      </c>
      <c r="E6642" t="str">
        <f t="shared" si="2698"/>
        <v>KFH-OPERATIONS DEPARTMENT</v>
      </c>
      <c r="F6642" t="str">
        <f t="shared" si="2699"/>
        <v>IBG</v>
      </c>
      <c r="G6642" t="str">
        <f t="shared" si="2708"/>
        <v>Refund COSHARE 10</v>
      </c>
      <c r="H6642" s="2">
        <v>156</v>
      </c>
      <c r="I6642" t="str">
        <f>"HASSAN BIN AMIN"</f>
        <v>HASSAN BIN AMIN</v>
      </c>
      <c r="J6642" t="str">
        <f t="shared" si="2696"/>
        <v>CIMB BANK / CIMB ISLAMIC BANK</v>
      </c>
      <c r="K6642" t="str">
        <f>"11090062708523"</f>
        <v>11090062708523</v>
      </c>
      <c r="L6642" t="str">
        <f t="shared" si="2715"/>
        <v>04-08-2020</v>
      </c>
      <c r="M6642" t="str">
        <f t="shared" si="2715"/>
        <v>04-08-2020</v>
      </c>
      <c r="N6642" t="str">
        <f t="shared" si="2700"/>
        <v>001105018356</v>
      </c>
      <c r="O6642" t="str">
        <f t="shared" si="2701"/>
        <v>MYR</v>
      </c>
      <c r="P6642" t="str">
        <f t="shared" si="2716"/>
        <v>NIL</v>
      </c>
      <c r="Q6642" t="str">
        <f t="shared" si="2716"/>
        <v>NIL</v>
      </c>
      <c r="R6642" t="str">
        <f t="shared" si="2713"/>
        <v>Accepted</v>
      </c>
      <c r="S6642" t="str">
        <f t="shared" si="2702"/>
        <v>Approved</v>
      </c>
      <c r="T6642" t="str">
        <f t="shared" si="2714"/>
        <v>10.20.8.188</v>
      </c>
      <c r="U6642" t="str">
        <f t="shared" si="2703"/>
        <v>AZRAD UMAR BIN SHAARI</v>
      </c>
      <c r="V6642" t="str">
        <f t="shared" si="2704"/>
        <v>FARHANA BINTI MUSTAPA</v>
      </c>
      <c r="W6642" t="str">
        <f t="shared" si="2705"/>
        <v>04-08-2020</v>
      </c>
      <c r="X6642" t="str">
        <f t="shared" si="2706"/>
        <v>RAZIMAH ANSAR AHMAD</v>
      </c>
      <c r="Y6642" t="str">
        <f t="shared" si="2707"/>
        <v>04-08-2020</v>
      </c>
      <c r="Z6642" t="str">
        <f>"COS10200804 2512"</f>
        <v>COS10200804 2512</v>
      </c>
    </row>
    <row r="6643" spans="1:26" x14ac:dyDescent="0.25">
      <c r="A6643" t="str">
        <f t="shared" si="2711"/>
        <v>04-08-2020 12:37:56</v>
      </c>
      <c r="B6643" t="str">
        <f>"0000804273"</f>
        <v>0000804273</v>
      </c>
      <c r="C6643" t="str">
        <f t="shared" si="2712"/>
        <v>0000804162</v>
      </c>
      <c r="D6643" t="str">
        <f t="shared" si="2697"/>
        <v>73185</v>
      </c>
      <c r="E6643" t="str">
        <f t="shared" si="2698"/>
        <v>KFH-OPERATIONS DEPARTMENT</v>
      </c>
      <c r="F6643" t="str">
        <f t="shared" si="2699"/>
        <v>IBG</v>
      </c>
      <c r="G6643" t="str">
        <f t="shared" si="2708"/>
        <v>Refund COSHARE 10</v>
      </c>
      <c r="H6643" s="2">
        <v>419.75</v>
      </c>
      <c r="I6643" t="str">
        <f>"HASNIZAM BIN HASHIM"</f>
        <v>HASNIZAM BIN HASHIM</v>
      </c>
      <c r="J6643" t="str">
        <f t="shared" si="2696"/>
        <v>CIMB BANK / CIMB ISLAMIC BANK</v>
      </c>
      <c r="K6643" t="str">
        <f>"03010073933520"</f>
        <v>03010073933520</v>
      </c>
      <c r="L6643" t="str">
        <f t="shared" si="2715"/>
        <v>04-08-2020</v>
      </c>
      <c r="M6643" t="str">
        <f t="shared" si="2715"/>
        <v>04-08-2020</v>
      </c>
      <c r="N6643" t="str">
        <f t="shared" si="2700"/>
        <v>001105018356</v>
      </c>
      <c r="O6643" t="str">
        <f t="shared" si="2701"/>
        <v>MYR</v>
      </c>
      <c r="P6643" t="str">
        <f t="shared" si="2716"/>
        <v>NIL</v>
      </c>
      <c r="Q6643" t="str">
        <f t="shared" si="2716"/>
        <v>NIL</v>
      </c>
      <c r="R6643" t="str">
        <f t="shared" si="2713"/>
        <v>Accepted</v>
      </c>
      <c r="S6643" t="str">
        <f t="shared" si="2702"/>
        <v>Approved</v>
      </c>
      <c r="T6643" t="str">
        <f t="shared" si="2714"/>
        <v>10.20.8.188</v>
      </c>
      <c r="U6643" t="str">
        <f t="shared" si="2703"/>
        <v>AZRAD UMAR BIN SHAARI</v>
      </c>
      <c r="V6643" t="str">
        <f t="shared" si="2704"/>
        <v>FARHANA BINTI MUSTAPA</v>
      </c>
      <c r="W6643" t="str">
        <f t="shared" si="2705"/>
        <v>04-08-2020</v>
      </c>
      <c r="X6643" t="str">
        <f t="shared" si="2706"/>
        <v>RAZIMAH ANSAR AHMAD</v>
      </c>
      <c r="Y6643" t="str">
        <f t="shared" si="2707"/>
        <v>04-08-2020</v>
      </c>
      <c r="Z6643" t="str">
        <f>"COS10200804 2511"</f>
        <v>COS10200804 2511</v>
      </c>
    </row>
    <row r="6644" spans="1:26" x14ac:dyDescent="0.25">
      <c r="A6644" t="str">
        <f t="shared" si="2711"/>
        <v>04-08-2020 12:37:56</v>
      </c>
      <c r="B6644" t="str">
        <f>"0000804272"</f>
        <v>0000804272</v>
      </c>
      <c r="C6644" t="str">
        <f t="shared" si="2712"/>
        <v>0000804162</v>
      </c>
      <c r="D6644" t="str">
        <f t="shared" si="2697"/>
        <v>73185</v>
      </c>
      <c r="E6644" t="str">
        <f t="shared" si="2698"/>
        <v>KFH-OPERATIONS DEPARTMENT</v>
      </c>
      <c r="F6644" t="str">
        <f t="shared" si="2699"/>
        <v>IBG</v>
      </c>
      <c r="G6644" t="str">
        <f t="shared" si="2708"/>
        <v>Refund COSHARE 10</v>
      </c>
      <c r="H6644" s="2">
        <v>631.5</v>
      </c>
      <c r="I6644" t="str">
        <f>"HASNAH BINTI OSMAN"</f>
        <v>HASNAH BINTI OSMAN</v>
      </c>
      <c r="J6644" t="str">
        <f t="shared" si="2696"/>
        <v>CIMB BANK / CIMB ISLAMIC BANK</v>
      </c>
      <c r="K6644" t="str">
        <f>"06060034076524"</f>
        <v>06060034076524</v>
      </c>
      <c r="L6644" t="str">
        <f t="shared" si="2715"/>
        <v>04-08-2020</v>
      </c>
      <c r="M6644" t="str">
        <f t="shared" si="2715"/>
        <v>04-08-2020</v>
      </c>
      <c r="N6644" t="str">
        <f t="shared" si="2700"/>
        <v>001105018356</v>
      </c>
      <c r="O6644" t="str">
        <f t="shared" si="2701"/>
        <v>MYR</v>
      </c>
      <c r="P6644" t="str">
        <f t="shared" si="2716"/>
        <v>NIL</v>
      </c>
      <c r="Q6644" t="str">
        <f t="shared" si="2716"/>
        <v>NIL</v>
      </c>
      <c r="R6644" t="str">
        <f t="shared" si="2713"/>
        <v>Accepted</v>
      </c>
      <c r="S6644" t="str">
        <f t="shared" si="2702"/>
        <v>Approved</v>
      </c>
      <c r="T6644" t="str">
        <f t="shared" si="2714"/>
        <v>10.20.8.188</v>
      </c>
      <c r="U6644" t="str">
        <f t="shared" si="2703"/>
        <v>AZRAD UMAR BIN SHAARI</v>
      </c>
      <c r="V6644" t="str">
        <f t="shared" si="2704"/>
        <v>FARHANA BINTI MUSTAPA</v>
      </c>
      <c r="W6644" t="str">
        <f t="shared" si="2705"/>
        <v>04-08-2020</v>
      </c>
      <c r="X6644" t="str">
        <f t="shared" si="2706"/>
        <v>RAZIMAH ANSAR AHMAD</v>
      </c>
      <c r="Y6644" t="str">
        <f t="shared" si="2707"/>
        <v>04-08-2020</v>
      </c>
      <c r="Z6644" t="str">
        <f>"COS10200804 2510"</f>
        <v>COS10200804 2510</v>
      </c>
    </row>
    <row r="6645" spans="1:26" x14ac:dyDescent="0.25">
      <c r="A6645" t="str">
        <f t="shared" si="2711"/>
        <v>04-08-2020 12:37:56</v>
      </c>
      <c r="B6645" t="str">
        <f>"0000804271"</f>
        <v>0000804271</v>
      </c>
      <c r="C6645" t="str">
        <f t="shared" si="2712"/>
        <v>0000804162</v>
      </c>
      <c r="D6645" t="str">
        <f t="shared" si="2697"/>
        <v>73185</v>
      </c>
      <c r="E6645" t="str">
        <f t="shared" si="2698"/>
        <v>KFH-OPERATIONS DEPARTMENT</v>
      </c>
      <c r="F6645" t="str">
        <f t="shared" si="2699"/>
        <v>IBG</v>
      </c>
      <c r="G6645" t="str">
        <f t="shared" si="2708"/>
        <v>Refund COSHARE 10</v>
      </c>
      <c r="H6645" s="2">
        <v>293.85000000000002</v>
      </c>
      <c r="I6645" t="str">
        <f>"HASNAH BINTI CHIK"</f>
        <v>HASNAH BINTI CHIK</v>
      </c>
      <c r="J6645" t="str">
        <f t="shared" si="2696"/>
        <v>CIMB BANK / CIMB ISLAMIC BANK</v>
      </c>
      <c r="K6645" t="str">
        <f>"14230066264529"</f>
        <v>14230066264529</v>
      </c>
      <c r="L6645" t="str">
        <f t="shared" si="2715"/>
        <v>04-08-2020</v>
      </c>
      <c r="M6645" t="str">
        <f t="shared" si="2715"/>
        <v>04-08-2020</v>
      </c>
      <c r="N6645" t="str">
        <f t="shared" si="2700"/>
        <v>001105018356</v>
      </c>
      <c r="O6645" t="str">
        <f t="shared" si="2701"/>
        <v>MYR</v>
      </c>
      <c r="P6645" t="str">
        <f t="shared" si="2716"/>
        <v>NIL</v>
      </c>
      <c r="Q6645" t="str">
        <f t="shared" si="2716"/>
        <v>NIL</v>
      </c>
      <c r="R6645" t="str">
        <f t="shared" si="2713"/>
        <v>Accepted</v>
      </c>
      <c r="S6645" t="str">
        <f t="shared" si="2702"/>
        <v>Approved</v>
      </c>
      <c r="T6645" t="str">
        <f t="shared" si="2714"/>
        <v>10.20.8.188</v>
      </c>
      <c r="U6645" t="str">
        <f t="shared" si="2703"/>
        <v>AZRAD UMAR BIN SHAARI</v>
      </c>
      <c r="V6645" t="str">
        <f t="shared" si="2704"/>
        <v>FARHANA BINTI MUSTAPA</v>
      </c>
      <c r="W6645" t="str">
        <f t="shared" si="2705"/>
        <v>04-08-2020</v>
      </c>
      <c r="X6645" t="str">
        <f t="shared" si="2706"/>
        <v>RAZIMAH ANSAR AHMAD</v>
      </c>
      <c r="Y6645" t="str">
        <f t="shared" si="2707"/>
        <v>04-08-2020</v>
      </c>
      <c r="Z6645" t="str">
        <f>"COS10200804 2509"</f>
        <v>COS10200804 2509</v>
      </c>
    </row>
    <row r="6646" spans="1:26" x14ac:dyDescent="0.25">
      <c r="A6646" t="str">
        <f t="shared" si="2711"/>
        <v>04-08-2020 12:37:56</v>
      </c>
      <c r="B6646" t="str">
        <f>"0000804270"</f>
        <v>0000804270</v>
      </c>
      <c r="C6646" t="str">
        <f t="shared" si="2712"/>
        <v>0000804162</v>
      </c>
      <c r="D6646" t="str">
        <f t="shared" si="2697"/>
        <v>73185</v>
      </c>
      <c r="E6646" t="str">
        <f t="shared" si="2698"/>
        <v>KFH-OPERATIONS DEPARTMENT</v>
      </c>
      <c r="F6646" t="str">
        <f t="shared" si="2699"/>
        <v>IBG</v>
      </c>
      <c r="G6646" t="str">
        <f t="shared" si="2708"/>
        <v>Refund COSHARE 10</v>
      </c>
      <c r="H6646" s="2">
        <v>125.95</v>
      </c>
      <c r="I6646" t="str">
        <f>"HASNAH BINTI CHE MAK"</f>
        <v>HASNAH BINTI CHE MAK</v>
      </c>
      <c r="J6646" t="str">
        <f t="shared" si="2696"/>
        <v>CIMB BANK / CIMB ISLAMIC BANK</v>
      </c>
      <c r="K6646" t="str">
        <f>"11130068418520"</f>
        <v>11130068418520</v>
      </c>
      <c r="L6646" t="str">
        <f t="shared" si="2715"/>
        <v>04-08-2020</v>
      </c>
      <c r="M6646" t="str">
        <f t="shared" si="2715"/>
        <v>04-08-2020</v>
      </c>
      <c r="N6646" t="str">
        <f t="shared" si="2700"/>
        <v>001105018356</v>
      </c>
      <c r="O6646" t="str">
        <f t="shared" si="2701"/>
        <v>MYR</v>
      </c>
      <c r="P6646" t="str">
        <f t="shared" si="2716"/>
        <v>NIL</v>
      </c>
      <c r="Q6646" t="str">
        <f t="shared" si="2716"/>
        <v>NIL</v>
      </c>
      <c r="R6646" t="str">
        <f t="shared" si="2713"/>
        <v>Accepted</v>
      </c>
      <c r="S6646" t="str">
        <f t="shared" si="2702"/>
        <v>Approved</v>
      </c>
      <c r="T6646" t="str">
        <f t="shared" si="2714"/>
        <v>10.20.8.188</v>
      </c>
      <c r="U6646" t="str">
        <f t="shared" si="2703"/>
        <v>AZRAD UMAR BIN SHAARI</v>
      </c>
      <c r="V6646" t="str">
        <f t="shared" si="2704"/>
        <v>FARHANA BINTI MUSTAPA</v>
      </c>
      <c r="W6646" t="str">
        <f t="shared" si="2705"/>
        <v>04-08-2020</v>
      </c>
      <c r="X6646" t="str">
        <f t="shared" si="2706"/>
        <v>RAZIMAH ANSAR AHMAD</v>
      </c>
      <c r="Y6646" t="str">
        <f t="shared" si="2707"/>
        <v>04-08-2020</v>
      </c>
      <c r="Z6646" t="str">
        <f>"COS10200804 2508"</f>
        <v>COS10200804 2508</v>
      </c>
    </row>
    <row r="6647" spans="1:26" x14ac:dyDescent="0.25">
      <c r="A6647" t="str">
        <f t="shared" si="2711"/>
        <v>04-08-2020 12:37:56</v>
      </c>
      <c r="B6647" t="str">
        <f>"0000804269"</f>
        <v>0000804269</v>
      </c>
      <c r="C6647" t="str">
        <f t="shared" si="2712"/>
        <v>0000804162</v>
      </c>
      <c r="D6647" t="str">
        <f t="shared" si="2697"/>
        <v>73185</v>
      </c>
      <c r="E6647" t="str">
        <f t="shared" si="2698"/>
        <v>KFH-OPERATIONS DEPARTMENT</v>
      </c>
      <c r="F6647" t="str">
        <f t="shared" si="2699"/>
        <v>IBG</v>
      </c>
      <c r="G6647" t="str">
        <f t="shared" si="2708"/>
        <v>Refund COSHARE 10</v>
      </c>
      <c r="H6647" s="2">
        <v>1115.3499999999999</v>
      </c>
      <c r="I6647" t="str">
        <f>"HASLINDA BINTI MD TAHA"</f>
        <v>HASLINDA BINTI MD TAHA</v>
      </c>
      <c r="J6647" t="str">
        <f t="shared" si="2696"/>
        <v>CIMB BANK / CIMB ISLAMIC BANK</v>
      </c>
      <c r="K6647" t="str">
        <f>"07110045534526"</f>
        <v>07110045534526</v>
      </c>
      <c r="L6647" t="str">
        <f t="shared" ref="L6647:M6666" si="2717">"04-08-2020"</f>
        <v>04-08-2020</v>
      </c>
      <c r="M6647" t="str">
        <f t="shared" si="2717"/>
        <v>04-08-2020</v>
      </c>
      <c r="N6647" t="str">
        <f t="shared" si="2700"/>
        <v>001105018356</v>
      </c>
      <c r="O6647" t="str">
        <f t="shared" si="2701"/>
        <v>MYR</v>
      </c>
      <c r="P6647" t="str">
        <f t="shared" ref="P6647:Q6666" si="2718">"NIL"</f>
        <v>NIL</v>
      </c>
      <c r="Q6647" t="str">
        <f t="shared" si="2718"/>
        <v>NIL</v>
      </c>
      <c r="R6647" t="str">
        <f t="shared" si="2713"/>
        <v>Accepted</v>
      </c>
      <c r="S6647" t="str">
        <f t="shared" si="2702"/>
        <v>Approved</v>
      </c>
      <c r="T6647" t="str">
        <f t="shared" si="2714"/>
        <v>10.20.8.188</v>
      </c>
      <c r="U6647" t="str">
        <f t="shared" si="2703"/>
        <v>AZRAD UMAR BIN SHAARI</v>
      </c>
      <c r="V6647" t="str">
        <f t="shared" si="2704"/>
        <v>FARHANA BINTI MUSTAPA</v>
      </c>
      <c r="W6647" t="str">
        <f t="shared" si="2705"/>
        <v>04-08-2020</v>
      </c>
      <c r="X6647" t="str">
        <f t="shared" si="2706"/>
        <v>RAZIMAH ANSAR AHMAD</v>
      </c>
      <c r="Y6647" t="str">
        <f t="shared" si="2707"/>
        <v>04-08-2020</v>
      </c>
      <c r="Z6647" t="str">
        <f>"COS10200804 2507"</f>
        <v>COS10200804 2507</v>
      </c>
    </row>
    <row r="6648" spans="1:26" x14ac:dyDescent="0.25">
      <c r="A6648" t="str">
        <f t="shared" si="2711"/>
        <v>04-08-2020 12:37:56</v>
      </c>
      <c r="B6648" t="str">
        <f>"0000804268"</f>
        <v>0000804268</v>
      </c>
      <c r="C6648" t="str">
        <f t="shared" si="2712"/>
        <v>0000804162</v>
      </c>
      <c r="D6648" t="str">
        <f t="shared" si="2697"/>
        <v>73185</v>
      </c>
      <c r="E6648" t="str">
        <f t="shared" si="2698"/>
        <v>KFH-OPERATIONS DEPARTMENT</v>
      </c>
      <c r="F6648" t="str">
        <f t="shared" si="2699"/>
        <v>IBG</v>
      </c>
      <c r="G6648" t="str">
        <f t="shared" si="2708"/>
        <v>Refund COSHARE 10</v>
      </c>
      <c r="H6648" s="2">
        <v>839.5</v>
      </c>
      <c r="I6648" t="str">
        <f>"HASLINDA BINTI DAHALAN"</f>
        <v>HASLINDA BINTI DAHALAN</v>
      </c>
      <c r="J6648" t="str">
        <f t="shared" si="2696"/>
        <v>CIMB BANK / CIMB ISLAMIC BANK</v>
      </c>
      <c r="K6648" t="str">
        <f>"06021504513521"</f>
        <v>06021504513521</v>
      </c>
      <c r="L6648" t="str">
        <f t="shared" si="2717"/>
        <v>04-08-2020</v>
      </c>
      <c r="M6648" t="str">
        <f t="shared" si="2717"/>
        <v>04-08-2020</v>
      </c>
      <c r="N6648" t="str">
        <f t="shared" si="2700"/>
        <v>001105018356</v>
      </c>
      <c r="O6648" t="str">
        <f t="shared" si="2701"/>
        <v>MYR</v>
      </c>
      <c r="P6648" t="str">
        <f t="shared" si="2718"/>
        <v>NIL</v>
      </c>
      <c r="Q6648" t="str">
        <f t="shared" si="2718"/>
        <v>NIL</v>
      </c>
      <c r="R6648" t="str">
        <f t="shared" si="2713"/>
        <v>Accepted</v>
      </c>
      <c r="S6648" t="str">
        <f t="shared" si="2702"/>
        <v>Approved</v>
      </c>
      <c r="T6648" t="str">
        <f t="shared" si="2714"/>
        <v>10.20.8.188</v>
      </c>
      <c r="U6648" t="str">
        <f t="shared" si="2703"/>
        <v>AZRAD UMAR BIN SHAARI</v>
      </c>
      <c r="V6648" t="str">
        <f t="shared" si="2704"/>
        <v>FARHANA BINTI MUSTAPA</v>
      </c>
      <c r="W6648" t="str">
        <f t="shared" si="2705"/>
        <v>04-08-2020</v>
      </c>
      <c r="X6648" t="str">
        <f t="shared" si="2706"/>
        <v>RAZIMAH ANSAR AHMAD</v>
      </c>
      <c r="Y6648" t="str">
        <f t="shared" si="2707"/>
        <v>04-08-2020</v>
      </c>
      <c r="Z6648" t="str">
        <f>"COS10200804 2506"</f>
        <v>COS10200804 2506</v>
      </c>
    </row>
    <row r="6649" spans="1:26" x14ac:dyDescent="0.25">
      <c r="A6649" t="str">
        <f t="shared" si="2711"/>
        <v>04-08-2020 12:37:56</v>
      </c>
      <c r="B6649" t="str">
        <f>"0000804267"</f>
        <v>0000804267</v>
      </c>
      <c r="C6649" t="str">
        <f t="shared" si="2712"/>
        <v>0000804162</v>
      </c>
      <c r="D6649" t="str">
        <f t="shared" si="2697"/>
        <v>73185</v>
      </c>
      <c r="E6649" t="str">
        <f t="shared" si="2698"/>
        <v>KFH-OPERATIONS DEPARTMENT</v>
      </c>
      <c r="F6649" t="str">
        <f t="shared" si="2699"/>
        <v>IBG</v>
      </c>
      <c r="G6649" t="str">
        <f t="shared" si="2708"/>
        <v>Refund COSHARE 10</v>
      </c>
      <c r="H6649" s="2">
        <v>1231.1500000000001</v>
      </c>
      <c r="I6649" t="str">
        <f>"HASLINA BINTI MD KASSIM"</f>
        <v>HASLINA BINTI MD KASSIM</v>
      </c>
      <c r="J6649" t="str">
        <f t="shared" si="2696"/>
        <v>CIMB BANK / CIMB ISLAMIC BANK</v>
      </c>
      <c r="K6649" t="str">
        <f>"03100007050526"</f>
        <v>03100007050526</v>
      </c>
      <c r="L6649" t="str">
        <f t="shared" si="2717"/>
        <v>04-08-2020</v>
      </c>
      <c r="M6649" t="str">
        <f t="shared" si="2717"/>
        <v>04-08-2020</v>
      </c>
      <c r="N6649" t="str">
        <f t="shared" si="2700"/>
        <v>001105018356</v>
      </c>
      <c r="O6649" t="str">
        <f t="shared" si="2701"/>
        <v>MYR</v>
      </c>
      <c r="P6649" t="str">
        <f t="shared" si="2718"/>
        <v>NIL</v>
      </c>
      <c r="Q6649" t="str">
        <f t="shared" si="2718"/>
        <v>NIL</v>
      </c>
      <c r="R6649" t="str">
        <f t="shared" si="2713"/>
        <v>Accepted</v>
      </c>
      <c r="S6649" t="str">
        <f t="shared" si="2702"/>
        <v>Approved</v>
      </c>
      <c r="T6649" t="str">
        <f t="shared" si="2714"/>
        <v>10.20.8.188</v>
      </c>
      <c r="U6649" t="str">
        <f t="shared" si="2703"/>
        <v>AZRAD UMAR BIN SHAARI</v>
      </c>
      <c r="V6649" t="str">
        <f t="shared" si="2704"/>
        <v>FARHANA BINTI MUSTAPA</v>
      </c>
      <c r="W6649" t="str">
        <f t="shared" si="2705"/>
        <v>04-08-2020</v>
      </c>
      <c r="X6649" t="str">
        <f t="shared" si="2706"/>
        <v>RAZIMAH ANSAR AHMAD</v>
      </c>
      <c r="Y6649" t="str">
        <f t="shared" si="2707"/>
        <v>04-08-2020</v>
      </c>
      <c r="Z6649" t="str">
        <f>"COS10200804 2505"</f>
        <v>COS10200804 2505</v>
      </c>
    </row>
    <row r="6650" spans="1:26" x14ac:dyDescent="0.25">
      <c r="A6650" t="str">
        <f t="shared" ref="A6650:A6681" si="2719">"04-08-2020 12:37:56"</f>
        <v>04-08-2020 12:37:56</v>
      </c>
      <c r="B6650" t="str">
        <f>"0000804266"</f>
        <v>0000804266</v>
      </c>
      <c r="C6650" t="str">
        <f t="shared" ref="C6650:C6681" si="2720">"0000804162"</f>
        <v>0000804162</v>
      </c>
      <c r="D6650" t="str">
        <f t="shared" si="2697"/>
        <v>73185</v>
      </c>
      <c r="E6650" t="str">
        <f t="shared" si="2698"/>
        <v>KFH-OPERATIONS DEPARTMENT</v>
      </c>
      <c r="F6650" t="str">
        <f t="shared" si="2699"/>
        <v>IBG</v>
      </c>
      <c r="G6650" t="str">
        <f t="shared" si="2708"/>
        <v>Refund COSHARE 10</v>
      </c>
      <c r="H6650" s="2">
        <v>294.7</v>
      </c>
      <c r="I6650" t="str">
        <f>"HASLINA BINTI BUSRI"</f>
        <v>HASLINA BINTI BUSRI</v>
      </c>
      <c r="J6650" t="str">
        <f t="shared" si="2696"/>
        <v>CIMB BANK / CIMB ISLAMIC BANK</v>
      </c>
      <c r="K6650" t="str">
        <f>"01250001564201"</f>
        <v>01250001564201</v>
      </c>
      <c r="L6650" t="str">
        <f t="shared" si="2717"/>
        <v>04-08-2020</v>
      </c>
      <c r="M6650" t="str">
        <f t="shared" si="2717"/>
        <v>04-08-2020</v>
      </c>
      <c r="N6650" t="str">
        <f t="shared" si="2700"/>
        <v>001105018356</v>
      </c>
      <c r="O6650" t="str">
        <f t="shared" si="2701"/>
        <v>MYR</v>
      </c>
      <c r="P6650" t="str">
        <f t="shared" si="2718"/>
        <v>NIL</v>
      </c>
      <c r="Q6650" t="str">
        <f t="shared" si="2718"/>
        <v>NIL</v>
      </c>
      <c r="R6650" t="str">
        <f t="shared" si="2713"/>
        <v>Accepted</v>
      </c>
      <c r="S6650" t="str">
        <f t="shared" si="2702"/>
        <v>Approved</v>
      </c>
      <c r="T6650" t="str">
        <f t="shared" si="2714"/>
        <v>10.20.8.188</v>
      </c>
      <c r="U6650" t="str">
        <f t="shared" si="2703"/>
        <v>AZRAD UMAR BIN SHAARI</v>
      </c>
      <c r="V6650" t="str">
        <f t="shared" si="2704"/>
        <v>FARHANA BINTI MUSTAPA</v>
      </c>
      <c r="W6650" t="str">
        <f t="shared" si="2705"/>
        <v>04-08-2020</v>
      </c>
      <c r="X6650" t="str">
        <f t="shared" si="2706"/>
        <v>RAZIMAH ANSAR AHMAD</v>
      </c>
      <c r="Y6650" t="str">
        <f t="shared" si="2707"/>
        <v>04-08-2020</v>
      </c>
      <c r="Z6650" t="str">
        <f>"COS10200804 2504"</f>
        <v>COS10200804 2504</v>
      </c>
    </row>
    <row r="6651" spans="1:26" x14ac:dyDescent="0.25">
      <c r="A6651" t="str">
        <f t="shared" si="2719"/>
        <v>04-08-2020 12:37:56</v>
      </c>
      <c r="B6651" t="str">
        <f>"0000804265"</f>
        <v>0000804265</v>
      </c>
      <c r="C6651" t="str">
        <f t="shared" si="2720"/>
        <v>0000804162</v>
      </c>
      <c r="D6651" t="str">
        <f t="shared" si="2697"/>
        <v>73185</v>
      </c>
      <c r="E6651" t="str">
        <f t="shared" si="2698"/>
        <v>KFH-OPERATIONS DEPARTMENT</v>
      </c>
      <c r="F6651" t="str">
        <f t="shared" si="2699"/>
        <v>IBG</v>
      </c>
      <c r="G6651" t="str">
        <f t="shared" si="2708"/>
        <v>Refund COSHARE 10</v>
      </c>
      <c r="H6651" s="2">
        <v>1284.7</v>
      </c>
      <c r="I6651" t="str">
        <f>"HASIAH BINTI RAMLI"</f>
        <v>HASIAH BINTI RAMLI</v>
      </c>
      <c r="J6651" t="str">
        <f t="shared" si="2696"/>
        <v>CIMB BANK / CIMB ISLAMIC BANK</v>
      </c>
      <c r="K6651" t="str">
        <f>"7012999218"</f>
        <v>7012999218</v>
      </c>
      <c r="L6651" t="str">
        <f t="shared" si="2717"/>
        <v>04-08-2020</v>
      </c>
      <c r="M6651" t="str">
        <f t="shared" si="2717"/>
        <v>04-08-2020</v>
      </c>
      <c r="N6651" t="str">
        <f t="shared" si="2700"/>
        <v>001105018356</v>
      </c>
      <c r="O6651" t="str">
        <f t="shared" si="2701"/>
        <v>MYR</v>
      </c>
      <c r="P6651" t="str">
        <f t="shared" si="2718"/>
        <v>NIL</v>
      </c>
      <c r="Q6651" t="str">
        <f t="shared" si="2718"/>
        <v>NIL</v>
      </c>
      <c r="R6651" t="str">
        <f t="shared" si="2713"/>
        <v>Accepted</v>
      </c>
      <c r="S6651" t="str">
        <f t="shared" si="2702"/>
        <v>Approved</v>
      </c>
      <c r="T6651" t="str">
        <f t="shared" si="2714"/>
        <v>10.20.8.188</v>
      </c>
      <c r="U6651" t="str">
        <f t="shared" si="2703"/>
        <v>AZRAD UMAR BIN SHAARI</v>
      </c>
      <c r="V6651" t="str">
        <f t="shared" si="2704"/>
        <v>FARHANA BINTI MUSTAPA</v>
      </c>
      <c r="W6651" t="str">
        <f t="shared" si="2705"/>
        <v>04-08-2020</v>
      </c>
      <c r="X6651" t="str">
        <f t="shared" si="2706"/>
        <v>RAZIMAH ANSAR AHMAD</v>
      </c>
      <c r="Y6651" t="str">
        <f t="shared" si="2707"/>
        <v>04-08-2020</v>
      </c>
      <c r="Z6651" t="str">
        <f>"COS10200804 2503"</f>
        <v>COS10200804 2503</v>
      </c>
    </row>
    <row r="6652" spans="1:26" x14ac:dyDescent="0.25">
      <c r="A6652" t="str">
        <f t="shared" si="2719"/>
        <v>04-08-2020 12:37:56</v>
      </c>
      <c r="B6652" t="str">
        <f>"0000804264"</f>
        <v>0000804264</v>
      </c>
      <c r="C6652" t="str">
        <f t="shared" si="2720"/>
        <v>0000804162</v>
      </c>
      <c r="D6652" t="str">
        <f t="shared" si="2697"/>
        <v>73185</v>
      </c>
      <c r="E6652" t="str">
        <f t="shared" si="2698"/>
        <v>KFH-OPERATIONS DEPARTMENT</v>
      </c>
      <c r="F6652" t="str">
        <f t="shared" si="2699"/>
        <v>IBG</v>
      </c>
      <c r="G6652" t="str">
        <f t="shared" si="2708"/>
        <v>Refund COSHARE 10</v>
      </c>
      <c r="H6652" s="2">
        <v>1326</v>
      </c>
      <c r="I6652" t="str">
        <f>"HASHRULIZAM BIN MD SHAH"</f>
        <v>HASHRULIZAM BIN MD SHAH</v>
      </c>
      <c r="J6652" t="str">
        <f t="shared" ref="J6652:J6715" si="2721">"CIMB BANK / CIMB ISLAMIC BANK"</f>
        <v>CIMB BANK / CIMB ISLAMIC BANK</v>
      </c>
      <c r="K6652" t="str">
        <f>"7608323551"</f>
        <v>7608323551</v>
      </c>
      <c r="L6652" t="str">
        <f t="shared" si="2717"/>
        <v>04-08-2020</v>
      </c>
      <c r="M6652" t="str">
        <f t="shared" si="2717"/>
        <v>04-08-2020</v>
      </c>
      <c r="N6652" t="str">
        <f t="shared" si="2700"/>
        <v>001105018356</v>
      </c>
      <c r="O6652" t="str">
        <f t="shared" si="2701"/>
        <v>MYR</v>
      </c>
      <c r="P6652" t="str">
        <f t="shared" si="2718"/>
        <v>NIL</v>
      </c>
      <c r="Q6652" t="str">
        <f t="shared" si="2718"/>
        <v>NIL</v>
      </c>
      <c r="R6652" t="str">
        <f t="shared" si="2713"/>
        <v>Accepted</v>
      </c>
      <c r="S6652" t="str">
        <f t="shared" si="2702"/>
        <v>Approved</v>
      </c>
      <c r="T6652" t="str">
        <f t="shared" si="2714"/>
        <v>10.20.8.188</v>
      </c>
      <c r="U6652" t="str">
        <f t="shared" si="2703"/>
        <v>AZRAD UMAR BIN SHAARI</v>
      </c>
      <c r="V6652" t="str">
        <f t="shared" si="2704"/>
        <v>FARHANA BINTI MUSTAPA</v>
      </c>
      <c r="W6652" t="str">
        <f t="shared" si="2705"/>
        <v>04-08-2020</v>
      </c>
      <c r="X6652" t="str">
        <f t="shared" si="2706"/>
        <v>RAZIMAH ANSAR AHMAD</v>
      </c>
      <c r="Y6652" t="str">
        <f t="shared" si="2707"/>
        <v>04-08-2020</v>
      </c>
      <c r="Z6652" t="str">
        <f>"COS10200804 2502"</f>
        <v>COS10200804 2502</v>
      </c>
    </row>
    <row r="6653" spans="1:26" x14ac:dyDescent="0.25">
      <c r="A6653" t="str">
        <f t="shared" si="2719"/>
        <v>04-08-2020 12:37:56</v>
      </c>
      <c r="B6653" t="str">
        <f>"0000804263"</f>
        <v>0000804263</v>
      </c>
      <c r="C6653" t="str">
        <f t="shared" si="2720"/>
        <v>0000804162</v>
      </c>
      <c r="D6653" t="str">
        <f t="shared" si="2697"/>
        <v>73185</v>
      </c>
      <c r="E6653" t="str">
        <f t="shared" si="2698"/>
        <v>KFH-OPERATIONS DEPARTMENT</v>
      </c>
      <c r="F6653" t="str">
        <f t="shared" si="2699"/>
        <v>IBG</v>
      </c>
      <c r="G6653" t="str">
        <f t="shared" si="2708"/>
        <v>Refund COSHARE 10</v>
      </c>
      <c r="H6653" s="2">
        <v>1091.3499999999999</v>
      </c>
      <c r="I6653" t="str">
        <f>"HASHIMAH BINTI AMAT SEJANI"</f>
        <v>HASHIMAH BINTI AMAT SEJANI</v>
      </c>
      <c r="J6653" t="str">
        <f t="shared" si="2721"/>
        <v>CIMB BANK / CIMB ISLAMIC BANK</v>
      </c>
      <c r="K6653" t="str">
        <f>"8002242732"</f>
        <v>8002242732</v>
      </c>
      <c r="L6653" t="str">
        <f t="shared" si="2717"/>
        <v>04-08-2020</v>
      </c>
      <c r="M6653" t="str">
        <f t="shared" si="2717"/>
        <v>04-08-2020</v>
      </c>
      <c r="N6653" t="str">
        <f t="shared" si="2700"/>
        <v>001105018356</v>
      </c>
      <c r="O6653" t="str">
        <f t="shared" si="2701"/>
        <v>MYR</v>
      </c>
      <c r="P6653" t="str">
        <f t="shared" si="2718"/>
        <v>NIL</v>
      </c>
      <c r="Q6653" t="str">
        <f t="shared" si="2718"/>
        <v>NIL</v>
      </c>
      <c r="R6653" t="str">
        <f t="shared" si="2713"/>
        <v>Accepted</v>
      </c>
      <c r="S6653" t="str">
        <f t="shared" si="2702"/>
        <v>Approved</v>
      </c>
      <c r="T6653" t="str">
        <f t="shared" si="2714"/>
        <v>10.20.8.188</v>
      </c>
      <c r="U6653" t="str">
        <f t="shared" si="2703"/>
        <v>AZRAD UMAR BIN SHAARI</v>
      </c>
      <c r="V6653" t="str">
        <f t="shared" si="2704"/>
        <v>FARHANA BINTI MUSTAPA</v>
      </c>
      <c r="W6653" t="str">
        <f t="shared" si="2705"/>
        <v>04-08-2020</v>
      </c>
      <c r="X6653" t="str">
        <f t="shared" si="2706"/>
        <v>RAZIMAH ANSAR AHMAD</v>
      </c>
      <c r="Y6653" t="str">
        <f t="shared" si="2707"/>
        <v>04-08-2020</v>
      </c>
      <c r="Z6653" t="str">
        <f>"COS10200804 2501"</f>
        <v>COS10200804 2501</v>
      </c>
    </row>
    <row r="6654" spans="1:26" x14ac:dyDescent="0.25">
      <c r="A6654" t="str">
        <f t="shared" si="2719"/>
        <v>04-08-2020 12:37:56</v>
      </c>
      <c r="B6654" t="str">
        <f>"0000804262"</f>
        <v>0000804262</v>
      </c>
      <c r="C6654" t="str">
        <f t="shared" si="2720"/>
        <v>0000804162</v>
      </c>
      <c r="D6654" t="str">
        <f t="shared" si="2697"/>
        <v>73185</v>
      </c>
      <c r="E6654" t="str">
        <f t="shared" si="2698"/>
        <v>KFH-OPERATIONS DEPARTMENT</v>
      </c>
      <c r="F6654" t="str">
        <f t="shared" si="2699"/>
        <v>IBG</v>
      </c>
      <c r="G6654" t="str">
        <f t="shared" si="2708"/>
        <v>Refund COSHARE 10</v>
      </c>
      <c r="H6654" s="2">
        <v>814.35</v>
      </c>
      <c r="I6654" t="str">
        <f>"HARZIYANA BINTI ABD RAHMAN"</f>
        <v>HARZIYANA BINTI ABD RAHMAN</v>
      </c>
      <c r="J6654" t="str">
        <f t="shared" si="2721"/>
        <v>CIMB BANK / CIMB ISLAMIC BANK</v>
      </c>
      <c r="K6654" t="str">
        <f>"02100079359526"</f>
        <v>02100079359526</v>
      </c>
      <c r="L6654" t="str">
        <f t="shared" si="2717"/>
        <v>04-08-2020</v>
      </c>
      <c r="M6654" t="str">
        <f t="shared" si="2717"/>
        <v>04-08-2020</v>
      </c>
      <c r="N6654" t="str">
        <f t="shared" si="2700"/>
        <v>001105018356</v>
      </c>
      <c r="O6654" t="str">
        <f t="shared" si="2701"/>
        <v>MYR</v>
      </c>
      <c r="P6654" t="str">
        <f t="shared" si="2718"/>
        <v>NIL</v>
      </c>
      <c r="Q6654" t="str">
        <f t="shared" si="2718"/>
        <v>NIL</v>
      </c>
      <c r="R6654" t="str">
        <f t="shared" si="2713"/>
        <v>Accepted</v>
      </c>
      <c r="S6654" t="str">
        <f t="shared" si="2702"/>
        <v>Approved</v>
      </c>
      <c r="T6654" t="str">
        <f t="shared" si="2714"/>
        <v>10.20.8.188</v>
      </c>
      <c r="U6654" t="str">
        <f t="shared" si="2703"/>
        <v>AZRAD UMAR BIN SHAARI</v>
      </c>
      <c r="V6654" t="str">
        <f t="shared" si="2704"/>
        <v>FARHANA BINTI MUSTAPA</v>
      </c>
      <c r="W6654" t="str">
        <f t="shared" si="2705"/>
        <v>04-08-2020</v>
      </c>
      <c r="X6654" t="str">
        <f t="shared" si="2706"/>
        <v>RAZIMAH ANSAR AHMAD</v>
      </c>
      <c r="Y6654" t="str">
        <f t="shared" si="2707"/>
        <v>04-08-2020</v>
      </c>
      <c r="Z6654" t="str">
        <f>"COS10200804 2500"</f>
        <v>COS10200804 2500</v>
      </c>
    </row>
    <row r="6655" spans="1:26" x14ac:dyDescent="0.25">
      <c r="A6655" t="str">
        <f t="shared" si="2719"/>
        <v>04-08-2020 12:37:56</v>
      </c>
      <c r="B6655" t="str">
        <f>"0000804261"</f>
        <v>0000804261</v>
      </c>
      <c r="C6655" t="str">
        <f t="shared" si="2720"/>
        <v>0000804162</v>
      </c>
      <c r="D6655" t="str">
        <f t="shared" si="2697"/>
        <v>73185</v>
      </c>
      <c r="E6655" t="str">
        <f t="shared" si="2698"/>
        <v>KFH-OPERATIONS DEPARTMENT</v>
      </c>
      <c r="F6655" t="str">
        <f t="shared" si="2699"/>
        <v>IBG</v>
      </c>
      <c r="G6655" t="str">
        <f t="shared" si="2708"/>
        <v>Refund COSHARE 10</v>
      </c>
      <c r="H6655" s="2">
        <v>58.8</v>
      </c>
      <c r="I6655" t="str">
        <f>"HARYTHAS AL THANGAVELLU"</f>
        <v>HARYTHAS AL THANGAVELLU</v>
      </c>
      <c r="J6655" t="str">
        <f t="shared" si="2721"/>
        <v>CIMB BANK / CIMB ISLAMIC BANK</v>
      </c>
      <c r="K6655" t="str">
        <f>"12360015689528"</f>
        <v>12360015689528</v>
      </c>
      <c r="L6655" t="str">
        <f t="shared" si="2717"/>
        <v>04-08-2020</v>
      </c>
      <c r="M6655" t="str">
        <f t="shared" si="2717"/>
        <v>04-08-2020</v>
      </c>
      <c r="N6655" t="str">
        <f t="shared" si="2700"/>
        <v>001105018356</v>
      </c>
      <c r="O6655" t="str">
        <f t="shared" si="2701"/>
        <v>MYR</v>
      </c>
      <c r="P6655" t="str">
        <f t="shared" si="2718"/>
        <v>NIL</v>
      </c>
      <c r="Q6655" t="str">
        <f t="shared" si="2718"/>
        <v>NIL</v>
      </c>
      <c r="R6655" t="str">
        <f t="shared" si="2713"/>
        <v>Accepted</v>
      </c>
      <c r="S6655" t="str">
        <f t="shared" si="2702"/>
        <v>Approved</v>
      </c>
      <c r="T6655" t="str">
        <f t="shared" si="2714"/>
        <v>10.20.8.188</v>
      </c>
      <c r="U6655" t="str">
        <f t="shared" si="2703"/>
        <v>AZRAD UMAR BIN SHAARI</v>
      </c>
      <c r="V6655" t="str">
        <f t="shared" si="2704"/>
        <v>FARHANA BINTI MUSTAPA</v>
      </c>
      <c r="W6655" t="str">
        <f t="shared" si="2705"/>
        <v>04-08-2020</v>
      </c>
      <c r="X6655" t="str">
        <f t="shared" si="2706"/>
        <v>RAZIMAH ANSAR AHMAD</v>
      </c>
      <c r="Y6655" t="str">
        <f t="shared" si="2707"/>
        <v>04-08-2020</v>
      </c>
      <c r="Z6655" t="str">
        <f>"COS10200804 2499"</f>
        <v>COS10200804 2499</v>
      </c>
    </row>
    <row r="6656" spans="1:26" x14ac:dyDescent="0.25">
      <c r="A6656" t="str">
        <f t="shared" si="2719"/>
        <v>04-08-2020 12:37:56</v>
      </c>
      <c r="B6656" t="str">
        <f>"0000804260"</f>
        <v>0000804260</v>
      </c>
      <c r="C6656" t="str">
        <f t="shared" si="2720"/>
        <v>0000804162</v>
      </c>
      <c r="D6656" t="str">
        <f t="shared" si="2697"/>
        <v>73185</v>
      </c>
      <c r="E6656" t="str">
        <f t="shared" si="2698"/>
        <v>KFH-OPERATIONS DEPARTMENT</v>
      </c>
      <c r="F6656" t="str">
        <f t="shared" si="2699"/>
        <v>IBG</v>
      </c>
      <c r="G6656" t="str">
        <f t="shared" si="2708"/>
        <v>Refund COSHARE 10</v>
      </c>
      <c r="H6656" s="2">
        <v>839.5</v>
      </c>
      <c r="I6656" t="str">
        <f>"HARYANI BINTI JAMLI"</f>
        <v>HARYANI BINTI JAMLI</v>
      </c>
      <c r="J6656" t="str">
        <f t="shared" si="2721"/>
        <v>CIMB BANK / CIMB ISLAMIC BANK</v>
      </c>
      <c r="K6656" t="str">
        <f>"10050072365525"</f>
        <v>10050072365525</v>
      </c>
      <c r="L6656" t="str">
        <f t="shared" si="2717"/>
        <v>04-08-2020</v>
      </c>
      <c r="M6656" t="str">
        <f t="shared" si="2717"/>
        <v>04-08-2020</v>
      </c>
      <c r="N6656" t="str">
        <f t="shared" si="2700"/>
        <v>001105018356</v>
      </c>
      <c r="O6656" t="str">
        <f t="shared" si="2701"/>
        <v>MYR</v>
      </c>
      <c r="P6656" t="str">
        <f t="shared" si="2718"/>
        <v>NIL</v>
      </c>
      <c r="Q6656" t="str">
        <f t="shared" si="2718"/>
        <v>NIL</v>
      </c>
      <c r="R6656" t="str">
        <f t="shared" si="2713"/>
        <v>Accepted</v>
      </c>
      <c r="S6656" t="str">
        <f t="shared" si="2702"/>
        <v>Approved</v>
      </c>
      <c r="T6656" t="str">
        <f t="shared" si="2714"/>
        <v>10.20.8.188</v>
      </c>
      <c r="U6656" t="str">
        <f t="shared" si="2703"/>
        <v>AZRAD UMAR BIN SHAARI</v>
      </c>
      <c r="V6656" t="str">
        <f t="shared" si="2704"/>
        <v>FARHANA BINTI MUSTAPA</v>
      </c>
      <c r="W6656" t="str">
        <f t="shared" si="2705"/>
        <v>04-08-2020</v>
      </c>
      <c r="X6656" t="str">
        <f t="shared" si="2706"/>
        <v>RAZIMAH ANSAR AHMAD</v>
      </c>
      <c r="Y6656" t="str">
        <f t="shared" si="2707"/>
        <v>04-08-2020</v>
      </c>
      <c r="Z6656" t="str">
        <f>"COS10200804 2498"</f>
        <v>COS10200804 2498</v>
      </c>
    </row>
    <row r="6657" spans="1:26" x14ac:dyDescent="0.25">
      <c r="A6657" t="str">
        <f t="shared" si="2719"/>
        <v>04-08-2020 12:37:56</v>
      </c>
      <c r="B6657" t="str">
        <f>"0000804259"</f>
        <v>0000804259</v>
      </c>
      <c r="C6657" t="str">
        <f t="shared" si="2720"/>
        <v>0000804162</v>
      </c>
      <c r="D6657" t="str">
        <f t="shared" si="2697"/>
        <v>73185</v>
      </c>
      <c r="E6657" t="str">
        <f t="shared" si="2698"/>
        <v>KFH-OPERATIONS DEPARTMENT</v>
      </c>
      <c r="F6657" t="str">
        <f t="shared" si="2699"/>
        <v>IBG</v>
      </c>
      <c r="G6657" t="str">
        <f t="shared" si="2708"/>
        <v>Refund COSHARE 10</v>
      </c>
      <c r="H6657" s="2">
        <v>1679</v>
      </c>
      <c r="I6657" t="str">
        <f>"HARYANI BINTI HALIM"</f>
        <v>HARYANI BINTI HALIM</v>
      </c>
      <c r="J6657" t="str">
        <f t="shared" si="2721"/>
        <v>CIMB BANK / CIMB ISLAMIC BANK</v>
      </c>
      <c r="K6657" t="str">
        <f>"14160037606525"</f>
        <v>14160037606525</v>
      </c>
      <c r="L6657" t="str">
        <f t="shared" si="2717"/>
        <v>04-08-2020</v>
      </c>
      <c r="M6657" t="str">
        <f t="shared" si="2717"/>
        <v>04-08-2020</v>
      </c>
      <c r="N6657" t="str">
        <f t="shared" si="2700"/>
        <v>001105018356</v>
      </c>
      <c r="O6657" t="str">
        <f t="shared" si="2701"/>
        <v>MYR</v>
      </c>
      <c r="P6657" t="str">
        <f t="shared" si="2718"/>
        <v>NIL</v>
      </c>
      <c r="Q6657" t="str">
        <f t="shared" si="2718"/>
        <v>NIL</v>
      </c>
      <c r="R6657" t="str">
        <f t="shared" si="2713"/>
        <v>Accepted</v>
      </c>
      <c r="S6657" t="str">
        <f t="shared" si="2702"/>
        <v>Approved</v>
      </c>
      <c r="T6657" t="str">
        <f t="shared" si="2714"/>
        <v>10.20.8.188</v>
      </c>
      <c r="U6657" t="str">
        <f t="shared" si="2703"/>
        <v>AZRAD UMAR BIN SHAARI</v>
      </c>
      <c r="V6657" t="str">
        <f t="shared" si="2704"/>
        <v>FARHANA BINTI MUSTAPA</v>
      </c>
      <c r="W6657" t="str">
        <f t="shared" si="2705"/>
        <v>04-08-2020</v>
      </c>
      <c r="X6657" t="str">
        <f t="shared" si="2706"/>
        <v>RAZIMAH ANSAR AHMAD</v>
      </c>
      <c r="Y6657" t="str">
        <f t="shared" si="2707"/>
        <v>04-08-2020</v>
      </c>
      <c r="Z6657" t="str">
        <f>"COS10200804 2497"</f>
        <v>COS10200804 2497</v>
      </c>
    </row>
    <row r="6658" spans="1:26" x14ac:dyDescent="0.25">
      <c r="A6658" t="str">
        <f t="shared" si="2719"/>
        <v>04-08-2020 12:37:56</v>
      </c>
      <c r="B6658" t="str">
        <f>"0000804258"</f>
        <v>0000804258</v>
      </c>
      <c r="C6658" t="str">
        <f t="shared" si="2720"/>
        <v>0000804162</v>
      </c>
      <c r="D6658" t="str">
        <f t="shared" si="2697"/>
        <v>73185</v>
      </c>
      <c r="E6658" t="str">
        <f t="shared" si="2698"/>
        <v>KFH-OPERATIONS DEPARTMENT</v>
      </c>
      <c r="F6658" t="str">
        <f t="shared" si="2699"/>
        <v>IBG</v>
      </c>
      <c r="G6658" t="str">
        <f t="shared" si="2708"/>
        <v>Refund COSHARE 10</v>
      </c>
      <c r="H6658" s="2">
        <v>419.75</v>
      </c>
      <c r="I6658" t="str">
        <f>"HARTINI BINTI MOHD NOOR"</f>
        <v>HARTINI BINTI MOHD NOOR</v>
      </c>
      <c r="J6658" t="str">
        <f t="shared" si="2721"/>
        <v>CIMB BANK / CIMB ISLAMIC BANK</v>
      </c>
      <c r="K6658" t="str">
        <f>"02080073704522"</f>
        <v>02080073704522</v>
      </c>
      <c r="L6658" t="str">
        <f t="shared" si="2717"/>
        <v>04-08-2020</v>
      </c>
      <c r="M6658" t="str">
        <f t="shared" si="2717"/>
        <v>04-08-2020</v>
      </c>
      <c r="N6658" t="str">
        <f t="shared" si="2700"/>
        <v>001105018356</v>
      </c>
      <c r="O6658" t="str">
        <f t="shared" si="2701"/>
        <v>MYR</v>
      </c>
      <c r="P6658" t="str">
        <f t="shared" si="2718"/>
        <v>NIL</v>
      </c>
      <c r="Q6658" t="str">
        <f t="shared" si="2718"/>
        <v>NIL</v>
      </c>
      <c r="R6658" t="str">
        <f t="shared" si="2713"/>
        <v>Accepted</v>
      </c>
      <c r="S6658" t="str">
        <f t="shared" si="2702"/>
        <v>Approved</v>
      </c>
      <c r="T6658" t="str">
        <f t="shared" si="2714"/>
        <v>10.20.8.188</v>
      </c>
      <c r="U6658" t="str">
        <f t="shared" si="2703"/>
        <v>AZRAD UMAR BIN SHAARI</v>
      </c>
      <c r="V6658" t="str">
        <f t="shared" si="2704"/>
        <v>FARHANA BINTI MUSTAPA</v>
      </c>
      <c r="W6658" t="str">
        <f t="shared" si="2705"/>
        <v>04-08-2020</v>
      </c>
      <c r="X6658" t="str">
        <f t="shared" si="2706"/>
        <v>RAZIMAH ANSAR AHMAD</v>
      </c>
      <c r="Y6658" t="str">
        <f t="shared" si="2707"/>
        <v>04-08-2020</v>
      </c>
      <c r="Z6658" t="str">
        <f>"COS10200804 2496"</f>
        <v>COS10200804 2496</v>
      </c>
    </row>
    <row r="6659" spans="1:26" x14ac:dyDescent="0.25">
      <c r="A6659" t="str">
        <f t="shared" si="2719"/>
        <v>04-08-2020 12:37:56</v>
      </c>
      <c r="B6659" t="str">
        <f>"0000804257"</f>
        <v>0000804257</v>
      </c>
      <c r="C6659" t="str">
        <f t="shared" si="2720"/>
        <v>0000804162</v>
      </c>
      <c r="D6659" t="str">
        <f t="shared" si="2697"/>
        <v>73185</v>
      </c>
      <c r="E6659" t="str">
        <f t="shared" si="2698"/>
        <v>KFH-OPERATIONS DEPARTMENT</v>
      </c>
      <c r="F6659" t="str">
        <f t="shared" si="2699"/>
        <v>IBG</v>
      </c>
      <c r="G6659" t="str">
        <f t="shared" si="2708"/>
        <v>Refund COSHARE 10</v>
      </c>
      <c r="H6659" s="2">
        <v>294.7</v>
      </c>
      <c r="I6659" t="str">
        <f>"HARTINI BINTI ABDULLAH"</f>
        <v>HARTINI BINTI ABDULLAH</v>
      </c>
      <c r="J6659" t="str">
        <f t="shared" si="2721"/>
        <v>CIMB BANK / CIMB ISLAMIC BANK</v>
      </c>
      <c r="K6659" t="str">
        <f>"12160084437522"</f>
        <v>12160084437522</v>
      </c>
      <c r="L6659" t="str">
        <f t="shared" si="2717"/>
        <v>04-08-2020</v>
      </c>
      <c r="M6659" t="str">
        <f t="shared" si="2717"/>
        <v>04-08-2020</v>
      </c>
      <c r="N6659" t="str">
        <f t="shared" si="2700"/>
        <v>001105018356</v>
      </c>
      <c r="O6659" t="str">
        <f t="shared" si="2701"/>
        <v>MYR</v>
      </c>
      <c r="P6659" t="str">
        <f t="shared" si="2718"/>
        <v>NIL</v>
      </c>
      <c r="Q6659" t="str">
        <f t="shared" si="2718"/>
        <v>NIL</v>
      </c>
      <c r="R6659" t="str">
        <f t="shared" si="2713"/>
        <v>Accepted</v>
      </c>
      <c r="S6659" t="str">
        <f t="shared" si="2702"/>
        <v>Approved</v>
      </c>
      <c r="T6659" t="str">
        <f t="shared" si="2714"/>
        <v>10.20.8.188</v>
      </c>
      <c r="U6659" t="str">
        <f t="shared" si="2703"/>
        <v>AZRAD UMAR BIN SHAARI</v>
      </c>
      <c r="V6659" t="str">
        <f t="shared" si="2704"/>
        <v>FARHANA BINTI MUSTAPA</v>
      </c>
      <c r="W6659" t="str">
        <f t="shared" si="2705"/>
        <v>04-08-2020</v>
      </c>
      <c r="X6659" t="str">
        <f t="shared" si="2706"/>
        <v>RAZIMAH ANSAR AHMAD</v>
      </c>
      <c r="Y6659" t="str">
        <f t="shared" si="2707"/>
        <v>04-08-2020</v>
      </c>
      <c r="Z6659" t="str">
        <f>"COS10200804 2495"</f>
        <v>COS10200804 2495</v>
      </c>
    </row>
    <row r="6660" spans="1:26" x14ac:dyDescent="0.25">
      <c r="A6660" t="str">
        <f t="shared" si="2719"/>
        <v>04-08-2020 12:37:56</v>
      </c>
      <c r="B6660" t="str">
        <f>"0000804256"</f>
        <v>0000804256</v>
      </c>
      <c r="C6660" t="str">
        <f t="shared" si="2720"/>
        <v>0000804162</v>
      </c>
      <c r="D6660" t="str">
        <f t="shared" si="2697"/>
        <v>73185</v>
      </c>
      <c r="E6660" t="str">
        <f t="shared" si="2698"/>
        <v>KFH-OPERATIONS DEPARTMENT</v>
      </c>
      <c r="F6660" t="str">
        <f t="shared" si="2699"/>
        <v>IBG</v>
      </c>
      <c r="G6660" t="str">
        <f t="shared" si="2708"/>
        <v>Refund COSHARE 10</v>
      </c>
      <c r="H6660" s="2">
        <v>1396</v>
      </c>
      <c r="I6660" t="str">
        <f>"HAROUN AGOES SALIM BIN SHAFIE"</f>
        <v>HAROUN AGOES SALIM BIN SHAFIE</v>
      </c>
      <c r="J6660" t="str">
        <f t="shared" si="2721"/>
        <v>CIMB BANK / CIMB ISLAMIC BANK</v>
      </c>
      <c r="K6660" t="str">
        <f>"7606218178"</f>
        <v>7606218178</v>
      </c>
      <c r="L6660" t="str">
        <f t="shared" si="2717"/>
        <v>04-08-2020</v>
      </c>
      <c r="M6660" t="str">
        <f t="shared" si="2717"/>
        <v>04-08-2020</v>
      </c>
      <c r="N6660" t="str">
        <f t="shared" si="2700"/>
        <v>001105018356</v>
      </c>
      <c r="O6660" t="str">
        <f t="shared" si="2701"/>
        <v>MYR</v>
      </c>
      <c r="P6660" t="str">
        <f t="shared" si="2718"/>
        <v>NIL</v>
      </c>
      <c r="Q6660" t="str">
        <f t="shared" si="2718"/>
        <v>NIL</v>
      </c>
      <c r="R6660" t="str">
        <f t="shared" si="2713"/>
        <v>Accepted</v>
      </c>
      <c r="S6660" t="str">
        <f t="shared" si="2702"/>
        <v>Approved</v>
      </c>
      <c r="T6660" t="str">
        <f t="shared" si="2714"/>
        <v>10.20.8.188</v>
      </c>
      <c r="U6660" t="str">
        <f t="shared" si="2703"/>
        <v>AZRAD UMAR BIN SHAARI</v>
      </c>
      <c r="V6660" t="str">
        <f t="shared" si="2704"/>
        <v>FARHANA BINTI MUSTAPA</v>
      </c>
      <c r="W6660" t="str">
        <f t="shared" si="2705"/>
        <v>04-08-2020</v>
      </c>
      <c r="X6660" t="str">
        <f t="shared" si="2706"/>
        <v>RAZIMAH ANSAR AHMAD</v>
      </c>
      <c r="Y6660" t="str">
        <f t="shared" si="2707"/>
        <v>04-08-2020</v>
      </c>
      <c r="Z6660" t="str">
        <f>"COS10200804 2494"</f>
        <v>COS10200804 2494</v>
      </c>
    </row>
    <row r="6661" spans="1:26" x14ac:dyDescent="0.25">
      <c r="A6661" t="str">
        <f t="shared" si="2719"/>
        <v>04-08-2020 12:37:56</v>
      </c>
      <c r="B6661" t="str">
        <f>"0000804255"</f>
        <v>0000804255</v>
      </c>
      <c r="C6661" t="str">
        <f t="shared" si="2720"/>
        <v>0000804162</v>
      </c>
      <c r="D6661" t="str">
        <f t="shared" si="2697"/>
        <v>73185</v>
      </c>
      <c r="E6661" t="str">
        <f t="shared" si="2698"/>
        <v>KFH-OPERATIONS DEPARTMENT</v>
      </c>
      <c r="F6661" t="str">
        <f t="shared" si="2699"/>
        <v>IBG</v>
      </c>
      <c r="G6661" t="str">
        <f t="shared" si="2708"/>
        <v>Refund COSHARE 10</v>
      </c>
      <c r="H6661" s="2">
        <v>209.9</v>
      </c>
      <c r="I6661" t="str">
        <f>"HARMILIA BT ABDULLAH  MOHD YUSOF"</f>
        <v>HARMILIA BT ABDULLAH  MOHD YUSOF</v>
      </c>
      <c r="J6661" t="str">
        <f t="shared" si="2721"/>
        <v>CIMB BANK / CIMB ISLAMIC BANK</v>
      </c>
      <c r="K6661" t="str">
        <f>"02060096869524"</f>
        <v>02060096869524</v>
      </c>
      <c r="L6661" t="str">
        <f t="shared" si="2717"/>
        <v>04-08-2020</v>
      </c>
      <c r="M6661" t="str">
        <f t="shared" si="2717"/>
        <v>04-08-2020</v>
      </c>
      <c r="N6661" t="str">
        <f t="shared" si="2700"/>
        <v>001105018356</v>
      </c>
      <c r="O6661" t="str">
        <f t="shared" si="2701"/>
        <v>MYR</v>
      </c>
      <c r="P6661" t="str">
        <f t="shared" si="2718"/>
        <v>NIL</v>
      </c>
      <c r="Q6661" t="str">
        <f t="shared" si="2718"/>
        <v>NIL</v>
      </c>
      <c r="R6661" t="str">
        <f t="shared" si="2713"/>
        <v>Accepted</v>
      </c>
      <c r="S6661" t="str">
        <f t="shared" si="2702"/>
        <v>Approved</v>
      </c>
      <c r="T6661" t="str">
        <f t="shared" si="2714"/>
        <v>10.20.8.188</v>
      </c>
      <c r="U6661" t="str">
        <f t="shared" si="2703"/>
        <v>AZRAD UMAR BIN SHAARI</v>
      </c>
      <c r="V6661" t="str">
        <f t="shared" si="2704"/>
        <v>FARHANA BINTI MUSTAPA</v>
      </c>
      <c r="W6661" t="str">
        <f t="shared" si="2705"/>
        <v>04-08-2020</v>
      </c>
      <c r="X6661" t="str">
        <f t="shared" si="2706"/>
        <v>RAZIMAH ANSAR AHMAD</v>
      </c>
      <c r="Y6661" t="str">
        <f t="shared" si="2707"/>
        <v>04-08-2020</v>
      </c>
      <c r="Z6661" t="str">
        <f>"COS10200804 2493"</f>
        <v>COS10200804 2493</v>
      </c>
    </row>
    <row r="6662" spans="1:26" x14ac:dyDescent="0.25">
      <c r="A6662" t="str">
        <f t="shared" si="2719"/>
        <v>04-08-2020 12:37:56</v>
      </c>
      <c r="B6662" t="str">
        <f>"0000804254"</f>
        <v>0000804254</v>
      </c>
      <c r="C6662" t="str">
        <f t="shared" si="2720"/>
        <v>0000804162</v>
      </c>
      <c r="D6662" t="str">
        <f t="shared" si="2697"/>
        <v>73185</v>
      </c>
      <c r="E6662" t="str">
        <f t="shared" si="2698"/>
        <v>KFH-OPERATIONS DEPARTMENT</v>
      </c>
      <c r="F6662" t="str">
        <f t="shared" si="2699"/>
        <v>IBG</v>
      </c>
      <c r="G6662" t="str">
        <f t="shared" si="2708"/>
        <v>Refund COSHARE 10</v>
      </c>
      <c r="H6662" s="2">
        <v>688.4</v>
      </c>
      <c r="I6662" t="str">
        <f>"HARMEIN BIN HASHIM"</f>
        <v>HARMEIN BIN HASHIM</v>
      </c>
      <c r="J6662" t="str">
        <f t="shared" si="2721"/>
        <v>CIMB BANK / CIMB ISLAMIC BANK</v>
      </c>
      <c r="K6662" t="str">
        <f>"14420063070523"</f>
        <v>14420063070523</v>
      </c>
      <c r="L6662" t="str">
        <f t="shared" si="2717"/>
        <v>04-08-2020</v>
      </c>
      <c r="M6662" t="str">
        <f t="shared" si="2717"/>
        <v>04-08-2020</v>
      </c>
      <c r="N6662" t="str">
        <f t="shared" si="2700"/>
        <v>001105018356</v>
      </c>
      <c r="O6662" t="str">
        <f t="shared" si="2701"/>
        <v>MYR</v>
      </c>
      <c r="P6662" t="str">
        <f t="shared" si="2718"/>
        <v>NIL</v>
      </c>
      <c r="Q6662" t="str">
        <f t="shared" si="2718"/>
        <v>NIL</v>
      </c>
      <c r="R6662" t="str">
        <f t="shared" si="2713"/>
        <v>Accepted</v>
      </c>
      <c r="S6662" t="str">
        <f t="shared" si="2702"/>
        <v>Approved</v>
      </c>
      <c r="T6662" t="str">
        <f t="shared" si="2714"/>
        <v>10.20.8.188</v>
      </c>
      <c r="U6662" t="str">
        <f t="shared" si="2703"/>
        <v>AZRAD UMAR BIN SHAARI</v>
      </c>
      <c r="V6662" t="str">
        <f t="shared" si="2704"/>
        <v>FARHANA BINTI MUSTAPA</v>
      </c>
      <c r="W6662" t="str">
        <f t="shared" si="2705"/>
        <v>04-08-2020</v>
      </c>
      <c r="X6662" t="str">
        <f t="shared" si="2706"/>
        <v>RAZIMAH ANSAR AHMAD</v>
      </c>
      <c r="Y6662" t="str">
        <f t="shared" si="2707"/>
        <v>04-08-2020</v>
      </c>
      <c r="Z6662" t="str">
        <f>"COS10200804 2492"</f>
        <v>COS10200804 2492</v>
      </c>
    </row>
    <row r="6663" spans="1:26" x14ac:dyDescent="0.25">
      <c r="A6663" t="str">
        <f t="shared" si="2719"/>
        <v>04-08-2020 12:37:56</v>
      </c>
      <c r="B6663" t="str">
        <f>"0000804253"</f>
        <v>0000804253</v>
      </c>
      <c r="C6663" t="str">
        <f t="shared" si="2720"/>
        <v>0000804162</v>
      </c>
      <c r="D6663" t="str">
        <f t="shared" ref="D6663:D6726" si="2722">"73185"</f>
        <v>73185</v>
      </c>
      <c r="E6663" t="str">
        <f t="shared" ref="E6663:E6726" si="2723">"KFH-OPERATIONS DEPARTMENT"</f>
        <v>KFH-OPERATIONS DEPARTMENT</v>
      </c>
      <c r="F6663" t="str">
        <f t="shared" ref="F6663:F6726" si="2724">"IBG"</f>
        <v>IBG</v>
      </c>
      <c r="G6663" t="str">
        <f t="shared" si="2708"/>
        <v>Refund COSHARE 10</v>
      </c>
      <c r="H6663" s="2">
        <v>1091.3499999999999</v>
      </c>
      <c r="I6663" t="str">
        <f>"HARLINA BINTI HUSSIN"</f>
        <v>HARLINA BINTI HUSSIN</v>
      </c>
      <c r="J6663" t="str">
        <f t="shared" si="2721"/>
        <v>CIMB BANK / CIMB ISLAMIC BANK</v>
      </c>
      <c r="K6663" t="str">
        <f>"7040640229"</f>
        <v>7040640229</v>
      </c>
      <c r="L6663" t="str">
        <f t="shared" si="2717"/>
        <v>04-08-2020</v>
      </c>
      <c r="M6663" t="str">
        <f t="shared" si="2717"/>
        <v>04-08-2020</v>
      </c>
      <c r="N6663" t="str">
        <f t="shared" ref="N6663:N6726" si="2725">"001105018356"</f>
        <v>001105018356</v>
      </c>
      <c r="O6663" t="str">
        <f t="shared" ref="O6663:O6726" si="2726">"MYR"</f>
        <v>MYR</v>
      </c>
      <c r="P6663" t="str">
        <f t="shared" si="2718"/>
        <v>NIL</v>
      </c>
      <c r="Q6663" t="str">
        <f t="shared" si="2718"/>
        <v>NIL</v>
      </c>
      <c r="R6663" t="str">
        <f t="shared" si="2713"/>
        <v>Accepted</v>
      </c>
      <c r="S6663" t="str">
        <f t="shared" ref="S6663:S6726" si="2727">"Approved"</f>
        <v>Approved</v>
      </c>
      <c r="T6663" t="str">
        <f t="shared" si="2714"/>
        <v>10.20.8.188</v>
      </c>
      <c r="U6663" t="str">
        <f t="shared" ref="U6663:U6726" si="2728">"AZRAD UMAR BIN SHAARI"</f>
        <v>AZRAD UMAR BIN SHAARI</v>
      </c>
      <c r="V6663" t="str">
        <f t="shared" ref="V6663:V6726" si="2729">"FARHANA BINTI MUSTAPA"</f>
        <v>FARHANA BINTI MUSTAPA</v>
      </c>
      <c r="W6663" t="str">
        <f t="shared" ref="W6663:W6726" si="2730">"04-08-2020"</f>
        <v>04-08-2020</v>
      </c>
      <c r="X6663" t="str">
        <f t="shared" ref="X6663:X6726" si="2731">"RAZIMAH ANSAR AHMAD"</f>
        <v>RAZIMAH ANSAR AHMAD</v>
      </c>
      <c r="Y6663" t="str">
        <f t="shared" ref="Y6663:Y6726" si="2732">"04-08-2020"</f>
        <v>04-08-2020</v>
      </c>
      <c r="Z6663" t="str">
        <f>"COS10200804 2491"</f>
        <v>COS10200804 2491</v>
      </c>
    </row>
    <row r="6664" spans="1:26" x14ac:dyDescent="0.25">
      <c r="A6664" t="str">
        <f t="shared" si="2719"/>
        <v>04-08-2020 12:37:56</v>
      </c>
      <c r="B6664" t="str">
        <f>"0000804252"</f>
        <v>0000804252</v>
      </c>
      <c r="C6664" t="str">
        <f t="shared" si="2720"/>
        <v>0000804162</v>
      </c>
      <c r="D6664" t="str">
        <f t="shared" si="2722"/>
        <v>73185</v>
      </c>
      <c r="E6664" t="str">
        <f t="shared" si="2723"/>
        <v>KFH-OPERATIONS DEPARTMENT</v>
      </c>
      <c r="F6664" t="str">
        <f t="shared" si="2724"/>
        <v>IBG</v>
      </c>
      <c r="G6664" t="str">
        <f t="shared" si="2708"/>
        <v>Refund COSHARE 10</v>
      </c>
      <c r="H6664" s="2">
        <v>566</v>
      </c>
      <c r="I6664" t="str">
        <f>"HARIS FADILLAH BIN MOHAMAD"</f>
        <v>HARIS FADILLAH BIN MOHAMAD</v>
      </c>
      <c r="J6664" t="str">
        <f t="shared" si="2721"/>
        <v>CIMB BANK / CIMB ISLAMIC BANK</v>
      </c>
      <c r="K6664" t="str">
        <f>"14400059849528"</f>
        <v>14400059849528</v>
      </c>
      <c r="L6664" t="str">
        <f t="shared" si="2717"/>
        <v>04-08-2020</v>
      </c>
      <c r="M6664" t="str">
        <f t="shared" si="2717"/>
        <v>04-08-2020</v>
      </c>
      <c r="N6664" t="str">
        <f t="shared" si="2725"/>
        <v>001105018356</v>
      </c>
      <c r="O6664" t="str">
        <f t="shared" si="2726"/>
        <v>MYR</v>
      </c>
      <c r="P6664" t="str">
        <f t="shared" si="2718"/>
        <v>NIL</v>
      </c>
      <c r="Q6664" t="str">
        <f t="shared" si="2718"/>
        <v>NIL</v>
      </c>
      <c r="R6664" t="str">
        <f t="shared" si="2713"/>
        <v>Accepted</v>
      </c>
      <c r="S6664" t="str">
        <f t="shared" si="2727"/>
        <v>Approved</v>
      </c>
      <c r="T6664" t="str">
        <f t="shared" si="2714"/>
        <v>10.20.8.188</v>
      </c>
      <c r="U6664" t="str">
        <f t="shared" si="2728"/>
        <v>AZRAD UMAR BIN SHAARI</v>
      </c>
      <c r="V6664" t="str">
        <f t="shared" si="2729"/>
        <v>FARHANA BINTI MUSTAPA</v>
      </c>
      <c r="W6664" t="str">
        <f t="shared" si="2730"/>
        <v>04-08-2020</v>
      </c>
      <c r="X6664" t="str">
        <f t="shared" si="2731"/>
        <v>RAZIMAH ANSAR AHMAD</v>
      </c>
      <c r="Y6664" t="str">
        <f t="shared" si="2732"/>
        <v>04-08-2020</v>
      </c>
      <c r="Z6664" t="str">
        <f>"COS10200804 2490"</f>
        <v>COS10200804 2490</v>
      </c>
    </row>
    <row r="6665" spans="1:26" x14ac:dyDescent="0.25">
      <c r="A6665" t="str">
        <f t="shared" si="2719"/>
        <v>04-08-2020 12:37:56</v>
      </c>
      <c r="B6665" t="str">
        <f>"0000804251"</f>
        <v>0000804251</v>
      </c>
      <c r="C6665" t="str">
        <f t="shared" si="2720"/>
        <v>0000804162</v>
      </c>
      <c r="D6665" t="str">
        <f t="shared" si="2722"/>
        <v>73185</v>
      </c>
      <c r="E6665" t="str">
        <f t="shared" si="2723"/>
        <v>KFH-OPERATIONS DEPARTMENT</v>
      </c>
      <c r="F6665" t="str">
        <f t="shared" si="2724"/>
        <v>IBG</v>
      </c>
      <c r="G6665" t="str">
        <f t="shared" si="2708"/>
        <v>Refund COSHARE 10</v>
      </c>
      <c r="H6665" s="2">
        <v>159.5</v>
      </c>
      <c r="I6665" t="str">
        <f>"HARIS BIN ISMAIL"</f>
        <v>HARIS BIN ISMAIL</v>
      </c>
      <c r="J6665" t="str">
        <f t="shared" si="2721"/>
        <v>CIMB BANK / CIMB ISLAMIC BANK</v>
      </c>
      <c r="K6665" t="str">
        <f>"14140129326522"</f>
        <v>14140129326522</v>
      </c>
      <c r="L6665" t="str">
        <f t="shared" si="2717"/>
        <v>04-08-2020</v>
      </c>
      <c r="M6665" t="str">
        <f t="shared" si="2717"/>
        <v>04-08-2020</v>
      </c>
      <c r="N6665" t="str">
        <f t="shared" si="2725"/>
        <v>001105018356</v>
      </c>
      <c r="O6665" t="str">
        <f t="shared" si="2726"/>
        <v>MYR</v>
      </c>
      <c r="P6665" t="str">
        <f t="shared" si="2718"/>
        <v>NIL</v>
      </c>
      <c r="Q6665" t="str">
        <f t="shared" si="2718"/>
        <v>NIL</v>
      </c>
      <c r="R6665" t="str">
        <f t="shared" si="2713"/>
        <v>Accepted</v>
      </c>
      <c r="S6665" t="str">
        <f t="shared" si="2727"/>
        <v>Approved</v>
      </c>
      <c r="T6665" t="str">
        <f t="shared" si="2714"/>
        <v>10.20.8.188</v>
      </c>
      <c r="U6665" t="str">
        <f t="shared" si="2728"/>
        <v>AZRAD UMAR BIN SHAARI</v>
      </c>
      <c r="V6665" t="str">
        <f t="shared" si="2729"/>
        <v>FARHANA BINTI MUSTAPA</v>
      </c>
      <c r="W6665" t="str">
        <f t="shared" si="2730"/>
        <v>04-08-2020</v>
      </c>
      <c r="X6665" t="str">
        <f t="shared" si="2731"/>
        <v>RAZIMAH ANSAR AHMAD</v>
      </c>
      <c r="Y6665" t="str">
        <f t="shared" si="2732"/>
        <v>04-08-2020</v>
      </c>
      <c r="Z6665" t="str">
        <f>"COS10200804 2489"</f>
        <v>COS10200804 2489</v>
      </c>
    </row>
    <row r="6666" spans="1:26" x14ac:dyDescent="0.25">
      <c r="A6666" t="str">
        <f t="shared" si="2719"/>
        <v>04-08-2020 12:37:56</v>
      </c>
      <c r="B6666" t="str">
        <f>"0000804250"</f>
        <v>0000804250</v>
      </c>
      <c r="C6666" t="str">
        <f t="shared" si="2720"/>
        <v>0000804162</v>
      </c>
      <c r="D6666" t="str">
        <f t="shared" si="2722"/>
        <v>73185</v>
      </c>
      <c r="E6666" t="str">
        <f t="shared" si="2723"/>
        <v>KFH-OPERATIONS DEPARTMENT</v>
      </c>
      <c r="F6666" t="str">
        <f t="shared" si="2724"/>
        <v>IBG</v>
      </c>
      <c r="G6666" t="str">
        <f t="shared" si="2708"/>
        <v>Refund COSHARE 10</v>
      </c>
      <c r="H6666" s="2">
        <v>251.85</v>
      </c>
      <c r="I6666" t="str">
        <f>"HARIHARAN NAYAR AL PRABHAKARAN"</f>
        <v>HARIHARAN NAYAR AL PRABHAKARAN</v>
      </c>
      <c r="J6666" t="str">
        <f t="shared" si="2721"/>
        <v>CIMB BANK / CIMB ISLAMIC BANK</v>
      </c>
      <c r="K6666" t="str">
        <f>"12310011192529"</f>
        <v>12310011192529</v>
      </c>
      <c r="L6666" t="str">
        <f t="shared" si="2717"/>
        <v>04-08-2020</v>
      </c>
      <c r="M6666" t="str">
        <f t="shared" si="2717"/>
        <v>04-08-2020</v>
      </c>
      <c r="N6666" t="str">
        <f t="shared" si="2725"/>
        <v>001105018356</v>
      </c>
      <c r="O6666" t="str">
        <f t="shared" si="2726"/>
        <v>MYR</v>
      </c>
      <c r="P6666" t="str">
        <f t="shared" si="2718"/>
        <v>NIL</v>
      </c>
      <c r="Q6666" t="str">
        <f t="shared" si="2718"/>
        <v>NIL</v>
      </c>
      <c r="R6666" t="str">
        <f t="shared" si="2713"/>
        <v>Accepted</v>
      </c>
      <c r="S6666" t="str">
        <f t="shared" si="2727"/>
        <v>Approved</v>
      </c>
      <c r="T6666" t="str">
        <f t="shared" si="2714"/>
        <v>10.20.8.188</v>
      </c>
      <c r="U6666" t="str">
        <f t="shared" si="2728"/>
        <v>AZRAD UMAR BIN SHAARI</v>
      </c>
      <c r="V6666" t="str">
        <f t="shared" si="2729"/>
        <v>FARHANA BINTI MUSTAPA</v>
      </c>
      <c r="W6666" t="str">
        <f t="shared" si="2730"/>
        <v>04-08-2020</v>
      </c>
      <c r="X6666" t="str">
        <f t="shared" si="2731"/>
        <v>RAZIMAH ANSAR AHMAD</v>
      </c>
      <c r="Y6666" t="str">
        <f t="shared" si="2732"/>
        <v>04-08-2020</v>
      </c>
      <c r="Z6666" t="str">
        <f>"COS10200804 2488"</f>
        <v>COS10200804 2488</v>
      </c>
    </row>
    <row r="6667" spans="1:26" x14ac:dyDescent="0.25">
      <c r="A6667" t="str">
        <f t="shared" si="2719"/>
        <v>04-08-2020 12:37:56</v>
      </c>
      <c r="B6667" t="str">
        <f>"0000804249"</f>
        <v>0000804249</v>
      </c>
      <c r="C6667" t="str">
        <f t="shared" si="2720"/>
        <v>0000804162</v>
      </c>
      <c r="D6667" t="str">
        <f t="shared" si="2722"/>
        <v>73185</v>
      </c>
      <c r="E6667" t="str">
        <f t="shared" si="2723"/>
        <v>KFH-OPERATIONS DEPARTMENT</v>
      </c>
      <c r="F6667" t="str">
        <f t="shared" si="2724"/>
        <v>IBG</v>
      </c>
      <c r="G6667" t="str">
        <f t="shared" si="2708"/>
        <v>Refund COSHARE 10</v>
      </c>
      <c r="H6667" s="2">
        <v>167.9</v>
      </c>
      <c r="I6667" t="str">
        <f>"HANITA BINTI ABD HAMID"</f>
        <v>HANITA BINTI ABD HAMID</v>
      </c>
      <c r="J6667" t="str">
        <f t="shared" si="2721"/>
        <v>CIMB BANK / CIMB ISLAMIC BANK</v>
      </c>
      <c r="K6667" t="str">
        <f>"06090031433528"</f>
        <v>06090031433528</v>
      </c>
      <c r="L6667" t="str">
        <f t="shared" ref="L6667:M6686" si="2733">"04-08-2020"</f>
        <v>04-08-2020</v>
      </c>
      <c r="M6667" t="str">
        <f t="shared" si="2733"/>
        <v>04-08-2020</v>
      </c>
      <c r="N6667" t="str">
        <f t="shared" si="2725"/>
        <v>001105018356</v>
      </c>
      <c r="O6667" t="str">
        <f t="shared" si="2726"/>
        <v>MYR</v>
      </c>
      <c r="P6667" t="str">
        <f t="shared" ref="P6667:Q6686" si="2734">"NIL"</f>
        <v>NIL</v>
      </c>
      <c r="Q6667" t="str">
        <f t="shared" si="2734"/>
        <v>NIL</v>
      </c>
      <c r="R6667" t="str">
        <f t="shared" si="2713"/>
        <v>Accepted</v>
      </c>
      <c r="S6667" t="str">
        <f t="shared" si="2727"/>
        <v>Approved</v>
      </c>
      <c r="T6667" t="str">
        <f t="shared" si="2714"/>
        <v>10.20.8.188</v>
      </c>
      <c r="U6667" t="str">
        <f t="shared" si="2728"/>
        <v>AZRAD UMAR BIN SHAARI</v>
      </c>
      <c r="V6667" t="str">
        <f t="shared" si="2729"/>
        <v>FARHANA BINTI MUSTAPA</v>
      </c>
      <c r="W6667" t="str">
        <f t="shared" si="2730"/>
        <v>04-08-2020</v>
      </c>
      <c r="X6667" t="str">
        <f t="shared" si="2731"/>
        <v>RAZIMAH ANSAR AHMAD</v>
      </c>
      <c r="Y6667" t="str">
        <f t="shared" si="2732"/>
        <v>04-08-2020</v>
      </c>
      <c r="Z6667" t="str">
        <f>"COS10200804 2487"</f>
        <v>COS10200804 2487</v>
      </c>
    </row>
    <row r="6668" spans="1:26" x14ac:dyDescent="0.25">
      <c r="A6668" t="str">
        <f t="shared" si="2719"/>
        <v>04-08-2020 12:37:56</v>
      </c>
      <c r="B6668" t="str">
        <f>"0000804248"</f>
        <v>0000804248</v>
      </c>
      <c r="C6668" t="str">
        <f t="shared" si="2720"/>
        <v>0000804162</v>
      </c>
      <c r="D6668" t="str">
        <f t="shared" si="2722"/>
        <v>73185</v>
      </c>
      <c r="E6668" t="str">
        <f t="shared" si="2723"/>
        <v>KFH-OPERATIONS DEPARTMENT</v>
      </c>
      <c r="F6668" t="str">
        <f t="shared" si="2724"/>
        <v>IBG</v>
      </c>
      <c r="G6668" t="str">
        <f t="shared" ref="G6668:G6731" si="2735">"Refund COSHARE 10"</f>
        <v>Refund COSHARE 10</v>
      </c>
      <c r="H6668" s="2">
        <v>112.6</v>
      </c>
      <c r="I6668" t="str">
        <f>"HANISAH BINTI AHMAD"</f>
        <v>HANISAH BINTI AHMAD</v>
      </c>
      <c r="J6668" t="str">
        <f t="shared" si="2721"/>
        <v>CIMB BANK / CIMB ISLAMIC BANK</v>
      </c>
      <c r="K6668" t="str">
        <f>"12530078404527"</f>
        <v>12530078404527</v>
      </c>
      <c r="L6668" t="str">
        <f t="shared" si="2733"/>
        <v>04-08-2020</v>
      </c>
      <c r="M6668" t="str">
        <f t="shared" si="2733"/>
        <v>04-08-2020</v>
      </c>
      <c r="N6668" t="str">
        <f t="shared" si="2725"/>
        <v>001105018356</v>
      </c>
      <c r="O6668" t="str">
        <f t="shared" si="2726"/>
        <v>MYR</v>
      </c>
      <c r="P6668" t="str">
        <f t="shared" si="2734"/>
        <v>NIL</v>
      </c>
      <c r="Q6668" t="str">
        <f t="shared" si="2734"/>
        <v>NIL</v>
      </c>
      <c r="R6668" t="str">
        <f t="shared" si="2713"/>
        <v>Accepted</v>
      </c>
      <c r="S6668" t="str">
        <f t="shared" si="2727"/>
        <v>Approved</v>
      </c>
      <c r="T6668" t="str">
        <f t="shared" si="2714"/>
        <v>10.20.8.188</v>
      </c>
      <c r="U6668" t="str">
        <f t="shared" si="2728"/>
        <v>AZRAD UMAR BIN SHAARI</v>
      </c>
      <c r="V6668" t="str">
        <f t="shared" si="2729"/>
        <v>FARHANA BINTI MUSTAPA</v>
      </c>
      <c r="W6668" t="str">
        <f t="shared" si="2730"/>
        <v>04-08-2020</v>
      </c>
      <c r="X6668" t="str">
        <f t="shared" si="2731"/>
        <v>RAZIMAH ANSAR AHMAD</v>
      </c>
      <c r="Y6668" t="str">
        <f t="shared" si="2732"/>
        <v>04-08-2020</v>
      </c>
      <c r="Z6668" t="str">
        <f>"COS10200804 2486"</f>
        <v>COS10200804 2486</v>
      </c>
    </row>
    <row r="6669" spans="1:26" x14ac:dyDescent="0.25">
      <c r="A6669" t="str">
        <f t="shared" si="2719"/>
        <v>04-08-2020 12:37:56</v>
      </c>
      <c r="B6669" t="str">
        <f>"0000804247"</f>
        <v>0000804247</v>
      </c>
      <c r="C6669" t="str">
        <f t="shared" si="2720"/>
        <v>0000804162</v>
      </c>
      <c r="D6669" t="str">
        <f t="shared" si="2722"/>
        <v>73185</v>
      </c>
      <c r="E6669" t="str">
        <f t="shared" si="2723"/>
        <v>KFH-OPERATIONS DEPARTMENT</v>
      </c>
      <c r="F6669" t="str">
        <f t="shared" si="2724"/>
        <v>IBG</v>
      </c>
      <c r="G6669" t="str">
        <f t="shared" si="2735"/>
        <v>Refund COSHARE 10</v>
      </c>
      <c r="H6669" s="2">
        <v>94.85</v>
      </c>
      <c r="I6669" t="str">
        <f>"HANIFFA BINTI NARAWI"</f>
        <v>HANIFFA BINTI NARAWI</v>
      </c>
      <c r="J6669" t="str">
        <f t="shared" si="2721"/>
        <v>CIMB BANK / CIMB ISLAMIC BANK</v>
      </c>
      <c r="K6669" t="str">
        <f>"11040001195528"</f>
        <v>11040001195528</v>
      </c>
      <c r="L6669" t="str">
        <f t="shared" si="2733"/>
        <v>04-08-2020</v>
      </c>
      <c r="M6669" t="str">
        <f t="shared" si="2733"/>
        <v>04-08-2020</v>
      </c>
      <c r="N6669" t="str">
        <f t="shared" si="2725"/>
        <v>001105018356</v>
      </c>
      <c r="O6669" t="str">
        <f t="shared" si="2726"/>
        <v>MYR</v>
      </c>
      <c r="P6669" t="str">
        <f t="shared" si="2734"/>
        <v>NIL</v>
      </c>
      <c r="Q6669" t="str">
        <f t="shared" si="2734"/>
        <v>NIL</v>
      </c>
      <c r="R6669" t="str">
        <f t="shared" si="2713"/>
        <v>Accepted</v>
      </c>
      <c r="S6669" t="str">
        <f t="shared" si="2727"/>
        <v>Approved</v>
      </c>
      <c r="T6669" t="str">
        <f t="shared" si="2714"/>
        <v>10.20.8.188</v>
      </c>
      <c r="U6669" t="str">
        <f t="shared" si="2728"/>
        <v>AZRAD UMAR BIN SHAARI</v>
      </c>
      <c r="V6669" t="str">
        <f t="shared" si="2729"/>
        <v>FARHANA BINTI MUSTAPA</v>
      </c>
      <c r="W6669" t="str">
        <f t="shared" si="2730"/>
        <v>04-08-2020</v>
      </c>
      <c r="X6669" t="str">
        <f t="shared" si="2731"/>
        <v>RAZIMAH ANSAR AHMAD</v>
      </c>
      <c r="Y6669" t="str">
        <f t="shared" si="2732"/>
        <v>04-08-2020</v>
      </c>
      <c r="Z6669" t="str">
        <f>"COS10200804 2485"</f>
        <v>COS10200804 2485</v>
      </c>
    </row>
    <row r="6670" spans="1:26" x14ac:dyDescent="0.25">
      <c r="A6670" t="str">
        <f t="shared" si="2719"/>
        <v>04-08-2020 12:37:56</v>
      </c>
      <c r="B6670" t="str">
        <f>"0000804246"</f>
        <v>0000804246</v>
      </c>
      <c r="C6670" t="str">
        <f t="shared" si="2720"/>
        <v>0000804162</v>
      </c>
      <c r="D6670" t="str">
        <f t="shared" si="2722"/>
        <v>73185</v>
      </c>
      <c r="E6670" t="str">
        <f t="shared" si="2723"/>
        <v>KFH-OPERATIONS DEPARTMENT</v>
      </c>
      <c r="F6670" t="str">
        <f t="shared" si="2724"/>
        <v>IBG</v>
      </c>
      <c r="G6670" t="str">
        <f t="shared" si="2735"/>
        <v>Refund COSHARE 10</v>
      </c>
      <c r="H6670" s="2">
        <v>100.75</v>
      </c>
      <c r="I6670" t="str">
        <f>"HANIDAH BINTI MOHAMAD AMIN"</f>
        <v>HANIDAH BINTI MOHAMAD AMIN</v>
      </c>
      <c r="J6670" t="str">
        <f t="shared" si="2721"/>
        <v>CIMB BANK / CIMB ISLAMIC BANK</v>
      </c>
      <c r="K6670" t="str">
        <f>"11110000613209"</f>
        <v>11110000613209</v>
      </c>
      <c r="L6670" t="str">
        <f t="shared" si="2733"/>
        <v>04-08-2020</v>
      </c>
      <c r="M6670" t="str">
        <f t="shared" si="2733"/>
        <v>04-08-2020</v>
      </c>
      <c r="N6670" t="str">
        <f t="shared" si="2725"/>
        <v>001105018356</v>
      </c>
      <c r="O6670" t="str">
        <f t="shared" si="2726"/>
        <v>MYR</v>
      </c>
      <c r="P6670" t="str">
        <f t="shared" si="2734"/>
        <v>NIL</v>
      </c>
      <c r="Q6670" t="str">
        <f t="shared" si="2734"/>
        <v>NIL</v>
      </c>
      <c r="R6670" t="str">
        <f t="shared" si="2713"/>
        <v>Accepted</v>
      </c>
      <c r="S6670" t="str">
        <f t="shared" si="2727"/>
        <v>Approved</v>
      </c>
      <c r="T6670" t="str">
        <f t="shared" si="2714"/>
        <v>10.20.8.188</v>
      </c>
      <c r="U6670" t="str">
        <f t="shared" si="2728"/>
        <v>AZRAD UMAR BIN SHAARI</v>
      </c>
      <c r="V6670" t="str">
        <f t="shared" si="2729"/>
        <v>FARHANA BINTI MUSTAPA</v>
      </c>
      <c r="W6670" t="str">
        <f t="shared" si="2730"/>
        <v>04-08-2020</v>
      </c>
      <c r="X6670" t="str">
        <f t="shared" si="2731"/>
        <v>RAZIMAH ANSAR AHMAD</v>
      </c>
      <c r="Y6670" t="str">
        <f t="shared" si="2732"/>
        <v>04-08-2020</v>
      </c>
      <c r="Z6670" t="str">
        <f>"COS10200804 2484"</f>
        <v>COS10200804 2484</v>
      </c>
    </row>
    <row r="6671" spans="1:26" x14ac:dyDescent="0.25">
      <c r="A6671" t="str">
        <f t="shared" si="2719"/>
        <v>04-08-2020 12:37:56</v>
      </c>
      <c r="B6671" t="str">
        <f>"0000804245"</f>
        <v>0000804245</v>
      </c>
      <c r="C6671" t="str">
        <f t="shared" si="2720"/>
        <v>0000804162</v>
      </c>
      <c r="D6671" t="str">
        <f t="shared" si="2722"/>
        <v>73185</v>
      </c>
      <c r="E6671" t="str">
        <f t="shared" si="2723"/>
        <v>KFH-OPERATIONS DEPARTMENT</v>
      </c>
      <c r="F6671" t="str">
        <f t="shared" si="2724"/>
        <v>IBG</v>
      </c>
      <c r="G6671" t="str">
        <f t="shared" si="2735"/>
        <v>Refund COSHARE 10</v>
      </c>
      <c r="H6671" s="2">
        <v>184.7</v>
      </c>
      <c r="I6671" t="str">
        <f>"HANIDA BINTI MOHAMAD FAKHRUR RAZI"</f>
        <v>HANIDA BINTI MOHAMAD FAKHRUR RAZI</v>
      </c>
      <c r="J6671" t="str">
        <f t="shared" si="2721"/>
        <v>CIMB BANK / CIMB ISLAMIC BANK</v>
      </c>
      <c r="K6671" t="str">
        <f>"14630005348529"</f>
        <v>14630005348529</v>
      </c>
      <c r="L6671" t="str">
        <f t="shared" si="2733"/>
        <v>04-08-2020</v>
      </c>
      <c r="M6671" t="str">
        <f t="shared" si="2733"/>
        <v>04-08-2020</v>
      </c>
      <c r="N6671" t="str">
        <f t="shared" si="2725"/>
        <v>001105018356</v>
      </c>
      <c r="O6671" t="str">
        <f t="shared" si="2726"/>
        <v>MYR</v>
      </c>
      <c r="P6671" t="str">
        <f t="shared" si="2734"/>
        <v>NIL</v>
      </c>
      <c r="Q6671" t="str">
        <f t="shared" si="2734"/>
        <v>NIL</v>
      </c>
      <c r="R6671" t="str">
        <f t="shared" si="2713"/>
        <v>Accepted</v>
      </c>
      <c r="S6671" t="str">
        <f t="shared" si="2727"/>
        <v>Approved</v>
      </c>
      <c r="T6671" t="str">
        <f t="shared" si="2714"/>
        <v>10.20.8.188</v>
      </c>
      <c r="U6671" t="str">
        <f t="shared" si="2728"/>
        <v>AZRAD UMAR BIN SHAARI</v>
      </c>
      <c r="V6671" t="str">
        <f t="shared" si="2729"/>
        <v>FARHANA BINTI MUSTAPA</v>
      </c>
      <c r="W6671" t="str">
        <f t="shared" si="2730"/>
        <v>04-08-2020</v>
      </c>
      <c r="X6671" t="str">
        <f t="shared" si="2731"/>
        <v>RAZIMAH ANSAR AHMAD</v>
      </c>
      <c r="Y6671" t="str">
        <f t="shared" si="2732"/>
        <v>04-08-2020</v>
      </c>
      <c r="Z6671" t="str">
        <f>"COS10200804 2483"</f>
        <v>COS10200804 2483</v>
      </c>
    </row>
    <row r="6672" spans="1:26" x14ac:dyDescent="0.25">
      <c r="A6672" t="str">
        <f t="shared" si="2719"/>
        <v>04-08-2020 12:37:56</v>
      </c>
      <c r="B6672" t="str">
        <f>"0000804244"</f>
        <v>0000804244</v>
      </c>
      <c r="C6672" t="str">
        <f t="shared" si="2720"/>
        <v>0000804162</v>
      </c>
      <c r="D6672" t="str">
        <f t="shared" si="2722"/>
        <v>73185</v>
      </c>
      <c r="E6672" t="str">
        <f t="shared" si="2723"/>
        <v>KFH-OPERATIONS DEPARTMENT</v>
      </c>
      <c r="F6672" t="str">
        <f t="shared" si="2724"/>
        <v>IBG</v>
      </c>
      <c r="G6672" t="str">
        <f t="shared" si="2735"/>
        <v>Refund COSHARE 10</v>
      </c>
      <c r="H6672" s="2">
        <v>386.2</v>
      </c>
      <c r="I6672" t="str">
        <f>"HANAFIAH BIN MOHAMAD HALIL"</f>
        <v>HANAFIAH BIN MOHAMAD HALIL</v>
      </c>
      <c r="J6672" t="str">
        <f t="shared" si="2721"/>
        <v>CIMB BANK / CIMB ISLAMIC BANK</v>
      </c>
      <c r="K6672" t="str">
        <f>"04050070733526"</f>
        <v>04050070733526</v>
      </c>
      <c r="L6672" t="str">
        <f t="shared" si="2733"/>
        <v>04-08-2020</v>
      </c>
      <c r="M6672" t="str">
        <f t="shared" si="2733"/>
        <v>04-08-2020</v>
      </c>
      <c r="N6672" t="str">
        <f t="shared" si="2725"/>
        <v>001105018356</v>
      </c>
      <c r="O6672" t="str">
        <f t="shared" si="2726"/>
        <v>MYR</v>
      </c>
      <c r="P6672" t="str">
        <f t="shared" si="2734"/>
        <v>NIL</v>
      </c>
      <c r="Q6672" t="str">
        <f t="shared" si="2734"/>
        <v>NIL</v>
      </c>
      <c r="R6672" t="str">
        <f t="shared" si="2713"/>
        <v>Accepted</v>
      </c>
      <c r="S6672" t="str">
        <f t="shared" si="2727"/>
        <v>Approved</v>
      </c>
      <c r="T6672" t="str">
        <f t="shared" si="2714"/>
        <v>10.20.8.188</v>
      </c>
      <c r="U6672" t="str">
        <f t="shared" si="2728"/>
        <v>AZRAD UMAR BIN SHAARI</v>
      </c>
      <c r="V6672" t="str">
        <f t="shared" si="2729"/>
        <v>FARHANA BINTI MUSTAPA</v>
      </c>
      <c r="W6672" t="str">
        <f t="shared" si="2730"/>
        <v>04-08-2020</v>
      </c>
      <c r="X6672" t="str">
        <f t="shared" si="2731"/>
        <v>RAZIMAH ANSAR AHMAD</v>
      </c>
      <c r="Y6672" t="str">
        <f t="shared" si="2732"/>
        <v>04-08-2020</v>
      </c>
      <c r="Z6672" t="str">
        <f>"COS10200804 2482"</f>
        <v>COS10200804 2482</v>
      </c>
    </row>
    <row r="6673" spans="1:26" x14ac:dyDescent="0.25">
      <c r="A6673" t="str">
        <f t="shared" si="2719"/>
        <v>04-08-2020 12:37:56</v>
      </c>
      <c r="B6673" t="str">
        <f>"0000804243"</f>
        <v>0000804243</v>
      </c>
      <c r="C6673" t="str">
        <f t="shared" si="2720"/>
        <v>0000804162</v>
      </c>
      <c r="D6673" t="str">
        <f t="shared" si="2722"/>
        <v>73185</v>
      </c>
      <c r="E6673" t="str">
        <f t="shared" si="2723"/>
        <v>KFH-OPERATIONS DEPARTMENT</v>
      </c>
      <c r="F6673" t="str">
        <f t="shared" si="2724"/>
        <v>IBG</v>
      </c>
      <c r="G6673" t="str">
        <f t="shared" si="2735"/>
        <v>Refund COSHARE 10</v>
      </c>
      <c r="H6673" s="2">
        <v>411.35</v>
      </c>
      <c r="I6673" t="str">
        <f>"HANA BINTI ABDUL RAZAK"</f>
        <v>HANA BINTI ABDUL RAZAK</v>
      </c>
      <c r="J6673" t="str">
        <f t="shared" si="2721"/>
        <v>CIMB BANK / CIMB ISLAMIC BANK</v>
      </c>
      <c r="K6673" t="str">
        <f>"06100054484529"</f>
        <v>06100054484529</v>
      </c>
      <c r="L6673" t="str">
        <f t="shared" si="2733"/>
        <v>04-08-2020</v>
      </c>
      <c r="M6673" t="str">
        <f t="shared" si="2733"/>
        <v>04-08-2020</v>
      </c>
      <c r="N6673" t="str">
        <f t="shared" si="2725"/>
        <v>001105018356</v>
      </c>
      <c r="O6673" t="str">
        <f t="shared" si="2726"/>
        <v>MYR</v>
      </c>
      <c r="P6673" t="str">
        <f t="shared" si="2734"/>
        <v>NIL</v>
      </c>
      <c r="Q6673" t="str">
        <f t="shared" si="2734"/>
        <v>NIL</v>
      </c>
      <c r="R6673" t="str">
        <f t="shared" si="2713"/>
        <v>Accepted</v>
      </c>
      <c r="S6673" t="str">
        <f t="shared" si="2727"/>
        <v>Approved</v>
      </c>
      <c r="T6673" t="str">
        <f t="shared" si="2714"/>
        <v>10.20.8.188</v>
      </c>
      <c r="U6673" t="str">
        <f t="shared" si="2728"/>
        <v>AZRAD UMAR BIN SHAARI</v>
      </c>
      <c r="V6673" t="str">
        <f t="shared" si="2729"/>
        <v>FARHANA BINTI MUSTAPA</v>
      </c>
      <c r="W6673" t="str">
        <f t="shared" si="2730"/>
        <v>04-08-2020</v>
      </c>
      <c r="X6673" t="str">
        <f t="shared" si="2731"/>
        <v>RAZIMAH ANSAR AHMAD</v>
      </c>
      <c r="Y6673" t="str">
        <f t="shared" si="2732"/>
        <v>04-08-2020</v>
      </c>
      <c r="Z6673" t="str">
        <f>"COS10200804 2481"</f>
        <v>COS10200804 2481</v>
      </c>
    </row>
    <row r="6674" spans="1:26" x14ac:dyDescent="0.25">
      <c r="A6674" t="str">
        <f t="shared" si="2719"/>
        <v>04-08-2020 12:37:56</v>
      </c>
      <c r="B6674" t="str">
        <f>"0000804242"</f>
        <v>0000804242</v>
      </c>
      <c r="C6674" t="str">
        <f t="shared" si="2720"/>
        <v>0000804162</v>
      </c>
      <c r="D6674" t="str">
        <f t="shared" si="2722"/>
        <v>73185</v>
      </c>
      <c r="E6674" t="str">
        <f t="shared" si="2723"/>
        <v>KFH-OPERATIONS DEPARTMENT</v>
      </c>
      <c r="F6674" t="str">
        <f t="shared" si="2724"/>
        <v>IBG</v>
      </c>
      <c r="G6674" t="str">
        <f t="shared" si="2735"/>
        <v>Refund COSHARE 10</v>
      </c>
      <c r="H6674" s="2">
        <v>759.45</v>
      </c>
      <c r="I6674" t="str">
        <f>"HAMIMAH BT LAMBAHID  HASSAN"</f>
        <v>HAMIMAH BT LAMBAHID  HASSAN</v>
      </c>
      <c r="J6674" t="str">
        <f t="shared" si="2721"/>
        <v>CIMB BANK / CIMB ISLAMIC BANK</v>
      </c>
      <c r="K6674" t="str">
        <f>"7038045498"</f>
        <v>7038045498</v>
      </c>
      <c r="L6674" t="str">
        <f t="shared" si="2733"/>
        <v>04-08-2020</v>
      </c>
      <c r="M6674" t="str">
        <f t="shared" si="2733"/>
        <v>04-08-2020</v>
      </c>
      <c r="N6674" t="str">
        <f t="shared" si="2725"/>
        <v>001105018356</v>
      </c>
      <c r="O6674" t="str">
        <f t="shared" si="2726"/>
        <v>MYR</v>
      </c>
      <c r="P6674" t="str">
        <f t="shared" si="2734"/>
        <v>NIL</v>
      </c>
      <c r="Q6674" t="str">
        <f t="shared" si="2734"/>
        <v>NIL</v>
      </c>
      <c r="R6674" t="str">
        <f t="shared" si="2713"/>
        <v>Accepted</v>
      </c>
      <c r="S6674" t="str">
        <f t="shared" si="2727"/>
        <v>Approved</v>
      </c>
      <c r="T6674" t="str">
        <f t="shared" si="2714"/>
        <v>10.20.8.188</v>
      </c>
      <c r="U6674" t="str">
        <f t="shared" si="2728"/>
        <v>AZRAD UMAR BIN SHAARI</v>
      </c>
      <c r="V6674" t="str">
        <f t="shared" si="2729"/>
        <v>FARHANA BINTI MUSTAPA</v>
      </c>
      <c r="W6674" t="str">
        <f t="shared" si="2730"/>
        <v>04-08-2020</v>
      </c>
      <c r="X6674" t="str">
        <f t="shared" si="2731"/>
        <v>RAZIMAH ANSAR AHMAD</v>
      </c>
      <c r="Y6674" t="str">
        <f t="shared" si="2732"/>
        <v>04-08-2020</v>
      </c>
      <c r="Z6674" t="str">
        <f>"COS10200804 2480"</f>
        <v>COS10200804 2480</v>
      </c>
    </row>
    <row r="6675" spans="1:26" x14ac:dyDescent="0.25">
      <c r="A6675" t="str">
        <f t="shared" si="2719"/>
        <v>04-08-2020 12:37:56</v>
      </c>
      <c r="B6675" t="str">
        <f>"0000804241"</f>
        <v>0000804241</v>
      </c>
      <c r="C6675" t="str">
        <f t="shared" si="2720"/>
        <v>0000804162</v>
      </c>
      <c r="D6675" t="str">
        <f t="shared" si="2722"/>
        <v>73185</v>
      </c>
      <c r="E6675" t="str">
        <f t="shared" si="2723"/>
        <v>KFH-OPERATIONS DEPARTMENT</v>
      </c>
      <c r="F6675" t="str">
        <f t="shared" si="2724"/>
        <v>IBG</v>
      </c>
      <c r="G6675" t="str">
        <f t="shared" si="2735"/>
        <v>Refund COSHARE 10</v>
      </c>
      <c r="H6675" s="2">
        <v>1992.9</v>
      </c>
      <c r="I6675" t="str">
        <f>"HAMIDI BIN HASSAN"</f>
        <v>HAMIDI BIN HASSAN</v>
      </c>
      <c r="J6675" t="str">
        <f t="shared" si="2721"/>
        <v>CIMB BANK / CIMB ISLAMIC BANK</v>
      </c>
      <c r="K6675" t="str">
        <f>"14230068344522"</f>
        <v>14230068344522</v>
      </c>
      <c r="L6675" t="str">
        <f t="shared" si="2733"/>
        <v>04-08-2020</v>
      </c>
      <c r="M6675" t="str">
        <f t="shared" si="2733"/>
        <v>04-08-2020</v>
      </c>
      <c r="N6675" t="str">
        <f t="shared" si="2725"/>
        <v>001105018356</v>
      </c>
      <c r="O6675" t="str">
        <f t="shared" si="2726"/>
        <v>MYR</v>
      </c>
      <c r="P6675" t="str">
        <f t="shared" si="2734"/>
        <v>NIL</v>
      </c>
      <c r="Q6675" t="str">
        <f t="shared" si="2734"/>
        <v>NIL</v>
      </c>
      <c r="R6675" t="str">
        <f t="shared" si="2713"/>
        <v>Accepted</v>
      </c>
      <c r="S6675" t="str">
        <f t="shared" si="2727"/>
        <v>Approved</v>
      </c>
      <c r="T6675" t="str">
        <f t="shared" si="2714"/>
        <v>10.20.8.188</v>
      </c>
      <c r="U6675" t="str">
        <f t="shared" si="2728"/>
        <v>AZRAD UMAR BIN SHAARI</v>
      </c>
      <c r="V6675" t="str">
        <f t="shared" si="2729"/>
        <v>FARHANA BINTI MUSTAPA</v>
      </c>
      <c r="W6675" t="str">
        <f t="shared" si="2730"/>
        <v>04-08-2020</v>
      </c>
      <c r="X6675" t="str">
        <f t="shared" si="2731"/>
        <v>RAZIMAH ANSAR AHMAD</v>
      </c>
      <c r="Y6675" t="str">
        <f t="shared" si="2732"/>
        <v>04-08-2020</v>
      </c>
      <c r="Z6675" t="str">
        <f>"COS10200804 2479"</f>
        <v>COS10200804 2479</v>
      </c>
    </row>
    <row r="6676" spans="1:26" x14ac:dyDescent="0.25">
      <c r="A6676" t="str">
        <f t="shared" si="2719"/>
        <v>04-08-2020 12:37:56</v>
      </c>
      <c r="B6676" t="str">
        <f>"0000804240"</f>
        <v>0000804240</v>
      </c>
      <c r="C6676" t="str">
        <f t="shared" si="2720"/>
        <v>0000804162</v>
      </c>
      <c r="D6676" t="str">
        <f t="shared" si="2722"/>
        <v>73185</v>
      </c>
      <c r="E6676" t="str">
        <f t="shared" si="2723"/>
        <v>KFH-OPERATIONS DEPARTMENT</v>
      </c>
      <c r="F6676" t="str">
        <f t="shared" si="2724"/>
        <v>IBG</v>
      </c>
      <c r="G6676" t="str">
        <f t="shared" si="2735"/>
        <v>Refund COSHARE 10</v>
      </c>
      <c r="H6676" s="2">
        <v>142.75</v>
      </c>
      <c r="I6676" t="str">
        <f>"HAMIDAH BINTI MAMAT"</f>
        <v>HAMIDAH BINTI MAMAT</v>
      </c>
      <c r="J6676" t="str">
        <f t="shared" si="2721"/>
        <v>CIMB BANK / CIMB ISLAMIC BANK</v>
      </c>
      <c r="K6676" t="str">
        <f>"01180016881524"</f>
        <v>01180016881524</v>
      </c>
      <c r="L6676" t="str">
        <f t="shared" si="2733"/>
        <v>04-08-2020</v>
      </c>
      <c r="M6676" t="str">
        <f t="shared" si="2733"/>
        <v>04-08-2020</v>
      </c>
      <c r="N6676" t="str">
        <f t="shared" si="2725"/>
        <v>001105018356</v>
      </c>
      <c r="O6676" t="str">
        <f t="shared" si="2726"/>
        <v>MYR</v>
      </c>
      <c r="P6676" t="str">
        <f t="shared" si="2734"/>
        <v>NIL</v>
      </c>
      <c r="Q6676" t="str">
        <f t="shared" si="2734"/>
        <v>NIL</v>
      </c>
      <c r="R6676" t="str">
        <f t="shared" si="2713"/>
        <v>Accepted</v>
      </c>
      <c r="S6676" t="str">
        <f t="shared" si="2727"/>
        <v>Approved</v>
      </c>
      <c r="T6676" t="str">
        <f t="shared" si="2714"/>
        <v>10.20.8.188</v>
      </c>
      <c r="U6676" t="str">
        <f t="shared" si="2728"/>
        <v>AZRAD UMAR BIN SHAARI</v>
      </c>
      <c r="V6676" t="str">
        <f t="shared" si="2729"/>
        <v>FARHANA BINTI MUSTAPA</v>
      </c>
      <c r="W6676" t="str">
        <f t="shared" si="2730"/>
        <v>04-08-2020</v>
      </c>
      <c r="X6676" t="str">
        <f t="shared" si="2731"/>
        <v>RAZIMAH ANSAR AHMAD</v>
      </c>
      <c r="Y6676" t="str">
        <f t="shared" si="2732"/>
        <v>04-08-2020</v>
      </c>
      <c r="Z6676" t="str">
        <f>"COS10200804 2478"</f>
        <v>COS10200804 2478</v>
      </c>
    </row>
    <row r="6677" spans="1:26" x14ac:dyDescent="0.25">
      <c r="A6677" t="str">
        <f t="shared" si="2719"/>
        <v>04-08-2020 12:37:56</v>
      </c>
      <c r="B6677" t="str">
        <f>"0000804239"</f>
        <v>0000804239</v>
      </c>
      <c r="C6677" t="str">
        <f t="shared" si="2720"/>
        <v>0000804162</v>
      </c>
      <c r="D6677" t="str">
        <f t="shared" si="2722"/>
        <v>73185</v>
      </c>
      <c r="E6677" t="str">
        <f t="shared" si="2723"/>
        <v>KFH-OPERATIONS DEPARTMENT</v>
      </c>
      <c r="F6677" t="str">
        <f t="shared" si="2724"/>
        <v>IBG</v>
      </c>
      <c r="G6677" t="str">
        <f t="shared" si="2735"/>
        <v>Refund COSHARE 10</v>
      </c>
      <c r="H6677" s="2">
        <v>1217.3</v>
      </c>
      <c r="I6677" t="str">
        <f>"HAMID ANUAR BIN AMIRULLAH"</f>
        <v>HAMID ANUAR BIN AMIRULLAH</v>
      </c>
      <c r="J6677" t="str">
        <f t="shared" si="2721"/>
        <v>CIMB BANK / CIMB ISLAMIC BANK</v>
      </c>
      <c r="K6677" t="str">
        <f>"10070018824522"</f>
        <v>10070018824522</v>
      </c>
      <c r="L6677" t="str">
        <f t="shared" si="2733"/>
        <v>04-08-2020</v>
      </c>
      <c r="M6677" t="str">
        <f t="shared" si="2733"/>
        <v>04-08-2020</v>
      </c>
      <c r="N6677" t="str">
        <f t="shared" si="2725"/>
        <v>001105018356</v>
      </c>
      <c r="O6677" t="str">
        <f t="shared" si="2726"/>
        <v>MYR</v>
      </c>
      <c r="P6677" t="str">
        <f t="shared" si="2734"/>
        <v>NIL</v>
      </c>
      <c r="Q6677" t="str">
        <f t="shared" si="2734"/>
        <v>NIL</v>
      </c>
      <c r="R6677" t="str">
        <f t="shared" si="2713"/>
        <v>Accepted</v>
      </c>
      <c r="S6677" t="str">
        <f t="shared" si="2727"/>
        <v>Approved</v>
      </c>
      <c r="T6677" t="str">
        <f t="shared" si="2714"/>
        <v>10.20.8.188</v>
      </c>
      <c r="U6677" t="str">
        <f t="shared" si="2728"/>
        <v>AZRAD UMAR BIN SHAARI</v>
      </c>
      <c r="V6677" t="str">
        <f t="shared" si="2729"/>
        <v>FARHANA BINTI MUSTAPA</v>
      </c>
      <c r="W6677" t="str">
        <f t="shared" si="2730"/>
        <v>04-08-2020</v>
      </c>
      <c r="X6677" t="str">
        <f t="shared" si="2731"/>
        <v>RAZIMAH ANSAR AHMAD</v>
      </c>
      <c r="Y6677" t="str">
        <f t="shared" si="2732"/>
        <v>04-08-2020</v>
      </c>
      <c r="Z6677" t="str">
        <f>"COS10200804 2477"</f>
        <v>COS10200804 2477</v>
      </c>
    </row>
    <row r="6678" spans="1:26" x14ac:dyDescent="0.25">
      <c r="A6678" t="str">
        <f t="shared" si="2719"/>
        <v>04-08-2020 12:37:56</v>
      </c>
      <c r="B6678" t="str">
        <f>"0000804238"</f>
        <v>0000804238</v>
      </c>
      <c r="C6678" t="str">
        <f t="shared" si="2720"/>
        <v>0000804162</v>
      </c>
      <c r="D6678" t="str">
        <f t="shared" si="2722"/>
        <v>73185</v>
      </c>
      <c r="E6678" t="str">
        <f t="shared" si="2723"/>
        <v>KFH-OPERATIONS DEPARTMENT</v>
      </c>
      <c r="F6678" t="str">
        <f t="shared" si="2724"/>
        <v>IBG</v>
      </c>
      <c r="G6678" t="str">
        <f t="shared" si="2735"/>
        <v>Refund COSHARE 10</v>
      </c>
      <c r="H6678" s="2">
        <v>869.25</v>
      </c>
      <c r="I6678" t="str">
        <f>"HAMDAN BIN MOHAMMAD JAMIL"</f>
        <v>HAMDAN BIN MOHAMMAD JAMIL</v>
      </c>
      <c r="J6678" t="str">
        <f t="shared" si="2721"/>
        <v>CIMB BANK / CIMB ISLAMIC BANK</v>
      </c>
      <c r="K6678" t="str">
        <f>"7606237672"</f>
        <v>7606237672</v>
      </c>
      <c r="L6678" t="str">
        <f t="shared" si="2733"/>
        <v>04-08-2020</v>
      </c>
      <c r="M6678" t="str">
        <f t="shared" si="2733"/>
        <v>04-08-2020</v>
      </c>
      <c r="N6678" t="str">
        <f t="shared" si="2725"/>
        <v>001105018356</v>
      </c>
      <c r="O6678" t="str">
        <f t="shared" si="2726"/>
        <v>MYR</v>
      </c>
      <c r="P6678" t="str">
        <f t="shared" si="2734"/>
        <v>NIL</v>
      </c>
      <c r="Q6678" t="str">
        <f t="shared" si="2734"/>
        <v>NIL</v>
      </c>
      <c r="R6678" t="str">
        <f t="shared" si="2713"/>
        <v>Accepted</v>
      </c>
      <c r="S6678" t="str">
        <f t="shared" si="2727"/>
        <v>Approved</v>
      </c>
      <c r="T6678" t="str">
        <f t="shared" si="2714"/>
        <v>10.20.8.188</v>
      </c>
      <c r="U6678" t="str">
        <f t="shared" si="2728"/>
        <v>AZRAD UMAR BIN SHAARI</v>
      </c>
      <c r="V6678" t="str">
        <f t="shared" si="2729"/>
        <v>FARHANA BINTI MUSTAPA</v>
      </c>
      <c r="W6678" t="str">
        <f t="shared" si="2730"/>
        <v>04-08-2020</v>
      </c>
      <c r="X6678" t="str">
        <f t="shared" si="2731"/>
        <v>RAZIMAH ANSAR AHMAD</v>
      </c>
      <c r="Y6678" t="str">
        <f t="shared" si="2732"/>
        <v>04-08-2020</v>
      </c>
      <c r="Z6678" t="str">
        <f>"COS10200804 2476"</f>
        <v>COS10200804 2476</v>
      </c>
    </row>
    <row r="6679" spans="1:26" x14ac:dyDescent="0.25">
      <c r="A6679" t="str">
        <f t="shared" si="2719"/>
        <v>04-08-2020 12:37:56</v>
      </c>
      <c r="B6679" t="str">
        <f>"0000804237"</f>
        <v>0000804237</v>
      </c>
      <c r="C6679" t="str">
        <f t="shared" si="2720"/>
        <v>0000804162</v>
      </c>
      <c r="D6679" t="str">
        <f t="shared" si="2722"/>
        <v>73185</v>
      </c>
      <c r="E6679" t="str">
        <f t="shared" si="2723"/>
        <v>KFH-OPERATIONS DEPARTMENT</v>
      </c>
      <c r="F6679" t="str">
        <f t="shared" si="2724"/>
        <v>IBG</v>
      </c>
      <c r="G6679" t="str">
        <f t="shared" si="2735"/>
        <v>Refund COSHARE 10</v>
      </c>
      <c r="H6679" s="2">
        <v>64.25</v>
      </c>
      <c r="I6679" t="str">
        <f>"HAMDAN BIN MIS"</f>
        <v>HAMDAN BIN MIS</v>
      </c>
      <c r="J6679" t="str">
        <f t="shared" si="2721"/>
        <v>CIMB BANK / CIMB ISLAMIC BANK</v>
      </c>
      <c r="K6679" t="str">
        <f>"04030063954525"</f>
        <v>04030063954525</v>
      </c>
      <c r="L6679" t="str">
        <f t="shared" si="2733"/>
        <v>04-08-2020</v>
      </c>
      <c r="M6679" t="str">
        <f t="shared" si="2733"/>
        <v>04-08-2020</v>
      </c>
      <c r="N6679" t="str">
        <f t="shared" si="2725"/>
        <v>001105018356</v>
      </c>
      <c r="O6679" t="str">
        <f t="shared" si="2726"/>
        <v>MYR</v>
      </c>
      <c r="P6679" t="str">
        <f t="shared" si="2734"/>
        <v>NIL</v>
      </c>
      <c r="Q6679" t="str">
        <f t="shared" si="2734"/>
        <v>NIL</v>
      </c>
      <c r="R6679" t="str">
        <f t="shared" si="2713"/>
        <v>Accepted</v>
      </c>
      <c r="S6679" t="str">
        <f t="shared" si="2727"/>
        <v>Approved</v>
      </c>
      <c r="T6679" t="str">
        <f t="shared" si="2714"/>
        <v>10.20.8.188</v>
      </c>
      <c r="U6679" t="str">
        <f t="shared" si="2728"/>
        <v>AZRAD UMAR BIN SHAARI</v>
      </c>
      <c r="V6679" t="str">
        <f t="shared" si="2729"/>
        <v>FARHANA BINTI MUSTAPA</v>
      </c>
      <c r="W6679" t="str">
        <f t="shared" si="2730"/>
        <v>04-08-2020</v>
      </c>
      <c r="X6679" t="str">
        <f t="shared" si="2731"/>
        <v>RAZIMAH ANSAR AHMAD</v>
      </c>
      <c r="Y6679" t="str">
        <f t="shared" si="2732"/>
        <v>04-08-2020</v>
      </c>
      <c r="Z6679" t="str">
        <f>"COS10200804 2475"</f>
        <v>COS10200804 2475</v>
      </c>
    </row>
    <row r="6680" spans="1:26" x14ac:dyDescent="0.25">
      <c r="A6680" t="str">
        <f t="shared" si="2719"/>
        <v>04-08-2020 12:37:56</v>
      </c>
      <c r="B6680" t="str">
        <f>"0000804236"</f>
        <v>0000804236</v>
      </c>
      <c r="C6680" t="str">
        <f t="shared" si="2720"/>
        <v>0000804162</v>
      </c>
      <c r="D6680" t="str">
        <f t="shared" si="2722"/>
        <v>73185</v>
      </c>
      <c r="E6680" t="str">
        <f t="shared" si="2723"/>
        <v>KFH-OPERATIONS DEPARTMENT</v>
      </c>
      <c r="F6680" t="str">
        <f t="shared" si="2724"/>
        <v>IBG</v>
      </c>
      <c r="G6680" t="str">
        <f t="shared" si="2735"/>
        <v>Refund COSHARE 10</v>
      </c>
      <c r="H6680" s="2">
        <v>646.45000000000005</v>
      </c>
      <c r="I6680" t="str">
        <f>"HALIZAH BINTI MOHD KAHAR"</f>
        <v>HALIZAH BINTI MOHD KAHAR</v>
      </c>
      <c r="J6680" t="str">
        <f t="shared" si="2721"/>
        <v>CIMB BANK / CIMB ISLAMIC BANK</v>
      </c>
      <c r="K6680" t="str">
        <f>"12260069120525"</f>
        <v>12260069120525</v>
      </c>
      <c r="L6680" t="str">
        <f t="shared" si="2733"/>
        <v>04-08-2020</v>
      </c>
      <c r="M6680" t="str">
        <f t="shared" si="2733"/>
        <v>04-08-2020</v>
      </c>
      <c r="N6680" t="str">
        <f t="shared" si="2725"/>
        <v>001105018356</v>
      </c>
      <c r="O6680" t="str">
        <f t="shared" si="2726"/>
        <v>MYR</v>
      </c>
      <c r="P6680" t="str">
        <f t="shared" si="2734"/>
        <v>NIL</v>
      </c>
      <c r="Q6680" t="str">
        <f t="shared" si="2734"/>
        <v>NIL</v>
      </c>
      <c r="R6680" t="str">
        <f t="shared" si="2713"/>
        <v>Accepted</v>
      </c>
      <c r="S6680" t="str">
        <f t="shared" si="2727"/>
        <v>Approved</v>
      </c>
      <c r="T6680" t="str">
        <f t="shared" si="2714"/>
        <v>10.20.8.188</v>
      </c>
      <c r="U6680" t="str">
        <f t="shared" si="2728"/>
        <v>AZRAD UMAR BIN SHAARI</v>
      </c>
      <c r="V6680" t="str">
        <f t="shared" si="2729"/>
        <v>FARHANA BINTI MUSTAPA</v>
      </c>
      <c r="W6680" t="str">
        <f t="shared" si="2730"/>
        <v>04-08-2020</v>
      </c>
      <c r="X6680" t="str">
        <f t="shared" si="2731"/>
        <v>RAZIMAH ANSAR AHMAD</v>
      </c>
      <c r="Y6680" t="str">
        <f t="shared" si="2732"/>
        <v>04-08-2020</v>
      </c>
      <c r="Z6680" t="str">
        <f>"COS10200804 2474"</f>
        <v>COS10200804 2474</v>
      </c>
    </row>
    <row r="6681" spans="1:26" x14ac:dyDescent="0.25">
      <c r="A6681" t="str">
        <f t="shared" si="2719"/>
        <v>04-08-2020 12:37:56</v>
      </c>
      <c r="B6681" t="str">
        <f>"0000804235"</f>
        <v>0000804235</v>
      </c>
      <c r="C6681" t="str">
        <f t="shared" si="2720"/>
        <v>0000804162</v>
      </c>
      <c r="D6681" t="str">
        <f t="shared" si="2722"/>
        <v>73185</v>
      </c>
      <c r="E6681" t="str">
        <f t="shared" si="2723"/>
        <v>KFH-OPERATIONS DEPARTMENT</v>
      </c>
      <c r="F6681" t="str">
        <f t="shared" si="2724"/>
        <v>IBG</v>
      </c>
      <c r="G6681" t="str">
        <f t="shared" si="2735"/>
        <v>Refund COSHARE 10</v>
      </c>
      <c r="H6681" s="2">
        <v>419.75</v>
      </c>
      <c r="I6681" t="str">
        <f>"HALIZAH BINTI MOHD DUN"</f>
        <v>HALIZAH BINTI MOHD DUN</v>
      </c>
      <c r="J6681" t="str">
        <f t="shared" si="2721"/>
        <v>CIMB BANK / CIMB ISLAMIC BANK</v>
      </c>
      <c r="K6681" t="str">
        <f>"7009402140"</f>
        <v>7009402140</v>
      </c>
      <c r="L6681" t="str">
        <f t="shared" si="2733"/>
        <v>04-08-2020</v>
      </c>
      <c r="M6681" t="str">
        <f t="shared" si="2733"/>
        <v>04-08-2020</v>
      </c>
      <c r="N6681" t="str">
        <f t="shared" si="2725"/>
        <v>001105018356</v>
      </c>
      <c r="O6681" t="str">
        <f t="shared" si="2726"/>
        <v>MYR</v>
      </c>
      <c r="P6681" t="str">
        <f t="shared" si="2734"/>
        <v>NIL</v>
      </c>
      <c r="Q6681" t="str">
        <f t="shared" si="2734"/>
        <v>NIL</v>
      </c>
      <c r="R6681" t="str">
        <f t="shared" si="2713"/>
        <v>Accepted</v>
      </c>
      <c r="S6681" t="str">
        <f t="shared" si="2727"/>
        <v>Approved</v>
      </c>
      <c r="T6681" t="str">
        <f t="shared" si="2714"/>
        <v>10.20.8.188</v>
      </c>
      <c r="U6681" t="str">
        <f t="shared" si="2728"/>
        <v>AZRAD UMAR BIN SHAARI</v>
      </c>
      <c r="V6681" t="str">
        <f t="shared" si="2729"/>
        <v>FARHANA BINTI MUSTAPA</v>
      </c>
      <c r="W6681" t="str">
        <f t="shared" si="2730"/>
        <v>04-08-2020</v>
      </c>
      <c r="X6681" t="str">
        <f t="shared" si="2731"/>
        <v>RAZIMAH ANSAR AHMAD</v>
      </c>
      <c r="Y6681" t="str">
        <f t="shared" si="2732"/>
        <v>04-08-2020</v>
      </c>
      <c r="Z6681" t="str">
        <f>"COS10200804 2473"</f>
        <v>COS10200804 2473</v>
      </c>
    </row>
    <row r="6682" spans="1:26" x14ac:dyDescent="0.25">
      <c r="A6682" t="str">
        <f t="shared" ref="A6682:A6713" si="2736">"04-08-2020 12:37:56"</f>
        <v>04-08-2020 12:37:56</v>
      </c>
      <c r="B6682" t="str">
        <f>"0000804234"</f>
        <v>0000804234</v>
      </c>
      <c r="C6682" t="str">
        <f t="shared" ref="C6682:C6713" si="2737">"0000804162"</f>
        <v>0000804162</v>
      </c>
      <c r="D6682" t="str">
        <f t="shared" si="2722"/>
        <v>73185</v>
      </c>
      <c r="E6682" t="str">
        <f t="shared" si="2723"/>
        <v>KFH-OPERATIONS DEPARTMENT</v>
      </c>
      <c r="F6682" t="str">
        <f t="shared" si="2724"/>
        <v>IBG</v>
      </c>
      <c r="G6682" t="str">
        <f t="shared" si="2735"/>
        <v>Refund COSHARE 10</v>
      </c>
      <c r="H6682" s="2">
        <v>164.05</v>
      </c>
      <c r="I6682" t="str">
        <f>"HALIZA BINTI ABU  MUSA"</f>
        <v>HALIZA BINTI ABU  MUSA</v>
      </c>
      <c r="J6682" t="str">
        <f t="shared" si="2721"/>
        <v>CIMB BANK / CIMB ISLAMIC BANK</v>
      </c>
      <c r="K6682" t="str">
        <f>"14230008457525"</f>
        <v>14230008457525</v>
      </c>
      <c r="L6682" t="str">
        <f t="shared" si="2733"/>
        <v>04-08-2020</v>
      </c>
      <c r="M6682" t="str">
        <f t="shared" si="2733"/>
        <v>04-08-2020</v>
      </c>
      <c r="N6682" t="str">
        <f t="shared" si="2725"/>
        <v>001105018356</v>
      </c>
      <c r="O6682" t="str">
        <f t="shared" si="2726"/>
        <v>MYR</v>
      </c>
      <c r="P6682" t="str">
        <f t="shared" si="2734"/>
        <v>NIL</v>
      </c>
      <c r="Q6682" t="str">
        <f t="shared" si="2734"/>
        <v>NIL</v>
      </c>
      <c r="R6682" t="str">
        <f t="shared" si="2713"/>
        <v>Accepted</v>
      </c>
      <c r="S6682" t="str">
        <f t="shared" si="2727"/>
        <v>Approved</v>
      </c>
      <c r="T6682" t="str">
        <f t="shared" si="2714"/>
        <v>10.20.8.188</v>
      </c>
      <c r="U6682" t="str">
        <f t="shared" si="2728"/>
        <v>AZRAD UMAR BIN SHAARI</v>
      </c>
      <c r="V6682" t="str">
        <f t="shared" si="2729"/>
        <v>FARHANA BINTI MUSTAPA</v>
      </c>
      <c r="W6682" t="str">
        <f t="shared" si="2730"/>
        <v>04-08-2020</v>
      </c>
      <c r="X6682" t="str">
        <f t="shared" si="2731"/>
        <v>RAZIMAH ANSAR AHMAD</v>
      </c>
      <c r="Y6682" t="str">
        <f t="shared" si="2732"/>
        <v>04-08-2020</v>
      </c>
      <c r="Z6682" t="str">
        <f>"COS10200804 2472"</f>
        <v>COS10200804 2472</v>
      </c>
    </row>
    <row r="6683" spans="1:26" x14ac:dyDescent="0.25">
      <c r="A6683" t="str">
        <f t="shared" si="2736"/>
        <v>04-08-2020 12:37:56</v>
      </c>
      <c r="B6683" t="str">
        <f>"0000804233"</f>
        <v>0000804233</v>
      </c>
      <c r="C6683" t="str">
        <f t="shared" si="2737"/>
        <v>0000804162</v>
      </c>
      <c r="D6683" t="str">
        <f t="shared" si="2722"/>
        <v>73185</v>
      </c>
      <c r="E6683" t="str">
        <f t="shared" si="2723"/>
        <v>KFH-OPERATIONS DEPARTMENT</v>
      </c>
      <c r="F6683" t="str">
        <f t="shared" si="2724"/>
        <v>IBG</v>
      </c>
      <c r="G6683" t="str">
        <f t="shared" si="2735"/>
        <v>Refund COSHARE 10</v>
      </c>
      <c r="H6683" s="2">
        <v>736</v>
      </c>
      <c r="I6683" t="str">
        <f>"HALFIZAN BIN MOHD NOH"</f>
        <v>HALFIZAN BIN MOHD NOH</v>
      </c>
      <c r="J6683" t="str">
        <f t="shared" si="2721"/>
        <v>CIMB BANK / CIMB ISLAMIC BANK</v>
      </c>
      <c r="K6683" t="str">
        <f>"7609112808"</f>
        <v>7609112808</v>
      </c>
      <c r="L6683" t="str">
        <f t="shared" si="2733"/>
        <v>04-08-2020</v>
      </c>
      <c r="M6683" t="str">
        <f t="shared" si="2733"/>
        <v>04-08-2020</v>
      </c>
      <c r="N6683" t="str">
        <f t="shared" si="2725"/>
        <v>001105018356</v>
      </c>
      <c r="O6683" t="str">
        <f t="shared" si="2726"/>
        <v>MYR</v>
      </c>
      <c r="P6683" t="str">
        <f t="shared" si="2734"/>
        <v>NIL</v>
      </c>
      <c r="Q6683" t="str">
        <f t="shared" si="2734"/>
        <v>NIL</v>
      </c>
      <c r="R6683" t="str">
        <f t="shared" si="2713"/>
        <v>Accepted</v>
      </c>
      <c r="S6683" t="str">
        <f t="shared" si="2727"/>
        <v>Approved</v>
      </c>
      <c r="T6683" t="str">
        <f t="shared" si="2714"/>
        <v>10.20.8.188</v>
      </c>
      <c r="U6683" t="str">
        <f t="shared" si="2728"/>
        <v>AZRAD UMAR BIN SHAARI</v>
      </c>
      <c r="V6683" t="str">
        <f t="shared" si="2729"/>
        <v>FARHANA BINTI MUSTAPA</v>
      </c>
      <c r="W6683" t="str">
        <f t="shared" si="2730"/>
        <v>04-08-2020</v>
      </c>
      <c r="X6683" t="str">
        <f t="shared" si="2731"/>
        <v>RAZIMAH ANSAR AHMAD</v>
      </c>
      <c r="Y6683" t="str">
        <f t="shared" si="2732"/>
        <v>04-08-2020</v>
      </c>
      <c r="Z6683" t="str">
        <f>"COS10200804 2471"</f>
        <v>COS10200804 2471</v>
      </c>
    </row>
    <row r="6684" spans="1:26" x14ac:dyDescent="0.25">
      <c r="A6684" t="str">
        <f t="shared" si="2736"/>
        <v>04-08-2020 12:37:56</v>
      </c>
      <c r="B6684" t="str">
        <f>"0000804232"</f>
        <v>0000804232</v>
      </c>
      <c r="C6684" t="str">
        <f t="shared" si="2737"/>
        <v>0000804162</v>
      </c>
      <c r="D6684" t="str">
        <f t="shared" si="2722"/>
        <v>73185</v>
      </c>
      <c r="E6684" t="str">
        <f t="shared" si="2723"/>
        <v>KFH-OPERATIONS DEPARTMENT</v>
      </c>
      <c r="F6684" t="str">
        <f t="shared" si="2724"/>
        <v>IBG</v>
      </c>
      <c r="G6684" t="str">
        <f t="shared" si="2735"/>
        <v>Refund COSHARE 10</v>
      </c>
      <c r="H6684" s="2">
        <v>604.45000000000005</v>
      </c>
      <c r="I6684" t="str">
        <f>"HAIRMAN BIN PAUZI"</f>
        <v>HAIRMAN BIN PAUZI</v>
      </c>
      <c r="J6684" t="str">
        <f t="shared" si="2721"/>
        <v>CIMB BANK / CIMB ISLAMIC BANK</v>
      </c>
      <c r="K6684" t="str">
        <f>"7000570047"</f>
        <v>7000570047</v>
      </c>
      <c r="L6684" t="str">
        <f t="shared" si="2733"/>
        <v>04-08-2020</v>
      </c>
      <c r="M6684" t="str">
        <f t="shared" si="2733"/>
        <v>04-08-2020</v>
      </c>
      <c r="N6684" t="str">
        <f t="shared" si="2725"/>
        <v>001105018356</v>
      </c>
      <c r="O6684" t="str">
        <f t="shared" si="2726"/>
        <v>MYR</v>
      </c>
      <c r="P6684" t="str">
        <f t="shared" si="2734"/>
        <v>NIL</v>
      </c>
      <c r="Q6684" t="str">
        <f t="shared" si="2734"/>
        <v>NIL</v>
      </c>
      <c r="R6684" t="str">
        <f t="shared" si="2713"/>
        <v>Accepted</v>
      </c>
      <c r="S6684" t="str">
        <f t="shared" si="2727"/>
        <v>Approved</v>
      </c>
      <c r="T6684" t="str">
        <f t="shared" si="2714"/>
        <v>10.20.8.188</v>
      </c>
      <c r="U6684" t="str">
        <f t="shared" si="2728"/>
        <v>AZRAD UMAR BIN SHAARI</v>
      </c>
      <c r="V6684" t="str">
        <f t="shared" si="2729"/>
        <v>FARHANA BINTI MUSTAPA</v>
      </c>
      <c r="W6684" t="str">
        <f t="shared" si="2730"/>
        <v>04-08-2020</v>
      </c>
      <c r="X6684" t="str">
        <f t="shared" si="2731"/>
        <v>RAZIMAH ANSAR AHMAD</v>
      </c>
      <c r="Y6684" t="str">
        <f t="shared" si="2732"/>
        <v>04-08-2020</v>
      </c>
      <c r="Z6684" t="str">
        <f>"COS10200804 2470"</f>
        <v>COS10200804 2470</v>
      </c>
    </row>
    <row r="6685" spans="1:26" x14ac:dyDescent="0.25">
      <c r="A6685" t="str">
        <f t="shared" si="2736"/>
        <v>04-08-2020 12:37:56</v>
      </c>
      <c r="B6685" t="str">
        <f>"0000804231"</f>
        <v>0000804231</v>
      </c>
      <c r="C6685" t="str">
        <f t="shared" si="2737"/>
        <v>0000804162</v>
      </c>
      <c r="D6685" t="str">
        <f t="shared" si="2722"/>
        <v>73185</v>
      </c>
      <c r="E6685" t="str">
        <f t="shared" si="2723"/>
        <v>KFH-OPERATIONS DEPARTMENT</v>
      </c>
      <c r="F6685" t="str">
        <f t="shared" si="2724"/>
        <v>IBG</v>
      </c>
      <c r="G6685" t="str">
        <f t="shared" si="2735"/>
        <v>Refund COSHARE 10</v>
      </c>
      <c r="H6685" s="2">
        <v>654.85</v>
      </c>
      <c r="I6685" t="str">
        <f>"HAILMI BIN HARMIN"</f>
        <v>HAILMI BIN HARMIN</v>
      </c>
      <c r="J6685" t="str">
        <f t="shared" si="2721"/>
        <v>CIMB BANK / CIMB ISLAMIC BANK</v>
      </c>
      <c r="K6685" t="str">
        <f>"02050097761524"</f>
        <v>02050097761524</v>
      </c>
      <c r="L6685" t="str">
        <f t="shared" si="2733"/>
        <v>04-08-2020</v>
      </c>
      <c r="M6685" t="str">
        <f t="shared" si="2733"/>
        <v>04-08-2020</v>
      </c>
      <c r="N6685" t="str">
        <f t="shared" si="2725"/>
        <v>001105018356</v>
      </c>
      <c r="O6685" t="str">
        <f t="shared" si="2726"/>
        <v>MYR</v>
      </c>
      <c r="P6685" t="str">
        <f t="shared" si="2734"/>
        <v>NIL</v>
      </c>
      <c r="Q6685" t="str">
        <f t="shared" si="2734"/>
        <v>NIL</v>
      </c>
      <c r="R6685" t="str">
        <f t="shared" si="2713"/>
        <v>Accepted</v>
      </c>
      <c r="S6685" t="str">
        <f t="shared" si="2727"/>
        <v>Approved</v>
      </c>
      <c r="T6685" t="str">
        <f t="shared" si="2714"/>
        <v>10.20.8.188</v>
      </c>
      <c r="U6685" t="str">
        <f t="shared" si="2728"/>
        <v>AZRAD UMAR BIN SHAARI</v>
      </c>
      <c r="V6685" t="str">
        <f t="shared" si="2729"/>
        <v>FARHANA BINTI MUSTAPA</v>
      </c>
      <c r="W6685" t="str">
        <f t="shared" si="2730"/>
        <v>04-08-2020</v>
      </c>
      <c r="X6685" t="str">
        <f t="shared" si="2731"/>
        <v>RAZIMAH ANSAR AHMAD</v>
      </c>
      <c r="Y6685" t="str">
        <f t="shared" si="2732"/>
        <v>04-08-2020</v>
      </c>
      <c r="Z6685" t="str">
        <f>"COS10200804 2469"</f>
        <v>COS10200804 2469</v>
      </c>
    </row>
    <row r="6686" spans="1:26" x14ac:dyDescent="0.25">
      <c r="A6686" t="str">
        <f t="shared" si="2736"/>
        <v>04-08-2020 12:37:56</v>
      </c>
      <c r="B6686" t="str">
        <f>"0000804230"</f>
        <v>0000804230</v>
      </c>
      <c r="C6686" t="str">
        <f t="shared" si="2737"/>
        <v>0000804162</v>
      </c>
      <c r="D6686" t="str">
        <f t="shared" si="2722"/>
        <v>73185</v>
      </c>
      <c r="E6686" t="str">
        <f t="shared" si="2723"/>
        <v>KFH-OPERATIONS DEPARTMENT</v>
      </c>
      <c r="F6686" t="str">
        <f t="shared" si="2724"/>
        <v>IBG</v>
      </c>
      <c r="G6686" t="str">
        <f t="shared" si="2735"/>
        <v>Refund COSHARE 10</v>
      </c>
      <c r="H6686" s="2">
        <v>251.85</v>
      </c>
      <c r="I6686" t="str">
        <f>"HAILME BIN HALILI"</f>
        <v>HAILME BIN HALILI</v>
      </c>
      <c r="J6686" t="str">
        <f t="shared" si="2721"/>
        <v>CIMB BANK / CIMB ISLAMIC BANK</v>
      </c>
      <c r="K6686" t="str">
        <f>"14400082250521"</f>
        <v>14400082250521</v>
      </c>
      <c r="L6686" t="str">
        <f t="shared" si="2733"/>
        <v>04-08-2020</v>
      </c>
      <c r="M6686" t="str">
        <f t="shared" si="2733"/>
        <v>04-08-2020</v>
      </c>
      <c r="N6686" t="str">
        <f t="shared" si="2725"/>
        <v>001105018356</v>
      </c>
      <c r="O6686" t="str">
        <f t="shared" si="2726"/>
        <v>MYR</v>
      </c>
      <c r="P6686" t="str">
        <f t="shared" si="2734"/>
        <v>NIL</v>
      </c>
      <c r="Q6686" t="str">
        <f t="shared" si="2734"/>
        <v>NIL</v>
      </c>
      <c r="R6686" t="str">
        <f t="shared" si="2713"/>
        <v>Accepted</v>
      </c>
      <c r="S6686" t="str">
        <f t="shared" si="2727"/>
        <v>Approved</v>
      </c>
      <c r="T6686" t="str">
        <f t="shared" si="2714"/>
        <v>10.20.8.188</v>
      </c>
      <c r="U6686" t="str">
        <f t="shared" si="2728"/>
        <v>AZRAD UMAR BIN SHAARI</v>
      </c>
      <c r="V6686" t="str">
        <f t="shared" si="2729"/>
        <v>FARHANA BINTI MUSTAPA</v>
      </c>
      <c r="W6686" t="str">
        <f t="shared" si="2730"/>
        <v>04-08-2020</v>
      </c>
      <c r="X6686" t="str">
        <f t="shared" si="2731"/>
        <v>RAZIMAH ANSAR AHMAD</v>
      </c>
      <c r="Y6686" t="str">
        <f t="shared" si="2732"/>
        <v>04-08-2020</v>
      </c>
      <c r="Z6686" t="str">
        <f>"COS10200804 2468"</f>
        <v>COS10200804 2468</v>
      </c>
    </row>
    <row r="6687" spans="1:26" x14ac:dyDescent="0.25">
      <c r="A6687" t="str">
        <f t="shared" si="2736"/>
        <v>04-08-2020 12:37:56</v>
      </c>
      <c r="B6687" t="str">
        <f>"0000804229"</f>
        <v>0000804229</v>
      </c>
      <c r="C6687" t="str">
        <f t="shared" si="2737"/>
        <v>0000804162</v>
      </c>
      <c r="D6687" t="str">
        <f t="shared" si="2722"/>
        <v>73185</v>
      </c>
      <c r="E6687" t="str">
        <f t="shared" si="2723"/>
        <v>KFH-OPERATIONS DEPARTMENT</v>
      </c>
      <c r="F6687" t="str">
        <f t="shared" si="2724"/>
        <v>IBG</v>
      </c>
      <c r="G6687" t="str">
        <f t="shared" si="2735"/>
        <v>Refund COSHARE 10</v>
      </c>
      <c r="H6687" s="2">
        <v>304.55</v>
      </c>
      <c r="I6687" t="str">
        <f>"HAILLINE BINTI SALIAN"</f>
        <v>HAILLINE BINTI SALIAN</v>
      </c>
      <c r="J6687" t="str">
        <f t="shared" si="2721"/>
        <v>CIMB BANK / CIMB ISLAMIC BANK</v>
      </c>
      <c r="K6687" t="str">
        <f>"10040033640521"</f>
        <v>10040033640521</v>
      </c>
      <c r="L6687" t="str">
        <f t="shared" ref="L6687:M6706" si="2738">"04-08-2020"</f>
        <v>04-08-2020</v>
      </c>
      <c r="M6687" t="str">
        <f t="shared" si="2738"/>
        <v>04-08-2020</v>
      </c>
      <c r="N6687" t="str">
        <f t="shared" si="2725"/>
        <v>001105018356</v>
      </c>
      <c r="O6687" t="str">
        <f t="shared" si="2726"/>
        <v>MYR</v>
      </c>
      <c r="P6687" t="str">
        <f t="shared" ref="P6687:Q6706" si="2739">"NIL"</f>
        <v>NIL</v>
      </c>
      <c r="Q6687" t="str">
        <f t="shared" si="2739"/>
        <v>NIL</v>
      </c>
      <c r="R6687" t="str">
        <f t="shared" si="2713"/>
        <v>Accepted</v>
      </c>
      <c r="S6687" t="str">
        <f t="shared" si="2727"/>
        <v>Approved</v>
      </c>
      <c r="T6687" t="str">
        <f t="shared" si="2714"/>
        <v>10.20.8.188</v>
      </c>
      <c r="U6687" t="str">
        <f t="shared" si="2728"/>
        <v>AZRAD UMAR BIN SHAARI</v>
      </c>
      <c r="V6687" t="str">
        <f t="shared" si="2729"/>
        <v>FARHANA BINTI MUSTAPA</v>
      </c>
      <c r="W6687" t="str">
        <f t="shared" si="2730"/>
        <v>04-08-2020</v>
      </c>
      <c r="X6687" t="str">
        <f t="shared" si="2731"/>
        <v>RAZIMAH ANSAR AHMAD</v>
      </c>
      <c r="Y6687" t="str">
        <f t="shared" si="2732"/>
        <v>04-08-2020</v>
      </c>
      <c r="Z6687" t="str">
        <f>"COS10200804 2467"</f>
        <v>COS10200804 2467</v>
      </c>
    </row>
    <row r="6688" spans="1:26" x14ac:dyDescent="0.25">
      <c r="A6688" t="str">
        <f t="shared" si="2736"/>
        <v>04-08-2020 12:37:56</v>
      </c>
      <c r="B6688" t="str">
        <f>"0000804228"</f>
        <v>0000804228</v>
      </c>
      <c r="C6688" t="str">
        <f t="shared" si="2737"/>
        <v>0000804162</v>
      </c>
      <c r="D6688" t="str">
        <f t="shared" si="2722"/>
        <v>73185</v>
      </c>
      <c r="E6688" t="str">
        <f t="shared" si="2723"/>
        <v>KFH-OPERATIONS DEPARTMENT</v>
      </c>
      <c r="F6688" t="str">
        <f t="shared" si="2724"/>
        <v>IBG</v>
      </c>
      <c r="G6688" t="str">
        <f t="shared" si="2735"/>
        <v>Refund COSHARE 10</v>
      </c>
      <c r="H6688" s="2">
        <v>177.4</v>
      </c>
      <c r="I6688" t="str">
        <f>"HAFIZUL BIN HASSAN"</f>
        <v>HAFIZUL BIN HASSAN</v>
      </c>
      <c r="J6688" t="str">
        <f t="shared" si="2721"/>
        <v>CIMB BANK / CIMB ISLAMIC BANK</v>
      </c>
      <c r="K6688" t="str">
        <f>"7613820501"</f>
        <v>7613820501</v>
      </c>
      <c r="L6688" t="str">
        <f t="shared" si="2738"/>
        <v>04-08-2020</v>
      </c>
      <c r="M6688" t="str">
        <f t="shared" si="2738"/>
        <v>04-08-2020</v>
      </c>
      <c r="N6688" t="str">
        <f t="shared" si="2725"/>
        <v>001105018356</v>
      </c>
      <c r="O6688" t="str">
        <f t="shared" si="2726"/>
        <v>MYR</v>
      </c>
      <c r="P6688" t="str">
        <f t="shared" si="2739"/>
        <v>NIL</v>
      </c>
      <c r="Q6688" t="str">
        <f t="shared" si="2739"/>
        <v>NIL</v>
      </c>
      <c r="R6688" t="str">
        <f t="shared" si="2713"/>
        <v>Accepted</v>
      </c>
      <c r="S6688" t="str">
        <f t="shared" si="2727"/>
        <v>Approved</v>
      </c>
      <c r="T6688" t="str">
        <f t="shared" si="2714"/>
        <v>10.20.8.188</v>
      </c>
      <c r="U6688" t="str">
        <f t="shared" si="2728"/>
        <v>AZRAD UMAR BIN SHAARI</v>
      </c>
      <c r="V6688" t="str">
        <f t="shared" si="2729"/>
        <v>FARHANA BINTI MUSTAPA</v>
      </c>
      <c r="W6688" t="str">
        <f t="shared" si="2730"/>
        <v>04-08-2020</v>
      </c>
      <c r="X6688" t="str">
        <f t="shared" si="2731"/>
        <v>RAZIMAH ANSAR AHMAD</v>
      </c>
      <c r="Y6688" t="str">
        <f t="shared" si="2732"/>
        <v>04-08-2020</v>
      </c>
      <c r="Z6688" t="str">
        <f>"COS10200804 2466"</f>
        <v>COS10200804 2466</v>
      </c>
    </row>
    <row r="6689" spans="1:26" x14ac:dyDescent="0.25">
      <c r="A6689" t="str">
        <f t="shared" si="2736"/>
        <v>04-08-2020 12:37:56</v>
      </c>
      <c r="B6689" t="str">
        <f>"0000804227"</f>
        <v>0000804227</v>
      </c>
      <c r="C6689" t="str">
        <f t="shared" si="2737"/>
        <v>0000804162</v>
      </c>
      <c r="D6689" t="str">
        <f t="shared" si="2722"/>
        <v>73185</v>
      </c>
      <c r="E6689" t="str">
        <f t="shared" si="2723"/>
        <v>KFH-OPERATIONS DEPARTMENT</v>
      </c>
      <c r="F6689" t="str">
        <f t="shared" si="2724"/>
        <v>IBG</v>
      </c>
      <c r="G6689" t="str">
        <f t="shared" si="2735"/>
        <v>Refund COSHARE 10</v>
      </c>
      <c r="H6689" s="2">
        <v>277.05</v>
      </c>
      <c r="I6689" t="str">
        <f>"HADINIE  NORRAZAH BINTI SALIN"</f>
        <v>HADINIE  NORRAZAH BINTI SALIN</v>
      </c>
      <c r="J6689" t="str">
        <f t="shared" si="2721"/>
        <v>CIMB BANK / CIMB ISLAMIC BANK</v>
      </c>
      <c r="K6689" t="str">
        <f>"10050079999520"</f>
        <v>10050079999520</v>
      </c>
      <c r="L6689" t="str">
        <f t="shared" si="2738"/>
        <v>04-08-2020</v>
      </c>
      <c r="M6689" t="str">
        <f t="shared" si="2738"/>
        <v>04-08-2020</v>
      </c>
      <c r="N6689" t="str">
        <f t="shared" si="2725"/>
        <v>001105018356</v>
      </c>
      <c r="O6689" t="str">
        <f t="shared" si="2726"/>
        <v>MYR</v>
      </c>
      <c r="P6689" t="str">
        <f t="shared" si="2739"/>
        <v>NIL</v>
      </c>
      <c r="Q6689" t="str">
        <f t="shared" si="2739"/>
        <v>NIL</v>
      </c>
      <c r="R6689" t="str">
        <f t="shared" si="2713"/>
        <v>Accepted</v>
      </c>
      <c r="S6689" t="str">
        <f t="shared" si="2727"/>
        <v>Approved</v>
      </c>
      <c r="T6689" t="str">
        <f t="shared" si="2714"/>
        <v>10.20.8.188</v>
      </c>
      <c r="U6689" t="str">
        <f t="shared" si="2728"/>
        <v>AZRAD UMAR BIN SHAARI</v>
      </c>
      <c r="V6689" t="str">
        <f t="shared" si="2729"/>
        <v>FARHANA BINTI MUSTAPA</v>
      </c>
      <c r="W6689" t="str">
        <f t="shared" si="2730"/>
        <v>04-08-2020</v>
      </c>
      <c r="X6689" t="str">
        <f t="shared" si="2731"/>
        <v>RAZIMAH ANSAR AHMAD</v>
      </c>
      <c r="Y6689" t="str">
        <f t="shared" si="2732"/>
        <v>04-08-2020</v>
      </c>
      <c r="Z6689" t="str">
        <f>"COS10200804 2465"</f>
        <v>COS10200804 2465</v>
      </c>
    </row>
    <row r="6690" spans="1:26" x14ac:dyDescent="0.25">
      <c r="A6690" t="str">
        <f t="shared" si="2736"/>
        <v>04-08-2020 12:37:56</v>
      </c>
      <c r="B6690" t="str">
        <f>"0000804226"</f>
        <v>0000804226</v>
      </c>
      <c r="C6690" t="str">
        <f t="shared" si="2737"/>
        <v>0000804162</v>
      </c>
      <c r="D6690" t="str">
        <f t="shared" si="2722"/>
        <v>73185</v>
      </c>
      <c r="E6690" t="str">
        <f t="shared" si="2723"/>
        <v>KFH-OPERATIONS DEPARTMENT</v>
      </c>
      <c r="F6690" t="str">
        <f t="shared" si="2724"/>
        <v>IBG</v>
      </c>
      <c r="G6690" t="str">
        <f t="shared" si="2735"/>
        <v>Refund COSHARE 10</v>
      </c>
      <c r="H6690" s="2">
        <v>134.35</v>
      </c>
      <c r="I6690" t="str">
        <f>"HADINAH  INAH BINTI BASINAU"</f>
        <v>HADINAH  INAH BINTI BASINAU</v>
      </c>
      <c r="J6690" t="str">
        <f t="shared" si="2721"/>
        <v>CIMB BANK / CIMB ISLAMIC BANK</v>
      </c>
      <c r="K6690" t="str">
        <f>"7039002932"</f>
        <v>7039002932</v>
      </c>
      <c r="L6690" t="str">
        <f t="shared" si="2738"/>
        <v>04-08-2020</v>
      </c>
      <c r="M6690" t="str">
        <f t="shared" si="2738"/>
        <v>04-08-2020</v>
      </c>
      <c r="N6690" t="str">
        <f t="shared" si="2725"/>
        <v>001105018356</v>
      </c>
      <c r="O6690" t="str">
        <f t="shared" si="2726"/>
        <v>MYR</v>
      </c>
      <c r="P6690" t="str">
        <f t="shared" si="2739"/>
        <v>NIL</v>
      </c>
      <c r="Q6690" t="str">
        <f t="shared" si="2739"/>
        <v>NIL</v>
      </c>
      <c r="R6690" t="str">
        <f t="shared" ref="R6690:R6753" si="2740">"Accepted"</f>
        <v>Accepted</v>
      </c>
      <c r="S6690" t="str">
        <f t="shared" si="2727"/>
        <v>Approved</v>
      </c>
      <c r="T6690" t="str">
        <f t="shared" ref="T6690:T6753" si="2741">"10.20.8.188"</f>
        <v>10.20.8.188</v>
      </c>
      <c r="U6690" t="str">
        <f t="shared" si="2728"/>
        <v>AZRAD UMAR BIN SHAARI</v>
      </c>
      <c r="V6690" t="str">
        <f t="shared" si="2729"/>
        <v>FARHANA BINTI MUSTAPA</v>
      </c>
      <c r="W6690" t="str">
        <f t="shared" si="2730"/>
        <v>04-08-2020</v>
      </c>
      <c r="X6690" t="str">
        <f t="shared" si="2731"/>
        <v>RAZIMAH ANSAR AHMAD</v>
      </c>
      <c r="Y6690" t="str">
        <f t="shared" si="2732"/>
        <v>04-08-2020</v>
      </c>
      <c r="Z6690" t="str">
        <f>"COS10200804 2464"</f>
        <v>COS10200804 2464</v>
      </c>
    </row>
    <row r="6691" spans="1:26" x14ac:dyDescent="0.25">
      <c r="A6691" t="str">
        <f t="shared" si="2736"/>
        <v>04-08-2020 12:37:56</v>
      </c>
      <c r="B6691" t="str">
        <f>"0000804225"</f>
        <v>0000804225</v>
      </c>
      <c r="C6691" t="str">
        <f t="shared" si="2737"/>
        <v>0000804162</v>
      </c>
      <c r="D6691" t="str">
        <f t="shared" si="2722"/>
        <v>73185</v>
      </c>
      <c r="E6691" t="str">
        <f t="shared" si="2723"/>
        <v>KFH-OPERATIONS DEPARTMENT</v>
      </c>
      <c r="F6691" t="str">
        <f t="shared" si="2724"/>
        <v>IBG</v>
      </c>
      <c r="G6691" t="str">
        <f t="shared" si="2735"/>
        <v>Refund COSHARE 10</v>
      </c>
      <c r="H6691" s="2">
        <v>75.599999999999994</v>
      </c>
      <c r="I6691" t="str">
        <f>"HADI IKHTIARUDDIN BIN HATHI MUNIR"</f>
        <v>HADI IKHTIARUDDIN BIN HATHI MUNIR</v>
      </c>
      <c r="J6691" t="str">
        <f t="shared" si="2721"/>
        <v>CIMB BANK / CIMB ISLAMIC BANK</v>
      </c>
      <c r="K6691" t="str">
        <f>"12051412103528"</f>
        <v>12051412103528</v>
      </c>
      <c r="L6691" t="str">
        <f t="shared" si="2738"/>
        <v>04-08-2020</v>
      </c>
      <c r="M6691" t="str">
        <f t="shared" si="2738"/>
        <v>04-08-2020</v>
      </c>
      <c r="N6691" t="str">
        <f t="shared" si="2725"/>
        <v>001105018356</v>
      </c>
      <c r="O6691" t="str">
        <f t="shared" si="2726"/>
        <v>MYR</v>
      </c>
      <c r="P6691" t="str">
        <f t="shared" si="2739"/>
        <v>NIL</v>
      </c>
      <c r="Q6691" t="str">
        <f t="shared" si="2739"/>
        <v>NIL</v>
      </c>
      <c r="R6691" t="str">
        <f t="shared" si="2740"/>
        <v>Accepted</v>
      </c>
      <c r="S6691" t="str">
        <f t="shared" si="2727"/>
        <v>Approved</v>
      </c>
      <c r="T6691" t="str">
        <f t="shared" si="2741"/>
        <v>10.20.8.188</v>
      </c>
      <c r="U6691" t="str">
        <f t="shared" si="2728"/>
        <v>AZRAD UMAR BIN SHAARI</v>
      </c>
      <c r="V6691" t="str">
        <f t="shared" si="2729"/>
        <v>FARHANA BINTI MUSTAPA</v>
      </c>
      <c r="W6691" t="str">
        <f t="shared" si="2730"/>
        <v>04-08-2020</v>
      </c>
      <c r="X6691" t="str">
        <f t="shared" si="2731"/>
        <v>RAZIMAH ANSAR AHMAD</v>
      </c>
      <c r="Y6691" t="str">
        <f t="shared" si="2732"/>
        <v>04-08-2020</v>
      </c>
      <c r="Z6691" t="str">
        <f>"COS10200804 2463"</f>
        <v>COS10200804 2463</v>
      </c>
    </row>
    <row r="6692" spans="1:26" x14ac:dyDescent="0.25">
      <c r="A6692" t="str">
        <f t="shared" si="2736"/>
        <v>04-08-2020 12:37:56</v>
      </c>
      <c r="B6692" t="str">
        <f>"0000804224"</f>
        <v>0000804224</v>
      </c>
      <c r="C6692" t="str">
        <f t="shared" si="2737"/>
        <v>0000804162</v>
      </c>
      <c r="D6692" t="str">
        <f t="shared" si="2722"/>
        <v>73185</v>
      </c>
      <c r="E6692" t="str">
        <f t="shared" si="2723"/>
        <v>KFH-OPERATIONS DEPARTMENT</v>
      </c>
      <c r="F6692" t="str">
        <f t="shared" si="2724"/>
        <v>IBG</v>
      </c>
      <c r="G6692" t="str">
        <f t="shared" si="2735"/>
        <v>Refund COSHARE 10</v>
      </c>
      <c r="H6692" s="2">
        <v>1040</v>
      </c>
      <c r="I6692" t="str">
        <f>"HABIBAH BINTI ABDULLAH"</f>
        <v>HABIBAH BINTI ABDULLAH</v>
      </c>
      <c r="J6692" t="str">
        <f t="shared" si="2721"/>
        <v>CIMB BANK / CIMB ISLAMIC BANK</v>
      </c>
      <c r="K6692" t="str">
        <f>"06070000566209"</f>
        <v>06070000566209</v>
      </c>
      <c r="L6692" t="str">
        <f t="shared" si="2738"/>
        <v>04-08-2020</v>
      </c>
      <c r="M6692" t="str">
        <f t="shared" si="2738"/>
        <v>04-08-2020</v>
      </c>
      <c r="N6692" t="str">
        <f t="shared" si="2725"/>
        <v>001105018356</v>
      </c>
      <c r="O6692" t="str">
        <f t="shared" si="2726"/>
        <v>MYR</v>
      </c>
      <c r="P6692" t="str">
        <f t="shared" si="2739"/>
        <v>NIL</v>
      </c>
      <c r="Q6692" t="str">
        <f t="shared" si="2739"/>
        <v>NIL</v>
      </c>
      <c r="R6692" t="str">
        <f t="shared" si="2740"/>
        <v>Accepted</v>
      </c>
      <c r="S6692" t="str">
        <f t="shared" si="2727"/>
        <v>Approved</v>
      </c>
      <c r="T6692" t="str">
        <f t="shared" si="2741"/>
        <v>10.20.8.188</v>
      </c>
      <c r="U6692" t="str">
        <f t="shared" si="2728"/>
        <v>AZRAD UMAR BIN SHAARI</v>
      </c>
      <c r="V6692" t="str">
        <f t="shared" si="2729"/>
        <v>FARHANA BINTI MUSTAPA</v>
      </c>
      <c r="W6692" t="str">
        <f t="shared" si="2730"/>
        <v>04-08-2020</v>
      </c>
      <c r="X6692" t="str">
        <f t="shared" si="2731"/>
        <v>RAZIMAH ANSAR AHMAD</v>
      </c>
      <c r="Y6692" t="str">
        <f t="shared" si="2732"/>
        <v>04-08-2020</v>
      </c>
      <c r="Z6692" t="str">
        <f>"COS10200804 2462"</f>
        <v>COS10200804 2462</v>
      </c>
    </row>
    <row r="6693" spans="1:26" x14ac:dyDescent="0.25">
      <c r="A6693" t="str">
        <f t="shared" si="2736"/>
        <v>04-08-2020 12:37:56</v>
      </c>
      <c r="B6693" t="str">
        <f>"0000804223"</f>
        <v>0000804223</v>
      </c>
      <c r="C6693" t="str">
        <f t="shared" si="2737"/>
        <v>0000804162</v>
      </c>
      <c r="D6693" t="str">
        <f t="shared" si="2722"/>
        <v>73185</v>
      </c>
      <c r="E6693" t="str">
        <f t="shared" si="2723"/>
        <v>KFH-OPERATIONS DEPARTMENT</v>
      </c>
      <c r="F6693" t="str">
        <f t="shared" si="2724"/>
        <v>IBG</v>
      </c>
      <c r="G6693" t="str">
        <f t="shared" si="2735"/>
        <v>Refund COSHARE 10</v>
      </c>
      <c r="H6693" s="2">
        <v>965.45</v>
      </c>
      <c r="I6693" t="str">
        <f>"GRACE  SHELLA BINTI TOTIH  JOANESS"</f>
        <v>GRACE  SHELLA BINTI TOTIH  JOANESS</v>
      </c>
      <c r="J6693" t="str">
        <f t="shared" si="2721"/>
        <v>CIMB BANK / CIMB ISLAMIC BANK</v>
      </c>
      <c r="K6693" t="str">
        <f>"7062230377"</f>
        <v>7062230377</v>
      </c>
      <c r="L6693" t="str">
        <f t="shared" si="2738"/>
        <v>04-08-2020</v>
      </c>
      <c r="M6693" t="str">
        <f t="shared" si="2738"/>
        <v>04-08-2020</v>
      </c>
      <c r="N6693" t="str">
        <f t="shared" si="2725"/>
        <v>001105018356</v>
      </c>
      <c r="O6693" t="str">
        <f t="shared" si="2726"/>
        <v>MYR</v>
      </c>
      <c r="P6693" t="str">
        <f t="shared" si="2739"/>
        <v>NIL</v>
      </c>
      <c r="Q6693" t="str">
        <f t="shared" si="2739"/>
        <v>NIL</v>
      </c>
      <c r="R6693" t="str">
        <f t="shared" si="2740"/>
        <v>Accepted</v>
      </c>
      <c r="S6693" t="str">
        <f t="shared" si="2727"/>
        <v>Approved</v>
      </c>
      <c r="T6693" t="str">
        <f t="shared" si="2741"/>
        <v>10.20.8.188</v>
      </c>
      <c r="U6693" t="str">
        <f t="shared" si="2728"/>
        <v>AZRAD UMAR BIN SHAARI</v>
      </c>
      <c r="V6693" t="str">
        <f t="shared" si="2729"/>
        <v>FARHANA BINTI MUSTAPA</v>
      </c>
      <c r="W6693" t="str">
        <f t="shared" si="2730"/>
        <v>04-08-2020</v>
      </c>
      <c r="X6693" t="str">
        <f t="shared" si="2731"/>
        <v>RAZIMAH ANSAR AHMAD</v>
      </c>
      <c r="Y6693" t="str">
        <f t="shared" si="2732"/>
        <v>04-08-2020</v>
      </c>
      <c r="Z6693" t="str">
        <f>"COS10200804 2461"</f>
        <v>COS10200804 2461</v>
      </c>
    </row>
    <row r="6694" spans="1:26" x14ac:dyDescent="0.25">
      <c r="A6694" t="str">
        <f t="shared" si="2736"/>
        <v>04-08-2020 12:37:56</v>
      </c>
      <c r="B6694" t="str">
        <f>"0000804222"</f>
        <v>0000804222</v>
      </c>
      <c r="C6694" t="str">
        <f t="shared" si="2737"/>
        <v>0000804162</v>
      </c>
      <c r="D6694" t="str">
        <f t="shared" si="2722"/>
        <v>73185</v>
      </c>
      <c r="E6694" t="str">
        <f t="shared" si="2723"/>
        <v>KFH-OPERATIONS DEPARTMENT</v>
      </c>
      <c r="F6694" t="str">
        <f t="shared" si="2724"/>
        <v>IBG</v>
      </c>
      <c r="G6694" t="str">
        <f t="shared" si="2735"/>
        <v>Refund COSHARE 10</v>
      </c>
      <c r="H6694" s="2">
        <v>83.95</v>
      </c>
      <c r="I6694" t="str">
        <f>"GOBILA BALAN AL KUNASIKARAN"</f>
        <v>GOBILA BALAN AL KUNASIKARAN</v>
      </c>
      <c r="J6694" t="str">
        <f t="shared" si="2721"/>
        <v>CIMB BANK / CIMB ISLAMIC BANK</v>
      </c>
      <c r="K6694" t="str">
        <f>"12022911692522"</f>
        <v>12022911692522</v>
      </c>
      <c r="L6694" t="str">
        <f t="shared" si="2738"/>
        <v>04-08-2020</v>
      </c>
      <c r="M6694" t="str">
        <f t="shared" si="2738"/>
        <v>04-08-2020</v>
      </c>
      <c r="N6694" t="str">
        <f t="shared" si="2725"/>
        <v>001105018356</v>
      </c>
      <c r="O6694" t="str">
        <f t="shared" si="2726"/>
        <v>MYR</v>
      </c>
      <c r="P6694" t="str">
        <f t="shared" si="2739"/>
        <v>NIL</v>
      </c>
      <c r="Q6694" t="str">
        <f t="shared" si="2739"/>
        <v>NIL</v>
      </c>
      <c r="R6694" t="str">
        <f t="shared" si="2740"/>
        <v>Accepted</v>
      </c>
      <c r="S6694" t="str">
        <f t="shared" si="2727"/>
        <v>Approved</v>
      </c>
      <c r="T6694" t="str">
        <f t="shared" si="2741"/>
        <v>10.20.8.188</v>
      </c>
      <c r="U6694" t="str">
        <f t="shared" si="2728"/>
        <v>AZRAD UMAR BIN SHAARI</v>
      </c>
      <c r="V6694" t="str">
        <f t="shared" si="2729"/>
        <v>FARHANA BINTI MUSTAPA</v>
      </c>
      <c r="W6694" t="str">
        <f t="shared" si="2730"/>
        <v>04-08-2020</v>
      </c>
      <c r="X6694" t="str">
        <f t="shared" si="2731"/>
        <v>RAZIMAH ANSAR AHMAD</v>
      </c>
      <c r="Y6694" t="str">
        <f t="shared" si="2732"/>
        <v>04-08-2020</v>
      </c>
      <c r="Z6694" t="str">
        <f>"COS10200804 2460"</f>
        <v>COS10200804 2460</v>
      </c>
    </row>
    <row r="6695" spans="1:26" x14ac:dyDescent="0.25">
      <c r="A6695" t="str">
        <f t="shared" si="2736"/>
        <v>04-08-2020 12:37:56</v>
      </c>
      <c r="B6695" t="str">
        <f>"0000804221"</f>
        <v>0000804221</v>
      </c>
      <c r="C6695" t="str">
        <f t="shared" si="2737"/>
        <v>0000804162</v>
      </c>
      <c r="D6695" t="str">
        <f t="shared" si="2722"/>
        <v>73185</v>
      </c>
      <c r="E6695" t="str">
        <f t="shared" si="2723"/>
        <v>KFH-OPERATIONS DEPARTMENT</v>
      </c>
      <c r="F6695" t="str">
        <f t="shared" si="2724"/>
        <v>IBG</v>
      </c>
      <c r="G6695" t="str">
        <f t="shared" si="2735"/>
        <v>Refund COSHARE 10</v>
      </c>
      <c r="H6695" s="2">
        <v>191.4</v>
      </c>
      <c r="I6695" t="str">
        <f>"GHAZALI BIN JAAFAR"</f>
        <v>GHAZALI BIN JAAFAR</v>
      </c>
      <c r="J6695" t="str">
        <f t="shared" si="2721"/>
        <v>CIMB BANK / CIMB ISLAMIC BANK</v>
      </c>
      <c r="K6695" t="str">
        <f>"06130061870521"</f>
        <v>06130061870521</v>
      </c>
      <c r="L6695" t="str">
        <f t="shared" si="2738"/>
        <v>04-08-2020</v>
      </c>
      <c r="M6695" t="str">
        <f t="shared" si="2738"/>
        <v>04-08-2020</v>
      </c>
      <c r="N6695" t="str">
        <f t="shared" si="2725"/>
        <v>001105018356</v>
      </c>
      <c r="O6695" t="str">
        <f t="shared" si="2726"/>
        <v>MYR</v>
      </c>
      <c r="P6695" t="str">
        <f t="shared" si="2739"/>
        <v>NIL</v>
      </c>
      <c r="Q6695" t="str">
        <f t="shared" si="2739"/>
        <v>NIL</v>
      </c>
      <c r="R6695" t="str">
        <f t="shared" si="2740"/>
        <v>Accepted</v>
      </c>
      <c r="S6695" t="str">
        <f t="shared" si="2727"/>
        <v>Approved</v>
      </c>
      <c r="T6695" t="str">
        <f t="shared" si="2741"/>
        <v>10.20.8.188</v>
      </c>
      <c r="U6695" t="str">
        <f t="shared" si="2728"/>
        <v>AZRAD UMAR BIN SHAARI</v>
      </c>
      <c r="V6695" t="str">
        <f t="shared" si="2729"/>
        <v>FARHANA BINTI MUSTAPA</v>
      </c>
      <c r="W6695" t="str">
        <f t="shared" si="2730"/>
        <v>04-08-2020</v>
      </c>
      <c r="X6695" t="str">
        <f t="shared" si="2731"/>
        <v>RAZIMAH ANSAR AHMAD</v>
      </c>
      <c r="Y6695" t="str">
        <f t="shared" si="2732"/>
        <v>04-08-2020</v>
      </c>
      <c r="Z6695" t="str">
        <f>"COS10200804 2459"</f>
        <v>COS10200804 2459</v>
      </c>
    </row>
    <row r="6696" spans="1:26" x14ac:dyDescent="0.25">
      <c r="A6696" t="str">
        <f t="shared" si="2736"/>
        <v>04-08-2020 12:37:56</v>
      </c>
      <c r="B6696" t="str">
        <f>"0000804220"</f>
        <v>0000804220</v>
      </c>
      <c r="C6696" t="str">
        <f t="shared" si="2737"/>
        <v>0000804162</v>
      </c>
      <c r="D6696" t="str">
        <f t="shared" si="2722"/>
        <v>73185</v>
      </c>
      <c r="E6696" t="str">
        <f t="shared" si="2723"/>
        <v>KFH-OPERATIONS DEPARTMENT</v>
      </c>
      <c r="F6696" t="str">
        <f t="shared" si="2724"/>
        <v>IBG</v>
      </c>
      <c r="G6696" t="str">
        <f t="shared" si="2735"/>
        <v>Refund COSHARE 10</v>
      </c>
      <c r="H6696" s="2">
        <v>671.6</v>
      </c>
      <c r="I6696" t="str">
        <f>"GEOFFERY ANAK CLEMEN ENGUN"</f>
        <v>GEOFFERY ANAK CLEMEN ENGUN</v>
      </c>
      <c r="J6696" t="str">
        <f t="shared" si="2721"/>
        <v>CIMB BANK / CIMB ISLAMIC BANK</v>
      </c>
      <c r="K6696" t="str">
        <f>"7033454767"</f>
        <v>7033454767</v>
      </c>
      <c r="L6696" t="str">
        <f t="shared" si="2738"/>
        <v>04-08-2020</v>
      </c>
      <c r="M6696" t="str">
        <f t="shared" si="2738"/>
        <v>04-08-2020</v>
      </c>
      <c r="N6696" t="str">
        <f t="shared" si="2725"/>
        <v>001105018356</v>
      </c>
      <c r="O6696" t="str">
        <f t="shared" si="2726"/>
        <v>MYR</v>
      </c>
      <c r="P6696" t="str">
        <f t="shared" si="2739"/>
        <v>NIL</v>
      </c>
      <c r="Q6696" t="str">
        <f t="shared" si="2739"/>
        <v>NIL</v>
      </c>
      <c r="R6696" t="str">
        <f t="shared" si="2740"/>
        <v>Accepted</v>
      </c>
      <c r="S6696" t="str">
        <f t="shared" si="2727"/>
        <v>Approved</v>
      </c>
      <c r="T6696" t="str">
        <f t="shared" si="2741"/>
        <v>10.20.8.188</v>
      </c>
      <c r="U6696" t="str">
        <f t="shared" si="2728"/>
        <v>AZRAD UMAR BIN SHAARI</v>
      </c>
      <c r="V6696" t="str">
        <f t="shared" si="2729"/>
        <v>FARHANA BINTI MUSTAPA</v>
      </c>
      <c r="W6696" t="str">
        <f t="shared" si="2730"/>
        <v>04-08-2020</v>
      </c>
      <c r="X6696" t="str">
        <f t="shared" si="2731"/>
        <v>RAZIMAH ANSAR AHMAD</v>
      </c>
      <c r="Y6696" t="str">
        <f t="shared" si="2732"/>
        <v>04-08-2020</v>
      </c>
      <c r="Z6696" t="str">
        <f>"COS10200804 2458"</f>
        <v>COS10200804 2458</v>
      </c>
    </row>
    <row r="6697" spans="1:26" x14ac:dyDescent="0.25">
      <c r="A6697" t="str">
        <f t="shared" si="2736"/>
        <v>04-08-2020 12:37:56</v>
      </c>
      <c r="B6697" t="str">
        <f>"0000804219"</f>
        <v>0000804219</v>
      </c>
      <c r="C6697" t="str">
        <f t="shared" si="2737"/>
        <v>0000804162</v>
      </c>
      <c r="D6697" t="str">
        <f t="shared" si="2722"/>
        <v>73185</v>
      </c>
      <c r="E6697" t="str">
        <f t="shared" si="2723"/>
        <v>KFH-OPERATIONS DEPARTMENT</v>
      </c>
      <c r="F6697" t="str">
        <f t="shared" si="2724"/>
        <v>IBG</v>
      </c>
      <c r="G6697" t="str">
        <f t="shared" si="2735"/>
        <v>Refund COSHARE 10</v>
      </c>
      <c r="H6697" s="2">
        <v>831.1</v>
      </c>
      <c r="I6697" t="str">
        <f>"FUNIATI BINTI TRISNO HADI"</f>
        <v>FUNIATI BINTI TRISNO HADI</v>
      </c>
      <c r="J6697" t="str">
        <f t="shared" si="2721"/>
        <v>CIMB BANK / CIMB ISLAMIC BANK</v>
      </c>
      <c r="K6697" t="str">
        <f>"10040064555522"</f>
        <v>10040064555522</v>
      </c>
      <c r="L6697" t="str">
        <f t="shared" si="2738"/>
        <v>04-08-2020</v>
      </c>
      <c r="M6697" t="str">
        <f t="shared" si="2738"/>
        <v>04-08-2020</v>
      </c>
      <c r="N6697" t="str">
        <f t="shared" si="2725"/>
        <v>001105018356</v>
      </c>
      <c r="O6697" t="str">
        <f t="shared" si="2726"/>
        <v>MYR</v>
      </c>
      <c r="P6697" t="str">
        <f t="shared" si="2739"/>
        <v>NIL</v>
      </c>
      <c r="Q6697" t="str">
        <f t="shared" si="2739"/>
        <v>NIL</v>
      </c>
      <c r="R6697" t="str">
        <f t="shared" si="2740"/>
        <v>Accepted</v>
      </c>
      <c r="S6697" t="str">
        <f t="shared" si="2727"/>
        <v>Approved</v>
      </c>
      <c r="T6697" t="str">
        <f t="shared" si="2741"/>
        <v>10.20.8.188</v>
      </c>
      <c r="U6697" t="str">
        <f t="shared" si="2728"/>
        <v>AZRAD UMAR BIN SHAARI</v>
      </c>
      <c r="V6697" t="str">
        <f t="shared" si="2729"/>
        <v>FARHANA BINTI MUSTAPA</v>
      </c>
      <c r="W6697" t="str">
        <f t="shared" si="2730"/>
        <v>04-08-2020</v>
      </c>
      <c r="X6697" t="str">
        <f t="shared" si="2731"/>
        <v>RAZIMAH ANSAR AHMAD</v>
      </c>
      <c r="Y6697" t="str">
        <f t="shared" si="2732"/>
        <v>04-08-2020</v>
      </c>
      <c r="Z6697" t="str">
        <f>"COS10200804 2457"</f>
        <v>COS10200804 2457</v>
      </c>
    </row>
    <row r="6698" spans="1:26" x14ac:dyDescent="0.25">
      <c r="A6698" t="str">
        <f t="shared" si="2736"/>
        <v>04-08-2020 12:37:56</v>
      </c>
      <c r="B6698" t="str">
        <f>"0000804218"</f>
        <v>0000804218</v>
      </c>
      <c r="C6698" t="str">
        <f t="shared" si="2737"/>
        <v>0000804162</v>
      </c>
      <c r="D6698" t="str">
        <f t="shared" si="2722"/>
        <v>73185</v>
      </c>
      <c r="E6698" t="str">
        <f t="shared" si="2723"/>
        <v>KFH-OPERATIONS DEPARTMENT</v>
      </c>
      <c r="F6698" t="str">
        <f t="shared" si="2724"/>
        <v>IBG</v>
      </c>
      <c r="G6698" t="str">
        <f t="shared" si="2735"/>
        <v>Refund COSHARE 10</v>
      </c>
      <c r="H6698" s="2">
        <v>1063</v>
      </c>
      <c r="I6698" t="str">
        <f>"FUAAZUZAKIA BINTI ABD MOHIDIN ZAMAN"</f>
        <v>FUAAZUZAKIA BINTI ABD MOHIDIN ZAMAN</v>
      </c>
      <c r="J6698" t="str">
        <f t="shared" si="2721"/>
        <v>CIMB BANK / CIMB ISLAMIC BANK</v>
      </c>
      <c r="K6698" t="str">
        <f>"7040010567"</f>
        <v>7040010567</v>
      </c>
      <c r="L6698" t="str">
        <f t="shared" si="2738"/>
        <v>04-08-2020</v>
      </c>
      <c r="M6698" t="str">
        <f t="shared" si="2738"/>
        <v>04-08-2020</v>
      </c>
      <c r="N6698" t="str">
        <f t="shared" si="2725"/>
        <v>001105018356</v>
      </c>
      <c r="O6698" t="str">
        <f t="shared" si="2726"/>
        <v>MYR</v>
      </c>
      <c r="P6698" t="str">
        <f t="shared" si="2739"/>
        <v>NIL</v>
      </c>
      <c r="Q6698" t="str">
        <f t="shared" si="2739"/>
        <v>NIL</v>
      </c>
      <c r="R6698" t="str">
        <f t="shared" si="2740"/>
        <v>Accepted</v>
      </c>
      <c r="S6698" t="str">
        <f t="shared" si="2727"/>
        <v>Approved</v>
      </c>
      <c r="T6698" t="str">
        <f t="shared" si="2741"/>
        <v>10.20.8.188</v>
      </c>
      <c r="U6698" t="str">
        <f t="shared" si="2728"/>
        <v>AZRAD UMAR BIN SHAARI</v>
      </c>
      <c r="V6698" t="str">
        <f t="shared" si="2729"/>
        <v>FARHANA BINTI MUSTAPA</v>
      </c>
      <c r="W6698" t="str">
        <f t="shared" si="2730"/>
        <v>04-08-2020</v>
      </c>
      <c r="X6698" t="str">
        <f t="shared" si="2731"/>
        <v>RAZIMAH ANSAR AHMAD</v>
      </c>
      <c r="Y6698" t="str">
        <f t="shared" si="2732"/>
        <v>04-08-2020</v>
      </c>
      <c r="Z6698" t="str">
        <f>"COS10200804 2456"</f>
        <v>COS10200804 2456</v>
      </c>
    </row>
    <row r="6699" spans="1:26" x14ac:dyDescent="0.25">
      <c r="A6699" t="str">
        <f t="shared" si="2736"/>
        <v>04-08-2020 12:37:56</v>
      </c>
      <c r="B6699" t="str">
        <f>"0000804217"</f>
        <v>0000804217</v>
      </c>
      <c r="C6699" t="str">
        <f t="shared" si="2737"/>
        <v>0000804162</v>
      </c>
      <c r="D6699" t="str">
        <f t="shared" si="2722"/>
        <v>73185</v>
      </c>
      <c r="E6699" t="str">
        <f t="shared" si="2723"/>
        <v>KFH-OPERATIONS DEPARTMENT</v>
      </c>
      <c r="F6699" t="str">
        <f t="shared" si="2724"/>
        <v>IBG</v>
      </c>
      <c r="G6699" t="str">
        <f t="shared" si="2735"/>
        <v>Refund COSHARE 10</v>
      </c>
      <c r="H6699" s="2">
        <v>838</v>
      </c>
      <c r="I6699" t="str">
        <f>"FRED BIN PJAUMIS"</f>
        <v>FRED BIN PJAUMIS</v>
      </c>
      <c r="J6699" t="str">
        <f t="shared" si="2721"/>
        <v>CIMB BANK / CIMB ISLAMIC BANK</v>
      </c>
      <c r="K6699" t="str">
        <f>"10050025439528"</f>
        <v>10050025439528</v>
      </c>
      <c r="L6699" t="str">
        <f t="shared" si="2738"/>
        <v>04-08-2020</v>
      </c>
      <c r="M6699" t="str">
        <f t="shared" si="2738"/>
        <v>04-08-2020</v>
      </c>
      <c r="N6699" t="str">
        <f t="shared" si="2725"/>
        <v>001105018356</v>
      </c>
      <c r="O6699" t="str">
        <f t="shared" si="2726"/>
        <v>MYR</v>
      </c>
      <c r="P6699" t="str">
        <f t="shared" si="2739"/>
        <v>NIL</v>
      </c>
      <c r="Q6699" t="str">
        <f t="shared" si="2739"/>
        <v>NIL</v>
      </c>
      <c r="R6699" t="str">
        <f t="shared" si="2740"/>
        <v>Accepted</v>
      </c>
      <c r="S6699" t="str">
        <f t="shared" si="2727"/>
        <v>Approved</v>
      </c>
      <c r="T6699" t="str">
        <f t="shared" si="2741"/>
        <v>10.20.8.188</v>
      </c>
      <c r="U6699" t="str">
        <f t="shared" si="2728"/>
        <v>AZRAD UMAR BIN SHAARI</v>
      </c>
      <c r="V6699" t="str">
        <f t="shared" si="2729"/>
        <v>FARHANA BINTI MUSTAPA</v>
      </c>
      <c r="W6699" t="str">
        <f t="shared" si="2730"/>
        <v>04-08-2020</v>
      </c>
      <c r="X6699" t="str">
        <f t="shared" si="2731"/>
        <v>RAZIMAH ANSAR AHMAD</v>
      </c>
      <c r="Y6699" t="str">
        <f t="shared" si="2732"/>
        <v>04-08-2020</v>
      </c>
      <c r="Z6699" t="str">
        <f>"COS10200804 2455"</f>
        <v>COS10200804 2455</v>
      </c>
    </row>
    <row r="6700" spans="1:26" x14ac:dyDescent="0.25">
      <c r="A6700" t="str">
        <f t="shared" si="2736"/>
        <v>04-08-2020 12:37:56</v>
      </c>
      <c r="B6700" t="str">
        <f>"0000804216"</f>
        <v>0000804216</v>
      </c>
      <c r="C6700" t="str">
        <f t="shared" si="2737"/>
        <v>0000804162</v>
      </c>
      <c r="D6700" t="str">
        <f t="shared" si="2722"/>
        <v>73185</v>
      </c>
      <c r="E6700" t="str">
        <f t="shared" si="2723"/>
        <v>KFH-OPERATIONS DEPARTMENT</v>
      </c>
      <c r="F6700" t="str">
        <f t="shared" si="2724"/>
        <v>IBG</v>
      </c>
      <c r="G6700" t="str">
        <f t="shared" si="2735"/>
        <v>Refund COSHARE 10</v>
      </c>
      <c r="H6700" s="2">
        <v>293.85000000000002</v>
      </c>
      <c r="I6700" t="str">
        <f>"FRANCISCA JAMPANG"</f>
        <v>FRANCISCA JAMPANG</v>
      </c>
      <c r="J6700" t="str">
        <f t="shared" si="2721"/>
        <v>CIMB BANK / CIMB ISLAMIC BANK</v>
      </c>
      <c r="K6700" t="str">
        <f>"15010067190527"</f>
        <v>15010067190527</v>
      </c>
      <c r="L6700" t="str">
        <f t="shared" si="2738"/>
        <v>04-08-2020</v>
      </c>
      <c r="M6700" t="str">
        <f t="shared" si="2738"/>
        <v>04-08-2020</v>
      </c>
      <c r="N6700" t="str">
        <f t="shared" si="2725"/>
        <v>001105018356</v>
      </c>
      <c r="O6700" t="str">
        <f t="shared" si="2726"/>
        <v>MYR</v>
      </c>
      <c r="P6700" t="str">
        <f t="shared" si="2739"/>
        <v>NIL</v>
      </c>
      <c r="Q6700" t="str">
        <f t="shared" si="2739"/>
        <v>NIL</v>
      </c>
      <c r="R6700" t="str">
        <f t="shared" si="2740"/>
        <v>Accepted</v>
      </c>
      <c r="S6700" t="str">
        <f t="shared" si="2727"/>
        <v>Approved</v>
      </c>
      <c r="T6700" t="str">
        <f t="shared" si="2741"/>
        <v>10.20.8.188</v>
      </c>
      <c r="U6700" t="str">
        <f t="shared" si="2728"/>
        <v>AZRAD UMAR BIN SHAARI</v>
      </c>
      <c r="V6700" t="str">
        <f t="shared" si="2729"/>
        <v>FARHANA BINTI MUSTAPA</v>
      </c>
      <c r="W6700" t="str">
        <f t="shared" si="2730"/>
        <v>04-08-2020</v>
      </c>
      <c r="X6700" t="str">
        <f t="shared" si="2731"/>
        <v>RAZIMAH ANSAR AHMAD</v>
      </c>
      <c r="Y6700" t="str">
        <f t="shared" si="2732"/>
        <v>04-08-2020</v>
      </c>
      <c r="Z6700" t="str">
        <f>"COS10200804 2454"</f>
        <v>COS10200804 2454</v>
      </c>
    </row>
    <row r="6701" spans="1:26" x14ac:dyDescent="0.25">
      <c r="A6701" t="str">
        <f t="shared" si="2736"/>
        <v>04-08-2020 12:37:56</v>
      </c>
      <c r="B6701" t="str">
        <f>"0000804215"</f>
        <v>0000804215</v>
      </c>
      <c r="C6701" t="str">
        <f t="shared" si="2737"/>
        <v>0000804162</v>
      </c>
      <c r="D6701" t="str">
        <f t="shared" si="2722"/>
        <v>73185</v>
      </c>
      <c r="E6701" t="str">
        <f t="shared" si="2723"/>
        <v>KFH-OPERATIONS DEPARTMENT</v>
      </c>
      <c r="F6701" t="str">
        <f t="shared" si="2724"/>
        <v>IBG</v>
      </c>
      <c r="G6701" t="str">
        <f t="shared" si="2735"/>
        <v>Refund COSHARE 10</v>
      </c>
      <c r="H6701" s="2">
        <v>344.2</v>
      </c>
      <c r="I6701" t="str">
        <f>"FLORANCE BINTI SUAH"</f>
        <v>FLORANCE BINTI SUAH</v>
      </c>
      <c r="J6701" t="str">
        <f t="shared" si="2721"/>
        <v>CIMB BANK / CIMB ISLAMIC BANK</v>
      </c>
      <c r="K6701" t="str">
        <f>"10030037012523"</f>
        <v>10030037012523</v>
      </c>
      <c r="L6701" t="str">
        <f t="shared" si="2738"/>
        <v>04-08-2020</v>
      </c>
      <c r="M6701" t="str">
        <f t="shared" si="2738"/>
        <v>04-08-2020</v>
      </c>
      <c r="N6701" t="str">
        <f t="shared" si="2725"/>
        <v>001105018356</v>
      </c>
      <c r="O6701" t="str">
        <f t="shared" si="2726"/>
        <v>MYR</v>
      </c>
      <c r="P6701" t="str">
        <f t="shared" si="2739"/>
        <v>NIL</v>
      </c>
      <c r="Q6701" t="str">
        <f t="shared" si="2739"/>
        <v>NIL</v>
      </c>
      <c r="R6701" t="str">
        <f t="shared" si="2740"/>
        <v>Accepted</v>
      </c>
      <c r="S6701" t="str">
        <f t="shared" si="2727"/>
        <v>Approved</v>
      </c>
      <c r="T6701" t="str">
        <f t="shared" si="2741"/>
        <v>10.20.8.188</v>
      </c>
      <c r="U6701" t="str">
        <f t="shared" si="2728"/>
        <v>AZRAD UMAR BIN SHAARI</v>
      </c>
      <c r="V6701" t="str">
        <f t="shared" si="2729"/>
        <v>FARHANA BINTI MUSTAPA</v>
      </c>
      <c r="W6701" t="str">
        <f t="shared" si="2730"/>
        <v>04-08-2020</v>
      </c>
      <c r="X6701" t="str">
        <f t="shared" si="2731"/>
        <v>RAZIMAH ANSAR AHMAD</v>
      </c>
      <c r="Y6701" t="str">
        <f t="shared" si="2732"/>
        <v>04-08-2020</v>
      </c>
      <c r="Z6701" t="str">
        <f>"COS10200804 2453"</f>
        <v>COS10200804 2453</v>
      </c>
    </row>
    <row r="6702" spans="1:26" x14ac:dyDescent="0.25">
      <c r="A6702" t="str">
        <f t="shared" si="2736"/>
        <v>04-08-2020 12:37:56</v>
      </c>
      <c r="B6702" t="str">
        <f>"0000804214"</f>
        <v>0000804214</v>
      </c>
      <c r="C6702" t="str">
        <f t="shared" si="2737"/>
        <v>0000804162</v>
      </c>
      <c r="D6702" t="str">
        <f t="shared" si="2722"/>
        <v>73185</v>
      </c>
      <c r="E6702" t="str">
        <f t="shared" si="2723"/>
        <v>KFH-OPERATIONS DEPARTMENT</v>
      </c>
      <c r="F6702" t="str">
        <f t="shared" si="2724"/>
        <v>IBG</v>
      </c>
      <c r="G6702" t="str">
        <f t="shared" si="2735"/>
        <v>Refund COSHARE 10</v>
      </c>
      <c r="H6702" s="2">
        <v>61.4</v>
      </c>
      <c r="I6702" t="str">
        <f>"FLAVIA BINTI ALAM"</f>
        <v>FLAVIA BINTI ALAM</v>
      </c>
      <c r="J6702" t="str">
        <f t="shared" si="2721"/>
        <v>CIMB BANK / CIMB ISLAMIC BANK</v>
      </c>
      <c r="K6702" t="str">
        <f>"10030041356521"</f>
        <v>10030041356521</v>
      </c>
      <c r="L6702" t="str">
        <f t="shared" si="2738"/>
        <v>04-08-2020</v>
      </c>
      <c r="M6702" t="str">
        <f t="shared" si="2738"/>
        <v>04-08-2020</v>
      </c>
      <c r="N6702" t="str">
        <f t="shared" si="2725"/>
        <v>001105018356</v>
      </c>
      <c r="O6702" t="str">
        <f t="shared" si="2726"/>
        <v>MYR</v>
      </c>
      <c r="P6702" t="str">
        <f t="shared" si="2739"/>
        <v>NIL</v>
      </c>
      <c r="Q6702" t="str">
        <f t="shared" si="2739"/>
        <v>NIL</v>
      </c>
      <c r="R6702" t="str">
        <f t="shared" si="2740"/>
        <v>Accepted</v>
      </c>
      <c r="S6702" t="str">
        <f t="shared" si="2727"/>
        <v>Approved</v>
      </c>
      <c r="T6702" t="str">
        <f t="shared" si="2741"/>
        <v>10.20.8.188</v>
      </c>
      <c r="U6702" t="str">
        <f t="shared" si="2728"/>
        <v>AZRAD UMAR BIN SHAARI</v>
      </c>
      <c r="V6702" t="str">
        <f t="shared" si="2729"/>
        <v>FARHANA BINTI MUSTAPA</v>
      </c>
      <c r="W6702" t="str">
        <f t="shared" si="2730"/>
        <v>04-08-2020</v>
      </c>
      <c r="X6702" t="str">
        <f t="shared" si="2731"/>
        <v>RAZIMAH ANSAR AHMAD</v>
      </c>
      <c r="Y6702" t="str">
        <f t="shared" si="2732"/>
        <v>04-08-2020</v>
      </c>
      <c r="Z6702" t="str">
        <f>"COS10200804 2452"</f>
        <v>COS10200804 2452</v>
      </c>
    </row>
    <row r="6703" spans="1:26" x14ac:dyDescent="0.25">
      <c r="A6703" t="str">
        <f t="shared" si="2736"/>
        <v>04-08-2020 12:37:56</v>
      </c>
      <c r="B6703" t="str">
        <f>"0000804213"</f>
        <v>0000804213</v>
      </c>
      <c r="C6703" t="str">
        <f t="shared" si="2737"/>
        <v>0000804162</v>
      </c>
      <c r="D6703" t="str">
        <f t="shared" si="2722"/>
        <v>73185</v>
      </c>
      <c r="E6703" t="str">
        <f t="shared" si="2723"/>
        <v>KFH-OPERATIONS DEPARTMENT</v>
      </c>
      <c r="F6703" t="str">
        <f t="shared" si="2724"/>
        <v>IBG</v>
      </c>
      <c r="G6703" t="str">
        <f t="shared" si="2735"/>
        <v>Refund COSHARE 10</v>
      </c>
      <c r="H6703" s="2">
        <v>125.95</v>
      </c>
      <c r="I6703" t="str">
        <f>"FETTY LIZA EKAR"</f>
        <v>FETTY LIZA EKAR</v>
      </c>
      <c r="J6703" t="str">
        <f t="shared" si="2721"/>
        <v>CIMB BANK / CIMB ISLAMIC BANK</v>
      </c>
      <c r="K6703" t="str">
        <f>"15010069467526"</f>
        <v>15010069467526</v>
      </c>
      <c r="L6703" t="str">
        <f t="shared" si="2738"/>
        <v>04-08-2020</v>
      </c>
      <c r="M6703" t="str">
        <f t="shared" si="2738"/>
        <v>04-08-2020</v>
      </c>
      <c r="N6703" t="str">
        <f t="shared" si="2725"/>
        <v>001105018356</v>
      </c>
      <c r="O6703" t="str">
        <f t="shared" si="2726"/>
        <v>MYR</v>
      </c>
      <c r="P6703" t="str">
        <f t="shared" si="2739"/>
        <v>NIL</v>
      </c>
      <c r="Q6703" t="str">
        <f t="shared" si="2739"/>
        <v>NIL</v>
      </c>
      <c r="R6703" t="str">
        <f t="shared" si="2740"/>
        <v>Accepted</v>
      </c>
      <c r="S6703" t="str">
        <f t="shared" si="2727"/>
        <v>Approved</v>
      </c>
      <c r="T6703" t="str">
        <f t="shared" si="2741"/>
        <v>10.20.8.188</v>
      </c>
      <c r="U6703" t="str">
        <f t="shared" si="2728"/>
        <v>AZRAD UMAR BIN SHAARI</v>
      </c>
      <c r="V6703" t="str">
        <f t="shared" si="2729"/>
        <v>FARHANA BINTI MUSTAPA</v>
      </c>
      <c r="W6703" t="str">
        <f t="shared" si="2730"/>
        <v>04-08-2020</v>
      </c>
      <c r="X6703" t="str">
        <f t="shared" si="2731"/>
        <v>RAZIMAH ANSAR AHMAD</v>
      </c>
      <c r="Y6703" t="str">
        <f t="shared" si="2732"/>
        <v>04-08-2020</v>
      </c>
      <c r="Z6703" t="str">
        <f>"COS10200804 2451"</f>
        <v>COS10200804 2451</v>
      </c>
    </row>
    <row r="6704" spans="1:26" x14ac:dyDescent="0.25">
      <c r="A6704" t="str">
        <f t="shared" si="2736"/>
        <v>04-08-2020 12:37:56</v>
      </c>
      <c r="B6704" t="str">
        <f>"0000804212"</f>
        <v>0000804212</v>
      </c>
      <c r="C6704" t="str">
        <f t="shared" si="2737"/>
        <v>0000804162</v>
      </c>
      <c r="D6704" t="str">
        <f t="shared" si="2722"/>
        <v>73185</v>
      </c>
      <c r="E6704" t="str">
        <f t="shared" si="2723"/>
        <v>KFH-OPERATIONS DEPARTMENT</v>
      </c>
      <c r="F6704" t="str">
        <f t="shared" si="2724"/>
        <v>IBG</v>
      </c>
      <c r="G6704" t="str">
        <f t="shared" si="2735"/>
        <v>Refund COSHARE 10</v>
      </c>
      <c r="H6704" s="2">
        <v>2337.4499999999998</v>
      </c>
      <c r="I6704" t="str">
        <f>"FELICIA FRANCIS"</f>
        <v>FELICIA FRANCIS</v>
      </c>
      <c r="J6704" t="str">
        <f t="shared" si="2721"/>
        <v>CIMB BANK / CIMB ISLAMIC BANK</v>
      </c>
      <c r="K6704" t="str">
        <f>"10020068569528"</f>
        <v>10020068569528</v>
      </c>
      <c r="L6704" t="str">
        <f t="shared" si="2738"/>
        <v>04-08-2020</v>
      </c>
      <c r="M6704" t="str">
        <f t="shared" si="2738"/>
        <v>04-08-2020</v>
      </c>
      <c r="N6704" t="str">
        <f t="shared" si="2725"/>
        <v>001105018356</v>
      </c>
      <c r="O6704" t="str">
        <f t="shared" si="2726"/>
        <v>MYR</v>
      </c>
      <c r="P6704" t="str">
        <f t="shared" si="2739"/>
        <v>NIL</v>
      </c>
      <c r="Q6704" t="str">
        <f t="shared" si="2739"/>
        <v>NIL</v>
      </c>
      <c r="R6704" t="str">
        <f t="shared" si="2740"/>
        <v>Accepted</v>
      </c>
      <c r="S6704" t="str">
        <f t="shared" si="2727"/>
        <v>Approved</v>
      </c>
      <c r="T6704" t="str">
        <f t="shared" si="2741"/>
        <v>10.20.8.188</v>
      </c>
      <c r="U6704" t="str">
        <f t="shared" si="2728"/>
        <v>AZRAD UMAR BIN SHAARI</v>
      </c>
      <c r="V6704" t="str">
        <f t="shared" si="2729"/>
        <v>FARHANA BINTI MUSTAPA</v>
      </c>
      <c r="W6704" t="str">
        <f t="shared" si="2730"/>
        <v>04-08-2020</v>
      </c>
      <c r="X6704" t="str">
        <f t="shared" si="2731"/>
        <v>RAZIMAH ANSAR AHMAD</v>
      </c>
      <c r="Y6704" t="str">
        <f t="shared" si="2732"/>
        <v>04-08-2020</v>
      </c>
      <c r="Z6704" t="str">
        <f>"COS10200804 2450"</f>
        <v>COS10200804 2450</v>
      </c>
    </row>
    <row r="6705" spans="1:26" x14ac:dyDescent="0.25">
      <c r="A6705" t="str">
        <f t="shared" si="2736"/>
        <v>04-08-2020 12:37:56</v>
      </c>
      <c r="B6705" t="str">
        <f>"0000804211"</f>
        <v>0000804211</v>
      </c>
      <c r="C6705" t="str">
        <f t="shared" si="2737"/>
        <v>0000804162</v>
      </c>
      <c r="D6705" t="str">
        <f t="shared" si="2722"/>
        <v>73185</v>
      </c>
      <c r="E6705" t="str">
        <f t="shared" si="2723"/>
        <v>KFH-OPERATIONS DEPARTMENT</v>
      </c>
      <c r="F6705" t="str">
        <f t="shared" si="2724"/>
        <v>IBG</v>
      </c>
      <c r="G6705" t="str">
        <f t="shared" si="2735"/>
        <v>Refund COSHARE 10</v>
      </c>
      <c r="H6705" s="2">
        <v>134.35</v>
      </c>
      <c r="I6705" t="str">
        <f>"FAUZIAH BINTI SABTU"</f>
        <v>FAUZIAH BINTI SABTU</v>
      </c>
      <c r="J6705" t="str">
        <f t="shared" si="2721"/>
        <v>CIMB BANK / CIMB ISLAMIC BANK</v>
      </c>
      <c r="K6705" t="str">
        <f>"7027813986"</f>
        <v>7027813986</v>
      </c>
      <c r="L6705" t="str">
        <f t="shared" si="2738"/>
        <v>04-08-2020</v>
      </c>
      <c r="M6705" t="str">
        <f t="shared" si="2738"/>
        <v>04-08-2020</v>
      </c>
      <c r="N6705" t="str">
        <f t="shared" si="2725"/>
        <v>001105018356</v>
      </c>
      <c r="O6705" t="str">
        <f t="shared" si="2726"/>
        <v>MYR</v>
      </c>
      <c r="P6705" t="str">
        <f t="shared" si="2739"/>
        <v>NIL</v>
      </c>
      <c r="Q6705" t="str">
        <f t="shared" si="2739"/>
        <v>NIL</v>
      </c>
      <c r="R6705" t="str">
        <f t="shared" si="2740"/>
        <v>Accepted</v>
      </c>
      <c r="S6705" t="str">
        <f t="shared" si="2727"/>
        <v>Approved</v>
      </c>
      <c r="T6705" t="str">
        <f t="shared" si="2741"/>
        <v>10.20.8.188</v>
      </c>
      <c r="U6705" t="str">
        <f t="shared" si="2728"/>
        <v>AZRAD UMAR BIN SHAARI</v>
      </c>
      <c r="V6705" t="str">
        <f t="shared" si="2729"/>
        <v>FARHANA BINTI MUSTAPA</v>
      </c>
      <c r="W6705" t="str">
        <f t="shared" si="2730"/>
        <v>04-08-2020</v>
      </c>
      <c r="X6705" t="str">
        <f t="shared" si="2731"/>
        <v>RAZIMAH ANSAR AHMAD</v>
      </c>
      <c r="Y6705" t="str">
        <f t="shared" si="2732"/>
        <v>04-08-2020</v>
      </c>
      <c r="Z6705" t="str">
        <f>"COS10200804 2449"</f>
        <v>COS10200804 2449</v>
      </c>
    </row>
    <row r="6706" spans="1:26" x14ac:dyDescent="0.25">
      <c r="A6706" t="str">
        <f t="shared" si="2736"/>
        <v>04-08-2020 12:37:56</v>
      </c>
      <c r="B6706" t="str">
        <f>"0000804210"</f>
        <v>0000804210</v>
      </c>
      <c r="C6706" t="str">
        <f t="shared" si="2737"/>
        <v>0000804162</v>
      </c>
      <c r="D6706" t="str">
        <f t="shared" si="2722"/>
        <v>73185</v>
      </c>
      <c r="E6706" t="str">
        <f t="shared" si="2723"/>
        <v>KFH-OPERATIONS DEPARTMENT</v>
      </c>
      <c r="F6706" t="str">
        <f t="shared" si="2724"/>
        <v>IBG</v>
      </c>
      <c r="G6706" t="str">
        <f t="shared" si="2735"/>
        <v>Refund COSHARE 10</v>
      </c>
      <c r="H6706" s="2">
        <v>461.75</v>
      </c>
      <c r="I6706" t="str">
        <f>"FAUZIAH BINTI MAT WALI"</f>
        <v>FAUZIAH BINTI MAT WALI</v>
      </c>
      <c r="J6706" t="str">
        <f t="shared" si="2721"/>
        <v>CIMB BANK / CIMB ISLAMIC BANK</v>
      </c>
      <c r="K6706" t="str">
        <f>"05140074965522"</f>
        <v>05140074965522</v>
      </c>
      <c r="L6706" t="str">
        <f t="shared" si="2738"/>
        <v>04-08-2020</v>
      </c>
      <c r="M6706" t="str">
        <f t="shared" si="2738"/>
        <v>04-08-2020</v>
      </c>
      <c r="N6706" t="str">
        <f t="shared" si="2725"/>
        <v>001105018356</v>
      </c>
      <c r="O6706" t="str">
        <f t="shared" si="2726"/>
        <v>MYR</v>
      </c>
      <c r="P6706" t="str">
        <f t="shared" si="2739"/>
        <v>NIL</v>
      </c>
      <c r="Q6706" t="str">
        <f t="shared" si="2739"/>
        <v>NIL</v>
      </c>
      <c r="R6706" t="str">
        <f t="shared" si="2740"/>
        <v>Accepted</v>
      </c>
      <c r="S6706" t="str">
        <f t="shared" si="2727"/>
        <v>Approved</v>
      </c>
      <c r="T6706" t="str">
        <f t="shared" si="2741"/>
        <v>10.20.8.188</v>
      </c>
      <c r="U6706" t="str">
        <f t="shared" si="2728"/>
        <v>AZRAD UMAR BIN SHAARI</v>
      </c>
      <c r="V6706" t="str">
        <f t="shared" si="2729"/>
        <v>FARHANA BINTI MUSTAPA</v>
      </c>
      <c r="W6706" t="str">
        <f t="shared" si="2730"/>
        <v>04-08-2020</v>
      </c>
      <c r="X6706" t="str">
        <f t="shared" si="2731"/>
        <v>RAZIMAH ANSAR AHMAD</v>
      </c>
      <c r="Y6706" t="str">
        <f t="shared" si="2732"/>
        <v>04-08-2020</v>
      </c>
      <c r="Z6706" t="str">
        <f>"COS10200804 2448"</f>
        <v>COS10200804 2448</v>
      </c>
    </row>
    <row r="6707" spans="1:26" x14ac:dyDescent="0.25">
      <c r="A6707" t="str">
        <f t="shared" si="2736"/>
        <v>04-08-2020 12:37:56</v>
      </c>
      <c r="B6707" t="str">
        <f>"0000804209"</f>
        <v>0000804209</v>
      </c>
      <c r="C6707" t="str">
        <f t="shared" si="2737"/>
        <v>0000804162</v>
      </c>
      <c r="D6707" t="str">
        <f t="shared" si="2722"/>
        <v>73185</v>
      </c>
      <c r="E6707" t="str">
        <f t="shared" si="2723"/>
        <v>KFH-OPERATIONS DEPARTMENT</v>
      </c>
      <c r="F6707" t="str">
        <f t="shared" si="2724"/>
        <v>IBG</v>
      </c>
      <c r="G6707" t="str">
        <f t="shared" si="2735"/>
        <v>Refund COSHARE 10</v>
      </c>
      <c r="H6707" s="2">
        <v>218.3</v>
      </c>
      <c r="I6707" t="str">
        <f>"FAUZAN BIN ZAHARI"</f>
        <v>FAUZAN BIN ZAHARI</v>
      </c>
      <c r="J6707" t="str">
        <f t="shared" si="2721"/>
        <v>CIMB BANK / CIMB ISLAMIC BANK</v>
      </c>
      <c r="K6707" t="str">
        <f>"08150067466520"</f>
        <v>08150067466520</v>
      </c>
      <c r="L6707" t="str">
        <f t="shared" ref="L6707:M6726" si="2742">"04-08-2020"</f>
        <v>04-08-2020</v>
      </c>
      <c r="M6707" t="str">
        <f t="shared" si="2742"/>
        <v>04-08-2020</v>
      </c>
      <c r="N6707" t="str">
        <f t="shared" si="2725"/>
        <v>001105018356</v>
      </c>
      <c r="O6707" t="str">
        <f t="shared" si="2726"/>
        <v>MYR</v>
      </c>
      <c r="P6707" t="str">
        <f t="shared" ref="P6707:Q6726" si="2743">"NIL"</f>
        <v>NIL</v>
      </c>
      <c r="Q6707" t="str">
        <f t="shared" si="2743"/>
        <v>NIL</v>
      </c>
      <c r="R6707" t="str">
        <f t="shared" si="2740"/>
        <v>Accepted</v>
      </c>
      <c r="S6707" t="str">
        <f t="shared" si="2727"/>
        <v>Approved</v>
      </c>
      <c r="T6707" t="str">
        <f t="shared" si="2741"/>
        <v>10.20.8.188</v>
      </c>
      <c r="U6707" t="str">
        <f t="shared" si="2728"/>
        <v>AZRAD UMAR BIN SHAARI</v>
      </c>
      <c r="V6707" t="str">
        <f t="shared" si="2729"/>
        <v>FARHANA BINTI MUSTAPA</v>
      </c>
      <c r="W6707" t="str">
        <f t="shared" si="2730"/>
        <v>04-08-2020</v>
      </c>
      <c r="X6707" t="str">
        <f t="shared" si="2731"/>
        <v>RAZIMAH ANSAR AHMAD</v>
      </c>
      <c r="Y6707" t="str">
        <f t="shared" si="2732"/>
        <v>04-08-2020</v>
      </c>
      <c r="Z6707" t="str">
        <f>"COS10200804 2447"</f>
        <v>COS10200804 2447</v>
      </c>
    </row>
    <row r="6708" spans="1:26" x14ac:dyDescent="0.25">
      <c r="A6708" t="str">
        <f t="shared" si="2736"/>
        <v>04-08-2020 12:37:56</v>
      </c>
      <c r="B6708" t="str">
        <f>"0000804208"</f>
        <v>0000804208</v>
      </c>
      <c r="C6708" t="str">
        <f t="shared" si="2737"/>
        <v>0000804162</v>
      </c>
      <c r="D6708" t="str">
        <f t="shared" si="2722"/>
        <v>73185</v>
      </c>
      <c r="E6708" t="str">
        <f t="shared" si="2723"/>
        <v>KFH-OPERATIONS DEPARTMENT</v>
      </c>
      <c r="F6708" t="str">
        <f t="shared" si="2724"/>
        <v>IBG</v>
      </c>
      <c r="G6708" t="str">
        <f t="shared" si="2735"/>
        <v>Refund COSHARE 10</v>
      </c>
      <c r="H6708" s="2">
        <v>839.5</v>
      </c>
      <c r="I6708" t="str">
        <f>"FARRAH MARINA BINTI BAKRI"</f>
        <v>FARRAH MARINA BINTI BAKRI</v>
      </c>
      <c r="J6708" t="str">
        <f t="shared" si="2721"/>
        <v>CIMB BANK / CIMB ISLAMIC BANK</v>
      </c>
      <c r="K6708" t="str">
        <f>"10020091237521"</f>
        <v>10020091237521</v>
      </c>
      <c r="L6708" t="str">
        <f t="shared" si="2742"/>
        <v>04-08-2020</v>
      </c>
      <c r="M6708" t="str">
        <f t="shared" si="2742"/>
        <v>04-08-2020</v>
      </c>
      <c r="N6708" t="str">
        <f t="shared" si="2725"/>
        <v>001105018356</v>
      </c>
      <c r="O6708" t="str">
        <f t="shared" si="2726"/>
        <v>MYR</v>
      </c>
      <c r="P6708" t="str">
        <f t="shared" si="2743"/>
        <v>NIL</v>
      </c>
      <c r="Q6708" t="str">
        <f t="shared" si="2743"/>
        <v>NIL</v>
      </c>
      <c r="R6708" t="str">
        <f t="shared" si="2740"/>
        <v>Accepted</v>
      </c>
      <c r="S6708" t="str">
        <f t="shared" si="2727"/>
        <v>Approved</v>
      </c>
      <c r="T6708" t="str">
        <f t="shared" si="2741"/>
        <v>10.20.8.188</v>
      </c>
      <c r="U6708" t="str">
        <f t="shared" si="2728"/>
        <v>AZRAD UMAR BIN SHAARI</v>
      </c>
      <c r="V6708" t="str">
        <f t="shared" si="2729"/>
        <v>FARHANA BINTI MUSTAPA</v>
      </c>
      <c r="W6708" t="str">
        <f t="shared" si="2730"/>
        <v>04-08-2020</v>
      </c>
      <c r="X6708" t="str">
        <f t="shared" si="2731"/>
        <v>RAZIMAH ANSAR AHMAD</v>
      </c>
      <c r="Y6708" t="str">
        <f t="shared" si="2732"/>
        <v>04-08-2020</v>
      </c>
      <c r="Z6708" t="str">
        <f>"COS10200804 2446"</f>
        <v>COS10200804 2446</v>
      </c>
    </row>
    <row r="6709" spans="1:26" x14ac:dyDescent="0.25">
      <c r="A6709" t="str">
        <f t="shared" si="2736"/>
        <v>04-08-2020 12:37:56</v>
      </c>
      <c r="B6709" t="str">
        <f>"0000804207"</f>
        <v>0000804207</v>
      </c>
      <c r="C6709" t="str">
        <f t="shared" si="2737"/>
        <v>0000804162</v>
      </c>
      <c r="D6709" t="str">
        <f t="shared" si="2722"/>
        <v>73185</v>
      </c>
      <c r="E6709" t="str">
        <f t="shared" si="2723"/>
        <v>KFH-OPERATIONS DEPARTMENT</v>
      </c>
      <c r="F6709" t="str">
        <f t="shared" si="2724"/>
        <v>IBG</v>
      </c>
      <c r="G6709" t="str">
        <f t="shared" si="2735"/>
        <v>Refund COSHARE 10</v>
      </c>
      <c r="H6709" s="2">
        <v>839.5</v>
      </c>
      <c r="I6709" t="str">
        <f>"FARINA WARDAH BINTI PERMIN"</f>
        <v>FARINA WARDAH BINTI PERMIN</v>
      </c>
      <c r="J6709" t="str">
        <f t="shared" si="2721"/>
        <v>CIMB BANK / CIMB ISLAMIC BANK</v>
      </c>
      <c r="K6709" t="str">
        <f>"06100064952525"</f>
        <v>06100064952525</v>
      </c>
      <c r="L6709" t="str">
        <f t="shared" si="2742"/>
        <v>04-08-2020</v>
      </c>
      <c r="M6709" t="str">
        <f t="shared" si="2742"/>
        <v>04-08-2020</v>
      </c>
      <c r="N6709" t="str">
        <f t="shared" si="2725"/>
        <v>001105018356</v>
      </c>
      <c r="O6709" t="str">
        <f t="shared" si="2726"/>
        <v>MYR</v>
      </c>
      <c r="P6709" t="str">
        <f t="shared" si="2743"/>
        <v>NIL</v>
      </c>
      <c r="Q6709" t="str">
        <f t="shared" si="2743"/>
        <v>NIL</v>
      </c>
      <c r="R6709" t="str">
        <f t="shared" si="2740"/>
        <v>Accepted</v>
      </c>
      <c r="S6709" t="str">
        <f t="shared" si="2727"/>
        <v>Approved</v>
      </c>
      <c r="T6709" t="str">
        <f t="shared" si="2741"/>
        <v>10.20.8.188</v>
      </c>
      <c r="U6709" t="str">
        <f t="shared" si="2728"/>
        <v>AZRAD UMAR BIN SHAARI</v>
      </c>
      <c r="V6709" t="str">
        <f t="shared" si="2729"/>
        <v>FARHANA BINTI MUSTAPA</v>
      </c>
      <c r="W6709" t="str">
        <f t="shared" si="2730"/>
        <v>04-08-2020</v>
      </c>
      <c r="X6709" t="str">
        <f t="shared" si="2731"/>
        <v>RAZIMAH ANSAR AHMAD</v>
      </c>
      <c r="Y6709" t="str">
        <f t="shared" si="2732"/>
        <v>04-08-2020</v>
      </c>
      <c r="Z6709" t="str">
        <f>"COS10200804 2445"</f>
        <v>COS10200804 2445</v>
      </c>
    </row>
    <row r="6710" spans="1:26" x14ac:dyDescent="0.25">
      <c r="A6710" t="str">
        <f t="shared" si="2736"/>
        <v>04-08-2020 12:37:56</v>
      </c>
      <c r="B6710" t="str">
        <f>"0000804206"</f>
        <v>0000804206</v>
      </c>
      <c r="C6710" t="str">
        <f t="shared" si="2737"/>
        <v>0000804162</v>
      </c>
      <c r="D6710" t="str">
        <f t="shared" si="2722"/>
        <v>73185</v>
      </c>
      <c r="E6710" t="str">
        <f t="shared" si="2723"/>
        <v>KFH-OPERATIONS DEPARTMENT</v>
      </c>
      <c r="F6710" t="str">
        <f t="shared" si="2724"/>
        <v>IBG</v>
      </c>
      <c r="G6710" t="str">
        <f t="shared" si="2735"/>
        <v>Refund COSHARE 10</v>
      </c>
      <c r="H6710" s="2">
        <v>1034.4000000000001</v>
      </c>
      <c r="I6710" t="str">
        <f>"FARIDAH BINTI MOHD ARIF"</f>
        <v>FARIDAH BINTI MOHD ARIF</v>
      </c>
      <c r="J6710" t="str">
        <f t="shared" si="2721"/>
        <v>CIMB BANK / CIMB ISLAMIC BANK</v>
      </c>
      <c r="K6710" t="str">
        <f>"08150006142522"</f>
        <v>08150006142522</v>
      </c>
      <c r="L6710" t="str">
        <f t="shared" si="2742"/>
        <v>04-08-2020</v>
      </c>
      <c r="M6710" t="str">
        <f t="shared" si="2742"/>
        <v>04-08-2020</v>
      </c>
      <c r="N6710" t="str">
        <f t="shared" si="2725"/>
        <v>001105018356</v>
      </c>
      <c r="O6710" t="str">
        <f t="shared" si="2726"/>
        <v>MYR</v>
      </c>
      <c r="P6710" t="str">
        <f t="shared" si="2743"/>
        <v>NIL</v>
      </c>
      <c r="Q6710" t="str">
        <f t="shared" si="2743"/>
        <v>NIL</v>
      </c>
      <c r="R6710" t="str">
        <f t="shared" si="2740"/>
        <v>Accepted</v>
      </c>
      <c r="S6710" t="str">
        <f t="shared" si="2727"/>
        <v>Approved</v>
      </c>
      <c r="T6710" t="str">
        <f t="shared" si="2741"/>
        <v>10.20.8.188</v>
      </c>
      <c r="U6710" t="str">
        <f t="shared" si="2728"/>
        <v>AZRAD UMAR BIN SHAARI</v>
      </c>
      <c r="V6710" t="str">
        <f t="shared" si="2729"/>
        <v>FARHANA BINTI MUSTAPA</v>
      </c>
      <c r="W6710" t="str">
        <f t="shared" si="2730"/>
        <v>04-08-2020</v>
      </c>
      <c r="X6710" t="str">
        <f t="shared" si="2731"/>
        <v>RAZIMAH ANSAR AHMAD</v>
      </c>
      <c r="Y6710" t="str">
        <f t="shared" si="2732"/>
        <v>04-08-2020</v>
      </c>
      <c r="Z6710" t="str">
        <f>"COS10200804 2444"</f>
        <v>COS10200804 2444</v>
      </c>
    </row>
    <row r="6711" spans="1:26" x14ac:dyDescent="0.25">
      <c r="A6711" t="str">
        <f t="shared" si="2736"/>
        <v>04-08-2020 12:37:56</v>
      </c>
      <c r="B6711" t="str">
        <f>"0000804205"</f>
        <v>0000804205</v>
      </c>
      <c r="C6711" t="str">
        <f t="shared" si="2737"/>
        <v>0000804162</v>
      </c>
      <c r="D6711" t="str">
        <f t="shared" si="2722"/>
        <v>73185</v>
      </c>
      <c r="E6711" t="str">
        <f t="shared" si="2723"/>
        <v>KFH-OPERATIONS DEPARTMENT</v>
      </c>
      <c r="F6711" t="str">
        <f t="shared" si="2724"/>
        <v>IBG</v>
      </c>
      <c r="G6711" t="str">
        <f t="shared" si="2735"/>
        <v>Refund COSHARE 10</v>
      </c>
      <c r="H6711" s="2">
        <v>118.95</v>
      </c>
      <c r="I6711" t="str">
        <f>"FARIDAH BINTI MAHADZIR"</f>
        <v>FARIDAH BINTI MAHADZIR</v>
      </c>
      <c r="J6711" t="str">
        <f t="shared" si="2721"/>
        <v>CIMB BANK / CIMB ISLAMIC BANK</v>
      </c>
      <c r="K6711" t="str">
        <f>"14230021355523"</f>
        <v>14230021355523</v>
      </c>
      <c r="L6711" t="str">
        <f t="shared" si="2742"/>
        <v>04-08-2020</v>
      </c>
      <c r="M6711" t="str">
        <f t="shared" si="2742"/>
        <v>04-08-2020</v>
      </c>
      <c r="N6711" t="str">
        <f t="shared" si="2725"/>
        <v>001105018356</v>
      </c>
      <c r="O6711" t="str">
        <f t="shared" si="2726"/>
        <v>MYR</v>
      </c>
      <c r="P6711" t="str">
        <f t="shared" si="2743"/>
        <v>NIL</v>
      </c>
      <c r="Q6711" t="str">
        <f t="shared" si="2743"/>
        <v>NIL</v>
      </c>
      <c r="R6711" t="str">
        <f t="shared" si="2740"/>
        <v>Accepted</v>
      </c>
      <c r="S6711" t="str">
        <f t="shared" si="2727"/>
        <v>Approved</v>
      </c>
      <c r="T6711" t="str">
        <f t="shared" si="2741"/>
        <v>10.20.8.188</v>
      </c>
      <c r="U6711" t="str">
        <f t="shared" si="2728"/>
        <v>AZRAD UMAR BIN SHAARI</v>
      </c>
      <c r="V6711" t="str">
        <f t="shared" si="2729"/>
        <v>FARHANA BINTI MUSTAPA</v>
      </c>
      <c r="W6711" t="str">
        <f t="shared" si="2730"/>
        <v>04-08-2020</v>
      </c>
      <c r="X6711" t="str">
        <f t="shared" si="2731"/>
        <v>RAZIMAH ANSAR AHMAD</v>
      </c>
      <c r="Y6711" t="str">
        <f t="shared" si="2732"/>
        <v>04-08-2020</v>
      </c>
      <c r="Z6711" t="str">
        <f>"COS10200804 2443"</f>
        <v>COS10200804 2443</v>
      </c>
    </row>
    <row r="6712" spans="1:26" x14ac:dyDescent="0.25">
      <c r="A6712" t="str">
        <f t="shared" si="2736"/>
        <v>04-08-2020 12:37:56</v>
      </c>
      <c r="B6712" t="str">
        <f>"0000804204"</f>
        <v>0000804204</v>
      </c>
      <c r="C6712" t="str">
        <f t="shared" si="2737"/>
        <v>0000804162</v>
      </c>
      <c r="D6712" t="str">
        <f t="shared" si="2722"/>
        <v>73185</v>
      </c>
      <c r="E6712" t="str">
        <f t="shared" si="2723"/>
        <v>KFH-OPERATIONS DEPARTMENT</v>
      </c>
      <c r="F6712" t="str">
        <f t="shared" si="2724"/>
        <v>IBG</v>
      </c>
      <c r="G6712" t="str">
        <f t="shared" si="2735"/>
        <v>Refund COSHARE 10</v>
      </c>
      <c r="H6712" s="2">
        <v>1318.05</v>
      </c>
      <c r="I6712" t="str">
        <f>"FARIDAH BINTI ABDUL AZIZ"</f>
        <v>FARIDAH BINTI ABDUL AZIZ</v>
      </c>
      <c r="J6712" t="str">
        <f t="shared" si="2721"/>
        <v>CIMB BANK / CIMB ISLAMIC BANK</v>
      </c>
      <c r="K6712" t="str">
        <f>"7625837557"</f>
        <v>7625837557</v>
      </c>
      <c r="L6712" t="str">
        <f t="shared" si="2742"/>
        <v>04-08-2020</v>
      </c>
      <c r="M6712" t="str">
        <f t="shared" si="2742"/>
        <v>04-08-2020</v>
      </c>
      <c r="N6712" t="str">
        <f t="shared" si="2725"/>
        <v>001105018356</v>
      </c>
      <c r="O6712" t="str">
        <f t="shared" si="2726"/>
        <v>MYR</v>
      </c>
      <c r="P6712" t="str">
        <f t="shared" si="2743"/>
        <v>NIL</v>
      </c>
      <c r="Q6712" t="str">
        <f t="shared" si="2743"/>
        <v>NIL</v>
      </c>
      <c r="R6712" t="str">
        <f t="shared" si="2740"/>
        <v>Accepted</v>
      </c>
      <c r="S6712" t="str">
        <f t="shared" si="2727"/>
        <v>Approved</v>
      </c>
      <c r="T6712" t="str">
        <f t="shared" si="2741"/>
        <v>10.20.8.188</v>
      </c>
      <c r="U6712" t="str">
        <f t="shared" si="2728"/>
        <v>AZRAD UMAR BIN SHAARI</v>
      </c>
      <c r="V6712" t="str">
        <f t="shared" si="2729"/>
        <v>FARHANA BINTI MUSTAPA</v>
      </c>
      <c r="W6712" t="str">
        <f t="shared" si="2730"/>
        <v>04-08-2020</v>
      </c>
      <c r="X6712" t="str">
        <f t="shared" si="2731"/>
        <v>RAZIMAH ANSAR AHMAD</v>
      </c>
      <c r="Y6712" t="str">
        <f t="shared" si="2732"/>
        <v>04-08-2020</v>
      </c>
      <c r="Z6712" t="str">
        <f>"COS10200804 2442"</f>
        <v>COS10200804 2442</v>
      </c>
    </row>
    <row r="6713" spans="1:26" x14ac:dyDescent="0.25">
      <c r="A6713" t="str">
        <f t="shared" si="2736"/>
        <v>04-08-2020 12:37:56</v>
      </c>
      <c r="B6713" t="str">
        <f>"0000804203"</f>
        <v>0000804203</v>
      </c>
      <c r="C6713" t="str">
        <f t="shared" si="2737"/>
        <v>0000804162</v>
      </c>
      <c r="D6713" t="str">
        <f t="shared" si="2722"/>
        <v>73185</v>
      </c>
      <c r="E6713" t="str">
        <f t="shared" si="2723"/>
        <v>KFH-OPERATIONS DEPARTMENT</v>
      </c>
      <c r="F6713" t="str">
        <f t="shared" si="2724"/>
        <v>IBG</v>
      </c>
      <c r="G6713" t="str">
        <f t="shared" si="2735"/>
        <v>Refund COSHARE 10</v>
      </c>
      <c r="H6713" s="2">
        <v>1091.3499999999999</v>
      </c>
      <c r="I6713" t="str">
        <f>"FARIDA FARALISA BINTI PAIMAN"</f>
        <v>FARIDA FARALISA BINTI PAIMAN</v>
      </c>
      <c r="J6713" t="str">
        <f t="shared" si="2721"/>
        <v>CIMB BANK / CIMB ISLAMIC BANK</v>
      </c>
      <c r="K6713" t="str">
        <f>"14520000389201"</f>
        <v>14520000389201</v>
      </c>
      <c r="L6713" t="str">
        <f t="shared" si="2742"/>
        <v>04-08-2020</v>
      </c>
      <c r="M6713" t="str">
        <f t="shared" si="2742"/>
        <v>04-08-2020</v>
      </c>
      <c r="N6713" t="str">
        <f t="shared" si="2725"/>
        <v>001105018356</v>
      </c>
      <c r="O6713" t="str">
        <f t="shared" si="2726"/>
        <v>MYR</v>
      </c>
      <c r="P6713" t="str">
        <f t="shared" si="2743"/>
        <v>NIL</v>
      </c>
      <c r="Q6713" t="str">
        <f t="shared" si="2743"/>
        <v>NIL</v>
      </c>
      <c r="R6713" t="str">
        <f t="shared" si="2740"/>
        <v>Accepted</v>
      </c>
      <c r="S6713" t="str">
        <f t="shared" si="2727"/>
        <v>Approved</v>
      </c>
      <c r="T6713" t="str">
        <f t="shared" si="2741"/>
        <v>10.20.8.188</v>
      </c>
      <c r="U6713" t="str">
        <f t="shared" si="2728"/>
        <v>AZRAD UMAR BIN SHAARI</v>
      </c>
      <c r="V6713" t="str">
        <f t="shared" si="2729"/>
        <v>FARHANA BINTI MUSTAPA</v>
      </c>
      <c r="W6713" t="str">
        <f t="shared" si="2730"/>
        <v>04-08-2020</v>
      </c>
      <c r="X6713" t="str">
        <f t="shared" si="2731"/>
        <v>RAZIMAH ANSAR AHMAD</v>
      </c>
      <c r="Y6713" t="str">
        <f t="shared" si="2732"/>
        <v>04-08-2020</v>
      </c>
      <c r="Z6713" t="str">
        <f>"COS10200804 2441"</f>
        <v>COS10200804 2441</v>
      </c>
    </row>
    <row r="6714" spans="1:26" x14ac:dyDescent="0.25">
      <c r="A6714" t="str">
        <f t="shared" ref="A6714:A6745" si="2744">"04-08-2020 12:37:56"</f>
        <v>04-08-2020 12:37:56</v>
      </c>
      <c r="B6714" t="str">
        <f>"0000804202"</f>
        <v>0000804202</v>
      </c>
      <c r="C6714" t="str">
        <f t="shared" ref="C6714:C6745" si="2745">"0000804162"</f>
        <v>0000804162</v>
      </c>
      <c r="D6714" t="str">
        <f t="shared" si="2722"/>
        <v>73185</v>
      </c>
      <c r="E6714" t="str">
        <f t="shared" si="2723"/>
        <v>KFH-OPERATIONS DEPARTMENT</v>
      </c>
      <c r="F6714" t="str">
        <f t="shared" si="2724"/>
        <v>IBG</v>
      </c>
      <c r="G6714" t="str">
        <f t="shared" si="2735"/>
        <v>Refund COSHARE 10</v>
      </c>
      <c r="H6714" s="2">
        <v>687.65</v>
      </c>
      <c r="I6714" t="str">
        <f>"FARHANA GADAUK ABDULLAH  SOMILIN"</f>
        <v>FARHANA GADAUK ABDULLAH  SOMILIN</v>
      </c>
      <c r="J6714" t="str">
        <f t="shared" si="2721"/>
        <v>CIMB BANK / CIMB ISLAMIC BANK</v>
      </c>
      <c r="K6714" t="str">
        <f>"10030042732525"</f>
        <v>10030042732525</v>
      </c>
      <c r="L6714" t="str">
        <f t="shared" si="2742"/>
        <v>04-08-2020</v>
      </c>
      <c r="M6714" t="str">
        <f t="shared" si="2742"/>
        <v>04-08-2020</v>
      </c>
      <c r="N6714" t="str">
        <f t="shared" si="2725"/>
        <v>001105018356</v>
      </c>
      <c r="O6714" t="str">
        <f t="shared" si="2726"/>
        <v>MYR</v>
      </c>
      <c r="P6714" t="str">
        <f t="shared" si="2743"/>
        <v>NIL</v>
      </c>
      <c r="Q6714" t="str">
        <f t="shared" si="2743"/>
        <v>NIL</v>
      </c>
      <c r="R6714" t="str">
        <f t="shared" si="2740"/>
        <v>Accepted</v>
      </c>
      <c r="S6714" t="str">
        <f t="shared" si="2727"/>
        <v>Approved</v>
      </c>
      <c r="T6714" t="str">
        <f t="shared" si="2741"/>
        <v>10.20.8.188</v>
      </c>
      <c r="U6714" t="str">
        <f t="shared" si="2728"/>
        <v>AZRAD UMAR BIN SHAARI</v>
      </c>
      <c r="V6714" t="str">
        <f t="shared" si="2729"/>
        <v>FARHANA BINTI MUSTAPA</v>
      </c>
      <c r="W6714" t="str">
        <f t="shared" si="2730"/>
        <v>04-08-2020</v>
      </c>
      <c r="X6714" t="str">
        <f t="shared" si="2731"/>
        <v>RAZIMAH ANSAR AHMAD</v>
      </c>
      <c r="Y6714" t="str">
        <f t="shared" si="2732"/>
        <v>04-08-2020</v>
      </c>
      <c r="Z6714" t="str">
        <f>"COS10200804 2440"</f>
        <v>COS10200804 2440</v>
      </c>
    </row>
    <row r="6715" spans="1:26" x14ac:dyDescent="0.25">
      <c r="A6715" t="str">
        <f t="shared" si="2744"/>
        <v>04-08-2020 12:37:56</v>
      </c>
      <c r="B6715" t="str">
        <f>"0000804201"</f>
        <v>0000804201</v>
      </c>
      <c r="C6715" t="str">
        <f t="shared" si="2745"/>
        <v>0000804162</v>
      </c>
      <c r="D6715" t="str">
        <f t="shared" si="2722"/>
        <v>73185</v>
      </c>
      <c r="E6715" t="str">
        <f t="shared" si="2723"/>
        <v>KFH-OPERATIONS DEPARTMENT</v>
      </c>
      <c r="F6715" t="str">
        <f t="shared" si="2724"/>
        <v>IBG</v>
      </c>
      <c r="G6715" t="str">
        <f t="shared" si="2735"/>
        <v>Refund COSHARE 10</v>
      </c>
      <c r="H6715" s="2">
        <v>419.75</v>
      </c>
      <c r="I6715" t="str">
        <f>"FARHAH BINTI ABDALDIN"</f>
        <v>FARHAH BINTI ABDALDIN</v>
      </c>
      <c r="J6715" t="str">
        <f t="shared" si="2721"/>
        <v>CIMB BANK / CIMB ISLAMIC BANK</v>
      </c>
      <c r="K6715" t="str">
        <f>"12051392175525"</f>
        <v>12051392175525</v>
      </c>
      <c r="L6715" t="str">
        <f t="shared" si="2742"/>
        <v>04-08-2020</v>
      </c>
      <c r="M6715" t="str">
        <f t="shared" si="2742"/>
        <v>04-08-2020</v>
      </c>
      <c r="N6715" t="str">
        <f t="shared" si="2725"/>
        <v>001105018356</v>
      </c>
      <c r="O6715" t="str">
        <f t="shared" si="2726"/>
        <v>MYR</v>
      </c>
      <c r="P6715" t="str">
        <f t="shared" si="2743"/>
        <v>NIL</v>
      </c>
      <c r="Q6715" t="str">
        <f t="shared" si="2743"/>
        <v>NIL</v>
      </c>
      <c r="R6715" t="str">
        <f t="shared" si="2740"/>
        <v>Accepted</v>
      </c>
      <c r="S6715" t="str">
        <f t="shared" si="2727"/>
        <v>Approved</v>
      </c>
      <c r="T6715" t="str">
        <f t="shared" si="2741"/>
        <v>10.20.8.188</v>
      </c>
      <c r="U6715" t="str">
        <f t="shared" si="2728"/>
        <v>AZRAD UMAR BIN SHAARI</v>
      </c>
      <c r="V6715" t="str">
        <f t="shared" si="2729"/>
        <v>FARHANA BINTI MUSTAPA</v>
      </c>
      <c r="W6715" t="str">
        <f t="shared" si="2730"/>
        <v>04-08-2020</v>
      </c>
      <c r="X6715" t="str">
        <f t="shared" si="2731"/>
        <v>RAZIMAH ANSAR AHMAD</v>
      </c>
      <c r="Y6715" t="str">
        <f t="shared" si="2732"/>
        <v>04-08-2020</v>
      </c>
      <c r="Z6715" t="str">
        <f>"COS10200804 2439"</f>
        <v>COS10200804 2439</v>
      </c>
    </row>
    <row r="6716" spans="1:26" x14ac:dyDescent="0.25">
      <c r="A6716" t="str">
        <f t="shared" si="2744"/>
        <v>04-08-2020 12:37:56</v>
      </c>
      <c r="B6716" t="str">
        <f>"0000804200"</f>
        <v>0000804200</v>
      </c>
      <c r="C6716" t="str">
        <f t="shared" si="2745"/>
        <v>0000804162</v>
      </c>
      <c r="D6716" t="str">
        <f t="shared" si="2722"/>
        <v>73185</v>
      </c>
      <c r="E6716" t="str">
        <f t="shared" si="2723"/>
        <v>KFH-OPERATIONS DEPARTMENT</v>
      </c>
      <c r="F6716" t="str">
        <f t="shared" si="2724"/>
        <v>IBG</v>
      </c>
      <c r="G6716" t="str">
        <f t="shared" si="2735"/>
        <v>Refund COSHARE 10</v>
      </c>
      <c r="H6716" s="2">
        <v>245.6</v>
      </c>
      <c r="I6716" t="str">
        <f>"FARAHIDA BINTI ABD AZIZ"</f>
        <v>FARAHIDA BINTI ABD AZIZ</v>
      </c>
      <c r="J6716" t="str">
        <f t="shared" ref="J6716:J6779" si="2746">"CIMB BANK / CIMB ISLAMIC BANK"</f>
        <v>CIMB BANK / CIMB ISLAMIC BANK</v>
      </c>
      <c r="K6716" t="str">
        <f>"06060029532521"</f>
        <v>06060029532521</v>
      </c>
      <c r="L6716" t="str">
        <f t="shared" si="2742"/>
        <v>04-08-2020</v>
      </c>
      <c r="M6716" t="str">
        <f t="shared" si="2742"/>
        <v>04-08-2020</v>
      </c>
      <c r="N6716" t="str">
        <f t="shared" si="2725"/>
        <v>001105018356</v>
      </c>
      <c r="O6716" t="str">
        <f t="shared" si="2726"/>
        <v>MYR</v>
      </c>
      <c r="P6716" t="str">
        <f t="shared" si="2743"/>
        <v>NIL</v>
      </c>
      <c r="Q6716" t="str">
        <f t="shared" si="2743"/>
        <v>NIL</v>
      </c>
      <c r="R6716" t="str">
        <f t="shared" si="2740"/>
        <v>Accepted</v>
      </c>
      <c r="S6716" t="str">
        <f t="shared" si="2727"/>
        <v>Approved</v>
      </c>
      <c r="T6716" t="str">
        <f t="shared" si="2741"/>
        <v>10.20.8.188</v>
      </c>
      <c r="U6716" t="str">
        <f t="shared" si="2728"/>
        <v>AZRAD UMAR BIN SHAARI</v>
      </c>
      <c r="V6716" t="str">
        <f t="shared" si="2729"/>
        <v>FARHANA BINTI MUSTAPA</v>
      </c>
      <c r="W6716" t="str">
        <f t="shared" si="2730"/>
        <v>04-08-2020</v>
      </c>
      <c r="X6716" t="str">
        <f t="shared" si="2731"/>
        <v>RAZIMAH ANSAR AHMAD</v>
      </c>
      <c r="Y6716" t="str">
        <f t="shared" si="2732"/>
        <v>04-08-2020</v>
      </c>
      <c r="Z6716" t="str">
        <f>"COS10200804 2438"</f>
        <v>COS10200804 2438</v>
      </c>
    </row>
    <row r="6717" spans="1:26" x14ac:dyDescent="0.25">
      <c r="A6717" t="str">
        <f t="shared" si="2744"/>
        <v>04-08-2020 12:37:56</v>
      </c>
      <c r="B6717" t="str">
        <f>"0000804199"</f>
        <v>0000804199</v>
      </c>
      <c r="C6717" t="str">
        <f t="shared" si="2745"/>
        <v>0000804162</v>
      </c>
      <c r="D6717" t="str">
        <f t="shared" si="2722"/>
        <v>73185</v>
      </c>
      <c r="E6717" t="str">
        <f t="shared" si="2723"/>
        <v>KFH-OPERATIONS DEPARTMENT</v>
      </c>
      <c r="F6717" t="str">
        <f t="shared" si="2724"/>
        <v>IBG</v>
      </c>
      <c r="G6717" t="str">
        <f t="shared" si="2735"/>
        <v>Refund COSHARE 10</v>
      </c>
      <c r="H6717" s="2">
        <v>444.95</v>
      </c>
      <c r="I6717" t="str">
        <f>"FARAH AZFARINA BINTI ABDUL AZIZ"</f>
        <v>FARAH AZFARINA BINTI ABDUL AZIZ</v>
      </c>
      <c r="J6717" t="str">
        <f t="shared" si="2746"/>
        <v>CIMB BANK / CIMB ISLAMIC BANK</v>
      </c>
      <c r="K6717" t="str">
        <f>"7002579167"</f>
        <v>7002579167</v>
      </c>
      <c r="L6717" t="str">
        <f t="shared" si="2742"/>
        <v>04-08-2020</v>
      </c>
      <c r="M6717" t="str">
        <f t="shared" si="2742"/>
        <v>04-08-2020</v>
      </c>
      <c r="N6717" t="str">
        <f t="shared" si="2725"/>
        <v>001105018356</v>
      </c>
      <c r="O6717" t="str">
        <f t="shared" si="2726"/>
        <v>MYR</v>
      </c>
      <c r="P6717" t="str">
        <f t="shared" si="2743"/>
        <v>NIL</v>
      </c>
      <c r="Q6717" t="str">
        <f t="shared" si="2743"/>
        <v>NIL</v>
      </c>
      <c r="R6717" t="str">
        <f t="shared" si="2740"/>
        <v>Accepted</v>
      </c>
      <c r="S6717" t="str">
        <f t="shared" si="2727"/>
        <v>Approved</v>
      </c>
      <c r="T6717" t="str">
        <f t="shared" si="2741"/>
        <v>10.20.8.188</v>
      </c>
      <c r="U6717" t="str">
        <f t="shared" si="2728"/>
        <v>AZRAD UMAR BIN SHAARI</v>
      </c>
      <c r="V6717" t="str">
        <f t="shared" si="2729"/>
        <v>FARHANA BINTI MUSTAPA</v>
      </c>
      <c r="W6717" t="str">
        <f t="shared" si="2730"/>
        <v>04-08-2020</v>
      </c>
      <c r="X6717" t="str">
        <f t="shared" si="2731"/>
        <v>RAZIMAH ANSAR AHMAD</v>
      </c>
      <c r="Y6717" t="str">
        <f t="shared" si="2732"/>
        <v>04-08-2020</v>
      </c>
      <c r="Z6717" t="str">
        <f>"COS10200804 2437"</f>
        <v>COS10200804 2437</v>
      </c>
    </row>
    <row r="6718" spans="1:26" x14ac:dyDescent="0.25">
      <c r="A6718" t="str">
        <f t="shared" si="2744"/>
        <v>04-08-2020 12:37:56</v>
      </c>
      <c r="B6718" t="str">
        <f>"0000804198"</f>
        <v>0000804198</v>
      </c>
      <c r="C6718" t="str">
        <f t="shared" si="2745"/>
        <v>0000804162</v>
      </c>
      <c r="D6718" t="str">
        <f t="shared" si="2722"/>
        <v>73185</v>
      </c>
      <c r="E6718" t="str">
        <f t="shared" si="2723"/>
        <v>KFH-OPERATIONS DEPARTMENT</v>
      </c>
      <c r="F6718" t="str">
        <f t="shared" si="2724"/>
        <v>IBG</v>
      </c>
      <c r="G6718" t="str">
        <f t="shared" si="2735"/>
        <v>Refund COSHARE 10</v>
      </c>
      <c r="H6718" s="2">
        <v>83.95</v>
      </c>
      <c r="I6718" t="str">
        <f>"FAIZUN BINTI MUSTAFA"</f>
        <v>FAIZUN BINTI MUSTAFA</v>
      </c>
      <c r="J6718" t="str">
        <f t="shared" si="2746"/>
        <v>CIMB BANK / CIMB ISLAMIC BANK</v>
      </c>
      <c r="K6718" t="str">
        <f>"12190068412525"</f>
        <v>12190068412525</v>
      </c>
      <c r="L6718" t="str">
        <f t="shared" si="2742"/>
        <v>04-08-2020</v>
      </c>
      <c r="M6718" t="str">
        <f t="shared" si="2742"/>
        <v>04-08-2020</v>
      </c>
      <c r="N6718" t="str">
        <f t="shared" si="2725"/>
        <v>001105018356</v>
      </c>
      <c r="O6718" t="str">
        <f t="shared" si="2726"/>
        <v>MYR</v>
      </c>
      <c r="P6718" t="str">
        <f t="shared" si="2743"/>
        <v>NIL</v>
      </c>
      <c r="Q6718" t="str">
        <f t="shared" si="2743"/>
        <v>NIL</v>
      </c>
      <c r="R6718" t="str">
        <f t="shared" si="2740"/>
        <v>Accepted</v>
      </c>
      <c r="S6718" t="str">
        <f t="shared" si="2727"/>
        <v>Approved</v>
      </c>
      <c r="T6718" t="str">
        <f t="shared" si="2741"/>
        <v>10.20.8.188</v>
      </c>
      <c r="U6718" t="str">
        <f t="shared" si="2728"/>
        <v>AZRAD UMAR BIN SHAARI</v>
      </c>
      <c r="V6718" t="str">
        <f t="shared" si="2729"/>
        <v>FARHANA BINTI MUSTAPA</v>
      </c>
      <c r="W6718" t="str">
        <f t="shared" si="2730"/>
        <v>04-08-2020</v>
      </c>
      <c r="X6718" t="str">
        <f t="shared" si="2731"/>
        <v>RAZIMAH ANSAR AHMAD</v>
      </c>
      <c r="Y6718" t="str">
        <f t="shared" si="2732"/>
        <v>04-08-2020</v>
      </c>
      <c r="Z6718" t="str">
        <f>"COS10200804 2436"</f>
        <v>COS10200804 2436</v>
      </c>
    </row>
    <row r="6719" spans="1:26" x14ac:dyDescent="0.25">
      <c r="A6719" t="str">
        <f t="shared" si="2744"/>
        <v>04-08-2020 12:37:56</v>
      </c>
      <c r="B6719" t="str">
        <f>"0000804197"</f>
        <v>0000804197</v>
      </c>
      <c r="C6719" t="str">
        <f t="shared" si="2745"/>
        <v>0000804162</v>
      </c>
      <c r="D6719" t="str">
        <f t="shared" si="2722"/>
        <v>73185</v>
      </c>
      <c r="E6719" t="str">
        <f t="shared" si="2723"/>
        <v>KFH-OPERATIONS DEPARTMENT</v>
      </c>
      <c r="F6719" t="str">
        <f t="shared" si="2724"/>
        <v>IBG</v>
      </c>
      <c r="G6719" t="str">
        <f t="shared" si="2735"/>
        <v>Refund COSHARE 10</v>
      </c>
      <c r="H6719" s="2">
        <v>419.75</v>
      </c>
      <c r="I6719" t="str">
        <f>"FAIZAL BIN MD SALLEH"</f>
        <v>FAIZAL BIN MD SALLEH</v>
      </c>
      <c r="J6719" t="str">
        <f t="shared" si="2746"/>
        <v>CIMB BANK / CIMB ISLAMIC BANK</v>
      </c>
      <c r="K6719" t="str">
        <f>"14200067921528"</f>
        <v>14200067921528</v>
      </c>
      <c r="L6719" t="str">
        <f t="shared" si="2742"/>
        <v>04-08-2020</v>
      </c>
      <c r="M6719" t="str">
        <f t="shared" si="2742"/>
        <v>04-08-2020</v>
      </c>
      <c r="N6719" t="str">
        <f t="shared" si="2725"/>
        <v>001105018356</v>
      </c>
      <c r="O6719" t="str">
        <f t="shared" si="2726"/>
        <v>MYR</v>
      </c>
      <c r="P6719" t="str">
        <f t="shared" si="2743"/>
        <v>NIL</v>
      </c>
      <c r="Q6719" t="str">
        <f t="shared" si="2743"/>
        <v>NIL</v>
      </c>
      <c r="R6719" t="str">
        <f t="shared" si="2740"/>
        <v>Accepted</v>
      </c>
      <c r="S6719" t="str">
        <f t="shared" si="2727"/>
        <v>Approved</v>
      </c>
      <c r="T6719" t="str">
        <f t="shared" si="2741"/>
        <v>10.20.8.188</v>
      </c>
      <c r="U6719" t="str">
        <f t="shared" si="2728"/>
        <v>AZRAD UMAR BIN SHAARI</v>
      </c>
      <c r="V6719" t="str">
        <f t="shared" si="2729"/>
        <v>FARHANA BINTI MUSTAPA</v>
      </c>
      <c r="W6719" t="str">
        <f t="shared" si="2730"/>
        <v>04-08-2020</v>
      </c>
      <c r="X6719" t="str">
        <f t="shared" si="2731"/>
        <v>RAZIMAH ANSAR AHMAD</v>
      </c>
      <c r="Y6719" t="str">
        <f t="shared" si="2732"/>
        <v>04-08-2020</v>
      </c>
      <c r="Z6719" t="str">
        <f>"COS10200804 2435"</f>
        <v>COS10200804 2435</v>
      </c>
    </row>
    <row r="6720" spans="1:26" x14ac:dyDescent="0.25">
      <c r="A6720" t="str">
        <f t="shared" si="2744"/>
        <v>04-08-2020 12:37:56</v>
      </c>
      <c r="B6720" t="str">
        <f>"0000804196"</f>
        <v>0000804196</v>
      </c>
      <c r="C6720" t="str">
        <f t="shared" si="2745"/>
        <v>0000804162</v>
      </c>
      <c r="D6720" t="str">
        <f t="shared" si="2722"/>
        <v>73185</v>
      </c>
      <c r="E6720" t="str">
        <f t="shared" si="2723"/>
        <v>KFH-OPERATIONS DEPARTMENT</v>
      </c>
      <c r="F6720" t="str">
        <f t="shared" si="2724"/>
        <v>IBG</v>
      </c>
      <c r="G6720" t="str">
        <f t="shared" si="2735"/>
        <v>Refund COSHARE 10</v>
      </c>
      <c r="H6720" s="2">
        <v>419.75</v>
      </c>
      <c r="I6720" t="str">
        <f>"FAIZAL BIN MD SALLEH"</f>
        <v>FAIZAL BIN MD SALLEH</v>
      </c>
      <c r="J6720" t="str">
        <f t="shared" si="2746"/>
        <v>CIMB BANK / CIMB ISLAMIC BANK</v>
      </c>
      <c r="K6720" t="str">
        <f>"14200067921528"</f>
        <v>14200067921528</v>
      </c>
      <c r="L6720" t="str">
        <f t="shared" si="2742"/>
        <v>04-08-2020</v>
      </c>
      <c r="M6720" t="str">
        <f t="shared" si="2742"/>
        <v>04-08-2020</v>
      </c>
      <c r="N6720" t="str">
        <f t="shared" si="2725"/>
        <v>001105018356</v>
      </c>
      <c r="O6720" t="str">
        <f t="shared" si="2726"/>
        <v>MYR</v>
      </c>
      <c r="P6720" t="str">
        <f t="shared" si="2743"/>
        <v>NIL</v>
      </c>
      <c r="Q6720" t="str">
        <f t="shared" si="2743"/>
        <v>NIL</v>
      </c>
      <c r="R6720" t="str">
        <f t="shared" si="2740"/>
        <v>Accepted</v>
      </c>
      <c r="S6720" t="str">
        <f t="shared" si="2727"/>
        <v>Approved</v>
      </c>
      <c r="T6720" t="str">
        <f t="shared" si="2741"/>
        <v>10.20.8.188</v>
      </c>
      <c r="U6720" t="str">
        <f t="shared" si="2728"/>
        <v>AZRAD UMAR BIN SHAARI</v>
      </c>
      <c r="V6720" t="str">
        <f t="shared" si="2729"/>
        <v>FARHANA BINTI MUSTAPA</v>
      </c>
      <c r="W6720" t="str">
        <f t="shared" si="2730"/>
        <v>04-08-2020</v>
      </c>
      <c r="X6720" t="str">
        <f t="shared" si="2731"/>
        <v>RAZIMAH ANSAR AHMAD</v>
      </c>
      <c r="Y6720" t="str">
        <f t="shared" si="2732"/>
        <v>04-08-2020</v>
      </c>
      <c r="Z6720" t="str">
        <f>"COS10200804 2434"</f>
        <v>COS10200804 2434</v>
      </c>
    </row>
    <row r="6721" spans="1:26" x14ac:dyDescent="0.25">
      <c r="A6721" t="str">
        <f t="shared" si="2744"/>
        <v>04-08-2020 12:37:56</v>
      </c>
      <c r="B6721" t="str">
        <f>"0000804195"</f>
        <v>0000804195</v>
      </c>
      <c r="C6721" t="str">
        <f t="shared" si="2745"/>
        <v>0000804162</v>
      </c>
      <c r="D6721" t="str">
        <f t="shared" si="2722"/>
        <v>73185</v>
      </c>
      <c r="E6721" t="str">
        <f t="shared" si="2723"/>
        <v>KFH-OPERATIONS DEPARTMENT</v>
      </c>
      <c r="F6721" t="str">
        <f t="shared" si="2724"/>
        <v>IBG</v>
      </c>
      <c r="G6721" t="str">
        <f t="shared" si="2735"/>
        <v>Refund COSHARE 10</v>
      </c>
      <c r="H6721" s="2">
        <v>2046.55</v>
      </c>
      <c r="I6721" t="str">
        <f>"FAIRUZ AFFANDI BIN ABDUL AZIZ"</f>
        <v>FAIRUZ AFFANDI BIN ABDUL AZIZ</v>
      </c>
      <c r="J6721" t="str">
        <f t="shared" si="2746"/>
        <v>CIMB BANK / CIMB ISLAMIC BANK</v>
      </c>
      <c r="K6721" t="str">
        <f>"7006357135"</f>
        <v>7006357135</v>
      </c>
      <c r="L6721" t="str">
        <f t="shared" si="2742"/>
        <v>04-08-2020</v>
      </c>
      <c r="M6721" t="str">
        <f t="shared" si="2742"/>
        <v>04-08-2020</v>
      </c>
      <c r="N6721" t="str">
        <f t="shared" si="2725"/>
        <v>001105018356</v>
      </c>
      <c r="O6721" t="str">
        <f t="shared" si="2726"/>
        <v>MYR</v>
      </c>
      <c r="P6721" t="str">
        <f t="shared" si="2743"/>
        <v>NIL</v>
      </c>
      <c r="Q6721" t="str">
        <f t="shared" si="2743"/>
        <v>NIL</v>
      </c>
      <c r="R6721" t="str">
        <f t="shared" si="2740"/>
        <v>Accepted</v>
      </c>
      <c r="S6721" t="str">
        <f t="shared" si="2727"/>
        <v>Approved</v>
      </c>
      <c r="T6721" t="str">
        <f t="shared" si="2741"/>
        <v>10.20.8.188</v>
      </c>
      <c r="U6721" t="str">
        <f t="shared" si="2728"/>
        <v>AZRAD UMAR BIN SHAARI</v>
      </c>
      <c r="V6721" t="str">
        <f t="shared" si="2729"/>
        <v>FARHANA BINTI MUSTAPA</v>
      </c>
      <c r="W6721" t="str">
        <f t="shared" si="2730"/>
        <v>04-08-2020</v>
      </c>
      <c r="X6721" t="str">
        <f t="shared" si="2731"/>
        <v>RAZIMAH ANSAR AHMAD</v>
      </c>
      <c r="Y6721" t="str">
        <f t="shared" si="2732"/>
        <v>04-08-2020</v>
      </c>
      <c r="Z6721" t="str">
        <f>"COS10200804 2433"</f>
        <v>COS10200804 2433</v>
      </c>
    </row>
    <row r="6722" spans="1:26" x14ac:dyDescent="0.25">
      <c r="A6722" t="str">
        <f t="shared" si="2744"/>
        <v>04-08-2020 12:37:56</v>
      </c>
      <c r="B6722" t="str">
        <f>"0000804194"</f>
        <v>0000804194</v>
      </c>
      <c r="C6722" t="str">
        <f t="shared" si="2745"/>
        <v>0000804162</v>
      </c>
      <c r="D6722" t="str">
        <f t="shared" si="2722"/>
        <v>73185</v>
      </c>
      <c r="E6722" t="str">
        <f t="shared" si="2723"/>
        <v>KFH-OPERATIONS DEPARTMENT</v>
      </c>
      <c r="F6722" t="str">
        <f t="shared" si="2724"/>
        <v>IBG</v>
      </c>
      <c r="G6722" t="str">
        <f t="shared" si="2735"/>
        <v>Refund COSHARE 10</v>
      </c>
      <c r="H6722" s="2">
        <v>151</v>
      </c>
      <c r="I6722" t="str">
        <f>"FADZUREENA BT JAMALUDIN"</f>
        <v>FADZUREENA BT JAMALUDIN</v>
      </c>
      <c r="J6722" t="str">
        <f t="shared" si="2746"/>
        <v>CIMB BANK / CIMB ISLAMIC BANK</v>
      </c>
      <c r="K6722" t="str">
        <f>"14400060306520"</f>
        <v>14400060306520</v>
      </c>
      <c r="L6722" t="str">
        <f t="shared" si="2742"/>
        <v>04-08-2020</v>
      </c>
      <c r="M6722" t="str">
        <f t="shared" si="2742"/>
        <v>04-08-2020</v>
      </c>
      <c r="N6722" t="str">
        <f t="shared" si="2725"/>
        <v>001105018356</v>
      </c>
      <c r="O6722" t="str">
        <f t="shared" si="2726"/>
        <v>MYR</v>
      </c>
      <c r="P6722" t="str">
        <f t="shared" si="2743"/>
        <v>NIL</v>
      </c>
      <c r="Q6722" t="str">
        <f t="shared" si="2743"/>
        <v>NIL</v>
      </c>
      <c r="R6722" t="str">
        <f t="shared" si="2740"/>
        <v>Accepted</v>
      </c>
      <c r="S6722" t="str">
        <f t="shared" si="2727"/>
        <v>Approved</v>
      </c>
      <c r="T6722" t="str">
        <f t="shared" si="2741"/>
        <v>10.20.8.188</v>
      </c>
      <c r="U6722" t="str">
        <f t="shared" si="2728"/>
        <v>AZRAD UMAR BIN SHAARI</v>
      </c>
      <c r="V6722" t="str">
        <f t="shared" si="2729"/>
        <v>FARHANA BINTI MUSTAPA</v>
      </c>
      <c r="W6722" t="str">
        <f t="shared" si="2730"/>
        <v>04-08-2020</v>
      </c>
      <c r="X6722" t="str">
        <f t="shared" si="2731"/>
        <v>RAZIMAH ANSAR AHMAD</v>
      </c>
      <c r="Y6722" t="str">
        <f t="shared" si="2732"/>
        <v>04-08-2020</v>
      </c>
      <c r="Z6722" t="str">
        <f>"COS10200804 2432"</f>
        <v>COS10200804 2432</v>
      </c>
    </row>
    <row r="6723" spans="1:26" x14ac:dyDescent="0.25">
      <c r="A6723" t="str">
        <f t="shared" si="2744"/>
        <v>04-08-2020 12:37:56</v>
      </c>
      <c r="B6723" t="str">
        <f>"0000804193"</f>
        <v>0000804193</v>
      </c>
      <c r="C6723" t="str">
        <f t="shared" si="2745"/>
        <v>0000804162</v>
      </c>
      <c r="D6723" t="str">
        <f t="shared" si="2722"/>
        <v>73185</v>
      </c>
      <c r="E6723" t="str">
        <f t="shared" si="2723"/>
        <v>KFH-OPERATIONS DEPARTMENT</v>
      </c>
      <c r="F6723" t="str">
        <f t="shared" si="2724"/>
        <v>IBG</v>
      </c>
      <c r="G6723" t="str">
        <f t="shared" si="2735"/>
        <v>Refund COSHARE 10</v>
      </c>
      <c r="H6723" s="2">
        <v>1008.55</v>
      </c>
      <c r="I6723" t="str">
        <f>"FADZLIA SABRI BIN ABDUL GHANI"</f>
        <v>FADZLIA SABRI BIN ABDUL GHANI</v>
      </c>
      <c r="J6723" t="str">
        <f t="shared" si="2746"/>
        <v>CIMB BANK / CIMB ISLAMIC BANK</v>
      </c>
      <c r="K6723" t="str">
        <f>"14400083404529"</f>
        <v>14400083404529</v>
      </c>
      <c r="L6723" t="str">
        <f t="shared" si="2742"/>
        <v>04-08-2020</v>
      </c>
      <c r="M6723" t="str">
        <f t="shared" si="2742"/>
        <v>04-08-2020</v>
      </c>
      <c r="N6723" t="str">
        <f t="shared" si="2725"/>
        <v>001105018356</v>
      </c>
      <c r="O6723" t="str">
        <f t="shared" si="2726"/>
        <v>MYR</v>
      </c>
      <c r="P6723" t="str">
        <f t="shared" si="2743"/>
        <v>NIL</v>
      </c>
      <c r="Q6723" t="str">
        <f t="shared" si="2743"/>
        <v>NIL</v>
      </c>
      <c r="R6723" t="str">
        <f t="shared" si="2740"/>
        <v>Accepted</v>
      </c>
      <c r="S6723" t="str">
        <f t="shared" si="2727"/>
        <v>Approved</v>
      </c>
      <c r="T6723" t="str">
        <f t="shared" si="2741"/>
        <v>10.20.8.188</v>
      </c>
      <c r="U6723" t="str">
        <f t="shared" si="2728"/>
        <v>AZRAD UMAR BIN SHAARI</v>
      </c>
      <c r="V6723" t="str">
        <f t="shared" si="2729"/>
        <v>FARHANA BINTI MUSTAPA</v>
      </c>
      <c r="W6723" t="str">
        <f t="shared" si="2730"/>
        <v>04-08-2020</v>
      </c>
      <c r="X6723" t="str">
        <f t="shared" si="2731"/>
        <v>RAZIMAH ANSAR AHMAD</v>
      </c>
      <c r="Y6723" t="str">
        <f t="shared" si="2732"/>
        <v>04-08-2020</v>
      </c>
      <c r="Z6723" t="str">
        <f>"COS10200804 2431"</f>
        <v>COS10200804 2431</v>
      </c>
    </row>
    <row r="6724" spans="1:26" x14ac:dyDescent="0.25">
      <c r="A6724" t="str">
        <f t="shared" si="2744"/>
        <v>04-08-2020 12:37:56</v>
      </c>
      <c r="B6724" t="str">
        <f>"0000804192"</f>
        <v>0000804192</v>
      </c>
      <c r="C6724" t="str">
        <f t="shared" si="2745"/>
        <v>0000804162</v>
      </c>
      <c r="D6724" t="str">
        <f t="shared" si="2722"/>
        <v>73185</v>
      </c>
      <c r="E6724" t="str">
        <f t="shared" si="2723"/>
        <v>KFH-OPERATIONS DEPARTMENT</v>
      </c>
      <c r="F6724" t="str">
        <f t="shared" si="2724"/>
        <v>IBG</v>
      </c>
      <c r="G6724" t="str">
        <f t="shared" si="2735"/>
        <v>Refund COSHARE 10</v>
      </c>
      <c r="H6724" s="2">
        <v>201.5</v>
      </c>
      <c r="I6724" t="str">
        <f>"FADILAH BINTI MOHD ALI"</f>
        <v>FADILAH BINTI MOHD ALI</v>
      </c>
      <c r="J6724" t="str">
        <f t="shared" si="2746"/>
        <v>CIMB BANK / CIMB ISLAMIC BANK</v>
      </c>
      <c r="K6724" t="str">
        <f>"12360024893522"</f>
        <v>12360024893522</v>
      </c>
      <c r="L6724" t="str">
        <f t="shared" si="2742"/>
        <v>04-08-2020</v>
      </c>
      <c r="M6724" t="str">
        <f t="shared" si="2742"/>
        <v>04-08-2020</v>
      </c>
      <c r="N6724" t="str">
        <f t="shared" si="2725"/>
        <v>001105018356</v>
      </c>
      <c r="O6724" t="str">
        <f t="shared" si="2726"/>
        <v>MYR</v>
      </c>
      <c r="P6724" t="str">
        <f t="shared" si="2743"/>
        <v>NIL</v>
      </c>
      <c r="Q6724" t="str">
        <f t="shared" si="2743"/>
        <v>NIL</v>
      </c>
      <c r="R6724" t="str">
        <f t="shared" si="2740"/>
        <v>Accepted</v>
      </c>
      <c r="S6724" t="str">
        <f t="shared" si="2727"/>
        <v>Approved</v>
      </c>
      <c r="T6724" t="str">
        <f t="shared" si="2741"/>
        <v>10.20.8.188</v>
      </c>
      <c r="U6724" t="str">
        <f t="shared" si="2728"/>
        <v>AZRAD UMAR BIN SHAARI</v>
      </c>
      <c r="V6724" t="str">
        <f t="shared" si="2729"/>
        <v>FARHANA BINTI MUSTAPA</v>
      </c>
      <c r="W6724" t="str">
        <f t="shared" si="2730"/>
        <v>04-08-2020</v>
      </c>
      <c r="X6724" t="str">
        <f t="shared" si="2731"/>
        <v>RAZIMAH ANSAR AHMAD</v>
      </c>
      <c r="Y6724" t="str">
        <f t="shared" si="2732"/>
        <v>04-08-2020</v>
      </c>
      <c r="Z6724" t="str">
        <f>"COS10200804 2430"</f>
        <v>COS10200804 2430</v>
      </c>
    </row>
    <row r="6725" spans="1:26" x14ac:dyDescent="0.25">
      <c r="A6725" t="str">
        <f t="shared" si="2744"/>
        <v>04-08-2020 12:37:56</v>
      </c>
      <c r="B6725" t="str">
        <f>"0000804191"</f>
        <v>0000804191</v>
      </c>
      <c r="C6725" t="str">
        <f t="shared" si="2745"/>
        <v>0000804162</v>
      </c>
      <c r="D6725" t="str">
        <f t="shared" si="2722"/>
        <v>73185</v>
      </c>
      <c r="E6725" t="str">
        <f t="shared" si="2723"/>
        <v>KFH-OPERATIONS DEPARTMENT</v>
      </c>
      <c r="F6725" t="str">
        <f t="shared" si="2724"/>
        <v>IBG</v>
      </c>
      <c r="G6725" t="str">
        <f t="shared" si="2735"/>
        <v>Refund COSHARE 10</v>
      </c>
      <c r="H6725" s="2">
        <v>245.6</v>
      </c>
      <c r="I6725" t="str">
        <f>"FADIL BIN MOHD KAMAR"</f>
        <v>FADIL BIN MOHD KAMAR</v>
      </c>
      <c r="J6725" t="str">
        <f t="shared" si="2746"/>
        <v>CIMB BANK / CIMB ISLAMIC BANK</v>
      </c>
      <c r="K6725" t="str">
        <f>"06090008598051"</f>
        <v>06090008598051</v>
      </c>
      <c r="L6725" t="str">
        <f t="shared" si="2742"/>
        <v>04-08-2020</v>
      </c>
      <c r="M6725" t="str">
        <f t="shared" si="2742"/>
        <v>04-08-2020</v>
      </c>
      <c r="N6725" t="str">
        <f t="shared" si="2725"/>
        <v>001105018356</v>
      </c>
      <c r="O6725" t="str">
        <f t="shared" si="2726"/>
        <v>MYR</v>
      </c>
      <c r="P6725" t="str">
        <f t="shared" si="2743"/>
        <v>NIL</v>
      </c>
      <c r="Q6725" t="str">
        <f t="shared" si="2743"/>
        <v>NIL</v>
      </c>
      <c r="R6725" t="str">
        <f t="shared" si="2740"/>
        <v>Accepted</v>
      </c>
      <c r="S6725" t="str">
        <f t="shared" si="2727"/>
        <v>Approved</v>
      </c>
      <c r="T6725" t="str">
        <f t="shared" si="2741"/>
        <v>10.20.8.188</v>
      </c>
      <c r="U6725" t="str">
        <f t="shared" si="2728"/>
        <v>AZRAD UMAR BIN SHAARI</v>
      </c>
      <c r="V6725" t="str">
        <f t="shared" si="2729"/>
        <v>FARHANA BINTI MUSTAPA</v>
      </c>
      <c r="W6725" t="str">
        <f t="shared" si="2730"/>
        <v>04-08-2020</v>
      </c>
      <c r="X6725" t="str">
        <f t="shared" si="2731"/>
        <v>RAZIMAH ANSAR AHMAD</v>
      </c>
      <c r="Y6725" t="str">
        <f t="shared" si="2732"/>
        <v>04-08-2020</v>
      </c>
      <c r="Z6725" t="str">
        <f>"COS10200804 2429"</f>
        <v>COS10200804 2429</v>
      </c>
    </row>
    <row r="6726" spans="1:26" x14ac:dyDescent="0.25">
      <c r="A6726" t="str">
        <f t="shared" si="2744"/>
        <v>04-08-2020 12:37:56</v>
      </c>
      <c r="B6726" t="str">
        <f>"0000804190"</f>
        <v>0000804190</v>
      </c>
      <c r="C6726" t="str">
        <f t="shared" si="2745"/>
        <v>0000804162</v>
      </c>
      <c r="D6726" t="str">
        <f t="shared" si="2722"/>
        <v>73185</v>
      </c>
      <c r="E6726" t="str">
        <f t="shared" si="2723"/>
        <v>KFH-OPERATIONS DEPARTMENT</v>
      </c>
      <c r="F6726" t="str">
        <f t="shared" si="2724"/>
        <v>IBG</v>
      </c>
      <c r="G6726" t="str">
        <f t="shared" si="2735"/>
        <v>Refund COSHARE 10</v>
      </c>
      <c r="H6726" s="2">
        <v>58.8</v>
      </c>
      <c r="I6726" t="str">
        <f>"FADHLY BIN AMIN YUSOF"</f>
        <v>FADHLY BIN AMIN YUSOF</v>
      </c>
      <c r="J6726" t="str">
        <f t="shared" si="2746"/>
        <v>CIMB BANK / CIMB ISLAMIC BANK</v>
      </c>
      <c r="K6726" t="str">
        <f>"12370070630528"</f>
        <v>12370070630528</v>
      </c>
      <c r="L6726" t="str">
        <f t="shared" si="2742"/>
        <v>04-08-2020</v>
      </c>
      <c r="M6726" t="str">
        <f t="shared" si="2742"/>
        <v>04-08-2020</v>
      </c>
      <c r="N6726" t="str">
        <f t="shared" si="2725"/>
        <v>001105018356</v>
      </c>
      <c r="O6726" t="str">
        <f t="shared" si="2726"/>
        <v>MYR</v>
      </c>
      <c r="P6726" t="str">
        <f t="shared" si="2743"/>
        <v>NIL</v>
      </c>
      <c r="Q6726" t="str">
        <f t="shared" si="2743"/>
        <v>NIL</v>
      </c>
      <c r="R6726" t="str">
        <f t="shared" si="2740"/>
        <v>Accepted</v>
      </c>
      <c r="S6726" t="str">
        <f t="shared" si="2727"/>
        <v>Approved</v>
      </c>
      <c r="T6726" t="str">
        <f t="shared" si="2741"/>
        <v>10.20.8.188</v>
      </c>
      <c r="U6726" t="str">
        <f t="shared" si="2728"/>
        <v>AZRAD UMAR BIN SHAARI</v>
      </c>
      <c r="V6726" t="str">
        <f t="shared" si="2729"/>
        <v>FARHANA BINTI MUSTAPA</v>
      </c>
      <c r="W6726" t="str">
        <f t="shared" si="2730"/>
        <v>04-08-2020</v>
      </c>
      <c r="X6726" t="str">
        <f t="shared" si="2731"/>
        <v>RAZIMAH ANSAR AHMAD</v>
      </c>
      <c r="Y6726" t="str">
        <f t="shared" si="2732"/>
        <v>04-08-2020</v>
      </c>
      <c r="Z6726" t="str">
        <f>"COS10200804 2428"</f>
        <v>COS10200804 2428</v>
      </c>
    </row>
    <row r="6727" spans="1:26" x14ac:dyDescent="0.25">
      <c r="A6727" t="str">
        <f t="shared" si="2744"/>
        <v>04-08-2020 12:37:56</v>
      </c>
      <c r="B6727" t="str">
        <f>"0000804189"</f>
        <v>0000804189</v>
      </c>
      <c r="C6727" t="str">
        <f t="shared" si="2745"/>
        <v>0000804162</v>
      </c>
      <c r="D6727" t="str">
        <f t="shared" ref="D6727:D6790" si="2747">"73185"</f>
        <v>73185</v>
      </c>
      <c r="E6727" t="str">
        <f t="shared" ref="E6727:E6790" si="2748">"KFH-OPERATIONS DEPARTMENT"</f>
        <v>KFH-OPERATIONS DEPARTMENT</v>
      </c>
      <c r="F6727" t="str">
        <f t="shared" ref="F6727:F6790" si="2749">"IBG"</f>
        <v>IBG</v>
      </c>
      <c r="G6727" t="str">
        <f t="shared" si="2735"/>
        <v>Refund COSHARE 10</v>
      </c>
      <c r="H6727" s="2">
        <v>380</v>
      </c>
      <c r="I6727" t="str">
        <f>"FAAIEZAH TONG ABDULLAH"</f>
        <v>FAAIEZAH TONG ABDULLAH</v>
      </c>
      <c r="J6727" t="str">
        <f t="shared" si="2746"/>
        <v>CIMB BANK / CIMB ISLAMIC BANK</v>
      </c>
      <c r="K6727" t="str">
        <f>"11090068615520"</f>
        <v>11090068615520</v>
      </c>
      <c r="L6727" t="str">
        <f t="shared" ref="L6727:M6746" si="2750">"04-08-2020"</f>
        <v>04-08-2020</v>
      </c>
      <c r="M6727" t="str">
        <f t="shared" si="2750"/>
        <v>04-08-2020</v>
      </c>
      <c r="N6727" t="str">
        <f t="shared" ref="N6727:N6790" si="2751">"001105018356"</f>
        <v>001105018356</v>
      </c>
      <c r="O6727" t="str">
        <f t="shared" ref="O6727:O6790" si="2752">"MYR"</f>
        <v>MYR</v>
      </c>
      <c r="P6727" t="str">
        <f t="shared" ref="P6727:Q6746" si="2753">"NIL"</f>
        <v>NIL</v>
      </c>
      <c r="Q6727" t="str">
        <f t="shared" si="2753"/>
        <v>NIL</v>
      </c>
      <c r="R6727" t="str">
        <f t="shared" si="2740"/>
        <v>Accepted</v>
      </c>
      <c r="S6727" t="str">
        <f t="shared" ref="S6727:S6790" si="2754">"Approved"</f>
        <v>Approved</v>
      </c>
      <c r="T6727" t="str">
        <f t="shared" si="2741"/>
        <v>10.20.8.188</v>
      </c>
      <c r="U6727" t="str">
        <f t="shared" ref="U6727:U6790" si="2755">"AZRAD UMAR BIN SHAARI"</f>
        <v>AZRAD UMAR BIN SHAARI</v>
      </c>
      <c r="V6727" t="str">
        <f t="shared" ref="V6727:V6790" si="2756">"FARHANA BINTI MUSTAPA"</f>
        <v>FARHANA BINTI MUSTAPA</v>
      </c>
      <c r="W6727" t="str">
        <f t="shared" ref="W6727:W6790" si="2757">"04-08-2020"</f>
        <v>04-08-2020</v>
      </c>
      <c r="X6727" t="str">
        <f t="shared" ref="X6727:X6790" si="2758">"RAZIMAH ANSAR AHMAD"</f>
        <v>RAZIMAH ANSAR AHMAD</v>
      </c>
      <c r="Y6727" t="str">
        <f t="shared" ref="Y6727:Y6790" si="2759">"04-08-2020"</f>
        <v>04-08-2020</v>
      </c>
      <c r="Z6727" t="str">
        <f>"COS10200804 2427"</f>
        <v>COS10200804 2427</v>
      </c>
    </row>
    <row r="6728" spans="1:26" x14ac:dyDescent="0.25">
      <c r="A6728" t="str">
        <f t="shared" si="2744"/>
        <v>04-08-2020 12:37:56</v>
      </c>
      <c r="B6728" t="str">
        <f>"0000804188"</f>
        <v>0000804188</v>
      </c>
      <c r="C6728" t="str">
        <f t="shared" si="2745"/>
        <v>0000804162</v>
      </c>
      <c r="D6728" t="str">
        <f t="shared" si="2747"/>
        <v>73185</v>
      </c>
      <c r="E6728" t="str">
        <f t="shared" si="2748"/>
        <v>KFH-OPERATIONS DEPARTMENT</v>
      </c>
      <c r="F6728" t="str">
        <f t="shared" si="2749"/>
        <v>IBG</v>
      </c>
      <c r="G6728" t="str">
        <f t="shared" si="2735"/>
        <v>Refund COSHARE 10</v>
      </c>
      <c r="H6728" s="2">
        <v>1537.2</v>
      </c>
      <c r="I6728" t="str">
        <f>"EZANI BIN GHAZALI"</f>
        <v>EZANI BIN GHAZALI</v>
      </c>
      <c r="J6728" t="str">
        <f t="shared" si="2746"/>
        <v>CIMB BANK / CIMB ISLAMIC BANK</v>
      </c>
      <c r="K6728" t="str">
        <f>"03040070121524"</f>
        <v>03040070121524</v>
      </c>
      <c r="L6728" t="str">
        <f t="shared" si="2750"/>
        <v>04-08-2020</v>
      </c>
      <c r="M6728" t="str">
        <f t="shared" si="2750"/>
        <v>04-08-2020</v>
      </c>
      <c r="N6728" t="str">
        <f t="shared" si="2751"/>
        <v>001105018356</v>
      </c>
      <c r="O6728" t="str">
        <f t="shared" si="2752"/>
        <v>MYR</v>
      </c>
      <c r="P6728" t="str">
        <f t="shared" si="2753"/>
        <v>NIL</v>
      </c>
      <c r="Q6728" t="str">
        <f t="shared" si="2753"/>
        <v>NIL</v>
      </c>
      <c r="R6728" t="str">
        <f t="shared" si="2740"/>
        <v>Accepted</v>
      </c>
      <c r="S6728" t="str">
        <f t="shared" si="2754"/>
        <v>Approved</v>
      </c>
      <c r="T6728" t="str">
        <f t="shared" si="2741"/>
        <v>10.20.8.188</v>
      </c>
      <c r="U6728" t="str">
        <f t="shared" si="2755"/>
        <v>AZRAD UMAR BIN SHAARI</v>
      </c>
      <c r="V6728" t="str">
        <f t="shared" si="2756"/>
        <v>FARHANA BINTI MUSTAPA</v>
      </c>
      <c r="W6728" t="str">
        <f t="shared" si="2757"/>
        <v>04-08-2020</v>
      </c>
      <c r="X6728" t="str">
        <f t="shared" si="2758"/>
        <v>RAZIMAH ANSAR AHMAD</v>
      </c>
      <c r="Y6728" t="str">
        <f t="shared" si="2759"/>
        <v>04-08-2020</v>
      </c>
      <c r="Z6728" t="str">
        <f>"COS10200804 2426"</f>
        <v>COS10200804 2426</v>
      </c>
    </row>
    <row r="6729" spans="1:26" x14ac:dyDescent="0.25">
      <c r="A6729" t="str">
        <f t="shared" si="2744"/>
        <v>04-08-2020 12:37:56</v>
      </c>
      <c r="B6729" t="str">
        <f>"0000804187"</f>
        <v>0000804187</v>
      </c>
      <c r="C6729" t="str">
        <f t="shared" si="2745"/>
        <v>0000804162</v>
      </c>
      <c r="D6729" t="str">
        <f t="shared" si="2747"/>
        <v>73185</v>
      </c>
      <c r="E6729" t="str">
        <f t="shared" si="2748"/>
        <v>KFH-OPERATIONS DEPARTMENT</v>
      </c>
      <c r="F6729" t="str">
        <f t="shared" si="2749"/>
        <v>IBG</v>
      </c>
      <c r="G6729" t="str">
        <f t="shared" si="2735"/>
        <v>Refund COSHARE 10</v>
      </c>
      <c r="H6729" s="2">
        <v>1175.3</v>
      </c>
      <c r="I6729" t="str">
        <f>"EYANI SAFFINA BINTI JAMIL"</f>
        <v>EYANI SAFFINA BINTI JAMIL</v>
      </c>
      <c r="J6729" t="str">
        <f t="shared" si="2746"/>
        <v>CIMB BANK / CIMB ISLAMIC BANK</v>
      </c>
      <c r="K6729" t="str">
        <f>"7601160102"</f>
        <v>7601160102</v>
      </c>
      <c r="L6729" t="str">
        <f t="shared" si="2750"/>
        <v>04-08-2020</v>
      </c>
      <c r="M6729" t="str">
        <f t="shared" si="2750"/>
        <v>04-08-2020</v>
      </c>
      <c r="N6729" t="str">
        <f t="shared" si="2751"/>
        <v>001105018356</v>
      </c>
      <c r="O6729" t="str">
        <f t="shared" si="2752"/>
        <v>MYR</v>
      </c>
      <c r="P6729" t="str">
        <f t="shared" si="2753"/>
        <v>NIL</v>
      </c>
      <c r="Q6729" t="str">
        <f t="shared" si="2753"/>
        <v>NIL</v>
      </c>
      <c r="R6729" t="str">
        <f t="shared" si="2740"/>
        <v>Accepted</v>
      </c>
      <c r="S6729" t="str">
        <f t="shared" si="2754"/>
        <v>Approved</v>
      </c>
      <c r="T6729" t="str">
        <f t="shared" si="2741"/>
        <v>10.20.8.188</v>
      </c>
      <c r="U6729" t="str">
        <f t="shared" si="2755"/>
        <v>AZRAD UMAR BIN SHAARI</v>
      </c>
      <c r="V6729" t="str">
        <f t="shared" si="2756"/>
        <v>FARHANA BINTI MUSTAPA</v>
      </c>
      <c r="W6729" t="str">
        <f t="shared" si="2757"/>
        <v>04-08-2020</v>
      </c>
      <c r="X6729" t="str">
        <f t="shared" si="2758"/>
        <v>RAZIMAH ANSAR AHMAD</v>
      </c>
      <c r="Y6729" t="str">
        <f t="shared" si="2759"/>
        <v>04-08-2020</v>
      </c>
      <c r="Z6729" t="str">
        <f>"COS10200804 2425"</f>
        <v>COS10200804 2425</v>
      </c>
    </row>
    <row r="6730" spans="1:26" x14ac:dyDescent="0.25">
      <c r="A6730" t="str">
        <f t="shared" si="2744"/>
        <v>04-08-2020 12:37:56</v>
      </c>
      <c r="B6730" t="str">
        <f>"0000804186"</f>
        <v>0000804186</v>
      </c>
      <c r="C6730" t="str">
        <f t="shared" si="2745"/>
        <v>0000804162</v>
      </c>
      <c r="D6730" t="str">
        <f t="shared" si="2747"/>
        <v>73185</v>
      </c>
      <c r="E6730" t="str">
        <f t="shared" si="2748"/>
        <v>KFH-OPERATIONS DEPARTMENT</v>
      </c>
      <c r="F6730" t="str">
        <f t="shared" si="2749"/>
        <v>IBG</v>
      </c>
      <c r="G6730" t="str">
        <f t="shared" si="2735"/>
        <v>Refund COSHARE 10</v>
      </c>
      <c r="H6730" s="2">
        <v>167.9</v>
      </c>
      <c r="I6730" t="str">
        <f>"EVELYN ANAK SENGALANG"</f>
        <v>EVELYN ANAK SENGALANG</v>
      </c>
      <c r="J6730" t="str">
        <f t="shared" si="2746"/>
        <v>CIMB BANK / CIMB ISLAMIC BANK</v>
      </c>
      <c r="K6730" t="str">
        <f>"11080075748525"</f>
        <v>11080075748525</v>
      </c>
      <c r="L6730" t="str">
        <f t="shared" si="2750"/>
        <v>04-08-2020</v>
      </c>
      <c r="M6730" t="str">
        <f t="shared" si="2750"/>
        <v>04-08-2020</v>
      </c>
      <c r="N6730" t="str">
        <f t="shared" si="2751"/>
        <v>001105018356</v>
      </c>
      <c r="O6730" t="str">
        <f t="shared" si="2752"/>
        <v>MYR</v>
      </c>
      <c r="P6730" t="str">
        <f t="shared" si="2753"/>
        <v>NIL</v>
      </c>
      <c r="Q6730" t="str">
        <f t="shared" si="2753"/>
        <v>NIL</v>
      </c>
      <c r="R6730" t="str">
        <f t="shared" si="2740"/>
        <v>Accepted</v>
      </c>
      <c r="S6730" t="str">
        <f t="shared" si="2754"/>
        <v>Approved</v>
      </c>
      <c r="T6730" t="str">
        <f t="shared" si="2741"/>
        <v>10.20.8.188</v>
      </c>
      <c r="U6730" t="str">
        <f t="shared" si="2755"/>
        <v>AZRAD UMAR BIN SHAARI</v>
      </c>
      <c r="V6730" t="str">
        <f t="shared" si="2756"/>
        <v>FARHANA BINTI MUSTAPA</v>
      </c>
      <c r="W6730" t="str">
        <f t="shared" si="2757"/>
        <v>04-08-2020</v>
      </c>
      <c r="X6730" t="str">
        <f t="shared" si="2758"/>
        <v>RAZIMAH ANSAR AHMAD</v>
      </c>
      <c r="Y6730" t="str">
        <f t="shared" si="2759"/>
        <v>04-08-2020</v>
      </c>
      <c r="Z6730" t="str">
        <f>"COS10200804 2424"</f>
        <v>COS10200804 2424</v>
      </c>
    </row>
    <row r="6731" spans="1:26" x14ac:dyDescent="0.25">
      <c r="A6731" t="str">
        <f t="shared" si="2744"/>
        <v>04-08-2020 12:37:56</v>
      </c>
      <c r="B6731" t="str">
        <f>"0000804185"</f>
        <v>0000804185</v>
      </c>
      <c r="C6731" t="str">
        <f t="shared" si="2745"/>
        <v>0000804162</v>
      </c>
      <c r="D6731" t="str">
        <f t="shared" si="2747"/>
        <v>73185</v>
      </c>
      <c r="E6731" t="str">
        <f t="shared" si="2748"/>
        <v>KFH-OPERATIONS DEPARTMENT</v>
      </c>
      <c r="F6731" t="str">
        <f t="shared" si="2749"/>
        <v>IBG</v>
      </c>
      <c r="G6731" t="str">
        <f t="shared" si="2735"/>
        <v>Refund COSHARE 10</v>
      </c>
      <c r="H6731" s="2">
        <v>587.65</v>
      </c>
      <c r="I6731" t="str">
        <f>"ERNIE LIDYANA BINTI MOHAMED SHAARI"</f>
        <v>ERNIE LIDYANA BINTI MOHAMED SHAARI</v>
      </c>
      <c r="J6731" t="str">
        <f t="shared" si="2746"/>
        <v>CIMB BANK / CIMB ISLAMIC BANK</v>
      </c>
      <c r="K6731" t="str">
        <f>"7009417974"</f>
        <v>7009417974</v>
      </c>
      <c r="L6731" t="str">
        <f t="shared" si="2750"/>
        <v>04-08-2020</v>
      </c>
      <c r="M6731" t="str">
        <f t="shared" si="2750"/>
        <v>04-08-2020</v>
      </c>
      <c r="N6731" t="str">
        <f t="shared" si="2751"/>
        <v>001105018356</v>
      </c>
      <c r="O6731" t="str">
        <f t="shared" si="2752"/>
        <v>MYR</v>
      </c>
      <c r="P6731" t="str">
        <f t="shared" si="2753"/>
        <v>NIL</v>
      </c>
      <c r="Q6731" t="str">
        <f t="shared" si="2753"/>
        <v>NIL</v>
      </c>
      <c r="R6731" t="str">
        <f t="shared" si="2740"/>
        <v>Accepted</v>
      </c>
      <c r="S6731" t="str">
        <f t="shared" si="2754"/>
        <v>Approved</v>
      </c>
      <c r="T6731" t="str">
        <f t="shared" si="2741"/>
        <v>10.20.8.188</v>
      </c>
      <c r="U6731" t="str">
        <f t="shared" si="2755"/>
        <v>AZRAD UMAR BIN SHAARI</v>
      </c>
      <c r="V6731" t="str">
        <f t="shared" si="2756"/>
        <v>FARHANA BINTI MUSTAPA</v>
      </c>
      <c r="W6731" t="str">
        <f t="shared" si="2757"/>
        <v>04-08-2020</v>
      </c>
      <c r="X6731" t="str">
        <f t="shared" si="2758"/>
        <v>RAZIMAH ANSAR AHMAD</v>
      </c>
      <c r="Y6731" t="str">
        <f t="shared" si="2759"/>
        <v>04-08-2020</v>
      </c>
      <c r="Z6731" t="str">
        <f>"COS10200804 2423"</f>
        <v>COS10200804 2423</v>
      </c>
    </row>
    <row r="6732" spans="1:26" x14ac:dyDescent="0.25">
      <c r="A6732" t="str">
        <f t="shared" si="2744"/>
        <v>04-08-2020 12:37:56</v>
      </c>
      <c r="B6732" t="str">
        <f>"0000804184"</f>
        <v>0000804184</v>
      </c>
      <c r="C6732" t="str">
        <f t="shared" si="2745"/>
        <v>0000804162</v>
      </c>
      <c r="D6732" t="str">
        <f t="shared" si="2747"/>
        <v>73185</v>
      </c>
      <c r="E6732" t="str">
        <f t="shared" si="2748"/>
        <v>KFH-OPERATIONS DEPARTMENT</v>
      </c>
      <c r="F6732" t="str">
        <f t="shared" si="2749"/>
        <v>IBG</v>
      </c>
      <c r="G6732" t="str">
        <f t="shared" ref="G6732:G6795" si="2760">"Refund COSHARE 10"</f>
        <v>Refund COSHARE 10</v>
      </c>
      <c r="H6732" s="2">
        <v>335.8</v>
      </c>
      <c r="I6732" t="str">
        <f>"ERNI WATI BINTI SAMAT"</f>
        <v>ERNI WATI BINTI SAMAT</v>
      </c>
      <c r="J6732" t="str">
        <f t="shared" si="2746"/>
        <v>CIMB BANK / CIMB ISLAMIC BANK</v>
      </c>
      <c r="K6732" t="str">
        <f>"12090010760529"</f>
        <v>12090010760529</v>
      </c>
      <c r="L6732" t="str">
        <f t="shared" si="2750"/>
        <v>04-08-2020</v>
      </c>
      <c r="M6732" t="str">
        <f t="shared" si="2750"/>
        <v>04-08-2020</v>
      </c>
      <c r="N6732" t="str">
        <f t="shared" si="2751"/>
        <v>001105018356</v>
      </c>
      <c r="O6732" t="str">
        <f t="shared" si="2752"/>
        <v>MYR</v>
      </c>
      <c r="P6732" t="str">
        <f t="shared" si="2753"/>
        <v>NIL</v>
      </c>
      <c r="Q6732" t="str">
        <f t="shared" si="2753"/>
        <v>NIL</v>
      </c>
      <c r="R6732" t="str">
        <f t="shared" si="2740"/>
        <v>Accepted</v>
      </c>
      <c r="S6732" t="str">
        <f t="shared" si="2754"/>
        <v>Approved</v>
      </c>
      <c r="T6732" t="str">
        <f t="shared" si="2741"/>
        <v>10.20.8.188</v>
      </c>
      <c r="U6732" t="str">
        <f t="shared" si="2755"/>
        <v>AZRAD UMAR BIN SHAARI</v>
      </c>
      <c r="V6732" t="str">
        <f t="shared" si="2756"/>
        <v>FARHANA BINTI MUSTAPA</v>
      </c>
      <c r="W6732" t="str">
        <f t="shared" si="2757"/>
        <v>04-08-2020</v>
      </c>
      <c r="X6732" t="str">
        <f t="shared" si="2758"/>
        <v>RAZIMAH ANSAR AHMAD</v>
      </c>
      <c r="Y6732" t="str">
        <f t="shared" si="2759"/>
        <v>04-08-2020</v>
      </c>
      <c r="Z6732" t="str">
        <f>"COS10200804 2422"</f>
        <v>COS10200804 2422</v>
      </c>
    </row>
    <row r="6733" spans="1:26" x14ac:dyDescent="0.25">
      <c r="A6733" t="str">
        <f t="shared" si="2744"/>
        <v>04-08-2020 12:37:56</v>
      </c>
      <c r="B6733" t="str">
        <f>"0000804183"</f>
        <v>0000804183</v>
      </c>
      <c r="C6733" t="str">
        <f t="shared" si="2745"/>
        <v>0000804162</v>
      </c>
      <c r="D6733" t="str">
        <f t="shared" si="2747"/>
        <v>73185</v>
      </c>
      <c r="E6733" t="str">
        <f t="shared" si="2748"/>
        <v>KFH-OPERATIONS DEPARTMENT</v>
      </c>
      <c r="F6733" t="str">
        <f t="shared" si="2749"/>
        <v>IBG</v>
      </c>
      <c r="G6733" t="str">
        <f t="shared" si="2760"/>
        <v>Refund COSHARE 10</v>
      </c>
      <c r="H6733" s="2">
        <v>839.5</v>
      </c>
      <c r="I6733" t="str">
        <f>"EMILIA BINTI IDRIS"</f>
        <v>EMILIA BINTI IDRIS</v>
      </c>
      <c r="J6733" t="str">
        <f t="shared" si="2746"/>
        <v>CIMB BANK / CIMB ISLAMIC BANK</v>
      </c>
      <c r="K6733" t="str">
        <f>"06080068481526"</f>
        <v>06080068481526</v>
      </c>
      <c r="L6733" t="str">
        <f t="shared" si="2750"/>
        <v>04-08-2020</v>
      </c>
      <c r="M6733" t="str">
        <f t="shared" si="2750"/>
        <v>04-08-2020</v>
      </c>
      <c r="N6733" t="str">
        <f t="shared" si="2751"/>
        <v>001105018356</v>
      </c>
      <c r="O6733" t="str">
        <f t="shared" si="2752"/>
        <v>MYR</v>
      </c>
      <c r="P6733" t="str">
        <f t="shared" si="2753"/>
        <v>NIL</v>
      </c>
      <c r="Q6733" t="str">
        <f t="shared" si="2753"/>
        <v>NIL</v>
      </c>
      <c r="R6733" t="str">
        <f t="shared" si="2740"/>
        <v>Accepted</v>
      </c>
      <c r="S6733" t="str">
        <f t="shared" si="2754"/>
        <v>Approved</v>
      </c>
      <c r="T6733" t="str">
        <f t="shared" si="2741"/>
        <v>10.20.8.188</v>
      </c>
      <c r="U6733" t="str">
        <f t="shared" si="2755"/>
        <v>AZRAD UMAR BIN SHAARI</v>
      </c>
      <c r="V6733" t="str">
        <f t="shared" si="2756"/>
        <v>FARHANA BINTI MUSTAPA</v>
      </c>
      <c r="W6733" t="str">
        <f t="shared" si="2757"/>
        <v>04-08-2020</v>
      </c>
      <c r="X6733" t="str">
        <f t="shared" si="2758"/>
        <v>RAZIMAH ANSAR AHMAD</v>
      </c>
      <c r="Y6733" t="str">
        <f t="shared" si="2759"/>
        <v>04-08-2020</v>
      </c>
      <c r="Z6733" t="str">
        <f>"COS10200804 2421"</f>
        <v>COS10200804 2421</v>
      </c>
    </row>
    <row r="6734" spans="1:26" x14ac:dyDescent="0.25">
      <c r="A6734" t="str">
        <f t="shared" si="2744"/>
        <v>04-08-2020 12:37:56</v>
      </c>
      <c r="B6734" t="str">
        <f>"0000804182"</f>
        <v>0000804182</v>
      </c>
      <c r="C6734" t="str">
        <f t="shared" si="2745"/>
        <v>0000804162</v>
      </c>
      <c r="D6734" t="str">
        <f t="shared" si="2747"/>
        <v>73185</v>
      </c>
      <c r="E6734" t="str">
        <f t="shared" si="2748"/>
        <v>KFH-OPERATIONS DEPARTMENT</v>
      </c>
      <c r="F6734" t="str">
        <f t="shared" si="2749"/>
        <v>IBG</v>
      </c>
      <c r="G6734" t="str">
        <f t="shared" si="2760"/>
        <v>Refund COSHARE 10</v>
      </c>
      <c r="H6734" s="2">
        <v>218</v>
      </c>
      <c r="I6734" t="str">
        <f>"EMIER HASSAN BIN MD DEWA"</f>
        <v>EMIER HASSAN BIN MD DEWA</v>
      </c>
      <c r="J6734" t="str">
        <f t="shared" si="2746"/>
        <v>CIMB BANK / CIMB ISLAMIC BANK</v>
      </c>
      <c r="K6734" t="str">
        <f>"16010004668200"</f>
        <v>16010004668200</v>
      </c>
      <c r="L6734" t="str">
        <f t="shared" si="2750"/>
        <v>04-08-2020</v>
      </c>
      <c r="M6734" t="str">
        <f t="shared" si="2750"/>
        <v>04-08-2020</v>
      </c>
      <c r="N6734" t="str">
        <f t="shared" si="2751"/>
        <v>001105018356</v>
      </c>
      <c r="O6734" t="str">
        <f t="shared" si="2752"/>
        <v>MYR</v>
      </c>
      <c r="P6734" t="str">
        <f t="shared" si="2753"/>
        <v>NIL</v>
      </c>
      <c r="Q6734" t="str">
        <f t="shared" si="2753"/>
        <v>NIL</v>
      </c>
      <c r="R6734" t="str">
        <f t="shared" si="2740"/>
        <v>Accepted</v>
      </c>
      <c r="S6734" t="str">
        <f t="shared" si="2754"/>
        <v>Approved</v>
      </c>
      <c r="T6734" t="str">
        <f t="shared" si="2741"/>
        <v>10.20.8.188</v>
      </c>
      <c r="U6734" t="str">
        <f t="shared" si="2755"/>
        <v>AZRAD UMAR BIN SHAARI</v>
      </c>
      <c r="V6734" t="str">
        <f t="shared" si="2756"/>
        <v>FARHANA BINTI MUSTAPA</v>
      </c>
      <c r="W6734" t="str">
        <f t="shared" si="2757"/>
        <v>04-08-2020</v>
      </c>
      <c r="X6734" t="str">
        <f t="shared" si="2758"/>
        <v>RAZIMAH ANSAR AHMAD</v>
      </c>
      <c r="Y6734" t="str">
        <f t="shared" si="2759"/>
        <v>04-08-2020</v>
      </c>
      <c r="Z6734" t="str">
        <f>"COS10200804 2420"</f>
        <v>COS10200804 2420</v>
      </c>
    </row>
    <row r="6735" spans="1:26" x14ac:dyDescent="0.25">
      <c r="A6735" t="str">
        <f t="shared" si="2744"/>
        <v>04-08-2020 12:37:56</v>
      </c>
      <c r="B6735" t="str">
        <f>"0000804181"</f>
        <v>0000804181</v>
      </c>
      <c r="C6735" t="str">
        <f t="shared" si="2745"/>
        <v>0000804162</v>
      </c>
      <c r="D6735" t="str">
        <f t="shared" si="2747"/>
        <v>73185</v>
      </c>
      <c r="E6735" t="str">
        <f t="shared" si="2748"/>
        <v>KFH-OPERATIONS DEPARTMENT</v>
      </c>
      <c r="F6735" t="str">
        <f t="shared" si="2749"/>
        <v>IBG</v>
      </c>
      <c r="G6735" t="str">
        <f t="shared" si="2760"/>
        <v>Refund COSHARE 10</v>
      </c>
      <c r="H6735" s="2">
        <v>419.75</v>
      </c>
      <c r="I6735" t="str">
        <f>"EMIE ZARINA BINTI SUKOR"</f>
        <v>EMIE ZARINA BINTI SUKOR</v>
      </c>
      <c r="J6735" t="str">
        <f t="shared" si="2746"/>
        <v>CIMB BANK / CIMB ISLAMIC BANK</v>
      </c>
      <c r="K6735" t="str">
        <f>"7602853468"</f>
        <v>7602853468</v>
      </c>
      <c r="L6735" t="str">
        <f t="shared" si="2750"/>
        <v>04-08-2020</v>
      </c>
      <c r="M6735" t="str">
        <f t="shared" si="2750"/>
        <v>04-08-2020</v>
      </c>
      <c r="N6735" t="str">
        <f t="shared" si="2751"/>
        <v>001105018356</v>
      </c>
      <c r="O6735" t="str">
        <f t="shared" si="2752"/>
        <v>MYR</v>
      </c>
      <c r="P6735" t="str">
        <f t="shared" si="2753"/>
        <v>NIL</v>
      </c>
      <c r="Q6735" t="str">
        <f t="shared" si="2753"/>
        <v>NIL</v>
      </c>
      <c r="R6735" t="str">
        <f t="shared" si="2740"/>
        <v>Accepted</v>
      </c>
      <c r="S6735" t="str">
        <f t="shared" si="2754"/>
        <v>Approved</v>
      </c>
      <c r="T6735" t="str">
        <f t="shared" si="2741"/>
        <v>10.20.8.188</v>
      </c>
      <c r="U6735" t="str">
        <f t="shared" si="2755"/>
        <v>AZRAD UMAR BIN SHAARI</v>
      </c>
      <c r="V6735" t="str">
        <f t="shared" si="2756"/>
        <v>FARHANA BINTI MUSTAPA</v>
      </c>
      <c r="W6735" t="str">
        <f t="shared" si="2757"/>
        <v>04-08-2020</v>
      </c>
      <c r="X6735" t="str">
        <f t="shared" si="2758"/>
        <v>RAZIMAH ANSAR AHMAD</v>
      </c>
      <c r="Y6735" t="str">
        <f t="shared" si="2759"/>
        <v>04-08-2020</v>
      </c>
      <c r="Z6735" t="str">
        <f>"COS10200804 2419"</f>
        <v>COS10200804 2419</v>
      </c>
    </row>
    <row r="6736" spans="1:26" x14ac:dyDescent="0.25">
      <c r="A6736" t="str">
        <f t="shared" si="2744"/>
        <v>04-08-2020 12:37:56</v>
      </c>
      <c r="B6736" t="str">
        <f>"0000804180"</f>
        <v>0000804180</v>
      </c>
      <c r="C6736" t="str">
        <f t="shared" si="2745"/>
        <v>0000804162</v>
      </c>
      <c r="D6736" t="str">
        <f t="shared" si="2747"/>
        <v>73185</v>
      </c>
      <c r="E6736" t="str">
        <f t="shared" si="2748"/>
        <v>KFH-OPERATIONS DEPARTMENT</v>
      </c>
      <c r="F6736" t="str">
        <f t="shared" si="2749"/>
        <v>IBG</v>
      </c>
      <c r="G6736" t="str">
        <f t="shared" si="2760"/>
        <v>Refund COSHARE 10</v>
      </c>
      <c r="H6736" s="2">
        <v>83.95</v>
      </c>
      <c r="I6736" t="str">
        <f>"EMI NADIA BINTI MOHD THANI"</f>
        <v>EMI NADIA BINTI MOHD THANI</v>
      </c>
      <c r="J6736" t="str">
        <f t="shared" si="2746"/>
        <v>CIMB BANK / CIMB ISLAMIC BANK</v>
      </c>
      <c r="K6736" t="str">
        <f>"12150059482525"</f>
        <v>12150059482525</v>
      </c>
      <c r="L6736" t="str">
        <f t="shared" si="2750"/>
        <v>04-08-2020</v>
      </c>
      <c r="M6736" t="str">
        <f t="shared" si="2750"/>
        <v>04-08-2020</v>
      </c>
      <c r="N6736" t="str">
        <f t="shared" si="2751"/>
        <v>001105018356</v>
      </c>
      <c r="O6736" t="str">
        <f t="shared" si="2752"/>
        <v>MYR</v>
      </c>
      <c r="P6736" t="str">
        <f t="shared" si="2753"/>
        <v>NIL</v>
      </c>
      <c r="Q6736" t="str">
        <f t="shared" si="2753"/>
        <v>NIL</v>
      </c>
      <c r="R6736" t="str">
        <f t="shared" si="2740"/>
        <v>Accepted</v>
      </c>
      <c r="S6736" t="str">
        <f t="shared" si="2754"/>
        <v>Approved</v>
      </c>
      <c r="T6736" t="str">
        <f t="shared" si="2741"/>
        <v>10.20.8.188</v>
      </c>
      <c r="U6736" t="str">
        <f t="shared" si="2755"/>
        <v>AZRAD UMAR BIN SHAARI</v>
      </c>
      <c r="V6736" t="str">
        <f t="shared" si="2756"/>
        <v>FARHANA BINTI MUSTAPA</v>
      </c>
      <c r="W6736" t="str">
        <f t="shared" si="2757"/>
        <v>04-08-2020</v>
      </c>
      <c r="X6736" t="str">
        <f t="shared" si="2758"/>
        <v>RAZIMAH ANSAR AHMAD</v>
      </c>
      <c r="Y6736" t="str">
        <f t="shared" si="2759"/>
        <v>04-08-2020</v>
      </c>
      <c r="Z6736" t="str">
        <f>"COS10200804 2418"</f>
        <v>COS10200804 2418</v>
      </c>
    </row>
    <row r="6737" spans="1:26" x14ac:dyDescent="0.25">
      <c r="A6737" t="str">
        <f t="shared" si="2744"/>
        <v>04-08-2020 12:37:56</v>
      </c>
      <c r="B6737" t="str">
        <f>"0000804179"</f>
        <v>0000804179</v>
      </c>
      <c r="C6737" t="str">
        <f t="shared" si="2745"/>
        <v>0000804162</v>
      </c>
      <c r="D6737" t="str">
        <f t="shared" si="2747"/>
        <v>73185</v>
      </c>
      <c r="E6737" t="str">
        <f t="shared" si="2748"/>
        <v>KFH-OPERATIONS DEPARTMENT</v>
      </c>
      <c r="F6737" t="str">
        <f t="shared" si="2749"/>
        <v>IBG</v>
      </c>
      <c r="G6737" t="str">
        <f t="shared" si="2760"/>
        <v>Refund COSHARE 10</v>
      </c>
      <c r="H6737" s="2">
        <v>1590</v>
      </c>
      <c r="I6737" t="str">
        <f>"EMALIANA BINTI GAKOU NURAMALINA SALLEH"</f>
        <v>EMALIANA BINTI GAKOU NURAMALINA SALLEH</v>
      </c>
      <c r="J6737" t="str">
        <f t="shared" si="2746"/>
        <v>CIMB BANK / CIMB ISLAMIC BANK</v>
      </c>
      <c r="K6737" t="str">
        <f>"10050032933524"</f>
        <v>10050032933524</v>
      </c>
      <c r="L6737" t="str">
        <f t="shared" si="2750"/>
        <v>04-08-2020</v>
      </c>
      <c r="M6737" t="str">
        <f t="shared" si="2750"/>
        <v>04-08-2020</v>
      </c>
      <c r="N6737" t="str">
        <f t="shared" si="2751"/>
        <v>001105018356</v>
      </c>
      <c r="O6737" t="str">
        <f t="shared" si="2752"/>
        <v>MYR</v>
      </c>
      <c r="P6737" t="str">
        <f t="shared" si="2753"/>
        <v>NIL</v>
      </c>
      <c r="Q6737" t="str">
        <f t="shared" si="2753"/>
        <v>NIL</v>
      </c>
      <c r="R6737" t="str">
        <f t="shared" si="2740"/>
        <v>Accepted</v>
      </c>
      <c r="S6737" t="str">
        <f t="shared" si="2754"/>
        <v>Approved</v>
      </c>
      <c r="T6737" t="str">
        <f t="shared" si="2741"/>
        <v>10.20.8.188</v>
      </c>
      <c r="U6737" t="str">
        <f t="shared" si="2755"/>
        <v>AZRAD UMAR BIN SHAARI</v>
      </c>
      <c r="V6737" t="str">
        <f t="shared" si="2756"/>
        <v>FARHANA BINTI MUSTAPA</v>
      </c>
      <c r="W6737" t="str">
        <f t="shared" si="2757"/>
        <v>04-08-2020</v>
      </c>
      <c r="X6737" t="str">
        <f t="shared" si="2758"/>
        <v>RAZIMAH ANSAR AHMAD</v>
      </c>
      <c r="Y6737" t="str">
        <f t="shared" si="2759"/>
        <v>04-08-2020</v>
      </c>
      <c r="Z6737" t="str">
        <f>"COS10200804 2417"</f>
        <v>COS10200804 2417</v>
      </c>
    </row>
    <row r="6738" spans="1:26" x14ac:dyDescent="0.25">
      <c r="A6738" t="str">
        <f t="shared" si="2744"/>
        <v>04-08-2020 12:37:56</v>
      </c>
      <c r="B6738" t="str">
        <f>"0000804178"</f>
        <v>0000804178</v>
      </c>
      <c r="C6738" t="str">
        <f t="shared" si="2745"/>
        <v>0000804162</v>
      </c>
      <c r="D6738" t="str">
        <f t="shared" si="2747"/>
        <v>73185</v>
      </c>
      <c r="E6738" t="str">
        <f t="shared" si="2748"/>
        <v>KFH-OPERATIONS DEPARTMENT</v>
      </c>
      <c r="F6738" t="str">
        <f t="shared" si="2749"/>
        <v>IBG</v>
      </c>
      <c r="G6738" t="str">
        <f t="shared" si="2760"/>
        <v>Refund COSHARE 10</v>
      </c>
      <c r="H6738" s="2">
        <v>671.6</v>
      </c>
      <c r="I6738" t="str">
        <f>"EIZUANDIE BIN MOHD AZMI"</f>
        <v>EIZUANDIE BIN MOHD AZMI</v>
      </c>
      <c r="J6738" t="str">
        <f t="shared" si="2746"/>
        <v>CIMB BANK / CIMB ISLAMIC BANK</v>
      </c>
      <c r="K6738" t="str">
        <f>"14400059233520"</f>
        <v>14400059233520</v>
      </c>
      <c r="L6738" t="str">
        <f t="shared" si="2750"/>
        <v>04-08-2020</v>
      </c>
      <c r="M6738" t="str">
        <f t="shared" si="2750"/>
        <v>04-08-2020</v>
      </c>
      <c r="N6738" t="str">
        <f t="shared" si="2751"/>
        <v>001105018356</v>
      </c>
      <c r="O6738" t="str">
        <f t="shared" si="2752"/>
        <v>MYR</v>
      </c>
      <c r="P6738" t="str">
        <f t="shared" si="2753"/>
        <v>NIL</v>
      </c>
      <c r="Q6738" t="str">
        <f t="shared" si="2753"/>
        <v>NIL</v>
      </c>
      <c r="R6738" t="str">
        <f t="shared" si="2740"/>
        <v>Accepted</v>
      </c>
      <c r="S6738" t="str">
        <f t="shared" si="2754"/>
        <v>Approved</v>
      </c>
      <c r="T6738" t="str">
        <f t="shared" si="2741"/>
        <v>10.20.8.188</v>
      </c>
      <c r="U6738" t="str">
        <f t="shared" si="2755"/>
        <v>AZRAD UMAR BIN SHAARI</v>
      </c>
      <c r="V6738" t="str">
        <f t="shared" si="2756"/>
        <v>FARHANA BINTI MUSTAPA</v>
      </c>
      <c r="W6738" t="str">
        <f t="shared" si="2757"/>
        <v>04-08-2020</v>
      </c>
      <c r="X6738" t="str">
        <f t="shared" si="2758"/>
        <v>RAZIMAH ANSAR AHMAD</v>
      </c>
      <c r="Y6738" t="str">
        <f t="shared" si="2759"/>
        <v>04-08-2020</v>
      </c>
      <c r="Z6738" t="str">
        <f>"COS10200804 2416"</f>
        <v>COS10200804 2416</v>
      </c>
    </row>
    <row r="6739" spans="1:26" x14ac:dyDescent="0.25">
      <c r="A6739" t="str">
        <f t="shared" si="2744"/>
        <v>04-08-2020 12:37:56</v>
      </c>
      <c r="B6739" t="str">
        <f>"0000804177"</f>
        <v>0000804177</v>
      </c>
      <c r="C6739" t="str">
        <f t="shared" si="2745"/>
        <v>0000804162</v>
      </c>
      <c r="D6739" t="str">
        <f t="shared" si="2747"/>
        <v>73185</v>
      </c>
      <c r="E6739" t="str">
        <f t="shared" si="2748"/>
        <v>KFH-OPERATIONS DEPARTMENT</v>
      </c>
      <c r="F6739" t="str">
        <f t="shared" si="2749"/>
        <v>IBG</v>
      </c>
      <c r="G6739" t="str">
        <f t="shared" si="2760"/>
        <v>Refund COSHARE 10</v>
      </c>
      <c r="H6739" s="2">
        <v>216.15</v>
      </c>
      <c r="I6739" t="str">
        <f>"EFRI NOOR BIN MUHAMAD HENDRI"</f>
        <v>EFRI NOOR BIN MUHAMAD HENDRI</v>
      </c>
      <c r="J6739" t="str">
        <f t="shared" si="2746"/>
        <v>CIMB BANK / CIMB ISLAMIC BANK</v>
      </c>
      <c r="K6739" t="str">
        <f>"14320007629523"</f>
        <v>14320007629523</v>
      </c>
      <c r="L6739" t="str">
        <f t="shared" si="2750"/>
        <v>04-08-2020</v>
      </c>
      <c r="M6739" t="str">
        <f t="shared" si="2750"/>
        <v>04-08-2020</v>
      </c>
      <c r="N6739" t="str">
        <f t="shared" si="2751"/>
        <v>001105018356</v>
      </c>
      <c r="O6739" t="str">
        <f t="shared" si="2752"/>
        <v>MYR</v>
      </c>
      <c r="P6739" t="str">
        <f t="shared" si="2753"/>
        <v>NIL</v>
      </c>
      <c r="Q6739" t="str">
        <f t="shared" si="2753"/>
        <v>NIL</v>
      </c>
      <c r="R6739" t="str">
        <f t="shared" si="2740"/>
        <v>Accepted</v>
      </c>
      <c r="S6739" t="str">
        <f t="shared" si="2754"/>
        <v>Approved</v>
      </c>
      <c r="T6739" t="str">
        <f t="shared" si="2741"/>
        <v>10.20.8.188</v>
      </c>
      <c r="U6739" t="str">
        <f t="shared" si="2755"/>
        <v>AZRAD UMAR BIN SHAARI</v>
      </c>
      <c r="V6739" t="str">
        <f t="shared" si="2756"/>
        <v>FARHANA BINTI MUSTAPA</v>
      </c>
      <c r="W6739" t="str">
        <f t="shared" si="2757"/>
        <v>04-08-2020</v>
      </c>
      <c r="X6739" t="str">
        <f t="shared" si="2758"/>
        <v>RAZIMAH ANSAR AHMAD</v>
      </c>
      <c r="Y6739" t="str">
        <f t="shared" si="2759"/>
        <v>04-08-2020</v>
      </c>
      <c r="Z6739" t="str">
        <f>"COS10200804 2415"</f>
        <v>COS10200804 2415</v>
      </c>
    </row>
    <row r="6740" spans="1:26" x14ac:dyDescent="0.25">
      <c r="A6740" t="str">
        <f t="shared" si="2744"/>
        <v>04-08-2020 12:37:56</v>
      </c>
      <c r="B6740" t="str">
        <f>"0000804176"</f>
        <v>0000804176</v>
      </c>
      <c r="C6740" t="str">
        <f t="shared" si="2745"/>
        <v>0000804162</v>
      </c>
      <c r="D6740" t="str">
        <f t="shared" si="2747"/>
        <v>73185</v>
      </c>
      <c r="E6740" t="str">
        <f t="shared" si="2748"/>
        <v>KFH-OPERATIONS DEPARTMENT</v>
      </c>
      <c r="F6740" t="str">
        <f t="shared" si="2749"/>
        <v>IBG</v>
      </c>
      <c r="G6740" t="str">
        <f t="shared" si="2760"/>
        <v>Refund COSHARE 10</v>
      </c>
      <c r="H6740" s="2">
        <v>135</v>
      </c>
      <c r="I6740" t="str">
        <f>"EFRI NOOR BIN MUHAMAD HENDRI"</f>
        <v>EFRI NOOR BIN MUHAMAD HENDRI</v>
      </c>
      <c r="J6740" t="str">
        <f t="shared" si="2746"/>
        <v>CIMB BANK / CIMB ISLAMIC BANK</v>
      </c>
      <c r="K6740" t="str">
        <f>"14320007629523"</f>
        <v>14320007629523</v>
      </c>
      <c r="L6740" t="str">
        <f t="shared" si="2750"/>
        <v>04-08-2020</v>
      </c>
      <c r="M6740" t="str">
        <f t="shared" si="2750"/>
        <v>04-08-2020</v>
      </c>
      <c r="N6740" t="str">
        <f t="shared" si="2751"/>
        <v>001105018356</v>
      </c>
      <c r="O6740" t="str">
        <f t="shared" si="2752"/>
        <v>MYR</v>
      </c>
      <c r="P6740" t="str">
        <f t="shared" si="2753"/>
        <v>NIL</v>
      </c>
      <c r="Q6740" t="str">
        <f t="shared" si="2753"/>
        <v>NIL</v>
      </c>
      <c r="R6740" t="str">
        <f t="shared" si="2740"/>
        <v>Accepted</v>
      </c>
      <c r="S6740" t="str">
        <f t="shared" si="2754"/>
        <v>Approved</v>
      </c>
      <c r="T6740" t="str">
        <f t="shared" si="2741"/>
        <v>10.20.8.188</v>
      </c>
      <c r="U6740" t="str">
        <f t="shared" si="2755"/>
        <v>AZRAD UMAR BIN SHAARI</v>
      </c>
      <c r="V6740" t="str">
        <f t="shared" si="2756"/>
        <v>FARHANA BINTI MUSTAPA</v>
      </c>
      <c r="W6740" t="str">
        <f t="shared" si="2757"/>
        <v>04-08-2020</v>
      </c>
      <c r="X6740" t="str">
        <f t="shared" si="2758"/>
        <v>RAZIMAH ANSAR AHMAD</v>
      </c>
      <c r="Y6740" t="str">
        <f t="shared" si="2759"/>
        <v>04-08-2020</v>
      </c>
      <c r="Z6740" t="str">
        <f>"COS10200804 2414"</f>
        <v>COS10200804 2414</v>
      </c>
    </row>
    <row r="6741" spans="1:26" x14ac:dyDescent="0.25">
      <c r="A6741" t="str">
        <f t="shared" si="2744"/>
        <v>04-08-2020 12:37:56</v>
      </c>
      <c r="B6741" t="str">
        <f>"0000804175"</f>
        <v>0000804175</v>
      </c>
      <c r="C6741" t="str">
        <f t="shared" si="2745"/>
        <v>0000804162</v>
      </c>
      <c r="D6741" t="str">
        <f t="shared" si="2747"/>
        <v>73185</v>
      </c>
      <c r="E6741" t="str">
        <f t="shared" si="2748"/>
        <v>KFH-OPERATIONS DEPARTMENT</v>
      </c>
      <c r="F6741" t="str">
        <f t="shared" si="2749"/>
        <v>IBG</v>
      </c>
      <c r="G6741" t="str">
        <f t="shared" si="2760"/>
        <v>Refund COSHARE 10</v>
      </c>
      <c r="H6741" s="2">
        <v>167</v>
      </c>
      <c r="I6741" t="str">
        <f>"EFARINAH BINTI NASIR"</f>
        <v>EFARINAH BINTI NASIR</v>
      </c>
      <c r="J6741" t="str">
        <f t="shared" si="2746"/>
        <v>CIMB BANK / CIMB ISLAMIC BANK</v>
      </c>
      <c r="K6741" t="str">
        <f>"10040061689525"</f>
        <v>10040061689525</v>
      </c>
      <c r="L6741" t="str">
        <f t="shared" si="2750"/>
        <v>04-08-2020</v>
      </c>
      <c r="M6741" t="str">
        <f t="shared" si="2750"/>
        <v>04-08-2020</v>
      </c>
      <c r="N6741" t="str">
        <f t="shared" si="2751"/>
        <v>001105018356</v>
      </c>
      <c r="O6741" t="str">
        <f t="shared" si="2752"/>
        <v>MYR</v>
      </c>
      <c r="P6741" t="str">
        <f t="shared" si="2753"/>
        <v>NIL</v>
      </c>
      <c r="Q6741" t="str">
        <f t="shared" si="2753"/>
        <v>NIL</v>
      </c>
      <c r="R6741" t="str">
        <f t="shared" si="2740"/>
        <v>Accepted</v>
      </c>
      <c r="S6741" t="str">
        <f t="shared" si="2754"/>
        <v>Approved</v>
      </c>
      <c r="T6741" t="str">
        <f t="shared" si="2741"/>
        <v>10.20.8.188</v>
      </c>
      <c r="U6741" t="str">
        <f t="shared" si="2755"/>
        <v>AZRAD UMAR BIN SHAARI</v>
      </c>
      <c r="V6741" t="str">
        <f t="shared" si="2756"/>
        <v>FARHANA BINTI MUSTAPA</v>
      </c>
      <c r="W6741" t="str">
        <f t="shared" si="2757"/>
        <v>04-08-2020</v>
      </c>
      <c r="X6741" t="str">
        <f t="shared" si="2758"/>
        <v>RAZIMAH ANSAR AHMAD</v>
      </c>
      <c r="Y6741" t="str">
        <f t="shared" si="2759"/>
        <v>04-08-2020</v>
      </c>
      <c r="Z6741" t="str">
        <f>"COS10200804 2413"</f>
        <v>COS10200804 2413</v>
      </c>
    </row>
    <row r="6742" spans="1:26" x14ac:dyDescent="0.25">
      <c r="A6742" t="str">
        <f t="shared" si="2744"/>
        <v>04-08-2020 12:37:56</v>
      </c>
      <c r="B6742" t="str">
        <f>"0000804174"</f>
        <v>0000804174</v>
      </c>
      <c r="C6742" t="str">
        <f t="shared" si="2745"/>
        <v>0000804162</v>
      </c>
      <c r="D6742" t="str">
        <f t="shared" si="2747"/>
        <v>73185</v>
      </c>
      <c r="E6742" t="str">
        <f t="shared" si="2748"/>
        <v>KFH-OPERATIONS DEPARTMENT</v>
      </c>
      <c r="F6742" t="str">
        <f t="shared" si="2749"/>
        <v>IBG</v>
      </c>
      <c r="G6742" t="str">
        <f t="shared" si="2760"/>
        <v>Refund COSHARE 10</v>
      </c>
      <c r="H6742" s="2">
        <v>281</v>
      </c>
      <c r="I6742" t="str">
        <f>"EDURA BINTI SAMADI"</f>
        <v>EDURA BINTI SAMADI</v>
      </c>
      <c r="J6742" t="str">
        <f t="shared" si="2746"/>
        <v>CIMB BANK / CIMB ISLAMIC BANK</v>
      </c>
      <c r="K6742" t="str">
        <f>"12490085645528"</f>
        <v>12490085645528</v>
      </c>
      <c r="L6742" t="str">
        <f t="shared" si="2750"/>
        <v>04-08-2020</v>
      </c>
      <c r="M6742" t="str">
        <f t="shared" si="2750"/>
        <v>04-08-2020</v>
      </c>
      <c r="N6742" t="str">
        <f t="shared" si="2751"/>
        <v>001105018356</v>
      </c>
      <c r="O6742" t="str">
        <f t="shared" si="2752"/>
        <v>MYR</v>
      </c>
      <c r="P6742" t="str">
        <f t="shared" si="2753"/>
        <v>NIL</v>
      </c>
      <c r="Q6742" t="str">
        <f t="shared" si="2753"/>
        <v>NIL</v>
      </c>
      <c r="R6742" t="str">
        <f t="shared" si="2740"/>
        <v>Accepted</v>
      </c>
      <c r="S6742" t="str">
        <f t="shared" si="2754"/>
        <v>Approved</v>
      </c>
      <c r="T6742" t="str">
        <f t="shared" si="2741"/>
        <v>10.20.8.188</v>
      </c>
      <c r="U6742" t="str">
        <f t="shared" si="2755"/>
        <v>AZRAD UMAR BIN SHAARI</v>
      </c>
      <c r="V6742" t="str">
        <f t="shared" si="2756"/>
        <v>FARHANA BINTI MUSTAPA</v>
      </c>
      <c r="W6742" t="str">
        <f t="shared" si="2757"/>
        <v>04-08-2020</v>
      </c>
      <c r="X6742" t="str">
        <f t="shared" si="2758"/>
        <v>RAZIMAH ANSAR AHMAD</v>
      </c>
      <c r="Y6742" t="str">
        <f t="shared" si="2759"/>
        <v>04-08-2020</v>
      </c>
      <c r="Z6742" t="str">
        <f>"COS10200804 2412"</f>
        <v>COS10200804 2412</v>
      </c>
    </row>
    <row r="6743" spans="1:26" x14ac:dyDescent="0.25">
      <c r="A6743" t="str">
        <f t="shared" si="2744"/>
        <v>04-08-2020 12:37:56</v>
      </c>
      <c r="B6743" t="str">
        <f>"0000804173"</f>
        <v>0000804173</v>
      </c>
      <c r="C6743" t="str">
        <f t="shared" si="2745"/>
        <v>0000804162</v>
      </c>
      <c r="D6743" t="str">
        <f t="shared" si="2747"/>
        <v>73185</v>
      </c>
      <c r="E6743" t="str">
        <f t="shared" si="2748"/>
        <v>KFH-OPERATIONS DEPARTMENT</v>
      </c>
      <c r="F6743" t="str">
        <f t="shared" si="2749"/>
        <v>IBG</v>
      </c>
      <c r="G6743" t="str">
        <f t="shared" si="2760"/>
        <v>Refund COSHARE 10</v>
      </c>
      <c r="H6743" s="2">
        <v>84</v>
      </c>
      <c r="I6743" t="str">
        <f>"EDNA ANAK MUDAH"</f>
        <v>EDNA ANAK MUDAH</v>
      </c>
      <c r="J6743" t="str">
        <f t="shared" si="2746"/>
        <v>CIMB BANK / CIMB ISLAMIC BANK</v>
      </c>
      <c r="K6743" t="str">
        <f>"11150002466202"</f>
        <v>11150002466202</v>
      </c>
      <c r="L6743" t="str">
        <f t="shared" si="2750"/>
        <v>04-08-2020</v>
      </c>
      <c r="M6743" t="str">
        <f t="shared" si="2750"/>
        <v>04-08-2020</v>
      </c>
      <c r="N6743" t="str">
        <f t="shared" si="2751"/>
        <v>001105018356</v>
      </c>
      <c r="O6743" t="str">
        <f t="shared" si="2752"/>
        <v>MYR</v>
      </c>
      <c r="P6743" t="str">
        <f t="shared" si="2753"/>
        <v>NIL</v>
      </c>
      <c r="Q6743" t="str">
        <f t="shared" si="2753"/>
        <v>NIL</v>
      </c>
      <c r="R6743" t="str">
        <f t="shared" si="2740"/>
        <v>Accepted</v>
      </c>
      <c r="S6743" t="str">
        <f t="shared" si="2754"/>
        <v>Approved</v>
      </c>
      <c r="T6743" t="str">
        <f t="shared" si="2741"/>
        <v>10.20.8.188</v>
      </c>
      <c r="U6743" t="str">
        <f t="shared" si="2755"/>
        <v>AZRAD UMAR BIN SHAARI</v>
      </c>
      <c r="V6743" t="str">
        <f t="shared" si="2756"/>
        <v>FARHANA BINTI MUSTAPA</v>
      </c>
      <c r="W6743" t="str">
        <f t="shared" si="2757"/>
        <v>04-08-2020</v>
      </c>
      <c r="X6743" t="str">
        <f t="shared" si="2758"/>
        <v>RAZIMAH ANSAR AHMAD</v>
      </c>
      <c r="Y6743" t="str">
        <f t="shared" si="2759"/>
        <v>04-08-2020</v>
      </c>
      <c r="Z6743" t="str">
        <f>"COS10200804 2411"</f>
        <v>COS10200804 2411</v>
      </c>
    </row>
    <row r="6744" spans="1:26" x14ac:dyDescent="0.25">
      <c r="A6744" t="str">
        <f t="shared" si="2744"/>
        <v>04-08-2020 12:37:56</v>
      </c>
      <c r="B6744" t="str">
        <f>"0000804172"</f>
        <v>0000804172</v>
      </c>
      <c r="C6744" t="str">
        <f t="shared" si="2745"/>
        <v>0000804162</v>
      </c>
      <c r="D6744" t="str">
        <f t="shared" si="2747"/>
        <v>73185</v>
      </c>
      <c r="E6744" t="str">
        <f t="shared" si="2748"/>
        <v>KFH-OPERATIONS DEPARTMENT</v>
      </c>
      <c r="F6744" t="str">
        <f t="shared" si="2749"/>
        <v>IBG</v>
      </c>
      <c r="G6744" t="str">
        <f t="shared" si="2760"/>
        <v>Refund COSHARE 10</v>
      </c>
      <c r="H6744" s="2">
        <v>134.35</v>
      </c>
      <c r="I6744" t="str">
        <f>"EDITH PETER SUBIN"</f>
        <v>EDITH PETER SUBIN</v>
      </c>
      <c r="J6744" t="str">
        <f t="shared" si="2746"/>
        <v>CIMB BANK / CIMB ISLAMIC BANK</v>
      </c>
      <c r="K6744" t="str">
        <f>"10050073862523"</f>
        <v>10050073862523</v>
      </c>
      <c r="L6744" t="str">
        <f t="shared" si="2750"/>
        <v>04-08-2020</v>
      </c>
      <c r="M6744" t="str">
        <f t="shared" si="2750"/>
        <v>04-08-2020</v>
      </c>
      <c r="N6744" t="str">
        <f t="shared" si="2751"/>
        <v>001105018356</v>
      </c>
      <c r="O6744" t="str">
        <f t="shared" si="2752"/>
        <v>MYR</v>
      </c>
      <c r="P6744" t="str">
        <f t="shared" si="2753"/>
        <v>NIL</v>
      </c>
      <c r="Q6744" t="str">
        <f t="shared" si="2753"/>
        <v>NIL</v>
      </c>
      <c r="R6744" t="str">
        <f t="shared" si="2740"/>
        <v>Accepted</v>
      </c>
      <c r="S6744" t="str">
        <f t="shared" si="2754"/>
        <v>Approved</v>
      </c>
      <c r="T6744" t="str">
        <f t="shared" si="2741"/>
        <v>10.20.8.188</v>
      </c>
      <c r="U6744" t="str">
        <f t="shared" si="2755"/>
        <v>AZRAD UMAR BIN SHAARI</v>
      </c>
      <c r="V6744" t="str">
        <f t="shared" si="2756"/>
        <v>FARHANA BINTI MUSTAPA</v>
      </c>
      <c r="W6744" t="str">
        <f t="shared" si="2757"/>
        <v>04-08-2020</v>
      </c>
      <c r="X6744" t="str">
        <f t="shared" si="2758"/>
        <v>RAZIMAH ANSAR AHMAD</v>
      </c>
      <c r="Y6744" t="str">
        <f t="shared" si="2759"/>
        <v>04-08-2020</v>
      </c>
      <c r="Z6744" t="str">
        <f>"COS10200804 2410"</f>
        <v>COS10200804 2410</v>
      </c>
    </row>
    <row r="6745" spans="1:26" x14ac:dyDescent="0.25">
      <c r="A6745" t="str">
        <f t="shared" si="2744"/>
        <v>04-08-2020 12:37:56</v>
      </c>
      <c r="B6745" t="str">
        <f>"0000804171"</f>
        <v>0000804171</v>
      </c>
      <c r="C6745" t="str">
        <f t="shared" si="2745"/>
        <v>0000804162</v>
      </c>
      <c r="D6745" t="str">
        <f t="shared" si="2747"/>
        <v>73185</v>
      </c>
      <c r="E6745" t="str">
        <f t="shared" si="2748"/>
        <v>KFH-OPERATIONS DEPARTMENT</v>
      </c>
      <c r="F6745" t="str">
        <f t="shared" si="2749"/>
        <v>IBG</v>
      </c>
      <c r="G6745" t="str">
        <f t="shared" si="2760"/>
        <v>Refund COSHARE 10</v>
      </c>
      <c r="H6745" s="2">
        <v>92.35</v>
      </c>
      <c r="I6745" t="str">
        <f>"EDI SYAKIRAN BIN MOHAMAD"</f>
        <v>EDI SYAKIRAN BIN MOHAMAD</v>
      </c>
      <c r="J6745" t="str">
        <f t="shared" si="2746"/>
        <v>CIMB BANK / CIMB ISLAMIC BANK</v>
      </c>
      <c r="K6745" t="str">
        <f>"16010003286200"</f>
        <v>16010003286200</v>
      </c>
      <c r="L6745" t="str">
        <f t="shared" si="2750"/>
        <v>04-08-2020</v>
      </c>
      <c r="M6745" t="str">
        <f t="shared" si="2750"/>
        <v>04-08-2020</v>
      </c>
      <c r="N6745" t="str">
        <f t="shared" si="2751"/>
        <v>001105018356</v>
      </c>
      <c r="O6745" t="str">
        <f t="shared" si="2752"/>
        <v>MYR</v>
      </c>
      <c r="P6745" t="str">
        <f t="shared" si="2753"/>
        <v>NIL</v>
      </c>
      <c r="Q6745" t="str">
        <f t="shared" si="2753"/>
        <v>NIL</v>
      </c>
      <c r="R6745" t="str">
        <f t="shared" si="2740"/>
        <v>Accepted</v>
      </c>
      <c r="S6745" t="str">
        <f t="shared" si="2754"/>
        <v>Approved</v>
      </c>
      <c r="T6745" t="str">
        <f t="shared" si="2741"/>
        <v>10.20.8.188</v>
      </c>
      <c r="U6745" t="str">
        <f t="shared" si="2755"/>
        <v>AZRAD UMAR BIN SHAARI</v>
      </c>
      <c r="V6745" t="str">
        <f t="shared" si="2756"/>
        <v>FARHANA BINTI MUSTAPA</v>
      </c>
      <c r="W6745" t="str">
        <f t="shared" si="2757"/>
        <v>04-08-2020</v>
      </c>
      <c r="X6745" t="str">
        <f t="shared" si="2758"/>
        <v>RAZIMAH ANSAR AHMAD</v>
      </c>
      <c r="Y6745" t="str">
        <f t="shared" si="2759"/>
        <v>04-08-2020</v>
      </c>
      <c r="Z6745" t="str">
        <f>"COS10200804 2409"</f>
        <v>COS10200804 2409</v>
      </c>
    </row>
    <row r="6746" spans="1:26" x14ac:dyDescent="0.25">
      <c r="A6746" t="str">
        <f t="shared" ref="A6746:A6753" si="2761">"04-08-2020 12:37:56"</f>
        <v>04-08-2020 12:37:56</v>
      </c>
      <c r="B6746" t="str">
        <f>"0000804170"</f>
        <v>0000804170</v>
      </c>
      <c r="C6746" t="str">
        <f t="shared" ref="C6746:C6753" si="2762">"0000804162"</f>
        <v>0000804162</v>
      </c>
      <c r="D6746" t="str">
        <f t="shared" si="2747"/>
        <v>73185</v>
      </c>
      <c r="E6746" t="str">
        <f t="shared" si="2748"/>
        <v>KFH-OPERATIONS DEPARTMENT</v>
      </c>
      <c r="F6746" t="str">
        <f t="shared" si="2749"/>
        <v>IBG</v>
      </c>
      <c r="G6746" t="str">
        <f t="shared" si="2760"/>
        <v>Refund COSHARE 10</v>
      </c>
      <c r="H6746" s="2">
        <v>299</v>
      </c>
      <c r="I6746" t="str">
        <f>"EDDY ANAK BRAOH"</f>
        <v>EDDY ANAK BRAOH</v>
      </c>
      <c r="J6746" t="str">
        <f t="shared" si="2746"/>
        <v>CIMB BANK / CIMB ISLAMIC BANK</v>
      </c>
      <c r="K6746" t="str">
        <f>"11130001271528"</f>
        <v>11130001271528</v>
      </c>
      <c r="L6746" t="str">
        <f t="shared" si="2750"/>
        <v>04-08-2020</v>
      </c>
      <c r="M6746" t="str">
        <f t="shared" si="2750"/>
        <v>04-08-2020</v>
      </c>
      <c r="N6746" t="str">
        <f t="shared" si="2751"/>
        <v>001105018356</v>
      </c>
      <c r="O6746" t="str">
        <f t="shared" si="2752"/>
        <v>MYR</v>
      </c>
      <c r="P6746" t="str">
        <f t="shared" si="2753"/>
        <v>NIL</v>
      </c>
      <c r="Q6746" t="str">
        <f t="shared" si="2753"/>
        <v>NIL</v>
      </c>
      <c r="R6746" t="str">
        <f t="shared" si="2740"/>
        <v>Accepted</v>
      </c>
      <c r="S6746" t="str">
        <f t="shared" si="2754"/>
        <v>Approved</v>
      </c>
      <c r="T6746" t="str">
        <f t="shared" si="2741"/>
        <v>10.20.8.188</v>
      </c>
      <c r="U6746" t="str">
        <f t="shared" si="2755"/>
        <v>AZRAD UMAR BIN SHAARI</v>
      </c>
      <c r="V6746" t="str">
        <f t="shared" si="2756"/>
        <v>FARHANA BINTI MUSTAPA</v>
      </c>
      <c r="W6746" t="str">
        <f t="shared" si="2757"/>
        <v>04-08-2020</v>
      </c>
      <c r="X6746" t="str">
        <f t="shared" si="2758"/>
        <v>RAZIMAH ANSAR AHMAD</v>
      </c>
      <c r="Y6746" t="str">
        <f t="shared" si="2759"/>
        <v>04-08-2020</v>
      </c>
      <c r="Z6746" t="str">
        <f>"COS10200804 2408"</f>
        <v>COS10200804 2408</v>
      </c>
    </row>
    <row r="6747" spans="1:26" x14ac:dyDescent="0.25">
      <c r="A6747" t="str">
        <f t="shared" si="2761"/>
        <v>04-08-2020 12:37:56</v>
      </c>
      <c r="B6747" t="str">
        <f>"0000804169"</f>
        <v>0000804169</v>
      </c>
      <c r="C6747" t="str">
        <f t="shared" si="2762"/>
        <v>0000804162</v>
      </c>
      <c r="D6747" t="str">
        <f t="shared" si="2747"/>
        <v>73185</v>
      </c>
      <c r="E6747" t="str">
        <f t="shared" si="2748"/>
        <v>KFH-OPERATIONS DEPARTMENT</v>
      </c>
      <c r="F6747" t="str">
        <f t="shared" si="2749"/>
        <v>IBG</v>
      </c>
      <c r="G6747" t="str">
        <f t="shared" si="2760"/>
        <v>Refund COSHARE 10</v>
      </c>
      <c r="H6747" s="2">
        <v>469</v>
      </c>
      <c r="I6747" t="str">
        <f>"EDAH ANAK AMBO"</f>
        <v>EDAH ANAK AMBO</v>
      </c>
      <c r="J6747" t="str">
        <f t="shared" si="2746"/>
        <v>CIMB BANK / CIMB ISLAMIC BANK</v>
      </c>
      <c r="K6747" t="str">
        <f>"11100071510523"</f>
        <v>11100071510523</v>
      </c>
      <c r="L6747" t="str">
        <f t="shared" ref="L6747:M6766" si="2763">"04-08-2020"</f>
        <v>04-08-2020</v>
      </c>
      <c r="M6747" t="str">
        <f t="shared" si="2763"/>
        <v>04-08-2020</v>
      </c>
      <c r="N6747" t="str">
        <f t="shared" si="2751"/>
        <v>001105018356</v>
      </c>
      <c r="O6747" t="str">
        <f t="shared" si="2752"/>
        <v>MYR</v>
      </c>
      <c r="P6747" t="str">
        <f t="shared" ref="P6747:Q6766" si="2764">"NIL"</f>
        <v>NIL</v>
      </c>
      <c r="Q6747" t="str">
        <f t="shared" si="2764"/>
        <v>NIL</v>
      </c>
      <c r="R6747" t="str">
        <f t="shared" si="2740"/>
        <v>Accepted</v>
      </c>
      <c r="S6747" t="str">
        <f t="shared" si="2754"/>
        <v>Approved</v>
      </c>
      <c r="T6747" t="str">
        <f t="shared" si="2741"/>
        <v>10.20.8.188</v>
      </c>
      <c r="U6747" t="str">
        <f t="shared" si="2755"/>
        <v>AZRAD UMAR BIN SHAARI</v>
      </c>
      <c r="V6747" t="str">
        <f t="shared" si="2756"/>
        <v>FARHANA BINTI MUSTAPA</v>
      </c>
      <c r="W6747" t="str">
        <f t="shared" si="2757"/>
        <v>04-08-2020</v>
      </c>
      <c r="X6747" t="str">
        <f t="shared" si="2758"/>
        <v>RAZIMAH ANSAR AHMAD</v>
      </c>
      <c r="Y6747" t="str">
        <f t="shared" si="2759"/>
        <v>04-08-2020</v>
      </c>
      <c r="Z6747" t="str">
        <f>"COS10200804 2407"</f>
        <v>COS10200804 2407</v>
      </c>
    </row>
    <row r="6748" spans="1:26" x14ac:dyDescent="0.25">
      <c r="A6748" t="str">
        <f t="shared" si="2761"/>
        <v>04-08-2020 12:37:56</v>
      </c>
      <c r="B6748" t="str">
        <f>"0000804168"</f>
        <v>0000804168</v>
      </c>
      <c r="C6748" t="str">
        <f t="shared" si="2762"/>
        <v>0000804162</v>
      </c>
      <c r="D6748" t="str">
        <f t="shared" si="2747"/>
        <v>73185</v>
      </c>
      <c r="E6748" t="str">
        <f t="shared" si="2748"/>
        <v>KFH-OPERATIONS DEPARTMENT</v>
      </c>
      <c r="F6748" t="str">
        <f t="shared" si="2749"/>
        <v>IBG</v>
      </c>
      <c r="G6748" t="str">
        <f t="shared" si="2760"/>
        <v>Refund COSHARE 10</v>
      </c>
      <c r="H6748" s="2">
        <v>1518</v>
      </c>
      <c r="I6748" t="str">
        <f>"DOROTHYDORISCA SIMON"</f>
        <v>DOROTHYDORISCA SIMON</v>
      </c>
      <c r="J6748" t="str">
        <f t="shared" si="2746"/>
        <v>CIMB BANK / CIMB ISLAMIC BANK</v>
      </c>
      <c r="K6748" t="str">
        <f>"10050066262528"</f>
        <v>10050066262528</v>
      </c>
      <c r="L6748" t="str">
        <f t="shared" si="2763"/>
        <v>04-08-2020</v>
      </c>
      <c r="M6748" t="str">
        <f t="shared" si="2763"/>
        <v>04-08-2020</v>
      </c>
      <c r="N6748" t="str">
        <f t="shared" si="2751"/>
        <v>001105018356</v>
      </c>
      <c r="O6748" t="str">
        <f t="shared" si="2752"/>
        <v>MYR</v>
      </c>
      <c r="P6748" t="str">
        <f t="shared" si="2764"/>
        <v>NIL</v>
      </c>
      <c r="Q6748" t="str">
        <f t="shared" si="2764"/>
        <v>NIL</v>
      </c>
      <c r="R6748" t="str">
        <f t="shared" si="2740"/>
        <v>Accepted</v>
      </c>
      <c r="S6748" t="str">
        <f t="shared" si="2754"/>
        <v>Approved</v>
      </c>
      <c r="T6748" t="str">
        <f t="shared" si="2741"/>
        <v>10.20.8.188</v>
      </c>
      <c r="U6748" t="str">
        <f t="shared" si="2755"/>
        <v>AZRAD UMAR BIN SHAARI</v>
      </c>
      <c r="V6748" t="str">
        <f t="shared" si="2756"/>
        <v>FARHANA BINTI MUSTAPA</v>
      </c>
      <c r="W6748" t="str">
        <f t="shared" si="2757"/>
        <v>04-08-2020</v>
      </c>
      <c r="X6748" t="str">
        <f t="shared" si="2758"/>
        <v>RAZIMAH ANSAR AHMAD</v>
      </c>
      <c r="Y6748" t="str">
        <f t="shared" si="2759"/>
        <v>04-08-2020</v>
      </c>
      <c r="Z6748" t="str">
        <f>"COS10200804 2406"</f>
        <v>COS10200804 2406</v>
      </c>
    </row>
    <row r="6749" spans="1:26" x14ac:dyDescent="0.25">
      <c r="A6749" t="str">
        <f t="shared" si="2761"/>
        <v>04-08-2020 12:37:56</v>
      </c>
      <c r="B6749" t="str">
        <f>"0000804167"</f>
        <v>0000804167</v>
      </c>
      <c r="C6749" t="str">
        <f t="shared" si="2762"/>
        <v>0000804162</v>
      </c>
      <c r="D6749" t="str">
        <f t="shared" si="2747"/>
        <v>73185</v>
      </c>
      <c r="E6749" t="str">
        <f t="shared" si="2748"/>
        <v>KFH-OPERATIONS DEPARTMENT</v>
      </c>
      <c r="F6749" t="str">
        <f t="shared" si="2749"/>
        <v>IBG</v>
      </c>
      <c r="G6749" t="str">
        <f t="shared" si="2760"/>
        <v>Refund COSHARE 10</v>
      </c>
      <c r="H6749" s="2">
        <v>246.25</v>
      </c>
      <c r="I6749" t="str">
        <f>"DORIN BINTI LASIUS  DORIN ALOYSIUS"</f>
        <v>DORIN BINTI LASIUS  DORIN ALOYSIUS</v>
      </c>
      <c r="J6749" t="str">
        <f t="shared" si="2746"/>
        <v>CIMB BANK / CIMB ISLAMIC BANK</v>
      </c>
      <c r="K6749" t="str">
        <f>"10020076394529"</f>
        <v>10020076394529</v>
      </c>
      <c r="L6749" t="str">
        <f t="shared" si="2763"/>
        <v>04-08-2020</v>
      </c>
      <c r="M6749" t="str">
        <f t="shared" si="2763"/>
        <v>04-08-2020</v>
      </c>
      <c r="N6749" t="str">
        <f t="shared" si="2751"/>
        <v>001105018356</v>
      </c>
      <c r="O6749" t="str">
        <f t="shared" si="2752"/>
        <v>MYR</v>
      </c>
      <c r="P6749" t="str">
        <f t="shared" si="2764"/>
        <v>NIL</v>
      </c>
      <c r="Q6749" t="str">
        <f t="shared" si="2764"/>
        <v>NIL</v>
      </c>
      <c r="R6749" t="str">
        <f t="shared" si="2740"/>
        <v>Accepted</v>
      </c>
      <c r="S6749" t="str">
        <f t="shared" si="2754"/>
        <v>Approved</v>
      </c>
      <c r="T6749" t="str">
        <f t="shared" si="2741"/>
        <v>10.20.8.188</v>
      </c>
      <c r="U6749" t="str">
        <f t="shared" si="2755"/>
        <v>AZRAD UMAR BIN SHAARI</v>
      </c>
      <c r="V6749" t="str">
        <f t="shared" si="2756"/>
        <v>FARHANA BINTI MUSTAPA</v>
      </c>
      <c r="W6749" t="str">
        <f t="shared" si="2757"/>
        <v>04-08-2020</v>
      </c>
      <c r="X6749" t="str">
        <f t="shared" si="2758"/>
        <v>RAZIMAH ANSAR AHMAD</v>
      </c>
      <c r="Y6749" t="str">
        <f t="shared" si="2759"/>
        <v>04-08-2020</v>
      </c>
      <c r="Z6749" t="str">
        <f>"COS10200804 2405"</f>
        <v>COS10200804 2405</v>
      </c>
    </row>
    <row r="6750" spans="1:26" x14ac:dyDescent="0.25">
      <c r="A6750" t="str">
        <f t="shared" si="2761"/>
        <v>04-08-2020 12:37:56</v>
      </c>
      <c r="B6750" t="str">
        <f>"0000804166"</f>
        <v>0000804166</v>
      </c>
      <c r="C6750" t="str">
        <f t="shared" si="2762"/>
        <v>0000804162</v>
      </c>
      <c r="D6750" t="str">
        <f t="shared" si="2747"/>
        <v>73185</v>
      </c>
      <c r="E6750" t="str">
        <f t="shared" si="2748"/>
        <v>KFH-OPERATIONS DEPARTMENT</v>
      </c>
      <c r="F6750" t="str">
        <f t="shared" si="2749"/>
        <v>IBG</v>
      </c>
      <c r="G6750" t="str">
        <f t="shared" si="2760"/>
        <v>Refund COSHARE 10</v>
      </c>
      <c r="H6750" s="2">
        <v>147.35</v>
      </c>
      <c r="I6750" t="str">
        <f>"DORICE BINTI ERAU"</f>
        <v>DORICE BINTI ERAU</v>
      </c>
      <c r="J6750" t="str">
        <f t="shared" si="2746"/>
        <v>CIMB BANK / CIMB ISLAMIC BANK</v>
      </c>
      <c r="K6750" t="str">
        <f>"10040002256201"</f>
        <v>10040002256201</v>
      </c>
      <c r="L6750" t="str">
        <f t="shared" si="2763"/>
        <v>04-08-2020</v>
      </c>
      <c r="M6750" t="str">
        <f t="shared" si="2763"/>
        <v>04-08-2020</v>
      </c>
      <c r="N6750" t="str">
        <f t="shared" si="2751"/>
        <v>001105018356</v>
      </c>
      <c r="O6750" t="str">
        <f t="shared" si="2752"/>
        <v>MYR</v>
      </c>
      <c r="P6750" t="str">
        <f t="shared" si="2764"/>
        <v>NIL</v>
      </c>
      <c r="Q6750" t="str">
        <f t="shared" si="2764"/>
        <v>NIL</v>
      </c>
      <c r="R6750" t="str">
        <f t="shared" si="2740"/>
        <v>Accepted</v>
      </c>
      <c r="S6750" t="str">
        <f t="shared" si="2754"/>
        <v>Approved</v>
      </c>
      <c r="T6750" t="str">
        <f t="shared" si="2741"/>
        <v>10.20.8.188</v>
      </c>
      <c r="U6750" t="str">
        <f t="shared" si="2755"/>
        <v>AZRAD UMAR BIN SHAARI</v>
      </c>
      <c r="V6750" t="str">
        <f t="shared" si="2756"/>
        <v>FARHANA BINTI MUSTAPA</v>
      </c>
      <c r="W6750" t="str">
        <f t="shared" si="2757"/>
        <v>04-08-2020</v>
      </c>
      <c r="X6750" t="str">
        <f t="shared" si="2758"/>
        <v>RAZIMAH ANSAR AHMAD</v>
      </c>
      <c r="Y6750" t="str">
        <f t="shared" si="2759"/>
        <v>04-08-2020</v>
      </c>
      <c r="Z6750" t="str">
        <f>"COS10200804 2404"</f>
        <v>COS10200804 2404</v>
      </c>
    </row>
    <row r="6751" spans="1:26" x14ac:dyDescent="0.25">
      <c r="A6751" t="str">
        <f t="shared" si="2761"/>
        <v>04-08-2020 12:37:56</v>
      </c>
      <c r="B6751" t="str">
        <f>"0000804165"</f>
        <v>0000804165</v>
      </c>
      <c r="C6751" t="str">
        <f t="shared" si="2762"/>
        <v>0000804162</v>
      </c>
      <c r="D6751" t="str">
        <f t="shared" si="2747"/>
        <v>73185</v>
      </c>
      <c r="E6751" t="str">
        <f t="shared" si="2748"/>
        <v>KFH-OPERATIONS DEPARTMENT</v>
      </c>
      <c r="F6751" t="str">
        <f t="shared" si="2749"/>
        <v>IBG</v>
      </c>
      <c r="G6751" t="str">
        <f t="shared" si="2760"/>
        <v>Refund COSHARE 10</v>
      </c>
      <c r="H6751" s="2">
        <v>629.25</v>
      </c>
      <c r="I6751" t="str">
        <f>"DOMINIC NICHOLAS PUJI"</f>
        <v>DOMINIC NICHOLAS PUJI</v>
      </c>
      <c r="J6751" t="str">
        <f t="shared" si="2746"/>
        <v>CIMB BANK / CIMB ISLAMIC BANK</v>
      </c>
      <c r="K6751" t="str">
        <f>"7074040865"</f>
        <v>7074040865</v>
      </c>
      <c r="L6751" t="str">
        <f t="shared" si="2763"/>
        <v>04-08-2020</v>
      </c>
      <c r="M6751" t="str">
        <f t="shared" si="2763"/>
        <v>04-08-2020</v>
      </c>
      <c r="N6751" t="str">
        <f t="shared" si="2751"/>
        <v>001105018356</v>
      </c>
      <c r="O6751" t="str">
        <f t="shared" si="2752"/>
        <v>MYR</v>
      </c>
      <c r="P6751" t="str">
        <f t="shared" si="2764"/>
        <v>NIL</v>
      </c>
      <c r="Q6751" t="str">
        <f t="shared" si="2764"/>
        <v>NIL</v>
      </c>
      <c r="R6751" t="str">
        <f t="shared" si="2740"/>
        <v>Accepted</v>
      </c>
      <c r="S6751" t="str">
        <f t="shared" si="2754"/>
        <v>Approved</v>
      </c>
      <c r="T6751" t="str">
        <f t="shared" si="2741"/>
        <v>10.20.8.188</v>
      </c>
      <c r="U6751" t="str">
        <f t="shared" si="2755"/>
        <v>AZRAD UMAR BIN SHAARI</v>
      </c>
      <c r="V6751" t="str">
        <f t="shared" si="2756"/>
        <v>FARHANA BINTI MUSTAPA</v>
      </c>
      <c r="W6751" t="str">
        <f t="shared" si="2757"/>
        <v>04-08-2020</v>
      </c>
      <c r="X6751" t="str">
        <f t="shared" si="2758"/>
        <v>RAZIMAH ANSAR AHMAD</v>
      </c>
      <c r="Y6751" t="str">
        <f t="shared" si="2759"/>
        <v>04-08-2020</v>
      </c>
      <c r="Z6751" t="str">
        <f>"COS10200804 2403"</f>
        <v>COS10200804 2403</v>
      </c>
    </row>
    <row r="6752" spans="1:26" x14ac:dyDescent="0.25">
      <c r="A6752" t="str">
        <f t="shared" si="2761"/>
        <v>04-08-2020 12:37:56</v>
      </c>
      <c r="B6752" t="str">
        <f>"0000804164"</f>
        <v>0000804164</v>
      </c>
      <c r="C6752" t="str">
        <f t="shared" si="2762"/>
        <v>0000804162</v>
      </c>
      <c r="D6752" t="str">
        <f t="shared" si="2747"/>
        <v>73185</v>
      </c>
      <c r="E6752" t="str">
        <f t="shared" si="2748"/>
        <v>KFH-OPERATIONS DEPARTMENT</v>
      </c>
      <c r="F6752" t="str">
        <f t="shared" si="2749"/>
        <v>IBG</v>
      </c>
      <c r="G6752" t="str">
        <f t="shared" si="2760"/>
        <v>Refund COSHARE 10</v>
      </c>
      <c r="H6752" s="2">
        <v>167.9</v>
      </c>
      <c r="I6752" t="str">
        <f>"DK FARALINAWATI BT PENGIRAN ALI"</f>
        <v>DK FARALINAWATI BT PENGIRAN ALI</v>
      </c>
      <c r="J6752" t="str">
        <f t="shared" si="2746"/>
        <v>CIMB BANK / CIMB ISLAMIC BANK</v>
      </c>
      <c r="K6752" t="str">
        <f>"10030062231525"</f>
        <v>10030062231525</v>
      </c>
      <c r="L6752" t="str">
        <f t="shared" si="2763"/>
        <v>04-08-2020</v>
      </c>
      <c r="M6752" t="str">
        <f t="shared" si="2763"/>
        <v>04-08-2020</v>
      </c>
      <c r="N6752" t="str">
        <f t="shared" si="2751"/>
        <v>001105018356</v>
      </c>
      <c r="O6752" t="str">
        <f t="shared" si="2752"/>
        <v>MYR</v>
      </c>
      <c r="P6752" t="str">
        <f t="shared" si="2764"/>
        <v>NIL</v>
      </c>
      <c r="Q6752" t="str">
        <f t="shared" si="2764"/>
        <v>NIL</v>
      </c>
      <c r="R6752" t="str">
        <f t="shared" si="2740"/>
        <v>Accepted</v>
      </c>
      <c r="S6752" t="str">
        <f t="shared" si="2754"/>
        <v>Approved</v>
      </c>
      <c r="T6752" t="str">
        <f t="shared" si="2741"/>
        <v>10.20.8.188</v>
      </c>
      <c r="U6752" t="str">
        <f t="shared" si="2755"/>
        <v>AZRAD UMAR BIN SHAARI</v>
      </c>
      <c r="V6752" t="str">
        <f t="shared" si="2756"/>
        <v>FARHANA BINTI MUSTAPA</v>
      </c>
      <c r="W6752" t="str">
        <f t="shared" si="2757"/>
        <v>04-08-2020</v>
      </c>
      <c r="X6752" t="str">
        <f t="shared" si="2758"/>
        <v>RAZIMAH ANSAR AHMAD</v>
      </c>
      <c r="Y6752" t="str">
        <f t="shared" si="2759"/>
        <v>04-08-2020</v>
      </c>
      <c r="Z6752" t="str">
        <f>"COS10200804 2402"</f>
        <v>COS10200804 2402</v>
      </c>
    </row>
    <row r="6753" spans="1:26" x14ac:dyDescent="0.25">
      <c r="A6753" t="str">
        <f t="shared" si="2761"/>
        <v>04-08-2020 12:37:56</v>
      </c>
      <c r="B6753" t="str">
        <f>"0000804163"</f>
        <v>0000804163</v>
      </c>
      <c r="C6753" t="str">
        <f t="shared" si="2762"/>
        <v>0000804162</v>
      </c>
      <c r="D6753" t="str">
        <f t="shared" si="2747"/>
        <v>73185</v>
      </c>
      <c r="E6753" t="str">
        <f t="shared" si="2748"/>
        <v>KFH-OPERATIONS DEPARTMENT</v>
      </c>
      <c r="F6753" t="str">
        <f t="shared" si="2749"/>
        <v>IBG</v>
      </c>
      <c r="G6753" t="str">
        <f t="shared" si="2760"/>
        <v>Refund COSHARE 10</v>
      </c>
      <c r="H6753" s="2">
        <v>654.85</v>
      </c>
      <c r="I6753" t="str">
        <f>"DIANNE JEOFRIN MOSES"</f>
        <v>DIANNE JEOFRIN MOSES</v>
      </c>
      <c r="J6753" t="str">
        <f t="shared" si="2746"/>
        <v>CIMB BANK / CIMB ISLAMIC BANK</v>
      </c>
      <c r="K6753" t="str">
        <f>"7038005058"</f>
        <v>7038005058</v>
      </c>
      <c r="L6753" t="str">
        <f t="shared" si="2763"/>
        <v>04-08-2020</v>
      </c>
      <c r="M6753" t="str">
        <f t="shared" si="2763"/>
        <v>04-08-2020</v>
      </c>
      <c r="N6753" t="str">
        <f t="shared" si="2751"/>
        <v>001105018356</v>
      </c>
      <c r="O6753" t="str">
        <f t="shared" si="2752"/>
        <v>MYR</v>
      </c>
      <c r="P6753" t="str">
        <f t="shared" si="2764"/>
        <v>NIL</v>
      </c>
      <c r="Q6753" t="str">
        <f t="shared" si="2764"/>
        <v>NIL</v>
      </c>
      <c r="R6753" t="str">
        <f t="shared" si="2740"/>
        <v>Accepted</v>
      </c>
      <c r="S6753" t="str">
        <f t="shared" si="2754"/>
        <v>Approved</v>
      </c>
      <c r="T6753" t="str">
        <f t="shared" si="2741"/>
        <v>10.20.8.188</v>
      </c>
      <c r="U6753" t="str">
        <f t="shared" si="2755"/>
        <v>AZRAD UMAR BIN SHAARI</v>
      </c>
      <c r="V6753" t="str">
        <f t="shared" si="2756"/>
        <v>FARHANA BINTI MUSTAPA</v>
      </c>
      <c r="W6753" t="str">
        <f t="shared" si="2757"/>
        <v>04-08-2020</v>
      </c>
      <c r="X6753" t="str">
        <f t="shared" si="2758"/>
        <v>RAZIMAH ANSAR AHMAD</v>
      </c>
      <c r="Y6753" t="str">
        <f t="shared" si="2759"/>
        <v>04-08-2020</v>
      </c>
      <c r="Z6753" t="str">
        <f>"COS10200804 2401"</f>
        <v>COS10200804 2401</v>
      </c>
    </row>
    <row r="6754" spans="1:26" x14ac:dyDescent="0.25">
      <c r="A6754" t="str">
        <f t="shared" ref="A6754:A6785" si="2765">"04-08-2020 12:37:08"</f>
        <v>04-08-2020 12:37:08</v>
      </c>
      <c r="B6754" t="str">
        <f>"0000804160"</f>
        <v>0000804160</v>
      </c>
      <c r="C6754" t="str">
        <f t="shared" ref="C6754:C6785" si="2766">"0000803960"</f>
        <v>0000803960</v>
      </c>
      <c r="D6754" t="str">
        <f t="shared" si="2747"/>
        <v>73185</v>
      </c>
      <c r="E6754" t="str">
        <f t="shared" si="2748"/>
        <v>KFH-OPERATIONS DEPARTMENT</v>
      </c>
      <c r="F6754" t="str">
        <f t="shared" si="2749"/>
        <v>IBG</v>
      </c>
      <c r="G6754" t="str">
        <f t="shared" si="2760"/>
        <v>Refund COSHARE 10</v>
      </c>
      <c r="H6754" s="2">
        <v>50.4</v>
      </c>
      <c r="I6754" t="str">
        <f>"DG ZARIAH BINTI PG NASIRUN"</f>
        <v>DG ZARIAH BINTI PG NASIRUN</v>
      </c>
      <c r="J6754" t="str">
        <f t="shared" si="2746"/>
        <v>CIMB BANK / CIMB ISLAMIC BANK</v>
      </c>
      <c r="K6754" t="str">
        <f>"10040063291529"</f>
        <v>10040063291529</v>
      </c>
      <c r="L6754" t="str">
        <f t="shared" si="2763"/>
        <v>04-08-2020</v>
      </c>
      <c r="M6754" t="str">
        <f t="shared" si="2763"/>
        <v>04-08-2020</v>
      </c>
      <c r="N6754" t="str">
        <f t="shared" si="2751"/>
        <v>001105018356</v>
      </c>
      <c r="O6754" t="str">
        <f t="shared" si="2752"/>
        <v>MYR</v>
      </c>
      <c r="P6754" t="str">
        <f t="shared" si="2764"/>
        <v>NIL</v>
      </c>
      <c r="Q6754" t="str">
        <f t="shared" si="2764"/>
        <v>NIL</v>
      </c>
      <c r="R6754" t="str">
        <f t="shared" ref="R6754:R6817" si="2767">"Accepted"</f>
        <v>Accepted</v>
      </c>
      <c r="S6754" t="str">
        <f t="shared" si="2754"/>
        <v>Approved</v>
      </c>
      <c r="T6754" t="str">
        <f t="shared" ref="T6754:T6817" si="2768">"10.20.8.188"</f>
        <v>10.20.8.188</v>
      </c>
      <c r="U6754" t="str">
        <f t="shared" si="2755"/>
        <v>AZRAD UMAR BIN SHAARI</v>
      </c>
      <c r="V6754" t="str">
        <f t="shared" si="2756"/>
        <v>FARHANA BINTI MUSTAPA</v>
      </c>
      <c r="W6754" t="str">
        <f t="shared" si="2757"/>
        <v>04-08-2020</v>
      </c>
      <c r="X6754" t="str">
        <f t="shared" si="2758"/>
        <v>RAZIMAH ANSAR AHMAD</v>
      </c>
      <c r="Y6754" t="str">
        <f t="shared" si="2759"/>
        <v>04-08-2020</v>
      </c>
      <c r="Z6754" t="str">
        <f>"COS10200804 2400"</f>
        <v>COS10200804 2400</v>
      </c>
    </row>
    <row r="6755" spans="1:26" x14ac:dyDescent="0.25">
      <c r="A6755" t="str">
        <f t="shared" si="2765"/>
        <v>04-08-2020 12:37:08</v>
      </c>
      <c r="B6755" t="str">
        <f>"0000804159"</f>
        <v>0000804159</v>
      </c>
      <c r="C6755" t="str">
        <f t="shared" si="2766"/>
        <v>0000803960</v>
      </c>
      <c r="D6755" t="str">
        <f t="shared" si="2747"/>
        <v>73185</v>
      </c>
      <c r="E6755" t="str">
        <f t="shared" si="2748"/>
        <v>KFH-OPERATIONS DEPARTMENT</v>
      </c>
      <c r="F6755" t="str">
        <f t="shared" si="2749"/>
        <v>IBG</v>
      </c>
      <c r="G6755" t="str">
        <f t="shared" si="2760"/>
        <v>Refund COSHARE 10</v>
      </c>
      <c r="H6755" s="2">
        <v>1595.05</v>
      </c>
      <c r="I6755" t="str">
        <f>"DENNIS NUR AMIN ABDULLAH"</f>
        <v>DENNIS NUR AMIN ABDULLAH</v>
      </c>
      <c r="J6755" t="str">
        <f t="shared" si="2746"/>
        <v>CIMB BANK / CIMB ISLAMIC BANK</v>
      </c>
      <c r="K6755" t="str">
        <f>"7032313694"</f>
        <v>7032313694</v>
      </c>
      <c r="L6755" t="str">
        <f t="shared" si="2763"/>
        <v>04-08-2020</v>
      </c>
      <c r="M6755" t="str">
        <f t="shared" si="2763"/>
        <v>04-08-2020</v>
      </c>
      <c r="N6755" t="str">
        <f t="shared" si="2751"/>
        <v>001105018356</v>
      </c>
      <c r="O6755" t="str">
        <f t="shared" si="2752"/>
        <v>MYR</v>
      </c>
      <c r="P6755" t="str">
        <f t="shared" si="2764"/>
        <v>NIL</v>
      </c>
      <c r="Q6755" t="str">
        <f t="shared" si="2764"/>
        <v>NIL</v>
      </c>
      <c r="R6755" t="str">
        <f t="shared" si="2767"/>
        <v>Accepted</v>
      </c>
      <c r="S6755" t="str">
        <f t="shared" si="2754"/>
        <v>Approved</v>
      </c>
      <c r="T6755" t="str">
        <f t="shared" si="2768"/>
        <v>10.20.8.188</v>
      </c>
      <c r="U6755" t="str">
        <f t="shared" si="2755"/>
        <v>AZRAD UMAR BIN SHAARI</v>
      </c>
      <c r="V6755" t="str">
        <f t="shared" si="2756"/>
        <v>FARHANA BINTI MUSTAPA</v>
      </c>
      <c r="W6755" t="str">
        <f t="shared" si="2757"/>
        <v>04-08-2020</v>
      </c>
      <c r="X6755" t="str">
        <f t="shared" si="2758"/>
        <v>RAZIMAH ANSAR AHMAD</v>
      </c>
      <c r="Y6755" t="str">
        <f t="shared" si="2759"/>
        <v>04-08-2020</v>
      </c>
      <c r="Z6755" t="str">
        <f>"COS10200804 2399"</f>
        <v>COS10200804 2399</v>
      </c>
    </row>
    <row r="6756" spans="1:26" x14ac:dyDescent="0.25">
      <c r="A6756" t="str">
        <f t="shared" si="2765"/>
        <v>04-08-2020 12:37:08</v>
      </c>
      <c r="B6756" t="str">
        <f>"0000804158"</f>
        <v>0000804158</v>
      </c>
      <c r="C6756" t="str">
        <f t="shared" si="2766"/>
        <v>0000803960</v>
      </c>
      <c r="D6756" t="str">
        <f t="shared" si="2747"/>
        <v>73185</v>
      </c>
      <c r="E6756" t="str">
        <f t="shared" si="2748"/>
        <v>KFH-OPERATIONS DEPARTMENT</v>
      </c>
      <c r="F6756" t="str">
        <f t="shared" si="2749"/>
        <v>IBG</v>
      </c>
      <c r="G6756" t="str">
        <f t="shared" si="2760"/>
        <v>Refund COSHARE 10</v>
      </c>
      <c r="H6756" s="2">
        <v>95.35</v>
      </c>
      <c r="I6756" t="str">
        <f>"DAYANG RUGAYA BINTI AG PAUN"</f>
        <v>DAYANG RUGAYA BINTI AG PAUN</v>
      </c>
      <c r="J6756" t="str">
        <f t="shared" si="2746"/>
        <v>CIMB BANK / CIMB ISLAMIC BANK</v>
      </c>
      <c r="K6756" t="str">
        <f>"10070002418528"</f>
        <v>10070002418528</v>
      </c>
      <c r="L6756" t="str">
        <f t="shared" si="2763"/>
        <v>04-08-2020</v>
      </c>
      <c r="M6756" t="str">
        <f t="shared" si="2763"/>
        <v>04-08-2020</v>
      </c>
      <c r="N6756" t="str">
        <f t="shared" si="2751"/>
        <v>001105018356</v>
      </c>
      <c r="O6756" t="str">
        <f t="shared" si="2752"/>
        <v>MYR</v>
      </c>
      <c r="P6756" t="str">
        <f t="shared" si="2764"/>
        <v>NIL</v>
      </c>
      <c r="Q6756" t="str">
        <f t="shared" si="2764"/>
        <v>NIL</v>
      </c>
      <c r="R6756" t="str">
        <f t="shared" si="2767"/>
        <v>Accepted</v>
      </c>
      <c r="S6756" t="str">
        <f t="shared" si="2754"/>
        <v>Approved</v>
      </c>
      <c r="T6756" t="str">
        <f t="shared" si="2768"/>
        <v>10.20.8.188</v>
      </c>
      <c r="U6756" t="str">
        <f t="shared" si="2755"/>
        <v>AZRAD UMAR BIN SHAARI</v>
      </c>
      <c r="V6756" t="str">
        <f t="shared" si="2756"/>
        <v>FARHANA BINTI MUSTAPA</v>
      </c>
      <c r="W6756" t="str">
        <f t="shared" si="2757"/>
        <v>04-08-2020</v>
      </c>
      <c r="X6756" t="str">
        <f t="shared" si="2758"/>
        <v>RAZIMAH ANSAR AHMAD</v>
      </c>
      <c r="Y6756" t="str">
        <f t="shared" si="2759"/>
        <v>04-08-2020</v>
      </c>
      <c r="Z6756" t="str">
        <f>"COS10200804 2398"</f>
        <v>COS10200804 2398</v>
      </c>
    </row>
    <row r="6757" spans="1:26" x14ac:dyDescent="0.25">
      <c r="A6757" t="str">
        <f t="shared" si="2765"/>
        <v>04-08-2020 12:37:08</v>
      </c>
      <c r="B6757" t="str">
        <f>"0000804157"</f>
        <v>0000804157</v>
      </c>
      <c r="C6757" t="str">
        <f t="shared" si="2766"/>
        <v>0000803960</v>
      </c>
      <c r="D6757" t="str">
        <f t="shared" si="2747"/>
        <v>73185</v>
      </c>
      <c r="E6757" t="str">
        <f t="shared" si="2748"/>
        <v>KFH-OPERATIONS DEPARTMENT</v>
      </c>
      <c r="F6757" t="str">
        <f t="shared" si="2749"/>
        <v>IBG</v>
      </c>
      <c r="G6757" t="str">
        <f t="shared" si="2760"/>
        <v>Refund COSHARE 10</v>
      </c>
      <c r="H6757" s="2">
        <v>431</v>
      </c>
      <c r="I6757" t="str">
        <f>"DAYANG RINAWATI BINTI MOHD ATIB"</f>
        <v>DAYANG RINAWATI BINTI MOHD ATIB</v>
      </c>
      <c r="J6757" t="str">
        <f t="shared" si="2746"/>
        <v>CIMB BANK / CIMB ISLAMIC BANK</v>
      </c>
      <c r="K6757" t="str">
        <f>"10070061727525"</f>
        <v>10070061727525</v>
      </c>
      <c r="L6757" t="str">
        <f t="shared" si="2763"/>
        <v>04-08-2020</v>
      </c>
      <c r="M6757" t="str">
        <f t="shared" si="2763"/>
        <v>04-08-2020</v>
      </c>
      <c r="N6757" t="str">
        <f t="shared" si="2751"/>
        <v>001105018356</v>
      </c>
      <c r="O6757" t="str">
        <f t="shared" si="2752"/>
        <v>MYR</v>
      </c>
      <c r="P6757" t="str">
        <f t="shared" si="2764"/>
        <v>NIL</v>
      </c>
      <c r="Q6757" t="str">
        <f t="shared" si="2764"/>
        <v>NIL</v>
      </c>
      <c r="R6757" t="str">
        <f t="shared" si="2767"/>
        <v>Accepted</v>
      </c>
      <c r="S6757" t="str">
        <f t="shared" si="2754"/>
        <v>Approved</v>
      </c>
      <c r="T6757" t="str">
        <f t="shared" si="2768"/>
        <v>10.20.8.188</v>
      </c>
      <c r="U6757" t="str">
        <f t="shared" si="2755"/>
        <v>AZRAD UMAR BIN SHAARI</v>
      </c>
      <c r="V6757" t="str">
        <f t="shared" si="2756"/>
        <v>FARHANA BINTI MUSTAPA</v>
      </c>
      <c r="W6757" t="str">
        <f t="shared" si="2757"/>
        <v>04-08-2020</v>
      </c>
      <c r="X6757" t="str">
        <f t="shared" si="2758"/>
        <v>RAZIMAH ANSAR AHMAD</v>
      </c>
      <c r="Y6757" t="str">
        <f t="shared" si="2759"/>
        <v>04-08-2020</v>
      </c>
      <c r="Z6757" t="str">
        <f>"COS10200804 2397"</f>
        <v>COS10200804 2397</v>
      </c>
    </row>
    <row r="6758" spans="1:26" x14ac:dyDescent="0.25">
      <c r="A6758" t="str">
        <f t="shared" si="2765"/>
        <v>04-08-2020 12:37:08</v>
      </c>
      <c r="B6758" t="str">
        <f>"0000804156"</f>
        <v>0000804156</v>
      </c>
      <c r="C6758" t="str">
        <f t="shared" si="2766"/>
        <v>0000803960</v>
      </c>
      <c r="D6758" t="str">
        <f t="shared" si="2747"/>
        <v>73185</v>
      </c>
      <c r="E6758" t="str">
        <f t="shared" si="2748"/>
        <v>KFH-OPERATIONS DEPARTMENT</v>
      </c>
      <c r="F6758" t="str">
        <f t="shared" si="2749"/>
        <v>IBG</v>
      </c>
      <c r="G6758" t="str">
        <f t="shared" si="2760"/>
        <v>Refund COSHARE 10</v>
      </c>
      <c r="H6758" s="2">
        <v>226.7</v>
      </c>
      <c r="I6758" t="str">
        <f>"DAYANG NORA ASLIN BINTI AWANG SERUJI"</f>
        <v>DAYANG NORA ASLIN BINTI AWANG SERUJI</v>
      </c>
      <c r="J6758" t="str">
        <f t="shared" si="2746"/>
        <v>CIMB BANK / CIMB ISLAMIC BANK</v>
      </c>
      <c r="K6758" t="str">
        <f>"7038222293"</f>
        <v>7038222293</v>
      </c>
      <c r="L6758" t="str">
        <f t="shared" si="2763"/>
        <v>04-08-2020</v>
      </c>
      <c r="M6758" t="str">
        <f t="shared" si="2763"/>
        <v>04-08-2020</v>
      </c>
      <c r="N6758" t="str">
        <f t="shared" si="2751"/>
        <v>001105018356</v>
      </c>
      <c r="O6758" t="str">
        <f t="shared" si="2752"/>
        <v>MYR</v>
      </c>
      <c r="P6758" t="str">
        <f t="shared" si="2764"/>
        <v>NIL</v>
      </c>
      <c r="Q6758" t="str">
        <f t="shared" si="2764"/>
        <v>NIL</v>
      </c>
      <c r="R6758" t="str">
        <f t="shared" si="2767"/>
        <v>Accepted</v>
      </c>
      <c r="S6758" t="str">
        <f t="shared" si="2754"/>
        <v>Approved</v>
      </c>
      <c r="T6758" t="str">
        <f t="shared" si="2768"/>
        <v>10.20.8.188</v>
      </c>
      <c r="U6758" t="str">
        <f t="shared" si="2755"/>
        <v>AZRAD UMAR BIN SHAARI</v>
      </c>
      <c r="V6758" t="str">
        <f t="shared" si="2756"/>
        <v>FARHANA BINTI MUSTAPA</v>
      </c>
      <c r="W6758" t="str">
        <f t="shared" si="2757"/>
        <v>04-08-2020</v>
      </c>
      <c r="X6758" t="str">
        <f t="shared" si="2758"/>
        <v>RAZIMAH ANSAR AHMAD</v>
      </c>
      <c r="Y6758" t="str">
        <f t="shared" si="2759"/>
        <v>04-08-2020</v>
      </c>
      <c r="Z6758" t="str">
        <f>"COS10200804 2396"</f>
        <v>COS10200804 2396</v>
      </c>
    </row>
    <row r="6759" spans="1:26" x14ac:dyDescent="0.25">
      <c r="A6759" t="str">
        <f t="shared" si="2765"/>
        <v>04-08-2020 12:37:08</v>
      </c>
      <c r="B6759" t="str">
        <f>"0000804155"</f>
        <v>0000804155</v>
      </c>
      <c r="C6759" t="str">
        <f t="shared" si="2766"/>
        <v>0000803960</v>
      </c>
      <c r="D6759" t="str">
        <f t="shared" si="2747"/>
        <v>73185</v>
      </c>
      <c r="E6759" t="str">
        <f t="shared" si="2748"/>
        <v>KFH-OPERATIONS DEPARTMENT</v>
      </c>
      <c r="F6759" t="str">
        <f t="shared" si="2749"/>
        <v>IBG</v>
      </c>
      <c r="G6759" t="str">
        <f t="shared" si="2760"/>
        <v>Refund COSHARE 10</v>
      </c>
      <c r="H6759" s="2">
        <v>294</v>
      </c>
      <c r="I6759" t="str">
        <f>"DAYANG LABIAH BINTI AWG KASSIM"</f>
        <v>DAYANG LABIAH BINTI AWG KASSIM</v>
      </c>
      <c r="J6759" t="str">
        <f t="shared" si="2746"/>
        <v>CIMB BANK / CIMB ISLAMIC BANK</v>
      </c>
      <c r="K6759" t="str">
        <f>"7607646488"</f>
        <v>7607646488</v>
      </c>
      <c r="L6759" t="str">
        <f t="shared" si="2763"/>
        <v>04-08-2020</v>
      </c>
      <c r="M6759" t="str">
        <f t="shared" si="2763"/>
        <v>04-08-2020</v>
      </c>
      <c r="N6759" t="str">
        <f t="shared" si="2751"/>
        <v>001105018356</v>
      </c>
      <c r="O6759" t="str">
        <f t="shared" si="2752"/>
        <v>MYR</v>
      </c>
      <c r="P6759" t="str">
        <f t="shared" si="2764"/>
        <v>NIL</v>
      </c>
      <c r="Q6759" t="str">
        <f t="shared" si="2764"/>
        <v>NIL</v>
      </c>
      <c r="R6759" t="str">
        <f t="shared" si="2767"/>
        <v>Accepted</v>
      </c>
      <c r="S6759" t="str">
        <f t="shared" si="2754"/>
        <v>Approved</v>
      </c>
      <c r="T6759" t="str">
        <f t="shared" si="2768"/>
        <v>10.20.8.188</v>
      </c>
      <c r="U6759" t="str">
        <f t="shared" si="2755"/>
        <v>AZRAD UMAR BIN SHAARI</v>
      </c>
      <c r="V6759" t="str">
        <f t="shared" si="2756"/>
        <v>FARHANA BINTI MUSTAPA</v>
      </c>
      <c r="W6759" t="str">
        <f t="shared" si="2757"/>
        <v>04-08-2020</v>
      </c>
      <c r="X6759" t="str">
        <f t="shared" si="2758"/>
        <v>RAZIMAH ANSAR AHMAD</v>
      </c>
      <c r="Y6759" t="str">
        <f t="shared" si="2759"/>
        <v>04-08-2020</v>
      </c>
      <c r="Z6759" t="str">
        <f>"COS10200804 2395"</f>
        <v>COS10200804 2395</v>
      </c>
    </row>
    <row r="6760" spans="1:26" x14ac:dyDescent="0.25">
      <c r="A6760" t="str">
        <f t="shared" si="2765"/>
        <v>04-08-2020 12:37:08</v>
      </c>
      <c r="B6760" t="str">
        <f>"0000804154"</f>
        <v>0000804154</v>
      </c>
      <c r="C6760" t="str">
        <f t="shared" si="2766"/>
        <v>0000803960</v>
      </c>
      <c r="D6760" t="str">
        <f t="shared" si="2747"/>
        <v>73185</v>
      </c>
      <c r="E6760" t="str">
        <f t="shared" si="2748"/>
        <v>KFH-OPERATIONS DEPARTMENT</v>
      </c>
      <c r="F6760" t="str">
        <f t="shared" si="2749"/>
        <v>IBG</v>
      </c>
      <c r="G6760" t="str">
        <f t="shared" si="2760"/>
        <v>Refund COSHARE 10</v>
      </c>
      <c r="H6760" s="2">
        <v>183</v>
      </c>
      <c r="I6760" t="str">
        <f>"DAYANG EMILIYA BINTI AWANG DAIM"</f>
        <v>DAYANG EMILIYA BINTI AWANG DAIM</v>
      </c>
      <c r="J6760" t="str">
        <f t="shared" si="2746"/>
        <v>CIMB BANK / CIMB ISLAMIC BANK</v>
      </c>
      <c r="K6760" t="str">
        <f>"7031998726"</f>
        <v>7031998726</v>
      </c>
      <c r="L6760" t="str">
        <f t="shared" si="2763"/>
        <v>04-08-2020</v>
      </c>
      <c r="M6760" t="str">
        <f t="shared" si="2763"/>
        <v>04-08-2020</v>
      </c>
      <c r="N6760" t="str">
        <f t="shared" si="2751"/>
        <v>001105018356</v>
      </c>
      <c r="O6760" t="str">
        <f t="shared" si="2752"/>
        <v>MYR</v>
      </c>
      <c r="P6760" t="str">
        <f t="shared" si="2764"/>
        <v>NIL</v>
      </c>
      <c r="Q6760" t="str">
        <f t="shared" si="2764"/>
        <v>NIL</v>
      </c>
      <c r="R6760" t="str">
        <f t="shared" si="2767"/>
        <v>Accepted</v>
      </c>
      <c r="S6760" t="str">
        <f t="shared" si="2754"/>
        <v>Approved</v>
      </c>
      <c r="T6760" t="str">
        <f t="shared" si="2768"/>
        <v>10.20.8.188</v>
      </c>
      <c r="U6760" t="str">
        <f t="shared" si="2755"/>
        <v>AZRAD UMAR BIN SHAARI</v>
      </c>
      <c r="V6760" t="str">
        <f t="shared" si="2756"/>
        <v>FARHANA BINTI MUSTAPA</v>
      </c>
      <c r="W6760" t="str">
        <f t="shared" si="2757"/>
        <v>04-08-2020</v>
      </c>
      <c r="X6760" t="str">
        <f t="shared" si="2758"/>
        <v>RAZIMAH ANSAR AHMAD</v>
      </c>
      <c r="Y6760" t="str">
        <f t="shared" si="2759"/>
        <v>04-08-2020</v>
      </c>
      <c r="Z6760" t="str">
        <f>"COS10200804 2394"</f>
        <v>COS10200804 2394</v>
      </c>
    </row>
    <row r="6761" spans="1:26" x14ac:dyDescent="0.25">
      <c r="A6761" t="str">
        <f t="shared" si="2765"/>
        <v>04-08-2020 12:37:08</v>
      </c>
      <c r="B6761" t="str">
        <f>"0000804153"</f>
        <v>0000804153</v>
      </c>
      <c r="C6761" t="str">
        <f t="shared" si="2766"/>
        <v>0000803960</v>
      </c>
      <c r="D6761" t="str">
        <f t="shared" si="2747"/>
        <v>73185</v>
      </c>
      <c r="E6761" t="str">
        <f t="shared" si="2748"/>
        <v>KFH-OPERATIONS DEPARTMENT</v>
      </c>
      <c r="F6761" t="str">
        <f t="shared" si="2749"/>
        <v>IBG</v>
      </c>
      <c r="G6761" t="str">
        <f t="shared" si="2760"/>
        <v>Refund COSHARE 10</v>
      </c>
      <c r="H6761" s="2">
        <v>75</v>
      </c>
      <c r="I6761" t="str">
        <f>"DAYANG ELVY SUKASEH BINTI AWANG ADNAN"</f>
        <v>DAYANG ELVY SUKASEH BINTI AWANG ADNAN</v>
      </c>
      <c r="J6761" t="str">
        <f t="shared" si="2746"/>
        <v>CIMB BANK / CIMB ISLAMIC BANK</v>
      </c>
      <c r="K6761" t="str">
        <f>"11015016716522"</f>
        <v>11015016716522</v>
      </c>
      <c r="L6761" t="str">
        <f t="shared" si="2763"/>
        <v>04-08-2020</v>
      </c>
      <c r="M6761" t="str">
        <f t="shared" si="2763"/>
        <v>04-08-2020</v>
      </c>
      <c r="N6761" t="str">
        <f t="shared" si="2751"/>
        <v>001105018356</v>
      </c>
      <c r="O6761" t="str">
        <f t="shared" si="2752"/>
        <v>MYR</v>
      </c>
      <c r="P6761" t="str">
        <f t="shared" si="2764"/>
        <v>NIL</v>
      </c>
      <c r="Q6761" t="str">
        <f t="shared" si="2764"/>
        <v>NIL</v>
      </c>
      <c r="R6761" t="str">
        <f t="shared" si="2767"/>
        <v>Accepted</v>
      </c>
      <c r="S6761" t="str">
        <f t="shared" si="2754"/>
        <v>Approved</v>
      </c>
      <c r="T6761" t="str">
        <f t="shared" si="2768"/>
        <v>10.20.8.188</v>
      </c>
      <c r="U6761" t="str">
        <f t="shared" si="2755"/>
        <v>AZRAD UMAR BIN SHAARI</v>
      </c>
      <c r="V6761" t="str">
        <f t="shared" si="2756"/>
        <v>FARHANA BINTI MUSTAPA</v>
      </c>
      <c r="W6761" t="str">
        <f t="shared" si="2757"/>
        <v>04-08-2020</v>
      </c>
      <c r="X6761" t="str">
        <f t="shared" si="2758"/>
        <v>RAZIMAH ANSAR AHMAD</v>
      </c>
      <c r="Y6761" t="str">
        <f t="shared" si="2759"/>
        <v>04-08-2020</v>
      </c>
      <c r="Z6761" t="str">
        <f>"COS10200804 2393"</f>
        <v>COS10200804 2393</v>
      </c>
    </row>
    <row r="6762" spans="1:26" x14ac:dyDescent="0.25">
      <c r="A6762" t="str">
        <f t="shared" si="2765"/>
        <v>04-08-2020 12:37:08</v>
      </c>
      <c r="B6762" t="str">
        <f>"0000804152"</f>
        <v>0000804152</v>
      </c>
      <c r="C6762" t="str">
        <f t="shared" si="2766"/>
        <v>0000803960</v>
      </c>
      <c r="D6762" t="str">
        <f t="shared" si="2747"/>
        <v>73185</v>
      </c>
      <c r="E6762" t="str">
        <f t="shared" si="2748"/>
        <v>KFH-OPERATIONS DEPARTMENT</v>
      </c>
      <c r="F6762" t="str">
        <f t="shared" si="2749"/>
        <v>IBG</v>
      </c>
      <c r="G6762" t="str">
        <f t="shared" si="2760"/>
        <v>Refund COSHARE 10</v>
      </c>
      <c r="H6762" s="2">
        <v>1452.35</v>
      </c>
      <c r="I6762" t="str">
        <f>"DAVIS BIN SIMON"</f>
        <v>DAVIS BIN SIMON</v>
      </c>
      <c r="J6762" t="str">
        <f t="shared" si="2746"/>
        <v>CIMB BANK / CIMB ISLAMIC BANK</v>
      </c>
      <c r="K6762" t="str">
        <f>"10020001811201"</f>
        <v>10020001811201</v>
      </c>
      <c r="L6762" t="str">
        <f t="shared" si="2763"/>
        <v>04-08-2020</v>
      </c>
      <c r="M6762" t="str">
        <f t="shared" si="2763"/>
        <v>04-08-2020</v>
      </c>
      <c r="N6762" t="str">
        <f t="shared" si="2751"/>
        <v>001105018356</v>
      </c>
      <c r="O6762" t="str">
        <f t="shared" si="2752"/>
        <v>MYR</v>
      </c>
      <c r="P6762" t="str">
        <f t="shared" si="2764"/>
        <v>NIL</v>
      </c>
      <c r="Q6762" t="str">
        <f t="shared" si="2764"/>
        <v>NIL</v>
      </c>
      <c r="R6762" t="str">
        <f t="shared" si="2767"/>
        <v>Accepted</v>
      </c>
      <c r="S6762" t="str">
        <f t="shared" si="2754"/>
        <v>Approved</v>
      </c>
      <c r="T6762" t="str">
        <f t="shared" si="2768"/>
        <v>10.20.8.188</v>
      </c>
      <c r="U6762" t="str">
        <f t="shared" si="2755"/>
        <v>AZRAD UMAR BIN SHAARI</v>
      </c>
      <c r="V6762" t="str">
        <f t="shared" si="2756"/>
        <v>FARHANA BINTI MUSTAPA</v>
      </c>
      <c r="W6762" t="str">
        <f t="shared" si="2757"/>
        <v>04-08-2020</v>
      </c>
      <c r="X6762" t="str">
        <f t="shared" si="2758"/>
        <v>RAZIMAH ANSAR AHMAD</v>
      </c>
      <c r="Y6762" t="str">
        <f t="shared" si="2759"/>
        <v>04-08-2020</v>
      </c>
      <c r="Z6762" t="str">
        <f>"COS10200804 2392"</f>
        <v>COS10200804 2392</v>
      </c>
    </row>
    <row r="6763" spans="1:26" x14ac:dyDescent="0.25">
      <c r="A6763" t="str">
        <f t="shared" si="2765"/>
        <v>04-08-2020 12:37:08</v>
      </c>
      <c r="B6763" t="str">
        <f>"0000804151"</f>
        <v>0000804151</v>
      </c>
      <c r="C6763" t="str">
        <f t="shared" si="2766"/>
        <v>0000803960</v>
      </c>
      <c r="D6763" t="str">
        <f t="shared" si="2747"/>
        <v>73185</v>
      </c>
      <c r="E6763" t="str">
        <f t="shared" si="2748"/>
        <v>KFH-OPERATIONS DEPARTMENT</v>
      </c>
      <c r="F6763" t="str">
        <f t="shared" si="2749"/>
        <v>IBG</v>
      </c>
      <c r="G6763" t="str">
        <f t="shared" si="2760"/>
        <v>Refund COSHARE 10</v>
      </c>
      <c r="H6763" s="2">
        <v>411.35</v>
      </c>
      <c r="I6763" t="str">
        <f>"DAVINA JAMES LUMANIB"</f>
        <v>DAVINA JAMES LUMANIB</v>
      </c>
      <c r="J6763" t="str">
        <f t="shared" si="2746"/>
        <v>CIMB BANK / CIMB ISLAMIC BANK</v>
      </c>
      <c r="K6763" t="str">
        <f>"10030062250523"</f>
        <v>10030062250523</v>
      </c>
      <c r="L6763" t="str">
        <f t="shared" si="2763"/>
        <v>04-08-2020</v>
      </c>
      <c r="M6763" t="str">
        <f t="shared" si="2763"/>
        <v>04-08-2020</v>
      </c>
      <c r="N6763" t="str">
        <f t="shared" si="2751"/>
        <v>001105018356</v>
      </c>
      <c r="O6763" t="str">
        <f t="shared" si="2752"/>
        <v>MYR</v>
      </c>
      <c r="P6763" t="str">
        <f t="shared" si="2764"/>
        <v>NIL</v>
      </c>
      <c r="Q6763" t="str">
        <f t="shared" si="2764"/>
        <v>NIL</v>
      </c>
      <c r="R6763" t="str">
        <f t="shared" si="2767"/>
        <v>Accepted</v>
      </c>
      <c r="S6763" t="str">
        <f t="shared" si="2754"/>
        <v>Approved</v>
      </c>
      <c r="T6763" t="str">
        <f t="shared" si="2768"/>
        <v>10.20.8.188</v>
      </c>
      <c r="U6763" t="str">
        <f t="shared" si="2755"/>
        <v>AZRAD UMAR BIN SHAARI</v>
      </c>
      <c r="V6763" t="str">
        <f t="shared" si="2756"/>
        <v>FARHANA BINTI MUSTAPA</v>
      </c>
      <c r="W6763" t="str">
        <f t="shared" si="2757"/>
        <v>04-08-2020</v>
      </c>
      <c r="X6763" t="str">
        <f t="shared" si="2758"/>
        <v>RAZIMAH ANSAR AHMAD</v>
      </c>
      <c r="Y6763" t="str">
        <f t="shared" si="2759"/>
        <v>04-08-2020</v>
      </c>
      <c r="Z6763" t="str">
        <f>"COS10200804 2391"</f>
        <v>COS10200804 2391</v>
      </c>
    </row>
    <row r="6764" spans="1:26" x14ac:dyDescent="0.25">
      <c r="A6764" t="str">
        <f t="shared" si="2765"/>
        <v>04-08-2020 12:37:08</v>
      </c>
      <c r="B6764" t="str">
        <f>"0000804150"</f>
        <v>0000804150</v>
      </c>
      <c r="C6764" t="str">
        <f t="shared" si="2766"/>
        <v>0000803960</v>
      </c>
      <c r="D6764" t="str">
        <f t="shared" si="2747"/>
        <v>73185</v>
      </c>
      <c r="E6764" t="str">
        <f t="shared" si="2748"/>
        <v>KFH-OPERATIONS DEPARTMENT</v>
      </c>
      <c r="F6764" t="str">
        <f t="shared" si="2749"/>
        <v>IBG</v>
      </c>
      <c r="G6764" t="str">
        <f t="shared" si="2760"/>
        <v>Refund COSHARE 10</v>
      </c>
      <c r="H6764" s="2">
        <v>1175.3</v>
      </c>
      <c r="I6764" t="str">
        <f>"DATU HILMAN SHAH  BIN DATU ALI HASSAN"</f>
        <v>DATU HILMAN SHAH  BIN DATU ALI HASSAN</v>
      </c>
      <c r="J6764" t="str">
        <f t="shared" si="2746"/>
        <v>CIMB BANK / CIMB ISLAMIC BANK</v>
      </c>
      <c r="K6764" t="str">
        <f>"10080008786525"</f>
        <v>10080008786525</v>
      </c>
      <c r="L6764" t="str">
        <f t="shared" si="2763"/>
        <v>04-08-2020</v>
      </c>
      <c r="M6764" t="str">
        <f t="shared" si="2763"/>
        <v>04-08-2020</v>
      </c>
      <c r="N6764" t="str">
        <f t="shared" si="2751"/>
        <v>001105018356</v>
      </c>
      <c r="O6764" t="str">
        <f t="shared" si="2752"/>
        <v>MYR</v>
      </c>
      <c r="P6764" t="str">
        <f t="shared" si="2764"/>
        <v>NIL</v>
      </c>
      <c r="Q6764" t="str">
        <f t="shared" si="2764"/>
        <v>NIL</v>
      </c>
      <c r="R6764" t="str">
        <f t="shared" si="2767"/>
        <v>Accepted</v>
      </c>
      <c r="S6764" t="str">
        <f t="shared" si="2754"/>
        <v>Approved</v>
      </c>
      <c r="T6764" t="str">
        <f t="shared" si="2768"/>
        <v>10.20.8.188</v>
      </c>
      <c r="U6764" t="str">
        <f t="shared" si="2755"/>
        <v>AZRAD UMAR BIN SHAARI</v>
      </c>
      <c r="V6764" t="str">
        <f t="shared" si="2756"/>
        <v>FARHANA BINTI MUSTAPA</v>
      </c>
      <c r="W6764" t="str">
        <f t="shared" si="2757"/>
        <v>04-08-2020</v>
      </c>
      <c r="X6764" t="str">
        <f t="shared" si="2758"/>
        <v>RAZIMAH ANSAR AHMAD</v>
      </c>
      <c r="Y6764" t="str">
        <f t="shared" si="2759"/>
        <v>04-08-2020</v>
      </c>
      <c r="Z6764" t="str">
        <f>"COS10200804 2390"</f>
        <v>COS10200804 2390</v>
      </c>
    </row>
    <row r="6765" spans="1:26" x14ac:dyDescent="0.25">
      <c r="A6765" t="str">
        <f t="shared" si="2765"/>
        <v>04-08-2020 12:37:08</v>
      </c>
      <c r="B6765" t="str">
        <f>"0000804149"</f>
        <v>0000804149</v>
      </c>
      <c r="C6765" t="str">
        <f t="shared" si="2766"/>
        <v>0000803960</v>
      </c>
      <c r="D6765" t="str">
        <f t="shared" si="2747"/>
        <v>73185</v>
      </c>
      <c r="E6765" t="str">
        <f t="shared" si="2748"/>
        <v>KFH-OPERATIONS DEPARTMENT</v>
      </c>
      <c r="F6765" t="str">
        <f t="shared" si="2749"/>
        <v>IBG</v>
      </c>
      <c r="G6765" t="str">
        <f t="shared" si="2760"/>
        <v>Refund COSHARE 10</v>
      </c>
      <c r="H6765" s="2">
        <v>192.7</v>
      </c>
      <c r="I6765" t="str">
        <f>"DATO JAPRIDIN BIN DATO IDRIS"</f>
        <v>DATO JAPRIDIN BIN DATO IDRIS</v>
      </c>
      <c r="J6765" t="str">
        <f t="shared" si="2746"/>
        <v>CIMB BANK / CIMB ISLAMIC BANK</v>
      </c>
      <c r="K6765" t="str">
        <f>"10040030567525"</f>
        <v>10040030567525</v>
      </c>
      <c r="L6765" t="str">
        <f t="shared" si="2763"/>
        <v>04-08-2020</v>
      </c>
      <c r="M6765" t="str">
        <f t="shared" si="2763"/>
        <v>04-08-2020</v>
      </c>
      <c r="N6765" t="str">
        <f t="shared" si="2751"/>
        <v>001105018356</v>
      </c>
      <c r="O6765" t="str">
        <f t="shared" si="2752"/>
        <v>MYR</v>
      </c>
      <c r="P6765" t="str">
        <f t="shared" si="2764"/>
        <v>NIL</v>
      </c>
      <c r="Q6765" t="str">
        <f t="shared" si="2764"/>
        <v>NIL</v>
      </c>
      <c r="R6765" t="str">
        <f t="shared" si="2767"/>
        <v>Accepted</v>
      </c>
      <c r="S6765" t="str">
        <f t="shared" si="2754"/>
        <v>Approved</v>
      </c>
      <c r="T6765" t="str">
        <f t="shared" si="2768"/>
        <v>10.20.8.188</v>
      </c>
      <c r="U6765" t="str">
        <f t="shared" si="2755"/>
        <v>AZRAD UMAR BIN SHAARI</v>
      </c>
      <c r="V6765" t="str">
        <f t="shared" si="2756"/>
        <v>FARHANA BINTI MUSTAPA</v>
      </c>
      <c r="W6765" t="str">
        <f t="shared" si="2757"/>
        <v>04-08-2020</v>
      </c>
      <c r="X6765" t="str">
        <f t="shared" si="2758"/>
        <v>RAZIMAH ANSAR AHMAD</v>
      </c>
      <c r="Y6765" t="str">
        <f t="shared" si="2759"/>
        <v>04-08-2020</v>
      </c>
      <c r="Z6765" t="str">
        <f>"COS10200804 2389"</f>
        <v>COS10200804 2389</v>
      </c>
    </row>
    <row r="6766" spans="1:26" x14ac:dyDescent="0.25">
      <c r="A6766" t="str">
        <f t="shared" si="2765"/>
        <v>04-08-2020 12:37:08</v>
      </c>
      <c r="B6766" t="str">
        <f>"0000804148"</f>
        <v>0000804148</v>
      </c>
      <c r="C6766" t="str">
        <f t="shared" si="2766"/>
        <v>0000803960</v>
      </c>
      <c r="D6766" t="str">
        <f t="shared" si="2747"/>
        <v>73185</v>
      </c>
      <c r="E6766" t="str">
        <f t="shared" si="2748"/>
        <v>KFH-OPERATIONS DEPARTMENT</v>
      </c>
      <c r="F6766" t="str">
        <f t="shared" si="2749"/>
        <v>IBG</v>
      </c>
      <c r="G6766" t="str">
        <f t="shared" si="2760"/>
        <v>Refund COSHARE 10</v>
      </c>
      <c r="H6766" s="2">
        <v>689.6</v>
      </c>
      <c r="I6766" t="str">
        <f>"DARIHI BIN WAHAB"</f>
        <v>DARIHI BIN WAHAB</v>
      </c>
      <c r="J6766" t="str">
        <f t="shared" si="2746"/>
        <v>CIMB BANK / CIMB ISLAMIC BANK</v>
      </c>
      <c r="K6766" t="str">
        <f>"14330061945526"</f>
        <v>14330061945526</v>
      </c>
      <c r="L6766" t="str">
        <f t="shared" si="2763"/>
        <v>04-08-2020</v>
      </c>
      <c r="M6766" t="str">
        <f t="shared" si="2763"/>
        <v>04-08-2020</v>
      </c>
      <c r="N6766" t="str">
        <f t="shared" si="2751"/>
        <v>001105018356</v>
      </c>
      <c r="O6766" t="str">
        <f t="shared" si="2752"/>
        <v>MYR</v>
      </c>
      <c r="P6766" t="str">
        <f t="shared" si="2764"/>
        <v>NIL</v>
      </c>
      <c r="Q6766" t="str">
        <f t="shared" si="2764"/>
        <v>NIL</v>
      </c>
      <c r="R6766" t="str">
        <f t="shared" si="2767"/>
        <v>Accepted</v>
      </c>
      <c r="S6766" t="str">
        <f t="shared" si="2754"/>
        <v>Approved</v>
      </c>
      <c r="T6766" t="str">
        <f t="shared" si="2768"/>
        <v>10.20.8.188</v>
      </c>
      <c r="U6766" t="str">
        <f t="shared" si="2755"/>
        <v>AZRAD UMAR BIN SHAARI</v>
      </c>
      <c r="V6766" t="str">
        <f t="shared" si="2756"/>
        <v>FARHANA BINTI MUSTAPA</v>
      </c>
      <c r="W6766" t="str">
        <f t="shared" si="2757"/>
        <v>04-08-2020</v>
      </c>
      <c r="X6766" t="str">
        <f t="shared" si="2758"/>
        <v>RAZIMAH ANSAR AHMAD</v>
      </c>
      <c r="Y6766" t="str">
        <f t="shared" si="2759"/>
        <v>04-08-2020</v>
      </c>
      <c r="Z6766" t="str">
        <f>"COS10200804 2388"</f>
        <v>COS10200804 2388</v>
      </c>
    </row>
    <row r="6767" spans="1:26" x14ac:dyDescent="0.25">
      <c r="A6767" t="str">
        <f t="shared" si="2765"/>
        <v>04-08-2020 12:37:08</v>
      </c>
      <c r="B6767" t="str">
        <f>"0000804147"</f>
        <v>0000804147</v>
      </c>
      <c r="C6767" t="str">
        <f t="shared" si="2766"/>
        <v>0000803960</v>
      </c>
      <c r="D6767" t="str">
        <f t="shared" si="2747"/>
        <v>73185</v>
      </c>
      <c r="E6767" t="str">
        <f t="shared" si="2748"/>
        <v>KFH-OPERATIONS DEPARTMENT</v>
      </c>
      <c r="F6767" t="str">
        <f t="shared" si="2749"/>
        <v>IBG</v>
      </c>
      <c r="G6767" t="str">
        <f t="shared" si="2760"/>
        <v>Refund COSHARE 10</v>
      </c>
      <c r="H6767" s="2">
        <v>798.3</v>
      </c>
      <c r="I6767" t="str">
        <f>"DANA ANAK ALAP"</f>
        <v>DANA ANAK ALAP</v>
      </c>
      <c r="J6767" t="str">
        <f t="shared" si="2746"/>
        <v>CIMB BANK / CIMB ISLAMIC BANK</v>
      </c>
      <c r="K6767" t="str">
        <f>"10040035506529"</f>
        <v>10040035506529</v>
      </c>
      <c r="L6767" t="str">
        <f t="shared" ref="L6767:M6786" si="2769">"04-08-2020"</f>
        <v>04-08-2020</v>
      </c>
      <c r="M6767" t="str">
        <f t="shared" si="2769"/>
        <v>04-08-2020</v>
      </c>
      <c r="N6767" t="str">
        <f t="shared" si="2751"/>
        <v>001105018356</v>
      </c>
      <c r="O6767" t="str">
        <f t="shared" si="2752"/>
        <v>MYR</v>
      </c>
      <c r="P6767" t="str">
        <f t="shared" ref="P6767:Q6786" si="2770">"NIL"</f>
        <v>NIL</v>
      </c>
      <c r="Q6767" t="str">
        <f t="shared" si="2770"/>
        <v>NIL</v>
      </c>
      <c r="R6767" t="str">
        <f t="shared" si="2767"/>
        <v>Accepted</v>
      </c>
      <c r="S6767" t="str">
        <f t="shared" si="2754"/>
        <v>Approved</v>
      </c>
      <c r="T6767" t="str">
        <f t="shared" si="2768"/>
        <v>10.20.8.188</v>
      </c>
      <c r="U6767" t="str">
        <f t="shared" si="2755"/>
        <v>AZRAD UMAR BIN SHAARI</v>
      </c>
      <c r="V6767" t="str">
        <f t="shared" si="2756"/>
        <v>FARHANA BINTI MUSTAPA</v>
      </c>
      <c r="W6767" t="str">
        <f t="shared" si="2757"/>
        <v>04-08-2020</v>
      </c>
      <c r="X6767" t="str">
        <f t="shared" si="2758"/>
        <v>RAZIMAH ANSAR AHMAD</v>
      </c>
      <c r="Y6767" t="str">
        <f t="shared" si="2759"/>
        <v>04-08-2020</v>
      </c>
      <c r="Z6767" t="str">
        <f>"COS10200804 2387"</f>
        <v>COS10200804 2387</v>
      </c>
    </row>
    <row r="6768" spans="1:26" x14ac:dyDescent="0.25">
      <c r="A6768" t="str">
        <f t="shared" si="2765"/>
        <v>04-08-2020 12:37:08</v>
      </c>
      <c r="B6768" t="str">
        <f>"0000804146"</f>
        <v>0000804146</v>
      </c>
      <c r="C6768" t="str">
        <f t="shared" si="2766"/>
        <v>0000803960</v>
      </c>
      <c r="D6768" t="str">
        <f t="shared" si="2747"/>
        <v>73185</v>
      </c>
      <c r="E6768" t="str">
        <f t="shared" si="2748"/>
        <v>KFH-OPERATIONS DEPARTMENT</v>
      </c>
      <c r="F6768" t="str">
        <f t="shared" si="2749"/>
        <v>IBG</v>
      </c>
      <c r="G6768" t="str">
        <f t="shared" si="2760"/>
        <v>Refund COSHARE 10</v>
      </c>
      <c r="H6768" s="2">
        <v>796.05</v>
      </c>
      <c r="I6768" t="str">
        <f>"DALINDA BINTI KAMARUDIN"</f>
        <v>DALINDA BINTI KAMARUDIN</v>
      </c>
      <c r="J6768" t="str">
        <f t="shared" si="2746"/>
        <v>CIMB BANK / CIMB ISLAMIC BANK</v>
      </c>
      <c r="K6768" t="str">
        <f>"7005300587"</f>
        <v>7005300587</v>
      </c>
      <c r="L6768" t="str">
        <f t="shared" si="2769"/>
        <v>04-08-2020</v>
      </c>
      <c r="M6768" t="str">
        <f t="shared" si="2769"/>
        <v>04-08-2020</v>
      </c>
      <c r="N6768" t="str">
        <f t="shared" si="2751"/>
        <v>001105018356</v>
      </c>
      <c r="O6768" t="str">
        <f t="shared" si="2752"/>
        <v>MYR</v>
      </c>
      <c r="P6768" t="str">
        <f t="shared" si="2770"/>
        <v>NIL</v>
      </c>
      <c r="Q6768" t="str">
        <f t="shared" si="2770"/>
        <v>NIL</v>
      </c>
      <c r="R6768" t="str">
        <f t="shared" si="2767"/>
        <v>Accepted</v>
      </c>
      <c r="S6768" t="str">
        <f t="shared" si="2754"/>
        <v>Approved</v>
      </c>
      <c r="T6768" t="str">
        <f t="shared" si="2768"/>
        <v>10.20.8.188</v>
      </c>
      <c r="U6768" t="str">
        <f t="shared" si="2755"/>
        <v>AZRAD UMAR BIN SHAARI</v>
      </c>
      <c r="V6768" t="str">
        <f t="shared" si="2756"/>
        <v>FARHANA BINTI MUSTAPA</v>
      </c>
      <c r="W6768" t="str">
        <f t="shared" si="2757"/>
        <v>04-08-2020</v>
      </c>
      <c r="X6768" t="str">
        <f t="shared" si="2758"/>
        <v>RAZIMAH ANSAR AHMAD</v>
      </c>
      <c r="Y6768" t="str">
        <f t="shared" si="2759"/>
        <v>04-08-2020</v>
      </c>
      <c r="Z6768" t="str">
        <f>"COS10200804 2386"</f>
        <v>COS10200804 2386</v>
      </c>
    </row>
    <row r="6769" spans="1:26" x14ac:dyDescent="0.25">
      <c r="A6769" t="str">
        <f t="shared" si="2765"/>
        <v>04-08-2020 12:37:08</v>
      </c>
      <c r="B6769" t="str">
        <f>"0000804145"</f>
        <v>0000804145</v>
      </c>
      <c r="C6769" t="str">
        <f t="shared" si="2766"/>
        <v>0000803960</v>
      </c>
      <c r="D6769" t="str">
        <f t="shared" si="2747"/>
        <v>73185</v>
      </c>
      <c r="E6769" t="str">
        <f t="shared" si="2748"/>
        <v>KFH-OPERATIONS DEPARTMENT</v>
      </c>
      <c r="F6769" t="str">
        <f t="shared" si="2749"/>
        <v>IBG</v>
      </c>
      <c r="G6769" t="str">
        <f t="shared" si="2760"/>
        <v>Refund COSHARE 10</v>
      </c>
      <c r="H6769" s="2">
        <v>839.5</v>
      </c>
      <c r="I6769" t="str">
        <f>"DAKSHAINI AP ANANADA NARAYANAN"</f>
        <v>DAKSHAINI AP ANANADA NARAYANAN</v>
      </c>
      <c r="J6769" t="str">
        <f t="shared" si="2746"/>
        <v>CIMB BANK / CIMB ISLAMIC BANK</v>
      </c>
      <c r="K6769" t="str">
        <f>"05060166383528"</f>
        <v>05060166383528</v>
      </c>
      <c r="L6769" t="str">
        <f t="shared" si="2769"/>
        <v>04-08-2020</v>
      </c>
      <c r="M6769" t="str">
        <f t="shared" si="2769"/>
        <v>04-08-2020</v>
      </c>
      <c r="N6769" t="str">
        <f t="shared" si="2751"/>
        <v>001105018356</v>
      </c>
      <c r="O6769" t="str">
        <f t="shared" si="2752"/>
        <v>MYR</v>
      </c>
      <c r="P6769" t="str">
        <f t="shared" si="2770"/>
        <v>NIL</v>
      </c>
      <c r="Q6769" t="str">
        <f t="shared" si="2770"/>
        <v>NIL</v>
      </c>
      <c r="R6769" t="str">
        <f t="shared" si="2767"/>
        <v>Accepted</v>
      </c>
      <c r="S6769" t="str">
        <f t="shared" si="2754"/>
        <v>Approved</v>
      </c>
      <c r="T6769" t="str">
        <f t="shared" si="2768"/>
        <v>10.20.8.188</v>
      </c>
      <c r="U6769" t="str">
        <f t="shared" si="2755"/>
        <v>AZRAD UMAR BIN SHAARI</v>
      </c>
      <c r="V6769" t="str">
        <f t="shared" si="2756"/>
        <v>FARHANA BINTI MUSTAPA</v>
      </c>
      <c r="W6769" t="str">
        <f t="shared" si="2757"/>
        <v>04-08-2020</v>
      </c>
      <c r="X6769" t="str">
        <f t="shared" si="2758"/>
        <v>RAZIMAH ANSAR AHMAD</v>
      </c>
      <c r="Y6769" t="str">
        <f t="shared" si="2759"/>
        <v>04-08-2020</v>
      </c>
      <c r="Z6769" t="str">
        <f>"COS10200804 2385"</f>
        <v>COS10200804 2385</v>
      </c>
    </row>
    <row r="6770" spans="1:26" x14ac:dyDescent="0.25">
      <c r="A6770" t="str">
        <f t="shared" si="2765"/>
        <v>04-08-2020 12:37:08</v>
      </c>
      <c r="B6770" t="str">
        <f>"0000804144"</f>
        <v>0000804144</v>
      </c>
      <c r="C6770" t="str">
        <f t="shared" si="2766"/>
        <v>0000803960</v>
      </c>
      <c r="D6770" t="str">
        <f t="shared" si="2747"/>
        <v>73185</v>
      </c>
      <c r="E6770" t="str">
        <f t="shared" si="2748"/>
        <v>KFH-OPERATIONS DEPARTMENT</v>
      </c>
      <c r="F6770" t="str">
        <f t="shared" si="2749"/>
        <v>IBG</v>
      </c>
      <c r="G6770" t="str">
        <f t="shared" si="2760"/>
        <v>Refund COSHARE 10</v>
      </c>
      <c r="H6770" s="2">
        <v>167.9</v>
      </c>
      <c r="I6770" t="str">
        <f>"DAHLAN BIN BADUE"</f>
        <v>DAHLAN BIN BADUE</v>
      </c>
      <c r="J6770" t="str">
        <f t="shared" si="2746"/>
        <v>CIMB BANK / CIMB ISLAMIC BANK</v>
      </c>
      <c r="K6770" t="str">
        <f>"10030036970527"</f>
        <v>10030036970527</v>
      </c>
      <c r="L6770" t="str">
        <f t="shared" si="2769"/>
        <v>04-08-2020</v>
      </c>
      <c r="M6770" t="str">
        <f t="shared" si="2769"/>
        <v>04-08-2020</v>
      </c>
      <c r="N6770" t="str">
        <f t="shared" si="2751"/>
        <v>001105018356</v>
      </c>
      <c r="O6770" t="str">
        <f t="shared" si="2752"/>
        <v>MYR</v>
      </c>
      <c r="P6770" t="str">
        <f t="shared" si="2770"/>
        <v>NIL</v>
      </c>
      <c r="Q6770" t="str">
        <f t="shared" si="2770"/>
        <v>NIL</v>
      </c>
      <c r="R6770" t="str">
        <f t="shared" si="2767"/>
        <v>Accepted</v>
      </c>
      <c r="S6770" t="str">
        <f t="shared" si="2754"/>
        <v>Approved</v>
      </c>
      <c r="T6770" t="str">
        <f t="shared" si="2768"/>
        <v>10.20.8.188</v>
      </c>
      <c r="U6770" t="str">
        <f t="shared" si="2755"/>
        <v>AZRAD UMAR BIN SHAARI</v>
      </c>
      <c r="V6770" t="str">
        <f t="shared" si="2756"/>
        <v>FARHANA BINTI MUSTAPA</v>
      </c>
      <c r="W6770" t="str">
        <f t="shared" si="2757"/>
        <v>04-08-2020</v>
      </c>
      <c r="X6770" t="str">
        <f t="shared" si="2758"/>
        <v>RAZIMAH ANSAR AHMAD</v>
      </c>
      <c r="Y6770" t="str">
        <f t="shared" si="2759"/>
        <v>04-08-2020</v>
      </c>
      <c r="Z6770" t="str">
        <f>"COS10200804 2384"</f>
        <v>COS10200804 2384</v>
      </c>
    </row>
    <row r="6771" spans="1:26" x14ac:dyDescent="0.25">
      <c r="A6771" t="str">
        <f t="shared" si="2765"/>
        <v>04-08-2020 12:37:08</v>
      </c>
      <c r="B6771" t="str">
        <f>"0000804143"</f>
        <v>0000804143</v>
      </c>
      <c r="C6771" t="str">
        <f t="shared" si="2766"/>
        <v>0000803960</v>
      </c>
      <c r="D6771" t="str">
        <f t="shared" si="2747"/>
        <v>73185</v>
      </c>
      <c r="E6771" t="str">
        <f t="shared" si="2748"/>
        <v>KFH-OPERATIONS DEPARTMENT</v>
      </c>
      <c r="F6771" t="str">
        <f t="shared" si="2749"/>
        <v>IBG</v>
      </c>
      <c r="G6771" t="str">
        <f t="shared" si="2760"/>
        <v>Refund COSHARE 10</v>
      </c>
      <c r="H6771" s="2">
        <v>838</v>
      </c>
      <c r="I6771" t="str">
        <f>"CROCKER ANAK SEPERO"</f>
        <v>CROCKER ANAK SEPERO</v>
      </c>
      <c r="J6771" t="str">
        <f t="shared" si="2746"/>
        <v>CIMB BANK / CIMB ISLAMIC BANK</v>
      </c>
      <c r="K6771" t="str">
        <f>"11100061945523"</f>
        <v>11100061945523</v>
      </c>
      <c r="L6771" t="str">
        <f t="shared" si="2769"/>
        <v>04-08-2020</v>
      </c>
      <c r="M6771" t="str">
        <f t="shared" si="2769"/>
        <v>04-08-2020</v>
      </c>
      <c r="N6771" t="str">
        <f t="shared" si="2751"/>
        <v>001105018356</v>
      </c>
      <c r="O6771" t="str">
        <f t="shared" si="2752"/>
        <v>MYR</v>
      </c>
      <c r="P6771" t="str">
        <f t="shared" si="2770"/>
        <v>NIL</v>
      </c>
      <c r="Q6771" t="str">
        <f t="shared" si="2770"/>
        <v>NIL</v>
      </c>
      <c r="R6771" t="str">
        <f t="shared" si="2767"/>
        <v>Accepted</v>
      </c>
      <c r="S6771" t="str">
        <f t="shared" si="2754"/>
        <v>Approved</v>
      </c>
      <c r="T6771" t="str">
        <f t="shared" si="2768"/>
        <v>10.20.8.188</v>
      </c>
      <c r="U6771" t="str">
        <f t="shared" si="2755"/>
        <v>AZRAD UMAR BIN SHAARI</v>
      </c>
      <c r="V6771" t="str">
        <f t="shared" si="2756"/>
        <v>FARHANA BINTI MUSTAPA</v>
      </c>
      <c r="W6771" t="str">
        <f t="shared" si="2757"/>
        <v>04-08-2020</v>
      </c>
      <c r="X6771" t="str">
        <f t="shared" si="2758"/>
        <v>RAZIMAH ANSAR AHMAD</v>
      </c>
      <c r="Y6771" t="str">
        <f t="shared" si="2759"/>
        <v>04-08-2020</v>
      </c>
      <c r="Z6771" t="str">
        <f>"COS10200804 2383"</f>
        <v>COS10200804 2383</v>
      </c>
    </row>
    <row r="6772" spans="1:26" x14ac:dyDescent="0.25">
      <c r="A6772" t="str">
        <f t="shared" si="2765"/>
        <v>04-08-2020 12:37:08</v>
      </c>
      <c r="B6772" t="str">
        <f>"0000804142"</f>
        <v>0000804142</v>
      </c>
      <c r="C6772" t="str">
        <f t="shared" si="2766"/>
        <v>0000803960</v>
      </c>
      <c r="D6772" t="str">
        <f t="shared" si="2747"/>
        <v>73185</v>
      </c>
      <c r="E6772" t="str">
        <f t="shared" si="2748"/>
        <v>KFH-OPERATIONS DEPARTMENT</v>
      </c>
      <c r="F6772" t="str">
        <f t="shared" si="2749"/>
        <v>IBG</v>
      </c>
      <c r="G6772" t="str">
        <f t="shared" si="2760"/>
        <v>Refund COSHARE 10</v>
      </c>
      <c r="H6772" s="2">
        <v>718.5</v>
      </c>
      <c r="I6772" t="str">
        <f>"CORRENA BINTI MAJAKUM"</f>
        <v>CORRENA BINTI MAJAKUM</v>
      </c>
      <c r="J6772" t="str">
        <f t="shared" si="2746"/>
        <v>CIMB BANK / CIMB ISLAMIC BANK</v>
      </c>
      <c r="K6772" t="str">
        <f>"7038007690"</f>
        <v>7038007690</v>
      </c>
      <c r="L6772" t="str">
        <f t="shared" si="2769"/>
        <v>04-08-2020</v>
      </c>
      <c r="M6772" t="str">
        <f t="shared" si="2769"/>
        <v>04-08-2020</v>
      </c>
      <c r="N6772" t="str">
        <f t="shared" si="2751"/>
        <v>001105018356</v>
      </c>
      <c r="O6772" t="str">
        <f t="shared" si="2752"/>
        <v>MYR</v>
      </c>
      <c r="P6772" t="str">
        <f t="shared" si="2770"/>
        <v>NIL</v>
      </c>
      <c r="Q6772" t="str">
        <f t="shared" si="2770"/>
        <v>NIL</v>
      </c>
      <c r="R6772" t="str">
        <f t="shared" si="2767"/>
        <v>Accepted</v>
      </c>
      <c r="S6772" t="str">
        <f t="shared" si="2754"/>
        <v>Approved</v>
      </c>
      <c r="T6772" t="str">
        <f t="shared" si="2768"/>
        <v>10.20.8.188</v>
      </c>
      <c r="U6772" t="str">
        <f t="shared" si="2755"/>
        <v>AZRAD UMAR BIN SHAARI</v>
      </c>
      <c r="V6772" t="str">
        <f t="shared" si="2756"/>
        <v>FARHANA BINTI MUSTAPA</v>
      </c>
      <c r="W6772" t="str">
        <f t="shared" si="2757"/>
        <v>04-08-2020</v>
      </c>
      <c r="X6772" t="str">
        <f t="shared" si="2758"/>
        <v>RAZIMAH ANSAR AHMAD</v>
      </c>
      <c r="Y6772" t="str">
        <f t="shared" si="2759"/>
        <v>04-08-2020</v>
      </c>
      <c r="Z6772" t="str">
        <f>"COS10200804 2382"</f>
        <v>COS10200804 2382</v>
      </c>
    </row>
    <row r="6773" spans="1:26" x14ac:dyDescent="0.25">
      <c r="A6773" t="str">
        <f t="shared" si="2765"/>
        <v>04-08-2020 12:37:08</v>
      </c>
      <c r="B6773" t="str">
        <f>"0000804141"</f>
        <v>0000804141</v>
      </c>
      <c r="C6773" t="str">
        <f t="shared" si="2766"/>
        <v>0000803960</v>
      </c>
      <c r="D6773" t="str">
        <f t="shared" si="2747"/>
        <v>73185</v>
      </c>
      <c r="E6773" t="str">
        <f t="shared" si="2748"/>
        <v>KFH-OPERATIONS DEPARTMENT</v>
      </c>
      <c r="F6773" t="str">
        <f t="shared" si="2749"/>
        <v>IBG</v>
      </c>
      <c r="G6773" t="str">
        <f t="shared" si="2760"/>
        <v>Refund COSHARE 10</v>
      </c>
      <c r="H6773" s="2">
        <v>589.4</v>
      </c>
      <c r="I6773" t="str">
        <f>"CONNY ADAM  PAULUS"</f>
        <v>CONNY ADAM  PAULUS</v>
      </c>
      <c r="J6773" t="str">
        <f t="shared" si="2746"/>
        <v>CIMB BANK / CIMB ISLAMIC BANK</v>
      </c>
      <c r="K6773" t="str">
        <f>"7038178251"</f>
        <v>7038178251</v>
      </c>
      <c r="L6773" t="str">
        <f t="shared" si="2769"/>
        <v>04-08-2020</v>
      </c>
      <c r="M6773" t="str">
        <f t="shared" si="2769"/>
        <v>04-08-2020</v>
      </c>
      <c r="N6773" t="str">
        <f t="shared" si="2751"/>
        <v>001105018356</v>
      </c>
      <c r="O6773" t="str">
        <f t="shared" si="2752"/>
        <v>MYR</v>
      </c>
      <c r="P6773" t="str">
        <f t="shared" si="2770"/>
        <v>NIL</v>
      </c>
      <c r="Q6773" t="str">
        <f t="shared" si="2770"/>
        <v>NIL</v>
      </c>
      <c r="R6773" t="str">
        <f t="shared" si="2767"/>
        <v>Accepted</v>
      </c>
      <c r="S6773" t="str">
        <f t="shared" si="2754"/>
        <v>Approved</v>
      </c>
      <c r="T6773" t="str">
        <f t="shared" si="2768"/>
        <v>10.20.8.188</v>
      </c>
      <c r="U6773" t="str">
        <f t="shared" si="2755"/>
        <v>AZRAD UMAR BIN SHAARI</v>
      </c>
      <c r="V6773" t="str">
        <f t="shared" si="2756"/>
        <v>FARHANA BINTI MUSTAPA</v>
      </c>
      <c r="W6773" t="str">
        <f t="shared" si="2757"/>
        <v>04-08-2020</v>
      </c>
      <c r="X6773" t="str">
        <f t="shared" si="2758"/>
        <v>RAZIMAH ANSAR AHMAD</v>
      </c>
      <c r="Y6773" t="str">
        <f t="shared" si="2759"/>
        <v>04-08-2020</v>
      </c>
      <c r="Z6773" t="str">
        <f>"COS10200804 2381"</f>
        <v>COS10200804 2381</v>
      </c>
    </row>
    <row r="6774" spans="1:26" x14ac:dyDescent="0.25">
      <c r="A6774" t="str">
        <f t="shared" si="2765"/>
        <v>04-08-2020 12:37:08</v>
      </c>
      <c r="B6774" t="str">
        <f>"0000804140"</f>
        <v>0000804140</v>
      </c>
      <c r="C6774" t="str">
        <f t="shared" si="2766"/>
        <v>0000803960</v>
      </c>
      <c r="D6774" t="str">
        <f t="shared" si="2747"/>
        <v>73185</v>
      </c>
      <c r="E6774" t="str">
        <f t="shared" si="2748"/>
        <v>KFH-OPERATIONS DEPARTMENT</v>
      </c>
      <c r="F6774" t="str">
        <f t="shared" si="2749"/>
        <v>IBG</v>
      </c>
      <c r="G6774" t="str">
        <f t="shared" si="2760"/>
        <v>Refund COSHARE 10</v>
      </c>
      <c r="H6774" s="2">
        <v>359</v>
      </c>
      <c r="I6774" t="str">
        <f>"CLEMENT ANAK GERRY"</f>
        <v>CLEMENT ANAK GERRY</v>
      </c>
      <c r="J6774" t="str">
        <f t="shared" si="2746"/>
        <v>CIMB BANK / CIMB ISLAMIC BANK</v>
      </c>
      <c r="K6774" t="str">
        <f>"7600279686"</f>
        <v>7600279686</v>
      </c>
      <c r="L6774" t="str">
        <f t="shared" si="2769"/>
        <v>04-08-2020</v>
      </c>
      <c r="M6774" t="str">
        <f t="shared" si="2769"/>
        <v>04-08-2020</v>
      </c>
      <c r="N6774" t="str">
        <f t="shared" si="2751"/>
        <v>001105018356</v>
      </c>
      <c r="O6774" t="str">
        <f t="shared" si="2752"/>
        <v>MYR</v>
      </c>
      <c r="P6774" t="str">
        <f t="shared" si="2770"/>
        <v>NIL</v>
      </c>
      <c r="Q6774" t="str">
        <f t="shared" si="2770"/>
        <v>NIL</v>
      </c>
      <c r="R6774" t="str">
        <f t="shared" si="2767"/>
        <v>Accepted</v>
      </c>
      <c r="S6774" t="str">
        <f t="shared" si="2754"/>
        <v>Approved</v>
      </c>
      <c r="T6774" t="str">
        <f t="shared" si="2768"/>
        <v>10.20.8.188</v>
      </c>
      <c r="U6774" t="str">
        <f t="shared" si="2755"/>
        <v>AZRAD UMAR BIN SHAARI</v>
      </c>
      <c r="V6774" t="str">
        <f t="shared" si="2756"/>
        <v>FARHANA BINTI MUSTAPA</v>
      </c>
      <c r="W6774" t="str">
        <f t="shared" si="2757"/>
        <v>04-08-2020</v>
      </c>
      <c r="X6774" t="str">
        <f t="shared" si="2758"/>
        <v>RAZIMAH ANSAR AHMAD</v>
      </c>
      <c r="Y6774" t="str">
        <f t="shared" si="2759"/>
        <v>04-08-2020</v>
      </c>
      <c r="Z6774" t="str">
        <f>"COS10200804 2380"</f>
        <v>COS10200804 2380</v>
      </c>
    </row>
    <row r="6775" spans="1:26" x14ac:dyDescent="0.25">
      <c r="A6775" t="str">
        <f t="shared" si="2765"/>
        <v>04-08-2020 12:37:08</v>
      </c>
      <c r="B6775" t="str">
        <f>"0000804139"</f>
        <v>0000804139</v>
      </c>
      <c r="C6775" t="str">
        <f t="shared" si="2766"/>
        <v>0000803960</v>
      </c>
      <c r="D6775" t="str">
        <f t="shared" si="2747"/>
        <v>73185</v>
      </c>
      <c r="E6775" t="str">
        <f t="shared" si="2748"/>
        <v>KFH-OPERATIONS DEPARTMENT</v>
      </c>
      <c r="F6775" t="str">
        <f t="shared" si="2749"/>
        <v>IBG</v>
      </c>
      <c r="G6775" t="str">
        <f t="shared" si="2760"/>
        <v>Refund COSHARE 10</v>
      </c>
      <c r="H6775" s="2">
        <v>419.75</v>
      </c>
      <c r="I6775" t="str">
        <f>"CLARA VALDEZ"</f>
        <v>CLARA VALDEZ</v>
      </c>
      <c r="J6775" t="str">
        <f t="shared" si="2746"/>
        <v>CIMB BANK / CIMB ISLAMIC BANK</v>
      </c>
      <c r="K6775" t="str">
        <f>"04080065135529"</f>
        <v>04080065135529</v>
      </c>
      <c r="L6775" t="str">
        <f t="shared" si="2769"/>
        <v>04-08-2020</v>
      </c>
      <c r="M6775" t="str">
        <f t="shared" si="2769"/>
        <v>04-08-2020</v>
      </c>
      <c r="N6775" t="str">
        <f t="shared" si="2751"/>
        <v>001105018356</v>
      </c>
      <c r="O6775" t="str">
        <f t="shared" si="2752"/>
        <v>MYR</v>
      </c>
      <c r="P6775" t="str">
        <f t="shared" si="2770"/>
        <v>NIL</v>
      </c>
      <c r="Q6775" t="str">
        <f t="shared" si="2770"/>
        <v>NIL</v>
      </c>
      <c r="R6775" t="str">
        <f t="shared" si="2767"/>
        <v>Accepted</v>
      </c>
      <c r="S6775" t="str">
        <f t="shared" si="2754"/>
        <v>Approved</v>
      </c>
      <c r="T6775" t="str">
        <f t="shared" si="2768"/>
        <v>10.20.8.188</v>
      </c>
      <c r="U6775" t="str">
        <f t="shared" si="2755"/>
        <v>AZRAD UMAR BIN SHAARI</v>
      </c>
      <c r="V6775" t="str">
        <f t="shared" si="2756"/>
        <v>FARHANA BINTI MUSTAPA</v>
      </c>
      <c r="W6775" t="str">
        <f t="shared" si="2757"/>
        <v>04-08-2020</v>
      </c>
      <c r="X6775" t="str">
        <f t="shared" si="2758"/>
        <v>RAZIMAH ANSAR AHMAD</v>
      </c>
      <c r="Y6775" t="str">
        <f t="shared" si="2759"/>
        <v>04-08-2020</v>
      </c>
      <c r="Z6775" t="str">
        <f>"COS10200804 2379"</f>
        <v>COS10200804 2379</v>
      </c>
    </row>
    <row r="6776" spans="1:26" x14ac:dyDescent="0.25">
      <c r="A6776" t="str">
        <f t="shared" si="2765"/>
        <v>04-08-2020 12:37:08</v>
      </c>
      <c r="B6776" t="str">
        <f>"0000804138"</f>
        <v>0000804138</v>
      </c>
      <c r="C6776" t="str">
        <f t="shared" si="2766"/>
        <v>0000803960</v>
      </c>
      <c r="D6776" t="str">
        <f t="shared" si="2747"/>
        <v>73185</v>
      </c>
      <c r="E6776" t="str">
        <f t="shared" si="2748"/>
        <v>KFH-OPERATIONS DEPARTMENT</v>
      </c>
      <c r="F6776" t="str">
        <f t="shared" si="2749"/>
        <v>IBG</v>
      </c>
      <c r="G6776" t="str">
        <f t="shared" si="2760"/>
        <v>Refund COSHARE 10</v>
      </c>
      <c r="H6776" s="2">
        <v>294.7</v>
      </c>
      <c r="I6776" t="str">
        <f>"CLAIRE BINTI KAJOK"</f>
        <v>CLAIRE BINTI KAJOK</v>
      </c>
      <c r="J6776" t="str">
        <f t="shared" si="2746"/>
        <v>CIMB BANK / CIMB ISLAMIC BANK</v>
      </c>
      <c r="K6776" t="str">
        <f>"10100002336529"</f>
        <v>10100002336529</v>
      </c>
      <c r="L6776" t="str">
        <f t="shared" si="2769"/>
        <v>04-08-2020</v>
      </c>
      <c r="M6776" t="str">
        <f t="shared" si="2769"/>
        <v>04-08-2020</v>
      </c>
      <c r="N6776" t="str">
        <f t="shared" si="2751"/>
        <v>001105018356</v>
      </c>
      <c r="O6776" t="str">
        <f t="shared" si="2752"/>
        <v>MYR</v>
      </c>
      <c r="P6776" t="str">
        <f t="shared" si="2770"/>
        <v>NIL</v>
      </c>
      <c r="Q6776" t="str">
        <f t="shared" si="2770"/>
        <v>NIL</v>
      </c>
      <c r="R6776" t="str">
        <f t="shared" si="2767"/>
        <v>Accepted</v>
      </c>
      <c r="S6776" t="str">
        <f t="shared" si="2754"/>
        <v>Approved</v>
      </c>
      <c r="T6776" t="str">
        <f t="shared" si="2768"/>
        <v>10.20.8.188</v>
      </c>
      <c r="U6776" t="str">
        <f t="shared" si="2755"/>
        <v>AZRAD UMAR BIN SHAARI</v>
      </c>
      <c r="V6776" t="str">
        <f t="shared" si="2756"/>
        <v>FARHANA BINTI MUSTAPA</v>
      </c>
      <c r="W6776" t="str">
        <f t="shared" si="2757"/>
        <v>04-08-2020</v>
      </c>
      <c r="X6776" t="str">
        <f t="shared" si="2758"/>
        <v>RAZIMAH ANSAR AHMAD</v>
      </c>
      <c r="Y6776" t="str">
        <f t="shared" si="2759"/>
        <v>04-08-2020</v>
      </c>
      <c r="Z6776" t="str">
        <f>"COS10200804 2378"</f>
        <v>COS10200804 2378</v>
      </c>
    </row>
    <row r="6777" spans="1:26" x14ac:dyDescent="0.25">
      <c r="A6777" t="str">
        <f t="shared" si="2765"/>
        <v>04-08-2020 12:37:08</v>
      </c>
      <c r="B6777" t="str">
        <f>"0000804137"</f>
        <v>0000804137</v>
      </c>
      <c r="C6777" t="str">
        <f t="shared" si="2766"/>
        <v>0000803960</v>
      </c>
      <c r="D6777" t="str">
        <f t="shared" si="2747"/>
        <v>73185</v>
      </c>
      <c r="E6777" t="str">
        <f t="shared" si="2748"/>
        <v>KFH-OPERATIONS DEPARTMENT</v>
      </c>
      <c r="F6777" t="str">
        <f t="shared" si="2749"/>
        <v>IBG</v>
      </c>
      <c r="G6777" t="str">
        <f t="shared" si="2760"/>
        <v>Refund COSHARE 10</v>
      </c>
      <c r="H6777" s="2">
        <v>380</v>
      </c>
      <c r="I6777" t="str">
        <f>"CIK ZAINUN BINTI CHE HARUN"</f>
        <v>CIK ZAINUN BINTI CHE HARUN</v>
      </c>
      <c r="J6777" t="str">
        <f t="shared" si="2746"/>
        <v>CIMB BANK / CIMB ISLAMIC BANK</v>
      </c>
      <c r="K6777" t="str">
        <f>"03110027834528"</f>
        <v>03110027834528</v>
      </c>
      <c r="L6777" t="str">
        <f t="shared" si="2769"/>
        <v>04-08-2020</v>
      </c>
      <c r="M6777" t="str">
        <f t="shared" si="2769"/>
        <v>04-08-2020</v>
      </c>
      <c r="N6777" t="str">
        <f t="shared" si="2751"/>
        <v>001105018356</v>
      </c>
      <c r="O6777" t="str">
        <f t="shared" si="2752"/>
        <v>MYR</v>
      </c>
      <c r="P6777" t="str">
        <f t="shared" si="2770"/>
        <v>NIL</v>
      </c>
      <c r="Q6777" t="str">
        <f t="shared" si="2770"/>
        <v>NIL</v>
      </c>
      <c r="R6777" t="str">
        <f t="shared" si="2767"/>
        <v>Accepted</v>
      </c>
      <c r="S6777" t="str">
        <f t="shared" si="2754"/>
        <v>Approved</v>
      </c>
      <c r="T6777" t="str">
        <f t="shared" si="2768"/>
        <v>10.20.8.188</v>
      </c>
      <c r="U6777" t="str">
        <f t="shared" si="2755"/>
        <v>AZRAD UMAR BIN SHAARI</v>
      </c>
      <c r="V6777" t="str">
        <f t="shared" si="2756"/>
        <v>FARHANA BINTI MUSTAPA</v>
      </c>
      <c r="W6777" t="str">
        <f t="shared" si="2757"/>
        <v>04-08-2020</v>
      </c>
      <c r="X6777" t="str">
        <f t="shared" si="2758"/>
        <v>RAZIMAH ANSAR AHMAD</v>
      </c>
      <c r="Y6777" t="str">
        <f t="shared" si="2759"/>
        <v>04-08-2020</v>
      </c>
      <c r="Z6777" t="str">
        <f>"COS10200804 2377"</f>
        <v>COS10200804 2377</v>
      </c>
    </row>
    <row r="6778" spans="1:26" x14ac:dyDescent="0.25">
      <c r="A6778" t="str">
        <f t="shared" si="2765"/>
        <v>04-08-2020 12:37:08</v>
      </c>
      <c r="B6778" t="str">
        <f>"0000804136"</f>
        <v>0000804136</v>
      </c>
      <c r="C6778" t="str">
        <f t="shared" si="2766"/>
        <v>0000803960</v>
      </c>
      <c r="D6778" t="str">
        <f t="shared" si="2747"/>
        <v>73185</v>
      </c>
      <c r="E6778" t="str">
        <f t="shared" si="2748"/>
        <v>KFH-OPERATIONS DEPARTMENT</v>
      </c>
      <c r="F6778" t="str">
        <f t="shared" si="2749"/>
        <v>IBG</v>
      </c>
      <c r="G6778" t="str">
        <f t="shared" si="2760"/>
        <v>Refund COSHARE 10</v>
      </c>
      <c r="H6778" s="2">
        <v>129</v>
      </c>
      <c r="I6778" t="str">
        <f>"CIK SITI NUR ADLINA BINTI MAHMUD"</f>
        <v>CIK SITI NUR ADLINA BINTI MAHMUD</v>
      </c>
      <c r="J6778" t="str">
        <f t="shared" si="2746"/>
        <v>CIMB BANK / CIMB ISLAMIC BANK</v>
      </c>
      <c r="K6778" t="str">
        <f>"13070025090528"</f>
        <v>13070025090528</v>
      </c>
      <c r="L6778" t="str">
        <f t="shared" si="2769"/>
        <v>04-08-2020</v>
      </c>
      <c r="M6778" t="str">
        <f t="shared" si="2769"/>
        <v>04-08-2020</v>
      </c>
      <c r="N6778" t="str">
        <f t="shared" si="2751"/>
        <v>001105018356</v>
      </c>
      <c r="O6778" t="str">
        <f t="shared" si="2752"/>
        <v>MYR</v>
      </c>
      <c r="P6778" t="str">
        <f t="shared" si="2770"/>
        <v>NIL</v>
      </c>
      <c r="Q6778" t="str">
        <f t="shared" si="2770"/>
        <v>NIL</v>
      </c>
      <c r="R6778" t="str">
        <f t="shared" si="2767"/>
        <v>Accepted</v>
      </c>
      <c r="S6778" t="str">
        <f t="shared" si="2754"/>
        <v>Approved</v>
      </c>
      <c r="T6778" t="str">
        <f t="shared" si="2768"/>
        <v>10.20.8.188</v>
      </c>
      <c r="U6778" t="str">
        <f t="shared" si="2755"/>
        <v>AZRAD UMAR BIN SHAARI</v>
      </c>
      <c r="V6778" t="str">
        <f t="shared" si="2756"/>
        <v>FARHANA BINTI MUSTAPA</v>
      </c>
      <c r="W6778" t="str">
        <f t="shared" si="2757"/>
        <v>04-08-2020</v>
      </c>
      <c r="X6778" t="str">
        <f t="shared" si="2758"/>
        <v>RAZIMAH ANSAR AHMAD</v>
      </c>
      <c r="Y6778" t="str">
        <f t="shared" si="2759"/>
        <v>04-08-2020</v>
      </c>
      <c r="Z6778" t="str">
        <f>"COS10200804 2376"</f>
        <v>COS10200804 2376</v>
      </c>
    </row>
    <row r="6779" spans="1:26" x14ac:dyDescent="0.25">
      <c r="A6779" t="str">
        <f t="shared" si="2765"/>
        <v>04-08-2020 12:37:08</v>
      </c>
      <c r="B6779" t="str">
        <f>"0000804135"</f>
        <v>0000804135</v>
      </c>
      <c r="C6779" t="str">
        <f t="shared" si="2766"/>
        <v>0000803960</v>
      </c>
      <c r="D6779" t="str">
        <f t="shared" si="2747"/>
        <v>73185</v>
      </c>
      <c r="E6779" t="str">
        <f t="shared" si="2748"/>
        <v>KFH-OPERATIONS DEPARTMENT</v>
      </c>
      <c r="F6779" t="str">
        <f t="shared" si="2749"/>
        <v>IBG</v>
      </c>
      <c r="G6779" t="str">
        <f t="shared" si="2760"/>
        <v>Refund COSHARE 10</v>
      </c>
      <c r="H6779" s="2">
        <v>92.35</v>
      </c>
      <c r="I6779" t="str">
        <f>"CIK MURNI BINTI ISMAIL"</f>
        <v>CIK MURNI BINTI ISMAIL</v>
      </c>
      <c r="J6779" t="str">
        <f t="shared" si="2746"/>
        <v>CIMB BANK / CIMB ISLAMIC BANK</v>
      </c>
      <c r="K6779" t="str">
        <f>"02050114767523"</f>
        <v>02050114767523</v>
      </c>
      <c r="L6779" t="str">
        <f t="shared" si="2769"/>
        <v>04-08-2020</v>
      </c>
      <c r="M6779" t="str">
        <f t="shared" si="2769"/>
        <v>04-08-2020</v>
      </c>
      <c r="N6779" t="str">
        <f t="shared" si="2751"/>
        <v>001105018356</v>
      </c>
      <c r="O6779" t="str">
        <f t="shared" si="2752"/>
        <v>MYR</v>
      </c>
      <c r="P6779" t="str">
        <f t="shared" si="2770"/>
        <v>NIL</v>
      </c>
      <c r="Q6779" t="str">
        <f t="shared" si="2770"/>
        <v>NIL</v>
      </c>
      <c r="R6779" t="str">
        <f t="shared" si="2767"/>
        <v>Accepted</v>
      </c>
      <c r="S6779" t="str">
        <f t="shared" si="2754"/>
        <v>Approved</v>
      </c>
      <c r="T6779" t="str">
        <f t="shared" si="2768"/>
        <v>10.20.8.188</v>
      </c>
      <c r="U6779" t="str">
        <f t="shared" si="2755"/>
        <v>AZRAD UMAR BIN SHAARI</v>
      </c>
      <c r="V6779" t="str">
        <f t="shared" si="2756"/>
        <v>FARHANA BINTI MUSTAPA</v>
      </c>
      <c r="W6779" t="str">
        <f t="shared" si="2757"/>
        <v>04-08-2020</v>
      </c>
      <c r="X6779" t="str">
        <f t="shared" si="2758"/>
        <v>RAZIMAH ANSAR AHMAD</v>
      </c>
      <c r="Y6779" t="str">
        <f t="shared" si="2759"/>
        <v>04-08-2020</v>
      </c>
      <c r="Z6779" t="str">
        <f>"COS10200804 2375"</f>
        <v>COS10200804 2375</v>
      </c>
    </row>
    <row r="6780" spans="1:26" x14ac:dyDescent="0.25">
      <c r="A6780" t="str">
        <f t="shared" si="2765"/>
        <v>04-08-2020 12:37:08</v>
      </c>
      <c r="B6780" t="str">
        <f>"0000804134"</f>
        <v>0000804134</v>
      </c>
      <c r="C6780" t="str">
        <f t="shared" si="2766"/>
        <v>0000803960</v>
      </c>
      <c r="D6780" t="str">
        <f t="shared" si="2747"/>
        <v>73185</v>
      </c>
      <c r="E6780" t="str">
        <f t="shared" si="2748"/>
        <v>KFH-OPERATIONS DEPARTMENT</v>
      </c>
      <c r="F6780" t="str">
        <f t="shared" si="2749"/>
        <v>IBG</v>
      </c>
      <c r="G6780" t="str">
        <f t="shared" si="2760"/>
        <v>Refund COSHARE 10</v>
      </c>
      <c r="H6780" s="2">
        <v>142.75</v>
      </c>
      <c r="I6780" t="str">
        <f>"CHRISTINE SUNDANG"</f>
        <v>CHRISTINE SUNDANG</v>
      </c>
      <c r="J6780" t="str">
        <f t="shared" ref="J6780:J6843" si="2771">"CIMB BANK / CIMB ISLAMIC BANK"</f>
        <v>CIMB BANK / CIMB ISLAMIC BANK</v>
      </c>
      <c r="K6780" t="str">
        <f>"10130000201521"</f>
        <v>10130000201521</v>
      </c>
      <c r="L6780" t="str">
        <f t="shared" si="2769"/>
        <v>04-08-2020</v>
      </c>
      <c r="M6780" t="str">
        <f t="shared" si="2769"/>
        <v>04-08-2020</v>
      </c>
      <c r="N6780" t="str">
        <f t="shared" si="2751"/>
        <v>001105018356</v>
      </c>
      <c r="O6780" t="str">
        <f t="shared" si="2752"/>
        <v>MYR</v>
      </c>
      <c r="P6780" t="str">
        <f t="shared" si="2770"/>
        <v>NIL</v>
      </c>
      <c r="Q6780" t="str">
        <f t="shared" si="2770"/>
        <v>NIL</v>
      </c>
      <c r="R6780" t="str">
        <f t="shared" si="2767"/>
        <v>Accepted</v>
      </c>
      <c r="S6780" t="str">
        <f t="shared" si="2754"/>
        <v>Approved</v>
      </c>
      <c r="T6780" t="str">
        <f t="shared" si="2768"/>
        <v>10.20.8.188</v>
      </c>
      <c r="U6780" t="str">
        <f t="shared" si="2755"/>
        <v>AZRAD UMAR BIN SHAARI</v>
      </c>
      <c r="V6780" t="str">
        <f t="shared" si="2756"/>
        <v>FARHANA BINTI MUSTAPA</v>
      </c>
      <c r="W6780" t="str">
        <f t="shared" si="2757"/>
        <v>04-08-2020</v>
      </c>
      <c r="X6780" t="str">
        <f t="shared" si="2758"/>
        <v>RAZIMAH ANSAR AHMAD</v>
      </c>
      <c r="Y6780" t="str">
        <f t="shared" si="2759"/>
        <v>04-08-2020</v>
      </c>
      <c r="Z6780" t="str">
        <f>"COS10200804 2374"</f>
        <v>COS10200804 2374</v>
      </c>
    </row>
    <row r="6781" spans="1:26" x14ac:dyDescent="0.25">
      <c r="A6781" t="str">
        <f t="shared" si="2765"/>
        <v>04-08-2020 12:37:08</v>
      </c>
      <c r="B6781" t="str">
        <f>"0000804133"</f>
        <v>0000804133</v>
      </c>
      <c r="C6781" t="str">
        <f t="shared" si="2766"/>
        <v>0000803960</v>
      </c>
      <c r="D6781" t="str">
        <f t="shared" si="2747"/>
        <v>73185</v>
      </c>
      <c r="E6781" t="str">
        <f t="shared" si="2748"/>
        <v>KFH-OPERATIONS DEPARTMENT</v>
      </c>
      <c r="F6781" t="str">
        <f t="shared" si="2749"/>
        <v>IBG</v>
      </c>
      <c r="G6781" t="str">
        <f t="shared" si="2760"/>
        <v>Refund COSHARE 10</v>
      </c>
      <c r="H6781" s="2">
        <v>1679</v>
      </c>
      <c r="I6781" t="str">
        <f>"CHRISTINE ASIUSIN"</f>
        <v>CHRISTINE ASIUSIN</v>
      </c>
      <c r="J6781" t="str">
        <f t="shared" si="2771"/>
        <v>CIMB BANK / CIMB ISLAMIC BANK</v>
      </c>
      <c r="K6781" t="str">
        <f>"7039475883"</f>
        <v>7039475883</v>
      </c>
      <c r="L6781" t="str">
        <f t="shared" si="2769"/>
        <v>04-08-2020</v>
      </c>
      <c r="M6781" t="str">
        <f t="shared" si="2769"/>
        <v>04-08-2020</v>
      </c>
      <c r="N6781" t="str">
        <f t="shared" si="2751"/>
        <v>001105018356</v>
      </c>
      <c r="O6781" t="str">
        <f t="shared" si="2752"/>
        <v>MYR</v>
      </c>
      <c r="P6781" t="str">
        <f t="shared" si="2770"/>
        <v>NIL</v>
      </c>
      <c r="Q6781" t="str">
        <f t="shared" si="2770"/>
        <v>NIL</v>
      </c>
      <c r="R6781" t="str">
        <f t="shared" si="2767"/>
        <v>Accepted</v>
      </c>
      <c r="S6781" t="str">
        <f t="shared" si="2754"/>
        <v>Approved</v>
      </c>
      <c r="T6781" t="str">
        <f t="shared" si="2768"/>
        <v>10.20.8.188</v>
      </c>
      <c r="U6781" t="str">
        <f t="shared" si="2755"/>
        <v>AZRAD UMAR BIN SHAARI</v>
      </c>
      <c r="V6781" t="str">
        <f t="shared" si="2756"/>
        <v>FARHANA BINTI MUSTAPA</v>
      </c>
      <c r="W6781" t="str">
        <f t="shared" si="2757"/>
        <v>04-08-2020</v>
      </c>
      <c r="X6781" t="str">
        <f t="shared" si="2758"/>
        <v>RAZIMAH ANSAR AHMAD</v>
      </c>
      <c r="Y6781" t="str">
        <f t="shared" si="2759"/>
        <v>04-08-2020</v>
      </c>
      <c r="Z6781" t="str">
        <f>"COS10200804 2373"</f>
        <v>COS10200804 2373</v>
      </c>
    </row>
    <row r="6782" spans="1:26" x14ac:dyDescent="0.25">
      <c r="A6782" t="str">
        <f t="shared" si="2765"/>
        <v>04-08-2020 12:37:08</v>
      </c>
      <c r="B6782" t="str">
        <f>"0000804132"</f>
        <v>0000804132</v>
      </c>
      <c r="C6782" t="str">
        <f t="shared" si="2766"/>
        <v>0000803960</v>
      </c>
      <c r="D6782" t="str">
        <f t="shared" si="2747"/>
        <v>73185</v>
      </c>
      <c r="E6782" t="str">
        <f t="shared" si="2748"/>
        <v>KFH-OPERATIONS DEPARTMENT</v>
      </c>
      <c r="F6782" t="str">
        <f t="shared" si="2749"/>
        <v>IBG</v>
      </c>
      <c r="G6782" t="str">
        <f t="shared" si="2760"/>
        <v>Refund COSHARE 10</v>
      </c>
      <c r="H6782" s="2">
        <v>671.6</v>
      </c>
      <c r="I6782" t="str">
        <f>"CHRISTINA GALONG ANAK GRIFFIN"</f>
        <v>CHRISTINA GALONG ANAK GRIFFIN</v>
      </c>
      <c r="J6782" t="str">
        <f t="shared" si="2771"/>
        <v>CIMB BANK / CIMB ISLAMIC BANK</v>
      </c>
      <c r="K6782" t="str">
        <f>"7034660106"</f>
        <v>7034660106</v>
      </c>
      <c r="L6782" t="str">
        <f t="shared" si="2769"/>
        <v>04-08-2020</v>
      </c>
      <c r="M6782" t="str">
        <f t="shared" si="2769"/>
        <v>04-08-2020</v>
      </c>
      <c r="N6782" t="str">
        <f t="shared" si="2751"/>
        <v>001105018356</v>
      </c>
      <c r="O6782" t="str">
        <f t="shared" si="2752"/>
        <v>MYR</v>
      </c>
      <c r="P6782" t="str">
        <f t="shared" si="2770"/>
        <v>NIL</v>
      </c>
      <c r="Q6782" t="str">
        <f t="shared" si="2770"/>
        <v>NIL</v>
      </c>
      <c r="R6782" t="str">
        <f t="shared" si="2767"/>
        <v>Accepted</v>
      </c>
      <c r="S6782" t="str">
        <f t="shared" si="2754"/>
        <v>Approved</v>
      </c>
      <c r="T6782" t="str">
        <f t="shared" si="2768"/>
        <v>10.20.8.188</v>
      </c>
      <c r="U6782" t="str">
        <f t="shared" si="2755"/>
        <v>AZRAD UMAR BIN SHAARI</v>
      </c>
      <c r="V6782" t="str">
        <f t="shared" si="2756"/>
        <v>FARHANA BINTI MUSTAPA</v>
      </c>
      <c r="W6782" t="str">
        <f t="shared" si="2757"/>
        <v>04-08-2020</v>
      </c>
      <c r="X6782" t="str">
        <f t="shared" si="2758"/>
        <v>RAZIMAH ANSAR AHMAD</v>
      </c>
      <c r="Y6782" t="str">
        <f t="shared" si="2759"/>
        <v>04-08-2020</v>
      </c>
      <c r="Z6782" t="str">
        <f>"COS10200804 2372"</f>
        <v>COS10200804 2372</v>
      </c>
    </row>
    <row r="6783" spans="1:26" x14ac:dyDescent="0.25">
      <c r="A6783" t="str">
        <f t="shared" si="2765"/>
        <v>04-08-2020 12:37:08</v>
      </c>
      <c r="B6783" t="str">
        <f>"0000804131"</f>
        <v>0000804131</v>
      </c>
      <c r="C6783" t="str">
        <f t="shared" si="2766"/>
        <v>0000803960</v>
      </c>
      <c r="D6783" t="str">
        <f t="shared" si="2747"/>
        <v>73185</v>
      </c>
      <c r="E6783" t="str">
        <f t="shared" si="2748"/>
        <v>KFH-OPERATIONS DEPARTMENT</v>
      </c>
      <c r="F6783" t="str">
        <f t="shared" si="2749"/>
        <v>IBG</v>
      </c>
      <c r="G6783" t="str">
        <f t="shared" si="2760"/>
        <v>Refund COSHARE 10</v>
      </c>
      <c r="H6783" s="2">
        <v>75</v>
      </c>
      <c r="I6783" t="str">
        <f>"CHRISTINA AP GANASEGEREN"</f>
        <v>CHRISTINA AP GANASEGEREN</v>
      </c>
      <c r="J6783" t="str">
        <f t="shared" si="2771"/>
        <v>CIMB BANK / CIMB ISLAMIC BANK</v>
      </c>
      <c r="K6783" t="str">
        <f>"12420065542528"</f>
        <v>12420065542528</v>
      </c>
      <c r="L6783" t="str">
        <f t="shared" si="2769"/>
        <v>04-08-2020</v>
      </c>
      <c r="M6783" t="str">
        <f t="shared" si="2769"/>
        <v>04-08-2020</v>
      </c>
      <c r="N6783" t="str">
        <f t="shared" si="2751"/>
        <v>001105018356</v>
      </c>
      <c r="O6783" t="str">
        <f t="shared" si="2752"/>
        <v>MYR</v>
      </c>
      <c r="P6783" t="str">
        <f t="shared" si="2770"/>
        <v>NIL</v>
      </c>
      <c r="Q6783" t="str">
        <f t="shared" si="2770"/>
        <v>NIL</v>
      </c>
      <c r="R6783" t="str">
        <f t="shared" si="2767"/>
        <v>Accepted</v>
      </c>
      <c r="S6783" t="str">
        <f t="shared" si="2754"/>
        <v>Approved</v>
      </c>
      <c r="T6783" t="str">
        <f t="shared" si="2768"/>
        <v>10.20.8.188</v>
      </c>
      <c r="U6783" t="str">
        <f t="shared" si="2755"/>
        <v>AZRAD UMAR BIN SHAARI</v>
      </c>
      <c r="V6783" t="str">
        <f t="shared" si="2756"/>
        <v>FARHANA BINTI MUSTAPA</v>
      </c>
      <c r="W6783" t="str">
        <f t="shared" si="2757"/>
        <v>04-08-2020</v>
      </c>
      <c r="X6783" t="str">
        <f t="shared" si="2758"/>
        <v>RAZIMAH ANSAR AHMAD</v>
      </c>
      <c r="Y6783" t="str">
        <f t="shared" si="2759"/>
        <v>04-08-2020</v>
      </c>
      <c r="Z6783" t="str">
        <f>"COS10200804 2371"</f>
        <v>COS10200804 2371</v>
      </c>
    </row>
    <row r="6784" spans="1:26" x14ac:dyDescent="0.25">
      <c r="A6784" t="str">
        <f t="shared" si="2765"/>
        <v>04-08-2020 12:37:08</v>
      </c>
      <c r="B6784" t="str">
        <f>"0000804130"</f>
        <v>0000804130</v>
      </c>
      <c r="C6784" t="str">
        <f t="shared" si="2766"/>
        <v>0000803960</v>
      </c>
      <c r="D6784" t="str">
        <f t="shared" si="2747"/>
        <v>73185</v>
      </c>
      <c r="E6784" t="str">
        <f t="shared" si="2748"/>
        <v>KFH-OPERATIONS DEPARTMENT</v>
      </c>
      <c r="F6784" t="str">
        <f t="shared" si="2749"/>
        <v>IBG</v>
      </c>
      <c r="G6784" t="str">
        <f t="shared" si="2760"/>
        <v>Refund COSHARE 10</v>
      </c>
      <c r="H6784" s="2">
        <v>545.70000000000005</v>
      </c>
      <c r="I6784" t="str">
        <f>"CHRISENTIA BASIL"</f>
        <v>CHRISENTIA BASIL</v>
      </c>
      <c r="J6784" t="str">
        <f t="shared" si="2771"/>
        <v>CIMB BANK / CIMB ISLAMIC BANK</v>
      </c>
      <c r="K6784" t="str">
        <f>"7037970516"</f>
        <v>7037970516</v>
      </c>
      <c r="L6784" t="str">
        <f t="shared" si="2769"/>
        <v>04-08-2020</v>
      </c>
      <c r="M6784" t="str">
        <f t="shared" si="2769"/>
        <v>04-08-2020</v>
      </c>
      <c r="N6784" t="str">
        <f t="shared" si="2751"/>
        <v>001105018356</v>
      </c>
      <c r="O6784" t="str">
        <f t="shared" si="2752"/>
        <v>MYR</v>
      </c>
      <c r="P6784" t="str">
        <f t="shared" si="2770"/>
        <v>NIL</v>
      </c>
      <c r="Q6784" t="str">
        <f t="shared" si="2770"/>
        <v>NIL</v>
      </c>
      <c r="R6784" t="str">
        <f t="shared" si="2767"/>
        <v>Accepted</v>
      </c>
      <c r="S6784" t="str">
        <f t="shared" si="2754"/>
        <v>Approved</v>
      </c>
      <c r="T6784" t="str">
        <f t="shared" si="2768"/>
        <v>10.20.8.188</v>
      </c>
      <c r="U6784" t="str">
        <f t="shared" si="2755"/>
        <v>AZRAD UMAR BIN SHAARI</v>
      </c>
      <c r="V6784" t="str">
        <f t="shared" si="2756"/>
        <v>FARHANA BINTI MUSTAPA</v>
      </c>
      <c r="W6784" t="str">
        <f t="shared" si="2757"/>
        <v>04-08-2020</v>
      </c>
      <c r="X6784" t="str">
        <f t="shared" si="2758"/>
        <v>RAZIMAH ANSAR AHMAD</v>
      </c>
      <c r="Y6784" t="str">
        <f t="shared" si="2759"/>
        <v>04-08-2020</v>
      </c>
      <c r="Z6784" t="str">
        <f>"COS10200804 2370"</f>
        <v>COS10200804 2370</v>
      </c>
    </row>
    <row r="6785" spans="1:26" x14ac:dyDescent="0.25">
      <c r="A6785" t="str">
        <f t="shared" si="2765"/>
        <v>04-08-2020 12:37:08</v>
      </c>
      <c r="B6785" t="str">
        <f>"0000804129"</f>
        <v>0000804129</v>
      </c>
      <c r="C6785" t="str">
        <f t="shared" si="2766"/>
        <v>0000803960</v>
      </c>
      <c r="D6785" t="str">
        <f t="shared" si="2747"/>
        <v>73185</v>
      </c>
      <c r="E6785" t="str">
        <f t="shared" si="2748"/>
        <v>KFH-OPERATIONS DEPARTMENT</v>
      </c>
      <c r="F6785" t="str">
        <f t="shared" si="2749"/>
        <v>IBG</v>
      </c>
      <c r="G6785" t="str">
        <f t="shared" si="2760"/>
        <v>Refund COSHARE 10</v>
      </c>
      <c r="H6785" s="2">
        <v>755.55</v>
      </c>
      <c r="I6785" t="str">
        <f>"CHIN YUN HUA"</f>
        <v>CHIN YUN HUA</v>
      </c>
      <c r="J6785" t="str">
        <f t="shared" si="2771"/>
        <v>CIMB BANK / CIMB ISLAMIC BANK</v>
      </c>
      <c r="K6785" t="str">
        <f>"11015014878528"</f>
        <v>11015014878528</v>
      </c>
      <c r="L6785" t="str">
        <f t="shared" si="2769"/>
        <v>04-08-2020</v>
      </c>
      <c r="M6785" t="str">
        <f t="shared" si="2769"/>
        <v>04-08-2020</v>
      </c>
      <c r="N6785" t="str">
        <f t="shared" si="2751"/>
        <v>001105018356</v>
      </c>
      <c r="O6785" t="str">
        <f t="shared" si="2752"/>
        <v>MYR</v>
      </c>
      <c r="P6785" t="str">
        <f t="shared" si="2770"/>
        <v>NIL</v>
      </c>
      <c r="Q6785" t="str">
        <f t="shared" si="2770"/>
        <v>NIL</v>
      </c>
      <c r="R6785" t="str">
        <f t="shared" si="2767"/>
        <v>Accepted</v>
      </c>
      <c r="S6785" t="str">
        <f t="shared" si="2754"/>
        <v>Approved</v>
      </c>
      <c r="T6785" t="str">
        <f t="shared" si="2768"/>
        <v>10.20.8.188</v>
      </c>
      <c r="U6785" t="str">
        <f t="shared" si="2755"/>
        <v>AZRAD UMAR BIN SHAARI</v>
      </c>
      <c r="V6785" t="str">
        <f t="shared" si="2756"/>
        <v>FARHANA BINTI MUSTAPA</v>
      </c>
      <c r="W6785" t="str">
        <f t="shared" si="2757"/>
        <v>04-08-2020</v>
      </c>
      <c r="X6785" t="str">
        <f t="shared" si="2758"/>
        <v>RAZIMAH ANSAR AHMAD</v>
      </c>
      <c r="Y6785" t="str">
        <f t="shared" si="2759"/>
        <v>04-08-2020</v>
      </c>
      <c r="Z6785" t="str">
        <f>"COS10200804 2369"</f>
        <v>COS10200804 2369</v>
      </c>
    </row>
    <row r="6786" spans="1:26" x14ac:dyDescent="0.25">
      <c r="A6786" t="str">
        <f t="shared" ref="A6786:A6817" si="2772">"04-08-2020 12:37:08"</f>
        <v>04-08-2020 12:37:08</v>
      </c>
      <c r="B6786" t="str">
        <f>"0000804128"</f>
        <v>0000804128</v>
      </c>
      <c r="C6786" t="str">
        <f t="shared" ref="C6786:C6817" si="2773">"0000803960"</f>
        <v>0000803960</v>
      </c>
      <c r="D6786" t="str">
        <f t="shared" si="2747"/>
        <v>73185</v>
      </c>
      <c r="E6786" t="str">
        <f t="shared" si="2748"/>
        <v>KFH-OPERATIONS DEPARTMENT</v>
      </c>
      <c r="F6786" t="str">
        <f t="shared" si="2749"/>
        <v>IBG</v>
      </c>
      <c r="G6786" t="str">
        <f t="shared" si="2760"/>
        <v>Refund COSHARE 10</v>
      </c>
      <c r="H6786" s="2">
        <v>862</v>
      </c>
      <c r="I6786" t="str">
        <f>"CHE RAHANI BINTI CHE WIL"</f>
        <v>CHE RAHANI BINTI CHE WIL</v>
      </c>
      <c r="J6786" t="str">
        <f t="shared" si="2771"/>
        <v>CIMB BANK / CIMB ISLAMIC BANK</v>
      </c>
      <c r="K6786" t="str">
        <f>"14230017919525"</f>
        <v>14230017919525</v>
      </c>
      <c r="L6786" t="str">
        <f t="shared" si="2769"/>
        <v>04-08-2020</v>
      </c>
      <c r="M6786" t="str">
        <f t="shared" si="2769"/>
        <v>04-08-2020</v>
      </c>
      <c r="N6786" t="str">
        <f t="shared" si="2751"/>
        <v>001105018356</v>
      </c>
      <c r="O6786" t="str">
        <f t="shared" si="2752"/>
        <v>MYR</v>
      </c>
      <c r="P6786" t="str">
        <f t="shared" si="2770"/>
        <v>NIL</v>
      </c>
      <c r="Q6786" t="str">
        <f t="shared" si="2770"/>
        <v>NIL</v>
      </c>
      <c r="R6786" t="str">
        <f t="shared" si="2767"/>
        <v>Accepted</v>
      </c>
      <c r="S6786" t="str">
        <f t="shared" si="2754"/>
        <v>Approved</v>
      </c>
      <c r="T6786" t="str">
        <f t="shared" si="2768"/>
        <v>10.20.8.188</v>
      </c>
      <c r="U6786" t="str">
        <f t="shared" si="2755"/>
        <v>AZRAD UMAR BIN SHAARI</v>
      </c>
      <c r="V6786" t="str">
        <f t="shared" si="2756"/>
        <v>FARHANA BINTI MUSTAPA</v>
      </c>
      <c r="W6786" t="str">
        <f t="shared" si="2757"/>
        <v>04-08-2020</v>
      </c>
      <c r="X6786" t="str">
        <f t="shared" si="2758"/>
        <v>RAZIMAH ANSAR AHMAD</v>
      </c>
      <c r="Y6786" t="str">
        <f t="shared" si="2759"/>
        <v>04-08-2020</v>
      </c>
      <c r="Z6786" t="str">
        <f>"COS10200804 2368"</f>
        <v>COS10200804 2368</v>
      </c>
    </row>
    <row r="6787" spans="1:26" x14ac:dyDescent="0.25">
      <c r="A6787" t="str">
        <f t="shared" si="2772"/>
        <v>04-08-2020 12:37:08</v>
      </c>
      <c r="B6787" t="str">
        <f>"0000804127"</f>
        <v>0000804127</v>
      </c>
      <c r="C6787" t="str">
        <f t="shared" si="2773"/>
        <v>0000803960</v>
      </c>
      <c r="D6787" t="str">
        <f t="shared" si="2747"/>
        <v>73185</v>
      </c>
      <c r="E6787" t="str">
        <f t="shared" si="2748"/>
        <v>KFH-OPERATIONS DEPARTMENT</v>
      </c>
      <c r="F6787" t="str">
        <f t="shared" si="2749"/>
        <v>IBG</v>
      </c>
      <c r="G6787" t="str">
        <f t="shared" si="2760"/>
        <v>Refund COSHARE 10</v>
      </c>
      <c r="H6787" s="2">
        <v>68.400000000000006</v>
      </c>
      <c r="I6787" t="str">
        <f>"CHE NORAI BINTI ABD RAHMAN"</f>
        <v>CHE NORAI BINTI ABD RAHMAN</v>
      </c>
      <c r="J6787" t="str">
        <f t="shared" si="2771"/>
        <v>CIMB BANK / CIMB ISLAMIC BANK</v>
      </c>
      <c r="K6787" t="str">
        <f>"03030005151525"</f>
        <v>03030005151525</v>
      </c>
      <c r="L6787" t="str">
        <f t="shared" ref="L6787:M6806" si="2774">"04-08-2020"</f>
        <v>04-08-2020</v>
      </c>
      <c r="M6787" t="str">
        <f t="shared" si="2774"/>
        <v>04-08-2020</v>
      </c>
      <c r="N6787" t="str">
        <f t="shared" si="2751"/>
        <v>001105018356</v>
      </c>
      <c r="O6787" t="str">
        <f t="shared" si="2752"/>
        <v>MYR</v>
      </c>
      <c r="P6787" t="str">
        <f t="shared" ref="P6787:Q6806" si="2775">"NIL"</f>
        <v>NIL</v>
      </c>
      <c r="Q6787" t="str">
        <f t="shared" si="2775"/>
        <v>NIL</v>
      </c>
      <c r="R6787" t="str">
        <f t="shared" si="2767"/>
        <v>Accepted</v>
      </c>
      <c r="S6787" t="str">
        <f t="shared" si="2754"/>
        <v>Approved</v>
      </c>
      <c r="T6787" t="str">
        <f t="shared" si="2768"/>
        <v>10.20.8.188</v>
      </c>
      <c r="U6787" t="str">
        <f t="shared" si="2755"/>
        <v>AZRAD UMAR BIN SHAARI</v>
      </c>
      <c r="V6787" t="str">
        <f t="shared" si="2756"/>
        <v>FARHANA BINTI MUSTAPA</v>
      </c>
      <c r="W6787" t="str">
        <f t="shared" si="2757"/>
        <v>04-08-2020</v>
      </c>
      <c r="X6787" t="str">
        <f t="shared" si="2758"/>
        <v>RAZIMAH ANSAR AHMAD</v>
      </c>
      <c r="Y6787" t="str">
        <f t="shared" si="2759"/>
        <v>04-08-2020</v>
      </c>
      <c r="Z6787" t="str">
        <f>"COS10200804 2367"</f>
        <v>COS10200804 2367</v>
      </c>
    </row>
    <row r="6788" spans="1:26" x14ac:dyDescent="0.25">
      <c r="A6788" t="str">
        <f t="shared" si="2772"/>
        <v>04-08-2020 12:37:08</v>
      </c>
      <c r="B6788" t="str">
        <f>"0000804126"</f>
        <v>0000804126</v>
      </c>
      <c r="C6788" t="str">
        <f t="shared" si="2773"/>
        <v>0000803960</v>
      </c>
      <c r="D6788" t="str">
        <f t="shared" si="2747"/>
        <v>73185</v>
      </c>
      <c r="E6788" t="str">
        <f t="shared" si="2748"/>
        <v>KFH-OPERATIONS DEPARTMENT</v>
      </c>
      <c r="F6788" t="str">
        <f t="shared" si="2749"/>
        <v>IBG</v>
      </c>
      <c r="G6788" t="str">
        <f t="shared" si="2760"/>
        <v>Refund COSHARE 10</v>
      </c>
      <c r="H6788" s="2">
        <v>532</v>
      </c>
      <c r="I6788" t="str">
        <f>"CHE FATIMAH BINTI MAT KHIR"</f>
        <v>CHE FATIMAH BINTI MAT KHIR</v>
      </c>
      <c r="J6788" t="str">
        <f t="shared" si="2771"/>
        <v>CIMB BANK / CIMB ISLAMIC BANK</v>
      </c>
      <c r="K6788" t="str">
        <f>"12180075628528"</f>
        <v>12180075628528</v>
      </c>
      <c r="L6788" t="str">
        <f t="shared" si="2774"/>
        <v>04-08-2020</v>
      </c>
      <c r="M6788" t="str">
        <f t="shared" si="2774"/>
        <v>04-08-2020</v>
      </c>
      <c r="N6788" t="str">
        <f t="shared" si="2751"/>
        <v>001105018356</v>
      </c>
      <c r="O6788" t="str">
        <f t="shared" si="2752"/>
        <v>MYR</v>
      </c>
      <c r="P6788" t="str">
        <f t="shared" si="2775"/>
        <v>NIL</v>
      </c>
      <c r="Q6788" t="str">
        <f t="shared" si="2775"/>
        <v>NIL</v>
      </c>
      <c r="R6788" t="str">
        <f t="shared" si="2767"/>
        <v>Accepted</v>
      </c>
      <c r="S6788" t="str">
        <f t="shared" si="2754"/>
        <v>Approved</v>
      </c>
      <c r="T6788" t="str">
        <f t="shared" si="2768"/>
        <v>10.20.8.188</v>
      </c>
      <c r="U6788" t="str">
        <f t="shared" si="2755"/>
        <v>AZRAD UMAR BIN SHAARI</v>
      </c>
      <c r="V6788" t="str">
        <f t="shared" si="2756"/>
        <v>FARHANA BINTI MUSTAPA</v>
      </c>
      <c r="W6788" t="str">
        <f t="shared" si="2757"/>
        <v>04-08-2020</v>
      </c>
      <c r="X6788" t="str">
        <f t="shared" si="2758"/>
        <v>RAZIMAH ANSAR AHMAD</v>
      </c>
      <c r="Y6788" t="str">
        <f t="shared" si="2759"/>
        <v>04-08-2020</v>
      </c>
      <c r="Z6788" t="str">
        <f>"COS10200804 2366"</f>
        <v>COS10200804 2366</v>
      </c>
    </row>
    <row r="6789" spans="1:26" x14ac:dyDescent="0.25">
      <c r="A6789" t="str">
        <f t="shared" si="2772"/>
        <v>04-08-2020 12:37:08</v>
      </c>
      <c r="B6789" t="str">
        <f>"0000804125"</f>
        <v>0000804125</v>
      </c>
      <c r="C6789" t="str">
        <f t="shared" si="2773"/>
        <v>0000803960</v>
      </c>
      <c r="D6789" t="str">
        <f t="shared" si="2747"/>
        <v>73185</v>
      </c>
      <c r="E6789" t="str">
        <f t="shared" si="2748"/>
        <v>KFH-OPERATIONS DEPARTMENT</v>
      </c>
      <c r="F6789" t="str">
        <f t="shared" si="2749"/>
        <v>IBG</v>
      </c>
      <c r="G6789" t="str">
        <f t="shared" si="2760"/>
        <v>Refund COSHARE 10</v>
      </c>
      <c r="H6789" s="2">
        <v>621.25</v>
      </c>
      <c r="I6789" t="str">
        <f>"CHE ABDULLAH ZAWAWI BIN MOHD DAUD"</f>
        <v>CHE ABDULLAH ZAWAWI BIN MOHD DAUD</v>
      </c>
      <c r="J6789" t="str">
        <f t="shared" si="2771"/>
        <v>CIMB BANK / CIMB ISLAMIC BANK</v>
      </c>
      <c r="K6789" t="str">
        <f>"03060027149528"</f>
        <v>03060027149528</v>
      </c>
      <c r="L6789" t="str">
        <f t="shared" si="2774"/>
        <v>04-08-2020</v>
      </c>
      <c r="M6789" t="str">
        <f t="shared" si="2774"/>
        <v>04-08-2020</v>
      </c>
      <c r="N6789" t="str">
        <f t="shared" si="2751"/>
        <v>001105018356</v>
      </c>
      <c r="O6789" t="str">
        <f t="shared" si="2752"/>
        <v>MYR</v>
      </c>
      <c r="P6789" t="str">
        <f t="shared" si="2775"/>
        <v>NIL</v>
      </c>
      <c r="Q6789" t="str">
        <f t="shared" si="2775"/>
        <v>NIL</v>
      </c>
      <c r="R6789" t="str">
        <f t="shared" si="2767"/>
        <v>Accepted</v>
      </c>
      <c r="S6789" t="str">
        <f t="shared" si="2754"/>
        <v>Approved</v>
      </c>
      <c r="T6789" t="str">
        <f t="shared" si="2768"/>
        <v>10.20.8.188</v>
      </c>
      <c r="U6789" t="str">
        <f t="shared" si="2755"/>
        <v>AZRAD UMAR BIN SHAARI</v>
      </c>
      <c r="V6789" t="str">
        <f t="shared" si="2756"/>
        <v>FARHANA BINTI MUSTAPA</v>
      </c>
      <c r="W6789" t="str">
        <f t="shared" si="2757"/>
        <v>04-08-2020</v>
      </c>
      <c r="X6789" t="str">
        <f t="shared" si="2758"/>
        <v>RAZIMAH ANSAR AHMAD</v>
      </c>
      <c r="Y6789" t="str">
        <f t="shared" si="2759"/>
        <v>04-08-2020</v>
      </c>
      <c r="Z6789" t="str">
        <f>"COS10200804 2365"</f>
        <v>COS10200804 2365</v>
      </c>
    </row>
    <row r="6790" spans="1:26" x14ac:dyDescent="0.25">
      <c r="A6790" t="str">
        <f t="shared" si="2772"/>
        <v>04-08-2020 12:37:08</v>
      </c>
      <c r="B6790" t="str">
        <f>"0000804124"</f>
        <v>0000804124</v>
      </c>
      <c r="C6790" t="str">
        <f t="shared" si="2773"/>
        <v>0000803960</v>
      </c>
      <c r="D6790" t="str">
        <f t="shared" si="2747"/>
        <v>73185</v>
      </c>
      <c r="E6790" t="str">
        <f t="shared" si="2748"/>
        <v>KFH-OPERATIONS DEPARTMENT</v>
      </c>
      <c r="F6790" t="str">
        <f t="shared" si="2749"/>
        <v>IBG</v>
      </c>
      <c r="G6790" t="str">
        <f t="shared" si="2760"/>
        <v>Refund COSHARE 10</v>
      </c>
      <c r="H6790" s="2">
        <v>503.7</v>
      </c>
      <c r="I6790" t="str">
        <f>"CHARLES DODDY JOILIN"</f>
        <v>CHARLES DODDY JOILIN</v>
      </c>
      <c r="J6790" t="str">
        <f t="shared" si="2771"/>
        <v>CIMB BANK / CIMB ISLAMIC BANK</v>
      </c>
      <c r="K6790" t="str">
        <f>"10020063989523"</f>
        <v>10020063989523</v>
      </c>
      <c r="L6790" t="str">
        <f t="shared" si="2774"/>
        <v>04-08-2020</v>
      </c>
      <c r="M6790" t="str">
        <f t="shared" si="2774"/>
        <v>04-08-2020</v>
      </c>
      <c r="N6790" t="str">
        <f t="shared" si="2751"/>
        <v>001105018356</v>
      </c>
      <c r="O6790" t="str">
        <f t="shared" si="2752"/>
        <v>MYR</v>
      </c>
      <c r="P6790" t="str">
        <f t="shared" si="2775"/>
        <v>NIL</v>
      </c>
      <c r="Q6790" t="str">
        <f t="shared" si="2775"/>
        <v>NIL</v>
      </c>
      <c r="R6790" t="str">
        <f t="shared" si="2767"/>
        <v>Accepted</v>
      </c>
      <c r="S6790" t="str">
        <f t="shared" si="2754"/>
        <v>Approved</v>
      </c>
      <c r="T6790" t="str">
        <f t="shared" si="2768"/>
        <v>10.20.8.188</v>
      </c>
      <c r="U6790" t="str">
        <f t="shared" si="2755"/>
        <v>AZRAD UMAR BIN SHAARI</v>
      </c>
      <c r="V6790" t="str">
        <f t="shared" si="2756"/>
        <v>FARHANA BINTI MUSTAPA</v>
      </c>
      <c r="W6790" t="str">
        <f t="shared" si="2757"/>
        <v>04-08-2020</v>
      </c>
      <c r="X6790" t="str">
        <f t="shared" si="2758"/>
        <v>RAZIMAH ANSAR AHMAD</v>
      </c>
      <c r="Y6790" t="str">
        <f t="shared" si="2759"/>
        <v>04-08-2020</v>
      </c>
      <c r="Z6790" t="str">
        <f>"COS10200804 2364"</f>
        <v>COS10200804 2364</v>
      </c>
    </row>
    <row r="6791" spans="1:26" x14ac:dyDescent="0.25">
      <c r="A6791" t="str">
        <f t="shared" si="2772"/>
        <v>04-08-2020 12:37:08</v>
      </c>
      <c r="B6791" t="str">
        <f>"0000804123"</f>
        <v>0000804123</v>
      </c>
      <c r="C6791" t="str">
        <f t="shared" si="2773"/>
        <v>0000803960</v>
      </c>
      <c r="D6791" t="str">
        <f t="shared" ref="D6791:D6854" si="2776">"73185"</f>
        <v>73185</v>
      </c>
      <c r="E6791" t="str">
        <f t="shared" ref="E6791:E6854" si="2777">"KFH-OPERATIONS DEPARTMENT"</f>
        <v>KFH-OPERATIONS DEPARTMENT</v>
      </c>
      <c r="F6791" t="str">
        <f t="shared" ref="F6791:F6854" si="2778">"IBG"</f>
        <v>IBG</v>
      </c>
      <c r="G6791" t="str">
        <f t="shared" si="2760"/>
        <v>Refund COSHARE 10</v>
      </c>
      <c r="H6791" s="2">
        <v>964</v>
      </c>
      <c r="I6791" t="str">
        <f>"CHARLENDIO  YEN YEN BINTI KUMIN  NOVET"</f>
        <v>CHARLENDIO  YEN YEN BINTI KUMIN  NOVET</v>
      </c>
      <c r="J6791" t="str">
        <f t="shared" si="2771"/>
        <v>CIMB BANK / CIMB ISLAMIC BANK</v>
      </c>
      <c r="K6791" t="str">
        <f>"7039279946"</f>
        <v>7039279946</v>
      </c>
      <c r="L6791" t="str">
        <f t="shared" si="2774"/>
        <v>04-08-2020</v>
      </c>
      <c r="M6791" t="str">
        <f t="shared" si="2774"/>
        <v>04-08-2020</v>
      </c>
      <c r="N6791" t="str">
        <f t="shared" ref="N6791:N6854" si="2779">"001105018356"</f>
        <v>001105018356</v>
      </c>
      <c r="O6791" t="str">
        <f t="shared" ref="O6791:O6854" si="2780">"MYR"</f>
        <v>MYR</v>
      </c>
      <c r="P6791" t="str">
        <f t="shared" si="2775"/>
        <v>NIL</v>
      </c>
      <c r="Q6791" t="str">
        <f t="shared" si="2775"/>
        <v>NIL</v>
      </c>
      <c r="R6791" t="str">
        <f t="shared" si="2767"/>
        <v>Accepted</v>
      </c>
      <c r="S6791" t="str">
        <f t="shared" ref="S6791:S6854" si="2781">"Approved"</f>
        <v>Approved</v>
      </c>
      <c r="T6791" t="str">
        <f t="shared" si="2768"/>
        <v>10.20.8.188</v>
      </c>
      <c r="U6791" t="str">
        <f t="shared" ref="U6791:U6854" si="2782">"AZRAD UMAR BIN SHAARI"</f>
        <v>AZRAD UMAR BIN SHAARI</v>
      </c>
      <c r="V6791" t="str">
        <f t="shared" ref="V6791:V6854" si="2783">"FARHANA BINTI MUSTAPA"</f>
        <v>FARHANA BINTI MUSTAPA</v>
      </c>
      <c r="W6791" t="str">
        <f t="shared" ref="W6791:W6854" si="2784">"04-08-2020"</f>
        <v>04-08-2020</v>
      </c>
      <c r="X6791" t="str">
        <f t="shared" ref="X6791:X6854" si="2785">"RAZIMAH ANSAR AHMAD"</f>
        <v>RAZIMAH ANSAR AHMAD</v>
      </c>
      <c r="Y6791" t="str">
        <f t="shared" ref="Y6791:Y6854" si="2786">"04-08-2020"</f>
        <v>04-08-2020</v>
      </c>
      <c r="Z6791" t="str">
        <f>"COS10200804 2363"</f>
        <v>COS10200804 2363</v>
      </c>
    </row>
    <row r="6792" spans="1:26" x14ac:dyDescent="0.25">
      <c r="A6792" t="str">
        <f t="shared" si="2772"/>
        <v>04-08-2020 12:37:08</v>
      </c>
      <c r="B6792" t="str">
        <f>"0000804122"</f>
        <v>0000804122</v>
      </c>
      <c r="C6792" t="str">
        <f t="shared" si="2773"/>
        <v>0000803960</v>
      </c>
      <c r="D6792" t="str">
        <f t="shared" si="2776"/>
        <v>73185</v>
      </c>
      <c r="E6792" t="str">
        <f t="shared" si="2777"/>
        <v>KFH-OPERATIONS DEPARTMENT</v>
      </c>
      <c r="F6792" t="str">
        <f t="shared" si="2778"/>
        <v>IBG</v>
      </c>
      <c r="G6792" t="str">
        <f t="shared" si="2760"/>
        <v>Refund COSHARE 10</v>
      </c>
      <c r="H6792" s="2">
        <v>893.6</v>
      </c>
      <c r="I6792" t="str">
        <f>"CHANG KUEK NGIAN"</f>
        <v>CHANG KUEK NGIAN</v>
      </c>
      <c r="J6792" t="str">
        <f t="shared" si="2771"/>
        <v>CIMB BANK / CIMB ISLAMIC BANK</v>
      </c>
      <c r="K6792" t="str">
        <f>"11170000021208"</f>
        <v>11170000021208</v>
      </c>
      <c r="L6792" t="str">
        <f t="shared" si="2774"/>
        <v>04-08-2020</v>
      </c>
      <c r="M6792" t="str">
        <f t="shared" si="2774"/>
        <v>04-08-2020</v>
      </c>
      <c r="N6792" t="str">
        <f t="shared" si="2779"/>
        <v>001105018356</v>
      </c>
      <c r="O6792" t="str">
        <f t="shared" si="2780"/>
        <v>MYR</v>
      </c>
      <c r="P6792" t="str">
        <f t="shared" si="2775"/>
        <v>NIL</v>
      </c>
      <c r="Q6792" t="str">
        <f t="shared" si="2775"/>
        <v>NIL</v>
      </c>
      <c r="R6792" t="str">
        <f t="shared" si="2767"/>
        <v>Accepted</v>
      </c>
      <c r="S6792" t="str">
        <f t="shared" si="2781"/>
        <v>Approved</v>
      </c>
      <c r="T6792" t="str">
        <f t="shared" si="2768"/>
        <v>10.20.8.188</v>
      </c>
      <c r="U6792" t="str">
        <f t="shared" si="2782"/>
        <v>AZRAD UMAR BIN SHAARI</v>
      </c>
      <c r="V6792" t="str">
        <f t="shared" si="2783"/>
        <v>FARHANA BINTI MUSTAPA</v>
      </c>
      <c r="W6792" t="str">
        <f t="shared" si="2784"/>
        <v>04-08-2020</v>
      </c>
      <c r="X6792" t="str">
        <f t="shared" si="2785"/>
        <v>RAZIMAH ANSAR AHMAD</v>
      </c>
      <c r="Y6792" t="str">
        <f t="shared" si="2786"/>
        <v>04-08-2020</v>
      </c>
      <c r="Z6792" t="str">
        <f>"COS10200804 2362"</f>
        <v>COS10200804 2362</v>
      </c>
    </row>
    <row r="6793" spans="1:26" x14ac:dyDescent="0.25">
      <c r="A6793" t="str">
        <f t="shared" si="2772"/>
        <v>04-08-2020 12:37:08</v>
      </c>
      <c r="B6793" t="str">
        <f>"0000804121"</f>
        <v>0000804121</v>
      </c>
      <c r="C6793" t="str">
        <f t="shared" si="2773"/>
        <v>0000803960</v>
      </c>
      <c r="D6793" t="str">
        <f t="shared" si="2776"/>
        <v>73185</v>
      </c>
      <c r="E6793" t="str">
        <f t="shared" si="2777"/>
        <v>KFH-OPERATIONS DEPARTMENT</v>
      </c>
      <c r="F6793" t="str">
        <f t="shared" si="2778"/>
        <v>IBG</v>
      </c>
      <c r="G6793" t="str">
        <f t="shared" si="2760"/>
        <v>Refund COSHARE 10</v>
      </c>
      <c r="H6793" s="2">
        <v>293.85000000000002</v>
      </c>
      <c r="I6793" t="str">
        <f>"CHAN KOK YOU"</f>
        <v>CHAN KOK YOU</v>
      </c>
      <c r="J6793" t="str">
        <f t="shared" si="2771"/>
        <v>CIMB BANK / CIMB ISLAMIC BANK</v>
      </c>
      <c r="K6793" t="str">
        <f>"11130013760521"</f>
        <v>11130013760521</v>
      </c>
      <c r="L6793" t="str">
        <f t="shared" si="2774"/>
        <v>04-08-2020</v>
      </c>
      <c r="M6793" t="str">
        <f t="shared" si="2774"/>
        <v>04-08-2020</v>
      </c>
      <c r="N6793" t="str">
        <f t="shared" si="2779"/>
        <v>001105018356</v>
      </c>
      <c r="O6793" t="str">
        <f t="shared" si="2780"/>
        <v>MYR</v>
      </c>
      <c r="P6793" t="str">
        <f t="shared" si="2775"/>
        <v>NIL</v>
      </c>
      <c r="Q6793" t="str">
        <f t="shared" si="2775"/>
        <v>NIL</v>
      </c>
      <c r="R6793" t="str">
        <f t="shared" si="2767"/>
        <v>Accepted</v>
      </c>
      <c r="S6793" t="str">
        <f t="shared" si="2781"/>
        <v>Approved</v>
      </c>
      <c r="T6793" t="str">
        <f t="shared" si="2768"/>
        <v>10.20.8.188</v>
      </c>
      <c r="U6793" t="str">
        <f t="shared" si="2782"/>
        <v>AZRAD UMAR BIN SHAARI</v>
      </c>
      <c r="V6793" t="str">
        <f t="shared" si="2783"/>
        <v>FARHANA BINTI MUSTAPA</v>
      </c>
      <c r="W6793" t="str">
        <f t="shared" si="2784"/>
        <v>04-08-2020</v>
      </c>
      <c r="X6793" t="str">
        <f t="shared" si="2785"/>
        <v>RAZIMAH ANSAR AHMAD</v>
      </c>
      <c r="Y6793" t="str">
        <f t="shared" si="2786"/>
        <v>04-08-2020</v>
      </c>
      <c r="Z6793" t="str">
        <f>"COS10200804 2361"</f>
        <v>COS10200804 2361</v>
      </c>
    </row>
    <row r="6794" spans="1:26" x14ac:dyDescent="0.25">
      <c r="A6794" t="str">
        <f t="shared" si="2772"/>
        <v>04-08-2020 12:37:08</v>
      </c>
      <c r="B6794" t="str">
        <f>"0000804120"</f>
        <v>0000804120</v>
      </c>
      <c r="C6794" t="str">
        <f t="shared" si="2773"/>
        <v>0000803960</v>
      </c>
      <c r="D6794" t="str">
        <f t="shared" si="2776"/>
        <v>73185</v>
      </c>
      <c r="E6794" t="str">
        <f t="shared" si="2777"/>
        <v>KFH-OPERATIONS DEPARTMENT</v>
      </c>
      <c r="F6794" t="str">
        <f t="shared" si="2778"/>
        <v>IBG</v>
      </c>
      <c r="G6794" t="str">
        <f t="shared" si="2760"/>
        <v>Refund COSHARE 10</v>
      </c>
      <c r="H6794" s="2">
        <v>186.3</v>
      </c>
      <c r="I6794" t="str">
        <f>"BUSMAN BIN BORAHIMA"</f>
        <v>BUSMAN BIN BORAHIMA</v>
      </c>
      <c r="J6794" t="str">
        <f t="shared" si="2771"/>
        <v>CIMB BANK / CIMB ISLAMIC BANK</v>
      </c>
      <c r="K6794" t="str">
        <f>"10060034613523"</f>
        <v>10060034613523</v>
      </c>
      <c r="L6794" t="str">
        <f t="shared" si="2774"/>
        <v>04-08-2020</v>
      </c>
      <c r="M6794" t="str">
        <f t="shared" si="2774"/>
        <v>04-08-2020</v>
      </c>
      <c r="N6794" t="str">
        <f t="shared" si="2779"/>
        <v>001105018356</v>
      </c>
      <c r="O6794" t="str">
        <f t="shared" si="2780"/>
        <v>MYR</v>
      </c>
      <c r="P6794" t="str">
        <f t="shared" si="2775"/>
        <v>NIL</v>
      </c>
      <c r="Q6794" t="str">
        <f t="shared" si="2775"/>
        <v>NIL</v>
      </c>
      <c r="R6794" t="str">
        <f t="shared" si="2767"/>
        <v>Accepted</v>
      </c>
      <c r="S6794" t="str">
        <f t="shared" si="2781"/>
        <v>Approved</v>
      </c>
      <c r="T6794" t="str">
        <f t="shared" si="2768"/>
        <v>10.20.8.188</v>
      </c>
      <c r="U6794" t="str">
        <f t="shared" si="2782"/>
        <v>AZRAD UMAR BIN SHAARI</v>
      </c>
      <c r="V6794" t="str">
        <f t="shared" si="2783"/>
        <v>FARHANA BINTI MUSTAPA</v>
      </c>
      <c r="W6794" t="str">
        <f t="shared" si="2784"/>
        <v>04-08-2020</v>
      </c>
      <c r="X6794" t="str">
        <f t="shared" si="2785"/>
        <v>RAZIMAH ANSAR AHMAD</v>
      </c>
      <c r="Y6794" t="str">
        <f t="shared" si="2786"/>
        <v>04-08-2020</v>
      </c>
      <c r="Z6794" t="str">
        <f>"COS10200804 2360"</f>
        <v>COS10200804 2360</v>
      </c>
    </row>
    <row r="6795" spans="1:26" x14ac:dyDescent="0.25">
      <c r="A6795" t="str">
        <f t="shared" si="2772"/>
        <v>04-08-2020 12:37:08</v>
      </c>
      <c r="B6795" t="str">
        <f>"0000804119"</f>
        <v>0000804119</v>
      </c>
      <c r="C6795" t="str">
        <f t="shared" si="2773"/>
        <v>0000803960</v>
      </c>
      <c r="D6795" t="str">
        <f t="shared" si="2776"/>
        <v>73185</v>
      </c>
      <c r="E6795" t="str">
        <f t="shared" si="2777"/>
        <v>KFH-OPERATIONS DEPARTMENT</v>
      </c>
      <c r="F6795" t="str">
        <f t="shared" si="2778"/>
        <v>IBG</v>
      </c>
      <c r="G6795" t="str">
        <f t="shared" si="2760"/>
        <v>Refund COSHARE 10</v>
      </c>
      <c r="H6795" s="2">
        <v>1427.15</v>
      </c>
      <c r="I6795" t="str">
        <f>"BUNGATANG BINTI MOHD BEDU"</f>
        <v>BUNGATANG BINTI MOHD BEDU</v>
      </c>
      <c r="J6795" t="str">
        <f t="shared" si="2771"/>
        <v>CIMB BANK / CIMB ISLAMIC BANK</v>
      </c>
      <c r="K6795" t="str">
        <f>"7037957557"</f>
        <v>7037957557</v>
      </c>
      <c r="L6795" t="str">
        <f t="shared" si="2774"/>
        <v>04-08-2020</v>
      </c>
      <c r="M6795" t="str">
        <f t="shared" si="2774"/>
        <v>04-08-2020</v>
      </c>
      <c r="N6795" t="str">
        <f t="shared" si="2779"/>
        <v>001105018356</v>
      </c>
      <c r="O6795" t="str">
        <f t="shared" si="2780"/>
        <v>MYR</v>
      </c>
      <c r="P6795" t="str">
        <f t="shared" si="2775"/>
        <v>NIL</v>
      </c>
      <c r="Q6795" t="str">
        <f t="shared" si="2775"/>
        <v>NIL</v>
      </c>
      <c r="R6795" t="str">
        <f t="shared" si="2767"/>
        <v>Accepted</v>
      </c>
      <c r="S6795" t="str">
        <f t="shared" si="2781"/>
        <v>Approved</v>
      </c>
      <c r="T6795" t="str">
        <f t="shared" si="2768"/>
        <v>10.20.8.188</v>
      </c>
      <c r="U6795" t="str">
        <f t="shared" si="2782"/>
        <v>AZRAD UMAR BIN SHAARI</v>
      </c>
      <c r="V6795" t="str">
        <f t="shared" si="2783"/>
        <v>FARHANA BINTI MUSTAPA</v>
      </c>
      <c r="W6795" t="str">
        <f t="shared" si="2784"/>
        <v>04-08-2020</v>
      </c>
      <c r="X6795" t="str">
        <f t="shared" si="2785"/>
        <v>RAZIMAH ANSAR AHMAD</v>
      </c>
      <c r="Y6795" t="str">
        <f t="shared" si="2786"/>
        <v>04-08-2020</v>
      </c>
      <c r="Z6795" t="str">
        <f>"COS10200804 2359"</f>
        <v>COS10200804 2359</v>
      </c>
    </row>
    <row r="6796" spans="1:26" x14ac:dyDescent="0.25">
      <c r="A6796" t="str">
        <f t="shared" si="2772"/>
        <v>04-08-2020 12:37:08</v>
      </c>
      <c r="B6796" t="str">
        <f>"0000804118"</f>
        <v>0000804118</v>
      </c>
      <c r="C6796" t="str">
        <f t="shared" si="2773"/>
        <v>0000803960</v>
      </c>
      <c r="D6796" t="str">
        <f t="shared" si="2776"/>
        <v>73185</v>
      </c>
      <c r="E6796" t="str">
        <f t="shared" si="2777"/>
        <v>KFH-OPERATIONS DEPARTMENT</v>
      </c>
      <c r="F6796" t="str">
        <f t="shared" si="2778"/>
        <v>IBG</v>
      </c>
      <c r="G6796" t="str">
        <f t="shared" ref="G6796:G6859" si="2787">"Refund COSHARE 10"</f>
        <v>Refund COSHARE 10</v>
      </c>
      <c r="H6796" s="2">
        <v>92.35</v>
      </c>
      <c r="I6796" t="str">
        <f>"BOOSYN BIN BUDIEW"</f>
        <v>BOOSYN BIN BUDIEW</v>
      </c>
      <c r="J6796" t="str">
        <f t="shared" si="2771"/>
        <v>CIMB BANK / CIMB ISLAMIC BANK</v>
      </c>
      <c r="K6796" t="str">
        <f>"11060070529528"</f>
        <v>11060070529528</v>
      </c>
      <c r="L6796" t="str">
        <f t="shared" si="2774"/>
        <v>04-08-2020</v>
      </c>
      <c r="M6796" t="str">
        <f t="shared" si="2774"/>
        <v>04-08-2020</v>
      </c>
      <c r="N6796" t="str">
        <f t="shared" si="2779"/>
        <v>001105018356</v>
      </c>
      <c r="O6796" t="str">
        <f t="shared" si="2780"/>
        <v>MYR</v>
      </c>
      <c r="P6796" t="str">
        <f t="shared" si="2775"/>
        <v>NIL</v>
      </c>
      <c r="Q6796" t="str">
        <f t="shared" si="2775"/>
        <v>NIL</v>
      </c>
      <c r="R6796" t="str">
        <f t="shared" si="2767"/>
        <v>Accepted</v>
      </c>
      <c r="S6796" t="str">
        <f t="shared" si="2781"/>
        <v>Approved</v>
      </c>
      <c r="T6796" t="str">
        <f t="shared" si="2768"/>
        <v>10.20.8.188</v>
      </c>
      <c r="U6796" t="str">
        <f t="shared" si="2782"/>
        <v>AZRAD UMAR BIN SHAARI</v>
      </c>
      <c r="V6796" t="str">
        <f t="shared" si="2783"/>
        <v>FARHANA BINTI MUSTAPA</v>
      </c>
      <c r="W6796" t="str">
        <f t="shared" si="2784"/>
        <v>04-08-2020</v>
      </c>
      <c r="X6796" t="str">
        <f t="shared" si="2785"/>
        <v>RAZIMAH ANSAR AHMAD</v>
      </c>
      <c r="Y6796" t="str">
        <f t="shared" si="2786"/>
        <v>04-08-2020</v>
      </c>
      <c r="Z6796" t="str">
        <f>"COS10200804 2358"</f>
        <v>COS10200804 2358</v>
      </c>
    </row>
    <row r="6797" spans="1:26" x14ac:dyDescent="0.25">
      <c r="A6797" t="str">
        <f t="shared" si="2772"/>
        <v>04-08-2020 12:37:08</v>
      </c>
      <c r="B6797" t="str">
        <f>"0000804117"</f>
        <v>0000804117</v>
      </c>
      <c r="C6797" t="str">
        <f t="shared" si="2773"/>
        <v>0000803960</v>
      </c>
      <c r="D6797" t="str">
        <f t="shared" si="2776"/>
        <v>73185</v>
      </c>
      <c r="E6797" t="str">
        <f t="shared" si="2777"/>
        <v>KFH-OPERATIONS DEPARTMENT</v>
      </c>
      <c r="F6797" t="str">
        <f t="shared" si="2778"/>
        <v>IBG</v>
      </c>
      <c r="G6797" t="str">
        <f t="shared" si="2787"/>
        <v>Refund COSHARE 10</v>
      </c>
      <c r="H6797" s="2">
        <v>251.85</v>
      </c>
      <c r="I6797" t="str">
        <f>"BOBBY AL KUEH"</f>
        <v>BOBBY AL KUEH</v>
      </c>
      <c r="J6797" t="str">
        <f t="shared" si="2771"/>
        <v>CIMB BANK / CIMB ISLAMIC BANK</v>
      </c>
      <c r="K6797" t="str">
        <f>"06140015377524"</f>
        <v>06140015377524</v>
      </c>
      <c r="L6797" t="str">
        <f t="shared" si="2774"/>
        <v>04-08-2020</v>
      </c>
      <c r="M6797" t="str">
        <f t="shared" si="2774"/>
        <v>04-08-2020</v>
      </c>
      <c r="N6797" t="str">
        <f t="shared" si="2779"/>
        <v>001105018356</v>
      </c>
      <c r="O6797" t="str">
        <f t="shared" si="2780"/>
        <v>MYR</v>
      </c>
      <c r="P6797" t="str">
        <f t="shared" si="2775"/>
        <v>NIL</v>
      </c>
      <c r="Q6797" t="str">
        <f t="shared" si="2775"/>
        <v>NIL</v>
      </c>
      <c r="R6797" t="str">
        <f t="shared" si="2767"/>
        <v>Accepted</v>
      </c>
      <c r="S6797" t="str">
        <f t="shared" si="2781"/>
        <v>Approved</v>
      </c>
      <c r="T6797" t="str">
        <f t="shared" si="2768"/>
        <v>10.20.8.188</v>
      </c>
      <c r="U6797" t="str">
        <f t="shared" si="2782"/>
        <v>AZRAD UMAR BIN SHAARI</v>
      </c>
      <c r="V6797" t="str">
        <f t="shared" si="2783"/>
        <v>FARHANA BINTI MUSTAPA</v>
      </c>
      <c r="W6797" t="str">
        <f t="shared" si="2784"/>
        <v>04-08-2020</v>
      </c>
      <c r="X6797" t="str">
        <f t="shared" si="2785"/>
        <v>RAZIMAH ANSAR AHMAD</v>
      </c>
      <c r="Y6797" t="str">
        <f t="shared" si="2786"/>
        <v>04-08-2020</v>
      </c>
      <c r="Z6797" t="str">
        <f>"COS10200804 2357"</f>
        <v>COS10200804 2357</v>
      </c>
    </row>
    <row r="6798" spans="1:26" x14ac:dyDescent="0.25">
      <c r="A6798" t="str">
        <f t="shared" si="2772"/>
        <v>04-08-2020 12:37:08</v>
      </c>
      <c r="B6798" t="str">
        <f>"0000804116"</f>
        <v>0000804116</v>
      </c>
      <c r="C6798" t="str">
        <f t="shared" si="2773"/>
        <v>0000803960</v>
      </c>
      <c r="D6798" t="str">
        <f t="shared" si="2776"/>
        <v>73185</v>
      </c>
      <c r="E6798" t="str">
        <f t="shared" si="2777"/>
        <v>KFH-OPERATIONS DEPARTMENT</v>
      </c>
      <c r="F6798" t="str">
        <f t="shared" si="2778"/>
        <v>IBG</v>
      </c>
      <c r="G6798" t="str">
        <f t="shared" si="2787"/>
        <v>Refund COSHARE 10</v>
      </c>
      <c r="H6798" s="2">
        <v>1443.95</v>
      </c>
      <c r="I6798" t="str">
        <f>"BENEY SHAMZAN"</f>
        <v>BENEY SHAMZAN</v>
      </c>
      <c r="J6798" t="str">
        <f t="shared" si="2771"/>
        <v>CIMB BANK / CIMB ISLAMIC BANK</v>
      </c>
      <c r="K6798" t="str">
        <f>"7037708038"</f>
        <v>7037708038</v>
      </c>
      <c r="L6798" t="str">
        <f t="shared" si="2774"/>
        <v>04-08-2020</v>
      </c>
      <c r="M6798" t="str">
        <f t="shared" si="2774"/>
        <v>04-08-2020</v>
      </c>
      <c r="N6798" t="str">
        <f t="shared" si="2779"/>
        <v>001105018356</v>
      </c>
      <c r="O6798" t="str">
        <f t="shared" si="2780"/>
        <v>MYR</v>
      </c>
      <c r="P6798" t="str">
        <f t="shared" si="2775"/>
        <v>NIL</v>
      </c>
      <c r="Q6798" t="str">
        <f t="shared" si="2775"/>
        <v>NIL</v>
      </c>
      <c r="R6798" t="str">
        <f t="shared" si="2767"/>
        <v>Accepted</v>
      </c>
      <c r="S6798" t="str">
        <f t="shared" si="2781"/>
        <v>Approved</v>
      </c>
      <c r="T6798" t="str">
        <f t="shared" si="2768"/>
        <v>10.20.8.188</v>
      </c>
      <c r="U6798" t="str">
        <f t="shared" si="2782"/>
        <v>AZRAD UMAR BIN SHAARI</v>
      </c>
      <c r="V6798" t="str">
        <f t="shared" si="2783"/>
        <v>FARHANA BINTI MUSTAPA</v>
      </c>
      <c r="W6798" t="str">
        <f t="shared" si="2784"/>
        <v>04-08-2020</v>
      </c>
      <c r="X6798" t="str">
        <f t="shared" si="2785"/>
        <v>RAZIMAH ANSAR AHMAD</v>
      </c>
      <c r="Y6798" t="str">
        <f t="shared" si="2786"/>
        <v>04-08-2020</v>
      </c>
      <c r="Z6798" t="str">
        <f>"COS10200804 2356"</f>
        <v>COS10200804 2356</v>
      </c>
    </row>
    <row r="6799" spans="1:26" x14ac:dyDescent="0.25">
      <c r="A6799" t="str">
        <f t="shared" si="2772"/>
        <v>04-08-2020 12:37:08</v>
      </c>
      <c r="B6799" t="str">
        <f>"0000804115"</f>
        <v>0000804115</v>
      </c>
      <c r="C6799" t="str">
        <f t="shared" si="2773"/>
        <v>0000803960</v>
      </c>
      <c r="D6799" t="str">
        <f t="shared" si="2776"/>
        <v>73185</v>
      </c>
      <c r="E6799" t="str">
        <f t="shared" si="2777"/>
        <v>KFH-OPERATIONS DEPARTMENT</v>
      </c>
      <c r="F6799" t="str">
        <f t="shared" si="2778"/>
        <v>IBG</v>
      </c>
      <c r="G6799" t="str">
        <f t="shared" si="2787"/>
        <v>Refund COSHARE 10</v>
      </c>
      <c r="H6799" s="2">
        <v>183</v>
      </c>
      <c r="I6799" t="str">
        <f>"BENEY SHAMZAN"</f>
        <v>BENEY SHAMZAN</v>
      </c>
      <c r="J6799" t="str">
        <f t="shared" si="2771"/>
        <v>CIMB BANK / CIMB ISLAMIC BANK</v>
      </c>
      <c r="K6799" t="str">
        <f>"7037708038"</f>
        <v>7037708038</v>
      </c>
      <c r="L6799" t="str">
        <f t="shared" si="2774"/>
        <v>04-08-2020</v>
      </c>
      <c r="M6799" t="str">
        <f t="shared" si="2774"/>
        <v>04-08-2020</v>
      </c>
      <c r="N6799" t="str">
        <f t="shared" si="2779"/>
        <v>001105018356</v>
      </c>
      <c r="O6799" t="str">
        <f t="shared" si="2780"/>
        <v>MYR</v>
      </c>
      <c r="P6799" t="str">
        <f t="shared" si="2775"/>
        <v>NIL</v>
      </c>
      <c r="Q6799" t="str">
        <f t="shared" si="2775"/>
        <v>NIL</v>
      </c>
      <c r="R6799" t="str">
        <f t="shared" si="2767"/>
        <v>Accepted</v>
      </c>
      <c r="S6799" t="str">
        <f t="shared" si="2781"/>
        <v>Approved</v>
      </c>
      <c r="T6799" t="str">
        <f t="shared" si="2768"/>
        <v>10.20.8.188</v>
      </c>
      <c r="U6799" t="str">
        <f t="shared" si="2782"/>
        <v>AZRAD UMAR BIN SHAARI</v>
      </c>
      <c r="V6799" t="str">
        <f t="shared" si="2783"/>
        <v>FARHANA BINTI MUSTAPA</v>
      </c>
      <c r="W6799" t="str">
        <f t="shared" si="2784"/>
        <v>04-08-2020</v>
      </c>
      <c r="X6799" t="str">
        <f t="shared" si="2785"/>
        <v>RAZIMAH ANSAR AHMAD</v>
      </c>
      <c r="Y6799" t="str">
        <f t="shared" si="2786"/>
        <v>04-08-2020</v>
      </c>
      <c r="Z6799" t="str">
        <f>"COS10200804 2355"</f>
        <v>COS10200804 2355</v>
      </c>
    </row>
    <row r="6800" spans="1:26" x14ac:dyDescent="0.25">
      <c r="A6800" t="str">
        <f t="shared" si="2772"/>
        <v>04-08-2020 12:37:08</v>
      </c>
      <c r="B6800" t="str">
        <f>"0000804114"</f>
        <v>0000804114</v>
      </c>
      <c r="C6800" t="str">
        <f t="shared" si="2773"/>
        <v>0000803960</v>
      </c>
      <c r="D6800" t="str">
        <f t="shared" si="2776"/>
        <v>73185</v>
      </c>
      <c r="E6800" t="str">
        <f t="shared" si="2777"/>
        <v>KFH-OPERATIONS DEPARTMENT</v>
      </c>
      <c r="F6800" t="str">
        <f t="shared" si="2778"/>
        <v>IBG</v>
      </c>
      <c r="G6800" t="str">
        <f t="shared" si="2787"/>
        <v>Refund COSHARE 10</v>
      </c>
      <c r="H6800" s="2">
        <v>752</v>
      </c>
      <c r="I6800" t="str">
        <f>"BAVANI AP GOPAL"</f>
        <v>BAVANI AP GOPAL</v>
      </c>
      <c r="J6800" t="str">
        <f t="shared" si="2771"/>
        <v>CIMB BANK / CIMB ISLAMIC BANK</v>
      </c>
      <c r="K6800" t="str">
        <f>"05020692818523"</f>
        <v>05020692818523</v>
      </c>
      <c r="L6800" t="str">
        <f t="shared" si="2774"/>
        <v>04-08-2020</v>
      </c>
      <c r="M6800" t="str">
        <f t="shared" si="2774"/>
        <v>04-08-2020</v>
      </c>
      <c r="N6800" t="str">
        <f t="shared" si="2779"/>
        <v>001105018356</v>
      </c>
      <c r="O6800" t="str">
        <f t="shared" si="2780"/>
        <v>MYR</v>
      </c>
      <c r="P6800" t="str">
        <f t="shared" si="2775"/>
        <v>NIL</v>
      </c>
      <c r="Q6800" t="str">
        <f t="shared" si="2775"/>
        <v>NIL</v>
      </c>
      <c r="R6800" t="str">
        <f t="shared" si="2767"/>
        <v>Accepted</v>
      </c>
      <c r="S6800" t="str">
        <f t="shared" si="2781"/>
        <v>Approved</v>
      </c>
      <c r="T6800" t="str">
        <f t="shared" si="2768"/>
        <v>10.20.8.188</v>
      </c>
      <c r="U6800" t="str">
        <f t="shared" si="2782"/>
        <v>AZRAD UMAR BIN SHAARI</v>
      </c>
      <c r="V6800" t="str">
        <f t="shared" si="2783"/>
        <v>FARHANA BINTI MUSTAPA</v>
      </c>
      <c r="W6800" t="str">
        <f t="shared" si="2784"/>
        <v>04-08-2020</v>
      </c>
      <c r="X6800" t="str">
        <f t="shared" si="2785"/>
        <v>RAZIMAH ANSAR AHMAD</v>
      </c>
      <c r="Y6800" t="str">
        <f t="shared" si="2786"/>
        <v>04-08-2020</v>
      </c>
      <c r="Z6800" t="str">
        <f>"COS10200804 2354"</f>
        <v>COS10200804 2354</v>
      </c>
    </row>
    <row r="6801" spans="1:26" x14ac:dyDescent="0.25">
      <c r="A6801" t="str">
        <f t="shared" si="2772"/>
        <v>04-08-2020 12:37:08</v>
      </c>
      <c r="B6801" t="str">
        <f>"0000804113"</f>
        <v>0000804113</v>
      </c>
      <c r="C6801" t="str">
        <f t="shared" si="2773"/>
        <v>0000803960</v>
      </c>
      <c r="D6801" t="str">
        <f t="shared" si="2776"/>
        <v>73185</v>
      </c>
      <c r="E6801" t="str">
        <f t="shared" si="2777"/>
        <v>KFH-OPERATIONS DEPARTMENT</v>
      </c>
      <c r="F6801" t="str">
        <f t="shared" si="2778"/>
        <v>IBG</v>
      </c>
      <c r="G6801" t="str">
        <f t="shared" si="2787"/>
        <v>Refund COSHARE 10</v>
      </c>
      <c r="H6801" s="2">
        <v>361</v>
      </c>
      <c r="I6801" t="str">
        <f>"BASIRIN BIN AKMALUDDIN"</f>
        <v>BASIRIN BIN AKMALUDDIN</v>
      </c>
      <c r="J6801" t="str">
        <f t="shared" si="2771"/>
        <v>CIMB BANK / CIMB ISLAMIC BANK</v>
      </c>
      <c r="K6801" t="str">
        <f>"10060024493521"</f>
        <v>10060024493521</v>
      </c>
      <c r="L6801" t="str">
        <f t="shared" si="2774"/>
        <v>04-08-2020</v>
      </c>
      <c r="M6801" t="str">
        <f t="shared" si="2774"/>
        <v>04-08-2020</v>
      </c>
      <c r="N6801" t="str">
        <f t="shared" si="2779"/>
        <v>001105018356</v>
      </c>
      <c r="O6801" t="str">
        <f t="shared" si="2780"/>
        <v>MYR</v>
      </c>
      <c r="P6801" t="str">
        <f t="shared" si="2775"/>
        <v>NIL</v>
      </c>
      <c r="Q6801" t="str">
        <f t="shared" si="2775"/>
        <v>NIL</v>
      </c>
      <c r="R6801" t="str">
        <f t="shared" si="2767"/>
        <v>Accepted</v>
      </c>
      <c r="S6801" t="str">
        <f t="shared" si="2781"/>
        <v>Approved</v>
      </c>
      <c r="T6801" t="str">
        <f t="shared" si="2768"/>
        <v>10.20.8.188</v>
      </c>
      <c r="U6801" t="str">
        <f t="shared" si="2782"/>
        <v>AZRAD UMAR BIN SHAARI</v>
      </c>
      <c r="V6801" t="str">
        <f t="shared" si="2783"/>
        <v>FARHANA BINTI MUSTAPA</v>
      </c>
      <c r="W6801" t="str">
        <f t="shared" si="2784"/>
        <v>04-08-2020</v>
      </c>
      <c r="X6801" t="str">
        <f t="shared" si="2785"/>
        <v>RAZIMAH ANSAR AHMAD</v>
      </c>
      <c r="Y6801" t="str">
        <f t="shared" si="2786"/>
        <v>04-08-2020</v>
      </c>
      <c r="Z6801" t="str">
        <f>"COS10200804 2353"</f>
        <v>COS10200804 2353</v>
      </c>
    </row>
    <row r="6802" spans="1:26" x14ac:dyDescent="0.25">
      <c r="A6802" t="str">
        <f t="shared" si="2772"/>
        <v>04-08-2020 12:37:08</v>
      </c>
      <c r="B6802" t="str">
        <f>"0000804112"</f>
        <v>0000804112</v>
      </c>
      <c r="C6802" t="str">
        <f t="shared" si="2773"/>
        <v>0000803960</v>
      </c>
      <c r="D6802" t="str">
        <f t="shared" si="2776"/>
        <v>73185</v>
      </c>
      <c r="E6802" t="str">
        <f t="shared" si="2777"/>
        <v>KFH-OPERATIONS DEPARTMENT</v>
      </c>
      <c r="F6802" t="str">
        <f t="shared" si="2778"/>
        <v>IBG</v>
      </c>
      <c r="G6802" t="str">
        <f t="shared" si="2787"/>
        <v>Refund COSHARE 10</v>
      </c>
      <c r="H6802" s="2">
        <v>356.85</v>
      </c>
      <c r="I6802" t="str">
        <f>"BASHIROH BINTI HAJI OMAR"</f>
        <v>BASHIROH BINTI HAJI OMAR</v>
      </c>
      <c r="J6802" t="str">
        <f t="shared" si="2771"/>
        <v>CIMB BANK / CIMB ISLAMIC BANK</v>
      </c>
      <c r="K6802" t="str">
        <f>"12180089248526"</f>
        <v>12180089248526</v>
      </c>
      <c r="L6802" t="str">
        <f t="shared" si="2774"/>
        <v>04-08-2020</v>
      </c>
      <c r="M6802" t="str">
        <f t="shared" si="2774"/>
        <v>04-08-2020</v>
      </c>
      <c r="N6802" t="str">
        <f t="shared" si="2779"/>
        <v>001105018356</v>
      </c>
      <c r="O6802" t="str">
        <f t="shared" si="2780"/>
        <v>MYR</v>
      </c>
      <c r="P6802" t="str">
        <f t="shared" si="2775"/>
        <v>NIL</v>
      </c>
      <c r="Q6802" t="str">
        <f t="shared" si="2775"/>
        <v>NIL</v>
      </c>
      <c r="R6802" t="str">
        <f t="shared" si="2767"/>
        <v>Accepted</v>
      </c>
      <c r="S6802" t="str">
        <f t="shared" si="2781"/>
        <v>Approved</v>
      </c>
      <c r="T6802" t="str">
        <f t="shared" si="2768"/>
        <v>10.20.8.188</v>
      </c>
      <c r="U6802" t="str">
        <f t="shared" si="2782"/>
        <v>AZRAD UMAR BIN SHAARI</v>
      </c>
      <c r="V6802" t="str">
        <f t="shared" si="2783"/>
        <v>FARHANA BINTI MUSTAPA</v>
      </c>
      <c r="W6802" t="str">
        <f t="shared" si="2784"/>
        <v>04-08-2020</v>
      </c>
      <c r="X6802" t="str">
        <f t="shared" si="2785"/>
        <v>RAZIMAH ANSAR AHMAD</v>
      </c>
      <c r="Y6802" t="str">
        <f t="shared" si="2786"/>
        <v>04-08-2020</v>
      </c>
      <c r="Z6802" t="str">
        <f>"COS10200804 2352"</f>
        <v>COS10200804 2352</v>
      </c>
    </row>
    <row r="6803" spans="1:26" x14ac:dyDescent="0.25">
      <c r="A6803" t="str">
        <f t="shared" si="2772"/>
        <v>04-08-2020 12:37:08</v>
      </c>
      <c r="B6803" t="str">
        <f>"0000804111"</f>
        <v>0000804111</v>
      </c>
      <c r="C6803" t="str">
        <f t="shared" si="2773"/>
        <v>0000803960</v>
      </c>
      <c r="D6803" t="str">
        <f t="shared" si="2776"/>
        <v>73185</v>
      </c>
      <c r="E6803" t="str">
        <f t="shared" si="2777"/>
        <v>KFH-OPERATIONS DEPARTMENT</v>
      </c>
      <c r="F6803" t="str">
        <f t="shared" si="2778"/>
        <v>IBG</v>
      </c>
      <c r="G6803" t="str">
        <f t="shared" si="2787"/>
        <v>Refund COSHARE 10</v>
      </c>
      <c r="H6803" s="2">
        <v>629.65</v>
      </c>
      <c r="I6803" t="str">
        <f>"BALAN AL MUNIANDY"</f>
        <v>BALAN AL MUNIANDY</v>
      </c>
      <c r="J6803" t="str">
        <f t="shared" si="2771"/>
        <v>CIMB BANK / CIMB ISLAMIC BANK</v>
      </c>
      <c r="K6803" t="str">
        <f>"7054091334"</f>
        <v>7054091334</v>
      </c>
      <c r="L6803" t="str">
        <f t="shared" si="2774"/>
        <v>04-08-2020</v>
      </c>
      <c r="M6803" t="str">
        <f t="shared" si="2774"/>
        <v>04-08-2020</v>
      </c>
      <c r="N6803" t="str">
        <f t="shared" si="2779"/>
        <v>001105018356</v>
      </c>
      <c r="O6803" t="str">
        <f t="shared" si="2780"/>
        <v>MYR</v>
      </c>
      <c r="P6803" t="str">
        <f t="shared" si="2775"/>
        <v>NIL</v>
      </c>
      <c r="Q6803" t="str">
        <f t="shared" si="2775"/>
        <v>NIL</v>
      </c>
      <c r="R6803" t="str">
        <f t="shared" si="2767"/>
        <v>Accepted</v>
      </c>
      <c r="S6803" t="str">
        <f t="shared" si="2781"/>
        <v>Approved</v>
      </c>
      <c r="T6803" t="str">
        <f t="shared" si="2768"/>
        <v>10.20.8.188</v>
      </c>
      <c r="U6803" t="str">
        <f t="shared" si="2782"/>
        <v>AZRAD UMAR BIN SHAARI</v>
      </c>
      <c r="V6803" t="str">
        <f t="shared" si="2783"/>
        <v>FARHANA BINTI MUSTAPA</v>
      </c>
      <c r="W6803" t="str">
        <f t="shared" si="2784"/>
        <v>04-08-2020</v>
      </c>
      <c r="X6803" t="str">
        <f t="shared" si="2785"/>
        <v>RAZIMAH ANSAR AHMAD</v>
      </c>
      <c r="Y6803" t="str">
        <f t="shared" si="2786"/>
        <v>04-08-2020</v>
      </c>
      <c r="Z6803" t="str">
        <f>"COS10200804 2351"</f>
        <v>COS10200804 2351</v>
      </c>
    </row>
    <row r="6804" spans="1:26" x14ac:dyDescent="0.25">
      <c r="A6804" t="str">
        <f t="shared" si="2772"/>
        <v>04-08-2020 12:37:08</v>
      </c>
      <c r="B6804" t="str">
        <f>"0000804110"</f>
        <v>0000804110</v>
      </c>
      <c r="C6804" t="str">
        <f t="shared" si="2773"/>
        <v>0000803960</v>
      </c>
      <c r="D6804" t="str">
        <f t="shared" si="2776"/>
        <v>73185</v>
      </c>
      <c r="E6804" t="str">
        <f t="shared" si="2777"/>
        <v>KFH-OPERATIONS DEPARTMENT</v>
      </c>
      <c r="F6804" t="str">
        <f t="shared" si="2778"/>
        <v>IBG</v>
      </c>
      <c r="G6804" t="str">
        <f t="shared" si="2787"/>
        <v>Refund COSHARE 10</v>
      </c>
      <c r="H6804" s="2">
        <v>1192</v>
      </c>
      <c r="I6804" t="str">
        <f>"BAKAR BIN ABDUL MUTALIB"</f>
        <v>BAKAR BIN ABDUL MUTALIB</v>
      </c>
      <c r="J6804" t="str">
        <f t="shared" si="2771"/>
        <v>CIMB BANK / CIMB ISLAMIC BANK</v>
      </c>
      <c r="K6804" t="str">
        <f>"02100061817525"</f>
        <v>02100061817525</v>
      </c>
      <c r="L6804" t="str">
        <f t="shared" si="2774"/>
        <v>04-08-2020</v>
      </c>
      <c r="M6804" t="str">
        <f t="shared" si="2774"/>
        <v>04-08-2020</v>
      </c>
      <c r="N6804" t="str">
        <f t="shared" si="2779"/>
        <v>001105018356</v>
      </c>
      <c r="O6804" t="str">
        <f t="shared" si="2780"/>
        <v>MYR</v>
      </c>
      <c r="P6804" t="str">
        <f t="shared" si="2775"/>
        <v>NIL</v>
      </c>
      <c r="Q6804" t="str">
        <f t="shared" si="2775"/>
        <v>NIL</v>
      </c>
      <c r="R6804" t="str">
        <f t="shared" si="2767"/>
        <v>Accepted</v>
      </c>
      <c r="S6804" t="str">
        <f t="shared" si="2781"/>
        <v>Approved</v>
      </c>
      <c r="T6804" t="str">
        <f t="shared" si="2768"/>
        <v>10.20.8.188</v>
      </c>
      <c r="U6804" t="str">
        <f t="shared" si="2782"/>
        <v>AZRAD UMAR BIN SHAARI</v>
      </c>
      <c r="V6804" t="str">
        <f t="shared" si="2783"/>
        <v>FARHANA BINTI MUSTAPA</v>
      </c>
      <c r="W6804" t="str">
        <f t="shared" si="2784"/>
        <v>04-08-2020</v>
      </c>
      <c r="X6804" t="str">
        <f t="shared" si="2785"/>
        <v>RAZIMAH ANSAR AHMAD</v>
      </c>
      <c r="Y6804" t="str">
        <f t="shared" si="2786"/>
        <v>04-08-2020</v>
      </c>
      <c r="Z6804" t="str">
        <f>"COS10200804 2350"</f>
        <v>COS10200804 2350</v>
      </c>
    </row>
    <row r="6805" spans="1:26" x14ac:dyDescent="0.25">
      <c r="A6805" t="str">
        <f t="shared" si="2772"/>
        <v>04-08-2020 12:37:08</v>
      </c>
      <c r="B6805" t="str">
        <f>"0000804109"</f>
        <v>0000804109</v>
      </c>
      <c r="C6805" t="str">
        <f t="shared" si="2773"/>
        <v>0000803960</v>
      </c>
      <c r="D6805" t="str">
        <f t="shared" si="2776"/>
        <v>73185</v>
      </c>
      <c r="E6805" t="str">
        <f t="shared" si="2777"/>
        <v>KFH-OPERATIONS DEPARTMENT</v>
      </c>
      <c r="F6805" t="str">
        <f t="shared" si="2778"/>
        <v>IBG</v>
      </c>
      <c r="G6805" t="str">
        <f t="shared" si="2787"/>
        <v>Refund COSHARE 10</v>
      </c>
      <c r="H6805" s="2">
        <v>478.5</v>
      </c>
      <c r="I6805" t="str">
        <f>"BAIZURA BINTI JAMALUDDIN"</f>
        <v>BAIZURA BINTI JAMALUDDIN</v>
      </c>
      <c r="J6805" t="str">
        <f t="shared" si="2771"/>
        <v>CIMB BANK / CIMB ISLAMIC BANK</v>
      </c>
      <c r="K6805" t="str">
        <f>"12150010383526"</f>
        <v>12150010383526</v>
      </c>
      <c r="L6805" t="str">
        <f t="shared" si="2774"/>
        <v>04-08-2020</v>
      </c>
      <c r="M6805" t="str">
        <f t="shared" si="2774"/>
        <v>04-08-2020</v>
      </c>
      <c r="N6805" t="str">
        <f t="shared" si="2779"/>
        <v>001105018356</v>
      </c>
      <c r="O6805" t="str">
        <f t="shared" si="2780"/>
        <v>MYR</v>
      </c>
      <c r="P6805" t="str">
        <f t="shared" si="2775"/>
        <v>NIL</v>
      </c>
      <c r="Q6805" t="str">
        <f t="shared" si="2775"/>
        <v>NIL</v>
      </c>
      <c r="R6805" t="str">
        <f t="shared" si="2767"/>
        <v>Accepted</v>
      </c>
      <c r="S6805" t="str">
        <f t="shared" si="2781"/>
        <v>Approved</v>
      </c>
      <c r="T6805" t="str">
        <f t="shared" si="2768"/>
        <v>10.20.8.188</v>
      </c>
      <c r="U6805" t="str">
        <f t="shared" si="2782"/>
        <v>AZRAD UMAR BIN SHAARI</v>
      </c>
      <c r="V6805" t="str">
        <f t="shared" si="2783"/>
        <v>FARHANA BINTI MUSTAPA</v>
      </c>
      <c r="W6805" t="str">
        <f t="shared" si="2784"/>
        <v>04-08-2020</v>
      </c>
      <c r="X6805" t="str">
        <f t="shared" si="2785"/>
        <v>RAZIMAH ANSAR AHMAD</v>
      </c>
      <c r="Y6805" t="str">
        <f t="shared" si="2786"/>
        <v>04-08-2020</v>
      </c>
      <c r="Z6805" t="str">
        <f>"COS10200804 2349"</f>
        <v>COS10200804 2349</v>
      </c>
    </row>
    <row r="6806" spans="1:26" x14ac:dyDescent="0.25">
      <c r="A6806" t="str">
        <f t="shared" si="2772"/>
        <v>04-08-2020 12:37:08</v>
      </c>
      <c r="B6806" t="str">
        <f>"0000804108"</f>
        <v>0000804108</v>
      </c>
      <c r="C6806" t="str">
        <f t="shared" si="2773"/>
        <v>0000803960</v>
      </c>
      <c r="D6806" t="str">
        <f t="shared" si="2776"/>
        <v>73185</v>
      </c>
      <c r="E6806" t="str">
        <f t="shared" si="2777"/>
        <v>KFH-OPERATIONS DEPARTMENT</v>
      </c>
      <c r="F6806" t="str">
        <f t="shared" si="2778"/>
        <v>IBG</v>
      </c>
      <c r="G6806" t="str">
        <f t="shared" si="2787"/>
        <v>Refund COSHARE 10</v>
      </c>
      <c r="H6806" s="2">
        <v>532.1</v>
      </c>
      <c r="I6806" t="str">
        <f>"AZWATI BINTI YUSOFF"</f>
        <v>AZWATI BINTI YUSOFF</v>
      </c>
      <c r="J6806" t="str">
        <f t="shared" si="2771"/>
        <v>CIMB BANK / CIMB ISLAMIC BANK</v>
      </c>
      <c r="K6806" t="str">
        <f>"03060030529523"</f>
        <v>03060030529523</v>
      </c>
      <c r="L6806" t="str">
        <f t="shared" si="2774"/>
        <v>04-08-2020</v>
      </c>
      <c r="M6806" t="str">
        <f t="shared" si="2774"/>
        <v>04-08-2020</v>
      </c>
      <c r="N6806" t="str">
        <f t="shared" si="2779"/>
        <v>001105018356</v>
      </c>
      <c r="O6806" t="str">
        <f t="shared" si="2780"/>
        <v>MYR</v>
      </c>
      <c r="P6806" t="str">
        <f t="shared" si="2775"/>
        <v>NIL</v>
      </c>
      <c r="Q6806" t="str">
        <f t="shared" si="2775"/>
        <v>NIL</v>
      </c>
      <c r="R6806" t="str">
        <f t="shared" si="2767"/>
        <v>Accepted</v>
      </c>
      <c r="S6806" t="str">
        <f t="shared" si="2781"/>
        <v>Approved</v>
      </c>
      <c r="T6806" t="str">
        <f t="shared" si="2768"/>
        <v>10.20.8.188</v>
      </c>
      <c r="U6806" t="str">
        <f t="shared" si="2782"/>
        <v>AZRAD UMAR BIN SHAARI</v>
      </c>
      <c r="V6806" t="str">
        <f t="shared" si="2783"/>
        <v>FARHANA BINTI MUSTAPA</v>
      </c>
      <c r="W6806" t="str">
        <f t="shared" si="2784"/>
        <v>04-08-2020</v>
      </c>
      <c r="X6806" t="str">
        <f t="shared" si="2785"/>
        <v>RAZIMAH ANSAR AHMAD</v>
      </c>
      <c r="Y6806" t="str">
        <f t="shared" si="2786"/>
        <v>04-08-2020</v>
      </c>
      <c r="Z6806" t="str">
        <f>"COS10200804 2348"</f>
        <v>COS10200804 2348</v>
      </c>
    </row>
    <row r="6807" spans="1:26" x14ac:dyDescent="0.25">
      <c r="A6807" t="str">
        <f t="shared" si="2772"/>
        <v>04-08-2020 12:37:08</v>
      </c>
      <c r="B6807" t="str">
        <f>"0000804107"</f>
        <v>0000804107</v>
      </c>
      <c r="C6807" t="str">
        <f t="shared" si="2773"/>
        <v>0000803960</v>
      </c>
      <c r="D6807" t="str">
        <f t="shared" si="2776"/>
        <v>73185</v>
      </c>
      <c r="E6807" t="str">
        <f t="shared" si="2777"/>
        <v>KFH-OPERATIONS DEPARTMENT</v>
      </c>
      <c r="F6807" t="str">
        <f t="shared" si="2778"/>
        <v>IBG</v>
      </c>
      <c r="G6807" t="str">
        <f t="shared" si="2787"/>
        <v>Refund COSHARE 10</v>
      </c>
      <c r="H6807" s="2">
        <v>587.65</v>
      </c>
      <c r="I6807" t="str">
        <f>"AZURA BINTI ANUAR"</f>
        <v>AZURA BINTI ANUAR</v>
      </c>
      <c r="J6807" t="str">
        <f t="shared" si="2771"/>
        <v>CIMB BANK / CIMB ISLAMIC BANK</v>
      </c>
      <c r="K6807" t="str">
        <f>"12300000041208"</f>
        <v>12300000041208</v>
      </c>
      <c r="L6807" t="str">
        <f t="shared" ref="L6807:M6826" si="2788">"04-08-2020"</f>
        <v>04-08-2020</v>
      </c>
      <c r="M6807" t="str">
        <f t="shared" si="2788"/>
        <v>04-08-2020</v>
      </c>
      <c r="N6807" t="str">
        <f t="shared" si="2779"/>
        <v>001105018356</v>
      </c>
      <c r="O6807" t="str">
        <f t="shared" si="2780"/>
        <v>MYR</v>
      </c>
      <c r="P6807" t="str">
        <f t="shared" ref="P6807:Q6826" si="2789">"NIL"</f>
        <v>NIL</v>
      </c>
      <c r="Q6807" t="str">
        <f t="shared" si="2789"/>
        <v>NIL</v>
      </c>
      <c r="R6807" t="str">
        <f t="shared" si="2767"/>
        <v>Accepted</v>
      </c>
      <c r="S6807" t="str">
        <f t="shared" si="2781"/>
        <v>Approved</v>
      </c>
      <c r="T6807" t="str">
        <f t="shared" si="2768"/>
        <v>10.20.8.188</v>
      </c>
      <c r="U6807" t="str">
        <f t="shared" si="2782"/>
        <v>AZRAD UMAR BIN SHAARI</v>
      </c>
      <c r="V6807" t="str">
        <f t="shared" si="2783"/>
        <v>FARHANA BINTI MUSTAPA</v>
      </c>
      <c r="W6807" t="str">
        <f t="shared" si="2784"/>
        <v>04-08-2020</v>
      </c>
      <c r="X6807" t="str">
        <f t="shared" si="2785"/>
        <v>RAZIMAH ANSAR AHMAD</v>
      </c>
      <c r="Y6807" t="str">
        <f t="shared" si="2786"/>
        <v>04-08-2020</v>
      </c>
      <c r="Z6807" t="str">
        <f>"COS10200804 2347"</f>
        <v>COS10200804 2347</v>
      </c>
    </row>
    <row r="6808" spans="1:26" x14ac:dyDescent="0.25">
      <c r="A6808" t="str">
        <f t="shared" si="2772"/>
        <v>04-08-2020 12:37:08</v>
      </c>
      <c r="B6808" t="str">
        <f>"0000804106"</f>
        <v>0000804106</v>
      </c>
      <c r="C6808" t="str">
        <f t="shared" si="2773"/>
        <v>0000803960</v>
      </c>
      <c r="D6808" t="str">
        <f t="shared" si="2776"/>
        <v>73185</v>
      </c>
      <c r="E6808" t="str">
        <f t="shared" si="2777"/>
        <v>KFH-OPERATIONS DEPARTMENT</v>
      </c>
      <c r="F6808" t="str">
        <f t="shared" si="2778"/>
        <v>IBG</v>
      </c>
      <c r="G6808" t="str">
        <f t="shared" si="2787"/>
        <v>Refund COSHARE 10</v>
      </c>
      <c r="H6808" s="2">
        <v>366</v>
      </c>
      <c r="I6808" t="str">
        <f>"AZRULIZA BINTI ABDUL RAHMAN"</f>
        <v>AZRULIZA BINTI ABDUL RAHMAN</v>
      </c>
      <c r="J6808" t="str">
        <f t="shared" si="2771"/>
        <v>CIMB BANK / CIMB ISLAMIC BANK</v>
      </c>
      <c r="K6808" t="str">
        <f>"12440000802526"</f>
        <v>12440000802526</v>
      </c>
      <c r="L6808" t="str">
        <f t="shared" si="2788"/>
        <v>04-08-2020</v>
      </c>
      <c r="M6808" t="str">
        <f t="shared" si="2788"/>
        <v>04-08-2020</v>
      </c>
      <c r="N6808" t="str">
        <f t="shared" si="2779"/>
        <v>001105018356</v>
      </c>
      <c r="O6808" t="str">
        <f t="shared" si="2780"/>
        <v>MYR</v>
      </c>
      <c r="P6808" t="str">
        <f t="shared" si="2789"/>
        <v>NIL</v>
      </c>
      <c r="Q6808" t="str">
        <f t="shared" si="2789"/>
        <v>NIL</v>
      </c>
      <c r="R6808" t="str">
        <f t="shared" si="2767"/>
        <v>Accepted</v>
      </c>
      <c r="S6808" t="str">
        <f t="shared" si="2781"/>
        <v>Approved</v>
      </c>
      <c r="T6808" t="str">
        <f t="shared" si="2768"/>
        <v>10.20.8.188</v>
      </c>
      <c r="U6808" t="str">
        <f t="shared" si="2782"/>
        <v>AZRAD UMAR BIN SHAARI</v>
      </c>
      <c r="V6808" t="str">
        <f t="shared" si="2783"/>
        <v>FARHANA BINTI MUSTAPA</v>
      </c>
      <c r="W6808" t="str">
        <f t="shared" si="2784"/>
        <v>04-08-2020</v>
      </c>
      <c r="X6808" t="str">
        <f t="shared" si="2785"/>
        <v>RAZIMAH ANSAR AHMAD</v>
      </c>
      <c r="Y6808" t="str">
        <f t="shared" si="2786"/>
        <v>04-08-2020</v>
      </c>
      <c r="Z6808" t="str">
        <f>"COS10200804 2346"</f>
        <v>COS10200804 2346</v>
      </c>
    </row>
    <row r="6809" spans="1:26" x14ac:dyDescent="0.25">
      <c r="A6809" t="str">
        <f t="shared" si="2772"/>
        <v>04-08-2020 12:37:08</v>
      </c>
      <c r="B6809" t="str">
        <f>"0000804105"</f>
        <v>0000804105</v>
      </c>
      <c r="C6809" t="str">
        <f t="shared" si="2773"/>
        <v>0000803960</v>
      </c>
      <c r="D6809" t="str">
        <f t="shared" si="2776"/>
        <v>73185</v>
      </c>
      <c r="E6809" t="str">
        <f t="shared" si="2777"/>
        <v>KFH-OPERATIONS DEPARTMENT</v>
      </c>
      <c r="F6809" t="str">
        <f t="shared" si="2778"/>
        <v>IBG</v>
      </c>
      <c r="G6809" t="str">
        <f t="shared" si="2787"/>
        <v>Refund COSHARE 10</v>
      </c>
      <c r="H6809" s="2">
        <v>366</v>
      </c>
      <c r="I6809" t="str">
        <f>"AZRULIZA BINTI ABDUL RAHMAN"</f>
        <v>AZRULIZA BINTI ABDUL RAHMAN</v>
      </c>
      <c r="J6809" t="str">
        <f t="shared" si="2771"/>
        <v>CIMB BANK / CIMB ISLAMIC BANK</v>
      </c>
      <c r="K6809" t="str">
        <f>"12440000802526"</f>
        <v>12440000802526</v>
      </c>
      <c r="L6809" t="str">
        <f t="shared" si="2788"/>
        <v>04-08-2020</v>
      </c>
      <c r="M6809" t="str">
        <f t="shared" si="2788"/>
        <v>04-08-2020</v>
      </c>
      <c r="N6809" t="str">
        <f t="shared" si="2779"/>
        <v>001105018356</v>
      </c>
      <c r="O6809" t="str">
        <f t="shared" si="2780"/>
        <v>MYR</v>
      </c>
      <c r="P6809" t="str">
        <f t="shared" si="2789"/>
        <v>NIL</v>
      </c>
      <c r="Q6809" t="str">
        <f t="shared" si="2789"/>
        <v>NIL</v>
      </c>
      <c r="R6809" t="str">
        <f t="shared" si="2767"/>
        <v>Accepted</v>
      </c>
      <c r="S6809" t="str">
        <f t="shared" si="2781"/>
        <v>Approved</v>
      </c>
      <c r="T6809" t="str">
        <f t="shared" si="2768"/>
        <v>10.20.8.188</v>
      </c>
      <c r="U6809" t="str">
        <f t="shared" si="2782"/>
        <v>AZRAD UMAR BIN SHAARI</v>
      </c>
      <c r="V6809" t="str">
        <f t="shared" si="2783"/>
        <v>FARHANA BINTI MUSTAPA</v>
      </c>
      <c r="W6809" t="str">
        <f t="shared" si="2784"/>
        <v>04-08-2020</v>
      </c>
      <c r="X6809" t="str">
        <f t="shared" si="2785"/>
        <v>RAZIMAH ANSAR AHMAD</v>
      </c>
      <c r="Y6809" t="str">
        <f t="shared" si="2786"/>
        <v>04-08-2020</v>
      </c>
      <c r="Z6809" t="str">
        <f>"COS10200804 2345"</f>
        <v>COS10200804 2345</v>
      </c>
    </row>
    <row r="6810" spans="1:26" x14ac:dyDescent="0.25">
      <c r="A6810" t="str">
        <f t="shared" si="2772"/>
        <v>04-08-2020 12:37:08</v>
      </c>
      <c r="B6810" t="str">
        <f>"0000804104"</f>
        <v>0000804104</v>
      </c>
      <c r="C6810" t="str">
        <f t="shared" si="2773"/>
        <v>0000803960</v>
      </c>
      <c r="D6810" t="str">
        <f t="shared" si="2776"/>
        <v>73185</v>
      </c>
      <c r="E6810" t="str">
        <f t="shared" si="2777"/>
        <v>KFH-OPERATIONS DEPARTMENT</v>
      </c>
      <c r="F6810" t="str">
        <f t="shared" si="2778"/>
        <v>IBG</v>
      </c>
      <c r="G6810" t="str">
        <f t="shared" si="2787"/>
        <v>Refund COSHARE 10</v>
      </c>
      <c r="H6810" s="2">
        <v>209.9</v>
      </c>
      <c r="I6810" t="str">
        <f>"AZRUL NIZAM BIN AZMI"</f>
        <v>AZRUL NIZAM BIN AZMI</v>
      </c>
      <c r="J6810" t="str">
        <f t="shared" si="2771"/>
        <v>CIMB BANK / CIMB ISLAMIC BANK</v>
      </c>
      <c r="K6810" t="str">
        <f>"12150065689522"</f>
        <v>12150065689522</v>
      </c>
      <c r="L6810" t="str">
        <f t="shared" si="2788"/>
        <v>04-08-2020</v>
      </c>
      <c r="M6810" t="str">
        <f t="shared" si="2788"/>
        <v>04-08-2020</v>
      </c>
      <c r="N6810" t="str">
        <f t="shared" si="2779"/>
        <v>001105018356</v>
      </c>
      <c r="O6810" t="str">
        <f t="shared" si="2780"/>
        <v>MYR</v>
      </c>
      <c r="P6810" t="str">
        <f t="shared" si="2789"/>
        <v>NIL</v>
      </c>
      <c r="Q6810" t="str">
        <f t="shared" si="2789"/>
        <v>NIL</v>
      </c>
      <c r="R6810" t="str">
        <f t="shared" si="2767"/>
        <v>Accepted</v>
      </c>
      <c r="S6810" t="str">
        <f t="shared" si="2781"/>
        <v>Approved</v>
      </c>
      <c r="T6810" t="str">
        <f t="shared" si="2768"/>
        <v>10.20.8.188</v>
      </c>
      <c r="U6810" t="str">
        <f t="shared" si="2782"/>
        <v>AZRAD UMAR BIN SHAARI</v>
      </c>
      <c r="V6810" t="str">
        <f t="shared" si="2783"/>
        <v>FARHANA BINTI MUSTAPA</v>
      </c>
      <c r="W6810" t="str">
        <f t="shared" si="2784"/>
        <v>04-08-2020</v>
      </c>
      <c r="X6810" t="str">
        <f t="shared" si="2785"/>
        <v>RAZIMAH ANSAR AHMAD</v>
      </c>
      <c r="Y6810" t="str">
        <f t="shared" si="2786"/>
        <v>04-08-2020</v>
      </c>
      <c r="Z6810" t="str">
        <f>"COS10200804 2344"</f>
        <v>COS10200804 2344</v>
      </c>
    </row>
    <row r="6811" spans="1:26" x14ac:dyDescent="0.25">
      <c r="A6811" t="str">
        <f t="shared" si="2772"/>
        <v>04-08-2020 12:37:08</v>
      </c>
      <c r="B6811" t="str">
        <f>"0000804103"</f>
        <v>0000804103</v>
      </c>
      <c r="C6811" t="str">
        <f t="shared" si="2773"/>
        <v>0000803960</v>
      </c>
      <c r="D6811" t="str">
        <f t="shared" si="2776"/>
        <v>73185</v>
      </c>
      <c r="E6811" t="str">
        <f t="shared" si="2777"/>
        <v>KFH-OPERATIONS DEPARTMENT</v>
      </c>
      <c r="F6811" t="str">
        <f t="shared" si="2778"/>
        <v>IBG</v>
      </c>
      <c r="G6811" t="str">
        <f t="shared" si="2787"/>
        <v>Refund COSHARE 10</v>
      </c>
      <c r="H6811" s="2">
        <v>167.9</v>
      </c>
      <c r="I6811" t="str">
        <f>"AZRIZAL BIN AZEMI"</f>
        <v>AZRIZAL BIN AZEMI</v>
      </c>
      <c r="J6811" t="str">
        <f t="shared" si="2771"/>
        <v>CIMB BANK / CIMB ISLAMIC BANK</v>
      </c>
      <c r="K6811" t="str">
        <f>"02170011046527"</f>
        <v>02170011046527</v>
      </c>
      <c r="L6811" t="str">
        <f t="shared" si="2788"/>
        <v>04-08-2020</v>
      </c>
      <c r="M6811" t="str">
        <f t="shared" si="2788"/>
        <v>04-08-2020</v>
      </c>
      <c r="N6811" t="str">
        <f t="shared" si="2779"/>
        <v>001105018356</v>
      </c>
      <c r="O6811" t="str">
        <f t="shared" si="2780"/>
        <v>MYR</v>
      </c>
      <c r="P6811" t="str">
        <f t="shared" si="2789"/>
        <v>NIL</v>
      </c>
      <c r="Q6811" t="str">
        <f t="shared" si="2789"/>
        <v>NIL</v>
      </c>
      <c r="R6811" t="str">
        <f t="shared" si="2767"/>
        <v>Accepted</v>
      </c>
      <c r="S6811" t="str">
        <f t="shared" si="2781"/>
        <v>Approved</v>
      </c>
      <c r="T6811" t="str">
        <f t="shared" si="2768"/>
        <v>10.20.8.188</v>
      </c>
      <c r="U6811" t="str">
        <f t="shared" si="2782"/>
        <v>AZRAD UMAR BIN SHAARI</v>
      </c>
      <c r="V6811" t="str">
        <f t="shared" si="2783"/>
        <v>FARHANA BINTI MUSTAPA</v>
      </c>
      <c r="W6811" t="str">
        <f t="shared" si="2784"/>
        <v>04-08-2020</v>
      </c>
      <c r="X6811" t="str">
        <f t="shared" si="2785"/>
        <v>RAZIMAH ANSAR AHMAD</v>
      </c>
      <c r="Y6811" t="str">
        <f t="shared" si="2786"/>
        <v>04-08-2020</v>
      </c>
      <c r="Z6811" t="str">
        <f>"COS10200804 2343"</f>
        <v>COS10200804 2343</v>
      </c>
    </row>
    <row r="6812" spans="1:26" x14ac:dyDescent="0.25">
      <c r="A6812" t="str">
        <f t="shared" si="2772"/>
        <v>04-08-2020 12:37:08</v>
      </c>
      <c r="B6812" t="str">
        <f>"0000804102"</f>
        <v>0000804102</v>
      </c>
      <c r="C6812" t="str">
        <f t="shared" si="2773"/>
        <v>0000803960</v>
      </c>
      <c r="D6812" t="str">
        <f t="shared" si="2776"/>
        <v>73185</v>
      </c>
      <c r="E6812" t="str">
        <f t="shared" si="2777"/>
        <v>KFH-OPERATIONS DEPARTMENT</v>
      </c>
      <c r="F6812" t="str">
        <f t="shared" si="2778"/>
        <v>IBG</v>
      </c>
      <c r="G6812" t="str">
        <f t="shared" si="2787"/>
        <v>Refund COSHARE 10</v>
      </c>
      <c r="H6812" s="2">
        <v>193</v>
      </c>
      <c r="I6812" t="str">
        <f>"AZRIFIRDAUS BIN AHMAD ZABIDI"</f>
        <v>AZRIFIRDAUS BIN AHMAD ZABIDI</v>
      </c>
      <c r="J6812" t="str">
        <f t="shared" si="2771"/>
        <v>CIMB BANK / CIMB ISLAMIC BANK</v>
      </c>
      <c r="K6812" t="str">
        <f>"14400102423523"</f>
        <v>14400102423523</v>
      </c>
      <c r="L6812" t="str">
        <f t="shared" si="2788"/>
        <v>04-08-2020</v>
      </c>
      <c r="M6812" t="str">
        <f t="shared" si="2788"/>
        <v>04-08-2020</v>
      </c>
      <c r="N6812" t="str">
        <f t="shared" si="2779"/>
        <v>001105018356</v>
      </c>
      <c r="O6812" t="str">
        <f t="shared" si="2780"/>
        <v>MYR</v>
      </c>
      <c r="P6812" t="str">
        <f t="shared" si="2789"/>
        <v>NIL</v>
      </c>
      <c r="Q6812" t="str">
        <f t="shared" si="2789"/>
        <v>NIL</v>
      </c>
      <c r="R6812" t="str">
        <f t="shared" si="2767"/>
        <v>Accepted</v>
      </c>
      <c r="S6812" t="str">
        <f t="shared" si="2781"/>
        <v>Approved</v>
      </c>
      <c r="T6812" t="str">
        <f t="shared" si="2768"/>
        <v>10.20.8.188</v>
      </c>
      <c r="U6812" t="str">
        <f t="shared" si="2782"/>
        <v>AZRAD UMAR BIN SHAARI</v>
      </c>
      <c r="V6812" t="str">
        <f t="shared" si="2783"/>
        <v>FARHANA BINTI MUSTAPA</v>
      </c>
      <c r="W6812" t="str">
        <f t="shared" si="2784"/>
        <v>04-08-2020</v>
      </c>
      <c r="X6812" t="str">
        <f t="shared" si="2785"/>
        <v>RAZIMAH ANSAR AHMAD</v>
      </c>
      <c r="Y6812" t="str">
        <f t="shared" si="2786"/>
        <v>04-08-2020</v>
      </c>
      <c r="Z6812" t="str">
        <f>"COS10200804 2342"</f>
        <v>COS10200804 2342</v>
      </c>
    </row>
    <row r="6813" spans="1:26" x14ac:dyDescent="0.25">
      <c r="A6813" t="str">
        <f t="shared" si="2772"/>
        <v>04-08-2020 12:37:08</v>
      </c>
      <c r="B6813" t="str">
        <f>"0000804101"</f>
        <v>0000804101</v>
      </c>
      <c r="C6813" t="str">
        <f t="shared" si="2773"/>
        <v>0000803960</v>
      </c>
      <c r="D6813" t="str">
        <f t="shared" si="2776"/>
        <v>73185</v>
      </c>
      <c r="E6813" t="str">
        <f t="shared" si="2777"/>
        <v>KFH-OPERATIONS DEPARTMENT</v>
      </c>
      <c r="F6813" t="str">
        <f t="shared" si="2778"/>
        <v>IBG</v>
      </c>
      <c r="G6813" t="str">
        <f t="shared" si="2787"/>
        <v>Refund COSHARE 10</v>
      </c>
      <c r="H6813" s="2">
        <v>630</v>
      </c>
      <c r="I6813" t="str">
        <f>"AZRI BIN AZMI  MAIDAL"</f>
        <v>AZRI BIN AZMI  MAIDAL</v>
      </c>
      <c r="J6813" t="str">
        <f t="shared" si="2771"/>
        <v>CIMB BANK / CIMB ISLAMIC BANK</v>
      </c>
      <c r="K6813" t="str">
        <f>"10010003407203"</f>
        <v>10010003407203</v>
      </c>
      <c r="L6813" t="str">
        <f t="shared" si="2788"/>
        <v>04-08-2020</v>
      </c>
      <c r="M6813" t="str">
        <f t="shared" si="2788"/>
        <v>04-08-2020</v>
      </c>
      <c r="N6813" t="str">
        <f t="shared" si="2779"/>
        <v>001105018356</v>
      </c>
      <c r="O6813" t="str">
        <f t="shared" si="2780"/>
        <v>MYR</v>
      </c>
      <c r="P6813" t="str">
        <f t="shared" si="2789"/>
        <v>NIL</v>
      </c>
      <c r="Q6813" t="str">
        <f t="shared" si="2789"/>
        <v>NIL</v>
      </c>
      <c r="R6813" t="str">
        <f t="shared" si="2767"/>
        <v>Accepted</v>
      </c>
      <c r="S6813" t="str">
        <f t="shared" si="2781"/>
        <v>Approved</v>
      </c>
      <c r="T6813" t="str">
        <f t="shared" si="2768"/>
        <v>10.20.8.188</v>
      </c>
      <c r="U6813" t="str">
        <f t="shared" si="2782"/>
        <v>AZRAD UMAR BIN SHAARI</v>
      </c>
      <c r="V6813" t="str">
        <f t="shared" si="2783"/>
        <v>FARHANA BINTI MUSTAPA</v>
      </c>
      <c r="W6813" t="str">
        <f t="shared" si="2784"/>
        <v>04-08-2020</v>
      </c>
      <c r="X6813" t="str">
        <f t="shared" si="2785"/>
        <v>RAZIMAH ANSAR AHMAD</v>
      </c>
      <c r="Y6813" t="str">
        <f t="shared" si="2786"/>
        <v>04-08-2020</v>
      </c>
      <c r="Z6813" t="str">
        <f>"COS10200804 2341"</f>
        <v>COS10200804 2341</v>
      </c>
    </row>
    <row r="6814" spans="1:26" x14ac:dyDescent="0.25">
      <c r="A6814" t="str">
        <f t="shared" si="2772"/>
        <v>04-08-2020 12:37:08</v>
      </c>
      <c r="B6814" t="str">
        <f>"0000804100"</f>
        <v>0000804100</v>
      </c>
      <c r="C6814" t="str">
        <f t="shared" si="2773"/>
        <v>0000803960</v>
      </c>
      <c r="D6814" t="str">
        <f t="shared" si="2776"/>
        <v>73185</v>
      </c>
      <c r="E6814" t="str">
        <f t="shared" si="2777"/>
        <v>KFH-OPERATIONS DEPARTMENT</v>
      </c>
      <c r="F6814" t="str">
        <f t="shared" si="2778"/>
        <v>IBG</v>
      </c>
      <c r="G6814" t="str">
        <f t="shared" si="2787"/>
        <v>Refund COSHARE 10</v>
      </c>
      <c r="H6814" s="2">
        <v>1469.1</v>
      </c>
      <c r="I6814" t="str">
        <f>"AZRATUL AZLIN BINTI AZIZ"</f>
        <v>AZRATUL AZLIN BINTI AZIZ</v>
      </c>
      <c r="J6814" t="str">
        <f t="shared" si="2771"/>
        <v>CIMB BANK / CIMB ISLAMIC BANK</v>
      </c>
      <c r="K6814" t="str">
        <f>"7063628411"</f>
        <v>7063628411</v>
      </c>
      <c r="L6814" t="str">
        <f t="shared" si="2788"/>
        <v>04-08-2020</v>
      </c>
      <c r="M6814" t="str">
        <f t="shared" si="2788"/>
        <v>04-08-2020</v>
      </c>
      <c r="N6814" t="str">
        <f t="shared" si="2779"/>
        <v>001105018356</v>
      </c>
      <c r="O6814" t="str">
        <f t="shared" si="2780"/>
        <v>MYR</v>
      </c>
      <c r="P6814" t="str">
        <f t="shared" si="2789"/>
        <v>NIL</v>
      </c>
      <c r="Q6814" t="str">
        <f t="shared" si="2789"/>
        <v>NIL</v>
      </c>
      <c r="R6814" t="str">
        <f t="shared" si="2767"/>
        <v>Accepted</v>
      </c>
      <c r="S6814" t="str">
        <f t="shared" si="2781"/>
        <v>Approved</v>
      </c>
      <c r="T6814" t="str">
        <f t="shared" si="2768"/>
        <v>10.20.8.188</v>
      </c>
      <c r="U6814" t="str">
        <f t="shared" si="2782"/>
        <v>AZRAD UMAR BIN SHAARI</v>
      </c>
      <c r="V6814" t="str">
        <f t="shared" si="2783"/>
        <v>FARHANA BINTI MUSTAPA</v>
      </c>
      <c r="W6814" t="str">
        <f t="shared" si="2784"/>
        <v>04-08-2020</v>
      </c>
      <c r="X6814" t="str">
        <f t="shared" si="2785"/>
        <v>RAZIMAH ANSAR AHMAD</v>
      </c>
      <c r="Y6814" t="str">
        <f t="shared" si="2786"/>
        <v>04-08-2020</v>
      </c>
      <c r="Z6814" t="str">
        <f>"COS10200804 2340"</f>
        <v>COS10200804 2340</v>
      </c>
    </row>
    <row r="6815" spans="1:26" x14ac:dyDescent="0.25">
      <c r="A6815" t="str">
        <f t="shared" si="2772"/>
        <v>04-08-2020 12:37:08</v>
      </c>
      <c r="B6815" t="str">
        <f>"0000804099"</f>
        <v>0000804099</v>
      </c>
      <c r="C6815" t="str">
        <f t="shared" si="2773"/>
        <v>0000803960</v>
      </c>
      <c r="D6815" t="str">
        <f t="shared" si="2776"/>
        <v>73185</v>
      </c>
      <c r="E6815" t="str">
        <f t="shared" si="2777"/>
        <v>KFH-OPERATIONS DEPARTMENT</v>
      </c>
      <c r="F6815" t="str">
        <f t="shared" si="2778"/>
        <v>IBG</v>
      </c>
      <c r="G6815" t="str">
        <f t="shared" si="2787"/>
        <v>Refund COSHARE 10</v>
      </c>
      <c r="H6815" s="2">
        <v>898.25</v>
      </c>
      <c r="I6815" t="str">
        <f>"AZORA BINTI AHMAD SHAH"</f>
        <v>AZORA BINTI AHMAD SHAH</v>
      </c>
      <c r="J6815" t="str">
        <f t="shared" si="2771"/>
        <v>CIMB BANK / CIMB ISLAMIC BANK</v>
      </c>
      <c r="K6815" t="str">
        <f>"7033311351"</f>
        <v>7033311351</v>
      </c>
      <c r="L6815" t="str">
        <f t="shared" si="2788"/>
        <v>04-08-2020</v>
      </c>
      <c r="M6815" t="str">
        <f t="shared" si="2788"/>
        <v>04-08-2020</v>
      </c>
      <c r="N6815" t="str">
        <f t="shared" si="2779"/>
        <v>001105018356</v>
      </c>
      <c r="O6815" t="str">
        <f t="shared" si="2780"/>
        <v>MYR</v>
      </c>
      <c r="P6815" t="str">
        <f t="shared" si="2789"/>
        <v>NIL</v>
      </c>
      <c r="Q6815" t="str">
        <f t="shared" si="2789"/>
        <v>NIL</v>
      </c>
      <c r="R6815" t="str">
        <f t="shared" si="2767"/>
        <v>Accepted</v>
      </c>
      <c r="S6815" t="str">
        <f t="shared" si="2781"/>
        <v>Approved</v>
      </c>
      <c r="T6815" t="str">
        <f t="shared" si="2768"/>
        <v>10.20.8.188</v>
      </c>
      <c r="U6815" t="str">
        <f t="shared" si="2782"/>
        <v>AZRAD UMAR BIN SHAARI</v>
      </c>
      <c r="V6815" t="str">
        <f t="shared" si="2783"/>
        <v>FARHANA BINTI MUSTAPA</v>
      </c>
      <c r="W6815" t="str">
        <f t="shared" si="2784"/>
        <v>04-08-2020</v>
      </c>
      <c r="X6815" t="str">
        <f t="shared" si="2785"/>
        <v>RAZIMAH ANSAR AHMAD</v>
      </c>
      <c r="Y6815" t="str">
        <f t="shared" si="2786"/>
        <v>04-08-2020</v>
      </c>
      <c r="Z6815" t="str">
        <f>"COS10200804 2339"</f>
        <v>COS10200804 2339</v>
      </c>
    </row>
    <row r="6816" spans="1:26" x14ac:dyDescent="0.25">
      <c r="A6816" t="str">
        <f t="shared" si="2772"/>
        <v>04-08-2020 12:37:08</v>
      </c>
      <c r="B6816" t="str">
        <f>"0000804098"</f>
        <v>0000804098</v>
      </c>
      <c r="C6816" t="str">
        <f t="shared" si="2773"/>
        <v>0000803960</v>
      </c>
      <c r="D6816" t="str">
        <f t="shared" si="2776"/>
        <v>73185</v>
      </c>
      <c r="E6816" t="str">
        <f t="shared" si="2777"/>
        <v>KFH-OPERATIONS DEPARTMENT</v>
      </c>
      <c r="F6816" t="str">
        <f t="shared" si="2778"/>
        <v>IBG</v>
      </c>
      <c r="G6816" t="str">
        <f t="shared" si="2787"/>
        <v>Refund COSHARE 10</v>
      </c>
      <c r="H6816" s="2">
        <v>889.9</v>
      </c>
      <c r="I6816" t="str">
        <f>"AZNY ROHAIDAH BINTI AMINOR RASHID"</f>
        <v>AZNY ROHAIDAH BINTI AMINOR RASHID</v>
      </c>
      <c r="J6816" t="str">
        <f t="shared" si="2771"/>
        <v>CIMB BANK / CIMB ISLAMIC BANK</v>
      </c>
      <c r="K6816" t="str">
        <f>"7000040736"</f>
        <v>7000040736</v>
      </c>
      <c r="L6816" t="str">
        <f t="shared" si="2788"/>
        <v>04-08-2020</v>
      </c>
      <c r="M6816" t="str">
        <f t="shared" si="2788"/>
        <v>04-08-2020</v>
      </c>
      <c r="N6816" t="str">
        <f t="shared" si="2779"/>
        <v>001105018356</v>
      </c>
      <c r="O6816" t="str">
        <f t="shared" si="2780"/>
        <v>MYR</v>
      </c>
      <c r="P6816" t="str">
        <f t="shared" si="2789"/>
        <v>NIL</v>
      </c>
      <c r="Q6816" t="str">
        <f t="shared" si="2789"/>
        <v>NIL</v>
      </c>
      <c r="R6816" t="str">
        <f t="shared" si="2767"/>
        <v>Accepted</v>
      </c>
      <c r="S6816" t="str">
        <f t="shared" si="2781"/>
        <v>Approved</v>
      </c>
      <c r="T6816" t="str">
        <f t="shared" si="2768"/>
        <v>10.20.8.188</v>
      </c>
      <c r="U6816" t="str">
        <f t="shared" si="2782"/>
        <v>AZRAD UMAR BIN SHAARI</v>
      </c>
      <c r="V6816" t="str">
        <f t="shared" si="2783"/>
        <v>FARHANA BINTI MUSTAPA</v>
      </c>
      <c r="W6816" t="str">
        <f t="shared" si="2784"/>
        <v>04-08-2020</v>
      </c>
      <c r="X6816" t="str">
        <f t="shared" si="2785"/>
        <v>RAZIMAH ANSAR AHMAD</v>
      </c>
      <c r="Y6816" t="str">
        <f t="shared" si="2786"/>
        <v>04-08-2020</v>
      </c>
      <c r="Z6816" t="str">
        <f>"COS10200804 2338"</f>
        <v>COS10200804 2338</v>
      </c>
    </row>
    <row r="6817" spans="1:26" x14ac:dyDescent="0.25">
      <c r="A6817" t="str">
        <f t="shared" si="2772"/>
        <v>04-08-2020 12:37:08</v>
      </c>
      <c r="B6817" t="str">
        <f>"0000804097"</f>
        <v>0000804097</v>
      </c>
      <c r="C6817" t="str">
        <f t="shared" si="2773"/>
        <v>0000803960</v>
      </c>
      <c r="D6817" t="str">
        <f t="shared" si="2776"/>
        <v>73185</v>
      </c>
      <c r="E6817" t="str">
        <f t="shared" si="2777"/>
        <v>KFH-OPERATIONS DEPARTMENT</v>
      </c>
      <c r="F6817" t="str">
        <f t="shared" si="2778"/>
        <v>IBG</v>
      </c>
      <c r="G6817" t="str">
        <f t="shared" si="2787"/>
        <v>Refund COSHARE 10</v>
      </c>
      <c r="H6817" s="2">
        <v>108</v>
      </c>
      <c r="I6817" t="str">
        <f>"AZNI BINTI PINGI"</f>
        <v>AZNI BINTI PINGI</v>
      </c>
      <c r="J6817" t="str">
        <f t="shared" si="2771"/>
        <v>CIMB BANK / CIMB ISLAMIC BANK</v>
      </c>
      <c r="K6817" t="str">
        <f>"14400044623526"</f>
        <v>14400044623526</v>
      </c>
      <c r="L6817" t="str">
        <f t="shared" si="2788"/>
        <v>04-08-2020</v>
      </c>
      <c r="M6817" t="str">
        <f t="shared" si="2788"/>
        <v>04-08-2020</v>
      </c>
      <c r="N6817" t="str">
        <f t="shared" si="2779"/>
        <v>001105018356</v>
      </c>
      <c r="O6817" t="str">
        <f t="shared" si="2780"/>
        <v>MYR</v>
      </c>
      <c r="P6817" t="str">
        <f t="shared" si="2789"/>
        <v>NIL</v>
      </c>
      <c r="Q6817" t="str">
        <f t="shared" si="2789"/>
        <v>NIL</v>
      </c>
      <c r="R6817" t="str">
        <f t="shared" si="2767"/>
        <v>Accepted</v>
      </c>
      <c r="S6817" t="str">
        <f t="shared" si="2781"/>
        <v>Approved</v>
      </c>
      <c r="T6817" t="str">
        <f t="shared" si="2768"/>
        <v>10.20.8.188</v>
      </c>
      <c r="U6817" t="str">
        <f t="shared" si="2782"/>
        <v>AZRAD UMAR BIN SHAARI</v>
      </c>
      <c r="V6817" t="str">
        <f t="shared" si="2783"/>
        <v>FARHANA BINTI MUSTAPA</v>
      </c>
      <c r="W6817" t="str">
        <f t="shared" si="2784"/>
        <v>04-08-2020</v>
      </c>
      <c r="X6817" t="str">
        <f t="shared" si="2785"/>
        <v>RAZIMAH ANSAR AHMAD</v>
      </c>
      <c r="Y6817" t="str">
        <f t="shared" si="2786"/>
        <v>04-08-2020</v>
      </c>
      <c r="Z6817" t="str">
        <f>"COS10200804 2337"</f>
        <v>COS10200804 2337</v>
      </c>
    </row>
    <row r="6818" spans="1:26" x14ac:dyDescent="0.25">
      <c r="A6818" t="str">
        <f t="shared" ref="A6818:A6849" si="2790">"04-08-2020 12:37:08"</f>
        <v>04-08-2020 12:37:08</v>
      </c>
      <c r="B6818" t="str">
        <f>"0000804096"</f>
        <v>0000804096</v>
      </c>
      <c r="C6818" t="str">
        <f t="shared" ref="C6818:C6849" si="2791">"0000803960"</f>
        <v>0000803960</v>
      </c>
      <c r="D6818" t="str">
        <f t="shared" si="2776"/>
        <v>73185</v>
      </c>
      <c r="E6818" t="str">
        <f t="shared" si="2777"/>
        <v>KFH-OPERATIONS DEPARTMENT</v>
      </c>
      <c r="F6818" t="str">
        <f t="shared" si="2778"/>
        <v>IBG</v>
      </c>
      <c r="G6818" t="str">
        <f t="shared" si="2787"/>
        <v>Refund COSHARE 10</v>
      </c>
      <c r="H6818" s="2">
        <v>767.45</v>
      </c>
      <c r="I6818" t="str">
        <f>"AZNI BINTI MOHAMAD"</f>
        <v>AZNI BINTI MOHAMAD</v>
      </c>
      <c r="J6818" t="str">
        <f t="shared" si="2771"/>
        <v>CIMB BANK / CIMB ISLAMIC BANK</v>
      </c>
      <c r="K6818" t="str">
        <f>"7609247665"</f>
        <v>7609247665</v>
      </c>
      <c r="L6818" t="str">
        <f t="shared" si="2788"/>
        <v>04-08-2020</v>
      </c>
      <c r="M6818" t="str">
        <f t="shared" si="2788"/>
        <v>04-08-2020</v>
      </c>
      <c r="N6818" t="str">
        <f t="shared" si="2779"/>
        <v>001105018356</v>
      </c>
      <c r="O6818" t="str">
        <f t="shared" si="2780"/>
        <v>MYR</v>
      </c>
      <c r="P6818" t="str">
        <f t="shared" si="2789"/>
        <v>NIL</v>
      </c>
      <c r="Q6818" t="str">
        <f t="shared" si="2789"/>
        <v>NIL</v>
      </c>
      <c r="R6818" t="str">
        <f t="shared" ref="R6818:R6881" si="2792">"Accepted"</f>
        <v>Accepted</v>
      </c>
      <c r="S6818" t="str">
        <f t="shared" si="2781"/>
        <v>Approved</v>
      </c>
      <c r="T6818" t="str">
        <f t="shared" ref="T6818:T6881" si="2793">"10.20.8.188"</f>
        <v>10.20.8.188</v>
      </c>
      <c r="U6818" t="str">
        <f t="shared" si="2782"/>
        <v>AZRAD UMAR BIN SHAARI</v>
      </c>
      <c r="V6818" t="str">
        <f t="shared" si="2783"/>
        <v>FARHANA BINTI MUSTAPA</v>
      </c>
      <c r="W6818" t="str">
        <f t="shared" si="2784"/>
        <v>04-08-2020</v>
      </c>
      <c r="X6818" t="str">
        <f t="shared" si="2785"/>
        <v>RAZIMAH ANSAR AHMAD</v>
      </c>
      <c r="Y6818" t="str">
        <f t="shared" si="2786"/>
        <v>04-08-2020</v>
      </c>
      <c r="Z6818" t="str">
        <f>"COS10200804 2336"</f>
        <v>COS10200804 2336</v>
      </c>
    </row>
    <row r="6819" spans="1:26" x14ac:dyDescent="0.25">
      <c r="A6819" t="str">
        <f t="shared" si="2790"/>
        <v>04-08-2020 12:37:08</v>
      </c>
      <c r="B6819" t="str">
        <f>"0000804095"</f>
        <v>0000804095</v>
      </c>
      <c r="C6819" t="str">
        <f t="shared" si="2791"/>
        <v>0000803960</v>
      </c>
      <c r="D6819" t="str">
        <f t="shared" si="2776"/>
        <v>73185</v>
      </c>
      <c r="E6819" t="str">
        <f t="shared" si="2777"/>
        <v>KFH-OPERATIONS DEPARTMENT</v>
      </c>
      <c r="F6819" t="str">
        <f t="shared" si="2778"/>
        <v>IBG</v>
      </c>
      <c r="G6819" t="str">
        <f t="shared" si="2787"/>
        <v>Refund COSHARE 10</v>
      </c>
      <c r="H6819" s="2">
        <v>436.55</v>
      </c>
      <c r="I6819" t="str">
        <f>"AZMIAH BINTI MD JAAFAR"</f>
        <v>AZMIAH BINTI MD JAAFAR</v>
      </c>
      <c r="J6819" t="str">
        <f t="shared" si="2771"/>
        <v>CIMB BANK / CIMB ISLAMIC BANK</v>
      </c>
      <c r="K6819" t="str">
        <f>"10090011198520"</f>
        <v>10090011198520</v>
      </c>
      <c r="L6819" t="str">
        <f t="shared" si="2788"/>
        <v>04-08-2020</v>
      </c>
      <c r="M6819" t="str">
        <f t="shared" si="2788"/>
        <v>04-08-2020</v>
      </c>
      <c r="N6819" t="str">
        <f t="shared" si="2779"/>
        <v>001105018356</v>
      </c>
      <c r="O6819" t="str">
        <f t="shared" si="2780"/>
        <v>MYR</v>
      </c>
      <c r="P6819" t="str">
        <f t="shared" si="2789"/>
        <v>NIL</v>
      </c>
      <c r="Q6819" t="str">
        <f t="shared" si="2789"/>
        <v>NIL</v>
      </c>
      <c r="R6819" t="str">
        <f t="shared" si="2792"/>
        <v>Accepted</v>
      </c>
      <c r="S6819" t="str">
        <f t="shared" si="2781"/>
        <v>Approved</v>
      </c>
      <c r="T6819" t="str">
        <f t="shared" si="2793"/>
        <v>10.20.8.188</v>
      </c>
      <c r="U6819" t="str">
        <f t="shared" si="2782"/>
        <v>AZRAD UMAR BIN SHAARI</v>
      </c>
      <c r="V6819" t="str">
        <f t="shared" si="2783"/>
        <v>FARHANA BINTI MUSTAPA</v>
      </c>
      <c r="W6819" t="str">
        <f t="shared" si="2784"/>
        <v>04-08-2020</v>
      </c>
      <c r="X6819" t="str">
        <f t="shared" si="2785"/>
        <v>RAZIMAH ANSAR AHMAD</v>
      </c>
      <c r="Y6819" t="str">
        <f t="shared" si="2786"/>
        <v>04-08-2020</v>
      </c>
      <c r="Z6819" t="str">
        <f>"COS10200804 2335"</f>
        <v>COS10200804 2335</v>
      </c>
    </row>
    <row r="6820" spans="1:26" x14ac:dyDescent="0.25">
      <c r="A6820" t="str">
        <f t="shared" si="2790"/>
        <v>04-08-2020 12:37:08</v>
      </c>
      <c r="B6820" t="str">
        <f>"0000804094"</f>
        <v>0000804094</v>
      </c>
      <c r="C6820" t="str">
        <f t="shared" si="2791"/>
        <v>0000803960</v>
      </c>
      <c r="D6820" t="str">
        <f t="shared" si="2776"/>
        <v>73185</v>
      </c>
      <c r="E6820" t="str">
        <f t="shared" si="2777"/>
        <v>KFH-OPERATIONS DEPARTMENT</v>
      </c>
      <c r="F6820" t="str">
        <f t="shared" si="2778"/>
        <v>IBG</v>
      </c>
      <c r="G6820" t="str">
        <f t="shared" si="2787"/>
        <v>Refund COSHARE 10</v>
      </c>
      <c r="H6820" s="2">
        <v>380</v>
      </c>
      <c r="I6820" t="str">
        <f>"AZMI JAMMADI BIN TAHARIN"</f>
        <v>AZMI JAMMADI BIN TAHARIN</v>
      </c>
      <c r="J6820" t="str">
        <f t="shared" si="2771"/>
        <v>CIMB BANK / CIMB ISLAMIC BANK</v>
      </c>
      <c r="K6820" t="str">
        <f>"08090081183525"</f>
        <v>08090081183525</v>
      </c>
      <c r="L6820" t="str">
        <f t="shared" si="2788"/>
        <v>04-08-2020</v>
      </c>
      <c r="M6820" t="str">
        <f t="shared" si="2788"/>
        <v>04-08-2020</v>
      </c>
      <c r="N6820" t="str">
        <f t="shared" si="2779"/>
        <v>001105018356</v>
      </c>
      <c r="O6820" t="str">
        <f t="shared" si="2780"/>
        <v>MYR</v>
      </c>
      <c r="P6820" t="str">
        <f t="shared" si="2789"/>
        <v>NIL</v>
      </c>
      <c r="Q6820" t="str">
        <f t="shared" si="2789"/>
        <v>NIL</v>
      </c>
      <c r="R6820" t="str">
        <f t="shared" si="2792"/>
        <v>Accepted</v>
      </c>
      <c r="S6820" t="str">
        <f t="shared" si="2781"/>
        <v>Approved</v>
      </c>
      <c r="T6820" t="str">
        <f t="shared" si="2793"/>
        <v>10.20.8.188</v>
      </c>
      <c r="U6820" t="str">
        <f t="shared" si="2782"/>
        <v>AZRAD UMAR BIN SHAARI</v>
      </c>
      <c r="V6820" t="str">
        <f t="shared" si="2783"/>
        <v>FARHANA BINTI MUSTAPA</v>
      </c>
      <c r="W6820" t="str">
        <f t="shared" si="2784"/>
        <v>04-08-2020</v>
      </c>
      <c r="X6820" t="str">
        <f t="shared" si="2785"/>
        <v>RAZIMAH ANSAR AHMAD</v>
      </c>
      <c r="Y6820" t="str">
        <f t="shared" si="2786"/>
        <v>04-08-2020</v>
      </c>
      <c r="Z6820" t="str">
        <f>"COS10200804 2334"</f>
        <v>COS10200804 2334</v>
      </c>
    </row>
    <row r="6821" spans="1:26" x14ac:dyDescent="0.25">
      <c r="A6821" t="str">
        <f t="shared" si="2790"/>
        <v>04-08-2020 12:37:08</v>
      </c>
      <c r="B6821" t="str">
        <f>"0000804093"</f>
        <v>0000804093</v>
      </c>
      <c r="C6821" t="str">
        <f t="shared" si="2791"/>
        <v>0000803960</v>
      </c>
      <c r="D6821" t="str">
        <f t="shared" si="2776"/>
        <v>73185</v>
      </c>
      <c r="E6821" t="str">
        <f t="shared" si="2777"/>
        <v>KFH-OPERATIONS DEPARTMENT</v>
      </c>
      <c r="F6821" t="str">
        <f t="shared" si="2778"/>
        <v>IBG</v>
      </c>
      <c r="G6821" t="str">
        <f t="shared" si="2787"/>
        <v>Refund COSHARE 10</v>
      </c>
      <c r="H6821" s="2">
        <v>182</v>
      </c>
      <c r="I6821" t="str">
        <f>"AZMI BIN MAMAT"</f>
        <v>AZMI BIN MAMAT</v>
      </c>
      <c r="J6821" t="str">
        <f t="shared" si="2771"/>
        <v>CIMB BANK / CIMB ISLAMIC BANK</v>
      </c>
      <c r="K6821" t="str">
        <f>"12230031530521"</f>
        <v>12230031530521</v>
      </c>
      <c r="L6821" t="str">
        <f t="shared" si="2788"/>
        <v>04-08-2020</v>
      </c>
      <c r="M6821" t="str">
        <f t="shared" si="2788"/>
        <v>04-08-2020</v>
      </c>
      <c r="N6821" t="str">
        <f t="shared" si="2779"/>
        <v>001105018356</v>
      </c>
      <c r="O6821" t="str">
        <f t="shared" si="2780"/>
        <v>MYR</v>
      </c>
      <c r="P6821" t="str">
        <f t="shared" si="2789"/>
        <v>NIL</v>
      </c>
      <c r="Q6821" t="str">
        <f t="shared" si="2789"/>
        <v>NIL</v>
      </c>
      <c r="R6821" t="str">
        <f t="shared" si="2792"/>
        <v>Accepted</v>
      </c>
      <c r="S6821" t="str">
        <f t="shared" si="2781"/>
        <v>Approved</v>
      </c>
      <c r="T6821" t="str">
        <f t="shared" si="2793"/>
        <v>10.20.8.188</v>
      </c>
      <c r="U6821" t="str">
        <f t="shared" si="2782"/>
        <v>AZRAD UMAR BIN SHAARI</v>
      </c>
      <c r="V6821" t="str">
        <f t="shared" si="2783"/>
        <v>FARHANA BINTI MUSTAPA</v>
      </c>
      <c r="W6821" t="str">
        <f t="shared" si="2784"/>
        <v>04-08-2020</v>
      </c>
      <c r="X6821" t="str">
        <f t="shared" si="2785"/>
        <v>RAZIMAH ANSAR AHMAD</v>
      </c>
      <c r="Y6821" t="str">
        <f t="shared" si="2786"/>
        <v>04-08-2020</v>
      </c>
      <c r="Z6821" t="str">
        <f>"COS10200804 2333"</f>
        <v>COS10200804 2333</v>
      </c>
    </row>
    <row r="6822" spans="1:26" x14ac:dyDescent="0.25">
      <c r="A6822" t="str">
        <f t="shared" si="2790"/>
        <v>04-08-2020 12:37:08</v>
      </c>
      <c r="B6822" t="str">
        <f>"0000804092"</f>
        <v>0000804092</v>
      </c>
      <c r="C6822" t="str">
        <f t="shared" si="2791"/>
        <v>0000803960</v>
      </c>
      <c r="D6822" t="str">
        <f t="shared" si="2776"/>
        <v>73185</v>
      </c>
      <c r="E6822" t="str">
        <f t="shared" si="2777"/>
        <v>KFH-OPERATIONS DEPARTMENT</v>
      </c>
      <c r="F6822" t="str">
        <f t="shared" si="2778"/>
        <v>IBG</v>
      </c>
      <c r="G6822" t="str">
        <f t="shared" si="2787"/>
        <v>Refund COSHARE 10</v>
      </c>
      <c r="H6822" s="2">
        <v>1688.9</v>
      </c>
      <c r="I6822" t="str">
        <f>"AZMI BIN AHMAD"</f>
        <v>AZMI BIN AHMAD</v>
      </c>
      <c r="J6822" t="str">
        <f t="shared" si="2771"/>
        <v>CIMB BANK / CIMB ISLAMIC BANK</v>
      </c>
      <c r="K6822" t="str">
        <f>"01250061067522"</f>
        <v>01250061067522</v>
      </c>
      <c r="L6822" t="str">
        <f t="shared" si="2788"/>
        <v>04-08-2020</v>
      </c>
      <c r="M6822" t="str">
        <f t="shared" si="2788"/>
        <v>04-08-2020</v>
      </c>
      <c r="N6822" t="str">
        <f t="shared" si="2779"/>
        <v>001105018356</v>
      </c>
      <c r="O6822" t="str">
        <f t="shared" si="2780"/>
        <v>MYR</v>
      </c>
      <c r="P6822" t="str">
        <f t="shared" si="2789"/>
        <v>NIL</v>
      </c>
      <c r="Q6822" t="str">
        <f t="shared" si="2789"/>
        <v>NIL</v>
      </c>
      <c r="R6822" t="str">
        <f t="shared" si="2792"/>
        <v>Accepted</v>
      </c>
      <c r="S6822" t="str">
        <f t="shared" si="2781"/>
        <v>Approved</v>
      </c>
      <c r="T6822" t="str">
        <f t="shared" si="2793"/>
        <v>10.20.8.188</v>
      </c>
      <c r="U6822" t="str">
        <f t="shared" si="2782"/>
        <v>AZRAD UMAR BIN SHAARI</v>
      </c>
      <c r="V6822" t="str">
        <f t="shared" si="2783"/>
        <v>FARHANA BINTI MUSTAPA</v>
      </c>
      <c r="W6822" t="str">
        <f t="shared" si="2784"/>
        <v>04-08-2020</v>
      </c>
      <c r="X6822" t="str">
        <f t="shared" si="2785"/>
        <v>RAZIMAH ANSAR AHMAD</v>
      </c>
      <c r="Y6822" t="str">
        <f t="shared" si="2786"/>
        <v>04-08-2020</v>
      </c>
      <c r="Z6822" t="str">
        <f>"COS10200804 2332"</f>
        <v>COS10200804 2332</v>
      </c>
    </row>
    <row r="6823" spans="1:26" x14ac:dyDescent="0.25">
      <c r="A6823" t="str">
        <f t="shared" si="2790"/>
        <v>04-08-2020 12:37:08</v>
      </c>
      <c r="B6823" t="str">
        <f>"0000804091"</f>
        <v>0000804091</v>
      </c>
      <c r="C6823" t="str">
        <f t="shared" si="2791"/>
        <v>0000803960</v>
      </c>
      <c r="D6823" t="str">
        <f t="shared" si="2776"/>
        <v>73185</v>
      </c>
      <c r="E6823" t="str">
        <f t="shared" si="2777"/>
        <v>KFH-OPERATIONS DEPARTMENT</v>
      </c>
      <c r="F6823" t="str">
        <f t="shared" si="2778"/>
        <v>IBG</v>
      </c>
      <c r="G6823" t="str">
        <f t="shared" si="2787"/>
        <v>Refund COSHARE 10</v>
      </c>
      <c r="H6823" s="2">
        <v>344.8</v>
      </c>
      <c r="I6823" t="str">
        <f>"AZMAN BIN SOAIT"</f>
        <v>AZMAN BIN SOAIT</v>
      </c>
      <c r="J6823" t="str">
        <f t="shared" si="2771"/>
        <v>CIMB BANK / CIMB ISLAMIC BANK</v>
      </c>
      <c r="K6823" t="str">
        <f>"05060047364529"</f>
        <v>05060047364529</v>
      </c>
      <c r="L6823" t="str">
        <f t="shared" si="2788"/>
        <v>04-08-2020</v>
      </c>
      <c r="M6823" t="str">
        <f t="shared" si="2788"/>
        <v>04-08-2020</v>
      </c>
      <c r="N6823" t="str">
        <f t="shared" si="2779"/>
        <v>001105018356</v>
      </c>
      <c r="O6823" t="str">
        <f t="shared" si="2780"/>
        <v>MYR</v>
      </c>
      <c r="P6823" t="str">
        <f t="shared" si="2789"/>
        <v>NIL</v>
      </c>
      <c r="Q6823" t="str">
        <f t="shared" si="2789"/>
        <v>NIL</v>
      </c>
      <c r="R6823" t="str">
        <f t="shared" si="2792"/>
        <v>Accepted</v>
      </c>
      <c r="S6823" t="str">
        <f t="shared" si="2781"/>
        <v>Approved</v>
      </c>
      <c r="T6823" t="str">
        <f t="shared" si="2793"/>
        <v>10.20.8.188</v>
      </c>
      <c r="U6823" t="str">
        <f t="shared" si="2782"/>
        <v>AZRAD UMAR BIN SHAARI</v>
      </c>
      <c r="V6823" t="str">
        <f t="shared" si="2783"/>
        <v>FARHANA BINTI MUSTAPA</v>
      </c>
      <c r="W6823" t="str">
        <f t="shared" si="2784"/>
        <v>04-08-2020</v>
      </c>
      <c r="X6823" t="str">
        <f t="shared" si="2785"/>
        <v>RAZIMAH ANSAR AHMAD</v>
      </c>
      <c r="Y6823" t="str">
        <f t="shared" si="2786"/>
        <v>04-08-2020</v>
      </c>
      <c r="Z6823" t="str">
        <f>"COS10200804 2331"</f>
        <v>COS10200804 2331</v>
      </c>
    </row>
    <row r="6824" spans="1:26" x14ac:dyDescent="0.25">
      <c r="A6824" t="str">
        <f t="shared" si="2790"/>
        <v>04-08-2020 12:37:08</v>
      </c>
      <c r="B6824" t="str">
        <f>"0000804090"</f>
        <v>0000804090</v>
      </c>
      <c r="C6824" t="str">
        <f t="shared" si="2791"/>
        <v>0000803960</v>
      </c>
      <c r="D6824" t="str">
        <f t="shared" si="2776"/>
        <v>73185</v>
      </c>
      <c r="E6824" t="str">
        <f t="shared" si="2777"/>
        <v>KFH-OPERATIONS DEPARTMENT</v>
      </c>
      <c r="F6824" t="str">
        <f t="shared" si="2778"/>
        <v>IBG</v>
      </c>
      <c r="G6824" t="str">
        <f t="shared" si="2787"/>
        <v>Refund COSHARE 10</v>
      </c>
      <c r="H6824" s="2">
        <v>839.5</v>
      </c>
      <c r="I6824" t="str">
        <f>"AZMAN BIN MAZLAN"</f>
        <v>AZMAN BIN MAZLAN</v>
      </c>
      <c r="J6824" t="str">
        <f t="shared" si="2771"/>
        <v>CIMB BANK / CIMB ISLAMIC BANK</v>
      </c>
      <c r="K6824" t="str">
        <f>"12051367577522"</f>
        <v>12051367577522</v>
      </c>
      <c r="L6824" t="str">
        <f t="shared" si="2788"/>
        <v>04-08-2020</v>
      </c>
      <c r="M6824" t="str">
        <f t="shared" si="2788"/>
        <v>04-08-2020</v>
      </c>
      <c r="N6824" t="str">
        <f t="shared" si="2779"/>
        <v>001105018356</v>
      </c>
      <c r="O6824" t="str">
        <f t="shared" si="2780"/>
        <v>MYR</v>
      </c>
      <c r="P6824" t="str">
        <f t="shared" si="2789"/>
        <v>NIL</v>
      </c>
      <c r="Q6824" t="str">
        <f t="shared" si="2789"/>
        <v>NIL</v>
      </c>
      <c r="R6824" t="str">
        <f t="shared" si="2792"/>
        <v>Accepted</v>
      </c>
      <c r="S6824" t="str">
        <f t="shared" si="2781"/>
        <v>Approved</v>
      </c>
      <c r="T6824" t="str">
        <f t="shared" si="2793"/>
        <v>10.20.8.188</v>
      </c>
      <c r="U6824" t="str">
        <f t="shared" si="2782"/>
        <v>AZRAD UMAR BIN SHAARI</v>
      </c>
      <c r="V6824" t="str">
        <f t="shared" si="2783"/>
        <v>FARHANA BINTI MUSTAPA</v>
      </c>
      <c r="W6824" t="str">
        <f t="shared" si="2784"/>
        <v>04-08-2020</v>
      </c>
      <c r="X6824" t="str">
        <f t="shared" si="2785"/>
        <v>RAZIMAH ANSAR AHMAD</v>
      </c>
      <c r="Y6824" t="str">
        <f t="shared" si="2786"/>
        <v>04-08-2020</v>
      </c>
      <c r="Z6824" t="str">
        <f>"COS10200804 2330"</f>
        <v>COS10200804 2330</v>
      </c>
    </row>
    <row r="6825" spans="1:26" x14ac:dyDescent="0.25">
      <c r="A6825" t="str">
        <f t="shared" si="2790"/>
        <v>04-08-2020 12:37:08</v>
      </c>
      <c r="B6825" t="str">
        <f>"0000804089"</f>
        <v>0000804089</v>
      </c>
      <c r="C6825" t="str">
        <f t="shared" si="2791"/>
        <v>0000803960</v>
      </c>
      <c r="D6825" t="str">
        <f t="shared" si="2776"/>
        <v>73185</v>
      </c>
      <c r="E6825" t="str">
        <f t="shared" si="2777"/>
        <v>KFH-OPERATIONS DEPARTMENT</v>
      </c>
      <c r="F6825" t="str">
        <f t="shared" si="2778"/>
        <v>IBG</v>
      </c>
      <c r="G6825" t="str">
        <f t="shared" si="2787"/>
        <v>Refund COSHARE 10</v>
      </c>
      <c r="H6825" s="2">
        <v>42</v>
      </c>
      <c r="I6825" t="str">
        <f>"AZMAN BIN AKHMAD"</f>
        <v>AZMAN BIN AKHMAD</v>
      </c>
      <c r="J6825" t="str">
        <f t="shared" si="2771"/>
        <v>CIMB BANK / CIMB ISLAMIC BANK</v>
      </c>
      <c r="K6825" t="str">
        <f>"15010070243528"</f>
        <v>15010070243528</v>
      </c>
      <c r="L6825" t="str">
        <f t="shared" si="2788"/>
        <v>04-08-2020</v>
      </c>
      <c r="M6825" t="str">
        <f t="shared" si="2788"/>
        <v>04-08-2020</v>
      </c>
      <c r="N6825" t="str">
        <f t="shared" si="2779"/>
        <v>001105018356</v>
      </c>
      <c r="O6825" t="str">
        <f t="shared" si="2780"/>
        <v>MYR</v>
      </c>
      <c r="P6825" t="str">
        <f t="shared" si="2789"/>
        <v>NIL</v>
      </c>
      <c r="Q6825" t="str">
        <f t="shared" si="2789"/>
        <v>NIL</v>
      </c>
      <c r="R6825" t="str">
        <f t="shared" si="2792"/>
        <v>Accepted</v>
      </c>
      <c r="S6825" t="str">
        <f t="shared" si="2781"/>
        <v>Approved</v>
      </c>
      <c r="T6825" t="str">
        <f t="shared" si="2793"/>
        <v>10.20.8.188</v>
      </c>
      <c r="U6825" t="str">
        <f t="shared" si="2782"/>
        <v>AZRAD UMAR BIN SHAARI</v>
      </c>
      <c r="V6825" t="str">
        <f t="shared" si="2783"/>
        <v>FARHANA BINTI MUSTAPA</v>
      </c>
      <c r="W6825" t="str">
        <f t="shared" si="2784"/>
        <v>04-08-2020</v>
      </c>
      <c r="X6825" t="str">
        <f t="shared" si="2785"/>
        <v>RAZIMAH ANSAR AHMAD</v>
      </c>
      <c r="Y6825" t="str">
        <f t="shared" si="2786"/>
        <v>04-08-2020</v>
      </c>
      <c r="Z6825" t="str">
        <f>"COS10200804 2329"</f>
        <v>COS10200804 2329</v>
      </c>
    </row>
    <row r="6826" spans="1:26" x14ac:dyDescent="0.25">
      <c r="A6826" t="str">
        <f t="shared" si="2790"/>
        <v>04-08-2020 12:37:08</v>
      </c>
      <c r="B6826" t="str">
        <f>"0000804088"</f>
        <v>0000804088</v>
      </c>
      <c r="C6826" t="str">
        <f t="shared" si="2791"/>
        <v>0000803960</v>
      </c>
      <c r="D6826" t="str">
        <f t="shared" si="2776"/>
        <v>73185</v>
      </c>
      <c r="E6826" t="str">
        <f t="shared" si="2777"/>
        <v>KFH-OPERATIONS DEPARTMENT</v>
      </c>
      <c r="F6826" t="str">
        <f t="shared" si="2778"/>
        <v>IBG</v>
      </c>
      <c r="G6826" t="str">
        <f t="shared" si="2787"/>
        <v>Refund COSHARE 10</v>
      </c>
      <c r="H6826" s="2">
        <v>190.55</v>
      </c>
      <c r="I6826" t="str">
        <f>"AZMAN BIN ABD MANAP"</f>
        <v>AZMAN BIN ABD MANAP</v>
      </c>
      <c r="J6826" t="str">
        <f t="shared" si="2771"/>
        <v>CIMB BANK / CIMB ISLAMIC BANK</v>
      </c>
      <c r="K6826" t="str">
        <f>"14220032813527"</f>
        <v>14220032813527</v>
      </c>
      <c r="L6826" t="str">
        <f t="shared" si="2788"/>
        <v>04-08-2020</v>
      </c>
      <c r="M6826" t="str">
        <f t="shared" si="2788"/>
        <v>04-08-2020</v>
      </c>
      <c r="N6826" t="str">
        <f t="shared" si="2779"/>
        <v>001105018356</v>
      </c>
      <c r="O6826" t="str">
        <f t="shared" si="2780"/>
        <v>MYR</v>
      </c>
      <c r="P6826" t="str">
        <f t="shared" si="2789"/>
        <v>NIL</v>
      </c>
      <c r="Q6826" t="str">
        <f t="shared" si="2789"/>
        <v>NIL</v>
      </c>
      <c r="R6826" t="str">
        <f t="shared" si="2792"/>
        <v>Accepted</v>
      </c>
      <c r="S6826" t="str">
        <f t="shared" si="2781"/>
        <v>Approved</v>
      </c>
      <c r="T6826" t="str">
        <f t="shared" si="2793"/>
        <v>10.20.8.188</v>
      </c>
      <c r="U6826" t="str">
        <f t="shared" si="2782"/>
        <v>AZRAD UMAR BIN SHAARI</v>
      </c>
      <c r="V6826" t="str">
        <f t="shared" si="2783"/>
        <v>FARHANA BINTI MUSTAPA</v>
      </c>
      <c r="W6826" t="str">
        <f t="shared" si="2784"/>
        <v>04-08-2020</v>
      </c>
      <c r="X6826" t="str">
        <f t="shared" si="2785"/>
        <v>RAZIMAH ANSAR AHMAD</v>
      </c>
      <c r="Y6826" t="str">
        <f t="shared" si="2786"/>
        <v>04-08-2020</v>
      </c>
      <c r="Z6826" t="str">
        <f>"COS10200804 2328"</f>
        <v>COS10200804 2328</v>
      </c>
    </row>
    <row r="6827" spans="1:26" x14ac:dyDescent="0.25">
      <c r="A6827" t="str">
        <f t="shared" si="2790"/>
        <v>04-08-2020 12:37:08</v>
      </c>
      <c r="B6827" t="str">
        <f>"0000804087"</f>
        <v>0000804087</v>
      </c>
      <c r="C6827" t="str">
        <f t="shared" si="2791"/>
        <v>0000803960</v>
      </c>
      <c r="D6827" t="str">
        <f t="shared" si="2776"/>
        <v>73185</v>
      </c>
      <c r="E6827" t="str">
        <f t="shared" si="2777"/>
        <v>KFH-OPERATIONS DEPARTMENT</v>
      </c>
      <c r="F6827" t="str">
        <f t="shared" si="2778"/>
        <v>IBG</v>
      </c>
      <c r="G6827" t="str">
        <f t="shared" si="2787"/>
        <v>Refund COSHARE 10</v>
      </c>
      <c r="H6827" s="2">
        <v>301.7</v>
      </c>
      <c r="I6827" t="str">
        <f>"AZLINA BINTI APANDI"</f>
        <v>AZLINA BINTI APANDI</v>
      </c>
      <c r="J6827" t="str">
        <f t="shared" si="2771"/>
        <v>CIMB BANK / CIMB ISLAMIC BANK</v>
      </c>
      <c r="K6827" t="str">
        <f>"7049476212"</f>
        <v>7049476212</v>
      </c>
      <c r="L6827" t="str">
        <f t="shared" ref="L6827:M6846" si="2794">"04-08-2020"</f>
        <v>04-08-2020</v>
      </c>
      <c r="M6827" t="str">
        <f t="shared" si="2794"/>
        <v>04-08-2020</v>
      </c>
      <c r="N6827" t="str">
        <f t="shared" si="2779"/>
        <v>001105018356</v>
      </c>
      <c r="O6827" t="str">
        <f t="shared" si="2780"/>
        <v>MYR</v>
      </c>
      <c r="P6827" t="str">
        <f t="shared" ref="P6827:Q6846" si="2795">"NIL"</f>
        <v>NIL</v>
      </c>
      <c r="Q6827" t="str">
        <f t="shared" si="2795"/>
        <v>NIL</v>
      </c>
      <c r="R6827" t="str">
        <f t="shared" si="2792"/>
        <v>Accepted</v>
      </c>
      <c r="S6827" t="str">
        <f t="shared" si="2781"/>
        <v>Approved</v>
      </c>
      <c r="T6827" t="str">
        <f t="shared" si="2793"/>
        <v>10.20.8.188</v>
      </c>
      <c r="U6827" t="str">
        <f t="shared" si="2782"/>
        <v>AZRAD UMAR BIN SHAARI</v>
      </c>
      <c r="V6827" t="str">
        <f t="shared" si="2783"/>
        <v>FARHANA BINTI MUSTAPA</v>
      </c>
      <c r="W6827" t="str">
        <f t="shared" si="2784"/>
        <v>04-08-2020</v>
      </c>
      <c r="X6827" t="str">
        <f t="shared" si="2785"/>
        <v>RAZIMAH ANSAR AHMAD</v>
      </c>
      <c r="Y6827" t="str">
        <f t="shared" si="2786"/>
        <v>04-08-2020</v>
      </c>
      <c r="Z6827" t="str">
        <f>"COS10200804 2327"</f>
        <v>COS10200804 2327</v>
      </c>
    </row>
    <row r="6828" spans="1:26" x14ac:dyDescent="0.25">
      <c r="A6828" t="str">
        <f t="shared" si="2790"/>
        <v>04-08-2020 12:37:08</v>
      </c>
      <c r="B6828" t="str">
        <f>"0000804086"</f>
        <v>0000804086</v>
      </c>
      <c r="C6828" t="str">
        <f t="shared" si="2791"/>
        <v>0000803960</v>
      </c>
      <c r="D6828" t="str">
        <f t="shared" si="2776"/>
        <v>73185</v>
      </c>
      <c r="E6828" t="str">
        <f t="shared" si="2777"/>
        <v>KFH-OPERATIONS DEPARTMENT</v>
      </c>
      <c r="F6828" t="str">
        <f t="shared" si="2778"/>
        <v>IBG</v>
      </c>
      <c r="G6828" t="str">
        <f t="shared" si="2787"/>
        <v>Refund COSHARE 10</v>
      </c>
      <c r="H6828" s="2">
        <v>75.599999999999994</v>
      </c>
      <c r="I6828" t="str">
        <f>"AZLIN BT ABU BAKAR  BERAHIM"</f>
        <v>AZLIN BT ABU BAKAR  BERAHIM</v>
      </c>
      <c r="J6828" t="str">
        <f t="shared" si="2771"/>
        <v>CIMB BANK / CIMB ISLAMIC BANK</v>
      </c>
      <c r="K6828" t="str">
        <f>"7024204499"</f>
        <v>7024204499</v>
      </c>
      <c r="L6828" t="str">
        <f t="shared" si="2794"/>
        <v>04-08-2020</v>
      </c>
      <c r="M6828" t="str">
        <f t="shared" si="2794"/>
        <v>04-08-2020</v>
      </c>
      <c r="N6828" t="str">
        <f t="shared" si="2779"/>
        <v>001105018356</v>
      </c>
      <c r="O6828" t="str">
        <f t="shared" si="2780"/>
        <v>MYR</v>
      </c>
      <c r="P6828" t="str">
        <f t="shared" si="2795"/>
        <v>NIL</v>
      </c>
      <c r="Q6828" t="str">
        <f t="shared" si="2795"/>
        <v>NIL</v>
      </c>
      <c r="R6828" t="str">
        <f t="shared" si="2792"/>
        <v>Accepted</v>
      </c>
      <c r="S6828" t="str">
        <f t="shared" si="2781"/>
        <v>Approved</v>
      </c>
      <c r="T6828" t="str">
        <f t="shared" si="2793"/>
        <v>10.20.8.188</v>
      </c>
      <c r="U6828" t="str">
        <f t="shared" si="2782"/>
        <v>AZRAD UMAR BIN SHAARI</v>
      </c>
      <c r="V6828" t="str">
        <f t="shared" si="2783"/>
        <v>FARHANA BINTI MUSTAPA</v>
      </c>
      <c r="W6828" t="str">
        <f t="shared" si="2784"/>
        <v>04-08-2020</v>
      </c>
      <c r="X6828" t="str">
        <f t="shared" si="2785"/>
        <v>RAZIMAH ANSAR AHMAD</v>
      </c>
      <c r="Y6828" t="str">
        <f t="shared" si="2786"/>
        <v>04-08-2020</v>
      </c>
      <c r="Z6828" t="str">
        <f>"COS10200804 2326"</f>
        <v>COS10200804 2326</v>
      </c>
    </row>
    <row r="6829" spans="1:26" x14ac:dyDescent="0.25">
      <c r="A6829" t="str">
        <f t="shared" si="2790"/>
        <v>04-08-2020 12:37:08</v>
      </c>
      <c r="B6829" t="str">
        <f>"0000804085"</f>
        <v>0000804085</v>
      </c>
      <c r="C6829" t="str">
        <f t="shared" si="2791"/>
        <v>0000803960</v>
      </c>
      <c r="D6829" t="str">
        <f t="shared" si="2776"/>
        <v>73185</v>
      </c>
      <c r="E6829" t="str">
        <f t="shared" si="2777"/>
        <v>KFH-OPERATIONS DEPARTMENT</v>
      </c>
      <c r="F6829" t="str">
        <f t="shared" si="2778"/>
        <v>IBG</v>
      </c>
      <c r="G6829" t="str">
        <f t="shared" si="2787"/>
        <v>Refund COSHARE 10</v>
      </c>
      <c r="H6829" s="2">
        <v>1679</v>
      </c>
      <c r="I6829" t="str">
        <f>"AZLAN BIN MOHD YUSUF"</f>
        <v>AZLAN BIN MOHD YUSUF</v>
      </c>
      <c r="J6829" t="str">
        <f t="shared" si="2771"/>
        <v>CIMB BANK / CIMB ISLAMIC BANK</v>
      </c>
      <c r="K6829" t="str">
        <f>"14380068829523"</f>
        <v>14380068829523</v>
      </c>
      <c r="L6829" t="str">
        <f t="shared" si="2794"/>
        <v>04-08-2020</v>
      </c>
      <c r="M6829" t="str">
        <f t="shared" si="2794"/>
        <v>04-08-2020</v>
      </c>
      <c r="N6829" t="str">
        <f t="shared" si="2779"/>
        <v>001105018356</v>
      </c>
      <c r="O6829" t="str">
        <f t="shared" si="2780"/>
        <v>MYR</v>
      </c>
      <c r="P6829" t="str">
        <f t="shared" si="2795"/>
        <v>NIL</v>
      </c>
      <c r="Q6829" t="str">
        <f t="shared" si="2795"/>
        <v>NIL</v>
      </c>
      <c r="R6829" t="str">
        <f t="shared" si="2792"/>
        <v>Accepted</v>
      </c>
      <c r="S6829" t="str">
        <f t="shared" si="2781"/>
        <v>Approved</v>
      </c>
      <c r="T6829" t="str">
        <f t="shared" si="2793"/>
        <v>10.20.8.188</v>
      </c>
      <c r="U6829" t="str">
        <f t="shared" si="2782"/>
        <v>AZRAD UMAR BIN SHAARI</v>
      </c>
      <c r="V6829" t="str">
        <f t="shared" si="2783"/>
        <v>FARHANA BINTI MUSTAPA</v>
      </c>
      <c r="W6829" t="str">
        <f t="shared" si="2784"/>
        <v>04-08-2020</v>
      </c>
      <c r="X6829" t="str">
        <f t="shared" si="2785"/>
        <v>RAZIMAH ANSAR AHMAD</v>
      </c>
      <c r="Y6829" t="str">
        <f t="shared" si="2786"/>
        <v>04-08-2020</v>
      </c>
      <c r="Z6829" t="str">
        <f>"COS10200804 2325"</f>
        <v>COS10200804 2325</v>
      </c>
    </row>
    <row r="6830" spans="1:26" x14ac:dyDescent="0.25">
      <c r="A6830" t="str">
        <f t="shared" si="2790"/>
        <v>04-08-2020 12:37:08</v>
      </c>
      <c r="B6830" t="str">
        <f>"0000804084"</f>
        <v>0000804084</v>
      </c>
      <c r="C6830" t="str">
        <f t="shared" si="2791"/>
        <v>0000803960</v>
      </c>
      <c r="D6830" t="str">
        <f t="shared" si="2776"/>
        <v>73185</v>
      </c>
      <c r="E6830" t="str">
        <f t="shared" si="2777"/>
        <v>KFH-OPERATIONS DEPARTMENT</v>
      </c>
      <c r="F6830" t="str">
        <f t="shared" si="2778"/>
        <v>IBG</v>
      </c>
      <c r="G6830" t="str">
        <f t="shared" si="2787"/>
        <v>Refund COSHARE 10</v>
      </c>
      <c r="H6830" s="2">
        <v>167.9</v>
      </c>
      <c r="I6830" t="str">
        <f>"AZLAN BIN MARIKA"</f>
        <v>AZLAN BIN MARIKA</v>
      </c>
      <c r="J6830" t="str">
        <f t="shared" si="2771"/>
        <v>CIMB BANK / CIMB ISLAMIC BANK</v>
      </c>
      <c r="K6830" t="str">
        <f>"11090081947528"</f>
        <v>11090081947528</v>
      </c>
      <c r="L6830" t="str">
        <f t="shared" si="2794"/>
        <v>04-08-2020</v>
      </c>
      <c r="M6830" t="str">
        <f t="shared" si="2794"/>
        <v>04-08-2020</v>
      </c>
      <c r="N6830" t="str">
        <f t="shared" si="2779"/>
        <v>001105018356</v>
      </c>
      <c r="O6830" t="str">
        <f t="shared" si="2780"/>
        <v>MYR</v>
      </c>
      <c r="P6830" t="str">
        <f t="shared" si="2795"/>
        <v>NIL</v>
      </c>
      <c r="Q6830" t="str">
        <f t="shared" si="2795"/>
        <v>NIL</v>
      </c>
      <c r="R6830" t="str">
        <f t="shared" si="2792"/>
        <v>Accepted</v>
      </c>
      <c r="S6830" t="str">
        <f t="shared" si="2781"/>
        <v>Approved</v>
      </c>
      <c r="T6830" t="str">
        <f t="shared" si="2793"/>
        <v>10.20.8.188</v>
      </c>
      <c r="U6830" t="str">
        <f t="shared" si="2782"/>
        <v>AZRAD UMAR BIN SHAARI</v>
      </c>
      <c r="V6830" t="str">
        <f t="shared" si="2783"/>
        <v>FARHANA BINTI MUSTAPA</v>
      </c>
      <c r="W6830" t="str">
        <f t="shared" si="2784"/>
        <v>04-08-2020</v>
      </c>
      <c r="X6830" t="str">
        <f t="shared" si="2785"/>
        <v>RAZIMAH ANSAR AHMAD</v>
      </c>
      <c r="Y6830" t="str">
        <f t="shared" si="2786"/>
        <v>04-08-2020</v>
      </c>
      <c r="Z6830" t="str">
        <f>"COS10200804 2324"</f>
        <v>COS10200804 2324</v>
      </c>
    </row>
    <row r="6831" spans="1:26" x14ac:dyDescent="0.25">
      <c r="A6831" t="str">
        <f t="shared" si="2790"/>
        <v>04-08-2020 12:37:08</v>
      </c>
      <c r="B6831" t="str">
        <f>"0000804083"</f>
        <v>0000804083</v>
      </c>
      <c r="C6831" t="str">
        <f t="shared" si="2791"/>
        <v>0000803960</v>
      </c>
      <c r="D6831" t="str">
        <f t="shared" si="2776"/>
        <v>73185</v>
      </c>
      <c r="E6831" t="str">
        <f t="shared" si="2777"/>
        <v>KFH-OPERATIONS DEPARTMENT</v>
      </c>
      <c r="F6831" t="str">
        <f t="shared" si="2778"/>
        <v>IBG</v>
      </c>
      <c r="G6831" t="str">
        <f t="shared" si="2787"/>
        <v>Refund COSHARE 10</v>
      </c>
      <c r="H6831" s="2">
        <v>67.2</v>
      </c>
      <c r="I6831" t="str">
        <f>"AZLAN BIN IBRAHIM"</f>
        <v>AZLAN BIN IBRAHIM</v>
      </c>
      <c r="J6831" t="str">
        <f t="shared" si="2771"/>
        <v>CIMB BANK / CIMB ISLAMIC BANK</v>
      </c>
      <c r="K6831" t="str">
        <f>"7009464611"</f>
        <v>7009464611</v>
      </c>
      <c r="L6831" t="str">
        <f t="shared" si="2794"/>
        <v>04-08-2020</v>
      </c>
      <c r="M6831" t="str">
        <f t="shared" si="2794"/>
        <v>04-08-2020</v>
      </c>
      <c r="N6831" t="str">
        <f t="shared" si="2779"/>
        <v>001105018356</v>
      </c>
      <c r="O6831" t="str">
        <f t="shared" si="2780"/>
        <v>MYR</v>
      </c>
      <c r="P6831" t="str">
        <f t="shared" si="2795"/>
        <v>NIL</v>
      </c>
      <c r="Q6831" t="str">
        <f t="shared" si="2795"/>
        <v>NIL</v>
      </c>
      <c r="R6831" t="str">
        <f t="shared" si="2792"/>
        <v>Accepted</v>
      </c>
      <c r="S6831" t="str">
        <f t="shared" si="2781"/>
        <v>Approved</v>
      </c>
      <c r="T6831" t="str">
        <f t="shared" si="2793"/>
        <v>10.20.8.188</v>
      </c>
      <c r="U6831" t="str">
        <f t="shared" si="2782"/>
        <v>AZRAD UMAR BIN SHAARI</v>
      </c>
      <c r="V6831" t="str">
        <f t="shared" si="2783"/>
        <v>FARHANA BINTI MUSTAPA</v>
      </c>
      <c r="W6831" t="str">
        <f t="shared" si="2784"/>
        <v>04-08-2020</v>
      </c>
      <c r="X6831" t="str">
        <f t="shared" si="2785"/>
        <v>RAZIMAH ANSAR AHMAD</v>
      </c>
      <c r="Y6831" t="str">
        <f t="shared" si="2786"/>
        <v>04-08-2020</v>
      </c>
      <c r="Z6831" t="str">
        <f>"COS10200804 2323"</f>
        <v>COS10200804 2323</v>
      </c>
    </row>
    <row r="6832" spans="1:26" x14ac:dyDescent="0.25">
      <c r="A6832" t="str">
        <f t="shared" si="2790"/>
        <v>04-08-2020 12:37:08</v>
      </c>
      <c r="B6832" t="str">
        <f>"0000804082"</f>
        <v>0000804082</v>
      </c>
      <c r="C6832" t="str">
        <f t="shared" si="2791"/>
        <v>0000803960</v>
      </c>
      <c r="D6832" t="str">
        <f t="shared" si="2776"/>
        <v>73185</v>
      </c>
      <c r="E6832" t="str">
        <f t="shared" si="2777"/>
        <v>KFH-OPERATIONS DEPARTMENT</v>
      </c>
      <c r="F6832" t="str">
        <f t="shared" si="2778"/>
        <v>IBG</v>
      </c>
      <c r="G6832" t="str">
        <f t="shared" si="2787"/>
        <v>Refund COSHARE 10</v>
      </c>
      <c r="H6832" s="2">
        <v>663.2</v>
      </c>
      <c r="I6832" t="str">
        <f>"AZIZUL SYAHRIL BIN MOHD SALLEH"</f>
        <v>AZIZUL SYAHRIL BIN MOHD SALLEH</v>
      </c>
      <c r="J6832" t="str">
        <f t="shared" si="2771"/>
        <v>CIMB BANK / CIMB ISLAMIC BANK</v>
      </c>
      <c r="K6832" t="str">
        <f>"12150056372523"</f>
        <v>12150056372523</v>
      </c>
      <c r="L6832" t="str">
        <f t="shared" si="2794"/>
        <v>04-08-2020</v>
      </c>
      <c r="M6832" t="str">
        <f t="shared" si="2794"/>
        <v>04-08-2020</v>
      </c>
      <c r="N6832" t="str">
        <f t="shared" si="2779"/>
        <v>001105018356</v>
      </c>
      <c r="O6832" t="str">
        <f t="shared" si="2780"/>
        <v>MYR</v>
      </c>
      <c r="P6832" t="str">
        <f t="shared" si="2795"/>
        <v>NIL</v>
      </c>
      <c r="Q6832" t="str">
        <f t="shared" si="2795"/>
        <v>NIL</v>
      </c>
      <c r="R6832" t="str">
        <f t="shared" si="2792"/>
        <v>Accepted</v>
      </c>
      <c r="S6832" t="str">
        <f t="shared" si="2781"/>
        <v>Approved</v>
      </c>
      <c r="T6832" t="str">
        <f t="shared" si="2793"/>
        <v>10.20.8.188</v>
      </c>
      <c r="U6832" t="str">
        <f t="shared" si="2782"/>
        <v>AZRAD UMAR BIN SHAARI</v>
      </c>
      <c r="V6832" t="str">
        <f t="shared" si="2783"/>
        <v>FARHANA BINTI MUSTAPA</v>
      </c>
      <c r="W6832" t="str">
        <f t="shared" si="2784"/>
        <v>04-08-2020</v>
      </c>
      <c r="X6832" t="str">
        <f t="shared" si="2785"/>
        <v>RAZIMAH ANSAR AHMAD</v>
      </c>
      <c r="Y6832" t="str">
        <f t="shared" si="2786"/>
        <v>04-08-2020</v>
      </c>
      <c r="Z6832" t="str">
        <f>"COS10200804 2322"</f>
        <v>COS10200804 2322</v>
      </c>
    </row>
    <row r="6833" spans="1:26" x14ac:dyDescent="0.25">
      <c r="A6833" t="str">
        <f t="shared" si="2790"/>
        <v>04-08-2020 12:37:08</v>
      </c>
      <c r="B6833" t="str">
        <f>"0000804081"</f>
        <v>0000804081</v>
      </c>
      <c r="C6833" t="str">
        <f t="shared" si="2791"/>
        <v>0000803960</v>
      </c>
      <c r="D6833" t="str">
        <f t="shared" si="2776"/>
        <v>73185</v>
      </c>
      <c r="E6833" t="str">
        <f t="shared" si="2777"/>
        <v>KFH-OPERATIONS DEPARTMENT</v>
      </c>
      <c r="F6833" t="str">
        <f t="shared" si="2778"/>
        <v>IBG</v>
      </c>
      <c r="G6833" t="str">
        <f t="shared" si="2787"/>
        <v>Refund COSHARE 10</v>
      </c>
      <c r="H6833" s="2">
        <v>604.45000000000005</v>
      </c>
      <c r="I6833" t="str">
        <f>"AZIZUL BIN OTHMAN"</f>
        <v>AZIZUL BIN OTHMAN</v>
      </c>
      <c r="J6833" t="str">
        <f t="shared" si="2771"/>
        <v>CIMB BANK / CIMB ISLAMIC BANK</v>
      </c>
      <c r="K6833" t="str">
        <f>"01070063230524"</f>
        <v>01070063230524</v>
      </c>
      <c r="L6833" t="str">
        <f t="shared" si="2794"/>
        <v>04-08-2020</v>
      </c>
      <c r="M6833" t="str">
        <f t="shared" si="2794"/>
        <v>04-08-2020</v>
      </c>
      <c r="N6833" t="str">
        <f t="shared" si="2779"/>
        <v>001105018356</v>
      </c>
      <c r="O6833" t="str">
        <f t="shared" si="2780"/>
        <v>MYR</v>
      </c>
      <c r="P6833" t="str">
        <f t="shared" si="2795"/>
        <v>NIL</v>
      </c>
      <c r="Q6833" t="str">
        <f t="shared" si="2795"/>
        <v>NIL</v>
      </c>
      <c r="R6833" t="str">
        <f t="shared" si="2792"/>
        <v>Accepted</v>
      </c>
      <c r="S6833" t="str">
        <f t="shared" si="2781"/>
        <v>Approved</v>
      </c>
      <c r="T6833" t="str">
        <f t="shared" si="2793"/>
        <v>10.20.8.188</v>
      </c>
      <c r="U6833" t="str">
        <f t="shared" si="2782"/>
        <v>AZRAD UMAR BIN SHAARI</v>
      </c>
      <c r="V6833" t="str">
        <f t="shared" si="2783"/>
        <v>FARHANA BINTI MUSTAPA</v>
      </c>
      <c r="W6833" t="str">
        <f t="shared" si="2784"/>
        <v>04-08-2020</v>
      </c>
      <c r="X6833" t="str">
        <f t="shared" si="2785"/>
        <v>RAZIMAH ANSAR AHMAD</v>
      </c>
      <c r="Y6833" t="str">
        <f t="shared" si="2786"/>
        <v>04-08-2020</v>
      </c>
      <c r="Z6833" t="str">
        <f>"COS10200804 2321"</f>
        <v>COS10200804 2321</v>
      </c>
    </row>
    <row r="6834" spans="1:26" x14ac:dyDescent="0.25">
      <c r="A6834" t="str">
        <f t="shared" si="2790"/>
        <v>04-08-2020 12:37:08</v>
      </c>
      <c r="B6834" t="str">
        <f>"0000804080"</f>
        <v>0000804080</v>
      </c>
      <c r="C6834" t="str">
        <f t="shared" si="2791"/>
        <v>0000803960</v>
      </c>
      <c r="D6834" t="str">
        <f t="shared" si="2776"/>
        <v>73185</v>
      </c>
      <c r="E6834" t="str">
        <f t="shared" si="2777"/>
        <v>KFH-OPERATIONS DEPARTMENT</v>
      </c>
      <c r="F6834" t="str">
        <f t="shared" si="2778"/>
        <v>IBG</v>
      </c>
      <c r="G6834" t="str">
        <f t="shared" si="2787"/>
        <v>Refund COSHARE 10</v>
      </c>
      <c r="H6834" s="2">
        <v>782</v>
      </c>
      <c r="I6834" t="str">
        <f>"AZIZON BINTI MAT NASAN"</f>
        <v>AZIZON BINTI MAT NASAN</v>
      </c>
      <c r="J6834" t="str">
        <f t="shared" si="2771"/>
        <v>CIMB BANK / CIMB ISLAMIC BANK</v>
      </c>
      <c r="K6834" t="str">
        <f>"14400053318523"</f>
        <v>14400053318523</v>
      </c>
      <c r="L6834" t="str">
        <f t="shared" si="2794"/>
        <v>04-08-2020</v>
      </c>
      <c r="M6834" t="str">
        <f t="shared" si="2794"/>
        <v>04-08-2020</v>
      </c>
      <c r="N6834" t="str">
        <f t="shared" si="2779"/>
        <v>001105018356</v>
      </c>
      <c r="O6834" t="str">
        <f t="shared" si="2780"/>
        <v>MYR</v>
      </c>
      <c r="P6834" t="str">
        <f t="shared" si="2795"/>
        <v>NIL</v>
      </c>
      <c r="Q6834" t="str">
        <f t="shared" si="2795"/>
        <v>NIL</v>
      </c>
      <c r="R6834" t="str">
        <f t="shared" si="2792"/>
        <v>Accepted</v>
      </c>
      <c r="S6834" t="str">
        <f t="shared" si="2781"/>
        <v>Approved</v>
      </c>
      <c r="T6834" t="str">
        <f t="shared" si="2793"/>
        <v>10.20.8.188</v>
      </c>
      <c r="U6834" t="str">
        <f t="shared" si="2782"/>
        <v>AZRAD UMAR BIN SHAARI</v>
      </c>
      <c r="V6834" t="str">
        <f t="shared" si="2783"/>
        <v>FARHANA BINTI MUSTAPA</v>
      </c>
      <c r="W6834" t="str">
        <f t="shared" si="2784"/>
        <v>04-08-2020</v>
      </c>
      <c r="X6834" t="str">
        <f t="shared" si="2785"/>
        <v>RAZIMAH ANSAR AHMAD</v>
      </c>
      <c r="Y6834" t="str">
        <f t="shared" si="2786"/>
        <v>04-08-2020</v>
      </c>
      <c r="Z6834" t="str">
        <f>"COS10200804 2320"</f>
        <v>COS10200804 2320</v>
      </c>
    </row>
    <row r="6835" spans="1:26" x14ac:dyDescent="0.25">
      <c r="A6835" t="str">
        <f t="shared" si="2790"/>
        <v>04-08-2020 12:37:08</v>
      </c>
      <c r="B6835" t="str">
        <f>"0000804079"</f>
        <v>0000804079</v>
      </c>
      <c r="C6835" t="str">
        <f t="shared" si="2791"/>
        <v>0000803960</v>
      </c>
      <c r="D6835" t="str">
        <f t="shared" si="2776"/>
        <v>73185</v>
      </c>
      <c r="E6835" t="str">
        <f t="shared" si="2777"/>
        <v>KFH-OPERATIONS DEPARTMENT</v>
      </c>
      <c r="F6835" t="str">
        <f t="shared" si="2778"/>
        <v>IBG</v>
      </c>
      <c r="G6835" t="str">
        <f t="shared" si="2787"/>
        <v>Refund COSHARE 10</v>
      </c>
      <c r="H6835" s="2">
        <v>83.95</v>
      </c>
      <c r="I6835" t="str">
        <f>"AZIZAN BIN ABRAHIM"</f>
        <v>AZIZAN BIN ABRAHIM</v>
      </c>
      <c r="J6835" t="str">
        <f t="shared" si="2771"/>
        <v>CIMB BANK / CIMB ISLAMIC BANK</v>
      </c>
      <c r="K6835" t="str">
        <f>"01140002196204"</f>
        <v>01140002196204</v>
      </c>
      <c r="L6835" t="str">
        <f t="shared" si="2794"/>
        <v>04-08-2020</v>
      </c>
      <c r="M6835" t="str">
        <f t="shared" si="2794"/>
        <v>04-08-2020</v>
      </c>
      <c r="N6835" t="str">
        <f t="shared" si="2779"/>
        <v>001105018356</v>
      </c>
      <c r="O6835" t="str">
        <f t="shared" si="2780"/>
        <v>MYR</v>
      </c>
      <c r="P6835" t="str">
        <f t="shared" si="2795"/>
        <v>NIL</v>
      </c>
      <c r="Q6835" t="str">
        <f t="shared" si="2795"/>
        <v>NIL</v>
      </c>
      <c r="R6835" t="str">
        <f t="shared" si="2792"/>
        <v>Accepted</v>
      </c>
      <c r="S6835" t="str">
        <f t="shared" si="2781"/>
        <v>Approved</v>
      </c>
      <c r="T6835" t="str">
        <f t="shared" si="2793"/>
        <v>10.20.8.188</v>
      </c>
      <c r="U6835" t="str">
        <f t="shared" si="2782"/>
        <v>AZRAD UMAR BIN SHAARI</v>
      </c>
      <c r="V6835" t="str">
        <f t="shared" si="2783"/>
        <v>FARHANA BINTI MUSTAPA</v>
      </c>
      <c r="W6835" t="str">
        <f t="shared" si="2784"/>
        <v>04-08-2020</v>
      </c>
      <c r="X6835" t="str">
        <f t="shared" si="2785"/>
        <v>RAZIMAH ANSAR AHMAD</v>
      </c>
      <c r="Y6835" t="str">
        <f t="shared" si="2786"/>
        <v>04-08-2020</v>
      </c>
      <c r="Z6835" t="str">
        <f>"COS10200804 2319"</f>
        <v>COS10200804 2319</v>
      </c>
    </row>
    <row r="6836" spans="1:26" x14ac:dyDescent="0.25">
      <c r="A6836" t="str">
        <f t="shared" si="2790"/>
        <v>04-08-2020 12:37:08</v>
      </c>
      <c r="B6836" t="str">
        <f>"0000804078"</f>
        <v>0000804078</v>
      </c>
      <c r="C6836" t="str">
        <f t="shared" si="2791"/>
        <v>0000803960</v>
      </c>
      <c r="D6836" t="str">
        <f t="shared" si="2776"/>
        <v>73185</v>
      </c>
      <c r="E6836" t="str">
        <f t="shared" si="2777"/>
        <v>KFH-OPERATIONS DEPARTMENT</v>
      </c>
      <c r="F6836" t="str">
        <f t="shared" si="2778"/>
        <v>IBG</v>
      </c>
      <c r="G6836" t="str">
        <f t="shared" si="2787"/>
        <v>Refund COSHARE 10</v>
      </c>
      <c r="H6836" s="2">
        <v>461.75</v>
      </c>
      <c r="I6836" t="str">
        <f>"AZIZAL BIN NAZIRI"</f>
        <v>AZIZAL BIN NAZIRI</v>
      </c>
      <c r="J6836" t="str">
        <f t="shared" si="2771"/>
        <v>CIMB BANK / CIMB ISLAMIC BANK</v>
      </c>
      <c r="K6836" t="str">
        <f>"7605748316"</f>
        <v>7605748316</v>
      </c>
      <c r="L6836" t="str">
        <f t="shared" si="2794"/>
        <v>04-08-2020</v>
      </c>
      <c r="M6836" t="str">
        <f t="shared" si="2794"/>
        <v>04-08-2020</v>
      </c>
      <c r="N6836" t="str">
        <f t="shared" si="2779"/>
        <v>001105018356</v>
      </c>
      <c r="O6836" t="str">
        <f t="shared" si="2780"/>
        <v>MYR</v>
      </c>
      <c r="P6836" t="str">
        <f t="shared" si="2795"/>
        <v>NIL</v>
      </c>
      <c r="Q6836" t="str">
        <f t="shared" si="2795"/>
        <v>NIL</v>
      </c>
      <c r="R6836" t="str">
        <f t="shared" si="2792"/>
        <v>Accepted</v>
      </c>
      <c r="S6836" t="str">
        <f t="shared" si="2781"/>
        <v>Approved</v>
      </c>
      <c r="T6836" t="str">
        <f t="shared" si="2793"/>
        <v>10.20.8.188</v>
      </c>
      <c r="U6836" t="str">
        <f t="shared" si="2782"/>
        <v>AZRAD UMAR BIN SHAARI</v>
      </c>
      <c r="V6836" t="str">
        <f t="shared" si="2783"/>
        <v>FARHANA BINTI MUSTAPA</v>
      </c>
      <c r="W6836" t="str">
        <f t="shared" si="2784"/>
        <v>04-08-2020</v>
      </c>
      <c r="X6836" t="str">
        <f t="shared" si="2785"/>
        <v>RAZIMAH ANSAR AHMAD</v>
      </c>
      <c r="Y6836" t="str">
        <f t="shared" si="2786"/>
        <v>04-08-2020</v>
      </c>
      <c r="Z6836" t="str">
        <f>"COS10200804 2318"</f>
        <v>COS10200804 2318</v>
      </c>
    </row>
    <row r="6837" spans="1:26" x14ac:dyDescent="0.25">
      <c r="A6837" t="str">
        <f t="shared" si="2790"/>
        <v>04-08-2020 12:37:08</v>
      </c>
      <c r="B6837" t="str">
        <f>"0000804077"</f>
        <v>0000804077</v>
      </c>
      <c r="C6837" t="str">
        <f t="shared" si="2791"/>
        <v>0000803960</v>
      </c>
      <c r="D6837" t="str">
        <f t="shared" si="2776"/>
        <v>73185</v>
      </c>
      <c r="E6837" t="str">
        <f t="shared" si="2777"/>
        <v>KFH-OPERATIONS DEPARTMENT</v>
      </c>
      <c r="F6837" t="str">
        <f t="shared" si="2778"/>
        <v>IBG</v>
      </c>
      <c r="G6837" t="str">
        <f t="shared" si="2787"/>
        <v>Refund COSHARE 10</v>
      </c>
      <c r="H6837" s="2">
        <v>587.65</v>
      </c>
      <c r="I6837" t="str">
        <f>"AZIZAH BINTI ZAINUDDIN"</f>
        <v>AZIZAH BINTI ZAINUDDIN</v>
      </c>
      <c r="J6837" t="str">
        <f t="shared" si="2771"/>
        <v>CIMB BANK / CIMB ISLAMIC BANK</v>
      </c>
      <c r="K6837" t="str">
        <f>"11090048296526"</f>
        <v>11090048296526</v>
      </c>
      <c r="L6837" t="str">
        <f t="shared" si="2794"/>
        <v>04-08-2020</v>
      </c>
      <c r="M6837" t="str">
        <f t="shared" si="2794"/>
        <v>04-08-2020</v>
      </c>
      <c r="N6837" t="str">
        <f t="shared" si="2779"/>
        <v>001105018356</v>
      </c>
      <c r="O6837" t="str">
        <f t="shared" si="2780"/>
        <v>MYR</v>
      </c>
      <c r="P6837" t="str">
        <f t="shared" si="2795"/>
        <v>NIL</v>
      </c>
      <c r="Q6837" t="str">
        <f t="shared" si="2795"/>
        <v>NIL</v>
      </c>
      <c r="R6837" t="str">
        <f t="shared" si="2792"/>
        <v>Accepted</v>
      </c>
      <c r="S6837" t="str">
        <f t="shared" si="2781"/>
        <v>Approved</v>
      </c>
      <c r="T6837" t="str">
        <f t="shared" si="2793"/>
        <v>10.20.8.188</v>
      </c>
      <c r="U6837" t="str">
        <f t="shared" si="2782"/>
        <v>AZRAD UMAR BIN SHAARI</v>
      </c>
      <c r="V6837" t="str">
        <f t="shared" si="2783"/>
        <v>FARHANA BINTI MUSTAPA</v>
      </c>
      <c r="W6837" t="str">
        <f t="shared" si="2784"/>
        <v>04-08-2020</v>
      </c>
      <c r="X6837" t="str">
        <f t="shared" si="2785"/>
        <v>RAZIMAH ANSAR AHMAD</v>
      </c>
      <c r="Y6837" t="str">
        <f t="shared" si="2786"/>
        <v>04-08-2020</v>
      </c>
      <c r="Z6837" t="str">
        <f>"COS10200804 2317"</f>
        <v>COS10200804 2317</v>
      </c>
    </row>
    <row r="6838" spans="1:26" x14ac:dyDescent="0.25">
      <c r="A6838" t="str">
        <f t="shared" si="2790"/>
        <v>04-08-2020 12:37:08</v>
      </c>
      <c r="B6838" t="str">
        <f>"0000804076"</f>
        <v>0000804076</v>
      </c>
      <c r="C6838" t="str">
        <f t="shared" si="2791"/>
        <v>0000803960</v>
      </c>
      <c r="D6838" t="str">
        <f t="shared" si="2776"/>
        <v>73185</v>
      </c>
      <c r="E6838" t="str">
        <f t="shared" si="2777"/>
        <v>KFH-OPERATIONS DEPARTMENT</v>
      </c>
      <c r="F6838" t="str">
        <f t="shared" si="2778"/>
        <v>IBG</v>
      </c>
      <c r="G6838" t="str">
        <f t="shared" si="2787"/>
        <v>Refund COSHARE 10</v>
      </c>
      <c r="H6838" s="2">
        <v>209.9</v>
      </c>
      <c r="I6838" t="str">
        <f>"AZIZAH BINTI ABDUL MANAF"</f>
        <v>AZIZAH BINTI ABDUL MANAF</v>
      </c>
      <c r="J6838" t="str">
        <f t="shared" si="2771"/>
        <v>CIMB BANK / CIMB ISLAMIC BANK</v>
      </c>
      <c r="K6838" t="str">
        <f>"7013625153"</f>
        <v>7013625153</v>
      </c>
      <c r="L6838" t="str">
        <f t="shared" si="2794"/>
        <v>04-08-2020</v>
      </c>
      <c r="M6838" t="str">
        <f t="shared" si="2794"/>
        <v>04-08-2020</v>
      </c>
      <c r="N6838" t="str">
        <f t="shared" si="2779"/>
        <v>001105018356</v>
      </c>
      <c r="O6838" t="str">
        <f t="shared" si="2780"/>
        <v>MYR</v>
      </c>
      <c r="P6838" t="str">
        <f t="shared" si="2795"/>
        <v>NIL</v>
      </c>
      <c r="Q6838" t="str">
        <f t="shared" si="2795"/>
        <v>NIL</v>
      </c>
      <c r="R6838" t="str">
        <f t="shared" si="2792"/>
        <v>Accepted</v>
      </c>
      <c r="S6838" t="str">
        <f t="shared" si="2781"/>
        <v>Approved</v>
      </c>
      <c r="T6838" t="str">
        <f t="shared" si="2793"/>
        <v>10.20.8.188</v>
      </c>
      <c r="U6838" t="str">
        <f t="shared" si="2782"/>
        <v>AZRAD UMAR BIN SHAARI</v>
      </c>
      <c r="V6838" t="str">
        <f t="shared" si="2783"/>
        <v>FARHANA BINTI MUSTAPA</v>
      </c>
      <c r="W6838" t="str">
        <f t="shared" si="2784"/>
        <v>04-08-2020</v>
      </c>
      <c r="X6838" t="str">
        <f t="shared" si="2785"/>
        <v>RAZIMAH ANSAR AHMAD</v>
      </c>
      <c r="Y6838" t="str">
        <f t="shared" si="2786"/>
        <v>04-08-2020</v>
      </c>
      <c r="Z6838" t="str">
        <f>"COS10200804 2316"</f>
        <v>COS10200804 2316</v>
      </c>
    </row>
    <row r="6839" spans="1:26" x14ac:dyDescent="0.25">
      <c r="A6839" t="str">
        <f t="shared" si="2790"/>
        <v>04-08-2020 12:37:08</v>
      </c>
      <c r="B6839" t="str">
        <f>"0000804075"</f>
        <v>0000804075</v>
      </c>
      <c r="C6839" t="str">
        <f t="shared" si="2791"/>
        <v>0000803960</v>
      </c>
      <c r="D6839" t="str">
        <f t="shared" si="2776"/>
        <v>73185</v>
      </c>
      <c r="E6839" t="str">
        <f t="shared" si="2777"/>
        <v>KFH-OPERATIONS DEPARTMENT</v>
      </c>
      <c r="F6839" t="str">
        <f t="shared" si="2778"/>
        <v>IBG</v>
      </c>
      <c r="G6839" t="str">
        <f t="shared" si="2787"/>
        <v>Refund COSHARE 10</v>
      </c>
      <c r="H6839" s="2">
        <v>60.35</v>
      </c>
      <c r="I6839" t="str">
        <f>"AZILINA BINTI ATAN  JAILANI"</f>
        <v>AZILINA BINTI ATAN  JAILANI</v>
      </c>
      <c r="J6839" t="str">
        <f t="shared" si="2771"/>
        <v>CIMB BANK / CIMB ISLAMIC BANK</v>
      </c>
      <c r="K6839" t="str">
        <f>"01130084911523"</f>
        <v>01130084911523</v>
      </c>
      <c r="L6839" t="str">
        <f t="shared" si="2794"/>
        <v>04-08-2020</v>
      </c>
      <c r="M6839" t="str">
        <f t="shared" si="2794"/>
        <v>04-08-2020</v>
      </c>
      <c r="N6839" t="str">
        <f t="shared" si="2779"/>
        <v>001105018356</v>
      </c>
      <c r="O6839" t="str">
        <f t="shared" si="2780"/>
        <v>MYR</v>
      </c>
      <c r="P6839" t="str">
        <f t="shared" si="2795"/>
        <v>NIL</v>
      </c>
      <c r="Q6839" t="str">
        <f t="shared" si="2795"/>
        <v>NIL</v>
      </c>
      <c r="R6839" t="str">
        <f t="shared" si="2792"/>
        <v>Accepted</v>
      </c>
      <c r="S6839" t="str">
        <f t="shared" si="2781"/>
        <v>Approved</v>
      </c>
      <c r="T6839" t="str">
        <f t="shared" si="2793"/>
        <v>10.20.8.188</v>
      </c>
      <c r="U6839" t="str">
        <f t="shared" si="2782"/>
        <v>AZRAD UMAR BIN SHAARI</v>
      </c>
      <c r="V6839" t="str">
        <f t="shared" si="2783"/>
        <v>FARHANA BINTI MUSTAPA</v>
      </c>
      <c r="W6839" t="str">
        <f t="shared" si="2784"/>
        <v>04-08-2020</v>
      </c>
      <c r="X6839" t="str">
        <f t="shared" si="2785"/>
        <v>RAZIMAH ANSAR AHMAD</v>
      </c>
      <c r="Y6839" t="str">
        <f t="shared" si="2786"/>
        <v>04-08-2020</v>
      </c>
      <c r="Z6839" t="str">
        <f>"COS10200804 2315"</f>
        <v>COS10200804 2315</v>
      </c>
    </row>
    <row r="6840" spans="1:26" x14ac:dyDescent="0.25">
      <c r="A6840" t="str">
        <f t="shared" si="2790"/>
        <v>04-08-2020 12:37:08</v>
      </c>
      <c r="B6840" t="str">
        <f>"0000804074"</f>
        <v>0000804074</v>
      </c>
      <c r="C6840" t="str">
        <f t="shared" si="2791"/>
        <v>0000803960</v>
      </c>
      <c r="D6840" t="str">
        <f t="shared" si="2776"/>
        <v>73185</v>
      </c>
      <c r="E6840" t="str">
        <f t="shared" si="2777"/>
        <v>KFH-OPERATIONS DEPARTMENT</v>
      </c>
      <c r="F6840" t="str">
        <f t="shared" si="2778"/>
        <v>IBG</v>
      </c>
      <c r="G6840" t="str">
        <f t="shared" si="2787"/>
        <v>Refund COSHARE 10</v>
      </c>
      <c r="H6840" s="2">
        <v>821</v>
      </c>
      <c r="I6840" t="str">
        <f>"AZILAWATI BINTI ZAKARIA"</f>
        <v>AZILAWATI BINTI ZAKARIA</v>
      </c>
      <c r="J6840" t="str">
        <f t="shared" si="2771"/>
        <v>CIMB BANK / CIMB ISLAMIC BANK</v>
      </c>
      <c r="K6840" t="str">
        <f>"03020078131526"</f>
        <v>03020078131526</v>
      </c>
      <c r="L6840" t="str">
        <f t="shared" si="2794"/>
        <v>04-08-2020</v>
      </c>
      <c r="M6840" t="str">
        <f t="shared" si="2794"/>
        <v>04-08-2020</v>
      </c>
      <c r="N6840" t="str">
        <f t="shared" si="2779"/>
        <v>001105018356</v>
      </c>
      <c r="O6840" t="str">
        <f t="shared" si="2780"/>
        <v>MYR</v>
      </c>
      <c r="P6840" t="str">
        <f t="shared" si="2795"/>
        <v>NIL</v>
      </c>
      <c r="Q6840" t="str">
        <f t="shared" si="2795"/>
        <v>NIL</v>
      </c>
      <c r="R6840" t="str">
        <f t="shared" si="2792"/>
        <v>Accepted</v>
      </c>
      <c r="S6840" t="str">
        <f t="shared" si="2781"/>
        <v>Approved</v>
      </c>
      <c r="T6840" t="str">
        <f t="shared" si="2793"/>
        <v>10.20.8.188</v>
      </c>
      <c r="U6840" t="str">
        <f t="shared" si="2782"/>
        <v>AZRAD UMAR BIN SHAARI</v>
      </c>
      <c r="V6840" t="str">
        <f t="shared" si="2783"/>
        <v>FARHANA BINTI MUSTAPA</v>
      </c>
      <c r="W6840" t="str">
        <f t="shared" si="2784"/>
        <v>04-08-2020</v>
      </c>
      <c r="X6840" t="str">
        <f t="shared" si="2785"/>
        <v>RAZIMAH ANSAR AHMAD</v>
      </c>
      <c r="Y6840" t="str">
        <f t="shared" si="2786"/>
        <v>04-08-2020</v>
      </c>
      <c r="Z6840" t="str">
        <f>"COS10200804 2314"</f>
        <v>COS10200804 2314</v>
      </c>
    </row>
    <row r="6841" spans="1:26" x14ac:dyDescent="0.25">
      <c r="A6841" t="str">
        <f t="shared" si="2790"/>
        <v>04-08-2020 12:37:08</v>
      </c>
      <c r="B6841" t="str">
        <f>"0000804073"</f>
        <v>0000804073</v>
      </c>
      <c r="C6841" t="str">
        <f t="shared" si="2791"/>
        <v>0000803960</v>
      </c>
      <c r="D6841" t="str">
        <f t="shared" si="2776"/>
        <v>73185</v>
      </c>
      <c r="E6841" t="str">
        <f t="shared" si="2777"/>
        <v>KFH-OPERATIONS DEPARTMENT</v>
      </c>
      <c r="F6841" t="str">
        <f t="shared" si="2778"/>
        <v>IBG</v>
      </c>
      <c r="G6841" t="str">
        <f t="shared" si="2787"/>
        <v>Refund COSHARE 10</v>
      </c>
      <c r="H6841" s="2">
        <v>83.95</v>
      </c>
      <c r="I6841" t="str">
        <f>"AZILA BINTI MOHD AMANUDDIN"</f>
        <v>AZILA BINTI MOHD AMANUDDIN</v>
      </c>
      <c r="J6841" t="str">
        <f t="shared" si="2771"/>
        <v>CIMB BANK / CIMB ISLAMIC BANK</v>
      </c>
      <c r="K6841" t="str">
        <f>"12150053783528"</f>
        <v>12150053783528</v>
      </c>
      <c r="L6841" t="str">
        <f t="shared" si="2794"/>
        <v>04-08-2020</v>
      </c>
      <c r="M6841" t="str">
        <f t="shared" si="2794"/>
        <v>04-08-2020</v>
      </c>
      <c r="N6841" t="str">
        <f t="shared" si="2779"/>
        <v>001105018356</v>
      </c>
      <c r="O6841" t="str">
        <f t="shared" si="2780"/>
        <v>MYR</v>
      </c>
      <c r="P6841" t="str">
        <f t="shared" si="2795"/>
        <v>NIL</v>
      </c>
      <c r="Q6841" t="str">
        <f t="shared" si="2795"/>
        <v>NIL</v>
      </c>
      <c r="R6841" t="str">
        <f t="shared" si="2792"/>
        <v>Accepted</v>
      </c>
      <c r="S6841" t="str">
        <f t="shared" si="2781"/>
        <v>Approved</v>
      </c>
      <c r="T6841" t="str">
        <f t="shared" si="2793"/>
        <v>10.20.8.188</v>
      </c>
      <c r="U6841" t="str">
        <f t="shared" si="2782"/>
        <v>AZRAD UMAR BIN SHAARI</v>
      </c>
      <c r="V6841" t="str">
        <f t="shared" si="2783"/>
        <v>FARHANA BINTI MUSTAPA</v>
      </c>
      <c r="W6841" t="str">
        <f t="shared" si="2784"/>
        <v>04-08-2020</v>
      </c>
      <c r="X6841" t="str">
        <f t="shared" si="2785"/>
        <v>RAZIMAH ANSAR AHMAD</v>
      </c>
      <c r="Y6841" t="str">
        <f t="shared" si="2786"/>
        <v>04-08-2020</v>
      </c>
      <c r="Z6841" t="str">
        <f>"COS10200804 2313"</f>
        <v>COS10200804 2313</v>
      </c>
    </row>
    <row r="6842" spans="1:26" x14ac:dyDescent="0.25">
      <c r="A6842" t="str">
        <f t="shared" si="2790"/>
        <v>04-08-2020 12:37:08</v>
      </c>
      <c r="B6842" t="str">
        <f>"0000804072"</f>
        <v>0000804072</v>
      </c>
      <c r="C6842" t="str">
        <f t="shared" si="2791"/>
        <v>0000803960</v>
      </c>
      <c r="D6842" t="str">
        <f t="shared" si="2776"/>
        <v>73185</v>
      </c>
      <c r="E6842" t="str">
        <f t="shared" si="2777"/>
        <v>KFH-OPERATIONS DEPARTMENT</v>
      </c>
      <c r="F6842" t="str">
        <f t="shared" si="2778"/>
        <v>IBG</v>
      </c>
      <c r="G6842" t="str">
        <f t="shared" si="2787"/>
        <v>Refund COSHARE 10</v>
      </c>
      <c r="H6842" s="2">
        <v>120.7</v>
      </c>
      <c r="I6842" t="str">
        <f>"AZIDA BINTI ABDUL AZIZ"</f>
        <v>AZIDA BINTI ABDUL AZIZ</v>
      </c>
      <c r="J6842" t="str">
        <f t="shared" si="2771"/>
        <v>CIMB BANK / CIMB ISLAMIC BANK</v>
      </c>
      <c r="K6842" t="str">
        <f>"03050024360523"</f>
        <v>03050024360523</v>
      </c>
      <c r="L6842" t="str">
        <f t="shared" si="2794"/>
        <v>04-08-2020</v>
      </c>
      <c r="M6842" t="str">
        <f t="shared" si="2794"/>
        <v>04-08-2020</v>
      </c>
      <c r="N6842" t="str">
        <f t="shared" si="2779"/>
        <v>001105018356</v>
      </c>
      <c r="O6842" t="str">
        <f t="shared" si="2780"/>
        <v>MYR</v>
      </c>
      <c r="P6842" t="str">
        <f t="shared" si="2795"/>
        <v>NIL</v>
      </c>
      <c r="Q6842" t="str">
        <f t="shared" si="2795"/>
        <v>NIL</v>
      </c>
      <c r="R6842" t="str">
        <f t="shared" si="2792"/>
        <v>Accepted</v>
      </c>
      <c r="S6842" t="str">
        <f t="shared" si="2781"/>
        <v>Approved</v>
      </c>
      <c r="T6842" t="str">
        <f t="shared" si="2793"/>
        <v>10.20.8.188</v>
      </c>
      <c r="U6842" t="str">
        <f t="shared" si="2782"/>
        <v>AZRAD UMAR BIN SHAARI</v>
      </c>
      <c r="V6842" t="str">
        <f t="shared" si="2783"/>
        <v>FARHANA BINTI MUSTAPA</v>
      </c>
      <c r="W6842" t="str">
        <f t="shared" si="2784"/>
        <v>04-08-2020</v>
      </c>
      <c r="X6842" t="str">
        <f t="shared" si="2785"/>
        <v>RAZIMAH ANSAR AHMAD</v>
      </c>
      <c r="Y6842" t="str">
        <f t="shared" si="2786"/>
        <v>04-08-2020</v>
      </c>
      <c r="Z6842" t="str">
        <f>"COS10200804 2312"</f>
        <v>COS10200804 2312</v>
      </c>
    </row>
    <row r="6843" spans="1:26" x14ac:dyDescent="0.25">
      <c r="A6843" t="str">
        <f t="shared" si="2790"/>
        <v>04-08-2020 12:37:08</v>
      </c>
      <c r="B6843" t="str">
        <f>"0000804071"</f>
        <v>0000804071</v>
      </c>
      <c r="C6843" t="str">
        <f t="shared" si="2791"/>
        <v>0000803960</v>
      </c>
      <c r="D6843" t="str">
        <f t="shared" si="2776"/>
        <v>73185</v>
      </c>
      <c r="E6843" t="str">
        <f t="shared" si="2777"/>
        <v>KFH-OPERATIONS DEPARTMENT</v>
      </c>
      <c r="F6843" t="str">
        <f t="shared" si="2778"/>
        <v>IBG</v>
      </c>
      <c r="G6843" t="str">
        <f t="shared" si="2787"/>
        <v>Refund COSHARE 10</v>
      </c>
      <c r="H6843" s="2">
        <v>167.9</v>
      </c>
      <c r="I6843" t="str">
        <f>"AZIANA BINTI ABDULLAH"</f>
        <v>AZIANA BINTI ABDULLAH</v>
      </c>
      <c r="J6843" t="str">
        <f t="shared" si="2771"/>
        <v>CIMB BANK / CIMB ISLAMIC BANK</v>
      </c>
      <c r="K6843" t="str">
        <f>"03010099289526"</f>
        <v>03010099289526</v>
      </c>
      <c r="L6843" t="str">
        <f t="shared" si="2794"/>
        <v>04-08-2020</v>
      </c>
      <c r="M6843" t="str">
        <f t="shared" si="2794"/>
        <v>04-08-2020</v>
      </c>
      <c r="N6843" t="str">
        <f t="shared" si="2779"/>
        <v>001105018356</v>
      </c>
      <c r="O6843" t="str">
        <f t="shared" si="2780"/>
        <v>MYR</v>
      </c>
      <c r="P6843" t="str">
        <f t="shared" si="2795"/>
        <v>NIL</v>
      </c>
      <c r="Q6843" t="str">
        <f t="shared" si="2795"/>
        <v>NIL</v>
      </c>
      <c r="R6843" t="str">
        <f t="shared" si="2792"/>
        <v>Accepted</v>
      </c>
      <c r="S6843" t="str">
        <f t="shared" si="2781"/>
        <v>Approved</v>
      </c>
      <c r="T6843" t="str">
        <f t="shared" si="2793"/>
        <v>10.20.8.188</v>
      </c>
      <c r="U6843" t="str">
        <f t="shared" si="2782"/>
        <v>AZRAD UMAR BIN SHAARI</v>
      </c>
      <c r="V6843" t="str">
        <f t="shared" si="2783"/>
        <v>FARHANA BINTI MUSTAPA</v>
      </c>
      <c r="W6843" t="str">
        <f t="shared" si="2784"/>
        <v>04-08-2020</v>
      </c>
      <c r="X6843" t="str">
        <f t="shared" si="2785"/>
        <v>RAZIMAH ANSAR AHMAD</v>
      </c>
      <c r="Y6843" t="str">
        <f t="shared" si="2786"/>
        <v>04-08-2020</v>
      </c>
      <c r="Z6843" t="str">
        <f>"COS10200804 2311"</f>
        <v>COS10200804 2311</v>
      </c>
    </row>
    <row r="6844" spans="1:26" x14ac:dyDescent="0.25">
      <c r="A6844" t="str">
        <f t="shared" si="2790"/>
        <v>04-08-2020 12:37:08</v>
      </c>
      <c r="B6844" t="str">
        <f>"0000804070"</f>
        <v>0000804070</v>
      </c>
      <c r="C6844" t="str">
        <f t="shared" si="2791"/>
        <v>0000803960</v>
      </c>
      <c r="D6844" t="str">
        <f t="shared" si="2776"/>
        <v>73185</v>
      </c>
      <c r="E6844" t="str">
        <f t="shared" si="2777"/>
        <v>KFH-OPERATIONS DEPARTMENT</v>
      </c>
      <c r="F6844" t="str">
        <f t="shared" si="2778"/>
        <v>IBG</v>
      </c>
      <c r="G6844" t="str">
        <f t="shared" si="2787"/>
        <v>Refund COSHARE 10</v>
      </c>
      <c r="H6844" s="2">
        <v>142.75</v>
      </c>
      <c r="I6844" t="str">
        <f>"AZIAH BINTI MOHAMED DIAH"</f>
        <v>AZIAH BINTI MOHAMED DIAH</v>
      </c>
      <c r="J6844" t="str">
        <f t="shared" ref="J6844:J6907" si="2796">"CIMB BANK / CIMB ISLAMIC BANK"</f>
        <v>CIMB BANK / CIMB ISLAMIC BANK</v>
      </c>
      <c r="K6844" t="str">
        <f>"7024463123"</f>
        <v>7024463123</v>
      </c>
      <c r="L6844" t="str">
        <f t="shared" si="2794"/>
        <v>04-08-2020</v>
      </c>
      <c r="M6844" t="str">
        <f t="shared" si="2794"/>
        <v>04-08-2020</v>
      </c>
      <c r="N6844" t="str">
        <f t="shared" si="2779"/>
        <v>001105018356</v>
      </c>
      <c r="O6844" t="str">
        <f t="shared" si="2780"/>
        <v>MYR</v>
      </c>
      <c r="P6844" t="str">
        <f t="shared" si="2795"/>
        <v>NIL</v>
      </c>
      <c r="Q6844" t="str">
        <f t="shared" si="2795"/>
        <v>NIL</v>
      </c>
      <c r="R6844" t="str">
        <f t="shared" si="2792"/>
        <v>Accepted</v>
      </c>
      <c r="S6844" t="str">
        <f t="shared" si="2781"/>
        <v>Approved</v>
      </c>
      <c r="T6844" t="str">
        <f t="shared" si="2793"/>
        <v>10.20.8.188</v>
      </c>
      <c r="U6844" t="str">
        <f t="shared" si="2782"/>
        <v>AZRAD UMAR BIN SHAARI</v>
      </c>
      <c r="V6844" t="str">
        <f t="shared" si="2783"/>
        <v>FARHANA BINTI MUSTAPA</v>
      </c>
      <c r="W6844" t="str">
        <f t="shared" si="2784"/>
        <v>04-08-2020</v>
      </c>
      <c r="X6844" t="str">
        <f t="shared" si="2785"/>
        <v>RAZIMAH ANSAR AHMAD</v>
      </c>
      <c r="Y6844" t="str">
        <f t="shared" si="2786"/>
        <v>04-08-2020</v>
      </c>
      <c r="Z6844" t="str">
        <f>"COS10200804 2310"</f>
        <v>COS10200804 2310</v>
      </c>
    </row>
    <row r="6845" spans="1:26" x14ac:dyDescent="0.25">
      <c r="A6845" t="str">
        <f t="shared" si="2790"/>
        <v>04-08-2020 12:37:08</v>
      </c>
      <c r="B6845" t="str">
        <f>"0000804069"</f>
        <v>0000804069</v>
      </c>
      <c r="C6845" t="str">
        <f t="shared" si="2791"/>
        <v>0000803960</v>
      </c>
      <c r="D6845" t="str">
        <f t="shared" si="2776"/>
        <v>73185</v>
      </c>
      <c r="E6845" t="str">
        <f t="shared" si="2777"/>
        <v>KFH-OPERATIONS DEPARTMENT</v>
      </c>
      <c r="F6845" t="str">
        <f t="shared" si="2778"/>
        <v>IBG</v>
      </c>
      <c r="G6845" t="str">
        <f t="shared" si="2787"/>
        <v>Refund COSHARE 10</v>
      </c>
      <c r="H6845" s="2">
        <v>989</v>
      </c>
      <c r="I6845" t="str">
        <f>"AZHARI BIN HAJARI"</f>
        <v>AZHARI BIN HAJARI</v>
      </c>
      <c r="J6845" t="str">
        <f t="shared" si="2796"/>
        <v>CIMB BANK / CIMB ISLAMIC BANK</v>
      </c>
      <c r="K6845" t="str">
        <f>"14400050825528"</f>
        <v>14400050825528</v>
      </c>
      <c r="L6845" t="str">
        <f t="shared" si="2794"/>
        <v>04-08-2020</v>
      </c>
      <c r="M6845" t="str">
        <f t="shared" si="2794"/>
        <v>04-08-2020</v>
      </c>
      <c r="N6845" t="str">
        <f t="shared" si="2779"/>
        <v>001105018356</v>
      </c>
      <c r="O6845" t="str">
        <f t="shared" si="2780"/>
        <v>MYR</v>
      </c>
      <c r="P6845" t="str">
        <f t="shared" si="2795"/>
        <v>NIL</v>
      </c>
      <c r="Q6845" t="str">
        <f t="shared" si="2795"/>
        <v>NIL</v>
      </c>
      <c r="R6845" t="str">
        <f t="shared" si="2792"/>
        <v>Accepted</v>
      </c>
      <c r="S6845" t="str">
        <f t="shared" si="2781"/>
        <v>Approved</v>
      </c>
      <c r="T6845" t="str">
        <f t="shared" si="2793"/>
        <v>10.20.8.188</v>
      </c>
      <c r="U6845" t="str">
        <f t="shared" si="2782"/>
        <v>AZRAD UMAR BIN SHAARI</v>
      </c>
      <c r="V6845" t="str">
        <f t="shared" si="2783"/>
        <v>FARHANA BINTI MUSTAPA</v>
      </c>
      <c r="W6845" t="str">
        <f t="shared" si="2784"/>
        <v>04-08-2020</v>
      </c>
      <c r="X6845" t="str">
        <f t="shared" si="2785"/>
        <v>RAZIMAH ANSAR AHMAD</v>
      </c>
      <c r="Y6845" t="str">
        <f t="shared" si="2786"/>
        <v>04-08-2020</v>
      </c>
      <c r="Z6845" t="str">
        <f>"COS10200804 2309"</f>
        <v>COS10200804 2309</v>
      </c>
    </row>
    <row r="6846" spans="1:26" x14ac:dyDescent="0.25">
      <c r="A6846" t="str">
        <f t="shared" si="2790"/>
        <v>04-08-2020 12:37:08</v>
      </c>
      <c r="B6846" t="str">
        <f>"0000804068"</f>
        <v>0000804068</v>
      </c>
      <c r="C6846" t="str">
        <f t="shared" si="2791"/>
        <v>0000803960</v>
      </c>
      <c r="D6846" t="str">
        <f t="shared" si="2776"/>
        <v>73185</v>
      </c>
      <c r="E6846" t="str">
        <f t="shared" si="2777"/>
        <v>KFH-OPERATIONS DEPARTMENT</v>
      </c>
      <c r="F6846" t="str">
        <f t="shared" si="2778"/>
        <v>IBG</v>
      </c>
      <c r="G6846" t="str">
        <f t="shared" si="2787"/>
        <v>Refund COSHARE 10</v>
      </c>
      <c r="H6846" s="2">
        <v>54.9</v>
      </c>
      <c r="I6846" t="str">
        <f>"AZHAR BIN MOHD SHAH"</f>
        <v>AZHAR BIN MOHD SHAH</v>
      </c>
      <c r="J6846" t="str">
        <f t="shared" si="2796"/>
        <v>CIMB BANK / CIMB ISLAMIC BANK</v>
      </c>
      <c r="K6846" t="str">
        <f>"14200020437528"</f>
        <v>14200020437528</v>
      </c>
      <c r="L6846" t="str">
        <f t="shared" si="2794"/>
        <v>04-08-2020</v>
      </c>
      <c r="M6846" t="str">
        <f t="shared" si="2794"/>
        <v>04-08-2020</v>
      </c>
      <c r="N6846" t="str">
        <f t="shared" si="2779"/>
        <v>001105018356</v>
      </c>
      <c r="O6846" t="str">
        <f t="shared" si="2780"/>
        <v>MYR</v>
      </c>
      <c r="P6846" t="str">
        <f t="shared" si="2795"/>
        <v>NIL</v>
      </c>
      <c r="Q6846" t="str">
        <f t="shared" si="2795"/>
        <v>NIL</v>
      </c>
      <c r="R6846" t="str">
        <f t="shared" si="2792"/>
        <v>Accepted</v>
      </c>
      <c r="S6846" t="str">
        <f t="shared" si="2781"/>
        <v>Approved</v>
      </c>
      <c r="T6846" t="str">
        <f t="shared" si="2793"/>
        <v>10.20.8.188</v>
      </c>
      <c r="U6846" t="str">
        <f t="shared" si="2782"/>
        <v>AZRAD UMAR BIN SHAARI</v>
      </c>
      <c r="V6846" t="str">
        <f t="shared" si="2783"/>
        <v>FARHANA BINTI MUSTAPA</v>
      </c>
      <c r="W6846" t="str">
        <f t="shared" si="2784"/>
        <v>04-08-2020</v>
      </c>
      <c r="X6846" t="str">
        <f t="shared" si="2785"/>
        <v>RAZIMAH ANSAR AHMAD</v>
      </c>
      <c r="Y6846" t="str">
        <f t="shared" si="2786"/>
        <v>04-08-2020</v>
      </c>
      <c r="Z6846" t="str">
        <f>"COS10200804 2308"</f>
        <v>COS10200804 2308</v>
      </c>
    </row>
    <row r="6847" spans="1:26" x14ac:dyDescent="0.25">
      <c r="A6847" t="str">
        <f t="shared" si="2790"/>
        <v>04-08-2020 12:37:08</v>
      </c>
      <c r="B6847" t="str">
        <f>"0000804067"</f>
        <v>0000804067</v>
      </c>
      <c r="C6847" t="str">
        <f t="shared" si="2791"/>
        <v>0000803960</v>
      </c>
      <c r="D6847" t="str">
        <f t="shared" si="2776"/>
        <v>73185</v>
      </c>
      <c r="E6847" t="str">
        <f t="shared" si="2777"/>
        <v>KFH-OPERATIONS DEPARTMENT</v>
      </c>
      <c r="F6847" t="str">
        <f t="shared" si="2778"/>
        <v>IBG</v>
      </c>
      <c r="G6847" t="str">
        <f t="shared" si="2787"/>
        <v>Refund COSHARE 10</v>
      </c>
      <c r="H6847" s="2">
        <v>67.55</v>
      </c>
      <c r="I6847" t="str">
        <f>"AZEMI BIN JUNUS"</f>
        <v>AZEMI BIN JUNUS</v>
      </c>
      <c r="J6847" t="str">
        <f t="shared" si="2796"/>
        <v>CIMB BANK / CIMB ISLAMIC BANK</v>
      </c>
      <c r="K6847" t="str">
        <f>"13030024076527"</f>
        <v>13030024076527</v>
      </c>
      <c r="L6847" t="str">
        <f t="shared" ref="L6847:M6866" si="2797">"04-08-2020"</f>
        <v>04-08-2020</v>
      </c>
      <c r="M6847" t="str">
        <f t="shared" si="2797"/>
        <v>04-08-2020</v>
      </c>
      <c r="N6847" t="str">
        <f t="shared" si="2779"/>
        <v>001105018356</v>
      </c>
      <c r="O6847" t="str">
        <f t="shared" si="2780"/>
        <v>MYR</v>
      </c>
      <c r="P6847" t="str">
        <f t="shared" ref="P6847:Q6866" si="2798">"NIL"</f>
        <v>NIL</v>
      </c>
      <c r="Q6847" t="str">
        <f t="shared" si="2798"/>
        <v>NIL</v>
      </c>
      <c r="R6847" t="str">
        <f t="shared" si="2792"/>
        <v>Accepted</v>
      </c>
      <c r="S6847" t="str">
        <f t="shared" si="2781"/>
        <v>Approved</v>
      </c>
      <c r="T6847" t="str">
        <f t="shared" si="2793"/>
        <v>10.20.8.188</v>
      </c>
      <c r="U6847" t="str">
        <f t="shared" si="2782"/>
        <v>AZRAD UMAR BIN SHAARI</v>
      </c>
      <c r="V6847" t="str">
        <f t="shared" si="2783"/>
        <v>FARHANA BINTI MUSTAPA</v>
      </c>
      <c r="W6847" t="str">
        <f t="shared" si="2784"/>
        <v>04-08-2020</v>
      </c>
      <c r="X6847" t="str">
        <f t="shared" si="2785"/>
        <v>RAZIMAH ANSAR AHMAD</v>
      </c>
      <c r="Y6847" t="str">
        <f t="shared" si="2786"/>
        <v>04-08-2020</v>
      </c>
      <c r="Z6847" t="str">
        <f>"COS10200804 2307"</f>
        <v>COS10200804 2307</v>
      </c>
    </row>
    <row r="6848" spans="1:26" x14ac:dyDescent="0.25">
      <c r="A6848" t="str">
        <f t="shared" si="2790"/>
        <v>04-08-2020 12:37:08</v>
      </c>
      <c r="B6848" t="str">
        <f>"0000804066"</f>
        <v>0000804066</v>
      </c>
      <c r="C6848" t="str">
        <f t="shared" si="2791"/>
        <v>0000803960</v>
      </c>
      <c r="D6848" t="str">
        <f t="shared" si="2776"/>
        <v>73185</v>
      </c>
      <c r="E6848" t="str">
        <f t="shared" si="2777"/>
        <v>KFH-OPERATIONS DEPARTMENT</v>
      </c>
      <c r="F6848" t="str">
        <f t="shared" si="2778"/>
        <v>IBG</v>
      </c>
      <c r="G6848" t="str">
        <f t="shared" si="2787"/>
        <v>Refund COSHARE 10</v>
      </c>
      <c r="H6848" s="2">
        <v>1200.5</v>
      </c>
      <c r="I6848" t="str">
        <f>"AZELIA BINTI MOHAMMED"</f>
        <v>AZELIA BINTI MOHAMMED</v>
      </c>
      <c r="J6848" t="str">
        <f t="shared" si="2796"/>
        <v>CIMB BANK / CIMB ISLAMIC BANK</v>
      </c>
      <c r="K6848" t="str">
        <f>"7019486493"</f>
        <v>7019486493</v>
      </c>
      <c r="L6848" t="str">
        <f t="shared" si="2797"/>
        <v>04-08-2020</v>
      </c>
      <c r="M6848" t="str">
        <f t="shared" si="2797"/>
        <v>04-08-2020</v>
      </c>
      <c r="N6848" t="str">
        <f t="shared" si="2779"/>
        <v>001105018356</v>
      </c>
      <c r="O6848" t="str">
        <f t="shared" si="2780"/>
        <v>MYR</v>
      </c>
      <c r="P6848" t="str">
        <f t="shared" si="2798"/>
        <v>NIL</v>
      </c>
      <c r="Q6848" t="str">
        <f t="shared" si="2798"/>
        <v>NIL</v>
      </c>
      <c r="R6848" t="str">
        <f t="shared" si="2792"/>
        <v>Accepted</v>
      </c>
      <c r="S6848" t="str">
        <f t="shared" si="2781"/>
        <v>Approved</v>
      </c>
      <c r="T6848" t="str">
        <f t="shared" si="2793"/>
        <v>10.20.8.188</v>
      </c>
      <c r="U6848" t="str">
        <f t="shared" si="2782"/>
        <v>AZRAD UMAR BIN SHAARI</v>
      </c>
      <c r="V6848" t="str">
        <f t="shared" si="2783"/>
        <v>FARHANA BINTI MUSTAPA</v>
      </c>
      <c r="W6848" t="str">
        <f t="shared" si="2784"/>
        <v>04-08-2020</v>
      </c>
      <c r="X6848" t="str">
        <f t="shared" si="2785"/>
        <v>RAZIMAH ANSAR AHMAD</v>
      </c>
      <c r="Y6848" t="str">
        <f t="shared" si="2786"/>
        <v>04-08-2020</v>
      </c>
      <c r="Z6848" t="str">
        <f>"COS10200804 2306"</f>
        <v>COS10200804 2306</v>
      </c>
    </row>
    <row r="6849" spans="1:26" x14ac:dyDescent="0.25">
      <c r="A6849" t="str">
        <f t="shared" si="2790"/>
        <v>04-08-2020 12:37:08</v>
      </c>
      <c r="B6849" t="str">
        <f>"0000804065"</f>
        <v>0000804065</v>
      </c>
      <c r="C6849" t="str">
        <f t="shared" si="2791"/>
        <v>0000803960</v>
      </c>
      <c r="D6849" t="str">
        <f t="shared" si="2776"/>
        <v>73185</v>
      </c>
      <c r="E6849" t="str">
        <f t="shared" si="2777"/>
        <v>KFH-OPERATIONS DEPARTMENT</v>
      </c>
      <c r="F6849" t="str">
        <f t="shared" si="2778"/>
        <v>IBG</v>
      </c>
      <c r="G6849" t="str">
        <f t="shared" si="2787"/>
        <v>Refund COSHARE 10</v>
      </c>
      <c r="H6849" s="2">
        <v>1259.25</v>
      </c>
      <c r="I6849" t="str">
        <f>"AZAMI ROSLEY BIN MARIYOH"</f>
        <v>AZAMI ROSLEY BIN MARIYOH</v>
      </c>
      <c r="J6849" t="str">
        <f t="shared" si="2796"/>
        <v>CIMB BANK / CIMB ISLAMIC BANK</v>
      </c>
      <c r="K6849" t="str">
        <f>"7038229804"</f>
        <v>7038229804</v>
      </c>
      <c r="L6849" t="str">
        <f t="shared" si="2797"/>
        <v>04-08-2020</v>
      </c>
      <c r="M6849" t="str">
        <f t="shared" si="2797"/>
        <v>04-08-2020</v>
      </c>
      <c r="N6849" t="str">
        <f t="shared" si="2779"/>
        <v>001105018356</v>
      </c>
      <c r="O6849" t="str">
        <f t="shared" si="2780"/>
        <v>MYR</v>
      </c>
      <c r="P6849" t="str">
        <f t="shared" si="2798"/>
        <v>NIL</v>
      </c>
      <c r="Q6849" t="str">
        <f t="shared" si="2798"/>
        <v>NIL</v>
      </c>
      <c r="R6849" t="str">
        <f t="shared" si="2792"/>
        <v>Accepted</v>
      </c>
      <c r="S6849" t="str">
        <f t="shared" si="2781"/>
        <v>Approved</v>
      </c>
      <c r="T6849" t="str">
        <f t="shared" si="2793"/>
        <v>10.20.8.188</v>
      </c>
      <c r="U6849" t="str">
        <f t="shared" si="2782"/>
        <v>AZRAD UMAR BIN SHAARI</v>
      </c>
      <c r="V6849" t="str">
        <f t="shared" si="2783"/>
        <v>FARHANA BINTI MUSTAPA</v>
      </c>
      <c r="W6849" t="str">
        <f t="shared" si="2784"/>
        <v>04-08-2020</v>
      </c>
      <c r="X6849" t="str">
        <f t="shared" si="2785"/>
        <v>RAZIMAH ANSAR AHMAD</v>
      </c>
      <c r="Y6849" t="str">
        <f t="shared" si="2786"/>
        <v>04-08-2020</v>
      </c>
      <c r="Z6849" t="str">
        <f>"COS10200804 2305"</f>
        <v>COS10200804 2305</v>
      </c>
    </row>
    <row r="6850" spans="1:26" x14ac:dyDescent="0.25">
      <c r="A6850" t="str">
        <f t="shared" ref="A6850:A6881" si="2799">"04-08-2020 12:37:08"</f>
        <v>04-08-2020 12:37:08</v>
      </c>
      <c r="B6850" t="str">
        <f>"0000804064"</f>
        <v>0000804064</v>
      </c>
      <c r="C6850" t="str">
        <f t="shared" ref="C6850:C6881" si="2800">"0000803960"</f>
        <v>0000803960</v>
      </c>
      <c r="D6850" t="str">
        <f t="shared" si="2776"/>
        <v>73185</v>
      </c>
      <c r="E6850" t="str">
        <f t="shared" si="2777"/>
        <v>KFH-OPERATIONS DEPARTMENT</v>
      </c>
      <c r="F6850" t="str">
        <f t="shared" si="2778"/>
        <v>IBG</v>
      </c>
      <c r="G6850" t="str">
        <f t="shared" si="2787"/>
        <v>Refund COSHARE 10</v>
      </c>
      <c r="H6850" s="2">
        <v>101.35</v>
      </c>
      <c r="I6850" t="str">
        <f>"AZAHA BIN MOHD"</f>
        <v>AZAHA BIN MOHD</v>
      </c>
      <c r="J6850" t="str">
        <f t="shared" si="2796"/>
        <v>CIMB BANK / CIMB ISLAMIC BANK</v>
      </c>
      <c r="K6850" t="str">
        <f>"06130069761522"</f>
        <v>06130069761522</v>
      </c>
      <c r="L6850" t="str">
        <f t="shared" si="2797"/>
        <v>04-08-2020</v>
      </c>
      <c r="M6850" t="str">
        <f t="shared" si="2797"/>
        <v>04-08-2020</v>
      </c>
      <c r="N6850" t="str">
        <f t="shared" si="2779"/>
        <v>001105018356</v>
      </c>
      <c r="O6850" t="str">
        <f t="shared" si="2780"/>
        <v>MYR</v>
      </c>
      <c r="P6850" t="str">
        <f t="shared" si="2798"/>
        <v>NIL</v>
      </c>
      <c r="Q6850" t="str">
        <f t="shared" si="2798"/>
        <v>NIL</v>
      </c>
      <c r="R6850" t="str">
        <f t="shared" si="2792"/>
        <v>Accepted</v>
      </c>
      <c r="S6850" t="str">
        <f t="shared" si="2781"/>
        <v>Approved</v>
      </c>
      <c r="T6850" t="str">
        <f t="shared" si="2793"/>
        <v>10.20.8.188</v>
      </c>
      <c r="U6850" t="str">
        <f t="shared" si="2782"/>
        <v>AZRAD UMAR BIN SHAARI</v>
      </c>
      <c r="V6850" t="str">
        <f t="shared" si="2783"/>
        <v>FARHANA BINTI MUSTAPA</v>
      </c>
      <c r="W6850" t="str">
        <f t="shared" si="2784"/>
        <v>04-08-2020</v>
      </c>
      <c r="X6850" t="str">
        <f t="shared" si="2785"/>
        <v>RAZIMAH ANSAR AHMAD</v>
      </c>
      <c r="Y6850" t="str">
        <f t="shared" si="2786"/>
        <v>04-08-2020</v>
      </c>
      <c r="Z6850" t="str">
        <f>"COS10200804 2304"</f>
        <v>COS10200804 2304</v>
      </c>
    </row>
    <row r="6851" spans="1:26" x14ac:dyDescent="0.25">
      <c r="A6851" t="str">
        <f t="shared" si="2799"/>
        <v>04-08-2020 12:37:08</v>
      </c>
      <c r="B6851" t="str">
        <f>"0000804063"</f>
        <v>0000804063</v>
      </c>
      <c r="C6851" t="str">
        <f t="shared" si="2800"/>
        <v>0000803960</v>
      </c>
      <c r="D6851" t="str">
        <f t="shared" si="2776"/>
        <v>73185</v>
      </c>
      <c r="E6851" t="str">
        <f t="shared" si="2777"/>
        <v>KFH-OPERATIONS DEPARTMENT</v>
      </c>
      <c r="F6851" t="str">
        <f t="shared" si="2778"/>
        <v>IBG</v>
      </c>
      <c r="G6851" t="str">
        <f t="shared" si="2787"/>
        <v>Refund COSHARE 10</v>
      </c>
      <c r="H6851" s="2">
        <v>361</v>
      </c>
      <c r="I6851" t="str">
        <f>"AZAHA BIN ABDULLAH"</f>
        <v>AZAHA BIN ABDULLAH</v>
      </c>
      <c r="J6851" t="str">
        <f t="shared" si="2796"/>
        <v>CIMB BANK / CIMB ISLAMIC BANK</v>
      </c>
      <c r="K6851" t="str">
        <f>"7049474725"</f>
        <v>7049474725</v>
      </c>
      <c r="L6851" t="str">
        <f t="shared" si="2797"/>
        <v>04-08-2020</v>
      </c>
      <c r="M6851" t="str">
        <f t="shared" si="2797"/>
        <v>04-08-2020</v>
      </c>
      <c r="N6851" t="str">
        <f t="shared" si="2779"/>
        <v>001105018356</v>
      </c>
      <c r="O6851" t="str">
        <f t="shared" si="2780"/>
        <v>MYR</v>
      </c>
      <c r="P6851" t="str">
        <f t="shared" si="2798"/>
        <v>NIL</v>
      </c>
      <c r="Q6851" t="str">
        <f t="shared" si="2798"/>
        <v>NIL</v>
      </c>
      <c r="R6851" t="str">
        <f t="shared" si="2792"/>
        <v>Accepted</v>
      </c>
      <c r="S6851" t="str">
        <f t="shared" si="2781"/>
        <v>Approved</v>
      </c>
      <c r="T6851" t="str">
        <f t="shared" si="2793"/>
        <v>10.20.8.188</v>
      </c>
      <c r="U6851" t="str">
        <f t="shared" si="2782"/>
        <v>AZRAD UMAR BIN SHAARI</v>
      </c>
      <c r="V6851" t="str">
        <f t="shared" si="2783"/>
        <v>FARHANA BINTI MUSTAPA</v>
      </c>
      <c r="W6851" t="str">
        <f t="shared" si="2784"/>
        <v>04-08-2020</v>
      </c>
      <c r="X6851" t="str">
        <f t="shared" si="2785"/>
        <v>RAZIMAH ANSAR AHMAD</v>
      </c>
      <c r="Y6851" t="str">
        <f t="shared" si="2786"/>
        <v>04-08-2020</v>
      </c>
      <c r="Z6851" t="str">
        <f>"COS10200804 2303"</f>
        <v>COS10200804 2303</v>
      </c>
    </row>
    <row r="6852" spans="1:26" x14ac:dyDescent="0.25">
      <c r="A6852" t="str">
        <f t="shared" si="2799"/>
        <v>04-08-2020 12:37:08</v>
      </c>
      <c r="B6852" t="str">
        <f>"0000804062"</f>
        <v>0000804062</v>
      </c>
      <c r="C6852" t="str">
        <f t="shared" si="2800"/>
        <v>0000803960</v>
      </c>
      <c r="D6852" t="str">
        <f t="shared" si="2776"/>
        <v>73185</v>
      </c>
      <c r="E6852" t="str">
        <f t="shared" si="2777"/>
        <v>KFH-OPERATIONS DEPARTMENT</v>
      </c>
      <c r="F6852" t="str">
        <f t="shared" si="2778"/>
        <v>IBG</v>
      </c>
      <c r="G6852" t="str">
        <f t="shared" si="2787"/>
        <v>Refund COSHARE 10</v>
      </c>
      <c r="H6852" s="2">
        <v>831.1</v>
      </c>
      <c r="I6852" t="str">
        <f>"AYUSYEILA ZULAIKHA BINTI SUBARI"</f>
        <v>AYUSYEILA ZULAIKHA BINTI SUBARI</v>
      </c>
      <c r="J6852" t="str">
        <f t="shared" si="2796"/>
        <v>CIMB BANK / CIMB ISLAMIC BANK</v>
      </c>
      <c r="K6852" t="str">
        <f>"06050051361520"</f>
        <v>06050051361520</v>
      </c>
      <c r="L6852" t="str">
        <f t="shared" si="2797"/>
        <v>04-08-2020</v>
      </c>
      <c r="M6852" t="str">
        <f t="shared" si="2797"/>
        <v>04-08-2020</v>
      </c>
      <c r="N6852" t="str">
        <f t="shared" si="2779"/>
        <v>001105018356</v>
      </c>
      <c r="O6852" t="str">
        <f t="shared" si="2780"/>
        <v>MYR</v>
      </c>
      <c r="P6852" t="str">
        <f t="shared" si="2798"/>
        <v>NIL</v>
      </c>
      <c r="Q6852" t="str">
        <f t="shared" si="2798"/>
        <v>NIL</v>
      </c>
      <c r="R6852" t="str">
        <f t="shared" si="2792"/>
        <v>Accepted</v>
      </c>
      <c r="S6852" t="str">
        <f t="shared" si="2781"/>
        <v>Approved</v>
      </c>
      <c r="T6852" t="str">
        <f t="shared" si="2793"/>
        <v>10.20.8.188</v>
      </c>
      <c r="U6852" t="str">
        <f t="shared" si="2782"/>
        <v>AZRAD UMAR BIN SHAARI</v>
      </c>
      <c r="V6852" t="str">
        <f t="shared" si="2783"/>
        <v>FARHANA BINTI MUSTAPA</v>
      </c>
      <c r="W6852" t="str">
        <f t="shared" si="2784"/>
        <v>04-08-2020</v>
      </c>
      <c r="X6852" t="str">
        <f t="shared" si="2785"/>
        <v>RAZIMAH ANSAR AHMAD</v>
      </c>
      <c r="Y6852" t="str">
        <f t="shared" si="2786"/>
        <v>04-08-2020</v>
      </c>
      <c r="Z6852" t="str">
        <f>"COS10200804 2302"</f>
        <v>COS10200804 2302</v>
      </c>
    </row>
    <row r="6853" spans="1:26" x14ac:dyDescent="0.25">
      <c r="A6853" t="str">
        <f t="shared" si="2799"/>
        <v>04-08-2020 12:37:08</v>
      </c>
      <c r="B6853" t="str">
        <f>"0000804061"</f>
        <v>0000804061</v>
      </c>
      <c r="C6853" t="str">
        <f t="shared" si="2800"/>
        <v>0000803960</v>
      </c>
      <c r="D6853" t="str">
        <f t="shared" si="2776"/>
        <v>73185</v>
      </c>
      <c r="E6853" t="str">
        <f t="shared" si="2777"/>
        <v>KFH-OPERATIONS DEPARTMENT</v>
      </c>
      <c r="F6853" t="str">
        <f t="shared" si="2778"/>
        <v>IBG</v>
      </c>
      <c r="G6853" t="str">
        <f t="shared" si="2787"/>
        <v>Refund COSHARE 10</v>
      </c>
      <c r="H6853" s="2">
        <v>347</v>
      </c>
      <c r="I6853" t="str">
        <f>"AYUSYEILA ZULAIKHA BINTI SUBARI"</f>
        <v>AYUSYEILA ZULAIKHA BINTI SUBARI</v>
      </c>
      <c r="J6853" t="str">
        <f t="shared" si="2796"/>
        <v>CIMB BANK / CIMB ISLAMIC BANK</v>
      </c>
      <c r="K6853" t="str">
        <f>"06050051361520"</f>
        <v>06050051361520</v>
      </c>
      <c r="L6853" t="str">
        <f t="shared" si="2797"/>
        <v>04-08-2020</v>
      </c>
      <c r="M6853" t="str">
        <f t="shared" si="2797"/>
        <v>04-08-2020</v>
      </c>
      <c r="N6853" t="str">
        <f t="shared" si="2779"/>
        <v>001105018356</v>
      </c>
      <c r="O6853" t="str">
        <f t="shared" si="2780"/>
        <v>MYR</v>
      </c>
      <c r="P6853" t="str">
        <f t="shared" si="2798"/>
        <v>NIL</v>
      </c>
      <c r="Q6853" t="str">
        <f t="shared" si="2798"/>
        <v>NIL</v>
      </c>
      <c r="R6853" t="str">
        <f t="shared" si="2792"/>
        <v>Accepted</v>
      </c>
      <c r="S6853" t="str">
        <f t="shared" si="2781"/>
        <v>Approved</v>
      </c>
      <c r="T6853" t="str">
        <f t="shared" si="2793"/>
        <v>10.20.8.188</v>
      </c>
      <c r="U6853" t="str">
        <f t="shared" si="2782"/>
        <v>AZRAD UMAR BIN SHAARI</v>
      </c>
      <c r="V6853" t="str">
        <f t="shared" si="2783"/>
        <v>FARHANA BINTI MUSTAPA</v>
      </c>
      <c r="W6853" t="str">
        <f t="shared" si="2784"/>
        <v>04-08-2020</v>
      </c>
      <c r="X6853" t="str">
        <f t="shared" si="2785"/>
        <v>RAZIMAH ANSAR AHMAD</v>
      </c>
      <c r="Y6853" t="str">
        <f t="shared" si="2786"/>
        <v>04-08-2020</v>
      </c>
      <c r="Z6853" t="str">
        <f>"COS10200804 2301"</f>
        <v>COS10200804 2301</v>
      </c>
    </row>
    <row r="6854" spans="1:26" x14ac:dyDescent="0.25">
      <c r="A6854" t="str">
        <f t="shared" si="2799"/>
        <v>04-08-2020 12:37:08</v>
      </c>
      <c r="B6854" t="str">
        <f>"0000804060"</f>
        <v>0000804060</v>
      </c>
      <c r="C6854" t="str">
        <f t="shared" si="2800"/>
        <v>0000803960</v>
      </c>
      <c r="D6854" t="str">
        <f t="shared" si="2776"/>
        <v>73185</v>
      </c>
      <c r="E6854" t="str">
        <f t="shared" si="2777"/>
        <v>KFH-OPERATIONS DEPARTMENT</v>
      </c>
      <c r="F6854" t="str">
        <f t="shared" si="2778"/>
        <v>IBG</v>
      </c>
      <c r="G6854" t="str">
        <f t="shared" si="2787"/>
        <v>Refund COSHARE 10</v>
      </c>
      <c r="H6854" s="2">
        <v>327.39999999999998</v>
      </c>
      <c r="I6854" t="str">
        <f>"AYOB BIN YAKOB"</f>
        <v>AYOB BIN YAKOB</v>
      </c>
      <c r="J6854" t="str">
        <f t="shared" si="2796"/>
        <v>CIMB BANK / CIMB ISLAMIC BANK</v>
      </c>
      <c r="K6854" t="str">
        <f>"7611889530"</f>
        <v>7611889530</v>
      </c>
      <c r="L6854" t="str">
        <f t="shared" si="2797"/>
        <v>04-08-2020</v>
      </c>
      <c r="M6854" t="str">
        <f t="shared" si="2797"/>
        <v>04-08-2020</v>
      </c>
      <c r="N6854" t="str">
        <f t="shared" si="2779"/>
        <v>001105018356</v>
      </c>
      <c r="O6854" t="str">
        <f t="shared" si="2780"/>
        <v>MYR</v>
      </c>
      <c r="P6854" t="str">
        <f t="shared" si="2798"/>
        <v>NIL</v>
      </c>
      <c r="Q6854" t="str">
        <f t="shared" si="2798"/>
        <v>NIL</v>
      </c>
      <c r="R6854" t="str">
        <f t="shared" si="2792"/>
        <v>Accepted</v>
      </c>
      <c r="S6854" t="str">
        <f t="shared" si="2781"/>
        <v>Approved</v>
      </c>
      <c r="T6854" t="str">
        <f t="shared" si="2793"/>
        <v>10.20.8.188</v>
      </c>
      <c r="U6854" t="str">
        <f t="shared" si="2782"/>
        <v>AZRAD UMAR BIN SHAARI</v>
      </c>
      <c r="V6854" t="str">
        <f t="shared" si="2783"/>
        <v>FARHANA BINTI MUSTAPA</v>
      </c>
      <c r="W6854" t="str">
        <f t="shared" si="2784"/>
        <v>04-08-2020</v>
      </c>
      <c r="X6854" t="str">
        <f t="shared" si="2785"/>
        <v>RAZIMAH ANSAR AHMAD</v>
      </c>
      <c r="Y6854" t="str">
        <f t="shared" si="2786"/>
        <v>04-08-2020</v>
      </c>
      <c r="Z6854" t="str">
        <f>"COS10200804 2300"</f>
        <v>COS10200804 2300</v>
      </c>
    </row>
    <row r="6855" spans="1:26" x14ac:dyDescent="0.25">
      <c r="A6855" t="str">
        <f t="shared" si="2799"/>
        <v>04-08-2020 12:37:08</v>
      </c>
      <c r="B6855" t="str">
        <f>"0000804059"</f>
        <v>0000804059</v>
      </c>
      <c r="C6855" t="str">
        <f t="shared" si="2800"/>
        <v>0000803960</v>
      </c>
      <c r="D6855" t="str">
        <f t="shared" ref="D6855:D6918" si="2801">"73185"</f>
        <v>73185</v>
      </c>
      <c r="E6855" t="str">
        <f t="shared" ref="E6855:E6918" si="2802">"KFH-OPERATIONS DEPARTMENT"</f>
        <v>KFH-OPERATIONS DEPARTMENT</v>
      </c>
      <c r="F6855" t="str">
        <f t="shared" ref="F6855:F6918" si="2803">"IBG"</f>
        <v>IBG</v>
      </c>
      <c r="G6855" t="str">
        <f t="shared" si="2787"/>
        <v>Refund COSHARE 10</v>
      </c>
      <c r="H6855" s="2">
        <v>463</v>
      </c>
      <c r="I6855" t="str">
        <f>"AYOB BIN DOLLAH"</f>
        <v>AYOB BIN DOLLAH</v>
      </c>
      <c r="J6855" t="str">
        <f t="shared" si="2796"/>
        <v>CIMB BANK / CIMB ISLAMIC BANK</v>
      </c>
      <c r="K6855" t="str">
        <f>"12110028699522"</f>
        <v>12110028699522</v>
      </c>
      <c r="L6855" t="str">
        <f t="shared" si="2797"/>
        <v>04-08-2020</v>
      </c>
      <c r="M6855" t="str">
        <f t="shared" si="2797"/>
        <v>04-08-2020</v>
      </c>
      <c r="N6855" t="str">
        <f t="shared" ref="N6855:N6918" si="2804">"001105018356"</f>
        <v>001105018356</v>
      </c>
      <c r="O6855" t="str">
        <f t="shared" ref="O6855:O6918" si="2805">"MYR"</f>
        <v>MYR</v>
      </c>
      <c r="P6855" t="str">
        <f t="shared" si="2798"/>
        <v>NIL</v>
      </c>
      <c r="Q6855" t="str">
        <f t="shared" si="2798"/>
        <v>NIL</v>
      </c>
      <c r="R6855" t="str">
        <f t="shared" si="2792"/>
        <v>Accepted</v>
      </c>
      <c r="S6855" t="str">
        <f t="shared" ref="S6855:S6918" si="2806">"Approved"</f>
        <v>Approved</v>
      </c>
      <c r="T6855" t="str">
        <f t="shared" si="2793"/>
        <v>10.20.8.188</v>
      </c>
      <c r="U6855" t="str">
        <f t="shared" ref="U6855:U6918" si="2807">"AZRAD UMAR BIN SHAARI"</f>
        <v>AZRAD UMAR BIN SHAARI</v>
      </c>
      <c r="V6855" t="str">
        <f t="shared" ref="V6855:V6918" si="2808">"FARHANA BINTI MUSTAPA"</f>
        <v>FARHANA BINTI MUSTAPA</v>
      </c>
      <c r="W6855" t="str">
        <f t="shared" ref="W6855:W6918" si="2809">"04-08-2020"</f>
        <v>04-08-2020</v>
      </c>
      <c r="X6855" t="str">
        <f t="shared" ref="X6855:X6918" si="2810">"RAZIMAH ANSAR AHMAD"</f>
        <v>RAZIMAH ANSAR AHMAD</v>
      </c>
      <c r="Y6855" t="str">
        <f t="shared" ref="Y6855:Y6918" si="2811">"04-08-2020"</f>
        <v>04-08-2020</v>
      </c>
      <c r="Z6855" t="str">
        <f>"COS10200804 2299"</f>
        <v>COS10200804 2299</v>
      </c>
    </row>
    <row r="6856" spans="1:26" x14ac:dyDescent="0.25">
      <c r="A6856" t="str">
        <f t="shared" si="2799"/>
        <v>04-08-2020 12:37:08</v>
      </c>
      <c r="B6856" t="str">
        <f>"0000804058"</f>
        <v>0000804058</v>
      </c>
      <c r="C6856" t="str">
        <f t="shared" si="2800"/>
        <v>0000803960</v>
      </c>
      <c r="D6856" t="str">
        <f t="shared" si="2801"/>
        <v>73185</v>
      </c>
      <c r="E6856" t="str">
        <f t="shared" si="2802"/>
        <v>KFH-OPERATIONS DEPARTMENT</v>
      </c>
      <c r="F6856" t="str">
        <f t="shared" si="2803"/>
        <v>IBG</v>
      </c>
      <c r="G6856" t="str">
        <f t="shared" si="2787"/>
        <v>Refund COSHARE 10</v>
      </c>
      <c r="H6856" s="2">
        <v>612.85</v>
      </c>
      <c r="I6856" t="str">
        <f>"AWANG SOFFIANI BIN AWANG HAMDAN"</f>
        <v>AWANG SOFFIANI BIN AWANG HAMDAN</v>
      </c>
      <c r="J6856" t="str">
        <f t="shared" si="2796"/>
        <v>CIMB BANK / CIMB ISLAMIC BANK</v>
      </c>
      <c r="K6856" t="str">
        <f>"11080091308528"</f>
        <v>11080091308528</v>
      </c>
      <c r="L6856" t="str">
        <f t="shared" si="2797"/>
        <v>04-08-2020</v>
      </c>
      <c r="M6856" t="str">
        <f t="shared" si="2797"/>
        <v>04-08-2020</v>
      </c>
      <c r="N6856" t="str">
        <f t="shared" si="2804"/>
        <v>001105018356</v>
      </c>
      <c r="O6856" t="str">
        <f t="shared" si="2805"/>
        <v>MYR</v>
      </c>
      <c r="P6856" t="str">
        <f t="shared" si="2798"/>
        <v>NIL</v>
      </c>
      <c r="Q6856" t="str">
        <f t="shared" si="2798"/>
        <v>NIL</v>
      </c>
      <c r="R6856" t="str">
        <f t="shared" si="2792"/>
        <v>Accepted</v>
      </c>
      <c r="S6856" t="str">
        <f t="shared" si="2806"/>
        <v>Approved</v>
      </c>
      <c r="T6856" t="str">
        <f t="shared" si="2793"/>
        <v>10.20.8.188</v>
      </c>
      <c r="U6856" t="str">
        <f t="shared" si="2807"/>
        <v>AZRAD UMAR BIN SHAARI</v>
      </c>
      <c r="V6856" t="str">
        <f t="shared" si="2808"/>
        <v>FARHANA BINTI MUSTAPA</v>
      </c>
      <c r="W6856" t="str">
        <f t="shared" si="2809"/>
        <v>04-08-2020</v>
      </c>
      <c r="X6856" t="str">
        <f t="shared" si="2810"/>
        <v>RAZIMAH ANSAR AHMAD</v>
      </c>
      <c r="Y6856" t="str">
        <f t="shared" si="2811"/>
        <v>04-08-2020</v>
      </c>
      <c r="Z6856" t="str">
        <f>"COS10200804 2298"</f>
        <v>COS10200804 2298</v>
      </c>
    </row>
    <row r="6857" spans="1:26" x14ac:dyDescent="0.25">
      <c r="A6857" t="str">
        <f t="shared" si="2799"/>
        <v>04-08-2020 12:37:08</v>
      </c>
      <c r="B6857" t="str">
        <f>"0000804057"</f>
        <v>0000804057</v>
      </c>
      <c r="C6857" t="str">
        <f t="shared" si="2800"/>
        <v>0000803960</v>
      </c>
      <c r="D6857" t="str">
        <f t="shared" si="2801"/>
        <v>73185</v>
      </c>
      <c r="E6857" t="str">
        <f t="shared" si="2802"/>
        <v>KFH-OPERATIONS DEPARTMENT</v>
      </c>
      <c r="F6857" t="str">
        <f t="shared" si="2803"/>
        <v>IBG</v>
      </c>
      <c r="G6857" t="str">
        <f t="shared" si="2787"/>
        <v>Refund COSHARE 10</v>
      </c>
      <c r="H6857" s="2">
        <v>1101</v>
      </c>
      <c r="I6857" t="str">
        <f>"AWANG AMIR BIN AWANG OSEN"</f>
        <v>AWANG AMIR BIN AWANG OSEN</v>
      </c>
      <c r="J6857" t="str">
        <f t="shared" si="2796"/>
        <v>CIMB BANK / CIMB ISLAMIC BANK</v>
      </c>
      <c r="K6857" t="str">
        <f>"11100066219520"</f>
        <v>11100066219520</v>
      </c>
      <c r="L6857" t="str">
        <f t="shared" si="2797"/>
        <v>04-08-2020</v>
      </c>
      <c r="M6857" t="str">
        <f t="shared" si="2797"/>
        <v>04-08-2020</v>
      </c>
      <c r="N6857" t="str">
        <f t="shared" si="2804"/>
        <v>001105018356</v>
      </c>
      <c r="O6857" t="str">
        <f t="shared" si="2805"/>
        <v>MYR</v>
      </c>
      <c r="P6857" t="str">
        <f t="shared" si="2798"/>
        <v>NIL</v>
      </c>
      <c r="Q6857" t="str">
        <f t="shared" si="2798"/>
        <v>NIL</v>
      </c>
      <c r="R6857" t="str">
        <f t="shared" si="2792"/>
        <v>Accepted</v>
      </c>
      <c r="S6857" t="str">
        <f t="shared" si="2806"/>
        <v>Approved</v>
      </c>
      <c r="T6857" t="str">
        <f t="shared" si="2793"/>
        <v>10.20.8.188</v>
      </c>
      <c r="U6857" t="str">
        <f t="shared" si="2807"/>
        <v>AZRAD UMAR BIN SHAARI</v>
      </c>
      <c r="V6857" t="str">
        <f t="shared" si="2808"/>
        <v>FARHANA BINTI MUSTAPA</v>
      </c>
      <c r="W6857" t="str">
        <f t="shared" si="2809"/>
        <v>04-08-2020</v>
      </c>
      <c r="X6857" t="str">
        <f t="shared" si="2810"/>
        <v>RAZIMAH ANSAR AHMAD</v>
      </c>
      <c r="Y6857" t="str">
        <f t="shared" si="2811"/>
        <v>04-08-2020</v>
      </c>
      <c r="Z6857" t="str">
        <f>"COS10200804 2297"</f>
        <v>COS10200804 2297</v>
      </c>
    </row>
    <row r="6858" spans="1:26" x14ac:dyDescent="0.25">
      <c r="A6858" t="str">
        <f t="shared" si="2799"/>
        <v>04-08-2020 12:37:08</v>
      </c>
      <c r="B6858" t="str">
        <f>"0000804056"</f>
        <v>0000804056</v>
      </c>
      <c r="C6858" t="str">
        <f t="shared" si="2800"/>
        <v>0000803960</v>
      </c>
      <c r="D6858" t="str">
        <f t="shared" si="2801"/>
        <v>73185</v>
      </c>
      <c r="E6858" t="str">
        <f t="shared" si="2802"/>
        <v>KFH-OPERATIONS DEPARTMENT</v>
      </c>
      <c r="F6858" t="str">
        <f t="shared" si="2803"/>
        <v>IBG</v>
      </c>
      <c r="G6858" t="str">
        <f t="shared" si="2787"/>
        <v>Refund COSHARE 10</v>
      </c>
      <c r="H6858" s="2">
        <v>1259.25</v>
      </c>
      <c r="I6858" t="str">
        <f>"AUDREY MELISSA MASUDAL"</f>
        <v>AUDREY MELISSA MASUDAL</v>
      </c>
      <c r="J6858" t="str">
        <f t="shared" si="2796"/>
        <v>CIMB BANK / CIMB ISLAMIC BANK</v>
      </c>
      <c r="K6858" t="str">
        <f>"7037615003"</f>
        <v>7037615003</v>
      </c>
      <c r="L6858" t="str">
        <f t="shared" si="2797"/>
        <v>04-08-2020</v>
      </c>
      <c r="M6858" t="str">
        <f t="shared" si="2797"/>
        <v>04-08-2020</v>
      </c>
      <c r="N6858" t="str">
        <f t="shared" si="2804"/>
        <v>001105018356</v>
      </c>
      <c r="O6858" t="str">
        <f t="shared" si="2805"/>
        <v>MYR</v>
      </c>
      <c r="P6858" t="str">
        <f t="shared" si="2798"/>
        <v>NIL</v>
      </c>
      <c r="Q6858" t="str">
        <f t="shared" si="2798"/>
        <v>NIL</v>
      </c>
      <c r="R6858" t="str">
        <f t="shared" si="2792"/>
        <v>Accepted</v>
      </c>
      <c r="S6858" t="str">
        <f t="shared" si="2806"/>
        <v>Approved</v>
      </c>
      <c r="T6858" t="str">
        <f t="shared" si="2793"/>
        <v>10.20.8.188</v>
      </c>
      <c r="U6858" t="str">
        <f t="shared" si="2807"/>
        <v>AZRAD UMAR BIN SHAARI</v>
      </c>
      <c r="V6858" t="str">
        <f t="shared" si="2808"/>
        <v>FARHANA BINTI MUSTAPA</v>
      </c>
      <c r="W6858" t="str">
        <f t="shared" si="2809"/>
        <v>04-08-2020</v>
      </c>
      <c r="X6858" t="str">
        <f t="shared" si="2810"/>
        <v>RAZIMAH ANSAR AHMAD</v>
      </c>
      <c r="Y6858" t="str">
        <f t="shared" si="2811"/>
        <v>04-08-2020</v>
      </c>
      <c r="Z6858" t="str">
        <f>"COS10200804 2296"</f>
        <v>COS10200804 2296</v>
      </c>
    </row>
    <row r="6859" spans="1:26" x14ac:dyDescent="0.25">
      <c r="A6859" t="str">
        <f t="shared" si="2799"/>
        <v>04-08-2020 12:37:08</v>
      </c>
      <c r="B6859" t="str">
        <f>"0000804055"</f>
        <v>0000804055</v>
      </c>
      <c r="C6859" t="str">
        <f t="shared" si="2800"/>
        <v>0000803960</v>
      </c>
      <c r="D6859" t="str">
        <f t="shared" si="2801"/>
        <v>73185</v>
      </c>
      <c r="E6859" t="str">
        <f t="shared" si="2802"/>
        <v>KFH-OPERATIONS DEPARTMENT</v>
      </c>
      <c r="F6859" t="str">
        <f t="shared" si="2803"/>
        <v>IBG</v>
      </c>
      <c r="G6859" t="str">
        <f t="shared" si="2787"/>
        <v>Refund COSHARE 10</v>
      </c>
      <c r="H6859" s="2">
        <v>125.95</v>
      </c>
      <c r="I6859" t="str">
        <f>"ASRUL NIZAM BIN ABD KODIR"</f>
        <v>ASRUL NIZAM BIN ABD KODIR</v>
      </c>
      <c r="J6859" t="str">
        <f t="shared" si="2796"/>
        <v>CIMB BANK / CIMB ISLAMIC BANK</v>
      </c>
      <c r="K6859" t="str">
        <f>"02100029967523"</f>
        <v>02100029967523</v>
      </c>
      <c r="L6859" t="str">
        <f t="shared" si="2797"/>
        <v>04-08-2020</v>
      </c>
      <c r="M6859" t="str">
        <f t="shared" si="2797"/>
        <v>04-08-2020</v>
      </c>
      <c r="N6859" t="str">
        <f t="shared" si="2804"/>
        <v>001105018356</v>
      </c>
      <c r="O6859" t="str">
        <f t="shared" si="2805"/>
        <v>MYR</v>
      </c>
      <c r="P6859" t="str">
        <f t="shared" si="2798"/>
        <v>NIL</v>
      </c>
      <c r="Q6859" t="str">
        <f t="shared" si="2798"/>
        <v>NIL</v>
      </c>
      <c r="R6859" t="str">
        <f t="shared" si="2792"/>
        <v>Accepted</v>
      </c>
      <c r="S6859" t="str">
        <f t="shared" si="2806"/>
        <v>Approved</v>
      </c>
      <c r="T6859" t="str">
        <f t="shared" si="2793"/>
        <v>10.20.8.188</v>
      </c>
      <c r="U6859" t="str">
        <f t="shared" si="2807"/>
        <v>AZRAD UMAR BIN SHAARI</v>
      </c>
      <c r="V6859" t="str">
        <f t="shared" si="2808"/>
        <v>FARHANA BINTI MUSTAPA</v>
      </c>
      <c r="W6859" t="str">
        <f t="shared" si="2809"/>
        <v>04-08-2020</v>
      </c>
      <c r="X6859" t="str">
        <f t="shared" si="2810"/>
        <v>RAZIMAH ANSAR AHMAD</v>
      </c>
      <c r="Y6859" t="str">
        <f t="shared" si="2811"/>
        <v>04-08-2020</v>
      </c>
      <c r="Z6859" t="str">
        <f>"COS10200804 2295"</f>
        <v>COS10200804 2295</v>
      </c>
    </row>
    <row r="6860" spans="1:26" x14ac:dyDescent="0.25">
      <c r="A6860" t="str">
        <f t="shared" si="2799"/>
        <v>04-08-2020 12:37:08</v>
      </c>
      <c r="B6860" t="str">
        <f>"0000804054"</f>
        <v>0000804054</v>
      </c>
      <c r="C6860" t="str">
        <f t="shared" si="2800"/>
        <v>0000803960</v>
      </c>
      <c r="D6860" t="str">
        <f t="shared" si="2801"/>
        <v>73185</v>
      </c>
      <c r="E6860" t="str">
        <f t="shared" si="2802"/>
        <v>KFH-OPERATIONS DEPARTMENT</v>
      </c>
      <c r="F6860" t="str">
        <f t="shared" si="2803"/>
        <v>IBG</v>
      </c>
      <c r="G6860" t="str">
        <f t="shared" ref="G6860:G6923" si="2812">"Refund COSHARE 10"</f>
        <v>Refund COSHARE 10</v>
      </c>
      <c r="H6860" s="2">
        <v>190</v>
      </c>
      <c r="I6860" t="str">
        <f>"ASRUL NIZAM BIN ABD KODIR"</f>
        <v>ASRUL NIZAM BIN ABD KODIR</v>
      </c>
      <c r="J6860" t="str">
        <f t="shared" si="2796"/>
        <v>CIMB BANK / CIMB ISLAMIC BANK</v>
      </c>
      <c r="K6860" t="str">
        <f>"02100029967523"</f>
        <v>02100029967523</v>
      </c>
      <c r="L6860" t="str">
        <f t="shared" si="2797"/>
        <v>04-08-2020</v>
      </c>
      <c r="M6860" t="str">
        <f t="shared" si="2797"/>
        <v>04-08-2020</v>
      </c>
      <c r="N6860" t="str">
        <f t="shared" si="2804"/>
        <v>001105018356</v>
      </c>
      <c r="O6860" t="str">
        <f t="shared" si="2805"/>
        <v>MYR</v>
      </c>
      <c r="P6860" t="str">
        <f t="shared" si="2798"/>
        <v>NIL</v>
      </c>
      <c r="Q6860" t="str">
        <f t="shared" si="2798"/>
        <v>NIL</v>
      </c>
      <c r="R6860" t="str">
        <f t="shared" si="2792"/>
        <v>Accepted</v>
      </c>
      <c r="S6860" t="str">
        <f t="shared" si="2806"/>
        <v>Approved</v>
      </c>
      <c r="T6860" t="str">
        <f t="shared" si="2793"/>
        <v>10.20.8.188</v>
      </c>
      <c r="U6860" t="str">
        <f t="shared" si="2807"/>
        <v>AZRAD UMAR BIN SHAARI</v>
      </c>
      <c r="V6860" t="str">
        <f t="shared" si="2808"/>
        <v>FARHANA BINTI MUSTAPA</v>
      </c>
      <c r="W6860" t="str">
        <f t="shared" si="2809"/>
        <v>04-08-2020</v>
      </c>
      <c r="X6860" t="str">
        <f t="shared" si="2810"/>
        <v>RAZIMAH ANSAR AHMAD</v>
      </c>
      <c r="Y6860" t="str">
        <f t="shared" si="2811"/>
        <v>04-08-2020</v>
      </c>
      <c r="Z6860" t="str">
        <f>"COS10200804 2294"</f>
        <v>COS10200804 2294</v>
      </c>
    </row>
    <row r="6861" spans="1:26" x14ac:dyDescent="0.25">
      <c r="A6861" t="str">
        <f t="shared" si="2799"/>
        <v>04-08-2020 12:37:08</v>
      </c>
      <c r="B6861" t="str">
        <f>"0000804053"</f>
        <v>0000804053</v>
      </c>
      <c r="C6861" t="str">
        <f t="shared" si="2800"/>
        <v>0000803960</v>
      </c>
      <c r="D6861" t="str">
        <f t="shared" si="2801"/>
        <v>73185</v>
      </c>
      <c r="E6861" t="str">
        <f t="shared" si="2802"/>
        <v>KFH-OPERATIONS DEPARTMENT</v>
      </c>
      <c r="F6861" t="str">
        <f t="shared" si="2803"/>
        <v>IBG</v>
      </c>
      <c r="G6861" t="str">
        <f t="shared" si="2812"/>
        <v>Refund COSHARE 10</v>
      </c>
      <c r="H6861" s="2">
        <v>313</v>
      </c>
      <c r="I6861" t="str">
        <f>"ASNITAI BINTI AZERI"</f>
        <v>ASNITAI BINTI AZERI</v>
      </c>
      <c r="J6861" t="str">
        <f t="shared" si="2796"/>
        <v>CIMB BANK / CIMB ISLAMIC BANK</v>
      </c>
      <c r="K6861" t="str">
        <f>"7017633910"</f>
        <v>7017633910</v>
      </c>
      <c r="L6861" t="str">
        <f t="shared" si="2797"/>
        <v>04-08-2020</v>
      </c>
      <c r="M6861" t="str">
        <f t="shared" si="2797"/>
        <v>04-08-2020</v>
      </c>
      <c r="N6861" t="str">
        <f t="shared" si="2804"/>
        <v>001105018356</v>
      </c>
      <c r="O6861" t="str">
        <f t="shared" si="2805"/>
        <v>MYR</v>
      </c>
      <c r="P6861" t="str">
        <f t="shared" si="2798"/>
        <v>NIL</v>
      </c>
      <c r="Q6861" t="str">
        <f t="shared" si="2798"/>
        <v>NIL</v>
      </c>
      <c r="R6861" t="str">
        <f t="shared" si="2792"/>
        <v>Accepted</v>
      </c>
      <c r="S6861" t="str">
        <f t="shared" si="2806"/>
        <v>Approved</v>
      </c>
      <c r="T6861" t="str">
        <f t="shared" si="2793"/>
        <v>10.20.8.188</v>
      </c>
      <c r="U6861" t="str">
        <f t="shared" si="2807"/>
        <v>AZRAD UMAR BIN SHAARI</v>
      </c>
      <c r="V6861" t="str">
        <f t="shared" si="2808"/>
        <v>FARHANA BINTI MUSTAPA</v>
      </c>
      <c r="W6861" t="str">
        <f t="shared" si="2809"/>
        <v>04-08-2020</v>
      </c>
      <c r="X6861" t="str">
        <f t="shared" si="2810"/>
        <v>RAZIMAH ANSAR AHMAD</v>
      </c>
      <c r="Y6861" t="str">
        <f t="shared" si="2811"/>
        <v>04-08-2020</v>
      </c>
      <c r="Z6861" t="str">
        <f>"COS10200804 2293"</f>
        <v>COS10200804 2293</v>
      </c>
    </row>
    <row r="6862" spans="1:26" x14ac:dyDescent="0.25">
      <c r="A6862" t="str">
        <f t="shared" si="2799"/>
        <v>04-08-2020 12:37:08</v>
      </c>
      <c r="B6862" t="str">
        <f>"0000804052"</f>
        <v>0000804052</v>
      </c>
      <c r="C6862" t="str">
        <f t="shared" si="2800"/>
        <v>0000803960</v>
      </c>
      <c r="D6862" t="str">
        <f t="shared" si="2801"/>
        <v>73185</v>
      </c>
      <c r="E6862" t="str">
        <f t="shared" si="2802"/>
        <v>KFH-OPERATIONS DEPARTMENT</v>
      </c>
      <c r="F6862" t="str">
        <f t="shared" si="2803"/>
        <v>IBG</v>
      </c>
      <c r="G6862" t="str">
        <f t="shared" si="2812"/>
        <v>Refund COSHARE 10</v>
      </c>
      <c r="H6862" s="2">
        <v>1637.05</v>
      </c>
      <c r="I6862" t="str">
        <f>"ASMAWI BIN NASIR"</f>
        <v>ASMAWI BIN NASIR</v>
      </c>
      <c r="J6862" t="str">
        <f t="shared" si="2796"/>
        <v>CIMB BANK / CIMB ISLAMIC BANK</v>
      </c>
      <c r="K6862" t="str">
        <f>"7028472399"</f>
        <v>7028472399</v>
      </c>
      <c r="L6862" t="str">
        <f t="shared" si="2797"/>
        <v>04-08-2020</v>
      </c>
      <c r="M6862" t="str">
        <f t="shared" si="2797"/>
        <v>04-08-2020</v>
      </c>
      <c r="N6862" t="str">
        <f t="shared" si="2804"/>
        <v>001105018356</v>
      </c>
      <c r="O6862" t="str">
        <f t="shared" si="2805"/>
        <v>MYR</v>
      </c>
      <c r="P6862" t="str">
        <f t="shared" si="2798"/>
        <v>NIL</v>
      </c>
      <c r="Q6862" t="str">
        <f t="shared" si="2798"/>
        <v>NIL</v>
      </c>
      <c r="R6862" t="str">
        <f t="shared" si="2792"/>
        <v>Accepted</v>
      </c>
      <c r="S6862" t="str">
        <f t="shared" si="2806"/>
        <v>Approved</v>
      </c>
      <c r="T6862" t="str">
        <f t="shared" si="2793"/>
        <v>10.20.8.188</v>
      </c>
      <c r="U6862" t="str">
        <f t="shared" si="2807"/>
        <v>AZRAD UMAR BIN SHAARI</v>
      </c>
      <c r="V6862" t="str">
        <f t="shared" si="2808"/>
        <v>FARHANA BINTI MUSTAPA</v>
      </c>
      <c r="W6862" t="str">
        <f t="shared" si="2809"/>
        <v>04-08-2020</v>
      </c>
      <c r="X6862" t="str">
        <f t="shared" si="2810"/>
        <v>RAZIMAH ANSAR AHMAD</v>
      </c>
      <c r="Y6862" t="str">
        <f t="shared" si="2811"/>
        <v>04-08-2020</v>
      </c>
      <c r="Z6862" t="str">
        <f>"COS10200804 2292"</f>
        <v>COS10200804 2292</v>
      </c>
    </row>
    <row r="6863" spans="1:26" x14ac:dyDescent="0.25">
      <c r="A6863" t="str">
        <f t="shared" si="2799"/>
        <v>04-08-2020 12:37:08</v>
      </c>
      <c r="B6863" t="str">
        <f>"0000804051"</f>
        <v>0000804051</v>
      </c>
      <c r="C6863" t="str">
        <f t="shared" si="2800"/>
        <v>0000803960</v>
      </c>
      <c r="D6863" t="str">
        <f t="shared" si="2801"/>
        <v>73185</v>
      </c>
      <c r="E6863" t="str">
        <f t="shared" si="2802"/>
        <v>KFH-OPERATIONS DEPARTMENT</v>
      </c>
      <c r="F6863" t="str">
        <f t="shared" si="2803"/>
        <v>IBG</v>
      </c>
      <c r="G6863" t="str">
        <f t="shared" si="2812"/>
        <v>Refund COSHARE 10</v>
      </c>
      <c r="H6863" s="2">
        <v>629.65</v>
      </c>
      <c r="I6863" t="str">
        <f>"ASMANIZAM BIN ABDUL SAMAT"</f>
        <v>ASMANIZAM BIN ABDUL SAMAT</v>
      </c>
      <c r="J6863" t="str">
        <f t="shared" si="2796"/>
        <v>CIMB BANK / CIMB ISLAMIC BANK</v>
      </c>
      <c r="K6863" t="str">
        <f>"7050581847"</f>
        <v>7050581847</v>
      </c>
      <c r="L6863" t="str">
        <f t="shared" si="2797"/>
        <v>04-08-2020</v>
      </c>
      <c r="M6863" t="str">
        <f t="shared" si="2797"/>
        <v>04-08-2020</v>
      </c>
      <c r="N6863" t="str">
        <f t="shared" si="2804"/>
        <v>001105018356</v>
      </c>
      <c r="O6863" t="str">
        <f t="shared" si="2805"/>
        <v>MYR</v>
      </c>
      <c r="P6863" t="str">
        <f t="shared" si="2798"/>
        <v>NIL</v>
      </c>
      <c r="Q6863" t="str">
        <f t="shared" si="2798"/>
        <v>NIL</v>
      </c>
      <c r="R6863" t="str">
        <f t="shared" si="2792"/>
        <v>Accepted</v>
      </c>
      <c r="S6863" t="str">
        <f t="shared" si="2806"/>
        <v>Approved</v>
      </c>
      <c r="T6863" t="str">
        <f t="shared" si="2793"/>
        <v>10.20.8.188</v>
      </c>
      <c r="U6863" t="str">
        <f t="shared" si="2807"/>
        <v>AZRAD UMAR BIN SHAARI</v>
      </c>
      <c r="V6863" t="str">
        <f t="shared" si="2808"/>
        <v>FARHANA BINTI MUSTAPA</v>
      </c>
      <c r="W6863" t="str">
        <f t="shared" si="2809"/>
        <v>04-08-2020</v>
      </c>
      <c r="X6863" t="str">
        <f t="shared" si="2810"/>
        <v>RAZIMAH ANSAR AHMAD</v>
      </c>
      <c r="Y6863" t="str">
        <f t="shared" si="2811"/>
        <v>04-08-2020</v>
      </c>
      <c r="Z6863" t="str">
        <f>"COS10200804 2291"</f>
        <v>COS10200804 2291</v>
      </c>
    </row>
    <row r="6864" spans="1:26" x14ac:dyDescent="0.25">
      <c r="A6864" t="str">
        <f t="shared" si="2799"/>
        <v>04-08-2020 12:37:08</v>
      </c>
      <c r="B6864" t="str">
        <f>"0000804050"</f>
        <v>0000804050</v>
      </c>
      <c r="C6864" t="str">
        <f t="shared" si="2800"/>
        <v>0000803960</v>
      </c>
      <c r="D6864" t="str">
        <f t="shared" si="2801"/>
        <v>73185</v>
      </c>
      <c r="E6864" t="str">
        <f t="shared" si="2802"/>
        <v>KFH-OPERATIONS DEPARTMENT</v>
      </c>
      <c r="F6864" t="str">
        <f t="shared" si="2803"/>
        <v>IBG</v>
      </c>
      <c r="G6864" t="str">
        <f t="shared" si="2812"/>
        <v>Refund COSHARE 10</v>
      </c>
      <c r="H6864" s="2">
        <v>150.80000000000001</v>
      </c>
      <c r="I6864" t="str">
        <f>"ASMAN BIN ALI"</f>
        <v>ASMAN BIN ALI</v>
      </c>
      <c r="J6864" t="str">
        <f t="shared" si="2796"/>
        <v>CIMB BANK / CIMB ISLAMIC BANK</v>
      </c>
      <c r="K6864" t="str">
        <f>"12150036241526"</f>
        <v>12150036241526</v>
      </c>
      <c r="L6864" t="str">
        <f t="shared" si="2797"/>
        <v>04-08-2020</v>
      </c>
      <c r="M6864" t="str">
        <f t="shared" si="2797"/>
        <v>04-08-2020</v>
      </c>
      <c r="N6864" t="str">
        <f t="shared" si="2804"/>
        <v>001105018356</v>
      </c>
      <c r="O6864" t="str">
        <f t="shared" si="2805"/>
        <v>MYR</v>
      </c>
      <c r="P6864" t="str">
        <f t="shared" si="2798"/>
        <v>NIL</v>
      </c>
      <c r="Q6864" t="str">
        <f t="shared" si="2798"/>
        <v>NIL</v>
      </c>
      <c r="R6864" t="str">
        <f t="shared" si="2792"/>
        <v>Accepted</v>
      </c>
      <c r="S6864" t="str">
        <f t="shared" si="2806"/>
        <v>Approved</v>
      </c>
      <c r="T6864" t="str">
        <f t="shared" si="2793"/>
        <v>10.20.8.188</v>
      </c>
      <c r="U6864" t="str">
        <f t="shared" si="2807"/>
        <v>AZRAD UMAR BIN SHAARI</v>
      </c>
      <c r="V6864" t="str">
        <f t="shared" si="2808"/>
        <v>FARHANA BINTI MUSTAPA</v>
      </c>
      <c r="W6864" t="str">
        <f t="shared" si="2809"/>
        <v>04-08-2020</v>
      </c>
      <c r="X6864" t="str">
        <f t="shared" si="2810"/>
        <v>RAZIMAH ANSAR AHMAD</v>
      </c>
      <c r="Y6864" t="str">
        <f t="shared" si="2811"/>
        <v>04-08-2020</v>
      </c>
      <c r="Z6864" t="str">
        <f>"COS10200804 2290"</f>
        <v>COS10200804 2290</v>
      </c>
    </row>
    <row r="6865" spans="1:26" x14ac:dyDescent="0.25">
      <c r="A6865" t="str">
        <f t="shared" si="2799"/>
        <v>04-08-2020 12:37:08</v>
      </c>
      <c r="B6865" t="str">
        <f>"0000804049"</f>
        <v>0000804049</v>
      </c>
      <c r="C6865" t="str">
        <f t="shared" si="2800"/>
        <v>0000803960</v>
      </c>
      <c r="D6865" t="str">
        <f t="shared" si="2801"/>
        <v>73185</v>
      </c>
      <c r="E6865" t="str">
        <f t="shared" si="2802"/>
        <v>KFH-OPERATIONS DEPARTMENT</v>
      </c>
      <c r="F6865" t="str">
        <f t="shared" si="2803"/>
        <v>IBG</v>
      </c>
      <c r="G6865" t="str">
        <f t="shared" si="2812"/>
        <v>Refund COSHARE 10</v>
      </c>
      <c r="H6865" s="2">
        <v>476.6</v>
      </c>
      <c r="I6865" t="str">
        <f>"ASMAH  ASNAH BINTI AYUB"</f>
        <v>ASMAH  ASNAH BINTI AYUB</v>
      </c>
      <c r="J6865" t="str">
        <f t="shared" si="2796"/>
        <v>CIMB BANK / CIMB ISLAMIC BANK</v>
      </c>
      <c r="K6865" t="str">
        <f>"12650003883523"</f>
        <v>12650003883523</v>
      </c>
      <c r="L6865" t="str">
        <f t="shared" si="2797"/>
        <v>04-08-2020</v>
      </c>
      <c r="M6865" t="str">
        <f t="shared" si="2797"/>
        <v>04-08-2020</v>
      </c>
      <c r="N6865" t="str">
        <f t="shared" si="2804"/>
        <v>001105018356</v>
      </c>
      <c r="O6865" t="str">
        <f t="shared" si="2805"/>
        <v>MYR</v>
      </c>
      <c r="P6865" t="str">
        <f t="shared" si="2798"/>
        <v>NIL</v>
      </c>
      <c r="Q6865" t="str">
        <f t="shared" si="2798"/>
        <v>NIL</v>
      </c>
      <c r="R6865" t="str">
        <f t="shared" si="2792"/>
        <v>Accepted</v>
      </c>
      <c r="S6865" t="str">
        <f t="shared" si="2806"/>
        <v>Approved</v>
      </c>
      <c r="T6865" t="str">
        <f t="shared" si="2793"/>
        <v>10.20.8.188</v>
      </c>
      <c r="U6865" t="str">
        <f t="shared" si="2807"/>
        <v>AZRAD UMAR BIN SHAARI</v>
      </c>
      <c r="V6865" t="str">
        <f t="shared" si="2808"/>
        <v>FARHANA BINTI MUSTAPA</v>
      </c>
      <c r="W6865" t="str">
        <f t="shared" si="2809"/>
        <v>04-08-2020</v>
      </c>
      <c r="X6865" t="str">
        <f t="shared" si="2810"/>
        <v>RAZIMAH ANSAR AHMAD</v>
      </c>
      <c r="Y6865" t="str">
        <f t="shared" si="2811"/>
        <v>04-08-2020</v>
      </c>
      <c r="Z6865" t="str">
        <f>"COS10200804 2289"</f>
        <v>COS10200804 2289</v>
      </c>
    </row>
    <row r="6866" spans="1:26" x14ac:dyDescent="0.25">
      <c r="A6866" t="str">
        <f t="shared" si="2799"/>
        <v>04-08-2020 12:37:08</v>
      </c>
      <c r="B6866" t="str">
        <f>"0000804048"</f>
        <v>0000804048</v>
      </c>
      <c r="C6866" t="str">
        <f t="shared" si="2800"/>
        <v>0000803960</v>
      </c>
      <c r="D6866" t="str">
        <f t="shared" si="2801"/>
        <v>73185</v>
      </c>
      <c r="E6866" t="str">
        <f t="shared" si="2802"/>
        <v>KFH-OPERATIONS DEPARTMENT</v>
      </c>
      <c r="F6866" t="str">
        <f t="shared" si="2803"/>
        <v>IBG</v>
      </c>
      <c r="G6866" t="str">
        <f t="shared" si="2812"/>
        <v>Refund COSHARE 10</v>
      </c>
      <c r="H6866" s="2">
        <v>906.65</v>
      </c>
      <c r="I6866" t="str">
        <f>"ASLINDA BT MD ISA"</f>
        <v>ASLINDA BT MD ISA</v>
      </c>
      <c r="J6866" t="str">
        <f t="shared" si="2796"/>
        <v>CIMB BANK / CIMB ISLAMIC BANK</v>
      </c>
      <c r="K6866" t="str">
        <f>"02050004842203"</f>
        <v>02050004842203</v>
      </c>
      <c r="L6866" t="str">
        <f t="shared" si="2797"/>
        <v>04-08-2020</v>
      </c>
      <c r="M6866" t="str">
        <f t="shared" si="2797"/>
        <v>04-08-2020</v>
      </c>
      <c r="N6866" t="str">
        <f t="shared" si="2804"/>
        <v>001105018356</v>
      </c>
      <c r="O6866" t="str">
        <f t="shared" si="2805"/>
        <v>MYR</v>
      </c>
      <c r="P6866" t="str">
        <f t="shared" si="2798"/>
        <v>NIL</v>
      </c>
      <c r="Q6866" t="str">
        <f t="shared" si="2798"/>
        <v>NIL</v>
      </c>
      <c r="R6866" t="str">
        <f t="shared" si="2792"/>
        <v>Accepted</v>
      </c>
      <c r="S6866" t="str">
        <f t="shared" si="2806"/>
        <v>Approved</v>
      </c>
      <c r="T6866" t="str">
        <f t="shared" si="2793"/>
        <v>10.20.8.188</v>
      </c>
      <c r="U6866" t="str">
        <f t="shared" si="2807"/>
        <v>AZRAD UMAR BIN SHAARI</v>
      </c>
      <c r="V6866" t="str">
        <f t="shared" si="2808"/>
        <v>FARHANA BINTI MUSTAPA</v>
      </c>
      <c r="W6866" t="str">
        <f t="shared" si="2809"/>
        <v>04-08-2020</v>
      </c>
      <c r="X6866" t="str">
        <f t="shared" si="2810"/>
        <v>RAZIMAH ANSAR AHMAD</v>
      </c>
      <c r="Y6866" t="str">
        <f t="shared" si="2811"/>
        <v>04-08-2020</v>
      </c>
      <c r="Z6866" t="str">
        <f>"COS10200804 2288"</f>
        <v>COS10200804 2288</v>
      </c>
    </row>
    <row r="6867" spans="1:26" x14ac:dyDescent="0.25">
      <c r="A6867" t="str">
        <f t="shared" si="2799"/>
        <v>04-08-2020 12:37:08</v>
      </c>
      <c r="B6867" t="str">
        <f>"0000804047"</f>
        <v>0000804047</v>
      </c>
      <c r="C6867" t="str">
        <f t="shared" si="2800"/>
        <v>0000803960</v>
      </c>
      <c r="D6867" t="str">
        <f t="shared" si="2801"/>
        <v>73185</v>
      </c>
      <c r="E6867" t="str">
        <f t="shared" si="2802"/>
        <v>KFH-OPERATIONS DEPARTMENT</v>
      </c>
      <c r="F6867" t="str">
        <f t="shared" si="2803"/>
        <v>IBG</v>
      </c>
      <c r="G6867" t="str">
        <f t="shared" si="2812"/>
        <v>Refund COSHARE 10</v>
      </c>
      <c r="H6867" s="2">
        <v>1679</v>
      </c>
      <c r="I6867" t="str">
        <f>"ASIANA BINTI SULONG"</f>
        <v>ASIANA BINTI SULONG</v>
      </c>
      <c r="J6867" t="str">
        <f t="shared" si="2796"/>
        <v>CIMB BANK / CIMB ISLAMIC BANK</v>
      </c>
      <c r="K6867" t="str">
        <f>"12210044481521"</f>
        <v>12210044481521</v>
      </c>
      <c r="L6867" t="str">
        <f t="shared" ref="L6867:M6886" si="2813">"04-08-2020"</f>
        <v>04-08-2020</v>
      </c>
      <c r="M6867" t="str">
        <f t="shared" si="2813"/>
        <v>04-08-2020</v>
      </c>
      <c r="N6867" t="str">
        <f t="shared" si="2804"/>
        <v>001105018356</v>
      </c>
      <c r="O6867" t="str">
        <f t="shared" si="2805"/>
        <v>MYR</v>
      </c>
      <c r="P6867" t="str">
        <f t="shared" ref="P6867:Q6886" si="2814">"NIL"</f>
        <v>NIL</v>
      </c>
      <c r="Q6867" t="str">
        <f t="shared" si="2814"/>
        <v>NIL</v>
      </c>
      <c r="R6867" t="str">
        <f t="shared" si="2792"/>
        <v>Accepted</v>
      </c>
      <c r="S6867" t="str">
        <f t="shared" si="2806"/>
        <v>Approved</v>
      </c>
      <c r="T6867" t="str">
        <f t="shared" si="2793"/>
        <v>10.20.8.188</v>
      </c>
      <c r="U6867" t="str">
        <f t="shared" si="2807"/>
        <v>AZRAD UMAR BIN SHAARI</v>
      </c>
      <c r="V6867" t="str">
        <f t="shared" si="2808"/>
        <v>FARHANA BINTI MUSTAPA</v>
      </c>
      <c r="W6867" t="str">
        <f t="shared" si="2809"/>
        <v>04-08-2020</v>
      </c>
      <c r="X6867" t="str">
        <f t="shared" si="2810"/>
        <v>RAZIMAH ANSAR AHMAD</v>
      </c>
      <c r="Y6867" t="str">
        <f t="shared" si="2811"/>
        <v>04-08-2020</v>
      </c>
      <c r="Z6867" t="str">
        <f>"COS10200804 2287"</f>
        <v>COS10200804 2287</v>
      </c>
    </row>
    <row r="6868" spans="1:26" x14ac:dyDescent="0.25">
      <c r="A6868" t="str">
        <f t="shared" si="2799"/>
        <v>04-08-2020 12:37:08</v>
      </c>
      <c r="B6868" t="str">
        <f>"0000804046"</f>
        <v>0000804046</v>
      </c>
      <c r="C6868" t="str">
        <f t="shared" si="2800"/>
        <v>0000803960</v>
      </c>
      <c r="D6868" t="str">
        <f t="shared" si="2801"/>
        <v>73185</v>
      </c>
      <c r="E6868" t="str">
        <f t="shared" si="2802"/>
        <v>KFH-OPERATIONS DEPARTMENT</v>
      </c>
      <c r="F6868" t="str">
        <f t="shared" si="2803"/>
        <v>IBG</v>
      </c>
      <c r="G6868" t="str">
        <f t="shared" si="2812"/>
        <v>Refund COSHARE 10</v>
      </c>
      <c r="H6868" s="2">
        <v>51.2</v>
      </c>
      <c r="I6868" t="str">
        <f>"ARYATI BINTI AGUIR"</f>
        <v>ARYATI BINTI AGUIR</v>
      </c>
      <c r="J6868" t="str">
        <f t="shared" si="2796"/>
        <v>CIMB BANK / CIMB ISLAMIC BANK</v>
      </c>
      <c r="K6868" t="str">
        <f>"10030067011521"</f>
        <v>10030067011521</v>
      </c>
      <c r="L6868" t="str">
        <f t="shared" si="2813"/>
        <v>04-08-2020</v>
      </c>
      <c r="M6868" t="str">
        <f t="shared" si="2813"/>
        <v>04-08-2020</v>
      </c>
      <c r="N6868" t="str">
        <f t="shared" si="2804"/>
        <v>001105018356</v>
      </c>
      <c r="O6868" t="str">
        <f t="shared" si="2805"/>
        <v>MYR</v>
      </c>
      <c r="P6868" t="str">
        <f t="shared" si="2814"/>
        <v>NIL</v>
      </c>
      <c r="Q6868" t="str">
        <f t="shared" si="2814"/>
        <v>NIL</v>
      </c>
      <c r="R6868" t="str">
        <f t="shared" si="2792"/>
        <v>Accepted</v>
      </c>
      <c r="S6868" t="str">
        <f t="shared" si="2806"/>
        <v>Approved</v>
      </c>
      <c r="T6868" t="str">
        <f t="shared" si="2793"/>
        <v>10.20.8.188</v>
      </c>
      <c r="U6868" t="str">
        <f t="shared" si="2807"/>
        <v>AZRAD UMAR BIN SHAARI</v>
      </c>
      <c r="V6868" t="str">
        <f t="shared" si="2808"/>
        <v>FARHANA BINTI MUSTAPA</v>
      </c>
      <c r="W6868" t="str">
        <f t="shared" si="2809"/>
        <v>04-08-2020</v>
      </c>
      <c r="X6868" t="str">
        <f t="shared" si="2810"/>
        <v>RAZIMAH ANSAR AHMAD</v>
      </c>
      <c r="Y6868" t="str">
        <f t="shared" si="2811"/>
        <v>04-08-2020</v>
      </c>
      <c r="Z6868" t="str">
        <f>"COS10200804 2286"</f>
        <v>COS10200804 2286</v>
      </c>
    </row>
    <row r="6869" spans="1:26" x14ac:dyDescent="0.25">
      <c r="A6869" t="str">
        <f t="shared" si="2799"/>
        <v>04-08-2020 12:37:08</v>
      </c>
      <c r="B6869" t="str">
        <f>"0000804045"</f>
        <v>0000804045</v>
      </c>
      <c r="C6869" t="str">
        <f t="shared" si="2800"/>
        <v>0000803960</v>
      </c>
      <c r="D6869" t="str">
        <f t="shared" si="2801"/>
        <v>73185</v>
      </c>
      <c r="E6869" t="str">
        <f t="shared" si="2802"/>
        <v>KFH-OPERATIONS DEPARTMENT</v>
      </c>
      <c r="F6869" t="str">
        <f t="shared" si="2803"/>
        <v>IBG</v>
      </c>
      <c r="G6869" t="str">
        <f t="shared" si="2812"/>
        <v>Refund COSHARE 10</v>
      </c>
      <c r="H6869" s="2">
        <v>167.9</v>
      </c>
      <c r="I6869" t="str">
        <f>"ARTINIWATI BINTI MOHD HAJAR"</f>
        <v>ARTINIWATI BINTI MOHD HAJAR</v>
      </c>
      <c r="J6869" t="str">
        <f t="shared" si="2796"/>
        <v>CIMB BANK / CIMB ISLAMIC BANK</v>
      </c>
      <c r="K6869" t="str">
        <f>"10040061205527"</f>
        <v>10040061205527</v>
      </c>
      <c r="L6869" t="str">
        <f t="shared" si="2813"/>
        <v>04-08-2020</v>
      </c>
      <c r="M6869" t="str">
        <f t="shared" si="2813"/>
        <v>04-08-2020</v>
      </c>
      <c r="N6869" t="str">
        <f t="shared" si="2804"/>
        <v>001105018356</v>
      </c>
      <c r="O6869" t="str">
        <f t="shared" si="2805"/>
        <v>MYR</v>
      </c>
      <c r="P6869" t="str">
        <f t="shared" si="2814"/>
        <v>NIL</v>
      </c>
      <c r="Q6869" t="str">
        <f t="shared" si="2814"/>
        <v>NIL</v>
      </c>
      <c r="R6869" t="str">
        <f t="shared" si="2792"/>
        <v>Accepted</v>
      </c>
      <c r="S6869" t="str">
        <f t="shared" si="2806"/>
        <v>Approved</v>
      </c>
      <c r="T6869" t="str">
        <f t="shared" si="2793"/>
        <v>10.20.8.188</v>
      </c>
      <c r="U6869" t="str">
        <f t="shared" si="2807"/>
        <v>AZRAD UMAR BIN SHAARI</v>
      </c>
      <c r="V6869" t="str">
        <f t="shared" si="2808"/>
        <v>FARHANA BINTI MUSTAPA</v>
      </c>
      <c r="W6869" t="str">
        <f t="shared" si="2809"/>
        <v>04-08-2020</v>
      </c>
      <c r="X6869" t="str">
        <f t="shared" si="2810"/>
        <v>RAZIMAH ANSAR AHMAD</v>
      </c>
      <c r="Y6869" t="str">
        <f t="shared" si="2811"/>
        <v>04-08-2020</v>
      </c>
      <c r="Z6869" t="str">
        <f>"COS10200804 2285"</f>
        <v>COS10200804 2285</v>
      </c>
    </row>
    <row r="6870" spans="1:26" x14ac:dyDescent="0.25">
      <c r="A6870" t="str">
        <f t="shared" si="2799"/>
        <v>04-08-2020 12:37:08</v>
      </c>
      <c r="B6870" t="str">
        <f>"0000804044"</f>
        <v>0000804044</v>
      </c>
      <c r="C6870" t="str">
        <f t="shared" si="2800"/>
        <v>0000803960</v>
      </c>
      <c r="D6870" t="str">
        <f t="shared" si="2801"/>
        <v>73185</v>
      </c>
      <c r="E6870" t="str">
        <f t="shared" si="2802"/>
        <v>KFH-OPERATIONS DEPARTMENT</v>
      </c>
      <c r="F6870" t="str">
        <f t="shared" si="2803"/>
        <v>IBG</v>
      </c>
      <c r="G6870" t="str">
        <f t="shared" si="2812"/>
        <v>Refund COSHARE 10</v>
      </c>
      <c r="H6870" s="2">
        <v>509</v>
      </c>
      <c r="I6870" t="str">
        <f>"ARSHAD BIN SALIH"</f>
        <v>ARSHAD BIN SALIH</v>
      </c>
      <c r="J6870" t="str">
        <f t="shared" si="2796"/>
        <v>CIMB BANK / CIMB ISLAMIC BANK</v>
      </c>
      <c r="K6870" t="str">
        <f>"14370063646526"</f>
        <v>14370063646526</v>
      </c>
      <c r="L6870" t="str">
        <f t="shared" si="2813"/>
        <v>04-08-2020</v>
      </c>
      <c r="M6870" t="str">
        <f t="shared" si="2813"/>
        <v>04-08-2020</v>
      </c>
      <c r="N6870" t="str">
        <f t="shared" si="2804"/>
        <v>001105018356</v>
      </c>
      <c r="O6870" t="str">
        <f t="shared" si="2805"/>
        <v>MYR</v>
      </c>
      <c r="P6870" t="str">
        <f t="shared" si="2814"/>
        <v>NIL</v>
      </c>
      <c r="Q6870" t="str">
        <f t="shared" si="2814"/>
        <v>NIL</v>
      </c>
      <c r="R6870" t="str">
        <f t="shared" si="2792"/>
        <v>Accepted</v>
      </c>
      <c r="S6870" t="str">
        <f t="shared" si="2806"/>
        <v>Approved</v>
      </c>
      <c r="T6870" t="str">
        <f t="shared" si="2793"/>
        <v>10.20.8.188</v>
      </c>
      <c r="U6870" t="str">
        <f t="shared" si="2807"/>
        <v>AZRAD UMAR BIN SHAARI</v>
      </c>
      <c r="V6870" t="str">
        <f t="shared" si="2808"/>
        <v>FARHANA BINTI MUSTAPA</v>
      </c>
      <c r="W6870" t="str">
        <f t="shared" si="2809"/>
        <v>04-08-2020</v>
      </c>
      <c r="X6870" t="str">
        <f t="shared" si="2810"/>
        <v>RAZIMAH ANSAR AHMAD</v>
      </c>
      <c r="Y6870" t="str">
        <f t="shared" si="2811"/>
        <v>04-08-2020</v>
      </c>
      <c r="Z6870" t="str">
        <f>"COS10200804 2284"</f>
        <v>COS10200804 2284</v>
      </c>
    </row>
    <row r="6871" spans="1:26" x14ac:dyDescent="0.25">
      <c r="A6871" t="str">
        <f t="shared" si="2799"/>
        <v>04-08-2020 12:37:08</v>
      </c>
      <c r="B6871" t="str">
        <f>"0000804043"</f>
        <v>0000804043</v>
      </c>
      <c r="C6871" t="str">
        <f t="shared" si="2800"/>
        <v>0000803960</v>
      </c>
      <c r="D6871" t="str">
        <f t="shared" si="2801"/>
        <v>73185</v>
      </c>
      <c r="E6871" t="str">
        <f t="shared" si="2802"/>
        <v>KFH-OPERATIONS DEPARTMENT</v>
      </c>
      <c r="F6871" t="str">
        <f t="shared" si="2803"/>
        <v>IBG</v>
      </c>
      <c r="G6871" t="str">
        <f t="shared" si="2812"/>
        <v>Refund COSHARE 10</v>
      </c>
      <c r="H6871" s="2">
        <v>453.35</v>
      </c>
      <c r="I6871" t="str">
        <f>"ARSHAD BIN SALIH"</f>
        <v>ARSHAD BIN SALIH</v>
      </c>
      <c r="J6871" t="str">
        <f t="shared" si="2796"/>
        <v>CIMB BANK / CIMB ISLAMIC BANK</v>
      </c>
      <c r="K6871" t="str">
        <f>"14370063646526"</f>
        <v>14370063646526</v>
      </c>
      <c r="L6871" t="str">
        <f t="shared" si="2813"/>
        <v>04-08-2020</v>
      </c>
      <c r="M6871" t="str">
        <f t="shared" si="2813"/>
        <v>04-08-2020</v>
      </c>
      <c r="N6871" t="str">
        <f t="shared" si="2804"/>
        <v>001105018356</v>
      </c>
      <c r="O6871" t="str">
        <f t="shared" si="2805"/>
        <v>MYR</v>
      </c>
      <c r="P6871" t="str">
        <f t="shared" si="2814"/>
        <v>NIL</v>
      </c>
      <c r="Q6871" t="str">
        <f t="shared" si="2814"/>
        <v>NIL</v>
      </c>
      <c r="R6871" t="str">
        <f t="shared" si="2792"/>
        <v>Accepted</v>
      </c>
      <c r="S6871" t="str">
        <f t="shared" si="2806"/>
        <v>Approved</v>
      </c>
      <c r="T6871" t="str">
        <f t="shared" si="2793"/>
        <v>10.20.8.188</v>
      </c>
      <c r="U6871" t="str">
        <f t="shared" si="2807"/>
        <v>AZRAD UMAR BIN SHAARI</v>
      </c>
      <c r="V6871" t="str">
        <f t="shared" si="2808"/>
        <v>FARHANA BINTI MUSTAPA</v>
      </c>
      <c r="W6871" t="str">
        <f t="shared" si="2809"/>
        <v>04-08-2020</v>
      </c>
      <c r="X6871" t="str">
        <f t="shared" si="2810"/>
        <v>RAZIMAH ANSAR AHMAD</v>
      </c>
      <c r="Y6871" t="str">
        <f t="shared" si="2811"/>
        <v>04-08-2020</v>
      </c>
      <c r="Z6871" t="str">
        <f>"COS10200804 2283"</f>
        <v>COS10200804 2283</v>
      </c>
    </row>
    <row r="6872" spans="1:26" x14ac:dyDescent="0.25">
      <c r="A6872" t="str">
        <f t="shared" si="2799"/>
        <v>04-08-2020 12:37:08</v>
      </c>
      <c r="B6872" t="str">
        <f>"0000804042"</f>
        <v>0000804042</v>
      </c>
      <c r="C6872" t="str">
        <f t="shared" si="2800"/>
        <v>0000803960</v>
      </c>
      <c r="D6872" t="str">
        <f t="shared" si="2801"/>
        <v>73185</v>
      </c>
      <c r="E6872" t="str">
        <f t="shared" si="2802"/>
        <v>KFH-OPERATIONS DEPARTMENT</v>
      </c>
      <c r="F6872" t="str">
        <f t="shared" si="2803"/>
        <v>IBG</v>
      </c>
      <c r="G6872" t="str">
        <f t="shared" si="2812"/>
        <v>Refund COSHARE 10</v>
      </c>
      <c r="H6872" s="2">
        <v>1334</v>
      </c>
      <c r="I6872" t="str">
        <f>"ARLINA BINTI ALI"</f>
        <v>ARLINA BINTI ALI</v>
      </c>
      <c r="J6872" t="str">
        <f t="shared" si="2796"/>
        <v>CIMB BANK / CIMB ISLAMIC BANK</v>
      </c>
      <c r="K6872" t="str">
        <f>"12280013137529"</f>
        <v>12280013137529</v>
      </c>
      <c r="L6872" t="str">
        <f t="shared" si="2813"/>
        <v>04-08-2020</v>
      </c>
      <c r="M6872" t="str">
        <f t="shared" si="2813"/>
        <v>04-08-2020</v>
      </c>
      <c r="N6872" t="str">
        <f t="shared" si="2804"/>
        <v>001105018356</v>
      </c>
      <c r="O6872" t="str">
        <f t="shared" si="2805"/>
        <v>MYR</v>
      </c>
      <c r="P6872" t="str">
        <f t="shared" si="2814"/>
        <v>NIL</v>
      </c>
      <c r="Q6872" t="str">
        <f t="shared" si="2814"/>
        <v>NIL</v>
      </c>
      <c r="R6872" t="str">
        <f t="shared" si="2792"/>
        <v>Accepted</v>
      </c>
      <c r="S6872" t="str">
        <f t="shared" si="2806"/>
        <v>Approved</v>
      </c>
      <c r="T6872" t="str">
        <f t="shared" si="2793"/>
        <v>10.20.8.188</v>
      </c>
      <c r="U6872" t="str">
        <f t="shared" si="2807"/>
        <v>AZRAD UMAR BIN SHAARI</v>
      </c>
      <c r="V6872" t="str">
        <f t="shared" si="2808"/>
        <v>FARHANA BINTI MUSTAPA</v>
      </c>
      <c r="W6872" t="str">
        <f t="shared" si="2809"/>
        <v>04-08-2020</v>
      </c>
      <c r="X6872" t="str">
        <f t="shared" si="2810"/>
        <v>RAZIMAH ANSAR AHMAD</v>
      </c>
      <c r="Y6872" t="str">
        <f t="shared" si="2811"/>
        <v>04-08-2020</v>
      </c>
      <c r="Z6872" t="str">
        <f>"COS10200804 2282"</f>
        <v>COS10200804 2282</v>
      </c>
    </row>
    <row r="6873" spans="1:26" x14ac:dyDescent="0.25">
      <c r="A6873" t="str">
        <f t="shared" si="2799"/>
        <v>04-08-2020 12:37:08</v>
      </c>
      <c r="B6873" t="str">
        <f>"0000804041"</f>
        <v>0000804041</v>
      </c>
      <c r="C6873" t="str">
        <f t="shared" si="2800"/>
        <v>0000803960</v>
      </c>
      <c r="D6873" t="str">
        <f t="shared" si="2801"/>
        <v>73185</v>
      </c>
      <c r="E6873" t="str">
        <f t="shared" si="2802"/>
        <v>KFH-OPERATIONS DEPARTMENT</v>
      </c>
      <c r="F6873" t="str">
        <f t="shared" si="2803"/>
        <v>IBG</v>
      </c>
      <c r="G6873" t="str">
        <f t="shared" si="2812"/>
        <v>Refund COSHARE 10</v>
      </c>
      <c r="H6873" s="2">
        <v>42</v>
      </c>
      <c r="I6873" t="str">
        <f>"ARIFF AZWAN BIN ALIS  ALIAS"</f>
        <v>ARIFF AZWAN BIN ALIS  ALIAS</v>
      </c>
      <c r="J6873" t="str">
        <f t="shared" si="2796"/>
        <v>CIMB BANK / CIMB ISLAMIC BANK</v>
      </c>
      <c r="K6873" t="str">
        <f>"12150066503523"</f>
        <v>12150066503523</v>
      </c>
      <c r="L6873" t="str">
        <f t="shared" si="2813"/>
        <v>04-08-2020</v>
      </c>
      <c r="M6873" t="str">
        <f t="shared" si="2813"/>
        <v>04-08-2020</v>
      </c>
      <c r="N6873" t="str">
        <f t="shared" si="2804"/>
        <v>001105018356</v>
      </c>
      <c r="O6873" t="str">
        <f t="shared" si="2805"/>
        <v>MYR</v>
      </c>
      <c r="P6873" t="str">
        <f t="shared" si="2814"/>
        <v>NIL</v>
      </c>
      <c r="Q6873" t="str">
        <f t="shared" si="2814"/>
        <v>NIL</v>
      </c>
      <c r="R6873" t="str">
        <f t="shared" si="2792"/>
        <v>Accepted</v>
      </c>
      <c r="S6873" t="str">
        <f t="shared" si="2806"/>
        <v>Approved</v>
      </c>
      <c r="T6873" t="str">
        <f t="shared" si="2793"/>
        <v>10.20.8.188</v>
      </c>
      <c r="U6873" t="str">
        <f t="shared" si="2807"/>
        <v>AZRAD UMAR BIN SHAARI</v>
      </c>
      <c r="V6873" t="str">
        <f t="shared" si="2808"/>
        <v>FARHANA BINTI MUSTAPA</v>
      </c>
      <c r="W6873" t="str">
        <f t="shared" si="2809"/>
        <v>04-08-2020</v>
      </c>
      <c r="X6873" t="str">
        <f t="shared" si="2810"/>
        <v>RAZIMAH ANSAR AHMAD</v>
      </c>
      <c r="Y6873" t="str">
        <f t="shared" si="2811"/>
        <v>04-08-2020</v>
      </c>
      <c r="Z6873" t="str">
        <f>"COS10200804 2281"</f>
        <v>COS10200804 2281</v>
      </c>
    </row>
    <row r="6874" spans="1:26" x14ac:dyDescent="0.25">
      <c r="A6874" t="str">
        <f t="shared" si="2799"/>
        <v>04-08-2020 12:37:08</v>
      </c>
      <c r="B6874" t="str">
        <f>"0000804040"</f>
        <v>0000804040</v>
      </c>
      <c r="C6874" t="str">
        <f t="shared" si="2800"/>
        <v>0000803960</v>
      </c>
      <c r="D6874" t="str">
        <f t="shared" si="2801"/>
        <v>73185</v>
      </c>
      <c r="E6874" t="str">
        <f t="shared" si="2802"/>
        <v>KFH-OPERATIONS DEPARTMENT</v>
      </c>
      <c r="F6874" t="str">
        <f t="shared" si="2803"/>
        <v>IBG</v>
      </c>
      <c r="G6874" t="str">
        <f t="shared" si="2812"/>
        <v>Refund COSHARE 10</v>
      </c>
      <c r="H6874" s="2">
        <v>671.6</v>
      </c>
      <c r="I6874" t="str">
        <f>"ARIF AZANOR BIN TOMPANG  ABD RAZAK"</f>
        <v>ARIF AZANOR BIN TOMPANG  ABD RAZAK</v>
      </c>
      <c r="J6874" t="str">
        <f t="shared" si="2796"/>
        <v>CIMB BANK / CIMB ISLAMIC BANK</v>
      </c>
      <c r="K6874" t="str">
        <f>"01190072274525"</f>
        <v>01190072274525</v>
      </c>
      <c r="L6874" t="str">
        <f t="shared" si="2813"/>
        <v>04-08-2020</v>
      </c>
      <c r="M6874" t="str">
        <f t="shared" si="2813"/>
        <v>04-08-2020</v>
      </c>
      <c r="N6874" t="str">
        <f t="shared" si="2804"/>
        <v>001105018356</v>
      </c>
      <c r="O6874" t="str">
        <f t="shared" si="2805"/>
        <v>MYR</v>
      </c>
      <c r="P6874" t="str">
        <f t="shared" si="2814"/>
        <v>NIL</v>
      </c>
      <c r="Q6874" t="str">
        <f t="shared" si="2814"/>
        <v>NIL</v>
      </c>
      <c r="R6874" t="str">
        <f t="shared" si="2792"/>
        <v>Accepted</v>
      </c>
      <c r="S6874" t="str">
        <f t="shared" si="2806"/>
        <v>Approved</v>
      </c>
      <c r="T6874" t="str">
        <f t="shared" si="2793"/>
        <v>10.20.8.188</v>
      </c>
      <c r="U6874" t="str">
        <f t="shared" si="2807"/>
        <v>AZRAD UMAR BIN SHAARI</v>
      </c>
      <c r="V6874" t="str">
        <f t="shared" si="2808"/>
        <v>FARHANA BINTI MUSTAPA</v>
      </c>
      <c r="W6874" t="str">
        <f t="shared" si="2809"/>
        <v>04-08-2020</v>
      </c>
      <c r="X6874" t="str">
        <f t="shared" si="2810"/>
        <v>RAZIMAH ANSAR AHMAD</v>
      </c>
      <c r="Y6874" t="str">
        <f t="shared" si="2811"/>
        <v>04-08-2020</v>
      </c>
      <c r="Z6874" t="str">
        <f>"COS10200804 2280"</f>
        <v>COS10200804 2280</v>
      </c>
    </row>
    <row r="6875" spans="1:26" x14ac:dyDescent="0.25">
      <c r="A6875" t="str">
        <f t="shared" si="2799"/>
        <v>04-08-2020 12:37:08</v>
      </c>
      <c r="B6875" t="str">
        <f>"0000804039"</f>
        <v>0000804039</v>
      </c>
      <c r="C6875" t="str">
        <f t="shared" si="2800"/>
        <v>0000803960</v>
      </c>
      <c r="D6875" t="str">
        <f t="shared" si="2801"/>
        <v>73185</v>
      </c>
      <c r="E6875" t="str">
        <f t="shared" si="2802"/>
        <v>KFH-OPERATIONS DEPARTMENT</v>
      </c>
      <c r="F6875" t="str">
        <f t="shared" si="2803"/>
        <v>IBG</v>
      </c>
      <c r="G6875" t="str">
        <f t="shared" si="2812"/>
        <v>Refund COSHARE 10</v>
      </c>
      <c r="H6875" s="2">
        <v>251.85</v>
      </c>
      <c r="I6875" t="str">
        <f>"ARHAN SYAFRISYAH BIN SHAH ANUAR"</f>
        <v>ARHAN SYAFRISYAH BIN SHAH ANUAR</v>
      </c>
      <c r="J6875" t="str">
        <f t="shared" si="2796"/>
        <v>CIMB BANK / CIMB ISLAMIC BANK</v>
      </c>
      <c r="K6875" t="str">
        <f>"12150054511526"</f>
        <v>12150054511526</v>
      </c>
      <c r="L6875" t="str">
        <f t="shared" si="2813"/>
        <v>04-08-2020</v>
      </c>
      <c r="M6875" t="str">
        <f t="shared" si="2813"/>
        <v>04-08-2020</v>
      </c>
      <c r="N6875" t="str">
        <f t="shared" si="2804"/>
        <v>001105018356</v>
      </c>
      <c r="O6875" t="str">
        <f t="shared" si="2805"/>
        <v>MYR</v>
      </c>
      <c r="P6875" t="str">
        <f t="shared" si="2814"/>
        <v>NIL</v>
      </c>
      <c r="Q6875" t="str">
        <f t="shared" si="2814"/>
        <v>NIL</v>
      </c>
      <c r="R6875" t="str">
        <f t="shared" si="2792"/>
        <v>Accepted</v>
      </c>
      <c r="S6875" t="str">
        <f t="shared" si="2806"/>
        <v>Approved</v>
      </c>
      <c r="T6875" t="str">
        <f t="shared" si="2793"/>
        <v>10.20.8.188</v>
      </c>
      <c r="U6875" t="str">
        <f t="shared" si="2807"/>
        <v>AZRAD UMAR BIN SHAARI</v>
      </c>
      <c r="V6875" t="str">
        <f t="shared" si="2808"/>
        <v>FARHANA BINTI MUSTAPA</v>
      </c>
      <c r="W6875" t="str">
        <f t="shared" si="2809"/>
        <v>04-08-2020</v>
      </c>
      <c r="X6875" t="str">
        <f t="shared" si="2810"/>
        <v>RAZIMAH ANSAR AHMAD</v>
      </c>
      <c r="Y6875" t="str">
        <f t="shared" si="2811"/>
        <v>04-08-2020</v>
      </c>
      <c r="Z6875" t="str">
        <f>"COS10200804 2279"</f>
        <v>COS10200804 2279</v>
      </c>
    </row>
    <row r="6876" spans="1:26" x14ac:dyDescent="0.25">
      <c r="A6876" t="str">
        <f t="shared" si="2799"/>
        <v>04-08-2020 12:37:08</v>
      </c>
      <c r="B6876" t="str">
        <f>"0000804038"</f>
        <v>0000804038</v>
      </c>
      <c r="C6876" t="str">
        <f t="shared" si="2800"/>
        <v>0000803960</v>
      </c>
      <c r="D6876" t="str">
        <f t="shared" si="2801"/>
        <v>73185</v>
      </c>
      <c r="E6876" t="str">
        <f t="shared" si="2802"/>
        <v>KFH-OPERATIONS DEPARTMENT</v>
      </c>
      <c r="F6876" t="str">
        <f t="shared" si="2803"/>
        <v>IBG</v>
      </c>
      <c r="G6876" t="str">
        <f t="shared" si="2812"/>
        <v>Refund COSHARE 10</v>
      </c>
      <c r="H6876" s="2">
        <v>387</v>
      </c>
      <c r="I6876" t="str">
        <f>"ARFIAN BIN JULIAN"</f>
        <v>ARFIAN BIN JULIAN</v>
      </c>
      <c r="J6876" t="str">
        <f t="shared" si="2796"/>
        <v>CIMB BANK / CIMB ISLAMIC BANK</v>
      </c>
      <c r="K6876" t="str">
        <f>"12230069885520"</f>
        <v>12230069885520</v>
      </c>
      <c r="L6876" t="str">
        <f t="shared" si="2813"/>
        <v>04-08-2020</v>
      </c>
      <c r="M6876" t="str">
        <f t="shared" si="2813"/>
        <v>04-08-2020</v>
      </c>
      <c r="N6876" t="str">
        <f t="shared" si="2804"/>
        <v>001105018356</v>
      </c>
      <c r="O6876" t="str">
        <f t="shared" si="2805"/>
        <v>MYR</v>
      </c>
      <c r="P6876" t="str">
        <f t="shared" si="2814"/>
        <v>NIL</v>
      </c>
      <c r="Q6876" t="str">
        <f t="shared" si="2814"/>
        <v>NIL</v>
      </c>
      <c r="R6876" t="str">
        <f t="shared" si="2792"/>
        <v>Accepted</v>
      </c>
      <c r="S6876" t="str">
        <f t="shared" si="2806"/>
        <v>Approved</v>
      </c>
      <c r="T6876" t="str">
        <f t="shared" si="2793"/>
        <v>10.20.8.188</v>
      </c>
      <c r="U6876" t="str">
        <f t="shared" si="2807"/>
        <v>AZRAD UMAR BIN SHAARI</v>
      </c>
      <c r="V6876" t="str">
        <f t="shared" si="2808"/>
        <v>FARHANA BINTI MUSTAPA</v>
      </c>
      <c r="W6876" t="str">
        <f t="shared" si="2809"/>
        <v>04-08-2020</v>
      </c>
      <c r="X6876" t="str">
        <f t="shared" si="2810"/>
        <v>RAZIMAH ANSAR AHMAD</v>
      </c>
      <c r="Y6876" t="str">
        <f t="shared" si="2811"/>
        <v>04-08-2020</v>
      </c>
      <c r="Z6876" t="str">
        <f>"COS10200804 2278"</f>
        <v>COS10200804 2278</v>
      </c>
    </row>
    <row r="6877" spans="1:26" x14ac:dyDescent="0.25">
      <c r="A6877" t="str">
        <f t="shared" si="2799"/>
        <v>04-08-2020 12:37:08</v>
      </c>
      <c r="B6877" t="str">
        <f>"0000804037"</f>
        <v>0000804037</v>
      </c>
      <c r="C6877" t="str">
        <f t="shared" si="2800"/>
        <v>0000803960</v>
      </c>
      <c r="D6877" t="str">
        <f t="shared" si="2801"/>
        <v>73185</v>
      </c>
      <c r="E6877" t="str">
        <f t="shared" si="2802"/>
        <v>KFH-OPERATIONS DEPARTMENT</v>
      </c>
      <c r="F6877" t="str">
        <f t="shared" si="2803"/>
        <v>IBG</v>
      </c>
      <c r="G6877" t="str">
        <f t="shared" si="2812"/>
        <v>Refund COSHARE 10</v>
      </c>
      <c r="H6877" s="2">
        <v>1372.5</v>
      </c>
      <c r="I6877" t="str">
        <f>"ARFAH BINTI AGUS"</f>
        <v>ARFAH BINTI AGUS</v>
      </c>
      <c r="J6877" t="str">
        <f t="shared" si="2796"/>
        <v>CIMB BANK / CIMB ISLAMIC BANK</v>
      </c>
      <c r="K6877" t="str">
        <f>"14400048279523"</f>
        <v>14400048279523</v>
      </c>
      <c r="L6877" t="str">
        <f t="shared" si="2813"/>
        <v>04-08-2020</v>
      </c>
      <c r="M6877" t="str">
        <f t="shared" si="2813"/>
        <v>04-08-2020</v>
      </c>
      <c r="N6877" t="str">
        <f t="shared" si="2804"/>
        <v>001105018356</v>
      </c>
      <c r="O6877" t="str">
        <f t="shared" si="2805"/>
        <v>MYR</v>
      </c>
      <c r="P6877" t="str">
        <f t="shared" si="2814"/>
        <v>NIL</v>
      </c>
      <c r="Q6877" t="str">
        <f t="shared" si="2814"/>
        <v>NIL</v>
      </c>
      <c r="R6877" t="str">
        <f t="shared" si="2792"/>
        <v>Accepted</v>
      </c>
      <c r="S6877" t="str">
        <f t="shared" si="2806"/>
        <v>Approved</v>
      </c>
      <c r="T6877" t="str">
        <f t="shared" si="2793"/>
        <v>10.20.8.188</v>
      </c>
      <c r="U6877" t="str">
        <f t="shared" si="2807"/>
        <v>AZRAD UMAR BIN SHAARI</v>
      </c>
      <c r="V6877" t="str">
        <f t="shared" si="2808"/>
        <v>FARHANA BINTI MUSTAPA</v>
      </c>
      <c r="W6877" t="str">
        <f t="shared" si="2809"/>
        <v>04-08-2020</v>
      </c>
      <c r="X6877" t="str">
        <f t="shared" si="2810"/>
        <v>RAZIMAH ANSAR AHMAD</v>
      </c>
      <c r="Y6877" t="str">
        <f t="shared" si="2811"/>
        <v>04-08-2020</v>
      </c>
      <c r="Z6877" t="str">
        <f>"COS10200804 2277"</f>
        <v>COS10200804 2277</v>
      </c>
    </row>
    <row r="6878" spans="1:26" x14ac:dyDescent="0.25">
      <c r="A6878" t="str">
        <f t="shared" si="2799"/>
        <v>04-08-2020 12:37:08</v>
      </c>
      <c r="B6878" t="str">
        <f>"0000804036"</f>
        <v>0000804036</v>
      </c>
      <c r="C6878" t="str">
        <f t="shared" si="2800"/>
        <v>0000803960</v>
      </c>
      <c r="D6878" t="str">
        <f t="shared" si="2801"/>
        <v>73185</v>
      </c>
      <c r="E6878" t="str">
        <f t="shared" si="2802"/>
        <v>KFH-OPERATIONS DEPARTMENT</v>
      </c>
      <c r="F6878" t="str">
        <f t="shared" si="2803"/>
        <v>IBG</v>
      </c>
      <c r="G6878" t="str">
        <f t="shared" si="2812"/>
        <v>Refund COSHARE 10</v>
      </c>
      <c r="H6878" s="2">
        <v>589.4</v>
      </c>
      <c r="I6878" t="str">
        <f>"ARBEH BINTI DINDA  ADINDA"</f>
        <v>ARBEH BINTI DINDA  ADINDA</v>
      </c>
      <c r="J6878" t="str">
        <f t="shared" si="2796"/>
        <v>CIMB BANK / CIMB ISLAMIC BANK</v>
      </c>
      <c r="K6878" t="str">
        <f>"10050030106525"</f>
        <v>10050030106525</v>
      </c>
      <c r="L6878" t="str">
        <f t="shared" si="2813"/>
        <v>04-08-2020</v>
      </c>
      <c r="M6878" t="str">
        <f t="shared" si="2813"/>
        <v>04-08-2020</v>
      </c>
      <c r="N6878" t="str">
        <f t="shared" si="2804"/>
        <v>001105018356</v>
      </c>
      <c r="O6878" t="str">
        <f t="shared" si="2805"/>
        <v>MYR</v>
      </c>
      <c r="P6878" t="str">
        <f t="shared" si="2814"/>
        <v>NIL</v>
      </c>
      <c r="Q6878" t="str">
        <f t="shared" si="2814"/>
        <v>NIL</v>
      </c>
      <c r="R6878" t="str">
        <f t="shared" si="2792"/>
        <v>Accepted</v>
      </c>
      <c r="S6878" t="str">
        <f t="shared" si="2806"/>
        <v>Approved</v>
      </c>
      <c r="T6878" t="str">
        <f t="shared" si="2793"/>
        <v>10.20.8.188</v>
      </c>
      <c r="U6878" t="str">
        <f t="shared" si="2807"/>
        <v>AZRAD UMAR BIN SHAARI</v>
      </c>
      <c r="V6878" t="str">
        <f t="shared" si="2808"/>
        <v>FARHANA BINTI MUSTAPA</v>
      </c>
      <c r="W6878" t="str">
        <f t="shared" si="2809"/>
        <v>04-08-2020</v>
      </c>
      <c r="X6878" t="str">
        <f t="shared" si="2810"/>
        <v>RAZIMAH ANSAR AHMAD</v>
      </c>
      <c r="Y6878" t="str">
        <f t="shared" si="2811"/>
        <v>04-08-2020</v>
      </c>
      <c r="Z6878" t="str">
        <f>"COS10200804 2276"</f>
        <v>COS10200804 2276</v>
      </c>
    </row>
    <row r="6879" spans="1:26" x14ac:dyDescent="0.25">
      <c r="A6879" t="str">
        <f t="shared" si="2799"/>
        <v>04-08-2020 12:37:08</v>
      </c>
      <c r="B6879" t="str">
        <f>"0000804035"</f>
        <v>0000804035</v>
      </c>
      <c r="C6879" t="str">
        <f t="shared" si="2800"/>
        <v>0000803960</v>
      </c>
      <c r="D6879" t="str">
        <f t="shared" si="2801"/>
        <v>73185</v>
      </c>
      <c r="E6879" t="str">
        <f t="shared" si="2802"/>
        <v>KFH-OPERATIONS DEPARTMENT</v>
      </c>
      <c r="F6879" t="str">
        <f t="shared" si="2803"/>
        <v>IBG</v>
      </c>
      <c r="G6879" t="str">
        <f t="shared" si="2812"/>
        <v>Refund COSHARE 10</v>
      </c>
      <c r="H6879" s="2">
        <v>147</v>
      </c>
      <c r="I6879" t="str">
        <f>"ARBAYAH BINTI KASIM"</f>
        <v>ARBAYAH BINTI KASIM</v>
      </c>
      <c r="J6879" t="str">
        <f t="shared" si="2796"/>
        <v>CIMB BANK / CIMB ISLAMIC BANK</v>
      </c>
      <c r="K6879" t="str">
        <f>"06050078665524"</f>
        <v>06050078665524</v>
      </c>
      <c r="L6879" t="str">
        <f t="shared" si="2813"/>
        <v>04-08-2020</v>
      </c>
      <c r="M6879" t="str">
        <f t="shared" si="2813"/>
        <v>04-08-2020</v>
      </c>
      <c r="N6879" t="str">
        <f t="shared" si="2804"/>
        <v>001105018356</v>
      </c>
      <c r="O6879" t="str">
        <f t="shared" si="2805"/>
        <v>MYR</v>
      </c>
      <c r="P6879" t="str">
        <f t="shared" si="2814"/>
        <v>NIL</v>
      </c>
      <c r="Q6879" t="str">
        <f t="shared" si="2814"/>
        <v>NIL</v>
      </c>
      <c r="R6879" t="str">
        <f t="shared" si="2792"/>
        <v>Accepted</v>
      </c>
      <c r="S6879" t="str">
        <f t="shared" si="2806"/>
        <v>Approved</v>
      </c>
      <c r="T6879" t="str">
        <f t="shared" si="2793"/>
        <v>10.20.8.188</v>
      </c>
      <c r="U6879" t="str">
        <f t="shared" si="2807"/>
        <v>AZRAD UMAR BIN SHAARI</v>
      </c>
      <c r="V6879" t="str">
        <f t="shared" si="2808"/>
        <v>FARHANA BINTI MUSTAPA</v>
      </c>
      <c r="W6879" t="str">
        <f t="shared" si="2809"/>
        <v>04-08-2020</v>
      </c>
      <c r="X6879" t="str">
        <f t="shared" si="2810"/>
        <v>RAZIMAH ANSAR AHMAD</v>
      </c>
      <c r="Y6879" t="str">
        <f t="shared" si="2811"/>
        <v>04-08-2020</v>
      </c>
      <c r="Z6879" t="str">
        <f>"COS10200804 2275"</f>
        <v>COS10200804 2275</v>
      </c>
    </row>
    <row r="6880" spans="1:26" x14ac:dyDescent="0.25">
      <c r="A6880" t="str">
        <f t="shared" si="2799"/>
        <v>04-08-2020 12:37:08</v>
      </c>
      <c r="B6880" t="str">
        <f>"0000804034"</f>
        <v>0000804034</v>
      </c>
      <c r="C6880" t="str">
        <f t="shared" si="2800"/>
        <v>0000803960</v>
      </c>
      <c r="D6880" t="str">
        <f t="shared" si="2801"/>
        <v>73185</v>
      </c>
      <c r="E6880" t="str">
        <f t="shared" si="2802"/>
        <v>KFH-OPERATIONS DEPARTMENT</v>
      </c>
      <c r="F6880" t="str">
        <f t="shared" si="2803"/>
        <v>IBG</v>
      </c>
      <c r="G6880" t="str">
        <f t="shared" si="2812"/>
        <v>Refund COSHARE 10</v>
      </c>
      <c r="H6880" s="2">
        <v>1517.1</v>
      </c>
      <c r="I6880" t="str">
        <f>"ARBA AYAH BINTI TAMSI"</f>
        <v>ARBA AYAH BINTI TAMSI</v>
      </c>
      <c r="J6880" t="str">
        <f t="shared" si="2796"/>
        <v>CIMB BANK / CIMB ISLAMIC BANK</v>
      </c>
      <c r="K6880" t="str">
        <f>"7604048808"</f>
        <v>7604048808</v>
      </c>
      <c r="L6880" t="str">
        <f t="shared" si="2813"/>
        <v>04-08-2020</v>
      </c>
      <c r="M6880" t="str">
        <f t="shared" si="2813"/>
        <v>04-08-2020</v>
      </c>
      <c r="N6880" t="str">
        <f t="shared" si="2804"/>
        <v>001105018356</v>
      </c>
      <c r="O6880" t="str">
        <f t="shared" si="2805"/>
        <v>MYR</v>
      </c>
      <c r="P6880" t="str">
        <f t="shared" si="2814"/>
        <v>NIL</v>
      </c>
      <c r="Q6880" t="str">
        <f t="shared" si="2814"/>
        <v>NIL</v>
      </c>
      <c r="R6880" t="str">
        <f t="shared" si="2792"/>
        <v>Accepted</v>
      </c>
      <c r="S6880" t="str">
        <f t="shared" si="2806"/>
        <v>Approved</v>
      </c>
      <c r="T6880" t="str">
        <f t="shared" si="2793"/>
        <v>10.20.8.188</v>
      </c>
      <c r="U6880" t="str">
        <f t="shared" si="2807"/>
        <v>AZRAD UMAR BIN SHAARI</v>
      </c>
      <c r="V6880" t="str">
        <f t="shared" si="2808"/>
        <v>FARHANA BINTI MUSTAPA</v>
      </c>
      <c r="W6880" t="str">
        <f t="shared" si="2809"/>
        <v>04-08-2020</v>
      </c>
      <c r="X6880" t="str">
        <f t="shared" si="2810"/>
        <v>RAZIMAH ANSAR AHMAD</v>
      </c>
      <c r="Y6880" t="str">
        <f t="shared" si="2811"/>
        <v>04-08-2020</v>
      </c>
      <c r="Z6880" t="str">
        <f>"COS10200804 2274"</f>
        <v>COS10200804 2274</v>
      </c>
    </row>
    <row r="6881" spans="1:26" x14ac:dyDescent="0.25">
      <c r="A6881" t="str">
        <f t="shared" si="2799"/>
        <v>04-08-2020 12:37:08</v>
      </c>
      <c r="B6881" t="str">
        <f>"0000804033"</f>
        <v>0000804033</v>
      </c>
      <c r="C6881" t="str">
        <f t="shared" si="2800"/>
        <v>0000803960</v>
      </c>
      <c r="D6881" t="str">
        <f t="shared" si="2801"/>
        <v>73185</v>
      </c>
      <c r="E6881" t="str">
        <f t="shared" si="2802"/>
        <v>KFH-OPERATIONS DEPARTMENT</v>
      </c>
      <c r="F6881" t="str">
        <f t="shared" si="2803"/>
        <v>IBG</v>
      </c>
      <c r="G6881" t="str">
        <f t="shared" si="2812"/>
        <v>Refund COSHARE 10</v>
      </c>
      <c r="H6881" s="2">
        <v>772.35</v>
      </c>
      <c r="I6881" t="str">
        <f>"ANUAR SUKRI BIN MOHD ALIAS"</f>
        <v>ANUAR SUKRI BIN MOHD ALIAS</v>
      </c>
      <c r="J6881" t="str">
        <f t="shared" si="2796"/>
        <v>CIMB BANK / CIMB ISLAMIC BANK</v>
      </c>
      <c r="K6881" t="str">
        <f>"01150025331527"</f>
        <v>01150025331527</v>
      </c>
      <c r="L6881" t="str">
        <f t="shared" si="2813"/>
        <v>04-08-2020</v>
      </c>
      <c r="M6881" t="str">
        <f t="shared" si="2813"/>
        <v>04-08-2020</v>
      </c>
      <c r="N6881" t="str">
        <f t="shared" si="2804"/>
        <v>001105018356</v>
      </c>
      <c r="O6881" t="str">
        <f t="shared" si="2805"/>
        <v>MYR</v>
      </c>
      <c r="P6881" t="str">
        <f t="shared" si="2814"/>
        <v>NIL</v>
      </c>
      <c r="Q6881" t="str">
        <f t="shared" si="2814"/>
        <v>NIL</v>
      </c>
      <c r="R6881" t="str">
        <f t="shared" si="2792"/>
        <v>Accepted</v>
      </c>
      <c r="S6881" t="str">
        <f t="shared" si="2806"/>
        <v>Approved</v>
      </c>
      <c r="T6881" t="str">
        <f t="shared" si="2793"/>
        <v>10.20.8.188</v>
      </c>
      <c r="U6881" t="str">
        <f t="shared" si="2807"/>
        <v>AZRAD UMAR BIN SHAARI</v>
      </c>
      <c r="V6881" t="str">
        <f t="shared" si="2808"/>
        <v>FARHANA BINTI MUSTAPA</v>
      </c>
      <c r="W6881" t="str">
        <f t="shared" si="2809"/>
        <v>04-08-2020</v>
      </c>
      <c r="X6881" t="str">
        <f t="shared" si="2810"/>
        <v>RAZIMAH ANSAR AHMAD</v>
      </c>
      <c r="Y6881" t="str">
        <f t="shared" si="2811"/>
        <v>04-08-2020</v>
      </c>
      <c r="Z6881" t="str">
        <f>"COS10200804 2273"</f>
        <v>COS10200804 2273</v>
      </c>
    </row>
    <row r="6882" spans="1:26" x14ac:dyDescent="0.25">
      <c r="A6882" t="str">
        <f t="shared" ref="A6882:A6913" si="2815">"04-08-2020 12:37:08"</f>
        <v>04-08-2020 12:37:08</v>
      </c>
      <c r="B6882" t="str">
        <f>"0000804032"</f>
        <v>0000804032</v>
      </c>
      <c r="C6882" t="str">
        <f t="shared" ref="C6882:C6913" si="2816">"0000803960"</f>
        <v>0000803960</v>
      </c>
      <c r="D6882" t="str">
        <f t="shared" si="2801"/>
        <v>73185</v>
      </c>
      <c r="E6882" t="str">
        <f t="shared" si="2802"/>
        <v>KFH-OPERATIONS DEPARTMENT</v>
      </c>
      <c r="F6882" t="str">
        <f t="shared" si="2803"/>
        <v>IBG</v>
      </c>
      <c r="G6882" t="str">
        <f t="shared" si="2812"/>
        <v>Refund COSHARE 10</v>
      </c>
      <c r="H6882" s="2">
        <v>1259.25</v>
      </c>
      <c r="I6882" t="str">
        <f>"ANUAR BIN OSMAN"</f>
        <v>ANUAR BIN OSMAN</v>
      </c>
      <c r="J6882" t="str">
        <f t="shared" si="2796"/>
        <v>CIMB BANK / CIMB ISLAMIC BANK</v>
      </c>
      <c r="K6882" t="str">
        <f>"12240063261521"</f>
        <v>12240063261521</v>
      </c>
      <c r="L6882" t="str">
        <f t="shared" si="2813"/>
        <v>04-08-2020</v>
      </c>
      <c r="M6882" t="str">
        <f t="shared" si="2813"/>
        <v>04-08-2020</v>
      </c>
      <c r="N6882" t="str">
        <f t="shared" si="2804"/>
        <v>001105018356</v>
      </c>
      <c r="O6882" t="str">
        <f t="shared" si="2805"/>
        <v>MYR</v>
      </c>
      <c r="P6882" t="str">
        <f t="shared" si="2814"/>
        <v>NIL</v>
      </c>
      <c r="Q6882" t="str">
        <f t="shared" si="2814"/>
        <v>NIL</v>
      </c>
      <c r="R6882" t="str">
        <f t="shared" ref="R6882:R6945" si="2817">"Accepted"</f>
        <v>Accepted</v>
      </c>
      <c r="S6882" t="str">
        <f t="shared" si="2806"/>
        <v>Approved</v>
      </c>
      <c r="T6882" t="str">
        <f t="shared" ref="T6882:T6945" si="2818">"10.20.8.188"</f>
        <v>10.20.8.188</v>
      </c>
      <c r="U6882" t="str">
        <f t="shared" si="2807"/>
        <v>AZRAD UMAR BIN SHAARI</v>
      </c>
      <c r="V6882" t="str">
        <f t="shared" si="2808"/>
        <v>FARHANA BINTI MUSTAPA</v>
      </c>
      <c r="W6882" t="str">
        <f t="shared" si="2809"/>
        <v>04-08-2020</v>
      </c>
      <c r="X6882" t="str">
        <f t="shared" si="2810"/>
        <v>RAZIMAH ANSAR AHMAD</v>
      </c>
      <c r="Y6882" t="str">
        <f t="shared" si="2811"/>
        <v>04-08-2020</v>
      </c>
      <c r="Z6882" t="str">
        <f>"COS10200804 2272"</f>
        <v>COS10200804 2272</v>
      </c>
    </row>
    <row r="6883" spans="1:26" x14ac:dyDescent="0.25">
      <c r="A6883" t="str">
        <f t="shared" si="2815"/>
        <v>04-08-2020 12:37:08</v>
      </c>
      <c r="B6883" t="str">
        <f>"0000804031"</f>
        <v>0000804031</v>
      </c>
      <c r="C6883" t="str">
        <f t="shared" si="2816"/>
        <v>0000803960</v>
      </c>
      <c r="D6883" t="str">
        <f t="shared" si="2801"/>
        <v>73185</v>
      </c>
      <c r="E6883" t="str">
        <f t="shared" si="2802"/>
        <v>KFH-OPERATIONS DEPARTMENT</v>
      </c>
      <c r="F6883" t="str">
        <f t="shared" si="2803"/>
        <v>IBG</v>
      </c>
      <c r="G6883" t="str">
        <f t="shared" si="2812"/>
        <v>Refund COSHARE 10</v>
      </c>
      <c r="H6883" s="2">
        <v>1665</v>
      </c>
      <c r="I6883" t="str">
        <f>"ANUAR BIN IBRAHIM"</f>
        <v>ANUAR BIN IBRAHIM</v>
      </c>
      <c r="J6883" t="str">
        <f t="shared" si="2796"/>
        <v>CIMB BANK / CIMB ISLAMIC BANK</v>
      </c>
      <c r="K6883" t="str">
        <f>"10020062466528"</f>
        <v>10020062466528</v>
      </c>
      <c r="L6883" t="str">
        <f t="shared" si="2813"/>
        <v>04-08-2020</v>
      </c>
      <c r="M6883" t="str">
        <f t="shared" si="2813"/>
        <v>04-08-2020</v>
      </c>
      <c r="N6883" t="str">
        <f t="shared" si="2804"/>
        <v>001105018356</v>
      </c>
      <c r="O6883" t="str">
        <f t="shared" si="2805"/>
        <v>MYR</v>
      </c>
      <c r="P6883" t="str">
        <f t="shared" si="2814"/>
        <v>NIL</v>
      </c>
      <c r="Q6883" t="str">
        <f t="shared" si="2814"/>
        <v>NIL</v>
      </c>
      <c r="R6883" t="str">
        <f t="shared" si="2817"/>
        <v>Accepted</v>
      </c>
      <c r="S6883" t="str">
        <f t="shared" si="2806"/>
        <v>Approved</v>
      </c>
      <c r="T6883" t="str">
        <f t="shared" si="2818"/>
        <v>10.20.8.188</v>
      </c>
      <c r="U6883" t="str">
        <f t="shared" si="2807"/>
        <v>AZRAD UMAR BIN SHAARI</v>
      </c>
      <c r="V6883" t="str">
        <f t="shared" si="2808"/>
        <v>FARHANA BINTI MUSTAPA</v>
      </c>
      <c r="W6883" t="str">
        <f t="shared" si="2809"/>
        <v>04-08-2020</v>
      </c>
      <c r="X6883" t="str">
        <f t="shared" si="2810"/>
        <v>RAZIMAH ANSAR AHMAD</v>
      </c>
      <c r="Y6883" t="str">
        <f t="shared" si="2811"/>
        <v>04-08-2020</v>
      </c>
      <c r="Z6883" t="str">
        <f>"COS10200804 2271"</f>
        <v>COS10200804 2271</v>
      </c>
    </row>
    <row r="6884" spans="1:26" x14ac:dyDescent="0.25">
      <c r="A6884" t="str">
        <f t="shared" si="2815"/>
        <v>04-08-2020 12:37:08</v>
      </c>
      <c r="B6884" t="str">
        <f>"0000804030"</f>
        <v>0000804030</v>
      </c>
      <c r="C6884" t="str">
        <f t="shared" si="2816"/>
        <v>0000803960</v>
      </c>
      <c r="D6884" t="str">
        <f t="shared" si="2801"/>
        <v>73185</v>
      </c>
      <c r="E6884" t="str">
        <f t="shared" si="2802"/>
        <v>KFH-OPERATIONS DEPARTMENT</v>
      </c>
      <c r="F6884" t="str">
        <f t="shared" si="2803"/>
        <v>IBG</v>
      </c>
      <c r="G6884" t="str">
        <f t="shared" si="2812"/>
        <v>Refund COSHARE 10</v>
      </c>
      <c r="H6884" s="2">
        <v>949</v>
      </c>
      <c r="I6884" t="str">
        <f>"ANRIETA JAIM"</f>
        <v>ANRIETA JAIM</v>
      </c>
      <c r="J6884" t="str">
        <f t="shared" si="2796"/>
        <v>CIMB BANK / CIMB ISLAMIC BANK</v>
      </c>
      <c r="K6884" t="str">
        <f>"10040000858209"</f>
        <v>10040000858209</v>
      </c>
      <c r="L6884" t="str">
        <f t="shared" si="2813"/>
        <v>04-08-2020</v>
      </c>
      <c r="M6884" t="str">
        <f t="shared" si="2813"/>
        <v>04-08-2020</v>
      </c>
      <c r="N6884" t="str">
        <f t="shared" si="2804"/>
        <v>001105018356</v>
      </c>
      <c r="O6884" t="str">
        <f t="shared" si="2805"/>
        <v>MYR</v>
      </c>
      <c r="P6884" t="str">
        <f t="shared" si="2814"/>
        <v>NIL</v>
      </c>
      <c r="Q6884" t="str">
        <f t="shared" si="2814"/>
        <v>NIL</v>
      </c>
      <c r="R6884" t="str">
        <f t="shared" si="2817"/>
        <v>Accepted</v>
      </c>
      <c r="S6884" t="str">
        <f t="shared" si="2806"/>
        <v>Approved</v>
      </c>
      <c r="T6884" t="str">
        <f t="shared" si="2818"/>
        <v>10.20.8.188</v>
      </c>
      <c r="U6884" t="str">
        <f t="shared" si="2807"/>
        <v>AZRAD UMAR BIN SHAARI</v>
      </c>
      <c r="V6884" t="str">
        <f t="shared" si="2808"/>
        <v>FARHANA BINTI MUSTAPA</v>
      </c>
      <c r="W6884" t="str">
        <f t="shared" si="2809"/>
        <v>04-08-2020</v>
      </c>
      <c r="X6884" t="str">
        <f t="shared" si="2810"/>
        <v>RAZIMAH ANSAR AHMAD</v>
      </c>
      <c r="Y6884" t="str">
        <f t="shared" si="2811"/>
        <v>04-08-2020</v>
      </c>
      <c r="Z6884" t="str">
        <f>"COS10200804 2270"</f>
        <v>COS10200804 2270</v>
      </c>
    </row>
    <row r="6885" spans="1:26" x14ac:dyDescent="0.25">
      <c r="A6885" t="str">
        <f t="shared" si="2815"/>
        <v>04-08-2020 12:37:08</v>
      </c>
      <c r="B6885" t="str">
        <f>"0000804029"</f>
        <v>0000804029</v>
      </c>
      <c r="C6885" t="str">
        <f t="shared" si="2816"/>
        <v>0000803960</v>
      </c>
      <c r="D6885" t="str">
        <f t="shared" si="2801"/>
        <v>73185</v>
      </c>
      <c r="E6885" t="str">
        <f t="shared" si="2802"/>
        <v>KFH-OPERATIONS DEPARTMENT</v>
      </c>
      <c r="F6885" t="str">
        <f t="shared" si="2803"/>
        <v>IBG</v>
      </c>
      <c r="G6885" t="str">
        <f t="shared" si="2812"/>
        <v>Refund COSHARE 10</v>
      </c>
      <c r="H6885" s="2">
        <v>1283</v>
      </c>
      <c r="I6885" t="str">
        <f>"ANNE SHIRLEY ANAK ALBERT MENTRI"</f>
        <v>ANNE SHIRLEY ANAK ALBERT MENTRI</v>
      </c>
      <c r="J6885" t="str">
        <f t="shared" si="2796"/>
        <v>CIMB BANK / CIMB ISLAMIC BANK</v>
      </c>
      <c r="K6885" t="str">
        <f>"11100067923528"</f>
        <v>11100067923528</v>
      </c>
      <c r="L6885" t="str">
        <f t="shared" si="2813"/>
        <v>04-08-2020</v>
      </c>
      <c r="M6885" t="str">
        <f t="shared" si="2813"/>
        <v>04-08-2020</v>
      </c>
      <c r="N6885" t="str">
        <f t="shared" si="2804"/>
        <v>001105018356</v>
      </c>
      <c r="O6885" t="str">
        <f t="shared" si="2805"/>
        <v>MYR</v>
      </c>
      <c r="P6885" t="str">
        <f t="shared" si="2814"/>
        <v>NIL</v>
      </c>
      <c r="Q6885" t="str">
        <f t="shared" si="2814"/>
        <v>NIL</v>
      </c>
      <c r="R6885" t="str">
        <f t="shared" si="2817"/>
        <v>Accepted</v>
      </c>
      <c r="S6885" t="str">
        <f t="shared" si="2806"/>
        <v>Approved</v>
      </c>
      <c r="T6885" t="str">
        <f t="shared" si="2818"/>
        <v>10.20.8.188</v>
      </c>
      <c r="U6885" t="str">
        <f t="shared" si="2807"/>
        <v>AZRAD UMAR BIN SHAARI</v>
      </c>
      <c r="V6885" t="str">
        <f t="shared" si="2808"/>
        <v>FARHANA BINTI MUSTAPA</v>
      </c>
      <c r="W6885" t="str">
        <f t="shared" si="2809"/>
        <v>04-08-2020</v>
      </c>
      <c r="X6885" t="str">
        <f t="shared" si="2810"/>
        <v>RAZIMAH ANSAR AHMAD</v>
      </c>
      <c r="Y6885" t="str">
        <f t="shared" si="2811"/>
        <v>04-08-2020</v>
      </c>
      <c r="Z6885" t="str">
        <f>"COS10200804 2269"</f>
        <v>COS10200804 2269</v>
      </c>
    </row>
    <row r="6886" spans="1:26" x14ac:dyDescent="0.25">
      <c r="A6886" t="str">
        <f t="shared" si="2815"/>
        <v>04-08-2020 12:37:08</v>
      </c>
      <c r="B6886" t="str">
        <f>"0000804028"</f>
        <v>0000804028</v>
      </c>
      <c r="C6886" t="str">
        <f t="shared" si="2816"/>
        <v>0000803960</v>
      </c>
      <c r="D6886" t="str">
        <f t="shared" si="2801"/>
        <v>73185</v>
      </c>
      <c r="E6886" t="str">
        <f t="shared" si="2802"/>
        <v>KFH-OPERATIONS DEPARTMENT</v>
      </c>
      <c r="F6886" t="str">
        <f t="shared" si="2803"/>
        <v>IBG</v>
      </c>
      <c r="G6886" t="str">
        <f t="shared" si="2812"/>
        <v>Refund COSHARE 10</v>
      </c>
      <c r="H6886" s="2">
        <v>889.9</v>
      </c>
      <c r="I6886" t="str">
        <f>"ANIZAN ARDIANA FAIZ BINTI ARIFFIN"</f>
        <v>ANIZAN ARDIANA FAIZ BINTI ARIFFIN</v>
      </c>
      <c r="J6886" t="str">
        <f t="shared" si="2796"/>
        <v>CIMB BANK / CIMB ISLAMIC BANK</v>
      </c>
      <c r="K6886" t="str">
        <f>"7032166698"</f>
        <v>7032166698</v>
      </c>
      <c r="L6886" t="str">
        <f t="shared" si="2813"/>
        <v>04-08-2020</v>
      </c>
      <c r="M6886" t="str">
        <f t="shared" si="2813"/>
        <v>04-08-2020</v>
      </c>
      <c r="N6886" t="str">
        <f t="shared" si="2804"/>
        <v>001105018356</v>
      </c>
      <c r="O6886" t="str">
        <f t="shared" si="2805"/>
        <v>MYR</v>
      </c>
      <c r="P6886" t="str">
        <f t="shared" si="2814"/>
        <v>NIL</v>
      </c>
      <c r="Q6886" t="str">
        <f t="shared" si="2814"/>
        <v>NIL</v>
      </c>
      <c r="R6886" t="str">
        <f t="shared" si="2817"/>
        <v>Accepted</v>
      </c>
      <c r="S6886" t="str">
        <f t="shared" si="2806"/>
        <v>Approved</v>
      </c>
      <c r="T6886" t="str">
        <f t="shared" si="2818"/>
        <v>10.20.8.188</v>
      </c>
      <c r="U6886" t="str">
        <f t="shared" si="2807"/>
        <v>AZRAD UMAR BIN SHAARI</v>
      </c>
      <c r="V6886" t="str">
        <f t="shared" si="2808"/>
        <v>FARHANA BINTI MUSTAPA</v>
      </c>
      <c r="W6886" t="str">
        <f t="shared" si="2809"/>
        <v>04-08-2020</v>
      </c>
      <c r="X6886" t="str">
        <f t="shared" si="2810"/>
        <v>RAZIMAH ANSAR AHMAD</v>
      </c>
      <c r="Y6886" t="str">
        <f t="shared" si="2811"/>
        <v>04-08-2020</v>
      </c>
      <c r="Z6886" t="str">
        <f>"COS10200804 2268"</f>
        <v>COS10200804 2268</v>
      </c>
    </row>
    <row r="6887" spans="1:26" x14ac:dyDescent="0.25">
      <c r="A6887" t="str">
        <f t="shared" si="2815"/>
        <v>04-08-2020 12:37:08</v>
      </c>
      <c r="B6887" t="str">
        <f>"0000804027"</f>
        <v>0000804027</v>
      </c>
      <c r="C6887" t="str">
        <f t="shared" si="2816"/>
        <v>0000803960</v>
      </c>
      <c r="D6887" t="str">
        <f t="shared" si="2801"/>
        <v>73185</v>
      </c>
      <c r="E6887" t="str">
        <f t="shared" si="2802"/>
        <v>KFH-OPERATIONS DEPARTMENT</v>
      </c>
      <c r="F6887" t="str">
        <f t="shared" si="2803"/>
        <v>IBG</v>
      </c>
      <c r="G6887" t="str">
        <f t="shared" si="2812"/>
        <v>Refund COSHARE 10</v>
      </c>
      <c r="H6887" s="2">
        <v>73.2</v>
      </c>
      <c r="I6887" t="str">
        <f>"ANI BINTI AHWAI"</f>
        <v>ANI BINTI AHWAI</v>
      </c>
      <c r="J6887" t="str">
        <f t="shared" si="2796"/>
        <v>CIMB BANK / CIMB ISLAMIC BANK</v>
      </c>
      <c r="K6887" t="str">
        <f>"10040026357525"</f>
        <v>10040026357525</v>
      </c>
      <c r="L6887" t="str">
        <f t="shared" ref="L6887:M6906" si="2819">"04-08-2020"</f>
        <v>04-08-2020</v>
      </c>
      <c r="M6887" t="str">
        <f t="shared" si="2819"/>
        <v>04-08-2020</v>
      </c>
      <c r="N6887" t="str">
        <f t="shared" si="2804"/>
        <v>001105018356</v>
      </c>
      <c r="O6887" t="str">
        <f t="shared" si="2805"/>
        <v>MYR</v>
      </c>
      <c r="P6887" t="str">
        <f t="shared" ref="P6887:Q6906" si="2820">"NIL"</f>
        <v>NIL</v>
      </c>
      <c r="Q6887" t="str">
        <f t="shared" si="2820"/>
        <v>NIL</v>
      </c>
      <c r="R6887" t="str">
        <f t="shared" si="2817"/>
        <v>Accepted</v>
      </c>
      <c r="S6887" t="str">
        <f t="shared" si="2806"/>
        <v>Approved</v>
      </c>
      <c r="T6887" t="str">
        <f t="shared" si="2818"/>
        <v>10.20.8.188</v>
      </c>
      <c r="U6887" t="str">
        <f t="shared" si="2807"/>
        <v>AZRAD UMAR BIN SHAARI</v>
      </c>
      <c r="V6887" t="str">
        <f t="shared" si="2808"/>
        <v>FARHANA BINTI MUSTAPA</v>
      </c>
      <c r="W6887" t="str">
        <f t="shared" si="2809"/>
        <v>04-08-2020</v>
      </c>
      <c r="X6887" t="str">
        <f t="shared" si="2810"/>
        <v>RAZIMAH ANSAR AHMAD</v>
      </c>
      <c r="Y6887" t="str">
        <f t="shared" si="2811"/>
        <v>04-08-2020</v>
      </c>
      <c r="Z6887" t="str">
        <f>"COS10200804 2267"</f>
        <v>COS10200804 2267</v>
      </c>
    </row>
    <row r="6888" spans="1:26" x14ac:dyDescent="0.25">
      <c r="A6888" t="str">
        <f t="shared" si="2815"/>
        <v>04-08-2020 12:37:08</v>
      </c>
      <c r="B6888" t="str">
        <f>"0000804026"</f>
        <v>0000804026</v>
      </c>
      <c r="C6888" t="str">
        <f t="shared" si="2816"/>
        <v>0000803960</v>
      </c>
      <c r="D6888" t="str">
        <f t="shared" si="2801"/>
        <v>73185</v>
      </c>
      <c r="E6888" t="str">
        <f t="shared" si="2802"/>
        <v>KFH-OPERATIONS DEPARTMENT</v>
      </c>
      <c r="F6888" t="str">
        <f t="shared" si="2803"/>
        <v>IBG</v>
      </c>
      <c r="G6888" t="str">
        <f t="shared" si="2812"/>
        <v>Refund COSHARE 10</v>
      </c>
      <c r="H6888" s="2">
        <v>595.75</v>
      </c>
      <c r="I6888" t="str">
        <f>"ANDREW LIHUAN  PASSCILIS"</f>
        <v>ANDREW LIHUAN  PASSCILIS</v>
      </c>
      <c r="J6888" t="str">
        <f t="shared" si="2796"/>
        <v>CIMB BANK / CIMB ISLAMIC BANK</v>
      </c>
      <c r="K6888" t="str">
        <f>"10090031387521"</f>
        <v>10090031387521</v>
      </c>
      <c r="L6888" t="str">
        <f t="shared" si="2819"/>
        <v>04-08-2020</v>
      </c>
      <c r="M6888" t="str">
        <f t="shared" si="2819"/>
        <v>04-08-2020</v>
      </c>
      <c r="N6888" t="str">
        <f t="shared" si="2804"/>
        <v>001105018356</v>
      </c>
      <c r="O6888" t="str">
        <f t="shared" si="2805"/>
        <v>MYR</v>
      </c>
      <c r="P6888" t="str">
        <f t="shared" si="2820"/>
        <v>NIL</v>
      </c>
      <c r="Q6888" t="str">
        <f t="shared" si="2820"/>
        <v>NIL</v>
      </c>
      <c r="R6888" t="str">
        <f t="shared" si="2817"/>
        <v>Accepted</v>
      </c>
      <c r="S6888" t="str">
        <f t="shared" si="2806"/>
        <v>Approved</v>
      </c>
      <c r="T6888" t="str">
        <f t="shared" si="2818"/>
        <v>10.20.8.188</v>
      </c>
      <c r="U6888" t="str">
        <f t="shared" si="2807"/>
        <v>AZRAD UMAR BIN SHAARI</v>
      </c>
      <c r="V6888" t="str">
        <f t="shared" si="2808"/>
        <v>FARHANA BINTI MUSTAPA</v>
      </c>
      <c r="W6888" t="str">
        <f t="shared" si="2809"/>
        <v>04-08-2020</v>
      </c>
      <c r="X6888" t="str">
        <f t="shared" si="2810"/>
        <v>RAZIMAH ANSAR AHMAD</v>
      </c>
      <c r="Y6888" t="str">
        <f t="shared" si="2811"/>
        <v>04-08-2020</v>
      </c>
      <c r="Z6888" t="str">
        <f>"COS10200804 2266"</f>
        <v>COS10200804 2266</v>
      </c>
    </row>
    <row r="6889" spans="1:26" x14ac:dyDescent="0.25">
      <c r="A6889" t="str">
        <f t="shared" si="2815"/>
        <v>04-08-2020 12:37:08</v>
      </c>
      <c r="B6889" t="str">
        <f>"0000804025"</f>
        <v>0000804025</v>
      </c>
      <c r="C6889" t="str">
        <f t="shared" si="2816"/>
        <v>0000803960</v>
      </c>
      <c r="D6889" t="str">
        <f t="shared" si="2801"/>
        <v>73185</v>
      </c>
      <c r="E6889" t="str">
        <f t="shared" si="2802"/>
        <v>KFH-OPERATIONS DEPARTMENT</v>
      </c>
      <c r="F6889" t="str">
        <f t="shared" si="2803"/>
        <v>IBG</v>
      </c>
      <c r="G6889" t="str">
        <f t="shared" si="2812"/>
        <v>Refund COSHARE 10</v>
      </c>
      <c r="H6889" s="2">
        <v>122</v>
      </c>
      <c r="I6889" t="str">
        <f>"AN NUR BINTI HALIM"</f>
        <v>AN NUR BINTI HALIM</v>
      </c>
      <c r="J6889" t="str">
        <f t="shared" si="2796"/>
        <v>CIMB BANK / CIMB ISLAMIC BANK</v>
      </c>
      <c r="K6889" t="str">
        <f>"02090026944522"</f>
        <v>02090026944522</v>
      </c>
      <c r="L6889" t="str">
        <f t="shared" si="2819"/>
        <v>04-08-2020</v>
      </c>
      <c r="M6889" t="str">
        <f t="shared" si="2819"/>
        <v>04-08-2020</v>
      </c>
      <c r="N6889" t="str">
        <f t="shared" si="2804"/>
        <v>001105018356</v>
      </c>
      <c r="O6889" t="str">
        <f t="shared" si="2805"/>
        <v>MYR</v>
      </c>
      <c r="P6889" t="str">
        <f t="shared" si="2820"/>
        <v>NIL</v>
      </c>
      <c r="Q6889" t="str">
        <f t="shared" si="2820"/>
        <v>NIL</v>
      </c>
      <c r="R6889" t="str">
        <f t="shared" si="2817"/>
        <v>Accepted</v>
      </c>
      <c r="S6889" t="str">
        <f t="shared" si="2806"/>
        <v>Approved</v>
      </c>
      <c r="T6889" t="str">
        <f t="shared" si="2818"/>
        <v>10.20.8.188</v>
      </c>
      <c r="U6889" t="str">
        <f t="shared" si="2807"/>
        <v>AZRAD UMAR BIN SHAARI</v>
      </c>
      <c r="V6889" t="str">
        <f t="shared" si="2808"/>
        <v>FARHANA BINTI MUSTAPA</v>
      </c>
      <c r="W6889" t="str">
        <f t="shared" si="2809"/>
        <v>04-08-2020</v>
      </c>
      <c r="X6889" t="str">
        <f t="shared" si="2810"/>
        <v>RAZIMAH ANSAR AHMAD</v>
      </c>
      <c r="Y6889" t="str">
        <f t="shared" si="2811"/>
        <v>04-08-2020</v>
      </c>
      <c r="Z6889" t="str">
        <f>"COS10200804 2265"</f>
        <v>COS10200804 2265</v>
      </c>
    </row>
    <row r="6890" spans="1:26" x14ac:dyDescent="0.25">
      <c r="A6890" t="str">
        <f t="shared" si="2815"/>
        <v>04-08-2020 12:37:08</v>
      </c>
      <c r="B6890" t="str">
        <f>"0000804024"</f>
        <v>0000804024</v>
      </c>
      <c r="C6890" t="str">
        <f t="shared" si="2816"/>
        <v>0000803960</v>
      </c>
      <c r="D6890" t="str">
        <f t="shared" si="2801"/>
        <v>73185</v>
      </c>
      <c r="E6890" t="str">
        <f t="shared" si="2802"/>
        <v>KFH-OPERATIONS DEPARTMENT</v>
      </c>
      <c r="F6890" t="str">
        <f t="shared" si="2803"/>
        <v>IBG</v>
      </c>
      <c r="G6890" t="str">
        <f t="shared" si="2812"/>
        <v>Refund COSHARE 10</v>
      </c>
      <c r="H6890" s="2">
        <v>1452.35</v>
      </c>
      <c r="I6890" t="str">
        <f>"AMY FARAH BINTI ZAKARIA"</f>
        <v>AMY FARAH BINTI ZAKARIA</v>
      </c>
      <c r="J6890" t="str">
        <f t="shared" si="2796"/>
        <v>CIMB BANK / CIMB ISLAMIC BANK</v>
      </c>
      <c r="K6890" t="str">
        <f>"01190011973525"</f>
        <v>01190011973525</v>
      </c>
      <c r="L6890" t="str">
        <f t="shared" si="2819"/>
        <v>04-08-2020</v>
      </c>
      <c r="M6890" t="str">
        <f t="shared" si="2819"/>
        <v>04-08-2020</v>
      </c>
      <c r="N6890" t="str">
        <f t="shared" si="2804"/>
        <v>001105018356</v>
      </c>
      <c r="O6890" t="str">
        <f t="shared" si="2805"/>
        <v>MYR</v>
      </c>
      <c r="P6890" t="str">
        <f t="shared" si="2820"/>
        <v>NIL</v>
      </c>
      <c r="Q6890" t="str">
        <f t="shared" si="2820"/>
        <v>NIL</v>
      </c>
      <c r="R6890" t="str">
        <f t="shared" si="2817"/>
        <v>Accepted</v>
      </c>
      <c r="S6890" t="str">
        <f t="shared" si="2806"/>
        <v>Approved</v>
      </c>
      <c r="T6890" t="str">
        <f t="shared" si="2818"/>
        <v>10.20.8.188</v>
      </c>
      <c r="U6890" t="str">
        <f t="shared" si="2807"/>
        <v>AZRAD UMAR BIN SHAARI</v>
      </c>
      <c r="V6890" t="str">
        <f t="shared" si="2808"/>
        <v>FARHANA BINTI MUSTAPA</v>
      </c>
      <c r="W6890" t="str">
        <f t="shared" si="2809"/>
        <v>04-08-2020</v>
      </c>
      <c r="X6890" t="str">
        <f t="shared" si="2810"/>
        <v>RAZIMAH ANSAR AHMAD</v>
      </c>
      <c r="Y6890" t="str">
        <f t="shared" si="2811"/>
        <v>04-08-2020</v>
      </c>
      <c r="Z6890" t="str">
        <f>"COS10200804 2264"</f>
        <v>COS10200804 2264</v>
      </c>
    </row>
    <row r="6891" spans="1:26" x14ac:dyDescent="0.25">
      <c r="A6891" t="str">
        <f t="shared" si="2815"/>
        <v>04-08-2020 12:37:08</v>
      </c>
      <c r="B6891" t="str">
        <f>"0000804023"</f>
        <v>0000804023</v>
      </c>
      <c r="C6891" t="str">
        <f t="shared" si="2816"/>
        <v>0000803960</v>
      </c>
      <c r="D6891" t="str">
        <f t="shared" si="2801"/>
        <v>73185</v>
      </c>
      <c r="E6891" t="str">
        <f t="shared" si="2802"/>
        <v>KFH-OPERATIONS DEPARTMENT</v>
      </c>
      <c r="F6891" t="str">
        <f t="shared" si="2803"/>
        <v>IBG</v>
      </c>
      <c r="G6891" t="str">
        <f t="shared" si="2812"/>
        <v>Refund COSHARE 10</v>
      </c>
      <c r="H6891" s="2">
        <v>940.25</v>
      </c>
      <c r="I6891" t="str">
        <f>"AMUTHA AP SHANMUGAM"</f>
        <v>AMUTHA AP SHANMUGAM</v>
      </c>
      <c r="J6891" t="str">
        <f t="shared" si="2796"/>
        <v>CIMB BANK / CIMB ISLAMIC BANK</v>
      </c>
      <c r="K6891" t="str">
        <f>"7005196039"</f>
        <v>7005196039</v>
      </c>
      <c r="L6891" t="str">
        <f t="shared" si="2819"/>
        <v>04-08-2020</v>
      </c>
      <c r="M6891" t="str">
        <f t="shared" si="2819"/>
        <v>04-08-2020</v>
      </c>
      <c r="N6891" t="str">
        <f t="shared" si="2804"/>
        <v>001105018356</v>
      </c>
      <c r="O6891" t="str">
        <f t="shared" si="2805"/>
        <v>MYR</v>
      </c>
      <c r="P6891" t="str">
        <f t="shared" si="2820"/>
        <v>NIL</v>
      </c>
      <c r="Q6891" t="str">
        <f t="shared" si="2820"/>
        <v>NIL</v>
      </c>
      <c r="R6891" t="str">
        <f t="shared" si="2817"/>
        <v>Accepted</v>
      </c>
      <c r="S6891" t="str">
        <f t="shared" si="2806"/>
        <v>Approved</v>
      </c>
      <c r="T6891" t="str">
        <f t="shared" si="2818"/>
        <v>10.20.8.188</v>
      </c>
      <c r="U6891" t="str">
        <f t="shared" si="2807"/>
        <v>AZRAD UMAR BIN SHAARI</v>
      </c>
      <c r="V6891" t="str">
        <f t="shared" si="2808"/>
        <v>FARHANA BINTI MUSTAPA</v>
      </c>
      <c r="W6891" t="str">
        <f t="shared" si="2809"/>
        <v>04-08-2020</v>
      </c>
      <c r="X6891" t="str">
        <f t="shared" si="2810"/>
        <v>RAZIMAH ANSAR AHMAD</v>
      </c>
      <c r="Y6891" t="str">
        <f t="shared" si="2811"/>
        <v>04-08-2020</v>
      </c>
      <c r="Z6891" t="str">
        <f>"COS10200804 2263"</f>
        <v>COS10200804 2263</v>
      </c>
    </row>
    <row r="6892" spans="1:26" x14ac:dyDescent="0.25">
      <c r="A6892" t="str">
        <f t="shared" si="2815"/>
        <v>04-08-2020 12:37:08</v>
      </c>
      <c r="B6892" t="str">
        <f>"0000804022"</f>
        <v>0000804022</v>
      </c>
      <c r="C6892" t="str">
        <f t="shared" si="2816"/>
        <v>0000803960</v>
      </c>
      <c r="D6892" t="str">
        <f t="shared" si="2801"/>
        <v>73185</v>
      </c>
      <c r="E6892" t="str">
        <f t="shared" si="2802"/>
        <v>KFH-OPERATIONS DEPARTMENT</v>
      </c>
      <c r="F6892" t="str">
        <f t="shared" si="2803"/>
        <v>IBG</v>
      </c>
      <c r="G6892" t="str">
        <f t="shared" si="2812"/>
        <v>Refund COSHARE 10</v>
      </c>
      <c r="H6892" s="2">
        <v>714</v>
      </c>
      <c r="I6892" t="str">
        <f>"AMRAN BIN YUSOF"</f>
        <v>AMRAN BIN YUSOF</v>
      </c>
      <c r="J6892" t="str">
        <f t="shared" si="2796"/>
        <v>CIMB BANK / CIMB ISLAMIC BANK</v>
      </c>
      <c r="K6892" t="str">
        <f>"14240000530205"</f>
        <v>14240000530205</v>
      </c>
      <c r="L6892" t="str">
        <f t="shared" si="2819"/>
        <v>04-08-2020</v>
      </c>
      <c r="M6892" t="str">
        <f t="shared" si="2819"/>
        <v>04-08-2020</v>
      </c>
      <c r="N6892" t="str">
        <f t="shared" si="2804"/>
        <v>001105018356</v>
      </c>
      <c r="O6892" t="str">
        <f t="shared" si="2805"/>
        <v>MYR</v>
      </c>
      <c r="P6892" t="str">
        <f t="shared" si="2820"/>
        <v>NIL</v>
      </c>
      <c r="Q6892" t="str">
        <f t="shared" si="2820"/>
        <v>NIL</v>
      </c>
      <c r="R6892" t="str">
        <f t="shared" si="2817"/>
        <v>Accepted</v>
      </c>
      <c r="S6892" t="str">
        <f t="shared" si="2806"/>
        <v>Approved</v>
      </c>
      <c r="T6892" t="str">
        <f t="shared" si="2818"/>
        <v>10.20.8.188</v>
      </c>
      <c r="U6892" t="str">
        <f t="shared" si="2807"/>
        <v>AZRAD UMAR BIN SHAARI</v>
      </c>
      <c r="V6892" t="str">
        <f t="shared" si="2808"/>
        <v>FARHANA BINTI MUSTAPA</v>
      </c>
      <c r="W6892" t="str">
        <f t="shared" si="2809"/>
        <v>04-08-2020</v>
      </c>
      <c r="X6892" t="str">
        <f t="shared" si="2810"/>
        <v>RAZIMAH ANSAR AHMAD</v>
      </c>
      <c r="Y6892" t="str">
        <f t="shared" si="2811"/>
        <v>04-08-2020</v>
      </c>
      <c r="Z6892" t="str">
        <f>"COS10200804 2262"</f>
        <v>COS10200804 2262</v>
      </c>
    </row>
    <row r="6893" spans="1:26" x14ac:dyDescent="0.25">
      <c r="A6893" t="str">
        <f t="shared" si="2815"/>
        <v>04-08-2020 12:37:08</v>
      </c>
      <c r="B6893" t="str">
        <f>"0000804021"</f>
        <v>0000804021</v>
      </c>
      <c r="C6893" t="str">
        <f t="shared" si="2816"/>
        <v>0000803960</v>
      </c>
      <c r="D6893" t="str">
        <f t="shared" si="2801"/>
        <v>73185</v>
      </c>
      <c r="E6893" t="str">
        <f t="shared" si="2802"/>
        <v>KFH-OPERATIONS DEPARTMENT</v>
      </c>
      <c r="F6893" t="str">
        <f t="shared" si="2803"/>
        <v>IBG</v>
      </c>
      <c r="G6893" t="str">
        <f t="shared" si="2812"/>
        <v>Refund COSHARE 10</v>
      </c>
      <c r="H6893" s="2">
        <v>763.95</v>
      </c>
      <c r="I6893" t="str">
        <f>"AMRAN BIN YUSOF"</f>
        <v>AMRAN BIN YUSOF</v>
      </c>
      <c r="J6893" t="str">
        <f t="shared" si="2796"/>
        <v>CIMB BANK / CIMB ISLAMIC BANK</v>
      </c>
      <c r="K6893" t="str">
        <f>"14240000530205"</f>
        <v>14240000530205</v>
      </c>
      <c r="L6893" t="str">
        <f t="shared" si="2819"/>
        <v>04-08-2020</v>
      </c>
      <c r="M6893" t="str">
        <f t="shared" si="2819"/>
        <v>04-08-2020</v>
      </c>
      <c r="N6893" t="str">
        <f t="shared" si="2804"/>
        <v>001105018356</v>
      </c>
      <c r="O6893" t="str">
        <f t="shared" si="2805"/>
        <v>MYR</v>
      </c>
      <c r="P6893" t="str">
        <f t="shared" si="2820"/>
        <v>NIL</v>
      </c>
      <c r="Q6893" t="str">
        <f t="shared" si="2820"/>
        <v>NIL</v>
      </c>
      <c r="R6893" t="str">
        <f t="shared" si="2817"/>
        <v>Accepted</v>
      </c>
      <c r="S6893" t="str">
        <f t="shared" si="2806"/>
        <v>Approved</v>
      </c>
      <c r="T6893" t="str">
        <f t="shared" si="2818"/>
        <v>10.20.8.188</v>
      </c>
      <c r="U6893" t="str">
        <f t="shared" si="2807"/>
        <v>AZRAD UMAR BIN SHAARI</v>
      </c>
      <c r="V6893" t="str">
        <f t="shared" si="2808"/>
        <v>FARHANA BINTI MUSTAPA</v>
      </c>
      <c r="W6893" t="str">
        <f t="shared" si="2809"/>
        <v>04-08-2020</v>
      </c>
      <c r="X6893" t="str">
        <f t="shared" si="2810"/>
        <v>RAZIMAH ANSAR AHMAD</v>
      </c>
      <c r="Y6893" t="str">
        <f t="shared" si="2811"/>
        <v>04-08-2020</v>
      </c>
      <c r="Z6893" t="str">
        <f>"COS10200804 2261"</f>
        <v>COS10200804 2261</v>
      </c>
    </row>
    <row r="6894" spans="1:26" x14ac:dyDescent="0.25">
      <c r="A6894" t="str">
        <f t="shared" si="2815"/>
        <v>04-08-2020 12:37:08</v>
      </c>
      <c r="B6894" t="str">
        <f>"0000804020"</f>
        <v>0000804020</v>
      </c>
      <c r="C6894" t="str">
        <f t="shared" si="2816"/>
        <v>0000803960</v>
      </c>
      <c r="D6894" t="str">
        <f t="shared" si="2801"/>
        <v>73185</v>
      </c>
      <c r="E6894" t="str">
        <f t="shared" si="2802"/>
        <v>KFH-OPERATIONS DEPARTMENT</v>
      </c>
      <c r="F6894" t="str">
        <f t="shared" si="2803"/>
        <v>IBG</v>
      </c>
      <c r="G6894" t="str">
        <f t="shared" si="2812"/>
        <v>Refund COSHARE 10</v>
      </c>
      <c r="H6894" s="2">
        <v>629.25</v>
      </c>
      <c r="I6894" t="str">
        <f>"AMRAN BIN MD NOOR"</f>
        <v>AMRAN BIN MD NOOR</v>
      </c>
      <c r="J6894" t="str">
        <f t="shared" si="2796"/>
        <v>CIMB BANK / CIMB ISLAMIC BANK</v>
      </c>
      <c r="K6894" t="str">
        <f>"12190059940529"</f>
        <v>12190059940529</v>
      </c>
      <c r="L6894" t="str">
        <f t="shared" si="2819"/>
        <v>04-08-2020</v>
      </c>
      <c r="M6894" t="str">
        <f t="shared" si="2819"/>
        <v>04-08-2020</v>
      </c>
      <c r="N6894" t="str">
        <f t="shared" si="2804"/>
        <v>001105018356</v>
      </c>
      <c r="O6894" t="str">
        <f t="shared" si="2805"/>
        <v>MYR</v>
      </c>
      <c r="P6894" t="str">
        <f t="shared" si="2820"/>
        <v>NIL</v>
      </c>
      <c r="Q6894" t="str">
        <f t="shared" si="2820"/>
        <v>NIL</v>
      </c>
      <c r="R6894" t="str">
        <f t="shared" si="2817"/>
        <v>Accepted</v>
      </c>
      <c r="S6894" t="str">
        <f t="shared" si="2806"/>
        <v>Approved</v>
      </c>
      <c r="T6894" t="str">
        <f t="shared" si="2818"/>
        <v>10.20.8.188</v>
      </c>
      <c r="U6894" t="str">
        <f t="shared" si="2807"/>
        <v>AZRAD UMAR BIN SHAARI</v>
      </c>
      <c r="V6894" t="str">
        <f t="shared" si="2808"/>
        <v>FARHANA BINTI MUSTAPA</v>
      </c>
      <c r="W6894" t="str">
        <f t="shared" si="2809"/>
        <v>04-08-2020</v>
      </c>
      <c r="X6894" t="str">
        <f t="shared" si="2810"/>
        <v>RAZIMAH ANSAR AHMAD</v>
      </c>
      <c r="Y6894" t="str">
        <f t="shared" si="2811"/>
        <v>04-08-2020</v>
      </c>
      <c r="Z6894" t="str">
        <f>"COS10200804 2260"</f>
        <v>COS10200804 2260</v>
      </c>
    </row>
    <row r="6895" spans="1:26" x14ac:dyDescent="0.25">
      <c r="A6895" t="str">
        <f t="shared" si="2815"/>
        <v>04-08-2020 12:37:08</v>
      </c>
      <c r="B6895" t="str">
        <f>"0000804019"</f>
        <v>0000804019</v>
      </c>
      <c r="C6895" t="str">
        <f t="shared" si="2816"/>
        <v>0000803960</v>
      </c>
      <c r="D6895" t="str">
        <f t="shared" si="2801"/>
        <v>73185</v>
      </c>
      <c r="E6895" t="str">
        <f t="shared" si="2802"/>
        <v>KFH-OPERATIONS DEPARTMENT</v>
      </c>
      <c r="F6895" t="str">
        <f t="shared" si="2803"/>
        <v>IBG</v>
      </c>
      <c r="G6895" t="str">
        <f t="shared" si="2812"/>
        <v>Refund COSHARE 10</v>
      </c>
      <c r="H6895" s="2">
        <v>369.4</v>
      </c>
      <c r="I6895" t="str">
        <f>"AMIZAN BIN JEMAT"</f>
        <v>AMIZAN BIN JEMAT</v>
      </c>
      <c r="J6895" t="str">
        <f t="shared" si="2796"/>
        <v>CIMB BANK / CIMB ISLAMIC BANK</v>
      </c>
      <c r="K6895" t="str">
        <f>"10140000090525"</f>
        <v>10140000090525</v>
      </c>
      <c r="L6895" t="str">
        <f t="shared" si="2819"/>
        <v>04-08-2020</v>
      </c>
      <c r="M6895" t="str">
        <f t="shared" si="2819"/>
        <v>04-08-2020</v>
      </c>
      <c r="N6895" t="str">
        <f t="shared" si="2804"/>
        <v>001105018356</v>
      </c>
      <c r="O6895" t="str">
        <f t="shared" si="2805"/>
        <v>MYR</v>
      </c>
      <c r="P6895" t="str">
        <f t="shared" si="2820"/>
        <v>NIL</v>
      </c>
      <c r="Q6895" t="str">
        <f t="shared" si="2820"/>
        <v>NIL</v>
      </c>
      <c r="R6895" t="str">
        <f t="shared" si="2817"/>
        <v>Accepted</v>
      </c>
      <c r="S6895" t="str">
        <f t="shared" si="2806"/>
        <v>Approved</v>
      </c>
      <c r="T6895" t="str">
        <f t="shared" si="2818"/>
        <v>10.20.8.188</v>
      </c>
      <c r="U6895" t="str">
        <f t="shared" si="2807"/>
        <v>AZRAD UMAR BIN SHAARI</v>
      </c>
      <c r="V6895" t="str">
        <f t="shared" si="2808"/>
        <v>FARHANA BINTI MUSTAPA</v>
      </c>
      <c r="W6895" t="str">
        <f t="shared" si="2809"/>
        <v>04-08-2020</v>
      </c>
      <c r="X6895" t="str">
        <f t="shared" si="2810"/>
        <v>RAZIMAH ANSAR AHMAD</v>
      </c>
      <c r="Y6895" t="str">
        <f t="shared" si="2811"/>
        <v>04-08-2020</v>
      </c>
      <c r="Z6895" t="str">
        <f>"COS10200804 2259"</f>
        <v>COS10200804 2259</v>
      </c>
    </row>
    <row r="6896" spans="1:26" x14ac:dyDescent="0.25">
      <c r="A6896" t="str">
        <f t="shared" si="2815"/>
        <v>04-08-2020 12:37:08</v>
      </c>
      <c r="B6896" t="str">
        <f>"0000804018"</f>
        <v>0000804018</v>
      </c>
      <c r="C6896" t="str">
        <f t="shared" si="2816"/>
        <v>0000803960</v>
      </c>
      <c r="D6896" t="str">
        <f t="shared" si="2801"/>
        <v>73185</v>
      </c>
      <c r="E6896" t="str">
        <f t="shared" si="2802"/>
        <v>KFH-OPERATIONS DEPARTMENT</v>
      </c>
      <c r="F6896" t="str">
        <f t="shared" si="2803"/>
        <v>IBG</v>
      </c>
      <c r="G6896" t="str">
        <f t="shared" si="2812"/>
        <v>Refund COSHARE 10</v>
      </c>
      <c r="H6896" s="2">
        <v>439.15</v>
      </c>
      <c r="I6896" t="str">
        <f>"AMISAHNORITAH BINTI SAMAN"</f>
        <v>AMISAHNORITAH BINTI SAMAN</v>
      </c>
      <c r="J6896" t="str">
        <f t="shared" si="2796"/>
        <v>CIMB BANK / CIMB ISLAMIC BANK</v>
      </c>
      <c r="K6896" t="str">
        <f>"10050024609521"</f>
        <v>10050024609521</v>
      </c>
      <c r="L6896" t="str">
        <f t="shared" si="2819"/>
        <v>04-08-2020</v>
      </c>
      <c r="M6896" t="str">
        <f t="shared" si="2819"/>
        <v>04-08-2020</v>
      </c>
      <c r="N6896" t="str">
        <f t="shared" si="2804"/>
        <v>001105018356</v>
      </c>
      <c r="O6896" t="str">
        <f t="shared" si="2805"/>
        <v>MYR</v>
      </c>
      <c r="P6896" t="str">
        <f t="shared" si="2820"/>
        <v>NIL</v>
      </c>
      <c r="Q6896" t="str">
        <f t="shared" si="2820"/>
        <v>NIL</v>
      </c>
      <c r="R6896" t="str">
        <f t="shared" si="2817"/>
        <v>Accepted</v>
      </c>
      <c r="S6896" t="str">
        <f t="shared" si="2806"/>
        <v>Approved</v>
      </c>
      <c r="T6896" t="str">
        <f t="shared" si="2818"/>
        <v>10.20.8.188</v>
      </c>
      <c r="U6896" t="str">
        <f t="shared" si="2807"/>
        <v>AZRAD UMAR BIN SHAARI</v>
      </c>
      <c r="V6896" t="str">
        <f t="shared" si="2808"/>
        <v>FARHANA BINTI MUSTAPA</v>
      </c>
      <c r="W6896" t="str">
        <f t="shared" si="2809"/>
        <v>04-08-2020</v>
      </c>
      <c r="X6896" t="str">
        <f t="shared" si="2810"/>
        <v>RAZIMAH ANSAR AHMAD</v>
      </c>
      <c r="Y6896" t="str">
        <f t="shared" si="2811"/>
        <v>04-08-2020</v>
      </c>
      <c r="Z6896" t="str">
        <f>"COS10200804 2258"</f>
        <v>COS10200804 2258</v>
      </c>
    </row>
    <row r="6897" spans="1:26" x14ac:dyDescent="0.25">
      <c r="A6897" t="str">
        <f t="shared" si="2815"/>
        <v>04-08-2020 12:37:08</v>
      </c>
      <c r="B6897" t="str">
        <f>"0000804017"</f>
        <v>0000804017</v>
      </c>
      <c r="C6897" t="str">
        <f t="shared" si="2816"/>
        <v>0000803960</v>
      </c>
      <c r="D6897" t="str">
        <f t="shared" si="2801"/>
        <v>73185</v>
      </c>
      <c r="E6897" t="str">
        <f t="shared" si="2802"/>
        <v>KFH-OPERATIONS DEPARTMENT</v>
      </c>
      <c r="F6897" t="str">
        <f t="shared" si="2803"/>
        <v>IBG</v>
      </c>
      <c r="G6897" t="str">
        <f t="shared" si="2812"/>
        <v>Refund COSHARE 10</v>
      </c>
      <c r="H6897" s="2">
        <v>226.7</v>
      </c>
      <c r="I6897" t="str">
        <f>"AMIRUL BIN ISMAIL"</f>
        <v>AMIRUL BIN ISMAIL</v>
      </c>
      <c r="J6897" t="str">
        <f t="shared" si="2796"/>
        <v>CIMB BANK / CIMB ISLAMIC BANK</v>
      </c>
      <c r="K6897" t="str">
        <f>"02050072839524"</f>
        <v>02050072839524</v>
      </c>
      <c r="L6897" t="str">
        <f t="shared" si="2819"/>
        <v>04-08-2020</v>
      </c>
      <c r="M6897" t="str">
        <f t="shared" si="2819"/>
        <v>04-08-2020</v>
      </c>
      <c r="N6897" t="str">
        <f t="shared" si="2804"/>
        <v>001105018356</v>
      </c>
      <c r="O6897" t="str">
        <f t="shared" si="2805"/>
        <v>MYR</v>
      </c>
      <c r="P6897" t="str">
        <f t="shared" si="2820"/>
        <v>NIL</v>
      </c>
      <c r="Q6897" t="str">
        <f t="shared" si="2820"/>
        <v>NIL</v>
      </c>
      <c r="R6897" t="str">
        <f t="shared" si="2817"/>
        <v>Accepted</v>
      </c>
      <c r="S6897" t="str">
        <f t="shared" si="2806"/>
        <v>Approved</v>
      </c>
      <c r="T6897" t="str">
        <f t="shared" si="2818"/>
        <v>10.20.8.188</v>
      </c>
      <c r="U6897" t="str">
        <f t="shared" si="2807"/>
        <v>AZRAD UMAR BIN SHAARI</v>
      </c>
      <c r="V6897" t="str">
        <f t="shared" si="2808"/>
        <v>FARHANA BINTI MUSTAPA</v>
      </c>
      <c r="W6897" t="str">
        <f t="shared" si="2809"/>
        <v>04-08-2020</v>
      </c>
      <c r="X6897" t="str">
        <f t="shared" si="2810"/>
        <v>RAZIMAH ANSAR AHMAD</v>
      </c>
      <c r="Y6897" t="str">
        <f t="shared" si="2811"/>
        <v>04-08-2020</v>
      </c>
      <c r="Z6897" t="str">
        <f>"COS10200804 2257"</f>
        <v>COS10200804 2257</v>
      </c>
    </row>
    <row r="6898" spans="1:26" x14ac:dyDescent="0.25">
      <c r="A6898" t="str">
        <f t="shared" si="2815"/>
        <v>04-08-2020 12:37:08</v>
      </c>
      <c r="B6898" t="str">
        <f>"0000804016"</f>
        <v>0000804016</v>
      </c>
      <c r="C6898" t="str">
        <f t="shared" si="2816"/>
        <v>0000803960</v>
      </c>
      <c r="D6898" t="str">
        <f t="shared" si="2801"/>
        <v>73185</v>
      </c>
      <c r="E6898" t="str">
        <f t="shared" si="2802"/>
        <v>KFH-OPERATIONS DEPARTMENT</v>
      </c>
      <c r="F6898" t="str">
        <f t="shared" si="2803"/>
        <v>IBG</v>
      </c>
      <c r="G6898" t="str">
        <f t="shared" si="2812"/>
        <v>Refund COSHARE 10</v>
      </c>
      <c r="H6898" s="2">
        <v>254.1</v>
      </c>
      <c r="I6898" t="str">
        <f>"AMIRUDDIN BIN ZAKARIA"</f>
        <v>AMIRUDDIN BIN ZAKARIA</v>
      </c>
      <c r="J6898" t="str">
        <f t="shared" si="2796"/>
        <v>CIMB BANK / CIMB ISLAMIC BANK</v>
      </c>
      <c r="K6898" t="str">
        <f>"03020028403528"</f>
        <v>03020028403528</v>
      </c>
      <c r="L6898" t="str">
        <f t="shared" si="2819"/>
        <v>04-08-2020</v>
      </c>
      <c r="M6898" t="str">
        <f t="shared" si="2819"/>
        <v>04-08-2020</v>
      </c>
      <c r="N6898" t="str">
        <f t="shared" si="2804"/>
        <v>001105018356</v>
      </c>
      <c r="O6898" t="str">
        <f t="shared" si="2805"/>
        <v>MYR</v>
      </c>
      <c r="P6898" t="str">
        <f t="shared" si="2820"/>
        <v>NIL</v>
      </c>
      <c r="Q6898" t="str">
        <f t="shared" si="2820"/>
        <v>NIL</v>
      </c>
      <c r="R6898" t="str">
        <f t="shared" si="2817"/>
        <v>Accepted</v>
      </c>
      <c r="S6898" t="str">
        <f t="shared" si="2806"/>
        <v>Approved</v>
      </c>
      <c r="T6898" t="str">
        <f t="shared" si="2818"/>
        <v>10.20.8.188</v>
      </c>
      <c r="U6898" t="str">
        <f t="shared" si="2807"/>
        <v>AZRAD UMAR BIN SHAARI</v>
      </c>
      <c r="V6898" t="str">
        <f t="shared" si="2808"/>
        <v>FARHANA BINTI MUSTAPA</v>
      </c>
      <c r="W6898" t="str">
        <f t="shared" si="2809"/>
        <v>04-08-2020</v>
      </c>
      <c r="X6898" t="str">
        <f t="shared" si="2810"/>
        <v>RAZIMAH ANSAR AHMAD</v>
      </c>
      <c r="Y6898" t="str">
        <f t="shared" si="2811"/>
        <v>04-08-2020</v>
      </c>
      <c r="Z6898" t="str">
        <f>"COS10200804 2256"</f>
        <v>COS10200804 2256</v>
      </c>
    </row>
    <row r="6899" spans="1:26" x14ac:dyDescent="0.25">
      <c r="A6899" t="str">
        <f t="shared" si="2815"/>
        <v>04-08-2020 12:37:08</v>
      </c>
      <c r="B6899" t="str">
        <f>"0000804015"</f>
        <v>0000804015</v>
      </c>
      <c r="C6899" t="str">
        <f t="shared" si="2816"/>
        <v>0000803960</v>
      </c>
      <c r="D6899" t="str">
        <f t="shared" si="2801"/>
        <v>73185</v>
      </c>
      <c r="E6899" t="str">
        <f t="shared" si="2802"/>
        <v>KFH-OPERATIONS DEPARTMENT</v>
      </c>
      <c r="F6899" t="str">
        <f t="shared" si="2803"/>
        <v>IBG</v>
      </c>
      <c r="G6899" t="str">
        <f t="shared" si="2812"/>
        <v>Refund COSHARE 10</v>
      </c>
      <c r="H6899" s="2">
        <v>419.75</v>
      </c>
      <c r="I6899" t="str">
        <f>"AMIR ZAKI BIN MOHD TAMIZI"</f>
        <v>AMIR ZAKI BIN MOHD TAMIZI</v>
      </c>
      <c r="J6899" t="str">
        <f t="shared" si="2796"/>
        <v>CIMB BANK / CIMB ISLAMIC BANK</v>
      </c>
      <c r="K6899" t="str">
        <f>"04030034540526"</f>
        <v>04030034540526</v>
      </c>
      <c r="L6899" t="str">
        <f t="shared" si="2819"/>
        <v>04-08-2020</v>
      </c>
      <c r="M6899" t="str">
        <f t="shared" si="2819"/>
        <v>04-08-2020</v>
      </c>
      <c r="N6899" t="str">
        <f t="shared" si="2804"/>
        <v>001105018356</v>
      </c>
      <c r="O6899" t="str">
        <f t="shared" si="2805"/>
        <v>MYR</v>
      </c>
      <c r="P6899" t="str">
        <f t="shared" si="2820"/>
        <v>NIL</v>
      </c>
      <c r="Q6899" t="str">
        <f t="shared" si="2820"/>
        <v>NIL</v>
      </c>
      <c r="R6899" t="str">
        <f t="shared" si="2817"/>
        <v>Accepted</v>
      </c>
      <c r="S6899" t="str">
        <f t="shared" si="2806"/>
        <v>Approved</v>
      </c>
      <c r="T6899" t="str">
        <f t="shared" si="2818"/>
        <v>10.20.8.188</v>
      </c>
      <c r="U6899" t="str">
        <f t="shared" si="2807"/>
        <v>AZRAD UMAR BIN SHAARI</v>
      </c>
      <c r="V6899" t="str">
        <f t="shared" si="2808"/>
        <v>FARHANA BINTI MUSTAPA</v>
      </c>
      <c r="W6899" t="str">
        <f t="shared" si="2809"/>
        <v>04-08-2020</v>
      </c>
      <c r="X6899" t="str">
        <f t="shared" si="2810"/>
        <v>RAZIMAH ANSAR AHMAD</v>
      </c>
      <c r="Y6899" t="str">
        <f t="shared" si="2811"/>
        <v>04-08-2020</v>
      </c>
      <c r="Z6899" t="str">
        <f>"COS10200804 2255"</f>
        <v>COS10200804 2255</v>
      </c>
    </row>
    <row r="6900" spans="1:26" x14ac:dyDescent="0.25">
      <c r="A6900" t="str">
        <f t="shared" si="2815"/>
        <v>04-08-2020 12:37:08</v>
      </c>
      <c r="B6900" t="str">
        <f>"0000804014"</f>
        <v>0000804014</v>
      </c>
      <c r="C6900" t="str">
        <f t="shared" si="2816"/>
        <v>0000803960</v>
      </c>
      <c r="D6900" t="str">
        <f t="shared" si="2801"/>
        <v>73185</v>
      </c>
      <c r="E6900" t="str">
        <f t="shared" si="2802"/>
        <v>KFH-OPERATIONS DEPARTMENT</v>
      </c>
      <c r="F6900" t="str">
        <f t="shared" si="2803"/>
        <v>IBG</v>
      </c>
      <c r="G6900" t="str">
        <f t="shared" si="2812"/>
        <v>Refund COSHARE 10</v>
      </c>
      <c r="H6900" s="2">
        <v>568</v>
      </c>
      <c r="I6900" t="str">
        <f>"AMIR SAAD BIN ABDUL RAHIM"</f>
        <v>AMIR SAAD BIN ABDUL RAHIM</v>
      </c>
      <c r="J6900" t="str">
        <f t="shared" si="2796"/>
        <v>CIMB BANK / CIMB ISLAMIC BANK</v>
      </c>
      <c r="K6900" t="str">
        <f>"07150064838521"</f>
        <v>07150064838521</v>
      </c>
      <c r="L6900" t="str">
        <f t="shared" si="2819"/>
        <v>04-08-2020</v>
      </c>
      <c r="M6900" t="str">
        <f t="shared" si="2819"/>
        <v>04-08-2020</v>
      </c>
      <c r="N6900" t="str">
        <f t="shared" si="2804"/>
        <v>001105018356</v>
      </c>
      <c r="O6900" t="str">
        <f t="shared" si="2805"/>
        <v>MYR</v>
      </c>
      <c r="P6900" t="str">
        <f t="shared" si="2820"/>
        <v>NIL</v>
      </c>
      <c r="Q6900" t="str">
        <f t="shared" si="2820"/>
        <v>NIL</v>
      </c>
      <c r="R6900" t="str">
        <f t="shared" si="2817"/>
        <v>Accepted</v>
      </c>
      <c r="S6900" t="str">
        <f t="shared" si="2806"/>
        <v>Approved</v>
      </c>
      <c r="T6900" t="str">
        <f t="shared" si="2818"/>
        <v>10.20.8.188</v>
      </c>
      <c r="U6900" t="str">
        <f t="shared" si="2807"/>
        <v>AZRAD UMAR BIN SHAARI</v>
      </c>
      <c r="V6900" t="str">
        <f t="shared" si="2808"/>
        <v>FARHANA BINTI MUSTAPA</v>
      </c>
      <c r="W6900" t="str">
        <f t="shared" si="2809"/>
        <v>04-08-2020</v>
      </c>
      <c r="X6900" t="str">
        <f t="shared" si="2810"/>
        <v>RAZIMAH ANSAR AHMAD</v>
      </c>
      <c r="Y6900" t="str">
        <f t="shared" si="2811"/>
        <v>04-08-2020</v>
      </c>
      <c r="Z6900" t="str">
        <f>"COS10200804 2254"</f>
        <v>COS10200804 2254</v>
      </c>
    </row>
    <row r="6901" spans="1:26" x14ac:dyDescent="0.25">
      <c r="A6901" t="str">
        <f t="shared" si="2815"/>
        <v>04-08-2020 12:37:08</v>
      </c>
      <c r="B6901" t="str">
        <f>"0000804013"</f>
        <v>0000804013</v>
      </c>
      <c r="C6901" t="str">
        <f t="shared" si="2816"/>
        <v>0000803960</v>
      </c>
      <c r="D6901" t="str">
        <f t="shared" si="2801"/>
        <v>73185</v>
      </c>
      <c r="E6901" t="str">
        <f t="shared" si="2802"/>
        <v>KFH-OPERATIONS DEPARTMENT</v>
      </c>
      <c r="F6901" t="str">
        <f t="shared" si="2803"/>
        <v>IBG</v>
      </c>
      <c r="G6901" t="str">
        <f t="shared" si="2812"/>
        <v>Refund COSHARE 10</v>
      </c>
      <c r="H6901" s="2">
        <v>1393.6</v>
      </c>
      <c r="I6901" t="str">
        <f>"AMINULLAH BIN ZAINAL ABIDIN"</f>
        <v>AMINULLAH BIN ZAINAL ABIDIN</v>
      </c>
      <c r="J6901" t="str">
        <f t="shared" si="2796"/>
        <v>CIMB BANK / CIMB ISLAMIC BANK</v>
      </c>
      <c r="K6901" t="str">
        <f>"7040001092"</f>
        <v>7040001092</v>
      </c>
      <c r="L6901" t="str">
        <f t="shared" si="2819"/>
        <v>04-08-2020</v>
      </c>
      <c r="M6901" t="str">
        <f t="shared" si="2819"/>
        <v>04-08-2020</v>
      </c>
      <c r="N6901" t="str">
        <f t="shared" si="2804"/>
        <v>001105018356</v>
      </c>
      <c r="O6901" t="str">
        <f t="shared" si="2805"/>
        <v>MYR</v>
      </c>
      <c r="P6901" t="str">
        <f t="shared" si="2820"/>
        <v>NIL</v>
      </c>
      <c r="Q6901" t="str">
        <f t="shared" si="2820"/>
        <v>NIL</v>
      </c>
      <c r="R6901" t="str">
        <f t="shared" si="2817"/>
        <v>Accepted</v>
      </c>
      <c r="S6901" t="str">
        <f t="shared" si="2806"/>
        <v>Approved</v>
      </c>
      <c r="T6901" t="str">
        <f t="shared" si="2818"/>
        <v>10.20.8.188</v>
      </c>
      <c r="U6901" t="str">
        <f t="shared" si="2807"/>
        <v>AZRAD UMAR BIN SHAARI</v>
      </c>
      <c r="V6901" t="str">
        <f t="shared" si="2808"/>
        <v>FARHANA BINTI MUSTAPA</v>
      </c>
      <c r="W6901" t="str">
        <f t="shared" si="2809"/>
        <v>04-08-2020</v>
      </c>
      <c r="X6901" t="str">
        <f t="shared" si="2810"/>
        <v>RAZIMAH ANSAR AHMAD</v>
      </c>
      <c r="Y6901" t="str">
        <f t="shared" si="2811"/>
        <v>04-08-2020</v>
      </c>
      <c r="Z6901" t="str">
        <f>"COS10200804 2253"</f>
        <v>COS10200804 2253</v>
      </c>
    </row>
    <row r="6902" spans="1:26" x14ac:dyDescent="0.25">
      <c r="A6902" t="str">
        <f t="shared" si="2815"/>
        <v>04-08-2020 12:37:08</v>
      </c>
      <c r="B6902" t="str">
        <f>"0000804012"</f>
        <v>0000804012</v>
      </c>
      <c r="C6902" t="str">
        <f t="shared" si="2816"/>
        <v>0000803960</v>
      </c>
      <c r="D6902" t="str">
        <f t="shared" si="2801"/>
        <v>73185</v>
      </c>
      <c r="E6902" t="str">
        <f t="shared" si="2802"/>
        <v>KFH-OPERATIONS DEPARTMENT</v>
      </c>
      <c r="F6902" t="str">
        <f t="shared" si="2803"/>
        <v>IBG</v>
      </c>
      <c r="G6902" t="str">
        <f t="shared" si="2812"/>
        <v>Refund COSHARE 10</v>
      </c>
      <c r="H6902" s="2">
        <v>503.7</v>
      </c>
      <c r="I6902" t="str">
        <f>"AMININ  JAILIN JUMAT"</f>
        <v>AMININ  JAILIN JUMAT</v>
      </c>
      <c r="J6902" t="str">
        <f t="shared" si="2796"/>
        <v>CIMB BANK / CIMB ISLAMIC BANK</v>
      </c>
      <c r="K6902" t="str">
        <f>"7038490828"</f>
        <v>7038490828</v>
      </c>
      <c r="L6902" t="str">
        <f t="shared" si="2819"/>
        <v>04-08-2020</v>
      </c>
      <c r="M6902" t="str">
        <f t="shared" si="2819"/>
        <v>04-08-2020</v>
      </c>
      <c r="N6902" t="str">
        <f t="shared" si="2804"/>
        <v>001105018356</v>
      </c>
      <c r="O6902" t="str">
        <f t="shared" si="2805"/>
        <v>MYR</v>
      </c>
      <c r="P6902" t="str">
        <f t="shared" si="2820"/>
        <v>NIL</v>
      </c>
      <c r="Q6902" t="str">
        <f t="shared" si="2820"/>
        <v>NIL</v>
      </c>
      <c r="R6902" t="str">
        <f t="shared" si="2817"/>
        <v>Accepted</v>
      </c>
      <c r="S6902" t="str">
        <f t="shared" si="2806"/>
        <v>Approved</v>
      </c>
      <c r="T6902" t="str">
        <f t="shared" si="2818"/>
        <v>10.20.8.188</v>
      </c>
      <c r="U6902" t="str">
        <f t="shared" si="2807"/>
        <v>AZRAD UMAR BIN SHAARI</v>
      </c>
      <c r="V6902" t="str">
        <f t="shared" si="2808"/>
        <v>FARHANA BINTI MUSTAPA</v>
      </c>
      <c r="W6902" t="str">
        <f t="shared" si="2809"/>
        <v>04-08-2020</v>
      </c>
      <c r="X6902" t="str">
        <f t="shared" si="2810"/>
        <v>RAZIMAH ANSAR AHMAD</v>
      </c>
      <c r="Y6902" t="str">
        <f t="shared" si="2811"/>
        <v>04-08-2020</v>
      </c>
      <c r="Z6902" t="str">
        <f>"COS10200804 2252"</f>
        <v>COS10200804 2252</v>
      </c>
    </row>
    <row r="6903" spans="1:26" x14ac:dyDescent="0.25">
      <c r="A6903" t="str">
        <f t="shared" si="2815"/>
        <v>04-08-2020 12:37:08</v>
      </c>
      <c r="B6903" t="str">
        <f>"0000804011"</f>
        <v>0000804011</v>
      </c>
      <c r="C6903" t="str">
        <f t="shared" si="2816"/>
        <v>0000803960</v>
      </c>
      <c r="D6903" t="str">
        <f t="shared" si="2801"/>
        <v>73185</v>
      </c>
      <c r="E6903" t="str">
        <f t="shared" si="2802"/>
        <v>KFH-OPERATIONS DEPARTMENT</v>
      </c>
      <c r="F6903" t="str">
        <f t="shared" si="2803"/>
        <v>IBG</v>
      </c>
      <c r="G6903" t="str">
        <f t="shared" si="2812"/>
        <v>Refund COSHARE 10</v>
      </c>
      <c r="H6903" s="2">
        <v>763</v>
      </c>
      <c r="I6903" t="str">
        <f>"AMINI AMIR BIN ABDULLAH"</f>
        <v>AMINI AMIR BIN ABDULLAH</v>
      </c>
      <c r="J6903" t="str">
        <f t="shared" si="2796"/>
        <v>CIMB BANK / CIMB ISLAMIC BANK</v>
      </c>
      <c r="K6903" t="str">
        <f>"12150045585523"</f>
        <v>12150045585523</v>
      </c>
      <c r="L6903" t="str">
        <f t="shared" si="2819"/>
        <v>04-08-2020</v>
      </c>
      <c r="M6903" t="str">
        <f t="shared" si="2819"/>
        <v>04-08-2020</v>
      </c>
      <c r="N6903" t="str">
        <f t="shared" si="2804"/>
        <v>001105018356</v>
      </c>
      <c r="O6903" t="str">
        <f t="shared" si="2805"/>
        <v>MYR</v>
      </c>
      <c r="P6903" t="str">
        <f t="shared" si="2820"/>
        <v>NIL</v>
      </c>
      <c r="Q6903" t="str">
        <f t="shared" si="2820"/>
        <v>NIL</v>
      </c>
      <c r="R6903" t="str">
        <f t="shared" si="2817"/>
        <v>Accepted</v>
      </c>
      <c r="S6903" t="str">
        <f t="shared" si="2806"/>
        <v>Approved</v>
      </c>
      <c r="T6903" t="str">
        <f t="shared" si="2818"/>
        <v>10.20.8.188</v>
      </c>
      <c r="U6903" t="str">
        <f t="shared" si="2807"/>
        <v>AZRAD UMAR BIN SHAARI</v>
      </c>
      <c r="V6903" t="str">
        <f t="shared" si="2808"/>
        <v>FARHANA BINTI MUSTAPA</v>
      </c>
      <c r="W6903" t="str">
        <f t="shared" si="2809"/>
        <v>04-08-2020</v>
      </c>
      <c r="X6903" t="str">
        <f t="shared" si="2810"/>
        <v>RAZIMAH ANSAR AHMAD</v>
      </c>
      <c r="Y6903" t="str">
        <f t="shared" si="2811"/>
        <v>04-08-2020</v>
      </c>
      <c r="Z6903" t="str">
        <f>"COS10200804 2251"</f>
        <v>COS10200804 2251</v>
      </c>
    </row>
    <row r="6904" spans="1:26" x14ac:dyDescent="0.25">
      <c r="A6904" t="str">
        <f t="shared" si="2815"/>
        <v>04-08-2020 12:37:08</v>
      </c>
      <c r="B6904" t="str">
        <f>"0000804010"</f>
        <v>0000804010</v>
      </c>
      <c r="C6904" t="str">
        <f t="shared" si="2816"/>
        <v>0000803960</v>
      </c>
      <c r="D6904" t="str">
        <f t="shared" si="2801"/>
        <v>73185</v>
      </c>
      <c r="E6904" t="str">
        <f t="shared" si="2802"/>
        <v>KFH-OPERATIONS DEPARTMENT</v>
      </c>
      <c r="F6904" t="str">
        <f t="shared" si="2803"/>
        <v>IBG</v>
      </c>
      <c r="G6904" t="str">
        <f t="shared" si="2812"/>
        <v>Refund COSHARE 10</v>
      </c>
      <c r="H6904" s="2">
        <v>587.65</v>
      </c>
      <c r="I6904" t="str">
        <f>"AMINAH BT AWANG"</f>
        <v>AMINAH BT AWANG</v>
      </c>
      <c r="J6904" t="str">
        <f t="shared" si="2796"/>
        <v>CIMB BANK / CIMB ISLAMIC BANK</v>
      </c>
      <c r="K6904" t="str">
        <f>"06060055215528"</f>
        <v>06060055215528</v>
      </c>
      <c r="L6904" t="str">
        <f t="shared" si="2819"/>
        <v>04-08-2020</v>
      </c>
      <c r="M6904" t="str">
        <f t="shared" si="2819"/>
        <v>04-08-2020</v>
      </c>
      <c r="N6904" t="str">
        <f t="shared" si="2804"/>
        <v>001105018356</v>
      </c>
      <c r="O6904" t="str">
        <f t="shared" si="2805"/>
        <v>MYR</v>
      </c>
      <c r="P6904" t="str">
        <f t="shared" si="2820"/>
        <v>NIL</v>
      </c>
      <c r="Q6904" t="str">
        <f t="shared" si="2820"/>
        <v>NIL</v>
      </c>
      <c r="R6904" t="str">
        <f t="shared" si="2817"/>
        <v>Accepted</v>
      </c>
      <c r="S6904" t="str">
        <f t="shared" si="2806"/>
        <v>Approved</v>
      </c>
      <c r="T6904" t="str">
        <f t="shared" si="2818"/>
        <v>10.20.8.188</v>
      </c>
      <c r="U6904" t="str">
        <f t="shared" si="2807"/>
        <v>AZRAD UMAR BIN SHAARI</v>
      </c>
      <c r="V6904" t="str">
        <f t="shared" si="2808"/>
        <v>FARHANA BINTI MUSTAPA</v>
      </c>
      <c r="W6904" t="str">
        <f t="shared" si="2809"/>
        <v>04-08-2020</v>
      </c>
      <c r="X6904" t="str">
        <f t="shared" si="2810"/>
        <v>RAZIMAH ANSAR AHMAD</v>
      </c>
      <c r="Y6904" t="str">
        <f t="shared" si="2811"/>
        <v>04-08-2020</v>
      </c>
      <c r="Z6904" t="str">
        <f>"COS10200804 2250"</f>
        <v>COS10200804 2250</v>
      </c>
    </row>
    <row r="6905" spans="1:26" x14ac:dyDescent="0.25">
      <c r="A6905" t="str">
        <f t="shared" si="2815"/>
        <v>04-08-2020 12:37:08</v>
      </c>
      <c r="B6905" t="str">
        <f>"0000804009"</f>
        <v>0000804009</v>
      </c>
      <c r="C6905" t="str">
        <f t="shared" si="2816"/>
        <v>0000803960</v>
      </c>
      <c r="D6905" t="str">
        <f t="shared" si="2801"/>
        <v>73185</v>
      </c>
      <c r="E6905" t="str">
        <f t="shared" si="2802"/>
        <v>KFH-OPERATIONS DEPARTMENT</v>
      </c>
      <c r="F6905" t="str">
        <f t="shared" si="2803"/>
        <v>IBG</v>
      </c>
      <c r="G6905" t="str">
        <f t="shared" si="2812"/>
        <v>Refund COSHARE 10</v>
      </c>
      <c r="H6905" s="2">
        <v>168</v>
      </c>
      <c r="I6905" t="str">
        <f>"AMINAH BINTI IBRAHIM"</f>
        <v>AMINAH BINTI IBRAHIM</v>
      </c>
      <c r="J6905" t="str">
        <f t="shared" si="2796"/>
        <v>CIMB BANK / CIMB ISLAMIC BANK</v>
      </c>
      <c r="K6905" t="str">
        <f>"11090046028528"</f>
        <v>11090046028528</v>
      </c>
      <c r="L6905" t="str">
        <f t="shared" si="2819"/>
        <v>04-08-2020</v>
      </c>
      <c r="M6905" t="str">
        <f t="shared" si="2819"/>
        <v>04-08-2020</v>
      </c>
      <c r="N6905" t="str">
        <f t="shared" si="2804"/>
        <v>001105018356</v>
      </c>
      <c r="O6905" t="str">
        <f t="shared" si="2805"/>
        <v>MYR</v>
      </c>
      <c r="P6905" t="str">
        <f t="shared" si="2820"/>
        <v>NIL</v>
      </c>
      <c r="Q6905" t="str">
        <f t="shared" si="2820"/>
        <v>NIL</v>
      </c>
      <c r="R6905" t="str">
        <f t="shared" si="2817"/>
        <v>Accepted</v>
      </c>
      <c r="S6905" t="str">
        <f t="shared" si="2806"/>
        <v>Approved</v>
      </c>
      <c r="T6905" t="str">
        <f t="shared" si="2818"/>
        <v>10.20.8.188</v>
      </c>
      <c r="U6905" t="str">
        <f t="shared" si="2807"/>
        <v>AZRAD UMAR BIN SHAARI</v>
      </c>
      <c r="V6905" t="str">
        <f t="shared" si="2808"/>
        <v>FARHANA BINTI MUSTAPA</v>
      </c>
      <c r="W6905" t="str">
        <f t="shared" si="2809"/>
        <v>04-08-2020</v>
      </c>
      <c r="X6905" t="str">
        <f t="shared" si="2810"/>
        <v>RAZIMAH ANSAR AHMAD</v>
      </c>
      <c r="Y6905" t="str">
        <f t="shared" si="2811"/>
        <v>04-08-2020</v>
      </c>
      <c r="Z6905" t="str">
        <f>"COS10200804 2249"</f>
        <v>COS10200804 2249</v>
      </c>
    </row>
    <row r="6906" spans="1:26" x14ac:dyDescent="0.25">
      <c r="A6906" t="str">
        <f t="shared" si="2815"/>
        <v>04-08-2020 12:37:08</v>
      </c>
      <c r="B6906" t="str">
        <f>"0000804008"</f>
        <v>0000804008</v>
      </c>
      <c r="C6906" t="str">
        <f t="shared" si="2816"/>
        <v>0000803960</v>
      </c>
      <c r="D6906" t="str">
        <f t="shared" si="2801"/>
        <v>73185</v>
      </c>
      <c r="E6906" t="str">
        <f t="shared" si="2802"/>
        <v>KFH-OPERATIONS DEPARTMENT</v>
      </c>
      <c r="F6906" t="str">
        <f t="shared" si="2803"/>
        <v>IBG</v>
      </c>
      <c r="G6906" t="str">
        <f t="shared" si="2812"/>
        <v>Refund COSHARE 10</v>
      </c>
      <c r="H6906" s="2">
        <v>209.9</v>
      </c>
      <c r="I6906" t="str">
        <f>"AMAR BIN ANUAR"</f>
        <v>AMAR BIN ANUAR</v>
      </c>
      <c r="J6906" t="str">
        <f t="shared" si="2796"/>
        <v>CIMB BANK / CIMB ISLAMIC BANK</v>
      </c>
      <c r="K6906" t="str">
        <f>"04090002860528"</f>
        <v>04090002860528</v>
      </c>
      <c r="L6906" t="str">
        <f t="shared" si="2819"/>
        <v>04-08-2020</v>
      </c>
      <c r="M6906" t="str">
        <f t="shared" si="2819"/>
        <v>04-08-2020</v>
      </c>
      <c r="N6906" t="str">
        <f t="shared" si="2804"/>
        <v>001105018356</v>
      </c>
      <c r="O6906" t="str">
        <f t="shared" si="2805"/>
        <v>MYR</v>
      </c>
      <c r="P6906" t="str">
        <f t="shared" si="2820"/>
        <v>NIL</v>
      </c>
      <c r="Q6906" t="str">
        <f t="shared" si="2820"/>
        <v>NIL</v>
      </c>
      <c r="R6906" t="str">
        <f t="shared" si="2817"/>
        <v>Accepted</v>
      </c>
      <c r="S6906" t="str">
        <f t="shared" si="2806"/>
        <v>Approved</v>
      </c>
      <c r="T6906" t="str">
        <f t="shared" si="2818"/>
        <v>10.20.8.188</v>
      </c>
      <c r="U6906" t="str">
        <f t="shared" si="2807"/>
        <v>AZRAD UMAR BIN SHAARI</v>
      </c>
      <c r="V6906" t="str">
        <f t="shared" si="2808"/>
        <v>FARHANA BINTI MUSTAPA</v>
      </c>
      <c r="W6906" t="str">
        <f t="shared" si="2809"/>
        <v>04-08-2020</v>
      </c>
      <c r="X6906" t="str">
        <f t="shared" si="2810"/>
        <v>RAZIMAH ANSAR AHMAD</v>
      </c>
      <c r="Y6906" t="str">
        <f t="shared" si="2811"/>
        <v>04-08-2020</v>
      </c>
      <c r="Z6906" t="str">
        <f>"COS10200804 2248"</f>
        <v>COS10200804 2248</v>
      </c>
    </row>
    <row r="6907" spans="1:26" x14ac:dyDescent="0.25">
      <c r="A6907" t="str">
        <f t="shared" si="2815"/>
        <v>04-08-2020 12:37:08</v>
      </c>
      <c r="B6907" t="str">
        <f>"0000804007"</f>
        <v>0000804007</v>
      </c>
      <c r="C6907" t="str">
        <f t="shared" si="2816"/>
        <v>0000803960</v>
      </c>
      <c r="D6907" t="str">
        <f t="shared" si="2801"/>
        <v>73185</v>
      </c>
      <c r="E6907" t="str">
        <f t="shared" si="2802"/>
        <v>KFH-OPERATIONS DEPARTMENT</v>
      </c>
      <c r="F6907" t="str">
        <f t="shared" si="2803"/>
        <v>IBG</v>
      </c>
      <c r="G6907" t="str">
        <f t="shared" si="2812"/>
        <v>Refund COSHARE 10</v>
      </c>
      <c r="H6907" s="2">
        <v>209.9</v>
      </c>
      <c r="I6907" t="str">
        <f>"AMAR BIN ANUAR"</f>
        <v>AMAR BIN ANUAR</v>
      </c>
      <c r="J6907" t="str">
        <f t="shared" si="2796"/>
        <v>CIMB BANK / CIMB ISLAMIC BANK</v>
      </c>
      <c r="K6907" t="str">
        <f>"04090002860528"</f>
        <v>04090002860528</v>
      </c>
      <c r="L6907" t="str">
        <f t="shared" ref="L6907:M6926" si="2821">"04-08-2020"</f>
        <v>04-08-2020</v>
      </c>
      <c r="M6907" t="str">
        <f t="shared" si="2821"/>
        <v>04-08-2020</v>
      </c>
      <c r="N6907" t="str">
        <f t="shared" si="2804"/>
        <v>001105018356</v>
      </c>
      <c r="O6907" t="str">
        <f t="shared" si="2805"/>
        <v>MYR</v>
      </c>
      <c r="P6907" t="str">
        <f t="shared" ref="P6907:Q6926" si="2822">"NIL"</f>
        <v>NIL</v>
      </c>
      <c r="Q6907" t="str">
        <f t="shared" si="2822"/>
        <v>NIL</v>
      </c>
      <c r="R6907" t="str">
        <f t="shared" si="2817"/>
        <v>Accepted</v>
      </c>
      <c r="S6907" t="str">
        <f t="shared" si="2806"/>
        <v>Approved</v>
      </c>
      <c r="T6907" t="str">
        <f t="shared" si="2818"/>
        <v>10.20.8.188</v>
      </c>
      <c r="U6907" t="str">
        <f t="shared" si="2807"/>
        <v>AZRAD UMAR BIN SHAARI</v>
      </c>
      <c r="V6907" t="str">
        <f t="shared" si="2808"/>
        <v>FARHANA BINTI MUSTAPA</v>
      </c>
      <c r="W6907" t="str">
        <f t="shared" si="2809"/>
        <v>04-08-2020</v>
      </c>
      <c r="X6907" t="str">
        <f t="shared" si="2810"/>
        <v>RAZIMAH ANSAR AHMAD</v>
      </c>
      <c r="Y6907" t="str">
        <f t="shared" si="2811"/>
        <v>04-08-2020</v>
      </c>
      <c r="Z6907" t="str">
        <f>"COS10200804 2247"</f>
        <v>COS10200804 2247</v>
      </c>
    </row>
    <row r="6908" spans="1:26" x14ac:dyDescent="0.25">
      <c r="A6908" t="str">
        <f t="shared" si="2815"/>
        <v>04-08-2020 12:37:08</v>
      </c>
      <c r="B6908" t="str">
        <f>"0000804006"</f>
        <v>0000804006</v>
      </c>
      <c r="C6908" t="str">
        <f t="shared" si="2816"/>
        <v>0000803960</v>
      </c>
      <c r="D6908" t="str">
        <f t="shared" si="2801"/>
        <v>73185</v>
      </c>
      <c r="E6908" t="str">
        <f t="shared" si="2802"/>
        <v>KFH-OPERATIONS DEPARTMENT</v>
      </c>
      <c r="F6908" t="str">
        <f t="shared" si="2803"/>
        <v>IBG</v>
      </c>
      <c r="G6908" t="str">
        <f t="shared" si="2812"/>
        <v>Refund COSHARE 10</v>
      </c>
      <c r="H6908" s="2">
        <v>419.75</v>
      </c>
      <c r="I6908" t="str">
        <f>"AMALINA BINTI ABIDIN"</f>
        <v>AMALINA BINTI ABIDIN</v>
      </c>
      <c r="J6908" t="str">
        <f t="shared" ref="J6908:J6971" si="2823">"CIMB BANK / CIMB ISLAMIC BANK"</f>
        <v>CIMB BANK / CIMB ISLAMIC BANK</v>
      </c>
      <c r="K6908" t="str">
        <f>"02170013029528"</f>
        <v>02170013029528</v>
      </c>
      <c r="L6908" t="str">
        <f t="shared" si="2821"/>
        <v>04-08-2020</v>
      </c>
      <c r="M6908" t="str">
        <f t="shared" si="2821"/>
        <v>04-08-2020</v>
      </c>
      <c r="N6908" t="str">
        <f t="shared" si="2804"/>
        <v>001105018356</v>
      </c>
      <c r="O6908" t="str">
        <f t="shared" si="2805"/>
        <v>MYR</v>
      </c>
      <c r="P6908" t="str">
        <f t="shared" si="2822"/>
        <v>NIL</v>
      </c>
      <c r="Q6908" t="str">
        <f t="shared" si="2822"/>
        <v>NIL</v>
      </c>
      <c r="R6908" t="str">
        <f t="shared" si="2817"/>
        <v>Accepted</v>
      </c>
      <c r="S6908" t="str">
        <f t="shared" si="2806"/>
        <v>Approved</v>
      </c>
      <c r="T6908" t="str">
        <f t="shared" si="2818"/>
        <v>10.20.8.188</v>
      </c>
      <c r="U6908" t="str">
        <f t="shared" si="2807"/>
        <v>AZRAD UMAR BIN SHAARI</v>
      </c>
      <c r="V6908" t="str">
        <f t="shared" si="2808"/>
        <v>FARHANA BINTI MUSTAPA</v>
      </c>
      <c r="W6908" t="str">
        <f t="shared" si="2809"/>
        <v>04-08-2020</v>
      </c>
      <c r="X6908" t="str">
        <f t="shared" si="2810"/>
        <v>RAZIMAH ANSAR AHMAD</v>
      </c>
      <c r="Y6908" t="str">
        <f t="shared" si="2811"/>
        <v>04-08-2020</v>
      </c>
      <c r="Z6908" t="str">
        <f>"COS10200804 2246"</f>
        <v>COS10200804 2246</v>
      </c>
    </row>
    <row r="6909" spans="1:26" x14ac:dyDescent="0.25">
      <c r="A6909" t="str">
        <f t="shared" si="2815"/>
        <v>04-08-2020 12:37:08</v>
      </c>
      <c r="B6909" t="str">
        <f>"0000804005"</f>
        <v>0000804005</v>
      </c>
      <c r="C6909" t="str">
        <f t="shared" si="2816"/>
        <v>0000803960</v>
      </c>
      <c r="D6909" t="str">
        <f t="shared" si="2801"/>
        <v>73185</v>
      </c>
      <c r="E6909" t="str">
        <f t="shared" si="2802"/>
        <v>KFH-OPERATIONS DEPARTMENT</v>
      </c>
      <c r="F6909" t="str">
        <f t="shared" si="2803"/>
        <v>IBG</v>
      </c>
      <c r="G6909" t="str">
        <f t="shared" si="2812"/>
        <v>Refund COSHARE 10</v>
      </c>
      <c r="H6909" s="2">
        <v>302</v>
      </c>
      <c r="I6909" t="str">
        <f>"ALWIE BIN MD NONASI"</f>
        <v>ALWIE BIN MD NONASI</v>
      </c>
      <c r="J6909" t="str">
        <f t="shared" si="2823"/>
        <v>CIMB BANK / CIMB ISLAMIC BANK</v>
      </c>
      <c r="K6909" t="str">
        <f>"01060059735520"</f>
        <v>01060059735520</v>
      </c>
      <c r="L6909" t="str">
        <f t="shared" si="2821"/>
        <v>04-08-2020</v>
      </c>
      <c r="M6909" t="str">
        <f t="shared" si="2821"/>
        <v>04-08-2020</v>
      </c>
      <c r="N6909" t="str">
        <f t="shared" si="2804"/>
        <v>001105018356</v>
      </c>
      <c r="O6909" t="str">
        <f t="shared" si="2805"/>
        <v>MYR</v>
      </c>
      <c r="P6909" t="str">
        <f t="shared" si="2822"/>
        <v>NIL</v>
      </c>
      <c r="Q6909" t="str">
        <f t="shared" si="2822"/>
        <v>NIL</v>
      </c>
      <c r="R6909" t="str">
        <f t="shared" si="2817"/>
        <v>Accepted</v>
      </c>
      <c r="S6909" t="str">
        <f t="shared" si="2806"/>
        <v>Approved</v>
      </c>
      <c r="T6909" t="str">
        <f t="shared" si="2818"/>
        <v>10.20.8.188</v>
      </c>
      <c r="U6909" t="str">
        <f t="shared" si="2807"/>
        <v>AZRAD UMAR BIN SHAARI</v>
      </c>
      <c r="V6909" t="str">
        <f t="shared" si="2808"/>
        <v>FARHANA BINTI MUSTAPA</v>
      </c>
      <c r="W6909" t="str">
        <f t="shared" si="2809"/>
        <v>04-08-2020</v>
      </c>
      <c r="X6909" t="str">
        <f t="shared" si="2810"/>
        <v>RAZIMAH ANSAR AHMAD</v>
      </c>
      <c r="Y6909" t="str">
        <f t="shared" si="2811"/>
        <v>04-08-2020</v>
      </c>
      <c r="Z6909" t="str">
        <f>"COS10200804 2245"</f>
        <v>COS10200804 2245</v>
      </c>
    </row>
    <row r="6910" spans="1:26" x14ac:dyDescent="0.25">
      <c r="A6910" t="str">
        <f t="shared" si="2815"/>
        <v>04-08-2020 12:37:08</v>
      </c>
      <c r="B6910" t="str">
        <f>"0000804004"</f>
        <v>0000804004</v>
      </c>
      <c r="C6910" t="str">
        <f t="shared" si="2816"/>
        <v>0000803960</v>
      </c>
      <c r="D6910" t="str">
        <f t="shared" si="2801"/>
        <v>73185</v>
      </c>
      <c r="E6910" t="str">
        <f t="shared" si="2802"/>
        <v>KFH-OPERATIONS DEPARTMENT</v>
      </c>
      <c r="F6910" t="str">
        <f t="shared" si="2803"/>
        <v>IBG</v>
      </c>
      <c r="G6910" t="str">
        <f t="shared" si="2812"/>
        <v>Refund COSHARE 10</v>
      </c>
      <c r="H6910" s="2">
        <v>1578.9</v>
      </c>
      <c r="I6910" t="str">
        <f>"ALRAZI BIN KAMARUDIN"</f>
        <v>ALRAZI BIN KAMARUDIN</v>
      </c>
      <c r="J6910" t="str">
        <f t="shared" si="2823"/>
        <v>CIMB BANK / CIMB ISLAMIC BANK</v>
      </c>
      <c r="K6910" t="str">
        <f>"7002805561"</f>
        <v>7002805561</v>
      </c>
      <c r="L6910" t="str">
        <f t="shared" si="2821"/>
        <v>04-08-2020</v>
      </c>
      <c r="M6910" t="str">
        <f t="shared" si="2821"/>
        <v>04-08-2020</v>
      </c>
      <c r="N6910" t="str">
        <f t="shared" si="2804"/>
        <v>001105018356</v>
      </c>
      <c r="O6910" t="str">
        <f t="shared" si="2805"/>
        <v>MYR</v>
      </c>
      <c r="P6910" t="str">
        <f t="shared" si="2822"/>
        <v>NIL</v>
      </c>
      <c r="Q6910" t="str">
        <f t="shared" si="2822"/>
        <v>NIL</v>
      </c>
      <c r="R6910" t="str">
        <f t="shared" si="2817"/>
        <v>Accepted</v>
      </c>
      <c r="S6910" t="str">
        <f t="shared" si="2806"/>
        <v>Approved</v>
      </c>
      <c r="T6910" t="str">
        <f t="shared" si="2818"/>
        <v>10.20.8.188</v>
      </c>
      <c r="U6910" t="str">
        <f t="shared" si="2807"/>
        <v>AZRAD UMAR BIN SHAARI</v>
      </c>
      <c r="V6910" t="str">
        <f t="shared" si="2808"/>
        <v>FARHANA BINTI MUSTAPA</v>
      </c>
      <c r="W6910" t="str">
        <f t="shared" si="2809"/>
        <v>04-08-2020</v>
      </c>
      <c r="X6910" t="str">
        <f t="shared" si="2810"/>
        <v>RAZIMAH ANSAR AHMAD</v>
      </c>
      <c r="Y6910" t="str">
        <f t="shared" si="2811"/>
        <v>04-08-2020</v>
      </c>
      <c r="Z6910" t="str">
        <f>"COS10200804 2244"</f>
        <v>COS10200804 2244</v>
      </c>
    </row>
    <row r="6911" spans="1:26" x14ac:dyDescent="0.25">
      <c r="A6911" t="str">
        <f t="shared" si="2815"/>
        <v>04-08-2020 12:37:08</v>
      </c>
      <c r="B6911" t="str">
        <f>"0000804003"</f>
        <v>0000804003</v>
      </c>
      <c r="C6911" t="str">
        <f t="shared" si="2816"/>
        <v>0000803960</v>
      </c>
      <c r="D6911" t="str">
        <f t="shared" si="2801"/>
        <v>73185</v>
      </c>
      <c r="E6911" t="str">
        <f t="shared" si="2802"/>
        <v>KFH-OPERATIONS DEPARTMENT</v>
      </c>
      <c r="F6911" t="str">
        <f t="shared" si="2803"/>
        <v>IBG</v>
      </c>
      <c r="G6911" t="str">
        <f t="shared" si="2812"/>
        <v>Refund COSHARE 10</v>
      </c>
      <c r="H6911" s="2">
        <v>254.1</v>
      </c>
      <c r="I6911" t="str">
        <f>"ALOYSIUS EDWARD UJIN  ALOYSIUS UJIN"</f>
        <v>ALOYSIUS EDWARD UJIN  ALOYSIUS UJIN</v>
      </c>
      <c r="J6911" t="str">
        <f t="shared" si="2823"/>
        <v>CIMB BANK / CIMB ISLAMIC BANK</v>
      </c>
      <c r="K6911" t="str">
        <f>"10030067801523"</f>
        <v>10030067801523</v>
      </c>
      <c r="L6911" t="str">
        <f t="shared" si="2821"/>
        <v>04-08-2020</v>
      </c>
      <c r="M6911" t="str">
        <f t="shared" si="2821"/>
        <v>04-08-2020</v>
      </c>
      <c r="N6911" t="str">
        <f t="shared" si="2804"/>
        <v>001105018356</v>
      </c>
      <c r="O6911" t="str">
        <f t="shared" si="2805"/>
        <v>MYR</v>
      </c>
      <c r="P6911" t="str">
        <f t="shared" si="2822"/>
        <v>NIL</v>
      </c>
      <c r="Q6911" t="str">
        <f t="shared" si="2822"/>
        <v>NIL</v>
      </c>
      <c r="R6911" t="str">
        <f t="shared" si="2817"/>
        <v>Accepted</v>
      </c>
      <c r="S6911" t="str">
        <f t="shared" si="2806"/>
        <v>Approved</v>
      </c>
      <c r="T6911" t="str">
        <f t="shared" si="2818"/>
        <v>10.20.8.188</v>
      </c>
      <c r="U6911" t="str">
        <f t="shared" si="2807"/>
        <v>AZRAD UMAR BIN SHAARI</v>
      </c>
      <c r="V6911" t="str">
        <f t="shared" si="2808"/>
        <v>FARHANA BINTI MUSTAPA</v>
      </c>
      <c r="W6911" t="str">
        <f t="shared" si="2809"/>
        <v>04-08-2020</v>
      </c>
      <c r="X6911" t="str">
        <f t="shared" si="2810"/>
        <v>RAZIMAH ANSAR AHMAD</v>
      </c>
      <c r="Y6911" t="str">
        <f t="shared" si="2811"/>
        <v>04-08-2020</v>
      </c>
      <c r="Z6911" t="str">
        <f>"COS10200804 2243"</f>
        <v>COS10200804 2243</v>
      </c>
    </row>
    <row r="6912" spans="1:26" x14ac:dyDescent="0.25">
      <c r="A6912" t="str">
        <f t="shared" si="2815"/>
        <v>04-08-2020 12:37:08</v>
      </c>
      <c r="B6912" t="str">
        <f>"0000804002"</f>
        <v>0000804002</v>
      </c>
      <c r="C6912" t="str">
        <f t="shared" si="2816"/>
        <v>0000803960</v>
      </c>
      <c r="D6912" t="str">
        <f t="shared" si="2801"/>
        <v>73185</v>
      </c>
      <c r="E6912" t="str">
        <f t="shared" si="2802"/>
        <v>KFH-OPERATIONS DEPARTMENT</v>
      </c>
      <c r="F6912" t="str">
        <f t="shared" si="2803"/>
        <v>IBG</v>
      </c>
      <c r="G6912" t="str">
        <f t="shared" si="2812"/>
        <v>Refund COSHARE 10</v>
      </c>
      <c r="H6912" s="2">
        <v>982</v>
      </c>
      <c r="I6912" t="str">
        <f>"ALI BIN HARIFIN"</f>
        <v>ALI BIN HARIFIN</v>
      </c>
      <c r="J6912" t="str">
        <f t="shared" si="2823"/>
        <v>CIMB BANK / CIMB ISLAMIC BANK</v>
      </c>
      <c r="K6912" t="str">
        <f>"7607658366"</f>
        <v>7607658366</v>
      </c>
      <c r="L6912" t="str">
        <f t="shared" si="2821"/>
        <v>04-08-2020</v>
      </c>
      <c r="M6912" t="str">
        <f t="shared" si="2821"/>
        <v>04-08-2020</v>
      </c>
      <c r="N6912" t="str">
        <f t="shared" si="2804"/>
        <v>001105018356</v>
      </c>
      <c r="O6912" t="str">
        <f t="shared" si="2805"/>
        <v>MYR</v>
      </c>
      <c r="P6912" t="str">
        <f t="shared" si="2822"/>
        <v>NIL</v>
      </c>
      <c r="Q6912" t="str">
        <f t="shared" si="2822"/>
        <v>NIL</v>
      </c>
      <c r="R6912" t="str">
        <f t="shared" si="2817"/>
        <v>Accepted</v>
      </c>
      <c r="S6912" t="str">
        <f t="shared" si="2806"/>
        <v>Approved</v>
      </c>
      <c r="T6912" t="str">
        <f t="shared" si="2818"/>
        <v>10.20.8.188</v>
      </c>
      <c r="U6912" t="str">
        <f t="shared" si="2807"/>
        <v>AZRAD UMAR BIN SHAARI</v>
      </c>
      <c r="V6912" t="str">
        <f t="shared" si="2808"/>
        <v>FARHANA BINTI MUSTAPA</v>
      </c>
      <c r="W6912" t="str">
        <f t="shared" si="2809"/>
        <v>04-08-2020</v>
      </c>
      <c r="X6912" t="str">
        <f t="shared" si="2810"/>
        <v>RAZIMAH ANSAR AHMAD</v>
      </c>
      <c r="Y6912" t="str">
        <f t="shared" si="2811"/>
        <v>04-08-2020</v>
      </c>
      <c r="Z6912" t="str">
        <f>"COS10200804 2242"</f>
        <v>COS10200804 2242</v>
      </c>
    </row>
    <row r="6913" spans="1:26" x14ac:dyDescent="0.25">
      <c r="A6913" t="str">
        <f t="shared" si="2815"/>
        <v>04-08-2020 12:37:08</v>
      </c>
      <c r="B6913" t="str">
        <f>"0000804001"</f>
        <v>0000804001</v>
      </c>
      <c r="C6913" t="str">
        <f t="shared" si="2816"/>
        <v>0000803960</v>
      </c>
      <c r="D6913" t="str">
        <f t="shared" si="2801"/>
        <v>73185</v>
      </c>
      <c r="E6913" t="str">
        <f t="shared" si="2802"/>
        <v>KFH-OPERATIONS DEPARTMENT</v>
      </c>
      <c r="F6913" t="str">
        <f t="shared" si="2803"/>
        <v>IBG</v>
      </c>
      <c r="G6913" t="str">
        <f t="shared" si="2812"/>
        <v>Refund COSHARE 10</v>
      </c>
      <c r="H6913" s="2">
        <v>73.2</v>
      </c>
      <c r="I6913" t="str">
        <f>"ALFRED ANTHONY SIPPIN"</f>
        <v>ALFRED ANTHONY SIPPIN</v>
      </c>
      <c r="J6913" t="str">
        <f t="shared" si="2823"/>
        <v>CIMB BANK / CIMB ISLAMIC BANK</v>
      </c>
      <c r="K6913" t="str">
        <f>"10030045133528"</f>
        <v>10030045133528</v>
      </c>
      <c r="L6913" t="str">
        <f t="shared" si="2821"/>
        <v>04-08-2020</v>
      </c>
      <c r="M6913" t="str">
        <f t="shared" si="2821"/>
        <v>04-08-2020</v>
      </c>
      <c r="N6913" t="str">
        <f t="shared" si="2804"/>
        <v>001105018356</v>
      </c>
      <c r="O6913" t="str">
        <f t="shared" si="2805"/>
        <v>MYR</v>
      </c>
      <c r="P6913" t="str">
        <f t="shared" si="2822"/>
        <v>NIL</v>
      </c>
      <c r="Q6913" t="str">
        <f t="shared" si="2822"/>
        <v>NIL</v>
      </c>
      <c r="R6913" t="str">
        <f t="shared" si="2817"/>
        <v>Accepted</v>
      </c>
      <c r="S6913" t="str">
        <f t="shared" si="2806"/>
        <v>Approved</v>
      </c>
      <c r="T6913" t="str">
        <f t="shared" si="2818"/>
        <v>10.20.8.188</v>
      </c>
      <c r="U6913" t="str">
        <f t="shared" si="2807"/>
        <v>AZRAD UMAR BIN SHAARI</v>
      </c>
      <c r="V6913" t="str">
        <f t="shared" si="2808"/>
        <v>FARHANA BINTI MUSTAPA</v>
      </c>
      <c r="W6913" t="str">
        <f t="shared" si="2809"/>
        <v>04-08-2020</v>
      </c>
      <c r="X6913" t="str">
        <f t="shared" si="2810"/>
        <v>RAZIMAH ANSAR AHMAD</v>
      </c>
      <c r="Y6913" t="str">
        <f t="shared" si="2811"/>
        <v>04-08-2020</v>
      </c>
      <c r="Z6913" t="str">
        <f>"COS10200804 2241"</f>
        <v>COS10200804 2241</v>
      </c>
    </row>
    <row r="6914" spans="1:26" x14ac:dyDescent="0.25">
      <c r="A6914" t="str">
        <f t="shared" ref="A6914:A6945" si="2824">"04-08-2020 12:37:08"</f>
        <v>04-08-2020 12:37:08</v>
      </c>
      <c r="B6914" t="str">
        <f>"0000804000"</f>
        <v>0000804000</v>
      </c>
      <c r="C6914" t="str">
        <f t="shared" ref="C6914:C6945" si="2825">"0000803960"</f>
        <v>0000803960</v>
      </c>
      <c r="D6914" t="str">
        <f t="shared" si="2801"/>
        <v>73185</v>
      </c>
      <c r="E6914" t="str">
        <f t="shared" si="2802"/>
        <v>KFH-OPERATIONS DEPARTMENT</v>
      </c>
      <c r="F6914" t="str">
        <f t="shared" si="2803"/>
        <v>IBG</v>
      </c>
      <c r="G6914" t="str">
        <f t="shared" si="2812"/>
        <v>Refund COSHARE 10</v>
      </c>
      <c r="H6914" s="2">
        <v>750.3</v>
      </c>
      <c r="I6914" t="str">
        <f>"ALFIAN BIN DAWAMIH"</f>
        <v>ALFIAN BIN DAWAMIH</v>
      </c>
      <c r="J6914" t="str">
        <f t="shared" si="2823"/>
        <v>CIMB BANK / CIMB ISLAMIC BANK</v>
      </c>
      <c r="K6914" t="str">
        <f>"10040067462524"</f>
        <v>10040067462524</v>
      </c>
      <c r="L6914" t="str">
        <f t="shared" si="2821"/>
        <v>04-08-2020</v>
      </c>
      <c r="M6914" t="str">
        <f t="shared" si="2821"/>
        <v>04-08-2020</v>
      </c>
      <c r="N6914" t="str">
        <f t="shared" si="2804"/>
        <v>001105018356</v>
      </c>
      <c r="O6914" t="str">
        <f t="shared" si="2805"/>
        <v>MYR</v>
      </c>
      <c r="P6914" t="str">
        <f t="shared" si="2822"/>
        <v>NIL</v>
      </c>
      <c r="Q6914" t="str">
        <f t="shared" si="2822"/>
        <v>NIL</v>
      </c>
      <c r="R6914" t="str">
        <f t="shared" si="2817"/>
        <v>Accepted</v>
      </c>
      <c r="S6914" t="str">
        <f t="shared" si="2806"/>
        <v>Approved</v>
      </c>
      <c r="T6914" t="str">
        <f t="shared" si="2818"/>
        <v>10.20.8.188</v>
      </c>
      <c r="U6914" t="str">
        <f t="shared" si="2807"/>
        <v>AZRAD UMAR BIN SHAARI</v>
      </c>
      <c r="V6914" t="str">
        <f t="shared" si="2808"/>
        <v>FARHANA BINTI MUSTAPA</v>
      </c>
      <c r="W6914" t="str">
        <f t="shared" si="2809"/>
        <v>04-08-2020</v>
      </c>
      <c r="X6914" t="str">
        <f t="shared" si="2810"/>
        <v>RAZIMAH ANSAR AHMAD</v>
      </c>
      <c r="Y6914" t="str">
        <f t="shared" si="2811"/>
        <v>04-08-2020</v>
      </c>
      <c r="Z6914" t="str">
        <f>"COS10200804 2240"</f>
        <v>COS10200804 2240</v>
      </c>
    </row>
    <row r="6915" spans="1:26" x14ac:dyDescent="0.25">
      <c r="A6915" t="str">
        <f t="shared" si="2824"/>
        <v>04-08-2020 12:37:08</v>
      </c>
      <c r="B6915" t="str">
        <f>"0000803999"</f>
        <v>0000803999</v>
      </c>
      <c r="C6915" t="str">
        <f t="shared" si="2825"/>
        <v>0000803960</v>
      </c>
      <c r="D6915" t="str">
        <f t="shared" si="2801"/>
        <v>73185</v>
      </c>
      <c r="E6915" t="str">
        <f t="shared" si="2802"/>
        <v>KFH-OPERATIONS DEPARTMENT</v>
      </c>
      <c r="F6915" t="str">
        <f t="shared" si="2803"/>
        <v>IBG</v>
      </c>
      <c r="G6915" t="str">
        <f t="shared" si="2812"/>
        <v>Refund COSHARE 10</v>
      </c>
      <c r="H6915" s="2">
        <v>251.85</v>
      </c>
      <c r="I6915" t="str">
        <f>"ALEEIMRAN BIN MASHROL"</f>
        <v>ALEEIMRAN BIN MASHROL</v>
      </c>
      <c r="J6915" t="str">
        <f t="shared" si="2823"/>
        <v>CIMB BANK / CIMB ISLAMIC BANK</v>
      </c>
      <c r="K6915" t="str">
        <f>"7073666384"</f>
        <v>7073666384</v>
      </c>
      <c r="L6915" t="str">
        <f t="shared" si="2821"/>
        <v>04-08-2020</v>
      </c>
      <c r="M6915" t="str">
        <f t="shared" si="2821"/>
        <v>04-08-2020</v>
      </c>
      <c r="N6915" t="str">
        <f t="shared" si="2804"/>
        <v>001105018356</v>
      </c>
      <c r="O6915" t="str">
        <f t="shared" si="2805"/>
        <v>MYR</v>
      </c>
      <c r="P6915" t="str">
        <f t="shared" si="2822"/>
        <v>NIL</v>
      </c>
      <c r="Q6915" t="str">
        <f t="shared" si="2822"/>
        <v>NIL</v>
      </c>
      <c r="R6915" t="str">
        <f t="shared" si="2817"/>
        <v>Accepted</v>
      </c>
      <c r="S6915" t="str">
        <f t="shared" si="2806"/>
        <v>Approved</v>
      </c>
      <c r="T6915" t="str">
        <f t="shared" si="2818"/>
        <v>10.20.8.188</v>
      </c>
      <c r="U6915" t="str">
        <f t="shared" si="2807"/>
        <v>AZRAD UMAR BIN SHAARI</v>
      </c>
      <c r="V6915" t="str">
        <f t="shared" si="2808"/>
        <v>FARHANA BINTI MUSTAPA</v>
      </c>
      <c r="W6915" t="str">
        <f t="shared" si="2809"/>
        <v>04-08-2020</v>
      </c>
      <c r="X6915" t="str">
        <f t="shared" si="2810"/>
        <v>RAZIMAH ANSAR AHMAD</v>
      </c>
      <c r="Y6915" t="str">
        <f t="shared" si="2811"/>
        <v>04-08-2020</v>
      </c>
      <c r="Z6915" t="str">
        <f>"COS10200804 2239"</f>
        <v>COS10200804 2239</v>
      </c>
    </row>
    <row r="6916" spans="1:26" x14ac:dyDescent="0.25">
      <c r="A6916" t="str">
        <f t="shared" si="2824"/>
        <v>04-08-2020 12:37:08</v>
      </c>
      <c r="B6916" t="str">
        <f>"0000803998"</f>
        <v>0000803998</v>
      </c>
      <c r="C6916" t="str">
        <f t="shared" si="2825"/>
        <v>0000803960</v>
      </c>
      <c r="D6916" t="str">
        <f t="shared" si="2801"/>
        <v>73185</v>
      </c>
      <c r="E6916" t="str">
        <f t="shared" si="2802"/>
        <v>KFH-OPERATIONS DEPARTMENT</v>
      </c>
      <c r="F6916" t="str">
        <f t="shared" si="2803"/>
        <v>IBG</v>
      </c>
      <c r="G6916" t="str">
        <f t="shared" si="2812"/>
        <v>Refund COSHARE 10</v>
      </c>
      <c r="H6916" s="2">
        <v>216.15</v>
      </c>
      <c r="I6916" t="str">
        <f>"ALBINUS BIN JAIMES"</f>
        <v>ALBINUS BIN JAIMES</v>
      </c>
      <c r="J6916" t="str">
        <f t="shared" si="2823"/>
        <v>CIMB BANK / CIMB ISLAMIC BANK</v>
      </c>
      <c r="K6916" t="str">
        <f>"10050066593521"</f>
        <v>10050066593521</v>
      </c>
      <c r="L6916" t="str">
        <f t="shared" si="2821"/>
        <v>04-08-2020</v>
      </c>
      <c r="M6916" t="str">
        <f t="shared" si="2821"/>
        <v>04-08-2020</v>
      </c>
      <c r="N6916" t="str">
        <f t="shared" si="2804"/>
        <v>001105018356</v>
      </c>
      <c r="O6916" t="str">
        <f t="shared" si="2805"/>
        <v>MYR</v>
      </c>
      <c r="P6916" t="str">
        <f t="shared" si="2822"/>
        <v>NIL</v>
      </c>
      <c r="Q6916" t="str">
        <f t="shared" si="2822"/>
        <v>NIL</v>
      </c>
      <c r="R6916" t="str">
        <f t="shared" si="2817"/>
        <v>Accepted</v>
      </c>
      <c r="S6916" t="str">
        <f t="shared" si="2806"/>
        <v>Approved</v>
      </c>
      <c r="T6916" t="str">
        <f t="shared" si="2818"/>
        <v>10.20.8.188</v>
      </c>
      <c r="U6916" t="str">
        <f t="shared" si="2807"/>
        <v>AZRAD UMAR BIN SHAARI</v>
      </c>
      <c r="V6916" t="str">
        <f t="shared" si="2808"/>
        <v>FARHANA BINTI MUSTAPA</v>
      </c>
      <c r="W6916" t="str">
        <f t="shared" si="2809"/>
        <v>04-08-2020</v>
      </c>
      <c r="X6916" t="str">
        <f t="shared" si="2810"/>
        <v>RAZIMAH ANSAR AHMAD</v>
      </c>
      <c r="Y6916" t="str">
        <f t="shared" si="2811"/>
        <v>04-08-2020</v>
      </c>
      <c r="Z6916" t="str">
        <f>"COS10200804 2238"</f>
        <v>COS10200804 2238</v>
      </c>
    </row>
    <row r="6917" spans="1:26" x14ac:dyDescent="0.25">
      <c r="A6917" t="str">
        <f t="shared" si="2824"/>
        <v>04-08-2020 12:37:08</v>
      </c>
      <c r="B6917" t="str">
        <f>"0000803997"</f>
        <v>0000803997</v>
      </c>
      <c r="C6917" t="str">
        <f t="shared" si="2825"/>
        <v>0000803960</v>
      </c>
      <c r="D6917" t="str">
        <f t="shared" si="2801"/>
        <v>73185</v>
      </c>
      <c r="E6917" t="str">
        <f t="shared" si="2802"/>
        <v>KFH-OPERATIONS DEPARTMENT</v>
      </c>
      <c r="F6917" t="str">
        <f t="shared" si="2803"/>
        <v>IBG</v>
      </c>
      <c r="G6917" t="str">
        <f t="shared" si="2812"/>
        <v>Refund COSHARE 10</v>
      </c>
      <c r="H6917" s="2">
        <v>294.7</v>
      </c>
      <c r="I6917" t="str">
        <f>"ALBERT MAIDY PETER"</f>
        <v>ALBERT MAIDY PETER</v>
      </c>
      <c r="J6917" t="str">
        <f t="shared" si="2823"/>
        <v>CIMB BANK / CIMB ISLAMIC BANK</v>
      </c>
      <c r="K6917" t="str">
        <f>"10020040495520"</f>
        <v>10020040495520</v>
      </c>
      <c r="L6917" t="str">
        <f t="shared" si="2821"/>
        <v>04-08-2020</v>
      </c>
      <c r="M6917" t="str">
        <f t="shared" si="2821"/>
        <v>04-08-2020</v>
      </c>
      <c r="N6917" t="str">
        <f t="shared" si="2804"/>
        <v>001105018356</v>
      </c>
      <c r="O6917" t="str">
        <f t="shared" si="2805"/>
        <v>MYR</v>
      </c>
      <c r="P6917" t="str">
        <f t="shared" si="2822"/>
        <v>NIL</v>
      </c>
      <c r="Q6917" t="str">
        <f t="shared" si="2822"/>
        <v>NIL</v>
      </c>
      <c r="R6917" t="str">
        <f t="shared" si="2817"/>
        <v>Accepted</v>
      </c>
      <c r="S6917" t="str">
        <f t="shared" si="2806"/>
        <v>Approved</v>
      </c>
      <c r="T6917" t="str">
        <f t="shared" si="2818"/>
        <v>10.20.8.188</v>
      </c>
      <c r="U6917" t="str">
        <f t="shared" si="2807"/>
        <v>AZRAD UMAR BIN SHAARI</v>
      </c>
      <c r="V6917" t="str">
        <f t="shared" si="2808"/>
        <v>FARHANA BINTI MUSTAPA</v>
      </c>
      <c r="W6917" t="str">
        <f t="shared" si="2809"/>
        <v>04-08-2020</v>
      </c>
      <c r="X6917" t="str">
        <f t="shared" si="2810"/>
        <v>RAZIMAH ANSAR AHMAD</v>
      </c>
      <c r="Y6917" t="str">
        <f t="shared" si="2811"/>
        <v>04-08-2020</v>
      </c>
      <c r="Z6917" t="str">
        <f>"COS10200804 2237"</f>
        <v>COS10200804 2237</v>
      </c>
    </row>
    <row r="6918" spans="1:26" x14ac:dyDescent="0.25">
      <c r="A6918" t="str">
        <f t="shared" si="2824"/>
        <v>04-08-2020 12:37:08</v>
      </c>
      <c r="B6918" t="str">
        <f>"0000803996"</f>
        <v>0000803996</v>
      </c>
      <c r="C6918" t="str">
        <f t="shared" si="2825"/>
        <v>0000803960</v>
      </c>
      <c r="D6918" t="str">
        <f t="shared" si="2801"/>
        <v>73185</v>
      </c>
      <c r="E6918" t="str">
        <f t="shared" si="2802"/>
        <v>KFH-OPERATIONS DEPARTMENT</v>
      </c>
      <c r="F6918" t="str">
        <f t="shared" si="2803"/>
        <v>IBG</v>
      </c>
      <c r="G6918" t="str">
        <f t="shared" si="2812"/>
        <v>Refund COSHARE 10</v>
      </c>
      <c r="H6918" s="2">
        <v>713.6</v>
      </c>
      <c r="I6918" t="str">
        <f>"AL ZULKIFLI ANNAS BIN MOHD NASIR"</f>
        <v>AL ZULKIFLI ANNAS BIN MOHD NASIR</v>
      </c>
      <c r="J6918" t="str">
        <f t="shared" si="2823"/>
        <v>CIMB BANK / CIMB ISLAMIC BANK</v>
      </c>
      <c r="K6918" t="str">
        <f>"7003539771"</f>
        <v>7003539771</v>
      </c>
      <c r="L6918" t="str">
        <f t="shared" si="2821"/>
        <v>04-08-2020</v>
      </c>
      <c r="M6918" t="str">
        <f t="shared" si="2821"/>
        <v>04-08-2020</v>
      </c>
      <c r="N6918" t="str">
        <f t="shared" si="2804"/>
        <v>001105018356</v>
      </c>
      <c r="O6918" t="str">
        <f t="shared" si="2805"/>
        <v>MYR</v>
      </c>
      <c r="P6918" t="str">
        <f t="shared" si="2822"/>
        <v>NIL</v>
      </c>
      <c r="Q6918" t="str">
        <f t="shared" si="2822"/>
        <v>NIL</v>
      </c>
      <c r="R6918" t="str">
        <f t="shared" si="2817"/>
        <v>Accepted</v>
      </c>
      <c r="S6918" t="str">
        <f t="shared" si="2806"/>
        <v>Approved</v>
      </c>
      <c r="T6918" t="str">
        <f t="shared" si="2818"/>
        <v>10.20.8.188</v>
      </c>
      <c r="U6918" t="str">
        <f t="shared" si="2807"/>
        <v>AZRAD UMAR BIN SHAARI</v>
      </c>
      <c r="V6918" t="str">
        <f t="shared" si="2808"/>
        <v>FARHANA BINTI MUSTAPA</v>
      </c>
      <c r="W6918" t="str">
        <f t="shared" si="2809"/>
        <v>04-08-2020</v>
      </c>
      <c r="X6918" t="str">
        <f t="shared" si="2810"/>
        <v>RAZIMAH ANSAR AHMAD</v>
      </c>
      <c r="Y6918" t="str">
        <f t="shared" si="2811"/>
        <v>04-08-2020</v>
      </c>
      <c r="Z6918" t="str">
        <f>"COS10200804 2236"</f>
        <v>COS10200804 2236</v>
      </c>
    </row>
    <row r="6919" spans="1:26" x14ac:dyDescent="0.25">
      <c r="A6919" t="str">
        <f t="shared" si="2824"/>
        <v>04-08-2020 12:37:08</v>
      </c>
      <c r="B6919" t="str">
        <f>"0000803995"</f>
        <v>0000803995</v>
      </c>
      <c r="C6919" t="str">
        <f t="shared" si="2825"/>
        <v>0000803960</v>
      </c>
      <c r="D6919" t="str">
        <f t="shared" ref="D6919:D6982" si="2826">"73185"</f>
        <v>73185</v>
      </c>
      <c r="E6919" t="str">
        <f t="shared" ref="E6919:E6982" si="2827">"KFH-OPERATIONS DEPARTMENT"</f>
        <v>KFH-OPERATIONS DEPARTMENT</v>
      </c>
      <c r="F6919" t="str">
        <f t="shared" ref="F6919:F6982" si="2828">"IBG"</f>
        <v>IBG</v>
      </c>
      <c r="G6919" t="str">
        <f t="shared" si="2812"/>
        <v>Refund COSHARE 10</v>
      </c>
      <c r="H6919" s="2">
        <v>83.95</v>
      </c>
      <c r="I6919" t="str">
        <f>"AJISAH  AZIZAH BINTI MERIN"</f>
        <v>AJISAH  AZIZAH BINTI MERIN</v>
      </c>
      <c r="J6919" t="str">
        <f t="shared" si="2823"/>
        <v>CIMB BANK / CIMB ISLAMIC BANK</v>
      </c>
      <c r="K6919" t="str">
        <f>"10050030454528"</f>
        <v>10050030454528</v>
      </c>
      <c r="L6919" t="str">
        <f t="shared" si="2821"/>
        <v>04-08-2020</v>
      </c>
      <c r="M6919" t="str">
        <f t="shared" si="2821"/>
        <v>04-08-2020</v>
      </c>
      <c r="N6919" t="str">
        <f t="shared" ref="N6919:N6982" si="2829">"001105018356"</f>
        <v>001105018356</v>
      </c>
      <c r="O6919" t="str">
        <f t="shared" ref="O6919:O6982" si="2830">"MYR"</f>
        <v>MYR</v>
      </c>
      <c r="P6919" t="str">
        <f t="shared" si="2822"/>
        <v>NIL</v>
      </c>
      <c r="Q6919" t="str">
        <f t="shared" si="2822"/>
        <v>NIL</v>
      </c>
      <c r="R6919" t="str">
        <f t="shared" si="2817"/>
        <v>Accepted</v>
      </c>
      <c r="S6919" t="str">
        <f t="shared" ref="S6919:S6982" si="2831">"Approved"</f>
        <v>Approved</v>
      </c>
      <c r="T6919" t="str">
        <f t="shared" si="2818"/>
        <v>10.20.8.188</v>
      </c>
      <c r="U6919" t="str">
        <f t="shared" ref="U6919:U6982" si="2832">"AZRAD UMAR BIN SHAARI"</f>
        <v>AZRAD UMAR BIN SHAARI</v>
      </c>
      <c r="V6919" t="str">
        <f t="shared" ref="V6919:V6982" si="2833">"FARHANA BINTI MUSTAPA"</f>
        <v>FARHANA BINTI MUSTAPA</v>
      </c>
      <c r="W6919" t="str">
        <f t="shared" ref="W6919:W6982" si="2834">"04-08-2020"</f>
        <v>04-08-2020</v>
      </c>
      <c r="X6919" t="str">
        <f t="shared" ref="X6919:X6982" si="2835">"RAZIMAH ANSAR AHMAD"</f>
        <v>RAZIMAH ANSAR AHMAD</v>
      </c>
      <c r="Y6919" t="str">
        <f t="shared" ref="Y6919:Y6982" si="2836">"04-08-2020"</f>
        <v>04-08-2020</v>
      </c>
      <c r="Z6919" t="str">
        <f>"COS10200804 2235"</f>
        <v>COS10200804 2235</v>
      </c>
    </row>
    <row r="6920" spans="1:26" x14ac:dyDescent="0.25">
      <c r="A6920" t="str">
        <f t="shared" si="2824"/>
        <v>04-08-2020 12:37:08</v>
      </c>
      <c r="B6920" t="str">
        <f>"0000803994"</f>
        <v>0000803994</v>
      </c>
      <c r="C6920" t="str">
        <f t="shared" si="2825"/>
        <v>0000803960</v>
      </c>
      <c r="D6920" t="str">
        <f t="shared" si="2826"/>
        <v>73185</v>
      </c>
      <c r="E6920" t="str">
        <f t="shared" si="2827"/>
        <v>KFH-OPERATIONS DEPARTMENT</v>
      </c>
      <c r="F6920" t="str">
        <f t="shared" si="2828"/>
        <v>IBG</v>
      </c>
      <c r="G6920" t="str">
        <f t="shared" si="2812"/>
        <v>Refund COSHARE 10</v>
      </c>
      <c r="H6920" s="2">
        <v>184.7</v>
      </c>
      <c r="I6920" t="str">
        <f>"AINOOR FAZIELA BINTI KAMARUDIN"</f>
        <v>AINOOR FAZIELA BINTI KAMARUDIN</v>
      </c>
      <c r="J6920" t="str">
        <f t="shared" si="2823"/>
        <v>CIMB BANK / CIMB ISLAMIC BANK</v>
      </c>
      <c r="K6920" t="str">
        <f>"05080082380522"</f>
        <v>05080082380522</v>
      </c>
      <c r="L6920" t="str">
        <f t="shared" si="2821"/>
        <v>04-08-2020</v>
      </c>
      <c r="M6920" t="str">
        <f t="shared" si="2821"/>
        <v>04-08-2020</v>
      </c>
      <c r="N6920" t="str">
        <f t="shared" si="2829"/>
        <v>001105018356</v>
      </c>
      <c r="O6920" t="str">
        <f t="shared" si="2830"/>
        <v>MYR</v>
      </c>
      <c r="P6920" t="str">
        <f t="shared" si="2822"/>
        <v>NIL</v>
      </c>
      <c r="Q6920" t="str">
        <f t="shared" si="2822"/>
        <v>NIL</v>
      </c>
      <c r="R6920" t="str">
        <f t="shared" si="2817"/>
        <v>Accepted</v>
      </c>
      <c r="S6920" t="str">
        <f t="shared" si="2831"/>
        <v>Approved</v>
      </c>
      <c r="T6920" t="str">
        <f t="shared" si="2818"/>
        <v>10.20.8.188</v>
      </c>
      <c r="U6920" t="str">
        <f t="shared" si="2832"/>
        <v>AZRAD UMAR BIN SHAARI</v>
      </c>
      <c r="V6920" t="str">
        <f t="shared" si="2833"/>
        <v>FARHANA BINTI MUSTAPA</v>
      </c>
      <c r="W6920" t="str">
        <f t="shared" si="2834"/>
        <v>04-08-2020</v>
      </c>
      <c r="X6920" t="str">
        <f t="shared" si="2835"/>
        <v>RAZIMAH ANSAR AHMAD</v>
      </c>
      <c r="Y6920" t="str">
        <f t="shared" si="2836"/>
        <v>04-08-2020</v>
      </c>
      <c r="Z6920" t="str">
        <f>"COS10200804 2234"</f>
        <v>COS10200804 2234</v>
      </c>
    </row>
    <row r="6921" spans="1:26" x14ac:dyDescent="0.25">
      <c r="A6921" t="str">
        <f t="shared" si="2824"/>
        <v>04-08-2020 12:37:08</v>
      </c>
      <c r="B6921" t="str">
        <f>"0000803993"</f>
        <v>0000803993</v>
      </c>
      <c r="C6921" t="str">
        <f t="shared" si="2825"/>
        <v>0000803960</v>
      </c>
      <c r="D6921" t="str">
        <f t="shared" si="2826"/>
        <v>73185</v>
      </c>
      <c r="E6921" t="str">
        <f t="shared" si="2827"/>
        <v>KFH-OPERATIONS DEPARTMENT</v>
      </c>
      <c r="F6921" t="str">
        <f t="shared" si="2828"/>
        <v>IBG</v>
      </c>
      <c r="G6921" t="str">
        <f t="shared" si="2812"/>
        <v>Refund COSHARE 10</v>
      </c>
      <c r="H6921" s="2">
        <v>183</v>
      </c>
      <c r="I6921" t="str">
        <f>"AINIE BINTI MOJUNTING"</f>
        <v>AINIE BINTI MOJUNTING</v>
      </c>
      <c r="J6921" t="str">
        <f t="shared" si="2823"/>
        <v>CIMB BANK / CIMB ISLAMIC BANK</v>
      </c>
      <c r="K6921" t="str">
        <f>"10040073587526"</f>
        <v>10040073587526</v>
      </c>
      <c r="L6921" t="str">
        <f t="shared" si="2821"/>
        <v>04-08-2020</v>
      </c>
      <c r="M6921" t="str">
        <f t="shared" si="2821"/>
        <v>04-08-2020</v>
      </c>
      <c r="N6921" t="str">
        <f t="shared" si="2829"/>
        <v>001105018356</v>
      </c>
      <c r="O6921" t="str">
        <f t="shared" si="2830"/>
        <v>MYR</v>
      </c>
      <c r="P6921" t="str">
        <f t="shared" si="2822"/>
        <v>NIL</v>
      </c>
      <c r="Q6921" t="str">
        <f t="shared" si="2822"/>
        <v>NIL</v>
      </c>
      <c r="R6921" t="str">
        <f t="shared" si="2817"/>
        <v>Accepted</v>
      </c>
      <c r="S6921" t="str">
        <f t="shared" si="2831"/>
        <v>Approved</v>
      </c>
      <c r="T6921" t="str">
        <f t="shared" si="2818"/>
        <v>10.20.8.188</v>
      </c>
      <c r="U6921" t="str">
        <f t="shared" si="2832"/>
        <v>AZRAD UMAR BIN SHAARI</v>
      </c>
      <c r="V6921" t="str">
        <f t="shared" si="2833"/>
        <v>FARHANA BINTI MUSTAPA</v>
      </c>
      <c r="W6921" t="str">
        <f t="shared" si="2834"/>
        <v>04-08-2020</v>
      </c>
      <c r="X6921" t="str">
        <f t="shared" si="2835"/>
        <v>RAZIMAH ANSAR AHMAD</v>
      </c>
      <c r="Y6921" t="str">
        <f t="shared" si="2836"/>
        <v>04-08-2020</v>
      </c>
      <c r="Z6921" t="str">
        <f>"COS10200804 2233"</f>
        <v>COS10200804 2233</v>
      </c>
    </row>
    <row r="6922" spans="1:26" x14ac:dyDescent="0.25">
      <c r="A6922" t="str">
        <f t="shared" si="2824"/>
        <v>04-08-2020 12:37:08</v>
      </c>
      <c r="B6922" t="str">
        <f>"0000803992"</f>
        <v>0000803992</v>
      </c>
      <c r="C6922" t="str">
        <f t="shared" si="2825"/>
        <v>0000803960</v>
      </c>
      <c r="D6922" t="str">
        <f t="shared" si="2826"/>
        <v>73185</v>
      </c>
      <c r="E6922" t="str">
        <f t="shared" si="2827"/>
        <v>KFH-OPERATIONS DEPARTMENT</v>
      </c>
      <c r="F6922" t="str">
        <f t="shared" si="2828"/>
        <v>IBG</v>
      </c>
      <c r="G6922" t="str">
        <f t="shared" si="2812"/>
        <v>Refund COSHARE 10</v>
      </c>
      <c r="H6922" s="2">
        <v>268.64999999999998</v>
      </c>
      <c r="I6922" t="str">
        <f>"AINEY BINTI SAKIM"</f>
        <v>AINEY BINTI SAKIM</v>
      </c>
      <c r="J6922" t="str">
        <f t="shared" si="2823"/>
        <v>CIMB BANK / CIMB ISLAMIC BANK</v>
      </c>
      <c r="K6922" t="str">
        <f>"10030064410527"</f>
        <v>10030064410527</v>
      </c>
      <c r="L6922" t="str">
        <f t="shared" si="2821"/>
        <v>04-08-2020</v>
      </c>
      <c r="M6922" t="str">
        <f t="shared" si="2821"/>
        <v>04-08-2020</v>
      </c>
      <c r="N6922" t="str">
        <f t="shared" si="2829"/>
        <v>001105018356</v>
      </c>
      <c r="O6922" t="str">
        <f t="shared" si="2830"/>
        <v>MYR</v>
      </c>
      <c r="P6922" t="str">
        <f t="shared" si="2822"/>
        <v>NIL</v>
      </c>
      <c r="Q6922" t="str">
        <f t="shared" si="2822"/>
        <v>NIL</v>
      </c>
      <c r="R6922" t="str">
        <f t="shared" si="2817"/>
        <v>Accepted</v>
      </c>
      <c r="S6922" t="str">
        <f t="shared" si="2831"/>
        <v>Approved</v>
      </c>
      <c r="T6922" t="str">
        <f t="shared" si="2818"/>
        <v>10.20.8.188</v>
      </c>
      <c r="U6922" t="str">
        <f t="shared" si="2832"/>
        <v>AZRAD UMAR BIN SHAARI</v>
      </c>
      <c r="V6922" t="str">
        <f t="shared" si="2833"/>
        <v>FARHANA BINTI MUSTAPA</v>
      </c>
      <c r="W6922" t="str">
        <f t="shared" si="2834"/>
        <v>04-08-2020</v>
      </c>
      <c r="X6922" t="str">
        <f t="shared" si="2835"/>
        <v>RAZIMAH ANSAR AHMAD</v>
      </c>
      <c r="Y6922" t="str">
        <f t="shared" si="2836"/>
        <v>04-08-2020</v>
      </c>
      <c r="Z6922" t="str">
        <f>"COS10200804 2232"</f>
        <v>COS10200804 2232</v>
      </c>
    </row>
    <row r="6923" spans="1:26" x14ac:dyDescent="0.25">
      <c r="A6923" t="str">
        <f t="shared" si="2824"/>
        <v>04-08-2020 12:37:08</v>
      </c>
      <c r="B6923" t="str">
        <f>"0000803991"</f>
        <v>0000803991</v>
      </c>
      <c r="C6923" t="str">
        <f t="shared" si="2825"/>
        <v>0000803960</v>
      </c>
      <c r="D6923" t="str">
        <f t="shared" si="2826"/>
        <v>73185</v>
      </c>
      <c r="E6923" t="str">
        <f t="shared" si="2827"/>
        <v>KFH-OPERATIONS DEPARTMENT</v>
      </c>
      <c r="F6923" t="str">
        <f t="shared" si="2828"/>
        <v>IBG</v>
      </c>
      <c r="G6923" t="str">
        <f t="shared" si="2812"/>
        <v>Refund COSHARE 10</v>
      </c>
      <c r="H6923" s="2">
        <v>157.19999999999999</v>
      </c>
      <c r="I6923" t="str">
        <f>"AIMAH BINTI YAHYA"</f>
        <v>AIMAH BINTI YAHYA</v>
      </c>
      <c r="J6923" t="str">
        <f t="shared" si="2823"/>
        <v>CIMB BANK / CIMB ISLAMIC BANK</v>
      </c>
      <c r="K6923" t="str">
        <f>"10030067861526"</f>
        <v>10030067861526</v>
      </c>
      <c r="L6923" t="str">
        <f t="shared" si="2821"/>
        <v>04-08-2020</v>
      </c>
      <c r="M6923" t="str">
        <f t="shared" si="2821"/>
        <v>04-08-2020</v>
      </c>
      <c r="N6923" t="str">
        <f t="shared" si="2829"/>
        <v>001105018356</v>
      </c>
      <c r="O6923" t="str">
        <f t="shared" si="2830"/>
        <v>MYR</v>
      </c>
      <c r="P6923" t="str">
        <f t="shared" si="2822"/>
        <v>NIL</v>
      </c>
      <c r="Q6923" t="str">
        <f t="shared" si="2822"/>
        <v>NIL</v>
      </c>
      <c r="R6923" t="str">
        <f t="shared" si="2817"/>
        <v>Accepted</v>
      </c>
      <c r="S6923" t="str">
        <f t="shared" si="2831"/>
        <v>Approved</v>
      </c>
      <c r="T6923" t="str">
        <f t="shared" si="2818"/>
        <v>10.20.8.188</v>
      </c>
      <c r="U6923" t="str">
        <f t="shared" si="2832"/>
        <v>AZRAD UMAR BIN SHAARI</v>
      </c>
      <c r="V6923" t="str">
        <f t="shared" si="2833"/>
        <v>FARHANA BINTI MUSTAPA</v>
      </c>
      <c r="W6923" t="str">
        <f t="shared" si="2834"/>
        <v>04-08-2020</v>
      </c>
      <c r="X6923" t="str">
        <f t="shared" si="2835"/>
        <v>RAZIMAH ANSAR AHMAD</v>
      </c>
      <c r="Y6923" t="str">
        <f t="shared" si="2836"/>
        <v>04-08-2020</v>
      </c>
      <c r="Z6923" t="str">
        <f>"COS10200804 2231"</f>
        <v>COS10200804 2231</v>
      </c>
    </row>
    <row r="6924" spans="1:26" x14ac:dyDescent="0.25">
      <c r="A6924" t="str">
        <f t="shared" si="2824"/>
        <v>04-08-2020 12:37:08</v>
      </c>
      <c r="B6924" t="str">
        <f>"0000803990"</f>
        <v>0000803990</v>
      </c>
      <c r="C6924" t="str">
        <f t="shared" si="2825"/>
        <v>0000803960</v>
      </c>
      <c r="D6924" t="str">
        <f t="shared" si="2826"/>
        <v>73185</v>
      </c>
      <c r="E6924" t="str">
        <f t="shared" si="2827"/>
        <v>KFH-OPERATIONS DEPARTMENT</v>
      </c>
      <c r="F6924" t="str">
        <f t="shared" si="2828"/>
        <v>IBG</v>
      </c>
      <c r="G6924" t="str">
        <f t="shared" ref="G6924:G6987" si="2837">"Refund COSHARE 10"</f>
        <v>Refund COSHARE 10</v>
      </c>
      <c r="H6924" s="2">
        <v>335.8</v>
      </c>
      <c r="I6924" t="str">
        <f>"AIFAA BINTI ARIFF"</f>
        <v>AIFAA BINTI ARIFF</v>
      </c>
      <c r="J6924" t="str">
        <f t="shared" si="2823"/>
        <v>CIMB BANK / CIMB ISLAMIC BANK</v>
      </c>
      <c r="K6924" t="str">
        <f>"03050035037529"</f>
        <v>03050035037529</v>
      </c>
      <c r="L6924" t="str">
        <f t="shared" si="2821"/>
        <v>04-08-2020</v>
      </c>
      <c r="M6924" t="str">
        <f t="shared" si="2821"/>
        <v>04-08-2020</v>
      </c>
      <c r="N6924" t="str">
        <f t="shared" si="2829"/>
        <v>001105018356</v>
      </c>
      <c r="O6924" t="str">
        <f t="shared" si="2830"/>
        <v>MYR</v>
      </c>
      <c r="P6924" t="str">
        <f t="shared" si="2822"/>
        <v>NIL</v>
      </c>
      <c r="Q6924" t="str">
        <f t="shared" si="2822"/>
        <v>NIL</v>
      </c>
      <c r="R6924" t="str">
        <f t="shared" si="2817"/>
        <v>Accepted</v>
      </c>
      <c r="S6924" t="str">
        <f t="shared" si="2831"/>
        <v>Approved</v>
      </c>
      <c r="T6924" t="str">
        <f t="shared" si="2818"/>
        <v>10.20.8.188</v>
      </c>
      <c r="U6924" t="str">
        <f t="shared" si="2832"/>
        <v>AZRAD UMAR BIN SHAARI</v>
      </c>
      <c r="V6924" t="str">
        <f t="shared" si="2833"/>
        <v>FARHANA BINTI MUSTAPA</v>
      </c>
      <c r="W6924" t="str">
        <f t="shared" si="2834"/>
        <v>04-08-2020</v>
      </c>
      <c r="X6924" t="str">
        <f t="shared" si="2835"/>
        <v>RAZIMAH ANSAR AHMAD</v>
      </c>
      <c r="Y6924" t="str">
        <f t="shared" si="2836"/>
        <v>04-08-2020</v>
      </c>
      <c r="Z6924" t="str">
        <f>"COS10200804 2230"</f>
        <v>COS10200804 2230</v>
      </c>
    </row>
    <row r="6925" spans="1:26" x14ac:dyDescent="0.25">
      <c r="A6925" t="str">
        <f t="shared" si="2824"/>
        <v>04-08-2020 12:37:08</v>
      </c>
      <c r="B6925" t="str">
        <f>"0000803989"</f>
        <v>0000803989</v>
      </c>
      <c r="C6925" t="str">
        <f t="shared" si="2825"/>
        <v>0000803960</v>
      </c>
      <c r="D6925" t="str">
        <f t="shared" si="2826"/>
        <v>73185</v>
      </c>
      <c r="E6925" t="str">
        <f t="shared" si="2827"/>
        <v>KFH-OPERATIONS DEPARTMENT</v>
      </c>
      <c r="F6925" t="str">
        <f t="shared" si="2828"/>
        <v>IBG</v>
      </c>
      <c r="G6925" t="str">
        <f t="shared" si="2837"/>
        <v>Refund COSHARE 10</v>
      </c>
      <c r="H6925" s="2">
        <v>723</v>
      </c>
      <c r="I6925" t="str">
        <f>"AIDA NOR IZAM BINTI BUJANG"</f>
        <v>AIDA NOR IZAM BINTI BUJANG</v>
      </c>
      <c r="J6925" t="str">
        <f t="shared" si="2823"/>
        <v>CIMB BANK / CIMB ISLAMIC BANK</v>
      </c>
      <c r="K6925" t="str">
        <f>"11030009950527"</f>
        <v>11030009950527</v>
      </c>
      <c r="L6925" t="str">
        <f t="shared" si="2821"/>
        <v>04-08-2020</v>
      </c>
      <c r="M6925" t="str">
        <f t="shared" si="2821"/>
        <v>04-08-2020</v>
      </c>
      <c r="N6925" t="str">
        <f t="shared" si="2829"/>
        <v>001105018356</v>
      </c>
      <c r="O6925" t="str">
        <f t="shared" si="2830"/>
        <v>MYR</v>
      </c>
      <c r="P6925" t="str">
        <f t="shared" si="2822"/>
        <v>NIL</v>
      </c>
      <c r="Q6925" t="str">
        <f t="shared" si="2822"/>
        <v>NIL</v>
      </c>
      <c r="R6925" t="str">
        <f t="shared" si="2817"/>
        <v>Accepted</v>
      </c>
      <c r="S6925" t="str">
        <f t="shared" si="2831"/>
        <v>Approved</v>
      </c>
      <c r="T6925" t="str">
        <f t="shared" si="2818"/>
        <v>10.20.8.188</v>
      </c>
      <c r="U6925" t="str">
        <f t="shared" si="2832"/>
        <v>AZRAD UMAR BIN SHAARI</v>
      </c>
      <c r="V6925" t="str">
        <f t="shared" si="2833"/>
        <v>FARHANA BINTI MUSTAPA</v>
      </c>
      <c r="W6925" t="str">
        <f t="shared" si="2834"/>
        <v>04-08-2020</v>
      </c>
      <c r="X6925" t="str">
        <f t="shared" si="2835"/>
        <v>RAZIMAH ANSAR AHMAD</v>
      </c>
      <c r="Y6925" t="str">
        <f t="shared" si="2836"/>
        <v>04-08-2020</v>
      </c>
      <c r="Z6925" t="str">
        <f>"COS10200804 2229"</f>
        <v>COS10200804 2229</v>
      </c>
    </row>
    <row r="6926" spans="1:26" x14ac:dyDescent="0.25">
      <c r="A6926" t="str">
        <f t="shared" si="2824"/>
        <v>04-08-2020 12:37:08</v>
      </c>
      <c r="B6926" t="str">
        <f>"0000803988"</f>
        <v>0000803988</v>
      </c>
      <c r="C6926" t="str">
        <f t="shared" si="2825"/>
        <v>0000803960</v>
      </c>
      <c r="D6926" t="str">
        <f t="shared" si="2826"/>
        <v>73185</v>
      </c>
      <c r="E6926" t="str">
        <f t="shared" si="2827"/>
        <v>KFH-OPERATIONS DEPARTMENT</v>
      </c>
      <c r="F6926" t="str">
        <f t="shared" si="2828"/>
        <v>IBG</v>
      </c>
      <c r="G6926" t="str">
        <f t="shared" si="2837"/>
        <v>Refund COSHARE 10</v>
      </c>
      <c r="H6926" s="2">
        <v>704.55</v>
      </c>
      <c r="I6926" t="str">
        <f>"AHMADI BIN SALLEH"</f>
        <v>AHMADI BIN SALLEH</v>
      </c>
      <c r="J6926" t="str">
        <f t="shared" si="2823"/>
        <v>CIMB BANK / CIMB ISLAMIC BANK</v>
      </c>
      <c r="K6926" t="str">
        <f>"7629545892"</f>
        <v>7629545892</v>
      </c>
      <c r="L6926" t="str">
        <f t="shared" si="2821"/>
        <v>04-08-2020</v>
      </c>
      <c r="M6926" t="str">
        <f t="shared" si="2821"/>
        <v>04-08-2020</v>
      </c>
      <c r="N6926" t="str">
        <f t="shared" si="2829"/>
        <v>001105018356</v>
      </c>
      <c r="O6926" t="str">
        <f t="shared" si="2830"/>
        <v>MYR</v>
      </c>
      <c r="P6926" t="str">
        <f t="shared" si="2822"/>
        <v>NIL</v>
      </c>
      <c r="Q6926" t="str">
        <f t="shared" si="2822"/>
        <v>NIL</v>
      </c>
      <c r="R6926" t="str">
        <f t="shared" si="2817"/>
        <v>Accepted</v>
      </c>
      <c r="S6926" t="str">
        <f t="shared" si="2831"/>
        <v>Approved</v>
      </c>
      <c r="T6926" t="str">
        <f t="shared" si="2818"/>
        <v>10.20.8.188</v>
      </c>
      <c r="U6926" t="str">
        <f t="shared" si="2832"/>
        <v>AZRAD UMAR BIN SHAARI</v>
      </c>
      <c r="V6926" t="str">
        <f t="shared" si="2833"/>
        <v>FARHANA BINTI MUSTAPA</v>
      </c>
      <c r="W6926" t="str">
        <f t="shared" si="2834"/>
        <v>04-08-2020</v>
      </c>
      <c r="X6926" t="str">
        <f t="shared" si="2835"/>
        <v>RAZIMAH ANSAR AHMAD</v>
      </c>
      <c r="Y6926" t="str">
        <f t="shared" si="2836"/>
        <v>04-08-2020</v>
      </c>
      <c r="Z6926" t="str">
        <f>"COS10200804 2228"</f>
        <v>COS10200804 2228</v>
      </c>
    </row>
    <row r="6927" spans="1:26" x14ac:dyDescent="0.25">
      <c r="A6927" t="str">
        <f t="shared" si="2824"/>
        <v>04-08-2020 12:37:08</v>
      </c>
      <c r="B6927" t="str">
        <f>"0000803987"</f>
        <v>0000803987</v>
      </c>
      <c r="C6927" t="str">
        <f t="shared" si="2825"/>
        <v>0000803960</v>
      </c>
      <c r="D6927" t="str">
        <f t="shared" si="2826"/>
        <v>73185</v>
      </c>
      <c r="E6927" t="str">
        <f t="shared" si="2827"/>
        <v>KFH-OPERATIONS DEPARTMENT</v>
      </c>
      <c r="F6927" t="str">
        <f t="shared" si="2828"/>
        <v>IBG</v>
      </c>
      <c r="G6927" t="str">
        <f t="shared" si="2837"/>
        <v>Refund COSHARE 10</v>
      </c>
      <c r="H6927" s="2">
        <v>122.8</v>
      </c>
      <c r="I6927" t="str">
        <f>"AHMADI BIN ABDULLAH"</f>
        <v>AHMADI BIN ABDULLAH</v>
      </c>
      <c r="J6927" t="str">
        <f t="shared" si="2823"/>
        <v>CIMB BANK / CIMB ISLAMIC BANK</v>
      </c>
      <c r="K6927" t="str">
        <f>"14200008017055"</f>
        <v>14200008017055</v>
      </c>
      <c r="L6927" t="str">
        <f t="shared" ref="L6927:M6946" si="2838">"04-08-2020"</f>
        <v>04-08-2020</v>
      </c>
      <c r="M6927" t="str">
        <f t="shared" si="2838"/>
        <v>04-08-2020</v>
      </c>
      <c r="N6927" t="str">
        <f t="shared" si="2829"/>
        <v>001105018356</v>
      </c>
      <c r="O6927" t="str">
        <f t="shared" si="2830"/>
        <v>MYR</v>
      </c>
      <c r="P6927" t="str">
        <f t="shared" ref="P6927:Q6946" si="2839">"NIL"</f>
        <v>NIL</v>
      </c>
      <c r="Q6927" t="str">
        <f t="shared" si="2839"/>
        <v>NIL</v>
      </c>
      <c r="R6927" t="str">
        <f t="shared" si="2817"/>
        <v>Accepted</v>
      </c>
      <c r="S6927" t="str">
        <f t="shared" si="2831"/>
        <v>Approved</v>
      </c>
      <c r="T6927" t="str">
        <f t="shared" si="2818"/>
        <v>10.20.8.188</v>
      </c>
      <c r="U6927" t="str">
        <f t="shared" si="2832"/>
        <v>AZRAD UMAR BIN SHAARI</v>
      </c>
      <c r="V6927" t="str">
        <f t="shared" si="2833"/>
        <v>FARHANA BINTI MUSTAPA</v>
      </c>
      <c r="W6927" t="str">
        <f t="shared" si="2834"/>
        <v>04-08-2020</v>
      </c>
      <c r="X6927" t="str">
        <f t="shared" si="2835"/>
        <v>RAZIMAH ANSAR AHMAD</v>
      </c>
      <c r="Y6927" t="str">
        <f t="shared" si="2836"/>
        <v>04-08-2020</v>
      </c>
      <c r="Z6927" t="str">
        <f>"COS10200804 2227"</f>
        <v>COS10200804 2227</v>
      </c>
    </row>
    <row r="6928" spans="1:26" x14ac:dyDescent="0.25">
      <c r="A6928" t="str">
        <f t="shared" si="2824"/>
        <v>04-08-2020 12:37:08</v>
      </c>
      <c r="B6928" t="str">
        <f>"0000803986"</f>
        <v>0000803986</v>
      </c>
      <c r="C6928" t="str">
        <f t="shared" si="2825"/>
        <v>0000803960</v>
      </c>
      <c r="D6928" t="str">
        <f t="shared" si="2826"/>
        <v>73185</v>
      </c>
      <c r="E6928" t="str">
        <f t="shared" si="2827"/>
        <v>KFH-OPERATIONS DEPARTMENT</v>
      </c>
      <c r="F6928" t="str">
        <f t="shared" si="2828"/>
        <v>IBG</v>
      </c>
      <c r="G6928" t="str">
        <f t="shared" si="2837"/>
        <v>Refund COSHARE 10</v>
      </c>
      <c r="H6928" s="2">
        <v>122.8</v>
      </c>
      <c r="I6928" t="str">
        <f>"AHMADI BIN ABDULLAH"</f>
        <v>AHMADI BIN ABDULLAH</v>
      </c>
      <c r="J6928" t="str">
        <f t="shared" si="2823"/>
        <v>CIMB BANK / CIMB ISLAMIC BANK</v>
      </c>
      <c r="K6928" t="str">
        <f>"14200008017055"</f>
        <v>14200008017055</v>
      </c>
      <c r="L6928" t="str">
        <f t="shared" si="2838"/>
        <v>04-08-2020</v>
      </c>
      <c r="M6928" t="str">
        <f t="shared" si="2838"/>
        <v>04-08-2020</v>
      </c>
      <c r="N6928" t="str">
        <f t="shared" si="2829"/>
        <v>001105018356</v>
      </c>
      <c r="O6928" t="str">
        <f t="shared" si="2830"/>
        <v>MYR</v>
      </c>
      <c r="P6928" t="str">
        <f t="shared" si="2839"/>
        <v>NIL</v>
      </c>
      <c r="Q6928" t="str">
        <f t="shared" si="2839"/>
        <v>NIL</v>
      </c>
      <c r="R6928" t="str">
        <f t="shared" si="2817"/>
        <v>Accepted</v>
      </c>
      <c r="S6928" t="str">
        <f t="shared" si="2831"/>
        <v>Approved</v>
      </c>
      <c r="T6928" t="str">
        <f t="shared" si="2818"/>
        <v>10.20.8.188</v>
      </c>
      <c r="U6928" t="str">
        <f t="shared" si="2832"/>
        <v>AZRAD UMAR BIN SHAARI</v>
      </c>
      <c r="V6928" t="str">
        <f t="shared" si="2833"/>
        <v>FARHANA BINTI MUSTAPA</v>
      </c>
      <c r="W6928" t="str">
        <f t="shared" si="2834"/>
        <v>04-08-2020</v>
      </c>
      <c r="X6928" t="str">
        <f t="shared" si="2835"/>
        <v>RAZIMAH ANSAR AHMAD</v>
      </c>
      <c r="Y6928" t="str">
        <f t="shared" si="2836"/>
        <v>04-08-2020</v>
      </c>
      <c r="Z6928" t="str">
        <f>"COS10200804 2226"</f>
        <v>COS10200804 2226</v>
      </c>
    </row>
    <row r="6929" spans="1:26" x14ac:dyDescent="0.25">
      <c r="A6929" t="str">
        <f t="shared" si="2824"/>
        <v>04-08-2020 12:37:08</v>
      </c>
      <c r="B6929" t="str">
        <f>"0000803985"</f>
        <v>0000803985</v>
      </c>
      <c r="C6929" t="str">
        <f t="shared" si="2825"/>
        <v>0000803960</v>
      </c>
      <c r="D6929" t="str">
        <f t="shared" si="2826"/>
        <v>73185</v>
      </c>
      <c r="E6929" t="str">
        <f t="shared" si="2827"/>
        <v>KFH-OPERATIONS DEPARTMENT</v>
      </c>
      <c r="F6929" t="str">
        <f t="shared" si="2828"/>
        <v>IBG</v>
      </c>
      <c r="G6929" t="str">
        <f t="shared" si="2837"/>
        <v>Refund COSHARE 10</v>
      </c>
      <c r="H6929" s="2">
        <v>83.95</v>
      </c>
      <c r="I6929" t="str">
        <f>"AHMAD ZAKI BIN MASRI"</f>
        <v>AHMAD ZAKI BIN MASRI</v>
      </c>
      <c r="J6929" t="str">
        <f t="shared" si="2823"/>
        <v>CIMB BANK / CIMB ISLAMIC BANK</v>
      </c>
      <c r="K6929" t="str">
        <f>"14440067260525"</f>
        <v>14440067260525</v>
      </c>
      <c r="L6929" t="str">
        <f t="shared" si="2838"/>
        <v>04-08-2020</v>
      </c>
      <c r="M6929" t="str">
        <f t="shared" si="2838"/>
        <v>04-08-2020</v>
      </c>
      <c r="N6929" t="str">
        <f t="shared" si="2829"/>
        <v>001105018356</v>
      </c>
      <c r="O6929" t="str">
        <f t="shared" si="2830"/>
        <v>MYR</v>
      </c>
      <c r="P6929" t="str">
        <f t="shared" si="2839"/>
        <v>NIL</v>
      </c>
      <c r="Q6929" t="str">
        <f t="shared" si="2839"/>
        <v>NIL</v>
      </c>
      <c r="R6929" t="str">
        <f t="shared" si="2817"/>
        <v>Accepted</v>
      </c>
      <c r="S6929" t="str">
        <f t="shared" si="2831"/>
        <v>Approved</v>
      </c>
      <c r="T6929" t="str">
        <f t="shared" si="2818"/>
        <v>10.20.8.188</v>
      </c>
      <c r="U6929" t="str">
        <f t="shared" si="2832"/>
        <v>AZRAD UMAR BIN SHAARI</v>
      </c>
      <c r="V6929" t="str">
        <f t="shared" si="2833"/>
        <v>FARHANA BINTI MUSTAPA</v>
      </c>
      <c r="W6929" t="str">
        <f t="shared" si="2834"/>
        <v>04-08-2020</v>
      </c>
      <c r="X6929" t="str">
        <f t="shared" si="2835"/>
        <v>RAZIMAH ANSAR AHMAD</v>
      </c>
      <c r="Y6929" t="str">
        <f t="shared" si="2836"/>
        <v>04-08-2020</v>
      </c>
      <c r="Z6929" t="str">
        <f>"COS10200804 2225"</f>
        <v>COS10200804 2225</v>
      </c>
    </row>
    <row r="6930" spans="1:26" x14ac:dyDescent="0.25">
      <c r="A6930" t="str">
        <f t="shared" si="2824"/>
        <v>04-08-2020 12:37:08</v>
      </c>
      <c r="B6930" t="str">
        <f>"0000803984"</f>
        <v>0000803984</v>
      </c>
      <c r="C6930" t="str">
        <f t="shared" si="2825"/>
        <v>0000803960</v>
      </c>
      <c r="D6930" t="str">
        <f t="shared" si="2826"/>
        <v>73185</v>
      </c>
      <c r="E6930" t="str">
        <f t="shared" si="2827"/>
        <v>KFH-OPERATIONS DEPARTMENT</v>
      </c>
      <c r="F6930" t="str">
        <f t="shared" si="2828"/>
        <v>IBG</v>
      </c>
      <c r="G6930" t="str">
        <f t="shared" si="2837"/>
        <v>Refund COSHARE 10</v>
      </c>
      <c r="H6930" s="2">
        <v>873.1</v>
      </c>
      <c r="I6930" t="str">
        <f>"AHMAD SUHAIDI BIN SUHAIMI"</f>
        <v>AHMAD SUHAIDI BIN SUHAIMI</v>
      </c>
      <c r="J6930" t="str">
        <f t="shared" si="2823"/>
        <v>CIMB BANK / CIMB ISLAMIC BANK</v>
      </c>
      <c r="K6930" t="str">
        <f>"7031004334"</f>
        <v>7031004334</v>
      </c>
      <c r="L6930" t="str">
        <f t="shared" si="2838"/>
        <v>04-08-2020</v>
      </c>
      <c r="M6930" t="str">
        <f t="shared" si="2838"/>
        <v>04-08-2020</v>
      </c>
      <c r="N6930" t="str">
        <f t="shared" si="2829"/>
        <v>001105018356</v>
      </c>
      <c r="O6930" t="str">
        <f t="shared" si="2830"/>
        <v>MYR</v>
      </c>
      <c r="P6930" t="str">
        <f t="shared" si="2839"/>
        <v>NIL</v>
      </c>
      <c r="Q6930" t="str">
        <f t="shared" si="2839"/>
        <v>NIL</v>
      </c>
      <c r="R6930" t="str">
        <f t="shared" si="2817"/>
        <v>Accepted</v>
      </c>
      <c r="S6930" t="str">
        <f t="shared" si="2831"/>
        <v>Approved</v>
      </c>
      <c r="T6930" t="str">
        <f t="shared" si="2818"/>
        <v>10.20.8.188</v>
      </c>
      <c r="U6930" t="str">
        <f t="shared" si="2832"/>
        <v>AZRAD UMAR BIN SHAARI</v>
      </c>
      <c r="V6930" t="str">
        <f t="shared" si="2833"/>
        <v>FARHANA BINTI MUSTAPA</v>
      </c>
      <c r="W6930" t="str">
        <f t="shared" si="2834"/>
        <v>04-08-2020</v>
      </c>
      <c r="X6930" t="str">
        <f t="shared" si="2835"/>
        <v>RAZIMAH ANSAR AHMAD</v>
      </c>
      <c r="Y6930" t="str">
        <f t="shared" si="2836"/>
        <v>04-08-2020</v>
      </c>
      <c r="Z6930" t="str">
        <f>"COS10200804 2224"</f>
        <v>COS10200804 2224</v>
      </c>
    </row>
    <row r="6931" spans="1:26" x14ac:dyDescent="0.25">
      <c r="A6931" t="str">
        <f t="shared" si="2824"/>
        <v>04-08-2020 12:37:08</v>
      </c>
      <c r="B6931" t="str">
        <f>"0000803983"</f>
        <v>0000803983</v>
      </c>
      <c r="C6931" t="str">
        <f t="shared" si="2825"/>
        <v>0000803960</v>
      </c>
      <c r="D6931" t="str">
        <f t="shared" si="2826"/>
        <v>73185</v>
      </c>
      <c r="E6931" t="str">
        <f t="shared" si="2827"/>
        <v>KFH-OPERATIONS DEPARTMENT</v>
      </c>
      <c r="F6931" t="str">
        <f t="shared" si="2828"/>
        <v>IBG</v>
      </c>
      <c r="G6931" t="str">
        <f t="shared" si="2837"/>
        <v>Refund COSHARE 10</v>
      </c>
      <c r="H6931" s="2">
        <v>340.75</v>
      </c>
      <c r="I6931" t="str">
        <f>"AHMAD SHUKRI BIN MOHD MOKHTAR"</f>
        <v>AHMAD SHUKRI BIN MOHD MOKHTAR</v>
      </c>
      <c r="J6931" t="str">
        <f t="shared" si="2823"/>
        <v>CIMB BANK / CIMB ISLAMIC BANK</v>
      </c>
      <c r="K6931" t="str">
        <f>"14340001645205"</f>
        <v>14340001645205</v>
      </c>
      <c r="L6931" t="str">
        <f t="shared" si="2838"/>
        <v>04-08-2020</v>
      </c>
      <c r="M6931" t="str">
        <f t="shared" si="2838"/>
        <v>04-08-2020</v>
      </c>
      <c r="N6931" t="str">
        <f t="shared" si="2829"/>
        <v>001105018356</v>
      </c>
      <c r="O6931" t="str">
        <f t="shared" si="2830"/>
        <v>MYR</v>
      </c>
      <c r="P6931" t="str">
        <f t="shared" si="2839"/>
        <v>NIL</v>
      </c>
      <c r="Q6931" t="str">
        <f t="shared" si="2839"/>
        <v>NIL</v>
      </c>
      <c r="R6931" t="str">
        <f t="shared" si="2817"/>
        <v>Accepted</v>
      </c>
      <c r="S6931" t="str">
        <f t="shared" si="2831"/>
        <v>Approved</v>
      </c>
      <c r="T6931" t="str">
        <f t="shared" si="2818"/>
        <v>10.20.8.188</v>
      </c>
      <c r="U6931" t="str">
        <f t="shared" si="2832"/>
        <v>AZRAD UMAR BIN SHAARI</v>
      </c>
      <c r="V6931" t="str">
        <f t="shared" si="2833"/>
        <v>FARHANA BINTI MUSTAPA</v>
      </c>
      <c r="W6931" t="str">
        <f t="shared" si="2834"/>
        <v>04-08-2020</v>
      </c>
      <c r="X6931" t="str">
        <f t="shared" si="2835"/>
        <v>RAZIMAH ANSAR AHMAD</v>
      </c>
      <c r="Y6931" t="str">
        <f t="shared" si="2836"/>
        <v>04-08-2020</v>
      </c>
      <c r="Z6931" t="str">
        <f>"COS10200804 2223"</f>
        <v>COS10200804 2223</v>
      </c>
    </row>
    <row r="6932" spans="1:26" x14ac:dyDescent="0.25">
      <c r="A6932" t="str">
        <f t="shared" si="2824"/>
        <v>04-08-2020 12:37:08</v>
      </c>
      <c r="B6932" t="str">
        <f>"0000803982"</f>
        <v>0000803982</v>
      </c>
      <c r="C6932" t="str">
        <f t="shared" si="2825"/>
        <v>0000803960</v>
      </c>
      <c r="D6932" t="str">
        <f t="shared" si="2826"/>
        <v>73185</v>
      </c>
      <c r="E6932" t="str">
        <f t="shared" si="2827"/>
        <v>KFH-OPERATIONS DEPARTMENT</v>
      </c>
      <c r="F6932" t="str">
        <f t="shared" si="2828"/>
        <v>IBG</v>
      </c>
      <c r="G6932" t="str">
        <f t="shared" si="2837"/>
        <v>Refund COSHARE 10</v>
      </c>
      <c r="H6932" s="2">
        <v>357.45</v>
      </c>
      <c r="I6932" t="str">
        <f>"AHMAD SHAMSUDDIN BIN AHMAD"</f>
        <v>AHMAD SHAMSUDDIN BIN AHMAD</v>
      </c>
      <c r="J6932" t="str">
        <f t="shared" si="2823"/>
        <v>CIMB BANK / CIMB ISLAMIC BANK</v>
      </c>
      <c r="K6932" t="str">
        <f>"12150016938529"</f>
        <v>12150016938529</v>
      </c>
      <c r="L6932" t="str">
        <f t="shared" si="2838"/>
        <v>04-08-2020</v>
      </c>
      <c r="M6932" t="str">
        <f t="shared" si="2838"/>
        <v>04-08-2020</v>
      </c>
      <c r="N6932" t="str">
        <f t="shared" si="2829"/>
        <v>001105018356</v>
      </c>
      <c r="O6932" t="str">
        <f t="shared" si="2830"/>
        <v>MYR</v>
      </c>
      <c r="P6932" t="str">
        <f t="shared" si="2839"/>
        <v>NIL</v>
      </c>
      <c r="Q6932" t="str">
        <f t="shared" si="2839"/>
        <v>NIL</v>
      </c>
      <c r="R6932" t="str">
        <f t="shared" si="2817"/>
        <v>Accepted</v>
      </c>
      <c r="S6932" t="str">
        <f t="shared" si="2831"/>
        <v>Approved</v>
      </c>
      <c r="T6932" t="str">
        <f t="shared" si="2818"/>
        <v>10.20.8.188</v>
      </c>
      <c r="U6932" t="str">
        <f t="shared" si="2832"/>
        <v>AZRAD UMAR BIN SHAARI</v>
      </c>
      <c r="V6932" t="str">
        <f t="shared" si="2833"/>
        <v>FARHANA BINTI MUSTAPA</v>
      </c>
      <c r="W6932" t="str">
        <f t="shared" si="2834"/>
        <v>04-08-2020</v>
      </c>
      <c r="X6932" t="str">
        <f t="shared" si="2835"/>
        <v>RAZIMAH ANSAR AHMAD</v>
      </c>
      <c r="Y6932" t="str">
        <f t="shared" si="2836"/>
        <v>04-08-2020</v>
      </c>
      <c r="Z6932" t="str">
        <f>"COS10200804 2222"</f>
        <v>COS10200804 2222</v>
      </c>
    </row>
    <row r="6933" spans="1:26" x14ac:dyDescent="0.25">
      <c r="A6933" t="str">
        <f t="shared" si="2824"/>
        <v>04-08-2020 12:37:08</v>
      </c>
      <c r="B6933" t="str">
        <f>"0000803981"</f>
        <v>0000803981</v>
      </c>
      <c r="C6933" t="str">
        <f t="shared" si="2825"/>
        <v>0000803960</v>
      </c>
      <c r="D6933" t="str">
        <f t="shared" si="2826"/>
        <v>73185</v>
      </c>
      <c r="E6933" t="str">
        <f t="shared" si="2827"/>
        <v>KFH-OPERATIONS DEPARTMENT</v>
      </c>
      <c r="F6933" t="str">
        <f t="shared" si="2828"/>
        <v>IBG</v>
      </c>
      <c r="G6933" t="str">
        <f t="shared" si="2837"/>
        <v>Refund COSHARE 10</v>
      </c>
      <c r="H6933" s="2">
        <v>1049.4000000000001</v>
      </c>
      <c r="I6933" t="str">
        <f>"AHMAD SHAHFURA BIN MAT YUSOH"</f>
        <v>AHMAD SHAHFURA BIN MAT YUSOH</v>
      </c>
      <c r="J6933" t="str">
        <f t="shared" si="2823"/>
        <v>CIMB BANK / CIMB ISLAMIC BANK</v>
      </c>
      <c r="K6933" t="str">
        <f>"7036079966"</f>
        <v>7036079966</v>
      </c>
      <c r="L6933" t="str">
        <f t="shared" si="2838"/>
        <v>04-08-2020</v>
      </c>
      <c r="M6933" t="str">
        <f t="shared" si="2838"/>
        <v>04-08-2020</v>
      </c>
      <c r="N6933" t="str">
        <f t="shared" si="2829"/>
        <v>001105018356</v>
      </c>
      <c r="O6933" t="str">
        <f t="shared" si="2830"/>
        <v>MYR</v>
      </c>
      <c r="P6933" t="str">
        <f t="shared" si="2839"/>
        <v>NIL</v>
      </c>
      <c r="Q6933" t="str">
        <f t="shared" si="2839"/>
        <v>NIL</v>
      </c>
      <c r="R6933" t="str">
        <f t="shared" si="2817"/>
        <v>Accepted</v>
      </c>
      <c r="S6933" t="str">
        <f t="shared" si="2831"/>
        <v>Approved</v>
      </c>
      <c r="T6933" t="str">
        <f t="shared" si="2818"/>
        <v>10.20.8.188</v>
      </c>
      <c r="U6933" t="str">
        <f t="shared" si="2832"/>
        <v>AZRAD UMAR BIN SHAARI</v>
      </c>
      <c r="V6933" t="str">
        <f t="shared" si="2833"/>
        <v>FARHANA BINTI MUSTAPA</v>
      </c>
      <c r="W6933" t="str">
        <f t="shared" si="2834"/>
        <v>04-08-2020</v>
      </c>
      <c r="X6933" t="str">
        <f t="shared" si="2835"/>
        <v>RAZIMAH ANSAR AHMAD</v>
      </c>
      <c r="Y6933" t="str">
        <f t="shared" si="2836"/>
        <v>04-08-2020</v>
      </c>
      <c r="Z6933" t="str">
        <f>"COS10200804 2221"</f>
        <v>COS10200804 2221</v>
      </c>
    </row>
    <row r="6934" spans="1:26" x14ac:dyDescent="0.25">
      <c r="A6934" t="str">
        <f t="shared" si="2824"/>
        <v>04-08-2020 12:37:08</v>
      </c>
      <c r="B6934" t="str">
        <f>"0000803980"</f>
        <v>0000803980</v>
      </c>
      <c r="C6934" t="str">
        <f t="shared" si="2825"/>
        <v>0000803960</v>
      </c>
      <c r="D6934" t="str">
        <f t="shared" si="2826"/>
        <v>73185</v>
      </c>
      <c r="E6934" t="str">
        <f t="shared" si="2827"/>
        <v>KFH-OPERATIONS DEPARTMENT</v>
      </c>
      <c r="F6934" t="str">
        <f t="shared" si="2828"/>
        <v>IBG</v>
      </c>
      <c r="G6934" t="str">
        <f t="shared" si="2837"/>
        <v>Refund COSHARE 10</v>
      </c>
      <c r="H6934" s="2">
        <v>1049.4000000000001</v>
      </c>
      <c r="I6934" t="str">
        <f>"AHMAD SHAHFURA BIN MAT YUSOH"</f>
        <v>AHMAD SHAHFURA BIN MAT YUSOH</v>
      </c>
      <c r="J6934" t="str">
        <f t="shared" si="2823"/>
        <v>CIMB BANK / CIMB ISLAMIC BANK</v>
      </c>
      <c r="K6934" t="str">
        <f>"7036079966"</f>
        <v>7036079966</v>
      </c>
      <c r="L6934" t="str">
        <f t="shared" si="2838"/>
        <v>04-08-2020</v>
      </c>
      <c r="M6934" t="str">
        <f t="shared" si="2838"/>
        <v>04-08-2020</v>
      </c>
      <c r="N6934" t="str">
        <f t="shared" si="2829"/>
        <v>001105018356</v>
      </c>
      <c r="O6934" t="str">
        <f t="shared" si="2830"/>
        <v>MYR</v>
      </c>
      <c r="P6934" t="str">
        <f t="shared" si="2839"/>
        <v>NIL</v>
      </c>
      <c r="Q6934" t="str">
        <f t="shared" si="2839"/>
        <v>NIL</v>
      </c>
      <c r="R6934" t="str">
        <f t="shared" si="2817"/>
        <v>Accepted</v>
      </c>
      <c r="S6934" t="str">
        <f t="shared" si="2831"/>
        <v>Approved</v>
      </c>
      <c r="T6934" t="str">
        <f t="shared" si="2818"/>
        <v>10.20.8.188</v>
      </c>
      <c r="U6934" t="str">
        <f t="shared" si="2832"/>
        <v>AZRAD UMAR BIN SHAARI</v>
      </c>
      <c r="V6934" t="str">
        <f t="shared" si="2833"/>
        <v>FARHANA BINTI MUSTAPA</v>
      </c>
      <c r="W6934" t="str">
        <f t="shared" si="2834"/>
        <v>04-08-2020</v>
      </c>
      <c r="X6934" t="str">
        <f t="shared" si="2835"/>
        <v>RAZIMAH ANSAR AHMAD</v>
      </c>
      <c r="Y6934" t="str">
        <f t="shared" si="2836"/>
        <v>04-08-2020</v>
      </c>
      <c r="Z6934" t="str">
        <f>"COS10200804 2220"</f>
        <v>COS10200804 2220</v>
      </c>
    </row>
    <row r="6935" spans="1:26" x14ac:dyDescent="0.25">
      <c r="A6935" t="str">
        <f t="shared" si="2824"/>
        <v>04-08-2020 12:37:08</v>
      </c>
      <c r="B6935" t="str">
        <f>"0000803979"</f>
        <v>0000803979</v>
      </c>
      <c r="C6935" t="str">
        <f t="shared" si="2825"/>
        <v>0000803960</v>
      </c>
      <c r="D6935" t="str">
        <f t="shared" si="2826"/>
        <v>73185</v>
      </c>
      <c r="E6935" t="str">
        <f t="shared" si="2827"/>
        <v>KFH-OPERATIONS DEPARTMENT</v>
      </c>
      <c r="F6935" t="str">
        <f t="shared" si="2828"/>
        <v>IBG</v>
      </c>
      <c r="G6935" t="str">
        <f t="shared" si="2837"/>
        <v>Refund COSHARE 10</v>
      </c>
      <c r="H6935" s="2">
        <v>167</v>
      </c>
      <c r="I6935" t="str">
        <f>"AHMAD SAHIR BIN HAJI LUKOI"</f>
        <v>AHMAD SAHIR BIN HAJI LUKOI</v>
      </c>
      <c r="J6935" t="str">
        <f t="shared" si="2823"/>
        <v>CIMB BANK / CIMB ISLAMIC BANK</v>
      </c>
      <c r="K6935" t="str">
        <f>"11130069028524"</f>
        <v>11130069028524</v>
      </c>
      <c r="L6935" t="str">
        <f t="shared" si="2838"/>
        <v>04-08-2020</v>
      </c>
      <c r="M6935" t="str">
        <f t="shared" si="2838"/>
        <v>04-08-2020</v>
      </c>
      <c r="N6935" t="str">
        <f t="shared" si="2829"/>
        <v>001105018356</v>
      </c>
      <c r="O6935" t="str">
        <f t="shared" si="2830"/>
        <v>MYR</v>
      </c>
      <c r="P6935" t="str">
        <f t="shared" si="2839"/>
        <v>NIL</v>
      </c>
      <c r="Q6935" t="str">
        <f t="shared" si="2839"/>
        <v>NIL</v>
      </c>
      <c r="R6935" t="str">
        <f t="shared" si="2817"/>
        <v>Accepted</v>
      </c>
      <c r="S6935" t="str">
        <f t="shared" si="2831"/>
        <v>Approved</v>
      </c>
      <c r="T6935" t="str">
        <f t="shared" si="2818"/>
        <v>10.20.8.188</v>
      </c>
      <c r="U6935" t="str">
        <f t="shared" si="2832"/>
        <v>AZRAD UMAR BIN SHAARI</v>
      </c>
      <c r="V6935" t="str">
        <f t="shared" si="2833"/>
        <v>FARHANA BINTI MUSTAPA</v>
      </c>
      <c r="W6935" t="str">
        <f t="shared" si="2834"/>
        <v>04-08-2020</v>
      </c>
      <c r="X6935" t="str">
        <f t="shared" si="2835"/>
        <v>RAZIMAH ANSAR AHMAD</v>
      </c>
      <c r="Y6935" t="str">
        <f t="shared" si="2836"/>
        <v>04-08-2020</v>
      </c>
      <c r="Z6935" t="str">
        <f>"COS10200804 2219"</f>
        <v>COS10200804 2219</v>
      </c>
    </row>
    <row r="6936" spans="1:26" x14ac:dyDescent="0.25">
      <c r="A6936" t="str">
        <f t="shared" si="2824"/>
        <v>04-08-2020 12:37:08</v>
      </c>
      <c r="B6936" t="str">
        <f>"0000803978"</f>
        <v>0000803978</v>
      </c>
      <c r="C6936" t="str">
        <f t="shared" si="2825"/>
        <v>0000803960</v>
      </c>
      <c r="D6936" t="str">
        <f t="shared" si="2826"/>
        <v>73185</v>
      </c>
      <c r="E6936" t="str">
        <f t="shared" si="2827"/>
        <v>KFH-OPERATIONS DEPARTMENT</v>
      </c>
      <c r="F6936" t="str">
        <f t="shared" si="2828"/>
        <v>IBG</v>
      </c>
      <c r="G6936" t="str">
        <f t="shared" si="2837"/>
        <v>Refund COSHARE 10</v>
      </c>
      <c r="H6936" s="2">
        <v>940.25</v>
      </c>
      <c r="I6936" t="str">
        <f>"AHMAD SABRI BIN BOLHI"</f>
        <v>AHMAD SABRI BIN BOLHI</v>
      </c>
      <c r="J6936" t="str">
        <f t="shared" si="2823"/>
        <v>CIMB BANK / CIMB ISLAMIC BANK</v>
      </c>
      <c r="K6936" t="str">
        <f>"7032228815"</f>
        <v>7032228815</v>
      </c>
      <c r="L6936" t="str">
        <f t="shared" si="2838"/>
        <v>04-08-2020</v>
      </c>
      <c r="M6936" t="str">
        <f t="shared" si="2838"/>
        <v>04-08-2020</v>
      </c>
      <c r="N6936" t="str">
        <f t="shared" si="2829"/>
        <v>001105018356</v>
      </c>
      <c r="O6936" t="str">
        <f t="shared" si="2830"/>
        <v>MYR</v>
      </c>
      <c r="P6936" t="str">
        <f t="shared" si="2839"/>
        <v>NIL</v>
      </c>
      <c r="Q6936" t="str">
        <f t="shared" si="2839"/>
        <v>NIL</v>
      </c>
      <c r="R6936" t="str">
        <f t="shared" si="2817"/>
        <v>Accepted</v>
      </c>
      <c r="S6936" t="str">
        <f t="shared" si="2831"/>
        <v>Approved</v>
      </c>
      <c r="T6936" t="str">
        <f t="shared" si="2818"/>
        <v>10.20.8.188</v>
      </c>
      <c r="U6936" t="str">
        <f t="shared" si="2832"/>
        <v>AZRAD UMAR BIN SHAARI</v>
      </c>
      <c r="V6936" t="str">
        <f t="shared" si="2833"/>
        <v>FARHANA BINTI MUSTAPA</v>
      </c>
      <c r="W6936" t="str">
        <f t="shared" si="2834"/>
        <v>04-08-2020</v>
      </c>
      <c r="X6936" t="str">
        <f t="shared" si="2835"/>
        <v>RAZIMAH ANSAR AHMAD</v>
      </c>
      <c r="Y6936" t="str">
        <f t="shared" si="2836"/>
        <v>04-08-2020</v>
      </c>
      <c r="Z6936" t="str">
        <f>"COS10200804 2218"</f>
        <v>COS10200804 2218</v>
      </c>
    </row>
    <row r="6937" spans="1:26" x14ac:dyDescent="0.25">
      <c r="A6937" t="str">
        <f t="shared" si="2824"/>
        <v>04-08-2020 12:37:08</v>
      </c>
      <c r="B6937" t="str">
        <f>"0000803977"</f>
        <v>0000803977</v>
      </c>
      <c r="C6937" t="str">
        <f t="shared" si="2825"/>
        <v>0000803960</v>
      </c>
      <c r="D6937" t="str">
        <f t="shared" si="2826"/>
        <v>73185</v>
      </c>
      <c r="E6937" t="str">
        <f t="shared" si="2827"/>
        <v>KFH-OPERATIONS DEPARTMENT</v>
      </c>
      <c r="F6937" t="str">
        <f t="shared" si="2828"/>
        <v>IBG</v>
      </c>
      <c r="G6937" t="str">
        <f t="shared" si="2837"/>
        <v>Refund COSHARE 10</v>
      </c>
      <c r="H6937" s="2">
        <v>127.05</v>
      </c>
      <c r="I6937" t="str">
        <f>"AHMAD ROSLAN BIN HUSSAIN"</f>
        <v>AHMAD ROSLAN BIN HUSSAIN</v>
      </c>
      <c r="J6937" t="str">
        <f t="shared" si="2823"/>
        <v>CIMB BANK / CIMB ISLAMIC BANK</v>
      </c>
      <c r="K6937" t="str">
        <f>"08240000385522"</f>
        <v>08240000385522</v>
      </c>
      <c r="L6937" t="str">
        <f t="shared" si="2838"/>
        <v>04-08-2020</v>
      </c>
      <c r="M6937" t="str">
        <f t="shared" si="2838"/>
        <v>04-08-2020</v>
      </c>
      <c r="N6937" t="str">
        <f t="shared" si="2829"/>
        <v>001105018356</v>
      </c>
      <c r="O6937" t="str">
        <f t="shared" si="2830"/>
        <v>MYR</v>
      </c>
      <c r="P6937" t="str">
        <f t="shared" si="2839"/>
        <v>NIL</v>
      </c>
      <c r="Q6937" t="str">
        <f t="shared" si="2839"/>
        <v>NIL</v>
      </c>
      <c r="R6937" t="str">
        <f t="shared" si="2817"/>
        <v>Accepted</v>
      </c>
      <c r="S6937" t="str">
        <f t="shared" si="2831"/>
        <v>Approved</v>
      </c>
      <c r="T6937" t="str">
        <f t="shared" si="2818"/>
        <v>10.20.8.188</v>
      </c>
      <c r="U6937" t="str">
        <f t="shared" si="2832"/>
        <v>AZRAD UMAR BIN SHAARI</v>
      </c>
      <c r="V6937" t="str">
        <f t="shared" si="2833"/>
        <v>FARHANA BINTI MUSTAPA</v>
      </c>
      <c r="W6937" t="str">
        <f t="shared" si="2834"/>
        <v>04-08-2020</v>
      </c>
      <c r="X6937" t="str">
        <f t="shared" si="2835"/>
        <v>RAZIMAH ANSAR AHMAD</v>
      </c>
      <c r="Y6937" t="str">
        <f t="shared" si="2836"/>
        <v>04-08-2020</v>
      </c>
      <c r="Z6937" t="str">
        <f>"COS10200804 2217"</f>
        <v>COS10200804 2217</v>
      </c>
    </row>
    <row r="6938" spans="1:26" x14ac:dyDescent="0.25">
      <c r="A6938" t="str">
        <f t="shared" si="2824"/>
        <v>04-08-2020 12:37:08</v>
      </c>
      <c r="B6938" t="str">
        <f>"0000803976"</f>
        <v>0000803976</v>
      </c>
      <c r="C6938" t="str">
        <f t="shared" si="2825"/>
        <v>0000803960</v>
      </c>
      <c r="D6938" t="str">
        <f t="shared" si="2826"/>
        <v>73185</v>
      </c>
      <c r="E6938" t="str">
        <f t="shared" si="2827"/>
        <v>KFH-OPERATIONS DEPARTMENT</v>
      </c>
      <c r="F6938" t="str">
        <f t="shared" si="2828"/>
        <v>IBG</v>
      </c>
      <c r="G6938" t="str">
        <f t="shared" si="2837"/>
        <v>Refund COSHARE 10</v>
      </c>
      <c r="H6938" s="2">
        <v>167.9</v>
      </c>
      <c r="I6938" t="str">
        <f>"AHMAD RASHIDI BIN ABU BAKAR"</f>
        <v>AHMAD RASHIDI BIN ABU BAKAR</v>
      </c>
      <c r="J6938" t="str">
        <f t="shared" si="2823"/>
        <v>CIMB BANK / CIMB ISLAMIC BANK</v>
      </c>
      <c r="K6938" t="str">
        <f>"7008041585"</f>
        <v>7008041585</v>
      </c>
      <c r="L6938" t="str">
        <f t="shared" si="2838"/>
        <v>04-08-2020</v>
      </c>
      <c r="M6938" t="str">
        <f t="shared" si="2838"/>
        <v>04-08-2020</v>
      </c>
      <c r="N6938" t="str">
        <f t="shared" si="2829"/>
        <v>001105018356</v>
      </c>
      <c r="O6938" t="str">
        <f t="shared" si="2830"/>
        <v>MYR</v>
      </c>
      <c r="P6938" t="str">
        <f t="shared" si="2839"/>
        <v>NIL</v>
      </c>
      <c r="Q6938" t="str">
        <f t="shared" si="2839"/>
        <v>NIL</v>
      </c>
      <c r="R6938" t="str">
        <f t="shared" si="2817"/>
        <v>Accepted</v>
      </c>
      <c r="S6938" t="str">
        <f t="shared" si="2831"/>
        <v>Approved</v>
      </c>
      <c r="T6938" t="str">
        <f t="shared" si="2818"/>
        <v>10.20.8.188</v>
      </c>
      <c r="U6938" t="str">
        <f t="shared" si="2832"/>
        <v>AZRAD UMAR BIN SHAARI</v>
      </c>
      <c r="V6938" t="str">
        <f t="shared" si="2833"/>
        <v>FARHANA BINTI MUSTAPA</v>
      </c>
      <c r="W6938" t="str">
        <f t="shared" si="2834"/>
        <v>04-08-2020</v>
      </c>
      <c r="X6938" t="str">
        <f t="shared" si="2835"/>
        <v>RAZIMAH ANSAR AHMAD</v>
      </c>
      <c r="Y6938" t="str">
        <f t="shared" si="2836"/>
        <v>04-08-2020</v>
      </c>
      <c r="Z6938" t="str">
        <f>"COS10200804 2216"</f>
        <v>COS10200804 2216</v>
      </c>
    </row>
    <row r="6939" spans="1:26" x14ac:dyDescent="0.25">
      <c r="A6939" t="str">
        <f t="shared" si="2824"/>
        <v>04-08-2020 12:37:08</v>
      </c>
      <c r="B6939" t="str">
        <f>"0000803975"</f>
        <v>0000803975</v>
      </c>
      <c r="C6939" t="str">
        <f t="shared" si="2825"/>
        <v>0000803960</v>
      </c>
      <c r="D6939" t="str">
        <f t="shared" si="2826"/>
        <v>73185</v>
      </c>
      <c r="E6939" t="str">
        <f t="shared" si="2827"/>
        <v>KFH-OPERATIONS DEPARTMENT</v>
      </c>
      <c r="F6939" t="str">
        <f t="shared" si="2828"/>
        <v>IBG</v>
      </c>
      <c r="G6939" t="str">
        <f t="shared" si="2837"/>
        <v>Refund COSHARE 10</v>
      </c>
      <c r="H6939" s="2">
        <v>125.95</v>
      </c>
      <c r="I6939" t="str">
        <f>"AHMAD NOOR AZWAN BIN MOHD ZAIN"</f>
        <v>AHMAD NOOR AZWAN BIN MOHD ZAIN</v>
      </c>
      <c r="J6939" t="str">
        <f t="shared" si="2823"/>
        <v>CIMB BANK / CIMB ISLAMIC BANK</v>
      </c>
      <c r="K6939" t="str">
        <f>"08040075700527"</f>
        <v>08040075700527</v>
      </c>
      <c r="L6939" t="str">
        <f t="shared" si="2838"/>
        <v>04-08-2020</v>
      </c>
      <c r="M6939" t="str">
        <f t="shared" si="2838"/>
        <v>04-08-2020</v>
      </c>
      <c r="N6939" t="str">
        <f t="shared" si="2829"/>
        <v>001105018356</v>
      </c>
      <c r="O6939" t="str">
        <f t="shared" si="2830"/>
        <v>MYR</v>
      </c>
      <c r="P6939" t="str">
        <f t="shared" si="2839"/>
        <v>NIL</v>
      </c>
      <c r="Q6939" t="str">
        <f t="shared" si="2839"/>
        <v>NIL</v>
      </c>
      <c r="R6939" t="str">
        <f t="shared" si="2817"/>
        <v>Accepted</v>
      </c>
      <c r="S6939" t="str">
        <f t="shared" si="2831"/>
        <v>Approved</v>
      </c>
      <c r="T6939" t="str">
        <f t="shared" si="2818"/>
        <v>10.20.8.188</v>
      </c>
      <c r="U6939" t="str">
        <f t="shared" si="2832"/>
        <v>AZRAD UMAR BIN SHAARI</v>
      </c>
      <c r="V6939" t="str">
        <f t="shared" si="2833"/>
        <v>FARHANA BINTI MUSTAPA</v>
      </c>
      <c r="W6939" t="str">
        <f t="shared" si="2834"/>
        <v>04-08-2020</v>
      </c>
      <c r="X6939" t="str">
        <f t="shared" si="2835"/>
        <v>RAZIMAH ANSAR AHMAD</v>
      </c>
      <c r="Y6939" t="str">
        <f t="shared" si="2836"/>
        <v>04-08-2020</v>
      </c>
      <c r="Z6939" t="str">
        <f>"COS10200804 2215"</f>
        <v>COS10200804 2215</v>
      </c>
    </row>
    <row r="6940" spans="1:26" x14ac:dyDescent="0.25">
      <c r="A6940" t="str">
        <f t="shared" si="2824"/>
        <v>04-08-2020 12:37:08</v>
      </c>
      <c r="B6940" t="str">
        <f>"0000803974"</f>
        <v>0000803974</v>
      </c>
      <c r="C6940" t="str">
        <f t="shared" si="2825"/>
        <v>0000803960</v>
      </c>
      <c r="D6940" t="str">
        <f t="shared" si="2826"/>
        <v>73185</v>
      </c>
      <c r="E6940" t="str">
        <f t="shared" si="2827"/>
        <v>KFH-OPERATIONS DEPARTMENT</v>
      </c>
      <c r="F6940" t="str">
        <f t="shared" si="2828"/>
        <v>IBG</v>
      </c>
      <c r="G6940" t="str">
        <f t="shared" si="2837"/>
        <v>Refund COSHARE 10</v>
      </c>
      <c r="H6940" s="2">
        <v>190</v>
      </c>
      <c r="I6940" t="str">
        <f>"AHMAD NIZAM BIN HJ ABD RAHMAN"</f>
        <v>AHMAD NIZAM BIN HJ ABD RAHMAN</v>
      </c>
      <c r="J6940" t="str">
        <f t="shared" si="2823"/>
        <v>CIMB BANK / CIMB ISLAMIC BANK</v>
      </c>
      <c r="K6940" t="str">
        <f>"09020016247054"</f>
        <v>09020016247054</v>
      </c>
      <c r="L6940" t="str">
        <f t="shared" si="2838"/>
        <v>04-08-2020</v>
      </c>
      <c r="M6940" t="str">
        <f t="shared" si="2838"/>
        <v>04-08-2020</v>
      </c>
      <c r="N6940" t="str">
        <f t="shared" si="2829"/>
        <v>001105018356</v>
      </c>
      <c r="O6940" t="str">
        <f t="shared" si="2830"/>
        <v>MYR</v>
      </c>
      <c r="P6940" t="str">
        <f t="shared" si="2839"/>
        <v>NIL</v>
      </c>
      <c r="Q6940" t="str">
        <f t="shared" si="2839"/>
        <v>NIL</v>
      </c>
      <c r="R6940" t="str">
        <f t="shared" si="2817"/>
        <v>Accepted</v>
      </c>
      <c r="S6940" t="str">
        <f t="shared" si="2831"/>
        <v>Approved</v>
      </c>
      <c r="T6940" t="str">
        <f t="shared" si="2818"/>
        <v>10.20.8.188</v>
      </c>
      <c r="U6940" t="str">
        <f t="shared" si="2832"/>
        <v>AZRAD UMAR BIN SHAARI</v>
      </c>
      <c r="V6940" t="str">
        <f t="shared" si="2833"/>
        <v>FARHANA BINTI MUSTAPA</v>
      </c>
      <c r="W6940" t="str">
        <f t="shared" si="2834"/>
        <v>04-08-2020</v>
      </c>
      <c r="X6940" t="str">
        <f t="shared" si="2835"/>
        <v>RAZIMAH ANSAR AHMAD</v>
      </c>
      <c r="Y6940" t="str">
        <f t="shared" si="2836"/>
        <v>04-08-2020</v>
      </c>
      <c r="Z6940" t="str">
        <f>"COS10200804 2214"</f>
        <v>COS10200804 2214</v>
      </c>
    </row>
    <row r="6941" spans="1:26" x14ac:dyDescent="0.25">
      <c r="A6941" t="str">
        <f t="shared" si="2824"/>
        <v>04-08-2020 12:37:08</v>
      </c>
      <c r="B6941" t="str">
        <f>"0000803973"</f>
        <v>0000803973</v>
      </c>
      <c r="C6941" t="str">
        <f t="shared" si="2825"/>
        <v>0000803960</v>
      </c>
      <c r="D6941" t="str">
        <f t="shared" si="2826"/>
        <v>73185</v>
      </c>
      <c r="E6941" t="str">
        <f t="shared" si="2827"/>
        <v>KFH-OPERATIONS DEPARTMENT</v>
      </c>
      <c r="F6941" t="str">
        <f t="shared" si="2828"/>
        <v>IBG</v>
      </c>
      <c r="G6941" t="str">
        <f t="shared" si="2837"/>
        <v>Refund COSHARE 10</v>
      </c>
      <c r="H6941" s="2">
        <v>203.25</v>
      </c>
      <c r="I6941" t="str">
        <f>"AHMAD NAZRI BIN ABDUL RAHIM"</f>
        <v>AHMAD NAZRI BIN ABDUL RAHIM</v>
      </c>
      <c r="J6941" t="str">
        <f t="shared" si="2823"/>
        <v>CIMB BANK / CIMB ISLAMIC BANK</v>
      </c>
      <c r="K6941" t="str">
        <f>"08021255863522"</f>
        <v>08021255863522</v>
      </c>
      <c r="L6941" t="str">
        <f t="shared" si="2838"/>
        <v>04-08-2020</v>
      </c>
      <c r="M6941" t="str">
        <f t="shared" si="2838"/>
        <v>04-08-2020</v>
      </c>
      <c r="N6941" t="str">
        <f t="shared" si="2829"/>
        <v>001105018356</v>
      </c>
      <c r="O6941" t="str">
        <f t="shared" si="2830"/>
        <v>MYR</v>
      </c>
      <c r="P6941" t="str">
        <f t="shared" si="2839"/>
        <v>NIL</v>
      </c>
      <c r="Q6941" t="str">
        <f t="shared" si="2839"/>
        <v>NIL</v>
      </c>
      <c r="R6941" t="str">
        <f t="shared" si="2817"/>
        <v>Accepted</v>
      </c>
      <c r="S6941" t="str">
        <f t="shared" si="2831"/>
        <v>Approved</v>
      </c>
      <c r="T6941" t="str">
        <f t="shared" si="2818"/>
        <v>10.20.8.188</v>
      </c>
      <c r="U6941" t="str">
        <f t="shared" si="2832"/>
        <v>AZRAD UMAR BIN SHAARI</v>
      </c>
      <c r="V6941" t="str">
        <f t="shared" si="2833"/>
        <v>FARHANA BINTI MUSTAPA</v>
      </c>
      <c r="W6941" t="str">
        <f t="shared" si="2834"/>
        <v>04-08-2020</v>
      </c>
      <c r="X6941" t="str">
        <f t="shared" si="2835"/>
        <v>RAZIMAH ANSAR AHMAD</v>
      </c>
      <c r="Y6941" t="str">
        <f t="shared" si="2836"/>
        <v>04-08-2020</v>
      </c>
      <c r="Z6941" t="str">
        <f>"COS10200804 2213"</f>
        <v>COS10200804 2213</v>
      </c>
    </row>
    <row r="6942" spans="1:26" x14ac:dyDescent="0.25">
      <c r="A6942" t="str">
        <f t="shared" si="2824"/>
        <v>04-08-2020 12:37:08</v>
      </c>
      <c r="B6942" t="str">
        <f>"0000803972"</f>
        <v>0000803972</v>
      </c>
      <c r="C6942" t="str">
        <f t="shared" si="2825"/>
        <v>0000803960</v>
      </c>
      <c r="D6942" t="str">
        <f t="shared" si="2826"/>
        <v>73185</v>
      </c>
      <c r="E6942" t="str">
        <f t="shared" si="2827"/>
        <v>KFH-OPERATIONS DEPARTMENT</v>
      </c>
      <c r="F6942" t="str">
        <f t="shared" si="2828"/>
        <v>IBG</v>
      </c>
      <c r="G6942" t="str">
        <f t="shared" si="2837"/>
        <v>Refund COSHARE 10</v>
      </c>
      <c r="H6942" s="2">
        <v>61</v>
      </c>
      <c r="I6942" t="str">
        <f>"AHMAD NAZHAR BIN ZAKARIA"</f>
        <v>AHMAD NAZHAR BIN ZAKARIA</v>
      </c>
      <c r="J6942" t="str">
        <f t="shared" si="2823"/>
        <v>CIMB BANK / CIMB ISLAMIC BANK</v>
      </c>
      <c r="K6942" t="str">
        <f>"14180066458523"</f>
        <v>14180066458523</v>
      </c>
      <c r="L6942" t="str">
        <f t="shared" si="2838"/>
        <v>04-08-2020</v>
      </c>
      <c r="M6942" t="str">
        <f t="shared" si="2838"/>
        <v>04-08-2020</v>
      </c>
      <c r="N6942" t="str">
        <f t="shared" si="2829"/>
        <v>001105018356</v>
      </c>
      <c r="O6942" t="str">
        <f t="shared" si="2830"/>
        <v>MYR</v>
      </c>
      <c r="P6942" t="str">
        <f t="shared" si="2839"/>
        <v>NIL</v>
      </c>
      <c r="Q6942" t="str">
        <f t="shared" si="2839"/>
        <v>NIL</v>
      </c>
      <c r="R6942" t="str">
        <f t="shared" si="2817"/>
        <v>Accepted</v>
      </c>
      <c r="S6942" t="str">
        <f t="shared" si="2831"/>
        <v>Approved</v>
      </c>
      <c r="T6942" t="str">
        <f t="shared" si="2818"/>
        <v>10.20.8.188</v>
      </c>
      <c r="U6942" t="str">
        <f t="shared" si="2832"/>
        <v>AZRAD UMAR BIN SHAARI</v>
      </c>
      <c r="V6942" t="str">
        <f t="shared" si="2833"/>
        <v>FARHANA BINTI MUSTAPA</v>
      </c>
      <c r="W6942" t="str">
        <f t="shared" si="2834"/>
        <v>04-08-2020</v>
      </c>
      <c r="X6942" t="str">
        <f t="shared" si="2835"/>
        <v>RAZIMAH ANSAR AHMAD</v>
      </c>
      <c r="Y6942" t="str">
        <f t="shared" si="2836"/>
        <v>04-08-2020</v>
      </c>
      <c r="Z6942" t="str">
        <f>"COS10200804 2212"</f>
        <v>COS10200804 2212</v>
      </c>
    </row>
    <row r="6943" spans="1:26" x14ac:dyDescent="0.25">
      <c r="A6943" t="str">
        <f t="shared" si="2824"/>
        <v>04-08-2020 12:37:08</v>
      </c>
      <c r="B6943" t="str">
        <f>"0000803971"</f>
        <v>0000803971</v>
      </c>
      <c r="C6943" t="str">
        <f t="shared" si="2825"/>
        <v>0000803960</v>
      </c>
      <c r="D6943" t="str">
        <f t="shared" si="2826"/>
        <v>73185</v>
      </c>
      <c r="E6943" t="str">
        <f t="shared" si="2827"/>
        <v>KFH-OPERATIONS DEPARTMENT</v>
      </c>
      <c r="F6943" t="str">
        <f t="shared" si="2828"/>
        <v>IBG</v>
      </c>
      <c r="G6943" t="str">
        <f t="shared" si="2837"/>
        <v>Refund COSHARE 10</v>
      </c>
      <c r="H6943" s="2">
        <v>915</v>
      </c>
      <c r="I6943" t="str">
        <f>"AHMAD KHUZARI BIN ABDUL HAMID"</f>
        <v>AHMAD KHUZARI BIN ABDUL HAMID</v>
      </c>
      <c r="J6943" t="str">
        <f t="shared" si="2823"/>
        <v>CIMB BANK / CIMB ISLAMIC BANK</v>
      </c>
      <c r="K6943" t="str">
        <f>"8001794875"</f>
        <v>8001794875</v>
      </c>
      <c r="L6943" t="str">
        <f t="shared" si="2838"/>
        <v>04-08-2020</v>
      </c>
      <c r="M6943" t="str">
        <f t="shared" si="2838"/>
        <v>04-08-2020</v>
      </c>
      <c r="N6943" t="str">
        <f t="shared" si="2829"/>
        <v>001105018356</v>
      </c>
      <c r="O6943" t="str">
        <f t="shared" si="2830"/>
        <v>MYR</v>
      </c>
      <c r="P6943" t="str">
        <f t="shared" si="2839"/>
        <v>NIL</v>
      </c>
      <c r="Q6943" t="str">
        <f t="shared" si="2839"/>
        <v>NIL</v>
      </c>
      <c r="R6943" t="str">
        <f t="shared" si="2817"/>
        <v>Accepted</v>
      </c>
      <c r="S6943" t="str">
        <f t="shared" si="2831"/>
        <v>Approved</v>
      </c>
      <c r="T6943" t="str">
        <f t="shared" si="2818"/>
        <v>10.20.8.188</v>
      </c>
      <c r="U6943" t="str">
        <f t="shared" si="2832"/>
        <v>AZRAD UMAR BIN SHAARI</v>
      </c>
      <c r="V6943" t="str">
        <f t="shared" si="2833"/>
        <v>FARHANA BINTI MUSTAPA</v>
      </c>
      <c r="W6943" t="str">
        <f t="shared" si="2834"/>
        <v>04-08-2020</v>
      </c>
      <c r="X6943" t="str">
        <f t="shared" si="2835"/>
        <v>RAZIMAH ANSAR AHMAD</v>
      </c>
      <c r="Y6943" t="str">
        <f t="shared" si="2836"/>
        <v>04-08-2020</v>
      </c>
      <c r="Z6943" t="str">
        <f>"COS10200804 2211"</f>
        <v>COS10200804 2211</v>
      </c>
    </row>
    <row r="6944" spans="1:26" x14ac:dyDescent="0.25">
      <c r="A6944" t="str">
        <f t="shared" si="2824"/>
        <v>04-08-2020 12:37:08</v>
      </c>
      <c r="B6944" t="str">
        <f>"0000803970"</f>
        <v>0000803970</v>
      </c>
      <c r="C6944" t="str">
        <f t="shared" si="2825"/>
        <v>0000803960</v>
      </c>
      <c r="D6944" t="str">
        <f t="shared" si="2826"/>
        <v>73185</v>
      </c>
      <c r="E6944" t="str">
        <f t="shared" si="2827"/>
        <v>KFH-OPERATIONS DEPARTMENT</v>
      </c>
      <c r="F6944" t="str">
        <f t="shared" si="2828"/>
        <v>IBG</v>
      </c>
      <c r="G6944" t="str">
        <f t="shared" si="2837"/>
        <v>Refund COSHARE 10</v>
      </c>
      <c r="H6944" s="2">
        <v>117.9</v>
      </c>
      <c r="I6944" t="str">
        <f>"AHMAD JALANI BIN NAZIRI"</f>
        <v>AHMAD JALANI BIN NAZIRI</v>
      </c>
      <c r="J6944" t="str">
        <f t="shared" si="2823"/>
        <v>CIMB BANK / CIMB ISLAMIC BANK</v>
      </c>
      <c r="K6944" t="str">
        <f>"05120006598523"</f>
        <v>05120006598523</v>
      </c>
      <c r="L6944" t="str">
        <f t="shared" si="2838"/>
        <v>04-08-2020</v>
      </c>
      <c r="M6944" t="str">
        <f t="shared" si="2838"/>
        <v>04-08-2020</v>
      </c>
      <c r="N6944" t="str">
        <f t="shared" si="2829"/>
        <v>001105018356</v>
      </c>
      <c r="O6944" t="str">
        <f t="shared" si="2830"/>
        <v>MYR</v>
      </c>
      <c r="P6944" t="str">
        <f t="shared" si="2839"/>
        <v>NIL</v>
      </c>
      <c r="Q6944" t="str">
        <f t="shared" si="2839"/>
        <v>NIL</v>
      </c>
      <c r="R6944" t="str">
        <f t="shared" si="2817"/>
        <v>Accepted</v>
      </c>
      <c r="S6944" t="str">
        <f t="shared" si="2831"/>
        <v>Approved</v>
      </c>
      <c r="T6944" t="str">
        <f t="shared" si="2818"/>
        <v>10.20.8.188</v>
      </c>
      <c r="U6944" t="str">
        <f t="shared" si="2832"/>
        <v>AZRAD UMAR BIN SHAARI</v>
      </c>
      <c r="V6944" t="str">
        <f t="shared" si="2833"/>
        <v>FARHANA BINTI MUSTAPA</v>
      </c>
      <c r="W6944" t="str">
        <f t="shared" si="2834"/>
        <v>04-08-2020</v>
      </c>
      <c r="X6944" t="str">
        <f t="shared" si="2835"/>
        <v>RAZIMAH ANSAR AHMAD</v>
      </c>
      <c r="Y6944" t="str">
        <f t="shared" si="2836"/>
        <v>04-08-2020</v>
      </c>
      <c r="Z6944" t="str">
        <f>"COS10200804 2210"</f>
        <v>COS10200804 2210</v>
      </c>
    </row>
    <row r="6945" spans="1:26" x14ac:dyDescent="0.25">
      <c r="A6945" t="str">
        <f t="shared" si="2824"/>
        <v>04-08-2020 12:37:08</v>
      </c>
      <c r="B6945" t="str">
        <f>"0000803969"</f>
        <v>0000803969</v>
      </c>
      <c r="C6945" t="str">
        <f t="shared" si="2825"/>
        <v>0000803960</v>
      </c>
      <c r="D6945" t="str">
        <f t="shared" si="2826"/>
        <v>73185</v>
      </c>
      <c r="E6945" t="str">
        <f t="shared" si="2827"/>
        <v>KFH-OPERATIONS DEPARTMENT</v>
      </c>
      <c r="F6945" t="str">
        <f t="shared" si="2828"/>
        <v>IBG</v>
      </c>
      <c r="G6945" t="str">
        <f t="shared" si="2837"/>
        <v>Refund COSHARE 10</v>
      </c>
      <c r="H6945" s="2">
        <v>587.65</v>
      </c>
      <c r="I6945" t="str">
        <f>"AHMAD IZUAN BIN MOHD YUSOF  AB GHANI"</f>
        <v>AHMAD IZUAN BIN MOHD YUSOF  AB GHANI</v>
      </c>
      <c r="J6945" t="str">
        <f t="shared" si="2823"/>
        <v>CIMB BANK / CIMB ISLAMIC BANK</v>
      </c>
      <c r="K6945" t="str">
        <f>"7052436549"</f>
        <v>7052436549</v>
      </c>
      <c r="L6945" t="str">
        <f t="shared" si="2838"/>
        <v>04-08-2020</v>
      </c>
      <c r="M6945" t="str">
        <f t="shared" si="2838"/>
        <v>04-08-2020</v>
      </c>
      <c r="N6945" t="str">
        <f t="shared" si="2829"/>
        <v>001105018356</v>
      </c>
      <c r="O6945" t="str">
        <f t="shared" si="2830"/>
        <v>MYR</v>
      </c>
      <c r="P6945" t="str">
        <f t="shared" si="2839"/>
        <v>NIL</v>
      </c>
      <c r="Q6945" t="str">
        <f t="shared" si="2839"/>
        <v>NIL</v>
      </c>
      <c r="R6945" t="str">
        <f t="shared" si="2817"/>
        <v>Accepted</v>
      </c>
      <c r="S6945" t="str">
        <f t="shared" si="2831"/>
        <v>Approved</v>
      </c>
      <c r="T6945" t="str">
        <f t="shared" si="2818"/>
        <v>10.20.8.188</v>
      </c>
      <c r="U6945" t="str">
        <f t="shared" si="2832"/>
        <v>AZRAD UMAR BIN SHAARI</v>
      </c>
      <c r="V6945" t="str">
        <f t="shared" si="2833"/>
        <v>FARHANA BINTI MUSTAPA</v>
      </c>
      <c r="W6945" t="str">
        <f t="shared" si="2834"/>
        <v>04-08-2020</v>
      </c>
      <c r="X6945" t="str">
        <f t="shared" si="2835"/>
        <v>RAZIMAH ANSAR AHMAD</v>
      </c>
      <c r="Y6945" t="str">
        <f t="shared" si="2836"/>
        <v>04-08-2020</v>
      </c>
      <c r="Z6945" t="str">
        <f>"COS10200804 2209"</f>
        <v>COS10200804 2209</v>
      </c>
    </row>
    <row r="6946" spans="1:26" x14ac:dyDescent="0.25">
      <c r="A6946" t="str">
        <f t="shared" ref="A6946:A6953" si="2840">"04-08-2020 12:37:08"</f>
        <v>04-08-2020 12:37:08</v>
      </c>
      <c r="B6946" t="str">
        <f>"0000803968"</f>
        <v>0000803968</v>
      </c>
      <c r="C6946" t="str">
        <f t="shared" ref="C6946:C6953" si="2841">"0000803960"</f>
        <v>0000803960</v>
      </c>
      <c r="D6946" t="str">
        <f t="shared" si="2826"/>
        <v>73185</v>
      </c>
      <c r="E6946" t="str">
        <f t="shared" si="2827"/>
        <v>KFH-OPERATIONS DEPARTMENT</v>
      </c>
      <c r="F6946" t="str">
        <f t="shared" si="2828"/>
        <v>IBG</v>
      </c>
      <c r="G6946" t="str">
        <f t="shared" si="2837"/>
        <v>Refund COSHARE 10</v>
      </c>
      <c r="H6946" s="2">
        <v>1230</v>
      </c>
      <c r="I6946" t="str">
        <f>"AHMAD HISHAM BIN AYUB"</f>
        <v>AHMAD HISHAM BIN AYUB</v>
      </c>
      <c r="J6946" t="str">
        <f t="shared" si="2823"/>
        <v>CIMB BANK / CIMB ISLAMIC BANK</v>
      </c>
      <c r="K6946" t="str">
        <f>"7009376124"</f>
        <v>7009376124</v>
      </c>
      <c r="L6946" t="str">
        <f t="shared" si="2838"/>
        <v>04-08-2020</v>
      </c>
      <c r="M6946" t="str">
        <f t="shared" si="2838"/>
        <v>04-08-2020</v>
      </c>
      <c r="N6946" t="str">
        <f t="shared" si="2829"/>
        <v>001105018356</v>
      </c>
      <c r="O6946" t="str">
        <f t="shared" si="2830"/>
        <v>MYR</v>
      </c>
      <c r="P6946" t="str">
        <f t="shared" si="2839"/>
        <v>NIL</v>
      </c>
      <c r="Q6946" t="str">
        <f t="shared" si="2839"/>
        <v>NIL</v>
      </c>
      <c r="R6946" t="str">
        <f t="shared" ref="R6946:R7009" si="2842">"Accepted"</f>
        <v>Accepted</v>
      </c>
      <c r="S6946" t="str">
        <f t="shared" si="2831"/>
        <v>Approved</v>
      </c>
      <c r="T6946" t="str">
        <f t="shared" ref="T6946:T7009" si="2843">"10.20.8.188"</f>
        <v>10.20.8.188</v>
      </c>
      <c r="U6946" t="str">
        <f t="shared" si="2832"/>
        <v>AZRAD UMAR BIN SHAARI</v>
      </c>
      <c r="V6946" t="str">
        <f t="shared" si="2833"/>
        <v>FARHANA BINTI MUSTAPA</v>
      </c>
      <c r="W6946" t="str">
        <f t="shared" si="2834"/>
        <v>04-08-2020</v>
      </c>
      <c r="X6946" t="str">
        <f t="shared" si="2835"/>
        <v>RAZIMAH ANSAR AHMAD</v>
      </c>
      <c r="Y6946" t="str">
        <f t="shared" si="2836"/>
        <v>04-08-2020</v>
      </c>
      <c r="Z6946" t="str">
        <f>"COS10200804 2208"</f>
        <v>COS10200804 2208</v>
      </c>
    </row>
    <row r="6947" spans="1:26" x14ac:dyDescent="0.25">
      <c r="A6947" t="str">
        <f t="shared" si="2840"/>
        <v>04-08-2020 12:37:08</v>
      </c>
      <c r="B6947" t="str">
        <f>"0000803967"</f>
        <v>0000803967</v>
      </c>
      <c r="C6947" t="str">
        <f t="shared" si="2841"/>
        <v>0000803960</v>
      </c>
      <c r="D6947" t="str">
        <f t="shared" si="2826"/>
        <v>73185</v>
      </c>
      <c r="E6947" t="str">
        <f t="shared" si="2827"/>
        <v>KFH-OPERATIONS DEPARTMENT</v>
      </c>
      <c r="F6947" t="str">
        <f t="shared" si="2828"/>
        <v>IBG</v>
      </c>
      <c r="G6947" t="str">
        <f t="shared" si="2837"/>
        <v>Refund COSHARE 10</v>
      </c>
      <c r="H6947" s="2">
        <v>100.75</v>
      </c>
      <c r="I6947" t="str">
        <f>"AHMAD HILMI BIN ABDULLAH"</f>
        <v>AHMAD HILMI BIN ABDULLAH</v>
      </c>
      <c r="J6947" t="str">
        <f t="shared" si="2823"/>
        <v>CIMB BANK / CIMB ISLAMIC BANK</v>
      </c>
      <c r="K6947" t="str">
        <f>"01150069936528"</f>
        <v>01150069936528</v>
      </c>
      <c r="L6947" t="str">
        <f t="shared" ref="L6947:M6966" si="2844">"04-08-2020"</f>
        <v>04-08-2020</v>
      </c>
      <c r="M6947" t="str">
        <f t="shared" si="2844"/>
        <v>04-08-2020</v>
      </c>
      <c r="N6947" t="str">
        <f t="shared" si="2829"/>
        <v>001105018356</v>
      </c>
      <c r="O6947" t="str">
        <f t="shared" si="2830"/>
        <v>MYR</v>
      </c>
      <c r="P6947" t="str">
        <f t="shared" ref="P6947:Q6966" si="2845">"NIL"</f>
        <v>NIL</v>
      </c>
      <c r="Q6947" t="str">
        <f t="shared" si="2845"/>
        <v>NIL</v>
      </c>
      <c r="R6947" t="str">
        <f t="shared" si="2842"/>
        <v>Accepted</v>
      </c>
      <c r="S6947" t="str">
        <f t="shared" si="2831"/>
        <v>Approved</v>
      </c>
      <c r="T6947" t="str">
        <f t="shared" si="2843"/>
        <v>10.20.8.188</v>
      </c>
      <c r="U6947" t="str">
        <f t="shared" si="2832"/>
        <v>AZRAD UMAR BIN SHAARI</v>
      </c>
      <c r="V6947" t="str">
        <f t="shared" si="2833"/>
        <v>FARHANA BINTI MUSTAPA</v>
      </c>
      <c r="W6947" t="str">
        <f t="shared" si="2834"/>
        <v>04-08-2020</v>
      </c>
      <c r="X6947" t="str">
        <f t="shared" si="2835"/>
        <v>RAZIMAH ANSAR AHMAD</v>
      </c>
      <c r="Y6947" t="str">
        <f t="shared" si="2836"/>
        <v>04-08-2020</v>
      </c>
      <c r="Z6947" t="str">
        <f>"COS10200804 2207"</f>
        <v>COS10200804 2207</v>
      </c>
    </row>
    <row r="6948" spans="1:26" x14ac:dyDescent="0.25">
      <c r="A6948" t="str">
        <f t="shared" si="2840"/>
        <v>04-08-2020 12:37:08</v>
      </c>
      <c r="B6948" t="str">
        <f>"0000803966"</f>
        <v>0000803966</v>
      </c>
      <c r="C6948" t="str">
        <f t="shared" si="2841"/>
        <v>0000803960</v>
      </c>
      <c r="D6948" t="str">
        <f t="shared" si="2826"/>
        <v>73185</v>
      </c>
      <c r="E6948" t="str">
        <f t="shared" si="2827"/>
        <v>KFH-OPERATIONS DEPARTMENT</v>
      </c>
      <c r="F6948" t="str">
        <f t="shared" si="2828"/>
        <v>IBG</v>
      </c>
      <c r="G6948" t="str">
        <f t="shared" si="2837"/>
        <v>Refund COSHARE 10</v>
      </c>
      <c r="H6948" s="2">
        <v>381.1</v>
      </c>
      <c r="I6948" t="str">
        <f>"AHMAD HAFIZ BIN DAUD"</f>
        <v>AHMAD HAFIZ BIN DAUD</v>
      </c>
      <c r="J6948" t="str">
        <f t="shared" si="2823"/>
        <v>CIMB BANK / CIMB ISLAMIC BANK</v>
      </c>
      <c r="K6948" t="str">
        <f>"02130063447529"</f>
        <v>02130063447529</v>
      </c>
      <c r="L6948" t="str">
        <f t="shared" si="2844"/>
        <v>04-08-2020</v>
      </c>
      <c r="M6948" t="str">
        <f t="shared" si="2844"/>
        <v>04-08-2020</v>
      </c>
      <c r="N6948" t="str">
        <f t="shared" si="2829"/>
        <v>001105018356</v>
      </c>
      <c r="O6948" t="str">
        <f t="shared" si="2830"/>
        <v>MYR</v>
      </c>
      <c r="P6948" t="str">
        <f t="shared" si="2845"/>
        <v>NIL</v>
      </c>
      <c r="Q6948" t="str">
        <f t="shared" si="2845"/>
        <v>NIL</v>
      </c>
      <c r="R6948" t="str">
        <f t="shared" si="2842"/>
        <v>Accepted</v>
      </c>
      <c r="S6948" t="str">
        <f t="shared" si="2831"/>
        <v>Approved</v>
      </c>
      <c r="T6948" t="str">
        <f t="shared" si="2843"/>
        <v>10.20.8.188</v>
      </c>
      <c r="U6948" t="str">
        <f t="shared" si="2832"/>
        <v>AZRAD UMAR BIN SHAARI</v>
      </c>
      <c r="V6948" t="str">
        <f t="shared" si="2833"/>
        <v>FARHANA BINTI MUSTAPA</v>
      </c>
      <c r="W6948" t="str">
        <f t="shared" si="2834"/>
        <v>04-08-2020</v>
      </c>
      <c r="X6948" t="str">
        <f t="shared" si="2835"/>
        <v>RAZIMAH ANSAR AHMAD</v>
      </c>
      <c r="Y6948" t="str">
        <f t="shared" si="2836"/>
        <v>04-08-2020</v>
      </c>
      <c r="Z6948" t="str">
        <f>"COS10200804 2206"</f>
        <v>COS10200804 2206</v>
      </c>
    </row>
    <row r="6949" spans="1:26" x14ac:dyDescent="0.25">
      <c r="A6949" t="str">
        <f t="shared" si="2840"/>
        <v>04-08-2020 12:37:08</v>
      </c>
      <c r="B6949" t="str">
        <f>"0000803965"</f>
        <v>0000803965</v>
      </c>
      <c r="C6949" t="str">
        <f t="shared" si="2841"/>
        <v>0000803960</v>
      </c>
      <c r="D6949" t="str">
        <f t="shared" si="2826"/>
        <v>73185</v>
      </c>
      <c r="E6949" t="str">
        <f t="shared" si="2827"/>
        <v>KFH-OPERATIONS DEPARTMENT</v>
      </c>
      <c r="F6949" t="str">
        <f t="shared" si="2828"/>
        <v>IBG</v>
      </c>
      <c r="G6949" t="str">
        <f t="shared" si="2837"/>
        <v>Refund COSHARE 10</v>
      </c>
      <c r="H6949" s="2">
        <v>125.95</v>
      </c>
      <c r="I6949" t="str">
        <f>"AHMAD FAUZAN BIN SHAMSUDIN"</f>
        <v>AHMAD FAUZAN BIN SHAMSUDIN</v>
      </c>
      <c r="J6949" t="str">
        <f t="shared" si="2823"/>
        <v>CIMB BANK / CIMB ISLAMIC BANK</v>
      </c>
      <c r="K6949" t="str">
        <f>"13040067139523"</f>
        <v>13040067139523</v>
      </c>
      <c r="L6949" t="str">
        <f t="shared" si="2844"/>
        <v>04-08-2020</v>
      </c>
      <c r="M6949" t="str">
        <f t="shared" si="2844"/>
        <v>04-08-2020</v>
      </c>
      <c r="N6949" t="str">
        <f t="shared" si="2829"/>
        <v>001105018356</v>
      </c>
      <c r="O6949" t="str">
        <f t="shared" si="2830"/>
        <v>MYR</v>
      </c>
      <c r="P6949" t="str">
        <f t="shared" si="2845"/>
        <v>NIL</v>
      </c>
      <c r="Q6949" t="str">
        <f t="shared" si="2845"/>
        <v>NIL</v>
      </c>
      <c r="R6949" t="str">
        <f t="shared" si="2842"/>
        <v>Accepted</v>
      </c>
      <c r="S6949" t="str">
        <f t="shared" si="2831"/>
        <v>Approved</v>
      </c>
      <c r="T6949" t="str">
        <f t="shared" si="2843"/>
        <v>10.20.8.188</v>
      </c>
      <c r="U6949" t="str">
        <f t="shared" si="2832"/>
        <v>AZRAD UMAR BIN SHAARI</v>
      </c>
      <c r="V6949" t="str">
        <f t="shared" si="2833"/>
        <v>FARHANA BINTI MUSTAPA</v>
      </c>
      <c r="W6949" t="str">
        <f t="shared" si="2834"/>
        <v>04-08-2020</v>
      </c>
      <c r="X6949" t="str">
        <f t="shared" si="2835"/>
        <v>RAZIMAH ANSAR AHMAD</v>
      </c>
      <c r="Y6949" t="str">
        <f t="shared" si="2836"/>
        <v>04-08-2020</v>
      </c>
      <c r="Z6949" t="str">
        <f>"COS10200804 2205"</f>
        <v>COS10200804 2205</v>
      </c>
    </row>
    <row r="6950" spans="1:26" x14ac:dyDescent="0.25">
      <c r="A6950" t="str">
        <f t="shared" si="2840"/>
        <v>04-08-2020 12:37:08</v>
      </c>
      <c r="B6950" t="str">
        <f>"0000803964"</f>
        <v>0000803964</v>
      </c>
      <c r="C6950" t="str">
        <f t="shared" si="2841"/>
        <v>0000803960</v>
      </c>
      <c r="D6950" t="str">
        <f t="shared" si="2826"/>
        <v>73185</v>
      </c>
      <c r="E6950" t="str">
        <f t="shared" si="2827"/>
        <v>KFH-OPERATIONS DEPARTMENT</v>
      </c>
      <c r="F6950" t="str">
        <f t="shared" si="2828"/>
        <v>IBG</v>
      </c>
      <c r="G6950" t="str">
        <f t="shared" si="2837"/>
        <v>Refund COSHARE 10</v>
      </c>
      <c r="H6950" s="2">
        <v>92.35</v>
      </c>
      <c r="I6950" t="str">
        <f>"AHMAD FAIZAL BIN NORILY"</f>
        <v>AHMAD FAIZAL BIN NORILY</v>
      </c>
      <c r="J6950" t="str">
        <f t="shared" si="2823"/>
        <v>CIMB BANK / CIMB ISLAMIC BANK</v>
      </c>
      <c r="K6950" t="str">
        <f>"11130064777526"</f>
        <v>11130064777526</v>
      </c>
      <c r="L6950" t="str">
        <f t="shared" si="2844"/>
        <v>04-08-2020</v>
      </c>
      <c r="M6950" t="str">
        <f t="shared" si="2844"/>
        <v>04-08-2020</v>
      </c>
      <c r="N6950" t="str">
        <f t="shared" si="2829"/>
        <v>001105018356</v>
      </c>
      <c r="O6950" t="str">
        <f t="shared" si="2830"/>
        <v>MYR</v>
      </c>
      <c r="P6950" t="str">
        <f t="shared" si="2845"/>
        <v>NIL</v>
      </c>
      <c r="Q6950" t="str">
        <f t="shared" si="2845"/>
        <v>NIL</v>
      </c>
      <c r="R6950" t="str">
        <f t="shared" si="2842"/>
        <v>Accepted</v>
      </c>
      <c r="S6950" t="str">
        <f t="shared" si="2831"/>
        <v>Approved</v>
      </c>
      <c r="T6950" t="str">
        <f t="shared" si="2843"/>
        <v>10.20.8.188</v>
      </c>
      <c r="U6950" t="str">
        <f t="shared" si="2832"/>
        <v>AZRAD UMAR BIN SHAARI</v>
      </c>
      <c r="V6950" t="str">
        <f t="shared" si="2833"/>
        <v>FARHANA BINTI MUSTAPA</v>
      </c>
      <c r="W6950" t="str">
        <f t="shared" si="2834"/>
        <v>04-08-2020</v>
      </c>
      <c r="X6950" t="str">
        <f t="shared" si="2835"/>
        <v>RAZIMAH ANSAR AHMAD</v>
      </c>
      <c r="Y6950" t="str">
        <f t="shared" si="2836"/>
        <v>04-08-2020</v>
      </c>
      <c r="Z6950" t="str">
        <f>"COS10200804 2204"</f>
        <v>COS10200804 2204</v>
      </c>
    </row>
    <row r="6951" spans="1:26" x14ac:dyDescent="0.25">
      <c r="A6951" t="str">
        <f t="shared" si="2840"/>
        <v>04-08-2020 12:37:08</v>
      </c>
      <c r="B6951" t="str">
        <f>"0000803963"</f>
        <v>0000803963</v>
      </c>
      <c r="C6951" t="str">
        <f t="shared" si="2841"/>
        <v>0000803960</v>
      </c>
      <c r="D6951" t="str">
        <f t="shared" si="2826"/>
        <v>73185</v>
      </c>
      <c r="E6951" t="str">
        <f t="shared" si="2827"/>
        <v>KFH-OPERATIONS DEPARTMENT</v>
      </c>
      <c r="F6951" t="str">
        <f t="shared" si="2828"/>
        <v>IBG</v>
      </c>
      <c r="G6951" t="str">
        <f t="shared" si="2837"/>
        <v>Refund COSHARE 10</v>
      </c>
      <c r="H6951" s="2">
        <v>125.95</v>
      </c>
      <c r="I6951" t="str">
        <f>"AHMAD FADZRIN BIN SIDEK"</f>
        <v>AHMAD FADZRIN BIN SIDEK</v>
      </c>
      <c r="J6951" t="str">
        <f t="shared" si="2823"/>
        <v>CIMB BANK / CIMB ISLAMIC BANK</v>
      </c>
      <c r="K6951" t="str">
        <f>"7036091742"</f>
        <v>7036091742</v>
      </c>
      <c r="L6951" t="str">
        <f t="shared" si="2844"/>
        <v>04-08-2020</v>
      </c>
      <c r="M6951" t="str">
        <f t="shared" si="2844"/>
        <v>04-08-2020</v>
      </c>
      <c r="N6951" t="str">
        <f t="shared" si="2829"/>
        <v>001105018356</v>
      </c>
      <c r="O6951" t="str">
        <f t="shared" si="2830"/>
        <v>MYR</v>
      </c>
      <c r="P6951" t="str">
        <f t="shared" si="2845"/>
        <v>NIL</v>
      </c>
      <c r="Q6951" t="str">
        <f t="shared" si="2845"/>
        <v>NIL</v>
      </c>
      <c r="R6951" t="str">
        <f t="shared" si="2842"/>
        <v>Accepted</v>
      </c>
      <c r="S6951" t="str">
        <f t="shared" si="2831"/>
        <v>Approved</v>
      </c>
      <c r="T6951" t="str">
        <f t="shared" si="2843"/>
        <v>10.20.8.188</v>
      </c>
      <c r="U6951" t="str">
        <f t="shared" si="2832"/>
        <v>AZRAD UMAR BIN SHAARI</v>
      </c>
      <c r="V6951" t="str">
        <f t="shared" si="2833"/>
        <v>FARHANA BINTI MUSTAPA</v>
      </c>
      <c r="W6951" t="str">
        <f t="shared" si="2834"/>
        <v>04-08-2020</v>
      </c>
      <c r="X6951" t="str">
        <f t="shared" si="2835"/>
        <v>RAZIMAH ANSAR AHMAD</v>
      </c>
      <c r="Y6951" t="str">
        <f t="shared" si="2836"/>
        <v>04-08-2020</v>
      </c>
      <c r="Z6951" t="str">
        <f>"COS10200804 2203"</f>
        <v>COS10200804 2203</v>
      </c>
    </row>
    <row r="6952" spans="1:26" x14ac:dyDescent="0.25">
      <c r="A6952" t="str">
        <f t="shared" si="2840"/>
        <v>04-08-2020 12:37:08</v>
      </c>
      <c r="B6952" t="str">
        <f>"0000803962"</f>
        <v>0000803962</v>
      </c>
      <c r="C6952" t="str">
        <f t="shared" si="2841"/>
        <v>0000803960</v>
      </c>
      <c r="D6952" t="str">
        <f t="shared" si="2826"/>
        <v>73185</v>
      </c>
      <c r="E6952" t="str">
        <f t="shared" si="2827"/>
        <v>KFH-OPERATIONS DEPARTMENT</v>
      </c>
      <c r="F6952" t="str">
        <f t="shared" si="2828"/>
        <v>IBG</v>
      </c>
      <c r="G6952" t="str">
        <f t="shared" si="2837"/>
        <v>Refund COSHARE 10</v>
      </c>
      <c r="H6952" s="2">
        <v>125.95</v>
      </c>
      <c r="I6952" t="str">
        <f>"AHMAD FADZRIN BIN SIDEK"</f>
        <v>AHMAD FADZRIN BIN SIDEK</v>
      </c>
      <c r="J6952" t="str">
        <f t="shared" si="2823"/>
        <v>CIMB BANK / CIMB ISLAMIC BANK</v>
      </c>
      <c r="K6952" t="str">
        <f>"7036091742"</f>
        <v>7036091742</v>
      </c>
      <c r="L6952" t="str">
        <f t="shared" si="2844"/>
        <v>04-08-2020</v>
      </c>
      <c r="M6952" t="str">
        <f t="shared" si="2844"/>
        <v>04-08-2020</v>
      </c>
      <c r="N6952" t="str">
        <f t="shared" si="2829"/>
        <v>001105018356</v>
      </c>
      <c r="O6952" t="str">
        <f t="shared" si="2830"/>
        <v>MYR</v>
      </c>
      <c r="P6952" t="str">
        <f t="shared" si="2845"/>
        <v>NIL</v>
      </c>
      <c r="Q6952" t="str">
        <f t="shared" si="2845"/>
        <v>NIL</v>
      </c>
      <c r="R6952" t="str">
        <f t="shared" si="2842"/>
        <v>Accepted</v>
      </c>
      <c r="S6952" t="str">
        <f t="shared" si="2831"/>
        <v>Approved</v>
      </c>
      <c r="T6952" t="str">
        <f t="shared" si="2843"/>
        <v>10.20.8.188</v>
      </c>
      <c r="U6952" t="str">
        <f t="shared" si="2832"/>
        <v>AZRAD UMAR BIN SHAARI</v>
      </c>
      <c r="V6952" t="str">
        <f t="shared" si="2833"/>
        <v>FARHANA BINTI MUSTAPA</v>
      </c>
      <c r="W6952" t="str">
        <f t="shared" si="2834"/>
        <v>04-08-2020</v>
      </c>
      <c r="X6952" t="str">
        <f t="shared" si="2835"/>
        <v>RAZIMAH ANSAR AHMAD</v>
      </c>
      <c r="Y6952" t="str">
        <f t="shared" si="2836"/>
        <v>04-08-2020</v>
      </c>
      <c r="Z6952" t="str">
        <f>"COS10200804 2202"</f>
        <v>COS10200804 2202</v>
      </c>
    </row>
    <row r="6953" spans="1:26" x14ac:dyDescent="0.25">
      <c r="A6953" t="str">
        <f t="shared" si="2840"/>
        <v>04-08-2020 12:37:08</v>
      </c>
      <c r="B6953" t="str">
        <f>"0000803961"</f>
        <v>0000803961</v>
      </c>
      <c r="C6953" t="str">
        <f t="shared" si="2841"/>
        <v>0000803960</v>
      </c>
      <c r="D6953" t="str">
        <f t="shared" si="2826"/>
        <v>73185</v>
      </c>
      <c r="E6953" t="str">
        <f t="shared" si="2827"/>
        <v>KFH-OPERATIONS DEPARTMENT</v>
      </c>
      <c r="F6953" t="str">
        <f t="shared" si="2828"/>
        <v>IBG</v>
      </c>
      <c r="G6953" t="str">
        <f t="shared" si="2837"/>
        <v>Refund COSHARE 10</v>
      </c>
      <c r="H6953" s="2">
        <v>1301.25</v>
      </c>
      <c r="I6953" t="str">
        <f>"AHMAD FADZLI BIN BEDU"</f>
        <v>AHMAD FADZLI BIN BEDU</v>
      </c>
      <c r="J6953" t="str">
        <f t="shared" si="2823"/>
        <v>CIMB BANK / CIMB ISLAMIC BANK</v>
      </c>
      <c r="K6953" t="str">
        <f>"06030817079521"</f>
        <v>06030817079521</v>
      </c>
      <c r="L6953" t="str">
        <f t="shared" si="2844"/>
        <v>04-08-2020</v>
      </c>
      <c r="M6953" t="str">
        <f t="shared" si="2844"/>
        <v>04-08-2020</v>
      </c>
      <c r="N6953" t="str">
        <f t="shared" si="2829"/>
        <v>001105018356</v>
      </c>
      <c r="O6953" t="str">
        <f t="shared" si="2830"/>
        <v>MYR</v>
      </c>
      <c r="P6953" t="str">
        <f t="shared" si="2845"/>
        <v>NIL</v>
      </c>
      <c r="Q6953" t="str">
        <f t="shared" si="2845"/>
        <v>NIL</v>
      </c>
      <c r="R6953" t="str">
        <f t="shared" si="2842"/>
        <v>Accepted</v>
      </c>
      <c r="S6953" t="str">
        <f t="shared" si="2831"/>
        <v>Approved</v>
      </c>
      <c r="T6953" t="str">
        <f t="shared" si="2843"/>
        <v>10.20.8.188</v>
      </c>
      <c r="U6953" t="str">
        <f t="shared" si="2832"/>
        <v>AZRAD UMAR BIN SHAARI</v>
      </c>
      <c r="V6953" t="str">
        <f t="shared" si="2833"/>
        <v>FARHANA BINTI MUSTAPA</v>
      </c>
      <c r="W6953" t="str">
        <f t="shared" si="2834"/>
        <v>04-08-2020</v>
      </c>
      <c r="X6953" t="str">
        <f t="shared" si="2835"/>
        <v>RAZIMAH ANSAR AHMAD</v>
      </c>
      <c r="Y6953" t="str">
        <f t="shared" si="2836"/>
        <v>04-08-2020</v>
      </c>
      <c r="Z6953" t="str">
        <f>"COS10200804 2201"</f>
        <v>COS10200804 2201</v>
      </c>
    </row>
    <row r="6954" spans="1:26" x14ac:dyDescent="0.25">
      <c r="A6954" t="str">
        <f t="shared" ref="A6954:A6985" si="2846">"04-08-2020 12:36:35"</f>
        <v>04-08-2020 12:36:35</v>
      </c>
      <c r="B6954" t="str">
        <f>"0000803958"</f>
        <v>0000803958</v>
      </c>
      <c r="C6954" t="str">
        <f t="shared" ref="C6954:C6985" si="2847">"0000803758"</f>
        <v>0000803758</v>
      </c>
      <c r="D6954" t="str">
        <f t="shared" si="2826"/>
        <v>73185</v>
      </c>
      <c r="E6954" t="str">
        <f t="shared" si="2827"/>
        <v>KFH-OPERATIONS DEPARTMENT</v>
      </c>
      <c r="F6954" t="str">
        <f t="shared" si="2828"/>
        <v>IBG</v>
      </c>
      <c r="G6954" t="str">
        <f t="shared" si="2837"/>
        <v>Refund COSHARE 10</v>
      </c>
      <c r="H6954" s="2">
        <v>167.9</v>
      </c>
      <c r="I6954" t="str">
        <f>"AHMAD AZMIR BIN MOHD ZAHARI"</f>
        <v>AHMAD AZMIR BIN MOHD ZAHARI</v>
      </c>
      <c r="J6954" t="str">
        <f t="shared" si="2823"/>
        <v>CIMB BANK / CIMB ISLAMIC BANK</v>
      </c>
      <c r="K6954" t="str">
        <f>"08040062869526"</f>
        <v>08040062869526</v>
      </c>
      <c r="L6954" t="str">
        <f t="shared" si="2844"/>
        <v>04-08-2020</v>
      </c>
      <c r="M6954" t="str">
        <f t="shared" si="2844"/>
        <v>04-08-2020</v>
      </c>
      <c r="N6954" t="str">
        <f t="shared" si="2829"/>
        <v>001105018356</v>
      </c>
      <c r="O6954" t="str">
        <f t="shared" si="2830"/>
        <v>MYR</v>
      </c>
      <c r="P6954" t="str">
        <f t="shared" si="2845"/>
        <v>NIL</v>
      </c>
      <c r="Q6954" t="str">
        <f t="shared" si="2845"/>
        <v>NIL</v>
      </c>
      <c r="R6954" t="str">
        <f t="shared" si="2842"/>
        <v>Accepted</v>
      </c>
      <c r="S6954" t="str">
        <f t="shared" si="2831"/>
        <v>Approved</v>
      </c>
      <c r="T6954" t="str">
        <f t="shared" si="2843"/>
        <v>10.20.8.188</v>
      </c>
      <c r="U6954" t="str">
        <f t="shared" si="2832"/>
        <v>AZRAD UMAR BIN SHAARI</v>
      </c>
      <c r="V6954" t="str">
        <f t="shared" si="2833"/>
        <v>FARHANA BINTI MUSTAPA</v>
      </c>
      <c r="W6954" t="str">
        <f t="shared" si="2834"/>
        <v>04-08-2020</v>
      </c>
      <c r="X6954" t="str">
        <f t="shared" si="2835"/>
        <v>RAZIMAH ANSAR AHMAD</v>
      </c>
      <c r="Y6954" t="str">
        <f t="shared" si="2836"/>
        <v>04-08-2020</v>
      </c>
      <c r="Z6954" t="str">
        <f>"COS10200804 2200"</f>
        <v>COS10200804 2200</v>
      </c>
    </row>
    <row r="6955" spans="1:26" x14ac:dyDescent="0.25">
      <c r="A6955" t="str">
        <f t="shared" si="2846"/>
        <v>04-08-2020 12:36:35</v>
      </c>
      <c r="B6955" t="str">
        <f>"0000803957"</f>
        <v>0000803957</v>
      </c>
      <c r="C6955" t="str">
        <f t="shared" si="2847"/>
        <v>0000803758</v>
      </c>
      <c r="D6955" t="str">
        <f t="shared" si="2826"/>
        <v>73185</v>
      </c>
      <c r="E6955" t="str">
        <f t="shared" si="2827"/>
        <v>KFH-OPERATIONS DEPARTMENT</v>
      </c>
      <c r="F6955" t="str">
        <f t="shared" si="2828"/>
        <v>IBG</v>
      </c>
      <c r="G6955" t="str">
        <f t="shared" si="2837"/>
        <v>Refund COSHARE 10</v>
      </c>
      <c r="H6955" s="2">
        <v>1679</v>
      </c>
      <c r="I6955" t="str">
        <f>"AHMAD  SYAKIRIN BIN HASAN"</f>
        <v>AHMAD  SYAKIRIN BIN HASAN</v>
      </c>
      <c r="J6955" t="str">
        <f t="shared" si="2823"/>
        <v>CIMB BANK / CIMB ISLAMIC BANK</v>
      </c>
      <c r="K6955" t="str">
        <f>"08120002629520"</f>
        <v>08120002629520</v>
      </c>
      <c r="L6955" t="str">
        <f t="shared" si="2844"/>
        <v>04-08-2020</v>
      </c>
      <c r="M6955" t="str">
        <f t="shared" si="2844"/>
        <v>04-08-2020</v>
      </c>
      <c r="N6955" t="str">
        <f t="shared" si="2829"/>
        <v>001105018356</v>
      </c>
      <c r="O6955" t="str">
        <f t="shared" si="2830"/>
        <v>MYR</v>
      </c>
      <c r="P6955" t="str">
        <f t="shared" si="2845"/>
        <v>NIL</v>
      </c>
      <c r="Q6955" t="str">
        <f t="shared" si="2845"/>
        <v>NIL</v>
      </c>
      <c r="R6955" t="str">
        <f t="shared" si="2842"/>
        <v>Accepted</v>
      </c>
      <c r="S6955" t="str">
        <f t="shared" si="2831"/>
        <v>Approved</v>
      </c>
      <c r="T6955" t="str">
        <f t="shared" si="2843"/>
        <v>10.20.8.188</v>
      </c>
      <c r="U6955" t="str">
        <f t="shared" si="2832"/>
        <v>AZRAD UMAR BIN SHAARI</v>
      </c>
      <c r="V6955" t="str">
        <f t="shared" si="2833"/>
        <v>FARHANA BINTI MUSTAPA</v>
      </c>
      <c r="W6955" t="str">
        <f t="shared" si="2834"/>
        <v>04-08-2020</v>
      </c>
      <c r="X6955" t="str">
        <f t="shared" si="2835"/>
        <v>RAZIMAH ANSAR AHMAD</v>
      </c>
      <c r="Y6955" t="str">
        <f t="shared" si="2836"/>
        <v>04-08-2020</v>
      </c>
      <c r="Z6955" t="str">
        <f>"COS10200804 2199"</f>
        <v>COS10200804 2199</v>
      </c>
    </row>
    <row r="6956" spans="1:26" x14ac:dyDescent="0.25">
      <c r="A6956" t="str">
        <f t="shared" si="2846"/>
        <v>04-08-2020 12:36:35</v>
      </c>
      <c r="B6956" t="str">
        <f>"0000803956"</f>
        <v>0000803956</v>
      </c>
      <c r="C6956" t="str">
        <f t="shared" si="2847"/>
        <v>0000803758</v>
      </c>
      <c r="D6956" t="str">
        <f t="shared" si="2826"/>
        <v>73185</v>
      </c>
      <c r="E6956" t="str">
        <f t="shared" si="2827"/>
        <v>KFH-OPERATIONS DEPARTMENT</v>
      </c>
      <c r="F6956" t="str">
        <f t="shared" si="2828"/>
        <v>IBG</v>
      </c>
      <c r="G6956" t="str">
        <f t="shared" si="2837"/>
        <v>Refund COSHARE 10</v>
      </c>
      <c r="H6956" s="2">
        <v>209.9</v>
      </c>
      <c r="I6956" t="str">
        <f>"AFZARUL NAIM BIN AHMAD"</f>
        <v>AFZARUL NAIM BIN AHMAD</v>
      </c>
      <c r="J6956" t="str">
        <f t="shared" si="2823"/>
        <v>CIMB BANK / CIMB ISLAMIC BANK</v>
      </c>
      <c r="K6956" t="str">
        <f>"07380008835522"</f>
        <v>07380008835522</v>
      </c>
      <c r="L6956" t="str">
        <f t="shared" si="2844"/>
        <v>04-08-2020</v>
      </c>
      <c r="M6956" t="str">
        <f t="shared" si="2844"/>
        <v>04-08-2020</v>
      </c>
      <c r="N6956" t="str">
        <f t="shared" si="2829"/>
        <v>001105018356</v>
      </c>
      <c r="O6956" t="str">
        <f t="shared" si="2830"/>
        <v>MYR</v>
      </c>
      <c r="P6956" t="str">
        <f t="shared" si="2845"/>
        <v>NIL</v>
      </c>
      <c r="Q6956" t="str">
        <f t="shared" si="2845"/>
        <v>NIL</v>
      </c>
      <c r="R6956" t="str">
        <f t="shared" si="2842"/>
        <v>Accepted</v>
      </c>
      <c r="S6956" t="str">
        <f t="shared" si="2831"/>
        <v>Approved</v>
      </c>
      <c r="T6956" t="str">
        <f t="shared" si="2843"/>
        <v>10.20.8.188</v>
      </c>
      <c r="U6956" t="str">
        <f t="shared" si="2832"/>
        <v>AZRAD UMAR BIN SHAARI</v>
      </c>
      <c r="V6956" t="str">
        <f t="shared" si="2833"/>
        <v>FARHANA BINTI MUSTAPA</v>
      </c>
      <c r="W6956" t="str">
        <f t="shared" si="2834"/>
        <v>04-08-2020</v>
      </c>
      <c r="X6956" t="str">
        <f t="shared" si="2835"/>
        <v>RAZIMAH ANSAR AHMAD</v>
      </c>
      <c r="Y6956" t="str">
        <f t="shared" si="2836"/>
        <v>04-08-2020</v>
      </c>
      <c r="Z6956" t="str">
        <f>"COS10200804 2198"</f>
        <v>COS10200804 2198</v>
      </c>
    </row>
    <row r="6957" spans="1:26" x14ac:dyDescent="0.25">
      <c r="A6957" t="str">
        <f t="shared" si="2846"/>
        <v>04-08-2020 12:36:35</v>
      </c>
      <c r="B6957" t="str">
        <f>"0000803955"</f>
        <v>0000803955</v>
      </c>
      <c r="C6957" t="str">
        <f t="shared" si="2847"/>
        <v>0000803758</v>
      </c>
      <c r="D6957" t="str">
        <f t="shared" si="2826"/>
        <v>73185</v>
      </c>
      <c r="E6957" t="str">
        <f t="shared" si="2827"/>
        <v>KFH-OPERATIONS DEPARTMENT</v>
      </c>
      <c r="F6957" t="str">
        <f t="shared" si="2828"/>
        <v>IBG</v>
      </c>
      <c r="G6957" t="str">
        <f t="shared" si="2837"/>
        <v>Refund COSHARE 10</v>
      </c>
      <c r="H6957" s="2">
        <v>335.8</v>
      </c>
      <c r="I6957" t="str">
        <f>"AFZALINA BINTI AHAMAD"</f>
        <v>AFZALINA BINTI AHAMAD</v>
      </c>
      <c r="J6957" t="str">
        <f t="shared" si="2823"/>
        <v>CIMB BANK / CIMB ISLAMIC BANK</v>
      </c>
      <c r="K6957" t="str">
        <f>"11100065621526"</f>
        <v>11100065621526</v>
      </c>
      <c r="L6957" t="str">
        <f t="shared" si="2844"/>
        <v>04-08-2020</v>
      </c>
      <c r="M6957" t="str">
        <f t="shared" si="2844"/>
        <v>04-08-2020</v>
      </c>
      <c r="N6957" t="str">
        <f t="shared" si="2829"/>
        <v>001105018356</v>
      </c>
      <c r="O6957" t="str">
        <f t="shared" si="2830"/>
        <v>MYR</v>
      </c>
      <c r="P6957" t="str">
        <f t="shared" si="2845"/>
        <v>NIL</v>
      </c>
      <c r="Q6957" t="str">
        <f t="shared" si="2845"/>
        <v>NIL</v>
      </c>
      <c r="R6957" t="str">
        <f t="shared" si="2842"/>
        <v>Accepted</v>
      </c>
      <c r="S6957" t="str">
        <f t="shared" si="2831"/>
        <v>Approved</v>
      </c>
      <c r="T6957" t="str">
        <f t="shared" si="2843"/>
        <v>10.20.8.188</v>
      </c>
      <c r="U6957" t="str">
        <f t="shared" si="2832"/>
        <v>AZRAD UMAR BIN SHAARI</v>
      </c>
      <c r="V6957" t="str">
        <f t="shared" si="2833"/>
        <v>FARHANA BINTI MUSTAPA</v>
      </c>
      <c r="W6957" t="str">
        <f t="shared" si="2834"/>
        <v>04-08-2020</v>
      </c>
      <c r="X6957" t="str">
        <f t="shared" si="2835"/>
        <v>RAZIMAH ANSAR AHMAD</v>
      </c>
      <c r="Y6957" t="str">
        <f t="shared" si="2836"/>
        <v>04-08-2020</v>
      </c>
      <c r="Z6957" t="str">
        <f>"COS10200804 2197"</f>
        <v>COS10200804 2197</v>
      </c>
    </row>
    <row r="6958" spans="1:26" x14ac:dyDescent="0.25">
      <c r="A6958" t="str">
        <f t="shared" si="2846"/>
        <v>04-08-2020 12:36:35</v>
      </c>
      <c r="B6958" t="str">
        <f>"0000803954"</f>
        <v>0000803954</v>
      </c>
      <c r="C6958" t="str">
        <f t="shared" si="2847"/>
        <v>0000803758</v>
      </c>
      <c r="D6958" t="str">
        <f t="shared" si="2826"/>
        <v>73185</v>
      </c>
      <c r="E6958" t="str">
        <f t="shared" si="2827"/>
        <v>KFH-OPERATIONS DEPARTMENT</v>
      </c>
      <c r="F6958" t="str">
        <f t="shared" si="2828"/>
        <v>IBG</v>
      </c>
      <c r="G6958" t="str">
        <f t="shared" si="2837"/>
        <v>Refund COSHARE 10</v>
      </c>
      <c r="H6958" s="2">
        <v>587.65</v>
      </c>
      <c r="I6958" t="str">
        <f>"AFIZAH BINTI JAAPAR"</f>
        <v>AFIZAH BINTI JAAPAR</v>
      </c>
      <c r="J6958" t="str">
        <f t="shared" si="2823"/>
        <v>CIMB BANK / CIMB ISLAMIC BANK</v>
      </c>
      <c r="K6958" t="str">
        <f>"7023731474"</f>
        <v>7023731474</v>
      </c>
      <c r="L6958" t="str">
        <f t="shared" si="2844"/>
        <v>04-08-2020</v>
      </c>
      <c r="M6958" t="str">
        <f t="shared" si="2844"/>
        <v>04-08-2020</v>
      </c>
      <c r="N6958" t="str">
        <f t="shared" si="2829"/>
        <v>001105018356</v>
      </c>
      <c r="O6958" t="str">
        <f t="shared" si="2830"/>
        <v>MYR</v>
      </c>
      <c r="P6958" t="str">
        <f t="shared" si="2845"/>
        <v>NIL</v>
      </c>
      <c r="Q6958" t="str">
        <f t="shared" si="2845"/>
        <v>NIL</v>
      </c>
      <c r="R6958" t="str">
        <f t="shared" si="2842"/>
        <v>Accepted</v>
      </c>
      <c r="S6958" t="str">
        <f t="shared" si="2831"/>
        <v>Approved</v>
      </c>
      <c r="T6958" t="str">
        <f t="shared" si="2843"/>
        <v>10.20.8.188</v>
      </c>
      <c r="U6958" t="str">
        <f t="shared" si="2832"/>
        <v>AZRAD UMAR BIN SHAARI</v>
      </c>
      <c r="V6958" t="str">
        <f t="shared" si="2833"/>
        <v>FARHANA BINTI MUSTAPA</v>
      </c>
      <c r="W6958" t="str">
        <f t="shared" si="2834"/>
        <v>04-08-2020</v>
      </c>
      <c r="X6958" t="str">
        <f t="shared" si="2835"/>
        <v>RAZIMAH ANSAR AHMAD</v>
      </c>
      <c r="Y6958" t="str">
        <f t="shared" si="2836"/>
        <v>04-08-2020</v>
      </c>
      <c r="Z6958" t="str">
        <f>"COS10200804 2196"</f>
        <v>COS10200804 2196</v>
      </c>
    </row>
    <row r="6959" spans="1:26" x14ac:dyDescent="0.25">
      <c r="A6959" t="str">
        <f t="shared" si="2846"/>
        <v>04-08-2020 12:36:35</v>
      </c>
      <c r="B6959" t="str">
        <f>"0000803953"</f>
        <v>0000803953</v>
      </c>
      <c r="C6959" t="str">
        <f t="shared" si="2847"/>
        <v>0000803758</v>
      </c>
      <c r="D6959" t="str">
        <f t="shared" si="2826"/>
        <v>73185</v>
      </c>
      <c r="E6959" t="str">
        <f t="shared" si="2827"/>
        <v>KFH-OPERATIONS DEPARTMENT</v>
      </c>
      <c r="F6959" t="str">
        <f t="shared" si="2828"/>
        <v>IBG</v>
      </c>
      <c r="G6959" t="str">
        <f t="shared" si="2837"/>
        <v>Refund COSHARE 10</v>
      </c>
      <c r="H6959" s="2">
        <v>171.3</v>
      </c>
      <c r="I6959" t="str">
        <f>"ADZ JAMROS BIN JAMALI"</f>
        <v>ADZ JAMROS BIN JAMALI</v>
      </c>
      <c r="J6959" t="str">
        <f t="shared" si="2823"/>
        <v>CIMB BANK / CIMB ISLAMIC BANK</v>
      </c>
      <c r="K6959" t="str">
        <f>"08150004968523"</f>
        <v>08150004968523</v>
      </c>
      <c r="L6959" t="str">
        <f t="shared" si="2844"/>
        <v>04-08-2020</v>
      </c>
      <c r="M6959" t="str">
        <f t="shared" si="2844"/>
        <v>04-08-2020</v>
      </c>
      <c r="N6959" t="str">
        <f t="shared" si="2829"/>
        <v>001105018356</v>
      </c>
      <c r="O6959" t="str">
        <f t="shared" si="2830"/>
        <v>MYR</v>
      </c>
      <c r="P6959" t="str">
        <f t="shared" si="2845"/>
        <v>NIL</v>
      </c>
      <c r="Q6959" t="str">
        <f t="shared" si="2845"/>
        <v>NIL</v>
      </c>
      <c r="R6959" t="str">
        <f t="shared" si="2842"/>
        <v>Accepted</v>
      </c>
      <c r="S6959" t="str">
        <f t="shared" si="2831"/>
        <v>Approved</v>
      </c>
      <c r="T6959" t="str">
        <f t="shared" si="2843"/>
        <v>10.20.8.188</v>
      </c>
      <c r="U6959" t="str">
        <f t="shared" si="2832"/>
        <v>AZRAD UMAR BIN SHAARI</v>
      </c>
      <c r="V6959" t="str">
        <f t="shared" si="2833"/>
        <v>FARHANA BINTI MUSTAPA</v>
      </c>
      <c r="W6959" t="str">
        <f t="shared" si="2834"/>
        <v>04-08-2020</v>
      </c>
      <c r="X6959" t="str">
        <f t="shared" si="2835"/>
        <v>RAZIMAH ANSAR AHMAD</v>
      </c>
      <c r="Y6959" t="str">
        <f t="shared" si="2836"/>
        <v>04-08-2020</v>
      </c>
      <c r="Z6959" t="str">
        <f>"COS10200804 2195"</f>
        <v>COS10200804 2195</v>
      </c>
    </row>
    <row r="6960" spans="1:26" x14ac:dyDescent="0.25">
      <c r="A6960" t="str">
        <f t="shared" si="2846"/>
        <v>04-08-2020 12:36:35</v>
      </c>
      <c r="B6960" t="str">
        <f>"0000803952"</f>
        <v>0000803952</v>
      </c>
      <c r="C6960" t="str">
        <f t="shared" si="2847"/>
        <v>0000803758</v>
      </c>
      <c r="D6960" t="str">
        <f t="shared" si="2826"/>
        <v>73185</v>
      </c>
      <c r="E6960" t="str">
        <f t="shared" si="2827"/>
        <v>KFH-OPERATIONS DEPARTMENT</v>
      </c>
      <c r="F6960" t="str">
        <f t="shared" si="2828"/>
        <v>IBG</v>
      </c>
      <c r="G6960" t="str">
        <f t="shared" si="2837"/>
        <v>Refund COSHARE 10</v>
      </c>
      <c r="H6960" s="2">
        <v>209.9</v>
      </c>
      <c r="I6960" t="str">
        <f>"ADURA AZLIN BIN ISHAK"</f>
        <v>ADURA AZLIN BIN ISHAK</v>
      </c>
      <c r="J6960" t="str">
        <f t="shared" si="2823"/>
        <v>CIMB BANK / CIMB ISLAMIC BANK</v>
      </c>
      <c r="K6960" t="str">
        <f>"12380070236521"</f>
        <v>12380070236521</v>
      </c>
      <c r="L6960" t="str">
        <f t="shared" si="2844"/>
        <v>04-08-2020</v>
      </c>
      <c r="M6960" t="str">
        <f t="shared" si="2844"/>
        <v>04-08-2020</v>
      </c>
      <c r="N6960" t="str">
        <f t="shared" si="2829"/>
        <v>001105018356</v>
      </c>
      <c r="O6960" t="str">
        <f t="shared" si="2830"/>
        <v>MYR</v>
      </c>
      <c r="P6960" t="str">
        <f t="shared" si="2845"/>
        <v>NIL</v>
      </c>
      <c r="Q6960" t="str">
        <f t="shared" si="2845"/>
        <v>NIL</v>
      </c>
      <c r="R6960" t="str">
        <f t="shared" si="2842"/>
        <v>Accepted</v>
      </c>
      <c r="S6960" t="str">
        <f t="shared" si="2831"/>
        <v>Approved</v>
      </c>
      <c r="T6960" t="str">
        <f t="shared" si="2843"/>
        <v>10.20.8.188</v>
      </c>
      <c r="U6960" t="str">
        <f t="shared" si="2832"/>
        <v>AZRAD UMAR BIN SHAARI</v>
      </c>
      <c r="V6960" t="str">
        <f t="shared" si="2833"/>
        <v>FARHANA BINTI MUSTAPA</v>
      </c>
      <c r="W6960" t="str">
        <f t="shared" si="2834"/>
        <v>04-08-2020</v>
      </c>
      <c r="X6960" t="str">
        <f t="shared" si="2835"/>
        <v>RAZIMAH ANSAR AHMAD</v>
      </c>
      <c r="Y6960" t="str">
        <f t="shared" si="2836"/>
        <v>04-08-2020</v>
      </c>
      <c r="Z6960" t="str">
        <f>"COS10200804 2194"</f>
        <v>COS10200804 2194</v>
      </c>
    </row>
    <row r="6961" spans="1:26" x14ac:dyDescent="0.25">
      <c r="A6961" t="str">
        <f t="shared" si="2846"/>
        <v>04-08-2020 12:36:35</v>
      </c>
      <c r="B6961" t="str">
        <f>"0000803951"</f>
        <v>0000803951</v>
      </c>
      <c r="C6961" t="str">
        <f t="shared" si="2847"/>
        <v>0000803758</v>
      </c>
      <c r="D6961" t="str">
        <f t="shared" si="2826"/>
        <v>73185</v>
      </c>
      <c r="E6961" t="str">
        <f t="shared" si="2827"/>
        <v>KFH-OPERATIONS DEPARTMENT</v>
      </c>
      <c r="F6961" t="str">
        <f t="shared" si="2828"/>
        <v>IBG</v>
      </c>
      <c r="G6961" t="str">
        <f t="shared" si="2837"/>
        <v>Refund COSHARE 10</v>
      </c>
      <c r="H6961" s="2">
        <v>266</v>
      </c>
      <c r="I6961" t="str">
        <f>"ADRIANA BINTI JOANNES LUNG"</f>
        <v>ADRIANA BINTI JOANNES LUNG</v>
      </c>
      <c r="J6961" t="str">
        <f t="shared" si="2823"/>
        <v>CIMB BANK / CIMB ISLAMIC BANK</v>
      </c>
      <c r="K6961" t="str">
        <f>"10040036988523"</f>
        <v>10040036988523</v>
      </c>
      <c r="L6961" t="str">
        <f t="shared" si="2844"/>
        <v>04-08-2020</v>
      </c>
      <c r="M6961" t="str">
        <f t="shared" si="2844"/>
        <v>04-08-2020</v>
      </c>
      <c r="N6961" t="str">
        <f t="shared" si="2829"/>
        <v>001105018356</v>
      </c>
      <c r="O6961" t="str">
        <f t="shared" si="2830"/>
        <v>MYR</v>
      </c>
      <c r="P6961" t="str">
        <f t="shared" si="2845"/>
        <v>NIL</v>
      </c>
      <c r="Q6961" t="str">
        <f t="shared" si="2845"/>
        <v>NIL</v>
      </c>
      <c r="R6961" t="str">
        <f t="shared" si="2842"/>
        <v>Accepted</v>
      </c>
      <c r="S6961" t="str">
        <f t="shared" si="2831"/>
        <v>Approved</v>
      </c>
      <c r="T6961" t="str">
        <f t="shared" si="2843"/>
        <v>10.20.8.188</v>
      </c>
      <c r="U6961" t="str">
        <f t="shared" si="2832"/>
        <v>AZRAD UMAR BIN SHAARI</v>
      </c>
      <c r="V6961" t="str">
        <f t="shared" si="2833"/>
        <v>FARHANA BINTI MUSTAPA</v>
      </c>
      <c r="W6961" t="str">
        <f t="shared" si="2834"/>
        <v>04-08-2020</v>
      </c>
      <c r="X6961" t="str">
        <f t="shared" si="2835"/>
        <v>RAZIMAH ANSAR AHMAD</v>
      </c>
      <c r="Y6961" t="str">
        <f t="shared" si="2836"/>
        <v>04-08-2020</v>
      </c>
      <c r="Z6961" t="str">
        <f>"COS10200804 2193"</f>
        <v>COS10200804 2193</v>
      </c>
    </row>
    <row r="6962" spans="1:26" x14ac:dyDescent="0.25">
      <c r="A6962" t="str">
        <f t="shared" si="2846"/>
        <v>04-08-2020 12:36:35</v>
      </c>
      <c r="B6962" t="str">
        <f>"0000803950"</f>
        <v>0000803950</v>
      </c>
      <c r="C6962" t="str">
        <f t="shared" si="2847"/>
        <v>0000803758</v>
      </c>
      <c r="D6962" t="str">
        <f t="shared" si="2826"/>
        <v>73185</v>
      </c>
      <c r="E6962" t="str">
        <f t="shared" si="2827"/>
        <v>KFH-OPERATIONS DEPARTMENT</v>
      </c>
      <c r="F6962" t="str">
        <f t="shared" si="2828"/>
        <v>IBG</v>
      </c>
      <c r="G6962" t="str">
        <f t="shared" si="2837"/>
        <v>Refund COSHARE 10</v>
      </c>
      <c r="H6962" s="2">
        <v>335.8</v>
      </c>
      <c r="I6962" t="str">
        <f>"ADPATIYAWAN BIN AHMAD"</f>
        <v>ADPATIYAWAN BIN AHMAD</v>
      </c>
      <c r="J6962" t="str">
        <f t="shared" si="2823"/>
        <v>CIMB BANK / CIMB ISLAMIC BANK</v>
      </c>
      <c r="K6962" t="str">
        <f>"7037591789"</f>
        <v>7037591789</v>
      </c>
      <c r="L6962" t="str">
        <f t="shared" si="2844"/>
        <v>04-08-2020</v>
      </c>
      <c r="M6962" t="str">
        <f t="shared" si="2844"/>
        <v>04-08-2020</v>
      </c>
      <c r="N6962" t="str">
        <f t="shared" si="2829"/>
        <v>001105018356</v>
      </c>
      <c r="O6962" t="str">
        <f t="shared" si="2830"/>
        <v>MYR</v>
      </c>
      <c r="P6962" t="str">
        <f t="shared" si="2845"/>
        <v>NIL</v>
      </c>
      <c r="Q6962" t="str">
        <f t="shared" si="2845"/>
        <v>NIL</v>
      </c>
      <c r="R6962" t="str">
        <f t="shared" si="2842"/>
        <v>Accepted</v>
      </c>
      <c r="S6962" t="str">
        <f t="shared" si="2831"/>
        <v>Approved</v>
      </c>
      <c r="T6962" t="str">
        <f t="shared" si="2843"/>
        <v>10.20.8.188</v>
      </c>
      <c r="U6962" t="str">
        <f t="shared" si="2832"/>
        <v>AZRAD UMAR BIN SHAARI</v>
      </c>
      <c r="V6962" t="str">
        <f t="shared" si="2833"/>
        <v>FARHANA BINTI MUSTAPA</v>
      </c>
      <c r="W6962" t="str">
        <f t="shared" si="2834"/>
        <v>04-08-2020</v>
      </c>
      <c r="X6962" t="str">
        <f t="shared" si="2835"/>
        <v>RAZIMAH ANSAR AHMAD</v>
      </c>
      <c r="Y6962" t="str">
        <f t="shared" si="2836"/>
        <v>04-08-2020</v>
      </c>
      <c r="Z6962" t="str">
        <f>"COS10200804 2192"</f>
        <v>COS10200804 2192</v>
      </c>
    </row>
    <row r="6963" spans="1:26" x14ac:dyDescent="0.25">
      <c r="A6963" t="str">
        <f t="shared" si="2846"/>
        <v>04-08-2020 12:36:35</v>
      </c>
      <c r="B6963" t="str">
        <f>"0000803949"</f>
        <v>0000803949</v>
      </c>
      <c r="C6963" t="str">
        <f t="shared" si="2847"/>
        <v>0000803758</v>
      </c>
      <c r="D6963" t="str">
        <f t="shared" si="2826"/>
        <v>73185</v>
      </c>
      <c r="E6963" t="str">
        <f t="shared" si="2827"/>
        <v>KFH-OPERATIONS DEPARTMENT</v>
      </c>
      <c r="F6963" t="str">
        <f t="shared" si="2828"/>
        <v>IBG</v>
      </c>
      <c r="G6963" t="str">
        <f t="shared" si="2837"/>
        <v>Refund COSHARE 10</v>
      </c>
      <c r="H6963" s="2">
        <v>1242</v>
      </c>
      <c r="I6963" t="str">
        <f>"ADNAN BIN HADRI"</f>
        <v>ADNAN BIN HADRI</v>
      </c>
      <c r="J6963" t="str">
        <f t="shared" si="2823"/>
        <v>CIMB BANK / CIMB ISLAMIC BANK</v>
      </c>
      <c r="K6963" t="str">
        <f>"14400102255523"</f>
        <v>14400102255523</v>
      </c>
      <c r="L6963" t="str">
        <f t="shared" si="2844"/>
        <v>04-08-2020</v>
      </c>
      <c r="M6963" t="str">
        <f t="shared" si="2844"/>
        <v>04-08-2020</v>
      </c>
      <c r="N6963" t="str">
        <f t="shared" si="2829"/>
        <v>001105018356</v>
      </c>
      <c r="O6963" t="str">
        <f t="shared" si="2830"/>
        <v>MYR</v>
      </c>
      <c r="P6963" t="str">
        <f t="shared" si="2845"/>
        <v>NIL</v>
      </c>
      <c r="Q6963" t="str">
        <f t="shared" si="2845"/>
        <v>NIL</v>
      </c>
      <c r="R6963" t="str">
        <f t="shared" si="2842"/>
        <v>Accepted</v>
      </c>
      <c r="S6963" t="str">
        <f t="shared" si="2831"/>
        <v>Approved</v>
      </c>
      <c r="T6963" t="str">
        <f t="shared" si="2843"/>
        <v>10.20.8.188</v>
      </c>
      <c r="U6963" t="str">
        <f t="shared" si="2832"/>
        <v>AZRAD UMAR BIN SHAARI</v>
      </c>
      <c r="V6963" t="str">
        <f t="shared" si="2833"/>
        <v>FARHANA BINTI MUSTAPA</v>
      </c>
      <c r="W6963" t="str">
        <f t="shared" si="2834"/>
        <v>04-08-2020</v>
      </c>
      <c r="X6963" t="str">
        <f t="shared" si="2835"/>
        <v>RAZIMAH ANSAR AHMAD</v>
      </c>
      <c r="Y6963" t="str">
        <f t="shared" si="2836"/>
        <v>04-08-2020</v>
      </c>
      <c r="Z6963" t="str">
        <f>"COS10200804 2191"</f>
        <v>COS10200804 2191</v>
      </c>
    </row>
    <row r="6964" spans="1:26" x14ac:dyDescent="0.25">
      <c r="A6964" t="str">
        <f t="shared" si="2846"/>
        <v>04-08-2020 12:36:35</v>
      </c>
      <c r="B6964" t="str">
        <f>"0000803948"</f>
        <v>0000803948</v>
      </c>
      <c r="C6964" t="str">
        <f t="shared" si="2847"/>
        <v>0000803758</v>
      </c>
      <c r="D6964" t="str">
        <f t="shared" si="2826"/>
        <v>73185</v>
      </c>
      <c r="E6964" t="str">
        <f t="shared" si="2827"/>
        <v>KFH-OPERATIONS DEPARTMENT</v>
      </c>
      <c r="F6964" t="str">
        <f t="shared" si="2828"/>
        <v>IBG</v>
      </c>
      <c r="G6964" t="str">
        <f t="shared" si="2837"/>
        <v>Refund COSHARE 10</v>
      </c>
      <c r="H6964" s="2">
        <v>167.9</v>
      </c>
      <c r="I6964" t="str">
        <f>"ADILAH BINTI YAACOB"</f>
        <v>ADILAH BINTI YAACOB</v>
      </c>
      <c r="J6964" t="str">
        <f t="shared" si="2823"/>
        <v>CIMB BANK / CIMB ISLAMIC BANK</v>
      </c>
      <c r="K6964" t="str">
        <f>"02060050871522"</f>
        <v>02060050871522</v>
      </c>
      <c r="L6964" t="str">
        <f t="shared" si="2844"/>
        <v>04-08-2020</v>
      </c>
      <c r="M6964" t="str">
        <f t="shared" si="2844"/>
        <v>04-08-2020</v>
      </c>
      <c r="N6964" t="str">
        <f t="shared" si="2829"/>
        <v>001105018356</v>
      </c>
      <c r="O6964" t="str">
        <f t="shared" si="2830"/>
        <v>MYR</v>
      </c>
      <c r="P6964" t="str">
        <f t="shared" si="2845"/>
        <v>NIL</v>
      </c>
      <c r="Q6964" t="str">
        <f t="shared" si="2845"/>
        <v>NIL</v>
      </c>
      <c r="R6964" t="str">
        <f t="shared" si="2842"/>
        <v>Accepted</v>
      </c>
      <c r="S6964" t="str">
        <f t="shared" si="2831"/>
        <v>Approved</v>
      </c>
      <c r="T6964" t="str">
        <f t="shared" si="2843"/>
        <v>10.20.8.188</v>
      </c>
      <c r="U6964" t="str">
        <f t="shared" si="2832"/>
        <v>AZRAD UMAR BIN SHAARI</v>
      </c>
      <c r="V6964" t="str">
        <f t="shared" si="2833"/>
        <v>FARHANA BINTI MUSTAPA</v>
      </c>
      <c r="W6964" t="str">
        <f t="shared" si="2834"/>
        <v>04-08-2020</v>
      </c>
      <c r="X6964" t="str">
        <f t="shared" si="2835"/>
        <v>RAZIMAH ANSAR AHMAD</v>
      </c>
      <c r="Y6964" t="str">
        <f t="shared" si="2836"/>
        <v>04-08-2020</v>
      </c>
      <c r="Z6964" t="str">
        <f>"COS10200804 2190"</f>
        <v>COS10200804 2190</v>
      </c>
    </row>
    <row r="6965" spans="1:26" x14ac:dyDescent="0.25">
      <c r="A6965" t="str">
        <f t="shared" si="2846"/>
        <v>04-08-2020 12:36:35</v>
      </c>
      <c r="B6965" t="str">
        <f>"0000803947"</f>
        <v>0000803947</v>
      </c>
      <c r="C6965" t="str">
        <f t="shared" si="2847"/>
        <v>0000803758</v>
      </c>
      <c r="D6965" t="str">
        <f t="shared" si="2826"/>
        <v>73185</v>
      </c>
      <c r="E6965" t="str">
        <f t="shared" si="2827"/>
        <v>KFH-OPERATIONS DEPARTMENT</v>
      </c>
      <c r="F6965" t="str">
        <f t="shared" si="2828"/>
        <v>IBG</v>
      </c>
      <c r="G6965" t="str">
        <f t="shared" si="2837"/>
        <v>Refund COSHARE 10</v>
      </c>
      <c r="H6965" s="2">
        <v>42</v>
      </c>
      <c r="I6965" t="str">
        <f>"ADIBAH HAFIZAH BINTI ISMAIL  DAUD"</f>
        <v>ADIBAH HAFIZAH BINTI ISMAIL  DAUD</v>
      </c>
      <c r="J6965" t="str">
        <f t="shared" si="2823"/>
        <v>CIMB BANK / CIMB ISLAMIC BANK</v>
      </c>
      <c r="K6965" t="str">
        <f>"06120030292520"</f>
        <v>06120030292520</v>
      </c>
      <c r="L6965" t="str">
        <f t="shared" si="2844"/>
        <v>04-08-2020</v>
      </c>
      <c r="M6965" t="str">
        <f t="shared" si="2844"/>
        <v>04-08-2020</v>
      </c>
      <c r="N6965" t="str">
        <f t="shared" si="2829"/>
        <v>001105018356</v>
      </c>
      <c r="O6965" t="str">
        <f t="shared" si="2830"/>
        <v>MYR</v>
      </c>
      <c r="P6965" t="str">
        <f t="shared" si="2845"/>
        <v>NIL</v>
      </c>
      <c r="Q6965" t="str">
        <f t="shared" si="2845"/>
        <v>NIL</v>
      </c>
      <c r="R6965" t="str">
        <f t="shared" si="2842"/>
        <v>Accepted</v>
      </c>
      <c r="S6965" t="str">
        <f t="shared" si="2831"/>
        <v>Approved</v>
      </c>
      <c r="T6965" t="str">
        <f t="shared" si="2843"/>
        <v>10.20.8.188</v>
      </c>
      <c r="U6965" t="str">
        <f t="shared" si="2832"/>
        <v>AZRAD UMAR BIN SHAARI</v>
      </c>
      <c r="V6965" t="str">
        <f t="shared" si="2833"/>
        <v>FARHANA BINTI MUSTAPA</v>
      </c>
      <c r="W6965" t="str">
        <f t="shared" si="2834"/>
        <v>04-08-2020</v>
      </c>
      <c r="X6965" t="str">
        <f t="shared" si="2835"/>
        <v>RAZIMAH ANSAR AHMAD</v>
      </c>
      <c r="Y6965" t="str">
        <f t="shared" si="2836"/>
        <v>04-08-2020</v>
      </c>
      <c r="Z6965" t="str">
        <f>"COS10200804 2189"</f>
        <v>COS10200804 2189</v>
      </c>
    </row>
    <row r="6966" spans="1:26" x14ac:dyDescent="0.25">
      <c r="A6966" t="str">
        <f t="shared" si="2846"/>
        <v>04-08-2020 12:36:35</v>
      </c>
      <c r="B6966" t="str">
        <f>"0000803946"</f>
        <v>0000803946</v>
      </c>
      <c r="C6966" t="str">
        <f t="shared" si="2847"/>
        <v>0000803758</v>
      </c>
      <c r="D6966" t="str">
        <f t="shared" si="2826"/>
        <v>73185</v>
      </c>
      <c r="E6966" t="str">
        <f t="shared" si="2827"/>
        <v>KFH-OPERATIONS DEPARTMENT</v>
      </c>
      <c r="F6966" t="str">
        <f t="shared" si="2828"/>
        <v>IBG</v>
      </c>
      <c r="G6966" t="str">
        <f t="shared" si="2837"/>
        <v>Refund COSHARE 10</v>
      </c>
      <c r="H6966" s="2">
        <v>545.70000000000005</v>
      </c>
      <c r="I6966" t="str">
        <f>"ADI NUR FITRY BIN IDRIS"</f>
        <v>ADI NUR FITRY BIN IDRIS</v>
      </c>
      <c r="J6966" t="str">
        <f t="shared" si="2823"/>
        <v>CIMB BANK / CIMB ISLAMIC BANK</v>
      </c>
      <c r="K6966" t="str">
        <f>"7003948864"</f>
        <v>7003948864</v>
      </c>
      <c r="L6966" t="str">
        <f t="shared" si="2844"/>
        <v>04-08-2020</v>
      </c>
      <c r="M6966" t="str">
        <f t="shared" si="2844"/>
        <v>04-08-2020</v>
      </c>
      <c r="N6966" t="str">
        <f t="shared" si="2829"/>
        <v>001105018356</v>
      </c>
      <c r="O6966" t="str">
        <f t="shared" si="2830"/>
        <v>MYR</v>
      </c>
      <c r="P6966" t="str">
        <f t="shared" si="2845"/>
        <v>NIL</v>
      </c>
      <c r="Q6966" t="str">
        <f t="shared" si="2845"/>
        <v>NIL</v>
      </c>
      <c r="R6966" t="str">
        <f t="shared" si="2842"/>
        <v>Accepted</v>
      </c>
      <c r="S6966" t="str">
        <f t="shared" si="2831"/>
        <v>Approved</v>
      </c>
      <c r="T6966" t="str">
        <f t="shared" si="2843"/>
        <v>10.20.8.188</v>
      </c>
      <c r="U6966" t="str">
        <f t="shared" si="2832"/>
        <v>AZRAD UMAR BIN SHAARI</v>
      </c>
      <c r="V6966" t="str">
        <f t="shared" si="2833"/>
        <v>FARHANA BINTI MUSTAPA</v>
      </c>
      <c r="W6966" t="str">
        <f t="shared" si="2834"/>
        <v>04-08-2020</v>
      </c>
      <c r="X6966" t="str">
        <f t="shared" si="2835"/>
        <v>RAZIMAH ANSAR AHMAD</v>
      </c>
      <c r="Y6966" t="str">
        <f t="shared" si="2836"/>
        <v>04-08-2020</v>
      </c>
      <c r="Z6966" t="str">
        <f>"COS10200804 2188"</f>
        <v>COS10200804 2188</v>
      </c>
    </row>
    <row r="6967" spans="1:26" x14ac:dyDescent="0.25">
      <c r="A6967" t="str">
        <f t="shared" si="2846"/>
        <v>04-08-2020 12:36:35</v>
      </c>
      <c r="B6967" t="str">
        <f>"0000803945"</f>
        <v>0000803945</v>
      </c>
      <c r="C6967" t="str">
        <f t="shared" si="2847"/>
        <v>0000803758</v>
      </c>
      <c r="D6967" t="str">
        <f t="shared" si="2826"/>
        <v>73185</v>
      </c>
      <c r="E6967" t="str">
        <f t="shared" si="2827"/>
        <v>KFH-OPERATIONS DEPARTMENT</v>
      </c>
      <c r="F6967" t="str">
        <f t="shared" si="2828"/>
        <v>IBG</v>
      </c>
      <c r="G6967" t="str">
        <f t="shared" si="2837"/>
        <v>Refund COSHARE 10</v>
      </c>
      <c r="H6967" s="2">
        <v>237.9</v>
      </c>
      <c r="I6967" t="str">
        <f>"ADHAM BIN ADAM"</f>
        <v>ADHAM BIN ADAM</v>
      </c>
      <c r="J6967" t="str">
        <f t="shared" si="2823"/>
        <v>CIMB BANK / CIMB ISLAMIC BANK</v>
      </c>
      <c r="K6967" t="str">
        <f>"01170065526528"</f>
        <v>01170065526528</v>
      </c>
      <c r="L6967" t="str">
        <f t="shared" ref="L6967:M6986" si="2848">"04-08-2020"</f>
        <v>04-08-2020</v>
      </c>
      <c r="M6967" t="str">
        <f t="shared" si="2848"/>
        <v>04-08-2020</v>
      </c>
      <c r="N6967" t="str">
        <f t="shared" si="2829"/>
        <v>001105018356</v>
      </c>
      <c r="O6967" t="str">
        <f t="shared" si="2830"/>
        <v>MYR</v>
      </c>
      <c r="P6967" t="str">
        <f t="shared" ref="P6967:Q6986" si="2849">"NIL"</f>
        <v>NIL</v>
      </c>
      <c r="Q6967" t="str">
        <f t="shared" si="2849"/>
        <v>NIL</v>
      </c>
      <c r="R6967" t="str">
        <f t="shared" si="2842"/>
        <v>Accepted</v>
      </c>
      <c r="S6967" t="str">
        <f t="shared" si="2831"/>
        <v>Approved</v>
      </c>
      <c r="T6967" t="str">
        <f t="shared" si="2843"/>
        <v>10.20.8.188</v>
      </c>
      <c r="U6967" t="str">
        <f t="shared" si="2832"/>
        <v>AZRAD UMAR BIN SHAARI</v>
      </c>
      <c r="V6967" t="str">
        <f t="shared" si="2833"/>
        <v>FARHANA BINTI MUSTAPA</v>
      </c>
      <c r="W6967" t="str">
        <f t="shared" si="2834"/>
        <v>04-08-2020</v>
      </c>
      <c r="X6967" t="str">
        <f t="shared" si="2835"/>
        <v>RAZIMAH ANSAR AHMAD</v>
      </c>
      <c r="Y6967" t="str">
        <f t="shared" si="2836"/>
        <v>04-08-2020</v>
      </c>
      <c r="Z6967" t="str">
        <f>"COS10200804 2187"</f>
        <v>COS10200804 2187</v>
      </c>
    </row>
    <row r="6968" spans="1:26" x14ac:dyDescent="0.25">
      <c r="A6968" t="str">
        <f t="shared" si="2846"/>
        <v>04-08-2020 12:36:35</v>
      </c>
      <c r="B6968" t="str">
        <f>"0000803944"</f>
        <v>0000803944</v>
      </c>
      <c r="C6968" t="str">
        <f t="shared" si="2847"/>
        <v>0000803758</v>
      </c>
      <c r="D6968" t="str">
        <f t="shared" si="2826"/>
        <v>73185</v>
      </c>
      <c r="E6968" t="str">
        <f t="shared" si="2827"/>
        <v>KFH-OPERATIONS DEPARTMENT</v>
      </c>
      <c r="F6968" t="str">
        <f t="shared" si="2828"/>
        <v>IBG</v>
      </c>
      <c r="G6968" t="str">
        <f t="shared" si="2837"/>
        <v>Refund COSHARE 10</v>
      </c>
      <c r="H6968" s="2">
        <v>193.1</v>
      </c>
      <c r="I6968" t="str">
        <f>"ADDRY UTAM"</f>
        <v>ADDRY UTAM</v>
      </c>
      <c r="J6968" t="str">
        <f t="shared" si="2823"/>
        <v>CIMB BANK / CIMB ISLAMIC BANK</v>
      </c>
      <c r="K6968" t="str">
        <f>"03060037674520"</f>
        <v>03060037674520</v>
      </c>
      <c r="L6968" t="str">
        <f t="shared" si="2848"/>
        <v>04-08-2020</v>
      </c>
      <c r="M6968" t="str">
        <f t="shared" si="2848"/>
        <v>04-08-2020</v>
      </c>
      <c r="N6968" t="str">
        <f t="shared" si="2829"/>
        <v>001105018356</v>
      </c>
      <c r="O6968" t="str">
        <f t="shared" si="2830"/>
        <v>MYR</v>
      </c>
      <c r="P6968" t="str">
        <f t="shared" si="2849"/>
        <v>NIL</v>
      </c>
      <c r="Q6968" t="str">
        <f t="shared" si="2849"/>
        <v>NIL</v>
      </c>
      <c r="R6968" t="str">
        <f t="shared" si="2842"/>
        <v>Accepted</v>
      </c>
      <c r="S6968" t="str">
        <f t="shared" si="2831"/>
        <v>Approved</v>
      </c>
      <c r="T6968" t="str">
        <f t="shared" si="2843"/>
        <v>10.20.8.188</v>
      </c>
      <c r="U6968" t="str">
        <f t="shared" si="2832"/>
        <v>AZRAD UMAR BIN SHAARI</v>
      </c>
      <c r="V6968" t="str">
        <f t="shared" si="2833"/>
        <v>FARHANA BINTI MUSTAPA</v>
      </c>
      <c r="W6968" t="str">
        <f t="shared" si="2834"/>
        <v>04-08-2020</v>
      </c>
      <c r="X6968" t="str">
        <f t="shared" si="2835"/>
        <v>RAZIMAH ANSAR AHMAD</v>
      </c>
      <c r="Y6968" t="str">
        <f t="shared" si="2836"/>
        <v>04-08-2020</v>
      </c>
      <c r="Z6968" t="str">
        <f>"COS10200804 2186"</f>
        <v>COS10200804 2186</v>
      </c>
    </row>
    <row r="6969" spans="1:26" x14ac:dyDescent="0.25">
      <c r="A6969" t="str">
        <f t="shared" si="2846"/>
        <v>04-08-2020 12:36:35</v>
      </c>
      <c r="B6969" t="str">
        <f>"0000803943"</f>
        <v>0000803943</v>
      </c>
      <c r="C6969" t="str">
        <f t="shared" si="2847"/>
        <v>0000803758</v>
      </c>
      <c r="D6969" t="str">
        <f t="shared" si="2826"/>
        <v>73185</v>
      </c>
      <c r="E6969" t="str">
        <f t="shared" si="2827"/>
        <v>KFH-OPERATIONS DEPARTMENT</v>
      </c>
      <c r="F6969" t="str">
        <f t="shared" si="2828"/>
        <v>IBG</v>
      </c>
      <c r="G6969" t="str">
        <f t="shared" si="2837"/>
        <v>Refund COSHARE 10</v>
      </c>
      <c r="H6969" s="2">
        <v>975.7</v>
      </c>
      <c r="I6969" t="str">
        <f>"ABIDAH BINTI FAZIL"</f>
        <v>ABIDAH BINTI FAZIL</v>
      </c>
      <c r="J6969" t="str">
        <f t="shared" si="2823"/>
        <v>CIMB BANK / CIMB ISLAMIC BANK</v>
      </c>
      <c r="K6969" t="str">
        <f>"07180004471526"</f>
        <v>07180004471526</v>
      </c>
      <c r="L6969" t="str">
        <f t="shared" si="2848"/>
        <v>04-08-2020</v>
      </c>
      <c r="M6969" t="str">
        <f t="shared" si="2848"/>
        <v>04-08-2020</v>
      </c>
      <c r="N6969" t="str">
        <f t="shared" si="2829"/>
        <v>001105018356</v>
      </c>
      <c r="O6969" t="str">
        <f t="shared" si="2830"/>
        <v>MYR</v>
      </c>
      <c r="P6969" t="str">
        <f t="shared" si="2849"/>
        <v>NIL</v>
      </c>
      <c r="Q6969" t="str">
        <f t="shared" si="2849"/>
        <v>NIL</v>
      </c>
      <c r="R6969" t="str">
        <f t="shared" si="2842"/>
        <v>Accepted</v>
      </c>
      <c r="S6969" t="str">
        <f t="shared" si="2831"/>
        <v>Approved</v>
      </c>
      <c r="T6969" t="str">
        <f t="shared" si="2843"/>
        <v>10.20.8.188</v>
      </c>
      <c r="U6969" t="str">
        <f t="shared" si="2832"/>
        <v>AZRAD UMAR BIN SHAARI</v>
      </c>
      <c r="V6969" t="str">
        <f t="shared" si="2833"/>
        <v>FARHANA BINTI MUSTAPA</v>
      </c>
      <c r="W6969" t="str">
        <f t="shared" si="2834"/>
        <v>04-08-2020</v>
      </c>
      <c r="X6969" t="str">
        <f t="shared" si="2835"/>
        <v>RAZIMAH ANSAR AHMAD</v>
      </c>
      <c r="Y6969" t="str">
        <f t="shared" si="2836"/>
        <v>04-08-2020</v>
      </c>
      <c r="Z6969" t="str">
        <f>"COS10200804 2185"</f>
        <v>COS10200804 2185</v>
      </c>
    </row>
    <row r="6970" spans="1:26" x14ac:dyDescent="0.25">
      <c r="A6970" t="str">
        <f t="shared" si="2846"/>
        <v>04-08-2020 12:36:35</v>
      </c>
      <c r="B6970" t="str">
        <f>"0000803942"</f>
        <v>0000803942</v>
      </c>
      <c r="C6970" t="str">
        <f t="shared" si="2847"/>
        <v>0000803758</v>
      </c>
      <c r="D6970" t="str">
        <f t="shared" si="2826"/>
        <v>73185</v>
      </c>
      <c r="E6970" t="str">
        <f t="shared" si="2827"/>
        <v>KFH-OPERATIONS DEPARTMENT</v>
      </c>
      <c r="F6970" t="str">
        <f t="shared" si="2828"/>
        <v>IBG</v>
      </c>
      <c r="G6970" t="str">
        <f t="shared" si="2837"/>
        <v>Refund COSHARE 10</v>
      </c>
      <c r="H6970" s="2">
        <v>71.650000000000006</v>
      </c>
      <c r="I6970" t="str">
        <f>"ABDULLAH SAIDI BIN SAMAD"</f>
        <v>ABDULLAH SAIDI BIN SAMAD</v>
      </c>
      <c r="J6970" t="str">
        <f t="shared" si="2823"/>
        <v>CIMB BANK / CIMB ISLAMIC BANK</v>
      </c>
      <c r="K6970" t="str">
        <f>"7035364874"</f>
        <v>7035364874</v>
      </c>
      <c r="L6970" t="str">
        <f t="shared" si="2848"/>
        <v>04-08-2020</v>
      </c>
      <c r="M6970" t="str">
        <f t="shared" si="2848"/>
        <v>04-08-2020</v>
      </c>
      <c r="N6970" t="str">
        <f t="shared" si="2829"/>
        <v>001105018356</v>
      </c>
      <c r="O6970" t="str">
        <f t="shared" si="2830"/>
        <v>MYR</v>
      </c>
      <c r="P6970" t="str">
        <f t="shared" si="2849"/>
        <v>NIL</v>
      </c>
      <c r="Q6970" t="str">
        <f t="shared" si="2849"/>
        <v>NIL</v>
      </c>
      <c r="R6970" t="str">
        <f t="shared" si="2842"/>
        <v>Accepted</v>
      </c>
      <c r="S6970" t="str">
        <f t="shared" si="2831"/>
        <v>Approved</v>
      </c>
      <c r="T6970" t="str">
        <f t="shared" si="2843"/>
        <v>10.20.8.188</v>
      </c>
      <c r="U6970" t="str">
        <f t="shared" si="2832"/>
        <v>AZRAD UMAR BIN SHAARI</v>
      </c>
      <c r="V6970" t="str">
        <f t="shared" si="2833"/>
        <v>FARHANA BINTI MUSTAPA</v>
      </c>
      <c r="W6970" t="str">
        <f t="shared" si="2834"/>
        <v>04-08-2020</v>
      </c>
      <c r="X6970" t="str">
        <f t="shared" si="2835"/>
        <v>RAZIMAH ANSAR AHMAD</v>
      </c>
      <c r="Y6970" t="str">
        <f t="shared" si="2836"/>
        <v>04-08-2020</v>
      </c>
      <c r="Z6970" t="str">
        <f>"COS10200804 2184"</f>
        <v>COS10200804 2184</v>
      </c>
    </row>
    <row r="6971" spans="1:26" x14ac:dyDescent="0.25">
      <c r="A6971" t="str">
        <f t="shared" si="2846"/>
        <v>04-08-2020 12:36:35</v>
      </c>
      <c r="B6971" t="str">
        <f>"0000803941"</f>
        <v>0000803941</v>
      </c>
      <c r="C6971" t="str">
        <f t="shared" si="2847"/>
        <v>0000803758</v>
      </c>
      <c r="D6971" t="str">
        <f t="shared" si="2826"/>
        <v>73185</v>
      </c>
      <c r="E6971" t="str">
        <f t="shared" si="2827"/>
        <v>KFH-OPERATIONS DEPARTMENT</v>
      </c>
      <c r="F6971" t="str">
        <f t="shared" si="2828"/>
        <v>IBG</v>
      </c>
      <c r="G6971" t="str">
        <f t="shared" si="2837"/>
        <v>Refund COSHARE 10</v>
      </c>
      <c r="H6971" s="2">
        <v>71.650000000000006</v>
      </c>
      <c r="I6971" t="str">
        <f>"ABDULLAH SAIDI BIN SAMAD"</f>
        <v>ABDULLAH SAIDI BIN SAMAD</v>
      </c>
      <c r="J6971" t="str">
        <f t="shared" si="2823"/>
        <v>CIMB BANK / CIMB ISLAMIC BANK</v>
      </c>
      <c r="K6971" t="str">
        <f>"7035364874"</f>
        <v>7035364874</v>
      </c>
      <c r="L6971" t="str">
        <f t="shared" si="2848"/>
        <v>04-08-2020</v>
      </c>
      <c r="M6971" t="str">
        <f t="shared" si="2848"/>
        <v>04-08-2020</v>
      </c>
      <c r="N6971" t="str">
        <f t="shared" si="2829"/>
        <v>001105018356</v>
      </c>
      <c r="O6971" t="str">
        <f t="shared" si="2830"/>
        <v>MYR</v>
      </c>
      <c r="P6971" t="str">
        <f t="shared" si="2849"/>
        <v>NIL</v>
      </c>
      <c r="Q6971" t="str">
        <f t="shared" si="2849"/>
        <v>NIL</v>
      </c>
      <c r="R6971" t="str">
        <f t="shared" si="2842"/>
        <v>Accepted</v>
      </c>
      <c r="S6971" t="str">
        <f t="shared" si="2831"/>
        <v>Approved</v>
      </c>
      <c r="T6971" t="str">
        <f t="shared" si="2843"/>
        <v>10.20.8.188</v>
      </c>
      <c r="U6971" t="str">
        <f t="shared" si="2832"/>
        <v>AZRAD UMAR BIN SHAARI</v>
      </c>
      <c r="V6971" t="str">
        <f t="shared" si="2833"/>
        <v>FARHANA BINTI MUSTAPA</v>
      </c>
      <c r="W6971" t="str">
        <f t="shared" si="2834"/>
        <v>04-08-2020</v>
      </c>
      <c r="X6971" t="str">
        <f t="shared" si="2835"/>
        <v>RAZIMAH ANSAR AHMAD</v>
      </c>
      <c r="Y6971" t="str">
        <f t="shared" si="2836"/>
        <v>04-08-2020</v>
      </c>
      <c r="Z6971" t="str">
        <f>"COS10200804 2183"</f>
        <v>COS10200804 2183</v>
      </c>
    </row>
    <row r="6972" spans="1:26" x14ac:dyDescent="0.25">
      <c r="A6972" t="str">
        <f t="shared" si="2846"/>
        <v>04-08-2020 12:36:35</v>
      </c>
      <c r="B6972" t="str">
        <f>"0000803940"</f>
        <v>0000803940</v>
      </c>
      <c r="C6972" t="str">
        <f t="shared" si="2847"/>
        <v>0000803758</v>
      </c>
      <c r="D6972" t="str">
        <f t="shared" si="2826"/>
        <v>73185</v>
      </c>
      <c r="E6972" t="str">
        <f t="shared" si="2827"/>
        <v>KFH-OPERATIONS DEPARTMENT</v>
      </c>
      <c r="F6972" t="str">
        <f t="shared" si="2828"/>
        <v>IBG</v>
      </c>
      <c r="G6972" t="str">
        <f t="shared" si="2837"/>
        <v>Refund COSHARE 10</v>
      </c>
      <c r="H6972" s="2">
        <v>1511.1</v>
      </c>
      <c r="I6972" t="str">
        <f>"ABDULLAH BIN IBRAHIM"</f>
        <v>ABDULLAH BIN IBRAHIM</v>
      </c>
      <c r="J6972" t="str">
        <f t="shared" ref="J6972:J6995" si="2850">"CIMB BANK / CIMB ISLAMIC BANK"</f>
        <v>CIMB BANK / CIMB ISLAMIC BANK</v>
      </c>
      <c r="K6972" t="str">
        <f>"14400085532524"</f>
        <v>14400085532524</v>
      </c>
      <c r="L6972" t="str">
        <f t="shared" si="2848"/>
        <v>04-08-2020</v>
      </c>
      <c r="M6972" t="str">
        <f t="shared" si="2848"/>
        <v>04-08-2020</v>
      </c>
      <c r="N6972" t="str">
        <f t="shared" si="2829"/>
        <v>001105018356</v>
      </c>
      <c r="O6972" t="str">
        <f t="shared" si="2830"/>
        <v>MYR</v>
      </c>
      <c r="P6972" t="str">
        <f t="shared" si="2849"/>
        <v>NIL</v>
      </c>
      <c r="Q6972" t="str">
        <f t="shared" si="2849"/>
        <v>NIL</v>
      </c>
      <c r="R6972" t="str">
        <f t="shared" si="2842"/>
        <v>Accepted</v>
      </c>
      <c r="S6972" t="str">
        <f t="shared" si="2831"/>
        <v>Approved</v>
      </c>
      <c r="T6972" t="str">
        <f t="shared" si="2843"/>
        <v>10.20.8.188</v>
      </c>
      <c r="U6972" t="str">
        <f t="shared" si="2832"/>
        <v>AZRAD UMAR BIN SHAARI</v>
      </c>
      <c r="V6972" t="str">
        <f t="shared" si="2833"/>
        <v>FARHANA BINTI MUSTAPA</v>
      </c>
      <c r="W6972" t="str">
        <f t="shared" si="2834"/>
        <v>04-08-2020</v>
      </c>
      <c r="X6972" t="str">
        <f t="shared" si="2835"/>
        <v>RAZIMAH ANSAR AHMAD</v>
      </c>
      <c r="Y6972" t="str">
        <f t="shared" si="2836"/>
        <v>04-08-2020</v>
      </c>
      <c r="Z6972" t="str">
        <f>"COS10200804 2182"</f>
        <v>COS10200804 2182</v>
      </c>
    </row>
    <row r="6973" spans="1:26" x14ac:dyDescent="0.25">
      <c r="A6973" t="str">
        <f t="shared" si="2846"/>
        <v>04-08-2020 12:36:35</v>
      </c>
      <c r="B6973" t="str">
        <f>"0000803939"</f>
        <v>0000803939</v>
      </c>
      <c r="C6973" t="str">
        <f t="shared" si="2847"/>
        <v>0000803758</v>
      </c>
      <c r="D6973" t="str">
        <f t="shared" si="2826"/>
        <v>73185</v>
      </c>
      <c r="E6973" t="str">
        <f t="shared" si="2827"/>
        <v>KFH-OPERATIONS DEPARTMENT</v>
      </c>
      <c r="F6973" t="str">
        <f t="shared" si="2828"/>
        <v>IBG</v>
      </c>
      <c r="G6973" t="str">
        <f t="shared" si="2837"/>
        <v>Refund COSHARE 10</v>
      </c>
      <c r="H6973" s="2">
        <v>479</v>
      </c>
      <c r="I6973" t="str">
        <f>"ABDUL WAHID BIN ABDUL MUTALIP"</f>
        <v>ABDUL WAHID BIN ABDUL MUTALIP</v>
      </c>
      <c r="J6973" t="str">
        <f t="shared" si="2850"/>
        <v>CIMB BANK / CIMB ISLAMIC BANK</v>
      </c>
      <c r="K6973" t="str">
        <f>"14150028498527"</f>
        <v>14150028498527</v>
      </c>
      <c r="L6973" t="str">
        <f t="shared" si="2848"/>
        <v>04-08-2020</v>
      </c>
      <c r="M6973" t="str">
        <f t="shared" si="2848"/>
        <v>04-08-2020</v>
      </c>
      <c r="N6973" t="str">
        <f t="shared" si="2829"/>
        <v>001105018356</v>
      </c>
      <c r="O6973" t="str">
        <f t="shared" si="2830"/>
        <v>MYR</v>
      </c>
      <c r="P6973" t="str">
        <f t="shared" si="2849"/>
        <v>NIL</v>
      </c>
      <c r="Q6973" t="str">
        <f t="shared" si="2849"/>
        <v>NIL</v>
      </c>
      <c r="R6973" t="str">
        <f t="shared" si="2842"/>
        <v>Accepted</v>
      </c>
      <c r="S6973" t="str">
        <f t="shared" si="2831"/>
        <v>Approved</v>
      </c>
      <c r="T6973" t="str">
        <f t="shared" si="2843"/>
        <v>10.20.8.188</v>
      </c>
      <c r="U6973" t="str">
        <f t="shared" si="2832"/>
        <v>AZRAD UMAR BIN SHAARI</v>
      </c>
      <c r="V6973" t="str">
        <f t="shared" si="2833"/>
        <v>FARHANA BINTI MUSTAPA</v>
      </c>
      <c r="W6973" t="str">
        <f t="shared" si="2834"/>
        <v>04-08-2020</v>
      </c>
      <c r="X6973" t="str">
        <f t="shared" si="2835"/>
        <v>RAZIMAH ANSAR AHMAD</v>
      </c>
      <c r="Y6973" t="str">
        <f t="shared" si="2836"/>
        <v>04-08-2020</v>
      </c>
      <c r="Z6973" t="str">
        <f>"COS10200804 2181"</f>
        <v>COS10200804 2181</v>
      </c>
    </row>
    <row r="6974" spans="1:26" x14ac:dyDescent="0.25">
      <c r="A6974" t="str">
        <f t="shared" si="2846"/>
        <v>04-08-2020 12:36:35</v>
      </c>
      <c r="B6974" t="str">
        <f>"0000803938"</f>
        <v>0000803938</v>
      </c>
      <c r="C6974" t="str">
        <f t="shared" si="2847"/>
        <v>0000803758</v>
      </c>
      <c r="D6974" t="str">
        <f t="shared" si="2826"/>
        <v>73185</v>
      </c>
      <c r="E6974" t="str">
        <f t="shared" si="2827"/>
        <v>KFH-OPERATIONS DEPARTMENT</v>
      </c>
      <c r="F6974" t="str">
        <f t="shared" si="2828"/>
        <v>IBG</v>
      </c>
      <c r="G6974" t="str">
        <f t="shared" si="2837"/>
        <v>Refund COSHARE 10</v>
      </c>
      <c r="H6974" s="2">
        <v>266</v>
      </c>
      <c r="I6974" t="str">
        <f>"ABDUL RAZAK BIN MOHD DAIM"</f>
        <v>ABDUL RAZAK BIN MOHD DAIM</v>
      </c>
      <c r="J6974" t="str">
        <f t="shared" si="2850"/>
        <v>CIMB BANK / CIMB ISLAMIC BANK</v>
      </c>
      <c r="K6974" t="str">
        <f>"10090006592523"</f>
        <v>10090006592523</v>
      </c>
      <c r="L6974" t="str">
        <f t="shared" si="2848"/>
        <v>04-08-2020</v>
      </c>
      <c r="M6974" t="str">
        <f t="shared" si="2848"/>
        <v>04-08-2020</v>
      </c>
      <c r="N6974" t="str">
        <f t="shared" si="2829"/>
        <v>001105018356</v>
      </c>
      <c r="O6974" t="str">
        <f t="shared" si="2830"/>
        <v>MYR</v>
      </c>
      <c r="P6974" t="str">
        <f t="shared" si="2849"/>
        <v>NIL</v>
      </c>
      <c r="Q6974" t="str">
        <f t="shared" si="2849"/>
        <v>NIL</v>
      </c>
      <c r="R6974" t="str">
        <f t="shared" si="2842"/>
        <v>Accepted</v>
      </c>
      <c r="S6974" t="str">
        <f t="shared" si="2831"/>
        <v>Approved</v>
      </c>
      <c r="T6974" t="str">
        <f t="shared" si="2843"/>
        <v>10.20.8.188</v>
      </c>
      <c r="U6974" t="str">
        <f t="shared" si="2832"/>
        <v>AZRAD UMAR BIN SHAARI</v>
      </c>
      <c r="V6974" t="str">
        <f t="shared" si="2833"/>
        <v>FARHANA BINTI MUSTAPA</v>
      </c>
      <c r="W6974" t="str">
        <f t="shared" si="2834"/>
        <v>04-08-2020</v>
      </c>
      <c r="X6974" t="str">
        <f t="shared" si="2835"/>
        <v>RAZIMAH ANSAR AHMAD</v>
      </c>
      <c r="Y6974" t="str">
        <f t="shared" si="2836"/>
        <v>04-08-2020</v>
      </c>
      <c r="Z6974" t="str">
        <f>"COS10200804 2180"</f>
        <v>COS10200804 2180</v>
      </c>
    </row>
    <row r="6975" spans="1:26" x14ac:dyDescent="0.25">
      <c r="A6975" t="str">
        <f t="shared" si="2846"/>
        <v>04-08-2020 12:36:35</v>
      </c>
      <c r="B6975" t="str">
        <f>"0000803937"</f>
        <v>0000803937</v>
      </c>
      <c r="C6975" t="str">
        <f t="shared" si="2847"/>
        <v>0000803758</v>
      </c>
      <c r="D6975" t="str">
        <f t="shared" si="2826"/>
        <v>73185</v>
      </c>
      <c r="E6975" t="str">
        <f t="shared" si="2827"/>
        <v>KFH-OPERATIONS DEPARTMENT</v>
      </c>
      <c r="F6975" t="str">
        <f t="shared" si="2828"/>
        <v>IBG</v>
      </c>
      <c r="G6975" t="str">
        <f t="shared" si="2837"/>
        <v>Refund COSHARE 10</v>
      </c>
      <c r="H6975" s="2">
        <v>789</v>
      </c>
      <c r="I6975" t="str">
        <f>"ABDUL RASED BIN MAT ZIN"</f>
        <v>ABDUL RASED BIN MAT ZIN</v>
      </c>
      <c r="J6975" t="str">
        <f t="shared" si="2850"/>
        <v>CIMB BANK / CIMB ISLAMIC BANK</v>
      </c>
      <c r="K6975" t="str">
        <f>"7619077199"</f>
        <v>7619077199</v>
      </c>
      <c r="L6975" t="str">
        <f t="shared" si="2848"/>
        <v>04-08-2020</v>
      </c>
      <c r="M6975" t="str">
        <f t="shared" si="2848"/>
        <v>04-08-2020</v>
      </c>
      <c r="N6975" t="str">
        <f t="shared" si="2829"/>
        <v>001105018356</v>
      </c>
      <c r="O6975" t="str">
        <f t="shared" si="2830"/>
        <v>MYR</v>
      </c>
      <c r="P6975" t="str">
        <f t="shared" si="2849"/>
        <v>NIL</v>
      </c>
      <c r="Q6975" t="str">
        <f t="shared" si="2849"/>
        <v>NIL</v>
      </c>
      <c r="R6975" t="str">
        <f t="shared" si="2842"/>
        <v>Accepted</v>
      </c>
      <c r="S6975" t="str">
        <f t="shared" si="2831"/>
        <v>Approved</v>
      </c>
      <c r="T6975" t="str">
        <f t="shared" si="2843"/>
        <v>10.20.8.188</v>
      </c>
      <c r="U6975" t="str">
        <f t="shared" si="2832"/>
        <v>AZRAD UMAR BIN SHAARI</v>
      </c>
      <c r="V6975" t="str">
        <f t="shared" si="2833"/>
        <v>FARHANA BINTI MUSTAPA</v>
      </c>
      <c r="W6975" t="str">
        <f t="shared" si="2834"/>
        <v>04-08-2020</v>
      </c>
      <c r="X6975" t="str">
        <f t="shared" si="2835"/>
        <v>RAZIMAH ANSAR AHMAD</v>
      </c>
      <c r="Y6975" t="str">
        <f t="shared" si="2836"/>
        <v>04-08-2020</v>
      </c>
      <c r="Z6975" t="str">
        <f>"COS10200804 2179"</f>
        <v>COS10200804 2179</v>
      </c>
    </row>
    <row r="6976" spans="1:26" x14ac:dyDescent="0.25">
      <c r="A6976" t="str">
        <f t="shared" si="2846"/>
        <v>04-08-2020 12:36:35</v>
      </c>
      <c r="B6976" t="str">
        <f>"0000803936"</f>
        <v>0000803936</v>
      </c>
      <c r="C6976" t="str">
        <f t="shared" si="2847"/>
        <v>0000803758</v>
      </c>
      <c r="D6976" t="str">
        <f t="shared" si="2826"/>
        <v>73185</v>
      </c>
      <c r="E6976" t="str">
        <f t="shared" si="2827"/>
        <v>KFH-OPERATIONS DEPARTMENT</v>
      </c>
      <c r="F6976" t="str">
        <f t="shared" si="2828"/>
        <v>IBG</v>
      </c>
      <c r="G6976" t="str">
        <f t="shared" si="2837"/>
        <v>Refund COSHARE 10</v>
      </c>
      <c r="H6976" s="2">
        <v>948.65</v>
      </c>
      <c r="I6976" t="str">
        <f>"ABDUL RAOF BIN OTHMAN"</f>
        <v>ABDUL RAOF BIN OTHMAN</v>
      </c>
      <c r="J6976" t="str">
        <f t="shared" si="2850"/>
        <v>CIMB BANK / CIMB ISLAMIC BANK</v>
      </c>
      <c r="K6976" t="str">
        <f>"14590001101208"</f>
        <v>14590001101208</v>
      </c>
      <c r="L6976" t="str">
        <f t="shared" si="2848"/>
        <v>04-08-2020</v>
      </c>
      <c r="M6976" t="str">
        <f t="shared" si="2848"/>
        <v>04-08-2020</v>
      </c>
      <c r="N6976" t="str">
        <f t="shared" si="2829"/>
        <v>001105018356</v>
      </c>
      <c r="O6976" t="str">
        <f t="shared" si="2830"/>
        <v>MYR</v>
      </c>
      <c r="P6976" t="str">
        <f t="shared" si="2849"/>
        <v>NIL</v>
      </c>
      <c r="Q6976" t="str">
        <f t="shared" si="2849"/>
        <v>NIL</v>
      </c>
      <c r="R6976" t="str">
        <f t="shared" si="2842"/>
        <v>Accepted</v>
      </c>
      <c r="S6976" t="str">
        <f t="shared" si="2831"/>
        <v>Approved</v>
      </c>
      <c r="T6976" t="str">
        <f t="shared" si="2843"/>
        <v>10.20.8.188</v>
      </c>
      <c r="U6976" t="str">
        <f t="shared" si="2832"/>
        <v>AZRAD UMAR BIN SHAARI</v>
      </c>
      <c r="V6976" t="str">
        <f t="shared" si="2833"/>
        <v>FARHANA BINTI MUSTAPA</v>
      </c>
      <c r="W6976" t="str">
        <f t="shared" si="2834"/>
        <v>04-08-2020</v>
      </c>
      <c r="X6976" t="str">
        <f t="shared" si="2835"/>
        <v>RAZIMAH ANSAR AHMAD</v>
      </c>
      <c r="Y6976" t="str">
        <f t="shared" si="2836"/>
        <v>04-08-2020</v>
      </c>
      <c r="Z6976" t="str">
        <f>"COS10200804 2178"</f>
        <v>COS10200804 2178</v>
      </c>
    </row>
    <row r="6977" spans="1:26" x14ac:dyDescent="0.25">
      <c r="A6977" t="str">
        <f t="shared" si="2846"/>
        <v>04-08-2020 12:36:35</v>
      </c>
      <c r="B6977" t="str">
        <f>"0000803935"</f>
        <v>0000803935</v>
      </c>
      <c r="C6977" t="str">
        <f t="shared" si="2847"/>
        <v>0000803758</v>
      </c>
      <c r="D6977" t="str">
        <f t="shared" si="2826"/>
        <v>73185</v>
      </c>
      <c r="E6977" t="str">
        <f t="shared" si="2827"/>
        <v>KFH-OPERATIONS DEPARTMENT</v>
      </c>
      <c r="F6977" t="str">
        <f t="shared" si="2828"/>
        <v>IBG</v>
      </c>
      <c r="G6977" t="str">
        <f t="shared" si="2837"/>
        <v>Refund COSHARE 10</v>
      </c>
      <c r="H6977" s="2">
        <v>142</v>
      </c>
      <c r="I6977" t="str">
        <f>"ABDUL RAHMAN BIN MAHMUD"</f>
        <v>ABDUL RAHMAN BIN MAHMUD</v>
      </c>
      <c r="J6977" t="str">
        <f t="shared" si="2850"/>
        <v>CIMB BANK / CIMB ISLAMIC BANK</v>
      </c>
      <c r="K6977" t="str">
        <f>"08100014190529"</f>
        <v>08100014190529</v>
      </c>
      <c r="L6977" t="str">
        <f t="shared" si="2848"/>
        <v>04-08-2020</v>
      </c>
      <c r="M6977" t="str">
        <f t="shared" si="2848"/>
        <v>04-08-2020</v>
      </c>
      <c r="N6977" t="str">
        <f t="shared" si="2829"/>
        <v>001105018356</v>
      </c>
      <c r="O6977" t="str">
        <f t="shared" si="2830"/>
        <v>MYR</v>
      </c>
      <c r="P6977" t="str">
        <f t="shared" si="2849"/>
        <v>NIL</v>
      </c>
      <c r="Q6977" t="str">
        <f t="shared" si="2849"/>
        <v>NIL</v>
      </c>
      <c r="R6977" t="str">
        <f t="shared" si="2842"/>
        <v>Accepted</v>
      </c>
      <c r="S6977" t="str">
        <f t="shared" si="2831"/>
        <v>Approved</v>
      </c>
      <c r="T6977" t="str">
        <f t="shared" si="2843"/>
        <v>10.20.8.188</v>
      </c>
      <c r="U6977" t="str">
        <f t="shared" si="2832"/>
        <v>AZRAD UMAR BIN SHAARI</v>
      </c>
      <c r="V6977" t="str">
        <f t="shared" si="2833"/>
        <v>FARHANA BINTI MUSTAPA</v>
      </c>
      <c r="W6977" t="str">
        <f t="shared" si="2834"/>
        <v>04-08-2020</v>
      </c>
      <c r="X6977" t="str">
        <f t="shared" si="2835"/>
        <v>RAZIMAH ANSAR AHMAD</v>
      </c>
      <c r="Y6977" t="str">
        <f t="shared" si="2836"/>
        <v>04-08-2020</v>
      </c>
      <c r="Z6977" t="str">
        <f>"COS10200804 2177"</f>
        <v>COS10200804 2177</v>
      </c>
    </row>
    <row r="6978" spans="1:26" x14ac:dyDescent="0.25">
      <c r="A6978" t="str">
        <f t="shared" si="2846"/>
        <v>04-08-2020 12:36:35</v>
      </c>
      <c r="B6978" t="str">
        <f>"0000803934"</f>
        <v>0000803934</v>
      </c>
      <c r="C6978" t="str">
        <f t="shared" si="2847"/>
        <v>0000803758</v>
      </c>
      <c r="D6978" t="str">
        <f t="shared" si="2826"/>
        <v>73185</v>
      </c>
      <c r="E6978" t="str">
        <f t="shared" si="2827"/>
        <v>KFH-OPERATIONS DEPARTMENT</v>
      </c>
      <c r="F6978" t="str">
        <f t="shared" si="2828"/>
        <v>IBG</v>
      </c>
      <c r="G6978" t="str">
        <f t="shared" si="2837"/>
        <v>Refund COSHARE 10</v>
      </c>
      <c r="H6978" s="2">
        <v>167.9</v>
      </c>
      <c r="I6978" t="str">
        <f>"ABDUL MUNIR LUTFI BIN SAID"</f>
        <v>ABDUL MUNIR LUTFI BIN SAID</v>
      </c>
      <c r="J6978" t="str">
        <f t="shared" si="2850"/>
        <v>CIMB BANK / CIMB ISLAMIC BANK</v>
      </c>
      <c r="K6978" t="str">
        <f>"7065635061"</f>
        <v>7065635061</v>
      </c>
      <c r="L6978" t="str">
        <f t="shared" si="2848"/>
        <v>04-08-2020</v>
      </c>
      <c r="M6978" t="str">
        <f t="shared" si="2848"/>
        <v>04-08-2020</v>
      </c>
      <c r="N6978" t="str">
        <f t="shared" si="2829"/>
        <v>001105018356</v>
      </c>
      <c r="O6978" t="str">
        <f t="shared" si="2830"/>
        <v>MYR</v>
      </c>
      <c r="P6978" t="str">
        <f t="shared" si="2849"/>
        <v>NIL</v>
      </c>
      <c r="Q6978" t="str">
        <f t="shared" si="2849"/>
        <v>NIL</v>
      </c>
      <c r="R6978" t="str">
        <f t="shared" si="2842"/>
        <v>Accepted</v>
      </c>
      <c r="S6978" t="str">
        <f t="shared" si="2831"/>
        <v>Approved</v>
      </c>
      <c r="T6978" t="str">
        <f t="shared" si="2843"/>
        <v>10.20.8.188</v>
      </c>
      <c r="U6978" t="str">
        <f t="shared" si="2832"/>
        <v>AZRAD UMAR BIN SHAARI</v>
      </c>
      <c r="V6978" t="str">
        <f t="shared" si="2833"/>
        <v>FARHANA BINTI MUSTAPA</v>
      </c>
      <c r="W6978" t="str">
        <f t="shared" si="2834"/>
        <v>04-08-2020</v>
      </c>
      <c r="X6978" t="str">
        <f t="shared" si="2835"/>
        <v>RAZIMAH ANSAR AHMAD</v>
      </c>
      <c r="Y6978" t="str">
        <f t="shared" si="2836"/>
        <v>04-08-2020</v>
      </c>
      <c r="Z6978" t="str">
        <f>"COS10200804 2176"</f>
        <v>COS10200804 2176</v>
      </c>
    </row>
    <row r="6979" spans="1:26" x14ac:dyDescent="0.25">
      <c r="A6979" t="str">
        <f t="shared" si="2846"/>
        <v>04-08-2020 12:36:35</v>
      </c>
      <c r="B6979" t="str">
        <f>"0000803933"</f>
        <v>0000803933</v>
      </c>
      <c r="C6979" t="str">
        <f t="shared" si="2847"/>
        <v>0000803758</v>
      </c>
      <c r="D6979" t="str">
        <f t="shared" si="2826"/>
        <v>73185</v>
      </c>
      <c r="E6979" t="str">
        <f t="shared" si="2827"/>
        <v>KFH-OPERATIONS DEPARTMENT</v>
      </c>
      <c r="F6979" t="str">
        <f t="shared" si="2828"/>
        <v>IBG</v>
      </c>
      <c r="G6979" t="str">
        <f t="shared" si="2837"/>
        <v>Refund COSHARE 10</v>
      </c>
      <c r="H6979" s="2">
        <v>1894</v>
      </c>
      <c r="I6979" t="str">
        <f>"ABDUL MUIN  ABDULLAH BIN MORSHIDI"</f>
        <v>ABDUL MUIN  ABDULLAH BIN MORSHIDI</v>
      </c>
      <c r="J6979" t="str">
        <f t="shared" si="2850"/>
        <v>CIMB BANK / CIMB ISLAMIC BANK</v>
      </c>
      <c r="K6979" t="str">
        <f>"11100066385529"</f>
        <v>11100066385529</v>
      </c>
      <c r="L6979" t="str">
        <f t="shared" si="2848"/>
        <v>04-08-2020</v>
      </c>
      <c r="M6979" t="str">
        <f t="shared" si="2848"/>
        <v>04-08-2020</v>
      </c>
      <c r="N6979" t="str">
        <f t="shared" si="2829"/>
        <v>001105018356</v>
      </c>
      <c r="O6979" t="str">
        <f t="shared" si="2830"/>
        <v>MYR</v>
      </c>
      <c r="P6979" t="str">
        <f t="shared" si="2849"/>
        <v>NIL</v>
      </c>
      <c r="Q6979" t="str">
        <f t="shared" si="2849"/>
        <v>NIL</v>
      </c>
      <c r="R6979" t="str">
        <f t="shared" si="2842"/>
        <v>Accepted</v>
      </c>
      <c r="S6979" t="str">
        <f t="shared" si="2831"/>
        <v>Approved</v>
      </c>
      <c r="T6979" t="str">
        <f t="shared" si="2843"/>
        <v>10.20.8.188</v>
      </c>
      <c r="U6979" t="str">
        <f t="shared" si="2832"/>
        <v>AZRAD UMAR BIN SHAARI</v>
      </c>
      <c r="V6979" t="str">
        <f t="shared" si="2833"/>
        <v>FARHANA BINTI MUSTAPA</v>
      </c>
      <c r="W6979" t="str">
        <f t="shared" si="2834"/>
        <v>04-08-2020</v>
      </c>
      <c r="X6979" t="str">
        <f t="shared" si="2835"/>
        <v>RAZIMAH ANSAR AHMAD</v>
      </c>
      <c r="Y6979" t="str">
        <f t="shared" si="2836"/>
        <v>04-08-2020</v>
      </c>
      <c r="Z6979" t="str">
        <f>"COS10200804 2175"</f>
        <v>COS10200804 2175</v>
      </c>
    </row>
    <row r="6980" spans="1:26" x14ac:dyDescent="0.25">
      <c r="A6980" t="str">
        <f t="shared" si="2846"/>
        <v>04-08-2020 12:36:35</v>
      </c>
      <c r="B6980" t="str">
        <f>"0000803932"</f>
        <v>0000803932</v>
      </c>
      <c r="C6980" t="str">
        <f t="shared" si="2847"/>
        <v>0000803758</v>
      </c>
      <c r="D6980" t="str">
        <f t="shared" si="2826"/>
        <v>73185</v>
      </c>
      <c r="E6980" t="str">
        <f t="shared" si="2827"/>
        <v>KFH-OPERATIONS DEPARTMENT</v>
      </c>
      <c r="F6980" t="str">
        <f t="shared" si="2828"/>
        <v>IBG</v>
      </c>
      <c r="G6980" t="str">
        <f t="shared" si="2837"/>
        <v>Refund COSHARE 10</v>
      </c>
      <c r="H6980" s="2">
        <v>500</v>
      </c>
      <c r="I6980" t="str">
        <f>"ABDUL MALIK BIN SAPERI"</f>
        <v>ABDUL MALIK BIN SAPERI</v>
      </c>
      <c r="J6980" t="str">
        <f t="shared" si="2850"/>
        <v>CIMB BANK / CIMB ISLAMIC BANK</v>
      </c>
      <c r="K6980" t="str">
        <f>"7620854964"</f>
        <v>7620854964</v>
      </c>
      <c r="L6980" t="str">
        <f t="shared" si="2848"/>
        <v>04-08-2020</v>
      </c>
      <c r="M6980" t="str">
        <f t="shared" si="2848"/>
        <v>04-08-2020</v>
      </c>
      <c r="N6980" t="str">
        <f t="shared" si="2829"/>
        <v>001105018356</v>
      </c>
      <c r="O6980" t="str">
        <f t="shared" si="2830"/>
        <v>MYR</v>
      </c>
      <c r="P6980" t="str">
        <f t="shared" si="2849"/>
        <v>NIL</v>
      </c>
      <c r="Q6980" t="str">
        <f t="shared" si="2849"/>
        <v>NIL</v>
      </c>
      <c r="R6980" t="str">
        <f t="shared" si="2842"/>
        <v>Accepted</v>
      </c>
      <c r="S6980" t="str">
        <f t="shared" si="2831"/>
        <v>Approved</v>
      </c>
      <c r="T6980" t="str">
        <f t="shared" si="2843"/>
        <v>10.20.8.188</v>
      </c>
      <c r="U6980" t="str">
        <f t="shared" si="2832"/>
        <v>AZRAD UMAR BIN SHAARI</v>
      </c>
      <c r="V6980" t="str">
        <f t="shared" si="2833"/>
        <v>FARHANA BINTI MUSTAPA</v>
      </c>
      <c r="W6980" t="str">
        <f t="shared" si="2834"/>
        <v>04-08-2020</v>
      </c>
      <c r="X6980" t="str">
        <f t="shared" si="2835"/>
        <v>RAZIMAH ANSAR AHMAD</v>
      </c>
      <c r="Y6980" t="str">
        <f t="shared" si="2836"/>
        <v>04-08-2020</v>
      </c>
      <c r="Z6980" t="str">
        <f>"COS10200804 2174"</f>
        <v>COS10200804 2174</v>
      </c>
    </row>
    <row r="6981" spans="1:26" x14ac:dyDescent="0.25">
      <c r="A6981" t="str">
        <f t="shared" si="2846"/>
        <v>04-08-2020 12:36:35</v>
      </c>
      <c r="B6981" t="str">
        <f>"0000803931"</f>
        <v>0000803931</v>
      </c>
      <c r="C6981" t="str">
        <f t="shared" si="2847"/>
        <v>0000803758</v>
      </c>
      <c r="D6981" t="str">
        <f t="shared" si="2826"/>
        <v>73185</v>
      </c>
      <c r="E6981" t="str">
        <f t="shared" si="2827"/>
        <v>KFH-OPERATIONS DEPARTMENT</v>
      </c>
      <c r="F6981" t="str">
        <f t="shared" si="2828"/>
        <v>IBG</v>
      </c>
      <c r="G6981" t="str">
        <f t="shared" si="2837"/>
        <v>Refund COSHARE 10</v>
      </c>
      <c r="H6981" s="2">
        <v>136.75</v>
      </c>
      <c r="I6981" t="str">
        <f>"ABDUL LATIP BIN ABRAZAK"</f>
        <v>ABDUL LATIP BIN ABRAZAK</v>
      </c>
      <c r="J6981" t="str">
        <f t="shared" si="2850"/>
        <v>CIMB BANK / CIMB ISLAMIC BANK</v>
      </c>
      <c r="K6981" t="str">
        <f>"10020035391524"</f>
        <v>10020035391524</v>
      </c>
      <c r="L6981" t="str">
        <f t="shared" si="2848"/>
        <v>04-08-2020</v>
      </c>
      <c r="M6981" t="str">
        <f t="shared" si="2848"/>
        <v>04-08-2020</v>
      </c>
      <c r="N6981" t="str">
        <f t="shared" si="2829"/>
        <v>001105018356</v>
      </c>
      <c r="O6981" t="str">
        <f t="shared" si="2830"/>
        <v>MYR</v>
      </c>
      <c r="P6981" t="str">
        <f t="shared" si="2849"/>
        <v>NIL</v>
      </c>
      <c r="Q6981" t="str">
        <f t="shared" si="2849"/>
        <v>NIL</v>
      </c>
      <c r="R6981" t="str">
        <f t="shared" si="2842"/>
        <v>Accepted</v>
      </c>
      <c r="S6981" t="str">
        <f t="shared" si="2831"/>
        <v>Approved</v>
      </c>
      <c r="T6981" t="str">
        <f t="shared" si="2843"/>
        <v>10.20.8.188</v>
      </c>
      <c r="U6981" t="str">
        <f t="shared" si="2832"/>
        <v>AZRAD UMAR BIN SHAARI</v>
      </c>
      <c r="V6981" t="str">
        <f t="shared" si="2833"/>
        <v>FARHANA BINTI MUSTAPA</v>
      </c>
      <c r="W6981" t="str">
        <f t="shared" si="2834"/>
        <v>04-08-2020</v>
      </c>
      <c r="X6981" t="str">
        <f t="shared" si="2835"/>
        <v>RAZIMAH ANSAR AHMAD</v>
      </c>
      <c r="Y6981" t="str">
        <f t="shared" si="2836"/>
        <v>04-08-2020</v>
      </c>
      <c r="Z6981" t="str">
        <f>"COS10200804 2173"</f>
        <v>COS10200804 2173</v>
      </c>
    </row>
    <row r="6982" spans="1:26" x14ac:dyDescent="0.25">
      <c r="A6982" t="str">
        <f t="shared" si="2846"/>
        <v>04-08-2020 12:36:35</v>
      </c>
      <c r="B6982" t="str">
        <f>"0000803930"</f>
        <v>0000803930</v>
      </c>
      <c r="C6982" t="str">
        <f t="shared" si="2847"/>
        <v>0000803758</v>
      </c>
      <c r="D6982" t="str">
        <f t="shared" si="2826"/>
        <v>73185</v>
      </c>
      <c r="E6982" t="str">
        <f t="shared" si="2827"/>
        <v>KFH-OPERATIONS DEPARTMENT</v>
      </c>
      <c r="F6982" t="str">
        <f t="shared" si="2828"/>
        <v>IBG</v>
      </c>
      <c r="G6982" t="str">
        <f t="shared" si="2837"/>
        <v>Refund COSHARE 10</v>
      </c>
      <c r="H6982" s="2">
        <v>1830</v>
      </c>
      <c r="I6982" t="str">
        <f>"ABDUL JALIL BIN HASSAN"</f>
        <v>ABDUL JALIL BIN HASSAN</v>
      </c>
      <c r="J6982" t="str">
        <f t="shared" si="2850"/>
        <v>CIMB BANK / CIMB ISLAMIC BANK</v>
      </c>
      <c r="K6982" t="str">
        <f>"16010010501528"</f>
        <v>16010010501528</v>
      </c>
      <c r="L6982" t="str">
        <f t="shared" si="2848"/>
        <v>04-08-2020</v>
      </c>
      <c r="M6982" t="str">
        <f t="shared" si="2848"/>
        <v>04-08-2020</v>
      </c>
      <c r="N6982" t="str">
        <f t="shared" si="2829"/>
        <v>001105018356</v>
      </c>
      <c r="O6982" t="str">
        <f t="shared" si="2830"/>
        <v>MYR</v>
      </c>
      <c r="P6982" t="str">
        <f t="shared" si="2849"/>
        <v>NIL</v>
      </c>
      <c r="Q6982" t="str">
        <f t="shared" si="2849"/>
        <v>NIL</v>
      </c>
      <c r="R6982" t="str">
        <f t="shared" si="2842"/>
        <v>Accepted</v>
      </c>
      <c r="S6982" t="str">
        <f t="shared" si="2831"/>
        <v>Approved</v>
      </c>
      <c r="T6982" t="str">
        <f t="shared" si="2843"/>
        <v>10.20.8.188</v>
      </c>
      <c r="U6982" t="str">
        <f t="shared" si="2832"/>
        <v>AZRAD UMAR BIN SHAARI</v>
      </c>
      <c r="V6982" t="str">
        <f t="shared" si="2833"/>
        <v>FARHANA BINTI MUSTAPA</v>
      </c>
      <c r="W6982" t="str">
        <f t="shared" si="2834"/>
        <v>04-08-2020</v>
      </c>
      <c r="X6982" t="str">
        <f t="shared" si="2835"/>
        <v>RAZIMAH ANSAR AHMAD</v>
      </c>
      <c r="Y6982" t="str">
        <f t="shared" si="2836"/>
        <v>04-08-2020</v>
      </c>
      <c r="Z6982" t="str">
        <f>"COS10200804 2172"</f>
        <v>COS10200804 2172</v>
      </c>
    </row>
    <row r="6983" spans="1:26" x14ac:dyDescent="0.25">
      <c r="A6983" t="str">
        <f t="shared" si="2846"/>
        <v>04-08-2020 12:36:35</v>
      </c>
      <c r="B6983" t="str">
        <f>"0000803929"</f>
        <v>0000803929</v>
      </c>
      <c r="C6983" t="str">
        <f t="shared" si="2847"/>
        <v>0000803758</v>
      </c>
      <c r="D6983" t="str">
        <f t="shared" ref="D6983:D7046" si="2851">"73185"</f>
        <v>73185</v>
      </c>
      <c r="E6983" t="str">
        <f t="shared" ref="E6983:E7046" si="2852">"KFH-OPERATIONS DEPARTMENT"</f>
        <v>KFH-OPERATIONS DEPARTMENT</v>
      </c>
      <c r="F6983" t="str">
        <f t="shared" ref="F6983:F7046" si="2853">"IBG"</f>
        <v>IBG</v>
      </c>
      <c r="G6983" t="str">
        <f t="shared" si="2837"/>
        <v>Refund COSHARE 10</v>
      </c>
      <c r="H6983" s="2">
        <v>621.25</v>
      </c>
      <c r="I6983" t="str">
        <f>"ABDUL HIDIR AFNIZAL BIN ABD LATIF"</f>
        <v>ABDUL HIDIR AFNIZAL BIN ABD LATIF</v>
      </c>
      <c r="J6983" t="str">
        <f t="shared" si="2850"/>
        <v>CIMB BANK / CIMB ISLAMIC BANK</v>
      </c>
      <c r="K6983" t="str">
        <f>"12290000041201"</f>
        <v>12290000041201</v>
      </c>
      <c r="L6983" t="str">
        <f t="shared" si="2848"/>
        <v>04-08-2020</v>
      </c>
      <c r="M6983" t="str">
        <f t="shared" si="2848"/>
        <v>04-08-2020</v>
      </c>
      <c r="N6983" t="str">
        <f t="shared" ref="N6983:N7046" si="2854">"001105018356"</f>
        <v>001105018356</v>
      </c>
      <c r="O6983" t="str">
        <f t="shared" ref="O6983:O7046" si="2855">"MYR"</f>
        <v>MYR</v>
      </c>
      <c r="P6983" t="str">
        <f t="shared" si="2849"/>
        <v>NIL</v>
      </c>
      <c r="Q6983" t="str">
        <f t="shared" si="2849"/>
        <v>NIL</v>
      </c>
      <c r="R6983" t="str">
        <f t="shared" si="2842"/>
        <v>Accepted</v>
      </c>
      <c r="S6983" t="str">
        <f t="shared" ref="S6983:S7046" si="2856">"Approved"</f>
        <v>Approved</v>
      </c>
      <c r="T6983" t="str">
        <f t="shared" si="2843"/>
        <v>10.20.8.188</v>
      </c>
      <c r="U6983" t="str">
        <f t="shared" ref="U6983:U7046" si="2857">"AZRAD UMAR BIN SHAARI"</f>
        <v>AZRAD UMAR BIN SHAARI</v>
      </c>
      <c r="V6983" t="str">
        <f t="shared" ref="V6983:V7046" si="2858">"FARHANA BINTI MUSTAPA"</f>
        <v>FARHANA BINTI MUSTAPA</v>
      </c>
      <c r="W6983" t="str">
        <f t="shared" ref="W6983:W7046" si="2859">"04-08-2020"</f>
        <v>04-08-2020</v>
      </c>
      <c r="X6983" t="str">
        <f t="shared" ref="X6983:X7046" si="2860">"RAZIMAH ANSAR AHMAD"</f>
        <v>RAZIMAH ANSAR AHMAD</v>
      </c>
      <c r="Y6983" t="str">
        <f t="shared" ref="Y6983:Y7046" si="2861">"04-08-2020"</f>
        <v>04-08-2020</v>
      </c>
      <c r="Z6983" t="str">
        <f>"COS10200804 2171"</f>
        <v>COS10200804 2171</v>
      </c>
    </row>
    <row r="6984" spans="1:26" x14ac:dyDescent="0.25">
      <c r="A6984" t="str">
        <f t="shared" si="2846"/>
        <v>04-08-2020 12:36:35</v>
      </c>
      <c r="B6984" t="str">
        <f>"0000803928"</f>
        <v>0000803928</v>
      </c>
      <c r="C6984" t="str">
        <f t="shared" si="2847"/>
        <v>0000803758</v>
      </c>
      <c r="D6984" t="str">
        <f t="shared" si="2851"/>
        <v>73185</v>
      </c>
      <c r="E6984" t="str">
        <f t="shared" si="2852"/>
        <v>KFH-OPERATIONS DEPARTMENT</v>
      </c>
      <c r="F6984" t="str">
        <f t="shared" si="2853"/>
        <v>IBG</v>
      </c>
      <c r="G6984" t="str">
        <f t="shared" si="2837"/>
        <v>Refund COSHARE 10</v>
      </c>
      <c r="H6984" s="2">
        <v>1524.45</v>
      </c>
      <c r="I6984" t="str">
        <f>"ABDUL HALIM BIN ABDUL AZIZ"</f>
        <v>ABDUL HALIM BIN ABDUL AZIZ</v>
      </c>
      <c r="J6984" t="str">
        <f t="shared" si="2850"/>
        <v>CIMB BANK / CIMB ISLAMIC BANK</v>
      </c>
      <c r="K6984" t="str">
        <f>"14150021513528"</f>
        <v>14150021513528</v>
      </c>
      <c r="L6984" t="str">
        <f t="shared" si="2848"/>
        <v>04-08-2020</v>
      </c>
      <c r="M6984" t="str">
        <f t="shared" si="2848"/>
        <v>04-08-2020</v>
      </c>
      <c r="N6984" t="str">
        <f t="shared" si="2854"/>
        <v>001105018356</v>
      </c>
      <c r="O6984" t="str">
        <f t="shared" si="2855"/>
        <v>MYR</v>
      </c>
      <c r="P6984" t="str">
        <f t="shared" si="2849"/>
        <v>NIL</v>
      </c>
      <c r="Q6984" t="str">
        <f t="shared" si="2849"/>
        <v>NIL</v>
      </c>
      <c r="R6984" t="str">
        <f t="shared" si="2842"/>
        <v>Accepted</v>
      </c>
      <c r="S6984" t="str">
        <f t="shared" si="2856"/>
        <v>Approved</v>
      </c>
      <c r="T6984" t="str">
        <f t="shared" si="2843"/>
        <v>10.20.8.188</v>
      </c>
      <c r="U6984" t="str">
        <f t="shared" si="2857"/>
        <v>AZRAD UMAR BIN SHAARI</v>
      </c>
      <c r="V6984" t="str">
        <f t="shared" si="2858"/>
        <v>FARHANA BINTI MUSTAPA</v>
      </c>
      <c r="W6984" t="str">
        <f t="shared" si="2859"/>
        <v>04-08-2020</v>
      </c>
      <c r="X6984" t="str">
        <f t="shared" si="2860"/>
        <v>RAZIMAH ANSAR AHMAD</v>
      </c>
      <c r="Y6984" t="str">
        <f t="shared" si="2861"/>
        <v>04-08-2020</v>
      </c>
      <c r="Z6984" t="str">
        <f>"COS10200804 2170"</f>
        <v>COS10200804 2170</v>
      </c>
    </row>
    <row r="6985" spans="1:26" x14ac:dyDescent="0.25">
      <c r="A6985" t="str">
        <f t="shared" si="2846"/>
        <v>04-08-2020 12:36:35</v>
      </c>
      <c r="B6985" t="str">
        <f>"0000803927"</f>
        <v>0000803927</v>
      </c>
      <c r="C6985" t="str">
        <f t="shared" si="2847"/>
        <v>0000803758</v>
      </c>
      <c r="D6985" t="str">
        <f t="shared" si="2851"/>
        <v>73185</v>
      </c>
      <c r="E6985" t="str">
        <f t="shared" si="2852"/>
        <v>KFH-OPERATIONS DEPARTMENT</v>
      </c>
      <c r="F6985" t="str">
        <f t="shared" si="2853"/>
        <v>IBG</v>
      </c>
      <c r="G6985" t="str">
        <f t="shared" si="2837"/>
        <v>Refund COSHARE 10</v>
      </c>
      <c r="H6985" s="2">
        <v>722</v>
      </c>
      <c r="I6985" t="str">
        <f>"ABDUL HAFIZ BIN MD ANUAR"</f>
        <v>ABDUL HAFIZ BIN MD ANUAR</v>
      </c>
      <c r="J6985" t="str">
        <f t="shared" si="2850"/>
        <v>CIMB BANK / CIMB ISLAMIC BANK</v>
      </c>
      <c r="K6985" t="str">
        <f>"7024226182"</f>
        <v>7024226182</v>
      </c>
      <c r="L6985" t="str">
        <f t="shared" si="2848"/>
        <v>04-08-2020</v>
      </c>
      <c r="M6985" t="str">
        <f t="shared" si="2848"/>
        <v>04-08-2020</v>
      </c>
      <c r="N6985" t="str">
        <f t="shared" si="2854"/>
        <v>001105018356</v>
      </c>
      <c r="O6985" t="str">
        <f t="shared" si="2855"/>
        <v>MYR</v>
      </c>
      <c r="P6985" t="str">
        <f t="shared" si="2849"/>
        <v>NIL</v>
      </c>
      <c r="Q6985" t="str">
        <f t="shared" si="2849"/>
        <v>NIL</v>
      </c>
      <c r="R6985" t="str">
        <f t="shared" si="2842"/>
        <v>Accepted</v>
      </c>
      <c r="S6985" t="str">
        <f t="shared" si="2856"/>
        <v>Approved</v>
      </c>
      <c r="T6985" t="str">
        <f t="shared" si="2843"/>
        <v>10.20.8.188</v>
      </c>
      <c r="U6985" t="str">
        <f t="shared" si="2857"/>
        <v>AZRAD UMAR BIN SHAARI</v>
      </c>
      <c r="V6985" t="str">
        <f t="shared" si="2858"/>
        <v>FARHANA BINTI MUSTAPA</v>
      </c>
      <c r="W6985" t="str">
        <f t="shared" si="2859"/>
        <v>04-08-2020</v>
      </c>
      <c r="X6985" t="str">
        <f t="shared" si="2860"/>
        <v>RAZIMAH ANSAR AHMAD</v>
      </c>
      <c r="Y6985" t="str">
        <f t="shared" si="2861"/>
        <v>04-08-2020</v>
      </c>
      <c r="Z6985" t="str">
        <f>"COS10200804 2169"</f>
        <v>COS10200804 2169</v>
      </c>
    </row>
    <row r="6986" spans="1:26" x14ac:dyDescent="0.25">
      <c r="A6986" t="str">
        <f t="shared" ref="A6986:A7017" si="2862">"04-08-2020 12:36:35"</f>
        <v>04-08-2020 12:36:35</v>
      </c>
      <c r="B6986" t="str">
        <f>"0000803926"</f>
        <v>0000803926</v>
      </c>
      <c r="C6986" t="str">
        <f t="shared" ref="C6986:C7017" si="2863">"0000803758"</f>
        <v>0000803758</v>
      </c>
      <c r="D6986" t="str">
        <f t="shared" si="2851"/>
        <v>73185</v>
      </c>
      <c r="E6986" t="str">
        <f t="shared" si="2852"/>
        <v>KFH-OPERATIONS DEPARTMENT</v>
      </c>
      <c r="F6986" t="str">
        <f t="shared" si="2853"/>
        <v>IBG</v>
      </c>
      <c r="G6986" t="str">
        <f t="shared" si="2837"/>
        <v>Refund COSHARE 10</v>
      </c>
      <c r="H6986" s="2">
        <v>243</v>
      </c>
      <c r="I6986" t="str">
        <f>"ABDUL HADI BIN MOHD SUKRI"</f>
        <v>ABDUL HADI BIN MOHD SUKRI</v>
      </c>
      <c r="J6986" t="str">
        <f t="shared" si="2850"/>
        <v>CIMB BANK / CIMB ISLAMIC BANK</v>
      </c>
      <c r="K6986" t="str">
        <f>"07020003368209"</f>
        <v>07020003368209</v>
      </c>
      <c r="L6986" t="str">
        <f t="shared" si="2848"/>
        <v>04-08-2020</v>
      </c>
      <c r="M6986" t="str">
        <f t="shared" si="2848"/>
        <v>04-08-2020</v>
      </c>
      <c r="N6986" t="str">
        <f t="shared" si="2854"/>
        <v>001105018356</v>
      </c>
      <c r="O6986" t="str">
        <f t="shared" si="2855"/>
        <v>MYR</v>
      </c>
      <c r="P6986" t="str">
        <f t="shared" si="2849"/>
        <v>NIL</v>
      </c>
      <c r="Q6986" t="str">
        <f t="shared" si="2849"/>
        <v>NIL</v>
      </c>
      <c r="R6986" t="str">
        <f t="shared" si="2842"/>
        <v>Accepted</v>
      </c>
      <c r="S6986" t="str">
        <f t="shared" si="2856"/>
        <v>Approved</v>
      </c>
      <c r="T6986" t="str">
        <f t="shared" si="2843"/>
        <v>10.20.8.188</v>
      </c>
      <c r="U6986" t="str">
        <f t="shared" si="2857"/>
        <v>AZRAD UMAR BIN SHAARI</v>
      </c>
      <c r="V6986" t="str">
        <f t="shared" si="2858"/>
        <v>FARHANA BINTI MUSTAPA</v>
      </c>
      <c r="W6986" t="str">
        <f t="shared" si="2859"/>
        <v>04-08-2020</v>
      </c>
      <c r="X6986" t="str">
        <f t="shared" si="2860"/>
        <v>RAZIMAH ANSAR AHMAD</v>
      </c>
      <c r="Y6986" t="str">
        <f t="shared" si="2861"/>
        <v>04-08-2020</v>
      </c>
      <c r="Z6986" t="str">
        <f>"COS10200804 2168"</f>
        <v>COS10200804 2168</v>
      </c>
    </row>
    <row r="6987" spans="1:26" x14ac:dyDescent="0.25">
      <c r="A6987" t="str">
        <f t="shared" si="2862"/>
        <v>04-08-2020 12:36:35</v>
      </c>
      <c r="B6987" t="str">
        <f>"0000803925"</f>
        <v>0000803925</v>
      </c>
      <c r="C6987" t="str">
        <f t="shared" si="2863"/>
        <v>0000803758</v>
      </c>
      <c r="D6987" t="str">
        <f t="shared" si="2851"/>
        <v>73185</v>
      </c>
      <c r="E6987" t="str">
        <f t="shared" si="2852"/>
        <v>KFH-OPERATIONS DEPARTMENT</v>
      </c>
      <c r="F6987" t="str">
        <f t="shared" si="2853"/>
        <v>IBG</v>
      </c>
      <c r="G6987" t="str">
        <f t="shared" si="2837"/>
        <v>Refund COSHARE 10</v>
      </c>
      <c r="H6987" s="2">
        <v>189.65</v>
      </c>
      <c r="I6987" t="str">
        <f>"ABDUL HADI BIN ABD RASHID"</f>
        <v>ABDUL HADI BIN ABD RASHID</v>
      </c>
      <c r="J6987" t="str">
        <f t="shared" si="2850"/>
        <v>CIMB BANK / CIMB ISLAMIC BANK</v>
      </c>
      <c r="K6987" t="str">
        <f>"7009412600"</f>
        <v>7009412600</v>
      </c>
      <c r="L6987" t="str">
        <f t="shared" ref="L6987:M7006" si="2864">"04-08-2020"</f>
        <v>04-08-2020</v>
      </c>
      <c r="M6987" t="str">
        <f t="shared" si="2864"/>
        <v>04-08-2020</v>
      </c>
      <c r="N6987" t="str">
        <f t="shared" si="2854"/>
        <v>001105018356</v>
      </c>
      <c r="O6987" t="str">
        <f t="shared" si="2855"/>
        <v>MYR</v>
      </c>
      <c r="P6987" t="str">
        <f t="shared" ref="P6987:Q7006" si="2865">"NIL"</f>
        <v>NIL</v>
      </c>
      <c r="Q6987" t="str">
        <f t="shared" si="2865"/>
        <v>NIL</v>
      </c>
      <c r="R6987" t="str">
        <f t="shared" si="2842"/>
        <v>Accepted</v>
      </c>
      <c r="S6987" t="str">
        <f t="shared" si="2856"/>
        <v>Approved</v>
      </c>
      <c r="T6987" t="str">
        <f t="shared" si="2843"/>
        <v>10.20.8.188</v>
      </c>
      <c r="U6987" t="str">
        <f t="shared" si="2857"/>
        <v>AZRAD UMAR BIN SHAARI</v>
      </c>
      <c r="V6987" t="str">
        <f t="shared" si="2858"/>
        <v>FARHANA BINTI MUSTAPA</v>
      </c>
      <c r="W6987" t="str">
        <f t="shared" si="2859"/>
        <v>04-08-2020</v>
      </c>
      <c r="X6987" t="str">
        <f t="shared" si="2860"/>
        <v>RAZIMAH ANSAR AHMAD</v>
      </c>
      <c r="Y6987" t="str">
        <f t="shared" si="2861"/>
        <v>04-08-2020</v>
      </c>
      <c r="Z6987" t="str">
        <f>"COS10200804 2167"</f>
        <v>COS10200804 2167</v>
      </c>
    </row>
    <row r="6988" spans="1:26" x14ac:dyDescent="0.25">
      <c r="A6988" t="str">
        <f t="shared" si="2862"/>
        <v>04-08-2020 12:36:35</v>
      </c>
      <c r="B6988" t="str">
        <f>"0000803924"</f>
        <v>0000803924</v>
      </c>
      <c r="C6988" t="str">
        <f t="shared" si="2863"/>
        <v>0000803758</v>
      </c>
      <c r="D6988" t="str">
        <f t="shared" si="2851"/>
        <v>73185</v>
      </c>
      <c r="E6988" t="str">
        <f t="shared" si="2852"/>
        <v>KFH-OPERATIONS DEPARTMENT</v>
      </c>
      <c r="F6988" t="str">
        <f t="shared" si="2853"/>
        <v>IBG</v>
      </c>
      <c r="G6988" t="str">
        <f t="shared" ref="G6988:G7051" si="2866">"Refund COSHARE 10"</f>
        <v>Refund COSHARE 10</v>
      </c>
      <c r="H6988" s="2">
        <v>277.05</v>
      </c>
      <c r="I6988" t="str">
        <f>"ABDUL BAEITH BIN MOHD ZAMILUDDIN"</f>
        <v>ABDUL BAEITH BIN MOHD ZAMILUDDIN</v>
      </c>
      <c r="J6988" t="str">
        <f t="shared" si="2850"/>
        <v>CIMB BANK / CIMB ISLAMIC BANK</v>
      </c>
      <c r="K6988" t="str">
        <f>"12310075605521"</f>
        <v>12310075605521</v>
      </c>
      <c r="L6988" t="str">
        <f t="shared" si="2864"/>
        <v>04-08-2020</v>
      </c>
      <c r="M6988" t="str">
        <f t="shared" si="2864"/>
        <v>04-08-2020</v>
      </c>
      <c r="N6988" t="str">
        <f t="shared" si="2854"/>
        <v>001105018356</v>
      </c>
      <c r="O6988" t="str">
        <f t="shared" si="2855"/>
        <v>MYR</v>
      </c>
      <c r="P6988" t="str">
        <f t="shared" si="2865"/>
        <v>NIL</v>
      </c>
      <c r="Q6988" t="str">
        <f t="shared" si="2865"/>
        <v>NIL</v>
      </c>
      <c r="R6988" t="str">
        <f t="shared" si="2842"/>
        <v>Accepted</v>
      </c>
      <c r="S6988" t="str">
        <f t="shared" si="2856"/>
        <v>Approved</v>
      </c>
      <c r="T6988" t="str">
        <f t="shared" si="2843"/>
        <v>10.20.8.188</v>
      </c>
      <c r="U6988" t="str">
        <f t="shared" si="2857"/>
        <v>AZRAD UMAR BIN SHAARI</v>
      </c>
      <c r="V6988" t="str">
        <f t="shared" si="2858"/>
        <v>FARHANA BINTI MUSTAPA</v>
      </c>
      <c r="W6988" t="str">
        <f t="shared" si="2859"/>
        <v>04-08-2020</v>
      </c>
      <c r="X6988" t="str">
        <f t="shared" si="2860"/>
        <v>RAZIMAH ANSAR AHMAD</v>
      </c>
      <c r="Y6988" t="str">
        <f t="shared" si="2861"/>
        <v>04-08-2020</v>
      </c>
      <c r="Z6988" t="str">
        <f>"COS10200804 2166"</f>
        <v>COS10200804 2166</v>
      </c>
    </row>
    <row r="6989" spans="1:26" x14ac:dyDescent="0.25">
      <c r="A6989" t="str">
        <f t="shared" si="2862"/>
        <v>04-08-2020 12:36:35</v>
      </c>
      <c r="B6989" t="str">
        <f>"0000803923"</f>
        <v>0000803923</v>
      </c>
      <c r="C6989" t="str">
        <f t="shared" si="2863"/>
        <v>0000803758</v>
      </c>
      <c r="D6989" t="str">
        <f t="shared" si="2851"/>
        <v>73185</v>
      </c>
      <c r="E6989" t="str">
        <f t="shared" si="2852"/>
        <v>KFH-OPERATIONS DEPARTMENT</v>
      </c>
      <c r="F6989" t="str">
        <f t="shared" si="2853"/>
        <v>IBG</v>
      </c>
      <c r="G6989" t="str">
        <f t="shared" si="2866"/>
        <v>Refund COSHARE 10</v>
      </c>
      <c r="H6989" s="2">
        <v>372</v>
      </c>
      <c r="I6989" t="str">
        <f>"ABDUL ASRI BIN TUNGKAI"</f>
        <v>ABDUL ASRI BIN TUNGKAI</v>
      </c>
      <c r="J6989" t="str">
        <f t="shared" si="2850"/>
        <v>CIMB BANK / CIMB ISLAMIC BANK</v>
      </c>
      <c r="K6989" t="str">
        <f>"7017502151"</f>
        <v>7017502151</v>
      </c>
      <c r="L6989" t="str">
        <f t="shared" si="2864"/>
        <v>04-08-2020</v>
      </c>
      <c r="M6989" t="str">
        <f t="shared" si="2864"/>
        <v>04-08-2020</v>
      </c>
      <c r="N6989" t="str">
        <f t="shared" si="2854"/>
        <v>001105018356</v>
      </c>
      <c r="O6989" t="str">
        <f t="shared" si="2855"/>
        <v>MYR</v>
      </c>
      <c r="P6989" t="str">
        <f t="shared" si="2865"/>
        <v>NIL</v>
      </c>
      <c r="Q6989" t="str">
        <f t="shared" si="2865"/>
        <v>NIL</v>
      </c>
      <c r="R6989" t="str">
        <f t="shared" si="2842"/>
        <v>Accepted</v>
      </c>
      <c r="S6989" t="str">
        <f t="shared" si="2856"/>
        <v>Approved</v>
      </c>
      <c r="T6989" t="str">
        <f t="shared" si="2843"/>
        <v>10.20.8.188</v>
      </c>
      <c r="U6989" t="str">
        <f t="shared" si="2857"/>
        <v>AZRAD UMAR BIN SHAARI</v>
      </c>
      <c r="V6989" t="str">
        <f t="shared" si="2858"/>
        <v>FARHANA BINTI MUSTAPA</v>
      </c>
      <c r="W6989" t="str">
        <f t="shared" si="2859"/>
        <v>04-08-2020</v>
      </c>
      <c r="X6989" t="str">
        <f t="shared" si="2860"/>
        <v>RAZIMAH ANSAR AHMAD</v>
      </c>
      <c r="Y6989" t="str">
        <f t="shared" si="2861"/>
        <v>04-08-2020</v>
      </c>
      <c r="Z6989" t="str">
        <f>"COS10200804 2165"</f>
        <v>COS10200804 2165</v>
      </c>
    </row>
    <row r="6990" spans="1:26" x14ac:dyDescent="0.25">
      <c r="A6990" t="str">
        <f t="shared" si="2862"/>
        <v>04-08-2020 12:36:35</v>
      </c>
      <c r="B6990" t="str">
        <f>"0000803922"</f>
        <v>0000803922</v>
      </c>
      <c r="C6990" t="str">
        <f t="shared" si="2863"/>
        <v>0000803758</v>
      </c>
      <c r="D6990" t="str">
        <f t="shared" si="2851"/>
        <v>73185</v>
      </c>
      <c r="E6990" t="str">
        <f t="shared" si="2852"/>
        <v>KFH-OPERATIONS DEPARTMENT</v>
      </c>
      <c r="F6990" t="str">
        <f t="shared" si="2853"/>
        <v>IBG</v>
      </c>
      <c r="G6990" t="str">
        <f t="shared" si="2866"/>
        <v>Refund COSHARE 10</v>
      </c>
      <c r="H6990" s="2">
        <v>461.75</v>
      </c>
      <c r="I6990" t="str">
        <f>"ABDOEL AZIZ BIN ISA"</f>
        <v>ABDOEL AZIZ BIN ISA</v>
      </c>
      <c r="J6990" t="str">
        <f t="shared" si="2850"/>
        <v>CIMB BANK / CIMB ISLAMIC BANK</v>
      </c>
      <c r="K6990" t="str">
        <f>"7632165404"</f>
        <v>7632165404</v>
      </c>
      <c r="L6990" t="str">
        <f t="shared" si="2864"/>
        <v>04-08-2020</v>
      </c>
      <c r="M6990" t="str">
        <f t="shared" si="2864"/>
        <v>04-08-2020</v>
      </c>
      <c r="N6990" t="str">
        <f t="shared" si="2854"/>
        <v>001105018356</v>
      </c>
      <c r="O6990" t="str">
        <f t="shared" si="2855"/>
        <v>MYR</v>
      </c>
      <c r="P6990" t="str">
        <f t="shared" si="2865"/>
        <v>NIL</v>
      </c>
      <c r="Q6990" t="str">
        <f t="shared" si="2865"/>
        <v>NIL</v>
      </c>
      <c r="R6990" t="str">
        <f t="shared" si="2842"/>
        <v>Accepted</v>
      </c>
      <c r="S6990" t="str">
        <f t="shared" si="2856"/>
        <v>Approved</v>
      </c>
      <c r="T6990" t="str">
        <f t="shared" si="2843"/>
        <v>10.20.8.188</v>
      </c>
      <c r="U6990" t="str">
        <f t="shared" si="2857"/>
        <v>AZRAD UMAR BIN SHAARI</v>
      </c>
      <c r="V6990" t="str">
        <f t="shared" si="2858"/>
        <v>FARHANA BINTI MUSTAPA</v>
      </c>
      <c r="W6990" t="str">
        <f t="shared" si="2859"/>
        <v>04-08-2020</v>
      </c>
      <c r="X6990" t="str">
        <f t="shared" si="2860"/>
        <v>RAZIMAH ANSAR AHMAD</v>
      </c>
      <c r="Y6990" t="str">
        <f t="shared" si="2861"/>
        <v>04-08-2020</v>
      </c>
      <c r="Z6990" t="str">
        <f>"COS10200804 2164"</f>
        <v>COS10200804 2164</v>
      </c>
    </row>
    <row r="6991" spans="1:26" x14ac:dyDescent="0.25">
      <c r="A6991" t="str">
        <f t="shared" si="2862"/>
        <v>04-08-2020 12:36:35</v>
      </c>
      <c r="B6991" t="str">
        <f>"0000803921"</f>
        <v>0000803921</v>
      </c>
      <c r="C6991" t="str">
        <f t="shared" si="2863"/>
        <v>0000803758</v>
      </c>
      <c r="D6991" t="str">
        <f t="shared" si="2851"/>
        <v>73185</v>
      </c>
      <c r="E6991" t="str">
        <f t="shared" si="2852"/>
        <v>KFH-OPERATIONS DEPARTMENT</v>
      </c>
      <c r="F6991" t="str">
        <f t="shared" si="2853"/>
        <v>IBG</v>
      </c>
      <c r="G6991" t="str">
        <f t="shared" si="2866"/>
        <v>Refund COSHARE 10</v>
      </c>
      <c r="H6991" s="2">
        <v>301.60000000000002</v>
      </c>
      <c r="I6991" t="str">
        <f>"ABD RAHMAN BIN AHMAD  AWANG AHMAD"</f>
        <v>ABD RAHMAN BIN AHMAD  AWANG AHMAD</v>
      </c>
      <c r="J6991" t="str">
        <f t="shared" si="2850"/>
        <v>CIMB BANK / CIMB ISLAMIC BANK</v>
      </c>
      <c r="K6991" t="str">
        <f>"14030229265520"</f>
        <v>14030229265520</v>
      </c>
      <c r="L6991" t="str">
        <f t="shared" si="2864"/>
        <v>04-08-2020</v>
      </c>
      <c r="M6991" t="str">
        <f t="shared" si="2864"/>
        <v>04-08-2020</v>
      </c>
      <c r="N6991" t="str">
        <f t="shared" si="2854"/>
        <v>001105018356</v>
      </c>
      <c r="O6991" t="str">
        <f t="shared" si="2855"/>
        <v>MYR</v>
      </c>
      <c r="P6991" t="str">
        <f t="shared" si="2865"/>
        <v>NIL</v>
      </c>
      <c r="Q6991" t="str">
        <f t="shared" si="2865"/>
        <v>NIL</v>
      </c>
      <c r="R6991" t="str">
        <f t="shared" si="2842"/>
        <v>Accepted</v>
      </c>
      <c r="S6991" t="str">
        <f t="shared" si="2856"/>
        <v>Approved</v>
      </c>
      <c r="T6991" t="str">
        <f t="shared" si="2843"/>
        <v>10.20.8.188</v>
      </c>
      <c r="U6991" t="str">
        <f t="shared" si="2857"/>
        <v>AZRAD UMAR BIN SHAARI</v>
      </c>
      <c r="V6991" t="str">
        <f t="shared" si="2858"/>
        <v>FARHANA BINTI MUSTAPA</v>
      </c>
      <c r="W6991" t="str">
        <f t="shared" si="2859"/>
        <v>04-08-2020</v>
      </c>
      <c r="X6991" t="str">
        <f t="shared" si="2860"/>
        <v>RAZIMAH ANSAR AHMAD</v>
      </c>
      <c r="Y6991" t="str">
        <f t="shared" si="2861"/>
        <v>04-08-2020</v>
      </c>
      <c r="Z6991" t="str">
        <f>"COS10200804 2163"</f>
        <v>COS10200804 2163</v>
      </c>
    </row>
    <row r="6992" spans="1:26" x14ac:dyDescent="0.25">
      <c r="A6992" t="str">
        <f t="shared" si="2862"/>
        <v>04-08-2020 12:36:35</v>
      </c>
      <c r="B6992" t="str">
        <f>"0000803920"</f>
        <v>0000803920</v>
      </c>
      <c r="C6992" t="str">
        <f t="shared" si="2863"/>
        <v>0000803758</v>
      </c>
      <c r="D6992" t="str">
        <f t="shared" si="2851"/>
        <v>73185</v>
      </c>
      <c r="E6992" t="str">
        <f t="shared" si="2852"/>
        <v>KFH-OPERATIONS DEPARTMENT</v>
      </c>
      <c r="F6992" t="str">
        <f t="shared" si="2853"/>
        <v>IBG</v>
      </c>
      <c r="G6992" t="str">
        <f t="shared" si="2866"/>
        <v>Refund COSHARE 10</v>
      </c>
      <c r="H6992" s="2">
        <v>789</v>
      </c>
      <c r="I6992" t="str">
        <f>"ABD KADIR BIN SHAFII"</f>
        <v>ABD KADIR BIN SHAFII</v>
      </c>
      <c r="J6992" t="str">
        <f t="shared" si="2850"/>
        <v>CIMB BANK / CIMB ISLAMIC BANK</v>
      </c>
      <c r="K6992" t="str">
        <f>"07130007403208"</f>
        <v>07130007403208</v>
      </c>
      <c r="L6992" t="str">
        <f t="shared" si="2864"/>
        <v>04-08-2020</v>
      </c>
      <c r="M6992" t="str">
        <f t="shared" si="2864"/>
        <v>04-08-2020</v>
      </c>
      <c r="N6992" t="str">
        <f t="shared" si="2854"/>
        <v>001105018356</v>
      </c>
      <c r="O6992" t="str">
        <f t="shared" si="2855"/>
        <v>MYR</v>
      </c>
      <c r="P6992" t="str">
        <f t="shared" si="2865"/>
        <v>NIL</v>
      </c>
      <c r="Q6992" t="str">
        <f t="shared" si="2865"/>
        <v>NIL</v>
      </c>
      <c r="R6992" t="str">
        <f t="shared" si="2842"/>
        <v>Accepted</v>
      </c>
      <c r="S6992" t="str">
        <f t="shared" si="2856"/>
        <v>Approved</v>
      </c>
      <c r="T6992" t="str">
        <f t="shared" si="2843"/>
        <v>10.20.8.188</v>
      </c>
      <c r="U6992" t="str">
        <f t="shared" si="2857"/>
        <v>AZRAD UMAR BIN SHAARI</v>
      </c>
      <c r="V6992" t="str">
        <f t="shared" si="2858"/>
        <v>FARHANA BINTI MUSTAPA</v>
      </c>
      <c r="W6992" t="str">
        <f t="shared" si="2859"/>
        <v>04-08-2020</v>
      </c>
      <c r="X6992" t="str">
        <f t="shared" si="2860"/>
        <v>RAZIMAH ANSAR AHMAD</v>
      </c>
      <c r="Y6992" t="str">
        <f t="shared" si="2861"/>
        <v>04-08-2020</v>
      </c>
      <c r="Z6992" t="str">
        <f>"COS10200804 2162"</f>
        <v>COS10200804 2162</v>
      </c>
    </row>
    <row r="6993" spans="1:26" x14ac:dyDescent="0.25">
      <c r="A6993" t="str">
        <f t="shared" si="2862"/>
        <v>04-08-2020 12:36:35</v>
      </c>
      <c r="B6993" t="str">
        <f>"0000803919"</f>
        <v>0000803919</v>
      </c>
      <c r="C6993" t="str">
        <f t="shared" si="2863"/>
        <v>0000803758</v>
      </c>
      <c r="D6993" t="str">
        <f t="shared" si="2851"/>
        <v>73185</v>
      </c>
      <c r="E6993" t="str">
        <f t="shared" si="2852"/>
        <v>KFH-OPERATIONS DEPARTMENT</v>
      </c>
      <c r="F6993" t="str">
        <f t="shared" si="2853"/>
        <v>IBG</v>
      </c>
      <c r="G6993" t="str">
        <f t="shared" si="2866"/>
        <v>Refund COSHARE 10</v>
      </c>
      <c r="H6993" s="2">
        <v>86</v>
      </c>
      <c r="I6993" t="str">
        <f>"ABD HAMID BIN ABU HASSAN"</f>
        <v>ABD HAMID BIN ABU HASSAN</v>
      </c>
      <c r="J6993" t="str">
        <f t="shared" si="2850"/>
        <v>CIMB BANK / CIMB ISLAMIC BANK</v>
      </c>
      <c r="K6993" t="str">
        <f>"7604005267"</f>
        <v>7604005267</v>
      </c>
      <c r="L6993" t="str">
        <f t="shared" si="2864"/>
        <v>04-08-2020</v>
      </c>
      <c r="M6993" t="str">
        <f t="shared" si="2864"/>
        <v>04-08-2020</v>
      </c>
      <c r="N6993" t="str">
        <f t="shared" si="2854"/>
        <v>001105018356</v>
      </c>
      <c r="O6993" t="str">
        <f t="shared" si="2855"/>
        <v>MYR</v>
      </c>
      <c r="P6993" t="str">
        <f t="shared" si="2865"/>
        <v>NIL</v>
      </c>
      <c r="Q6993" t="str">
        <f t="shared" si="2865"/>
        <v>NIL</v>
      </c>
      <c r="R6993" t="str">
        <f t="shared" si="2842"/>
        <v>Accepted</v>
      </c>
      <c r="S6993" t="str">
        <f t="shared" si="2856"/>
        <v>Approved</v>
      </c>
      <c r="T6993" t="str">
        <f t="shared" si="2843"/>
        <v>10.20.8.188</v>
      </c>
      <c r="U6993" t="str">
        <f t="shared" si="2857"/>
        <v>AZRAD UMAR BIN SHAARI</v>
      </c>
      <c r="V6993" t="str">
        <f t="shared" si="2858"/>
        <v>FARHANA BINTI MUSTAPA</v>
      </c>
      <c r="W6993" t="str">
        <f t="shared" si="2859"/>
        <v>04-08-2020</v>
      </c>
      <c r="X6993" t="str">
        <f t="shared" si="2860"/>
        <v>RAZIMAH ANSAR AHMAD</v>
      </c>
      <c r="Y6993" t="str">
        <f t="shared" si="2861"/>
        <v>04-08-2020</v>
      </c>
      <c r="Z6993" t="str">
        <f>"COS10200804 2161"</f>
        <v>COS10200804 2161</v>
      </c>
    </row>
    <row r="6994" spans="1:26" x14ac:dyDescent="0.25">
      <c r="A6994" t="str">
        <f t="shared" si="2862"/>
        <v>04-08-2020 12:36:35</v>
      </c>
      <c r="B6994" t="str">
        <f>"0000803918"</f>
        <v>0000803918</v>
      </c>
      <c r="C6994" t="str">
        <f t="shared" si="2863"/>
        <v>0000803758</v>
      </c>
      <c r="D6994" t="str">
        <f t="shared" si="2851"/>
        <v>73185</v>
      </c>
      <c r="E6994" t="str">
        <f t="shared" si="2852"/>
        <v>KFH-OPERATIONS DEPARTMENT</v>
      </c>
      <c r="F6994" t="str">
        <f t="shared" si="2853"/>
        <v>IBG</v>
      </c>
      <c r="G6994" t="str">
        <f t="shared" si="2866"/>
        <v>Refund COSHARE 10</v>
      </c>
      <c r="H6994" s="2">
        <v>114</v>
      </c>
      <c r="I6994" t="str">
        <f>"ABD AZIS BIN JASLIH"</f>
        <v>ABD AZIS BIN JASLIH</v>
      </c>
      <c r="J6994" t="str">
        <f t="shared" si="2850"/>
        <v>CIMB BANK / CIMB ISLAMIC BANK</v>
      </c>
      <c r="K6994" t="str">
        <f>"10120000052205"</f>
        <v>10120000052205</v>
      </c>
      <c r="L6994" t="str">
        <f t="shared" si="2864"/>
        <v>04-08-2020</v>
      </c>
      <c r="M6994" t="str">
        <f t="shared" si="2864"/>
        <v>04-08-2020</v>
      </c>
      <c r="N6994" t="str">
        <f t="shared" si="2854"/>
        <v>001105018356</v>
      </c>
      <c r="O6994" t="str">
        <f t="shared" si="2855"/>
        <v>MYR</v>
      </c>
      <c r="P6994" t="str">
        <f t="shared" si="2865"/>
        <v>NIL</v>
      </c>
      <c r="Q6994" t="str">
        <f t="shared" si="2865"/>
        <v>NIL</v>
      </c>
      <c r="R6994" t="str">
        <f t="shared" si="2842"/>
        <v>Accepted</v>
      </c>
      <c r="S6994" t="str">
        <f t="shared" si="2856"/>
        <v>Approved</v>
      </c>
      <c r="T6994" t="str">
        <f t="shared" si="2843"/>
        <v>10.20.8.188</v>
      </c>
      <c r="U6994" t="str">
        <f t="shared" si="2857"/>
        <v>AZRAD UMAR BIN SHAARI</v>
      </c>
      <c r="V6994" t="str">
        <f t="shared" si="2858"/>
        <v>FARHANA BINTI MUSTAPA</v>
      </c>
      <c r="W6994" t="str">
        <f t="shared" si="2859"/>
        <v>04-08-2020</v>
      </c>
      <c r="X6994" t="str">
        <f t="shared" si="2860"/>
        <v>RAZIMAH ANSAR AHMAD</v>
      </c>
      <c r="Y6994" t="str">
        <f t="shared" si="2861"/>
        <v>04-08-2020</v>
      </c>
      <c r="Z6994" t="str">
        <f>"COS10200804 2160"</f>
        <v>COS10200804 2160</v>
      </c>
    </row>
    <row r="6995" spans="1:26" x14ac:dyDescent="0.25">
      <c r="A6995" t="str">
        <f t="shared" si="2862"/>
        <v>04-08-2020 12:36:35</v>
      </c>
      <c r="B6995" t="str">
        <f>"0000803917"</f>
        <v>0000803917</v>
      </c>
      <c r="C6995" t="str">
        <f t="shared" si="2863"/>
        <v>0000803758</v>
      </c>
      <c r="D6995" t="str">
        <f t="shared" si="2851"/>
        <v>73185</v>
      </c>
      <c r="E6995" t="str">
        <f t="shared" si="2852"/>
        <v>KFH-OPERATIONS DEPARTMENT</v>
      </c>
      <c r="F6995" t="str">
        <f t="shared" si="2853"/>
        <v>IBG</v>
      </c>
      <c r="G6995" t="str">
        <f t="shared" si="2866"/>
        <v>Refund COSHARE 10</v>
      </c>
      <c r="H6995" s="2">
        <v>94.65</v>
      </c>
      <c r="I6995" t="str">
        <f>"ABANG OSMANDI BIN ABANG HASLI"</f>
        <v>ABANG OSMANDI BIN ABANG HASLI</v>
      </c>
      <c r="J6995" t="str">
        <f t="shared" si="2850"/>
        <v>CIMB BANK / CIMB ISLAMIC BANK</v>
      </c>
      <c r="K6995" t="str">
        <f>"11090040975524"</f>
        <v>11090040975524</v>
      </c>
      <c r="L6995" t="str">
        <f t="shared" si="2864"/>
        <v>04-08-2020</v>
      </c>
      <c r="M6995" t="str">
        <f t="shared" si="2864"/>
        <v>04-08-2020</v>
      </c>
      <c r="N6995" t="str">
        <f t="shared" si="2854"/>
        <v>001105018356</v>
      </c>
      <c r="O6995" t="str">
        <f t="shared" si="2855"/>
        <v>MYR</v>
      </c>
      <c r="P6995" t="str">
        <f t="shared" si="2865"/>
        <v>NIL</v>
      </c>
      <c r="Q6995" t="str">
        <f t="shared" si="2865"/>
        <v>NIL</v>
      </c>
      <c r="R6995" t="str">
        <f t="shared" si="2842"/>
        <v>Accepted</v>
      </c>
      <c r="S6995" t="str">
        <f t="shared" si="2856"/>
        <v>Approved</v>
      </c>
      <c r="T6995" t="str">
        <f t="shared" si="2843"/>
        <v>10.20.8.188</v>
      </c>
      <c r="U6995" t="str">
        <f t="shared" si="2857"/>
        <v>AZRAD UMAR BIN SHAARI</v>
      </c>
      <c r="V6995" t="str">
        <f t="shared" si="2858"/>
        <v>FARHANA BINTI MUSTAPA</v>
      </c>
      <c r="W6995" t="str">
        <f t="shared" si="2859"/>
        <v>04-08-2020</v>
      </c>
      <c r="X6995" t="str">
        <f t="shared" si="2860"/>
        <v>RAZIMAH ANSAR AHMAD</v>
      </c>
      <c r="Y6995" t="str">
        <f t="shared" si="2861"/>
        <v>04-08-2020</v>
      </c>
      <c r="Z6995" t="str">
        <f>"COS10200804 2159"</f>
        <v>COS10200804 2159</v>
      </c>
    </row>
    <row r="6996" spans="1:26" x14ac:dyDescent="0.25">
      <c r="A6996" t="str">
        <f t="shared" si="2862"/>
        <v>04-08-2020 12:36:35</v>
      </c>
      <c r="B6996" t="str">
        <f>"0000803916"</f>
        <v>0000803916</v>
      </c>
      <c r="C6996" t="str">
        <f t="shared" si="2863"/>
        <v>0000803758</v>
      </c>
      <c r="D6996" t="str">
        <f t="shared" si="2851"/>
        <v>73185</v>
      </c>
      <c r="E6996" t="str">
        <f t="shared" si="2852"/>
        <v>KFH-OPERATIONS DEPARTMENT</v>
      </c>
      <c r="F6996" t="str">
        <f t="shared" si="2853"/>
        <v>IBG</v>
      </c>
      <c r="G6996" t="str">
        <f t="shared" si="2866"/>
        <v>Refund COSHARE 10</v>
      </c>
      <c r="H6996" s="2">
        <v>1242</v>
      </c>
      <c r="I6996" t="str">
        <f>"ZURIYATI BINTI NAWI"</f>
        <v>ZURIYATI BINTI NAWI</v>
      </c>
      <c r="J6996" t="str">
        <f t="shared" ref="J6996:J7059" si="2867">"BANK SIMPANAN NASIONAL"</f>
        <v>BANK SIMPANAN NASIONAL</v>
      </c>
      <c r="K6996" t="str">
        <f>"1011729810810624"</f>
        <v>1011729810810624</v>
      </c>
      <c r="L6996" t="str">
        <f t="shared" si="2864"/>
        <v>04-08-2020</v>
      </c>
      <c r="M6996" t="str">
        <f t="shared" si="2864"/>
        <v>04-08-2020</v>
      </c>
      <c r="N6996" t="str">
        <f t="shared" si="2854"/>
        <v>001105018356</v>
      </c>
      <c r="O6996" t="str">
        <f t="shared" si="2855"/>
        <v>MYR</v>
      </c>
      <c r="P6996" t="str">
        <f t="shared" si="2865"/>
        <v>NIL</v>
      </c>
      <c r="Q6996" t="str">
        <f t="shared" si="2865"/>
        <v>NIL</v>
      </c>
      <c r="R6996" t="str">
        <f t="shared" si="2842"/>
        <v>Accepted</v>
      </c>
      <c r="S6996" t="str">
        <f t="shared" si="2856"/>
        <v>Approved</v>
      </c>
      <c r="T6996" t="str">
        <f t="shared" si="2843"/>
        <v>10.20.8.188</v>
      </c>
      <c r="U6996" t="str">
        <f t="shared" si="2857"/>
        <v>AZRAD UMAR BIN SHAARI</v>
      </c>
      <c r="V6996" t="str">
        <f t="shared" si="2858"/>
        <v>FARHANA BINTI MUSTAPA</v>
      </c>
      <c r="W6996" t="str">
        <f t="shared" si="2859"/>
        <v>04-08-2020</v>
      </c>
      <c r="X6996" t="str">
        <f t="shared" si="2860"/>
        <v>RAZIMAH ANSAR AHMAD</v>
      </c>
      <c r="Y6996" t="str">
        <f t="shared" si="2861"/>
        <v>04-08-2020</v>
      </c>
      <c r="Z6996" t="str">
        <f>"COS10200804 2158"</f>
        <v>COS10200804 2158</v>
      </c>
    </row>
    <row r="6997" spans="1:26" x14ac:dyDescent="0.25">
      <c r="A6997" t="str">
        <f t="shared" si="2862"/>
        <v>04-08-2020 12:36:35</v>
      </c>
      <c r="B6997" t="str">
        <f>"0000803915"</f>
        <v>0000803915</v>
      </c>
      <c r="C6997" t="str">
        <f t="shared" si="2863"/>
        <v>0000803758</v>
      </c>
      <c r="D6997" t="str">
        <f t="shared" si="2851"/>
        <v>73185</v>
      </c>
      <c r="E6997" t="str">
        <f t="shared" si="2852"/>
        <v>KFH-OPERATIONS DEPARTMENT</v>
      </c>
      <c r="F6997" t="str">
        <f t="shared" si="2853"/>
        <v>IBG</v>
      </c>
      <c r="G6997" t="str">
        <f t="shared" si="2866"/>
        <v>Refund COSHARE 10</v>
      </c>
      <c r="H6997" s="2">
        <v>741.35</v>
      </c>
      <c r="I6997" t="str">
        <f>"ZURAIHAN BIN KARIM"</f>
        <v>ZURAIHAN BIN KARIM</v>
      </c>
      <c r="J6997" t="str">
        <f t="shared" si="2867"/>
        <v>BANK SIMPANAN NASIONAL</v>
      </c>
      <c r="K6997" t="str">
        <f>"0114029000010451"</f>
        <v>0114029000010451</v>
      </c>
      <c r="L6997" t="str">
        <f t="shared" si="2864"/>
        <v>04-08-2020</v>
      </c>
      <c r="M6997" t="str">
        <f t="shared" si="2864"/>
        <v>04-08-2020</v>
      </c>
      <c r="N6997" t="str">
        <f t="shared" si="2854"/>
        <v>001105018356</v>
      </c>
      <c r="O6997" t="str">
        <f t="shared" si="2855"/>
        <v>MYR</v>
      </c>
      <c r="P6997" t="str">
        <f t="shared" si="2865"/>
        <v>NIL</v>
      </c>
      <c r="Q6997" t="str">
        <f t="shared" si="2865"/>
        <v>NIL</v>
      </c>
      <c r="R6997" t="str">
        <f t="shared" si="2842"/>
        <v>Accepted</v>
      </c>
      <c r="S6997" t="str">
        <f t="shared" si="2856"/>
        <v>Approved</v>
      </c>
      <c r="T6997" t="str">
        <f t="shared" si="2843"/>
        <v>10.20.8.188</v>
      </c>
      <c r="U6997" t="str">
        <f t="shared" si="2857"/>
        <v>AZRAD UMAR BIN SHAARI</v>
      </c>
      <c r="V6997" t="str">
        <f t="shared" si="2858"/>
        <v>FARHANA BINTI MUSTAPA</v>
      </c>
      <c r="W6997" t="str">
        <f t="shared" si="2859"/>
        <v>04-08-2020</v>
      </c>
      <c r="X6997" t="str">
        <f t="shared" si="2860"/>
        <v>RAZIMAH ANSAR AHMAD</v>
      </c>
      <c r="Y6997" t="str">
        <f t="shared" si="2861"/>
        <v>04-08-2020</v>
      </c>
      <c r="Z6997" t="str">
        <f>"COS10200804 2157"</f>
        <v>COS10200804 2157</v>
      </c>
    </row>
    <row r="6998" spans="1:26" x14ac:dyDescent="0.25">
      <c r="A6998" t="str">
        <f t="shared" si="2862"/>
        <v>04-08-2020 12:36:35</v>
      </c>
      <c r="B6998" t="str">
        <f>"0000803914"</f>
        <v>0000803914</v>
      </c>
      <c r="C6998" t="str">
        <f t="shared" si="2863"/>
        <v>0000803758</v>
      </c>
      <c r="D6998" t="str">
        <f t="shared" si="2851"/>
        <v>73185</v>
      </c>
      <c r="E6998" t="str">
        <f t="shared" si="2852"/>
        <v>KFH-OPERATIONS DEPARTMENT</v>
      </c>
      <c r="F6998" t="str">
        <f t="shared" si="2853"/>
        <v>IBG</v>
      </c>
      <c r="G6998" t="str">
        <f t="shared" si="2866"/>
        <v>Refund COSHARE 10</v>
      </c>
      <c r="H6998" s="2">
        <v>129.30000000000001</v>
      </c>
      <c r="I6998" t="str">
        <f>"ZURAIDAH BINTI MOHAMAD ZUBIT"</f>
        <v>ZURAIDAH BINTI MOHAMAD ZUBIT</v>
      </c>
      <c r="J6998" t="str">
        <f t="shared" si="2867"/>
        <v>BANK SIMPANAN NASIONAL</v>
      </c>
      <c r="K6998" t="str">
        <f>"0211529836656985"</f>
        <v>0211529836656985</v>
      </c>
      <c r="L6998" t="str">
        <f t="shared" si="2864"/>
        <v>04-08-2020</v>
      </c>
      <c r="M6998" t="str">
        <f t="shared" si="2864"/>
        <v>04-08-2020</v>
      </c>
      <c r="N6998" t="str">
        <f t="shared" si="2854"/>
        <v>001105018356</v>
      </c>
      <c r="O6998" t="str">
        <f t="shared" si="2855"/>
        <v>MYR</v>
      </c>
      <c r="P6998" t="str">
        <f t="shared" si="2865"/>
        <v>NIL</v>
      </c>
      <c r="Q6998" t="str">
        <f t="shared" si="2865"/>
        <v>NIL</v>
      </c>
      <c r="R6998" t="str">
        <f t="shared" si="2842"/>
        <v>Accepted</v>
      </c>
      <c r="S6998" t="str">
        <f t="shared" si="2856"/>
        <v>Approved</v>
      </c>
      <c r="T6998" t="str">
        <f t="shared" si="2843"/>
        <v>10.20.8.188</v>
      </c>
      <c r="U6998" t="str">
        <f t="shared" si="2857"/>
        <v>AZRAD UMAR BIN SHAARI</v>
      </c>
      <c r="V6998" t="str">
        <f t="shared" si="2858"/>
        <v>FARHANA BINTI MUSTAPA</v>
      </c>
      <c r="W6998" t="str">
        <f t="shared" si="2859"/>
        <v>04-08-2020</v>
      </c>
      <c r="X6998" t="str">
        <f t="shared" si="2860"/>
        <v>RAZIMAH ANSAR AHMAD</v>
      </c>
      <c r="Y6998" t="str">
        <f t="shared" si="2861"/>
        <v>04-08-2020</v>
      </c>
      <c r="Z6998" t="str">
        <f>"COS10200804 2156"</f>
        <v>COS10200804 2156</v>
      </c>
    </row>
    <row r="6999" spans="1:26" x14ac:dyDescent="0.25">
      <c r="A6999" t="str">
        <f t="shared" si="2862"/>
        <v>04-08-2020 12:36:35</v>
      </c>
      <c r="B6999" t="str">
        <f>"0000803913"</f>
        <v>0000803913</v>
      </c>
      <c r="C6999" t="str">
        <f t="shared" si="2863"/>
        <v>0000803758</v>
      </c>
      <c r="D6999" t="str">
        <f t="shared" si="2851"/>
        <v>73185</v>
      </c>
      <c r="E6999" t="str">
        <f t="shared" si="2852"/>
        <v>KFH-OPERATIONS DEPARTMENT</v>
      </c>
      <c r="F6999" t="str">
        <f t="shared" si="2853"/>
        <v>IBG</v>
      </c>
      <c r="G6999" t="str">
        <f t="shared" si="2866"/>
        <v>Refund COSHARE 10</v>
      </c>
      <c r="H6999" s="2">
        <v>78</v>
      </c>
      <c r="I6999" t="str">
        <f>"ZURAIDA BINTI MOHAMED SHUIAB"</f>
        <v>ZURAIDA BINTI MOHAMED SHUIAB</v>
      </c>
      <c r="J6999" t="str">
        <f t="shared" si="2867"/>
        <v>BANK SIMPANAN NASIONAL</v>
      </c>
      <c r="K6999" t="str">
        <f>"1411329876395231"</f>
        <v>1411329876395231</v>
      </c>
      <c r="L6999" t="str">
        <f t="shared" si="2864"/>
        <v>04-08-2020</v>
      </c>
      <c r="M6999" t="str">
        <f t="shared" si="2864"/>
        <v>04-08-2020</v>
      </c>
      <c r="N6999" t="str">
        <f t="shared" si="2854"/>
        <v>001105018356</v>
      </c>
      <c r="O6999" t="str">
        <f t="shared" si="2855"/>
        <v>MYR</v>
      </c>
      <c r="P6999" t="str">
        <f t="shared" si="2865"/>
        <v>NIL</v>
      </c>
      <c r="Q6999" t="str">
        <f t="shared" si="2865"/>
        <v>NIL</v>
      </c>
      <c r="R6999" t="str">
        <f t="shared" si="2842"/>
        <v>Accepted</v>
      </c>
      <c r="S6999" t="str">
        <f t="shared" si="2856"/>
        <v>Approved</v>
      </c>
      <c r="T6999" t="str">
        <f t="shared" si="2843"/>
        <v>10.20.8.188</v>
      </c>
      <c r="U6999" t="str">
        <f t="shared" si="2857"/>
        <v>AZRAD UMAR BIN SHAARI</v>
      </c>
      <c r="V6999" t="str">
        <f t="shared" si="2858"/>
        <v>FARHANA BINTI MUSTAPA</v>
      </c>
      <c r="W6999" t="str">
        <f t="shared" si="2859"/>
        <v>04-08-2020</v>
      </c>
      <c r="X6999" t="str">
        <f t="shared" si="2860"/>
        <v>RAZIMAH ANSAR AHMAD</v>
      </c>
      <c r="Y6999" t="str">
        <f t="shared" si="2861"/>
        <v>04-08-2020</v>
      </c>
      <c r="Z6999" t="str">
        <f>"COS10200804 2155"</f>
        <v>COS10200804 2155</v>
      </c>
    </row>
    <row r="7000" spans="1:26" x14ac:dyDescent="0.25">
      <c r="A7000" t="str">
        <f t="shared" si="2862"/>
        <v>04-08-2020 12:36:35</v>
      </c>
      <c r="B7000" t="str">
        <f>"0000803912"</f>
        <v>0000803912</v>
      </c>
      <c r="C7000" t="str">
        <f t="shared" si="2863"/>
        <v>0000803758</v>
      </c>
      <c r="D7000" t="str">
        <f t="shared" si="2851"/>
        <v>73185</v>
      </c>
      <c r="E7000" t="str">
        <f t="shared" si="2852"/>
        <v>KFH-OPERATIONS DEPARTMENT</v>
      </c>
      <c r="F7000" t="str">
        <f t="shared" si="2853"/>
        <v>IBG</v>
      </c>
      <c r="G7000" t="str">
        <f t="shared" si="2866"/>
        <v>Refund COSHARE 10</v>
      </c>
      <c r="H7000" s="2">
        <v>671.6</v>
      </c>
      <c r="I7000" t="str">
        <f>"ZUNAINAH BINTI SALIM"</f>
        <v>ZUNAINAH BINTI SALIM</v>
      </c>
      <c r="J7000" t="str">
        <f t="shared" si="2867"/>
        <v>BANK SIMPANAN NASIONAL</v>
      </c>
      <c r="K7000" t="str">
        <f>"1212429000132935"</f>
        <v>1212429000132935</v>
      </c>
      <c r="L7000" t="str">
        <f t="shared" si="2864"/>
        <v>04-08-2020</v>
      </c>
      <c r="M7000" t="str">
        <f t="shared" si="2864"/>
        <v>04-08-2020</v>
      </c>
      <c r="N7000" t="str">
        <f t="shared" si="2854"/>
        <v>001105018356</v>
      </c>
      <c r="O7000" t="str">
        <f t="shared" si="2855"/>
        <v>MYR</v>
      </c>
      <c r="P7000" t="str">
        <f t="shared" si="2865"/>
        <v>NIL</v>
      </c>
      <c r="Q7000" t="str">
        <f t="shared" si="2865"/>
        <v>NIL</v>
      </c>
      <c r="R7000" t="str">
        <f t="shared" si="2842"/>
        <v>Accepted</v>
      </c>
      <c r="S7000" t="str">
        <f t="shared" si="2856"/>
        <v>Approved</v>
      </c>
      <c r="T7000" t="str">
        <f t="shared" si="2843"/>
        <v>10.20.8.188</v>
      </c>
      <c r="U7000" t="str">
        <f t="shared" si="2857"/>
        <v>AZRAD UMAR BIN SHAARI</v>
      </c>
      <c r="V7000" t="str">
        <f t="shared" si="2858"/>
        <v>FARHANA BINTI MUSTAPA</v>
      </c>
      <c r="W7000" t="str">
        <f t="shared" si="2859"/>
        <v>04-08-2020</v>
      </c>
      <c r="X7000" t="str">
        <f t="shared" si="2860"/>
        <v>RAZIMAH ANSAR AHMAD</v>
      </c>
      <c r="Y7000" t="str">
        <f t="shared" si="2861"/>
        <v>04-08-2020</v>
      </c>
      <c r="Z7000" t="str">
        <f>"COS10200804 2154"</f>
        <v>COS10200804 2154</v>
      </c>
    </row>
    <row r="7001" spans="1:26" x14ac:dyDescent="0.25">
      <c r="A7001" t="str">
        <f t="shared" si="2862"/>
        <v>04-08-2020 12:36:35</v>
      </c>
      <c r="B7001" t="str">
        <f>"0000803911"</f>
        <v>0000803911</v>
      </c>
      <c r="C7001" t="str">
        <f t="shared" si="2863"/>
        <v>0000803758</v>
      </c>
      <c r="D7001" t="str">
        <f t="shared" si="2851"/>
        <v>73185</v>
      </c>
      <c r="E7001" t="str">
        <f t="shared" si="2852"/>
        <v>KFH-OPERATIONS DEPARTMENT</v>
      </c>
      <c r="F7001" t="str">
        <f t="shared" si="2853"/>
        <v>IBG</v>
      </c>
      <c r="G7001" t="str">
        <f t="shared" si="2866"/>
        <v>Refund COSHARE 10</v>
      </c>
      <c r="H7001" s="2">
        <v>42</v>
      </c>
      <c r="I7001" t="str">
        <f>"ZULYANA BINTI MOHAMAD"</f>
        <v>ZULYANA BINTI MOHAMAD</v>
      </c>
      <c r="J7001" t="str">
        <f t="shared" si="2867"/>
        <v>BANK SIMPANAN NASIONAL</v>
      </c>
      <c r="K7001" t="str">
        <f>"0610729863841143"</f>
        <v>0610729863841143</v>
      </c>
      <c r="L7001" t="str">
        <f t="shared" si="2864"/>
        <v>04-08-2020</v>
      </c>
      <c r="M7001" t="str">
        <f t="shared" si="2864"/>
        <v>04-08-2020</v>
      </c>
      <c r="N7001" t="str">
        <f t="shared" si="2854"/>
        <v>001105018356</v>
      </c>
      <c r="O7001" t="str">
        <f t="shared" si="2855"/>
        <v>MYR</v>
      </c>
      <c r="P7001" t="str">
        <f t="shared" si="2865"/>
        <v>NIL</v>
      </c>
      <c r="Q7001" t="str">
        <f t="shared" si="2865"/>
        <v>NIL</v>
      </c>
      <c r="R7001" t="str">
        <f t="shared" si="2842"/>
        <v>Accepted</v>
      </c>
      <c r="S7001" t="str">
        <f t="shared" si="2856"/>
        <v>Approved</v>
      </c>
      <c r="T7001" t="str">
        <f t="shared" si="2843"/>
        <v>10.20.8.188</v>
      </c>
      <c r="U7001" t="str">
        <f t="shared" si="2857"/>
        <v>AZRAD UMAR BIN SHAARI</v>
      </c>
      <c r="V7001" t="str">
        <f t="shared" si="2858"/>
        <v>FARHANA BINTI MUSTAPA</v>
      </c>
      <c r="W7001" t="str">
        <f t="shared" si="2859"/>
        <v>04-08-2020</v>
      </c>
      <c r="X7001" t="str">
        <f t="shared" si="2860"/>
        <v>RAZIMAH ANSAR AHMAD</v>
      </c>
      <c r="Y7001" t="str">
        <f t="shared" si="2861"/>
        <v>04-08-2020</v>
      </c>
      <c r="Z7001" t="str">
        <f>"COS10200804 2153"</f>
        <v>COS10200804 2153</v>
      </c>
    </row>
    <row r="7002" spans="1:26" x14ac:dyDescent="0.25">
      <c r="A7002" t="str">
        <f t="shared" si="2862"/>
        <v>04-08-2020 12:36:35</v>
      </c>
      <c r="B7002" t="str">
        <f>"0000803910"</f>
        <v>0000803910</v>
      </c>
      <c r="C7002" t="str">
        <f t="shared" si="2863"/>
        <v>0000803758</v>
      </c>
      <c r="D7002" t="str">
        <f t="shared" si="2851"/>
        <v>73185</v>
      </c>
      <c r="E7002" t="str">
        <f t="shared" si="2852"/>
        <v>KFH-OPERATIONS DEPARTMENT</v>
      </c>
      <c r="F7002" t="str">
        <f t="shared" si="2853"/>
        <v>IBG</v>
      </c>
      <c r="G7002" t="str">
        <f t="shared" si="2866"/>
        <v>Refund COSHARE 10</v>
      </c>
      <c r="H7002" s="2">
        <v>479</v>
      </c>
      <c r="I7002" t="str">
        <f>"ZULKIFLI MOHAMAD BIN OMAR"</f>
        <v>ZULKIFLI MOHAMAD BIN OMAR</v>
      </c>
      <c r="J7002" t="str">
        <f t="shared" si="2867"/>
        <v>BANK SIMPANAN NASIONAL</v>
      </c>
      <c r="K7002" t="str">
        <f>"0211229000075015"</f>
        <v>0211229000075015</v>
      </c>
      <c r="L7002" t="str">
        <f t="shared" si="2864"/>
        <v>04-08-2020</v>
      </c>
      <c r="M7002" t="str">
        <f t="shared" si="2864"/>
        <v>04-08-2020</v>
      </c>
      <c r="N7002" t="str">
        <f t="shared" si="2854"/>
        <v>001105018356</v>
      </c>
      <c r="O7002" t="str">
        <f t="shared" si="2855"/>
        <v>MYR</v>
      </c>
      <c r="P7002" t="str">
        <f t="shared" si="2865"/>
        <v>NIL</v>
      </c>
      <c r="Q7002" t="str">
        <f t="shared" si="2865"/>
        <v>NIL</v>
      </c>
      <c r="R7002" t="str">
        <f t="shared" si="2842"/>
        <v>Accepted</v>
      </c>
      <c r="S7002" t="str">
        <f t="shared" si="2856"/>
        <v>Approved</v>
      </c>
      <c r="T7002" t="str">
        <f t="shared" si="2843"/>
        <v>10.20.8.188</v>
      </c>
      <c r="U7002" t="str">
        <f t="shared" si="2857"/>
        <v>AZRAD UMAR BIN SHAARI</v>
      </c>
      <c r="V7002" t="str">
        <f t="shared" si="2858"/>
        <v>FARHANA BINTI MUSTAPA</v>
      </c>
      <c r="W7002" t="str">
        <f t="shared" si="2859"/>
        <v>04-08-2020</v>
      </c>
      <c r="X7002" t="str">
        <f t="shared" si="2860"/>
        <v>RAZIMAH ANSAR AHMAD</v>
      </c>
      <c r="Y7002" t="str">
        <f t="shared" si="2861"/>
        <v>04-08-2020</v>
      </c>
      <c r="Z7002" t="str">
        <f>"COS10200804 2152"</f>
        <v>COS10200804 2152</v>
      </c>
    </row>
    <row r="7003" spans="1:26" x14ac:dyDescent="0.25">
      <c r="A7003" t="str">
        <f t="shared" si="2862"/>
        <v>04-08-2020 12:36:35</v>
      </c>
      <c r="B7003" t="str">
        <f>"0000803909"</f>
        <v>0000803909</v>
      </c>
      <c r="C7003" t="str">
        <f t="shared" si="2863"/>
        <v>0000803758</v>
      </c>
      <c r="D7003" t="str">
        <f t="shared" si="2851"/>
        <v>73185</v>
      </c>
      <c r="E7003" t="str">
        <f t="shared" si="2852"/>
        <v>KFH-OPERATIONS DEPARTMENT</v>
      </c>
      <c r="F7003" t="str">
        <f t="shared" si="2853"/>
        <v>IBG</v>
      </c>
      <c r="G7003" t="str">
        <f t="shared" si="2866"/>
        <v>Refund COSHARE 10</v>
      </c>
      <c r="H7003" s="2">
        <v>258.60000000000002</v>
      </c>
      <c r="I7003" t="str">
        <f>"ZULKIFLI BIN WAHID"</f>
        <v>ZULKIFLI BIN WAHID</v>
      </c>
      <c r="J7003" t="str">
        <f t="shared" si="2867"/>
        <v>BANK SIMPANAN NASIONAL</v>
      </c>
      <c r="K7003" t="str">
        <f>"1011929814906949"</f>
        <v>1011929814906949</v>
      </c>
      <c r="L7003" t="str">
        <f t="shared" si="2864"/>
        <v>04-08-2020</v>
      </c>
      <c r="M7003" t="str">
        <f t="shared" si="2864"/>
        <v>04-08-2020</v>
      </c>
      <c r="N7003" t="str">
        <f t="shared" si="2854"/>
        <v>001105018356</v>
      </c>
      <c r="O7003" t="str">
        <f t="shared" si="2855"/>
        <v>MYR</v>
      </c>
      <c r="P7003" t="str">
        <f t="shared" si="2865"/>
        <v>NIL</v>
      </c>
      <c r="Q7003" t="str">
        <f t="shared" si="2865"/>
        <v>NIL</v>
      </c>
      <c r="R7003" t="str">
        <f t="shared" si="2842"/>
        <v>Accepted</v>
      </c>
      <c r="S7003" t="str">
        <f t="shared" si="2856"/>
        <v>Approved</v>
      </c>
      <c r="T7003" t="str">
        <f t="shared" si="2843"/>
        <v>10.20.8.188</v>
      </c>
      <c r="U7003" t="str">
        <f t="shared" si="2857"/>
        <v>AZRAD UMAR BIN SHAARI</v>
      </c>
      <c r="V7003" t="str">
        <f t="shared" si="2858"/>
        <v>FARHANA BINTI MUSTAPA</v>
      </c>
      <c r="W7003" t="str">
        <f t="shared" si="2859"/>
        <v>04-08-2020</v>
      </c>
      <c r="X7003" t="str">
        <f t="shared" si="2860"/>
        <v>RAZIMAH ANSAR AHMAD</v>
      </c>
      <c r="Y7003" t="str">
        <f t="shared" si="2861"/>
        <v>04-08-2020</v>
      </c>
      <c r="Z7003" t="str">
        <f>"COS10200804 2151"</f>
        <v>COS10200804 2151</v>
      </c>
    </row>
    <row r="7004" spans="1:26" x14ac:dyDescent="0.25">
      <c r="A7004" t="str">
        <f t="shared" si="2862"/>
        <v>04-08-2020 12:36:35</v>
      </c>
      <c r="B7004" t="str">
        <f>"0000803908"</f>
        <v>0000803908</v>
      </c>
      <c r="C7004" t="str">
        <f t="shared" si="2863"/>
        <v>0000803758</v>
      </c>
      <c r="D7004" t="str">
        <f t="shared" si="2851"/>
        <v>73185</v>
      </c>
      <c r="E7004" t="str">
        <f t="shared" si="2852"/>
        <v>KFH-OPERATIONS DEPARTMENT</v>
      </c>
      <c r="F7004" t="str">
        <f t="shared" si="2853"/>
        <v>IBG</v>
      </c>
      <c r="G7004" t="str">
        <f t="shared" si="2866"/>
        <v>Refund COSHARE 10</v>
      </c>
      <c r="H7004" s="2">
        <v>503.7</v>
      </c>
      <c r="I7004" t="str">
        <f>"ZULKHAIRI BIN DAUD"</f>
        <v>ZULKHAIRI BIN DAUD</v>
      </c>
      <c r="J7004" t="str">
        <f t="shared" si="2867"/>
        <v>BANK SIMPANAN NASIONAL</v>
      </c>
      <c r="K7004" t="str">
        <f>"0212429000031636"</f>
        <v>0212429000031636</v>
      </c>
      <c r="L7004" t="str">
        <f t="shared" si="2864"/>
        <v>04-08-2020</v>
      </c>
      <c r="M7004" t="str">
        <f t="shared" si="2864"/>
        <v>04-08-2020</v>
      </c>
      <c r="N7004" t="str">
        <f t="shared" si="2854"/>
        <v>001105018356</v>
      </c>
      <c r="O7004" t="str">
        <f t="shared" si="2855"/>
        <v>MYR</v>
      </c>
      <c r="P7004" t="str">
        <f t="shared" si="2865"/>
        <v>NIL</v>
      </c>
      <c r="Q7004" t="str">
        <f t="shared" si="2865"/>
        <v>NIL</v>
      </c>
      <c r="R7004" t="str">
        <f t="shared" si="2842"/>
        <v>Accepted</v>
      </c>
      <c r="S7004" t="str">
        <f t="shared" si="2856"/>
        <v>Approved</v>
      </c>
      <c r="T7004" t="str">
        <f t="shared" si="2843"/>
        <v>10.20.8.188</v>
      </c>
      <c r="U7004" t="str">
        <f t="shared" si="2857"/>
        <v>AZRAD UMAR BIN SHAARI</v>
      </c>
      <c r="V7004" t="str">
        <f t="shared" si="2858"/>
        <v>FARHANA BINTI MUSTAPA</v>
      </c>
      <c r="W7004" t="str">
        <f t="shared" si="2859"/>
        <v>04-08-2020</v>
      </c>
      <c r="X7004" t="str">
        <f t="shared" si="2860"/>
        <v>RAZIMAH ANSAR AHMAD</v>
      </c>
      <c r="Y7004" t="str">
        <f t="shared" si="2861"/>
        <v>04-08-2020</v>
      </c>
      <c r="Z7004" t="str">
        <f>"COS10200804 2150"</f>
        <v>COS10200804 2150</v>
      </c>
    </row>
    <row r="7005" spans="1:26" x14ac:dyDescent="0.25">
      <c r="A7005" t="str">
        <f t="shared" si="2862"/>
        <v>04-08-2020 12:36:35</v>
      </c>
      <c r="B7005" t="str">
        <f>"0000803907"</f>
        <v>0000803907</v>
      </c>
      <c r="C7005" t="str">
        <f t="shared" si="2863"/>
        <v>0000803758</v>
      </c>
      <c r="D7005" t="str">
        <f t="shared" si="2851"/>
        <v>73185</v>
      </c>
      <c r="E7005" t="str">
        <f t="shared" si="2852"/>
        <v>KFH-OPERATIONS DEPARTMENT</v>
      </c>
      <c r="F7005" t="str">
        <f t="shared" si="2853"/>
        <v>IBG</v>
      </c>
      <c r="G7005" t="str">
        <f t="shared" si="2866"/>
        <v>Refund COSHARE 10</v>
      </c>
      <c r="H7005" s="2">
        <v>1304</v>
      </c>
      <c r="I7005" t="str">
        <f>"ZULKAFLI BIN HASHIM"</f>
        <v>ZULKAFLI BIN HASHIM</v>
      </c>
      <c r="J7005" t="str">
        <f t="shared" si="2867"/>
        <v>BANK SIMPANAN NASIONAL</v>
      </c>
      <c r="K7005" t="str">
        <f>"1410029887167233"</f>
        <v>1410029887167233</v>
      </c>
      <c r="L7005" t="str">
        <f t="shared" si="2864"/>
        <v>04-08-2020</v>
      </c>
      <c r="M7005" t="str">
        <f t="shared" si="2864"/>
        <v>04-08-2020</v>
      </c>
      <c r="N7005" t="str">
        <f t="shared" si="2854"/>
        <v>001105018356</v>
      </c>
      <c r="O7005" t="str">
        <f t="shared" si="2855"/>
        <v>MYR</v>
      </c>
      <c r="P7005" t="str">
        <f t="shared" si="2865"/>
        <v>NIL</v>
      </c>
      <c r="Q7005" t="str">
        <f t="shared" si="2865"/>
        <v>NIL</v>
      </c>
      <c r="R7005" t="str">
        <f t="shared" si="2842"/>
        <v>Accepted</v>
      </c>
      <c r="S7005" t="str">
        <f t="shared" si="2856"/>
        <v>Approved</v>
      </c>
      <c r="T7005" t="str">
        <f t="shared" si="2843"/>
        <v>10.20.8.188</v>
      </c>
      <c r="U7005" t="str">
        <f t="shared" si="2857"/>
        <v>AZRAD UMAR BIN SHAARI</v>
      </c>
      <c r="V7005" t="str">
        <f t="shared" si="2858"/>
        <v>FARHANA BINTI MUSTAPA</v>
      </c>
      <c r="W7005" t="str">
        <f t="shared" si="2859"/>
        <v>04-08-2020</v>
      </c>
      <c r="X7005" t="str">
        <f t="shared" si="2860"/>
        <v>RAZIMAH ANSAR AHMAD</v>
      </c>
      <c r="Y7005" t="str">
        <f t="shared" si="2861"/>
        <v>04-08-2020</v>
      </c>
      <c r="Z7005" t="str">
        <f>"COS10200804 2149"</f>
        <v>COS10200804 2149</v>
      </c>
    </row>
    <row r="7006" spans="1:26" x14ac:dyDescent="0.25">
      <c r="A7006" t="str">
        <f t="shared" si="2862"/>
        <v>04-08-2020 12:36:35</v>
      </c>
      <c r="B7006" t="str">
        <f>"0000803906"</f>
        <v>0000803906</v>
      </c>
      <c r="C7006" t="str">
        <f t="shared" si="2863"/>
        <v>0000803758</v>
      </c>
      <c r="D7006" t="str">
        <f t="shared" si="2851"/>
        <v>73185</v>
      </c>
      <c r="E7006" t="str">
        <f t="shared" si="2852"/>
        <v>KFH-OPERATIONS DEPARTMENT</v>
      </c>
      <c r="F7006" t="str">
        <f t="shared" si="2853"/>
        <v>IBG</v>
      </c>
      <c r="G7006" t="str">
        <f t="shared" si="2866"/>
        <v>Refund COSHARE 10</v>
      </c>
      <c r="H7006" s="2">
        <v>168</v>
      </c>
      <c r="I7006" t="str">
        <f>"ZULHAIKAL BIN MOKHTAR"</f>
        <v>ZULHAIKAL BIN MOKHTAR</v>
      </c>
      <c r="J7006" t="str">
        <f t="shared" si="2867"/>
        <v>BANK SIMPANAN NASIONAL</v>
      </c>
      <c r="K7006" t="str">
        <f>"1110029000090601"</f>
        <v>1110029000090601</v>
      </c>
      <c r="L7006" t="str">
        <f t="shared" si="2864"/>
        <v>04-08-2020</v>
      </c>
      <c r="M7006" t="str">
        <f t="shared" si="2864"/>
        <v>04-08-2020</v>
      </c>
      <c r="N7006" t="str">
        <f t="shared" si="2854"/>
        <v>001105018356</v>
      </c>
      <c r="O7006" t="str">
        <f t="shared" si="2855"/>
        <v>MYR</v>
      </c>
      <c r="P7006" t="str">
        <f t="shared" si="2865"/>
        <v>NIL</v>
      </c>
      <c r="Q7006" t="str">
        <f t="shared" si="2865"/>
        <v>NIL</v>
      </c>
      <c r="R7006" t="str">
        <f t="shared" si="2842"/>
        <v>Accepted</v>
      </c>
      <c r="S7006" t="str">
        <f t="shared" si="2856"/>
        <v>Approved</v>
      </c>
      <c r="T7006" t="str">
        <f t="shared" si="2843"/>
        <v>10.20.8.188</v>
      </c>
      <c r="U7006" t="str">
        <f t="shared" si="2857"/>
        <v>AZRAD UMAR BIN SHAARI</v>
      </c>
      <c r="V7006" t="str">
        <f t="shared" si="2858"/>
        <v>FARHANA BINTI MUSTAPA</v>
      </c>
      <c r="W7006" t="str">
        <f t="shared" si="2859"/>
        <v>04-08-2020</v>
      </c>
      <c r="X7006" t="str">
        <f t="shared" si="2860"/>
        <v>RAZIMAH ANSAR AHMAD</v>
      </c>
      <c r="Y7006" t="str">
        <f t="shared" si="2861"/>
        <v>04-08-2020</v>
      </c>
      <c r="Z7006" t="str">
        <f>"COS10200804 2148"</f>
        <v>COS10200804 2148</v>
      </c>
    </row>
    <row r="7007" spans="1:26" x14ac:dyDescent="0.25">
      <c r="A7007" t="str">
        <f t="shared" si="2862"/>
        <v>04-08-2020 12:36:35</v>
      </c>
      <c r="B7007" t="str">
        <f>"0000803905"</f>
        <v>0000803905</v>
      </c>
      <c r="C7007" t="str">
        <f t="shared" si="2863"/>
        <v>0000803758</v>
      </c>
      <c r="D7007" t="str">
        <f t="shared" si="2851"/>
        <v>73185</v>
      </c>
      <c r="E7007" t="str">
        <f t="shared" si="2852"/>
        <v>KFH-OPERATIONS DEPARTMENT</v>
      </c>
      <c r="F7007" t="str">
        <f t="shared" si="2853"/>
        <v>IBG</v>
      </c>
      <c r="G7007" t="str">
        <f t="shared" si="2866"/>
        <v>Refund COSHARE 10</v>
      </c>
      <c r="H7007" s="2">
        <v>478</v>
      </c>
      <c r="I7007" t="str">
        <f>"ZULHAFIFI BIN ZAINAL ABIDIN"</f>
        <v>ZULHAFIFI BIN ZAINAL ABIDIN</v>
      </c>
      <c r="J7007" t="str">
        <f t="shared" si="2867"/>
        <v>BANK SIMPANAN NASIONAL</v>
      </c>
      <c r="K7007" t="str">
        <f>"0850029000160543"</f>
        <v>0850029000160543</v>
      </c>
      <c r="L7007" t="str">
        <f t="shared" ref="L7007:M7026" si="2868">"04-08-2020"</f>
        <v>04-08-2020</v>
      </c>
      <c r="M7007" t="str">
        <f t="shared" si="2868"/>
        <v>04-08-2020</v>
      </c>
      <c r="N7007" t="str">
        <f t="shared" si="2854"/>
        <v>001105018356</v>
      </c>
      <c r="O7007" t="str">
        <f t="shared" si="2855"/>
        <v>MYR</v>
      </c>
      <c r="P7007" t="str">
        <f t="shared" ref="P7007:Q7026" si="2869">"NIL"</f>
        <v>NIL</v>
      </c>
      <c r="Q7007" t="str">
        <f t="shared" si="2869"/>
        <v>NIL</v>
      </c>
      <c r="R7007" t="str">
        <f t="shared" si="2842"/>
        <v>Accepted</v>
      </c>
      <c r="S7007" t="str">
        <f t="shared" si="2856"/>
        <v>Approved</v>
      </c>
      <c r="T7007" t="str">
        <f t="shared" si="2843"/>
        <v>10.20.8.188</v>
      </c>
      <c r="U7007" t="str">
        <f t="shared" si="2857"/>
        <v>AZRAD UMAR BIN SHAARI</v>
      </c>
      <c r="V7007" t="str">
        <f t="shared" si="2858"/>
        <v>FARHANA BINTI MUSTAPA</v>
      </c>
      <c r="W7007" t="str">
        <f t="shared" si="2859"/>
        <v>04-08-2020</v>
      </c>
      <c r="X7007" t="str">
        <f t="shared" si="2860"/>
        <v>RAZIMAH ANSAR AHMAD</v>
      </c>
      <c r="Y7007" t="str">
        <f t="shared" si="2861"/>
        <v>04-08-2020</v>
      </c>
      <c r="Z7007" t="str">
        <f>"COS10200804 2147"</f>
        <v>COS10200804 2147</v>
      </c>
    </row>
    <row r="7008" spans="1:26" x14ac:dyDescent="0.25">
      <c r="A7008" t="str">
        <f t="shared" si="2862"/>
        <v>04-08-2020 12:36:35</v>
      </c>
      <c r="B7008" t="str">
        <f>"0000803904"</f>
        <v>0000803904</v>
      </c>
      <c r="C7008" t="str">
        <f t="shared" si="2863"/>
        <v>0000803758</v>
      </c>
      <c r="D7008" t="str">
        <f t="shared" si="2851"/>
        <v>73185</v>
      </c>
      <c r="E7008" t="str">
        <f t="shared" si="2852"/>
        <v>KFH-OPERATIONS DEPARTMENT</v>
      </c>
      <c r="F7008" t="str">
        <f t="shared" si="2853"/>
        <v>IBG</v>
      </c>
      <c r="G7008" t="str">
        <f t="shared" si="2866"/>
        <v>Refund COSHARE 10</v>
      </c>
      <c r="H7008" s="2">
        <v>258.60000000000002</v>
      </c>
      <c r="I7008" t="str">
        <f>"ZUBAIDAH BINTI JAINI"</f>
        <v>ZUBAIDAH BINTI JAINI</v>
      </c>
      <c r="J7008" t="str">
        <f t="shared" si="2867"/>
        <v>BANK SIMPANAN NASIONAL</v>
      </c>
      <c r="K7008" t="str">
        <f>"1310029830403893"</f>
        <v>1310029830403893</v>
      </c>
      <c r="L7008" t="str">
        <f t="shared" si="2868"/>
        <v>04-08-2020</v>
      </c>
      <c r="M7008" t="str">
        <f t="shared" si="2868"/>
        <v>04-08-2020</v>
      </c>
      <c r="N7008" t="str">
        <f t="shared" si="2854"/>
        <v>001105018356</v>
      </c>
      <c r="O7008" t="str">
        <f t="shared" si="2855"/>
        <v>MYR</v>
      </c>
      <c r="P7008" t="str">
        <f t="shared" si="2869"/>
        <v>NIL</v>
      </c>
      <c r="Q7008" t="str">
        <f t="shared" si="2869"/>
        <v>NIL</v>
      </c>
      <c r="R7008" t="str">
        <f t="shared" si="2842"/>
        <v>Accepted</v>
      </c>
      <c r="S7008" t="str">
        <f t="shared" si="2856"/>
        <v>Approved</v>
      </c>
      <c r="T7008" t="str">
        <f t="shared" si="2843"/>
        <v>10.20.8.188</v>
      </c>
      <c r="U7008" t="str">
        <f t="shared" si="2857"/>
        <v>AZRAD UMAR BIN SHAARI</v>
      </c>
      <c r="V7008" t="str">
        <f t="shared" si="2858"/>
        <v>FARHANA BINTI MUSTAPA</v>
      </c>
      <c r="W7008" t="str">
        <f t="shared" si="2859"/>
        <v>04-08-2020</v>
      </c>
      <c r="X7008" t="str">
        <f t="shared" si="2860"/>
        <v>RAZIMAH ANSAR AHMAD</v>
      </c>
      <c r="Y7008" t="str">
        <f t="shared" si="2861"/>
        <v>04-08-2020</v>
      </c>
      <c r="Z7008" t="str">
        <f>"COS10200804 2146"</f>
        <v>COS10200804 2146</v>
      </c>
    </row>
    <row r="7009" spans="1:26" x14ac:dyDescent="0.25">
      <c r="A7009" t="str">
        <f t="shared" si="2862"/>
        <v>04-08-2020 12:36:35</v>
      </c>
      <c r="B7009" t="str">
        <f>"0000803903"</f>
        <v>0000803903</v>
      </c>
      <c r="C7009" t="str">
        <f t="shared" si="2863"/>
        <v>0000803758</v>
      </c>
      <c r="D7009" t="str">
        <f t="shared" si="2851"/>
        <v>73185</v>
      </c>
      <c r="E7009" t="str">
        <f t="shared" si="2852"/>
        <v>KFH-OPERATIONS DEPARTMENT</v>
      </c>
      <c r="F7009" t="str">
        <f t="shared" si="2853"/>
        <v>IBG</v>
      </c>
      <c r="G7009" t="str">
        <f t="shared" si="2866"/>
        <v>Refund COSHARE 10</v>
      </c>
      <c r="H7009" s="2">
        <v>1679</v>
      </c>
      <c r="I7009" t="str">
        <f>"ZOLKORNAIN BIN MAT KASIM"</f>
        <v>ZOLKORNAIN BIN MAT KASIM</v>
      </c>
      <c r="J7009" t="str">
        <f t="shared" si="2867"/>
        <v>BANK SIMPANAN NASIONAL</v>
      </c>
      <c r="K7009" t="str">
        <f>"0311629000003820"</f>
        <v>0311629000003820</v>
      </c>
      <c r="L7009" t="str">
        <f t="shared" si="2868"/>
        <v>04-08-2020</v>
      </c>
      <c r="M7009" t="str">
        <f t="shared" si="2868"/>
        <v>04-08-2020</v>
      </c>
      <c r="N7009" t="str">
        <f t="shared" si="2854"/>
        <v>001105018356</v>
      </c>
      <c r="O7009" t="str">
        <f t="shared" si="2855"/>
        <v>MYR</v>
      </c>
      <c r="P7009" t="str">
        <f t="shared" si="2869"/>
        <v>NIL</v>
      </c>
      <c r="Q7009" t="str">
        <f t="shared" si="2869"/>
        <v>NIL</v>
      </c>
      <c r="R7009" t="str">
        <f t="shared" si="2842"/>
        <v>Accepted</v>
      </c>
      <c r="S7009" t="str">
        <f t="shared" si="2856"/>
        <v>Approved</v>
      </c>
      <c r="T7009" t="str">
        <f t="shared" si="2843"/>
        <v>10.20.8.188</v>
      </c>
      <c r="U7009" t="str">
        <f t="shared" si="2857"/>
        <v>AZRAD UMAR BIN SHAARI</v>
      </c>
      <c r="V7009" t="str">
        <f t="shared" si="2858"/>
        <v>FARHANA BINTI MUSTAPA</v>
      </c>
      <c r="W7009" t="str">
        <f t="shared" si="2859"/>
        <v>04-08-2020</v>
      </c>
      <c r="X7009" t="str">
        <f t="shared" si="2860"/>
        <v>RAZIMAH ANSAR AHMAD</v>
      </c>
      <c r="Y7009" t="str">
        <f t="shared" si="2861"/>
        <v>04-08-2020</v>
      </c>
      <c r="Z7009" t="str">
        <f>"COS10200804 2145"</f>
        <v>COS10200804 2145</v>
      </c>
    </row>
    <row r="7010" spans="1:26" x14ac:dyDescent="0.25">
      <c r="A7010" t="str">
        <f t="shared" si="2862"/>
        <v>04-08-2020 12:36:35</v>
      </c>
      <c r="B7010" t="str">
        <f>"0000803902"</f>
        <v>0000803902</v>
      </c>
      <c r="C7010" t="str">
        <f t="shared" si="2863"/>
        <v>0000803758</v>
      </c>
      <c r="D7010" t="str">
        <f t="shared" si="2851"/>
        <v>73185</v>
      </c>
      <c r="E7010" t="str">
        <f t="shared" si="2852"/>
        <v>KFH-OPERATIONS DEPARTMENT</v>
      </c>
      <c r="F7010" t="str">
        <f t="shared" si="2853"/>
        <v>IBG</v>
      </c>
      <c r="G7010" t="str">
        <f t="shared" si="2866"/>
        <v>Refund COSHARE 10</v>
      </c>
      <c r="H7010" s="2">
        <v>91.5</v>
      </c>
      <c r="I7010" t="str">
        <f>"ZIRAN BIN BAKAR"</f>
        <v>ZIRAN BIN BAKAR</v>
      </c>
      <c r="J7010" t="str">
        <f t="shared" si="2867"/>
        <v>BANK SIMPANAN NASIONAL</v>
      </c>
      <c r="K7010" t="str">
        <f>"0510029852248452"</f>
        <v>0510029852248452</v>
      </c>
      <c r="L7010" t="str">
        <f t="shared" si="2868"/>
        <v>04-08-2020</v>
      </c>
      <c r="M7010" t="str">
        <f t="shared" si="2868"/>
        <v>04-08-2020</v>
      </c>
      <c r="N7010" t="str">
        <f t="shared" si="2854"/>
        <v>001105018356</v>
      </c>
      <c r="O7010" t="str">
        <f t="shared" si="2855"/>
        <v>MYR</v>
      </c>
      <c r="P7010" t="str">
        <f t="shared" si="2869"/>
        <v>NIL</v>
      </c>
      <c r="Q7010" t="str">
        <f t="shared" si="2869"/>
        <v>NIL</v>
      </c>
      <c r="R7010" t="str">
        <f t="shared" ref="R7010:R7073" si="2870">"Accepted"</f>
        <v>Accepted</v>
      </c>
      <c r="S7010" t="str">
        <f t="shared" si="2856"/>
        <v>Approved</v>
      </c>
      <c r="T7010" t="str">
        <f t="shared" ref="T7010:T7073" si="2871">"10.20.8.188"</f>
        <v>10.20.8.188</v>
      </c>
      <c r="U7010" t="str">
        <f t="shared" si="2857"/>
        <v>AZRAD UMAR BIN SHAARI</v>
      </c>
      <c r="V7010" t="str">
        <f t="shared" si="2858"/>
        <v>FARHANA BINTI MUSTAPA</v>
      </c>
      <c r="W7010" t="str">
        <f t="shared" si="2859"/>
        <v>04-08-2020</v>
      </c>
      <c r="X7010" t="str">
        <f t="shared" si="2860"/>
        <v>RAZIMAH ANSAR AHMAD</v>
      </c>
      <c r="Y7010" t="str">
        <f t="shared" si="2861"/>
        <v>04-08-2020</v>
      </c>
      <c r="Z7010" t="str">
        <f>"COS10200804 2144"</f>
        <v>COS10200804 2144</v>
      </c>
    </row>
    <row r="7011" spans="1:26" x14ac:dyDescent="0.25">
      <c r="A7011" t="str">
        <f t="shared" si="2862"/>
        <v>04-08-2020 12:36:35</v>
      </c>
      <c r="B7011" t="str">
        <f>"0000803901"</f>
        <v>0000803901</v>
      </c>
      <c r="C7011" t="str">
        <f t="shared" si="2863"/>
        <v>0000803758</v>
      </c>
      <c r="D7011" t="str">
        <f t="shared" si="2851"/>
        <v>73185</v>
      </c>
      <c r="E7011" t="str">
        <f t="shared" si="2852"/>
        <v>KFH-OPERATIONS DEPARTMENT</v>
      </c>
      <c r="F7011" t="str">
        <f t="shared" si="2853"/>
        <v>IBG</v>
      </c>
      <c r="G7011" t="str">
        <f t="shared" si="2866"/>
        <v>Refund COSHARE 10</v>
      </c>
      <c r="H7011" s="2">
        <v>881.5</v>
      </c>
      <c r="I7011" t="str">
        <f>"ZARINI BINTI AHMAD ZABIDI"</f>
        <v>ZARINI BINTI AHMAD ZABIDI</v>
      </c>
      <c r="J7011" t="str">
        <f t="shared" si="2867"/>
        <v>BANK SIMPANAN NASIONAL</v>
      </c>
      <c r="K7011" t="str">
        <f>"0410629000076419"</f>
        <v>0410629000076419</v>
      </c>
      <c r="L7011" t="str">
        <f t="shared" si="2868"/>
        <v>04-08-2020</v>
      </c>
      <c r="M7011" t="str">
        <f t="shared" si="2868"/>
        <v>04-08-2020</v>
      </c>
      <c r="N7011" t="str">
        <f t="shared" si="2854"/>
        <v>001105018356</v>
      </c>
      <c r="O7011" t="str">
        <f t="shared" si="2855"/>
        <v>MYR</v>
      </c>
      <c r="P7011" t="str">
        <f t="shared" si="2869"/>
        <v>NIL</v>
      </c>
      <c r="Q7011" t="str">
        <f t="shared" si="2869"/>
        <v>NIL</v>
      </c>
      <c r="R7011" t="str">
        <f t="shared" si="2870"/>
        <v>Accepted</v>
      </c>
      <c r="S7011" t="str">
        <f t="shared" si="2856"/>
        <v>Approved</v>
      </c>
      <c r="T7011" t="str">
        <f t="shared" si="2871"/>
        <v>10.20.8.188</v>
      </c>
      <c r="U7011" t="str">
        <f t="shared" si="2857"/>
        <v>AZRAD UMAR BIN SHAARI</v>
      </c>
      <c r="V7011" t="str">
        <f t="shared" si="2858"/>
        <v>FARHANA BINTI MUSTAPA</v>
      </c>
      <c r="W7011" t="str">
        <f t="shared" si="2859"/>
        <v>04-08-2020</v>
      </c>
      <c r="X7011" t="str">
        <f t="shared" si="2860"/>
        <v>RAZIMAH ANSAR AHMAD</v>
      </c>
      <c r="Y7011" t="str">
        <f t="shared" si="2861"/>
        <v>04-08-2020</v>
      </c>
      <c r="Z7011" t="str">
        <f>"COS10200804 2143"</f>
        <v>COS10200804 2143</v>
      </c>
    </row>
    <row r="7012" spans="1:26" x14ac:dyDescent="0.25">
      <c r="A7012" t="str">
        <f t="shared" si="2862"/>
        <v>04-08-2020 12:36:35</v>
      </c>
      <c r="B7012" t="str">
        <f>"0000803900"</f>
        <v>0000803900</v>
      </c>
      <c r="C7012" t="str">
        <f t="shared" si="2863"/>
        <v>0000803758</v>
      </c>
      <c r="D7012" t="str">
        <f t="shared" si="2851"/>
        <v>73185</v>
      </c>
      <c r="E7012" t="str">
        <f t="shared" si="2852"/>
        <v>KFH-OPERATIONS DEPARTMENT</v>
      </c>
      <c r="F7012" t="str">
        <f t="shared" si="2853"/>
        <v>IBG</v>
      </c>
      <c r="G7012" t="str">
        <f t="shared" si="2866"/>
        <v>Refund COSHARE 10</v>
      </c>
      <c r="H7012" s="2">
        <v>1083</v>
      </c>
      <c r="I7012" t="str">
        <f>"ZARINA BINTI ZAKARIA"</f>
        <v>ZARINA BINTI ZAKARIA</v>
      </c>
      <c r="J7012" t="str">
        <f t="shared" si="2867"/>
        <v>BANK SIMPANAN NASIONAL</v>
      </c>
      <c r="K7012" t="str">
        <f>"0810541100015274"</f>
        <v>0810541100015274</v>
      </c>
      <c r="L7012" t="str">
        <f t="shared" si="2868"/>
        <v>04-08-2020</v>
      </c>
      <c r="M7012" t="str">
        <f t="shared" si="2868"/>
        <v>04-08-2020</v>
      </c>
      <c r="N7012" t="str">
        <f t="shared" si="2854"/>
        <v>001105018356</v>
      </c>
      <c r="O7012" t="str">
        <f t="shared" si="2855"/>
        <v>MYR</v>
      </c>
      <c r="P7012" t="str">
        <f t="shared" si="2869"/>
        <v>NIL</v>
      </c>
      <c r="Q7012" t="str">
        <f t="shared" si="2869"/>
        <v>NIL</v>
      </c>
      <c r="R7012" t="str">
        <f t="shared" si="2870"/>
        <v>Accepted</v>
      </c>
      <c r="S7012" t="str">
        <f t="shared" si="2856"/>
        <v>Approved</v>
      </c>
      <c r="T7012" t="str">
        <f t="shared" si="2871"/>
        <v>10.20.8.188</v>
      </c>
      <c r="U7012" t="str">
        <f t="shared" si="2857"/>
        <v>AZRAD UMAR BIN SHAARI</v>
      </c>
      <c r="V7012" t="str">
        <f t="shared" si="2858"/>
        <v>FARHANA BINTI MUSTAPA</v>
      </c>
      <c r="W7012" t="str">
        <f t="shared" si="2859"/>
        <v>04-08-2020</v>
      </c>
      <c r="X7012" t="str">
        <f t="shared" si="2860"/>
        <v>RAZIMAH ANSAR AHMAD</v>
      </c>
      <c r="Y7012" t="str">
        <f t="shared" si="2861"/>
        <v>04-08-2020</v>
      </c>
      <c r="Z7012" t="str">
        <f>"COS10200804 2142"</f>
        <v>COS10200804 2142</v>
      </c>
    </row>
    <row r="7013" spans="1:26" x14ac:dyDescent="0.25">
      <c r="A7013" t="str">
        <f t="shared" si="2862"/>
        <v>04-08-2020 12:36:35</v>
      </c>
      <c r="B7013" t="str">
        <f>"0000803899"</f>
        <v>0000803899</v>
      </c>
      <c r="C7013" t="str">
        <f t="shared" si="2863"/>
        <v>0000803758</v>
      </c>
      <c r="D7013" t="str">
        <f t="shared" si="2851"/>
        <v>73185</v>
      </c>
      <c r="E7013" t="str">
        <f t="shared" si="2852"/>
        <v>KFH-OPERATIONS DEPARTMENT</v>
      </c>
      <c r="F7013" t="str">
        <f t="shared" si="2853"/>
        <v>IBG</v>
      </c>
      <c r="G7013" t="str">
        <f t="shared" si="2866"/>
        <v>Refund COSHARE 10</v>
      </c>
      <c r="H7013" s="2">
        <v>1083</v>
      </c>
      <c r="I7013" t="str">
        <f>"ZARINA BINTI ZAKARIA"</f>
        <v>ZARINA BINTI ZAKARIA</v>
      </c>
      <c r="J7013" t="str">
        <f t="shared" si="2867"/>
        <v>BANK SIMPANAN NASIONAL</v>
      </c>
      <c r="K7013" t="str">
        <f>"0810541100015274"</f>
        <v>0810541100015274</v>
      </c>
      <c r="L7013" t="str">
        <f t="shared" si="2868"/>
        <v>04-08-2020</v>
      </c>
      <c r="M7013" t="str">
        <f t="shared" si="2868"/>
        <v>04-08-2020</v>
      </c>
      <c r="N7013" t="str">
        <f t="shared" si="2854"/>
        <v>001105018356</v>
      </c>
      <c r="O7013" t="str">
        <f t="shared" si="2855"/>
        <v>MYR</v>
      </c>
      <c r="P7013" t="str">
        <f t="shared" si="2869"/>
        <v>NIL</v>
      </c>
      <c r="Q7013" t="str">
        <f t="shared" si="2869"/>
        <v>NIL</v>
      </c>
      <c r="R7013" t="str">
        <f t="shared" si="2870"/>
        <v>Accepted</v>
      </c>
      <c r="S7013" t="str">
        <f t="shared" si="2856"/>
        <v>Approved</v>
      </c>
      <c r="T7013" t="str">
        <f t="shared" si="2871"/>
        <v>10.20.8.188</v>
      </c>
      <c r="U7013" t="str">
        <f t="shared" si="2857"/>
        <v>AZRAD UMAR BIN SHAARI</v>
      </c>
      <c r="V7013" t="str">
        <f t="shared" si="2858"/>
        <v>FARHANA BINTI MUSTAPA</v>
      </c>
      <c r="W7013" t="str">
        <f t="shared" si="2859"/>
        <v>04-08-2020</v>
      </c>
      <c r="X7013" t="str">
        <f t="shared" si="2860"/>
        <v>RAZIMAH ANSAR AHMAD</v>
      </c>
      <c r="Y7013" t="str">
        <f t="shared" si="2861"/>
        <v>04-08-2020</v>
      </c>
      <c r="Z7013" t="str">
        <f>"COS10200804 2141"</f>
        <v>COS10200804 2141</v>
      </c>
    </row>
    <row r="7014" spans="1:26" x14ac:dyDescent="0.25">
      <c r="A7014" t="str">
        <f t="shared" si="2862"/>
        <v>04-08-2020 12:36:35</v>
      </c>
      <c r="B7014" t="str">
        <f>"0000803898"</f>
        <v>0000803898</v>
      </c>
      <c r="C7014" t="str">
        <f t="shared" si="2863"/>
        <v>0000803758</v>
      </c>
      <c r="D7014" t="str">
        <f t="shared" si="2851"/>
        <v>73185</v>
      </c>
      <c r="E7014" t="str">
        <f t="shared" si="2852"/>
        <v>KFH-OPERATIONS DEPARTMENT</v>
      </c>
      <c r="F7014" t="str">
        <f t="shared" si="2853"/>
        <v>IBG</v>
      </c>
      <c r="G7014" t="str">
        <f t="shared" si="2866"/>
        <v>Refund COSHARE 10</v>
      </c>
      <c r="H7014" s="2">
        <v>839.5</v>
      </c>
      <c r="I7014" t="str">
        <f>"ZANARIAH BINTI MOHD YUSOP"</f>
        <v>ZANARIAH BINTI MOHD YUSOP</v>
      </c>
      <c r="J7014" t="str">
        <f t="shared" si="2867"/>
        <v>BANK SIMPANAN NASIONAL</v>
      </c>
      <c r="K7014" t="str">
        <f>"0810029816568176"</f>
        <v>0810029816568176</v>
      </c>
      <c r="L7014" t="str">
        <f t="shared" si="2868"/>
        <v>04-08-2020</v>
      </c>
      <c r="M7014" t="str">
        <f t="shared" si="2868"/>
        <v>04-08-2020</v>
      </c>
      <c r="N7014" t="str">
        <f t="shared" si="2854"/>
        <v>001105018356</v>
      </c>
      <c r="O7014" t="str">
        <f t="shared" si="2855"/>
        <v>MYR</v>
      </c>
      <c r="P7014" t="str">
        <f t="shared" si="2869"/>
        <v>NIL</v>
      </c>
      <c r="Q7014" t="str">
        <f t="shared" si="2869"/>
        <v>NIL</v>
      </c>
      <c r="R7014" t="str">
        <f t="shared" si="2870"/>
        <v>Accepted</v>
      </c>
      <c r="S7014" t="str">
        <f t="shared" si="2856"/>
        <v>Approved</v>
      </c>
      <c r="T7014" t="str">
        <f t="shared" si="2871"/>
        <v>10.20.8.188</v>
      </c>
      <c r="U7014" t="str">
        <f t="shared" si="2857"/>
        <v>AZRAD UMAR BIN SHAARI</v>
      </c>
      <c r="V7014" t="str">
        <f t="shared" si="2858"/>
        <v>FARHANA BINTI MUSTAPA</v>
      </c>
      <c r="W7014" t="str">
        <f t="shared" si="2859"/>
        <v>04-08-2020</v>
      </c>
      <c r="X7014" t="str">
        <f t="shared" si="2860"/>
        <v>RAZIMAH ANSAR AHMAD</v>
      </c>
      <c r="Y7014" t="str">
        <f t="shared" si="2861"/>
        <v>04-08-2020</v>
      </c>
      <c r="Z7014" t="str">
        <f>"COS10200804 2140"</f>
        <v>COS10200804 2140</v>
      </c>
    </row>
    <row r="7015" spans="1:26" x14ac:dyDescent="0.25">
      <c r="A7015" t="str">
        <f t="shared" si="2862"/>
        <v>04-08-2020 12:36:35</v>
      </c>
      <c r="B7015" t="str">
        <f>"0000803897"</f>
        <v>0000803897</v>
      </c>
      <c r="C7015" t="str">
        <f t="shared" si="2863"/>
        <v>0000803758</v>
      </c>
      <c r="D7015" t="str">
        <f t="shared" si="2851"/>
        <v>73185</v>
      </c>
      <c r="E7015" t="str">
        <f t="shared" si="2852"/>
        <v>KFH-OPERATIONS DEPARTMENT</v>
      </c>
      <c r="F7015" t="str">
        <f t="shared" si="2853"/>
        <v>IBG</v>
      </c>
      <c r="G7015" t="str">
        <f t="shared" si="2866"/>
        <v>Refund COSHARE 10</v>
      </c>
      <c r="H7015" s="2">
        <v>266</v>
      </c>
      <c r="I7015" t="str">
        <f>"ZANARIAH BINTI MOHAMED  A SAMAD"</f>
        <v>ZANARIAH BINTI MOHAMED  A SAMAD</v>
      </c>
      <c r="J7015" t="str">
        <f t="shared" si="2867"/>
        <v>BANK SIMPANAN NASIONAL</v>
      </c>
      <c r="K7015" t="str">
        <f>"0113129852913624"</f>
        <v>0113129852913624</v>
      </c>
      <c r="L7015" t="str">
        <f t="shared" si="2868"/>
        <v>04-08-2020</v>
      </c>
      <c r="M7015" t="str">
        <f t="shared" si="2868"/>
        <v>04-08-2020</v>
      </c>
      <c r="N7015" t="str">
        <f t="shared" si="2854"/>
        <v>001105018356</v>
      </c>
      <c r="O7015" t="str">
        <f t="shared" si="2855"/>
        <v>MYR</v>
      </c>
      <c r="P7015" t="str">
        <f t="shared" si="2869"/>
        <v>NIL</v>
      </c>
      <c r="Q7015" t="str">
        <f t="shared" si="2869"/>
        <v>NIL</v>
      </c>
      <c r="R7015" t="str">
        <f t="shared" si="2870"/>
        <v>Accepted</v>
      </c>
      <c r="S7015" t="str">
        <f t="shared" si="2856"/>
        <v>Approved</v>
      </c>
      <c r="T7015" t="str">
        <f t="shared" si="2871"/>
        <v>10.20.8.188</v>
      </c>
      <c r="U7015" t="str">
        <f t="shared" si="2857"/>
        <v>AZRAD UMAR BIN SHAARI</v>
      </c>
      <c r="V7015" t="str">
        <f t="shared" si="2858"/>
        <v>FARHANA BINTI MUSTAPA</v>
      </c>
      <c r="W7015" t="str">
        <f t="shared" si="2859"/>
        <v>04-08-2020</v>
      </c>
      <c r="X7015" t="str">
        <f t="shared" si="2860"/>
        <v>RAZIMAH ANSAR AHMAD</v>
      </c>
      <c r="Y7015" t="str">
        <f t="shared" si="2861"/>
        <v>04-08-2020</v>
      </c>
      <c r="Z7015" t="str">
        <f>"COS10200804 2139"</f>
        <v>COS10200804 2139</v>
      </c>
    </row>
    <row r="7016" spans="1:26" x14ac:dyDescent="0.25">
      <c r="A7016" t="str">
        <f t="shared" si="2862"/>
        <v>04-08-2020 12:36:35</v>
      </c>
      <c r="B7016" t="str">
        <f>"0000803896"</f>
        <v>0000803896</v>
      </c>
      <c r="C7016" t="str">
        <f t="shared" si="2863"/>
        <v>0000803758</v>
      </c>
      <c r="D7016" t="str">
        <f t="shared" si="2851"/>
        <v>73185</v>
      </c>
      <c r="E7016" t="str">
        <f t="shared" si="2852"/>
        <v>KFH-OPERATIONS DEPARTMENT</v>
      </c>
      <c r="F7016" t="str">
        <f t="shared" si="2853"/>
        <v>IBG</v>
      </c>
      <c r="G7016" t="str">
        <f t="shared" si="2866"/>
        <v>Refund COSHARE 10</v>
      </c>
      <c r="H7016" s="2">
        <v>109.15</v>
      </c>
      <c r="I7016" t="str">
        <f>"ZAMRULHISHAM BIN BAHARI"</f>
        <v>ZAMRULHISHAM BIN BAHARI</v>
      </c>
      <c r="J7016" t="str">
        <f t="shared" si="2867"/>
        <v>BANK SIMPANAN NASIONAL</v>
      </c>
      <c r="K7016" t="str">
        <f>"0114729000287355"</f>
        <v>0114729000287355</v>
      </c>
      <c r="L7016" t="str">
        <f t="shared" si="2868"/>
        <v>04-08-2020</v>
      </c>
      <c r="M7016" t="str">
        <f t="shared" si="2868"/>
        <v>04-08-2020</v>
      </c>
      <c r="N7016" t="str">
        <f t="shared" si="2854"/>
        <v>001105018356</v>
      </c>
      <c r="O7016" t="str">
        <f t="shared" si="2855"/>
        <v>MYR</v>
      </c>
      <c r="P7016" t="str">
        <f t="shared" si="2869"/>
        <v>NIL</v>
      </c>
      <c r="Q7016" t="str">
        <f t="shared" si="2869"/>
        <v>NIL</v>
      </c>
      <c r="R7016" t="str">
        <f t="shared" si="2870"/>
        <v>Accepted</v>
      </c>
      <c r="S7016" t="str">
        <f t="shared" si="2856"/>
        <v>Approved</v>
      </c>
      <c r="T7016" t="str">
        <f t="shared" si="2871"/>
        <v>10.20.8.188</v>
      </c>
      <c r="U7016" t="str">
        <f t="shared" si="2857"/>
        <v>AZRAD UMAR BIN SHAARI</v>
      </c>
      <c r="V7016" t="str">
        <f t="shared" si="2858"/>
        <v>FARHANA BINTI MUSTAPA</v>
      </c>
      <c r="W7016" t="str">
        <f t="shared" si="2859"/>
        <v>04-08-2020</v>
      </c>
      <c r="X7016" t="str">
        <f t="shared" si="2860"/>
        <v>RAZIMAH ANSAR AHMAD</v>
      </c>
      <c r="Y7016" t="str">
        <f t="shared" si="2861"/>
        <v>04-08-2020</v>
      </c>
      <c r="Z7016" t="str">
        <f>"COS10200804 2138"</f>
        <v>COS10200804 2138</v>
      </c>
    </row>
    <row r="7017" spans="1:26" x14ac:dyDescent="0.25">
      <c r="A7017" t="str">
        <f t="shared" si="2862"/>
        <v>04-08-2020 12:36:35</v>
      </c>
      <c r="B7017" t="str">
        <f>"0000803895"</f>
        <v>0000803895</v>
      </c>
      <c r="C7017" t="str">
        <f t="shared" si="2863"/>
        <v>0000803758</v>
      </c>
      <c r="D7017" t="str">
        <f t="shared" si="2851"/>
        <v>73185</v>
      </c>
      <c r="E7017" t="str">
        <f t="shared" si="2852"/>
        <v>KFH-OPERATIONS DEPARTMENT</v>
      </c>
      <c r="F7017" t="str">
        <f t="shared" si="2853"/>
        <v>IBG</v>
      </c>
      <c r="G7017" t="str">
        <f t="shared" si="2866"/>
        <v>Refund COSHARE 10</v>
      </c>
      <c r="H7017" s="2">
        <v>42</v>
      </c>
      <c r="I7017" t="str">
        <f>"ZAMRI BIN HARON"</f>
        <v>ZAMRI BIN HARON</v>
      </c>
      <c r="J7017" t="str">
        <f t="shared" si="2867"/>
        <v>BANK SIMPANAN NASIONAL</v>
      </c>
      <c r="K7017" t="str">
        <f>"0710029855090237"</f>
        <v>0710029855090237</v>
      </c>
      <c r="L7017" t="str">
        <f t="shared" si="2868"/>
        <v>04-08-2020</v>
      </c>
      <c r="M7017" t="str">
        <f t="shared" si="2868"/>
        <v>04-08-2020</v>
      </c>
      <c r="N7017" t="str">
        <f t="shared" si="2854"/>
        <v>001105018356</v>
      </c>
      <c r="O7017" t="str">
        <f t="shared" si="2855"/>
        <v>MYR</v>
      </c>
      <c r="P7017" t="str">
        <f t="shared" si="2869"/>
        <v>NIL</v>
      </c>
      <c r="Q7017" t="str">
        <f t="shared" si="2869"/>
        <v>NIL</v>
      </c>
      <c r="R7017" t="str">
        <f t="shared" si="2870"/>
        <v>Accepted</v>
      </c>
      <c r="S7017" t="str">
        <f t="shared" si="2856"/>
        <v>Approved</v>
      </c>
      <c r="T7017" t="str">
        <f t="shared" si="2871"/>
        <v>10.20.8.188</v>
      </c>
      <c r="U7017" t="str">
        <f t="shared" si="2857"/>
        <v>AZRAD UMAR BIN SHAARI</v>
      </c>
      <c r="V7017" t="str">
        <f t="shared" si="2858"/>
        <v>FARHANA BINTI MUSTAPA</v>
      </c>
      <c r="W7017" t="str">
        <f t="shared" si="2859"/>
        <v>04-08-2020</v>
      </c>
      <c r="X7017" t="str">
        <f t="shared" si="2860"/>
        <v>RAZIMAH ANSAR AHMAD</v>
      </c>
      <c r="Y7017" t="str">
        <f t="shared" si="2861"/>
        <v>04-08-2020</v>
      </c>
      <c r="Z7017" t="str">
        <f>"COS10200804 2137"</f>
        <v>COS10200804 2137</v>
      </c>
    </row>
    <row r="7018" spans="1:26" x14ac:dyDescent="0.25">
      <c r="A7018" t="str">
        <f t="shared" ref="A7018:A7049" si="2872">"04-08-2020 12:36:35"</f>
        <v>04-08-2020 12:36:35</v>
      </c>
      <c r="B7018" t="str">
        <f>"0000803894"</f>
        <v>0000803894</v>
      </c>
      <c r="C7018" t="str">
        <f t="shared" ref="C7018:C7049" si="2873">"0000803758"</f>
        <v>0000803758</v>
      </c>
      <c r="D7018" t="str">
        <f t="shared" si="2851"/>
        <v>73185</v>
      </c>
      <c r="E7018" t="str">
        <f t="shared" si="2852"/>
        <v>KFH-OPERATIONS DEPARTMENT</v>
      </c>
      <c r="F7018" t="str">
        <f t="shared" si="2853"/>
        <v>IBG</v>
      </c>
      <c r="G7018" t="str">
        <f t="shared" si="2866"/>
        <v>Refund COSHARE 10</v>
      </c>
      <c r="H7018" s="2">
        <v>428.25</v>
      </c>
      <c r="I7018" t="str">
        <f>"ZAMIN BIN RAMLI"</f>
        <v>ZAMIN BIN RAMLI</v>
      </c>
      <c r="J7018" t="str">
        <f t="shared" si="2867"/>
        <v>BANK SIMPANAN NASIONAL</v>
      </c>
      <c r="K7018" t="str">
        <f>"1010029851429203"</f>
        <v>1010029851429203</v>
      </c>
      <c r="L7018" t="str">
        <f t="shared" si="2868"/>
        <v>04-08-2020</v>
      </c>
      <c r="M7018" t="str">
        <f t="shared" si="2868"/>
        <v>04-08-2020</v>
      </c>
      <c r="N7018" t="str">
        <f t="shared" si="2854"/>
        <v>001105018356</v>
      </c>
      <c r="O7018" t="str">
        <f t="shared" si="2855"/>
        <v>MYR</v>
      </c>
      <c r="P7018" t="str">
        <f t="shared" si="2869"/>
        <v>NIL</v>
      </c>
      <c r="Q7018" t="str">
        <f t="shared" si="2869"/>
        <v>NIL</v>
      </c>
      <c r="R7018" t="str">
        <f t="shared" si="2870"/>
        <v>Accepted</v>
      </c>
      <c r="S7018" t="str">
        <f t="shared" si="2856"/>
        <v>Approved</v>
      </c>
      <c r="T7018" t="str">
        <f t="shared" si="2871"/>
        <v>10.20.8.188</v>
      </c>
      <c r="U7018" t="str">
        <f t="shared" si="2857"/>
        <v>AZRAD UMAR BIN SHAARI</v>
      </c>
      <c r="V7018" t="str">
        <f t="shared" si="2858"/>
        <v>FARHANA BINTI MUSTAPA</v>
      </c>
      <c r="W7018" t="str">
        <f t="shared" si="2859"/>
        <v>04-08-2020</v>
      </c>
      <c r="X7018" t="str">
        <f t="shared" si="2860"/>
        <v>RAZIMAH ANSAR AHMAD</v>
      </c>
      <c r="Y7018" t="str">
        <f t="shared" si="2861"/>
        <v>04-08-2020</v>
      </c>
      <c r="Z7018" t="str">
        <f>"COS10200804 2136"</f>
        <v>COS10200804 2136</v>
      </c>
    </row>
    <row r="7019" spans="1:26" x14ac:dyDescent="0.25">
      <c r="A7019" t="str">
        <f t="shared" si="2872"/>
        <v>04-08-2020 12:36:35</v>
      </c>
      <c r="B7019" t="str">
        <f>"0000803893"</f>
        <v>0000803893</v>
      </c>
      <c r="C7019" t="str">
        <f t="shared" si="2873"/>
        <v>0000803758</v>
      </c>
      <c r="D7019" t="str">
        <f t="shared" si="2851"/>
        <v>73185</v>
      </c>
      <c r="E7019" t="str">
        <f t="shared" si="2852"/>
        <v>KFH-OPERATIONS DEPARTMENT</v>
      </c>
      <c r="F7019" t="str">
        <f t="shared" si="2853"/>
        <v>IBG</v>
      </c>
      <c r="G7019" t="str">
        <f t="shared" si="2866"/>
        <v>Refund COSHARE 10</v>
      </c>
      <c r="H7019" s="2">
        <v>254.1</v>
      </c>
      <c r="I7019" t="str">
        <f>"ZALINA BINTI RAZAK"</f>
        <v>ZALINA BINTI RAZAK</v>
      </c>
      <c r="J7019" t="str">
        <f t="shared" si="2867"/>
        <v>BANK SIMPANAN NASIONAL</v>
      </c>
      <c r="K7019" t="str">
        <f>"0310529000117148"</f>
        <v>0310529000117148</v>
      </c>
      <c r="L7019" t="str">
        <f t="shared" si="2868"/>
        <v>04-08-2020</v>
      </c>
      <c r="M7019" t="str">
        <f t="shared" si="2868"/>
        <v>04-08-2020</v>
      </c>
      <c r="N7019" t="str">
        <f t="shared" si="2854"/>
        <v>001105018356</v>
      </c>
      <c r="O7019" t="str">
        <f t="shared" si="2855"/>
        <v>MYR</v>
      </c>
      <c r="P7019" t="str">
        <f t="shared" si="2869"/>
        <v>NIL</v>
      </c>
      <c r="Q7019" t="str">
        <f t="shared" si="2869"/>
        <v>NIL</v>
      </c>
      <c r="R7019" t="str">
        <f t="shared" si="2870"/>
        <v>Accepted</v>
      </c>
      <c r="S7019" t="str">
        <f t="shared" si="2856"/>
        <v>Approved</v>
      </c>
      <c r="T7019" t="str">
        <f t="shared" si="2871"/>
        <v>10.20.8.188</v>
      </c>
      <c r="U7019" t="str">
        <f t="shared" si="2857"/>
        <v>AZRAD UMAR BIN SHAARI</v>
      </c>
      <c r="V7019" t="str">
        <f t="shared" si="2858"/>
        <v>FARHANA BINTI MUSTAPA</v>
      </c>
      <c r="W7019" t="str">
        <f t="shared" si="2859"/>
        <v>04-08-2020</v>
      </c>
      <c r="X7019" t="str">
        <f t="shared" si="2860"/>
        <v>RAZIMAH ANSAR AHMAD</v>
      </c>
      <c r="Y7019" t="str">
        <f t="shared" si="2861"/>
        <v>04-08-2020</v>
      </c>
      <c r="Z7019" t="str">
        <f>"COS10200804 2135"</f>
        <v>COS10200804 2135</v>
      </c>
    </row>
    <row r="7020" spans="1:26" x14ac:dyDescent="0.25">
      <c r="A7020" t="str">
        <f t="shared" si="2872"/>
        <v>04-08-2020 12:36:35</v>
      </c>
      <c r="B7020" t="str">
        <f>"0000803892"</f>
        <v>0000803892</v>
      </c>
      <c r="C7020" t="str">
        <f t="shared" si="2873"/>
        <v>0000803758</v>
      </c>
      <c r="D7020" t="str">
        <f t="shared" si="2851"/>
        <v>73185</v>
      </c>
      <c r="E7020" t="str">
        <f t="shared" si="2852"/>
        <v>KFH-OPERATIONS DEPARTMENT</v>
      </c>
      <c r="F7020" t="str">
        <f t="shared" si="2853"/>
        <v>IBG</v>
      </c>
      <c r="G7020" t="str">
        <f t="shared" si="2866"/>
        <v>Refund COSHARE 10</v>
      </c>
      <c r="H7020" s="2">
        <v>83.95</v>
      </c>
      <c r="I7020" t="str">
        <f>"ZALILAWATI BINTI IBRAHIM"</f>
        <v>ZALILAWATI BINTI IBRAHIM</v>
      </c>
      <c r="J7020" t="str">
        <f t="shared" si="2867"/>
        <v>BANK SIMPANAN NASIONAL</v>
      </c>
      <c r="K7020" t="str">
        <f>"0611329000093097"</f>
        <v>0611329000093097</v>
      </c>
      <c r="L7020" t="str">
        <f t="shared" si="2868"/>
        <v>04-08-2020</v>
      </c>
      <c r="M7020" t="str">
        <f t="shared" si="2868"/>
        <v>04-08-2020</v>
      </c>
      <c r="N7020" t="str">
        <f t="shared" si="2854"/>
        <v>001105018356</v>
      </c>
      <c r="O7020" t="str">
        <f t="shared" si="2855"/>
        <v>MYR</v>
      </c>
      <c r="P7020" t="str">
        <f t="shared" si="2869"/>
        <v>NIL</v>
      </c>
      <c r="Q7020" t="str">
        <f t="shared" si="2869"/>
        <v>NIL</v>
      </c>
      <c r="R7020" t="str">
        <f t="shared" si="2870"/>
        <v>Accepted</v>
      </c>
      <c r="S7020" t="str">
        <f t="shared" si="2856"/>
        <v>Approved</v>
      </c>
      <c r="T7020" t="str">
        <f t="shared" si="2871"/>
        <v>10.20.8.188</v>
      </c>
      <c r="U7020" t="str">
        <f t="shared" si="2857"/>
        <v>AZRAD UMAR BIN SHAARI</v>
      </c>
      <c r="V7020" t="str">
        <f t="shared" si="2858"/>
        <v>FARHANA BINTI MUSTAPA</v>
      </c>
      <c r="W7020" t="str">
        <f t="shared" si="2859"/>
        <v>04-08-2020</v>
      </c>
      <c r="X7020" t="str">
        <f t="shared" si="2860"/>
        <v>RAZIMAH ANSAR AHMAD</v>
      </c>
      <c r="Y7020" t="str">
        <f t="shared" si="2861"/>
        <v>04-08-2020</v>
      </c>
      <c r="Z7020" t="str">
        <f>"COS10200804 2134"</f>
        <v>COS10200804 2134</v>
      </c>
    </row>
    <row r="7021" spans="1:26" x14ac:dyDescent="0.25">
      <c r="A7021" t="str">
        <f t="shared" si="2872"/>
        <v>04-08-2020 12:36:35</v>
      </c>
      <c r="B7021" t="str">
        <f>"0000803891"</f>
        <v>0000803891</v>
      </c>
      <c r="C7021" t="str">
        <f t="shared" si="2873"/>
        <v>0000803758</v>
      </c>
      <c r="D7021" t="str">
        <f t="shared" si="2851"/>
        <v>73185</v>
      </c>
      <c r="E7021" t="str">
        <f t="shared" si="2852"/>
        <v>KFH-OPERATIONS DEPARTMENT</v>
      </c>
      <c r="F7021" t="str">
        <f t="shared" si="2853"/>
        <v>IBG</v>
      </c>
      <c r="G7021" t="str">
        <f t="shared" si="2866"/>
        <v>Refund COSHARE 10</v>
      </c>
      <c r="H7021" s="2">
        <v>587.65</v>
      </c>
      <c r="I7021" t="str">
        <f>"ZALEHA BINTI MOHD ALI"</f>
        <v>ZALEHA BINTI MOHD ALI</v>
      </c>
      <c r="J7021" t="str">
        <f t="shared" si="2867"/>
        <v>BANK SIMPANAN NASIONAL</v>
      </c>
      <c r="K7021" t="str">
        <f>"1012329000041099"</f>
        <v>1012329000041099</v>
      </c>
      <c r="L7021" t="str">
        <f t="shared" si="2868"/>
        <v>04-08-2020</v>
      </c>
      <c r="M7021" t="str">
        <f t="shared" si="2868"/>
        <v>04-08-2020</v>
      </c>
      <c r="N7021" t="str">
        <f t="shared" si="2854"/>
        <v>001105018356</v>
      </c>
      <c r="O7021" t="str">
        <f t="shared" si="2855"/>
        <v>MYR</v>
      </c>
      <c r="P7021" t="str">
        <f t="shared" si="2869"/>
        <v>NIL</v>
      </c>
      <c r="Q7021" t="str">
        <f t="shared" si="2869"/>
        <v>NIL</v>
      </c>
      <c r="R7021" t="str">
        <f t="shared" si="2870"/>
        <v>Accepted</v>
      </c>
      <c r="S7021" t="str">
        <f t="shared" si="2856"/>
        <v>Approved</v>
      </c>
      <c r="T7021" t="str">
        <f t="shared" si="2871"/>
        <v>10.20.8.188</v>
      </c>
      <c r="U7021" t="str">
        <f t="shared" si="2857"/>
        <v>AZRAD UMAR BIN SHAARI</v>
      </c>
      <c r="V7021" t="str">
        <f t="shared" si="2858"/>
        <v>FARHANA BINTI MUSTAPA</v>
      </c>
      <c r="W7021" t="str">
        <f t="shared" si="2859"/>
        <v>04-08-2020</v>
      </c>
      <c r="X7021" t="str">
        <f t="shared" si="2860"/>
        <v>RAZIMAH ANSAR AHMAD</v>
      </c>
      <c r="Y7021" t="str">
        <f t="shared" si="2861"/>
        <v>04-08-2020</v>
      </c>
      <c r="Z7021" t="str">
        <f>"COS10200804 2133"</f>
        <v>COS10200804 2133</v>
      </c>
    </row>
    <row r="7022" spans="1:26" x14ac:dyDescent="0.25">
      <c r="A7022" t="str">
        <f t="shared" si="2872"/>
        <v>04-08-2020 12:36:35</v>
      </c>
      <c r="B7022" t="str">
        <f>"0000803890"</f>
        <v>0000803890</v>
      </c>
      <c r="C7022" t="str">
        <f t="shared" si="2873"/>
        <v>0000803758</v>
      </c>
      <c r="D7022" t="str">
        <f t="shared" si="2851"/>
        <v>73185</v>
      </c>
      <c r="E7022" t="str">
        <f t="shared" si="2852"/>
        <v>KFH-OPERATIONS DEPARTMENT</v>
      </c>
      <c r="F7022" t="str">
        <f t="shared" si="2853"/>
        <v>IBG</v>
      </c>
      <c r="G7022" t="str">
        <f t="shared" si="2866"/>
        <v>Refund COSHARE 10</v>
      </c>
      <c r="H7022" s="2">
        <v>1270.3499999999999</v>
      </c>
      <c r="I7022" t="str">
        <f>"ZAKIAH BINTI ABDULLAH"</f>
        <v>ZAKIAH BINTI ABDULLAH</v>
      </c>
      <c r="J7022" t="str">
        <f t="shared" si="2867"/>
        <v>BANK SIMPANAN NASIONAL</v>
      </c>
      <c r="K7022" t="str">
        <f>"1412229885051483"</f>
        <v>1412229885051483</v>
      </c>
      <c r="L7022" t="str">
        <f t="shared" si="2868"/>
        <v>04-08-2020</v>
      </c>
      <c r="M7022" t="str">
        <f t="shared" si="2868"/>
        <v>04-08-2020</v>
      </c>
      <c r="N7022" t="str">
        <f t="shared" si="2854"/>
        <v>001105018356</v>
      </c>
      <c r="O7022" t="str">
        <f t="shared" si="2855"/>
        <v>MYR</v>
      </c>
      <c r="P7022" t="str">
        <f t="shared" si="2869"/>
        <v>NIL</v>
      </c>
      <c r="Q7022" t="str">
        <f t="shared" si="2869"/>
        <v>NIL</v>
      </c>
      <c r="R7022" t="str">
        <f t="shared" si="2870"/>
        <v>Accepted</v>
      </c>
      <c r="S7022" t="str">
        <f t="shared" si="2856"/>
        <v>Approved</v>
      </c>
      <c r="T7022" t="str">
        <f t="shared" si="2871"/>
        <v>10.20.8.188</v>
      </c>
      <c r="U7022" t="str">
        <f t="shared" si="2857"/>
        <v>AZRAD UMAR BIN SHAARI</v>
      </c>
      <c r="V7022" t="str">
        <f t="shared" si="2858"/>
        <v>FARHANA BINTI MUSTAPA</v>
      </c>
      <c r="W7022" t="str">
        <f t="shared" si="2859"/>
        <v>04-08-2020</v>
      </c>
      <c r="X7022" t="str">
        <f t="shared" si="2860"/>
        <v>RAZIMAH ANSAR AHMAD</v>
      </c>
      <c r="Y7022" t="str">
        <f t="shared" si="2861"/>
        <v>04-08-2020</v>
      </c>
      <c r="Z7022" t="str">
        <f>"COS10200804 2132"</f>
        <v>COS10200804 2132</v>
      </c>
    </row>
    <row r="7023" spans="1:26" x14ac:dyDescent="0.25">
      <c r="A7023" t="str">
        <f t="shared" si="2872"/>
        <v>04-08-2020 12:36:35</v>
      </c>
      <c r="B7023" t="str">
        <f>"0000803889"</f>
        <v>0000803889</v>
      </c>
      <c r="C7023" t="str">
        <f t="shared" si="2873"/>
        <v>0000803758</v>
      </c>
      <c r="D7023" t="str">
        <f t="shared" si="2851"/>
        <v>73185</v>
      </c>
      <c r="E7023" t="str">
        <f t="shared" si="2852"/>
        <v>KFH-OPERATIONS DEPARTMENT</v>
      </c>
      <c r="F7023" t="str">
        <f t="shared" si="2853"/>
        <v>IBG</v>
      </c>
      <c r="G7023" t="str">
        <f t="shared" si="2866"/>
        <v>Refund COSHARE 10</v>
      </c>
      <c r="H7023" s="2">
        <v>236.65</v>
      </c>
      <c r="I7023" t="str">
        <f>"ZAKI BIN YUSOF"</f>
        <v>ZAKI BIN YUSOF</v>
      </c>
      <c r="J7023" t="str">
        <f t="shared" si="2867"/>
        <v>BANK SIMPANAN NASIONAL</v>
      </c>
      <c r="K7023" t="str">
        <f>"1110029853909997"</f>
        <v>1110029853909997</v>
      </c>
      <c r="L7023" t="str">
        <f t="shared" si="2868"/>
        <v>04-08-2020</v>
      </c>
      <c r="M7023" t="str">
        <f t="shared" si="2868"/>
        <v>04-08-2020</v>
      </c>
      <c r="N7023" t="str">
        <f t="shared" si="2854"/>
        <v>001105018356</v>
      </c>
      <c r="O7023" t="str">
        <f t="shared" si="2855"/>
        <v>MYR</v>
      </c>
      <c r="P7023" t="str">
        <f t="shared" si="2869"/>
        <v>NIL</v>
      </c>
      <c r="Q7023" t="str">
        <f t="shared" si="2869"/>
        <v>NIL</v>
      </c>
      <c r="R7023" t="str">
        <f t="shared" si="2870"/>
        <v>Accepted</v>
      </c>
      <c r="S7023" t="str">
        <f t="shared" si="2856"/>
        <v>Approved</v>
      </c>
      <c r="T7023" t="str">
        <f t="shared" si="2871"/>
        <v>10.20.8.188</v>
      </c>
      <c r="U7023" t="str">
        <f t="shared" si="2857"/>
        <v>AZRAD UMAR BIN SHAARI</v>
      </c>
      <c r="V7023" t="str">
        <f t="shared" si="2858"/>
        <v>FARHANA BINTI MUSTAPA</v>
      </c>
      <c r="W7023" t="str">
        <f t="shared" si="2859"/>
        <v>04-08-2020</v>
      </c>
      <c r="X7023" t="str">
        <f t="shared" si="2860"/>
        <v>RAZIMAH ANSAR AHMAD</v>
      </c>
      <c r="Y7023" t="str">
        <f t="shared" si="2861"/>
        <v>04-08-2020</v>
      </c>
      <c r="Z7023" t="str">
        <f>"COS10200804 2131"</f>
        <v>COS10200804 2131</v>
      </c>
    </row>
    <row r="7024" spans="1:26" x14ac:dyDescent="0.25">
      <c r="A7024" t="str">
        <f t="shared" si="2872"/>
        <v>04-08-2020 12:36:35</v>
      </c>
      <c r="B7024" t="str">
        <f>"0000803888"</f>
        <v>0000803888</v>
      </c>
      <c r="C7024" t="str">
        <f t="shared" si="2873"/>
        <v>0000803758</v>
      </c>
      <c r="D7024" t="str">
        <f t="shared" si="2851"/>
        <v>73185</v>
      </c>
      <c r="E7024" t="str">
        <f t="shared" si="2852"/>
        <v>KFH-OPERATIONS DEPARTMENT</v>
      </c>
      <c r="F7024" t="str">
        <f t="shared" si="2853"/>
        <v>IBG</v>
      </c>
      <c r="G7024" t="str">
        <f t="shared" si="2866"/>
        <v>Refund COSHARE 10</v>
      </c>
      <c r="H7024" s="2">
        <v>114</v>
      </c>
      <c r="I7024" t="str">
        <f>"ZAKARIA BIN MOHD ARIFF"</f>
        <v>ZAKARIA BIN MOHD ARIFF</v>
      </c>
      <c r="J7024" t="str">
        <f t="shared" si="2867"/>
        <v>BANK SIMPANAN NASIONAL</v>
      </c>
      <c r="K7024" t="str">
        <f>"0850029000089903"</f>
        <v>0850029000089903</v>
      </c>
      <c r="L7024" t="str">
        <f t="shared" si="2868"/>
        <v>04-08-2020</v>
      </c>
      <c r="M7024" t="str">
        <f t="shared" si="2868"/>
        <v>04-08-2020</v>
      </c>
      <c r="N7024" t="str">
        <f t="shared" si="2854"/>
        <v>001105018356</v>
      </c>
      <c r="O7024" t="str">
        <f t="shared" si="2855"/>
        <v>MYR</v>
      </c>
      <c r="P7024" t="str">
        <f t="shared" si="2869"/>
        <v>NIL</v>
      </c>
      <c r="Q7024" t="str">
        <f t="shared" si="2869"/>
        <v>NIL</v>
      </c>
      <c r="R7024" t="str">
        <f t="shared" si="2870"/>
        <v>Accepted</v>
      </c>
      <c r="S7024" t="str">
        <f t="shared" si="2856"/>
        <v>Approved</v>
      </c>
      <c r="T7024" t="str">
        <f t="shared" si="2871"/>
        <v>10.20.8.188</v>
      </c>
      <c r="U7024" t="str">
        <f t="shared" si="2857"/>
        <v>AZRAD UMAR BIN SHAARI</v>
      </c>
      <c r="V7024" t="str">
        <f t="shared" si="2858"/>
        <v>FARHANA BINTI MUSTAPA</v>
      </c>
      <c r="W7024" t="str">
        <f t="shared" si="2859"/>
        <v>04-08-2020</v>
      </c>
      <c r="X7024" t="str">
        <f t="shared" si="2860"/>
        <v>RAZIMAH ANSAR AHMAD</v>
      </c>
      <c r="Y7024" t="str">
        <f t="shared" si="2861"/>
        <v>04-08-2020</v>
      </c>
      <c r="Z7024" t="str">
        <f>"COS10200804 2130"</f>
        <v>COS10200804 2130</v>
      </c>
    </row>
    <row r="7025" spans="1:26" x14ac:dyDescent="0.25">
      <c r="A7025" t="str">
        <f t="shared" si="2872"/>
        <v>04-08-2020 12:36:35</v>
      </c>
      <c r="B7025" t="str">
        <f>"0000803887"</f>
        <v>0000803887</v>
      </c>
      <c r="C7025" t="str">
        <f t="shared" si="2873"/>
        <v>0000803758</v>
      </c>
      <c r="D7025" t="str">
        <f t="shared" si="2851"/>
        <v>73185</v>
      </c>
      <c r="E7025" t="str">
        <f t="shared" si="2852"/>
        <v>KFH-OPERATIONS DEPARTMENT</v>
      </c>
      <c r="F7025" t="str">
        <f t="shared" si="2853"/>
        <v>IBG</v>
      </c>
      <c r="G7025" t="str">
        <f t="shared" si="2866"/>
        <v>Refund COSHARE 10</v>
      </c>
      <c r="H7025" s="2">
        <v>78.599999999999994</v>
      </c>
      <c r="I7025" t="str">
        <f>"ZAIRI BIN JAINUDDIN"</f>
        <v>ZAIRI BIN JAINUDDIN</v>
      </c>
      <c r="J7025" t="str">
        <f t="shared" si="2867"/>
        <v>BANK SIMPANAN NASIONAL</v>
      </c>
      <c r="K7025" t="str">
        <f>"0610529833487947"</f>
        <v>0610529833487947</v>
      </c>
      <c r="L7025" t="str">
        <f t="shared" si="2868"/>
        <v>04-08-2020</v>
      </c>
      <c r="M7025" t="str">
        <f t="shared" si="2868"/>
        <v>04-08-2020</v>
      </c>
      <c r="N7025" t="str">
        <f t="shared" si="2854"/>
        <v>001105018356</v>
      </c>
      <c r="O7025" t="str">
        <f t="shared" si="2855"/>
        <v>MYR</v>
      </c>
      <c r="P7025" t="str">
        <f t="shared" si="2869"/>
        <v>NIL</v>
      </c>
      <c r="Q7025" t="str">
        <f t="shared" si="2869"/>
        <v>NIL</v>
      </c>
      <c r="R7025" t="str">
        <f t="shared" si="2870"/>
        <v>Accepted</v>
      </c>
      <c r="S7025" t="str">
        <f t="shared" si="2856"/>
        <v>Approved</v>
      </c>
      <c r="T7025" t="str">
        <f t="shared" si="2871"/>
        <v>10.20.8.188</v>
      </c>
      <c r="U7025" t="str">
        <f t="shared" si="2857"/>
        <v>AZRAD UMAR BIN SHAARI</v>
      </c>
      <c r="V7025" t="str">
        <f t="shared" si="2858"/>
        <v>FARHANA BINTI MUSTAPA</v>
      </c>
      <c r="W7025" t="str">
        <f t="shared" si="2859"/>
        <v>04-08-2020</v>
      </c>
      <c r="X7025" t="str">
        <f t="shared" si="2860"/>
        <v>RAZIMAH ANSAR AHMAD</v>
      </c>
      <c r="Y7025" t="str">
        <f t="shared" si="2861"/>
        <v>04-08-2020</v>
      </c>
      <c r="Z7025" t="str">
        <f>"COS10200804 2129"</f>
        <v>COS10200804 2129</v>
      </c>
    </row>
    <row r="7026" spans="1:26" x14ac:dyDescent="0.25">
      <c r="A7026" t="str">
        <f t="shared" si="2872"/>
        <v>04-08-2020 12:36:35</v>
      </c>
      <c r="B7026" t="str">
        <f>"0000803886"</f>
        <v>0000803886</v>
      </c>
      <c r="C7026" t="str">
        <f t="shared" si="2873"/>
        <v>0000803758</v>
      </c>
      <c r="D7026" t="str">
        <f t="shared" si="2851"/>
        <v>73185</v>
      </c>
      <c r="E7026" t="str">
        <f t="shared" si="2852"/>
        <v>KFH-OPERATIONS DEPARTMENT</v>
      </c>
      <c r="F7026" t="str">
        <f t="shared" si="2853"/>
        <v>IBG</v>
      </c>
      <c r="G7026" t="str">
        <f t="shared" si="2866"/>
        <v>Refund COSHARE 10</v>
      </c>
      <c r="H7026" s="2">
        <v>78.599999999999994</v>
      </c>
      <c r="I7026" t="str">
        <f>"ZAIRI BIN JAINUDDIN"</f>
        <v>ZAIRI BIN JAINUDDIN</v>
      </c>
      <c r="J7026" t="str">
        <f t="shared" si="2867"/>
        <v>BANK SIMPANAN NASIONAL</v>
      </c>
      <c r="K7026" t="str">
        <f>"0610529833487947"</f>
        <v>0610529833487947</v>
      </c>
      <c r="L7026" t="str">
        <f t="shared" si="2868"/>
        <v>04-08-2020</v>
      </c>
      <c r="M7026" t="str">
        <f t="shared" si="2868"/>
        <v>04-08-2020</v>
      </c>
      <c r="N7026" t="str">
        <f t="shared" si="2854"/>
        <v>001105018356</v>
      </c>
      <c r="O7026" t="str">
        <f t="shared" si="2855"/>
        <v>MYR</v>
      </c>
      <c r="P7026" t="str">
        <f t="shared" si="2869"/>
        <v>NIL</v>
      </c>
      <c r="Q7026" t="str">
        <f t="shared" si="2869"/>
        <v>NIL</v>
      </c>
      <c r="R7026" t="str">
        <f t="shared" si="2870"/>
        <v>Accepted</v>
      </c>
      <c r="S7026" t="str">
        <f t="shared" si="2856"/>
        <v>Approved</v>
      </c>
      <c r="T7026" t="str">
        <f t="shared" si="2871"/>
        <v>10.20.8.188</v>
      </c>
      <c r="U7026" t="str">
        <f t="shared" si="2857"/>
        <v>AZRAD UMAR BIN SHAARI</v>
      </c>
      <c r="V7026" t="str">
        <f t="shared" si="2858"/>
        <v>FARHANA BINTI MUSTAPA</v>
      </c>
      <c r="W7026" t="str">
        <f t="shared" si="2859"/>
        <v>04-08-2020</v>
      </c>
      <c r="X7026" t="str">
        <f t="shared" si="2860"/>
        <v>RAZIMAH ANSAR AHMAD</v>
      </c>
      <c r="Y7026" t="str">
        <f t="shared" si="2861"/>
        <v>04-08-2020</v>
      </c>
      <c r="Z7026" t="str">
        <f>"COS10200804 2128"</f>
        <v>COS10200804 2128</v>
      </c>
    </row>
    <row r="7027" spans="1:26" x14ac:dyDescent="0.25">
      <c r="A7027" t="str">
        <f t="shared" si="2872"/>
        <v>04-08-2020 12:36:35</v>
      </c>
      <c r="B7027" t="str">
        <f>"0000803885"</f>
        <v>0000803885</v>
      </c>
      <c r="C7027" t="str">
        <f t="shared" si="2873"/>
        <v>0000803758</v>
      </c>
      <c r="D7027" t="str">
        <f t="shared" si="2851"/>
        <v>73185</v>
      </c>
      <c r="E7027" t="str">
        <f t="shared" si="2852"/>
        <v>KFH-OPERATIONS DEPARTMENT</v>
      </c>
      <c r="F7027" t="str">
        <f t="shared" si="2853"/>
        <v>IBG</v>
      </c>
      <c r="G7027" t="str">
        <f t="shared" si="2866"/>
        <v>Refund COSHARE 10</v>
      </c>
      <c r="H7027" s="2">
        <v>218.75</v>
      </c>
      <c r="I7027" t="str">
        <f>"ZAINURUBIAH BINTI MANSOR"</f>
        <v>ZAINURUBIAH BINTI MANSOR</v>
      </c>
      <c r="J7027" t="str">
        <f t="shared" si="2867"/>
        <v>BANK SIMPANAN NASIONAL</v>
      </c>
      <c r="K7027" t="str">
        <f>"1011929852492227"</f>
        <v>1011929852492227</v>
      </c>
      <c r="L7027" t="str">
        <f t="shared" ref="L7027:M7046" si="2874">"04-08-2020"</f>
        <v>04-08-2020</v>
      </c>
      <c r="M7027" t="str">
        <f t="shared" si="2874"/>
        <v>04-08-2020</v>
      </c>
      <c r="N7027" t="str">
        <f t="shared" si="2854"/>
        <v>001105018356</v>
      </c>
      <c r="O7027" t="str">
        <f t="shared" si="2855"/>
        <v>MYR</v>
      </c>
      <c r="P7027" t="str">
        <f t="shared" ref="P7027:Q7046" si="2875">"NIL"</f>
        <v>NIL</v>
      </c>
      <c r="Q7027" t="str">
        <f t="shared" si="2875"/>
        <v>NIL</v>
      </c>
      <c r="R7027" t="str">
        <f t="shared" si="2870"/>
        <v>Accepted</v>
      </c>
      <c r="S7027" t="str">
        <f t="shared" si="2856"/>
        <v>Approved</v>
      </c>
      <c r="T7027" t="str">
        <f t="shared" si="2871"/>
        <v>10.20.8.188</v>
      </c>
      <c r="U7027" t="str">
        <f t="shared" si="2857"/>
        <v>AZRAD UMAR BIN SHAARI</v>
      </c>
      <c r="V7027" t="str">
        <f t="shared" si="2858"/>
        <v>FARHANA BINTI MUSTAPA</v>
      </c>
      <c r="W7027" t="str">
        <f t="shared" si="2859"/>
        <v>04-08-2020</v>
      </c>
      <c r="X7027" t="str">
        <f t="shared" si="2860"/>
        <v>RAZIMAH ANSAR AHMAD</v>
      </c>
      <c r="Y7027" t="str">
        <f t="shared" si="2861"/>
        <v>04-08-2020</v>
      </c>
      <c r="Z7027" t="str">
        <f>"COS10200804 2127"</f>
        <v>COS10200804 2127</v>
      </c>
    </row>
    <row r="7028" spans="1:26" x14ac:dyDescent="0.25">
      <c r="A7028" t="str">
        <f t="shared" si="2872"/>
        <v>04-08-2020 12:36:35</v>
      </c>
      <c r="B7028" t="str">
        <f>"0000803884"</f>
        <v>0000803884</v>
      </c>
      <c r="C7028" t="str">
        <f t="shared" si="2873"/>
        <v>0000803758</v>
      </c>
      <c r="D7028" t="str">
        <f t="shared" si="2851"/>
        <v>73185</v>
      </c>
      <c r="E7028" t="str">
        <f t="shared" si="2852"/>
        <v>KFH-OPERATIONS DEPARTMENT</v>
      </c>
      <c r="F7028" t="str">
        <f t="shared" si="2853"/>
        <v>IBG</v>
      </c>
      <c r="G7028" t="str">
        <f t="shared" si="2866"/>
        <v>Refund COSHARE 10</v>
      </c>
      <c r="H7028" s="2">
        <v>898</v>
      </c>
      <c r="I7028" t="str">
        <f>"ZAINUDIN BIN ABU HASSAN"</f>
        <v>ZAINUDIN BIN ABU HASSAN</v>
      </c>
      <c r="J7028" t="str">
        <f t="shared" si="2867"/>
        <v>BANK SIMPANAN NASIONAL</v>
      </c>
      <c r="K7028" t="str">
        <f>"0920029000058160"</f>
        <v>0920029000058160</v>
      </c>
      <c r="L7028" t="str">
        <f t="shared" si="2874"/>
        <v>04-08-2020</v>
      </c>
      <c r="M7028" t="str">
        <f t="shared" si="2874"/>
        <v>04-08-2020</v>
      </c>
      <c r="N7028" t="str">
        <f t="shared" si="2854"/>
        <v>001105018356</v>
      </c>
      <c r="O7028" t="str">
        <f t="shared" si="2855"/>
        <v>MYR</v>
      </c>
      <c r="P7028" t="str">
        <f t="shared" si="2875"/>
        <v>NIL</v>
      </c>
      <c r="Q7028" t="str">
        <f t="shared" si="2875"/>
        <v>NIL</v>
      </c>
      <c r="R7028" t="str">
        <f t="shared" si="2870"/>
        <v>Accepted</v>
      </c>
      <c r="S7028" t="str">
        <f t="shared" si="2856"/>
        <v>Approved</v>
      </c>
      <c r="T7028" t="str">
        <f t="shared" si="2871"/>
        <v>10.20.8.188</v>
      </c>
      <c r="U7028" t="str">
        <f t="shared" si="2857"/>
        <v>AZRAD UMAR BIN SHAARI</v>
      </c>
      <c r="V7028" t="str">
        <f t="shared" si="2858"/>
        <v>FARHANA BINTI MUSTAPA</v>
      </c>
      <c r="W7028" t="str">
        <f t="shared" si="2859"/>
        <v>04-08-2020</v>
      </c>
      <c r="X7028" t="str">
        <f t="shared" si="2860"/>
        <v>RAZIMAH ANSAR AHMAD</v>
      </c>
      <c r="Y7028" t="str">
        <f t="shared" si="2861"/>
        <v>04-08-2020</v>
      </c>
      <c r="Z7028" t="str">
        <f>"COS10200804 2126"</f>
        <v>COS10200804 2126</v>
      </c>
    </row>
    <row r="7029" spans="1:26" x14ac:dyDescent="0.25">
      <c r="A7029" t="str">
        <f t="shared" si="2872"/>
        <v>04-08-2020 12:36:35</v>
      </c>
      <c r="B7029" t="str">
        <f>"0000803883"</f>
        <v>0000803883</v>
      </c>
      <c r="C7029" t="str">
        <f t="shared" si="2873"/>
        <v>0000803758</v>
      </c>
      <c r="D7029" t="str">
        <f t="shared" si="2851"/>
        <v>73185</v>
      </c>
      <c r="E7029" t="str">
        <f t="shared" si="2852"/>
        <v>KFH-OPERATIONS DEPARTMENT</v>
      </c>
      <c r="F7029" t="str">
        <f t="shared" si="2853"/>
        <v>IBG</v>
      </c>
      <c r="G7029" t="str">
        <f t="shared" si="2866"/>
        <v>Refund COSHARE 10</v>
      </c>
      <c r="H7029" s="2">
        <v>839.5</v>
      </c>
      <c r="I7029" t="str">
        <f>"ZAINUDDIN BIN MOHD ZAMZURI"</f>
        <v>ZAINUDDIN BIN MOHD ZAMZURI</v>
      </c>
      <c r="J7029" t="str">
        <f t="shared" si="2867"/>
        <v>BANK SIMPANAN NASIONAL</v>
      </c>
      <c r="K7029" t="str">
        <f>"0800241100008234"</f>
        <v>0800241100008234</v>
      </c>
      <c r="L7029" t="str">
        <f t="shared" si="2874"/>
        <v>04-08-2020</v>
      </c>
      <c r="M7029" t="str">
        <f t="shared" si="2874"/>
        <v>04-08-2020</v>
      </c>
      <c r="N7029" t="str">
        <f t="shared" si="2854"/>
        <v>001105018356</v>
      </c>
      <c r="O7029" t="str">
        <f t="shared" si="2855"/>
        <v>MYR</v>
      </c>
      <c r="P7029" t="str">
        <f t="shared" si="2875"/>
        <v>NIL</v>
      </c>
      <c r="Q7029" t="str">
        <f t="shared" si="2875"/>
        <v>NIL</v>
      </c>
      <c r="R7029" t="str">
        <f t="shared" si="2870"/>
        <v>Accepted</v>
      </c>
      <c r="S7029" t="str">
        <f t="shared" si="2856"/>
        <v>Approved</v>
      </c>
      <c r="T7029" t="str">
        <f t="shared" si="2871"/>
        <v>10.20.8.188</v>
      </c>
      <c r="U7029" t="str">
        <f t="shared" si="2857"/>
        <v>AZRAD UMAR BIN SHAARI</v>
      </c>
      <c r="V7029" t="str">
        <f t="shared" si="2858"/>
        <v>FARHANA BINTI MUSTAPA</v>
      </c>
      <c r="W7029" t="str">
        <f t="shared" si="2859"/>
        <v>04-08-2020</v>
      </c>
      <c r="X7029" t="str">
        <f t="shared" si="2860"/>
        <v>RAZIMAH ANSAR AHMAD</v>
      </c>
      <c r="Y7029" t="str">
        <f t="shared" si="2861"/>
        <v>04-08-2020</v>
      </c>
      <c r="Z7029" t="str">
        <f>"COS10200804 2125"</f>
        <v>COS10200804 2125</v>
      </c>
    </row>
    <row r="7030" spans="1:26" x14ac:dyDescent="0.25">
      <c r="A7030" t="str">
        <f t="shared" si="2872"/>
        <v>04-08-2020 12:36:35</v>
      </c>
      <c r="B7030" t="str">
        <f>"0000803882"</f>
        <v>0000803882</v>
      </c>
      <c r="C7030" t="str">
        <f t="shared" si="2873"/>
        <v>0000803758</v>
      </c>
      <c r="D7030" t="str">
        <f t="shared" si="2851"/>
        <v>73185</v>
      </c>
      <c r="E7030" t="str">
        <f t="shared" si="2852"/>
        <v>KFH-OPERATIONS DEPARTMENT</v>
      </c>
      <c r="F7030" t="str">
        <f t="shared" si="2853"/>
        <v>IBG</v>
      </c>
      <c r="G7030" t="str">
        <f t="shared" si="2866"/>
        <v>Refund COSHARE 10</v>
      </c>
      <c r="H7030" s="2">
        <v>463.8</v>
      </c>
      <c r="I7030" t="str">
        <f>"ZAINUDDIN BIN FIEE"</f>
        <v>ZAINUDDIN BIN FIEE</v>
      </c>
      <c r="J7030" t="str">
        <f t="shared" si="2867"/>
        <v>BANK SIMPANAN NASIONAL</v>
      </c>
      <c r="K7030" t="str">
        <f>"0530029863433197"</f>
        <v>0530029863433197</v>
      </c>
      <c r="L7030" t="str">
        <f t="shared" si="2874"/>
        <v>04-08-2020</v>
      </c>
      <c r="M7030" t="str">
        <f t="shared" si="2874"/>
        <v>04-08-2020</v>
      </c>
      <c r="N7030" t="str">
        <f t="shared" si="2854"/>
        <v>001105018356</v>
      </c>
      <c r="O7030" t="str">
        <f t="shared" si="2855"/>
        <v>MYR</v>
      </c>
      <c r="P7030" t="str">
        <f t="shared" si="2875"/>
        <v>NIL</v>
      </c>
      <c r="Q7030" t="str">
        <f t="shared" si="2875"/>
        <v>NIL</v>
      </c>
      <c r="R7030" t="str">
        <f t="shared" si="2870"/>
        <v>Accepted</v>
      </c>
      <c r="S7030" t="str">
        <f t="shared" si="2856"/>
        <v>Approved</v>
      </c>
      <c r="T7030" t="str">
        <f t="shared" si="2871"/>
        <v>10.20.8.188</v>
      </c>
      <c r="U7030" t="str">
        <f t="shared" si="2857"/>
        <v>AZRAD UMAR BIN SHAARI</v>
      </c>
      <c r="V7030" t="str">
        <f t="shared" si="2858"/>
        <v>FARHANA BINTI MUSTAPA</v>
      </c>
      <c r="W7030" t="str">
        <f t="shared" si="2859"/>
        <v>04-08-2020</v>
      </c>
      <c r="X7030" t="str">
        <f t="shared" si="2860"/>
        <v>RAZIMAH ANSAR AHMAD</v>
      </c>
      <c r="Y7030" t="str">
        <f t="shared" si="2861"/>
        <v>04-08-2020</v>
      </c>
      <c r="Z7030" t="str">
        <f>"COS10200804 2124"</f>
        <v>COS10200804 2124</v>
      </c>
    </row>
    <row r="7031" spans="1:26" x14ac:dyDescent="0.25">
      <c r="A7031" t="str">
        <f t="shared" si="2872"/>
        <v>04-08-2020 12:36:35</v>
      </c>
      <c r="B7031" t="str">
        <f>"0000803881"</f>
        <v>0000803881</v>
      </c>
      <c r="C7031" t="str">
        <f t="shared" si="2873"/>
        <v>0000803758</v>
      </c>
      <c r="D7031" t="str">
        <f t="shared" si="2851"/>
        <v>73185</v>
      </c>
      <c r="E7031" t="str">
        <f t="shared" si="2852"/>
        <v>KFH-OPERATIONS DEPARTMENT</v>
      </c>
      <c r="F7031" t="str">
        <f t="shared" si="2853"/>
        <v>IBG</v>
      </c>
      <c r="G7031" t="str">
        <f t="shared" si="2866"/>
        <v>Refund COSHARE 10</v>
      </c>
      <c r="H7031" s="2">
        <v>298</v>
      </c>
      <c r="I7031" t="str">
        <f>"ZAINAP BINTI ABU"</f>
        <v>ZAINAP BINTI ABU</v>
      </c>
      <c r="J7031" t="str">
        <f t="shared" si="2867"/>
        <v>BANK SIMPANAN NASIONAL</v>
      </c>
      <c r="K7031" t="str">
        <f>"0710029851787331"</f>
        <v>0710029851787331</v>
      </c>
      <c r="L7031" t="str">
        <f t="shared" si="2874"/>
        <v>04-08-2020</v>
      </c>
      <c r="M7031" t="str">
        <f t="shared" si="2874"/>
        <v>04-08-2020</v>
      </c>
      <c r="N7031" t="str">
        <f t="shared" si="2854"/>
        <v>001105018356</v>
      </c>
      <c r="O7031" t="str">
        <f t="shared" si="2855"/>
        <v>MYR</v>
      </c>
      <c r="P7031" t="str">
        <f t="shared" si="2875"/>
        <v>NIL</v>
      </c>
      <c r="Q7031" t="str">
        <f t="shared" si="2875"/>
        <v>NIL</v>
      </c>
      <c r="R7031" t="str">
        <f t="shared" si="2870"/>
        <v>Accepted</v>
      </c>
      <c r="S7031" t="str">
        <f t="shared" si="2856"/>
        <v>Approved</v>
      </c>
      <c r="T7031" t="str">
        <f t="shared" si="2871"/>
        <v>10.20.8.188</v>
      </c>
      <c r="U7031" t="str">
        <f t="shared" si="2857"/>
        <v>AZRAD UMAR BIN SHAARI</v>
      </c>
      <c r="V7031" t="str">
        <f t="shared" si="2858"/>
        <v>FARHANA BINTI MUSTAPA</v>
      </c>
      <c r="W7031" t="str">
        <f t="shared" si="2859"/>
        <v>04-08-2020</v>
      </c>
      <c r="X7031" t="str">
        <f t="shared" si="2860"/>
        <v>RAZIMAH ANSAR AHMAD</v>
      </c>
      <c r="Y7031" t="str">
        <f t="shared" si="2861"/>
        <v>04-08-2020</v>
      </c>
      <c r="Z7031" t="str">
        <f>"COS10200804 2123"</f>
        <v>COS10200804 2123</v>
      </c>
    </row>
    <row r="7032" spans="1:26" x14ac:dyDescent="0.25">
      <c r="A7032" t="str">
        <f t="shared" si="2872"/>
        <v>04-08-2020 12:36:35</v>
      </c>
      <c r="B7032" t="str">
        <f>"0000803880"</f>
        <v>0000803880</v>
      </c>
      <c r="C7032" t="str">
        <f t="shared" si="2873"/>
        <v>0000803758</v>
      </c>
      <c r="D7032" t="str">
        <f t="shared" si="2851"/>
        <v>73185</v>
      </c>
      <c r="E7032" t="str">
        <f t="shared" si="2852"/>
        <v>KFH-OPERATIONS DEPARTMENT</v>
      </c>
      <c r="F7032" t="str">
        <f t="shared" si="2853"/>
        <v>IBG</v>
      </c>
      <c r="G7032" t="str">
        <f t="shared" si="2866"/>
        <v>Refund COSHARE 10</v>
      </c>
      <c r="H7032" s="2">
        <v>176.3</v>
      </c>
      <c r="I7032" t="str">
        <f>"ZAINAL BIN GHAZALI"</f>
        <v>ZAINAL BIN GHAZALI</v>
      </c>
      <c r="J7032" t="str">
        <f t="shared" si="2867"/>
        <v>BANK SIMPANAN NASIONAL</v>
      </c>
      <c r="K7032" t="str">
        <f>"0510429000308865"</f>
        <v>0510429000308865</v>
      </c>
      <c r="L7032" t="str">
        <f t="shared" si="2874"/>
        <v>04-08-2020</v>
      </c>
      <c r="M7032" t="str">
        <f t="shared" si="2874"/>
        <v>04-08-2020</v>
      </c>
      <c r="N7032" t="str">
        <f t="shared" si="2854"/>
        <v>001105018356</v>
      </c>
      <c r="O7032" t="str">
        <f t="shared" si="2855"/>
        <v>MYR</v>
      </c>
      <c r="P7032" t="str">
        <f t="shared" si="2875"/>
        <v>NIL</v>
      </c>
      <c r="Q7032" t="str">
        <f t="shared" si="2875"/>
        <v>NIL</v>
      </c>
      <c r="R7032" t="str">
        <f t="shared" si="2870"/>
        <v>Accepted</v>
      </c>
      <c r="S7032" t="str">
        <f t="shared" si="2856"/>
        <v>Approved</v>
      </c>
      <c r="T7032" t="str">
        <f t="shared" si="2871"/>
        <v>10.20.8.188</v>
      </c>
      <c r="U7032" t="str">
        <f t="shared" si="2857"/>
        <v>AZRAD UMAR BIN SHAARI</v>
      </c>
      <c r="V7032" t="str">
        <f t="shared" si="2858"/>
        <v>FARHANA BINTI MUSTAPA</v>
      </c>
      <c r="W7032" t="str">
        <f t="shared" si="2859"/>
        <v>04-08-2020</v>
      </c>
      <c r="X7032" t="str">
        <f t="shared" si="2860"/>
        <v>RAZIMAH ANSAR AHMAD</v>
      </c>
      <c r="Y7032" t="str">
        <f t="shared" si="2861"/>
        <v>04-08-2020</v>
      </c>
      <c r="Z7032" t="str">
        <f>"COS10200804 2122"</f>
        <v>COS10200804 2122</v>
      </c>
    </row>
    <row r="7033" spans="1:26" x14ac:dyDescent="0.25">
      <c r="A7033" t="str">
        <f t="shared" si="2872"/>
        <v>04-08-2020 12:36:35</v>
      </c>
      <c r="B7033" t="str">
        <f>"0000803879"</f>
        <v>0000803879</v>
      </c>
      <c r="C7033" t="str">
        <f t="shared" si="2873"/>
        <v>0000803758</v>
      </c>
      <c r="D7033" t="str">
        <f t="shared" si="2851"/>
        <v>73185</v>
      </c>
      <c r="E7033" t="str">
        <f t="shared" si="2852"/>
        <v>KFH-OPERATIONS DEPARTMENT</v>
      </c>
      <c r="F7033" t="str">
        <f t="shared" si="2853"/>
        <v>IBG</v>
      </c>
      <c r="G7033" t="str">
        <f t="shared" si="2866"/>
        <v>Refund COSHARE 10</v>
      </c>
      <c r="H7033" s="2">
        <v>251.85</v>
      </c>
      <c r="I7033" t="str">
        <f>"ZAINAL BIN GHAZALI"</f>
        <v>ZAINAL BIN GHAZALI</v>
      </c>
      <c r="J7033" t="str">
        <f t="shared" si="2867"/>
        <v>BANK SIMPANAN NASIONAL</v>
      </c>
      <c r="K7033" t="str">
        <f>"0510429000308865"</f>
        <v>0510429000308865</v>
      </c>
      <c r="L7033" t="str">
        <f t="shared" si="2874"/>
        <v>04-08-2020</v>
      </c>
      <c r="M7033" t="str">
        <f t="shared" si="2874"/>
        <v>04-08-2020</v>
      </c>
      <c r="N7033" t="str">
        <f t="shared" si="2854"/>
        <v>001105018356</v>
      </c>
      <c r="O7033" t="str">
        <f t="shared" si="2855"/>
        <v>MYR</v>
      </c>
      <c r="P7033" t="str">
        <f t="shared" si="2875"/>
        <v>NIL</v>
      </c>
      <c r="Q7033" t="str">
        <f t="shared" si="2875"/>
        <v>NIL</v>
      </c>
      <c r="R7033" t="str">
        <f t="shared" si="2870"/>
        <v>Accepted</v>
      </c>
      <c r="S7033" t="str">
        <f t="shared" si="2856"/>
        <v>Approved</v>
      </c>
      <c r="T7033" t="str">
        <f t="shared" si="2871"/>
        <v>10.20.8.188</v>
      </c>
      <c r="U7033" t="str">
        <f t="shared" si="2857"/>
        <v>AZRAD UMAR BIN SHAARI</v>
      </c>
      <c r="V7033" t="str">
        <f t="shared" si="2858"/>
        <v>FARHANA BINTI MUSTAPA</v>
      </c>
      <c r="W7033" t="str">
        <f t="shared" si="2859"/>
        <v>04-08-2020</v>
      </c>
      <c r="X7033" t="str">
        <f t="shared" si="2860"/>
        <v>RAZIMAH ANSAR AHMAD</v>
      </c>
      <c r="Y7033" t="str">
        <f t="shared" si="2861"/>
        <v>04-08-2020</v>
      </c>
      <c r="Z7033" t="str">
        <f>"COS10200804 2121"</f>
        <v>COS10200804 2121</v>
      </c>
    </row>
    <row r="7034" spans="1:26" x14ac:dyDescent="0.25">
      <c r="A7034" t="str">
        <f t="shared" si="2872"/>
        <v>04-08-2020 12:36:35</v>
      </c>
      <c r="B7034" t="str">
        <f>"0000803878"</f>
        <v>0000803878</v>
      </c>
      <c r="C7034" t="str">
        <f t="shared" si="2873"/>
        <v>0000803758</v>
      </c>
      <c r="D7034" t="str">
        <f t="shared" si="2851"/>
        <v>73185</v>
      </c>
      <c r="E7034" t="str">
        <f t="shared" si="2852"/>
        <v>KFH-OPERATIONS DEPARTMENT</v>
      </c>
      <c r="F7034" t="str">
        <f t="shared" si="2853"/>
        <v>IBG</v>
      </c>
      <c r="G7034" t="str">
        <f t="shared" si="2866"/>
        <v>Refund COSHARE 10</v>
      </c>
      <c r="H7034" s="2">
        <v>1249.9000000000001</v>
      </c>
      <c r="I7034" t="str">
        <f>"ZAHARAH BINTI OMAR"</f>
        <v>ZAHARAH BINTI OMAR</v>
      </c>
      <c r="J7034" t="str">
        <f t="shared" si="2867"/>
        <v>BANK SIMPANAN NASIONAL</v>
      </c>
      <c r="K7034" t="str">
        <f>"0711041000010984"</f>
        <v>0711041000010984</v>
      </c>
      <c r="L7034" t="str">
        <f t="shared" si="2874"/>
        <v>04-08-2020</v>
      </c>
      <c r="M7034" t="str">
        <f t="shared" si="2874"/>
        <v>04-08-2020</v>
      </c>
      <c r="N7034" t="str">
        <f t="shared" si="2854"/>
        <v>001105018356</v>
      </c>
      <c r="O7034" t="str">
        <f t="shared" si="2855"/>
        <v>MYR</v>
      </c>
      <c r="P7034" t="str">
        <f t="shared" si="2875"/>
        <v>NIL</v>
      </c>
      <c r="Q7034" t="str">
        <f t="shared" si="2875"/>
        <v>NIL</v>
      </c>
      <c r="R7034" t="str">
        <f t="shared" si="2870"/>
        <v>Accepted</v>
      </c>
      <c r="S7034" t="str">
        <f t="shared" si="2856"/>
        <v>Approved</v>
      </c>
      <c r="T7034" t="str">
        <f t="shared" si="2871"/>
        <v>10.20.8.188</v>
      </c>
      <c r="U7034" t="str">
        <f t="shared" si="2857"/>
        <v>AZRAD UMAR BIN SHAARI</v>
      </c>
      <c r="V7034" t="str">
        <f t="shared" si="2858"/>
        <v>FARHANA BINTI MUSTAPA</v>
      </c>
      <c r="W7034" t="str">
        <f t="shared" si="2859"/>
        <v>04-08-2020</v>
      </c>
      <c r="X7034" t="str">
        <f t="shared" si="2860"/>
        <v>RAZIMAH ANSAR AHMAD</v>
      </c>
      <c r="Y7034" t="str">
        <f t="shared" si="2861"/>
        <v>04-08-2020</v>
      </c>
      <c r="Z7034" t="str">
        <f>"COS10200804 2120"</f>
        <v>COS10200804 2120</v>
      </c>
    </row>
    <row r="7035" spans="1:26" x14ac:dyDescent="0.25">
      <c r="A7035" t="str">
        <f t="shared" si="2872"/>
        <v>04-08-2020 12:36:35</v>
      </c>
      <c r="B7035" t="str">
        <f>"0000803877"</f>
        <v>0000803877</v>
      </c>
      <c r="C7035" t="str">
        <f t="shared" si="2873"/>
        <v>0000803758</v>
      </c>
      <c r="D7035" t="str">
        <f t="shared" si="2851"/>
        <v>73185</v>
      </c>
      <c r="E7035" t="str">
        <f t="shared" si="2852"/>
        <v>KFH-OPERATIONS DEPARTMENT</v>
      </c>
      <c r="F7035" t="str">
        <f t="shared" si="2853"/>
        <v>IBG</v>
      </c>
      <c r="G7035" t="str">
        <f t="shared" si="2866"/>
        <v>Refund COSHARE 10</v>
      </c>
      <c r="H7035" s="2">
        <v>196.5</v>
      </c>
      <c r="I7035" t="str">
        <f>"ZAHANIZAM BIN TAHIR"</f>
        <v>ZAHANIZAM BIN TAHIR</v>
      </c>
      <c r="J7035" t="str">
        <f t="shared" si="2867"/>
        <v>BANK SIMPANAN NASIONAL</v>
      </c>
      <c r="K7035" t="str">
        <f>"0610529000130153"</f>
        <v>0610529000130153</v>
      </c>
      <c r="L7035" t="str">
        <f t="shared" si="2874"/>
        <v>04-08-2020</v>
      </c>
      <c r="M7035" t="str">
        <f t="shared" si="2874"/>
        <v>04-08-2020</v>
      </c>
      <c r="N7035" t="str">
        <f t="shared" si="2854"/>
        <v>001105018356</v>
      </c>
      <c r="O7035" t="str">
        <f t="shared" si="2855"/>
        <v>MYR</v>
      </c>
      <c r="P7035" t="str">
        <f t="shared" si="2875"/>
        <v>NIL</v>
      </c>
      <c r="Q7035" t="str">
        <f t="shared" si="2875"/>
        <v>NIL</v>
      </c>
      <c r="R7035" t="str">
        <f t="shared" si="2870"/>
        <v>Accepted</v>
      </c>
      <c r="S7035" t="str">
        <f t="shared" si="2856"/>
        <v>Approved</v>
      </c>
      <c r="T7035" t="str">
        <f t="shared" si="2871"/>
        <v>10.20.8.188</v>
      </c>
      <c r="U7035" t="str">
        <f t="shared" si="2857"/>
        <v>AZRAD UMAR BIN SHAARI</v>
      </c>
      <c r="V7035" t="str">
        <f t="shared" si="2858"/>
        <v>FARHANA BINTI MUSTAPA</v>
      </c>
      <c r="W7035" t="str">
        <f t="shared" si="2859"/>
        <v>04-08-2020</v>
      </c>
      <c r="X7035" t="str">
        <f t="shared" si="2860"/>
        <v>RAZIMAH ANSAR AHMAD</v>
      </c>
      <c r="Y7035" t="str">
        <f t="shared" si="2861"/>
        <v>04-08-2020</v>
      </c>
      <c r="Z7035" t="str">
        <f>"COS10200804 2119"</f>
        <v>COS10200804 2119</v>
      </c>
    </row>
    <row r="7036" spans="1:26" x14ac:dyDescent="0.25">
      <c r="A7036" t="str">
        <f t="shared" si="2872"/>
        <v>04-08-2020 12:36:35</v>
      </c>
      <c r="B7036" t="str">
        <f>"0000803876"</f>
        <v>0000803876</v>
      </c>
      <c r="C7036" t="str">
        <f t="shared" si="2873"/>
        <v>0000803758</v>
      </c>
      <c r="D7036" t="str">
        <f t="shared" si="2851"/>
        <v>73185</v>
      </c>
      <c r="E7036" t="str">
        <f t="shared" si="2852"/>
        <v>KFH-OPERATIONS DEPARTMENT</v>
      </c>
      <c r="F7036" t="str">
        <f t="shared" si="2853"/>
        <v>IBG</v>
      </c>
      <c r="G7036" t="str">
        <f t="shared" si="2866"/>
        <v>Refund COSHARE 10</v>
      </c>
      <c r="H7036" s="2">
        <v>419.75</v>
      </c>
      <c r="I7036" t="str">
        <f>"YUSNI BINTI SAAD"</f>
        <v>YUSNI BINTI SAAD</v>
      </c>
      <c r="J7036" t="str">
        <f t="shared" si="2867"/>
        <v>BANK SIMPANAN NASIONAL</v>
      </c>
      <c r="K7036" t="str">
        <f>"1416329000013873"</f>
        <v>1416329000013873</v>
      </c>
      <c r="L7036" t="str">
        <f t="shared" si="2874"/>
        <v>04-08-2020</v>
      </c>
      <c r="M7036" t="str">
        <f t="shared" si="2874"/>
        <v>04-08-2020</v>
      </c>
      <c r="N7036" t="str">
        <f t="shared" si="2854"/>
        <v>001105018356</v>
      </c>
      <c r="O7036" t="str">
        <f t="shared" si="2855"/>
        <v>MYR</v>
      </c>
      <c r="P7036" t="str">
        <f t="shared" si="2875"/>
        <v>NIL</v>
      </c>
      <c r="Q7036" t="str">
        <f t="shared" si="2875"/>
        <v>NIL</v>
      </c>
      <c r="R7036" t="str">
        <f t="shared" si="2870"/>
        <v>Accepted</v>
      </c>
      <c r="S7036" t="str">
        <f t="shared" si="2856"/>
        <v>Approved</v>
      </c>
      <c r="T7036" t="str">
        <f t="shared" si="2871"/>
        <v>10.20.8.188</v>
      </c>
      <c r="U7036" t="str">
        <f t="shared" si="2857"/>
        <v>AZRAD UMAR BIN SHAARI</v>
      </c>
      <c r="V7036" t="str">
        <f t="shared" si="2858"/>
        <v>FARHANA BINTI MUSTAPA</v>
      </c>
      <c r="W7036" t="str">
        <f t="shared" si="2859"/>
        <v>04-08-2020</v>
      </c>
      <c r="X7036" t="str">
        <f t="shared" si="2860"/>
        <v>RAZIMAH ANSAR AHMAD</v>
      </c>
      <c r="Y7036" t="str">
        <f t="shared" si="2861"/>
        <v>04-08-2020</v>
      </c>
      <c r="Z7036" t="str">
        <f>"COS10200804 2118"</f>
        <v>COS10200804 2118</v>
      </c>
    </row>
    <row r="7037" spans="1:26" x14ac:dyDescent="0.25">
      <c r="A7037" t="str">
        <f t="shared" si="2872"/>
        <v>04-08-2020 12:36:35</v>
      </c>
      <c r="B7037" t="str">
        <f>"0000803875"</f>
        <v>0000803875</v>
      </c>
      <c r="C7037" t="str">
        <f t="shared" si="2873"/>
        <v>0000803758</v>
      </c>
      <c r="D7037" t="str">
        <f t="shared" si="2851"/>
        <v>73185</v>
      </c>
      <c r="E7037" t="str">
        <f t="shared" si="2852"/>
        <v>KFH-OPERATIONS DEPARTMENT</v>
      </c>
      <c r="F7037" t="str">
        <f t="shared" si="2853"/>
        <v>IBG</v>
      </c>
      <c r="G7037" t="str">
        <f t="shared" si="2866"/>
        <v>Refund COSHARE 10</v>
      </c>
      <c r="H7037" s="2">
        <v>58.8</v>
      </c>
      <c r="I7037" t="str">
        <f>"YAZRISHAM BIN MOHD YUSOF"</f>
        <v>YAZRISHAM BIN MOHD YUSOF</v>
      </c>
      <c r="J7037" t="str">
        <f t="shared" si="2867"/>
        <v>BANK SIMPANAN NASIONAL</v>
      </c>
      <c r="K7037" t="str">
        <f>"1410029000295706"</f>
        <v>1410029000295706</v>
      </c>
      <c r="L7037" t="str">
        <f t="shared" si="2874"/>
        <v>04-08-2020</v>
      </c>
      <c r="M7037" t="str">
        <f t="shared" si="2874"/>
        <v>04-08-2020</v>
      </c>
      <c r="N7037" t="str">
        <f t="shared" si="2854"/>
        <v>001105018356</v>
      </c>
      <c r="O7037" t="str">
        <f t="shared" si="2855"/>
        <v>MYR</v>
      </c>
      <c r="P7037" t="str">
        <f t="shared" si="2875"/>
        <v>NIL</v>
      </c>
      <c r="Q7037" t="str">
        <f t="shared" si="2875"/>
        <v>NIL</v>
      </c>
      <c r="R7037" t="str">
        <f t="shared" si="2870"/>
        <v>Accepted</v>
      </c>
      <c r="S7037" t="str">
        <f t="shared" si="2856"/>
        <v>Approved</v>
      </c>
      <c r="T7037" t="str">
        <f t="shared" si="2871"/>
        <v>10.20.8.188</v>
      </c>
      <c r="U7037" t="str">
        <f t="shared" si="2857"/>
        <v>AZRAD UMAR BIN SHAARI</v>
      </c>
      <c r="V7037" t="str">
        <f t="shared" si="2858"/>
        <v>FARHANA BINTI MUSTAPA</v>
      </c>
      <c r="W7037" t="str">
        <f t="shared" si="2859"/>
        <v>04-08-2020</v>
      </c>
      <c r="X7037" t="str">
        <f t="shared" si="2860"/>
        <v>RAZIMAH ANSAR AHMAD</v>
      </c>
      <c r="Y7037" t="str">
        <f t="shared" si="2861"/>
        <v>04-08-2020</v>
      </c>
      <c r="Z7037" t="str">
        <f>"COS10200804 2117"</f>
        <v>COS10200804 2117</v>
      </c>
    </row>
    <row r="7038" spans="1:26" x14ac:dyDescent="0.25">
      <c r="A7038" t="str">
        <f t="shared" si="2872"/>
        <v>04-08-2020 12:36:35</v>
      </c>
      <c r="B7038" t="str">
        <f>"0000803874"</f>
        <v>0000803874</v>
      </c>
      <c r="C7038" t="str">
        <f t="shared" si="2873"/>
        <v>0000803758</v>
      </c>
      <c r="D7038" t="str">
        <f t="shared" si="2851"/>
        <v>73185</v>
      </c>
      <c r="E7038" t="str">
        <f t="shared" si="2852"/>
        <v>KFH-OPERATIONS DEPARTMENT</v>
      </c>
      <c r="F7038" t="str">
        <f t="shared" si="2853"/>
        <v>IBG</v>
      </c>
      <c r="G7038" t="str">
        <f t="shared" si="2866"/>
        <v>Refund COSHARE 10</v>
      </c>
      <c r="H7038" s="2">
        <v>873.1</v>
      </c>
      <c r="I7038" t="str">
        <f>"YASRI BIN SAIRI"</f>
        <v>YASRI BIN SAIRI</v>
      </c>
      <c r="J7038" t="str">
        <f t="shared" si="2867"/>
        <v>BANK SIMPANAN NASIONAL</v>
      </c>
      <c r="K7038" t="str">
        <f>"1211029000024811"</f>
        <v>1211029000024811</v>
      </c>
      <c r="L7038" t="str">
        <f t="shared" si="2874"/>
        <v>04-08-2020</v>
      </c>
      <c r="M7038" t="str">
        <f t="shared" si="2874"/>
        <v>04-08-2020</v>
      </c>
      <c r="N7038" t="str">
        <f t="shared" si="2854"/>
        <v>001105018356</v>
      </c>
      <c r="O7038" t="str">
        <f t="shared" si="2855"/>
        <v>MYR</v>
      </c>
      <c r="P7038" t="str">
        <f t="shared" si="2875"/>
        <v>NIL</v>
      </c>
      <c r="Q7038" t="str">
        <f t="shared" si="2875"/>
        <v>NIL</v>
      </c>
      <c r="R7038" t="str">
        <f t="shared" si="2870"/>
        <v>Accepted</v>
      </c>
      <c r="S7038" t="str">
        <f t="shared" si="2856"/>
        <v>Approved</v>
      </c>
      <c r="T7038" t="str">
        <f t="shared" si="2871"/>
        <v>10.20.8.188</v>
      </c>
      <c r="U7038" t="str">
        <f t="shared" si="2857"/>
        <v>AZRAD UMAR BIN SHAARI</v>
      </c>
      <c r="V7038" t="str">
        <f t="shared" si="2858"/>
        <v>FARHANA BINTI MUSTAPA</v>
      </c>
      <c r="W7038" t="str">
        <f t="shared" si="2859"/>
        <v>04-08-2020</v>
      </c>
      <c r="X7038" t="str">
        <f t="shared" si="2860"/>
        <v>RAZIMAH ANSAR AHMAD</v>
      </c>
      <c r="Y7038" t="str">
        <f t="shared" si="2861"/>
        <v>04-08-2020</v>
      </c>
      <c r="Z7038" t="str">
        <f>"COS10200804 2116"</f>
        <v>COS10200804 2116</v>
      </c>
    </row>
    <row r="7039" spans="1:26" x14ac:dyDescent="0.25">
      <c r="A7039" t="str">
        <f t="shared" si="2872"/>
        <v>04-08-2020 12:36:35</v>
      </c>
      <c r="B7039" t="str">
        <f>"0000803873"</f>
        <v>0000803873</v>
      </c>
      <c r="C7039" t="str">
        <f t="shared" si="2873"/>
        <v>0000803758</v>
      </c>
      <c r="D7039" t="str">
        <f t="shared" si="2851"/>
        <v>73185</v>
      </c>
      <c r="E7039" t="str">
        <f t="shared" si="2852"/>
        <v>KFH-OPERATIONS DEPARTMENT</v>
      </c>
      <c r="F7039" t="str">
        <f t="shared" si="2853"/>
        <v>IBG</v>
      </c>
      <c r="G7039" t="str">
        <f t="shared" si="2866"/>
        <v>Refund COSHARE 10</v>
      </c>
      <c r="H7039" s="2">
        <v>880.3</v>
      </c>
      <c r="I7039" t="str">
        <f>"YAAKOB BIN MOHD RAZALI"</f>
        <v>YAAKOB BIN MOHD RAZALI</v>
      </c>
      <c r="J7039" t="str">
        <f t="shared" si="2867"/>
        <v>BANK SIMPANAN NASIONAL</v>
      </c>
      <c r="K7039" t="str">
        <f>"1010041000111432"</f>
        <v>1010041000111432</v>
      </c>
      <c r="L7039" t="str">
        <f t="shared" si="2874"/>
        <v>04-08-2020</v>
      </c>
      <c r="M7039" t="str">
        <f t="shared" si="2874"/>
        <v>04-08-2020</v>
      </c>
      <c r="N7039" t="str">
        <f t="shared" si="2854"/>
        <v>001105018356</v>
      </c>
      <c r="O7039" t="str">
        <f t="shared" si="2855"/>
        <v>MYR</v>
      </c>
      <c r="P7039" t="str">
        <f t="shared" si="2875"/>
        <v>NIL</v>
      </c>
      <c r="Q7039" t="str">
        <f t="shared" si="2875"/>
        <v>NIL</v>
      </c>
      <c r="R7039" t="str">
        <f t="shared" si="2870"/>
        <v>Accepted</v>
      </c>
      <c r="S7039" t="str">
        <f t="shared" si="2856"/>
        <v>Approved</v>
      </c>
      <c r="T7039" t="str">
        <f t="shared" si="2871"/>
        <v>10.20.8.188</v>
      </c>
      <c r="U7039" t="str">
        <f t="shared" si="2857"/>
        <v>AZRAD UMAR BIN SHAARI</v>
      </c>
      <c r="V7039" t="str">
        <f t="shared" si="2858"/>
        <v>FARHANA BINTI MUSTAPA</v>
      </c>
      <c r="W7039" t="str">
        <f t="shared" si="2859"/>
        <v>04-08-2020</v>
      </c>
      <c r="X7039" t="str">
        <f t="shared" si="2860"/>
        <v>RAZIMAH ANSAR AHMAD</v>
      </c>
      <c r="Y7039" t="str">
        <f t="shared" si="2861"/>
        <v>04-08-2020</v>
      </c>
      <c r="Z7039" t="str">
        <f>"COS10200804 2115"</f>
        <v>COS10200804 2115</v>
      </c>
    </row>
    <row r="7040" spans="1:26" x14ac:dyDescent="0.25">
      <c r="A7040" t="str">
        <f t="shared" si="2872"/>
        <v>04-08-2020 12:36:35</v>
      </c>
      <c r="B7040" t="str">
        <f>"0000803872"</f>
        <v>0000803872</v>
      </c>
      <c r="C7040" t="str">
        <f t="shared" si="2873"/>
        <v>0000803758</v>
      </c>
      <c r="D7040" t="str">
        <f t="shared" si="2851"/>
        <v>73185</v>
      </c>
      <c r="E7040" t="str">
        <f t="shared" si="2852"/>
        <v>KFH-OPERATIONS DEPARTMENT</v>
      </c>
      <c r="F7040" t="str">
        <f t="shared" si="2853"/>
        <v>IBG</v>
      </c>
      <c r="G7040" t="str">
        <f t="shared" si="2866"/>
        <v>Refund COSHARE 10</v>
      </c>
      <c r="H7040" s="2">
        <v>1366</v>
      </c>
      <c r="I7040" t="str">
        <f>"WONG SEIK ING"</f>
        <v>WONG SEIK ING</v>
      </c>
      <c r="J7040" t="str">
        <f t="shared" si="2867"/>
        <v>BANK SIMPANAN NASIONAL</v>
      </c>
      <c r="K7040" t="str">
        <f>"1311529000053064"</f>
        <v>1311529000053064</v>
      </c>
      <c r="L7040" t="str">
        <f t="shared" si="2874"/>
        <v>04-08-2020</v>
      </c>
      <c r="M7040" t="str">
        <f t="shared" si="2874"/>
        <v>04-08-2020</v>
      </c>
      <c r="N7040" t="str">
        <f t="shared" si="2854"/>
        <v>001105018356</v>
      </c>
      <c r="O7040" t="str">
        <f t="shared" si="2855"/>
        <v>MYR</v>
      </c>
      <c r="P7040" t="str">
        <f t="shared" si="2875"/>
        <v>NIL</v>
      </c>
      <c r="Q7040" t="str">
        <f t="shared" si="2875"/>
        <v>NIL</v>
      </c>
      <c r="R7040" t="str">
        <f t="shared" si="2870"/>
        <v>Accepted</v>
      </c>
      <c r="S7040" t="str">
        <f t="shared" si="2856"/>
        <v>Approved</v>
      </c>
      <c r="T7040" t="str">
        <f t="shared" si="2871"/>
        <v>10.20.8.188</v>
      </c>
      <c r="U7040" t="str">
        <f t="shared" si="2857"/>
        <v>AZRAD UMAR BIN SHAARI</v>
      </c>
      <c r="V7040" t="str">
        <f t="shared" si="2858"/>
        <v>FARHANA BINTI MUSTAPA</v>
      </c>
      <c r="W7040" t="str">
        <f t="shared" si="2859"/>
        <v>04-08-2020</v>
      </c>
      <c r="X7040" t="str">
        <f t="shared" si="2860"/>
        <v>RAZIMAH ANSAR AHMAD</v>
      </c>
      <c r="Y7040" t="str">
        <f t="shared" si="2861"/>
        <v>04-08-2020</v>
      </c>
      <c r="Z7040" t="str">
        <f>"COS10200804 2114"</f>
        <v>COS10200804 2114</v>
      </c>
    </row>
    <row r="7041" spans="1:26" x14ac:dyDescent="0.25">
      <c r="A7041" t="str">
        <f t="shared" si="2872"/>
        <v>04-08-2020 12:36:35</v>
      </c>
      <c r="B7041" t="str">
        <f>"0000803871"</f>
        <v>0000803871</v>
      </c>
      <c r="C7041" t="str">
        <f t="shared" si="2873"/>
        <v>0000803758</v>
      </c>
      <c r="D7041" t="str">
        <f t="shared" si="2851"/>
        <v>73185</v>
      </c>
      <c r="E7041" t="str">
        <f t="shared" si="2852"/>
        <v>KFH-OPERATIONS DEPARTMENT</v>
      </c>
      <c r="F7041" t="str">
        <f t="shared" si="2853"/>
        <v>IBG</v>
      </c>
      <c r="G7041" t="str">
        <f t="shared" si="2866"/>
        <v>Refund COSHARE 10</v>
      </c>
      <c r="H7041" s="2">
        <v>98.25</v>
      </c>
      <c r="I7041" t="str">
        <f>"WIRA ALFAISAL BIN BAKAR"</f>
        <v>WIRA ALFAISAL BIN BAKAR</v>
      </c>
      <c r="J7041" t="str">
        <f t="shared" si="2867"/>
        <v>BANK SIMPANAN NASIONAL</v>
      </c>
      <c r="K7041" t="str">
        <f>"1150029000032543"</f>
        <v>1150029000032543</v>
      </c>
      <c r="L7041" t="str">
        <f t="shared" si="2874"/>
        <v>04-08-2020</v>
      </c>
      <c r="M7041" t="str">
        <f t="shared" si="2874"/>
        <v>04-08-2020</v>
      </c>
      <c r="N7041" t="str">
        <f t="shared" si="2854"/>
        <v>001105018356</v>
      </c>
      <c r="O7041" t="str">
        <f t="shared" si="2855"/>
        <v>MYR</v>
      </c>
      <c r="P7041" t="str">
        <f t="shared" si="2875"/>
        <v>NIL</v>
      </c>
      <c r="Q7041" t="str">
        <f t="shared" si="2875"/>
        <v>NIL</v>
      </c>
      <c r="R7041" t="str">
        <f t="shared" si="2870"/>
        <v>Accepted</v>
      </c>
      <c r="S7041" t="str">
        <f t="shared" si="2856"/>
        <v>Approved</v>
      </c>
      <c r="T7041" t="str">
        <f t="shared" si="2871"/>
        <v>10.20.8.188</v>
      </c>
      <c r="U7041" t="str">
        <f t="shared" si="2857"/>
        <v>AZRAD UMAR BIN SHAARI</v>
      </c>
      <c r="V7041" t="str">
        <f t="shared" si="2858"/>
        <v>FARHANA BINTI MUSTAPA</v>
      </c>
      <c r="W7041" t="str">
        <f t="shared" si="2859"/>
        <v>04-08-2020</v>
      </c>
      <c r="X7041" t="str">
        <f t="shared" si="2860"/>
        <v>RAZIMAH ANSAR AHMAD</v>
      </c>
      <c r="Y7041" t="str">
        <f t="shared" si="2861"/>
        <v>04-08-2020</v>
      </c>
      <c r="Z7041" t="str">
        <f>"COS10200804 2113"</f>
        <v>COS10200804 2113</v>
      </c>
    </row>
    <row r="7042" spans="1:26" x14ac:dyDescent="0.25">
      <c r="A7042" t="str">
        <f t="shared" si="2872"/>
        <v>04-08-2020 12:36:35</v>
      </c>
      <c r="B7042" t="str">
        <f>"0000803870"</f>
        <v>0000803870</v>
      </c>
      <c r="C7042" t="str">
        <f t="shared" si="2873"/>
        <v>0000803758</v>
      </c>
      <c r="D7042" t="str">
        <f t="shared" si="2851"/>
        <v>73185</v>
      </c>
      <c r="E7042" t="str">
        <f t="shared" si="2852"/>
        <v>KFH-OPERATIONS DEPARTMENT</v>
      </c>
      <c r="F7042" t="str">
        <f t="shared" si="2853"/>
        <v>IBG</v>
      </c>
      <c r="G7042" t="str">
        <f t="shared" si="2866"/>
        <v>Refund COSHARE 10</v>
      </c>
      <c r="H7042" s="2">
        <v>1217.3</v>
      </c>
      <c r="I7042" t="str">
        <f>"WINDY BIN TANGGOK"</f>
        <v>WINDY BIN TANGGOK</v>
      </c>
      <c r="J7042" t="str">
        <f t="shared" si="2867"/>
        <v>BANK SIMPANAN NASIONAL</v>
      </c>
      <c r="K7042" t="str">
        <f>"0610029837225797"</f>
        <v>0610029837225797</v>
      </c>
      <c r="L7042" t="str">
        <f t="shared" si="2874"/>
        <v>04-08-2020</v>
      </c>
      <c r="M7042" t="str">
        <f t="shared" si="2874"/>
        <v>04-08-2020</v>
      </c>
      <c r="N7042" t="str">
        <f t="shared" si="2854"/>
        <v>001105018356</v>
      </c>
      <c r="O7042" t="str">
        <f t="shared" si="2855"/>
        <v>MYR</v>
      </c>
      <c r="P7042" t="str">
        <f t="shared" si="2875"/>
        <v>NIL</v>
      </c>
      <c r="Q7042" t="str">
        <f t="shared" si="2875"/>
        <v>NIL</v>
      </c>
      <c r="R7042" t="str">
        <f t="shared" si="2870"/>
        <v>Accepted</v>
      </c>
      <c r="S7042" t="str">
        <f t="shared" si="2856"/>
        <v>Approved</v>
      </c>
      <c r="T7042" t="str">
        <f t="shared" si="2871"/>
        <v>10.20.8.188</v>
      </c>
      <c r="U7042" t="str">
        <f t="shared" si="2857"/>
        <v>AZRAD UMAR BIN SHAARI</v>
      </c>
      <c r="V7042" t="str">
        <f t="shared" si="2858"/>
        <v>FARHANA BINTI MUSTAPA</v>
      </c>
      <c r="W7042" t="str">
        <f t="shared" si="2859"/>
        <v>04-08-2020</v>
      </c>
      <c r="X7042" t="str">
        <f t="shared" si="2860"/>
        <v>RAZIMAH ANSAR AHMAD</v>
      </c>
      <c r="Y7042" t="str">
        <f t="shared" si="2861"/>
        <v>04-08-2020</v>
      </c>
      <c r="Z7042" t="str">
        <f>"COS10200804 2112"</f>
        <v>COS10200804 2112</v>
      </c>
    </row>
    <row r="7043" spans="1:26" x14ac:dyDescent="0.25">
      <c r="A7043" t="str">
        <f t="shared" si="2872"/>
        <v>04-08-2020 12:36:35</v>
      </c>
      <c r="B7043" t="str">
        <f>"0000803869"</f>
        <v>0000803869</v>
      </c>
      <c r="C7043" t="str">
        <f t="shared" si="2873"/>
        <v>0000803758</v>
      </c>
      <c r="D7043" t="str">
        <f t="shared" si="2851"/>
        <v>73185</v>
      </c>
      <c r="E7043" t="str">
        <f t="shared" si="2852"/>
        <v>KFH-OPERATIONS DEPARTMENT</v>
      </c>
      <c r="F7043" t="str">
        <f t="shared" si="2853"/>
        <v>IBG</v>
      </c>
      <c r="G7043" t="str">
        <f t="shared" si="2866"/>
        <v>Refund COSHARE 10</v>
      </c>
      <c r="H7043" s="2">
        <v>1091.3499999999999</v>
      </c>
      <c r="I7043" t="str">
        <f>"WILLSTON WILLIAM ANAP"</f>
        <v>WILLSTON WILLIAM ANAP</v>
      </c>
      <c r="J7043" t="str">
        <f t="shared" si="2867"/>
        <v>BANK SIMPANAN NASIONAL</v>
      </c>
      <c r="K7043" t="str">
        <f>"1455029000195459"</f>
        <v>1455029000195459</v>
      </c>
      <c r="L7043" t="str">
        <f t="shared" si="2874"/>
        <v>04-08-2020</v>
      </c>
      <c r="M7043" t="str">
        <f t="shared" si="2874"/>
        <v>04-08-2020</v>
      </c>
      <c r="N7043" t="str">
        <f t="shared" si="2854"/>
        <v>001105018356</v>
      </c>
      <c r="O7043" t="str">
        <f t="shared" si="2855"/>
        <v>MYR</v>
      </c>
      <c r="P7043" t="str">
        <f t="shared" si="2875"/>
        <v>NIL</v>
      </c>
      <c r="Q7043" t="str">
        <f t="shared" si="2875"/>
        <v>NIL</v>
      </c>
      <c r="R7043" t="str">
        <f t="shared" si="2870"/>
        <v>Accepted</v>
      </c>
      <c r="S7043" t="str">
        <f t="shared" si="2856"/>
        <v>Approved</v>
      </c>
      <c r="T7043" t="str">
        <f t="shared" si="2871"/>
        <v>10.20.8.188</v>
      </c>
      <c r="U7043" t="str">
        <f t="shared" si="2857"/>
        <v>AZRAD UMAR BIN SHAARI</v>
      </c>
      <c r="V7043" t="str">
        <f t="shared" si="2858"/>
        <v>FARHANA BINTI MUSTAPA</v>
      </c>
      <c r="W7043" t="str">
        <f t="shared" si="2859"/>
        <v>04-08-2020</v>
      </c>
      <c r="X7043" t="str">
        <f t="shared" si="2860"/>
        <v>RAZIMAH ANSAR AHMAD</v>
      </c>
      <c r="Y7043" t="str">
        <f t="shared" si="2861"/>
        <v>04-08-2020</v>
      </c>
      <c r="Z7043" t="str">
        <f>"COS10200804 2111"</f>
        <v>COS10200804 2111</v>
      </c>
    </row>
    <row r="7044" spans="1:26" x14ac:dyDescent="0.25">
      <c r="A7044" t="str">
        <f t="shared" si="2872"/>
        <v>04-08-2020 12:36:35</v>
      </c>
      <c r="B7044" t="str">
        <f>"0000803868"</f>
        <v>0000803868</v>
      </c>
      <c r="C7044" t="str">
        <f t="shared" si="2873"/>
        <v>0000803758</v>
      </c>
      <c r="D7044" t="str">
        <f t="shared" si="2851"/>
        <v>73185</v>
      </c>
      <c r="E7044" t="str">
        <f t="shared" si="2852"/>
        <v>KFH-OPERATIONS DEPARTMENT</v>
      </c>
      <c r="F7044" t="str">
        <f t="shared" si="2853"/>
        <v>IBG</v>
      </c>
      <c r="G7044" t="str">
        <f t="shared" si="2866"/>
        <v>Refund COSHARE 10</v>
      </c>
      <c r="H7044" s="2">
        <v>307</v>
      </c>
      <c r="I7044" t="str">
        <f>"WARDUNA BINTI KHALID"</f>
        <v>WARDUNA BINTI KHALID</v>
      </c>
      <c r="J7044" t="str">
        <f t="shared" si="2867"/>
        <v>BANK SIMPANAN NASIONAL</v>
      </c>
      <c r="K7044" t="str">
        <f>"0211329838820042"</f>
        <v>0211329838820042</v>
      </c>
      <c r="L7044" t="str">
        <f t="shared" si="2874"/>
        <v>04-08-2020</v>
      </c>
      <c r="M7044" t="str">
        <f t="shared" si="2874"/>
        <v>04-08-2020</v>
      </c>
      <c r="N7044" t="str">
        <f t="shared" si="2854"/>
        <v>001105018356</v>
      </c>
      <c r="O7044" t="str">
        <f t="shared" si="2855"/>
        <v>MYR</v>
      </c>
      <c r="P7044" t="str">
        <f t="shared" si="2875"/>
        <v>NIL</v>
      </c>
      <c r="Q7044" t="str">
        <f t="shared" si="2875"/>
        <v>NIL</v>
      </c>
      <c r="R7044" t="str">
        <f t="shared" si="2870"/>
        <v>Accepted</v>
      </c>
      <c r="S7044" t="str">
        <f t="shared" si="2856"/>
        <v>Approved</v>
      </c>
      <c r="T7044" t="str">
        <f t="shared" si="2871"/>
        <v>10.20.8.188</v>
      </c>
      <c r="U7044" t="str">
        <f t="shared" si="2857"/>
        <v>AZRAD UMAR BIN SHAARI</v>
      </c>
      <c r="V7044" t="str">
        <f t="shared" si="2858"/>
        <v>FARHANA BINTI MUSTAPA</v>
      </c>
      <c r="W7044" t="str">
        <f t="shared" si="2859"/>
        <v>04-08-2020</v>
      </c>
      <c r="X7044" t="str">
        <f t="shared" si="2860"/>
        <v>RAZIMAH ANSAR AHMAD</v>
      </c>
      <c r="Y7044" t="str">
        <f t="shared" si="2861"/>
        <v>04-08-2020</v>
      </c>
      <c r="Z7044" t="str">
        <f>"COS10200804 2110"</f>
        <v>COS10200804 2110</v>
      </c>
    </row>
    <row r="7045" spans="1:26" x14ac:dyDescent="0.25">
      <c r="A7045" t="str">
        <f t="shared" si="2872"/>
        <v>04-08-2020 12:36:35</v>
      </c>
      <c r="B7045" t="str">
        <f>"0000803867"</f>
        <v>0000803867</v>
      </c>
      <c r="C7045" t="str">
        <f t="shared" si="2873"/>
        <v>0000803758</v>
      </c>
      <c r="D7045" t="str">
        <f t="shared" si="2851"/>
        <v>73185</v>
      </c>
      <c r="E7045" t="str">
        <f t="shared" si="2852"/>
        <v>KFH-OPERATIONS DEPARTMENT</v>
      </c>
      <c r="F7045" t="str">
        <f t="shared" si="2853"/>
        <v>IBG</v>
      </c>
      <c r="G7045" t="str">
        <f t="shared" si="2866"/>
        <v>Refund COSHARE 10</v>
      </c>
      <c r="H7045" s="2">
        <v>839.5</v>
      </c>
      <c r="I7045" t="str">
        <f>"WAN ZAIZULARIME BIN WAN ZAKARIA"</f>
        <v>WAN ZAIZULARIME BIN WAN ZAKARIA</v>
      </c>
      <c r="J7045" t="str">
        <f t="shared" si="2867"/>
        <v>BANK SIMPANAN NASIONAL</v>
      </c>
      <c r="K7045" t="str">
        <f>"1111029000035362"</f>
        <v>1111029000035362</v>
      </c>
      <c r="L7045" t="str">
        <f t="shared" si="2874"/>
        <v>04-08-2020</v>
      </c>
      <c r="M7045" t="str">
        <f t="shared" si="2874"/>
        <v>04-08-2020</v>
      </c>
      <c r="N7045" t="str">
        <f t="shared" si="2854"/>
        <v>001105018356</v>
      </c>
      <c r="O7045" t="str">
        <f t="shared" si="2855"/>
        <v>MYR</v>
      </c>
      <c r="P7045" t="str">
        <f t="shared" si="2875"/>
        <v>NIL</v>
      </c>
      <c r="Q7045" t="str">
        <f t="shared" si="2875"/>
        <v>NIL</v>
      </c>
      <c r="R7045" t="str">
        <f t="shared" si="2870"/>
        <v>Accepted</v>
      </c>
      <c r="S7045" t="str">
        <f t="shared" si="2856"/>
        <v>Approved</v>
      </c>
      <c r="T7045" t="str">
        <f t="shared" si="2871"/>
        <v>10.20.8.188</v>
      </c>
      <c r="U7045" t="str">
        <f t="shared" si="2857"/>
        <v>AZRAD UMAR BIN SHAARI</v>
      </c>
      <c r="V7045" t="str">
        <f t="shared" si="2858"/>
        <v>FARHANA BINTI MUSTAPA</v>
      </c>
      <c r="W7045" t="str">
        <f t="shared" si="2859"/>
        <v>04-08-2020</v>
      </c>
      <c r="X7045" t="str">
        <f t="shared" si="2860"/>
        <v>RAZIMAH ANSAR AHMAD</v>
      </c>
      <c r="Y7045" t="str">
        <f t="shared" si="2861"/>
        <v>04-08-2020</v>
      </c>
      <c r="Z7045" t="str">
        <f>"COS10200804 2109"</f>
        <v>COS10200804 2109</v>
      </c>
    </row>
    <row r="7046" spans="1:26" x14ac:dyDescent="0.25">
      <c r="A7046" t="str">
        <f t="shared" si="2872"/>
        <v>04-08-2020 12:36:35</v>
      </c>
      <c r="B7046" t="str">
        <f>"0000803866"</f>
        <v>0000803866</v>
      </c>
      <c r="C7046" t="str">
        <f t="shared" si="2873"/>
        <v>0000803758</v>
      </c>
      <c r="D7046" t="str">
        <f t="shared" si="2851"/>
        <v>73185</v>
      </c>
      <c r="E7046" t="str">
        <f t="shared" si="2852"/>
        <v>KFH-OPERATIONS DEPARTMENT</v>
      </c>
      <c r="F7046" t="str">
        <f t="shared" si="2853"/>
        <v>IBG</v>
      </c>
      <c r="G7046" t="str">
        <f t="shared" si="2866"/>
        <v>Refund COSHARE 10</v>
      </c>
      <c r="H7046" s="2">
        <v>109.15</v>
      </c>
      <c r="I7046" t="str">
        <f>"WAN SHUHAILA BINTI WAN ABDULLAH"</f>
        <v>WAN SHUHAILA BINTI WAN ABDULLAH</v>
      </c>
      <c r="J7046" t="str">
        <f t="shared" si="2867"/>
        <v>BANK SIMPANAN NASIONAL</v>
      </c>
      <c r="K7046" t="str">
        <f>"0620029000058763"</f>
        <v>0620029000058763</v>
      </c>
      <c r="L7046" t="str">
        <f t="shared" si="2874"/>
        <v>04-08-2020</v>
      </c>
      <c r="M7046" t="str">
        <f t="shared" si="2874"/>
        <v>04-08-2020</v>
      </c>
      <c r="N7046" t="str">
        <f t="shared" si="2854"/>
        <v>001105018356</v>
      </c>
      <c r="O7046" t="str">
        <f t="shared" si="2855"/>
        <v>MYR</v>
      </c>
      <c r="P7046" t="str">
        <f t="shared" si="2875"/>
        <v>NIL</v>
      </c>
      <c r="Q7046" t="str">
        <f t="shared" si="2875"/>
        <v>NIL</v>
      </c>
      <c r="R7046" t="str">
        <f t="shared" si="2870"/>
        <v>Accepted</v>
      </c>
      <c r="S7046" t="str">
        <f t="shared" si="2856"/>
        <v>Approved</v>
      </c>
      <c r="T7046" t="str">
        <f t="shared" si="2871"/>
        <v>10.20.8.188</v>
      </c>
      <c r="U7046" t="str">
        <f t="shared" si="2857"/>
        <v>AZRAD UMAR BIN SHAARI</v>
      </c>
      <c r="V7046" t="str">
        <f t="shared" si="2858"/>
        <v>FARHANA BINTI MUSTAPA</v>
      </c>
      <c r="W7046" t="str">
        <f t="shared" si="2859"/>
        <v>04-08-2020</v>
      </c>
      <c r="X7046" t="str">
        <f t="shared" si="2860"/>
        <v>RAZIMAH ANSAR AHMAD</v>
      </c>
      <c r="Y7046" t="str">
        <f t="shared" si="2861"/>
        <v>04-08-2020</v>
      </c>
      <c r="Z7046" t="str">
        <f>"COS10200804 2108"</f>
        <v>COS10200804 2108</v>
      </c>
    </row>
    <row r="7047" spans="1:26" x14ac:dyDescent="0.25">
      <c r="A7047" t="str">
        <f t="shared" si="2872"/>
        <v>04-08-2020 12:36:35</v>
      </c>
      <c r="B7047" t="str">
        <f>"0000803865"</f>
        <v>0000803865</v>
      </c>
      <c r="C7047" t="str">
        <f t="shared" si="2873"/>
        <v>0000803758</v>
      </c>
      <c r="D7047" t="str">
        <f t="shared" ref="D7047:D7110" si="2876">"73185"</f>
        <v>73185</v>
      </c>
      <c r="E7047" t="str">
        <f t="shared" ref="E7047:E7110" si="2877">"KFH-OPERATIONS DEPARTMENT"</f>
        <v>KFH-OPERATIONS DEPARTMENT</v>
      </c>
      <c r="F7047" t="str">
        <f t="shared" ref="F7047:F7110" si="2878">"IBG"</f>
        <v>IBG</v>
      </c>
      <c r="G7047" t="str">
        <f t="shared" si="2866"/>
        <v>Refund COSHARE 10</v>
      </c>
      <c r="H7047" s="2">
        <v>217.7</v>
      </c>
      <c r="I7047" t="str">
        <f>"WAN ROHANA BINTI WAN ISMAIL"</f>
        <v>WAN ROHANA BINTI WAN ISMAIL</v>
      </c>
      <c r="J7047" t="str">
        <f t="shared" si="2867"/>
        <v>BANK SIMPANAN NASIONAL</v>
      </c>
      <c r="K7047" t="str">
        <f>"0610541000018073"</f>
        <v>0610541000018073</v>
      </c>
      <c r="L7047" t="str">
        <f t="shared" ref="L7047:M7066" si="2879">"04-08-2020"</f>
        <v>04-08-2020</v>
      </c>
      <c r="M7047" t="str">
        <f t="shared" si="2879"/>
        <v>04-08-2020</v>
      </c>
      <c r="N7047" t="str">
        <f t="shared" ref="N7047:N7110" si="2880">"001105018356"</f>
        <v>001105018356</v>
      </c>
      <c r="O7047" t="str">
        <f t="shared" ref="O7047:O7110" si="2881">"MYR"</f>
        <v>MYR</v>
      </c>
      <c r="P7047" t="str">
        <f t="shared" ref="P7047:Q7066" si="2882">"NIL"</f>
        <v>NIL</v>
      </c>
      <c r="Q7047" t="str">
        <f t="shared" si="2882"/>
        <v>NIL</v>
      </c>
      <c r="R7047" t="str">
        <f t="shared" si="2870"/>
        <v>Accepted</v>
      </c>
      <c r="S7047" t="str">
        <f t="shared" ref="S7047:S7110" si="2883">"Approved"</f>
        <v>Approved</v>
      </c>
      <c r="T7047" t="str">
        <f t="shared" si="2871"/>
        <v>10.20.8.188</v>
      </c>
      <c r="U7047" t="str">
        <f t="shared" ref="U7047:U7110" si="2884">"AZRAD UMAR BIN SHAARI"</f>
        <v>AZRAD UMAR BIN SHAARI</v>
      </c>
      <c r="V7047" t="str">
        <f t="shared" ref="V7047:V7110" si="2885">"FARHANA BINTI MUSTAPA"</f>
        <v>FARHANA BINTI MUSTAPA</v>
      </c>
      <c r="W7047" t="str">
        <f t="shared" ref="W7047:W7110" si="2886">"04-08-2020"</f>
        <v>04-08-2020</v>
      </c>
      <c r="X7047" t="str">
        <f t="shared" ref="X7047:X7110" si="2887">"RAZIMAH ANSAR AHMAD"</f>
        <v>RAZIMAH ANSAR AHMAD</v>
      </c>
      <c r="Y7047" t="str">
        <f t="shared" ref="Y7047:Y7110" si="2888">"04-08-2020"</f>
        <v>04-08-2020</v>
      </c>
      <c r="Z7047" t="str">
        <f>"COS10200804 2107"</f>
        <v>COS10200804 2107</v>
      </c>
    </row>
    <row r="7048" spans="1:26" x14ac:dyDescent="0.25">
      <c r="A7048" t="str">
        <f t="shared" si="2872"/>
        <v>04-08-2020 12:36:35</v>
      </c>
      <c r="B7048" t="str">
        <f>"0000803864"</f>
        <v>0000803864</v>
      </c>
      <c r="C7048" t="str">
        <f t="shared" si="2873"/>
        <v>0000803758</v>
      </c>
      <c r="D7048" t="str">
        <f t="shared" si="2876"/>
        <v>73185</v>
      </c>
      <c r="E7048" t="str">
        <f t="shared" si="2877"/>
        <v>KFH-OPERATIONS DEPARTMENT</v>
      </c>
      <c r="F7048" t="str">
        <f t="shared" si="2878"/>
        <v>IBG</v>
      </c>
      <c r="G7048" t="str">
        <f t="shared" si="2866"/>
        <v>Refund COSHARE 10</v>
      </c>
      <c r="H7048" s="2">
        <v>949</v>
      </c>
      <c r="I7048" t="str">
        <f>"WAN NUR AZRIN BINTI AZMAN"</f>
        <v>WAN NUR AZRIN BINTI AZMAN</v>
      </c>
      <c r="J7048" t="str">
        <f t="shared" si="2867"/>
        <v>BANK SIMPANAN NASIONAL</v>
      </c>
      <c r="K7048" t="str">
        <f>"0880029000134204"</f>
        <v>0880029000134204</v>
      </c>
      <c r="L7048" t="str">
        <f t="shared" si="2879"/>
        <v>04-08-2020</v>
      </c>
      <c r="M7048" t="str">
        <f t="shared" si="2879"/>
        <v>04-08-2020</v>
      </c>
      <c r="N7048" t="str">
        <f t="shared" si="2880"/>
        <v>001105018356</v>
      </c>
      <c r="O7048" t="str">
        <f t="shared" si="2881"/>
        <v>MYR</v>
      </c>
      <c r="P7048" t="str">
        <f t="shared" si="2882"/>
        <v>NIL</v>
      </c>
      <c r="Q7048" t="str">
        <f t="shared" si="2882"/>
        <v>NIL</v>
      </c>
      <c r="R7048" t="str">
        <f t="shared" si="2870"/>
        <v>Accepted</v>
      </c>
      <c r="S7048" t="str">
        <f t="shared" si="2883"/>
        <v>Approved</v>
      </c>
      <c r="T7048" t="str">
        <f t="shared" si="2871"/>
        <v>10.20.8.188</v>
      </c>
      <c r="U7048" t="str">
        <f t="shared" si="2884"/>
        <v>AZRAD UMAR BIN SHAARI</v>
      </c>
      <c r="V7048" t="str">
        <f t="shared" si="2885"/>
        <v>FARHANA BINTI MUSTAPA</v>
      </c>
      <c r="W7048" t="str">
        <f t="shared" si="2886"/>
        <v>04-08-2020</v>
      </c>
      <c r="X7048" t="str">
        <f t="shared" si="2887"/>
        <v>RAZIMAH ANSAR AHMAD</v>
      </c>
      <c r="Y7048" t="str">
        <f t="shared" si="2888"/>
        <v>04-08-2020</v>
      </c>
      <c r="Z7048" t="str">
        <f>"COS10200804 2106"</f>
        <v>COS10200804 2106</v>
      </c>
    </row>
    <row r="7049" spans="1:26" x14ac:dyDescent="0.25">
      <c r="A7049" t="str">
        <f t="shared" si="2872"/>
        <v>04-08-2020 12:36:35</v>
      </c>
      <c r="B7049" t="str">
        <f>"0000803863"</f>
        <v>0000803863</v>
      </c>
      <c r="C7049" t="str">
        <f t="shared" si="2873"/>
        <v>0000803758</v>
      </c>
      <c r="D7049" t="str">
        <f t="shared" si="2876"/>
        <v>73185</v>
      </c>
      <c r="E7049" t="str">
        <f t="shared" si="2877"/>
        <v>KFH-OPERATIONS DEPARTMENT</v>
      </c>
      <c r="F7049" t="str">
        <f t="shared" si="2878"/>
        <v>IBG</v>
      </c>
      <c r="G7049" t="str">
        <f t="shared" si="2866"/>
        <v>Refund COSHARE 10</v>
      </c>
      <c r="H7049" s="2">
        <v>839.5</v>
      </c>
      <c r="I7049" t="str">
        <f>"WAN NORIZAN BINTI WAN MOHD YUSOFF"</f>
        <v>WAN NORIZAN BINTI WAN MOHD YUSOFF</v>
      </c>
      <c r="J7049" t="str">
        <f t="shared" si="2867"/>
        <v>BANK SIMPANAN NASIONAL</v>
      </c>
      <c r="K7049" t="str">
        <f>"0310029000189713"</f>
        <v>0310029000189713</v>
      </c>
      <c r="L7049" t="str">
        <f t="shared" si="2879"/>
        <v>04-08-2020</v>
      </c>
      <c r="M7049" t="str">
        <f t="shared" si="2879"/>
        <v>04-08-2020</v>
      </c>
      <c r="N7049" t="str">
        <f t="shared" si="2880"/>
        <v>001105018356</v>
      </c>
      <c r="O7049" t="str">
        <f t="shared" si="2881"/>
        <v>MYR</v>
      </c>
      <c r="P7049" t="str">
        <f t="shared" si="2882"/>
        <v>NIL</v>
      </c>
      <c r="Q7049" t="str">
        <f t="shared" si="2882"/>
        <v>NIL</v>
      </c>
      <c r="R7049" t="str">
        <f t="shared" si="2870"/>
        <v>Accepted</v>
      </c>
      <c r="S7049" t="str">
        <f t="shared" si="2883"/>
        <v>Approved</v>
      </c>
      <c r="T7049" t="str">
        <f t="shared" si="2871"/>
        <v>10.20.8.188</v>
      </c>
      <c r="U7049" t="str">
        <f t="shared" si="2884"/>
        <v>AZRAD UMAR BIN SHAARI</v>
      </c>
      <c r="V7049" t="str">
        <f t="shared" si="2885"/>
        <v>FARHANA BINTI MUSTAPA</v>
      </c>
      <c r="W7049" t="str">
        <f t="shared" si="2886"/>
        <v>04-08-2020</v>
      </c>
      <c r="X7049" t="str">
        <f t="shared" si="2887"/>
        <v>RAZIMAH ANSAR AHMAD</v>
      </c>
      <c r="Y7049" t="str">
        <f t="shared" si="2888"/>
        <v>04-08-2020</v>
      </c>
      <c r="Z7049" t="str">
        <f>"COS10200804 2105"</f>
        <v>COS10200804 2105</v>
      </c>
    </row>
    <row r="7050" spans="1:26" x14ac:dyDescent="0.25">
      <c r="A7050" t="str">
        <f t="shared" ref="A7050:A7081" si="2889">"04-08-2020 12:36:35"</f>
        <v>04-08-2020 12:36:35</v>
      </c>
      <c r="B7050" t="str">
        <f>"0000803862"</f>
        <v>0000803862</v>
      </c>
      <c r="C7050" t="str">
        <f t="shared" ref="C7050:C7081" si="2890">"0000803758"</f>
        <v>0000803758</v>
      </c>
      <c r="D7050" t="str">
        <f t="shared" si="2876"/>
        <v>73185</v>
      </c>
      <c r="E7050" t="str">
        <f t="shared" si="2877"/>
        <v>KFH-OPERATIONS DEPARTMENT</v>
      </c>
      <c r="F7050" t="str">
        <f t="shared" si="2878"/>
        <v>IBG</v>
      </c>
      <c r="G7050" t="str">
        <f t="shared" si="2866"/>
        <v>Refund COSHARE 10</v>
      </c>
      <c r="H7050" s="2">
        <v>436.55</v>
      </c>
      <c r="I7050" t="str">
        <f>"WAN NORHAMIZAH BINTI WAN IBRAHIM"</f>
        <v>WAN NORHAMIZAH BINTI WAN IBRAHIM</v>
      </c>
      <c r="J7050" t="str">
        <f t="shared" si="2867"/>
        <v>BANK SIMPANAN NASIONAL</v>
      </c>
      <c r="K7050" t="str">
        <f>"1111529000042386"</f>
        <v>1111529000042386</v>
      </c>
      <c r="L7050" t="str">
        <f t="shared" si="2879"/>
        <v>04-08-2020</v>
      </c>
      <c r="M7050" t="str">
        <f t="shared" si="2879"/>
        <v>04-08-2020</v>
      </c>
      <c r="N7050" t="str">
        <f t="shared" si="2880"/>
        <v>001105018356</v>
      </c>
      <c r="O7050" t="str">
        <f t="shared" si="2881"/>
        <v>MYR</v>
      </c>
      <c r="P7050" t="str">
        <f t="shared" si="2882"/>
        <v>NIL</v>
      </c>
      <c r="Q7050" t="str">
        <f t="shared" si="2882"/>
        <v>NIL</v>
      </c>
      <c r="R7050" t="str">
        <f t="shared" si="2870"/>
        <v>Accepted</v>
      </c>
      <c r="S7050" t="str">
        <f t="shared" si="2883"/>
        <v>Approved</v>
      </c>
      <c r="T7050" t="str">
        <f t="shared" si="2871"/>
        <v>10.20.8.188</v>
      </c>
      <c r="U7050" t="str">
        <f t="shared" si="2884"/>
        <v>AZRAD UMAR BIN SHAARI</v>
      </c>
      <c r="V7050" t="str">
        <f t="shared" si="2885"/>
        <v>FARHANA BINTI MUSTAPA</v>
      </c>
      <c r="W7050" t="str">
        <f t="shared" si="2886"/>
        <v>04-08-2020</v>
      </c>
      <c r="X7050" t="str">
        <f t="shared" si="2887"/>
        <v>RAZIMAH ANSAR AHMAD</v>
      </c>
      <c r="Y7050" t="str">
        <f t="shared" si="2888"/>
        <v>04-08-2020</v>
      </c>
      <c r="Z7050" t="str">
        <f>"COS10200804 2104"</f>
        <v>COS10200804 2104</v>
      </c>
    </row>
    <row r="7051" spans="1:26" x14ac:dyDescent="0.25">
      <c r="A7051" t="str">
        <f t="shared" si="2889"/>
        <v>04-08-2020 12:36:35</v>
      </c>
      <c r="B7051" t="str">
        <f>"0000803861"</f>
        <v>0000803861</v>
      </c>
      <c r="C7051" t="str">
        <f t="shared" si="2890"/>
        <v>0000803758</v>
      </c>
      <c r="D7051" t="str">
        <f t="shared" si="2876"/>
        <v>73185</v>
      </c>
      <c r="E7051" t="str">
        <f t="shared" si="2877"/>
        <v>KFH-OPERATIONS DEPARTMENT</v>
      </c>
      <c r="F7051" t="str">
        <f t="shared" si="2878"/>
        <v>IBG</v>
      </c>
      <c r="G7051" t="str">
        <f t="shared" si="2866"/>
        <v>Refund COSHARE 10</v>
      </c>
      <c r="H7051" s="2">
        <v>537.29999999999995</v>
      </c>
      <c r="I7051" t="str">
        <f>"WAN MOHD SHAFIQ BIN WAN HASSAN"</f>
        <v>WAN MOHD SHAFIQ BIN WAN HASSAN</v>
      </c>
      <c r="J7051" t="str">
        <f t="shared" si="2867"/>
        <v>BANK SIMPANAN NASIONAL</v>
      </c>
      <c r="K7051" t="str">
        <f>"0510441000039335"</f>
        <v>0510441000039335</v>
      </c>
      <c r="L7051" t="str">
        <f t="shared" si="2879"/>
        <v>04-08-2020</v>
      </c>
      <c r="M7051" t="str">
        <f t="shared" si="2879"/>
        <v>04-08-2020</v>
      </c>
      <c r="N7051" t="str">
        <f t="shared" si="2880"/>
        <v>001105018356</v>
      </c>
      <c r="O7051" t="str">
        <f t="shared" si="2881"/>
        <v>MYR</v>
      </c>
      <c r="P7051" t="str">
        <f t="shared" si="2882"/>
        <v>NIL</v>
      </c>
      <c r="Q7051" t="str">
        <f t="shared" si="2882"/>
        <v>NIL</v>
      </c>
      <c r="R7051" t="str">
        <f t="shared" si="2870"/>
        <v>Accepted</v>
      </c>
      <c r="S7051" t="str">
        <f t="shared" si="2883"/>
        <v>Approved</v>
      </c>
      <c r="T7051" t="str">
        <f t="shared" si="2871"/>
        <v>10.20.8.188</v>
      </c>
      <c r="U7051" t="str">
        <f t="shared" si="2884"/>
        <v>AZRAD UMAR BIN SHAARI</v>
      </c>
      <c r="V7051" t="str">
        <f t="shared" si="2885"/>
        <v>FARHANA BINTI MUSTAPA</v>
      </c>
      <c r="W7051" t="str">
        <f t="shared" si="2886"/>
        <v>04-08-2020</v>
      </c>
      <c r="X7051" t="str">
        <f t="shared" si="2887"/>
        <v>RAZIMAH ANSAR AHMAD</v>
      </c>
      <c r="Y7051" t="str">
        <f t="shared" si="2888"/>
        <v>04-08-2020</v>
      </c>
      <c r="Z7051" t="str">
        <f>"COS10200804 2103"</f>
        <v>COS10200804 2103</v>
      </c>
    </row>
    <row r="7052" spans="1:26" x14ac:dyDescent="0.25">
      <c r="A7052" t="str">
        <f t="shared" si="2889"/>
        <v>04-08-2020 12:36:35</v>
      </c>
      <c r="B7052" t="str">
        <f>"0000803860"</f>
        <v>0000803860</v>
      </c>
      <c r="C7052" t="str">
        <f t="shared" si="2890"/>
        <v>0000803758</v>
      </c>
      <c r="D7052" t="str">
        <f t="shared" si="2876"/>
        <v>73185</v>
      </c>
      <c r="E7052" t="str">
        <f t="shared" si="2877"/>
        <v>KFH-OPERATIONS DEPARTMENT</v>
      </c>
      <c r="F7052" t="str">
        <f t="shared" si="2878"/>
        <v>IBG</v>
      </c>
      <c r="G7052" t="str">
        <f t="shared" ref="G7052:G7115" si="2891">"Refund COSHARE 10"</f>
        <v>Refund COSHARE 10</v>
      </c>
      <c r="H7052" s="2">
        <v>58</v>
      </c>
      <c r="I7052" t="str">
        <f>"WAN KASMONI BINTI WAN ISMAIL"</f>
        <v>WAN KASMONI BINTI WAN ISMAIL</v>
      </c>
      <c r="J7052" t="str">
        <f t="shared" si="2867"/>
        <v>BANK SIMPANAN NASIONAL</v>
      </c>
      <c r="K7052" t="str">
        <f>"1416329000021795"</f>
        <v>1416329000021795</v>
      </c>
      <c r="L7052" t="str">
        <f t="shared" si="2879"/>
        <v>04-08-2020</v>
      </c>
      <c r="M7052" t="str">
        <f t="shared" si="2879"/>
        <v>04-08-2020</v>
      </c>
      <c r="N7052" t="str">
        <f t="shared" si="2880"/>
        <v>001105018356</v>
      </c>
      <c r="O7052" t="str">
        <f t="shared" si="2881"/>
        <v>MYR</v>
      </c>
      <c r="P7052" t="str">
        <f t="shared" si="2882"/>
        <v>NIL</v>
      </c>
      <c r="Q7052" t="str">
        <f t="shared" si="2882"/>
        <v>NIL</v>
      </c>
      <c r="R7052" t="str">
        <f t="shared" si="2870"/>
        <v>Accepted</v>
      </c>
      <c r="S7052" t="str">
        <f t="shared" si="2883"/>
        <v>Approved</v>
      </c>
      <c r="T7052" t="str">
        <f t="shared" si="2871"/>
        <v>10.20.8.188</v>
      </c>
      <c r="U7052" t="str">
        <f t="shared" si="2884"/>
        <v>AZRAD UMAR BIN SHAARI</v>
      </c>
      <c r="V7052" t="str">
        <f t="shared" si="2885"/>
        <v>FARHANA BINTI MUSTAPA</v>
      </c>
      <c r="W7052" t="str">
        <f t="shared" si="2886"/>
        <v>04-08-2020</v>
      </c>
      <c r="X7052" t="str">
        <f t="shared" si="2887"/>
        <v>RAZIMAH ANSAR AHMAD</v>
      </c>
      <c r="Y7052" t="str">
        <f t="shared" si="2888"/>
        <v>04-08-2020</v>
      </c>
      <c r="Z7052" t="str">
        <f>"COS10200804 2102"</f>
        <v>COS10200804 2102</v>
      </c>
    </row>
    <row r="7053" spans="1:26" x14ac:dyDescent="0.25">
      <c r="A7053" t="str">
        <f t="shared" si="2889"/>
        <v>04-08-2020 12:36:35</v>
      </c>
      <c r="B7053" t="str">
        <f>"0000803859"</f>
        <v>0000803859</v>
      </c>
      <c r="C7053" t="str">
        <f t="shared" si="2890"/>
        <v>0000803758</v>
      </c>
      <c r="D7053" t="str">
        <f t="shared" si="2876"/>
        <v>73185</v>
      </c>
      <c r="E7053" t="str">
        <f t="shared" si="2877"/>
        <v>KFH-OPERATIONS DEPARTMENT</v>
      </c>
      <c r="F7053" t="str">
        <f t="shared" si="2878"/>
        <v>IBG</v>
      </c>
      <c r="G7053" t="str">
        <f t="shared" si="2891"/>
        <v>Refund COSHARE 10</v>
      </c>
      <c r="H7053" s="2">
        <v>755.55</v>
      </c>
      <c r="I7053" t="str">
        <f>"WAN HASMANIZAM BIN WAN HASSAN"</f>
        <v>WAN HASMANIZAM BIN WAN HASSAN</v>
      </c>
      <c r="J7053" t="str">
        <f t="shared" si="2867"/>
        <v>BANK SIMPANAN NASIONAL</v>
      </c>
      <c r="K7053" t="str">
        <f>"1110529000043281"</f>
        <v>1110529000043281</v>
      </c>
      <c r="L7053" t="str">
        <f t="shared" si="2879"/>
        <v>04-08-2020</v>
      </c>
      <c r="M7053" t="str">
        <f t="shared" si="2879"/>
        <v>04-08-2020</v>
      </c>
      <c r="N7053" t="str">
        <f t="shared" si="2880"/>
        <v>001105018356</v>
      </c>
      <c r="O7053" t="str">
        <f t="shared" si="2881"/>
        <v>MYR</v>
      </c>
      <c r="P7053" t="str">
        <f t="shared" si="2882"/>
        <v>NIL</v>
      </c>
      <c r="Q7053" t="str">
        <f t="shared" si="2882"/>
        <v>NIL</v>
      </c>
      <c r="R7053" t="str">
        <f t="shared" si="2870"/>
        <v>Accepted</v>
      </c>
      <c r="S7053" t="str">
        <f t="shared" si="2883"/>
        <v>Approved</v>
      </c>
      <c r="T7053" t="str">
        <f t="shared" si="2871"/>
        <v>10.20.8.188</v>
      </c>
      <c r="U7053" t="str">
        <f t="shared" si="2884"/>
        <v>AZRAD UMAR BIN SHAARI</v>
      </c>
      <c r="V7053" t="str">
        <f t="shared" si="2885"/>
        <v>FARHANA BINTI MUSTAPA</v>
      </c>
      <c r="W7053" t="str">
        <f t="shared" si="2886"/>
        <v>04-08-2020</v>
      </c>
      <c r="X7053" t="str">
        <f t="shared" si="2887"/>
        <v>RAZIMAH ANSAR AHMAD</v>
      </c>
      <c r="Y7053" t="str">
        <f t="shared" si="2888"/>
        <v>04-08-2020</v>
      </c>
      <c r="Z7053" t="str">
        <f>"COS10200804 2101"</f>
        <v>COS10200804 2101</v>
      </c>
    </row>
    <row r="7054" spans="1:26" x14ac:dyDescent="0.25">
      <c r="A7054" t="str">
        <f t="shared" si="2889"/>
        <v>04-08-2020 12:36:35</v>
      </c>
      <c r="B7054" t="str">
        <f>"0000803858"</f>
        <v>0000803858</v>
      </c>
      <c r="C7054" t="str">
        <f t="shared" si="2890"/>
        <v>0000803758</v>
      </c>
      <c r="D7054" t="str">
        <f t="shared" si="2876"/>
        <v>73185</v>
      </c>
      <c r="E7054" t="str">
        <f t="shared" si="2877"/>
        <v>KFH-OPERATIONS DEPARTMENT</v>
      </c>
      <c r="F7054" t="str">
        <f t="shared" si="2878"/>
        <v>IBG</v>
      </c>
      <c r="G7054" t="str">
        <f t="shared" si="2891"/>
        <v>Refund COSHARE 10</v>
      </c>
      <c r="H7054" s="2">
        <v>274.5</v>
      </c>
      <c r="I7054" t="str">
        <f>"WAN AZIRAH BINTI WAN AHMAD"</f>
        <v>WAN AZIRAH BINTI WAN AHMAD</v>
      </c>
      <c r="J7054" t="str">
        <f t="shared" si="2867"/>
        <v>BANK SIMPANAN NASIONAL</v>
      </c>
      <c r="K7054" t="str">
        <f>"0310029876231956"</f>
        <v>0310029876231956</v>
      </c>
      <c r="L7054" t="str">
        <f t="shared" si="2879"/>
        <v>04-08-2020</v>
      </c>
      <c r="M7054" t="str">
        <f t="shared" si="2879"/>
        <v>04-08-2020</v>
      </c>
      <c r="N7054" t="str">
        <f t="shared" si="2880"/>
        <v>001105018356</v>
      </c>
      <c r="O7054" t="str">
        <f t="shared" si="2881"/>
        <v>MYR</v>
      </c>
      <c r="P7054" t="str">
        <f t="shared" si="2882"/>
        <v>NIL</v>
      </c>
      <c r="Q7054" t="str">
        <f t="shared" si="2882"/>
        <v>NIL</v>
      </c>
      <c r="R7054" t="str">
        <f t="shared" si="2870"/>
        <v>Accepted</v>
      </c>
      <c r="S7054" t="str">
        <f t="shared" si="2883"/>
        <v>Approved</v>
      </c>
      <c r="T7054" t="str">
        <f t="shared" si="2871"/>
        <v>10.20.8.188</v>
      </c>
      <c r="U7054" t="str">
        <f t="shared" si="2884"/>
        <v>AZRAD UMAR BIN SHAARI</v>
      </c>
      <c r="V7054" t="str">
        <f t="shared" si="2885"/>
        <v>FARHANA BINTI MUSTAPA</v>
      </c>
      <c r="W7054" t="str">
        <f t="shared" si="2886"/>
        <v>04-08-2020</v>
      </c>
      <c r="X7054" t="str">
        <f t="shared" si="2887"/>
        <v>RAZIMAH ANSAR AHMAD</v>
      </c>
      <c r="Y7054" t="str">
        <f t="shared" si="2888"/>
        <v>04-08-2020</v>
      </c>
      <c r="Z7054" t="str">
        <f>"COS10200804 2100"</f>
        <v>COS10200804 2100</v>
      </c>
    </row>
    <row r="7055" spans="1:26" x14ac:dyDescent="0.25">
      <c r="A7055" t="str">
        <f t="shared" si="2889"/>
        <v>04-08-2020 12:36:35</v>
      </c>
      <c r="B7055" t="str">
        <f>"0000803857"</f>
        <v>0000803857</v>
      </c>
      <c r="C7055" t="str">
        <f t="shared" si="2890"/>
        <v>0000803758</v>
      </c>
      <c r="D7055" t="str">
        <f t="shared" si="2876"/>
        <v>73185</v>
      </c>
      <c r="E7055" t="str">
        <f t="shared" si="2877"/>
        <v>KFH-OPERATIONS DEPARTMENT</v>
      </c>
      <c r="F7055" t="str">
        <f t="shared" si="2878"/>
        <v>IBG</v>
      </c>
      <c r="G7055" t="str">
        <f t="shared" si="2891"/>
        <v>Refund COSHARE 10</v>
      </c>
      <c r="H7055" s="2">
        <v>239</v>
      </c>
      <c r="I7055" t="str">
        <f>"WAN AZDI BIN SOHAIMI"</f>
        <v>WAN AZDI BIN SOHAIMI</v>
      </c>
      <c r="J7055" t="str">
        <f t="shared" si="2867"/>
        <v>BANK SIMPANAN NASIONAL</v>
      </c>
      <c r="K7055" t="str">
        <f>"1419841000016716"</f>
        <v>1419841000016716</v>
      </c>
      <c r="L7055" t="str">
        <f t="shared" si="2879"/>
        <v>04-08-2020</v>
      </c>
      <c r="M7055" t="str">
        <f t="shared" si="2879"/>
        <v>04-08-2020</v>
      </c>
      <c r="N7055" t="str">
        <f t="shared" si="2880"/>
        <v>001105018356</v>
      </c>
      <c r="O7055" t="str">
        <f t="shared" si="2881"/>
        <v>MYR</v>
      </c>
      <c r="P7055" t="str">
        <f t="shared" si="2882"/>
        <v>NIL</v>
      </c>
      <c r="Q7055" t="str">
        <f t="shared" si="2882"/>
        <v>NIL</v>
      </c>
      <c r="R7055" t="str">
        <f t="shared" si="2870"/>
        <v>Accepted</v>
      </c>
      <c r="S7055" t="str">
        <f t="shared" si="2883"/>
        <v>Approved</v>
      </c>
      <c r="T7055" t="str">
        <f t="shared" si="2871"/>
        <v>10.20.8.188</v>
      </c>
      <c r="U7055" t="str">
        <f t="shared" si="2884"/>
        <v>AZRAD UMAR BIN SHAARI</v>
      </c>
      <c r="V7055" t="str">
        <f t="shared" si="2885"/>
        <v>FARHANA BINTI MUSTAPA</v>
      </c>
      <c r="W7055" t="str">
        <f t="shared" si="2886"/>
        <v>04-08-2020</v>
      </c>
      <c r="X7055" t="str">
        <f t="shared" si="2887"/>
        <v>RAZIMAH ANSAR AHMAD</v>
      </c>
      <c r="Y7055" t="str">
        <f t="shared" si="2888"/>
        <v>04-08-2020</v>
      </c>
      <c r="Z7055" t="str">
        <f>"COS10200804 2099"</f>
        <v>COS10200804 2099</v>
      </c>
    </row>
    <row r="7056" spans="1:26" x14ac:dyDescent="0.25">
      <c r="A7056" t="str">
        <f t="shared" si="2889"/>
        <v>04-08-2020 12:36:35</v>
      </c>
      <c r="B7056" t="str">
        <f>"0000803856"</f>
        <v>0000803856</v>
      </c>
      <c r="C7056" t="str">
        <f t="shared" si="2890"/>
        <v>0000803758</v>
      </c>
      <c r="D7056" t="str">
        <f t="shared" si="2876"/>
        <v>73185</v>
      </c>
      <c r="E7056" t="str">
        <f t="shared" si="2877"/>
        <v>KFH-OPERATIONS DEPARTMENT</v>
      </c>
      <c r="F7056" t="str">
        <f t="shared" si="2878"/>
        <v>IBG</v>
      </c>
      <c r="G7056" t="str">
        <f t="shared" si="2891"/>
        <v>Refund COSHARE 10</v>
      </c>
      <c r="H7056" s="2">
        <v>76.25</v>
      </c>
      <c r="I7056" t="str">
        <f>"WAN ABDUL FATAH BIN WAN YUSOFF"</f>
        <v>WAN ABDUL FATAH BIN WAN YUSOFF</v>
      </c>
      <c r="J7056" t="str">
        <f t="shared" si="2867"/>
        <v>BANK SIMPANAN NASIONAL</v>
      </c>
      <c r="K7056" t="str">
        <f>"0310041000159007"</f>
        <v>0310041000159007</v>
      </c>
      <c r="L7056" t="str">
        <f t="shared" si="2879"/>
        <v>04-08-2020</v>
      </c>
      <c r="M7056" t="str">
        <f t="shared" si="2879"/>
        <v>04-08-2020</v>
      </c>
      <c r="N7056" t="str">
        <f t="shared" si="2880"/>
        <v>001105018356</v>
      </c>
      <c r="O7056" t="str">
        <f t="shared" si="2881"/>
        <v>MYR</v>
      </c>
      <c r="P7056" t="str">
        <f t="shared" si="2882"/>
        <v>NIL</v>
      </c>
      <c r="Q7056" t="str">
        <f t="shared" si="2882"/>
        <v>NIL</v>
      </c>
      <c r="R7056" t="str">
        <f t="shared" si="2870"/>
        <v>Accepted</v>
      </c>
      <c r="S7056" t="str">
        <f t="shared" si="2883"/>
        <v>Approved</v>
      </c>
      <c r="T7056" t="str">
        <f t="shared" si="2871"/>
        <v>10.20.8.188</v>
      </c>
      <c r="U7056" t="str">
        <f t="shared" si="2884"/>
        <v>AZRAD UMAR BIN SHAARI</v>
      </c>
      <c r="V7056" t="str">
        <f t="shared" si="2885"/>
        <v>FARHANA BINTI MUSTAPA</v>
      </c>
      <c r="W7056" t="str">
        <f t="shared" si="2886"/>
        <v>04-08-2020</v>
      </c>
      <c r="X7056" t="str">
        <f t="shared" si="2887"/>
        <v>RAZIMAH ANSAR AHMAD</v>
      </c>
      <c r="Y7056" t="str">
        <f t="shared" si="2888"/>
        <v>04-08-2020</v>
      </c>
      <c r="Z7056" t="str">
        <f>"COS10200804 2098"</f>
        <v>COS10200804 2098</v>
      </c>
    </row>
    <row r="7057" spans="1:26" x14ac:dyDescent="0.25">
      <c r="A7057" t="str">
        <f t="shared" si="2889"/>
        <v>04-08-2020 12:36:35</v>
      </c>
      <c r="B7057" t="str">
        <f>"0000803855"</f>
        <v>0000803855</v>
      </c>
      <c r="C7057" t="str">
        <f t="shared" si="2890"/>
        <v>0000803758</v>
      </c>
      <c r="D7057" t="str">
        <f t="shared" si="2876"/>
        <v>73185</v>
      </c>
      <c r="E7057" t="str">
        <f t="shared" si="2877"/>
        <v>KFH-OPERATIONS DEPARTMENT</v>
      </c>
      <c r="F7057" t="str">
        <f t="shared" si="2878"/>
        <v>IBG</v>
      </c>
      <c r="G7057" t="str">
        <f t="shared" si="2891"/>
        <v>Refund COSHARE 10</v>
      </c>
      <c r="H7057" s="2">
        <v>915</v>
      </c>
      <c r="I7057" t="str">
        <f>"WAN AB RAHIM BIN W ISMAIL"</f>
        <v>WAN AB RAHIM BIN W ISMAIL</v>
      </c>
      <c r="J7057" t="str">
        <f t="shared" si="2867"/>
        <v>BANK SIMPANAN NASIONAL</v>
      </c>
      <c r="K7057" t="str">
        <f>"1140029000118709"</f>
        <v>1140029000118709</v>
      </c>
      <c r="L7057" t="str">
        <f t="shared" si="2879"/>
        <v>04-08-2020</v>
      </c>
      <c r="M7057" t="str">
        <f t="shared" si="2879"/>
        <v>04-08-2020</v>
      </c>
      <c r="N7057" t="str">
        <f t="shared" si="2880"/>
        <v>001105018356</v>
      </c>
      <c r="O7057" t="str">
        <f t="shared" si="2881"/>
        <v>MYR</v>
      </c>
      <c r="P7057" t="str">
        <f t="shared" si="2882"/>
        <v>NIL</v>
      </c>
      <c r="Q7057" t="str">
        <f t="shared" si="2882"/>
        <v>NIL</v>
      </c>
      <c r="R7057" t="str">
        <f t="shared" si="2870"/>
        <v>Accepted</v>
      </c>
      <c r="S7057" t="str">
        <f t="shared" si="2883"/>
        <v>Approved</v>
      </c>
      <c r="T7057" t="str">
        <f t="shared" si="2871"/>
        <v>10.20.8.188</v>
      </c>
      <c r="U7057" t="str">
        <f t="shared" si="2884"/>
        <v>AZRAD UMAR BIN SHAARI</v>
      </c>
      <c r="V7057" t="str">
        <f t="shared" si="2885"/>
        <v>FARHANA BINTI MUSTAPA</v>
      </c>
      <c r="W7057" t="str">
        <f t="shared" si="2886"/>
        <v>04-08-2020</v>
      </c>
      <c r="X7057" t="str">
        <f t="shared" si="2887"/>
        <v>RAZIMAH ANSAR AHMAD</v>
      </c>
      <c r="Y7057" t="str">
        <f t="shared" si="2888"/>
        <v>04-08-2020</v>
      </c>
      <c r="Z7057" t="str">
        <f>"COS10200804 2097"</f>
        <v>COS10200804 2097</v>
      </c>
    </row>
    <row r="7058" spans="1:26" x14ac:dyDescent="0.25">
      <c r="A7058" t="str">
        <f t="shared" si="2889"/>
        <v>04-08-2020 12:36:35</v>
      </c>
      <c r="B7058" t="str">
        <f>"0000803854"</f>
        <v>0000803854</v>
      </c>
      <c r="C7058" t="str">
        <f t="shared" si="2890"/>
        <v>0000803758</v>
      </c>
      <c r="D7058" t="str">
        <f t="shared" si="2876"/>
        <v>73185</v>
      </c>
      <c r="E7058" t="str">
        <f t="shared" si="2877"/>
        <v>KFH-OPERATIONS DEPARTMENT</v>
      </c>
      <c r="F7058" t="str">
        <f t="shared" si="2878"/>
        <v>IBG</v>
      </c>
      <c r="G7058" t="str">
        <f t="shared" si="2891"/>
        <v>Refund COSHARE 10</v>
      </c>
      <c r="H7058" s="2">
        <v>193.1</v>
      </c>
      <c r="I7058" t="str">
        <f>"WAHIDAH BINTI ABD WAHAB"</f>
        <v>WAHIDAH BINTI ABD WAHAB</v>
      </c>
      <c r="J7058" t="str">
        <f t="shared" si="2867"/>
        <v>BANK SIMPANAN NASIONAL</v>
      </c>
      <c r="K7058" t="str">
        <f>"0113829000047647"</f>
        <v>0113829000047647</v>
      </c>
      <c r="L7058" t="str">
        <f t="shared" si="2879"/>
        <v>04-08-2020</v>
      </c>
      <c r="M7058" t="str">
        <f t="shared" si="2879"/>
        <v>04-08-2020</v>
      </c>
      <c r="N7058" t="str">
        <f t="shared" si="2880"/>
        <v>001105018356</v>
      </c>
      <c r="O7058" t="str">
        <f t="shared" si="2881"/>
        <v>MYR</v>
      </c>
      <c r="P7058" t="str">
        <f t="shared" si="2882"/>
        <v>NIL</v>
      </c>
      <c r="Q7058" t="str">
        <f t="shared" si="2882"/>
        <v>NIL</v>
      </c>
      <c r="R7058" t="str">
        <f t="shared" si="2870"/>
        <v>Accepted</v>
      </c>
      <c r="S7058" t="str">
        <f t="shared" si="2883"/>
        <v>Approved</v>
      </c>
      <c r="T7058" t="str">
        <f t="shared" si="2871"/>
        <v>10.20.8.188</v>
      </c>
      <c r="U7058" t="str">
        <f t="shared" si="2884"/>
        <v>AZRAD UMAR BIN SHAARI</v>
      </c>
      <c r="V7058" t="str">
        <f t="shared" si="2885"/>
        <v>FARHANA BINTI MUSTAPA</v>
      </c>
      <c r="W7058" t="str">
        <f t="shared" si="2886"/>
        <v>04-08-2020</v>
      </c>
      <c r="X7058" t="str">
        <f t="shared" si="2887"/>
        <v>RAZIMAH ANSAR AHMAD</v>
      </c>
      <c r="Y7058" t="str">
        <f t="shared" si="2888"/>
        <v>04-08-2020</v>
      </c>
      <c r="Z7058" t="str">
        <f>"COS10200804 2096"</f>
        <v>COS10200804 2096</v>
      </c>
    </row>
    <row r="7059" spans="1:26" x14ac:dyDescent="0.25">
      <c r="A7059" t="str">
        <f t="shared" si="2889"/>
        <v>04-08-2020 12:36:35</v>
      </c>
      <c r="B7059" t="str">
        <f>"0000803853"</f>
        <v>0000803853</v>
      </c>
      <c r="C7059" t="str">
        <f t="shared" si="2890"/>
        <v>0000803758</v>
      </c>
      <c r="D7059" t="str">
        <f t="shared" si="2876"/>
        <v>73185</v>
      </c>
      <c r="E7059" t="str">
        <f t="shared" si="2877"/>
        <v>KFH-OPERATIONS DEPARTMENT</v>
      </c>
      <c r="F7059" t="str">
        <f t="shared" si="2878"/>
        <v>IBG</v>
      </c>
      <c r="G7059" t="str">
        <f t="shared" si="2891"/>
        <v>Refund COSHARE 10</v>
      </c>
      <c r="H7059" s="2">
        <v>271</v>
      </c>
      <c r="I7059" t="str">
        <f>"WAHAB AK BUNYEH"</f>
        <v>WAHAB AK BUNYEH</v>
      </c>
      <c r="J7059" t="str">
        <f t="shared" si="2867"/>
        <v>BANK SIMPANAN NASIONAL</v>
      </c>
      <c r="K7059" t="str">
        <f>"1310029000223219"</f>
        <v>1310029000223219</v>
      </c>
      <c r="L7059" t="str">
        <f t="shared" si="2879"/>
        <v>04-08-2020</v>
      </c>
      <c r="M7059" t="str">
        <f t="shared" si="2879"/>
        <v>04-08-2020</v>
      </c>
      <c r="N7059" t="str">
        <f t="shared" si="2880"/>
        <v>001105018356</v>
      </c>
      <c r="O7059" t="str">
        <f t="shared" si="2881"/>
        <v>MYR</v>
      </c>
      <c r="P7059" t="str">
        <f t="shared" si="2882"/>
        <v>NIL</v>
      </c>
      <c r="Q7059" t="str">
        <f t="shared" si="2882"/>
        <v>NIL</v>
      </c>
      <c r="R7059" t="str">
        <f t="shared" si="2870"/>
        <v>Accepted</v>
      </c>
      <c r="S7059" t="str">
        <f t="shared" si="2883"/>
        <v>Approved</v>
      </c>
      <c r="T7059" t="str">
        <f t="shared" si="2871"/>
        <v>10.20.8.188</v>
      </c>
      <c r="U7059" t="str">
        <f t="shared" si="2884"/>
        <v>AZRAD UMAR BIN SHAARI</v>
      </c>
      <c r="V7059" t="str">
        <f t="shared" si="2885"/>
        <v>FARHANA BINTI MUSTAPA</v>
      </c>
      <c r="W7059" t="str">
        <f t="shared" si="2886"/>
        <v>04-08-2020</v>
      </c>
      <c r="X7059" t="str">
        <f t="shared" si="2887"/>
        <v>RAZIMAH ANSAR AHMAD</v>
      </c>
      <c r="Y7059" t="str">
        <f t="shared" si="2888"/>
        <v>04-08-2020</v>
      </c>
      <c r="Z7059" t="str">
        <f>"COS10200804 2095"</f>
        <v>COS10200804 2095</v>
      </c>
    </row>
    <row r="7060" spans="1:26" x14ac:dyDescent="0.25">
      <c r="A7060" t="str">
        <f t="shared" si="2889"/>
        <v>04-08-2020 12:36:35</v>
      </c>
      <c r="B7060" t="str">
        <f>"0000803852"</f>
        <v>0000803852</v>
      </c>
      <c r="C7060" t="str">
        <f t="shared" si="2890"/>
        <v>0000803758</v>
      </c>
      <c r="D7060" t="str">
        <f t="shared" si="2876"/>
        <v>73185</v>
      </c>
      <c r="E7060" t="str">
        <f t="shared" si="2877"/>
        <v>KFH-OPERATIONS DEPARTMENT</v>
      </c>
      <c r="F7060" t="str">
        <f t="shared" si="2878"/>
        <v>IBG</v>
      </c>
      <c r="G7060" t="str">
        <f t="shared" si="2891"/>
        <v>Refund COSHARE 10</v>
      </c>
      <c r="H7060" s="2">
        <v>179.85</v>
      </c>
      <c r="I7060" t="str">
        <f>"W AKLIM NORAZILAWATY BINTI WAN AHMAD"</f>
        <v>W AKLIM NORAZILAWATY BINTI WAN AHMAD</v>
      </c>
      <c r="J7060" t="str">
        <f t="shared" ref="J7060:J7123" si="2892">"BANK SIMPANAN NASIONAL"</f>
        <v>BANK SIMPANAN NASIONAL</v>
      </c>
      <c r="K7060" t="str">
        <f>"0211729884532911"</f>
        <v>0211729884532911</v>
      </c>
      <c r="L7060" t="str">
        <f t="shared" si="2879"/>
        <v>04-08-2020</v>
      </c>
      <c r="M7060" t="str">
        <f t="shared" si="2879"/>
        <v>04-08-2020</v>
      </c>
      <c r="N7060" t="str">
        <f t="shared" si="2880"/>
        <v>001105018356</v>
      </c>
      <c r="O7060" t="str">
        <f t="shared" si="2881"/>
        <v>MYR</v>
      </c>
      <c r="P7060" t="str">
        <f t="shared" si="2882"/>
        <v>NIL</v>
      </c>
      <c r="Q7060" t="str">
        <f t="shared" si="2882"/>
        <v>NIL</v>
      </c>
      <c r="R7060" t="str">
        <f t="shared" si="2870"/>
        <v>Accepted</v>
      </c>
      <c r="S7060" t="str">
        <f t="shared" si="2883"/>
        <v>Approved</v>
      </c>
      <c r="T7060" t="str">
        <f t="shared" si="2871"/>
        <v>10.20.8.188</v>
      </c>
      <c r="U7060" t="str">
        <f t="shared" si="2884"/>
        <v>AZRAD UMAR BIN SHAARI</v>
      </c>
      <c r="V7060" t="str">
        <f t="shared" si="2885"/>
        <v>FARHANA BINTI MUSTAPA</v>
      </c>
      <c r="W7060" t="str">
        <f t="shared" si="2886"/>
        <v>04-08-2020</v>
      </c>
      <c r="X7060" t="str">
        <f t="shared" si="2887"/>
        <v>RAZIMAH ANSAR AHMAD</v>
      </c>
      <c r="Y7060" t="str">
        <f t="shared" si="2888"/>
        <v>04-08-2020</v>
      </c>
      <c r="Z7060" t="str">
        <f>"COS10200804 2094"</f>
        <v>COS10200804 2094</v>
      </c>
    </row>
    <row r="7061" spans="1:26" x14ac:dyDescent="0.25">
      <c r="A7061" t="str">
        <f t="shared" si="2889"/>
        <v>04-08-2020 12:36:35</v>
      </c>
      <c r="B7061" t="str">
        <f>"0000803851"</f>
        <v>0000803851</v>
      </c>
      <c r="C7061" t="str">
        <f t="shared" si="2890"/>
        <v>0000803758</v>
      </c>
      <c r="D7061" t="str">
        <f t="shared" si="2876"/>
        <v>73185</v>
      </c>
      <c r="E7061" t="str">
        <f t="shared" si="2877"/>
        <v>KFH-OPERATIONS DEPARTMENT</v>
      </c>
      <c r="F7061" t="str">
        <f t="shared" si="2878"/>
        <v>IBG</v>
      </c>
      <c r="G7061" t="str">
        <f t="shared" si="2891"/>
        <v>Refund COSHARE 10</v>
      </c>
      <c r="H7061" s="2">
        <v>349</v>
      </c>
      <c r="I7061" t="str">
        <f>"VINCENT ANAK UDING"</f>
        <v>VINCENT ANAK UDING</v>
      </c>
      <c r="J7061" t="str">
        <f t="shared" si="2892"/>
        <v>BANK SIMPANAN NASIONAL</v>
      </c>
      <c r="K7061" t="str">
        <f>"1355029000001843"</f>
        <v>1355029000001843</v>
      </c>
      <c r="L7061" t="str">
        <f t="shared" si="2879"/>
        <v>04-08-2020</v>
      </c>
      <c r="M7061" t="str">
        <f t="shared" si="2879"/>
        <v>04-08-2020</v>
      </c>
      <c r="N7061" t="str">
        <f t="shared" si="2880"/>
        <v>001105018356</v>
      </c>
      <c r="O7061" t="str">
        <f t="shared" si="2881"/>
        <v>MYR</v>
      </c>
      <c r="P7061" t="str">
        <f t="shared" si="2882"/>
        <v>NIL</v>
      </c>
      <c r="Q7061" t="str">
        <f t="shared" si="2882"/>
        <v>NIL</v>
      </c>
      <c r="R7061" t="str">
        <f t="shared" si="2870"/>
        <v>Accepted</v>
      </c>
      <c r="S7061" t="str">
        <f t="shared" si="2883"/>
        <v>Approved</v>
      </c>
      <c r="T7061" t="str">
        <f t="shared" si="2871"/>
        <v>10.20.8.188</v>
      </c>
      <c r="U7061" t="str">
        <f t="shared" si="2884"/>
        <v>AZRAD UMAR BIN SHAARI</v>
      </c>
      <c r="V7061" t="str">
        <f t="shared" si="2885"/>
        <v>FARHANA BINTI MUSTAPA</v>
      </c>
      <c r="W7061" t="str">
        <f t="shared" si="2886"/>
        <v>04-08-2020</v>
      </c>
      <c r="X7061" t="str">
        <f t="shared" si="2887"/>
        <v>RAZIMAH ANSAR AHMAD</v>
      </c>
      <c r="Y7061" t="str">
        <f t="shared" si="2888"/>
        <v>04-08-2020</v>
      </c>
      <c r="Z7061" t="str">
        <f>"COS10200804 2093"</f>
        <v>COS10200804 2093</v>
      </c>
    </row>
    <row r="7062" spans="1:26" x14ac:dyDescent="0.25">
      <c r="A7062" t="str">
        <f t="shared" si="2889"/>
        <v>04-08-2020 12:36:35</v>
      </c>
      <c r="B7062" t="str">
        <f>"0000803850"</f>
        <v>0000803850</v>
      </c>
      <c r="C7062" t="str">
        <f t="shared" si="2890"/>
        <v>0000803758</v>
      </c>
      <c r="D7062" t="str">
        <f t="shared" si="2876"/>
        <v>73185</v>
      </c>
      <c r="E7062" t="str">
        <f t="shared" si="2877"/>
        <v>KFH-OPERATIONS DEPARTMENT</v>
      </c>
      <c r="F7062" t="str">
        <f t="shared" si="2878"/>
        <v>IBG</v>
      </c>
      <c r="G7062" t="str">
        <f t="shared" si="2891"/>
        <v>Refund COSHARE 10</v>
      </c>
      <c r="H7062" s="2">
        <v>671.6</v>
      </c>
      <c r="I7062" t="str">
        <f>"VICKNETSHWARI AP TANGGAYA"</f>
        <v>VICKNETSHWARI AP TANGGAYA</v>
      </c>
      <c r="J7062" t="str">
        <f t="shared" si="2892"/>
        <v>BANK SIMPANAN NASIONAL</v>
      </c>
      <c r="K7062" t="str">
        <f>"0713629848299954"</f>
        <v>0713629848299954</v>
      </c>
      <c r="L7062" t="str">
        <f t="shared" si="2879"/>
        <v>04-08-2020</v>
      </c>
      <c r="M7062" t="str">
        <f t="shared" si="2879"/>
        <v>04-08-2020</v>
      </c>
      <c r="N7062" t="str">
        <f t="shared" si="2880"/>
        <v>001105018356</v>
      </c>
      <c r="O7062" t="str">
        <f t="shared" si="2881"/>
        <v>MYR</v>
      </c>
      <c r="P7062" t="str">
        <f t="shared" si="2882"/>
        <v>NIL</v>
      </c>
      <c r="Q7062" t="str">
        <f t="shared" si="2882"/>
        <v>NIL</v>
      </c>
      <c r="R7062" t="str">
        <f t="shared" si="2870"/>
        <v>Accepted</v>
      </c>
      <c r="S7062" t="str">
        <f t="shared" si="2883"/>
        <v>Approved</v>
      </c>
      <c r="T7062" t="str">
        <f t="shared" si="2871"/>
        <v>10.20.8.188</v>
      </c>
      <c r="U7062" t="str">
        <f t="shared" si="2884"/>
        <v>AZRAD UMAR BIN SHAARI</v>
      </c>
      <c r="V7062" t="str">
        <f t="shared" si="2885"/>
        <v>FARHANA BINTI MUSTAPA</v>
      </c>
      <c r="W7062" t="str">
        <f t="shared" si="2886"/>
        <v>04-08-2020</v>
      </c>
      <c r="X7062" t="str">
        <f t="shared" si="2887"/>
        <v>RAZIMAH ANSAR AHMAD</v>
      </c>
      <c r="Y7062" t="str">
        <f t="shared" si="2888"/>
        <v>04-08-2020</v>
      </c>
      <c r="Z7062" t="str">
        <f>"COS10200804 2092"</f>
        <v>COS10200804 2092</v>
      </c>
    </row>
    <row r="7063" spans="1:26" x14ac:dyDescent="0.25">
      <c r="A7063" t="str">
        <f t="shared" si="2889"/>
        <v>04-08-2020 12:36:35</v>
      </c>
      <c r="B7063" t="str">
        <f>"0000803849"</f>
        <v>0000803849</v>
      </c>
      <c r="C7063" t="str">
        <f t="shared" si="2890"/>
        <v>0000803758</v>
      </c>
      <c r="D7063" t="str">
        <f t="shared" si="2876"/>
        <v>73185</v>
      </c>
      <c r="E7063" t="str">
        <f t="shared" si="2877"/>
        <v>KFH-OPERATIONS DEPARTMENT</v>
      </c>
      <c r="F7063" t="str">
        <f t="shared" si="2878"/>
        <v>IBG</v>
      </c>
      <c r="G7063" t="str">
        <f t="shared" si="2891"/>
        <v>Refund COSHARE 10</v>
      </c>
      <c r="H7063" s="2">
        <v>607</v>
      </c>
      <c r="I7063" t="str">
        <f>"VALENTINE BIN EVARITUS"</f>
        <v>VALENTINE BIN EVARITUS</v>
      </c>
      <c r="J7063" t="str">
        <f t="shared" si="2892"/>
        <v>BANK SIMPANAN NASIONAL</v>
      </c>
      <c r="K7063" t="str">
        <f>"1211229000026326"</f>
        <v>1211229000026326</v>
      </c>
      <c r="L7063" t="str">
        <f t="shared" si="2879"/>
        <v>04-08-2020</v>
      </c>
      <c r="M7063" t="str">
        <f t="shared" si="2879"/>
        <v>04-08-2020</v>
      </c>
      <c r="N7063" t="str">
        <f t="shared" si="2880"/>
        <v>001105018356</v>
      </c>
      <c r="O7063" t="str">
        <f t="shared" si="2881"/>
        <v>MYR</v>
      </c>
      <c r="P7063" t="str">
        <f t="shared" si="2882"/>
        <v>NIL</v>
      </c>
      <c r="Q7063" t="str">
        <f t="shared" si="2882"/>
        <v>NIL</v>
      </c>
      <c r="R7063" t="str">
        <f t="shared" si="2870"/>
        <v>Accepted</v>
      </c>
      <c r="S7063" t="str">
        <f t="shared" si="2883"/>
        <v>Approved</v>
      </c>
      <c r="T7063" t="str">
        <f t="shared" si="2871"/>
        <v>10.20.8.188</v>
      </c>
      <c r="U7063" t="str">
        <f t="shared" si="2884"/>
        <v>AZRAD UMAR BIN SHAARI</v>
      </c>
      <c r="V7063" t="str">
        <f t="shared" si="2885"/>
        <v>FARHANA BINTI MUSTAPA</v>
      </c>
      <c r="W7063" t="str">
        <f t="shared" si="2886"/>
        <v>04-08-2020</v>
      </c>
      <c r="X7063" t="str">
        <f t="shared" si="2887"/>
        <v>RAZIMAH ANSAR AHMAD</v>
      </c>
      <c r="Y7063" t="str">
        <f t="shared" si="2888"/>
        <v>04-08-2020</v>
      </c>
      <c r="Z7063" t="str">
        <f>"COS10200804 2091"</f>
        <v>COS10200804 2091</v>
      </c>
    </row>
    <row r="7064" spans="1:26" x14ac:dyDescent="0.25">
      <c r="A7064" t="str">
        <f t="shared" si="2889"/>
        <v>04-08-2020 12:36:35</v>
      </c>
      <c r="B7064" t="str">
        <f>"0000803848"</f>
        <v>0000803848</v>
      </c>
      <c r="C7064" t="str">
        <f t="shared" si="2890"/>
        <v>0000803758</v>
      </c>
      <c r="D7064" t="str">
        <f t="shared" si="2876"/>
        <v>73185</v>
      </c>
      <c r="E7064" t="str">
        <f t="shared" si="2877"/>
        <v>KFH-OPERATIONS DEPARTMENT</v>
      </c>
      <c r="F7064" t="str">
        <f t="shared" si="2878"/>
        <v>IBG</v>
      </c>
      <c r="G7064" t="str">
        <f t="shared" si="2891"/>
        <v>Refund COSHARE 10</v>
      </c>
      <c r="H7064" s="2">
        <v>1259.25</v>
      </c>
      <c r="I7064" t="str">
        <f>"USEVERT BIN SIMBIR"</f>
        <v>USEVERT BIN SIMBIR</v>
      </c>
      <c r="J7064" t="str">
        <f t="shared" si="2892"/>
        <v>BANK SIMPANAN NASIONAL</v>
      </c>
      <c r="K7064" t="str">
        <f>"1211229000295165"</f>
        <v>1211229000295165</v>
      </c>
      <c r="L7064" t="str">
        <f t="shared" si="2879"/>
        <v>04-08-2020</v>
      </c>
      <c r="M7064" t="str">
        <f t="shared" si="2879"/>
        <v>04-08-2020</v>
      </c>
      <c r="N7064" t="str">
        <f t="shared" si="2880"/>
        <v>001105018356</v>
      </c>
      <c r="O7064" t="str">
        <f t="shared" si="2881"/>
        <v>MYR</v>
      </c>
      <c r="P7064" t="str">
        <f t="shared" si="2882"/>
        <v>NIL</v>
      </c>
      <c r="Q7064" t="str">
        <f t="shared" si="2882"/>
        <v>NIL</v>
      </c>
      <c r="R7064" t="str">
        <f t="shared" si="2870"/>
        <v>Accepted</v>
      </c>
      <c r="S7064" t="str">
        <f t="shared" si="2883"/>
        <v>Approved</v>
      </c>
      <c r="T7064" t="str">
        <f t="shared" si="2871"/>
        <v>10.20.8.188</v>
      </c>
      <c r="U7064" t="str">
        <f t="shared" si="2884"/>
        <v>AZRAD UMAR BIN SHAARI</v>
      </c>
      <c r="V7064" t="str">
        <f t="shared" si="2885"/>
        <v>FARHANA BINTI MUSTAPA</v>
      </c>
      <c r="W7064" t="str">
        <f t="shared" si="2886"/>
        <v>04-08-2020</v>
      </c>
      <c r="X7064" t="str">
        <f t="shared" si="2887"/>
        <v>RAZIMAH ANSAR AHMAD</v>
      </c>
      <c r="Y7064" t="str">
        <f t="shared" si="2888"/>
        <v>04-08-2020</v>
      </c>
      <c r="Z7064" t="str">
        <f>"COS10200804 2090"</f>
        <v>COS10200804 2090</v>
      </c>
    </row>
    <row r="7065" spans="1:26" x14ac:dyDescent="0.25">
      <c r="A7065" t="str">
        <f t="shared" si="2889"/>
        <v>04-08-2020 12:36:35</v>
      </c>
      <c r="B7065" t="str">
        <f>"0000803847"</f>
        <v>0000803847</v>
      </c>
      <c r="C7065" t="str">
        <f t="shared" si="2890"/>
        <v>0000803758</v>
      </c>
      <c r="D7065" t="str">
        <f t="shared" si="2876"/>
        <v>73185</v>
      </c>
      <c r="E7065" t="str">
        <f t="shared" si="2877"/>
        <v>KFH-OPERATIONS DEPARTMENT</v>
      </c>
      <c r="F7065" t="str">
        <f t="shared" si="2878"/>
        <v>IBG</v>
      </c>
      <c r="G7065" t="str">
        <f t="shared" si="2891"/>
        <v>Refund COSHARE 10</v>
      </c>
      <c r="H7065" s="2">
        <v>839.5</v>
      </c>
      <c r="I7065" t="str">
        <f>"UMMAVATHY AP MUNIANDY"</f>
        <v>UMMAVATHY AP MUNIANDY</v>
      </c>
      <c r="J7065" t="str">
        <f t="shared" si="2892"/>
        <v>BANK SIMPANAN NASIONAL</v>
      </c>
      <c r="K7065" t="str">
        <f>"0810429889289556"</f>
        <v>0810429889289556</v>
      </c>
      <c r="L7065" t="str">
        <f t="shared" si="2879"/>
        <v>04-08-2020</v>
      </c>
      <c r="M7065" t="str">
        <f t="shared" si="2879"/>
        <v>04-08-2020</v>
      </c>
      <c r="N7065" t="str">
        <f t="shared" si="2880"/>
        <v>001105018356</v>
      </c>
      <c r="O7065" t="str">
        <f t="shared" si="2881"/>
        <v>MYR</v>
      </c>
      <c r="P7065" t="str">
        <f t="shared" si="2882"/>
        <v>NIL</v>
      </c>
      <c r="Q7065" t="str">
        <f t="shared" si="2882"/>
        <v>NIL</v>
      </c>
      <c r="R7065" t="str">
        <f t="shared" si="2870"/>
        <v>Accepted</v>
      </c>
      <c r="S7065" t="str">
        <f t="shared" si="2883"/>
        <v>Approved</v>
      </c>
      <c r="T7065" t="str">
        <f t="shared" si="2871"/>
        <v>10.20.8.188</v>
      </c>
      <c r="U7065" t="str">
        <f t="shared" si="2884"/>
        <v>AZRAD UMAR BIN SHAARI</v>
      </c>
      <c r="V7065" t="str">
        <f t="shared" si="2885"/>
        <v>FARHANA BINTI MUSTAPA</v>
      </c>
      <c r="W7065" t="str">
        <f t="shared" si="2886"/>
        <v>04-08-2020</v>
      </c>
      <c r="X7065" t="str">
        <f t="shared" si="2887"/>
        <v>RAZIMAH ANSAR AHMAD</v>
      </c>
      <c r="Y7065" t="str">
        <f t="shared" si="2888"/>
        <v>04-08-2020</v>
      </c>
      <c r="Z7065" t="str">
        <f>"COS10200804 2089"</f>
        <v>COS10200804 2089</v>
      </c>
    </row>
    <row r="7066" spans="1:26" x14ac:dyDescent="0.25">
      <c r="A7066" t="str">
        <f t="shared" si="2889"/>
        <v>04-08-2020 12:36:35</v>
      </c>
      <c r="B7066" t="str">
        <f>"0000803846"</f>
        <v>0000803846</v>
      </c>
      <c r="C7066" t="str">
        <f t="shared" si="2890"/>
        <v>0000803758</v>
      </c>
      <c r="D7066" t="str">
        <f t="shared" si="2876"/>
        <v>73185</v>
      </c>
      <c r="E7066" t="str">
        <f t="shared" si="2877"/>
        <v>KFH-OPERATIONS DEPARTMENT</v>
      </c>
      <c r="F7066" t="str">
        <f t="shared" si="2878"/>
        <v>IBG</v>
      </c>
      <c r="G7066" t="str">
        <f t="shared" si="2891"/>
        <v>Refund COSHARE 10</v>
      </c>
      <c r="H7066" s="2">
        <v>189.65</v>
      </c>
      <c r="I7066" t="str">
        <f>"THEVANDRAN AL BATHUMALAI SUPPIAH"</f>
        <v>THEVANDRAN AL BATHUMALAI SUPPIAH</v>
      </c>
      <c r="J7066" t="str">
        <f t="shared" si="2892"/>
        <v>BANK SIMPANAN NASIONAL</v>
      </c>
      <c r="K7066" t="str">
        <f>"0113029000060916"</f>
        <v>0113029000060916</v>
      </c>
      <c r="L7066" t="str">
        <f t="shared" si="2879"/>
        <v>04-08-2020</v>
      </c>
      <c r="M7066" t="str">
        <f t="shared" si="2879"/>
        <v>04-08-2020</v>
      </c>
      <c r="N7066" t="str">
        <f t="shared" si="2880"/>
        <v>001105018356</v>
      </c>
      <c r="O7066" t="str">
        <f t="shared" si="2881"/>
        <v>MYR</v>
      </c>
      <c r="P7066" t="str">
        <f t="shared" si="2882"/>
        <v>NIL</v>
      </c>
      <c r="Q7066" t="str">
        <f t="shared" si="2882"/>
        <v>NIL</v>
      </c>
      <c r="R7066" t="str">
        <f t="shared" si="2870"/>
        <v>Accepted</v>
      </c>
      <c r="S7066" t="str">
        <f t="shared" si="2883"/>
        <v>Approved</v>
      </c>
      <c r="T7066" t="str">
        <f t="shared" si="2871"/>
        <v>10.20.8.188</v>
      </c>
      <c r="U7066" t="str">
        <f t="shared" si="2884"/>
        <v>AZRAD UMAR BIN SHAARI</v>
      </c>
      <c r="V7066" t="str">
        <f t="shared" si="2885"/>
        <v>FARHANA BINTI MUSTAPA</v>
      </c>
      <c r="W7066" t="str">
        <f t="shared" si="2886"/>
        <v>04-08-2020</v>
      </c>
      <c r="X7066" t="str">
        <f t="shared" si="2887"/>
        <v>RAZIMAH ANSAR AHMAD</v>
      </c>
      <c r="Y7066" t="str">
        <f t="shared" si="2888"/>
        <v>04-08-2020</v>
      </c>
      <c r="Z7066" t="str">
        <f>"COS10200804 2088"</f>
        <v>COS10200804 2088</v>
      </c>
    </row>
    <row r="7067" spans="1:26" x14ac:dyDescent="0.25">
      <c r="A7067" t="str">
        <f t="shared" si="2889"/>
        <v>04-08-2020 12:36:35</v>
      </c>
      <c r="B7067" t="str">
        <f>"0000803845"</f>
        <v>0000803845</v>
      </c>
      <c r="C7067" t="str">
        <f t="shared" si="2890"/>
        <v>0000803758</v>
      </c>
      <c r="D7067" t="str">
        <f t="shared" si="2876"/>
        <v>73185</v>
      </c>
      <c r="E7067" t="str">
        <f t="shared" si="2877"/>
        <v>KFH-OPERATIONS DEPARTMENT</v>
      </c>
      <c r="F7067" t="str">
        <f t="shared" si="2878"/>
        <v>IBG</v>
      </c>
      <c r="G7067" t="str">
        <f t="shared" si="2891"/>
        <v>Refund COSHARE 10</v>
      </c>
      <c r="H7067" s="2">
        <v>1153.1500000000001</v>
      </c>
      <c r="I7067" t="str">
        <f>"TENGKU NORAIDA BINTI  R AB RASHID"</f>
        <v>TENGKU NORAIDA BINTI  R AB RASHID</v>
      </c>
      <c r="J7067" t="str">
        <f t="shared" si="2892"/>
        <v>BANK SIMPANAN NASIONAL</v>
      </c>
      <c r="K7067" t="str">
        <f>"0610529814325625"</f>
        <v>0610529814325625</v>
      </c>
      <c r="L7067" t="str">
        <f t="shared" ref="L7067:M7086" si="2893">"04-08-2020"</f>
        <v>04-08-2020</v>
      </c>
      <c r="M7067" t="str">
        <f t="shared" si="2893"/>
        <v>04-08-2020</v>
      </c>
      <c r="N7067" t="str">
        <f t="shared" si="2880"/>
        <v>001105018356</v>
      </c>
      <c r="O7067" t="str">
        <f t="shared" si="2881"/>
        <v>MYR</v>
      </c>
      <c r="P7067" t="str">
        <f t="shared" ref="P7067:Q7086" si="2894">"NIL"</f>
        <v>NIL</v>
      </c>
      <c r="Q7067" t="str">
        <f t="shared" si="2894"/>
        <v>NIL</v>
      </c>
      <c r="R7067" t="str">
        <f t="shared" si="2870"/>
        <v>Accepted</v>
      </c>
      <c r="S7067" t="str">
        <f t="shared" si="2883"/>
        <v>Approved</v>
      </c>
      <c r="T7067" t="str">
        <f t="shared" si="2871"/>
        <v>10.20.8.188</v>
      </c>
      <c r="U7067" t="str">
        <f t="shared" si="2884"/>
        <v>AZRAD UMAR BIN SHAARI</v>
      </c>
      <c r="V7067" t="str">
        <f t="shared" si="2885"/>
        <v>FARHANA BINTI MUSTAPA</v>
      </c>
      <c r="W7067" t="str">
        <f t="shared" si="2886"/>
        <v>04-08-2020</v>
      </c>
      <c r="X7067" t="str">
        <f t="shared" si="2887"/>
        <v>RAZIMAH ANSAR AHMAD</v>
      </c>
      <c r="Y7067" t="str">
        <f t="shared" si="2888"/>
        <v>04-08-2020</v>
      </c>
      <c r="Z7067" t="str">
        <f>"COS10200804 2087"</f>
        <v>COS10200804 2087</v>
      </c>
    </row>
    <row r="7068" spans="1:26" x14ac:dyDescent="0.25">
      <c r="A7068" t="str">
        <f t="shared" si="2889"/>
        <v>04-08-2020 12:36:35</v>
      </c>
      <c r="B7068" t="str">
        <f>"0000803844"</f>
        <v>0000803844</v>
      </c>
      <c r="C7068" t="str">
        <f t="shared" si="2890"/>
        <v>0000803758</v>
      </c>
      <c r="D7068" t="str">
        <f t="shared" si="2876"/>
        <v>73185</v>
      </c>
      <c r="E7068" t="str">
        <f t="shared" si="2877"/>
        <v>KFH-OPERATIONS DEPARTMENT</v>
      </c>
      <c r="F7068" t="str">
        <f t="shared" si="2878"/>
        <v>IBG</v>
      </c>
      <c r="G7068" t="str">
        <f t="shared" si="2891"/>
        <v>Refund COSHARE 10</v>
      </c>
      <c r="H7068" s="2">
        <v>705.2</v>
      </c>
      <c r="I7068" t="str">
        <f>"TARMIZEE BIN ABDUL AZIZ"</f>
        <v>TARMIZEE BIN ABDUL AZIZ</v>
      </c>
      <c r="J7068" t="str">
        <f t="shared" si="2892"/>
        <v>BANK SIMPANAN NASIONAL</v>
      </c>
      <c r="K7068" t="str">
        <f>"0510029000325231"</f>
        <v>0510029000325231</v>
      </c>
      <c r="L7068" t="str">
        <f t="shared" si="2893"/>
        <v>04-08-2020</v>
      </c>
      <c r="M7068" t="str">
        <f t="shared" si="2893"/>
        <v>04-08-2020</v>
      </c>
      <c r="N7068" t="str">
        <f t="shared" si="2880"/>
        <v>001105018356</v>
      </c>
      <c r="O7068" t="str">
        <f t="shared" si="2881"/>
        <v>MYR</v>
      </c>
      <c r="P7068" t="str">
        <f t="shared" si="2894"/>
        <v>NIL</v>
      </c>
      <c r="Q7068" t="str">
        <f t="shared" si="2894"/>
        <v>NIL</v>
      </c>
      <c r="R7068" t="str">
        <f t="shared" si="2870"/>
        <v>Accepted</v>
      </c>
      <c r="S7068" t="str">
        <f t="shared" si="2883"/>
        <v>Approved</v>
      </c>
      <c r="T7068" t="str">
        <f t="shared" si="2871"/>
        <v>10.20.8.188</v>
      </c>
      <c r="U7068" t="str">
        <f t="shared" si="2884"/>
        <v>AZRAD UMAR BIN SHAARI</v>
      </c>
      <c r="V7068" t="str">
        <f t="shared" si="2885"/>
        <v>FARHANA BINTI MUSTAPA</v>
      </c>
      <c r="W7068" t="str">
        <f t="shared" si="2886"/>
        <v>04-08-2020</v>
      </c>
      <c r="X7068" t="str">
        <f t="shared" si="2887"/>
        <v>RAZIMAH ANSAR AHMAD</v>
      </c>
      <c r="Y7068" t="str">
        <f t="shared" si="2888"/>
        <v>04-08-2020</v>
      </c>
      <c r="Z7068" t="str">
        <f>"COS10200804 2086"</f>
        <v>COS10200804 2086</v>
      </c>
    </row>
    <row r="7069" spans="1:26" x14ac:dyDescent="0.25">
      <c r="A7069" t="str">
        <f t="shared" si="2889"/>
        <v>04-08-2020 12:36:35</v>
      </c>
      <c r="B7069" t="str">
        <f>"0000803843"</f>
        <v>0000803843</v>
      </c>
      <c r="C7069" t="str">
        <f t="shared" si="2890"/>
        <v>0000803758</v>
      </c>
      <c r="D7069" t="str">
        <f t="shared" si="2876"/>
        <v>73185</v>
      </c>
      <c r="E7069" t="str">
        <f t="shared" si="2877"/>
        <v>KFH-OPERATIONS DEPARTMENT</v>
      </c>
      <c r="F7069" t="str">
        <f t="shared" si="2878"/>
        <v>IBG</v>
      </c>
      <c r="G7069" t="str">
        <f t="shared" si="2891"/>
        <v>Refund COSHARE 10</v>
      </c>
      <c r="H7069" s="2">
        <v>104.15</v>
      </c>
      <c r="I7069" t="str">
        <f>"TALIP BIN AWIE"</f>
        <v>TALIP BIN AWIE</v>
      </c>
      <c r="J7069" t="str">
        <f t="shared" si="2892"/>
        <v>BANK SIMPANAN NASIONAL</v>
      </c>
      <c r="K7069" t="str">
        <f>"1010029857799477"</f>
        <v>1010029857799477</v>
      </c>
      <c r="L7069" t="str">
        <f t="shared" si="2893"/>
        <v>04-08-2020</v>
      </c>
      <c r="M7069" t="str">
        <f t="shared" si="2893"/>
        <v>04-08-2020</v>
      </c>
      <c r="N7069" t="str">
        <f t="shared" si="2880"/>
        <v>001105018356</v>
      </c>
      <c r="O7069" t="str">
        <f t="shared" si="2881"/>
        <v>MYR</v>
      </c>
      <c r="P7069" t="str">
        <f t="shared" si="2894"/>
        <v>NIL</v>
      </c>
      <c r="Q7069" t="str">
        <f t="shared" si="2894"/>
        <v>NIL</v>
      </c>
      <c r="R7069" t="str">
        <f t="shared" si="2870"/>
        <v>Accepted</v>
      </c>
      <c r="S7069" t="str">
        <f t="shared" si="2883"/>
        <v>Approved</v>
      </c>
      <c r="T7069" t="str">
        <f t="shared" si="2871"/>
        <v>10.20.8.188</v>
      </c>
      <c r="U7069" t="str">
        <f t="shared" si="2884"/>
        <v>AZRAD UMAR BIN SHAARI</v>
      </c>
      <c r="V7069" t="str">
        <f t="shared" si="2885"/>
        <v>FARHANA BINTI MUSTAPA</v>
      </c>
      <c r="W7069" t="str">
        <f t="shared" si="2886"/>
        <v>04-08-2020</v>
      </c>
      <c r="X7069" t="str">
        <f t="shared" si="2887"/>
        <v>RAZIMAH ANSAR AHMAD</v>
      </c>
      <c r="Y7069" t="str">
        <f t="shared" si="2888"/>
        <v>04-08-2020</v>
      </c>
      <c r="Z7069" t="str">
        <f>"COS10200804 2085"</f>
        <v>COS10200804 2085</v>
      </c>
    </row>
    <row r="7070" spans="1:26" x14ac:dyDescent="0.25">
      <c r="A7070" t="str">
        <f t="shared" si="2889"/>
        <v>04-08-2020 12:36:35</v>
      </c>
      <c r="B7070" t="str">
        <f>"0000803842"</f>
        <v>0000803842</v>
      </c>
      <c r="C7070" t="str">
        <f t="shared" si="2890"/>
        <v>0000803758</v>
      </c>
      <c r="D7070" t="str">
        <f t="shared" si="2876"/>
        <v>73185</v>
      </c>
      <c r="E7070" t="str">
        <f t="shared" si="2877"/>
        <v>KFH-OPERATIONS DEPARTMENT</v>
      </c>
      <c r="F7070" t="str">
        <f t="shared" si="2878"/>
        <v>IBG</v>
      </c>
      <c r="G7070" t="str">
        <f t="shared" si="2891"/>
        <v>Refund COSHARE 10</v>
      </c>
      <c r="H7070" s="2">
        <v>302.25</v>
      </c>
      <c r="I7070" t="str">
        <f>"SYURIENG SAKTY BIN MOHAMAD SHUIB"</f>
        <v>SYURIENG SAKTY BIN MOHAMAD SHUIB</v>
      </c>
      <c r="J7070" t="str">
        <f t="shared" si="2892"/>
        <v>BANK SIMPANAN NASIONAL</v>
      </c>
      <c r="K7070" t="str">
        <f>"1410029000311608"</f>
        <v>1410029000311608</v>
      </c>
      <c r="L7070" t="str">
        <f t="shared" si="2893"/>
        <v>04-08-2020</v>
      </c>
      <c r="M7070" t="str">
        <f t="shared" si="2893"/>
        <v>04-08-2020</v>
      </c>
      <c r="N7070" t="str">
        <f t="shared" si="2880"/>
        <v>001105018356</v>
      </c>
      <c r="O7070" t="str">
        <f t="shared" si="2881"/>
        <v>MYR</v>
      </c>
      <c r="P7070" t="str">
        <f t="shared" si="2894"/>
        <v>NIL</v>
      </c>
      <c r="Q7070" t="str">
        <f t="shared" si="2894"/>
        <v>NIL</v>
      </c>
      <c r="R7070" t="str">
        <f t="shared" si="2870"/>
        <v>Accepted</v>
      </c>
      <c r="S7070" t="str">
        <f t="shared" si="2883"/>
        <v>Approved</v>
      </c>
      <c r="T7070" t="str">
        <f t="shared" si="2871"/>
        <v>10.20.8.188</v>
      </c>
      <c r="U7070" t="str">
        <f t="shared" si="2884"/>
        <v>AZRAD UMAR BIN SHAARI</v>
      </c>
      <c r="V7070" t="str">
        <f t="shared" si="2885"/>
        <v>FARHANA BINTI MUSTAPA</v>
      </c>
      <c r="W7070" t="str">
        <f t="shared" si="2886"/>
        <v>04-08-2020</v>
      </c>
      <c r="X7070" t="str">
        <f t="shared" si="2887"/>
        <v>RAZIMAH ANSAR AHMAD</v>
      </c>
      <c r="Y7070" t="str">
        <f t="shared" si="2888"/>
        <v>04-08-2020</v>
      </c>
      <c r="Z7070" t="str">
        <f>"COS10200804 2084"</f>
        <v>COS10200804 2084</v>
      </c>
    </row>
    <row r="7071" spans="1:26" x14ac:dyDescent="0.25">
      <c r="A7071" t="str">
        <f t="shared" si="2889"/>
        <v>04-08-2020 12:36:35</v>
      </c>
      <c r="B7071" t="str">
        <f>"0000803841"</f>
        <v>0000803841</v>
      </c>
      <c r="C7071" t="str">
        <f t="shared" si="2890"/>
        <v>0000803758</v>
      </c>
      <c r="D7071" t="str">
        <f t="shared" si="2876"/>
        <v>73185</v>
      </c>
      <c r="E7071" t="str">
        <f t="shared" si="2877"/>
        <v>KFH-OPERATIONS DEPARTMENT</v>
      </c>
      <c r="F7071" t="str">
        <f t="shared" si="2878"/>
        <v>IBG</v>
      </c>
      <c r="G7071" t="str">
        <f t="shared" si="2891"/>
        <v>Refund COSHARE 10</v>
      </c>
      <c r="H7071" s="2">
        <v>480.95</v>
      </c>
      <c r="I7071" t="str">
        <f>"SYLVIA BINTI SUALI"</f>
        <v>SYLVIA BINTI SUALI</v>
      </c>
      <c r="J7071" t="str">
        <f t="shared" si="2892"/>
        <v>BANK SIMPANAN NASIONAL</v>
      </c>
      <c r="K7071" t="str">
        <f>"1211129850977362"</f>
        <v>1211129850977362</v>
      </c>
      <c r="L7071" t="str">
        <f t="shared" si="2893"/>
        <v>04-08-2020</v>
      </c>
      <c r="M7071" t="str">
        <f t="shared" si="2893"/>
        <v>04-08-2020</v>
      </c>
      <c r="N7071" t="str">
        <f t="shared" si="2880"/>
        <v>001105018356</v>
      </c>
      <c r="O7071" t="str">
        <f t="shared" si="2881"/>
        <v>MYR</v>
      </c>
      <c r="P7071" t="str">
        <f t="shared" si="2894"/>
        <v>NIL</v>
      </c>
      <c r="Q7071" t="str">
        <f t="shared" si="2894"/>
        <v>NIL</v>
      </c>
      <c r="R7071" t="str">
        <f t="shared" si="2870"/>
        <v>Accepted</v>
      </c>
      <c r="S7071" t="str">
        <f t="shared" si="2883"/>
        <v>Approved</v>
      </c>
      <c r="T7071" t="str">
        <f t="shared" si="2871"/>
        <v>10.20.8.188</v>
      </c>
      <c r="U7071" t="str">
        <f t="shared" si="2884"/>
        <v>AZRAD UMAR BIN SHAARI</v>
      </c>
      <c r="V7071" t="str">
        <f t="shared" si="2885"/>
        <v>FARHANA BINTI MUSTAPA</v>
      </c>
      <c r="W7071" t="str">
        <f t="shared" si="2886"/>
        <v>04-08-2020</v>
      </c>
      <c r="X7071" t="str">
        <f t="shared" si="2887"/>
        <v>RAZIMAH ANSAR AHMAD</v>
      </c>
      <c r="Y7071" t="str">
        <f t="shared" si="2888"/>
        <v>04-08-2020</v>
      </c>
      <c r="Z7071" t="str">
        <f>"COS10200804 2083"</f>
        <v>COS10200804 2083</v>
      </c>
    </row>
    <row r="7072" spans="1:26" x14ac:dyDescent="0.25">
      <c r="A7072" t="str">
        <f t="shared" si="2889"/>
        <v>04-08-2020 12:36:35</v>
      </c>
      <c r="B7072" t="str">
        <f>"0000803840"</f>
        <v>0000803840</v>
      </c>
      <c r="C7072" t="str">
        <f t="shared" si="2890"/>
        <v>0000803758</v>
      </c>
      <c r="D7072" t="str">
        <f t="shared" si="2876"/>
        <v>73185</v>
      </c>
      <c r="E7072" t="str">
        <f t="shared" si="2877"/>
        <v>KFH-OPERATIONS DEPARTMENT</v>
      </c>
      <c r="F7072" t="str">
        <f t="shared" si="2878"/>
        <v>IBG</v>
      </c>
      <c r="G7072" t="str">
        <f t="shared" si="2891"/>
        <v>Refund COSHARE 10</v>
      </c>
      <c r="H7072" s="2">
        <v>100.75</v>
      </c>
      <c r="I7072" t="str">
        <f>"SYLVESTER TAHA"</f>
        <v>SYLVESTER TAHA</v>
      </c>
      <c r="J7072" t="str">
        <f t="shared" si="2892"/>
        <v>BANK SIMPANAN NASIONAL</v>
      </c>
      <c r="K7072" t="str">
        <f>"1210029000221597"</f>
        <v>1210029000221597</v>
      </c>
      <c r="L7072" t="str">
        <f t="shared" si="2893"/>
        <v>04-08-2020</v>
      </c>
      <c r="M7072" t="str">
        <f t="shared" si="2893"/>
        <v>04-08-2020</v>
      </c>
      <c r="N7072" t="str">
        <f t="shared" si="2880"/>
        <v>001105018356</v>
      </c>
      <c r="O7072" t="str">
        <f t="shared" si="2881"/>
        <v>MYR</v>
      </c>
      <c r="P7072" t="str">
        <f t="shared" si="2894"/>
        <v>NIL</v>
      </c>
      <c r="Q7072" t="str">
        <f t="shared" si="2894"/>
        <v>NIL</v>
      </c>
      <c r="R7072" t="str">
        <f t="shared" si="2870"/>
        <v>Accepted</v>
      </c>
      <c r="S7072" t="str">
        <f t="shared" si="2883"/>
        <v>Approved</v>
      </c>
      <c r="T7072" t="str">
        <f t="shared" si="2871"/>
        <v>10.20.8.188</v>
      </c>
      <c r="U7072" t="str">
        <f t="shared" si="2884"/>
        <v>AZRAD UMAR BIN SHAARI</v>
      </c>
      <c r="V7072" t="str">
        <f t="shared" si="2885"/>
        <v>FARHANA BINTI MUSTAPA</v>
      </c>
      <c r="W7072" t="str">
        <f t="shared" si="2886"/>
        <v>04-08-2020</v>
      </c>
      <c r="X7072" t="str">
        <f t="shared" si="2887"/>
        <v>RAZIMAH ANSAR AHMAD</v>
      </c>
      <c r="Y7072" t="str">
        <f t="shared" si="2888"/>
        <v>04-08-2020</v>
      </c>
      <c r="Z7072" t="str">
        <f>"COS10200804 2082"</f>
        <v>COS10200804 2082</v>
      </c>
    </row>
    <row r="7073" spans="1:26" x14ac:dyDescent="0.25">
      <c r="A7073" t="str">
        <f t="shared" si="2889"/>
        <v>04-08-2020 12:36:35</v>
      </c>
      <c r="B7073" t="str">
        <f>"0000803839"</f>
        <v>0000803839</v>
      </c>
      <c r="C7073" t="str">
        <f t="shared" si="2890"/>
        <v>0000803758</v>
      </c>
      <c r="D7073" t="str">
        <f t="shared" si="2876"/>
        <v>73185</v>
      </c>
      <c r="E7073" t="str">
        <f t="shared" si="2877"/>
        <v>KFH-OPERATIONS DEPARTMENT</v>
      </c>
      <c r="F7073" t="str">
        <f t="shared" si="2878"/>
        <v>IBG</v>
      </c>
      <c r="G7073" t="str">
        <f t="shared" si="2891"/>
        <v>Refund COSHARE 10</v>
      </c>
      <c r="H7073" s="2">
        <v>193</v>
      </c>
      <c r="I7073" t="str">
        <f>"SYED MOHD ADIB BIN SYED HASSAN"</f>
        <v>SYED MOHD ADIB BIN SYED HASSAN</v>
      </c>
      <c r="J7073" t="str">
        <f t="shared" si="2892"/>
        <v>BANK SIMPANAN NASIONAL</v>
      </c>
      <c r="K7073" t="str">
        <f>"0112129000007977"</f>
        <v>0112129000007977</v>
      </c>
      <c r="L7073" t="str">
        <f t="shared" si="2893"/>
        <v>04-08-2020</v>
      </c>
      <c r="M7073" t="str">
        <f t="shared" si="2893"/>
        <v>04-08-2020</v>
      </c>
      <c r="N7073" t="str">
        <f t="shared" si="2880"/>
        <v>001105018356</v>
      </c>
      <c r="O7073" t="str">
        <f t="shared" si="2881"/>
        <v>MYR</v>
      </c>
      <c r="P7073" t="str">
        <f t="shared" si="2894"/>
        <v>NIL</v>
      </c>
      <c r="Q7073" t="str">
        <f t="shared" si="2894"/>
        <v>NIL</v>
      </c>
      <c r="R7073" t="str">
        <f t="shared" si="2870"/>
        <v>Accepted</v>
      </c>
      <c r="S7073" t="str">
        <f t="shared" si="2883"/>
        <v>Approved</v>
      </c>
      <c r="T7073" t="str">
        <f t="shared" si="2871"/>
        <v>10.20.8.188</v>
      </c>
      <c r="U7073" t="str">
        <f t="shared" si="2884"/>
        <v>AZRAD UMAR BIN SHAARI</v>
      </c>
      <c r="V7073" t="str">
        <f t="shared" si="2885"/>
        <v>FARHANA BINTI MUSTAPA</v>
      </c>
      <c r="W7073" t="str">
        <f t="shared" si="2886"/>
        <v>04-08-2020</v>
      </c>
      <c r="X7073" t="str">
        <f t="shared" si="2887"/>
        <v>RAZIMAH ANSAR AHMAD</v>
      </c>
      <c r="Y7073" t="str">
        <f t="shared" si="2888"/>
        <v>04-08-2020</v>
      </c>
      <c r="Z7073" t="str">
        <f>"COS10200804 2081"</f>
        <v>COS10200804 2081</v>
      </c>
    </row>
    <row r="7074" spans="1:26" x14ac:dyDescent="0.25">
      <c r="A7074" t="str">
        <f t="shared" si="2889"/>
        <v>04-08-2020 12:36:35</v>
      </c>
      <c r="B7074" t="str">
        <f>"0000803838"</f>
        <v>0000803838</v>
      </c>
      <c r="C7074" t="str">
        <f t="shared" si="2890"/>
        <v>0000803758</v>
      </c>
      <c r="D7074" t="str">
        <f t="shared" si="2876"/>
        <v>73185</v>
      </c>
      <c r="E7074" t="str">
        <f t="shared" si="2877"/>
        <v>KFH-OPERATIONS DEPARTMENT</v>
      </c>
      <c r="F7074" t="str">
        <f t="shared" si="2878"/>
        <v>IBG</v>
      </c>
      <c r="G7074" t="str">
        <f t="shared" si="2891"/>
        <v>Refund COSHARE 10</v>
      </c>
      <c r="H7074" s="2">
        <v>373.3</v>
      </c>
      <c r="I7074" t="str">
        <f>"SYAMSARINA BINTI ABD KADIR"</f>
        <v>SYAMSARINA BINTI ABD KADIR</v>
      </c>
      <c r="J7074" t="str">
        <f t="shared" si="2892"/>
        <v>BANK SIMPANAN NASIONAL</v>
      </c>
      <c r="K7074" t="str">
        <f>"1210329000194692"</f>
        <v>1210329000194692</v>
      </c>
      <c r="L7074" t="str">
        <f t="shared" si="2893"/>
        <v>04-08-2020</v>
      </c>
      <c r="M7074" t="str">
        <f t="shared" si="2893"/>
        <v>04-08-2020</v>
      </c>
      <c r="N7074" t="str">
        <f t="shared" si="2880"/>
        <v>001105018356</v>
      </c>
      <c r="O7074" t="str">
        <f t="shared" si="2881"/>
        <v>MYR</v>
      </c>
      <c r="P7074" t="str">
        <f t="shared" si="2894"/>
        <v>NIL</v>
      </c>
      <c r="Q7074" t="str">
        <f t="shared" si="2894"/>
        <v>NIL</v>
      </c>
      <c r="R7074" t="str">
        <f t="shared" ref="R7074:R7137" si="2895">"Accepted"</f>
        <v>Accepted</v>
      </c>
      <c r="S7074" t="str">
        <f t="shared" si="2883"/>
        <v>Approved</v>
      </c>
      <c r="T7074" t="str">
        <f t="shared" ref="T7074:T7137" si="2896">"10.20.8.188"</f>
        <v>10.20.8.188</v>
      </c>
      <c r="U7074" t="str">
        <f t="shared" si="2884"/>
        <v>AZRAD UMAR BIN SHAARI</v>
      </c>
      <c r="V7074" t="str">
        <f t="shared" si="2885"/>
        <v>FARHANA BINTI MUSTAPA</v>
      </c>
      <c r="W7074" t="str">
        <f t="shared" si="2886"/>
        <v>04-08-2020</v>
      </c>
      <c r="X7074" t="str">
        <f t="shared" si="2887"/>
        <v>RAZIMAH ANSAR AHMAD</v>
      </c>
      <c r="Y7074" t="str">
        <f t="shared" si="2888"/>
        <v>04-08-2020</v>
      </c>
      <c r="Z7074" t="str">
        <f>"COS10200804 2080"</f>
        <v>COS10200804 2080</v>
      </c>
    </row>
    <row r="7075" spans="1:26" x14ac:dyDescent="0.25">
      <c r="A7075" t="str">
        <f t="shared" si="2889"/>
        <v>04-08-2020 12:36:35</v>
      </c>
      <c r="B7075" t="str">
        <f>"0000803837"</f>
        <v>0000803837</v>
      </c>
      <c r="C7075" t="str">
        <f t="shared" si="2890"/>
        <v>0000803758</v>
      </c>
      <c r="D7075" t="str">
        <f t="shared" si="2876"/>
        <v>73185</v>
      </c>
      <c r="E7075" t="str">
        <f t="shared" si="2877"/>
        <v>KFH-OPERATIONS DEPARTMENT</v>
      </c>
      <c r="F7075" t="str">
        <f t="shared" si="2878"/>
        <v>IBG</v>
      </c>
      <c r="G7075" t="str">
        <f t="shared" si="2891"/>
        <v>Refund COSHARE 10</v>
      </c>
      <c r="H7075" s="2">
        <v>949</v>
      </c>
      <c r="I7075" t="str">
        <f>"SYAIFUL AMZAR BIN SAMUDIN"</f>
        <v>SYAIFUL AMZAR BIN SAMUDIN</v>
      </c>
      <c r="J7075" t="str">
        <f t="shared" si="2892"/>
        <v>BANK SIMPANAN NASIONAL</v>
      </c>
      <c r="K7075" t="str">
        <f>"0213229812780335"</f>
        <v>0213229812780335</v>
      </c>
      <c r="L7075" t="str">
        <f t="shared" si="2893"/>
        <v>04-08-2020</v>
      </c>
      <c r="M7075" t="str">
        <f t="shared" si="2893"/>
        <v>04-08-2020</v>
      </c>
      <c r="N7075" t="str">
        <f t="shared" si="2880"/>
        <v>001105018356</v>
      </c>
      <c r="O7075" t="str">
        <f t="shared" si="2881"/>
        <v>MYR</v>
      </c>
      <c r="P7075" t="str">
        <f t="shared" si="2894"/>
        <v>NIL</v>
      </c>
      <c r="Q7075" t="str">
        <f t="shared" si="2894"/>
        <v>NIL</v>
      </c>
      <c r="R7075" t="str">
        <f t="shared" si="2895"/>
        <v>Accepted</v>
      </c>
      <c r="S7075" t="str">
        <f t="shared" si="2883"/>
        <v>Approved</v>
      </c>
      <c r="T7075" t="str">
        <f t="shared" si="2896"/>
        <v>10.20.8.188</v>
      </c>
      <c r="U7075" t="str">
        <f t="shared" si="2884"/>
        <v>AZRAD UMAR BIN SHAARI</v>
      </c>
      <c r="V7075" t="str">
        <f t="shared" si="2885"/>
        <v>FARHANA BINTI MUSTAPA</v>
      </c>
      <c r="W7075" t="str">
        <f t="shared" si="2886"/>
        <v>04-08-2020</v>
      </c>
      <c r="X7075" t="str">
        <f t="shared" si="2887"/>
        <v>RAZIMAH ANSAR AHMAD</v>
      </c>
      <c r="Y7075" t="str">
        <f t="shared" si="2888"/>
        <v>04-08-2020</v>
      </c>
      <c r="Z7075" t="str">
        <f>"COS10200804 2079"</f>
        <v>COS10200804 2079</v>
      </c>
    </row>
    <row r="7076" spans="1:26" x14ac:dyDescent="0.25">
      <c r="A7076" t="str">
        <f t="shared" si="2889"/>
        <v>04-08-2020 12:36:35</v>
      </c>
      <c r="B7076" t="str">
        <f>"0000803836"</f>
        <v>0000803836</v>
      </c>
      <c r="C7076" t="str">
        <f t="shared" si="2890"/>
        <v>0000803758</v>
      </c>
      <c r="D7076" t="str">
        <f t="shared" si="2876"/>
        <v>73185</v>
      </c>
      <c r="E7076" t="str">
        <f t="shared" si="2877"/>
        <v>KFH-OPERATIONS DEPARTMENT</v>
      </c>
      <c r="F7076" t="str">
        <f t="shared" si="2878"/>
        <v>IBG</v>
      </c>
      <c r="G7076" t="str">
        <f t="shared" si="2891"/>
        <v>Refund COSHARE 10</v>
      </c>
      <c r="H7076" s="2">
        <v>1173.7</v>
      </c>
      <c r="I7076" t="str">
        <f>"SUZIYATI BINTI MUTALIP"</f>
        <v>SUZIYATI BINTI MUTALIP</v>
      </c>
      <c r="J7076" t="str">
        <f t="shared" si="2892"/>
        <v>BANK SIMPANAN NASIONAL</v>
      </c>
      <c r="K7076" t="str">
        <f>"1210029817513250"</f>
        <v>1210029817513250</v>
      </c>
      <c r="L7076" t="str">
        <f t="shared" si="2893"/>
        <v>04-08-2020</v>
      </c>
      <c r="M7076" t="str">
        <f t="shared" si="2893"/>
        <v>04-08-2020</v>
      </c>
      <c r="N7076" t="str">
        <f t="shared" si="2880"/>
        <v>001105018356</v>
      </c>
      <c r="O7076" t="str">
        <f t="shared" si="2881"/>
        <v>MYR</v>
      </c>
      <c r="P7076" t="str">
        <f t="shared" si="2894"/>
        <v>NIL</v>
      </c>
      <c r="Q7076" t="str">
        <f t="shared" si="2894"/>
        <v>NIL</v>
      </c>
      <c r="R7076" t="str">
        <f t="shared" si="2895"/>
        <v>Accepted</v>
      </c>
      <c r="S7076" t="str">
        <f t="shared" si="2883"/>
        <v>Approved</v>
      </c>
      <c r="T7076" t="str">
        <f t="shared" si="2896"/>
        <v>10.20.8.188</v>
      </c>
      <c r="U7076" t="str">
        <f t="shared" si="2884"/>
        <v>AZRAD UMAR BIN SHAARI</v>
      </c>
      <c r="V7076" t="str">
        <f t="shared" si="2885"/>
        <v>FARHANA BINTI MUSTAPA</v>
      </c>
      <c r="W7076" t="str">
        <f t="shared" si="2886"/>
        <v>04-08-2020</v>
      </c>
      <c r="X7076" t="str">
        <f t="shared" si="2887"/>
        <v>RAZIMAH ANSAR AHMAD</v>
      </c>
      <c r="Y7076" t="str">
        <f t="shared" si="2888"/>
        <v>04-08-2020</v>
      </c>
      <c r="Z7076" t="str">
        <f>"COS10200804 2078"</f>
        <v>COS10200804 2078</v>
      </c>
    </row>
    <row r="7077" spans="1:26" x14ac:dyDescent="0.25">
      <c r="A7077" t="str">
        <f t="shared" si="2889"/>
        <v>04-08-2020 12:36:35</v>
      </c>
      <c r="B7077" t="str">
        <f>"0000803835"</f>
        <v>0000803835</v>
      </c>
      <c r="C7077" t="str">
        <f t="shared" si="2890"/>
        <v>0000803758</v>
      </c>
      <c r="D7077" t="str">
        <f t="shared" si="2876"/>
        <v>73185</v>
      </c>
      <c r="E7077" t="str">
        <f t="shared" si="2877"/>
        <v>KFH-OPERATIONS DEPARTMENT</v>
      </c>
      <c r="F7077" t="str">
        <f t="shared" si="2878"/>
        <v>IBG</v>
      </c>
      <c r="G7077" t="str">
        <f t="shared" si="2891"/>
        <v>Refund COSHARE 10</v>
      </c>
      <c r="H7077" s="2">
        <v>839.5</v>
      </c>
      <c r="I7077" t="str">
        <f>"SUZILAWATI BINTI ANA"</f>
        <v>SUZILAWATI BINTI ANA</v>
      </c>
      <c r="J7077" t="str">
        <f t="shared" si="2892"/>
        <v>BANK SIMPANAN NASIONAL</v>
      </c>
      <c r="K7077" t="str">
        <f>"1310029000440564"</f>
        <v>1310029000440564</v>
      </c>
      <c r="L7077" t="str">
        <f t="shared" si="2893"/>
        <v>04-08-2020</v>
      </c>
      <c r="M7077" t="str">
        <f t="shared" si="2893"/>
        <v>04-08-2020</v>
      </c>
      <c r="N7077" t="str">
        <f t="shared" si="2880"/>
        <v>001105018356</v>
      </c>
      <c r="O7077" t="str">
        <f t="shared" si="2881"/>
        <v>MYR</v>
      </c>
      <c r="P7077" t="str">
        <f t="shared" si="2894"/>
        <v>NIL</v>
      </c>
      <c r="Q7077" t="str">
        <f t="shared" si="2894"/>
        <v>NIL</v>
      </c>
      <c r="R7077" t="str">
        <f t="shared" si="2895"/>
        <v>Accepted</v>
      </c>
      <c r="S7077" t="str">
        <f t="shared" si="2883"/>
        <v>Approved</v>
      </c>
      <c r="T7077" t="str">
        <f t="shared" si="2896"/>
        <v>10.20.8.188</v>
      </c>
      <c r="U7077" t="str">
        <f t="shared" si="2884"/>
        <v>AZRAD UMAR BIN SHAARI</v>
      </c>
      <c r="V7077" t="str">
        <f t="shared" si="2885"/>
        <v>FARHANA BINTI MUSTAPA</v>
      </c>
      <c r="W7077" t="str">
        <f t="shared" si="2886"/>
        <v>04-08-2020</v>
      </c>
      <c r="X7077" t="str">
        <f t="shared" si="2887"/>
        <v>RAZIMAH ANSAR AHMAD</v>
      </c>
      <c r="Y7077" t="str">
        <f t="shared" si="2888"/>
        <v>04-08-2020</v>
      </c>
      <c r="Z7077" t="str">
        <f>"COS10200804 2077"</f>
        <v>COS10200804 2077</v>
      </c>
    </row>
    <row r="7078" spans="1:26" x14ac:dyDescent="0.25">
      <c r="A7078" t="str">
        <f t="shared" si="2889"/>
        <v>04-08-2020 12:36:35</v>
      </c>
      <c r="B7078" t="str">
        <f>"0000803834"</f>
        <v>0000803834</v>
      </c>
      <c r="C7078" t="str">
        <f t="shared" si="2890"/>
        <v>0000803758</v>
      </c>
      <c r="D7078" t="str">
        <f t="shared" si="2876"/>
        <v>73185</v>
      </c>
      <c r="E7078" t="str">
        <f t="shared" si="2877"/>
        <v>KFH-OPERATIONS DEPARTMENT</v>
      </c>
      <c r="F7078" t="str">
        <f t="shared" si="2878"/>
        <v>IBG</v>
      </c>
      <c r="G7078" t="str">
        <f t="shared" si="2891"/>
        <v>Refund COSHARE 10</v>
      </c>
      <c r="H7078" s="2">
        <v>91.5</v>
      </c>
      <c r="I7078" t="str">
        <f>"SUZI BINTI SAIAN"</f>
        <v>SUZI BINTI SAIAN</v>
      </c>
      <c r="J7078" t="str">
        <f t="shared" si="2892"/>
        <v>BANK SIMPANAN NASIONAL</v>
      </c>
      <c r="K7078" t="str">
        <f>"0112329855579769"</f>
        <v>0112329855579769</v>
      </c>
      <c r="L7078" t="str">
        <f t="shared" si="2893"/>
        <v>04-08-2020</v>
      </c>
      <c r="M7078" t="str">
        <f t="shared" si="2893"/>
        <v>04-08-2020</v>
      </c>
      <c r="N7078" t="str">
        <f t="shared" si="2880"/>
        <v>001105018356</v>
      </c>
      <c r="O7078" t="str">
        <f t="shared" si="2881"/>
        <v>MYR</v>
      </c>
      <c r="P7078" t="str">
        <f t="shared" si="2894"/>
        <v>NIL</v>
      </c>
      <c r="Q7078" t="str">
        <f t="shared" si="2894"/>
        <v>NIL</v>
      </c>
      <c r="R7078" t="str">
        <f t="shared" si="2895"/>
        <v>Accepted</v>
      </c>
      <c r="S7078" t="str">
        <f t="shared" si="2883"/>
        <v>Approved</v>
      </c>
      <c r="T7078" t="str">
        <f t="shared" si="2896"/>
        <v>10.20.8.188</v>
      </c>
      <c r="U7078" t="str">
        <f t="shared" si="2884"/>
        <v>AZRAD UMAR BIN SHAARI</v>
      </c>
      <c r="V7078" t="str">
        <f t="shared" si="2885"/>
        <v>FARHANA BINTI MUSTAPA</v>
      </c>
      <c r="W7078" t="str">
        <f t="shared" si="2886"/>
        <v>04-08-2020</v>
      </c>
      <c r="X7078" t="str">
        <f t="shared" si="2887"/>
        <v>RAZIMAH ANSAR AHMAD</v>
      </c>
      <c r="Y7078" t="str">
        <f t="shared" si="2888"/>
        <v>04-08-2020</v>
      </c>
      <c r="Z7078" t="str">
        <f>"COS10200804 2076"</f>
        <v>COS10200804 2076</v>
      </c>
    </row>
    <row r="7079" spans="1:26" x14ac:dyDescent="0.25">
      <c r="A7079" t="str">
        <f t="shared" si="2889"/>
        <v>04-08-2020 12:36:35</v>
      </c>
      <c r="B7079" t="str">
        <f>"0000803833"</f>
        <v>0000803833</v>
      </c>
      <c r="C7079" t="str">
        <f t="shared" si="2890"/>
        <v>0000803758</v>
      </c>
      <c r="D7079" t="str">
        <f t="shared" si="2876"/>
        <v>73185</v>
      </c>
      <c r="E7079" t="str">
        <f t="shared" si="2877"/>
        <v>KFH-OPERATIONS DEPARTMENT</v>
      </c>
      <c r="F7079" t="str">
        <f t="shared" si="2878"/>
        <v>IBG</v>
      </c>
      <c r="G7079" t="str">
        <f t="shared" si="2891"/>
        <v>Refund COSHARE 10</v>
      </c>
      <c r="H7079" s="2">
        <v>50.4</v>
      </c>
      <c r="I7079" t="str">
        <f>"SUZANA BINTI WASLI"</f>
        <v>SUZANA BINTI WASLI</v>
      </c>
      <c r="J7079" t="str">
        <f t="shared" si="2892"/>
        <v>BANK SIMPANAN NASIONAL</v>
      </c>
      <c r="K7079" t="str">
        <f>"1310029000022323"</f>
        <v>1310029000022323</v>
      </c>
      <c r="L7079" t="str">
        <f t="shared" si="2893"/>
        <v>04-08-2020</v>
      </c>
      <c r="M7079" t="str">
        <f t="shared" si="2893"/>
        <v>04-08-2020</v>
      </c>
      <c r="N7079" t="str">
        <f t="shared" si="2880"/>
        <v>001105018356</v>
      </c>
      <c r="O7079" t="str">
        <f t="shared" si="2881"/>
        <v>MYR</v>
      </c>
      <c r="P7079" t="str">
        <f t="shared" si="2894"/>
        <v>NIL</v>
      </c>
      <c r="Q7079" t="str">
        <f t="shared" si="2894"/>
        <v>NIL</v>
      </c>
      <c r="R7079" t="str">
        <f t="shared" si="2895"/>
        <v>Accepted</v>
      </c>
      <c r="S7079" t="str">
        <f t="shared" si="2883"/>
        <v>Approved</v>
      </c>
      <c r="T7079" t="str">
        <f t="shared" si="2896"/>
        <v>10.20.8.188</v>
      </c>
      <c r="U7079" t="str">
        <f t="shared" si="2884"/>
        <v>AZRAD UMAR BIN SHAARI</v>
      </c>
      <c r="V7079" t="str">
        <f t="shared" si="2885"/>
        <v>FARHANA BINTI MUSTAPA</v>
      </c>
      <c r="W7079" t="str">
        <f t="shared" si="2886"/>
        <v>04-08-2020</v>
      </c>
      <c r="X7079" t="str">
        <f t="shared" si="2887"/>
        <v>RAZIMAH ANSAR AHMAD</v>
      </c>
      <c r="Y7079" t="str">
        <f t="shared" si="2888"/>
        <v>04-08-2020</v>
      </c>
      <c r="Z7079" t="str">
        <f>"COS10200804 2075"</f>
        <v>COS10200804 2075</v>
      </c>
    </row>
    <row r="7080" spans="1:26" x14ac:dyDescent="0.25">
      <c r="A7080" t="str">
        <f t="shared" si="2889"/>
        <v>04-08-2020 12:36:35</v>
      </c>
      <c r="B7080" t="str">
        <f>"0000803832"</f>
        <v>0000803832</v>
      </c>
      <c r="C7080" t="str">
        <f t="shared" si="2890"/>
        <v>0000803758</v>
      </c>
      <c r="D7080" t="str">
        <f t="shared" si="2876"/>
        <v>73185</v>
      </c>
      <c r="E7080" t="str">
        <f t="shared" si="2877"/>
        <v>KFH-OPERATIONS DEPARTMENT</v>
      </c>
      <c r="F7080" t="str">
        <f t="shared" si="2878"/>
        <v>IBG</v>
      </c>
      <c r="G7080" t="str">
        <f t="shared" si="2891"/>
        <v>Refund COSHARE 10</v>
      </c>
      <c r="H7080" s="2">
        <v>1006.5</v>
      </c>
      <c r="I7080" t="str">
        <f>"SURWATI KARTINI BINTI ISMAIL  MUSA"</f>
        <v>SURWATI KARTINI BINTI ISMAIL  MUSA</v>
      </c>
      <c r="J7080" t="str">
        <f t="shared" si="2892"/>
        <v>BANK SIMPANAN NASIONAL</v>
      </c>
      <c r="K7080" t="str">
        <f>"1110029874621634"</f>
        <v>1110029874621634</v>
      </c>
      <c r="L7080" t="str">
        <f t="shared" si="2893"/>
        <v>04-08-2020</v>
      </c>
      <c r="M7080" t="str">
        <f t="shared" si="2893"/>
        <v>04-08-2020</v>
      </c>
      <c r="N7080" t="str">
        <f t="shared" si="2880"/>
        <v>001105018356</v>
      </c>
      <c r="O7080" t="str">
        <f t="shared" si="2881"/>
        <v>MYR</v>
      </c>
      <c r="P7080" t="str">
        <f t="shared" si="2894"/>
        <v>NIL</v>
      </c>
      <c r="Q7080" t="str">
        <f t="shared" si="2894"/>
        <v>NIL</v>
      </c>
      <c r="R7080" t="str">
        <f t="shared" si="2895"/>
        <v>Accepted</v>
      </c>
      <c r="S7080" t="str">
        <f t="shared" si="2883"/>
        <v>Approved</v>
      </c>
      <c r="T7080" t="str">
        <f t="shared" si="2896"/>
        <v>10.20.8.188</v>
      </c>
      <c r="U7080" t="str">
        <f t="shared" si="2884"/>
        <v>AZRAD UMAR BIN SHAARI</v>
      </c>
      <c r="V7080" t="str">
        <f t="shared" si="2885"/>
        <v>FARHANA BINTI MUSTAPA</v>
      </c>
      <c r="W7080" t="str">
        <f t="shared" si="2886"/>
        <v>04-08-2020</v>
      </c>
      <c r="X7080" t="str">
        <f t="shared" si="2887"/>
        <v>RAZIMAH ANSAR AHMAD</v>
      </c>
      <c r="Y7080" t="str">
        <f t="shared" si="2888"/>
        <v>04-08-2020</v>
      </c>
      <c r="Z7080" t="str">
        <f>"COS10200804 2074"</f>
        <v>COS10200804 2074</v>
      </c>
    </row>
    <row r="7081" spans="1:26" x14ac:dyDescent="0.25">
      <c r="A7081" t="str">
        <f t="shared" si="2889"/>
        <v>04-08-2020 12:36:35</v>
      </c>
      <c r="B7081" t="str">
        <f>"0000803831"</f>
        <v>0000803831</v>
      </c>
      <c r="C7081" t="str">
        <f t="shared" si="2890"/>
        <v>0000803758</v>
      </c>
      <c r="D7081" t="str">
        <f t="shared" si="2876"/>
        <v>73185</v>
      </c>
      <c r="E7081" t="str">
        <f t="shared" si="2877"/>
        <v>KFH-OPERATIONS DEPARTMENT</v>
      </c>
      <c r="F7081" t="str">
        <f t="shared" si="2878"/>
        <v>IBG</v>
      </c>
      <c r="G7081" t="str">
        <f t="shared" si="2891"/>
        <v>Refund COSHARE 10</v>
      </c>
      <c r="H7081" s="2">
        <v>139.75</v>
      </c>
      <c r="I7081" t="str">
        <f>"SURIATI BINTI SHAARI"</f>
        <v>SURIATI BINTI SHAARI</v>
      </c>
      <c r="J7081" t="str">
        <f t="shared" si="2892"/>
        <v>BANK SIMPANAN NASIONAL</v>
      </c>
      <c r="K7081" t="str">
        <f>"1411929850864306"</f>
        <v>1411929850864306</v>
      </c>
      <c r="L7081" t="str">
        <f t="shared" si="2893"/>
        <v>04-08-2020</v>
      </c>
      <c r="M7081" t="str">
        <f t="shared" si="2893"/>
        <v>04-08-2020</v>
      </c>
      <c r="N7081" t="str">
        <f t="shared" si="2880"/>
        <v>001105018356</v>
      </c>
      <c r="O7081" t="str">
        <f t="shared" si="2881"/>
        <v>MYR</v>
      </c>
      <c r="P7081" t="str">
        <f t="shared" si="2894"/>
        <v>NIL</v>
      </c>
      <c r="Q7081" t="str">
        <f t="shared" si="2894"/>
        <v>NIL</v>
      </c>
      <c r="R7081" t="str">
        <f t="shared" si="2895"/>
        <v>Accepted</v>
      </c>
      <c r="S7081" t="str">
        <f t="shared" si="2883"/>
        <v>Approved</v>
      </c>
      <c r="T7081" t="str">
        <f t="shared" si="2896"/>
        <v>10.20.8.188</v>
      </c>
      <c r="U7081" t="str">
        <f t="shared" si="2884"/>
        <v>AZRAD UMAR BIN SHAARI</v>
      </c>
      <c r="V7081" t="str">
        <f t="shared" si="2885"/>
        <v>FARHANA BINTI MUSTAPA</v>
      </c>
      <c r="W7081" t="str">
        <f t="shared" si="2886"/>
        <v>04-08-2020</v>
      </c>
      <c r="X7081" t="str">
        <f t="shared" si="2887"/>
        <v>RAZIMAH ANSAR AHMAD</v>
      </c>
      <c r="Y7081" t="str">
        <f t="shared" si="2888"/>
        <v>04-08-2020</v>
      </c>
      <c r="Z7081" t="str">
        <f>"COS10200804 2073"</f>
        <v>COS10200804 2073</v>
      </c>
    </row>
    <row r="7082" spans="1:26" x14ac:dyDescent="0.25">
      <c r="A7082" t="str">
        <f t="shared" ref="A7082:A7113" si="2897">"04-08-2020 12:36:35"</f>
        <v>04-08-2020 12:36:35</v>
      </c>
      <c r="B7082" t="str">
        <f>"0000803830"</f>
        <v>0000803830</v>
      </c>
      <c r="C7082" t="str">
        <f t="shared" ref="C7082:C7113" si="2898">"0000803758"</f>
        <v>0000803758</v>
      </c>
      <c r="D7082" t="str">
        <f t="shared" si="2876"/>
        <v>73185</v>
      </c>
      <c r="E7082" t="str">
        <f t="shared" si="2877"/>
        <v>KFH-OPERATIONS DEPARTMENT</v>
      </c>
      <c r="F7082" t="str">
        <f t="shared" si="2878"/>
        <v>IBG</v>
      </c>
      <c r="G7082" t="str">
        <f t="shared" si="2891"/>
        <v>Refund COSHARE 10</v>
      </c>
      <c r="H7082" s="2">
        <v>394.55</v>
      </c>
      <c r="I7082" t="str">
        <f>"SURIANI  SURAINI BINTI MOHD TAIF"</f>
        <v>SURIANI  SURAINI BINTI MOHD TAIF</v>
      </c>
      <c r="J7082" t="str">
        <f t="shared" si="2892"/>
        <v>BANK SIMPANAN NASIONAL</v>
      </c>
      <c r="K7082" t="str">
        <f>"0710029813074437"</f>
        <v>0710029813074437</v>
      </c>
      <c r="L7082" t="str">
        <f t="shared" si="2893"/>
        <v>04-08-2020</v>
      </c>
      <c r="M7082" t="str">
        <f t="shared" si="2893"/>
        <v>04-08-2020</v>
      </c>
      <c r="N7082" t="str">
        <f t="shared" si="2880"/>
        <v>001105018356</v>
      </c>
      <c r="O7082" t="str">
        <f t="shared" si="2881"/>
        <v>MYR</v>
      </c>
      <c r="P7082" t="str">
        <f t="shared" si="2894"/>
        <v>NIL</v>
      </c>
      <c r="Q7082" t="str">
        <f t="shared" si="2894"/>
        <v>NIL</v>
      </c>
      <c r="R7082" t="str">
        <f t="shared" si="2895"/>
        <v>Accepted</v>
      </c>
      <c r="S7082" t="str">
        <f t="shared" si="2883"/>
        <v>Approved</v>
      </c>
      <c r="T7082" t="str">
        <f t="shared" si="2896"/>
        <v>10.20.8.188</v>
      </c>
      <c r="U7082" t="str">
        <f t="shared" si="2884"/>
        <v>AZRAD UMAR BIN SHAARI</v>
      </c>
      <c r="V7082" t="str">
        <f t="shared" si="2885"/>
        <v>FARHANA BINTI MUSTAPA</v>
      </c>
      <c r="W7082" t="str">
        <f t="shared" si="2886"/>
        <v>04-08-2020</v>
      </c>
      <c r="X7082" t="str">
        <f t="shared" si="2887"/>
        <v>RAZIMAH ANSAR AHMAD</v>
      </c>
      <c r="Y7082" t="str">
        <f t="shared" si="2888"/>
        <v>04-08-2020</v>
      </c>
      <c r="Z7082" t="str">
        <f>"COS10200804 2072"</f>
        <v>COS10200804 2072</v>
      </c>
    </row>
    <row r="7083" spans="1:26" x14ac:dyDescent="0.25">
      <c r="A7083" t="str">
        <f t="shared" si="2897"/>
        <v>04-08-2020 12:36:35</v>
      </c>
      <c r="B7083" t="str">
        <f>"0000803829"</f>
        <v>0000803829</v>
      </c>
      <c r="C7083" t="str">
        <f t="shared" si="2898"/>
        <v>0000803758</v>
      </c>
      <c r="D7083" t="str">
        <f t="shared" si="2876"/>
        <v>73185</v>
      </c>
      <c r="E7083" t="str">
        <f t="shared" si="2877"/>
        <v>KFH-OPERATIONS DEPARTMENT</v>
      </c>
      <c r="F7083" t="str">
        <f t="shared" si="2878"/>
        <v>IBG</v>
      </c>
      <c r="G7083" t="str">
        <f t="shared" si="2891"/>
        <v>Refund COSHARE 10</v>
      </c>
      <c r="H7083" s="2">
        <v>117.8</v>
      </c>
      <c r="I7083" t="str">
        <f>"SURAYA BINTI RAZALI"</f>
        <v>SURAYA BINTI RAZALI</v>
      </c>
      <c r="J7083" t="str">
        <f t="shared" si="2892"/>
        <v>BANK SIMPANAN NASIONAL</v>
      </c>
      <c r="K7083" t="str">
        <f>"1416329850961626"</f>
        <v>1416329850961626</v>
      </c>
      <c r="L7083" t="str">
        <f t="shared" si="2893"/>
        <v>04-08-2020</v>
      </c>
      <c r="M7083" t="str">
        <f t="shared" si="2893"/>
        <v>04-08-2020</v>
      </c>
      <c r="N7083" t="str">
        <f t="shared" si="2880"/>
        <v>001105018356</v>
      </c>
      <c r="O7083" t="str">
        <f t="shared" si="2881"/>
        <v>MYR</v>
      </c>
      <c r="P7083" t="str">
        <f t="shared" si="2894"/>
        <v>NIL</v>
      </c>
      <c r="Q7083" t="str">
        <f t="shared" si="2894"/>
        <v>NIL</v>
      </c>
      <c r="R7083" t="str">
        <f t="shared" si="2895"/>
        <v>Accepted</v>
      </c>
      <c r="S7083" t="str">
        <f t="shared" si="2883"/>
        <v>Approved</v>
      </c>
      <c r="T7083" t="str">
        <f t="shared" si="2896"/>
        <v>10.20.8.188</v>
      </c>
      <c r="U7083" t="str">
        <f t="shared" si="2884"/>
        <v>AZRAD UMAR BIN SHAARI</v>
      </c>
      <c r="V7083" t="str">
        <f t="shared" si="2885"/>
        <v>FARHANA BINTI MUSTAPA</v>
      </c>
      <c r="W7083" t="str">
        <f t="shared" si="2886"/>
        <v>04-08-2020</v>
      </c>
      <c r="X7083" t="str">
        <f t="shared" si="2887"/>
        <v>RAZIMAH ANSAR AHMAD</v>
      </c>
      <c r="Y7083" t="str">
        <f t="shared" si="2888"/>
        <v>04-08-2020</v>
      </c>
      <c r="Z7083" t="str">
        <f>"COS10200804 2071"</f>
        <v>COS10200804 2071</v>
      </c>
    </row>
    <row r="7084" spans="1:26" x14ac:dyDescent="0.25">
      <c r="A7084" t="str">
        <f t="shared" si="2897"/>
        <v>04-08-2020 12:36:35</v>
      </c>
      <c r="B7084" t="str">
        <f>"0000803828"</f>
        <v>0000803828</v>
      </c>
      <c r="C7084" t="str">
        <f t="shared" si="2898"/>
        <v>0000803758</v>
      </c>
      <c r="D7084" t="str">
        <f t="shared" si="2876"/>
        <v>73185</v>
      </c>
      <c r="E7084" t="str">
        <f t="shared" si="2877"/>
        <v>KFH-OPERATIONS DEPARTMENT</v>
      </c>
      <c r="F7084" t="str">
        <f t="shared" si="2878"/>
        <v>IBG</v>
      </c>
      <c r="G7084" t="str">
        <f t="shared" si="2891"/>
        <v>Refund COSHARE 10</v>
      </c>
      <c r="H7084" s="2">
        <v>327</v>
      </c>
      <c r="I7084" t="str">
        <f>"SURAYA BINTI OSENG"</f>
        <v>SURAYA BINTI OSENG</v>
      </c>
      <c r="J7084" t="str">
        <f t="shared" si="2892"/>
        <v>BANK SIMPANAN NASIONAL</v>
      </c>
      <c r="K7084" t="str">
        <f>"1310029000338050"</f>
        <v>1310029000338050</v>
      </c>
      <c r="L7084" t="str">
        <f t="shared" si="2893"/>
        <v>04-08-2020</v>
      </c>
      <c r="M7084" t="str">
        <f t="shared" si="2893"/>
        <v>04-08-2020</v>
      </c>
      <c r="N7084" t="str">
        <f t="shared" si="2880"/>
        <v>001105018356</v>
      </c>
      <c r="O7084" t="str">
        <f t="shared" si="2881"/>
        <v>MYR</v>
      </c>
      <c r="P7084" t="str">
        <f t="shared" si="2894"/>
        <v>NIL</v>
      </c>
      <c r="Q7084" t="str">
        <f t="shared" si="2894"/>
        <v>NIL</v>
      </c>
      <c r="R7084" t="str">
        <f t="shared" si="2895"/>
        <v>Accepted</v>
      </c>
      <c r="S7084" t="str">
        <f t="shared" si="2883"/>
        <v>Approved</v>
      </c>
      <c r="T7084" t="str">
        <f t="shared" si="2896"/>
        <v>10.20.8.188</v>
      </c>
      <c r="U7084" t="str">
        <f t="shared" si="2884"/>
        <v>AZRAD UMAR BIN SHAARI</v>
      </c>
      <c r="V7084" t="str">
        <f t="shared" si="2885"/>
        <v>FARHANA BINTI MUSTAPA</v>
      </c>
      <c r="W7084" t="str">
        <f t="shared" si="2886"/>
        <v>04-08-2020</v>
      </c>
      <c r="X7084" t="str">
        <f t="shared" si="2887"/>
        <v>RAZIMAH ANSAR AHMAD</v>
      </c>
      <c r="Y7084" t="str">
        <f t="shared" si="2888"/>
        <v>04-08-2020</v>
      </c>
      <c r="Z7084" t="str">
        <f>"COS10200804 2070"</f>
        <v>COS10200804 2070</v>
      </c>
    </row>
    <row r="7085" spans="1:26" x14ac:dyDescent="0.25">
      <c r="A7085" t="str">
        <f t="shared" si="2897"/>
        <v>04-08-2020 12:36:35</v>
      </c>
      <c r="B7085" t="str">
        <f>"0000803827"</f>
        <v>0000803827</v>
      </c>
      <c r="C7085" t="str">
        <f t="shared" si="2898"/>
        <v>0000803758</v>
      </c>
      <c r="D7085" t="str">
        <f t="shared" si="2876"/>
        <v>73185</v>
      </c>
      <c r="E7085" t="str">
        <f t="shared" si="2877"/>
        <v>KFH-OPERATIONS DEPARTMENT</v>
      </c>
      <c r="F7085" t="str">
        <f t="shared" si="2878"/>
        <v>IBG</v>
      </c>
      <c r="G7085" t="str">
        <f t="shared" si="2891"/>
        <v>Refund COSHARE 10</v>
      </c>
      <c r="H7085" s="2">
        <v>167.9</v>
      </c>
      <c r="I7085" t="str">
        <f>"SULAIMAN BIN SUHAILI"</f>
        <v>SULAIMAN BIN SUHAILI</v>
      </c>
      <c r="J7085" t="str">
        <f t="shared" si="2892"/>
        <v>BANK SIMPANAN NASIONAL</v>
      </c>
      <c r="K7085" t="str">
        <f>"1210029834871105"</f>
        <v>1210029834871105</v>
      </c>
      <c r="L7085" t="str">
        <f t="shared" si="2893"/>
        <v>04-08-2020</v>
      </c>
      <c r="M7085" t="str">
        <f t="shared" si="2893"/>
        <v>04-08-2020</v>
      </c>
      <c r="N7085" t="str">
        <f t="shared" si="2880"/>
        <v>001105018356</v>
      </c>
      <c r="O7085" t="str">
        <f t="shared" si="2881"/>
        <v>MYR</v>
      </c>
      <c r="P7085" t="str">
        <f t="shared" si="2894"/>
        <v>NIL</v>
      </c>
      <c r="Q7085" t="str">
        <f t="shared" si="2894"/>
        <v>NIL</v>
      </c>
      <c r="R7085" t="str">
        <f t="shared" si="2895"/>
        <v>Accepted</v>
      </c>
      <c r="S7085" t="str">
        <f t="shared" si="2883"/>
        <v>Approved</v>
      </c>
      <c r="T7085" t="str">
        <f t="shared" si="2896"/>
        <v>10.20.8.188</v>
      </c>
      <c r="U7085" t="str">
        <f t="shared" si="2884"/>
        <v>AZRAD UMAR BIN SHAARI</v>
      </c>
      <c r="V7085" t="str">
        <f t="shared" si="2885"/>
        <v>FARHANA BINTI MUSTAPA</v>
      </c>
      <c r="W7085" t="str">
        <f t="shared" si="2886"/>
        <v>04-08-2020</v>
      </c>
      <c r="X7085" t="str">
        <f t="shared" si="2887"/>
        <v>RAZIMAH ANSAR AHMAD</v>
      </c>
      <c r="Y7085" t="str">
        <f t="shared" si="2888"/>
        <v>04-08-2020</v>
      </c>
      <c r="Z7085" t="str">
        <f>"COS10200804 2069"</f>
        <v>COS10200804 2069</v>
      </c>
    </row>
    <row r="7086" spans="1:26" x14ac:dyDescent="0.25">
      <c r="A7086" t="str">
        <f t="shared" si="2897"/>
        <v>04-08-2020 12:36:35</v>
      </c>
      <c r="B7086" t="str">
        <f>"0000803826"</f>
        <v>0000803826</v>
      </c>
      <c r="C7086" t="str">
        <f t="shared" si="2898"/>
        <v>0000803758</v>
      </c>
      <c r="D7086" t="str">
        <f t="shared" si="2876"/>
        <v>73185</v>
      </c>
      <c r="E7086" t="str">
        <f t="shared" si="2877"/>
        <v>KFH-OPERATIONS DEPARTMENT</v>
      </c>
      <c r="F7086" t="str">
        <f t="shared" si="2878"/>
        <v>IBG</v>
      </c>
      <c r="G7086" t="str">
        <f t="shared" si="2891"/>
        <v>Refund COSHARE 10</v>
      </c>
      <c r="H7086" s="2">
        <v>293.85000000000002</v>
      </c>
      <c r="I7086" t="str">
        <f>"SUKMARAIZAN BINTI ISMAIL"</f>
        <v>SUKMARAIZAN BINTI ISMAIL</v>
      </c>
      <c r="J7086" t="str">
        <f t="shared" si="2892"/>
        <v>BANK SIMPANAN NASIONAL</v>
      </c>
      <c r="K7086" t="str">
        <f>"0310029848625260"</f>
        <v>0310029848625260</v>
      </c>
      <c r="L7086" t="str">
        <f t="shared" si="2893"/>
        <v>04-08-2020</v>
      </c>
      <c r="M7086" t="str">
        <f t="shared" si="2893"/>
        <v>04-08-2020</v>
      </c>
      <c r="N7086" t="str">
        <f t="shared" si="2880"/>
        <v>001105018356</v>
      </c>
      <c r="O7086" t="str">
        <f t="shared" si="2881"/>
        <v>MYR</v>
      </c>
      <c r="P7086" t="str">
        <f t="shared" si="2894"/>
        <v>NIL</v>
      </c>
      <c r="Q7086" t="str">
        <f t="shared" si="2894"/>
        <v>NIL</v>
      </c>
      <c r="R7086" t="str">
        <f t="shared" si="2895"/>
        <v>Accepted</v>
      </c>
      <c r="S7086" t="str">
        <f t="shared" si="2883"/>
        <v>Approved</v>
      </c>
      <c r="T7086" t="str">
        <f t="shared" si="2896"/>
        <v>10.20.8.188</v>
      </c>
      <c r="U7086" t="str">
        <f t="shared" si="2884"/>
        <v>AZRAD UMAR BIN SHAARI</v>
      </c>
      <c r="V7086" t="str">
        <f t="shared" si="2885"/>
        <v>FARHANA BINTI MUSTAPA</v>
      </c>
      <c r="W7086" t="str">
        <f t="shared" si="2886"/>
        <v>04-08-2020</v>
      </c>
      <c r="X7086" t="str">
        <f t="shared" si="2887"/>
        <v>RAZIMAH ANSAR AHMAD</v>
      </c>
      <c r="Y7086" t="str">
        <f t="shared" si="2888"/>
        <v>04-08-2020</v>
      </c>
      <c r="Z7086" t="str">
        <f>"COS10200804 2068"</f>
        <v>COS10200804 2068</v>
      </c>
    </row>
    <row r="7087" spans="1:26" x14ac:dyDescent="0.25">
      <c r="A7087" t="str">
        <f t="shared" si="2897"/>
        <v>04-08-2020 12:36:35</v>
      </c>
      <c r="B7087" t="str">
        <f>"0000803825"</f>
        <v>0000803825</v>
      </c>
      <c r="C7087" t="str">
        <f t="shared" si="2898"/>
        <v>0000803758</v>
      </c>
      <c r="D7087" t="str">
        <f t="shared" si="2876"/>
        <v>73185</v>
      </c>
      <c r="E7087" t="str">
        <f t="shared" si="2877"/>
        <v>KFH-OPERATIONS DEPARTMENT</v>
      </c>
      <c r="F7087" t="str">
        <f t="shared" si="2878"/>
        <v>IBG</v>
      </c>
      <c r="G7087" t="str">
        <f t="shared" si="2891"/>
        <v>Refund COSHARE 10</v>
      </c>
      <c r="H7087" s="2">
        <v>1007.4</v>
      </c>
      <c r="I7087" t="str">
        <f>"SUITI BINTI KUMBONG"</f>
        <v>SUITI BINTI KUMBONG</v>
      </c>
      <c r="J7087" t="str">
        <f t="shared" si="2892"/>
        <v>BANK SIMPANAN NASIONAL</v>
      </c>
      <c r="K7087" t="str">
        <f>"1211229897254561"</f>
        <v>1211229897254561</v>
      </c>
      <c r="L7087" t="str">
        <f t="shared" ref="L7087:M7106" si="2899">"04-08-2020"</f>
        <v>04-08-2020</v>
      </c>
      <c r="M7087" t="str">
        <f t="shared" si="2899"/>
        <v>04-08-2020</v>
      </c>
      <c r="N7087" t="str">
        <f t="shared" si="2880"/>
        <v>001105018356</v>
      </c>
      <c r="O7087" t="str">
        <f t="shared" si="2881"/>
        <v>MYR</v>
      </c>
      <c r="P7087" t="str">
        <f t="shared" ref="P7087:Q7106" si="2900">"NIL"</f>
        <v>NIL</v>
      </c>
      <c r="Q7087" t="str">
        <f t="shared" si="2900"/>
        <v>NIL</v>
      </c>
      <c r="R7087" t="str">
        <f t="shared" si="2895"/>
        <v>Accepted</v>
      </c>
      <c r="S7087" t="str">
        <f t="shared" si="2883"/>
        <v>Approved</v>
      </c>
      <c r="T7087" t="str">
        <f t="shared" si="2896"/>
        <v>10.20.8.188</v>
      </c>
      <c r="U7087" t="str">
        <f t="shared" si="2884"/>
        <v>AZRAD UMAR BIN SHAARI</v>
      </c>
      <c r="V7087" t="str">
        <f t="shared" si="2885"/>
        <v>FARHANA BINTI MUSTAPA</v>
      </c>
      <c r="W7087" t="str">
        <f t="shared" si="2886"/>
        <v>04-08-2020</v>
      </c>
      <c r="X7087" t="str">
        <f t="shared" si="2887"/>
        <v>RAZIMAH ANSAR AHMAD</v>
      </c>
      <c r="Y7087" t="str">
        <f t="shared" si="2888"/>
        <v>04-08-2020</v>
      </c>
      <c r="Z7087" t="str">
        <f>"COS10200804 2067"</f>
        <v>COS10200804 2067</v>
      </c>
    </row>
    <row r="7088" spans="1:26" x14ac:dyDescent="0.25">
      <c r="A7088" t="str">
        <f t="shared" si="2897"/>
        <v>04-08-2020 12:36:35</v>
      </c>
      <c r="B7088" t="str">
        <f>"0000803824"</f>
        <v>0000803824</v>
      </c>
      <c r="C7088" t="str">
        <f t="shared" si="2898"/>
        <v>0000803758</v>
      </c>
      <c r="D7088" t="str">
        <f t="shared" si="2876"/>
        <v>73185</v>
      </c>
      <c r="E7088" t="str">
        <f t="shared" si="2877"/>
        <v>KFH-OPERATIONS DEPARTMENT</v>
      </c>
      <c r="F7088" t="str">
        <f t="shared" si="2878"/>
        <v>IBG</v>
      </c>
      <c r="G7088" t="str">
        <f t="shared" si="2891"/>
        <v>Refund COSHARE 10</v>
      </c>
      <c r="H7088" s="2">
        <v>960</v>
      </c>
      <c r="I7088" t="str">
        <f>"SUHANA BINTI SHAFIE"</f>
        <v>SUHANA BINTI SHAFIE</v>
      </c>
      <c r="J7088" t="str">
        <f t="shared" si="2892"/>
        <v>BANK SIMPANAN NASIONAL</v>
      </c>
      <c r="K7088" t="str">
        <f>"0610029863856005"</f>
        <v>0610029863856005</v>
      </c>
      <c r="L7088" t="str">
        <f t="shared" si="2899"/>
        <v>04-08-2020</v>
      </c>
      <c r="M7088" t="str">
        <f t="shared" si="2899"/>
        <v>04-08-2020</v>
      </c>
      <c r="N7088" t="str">
        <f t="shared" si="2880"/>
        <v>001105018356</v>
      </c>
      <c r="O7088" t="str">
        <f t="shared" si="2881"/>
        <v>MYR</v>
      </c>
      <c r="P7088" t="str">
        <f t="shared" si="2900"/>
        <v>NIL</v>
      </c>
      <c r="Q7088" t="str">
        <f t="shared" si="2900"/>
        <v>NIL</v>
      </c>
      <c r="R7088" t="str">
        <f t="shared" si="2895"/>
        <v>Accepted</v>
      </c>
      <c r="S7088" t="str">
        <f t="shared" si="2883"/>
        <v>Approved</v>
      </c>
      <c r="T7088" t="str">
        <f t="shared" si="2896"/>
        <v>10.20.8.188</v>
      </c>
      <c r="U7088" t="str">
        <f t="shared" si="2884"/>
        <v>AZRAD UMAR BIN SHAARI</v>
      </c>
      <c r="V7088" t="str">
        <f t="shared" si="2885"/>
        <v>FARHANA BINTI MUSTAPA</v>
      </c>
      <c r="W7088" t="str">
        <f t="shared" si="2886"/>
        <v>04-08-2020</v>
      </c>
      <c r="X7088" t="str">
        <f t="shared" si="2887"/>
        <v>RAZIMAH ANSAR AHMAD</v>
      </c>
      <c r="Y7088" t="str">
        <f t="shared" si="2888"/>
        <v>04-08-2020</v>
      </c>
      <c r="Z7088" t="str">
        <f>"COS10200804 2066"</f>
        <v>COS10200804 2066</v>
      </c>
    </row>
    <row r="7089" spans="1:26" x14ac:dyDescent="0.25">
      <c r="A7089" t="str">
        <f t="shared" si="2897"/>
        <v>04-08-2020 12:36:35</v>
      </c>
      <c r="B7089" t="str">
        <f>"0000803823"</f>
        <v>0000803823</v>
      </c>
      <c r="C7089" t="str">
        <f t="shared" si="2898"/>
        <v>0000803758</v>
      </c>
      <c r="D7089" t="str">
        <f t="shared" si="2876"/>
        <v>73185</v>
      </c>
      <c r="E7089" t="str">
        <f t="shared" si="2877"/>
        <v>KFH-OPERATIONS DEPARTMENT</v>
      </c>
      <c r="F7089" t="str">
        <f t="shared" si="2878"/>
        <v>IBG</v>
      </c>
      <c r="G7089" t="str">
        <f t="shared" si="2891"/>
        <v>Refund COSHARE 10</v>
      </c>
      <c r="H7089" s="2">
        <v>461.75</v>
      </c>
      <c r="I7089" t="str">
        <f>"SUHAINI BINTI MOHD SAID"</f>
        <v>SUHAINI BINTI MOHD SAID</v>
      </c>
      <c r="J7089" t="str">
        <f t="shared" si="2892"/>
        <v>BANK SIMPANAN NASIONAL</v>
      </c>
      <c r="K7089" t="str">
        <f>"1011641000059160"</f>
        <v>1011641000059160</v>
      </c>
      <c r="L7089" t="str">
        <f t="shared" si="2899"/>
        <v>04-08-2020</v>
      </c>
      <c r="M7089" t="str">
        <f t="shared" si="2899"/>
        <v>04-08-2020</v>
      </c>
      <c r="N7089" t="str">
        <f t="shared" si="2880"/>
        <v>001105018356</v>
      </c>
      <c r="O7089" t="str">
        <f t="shared" si="2881"/>
        <v>MYR</v>
      </c>
      <c r="P7089" t="str">
        <f t="shared" si="2900"/>
        <v>NIL</v>
      </c>
      <c r="Q7089" t="str">
        <f t="shared" si="2900"/>
        <v>NIL</v>
      </c>
      <c r="R7089" t="str">
        <f t="shared" si="2895"/>
        <v>Accepted</v>
      </c>
      <c r="S7089" t="str">
        <f t="shared" si="2883"/>
        <v>Approved</v>
      </c>
      <c r="T7089" t="str">
        <f t="shared" si="2896"/>
        <v>10.20.8.188</v>
      </c>
      <c r="U7089" t="str">
        <f t="shared" si="2884"/>
        <v>AZRAD UMAR BIN SHAARI</v>
      </c>
      <c r="V7089" t="str">
        <f t="shared" si="2885"/>
        <v>FARHANA BINTI MUSTAPA</v>
      </c>
      <c r="W7089" t="str">
        <f t="shared" si="2886"/>
        <v>04-08-2020</v>
      </c>
      <c r="X7089" t="str">
        <f t="shared" si="2887"/>
        <v>RAZIMAH ANSAR AHMAD</v>
      </c>
      <c r="Y7089" t="str">
        <f t="shared" si="2888"/>
        <v>04-08-2020</v>
      </c>
      <c r="Z7089" t="str">
        <f>"COS10200804 2065"</f>
        <v>COS10200804 2065</v>
      </c>
    </row>
    <row r="7090" spans="1:26" x14ac:dyDescent="0.25">
      <c r="A7090" t="str">
        <f t="shared" si="2897"/>
        <v>04-08-2020 12:36:35</v>
      </c>
      <c r="B7090" t="str">
        <f>"0000803822"</f>
        <v>0000803822</v>
      </c>
      <c r="C7090" t="str">
        <f t="shared" si="2898"/>
        <v>0000803758</v>
      </c>
      <c r="D7090" t="str">
        <f t="shared" si="2876"/>
        <v>73185</v>
      </c>
      <c r="E7090" t="str">
        <f t="shared" si="2877"/>
        <v>KFH-OPERATIONS DEPARTMENT</v>
      </c>
      <c r="F7090" t="str">
        <f t="shared" si="2878"/>
        <v>IBG</v>
      </c>
      <c r="G7090" t="str">
        <f t="shared" si="2891"/>
        <v>Refund COSHARE 10</v>
      </c>
      <c r="H7090" s="2">
        <v>283.95</v>
      </c>
      <c r="I7090" t="str">
        <f>"SUHAINAH BINTI ARIFIN"</f>
        <v>SUHAINAH BINTI ARIFIN</v>
      </c>
      <c r="J7090" t="str">
        <f t="shared" si="2892"/>
        <v>BANK SIMPANAN NASIONAL</v>
      </c>
      <c r="K7090" t="str">
        <f>"0320029863711459"</f>
        <v>0320029863711459</v>
      </c>
      <c r="L7090" t="str">
        <f t="shared" si="2899"/>
        <v>04-08-2020</v>
      </c>
      <c r="M7090" t="str">
        <f t="shared" si="2899"/>
        <v>04-08-2020</v>
      </c>
      <c r="N7090" t="str">
        <f t="shared" si="2880"/>
        <v>001105018356</v>
      </c>
      <c r="O7090" t="str">
        <f t="shared" si="2881"/>
        <v>MYR</v>
      </c>
      <c r="P7090" t="str">
        <f t="shared" si="2900"/>
        <v>NIL</v>
      </c>
      <c r="Q7090" t="str">
        <f t="shared" si="2900"/>
        <v>NIL</v>
      </c>
      <c r="R7090" t="str">
        <f t="shared" si="2895"/>
        <v>Accepted</v>
      </c>
      <c r="S7090" t="str">
        <f t="shared" si="2883"/>
        <v>Approved</v>
      </c>
      <c r="T7090" t="str">
        <f t="shared" si="2896"/>
        <v>10.20.8.188</v>
      </c>
      <c r="U7090" t="str">
        <f t="shared" si="2884"/>
        <v>AZRAD UMAR BIN SHAARI</v>
      </c>
      <c r="V7090" t="str">
        <f t="shared" si="2885"/>
        <v>FARHANA BINTI MUSTAPA</v>
      </c>
      <c r="W7090" t="str">
        <f t="shared" si="2886"/>
        <v>04-08-2020</v>
      </c>
      <c r="X7090" t="str">
        <f t="shared" si="2887"/>
        <v>RAZIMAH ANSAR AHMAD</v>
      </c>
      <c r="Y7090" t="str">
        <f t="shared" si="2888"/>
        <v>04-08-2020</v>
      </c>
      <c r="Z7090" t="str">
        <f>"COS10200804 2064"</f>
        <v>COS10200804 2064</v>
      </c>
    </row>
    <row r="7091" spans="1:26" x14ac:dyDescent="0.25">
      <c r="A7091" t="str">
        <f t="shared" si="2897"/>
        <v>04-08-2020 12:36:35</v>
      </c>
      <c r="B7091" t="str">
        <f>"0000803821"</f>
        <v>0000803821</v>
      </c>
      <c r="C7091" t="str">
        <f t="shared" si="2898"/>
        <v>0000803758</v>
      </c>
      <c r="D7091" t="str">
        <f t="shared" si="2876"/>
        <v>73185</v>
      </c>
      <c r="E7091" t="str">
        <f t="shared" si="2877"/>
        <v>KFH-OPERATIONS DEPARTMENT</v>
      </c>
      <c r="F7091" t="str">
        <f t="shared" si="2878"/>
        <v>IBG</v>
      </c>
      <c r="G7091" t="str">
        <f t="shared" si="2891"/>
        <v>Refund COSHARE 10</v>
      </c>
      <c r="H7091" s="2">
        <v>873</v>
      </c>
      <c r="I7091" t="str">
        <f>"SUFFIAN BIN ABDULLAH"</f>
        <v>SUFFIAN BIN ABDULLAH</v>
      </c>
      <c r="J7091" t="str">
        <f t="shared" si="2892"/>
        <v>BANK SIMPANAN NASIONAL</v>
      </c>
      <c r="K7091" t="str">
        <f>"0850029000085125"</f>
        <v>0850029000085125</v>
      </c>
      <c r="L7091" t="str">
        <f t="shared" si="2899"/>
        <v>04-08-2020</v>
      </c>
      <c r="M7091" t="str">
        <f t="shared" si="2899"/>
        <v>04-08-2020</v>
      </c>
      <c r="N7091" t="str">
        <f t="shared" si="2880"/>
        <v>001105018356</v>
      </c>
      <c r="O7091" t="str">
        <f t="shared" si="2881"/>
        <v>MYR</v>
      </c>
      <c r="P7091" t="str">
        <f t="shared" si="2900"/>
        <v>NIL</v>
      </c>
      <c r="Q7091" t="str">
        <f t="shared" si="2900"/>
        <v>NIL</v>
      </c>
      <c r="R7091" t="str">
        <f t="shared" si="2895"/>
        <v>Accepted</v>
      </c>
      <c r="S7091" t="str">
        <f t="shared" si="2883"/>
        <v>Approved</v>
      </c>
      <c r="T7091" t="str">
        <f t="shared" si="2896"/>
        <v>10.20.8.188</v>
      </c>
      <c r="U7091" t="str">
        <f t="shared" si="2884"/>
        <v>AZRAD UMAR BIN SHAARI</v>
      </c>
      <c r="V7091" t="str">
        <f t="shared" si="2885"/>
        <v>FARHANA BINTI MUSTAPA</v>
      </c>
      <c r="W7091" t="str">
        <f t="shared" si="2886"/>
        <v>04-08-2020</v>
      </c>
      <c r="X7091" t="str">
        <f t="shared" si="2887"/>
        <v>RAZIMAH ANSAR AHMAD</v>
      </c>
      <c r="Y7091" t="str">
        <f t="shared" si="2888"/>
        <v>04-08-2020</v>
      </c>
      <c r="Z7091" t="str">
        <f>"COS10200804 2063"</f>
        <v>COS10200804 2063</v>
      </c>
    </row>
    <row r="7092" spans="1:26" x14ac:dyDescent="0.25">
      <c r="A7092" t="str">
        <f t="shared" si="2897"/>
        <v>04-08-2020 12:36:35</v>
      </c>
      <c r="B7092" t="str">
        <f>"0000803820"</f>
        <v>0000803820</v>
      </c>
      <c r="C7092" t="str">
        <f t="shared" si="2898"/>
        <v>0000803758</v>
      </c>
      <c r="D7092" t="str">
        <f t="shared" si="2876"/>
        <v>73185</v>
      </c>
      <c r="E7092" t="str">
        <f t="shared" si="2877"/>
        <v>KFH-OPERATIONS DEPARTMENT</v>
      </c>
      <c r="F7092" t="str">
        <f t="shared" si="2878"/>
        <v>IBG</v>
      </c>
      <c r="G7092" t="str">
        <f t="shared" si="2891"/>
        <v>Refund COSHARE 10</v>
      </c>
      <c r="H7092" s="2">
        <v>873</v>
      </c>
      <c r="I7092" t="str">
        <f>"SUFFIAN BIN ABDULLAH"</f>
        <v>SUFFIAN BIN ABDULLAH</v>
      </c>
      <c r="J7092" t="str">
        <f t="shared" si="2892"/>
        <v>BANK SIMPANAN NASIONAL</v>
      </c>
      <c r="K7092" t="str">
        <f>"0850029000085125"</f>
        <v>0850029000085125</v>
      </c>
      <c r="L7092" t="str">
        <f t="shared" si="2899"/>
        <v>04-08-2020</v>
      </c>
      <c r="M7092" t="str">
        <f t="shared" si="2899"/>
        <v>04-08-2020</v>
      </c>
      <c r="N7092" t="str">
        <f t="shared" si="2880"/>
        <v>001105018356</v>
      </c>
      <c r="O7092" t="str">
        <f t="shared" si="2881"/>
        <v>MYR</v>
      </c>
      <c r="P7092" t="str">
        <f t="shared" si="2900"/>
        <v>NIL</v>
      </c>
      <c r="Q7092" t="str">
        <f t="shared" si="2900"/>
        <v>NIL</v>
      </c>
      <c r="R7092" t="str">
        <f t="shared" si="2895"/>
        <v>Accepted</v>
      </c>
      <c r="S7092" t="str">
        <f t="shared" si="2883"/>
        <v>Approved</v>
      </c>
      <c r="T7092" t="str">
        <f t="shared" si="2896"/>
        <v>10.20.8.188</v>
      </c>
      <c r="U7092" t="str">
        <f t="shared" si="2884"/>
        <v>AZRAD UMAR BIN SHAARI</v>
      </c>
      <c r="V7092" t="str">
        <f t="shared" si="2885"/>
        <v>FARHANA BINTI MUSTAPA</v>
      </c>
      <c r="W7092" t="str">
        <f t="shared" si="2886"/>
        <v>04-08-2020</v>
      </c>
      <c r="X7092" t="str">
        <f t="shared" si="2887"/>
        <v>RAZIMAH ANSAR AHMAD</v>
      </c>
      <c r="Y7092" t="str">
        <f t="shared" si="2888"/>
        <v>04-08-2020</v>
      </c>
      <c r="Z7092" t="str">
        <f>"COS10200804 2062"</f>
        <v>COS10200804 2062</v>
      </c>
    </row>
    <row r="7093" spans="1:26" x14ac:dyDescent="0.25">
      <c r="A7093" t="str">
        <f t="shared" si="2897"/>
        <v>04-08-2020 12:36:35</v>
      </c>
      <c r="B7093" t="str">
        <f>"0000803819"</f>
        <v>0000803819</v>
      </c>
      <c r="C7093" t="str">
        <f t="shared" si="2898"/>
        <v>0000803758</v>
      </c>
      <c r="D7093" t="str">
        <f t="shared" si="2876"/>
        <v>73185</v>
      </c>
      <c r="E7093" t="str">
        <f t="shared" si="2877"/>
        <v>KFH-OPERATIONS DEPARTMENT</v>
      </c>
      <c r="F7093" t="str">
        <f t="shared" si="2878"/>
        <v>IBG</v>
      </c>
      <c r="G7093" t="str">
        <f t="shared" si="2891"/>
        <v>Refund COSHARE 10</v>
      </c>
      <c r="H7093" s="2">
        <v>92.35</v>
      </c>
      <c r="I7093" t="str">
        <f>"SUBIS BIN ABUDDIN"</f>
        <v>SUBIS BIN ABUDDIN</v>
      </c>
      <c r="J7093" t="str">
        <f t="shared" si="2892"/>
        <v>BANK SIMPANAN NASIONAL</v>
      </c>
      <c r="K7093" t="str">
        <f>"1411941000003261"</f>
        <v>1411941000003261</v>
      </c>
      <c r="L7093" t="str">
        <f t="shared" si="2899"/>
        <v>04-08-2020</v>
      </c>
      <c r="M7093" t="str">
        <f t="shared" si="2899"/>
        <v>04-08-2020</v>
      </c>
      <c r="N7093" t="str">
        <f t="shared" si="2880"/>
        <v>001105018356</v>
      </c>
      <c r="O7093" t="str">
        <f t="shared" si="2881"/>
        <v>MYR</v>
      </c>
      <c r="P7093" t="str">
        <f t="shared" si="2900"/>
        <v>NIL</v>
      </c>
      <c r="Q7093" t="str">
        <f t="shared" si="2900"/>
        <v>NIL</v>
      </c>
      <c r="R7093" t="str">
        <f t="shared" si="2895"/>
        <v>Accepted</v>
      </c>
      <c r="S7093" t="str">
        <f t="shared" si="2883"/>
        <v>Approved</v>
      </c>
      <c r="T7093" t="str">
        <f t="shared" si="2896"/>
        <v>10.20.8.188</v>
      </c>
      <c r="U7093" t="str">
        <f t="shared" si="2884"/>
        <v>AZRAD UMAR BIN SHAARI</v>
      </c>
      <c r="V7093" t="str">
        <f t="shared" si="2885"/>
        <v>FARHANA BINTI MUSTAPA</v>
      </c>
      <c r="W7093" t="str">
        <f t="shared" si="2886"/>
        <v>04-08-2020</v>
      </c>
      <c r="X7093" t="str">
        <f t="shared" si="2887"/>
        <v>RAZIMAH ANSAR AHMAD</v>
      </c>
      <c r="Y7093" t="str">
        <f t="shared" si="2888"/>
        <v>04-08-2020</v>
      </c>
      <c r="Z7093" t="str">
        <f>"COS10200804 2061"</f>
        <v>COS10200804 2061</v>
      </c>
    </row>
    <row r="7094" spans="1:26" x14ac:dyDescent="0.25">
      <c r="A7094" t="str">
        <f t="shared" si="2897"/>
        <v>04-08-2020 12:36:35</v>
      </c>
      <c r="B7094" t="str">
        <f>"0000803818"</f>
        <v>0000803818</v>
      </c>
      <c r="C7094" t="str">
        <f t="shared" si="2898"/>
        <v>0000803758</v>
      </c>
      <c r="D7094" t="str">
        <f t="shared" si="2876"/>
        <v>73185</v>
      </c>
      <c r="E7094" t="str">
        <f t="shared" si="2877"/>
        <v>KFH-OPERATIONS DEPARTMENT</v>
      </c>
      <c r="F7094" t="str">
        <f t="shared" si="2878"/>
        <v>IBG</v>
      </c>
      <c r="G7094" t="str">
        <f t="shared" si="2891"/>
        <v>Refund COSHARE 10</v>
      </c>
      <c r="H7094" s="2">
        <v>208.25</v>
      </c>
      <c r="I7094" t="str">
        <f>"SORAYAH BINTI TONI"</f>
        <v>SORAYAH BINTI TONI</v>
      </c>
      <c r="J7094" t="str">
        <f t="shared" si="2892"/>
        <v>BANK SIMPANAN NASIONAL</v>
      </c>
      <c r="K7094" t="str">
        <f>"1311629000072225"</f>
        <v>1311629000072225</v>
      </c>
      <c r="L7094" t="str">
        <f t="shared" si="2899"/>
        <v>04-08-2020</v>
      </c>
      <c r="M7094" t="str">
        <f t="shared" si="2899"/>
        <v>04-08-2020</v>
      </c>
      <c r="N7094" t="str">
        <f t="shared" si="2880"/>
        <v>001105018356</v>
      </c>
      <c r="O7094" t="str">
        <f t="shared" si="2881"/>
        <v>MYR</v>
      </c>
      <c r="P7094" t="str">
        <f t="shared" si="2900"/>
        <v>NIL</v>
      </c>
      <c r="Q7094" t="str">
        <f t="shared" si="2900"/>
        <v>NIL</v>
      </c>
      <c r="R7094" t="str">
        <f t="shared" si="2895"/>
        <v>Accepted</v>
      </c>
      <c r="S7094" t="str">
        <f t="shared" si="2883"/>
        <v>Approved</v>
      </c>
      <c r="T7094" t="str">
        <f t="shared" si="2896"/>
        <v>10.20.8.188</v>
      </c>
      <c r="U7094" t="str">
        <f t="shared" si="2884"/>
        <v>AZRAD UMAR BIN SHAARI</v>
      </c>
      <c r="V7094" t="str">
        <f t="shared" si="2885"/>
        <v>FARHANA BINTI MUSTAPA</v>
      </c>
      <c r="W7094" t="str">
        <f t="shared" si="2886"/>
        <v>04-08-2020</v>
      </c>
      <c r="X7094" t="str">
        <f t="shared" si="2887"/>
        <v>RAZIMAH ANSAR AHMAD</v>
      </c>
      <c r="Y7094" t="str">
        <f t="shared" si="2888"/>
        <v>04-08-2020</v>
      </c>
      <c r="Z7094" t="str">
        <f>"COS10200804 2060"</f>
        <v>COS10200804 2060</v>
      </c>
    </row>
    <row r="7095" spans="1:26" x14ac:dyDescent="0.25">
      <c r="A7095" t="str">
        <f t="shared" si="2897"/>
        <v>04-08-2020 12:36:35</v>
      </c>
      <c r="B7095" t="str">
        <f>"0000803817"</f>
        <v>0000803817</v>
      </c>
      <c r="C7095" t="str">
        <f t="shared" si="2898"/>
        <v>0000803758</v>
      </c>
      <c r="D7095" t="str">
        <f t="shared" si="2876"/>
        <v>73185</v>
      </c>
      <c r="E7095" t="str">
        <f t="shared" si="2877"/>
        <v>KFH-OPERATIONS DEPARTMENT</v>
      </c>
      <c r="F7095" t="str">
        <f t="shared" si="2878"/>
        <v>IBG</v>
      </c>
      <c r="G7095" t="str">
        <f t="shared" si="2891"/>
        <v>Refund COSHARE 10</v>
      </c>
      <c r="H7095" s="2">
        <v>833.8</v>
      </c>
      <c r="I7095" t="str">
        <f>"SOMATHEVAN AL ANNAMALAI"</f>
        <v>SOMATHEVAN AL ANNAMALAI</v>
      </c>
      <c r="J7095" t="str">
        <f t="shared" si="2892"/>
        <v>BANK SIMPANAN NASIONAL</v>
      </c>
      <c r="K7095" t="str">
        <f>"0510429833097845"</f>
        <v>0510429833097845</v>
      </c>
      <c r="L7095" t="str">
        <f t="shared" si="2899"/>
        <v>04-08-2020</v>
      </c>
      <c r="M7095" t="str">
        <f t="shared" si="2899"/>
        <v>04-08-2020</v>
      </c>
      <c r="N7095" t="str">
        <f t="shared" si="2880"/>
        <v>001105018356</v>
      </c>
      <c r="O7095" t="str">
        <f t="shared" si="2881"/>
        <v>MYR</v>
      </c>
      <c r="P7095" t="str">
        <f t="shared" si="2900"/>
        <v>NIL</v>
      </c>
      <c r="Q7095" t="str">
        <f t="shared" si="2900"/>
        <v>NIL</v>
      </c>
      <c r="R7095" t="str">
        <f t="shared" si="2895"/>
        <v>Accepted</v>
      </c>
      <c r="S7095" t="str">
        <f t="shared" si="2883"/>
        <v>Approved</v>
      </c>
      <c r="T7095" t="str">
        <f t="shared" si="2896"/>
        <v>10.20.8.188</v>
      </c>
      <c r="U7095" t="str">
        <f t="shared" si="2884"/>
        <v>AZRAD UMAR BIN SHAARI</v>
      </c>
      <c r="V7095" t="str">
        <f t="shared" si="2885"/>
        <v>FARHANA BINTI MUSTAPA</v>
      </c>
      <c r="W7095" t="str">
        <f t="shared" si="2886"/>
        <v>04-08-2020</v>
      </c>
      <c r="X7095" t="str">
        <f t="shared" si="2887"/>
        <v>RAZIMAH ANSAR AHMAD</v>
      </c>
      <c r="Y7095" t="str">
        <f t="shared" si="2888"/>
        <v>04-08-2020</v>
      </c>
      <c r="Z7095" t="str">
        <f>"COS10200804 2059"</f>
        <v>COS10200804 2059</v>
      </c>
    </row>
    <row r="7096" spans="1:26" x14ac:dyDescent="0.25">
      <c r="A7096" t="str">
        <f t="shared" si="2897"/>
        <v>04-08-2020 12:36:35</v>
      </c>
      <c r="B7096" t="str">
        <f>"0000803816"</f>
        <v>0000803816</v>
      </c>
      <c r="C7096" t="str">
        <f t="shared" si="2898"/>
        <v>0000803758</v>
      </c>
      <c r="D7096" t="str">
        <f t="shared" si="2876"/>
        <v>73185</v>
      </c>
      <c r="E7096" t="str">
        <f t="shared" si="2877"/>
        <v>KFH-OPERATIONS DEPARTMENT</v>
      </c>
      <c r="F7096" t="str">
        <f t="shared" si="2878"/>
        <v>IBG</v>
      </c>
      <c r="G7096" t="str">
        <f t="shared" si="2891"/>
        <v>Refund COSHARE 10</v>
      </c>
      <c r="H7096" s="2">
        <v>219</v>
      </c>
      <c r="I7096" t="str">
        <f>"SMUEL ANAK SELAN"</f>
        <v>SMUEL ANAK SELAN</v>
      </c>
      <c r="J7096" t="str">
        <f t="shared" si="2892"/>
        <v>BANK SIMPANAN NASIONAL</v>
      </c>
      <c r="K7096" t="str">
        <f>"0110029831954746"</f>
        <v>0110029831954746</v>
      </c>
      <c r="L7096" t="str">
        <f t="shared" si="2899"/>
        <v>04-08-2020</v>
      </c>
      <c r="M7096" t="str">
        <f t="shared" si="2899"/>
        <v>04-08-2020</v>
      </c>
      <c r="N7096" t="str">
        <f t="shared" si="2880"/>
        <v>001105018356</v>
      </c>
      <c r="O7096" t="str">
        <f t="shared" si="2881"/>
        <v>MYR</v>
      </c>
      <c r="P7096" t="str">
        <f t="shared" si="2900"/>
        <v>NIL</v>
      </c>
      <c r="Q7096" t="str">
        <f t="shared" si="2900"/>
        <v>NIL</v>
      </c>
      <c r="R7096" t="str">
        <f t="shared" si="2895"/>
        <v>Accepted</v>
      </c>
      <c r="S7096" t="str">
        <f t="shared" si="2883"/>
        <v>Approved</v>
      </c>
      <c r="T7096" t="str">
        <f t="shared" si="2896"/>
        <v>10.20.8.188</v>
      </c>
      <c r="U7096" t="str">
        <f t="shared" si="2884"/>
        <v>AZRAD UMAR BIN SHAARI</v>
      </c>
      <c r="V7096" t="str">
        <f t="shared" si="2885"/>
        <v>FARHANA BINTI MUSTAPA</v>
      </c>
      <c r="W7096" t="str">
        <f t="shared" si="2886"/>
        <v>04-08-2020</v>
      </c>
      <c r="X7096" t="str">
        <f t="shared" si="2887"/>
        <v>RAZIMAH ANSAR AHMAD</v>
      </c>
      <c r="Y7096" t="str">
        <f t="shared" si="2888"/>
        <v>04-08-2020</v>
      </c>
      <c r="Z7096" t="str">
        <f>"COS10200804 2058"</f>
        <v>COS10200804 2058</v>
      </c>
    </row>
    <row r="7097" spans="1:26" x14ac:dyDescent="0.25">
      <c r="A7097" t="str">
        <f t="shared" si="2897"/>
        <v>04-08-2020 12:36:35</v>
      </c>
      <c r="B7097" t="str">
        <f>"0000803815"</f>
        <v>0000803815</v>
      </c>
      <c r="C7097" t="str">
        <f t="shared" si="2898"/>
        <v>0000803758</v>
      </c>
      <c r="D7097" t="str">
        <f t="shared" si="2876"/>
        <v>73185</v>
      </c>
      <c r="E7097" t="str">
        <f t="shared" si="2877"/>
        <v>KFH-OPERATIONS DEPARTMENT</v>
      </c>
      <c r="F7097" t="str">
        <f t="shared" si="2878"/>
        <v>IBG</v>
      </c>
      <c r="G7097" t="str">
        <f t="shared" si="2891"/>
        <v>Refund COSHARE 10</v>
      </c>
      <c r="H7097" s="2">
        <v>92.35</v>
      </c>
      <c r="I7097" t="str">
        <f>"SMUEL ANAK SELAN"</f>
        <v>SMUEL ANAK SELAN</v>
      </c>
      <c r="J7097" t="str">
        <f t="shared" si="2892"/>
        <v>BANK SIMPANAN NASIONAL</v>
      </c>
      <c r="K7097" t="str">
        <f>"0110029831954746"</f>
        <v>0110029831954746</v>
      </c>
      <c r="L7097" t="str">
        <f t="shared" si="2899"/>
        <v>04-08-2020</v>
      </c>
      <c r="M7097" t="str">
        <f t="shared" si="2899"/>
        <v>04-08-2020</v>
      </c>
      <c r="N7097" t="str">
        <f t="shared" si="2880"/>
        <v>001105018356</v>
      </c>
      <c r="O7097" t="str">
        <f t="shared" si="2881"/>
        <v>MYR</v>
      </c>
      <c r="P7097" t="str">
        <f t="shared" si="2900"/>
        <v>NIL</v>
      </c>
      <c r="Q7097" t="str">
        <f t="shared" si="2900"/>
        <v>NIL</v>
      </c>
      <c r="R7097" t="str">
        <f t="shared" si="2895"/>
        <v>Accepted</v>
      </c>
      <c r="S7097" t="str">
        <f t="shared" si="2883"/>
        <v>Approved</v>
      </c>
      <c r="T7097" t="str">
        <f t="shared" si="2896"/>
        <v>10.20.8.188</v>
      </c>
      <c r="U7097" t="str">
        <f t="shared" si="2884"/>
        <v>AZRAD UMAR BIN SHAARI</v>
      </c>
      <c r="V7097" t="str">
        <f t="shared" si="2885"/>
        <v>FARHANA BINTI MUSTAPA</v>
      </c>
      <c r="W7097" t="str">
        <f t="shared" si="2886"/>
        <v>04-08-2020</v>
      </c>
      <c r="X7097" t="str">
        <f t="shared" si="2887"/>
        <v>RAZIMAH ANSAR AHMAD</v>
      </c>
      <c r="Y7097" t="str">
        <f t="shared" si="2888"/>
        <v>04-08-2020</v>
      </c>
      <c r="Z7097" t="str">
        <f>"COS10200804 2057"</f>
        <v>COS10200804 2057</v>
      </c>
    </row>
    <row r="7098" spans="1:26" x14ac:dyDescent="0.25">
      <c r="A7098" t="str">
        <f t="shared" si="2897"/>
        <v>04-08-2020 12:36:35</v>
      </c>
      <c r="B7098" t="str">
        <f>"0000803814"</f>
        <v>0000803814</v>
      </c>
      <c r="C7098" t="str">
        <f t="shared" si="2898"/>
        <v>0000803758</v>
      </c>
      <c r="D7098" t="str">
        <f t="shared" si="2876"/>
        <v>73185</v>
      </c>
      <c r="E7098" t="str">
        <f t="shared" si="2877"/>
        <v>KFH-OPERATIONS DEPARTMENT</v>
      </c>
      <c r="F7098" t="str">
        <f t="shared" si="2878"/>
        <v>IBG</v>
      </c>
      <c r="G7098" t="str">
        <f t="shared" si="2891"/>
        <v>Refund COSHARE 10</v>
      </c>
      <c r="H7098" s="2">
        <v>196</v>
      </c>
      <c r="I7098" t="str">
        <f>"SITI SARAH BINTI ZAKARIA"</f>
        <v>SITI SARAH BINTI ZAKARIA</v>
      </c>
      <c r="J7098" t="str">
        <f t="shared" si="2892"/>
        <v>BANK SIMPANAN NASIONAL</v>
      </c>
      <c r="K7098" t="str">
        <f>"0210029000141866"</f>
        <v>0210029000141866</v>
      </c>
      <c r="L7098" t="str">
        <f t="shared" si="2899"/>
        <v>04-08-2020</v>
      </c>
      <c r="M7098" t="str">
        <f t="shared" si="2899"/>
        <v>04-08-2020</v>
      </c>
      <c r="N7098" t="str">
        <f t="shared" si="2880"/>
        <v>001105018356</v>
      </c>
      <c r="O7098" t="str">
        <f t="shared" si="2881"/>
        <v>MYR</v>
      </c>
      <c r="P7098" t="str">
        <f t="shared" si="2900"/>
        <v>NIL</v>
      </c>
      <c r="Q7098" t="str">
        <f t="shared" si="2900"/>
        <v>NIL</v>
      </c>
      <c r="R7098" t="str">
        <f t="shared" si="2895"/>
        <v>Accepted</v>
      </c>
      <c r="S7098" t="str">
        <f t="shared" si="2883"/>
        <v>Approved</v>
      </c>
      <c r="T7098" t="str">
        <f t="shared" si="2896"/>
        <v>10.20.8.188</v>
      </c>
      <c r="U7098" t="str">
        <f t="shared" si="2884"/>
        <v>AZRAD UMAR BIN SHAARI</v>
      </c>
      <c r="V7098" t="str">
        <f t="shared" si="2885"/>
        <v>FARHANA BINTI MUSTAPA</v>
      </c>
      <c r="W7098" t="str">
        <f t="shared" si="2886"/>
        <v>04-08-2020</v>
      </c>
      <c r="X7098" t="str">
        <f t="shared" si="2887"/>
        <v>RAZIMAH ANSAR AHMAD</v>
      </c>
      <c r="Y7098" t="str">
        <f t="shared" si="2888"/>
        <v>04-08-2020</v>
      </c>
      <c r="Z7098" t="str">
        <f>"COS10200804 2056"</f>
        <v>COS10200804 2056</v>
      </c>
    </row>
    <row r="7099" spans="1:26" x14ac:dyDescent="0.25">
      <c r="A7099" t="str">
        <f t="shared" si="2897"/>
        <v>04-08-2020 12:36:35</v>
      </c>
      <c r="B7099" t="str">
        <f>"0000803813"</f>
        <v>0000803813</v>
      </c>
      <c r="C7099" t="str">
        <f t="shared" si="2898"/>
        <v>0000803758</v>
      </c>
      <c r="D7099" t="str">
        <f t="shared" si="2876"/>
        <v>73185</v>
      </c>
      <c r="E7099" t="str">
        <f t="shared" si="2877"/>
        <v>KFH-OPERATIONS DEPARTMENT</v>
      </c>
      <c r="F7099" t="str">
        <f t="shared" si="2878"/>
        <v>IBG</v>
      </c>
      <c r="G7099" t="str">
        <f t="shared" si="2891"/>
        <v>Refund COSHARE 10</v>
      </c>
      <c r="H7099" s="2">
        <v>671.6</v>
      </c>
      <c r="I7099" t="str">
        <f>"SITI SARAH BINTI ZAKARIA"</f>
        <v>SITI SARAH BINTI ZAKARIA</v>
      </c>
      <c r="J7099" t="str">
        <f t="shared" si="2892"/>
        <v>BANK SIMPANAN NASIONAL</v>
      </c>
      <c r="K7099" t="str">
        <f>"0210029000141866"</f>
        <v>0210029000141866</v>
      </c>
      <c r="L7099" t="str">
        <f t="shared" si="2899"/>
        <v>04-08-2020</v>
      </c>
      <c r="M7099" t="str">
        <f t="shared" si="2899"/>
        <v>04-08-2020</v>
      </c>
      <c r="N7099" t="str">
        <f t="shared" si="2880"/>
        <v>001105018356</v>
      </c>
      <c r="O7099" t="str">
        <f t="shared" si="2881"/>
        <v>MYR</v>
      </c>
      <c r="P7099" t="str">
        <f t="shared" si="2900"/>
        <v>NIL</v>
      </c>
      <c r="Q7099" t="str">
        <f t="shared" si="2900"/>
        <v>NIL</v>
      </c>
      <c r="R7099" t="str">
        <f t="shared" si="2895"/>
        <v>Accepted</v>
      </c>
      <c r="S7099" t="str">
        <f t="shared" si="2883"/>
        <v>Approved</v>
      </c>
      <c r="T7099" t="str">
        <f t="shared" si="2896"/>
        <v>10.20.8.188</v>
      </c>
      <c r="U7099" t="str">
        <f t="shared" si="2884"/>
        <v>AZRAD UMAR BIN SHAARI</v>
      </c>
      <c r="V7099" t="str">
        <f t="shared" si="2885"/>
        <v>FARHANA BINTI MUSTAPA</v>
      </c>
      <c r="W7099" t="str">
        <f t="shared" si="2886"/>
        <v>04-08-2020</v>
      </c>
      <c r="X7099" t="str">
        <f t="shared" si="2887"/>
        <v>RAZIMAH ANSAR AHMAD</v>
      </c>
      <c r="Y7099" t="str">
        <f t="shared" si="2888"/>
        <v>04-08-2020</v>
      </c>
      <c r="Z7099" t="str">
        <f>"COS10200804 2055"</f>
        <v>COS10200804 2055</v>
      </c>
    </row>
    <row r="7100" spans="1:26" x14ac:dyDescent="0.25">
      <c r="A7100" t="str">
        <f t="shared" si="2897"/>
        <v>04-08-2020 12:36:35</v>
      </c>
      <c r="B7100" t="str">
        <f>"0000803812"</f>
        <v>0000803812</v>
      </c>
      <c r="C7100" t="str">
        <f t="shared" si="2898"/>
        <v>0000803758</v>
      </c>
      <c r="D7100" t="str">
        <f t="shared" si="2876"/>
        <v>73185</v>
      </c>
      <c r="E7100" t="str">
        <f t="shared" si="2877"/>
        <v>KFH-OPERATIONS DEPARTMENT</v>
      </c>
      <c r="F7100" t="str">
        <f t="shared" si="2878"/>
        <v>IBG</v>
      </c>
      <c r="G7100" t="str">
        <f t="shared" si="2891"/>
        <v>Refund COSHARE 10</v>
      </c>
      <c r="H7100" s="2">
        <v>1713.2</v>
      </c>
      <c r="I7100" t="str">
        <f>"SITI RUSILA BIN MISRON"</f>
        <v>SITI RUSILA BIN MISRON</v>
      </c>
      <c r="J7100" t="str">
        <f t="shared" si="2892"/>
        <v>BANK SIMPANAN NASIONAL</v>
      </c>
      <c r="K7100" t="str">
        <f>"1013629856955668"</f>
        <v>1013629856955668</v>
      </c>
      <c r="L7100" t="str">
        <f t="shared" si="2899"/>
        <v>04-08-2020</v>
      </c>
      <c r="M7100" t="str">
        <f t="shared" si="2899"/>
        <v>04-08-2020</v>
      </c>
      <c r="N7100" t="str">
        <f t="shared" si="2880"/>
        <v>001105018356</v>
      </c>
      <c r="O7100" t="str">
        <f t="shared" si="2881"/>
        <v>MYR</v>
      </c>
      <c r="P7100" t="str">
        <f t="shared" si="2900"/>
        <v>NIL</v>
      </c>
      <c r="Q7100" t="str">
        <f t="shared" si="2900"/>
        <v>NIL</v>
      </c>
      <c r="R7100" t="str">
        <f t="shared" si="2895"/>
        <v>Accepted</v>
      </c>
      <c r="S7100" t="str">
        <f t="shared" si="2883"/>
        <v>Approved</v>
      </c>
      <c r="T7100" t="str">
        <f t="shared" si="2896"/>
        <v>10.20.8.188</v>
      </c>
      <c r="U7100" t="str">
        <f t="shared" si="2884"/>
        <v>AZRAD UMAR BIN SHAARI</v>
      </c>
      <c r="V7100" t="str">
        <f t="shared" si="2885"/>
        <v>FARHANA BINTI MUSTAPA</v>
      </c>
      <c r="W7100" t="str">
        <f t="shared" si="2886"/>
        <v>04-08-2020</v>
      </c>
      <c r="X7100" t="str">
        <f t="shared" si="2887"/>
        <v>RAZIMAH ANSAR AHMAD</v>
      </c>
      <c r="Y7100" t="str">
        <f t="shared" si="2888"/>
        <v>04-08-2020</v>
      </c>
      <c r="Z7100" t="str">
        <f>"COS10200804 2054"</f>
        <v>COS10200804 2054</v>
      </c>
    </row>
    <row r="7101" spans="1:26" x14ac:dyDescent="0.25">
      <c r="A7101" t="str">
        <f t="shared" si="2897"/>
        <v>04-08-2020 12:36:35</v>
      </c>
      <c r="B7101" t="str">
        <f>"0000803811"</f>
        <v>0000803811</v>
      </c>
      <c r="C7101" t="str">
        <f t="shared" si="2898"/>
        <v>0000803758</v>
      </c>
      <c r="D7101" t="str">
        <f t="shared" si="2876"/>
        <v>73185</v>
      </c>
      <c r="E7101" t="str">
        <f t="shared" si="2877"/>
        <v>KFH-OPERATIONS DEPARTMENT</v>
      </c>
      <c r="F7101" t="str">
        <f t="shared" si="2878"/>
        <v>IBG</v>
      </c>
      <c r="G7101" t="str">
        <f t="shared" si="2891"/>
        <v>Refund COSHARE 10</v>
      </c>
      <c r="H7101" s="2">
        <v>184.7</v>
      </c>
      <c r="I7101" t="str">
        <f>"SITI ROZANA BINTI GIMAN"</f>
        <v>SITI ROZANA BINTI GIMAN</v>
      </c>
      <c r="J7101" t="str">
        <f t="shared" si="2892"/>
        <v>BANK SIMPANAN NASIONAL</v>
      </c>
      <c r="K7101" t="str">
        <f>"1012829812765331"</f>
        <v>1012829812765331</v>
      </c>
      <c r="L7101" t="str">
        <f t="shared" si="2899"/>
        <v>04-08-2020</v>
      </c>
      <c r="M7101" t="str">
        <f t="shared" si="2899"/>
        <v>04-08-2020</v>
      </c>
      <c r="N7101" t="str">
        <f t="shared" si="2880"/>
        <v>001105018356</v>
      </c>
      <c r="O7101" t="str">
        <f t="shared" si="2881"/>
        <v>MYR</v>
      </c>
      <c r="P7101" t="str">
        <f t="shared" si="2900"/>
        <v>NIL</v>
      </c>
      <c r="Q7101" t="str">
        <f t="shared" si="2900"/>
        <v>NIL</v>
      </c>
      <c r="R7101" t="str">
        <f t="shared" si="2895"/>
        <v>Accepted</v>
      </c>
      <c r="S7101" t="str">
        <f t="shared" si="2883"/>
        <v>Approved</v>
      </c>
      <c r="T7101" t="str">
        <f t="shared" si="2896"/>
        <v>10.20.8.188</v>
      </c>
      <c r="U7101" t="str">
        <f t="shared" si="2884"/>
        <v>AZRAD UMAR BIN SHAARI</v>
      </c>
      <c r="V7101" t="str">
        <f t="shared" si="2885"/>
        <v>FARHANA BINTI MUSTAPA</v>
      </c>
      <c r="W7101" t="str">
        <f t="shared" si="2886"/>
        <v>04-08-2020</v>
      </c>
      <c r="X7101" t="str">
        <f t="shared" si="2887"/>
        <v>RAZIMAH ANSAR AHMAD</v>
      </c>
      <c r="Y7101" t="str">
        <f t="shared" si="2888"/>
        <v>04-08-2020</v>
      </c>
      <c r="Z7101" t="str">
        <f>"COS10200804 2053"</f>
        <v>COS10200804 2053</v>
      </c>
    </row>
    <row r="7102" spans="1:26" x14ac:dyDescent="0.25">
      <c r="A7102" t="str">
        <f t="shared" si="2897"/>
        <v>04-08-2020 12:36:35</v>
      </c>
      <c r="B7102" t="str">
        <f>"0000803810"</f>
        <v>0000803810</v>
      </c>
      <c r="C7102" t="str">
        <f t="shared" si="2898"/>
        <v>0000803758</v>
      </c>
      <c r="D7102" t="str">
        <f t="shared" si="2876"/>
        <v>73185</v>
      </c>
      <c r="E7102" t="str">
        <f t="shared" si="2877"/>
        <v>KFH-OPERATIONS DEPARTMENT</v>
      </c>
      <c r="F7102" t="str">
        <f t="shared" si="2878"/>
        <v>IBG</v>
      </c>
      <c r="G7102" t="str">
        <f t="shared" si="2891"/>
        <v>Refund COSHARE 10</v>
      </c>
      <c r="H7102" s="2">
        <v>508.15</v>
      </c>
      <c r="I7102" t="str">
        <f>"SITI ROHANI BINTI MOHAMAD"</f>
        <v>SITI ROHANI BINTI MOHAMAD</v>
      </c>
      <c r="J7102" t="str">
        <f t="shared" si="2892"/>
        <v>BANK SIMPANAN NASIONAL</v>
      </c>
      <c r="K7102" t="str">
        <f>"0310029000826326"</f>
        <v>0310029000826326</v>
      </c>
      <c r="L7102" t="str">
        <f t="shared" si="2899"/>
        <v>04-08-2020</v>
      </c>
      <c r="M7102" t="str">
        <f t="shared" si="2899"/>
        <v>04-08-2020</v>
      </c>
      <c r="N7102" t="str">
        <f t="shared" si="2880"/>
        <v>001105018356</v>
      </c>
      <c r="O7102" t="str">
        <f t="shared" si="2881"/>
        <v>MYR</v>
      </c>
      <c r="P7102" t="str">
        <f t="shared" si="2900"/>
        <v>NIL</v>
      </c>
      <c r="Q7102" t="str">
        <f t="shared" si="2900"/>
        <v>NIL</v>
      </c>
      <c r="R7102" t="str">
        <f t="shared" si="2895"/>
        <v>Accepted</v>
      </c>
      <c r="S7102" t="str">
        <f t="shared" si="2883"/>
        <v>Approved</v>
      </c>
      <c r="T7102" t="str">
        <f t="shared" si="2896"/>
        <v>10.20.8.188</v>
      </c>
      <c r="U7102" t="str">
        <f t="shared" si="2884"/>
        <v>AZRAD UMAR BIN SHAARI</v>
      </c>
      <c r="V7102" t="str">
        <f t="shared" si="2885"/>
        <v>FARHANA BINTI MUSTAPA</v>
      </c>
      <c r="W7102" t="str">
        <f t="shared" si="2886"/>
        <v>04-08-2020</v>
      </c>
      <c r="X7102" t="str">
        <f t="shared" si="2887"/>
        <v>RAZIMAH ANSAR AHMAD</v>
      </c>
      <c r="Y7102" t="str">
        <f t="shared" si="2888"/>
        <v>04-08-2020</v>
      </c>
      <c r="Z7102" t="str">
        <f>"COS10200804 2052"</f>
        <v>COS10200804 2052</v>
      </c>
    </row>
    <row r="7103" spans="1:26" x14ac:dyDescent="0.25">
      <c r="A7103" t="str">
        <f t="shared" si="2897"/>
        <v>04-08-2020 12:36:35</v>
      </c>
      <c r="B7103" t="str">
        <f>"0000803809"</f>
        <v>0000803809</v>
      </c>
      <c r="C7103" t="str">
        <f t="shared" si="2898"/>
        <v>0000803758</v>
      </c>
      <c r="D7103" t="str">
        <f t="shared" si="2876"/>
        <v>73185</v>
      </c>
      <c r="E7103" t="str">
        <f t="shared" si="2877"/>
        <v>KFH-OPERATIONS DEPARTMENT</v>
      </c>
      <c r="F7103" t="str">
        <f t="shared" si="2878"/>
        <v>IBG</v>
      </c>
      <c r="G7103" t="str">
        <f t="shared" si="2891"/>
        <v>Refund COSHARE 10</v>
      </c>
      <c r="H7103" s="2">
        <v>114</v>
      </c>
      <c r="I7103" t="str">
        <f>"SITI RAHMAH BINTI MOHD NOR"</f>
        <v>SITI RAHMAH BINTI MOHD NOR</v>
      </c>
      <c r="J7103" t="str">
        <f t="shared" si="2892"/>
        <v>BANK SIMPANAN NASIONAL</v>
      </c>
      <c r="K7103" t="str">
        <f>"0310429855714968"</f>
        <v>0310429855714968</v>
      </c>
      <c r="L7103" t="str">
        <f t="shared" si="2899"/>
        <v>04-08-2020</v>
      </c>
      <c r="M7103" t="str">
        <f t="shared" si="2899"/>
        <v>04-08-2020</v>
      </c>
      <c r="N7103" t="str">
        <f t="shared" si="2880"/>
        <v>001105018356</v>
      </c>
      <c r="O7103" t="str">
        <f t="shared" si="2881"/>
        <v>MYR</v>
      </c>
      <c r="P7103" t="str">
        <f t="shared" si="2900"/>
        <v>NIL</v>
      </c>
      <c r="Q7103" t="str">
        <f t="shared" si="2900"/>
        <v>NIL</v>
      </c>
      <c r="R7103" t="str">
        <f t="shared" si="2895"/>
        <v>Accepted</v>
      </c>
      <c r="S7103" t="str">
        <f t="shared" si="2883"/>
        <v>Approved</v>
      </c>
      <c r="T7103" t="str">
        <f t="shared" si="2896"/>
        <v>10.20.8.188</v>
      </c>
      <c r="U7103" t="str">
        <f t="shared" si="2884"/>
        <v>AZRAD UMAR BIN SHAARI</v>
      </c>
      <c r="V7103" t="str">
        <f t="shared" si="2885"/>
        <v>FARHANA BINTI MUSTAPA</v>
      </c>
      <c r="W7103" t="str">
        <f t="shared" si="2886"/>
        <v>04-08-2020</v>
      </c>
      <c r="X7103" t="str">
        <f t="shared" si="2887"/>
        <v>RAZIMAH ANSAR AHMAD</v>
      </c>
      <c r="Y7103" t="str">
        <f t="shared" si="2888"/>
        <v>04-08-2020</v>
      </c>
      <c r="Z7103" t="str">
        <f>"COS10200804 2051"</f>
        <v>COS10200804 2051</v>
      </c>
    </row>
    <row r="7104" spans="1:26" x14ac:dyDescent="0.25">
      <c r="A7104" t="str">
        <f t="shared" si="2897"/>
        <v>04-08-2020 12:36:35</v>
      </c>
      <c r="B7104" t="str">
        <f>"0000803808"</f>
        <v>0000803808</v>
      </c>
      <c r="C7104" t="str">
        <f t="shared" si="2898"/>
        <v>0000803758</v>
      </c>
      <c r="D7104" t="str">
        <f t="shared" si="2876"/>
        <v>73185</v>
      </c>
      <c r="E7104" t="str">
        <f t="shared" si="2877"/>
        <v>KFH-OPERATIONS DEPARTMENT</v>
      </c>
      <c r="F7104" t="str">
        <f t="shared" si="2878"/>
        <v>IBG</v>
      </c>
      <c r="G7104" t="str">
        <f t="shared" si="2891"/>
        <v>Refund COSHARE 10</v>
      </c>
      <c r="H7104" s="2">
        <v>1164.25</v>
      </c>
      <c r="I7104" t="str">
        <f>"SITI NURJEHAN BINTI ABDUL GHANI"</f>
        <v>SITI NURJEHAN BINTI ABDUL GHANI</v>
      </c>
      <c r="J7104" t="str">
        <f t="shared" si="2892"/>
        <v>BANK SIMPANAN NASIONAL</v>
      </c>
      <c r="K7104" t="str">
        <f>"0210029862047318"</f>
        <v>0210029862047318</v>
      </c>
      <c r="L7104" t="str">
        <f t="shared" si="2899"/>
        <v>04-08-2020</v>
      </c>
      <c r="M7104" t="str">
        <f t="shared" si="2899"/>
        <v>04-08-2020</v>
      </c>
      <c r="N7104" t="str">
        <f t="shared" si="2880"/>
        <v>001105018356</v>
      </c>
      <c r="O7104" t="str">
        <f t="shared" si="2881"/>
        <v>MYR</v>
      </c>
      <c r="P7104" t="str">
        <f t="shared" si="2900"/>
        <v>NIL</v>
      </c>
      <c r="Q7104" t="str">
        <f t="shared" si="2900"/>
        <v>NIL</v>
      </c>
      <c r="R7104" t="str">
        <f t="shared" si="2895"/>
        <v>Accepted</v>
      </c>
      <c r="S7104" t="str">
        <f t="shared" si="2883"/>
        <v>Approved</v>
      </c>
      <c r="T7104" t="str">
        <f t="shared" si="2896"/>
        <v>10.20.8.188</v>
      </c>
      <c r="U7104" t="str">
        <f t="shared" si="2884"/>
        <v>AZRAD UMAR BIN SHAARI</v>
      </c>
      <c r="V7104" t="str">
        <f t="shared" si="2885"/>
        <v>FARHANA BINTI MUSTAPA</v>
      </c>
      <c r="W7104" t="str">
        <f t="shared" si="2886"/>
        <v>04-08-2020</v>
      </c>
      <c r="X7104" t="str">
        <f t="shared" si="2887"/>
        <v>RAZIMAH ANSAR AHMAD</v>
      </c>
      <c r="Y7104" t="str">
        <f t="shared" si="2888"/>
        <v>04-08-2020</v>
      </c>
      <c r="Z7104" t="str">
        <f>"COS10200804 2050"</f>
        <v>COS10200804 2050</v>
      </c>
    </row>
    <row r="7105" spans="1:26" x14ac:dyDescent="0.25">
      <c r="A7105" t="str">
        <f t="shared" si="2897"/>
        <v>04-08-2020 12:36:35</v>
      </c>
      <c r="B7105" t="str">
        <f>"0000803807"</f>
        <v>0000803807</v>
      </c>
      <c r="C7105" t="str">
        <f t="shared" si="2898"/>
        <v>0000803758</v>
      </c>
      <c r="D7105" t="str">
        <f t="shared" si="2876"/>
        <v>73185</v>
      </c>
      <c r="E7105" t="str">
        <f t="shared" si="2877"/>
        <v>KFH-OPERATIONS DEPARTMENT</v>
      </c>
      <c r="F7105" t="str">
        <f t="shared" si="2878"/>
        <v>IBG</v>
      </c>
      <c r="G7105" t="str">
        <f t="shared" si="2891"/>
        <v>Refund COSHARE 10</v>
      </c>
      <c r="H7105" s="2">
        <v>587.65</v>
      </c>
      <c r="I7105" t="str">
        <f>"SITI NOR KHARTINI BINTI ISHAK"</f>
        <v>SITI NOR KHARTINI BINTI ISHAK</v>
      </c>
      <c r="J7105" t="str">
        <f t="shared" si="2892"/>
        <v>BANK SIMPANAN NASIONAL</v>
      </c>
      <c r="K7105" t="str">
        <f>"0240029830886802"</f>
        <v>0240029830886802</v>
      </c>
      <c r="L7105" t="str">
        <f t="shared" si="2899"/>
        <v>04-08-2020</v>
      </c>
      <c r="M7105" t="str">
        <f t="shared" si="2899"/>
        <v>04-08-2020</v>
      </c>
      <c r="N7105" t="str">
        <f t="shared" si="2880"/>
        <v>001105018356</v>
      </c>
      <c r="O7105" t="str">
        <f t="shared" si="2881"/>
        <v>MYR</v>
      </c>
      <c r="P7105" t="str">
        <f t="shared" si="2900"/>
        <v>NIL</v>
      </c>
      <c r="Q7105" t="str">
        <f t="shared" si="2900"/>
        <v>NIL</v>
      </c>
      <c r="R7105" t="str">
        <f t="shared" si="2895"/>
        <v>Accepted</v>
      </c>
      <c r="S7105" t="str">
        <f t="shared" si="2883"/>
        <v>Approved</v>
      </c>
      <c r="T7105" t="str">
        <f t="shared" si="2896"/>
        <v>10.20.8.188</v>
      </c>
      <c r="U7105" t="str">
        <f t="shared" si="2884"/>
        <v>AZRAD UMAR BIN SHAARI</v>
      </c>
      <c r="V7105" t="str">
        <f t="shared" si="2885"/>
        <v>FARHANA BINTI MUSTAPA</v>
      </c>
      <c r="W7105" t="str">
        <f t="shared" si="2886"/>
        <v>04-08-2020</v>
      </c>
      <c r="X7105" t="str">
        <f t="shared" si="2887"/>
        <v>RAZIMAH ANSAR AHMAD</v>
      </c>
      <c r="Y7105" t="str">
        <f t="shared" si="2888"/>
        <v>04-08-2020</v>
      </c>
      <c r="Z7105" t="str">
        <f>"COS10200804 2049"</f>
        <v>COS10200804 2049</v>
      </c>
    </row>
    <row r="7106" spans="1:26" x14ac:dyDescent="0.25">
      <c r="A7106" t="str">
        <f t="shared" si="2897"/>
        <v>04-08-2020 12:36:35</v>
      </c>
      <c r="B7106" t="str">
        <f>"0000803806"</f>
        <v>0000803806</v>
      </c>
      <c r="C7106" t="str">
        <f t="shared" si="2898"/>
        <v>0000803758</v>
      </c>
      <c r="D7106" t="str">
        <f t="shared" si="2876"/>
        <v>73185</v>
      </c>
      <c r="E7106" t="str">
        <f t="shared" si="2877"/>
        <v>KFH-OPERATIONS DEPARTMENT</v>
      </c>
      <c r="F7106" t="str">
        <f t="shared" si="2878"/>
        <v>IBG</v>
      </c>
      <c r="G7106" t="str">
        <f t="shared" si="2891"/>
        <v>Refund COSHARE 10</v>
      </c>
      <c r="H7106" s="2">
        <v>190.55</v>
      </c>
      <c r="I7106" t="str">
        <f>"SITI NOOR BINTI MD SAAD"</f>
        <v>SITI NOOR BINTI MD SAAD</v>
      </c>
      <c r="J7106" t="str">
        <f t="shared" si="2892"/>
        <v>BANK SIMPANAN NASIONAL</v>
      </c>
      <c r="K7106" t="str">
        <f>"0212329839525426"</f>
        <v>0212329839525426</v>
      </c>
      <c r="L7106" t="str">
        <f t="shared" si="2899"/>
        <v>04-08-2020</v>
      </c>
      <c r="M7106" t="str">
        <f t="shared" si="2899"/>
        <v>04-08-2020</v>
      </c>
      <c r="N7106" t="str">
        <f t="shared" si="2880"/>
        <v>001105018356</v>
      </c>
      <c r="O7106" t="str">
        <f t="shared" si="2881"/>
        <v>MYR</v>
      </c>
      <c r="P7106" t="str">
        <f t="shared" si="2900"/>
        <v>NIL</v>
      </c>
      <c r="Q7106" t="str">
        <f t="shared" si="2900"/>
        <v>NIL</v>
      </c>
      <c r="R7106" t="str">
        <f t="shared" si="2895"/>
        <v>Accepted</v>
      </c>
      <c r="S7106" t="str">
        <f t="shared" si="2883"/>
        <v>Approved</v>
      </c>
      <c r="T7106" t="str">
        <f t="shared" si="2896"/>
        <v>10.20.8.188</v>
      </c>
      <c r="U7106" t="str">
        <f t="shared" si="2884"/>
        <v>AZRAD UMAR BIN SHAARI</v>
      </c>
      <c r="V7106" t="str">
        <f t="shared" si="2885"/>
        <v>FARHANA BINTI MUSTAPA</v>
      </c>
      <c r="W7106" t="str">
        <f t="shared" si="2886"/>
        <v>04-08-2020</v>
      </c>
      <c r="X7106" t="str">
        <f t="shared" si="2887"/>
        <v>RAZIMAH ANSAR AHMAD</v>
      </c>
      <c r="Y7106" t="str">
        <f t="shared" si="2888"/>
        <v>04-08-2020</v>
      </c>
      <c r="Z7106" t="str">
        <f>"COS10200804 2048"</f>
        <v>COS10200804 2048</v>
      </c>
    </row>
    <row r="7107" spans="1:26" x14ac:dyDescent="0.25">
      <c r="A7107" t="str">
        <f t="shared" si="2897"/>
        <v>04-08-2020 12:36:35</v>
      </c>
      <c r="B7107" t="str">
        <f>"0000803805"</f>
        <v>0000803805</v>
      </c>
      <c r="C7107" t="str">
        <f t="shared" si="2898"/>
        <v>0000803758</v>
      </c>
      <c r="D7107" t="str">
        <f t="shared" si="2876"/>
        <v>73185</v>
      </c>
      <c r="E7107" t="str">
        <f t="shared" si="2877"/>
        <v>KFH-OPERATIONS DEPARTMENT</v>
      </c>
      <c r="F7107" t="str">
        <f t="shared" si="2878"/>
        <v>IBG</v>
      </c>
      <c r="G7107" t="str">
        <f t="shared" si="2891"/>
        <v>Refund COSHARE 10</v>
      </c>
      <c r="H7107" s="2">
        <v>68.8</v>
      </c>
      <c r="I7107" t="str">
        <f>"SITI NOOR BINTI ISMAIL"</f>
        <v>SITI NOOR BINTI ISMAIL</v>
      </c>
      <c r="J7107" t="str">
        <f t="shared" si="2892"/>
        <v>BANK SIMPANAN NASIONAL</v>
      </c>
      <c r="K7107" t="str">
        <f>"0310929852457043"</f>
        <v>0310929852457043</v>
      </c>
      <c r="L7107" t="str">
        <f t="shared" ref="L7107:M7126" si="2901">"04-08-2020"</f>
        <v>04-08-2020</v>
      </c>
      <c r="M7107" t="str">
        <f t="shared" si="2901"/>
        <v>04-08-2020</v>
      </c>
      <c r="N7107" t="str">
        <f t="shared" si="2880"/>
        <v>001105018356</v>
      </c>
      <c r="O7107" t="str">
        <f t="shared" si="2881"/>
        <v>MYR</v>
      </c>
      <c r="P7107" t="str">
        <f t="shared" ref="P7107:Q7126" si="2902">"NIL"</f>
        <v>NIL</v>
      </c>
      <c r="Q7107" t="str">
        <f t="shared" si="2902"/>
        <v>NIL</v>
      </c>
      <c r="R7107" t="str">
        <f t="shared" si="2895"/>
        <v>Accepted</v>
      </c>
      <c r="S7107" t="str">
        <f t="shared" si="2883"/>
        <v>Approved</v>
      </c>
      <c r="T7107" t="str">
        <f t="shared" si="2896"/>
        <v>10.20.8.188</v>
      </c>
      <c r="U7107" t="str">
        <f t="shared" si="2884"/>
        <v>AZRAD UMAR BIN SHAARI</v>
      </c>
      <c r="V7107" t="str">
        <f t="shared" si="2885"/>
        <v>FARHANA BINTI MUSTAPA</v>
      </c>
      <c r="W7107" t="str">
        <f t="shared" si="2886"/>
        <v>04-08-2020</v>
      </c>
      <c r="X7107" t="str">
        <f t="shared" si="2887"/>
        <v>RAZIMAH ANSAR AHMAD</v>
      </c>
      <c r="Y7107" t="str">
        <f t="shared" si="2888"/>
        <v>04-08-2020</v>
      </c>
      <c r="Z7107" t="str">
        <f>"COS10200804 2047"</f>
        <v>COS10200804 2047</v>
      </c>
    </row>
    <row r="7108" spans="1:26" x14ac:dyDescent="0.25">
      <c r="A7108" t="str">
        <f t="shared" si="2897"/>
        <v>04-08-2020 12:36:35</v>
      </c>
      <c r="B7108" t="str">
        <f>"0000803804"</f>
        <v>0000803804</v>
      </c>
      <c r="C7108" t="str">
        <f t="shared" si="2898"/>
        <v>0000803758</v>
      </c>
      <c r="D7108" t="str">
        <f t="shared" si="2876"/>
        <v>73185</v>
      </c>
      <c r="E7108" t="str">
        <f t="shared" si="2877"/>
        <v>KFH-OPERATIONS DEPARTMENT</v>
      </c>
      <c r="F7108" t="str">
        <f t="shared" si="2878"/>
        <v>IBG</v>
      </c>
      <c r="G7108" t="str">
        <f t="shared" si="2891"/>
        <v>Refund COSHARE 10</v>
      </c>
      <c r="H7108" s="2">
        <v>805.95</v>
      </c>
      <c r="I7108" t="str">
        <f>"SITI MURSYIDAH BINTI ABDUL RAHMAN"</f>
        <v>SITI MURSYIDAH BINTI ABDUL RAHMAN</v>
      </c>
      <c r="J7108" t="str">
        <f t="shared" si="2892"/>
        <v>BANK SIMPANAN NASIONAL</v>
      </c>
      <c r="K7108" t="str">
        <f>"1416341000014672"</f>
        <v>1416341000014672</v>
      </c>
      <c r="L7108" t="str">
        <f t="shared" si="2901"/>
        <v>04-08-2020</v>
      </c>
      <c r="M7108" t="str">
        <f t="shared" si="2901"/>
        <v>04-08-2020</v>
      </c>
      <c r="N7108" t="str">
        <f t="shared" si="2880"/>
        <v>001105018356</v>
      </c>
      <c r="O7108" t="str">
        <f t="shared" si="2881"/>
        <v>MYR</v>
      </c>
      <c r="P7108" t="str">
        <f t="shared" si="2902"/>
        <v>NIL</v>
      </c>
      <c r="Q7108" t="str">
        <f t="shared" si="2902"/>
        <v>NIL</v>
      </c>
      <c r="R7108" t="str">
        <f t="shared" si="2895"/>
        <v>Accepted</v>
      </c>
      <c r="S7108" t="str">
        <f t="shared" si="2883"/>
        <v>Approved</v>
      </c>
      <c r="T7108" t="str">
        <f t="shared" si="2896"/>
        <v>10.20.8.188</v>
      </c>
      <c r="U7108" t="str">
        <f t="shared" si="2884"/>
        <v>AZRAD UMAR BIN SHAARI</v>
      </c>
      <c r="V7108" t="str">
        <f t="shared" si="2885"/>
        <v>FARHANA BINTI MUSTAPA</v>
      </c>
      <c r="W7108" t="str">
        <f t="shared" si="2886"/>
        <v>04-08-2020</v>
      </c>
      <c r="X7108" t="str">
        <f t="shared" si="2887"/>
        <v>RAZIMAH ANSAR AHMAD</v>
      </c>
      <c r="Y7108" t="str">
        <f t="shared" si="2888"/>
        <v>04-08-2020</v>
      </c>
      <c r="Z7108" t="str">
        <f>"COS10200804 2046"</f>
        <v>COS10200804 2046</v>
      </c>
    </row>
    <row r="7109" spans="1:26" x14ac:dyDescent="0.25">
      <c r="A7109" t="str">
        <f t="shared" si="2897"/>
        <v>04-08-2020 12:36:35</v>
      </c>
      <c r="B7109" t="str">
        <f>"0000803803"</f>
        <v>0000803803</v>
      </c>
      <c r="C7109" t="str">
        <f t="shared" si="2898"/>
        <v>0000803758</v>
      </c>
      <c r="D7109" t="str">
        <f t="shared" si="2876"/>
        <v>73185</v>
      </c>
      <c r="E7109" t="str">
        <f t="shared" si="2877"/>
        <v>KFH-OPERATIONS DEPARTMENT</v>
      </c>
      <c r="F7109" t="str">
        <f t="shared" si="2878"/>
        <v>IBG</v>
      </c>
      <c r="G7109" t="str">
        <f t="shared" si="2891"/>
        <v>Refund COSHARE 10</v>
      </c>
      <c r="H7109" s="2">
        <v>1876.2</v>
      </c>
      <c r="I7109" t="str">
        <f>"SITI MAIMUNAH BINTI RAZALI"</f>
        <v>SITI MAIMUNAH BINTI RAZALI</v>
      </c>
      <c r="J7109" t="str">
        <f t="shared" si="2892"/>
        <v>BANK SIMPANAN NASIONAL</v>
      </c>
      <c r="K7109" t="str">
        <f>"1411629823730887"</f>
        <v>1411629823730887</v>
      </c>
      <c r="L7109" t="str">
        <f t="shared" si="2901"/>
        <v>04-08-2020</v>
      </c>
      <c r="M7109" t="str">
        <f t="shared" si="2901"/>
        <v>04-08-2020</v>
      </c>
      <c r="N7109" t="str">
        <f t="shared" si="2880"/>
        <v>001105018356</v>
      </c>
      <c r="O7109" t="str">
        <f t="shared" si="2881"/>
        <v>MYR</v>
      </c>
      <c r="P7109" t="str">
        <f t="shared" si="2902"/>
        <v>NIL</v>
      </c>
      <c r="Q7109" t="str">
        <f t="shared" si="2902"/>
        <v>NIL</v>
      </c>
      <c r="R7109" t="str">
        <f t="shared" si="2895"/>
        <v>Accepted</v>
      </c>
      <c r="S7109" t="str">
        <f t="shared" si="2883"/>
        <v>Approved</v>
      </c>
      <c r="T7109" t="str">
        <f t="shared" si="2896"/>
        <v>10.20.8.188</v>
      </c>
      <c r="U7109" t="str">
        <f t="shared" si="2884"/>
        <v>AZRAD UMAR BIN SHAARI</v>
      </c>
      <c r="V7109" t="str">
        <f t="shared" si="2885"/>
        <v>FARHANA BINTI MUSTAPA</v>
      </c>
      <c r="W7109" t="str">
        <f t="shared" si="2886"/>
        <v>04-08-2020</v>
      </c>
      <c r="X7109" t="str">
        <f t="shared" si="2887"/>
        <v>RAZIMAH ANSAR AHMAD</v>
      </c>
      <c r="Y7109" t="str">
        <f t="shared" si="2888"/>
        <v>04-08-2020</v>
      </c>
      <c r="Z7109" t="str">
        <f>"COS10200804 2045"</f>
        <v>COS10200804 2045</v>
      </c>
    </row>
    <row r="7110" spans="1:26" x14ac:dyDescent="0.25">
      <c r="A7110" t="str">
        <f t="shared" si="2897"/>
        <v>04-08-2020 12:36:35</v>
      </c>
      <c r="B7110" t="str">
        <f>"0000803802"</f>
        <v>0000803802</v>
      </c>
      <c r="C7110" t="str">
        <f t="shared" si="2898"/>
        <v>0000803758</v>
      </c>
      <c r="D7110" t="str">
        <f t="shared" si="2876"/>
        <v>73185</v>
      </c>
      <c r="E7110" t="str">
        <f t="shared" si="2877"/>
        <v>KFH-OPERATIONS DEPARTMENT</v>
      </c>
      <c r="F7110" t="str">
        <f t="shared" si="2878"/>
        <v>IBG</v>
      </c>
      <c r="G7110" t="str">
        <f t="shared" si="2891"/>
        <v>Refund COSHARE 10</v>
      </c>
      <c r="H7110" s="2">
        <v>127.7</v>
      </c>
      <c r="I7110" t="str">
        <f>"SITI KHATIJAH BINTI KADIR"</f>
        <v>SITI KHATIJAH BINTI KADIR</v>
      </c>
      <c r="J7110" t="str">
        <f t="shared" si="2892"/>
        <v>BANK SIMPANAN NASIONAL</v>
      </c>
      <c r="K7110" t="str">
        <f>"0410429894523398"</f>
        <v>0410429894523398</v>
      </c>
      <c r="L7110" t="str">
        <f t="shared" si="2901"/>
        <v>04-08-2020</v>
      </c>
      <c r="M7110" t="str">
        <f t="shared" si="2901"/>
        <v>04-08-2020</v>
      </c>
      <c r="N7110" t="str">
        <f t="shared" si="2880"/>
        <v>001105018356</v>
      </c>
      <c r="O7110" t="str">
        <f t="shared" si="2881"/>
        <v>MYR</v>
      </c>
      <c r="P7110" t="str">
        <f t="shared" si="2902"/>
        <v>NIL</v>
      </c>
      <c r="Q7110" t="str">
        <f t="shared" si="2902"/>
        <v>NIL</v>
      </c>
      <c r="R7110" t="str">
        <f t="shared" si="2895"/>
        <v>Accepted</v>
      </c>
      <c r="S7110" t="str">
        <f t="shared" si="2883"/>
        <v>Approved</v>
      </c>
      <c r="T7110" t="str">
        <f t="shared" si="2896"/>
        <v>10.20.8.188</v>
      </c>
      <c r="U7110" t="str">
        <f t="shared" si="2884"/>
        <v>AZRAD UMAR BIN SHAARI</v>
      </c>
      <c r="V7110" t="str">
        <f t="shared" si="2885"/>
        <v>FARHANA BINTI MUSTAPA</v>
      </c>
      <c r="W7110" t="str">
        <f t="shared" si="2886"/>
        <v>04-08-2020</v>
      </c>
      <c r="X7110" t="str">
        <f t="shared" si="2887"/>
        <v>RAZIMAH ANSAR AHMAD</v>
      </c>
      <c r="Y7110" t="str">
        <f t="shared" si="2888"/>
        <v>04-08-2020</v>
      </c>
      <c r="Z7110" t="str">
        <f>"COS10200804 2044"</f>
        <v>COS10200804 2044</v>
      </c>
    </row>
    <row r="7111" spans="1:26" x14ac:dyDescent="0.25">
      <c r="A7111" t="str">
        <f t="shared" si="2897"/>
        <v>04-08-2020 12:36:35</v>
      </c>
      <c r="B7111" t="str">
        <f>"0000803801"</f>
        <v>0000803801</v>
      </c>
      <c r="C7111" t="str">
        <f t="shared" si="2898"/>
        <v>0000803758</v>
      </c>
      <c r="D7111" t="str">
        <f t="shared" ref="D7111:D7174" si="2903">"73185"</f>
        <v>73185</v>
      </c>
      <c r="E7111" t="str">
        <f t="shared" ref="E7111:E7174" si="2904">"KFH-OPERATIONS DEPARTMENT"</f>
        <v>KFH-OPERATIONS DEPARTMENT</v>
      </c>
      <c r="F7111" t="str">
        <f t="shared" ref="F7111:F7174" si="2905">"IBG"</f>
        <v>IBG</v>
      </c>
      <c r="G7111" t="str">
        <f t="shared" si="2891"/>
        <v>Refund COSHARE 10</v>
      </c>
      <c r="H7111" s="2">
        <v>979</v>
      </c>
      <c r="I7111" t="str">
        <f>"SITI HASLINA BINTI SAID"</f>
        <v>SITI HASLINA BINTI SAID</v>
      </c>
      <c r="J7111" t="str">
        <f t="shared" si="2892"/>
        <v>BANK SIMPANAN NASIONAL</v>
      </c>
      <c r="K7111" t="str">
        <f>"0310129000010404"</f>
        <v>0310129000010404</v>
      </c>
      <c r="L7111" t="str">
        <f t="shared" si="2901"/>
        <v>04-08-2020</v>
      </c>
      <c r="M7111" t="str">
        <f t="shared" si="2901"/>
        <v>04-08-2020</v>
      </c>
      <c r="N7111" t="str">
        <f t="shared" ref="N7111:N7174" si="2906">"001105018356"</f>
        <v>001105018356</v>
      </c>
      <c r="O7111" t="str">
        <f t="shared" ref="O7111:O7174" si="2907">"MYR"</f>
        <v>MYR</v>
      </c>
      <c r="P7111" t="str">
        <f t="shared" si="2902"/>
        <v>NIL</v>
      </c>
      <c r="Q7111" t="str">
        <f t="shared" si="2902"/>
        <v>NIL</v>
      </c>
      <c r="R7111" t="str">
        <f t="shared" si="2895"/>
        <v>Accepted</v>
      </c>
      <c r="S7111" t="str">
        <f t="shared" ref="S7111:S7174" si="2908">"Approved"</f>
        <v>Approved</v>
      </c>
      <c r="T7111" t="str">
        <f t="shared" si="2896"/>
        <v>10.20.8.188</v>
      </c>
      <c r="U7111" t="str">
        <f t="shared" ref="U7111:U7174" si="2909">"AZRAD UMAR BIN SHAARI"</f>
        <v>AZRAD UMAR BIN SHAARI</v>
      </c>
      <c r="V7111" t="str">
        <f t="shared" ref="V7111:V7174" si="2910">"FARHANA BINTI MUSTAPA"</f>
        <v>FARHANA BINTI MUSTAPA</v>
      </c>
      <c r="W7111" t="str">
        <f t="shared" ref="W7111:W7174" si="2911">"04-08-2020"</f>
        <v>04-08-2020</v>
      </c>
      <c r="X7111" t="str">
        <f t="shared" ref="X7111:X7174" si="2912">"RAZIMAH ANSAR AHMAD"</f>
        <v>RAZIMAH ANSAR AHMAD</v>
      </c>
      <c r="Y7111" t="str">
        <f t="shared" ref="Y7111:Y7174" si="2913">"04-08-2020"</f>
        <v>04-08-2020</v>
      </c>
      <c r="Z7111" t="str">
        <f>"COS10200804 2043"</f>
        <v>COS10200804 2043</v>
      </c>
    </row>
    <row r="7112" spans="1:26" x14ac:dyDescent="0.25">
      <c r="A7112" t="str">
        <f t="shared" si="2897"/>
        <v>04-08-2020 12:36:35</v>
      </c>
      <c r="B7112" t="str">
        <f>"0000803800"</f>
        <v>0000803800</v>
      </c>
      <c r="C7112" t="str">
        <f t="shared" si="2898"/>
        <v>0000803758</v>
      </c>
      <c r="D7112" t="str">
        <f t="shared" si="2903"/>
        <v>73185</v>
      </c>
      <c r="E7112" t="str">
        <f t="shared" si="2904"/>
        <v>KFH-OPERATIONS DEPARTMENT</v>
      </c>
      <c r="F7112" t="str">
        <f t="shared" si="2905"/>
        <v>IBG</v>
      </c>
      <c r="G7112" t="str">
        <f t="shared" si="2891"/>
        <v>Refund COSHARE 10</v>
      </c>
      <c r="H7112" s="2">
        <v>911</v>
      </c>
      <c r="I7112" t="str">
        <f>"SITI HANISAH BINTI MOHAMAD NOOR"</f>
        <v>SITI HANISAH BINTI MOHAMAD NOOR</v>
      </c>
      <c r="J7112" t="str">
        <f t="shared" si="2892"/>
        <v>BANK SIMPANAN NASIONAL</v>
      </c>
      <c r="K7112" t="str">
        <f>"0310029000075067"</f>
        <v>0310029000075067</v>
      </c>
      <c r="L7112" t="str">
        <f t="shared" si="2901"/>
        <v>04-08-2020</v>
      </c>
      <c r="M7112" t="str">
        <f t="shared" si="2901"/>
        <v>04-08-2020</v>
      </c>
      <c r="N7112" t="str">
        <f t="shared" si="2906"/>
        <v>001105018356</v>
      </c>
      <c r="O7112" t="str">
        <f t="shared" si="2907"/>
        <v>MYR</v>
      </c>
      <c r="P7112" t="str">
        <f t="shared" si="2902"/>
        <v>NIL</v>
      </c>
      <c r="Q7112" t="str">
        <f t="shared" si="2902"/>
        <v>NIL</v>
      </c>
      <c r="R7112" t="str">
        <f t="shared" si="2895"/>
        <v>Accepted</v>
      </c>
      <c r="S7112" t="str">
        <f t="shared" si="2908"/>
        <v>Approved</v>
      </c>
      <c r="T7112" t="str">
        <f t="shared" si="2896"/>
        <v>10.20.8.188</v>
      </c>
      <c r="U7112" t="str">
        <f t="shared" si="2909"/>
        <v>AZRAD UMAR BIN SHAARI</v>
      </c>
      <c r="V7112" t="str">
        <f t="shared" si="2910"/>
        <v>FARHANA BINTI MUSTAPA</v>
      </c>
      <c r="W7112" t="str">
        <f t="shared" si="2911"/>
        <v>04-08-2020</v>
      </c>
      <c r="X7112" t="str">
        <f t="shared" si="2912"/>
        <v>RAZIMAH ANSAR AHMAD</v>
      </c>
      <c r="Y7112" t="str">
        <f t="shared" si="2913"/>
        <v>04-08-2020</v>
      </c>
      <c r="Z7112" t="str">
        <f>"COS10200804 2042"</f>
        <v>COS10200804 2042</v>
      </c>
    </row>
    <row r="7113" spans="1:26" x14ac:dyDescent="0.25">
      <c r="A7113" t="str">
        <f t="shared" si="2897"/>
        <v>04-08-2020 12:36:35</v>
      </c>
      <c r="B7113" t="str">
        <f>"0000803799"</f>
        <v>0000803799</v>
      </c>
      <c r="C7113" t="str">
        <f t="shared" si="2898"/>
        <v>0000803758</v>
      </c>
      <c r="D7113" t="str">
        <f t="shared" si="2903"/>
        <v>73185</v>
      </c>
      <c r="E7113" t="str">
        <f t="shared" si="2904"/>
        <v>KFH-OPERATIONS DEPARTMENT</v>
      </c>
      <c r="F7113" t="str">
        <f t="shared" si="2905"/>
        <v>IBG</v>
      </c>
      <c r="G7113" t="str">
        <f t="shared" si="2891"/>
        <v>Refund COSHARE 10</v>
      </c>
      <c r="H7113" s="2">
        <v>1024.1500000000001</v>
      </c>
      <c r="I7113" t="str">
        <f>"SITI HANIMAH BINTI MOHAMED AMIN"</f>
        <v>SITI HANIMAH BINTI MOHAMED AMIN</v>
      </c>
      <c r="J7113" t="str">
        <f t="shared" si="2892"/>
        <v>BANK SIMPANAN NASIONAL</v>
      </c>
      <c r="K7113" t="str">
        <f>"0411529822013037"</f>
        <v>0411529822013037</v>
      </c>
      <c r="L7113" t="str">
        <f t="shared" si="2901"/>
        <v>04-08-2020</v>
      </c>
      <c r="M7113" t="str">
        <f t="shared" si="2901"/>
        <v>04-08-2020</v>
      </c>
      <c r="N7113" t="str">
        <f t="shared" si="2906"/>
        <v>001105018356</v>
      </c>
      <c r="O7113" t="str">
        <f t="shared" si="2907"/>
        <v>MYR</v>
      </c>
      <c r="P7113" t="str">
        <f t="shared" si="2902"/>
        <v>NIL</v>
      </c>
      <c r="Q7113" t="str">
        <f t="shared" si="2902"/>
        <v>NIL</v>
      </c>
      <c r="R7113" t="str">
        <f t="shared" si="2895"/>
        <v>Accepted</v>
      </c>
      <c r="S7113" t="str">
        <f t="shared" si="2908"/>
        <v>Approved</v>
      </c>
      <c r="T7113" t="str">
        <f t="shared" si="2896"/>
        <v>10.20.8.188</v>
      </c>
      <c r="U7113" t="str">
        <f t="shared" si="2909"/>
        <v>AZRAD UMAR BIN SHAARI</v>
      </c>
      <c r="V7113" t="str">
        <f t="shared" si="2910"/>
        <v>FARHANA BINTI MUSTAPA</v>
      </c>
      <c r="W7113" t="str">
        <f t="shared" si="2911"/>
        <v>04-08-2020</v>
      </c>
      <c r="X7113" t="str">
        <f t="shared" si="2912"/>
        <v>RAZIMAH ANSAR AHMAD</v>
      </c>
      <c r="Y7113" t="str">
        <f t="shared" si="2913"/>
        <v>04-08-2020</v>
      </c>
      <c r="Z7113" t="str">
        <f>"COS10200804 2041"</f>
        <v>COS10200804 2041</v>
      </c>
    </row>
    <row r="7114" spans="1:26" x14ac:dyDescent="0.25">
      <c r="A7114" t="str">
        <f t="shared" ref="A7114:A7145" si="2914">"04-08-2020 12:36:35"</f>
        <v>04-08-2020 12:36:35</v>
      </c>
      <c r="B7114" t="str">
        <f>"0000803798"</f>
        <v>0000803798</v>
      </c>
      <c r="C7114" t="str">
        <f t="shared" ref="C7114:C7145" si="2915">"0000803758"</f>
        <v>0000803758</v>
      </c>
      <c r="D7114" t="str">
        <f t="shared" si="2903"/>
        <v>73185</v>
      </c>
      <c r="E7114" t="str">
        <f t="shared" si="2904"/>
        <v>KFH-OPERATIONS DEPARTMENT</v>
      </c>
      <c r="F7114" t="str">
        <f t="shared" si="2905"/>
        <v>IBG</v>
      </c>
      <c r="G7114" t="str">
        <f t="shared" si="2891"/>
        <v>Refund COSHARE 10</v>
      </c>
      <c r="H7114" s="2">
        <v>411.4</v>
      </c>
      <c r="I7114" t="str">
        <f>"SITI FATIMAH BINTI FADZIL"</f>
        <v>SITI FATIMAH BINTI FADZIL</v>
      </c>
      <c r="J7114" t="str">
        <f t="shared" si="2892"/>
        <v>BANK SIMPANAN NASIONAL</v>
      </c>
      <c r="K7114" t="str">
        <f>"1040029837968190"</f>
        <v>1040029837968190</v>
      </c>
      <c r="L7114" t="str">
        <f t="shared" si="2901"/>
        <v>04-08-2020</v>
      </c>
      <c r="M7114" t="str">
        <f t="shared" si="2901"/>
        <v>04-08-2020</v>
      </c>
      <c r="N7114" t="str">
        <f t="shared" si="2906"/>
        <v>001105018356</v>
      </c>
      <c r="O7114" t="str">
        <f t="shared" si="2907"/>
        <v>MYR</v>
      </c>
      <c r="P7114" t="str">
        <f t="shared" si="2902"/>
        <v>NIL</v>
      </c>
      <c r="Q7114" t="str">
        <f t="shared" si="2902"/>
        <v>NIL</v>
      </c>
      <c r="R7114" t="str">
        <f t="shared" si="2895"/>
        <v>Accepted</v>
      </c>
      <c r="S7114" t="str">
        <f t="shared" si="2908"/>
        <v>Approved</v>
      </c>
      <c r="T7114" t="str">
        <f t="shared" si="2896"/>
        <v>10.20.8.188</v>
      </c>
      <c r="U7114" t="str">
        <f t="shared" si="2909"/>
        <v>AZRAD UMAR BIN SHAARI</v>
      </c>
      <c r="V7114" t="str">
        <f t="shared" si="2910"/>
        <v>FARHANA BINTI MUSTAPA</v>
      </c>
      <c r="W7114" t="str">
        <f t="shared" si="2911"/>
        <v>04-08-2020</v>
      </c>
      <c r="X7114" t="str">
        <f t="shared" si="2912"/>
        <v>RAZIMAH ANSAR AHMAD</v>
      </c>
      <c r="Y7114" t="str">
        <f t="shared" si="2913"/>
        <v>04-08-2020</v>
      </c>
      <c r="Z7114" t="str">
        <f>"COS10200804 2040"</f>
        <v>COS10200804 2040</v>
      </c>
    </row>
    <row r="7115" spans="1:26" x14ac:dyDescent="0.25">
      <c r="A7115" t="str">
        <f t="shared" si="2914"/>
        <v>04-08-2020 12:36:35</v>
      </c>
      <c r="B7115" t="str">
        <f>"0000803797"</f>
        <v>0000803797</v>
      </c>
      <c r="C7115" t="str">
        <f t="shared" si="2915"/>
        <v>0000803758</v>
      </c>
      <c r="D7115" t="str">
        <f t="shared" si="2903"/>
        <v>73185</v>
      </c>
      <c r="E7115" t="str">
        <f t="shared" si="2904"/>
        <v>KFH-OPERATIONS DEPARTMENT</v>
      </c>
      <c r="F7115" t="str">
        <f t="shared" si="2905"/>
        <v>IBG</v>
      </c>
      <c r="G7115" t="str">
        <f t="shared" si="2891"/>
        <v>Refund COSHARE 10</v>
      </c>
      <c r="H7115" s="2">
        <v>671.6</v>
      </c>
      <c r="I7115" t="str">
        <f>"SITI BALKIS BINTI SHAARI"</f>
        <v>SITI BALKIS BINTI SHAARI</v>
      </c>
      <c r="J7115" t="str">
        <f t="shared" si="2892"/>
        <v>BANK SIMPANAN NASIONAL</v>
      </c>
      <c r="K7115" t="str">
        <f>"0212629822473808"</f>
        <v>0212629822473808</v>
      </c>
      <c r="L7115" t="str">
        <f t="shared" si="2901"/>
        <v>04-08-2020</v>
      </c>
      <c r="M7115" t="str">
        <f t="shared" si="2901"/>
        <v>04-08-2020</v>
      </c>
      <c r="N7115" t="str">
        <f t="shared" si="2906"/>
        <v>001105018356</v>
      </c>
      <c r="O7115" t="str">
        <f t="shared" si="2907"/>
        <v>MYR</v>
      </c>
      <c r="P7115" t="str">
        <f t="shared" si="2902"/>
        <v>NIL</v>
      </c>
      <c r="Q7115" t="str">
        <f t="shared" si="2902"/>
        <v>NIL</v>
      </c>
      <c r="R7115" t="str">
        <f t="shared" si="2895"/>
        <v>Accepted</v>
      </c>
      <c r="S7115" t="str">
        <f t="shared" si="2908"/>
        <v>Approved</v>
      </c>
      <c r="T7115" t="str">
        <f t="shared" si="2896"/>
        <v>10.20.8.188</v>
      </c>
      <c r="U7115" t="str">
        <f t="shared" si="2909"/>
        <v>AZRAD UMAR BIN SHAARI</v>
      </c>
      <c r="V7115" t="str">
        <f t="shared" si="2910"/>
        <v>FARHANA BINTI MUSTAPA</v>
      </c>
      <c r="W7115" t="str">
        <f t="shared" si="2911"/>
        <v>04-08-2020</v>
      </c>
      <c r="X7115" t="str">
        <f t="shared" si="2912"/>
        <v>RAZIMAH ANSAR AHMAD</v>
      </c>
      <c r="Y7115" t="str">
        <f t="shared" si="2913"/>
        <v>04-08-2020</v>
      </c>
      <c r="Z7115" t="str">
        <f>"COS10200804 2039"</f>
        <v>COS10200804 2039</v>
      </c>
    </row>
    <row r="7116" spans="1:26" x14ac:dyDescent="0.25">
      <c r="A7116" t="str">
        <f t="shared" si="2914"/>
        <v>04-08-2020 12:36:35</v>
      </c>
      <c r="B7116" t="str">
        <f>"0000803796"</f>
        <v>0000803796</v>
      </c>
      <c r="C7116" t="str">
        <f t="shared" si="2915"/>
        <v>0000803758</v>
      </c>
      <c r="D7116" t="str">
        <f t="shared" si="2903"/>
        <v>73185</v>
      </c>
      <c r="E7116" t="str">
        <f t="shared" si="2904"/>
        <v>KFH-OPERATIONS DEPARTMENT</v>
      </c>
      <c r="F7116" t="str">
        <f t="shared" si="2905"/>
        <v>IBG</v>
      </c>
      <c r="G7116" t="str">
        <f t="shared" ref="G7116:G7179" si="2916">"Refund COSHARE 10"</f>
        <v>Refund COSHARE 10</v>
      </c>
      <c r="H7116" s="2">
        <v>887.05</v>
      </c>
      <c r="I7116" t="str">
        <f>"SITI ASMAH BINTI TUMIRAN"</f>
        <v>SITI ASMAH BINTI TUMIRAN</v>
      </c>
      <c r="J7116" t="str">
        <f t="shared" si="2892"/>
        <v>BANK SIMPANAN NASIONAL</v>
      </c>
      <c r="K7116" t="str">
        <f>"0115641000155738"</f>
        <v>0115641000155738</v>
      </c>
      <c r="L7116" t="str">
        <f t="shared" si="2901"/>
        <v>04-08-2020</v>
      </c>
      <c r="M7116" t="str">
        <f t="shared" si="2901"/>
        <v>04-08-2020</v>
      </c>
      <c r="N7116" t="str">
        <f t="shared" si="2906"/>
        <v>001105018356</v>
      </c>
      <c r="O7116" t="str">
        <f t="shared" si="2907"/>
        <v>MYR</v>
      </c>
      <c r="P7116" t="str">
        <f t="shared" si="2902"/>
        <v>NIL</v>
      </c>
      <c r="Q7116" t="str">
        <f t="shared" si="2902"/>
        <v>NIL</v>
      </c>
      <c r="R7116" t="str">
        <f t="shared" si="2895"/>
        <v>Accepted</v>
      </c>
      <c r="S7116" t="str">
        <f t="shared" si="2908"/>
        <v>Approved</v>
      </c>
      <c r="T7116" t="str">
        <f t="shared" si="2896"/>
        <v>10.20.8.188</v>
      </c>
      <c r="U7116" t="str">
        <f t="shared" si="2909"/>
        <v>AZRAD UMAR BIN SHAARI</v>
      </c>
      <c r="V7116" t="str">
        <f t="shared" si="2910"/>
        <v>FARHANA BINTI MUSTAPA</v>
      </c>
      <c r="W7116" t="str">
        <f t="shared" si="2911"/>
        <v>04-08-2020</v>
      </c>
      <c r="X7116" t="str">
        <f t="shared" si="2912"/>
        <v>RAZIMAH ANSAR AHMAD</v>
      </c>
      <c r="Y7116" t="str">
        <f t="shared" si="2913"/>
        <v>04-08-2020</v>
      </c>
      <c r="Z7116" t="str">
        <f>"COS10200804 2038"</f>
        <v>COS10200804 2038</v>
      </c>
    </row>
    <row r="7117" spans="1:26" x14ac:dyDescent="0.25">
      <c r="A7117" t="str">
        <f t="shared" si="2914"/>
        <v>04-08-2020 12:36:35</v>
      </c>
      <c r="B7117" t="str">
        <f>"0000803795"</f>
        <v>0000803795</v>
      </c>
      <c r="C7117" t="str">
        <f t="shared" si="2915"/>
        <v>0000803758</v>
      </c>
      <c r="D7117" t="str">
        <f t="shared" si="2903"/>
        <v>73185</v>
      </c>
      <c r="E7117" t="str">
        <f t="shared" si="2904"/>
        <v>KFH-OPERATIONS DEPARTMENT</v>
      </c>
      <c r="F7117" t="str">
        <f t="shared" si="2905"/>
        <v>IBG</v>
      </c>
      <c r="G7117" t="str">
        <f t="shared" si="2916"/>
        <v>Refund COSHARE 10</v>
      </c>
      <c r="H7117" s="2">
        <v>343.85</v>
      </c>
      <c r="I7117" t="str">
        <f>"SITI AJAR BT MD NOH"</f>
        <v>SITI AJAR BT MD NOH</v>
      </c>
      <c r="J7117" t="str">
        <f t="shared" si="2892"/>
        <v>BANK SIMPANAN NASIONAL</v>
      </c>
      <c r="K7117" t="str">
        <f>"1010329888510900"</f>
        <v>1010329888510900</v>
      </c>
      <c r="L7117" t="str">
        <f t="shared" si="2901"/>
        <v>04-08-2020</v>
      </c>
      <c r="M7117" t="str">
        <f t="shared" si="2901"/>
        <v>04-08-2020</v>
      </c>
      <c r="N7117" t="str">
        <f t="shared" si="2906"/>
        <v>001105018356</v>
      </c>
      <c r="O7117" t="str">
        <f t="shared" si="2907"/>
        <v>MYR</v>
      </c>
      <c r="P7117" t="str">
        <f t="shared" si="2902"/>
        <v>NIL</v>
      </c>
      <c r="Q7117" t="str">
        <f t="shared" si="2902"/>
        <v>NIL</v>
      </c>
      <c r="R7117" t="str">
        <f t="shared" si="2895"/>
        <v>Accepted</v>
      </c>
      <c r="S7117" t="str">
        <f t="shared" si="2908"/>
        <v>Approved</v>
      </c>
      <c r="T7117" t="str">
        <f t="shared" si="2896"/>
        <v>10.20.8.188</v>
      </c>
      <c r="U7117" t="str">
        <f t="shared" si="2909"/>
        <v>AZRAD UMAR BIN SHAARI</v>
      </c>
      <c r="V7117" t="str">
        <f t="shared" si="2910"/>
        <v>FARHANA BINTI MUSTAPA</v>
      </c>
      <c r="W7117" t="str">
        <f t="shared" si="2911"/>
        <v>04-08-2020</v>
      </c>
      <c r="X7117" t="str">
        <f t="shared" si="2912"/>
        <v>RAZIMAH ANSAR AHMAD</v>
      </c>
      <c r="Y7117" t="str">
        <f t="shared" si="2913"/>
        <v>04-08-2020</v>
      </c>
      <c r="Z7117" t="str">
        <f>"COS10200804 2037"</f>
        <v>COS10200804 2037</v>
      </c>
    </row>
    <row r="7118" spans="1:26" x14ac:dyDescent="0.25">
      <c r="A7118" t="str">
        <f t="shared" si="2914"/>
        <v>04-08-2020 12:36:35</v>
      </c>
      <c r="B7118" t="str">
        <f>"0000803794"</f>
        <v>0000803794</v>
      </c>
      <c r="C7118" t="str">
        <f t="shared" si="2915"/>
        <v>0000803758</v>
      </c>
      <c r="D7118" t="str">
        <f t="shared" si="2903"/>
        <v>73185</v>
      </c>
      <c r="E7118" t="str">
        <f t="shared" si="2904"/>
        <v>KFH-OPERATIONS DEPARTMENT</v>
      </c>
      <c r="F7118" t="str">
        <f t="shared" si="2905"/>
        <v>IBG</v>
      </c>
      <c r="G7118" t="str">
        <f t="shared" si="2916"/>
        <v>Refund COSHARE 10</v>
      </c>
      <c r="H7118" s="2">
        <v>545.70000000000005</v>
      </c>
      <c r="I7118" t="str">
        <f>"SITI AISHAH BINTI SAHARIN"</f>
        <v>SITI AISHAH BINTI SAHARIN</v>
      </c>
      <c r="J7118" t="str">
        <f t="shared" si="2892"/>
        <v>BANK SIMPANAN NASIONAL</v>
      </c>
      <c r="K7118" t="str">
        <f>"1011929000070105"</f>
        <v>1011929000070105</v>
      </c>
      <c r="L7118" t="str">
        <f t="shared" si="2901"/>
        <v>04-08-2020</v>
      </c>
      <c r="M7118" t="str">
        <f t="shared" si="2901"/>
        <v>04-08-2020</v>
      </c>
      <c r="N7118" t="str">
        <f t="shared" si="2906"/>
        <v>001105018356</v>
      </c>
      <c r="O7118" t="str">
        <f t="shared" si="2907"/>
        <v>MYR</v>
      </c>
      <c r="P7118" t="str">
        <f t="shared" si="2902"/>
        <v>NIL</v>
      </c>
      <c r="Q7118" t="str">
        <f t="shared" si="2902"/>
        <v>NIL</v>
      </c>
      <c r="R7118" t="str">
        <f t="shared" si="2895"/>
        <v>Accepted</v>
      </c>
      <c r="S7118" t="str">
        <f t="shared" si="2908"/>
        <v>Approved</v>
      </c>
      <c r="T7118" t="str">
        <f t="shared" si="2896"/>
        <v>10.20.8.188</v>
      </c>
      <c r="U7118" t="str">
        <f t="shared" si="2909"/>
        <v>AZRAD UMAR BIN SHAARI</v>
      </c>
      <c r="V7118" t="str">
        <f t="shared" si="2910"/>
        <v>FARHANA BINTI MUSTAPA</v>
      </c>
      <c r="W7118" t="str">
        <f t="shared" si="2911"/>
        <v>04-08-2020</v>
      </c>
      <c r="X7118" t="str">
        <f t="shared" si="2912"/>
        <v>RAZIMAH ANSAR AHMAD</v>
      </c>
      <c r="Y7118" t="str">
        <f t="shared" si="2913"/>
        <v>04-08-2020</v>
      </c>
      <c r="Z7118" t="str">
        <f>"COS10200804 2036"</f>
        <v>COS10200804 2036</v>
      </c>
    </row>
    <row r="7119" spans="1:26" x14ac:dyDescent="0.25">
      <c r="A7119" t="str">
        <f t="shared" si="2914"/>
        <v>04-08-2020 12:36:35</v>
      </c>
      <c r="B7119" t="str">
        <f>"0000803793"</f>
        <v>0000803793</v>
      </c>
      <c r="C7119" t="str">
        <f t="shared" si="2915"/>
        <v>0000803758</v>
      </c>
      <c r="D7119" t="str">
        <f t="shared" si="2903"/>
        <v>73185</v>
      </c>
      <c r="E7119" t="str">
        <f t="shared" si="2904"/>
        <v>KFH-OPERATIONS DEPARTMENT</v>
      </c>
      <c r="F7119" t="str">
        <f t="shared" si="2905"/>
        <v>IBG</v>
      </c>
      <c r="G7119" t="str">
        <f t="shared" si="2916"/>
        <v>Refund COSHARE 10</v>
      </c>
      <c r="H7119" s="2">
        <v>587.65</v>
      </c>
      <c r="I7119" t="str">
        <f>"SHURIATE  SABTEKHA MURANG"</f>
        <v>SHURIATE  SABTEKHA MURANG</v>
      </c>
      <c r="J7119" t="str">
        <f t="shared" si="2892"/>
        <v>BANK SIMPANAN NASIONAL</v>
      </c>
      <c r="K7119" t="str">
        <f>"1211929000044885"</f>
        <v>1211929000044885</v>
      </c>
      <c r="L7119" t="str">
        <f t="shared" si="2901"/>
        <v>04-08-2020</v>
      </c>
      <c r="M7119" t="str">
        <f t="shared" si="2901"/>
        <v>04-08-2020</v>
      </c>
      <c r="N7119" t="str">
        <f t="shared" si="2906"/>
        <v>001105018356</v>
      </c>
      <c r="O7119" t="str">
        <f t="shared" si="2907"/>
        <v>MYR</v>
      </c>
      <c r="P7119" t="str">
        <f t="shared" si="2902"/>
        <v>NIL</v>
      </c>
      <c r="Q7119" t="str">
        <f t="shared" si="2902"/>
        <v>NIL</v>
      </c>
      <c r="R7119" t="str">
        <f t="shared" si="2895"/>
        <v>Accepted</v>
      </c>
      <c r="S7119" t="str">
        <f t="shared" si="2908"/>
        <v>Approved</v>
      </c>
      <c r="T7119" t="str">
        <f t="shared" si="2896"/>
        <v>10.20.8.188</v>
      </c>
      <c r="U7119" t="str">
        <f t="shared" si="2909"/>
        <v>AZRAD UMAR BIN SHAARI</v>
      </c>
      <c r="V7119" t="str">
        <f t="shared" si="2910"/>
        <v>FARHANA BINTI MUSTAPA</v>
      </c>
      <c r="W7119" t="str">
        <f t="shared" si="2911"/>
        <v>04-08-2020</v>
      </c>
      <c r="X7119" t="str">
        <f t="shared" si="2912"/>
        <v>RAZIMAH ANSAR AHMAD</v>
      </c>
      <c r="Y7119" t="str">
        <f t="shared" si="2913"/>
        <v>04-08-2020</v>
      </c>
      <c r="Z7119" t="str">
        <f>"COS10200804 2035"</f>
        <v>COS10200804 2035</v>
      </c>
    </row>
    <row r="7120" spans="1:26" x14ac:dyDescent="0.25">
      <c r="A7120" t="str">
        <f t="shared" si="2914"/>
        <v>04-08-2020 12:36:35</v>
      </c>
      <c r="B7120" t="str">
        <f>"0000803792"</f>
        <v>0000803792</v>
      </c>
      <c r="C7120" t="str">
        <f t="shared" si="2915"/>
        <v>0000803758</v>
      </c>
      <c r="D7120" t="str">
        <f t="shared" si="2903"/>
        <v>73185</v>
      </c>
      <c r="E7120" t="str">
        <f t="shared" si="2904"/>
        <v>KFH-OPERATIONS DEPARTMENT</v>
      </c>
      <c r="F7120" t="str">
        <f t="shared" si="2905"/>
        <v>IBG</v>
      </c>
      <c r="G7120" t="str">
        <f t="shared" si="2916"/>
        <v>Refund COSHARE 10</v>
      </c>
      <c r="H7120" s="2">
        <v>1272.3</v>
      </c>
      <c r="I7120" t="str">
        <f>"SHARUDIN BIN MD ZAIN"</f>
        <v>SHARUDIN BIN MD ZAIN</v>
      </c>
      <c r="J7120" t="str">
        <f t="shared" si="2892"/>
        <v>BANK SIMPANAN NASIONAL</v>
      </c>
      <c r="K7120" t="str">
        <f>"1120029893257962"</f>
        <v>1120029893257962</v>
      </c>
      <c r="L7120" t="str">
        <f t="shared" si="2901"/>
        <v>04-08-2020</v>
      </c>
      <c r="M7120" t="str">
        <f t="shared" si="2901"/>
        <v>04-08-2020</v>
      </c>
      <c r="N7120" t="str">
        <f t="shared" si="2906"/>
        <v>001105018356</v>
      </c>
      <c r="O7120" t="str">
        <f t="shared" si="2907"/>
        <v>MYR</v>
      </c>
      <c r="P7120" t="str">
        <f t="shared" si="2902"/>
        <v>NIL</v>
      </c>
      <c r="Q7120" t="str">
        <f t="shared" si="2902"/>
        <v>NIL</v>
      </c>
      <c r="R7120" t="str">
        <f t="shared" si="2895"/>
        <v>Accepted</v>
      </c>
      <c r="S7120" t="str">
        <f t="shared" si="2908"/>
        <v>Approved</v>
      </c>
      <c r="T7120" t="str">
        <f t="shared" si="2896"/>
        <v>10.20.8.188</v>
      </c>
      <c r="U7120" t="str">
        <f t="shared" si="2909"/>
        <v>AZRAD UMAR BIN SHAARI</v>
      </c>
      <c r="V7120" t="str">
        <f t="shared" si="2910"/>
        <v>FARHANA BINTI MUSTAPA</v>
      </c>
      <c r="W7120" t="str">
        <f t="shared" si="2911"/>
        <v>04-08-2020</v>
      </c>
      <c r="X7120" t="str">
        <f t="shared" si="2912"/>
        <v>RAZIMAH ANSAR AHMAD</v>
      </c>
      <c r="Y7120" t="str">
        <f t="shared" si="2913"/>
        <v>04-08-2020</v>
      </c>
      <c r="Z7120" t="str">
        <f>"COS10200804 2034"</f>
        <v>COS10200804 2034</v>
      </c>
    </row>
    <row r="7121" spans="1:26" x14ac:dyDescent="0.25">
      <c r="A7121" t="str">
        <f t="shared" si="2914"/>
        <v>04-08-2020 12:36:35</v>
      </c>
      <c r="B7121" t="str">
        <f>"0000803791"</f>
        <v>0000803791</v>
      </c>
      <c r="C7121" t="str">
        <f t="shared" si="2915"/>
        <v>0000803758</v>
      </c>
      <c r="D7121" t="str">
        <f t="shared" si="2903"/>
        <v>73185</v>
      </c>
      <c r="E7121" t="str">
        <f t="shared" si="2904"/>
        <v>KFH-OPERATIONS DEPARTMENT</v>
      </c>
      <c r="F7121" t="str">
        <f t="shared" si="2905"/>
        <v>IBG</v>
      </c>
      <c r="G7121" t="str">
        <f t="shared" si="2916"/>
        <v>Refund COSHARE 10</v>
      </c>
      <c r="H7121" s="2">
        <v>439.2</v>
      </c>
      <c r="I7121" t="str">
        <f>"SHARIPAH AISHAH BINTI SYED ABDULLAH"</f>
        <v>SHARIPAH AISHAH BINTI SYED ABDULLAH</v>
      </c>
      <c r="J7121" t="str">
        <f t="shared" si="2892"/>
        <v>BANK SIMPANAN NASIONAL</v>
      </c>
      <c r="K7121" t="str">
        <f>"0310029852183017"</f>
        <v>0310029852183017</v>
      </c>
      <c r="L7121" t="str">
        <f t="shared" si="2901"/>
        <v>04-08-2020</v>
      </c>
      <c r="M7121" t="str">
        <f t="shared" si="2901"/>
        <v>04-08-2020</v>
      </c>
      <c r="N7121" t="str">
        <f t="shared" si="2906"/>
        <v>001105018356</v>
      </c>
      <c r="O7121" t="str">
        <f t="shared" si="2907"/>
        <v>MYR</v>
      </c>
      <c r="P7121" t="str">
        <f t="shared" si="2902"/>
        <v>NIL</v>
      </c>
      <c r="Q7121" t="str">
        <f t="shared" si="2902"/>
        <v>NIL</v>
      </c>
      <c r="R7121" t="str">
        <f t="shared" si="2895"/>
        <v>Accepted</v>
      </c>
      <c r="S7121" t="str">
        <f t="shared" si="2908"/>
        <v>Approved</v>
      </c>
      <c r="T7121" t="str">
        <f t="shared" si="2896"/>
        <v>10.20.8.188</v>
      </c>
      <c r="U7121" t="str">
        <f t="shared" si="2909"/>
        <v>AZRAD UMAR BIN SHAARI</v>
      </c>
      <c r="V7121" t="str">
        <f t="shared" si="2910"/>
        <v>FARHANA BINTI MUSTAPA</v>
      </c>
      <c r="W7121" t="str">
        <f t="shared" si="2911"/>
        <v>04-08-2020</v>
      </c>
      <c r="X7121" t="str">
        <f t="shared" si="2912"/>
        <v>RAZIMAH ANSAR AHMAD</v>
      </c>
      <c r="Y7121" t="str">
        <f t="shared" si="2913"/>
        <v>04-08-2020</v>
      </c>
      <c r="Z7121" t="str">
        <f>"COS10200804 2033"</f>
        <v>COS10200804 2033</v>
      </c>
    </row>
    <row r="7122" spans="1:26" x14ac:dyDescent="0.25">
      <c r="A7122" t="str">
        <f t="shared" si="2914"/>
        <v>04-08-2020 12:36:35</v>
      </c>
      <c r="B7122" t="str">
        <f>"0000803790"</f>
        <v>0000803790</v>
      </c>
      <c r="C7122" t="str">
        <f t="shared" si="2915"/>
        <v>0000803758</v>
      </c>
      <c r="D7122" t="str">
        <f t="shared" si="2903"/>
        <v>73185</v>
      </c>
      <c r="E7122" t="str">
        <f t="shared" si="2904"/>
        <v>KFH-OPERATIONS DEPARTMENT</v>
      </c>
      <c r="F7122" t="str">
        <f t="shared" si="2905"/>
        <v>IBG</v>
      </c>
      <c r="G7122" t="str">
        <f t="shared" si="2916"/>
        <v>Refund COSHARE 10</v>
      </c>
      <c r="H7122" s="2">
        <v>839.5</v>
      </c>
      <c r="I7122" t="str">
        <f>"SHARIL BIN REKAN"</f>
        <v>SHARIL BIN REKAN</v>
      </c>
      <c r="J7122" t="str">
        <f t="shared" si="2892"/>
        <v>BANK SIMPANAN NASIONAL</v>
      </c>
      <c r="K7122" t="str">
        <f>"1210029000040813"</f>
        <v>1210029000040813</v>
      </c>
      <c r="L7122" t="str">
        <f t="shared" si="2901"/>
        <v>04-08-2020</v>
      </c>
      <c r="M7122" t="str">
        <f t="shared" si="2901"/>
        <v>04-08-2020</v>
      </c>
      <c r="N7122" t="str">
        <f t="shared" si="2906"/>
        <v>001105018356</v>
      </c>
      <c r="O7122" t="str">
        <f t="shared" si="2907"/>
        <v>MYR</v>
      </c>
      <c r="P7122" t="str">
        <f t="shared" si="2902"/>
        <v>NIL</v>
      </c>
      <c r="Q7122" t="str">
        <f t="shared" si="2902"/>
        <v>NIL</v>
      </c>
      <c r="R7122" t="str">
        <f t="shared" si="2895"/>
        <v>Accepted</v>
      </c>
      <c r="S7122" t="str">
        <f t="shared" si="2908"/>
        <v>Approved</v>
      </c>
      <c r="T7122" t="str">
        <f t="shared" si="2896"/>
        <v>10.20.8.188</v>
      </c>
      <c r="U7122" t="str">
        <f t="shared" si="2909"/>
        <v>AZRAD UMAR BIN SHAARI</v>
      </c>
      <c r="V7122" t="str">
        <f t="shared" si="2910"/>
        <v>FARHANA BINTI MUSTAPA</v>
      </c>
      <c r="W7122" t="str">
        <f t="shared" si="2911"/>
        <v>04-08-2020</v>
      </c>
      <c r="X7122" t="str">
        <f t="shared" si="2912"/>
        <v>RAZIMAH ANSAR AHMAD</v>
      </c>
      <c r="Y7122" t="str">
        <f t="shared" si="2913"/>
        <v>04-08-2020</v>
      </c>
      <c r="Z7122" t="str">
        <f>"COS10200804 2032"</f>
        <v>COS10200804 2032</v>
      </c>
    </row>
    <row r="7123" spans="1:26" x14ac:dyDescent="0.25">
      <c r="A7123" t="str">
        <f t="shared" si="2914"/>
        <v>04-08-2020 12:36:35</v>
      </c>
      <c r="B7123" t="str">
        <f>"0000803789"</f>
        <v>0000803789</v>
      </c>
      <c r="C7123" t="str">
        <f t="shared" si="2915"/>
        <v>0000803758</v>
      </c>
      <c r="D7123" t="str">
        <f t="shared" si="2903"/>
        <v>73185</v>
      </c>
      <c r="E7123" t="str">
        <f t="shared" si="2904"/>
        <v>KFH-OPERATIONS DEPARTMENT</v>
      </c>
      <c r="F7123" t="str">
        <f t="shared" si="2905"/>
        <v>IBG</v>
      </c>
      <c r="G7123" t="str">
        <f t="shared" si="2916"/>
        <v>Refund COSHARE 10</v>
      </c>
      <c r="H7123" s="2">
        <v>129</v>
      </c>
      <c r="I7123" t="str">
        <f>"SHARIFFAH IMAMAH BINTI HUSSEIN KAMAL"</f>
        <v>SHARIFFAH IMAMAH BINTI HUSSEIN KAMAL</v>
      </c>
      <c r="J7123" t="str">
        <f t="shared" si="2892"/>
        <v>BANK SIMPANAN NASIONAL</v>
      </c>
      <c r="K7123" t="str">
        <f>"0211629889772535"</f>
        <v>0211629889772535</v>
      </c>
      <c r="L7123" t="str">
        <f t="shared" si="2901"/>
        <v>04-08-2020</v>
      </c>
      <c r="M7123" t="str">
        <f t="shared" si="2901"/>
        <v>04-08-2020</v>
      </c>
      <c r="N7123" t="str">
        <f t="shared" si="2906"/>
        <v>001105018356</v>
      </c>
      <c r="O7123" t="str">
        <f t="shared" si="2907"/>
        <v>MYR</v>
      </c>
      <c r="P7123" t="str">
        <f t="shared" si="2902"/>
        <v>NIL</v>
      </c>
      <c r="Q7123" t="str">
        <f t="shared" si="2902"/>
        <v>NIL</v>
      </c>
      <c r="R7123" t="str">
        <f t="shared" si="2895"/>
        <v>Accepted</v>
      </c>
      <c r="S7123" t="str">
        <f t="shared" si="2908"/>
        <v>Approved</v>
      </c>
      <c r="T7123" t="str">
        <f t="shared" si="2896"/>
        <v>10.20.8.188</v>
      </c>
      <c r="U7123" t="str">
        <f t="shared" si="2909"/>
        <v>AZRAD UMAR BIN SHAARI</v>
      </c>
      <c r="V7123" t="str">
        <f t="shared" si="2910"/>
        <v>FARHANA BINTI MUSTAPA</v>
      </c>
      <c r="W7123" t="str">
        <f t="shared" si="2911"/>
        <v>04-08-2020</v>
      </c>
      <c r="X7123" t="str">
        <f t="shared" si="2912"/>
        <v>RAZIMAH ANSAR AHMAD</v>
      </c>
      <c r="Y7123" t="str">
        <f t="shared" si="2913"/>
        <v>04-08-2020</v>
      </c>
      <c r="Z7123" t="str">
        <f>"COS10200804 2031"</f>
        <v>COS10200804 2031</v>
      </c>
    </row>
    <row r="7124" spans="1:26" x14ac:dyDescent="0.25">
      <c r="A7124" t="str">
        <f t="shared" si="2914"/>
        <v>04-08-2020 12:36:35</v>
      </c>
      <c r="B7124" t="str">
        <f>"0000803788"</f>
        <v>0000803788</v>
      </c>
      <c r="C7124" t="str">
        <f t="shared" si="2915"/>
        <v>0000803758</v>
      </c>
      <c r="D7124" t="str">
        <f t="shared" si="2903"/>
        <v>73185</v>
      </c>
      <c r="E7124" t="str">
        <f t="shared" si="2904"/>
        <v>KFH-OPERATIONS DEPARTMENT</v>
      </c>
      <c r="F7124" t="str">
        <f t="shared" si="2905"/>
        <v>IBG</v>
      </c>
      <c r="G7124" t="str">
        <f t="shared" si="2916"/>
        <v>Refund COSHARE 10</v>
      </c>
      <c r="H7124" s="2">
        <v>311</v>
      </c>
      <c r="I7124" t="str">
        <f>"SHARIFAH HIDAYAH BINTI SYED MUSTAFFA"</f>
        <v>SHARIFAH HIDAYAH BINTI SYED MUSTAFFA</v>
      </c>
      <c r="J7124" t="str">
        <f t="shared" ref="J7124:J7187" si="2917">"BANK SIMPANAN NASIONAL"</f>
        <v>BANK SIMPANAN NASIONAL</v>
      </c>
      <c r="K7124" t="str">
        <f>"0211729812858402"</f>
        <v>0211729812858402</v>
      </c>
      <c r="L7124" t="str">
        <f t="shared" si="2901"/>
        <v>04-08-2020</v>
      </c>
      <c r="M7124" t="str">
        <f t="shared" si="2901"/>
        <v>04-08-2020</v>
      </c>
      <c r="N7124" t="str">
        <f t="shared" si="2906"/>
        <v>001105018356</v>
      </c>
      <c r="O7124" t="str">
        <f t="shared" si="2907"/>
        <v>MYR</v>
      </c>
      <c r="P7124" t="str">
        <f t="shared" si="2902"/>
        <v>NIL</v>
      </c>
      <c r="Q7124" t="str">
        <f t="shared" si="2902"/>
        <v>NIL</v>
      </c>
      <c r="R7124" t="str">
        <f t="shared" si="2895"/>
        <v>Accepted</v>
      </c>
      <c r="S7124" t="str">
        <f t="shared" si="2908"/>
        <v>Approved</v>
      </c>
      <c r="T7124" t="str">
        <f t="shared" si="2896"/>
        <v>10.20.8.188</v>
      </c>
      <c r="U7124" t="str">
        <f t="shared" si="2909"/>
        <v>AZRAD UMAR BIN SHAARI</v>
      </c>
      <c r="V7124" t="str">
        <f t="shared" si="2910"/>
        <v>FARHANA BINTI MUSTAPA</v>
      </c>
      <c r="W7124" t="str">
        <f t="shared" si="2911"/>
        <v>04-08-2020</v>
      </c>
      <c r="X7124" t="str">
        <f t="shared" si="2912"/>
        <v>RAZIMAH ANSAR AHMAD</v>
      </c>
      <c r="Y7124" t="str">
        <f t="shared" si="2913"/>
        <v>04-08-2020</v>
      </c>
      <c r="Z7124" t="str">
        <f>"COS10200804 2030"</f>
        <v>COS10200804 2030</v>
      </c>
    </row>
    <row r="7125" spans="1:26" x14ac:dyDescent="0.25">
      <c r="A7125" t="str">
        <f t="shared" si="2914"/>
        <v>04-08-2020 12:36:35</v>
      </c>
      <c r="B7125" t="str">
        <f>"0000803787"</f>
        <v>0000803787</v>
      </c>
      <c r="C7125" t="str">
        <f t="shared" si="2915"/>
        <v>0000803758</v>
      </c>
      <c r="D7125" t="str">
        <f t="shared" si="2903"/>
        <v>73185</v>
      </c>
      <c r="E7125" t="str">
        <f t="shared" si="2904"/>
        <v>KFH-OPERATIONS DEPARTMENT</v>
      </c>
      <c r="F7125" t="str">
        <f t="shared" si="2905"/>
        <v>IBG</v>
      </c>
      <c r="G7125" t="str">
        <f t="shared" si="2916"/>
        <v>Refund COSHARE 10</v>
      </c>
      <c r="H7125" s="2">
        <v>417.05</v>
      </c>
      <c r="I7125" t="str">
        <f>"SHANMUGANATHAN AL R VETHIAH"</f>
        <v>SHANMUGANATHAN AL R VETHIAH</v>
      </c>
      <c r="J7125" t="str">
        <f t="shared" si="2917"/>
        <v>BANK SIMPANAN NASIONAL</v>
      </c>
      <c r="K7125" t="str">
        <f>"1210329865831326"</f>
        <v>1210329865831326</v>
      </c>
      <c r="L7125" t="str">
        <f t="shared" si="2901"/>
        <v>04-08-2020</v>
      </c>
      <c r="M7125" t="str">
        <f t="shared" si="2901"/>
        <v>04-08-2020</v>
      </c>
      <c r="N7125" t="str">
        <f t="shared" si="2906"/>
        <v>001105018356</v>
      </c>
      <c r="O7125" t="str">
        <f t="shared" si="2907"/>
        <v>MYR</v>
      </c>
      <c r="P7125" t="str">
        <f t="shared" si="2902"/>
        <v>NIL</v>
      </c>
      <c r="Q7125" t="str">
        <f t="shared" si="2902"/>
        <v>NIL</v>
      </c>
      <c r="R7125" t="str">
        <f t="shared" si="2895"/>
        <v>Accepted</v>
      </c>
      <c r="S7125" t="str">
        <f t="shared" si="2908"/>
        <v>Approved</v>
      </c>
      <c r="T7125" t="str">
        <f t="shared" si="2896"/>
        <v>10.20.8.188</v>
      </c>
      <c r="U7125" t="str">
        <f t="shared" si="2909"/>
        <v>AZRAD UMAR BIN SHAARI</v>
      </c>
      <c r="V7125" t="str">
        <f t="shared" si="2910"/>
        <v>FARHANA BINTI MUSTAPA</v>
      </c>
      <c r="W7125" t="str">
        <f t="shared" si="2911"/>
        <v>04-08-2020</v>
      </c>
      <c r="X7125" t="str">
        <f t="shared" si="2912"/>
        <v>RAZIMAH ANSAR AHMAD</v>
      </c>
      <c r="Y7125" t="str">
        <f t="shared" si="2913"/>
        <v>04-08-2020</v>
      </c>
      <c r="Z7125" t="str">
        <f>"COS10200804 2029"</f>
        <v>COS10200804 2029</v>
      </c>
    </row>
    <row r="7126" spans="1:26" x14ac:dyDescent="0.25">
      <c r="A7126" t="str">
        <f t="shared" si="2914"/>
        <v>04-08-2020 12:36:35</v>
      </c>
      <c r="B7126" t="str">
        <f>"0000803786"</f>
        <v>0000803786</v>
      </c>
      <c r="C7126" t="str">
        <f t="shared" si="2915"/>
        <v>0000803758</v>
      </c>
      <c r="D7126" t="str">
        <f t="shared" si="2903"/>
        <v>73185</v>
      </c>
      <c r="E7126" t="str">
        <f t="shared" si="2904"/>
        <v>KFH-OPERATIONS DEPARTMENT</v>
      </c>
      <c r="F7126" t="str">
        <f t="shared" si="2905"/>
        <v>IBG</v>
      </c>
      <c r="G7126" t="str">
        <f t="shared" si="2916"/>
        <v>Refund COSHARE 10</v>
      </c>
      <c r="H7126" s="2">
        <v>168</v>
      </c>
      <c r="I7126" t="str">
        <f>"SHAMSUL BIN MOHAMAD SAID"</f>
        <v>SHAMSUL BIN MOHAMAD SAID</v>
      </c>
      <c r="J7126" t="str">
        <f t="shared" si="2917"/>
        <v>BANK SIMPANAN NASIONAL</v>
      </c>
      <c r="K7126" t="str">
        <f>"1015529000052320"</f>
        <v>1015529000052320</v>
      </c>
      <c r="L7126" t="str">
        <f t="shared" si="2901"/>
        <v>04-08-2020</v>
      </c>
      <c r="M7126" t="str">
        <f t="shared" si="2901"/>
        <v>04-08-2020</v>
      </c>
      <c r="N7126" t="str">
        <f t="shared" si="2906"/>
        <v>001105018356</v>
      </c>
      <c r="O7126" t="str">
        <f t="shared" si="2907"/>
        <v>MYR</v>
      </c>
      <c r="P7126" t="str">
        <f t="shared" si="2902"/>
        <v>NIL</v>
      </c>
      <c r="Q7126" t="str">
        <f t="shared" si="2902"/>
        <v>NIL</v>
      </c>
      <c r="R7126" t="str">
        <f t="shared" si="2895"/>
        <v>Accepted</v>
      </c>
      <c r="S7126" t="str">
        <f t="shared" si="2908"/>
        <v>Approved</v>
      </c>
      <c r="T7126" t="str">
        <f t="shared" si="2896"/>
        <v>10.20.8.188</v>
      </c>
      <c r="U7126" t="str">
        <f t="shared" si="2909"/>
        <v>AZRAD UMAR BIN SHAARI</v>
      </c>
      <c r="V7126" t="str">
        <f t="shared" si="2910"/>
        <v>FARHANA BINTI MUSTAPA</v>
      </c>
      <c r="W7126" t="str">
        <f t="shared" si="2911"/>
        <v>04-08-2020</v>
      </c>
      <c r="X7126" t="str">
        <f t="shared" si="2912"/>
        <v>RAZIMAH ANSAR AHMAD</v>
      </c>
      <c r="Y7126" t="str">
        <f t="shared" si="2913"/>
        <v>04-08-2020</v>
      </c>
      <c r="Z7126" t="str">
        <f>"COS10200804 2028"</f>
        <v>COS10200804 2028</v>
      </c>
    </row>
    <row r="7127" spans="1:26" x14ac:dyDescent="0.25">
      <c r="A7127" t="str">
        <f t="shared" si="2914"/>
        <v>04-08-2020 12:36:35</v>
      </c>
      <c r="B7127" t="str">
        <f>"0000803785"</f>
        <v>0000803785</v>
      </c>
      <c r="C7127" t="str">
        <f t="shared" si="2915"/>
        <v>0000803758</v>
      </c>
      <c r="D7127" t="str">
        <f t="shared" si="2903"/>
        <v>73185</v>
      </c>
      <c r="E7127" t="str">
        <f t="shared" si="2904"/>
        <v>KFH-OPERATIONS DEPARTMENT</v>
      </c>
      <c r="F7127" t="str">
        <f t="shared" si="2905"/>
        <v>IBG</v>
      </c>
      <c r="G7127" t="str">
        <f t="shared" si="2916"/>
        <v>Refund COSHARE 10</v>
      </c>
      <c r="H7127" s="2">
        <v>101</v>
      </c>
      <c r="I7127" t="str">
        <f>"SHAMIE BIN YOSUP"</f>
        <v>SHAMIE BIN YOSUP</v>
      </c>
      <c r="J7127" t="str">
        <f t="shared" si="2917"/>
        <v>BANK SIMPANAN NASIONAL</v>
      </c>
      <c r="K7127" t="str">
        <f>"0110029000187636"</f>
        <v>0110029000187636</v>
      </c>
      <c r="L7127" t="str">
        <f t="shared" ref="L7127:M7146" si="2918">"04-08-2020"</f>
        <v>04-08-2020</v>
      </c>
      <c r="M7127" t="str">
        <f t="shared" si="2918"/>
        <v>04-08-2020</v>
      </c>
      <c r="N7127" t="str">
        <f t="shared" si="2906"/>
        <v>001105018356</v>
      </c>
      <c r="O7127" t="str">
        <f t="shared" si="2907"/>
        <v>MYR</v>
      </c>
      <c r="P7127" t="str">
        <f t="shared" ref="P7127:Q7146" si="2919">"NIL"</f>
        <v>NIL</v>
      </c>
      <c r="Q7127" t="str">
        <f t="shared" si="2919"/>
        <v>NIL</v>
      </c>
      <c r="R7127" t="str">
        <f t="shared" si="2895"/>
        <v>Accepted</v>
      </c>
      <c r="S7127" t="str">
        <f t="shared" si="2908"/>
        <v>Approved</v>
      </c>
      <c r="T7127" t="str">
        <f t="shared" si="2896"/>
        <v>10.20.8.188</v>
      </c>
      <c r="U7127" t="str">
        <f t="shared" si="2909"/>
        <v>AZRAD UMAR BIN SHAARI</v>
      </c>
      <c r="V7127" t="str">
        <f t="shared" si="2910"/>
        <v>FARHANA BINTI MUSTAPA</v>
      </c>
      <c r="W7127" t="str">
        <f t="shared" si="2911"/>
        <v>04-08-2020</v>
      </c>
      <c r="X7127" t="str">
        <f t="shared" si="2912"/>
        <v>RAZIMAH ANSAR AHMAD</v>
      </c>
      <c r="Y7127" t="str">
        <f t="shared" si="2913"/>
        <v>04-08-2020</v>
      </c>
      <c r="Z7127" t="str">
        <f>"COS10200804 2027"</f>
        <v>COS10200804 2027</v>
      </c>
    </row>
    <row r="7128" spans="1:26" x14ac:dyDescent="0.25">
      <c r="A7128" t="str">
        <f t="shared" si="2914"/>
        <v>04-08-2020 12:36:35</v>
      </c>
      <c r="B7128" t="str">
        <f>"0000803784"</f>
        <v>0000803784</v>
      </c>
      <c r="C7128" t="str">
        <f t="shared" si="2915"/>
        <v>0000803758</v>
      </c>
      <c r="D7128" t="str">
        <f t="shared" si="2903"/>
        <v>73185</v>
      </c>
      <c r="E7128" t="str">
        <f t="shared" si="2904"/>
        <v>KFH-OPERATIONS DEPARTMENT</v>
      </c>
      <c r="F7128" t="str">
        <f t="shared" si="2905"/>
        <v>IBG</v>
      </c>
      <c r="G7128" t="str">
        <f t="shared" si="2916"/>
        <v>Refund COSHARE 10</v>
      </c>
      <c r="H7128" s="2">
        <v>1443.95</v>
      </c>
      <c r="I7128" t="str">
        <f>"SHAM IBRAHIM BIN JAMA AN"</f>
        <v>SHAM IBRAHIM BIN JAMA AN</v>
      </c>
      <c r="J7128" t="str">
        <f t="shared" si="2917"/>
        <v>BANK SIMPANAN NASIONAL</v>
      </c>
      <c r="K7128" t="str">
        <f>"1310029812240842"</f>
        <v>1310029812240842</v>
      </c>
      <c r="L7128" t="str">
        <f t="shared" si="2918"/>
        <v>04-08-2020</v>
      </c>
      <c r="M7128" t="str">
        <f t="shared" si="2918"/>
        <v>04-08-2020</v>
      </c>
      <c r="N7128" t="str">
        <f t="shared" si="2906"/>
        <v>001105018356</v>
      </c>
      <c r="O7128" t="str">
        <f t="shared" si="2907"/>
        <v>MYR</v>
      </c>
      <c r="P7128" t="str">
        <f t="shared" si="2919"/>
        <v>NIL</v>
      </c>
      <c r="Q7128" t="str">
        <f t="shared" si="2919"/>
        <v>NIL</v>
      </c>
      <c r="R7128" t="str">
        <f t="shared" si="2895"/>
        <v>Accepted</v>
      </c>
      <c r="S7128" t="str">
        <f t="shared" si="2908"/>
        <v>Approved</v>
      </c>
      <c r="T7128" t="str">
        <f t="shared" si="2896"/>
        <v>10.20.8.188</v>
      </c>
      <c r="U7128" t="str">
        <f t="shared" si="2909"/>
        <v>AZRAD UMAR BIN SHAARI</v>
      </c>
      <c r="V7128" t="str">
        <f t="shared" si="2910"/>
        <v>FARHANA BINTI MUSTAPA</v>
      </c>
      <c r="W7128" t="str">
        <f t="shared" si="2911"/>
        <v>04-08-2020</v>
      </c>
      <c r="X7128" t="str">
        <f t="shared" si="2912"/>
        <v>RAZIMAH ANSAR AHMAD</v>
      </c>
      <c r="Y7128" t="str">
        <f t="shared" si="2913"/>
        <v>04-08-2020</v>
      </c>
      <c r="Z7128" t="str">
        <f>"COS10200804 2026"</f>
        <v>COS10200804 2026</v>
      </c>
    </row>
    <row r="7129" spans="1:26" x14ac:dyDescent="0.25">
      <c r="A7129" t="str">
        <f t="shared" si="2914"/>
        <v>04-08-2020 12:36:35</v>
      </c>
      <c r="B7129" t="str">
        <f>"0000803783"</f>
        <v>0000803783</v>
      </c>
      <c r="C7129" t="str">
        <f t="shared" si="2915"/>
        <v>0000803758</v>
      </c>
      <c r="D7129" t="str">
        <f t="shared" si="2903"/>
        <v>73185</v>
      </c>
      <c r="E7129" t="str">
        <f t="shared" si="2904"/>
        <v>KFH-OPERATIONS DEPARTMENT</v>
      </c>
      <c r="F7129" t="str">
        <f t="shared" si="2905"/>
        <v>IBG</v>
      </c>
      <c r="G7129" t="str">
        <f t="shared" si="2916"/>
        <v>Refund COSHARE 10</v>
      </c>
      <c r="H7129" s="2">
        <v>125.95</v>
      </c>
      <c r="I7129" t="str">
        <f>"SHAHROL BIN NARAWI"</f>
        <v>SHAHROL BIN NARAWI</v>
      </c>
      <c r="J7129" t="str">
        <f t="shared" si="2917"/>
        <v>BANK SIMPANAN NASIONAL</v>
      </c>
      <c r="K7129" t="str">
        <f>"1010029000480322"</f>
        <v>1010029000480322</v>
      </c>
      <c r="L7129" t="str">
        <f t="shared" si="2918"/>
        <v>04-08-2020</v>
      </c>
      <c r="M7129" t="str">
        <f t="shared" si="2918"/>
        <v>04-08-2020</v>
      </c>
      <c r="N7129" t="str">
        <f t="shared" si="2906"/>
        <v>001105018356</v>
      </c>
      <c r="O7129" t="str">
        <f t="shared" si="2907"/>
        <v>MYR</v>
      </c>
      <c r="P7129" t="str">
        <f t="shared" si="2919"/>
        <v>NIL</v>
      </c>
      <c r="Q7129" t="str">
        <f t="shared" si="2919"/>
        <v>NIL</v>
      </c>
      <c r="R7129" t="str">
        <f t="shared" si="2895"/>
        <v>Accepted</v>
      </c>
      <c r="S7129" t="str">
        <f t="shared" si="2908"/>
        <v>Approved</v>
      </c>
      <c r="T7129" t="str">
        <f t="shared" si="2896"/>
        <v>10.20.8.188</v>
      </c>
      <c r="U7129" t="str">
        <f t="shared" si="2909"/>
        <v>AZRAD UMAR BIN SHAARI</v>
      </c>
      <c r="V7129" t="str">
        <f t="shared" si="2910"/>
        <v>FARHANA BINTI MUSTAPA</v>
      </c>
      <c r="W7129" t="str">
        <f t="shared" si="2911"/>
        <v>04-08-2020</v>
      </c>
      <c r="X7129" t="str">
        <f t="shared" si="2912"/>
        <v>RAZIMAH ANSAR AHMAD</v>
      </c>
      <c r="Y7129" t="str">
        <f t="shared" si="2913"/>
        <v>04-08-2020</v>
      </c>
      <c r="Z7129" t="str">
        <f>"COS10200804 2025"</f>
        <v>COS10200804 2025</v>
      </c>
    </row>
    <row r="7130" spans="1:26" x14ac:dyDescent="0.25">
      <c r="A7130" t="str">
        <f t="shared" si="2914"/>
        <v>04-08-2020 12:36:35</v>
      </c>
      <c r="B7130" t="str">
        <f>"0000803782"</f>
        <v>0000803782</v>
      </c>
      <c r="C7130" t="str">
        <f t="shared" si="2915"/>
        <v>0000803758</v>
      </c>
      <c r="D7130" t="str">
        <f t="shared" si="2903"/>
        <v>73185</v>
      </c>
      <c r="E7130" t="str">
        <f t="shared" si="2904"/>
        <v>KFH-OPERATIONS DEPARTMENT</v>
      </c>
      <c r="F7130" t="str">
        <f t="shared" si="2905"/>
        <v>IBG</v>
      </c>
      <c r="G7130" t="str">
        <f t="shared" si="2916"/>
        <v>Refund COSHARE 10</v>
      </c>
      <c r="H7130" s="2">
        <v>125.95</v>
      </c>
      <c r="I7130" t="str">
        <f>"SHAHROL AZHAR BIN SAMSUDIN"</f>
        <v>SHAHROL AZHAR BIN SAMSUDIN</v>
      </c>
      <c r="J7130" t="str">
        <f t="shared" si="2917"/>
        <v>BANK SIMPANAN NASIONAL</v>
      </c>
      <c r="K7130" t="str">
        <f>"0510429000123449"</f>
        <v>0510429000123449</v>
      </c>
      <c r="L7130" t="str">
        <f t="shared" si="2918"/>
        <v>04-08-2020</v>
      </c>
      <c r="M7130" t="str">
        <f t="shared" si="2918"/>
        <v>04-08-2020</v>
      </c>
      <c r="N7130" t="str">
        <f t="shared" si="2906"/>
        <v>001105018356</v>
      </c>
      <c r="O7130" t="str">
        <f t="shared" si="2907"/>
        <v>MYR</v>
      </c>
      <c r="P7130" t="str">
        <f t="shared" si="2919"/>
        <v>NIL</v>
      </c>
      <c r="Q7130" t="str">
        <f t="shared" si="2919"/>
        <v>NIL</v>
      </c>
      <c r="R7130" t="str">
        <f t="shared" si="2895"/>
        <v>Accepted</v>
      </c>
      <c r="S7130" t="str">
        <f t="shared" si="2908"/>
        <v>Approved</v>
      </c>
      <c r="T7130" t="str">
        <f t="shared" si="2896"/>
        <v>10.20.8.188</v>
      </c>
      <c r="U7130" t="str">
        <f t="shared" si="2909"/>
        <v>AZRAD UMAR BIN SHAARI</v>
      </c>
      <c r="V7130" t="str">
        <f t="shared" si="2910"/>
        <v>FARHANA BINTI MUSTAPA</v>
      </c>
      <c r="W7130" t="str">
        <f t="shared" si="2911"/>
        <v>04-08-2020</v>
      </c>
      <c r="X7130" t="str">
        <f t="shared" si="2912"/>
        <v>RAZIMAH ANSAR AHMAD</v>
      </c>
      <c r="Y7130" t="str">
        <f t="shared" si="2913"/>
        <v>04-08-2020</v>
      </c>
      <c r="Z7130" t="str">
        <f>"COS10200804 2024"</f>
        <v>COS10200804 2024</v>
      </c>
    </row>
    <row r="7131" spans="1:26" x14ac:dyDescent="0.25">
      <c r="A7131" t="str">
        <f t="shared" si="2914"/>
        <v>04-08-2020 12:36:35</v>
      </c>
      <c r="B7131" t="str">
        <f>"0000803781"</f>
        <v>0000803781</v>
      </c>
      <c r="C7131" t="str">
        <f t="shared" si="2915"/>
        <v>0000803758</v>
      </c>
      <c r="D7131" t="str">
        <f t="shared" si="2903"/>
        <v>73185</v>
      </c>
      <c r="E7131" t="str">
        <f t="shared" si="2904"/>
        <v>KFH-OPERATIONS DEPARTMENT</v>
      </c>
      <c r="F7131" t="str">
        <f t="shared" si="2905"/>
        <v>IBG</v>
      </c>
      <c r="G7131" t="str">
        <f t="shared" si="2916"/>
        <v>Refund COSHARE 10</v>
      </c>
      <c r="H7131" s="2">
        <v>1518</v>
      </c>
      <c r="I7131" t="str">
        <f>"SHAHRIZAN BIN MOHD SHUKOR"</f>
        <v>SHAHRIZAN BIN MOHD SHUKOR</v>
      </c>
      <c r="J7131" t="str">
        <f t="shared" si="2917"/>
        <v>BANK SIMPANAN NASIONAL</v>
      </c>
      <c r="K7131" t="str">
        <f>"1210029858095667"</f>
        <v>1210029858095667</v>
      </c>
      <c r="L7131" t="str">
        <f t="shared" si="2918"/>
        <v>04-08-2020</v>
      </c>
      <c r="M7131" t="str">
        <f t="shared" si="2918"/>
        <v>04-08-2020</v>
      </c>
      <c r="N7131" t="str">
        <f t="shared" si="2906"/>
        <v>001105018356</v>
      </c>
      <c r="O7131" t="str">
        <f t="shared" si="2907"/>
        <v>MYR</v>
      </c>
      <c r="P7131" t="str">
        <f t="shared" si="2919"/>
        <v>NIL</v>
      </c>
      <c r="Q7131" t="str">
        <f t="shared" si="2919"/>
        <v>NIL</v>
      </c>
      <c r="R7131" t="str">
        <f t="shared" si="2895"/>
        <v>Accepted</v>
      </c>
      <c r="S7131" t="str">
        <f t="shared" si="2908"/>
        <v>Approved</v>
      </c>
      <c r="T7131" t="str">
        <f t="shared" si="2896"/>
        <v>10.20.8.188</v>
      </c>
      <c r="U7131" t="str">
        <f t="shared" si="2909"/>
        <v>AZRAD UMAR BIN SHAARI</v>
      </c>
      <c r="V7131" t="str">
        <f t="shared" si="2910"/>
        <v>FARHANA BINTI MUSTAPA</v>
      </c>
      <c r="W7131" t="str">
        <f t="shared" si="2911"/>
        <v>04-08-2020</v>
      </c>
      <c r="X7131" t="str">
        <f t="shared" si="2912"/>
        <v>RAZIMAH ANSAR AHMAD</v>
      </c>
      <c r="Y7131" t="str">
        <f t="shared" si="2913"/>
        <v>04-08-2020</v>
      </c>
      <c r="Z7131" t="str">
        <f>"COS10200804 2023"</f>
        <v>COS10200804 2023</v>
      </c>
    </row>
    <row r="7132" spans="1:26" x14ac:dyDescent="0.25">
      <c r="A7132" t="str">
        <f t="shared" si="2914"/>
        <v>04-08-2020 12:36:35</v>
      </c>
      <c r="B7132" t="str">
        <f>"0000803780"</f>
        <v>0000803780</v>
      </c>
      <c r="C7132" t="str">
        <f t="shared" si="2915"/>
        <v>0000803758</v>
      </c>
      <c r="D7132" t="str">
        <f t="shared" si="2903"/>
        <v>73185</v>
      </c>
      <c r="E7132" t="str">
        <f t="shared" si="2904"/>
        <v>KFH-OPERATIONS DEPARTMENT</v>
      </c>
      <c r="F7132" t="str">
        <f t="shared" si="2905"/>
        <v>IBG</v>
      </c>
      <c r="G7132" t="str">
        <f t="shared" si="2916"/>
        <v>Refund COSHARE 10</v>
      </c>
      <c r="H7132" s="2">
        <v>337.8</v>
      </c>
      <c r="I7132" t="str">
        <f>"SHAHRIM NIZAN BIN MDZAIN"</f>
        <v>SHAHRIM NIZAN BIN MDZAIN</v>
      </c>
      <c r="J7132" t="str">
        <f t="shared" si="2917"/>
        <v>BANK SIMPANAN NASIONAL</v>
      </c>
      <c r="K7132" t="str">
        <f>"0211329816611844"</f>
        <v>0211329816611844</v>
      </c>
      <c r="L7132" t="str">
        <f t="shared" si="2918"/>
        <v>04-08-2020</v>
      </c>
      <c r="M7132" t="str">
        <f t="shared" si="2918"/>
        <v>04-08-2020</v>
      </c>
      <c r="N7132" t="str">
        <f t="shared" si="2906"/>
        <v>001105018356</v>
      </c>
      <c r="O7132" t="str">
        <f t="shared" si="2907"/>
        <v>MYR</v>
      </c>
      <c r="P7132" t="str">
        <f t="shared" si="2919"/>
        <v>NIL</v>
      </c>
      <c r="Q7132" t="str">
        <f t="shared" si="2919"/>
        <v>NIL</v>
      </c>
      <c r="R7132" t="str">
        <f t="shared" si="2895"/>
        <v>Accepted</v>
      </c>
      <c r="S7132" t="str">
        <f t="shared" si="2908"/>
        <v>Approved</v>
      </c>
      <c r="T7132" t="str">
        <f t="shared" si="2896"/>
        <v>10.20.8.188</v>
      </c>
      <c r="U7132" t="str">
        <f t="shared" si="2909"/>
        <v>AZRAD UMAR BIN SHAARI</v>
      </c>
      <c r="V7132" t="str">
        <f t="shared" si="2910"/>
        <v>FARHANA BINTI MUSTAPA</v>
      </c>
      <c r="W7132" t="str">
        <f t="shared" si="2911"/>
        <v>04-08-2020</v>
      </c>
      <c r="X7132" t="str">
        <f t="shared" si="2912"/>
        <v>RAZIMAH ANSAR AHMAD</v>
      </c>
      <c r="Y7132" t="str">
        <f t="shared" si="2913"/>
        <v>04-08-2020</v>
      </c>
      <c r="Z7132" t="str">
        <f>"COS10200804 2022"</f>
        <v>COS10200804 2022</v>
      </c>
    </row>
    <row r="7133" spans="1:26" x14ac:dyDescent="0.25">
      <c r="A7133" t="str">
        <f t="shared" si="2914"/>
        <v>04-08-2020 12:36:35</v>
      </c>
      <c r="B7133" t="str">
        <f>"0000803779"</f>
        <v>0000803779</v>
      </c>
      <c r="C7133" t="str">
        <f t="shared" si="2915"/>
        <v>0000803758</v>
      </c>
      <c r="D7133" t="str">
        <f t="shared" si="2903"/>
        <v>73185</v>
      </c>
      <c r="E7133" t="str">
        <f t="shared" si="2904"/>
        <v>KFH-OPERATIONS DEPARTMENT</v>
      </c>
      <c r="F7133" t="str">
        <f t="shared" si="2905"/>
        <v>IBG</v>
      </c>
      <c r="G7133" t="str">
        <f t="shared" si="2916"/>
        <v>Refund COSHARE 10</v>
      </c>
      <c r="H7133" s="2">
        <v>278</v>
      </c>
      <c r="I7133" t="str">
        <f>"SHAHIDAH BINTI MD SHAHDIN"</f>
        <v>SHAHIDAH BINTI MD SHAHDIN</v>
      </c>
      <c r="J7133" t="str">
        <f t="shared" si="2917"/>
        <v>BANK SIMPANAN NASIONAL</v>
      </c>
      <c r="K7133" t="str">
        <f>"0822629874742958"</f>
        <v>0822629874742958</v>
      </c>
      <c r="L7133" t="str">
        <f t="shared" si="2918"/>
        <v>04-08-2020</v>
      </c>
      <c r="M7133" t="str">
        <f t="shared" si="2918"/>
        <v>04-08-2020</v>
      </c>
      <c r="N7133" t="str">
        <f t="shared" si="2906"/>
        <v>001105018356</v>
      </c>
      <c r="O7133" t="str">
        <f t="shared" si="2907"/>
        <v>MYR</v>
      </c>
      <c r="P7133" t="str">
        <f t="shared" si="2919"/>
        <v>NIL</v>
      </c>
      <c r="Q7133" t="str">
        <f t="shared" si="2919"/>
        <v>NIL</v>
      </c>
      <c r="R7133" t="str">
        <f t="shared" si="2895"/>
        <v>Accepted</v>
      </c>
      <c r="S7133" t="str">
        <f t="shared" si="2908"/>
        <v>Approved</v>
      </c>
      <c r="T7133" t="str">
        <f t="shared" si="2896"/>
        <v>10.20.8.188</v>
      </c>
      <c r="U7133" t="str">
        <f t="shared" si="2909"/>
        <v>AZRAD UMAR BIN SHAARI</v>
      </c>
      <c r="V7133" t="str">
        <f t="shared" si="2910"/>
        <v>FARHANA BINTI MUSTAPA</v>
      </c>
      <c r="W7133" t="str">
        <f t="shared" si="2911"/>
        <v>04-08-2020</v>
      </c>
      <c r="X7133" t="str">
        <f t="shared" si="2912"/>
        <v>RAZIMAH ANSAR AHMAD</v>
      </c>
      <c r="Y7133" t="str">
        <f t="shared" si="2913"/>
        <v>04-08-2020</v>
      </c>
      <c r="Z7133" t="str">
        <f>"COS10200804 2021"</f>
        <v>COS10200804 2021</v>
      </c>
    </row>
    <row r="7134" spans="1:26" x14ac:dyDescent="0.25">
      <c r="A7134" t="str">
        <f t="shared" si="2914"/>
        <v>04-08-2020 12:36:35</v>
      </c>
      <c r="B7134" t="str">
        <f>"0000803778"</f>
        <v>0000803778</v>
      </c>
      <c r="C7134" t="str">
        <f t="shared" si="2915"/>
        <v>0000803758</v>
      </c>
      <c r="D7134" t="str">
        <f t="shared" si="2903"/>
        <v>73185</v>
      </c>
      <c r="E7134" t="str">
        <f t="shared" si="2904"/>
        <v>KFH-OPERATIONS DEPARTMENT</v>
      </c>
      <c r="F7134" t="str">
        <f t="shared" si="2905"/>
        <v>IBG</v>
      </c>
      <c r="G7134" t="str">
        <f t="shared" si="2916"/>
        <v>Refund COSHARE 10</v>
      </c>
      <c r="H7134" s="2">
        <v>167.9</v>
      </c>
      <c r="I7134" t="str">
        <f>"SHAHARUDIN BIN AHMAD"</f>
        <v>SHAHARUDIN BIN AHMAD</v>
      </c>
      <c r="J7134" t="str">
        <f t="shared" si="2917"/>
        <v>BANK SIMPANAN NASIONAL</v>
      </c>
      <c r="K7134" t="str">
        <f>"0850029000136745"</f>
        <v>0850029000136745</v>
      </c>
      <c r="L7134" t="str">
        <f t="shared" si="2918"/>
        <v>04-08-2020</v>
      </c>
      <c r="M7134" t="str">
        <f t="shared" si="2918"/>
        <v>04-08-2020</v>
      </c>
      <c r="N7134" t="str">
        <f t="shared" si="2906"/>
        <v>001105018356</v>
      </c>
      <c r="O7134" t="str">
        <f t="shared" si="2907"/>
        <v>MYR</v>
      </c>
      <c r="P7134" t="str">
        <f t="shared" si="2919"/>
        <v>NIL</v>
      </c>
      <c r="Q7134" t="str">
        <f t="shared" si="2919"/>
        <v>NIL</v>
      </c>
      <c r="R7134" t="str">
        <f t="shared" si="2895"/>
        <v>Accepted</v>
      </c>
      <c r="S7134" t="str">
        <f t="shared" si="2908"/>
        <v>Approved</v>
      </c>
      <c r="T7134" t="str">
        <f t="shared" si="2896"/>
        <v>10.20.8.188</v>
      </c>
      <c r="U7134" t="str">
        <f t="shared" si="2909"/>
        <v>AZRAD UMAR BIN SHAARI</v>
      </c>
      <c r="V7134" t="str">
        <f t="shared" si="2910"/>
        <v>FARHANA BINTI MUSTAPA</v>
      </c>
      <c r="W7134" t="str">
        <f t="shared" si="2911"/>
        <v>04-08-2020</v>
      </c>
      <c r="X7134" t="str">
        <f t="shared" si="2912"/>
        <v>RAZIMAH ANSAR AHMAD</v>
      </c>
      <c r="Y7134" t="str">
        <f t="shared" si="2913"/>
        <v>04-08-2020</v>
      </c>
      <c r="Z7134" t="str">
        <f>"COS10200804 2020"</f>
        <v>COS10200804 2020</v>
      </c>
    </row>
    <row r="7135" spans="1:26" x14ac:dyDescent="0.25">
      <c r="A7135" t="str">
        <f t="shared" si="2914"/>
        <v>04-08-2020 12:36:35</v>
      </c>
      <c r="B7135" t="str">
        <f>"0000803777"</f>
        <v>0000803777</v>
      </c>
      <c r="C7135" t="str">
        <f t="shared" si="2915"/>
        <v>0000803758</v>
      </c>
      <c r="D7135" t="str">
        <f t="shared" si="2903"/>
        <v>73185</v>
      </c>
      <c r="E7135" t="str">
        <f t="shared" si="2904"/>
        <v>KFH-OPERATIONS DEPARTMENT</v>
      </c>
      <c r="F7135" t="str">
        <f t="shared" si="2905"/>
        <v>IBG</v>
      </c>
      <c r="G7135" t="str">
        <f t="shared" si="2916"/>
        <v>Refund COSHARE 10</v>
      </c>
      <c r="H7135" s="2">
        <v>1419</v>
      </c>
      <c r="I7135" t="str">
        <f>"SHAH AZWAN BIN SAAD"</f>
        <v>SHAH AZWAN BIN SAAD</v>
      </c>
      <c r="J7135" t="str">
        <f t="shared" si="2917"/>
        <v>BANK SIMPANAN NASIONAL</v>
      </c>
      <c r="K7135" t="str">
        <f>"0410629000248801"</f>
        <v>0410629000248801</v>
      </c>
      <c r="L7135" t="str">
        <f t="shared" si="2918"/>
        <v>04-08-2020</v>
      </c>
      <c r="M7135" t="str">
        <f t="shared" si="2918"/>
        <v>04-08-2020</v>
      </c>
      <c r="N7135" t="str">
        <f t="shared" si="2906"/>
        <v>001105018356</v>
      </c>
      <c r="O7135" t="str">
        <f t="shared" si="2907"/>
        <v>MYR</v>
      </c>
      <c r="P7135" t="str">
        <f t="shared" si="2919"/>
        <v>NIL</v>
      </c>
      <c r="Q7135" t="str">
        <f t="shared" si="2919"/>
        <v>NIL</v>
      </c>
      <c r="R7135" t="str">
        <f t="shared" si="2895"/>
        <v>Accepted</v>
      </c>
      <c r="S7135" t="str">
        <f t="shared" si="2908"/>
        <v>Approved</v>
      </c>
      <c r="T7135" t="str">
        <f t="shared" si="2896"/>
        <v>10.20.8.188</v>
      </c>
      <c r="U7135" t="str">
        <f t="shared" si="2909"/>
        <v>AZRAD UMAR BIN SHAARI</v>
      </c>
      <c r="V7135" t="str">
        <f t="shared" si="2910"/>
        <v>FARHANA BINTI MUSTAPA</v>
      </c>
      <c r="W7135" t="str">
        <f t="shared" si="2911"/>
        <v>04-08-2020</v>
      </c>
      <c r="X7135" t="str">
        <f t="shared" si="2912"/>
        <v>RAZIMAH ANSAR AHMAD</v>
      </c>
      <c r="Y7135" t="str">
        <f t="shared" si="2913"/>
        <v>04-08-2020</v>
      </c>
      <c r="Z7135" t="str">
        <f>"COS10200804 2019"</f>
        <v>COS10200804 2019</v>
      </c>
    </row>
    <row r="7136" spans="1:26" x14ac:dyDescent="0.25">
      <c r="A7136" t="str">
        <f t="shared" si="2914"/>
        <v>04-08-2020 12:36:35</v>
      </c>
      <c r="B7136" t="str">
        <f>"0000803776"</f>
        <v>0000803776</v>
      </c>
      <c r="C7136" t="str">
        <f t="shared" si="2915"/>
        <v>0000803758</v>
      </c>
      <c r="D7136" t="str">
        <f t="shared" si="2903"/>
        <v>73185</v>
      </c>
      <c r="E7136" t="str">
        <f t="shared" si="2904"/>
        <v>KFH-OPERATIONS DEPARTMENT</v>
      </c>
      <c r="F7136" t="str">
        <f t="shared" si="2905"/>
        <v>IBG</v>
      </c>
      <c r="G7136" t="str">
        <f t="shared" si="2916"/>
        <v>Refund COSHARE 10</v>
      </c>
      <c r="H7136" s="2">
        <v>1196</v>
      </c>
      <c r="I7136" t="str">
        <f>"SCHOLASTICA BENJAMIN"</f>
        <v>SCHOLASTICA BENJAMIN</v>
      </c>
      <c r="J7136" t="str">
        <f t="shared" si="2917"/>
        <v>BANK SIMPANAN NASIONAL</v>
      </c>
      <c r="K7136" t="str">
        <f>"1210041000060632"</f>
        <v>1210041000060632</v>
      </c>
      <c r="L7136" t="str">
        <f t="shared" si="2918"/>
        <v>04-08-2020</v>
      </c>
      <c r="M7136" t="str">
        <f t="shared" si="2918"/>
        <v>04-08-2020</v>
      </c>
      <c r="N7136" t="str">
        <f t="shared" si="2906"/>
        <v>001105018356</v>
      </c>
      <c r="O7136" t="str">
        <f t="shared" si="2907"/>
        <v>MYR</v>
      </c>
      <c r="P7136" t="str">
        <f t="shared" si="2919"/>
        <v>NIL</v>
      </c>
      <c r="Q7136" t="str">
        <f t="shared" si="2919"/>
        <v>NIL</v>
      </c>
      <c r="R7136" t="str">
        <f t="shared" si="2895"/>
        <v>Accepted</v>
      </c>
      <c r="S7136" t="str">
        <f t="shared" si="2908"/>
        <v>Approved</v>
      </c>
      <c r="T7136" t="str">
        <f t="shared" si="2896"/>
        <v>10.20.8.188</v>
      </c>
      <c r="U7136" t="str">
        <f t="shared" si="2909"/>
        <v>AZRAD UMAR BIN SHAARI</v>
      </c>
      <c r="V7136" t="str">
        <f t="shared" si="2910"/>
        <v>FARHANA BINTI MUSTAPA</v>
      </c>
      <c r="W7136" t="str">
        <f t="shared" si="2911"/>
        <v>04-08-2020</v>
      </c>
      <c r="X7136" t="str">
        <f t="shared" si="2912"/>
        <v>RAZIMAH ANSAR AHMAD</v>
      </c>
      <c r="Y7136" t="str">
        <f t="shared" si="2913"/>
        <v>04-08-2020</v>
      </c>
      <c r="Z7136" t="str">
        <f>"COS10200804 2018"</f>
        <v>COS10200804 2018</v>
      </c>
    </row>
    <row r="7137" spans="1:26" x14ac:dyDescent="0.25">
      <c r="A7137" t="str">
        <f t="shared" si="2914"/>
        <v>04-08-2020 12:36:35</v>
      </c>
      <c r="B7137" t="str">
        <f>"0000803775"</f>
        <v>0000803775</v>
      </c>
      <c r="C7137" t="str">
        <f t="shared" si="2915"/>
        <v>0000803758</v>
      </c>
      <c r="D7137" t="str">
        <f t="shared" si="2903"/>
        <v>73185</v>
      </c>
      <c r="E7137" t="str">
        <f t="shared" si="2904"/>
        <v>KFH-OPERATIONS DEPARTMENT</v>
      </c>
      <c r="F7137" t="str">
        <f t="shared" si="2905"/>
        <v>IBG</v>
      </c>
      <c r="G7137" t="str">
        <f t="shared" si="2916"/>
        <v>Refund COSHARE 10</v>
      </c>
      <c r="H7137" s="2">
        <v>1637.8</v>
      </c>
      <c r="I7137" t="str">
        <f>"SARUDIN BIN SAMAH"</f>
        <v>SARUDIN BIN SAMAH</v>
      </c>
      <c r="J7137" t="str">
        <f t="shared" si="2917"/>
        <v>BANK SIMPANAN NASIONAL</v>
      </c>
      <c r="K7137" t="str">
        <f>"0220029887955125"</f>
        <v>0220029887955125</v>
      </c>
      <c r="L7137" t="str">
        <f t="shared" si="2918"/>
        <v>04-08-2020</v>
      </c>
      <c r="M7137" t="str">
        <f t="shared" si="2918"/>
        <v>04-08-2020</v>
      </c>
      <c r="N7137" t="str">
        <f t="shared" si="2906"/>
        <v>001105018356</v>
      </c>
      <c r="O7137" t="str">
        <f t="shared" si="2907"/>
        <v>MYR</v>
      </c>
      <c r="P7137" t="str">
        <f t="shared" si="2919"/>
        <v>NIL</v>
      </c>
      <c r="Q7137" t="str">
        <f t="shared" si="2919"/>
        <v>NIL</v>
      </c>
      <c r="R7137" t="str">
        <f t="shared" si="2895"/>
        <v>Accepted</v>
      </c>
      <c r="S7137" t="str">
        <f t="shared" si="2908"/>
        <v>Approved</v>
      </c>
      <c r="T7137" t="str">
        <f t="shared" si="2896"/>
        <v>10.20.8.188</v>
      </c>
      <c r="U7137" t="str">
        <f t="shared" si="2909"/>
        <v>AZRAD UMAR BIN SHAARI</v>
      </c>
      <c r="V7137" t="str">
        <f t="shared" si="2910"/>
        <v>FARHANA BINTI MUSTAPA</v>
      </c>
      <c r="W7137" t="str">
        <f t="shared" si="2911"/>
        <v>04-08-2020</v>
      </c>
      <c r="X7137" t="str">
        <f t="shared" si="2912"/>
        <v>RAZIMAH ANSAR AHMAD</v>
      </c>
      <c r="Y7137" t="str">
        <f t="shared" si="2913"/>
        <v>04-08-2020</v>
      </c>
      <c r="Z7137" t="str">
        <f>"COS10200804 2017"</f>
        <v>COS10200804 2017</v>
      </c>
    </row>
    <row r="7138" spans="1:26" x14ac:dyDescent="0.25">
      <c r="A7138" t="str">
        <f t="shared" si="2914"/>
        <v>04-08-2020 12:36:35</v>
      </c>
      <c r="B7138" t="str">
        <f>"0000803774"</f>
        <v>0000803774</v>
      </c>
      <c r="C7138" t="str">
        <f t="shared" si="2915"/>
        <v>0000803758</v>
      </c>
      <c r="D7138" t="str">
        <f t="shared" si="2903"/>
        <v>73185</v>
      </c>
      <c r="E7138" t="str">
        <f t="shared" si="2904"/>
        <v>KFH-OPERATIONS DEPARTMENT</v>
      </c>
      <c r="F7138" t="str">
        <f t="shared" si="2905"/>
        <v>IBG</v>
      </c>
      <c r="G7138" t="str">
        <f t="shared" si="2916"/>
        <v>Refund COSHARE 10</v>
      </c>
      <c r="H7138" s="2">
        <v>66.25</v>
      </c>
      <c r="I7138" t="str">
        <f>"SARIMAH BINTI CHE SOH"</f>
        <v>SARIMAH BINTI CHE SOH</v>
      </c>
      <c r="J7138" t="str">
        <f t="shared" si="2917"/>
        <v>BANK SIMPANAN NASIONAL</v>
      </c>
      <c r="K7138" t="str">
        <f>"0310041000136044"</f>
        <v>0310041000136044</v>
      </c>
      <c r="L7138" t="str">
        <f t="shared" si="2918"/>
        <v>04-08-2020</v>
      </c>
      <c r="M7138" t="str">
        <f t="shared" si="2918"/>
        <v>04-08-2020</v>
      </c>
      <c r="N7138" t="str">
        <f t="shared" si="2906"/>
        <v>001105018356</v>
      </c>
      <c r="O7138" t="str">
        <f t="shared" si="2907"/>
        <v>MYR</v>
      </c>
      <c r="P7138" t="str">
        <f t="shared" si="2919"/>
        <v>NIL</v>
      </c>
      <c r="Q7138" t="str">
        <f t="shared" si="2919"/>
        <v>NIL</v>
      </c>
      <c r="R7138" t="str">
        <f t="shared" ref="R7138:R7201" si="2920">"Accepted"</f>
        <v>Accepted</v>
      </c>
      <c r="S7138" t="str">
        <f t="shared" si="2908"/>
        <v>Approved</v>
      </c>
      <c r="T7138" t="str">
        <f t="shared" ref="T7138:T7201" si="2921">"10.20.8.188"</f>
        <v>10.20.8.188</v>
      </c>
      <c r="U7138" t="str">
        <f t="shared" si="2909"/>
        <v>AZRAD UMAR BIN SHAARI</v>
      </c>
      <c r="V7138" t="str">
        <f t="shared" si="2910"/>
        <v>FARHANA BINTI MUSTAPA</v>
      </c>
      <c r="W7138" t="str">
        <f t="shared" si="2911"/>
        <v>04-08-2020</v>
      </c>
      <c r="X7138" t="str">
        <f t="shared" si="2912"/>
        <v>RAZIMAH ANSAR AHMAD</v>
      </c>
      <c r="Y7138" t="str">
        <f t="shared" si="2913"/>
        <v>04-08-2020</v>
      </c>
      <c r="Z7138" t="str">
        <f>"COS10200804 2016"</f>
        <v>COS10200804 2016</v>
      </c>
    </row>
    <row r="7139" spans="1:26" x14ac:dyDescent="0.25">
      <c r="A7139" t="str">
        <f t="shared" si="2914"/>
        <v>04-08-2020 12:36:35</v>
      </c>
      <c r="B7139" t="str">
        <f>"0000803773"</f>
        <v>0000803773</v>
      </c>
      <c r="C7139" t="str">
        <f t="shared" si="2915"/>
        <v>0000803758</v>
      </c>
      <c r="D7139" t="str">
        <f t="shared" si="2903"/>
        <v>73185</v>
      </c>
      <c r="E7139" t="str">
        <f t="shared" si="2904"/>
        <v>KFH-OPERATIONS DEPARTMENT</v>
      </c>
      <c r="F7139" t="str">
        <f t="shared" si="2905"/>
        <v>IBG</v>
      </c>
      <c r="G7139" t="str">
        <f t="shared" si="2916"/>
        <v>Refund COSHARE 10</v>
      </c>
      <c r="H7139" s="2">
        <v>227</v>
      </c>
      <c r="I7139" t="str">
        <f>"SARIFAH BINTI ABU KARI"</f>
        <v>SARIFAH BINTI ABU KARI</v>
      </c>
      <c r="J7139" t="str">
        <f t="shared" si="2917"/>
        <v>BANK SIMPANAN NASIONAL</v>
      </c>
      <c r="K7139" t="str">
        <f>"0113129855366904"</f>
        <v>0113129855366904</v>
      </c>
      <c r="L7139" t="str">
        <f t="shared" si="2918"/>
        <v>04-08-2020</v>
      </c>
      <c r="M7139" t="str">
        <f t="shared" si="2918"/>
        <v>04-08-2020</v>
      </c>
      <c r="N7139" t="str">
        <f t="shared" si="2906"/>
        <v>001105018356</v>
      </c>
      <c r="O7139" t="str">
        <f t="shared" si="2907"/>
        <v>MYR</v>
      </c>
      <c r="P7139" t="str">
        <f t="shared" si="2919"/>
        <v>NIL</v>
      </c>
      <c r="Q7139" t="str">
        <f t="shared" si="2919"/>
        <v>NIL</v>
      </c>
      <c r="R7139" t="str">
        <f t="shared" si="2920"/>
        <v>Accepted</v>
      </c>
      <c r="S7139" t="str">
        <f t="shared" si="2908"/>
        <v>Approved</v>
      </c>
      <c r="T7139" t="str">
        <f t="shared" si="2921"/>
        <v>10.20.8.188</v>
      </c>
      <c r="U7139" t="str">
        <f t="shared" si="2909"/>
        <v>AZRAD UMAR BIN SHAARI</v>
      </c>
      <c r="V7139" t="str">
        <f t="shared" si="2910"/>
        <v>FARHANA BINTI MUSTAPA</v>
      </c>
      <c r="W7139" t="str">
        <f t="shared" si="2911"/>
        <v>04-08-2020</v>
      </c>
      <c r="X7139" t="str">
        <f t="shared" si="2912"/>
        <v>RAZIMAH ANSAR AHMAD</v>
      </c>
      <c r="Y7139" t="str">
        <f t="shared" si="2913"/>
        <v>04-08-2020</v>
      </c>
      <c r="Z7139" t="str">
        <f>"COS10200804 2015"</f>
        <v>COS10200804 2015</v>
      </c>
    </row>
    <row r="7140" spans="1:26" x14ac:dyDescent="0.25">
      <c r="A7140" t="str">
        <f t="shared" si="2914"/>
        <v>04-08-2020 12:36:35</v>
      </c>
      <c r="B7140" t="str">
        <f>"0000803772"</f>
        <v>0000803772</v>
      </c>
      <c r="C7140" t="str">
        <f t="shared" si="2915"/>
        <v>0000803758</v>
      </c>
      <c r="D7140" t="str">
        <f t="shared" si="2903"/>
        <v>73185</v>
      </c>
      <c r="E7140" t="str">
        <f t="shared" si="2904"/>
        <v>KFH-OPERATIONS DEPARTMENT</v>
      </c>
      <c r="F7140" t="str">
        <f t="shared" si="2905"/>
        <v>IBG</v>
      </c>
      <c r="G7140" t="str">
        <f t="shared" si="2916"/>
        <v>Refund COSHARE 10</v>
      </c>
      <c r="H7140" s="2">
        <v>100.65</v>
      </c>
      <c r="I7140" t="str">
        <f>"SAPTUYAH BINTI DAWI"</f>
        <v>SAPTUYAH BINTI DAWI</v>
      </c>
      <c r="J7140" t="str">
        <f t="shared" si="2917"/>
        <v>BANK SIMPANAN NASIONAL</v>
      </c>
      <c r="K7140" t="str">
        <f>"1311429864187733"</f>
        <v>1311429864187733</v>
      </c>
      <c r="L7140" t="str">
        <f t="shared" si="2918"/>
        <v>04-08-2020</v>
      </c>
      <c r="M7140" t="str">
        <f t="shared" si="2918"/>
        <v>04-08-2020</v>
      </c>
      <c r="N7140" t="str">
        <f t="shared" si="2906"/>
        <v>001105018356</v>
      </c>
      <c r="O7140" t="str">
        <f t="shared" si="2907"/>
        <v>MYR</v>
      </c>
      <c r="P7140" t="str">
        <f t="shared" si="2919"/>
        <v>NIL</v>
      </c>
      <c r="Q7140" t="str">
        <f t="shared" si="2919"/>
        <v>NIL</v>
      </c>
      <c r="R7140" t="str">
        <f t="shared" si="2920"/>
        <v>Accepted</v>
      </c>
      <c r="S7140" t="str">
        <f t="shared" si="2908"/>
        <v>Approved</v>
      </c>
      <c r="T7140" t="str">
        <f t="shared" si="2921"/>
        <v>10.20.8.188</v>
      </c>
      <c r="U7140" t="str">
        <f t="shared" si="2909"/>
        <v>AZRAD UMAR BIN SHAARI</v>
      </c>
      <c r="V7140" t="str">
        <f t="shared" si="2910"/>
        <v>FARHANA BINTI MUSTAPA</v>
      </c>
      <c r="W7140" t="str">
        <f t="shared" si="2911"/>
        <v>04-08-2020</v>
      </c>
      <c r="X7140" t="str">
        <f t="shared" si="2912"/>
        <v>RAZIMAH ANSAR AHMAD</v>
      </c>
      <c r="Y7140" t="str">
        <f t="shared" si="2913"/>
        <v>04-08-2020</v>
      </c>
      <c r="Z7140" t="str">
        <f>"COS10200804 2014"</f>
        <v>COS10200804 2014</v>
      </c>
    </row>
    <row r="7141" spans="1:26" x14ac:dyDescent="0.25">
      <c r="A7141" t="str">
        <f t="shared" si="2914"/>
        <v>04-08-2020 12:36:35</v>
      </c>
      <c r="B7141" t="str">
        <f>"0000803771"</f>
        <v>0000803771</v>
      </c>
      <c r="C7141" t="str">
        <f t="shared" si="2915"/>
        <v>0000803758</v>
      </c>
      <c r="D7141" t="str">
        <f t="shared" si="2903"/>
        <v>73185</v>
      </c>
      <c r="E7141" t="str">
        <f t="shared" si="2904"/>
        <v>KFH-OPERATIONS DEPARTMENT</v>
      </c>
      <c r="F7141" t="str">
        <f t="shared" si="2905"/>
        <v>IBG</v>
      </c>
      <c r="G7141" t="str">
        <f t="shared" si="2916"/>
        <v>Refund COSHARE 10</v>
      </c>
      <c r="H7141" s="2">
        <v>569</v>
      </c>
      <c r="I7141" t="str">
        <f>"SANGGARAM FAKRI SAMY"</f>
        <v>SANGGARAM FAKRI SAMY</v>
      </c>
      <c r="J7141" t="str">
        <f t="shared" si="2917"/>
        <v>BANK SIMPANAN NASIONAL</v>
      </c>
      <c r="K7141" t="str">
        <f>"1310029000261604"</f>
        <v>1310029000261604</v>
      </c>
      <c r="L7141" t="str">
        <f t="shared" si="2918"/>
        <v>04-08-2020</v>
      </c>
      <c r="M7141" t="str">
        <f t="shared" si="2918"/>
        <v>04-08-2020</v>
      </c>
      <c r="N7141" t="str">
        <f t="shared" si="2906"/>
        <v>001105018356</v>
      </c>
      <c r="O7141" t="str">
        <f t="shared" si="2907"/>
        <v>MYR</v>
      </c>
      <c r="P7141" t="str">
        <f t="shared" si="2919"/>
        <v>NIL</v>
      </c>
      <c r="Q7141" t="str">
        <f t="shared" si="2919"/>
        <v>NIL</v>
      </c>
      <c r="R7141" t="str">
        <f t="shared" si="2920"/>
        <v>Accepted</v>
      </c>
      <c r="S7141" t="str">
        <f t="shared" si="2908"/>
        <v>Approved</v>
      </c>
      <c r="T7141" t="str">
        <f t="shared" si="2921"/>
        <v>10.20.8.188</v>
      </c>
      <c r="U7141" t="str">
        <f t="shared" si="2909"/>
        <v>AZRAD UMAR BIN SHAARI</v>
      </c>
      <c r="V7141" t="str">
        <f t="shared" si="2910"/>
        <v>FARHANA BINTI MUSTAPA</v>
      </c>
      <c r="W7141" t="str">
        <f t="shared" si="2911"/>
        <v>04-08-2020</v>
      </c>
      <c r="X7141" t="str">
        <f t="shared" si="2912"/>
        <v>RAZIMAH ANSAR AHMAD</v>
      </c>
      <c r="Y7141" t="str">
        <f t="shared" si="2913"/>
        <v>04-08-2020</v>
      </c>
      <c r="Z7141" t="str">
        <f>"COS10200804 2013"</f>
        <v>COS10200804 2013</v>
      </c>
    </row>
    <row r="7142" spans="1:26" x14ac:dyDescent="0.25">
      <c r="A7142" t="str">
        <f t="shared" si="2914"/>
        <v>04-08-2020 12:36:35</v>
      </c>
      <c r="B7142" t="str">
        <f>"0000803770"</f>
        <v>0000803770</v>
      </c>
      <c r="C7142" t="str">
        <f t="shared" si="2915"/>
        <v>0000803758</v>
      </c>
      <c r="D7142" t="str">
        <f t="shared" si="2903"/>
        <v>73185</v>
      </c>
      <c r="E7142" t="str">
        <f t="shared" si="2904"/>
        <v>KFH-OPERATIONS DEPARTMENT</v>
      </c>
      <c r="F7142" t="str">
        <f t="shared" si="2905"/>
        <v>IBG</v>
      </c>
      <c r="G7142" t="str">
        <f t="shared" si="2916"/>
        <v>Refund COSHARE 10</v>
      </c>
      <c r="H7142" s="2">
        <v>51.2</v>
      </c>
      <c r="I7142" t="str">
        <f>"SAMURI BIN MOHD SOIB"</f>
        <v>SAMURI BIN MOHD SOIB</v>
      </c>
      <c r="J7142" t="str">
        <f t="shared" si="2917"/>
        <v>BANK SIMPANAN NASIONAL</v>
      </c>
      <c r="K7142" t="str">
        <f>"1015629814920105"</f>
        <v>1015629814920105</v>
      </c>
      <c r="L7142" t="str">
        <f t="shared" si="2918"/>
        <v>04-08-2020</v>
      </c>
      <c r="M7142" t="str">
        <f t="shared" si="2918"/>
        <v>04-08-2020</v>
      </c>
      <c r="N7142" t="str">
        <f t="shared" si="2906"/>
        <v>001105018356</v>
      </c>
      <c r="O7142" t="str">
        <f t="shared" si="2907"/>
        <v>MYR</v>
      </c>
      <c r="P7142" t="str">
        <f t="shared" si="2919"/>
        <v>NIL</v>
      </c>
      <c r="Q7142" t="str">
        <f t="shared" si="2919"/>
        <v>NIL</v>
      </c>
      <c r="R7142" t="str">
        <f t="shared" si="2920"/>
        <v>Accepted</v>
      </c>
      <c r="S7142" t="str">
        <f t="shared" si="2908"/>
        <v>Approved</v>
      </c>
      <c r="T7142" t="str">
        <f t="shared" si="2921"/>
        <v>10.20.8.188</v>
      </c>
      <c r="U7142" t="str">
        <f t="shared" si="2909"/>
        <v>AZRAD UMAR BIN SHAARI</v>
      </c>
      <c r="V7142" t="str">
        <f t="shared" si="2910"/>
        <v>FARHANA BINTI MUSTAPA</v>
      </c>
      <c r="W7142" t="str">
        <f t="shared" si="2911"/>
        <v>04-08-2020</v>
      </c>
      <c r="X7142" t="str">
        <f t="shared" si="2912"/>
        <v>RAZIMAH ANSAR AHMAD</v>
      </c>
      <c r="Y7142" t="str">
        <f t="shared" si="2913"/>
        <v>04-08-2020</v>
      </c>
      <c r="Z7142" t="str">
        <f>"COS10200804 2012"</f>
        <v>COS10200804 2012</v>
      </c>
    </row>
    <row r="7143" spans="1:26" x14ac:dyDescent="0.25">
      <c r="A7143" t="str">
        <f t="shared" si="2914"/>
        <v>04-08-2020 12:36:35</v>
      </c>
      <c r="B7143" t="str">
        <f>"0000803769"</f>
        <v>0000803769</v>
      </c>
      <c r="C7143" t="str">
        <f t="shared" si="2915"/>
        <v>0000803758</v>
      </c>
      <c r="D7143" t="str">
        <f t="shared" si="2903"/>
        <v>73185</v>
      </c>
      <c r="E7143" t="str">
        <f t="shared" si="2904"/>
        <v>KFH-OPERATIONS DEPARTMENT</v>
      </c>
      <c r="F7143" t="str">
        <f t="shared" si="2905"/>
        <v>IBG</v>
      </c>
      <c r="G7143" t="str">
        <f t="shared" si="2916"/>
        <v>Refund COSHARE 10</v>
      </c>
      <c r="H7143" s="2">
        <v>1012.8</v>
      </c>
      <c r="I7143" t="str">
        <f>"SAMSHUL BASIR BIN MOHAMED"</f>
        <v>SAMSHUL BASIR BIN MOHAMED</v>
      </c>
      <c r="J7143" t="str">
        <f t="shared" si="2917"/>
        <v>BANK SIMPANAN NASIONAL</v>
      </c>
      <c r="K7143" t="str">
        <f>"1418529000010212"</f>
        <v>1418529000010212</v>
      </c>
      <c r="L7143" t="str">
        <f t="shared" si="2918"/>
        <v>04-08-2020</v>
      </c>
      <c r="M7143" t="str">
        <f t="shared" si="2918"/>
        <v>04-08-2020</v>
      </c>
      <c r="N7143" t="str">
        <f t="shared" si="2906"/>
        <v>001105018356</v>
      </c>
      <c r="O7143" t="str">
        <f t="shared" si="2907"/>
        <v>MYR</v>
      </c>
      <c r="P7143" t="str">
        <f t="shared" si="2919"/>
        <v>NIL</v>
      </c>
      <c r="Q7143" t="str">
        <f t="shared" si="2919"/>
        <v>NIL</v>
      </c>
      <c r="R7143" t="str">
        <f t="shared" si="2920"/>
        <v>Accepted</v>
      </c>
      <c r="S7143" t="str">
        <f t="shared" si="2908"/>
        <v>Approved</v>
      </c>
      <c r="T7143" t="str">
        <f t="shared" si="2921"/>
        <v>10.20.8.188</v>
      </c>
      <c r="U7143" t="str">
        <f t="shared" si="2909"/>
        <v>AZRAD UMAR BIN SHAARI</v>
      </c>
      <c r="V7143" t="str">
        <f t="shared" si="2910"/>
        <v>FARHANA BINTI MUSTAPA</v>
      </c>
      <c r="W7143" t="str">
        <f t="shared" si="2911"/>
        <v>04-08-2020</v>
      </c>
      <c r="X7143" t="str">
        <f t="shared" si="2912"/>
        <v>RAZIMAH ANSAR AHMAD</v>
      </c>
      <c r="Y7143" t="str">
        <f t="shared" si="2913"/>
        <v>04-08-2020</v>
      </c>
      <c r="Z7143" t="str">
        <f>"COS10200804 2011"</f>
        <v>COS10200804 2011</v>
      </c>
    </row>
    <row r="7144" spans="1:26" x14ac:dyDescent="0.25">
      <c r="A7144" t="str">
        <f t="shared" si="2914"/>
        <v>04-08-2020 12:36:35</v>
      </c>
      <c r="B7144" t="str">
        <f>"0000803768"</f>
        <v>0000803768</v>
      </c>
      <c r="C7144" t="str">
        <f t="shared" si="2915"/>
        <v>0000803758</v>
      </c>
      <c r="D7144" t="str">
        <f t="shared" si="2903"/>
        <v>73185</v>
      </c>
      <c r="E7144" t="str">
        <f t="shared" si="2904"/>
        <v>KFH-OPERATIONS DEPARTMENT</v>
      </c>
      <c r="F7144" t="str">
        <f t="shared" si="2905"/>
        <v>IBG</v>
      </c>
      <c r="G7144" t="str">
        <f t="shared" si="2916"/>
        <v>Refund COSHARE 10</v>
      </c>
      <c r="H7144" s="2">
        <v>1493</v>
      </c>
      <c r="I7144" t="str">
        <f>"SALMIZA BINTI IBRAHIM"</f>
        <v>SALMIZA BINTI IBRAHIM</v>
      </c>
      <c r="J7144" t="str">
        <f t="shared" si="2917"/>
        <v>BANK SIMPANAN NASIONAL</v>
      </c>
      <c r="K7144" t="str">
        <f>"0310029875065742"</f>
        <v>0310029875065742</v>
      </c>
      <c r="L7144" t="str">
        <f t="shared" si="2918"/>
        <v>04-08-2020</v>
      </c>
      <c r="M7144" t="str">
        <f t="shared" si="2918"/>
        <v>04-08-2020</v>
      </c>
      <c r="N7144" t="str">
        <f t="shared" si="2906"/>
        <v>001105018356</v>
      </c>
      <c r="O7144" t="str">
        <f t="shared" si="2907"/>
        <v>MYR</v>
      </c>
      <c r="P7144" t="str">
        <f t="shared" si="2919"/>
        <v>NIL</v>
      </c>
      <c r="Q7144" t="str">
        <f t="shared" si="2919"/>
        <v>NIL</v>
      </c>
      <c r="R7144" t="str">
        <f t="shared" si="2920"/>
        <v>Accepted</v>
      </c>
      <c r="S7144" t="str">
        <f t="shared" si="2908"/>
        <v>Approved</v>
      </c>
      <c r="T7144" t="str">
        <f t="shared" si="2921"/>
        <v>10.20.8.188</v>
      </c>
      <c r="U7144" t="str">
        <f t="shared" si="2909"/>
        <v>AZRAD UMAR BIN SHAARI</v>
      </c>
      <c r="V7144" t="str">
        <f t="shared" si="2910"/>
        <v>FARHANA BINTI MUSTAPA</v>
      </c>
      <c r="W7144" t="str">
        <f t="shared" si="2911"/>
        <v>04-08-2020</v>
      </c>
      <c r="X7144" t="str">
        <f t="shared" si="2912"/>
        <v>RAZIMAH ANSAR AHMAD</v>
      </c>
      <c r="Y7144" t="str">
        <f t="shared" si="2913"/>
        <v>04-08-2020</v>
      </c>
      <c r="Z7144" t="str">
        <f>"COS10200804 2010"</f>
        <v>COS10200804 2010</v>
      </c>
    </row>
    <row r="7145" spans="1:26" x14ac:dyDescent="0.25">
      <c r="A7145" t="str">
        <f t="shared" si="2914"/>
        <v>04-08-2020 12:36:35</v>
      </c>
      <c r="B7145" t="str">
        <f>"0000803767"</f>
        <v>0000803767</v>
      </c>
      <c r="C7145" t="str">
        <f t="shared" si="2915"/>
        <v>0000803758</v>
      </c>
      <c r="D7145" t="str">
        <f t="shared" si="2903"/>
        <v>73185</v>
      </c>
      <c r="E7145" t="str">
        <f t="shared" si="2904"/>
        <v>KFH-OPERATIONS DEPARTMENT</v>
      </c>
      <c r="F7145" t="str">
        <f t="shared" si="2905"/>
        <v>IBG</v>
      </c>
      <c r="G7145" t="str">
        <f t="shared" si="2916"/>
        <v>Refund COSHARE 10</v>
      </c>
      <c r="H7145" s="2">
        <v>559.95000000000005</v>
      </c>
      <c r="I7145" t="str">
        <f>"SALMAH BINTI MD ZAIN"</f>
        <v>SALMAH BINTI MD ZAIN</v>
      </c>
      <c r="J7145" t="str">
        <f t="shared" si="2917"/>
        <v>BANK SIMPANAN NASIONAL</v>
      </c>
      <c r="K7145" t="str">
        <f>"0210029000574801"</f>
        <v>0210029000574801</v>
      </c>
      <c r="L7145" t="str">
        <f t="shared" si="2918"/>
        <v>04-08-2020</v>
      </c>
      <c r="M7145" t="str">
        <f t="shared" si="2918"/>
        <v>04-08-2020</v>
      </c>
      <c r="N7145" t="str">
        <f t="shared" si="2906"/>
        <v>001105018356</v>
      </c>
      <c r="O7145" t="str">
        <f t="shared" si="2907"/>
        <v>MYR</v>
      </c>
      <c r="P7145" t="str">
        <f t="shared" si="2919"/>
        <v>NIL</v>
      </c>
      <c r="Q7145" t="str">
        <f t="shared" si="2919"/>
        <v>NIL</v>
      </c>
      <c r="R7145" t="str">
        <f t="shared" si="2920"/>
        <v>Accepted</v>
      </c>
      <c r="S7145" t="str">
        <f t="shared" si="2908"/>
        <v>Approved</v>
      </c>
      <c r="T7145" t="str">
        <f t="shared" si="2921"/>
        <v>10.20.8.188</v>
      </c>
      <c r="U7145" t="str">
        <f t="shared" si="2909"/>
        <v>AZRAD UMAR BIN SHAARI</v>
      </c>
      <c r="V7145" t="str">
        <f t="shared" si="2910"/>
        <v>FARHANA BINTI MUSTAPA</v>
      </c>
      <c r="W7145" t="str">
        <f t="shared" si="2911"/>
        <v>04-08-2020</v>
      </c>
      <c r="X7145" t="str">
        <f t="shared" si="2912"/>
        <v>RAZIMAH ANSAR AHMAD</v>
      </c>
      <c r="Y7145" t="str">
        <f t="shared" si="2913"/>
        <v>04-08-2020</v>
      </c>
      <c r="Z7145" t="str">
        <f>"COS10200804 2009"</f>
        <v>COS10200804 2009</v>
      </c>
    </row>
    <row r="7146" spans="1:26" x14ac:dyDescent="0.25">
      <c r="A7146" t="str">
        <f t="shared" ref="A7146:A7153" si="2922">"04-08-2020 12:36:35"</f>
        <v>04-08-2020 12:36:35</v>
      </c>
      <c r="B7146" t="str">
        <f>"0000803766"</f>
        <v>0000803766</v>
      </c>
      <c r="C7146" t="str">
        <f t="shared" ref="C7146:C7153" si="2923">"0000803758"</f>
        <v>0000803758</v>
      </c>
      <c r="D7146" t="str">
        <f t="shared" si="2903"/>
        <v>73185</v>
      </c>
      <c r="E7146" t="str">
        <f t="shared" si="2904"/>
        <v>KFH-OPERATIONS DEPARTMENT</v>
      </c>
      <c r="F7146" t="str">
        <f t="shared" si="2905"/>
        <v>IBG</v>
      </c>
      <c r="G7146" t="str">
        <f t="shared" si="2916"/>
        <v>Refund COSHARE 10</v>
      </c>
      <c r="H7146" s="2">
        <v>249</v>
      </c>
      <c r="I7146" t="str">
        <f>"SALMAH BINTI MD ZAIN"</f>
        <v>SALMAH BINTI MD ZAIN</v>
      </c>
      <c r="J7146" t="str">
        <f t="shared" si="2917"/>
        <v>BANK SIMPANAN NASIONAL</v>
      </c>
      <c r="K7146" t="str">
        <f>"0210029000574801"</f>
        <v>0210029000574801</v>
      </c>
      <c r="L7146" t="str">
        <f t="shared" si="2918"/>
        <v>04-08-2020</v>
      </c>
      <c r="M7146" t="str">
        <f t="shared" si="2918"/>
        <v>04-08-2020</v>
      </c>
      <c r="N7146" t="str">
        <f t="shared" si="2906"/>
        <v>001105018356</v>
      </c>
      <c r="O7146" t="str">
        <f t="shared" si="2907"/>
        <v>MYR</v>
      </c>
      <c r="P7146" t="str">
        <f t="shared" si="2919"/>
        <v>NIL</v>
      </c>
      <c r="Q7146" t="str">
        <f t="shared" si="2919"/>
        <v>NIL</v>
      </c>
      <c r="R7146" t="str">
        <f t="shared" si="2920"/>
        <v>Accepted</v>
      </c>
      <c r="S7146" t="str">
        <f t="shared" si="2908"/>
        <v>Approved</v>
      </c>
      <c r="T7146" t="str">
        <f t="shared" si="2921"/>
        <v>10.20.8.188</v>
      </c>
      <c r="U7146" t="str">
        <f t="shared" si="2909"/>
        <v>AZRAD UMAR BIN SHAARI</v>
      </c>
      <c r="V7146" t="str">
        <f t="shared" si="2910"/>
        <v>FARHANA BINTI MUSTAPA</v>
      </c>
      <c r="W7146" t="str">
        <f t="shared" si="2911"/>
        <v>04-08-2020</v>
      </c>
      <c r="X7146" t="str">
        <f t="shared" si="2912"/>
        <v>RAZIMAH ANSAR AHMAD</v>
      </c>
      <c r="Y7146" t="str">
        <f t="shared" si="2913"/>
        <v>04-08-2020</v>
      </c>
      <c r="Z7146" t="str">
        <f>"COS10200804 2008"</f>
        <v>COS10200804 2008</v>
      </c>
    </row>
    <row r="7147" spans="1:26" x14ac:dyDescent="0.25">
      <c r="A7147" t="str">
        <f t="shared" si="2922"/>
        <v>04-08-2020 12:36:35</v>
      </c>
      <c r="B7147" t="str">
        <f>"0000803765"</f>
        <v>0000803765</v>
      </c>
      <c r="C7147" t="str">
        <f t="shared" si="2923"/>
        <v>0000803758</v>
      </c>
      <c r="D7147" t="str">
        <f t="shared" si="2903"/>
        <v>73185</v>
      </c>
      <c r="E7147" t="str">
        <f t="shared" si="2904"/>
        <v>KFH-OPERATIONS DEPARTMENT</v>
      </c>
      <c r="F7147" t="str">
        <f t="shared" si="2905"/>
        <v>IBG</v>
      </c>
      <c r="G7147" t="str">
        <f t="shared" si="2916"/>
        <v>Refund COSHARE 10</v>
      </c>
      <c r="H7147" s="2">
        <v>509</v>
      </c>
      <c r="I7147" t="str">
        <f>"SALLEHUDDIN BIN MAT GHANI"</f>
        <v>SALLEHUDDIN BIN MAT GHANI</v>
      </c>
      <c r="J7147" t="str">
        <f t="shared" si="2917"/>
        <v>BANK SIMPANAN NASIONAL</v>
      </c>
      <c r="K7147" t="str">
        <f>"0301141000017976"</f>
        <v>0301141000017976</v>
      </c>
      <c r="L7147" t="str">
        <f t="shared" ref="L7147:M7166" si="2924">"04-08-2020"</f>
        <v>04-08-2020</v>
      </c>
      <c r="M7147" t="str">
        <f t="shared" si="2924"/>
        <v>04-08-2020</v>
      </c>
      <c r="N7147" t="str">
        <f t="shared" si="2906"/>
        <v>001105018356</v>
      </c>
      <c r="O7147" t="str">
        <f t="shared" si="2907"/>
        <v>MYR</v>
      </c>
      <c r="P7147" t="str">
        <f t="shared" ref="P7147:Q7166" si="2925">"NIL"</f>
        <v>NIL</v>
      </c>
      <c r="Q7147" t="str">
        <f t="shared" si="2925"/>
        <v>NIL</v>
      </c>
      <c r="R7147" t="str">
        <f t="shared" si="2920"/>
        <v>Accepted</v>
      </c>
      <c r="S7147" t="str">
        <f t="shared" si="2908"/>
        <v>Approved</v>
      </c>
      <c r="T7147" t="str">
        <f t="shared" si="2921"/>
        <v>10.20.8.188</v>
      </c>
      <c r="U7147" t="str">
        <f t="shared" si="2909"/>
        <v>AZRAD UMAR BIN SHAARI</v>
      </c>
      <c r="V7147" t="str">
        <f t="shared" si="2910"/>
        <v>FARHANA BINTI MUSTAPA</v>
      </c>
      <c r="W7147" t="str">
        <f t="shared" si="2911"/>
        <v>04-08-2020</v>
      </c>
      <c r="X7147" t="str">
        <f t="shared" si="2912"/>
        <v>RAZIMAH ANSAR AHMAD</v>
      </c>
      <c r="Y7147" t="str">
        <f t="shared" si="2913"/>
        <v>04-08-2020</v>
      </c>
      <c r="Z7147" t="str">
        <f>"COS10200804 2007"</f>
        <v>COS10200804 2007</v>
      </c>
    </row>
    <row r="7148" spans="1:26" x14ac:dyDescent="0.25">
      <c r="A7148" t="str">
        <f t="shared" si="2922"/>
        <v>04-08-2020 12:36:35</v>
      </c>
      <c r="B7148" t="str">
        <f>"0000803764"</f>
        <v>0000803764</v>
      </c>
      <c r="C7148" t="str">
        <f t="shared" si="2923"/>
        <v>0000803758</v>
      </c>
      <c r="D7148" t="str">
        <f t="shared" si="2903"/>
        <v>73185</v>
      </c>
      <c r="E7148" t="str">
        <f t="shared" si="2904"/>
        <v>KFH-OPERATIONS DEPARTMENT</v>
      </c>
      <c r="F7148" t="str">
        <f t="shared" si="2905"/>
        <v>IBG</v>
      </c>
      <c r="G7148" t="str">
        <f t="shared" si="2916"/>
        <v>Refund COSHARE 10</v>
      </c>
      <c r="H7148" s="2">
        <v>512.1</v>
      </c>
      <c r="I7148" t="str">
        <f>"SALINA BT ABDUL MAJID"</f>
        <v>SALINA BT ABDUL MAJID</v>
      </c>
      <c r="J7148" t="str">
        <f t="shared" si="2917"/>
        <v>BANK SIMPANAN NASIONAL</v>
      </c>
      <c r="K7148" t="str">
        <f>"1420029839821531"</f>
        <v>1420029839821531</v>
      </c>
      <c r="L7148" t="str">
        <f t="shared" si="2924"/>
        <v>04-08-2020</v>
      </c>
      <c r="M7148" t="str">
        <f t="shared" si="2924"/>
        <v>04-08-2020</v>
      </c>
      <c r="N7148" t="str">
        <f t="shared" si="2906"/>
        <v>001105018356</v>
      </c>
      <c r="O7148" t="str">
        <f t="shared" si="2907"/>
        <v>MYR</v>
      </c>
      <c r="P7148" t="str">
        <f t="shared" si="2925"/>
        <v>NIL</v>
      </c>
      <c r="Q7148" t="str">
        <f t="shared" si="2925"/>
        <v>NIL</v>
      </c>
      <c r="R7148" t="str">
        <f t="shared" si="2920"/>
        <v>Accepted</v>
      </c>
      <c r="S7148" t="str">
        <f t="shared" si="2908"/>
        <v>Approved</v>
      </c>
      <c r="T7148" t="str">
        <f t="shared" si="2921"/>
        <v>10.20.8.188</v>
      </c>
      <c r="U7148" t="str">
        <f t="shared" si="2909"/>
        <v>AZRAD UMAR BIN SHAARI</v>
      </c>
      <c r="V7148" t="str">
        <f t="shared" si="2910"/>
        <v>FARHANA BINTI MUSTAPA</v>
      </c>
      <c r="W7148" t="str">
        <f t="shared" si="2911"/>
        <v>04-08-2020</v>
      </c>
      <c r="X7148" t="str">
        <f t="shared" si="2912"/>
        <v>RAZIMAH ANSAR AHMAD</v>
      </c>
      <c r="Y7148" t="str">
        <f t="shared" si="2913"/>
        <v>04-08-2020</v>
      </c>
      <c r="Z7148" t="str">
        <f>"COS10200804 2006"</f>
        <v>COS10200804 2006</v>
      </c>
    </row>
    <row r="7149" spans="1:26" x14ac:dyDescent="0.25">
      <c r="A7149" t="str">
        <f t="shared" si="2922"/>
        <v>04-08-2020 12:36:35</v>
      </c>
      <c r="B7149" t="str">
        <f>"0000803763"</f>
        <v>0000803763</v>
      </c>
      <c r="C7149" t="str">
        <f t="shared" si="2923"/>
        <v>0000803758</v>
      </c>
      <c r="D7149" t="str">
        <f t="shared" si="2903"/>
        <v>73185</v>
      </c>
      <c r="E7149" t="str">
        <f t="shared" si="2904"/>
        <v>KFH-OPERATIONS DEPARTMENT</v>
      </c>
      <c r="F7149" t="str">
        <f t="shared" si="2905"/>
        <v>IBG</v>
      </c>
      <c r="G7149" t="str">
        <f t="shared" si="2916"/>
        <v>Refund COSHARE 10</v>
      </c>
      <c r="H7149" s="2">
        <v>201.5</v>
      </c>
      <c r="I7149" t="str">
        <f>"SALINA BINTI ABU HASAN"</f>
        <v>SALINA BINTI ABU HASAN</v>
      </c>
      <c r="J7149" t="str">
        <f t="shared" si="2917"/>
        <v>BANK SIMPANAN NASIONAL</v>
      </c>
      <c r="K7149" t="str">
        <f>"0213129847579824"</f>
        <v>0213129847579824</v>
      </c>
      <c r="L7149" t="str">
        <f t="shared" si="2924"/>
        <v>04-08-2020</v>
      </c>
      <c r="M7149" t="str">
        <f t="shared" si="2924"/>
        <v>04-08-2020</v>
      </c>
      <c r="N7149" t="str">
        <f t="shared" si="2906"/>
        <v>001105018356</v>
      </c>
      <c r="O7149" t="str">
        <f t="shared" si="2907"/>
        <v>MYR</v>
      </c>
      <c r="P7149" t="str">
        <f t="shared" si="2925"/>
        <v>NIL</v>
      </c>
      <c r="Q7149" t="str">
        <f t="shared" si="2925"/>
        <v>NIL</v>
      </c>
      <c r="R7149" t="str">
        <f t="shared" si="2920"/>
        <v>Accepted</v>
      </c>
      <c r="S7149" t="str">
        <f t="shared" si="2908"/>
        <v>Approved</v>
      </c>
      <c r="T7149" t="str">
        <f t="shared" si="2921"/>
        <v>10.20.8.188</v>
      </c>
      <c r="U7149" t="str">
        <f t="shared" si="2909"/>
        <v>AZRAD UMAR BIN SHAARI</v>
      </c>
      <c r="V7149" t="str">
        <f t="shared" si="2910"/>
        <v>FARHANA BINTI MUSTAPA</v>
      </c>
      <c r="W7149" t="str">
        <f t="shared" si="2911"/>
        <v>04-08-2020</v>
      </c>
      <c r="X7149" t="str">
        <f t="shared" si="2912"/>
        <v>RAZIMAH ANSAR AHMAD</v>
      </c>
      <c r="Y7149" t="str">
        <f t="shared" si="2913"/>
        <v>04-08-2020</v>
      </c>
      <c r="Z7149" t="str">
        <f>"COS10200804 2005"</f>
        <v>COS10200804 2005</v>
      </c>
    </row>
    <row r="7150" spans="1:26" x14ac:dyDescent="0.25">
      <c r="A7150" t="str">
        <f t="shared" si="2922"/>
        <v>04-08-2020 12:36:35</v>
      </c>
      <c r="B7150" t="str">
        <f>"0000803762"</f>
        <v>0000803762</v>
      </c>
      <c r="C7150" t="str">
        <f t="shared" si="2923"/>
        <v>0000803758</v>
      </c>
      <c r="D7150" t="str">
        <f t="shared" si="2903"/>
        <v>73185</v>
      </c>
      <c r="E7150" t="str">
        <f t="shared" si="2904"/>
        <v>KFH-OPERATIONS DEPARTMENT</v>
      </c>
      <c r="F7150" t="str">
        <f t="shared" si="2905"/>
        <v>IBG</v>
      </c>
      <c r="G7150" t="str">
        <f t="shared" si="2916"/>
        <v>Refund COSHARE 10</v>
      </c>
      <c r="H7150" s="2">
        <v>69</v>
      </c>
      <c r="I7150" t="str">
        <f>"SALI BIN HAJI SIRAT"</f>
        <v>SALI BIN HAJI SIRAT</v>
      </c>
      <c r="J7150" t="str">
        <f t="shared" si="2917"/>
        <v>BANK SIMPANAN NASIONAL</v>
      </c>
      <c r="K7150" t="str">
        <f>"1310029883012753"</f>
        <v>1310029883012753</v>
      </c>
      <c r="L7150" t="str">
        <f t="shared" si="2924"/>
        <v>04-08-2020</v>
      </c>
      <c r="M7150" t="str">
        <f t="shared" si="2924"/>
        <v>04-08-2020</v>
      </c>
      <c r="N7150" t="str">
        <f t="shared" si="2906"/>
        <v>001105018356</v>
      </c>
      <c r="O7150" t="str">
        <f t="shared" si="2907"/>
        <v>MYR</v>
      </c>
      <c r="P7150" t="str">
        <f t="shared" si="2925"/>
        <v>NIL</v>
      </c>
      <c r="Q7150" t="str">
        <f t="shared" si="2925"/>
        <v>NIL</v>
      </c>
      <c r="R7150" t="str">
        <f t="shared" si="2920"/>
        <v>Accepted</v>
      </c>
      <c r="S7150" t="str">
        <f t="shared" si="2908"/>
        <v>Approved</v>
      </c>
      <c r="T7150" t="str">
        <f t="shared" si="2921"/>
        <v>10.20.8.188</v>
      </c>
      <c r="U7150" t="str">
        <f t="shared" si="2909"/>
        <v>AZRAD UMAR BIN SHAARI</v>
      </c>
      <c r="V7150" t="str">
        <f t="shared" si="2910"/>
        <v>FARHANA BINTI MUSTAPA</v>
      </c>
      <c r="W7150" t="str">
        <f t="shared" si="2911"/>
        <v>04-08-2020</v>
      </c>
      <c r="X7150" t="str">
        <f t="shared" si="2912"/>
        <v>RAZIMAH ANSAR AHMAD</v>
      </c>
      <c r="Y7150" t="str">
        <f t="shared" si="2913"/>
        <v>04-08-2020</v>
      </c>
      <c r="Z7150" t="str">
        <f>"COS10200804 2004"</f>
        <v>COS10200804 2004</v>
      </c>
    </row>
    <row r="7151" spans="1:26" x14ac:dyDescent="0.25">
      <c r="A7151" t="str">
        <f t="shared" si="2922"/>
        <v>04-08-2020 12:36:35</v>
      </c>
      <c r="B7151" t="str">
        <f>"0000803761"</f>
        <v>0000803761</v>
      </c>
      <c r="C7151" t="str">
        <f t="shared" si="2923"/>
        <v>0000803758</v>
      </c>
      <c r="D7151" t="str">
        <f t="shared" si="2903"/>
        <v>73185</v>
      </c>
      <c r="E7151" t="str">
        <f t="shared" si="2904"/>
        <v>KFH-OPERATIONS DEPARTMENT</v>
      </c>
      <c r="F7151" t="str">
        <f t="shared" si="2905"/>
        <v>IBG</v>
      </c>
      <c r="G7151" t="str">
        <f t="shared" si="2916"/>
        <v>Refund COSHARE 10</v>
      </c>
      <c r="H7151" s="2">
        <v>180</v>
      </c>
      <c r="I7151" t="str">
        <f>"SAINAU BINTI MAJAMBOR"</f>
        <v>SAINAU BINTI MAJAMBOR</v>
      </c>
      <c r="J7151" t="str">
        <f t="shared" si="2917"/>
        <v>BANK SIMPANAN NASIONAL</v>
      </c>
      <c r="K7151" t="str">
        <f>"1211829000195345"</f>
        <v>1211829000195345</v>
      </c>
      <c r="L7151" t="str">
        <f t="shared" si="2924"/>
        <v>04-08-2020</v>
      </c>
      <c r="M7151" t="str">
        <f t="shared" si="2924"/>
        <v>04-08-2020</v>
      </c>
      <c r="N7151" t="str">
        <f t="shared" si="2906"/>
        <v>001105018356</v>
      </c>
      <c r="O7151" t="str">
        <f t="shared" si="2907"/>
        <v>MYR</v>
      </c>
      <c r="P7151" t="str">
        <f t="shared" si="2925"/>
        <v>NIL</v>
      </c>
      <c r="Q7151" t="str">
        <f t="shared" si="2925"/>
        <v>NIL</v>
      </c>
      <c r="R7151" t="str">
        <f t="shared" si="2920"/>
        <v>Accepted</v>
      </c>
      <c r="S7151" t="str">
        <f t="shared" si="2908"/>
        <v>Approved</v>
      </c>
      <c r="T7151" t="str">
        <f t="shared" si="2921"/>
        <v>10.20.8.188</v>
      </c>
      <c r="U7151" t="str">
        <f t="shared" si="2909"/>
        <v>AZRAD UMAR BIN SHAARI</v>
      </c>
      <c r="V7151" t="str">
        <f t="shared" si="2910"/>
        <v>FARHANA BINTI MUSTAPA</v>
      </c>
      <c r="W7151" t="str">
        <f t="shared" si="2911"/>
        <v>04-08-2020</v>
      </c>
      <c r="X7151" t="str">
        <f t="shared" si="2912"/>
        <v>RAZIMAH ANSAR AHMAD</v>
      </c>
      <c r="Y7151" t="str">
        <f t="shared" si="2913"/>
        <v>04-08-2020</v>
      </c>
      <c r="Z7151" t="str">
        <f>"COS10200804 2003"</f>
        <v>COS10200804 2003</v>
      </c>
    </row>
    <row r="7152" spans="1:26" x14ac:dyDescent="0.25">
      <c r="A7152" t="str">
        <f t="shared" si="2922"/>
        <v>04-08-2020 12:36:35</v>
      </c>
      <c r="B7152" t="str">
        <f>"0000803760"</f>
        <v>0000803760</v>
      </c>
      <c r="C7152" t="str">
        <f t="shared" si="2923"/>
        <v>0000803758</v>
      </c>
      <c r="D7152" t="str">
        <f t="shared" si="2903"/>
        <v>73185</v>
      </c>
      <c r="E7152" t="str">
        <f t="shared" si="2904"/>
        <v>KFH-OPERATIONS DEPARTMENT</v>
      </c>
      <c r="F7152" t="str">
        <f t="shared" si="2905"/>
        <v>IBG</v>
      </c>
      <c r="G7152" t="str">
        <f t="shared" si="2916"/>
        <v>Refund COSHARE 10</v>
      </c>
      <c r="H7152" s="2">
        <v>1150.1500000000001</v>
      </c>
      <c r="I7152" t="str">
        <f>"SAIFURA BINTI RAZALI"</f>
        <v>SAIFURA BINTI RAZALI</v>
      </c>
      <c r="J7152" t="str">
        <f t="shared" si="2917"/>
        <v>BANK SIMPANAN NASIONAL</v>
      </c>
      <c r="K7152" t="str">
        <f>"0611529000021683"</f>
        <v>0611529000021683</v>
      </c>
      <c r="L7152" t="str">
        <f t="shared" si="2924"/>
        <v>04-08-2020</v>
      </c>
      <c r="M7152" t="str">
        <f t="shared" si="2924"/>
        <v>04-08-2020</v>
      </c>
      <c r="N7152" t="str">
        <f t="shared" si="2906"/>
        <v>001105018356</v>
      </c>
      <c r="O7152" t="str">
        <f t="shared" si="2907"/>
        <v>MYR</v>
      </c>
      <c r="P7152" t="str">
        <f t="shared" si="2925"/>
        <v>NIL</v>
      </c>
      <c r="Q7152" t="str">
        <f t="shared" si="2925"/>
        <v>NIL</v>
      </c>
      <c r="R7152" t="str">
        <f t="shared" si="2920"/>
        <v>Accepted</v>
      </c>
      <c r="S7152" t="str">
        <f t="shared" si="2908"/>
        <v>Approved</v>
      </c>
      <c r="T7152" t="str">
        <f t="shared" si="2921"/>
        <v>10.20.8.188</v>
      </c>
      <c r="U7152" t="str">
        <f t="shared" si="2909"/>
        <v>AZRAD UMAR BIN SHAARI</v>
      </c>
      <c r="V7152" t="str">
        <f t="shared" si="2910"/>
        <v>FARHANA BINTI MUSTAPA</v>
      </c>
      <c r="W7152" t="str">
        <f t="shared" si="2911"/>
        <v>04-08-2020</v>
      </c>
      <c r="X7152" t="str">
        <f t="shared" si="2912"/>
        <v>RAZIMAH ANSAR AHMAD</v>
      </c>
      <c r="Y7152" t="str">
        <f t="shared" si="2913"/>
        <v>04-08-2020</v>
      </c>
      <c r="Z7152" t="str">
        <f>"COS10200804 2002"</f>
        <v>COS10200804 2002</v>
      </c>
    </row>
    <row r="7153" spans="1:26" x14ac:dyDescent="0.25">
      <c r="A7153" t="str">
        <f t="shared" si="2922"/>
        <v>04-08-2020 12:36:35</v>
      </c>
      <c r="B7153" t="str">
        <f>"0000803759"</f>
        <v>0000803759</v>
      </c>
      <c r="C7153" t="str">
        <f t="shared" si="2923"/>
        <v>0000803758</v>
      </c>
      <c r="D7153" t="str">
        <f t="shared" si="2903"/>
        <v>73185</v>
      </c>
      <c r="E7153" t="str">
        <f t="shared" si="2904"/>
        <v>KFH-OPERATIONS DEPARTMENT</v>
      </c>
      <c r="F7153" t="str">
        <f t="shared" si="2905"/>
        <v>IBG</v>
      </c>
      <c r="G7153" t="str">
        <f t="shared" si="2916"/>
        <v>Refund COSHARE 10</v>
      </c>
      <c r="H7153" s="2">
        <v>191</v>
      </c>
      <c r="I7153" t="str">
        <f>"SAIFULLIZAM BIN MD YUSOF"</f>
        <v>SAIFULLIZAM BIN MD YUSOF</v>
      </c>
      <c r="J7153" t="str">
        <f t="shared" si="2917"/>
        <v>BANK SIMPANAN NASIONAL</v>
      </c>
      <c r="K7153" t="str">
        <f>"0120029875590136"</f>
        <v>0120029875590136</v>
      </c>
      <c r="L7153" t="str">
        <f t="shared" si="2924"/>
        <v>04-08-2020</v>
      </c>
      <c r="M7153" t="str">
        <f t="shared" si="2924"/>
        <v>04-08-2020</v>
      </c>
      <c r="N7153" t="str">
        <f t="shared" si="2906"/>
        <v>001105018356</v>
      </c>
      <c r="O7153" t="str">
        <f t="shared" si="2907"/>
        <v>MYR</v>
      </c>
      <c r="P7153" t="str">
        <f t="shared" si="2925"/>
        <v>NIL</v>
      </c>
      <c r="Q7153" t="str">
        <f t="shared" si="2925"/>
        <v>NIL</v>
      </c>
      <c r="R7153" t="str">
        <f t="shared" si="2920"/>
        <v>Accepted</v>
      </c>
      <c r="S7153" t="str">
        <f t="shared" si="2908"/>
        <v>Approved</v>
      </c>
      <c r="T7153" t="str">
        <f t="shared" si="2921"/>
        <v>10.20.8.188</v>
      </c>
      <c r="U7153" t="str">
        <f t="shared" si="2909"/>
        <v>AZRAD UMAR BIN SHAARI</v>
      </c>
      <c r="V7153" t="str">
        <f t="shared" si="2910"/>
        <v>FARHANA BINTI MUSTAPA</v>
      </c>
      <c r="W7153" t="str">
        <f t="shared" si="2911"/>
        <v>04-08-2020</v>
      </c>
      <c r="X7153" t="str">
        <f t="shared" si="2912"/>
        <v>RAZIMAH ANSAR AHMAD</v>
      </c>
      <c r="Y7153" t="str">
        <f t="shared" si="2913"/>
        <v>04-08-2020</v>
      </c>
      <c r="Z7153" t="str">
        <f>"COS10200804 2001"</f>
        <v>COS10200804 2001</v>
      </c>
    </row>
    <row r="7154" spans="1:26" x14ac:dyDescent="0.25">
      <c r="A7154" t="str">
        <f t="shared" ref="A7154:A7185" si="2926">"04-08-2020 12:35:42"</f>
        <v>04-08-2020 12:35:42</v>
      </c>
      <c r="B7154" t="str">
        <f>"0000803756"</f>
        <v>0000803756</v>
      </c>
      <c r="C7154" t="str">
        <f t="shared" ref="C7154:C7185" si="2927">"0000803555"</f>
        <v>0000803555</v>
      </c>
      <c r="D7154" t="str">
        <f t="shared" si="2903"/>
        <v>73185</v>
      </c>
      <c r="E7154" t="str">
        <f t="shared" si="2904"/>
        <v>KFH-OPERATIONS DEPARTMENT</v>
      </c>
      <c r="F7154" t="str">
        <f t="shared" si="2905"/>
        <v>IBG</v>
      </c>
      <c r="G7154" t="str">
        <f t="shared" si="2916"/>
        <v>Refund COSHARE 10</v>
      </c>
      <c r="H7154" s="2">
        <v>732</v>
      </c>
      <c r="I7154" t="str">
        <f>"SAIFUL BAHARI BIN KAMARUDDIN"</f>
        <v>SAIFUL BAHARI BIN KAMARUDDIN</v>
      </c>
      <c r="J7154" t="str">
        <f t="shared" si="2917"/>
        <v>BANK SIMPANAN NASIONAL</v>
      </c>
      <c r="K7154" t="str">
        <f>"0510029841710847"</f>
        <v>0510029841710847</v>
      </c>
      <c r="L7154" t="str">
        <f t="shared" si="2924"/>
        <v>04-08-2020</v>
      </c>
      <c r="M7154" t="str">
        <f t="shared" si="2924"/>
        <v>04-08-2020</v>
      </c>
      <c r="N7154" t="str">
        <f t="shared" si="2906"/>
        <v>001105018356</v>
      </c>
      <c r="O7154" t="str">
        <f t="shared" si="2907"/>
        <v>MYR</v>
      </c>
      <c r="P7154" t="str">
        <f t="shared" si="2925"/>
        <v>NIL</v>
      </c>
      <c r="Q7154" t="str">
        <f t="shared" si="2925"/>
        <v>NIL</v>
      </c>
      <c r="R7154" t="str">
        <f t="shared" si="2920"/>
        <v>Accepted</v>
      </c>
      <c r="S7154" t="str">
        <f t="shared" si="2908"/>
        <v>Approved</v>
      </c>
      <c r="T7154" t="str">
        <f t="shared" si="2921"/>
        <v>10.20.8.188</v>
      </c>
      <c r="U7154" t="str">
        <f t="shared" si="2909"/>
        <v>AZRAD UMAR BIN SHAARI</v>
      </c>
      <c r="V7154" t="str">
        <f t="shared" si="2910"/>
        <v>FARHANA BINTI MUSTAPA</v>
      </c>
      <c r="W7154" t="str">
        <f t="shared" si="2911"/>
        <v>04-08-2020</v>
      </c>
      <c r="X7154" t="str">
        <f t="shared" si="2912"/>
        <v>RAZIMAH ANSAR AHMAD</v>
      </c>
      <c r="Y7154" t="str">
        <f t="shared" si="2913"/>
        <v>04-08-2020</v>
      </c>
      <c r="Z7154" t="str">
        <f>"COS10200804 2000"</f>
        <v>COS10200804 2000</v>
      </c>
    </row>
    <row r="7155" spans="1:26" x14ac:dyDescent="0.25">
      <c r="A7155" t="str">
        <f t="shared" si="2926"/>
        <v>04-08-2020 12:35:42</v>
      </c>
      <c r="B7155" t="str">
        <f>"0000803755"</f>
        <v>0000803755</v>
      </c>
      <c r="C7155" t="str">
        <f t="shared" si="2927"/>
        <v>0000803555</v>
      </c>
      <c r="D7155" t="str">
        <f t="shared" si="2903"/>
        <v>73185</v>
      </c>
      <c r="E7155" t="str">
        <f t="shared" si="2904"/>
        <v>KFH-OPERATIONS DEPARTMENT</v>
      </c>
      <c r="F7155" t="str">
        <f t="shared" si="2905"/>
        <v>IBG</v>
      </c>
      <c r="G7155" t="str">
        <f t="shared" si="2916"/>
        <v>Refund COSHARE 10</v>
      </c>
      <c r="H7155" s="2">
        <v>361</v>
      </c>
      <c r="I7155" t="str">
        <f>"SAHRULNIZAM BIN MISRAN"</f>
        <v>SAHRULNIZAM BIN MISRAN</v>
      </c>
      <c r="J7155" t="str">
        <f t="shared" si="2917"/>
        <v>BANK SIMPANAN NASIONAL</v>
      </c>
      <c r="K7155" t="str">
        <f>"0112229000039725"</f>
        <v>0112229000039725</v>
      </c>
      <c r="L7155" t="str">
        <f t="shared" si="2924"/>
        <v>04-08-2020</v>
      </c>
      <c r="M7155" t="str">
        <f t="shared" si="2924"/>
        <v>04-08-2020</v>
      </c>
      <c r="N7155" t="str">
        <f t="shared" si="2906"/>
        <v>001105018356</v>
      </c>
      <c r="O7155" t="str">
        <f t="shared" si="2907"/>
        <v>MYR</v>
      </c>
      <c r="P7155" t="str">
        <f t="shared" si="2925"/>
        <v>NIL</v>
      </c>
      <c r="Q7155" t="str">
        <f t="shared" si="2925"/>
        <v>NIL</v>
      </c>
      <c r="R7155" t="str">
        <f t="shared" si="2920"/>
        <v>Accepted</v>
      </c>
      <c r="S7155" t="str">
        <f t="shared" si="2908"/>
        <v>Approved</v>
      </c>
      <c r="T7155" t="str">
        <f t="shared" si="2921"/>
        <v>10.20.8.188</v>
      </c>
      <c r="U7155" t="str">
        <f t="shared" si="2909"/>
        <v>AZRAD UMAR BIN SHAARI</v>
      </c>
      <c r="V7155" t="str">
        <f t="shared" si="2910"/>
        <v>FARHANA BINTI MUSTAPA</v>
      </c>
      <c r="W7155" t="str">
        <f t="shared" si="2911"/>
        <v>04-08-2020</v>
      </c>
      <c r="X7155" t="str">
        <f t="shared" si="2912"/>
        <v>RAZIMAH ANSAR AHMAD</v>
      </c>
      <c r="Y7155" t="str">
        <f t="shared" si="2913"/>
        <v>04-08-2020</v>
      </c>
      <c r="Z7155" t="str">
        <f>"COS10200804 1999"</f>
        <v>COS10200804 1999</v>
      </c>
    </row>
    <row r="7156" spans="1:26" x14ac:dyDescent="0.25">
      <c r="A7156" t="str">
        <f t="shared" si="2926"/>
        <v>04-08-2020 12:35:42</v>
      </c>
      <c r="B7156" t="str">
        <f>"0000803754"</f>
        <v>0000803754</v>
      </c>
      <c r="C7156" t="str">
        <f t="shared" si="2927"/>
        <v>0000803555</v>
      </c>
      <c r="D7156" t="str">
        <f t="shared" si="2903"/>
        <v>73185</v>
      </c>
      <c r="E7156" t="str">
        <f t="shared" si="2904"/>
        <v>KFH-OPERATIONS DEPARTMENT</v>
      </c>
      <c r="F7156" t="str">
        <f t="shared" si="2905"/>
        <v>IBG</v>
      </c>
      <c r="G7156" t="str">
        <f t="shared" si="2916"/>
        <v>Refund COSHARE 10</v>
      </c>
      <c r="H7156" s="2">
        <v>867</v>
      </c>
      <c r="I7156" t="str">
        <f>"SAHIDAN BIN AWANG KECHIL"</f>
        <v>SAHIDAN BIN AWANG KECHIL</v>
      </c>
      <c r="J7156" t="str">
        <f t="shared" si="2917"/>
        <v>BANK SIMPANAN NASIONAL</v>
      </c>
      <c r="K7156" t="str">
        <f>"1420029831594832"</f>
        <v>1420029831594832</v>
      </c>
      <c r="L7156" t="str">
        <f t="shared" si="2924"/>
        <v>04-08-2020</v>
      </c>
      <c r="M7156" t="str">
        <f t="shared" si="2924"/>
        <v>04-08-2020</v>
      </c>
      <c r="N7156" t="str">
        <f t="shared" si="2906"/>
        <v>001105018356</v>
      </c>
      <c r="O7156" t="str">
        <f t="shared" si="2907"/>
        <v>MYR</v>
      </c>
      <c r="P7156" t="str">
        <f t="shared" si="2925"/>
        <v>NIL</v>
      </c>
      <c r="Q7156" t="str">
        <f t="shared" si="2925"/>
        <v>NIL</v>
      </c>
      <c r="R7156" t="str">
        <f t="shared" si="2920"/>
        <v>Accepted</v>
      </c>
      <c r="S7156" t="str">
        <f t="shared" si="2908"/>
        <v>Approved</v>
      </c>
      <c r="T7156" t="str">
        <f t="shared" si="2921"/>
        <v>10.20.8.188</v>
      </c>
      <c r="U7156" t="str">
        <f t="shared" si="2909"/>
        <v>AZRAD UMAR BIN SHAARI</v>
      </c>
      <c r="V7156" t="str">
        <f t="shared" si="2910"/>
        <v>FARHANA BINTI MUSTAPA</v>
      </c>
      <c r="W7156" t="str">
        <f t="shared" si="2911"/>
        <v>04-08-2020</v>
      </c>
      <c r="X7156" t="str">
        <f t="shared" si="2912"/>
        <v>RAZIMAH ANSAR AHMAD</v>
      </c>
      <c r="Y7156" t="str">
        <f t="shared" si="2913"/>
        <v>04-08-2020</v>
      </c>
      <c r="Z7156" t="str">
        <f>"COS10200804 1998"</f>
        <v>COS10200804 1998</v>
      </c>
    </row>
    <row r="7157" spans="1:26" x14ac:dyDescent="0.25">
      <c r="A7157" t="str">
        <f t="shared" si="2926"/>
        <v>04-08-2020 12:35:42</v>
      </c>
      <c r="B7157" t="str">
        <f>"0000803753"</f>
        <v>0000803753</v>
      </c>
      <c r="C7157" t="str">
        <f t="shared" si="2927"/>
        <v>0000803555</v>
      </c>
      <c r="D7157" t="str">
        <f t="shared" si="2903"/>
        <v>73185</v>
      </c>
      <c r="E7157" t="str">
        <f t="shared" si="2904"/>
        <v>KFH-OPERATIONS DEPARTMENT</v>
      </c>
      <c r="F7157" t="str">
        <f t="shared" si="2905"/>
        <v>IBG</v>
      </c>
      <c r="G7157" t="str">
        <f t="shared" si="2916"/>
        <v>Refund COSHARE 10</v>
      </c>
      <c r="H7157" s="2">
        <v>441</v>
      </c>
      <c r="I7157" t="str">
        <f>"SAFINAR BINTI JAAFAR"</f>
        <v>SAFINAR BINTI JAAFAR</v>
      </c>
      <c r="J7157" t="str">
        <f t="shared" si="2917"/>
        <v>BANK SIMPANAN NASIONAL</v>
      </c>
      <c r="K7157" t="str">
        <f>"0210029888607926"</f>
        <v>0210029888607926</v>
      </c>
      <c r="L7157" t="str">
        <f t="shared" si="2924"/>
        <v>04-08-2020</v>
      </c>
      <c r="M7157" t="str">
        <f t="shared" si="2924"/>
        <v>04-08-2020</v>
      </c>
      <c r="N7157" t="str">
        <f t="shared" si="2906"/>
        <v>001105018356</v>
      </c>
      <c r="O7157" t="str">
        <f t="shared" si="2907"/>
        <v>MYR</v>
      </c>
      <c r="P7157" t="str">
        <f t="shared" si="2925"/>
        <v>NIL</v>
      </c>
      <c r="Q7157" t="str">
        <f t="shared" si="2925"/>
        <v>NIL</v>
      </c>
      <c r="R7157" t="str">
        <f t="shared" si="2920"/>
        <v>Accepted</v>
      </c>
      <c r="S7157" t="str">
        <f t="shared" si="2908"/>
        <v>Approved</v>
      </c>
      <c r="T7157" t="str">
        <f t="shared" si="2921"/>
        <v>10.20.8.188</v>
      </c>
      <c r="U7157" t="str">
        <f t="shared" si="2909"/>
        <v>AZRAD UMAR BIN SHAARI</v>
      </c>
      <c r="V7157" t="str">
        <f t="shared" si="2910"/>
        <v>FARHANA BINTI MUSTAPA</v>
      </c>
      <c r="W7157" t="str">
        <f t="shared" si="2911"/>
        <v>04-08-2020</v>
      </c>
      <c r="X7157" t="str">
        <f t="shared" si="2912"/>
        <v>RAZIMAH ANSAR AHMAD</v>
      </c>
      <c r="Y7157" t="str">
        <f t="shared" si="2913"/>
        <v>04-08-2020</v>
      </c>
      <c r="Z7157" t="str">
        <f>"COS10200804 1997"</f>
        <v>COS10200804 1997</v>
      </c>
    </row>
    <row r="7158" spans="1:26" x14ac:dyDescent="0.25">
      <c r="A7158" t="str">
        <f t="shared" si="2926"/>
        <v>04-08-2020 12:35:42</v>
      </c>
      <c r="B7158" t="str">
        <f>"0000803752"</f>
        <v>0000803752</v>
      </c>
      <c r="C7158" t="str">
        <f t="shared" si="2927"/>
        <v>0000803555</v>
      </c>
      <c r="D7158" t="str">
        <f t="shared" si="2903"/>
        <v>73185</v>
      </c>
      <c r="E7158" t="str">
        <f t="shared" si="2904"/>
        <v>KFH-OPERATIONS DEPARTMENT</v>
      </c>
      <c r="F7158" t="str">
        <f t="shared" si="2905"/>
        <v>IBG</v>
      </c>
      <c r="G7158" t="str">
        <f t="shared" si="2916"/>
        <v>Refund COSHARE 10</v>
      </c>
      <c r="H7158" s="2">
        <v>65</v>
      </c>
      <c r="I7158" t="str">
        <f>"SAFIE BIN MENTALI"</f>
        <v>SAFIE BIN MENTALI</v>
      </c>
      <c r="J7158" t="str">
        <f t="shared" si="2917"/>
        <v>BANK SIMPANAN NASIONAL</v>
      </c>
      <c r="K7158" t="str">
        <f>"1311529000055445"</f>
        <v>1311529000055445</v>
      </c>
      <c r="L7158" t="str">
        <f t="shared" si="2924"/>
        <v>04-08-2020</v>
      </c>
      <c r="M7158" t="str">
        <f t="shared" si="2924"/>
        <v>04-08-2020</v>
      </c>
      <c r="N7158" t="str">
        <f t="shared" si="2906"/>
        <v>001105018356</v>
      </c>
      <c r="O7158" t="str">
        <f t="shared" si="2907"/>
        <v>MYR</v>
      </c>
      <c r="P7158" t="str">
        <f t="shared" si="2925"/>
        <v>NIL</v>
      </c>
      <c r="Q7158" t="str">
        <f t="shared" si="2925"/>
        <v>NIL</v>
      </c>
      <c r="R7158" t="str">
        <f t="shared" si="2920"/>
        <v>Accepted</v>
      </c>
      <c r="S7158" t="str">
        <f t="shared" si="2908"/>
        <v>Approved</v>
      </c>
      <c r="T7158" t="str">
        <f t="shared" si="2921"/>
        <v>10.20.8.188</v>
      </c>
      <c r="U7158" t="str">
        <f t="shared" si="2909"/>
        <v>AZRAD UMAR BIN SHAARI</v>
      </c>
      <c r="V7158" t="str">
        <f t="shared" si="2910"/>
        <v>FARHANA BINTI MUSTAPA</v>
      </c>
      <c r="W7158" t="str">
        <f t="shared" si="2911"/>
        <v>04-08-2020</v>
      </c>
      <c r="X7158" t="str">
        <f t="shared" si="2912"/>
        <v>RAZIMAH ANSAR AHMAD</v>
      </c>
      <c r="Y7158" t="str">
        <f t="shared" si="2913"/>
        <v>04-08-2020</v>
      </c>
      <c r="Z7158" t="str">
        <f>"COS10200804 1996"</f>
        <v>COS10200804 1996</v>
      </c>
    </row>
    <row r="7159" spans="1:26" x14ac:dyDescent="0.25">
      <c r="A7159" t="str">
        <f t="shared" si="2926"/>
        <v>04-08-2020 12:35:42</v>
      </c>
      <c r="B7159" t="str">
        <f>"0000803751"</f>
        <v>0000803751</v>
      </c>
      <c r="C7159" t="str">
        <f t="shared" si="2927"/>
        <v>0000803555</v>
      </c>
      <c r="D7159" t="str">
        <f t="shared" si="2903"/>
        <v>73185</v>
      </c>
      <c r="E7159" t="str">
        <f t="shared" si="2904"/>
        <v>KFH-OPERATIONS DEPARTMENT</v>
      </c>
      <c r="F7159" t="str">
        <f t="shared" si="2905"/>
        <v>IBG</v>
      </c>
      <c r="G7159" t="str">
        <f t="shared" si="2916"/>
        <v>Refund COSHARE 10</v>
      </c>
      <c r="H7159" s="2">
        <v>1679</v>
      </c>
      <c r="I7159" t="str">
        <f>"S NOOR MAHANI BINTI MOHAMAD  BACHO"</f>
        <v>S NOOR MAHANI BINTI MOHAMAD  BACHO</v>
      </c>
      <c r="J7159" t="str">
        <f t="shared" si="2917"/>
        <v>BANK SIMPANAN NASIONAL</v>
      </c>
      <c r="K7159" t="str">
        <f>"1210029000163890"</f>
        <v>1210029000163890</v>
      </c>
      <c r="L7159" t="str">
        <f t="shared" si="2924"/>
        <v>04-08-2020</v>
      </c>
      <c r="M7159" t="str">
        <f t="shared" si="2924"/>
        <v>04-08-2020</v>
      </c>
      <c r="N7159" t="str">
        <f t="shared" si="2906"/>
        <v>001105018356</v>
      </c>
      <c r="O7159" t="str">
        <f t="shared" si="2907"/>
        <v>MYR</v>
      </c>
      <c r="P7159" t="str">
        <f t="shared" si="2925"/>
        <v>NIL</v>
      </c>
      <c r="Q7159" t="str">
        <f t="shared" si="2925"/>
        <v>NIL</v>
      </c>
      <c r="R7159" t="str">
        <f t="shared" si="2920"/>
        <v>Accepted</v>
      </c>
      <c r="S7159" t="str">
        <f t="shared" si="2908"/>
        <v>Approved</v>
      </c>
      <c r="T7159" t="str">
        <f t="shared" si="2921"/>
        <v>10.20.8.188</v>
      </c>
      <c r="U7159" t="str">
        <f t="shared" si="2909"/>
        <v>AZRAD UMAR BIN SHAARI</v>
      </c>
      <c r="V7159" t="str">
        <f t="shared" si="2910"/>
        <v>FARHANA BINTI MUSTAPA</v>
      </c>
      <c r="W7159" t="str">
        <f t="shared" si="2911"/>
        <v>04-08-2020</v>
      </c>
      <c r="X7159" t="str">
        <f t="shared" si="2912"/>
        <v>RAZIMAH ANSAR AHMAD</v>
      </c>
      <c r="Y7159" t="str">
        <f t="shared" si="2913"/>
        <v>04-08-2020</v>
      </c>
      <c r="Z7159" t="str">
        <f>"COS10200804 1995"</f>
        <v>COS10200804 1995</v>
      </c>
    </row>
    <row r="7160" spans="1:26" x14ac:dyDescent="0.25">
      <c r="A7160" t="str">
        <f t="shared" si="2926"/>
        <v>04-08-2020 12:35:42</v>
      </c>
      <c r="B7160" t="str">
        <f>"0000803750"</f>
        <v>0000803750</v>
      </c>
      <c r="C7160" t="str">
        <f t="shared" si="2927"/>
        <v>0000803555</v>
      </c>
      <c r="D7160" t="str">
        <f t="shared" si="2903"/>
        <v>73185</v>
      </c>
      <c r="E7160" t="str">
        <f t="shared" si="2904"/>
        <v>KFH-OPERATIONS DEPARTMENT</v>
      </c>
      <c r="F7160" t="str">
        <f t="shared" si="2905"/>
        <v>IBG</v>
      </c>
      <c r="G7160" t="str">
        <f t="shared" si="2916"/>
        <v>Refund COSHARE 10</v>
      </c>
      <c r="H7160" s="2">
        <v>587.65</v>
      </c>
      <c r="I7160" t="str">
        <f>"RUSYIENI  WENDY BINTI PAYAH"</f>
        <v>RUSYIENI  WENDY BINTI PAYAH</v>
      </c>
      <c r="J7160" t="str">
        <f t="shared" si="2917"/>
        <v>BANK SIMPANAN NASIONAL</v>
      </c>
      <c r="K7160" t="str">
        <f>"1210341000019393"</f>
        <v>1210341000019393</v>
      </c>
      <c r="L7160" t="str">
        <f t="shared" si="2924"/>
        <v>04-08-2020</v>
      </c>
      <c r="M7160" t="str">
        <f t="shared" si="2924"/>
        <v>04-08-2020</v>
      </c>
      <c r="N7160" t="str">
        <f t="shared" si="2906"/>
        <v>001105018356</v>
      </c>
      <c r="O7160" t="str">
        <f t="shared" si="2907"/>
        <v>MYR</v>
      </c>
      <c r="P7160" t="str">
        <f t="shared" si="2925"/>
        <v>NIL</v>
      </c>
      <c r="Q7160" t="str">
        <f t="shared" si="2925"/>
        <v>NIL</v>
      </c>
      <c r="R7160" t="str">
        <f t="shared" si="2920"/>
        <v>Accepted</v>
      </c>
      <c r="S7160" t="str">
        <f t="shared" si="2908"/>
        <v>Approved</v>
      </c>
      <c r="T7160" t="str">
        <f t="shared" si="2921"/>
        <v>10.20.8.188</v>
      </c>
      <c r="U7160" t="str">
        <f t="shared" si="2909"/>
        <v>AZRAD UMAR BIN SHAARI</v>
      </c>
      <c r="V7160" t="str">
        <f t="shared" si="2910"/>
        <v>FARHANA BINTI MUSTAPA</v>
      </c>
      <c r="W7160" t="str">
        <f t="shared" si="2911"/>
        <v>04-08-2020</v>
      </c>
      <c r="X7160" t="str">
        <f t="shared" si="2912"/>
        <v>RAZIMAH ANSAR AHMAD</v>
      </c>
      <c r="Y7160" t="str">
        <f t="shared" si="2913"/>
        <v>04-08-2020</v>
      </c>
      <c r="Z7160" t="str">
        <f>"COS10200804 1994"</f>
        <v>COS10200804 1994</v>
      </c>
    </row>
    <row r="7161" spans="1:26" x14ac:dyDescent="0.25">
      <c r="A7161" t="str">
        <f t="shared" si="2926"/>
        <v>04-08-2020 12:35:42</v>
      </c>
      <c r="B7161" t="str">
        <f>"0000803749"</f>
        <v>0000803749</v>
      </c>
      <c r="C7161" t="str">
        <f t="shared" si="2927"/>
        <v>0000803555</v>
      </c>
      <c r="D7161" t="str">
        <f t="shared" si="2903"/>
        <v>73185</v>
      </c>
      <c r="E7161" t="str">
        <f t="shared" si="2904"/>
        <v>KFH-OPERATIONS DEPARTMENT</v>
      </c>
      <c r="F7161" t="str">
        <f t="shared" si="2905"/>
        <v>IBG</v>
      </c>
      <c r="G7161" t="str">
        <f t="shared" si="2916"/>
        <v>Refund COSHARE 10</v>
      </c>
      <c r="H7161" s="2">
        <v>1637.8</v>
      </c>
      <c r="I7161" t="str">
        <f>"RUSTAM BIN RAZALI"</f>
        <v>RUSTAM BIN RAZALI</v>
      </c>
      <c r="J7161" t="str">
        <f t="shared" si="2917"/>
        <v>BANK SIMPANAN NASIONAL</v>
      </c>
      <c r="K7161" t="str">
        <f>"1210629835536936"</f>
        <v>1210629835536936</v>
      </c>
      <c r="L7161" t="str">
        <f t="shared" si="2924"/>
        <v>04-08-2020</v>
      </c>
      <c r="M7161" t="str">
        <f t="shared" si="2924"/>
        <v>04-08-2020</v>
      </c>
      <c r="N7161" t="str">
        <f t="shared" si="2906"/>
        <v>001105018356</v>
      </c>
      <c r="O7161" t="str">
        <f t="shared" si="2907"/>
        <v>MYR</v>
      </c>
      <c r="P7161" t="str">
        <f t="shared" si="2925"/>
        <v>NIL</v>
      </c>
      <c r="Q7161" t="str">
        <f t="shared" si="2925"/>
        <v>NIL</v>
      </c>
      <c r="R7161" t="str">
        <f t="shared" si="2920"/>
        <v>Accepted</v>
      </c>
      <c r="S7161" t="str">
        <f t="shared" si="2908"/>
        <v>Approved</v>
      </c>
      <c r="T7161" t="str">
        <f t="shared" si="2921"/>
        <v>10.20.8.188</v>
      </c>
      <c r="U7161" t="str">
        <f t="shared" si="2909"/>
        <v>AZRAD UMAR BIN SHAARI</v>
      </c>
      <c r="V7161" t="str">
        <f t="shared" si="2910"/>
        <v>FARHANA BINTI MUSTAPA</v>
      </c>
      <c r="W7161" t="str">
        <f t="shared" si="2911"/>
        <v>04-08-2020</v>
      </c>
      <c r="X7161" t="str">
        <f t="shared" si="2912"/>
        <v>RAZIMAH ANSAR AHMAD</v>
      </c>
      <c r="Y7161" t="str">
        <f t="shared" si="2913"/>
        <v>04-08-2020</v>
      </c>
      <c r="Z7161" t="str">
        <f>"COS10200804 1993"</f>
        <v>COS10200804 1993</v>
      </c>
    </row>
    <row r="7162" spans="1:26" x14ac:dyDescent="0.25">
      <c r="A7162" t="str">
        <f t="shared" si="2926"/>
        <v>04-08-2020 12:35:42</v>
      </c>
      <c r="B7162" t="str">
        <f>"0000803748"</f>
        <v>0000803748</v>
      </c>
      <c r="C7162" t="str">
        <f t="shared" si="2927"/>
        <v>0000803555</v>
      </c>
      <c r="D7162" t="str">
        <f t="shared" si="2903"/>
        <v>73185</v>
      </c>
      <c r="E7162" t="str">
        <f t="shared" si="2904"/>
        <v>KFH-OPERATIONS DEPARTMENT</v>
      </c>
      <c r="F7162" t="str">
        <f t="shared" si="2905"/>
        <v>IBG</v>
      </c>
      <c r="G7162" t="str">
        <f t="shared" si="2916"/>
        <v>Refund COSHARE 10</v>
      </c>
      <c r="H7162" s="2">
        <v>1507.95</v>
      </c>
      <c r="I7162" t="str">
        <f>"RUSNAH BINTI JOHIMAN  UGAY"</f>
        <v>RUSNAH BINTI JOHIMAN  UGAY</v>
      </c>
      <c r="J7162" t="str">
        <f t="shared" si="2917"/>
        <v>BANK SIMPANAN NASIONAL</v>
      </c>
      <c r="K7162" t="str">
        <f>"1211129853236583"</f>
        <v>1211129853236583</v>
      </c>
      <c r="L7162" t="str">
        <f t="shared" si="2924"/>
        <v>04-08-2020</v>
      </c>
      <c r="M7162" t="str">
        <f t="shared" si="2924"/>
        <v>04-08-2020</v>
      </c>
      <c r="N7162" t="str">
        <f t="shared" si="2906"/>
        <v>001105018356</v>
      </c>
      <c r="O7162" t="str">
        <f t="shared" si="2907"/>
        <v>MYR</v>
      </c>
      <c r="P7162" t="str">
        <f t="shared" si="2925"/>
        <v>NIL</v>
      </c>
      <c r="Q7162" t="str">
        <f t="shared" si="2925"/>
        <v>NIL</v>
      </c>
      <c r="R7162" t="str">
        <f t="shared" si="2920"/>
        <v>Accepted</v>
      </c>
      <c r="S7162" t="str">
        <f t="shared" si="2908"/>
        <v>Approved</v>
      </c>
      <c r="T7162" t="str">
        <f t="shared" si="2921"/>
        <v>10.20.8.188</v>
      </c>
      <c r="U7162" t="str">
        <f t="shared" si="2909"/>
        <v>AZRAD UMAR BIN SHAARI</v>
      </c>
      <c r="V7162" t="str">
        <f t="shared" si="2910"/>
        <v>FARHANA BINTI MUSTAPA</v>
      </c>
      <c r="W7162" t="str">
        <f t="shared" si="2911"/>
        <v>04-08-2020</v>
      </c>
      <c r="X7162" t="str">
        <f t="shared" si="2912"/>
        <v>RAZIMAH ANSAR AHMAD</v>
      </c>
      <c r="Y7162" t="str">
        <f t="shared" si="2913"/>
        <v>04-08-2020</v>
      </c>
      <c r="Z7162" t="str">
        <f>"COS10200804 1992"</f>
        <v>COS10200804 1992</v>
      </c>
    </row>
    <row r="7163" spans="1:26" x14ac:dyDescent="0.25">
      <c r="A7163" t="str">
        <f t="shared" si="2926"/>
        <v>04-08-2020 12:35:42</v>
      </c>
      <c r="B7163" t="str">
        <f>"0000803747"</f>
        <v>0000803747</v>
      </c>
      <c r="C7163" t="str">
        <f t="shared" si="2927"/>
        <v>0000803555</v>
      </c>
      <c r="D7163" t="str">
        <f t="shared" si="2903"/>
        <v>73185</v>
      </c>
      <c r="E7163" t="str">
        <f t="shared" si="2904"/>
        <v>KFH-OPERATIONS DEPARTMENT</v>
      </c>
      <c r="F7163" t="str">
        <f t="shared" si="2905"/>
        <v>IBG</v>
      </c>
      <c r="G7163" t="str">
        <f t="shared" si="2916"/>
        <v>Refund COSHARE 10</v>
      </c>
      <c r="H7163" s="2">
        <v>176.3</v>
      </c>
      <c r="I7163" t="str">
        <f>"RUNGGI TALIB  ROMZY"</f>
        <v>RUNGGI TALIB  ROMZY</v>
      </c>
      <c r="J7163" t="str">
        <f t="shared" si="2917"/>
        <v>BANK SIMPANAN NASIONAL</v>
      </c>
      <c r="K7163" t="str">
        <f>"1210829000040040"</f>
        <v>1210829000040040</v>
      </c>
      <c r="L7163" t="str">
        <f t="shared" si="2924"/>
        <v>04-08-2020</v>
      </c>
      <c r="M7163" t="str">
        <f t="shared" si="2924"/>
        <v>04-08-2020</v>
      </c>
      <c r="N7163" t="str">
        <f t="shared" si="2906"/>
        <v>001105018356</v>
      </c>
      <c r="O7163" t="str">
        <f t="shared" si="2907"/>
        <v>MYR</v>
      </c>
      <c r="P7163" t="str">
        <f t="shared" si="2925"/>
        <v>NIL</v>
      </c>
      <c r="Q7163" t="str">
        <f t="shared" si="2925"/>
        <v>NIL</v>
      </c>
      <c r="R7163" t="str">
        <f t="shared" si="2920"/>
        <v>Accepted</v>
      </c>
      <c r="S7163" t="str">
        <f t="shared" si="2908"/>
        <v>Approved</v>
      </c>
      <c r="T7163" t="str">
        <f t="shared" si="2921"/>
        <v>10.20.8.188</v>
      </c>
      <c r="U7163" t="str">
        <f t="shared" si="2909"/>
        <v>AZRAD UMAR BIN SHAARI</v>
      </c>
      <c r="V7163" t="str">
        <f t="shared" si="2910"/>
        <v>FARHANA BINTI MUSTAPA</v>
      </c>
      <c r="W7163" t="str">
        <f t="shared" si="2911"/>
        <v>04-08-2020</v>
      </c>
      <c r="X7163" t="str">
        <f t="shared" si="2912"/>
        <v>RAZIMAH ANSAR AHMAD</v>
      </c>
      <c r="Y7163" t="str">
        <f t="shared" si="2913"/>
        <v>04-08-2020</v>
      </c>
      <c r="Z7163" t="str">
        <f>"COS10200804 1991"</f>
        <v>COS10200804 1991</v>
      </c>
    </row>
    <row r="7164" spans="1:26" x14ac:dyDescent="0.25">
      <c r="A7164" t="str">
        <f t="shared" si="2926"/>
        <v>04-08-2020 12:35:42</v>
      </c>
      <c r="B7164" t="str">
        <f>"0000803746"</f>
        <v>0000803746</v>
      </c>
      <c r="C7164" t="str">
        <f t="shared" si="2927"/>
        <v>0000803555</v>
      </c>
      <c r="D7164" t="str">
        <f t="shared" si="2903"/>
        <v>73185</v>
      </c>
      <c r="E7164" t="str">
        <f t="shared" si="2904"/>
        <v>KFH-OPERATIONS DEPARTMENT</v>
      </c>
      <c r="F7164" t="str">
        <f t="shared" si="2905"/>
        <v>IBG</v>
      </c>
      <c r="G7164" t="str">
        <f t="shared" si="2916"/>
        <v>Refund COSHARE 10</v>
      </c>
      <c r="H7164" s="2">
        <v>68.8</v>
      </c>
      <c r="I7164" t="str">
        <f>"RUKINAH BINTI KARIM"</f>
        <v>RUKINAH BINTI KARIM</v>
      </c>
      <c r="J7164" t="str">
        <f t="shared" si="2917"/>
        <v>BANK SIMPANAN NASIONAL</v>
      </c>
      <c r="K7164" t="str">
        <f>"1210829858107435"</f>
        <v>1210829858107435</v>
      </c>
      <c r="L7164" t="str">
        <f t="shared" si="2924"/>
        <v>04-08-2020</v>
      </c>
      <c r="M7164" t="str">
        <f t="shared" si="2924"/>
        <v>04-08-2020</v>
      </c>
      <c r="N7164" t="str">
        <f t="shared" si="2906"/>
        <v>001105018356</v>
      </c>
      <c r="O7164" t="str">
        <f t="shared" si="2907"/>
        <v>MYR</v>
      </c>
      <c r="P7164" t="str">
        <f t="shared" si="2925"/>
        <v>NIL</v>
      </c>
      <c r="Q7164" t="str">
        <f t="shared" si="2925"/>
        <v>NIL</v>
      </c>
      <c r="R7164" t="str">
        <f t="shared" si="2920"/>
        <v>Accepted</v>
      </c>
      <c r="S7164" t="str">
        <f t="shared" si="2908"/>
        <v>Approved</v>
      </c>
      <c r="T7164" t="str">
        <f t="shared" si="2921"/>
        <v>10.20.8.188</v>
      </c>
      <c r="U7164" t="str">
        <f t="shared" si="2909"/>
        <v>AZRAD UMAR BIN SHAARI</v>
      </c>
      <c r="V7164" t="str">
        <f t="shared" si="2910"/>
        <v>FARHANA BINTI MUSTAPA</v>
      </c>
      <c r="W7164" t="str">
        <f t="shared" si="2911"/>
        <v>04-08-2020</v>
      </c>
      <c r="X7164" t="str">
        <f t="shared" si="2912"/>
        <v>RAZIMAH ANSAR AHMAD</v>
      </c>
      <c r="Y7164" t="str">
        <f t="shared" si="2913"/>
        <v>04-08-2020</v>
      </c>
      <c r="Z7164" t="str">
        <f>"COS10200804 1990"</f>
        <v>COS10200804 1990</v>
      </c>
    </row>
    <row r="7165" spans="1:26" x14ac:dyDescent="0.25">
      <c r="A7165" t="str">
        <f t="shared" si="2926"/>
        <v>04-08-2020 12:35:42</v>
      </c>
      <c r="B7165" t="str">
        <f>"0000803745"</f>
        <v>0000803745</v>
      </c>
      <c r="C7165" t="str">
        <f t="shared" si="2927"/>
        <v>0000803555</v>
      </c>
      <c r="D7165" t="str">
        <f t="shared" si="2903"/>
        <v>73185</v>
      </c>
      <c r="E7165" t="str">
        <f t="shared" si="2904"/>
        <v>KFH-OPERATIONS DEPARTMENT</v>
      </c>
      <c r="F7165" t="str">
        <f t="shared" si="2905"/>
        <v>IBG</v>
      </c>
      <c r="G7165" t="str">
        <f t="shared" si="2916"/>
        <v>Refund COSHARE 10</v>
      </c>
      <c r="H7165" s="2">
        <v>533.15</v>
      </c>
      <c r="I7165" t="str">
        <f>"RUKAYAH BINTI OJAS"</f>
        <v>RUKAYAH BINTI OJAS</v>
      </c>
      <c r="J7165" t="str">
        <f t="shared" si="2917"/>
        <v>BANK SIMPANAN NASIONAL</v>
      </c>
      <c r="K7165" t="str">
        <f>"1210029862964763"</f>
        <v>1210029862964763</v>
      </c>
      <c r="L7165" t="str">
        <f t="shared" si="2924"/>
        <v>04-08-2020</v>
      </c>
      <c r="M7165" t="str">
        <f t="shared" si="2924"/>
        <v>04-08-2020</v>
      </c>
      <c r="N7165" t="str">
        <f t="shared" si="2906"/>
        <v>001105018356</v>
      </c>
      <c r="O7165" t="str">
        <f t="shared" si="2907"/>
        <v>MYR</v>
      </c>
      <c r="P7165" t="str">
        <f t="shared" si="2925"/>
        <v>NIL</v>
      </c>
      <c r="Q7165" t="str">
        <f t="shared" si="2925"/>
        <v>NIL</v>
      </c>
      <c r="R7165" t="str">
        <f t="shared" si="2920"/>
        <v>Accepted</v>
      </c>
      <c r="S7165" t="str">
        <f t="shared" si="2908"/>
        <v>Approved</v>
      </c>
      <c r="T7165" t="str">
        <f t="shared" si="2921"/>
        <v>10.20.8.188</v>
      </c>
      <c r="U7165" t="str">
        <f t="shared" si="2909"/>
        <v>AZRAD UMAR BIN SHAARI</v>
      </c>
      <c r="V7165" t="str">
        <f t="shared" si="2910"/>
        <v>FARHANA BINTI MUSTAPA</v>
      </c>
      <c r="W7165" t="str">
        <f t="shared" si="2911"/>
        <v>04-08-2020</v>
      </c>
      <c r="X7165" t="str">
        <f t="shared" si="2912"/>
        <v>RAZIMAH ANSAR AHMAD</v>
      </c>
      <c r="Y7165" t="str">
        <f t="shared" si="2913"/>
        <v>04-08-2020</v>
      </c>
      <c r="Z7165" t="str">
        <f>"COS10200804 1989"</f>
        <v>COS10200804 1989</v>
      </c>
    </row>
    <row r="7166" spans="1:26" x14ac:dyDescent="0.25">
      <c r="A7166" t="str">
        <f t="shared" si="2926"/>
        <v>04-08-2020 12:35:42</v>
      </c>
      <c r="B7166" t="str">
        <f>"0000803744"</f>
        <v>0000803744</v>
      </c>
      <c r="C7166" t="str">
        <f t="shared" si="2927"/>
        <v>0000803555</v>
      </c>
      <c r="D7166" t="str">
        <f t="shared" si="2903"/>
        <v>73185</v>
      </c>
      <c r="E7166" t="str">
        <f t="shared" si="2904"/>
        <v>KFH-OPERATIONS DEPARTMENT</v>
      </c>
      <c r="F7166" t="str">
        <f t="shared" si="2905"/>
        <v>IBG</v>
      </c>
      <c r="G7166" t="str">
        <f t="shared" si="2916"/>
        <v>Refund COSHARE 10</v>
      </c>
      <c r="H7166" s="2">
        <v>251.85</v>
      </c>
      <c r="I7166" t="str">
        <f>"RUHANA BINTI JUNAIDI"</f>
        <v>RUHANA BINTI JUNAIDI</v>
      </c>
      <c r="J7166" t="str">
        <f t="shared" si="2917"/>
        <v>BANK SIMPANAN NASIONAL</v>
      </c>
      <c r="K7166" t="str">
        <f>"1310229000176652"</f>
        <v>1310229000176652</v>
      </c>
      <c r="L7166" t="str">
        <f t="shared" si="2924"/>
        <v>04-08-2020</v>
      </c>
      <c r="M7166" t="str">
        <f t="shared" si="2924"/>
        <v>04-08-2020</v>
      </c>
      <c r="N7166" t="str">
        <f t="shared" si="2906"/>
        <v>001105018356</v>
      </c>
      <c r="O7166" t="str">
        <f t="shared" si="2907"/>
        <v>MYR</v>
      </c>
      <c r="P7166" t="str">
        <f t="shared" si="2925"/>
        <v>NIL</v>
      </c>
      <c r="Q7166" t="str">
        <f t="shared" si="2925"/>
        <v>NIL</v>
      </c>
      <c r="R7166" t="str">
        <f t="shared" si="2920"/>
        <v>Accepted</v>
      </c>
      <c r="S7166" t="str">
        <f t="shared" si="2908"/>
        <v>Approved</v>
      </c>
      <c r="T7166" t="str">
        <f t="shared" si="2921"/>
        <v>10.20.8.188</v>
      </c>
      <c r="U7166" t="str">
        <f t="shared" si="2909"/>
        <v>AZRAD UMAR BIN SHAARI</v>
      </c>
      <c r="V7166" t="str">
        <f t="shared" si="2910"/>
        <v>FARHANA BINTI MUSTAPA</v>
      </c>
      <c r="W7166" t="str">
        <f t="shared" si="2911"/>
        <v>04-08-2020</v>
      </c>
      <c r="X7166" t="str">
        <f t="shared" si="2912"/>
        <v>RAZIMAH ANSAR AHMAD</v>
      </c>
      <c r="Y7166" t="str">
        <f t="shared" si="2913"/>
        <v>04-08-2020</v>
      </c>
      <c r="Z7166" t="str">
        <f>"COS10200804 1988"</f>
        <v>COS10200804 1988</v>
      </c>
    </row>
    <row r="7167" spans="1:26" x14ac:dyDescent="0.25">
      <c r="A7167" t="str">
        <f t="shared" si="2926"/>
        <v>04-08-2020 12:35:42</v>
      </c>
      <c r="B7167" t="str">
        <f>"0000803743"</f>
        <v>0000803743</v>
      </c>
      <c r="C7167" t="str">
        <f t="shared" si="2927"/>
        <v>0000803555</v>
      </c>
      <c r="D7167" t="str">
        <f t="shared" si="2903"/>
        <v>73185</v>
      </c>
      <c r="E7167" t="str">
        <f t="shared" si="2904"/>
        <v>KFH-OPERATIONS DEPARTMENT</v>
      </c>
      <c r="F7167" t="str">
        <f t="shared" si="2905"/>
        <v>IBG</v>
      </c>
      <c r="G7167" t="str">
        <f t="shared" si="2916"/>
        <v>Refund COSHARE 10</v>
      </c>
      <c r="H7167" s="2">
        <v>781</v>
      </c>
      <c r="I7167" t="str">
        <f>"RUHAIDAH BINTI MOHD SALEHAN"</f>
        <v>RUHAIDAH BINTI MOHD SALEHAN</v>
      </c>
      <c r="J7167" t="str">
        <f t="shared" si="2917"/>
        <v>BANK SIMPANAN NASIONAL</v>
      </c>
      <c r="K7167" t="str">
        <f>"1013629892787231"</f>
        <v>1013629892787231</v>
      </c>
      <c r="L7167" t="str">
        <f t="shared" ref="L7167:M7186" si="2928">"04-08-2020"</f>
        <v>04-08-2020</v>
      </c>
      <c r="M7167" t="str">
        <f t="shared" si="2928"/>
        <v>04-08-2020</v>
      </c>
      <c r="N7167" t="str">
        <f t="shared" si="2906"/>
        <v>001105018356</v>
      </c>
      <c r="O7167" t="str">
        <f t="shared" si="2907"/>
        <v>MYR</v>
      </c>
      <c r="P7167" t="str">
        <f t="shared" ref="P7167:Q7186" si="2929">"NIL"</f>
        <v>NIL</v>
      </c>
      <c r="Q7167" t="str">
        <f t="shared" si="2929"/>
        <v>NIL</v>
      </c>
      <c r="R7167" t="str">
        <f t="shared" si="2920"/>
        <v>Accepted</v>
      </c>
      <c r="S7167" t="str">
        <f t="shared" si="2908"/>
        <v>Approved</v>
      </c>
      <c r="T7167" t="str">
        <f t="shared" si="2921"/>
        <v>10.20.8.188</v>
      </c>
      <c r="U7167" t="str">
        <f t="shared" si="2909"/>
        <v>AZRAD UMAR BIN SHAARI</v>
      </c>
      <c r="V7167" t="str">
        <f t="shared" si="2910"/>
        <v>FARHANA BINTI MUSTAPA</v>
      </c>
      <c r="W7167" t="str">
        <f t="shared" si="2911"/>
        <v>04-08-2020</v>
      </c>
      <c r="X7167" t="str">
        <f t="shared" si="2912"/>
        <v>RAZIMAH ANSAR AHMAD</v>
      </c>
      <c r="Y7167" t="str">
        <f t="shared" si="2913"/>
        <v>04-08-2020</v>
      </c>
      <c r="Z7167" t="str">
        <f>"COS10200804 1987"</f>
        <v>COS10200804 1987</v>
      </c>
    </row>
    <row r="7168" spans="1:26" x14ac:dyDescent="0.25">
      <c r="A7168" t="str">
        <f t="shared" si="2926"/>
        <v>04-08-2020 12:35:42</v>
      </c>
      <c r="B7168" t="str">
        <f>"0000803742"</f>
        <v>0000803742</v>
      </c>
      <c r="C7168" t="str">
        <f t="shared" si="2927"/>
        <v>0000803555</v>
      </c>
      <c r="D7168" t="str">
        <f t="shared" si="2903"/>
        <v>73185</v>
      </c>
      <c r="E7168" t="str">
        <f t="shared" si="2904"/>
        <v>KFH-OPERATIONS DEPARTMENT</v>
      </c>
      <c r="F7168" t="str">
        <f t="shared" si="2905"/>
        <v>IBG</v>
      </c>
      <c r="G7168" t="str">
        <f t="shared" si="2916"/>
        <v>Refund COSHARE 10</v>
      </c>
      <c r="H7168" s="2">
        <v>1268.45</v>
      </c>
      <c r="I7168" t="str">
        <f>"RUDY BIN MASRI"</f>
        <v>RUDY BIN MASRI</v>
      </c>
      <c r="J7168" t="str">
        <f t="shared" si="2917"/>
        <v>BANK SIMPANAN NASIONAL</v>
      </c>
      <c r="K7168" t="str">
        <f>"1210029850980547"</f>
        <v>1210029850980547</v>
      </c>
      <c r="L7168" t="str">
        <f t="shared" si="2928"/>
        <v>04-08-2020</v>
      </c>
      <c r="M7168" t="str">
        <f t="shared" si="2928"/>
        <v>04-08-2020</v>
      </c>
      <c r="N7168" t="str">
        <f t="shared" si="2906"/>
        <v>001105018356</v>
      </c>
      <c r="O7168" t="str">
        <f t="shared" si="2907"/>
        <v>MYR</v>
      </c>
      <c r="P7168" t="str">
        <f t="shared" si="2929"/>
        <v>NIL</v>
      </c>
      <c r="Q7168" t="str">
        <f t="shared" si="2929"/>
        <v>NIL</v>
      </c>
      <c r="R7168" t="str">
        <f t="shared" si="2920"/>
        <v>Accepted</v>
      </c>
      <c r="S7168" t="str">
        <f t="shared" si="2908"/>
        <v>Approved</v>
      </c>
      <c r="T7168" t="str">
        <f t="shared" si="2921"/>
        <v>10.20.8.188</v>
      </c>
      <c r="U7168" t="str">
        <f t="shared" si="2909"/>
        <v>AZRAD UMAR BIN SHAARI</v>
      </c>
      <c r="V7168" t="str">
        <f t="shared" si="2910"/>
        <v>FARHANA BINTI MUSTAPA</v>
      </c>
      <c r="W7168" t="str">
        <f t="shared" si="2911"/>
        <v>04-08-2020</v>
      </c>
      <c r="X7168" t="str">
        <f t="shared" si="2912"/>
        <v>RAZIMAH ANSAR AHMAD</v>
      </c>
      <c r="Y7168" t="str">
        <f t="shared" si="2913"/>
        <v>04-08-2020</v>
      </c>
      <c r="Z7168" t="str">
        <f>"COS10200804 1986"</f>
        <v>COS10200804 1986</v>
      </c>
    </row>
    <row r="7169" spans="1:26" x14ac:dyDescent="0.25">
      <c r="A7169" t="str">
        <f t="shared" si="2926"/>
        <v>04-08-2020 12:35:42</v>
      </c>
      <c r="B7169" t="str">
        <f>"0000803741"</f>
        <v>0000803741</v>
      </c>
      <c r="C7169" t="str">
        <f t="shared" si="2927"/>
        <v>0000803555</v>
      </c>
      <c r="D7169" t="str">
        <f t="shared" si="2903"/>
        <v>73185</v>
      </c>
      <c r="E7169" t="str">
        <f t="shared" si="2904"/>
        <v>KFH-OPERATIONS DEPARTMENT</v>
      </c>
      <c r="F7169" t="str">
        <f t="shared" si="2905"/>
        <v>IBG</v>
      </c>
      <c r="G7169" t="str">
        <f t="shared" si="2916"/>
        <v>Refund COSHARE 10</v>
      </c>
      <c r="H7169" s="2">
        <v>125.95</v>
      </c>
      <c r="I7169" t="str">
        <f>"RUBIAH BINTI MUKHTAR"</f>
        <v>RUBIAH BINTI MUKHTAR</v>
      </c>
      <c r="J7169" t="str">
        <f t="shared" si="2917"/>
        <v>BANK SIMPANAN NASIONAL</v>
      </c>
      <c r="K7169" t="str">
        <f>"1212429000182686"</f>
        <v>1212429000182686</v>
      </c>
      <c r="L7169" t="str">
        <f t="shared" si="2928"/>
        <v>04-08-2020</v>
      </c>
      <c r="M7169" t="str">
        <f t="shared" si="2928"/>
        <v>04-08-2020</v>
      </c>
      <c r="N7169" t="str">
        <f t="shared" si="2906"/>
        <v>001105018356</v>
      </c>
      <c r="O7169" t="str">
        <f t="shared" si="2907"/>
        <v>MYR</v>
      </c>
      <c r="P7169" t="str">
        <f t="shared" si="2929"/>
        <v>NIL</v>
      </c>
      <c r="Q7169" t="str">
        <f t="shared" si="2929"/>
        <v>NIL</v>
      </c>
      <c r="R7169" t="str">
        <f t="shared" si="2920"/>
        <v>Accepted</v>
      </c>
      <c r="S7169" t="str">
        <f t="shared" si="2908"/>
        <v>Approved</v>
      </c>
      <c r="T7169" t="str">
        <f t="shared" si="2921"/>
        <v>10.20.8.188</v>
      </c>
      <c r="U7169" t="str">
        <f t="shared" si="2909"/>
        <v>AZRAD UMAR BIN SHAARI</v>
      </c>
      <c r="V7169" t="str">
        <f t="shared" si="2910"/>
        <v>FARHANA BINTI MUSTAPA</v>
      </c>
      <c r="W7169" t="str">
        <f t="shared" si="2911"/>
        <v>04-08-2020</v>
      </c>
      <c r="X7169" t="str">
        <f t="shared" si="2912"/>
        <v>RAZIMAH ANSAR AHMAD</v>
      </c>
      <c r="Y7169" t="str">
        <f t="shared" si="2913"/>
        <v>04-08-2020</v>
      </c>
      <c r="Z7169" t="str">
        <f>"COS10200804 1985"</f>
        <v>COS10200804 1985</v>
      </c>
    </row>
    <row r="7170" spans="1:26" x14ac:dyDescent="0.25">
      <c r="A7170" t="str">
        <f t="shared" si="2926"/>
        <v>04-08-2020 12:35:42</v>
      </c>
      <c r="B7170" t="str">
        <f>"0000803740"</f>
        <v>0000803740</v>
      </c>
      <c r="C7170" t="str">
        <f t="shared" si="2927"/>
        <v>0000803555</v>
      </c>
      <c r="D7170" t="str">
        <f t="shared" si="2903"/>
        <v>73185</v>
      </c>
      <c r="E7170" t="str">
        <f t="shared" si="2904"/>
        <v>KFH-OPERATIONS DEPARTMENT</v>
      </c>
      <c r="F7170" t="str">
        <f t="shared" si="2905"/>
        <v>IBG</v>
      </c>
      <c r="G7170" t="str">
        <f t="shared" si="2916"/>
        <v>Refund COSHARE 10</v>
      </c>
      <c r="H7170" s="2">
        <v>805</v>
      </c>
      <c r="I7170" t="str">
        <f>"ROZVIE VELDEN PAULEN"</f>
        <v>ROZVIE VELDEN PAULEN</v>
      </c>
      <c r="J7170" t="str">
        <f t="shared" si="2917"/>
        <v>BANK SIMPANAN NASIONAL</v>
      </c>
      <c r="K7170" t="str">
        <f>"1211829000210866"</f>
        <v>1211829000210866</v>
      </c>
      <c r="L7170" t="str">
        <f t="shared" si="2928"/>
        <v>04-08-2020</v>
      </c>
      <c r="M7170" t="str">
        <f t="shared" si="2928"/>
        <v>04-08-2020</v>
      </c>
      <c r="N7170" t="str">
        <f t="shared" si="2906"/>
        <v>001105018356</v>
      </c>
      <c r="O7170" t="str">
        <f t="shared" si="2907"/>
        <v>MYR</v>
      </c>
      <c r="P7170" t="str">
        <f t="shared" si="2929"/>
        <v>NIL</v>
      </c>
      <c r="Q7170" t="str">
        <f t="shared" si="2929"/>
        <v>NIL</v>
      </c>
      <c r="R7170" t="str">
        <f t="shared" si="2920"/>
        <v>Accepted</v>
      </c>
      <c r="S7170" t="str">
        <f t="shared" si="2908"/>
        <v>Approved</v>
      </c>
      <c r="T7170" t="str">
        <f t="shared" si="2921"/>
        <v>10.20.8.188</v>
      </c>
      <c r="U7170" t="str">
        <f t="shared" si="2909"/>
        <v>AZRAD UMAR BIN SHAARI</v>
      </c>
      <c r="V7170" t="str">
        <f t="shared" si="2910"/>
        <v>FARHANA BINTI MUSTAPA</v>
      </c>
      <c r="W7170" t="str">
        <f t="shared" si="2911"/>
        <v>04-08-2020</v>
      </c>
      <c r="X7170" t="str">
        <f t="shared" si="2912"/>
        <v>RAZIMAH ANSAR AHMAD</v>
      </c>
      <c r="Y7170" t="str">
        <f t="shared" si="2913"/>
        <v>04-08-2020</v>
      </c>
      <c r="Z7170" t="str">
        <f>"COS10200804 1984"</f>
        <v>COS10200804 1984</v>
      </c>
    </row>
    <row r="7171" spans="1:26" x14ac:dyDescent="0.25">
      <c r="A7171" t="str">
        <f t="shared" si="2926"/>
        <v>04-08-2020 12:35:42</v>
      </c>
      <c r="B7171" t="str">
        <f>"0000803739"</f>
        <v>0000803739</v>
      </c>
      <c r="C7171" t="str">
        <f t="shared" si="2927"/>
        <v>0000803555</v>
      </c>
      <c r="D7171" t="str">
        <f t="shared" si="2903"/>
        <v>73185</v>
      </c>
      <c r="E7171" t="str">
        <f t="shared" si="2904"/>
        <v>KFH-OPERATIONS DEPARTMENT</v>
      </c>
      <c r="F7171" t="str">
        <f t="shared" si="2905"/>
        <v>IBG</v>
      </c>
      <c r="G7171" t="str">
        <f t="shared" si="2916"/>
        <v>Refund COSHARE 10</v>
      </c>
      <c r="H7171" s="2">
        <v>1244.95</v>
      </c>
      <c r="I7171" t="str">
        <f>"ROZITA BINTI OTHMAN"</f>
        <v>ROZITA BINTI OTHMAN</v>
      </c>
      <c r="J7171" t="str">
        <f t="shared" si="2917"/>
        <v>BANK SIMPANAN NASIONAL</v>
      </c>
      <c r="K7171" t="str">
        <f>"1010229877956717"</f>
        <v>1010229877956717</v>
      </c>
      <c r="L7171" t="str">
        <f t="shared" si="2928"/>
        <v>04-08-2020</v>
      </c>
      <c r="M7171" t="str">
        <f t="shared" si="2928"/>
        <v>04-08-2020</v>
      </c>
      <c r="N7171" t="str">
        <f t="shared" si="2906"/>
        <v>001105018356</v>
      </c>
      <c r="O7171" t="str">
        <f t="shared" si="2907"/>
        <v>MYR</v>
      </c>
      <c r="P7171" t="str">
        <f t="shared" si="2929"/>
        <v>NIL</v>
      </c>
      <c r="Q7171" t="str">
        <f t="shared" si="2929"/>
        <v>NIL</v>
      </c>
      <c r="R7171" t="str">
        <f t="shared" si="2920"/>
        <v>Accepted</v>
      </c>
      <c r="S7171" t="str">
        <f t="shared" si="2908"/>
        <v>Approved</v>
      </c>
      <c r="T7171" t="str">
        <f t="shared" si="2921"/>
        <v>10.20.8.188</v>
      </c>
      <c r="U7171" t="str">
        <f t="shared" si="2909"/>
        <v>AZRAD UMAR BIN SHAARI</v>
      </c>
      <c r="V7171" t="str">
        <f t="shared" si="2910"/>
        <v>FARHANA BINTI MUSTAPA</v>
      </c>
      <c r="W7171" t="str">
        <f t="shared" si="2911"/>
        <v>04-08-2020</v>
      </c>
      <c r="X7171" t="str">
        <f t="shared" si="2912"/>
        <v>RAZIMAH ANSAR AHMAD</v>
      </c>
      <c r="Y7171" t="str">
        <f t="shared" si="2913"/>
        <v>04-08-2020</v>
      </c>
      <c r="Z7171" t="str">
        <f>"COS10200804 1983"</f>
        <v>COS10200804 1983</v>
      </c>
    </row>
    <row r="7172" spans="1:26" x14ac:dyDescent="0.25">
      <c r="A7172" t="str">
        <f t="shared" si="2926"/>
        <v>04-08-2020 12:35:42</v>
      </c>
      <c r="B7172" t="str">
        <f>"0000803738"</f>
        <v>0000803738</v>
      </c>
      <c r="C7172" t="str">
        <f t="shared" si="2927"/>
        <v>0000803555</v>
      </c>
      <c r="D7172" t="str">
        <f t="shared" si="2903"/>
        <v>73185</v>
      </c>
      <c r="E7172" t="str">
        <f t="shared" si="2904"/>
        <v>KFH-OPERATIONS DEPARTMENT</v>
      </c>
      <c r="F7172" t="str">
        <f t="shared" si="2905"/>
        <v>IBG</v>
      </c>
      <c r="G7172" t="str">
        <f t="shared" si="2916"/>
        <v>Refund COSHARE 10</v>
      </c>
      <c r="H7172" s="2">
        <v>1536.3</v>
      </c>
      <c r="I7172" t="str">
        <f>"ROZILA BINTI HARUN"</f>
        <v>ROZILA BINTI HARUN</v>
      </c>
      <c r="J7172" t="str">
        <f t="shared" si="2917"/>
        <v>BANK SIMPANAN NASIONAL</v>
      </c>
      <c r="K7172" t="str">
        <f>"0310129000000885"</f>
        <v>0310129000000885</v>
      </c>
      <c r="L7172" t="str">
        <f t="shared" si="2928"/>
        <v>04-08-2020</v>
      </c>
      <c r="M7172" t="str">
        <f t="shared" si="2928"/>
        <v>04-08-2020</v>
      </c>
      <c r="N7172" t="str">
        <f t="shared" si="2906"/>
        <v>001105018356</v>
      </c>
      <c r="O7172" t="str">
        <f t="shared" si="2907"/>
        <v>MYR</v>
      </c>
      <c r="P7172" t="str">
        <f t="shared" si="2929"/>
        <v>NIL</v>
      </c>
      <c r="Q7172" t="str">
        <f t="shared" si="2929"/>
        <v>NIL</v>
      </c>
      <c r="R7172" t="str">
        <f t="shared" si="2920"/>
        <v>Accepted</v>
      </c>
      <c r="S7172" t="str">
        <f t="shared" si="2908"/>
        <v>Approved</v>
      </c>
      <c r="T7172" t="str">
        <f t="shared" si="2921"/>
        <v>10.20.8.188</v>
      </c>
      <c r="U7172" t="str">
        <f t="shared" si="2909"/>
        <v>AZRAD UMAR BIN SHAARI</v>
      </c>
      <c r="V7172" t="str">
        <f t="shared" si="2910"/>
        <v>FARHANA BINTI MUSTAPA</v>
      </c>
      <c r="W7172" t="str">
        <f t="shared" si="2911"/>
        <v>04-08-2020</v>
      </c>
      <c r="X7172" t="str">
        <f t="shared" si="2912"/>
        <v>RAZIMAH ANSAR AHMAD</v>
      </c>
      <c r="Y7172" t="str">
        <f t="shared" si="2913"/>
        <v>04-08-2020</v>
      </c>
      <c r="Z7172" t="str">
        <f>"COS10200804 1982"</f>
        <v>COS10200804 1982</v>
      </c>
    </row>
    <row r="7173" spans="1:26" x14ac:dyDescent="0.25">
      <c r="A7173" t="str">
        <f t="shared" si="2926"/>
        <v>04-08-2020 12:35:42</v>
      </c>
      <c r="B7173" t="str">
        <f>"0000803737"</f>
        <v>0000803737</v>
      </c>
      <c r="C7173" t="str">
        <f t="shared" si="2927"/>
        <v>0000803555</v>
      </c>
      <c r="D7173" t="str">
        <f t="shared" si="2903"/>
        <v>73185</v>
      </c>
      <c r="E7173" t="str">
        <f t="shared" si="2904"/>
        <v>KFH-OPERATIONS DEPARTMENT</v>
      </c>
      <c r="F7173" t="str">
        <f t="shared" si="2905"/>
        <v>IBG</v>
      </c>
      <c r="G7173" t="str">
        <f t="shared" si="2916"/>
        <v>Refund COSHARE 10</v>
      </c>
      <c r="H7173" s="2">
        <v>166.8</v>
      </c>
      <c r="I7173" t="str">
        <f>"ROZILA BINTI DAUD"</f>
        <v>ROZILA BINTI DAUD</v>
      </c>
      <c r="J7173" t="str">
        <f t="shared" si="2917"/>
        <v>BANK SIMPANAN NASIONAL</v>
      </c>
      <c r="K7173" t="str">
        <f>"1011829871961844"</f>
        <v>1011829871961844</v>
      </c>
      <c r="L7173" t="str">
        <f t="shared" si="2928"/>
        <v>04-08-2020</v>
      </c>
      <c r="M7173" t="str">
        <f t="shared" si="2928"/>
        <v>04-08-2020</v>
      </c>
      <c r="N7173" t="str">
        <f t="shared" si="2906"/>
        <v>001105018356</v>
      </c>
      <c r="O7173" t="str">
        <f t="shared" si="2907"/>
        <v>MYR</v>
      </c>
      <c r="P7173" t="str">
        <f t="shared" si="2929"/>
        <v>NIL</v>
      </c>
      <c r="Q7173" t="str">
        <f t="shared" si="2929"/>
        <v>NIL</v>
      </c>
      <c r="R7173" t="str">
        <f t="shared" si="2920"/>
        <v>Accepted</v>
      </c>
      <c r="S7173" t="str">
        <f t="shared" si="2908"/>
        <v>Approved</v>
      </c>
      <c r="T7173" t="str">
        <f t="shared" si="2921"/>
        <v>10.20.8.188</v>
      </c>
      <c r="U7173" t="str">
        <f t="shared" si="2909"/>
        <v>AZRAD UMAR BIN SHAARI</v>
      </c>
      <c r="V7173" t="str">
        <f t="shared" si="2910"/>
        <v>FARHANA BINTI MUSTAPA</v>
      </c>
      <c r="W7173" t="str">
        <f t="shared" si="2911"/>
        <v>04-08-2020</v>
      </c>
      <c r="X7173" t="str">
        <f t="shared" si="2912"/>
        <v>RAZIMAH ANSAR AHMAD</v>
      </c>
      <c r="Y7173" t="str">
        <f t="shared" si="2913"/>
        <v>04-08-2020</v>
      </c>
      <c r="Z7173" t="str">
        <f>"COS10200804 1981"</f>
        <v>COS10200804 1981</v>
      </c>
    </row>
    <row r="7174" spans="1:26" x14ac:dyDescent="0.25">
      <c r="A7174" t="str">
        <f t="shared" si="2926"/>
        <v>04-08-2020 12:35:42</v>
      </c>
      <c r="B7174" t="str">
        <f>"0000803736"</f>
        <v>0000803736</v>
      </c>
      <c r="C7174" t="str">
        <f t="shared" si="2927"/>
        <v>0000803555</v>
      </c>
      <c r="D7174" t="str">
        <f t="shared" si="2903"/>
        <v>73185</v>
      </c>
      <c r="E7174" t="str">
        <f t="shared" si="2904"/>
        <v>KFH-OPERATIONS DEPARTMENT</v>
      </c>
      <c r="F7174" t="str">
        <f t="shared" si="2905"/>
        <v>IBG</v>
      </c>
      <c r="G7174" t="str">
        <f t="shared" si="2916"/>
        <v>Refund COSHARE 10</v>
      </c>
      <c r="H7174" s="2">
        <v>329.4</v>
      </c>
      <c r="I7174" t="str">
        <f>"ROZANA BINTI MUSTAFFA"</f>
        <v>ROZANA BINTI MUSTAFFA</v>
      </c>
      <c r="J7174" t="str">
        <f t="shared" si="2917"/>
        <v>BANK SIMPANAN NASIONAL</v>
      </c>
      <c r="K7174" t="str">
        <f>"1411929000020475"</f>
        <v>1411929000020475</v>
      </c>
      <c r="L7174" t="str">
        <f t="shared" si="2928"/>
        <v>04-08-2020</v>
      </c>
      <c r="M7174" t="str">
        <f t="shared" si="2928"/>
        <v>04-08-2020</v>
      </c>
      <c r="N7174" t="str">
        <f t="shared" si="2906"/>
        <v>001105018356</v>
      </c>
      <c r="O7174" t="str">
        <f t="shared" si="2907"/>
        <v>MYR</v>
      </c>
      <c r="P7174" t="str">
        <f t="shared" si="2929"/>
        <v>NIL</v>
      </c>
      <c r="Q7174" t="str">
        <f t="shared" si="2929"/>
        <v>NIL</v>
      </c>
      <c r="R7174" t="str">
        <f t="shared" si="2920"/>
        <v>Accepted</v>
      </c>
      <c r="S7174" t="str">
        <f t="shared" si="2908"/>
        <v>Approved</v>
      </c>
      <c r="T7174" t="str">
        <f t="shared" si="2921"/>
        <v>10.20.8.188</v>
      </c>
      <c r="U7174" t="str">
        <f t="shared" si="2909"/>
        <v>AZRAD UMAR BIN SHAARI</v>
      </c>
      <c r="V7174" t="str">
        <f t="shared" si="2910"/>
        <v>FARHANA BINTI MUSTAPA</v>
      </c>
      <c r="W7174" t="str">
        <f t="shared" si="2911"/>
        <v>04-08-2020</v>
      </c>
      <c r="X7174" t="str">
        <f t="shared" si="2912"/>
        <v>RAZIMAH ANSAR AHMAD</v>
      </c>
      <c r="Y7174" t="str">
        <f t="shared" si="2913"/>
        <v>04-08-2020</v>
      </c>
      <c r="Z7174" t="str">
        <f>"COS10200804 1980"</f>
        <v>COS10200804 1980</v>
      </c>
    </row>
    <row r="7175" spans="1:26" x14ac:dyDescent="0.25">
      <c r="A7175" t="str">
        <f t="shared" si="2926"/>
        <v>04-08-2020 12:35:42</v>
      </c>
      <c r="B7175" t="str">
        <f>"0000803735"</f>
        <v>0000803735</v>
      </c>
      <c r="C7175" t="str">
        <f t="shared" si="2927"/>
        <v>0000803555</v>
      </c>
      <c r="D7175" t="str">
        <f t="shared" ref="D7175:D7238" si="2930">"73185"</f>
        <v>73185</v>
      </c>
      <c r="E7175" t="str">
        <f t="shared" ref="E7175:E7238" si="2931">"KFH-OPERATIONS DEPARTMENT"</f>
        <v>KFH-OPERATIONS DEPARTMENT</v>
      </c>
      <c r="F7175" t="str">
        <f t="shared" ref="F7175:F7238" si="2932">"IBG"</f>
        <v>IBG</v>
      </c>
      <c r="G7175" t="str">
        <f t="shared" si="2916"/>
        <v>Refund COSHARE 10</v>
      </c>
      <c r="H7175" s="2">
        <v>125.95</v>
      </c>
      <c r="I7175" t="str">
        <f>"ROSWIRA BIN RAMLI"</f>
        <v>ROSWIRA BIN RAMLI</v>
      </c>
      <c r="J7175" t="str">
        <f t="shared" si="2917"/>
        <v>BANK SIMPANAN NASIONAL</v>
      </c>
      <c r="K7175" t="str">
        <f>"0212829861242378"</f>
        <v>0212829861242378</v>
      </c>
      <c r="L7175" t="str">
        <f t="shared" si="2928"/>
        <v>04-08-2020</v>
      </c>
      <c r="M7175" t="str">
        <f t="shared" si="2928"/>
        <v>04-08-2020</v>
      </c>
      <c r="N7175" t="str">
        <f t="shared" ref="N7175:N7238" si="2933">"001105018356"</f>
        <v>001105018356</v>
      </c>
      <c r="O7175" t="str">
        <f t="shared" ref="O7175:O7238" si="2934">"MYR"</f>
        <v>MYR</v>
      </c>
      <c r="P7175" t="str">
        <f t="shared" si="2929"/>
        <v>NIL</v>
      </c>
      <c r="Q7175" t="str">
        <f t="shared" si="2929"/>
        <v>NIL</v>
      </c>
      <c r="R7175" t="str">
        <f t="shared" si="2920"/>
        <v>Accepted</v>
      </c>
      <c r="S7175" t="str">
        <f t="shared" ref="S7175:S7238" si="2935">"Approved"</f>
        <v>Approved</v>
      </c>
      <c r="T7175" t="str">
        <f t="shared" si="2921"/>
        <v>10.20.8.188</v>
      </c>
      <c r="U7175" t="str">
        <f t="shared" ref="U7175:U7238" si="2936">"AZRAD UMAR BIN SHAARI"</f>
        <v>AZRAD UMAR BIN SHAARI</v>
      </c>
      <c r="V7175" t="str">
        <f t="shared" ref="V7175:V7238" si="2937">"FARHANA BINTI MUSTAPA"</f>
        <v>FARHANA BINTI MUSTAPA</v>
      </c>
      <c r="W7175" t="str">
        <f t="shared" ref="W7175:W7238" si="2938">"04-08-2020"</f>
        <v>04-08-2020</v>
      </c>
      <c r="X7175" t="str">
        <f t="shared" ref="X7175:X7238" si="2939">"RAZIMAH ANSAR AHMAD"</f>
        <v>RAZIMAH ANSAR AHMAD</v>
      </c>
      <c r="Y7175" t="str">
        <f t="shared" ref="Y7175:Y7238" si="2940">"04-08-2020"</f>
        <v>04-08-2020</v>
      </c>
      <c r="Z7175" t="str">
        <f>"COS10200804 1979"</f>
        <v>COS10200804 1979</v>
      </c>
    </row>
    <row r="7176" spans="1:26" x14ac:dyDescent="0.25">
      <c r="A7176" t="str">
        <f t="shared" si="2926"/>
        <v>04-08-2020 12:35:42</v>
      </c>
      <c r="B7176" t="str">
        <f>"0000803734"</f>
        <v>0000803734</v>
      </c>
      <c r="C7176" t="str">
        <f t="shared" si="2927"/>
        <v>0000803555</v>
      </c>
      <c r="D7176" t="str">
        <f t="shared" si="2930"/>
        <v>73185</v>
      </c>
      <c r="E7176" t="str">
        <f t="shared" si="2931"/>
        <v>KFH-OPERATIONS DEPARTMENT</v>
      </c>
      <c r="F7176" t="str">
        <f t="shared" si="2932"/>
        <v>IBG</v>
      </c>
      <c r="G7176" t="str">
        <f t="shared" si="2916"/>
        <v>Refund COSHARE 10</v>
      </c>
      <c r="H7176" s="2">
        <v>461.75</v>
      </c>
      <c r="I7176" t="str">
        <f>"ROSNITA BINTI MUHAMAD SALIMI"</f>
        <v>ROSNITA BINTI MUHAMAD SALIMI</v>
      </c>
      <c r="J7176" t="str">
        <f t="shared" si="2917"/>
        <v>BANK SIMPANAN NASIONAL</v>
      </c>
      <c r="K7176" t="str">
        <f>"0823029000016036"</f>
        <v>0823029000016036</v>
      </c>
      <c r="L7176" t="str">
        <f t="shared" si="2928"/>
        <v>04-08-2020</v>
      </c>
      <c r="M7176" t="str">
        <f t="shared" si="2928"/>
        <v>04-08-2020</v>
      </c>
      <c r="N7176" t="str">
        <f t="shared" si="2933"/>
        <v>001105018356</v>
      </c>
      <c r="O7176" t="str">
        <f t="shared" si="2934"/>
        <v>MYR</v>
      </c>
      <c r="P7176" t="str">
        <f t="shared" si="2929"/>
        <v>NIL</v>
      </c>
      <c r="Q7176" t="str">
        <f t="shared" si="2929"/>
        <v>NIL</v>
      </c>
      <c r="R7176" t="str">
        <f t="shared" si="2920"/>
        <v>Accepted</v>
      </c>
      <c r="S7176" t="str">
        <f t="shared" si="2935"/>
        <v>Approved</v>
      </c>
      <c r="T7176" t="str">
        <f t="shared" si="2921"/>
        <v>10.20.8.188</v>
      </c>
      <c r="U7176" t="str">
        <f t="shared" si="2936"/>
        <v>AZRAD UMAR BIN SHAARI</v>
      </c>
      <c r="V7176" t="str">
        <f t="shared" si="2937"/>
        <v>FARHANA BINTI MUSTAPA</v>
      </c>
      <c r="W7176" t="str">
        <f t="shared" si="2938"/>
        <v>04-08-2020</v>
      </c>
      <c r="X7176" t="str">
        <f t="shared" si="2939"/>
        <v>RAZIMAH ANSAR AHMAD</v>
      </c>
      <c r="Y7176" t="str">
        <f t="shared" si="2940"/>
        <v>04-08-2020</v>
      </c>
      <c r="Z7176" t="str">
        <f>"COS10200804 1978"</f>
        <v>COS10200804 1978</v>
      </c>
    </row>
    <row r="7177" spans="1:26" x14ac:dyDescent="0.25">
      <c r="A7177" t="str">
        <f t="shared" si="2926"/>
        <v>04-08-2020 12:35:42</v>
      </c>
      <c r="B7177" t="str">
        <f>"0000803733"</f>
        <v>0000803733</v>
      </c>
      <c r="C7177" t="str">
        <f t="shared" si="2927"/>
        <v>0000803555</v>
      </c>
      <c r="D7177" t="str">
        <f t="shared" si="2930"/>
        <v>73185</v>
      </c>
      <c r="E7177" t="str">
        <f t="shared" si="2931"/>
        <v>KFH-OPERATIONS DEPARTMENT</v>
      </c>
      <c r="F7177" t="str">
        <f t="shared" si="2932"/>
        <v>IBG</v>
      </c>
      <c r="G7177" t="str">
        <f t="shared" si="2916"/>
        <v>Refund COSHARE 10</v>
      </c>
      <c r="H7177" s="2">
        <v>780.75</v>
      </c>
      <c r="I7177" t="str">
        <f>"ROSNIH BINTI MOHD TAHIR"</f>
        <v>ROSNIH BINTI MOHD TAHIR</v>
      </c>
      <c r="J7177" t="str">
        <f t="shared" si="2917"/>
        <v>BANK SIMPANAN NASIONAL</v>
      </c>
      <c r="K7177" t="str">
        <f>"1410029000351597"</f>
        <v>1410029000351597</v>
      </c>
      <c r="L7177" t="str">
        <f t="shared" si="2928"/>
        <v>04-08-2020</v>
      </c>
      <c r="M7177" t="str">
        <f t="shared" si="2928"/>
        <v>04-08-2020</v>
      </c>
      <c r="N7177" t="str">
        <f t="shared" si="2933"/>
        <v>001105018356</v>
      </c>
      <c r="O7177" t="str">
        <f t="shared" si="2934"/>
        <v>MYR</v>
      </c>
      <c r="P7177" t="str">
        <f t="shared" si="2929"/>
        <v>NIL</v>
      </c>
      <c r="Q7177" t="str">
        <f t="shared" si="2929"/>
        <v>NIL</v>
      </c>
      <c r="R7177" t="str">
        <f t="shared" si="2920"/>
        <v>Accepted</v>
      </c>
      <c r="S7177" t="str">
        <f t="shared" si="2935"/>
        <v>Approved</v>
      </c>
      <c r="T7177" t="str">
        <f t="shared" si="2921"/>
        <v>10.20.8.188</v>
      </c>
      <c r="U7177" t="str">
        <f t="shared" si="2936"/>
        <v>AZRAD UMAR BIN SHAARI</v>
      </c>
      <c r="V7177" t="str">
        <f t="shared" si="2937"/>
        <v>FARHANA BINTI MUSTAPA</v>
      </c>
      <c r="W7177" t="str">
        <f t="shared" si="2938"/>
        <v>04-08-2020</v>
      </c>
      <c r="X7177" t="str">
        <f t="shared" si="2939"/>
        <v>RAZIMAH ANSAR AHMAD</v>
      </c>
      <c r="Y7177" t="str">
        <f t="shared" si="2940"/>
        <v>04-08-2020</v>
      </c>
      <c r="Z7177" t="str">
        <f>"COS10200804 1977"</f>
        <v>COS10200804 1977</v>
      </c>
    </row>
    <row r="7178" spans="1:26" x14ac:dyDescent="0.25">
      <c r="A7178" t="str">
        <f t="shared" si="2926"/>
        <v>04-08-2020 12:35:42</v>
      </c>
      <c r="B7178" t="str">
        <f>"0000803732"</f>
        <v>0000803732</v>
      </c>
      <c r="C7178" t="str">
        <f t="shared" si="2927"/>
        <v>0000803555</v>
      </c>
      <c r="D7178" t="str">
        <f t="shared" si="2930"/>
        <v>73185</v>
      </c>
      <c r="E7178" t="str">
        <f t="shared" si="2931"/>
        <v>KFH-OPERATIONS DEPARTMENT</v>
      </c>
      <c r="F7178" t="str">
        <f t="shared" si="2932"/>
        <v>IBG</v>
      </c>
      <c r="G7178" t="str">
        <f t="shared" si="2916"/>
        <v>Refund COSHARE 10</v>
      </c>
      <c r="H7178" s="2">
        <v>155.55000000000001</v>
      </c>
      <c r="I7178" t="str">
        <f>"ROSNANI BINTI NORINAH"</f>
        <v>ROSNANI BINTI NORINAH</v>
      </c>
      <c r="J7178" t="str">
        <f t="shared" si="2917"/>
        <v>BANK SIMPANAN NASIONAL</v>
      </c>
      <c r="K7178" t="str">
        <f>"1212829853200691"</f>
        <v>1212829853200691</v>
      </c>
      <c r="L7178" t="str">
        <f t="shared" si="2928"/>
        <v>04-08-2020</v>
      </c>
      <c r="M7178" t="str">
        <f t="shared" si="2928"/>
        <v>04-08-2020</v>
      </c>
      <c r="N7178" t="str">
        <f t="shared" si="2933"/>
        <v>001105018356</v>
      </c>
      <c r="O7178" t="str">
        <f t="shared" si="2934"/>
        <v>MYR</v>
      </c>
      <c r="P7178" t="str">
        <f t="shared" si="2929"/>
        <v>NIL</v>
      </c>
      <c r="Q7178" t="str">
        <f t="shared" si="2929"/>
        <v>NIL</v>
      </c>
      <c r="R7178" t="str">
        <f t="shared" si="2920"/>
        <v>Accepted</v>
      </c>
      <c r="S7178" t="str">
        <f t="shared" si="2935"/>
        <v>Approved</v>
      </c>
      <c r="T7178" t="str">
        <f t="shared" si="2921"/>
        <v>10.20.8.188</v>
      </c>
      <c r="U7178" t="str">
        <f t="shared" si="2936"/>
        <v>AZRAD UMAR BIN SHAARI</v>
      </c>
      <c r="V7178" t="str">
        <f t="shared" si="2937"/>
        <v>FARHANA BINTI MUSTAPA</v>
      </c>
      <c r="W7178" t="str">
        <f t="shared" si="2938"/>
        <v>04-08-2020</v>
      </c>
      <c r="X7178" t="str">
        <f t="shared" si="2939"/>
        <v>RAZIMAH ANSAR AHMAD</v>
      </c>
      <c r="Y7178" t="str">
        <f t="shared" si="2940"/>
        <v>04-08-2020</v>
      </c>
      <c r="Z7178" t="str">
        <f>"COS10200804 1976"</f>
        <v>COS10200804 1976</v>
      </c>
    </row>
    <row r="7179" spans="1:26" x14ac:dyDescent="0.25">
      <c r="A7179" t="str">
        <f t="shared" si="2926"/>
        <v>04-08-2020 12:35:42</v>
      </c>
      <c r="B7179" t="str">
        <f>"0000803731"</f>
        <v>0000803731</v>
      </c>
      <c r="C7179" t="str">
        <f t="shared" si="2927"/>
        <v>0000803555</v>
      </c>
      <c r="D7179" t="str">
        <f t="shared" si="2930"/>
        <v>73185</v>
      </c>
      <c r="E7179" t="str">
        <f t="shared" si="2931"/>
        <v>KFH-OPERATIONS DEPARTMENT</v>
      </c>
      <c r="F7179" t="str">
        <f t="shared" si="2932"/>
        <v>IBG</v>
      </c>
      <c r="G7179" t="str">
        <f t="shared" si="2916"/>
        <v>Refund COSHARE 10</v>
      </c>
      <c r="H7179" s="2">
        <v>1292.8499999999999</v>
      </c>
      <c r="I7179" t="str">
        <f>"ROSNAH BINTI OTHMAN"</f>
        <v>ROSNAH BINTI OTHMAN</v>
      </c>
      <c r="J7179" t="str">
        <f t="shared" si="2917"/>
        <v>BANK SIMPANAN NASIONAL</v>
      </c>
      <c r="K7179" t="str">
        <f>"1211829000268697"</f>
        <v>1211829000268697</v>
      </c>
      <c r="L7179" t="str">
        <f t="shared" si="2928"/>
        <v>04-08-2020</v>
      </c>
      <c r="M7179" t="str">
        <f t="shared" si="2928"/>
        <v>04-08-2020</v>
      </c>
      <c r="N7179" t="str">
        <f t="shared" si="2933"/>
        <v>001105018356</v>
      </c>
      <c r="O7179" t="str">
        <f t="shared" si="2934"/>
        <v>MYR</v>
      </c>
      <c r="P7179" t="str">
        <f t="shared" si="2929"/>
        <v>NIL</v>
      </c>
      <c r="Q7179" t="str">
        <f t="shared" si="2929"/>
        <v>NIL</v>
      </c>
      <c r="R7179" t="str">
        <f t="shared" si="2920"/>
        <v>Accepted</v>
      </c>
      <c r="S7179" t="str">
        <f t="shared" si="2935"/>
        <v>Approved</v>
      </c>
      <c r="T7179" t="str">
        <f t="shared" si="2921"/>
        <v>10.20.8.188</v>
      </c>
      <c r="U7179" t="str">
        <f t="shared" si="2936"/>
        <v>AZRAD UMAR BIN SHAARI</v>
      </c>
      <c r="V7179" t="str">
        <f t="shared" si="2937"/>
        <v>FARHANA BINTI MUSTAPA</v>
      </c>
      <c r="W7179" t="str">
        <f t="shared" si="2938"/>
        <v>04-08-2020</v>
      </c>
      <c r="X7179" t="str">
        <f t="shared" si="2939"/>
        <v>RAZIMAH ANSAR AHMAD</v>
      </c>
      <c r="Y7179" t="str">
        <f t="shared" si="2940"/>
        <v>04-08-2020</v>
      </c>
      <c r="Z7179" t="str">
        <f>"COS10200804 1975"</f>
        <v>COS10200804 1975</v>
      </c>
    </row>
    <row r="7180" spans="1:26" x14ac:dyDescent="0.25">
      <c r="A7180" t="str">
        <f t="shared" si="2926"/>
        <v>04-08-2020 12:35:42</v>
      </c>
      <c r="B7180" t="str">
        <f>"0000803730"</f>
        <v>0000803730</v>
      </c>
      <c r="C7180" t="str">
        <f t="shared" si="2927"/>
        <v>0000803555</v>
      </c>
      <c r="D7180" t="str">
        <f t="shared" si="2930"/>
        <v>73185</v>
      </c>
      <c r="E7180" t="str">
        <f t="shared" si="2931"/>
        <v>KFH-OPERATIONS DEPARTMENT</v>
      </c>
      <c r="F7180" t="str">
        <f t="shared" si="2932"/>
        <v>IBG</v>
      </c>
      <c r="G7180" t="str">
        <f t="shared" ref="G7180:G7243" si="2941">"Refund COSHARE 10"</f>
        <v>Refund COSHARE 10</v>
      </c>
      <c r="H7180" s="2">
        <v>274.5</v>
      </c>
      <c r="I7180" t="str">
        <f>"ROSNAH BINTI MOHAMED"</f>
        <v>ROSNAH BINTI MOHAMED</v>
      </c>
      <c r="J7180" t="str">
        <f t="shared" si="2917"/>
        <v>BANK SIMPANAN NASIONAL</v>
      </c>
      <c r="K7180" t="str">
        <f>"0212929864689391"</f>
        <v>0212929864689391</v>
      </c>
      <c r="L7180" t="str">
        <f t="shared" si="2928"/>
        <v>04-08-2020</v>
      </c>
      <c r="M7180" t="str">
        <f t="shared" si="2928"/>
        <v>04-08-2020</v>
      </c>
      <c r="N7180" t="str">
        <f t="shared" si="2933"/>
        <v>001105018356</v>
      </c>
      <c r="O7180" t="str">
        <f t="shared" si="2934"/>
        <v>MYR</v>
      </c>
      <c r="P7180" t="str">
        <f t="shared" si="2929"/>
        <v>NIL</v>
      </c>
      <c r="Q7180" t="str">
        <f t="shared" si="2929"/>
        <v>NIL</v>
      </c>
      <c r="R7180" t="str">
        <f t="shared" si="2920"/>
        <v>Accepted</v>
      </c>
      <c r="S7180" t="str">
        <f t="shared" si="2935"/>
        <v>Approved</v>
      </c>
      <c r="T7180" t="str">
        <f t="shared" si="2921"/>
        <v>10.20.8.188</v>
      </c>
      <c r="U7180" t="str">
        <f t="shared" si="2936"/>
        <v>AZRAD UMAR BIN SHAARI</v>
      </c>
      <c r="V7180" t="str">
        <f t="shared" si="2937"/>
        <v>FARHANA BINTI MUSTAPA</v>
      </c>
      <c r="W7180" t="str">
        <f t="shared" si="2938"/>
        <v>04-08-2020</v>
      </c>
      <c r="X7180" t="str">
        <f t="shared" si="2939"/>
        <v>RAZIMAH ANSAR AHMAD</v>
      </c>
      <c r="Y7180" t="str">
        <f t="shared" si="2940"/>
        <v>04-08-2020</v>
      </c>
      <c r="Z7180" t="str">
        <f>"COS10200804 1974"</f>
        <v>COS10200804 1974</v>
      </c>
    </row>
    <row r="7181" spans="1:26" x14ac:dyDescent="0.25">
      <c r="A7181" t="str">
        <f t="shared" si="2926"/>
        <v>04-08-2020 12:35:42</v>
      </c>
      <c r="B7181" t="str">
        <f>"0000803729"</f>
        <v>0000803729</v>
      </c>
      <c r="C7181" t="str">
        <f t="shared" si="2927"/>
        <v>0000803555</v>
      </c>
      <c r="D7181" t="str">
        <f t="shared" si="2930"/>
        <v>73185</v>
      </c>
      <c r="E7181" t="str">
        <f t="shared" si="2931"/>
        <v>KFH-OPERATIONS DEPARTMENT</v>
      </c>
      <c r="F7181" t="str">
        <f t="shared" si="2932"/>
        <v>IBG</v>
      </c>
      <c r="G7181" t="str">
        <f t="shared" si="2941"/>
        <v>Refund COSHARE 10</v>
      </c>
      <c r="H7181" s="2">
        <v>744</v>
      </c>
      <c r="I7181" t="str">
        <f>"ROSNAH BINTI DULLAH"</f>
        <v>ROSNAH BINTI DULLAH</v>
      </c>
      <c r="J7181" t="str">
        <f t="shared" si="2917"/>
        <v>BANK SIMPANAN NASIONAL</v>
      </c>
      <c r="K7181" t="str">
        <f>"1211829000052922"</f>
        <v>1211829000052922</v>
      </c>
      <c r="L7181" t="str">
        <f t="shared" si="2928"/>
        <v>04-08-2020</v>
      </c>
      <c r="M7181" t="str">
        <f t="shared" si="2928"/>
        <v>04-08-2020</v>
      </c>
      <c r="N7181" t="str">
        <f t="shared" si="2933"/>
        <v>001105018356</v>
      </c>
      <c r="O7181" t="str">
        <f t="shared" si="2934"/>
        <v>MYR</v>
      </c>
      <c r="P7181" t="str">
        <f t="shared" si="2929"/>
        <v>NIL</v>
      </c>
      <c r="Q7181" t="str">
        <f t="shared" si="2929"/>
        <v>NIL</v>
      </c>
      <c r="R7181" t="str">
        <f t="shared" si="2920"/>
        <v>Accepted</v>
      </c>
      <c r="S7181" t="str">
        <f t="shared" si="2935"/>
        <v>Approved</v>
      </c>
      <c r="T7181" t="str">
        <f t="shared" si="2921"/>
        <v>10.20.8.188</v>
      </c>
      <c r="U7181" t="str">
        <f t="shared" si="2936"/>
        <v>AZRAD UMAR BIN SHAARI</v>
      </c>
      <c r="V7181" t="str">
        <f t="shared" si="2937"/>
        <v>FARHANA BINTI MUSTAPA</v>
      </c>
      <c r="W7181" t="str">
        <f t="shared" si="2938"/>
        <v>04-08-2020</v>
      </c>
      <c r="X7181" t="str">
        <f t="shared" si="2939"/>
        <v>RAZIMAH ANSAR AHMAD</v>
      </c>
      <c r="Y7181" t="str">
        <f t="shared" si="2940"/>
        <v>04-08-2020</v>
      </c>
      <c r="Z7181" t="str">
        <f>"COS10200804 1973"</f>
        <v>COS10200804 1973</v>
      </c>
    </row>
    <row r="7182" spans="1:26" x14ac:dyDescent="0.25">
      <c r="A7182" t="str">
        <f t="shared" si="2926"/>
        <v>04-08-2020 12:35:42</v>
      </c>
      <c r="B7182" t="str">
        <f>"0000803728"</f>
        <v>0000803728</v>
      </c>
      <c r="C7182" t="str">
        <f t="shared" si="2927"/>
        <v>0000803555</v>
      </c>
      <c r="D7182" t="str">
        <f t="shared" si="2930"/>
        <v>73185</v>
      </c>
      <c r="E7182" t="str">
        <f t="shared" si="2931"/>
        <v>KFH-OPERATIONS DEPARTMENT</v>
      </c>
      <c r="F7182" t="str">
        <f t="shared" si="2932"/>
        <v>IBG</v>
      </c>
      <c r="G7182" t="str">
        <f t="shared" si="2941"/>
        <v>Refund COSHARE 10</v>
      </c>
      <c r="H7182" s="2">
        <v>1041</v>
      </c>
      <c r="I7182" t="str">
        <f>"ROSMARIA BINTI SALLEH"</f>
        <v>ROSMARIA BINTI SALLEH</v>
      </c>
      <c r="J7182" t="str">
        <f t="shared" si="2917"/>
        <v>BANK SIMPANAN NASIONAL</v>
      </c>
      <c r="K7182" t="str">
        <f>"1410041000158676"</f>
        <v>1410041000158676</v>
      </c>
      <c r="L7182" t="str">
        <f t="shared" si="2928"/>
        <v>04-08-2020</v>
      </c>
      <c r="M7182" t="str">
        <f t="shared" si="2928"/>
        <v>04-08-2020</v>
      </c>
      <c r="N7182" t="str">
        <f t="shared" si="2933"/>
        <v>001105018356</v>
      </c>
      <c r="O7182" t="str">
        <f t="shared" si="2934"/>
        <v>MYR</v>
      </c>
      <c r="P7182" t="str">
        <f t="shared" si="2929"/>
        <v>NIL</v>
      </c>
      <c r="Q7182" t="str">
        <f t="shared" si="2929"/>
        <v>NIL</v>
      </c>
      <c r="R7182" t="str">
        <f t="shared" si="2920"/>
        <v>Accepted</v>
      </c>
      <c r="S7182" t="str">
        <f t="shared" si="2935"/>
        <v>Approved</v>
      </c>
      <c r="T7182" t="str">
        <f t="shared" si="2921"/>
        <v>10.20.8.188</v>
      </c>
      <c r="U7182" t="str">
        <f t="shared" si="2936"/>
        <v>AZRAD UMAR BIN SHAARI</v>
      </c>
      <c r="V7182" t="str">
        <f t="shared" si="2937"/>
        <v>FARHANA BINTI MUSTAPA</v>
      </c>
      <c r="W7182" t="str">
        <f t="shared" si="2938"/>
        <v>04-08-2020</v>
      </c>
      <c r="X7182" t="str">
        <f t="shared" si="2939"/>
        <v>RAZIMAH ANSAR AHMAD</v>
      </c>
      <c r="Y7182" t="str">
        <f t="shared" si="2940"/>
        <v>04-08-2020</v>
      </c>
      <c r="Z7182" t="str">
        <f>"COS10200804 1972"</f>
        <v>COS10200804 1972</v>
      </c>
    </row>
    <row r="7183" spans="1:26" x14ac:dyDescent="0.25">
      <c r="A7183" t="str">
        <f t="shared" si="2926"/>
        <v>04-08-2020 12:35:42</v>
      </c>
      <c r="B7183" t="str">
        <f>"0000803727"</f>
        <v>0000803727</v>
      </c>
      <c r="C7183" t="str">
        <f t="shared" si="2927"/>
        <v>0000803555</v>
      </c>
      <c r="D7183" t="str">
        <f t="shared" si="2930"/>
        <v>73185</v>
      </c>
      <c r="E7183" t="str">
        <f t="shared" si="2931"/>
        <v>KFH-OPERATIONS DEPARTMENT</v>
      </c>
      <c r="F7183" t="str">
        <f t="shared" si="2932"/>
        <v>IBG</v>
      </c>
      <c r="G7183" t="str">
        <f t="shared" si="2941"/>
        <v>Refund COSHARE 10</v>
      </c>
      <c r="H7183" s="2">
        <v>166.8</v>
      </c>
      <c r="I7183" t="str">
        <f>"ROSMAN BIN SUDIN"</f>
        <v>ROSMAN BIN SUDIN</v>
      </c>
      <c r="J7183" t="str">
        <f t="shared" si="2917"/>
        <v>BANK SIMPANAN NASIONAL</v>
      </c>
      <c r="K7183" t="str">
        <f>"1211429875972112"</f>
        <v>1211429875972112</v>
      </c>
      <c r="L7183" t="str">
        <f t="shared" si="2928"/>
        <v>04-08-2020</v>
      </c>
      <c r="M7183" t="str">
        <f t="shared" si="2928"/>
        <v>04-08-2020</v>
      </c>
      <c r="N7183" t="str">
        <f t="shared" si="2933"/>
        <v>001105018356</v>
      </c>
      <c r="O7183" t="str">
        <f t="shared" si="2934"/>
        <v>MYR</v>
      </c>
      <c r="P7183" t="str">
        <f t="shared" si="2929"/>
        <v>NIL</v>
      </c>
      <c r="Q7183" t="str">
        <f t="shared" si="2929"/>
        <v>NIL</v>
      </c>
      <c r="R7183" t="str">
        <f t="shared" si="2920"/>
        <v>Accepted</v>
      </c>
      <c r="S7183" t="str">
        <f t="shared" si="2935"/>
        <v>Approved</v>
      </c>
      <c r="T7183" t="str">
        <f t="shared" si="2921"/>
        <v>10.20.8.188</v>
      </c>
      <c r="U7183" t="str">
        <f t="shared" si="2936"/>
        <v>AZRAD UMAR BIN SHAARI</v>
      </c>
      <c r="V7183" t="str">
        <f t="shared" si="2937"/>
        <v>FARHANA BINTI MUSTAPA</v>
      </c>
      <c r="W7183" t="str">
        <f t="shared" si="2938"/>
        <v>04-08-2020</v>
      </c>
      <c r="X7183" t="str">
        <f t="shared" si="2939"/>
        <v>RAZIMAH ANSAR AHMAD</v>
      </c>
      <c r="Y7183" t="str">
        <f t="shared" si="2940"/>
        <v>04-08-2020</v>
      </c>
      <c r="Z7183" t="str">
        <f>"COS10200804 1971"</f>
        <v>COS10200804 1971</v>
      </c>
    </row>
    <row r="7184" spans="1:26" x14ac:dyDescent="0.25">
      <c r="A7184" t="str">
        <f t="shared" si="2926"/>
        <v>04-08-2020 12:35:42</v>
      </c>
      <c r="B7184" t="str">
        <f>"0000803726"</f>
        <v>0000803726</v>
      </c>
      <c r="C7184" t="str">
        <f t="shared" si="2927"/>
        <v>0000803555</v>
      </c>
      <c r="D7184" t="str">
        <f t="shared" si="2930"/>
        <v>73185</v>
      </c>
      <c r="E7184" t="str">
        <f t="shared" si="2931"/>
        <v>KFH-OPERATIONS DEPARTMENT</v>
      </c>
      <c r="F7184" t="str">
        <f t="shared" si="2932"/>
        <v>IBG</v>
      </c>
      <c r="G7184" t="str">
        <f t="shared" si="2941"/>
        <v>Refund COSHARE 10</v>
      </c>
      <c r="H7184" s="2">
        <v>1333.9</v>
      </c>
      <c r="I7184" t="str">
        <f>"ROSMAN BIN ROSDI"</f>
        <v>ROSMAN BIN ROSDI</v>
      </c>
      <c r="J7184" t="str">
        <f t="shared" si="2917"/>
        <v>BANK SIMPANAN NASIONAL</v>
      </c>
      <c r="K7184" t="str">
        <f>"1213441000035318"</f>
        <v>1213441000035318</v>
      </c>
      <c r="L7184" t="str">
        <f t="shared" si="2928"/>
        <v>04-08-2020</v>
      </c>
      <c r="M7184" t="str">
        <f t="shared" si="2928"/>
        <v>04-08-2020</v>
      </c>
      <c r="N7184" t="str">
        <f t="shared" si="2933"/>
        <v>001105018356</v>
      </c>
      <c r="O7184" t="str">
        <f t="shared" si="2934"/>
        <v>MYR</v>
      </c>
      <c r="P7184" t="str">
        <f t="shared" si="2929"/>
        <v>NIL</v>
      </c>
      <c r="Q7184" t="str">
        <f t="shared" si="2929"/>
        <v>NIL</v>
      </c>
      <c r="R7184" t="str">
        <f t="shared" si="2920"/>
        <v>Accepted</v>
      </c>
      <c r="S7184" t="str">
        <f t="shared" si="2935"/>
        <v>Approved</v>
      </c>
      <c r="T7184" t="str">
        <f t="shared" si="2921"/>
        <v>10.20.8.188</v>
      </c>
      <c r="U7184" t="str">
        <f t="shared" si="2936"/>
        <v>AZRAD UMAR BIN SHAARI</v>
      </c>
      <c r="V7184" t="str">
        <f t="shared" si="2937"/>
        <v>FARHANA BINTI MUSTAPA</v>
      </c>
      <c r="W7184" t="str">
        <f t="shared" si="2938"/>
        <v>04-08-2020</v>
      </c>
      <c r="X7184" t="str">
        <f t="shared" si="2939"/>
        <v>RAZIMAH ANSAR AHMAD</v>
      </c>
      <c r="Y7184" t="str">
        <f t="shared" si="2940"/>
        <v>04-08-2020</v>
      </c>
      <c r="Z7184" t="str">
        <f>"COS10200804 1970"</f>
        <v>COS10200804 1970</v>
      </c>
    </row>
    <row r="7185" spans="1:26" x14ac:dyDescent="0.25">
      <c r="A7185" t="str">
        <f t="shared" si="2926"/>
        <v>04-08-2020 12:35:42</v>
      </c>
      <c r="B7185" t="str">
        <f>"0000803725"</f>
        <v>0000803725</v>
      </c>
      <c r="C7185" t="str">
        <f t="shared" si="2927"/>
        <v>0000803555</v>
      </c>
      <c r="D7185" t="str">
        <f t="shared" si="2930"/>
        <v>73185</v>
      </c>
      <c r="E7185" t="str">
        <f t="shared" si="2931"/>
        <v>KFH-OPERATIONS DEPARTMENT</v>
      </c>
      <c r="F7185" t="str">
        <f t="shared" si="2932"/>
        <v>IBG</v>
      </c>
      <c r="G7185" t="str">
        <f t="shared" si="2941"/>
        <v>Refund COSHARE 10</v>
      </c>
      <c r="H7185" s="2">
        <v>178</v>
      </c>
      <c r="I7185" t="str">
        <f>"ROSMAINI BINTI MAMAT"</f>
        <v>ROSMAINI BINTI MAMAT</v>
      </c>
      <c r="J7185" t="str">
        <f t="shared" si="2917"/>
        <v>BANK SIMPANAN NASIONAL</v>
      </c>
      <c r="K7185" t="str">
        <f>"0711329000005176"</f>
        <v>0711329000005176</v>
      </c>
      <c r="L7185" t="str">
        <f t="shared" si="2928"/>
        <v>04-08-2020</v>
      </c>
      <c r="M7185" t="str">
        <f t="shared" si="2928"/>
        <v>04-08-2020</v>
      </c>
      <c r="N7185" t="str">
        <f t="shared" si="2933"/>
        <v>001105018356</v>
      </c>
      <c r="O7185" t="str">
        <f t="shared" si="2934"/>
        <v>MYR</v>
      </c>
      <c r="P7185" t="str">
        <f t="shared" si="2929"/>
        <v>NIL</v>
      </c>
      <c r="Q7185" t="str">
        <f t="shared" si="2929"/>
        <v>NIL</v>
      </c>
      <c r="R7185" t="str">
        <f t="shared" si="2920"/>
        <v>Accepted</v>
      </c>
      <c r="S7185" t="str">
        <f t="shared" si="2935"/>
        <v>Approved</v>
      </c>
      <c r="T7185" t="str">
        <f t="shared" si="2921"/>
        <v>10.20.8.188</v>
      </c>
      <c r="U7185" t="str">
        <f t="shared" si="2936"/>
        <v>AZRAD UMAR BIN SHAARI</v>
      </c>
      <c r="V7185" t="str">
        <f t="shared" si="2937"/>
        <v>FARHANA BINTI MUSTAPA</v>
      </c>
      <c r="W7185" t="str">
        <f t="shared" si="2938"/>
        <v>04-08-2020</v>
      </c>
      <c r="X7185" t="str">
        <f t="shared" si="2939"/>
        <v>RAZIMAH ANSAR AHMAD</v>
      </c>
      <c r="Y7185" t="str">
        <f t="shared" si="2940"/>
        <v>04-08-2020</v>
      </c>
      <c r="Z7185" t="str">
        <f>"COS10200804 1969"</f>
        <v>COS10200804 1969</v>
      </c>
    </row>
    <row r="7186" spans="1:26" x14ac:dyDescent="0.25">
      <c r="A7186" t="str">
        <f t="shared" ref="A7186:A7217" si="2942">"04-08-2020 12:35:42"</f>
        <v>04-08-2020 12:35:42</v>
      </c>
      <c r="B7186" t="str">
        <f>"0000803724"</f>
        <v>0000803724</v>
      </c>
      <c r="C7186" t="str">
        <f t="shared" ref="C7186:C7217" si="2943">"0000803555"</f>
        <v>0000803555</v>
      </c>
      <c r="D7186" t="str">
        <f t="shared" si="2930"/>
        <v>73185</v>
      </c>
      <c r="E7186" t="str">
        <f t="shared" si="2931"/>
        <v>KFH-OPERATIONS DEPARTMENT</v>
      </c>
      <c r="F7186" t="str">
        <f t="shared" si="2932"/>
        <v>IBG</v>
      </c>
      <c r="G7186" t="str">
        <f t="shared" si="2941"/>
        <v>Refund COSHARE 10</v>
      </c>
      <c r="H7186" s="2">
        <v>236.45</v>
      </c>
      <c r="I7186" t="str">
        <f>"ROSLY BIN MOHD NOR"</f>
        <v>ROSLY BIN MOHD NOR</v>
      </c>
      <c r="J7186" t="str">
        <f t="shared" si="2917"/>
        <v>BANK SIMPANAN NASIONAL</v>
      </c>
      <c r="K7186" t="str">
        <f>"1412329891242116"</f>
        <v>1412329891242116</v>
      </c>
      <c r="L7186" t="str">
        <f t="shared" si="2928"/>
        <v>04-08-2020</v>
      </c>
      <c r="M7186" t="str">
        <f t="shared" si="2928"/>
        <v>04-08-2020</v>
      </c>
      <c r="N7186" t="str">
        <f t="shared" si="2933"/>
        <v>001105018356</v>
      </c>
      <c r="O7186" t="str">
        <f t="shared" si="2934"/>
        <v>MYR</v>
      </c>
      <c r="P7186" t="str">
        <f t="shared" si="2929"/>
        <v>NIL</v>
      </c>
      <c r="Q7186" t="str">
        <f t="shared" si="2929"/>
        <v>NIL</v>
      </c>
      <c r="R7186" t="str">
        <f t="shared" si="2920"/>
        <v>Accepted</v>
      </c>
      <c r="S7186" t="str">
        <f t="shared" si="2935"/>
        <v>Approved</v>
      </c>
      <c r="T7186" t="str">
        <f t="shared" si="2921"/>
        <v>10.20.8.188</v>
      </c>
      <c r="U7186" t="str">
        <f t="shared" si="2936"/>
        <v>AZRAD UMAR BIN SHAARI</v>
      </c>
      <c r="V7186" t="str">
        <f t="shared" si="2937"/>
        <v>FARHANA BINTI MUSTAPA</v>
      </c>
      <c r="W7186" t="str">
        <f t="shared" si="2938"/>
        <v>04-08-2020</v>
      </c>
      <c r="X7186" t="str">
        <f t="shared" si="2939"/>
        <v>RAZIMAH ANSAR AHMAD</v>
      </c>
      <c r="Y7186" t="str">
        <f t="shared" si="2940"/>
        <v>04-08-2020</v>
      </c>
      <c r="Z7186" t="str">
        <f>"COS10200804 1968"</f>
        <v>COS10200804 1968</v>
      </c>
    </row>
    <row r="7187" spans="1:26" x14ac:dyDescent="0.25">
      <c r="A7187" t="str">
        <f t="shared" si="2942"/>
        <v>04-08-2020 12:35:42</v>
      </c>
      <c r="B7187" t="str">
        <f>"0000803723"</f>
        <v>0000803723</v>
      </c>
      <c r="C7187" t="str">
        <f t="shared" si="2943"/>
        <v>0000803555</v>
      </c>
      <c r="D7187" t="str">
        <f t="shared" si="2930"/>
        <v>73185</v>
      </c>
      <c r="E7187" t="str">
        <f t="shared" si="2931"/>
        <v>KFH-OPERATIONS DEPARTMENT</v>
      </c>
      <c r="F7187" t="str">
        <f t="shared" si="2932"/>
        <v>IBG</v>
      </c>
      <c r="G7187" t="str">
        <f t="shared" si="2941"/>
        <v>Refund COSHARE 10</v>
      </c>
      <c r="H7187" s="2">
        <v>1774.05</v>
      </c>
      <c r="I7187" t="str">
        <f>"ROSLINA BINTI DALDIRI"</f>
        <v>ROSLINA BINTI DALDIRI</v>
      </c>
      <c r="J7187" t="str">
        <f t="shared" si="2917"/>
        <v>BANK SIMPANAN NASIONAL</v>
      </c>
      <c r="K7187" t="str">
        <f>"1010029833807499"</f>
        <v>1010029833807499</v>
      </c>
      <c r="L7187" t="str">
        <f t="shared" ref="L7187:M7206" si="2944">"04-08-2020"</f>
        <v>04-08-2020</v>
      </c>
      <c r="M7187" t="str">
        <f t="shared" si="2944"/>
        <v>04-08-2020</v>
      </c>
      <c r="N7187" t="str">
        <f t="shared" si="2933"/>
        <v>001105018356</v>
      </c>
      <c r="O7187" t="str">
        <f t="shared" si="2934"/>
        <v>MYR</v>
      </c>
      <c r="P7187" t="str">
        <f t="shared" ref="P7187:Q7206" si="2945">"NIL"</f>
        <v>NIL</v>
      </c>
      <c r="Q7187" t="str">
        <f t="shared" si="2945"/>
        <v>NIL</v>
      </c>
      <c r="R7187" t="str">
        <f t="shared" si="2920"/>
        <v>Accepted</v>
      </c>
      <c r="S7187" t="str">
        <f t="shared" si="2935"/>
        <v>Approved</v>
      </c>
      <c r="T7187" t="str">
        <f t="shared" si="2921"/>
        <v>10.20.8.188</v>
      </c>
      <c r="U7187" t="str">
        <f t="shared" si="2936"/>
        <v>AZRAD UMAR BIN SHAARI</v>
      </c>
      <c r="V7187" t="str">
        <f t="shared" si="2937"/>
        <v>FARHANA BINTI MUSTAPA</v>
      </c>
      <c r="W7187" t="str">
        <f t="shared" si="2938"/>
        <v>04-08-2020</v>
      </c>
      <c r="X7187" t="str">
        <f t="shared" si="2939"/>
        <v>RAZIMAH ANSAR AHMAD</v>
      </c>
      <c r="Y7187" t="str">
        <f t="shared" si="2940"/>
        <v>04-08-2020</v>
      </c>
      <c r="Z7187" t="str">
        <f>"COS10200804 1967"</f>
        <v>COS10200804 1967</v>
      </c>
    </row>
    <row r="7188" spans="1:26" x14ac:dyDescent="0.25">
      <c r="A7188" t="str">
        <f t="shared" si="2942"/>
        <v>04-08-2020 12:35:42</v>
      </c>
      <c r="B7188" t="str">
        <f>"0000803722"</f>
        <v>0000803722</v>
      </c>
      <c r="C7188" t="str">
        <f t="shared" si="2943"/>
        <v>0000803555</v>
      </c>
      <c r="D7188" t="str">
        <f t="shared" si="2930"/>
        <v>73185</v>
      </c>
      <c r="E7188" t="str">
        <f t="shared" si="2931"/>
        <v>KFH-OPERATIONS DEPARTMENT</v>
      </c>
      <c r="F7188" t="str">
        <f t="shared" si="2932"/>
        <v>IBG</v>
      </c>
      <c r="G7188" t="str">
        <f t="shared" si="2941"/>
        <v>Refund COSHARE 10</v>
      </c>
      <c r="H7188" s="2">
        <v>92.35</v>
      </c>
      <c r="I7188" t="str">
        <f>"ROSLI BIN YUSSUF"</f>
        <v>ROSLI BIN YUSSUF</v>
      </c>
      <c r="J7188" t="str">
        <f t="shared" ref="J7188:J7251" si="2946">"BANK SIMPANAN NASIONAL"</f>
        <v>BANK SIMPANAN NASIONAL</v>
      </c>
      <c r="K7188" t="str">
        <f>"1040029812469830"</f>
        <v>1040029812469830</v>
      </c>
      <c r="L7188" t="str">
        <f t="shared" si="2944"/>
        <v>04-08-2020</v>
      </c>
      <c r="M7188" t="str">
        <f t="shared" si="2944"/>
        <v>04-08-2020</v>
      </c>
      <c r="N7188" t="str">
        <f t="shared" si="2933"/>
        <v>001105018356</v>
      </c>
      <c r="O7188" t="str">
        <f t="shared" si="2934"/>
        <v>MYR</v>
      </c>
      <c r="P7188" t="str">
        <f t="shared" si="2945"/>
        <v>NIL</v>
      </c>
      <c r="Q7188" t="str">
        <f t="shared" si="2945"/>
        <v>NIL</v>
      </c>
      <c r="R7188" t="str">
        <f t="shared" si="2920"/>
        <v>Accepted</v>
      </c>
      <c r="S7188" t="str">
        <f t="shared" si="2935"/>
        <v>Approved</v>
      </c>
      <c r="T7188" t="str">
        <f t="shared" si="2921"/>
        <v>10.20.8.188</v>
      </c>
      <c r="U7188" t="str">
        <f t="shared" si="2936"/>
        <v>AZRAD UMAR BIN SHAARI</v>
      </c>
      <c r="V7188" t="str">
        <f t="shared" si="2937"/>
        <v>FARHANA BINTI MUSTAPA</v>
      </c>
      <c r="W7188" t="str">
        <f t="shared" si="2938"/>
        <v>04-08-2020</v>
      </c>
      <c r="X7188" t="str">
        <f t="shared" si="2939"/>
        <v>RAZIMAH ANSAR AHMAD</v>
      </c>
      <c r="Y7188" t="str">
        <f t="shared" si="2940"/>
        <v>04-08-2020</v>
      </c>
      <c r="Z7188" t="str">
        <f>"COS10200804 1966"</f>
        <v>COS10200804 1966</v>
      </c>
    </row>
    <row r="7189" spans="1:26" x14ac:dyDescent="0.25">
      <c r="A7189" t="str">
        <f t="shared" si="2942"/>
        <v>04-08-2020 12:35:42</v>
      </c>
      <c r="B7189" t="str">
        <f>"0000803721"</f>
        <v>0000803721</v>
      </c>
      <c r="C7189" t="str">
        <f t="shared" si="2943"/>
        <v>0000803555</v>
      </c>
      <c r="D7189" t="str">
        <f t="shared" si="2930"/>
        <v>73185</v>
      </c>
      <c r="E7189" t="str">
        <f t="shared" si="2931"/>
        <v>KFH-OPERATIONS DEPARTMENT</v>
      </c>
      <c r="F7189" t="str">
        <f t="shared" si="2932"/>
        <v>IBG</v>
      </c>
      <c r="G7189" t="str">
        <f t="shared" si="2941"/>
        <v>Refund COSHARE 10</v>
      </c>
      <c r="H7189" s="2">
        <v>1227.9000000000001</v>
      </c>
      <c r="I7189" t="str">
        <f>"ROSLI BIN ARFAN"</f>
        <v>ROSLI BIN ARFAN</v>
      </c>
      <c r="J7189" t="str">
        <f t="shared" si="2946"/>
        <v>BANK SIMPANAN NASIONAL</v>
      </c>
      <c r="K7189" t="str">
        <f>"0640029894913647"</f>
        <v>0640029894913647</v>
      </c>
      <c r="L7189" t="str">
        <f t="shared" si="2944"/>
        <v>04-08-2020</v>
      </c>
      <c r="M7189" t="str">
        <f t="shared" si="2944"/>
        <v>04-08-2020</v>
      </c>
      <c r="N7189" t="str">
        <f t="shared" si="2933"/>
        <v>001105018356</v>
      </c>
      <c r="O7189" t="str">
        <f t="shared" si="2934"/>
        <v>MYR</v>
      </c>
      <c r="P7189" t="str">
        <f t="shared" si="2945"/>
        <v>NIL</v>
      </c>
      <c r="Q7189" t="str">
        <f t="shared" si="2945"/>
        <v>NIL</v>
      </c>
      <c r="R7189" t="str">
        <f t="shared" si="2920"/>
        <v>Accepted</v>
      </c>
      <c r="S7189" t="str">
        <f t="shared" si="2935"/>
        <v>Approved</v>
      </c>
      <c r="T7189" t="str">
        <f t="shared" si="2921"/>
        <v>10.20.8.188</v>
      </c>
      <c r="U7189" t="str">
        <f t="shared" si="2936"/>
        <v>AZRAD UMAR BIN SHAARI</v>
      </c>
      <c r="V7189" t="str">
        <f t="shared" si="2937"/>
        <v>FARHANA BINTI MUSTAPA</v>
      </c>
      <c r="W7189" t="str">
        <f t="shared" si="2938"/>
        <v>04-08-2020</v>
      </c>
      <c r="X7189" t="str">
        <f t="shared" si="2939"/>
        <v>RAZIMAH ANSAR AHMAD</v>
      </c>
      <c r="Y7189" t="str">
        <f t="shared" si="2940"/>
        <v>04-08-2020</v>
      </c>
      <c r="Z7189" t="str">
        <f>"COS10200804 1965"</f>
        <v>COS10200804 1965</v>
      </c>
    </row>
    <row r="7190" spans="1:26" x14ac:dyDescent="0.25">
      <c r="A7190" t="str">
        <f t="shared" si="2942"/>
        <v>04-08-2020 12:35:42</v>
      </c>
      <c r="B7190" t="str">
        <f>"0000803720"</f>
        <v>0000803720</v>
      </c>
      <c r="C7190" t="str">
        <f t="shared" si="2943"/>
        <v>0000803555</v>
      </c>
      <c r="D7190" t="str">
        <f t="shared" si="2930"/>
        <v>73185</v>
      </c>
      <c r="E7190" t="str">
        <f t="shared" si="2931"/>
        <v>KFH-OPERATIONS DEPARTMENT</v>
      </c>
      <c r="F7190" t="str">
        <f t="shared" si="2932"/>
        <v>IBG</v>
      </c>
      <c r="G7190" t="str">
        <f t="shared" si="2941"/>
        <v>Refund COSHARE 10</v>
      </c>
      <c r="H7190" s="2">
        <v>170.4</v>
      </c>
      <c r="I7190" t="str">
        <f>"ROSLEE BIN JAMAN"</f>
        <v>ROSLEE BIN JAMAN</v>
      </c>
      <c r="J7190" t="str">
        <f t="shared" si="2946"/>
        <v>BANK SIMPANAN NASIONAL</v>
      </c>
      <c r="K7190" t="str">
        <f>"1211629853276468"</f>
        <v>1211629853276468</v>
      </c>
      <c r="L7190" t="str">
        <f t="shared" si="2944"/>
        <v>04-08-2020</v>
      </c>
      <c r="M7190" t="str">
        <f t="shared" si="2944"/>
        <v>04-08-2020</v>
      </c>
      <c r="N7190" t="str">
        <f t="shared" si="2933"/>
        <v>001105018356</v>
      </c>
      <c r="O7190" t="str">
        <f t="shared" si="2934"/>
        <v>MYR</v>
      </c>
      <c r="P7190" t="str">
        <f t="shared" si="2945"/>
        <v>NIL</v>
      </c>
      <c r="Q7190" t="str">
        <f t="shared" si="2945"/>
        <v>NIL</v>
      </c>
      <c r="R7190" t="str">
        <f t="shared" si="2920"/>
        <v>Accepted</v>
      </c>
      <c r="S7190" t="str">
        <f t="shared" si="2935"/>
        <v>Approved</v>
      </c>
      <c r="T7190" t="str">
        <f t="shared" si="2921"/>
        <v>10.20.8.188</v>
      </c>
      <c r="U7190" t="str">
        <f t="shared" si="2936"/>
        <v>AZRAD UMAR BIN SHAARI</v>
      </c>
      <c r="V7190" t="str">
        <f t="shared" si="2937"/>
        <v>FARHANA BINTI MUSTAPA</v>
      </c>
      <c r="W7190" t="str">
        <f t="shared" si="2938"/>
        <v>04-08-2020</v>
      </c>
      <c r="X7190" t="str">
        <f t="shared" si="2939"/>
        <v>RAZIMAH ANSAR AHMAD</v>
      </c>
      <c r="Y7190" t="str">
        <f t="shared" si="2940"/>
        <v>04-08-2020</v>
      </c>
      <c r="Z7190" t="str">
        <f>"COS10200804 1964"</f>
        <v>COS10200804 1964</v>
      </c>
    </row>
    <row r="7191" spans="1:26" x14ac:dyDescent="0.25">
      <c r="A7191" t="str">
        <f t="shared" si="2942"/>
        <v>04-08-2020 12:35:42</v>
      </c>
      <c r="B7191" t="str">
        <f>"0000803719"</f>
        <v>0000803719</v>
      </c>
      <c r="C7191" t="str">
        <f t="shared" si="2943"/>
        <v>0000803555</v>
      </c>
      <c r="D7191" t="str">
        <f t="shared" si="2930"/>
        <v>73185</v>
      </c>
      <c r="E7191" t="str">
        <f t="shared" si="2931"/>
        <v>KFH-OPERATIONS DEPARTMENT</v>
      </c>
      <c r="F7191" t="str">
        <f t="shared" si="2932"/>
        <v>IBG</v>
      </c>
      <c r="G7191" t="str">
        <f t="shared" si="2941"/>
        <v>Refund COSHARE 10</v>
      </c>
      <c r="H7191" s="2">
        <v>204.65</v>
      </c>
      <c r="I7191" t="str">
        <f>"ROSLAN BIN SIDEK"</f>
        <v>ROSLAN BIN SIDEK</v>
      </c>
      <c r="J7191" t="str">
        <f t="shared" si="2946"/>
        <v>BANK SIMPANAN NASIONAL</v>
      </c>
      <c r="K7191" t="str">
        <f>"0114541000021287"</f>
        <v>0114541000021287</v>
      </c>
      <c r="L7191" t="str">
        <f t="shared" si="2944"/>
        <v>04-08-2020</v>
      </c>
      <c r="M7191" t="str">
        <f t="shared" si="2944"/>
        <v>04-08-2020</v>
      </c>
      <c r="N7191" t="str">
        <f t="shared" si="2933"/>
        <v>001105018356</v>
      </c>
      <c r="O7191" t="str">
        <f t="shared" si="2934"/>
        <v>MYR</v>
      </c>
      <c r="P7191" t="str">
        <f t="shared" si="2945"/>
        <v>NIL</v>
      </c>
      <c r="Q7191" t="str">
        <f t="shared" si="2945"/>
        <v>NIL</v>
      </c>
      <c r="R7191" t="str">
        <f t="shared" si="2920"/>
        <v>Accepted</v>
      </c>
      <c r="S7191" t="str">
        <f t="shared" si="2935"/>
        <v>Approved</v>
      </c>
      <c r="T7191" t="str">
        <f t="shared" si="2921"/>
        <v>10.20.8.188</v>
      </c>
      <c r="U7191" t="str">
        <f t="shared" si="2936"/>
        <v>AZRAD UMAR BIN SHAARI</v>
      </c>
      <c r="V7191" t="str">
        <f t="shared" si="2937"/>
        <v>FARHANA BINTI MUSTAPA</v>
      </c>
      <c r="W7191" t="str">
        <f t="shared" si="2938"/>
        <v>04-08-2020</v>
      </c>
      <c r="X7191" t="str">
        <f t="shared" si="2939"/>
        <v>RAZIMAH ANSAR AHMAD</v>
      </c>
      <c r="Y7191" t="str">
        <f t="shared" si="2940"/>
        <v>04-08-2020</v>
      </c>
      <c r="Z7191" t="str">
        <f>"COS10200804 1963"</f>
        <v>COS10200804 1963</v>
      </c>
    </row>
    <row r="7192" spans="1:26" x14ac:dyDescent="0.25">
      <c r="A7192" t="str">
        <f t="shared" si="2942"/>
        <v>04-08-2020 12:35:42</v>
      </c>
      <c r="B7192" t="str">
        <f>"0000803718"</f>
        <v>0000803718</v>
      </c>
      <c r="C7192" t="str">
        <f t="shared" si="2943"/>
        <v>0000803555</v>
      </c>
      <c r="D7192" t="str">
        <f t="shared" si="2930"/>
        <v>73185</v>
      </c>
      <c r="E7192" t="str">
        <f t="shared" si="2931"/>
        <v>KFH-OPERATIONS DEPARTMENT</v>
      </c>
      <c r="F7192" t="str">
        <f t="shared" si="2932"/>
        <v>IBG</v>
      </c>
      <c r="G7192" t="str">
        <f t="shared" si="2941"/>
        <v>Refund COSHARE 10</v>
      </c>
      <c r="H7192" s="2">
        <v>585.6</v>
      </c>
      <c r="I7192" t="str">
        <f>"ROSLAN BIN OMAR"</f>
        <v>ROSLAN BIN OMAR</v>
      </c>
      <c r="J7192" t="str">
        <f t="shared" si="2946"/>
        <v>BANK SIMPANAN NASIONAL</v>
      </c>
      <c r="K7192" t="str">
        <f>"0412929868217447"</f>
        <v>0412929868217447</v>
      </c>
      <c r="L7192" t="str">
        <f t="shared" si="2944"/>
        <v>04-08-2020</v>
      </c>
      <c r="M7192" t="str">
        <f t="shared" si="2944"/>
        <v>04-08-2020</v>
      </c>
      <c r="N7192" t="str">
        <f t="shared" si="2933"/>
        <v>001105018356</v>
      </c>
      <c r="O7192" t="str">
        <f t="shared" si="2934"/>
        <v>MYR</v>
      </c>
      <c r="P7192" t="str">
        <f t="shared" si="2945"/>
        <v>NIL</v>
      </c>
      <c r="Q7192" t="str">
        <f t="shared" si="2945"/>
        <v>NIL</v>
      </c>
      <c r="R7192" t="str">
        <f t="shared" si="2920"/>
        <v>Accepted</v>
      </c>
      <c r="S7192" t="str">
        <f t="shared" si="2935"/>
        <v>Approved</v>
      </c>
      <c r="T7192" t="str">
        <f t="shared" si="2921"/>
        <v>10.20.8.188</v>
      </c>
      <c r="U7192" t="str">
        <f t="shared" si="2936"/>
        <v>AZRAD UMAR BIN SHAARI</v>
      </c>
      <c r="V7192" t="str">
        <f t="shared" si="2937"/>
        <v>FARHANA BINTI MUSTAPA</v>
      </c>
      <c r="W7192" t="str">
        <f t="shared" si="2938"/>
        <v>04-08-2020</v>
      </c>
      <c r="X7192" t="str">
        <f t="shared" si="2939"/>
        <v>RAZIMAH ANSAR AHMAD</v>
      </c>
      <c r="Y7192" t="str">
        <f t="shared" si="2940"/>
        <v>04-08-2020</v>
      </c>
      <c r="Z7192" t="str">
        <f>"COS10200804 1962"</f>
        <v>COS10200804 1962</v>
      </c>
    </row>
    <row r="7193" spans="1:26" x14ac:dyDescent="0.25">
      <c r="A7193" t="str">
        <f t="shared" si="2942"/>
        <v>04-08-2020 12:35:42</v>
      </c>
      <c r="B7193" t="str">
        <f>"0000803717"</f>
        <v>0000803717</v>
      </c>
      <c r="C7193" t="str">
        <f t="shared" si="2943"/>
        <v>0000803555</v>
      </c>
      <c r="D7193" t="str">
        <f t="shared" si="2930"/>
        <v>73185</v>
      </c>
      <c r="E7193" t="str">
        <f t="shared" si="2931"/>
        <v>KFH-OPERATIONS DEPARTMENT</v>
      </c>
      <c r="F7193" t="str">
        <f t="shared" si="2932"/>
        <v>IBG</v>
      </c>
      <c r="G7193" t="str">
        <f t="shared" si="2941"/>
        <v>Refund COSHARE 10</v>
      </c>
      <c r="H7193" s="2">
        <v>190.55</v>
      </c>
      <c r="I7193" t="str">
        <f>"ROSLAN BIN AHMAD"</f>
        <v>ROSLAN BIN AHMAD</v>
      </c>
      <c r="J7193" t="str">
        <f t="shared" si="2946"/>
        <v>BANK SIMPANAN NASIONAL</v>
      </c>
      <c r="K7193" t="str">
        <f>"1416429861710840"</f>
        <v>1416429861710840</v>
      </c>
      <c r="L7193" t="str">
        <f t="shared" si="2944"/>
        <v>04-08-2020</v>
      </c>
      <c r="M7193" t="str">
        <f t="shared" si="2944"/>
        <v>04-08-2020</v>
      </c>
      <c r="N7193" t="str">
        <f t="shared" si="2933"/>
        <v>001105018356</v>
      </c>
      <c r="O7193" t="str">
        <f t="shared" si="2934"/>
        <v>MYR</v>
      </c>
      <c r="P7193" t="str">
        <f t="shared" si="2945"/>
        <v>NIL</v>
      </c>
      <c r="Q7193" t="str">
        <f t="shared" si="2945"/>
        <v>NIL</v>
      </c>
      <c r="R7193" t="str">
        <f t="shared" si="2920"/>
        <v>Accepted</v>
      </c>
      <c r="S7193" t="str">
        <f t="shared" si="2935"/>
        <v>Approved</v>
      </c>
      <c r="T7193" t="str">
        <f t="shared" si="2921"/>
        <v>10.20.8.188</v>
      </c>
      <c r="U7193" t="str">
        <f t="shared" si="2936"/>
        <v>AZRAD UMAR BIN SHAARI</v>
      </c>
      <c r="V7193" t="str">
        <f t="shared" si="2937"/>
        <v>FARHANA BINTI MUSTAPA</v>
      </c>
      <c r="W7193" t="str">
        <f t="shared" si="2938"/>
        <v>04-08-2020</v>
      </c>
      <c r="X7193" t="str">
        <f t="shared" si="2939"/>
        <v>RAZIMAH ANSAR AHMAD</v>
      </c>
      <c r="Y7193" t="str">
        <f t="shared" si="2940"/>
        <v>04-08-2020</v>
      </c>
      <c r="Z7193" t="str">
        <f>"COS10200804 1961"</f>
        <v>COS10200804 1961</v>
      </c>
    </row>
    <row r="7194" spans="1:26" x14ac:dyDescent="0.25">
      <c r="A7194" t="str">
        <f t="shared" si="2942"/>
        <v>04-08-2020 12:35:42</v>
      </c>
      <c r="B7194" t="str">
        <f>"0000803716"</f>
        <v>0000803716</v>
      </c>
      <c r="C7194" t="str">
        <f t="shared" si="2943"/>
        <v>0000803555</v>
      </c>
      <c r="D7194" t="str">
        <f t="shared" si="2930"/>
        <v>73185</v>
      </c>
      <c r="E7194" t="str">
        <f t="shared" si="2931"/>
        <v>KFH-OPERATIONS DEPARTMENT</v>
      </c>
      <c r="F7194" t="str">
        <f t="shared" si="2932"/>
        <v>IBG</v>
      </c>
      <c r="G7194" t="str">
        <f t="shared" si="2941"/>
        <v>Refund COSHARE 10</v>
      </c>
      <c r="H7194" s="2">
        <v>166.8</v>
      </c>
      <c r="I7194" t="str">
        <f>"ROSLAN BIN AHMAD"</f>
        <v>ROSLAN BIN AHMAD</v>
      </c>
      <c r="J7194" t="str">
        <f t="shared" si="2946"/>
        <v>BANK SIMPANAN NASIONAL</v>
      </c>
      <c r="K7194" t="str">
        <f>"1416429861710840"</f>
        <v>1416429861710840</v>
      </c>
      <c r="L7194" t="str">
        <f t="shared" si="2944"/>
        <v>04-08-2020</v>
      </c>
      <c r="M7194" t="str">
        <f t="shared" si="2944"/>
        <v>04-08-2020</v>
      </c>
      <c r="N7194" t="str">
        <f t="shared" si="2933"/>
        <v>001105018356</v>
      </c>
      <c r="O7194" t="str">
        <f t="shared" si="2934"/>
        <v>MYR</v>
      </c>
      <c r="P7194" t="str">
        <f t="shared" si="2945"/>
        <v>NIL</v>
      </c>
      <c r="Q7194" t="str">
        <f t="shared" si="2945"/>
        <v>NIL</v>
      </c>
      <c r="R7194" t="str">
        <f t="shared" si="2920"/>
        <v>Accepted</v>
      </c>
      <c r="S7194" t="str">
        <f t="shared" si="2935"/>
        <v>Approved</v>
      </c>
      <c r="T7194" t="str">
        <f t="shared" si="2921"/>
        <v>10.20.8.188</v>
      </c>
      <c r="U7194" t="str">
        <f t="shared" si="2936"/>
        <v>AZRAD UMAR BIN SHAARI</v>
      </c>
      <c r="V7194" t="str">
        <f t="shared" si="2937"/>
        <v>FARHANA BINTI MUSTAPA</v>
      </c>
      <c r="W7194" t="str">
        <f t="shared" si="2938"/>
        <v>04-08-2020</v>
      </c>
      <c r="X7194" t="str">
        <f t="shared" si="2939"/>
        <v>RAZIMAH ANSAR AHMAD</v>
      </c>
      <c r="Y7194" t="str">
        <f t="shared" si="2940"/>
        <v>04-08-2020</v>
      </c>
      <c r="Z7194" t="str">
        <f>"COS10200804 1960"</f>
        <v>COS10200804 1960</v>
      </c>
    </row>
    <row r="7195" spans="1:26" x14ac:dyDescent="0.25">
      <c r="A7195" t="str">
        <f t="shared" si="2942"/>
        <v>04-08-2020 12:35:42</v>
      </c>
      <c r="B7195" t="str">
        <f>"0000803715"</f>
        <v>0000803715</v>
      </c>
      <c r="C7195" t="str">
        <f t="shared" si="2943"/>
        <v>0000803555</v>
      </c>
      <c r="D7195" t="str">
        <f t="shared" si="2930"/>
        <v>73185</v>
      </c>
      <c r="E7195" t="str">
        <f t="shared" si="2931"/>
        <v>KFH-OPERATIONS DEPARTMENT</v>
      </c>
      <c r="F7195" t="str">
        <f t="shared" si="2932"/>
        <v>IBG</v>
      </c>
      <c r="G7195" t="str">
        <f t="shared" si="2941"/>
        <v>Refund COSHARE 10</v>
      </c>
      <c r="H7195" s="2">
        <v>137.94999999999999</v>
      </c>
      <c r="I7195" t="str">
        <f>"ROSLAN  BIN MOHD NOH"</f>
        <v>ROSLAN  BIN MOHD NOH</v>
      </c>
      <c r="J7195" t="str">
        <f t="shared" si="2946"/>
        <v>BANK SIMPANAN NASIONAL</v>
      </c>
      <c r="K7195" t="str">
        <f>"1211729000037997"</f>
        <v>1211729000037997</v>
      </c>
      <c r="L7195" t="str">
        <f t="shared" si="2944"/>
        <v>04-08-2020</v>
      </c>
      <c r="M7195" t="str">
        <f t="shared" si="2944"/>
        <v>04-08-2020</v>
      </c>
      <c r="N7195" t="str">
        <f t="shared" si="2933"/>
        <v>001105018356</v>
      </c>
      <c r="O7195" t="str">
        <f t="shared" si="2934"/>
        <v>MYR</v>
      </c>
      <c r="P7195" t="str">
        <f t="shared" si="2945"/>
        <v>NIL</v>
      </c>
      <c r="Q7195" t="str">
        <f t="shared" si="2945"/>
        <v>NIL</v>
      </c>
      <c r="R7195" t="str">
        <f t="shared" si="2920"/>
        <v>Accepted</v>
      </c>
      <c r="S7195" t="str">
        <f t="shared" si="2935"/>
        <v>Approved</v>
      </c>
      <c r="T7195" t="str">
        <f t="shared" si="2921"/>
        <v>10.20.8.188</v>
      </c>
      <c r="U7195" t="str">
        <f t="shared" si="2936"/>
        <v>AZRAD UMAR BIN SHAARI</v>
      </c>
      <c r="V7195" t="str">
        <f t="shared" si="2937"/>
        <v>FARHANA BINTI MUSTAPA</v>
      </c>
      <c r="W7195" t="str">
        <f t="shared" si="2938"/>
        <v>04-08-2020</v>
      </c>
      <c r="X7195" t="str">
        <f t="shared" si="2939"/>
        <v>RAZIMAH ANSAR AHMAD</v>
      </c>
      <c r="Y7195" t="str">
        <f t="shared" si="2940"/>
        <v>04-08-2020</v>
      </c>
      <c r="Z7195" t="str">
        <f>"COS10200804 1959"</f>
        <v>COS10200804 1959</v>
      </c>
    </row>
    <row r="7196" spans="1:26" x14ac:dyDescent="0.25">
      <c r="A7196" t="str">
        <f t="shared" si="2942"/>
        <v>04-08-2020 12:35:42</v>
      </c>
      <c r="B7196" t="str">
        <f>"0000803714"</f>
        <v>0000803714</v>
      </c>
      <c r="C7196" t="str">
        <f t="shared" si="2943"/>
        <v>0000803555</v>
      </c>
      <c r="D7196" t="str">
        <f t="shared" si="2930"/>
        <v>73185</v>
      </c>
      <c r="E7196" t="str">
        <f t="shared" si="2931"/>
        <v>KFH-OPERATIONS DEPARTMENT</v>
      </c>
      <c r="F7196" t="str">
        <f t="shared" si="2932"/>
        <v>IBG</v>
      </c>
      <c r="G7196" t="str">
        <f t="shared" si="2941"/>
        <v>Refund COSHARE 10</v>
      </c>
      <c r="H7196" s="2">
        <v>183</v>
      </c>
      <c r="I7196" t="str">
        <f>"ROSIAH BINTI MATUSIN"</f>
        <v>ROSIAH BINTI MATUSIN</v>
      </c>
      <c r="J7196" t="str">
        <f t="shared" si="2946"/>
        <v>BANK SIMPANAN NASIONAL</v>
      </c>
      <c r="K7196" t="str">
        <f>"1210029853206161"</f>
        <v>1210029853206161</v>
      </c>
      <c r="L7196" t="str">
        <f t="shared" si="2944"/>
        <v>04-08-2020</v>
      </c>
      <c r="M7196" t="str">
        <f t="shared" si="2944"/>
        <v>04-08-2020</v>
      </c>
      <c r="N7196" t="str">
        <f t="shared" si="2933"/>
        <v>001105018356</v>
      </c>
      <c r="O7196" t="str">
        <f t="shared" si="2934"/>
        <v>MYR</v>
      </c>
      <c r="P7196" t="str">
        <f t="shared" si="2945"/>
        <v>NIL</v>
      </c>
      <c r="Q7196" t="str">
        <f t="shared" si="2945"/>
        <v>NIL</v>
      </c>
      <c r="R7196" t="str">
        <f t="shared" si="2920"/>
        <v>Accepted</v>
      </c>
      <c r="S7196" t="str">
        <f t="shared" si="2935"/>
        <v>Approved</v>
      </c>
      <c r="T7196" t="str">
        <f t="shared" si="2921"/>
        <v>10.20.8.188</v>
      </c>
      <c r="U7196" t="str">
        <f t="shared" si="2936"/>
        <v>AZRAD UMAR BIN SHAARI</v>
      </c>
      <c r="V7196" t="str">
        <f t="shared" si="2937"/>
        <v>FARHANA BINTI MUSTAPA</v>
      </c>
      <c r="W7196" t="str">
        <f t="shared" si="2938"/>
        <v>04-08-2020</v>
      </c>
      <c r="X7196" t="str">
        <f t="shared" si="2939"/>
        <v>RAZIMAH ANSAR AHMAD</v>
      </c>
      <c r="Y7196" t="str">
        <f t="shared" si="2940"/>
        <v>04-08-2020</v>
      </c>
      <c r="Z7196" t="str">
        <f>"COS10200804 1958"</f>
        <v>COS10200804 1958</v>
      </c>
    </row>
    <row r="7197" spans="1:26" x14ac:dyDescent="0.25">
      <c r="A7197" t="str">
        <f t="shared" si="2942"/>
        <v>04-08-2020 12:35:42</v>
      </c>
      <c r="B7197" t="str">
        <f>"0000803713"</f>
        <v>0000803713</v>
      </c>
      <c r="C7197" t="str">
        <f t="shared" si="2943"/>
        <v>0000803555</v>
      </c>
      <c r="D7197" t="str">
        <f t="shared" si="2930"/>
        <v>73185</v>
      </c>
      <c r="E7197" t="str">
        <f t="shared" si="2931"/>
        <v>KFH-OPERATIONS DEPARTMENT</v>
      </c>
      <c r="F7197" t="str">
        <f t="shared" si="2932"/>
        <v>IBG</v>
      </c>
      <c r="G7197" t="str">
        <f t="shared" si="2941"/>
        <v>Refund COSHARE 10</v>
      </c>
      <c r="H7197" s="2">
        <v>159.5</v>
      </c>
      <c r="I7197" t="str">
        <f>"ROSEMARIA BT MAJID"</f>
        <v>ROSEMARIA BT MAJID</v>
      </c>
      <c r="J7197" t="str">
        <f t="shared" si="2946"/>
        <v>BANK SIMPANAN NASIONAL</v>
      </c>
      <c r="K7197" t="str">
        <f>"0210029813187064"</f>
        <v>0210029813187064</v>
      </c>
      <c r="L7197" t="str">
        <f t="shared" si="2944"/>
        <v>04-08-2020</v>
      </c>
      <c r="M7197" t="str">
        <f t="shared" si="2944"/>
        <v>04-08-2020</v>
      </c>
      <c r="N7197" t="str">
        <f t="shared" si="2933"/>
        <v>001105018356</v>
      </c>
      <c r="O7197" t="str">
        <f t="shared" si="2934"/>
        <v>MYR</v>
      </c>
      <c r="P7197" t="str">
        <f t="shared" si="2945"/>
        <v>NIL</v>
      </c>
      <c r="Q7197" t="str">
        <f t="shared" si="2945"/>
        <v>NIL</v>
      </c>
      <c r="R7197" t="str">
        <f t="shared" si="2920"/>
        <v>Accepted</v>
      </c>
      <c r="S7197" t="str">
        <f t="shared" si="2935"/>
        <v>Approved</v>
      </c>
      <c r="T7197" t="str">
        <f t="shared" si="2921"/>
        <v>10.20.8.188</v>
      </c>
      <c r="U7197" t="str">
        <f t="shared" si="2936"/>
        <v>AZRAD UMAR BIN SHAARI</v>
      </c>
      <c r="V7197" t="str">
        <f t="shared" si="2937"/>
        <v>FARHANA BINTI MUSTAPA</v>
      </c>
      <c r="W7197" t="str">
        <f t="shared" si="2938"/>
        <v>04-08-2020</v>
      </c>
      <c r="X7197" t="str">
        <f t="shared" si="2939"/>
        <v>RAZIMAH ANSAR AHMAD</v>
      </c>
      <c r="Y7197" t="str">
        <f t="shared" si="2940"/>
        <v>04-08-2020</v>
      </c>
      <c r="Z7197" t="str">
        <f>"COS10200804 1957"</f>
        <v>COS10200804 1957</v>
      </c>
    </row>
    <row r="7198" spans="1:26" x14ac:dyDescent="0.25">
      <c r="A7198" t="str">
        <f t="shared" si="2942"/>
        <v>04-08-2020 12:35:42</v>
      </c>
      <c r="B7198" t="str">
        <f>"0000803712"</f>
        <v>0000803712</v>
      </c>
      <c r="C7198" t="str">
        <f t="shared" si="2943"/>
        <v>0000803555</v>
      </c>
      <c r="D7198" t="str">
        <f t="shared" si="2930"/>
        <v>73185</v>
      </c>
      <c r="E7198" t="str">
        <f t="shared" si="2931"/>
        <v>KFH-OPERATIONS DEPARTMENT</v>
      </c>
      <c r="F7198" t="str">
        <f t="shared" si="2932"/>
        <v>IBG</v>
      </c>
      <c r="G7198" t="str">
        <f t="shared" si="2941"/>
        <v>Refund COSHARE 10</v>
      </c>
      <c r="H7198" s="2">
        <v>184.7</v>
      </c>
      <c r="I7198" t="str">
        <f>"ROSDI BIN ISMAIL"</f>
        <v>ROSDI BIN ISMAIL</v>
      </c>
      <c r="J7198" t="str">
        <f t="shared" si="2946"/>
        <v>BANK SIMPANAN NASIONAL</v>
      </c>
      <c r="K7198" t="str">
        <f>"1212229000022345"</f>
        <v>1212229000022345</v>
      </c>
      <c r="L7198" t="str">
        <f t="shared" si="2944"/>
        <v>04-08-2020</v>
      </c>
      <c r="M7198" t="str">
        <f t="shared" si="2944"/>
        <v>04-08-2020</v>
      </c>
      <c r="N7198" t="str">
        <f t="shared" si="2933"/>
        <v>001105018356</v>
      </c>
      <c r="O7198" t="str">
        <f t="shared" si="2934"/>
        <v>MYR</v>
      </c>
      <c r="P7198" t="str">
        <f t="shared" si="2945"/>
        <v>NIL</v>
      </c>
      <c r="Q7198" t="str">
        <f t="shared" si="2945"/>
        <v>NIL</v>
      </c>
      <c r="R7198" t="str">
        <f t="shared" si="2920"/>
        <v>Accepted</v>
      </c>
      <c r="S7198" t="str">
        <f t="shared" si="2935"/>
        <v>Approved</v>
      </c>
      <c r="T7198" t="str">
        <f t="shared" si="2921"/>
        <v>10.20.8.188</v>
      </c>
      <c r="U7198" t="str">
        <f t="shared" si="2936"/>
        <v>AZRAD UMAR BIN SHAARI</v>
      </c>
      <c r="V7198" t="str">
        <f t="shared" si="2937"/>
        <v>FARHANA BINTI MUSTAPA</v>
      </c>
      <c r="W7198" t="str">
        <f t="shared" si="2938"/>
        <v>04-08-2020</v>
      </c>
      <c r="X7198" t="str">
        <f t="shared" si="2939"/>
        <v>RAZIMAH ANSAR AHMAD</v>
      </c>
      <c r="Y7198" t="str">
        <f t="shared" si="2940"/>
        <v>04-08-2020</v>
      </c>
      <c r="Z7198" t="str">
        <f>"COS10200804 1956"</f>
        <v>COS10200804 1956</v>
      </c>
    </row>
    <row r="7199" spans="1:26" x14ac:dyDescent="0.25">
      <c r="A7199" t="str">
        <f t="shared" si="2942"/>
        <v>04-08-2020 12:35:42</v>
      </c>
      <c r="B7199" t="str">
        <f>"0000803711"</f>
        <v>0000803711</v>
      </c>
      <c r="C7199" t="str">
        <f t="shared" si="2943"/>
        <v>0000803555</v>
      </c>
      <c r="D7199" t="str">
        <f t="shared" si="2930"/>
        <v>73185</v>
      </c>
      <c r="E7199" t="str">
        <f t="shared" si="2931"/>
        <v>KFH-OPERATIONS DEPARTMENT</v>
      </c>
      <c r="F7199" t="str">
        <f t="shared" si="2932"/>
        <v>IBG</v>
      </c>
      <c r="G7199" t="str">
        <f t="shared" si="2941"/>
        <v>Refund COSHARE 10</v>
      </c>
      <c r="H7199" s="2">
        <v>209.9</v>
      </c>
      <c r="I7199" t="str">
        <f>"RONNIE ANAK AWANG"</f>
        <v>RONNIE ANAK AWANG</v>
      </c>
      <c r="J7199" t="str">
        <f t="shared" si="2946"/>
        <v>BANK SIMPANAN NASIONAL</v>
      </c>
      <c r="K7199" t="str">
        <f>"1310929000007656"</f>
        <v>1310929000007656</v>
      </c>
      <c r="L7199" t="str">
        <f t="shared" si="2944"/>
        <v>04-08-2020</v>
      </c>
      <c r="M7199" t="str">
        <f t="shared" si="2944"/>
        <v>04-08-2020</v>
      </c>
      <c r="N7199" t="str">
        <f t="shared" si="2933"/>
        <v>001105018356</v>
      </c>
      <c r="O7199" t="str">
        <f t="shared" si="2934"/>
        <v>MYR</v>
      </c>
      <c r="P7199" t="str">
        <f t="shared" si="2945"/>
        <v>NIL</v>
      </c>
      <c r="Q7199" t="str">
        <f t="shared" si="2945"/>
        <v>NIL</v>
      </c>
      <c r="R7199" t="str">
        <f t="shared" si="2920"/>
        <v>Accepted</v>
      </c>
      <c r="S7199" t="str">
        <f t="shared" si="2935"/>
        <v>Approved</v>
      </c>
      <c r="T7199" t="str">
        <f t="shared" si="2921"/>
        <v>10.20.8.188</v>
      </c>
      <c r="U7199" t="str">
        <f t="shared" si="2936"/>
        <v>AZRAD UMAR BIN SHAARI</v>
      </c>
      <c r="V7199" t="str">
        <f t="shared" si="2937"/>
        <v>FARHANA BINTI MUSTAPA</v>
      </c>
      <c r="W7199" t="str">
        <f t="shared" si="2938"/>
        <v>04-08-2020</v>
      </c>
      <c r="X7199" t="str">
        <f t="shared" si="2939"/>
        <v>RAZIMAH ANSAR AHMAD</v>
      </c>
      <c r="Y7199" t="str">
        <f t="shared" si="2940"/>
        <v>04-08-2020</v>
      </c>
      <c r="Z7199" t="str">
        <f>"COS10200804 1955"</f>
        <v>COS10200804 1955</v>
      </c>
    </row>
    <row r="7200" spans="1:26" x14ac:dyDescent="0.25">
      <c r="A7200" t="str">
        <f t="shared" si="2942"/>
        <v>04-08-2020 12:35:42</v>
      </c>
      <c r="B7200" t="str">
        <f>"0000803710"</f>
        <v>0000803710</v>
      </c>
      <c r="C7200" t="str">
        <f t="shared" si="2943"/>
        <v>0000803555</v>
      </c>
      <c r="D7200" t="str">
        <f t="shared" si="2930"/>
        <v>73185</v>
      </c>
      <c r="E7200" t="str">
        <f t="shared" si="2931"/>
        <v>KFH-OPERATIONS DEPARTMENT</v>
      </c>
      <c r="F7200" t="str">
        <f t="shared" si="2932"/>
        <v>IBG</v>
      </c>
      <c r="G7200" t="str">
        <f t="shared" si="2941"/>
        <v>Refund COSHARE 10</v>
      </c>
      <c r="H7200" s="2">
        <v>76.25</v>
      </c>
      <c r="I7200" t="str">
        <f>"ROHAYA BINTI ABDUL RAUF"</f>
        <v>ROHAYA BINTI ABDUL RAUF</v>
      </c>
      <c r="J7200" t="str">
        <f t="shared" si="2946"/>
        <v>BANK SIMPANAN NASIONAL</v>
      </c>
      <c r="K7200" t="str">
        <f>"1010329863125415"</f>
        <v>1010329863125415</v>
      </c>
      <c r="L7200" t="str">
        <f t="shared" si="2944"/>
        <v>04-08-2020</v>
      </c>
      <c r="M7200" t="str">
        <f t="shared" si="2944"/>
        <v>04-08-2020</v>
      </c>
      <c r="N7200" t="str">
        <f t="shared" si="2933"/>
        <v>001105018356</v>
      </c>
      <c r="O7200" t="str">
        <f t="shared" si="2934"/>
        <v>MYR</v>
      </c>
      <c r="P7200" t="str">
        <f t="shared" si="2945"/>
        <v>NIL</v>
      </c>
      <c r="Q7200" t="str">
        <f t="shared" si="2945"/>
        <v>NIL</v>
      </c>
      <c r="R7200" t="str">
        <f t="shared" si="2920"/>
        <v>Accepted</v>
      </c>
      <c r="S7200" t="str">
        <f t="shared" si="2935"/>
        <v>Approved</v>
      </c>
      <c r="T7200" t="str">
        <f t="shared" si="2921"/>
        <v>10.20.8.188</v>
      </c>
      <c r="U7200" t="str">
        <f t="shared" si="2936"/>
        <v>AZRAD UMAR BIN SHAARI</v>
      </c>
      <c r="V7200" t="str">
        <f t="shared" si="2937"/>
        <v>FARHANA BINTI MUSTAPA</v>
      </c>
      <c r="W7200" t="str">
        <f t="shared" si="2938"/>
        <v>04-08-2020</v>
      </c>
      <c r="X7200" t="str">
        <f t="shared" si="2939"/>
        <v>RAZIMAH ANSAR AHMAD</v>
      </c>
      <c r="Y7200" t="str">
        <f t="shared" si="2940"/>
        <v>04-08-2020</v>
      </c>
      <c r="Z7200" t="str">
        <f>"COS10200804 1954"</f>
        <v>COS10200804 1954</v>
      </c>
    </row>
    <row r="7201" spans="1:26" x14ac:dyDescent="0.25">
      <c r="A7201" t="str">
        <f t="shared" si="2942"/>
        <v>04-08-2020 12:35:42</v>
      </c>
      <c r="B7201" t="str">
        <f>"0000803709"</f>
        <v>0000803709</v>
      </c>
      <c r="C7201" t="str">
        <f t="shared" si="2943"/>
        <v>0000803555</v>
      </c>
      <c r="D7201" t="str">
        <f t="shared" si="2930"/>
        <v>73185</v>
      </c>
      <c r="E7201" t="str">
        <f t="shared" si="2931"/>
        <v>KFH-OPERATIONS DEPARTMENT</v>
      </c>
      <c r="F7201" t="str">
        <f t="shared" si="2932"/>
        <v>IBG</v>
      </c>
      <c r="G7201" t="str">
        <f t="shared" si="2941"/>
        <v>Refund COSHARE 10</v>
      </c>
      <c r="H7201" s="2">
        <v>151.15</v>
      </c>
      <c r="I7201" t="str">
        <f>"ROHANI BINTI ABDUL KAREM"</f>
        <v>ROHANI BINTI ABDUL KAREM</v>
      </c>
      <c r="J7201" t="str">
        <f t="shared" si="2946"/>
        <v>BANK SIMPANAN NASIONAL</v>
      </c>
      <c r="K7201" t="str">
        <f>"1110029844975269"</f>
        <v>1110029844975269</v>
      </c>
      <c r="L7201" t="str">
        <f t="shared" si="2944"/>
        <v>04-08-2020</v>
      </c>
      <c r="M7201" t="str">
        <f t="shared" si="2944"/>
        <v>04-08-2020</v>
      </c>
      <c r="N7201" t="str">
        <f t="shared" si="2933"/>
        <v>001105018356</v>
      </c>
      <c r="O7201" t="str">
        <f t="shared" si="2934"/>
        <v>MYR</v>
      </c>
      <c r="P7201" t="str">
        <f t="shared" si="2945"/>
        <v>NIL</v>
      </c>
      <c r="Q7201" t="str">
        <f t="shared" si="2945"/>
        <v>NIL</v>
      </c>
      <c r="R7201" t="str">
        <f t="shared" si="2920"/>
        <v>Accepted</v>
      </c>
      <c r="S7201" t="str">
        <f t="shared" si="2935"/>
        <v>Approved</v>
      </c>
      <c r="T7201" t="str">
        <f t="shared" si="2921"/>
        <v>10.20.8.188</v>
      </c>
      <c r="U7201" t="str">
        <f t="shared" si="2936"/>
        <v>AZRAD UMAR BIN SHAARI</v>
      </c>
      <c r="V7201" t="str">
        <f t="shared" si="2937"/>
        <v>FARHANA BINTI MUSTAPA</v>
      </c>
      <c r="W7201" t="str">
        <f t="shared" si="2938"/>
        <v>04-08-2020</v>
      </c>
      <c r="X7201" t="str">
        <f t="shared" si="2939"/>
        <v>RAZIMAH ANSAR AHMAD</v>
      </c>
      <c r="Y7201" t="str">
        <f t="shared" si="2940"/>
        <v>04-08-2020</v>
      </c>
      <c r="Z7201" t="str">
        <f>"COS10200804 1953"</f>
        <v>COS10200804 1953</v>
      </c>
    </row>
    <row r="7202" spans="1:26" x14ac:dyDescent="0.25">
      <c r="A7202" t="str">
        <f t="shared" si="2942"/>
        <v>04-08-2020 12:35:42</v>
      </c>
      <c r="B7202" t="str">
        <f>"0000803708"</f>
        <v>0000803708</v>
      </c>
      <c r="C7202" t="str">
        <f t="shared" si="2943"/>
        <v>0000803555</v>
      </c>
      <c r="D7202" t="str">
        <f t="shared" si="2930"/>
        <v>73185</v>
      </c>
      <c r="E7202" t="str">
        <f t="shared" si="2931"/>
        <v>KFH-OPERATIONS DEPARTMENT</v>
      </c>
      <c r="F7202" t="str">
        <f t="shared" si="2932"/>
        <v>IBG</v>
      </c>
      <c r="G7202" t="str">
        <f t="shared" si="2941"/>
        <v>Refund COSHARE 10</v>
      </c>
      <c r="H7202" s="2">
        <v>386</v>
      </c>
      <c r="I7202" t="str">
        <f>"ROHAIZAM BIN ABDUL RAZAK  MOHAMAD"</f>
        <v>ROHAIZAM BIN ABDUL RAZAK  MOHAMAD</v>
      </c>
      <c r="J7202" t="str">
        <f t="shared" si="2946"/>
        <v>BANK SIMPANAN NASIONAL</v>
      </c>
      <c r="K7202" t="str">
        <f>"0610029811941131"</f>
        <v>0610029811941131</v>
      </c>
      <c r="L7202" t="str">
        <f t="shared" si="2944"/>
        <v>04-08-2020</v>
      </c>
      <c r="M7202" t="str">
        <f t="shared" si="2944"/>
        <v>04-08-2020</v>
      </c>
      <c r="N7202" t="str">
        <f t="shared" si="2933"/>
        <v>001105018356</v>
      </c>
      <c r="O7202" t="str">
        <f t="shared" si="2934"/>
        <v>MYR</v>
      </c>
      <c r="P7202" t="str">
        <f t="shared" si="2945"/>
        <v>NIL</v>
      </c>
      <c r="Q7202" t="str">
        <f t="shared" si="2945"/>
        <v>NIL</v>
      </c>
      <c r="R7202" t="str">
        <f t="shared" ref="R7202:R7265" si="2947">"Accepted"</f>
        <v>Accepted</v>
      </c>
      <c r="S7202" t="str">
        <f t="shared" si="2935"/>
        <v>Approved</v>
      </c>
      <c r="T7202" t="str">
        <f t="shared" ref="T7202:T7265" si="2948">"10.20.8.188"</f>
        <v>10.20.8.188</v>
      </c>
      <c r="U7202" t="str">
        <f t="shared" si="2936"/>
        <v>AZRAD UMAR BIN SHAARI</v>
      </c>
      <c r="V7202" t="str">
        <f t="shared" si="2937"/>
        <v>FARHANA BINTI MUSTAPA</v>
      </c>
      <c r="W7202" t="str">
        <f t="shared" si="2938"/>
        <v>04-08-2020</v>
      </c>
      <c r="X7202" t="str">
        <f t="shared" si="2939"/>
        <v>RAZIMAH ANSAR AHMAD</v>
      </c>
      <c r="Y7202" t="str">
        <f t="shared" si="2940"/>
        <v>04-08-2020</v>
      </c>
      <c r="Z7202" t="str">
        <f>"COS10200804 1952"</f>
        <v>COS10200804 1952</v>
      </c>
    </row>
    <row r="7203" spans="1:26" x14ac:dyDescent="0.25">
      <c r="A7203" t="str">
        <f t="shared" si="2942"/>
        <v>04-08-2020 12:35:42</v>
      </c>
      <c r="B7203" t="str">
        <f>"0000803707"</f>
        <v>0000803707</v>
      </c>
      <c r="C7203" t="str">
        <f t="shared" si="2943"/>
        <v>0000803555</v>
      </c>
      <c r="D7203" t="str">
        <f t="shared" si="2930"/>
        <v>73185</v>
      </c>
      <c r="E7203" t="str">
        <f t="shared" si="2931"/>
        <v>KFH-OPERATIONS DEPARTMENT</v>
      </c>
      <c r="F7203" t="str">
        <f t="shared" si="2932"/>
        <v>IBG</v>
      </c>
      <c r="G7203" t="str">
        <f t="shared" si="2941"/>
        <v>Refund COSHARE 10</v>
      </c>
      <c r="H7203" s="2">
        <v>50.4</v>
      </c>
      <c r="I7203" t="str">
        <f>"ROGELYAUL LAKAI BALANG"</f>
        <v>ROGELYAUL LAKAI BALANG</v>
      </c>
      <c r="J7203" t="str">
        <f t="shared" si="2946"/>
        <v>BANK SIMPANAN NASIONAL</v>
      </c>
      <c r="K7203" t="str">
        <f>"1312529000035379"</f>
        <v>1312529000035379</v>
      </c>
      <c r="L7203" t="str">
        <f t="shared" si="2944"/>
        <v>04-08-2020</v>
      </c>
      <c r="M7203" t="str">
        <f t="shared" si="2944"/>
        <v>04-08-2020</v>
      </c>
      <c r="N7203" t="str">
        <f t="shared" si="2933"/>
        <v>001105018356</v>
      </c>
      <c r="O7203" t="str">
        <f t="shared" si="2934"/>
        <v>MYR</v>
      </c>
      <c r="P7203" t="str">
        <f t="shared" si="2945"/>
        <v>NIL</v>
      </c>
      <c r="Q7203" t="str">
        <f t="shared" si="2945"/>
        <v>NIL</v>
      </c>
      <c r="R7203" t="str">
        <f t="shared" si="2947"/>
        <v>Accepted</v>
      </c>
      <c r="S7203" t="str">
        <f t="shared" si="2935"/>
        <v>Approved</v>
      </c>
      <c r="T7203" t="str">
        <f t="shared" si="2948"/>
        <v>10.20.8.188</v>
      </c>
      <c r="U7203" t="str">
        <f t="shared" si="2936"/>
        <v>AZRAD UMAR BIN SHAARI</v>
      </c>
      <c r="V7203" t="str">
        <f t="shared" si="2937"/>
        <v>FARHANA BINTI MUSTAPA</v>
      </c>
      <c r="W7203" t="str">
        <f t="shared" si="2938"/>
        <v>04-08-2020</v>
      </c>
      <c r="X7203" t="str">
        <f t="shared" si="2939"/>
        <v>RAZIMAH ANSAR AHMAD</v>
      </c>
      <c r="Y7203" t="str">
        <f t="shared" si="2940"/>
        <v>04-08-2020</v>
      </c>
      <c r="Z7203" t="str">
        <f>"COS10200804 1951"</f>
        <v>COS10200804 1951</v>
      </c>
    </row>
    <row r="7204" spans="1:26" x14ac:dyDescent="0.25">
      <c r="A7204" t="str">
        <f t="shared" si="2942"/>
        <v>04-08-2020 12:35:42</v>
      </c>
      <c r="B7204" t="str">
        <f>"0000803706"</f>
        <v>0000803706</v>
      </c>
      <c r="C7204" t="str">
        <f t="shared" si="2943"/>
        <v>0000803555</v>
      </c>
      <c r="D7204" t="str">
        <f t="shared" si="2930"/>
        <v>73185</v>
      </c>
      <c r="E7204" t="str">
        <f t="shared" si="2931"/>
        <v>KFH-OPERATIONS DEPARTMENT</v>
      </c>
      <c r="F7204" t="str">
        <f t="shared" si="2932"/>
        <v>IBG</v>
      </c>
      <c r="G7204" t="str">
        <f t="shared" si="2941"/>
        <v>Refund COSHARE 10</v>
      </c>
      <c r="H7204" s="2">
        <v>683</v>
      </c>
      <c r="I7204" t="str">
        <f>"RIZWANA BINTI MAT RAMLEE"</f>
        <v>RIZWANA BINTI MAT RAMLEE</v>
      </c>
      <c r="J7204" t="str">
        <f t="shared" si="2946"/>
        <v>BANK SIMPANAN NASIONAL</v>
      </c>
      <c r="K7204" t="str">
        <f>"1310041000185964"</f>
        <v>1310041000185964</v>
      </c>
      <c r="L7204" t="str">
        <f t="shared" si="2944"/>
        <v>04-08-2020</v>
      </c>
      <c r="M7204" t="str">
        <f t="shared" si="2944"/>
        <v>04-08-2020</v>
      </c>
      <c r="N7204" t="str">
        <f t="shared" si="2933"/>
        <v>001105018356</v>
      </c>
      <c r="O7204" t="str">
        <f t="shared" si="2934"/>
        <v>MYR</v>
      </c>
      <c r="P7204" t="str">
        <f t="shared" si="2945"/>
        <v>NIL</v>
      </c>
      <c r="Q7204" t="str">
        <f t="shared" si="2945"/>
        <v>NIL</v>
      </c>
      <c r="R7204" t="str">
        <f t="shared" si="2947"/>
        <v>Accepted</v>
      </c>
      <c r="S7204" t="str">
        <f t="shared" si="2935"/>
        <v>Approved</v>
      </c>
      <c r="T7204" t="str">
        <f t="shared" si="2948"/>
        <v>10.20.8.188</v>
      </c>
      <c r="U7204" t="str">
        <f t="shared" si="2936"/>
        <v>AZRAD UMAR BIN SHAARI</v>
      </c>
      <c r="V7204" t="str">
        <f t="shared" si="2937"/>
        <v>FARHANA BINTI MUSTAPA</v>
      </c>
      <c r="W7204" t="str">
        <f t="shared" si="2938"/>
        <v>04-08-2020</v>
      </c>
      <c r="X7204" t="str">
        <f t="shared" si="2939"/>
        <v>RAZIMAH ANSAR AHMAD</v>
      </c>
      <c r="Y7204" t="str">
        <f t="shared" si="2940"/>
        <v>04-08-2020</v>
      </c>
      <c r="Z7204" t="str">
        <f>"COS10200804 1950"</f>
        <v>COS10200804 1950</v>
      </c>
    </row>
    <row r="7205" spans="1:26" x14ac:dyDescent="0.25">
      <c r="A7205" t="str">
        <f t="shared" si="2942"/>
        <v>04-08-2020 12:35:42</v>
      </c>
      <c r="B7205" t="str">
        <f>"0000803705"</f>
        <v>0000803705</v>
      </c>
      <c r="C7205" t="str">
        <f t="shared" si="2943"/>
        <v>0000803555</v>
      </c>
      <c r="D7205" t="str">
        <f t="shared" si="2930"/>
        <v>73185</v>
      </c>
      <c r="E7205" t="str">
        <f t="shared" si="2931"/>
        <v>KFH-OPERATIONS DEPARTMENT</v>
      </c>
      <c r="F7205" t="str">
        <f t="shared" si="2932"/>
        <v>IBG</v>
      </c>
      <c r="G7205" t="str">
        <f t="shared" si="2941"/>
        <v>Refund COSHARE 10</v>
      </c>
      <c r="H7205" s="2">
        <v>142.75</v>
      </c>
      <c r="I7205" t="str">
        <f>"RIZALMAN BIN ISHAK"</f>
        <v>RIZALMAN BIN ISHAK</v>
      </c>
      <c r="J7205" t="str">
        <f t="shared" si="2946"/>
        <v>BANK SIMPANAN NASIONAL</v>
      </c>
      <c r="K7205" t="str">
        <f>"0824129000021284"</f>
        <v>0824129000021284</v>
      </c>
      <c r="L7205" t="str">
        <f t="shared" si="2944"/>
        <v>04-08-2020</v>
      </c>
      <c r="M7205" t="str">
        <f t="shared" si="2944"/>
        <v>04-08-2020</v>
      </c>
      <c r="N7205" t="str">
        <f t="shared" si="2933"/>
        <v>001105018356</v>
      </c>
      <c r="O7205" t="str">
        <f t="shared" si="2934"/>
        <v>MYR</v>
      </c>
      <c r="P7205" t="str">
        <f t="shared" si="2945"/>
        <v>NIL</v>
      </c>
      <c r="Q7205" t="str">
        <f t="shared" si="2945"/>
        <v>NIL</v>
      </c>
      <c r="R7205" t="str">
        <f t="shared" si="2947"/>
        <v>Accepted</v>
      </c>
      <c r="S7205" t="str">
        <f t="shared" si="2935"/>
        <v>Approved</v>
      </c>
      <c r="T7205" t="str">
        <f t="shared" si="2948"/>
        <v>10.20.8.188</v>
      </c>
      <c r="U7205" t="str">
        <f t="shared" si="2936"/>
        <v>AZRAD UMAR BIN SHAARI</v>
      </c>
      <c r="V7205" t="str">
        <f t="shared" si="2937"/>
        <v>FARHANA BINTI MUSTAPA</v>
      </c>
      <c r="W7205" t="str">
        <f t="shared" si="2938"/>
        <v>04-08-2020</v>
      </c>
      <c r="X7205" t="str">
        <f t="shared" si="2939"/>
        <v>RAZIMAH ANSAR AHMAD</v>
      </c>
      <c r="Y7205" t="str">
        <f t="shared" si="2940"/>
        <v>04-08-2020</v>
      </c>
      <c r="Z7205" t="str">
        <f>"COS10200804 1949"</f>
        <v>COS10200804 1949</v>
      </c>
    </row>
    <row r="7206" spans="1:26" x14ac:dyDescent="0.25">
      <c r="A7206" t="str">
        <f t="shared" si="2942"/>
        <v>04-08-2020 12:35:42</v>
      </c>
      <c r="B7206" t="str">
        <f>"0000803704"</f>
        <v>0000803704</v>
      </c>
      <c r="C7206" t="str">
        <f t="shared" si="2943"/>
        <v>0000803555</v>
      </c>
      <c r="D7206" t="str">
        <f t="shared" si="2930"/>
        <v>73185</v>
      </c>
      <c r="E7206" t="str">
        <f t="shared" si="2931"/>
        <v>KFH-OPERATIONS DEPARTMENT</v>
      </c>
      <c r="F7206" t="str">
        <f t="shared" si="2932"/>
        <v>IBG</v>
      </c>
      <c r="G7206" t="str">
        <f t="shared" si="2941"/>
        <v>Refund COSHARE 10</v>
      </c>
      <c r="H7206" s="2">
        <v>562.5</v>
      </c>
      <c r="I7206" t="str">
        <f>"RENNY BINTI PANSING"</f>
        <v>RENNY BINTI PANSING</v>
      </c>
      <c r="J7206" t="str">
        <f t="shared" si="2946"/>
        <v>BANK SIMPANAN NASIONAL</v>
      </c>
      <c r="K7206" t="str">
        <f>"1211229000054910"</f>
        <v>1211229000054910</v>
      </c>
      <c r="L7206" t="str">
        <f t="shared" si="2944"/>
        <v>04-08-2020</v>
      </c>
      <c r="M7206" t="str">
        <f t="shared" si="2944"/>
        <v>04-08-2020</v>
      </c>
      <c r="N7206" t="str">
        <f t="shared" si="2933"/>
        <v>001105018356</v>
      </c>
      <c r="O7206" t="str">
        <f t="shared" si="2934"/>
        <v>MYR</v>
      </c>
      <c r="P7206" t="str">
        <f t="shared" si="2945"/>
        <v>NIL</v>
      </c>
      <c r="Q7206" t="str">
        <f t="shared" si="2945"/>
        <v>NIL</v>
      </c>
      <c r="R7206" t="str">
        <f t="shared" si="2947"/>
        <v>Accepted</v>
      </c>
      <c r="S7206" t="str">
        <f t="shared" si="2935"/>
        <v>Approved</v>
      </c>
      <c r="T7206" t="str">
        <f t="shared" si="2948"/>
        <v>10.20.8.188</v>
      </c>
      <c r="U7206" t="str">
        <f t="shared" si="2936"/>
        <v>AZRAD UMAR BIN SHAARI</v>
      </c>
      <c r="V7206" t="str">
        <f t="shared" si="2937"/>
        <v>FARHANA BINTI MUSTAPA</v>
      </c>
      <c r="W7206" t="str">
        <f t="shared" si="2938"/>
        <v>04-08-2020</v>
      </c>
      <c r="X7206" t="str">
        <f t="shared" si="2939"/>
        <v>RAZIMAH ANSAR AHMAD</v>
      </c>
      <c r="Y7206" t="str">
        <f t="shared" si="2940"/>
        <v>04-08-2020</v>
      </c>
      <c r="Z7206" t="str">
        <f>"COS10200804 1948"</f>
        <v>COS10200804 1948</v>
      </c>
    </row>
    <row r="7207" spans="1:26" x14ac:dyDescent="0.25">
      <c r="A7207" t="str">
        <f t="shared" si="2942"/>
        <v>04-08-2020 12:35:42</v>
      </c>
      <c r="B7207" t="str">
        <f>"0000803703"</f>
        <v>0000803703</v>
      </c>
      <c r="C7207" t="str">
        <f t="shared" si="2943"/>
        <v>0000803555</v>
      </c>
      <c r="D7207" t="str">
        <f t="shared" si="2930"/>
        <v>73185</v>
      </c>
      <c r="E7207" t="str">
        <f t="shared" si="2931"/>
        <v>KFH-OPERATIONS DEPARTMENT</v>
      </c>
      <c r="F7207" t="str">
        <f t="shared" si="2932"/>
        <v>IBG</v>
      </c>
      <c r="G7207" t="str">
        <f t="shared" si="2941"/>
        <v>Refund COSHARE 10</v>
      </c>
      <c r="H7207" s="2">
        <v>251.85</v>
      </c>
      <c r="I7207" t="str">
        <f>"REFOLL ANAK LEXZENDA EMPALING"</f>
        <v>REFOLL ANAK LEXZENDA EMPALING</v>
      </c>
      <c r="J7207" t="str">
        <f t="shared" si="2946"/>
        <v>BANK SIMPANAN NASIONAL</v>
      </c>
      <c r="K7207" t="str">
        <f>"1311529000049023"</f>
        <v>1311529000049023</v>
      </c>
      <c r="L7207" t="str">
        <f t="shared" ref="L7207:M7226" si="2949">"04-08-2020"</f>
        <v>04-08-2020</v>
      </c>
      <c r="M7207" t="str">
        <f t="shared" si="2949"/>
        <v>04-08-2020</v>
      </c>
      <c r="N7207" t="str">
        <f t="shared" si="2933"/>
        <v>001105018356</v>
      </c>
      <c r="O7207" t="str">
        <f t="shared" si="2934"/>
        <v>MYR</v>
      </c>
      <c r="P7207" t="str">
        <f t="shared" ref="P7207:Q7226" si="2950">"NIL"</f>
        <v>NIL</v>
      </c>
      <c r="Q7207" t="str">
        <f t="shared" si="2950"/>
        <v>NIL</v>
      </c>
      <c r="R7207" t="str">
        <f t="shared" si="2947"/>
        <v>Accepted</v>
      </c>
      <c r="S7207" t="str">
        <f t="shared" si="2935"/>
        <v>Approved</v>
      </c>
      <c r="T7207" t="str">
        <f t="shared" si="2948"/>
        <v>10.20.8.188</v>
      </c>
      <c r="U7207" t="str">
        <f t="shared" si="2936"/>
        <v>AZRAD UMAR BIN SHAARI</v>
      </c>
      <c r="V7207" t="str">
        <f t="shared" si="2937"/>
        <v>FARHANA BINTI MUSTAPA</v>
      </c>
      <c r="W7207" t="str">
        <f t="shared" si="2938"/>
        <v>04-08-2020</v>
      </c>
      <c r="X7207" t="str">
        <f t="shared" si="2939"/>
        <v>RAZIMAH ANSAR AHMAD</v>
      </c>
      <c r="Y7207" t="str">
        <f t="shared" si="2940"/>
        <v>04-08-2020</v>
      </c>
      <c r="Z7207" t="str">
        <f>"COS10200804 1947"</f>
        <v>COS10200804 1947</v>
      </c>
    </row>
    <row r="7208" spans="1:26" x14ac:dyDescent="0.25">
      <c r="A7208" t="str">
        <f t="shared" si="2942"/>
        <v>04-08-2020 12:35:42</v>
      </c>
      <c r="B7208" t="str">
        <f>"0000803702"</f>
        <v>0000803702</v>
      </c>
      <c r="C7208" t="str">
        <f t="shared" si="2943"/>
        <v>0000803555</v>
      </c>
      <c r="D7208" t="str">
        <f t="shared" si="2930"/>
        <v>73185</v>
      </c>
      <c r="E7208" t="str">
        <f t="shared" si="2931"/>
        <v>KFH-OPERATIONS DEPARTMENT</v>
      </c>
      <c r="F7208" t="str">
        <f t="shared" si="2932"/>
        <v>IBG</v>
      </c>
      <c r="G7208" t="str">
        <f t="shared" si="2941"/>
        <v>Refund COSHARE 10</v>
      </c>
      <c r="H7208" s="2">
        <v>648</v>
      </c>
      <c r="I7208" t="str">
        <f>"REET KSANDHU AP MINDER SINGH"</f>
        <v>REET KSANDHU AP MINDER SINGH</v>
      </c>
      <c r="J7208" t="str">
        <f t="shared" si="2946"/>
        <v>BANK SIMPANAN NASIONAL</v>
      </c>
      <c r="K7208" t="str">
        <f>"0210429000062288"</f>
        <v>0210429000062288</v>
      </c>
      <c r="L7208" t="str">
        <f t="shared" si="2949"/>
        <v>04-08-2020</v>
      </c>
      <c r="M7208" t="str">
        <f t="shared" si="2949"/>
        <v>04-08-2020</v>
      </c>
      <c r="N7208" t="str">
        <f t="shared" si="2933"/>
        <v>001105018356</v>
      </c>
      <c r="O7208" t="str">
        <f t="shared" si="2934"/>
        <v>MYR</v>
      </c>
      <c r="P7208" t="str">
        <f t="shared" si="2950"/>
        <v>NIL</v>
      </c>
      <c r="Q7208" t="str">
        <f t="shared" si="2950"/>
        <v>NIL</v>
      </c>
      <c r="R7208" t="str">
        <f t="shared" si="2947"/>
        <v>Accepted</v>
      </c>
      <c r="S7208" t="str">
        <f t="shared" si="2935"/>
        <v>Approved</v>
      </c>
      <c r="T7208" t="str">
        <f t="shared" si="2948"/>
        <v>10.20.8.188</v>
      </c>
      <c r="U7208" t="str">
        <f t="shared" si="2936"/>
        <v>AZRAD UMAR BIN SHAARI</v>
      </c>
      <c r="V7208" t="str">
        <f t="shared" si="2937"/>
        <v>FARHANA BINTI MUSTAPA</v>
      </c>
      <c r="W7208" t="str">
        <f t="shared" si="2938"/>
        <v>04-08-2020</v>
      </c>
      <c r="X7208" t="str">
        <f t="shared" si="2939"/>
        <v>RAZIMAH ANSAR AHMAD</v>
      </c>
      <c r="Y7208" t="str">
        <f t="shared" si="2940"/>
        <v>04-08-2020</v>
      </c>
      <c r="Z7208" t="str">
        <f>"COS10200804 1946"</f>
        <v>COS10200804 1946</v>
      </c>
    </row>
    <row r="7209" spans="1:26" x14ac:dyDescent="0.25">
      <c r="A7209" t="str">
        <f t="shared" si="2942"/>
        <v>04-08-2020 12:35:42</v>
      </c>
      <c r="B7209" t="str">
        <f>"0000803701"</f>
        <v>0000803701</v>
      </c>
      <c r="C7209" t="str">
        <f t="shared" si="2943"/>
        <v>0000803555</v>
      </c>
      <c r="D7209" t="str">
        <f t="shared" si="2930"/>
        <v>73185</v>
      </c>
      <c r="E7209" t="str">
        <f t="shared" si="2931"/>
        <v>KFH-OPERATIONS DEPARTMENT</v>
      </c>
      <c r="F7209" t="str">
        <f t="shared" si="2932"/>
        <v>IBG</v>
      </c>
      <c r="G7209" t="str">
        <f t="shared" si="2941"/>
        <v>Refund COSHARE 10</v>
      </c>
      <c r="H7209" s="2">
        <v>117</v>
      </c>
      <c r="I7209" t="str">
        <f>"REBECCA ANAK RANI  BIT"</f>
        <v>REBECCA ANAK RANI  BIT</v>
      </c>
      <c r="J7209" t="str">
        <f t="shared" si="2946"/>
        <v>BANK SIMPANAN NASIONAL</v>
      </c>
      <c r="K7209" t="str">
        <f>"1313029000007422"</f>
        <v>1313029000007422</v>
      </c>
      <c r="L7209" t="str">
        <f t="shared" si="2949"/>
        <v>04-08-2020</v>
      </c>
      <c r="M7209" t="str">
        <f t="shared" si="2949"/>
        <v>04-08-2020</v>
      </c>
      <c r="N7209" t="str">
        <f t="shared" si="2933"/>
        <v>001105018356</v>
      </c>
      <c r="O7209" t="str">
        <f t="shared" si="2934"/>
        <v>MYR</v>
      </c>
      <c r="P7209" t="str">
        <f t="shared" si="2950"/>
        <v>NIL</v>
      </c>
      <c r="Q7209" t="str">
        <f t="shared" si="2950"/>
        <v>NIL</v>
      </c>
      <c r="R7209" t="str">
        <f t="shared" si="2947"/>
        <v>Accepted</v>
      </c>
      <c r="S7209" t="str">
        <f t="shared" si="2935"/>
        <v>Approved</v>
      </c>
      <c r="T7209" t="str">
        <f t="shared" si="2948"/>
        <v>10.20.8.188</v>
      </c>
      <c r="U7209" t="str">
        <f t="shared" si="2936"/>
        <v>AZRAD UMAR BIN SHAARI</v>
      </c>
      <c r="V7209" t="str">
        <f t="shared" si="2937"/>
        <v>FARHANA BINTI MUSTAPA</v>
      </c>
      <c r="W7209" t="str">
        <f t="shared" si="2938"/>
        <v>04-08-2020</v>
      </c>
      <c r="X7209" t="str">
        <f t="shared" si="2939"/>
        <v>RAZIMAH ANSAR AHMAD</v>
      </c>
      <c r="Y7209" t="str">
        <f t="shared" si="2940"/>
        <v>04-08-2020</v>
      </c>
      <c r="Z7209" t="str">
        <f>"COS10200804 1945"</f>
        <v>COS10200804 1945</v>
      </c>
    </row>
    <row r="7210" spans="1:26" x14ac:dyDescent="0.25">
      <c r="A7210" t="str">
        <f t="shared" si="2942"/>
        <v>04-08-2020 12:35:42</v>
      </c>
      <c r="B7210" t="str">
        <f>"0000803700"</f>
        <v>0000803700</v>
      </c>
      <c r="C7210" t="str">
        <f t="shared" si="2943"/>
        <v>0000803555</v>
      </c>
      <c r="D7210" t="str">
        <f t="shared" si="2930"/>
        <v>73185</v>
      </c>
      <c r="E7210" t="str">
        <f t="shared" si="2931"/>
        <v>KFH-OPERATIONS DEPARTMENT</v>
      </c>
      <c r="F7210" t="str">
        <f t="shared" si="2932"/>
        <v>IBG</v>
      </c>
      <c r="G7210" t="str">
        <f t="shared" si="2941"/>
        <v>Refund COSHARE 10</v>
      </c>
      <c r="H7210" s="2">
        <v>134.35</v>
      </c>
      <c r="I7210" t="str">
        <f>"RAZIMAN BIN SAFIAI"</f>
        <v>RAZIMAN BIN SAFIAI</v>
      </c>
      <c r="J7210" t="str">
        <f t="shared" si="2946"/>
        <v>BANK SIMPANAN NASIONAL</v>
      </c>
      <c r="K7210" t="str">
        <f>"0310041000145236"</f>
        <v>0310041000145236</v>
      </c>
      <c r="L7210" t="str">
        <f t="shared" si="2949"/>
        <v>04-08-2020</v>
      </c>
      <c r="M7210" t="str">
        <f t="shared" si="2949"/>
        <v>04-08-2020</v>
      </c>
      <c r="N7210" t="str">
        <f t="shared" si="2933"/>
        <v>001105018356</v>
      </c>
      <c r="O7210" t="str">
        <f t="shared" si="2934"/>
        <v>MYR</v>
      </c>
      <c r="P7210" t="str">
        <f t="shared" si="2950"/>
        <v>NIL</v>
      </c>
      <c r="Q7210" t="str">
        <f t="shared" si="2950"/>
        <v>NIL</v>
      </c>
      <c r="R7210" t="str">
        <f t="shared" si="2947"/>
        <v>Accepted</v>
      </c>
      <c r="S7210" t="str">
        <f t="shared" si="2935"/>
        <v>Approved</v>
      </c>
      <c r="T7210" t="str">
        <f t="shared" si="2948"/>
        <v>10.20.8.188</v>
      </c>
      <c r="U7210" t="str">
        <f t="shared" si="2936"/>
        <v>AZRAD UMAR BIN SHAARI</v>
      </c>
      <c r="V7210" t="str">
        <f t="shared" si="2937"/>
        <v>FARHANA BINTI MUSTAPA</v>
      </c>
      <c r="W7210" t="str">
        <f t="shared" si="2938"/>
        <v>04-08-2020</v>
      </c>
      <c r="X7210" t="str">
        <f t="shared" si="2939"/>
        <v>RAZIMAH ANSAR AHMAD</v>
      </c>
      <c r="Y7210" t="str">
        <f t="shared" si="2940"/>
        <v>04-08-2020</v>
      </c>
      <c r="Z7210" t="str">
        <f>"COS10200804 1944"</f>
        <v>COS10200804 1944</v>
      </c>
    </row>
    <row r="7211" spans="1:26" x14ac:dyDescent="0.25">
      <c r="A7211" t="str">
        <f t="shared" si="2942"/>
        <v>04-08-2020 12:35:42</v>
      </c>
      <c r="B7211" t="str">
        <f>"0000803699"</f>
        <v>0000803699</v>
      </c>
      <c r="C7211" t="str">
        <f t="shared" si="2943"/>
        <v>0000803555</v>
      </c>
      <c r="D7211" t="str">
        <f t="shared" si="2930"/>
        <v>73185</v>
      </c>
      <c r="E7211" t="str">
        <f t="shared" si="2931"/>
        <v>KFH-OPERATIONS DEPARTMENT</v>
      </c>
      <c r="F7211" t="str">
        <f t="shared" si="2932"/>
        <v>IBG</v>
      </c>
      <c r="G7211" t="str">
        <f t="shared" si="2941"/>
        <v>Refund COSHARE 10</v>
      </c>
      <c r="H7211" s="2">
        <v>1427.15</v>
      </c>
      <c r="I7211" t="str">
        <f>"RAJA FAZIATUL HANIM BINTI RAJA AZIE"</f>
        <v>RAJA FAZIATUL HANIM BINTI RAJA AZIE</v>
      </c>
      <c r="J7211" t="str">
        <f t="shared" si="2946"/>
        <v>BANK SIMPANAN NASIONAL</v>
      </c>
      <c r="K7211" t="str">
        <f>"1419029840657507"</f>
        <v>1419029840657507</v>
      </c>
      <c r="L7211" t="str">
        <f t="shared" si="2949"/>
        <v>04-08-2020</v>
      </c>
      <c r="M7211" t="str">
        <f t="shared" si="2949"/>
        <v>04-08-2020</v>
      </c>
      <c r="N7211" t="str">
        <f t="shared" si="2933"/>
        <v>001105018356</v>
      </c>
      <c r="O7211" t="str">
        <f t="shared" si="2934"/>
        <v>MYR</v>
      </c>
      <c r="P7211" t="str">
        <f t="shared" si="2950"/>
        <v>NIL</v>
      </c>
      <c r="Q7211" t="str">
        <f t="shared" si="2950"/>
        <v>NIL</v>
      </c>
      <c r="R7211" t="str">
        <f t="shared" si="2947"/>
        <v>Accepted</v>
      </c>
      <c r="S7211" t="str">
        <f t="shared" si="2935"/>
        <v>Approved</v>
      </c>
      <c r="T7211" t="str">
        <f t="shared" si="2948"/>
        <v>10.20.8.188</v>
      </c>
      <c r="U7211" t="str">
        <f t="shared" si="2936"/>
        <v>AZRAD UMAR BIN SHAARI</v>
      </c>
      <c r="V7211" t="str">
        <f t="shared" si="2937"/>
        <v>FARHANA BINTI MUSTAPA</v>
      </c>
      <c r="W7211" t="str">
        <f t="shared" si="2938"/>
        <v>04-08-2020</v>
      </c>
      <c r="X7211" t="str">
        <f t="shared" si="2939"/>
        <v>RAZIMAH ANSAR AHMAD</v>
      </c>
      <c r="Y7211" t="str">
        <f t="shared" si="2940"/>
        <v>04-08-2020</v>
      </c>
      <c r="Z7211" t="str">
        <f>"COS10200804 1943"</f>
        <v>COS10200804 1943</v>
      </c>
    </row>
    <row r="7212" spans="1:26" x14ac:dyDescent="0.25">
      <c r="A7212" t="str">
        <f t="shared" si="2942"/>
        <v>04-08-2020 12:35:42</v>
      </c>
      <c r="B7212" t="str">
        <f>"0000803698"</f>
        <v>0000803698</v>
      </c>
      <c r="C7212" t="str">
        <f t="shared" si="2943"/>
        <v>0000803555</v>
      </c>
      <c r="D7212" t="str">
        <f t="shared" si="2930"/>
        <v>73185</v>
      </c>
      <c r="E7212" t="str">
        <f t="shared" si="2931"/>
        <v>KFH-OPERATIONS DEPARTMENT</v>
      </c>
      <c r="F7212" t="str">
        <f t="shared" si="2932"/>
        <v>IBG</v>
      </c>
      <c r="G7212" t="str">
        <f t="shared" si="2941"/>
        <v>Refund COSHARE 10</v>
      </c>
      <c r="H7212" s="2">
        <v>176.85</v>
      </c>
      <c r="I7212" t="str">
        <f>"RAJA FATIMAH NOOR BINTI RAJA MOHD NOR"</f>
        <v>RAJA FATIMAH NOOR BINTI RAJA MOHD NOR</v>
      </c>
      <c r="J7212" t="str">
        <f t="shared" si="2946"/>
        <v>BANK SIMPANAN NASIONAL</v>
      </c>
      <c r="K7212" t="str">
        <f>"0410029838331331"</f>
        <v>0410029838331331</v>
      </c>
      <c r="L7212" t="str">
        <f t="shared" si="2949"/>
        <v>04-08-2020</v>
      </c>
      <c r="M7212" t="str">
        <f t="shared" si="2949"/>
        <v>04-08-2020</v>
      </c>
      <c r="N7212" t="str">
        <f t="shared" si="2933"/>
        <v>001105018356</v>
      </c>
      <c r="O7212" t="str">
        <f t="shared" si="2934"/>
        <v>MYR</v>
      </c>
      <c r="P7212" t="str">
        <f t="shared" si="2950"/>
        <v>NIL</v>
      </c>
      <c r="Q7212" t="str">
        <f t="shared" si="2950"/>
        <v>NIL</v>
      </c>
      <c r="R7212" t="str">
        <f t="shared" si="2947"/>
        <v>Accepted</v>
      </c>
      <c r="S7212" t="str">
        <f t="shared" si="2935"/>
        <v>Approved</v>
      </c>
      <c r="T7212" t="str">
        <f t="shared" si="2948"/>
        <v>10.20.8.188</v>
      </c>
      <c r="U7212" t="str">
        <f t="shared" si="2936"/>
        <v>AZRAD UMAR BIN SHAARI</v>
      </c>
      <c r="V7212" t="str">
        <f t="shared" si="2937"/>
        <v>FARHANA BINTI MUSTAPA</v>
      </c>
      <c r="W7212" t="str">
        <f t="shared" si="2938"/>
        <v>04-08-2020</v>
      </c>
      <c r="X7212" t="str">
        <f t="shared" si="2939"/>
        <v>RAZIMAH ANSAR AHMAD</v>
      </c>
      <c r="Y7212" t="str">
        <f t="shared" si="2940"/>
        <v>04-08-2020</v>
      </c>
      <c r="Z7212" t="str">
        <f>"COS10200804 1942"</f>
        <v>COS10200804 1942</v>
      </c>
    </row>
    <row r="7213" spans="1:26" x14ac:dyDescent="0.25">
      <c r="A7213" t="str">
        <f t="shared" si="2942"/>
        <v>04-08-2020 12:35:42</v>
      </c>
      <c r="B7213" t="str">
        <f>"0000803697"</f>
        <v>0000803697</v>
      </c>
      <c r="C7213" t="str">
        <f t="shared" si="2943"/>
        <v>0000803555</v>
      </c>
      <c r="D7213" t="str">
        <f t="shared" si="2930"/>
        <v>73185</v>
      </c>
      <c r="E7213" t="str">
        <f t="shared" si="2931"/>
        <v>KFH-OPERATIONS DEPARTMENT</v>
      </c>
      <c r="F7213" t="str">
        <f t="shared" si="2932"/>
        <v>IBG</v>
      </c>
      <c r="G7213" t="str">
        <f t="shared" si="2941"/>
        <v>Refund COSHARE 10</v>
      </c>
      <c r="H7213" s="2">
        <v>310.5</v>
      </c>
      <c r="I7213" t="str">
        <f>"RAJA AZIZ BIN RAJA ISMAIL"</f>
        <v>RAJA AZIZ BIN RAJA ISMAIL</v>
      </c>
      <c r="J7213" t="str">
        <f t="shared" si="2946"/>
        <v>BANK SIMPANAN NASIONAL</v>
      </c>
      <c r="K7213" t="str">
        <f>"1012129880177945"</f>
        <v>1012129880177945</v>
      </c>
      <c r="L7213" t="str">
        <f t="shared" si="2949"/>
        <v>04-08-2020</v>
      </c>
      <c r="M7213" t="str">
        <f t="shared" si="2949"/>
        <v>04-08-2020</v>
      </c>
      <c r="N7213" t="str">
        <f t="shared" si="2933"/>
        <v>001105018356</v>
      </c>
      <c r="O7213" t="str">
        <f t="shared" si="2934"/>
        <v>MYR</v>
      </c>
      <c r="P7213" t="str">
        <f t="shared" si="2950"/>
        <v>NIL</v>
      </c>
      <c r="Q7213" t="str">
        <f t="shared" si="2950"/>
        <v>NIL</v>
      </c>
      <c r="R7213" t="str">
        <f t="shared" si="2947"/>
        <v>Accepted</v>
      </c>
      <c r="S7213" t="str">
        <f t="shared" si="2935"/>
        <v>Approved</v>
      </c>
      <c r="T7213" t="str">
        <f t="shared" si="2948"/>
        <v>10.20.8.188</v>
      </c>
      <c r="U7213" t="str">
        <f t="shared" si="2936"/>
        <v>AZRAD UMAR BIN SHAARI</v>
      </c>
      <c r="V7213" t="str">
        <f t="shared" si="2937"/>
        <v>FARHANA BINTI MUSTAPA</v>
      </c>
      <c r="W7213" t="str">
        <f t="shared" si="2938"/>
        <v>04-08-2020</v>
      </c>
      <c r="X7213" t="str">
        <f t="shared" si="2939"/>
        <v>RAZIMAH ANSAR AHMAD</v>
      </c>
      <c r="Y7213" t="str">
        <f t="shared" si="2940"/>
        <v>04-08-2020</v>
      </c>
      <c r="Z7213" t="str">
        <f>"COS10200804 1941"</f>
        <v>COS10200804 1941</v>
      </c>
    </row>
    <row r="7214" spans="1:26" x14ac:dyDescent="0.25">
      <c r="A7214" t="str">
        <f t="shared" si="2942"/>
        <v>04-08-2020 12:35:42</v>
      </c>
      <c r="B7214" t="str">
        <f>"0000803696"</f>
        <v>0000803696</v>
      </c>
      <c r="C7214" t="str">
        <f t="shared" si="2943"/>
        <v>0000803555</v>
      </c>
      <c r="D7214" t="str">
        <f t="shared" si="2930"/>
        <v>73185</v>
      </c>
      <c r="E7214" t="str">
        <f t="shared" si="2931"/>
        <v>KFH-OPERATIONS DEPARTMENT</v>
      </c>
      <c r="F7214" t="str">
        <f t="shared" si="2932"/>
        <v>IBG</v>
      </c>
      <c r="G7214" t="str">
        <f t="shared" si="2941"/>
        <v>Refund COSHARE 10</v>
      </c>
      <c r="H7214" s="2">
        <v>344.2</v>
      </c>
      <c r="I7214" t="str">
        <f>"RAITI BINTI MOGOWAN"</f>
        <v>RAITI BINTI MOGOWAN</v>
      </c>
      <c r="J7214" t="str">
        <f t="shared" si="2946"/>
        <v>BANK SIMPANAN NASIONAL</v>
      </c>
      <c r="K7214" t="str">
        <f>"1212529000024797"</f>
        <v>1212529000024797</v>
      </c>
      <c r="L7214" t="str">
        <f t="shared" si="2949"/>
        <v>04-08-2020</v>
      </c>
      <c r="M7214" t="str">
        <f t="shared" si="2949"/>
        <v>04-08-2020</v>
      </c>
      <c r="N7214" t="str">
        <f t="shared" si="2933"/>
        <v>001105018356</v>
      </c>
      <c r="O7214" t="str">
        <f t="shared" si="2934"/>
        <v>MYR</v>
      </c>
      <c r="P7214" t="str">
        <f t="shared" si="2950"/>
        <v>NIL</v>
      </c>
      <c r="Q7214" t="str">
        <f t="shared" si="2950"/>
        <v>NIL</v>
      </c>
      <c r="R7214" t="str">
        <f t="shared" si="2947"/>
        <v>Accepted</v>
      </c>
      <c r="S7214" t="str">
        <f t="shared" si="2935"/>
        <v>Approved</v>
      </c>
      <c r="T7214" t="str">
        <f t="shared" si="2948"/>
        <v>10.20.8.188</v>
      </c>
      <c r="U7214" t="str">
        <f t="shared" si="2936"/>
        <v>AZRAD UMAR BIN SHAARI</v>
      </c>
      <c r="V7214" t="str">
        <f t="shared" si="2937"/>
        <v>FARHANA BINTI MUSTAPA</v>
      </c>
      <c r="W7214" t="str">
        <f t="shared" si="2938"/>
        <v>04-08-2020</v>
      </c>
      <c r="X7214" t="str">
        <f t="shared" si="2939"/>
        <v>RAZIMAH ANSAR AHMAD</v>
      </c>
      <c r="Y7214" t="str">
        <f t="shared" si="2940"/>
        <v>04-08-2020</v>
      </c>
      <c r="Z7214" t="str">
        <f>"COS10200804 1940"</f>
        <v>COS10200804 1940</v>
      </c>
    </row>
    <row r="7215" spans="1:26" x14ac:dyDescent="0.25">
      <c r="A7215" t="str">
        <f t="shared" si="2942"/>
        <v>04-08-2020 12:35:42</v>
      </c>
      <c r="B7215" t="str">
        <f>"0000803695"</f>
        <v>0000803695</v>
      </c>
      <c r="C7215" t="str">
        <f t="shared" si="2943"/>
        <v>0000803555</v>
      </c>
      <c r="D7215" t="str">
        <f t="shared" si="2930"/>
        <v>73185</v>
      </c>
      <c r="E7215" t="str">
        <f t="shared" si="2931"/>
        <v>KFH-OPERATIONS DEPARTMENT</v>
      </c>
      <c r="F7215" t="str">
        <f t="shared" si="2932"/>
        <v>IBG</v>
      </c>
      <c r="G7215" t="str">
        <f t="shared" si="2941"/>
        <v>Refund COSHARE 10</v>
      </c>
      <c r="H7215" s="2">
        <v>1123</v>
      </c>
      <c r="I7215" t="str">
        <f>"RAHMIATY ALFARUQY BINTI M SUJUTHI"</f>
        <v>RAHMIATY ALFARUQY BINTI M SUJUTHI</v>
      </c>
      <c r="J7215" t="str">
        <f t="shared" si="2946"/>
        <v>BANK SIMPANAN NASIONAL</v>
      </c>
      <c r="K7215" t="str">
        <f>"1210029000320035"</f>
        <v>1210029000320035</v>
      </c>
      <c r="L7215" t="str">
        <f t="shared" si="2949"/>
        <v>04-08-2020</v>
      </c>
      <c r="M7215" t="str">
        <f t="shared" si="2949"/>
        <v>04-08-2020</v>
      </c>
      <c r="N7215" t="str">
        <f t="shared" si="2933"/>
        <v>001105018356</v>
      </c>
      <c r="O7215" t="str">
        <f t="shared" si="2934"/>
        <v>MYR</v>
      </c>
      <c r="P7215" t="str">
        <f t="shared" si="2950"/>
        <v>NIL</v>
      </c>
      <c r="Q7215" t="str">
        <f t="shared" si="2950"/>
        <v>NIL</v>
      </c>
      <c r="R7215" t="str">
        <f t="shared" si="2947"/>
        <v>Accepted</v>
      </c>
      <c r="S7215" t="str">
        <f t="shared" si="2935"/>
        <v>Approved</v>
      </c>
      <c r="T7215" t="str">
        <f t="shared" si="2948"/>
        <v>10.20.8.188</v>
      </c>
      <c r="U7215" t="str">
        <f t="shared" si="2936"/>
        <v>AZRAD UMAR BIN SHAARI</v>
      </c>
      <c r="V7215" t="str">
        <f t="shared" si="2937"/>
        <v>FARHANA BINTI MUSTAPA</v>
      </c>
      <c r="W7215" t="str">
        <f t="shared" si="2938"/>
        <v>04-08-2020</v>
      </c>
      <c r="X7215" t="str">
        <f t="shared" si="2939"/>
        <v>RAZIMAH ANSAR AHMAD</v>
      </c>
      <c r="Y7215" t="str">
        <f t="shared" si="2940"/>
        <v>04-08-2020</v>
      </c>
      <c r="Z7215" t="str">
        <f>"COS10200804 1939"</f>
        <v>COS10200804 1939</v>
      </c>
    </row>
    <row r="7216" spans="1:26" x14ac:dyDescent="0.25">
      <c r="A7216" t="str">
        <f t="shared" si="2942"/>
        <v>04-08-2020 12:35:42</v>
      </c>
      <c r="B7216" t="str">
        <f>"0000803694"</f>
        <v>0000803694</v>
      </c>
      <c r="C7216" t="str">
        <f t="shared" si="2943"/>
        <v>0000803555</v>
      </c>
      <c r="D7216" t="str">
        <f t="shared" si="2930"/>
        <v>73185</v>
      </c>
      <c r="E7216" t="str">
        <f t="shared" si="2931"/>
        <v>KFH-OPERATIONS DEPARTMENT</v>
      </c>
      <c r="F7216" t="str">
        <f t="shared" si="2932"/>
        <v>IBG</v>
      </c>
      <c r="G7216" t="str">
        <f t="shared" si="2941"/>
        <v>Refund COSHARE 10</v>
      </c>
      <c r="H7216" s="2">
        <v>136.75</v>
      </c>
      <c r="I7216" t="str">
        <f>"RAHIM BIN JASIN"</f>
        <v>RAHIM BIN JASIN</v>
      </c>
      <c r="J7216" t="str">
        <f t="shared" si="2946"/>
        <v>BANK SIMPANAN NASIONAL</v>
      </c>
      <c r="K7216" t="str">
        <f>"0211341000015897"</f>
        <v>0211341000015897</v>
      </c>
      <c r="L7216" t="str">
        <f t="shared" si="2949"/>
        <v>04-08-2020</v>
      </c>
      <c r="M7216" t="str">
        <f t="shared" si="2949"/>
        <v>04-08-2020</v>
      </c>
      <c r="N7216" t="str">
        <f t="shared" si="2933"/>
        <v>001105018356</v>
      </c>
      <c r="O7216" t="str">
        <f t="shared" si="2934"/>
        <v>MYR</v>
      </c>
      <c r="P7216" t="str">
        <f t="shared" si="2950"/>
        <v>NIL</v>
      </c>
      <c r="Q7216" t="str">
        <f t="shared" si="2950"/>
        <v>NIL</v>
      </c>
      <c r="R7216" t="str">
        <f t="shared" si="2947"/>
        <v>Accepted</v>
      </c>
      <c r="S7216" t="str">
        <f t="shared" si="2935"/>
        <v>Approved</v>
      </c>
      <c r="T7216" t="str">
        <f t="shared" si="2948"/>
        <v>10.20.8.188</v>
      </c>
      <c r="U7216" t="str">
        <f t="shared" si="2936"/>
        <v>AZRAD UMAR BIN SHAARI</v>
      </c>
      <c r="V7216" t="str">
        <f t="shared" si="2937"/>
        <v>FARHANA BINTI MUSTAPA</v>
      </c>
      <c r="W7216" t="str">
        <f t="shared" si="2938"/>
        <v>04-08-2020</v>
      </c>
      <c r="X7216" t="str">
        <f t="shared" si="2939"/>
        <v>RAZIMAH ANSAR AHMAD</v>
      </c>
      <c r="Y7216" t="str">
        <f t="shared" si="2940"/>
        <v>04-08-2020</v>
      </c>
      <c r="Z7216" t="str">
        <f>"COS10200804 1938"</f>
        <v>COS10200804 1938</v>
      </c>
    </row>
    <row r="7217" spans="1:26" x14ac:dyDescent="0.25">
      <c r="A7217" t="str">
        <f t="shared" si="2942"/>
        <v>04-08-2020 12:35:42</v>
      </c>
      <c r="B7217" t="str">
        <f>"0000803693"</f>
        <v>0000803693</v>
      </c>
      <c r="C7217" t="str">
        <f t="shared" si="2943"/>
        <v>0000803555</v>
      </c>
      <c r="D7217" t="str">
        <f t="shared" si="2930"/>
        <v>73185</v>
      </c>
      <c r="E7217" t="str">
        <f t="shared" si="2931"/>
        <v>KFH-OPERATIONS DEPARTMENT</v>
      </c>
      <c r="F7217" t="str">
        <f t="shared" si="2932"/>
        <v>IBG</v>
      </c>
      <c r="G7217" t="str">
        <f t="shared" si="2941"/>
        <v>Refund COSHARE 10</v>
      </c>
      <c r="H7217" s="2">
        <v>293.85000000000002</v>
      </c>
      <c r="I7217" t="str">
        <f>"RAHAYU F BT CHE ISA"</f>
        <v>RAHAYU F BT CHE ISA</v>
      </c>
      <c r="J7217" t="str">
        <f t="shared" si="2946"/>
        <v>BANK SIMPANAN NASIONAL</v>
      </c>
      <c r="K7217" t="str">
        <f>"1110229811142587"</f>
        <v>1110229811142587</v>
      </c>
      <c r="L7217" t="str">
        <f t="shared" si="2949"/>
        <v>04-08-2020</v>
      </c>
      <c r="M7217" t="str">
        <f t="shared" si="2949"/>
        <v>04-08-2020</v>
      </c>
      <c r="N7217" t="str">
        <f t="shared" si="2933"/>
        <v>001105018356</v>
      </c>
      <c r="O7217" t="str">
        <f t="shared" si="2934"/>
        <v>MYR</v>
      </c>
      <c r="P7217" t="str">
        <f t="shared" si="2950"/>
        <v>NIL</v>
      </c>
      <c r="Q7217" t="str">
        <f t="shared" si="2950"/>
        <v>NIL</v>
      </c>
      <c r="R7217" t="str">
        <f t="shared" si="2947"/>
        <v>Accepted</v>
      </c>
      <c r="S7217" t="str">
        <f t="shared" si="2935"/>
        <v>Approved</v>
      </c>
      <c r="T7217" t="str">
        <f t="shared" si="2948"/>
        <v>10.20.8.188</v>
      </c>
      <c r="U7217" t="str">
        <f t="shared" si="2936"/>
        <v>AZRAD UMAR BIN SHAARI</v>
      </c>
      <c r="V7217" t="str">
        <f t="shared" si="2937"/>
        <v>FARHANA BINTI MUSTAPA</v>
      </c>
      <c r="W7217" t="str">
        <f t="shared" si="2938"/>
        <v>04-08-2020</v>
      </c>
      <c r="X7217" t="str">
        <f t="shared" si="2939"/>
        <v>RAZIMAH ANSAR AHMAD</v>
      </c>
      <c r="Y7217" t="str">
        <f t="shared" si="2940"/>
        <v>04-08-2020</v>
      </c>
      <c r="Z7217" t="str">
        <f>"COS10200804 1937"</f>
        <v>COS10200804 1937</v>
      </c>
    </row>
    <row r="7218" spans="1:26" x14ac:dyDescent="0.25">
      <c r="A7218" t="str">
        <f t="shared" ref="A7218:A7249" si="2951">"04-08-2020 12:35:42"</f>
        <v>04-08-2020 12:35:42</v>
      </c>
      <c r="B7218" t="str">
        <f>"0000803692"</f>
        <v>0000803692</v>
      </c>
      <c r="C7218" t="str">
        <f t="shared" ref="C7218:C7249" si="2952">"0000803555"</f>
        <v>0000803555</v>
      </c>
      <c r="D7218" t="str">
        <f t="shared" si="2930"/>
        <v>73185</v>
      </c>
      <c r="E7218" t="str">
        <f t="shared" si="2931"/>
        <v>KFH-OPERATIONS DEPARTMENT</v>
      </c>
      <c r="F7218" t="str">
        <f t="shared" si="2932"/>
        <v>IBG</v>
      </c>
      <c r="G7218" t="str">
        <f t="shared" si="2941"/>
        <v>Refund COSHARE 10</v>
      </c>
      <c r="H7218" s="2">
        <v>260.25</v>
      </c>
      <c r="I7218" t="str">
        <f>"RAFIDAH BINTI YAHYA"</f>
        <v>RAFIDAH BINTI YAHYA</v>
      </c>
      <c r="J7218" t="str">
        <f t="shared" si="2946"/>
        <v>BANK SIMPANAN NASIONAL</v>
      </c>
      <c r="K7218" t="str">
        <f>"1410029000351482"</f>
        <v>1410029000351482</v>
      </c>
      <c r="L7218" t="str">
        <f t="shared" si="2949"/>
        <v>04-08-2020</v>
      </c>
      <c r="M7218" t="str">
        <f t="shared" si="2949"/>
        <v>04-08-2020</v>
      </c>
      <c r="N7218" t="str">
        <f t="shared" si="2933"/>
        <v>001105018356</v>
      </c>
      <c r="O7218" t="str">
        <f t="shared" si="2934"/>
        <v>MYR</v>
      </c>
      <c r="P7218" t="str">
        <f t="shared" si="2950"/>
        <v>NIL</v>
      </c>
      <c r="Q7218" t="str">
        <f t="shared" si="2950"/>
        <v>NIL</v>
      </c>
      <c r="R7218" t="str">
        <f t="shared" si="2947"/>
        <v>Accepted</v>
      </c>
      <c r="S7218" t="str">
        <f t="shared" si="2935"/>
        <v>Approved</v>
      </c>
      <c r="T7218" t="str">
        <f t="shared" si="2948"/>
        <v>10.20.8.188</v>
      </c>
      <c r="U7218" t="str">
        <f t="shared" si="2936"/>
        <v>AZRAD UMAR BIN SHAARI</v>
      </c>
      <c r="V7218" t="str">
        <f t="shared" si="2937"/>
        <v>FARHANA BINTI MUSTAPA</v>
      </c>
      <c r="W7218" t="str">
        <f t="shared" si="2938"/>
        <v>04-08-2020</v>
      </c>
      <c r="X7218" t="str">
        <f t="shared" si="2939"/>
        <v>RAZIMAH ANSAR AHMAD</v>
      </c>
      <c r="Y7218" t="str">
        <f t="shared" si="2940"/>
        <v>04-08-2020</v>
      </c>
      <c r="Z7218" t="str">
        <f>"COS10200804 1936"</f>
        <v>COS10200804 1936</v>
      </c>
    </row>
    <row r="7219" spans="1:26" x14ac:dyDescent="0.25">
      <c r="A7219" t="str">
        <f t="shared" si="2951"/>
        <v>04-08-2020 12:35:42</v>
      </c>
      <c r="B7219" t="str">
        <f>"0000803691"</f>
        <v>0000803691</v>
      </c>
      <c r="C7219" t="str">
        <f t="shared" si="2952"/>
        <v>0000803555</v>
      </c>
      <c r="D7219" t="str">
        <f t="shared" si="2930"/>
        <v>73185</v>
      </c>
      <c r="E7219" t="str">
        <f t="shared" si="2931"/>
        <v>KFH-OPERATIONS DEPARTMENT</v>
      </c>
      <c r="F7219" t="str">
        <f t="shared" si="2932"/>
        <v>IBG</v>
      </c>
      <c r="G7219" t="str">
        <f t="shared" si="2941"/>
        <v>Refund COSHARE 10</v>
      </c>
      <c r="H7219" s="2">
        <v>588</v>
      </c>
      <c r="I7219" t="str">
        <f>"RAFIDAH BINTI RAZALI"</f>
        <v>RAFIDAH BINTI RAZALI</v>
      </c>
      <c r="J7219" t="str">
        <f t="shared" si="2946"/>
        <v>BANK SIMPANAN NASIONAL</v>
      </c>
      <c r="K7219" t="str">
        <f>"1010129895767098"</f>
        <v>1010129895767098</v>
      </c>
      <c r="L7219" t="str">
        <f t="shared" si="2949"/>
        <v>04-08-2020</v>
      </c>
      <c r="M7219" t="str">
        <f t="shared" si="2949"/>
        <v>04-08-2020</v>
      </c>
      <c r="N7219" t="str">
        <f t="shared" si="2933"/>
        <v>001105018356</v>
      </c>
      <c r="O7219" t="str">
        <f t="shared" si="2934"/>
        <v>MYR</v>
      </c>
      <c r="P7219" t="str">
        <f t="shared" si="2950"/>
        <v>NIL</v>
      </c>
      <c r="Q7219" t="str">
        <f t="shared" si="2950"/>
        <v>NIL</v>
      </c>
      <c r="R7219" t="str">
        <f t="shared" si="2947"/>
        <v>Accepted</v>
      </c>
      <c r="S7219" t="str">
        <f t="shared" si="2935"/>
        <v>Approved</v>
      </c>
      <c r="T7219" t="str">
        <f t="shared" si="2948"/>
        <v>10.20.8.188</v>
      </c>
      <c r="U7219" t="str">
        <f t="shared" si="2936"/>
        <v>AZRAD UMAR BIN SHAARI</v>
      </c>
      <c r="V7219" t="str">
        <f t="shared" si="2937"/>
        <v>FARHANA BINTI MUSTAPA</v>
      </c>
      <c r="W7219" t="str">
        <f t="shared" si="2938"/>
        <v>04-08-2020</v>
      </c>
      <c r="X7219" t="str">
        <f t="shared" si="2939"/>
        <v>RAZIMAH ANSAR AHMAD</v>
      </c>
      <c r="Y7219" t="str">
        <f t="shared" si="2940"/>
        <v>04-08-2020</v>
      </c>
      <c r="Z7219" t="str">
        <f>"COS10200804 1935"</f>
        <v>COS10200804 1935</v>
      </c>
    </row>
    <row r="7220" spans="1:26" x14ac:dyDescent="0.25">
      <c r="A7220" t="str">
        <f t="shared" si="2951"/>
        <v>04-08-2020 12:35:42</v>
      </c>
      <c r="B7220" t="str">
        <f>"0000803690"</f>
        <v>0000803690</v>
      </c>
      <c r="C7220" t="str">
        <f t="shared" si="2952"/>
        <v>0000803555</v>
      </c>
      <c r="D7220" t="str">
        <f t="shared" si="2930"/>
        <v>73185</v>
      </c>
      <c r="E7220" t="str">
        <f t="shared" si="2931"/>
        <v>KFH-OPERATIONS DEPARTMENT</v>
      </c>
      <c r="F7220" t="str">
        <f t="shared" si="2932"/>
        <v>IBG</v>
      </c>
      <c r="G7220" t="str">
        <f t="shared" si="2941"/>
        <v>Refund COSHARE 10</v>
      </c>
      <c r="H7220" s="2">
        <v>296.75</v>
      </c>
      <c r="I7220" t="str">
        <f>"RADZIAH BINTI ISMAIL"</f>
        <v>RADZIAH BINTI ISMAIL</v>
      </c>
      <c r="J7220" t="str">
        <f t="shared" si="2946"/>
        <v>BANK SIMPANAN NASIONAL</v>
      </c>
      <c r="K7220" t="str">
        <f>"0310529883110883"</f>
        <v>0310529883110883</v>
      </c>
      <c r="L7220" t="str">
        <f t="shared" si="2949"/>
        <v>04-08-2020</v>
      </c>
      <c r="M7220" t="str">
        <f t="shared" si="2949"/>
        <v>04-08-2020</v>
      </c>
      <c r="N7220" t="str">
        <f t="shared" si="2933"/>
        <v>001105018356</v>
      </c>
      <c r="O7220" t="str">
        <f t="shared" si="2934"/>
        <v>MYR</v>
      </c>
      <c r="P7220" t="str">
        <f t="shared" si="2950"/>
        <v>NIL</v>
      </c>
      <c r="Q7220" t="str">
        <f t="shared" si="2950"/>
        <v>NIL</v>
      </c>
      <c r="R7220" t="str">
        <f t="shared" si="2947"/>
        <v>Accepted</v>
      </c>
      <c r="S7220" t="str">
        <f t="shared" si="2935"/>
        <v>Approved</v>
      </c>
      <c r="T7220" t="str">
        <f t="shared" si="2948"/>
        <v>10.20.8.188</v>
      </c>
      <c r="U7220" t="str">
        <f t="shared" si="2936"/>
        <v>AZRAD UMAR BIN SHAARI</v>
      </c>
      <c r="V7220" t="str">
        <f t="shared" si="2937"/>
        <v>FARHANA BINTI MUSTAPA</v>
      </c>
      <c r="W7220" t="str">
        <f t="shared" si="2938"/>
        <v>04-08-2020</v>
      </c>
      <c r="X7220" t="str">
        <f t="shared" si="2939"/>
        <v>RAZIMAH ANSAR AHMAD</v>
      </c>
      <c r="Y7220" t="str">
        <f t="shared" si="2940"/>
        <v>04-08-2020</v>
      </c>
      <c r="Z7220" t="str">
        <f>"COS10200804 1934"</f>
        <v>COS10200804 1934</v>
      </c>
    </row>
    <row r="7221" spans="1:26" x14ac:dyDescent="0.25">
      <c r="A7221" t="str">
        <f t="shared" si="2951"/>
        <v>04-08-2020 12:35:42</v>
      </c>
      <c r="B7221" t="str">
        <f>"0000803689"</f>
        <v>0000803689</v>
      </c>
      <c r="C7221" t="str">
        <f t="shared" si="2952"/>
        <v>0000803555</v>
      </c>
      <c r="D7221" t="str">
        <f t="shared" si="2930"/>
        <v>73185</v>
      </c>
      <c r="E7221" t="str">
        <f t="shared" si="2931"/>
        <v>KFH-OPERATIONS DEPARTMENT</v>
      </c>
      <c r="F7221" t="str">
        <f t="shared" si="2932"/>
        <v>IBG</v>
      </c>
      <c r="G7221" t="str">
        <f t="shared" si="2941"/>
        <v>Refund COSHARE 10</v>
      </c>
      <c r="H7221" s="2">
        <v>201</v>
      </c>
      <c r="I7221" t="str">
        <f>"RADHIAH BINTI MUHAMAD GHAZALI"</f>
        <v>RADHIAH BINTI MUHAMAD GHAZALI</v>
      </c>
      <c r="J7221" t="str">
        <f t="shared" si="2946"/>
        <v>BANK SIMPANAN NASIONAL</v>
      </c>
      <c r="K7221" t="str">
        <f>"0310029000666869"</f>
        <v>0310029000666869</v>
      </c>
      <c r="L7221" t="str">
        <f t="shared" si="2949"/>
        <v>04-08-2020</v>
      </c>
      <c r="M7221" t="str">
        <f t="shared" si="2949"/>
        <v>04-08-2020</v>
      </c>
      <c r="N7221" t="str">
        <f t="shared" si="2933"/>
        <v>001105018356</v>
      </c>
      <c r="O7221" t="str">
        <f t="shared" si="2934"/>
        <v>MYR</v>
      </c>
      <c r="P7221" t="str">
        <f t="shared" si="2950"/>
        <v>NIL</v>
      </c>
      <c r="Q7221" t="str">
        <f t="shared" si="2950"/>
        <v>NIL</v>
      </c>
      <c r="R7221" t="str">
        <f t="shared" si="2947"/>
        <v>Accepted</v>
      </c>
      <c r="S7221" t="str">
        <f t="shared" si="2935"/>
        <v>Approved</v>
      </c>
      <c r="T7221" t="str">
        <f t="shared" si="2948"/>
        <v>10.20.8.188</v>
      </c>
      <c r="U7221" t="str">
        <f t="shared" si="2936"/>
        <v>AZRAD UMAR BIN SHAARI</v>
      </c>
      <c r="V7221" t="str">
        <f t="shared" si="2937"/>
        <v>FARHANA BINTI MUSTAPA</v>
      </c>
      <c r="W7221" t="str">
        <f t="shared" si="2938"/>
        <v>04-08-2020</v>
      </c>
      <c r="X7221" t="str">
        <f t="shared" si="2939"/>
        <v>RAZIMAH ANSAR AHMAD</v>
      </c>
      <c r="Y7221" t="str">
        <f t="shared" si="2940"/>
        <v>04-08-2020</v>
      </c>
      <c r="Z7221" t="str">
        <f>"COS10200804 1933"</f>
        <v>COS10200804 1933</v>
      </c>
    </row>
    <row r="7222" spans="1:26" x14ac:dyDescent="0.25">
      <c r="A7222" t="str">
        <f t="shared" si="2951"/>
        <v>04-08-2020 12:35:42</v>
      </c>
      <c r="B7222" t="str">
        <f>"0000803688"</f>
        <v>0000803688</v>
      </c>
      <c r="C7222" t="str">
        <f t="shared" si="2952"/>
        <v>0000803555</v>
      </c>
      <c r="D7222" t="str">
        <f t="shared" si="2930"/>
        <v>73185</v>
      </c>
      <c r="E7222" t="str">
        <f t="shared" si="2931"/>
        <v>KFH-OPERATIONS DEPARTMENT</v>
      </c>
      <c r="F7222" t="str">
        <f t="shared" si="2932"/>
        <v>IBG</v>
      </c>
      <c r="G7222" t="str">
        <f t="shared" si="2941"/>
        <v>Refund COSHARE 10</v>
      </c>
      <c r="H7222" s="2">
        <v>315</v>
      </c>
      <c r="I7222" t="str">
        <f>"RABIAH BINTI PAIE"</f>
        <v>RABIAH BINTI PAIE</v>
      </c>
      <c r="J7222" t="str">
        <f t="shared" si="2946"/>
        <v>BANK SIMPANAN NASIONAL</v>
      </c>
      <c r="K7222" t="str">
        <f>"1310029883011140"</f>
        <v>1310029883011140</v>
      </c>
      <c r="L7222" t="str">
        <f t="shared" si="2949"/>
        <v>04-08-2020</v>
      </c>
      <c r="M7222" t="str">
        <f t="shared" si="2949"/>
        <v>04-08-2020</v>
      </c>
      <c r="N7222" t="str">
        <f t="shared" si="2933"/>
        <v>001105018356</v>
      </c>
      <c r="O7222" t="str">
        <f t="shared" si="2934"/>
        <v>MYR</v>
      </c>
      <c r="P7222" t="str">
        <f t="shared" si="2950"/>
        <v>NIL</v>
      </c>
      <c r="Q7222" t="str">
        <f t="shared" si="2950"/>
        <v>NIL</v>
      </c>
      <c r="R7222" t="str">
        <f t="shared" si="2947"/>
        <v>Accepted</v>
      </c>
      <c r="S7222" t="str">
        <f t="shared" si="2935"/>
        <v>Approved</v>
      </c>
      <c r="T7222" t="str">
        <f t="shared" si="2948"/>
        <v>10.20.8.188</v>
      </c>
      <c r="U7222" t="str">
        <f t="shared" si="2936"/>
        <v>AZRAD UMAR BIN SHAARI</v>
      </c>
      <c r="V7222" t="str">
        <f t="shared" si="2937"/>
        <v>FARHANA BINTI MUSTAPA</v>
      </c>
      <c r="W7222" t="str">
        <f t="shared" si="2938"/>
        <v>04-08-2020</v>
      </c>
      <c r="X7222" t="str">
        <f t="shared" si="2939"/>
        <v>RAZIMAH ANSAR AHMAD</v>
      </c>
      <c r="Y7222" t="str">
        <f t="shared" si="2940"/>
        <v>04-08-2020</v>
      </c>
      <c r="Z7222" t="str">
        <f>"COS10200804 1932"</f>
        <v>COS10200804 1932</v>
      </c>
    </row>
    <row r="7223" spans="1:26" x14ac:dyDescent="0.25">
      <c r="A7223" t="str">
        <f t="shared" si="2951"/>
        <v>04-08-2020 12:35:42</v>
      </c>
      <c r="B7223" t="str">
        <f>"0000803687"</f>
        <v>0000803687</v>
      </c>
      <c r="C7223" t="str">
        <f t="shared" si="2952"/>
        <v>0000803555</v>
      </c>
      <c r="D7223" t="str">
        <f t="shared" si="2930"/>
        <v>73185</v>
      </c>
      <c r="E7223" t="str">
        <f t="shared" si="2931"/>
        <v>KFH-OPERATIONS DEPARTMENT</v>
      </c>
      <c r="F7223" t="str">
        <f t="shared" si="2932"/>
        <v>IBG</v>
      </c>
      <c r="G7223" t="str">
        <f t="shared" si="2941"/>
        <v>Refund COSHARE 10</v>
      </c>
      <c r="H7223" s="2">
        <v>183</v>
      </c>
      <c r="I7223" t="str">
        <f>"RABIAATUL ADAWIAH BINTI MOHAMMAD NORAWI"</f>
        <v>RABIAATUL ADAWIAH BINTI MOHAMMAD NORAWI</v>
      </c>
      <c r="J7223" t="str">
        <f t="shared" si="2946"/>
        <v>BANK SIMPANAN NASIONAL</v>
      </c>
      <c r="K7223" t="str">
        <f>"0115429000125744"</f>
        <v>0115429000125744</v>
      </c>
      <c r="L7223" t="str">
        <f t="shared" si="2949"/>
        <v>04-08-2020</v>
      </c>
      <c r="M7223" t="str">
        <f t="shared" si="2949"/>
        <v>04-08-2020</v>
      </c>
      <c r="N7223" t="str">
        <f t="shared" si="2933"/>
        <v>001105018356</v>
      </c>
      <c r="O7223" t="str">
        <f t="shared" si="2934"/>
        <v>MYR</v>
      </c>
      <c r="P7223" t="str">
        <f t="shared" si="2950"/>
        <v>NIL</v>
      </c>
      <c r="Q7223" t="str">
        <f t="shared" si="2950"/>
        <v>NIL</v>
      </c>
      <c r="R7223" t="str">
        <f t="shared" si="2947"/>
        <v>Accepted</v>
      </c>
      <c r="S7223" t="str">
        <f t="shared" si="2935"/>
        <v>Approved</v>
      </c>
      <c r="T7223" t="str">
        <f t="shared" si="2948"/>
        <v>10.20.8.188</v>
      </c>
      <c r="U7223" t="str">
        <f t="shared" si="2936"/>
        <v>AZRAD UMAR BIN SHAARI</v>
      </c>
      <c r="V7223" t="str">
        <f t="shared" si="2937"/>
        <v>FARHANA BINTI MUSTAPA</v>
      </c>
      <c r="W7223" t="str">
        <f t="shared" si="2938"/>
        <v>04-08-2020</v>
      </c>
      <c r="X7223" t="str">
        <f t="shared" si="2939"/>
        <v>RAZIMAH ANSAR AHMAD</v>
      </c>
      <c r="Y7223" t="str">
        <f t="shared" si="2940"/>
        <v>04-08-2020</v>
      </c>
      <c r="Z7223" t="str">
        <f>"COS10200804 1931"</f>
        <v>COS10200804 1931</v>
      </c>
    </row>
    <row r="7224" spans="1:26" x14ac:dyDescent="0.25">
      <c r="A7224" t="str">
        <f t="shared" si="2951"/>
        <v>04-08-2020 12:35:42</v>
      </c>
      <c r="B7224" t="str">
        <f>"0000803686"</f>
        <v>0000803686</v>
      </c>
      <c r="C7224" t="str">
        <f t="shared" si="2952"/>
        <v>0000803555</v>
      </c>
      <c r="D7224" t="str">
        <f t="shared" si="2930"/>
        <v>73185</v>
      </c>
      <c r="E7224" t="str">
        <f t="shared" si="2931"/>
        <v>KFH-OPERATIONS DEPARTMENT</v>
      </c>
      <c r="F7224" t="str">
        <f t="shared" si="2932"/>
        <v>IBG</v>
      </c>
      <c r="G7224" t="str">
        <f t="shared" si="2941"/>
        <v>Refund COSHARE 10</v>
      </c>
      <c r="H7224" s="2">
        <v>201.5</v>
      </c>
      <c r="I7224" t="str">
        <f>"PUVANESVARY AP P K KRISHNAN"</f>
        <v>PUVANESVARY AP P K KRISHNAN</v>
      </c>
      <c r="J7224" t="str">
        <f t="shared" si="2946"/>
        <v>BANK SIMPANAN NASIONAL</v>
      </c>
      <c r="K7224" t="str">
        <f>"1412629832143197"</f>
        <v>1412629832143197</v>
      </c>
      <c r="L7224" t="str">
        <f t="shared" si="2949"/>
        <v>04-08-2020</v>
      </c>
      <c r="M7224" t="str">
        <f t="shared" si="2949"/>
        <v>04-08-2020</v>
      </c>
      <c r="N7224" t="str">
        <f t="shared" si="2933"/>
        <v>001105018356</v>
      </c>
      <c r="O7224" t="str">
        <f t="shared" si="2934"/>
        <v>MYR</v>
      </c>
      <c r="P7224" t="str">
        <f t="shared" si="2950"/>
        <v>NIL</v>
      </c>
      <c r="Q7224" t="str">
        <f t="shared" si="2950"/>
        <v>NIL</v>
      </c>
      <c r="R7224" t="str">
        <f t="shared" si="2947"/>
        <v>Accepted</v>
      </c>
      <c r="S7224" t="str">
        <f t="shared" si="2935"/>
        <v>Approved</v>
      </c>
      <c r="T7224" t="str">
        <f t="shared" si="2948"/>
        <v>10.20.8.188</v>
      </c>
      <c r="U7224" t="str">
        <f t="shared" si="2936"/>
        <v>AZRAD UMAR BIN SHAARI</v>
      </c>
      <c r="V7224" t="str">
        <f t="shared" si="2937"/>
        <v>FARHANA BINTI MUSTAPA</v>
      </c>
      <c r="W7224" t="str">
        <f t="shared" si="2938"/>
        <v>04-08-2020</v>
      </c>
      <c r="X7224" t="str">
        <f t="shared" si="2939"/>
        <v>RAZIMAH ANSAR AHMAD</v>
      </c>
      <c r="Y7224" t="str">
        <f t="shared" si="2940"/>
        <v>04-08-2020</v>
      </c>
      <c r="Z7224" t="str">
        <f>"COS10200804 1930"</f>
        <v>COS10200804 1930</v>
      </c>
    </row>
    <row r="7225" spans="1:26" x14ac:dyDescent="0.25">
      <c r="A7225" t="str">
        <f t="shared" si="2951"/>
        <v>04-08-2020 12:35:42</v>
      </c>
      <c r="B7225" t="str">
        <f>"0000803685"</f>
        <v>0000803685</v>
      </c>
      <c r="C7225" t="str">
        <f t="shared" si="2952"/>
        <v>0000803555</v>
      </c>
      <c r="D7225" t="str">
        <f t="shared" si="2930"/>
        <v>73185</v>
      </c>
      <c r="E7225" t="str">
        <f t="shared" si="2931"/>
        <v>KFH-OPERATIONS DEPARTMENT</v>
      </c>
      <c r="F7225" t="str">
        <f t="shared" si="2932"/>
        <v>IBG</v>
      </c>
      <c r="G7225" t="str">
        <f t="shared" si="2941"/>
        <v>Refund COSHARE 10</v>
      </c>
      <c r="H7225" s="2">
        <v>638.04999999999995</v>
      </c>
      <c r="I7225" t="str">
        <f>"PUSPHA DEVI AP SUPRAMANI"</f>
        <v>PUSPHA DEVI AP SUPRAMANI</v>
      </c>
      <c r="J7225" t="str">
        <f t="shared" si="2946"/>
        <v>BANK SIMPANAN NASIONAL</v>
      </c>
      <c r="K7225" t="str">
        <f>"0670029000035669"</f>
        <v>0670029000035669</v>
      </c>
      <c r="L7225" t="str">
        <f t="shared" si="2949"/>
        <v>04-08-2020</v>
      </c>
      <c r="M7225" t="str">
        <f t="shared" si="2949"/>
        <v>04-08-2020</v>
      </c>
      <c r="N7225" t="str">
        <f t="shared" si="2933"/>
        <v>001105018356</v>
      </c>
      <c r="O7225" t="str">
        <f t="shared" si="2934"/>
        <v>MYR</v>
      </c>
      <c r="P7225" t="str">
        <f t="shared" si="2950"/>
        <v>NIL</v>
      </c>
      <c r="Q7225" t="str">
        <f t="shared" si="2950"/>
        <v>NIL</v>
      </c>
      <c r="R7225" t="str">
        <f t="shared" si="2947"/>
        <v>Accepted</v>
      </c>
      <c r="S7225" t="str">
        <f t="shared" si="2935"/>
        <v>Approved</v>
      </c>
      <c r="T7225" t="str">
        <f t="shared" si="2948"/>
        <v>10.20.8.188</v>
      </c>
      <c r="U7225" t="str">
        <f t="shared" si="2936"/>
        <v>AZRAD UMAR BIN SHAARI</v>
      </c>
      <c r="V7225" t="str">
        <f t="shared" si="2937"/>
        <v>FARHANA BINTI MUSTAPA</v>
      </c>
      <c r="W7225" t="str">
        <f t="shared" si="2938"/>
        <v>04-08-2020</v>
      </c>
      <c r="X7225" t="str">
        <f t="shared" si="2939"/>
        <v>RAZIMAH ANSAR AHMAD</v>
      </c>
      <c r="Y7225" t="str">
        <f t="shared" si="2940"/>
        <v>04-08-2020</v>
      </c>
      <c r="Z7225" t="str">
        <f>"COS10200804 1929"</f>
        <v>COS10200804 1929</v>
      </c>
    </row>
    <row r="7226" spans="1:26" x14ac:dyDescent="0.25">
      <c r="A7226" t="str">
        <f t="shared" si="2951"/>
        <v>04-08-2020 12:35:42</v>
      </c>
      <c r="B7226" t="str">
        <f>"0000803684"</f>
        <v>0000803684</v>
      </c>
      <c r="C7226" t="str">
        <f t="shared" si="2952"/>
        <v>0000803555</v>
      </c>
      <c r="D7226" t="str">
        <f t="shared" si="2930"/>
        <v>73185</v>
      </c>
      <c r="E7226" t="str">
        <f t="shared" si="2931"/>
        <v>KFH-OPERATIONS DEPARTMENT</v>
      </c>
      <c r="F7226" t="str">
        <f t="shared" si="2932"/>
        <v>IBG</v>
      </c>
      <c r="G7226" t="str">
        <f t="shared" si="2941"/>
        <v>Refund COSHARE 10</v>
      </c>
      <c r="H7226" s="2">
        <v>620.9</v>
      </c>
      <c r="I7226" t="str">
        <f>"PRAYMALATHA A P BALAKRISHNAN"</f>
        <v>PRAYMALATHA A P BALAKRISHNAN</v>
      </c>
      <c r="J7226" t="str">
        <f t="shared" si="2946"/>
        <v>BANK SIMPANAN NASIONAL</v>
      </c>
      <c r="K7226" t="str">
        <f>"1012629888525194"</f>
        <v>1012629888525194</v>
      </c>
      <c r="L7226" t="str">
        <f t="shared" si="2949"/>
        <v>04-08-2020</v>
      </c>
      <c r="M7226" t="str">
        <f t="shared" si="2949"/>
        <v>04-08-2020</v>
      </c>
      <c r="N7226" t="str">
        <f t="shared" si="2933"/>
        <v>001105018356</v>
      </c>
      <c r="O7226" t="str">
        <f t="shared" si="2934"/>
        <v>MYR</v>
      </c>
      <c r="P7226" t="str">
        <f t="shared" si="2950"/>
        <v>NIL</v>
      </c>
      <c r="Q7226" t="str">
        <f t="shared" si="2950"/>
        <v>NIL</v>
      </c>
      <c r="R7226" t="str">
        <f t="shared" si="2947"/>
        <v>Accepted</v>
      </c>
      <c r="S7226" t="str">
        <f t="shared" si="2935"/>
        <v>Approved</v>
      </c>
      <c r="T7226" t="str">
        <f t="shared" si="2948"/>
        <v>10.20.8.188</v>
      </c>
      <c r="U7226" t="str">
        <f t="shared" si="2936"/>
        <v>AZRAD UMAR BIN SHAARI</v>
      </c>
      <c r="V7226" t="str">
        <f t="shared" si="2937"/>
        <v>FARHANA BINTI MUSTAPA</v>
      </c>
      <c r="W7226" t="str">
        <f t="shared" si="2938"/>
        <v>04-08-2020</v>
      </c>
      <c r="X7226" t="str">
        <f t="shared" si="2939"/>
        <v>RAZIMAH ANSAR AHMAD</v>
      </c>
      <c r="Y7226" t="str">
        <f t="shared" si="2940"/>
        <v>04-08-2020</v>
      </c>
      <c r="Z7226" t="str">
        <f>"COS10200804 1928"</f>
        <v>COS10200804 1928</v>
      </c>
    </row>
    <row r="7227" spans="1:26" x14ac:dyDescent="0.25">
      <c r="A7227" t="str">
        <f t="shared" si="2951"/>
        <v>04-08-2020 12:35:42</v>
      </c>
      <c r="B7227" t="str">
        <f>"0000803683"</f>
        <v>0000803683</v>
      </c>
      <c r="C7227" t="str">
        <f t="shared" si="2952"/>
        <v>0000803555</v>
      </c>
      <c r="D7227" t="str">
        <f t="shared" si="2930"/>
        <v>73185</v>
      </c>
      <c r="E7227" t="str">
        <f t="shared" si="2931"/>
        <v>KFH-OPERATIONS DEPARTMENT</v>
      </c>
      <c r="F7227" t="str">
        <f t="shared" si="2932"/>
        <v>IBG</v>
      </c>
      <c r="G7227" t="str">
        <f t="shared" si="2941"/>
        <v>Refund COSHARE 10</v>
      </c>
      <c r="H7227" s="2">
        <v>759</v>
      </c>
      <c r="I7227" t="str">
        <f>"PERICLES ANAK SEND"</f>
        <v>PERICLES ANAK SEND</v>
      </c>
      <c r="J7227" t="str">
        <f t="shared" si="2946"/>
        <v>BANK SIMPANAN NASIONAL</v>
      </c>
      <c r="K7227" t="str">
        <f>"1310841000059861"</f>
        <v>1310841000059861</v>
      </c>
      <c r="L7227" t="str">
        <f t="shared" ref="L7227:M7246" si="2953">"04-08-2020"</f>
        <v>04-08-2020</v>
      </c>
      <c r="M7227" t="str">
        <f t="shared" si="2953"/>
        <v>04-08-2020</v>
      </c>
      <c r="N7227" t="str">
        <f t="shared" si="2933"/>
        <v>001105018356</v>
      </c>
      <c r="O7227" t="str">
        <f t="shared" si="2934"/>
        <v>MYR</v>
      </c>
      <c r="P7227" t="str">
        <f t="shared" ref="P7227:Q7246" si="2954">"NIL"</f>
        <v>NIL</v>
      </c>
      <c r="Q7227" t="str">
        <f t="shared" si="2954"/>
        <v>NIL</v>
      </c>
      <c r="R7227" t="str">
        <f t="shared" si="2947"/>
        <v>Accepted</v>
      </c>
      <c r="S7227" t="str">
        <f t="shared" si="2935"/>
        <v>Approved</v>
      </c>
      <c r="T7227" t="str">
        <f t="shared" si="2948"/>
        <v>10.20.8.188</v>
      </c>
      <c r="U7227" t="str">
        <f t="shared" si="2936"/>
        <v>AZRAD UMAR BIN SHAARI</v>
      </c>
      <c r="V7227" t="str">
        <f t="shared" si="2937"/>
        <v>FARHANA BINTI MUSTAPA</v>
      </c>
      <c r="W7227" t="str">
        <f t="shared" si="2938"/>
        <v>04-08-2020</v>
      </c>
      <c r="X7227" t="str">
        <f t="shared" si="2939"/>
        <v>RAZIMAH ANSAR AHMAD</v>
      </c>
      <c r="Y7227" t="str">
        <f t="shared" si="2940"/>
        <v>04-08-2020</v>
      </c>
      <c r="Z7227" t="str">
        <f>"COS10200804 1927"</f>
        <v>COS10200804 1927</v>
      </c>
    </row>
    <row r="7228" spans="1:26" x14ac:dyDescent="0.25">
      <c r="A7228" t="str">
        <f t="shared" si="2951"/>
        <v>04-08-2020 12:35:42</v>
      </c>
      <c r="B7228" t="str">
        <f>"0000803682"</f>
        <v>0000803682</v>
      </c>
      <c r="C7228" t="str">
        <f t="shared" si="2952"/>
        <v>0000803555</v>
      </c>
      <c r="D7228" t="str">
        <f t="shared" si="2930"/>
        <v>73185</v>
      </c>
      <c r="E7228" t="str">
        <f t="shared" si="2931"/>
        <v>KFH-OPERATIONS DEPARTMENT</v>
      </c>
      <c r="F7228" t="str">
        <f t="shared" si="2932"/>
        <v>IBG</v>
      </c>
      <c r="G7228" t="str">
        <f t="shared" si="2941"/>
        <v>Refund COSHARE 10</v>
      </c>
      <c r="H7228" s="2">
        <v>683.55</v>
      </c>
      <c r="I7228" t="str">
        <f>"PALAJUMAN BIN MONGANKIM"</f>
        <v>PALAJUMAN BIN MONGANKIM</v>
      </c>
      <c r="J7228" t="str">
        <f t="shared" si="2946"/>
        <v>BANK SIMPANAN NASIONAL</v>
      </c>
      <c r="K7228" t="str">
        <f>"1210029865916790"</f>
        <v>1210029865916790</v>
      </c>
      <c r="L7228" t="str">
        <f t="shared" si="2953"/>
        <v>04-08-2020</v>
      </c>
      <c r="M7228" t="str">
        <f t="shared" si="2953"/>
        <v>04-08-2020</v>
      </c>
      <c r="N7228" t="str">
        <f t="shared" si="2933"/>
        <v>001105018356</v>
      </c>
      <c r="O7228" t="str">
        <f t="shared" si="2934"/>
        <v>MYR</v>
      </c>
      <c r="P7228" t="str">
        <f t="shared" si="2954"/>
        <v>NIL</v>
      </c>
      <c r="Q7228" t="str">
        <f t="shared" si="2954"/>
        <v>NIL</v>
      </c>
      <c r="R7228" t="str">
        <f t="shared" si="2947"/>
        <v>Accepted</v>
      </c>
      <c r="S7228" t="str">
        <f t="shared" si="2935"/>
        <v>Approved</v>
      </c>
      <c r="T7228" t="str">
        <f t="shared" si="2948"/>
        <v>10.20.8.188</v>
      </c>
      <c r="U7228" t="str">
        <f t="shared" si="2936"/>
        <v>AZRAD UMAR BIN SHAARI</v>
      </c>
      <c r="V7228" t="str">
        <f t="shared" si="2937"/>
        <v>FARHANA BINTI MUSTAPA</v>
      </c>
      <c r="W7228" t="str">
        <f t="shared" si="2938"/>
        <v>04-08-2020</v>
      </c>
      <c r="X7228" t="str">
        <f t="shared" si="2939"/>
        <v>RAZIMAH ANSAR AHMAD</v>
      </c>
      <c r="Y7228" t="str">
        <f t="shared" si="2940"/>
        <v>04-08-2020</v>
      </c>
      <c r="Z7228" t="str">
        <f>"COS10200804 1926"</f>
        <v>COS10200804 1926</v>
      </c>
    </row>
    <row r="7229" spans="1:26" x14ac:dyDescent="0.25">
      <c r="A7229" t="str">
        <f t="shared" si="2951"/>
        <v>04-08-2020 12:35:42</v>
      </c>
      <c r="B7229" t="str">
        <f>"0000803681"</f>
        <v>0000803681</v>
      </c>
      <c r="C7229" t="str">
        <f t="shared" si="2952"/>
        <v>0000803555</v>
      </c>
      <c r="D7229" t="str">
        <f t="shared" si="2930"/>
        <v>73185</v>
      </c>
      <c r="E7229" t="str">
        <f t="shared" si="2931"/>
        <v>KFH-OPERATIONS DEPARTMENT</v>
      </c>
      <c r="F7229" t="str">
        <f t="shared" si="2932"/>
        <v>IBG</v>
      </c>
      <c r="G7229" t="str">
        <f t="shared" si="2941"/>
        <v>Refund COSHARE 10</v>
      </c>
      <c r="H7229" s="2">
        <v>1986</v>
      </c>
      <c r="I7229" t="str">
        <f>"OSON KHAN BIN ALI AKBAR KHAN"</f>
        <v>OSON KHAN BIN ALI AKBAR KHAN</v>
      </c>
      <c r="J7229" t="str">
        <f t="shared" si="2946"/>
        <v>BANK SIMPANAN NASIONAL</v>
      </c>
      <c r="K7229" t="str">
        <f>"1411729000009078"</f>
        <v>1411729000009078</v>
      </c>
      <c r="L7229" t="str">
        <f t="shared" si="2953"/>
        <v>04-08-2020</v>
      </c>
      <c r="M7229" t="str">
        <f t="shared" si="2953"/>
        <v>04-08-2020</v>
      </c>
      <c r="N7229" t="str">
        <f t="shared" si="2933"/>
        <v>001105018356</v>
      </c>
      <c r="O7229" t="str">
        <f t="shared" si="2934"/>
        <v>MYR</v>
      </c>
      <c r="P7229" t="str">
        <f t="shared" si="2954"/>
        <v>NIL</v>
      </c>
      <c r="Q7229" t="str">
        <f t="shared" si="2954"/>
        <v>NIL</v>
      </c>
      <c r="R7229" t="str">
        <f t="shared" si="2947"/>
        <v>Accepted</v>
      </c>
      <c r="S7229" t="str">
        <f t="shared" si="2935"/>
        <v>Approved</v>
      </c>
      <c r="T7229" t="str">
        <f t="shared" si="2948"/>
        <v>10.20.8.188</v>
      </c>
      <c r="U7229" t="str">
        <f t="shared" si="2936"/>
        <v>AZRAD UMAR BIN SHAARI</v>
      </c>
      <c r="V7229" t="str">
        <f t="shared" si="2937"/>
        <v>FARHANA BINTI MUSTAPA</v>
      </c>
      <c r="W7229" t="str">
        <f t="shared" si="2938"/>
        <v>04-08-2020</v>
      </c>
      <c r="X7229" t="str">
        <f t="shared" si="2939"/>
        <v>RAZIMAH ANSAR AHMAD</v>
      </c>
      <c r="Y7229" t="str">
        <f t="shared" si="2940"/>
        <v>04-08-2020</v>
      </c>
      <c r="Z7229" t="str">
        <f>"COS10200804 1925"</f>
        <v>COS10200804 1925</v>
      </c>
    </row>
    <row r="7230" spans="1:26" x14ac:dyDescent="0.25">
      <c r="A7230" t="str">
        <f t="shared" si="2951"/>
        <v>04-08-2020 12:35:42</v>
      </c>
      <c r="B7230" t="str">
        <f>"0000803680"</f>
        <v>0000803680</v>
      </c>
      <c r="C7230" t="str">
        <f t="shared" si="2952"/>
        <v>0000803555</v>
      </c>
      <c r="D7230" t="str">
        <f t="shared" si="2930"/>
        <v>73185</v>
      </c>
      <c r="E7230" t="str">
        <f t="shared" si="2931"/>
        <v>KFH-OPERATIONS DEPARTMENT</v>
      </c>
      <c r="F7230" t="str">
        <f t="shared" si="2932"/>
        <v>IBG</v>
      </c>
      <c r="G7230" t="str">
        <f t="shared" si="2941"/>
        <v>Refund COSHARE 10</v>
      </c>
      <c r="H7230" s="2">
        <v>1188.5999999999999</v>
      </c>
      <c r="I7230" t="str">
        <f>"NURZANARIAH BINTI HAMZAH"</f>
        <v>NURZANARIAH BINTI HAMZAH</v>
      </c>
      <c r="J7230" t="str">
        <f t="shared" si="2946"/>
        <v>BANK SIMPANAN NASIONAL</v>
      </c>
      <c r="K7230" t="str">
        <f>"0310029000176998"</f>
        <v>0310029000176998</v>
      </c>
      <c r="L7230" t="str">
        <f t="shared" si="2953"/>
        <v>04-08-2020</v>
      </c>
      <c r="M7230" t="str">
        <f t="shared" si="2953"/>
        <v>04-08-2020</v>
      </c>
      <c r="N7230" t="str">
        <f t="shared" si="2933"/>
        <v>001105018356</v>
      </c>
      <c r="O7230" t="str">
        <f t="shared" si="2934"/>
        <v>MYR</v>
      </c>
      <c r="P7230" t="str">
        <f t="shared" si="2954"/>
        <v>NIL</v>
      </c>
      <c r="Q7230" t="str">
        <f t="shared" si="2954"/>
        <v>NIL</v>
      </c>
      <c r="R7230" t="str">
        <f t="shared" si="2947"/>
        <v>Accepted</v>
      </c>
      <c r="S7230" t="str">
        <f t="shared" si="2935"/>
        <v>Approved</v>
      </c>
      <c r="T7230" t="str">
        <f t="shared" si="2948"/>
        <v>10.20.8.188</v>
      </c>
      <c r="U7230" t="str">
        <f t="shared" si="2936"/>
        <v>AZRAD UMAR BIN SHAARI</v>
      </c>
      <c r="V7230" t="str">
        <f t="shared" si="2937"/>
        <v>FARHANA BINTI MUSTAPA</v>
      </c>
      <c r="W7230" t="str">
        <f t="shared" si="2938"/>
        <v>04-08-2020</v>
      </c>
      <c r="X7230" t="str">
        <f t="shared" si="2939"/>
        <v>RAZIMAH ANSAR AHMAD</v>
      </c>
      <c r="Y7230" t="str">
        <f t="shared" si="2940"/>
        <v>04-08-2020</v>
      </c>
      <c r="Z7230" t="str">
        <f>"COS10200804 1924"</f>
        <v>COS10200804 1924</v>
      </c>
    </row>
    <row r="7231" spans="1:26" x14ac:dyDescent="0.25">
      <c r="A7231" t="str">
        <f t="shared" si="2951"/>
        <v>04-08-2020 12:35:42</v>
      </c>
      <c r="B7231" t="str">
        <f>"0000803679"</f>
        <v>0000803679</v>
      </c>
      <c r="C7231" t="str">
        <f t="shared" si="2952"/>
        <v>0000803555</v>
      </c>
      <c r="D7231" t="str">
        <f t="shared" si="2930"/>
        <v>73185</v>
      </c>
      <c r="E7231" t="str">
        <f t="shared" si="2931"/>
        <v>KFH-OPERATIONS DEPARTMENT</v>
      </c>
      <c r="F7231" t="str">
        <f t="shared" si="2932"/>
        <v>IBG</v>
      </c>
      <c r="G7231" t="str">
        <f t="shared" si="2941"/>
        <v>Refund COSHARE 10</v>
      </c>
      <c r="H7231" s="2">
        <v>151.15</v>
      </c>
      <c r="I7231" t="str">
        <f>"NURULATIKA BINTI ABDULLAH"</f>
        <v>NURULATIKA BINTI ABDULLAH</v>
      </c>
      <c r="J7231" t="str">
        <f t="shared" si="2946"/>
        <v>BANK SIMPANAN NASIONAL</v>
      </c>
      <c r="K7231" t="str">
        <f>"1312329000006257"</f>
        <v>1312329000006257</v>
      </c>
      <c r="L7231" t="str">
        <f t="shared" si="2953"/>
        <v>04-08-2020</v>
      </c>
      <c r="M7231" t="str">
        <f t="shared" si="2953"/>
        <v>04-08-2020</v>
      </c>
      <c r="N7231" t="str">
        <f t="shared" si="2933"/>
        <v>001105018356</v>
      </c>
      <c r="O7231" t="str">
        <f t="shared" si="2934"/>
        <v>MYR</v>
      </c>
      <c r="P7231" t="str">
        <f t="shared" si="2954"/>
        <v>NIL</v>
      </c>
      <c r="Q7231" t="str">
        <f t="shared" si="2954"/>
        <v>NIL</v>
      </c>
      <c r="R7231" t="str">
        <f t="shared" si="2947"/>
        <v>Accepted</v>
      </c>
      <c r="S7231" t="str">
        <f t="shared" si="2935"/>
        <v>Approved</v>
      </c>
      <c r="T7231" t="str">
        <f t="shared" si="2948"/>
        <v>10.20.8.188</v>
      </c>
      <c r="U7231" t="str">
        <f t="shared" si="2936"/>
        <v>AZRAD UMAR BIN SHAARI</v>
      </c>
      <c r="V7231" t="str">
        <f t="shared" si="2937"/>
        <v>FARHANA BINTI MUSTAPA</v>
      </c>
      <c r="W7231" t="str">
        <f t="shared" si="2938"/>
        <v>04-08-2020</v>
      </c>
      <c r="X7231" t="str">
        <f t="shared" si="2939"/>
        <v>RAZIMAH ANSAR AHMAD</v>
      </c>
      <c r="Y7231" t="str">
        <f t="shared" si="2940"/>
        <v>04-08-2020</v>
      </c>
      <c r="Z7231" t="str">
        <f>"COS10200804 1923"</f>
        <v>COS10200804 1923</v>
      </c>
    </row>
    <row r="7232" spans="1:26" x14ac:dyDescent="0.25">
      <c r="A7232" t="str">
        <f t="shared" si="2951"/>
        <v>04-08-2020 12:35:42</v>
      </c>
      <c r="B7232" t="str">
        <f>"0000803678"</f>
        <v>0000803678</v>
      </c>
      <c r="C7232" t="str">
        <f t="shared" si="2952"/>
        <v>0000803555</v>
      </c>
      <c r="D7232" t="str">
        <f t="shared" si="2930"/>
        <v>73185</v>
      </c>
      <c r="E7232" t="str">
        <f t="shared" si="2931"/>
        <v>KFH-OPERATIONS DEPARTMENT</v>
      </c>
      <c r="F7232" t="str">
        <f t="shared" si="2932"/>
        <v>IBG</v>
      </c>
      <c r="G7232" t="str">
        <f t="shared" si="2941"/>
        <v>Refund COSHARE 10</v>
      </c>
      <c r="H7232" s="2">
        <v>317.55</v>
      </c>
      <c r="I7232" t="str">
        <f>"NURULASHIKIN SHUHAILY BINTI SHUHAIMI"</f>
        <v>NURULASHIKIN SHUHAILY BINTI SHUHAIMI</v>
      </c>
      <c r="J7232" t="str">
        <f t="shared" si="2946"/>
        <v>BANK SIMPANAN NASIONAL</v>
      </c>
      <c r="K7232" t="str">
        <f>"0220029810188991"</f>
        <v>0220029810188991</v>
      </c>
      <c r="L7232" t="str">
        <f t="shared" si="2953"/>
        <v>04-08-2020</v>
      </c>
      <c r="M7232" t="str">
        <f t="shared" si="2953"/>
        <v>04-08-2020</v>
      </c>
      <c r="N7232" t="str">
        <f t="shared" si="2933"/>
        <v>001105018356</v>
      </c>
      <c r="O7232" t="str">
        <f t="shared" si="2934"/>
        <v>MYR</v>
      </c>
      <c r="P7232" t="str">
        <f t="shared" si="2954"/>
        <v>NIL</v>
      </c>
      <c r="Q7232" t="str">
        <f t="shared" si="2954"/>
        <v>NIL</v>
      </c>
      <c r="R7232" t="str">
        <f t="shared" si="2947"/>
        <v>Accepted</v>
      </c>
      <c r="S7232" t="str">
        <f t="shared" si="2935"/>
        <v>Approved</v>
      </c>
      <c r="T7232" t="str">
        <f t="shared" si="2948"/>
        <v>10.20.8.188</v>
      </c>
      <c r="U7232" t="str">
        <f t="shared" si="2936"/>
        <v>AZRAD UMAR BIN SHAARI</v>
      </c>
      <c r="V7232" t="str">
        <f t="shared" si="2937"/>
        <v>FARHANA BINTI MUSTAPA</v>
      </c>
      <c r="W7232" t="str">
        <f t="shared" si="2938"/>
        <v>04-08-2020</v>
      </c>
      <c r="X7232" t="str">
        <f t="shared" si="2939"/>
        <v>RAZIMAH ANSAR AHMAD</v>
      </c>
      <c r="Y7232" t="str">
        <f t="shared" si="2940"/>
        <v>04-08-2020</v>
      </c>
      <c r="Z7232" t="str">
        <f>"COS10200804 1922"</f>
        <v>COS10200804 1922</v>
      </c>
    </row>
    <row r="7233" spans="1:26" x14ac:dyDescent="0.25">
      <c r="A7233" t="str">
        <f t="shared" si="2951"/>
        <v>04-08-2020 12:35:42</v>
      </c>
      <c r="B7233" t="str">
        <f>"0000803677"</f>
        <v>0000803677</v>
      </c>
      <c r="C7233" t="str">
        <f t="shared" si="2952"/>
        <v>0000803555</v>
      </c>
      <c r="D7233" t="str">
        <f t="shared" si="2930"/>
        <v>73185</v>
      </c>
      <c r="E7233" t="str">
        <f t="shared" si="2931"/>
        <v>KFH-OPERATIONS DEPARTMENT</v>
      </c>
      <c r="F7233" t="str">
        <f t="shared" si="2932"/>
        <v>IBG</v>
      </c>
      <c r="G7233" t="str">
        <f t="shared" si="2941"/>
        <v>Refund COSHARE 10</v>
      </c>
      <c r="H7233" s="2">
        <v>109.15</v>
      </c>
      <c r="I7233" t="str">
        <f>"NURUL HUDA BINTI HARUN"</f>
        <v>NURUL HUDA BINTI HARUN</v>
      </c>
      <c r="J7233" t="str">
        <f t="shared" si="2946"/>
        <v>BANK SIMPANAN NASIONAL</v>
      </c>
      <c r="K7233" t="str">
        <f>"1011929000011219"</f>
        <v>1011929000011219</v>
      </c>
      <c r="L7233" t="str">
        <f t="shared" si="2953"/>
        <v>04-08-2020</v>
      </c>
      <c r="M7233" t="str">
        <f t="shared" si="2953"/>
        <v>04-08-2020</v>
      </c>
      <c r="N7233" t="str">
        <f t="shared" si="2933"/>
        <v>001105018356</v>
      </c>
      <c r="O7233" t="str">
        <f t="shared" si="2934"/>
        <v>MYR</v>
      </c>
      <c r="P7233" t="str">
        <f t="shared" si="2954"/>
        <v>NIL</v>
      </c>
      <c r="Q7233" t="str">
        <f t="shared" si="2954"/>
        <v>NIL</v>
      </c>
      <c r="R7233" t="str">
        <f t="shared" si="2947"/>
        <v>Accepted</v>
      </c>
      <c r="S7233" t="str">
        <f t="shared" si="2935"/>
        <v>Approved</v>
      </c>
      <c r="T7233" t="str">
        <f t="shared" si="2948"/>
        <v>10.20.8.188</v>
      </c>
      <c r="U7233" t="str">
        <f t="shared" si="2936"/>
        <v>AZRAD UMAR BIN SHAARI</v>
      </c>
      <c r="V7233" t="str">
        <f t="shared" si="2937"/>
        <v>FARHANA BINTI MUSTAPA</v>
      </c>
      <c r="W7233" t="str">
        <f t="shared" si="2938"/>
        <v>04-08-2020</v>
      </c>
      <c r="X7233" t="str">
        <f t="shared" si="2939"/>
        <v>RAZIMAH ANSAR AHMAD</v>
      </c>
      <c r="Y7233" t="str">
        <f t="shared" si="2940"/>
        <v>04-08-2020</v>
      </c>
      <c r="Z7233" t="str">
        <f>"COS10200804 1921"</f>
        <v>COS10200804 1921</v>
      </c>
    </row>
    <row r="7234" spans="1:26" x14ac:dyDescent="0.25">
      <c r="A7234" t="str">
        <f t="shared" si="2951"/>
        <v>04-08-2020 12:35:42</v>
      </c>
      <c r="B7234" t="str">
        <f>"0000803676"</f>
        <v>0000803676</v>
      </c>
      <c r="C7234" t="str">
        <f t="shared" si="2952"/>
        <v>0000803555</v>
      </c>
      <c r="D7234" t="str">
        <f t="shared" si="2930"/>
        <v>73185</v>
      </c>
      <c r="E7234" t="str">
        <f t="shared" si="2931"/>
        <v>KFH-OPERATIONS DEPARTMENT</v>
      </c>
      <c r="F7234" t="str">
        <f t="shared" si="2932"/>
        <v>IBG</v>
      </c>
      <c r="G7234" t="str">
        <f t="shared" si="2941"/>
        <v>Refund COSHARE 10</v>
      </c>
      <c r="H7234" s="2">
        <v>1099.75</v>
      </c>
      <c r="I7234" t="str">
        <f>"NURUL HAFEEZAH BINTI ABDULLAH"</f>
        <v>NURUL HAFEEZAH BINTI ABDULLAH</v>
      </c>
      <c r="J7234" t="str">
        <f t="shared" si="2946"/>
        <v>BANK SIMPANAN NASIONAL</v>
      </c>
      <c r="K7234" t="str">
        <f>"1110329000021661"</f>
        <v>1110329000021661</v>
      </c>
      <c r="L7234" t="str">
        <f t="shared" si="2953"/>
        <v>04-08-2020</v>
      </c>
      <c r="M7234" t="str">
        <f t="shared" si="2953"/>
        <v>04-08-2020</v>
      </c>
      <c r="N7234" t="str">
        <f t="shared" si="2933"/>
        <v>001105018356</v>
      </c>
      <c r="O7234" t="str">
        <f t="shared" si="2934"/>
        <v>MYR</v>
      </c>
      <c r="P7234" t="str">
        <f t="shared" si="2954"/>
        <v>NIL</v>
      </c>
      <c r="Q7234" t="str">
        <f t="shared" si="2954"/>
        <v>NIL</v>
      </c>
      <c r="R7234" t="str">
        <f t="shared" si="2947"/>
        <v>Accepted</v>
      </c>
      <c r="S7234" t="str">
        <f t="shared" si="2935"/>
        <v>Approved</v>
      </c>
      <c r="T7234" t="str">
        <f t="shared" si="2948"/>
        <v>10.20.8.188</v>
      </c>
      <c r="U7234" t="str">
        <f t="shared" si="2936"/>
        <v>AZRAD UMAR BIN SHAARI</v>
      </c>
      <c r="V7234" t="str">
        <f t="shared" si="2937"/>
        <v>FARHANA BINTI MUSTAPA</v>
      </c>
      <c r="W7234" t="str">
        <f t="shared" si="2938"/>
        <v>04-08-2020</v>
      </c>
      <c r="X7234" t="str">
        <f t="shared" si="2939"/>
        <v>RAZIMAH ANSAR AHMAD</v>
      </c>
      <c r="Y7234" t="str">
        <f t="shared" si="2940"/>
        <v>04-08-2020</v>
      </c>
      <c r="Z7234" t="str">
        <f>"COS10200804 1920"</f>
        <v>COS10200804 1920</v>
      </c>
    </row>
    <row r="7235" spans="1:26" x14ac:dyDescent="0.25">
      <c r="A7235" t="str">
        <f t="shared" si="2951"/>
        <v>04-08-2020 12:35:42</v>
      </c>
      <c r="B7235" t="str">
        <f>"0000803675"</f>
        <v>0000803675</v>
      </c>
      <c r="C7235" t="str">
        <f t="shared" si="2952"/>
        <v>0000803555</v>
      </c>
      <c r="D7235" t="str">
        <f t="shared" si="2930"/>
        <v>73185</v>
      </c>
      <c r="E7235" t="str">
        <f t="shared" si="2931"/>
        <v>KFH-OPERATIONS DEPARTMENT</v>
      </c>
      <c r="F7235" t="str">
        <f t="shared" si="2932"/>
        <v>IBG</v>
      </c>
      <c r="G7235" t="str">
        <f t="shared" si="2941"/>
        <v>Refund COSHARE 10</v>
      </c>
      <c r="H7235" s="2">
        <v>168.9</v>
      </c>
      <c r="I7235" t="str">
        <f>"NURUL AZIEAH AJIN ABDULLAH"</f>
        <v>NURUL AZIEAH AJIN ABDULLAH</v>
      </c>
      <c r="J7235" t="str">
        <f t="shared" si="2946"/>
        <v>BANK SIMPANAN NASIONAL</v>
      </c>
      <c r="K7235" t="str">
        <f>"1418241000002608"</f>
        <v>1418241000002608</v>
      </c>
      <c r="L7235" t="str">
        <f t="shared" si="2953"/>
        <v>04-08-2020</v>
      </c>
      <c r="M7235" t="str">
        <f t="shared" si="2953"/>
        <v>04-08-2020</v>
      </c>
      <c r="N7235" t="str">
        <f t="shared" si="2933"/>
        <v>001105018356</v>
      </c>
      <c r="O7235" t="str">
        <f t="shared" si="2934"/>
        <v>MYR</v>
      </c>
      <c r="P7235" t="str">
        <f t="shared" si="2954"/>
        <v>NIL</v>
      </c>
      <c r="Q7235" t="str">
        <f t="shared" si="2954"/>
        <v>NIL</v>
      </c>
      <c r="R7235" t="str">
        <f t="shared" si="2947"/>
        <v>Accepted</v>
      </c>
      <c r="S7235" t="str">
        <f t="shared" si="2935"/>
        <v>Approved</v>
      </c>
      <c r="T7235" t="str">
        <f t="shared" si="2948"/>
        <v>10.20.8.188</v>
      </c>
      <c r="U7235" t="str">
        <f t="shared" si="2936"/>
        <v>AZRAD UMAR BIN SHAARI</v>
      </c>
      <c r="V7235" t="str">
        <f t="shared" si="2937"/>
        <v>FARHANA BINTI MUSTAPA</v>
      </c>
      <c r="W7235" t="str">
        <f t="shared" si="2938"/>
        <v>04-08-2020</v>
      </c>
      <c r="X7235" t="str">
        <f t="shared" si="2939"/>
        <v>RAZIMAH ANSAR AHMAD</v>
      </c>
      <c r="Y7235" t="str">
        <f t="shared" si="2940"/>
        <v>04-08-2020</v>
      </c>
      <c r="Z7235" t="str">
        <f>"COS10200804 1919"</f>
        <v>COS10200804 1919</v>
      </c>
    </row>
    <row r="7236" spans="1:26" x14ac:dyDescent="0.25">
      <c r="A7236" t="str">
        <f t="shared" si="2951"/>
        <v>04-08-2020 12:35:42</v>
      </c>
      <c r="B7236" t="str">
        <f>"0000803674"</f>
        <v>0000803674</v>
      </c>
      <c r="C7236" t="str">
        <f t="shared" si="2952"/>
        <v>0000803555</v>
      </c>
      <c r="D7236" t="str">
        <f t="shared" si="2930"/>
        <v>73185</v>
      </c>
      <c r="E7236" t="str">
        <f t="shared" si="2931"/>
        <v>KFH-OPERATIONS DEPARTMENT</v>
      </c>
      <c r="F7236" t="str">
        <f t="shared" si="2932"/>
        <v>IBG</v>
      </c>
      <c r="G7236" t="str">
        <f t="shared" si="2941"/>
        <v>Refund COSHARE 10</v>
      </c>
      <c r="H7236" s="2">
        <v>92</v>
      </c>
      <c r="I7236" t="str">
        <f>"NURUL ASHIKIN BINTI RIBBANG"</f>
        <v>NURUL ASHIKIN BINTI RIBBANG</v>
      </c>
      <c r="J7236" t="str">
        <f t="shared" si="2946"/>
        <v>BANK SIMPANAN NASIONAL</v>
      </c>
      <c r="K7236" t="str">
        <f>"1210029000292916"</f>
        <v>1210029000292916</v>
      </c>
      <c r="L7236" t="str">
        <f t="shared" si="2953"/>
        <v>04-08-2020</v>
      </c>
      <c r="M7236" t="str">
        <f t="shared" si="2953"/>
        <v>04-08-2020</v>
      </c>
      <c r="N7236" t="str">
        <f t="shared" si="2933"/>
        <v>001105018356</v>
      </c>
      <c r="O7236" t="str">
        <f t="shared" si="2934"/>
        <v>MYR</v>
      </c>
      <c r="P7236" t="str">
        <f t="shared" si="2954"/>
        <v>NIL</v>
      </c>
      <c r="Q7236" t="str">
        <f t="shared" si="2954"/>
        <v>NIL</v>
      </c>
      <c r="R7236" t="str">
        <f t="shared" si="2947"/>
        <v>Accepted</v>
      </c>
      <c r="S7236" t="str">
        <f t="shared" si="2935"/>
        <v>Approved</v>
      </c>
      <c r="T7236" t="str">
        <f t="shared" si="2948"/>
        <v>10.20.8.188</v>
      </c>
      <c r="U7236" t="str">
        <f t="shared" si="2936"/>
        <v>AZRAD UMAR BIN SHAARI</v>
      </c>
      <c r="V7236" t="str">
        <f t="shared" si="2937"/>
        <v>FARHANA BINTI MUSTAPA</v>
      </c>
      <c r="W7236" t="str">
        <f t="shared" si="2938"/>
        <v>04-08-2020</v>
      </c>
      <c r="X7236" t="str">
        <f t="shared" si="2939"/>
        <v>RAZIMAH ANSAR AHMAD</v>
      </c>
      <c r="Y7236" t="str">
        <f t="shared" si="2940"/>
        <v>04-08-2020</v>
      </c>
      <c r="Z7236" t="str">
        <f>"COS10200804 1918"</f>
        <v>COS10200804 1918</v>
      </c>
    </row>
    <row r="7237" spans="1:26" x14ac:dyDescent="0.25">
      <c r="A7237" t="str">
        <f t="shared" si="2951"/>
        <v>04-08-2020 12:35:42</v>
      </c>
      <c r="B7237" t="str">
        <f>"0000803673"</f>
        <v>0000803673</v>
      </c>
      <c r="C7237" t="str">
        <f t="shared" si="2952"/>
        <v>0000803555</v>
      </c>
      <c r="D7237" t="str">
        <f t="shared" si="2930"/>
        <v>73185</v>
      </c>
      <c r="E7237" t="str">
        <f t="shared" si="2931"/>
        <v>KFH-OPERATIONS DEPARTMENT</v>
      </c>
      <c r="F7237" t="str">
        <f t="shared" si="2932"/>
        <v>IBG</v>
      </c>
      <c r="G7237" t="str">
        <f t="shared" si="2941"/>
        <v>Refund COSHARE 10</v>
      </c>
      <c r="H7237" s="2">
        <v>91</v>
      </c>
      <c r="I7237" t="str">
        <f>"NURUL AIN BINTI MUSTAFAR"</f>
        <v>NURUL AIN BINTI MUSTAFAR</v>
      </c>
      <c r="J7237" t="str">
        <f t="shared" si="2946"/>
        <v>BANK SIMPANAN NASIONAL</v>
      </c>
      <c r="K7237" t="str">
        <f>"1417129000048405"</f>
        <v>1417129000048405</v>
      </c>
      <c r="L7237" t="str">
        <f t="shared" si="2953"/>
        <v>04-08-2020</v>
      </c>
      <c r="M7237" t="str">
        <f t="shared" si="2953"/>
        <v>04-08-2020</v>
      </c>
      <c r="N7237" t="str">
        <f t="shared" si="2933"/>
        <v>001105018356</v>
      </c>
      <c r="O7237" t="str">
        <f t="shared" si="2934"/>
        <v>MYR</v>
      </c>
      <c r="P7237" t="str">
        <f t="shared" si="2954"/>
        <v>NIL</v>
      </c>
      <c r="Q7237" t="str">
        <f t="shared" si="2954"/>
        <v>NIL</v>
      </c>
      <c r="R7237" t="str">
        <f t="shared" si="2947"/>
        <v>Accepted</v>
      </c>
      <c r="S7237" t="str">
        <f t="shared" si="2935"/>
        <v>Approved</v>
      </c>
      <c r="T7237" t="str">
        <f t="shared" si="2948"/>
        <v>10.20.8.188</v>
      </c>
      <c r="U7237" t="str">
        <f t="shared" si="2936"/>
        <v>AZRAD UMAR BIN SHAARI</v>
      </c>
      <c r="V7237" t="str">
        <f t="shared" si="2937"/>
        <v>FARHANA BINTI MUSTAPA</v>
      </c>
      <c r="W7237" t="str">
        <f t="shared" si="2938"/>
        <v>04-08-2020</v>
      </c>
      <c r="X7237" t="str">
        <f t="shared" si="2939"/>
        <v>RAZIMAH ANSAR AHMAD</v>
      </c>
      <c r="Y7237" t="str">
        <f t="shared" si="2940"/>
        <v>04-08-2020</v>
      </c>
      <c r="Z7237" t="str">
        <f>"COS10200804 1917"</f>
        <v>COS10200804 1917</v>
      </c>
    </row>
    <row r="7238" spans="1:26" x14ac:dyDescent="0.25">
      <c r="A7238" t="str">
        <f t="shared" si="2951"/>
        <v>04-08-2020 12:35:42</v>
      </c>
      <c r="B7238" t="str">
        <f>"0000803672"</f>
        <v>0000803672</v>
      </c>
      <c r="C7238" t="str">
        <f t="shared" si="2952"/>
        <v>0000803555</v>
      </c>
      <c r="D7238" t="str">
        <f t="shared" si="2930"/>
        <v>73185</v>
      </c>
      <c r="E7238" t="str">
        <f t="shared" si="2931"/>
        <v>KFH-OPERATIONS DEPARTMENT</v>
      </c>
      <c r="F7238" t="str">
        <f t="shared" si="2932"/>
        <v>IBG</v>
      </c>
      <c r="G7238" t="str">
        <f t="shared" si="2941"/>
        <v>Refund COSHARE 10</v>
      </c>
      <c r="H7238" s="2">
        <v>763.95</v>
      </c>
      <c r="I7238" t="str">
        <f>"NURMIMI BINTI UTEH"</f>
        <v>NURMIMI BINTI UTEH</v>
      </c>
      <c r="J7238" t="str">
        <f t="shared" si="2946"/>
        <v>BANK SIMPANAN NASIONAL</v>
      </c>
      <c r="K7238" t="str">
        <f>"1310029830663181"</f>
        <v>1310029830663181</v>
      </c>
      <c r="L7238" t="str">
        <f t="shared" si="2953"/>
        <v>04-08-2020</v>
      </c>
      <c r="M7238" t="str">
        <f t="shared" si="2953"/>
        <v>04-08-2020</v>
      </c>
      <c r="N7238" t="str">
        <f t="shared" si="2933"/>
        <v>001105018356</v>
      </c>
      <c r="O7238" t="str">
        <f t="shared" si="2934"/>
        <v>MYR</v>
      </c>
      <c r="P7238" t="str">
        <f t="shared" si="2954"/>
        <v>NIL</v>
      </c>
      <c r="Q7238" t="str">
        <f t="shared" si="2954"/>
        <v>NIL</v>
      </c>
      <c r="R7238" t="str">
        <f t="shared" si="2947"/>
        <v>Accepted</v>
      </c>
      <c r="S7238" t="str">
        <f t="shared" si="2935"/>
        <v>Approved</v>
      </c>
      <c r="T7238" t="str">
        <f t="shared" si="2948"/>
        <v>10.20.8.188</v>
      </c>
      <c r="U7238" t="str">
        <f t="shared" si="2936"/>
        <v>AZRAD UMAR BIN SHAARI</v>
      </c>
      <c r="V7238" t="str">
        <f t="shared" si="2937"/>
        <v>FARHANA BINTI MUSTAPA</v>
      </c>
      <c r="W7238" t="str">
        <f t="shared" si="2938"/>
        <v>04-08-2020</v>
      </c>
      <c r="X7238" t="str">
        <f t="shared" si="2939"/>
        <v>RAZIMAH ANSAR AHMAD</v>
      </c>
      <c r="Y7238" t="str">
        <f t="shared" si="2940"/>
        <v>04-08-2020</v>
      </c>
      <c r="Z7238" t="str">
        <f>"COS10200804 1916"</f>
        <v>COS10200804 1916</v>
      </c>
    </row>
    <row r="7239" spans="1:26" x14ac:dyDescent="0.25">
      <c r="A7239" t="str">
        <f t="shared" si="2951"/>
        <v>04-08-2020 12:35:42</v>
      </c>
      <c r="B7239" t="str">
        <f>"0000803671"</f>
        <v>0000803671</v>
      </c>
      <c r="C7239" t="str">
        <f t="shared" si="2952"/>
        <v>0000803555</v>
      </c>
      <c r="D7239" t="str">
        <f t="shared" ref="D7239:D7302" si="2955">"73185"</f>
        <v>73185</v>
      </c>
      <c r="E7239" t="str">
        <f t="shared" ref="E7239:E7302" si="2956">"KFH-OPERATIONS DEPARTMENT"</f>
        <v>KFH-OPERATIONS DEPARTMENT</v>
      </c>
      <c r="F7239" t="str">
        <f t="shared" ref="F7239:F7302" si="2957">"IBG"</f>
        <v>IBG</v>
      </c>
      <c r="G7239" t="str">
        <f t="shared" si="2941"/>
        <v>Refund COSHARE 10</v>
      </c>
      <c r="H7239" s="2">
        <v>820</v>
      </c>
      <c r="I7239" t="str">
        <f>"NURMIMI BINTI UTEH"</f>
        <v>NURMIMI BINTI UTEH</v>
      </c>
      <c r="J7239" t="str">
        <f t="shared" si="2946"/>
        <v>BANK SIMPANAN NASIONAL</v>
      </c>
      <c r="K7239" t="str">
        <f>"1310029830663181"</f>
        <v>1310029830663181</v>
      </c>
      <c r="L7239" t="str">
        <f t="shared" si="2953"/>
        <v>04-08-2020</v>
      </c>
      <c r="M7239" t="str">
        <f t="shared" si="2953"/>
        <v>04-08-2020</v>
      </c>
      <c r="N7239" t="str">
        <f t="shared" ref="N7239:N7302" si="2958">"001105018356"</f>
        <v>001105018356</v>
      </c>
      <c r="O7239" t="str">
        <f t="shared" ref="O7239:O7302" si="2959">"MYR"</f>
        <v>MYR</v>
      </c>
      <c r="P7239" t="str">
        <f t="shared" si="2954"/>
        <v>NIL</v>
      </c>
      <c r="Q7239" t="str">
        <f t="shared" si="2954"/>
        <v>NIL</v>
      </c>
      <c r="R7239" t="str">
        <f t="shared" si="2947"/>
        <v>Accepted</v>
      </c>
      <c r="S7239" t="str">
        <f t="shared" ref="S7239:S7302" si="2960">"Approved"</f>
        <v>Approved</v>
      </c>
      <c r="T7239" t="str">
        <f t="shared" si="2948"/>
        <v>10.20.8.188</v>
      </c>
      <c r="U7239" t="str">
        <f t="shared" ref="U7239:U7302" si="2961">"AZRAD UMAR BIN SHAARI"</f>
        <v>AZRAD UMAR BIN SHAARI</v>
      </c>
      <c r="V7239" t="str">
        <f t="shared" ref="V7239:V7302" si="2962">"FARHANA BINTI MUSTAPA"</f>
        <v>FARHANA BINTI MUSTAPA</v>
      </c>
      <c r="W7239" t="str">
        <f t="shared" ref="W7239:W7302" si="2963">"04-08-2020"</f>
        <v>04-08-2020</v>
      </c>
      <c r="X7239" t="str">
        <f t="shared" ref="X7239:X7302" si="2964">"RAZIMAH ANSAR AHMAD"</f>
        <v>RAZIMAH ANSAR AHMAD</v>
      </c>
      <c r="Y7239" t="str">
        <f t="shared" ref="Y7239:Y7302" si="2965">"04-08-2020"</f>
        <v>04-08-2020</v>
      </c>
      <c r="Z7239" t="str">
        <f>"COS10200804 1915"</f>
        <v>COS10200804 1915</v>
      </c>
    </row>
    <row r="7240" spans="1:26" x14ac:dyDescent="0.25">
      <c r="A7240" t="str">
        <f t="shared" si="2951"/>
        <v>04-08-2020 12:35:42</v>
      </c>
      <c r="B7240" t="str">
        <f>"0000803670"</f>
        <v>0000803670</v>
      </c>
      <c r="C7240" t="str">
        <f t="shared" si="2952"/>
        <v>0000803555</v>
      </c>
      <c r="D7240" t="str">
        <f t="shared" si="2955"/>
        <v>73185</v>
      </c>
      <c r="E7240" t="str">
        <f t="shared" si="2956"/>
        <v>KFH-OPERATIONS DEPARTMENT</v>
      </c>
      <c r="F7240" t="str">
        <f t="shared" si="2957"/>
        <v>IBG</v>
      </c>
      <c r="G7240" t="str">
        <f t="shared" si="2941"/>
        <v>Refund COSHARE 10</v>
      </c>
      <c r="H7240" s="2">
        <v>722</v>
      </c>
      <c r="I7240" t="str">
        <f>"NURHASMIZA LAURENCE ABDULLAH"</f>
        <v>NURHASMIZA LAURENCE ABDULLAH</v>
      </c>
      <c r="J7240" t="str">
        <f t="shared" si="2946"/>
        <v>BANK SIMPANAN NASIONAL</v>
      </c>
      <c r="K7240" t="str">
        <f>"1211229000130947"</f>
        <v>1211229000130947</v>
      </c>
      <c r="L7240" t="str">
        <f t="shared" si="2953"/>
        <v>04-08-2020</v>
      </c>
      <c r="M7240" t="str">
        <f t="shared" si="2953"/>
        <v>04-08-2020</v>
      </c>
      <c r="N7240" t="str">
        <f t="shared" si="2958"/>
        <v>001105018356</v>
      </c>
      <c r="O7240" t="str">
        <f t="shared" si="2959"/>
        <v>MYR</v>
      </c>
      <c r="P7240" t="str">
        <f t="shared" si="2954"/>
        <v>NIL</v>
      </c>
      <c r="Q7240" t="str">
        <f t="shared" si="2954"/>
        <v>NIL</v>
      </c>
      <c r="R7240" t="str">
        <f t="shared" si="2947"/>
        <v>Accepted</v>
      </c>
      <c r="S7240" t="str">
        <f t="shared" si="2960"/>
        <v>Approved</v>
      </c>
      <c r="T7240" t="str">
        <f t="shared" si="2948"/>
        <v>10.20.8.188</v>
      </c>
      <c r="U7240" t="str">
        <f t="shared" si="2961"/>
        <v>AZRAD UMAR BIN SHAARI</v>
      </c>
      <c r="V7240" t="str">
        <f t="shared" si="2962"/>
        <v>FARHANA BINTI MUSTAPA</v>
      </c>
      <c r="W7240" t="str">
        <f t="shared" si="2963"/>
        <v>04-08-2020</v>
      </c>
      <c r="X7240" t="str">
        <f t="shared" si="2964"/>
        <v>RAZIMAH ANSAR AHMAD</v>
      </c>
      <c r="Y7240" t="str">
        <f t="shared" si="2965"/>
        <v>04-08-2020</v>
      </c>
      <c r="Z7240" t="str">
        <f>"COS10200804 1914"</f>
        <v>COS10200804 1914</v>
      </c>
    </row>
    <row r="7241" spans="1:26" x14ac:dyDescent="0.25">
      <c r="A7241" t="str">
        <f t="shared" si="2951"/>
        <v>04-08-2020 12:35:42</v>
      </c>
      <c r="B7241" t="str">
        <f>"0000803669"</f>
        <v>0000803669</v>
      </c>
      <c r="C7241" t="str">
        <f t="shared" si="2952"/>
        <v>0000803555</v>
      </c>
      <c r="D7241" t="str">
        <f t="shared" si="2955"/>
        <v>73185</v>
      </c>
      <c r="E7241" t="str">
        <f t="shared" si="2956"/>
        <v>KFH-OPERATIONS DEPARTMENT</v>
      </c>
      <c r="F7241" t="str">
        <f t="shared" si="2957"/>
        <v>IBG</v>
      </c>
      <c r="G7241" t="str">
        <f t="shared" si="2941"/>
        <v>Refund COSHARE 10</v>
      </c>
      <c r="H7241" s="2">
        <v>177.4</v>
      </c>
      <c r="I7241" t="str">
        <f>"NURASMAYANTI BINTI LEMAN"</f>
        <v>NURASMAYANTI BINTI LEMAN</v>
      </c>
      <c r="J7241" t="str">
        <f t="shared" si="2946"/>
        <v>BANK SIMPANAN NASIONAL</v>
      </c>
      <c r="K7241" t="str">
        <f>"1417141000036447"</f>
        <v>1417141000036447</v>
      </c>
      <c r="L7241" t="str">
        <f t="shared" si="2953"/>
        <v>04-08-2020</v>
      </c>
      <c r="M7241" t="str">
        <f t="shared" si="2953"/>
        <v>04-08-2020</v>
      </c>
      <c r="N7241" t="str">
        <f t="shared" si="2958"/>
        <v>001105018356</v>
      </c>
      <c r="O7241" t="str">
        <f t="shared" si="2959"/>
        <v>MYR</v>
      </c>
      <c r="P7241" t="str">
        <f t="shared" si="2954"/>
        <v>NIL</v>
      </c>
      <c r="Q7241" t="str">
        <f t="shared" si="2954"/>
        <v>NIL</v>
      </c>
      <c r="R7241" t="str">
        <f t="shared" si="2947"/>
        <v>Accepted</v>
      </c>
      <c r="S7241" t="str">
        <f t="shared" si="2960"/>
        <v>Approved</v>
      </c>
      <c r="T7241" t="str">
        <f t="shared" si="2948"/>
        <v>10.20.8.188</v>
      </c>
      <c r="U7241" t="str">
        <f t="shared" si="2961"/>
        <v>AZRAD UMAR BIN SHAARI</v>
      </c>
      <c r="V7241" t="str">
        <f t="shared" si="2962"/>
        <v>FARHANA BINTI MUSTAPA</v>
      </c>
      <c r="W7241" t="str">
        <f t="shared" si="2963"/>
        <v>04-08-2020</v>
      </c>
      <c r="X7241" t="str">
        <f t="shared" si="2964"/>
        <v>RAZIMAH ANSAR AHMAD</v>
      </c>
      <c r="Y7241" t="str">
        <f t="shared" si="2965"/>
        <v>04-08-2020</v>
      </c>
      <c r="Z7241" t="str">
        <f>"COS10200804 1913"</f>
        <v>COS10200804 1913</v>
      </c>
    </row>
    <row r="7242" spans="1:26" x14ac:dyDescent="0.25">
      <c r="A7242" t="str">
        <f t="shared" si="2951"/>
        <v>04-08-2020 12:35:42</v>
      </c>
      <c r="B7242" t="str">
        <f>"0000803668"</f>
        <v>0000803668</v>
      </c>
      <c r="C7242" t="str">
        <f t="shared" si="2952"/>
        <v>0000803555</v>
      </c>
      <c r="D7242" t="str">
        <f t="shared" si="2955"/>
        <v>73185</v>
      </c>
      <c r="E7242" t="str">
        <f t="shared" si="2956"/>
        <v>KFH-OPERATIONS DEPARTMENT</v>
      </c>
      <c r="F7242" t="str">
        <f t="shared" si="2957"/>
        <v>IBG</v>
      </c>
      <c r="G7242" t="str">
        <f t="shared" si="2941"/>
        <v>Refund COSHARE 10</v>
      </c>
      <c r="H7242" s="2">
        <v>268.64999999999998</v>
      </c>
      <c r="I7242" t="str">
        <f>"NUR SYAHIDA CAROL BINTI AGOL"</f>
        <v>NUR SYAHIDA CAROL BINTI AGOL</v>
      </c>
      <c r="J7242" t="str">
        <f t="shared" si="2946"/>
        <v>BANK SIMPANAN NASIONAL</v>
      </c>
      <c r="K7242" t="str">
        <f>"1310029837175264"</f>
        <v>1310029837175264</v>
      </c>
      <c r="L7242" t="str">
        <f t="shared" si="2953"/>
        <v>04-08-2020</v>
      </c>
      <c r="M7242" t="str">
        <f t="shared" si="2953"/>
        <v>04-08-2020</v>
      </c>
      <c r="N7242" t="str">
        <f t="shared" si="2958"/>
        <v>001105018356</v>
      </c>
      <c r="O7242" t="str">
        <f t="shared" si="2959"/>
        <v>MYR</v>
      </c>
      <c r="P7242" t="str">
        <f t="shared" si="2954"/>
        <v>NIL</v>
      </c>
      <c r="Q7242" t="str">
        <f t="shared" si="2954"/>
        <v>NIL</v>
      </c>
      <c r="R7242" t="str">
        <f t="shared" si="2947"/>
        <v>Accepted</v>
      </c>
      <c r="S7242" t="str">
        <f t="shared" si="2960"/>
        <v>Approved</v>
      </c>
      <c r="T7242" t="str">
        <f t="shared" si="2948"/>
        <v>10.20.8.188</v>
      </c>
      <c r="U7242" t="str">
        <f t="shared" si="2961"/>
        <v>AZRAD UMAR BIN SHAARI</v>
      </c>
      <c r="V7242" t="str">
        <f t="shared" si="2962"/>
        <v>FARHANA BINTI MUSTAPA</v>
      </c>
      <c r="W7242" t="str">
        <f t="shared" si="2963"/>
        <v>04-08-2020</v>
      </c>
      <c r="X7242" t="str">
        <f t="shared" si="2964"/>
        <v>RAZIMAH ANSAR AHMAD</v>
      </c>
      <c r="Y7242" t="str">
        <f t="shared" si="2965"/>
        <v>04-08-2020</v>
      </c>
      <c r="Z7242" t="str">
        <f>"COS10200804 1912"</f>
        <v>COS10200804 1912</v>
      </c>
    </row>
    <row r="7243" spans="1:26" x14ac:dyDescent="0.25">
      <c r="A7243" t="str">
        <f t="shared" si="2951"/>
        <v>04-08-2020 12:35:42</v>
      </c>
      <c r="B7243" t="str">
        <f>"0000803667"</f>
        <v>0000803667</v>
      </c>
      <c r="C7243" t="str">
        <f t="shared" si="2952"/>
        <v>0000803555</v>
      </c>
      <c r="D7243" t="str">
        <f t="shared" si="2955"/>
        <v>73185</v>
      </c>
      <c r="E7243" t="str">
        <f t="shared" si="2956"/>
        <v>KFH-OPERATIONS DEPARTMENT</v>
      </c>
      <c r="F7243" t="str">
        <f t="shared" si="2957"/>
        <v>IBG</v>
      </c>
      <c r="G7243" t="str">
        <f t="shared" si="2941"/>
        <v>Refund COSHARE 10</v>
      </c>
      <c r="H7243" s="2">
        <v>814.3</v>
      </c>
      <c r="I7243" t="str">
        <f>"NUR SHUHADA BINTI ABDULLAH"</f>
        <v>NUR SHUHADA BINTI ABDULLAH</v>
      </c>
      <c r="J7243" t="str">
        <f t="shared" si="2946"/>
        <v>BANK SIMPANAN NASIONAL</v>
      </c>
      <c r="K7243" t="str">
        <f>"1355029000087523"</f>
        <v>1355029000087523</v>
      </c>
      <c r="L7243" t="str">
        <f t="shared" si="2953"/>
        <v>04-08-2020</v>
      </c>
      <c r="M7243" t="str">
        <f t="shared" si="2953"/>
        <v>04-08-2020</v>
      </c>
      <c r="N7243" t="str">
        <f t="shared" si="2958"/>
        <v>001105018356</v>
      </c>
      <c r="O7243" t="str">
        <f t="shared" si="2959"/>
        <v>MYR</v>
      </c>
      <c r="P7243" t="str">
        <f t="shared" si="2954"/>
        <v>NIL</v>
      </c>
      <c r="Q7243" t="str">
        <f t="shared" si="2954"/>
        <v>NIL</v>
      </c>
      <c r="R7243" t="str">
        <f t="shared" si="2947"/>
        <v>Accepted</v>
      </c>
      <c r="S7243" t="str">
        <f t="shared" si="2960"/>
        <v>Approved</v>
      </c>
      <c r="T7243" t="str">
        <f t="shared" si="2948"/>
        <v>10.20.8.188</v>
      </c>
      <c r="U7243" t="str">
        <f t="shared" si="2961"/>
        <v>AZRAD UMAR BIN SHAARI</v>
      </c>
      <c r="V7243" t="str">
        <f t="shared" si="2962"/>
        <v>FARHANA BINTI MUSTAPA</v>
      </c>
      <c r="W7243" t="str">
        <f t="shared" si="2963"/>
        <v>04-08-2020</v>
      </c>
      <c r="X7243" t="str">
        <f t="shared" si="2964"/>
        <v>RAZIMAH ANSAR AHMAD</v>
      </c>
      <c r="Y7243" t="str">
        <f t="shared" si="2965"/>
        <v>04-08-2020</v>
      </c>
      <c r="Z7243" t="str">
        <f>"COS10200804 1911"</f>
        <v>COS10200804 1911</v>
      </c>
    </row>
    <row r="7244" spans="1:26" x14ac:dyDescent="0.25">
      <c r="A7244" t="str">
        <f t="shared" si="2951"/>
        <v>04-08-2020 12:35:42</v>
      </c>
      <c r="B7244" t="str">
        <f>"0000803666"</f>
        <v>0000803666</v>
      </c>
      <c r="C7244" t="str">
        <f t="shared" si="2952"/>
        <v>0000803555</v>
      </c>
      <c r="D7244" t="str">
        <f t="shared" si="2955"/>
        <v>73185</v>
      </c>
      <c r="E7244" t="str">
        <f t="shared" si="2956"/>
        <v>KFH-OPERATIONS DEPARTMENT</v>
      </c>
      <c r="F7244" t="str">
        <f t="shared" si="2957"/>
        <v>IBG</v>
      </c>
      <c r="G7244" t="str">
        <f t="shared" ref="G7244:G7307" si="2966">"Refund COSHARE 10"</f>
        <v>Refund COSHARE 10</v>
      </c>
      <c r="H7244" s="2">
        <v>755.55</v>
      </c>
      <c r="I7244" t="str">
        <f>"NUR HANIZA BINTI ABDUL MALIK"</f>
        <v>NUR HANIZA BINTI ABDUL MALIK</v>
      </c>
      <c r="J7244" t="str">
        <f t="shared" si="2946"/>
        <v>BANK SIMPANAN NASIONAL</v>
      </c>
      <c r="K7244" t="str">
        <f>"0510029887191550"</f>
        <v>0510029887191550</v>
      </c>
      <c r="L7244" t="str">
        <f t="shared" si="2953"/>
        <v>04-08-2020</v>
      </c>
      <c r="M7244" t="str">
        <f t="shared" si="2953"/>
        <v>04-08-2020</v>
      </c>
      <c r="N7244" t="str">
        <f t="shared" si="2958"/>
        <v>001105018356</v>
      </c>
      <c r="O7244" t="str">
        <f t="shared" si="2959"/>
        <v>MYR</v>
      </c>
      <c r="P7244" t="str">
        <f t="shared" si="2954"/>
        <v>NIL</v>
      </c>
      <c r="Q7244" t="str">
        <f t="shared" si="2954"/>
        <v>NIL</v>
      </c>
      <c r="R7244" t="str">
        <f t="shared" si="2947"/>
        <v>Accepted</v>
      </c>
      <c r="S7244" t="str">
        <f t="shared" si="2960"/>
        <v>Approved</v>
      </c>
      <c r="T7244" t="str">
        <f t="shared" si="2948"/>
        <v>10.20.8.188</v>
      </c>
      <c r="U7244" t="str">
        <f t="shared" si="2961"/>
        <v>AZRAD UMAR BIN SHAARI</v>
      </c>
      <c r="V7244" t="str">
        <f t="shared" si="2962"/>
        <v>FARHANA BINTI MUSTAPA</v>
      </c>
      <c r="W7244" t="str">
        <f t="shared" si="2963"/>
        <v>04-08-2020</v>
      </c>
      <c r="X7244" t="str">
        <f t="shared" si="2964"/>
        <v>RAZIMAH ANSAR AHMAD</v>
      </c>
      <c r="Y7244" t="str">
        <f t="shared" si="2965"/>
        <v>04-08-2020</v>
      </c>
      <c r="Z7244" t="str">
        <f>"COS10200804 1910"</f>
        <v>COS10200804 1910</v>
      </c>
    </row>
    <row r="7245" spans="1:26" x14ac:dyDescent="0.25">
      <c r="A7245" t="str">
        <f t="shared" si="2951"/>
        <v>04-08-2020 12:35:42</v>
      </c>
      <c r="B7245" t="str">
        <f>"0000803665"</f>
        <v>0000803665</v>
      </c>
      <c r="C7245" t="str">
        <f t="shared" si="2952"/>
        <v>0000803555</v>
      </c>
      <c r="D7245" t="str">
        <f t="shared" si="2955"/>
        <v>73185</v>
      </c>
      <c r="E7245" t="str">
        <f t="shared" si="2956"/>
        <v>KFH-OPERATIONS DEPARTMENT</v>
      </c>
      <c r="F7245" t="str">
        <f t="shared" si="2957"/>
        <v>IBG</v>
      </c>
      <c r="G7245" t="str">
        <f t="shared" si="2966"/>
        <v>Refund COSHARE 10</v>
      </c>
      <c r="H7245" s="2">
        <v>50.4</v>
      </c>
      <c r="I7245" t="str">
        <f>"NUR CHERYLIZA BINTI  ABDUL MUTALIB"</f>
        <v>NUR CHERYLIZA BINTI  ABDUL MUTALIB</v>
      </c>
      <c r="J7245" t="str">
        <f t="shared" si="2946"/>
        <v>BANK SIMPANAN NASIONAL</v>
      </c>
      <c r="K7245" t="str">
        <f>"1110329000008100"</f>
        <v>1110329000008100</v>
      </c>
      <c r="L7245" t="str">
        <f t="shared" si="2953"/>
        <v>04-08-2020</v>
      </c>
      <c r="M7245" t="str">
        <f t="shared" si="2953"/>
        <v>04-08-2020</v>
      </c>
      <c r="N7245" t="str">
        <f t="shared" si="2958"/>
        <v>001105018356</v>
      </c>
      <c r="O7245" t="str">
        <f t="shared" si="2959"/>
        <v>MYR</v>
      </c>
      <c r="P7245" t="str">
        <f t="shared" si="2954"/>
        <v>NIL</v>
      </c>
      <c r="Q7245" t="str">
        <f t="shared" si="2954"/>
        <v>NIL</v>
      </c>
      <c r="R7245" t="str">
        <f t="shared" si="2947"/>
        <v>Accepted</v>
      </c>
      <c r="S7245" t="str">
        <f t="shared" si="2960"/>
        <v>Approved</v>
      </c>
      <c r="T7245" t="str">
        <f t="shared" si="2948"/>
        <v>10.20.8.188</v>
      </c>
      <c r="U7245" t="str">
        <f t="shared" si="2961"/>
        <v>AZRAD UMAR BIN SHAARI</v>
      </c>
      <c r="V7245" t="str">
        <f t="shared" si="2962"/>
        <v>FARHANA BINTI MUSTAPA</v>
      </c>
      <c r="W7245" t="str">
        <f t="shared" si="2963"/>
        <v>04-08-2020</v>
      </c>
      <c r="X7245" t="str">
        <f t="shared" si="2964"/>
        <v>RAZIMAH ANSAR AHMAD</v>
      </c>
      <c r="Y7245" t="str">
        <f t="shared" si="2965"/>
        <v>04-08-2020</v>
      </c>
      <c r="Z7245" t="str">
        <f>"COS10200804 1909"</f>
        <v>COS10200804 1909</v>
      </c>
    </row>
    <row r="7246" spans="1:26" x14ac:dyDescent="0.25">
      <c r="A7246" t="str">
        <f t="shared" si="2951"/>
        <v>04-08-2020 12:35:42</v>
      </c>
      <c r="B7246" t="str">
        <f>"0000803664"</f>
        <v>0000803664</v>
      </c>
      <c r="C7246" t="str">
        <f t="shared" si="2952"/>
        <v>0000803555</v>
      </c>
      <c r="D7246" t="str">
        <f t="shared" si="2955"/>
        <v>73185</v>
      </c>
      <c r="E7246" t="str">
        <f t="shared" si="2956"/>
        <v>KFH-OPERATIONS DEPARTMENT</v>
      </c>
      <c r="F7246" t="str">
        <f t="shared" si="2957"/>
        <v>IBG</v>
      </c>
      <c r="G7246" t="str">
        <f t="shared" si="2966"/>
        <v>Refund COSHARE 10</v>
      </c>
      <c r="H7246" s="2">
        <v>1242</v>
      </c>
      <c r="I7246" t="str">
        <f>"NUR ASLAM NAFRULLAH"</f>
        <v>NUR ASLAM NAFRULLAH</v>
      </c>
      <c r="J7246" t="str">
        <f t="shared" si="2946"/>
        <v>BANK SIMPANAN NASIONAL</v>
      </c>
      <c r="K7246" t="str">
        <f>"0410629000329105"</f>
        <v>0410629000329105</v>
      </c>
      <c r="L7246" t="str">
        <f t="shared" si="2953"/>
        <v>04-08-2020</v>
      </c>
      <c r="M7246" t="str">
        <f t="shared" si="2953"/>
        <v>04-08-2020</v>
      </c>
      <c r="N7246" t="str">
        <f t="shared" si="2958"/>
        <v>001105018356</v>
      </c>
      <c r="O7246" t="str">
        <f t="shared" si="2959"/>
        <v>MYR</v>
      </c>
      <c r="P7246" t="str">
        <f t="shared" si="2954"/>
        <v>NIL</v>
      </c>
      <c r="Q7246" t="str">
        <f t="shared" si="2954"/>
        <v>NIL</v>
      </c>
      <c r="R7246" t="str">
        <f t="shared" si="2947"/>
        <v>Accepted</v>
      </c>
      <c r="S7246" t="str">
        <f t="shared" si="2960"/>
        <v>Approved</v>
      </c>
      <c r="T7246" t="str">
        <f t="shared" si="2948"/>
        <v>10.20.8.188</v>
      </c>
      <c r="U7246" t="str">
        <f t="shared" si="2961"/>
        <v>AZRAD UMAR BIN SHAARI</v>
      </c>
      <c r="V7246" t="str">
        <f t="shared" si="2962"/>
        <v>FARHANA BINTI MUSTAPA</v>
      </c>
      <c r="W7246" t="str">
        <f t="shared" si="2963"/>
        <v>04-08-2020</v>
      </c>
      <c r="X7246" t="str">
        <f t="shared" si="2964"/>
        <v>RAZIMAH ANSAR AHMAD</v>
      </c>
      <c r="Y7246" t="str">
        <f t="shared" si="2965"/>
        <v>04-08-2020</v>
      </c>
      <c r="Z7246" t="str">
        <f>"COS10200804 1908"</f>
        <v>COS10200804 1908</v>
      </c>
    </row>
    <row r="7247" spans="1:26" x14ac:dyDescent="0.25">
      <c r="A7247" t="str">
        <f t="shared" si="2951"/>
        <v>04-08-2020 12:35:42</v>
      </c>
      <c r="B7247" t="str">
        <f>"0000803663"</f>
        <v>0000803663</v>
      </c>
      <c r="C7247" t="str">
        <f t="shared" si="2952"/>
        <v>0000803555</v>
      </c>
      <c r="D7247" t="str">
        <f t="shared" si="2955"/>
        <v>73185</v>
      </c>
      <c r="E7247" t="str">
        <f t="shared" si="2956"/>
        <v>KFH-OPERATIONS DEPARTMENT</v>
      </c>
      <c r="F7247" t="str">
        <f t="shared" si="2957"/>
        <v>IBG</v>
      </c>
      <c r="G7247" t="str">
        <f t="shared" si="2966"/>
        <v>Refund COSHARE 10</v>
      </c>
      <c r="H7247" s="2">
        <v>94.85</v>
      </c>
      <c r="I7247" t="str">
        <f>"NUL HUSSIN BIN BAHIDAYA"</f>
        <v>NUL HUSSIN BIN BAHIDAYA</v>
      </c>
      <c r="J7247" t="str">
        <f t="shared" si="2946"/>
        <v>BANK SIMPANAN NASIONAL</v>
      </c>
      <c r="K7247" t="str">
        <f>"1210141000006131"</f>
        <v>1210141000006131</v>
      </c>
      <c r="L7247" t="str">
        <f t="shared" ref="L7247:M7266" si="2967">"04-08-2020"</f>
        <v>04-08-2020</v>
      </c>
      <c r="M7247" t="str">
        <f t="shared" si="2967"/>
        <v>04-08-2020</v>
      </c>
      <c r="N7247" t="str">
        <f t="shared" si="2958"/>
        <v>001105018356</v>
      </c>
      <c r="O7247" t="str">
        <f t="shared" si="2959"/>
        <v>MYR</v>
      </c>
      <c r="P7247" t="str">
        <f t="shared" ref="P7247:Q7266" si="2968">"NIL"</f>
        <v>NIL</v>
      </c>
      <c r="Q7247" t="str">
        <f t="shared" si="2968"/>
        <v>NIL</v>
      </c>
      <c r="R7247" t="str">
        <f t="shared" si="2947"/>
        <v>Accepted</v>
      </c>
      <c r="S7247" t="str">
        <f t="shared" si="2960"/>
        <v>Approved</v>
      </c>
      <c r="T7247" t="str">
        <f t="shared" si="2948"/>
        <v>10.20.8.188</v>
      </c>
      <c r="U7247" t="str">
        <f t="shared" si="2961"/>
        <v>AZRAD UMAR BIN SHAARI</v>
      </c>
      <c r="V7247" t="str">
        <f t="shared" si="2962"/>
        <v>FARHANA BINTI MUSTAPA</v>
      </c>
      <c r="W7247" t="str">
        <f t="shared" si="2963"/>
        <v>04-08-2020</v>
      </c>
      <c r="X7247" t="str">
        <f t="shared" si="2964"/>
        <v>RAZIMAH ANSAR AHMAD</v>
      </c>
      <c r="Y7247" t="str">
        <f t="shared" si="2965"/>
        <v>04-08-2020</v>
      </c>
      <c r="Z7247" t="str">
        <f>"COS10200804 1907"</f>
        <v>COS10200804 1907</v>
      </c>
    </row>
    <row r="7248" spans="1:26" x14ac:dyDescent="0.25">
      <c r="A7248" t="str">
        <f t="shared" si="2951"/>
        <v>04-08-2020 12:35:42</v>
      </c>
      <c r="B7248" t="str">
        <f>"0000803662"</f>
        <v>0000803662</v>
      </c>
      <c r="C7248" t="str">
        <f t="shared" si="2952"/>
        <v>0000803555</v>
      </c>
      <c r="D7248" t="str">
        <f t="shared" si="2955"/>
        <v>73185</v>
      </c>
      <c r="E7248" t="str">
        <f t="shared" si="2956"/>
        <v>KFH-OPERATIONS DEPARTMENT</v>
      </c>
      <c r="F7248" t="str">
        <f t="shared" si="2957"/>
        <v>IBG</v>
      </c>
      <c r="G7248" t="str">
        <f t="shared" si="2966"/>
        <v>Refund COSHARE 10</v>
      </c>
      <c r="H7248" s="2">
        <v>512.1</v>
      </c>
      <c r="I7248" t="str">
        <f>"NORZAILAH BINTI MOHD ZAIN"</f>
        <v>NORZAILAH BINTI MOHD ZAIN</v>
      </c>
      <c r="J7248" t="str">
        <f t="shared" si="2946"/>
        <v>BANK SIMPANAN NASIONAL</v>
      </c>
      <c r="K7248" t="str">
        <f>"0511229000089914"</f>
        <v>0511229000089914</v>
      </c>
      <c r="L7248" t="str">
        <f t="shared" si="2967"/>
        <v>04-08-2020</v>
      </c>
      <c r="M7248" t="str">
        <f t="shared" si="2967"/>
        <v>04-08-2020</v>
      </c>
      <c r="N7248" t="str">
        <f t="shared" si="2958"/>
        <v>001105018356</v>
      </c>
      <c r="O7248" t="str">
        <f t="shared" si="2959"/>
        <v>MYR</v>
      </c>
      <c r="P7248" t="str">
        <f t="shared" si="2968"/>
        <v>NIL</v>
      </c>
      <c r="Q7248" t="str">
        <f t="shared" si="2968"/>
        <v>NIL</v>
      </c>
      <c r="R7248" t="str">
        <f t="shared" si="2947"/>
        <v>Accepted</v>
      </c>
      <c r="S7248" t="str">
        <f t="shared" si="2960"/>
        <v>Approved</v>
      </c>
      <c r="T7248" t="str">
        <f t="shared" si="2948"/>
        <v>10.20.8.188</v>
      </c>
      <c r="U7248" t="str">
        <f t="shared" si="2961"/>
        <v>AZRAD UMAR BIN SHAARI</v>
      </c>
      <c r="V7248" t="str">
        <f t="shared" si="2962"/>
        <v>FARHANA BINTI MUSTAPA</v>
      </c>
      <c r="W7248" t="str">
        <f t="shared" si="2963"/>
        <v>04-08-2020</v>
      </c>
      <c r="X7248" t="str">
        <f t="shared" si="2964"/>
        <v>RAZIMAH ANSAR AHMAD</v>
      </c>
      <c r="Y7248" t="str">
        <f t="shared" si="2965"/>
        <v>04-08-2020</v>
      </c>
      <c r="Z7248" t="str">
        <f>"COS10200804 1906"</f>
        <v>COS10200804 1906</v>
      </c>
    </row>
    <row r="7249" spans="1:26" x14ac:dyDescent="0.25">
      <c r="A7249" t="str">
        <f t="shared" si="2951"/>
        <v>04-08-2020 12:35:42</v>
      </c>
      <c r="B7249" t="str">
        <f>"0000803661"</f>
        <v>0000803661</v>
      </c>
      <c r="C7249" t="str">
        <f t="shared" si="2952"/>
        <v>0000803555</v>
      </c>
      <c r="D7249" t="str">
        <f t="shared" si="2955"/>
        <v>73185</v>
      </c>
      <c r="E7249" t="str">
        <f t="shared" si="2956"/>
        <v>KFH-OPERATIONS DEPARTMENT</v>
      </c>
      <c r="F7249" t="str">
        <f t="shared" si="2957"/>
        <v>IBG</v>
      </c>
      <c r="G7249" t="str">
        <f t="shared" si="2966"/>
        <v>Refund COSHARE 10</v>
      </c>
      <c r="H7249" s="2">
        <v>113.6</v>
      </c>
      <c r="I7249" t="str">
        <f>"NORSIAH BINTI IDRIS"</f>
        <v>NORSIAH BINTI IDRIS</v>
      </c>
      <c r="J7249" t="str">
        <f t="shared" si="2946"/>
        <v>BANK SIMPANAN NASIONAL</v>
      </c>
      <c r="K7249" t="str">
        <f>"1210629835558637"</f>
        <v>1210629835558637</v>
      </c>
      <c r="L7249" t="str">
        <f t="shared" si="2967"/>
        <v>04-08-2020</v>
      </c>
      <c r="M7249" t="str">
        <f t="shared" si="2967"/>
        <v>04-08-2020</v>
      </c>
      <c r="N7249" t="str">
        <f t="shared" si="2958"/>
        <v>001105018356</v>
      </c>
      <c r="O7249" t="str">
        <f t="shared" si="2959"/>
        <v>MYR</v>
      </c>
      <c r="P7249" t="str">
        <f t="shared" si="2968"/>
        <v>NIL</v>
      </c>
      <c r="Q7249" t="str">
        <f t="shared" si="2968"/>
        <v>NIL</v>
      </c>
      <c r="R7249" t="str">
        <f t="shared" si="2947"/>
        <v>Accepted</v>
      </c>
      <c r="S7249" t="str">
        <f t="shared" si="2960"/>
        <v>Approved</v>
      </c>
      <c r="T7249" t="str">
        <f t="shared" si="2948"/>
        <v>10.20.8.188</v>
      </c>
      <c r="U7249" t="str">
        <f t="shared" si="2961"/>
        <v>AZRAD UMAR BIN SHAARI</v>
      </c>
      <c r="V7249" t="str">
        <f t="shared" si="2962"/>
        <v>FARHANA BINTI MUSTAPA</v>
      </c>
      <c r="W7249" t="str">
        <f t="shared" si="2963"/>
        <v>04-08-2020</v>
      </c>
      <c r="X7249" t="str">
        <f t="shared" si="2964"/>
        <v>RAZIMAH ANSAR AHMAD</v>
      </c>
      <c r="Y7249" t="str">
        <f t="shared" si="2965"/>
        <v>04-08-2020</v>
      </c>
      <c r="Z7249" t="str">
        <f>"COS10200804 1905"</f>
        <v>COS10200804 1905</v>
      </c>
    </row>
    <row r="7250" spans="1:26" x14ac:dyDescent="0.25">
      <c r="A7250" t="str">
        <f t="shared" ref="A7250:A7281" si="2969">"04-08-2020 12:35:42"</f>
        <v>04-08-2020 12:35:42</v>
      </c>
      <c r="B7250" t="str">
        <f>"0000803660"</f>
        <v>0000803660</v>
      </c>
      <c r="C7250" t="str">
        <f t="shared" ref="C7250:C7281" si="2970">"0000803555"</f>
        <v>0000803555</v>
      </c>
      <c r="D7250" t="str">
        <f t="shared" si="2955"/>
        <v>73185</v>
      </c>
      <c r="E7250" t="str">
        <f t="shared" si="2956"/>
        <v>KFH-OPERATIONS DEPARTMENT</v>
      </c>
      <c r="F7250" t="str">
        <f t="shared" si="2957"/>
        <v>IBG</v>
      </c>
      <c r="G7250" t="str">
        <f t="shared" si="2966"/>
        <v>Refund COSHARE 10</v>
      </c>
      <c r="H7250" s="2">
        <v>82.35</v>
      </c>
      <c r="I7250" t="str">
        <f>"NORSHAM BINTI MD NAFIS"</f>
        <v>NORSHAM BINTI MD NAFIS</v>
      </c>
      <c r="J7250" t="str">
        <f t="shared" si="2946"/>
        <v>BANK SIMPANAN NASIONAL</v>
      </c>
      <c r="K7250" t="str">
        <f>"0240029896518186"</f>
        <v>0240029896518186</v>
      </c>
      <c r="L7250" t="str">
        <f t="shared" si="2967"/>
        <v>04-08-2020</v>
      </c>
      <c r="M7250" t="str">
        <f t="shared" si="2967"/>
        <v>04-08-2020</v>
      </c>
      <c r="N7250" t="str">
        <f t="shared" si="2958"/>
        <v>001105018356</v>
      </c>
      <c r="O7250" t="str">
        <f t="shared" si="2959"/>
        <v>MYR</v>
      </c>
      <c r="P7250" t="str">
        <f t="shared" si="2968"/>
        <v>NIL</v>
      </c>
      <c r="Q7250" t="str">
        <f t="shared" si="2968"/>
        <v>NIL</v>
      </c>
      <c r="R7250" t="str">
        <f t="shared" si="2947"/>
        <v>Accepted</v>
      </c>
      <c r="S7250" t="str">
        <f t="shared" si="2960"/>
        <v>Approved</v>
      </c>
      <c r="T7250" t="str">
        <f t="shared" si="2948"/>
        <v>10.20.8.188</v>
      </c>
      <c r="U7250" t="str">
        <f t="shared" si="2961"/>
        <v>AZRAD UMAR BIN SHAARI</v>
      </c>
      <c r="V7250" t="str">
        <f t="shared" si="2962"/>
        <v>FARHANA BINTI MUSTAPA</v>
      </c>
      <c r="W7250" t="str">
        <f t="shared" si="2963"/>
        <v>04-08-2020</v>
      </c>
      <c r="X7250" t="str">
        <f t="shared" si="2964"/>
        <v>RAZIMAH ANSAR AHMAD</v>
      </c>
      <c r="Y7250" t="str">
        <f t="shared" si="2965"/>
        <v>04-08-2020</v>
      </c>
      <c r="Z7250" t="str">
        <f>"COS10200804 1904"</f>
        <v>COS10200804 1904</v>
      </c>
    </row>
    <row r="7251" spans="1:26" x14ac:dyDescent="0.25">
      <c r="A7251" t="str">
        <f t="shared" si="2969"/>
        <v>04-08-2020 12:35:42</v>
      </c>
      <c r="B7251" t="str">
        <f>"0000803659"</f>
        <v>0000803659</v>
      </c>
      <c r="C7251" t="str">
        <f t="shared" si="2970"/>
        <v>0000803555</v>
      </c>
      <c r="D7251" t="str">
        <f t="shared" si="2955"/>
        <v>73185</v>
      </c>
      <c r="E7251" t="str">
        <f t="shared" si="2956"/>
        <v>KFH-OPERATIONS DEPARTMENT</v>
      </c>
      <c r="F7251" t="str">
        <f t="shared" si="2957"/>
        <v>IBG</v>
      </c>
      <c r="G7251" t="str">
        <f t="shared" si="2966"/>
        <v>Refund COSHARE 10</v>
      </c>
      <c r="H7251" s="2">
        <v>130</v>
      </c>
      <c r="I7251" t="str">
        <f>"NORMAH BINTI ABU SAID"</f>
        <v>NORMAH BINTI ABU SAID</v>
      </c>
      <c r="J7251" t="str">
        <f t="shared" si="2946"/>
        <v>BANK SIMPANAN NASIONAL</v>
      </c>
      <c r="K7251" t="str">
        <f>"0413429000022685"</f>
        <v>0413429000022685</v>
      </c>
      <c r="L7251" t="str">
        <f t="shared" si="2967"/>
        <v>04-08-2020</v>
      </c>
      <c r="M7251" t="str">
        <f t="shared" si="2967"/>
        <v>04-08-2020</v>
      </c>
      <c r="N7251" t="str">
        <f t="shared" si="2958"/>
        <v>001105018356</v>
      </c>
      <c r="O7251" t="str">
        <f t="shared" si="2959"/>
        <v>MYR</v>
      </c>
      <c r="P7251" t="str">
        <f t="shared" si="2968"/>
        <v>NIL</v>
      </c>
      <c r="Q7251" t="str">
        <f t="shared" si="2968"/>
        <v>NIL</v>
      </c>
      <c r="R7251" t="str">
        <f t="shared" si="2947"/>
        <v>Accepted</v>
      </c>
      <c r="S7251" t="str">
        <f t="shared" si="2960"/>
        <v>Approved</v>
      </c>
      <c r="T7251" t="str">
        <f t="shared" si="2948"/>
        <v>10.20.8.188</v>
      </c>
      <c r="U7251" t="str">
        <f t="shared" si="2961"/>
        <v>AZRAD UMAR BIN SHAARI</v>
      </c>
      <c r="V7251" t="str">
        <f t="shared" si="2962"/>
        <v>FARHANA BINTI MUSTAPA</v>
      </c>
      <c r="W7251" t="str">
        <f t="shared" si="2963"/>
        <v>04-08-2020</v>
      </c>
      <c r="X7251" t="str">
        <f t="shared" si="2964"/>
        <v>RAZIMAH ANSAR AHMAD</v>
      </c>
      <c r="Y7251" t="str">
        <f t="shared" si="2965"/>
        <v>04-08-2020</v>
      </c>
      <c r="Z7251" t="str">
        <f>"COS10200804 1903"</f>
        <v>COS10200804 1903</v>
      </c>
    </row>
    <row r="7252" spans="1:26" x14ac:dyDescent="0.25">
      <c r="A7252" t="str">
        <f t="shared" si="2969"/>
        <v>04-08-2020 12:35:42</v>
      </c>
      <c r="B7252" t="str">
        <f>"0000803658"</f>
        <v>0000803658</v>
      </c>
      <c r="C7252" t="str">
        <f t="shared" si="2970"/>
        <v>0000803555</v>
      </c>
      <c r="D7252" t="str">
        <f t="shared" si="2955"/>
        <v>73185</v>
      </c>
      <c r="E7252" t="str">
        <f t="shared" si="2956"/>
        <v>KFH-OPERATIONS DEPARTMENT</v>
      </c>
      <c r="F7252" t="str">
        <f t="shared" si="2957"/>
        <v>IBG</v>
      </c>
      <c r="G7252" t="str">
        <f t="shared" si="2966"/>
        <v>Refund COSHARE 10</v>
      </c>
      <c r="H7252" s="2">
        <v>587.65</v>
      </c>
      <c r="I7252" t="str">
        <f>"NORMA BINTI AWANG"</f>
        <v>NORMA BINTI AWANG</v>
      </c>
      <c r="J7252" t="str">
        <f t="shared" ref="J7252:J7315" si="2971">"BANK SIMPANAN NASIONAL"</f>
        <v>BANK SIMPANAN NASIONAL</v>
      </c>
      <c r="K7252" t="str">
        <f>"0310429000019933"</f>
        <v>0310429000019933</v>
      </c>
      <c r="L7252" t="str">
        <f t="shared" si="2967"/>
        <v>04-08-2020</v>
      </c>
      <c r="M7252" t="str">
        <f t="shared" si="2967"/>
        <v>04-08-2020</v>
      </c>
      <c r="N7252" t="str">
        <f t="shared" si="2958"/>
        <v>001105018356</v>
      </c>
      <c r="O7252" t="str">
        <f t="shared" si="2959"/>
        <v>MYR</v>
      </c>
      <c r="P7252" t="str">
        <f t="shared" si="2968"/>
        <v>NIL</v>
      </c>
      <c r="Q7252" t="str">
        <f t="shared" si="2968"/>
        <v>NIL</v>
      </c>
      <c r="R7252" t="str">
        <f t="shared" si="2947"/>
        <v>Accepted</v>
      </c>
      <c r="S7252" t="str">
        <f t="shared" si="2960"/>
        <v>Approved</v>
      </c>
      <c r="T7252" t="str">
        <f t="shared" si="2948"/>
        <v>10.20.8.188</v>
      </c>
      <c r="U7252" t="str">
        <f t="shared" si="2961"/>
        <v>AZRAD UMAR BIN SHAARI</v>
      </c>
      <c r="V7252" t="str">
        <f t="shared" si="2962"/>
        <v>FARHANA BINTI MUSTAPA</v>
      </c>
      <c r="W7252" t="str">
        <f t="shared" si="2963"/>
        <v>04-08-2020</v>
      </c>
      <c r="X7252" t="str">
        <f t="shared" si="2964"/>
        <v>RAZIMAH ANSAR AHMAD</v>
      </c>
      <c r="Y7252" t="str">
        <f t="shared" si="2965"/>
        <v>04-08-2020</v>
      </c>
      <c r="Z7252" t="str">
        <f>"COS10200804 1902"</f>
        <v>COS10200804 1902</v>
      </c>
    </row>
    <row r="7253" spans="1:26" x14ac:dyDescent="0.25">
      <c r="A7253" t="str">
        <f t="shared" si="2969"/>
        <v>04-08-2020 12:35:42</v>
      </c>
      <c r="B7253" t="str">
        <f>"0000803657"</f>
        <v>0000803657</v>
      </c>
      <c r="C7253" t="str">
        <f t="shared" si="2970"/>
        <v>0000803555</v>
      </c>
      <c r="D7253" t="str">
        <f t="shared" si="2955"/>
        <v>73185</v>
      </c>
      <c r="E7253" t="str">
        <f t="shared" si="2956"/>
        <v>KFH-OPERATIONS DEPARTMENT</v>
      </c>
      <c r="F7253" t="str">
        <f t="shared" si="2957"/>
        <v>IBG</v>
      </c>
      <c r="G7253" t="str">
        <f t="shared" si="2966"/>
        <v>Refund COSHARE 10</v>
      </c>
      <c r="H7253" s="2">
        <v>1402</v>
      </c>
      <c r="I7253" t="str">
        <f>"NORLISYAPINA BINTI SHAMSUDDIN"</f>
        <v>NORLISYAPINA BINTI SHAMSUDDIN</v>
      </c>
      <c r="J7253" t="str">
        <f t="shared" si="2971"/>
        <v>BANK SIMPANAN NASIONAL</v>
      </c>
      <c r="K7253" t="str">
        <f>"0824529000020242"</f>
        <v>0824529000020242</v>
      </c>
      <c r="L7253" t="str">
        <f t="shared" si="2967"/>
        <v>04-08-2020</v>
      </c>
      <c r="M7253" t="str">
        <f t="shared" si="2967"/>
        <v>04-08-2020</v>
      </c>
      <c r="N7253" t="str">
        <f t="shared" si="2958"/>
        <v>001105018356</v>
      </c>
      <c r="O7253" t="str">
        <f t="shared" si="2959"/>
        <v>MYR</v>
      </c>
      <c r="P7253" t="str">
        <f t="shared" si="2968"/>
        <v>NIL</v>
      </c>
      <c r="Q7253" t="str">
        <f t="shared" si="2968"/>
        <v>NIL</v>
      </c>
      <c r="R7253" t="str">
        <f t="shared" si="2947"/>
        <v>Accepted</v>
      </c>
      <c r="S7253" t="str">
        <f t="shared" si="2960"/>
        <v>Approved</v>
      </c>
      <c r="T7253" t="str">
        <f t="shared" si="2948"/>
        <v>10.20.8.188</v>
      </c>
      <c r="U7253" t="str">
        <f t="shared" si="2961"/>
        <v>AZRAD UMAR BIN SHAARI</v>
      </c>
      <c r="V7253" t="str">
        <f t="shared" si="2962"/>
        <v>FARHANA BINTI MUSTAPA</v>
      </c>
      <c r="W7253" t="str">
        <f t="shared" si="2963"/>
        <v>04-08-2020</v>
      </c>
      <c r="X7253" t="str">
        <f t="shared" si="2964"/>
        <v>RAZIMAH ANSAR AHMAD</v>
      </c>
      <c r="Y7253" t="str">
        <f t="shared" si="2965"/>
        <v>04-08-2020</v>
      </c>
      <c r="Z7253" t="str">
        <f>"COS10200804 1901"</f>
        <v>COS10200804 1901</v>
      </c>
    </row>
    <row r="7254" spans="1:26" x14ac:dyDescent="0.25">
      <c r="A7254" t="str">
        <f t="shared" si="2969"/>
        <v>04-08-2020 12:35:42</v>
      </c>
      <c r="B7254" t="str">
        <f>"0000803656"</f>
        <v>0000803656</v>
      </c>
      <c r="C7254" t="str">
        <f t="shared" si="2970"/>
        <v>0000803555</v>
      </c>
      <c r="D7254" t="str">
        <f t="shared" si="2955"/>
        <v>73185</v>
      </c>
      <c r="E7254" t="str">
        <f t="shared" si="2956"/>
        <v>KFH-OPERATIONS DEPARTMENT</v>
      </c>
      <c r="F7254" t="str">
        <f t="shared" si="2957"/>
        <v>IBG</v>
      </c>
      <c r="G7254" t="str">
        <f t="shared" si="2966"/>
        <v>Refund COSHARE 10</v>
      </c>
      <c r="H7254" s="2">
        <v>1653.85</v>
      </c>
      <c r="I7254" t="str">
        <f>"NORLIE AZURA BINTI SULOH"</f>
        <v>NORLIE AZURA BINTI SULOH</v>
      </c>
      <c r="J7254" t="str">
        <f t="shared" si="2971"/>
        <v>BANK SIMPANAN NASIONAL</v>
      </c>
      <c r="K7254" t="str">
        <f>"0114129836553735"</f>
        <v>0114129836553735</v>
      </c>
      <c r="L7254" t="str">
        <f t="shared" si="2967"/>
        <v>04-08-2020</v>
      </c>
      <c r="M7254" t="str">
        <f t="shared" si="2967"/>
        <v>04-08-2020</v>
      </c>
      <c r="N7254" t="str">
        <f t="shared" si="2958"/>
        <v>001105018356</v>
      </c>
      <c r="O7254" t="str">
        <f t="shared" si="2959"/>
        <v>MYR</v>
      </c>
      <c r="P7254" t="str">
        <f t="shared" si="2968"/>
        <v>NIL</v>
      </c>
      <c r="Q7254" t="str">
        <f t="shared" si="2968"/>
        <v>NIL</v>
      </c>
      <c r="R7254" t="str">
        <f t="shared" si="2947"/>
        <v>Accepted</v>
      </c>
      <c r="S7254" t="str">
        <f t="shared" si="2960"/>
        <v>Approved</v>
      </c>
      <c r="T7254" t="str">
        <f t="shared" si="2948"/>
        <v>10.20.8.188</v>
      </c>
      <c r="U7254" t="str">
        <f t="shared" si="2961"/>
        <v>AZRAD UMAR BIN SHAARI</v>
      </c>
      <c r="V7254" t="str">
        <f t="shared" si="2962"/>
        <v>FARHANA BINTI MUSTAPA</v>
      </c>
      <c r="W7254" t="str">
        <f t="shared" si="2963"/>
        <v>04-08-2020</v>
      </c>
      <c r="X7254" t="str">
        <f t="shared" si="2964"/>
        <v>RAZIMAH ANSAR AHMAD</v>
      </c>
      <c r="Y7254" t="str">
        <f t="shared" si="2965"/>
        <v>04-08-2020</v>
      </c>
      <c r="Z7254" t="str">
        <f>"COS10200804 1900"</f>
        <v>COS10200804 1900</v>
      </c>
    </row>
    <row r="7255" spans="1:26" x14ac:dyDescent="0.25">
      <c r="A7255" t="str">
        <f t="shared" si="2969"/>
        <v>04-08-2020 12:35:42</v>
      </c>
      <c r="B7255" t="str">
        <f>"0000803655"</f>
        <v>0000803655</v>
      </c>
      <c r="C7255" t="str">
        <f t="shared" si="2970"/>
        <v>0000803555</v>
      </c>
      <c r="D7255" t="str">
        <f t="shared" si="2955"/>
        <v>73185</v>
      </c>
      <c r="E7255" t="str">
        <f t="shared" si="2956"/>
        <v>KFH-OPERATIONS DEPARTMENT</v>
      </c>
      <c r="F7255" t="str">
        <f t="shared" si="2957"/>
        <v>IBG</v>
      </c>
      <c r="G7255" t="str">
        <f t="shared" si="2966"/>
        <v>Refund COSHARE 10</v>
      </c>
      <c r="H7255" s="2">
        <v>134.35</v>
      </c>
      <c r="I7255" t="str">
        <f>"NORLIAH BINTI WAHIDE"</f>
        <v>NORLIAH BINTI WAHIDE</v>
      </c>
      <c r="J7255" t="str">
        <f t="shared" si="2971"/>
        <v>BANK SIMPANAN NASIONAL</v>
      </c>
      <c r="K7255" t="str">
        <f>"1211829000170704"</f>
        <v>1211829000170704</v>
      </c>
      <c r="L7255" t="str">
        <f t="shared" si="2967"/>
        <v>04-08-2020</v>
      </c>
      <c r="M7255" t="str">
        <f t="shared" si="2967"/>
        <v>04-08-2020</v>
      </c>
      <c r="N7255" t="str">
        <f t="shared" si="2958"/>
        <v>001105018356</v>
      </c>
      <c r="O7255" t="str">
        <f t="shared" si="2959"/>
        <v>MYR</v>
      </c>
      <c r="P7255" t="str">
        <f t="shared" si="2968"/>
        <v>NIL</v>
      </c>
      <c r="Q7255" t="str">
        <f t="shared" si="2968"/>
        <v>NIL</v>
      </c>
      <c r="R7255" t="str">
        <f t="shared" si="2947"/>
        <v>Accepted</v>
      </c>
      <c r="S7255" t="str">
        <f t="shared" si="2960"/>
        <v>Approved</v>
      </c>
      <c r="T7255" t="str">
        <f t="shared" si="2948"/>
        <v>10.20.8.188</v>
      </c>
      <c r="U7255" t="str">
        <f t="shared" si="2961"/>
        <v>AZRAD UMAR BIN SHAARI</v>
      </c>
      <c r="V7255" t="str">
        <f t="shared" si="2962"/>
        <v>FARHANA BINTI MUSTAPA</v>
      </c>
      <c r="W7255" t="str">
        <f t="shared" si="2963"/>
        <v>04-08-2020</v>
      </c>
      <c r="X7255" t="str">
        <f t="shared" si="2964"/>
        <v>RAZIMAH ANSAR AHMAD</v>
      </c>
      <c r="Y7255" t="str">
        <f t="shared" si="2965"/>
        <v>04-08-2020</v>
      </c>
      <c r="Z7255" t="str">
        <f>"COS10200804 1899"</f>
        <v>COS10200804 1899</v>
      </c>
    </row>
    <row r="7256" spans="1:26" x14ac:dyDescent="0.25">
      <c r="A7256" t="str">
        <f t="shared" si="2969"/>
        <v>04-08-2020 12:35:42</v>
      </c>
      <c r="B7256" t="str">
        <f>"0000803654"</f>
        <v>0000803654</v>
      </c>
      <c r="C7256" t="str">
        <f t="shared" si="2970"/>
        <v>0000803555</v>
      </c>
      <c r="D7256" t="str">
        <f t="shared" si="2955"/>
        <v>73185</v>
      </c>
      <c r="E7256" t="str">
        <f t="shared" si="2956"/>
        <v>KFH-OPERATIONS DEPARTMENT</v>
      </c>
      <c r="F7256" t="str">
        <f t="shared" si="2957"/>
        <v>IBG</v>
      </c>
      <c r="G7256" t="str">
        <f t="shared" si="2966"/>
        <v>Refund COSHARE 10</v>
      </c>
      <c r="H7256" s="2">
        <v>51.2</v>
      </c>
      <c r="I7256" t="str">
        <f>"NORLEHAN BINTI AB WAHAB"</f>
        <v>NORLEHAN BINTI AB WAHAB</v>
      </c>
      <c r="J7256" t="str">
        <f t="shared" si="2971"/>
        <v>BANK SIMPANAN NASIONAL</v>
      </c>
      <c r="K7256" t="str">
        <f>"0110029884249908"</f>
        <v>0110029884249908</v>
      </c>
      <c r="L7256" t="str">
        <f t="shared" si="2967"/>
        <v>04-08-2020</v>
      </c>
      <c r="M7256" t="str">
        <f t="shared" si="2967"/>
        <v>04-08-2020</v>
      </c>
      <c r="N7256" t="str">
        <f t="shared" si="2958"/>
        <v>001105018356</v>
      </c>
      <c r="O7256" t="str">
        <f t="shared" si="2959"/>
        <v>MYR</v>
      </c>
      <c r="P7256" t="str">
        <f t="shared" si="2968"/>
        <v>NIL</v>
      </c>
      <c r="Q7256" t="str">
        <f t="shared" si="2968"/>
        <v>NIL</v>
      </c>
      <c r="R7256" t="str">
        <f t="shared" si="2947"/>
        <v>Accepted</v>
      </c>
      <c r="S7256" t="str">
        <f t="shared" si="2960"/>
        <v>Approved</v>
      </c>
      <c r="T7256" t="str">
        <f t="shared" si="2948"/>
        <v>10.20.8.188</v>
      </c>
      <c r="U7256" t="str">
        <f t="shared" si="2961"/>
        <v>AZRAD UMAR BIN SHAARI</v>
      </c>
      <c r="V7256" t="str">
        <f t="shared" si="2962"/>
        <v>FARHANA BINTI MUSTAPA</v>
      </c>
      <c r="W7256" t="str">
        <f t="shared" si="2963"/>
        <v>04-08-2020</v>
      </c>
      <c r="X7256" t="str">
        <f t="shared" si="2964"/>
        <v>RAZIMAH ANSAR AHMAD</v>
      </c>
      <c r="Y7256" t="str">
        <f t="shared" si="2965"/>
        <v>04-08-2020</v>
      </c>
      <c r="Z7256" t="str">
        <f>"COS10200804 1898"</f>
        <v>COS10200804 1898</v>
      </c>
    </row>
    <row r="7257" spans="1:26" x14ac:dyDescent="0.25">
      <c r="A7257" t="str">
        <f t="shared" si="2969"/>
        <v>04-08-2020 12:35:42</v>
      </c>
      <c r="B7257" t="str">
        <f>"0000803653"</f>
        <v>0000803653</v>
      </c>
      <c r="C7257" t="str">
        <f t="shared" si="2970"/>
        <v>0000803555</v>
      </c>
      <c r="D7257" t="str">
        <f t="shared" si="2955"/>
        <v>73185</v>
      </c>
      <c r="E7257" t="str">
        <f t="shared" si="2956"/>
        <v>KFH-OPERATIONS DEPARTMENT</v>
      </c>
      <c r="F7257" t="str">
        <f t="shared" si="2957"/>
        <v>IBG</v>
      </c>
      <c r="G7257" t="str">
        <f t="shared" si="2966"/>
        <v>Refund COSHARE 10</v>
      </c>
      <c r="H7257" s="2">
        <v>839.5</v>
      </c>
      <c r="I7257" t="str">
        <f>"NORLAILA BINTI YUSOF"</f>
        <v>NORLAILA BINTI YUSOF</v>
      </c>
      <c r="J7257" t="str">
        <f t="shared" si="2971"/>
        <v>BANK SIMPANAN NASIONAL</v>
      </c>
      <c r="K7257" t="str">
        <f>"1199241000002629"</f>
        <v>1199241000002629</v>
      </c>
      <c r="L7257" t="str">
        <f t="shared" si="2967"/>
        <v>04-08-2020</v>
      </c>
      <c r="M7257" t="str">
        <f t="shared" si="2967"/>
        <v>04-08-2020</v>
      </c>
      <c r="N7257" t="str">
        <f t="shared" si="2958"/>
        <v>001105018356</v>
      </c>
      <c r="O7257" t="str">
        <f t="shared" si="2959"/>
        <v>MYR</v>
      </c>
      <c r="P7257" t="str">
        <f t="shared" si="2968"/>
        <v>NIL</v>
      </c>
      <c r="Q7257" t="str">
        <f t="shared" si="2968"/>
        <v>NIL</v>
      </c>
      <c r="R7257" t="str">
        <f t="shared" si="2947"/>
        <v>Accepted</v>
      </c>
      <c r="S7257" t="str">
        <f t="shared" si="2960"/>
        <v>Approved</v>
      </c>
      <c r="T7257" t="str">
        <f t="shared" si="2948"/>
        <v>10.20.8.188</v>
      </c>
      <c r="U7257" t="str">
        <f t="shared" si="2961"/>
        <v>AZRAD UMAR BIN SHAARI</v>
      </c>
      <c r="V7257" t="str">
        <f t="shared" si="2962"/>
        <v>FARHANA BINTI MUSTAPA</v>
      </c>
      <c r="W7257" t="str">
        <f t="shared" si="2963"/>
        <v>04-08-2020</v>
      </c>
      <c r="X7257" t="str">
        <f t="shared" si="2964"/>
        <v>RAZIMAH ANSAR AHMAD</v>
      </c>
      <c r="Y7257" t="str">
        <f t="shared" si="2965"/>
        <v>04-08-2020</v>
      </c>
      <c r="Z7257" t="str">
        <f>"COS10200804 1897"</f>
        <v>COS10200804 1897</v>
      </c>
    </row>
    <row r="7258" spans="1:26" x14ac:dyDescent="0.25">
      <c r="A7258" t="str">
        <f t="shared" si="2969"/>
        <v>04-08-2020 12:35:42</v>
      </c>
      <c r="B7258" t="str">
        <f>"0000803652"</f>
        <v>0000803652</v>
      </c>
      <c r="C7258" t="str">
        <f t="shared" si="2970"/>
        <v>0000803555</v>
      </c>
      <c r="D7258" t="str">
        <f t="shared" si="2955"/>
        <v>73185</v>
      </c>
      <c r="E7258" t="str">
        <f t="shared" si="2956"/>
        <v>KFH-OPERATIONS DEPARTMENT</v>
      </c>
      <c r="F7258" t="str">
        <f t="shared" si="2957"/>
        <v>IBG</v>
      </c>
      <c r="G7258" t="str">
        <f t="shared" si="2966"/>
        <v>Refund COSHARE 10</v>
      </c>
      <c r="H7258" s="2">
        <v>133</v>
      </c>
      <c r="I7258" t="str">
        <f>"NORIZAN BINTI MAMAT"</f>
        <v>NORIZAN BINTI MAMAT</v>
      </c>
      <c r="J7258" t="str">
        <f t="shared" si="2971"/>
        <v>BANK SIMPANAN NASIONAL</v>
      </c>
      <c r="K7258" t="str">
        <f>"0310029863586318"</f>
        <v>0310029863586318</v>
      </c>
      <c r="L7258" t="str">
        <f t="shared" si="2967"/>
        <v>04-08-2020</v>
      </c>
      <c r="M7258" t="str">
        <f t="shared" si="2967"/>
        <v>04-08-2020</v>
      </c>
      <c r="N7258" t="str">
        <f t="shared" si="2958"/>
        <v>001105018356</v>
      </c>
      <c r="O7258" t="str">
        <f t="shared" si="2959"/>
        <v>MYR</v>
      </c>
      <c r="P7258" t="str">
        <f t="shared" si="2968"/>
        <v>NIL</v>
      </c>
      <c r="Q7258" t="str">
        <f t="shared" si="2968"/>
        <v>NIL</v>
      </c>
      <c r="R7258" t="str">
        <f t="shared" si="2947"/>
        <v>Accepted</v>
      </c>
      <c r="S7258" t="str">
        <f t="shared" si="2960"/>
        <v>Approved</v>
      </c>
      <c r="T7258" t="str">
        <f t="shared" si="2948"/>
        <v>10.20.8.188</v>
      </c>
      <c r="U7258" t="str">
        <f t="shared" si="2961"/>
        <v>AZRAD UMAR BIN SHAARI</v>
      </c>
      <c r="V7258" t="str">
        <f t="shared" si="2962"/>
        <v>FARHANA BINTI MUSTAPA</v>
      </c>
      <c r="W7258" t="str">
        <f t="shared" si="2963"/>
        <v>04-08-2020</v>
      </c>
      <c r="X7258" t="str">
        <f t="shared" si="2964"/>
        <v>RAZIMAH ANSAR AHMAD</v>
      </c>
      <c r="Y7258" t="str">
        <f t="shared" si="2965"/>
        <v>04-08-2020</v>
      </c>
      <c r="Z7258" t="str">
        <f>"COS10200804 1896"</f>
        <v>COS10200804 1896</v>
      </c>
    </row>
    <row r="7259" spans="1:26" x14ac:dyDescent="0.25">
      <c r="A7259" t="str">
        <f t="shared" si="2969"/>
        <v>04-08-2020 12:35:42</v>
      </c>
      <c r="B7259" t="str">
        <f>"0000803651"</f>
        <v>0000803651</v>
      </c>
      <c r="C7259" t="str">
        <f t="shared" si="2970"/>
        <v>0000803555</v>
      </c>
      <c r="D7259" t="str">
        <f t="shared" si="2955"/>
        <v>73185</v>
      </c>
      <c r="E7259" t="str">
        <f t="shared" si="2956"/>
        <v>KFH-OPERATIONS DEPARTMENT</v>
      </c>
      <c r="F7259" t="str">
        <f t="shared" si="2957"/>
        <v>IBG</v>
      </c>
      <c r="G7259" t="str">
        <f t="shared" si="2966"/>
        <v>Refund COSHARE 10</v>
      </c>
      <c r="H7259" s="2">
        <v>982.35</v>
      </c>
      <c r="I7259" t="str">
        <f>"NORIZAM BIN MD ALI"</f>
        <v>NORIZAM BIN MD ALI</v>
      </c>
      <c r="J7259" t="str">
        <f t="shared" si="2971"/>
        <v>BANK SIMPANAN NASIONAL</v>
      </c>
      <c r="K7259" t="str">
        <f>"1013629873520818"</f>
        <v>1013629873520818</v>
      </c>
      <c r="L7259" t="str">
        <f t="shared" si="2967"/>
        <v>04-08-2020</v>
      </c>
      <c r="M7259" t="str">
        <f t="shared" si="2967"/>
        <v>04-08-2020</v>
      </c>
      <c r="N7259" t="str">
        <f t="shared" si="2958"/>
        <v>001105018356</v>
      </c>
      <c r="O7259" t="str">
        <f t="shared" si="2959"/>
        <v>MYR</v>
      </c>
      <c r="P7259" t="str">
        <f t="shared" si="2968"/>
        <v>NIL</v>
      </c>
      <c r="Q7259" t="str">
        <f t="shared" si="2968"/>
        <v>NIL</v>
      </c>
      <c r="R7259" t="str">
        <f t="shared" si="2947"/>
        <v>Accepted</v>
      </c>
      <c r="S7259" t="str">
        <f t="shared" si="2960"/>
        <v>Approved</v>
      </c>
      <c r="T7259" t="str">
        <f t="shared" si="2948"/>
        <v>10.20.8.188</v>
      </c>
      <c r="U7259" t="str">
        <f t="shared" si="2961"/>
        <v>AZRAD UMAR BIN SHAARI</v>
      </c>
      <c r="V7259" t="str">
        <f t="shared" si="2962"/>
        <v>FARHANA BINTI MUSTAPA</v>
      </c>
      <c r="W7259" t="str">
        <f t="shared" si="2963"/>
        <v>04-08-2020</v>
      </c>
      <c r="X7259" t="str">
        <f t="shared" si="2964"/>
        <v>RAZIMAH ANSAR AHMAD</v>
      </c>
      <c r="Y7259" t="str">
        <f t="shared" si="2965"/>
        <v>04-08-2020</v>
      </c>
      <c r="Z7259" t="str">
        <f>"COS10200804 1895"</f>
        <v>COS10200804 1895</v>
      </c>
    </row>
    <row r="7260" spans="1:26" x14ac:dyDescent="0.25">
      <c r="A7260" t="str">
        <f t="shared" si="2969"/>
        <v>04-08-2020 12:35:42</v>
      </c>
      <c r="B7260" t="str">
        <f>"0000803650"</f>
        <v>0000803650</v>
      </c>
      <c r="C7260" t="str">
        <f t="shared" si="2970"/>
        <v>0000803555</v>
      </c>
      <c r="D7260" t="str">
        <f t="shared" si="2955"/>
        <v>73185</v>
      </c>
      <c r="E7260" t="str">
        <f t="shared" si="2956"/>
        <v>KFH-OPERATIONS DEPARTMENT</v>
      </c>
      <c r="F7260" t="str">
        <f t="shared" si="2957"/>
        <v>IBG</v>
      </c>
      <c r="G7260" t="str">
        <f t="shared" si="2966"/>
        <v>Refund COSHARE 10</v>
      </c>
      <c r="H7260" s="2">
        <v>378.65</v>
      </c>
      <c r="I7260" t="str">
        <f>"NORIMAH BINTI MOHD SOTIKAN"</f>
        <v>NORIMAH BINTI MOHD SOTIKAN</v>
      </c>
      <c r="J7260" t="str">
        <f t="shared" si="2971"/>
        <v>BANK SIMPANAN NASIONAL</v>
      </c>
      <c r="K7260" t="str">
        <f>"0530029000024745"</f>
        <v>0530029000024745</v>
      </c>
      <c r="L7260" t="str">
        <f t="shared" si="2967"/>
        <v>04-08-2020</v>
      </c>
      <c r="M7260" t="str">
        <f t="shared" si="2967"/>
        <v>04-08-2020</v>
      </c>
      <c r="N7260" t="str">
        <f t="shared" si="2958"/>
        <v>001105018356</v>
      </c>
      <c r="O7260" t="str">
        <f t="shared" si="2959"/>
        <v>MYR</v>
      </c>
      <c r="P7260" t="str">
        <f t="shared" si="2968"/>
        <v>NIL</v>
      </c>
      <c r="Q7260" t="str">
        <f t="shared" si="2968"/>
        <v>NIL</v>
      </c>
      <c r="R7260" t="str">
        <f t="shared" si="2947"/>
        <v>Accepted</v>
      </c>
      <c r="S7260" t="str">
        <f t="shared" si="2960"/>
        <v>Approved</v>
      </c>
      <c r="T7260" t="str">
        <f t="shared" si="2948"/>
        <v>10.20.8.188</v>
      </c>
      <c r="U7260" t="str">
        <f t="shared" si="2961"/>
        <v>AZRAD UMAR BIN SHAARI</v>
      </c>
      <c r="V7260" t="str">
        <f t="shared" si="2962"/>
        <v>FARHANA BINTI MUSTAPA</v>
      </c>
      <c r="W7260" t="str">
        <f t="shared" si="2963"/>
        <v>04-08-2020</v>
      </c>
      <c r="X7260" t="str">
        <f t="shared" si="2964"/>
        <v>RAZIMAH ANSAR AHMAD</v>
      </c>
      <c r="Y7260" t="str">
        <f t="shared" si="2965"/>
        <v>04-08-2020</v>
      </c>
      <c r="Z7260" t="str">
        <f>"COS10200804 1894"</f>
        <v>COS10200804 1894</v>
      </c>
    </row>
    <row r="7261" spans="1:26" x14ac:dyDescent="0.25">
      <c r="A7261" t="str">
        <f t="shared" si="2969"/>
        <v>04-08-2020 12:35:42</v>
      </c>
      <c r="B7261" t="str">
        <f>"0000803649"</f>
        <v>0000803649</v>
      </c>
      <c r="C7261" t="str">
        <f t="shared" si="2970"/>
        <v>0000803555</v>
      </c>
      <c r="D7261" t="str">
        <f t="shared" si="2955"/>
        <v>73185</v>
      </c>
      <c r="E7261" t="str">
        <f t="shared" si="2956"/>
        <v>KFH-OPERATIONS DEPARTMENT</v>
      </c>
      <c r="F7261" t="str">
        <f t="shared" si="2957"/>
        <v>IBG</v>
      </c>
      <c r="G7261" t="str">
        <f t="shared" si="2966"/>
        <v>Refund COSHARE 10</v>
      </c>
      <c r="H7261" s="2">
        <v>594.75</v>
      </c>
      <c r="I7261" t="str">
        <f>"NORIAH BINTI SAID"</f>
        <v>NORIAH BINTI SAID</v>
      </c>
      <c r="J7261" t="str">
        <f t="shared" si="2971"/>
        <v>BANK SIMPANAN NASIONAL</v>
      </c>
      <c r="K7261" t="str">
        <f>"0710429851739585"</f>
        <v>0710429851739585</v>
      </c>
      <c r="L7261" t="str">
        <f t="shared" si="2967"/>
        <v>04-08-2020</v>
      </c>
      <c r="M7261" t="str">
        <f t="shared" si="2967"/>
        <v>04-08-2020</v>
      </c>
      <c r="N7261" t="str">
        <f t="shared" si="2958"/>
        <v>001105018356</v>
      </c>
      <c r="O7261" t="str">
        <f t="shared" si="2959"/>
        <v>MYR</v>
      </c>
      <c r="P7261" t="str">
        <f t="shared" si="2968"/>
        <v>NIL</v>
      </c>
      <c r="Q7261" t="str">
        <f t="shared" si="2968"/>
        <v>NIL</v>
      </c>
      <c r="R7261" t="str">
        <f t="shared" si="2947"/>
        <v>Accepted</v>
      </c>
      <c r="S7261" t="str">
        <f t="shared" si="2960"/>
        <v>Approved</v>
      </c>
      <c r="T7261" t="str">
        <f t="shared" si="2948"/>
        <v>10.20.8.188</v>
      </c>
      <c r="U7261" t="str">
        <f t="shared" si="2961"/>
        <v>AZRAD UMAR BIN SHAARI</v>
      </c>
      <c r="V7261" t="str">
        <f t="shared" si="2962"/>
        <v>FARHANA BINTI MUSTAPA</v>
      </c>
      <c r="W7261" t="str">
        <f t="shared" si="2963"/>
        <v>04-08-2020</v>
      </c>
      <c r="X7261" t="str">
        <f t="shared" si="2964"/>
        <v>RAZIMAH ANSAR AHMAD</v>
      </c>
      <c r="Y7261" t="str">
        <f t="shared" si="2965"/>
        <v>04-08-2020</v>
      </c>
      <c r="Z7261" t="str">
        <f>"COS10200804 1893"</f>
        <v>COS10200804 1893</v>
      </c>
    </row>
    <row r="7262" spans="1:26" x14ac:dyDescent="0.25">
      <c r="A7262" t="str">
        <f t="shared" si="2969"/>
        <v>04-08-2020 12:35:42</v>
      </c>
      <c r="B7262" t="str">
        <f>"0000803648"</f>
        <v>0000803648</v>
      </c>
      <c r="C7262" t="str">
        <f t="shared" si="2970"/>
        <v>0000803555</v>
      </c>
      <c r="D7262" t="str">
        <f t="shared" si="2955"/>
        <v>73185</v>
      </c>
      <c r="E7262" t="str">
        <f t="shared" si="2956"/>
        <v>KFH-OPERATIONS DEPARTMENT</v>
      </c>
      <c r="F7262" t="str">
        <f t="shared" si="2957"/>
        <v>IBG</v>
      </c>
      <c r="G7262" t="str">
        <f t="shared" si="2966"/>
        <v>Refund COSHARE 10</v>
      </c>
      <c r="H7262" s="2">
        <v>419.75</v>
      </c>
      <c r="I7262" t="str">
        <f>"NORHIDAYAH BT HASSAN"</f>
        <v>NORHIDAYAH BT HASSAN</v>
      </c>
      <c r="J7262" t="str">
        <f t="shared" si="2971"/>
        <v>BANK SIMPANAN NASIONAL</v>
      </c>
      <c r="K7262" t="str">
        <f>"1310229811683554"</f>
        <v>1310229811683554</v>
      </c>
      <c r="L7262" t="str">
        <f t="shared" si="2967"/>
        <v>04-08-2020</v>
      </c>
      <c r="M7262" t="str">
        <f t="shared" si="2967"/>
        <v>04-08-2020</v>
      </c>
      <c r="N7262" t="str">
        <f t="shared" si="2958"/>
        <v>001105018356</v>
      </c>
      <c r="O7262" t="str">
        <f t="shared" si="2959"/>
        <v>MYR</v>
      </c>
      <c r="P7262" t="str">
        <f t="shared" si="2968"/>
        <v>NIL</v>
      </c>
      <c r="Q7262" t="str">
        <f t="shared" si="2968"/>
        <v>NIL</v>
      </c>
      <c r="R7262" t="str">
        <f t="shared" si="2947"/>
        <v>Accepted</v>
      </c>
      <c r="S7262" t="str">
        <f t="shared" si="2960"/>
        <v>Approved</v>
      </c>
      <c r="T7262" t="str">
        <f t="shared" si="2948"/>
        <v>10.20.8.188</v>
      </c>
      <c r="U7262" t="str">
        <f t="shared" si="2961"/>
        <v>AZRAD UMAR BIN SHAARI</v>
      </c>
      <c r="V7262" t="str">
        <f t="shared" si="2962"/>
        <v>FARHANA BINTI MUSTAPA</v>
      </c>
      <c r="W7262" t="str">
        <f t="shared" si="2963"/>
        <v>04-08-2020</v>
      </c>
      <c r="X7262" t="str">
        <f t="shared" si="2964"/>
        <v>RAZIMAH ANSAR AHMAD</v>
      </c>
      <c r="Y7262" t="str">
        <f t="shared" si="2965"/>
        <v>04-08-2020</v>
      </c>
      <c r="Z7262" t="str">
        <f>"COS10200804 1892"</f>
        <v>COS10200804 1892</v>
      </c>
    </row>
    <row r="7263" spans="1:26" x14ac:dyDescent="0.25">
      <c r="A7263" t="str">
        <f t="shared" si="2969"/>
        <v>04-08-2020 12:35:42</v>
      </c>
      <c r="B7263" t="str">
        <f>"0000803647"</f>
        <v>0000803647</v>
      </c>
      <c r="C7263" t="str">
        <f t="shared" si="2970"/>
        <v>0000803555</v>
      </c>
      <c r="D7263" t="str">
        <f t="shared" si="2955"/>
        <v>73185</v>
      </c>
      <c r="E7263" t="str">
        <f t="shared" si="2956"/>
        <v>KFH-OPERATIONS DEPARTMENT</v>
      </c>
      <c r="F7263" t="str">
        <f t="shared" si="2957"/>
        <v>IBG</v>
      </c>
      <c r="G7263" t="str">
        <f t="shared" si="2966"/>
        <v>Refund COSHARE 10</v>
      </c>
      <c r="H7263" s="2">
        <v>759</v>
      </c>
      <c r="I7263" t="str">
        <f>"NORHAZMAN BIN MISRAN"</f>
        <v>NORHAZMAN BIN MISRAN</v>
      </c>
      <c r="J7263" t="str">
        <f t="shared" si="2971"/>
        <v>BANK SIMPANAN NASIONAL</v>
      </c>
      <c r="K7263" t="str">
        <f>"0110729000137280"</f>
        <v>0110729000137280</v>
      </c>
      <c r="L7263" t="str">
        <f t="shared" si="2967"/>
        <v>04-08-2020</v>
      </c>
      <c r="M7263" t="str">
        <f t="shared" si="2967"/>
        <v>04-08-2020</v>
      </c>
      <c r="N7263" t="str">
        <f t="shared" si="2958"/>
        <v>001105018356</v>
      </c>
      <c r="O7263" t="str">
        <f t="shared" si="2959"/>
        <v>MYR</v>
      </c>
      <c r="P7263" t="str">
        <f t="shared" si="2968"/>
        <v>NIL</v>
      </c>
      <c r="Q7263" t="str">
        <f t="shared" si="2968"/>
        <v>NIL</v>
      </c>
      <c r="R7263" t="str">
        <f t="shared" si="2947"/>
        <v>Accepted</v>
      </c>
      <c r="S7263" t="str">
        <f t="shared" si="2960"/>
        <v>Approved</v>
      </c>
      <c r="T7263" t="str">
        <f t="shared" si="2948"/>
        <v>10.20.8.188</v>
      </c>
      <c r="U7263" t="str">
        <f t="shared" si="2961"/>
        <v>AZRAD UMAR BIN SHAARI</v>
      </c>
      <c r="V7263" t="str">
        <f t="shared" si="2962"/>
        <v>FARHANA BINTI MUSTAPA</v>
      </c>
      <c r="W7263" t="str">
        <f t="shared" si="2963"/>
        <v>04-08-2020</v>
      </c>
      <c r="X7263" t="str">
        <f t="shared" si="2964"/>
        <v>RAZIMAH ANSAR AHMAD</v>
      </c>
      <c r="Y7263" t="str">
        <f t="shared" si="2965"/>
        <v>04-08-2020</v>
      </c>
      <c r="Z7263" t="str">
        <f>"COS10200804 1891"</f>
        <v>COS10200804 1891</v>
      </c>
    </row>
    <row r="7264" spans="1:26" x14ac:dyDescent="0.25">
      <c r="A7264" t="str">
        <f t="shared" si="2969"/>
        <v>04-08-2020 12:35:42</v>
      </c>
      <c r="B7264" t="str">
        <f>"0000803646"</f>
        <v>0000803646</v>
      </c>
      <c r="C7264" t="str">
        <f t="shared" si="2970"/>
        <v>0000803555</v>
      </c>
      <c r="D7264" t="str">
        <f t="shared" si="2955"/>
        <v>73185</v>
      </c>
      <c r="E7264" t="str">
        <f t="shared" si="2956"/>
        <v>KFH-OPERATIONS DEPARTMENT</v>
      </c>
      <c r="F7264" t="str">
        <f t="shared" si="2957"/>
        <v>IBG</v>
      </c>
      <c r="G7264" t="str">
        <f t="shared" si="2966"/>
        <v>Refund COSHARE 10</v>
      </c>
      <c r="H7264" s="2">
        <v>235.1</v>
      </c>
      <c r="I7264" t="str">
        <f>"NORHAYATI BINTI MOHAMED NOOR"</f>
        <v>NORHAYATI BINTI MOHAMED NOOR</v>
      </c>
      <c r="J7264" t="str">
        <f t="shared" si="2971"/>
        <v>BANK SIMPANAN NASIONAL</v>
      </c>
      <c r="K7264" t="str">
        <f>"0410629000309681"</f>
        <v>0410629000309681</v>
      </c>
      <c r="L7264" t="str">
        <f t="shared" si="2967"/>
        <v>04-08-2020</v>
      </c>
      <c r="M7264" t="str">
        <f t="shared" si="2967"/>
        <v>04-08-2020</v>
      </c>
      <c r="N7264" t="str">
        <f t="shared" si="2958"/>
        <v>001105018356</v>
      </c>
      <c r="O7264" t="str">
        <f t="shared" si="2959"/>
        <v>MYR</v>
      </c>
      <c r="P7264" t="str">
        <f t="shared" si="2968"/>
        <v>NIL</v>
      </c>
      <c r="Q7264" t="str">
        <f t="shared" si="2968"/>
        <v>NIL</v>
      </c>
      <c r="R7264" t="str">
        <f t="shared" si="2947"/>
        <v>Accepted</v>
      </c>
      <c r="S7264" t="str">
        <f t="shared" si="2960"/>
        <v>Approved</v>
      </c>
      <c r="T7264" t="str">
        <f t="shared" si="2948"/>
        <v>10.20.8.188</v>
      </c>
      <c r="U7264" t="str">
        <f t="shared" si="2961"/>
        <v>AZRAD UMAR BIN SHAARI</v>
      </c>
      <c r="V7264" t="str">
        <f t="shared" si="2962"/>
        <v>FARHANA BINTI MUSTAPA</v>
      </c>
      <c r="W7264" t="str">
        <f t="shared" si="2963"/>
        <v>04-08-2020</v>
      </c>
      <c r="X7264" t="str">
        <f t="shared" si="2964"/>
        <v>RAZIMAH ANSAR AHMAD</v>
      </c>
      <c r="Y7264" t="str">
        <f t="shared" si="2965"/>
        <v>04-08-2020</v>
      </c>
      <c r="Z7264" t="str">
        <f>"COS10200804 1890"</f>
        <v>COS10200804 1890</v>
      </c>
    </row>
    <row r="7265" spans="1:26" x14ac:dyDescent="0.25">
      <c r="A7265" t="str">
        <f t="shared" si="2969"/>
        <v>04-08-2020 12:35:42</v>
      </c>
      <c r="B7265" t="str">
        <f>"0000803645"</f>
        <v>0000803645</v>
      </c>
      <c r="C7265" t="str">
        <f t="shared" si="2970"/>
        <v>0000803555</v>
      </c>
      <c r="D7265" t="str">
        <f t="shared" si="2955"/>
        <v>73185</v>
      </c>
      <c r="E7265" t="str">
        <f t="shared" si="2956"/>
        <v>KFH-OPERATIONS DEPARTMENT</v>
      </c>
      <c r="F7265" t="str">
        <f t="shared" si="2957"/>
        <v>IBG</v>
      </c>
      <c r="G7265" t="str">
        <f t="shared" si="2966"/>
        <v>Refund COSHARE 10</v>
      </c>
      <c r="H7265" s="2">
        <v>965.45</v>
      </c>
      <c r="I7265" t="str">
        <f>"NORHAYATI BINTI MAT DAUD"</f>
        <v>NORHAYATI BINTI MAT DAUD</v>
      </c>
      <c r="J7265" t="str">
        <f t="shared" si="2971"/>
        <v>BANK SIMPANAN NASIONAL</v>
      </c>
      <c r="K7265" t="str">
        <f>"0310041000142621"</f>
        <v>0310041000142621</v>
      </c>
      <c r="L7265" t="str">
        <f t="shared" si="2967"/>
        <v>04-08-2020</v>
      </c>
      <c r="M7265" t="str">
        <f t="shared" si="2967"/>
        <v>04-08-2020</v>
      </c>
      <c r="N7265" t="str">
        <f t="shared" si="2958"/>
        <v>001105018356</v>
      </c>
      <c r="O7265" t="str">
        <f t="shared" si="2959"/>
        <v>MYR</v>
      </c>
      <c r="P7265" t="str">
        <f t="shared" si="2968"/>
        <v>NIL</v>
      </c>
      <c r="Q7265" t="str">
        <f t="shared" si="2968"/>
        <v>NIL</v>
      </c>
      <c r="R7265" t="str">
        <f t="shared" si="2947"/>
        <v>Accepted</v>
      </c>
      <c r="S7265" t="str">
        <f t="shared" si="2960"/>
        <v>Approved</v>
      </c>
      <c r="T7265" t="str">
        <f t="shared" si="2948"/>
        <v>10.20.8.188</v>
      </c>
      <c r="U7265" t="str">
        <f t="shared" si="2961"/>
        <v>AZRAD UMAR BIN SHAARI</v>
      </c>
      <c r="V7265" t="str">
        <f t="shared" si="2962"/>
        <v>FARHANA BINTI MUSTAPA</v>
      </c>
      <c r="W7265" t="str">
        <f t="shared" si="2963"/>
        <v>04-08-2020</v>
      </c>
      <c r="X7265" t="str">
        <f t="shared" si="2964"/>
        <v>RAZIMAH ANSAR AHMAD</v>
      </c>
      <c r="Y7265" t="str">
        <f t="shared" si="2965"/>
        <v>04-08-2020</v>
      </c>
      <c r="Z7265" t="str">
        <f>"COS10200804 1889"</f>
        <v>COS10200804 1889</v>
      </c>
    </row>
    <row r="7266" spans="1:26" x14ac:dyDescent="0.25">
      <c r="A7266" t="str">
        <f t="shared" si="2969"/>
        <v>04-08-2020 12:35:42</v>
      </c>
      <c r="B7266" t="str">
        <f>"0000803644"</f>
        <v>0000803644</v>
      </c>
      <c r="C7266" t="str">
        <f t="shared" si="2970"/>
        <v>0000803555</v>
      </c>
      <c r="D7266" t="str">
        <f t="shared" si="2955"/>
        <v>73185</v>
      </c>
      <c r="E7266" t="str">
        <f t="shared" si="2956"/>
        <v>KFH-OPERATIONS DEPARTMENT</v>
      </c>
      <c r="F7266" t="str">
        <f t="shared" si="2957"/>
        <v>IBG</v>
      </c>
      <c r="G7266" t="str">
        <f t="shared" si="2966"/>
        <v>Refund COSHARE 10</v>
      </c>
      <c r="H7266" s="2">
        <v>607</v>
      </c>
      <c r="I7266" t="str">
        <f>"NORHANIZA BINTI AHMAD"</f>
        <v>NORHANIZA BINTI AHMAD</v>
      </c>
      <c r="J7266" t="str">
        <f t="shared" si="2971"/>
        <v>BANK SIMPANAN NASIONAL</v>
      </c>
      <c r="K7266" t="str">
        <f>"0410129854140834"</f>
        <v>0410129854140834</v>
      </c>
      <c r="L7266" t="str">
        <f t="shared" si="2967"/>
        <v>04-08-2020</v>
      </c>
      <c r="M7266" t="str">
        <f t="shared" si="2967"/>
        <v>04-08-2020</v>
      </c>
      <c r="N7266" t="str">
        <f t="shared" si="2958"/>
        <v>001105018356</v>
      </c>
      <c r="O7266" t="str">
        <f t="shared" si="2959"/>
        <v>MYR</v>
      </c>
      <c r="P7266" t="str">
        <f t="shared" si="2968"/>
        <v>NIL</v>
      </c>
      <c r="Q7266" t="str">
        <f t="shared" si="2968"/>
        <v>NIL</v>
      </c>
      <c r="R7266" t="str">
        <f t="shared" ref="R7266:R7329" si="2972">"Accepted"</f>
        <v>Accepted</v>
      </c>
      <c r="S7266" t="str">
        <f t="shared" si="2960"/>
        <v>Approved</v>
      </c>
      <c r="T7266" t="str">
        <f t="shared" ref="T7266:T7329" si="2973">"10.20.8.188"</f>
        <v>10.20.8.188</v>
      </c>
      <c r="U7266" t="str">
        <f t="shared" si="2961"/>
        <v>AZRAD UMAR BIN SHAARI</v>
      </c>
      <c r="V7266" t="str">
        <f t="shared" si="2962"/>
        <v>FARHANA BINTI MUSTAPA</v>
      </c>
      <c r="W7266" t="str">
        <f t="shared" si="2963"/>
        <v>04-08-2020</v>
      </c>
      <c r="X7266" t="str">
        <f t="shared" si="2964"/>
        <v>RAZIMAH ANSAR AHMAD</v>
      </c>
      <c r="Y7266" t="str">
        <f t="shared" si="2965"/>
        <v>04-08-2020</v>
      </c>
      <c r="Z7266" t="str">
        <f>"COS10200804 1888"</f>
        <v>COS10200804 1888</v>
      </c>
    </row>
    <row r="7267" spans="1:26" x14ac:dyDescent="0.25">
      <c r="A7267" t="str">
        <f t="shared" si="2969"/>
        <v>04-08-2020 12:35:42</v>
      </c>
      <c r="B7267" t="str">
        <f>"0000803643"</f>
        <v>0000803643</v>
      </c>
      <c r="C7267" t="str">
        <f t="shared" si="2970"/>
        <v>0000803555</v>
      </c>
      <c r="D7267" t="str">
        <f t="shared" si="2955"/>
        <v>73185</v>
      </c>
      <c r="E7267" t="str">
        <f t="shared" si="2956"/>
        <v>KFH-OPERATIONS DEPARTMENT</v>
      </c>
      <c r="F7267" t="str">
        <f t="shared" si="2957"/>
        <v>IBG</v>
      </c>
      <c r="G7267" t="str">
        <f t="shared" si="2966"/>
        <v>Refund COSHARE 10</v>
      </c>
      <c r="H7267" s="2">
        <v>222</v>
      </c>
      <c r="I7267" t="str">
        <f>"NORHAIZANI BINTI MOHAMAD"</f>
        <v>NORHAIZANI BINTI MOHAMAD</v>
      </c>
      <c r="J7267" t="str">
        <f t="shared" si="2971"/>
        <v>BANK SIMPANAN NASIONAL</v>
      </c>
      <c r="K7267" t="str">
        <f>"0511229000060749"</f>
        <v>0511229000060749</v>
      </c>
      <c r="L7267" t="str">
        <f t="shared" ref="L7267:M7286" si="2974">"04-08-2020"</f>
        <v>04-08-2020</v>
      </c>
      <c r="M7267" t="str">
        <f t="shared" si="2974"/>
        <v>04-08-2020</v>
      </c>
      <c r="N7267" t="str">
        <f t="shared" si="2958"/>
        <v>001105018356</v>
      </c>
      <c r="O7267" t="str">
        <f t="shared" si="2959"/>
        <v>MYR</v>
      </c>
      <c r="P7267" t="str">
        <f t="shared" ref="P7267:Q7286" si="2975">"NIL"</f>
        <v>NIL</v>
      </c>
      <c r="Q7267" t="str">
        <f t="shared" si="2975"/>
        <v>NIL</v>
      </c>
      <c r="R7267" t="str">
        <f t="shared" si="2972"/>
        <v>Accepted</v>
      </c>
      <c r="S7267" t="str">
        <f t="shared" si="2960"/>
        <v>Approved</v>
      </c>
      <c r="T7267" t="str">
        <f t="shared" si="2973"/>
        <v>10.20.8.188</v>
      </c>
      <c r="U7267" t="str">
        <f t="shared" si="2961"/>
        <v>AZRAD UMAR BIN SHAARI</v>
      </c>
      <c r="V7267" t="str">
        <f t="shared" si="2962"/>
        <v>FARHANA BINTI MUSTAPA</v>
      </c>
      <c r="W7267" t="str">
        <f t="shared" si="2963"/>
        <v>04-08-2020</v>
      </c>
      <c r="X7267" t="str">
        <f t="shared" si="2964"/>
        <v>RAZIMAH ANSAR AHMAD</v>
      </c>
      <c r="Y7267" t="str">
        <f t="shared" si="2965"/>
        <v>04-08-2020</v>
      </c>
      <c r="Z7267" t="str">
        <f>"COS10200804 1887"</f>
        <v>COS10200804 1887</v>
      </c>
    </row>
    <row r="7268" spans="1:26" x14ac:dyDescent="0.25">
      <c r="A7268" t="str">
        <f t="shared" si="2969"/>
        <v>04-08-2020 12:35:42</v>
      </c>
      <c r="B7268" t="str">
        <f>"0000803642"</f>
        <v>0000803642</v>
      </c>
      <c r="C7268" t="str">
        <f t="shared" si="2970"/>
        <v>0000803555</v>
      </c>
      <c r="D7268" t="str">
        <f t="shared" si="2955"/>
        <v>73185</v>
      </c>
      <c r="E7268" t="str">
        <f t="shared" si="2956"/>
        <v>KFH-OPERATIONS DEPARTMENT</v>
      </c>
      <c r="F7268" t="str">
        <f t="shared" si="2957"/>
        <v>IBG</v>
      </c>
      <c r="G7268" t="str">
        <f t="shared" si="2966"/>
        <v>Refund COSHARE 10</v>
      </c>
      <c r="H7268" s="2">
        <v>839.5</v>
      </c>
      <c r="I7268" t="str">
        <f>"NORHAFIZAH BT DARUS"</f>
        <v>NORHAFIZAH BT DARUS</v>
      </c>
      <c r="J7268" t="str">
        <f t="shared" si="2971"/>
        <v>BANK SIMPANAN NASIONAL</v>
      </c>
      <c r="K7268" t="str">
        <f>"0711729838411888"</f>
        <v>0711729838411888</v>
      </c>
      <c r="L7268" t="str">
        <f t="shared" si="2974"/>
        <v>04-08-2020</v>
      </c>
      <c r="M7268" t="str">
        <f t="shared" si="2974"/>
        <v>04-08-2020</v>
      </c>
      <c r="N7268" t="str">
        <f t="shared" si="2958"/>
        <v>001105018356</v>
      </c>
      <c r="O7268" t="str">
        <f t="shared" si="2959"/>
        <v>MYR</v>
      </c>
      <c r="P7268" t="str">
        <f t="shared" si="2975"/>
        <v>NIL</v>
      </c>
      <c r="Q7268" t="str">
        <f t="shared" si="2975"/>
        <v>NIL</v>
      </c>
      <c r="R7268" t="str">
        <f t="shared" si="2972"/>
        <v>Accepted</v>
      </c>
      <c r="S7268" t="str">
        <f t="shared" si="2960"/>
        <v>Approved</v>
      </c>
      <c r="T7268" t="str">
        <f t="shared" si="2973"/>
        <v>10.20.8.188</v>
      </c>
      <c r="U7268" t="str">
        <f t="shared" si="2961"/>
        <v>AZRAD UMAR BIN SHAARI</v>
      </c>
      <c r="V7268" t="str">
        <f t="shared" si="2962"/>
        <v>FARHANA BINTI MUSTAPA</v>
      </c>
      <c r="W7268" t="str">
        <f t="shared" si="2963"/>
        <v>04-08-2020</v>
      </c>
      <c r="X7268" t="str">
        <f t="shared" si="2964"/>
        <v>RAZIMAH ANSAR AHMAD</v>
      </c>
      <c r="Y7268" t="str">
        <f t="shared" si="2965"/>
        <v>04-08-2020</v>
      </c>
      <c r="Z7268" t="str">
        <f>"COS10200804 1886"</f>
        <v>COS10200804 1886</v>
      </c>
    </row>
    <row r="7269" spans="1:26" x14ac:dyDescent="0.25">
      <c r="A7269" t="str">
        <f t="shared" si="2969"/>
        <v>04-08-2020 12:35:42</v>
      </c>
      <c r="B7269" t="str">
        <f>"0000803641"</f>
        <v>0000803641</v>
      </c>
      <c r="C7269" t="str">
        <f t="shared" si="2970"/>
        <v>0000803555</v>
      </c>
      <c r="D7269" t="str">
        <f t="shared" si="2955"/>
        <v>73185</v>
      </c>
      <c r="E7269" t="str">
        <f t="shared" si="2956"/>
        <v>KFH-OPERATIONS DEPARTMENT</v>
      </c>
      <c r="F7269" t="str">
        <f t="shared" si="2957"/>
        <v>IBG</v>
      </c>
      <c r="G7269" t="str">
        <f t="shared" si="2966"/>
        <v>Refund COSHARE 10</v>
      </c>
      <c r="H7269" s="2">
        <v>911</v>
      </c>
      <c r="I7269" t="str">
        <f>"NORHAFIZA BINTI ABDUL HANIF  HARUN"</f>
        <v>NORHAFIZA BINTI ABDUL HANIF  HARUN</v>
      </c>
      <c r="J7269" t="str">
        <f t="shared" si="2971"/>
        <v>BANK SIMPANAN NASIONAL</v>
      </c>
      <c r="K7269" t="str">
        <f>"0211029000005256"</f>
        <v>0211029000005256</v>
      </c>
      <c r="L7269" t="str">
        <f t="shared" si="2974"/>
        <v>04-08-2020</v>
      </c>
      <c r="M7269" t="str">
        <f t="shared" si="2974"/>
        <v>04-08-2020</v>
      </c>
      <c r="N7269" t="str">
        <f t="shared" si="2958"/>
        <v>001105018356</v>
      </c>
      <c r="O7269" t="str">
        <f t="shared" si="2959"/>
        <v>MYR</v>
      </c>
      <c r="P7269" t="str">
        <f t="shared" si="2975"/>
        <v>NIL</v>
      </c>
      <c r="Q7269" t="str">
        <f t="shared" si="2975"/>
        <v>NIL</v>
      </c>
      <c r="R7269" t="str">
        <f t="shared" si="2972"/>
        <v>Accepted</v>
      </c>
      <c r="S7269" t="str">
        <f t="shared" si="2960"/>
        <v>Approved</v>
      </c>
      <c r="T7269" t="str">
        <f t="shared" si="2973"/>
        <v>10.20.8.188</v>
      </c>
      <c r="U7269" t="str">
        <f t="shared" si="2961"/>
        <v>AZRAD UMAR BIN SHAARI</v>
      </c>
      <c r="V7269" t="str">
        <f t="shared" si="2962"/>
        <v>FARHANA BINTI MUSTAPA</v>
      </c>
      <c r="W7269" t="str">
        <f t="shared" si="2963"/>
        <v>04-08-2020</v>
      </c>
      <c r="X7269" t="str">
        <f t="shared" si="2964"/>
        <v>RAZIMAH ANSAR AHMAD</v>
      </c>
      <c r="Y7269" t="str">
        <f t="shared" si="2965"/>
        <v>04-08-2020</v>
      </c>
      <c r="Z7269" t="str">
        <f>"COS10200804 1885"</f>
        <v>COS10200804 1885</v>
      </c>
    </row>
    <row r="7270" spans="1:26" x14ac:dyDescent="0.25">
      <c r="A7270" t="str">
        <f t="shared" si="2969"/>
        <v>04-08-2020 12:35:42</v>
      </c>
      <c r="B7270" t="str">
        <f>"0000803640"</f>
        <v>0000803640</v>
      </c>
      <c r="C7270" t="str">
        <f t="shared" si="2970"/>
        <v>0000803555</v>
      </c>
      <c r="D7270" t="str">
        <f t="shared" si="2955"/>
        <v>73185</v>
      </c>
      <c r="E7270" t="str">
        <f t="shared" si="2956"/>
        <v>KFH-OPERATIONS DEPARTMENT</v>
      </c>
      <c r="F7270" t="str">
        <f t="shared" si="2957"/>
        <v>IBG</v>
      </c>
      <c r="G7270" t="str">
        <f t="shared" si="2966"/>
        <v>Refund COSHARE 10</v>
      </c>
      <c r="H7270" s="2">
        <v>1070.55</v>
      </c>
      <c r="I7270" t="str">
        <f>"NOREENA ANAK MESA"</f>
        <v>NOREENA ANAK MESA</v>
      </c>
      <c r="J7270" t="str">
        <f t="shared" si="2971"/>
        <v>BANK SIMPANAN NASIONAL</v>
      </c>
      <c r="K7270" t="str">
        <f>"1311629831400914"</f>
        <v>1311629831400914</v>
      </c>
      <c r="L7270" t="str">
        <f t="shared" si="2974"/>
        <v>04-08-2020</v>
      </c>
      <c r="M7270" t="str">
        <f t="shared" si="2974"/>
        <v>04-08-2020</v>
      </c>
      <c r="N7270" t="str">
        <f t="shared" si="2958"/>
        <v>001105018356</v>
      </c>
      <c r="O7270" t="str">
        <f t="shared" si="2959"/>
        <v>MYR</v>
      </c>
      <c r="P7270" t="str">
        <f t="shared" si="2975"/>
        <v>NIL</v>
      </c>
      <c r="Q7270" t="str">
        <f t="shared" si="2975"/>
        <v>NIL</v>
      </c>
      <c r="R7270" t="str">
        <f t="shared" si="2972"/>
        <v>Accepted</v>
      </c>
      <c r="S7270" t="str">
        <f t="shared" si="2960"/>
        <v>Approved</v>
      </c>
      <c r="T7270" t="str">
        <f t="shared" si="2973"/>
        <v>10.20.8.188</v>
      </c>
      <c r="U7270" t="str">
        <f t="shared" si="2961"/>
        <v>AZRAD UMAR BIN SHAARI</v>
      </c>
      <c r="V7270" t="str">
        <f t="shared" si="2962"/>
        <v>FARHANA BINTI MUSTAPA</v>
      </c>
      <c r="W7270" t="str">
        <f t="shared" si="2963"/>
        <v>04-08-2020</v>
      </c>
      <c r="X7270" t="str">
        <f t="shared" si="2964"/>
        <v>RAZIMAH ANSAR AHMAD</v>
      </c>
      <c r="Y7270" t="str">
        <f t="shared" si="2965"/>
        <v>04-08-2020</v>
      </c>
      <c r="Z7270" t="str">
        <f>"COS10200804 1884"</f>
        <v>COS10200804 1884</v>
      </c>
    </row>
    <row r="7271" spans="1:26" x14ac:dyDescent="0.25">
      <c r="A7271" t="str">
        <f t="shared" si="2969"/>
        <v>04-08-2020 12:35:42</v>
      </c>
      <c r="B7271" t="str">
        <f>"0000803639"</f>
        <v>0000803639</v>
      </c>
      <c r="C7271" t="str">
        <f t="shared" si="2970"/>
        <v>0000803555</v>
      </c>
      <c r="D7271" t="str">
        <f t="shared" si="2955"/>
        <v>73185</v>
      </c>
      <c r="E7271" t="str">
        <f t="shared" si="2956"/>
        <v>KFH-OPERATIONS DEPARTMENT</v>
      </c>
      <c r="F7271" t="str">
        <f t="shared" si="2957"/>
        <v>IBG</v>
      </c>
      <c r="G7271" t="str">
        <f t="shared" si="2966"/>
        <v>Refund COSHARE 10</v>
      </c>
      <c r="H7271" s="2">
        <v>431</v>
      </c>
      <c r="I7271" t="str">
        <f>"NORAZMAN BIN ABDULLAH"</f>
        <v>NORAZMAN BIN ABDULLAH</v>
      </c>
      <c r="J7271" t="str">
        <f t="shared" si="2971"/>
        <v>BANK SIMPANAN NASIONAL</v>
      </c>
      <c r="K7271" t="str">
        <f>"0310029816475705"</f>
        <v>0310029816475705</v>
      </c>
      <c r="L7271" t="str">
        <f t="shared" si="2974"/>
        <v>04-08-2020</v>
      </c>
      <c r="M7271" t="str">
        <f t="shared" si="2974"/>
        <v>04-08-2020</v>
      </c>
      <c r="N7271" t="str">
        <f t="shared" si="2958"/>
        <v>001105018356</v>
      </c>
      <c r="O7271" t="str">
        <f t="shared" si="2959"/>
        <v>MYR</v>
      </c>
      <c r="P7271" t="str">
        <f t="shared" si="2975"/>
        <v>NIL</v>
      </c>
      <c r="Q7271" t="str">
        <f t="shared" si="2975"/>
        <v>NIL</v>
      </c>
      <c r="R7271" t="str">
        <f t="shared" si="2972"/>
        <v>Accepted</v>
      </c>
      <c r="S7271" t="str">
        <f t="shared" si="2960"/>
        <v>Approved</v>
      </c>
      <c r="T7271" t="str">
        <f t="shared" si="2973"/>
        <v>10.20.8.188</v>
      </c>
      <c r="U7271" t="str">
        <f t="shared" si="2961"/>
        <v>AZRAD UMAR BIN SHAARI</v>
      </c>
      <c r="V7271" t="str">
        <f t="shared" si="2962"/>
        <v>FARHANA BINTI MUSTAPA</v>
      </c>
      <c r="W7271" t="str">
        <f t="shared" si="2963"/>
        <v>04-08-2020</v>
      </c>
      <c r="X7271" t="str">
        <f t="shared" si="2964"/>
        <v>RAZIMAH ANSAR AHMAD</v>
      </c>
      <c r="Y7271" t="str">
        <f t="shared" si="2965"/>
        <v>04-08-2020</v>
      </c>
      <c r="Z7271" t="str">
        <f>"COS10200804 1883"</f>
        <v>COS10200804 1883</v>
      </c>
    </row>
    <row r="7272" spans="1:26" x14ac:dyDescent="0.25">
      <c r="A7272" t="str">
        <f t="shared" si="2969"/>
        <v>04-08-2020 12:35:42</v>
      </c>
      <c r="B7272" t="str">
        <f>"0000803638"</f>
        <v>0000803638</v>
      </c>
      <c r="C7272" t="str">
        <f t="shared" si="2970"/>
        <v>0000803555</v>
      </c>
      <c r="D7272" t="str">
        <f t="shared" si="2955"/>
        <v>73185</v>
      </c>
      <c r="E7272" t="str">
        <f t="shared" si="2956"/>
        <v>KFH-OPERATIONS DEPARTMENT</v>
      </c>
      <c r="F7272" t="str">
        <f t="shared" si="2957"/>
        <v>IBG</v>
      </c>
      <c r="G7272" t="str">
        <f t="shared" si="2966"/>
        <v>Refund COSHARE 10</v>
      </c>
      <c r="H7272" s="2">
        <v>121</v>
      </c>
      <c r="I7272" t="str">
        <f>"NORASHIKIN BINTI AHMAD ZAKI"</f>
        <v>NORASHIKIN BINTI AHMAD ZAKI</v>
      </c>
      <c r="J7272" t="str">
        <f t="shared" si="2971"/>
        <v>BANK SIMPANAN NASIONAL</v>
      </c>
      <c r="K7272" t="str">
        <f>"1410729863900813"</f>
        <v>1410729863900813</v>
      </c>
      <c r="L7272" t="str">
        <f t="shared" si="2974"/>
        <v>04-08-2020</v>
      </c>
      <c r="M7272" t="str">
        <f t="shared" si="2974"/>
        <v>04-08-2020</v>
      </c>
      <c r="N7272" t="str">
        <f t="shared" si="2958"/>
        <v>001105018356</v>
      </c>
      <c r="O7272" t="str">
        <f t="shared" si="2959"/>
        <v>MYR</v>
      </c>
      <c r="P7272" t="str">
        <f t="shared" si="2975"/>
        <v>NIL</v>
      </c>
      <c r="Q7272" t="str">
        <f t="shared" si="2975"/>
        <v>NIL</v>
      </c>
      <c r="R7272" t="str">
        <f t="shared" si="2972"/>
        <v>Accepted</v>
      </c>
      <c r="S7272" t="str">
        <f t="shared" si="2960"/>
        <v>Approved</v>
      </c>
      <c r="T7272" t="str">
        <f t="shared" si="2973"/>
        <v>10.20.8.188</v>
      </c>
      <c r="U7272" t="str">
        <f t="shared" si="2961"/>
        <v>AZRAD UMAR BIN SHAARI</v>
      </c>
      <c r="V7272" t="str">
        <f t="shared" si="2962"/>
        <v>FARHANA BINTI MUSTAPA</v>
      </c>
      <c r="W7272" t="str">
        <f t="shared" si="2963"/>
        <v>04-08-2020</v>
      </c>
      <c r="X7272" t="str">
        <f t="shared" si="2964"/>
        <v>RAZIMAH ANSAR AHMAD</v>
      </c>
      <c r="Y7272" t="str">
        <f t="shared" si="2965"/>
        <v>04-08-2020</v>
      </c>
      <c r="Z7272" t="str">
        <f>"COS10200804 1882"</f>
        <v>COS10200804 1882</v>
      </c>
    </row>
    <row r="7273" spans="1:26" x14ac:dyDescent="0.25">
      <c r="A7273" t="str">
        <f t="shared" si="2969"/>
        <v>04-08-2020 12:35:42</v>
      </c>
      <c r="B7273" t="str">
        <f>"0000803637"</f>
        <v>0000803637</v>
      </c>
      <c r="C7273" t="str">
        <f t="shared" si="2970"/>
        <v>0000803555</v>
      </c>
      <c r="D7273" t="str">
        <f t="shared" si="2955"/>
        <v>73185</v>
      </c>
      <c r="E7273" t="str">
        <f t="shared" si="2956"/>
        <v>KFH-OPERATIONS DEPARTMENT</v>
      </c>
      <c r="F7273" t="str">
        <f t="shared" si="2957"/>
        <v>IBG</v>
      </c>
      <c r="G7273" t="str">
        <f t="shared" si="2966"/>
        <v>Refund COSHARE 10</v>
      </c>
      <c r="H7273" s="2">
        <v>95</v>
      </c>
      <c r="I7273" t="str">
        <f>"NORANIZAN BINTI TUKICHAN"</f>
        <v>NORANIZAN BINTI TUKICHAN</v>
      </c>
      <c r="J7273" t="str">
        <f t="shared" si="2971"/>
        <v>BANK SIMPANAN NASIONAL</v>
      </c>
      <c r="K7273" t="str">
        <f>"0630029855409688"</f>
        <v>0630029855409688</v>
      </c>
      <c r="L7273" t="str">
        <f t="shared" si="2974"/>
        <v>04-08-2020</v>
      </c>
      <c r="M7273" t="str">
        <f t="shared" si="2974"/>
        <v>04-08-2020</v>
      </c>
      <c r="N7273" t="str">
        <f t="shared" si="2958"/>
        <v>001105018356</v>
      </c>
      <c r="O7273" t="str">
        <f t="shared" si="2959"/>
        <v>MYR</v>
      </c>
      <c r="P7273" t="str">
        <f t="shared" si="2975"/>
        <v>NIL</v>
      </c>
      <c r="Q7273" t="str">
        <f t="shared" si="2975"/>
        <v>NIL</v>
      </c>
      <c r="R7273" t="str">
        <f t="shared" si="2972"/>
        <v>Accepted</v>
      </c>
      <c r="S7273" t="str">
        <f t="shared" si="2960"/>
        <v>Approved</v>
      </c>
      <c r="T7273" t="str">
        <f t="shared" si="2973"/>
        <v>10.20.8.188</v>
      </c>
      <c r="U7273" t="str">
        <f t="shared" si="2961"/>
        <v>AZRAD UMAR BIN SHAARI</v>
      </c>
      <c r="V7273" t="str">
        <f t="shared" si="2962"/>
        <v>FARHANA BINTI MUSTAPA</v>
      </c>
      <c r="W7273" t="str">
        <f t="shared" si="2963"/>
        <v>04-08-2020</v>
      </c>
      <c r="X7273" t="str">
        <f t="shared" si="2964"/>
        <v>RAZIMAH ANSAR AHMAD</v>
      </c>
      <c r="Y7273" t="str">
        <f t="shared" si="2965"/>
        <v>04-08-2020</v>
      </c>
      <c r="Z7273" t="str">
        <f>"COS10200804 1881"</f>
        <v>COS10200804 1881</v>
      </c>
    </row>
    <row r="7274" spans="1:26" x14ac:dyDescent="0.25">
      <c r="A7274" t="str">
        <f t="shared" si="2969"/>
        <v>04-08-2020 12:35:42</v>
      </c>
      <c r="B7274" t="str">
        <f>"0000803636"</f>
        <v>0000803636</v>
      </c>
      <c r="C7274" t="str">
        <f t="shared" si="2970"/>
        <v>0000803555</v>
      </c>
      <c r="D7274" t="str">
        <f t="shared" si="2955"/>
        <v>73185</v>
      </c>
      <c r="E7274" t="str">
        <f t="shared" si="2956"/>
        <v>KFH-OPERATIONS DEPARTMENT</v>
      </c>
      <c r="F7274" t="str">
        <f t="shared" si="2957"/>
        <v>IBG</v>
      </c>
      <c r="G7274" t="str">
        <f t="shared" si="2966"/>
        <v>Refund COSHARE 10</v>
      </c>
      <c r="H7274" s="2">
        <v>134.35</v>
      </c>
      <c r="I7274" t="str">
        <f>"NORANIZAH BINTI ZAINON"</f>
        <v>NORANIZAH BINTI ZAINON</v>
      </c>
      <c r="J7274" t="str">
        <f t="shared" si="2971"/>
        <v>BANK SIMPANAN NASIONAL</v>
      </c>
      <c r="K7274" t="str">
        <f>"0230029858485984"</f>
        <v>0230029858485984</v>
      </c>
      <c r="L7274" t="str">
        <f t="shared" si="2974"/>
        <v>04-08-2020</v>
      </c>
      <c r="M7274" t="str">
        <f t="shared" si="2974"/>
        <v>04-08-2020</v>
      </c>
      <c r="N7274" t="str">
        <f t="shared" si="2958"/>
        <v>001105018356</v>
      </c>
      <c r="O7274" t="str">
        <f t="shared" si="2959"/>
        <v>MYR</v>
      </c>
      <c r="P7274" t="str">
        <f t="shared" si="2975"/>
        <v>NIL</v>
      </c>
      <c r="Q7274" t="str">
        <f t="shared" si="2975"/>
        <v>NIL</v>
      </c>
      <c r="R7274" t="str">
        <f t="shared" si="2972"/>
        <v>Accepted</v>
      </c>
      <c r="S7274" t="str">
        <f t="shared" si="2960"/>
        <v>Approved</v>
      </c>
      <c r="T7274" t="str">
        <f t="shared" si="2973"/>
        <v>10.20.8.188</v>
      </c>
      <c r="U7274" t="str">
        <f t="shared" si="2961"/>
        <v>AZRAD UMAR BIN SHAARI</v>
      </c>
      <c r="V7274" t="str">
        <f t="shared" si="2962"/>
        <v>FARHANA BINTI MUSTAPA</v>
      </c>
      <c r="W7274" t="str">
        <f t="shared" si="2963"/>
        <v>04-08-2020</v>
      </c>
      <c r="X7274" t="str">
        <f t="shared" si="2964"/>
        <v>RAZIMAH ANSAR AHMAD</v>
      </c>
      <c r="Y7274" t="str">
        <f t="shared" si="2965"/>
        <v>04-08-2020</v>
      </c>
      <c r="Z7274" t="str">
        <f>"COS10200804 1880"</f>
        <v>COS10200804 1880</v>
      </c>
    </row>
    <row r="7275" spans="1:26" x14ac:dyDescent="0.25">
      <c r="A7275" t="str">
        <f t="shared" si="2969"/>
        <v>04-08-2020 12:35:42</v>
      </c>
      <c r="B7275" t="str">
        <f>"0000803635"</f>
        <v>0000803635</v>
      </c>
      <c r="C7275" t="str">
        <f t="shared" si="2970"/>
        <v>0000803555</v>
      </c>
      <c r="D7275" t="str">
        <f t="shared" si="2955"/>
        <v>73185</v>
      </c>
      <c r="E7275" t="str">
        <f t="shared" si="2956"/>
        <v>KFH-OPERATIONS DEPARTMENT</v>
      </c>
      <c r="F7275" t="str">
        <f t="shared" si="2957"/>
        <v>IBG</v>
      </c>
      <c r="G7275" t="str">
        <f t="shared" si="2966"/>
        <v>Refund COSHARE 10</v>
      </c>
      <c r="H7275" s="2">
        <v>193.1</v>
      </c>
      <c r="I7275" t="str">
        <f>"NORALAM BINTI MAJELIS"</f>
        <v>NORALAM BINTI MAJELIS</v>
      </c>
      <c r="J7275" t="str">
        <f t="shared" si="2971"/>
        <v>BANK SIMPANAN NASIONAL</v>
      </c>
      <c r="K7275" t="str">
        <f>"1311929833988421"</f>
        <v>1311929833988421</v>
      </c>
      <c r="L7275" t="str">
        <f t="shared" si="2974"/>
        <v>04-08-2020</v>
      </c>
      <c r="M7275" t="str">
        <f t="shared" si="2974"/>
        <v>04-08-2020</v>
      </c>
      <c r="N7275" t="str">
        <f t="shared" si="2958"/>
        <v>001105018356</v>
      </c>
      <c r="O7275" t="str">
        <f t="shared" si="2959"/>
        <v>MYR</v>
      </c>
      <c r="P7275" t="str">
        <f t="shared" si="2975"/>
        <v>NIL</v>
      </c>
      <c r="Q7275" t="str">
        <f t="shared" si="2975"/>
        <v>NIL</v>
      </c>
      <c r="R7275" t="str">
        <f t="shared" si="2972"/>
        <v>Accepted</v>
      </c>
      <c r="S7275" t="str">
        <f t="shared" si="2960"/>
        <v>Approved</v>
      </c>
      <c r="T7275" t="str">
        <f t="shared" si="2973"/>
        <v>10.20.8.188</v>
      </c>
      <c r="U7275" t="str">
        <f t="shared" si="2961"/>
        <v>AZRAD UMAR BIN SHAARI</v>
      </c>
      <c r="V7275" t="str">
        <f t="shared" si="2962"/>
        <v>FARHANA BINTI MUSTAPA</v>
      </c>
      <c r="W7275" t="str">
        <f t="shared" si="2963"/>
        <v>04-08-2020</v>
      </c>
      <c r="X7275" t="str">
        <f t="shared" si="2964"/>
        <v>RAZIMAH ANSAR AHMAD</v>
      </c>
      <c r="Y7275" t="str">
        <f t="shared" si="2965"/>
        <v>04-08-2020</v>
      </c>
      <c r="Z7275" t="str">
        <f>"COS10200804 1879"</f>
        <v>COS10200804 1879</v>
      </c>
    </row>
    <row r="7276" spans="1:26" x14ac:dyDescent="0.25">
      <c r="A7276" t="str">
        <f t="shared" si="2969"/>
        <v>04-08-2020 12:35:42</v>
      </c>
      <c r="B7276" t="str">
        <f>"0000803634"</f>
        <v>0000803634</v>
      </c>
      <c r="C7276" t="str">
        <f t="shared" si="2970"/>
        <v>0000803555</v>
      </c>
      <c r="D7276" t="str">
        <f t="shared" si="2955"/>
        <v>73185</v>
      </c>
      <c r="E7276" t="str">
        <f t="shared" si="2956"/>
        <v>KFH-OPERATIONS DEPARTMENT</v>
      </c>
      <c r="F7276" t="str">
        <f t="shared" si="2957"/>
        <v>IBG</v>
      </c>
      <c r="G7276" t="str">
        <f t="shared" si="2966"/>
        <v>Refund COSHARE 10</v>
      </c>
      <c r="H7276" s="2">
        <v>839.5</v>
      </c>
      <c r="I7276" t="str">
        <f>"NORAKARTINA BINTI SAKRI"</f>
        <v>NORAKARTINA BINTI SAKRI</v>
      </c>
      <c r="J7276" t="str">
        <f t="shared" si="2971"/>
        <v>BANK SIMPANAN NASIONAL</v>
      </c>
      <c r="K7276" t="str">
        <f>"0610529817595170"</f>
        <v>0610529817595170</v>
      </c>
      <c r="L7276" t="str">
        <f t="shared" si="2974"/>
        <v>04-08-2020</v>
      </c>
      <c r="M7276" t="str">
        <f t="shared" si="2974"/>
        <v>04-08-2020</v>
      </c>
      <c r="N7276" t="str">
        <f t="shared" si="2958"/>
        <v>001105018356</v>
      </c>
      <c r="O7276" t="str">
        <f t="shared" si="2959"/>
        <v>MYR</v>
      </c>
      <c r="P7276" t="str">
        <f t="shared" si="2975"/>
        <v>NIL</v>
      </c>
      <c r="Q7276" t="str">
        <f t="shared" si="2975"/>
        <v>NIL</v>
      </c>
      <c r="R7276" t="str">
        <f t="shared" si="2972"/>
        <v>Accepted</v>
      </c>
      <c r="S7276" t="str">
        <f t="shared" si="2960"/>
        <v>Approved</v>
      </c>
      <c r="T7276" t="str">
        <f t="shared" si="2973"/>
        <v>10.20.8.188</v>
      </c>
      <c r="U7276" t="str">
        <f t="shared" si="2961"/>
        <v>AZRAD UMAR BIN SHAARI</v>
      </c>
      <c r="V7276" t="str">
        <f t="shared" si="2962"/>
        <v>FARHANA BINTI MUSTAPA</v>
      </c>
      <c r="W7276" t="str">
        <f t="shared" si="2963"/>
        <v>04-08-2020</v>
      </c>
      <c r="X7276" t="str">
        <f t="shared" si="2964"/>
        <v>RAZIMAH ANSAR AHMAD</v>
      </c>
      <c r="Y7276" t="str">
        <f t="shared" si="2965"/>
        <v>04-08-2020</v>
      </c>
      <c r="Z7276" t="str">
        <f>"COS10200804 1878"</f>
        <v>COS10200804 1878</v>
      </c>
    </row>
    <row r="7277" spans="1:26" x14ac:dyDescent="0.25">
      <c r="A7277" t="str">
        <f t="shared" si="2969"/>
        <v>04-08-2020 12:35:42</v>
      </c>
      <c r="B7277" t="str">
        <f>"0000803633"</f>
        <v>0000803633</v>
      </c>
      <c r="C7277" t="str">
        <f t="shared" si="2970"/>
        <v>0000803555</v>
      </c>
      <c r="D7277" t="str">
        <f t="shared" si="2955"/>
        <v>73185</v>
      </c>
      <c r="E7277" t="str">
        <f t="shared" si="2956"/>
        <v>KFH-OPERATIONS DEPARTMENT</v>
      </c>
      <c r="F7277" t="str">
        <f t="shared" si="2957"/>
        <v>IBG</v>
      </c>
      <c r="G7277" t="str">
        <f t="shared" si="2966"/>
        <v>Refund COSHARE 10</v>
      </c>
      <c r="H7277" s="2">
        <v>1175.3</v>
      </c>
      <c r="I7277" t="str">
        <f>"NORAINI BINTI MOHD ARIFFIN"</f>
        <v>NORAINI BINTI MOHD ARIFFIN</v>
      </c>
      <c r="J7277" t="str">
        <f t="shared" si="2971"/>
        <v>BANK SIMPANAN NASIONAL</v>
      </c>
      <c r="K7277" t="str">
        <f>"0610029836676057"</f>
        <v>0610029836676057</v>
      </c>
      <c r="L7277" t="str">
        <f t="shared" si="2974"/>
        <v>04-08-2020</v>
      </c>
      <c r="M7277" t="str">
        <f t="shared" si="2974"/>
        <v>04-08-2020</v>
      </c>
      <c r="N7277" t="str">
        <f t="shared" si="2958"/>
        <v>001105018356</v>
      </c>
      <c r="O7277" t="str">
        <f t="shared" si="2959"/>
        <v>MYR</v>
      </c>
      <c r="P7277" t="str">
        <f t="shared" si="2975"/>
        <v>NIL</v>
      </c>
      <c r="Q7277" t="str">
        <f t="shared" si="2975"/>
        <v>NIL</v>
      </c>
      <c r="R7277" t="str">
        <f t="shared" si="2972"/>
        <v>Accepted</v>
      </c>
      <c r="S7277" t="str">
        <f t="shared" si="2960"/>
        <v>Approved</v>
      </c>
      <c r="T7277" t="str">
        <f t="shared" si="2973"/>
        <v>10.20.8.188</v>
      </c>
      <c r="U7277" t="str">
        <f t="shared" si="2961"/>
        <v>AZRAD UMAR BIN SHAARI</v>
      </c>
      <c r="V7277" t="str">
        <f t="shared" si="2962"/>
        <v>FARHANA BINTI MUSTAPA</v>
      </c>
      <c r="W7277" t="str">
        <f t="shared" si="2963"/>
        <v>04-08-2020</v>
      </c>
      <c r="X7277" t="str">
        <f t="shared" si="2964"/>
        <v>RAZIMAH ANSAR AHMAD</v>
      </c>
      <c r="Y7277" t="str">
        <f t="shared" si="2965"/>
        <v>04-08-2020</v>
      </c>
      <c r="Z7277" t="str">
        <f>"COS10200804 1877"</f>
        <v>COS10200804 1877</v>
      </c>
    </row>
    <row r="7278" spans="1:26" x14ac:dyDescent="0.25">
      <c r="A7278" t="str">
        <f t="shared" si="2969"/>
        <v>04-08-2020 12:35:42</v>
      </c>
      <c r="B7278" t="str">
        <f>"0000803632"</f>
        <v>0000803632</v>
      </c>
      <c r="C7278" t="str">
        <f t="shared" si="2970"/>
        <v>0000803555</v>
      </c>
      <c r="D7278" t="str">
        <f t="shared" si="2955"/>
        <v>73185</v>
      </c>
      <c r="E7278" t="str">
        <f t="shared" si="2956"/>
        <v>KFH-OPERATIONS DEPARTMENT</v>
      </c>
      <c r="F7278" t="str">
        <f t="shared" si="2957"/>
        <v>IBG</v>
      </c>
      <c r="G7278" t="str">
        <f t="shared" si="2966"/>
        <v>Refund COSHARE 10</v>
      </c>
      <c r="H7278" s="2">
        <v>491</v>
      </c>
      <c r="I7278" t="str">
        <f>"NORAIHAN BINTI ZAINOL A ABIDIN"</f>
        <v>NORAIHAN BINTI ZAINOL A ABIDIN</v>
      </c>
      <c r="J7278" t="str">
        <f t="shared" si="2971"/>
        <v>BANK SIMPANAN NASIONAL</v>
      </c>
      <c r="K7278" t="str">
        <f>"0880029880040795"</f>
        <v>0880029880040795</v>
      </c>
      <c r="L7278" t="str">
        <f t="shared" si="2974"/>
        <v>04-08-2020</v>
      </c>
      <c r="M7278" t="str">
        <f t="shared" si="2974"/>
        <v>04-08-2020</v>
      </c>
      <c r="N7278" t="str">
        <f t="shared" si="2958"/>
        <v>001105018356</v>
      </c>
      <c r="O7278" t="str">
        <f t="shared" si="2959"/>
        <v>MYR</v>
      </c>
      <c r="P7278" t="str">
        <f t="shared" si="2975"/>
        <v>NIL</v>
      </c>
      <c r="Q7278" t="str">
        <f t="shared" si="2975"/>
        <v>NIL</v>
      </c>
      <c r="R7278" t="str">
        <f t="shared" si="2972"/>
        <v>Accepted</v>
      </c>
      <c r="S7278" t="str">
        <f t="shared" si="2960"/>
        <v>Approved</v>
      </c>
      <c r="T7278" t="str">
        <f t="shared" si="2973"/>
        <v>10.20.8.188</v>
      </c>
      <c r="U7278" t="str">
        <f t="shared" si="2961"/>
        <v>AZRAD UMAR BIN SHAARI</v>
      </c>
      <c r="V7278" t="str">
        <f t="shared" si="2962"/>
        <v>FARHANA BINTI MUSTAPA</v>
      </c>
      <c r="W7278" t="str">
        <f t="shared" si="2963"/>
        <v>04-08-2020</v>
      </c>
      <c r="X7278" t="str">
        <f t="shared" si="2964"/>
        <v>RAZIMAH ANSAR AHMAD</v>
      </c>
      <c r="Y7278" t="str">
        <f t="shared" si="2965"/>
        <v>04-08-2020</v>
      </c>
      <c r="Z7278" t="str">
        <f>"COS10200804 1876"</f>
        <v>COS10200804 1876</v>
      </c>
    </row>
    <row r="7279" spans="1:26" x14ac:dyDescent="0.25">
      <c r="A7279" t="str">
        <f t="shared" si="2969"/>
        <v>04-08-2020 12:35:42</v>
      </c>
      <c r="B7279" t="str">
        <f>"0000803631"</f>
        <v>0000803631</v>
      </c>
      <c r="C7279" t="str">
        <f t="shared" si="2970"/>
        <v>0000803555</v>
      </c>
      <c r="D7279" t="str">
        <f t="shared" si="2955"/>
        <v>73185</v>
      </c>
      <c r="E7279" t="str">
        <f t="shared" si="2956"/>
        <v>KFH-OPERATIONS DEPARTMENT</v>
      </c>
      <c r="F7279" t="str">
        <f t="shared" si="2957"/>
        <v>IBG</v>
      </c>
      <c r="G7279" t="str">
        <f t="shared" si="2966"/>
        <v>Refund COSHARE 10</v>
      </c>
      <c r="H7279" s="2">
        <v>607</v>
      </c>
      <c r="I7279" t="str">
        <f>"NORAHAFIZAH BINTI ABD RAZAK"</f>
        <v>NORAHAFIZAH BINTI ABD RAZAK</v>
      </c>
      <c r="J7279" t="str">
        <f t="shared" si="2971"/>
        <v>BANK SIMPANAN NASIONAL</v>
      </c>
      <c r="K7279" t="str">
        <f>"0620029000180377"</f>
        <v>0620029000180377</v>
      </c>
      <c r="L7279" t="str">
        <f t="shared" si="2974"/>
        <v>04-08-2020</v>
      </c>
      <c r="M7279" t="str">
        <f t="shared" si="2974"/>
        <v>04-08-2020</v>
      </c>
      <c r="N7279" t="str">
        <f t="shared" si="2958"/>
        <v>001105018356</v>
      </c>
      <c r="O7279" t="str">
        <f t="shared" si="2959"/>
        <v>MYR</v>
      </c>
      <c r="P7279" t="str">
        <f t="shared" si="2975"/>
        <v>NIL</v>
      </c>
      <c r="Q7279" t="str">
        <f t="shared" si="2975"/>
        <v>NIL</v>
      </c>
      <c r="R7279" t="str">
        <f t="shared" si="2972"/>
        <v>Accepted</v>
      </c>
      <c r="S7279" t="str">
        <f t="shared" si="2960"/>
        <v>Approved</v>
      </c>
      <c r="T7279" t="str">
        <f t="shared" si="2973"/>
        <v>10.20.8.188</v>
      </c>
      <c r="U7279" t="str">
        <f t="shared" si="2961"/>
        <v>AZRAD UMAR BIN SHAARI</v>
      </c>
      <c r="V7279" t="str">
        <f t="shared" si="2962"/>
        <v>FARHANA BINTI MUSTAPA</v>
      </c>
      <c r="W7279" t="str">
        <f t="shared" si="2963"/>
        <v>04-08-2020</v>
      </c>
      <c r="X7279" t="str">
        <f t="shared" si="2964"/>
        <v>RAZIMAH ANSAR AHMAD</v>
      </c>
      <c r="Y7279" t="str">
        <f t="shared" si="2965"/>
        <v>04-08-2020</v>
      </c>
      <c r="Z7279" t="str">
        <f>"COS10200804 1875"</f>
        <v>COS10200804 1875</v>
      </c>
    </row>
    <row r="7280" spans="1:26" x14ac:dyDescent="0.25">
      <c r="A7280" t="str">
        <f t="shared" si="2969"/>
        <v>04-08-2020 12:35:42</v>
      </c>
      <c r="B7280" t="str">
        <f>"0000803630"</f>
        <v>0000803630</v>
      </c>
      <c r="C7280" t="str">
        <f t="shared" si="2970"/>
        <v>0000803555</v>
      </c>
      <c r="D7280" t="str">
        <f t="shared" si="2955"/>
        <v>73185</v>
      </c>
      <c r="E7280" t="str">
        <f t="shared" si="2956"/>
        <v>KFH-OPERATIONS DEPARTMENT</v>
      </c>
      <c r="F7280" t="str">
        <f t="shared" si="2957"/>
        <v>IBG</v>
      </c>
      <c r="G7280" t="str">
        <f t="shared" si="2966"/>
        <v>Refund COSHARE 10</v>
      </c>
      <c r="H7280" s="2">
        <v>357</v>
      </c>
      <c r="I7280" t="str">
        <f>"NOR SURIATUN SIANA BINTI MD ISA"</f>
        <v>NOR SURIATUN SIANA BINTI MD ISA</v>
      </c>
      <c r="J7280" t="str">
        <f t="shared" si="2971"/>
        <v>BANK SIMPANAN NASIONAL</v>
      </c>
      <c r="K7280" t="str">
        <f>"0821129000120465"</f>
        <v>0821129000120465</v>
      </c>
      <c r="L7280" t="str">
        <f t="shared" si="2974"/>
        <v>04-08-2020</v>
      </c>
      <c r="M7280" t="str">
        <f t="shared" si="2974"/>
        <v>04-08-2020</v>
      </c>
      <c r="N7280" t="str">
        <f t="shared" si="2958"/>
        <v>001105018356</v>
      </c>
      <c r="O7280" t="str">
        <f t="shared" si="2959"/>
        <v>MYR</v>
      </c>
      <c r="P7280" t="str">
        <f t="shared" si="2975"/>
        <v>NIL</v>
      </c>
      <c r="Q7280" t="str">
        <f t="shared" si="2975"/>
        <v>NIL</v>
      </c>
      <c r="R7280" t="str">
        <f t="shared" si="2972"/>
        <v>Accepted</v>
      </c>
      <c r="S7280" t="str">
        <f t="shared" si="2960"/>
        <v>Approved</v>
      </c>
      <c r="T7280" t="str">
        <f t="shared" si="2973"/>
        <v>10.20.8.188</v>
      </c>
      <c r="U7280" t="str">
        <f t="shared" si="2961"/>
        <v>AZRAD UMAR BIN SHAARI</v>
      </c>
      <c r="V7280" t="str">
        <f t="shared" si="2962"/>
        <v>FARHANA BINTI MUSTAPA</v>
      </c>
      <c r="W7280" t="str">
        <f t="shared" si="2963"/>
        <v>04-08-2020</v>
      </c>
      <c r="X7280" t="str">
        <f t="shared" si="2964"/>
        <v>RAZIMAH ANSAR AHMAD</v>
      </c>
      <c r="Y7280" t="str">
        <f t="shared" si="2965"/>
        <v>04-08-2020</v>
      </c>
      <c r="Z7280" t="str">
        <f>"COS10200804 1874"</f>
        <v>COS10200804 1874</v>
      </c>
    </row>
    <row r="7281" spans="1:26" x14ac:dyDescent="0.25">
      <c r="A7281" t="str">
        <f t="shared" si="2969"/>
        <v>04-08-2020 12:35:42</v>
      </c>
      <c r="B7281" t="str">
        <f>"0000803629"</f>
        <v>0000803629</v>
      </c>
      <c r="C7281" t="str">
        <f t="shared" si="2970"/>
        <v>0000803555</v>
      </c>
      <c r="D7281" t="str">
        <f t="shared" si="2955"/>
        <v>73185</v>
      </c>
      <c r="E7281" t="str">
        <f t="shared" si="2956"/>
        <v>KFH-OPERATIONS DEPARTMENT</v>
      </c>
      <c r="F7281" t="str">
        <f t="shared" si="2957"/>
        <v>IBG</v>
      </c>
      <c r="G7281" t="str">
        <f t="shared" si="2966"/>
        <v>Refund COSHARE 10</v>
      </c>
      <c r="H7281" s="2">
        <v>1050.6500000000001</v>
      </c>
      <c r="I7281" t="str">
        <f>"NOR SALINAH BINTI HARON"</f>
        <v>NOR SALINAH BINTI HARON</v>
      </c>
      <c r="J7281" t="str">
        <f t="shared" si="2971"/>
        <v>BANK SIMPANAN NASIONAL</v>
      </c>
      <c r="K7281" t="str">
        <f>"0112229860281637"</f>
        <v>0112229860281637</v>
      </c>
      <c r="L7281" t="str">
        <f t="shared" si="2974"/>
        <v>04-08-2020</v>
      </c>
      <c r="M7281" t="str">
        <f t="shared" si="2974"/>
        <v>04-08-2020</v>
      </c>
      <c r="N7281" t="str">
        <f t="shared" si="2958"/>
        <v>001105018356</v>
      </c>
      <c r="O7281" t="str">
        <f t="shared" si="2959"/>
        <v>MYR</v>
      </c>
      <c r="P7281" t="str">
        <f t="shared" si="2975"/>
        <v>NIL</v>
      </c>
      <c r="Q7281" t="str">
        <f t="shared" si="2975"/>
        <v>NIL</v>
      </c>
      <c r="R7281" t="str">
        <f t="shared" si="2972"/>
        <v>Accepted</v>
      </c>
      <c r="S7281" t="str">
        <f t="shared" si="2960"/>
        <v>Approved</v>
      </c>
      <c r="T7281" t="str">
        <f t="shared" si="2973"/>
        <v>10.20.8.188</v>
      </c>
      <c r="U7281" t="str">
        <f t="shared" si="2961"/>
        <v>AZRAD UMAR BIN SHAARI</v>
      </c>
      <c r="V7281" t="str">
        <f t="shared" si="2962"/>
        <v>FARHANA BINTI MUSTAPA</v>
      </c>
      <c r="W7281" t="str">
        <f t="shared" si="2963"/>
        <v>04-08-2020</v>
      </c>
      <c r="X7281" t="str">
        <f t="shared" si="2964"/>
        <v>RAZIMAH ANSAR AHMAD</v>
      </c>
      <c r="Y7281" t="str">
        <f t="shared" si="2965"/>
        <v>04-08-2020</v>
      </c>
      <c r="Z7281" t="str">
        <f>"COS10200804 1873"</f>
        <v>COS10200804 1873</v>
      </c>
    </row>
    <row r="7282" spans="1:26" x14ac:dyDescent="0.25">
      <c r="A7282" t="str">
        <f t="shared" ref="A7282:A7313" si="2976">"04-08-2020 12:35:42"</f>
        <v>04-08-2020 12:35:42</v>
      </c>
      <c r="B7282" t="str">
        <f>"0000803628"</f>
        <v>0000803628</v>
      </c>
      <c r="C7282" t="str">
        <f t="shared" ref="C7282:C7313" si="2977">"0000803555"</f>
        <v>0000803555</v>
      </c>
      <c r="D7282" t="str">
        <f t="shared" si="2955"/>
        <v>73185</v>
      </c>
      <c r="E7282" t="str">
        <f t="shared" si="2956"/>
        <v>KFH-OPERATIONS DEPARTMENT</v>
      </c>
      <c r="F7282" t="str">
        <f t="shared" si="2957"/>
        <v>IBG</v>
      </c>
      <c r="G7282" t="str">
        <f t="shared" si="2966"/>
        <v>Refund COSHARE 10</v>
      </c>
      <c r="H7282" s="2">
        <v>251.85</v>
      </c>
      <c r="I7282" t="str">
        <f>"NOR NAJMAN BIN DAUD"</f>
        <v>NOR NAJMAN BIN DAUD</v>
      </c>
      <c r="J7282" t="str">
        <f t="shared" si="2971"/>
        <v>BANK SIMPANAN NASIONAL</v>
      </c>
      <c r="K7282" t="str">
        <f>"1416429000022940"</f>
        <v>1416429000022940</v>
      </c>
      <c r="L7282" t="str">
        <f t="shared" si="2974"/>
        <v>04-08-2020</v>
      </c>
      <c r="M7282" t="str">
        <f t="shared" si="2974"/>
        <v>04-08-2020</v>
      </c>
      <c r="N7282" t="str">
        <f t="shared" si="2958"/>
        <v>001105018356</v>
      </c>
      <c r="O7282" t="str">
        <f t="shared" si="2959"/>
        <v>MYR</v>
      </c>
      <c r="P7282" t="str">
        <f t="shared" si="2975"/>
        <v>NIL</v>
      </c>
      <c r="Q7282" t="str">
        <f t="shared" si="2975"/>
        <v>NIL</v>
      </c>
      <c r="R7282" t="str">
        <f t="shared" si="2972"/>
        <v>Accepted</v>
      </c>
      <c r="S7282" t="str">
        <f t="shared" si="2960"/>
        <v>Approved</v>
      </c>
      <c r="T7282" t="str">
        <f t="shared" si="2973"/>
        <v>10.20.8.188</v>
      </c>
      <c r="U7282" t="str">
        <f t="shared" si="2961"/>
        <v>AZRAD UMAR BIN SHAARI</v>
      </c>
      <c r="V7282" t="str">
        <f t="shared" si="2962"/>
        <v>FARHANA BINTI MUSTAPA</v>
      </c>
      <c r="W7282" t="str">
        <f t="shared" si="2963"/>
        <v>04-08-2020</v>
      </c>
      <c r="X7282" t="str">
        <f t="shared" si="2964"/>
        <v>RAZIMAH ANSAR AHMAD</v>
      </c>
      <c r="Y7282" t="str">
        <f t="shared" si="2965"/>
        <v>04-08-2020</v>
      </c>
      <c r="Z7282" t="str">
        <f>"COS10200804 1872"</f>
        <v>COS10200804 1872</v>
      </c>
    </row>
    <row r="7283" spans="1:26" x14ac:dyDescent="0.25">
      <c r="A7283" t="str">
        <f t="shared" si="2976"/>
        <v>04-08-2020 12:35:42</v>
      </c>
      <c r="B7283" t="str">
        <f>"0000803627"</f>
        <v>0000803627</v>
      </c>
      <c r="C7283" t="str">
        <f t="shared" si="2977"/>
        <v>0000803555</v>
      </c>
      <c r="D7283" t="str">
        <f t="shared" si="2955"/>
        <v>73185</v>
      </c>
      <c r="E7283" t="str">
        <f t="shared" si="2956"/>
        <v>KFH-OPERATIONS DEPARTMENT</v>
      </c>
      <c r="F7283" t="str">
        <f t="shared" si="2957"/>
        <v>IBG</v>
      </c>
      <c r="G7283" t="str">
        <f t="shared" si="2966"/>
        <v>Refund COSHARE 10</v>
      </c>
      <c r="H7283" s="2">
        <v>722.85</v>
      </c>
      <c r="I7283" t="str">
        <f>"NOR IZZAM BIN MOHAMED NURI"</f>
        <v>NOR IZZAM BIN MOHAMED NURI</v>
      </c>
      <c r="J7283" t="str">
        <f t="shared" si="2971"/>
        <v>BANK SIMPANAN NASIONAL</v>
      </c>
      <c r="K7283" t="str">
        <f>"0610029833491431"</f>
        <v>0610029833491431</v>
      </c>
      <c r="L7283" t="str">
        <f t="shared" si="2974"/>
        <v>04-08-2020</v>
      </c>
      <c r="M7283" t="str">
        <f t="shared" si="2974"/>
        <v>04-08-2020</v>
      </c>
      <c r="N7283" t="str">
        <f t="shared" si="2958"/>
        <v>001105018356</v>
      </c>
      <c r="O7283" t="str">
        <f t="shared" si="2959"/>
        <v>MYR</v>
      </c>
      <c r="P7283" t="str">
        <f t="shared" si="2975"/>
        <v>NIL</v>
      </c>
      <c r="Q7283" t="str">
        <f t="shared" si="2975"/>
        <v>NIL</v>
      </c>
      <c r="R7283" t="str">
        <f t="shared" si="2972"/>
        <v>Accepted</v>
      </c>
      <c r="S7283" t="str">
        <f t="shared" si="2960"/>
        <v>Approved</v>
      </c>
      <c r="T7283" t="str">
        <f t="shared" si="2973"/>
        <v>10.20.8.188</v>
      </c>
      <c r="U7283" t="str">
        <f t="shared" si="2961"/>
        <v>AZRAD UMAR BIN SHAARI</v>
      </c>
      <c r="V7283" t="str">
        <f t="shared" si="2962"/>
        <v>FARHANA BINTI MUSTAPA</v>
      </c>
      <c r="W7283" t="str">
        <f t="shared" si="2963"/>
        <v>04-08-2020</v>
      </c>
      <c r="X7283" t="str">
        <f t="shared" si="2964"/>
        <v>RAZIMAH ANSAR AHMAD</v>
      </c>
      <c r="Y7283" t="str">
        <f t="shared" si="2965"/>
        <v>04-08-2020</v>
      </c>
      <c r="Z7283" t="str">
        <f>"COS10200804 1871"</f>
        <v>COS10200804 1871</v>
      </c>
    </row>
    <row r="7284" spans="1:26" x14ac:dyDescent="0.25">
      <c r="A7284" t="str">
        <f t="shared" si="2976"/>
        <v>04-08-2020 12:35:42</v>
      </c>
      <c r="B7284" t="str">
        <f>"0000803626"</f>
        <v>0000803626</v>
      </c>
      <c r="C7284" t="str">
        <f t="shared" si="2977"/>
        <v>0000803555</v>
      </c>
      <c r="D7284" t="str">
        <f t="shared" si="2955"/>
        <v>73185</v>
      </c>
      <c r="E7284" t="str">
        <f t="shared" si="2956"/>
        <v>KFH-OPERATIONS DEPARTMENT</v>
      </c>
      <c r="F7284" t="str">
        <f t="shared" si="2957"/>
        <v>IBG</v>
      </c>
      <c r="G7284" t="str">
        <f t="shared" si="2966"/>
        <v>Refund COSHARE 10</v>
      </c>
      <c r="H7284" s="2">
        <v>193.1</v>
      </c>
      <c r="I7284" t="str">
        <f>"NOR ILLANI BINTI RAMLEE"</f>
        <v>NOR ILLANI BINTI RAMLEE</v>
      </c>
      <c r="J7284" t="str">
        <f t="shared" si="2971"/>
        <v>BANK SIMPANAN NASIONAL</v>
      </c>
      <c r="K7284" t="str">
        <f>"0310929000120116"</f>
        <v>0310929000120116</v>
      </c>
      <c r="L7284" t="str">
        <f t="shared" si="2974"/>
        <v>04-08-2020</v>
      </c>
      <c r="M7284" t="str">
        <f t="shared" si="2974"/>
        <v>04-08-2020</v>
      </c>
      <c r="N7284" t="str">
        <f t="shared" si="2958"/>
        <v>001105018356</v>
      </c>
      <c r="O7284" t="str">
        <f t="shared" si="2959"/>
        <v>MYR</v>
      </c>
      <c r="P7284" t="str">
        <f t="shared" si="2975"/>
        <v>NIL</v>
      </c>
      <c r="Q7284" t="str">
        <f t="shared" si="2975"/>
        <v>NIL</v>
      </c>
      <c r="R7284" t="str">
        <f t="shared" si="2972"/>
        <v>Accepted</v>
      </c>
      <c r="S7284" t="str">
        <f t="shared" si="2960"/>
        <v>Approved</v>
      </c>
      <c r="T7284" t="str">
        <f t="shared" si="2973"/>
        <v>10.20.8.188</v>
      </c>
      <c r="U7284" t="str">
        <f t="shared" si="2961"/>
        <v>AZRAD UMAR BIN SHAARI</v>
      </c>
      <c r="V7284" t="str">
        <f t="shared" si="2962"/>
        <v>FARHANA BINTI MUSTAPA</v>
      </c>
      <c r="W7284" t="str">
        <f t="shared" si="2963"/>
        <v>04-08-2020</v>
      </c>
      <c r="X7284" t="str">
        <f t="shared" si="2964"/>
        <v>RAZIMAH ANSAR AHMAD</v>
      </c>
      <c r="Y7284" t="str">
        <f t="shared" si="2965"/>
        <v>04-08-2020</v>
      </c>
      <c r="Z7284" t="str">
        <f>"COS10200804 1870"</f>
        <v>COS10200804 1870</v>
      </c>
    </row>
    <row r="7285" spans="1:26" x14ac:dyDescent="0.25">
      <c r="A7285" t="str">
        <f t="shared" si="2976"/>
        <v>04-08-2020 12:35:42</v>
      </c>
      <c r="B7285" t="str">
        <f>"0000803625"</f>
        <v>0000803625</v>
      </c>
      <c r="C7285" t="str">
        <f t="shared" si="2977"/>
        <v>0000803555</v>
      </c>
      <c r="D7285" t="str">
        <f t="shared" si="2955"/>
        <v>73185</v>
      </c>
      <c r="E7285" t="str">
        <f t="shared" si="2956"/>
        <v>KFH-OPERATIONS DEPARTMENT</v>
      </c>
      <c r="F7285" t="str">
        <f t="shared" si="2957"/>
        <v>IBG</v>
      </c>
      <c r="G7285" t="str">
        <f t="shared" si="2966"/>
        <v>Refund COSHARE 10</v>
      </c>
      <c r="H7285" s="2">
        <v>167.9</v>
      </c>
      <c r="I7285" t="str">
        <f>"NOR HASLIZA BINTI ABDUL RASHID"</f>
        <v>NOR HASLIZA BINTI ABDUL RASHID</v>
      </c>
      <c r="J7285" t="str">
        <f t="shared" si="2971"/>
        <v>BANK SIMPANAN NASIONAL</v>
      </c>
      <c r="K7285" t="str">
        <f>"0212529845052537"</f>
        <v>0212529845052537</v>
      </c>
      <c r="L7285" t="str">
        <f t="shared" si="2974"/>
        <v>04-08-2020</v>
      </c>
      <c r="M7285" t="str">
        <f t="shared" si="2974"/>
        <v>04-08-2020</v>
      </c>
      <c r="N7285" t="str">
        <f t="shared" si="2958"/>
        <v>001105018356</v>
      </c>
      <c r="O7285" t="str">
        <f t="shared" si="2959"/>
        <v>MYR</v>
      </c>
      <c r="P7285" t="str">
        <f t="shared" si="2975"/>
        <v>NIL</v>
      </c>
      <c r="Q7285" t="str">
        <f t="shared" si="2975"/>
        <v>NIL</v>
      </c>
      <c r="R7285" t="str">
        <f t="shared" si="2972"/>
        <v>Accepted</v>
      </c>
      <c r="S7285" t="str">
        <f t="shared" si="2960"/>
        <v>Approved</v>
      </c>
      <c r="T7285" t="str">
        <f t="shared" si="2973"/>
        <v>10.20.8.188</v>
      </c>
      <c r="U7285" t="str">
        <f t="shared" si="2961"/>
        <v>AZRAD UMAR BIN SHAARI</v>
      </c>
      <c r="V7285" t="str">
        <f t="shared" si="2962"/>
        <v>FARHANA BINTI MUSTAPA</v>
      </c>
      <c r="W7285" t="str">
        <f t="shared" si="2963"/>
        <v>04-08-2020</v>
      </c>
      <c r="X7285" t="str">
        <f t="shared" si="2964"/>
        <v>RAZIMAH ANSAR AHMAD</v>
      </c>
      <c r="Y7285" t="str">
        <f t="shared" si="2965"/>
        <v>04-08-2020</v>
      </c>
      <c r="Z7285" t="str">
        <f>"COS10200804 1869"</f>
        <v>COS10200804 1869</v>
      </c>
    </row>
    <row r="7286" spans="1:26" x14ac:dyDescent="0.25">
      <c r="A7286" t="str">
        <f t="shared" si="2976"/>
        <v>04-08-2020 12:35:42</v>
      </c>
      <c r="B7286" t="str">
        <f>"0000803624"</f>
        <v>0000803624</v>
      </c>
      <c r="C7286" t="str">
        <f t="shared" si="2977"/>
        <v>0000803555</v>
      </c>
      <c r="D7286" t="str">
        <f t="shared" si="2955"/>
        <v>73185</v>
      </c>
      <c r="E7286" t="str">
        <f t="shared" si="2956"/>
        <v>KFH-OPERATIONS DEPARTMENT</v>
      </c>
      <c r="F7286" t="str">
        <f t="shared" si="2957"/>
        <v>IBG</v>
      </c>
      <c r="G7286" t="str">
        <f t="shared" si="2966"/>
        <v>Refund COSHARE 10</v>
      </c>
      <c r="H7286" s="2">
        <v>1325.15</v>
      </c>
      <c r="I7286" t="str">
        <f>"NOR HASHIMAH BINTI HARON"</f>
        <v>NOR HASHIMAH BINTI HARON</v>
      </c>
      <c r="J7286" t="str">
        <f t="shared" si="2971"/>
        <v>BANK SIMPANAN NASIONAL</v>
      </c>
      <c r="K7286" t="str">
        <f>"1014629877929495"</f>
        <v>1014629877929495</v>
      </c>
      <c r="L7286" t="str">
        <f t="shared" si="2974"/>
        <v>04-08-2020</v>
      </c>
      <c r="M7286" t="str">
        <f t="shared" si="2974"/>
        <v>04-08-2020</v>
      </c>
      <c r="N7286" t="str">
        <f t="shared" si="2958"/>
        <v>001105018356</v>
      </c>
      <c r="O7286" t="str">
        <f t="shared" si="2959"/>
        <v>MYR</v>
      </c>
      <c r="P7286" t="str">
        <f t="shared" si="2975"/>
        <v>NIL</v>
      </c>
      <c r="Q7286" t="str">
        <f t="shared" si="2975"/>
        <v>NIL</v>
      </c>
      <c r="R7286" t="str">
        <f t="shared" si="2972"/>
        <v>Accepted</v>
      </c>
      <c r="S7286" t="str">
        <f t="shared" si="2960"/>
        <v>Approved</v>
      </c>
      <c r="T7286" t="str">
        <f t="shared" si="2973"/>
        <v>10.20.8.188</v>
      </c>
      <c r="U7286" t="str">
        <f t="shared" si="2961"/>
        <v>AZRAD UMAR BIN SHAARI</v>
      </c>
      <c r="V7286" t="str">
        <f t="shared" si="2962"/>
        <v>FARHANA BINTI MUSTAPA</v>
      </c>
      <c r="W7286" t="str">
        <f t="shared" si="2963"/>
        <v>04-08-2020</v>
      </c>
      <c r="X7286" t="str">
        <f t="shared" si="2964"/>
        <v>RAZIMAH ANSAR AHMAD</v>
      </c>
      <c r="Y7286" t="str">
        <f t="shared" si="2965"/>
        <v>04-08-2020</v>
      </c>
      <c r="Z7286" t="str">
        <f>"COS10200804 1868"</f>
        <v>COS10200804 1868</v>
      </c>
    </row>
    <row r="7287" spans="1:26" x14ac:dyDescent="0.25">
      <c r="A7287" t="str">
        <f t="shared" si="2976"/>
        <v>04-08-2020 12:35:42</v>
      </c>
      <c r="B7287" t="str">
        <f>"0000803623"</f>
        <v>0000803623</v>
      </c>
      <c r="C7287" t="str">
        <f t="shared" si="2977"/>
        <v>0000803555</v>
      </c>
      <c r="D7287" t="str">
        <f t="shared" si="2955"/>
        <v>73185</v>
      </c>
      <c r="E7287" t="str">
        <f t="shared" si="2956"/>
        <v>KFH-OPERATIONS DEPARTMENT</v>
      </c>
      <c r="F7287" t="str">
        <f t="shared" si="2957"/>
        <v>IBG</v>
      </c>
      <c r="G7287" t="str">
        <f t="shared" si="2966"/>
        <v>Refund COSHARE 10</v>
      </c>
      <c r="H7287" s="2">
        <v>1259.25</v>
      </c>
      <c r="I7287" t="str">
        <f>"NOR FAEZAH BINTI ROHMAN"</f>
        <v>NOR FAEZAH BINTI ROHMAN</v>
      </c>
      <c r="J7287" t="str">
        <f t="shared" si="2971"/>
        <v>BANK SIMPANAN NASIONAL</v>
      </c>
      <c r="K7287" t="str">
        <f>"1010029813116244"</f>
        <v>1010029813116244</v>
      </c>
      <c r="L7287" t="str">
        <f t="shared" ref="L7287:M7306" si="2978">"04-08-2020"</f>
        <v>04-08-2020</v>
      </c>
      <c r="M7287" t="str">
        <f t="shared" si="2978"/>
        <v>04-08-2020</v>
      </c>
      <c r="N7287" t="str">
        <f t="shared" si="2958"/>
        <v>001105018356</v>
      </c>
      <c r="O7287" t="str">
        <f t="shared" si="2959"/>
        <v>MYR</v>
      </c>
      <c r="P7287" t="str">
        <f t="shared" ref="P7287:Q7306" si="2979">"NIL"</f>
        <v>NIL</v>
      </c>
      <c r="Q7287" t="str">
        <f t="shared" si="2979"/>
        <v>NIL</v>
      </c>
      <c r="R7287" t="str">
        <f t="shared" si="2972"/>
        <v>Accepted</v>
      </c>
      <c r="S7287" t="str">
        <f t="shared" si="2960"/>
        <v>Approved</v>
      </c>
      <c r="T7287" t="str">
        <f t="shared" si="2973"/>
        <v>10.20.8.188</v>
      </c>
      <c r="U7287" t="str">
        <f t="shared" si="2961"/>
        <v>AZRAD UMAR BIN SHAARI</v>
      </c>
      <c r="V7287" t="str">
        <f t="shared" si="2962"/>
        <v>FARHANA BINTI MUSTAPA</v>
      </c>
      <c r="W7287" t="str">
        <f t="shared" si="2963"/>
        <v>04-08-2020</v>
      </c>
      <c r="X7287" t="str">
        <f t="shared" si="2964"/>
        <v>RAZIMAH ANSAR AHMAD</v>
      </c>
      <c r="Y7287" t="str">
        <f t="shared" si="2965"/>
        <v>04-08-2020</v>
      </c>
      <c r="Z7287" t="str">
        <f>"COS10200804 1867"</f>
        <v>COS10200804 1867</v>
      </c>
    </row>
    <row r="7288" spans="1:26" x14ac:dyDescent="0.25">
      <c r="A7288" t="str">
        <f t="shared" si="2976"/>
        <v>04-08-2020 12:35:42</v>
      </c>
      <c r="B7288" t="str">
        <f>"0000803622"</f>
        <v>0000803622</v>
      </c>
      <c r="C7288" t="str">
        <f t="shared" si="2977"/>
        <v>0000803555</v>
      </c>
      <c r="D7288" t="str">
        <f t="shared" si="2955"/>
        <v>73185</v>
      </c>
      <c r="E7288" t="str">
        <f t="shared" si="2956"/>
        <v>KFH-OPERATIONS DEPARTMENT</v>
      </c>
      <c r="F7288" t="str">
        <f t="shared" si="2957"/>
        <v>IBG</v>
      </c>
      <c r="G7288" t="str">
        <f t="shared" si="2966"/>
        <v>Refund COSHARE 10</v>
      </c>
      <c r="H7288" s="2">
        <v>38</v>
      </c>
      <c r="I7288" t="str">
        <f>"NOR ELYANA BINTI CHIK ROSDI"</f>
        <v>NOR ELYANA BINTI CHIK ROSDI</v>
      </c>
      <c r="J7288" t="str">
        <f t="shared" si="2971"/>
        <v>BANK SIMPANAN NASIONAL</v>
      </c>
      <c r="K7288" t="str">
        <f>"0823729859040988"</f>
        <v>0823729859040988</v>
      </c>
      <c r="L7288" t="str">
        <f t="shared" si="2978"/>
        <v>04-08-2020</v>
      </c>
      <c r="M7288" t="str">
        <f t="shared" si="2978"/>
        <v>04-08-2020</v>
      </c>
      <c r="N7288" t="str">
        <f t="shared" si="2958"/>
        <v>001105018356</v>
      </c>
      <c r="O7288" t="str">
        <f t="shared" si="2959"/>
        <v>MYR</v>
      </c>
      <c r="P7288" t="str">
        <f t="shared" si="2979"/>
        <v>NIL</v>
      </c>
      <c r="Q7288" t="str">
        <f t="shared" si="2979"/>
        <v>NIL</v>
      </c>
      <c r="R7288" t="str">
        <f t="shared" si="2972"/>
        <v>Accepted</v>
      </c>
      <c r="S7288" t="str">
        <f t="shared" si="2960"/>
        <v>Approved</v>
      </c>
      <c r="T7288" t="str">
        <f t="shared" si="2973"/>
        <v>10.20.8.188</v>
      </c>
      <c r="U7288" t="str">
        <f t="shared" si="2961"/>
        <v>AZRAD UMAR BIN SHAARI</v>
      </c>
      <c r="V7288" t="str">
        <f t="shared" si="2962"/>
        <v>FARHANA BINTI MUSTAPA</v>
      </c>
      <c r="W7288" t="str">
        <f t="shared" si="2963"/>
        <v>04-08-2020</v>
      </c>
      <c r="X7288" t="str">
        <f t="shared" si="2964"/>
        <v>RAZIMAH ANSAR AHMAD</v>
      </c>
      <c r="Y7288" t="str">
        <f t="shared" si="2965"/>
        <v>04-08-2020</v>
      </c>
      <c r="Z7288" t="str">
        <f>"COS10200804 1866"</f>
        <v>COS10200804 1866</v>
      </c>
    </row>
    <row r="7289" spans="1:26" x14ac:dyDescent="0.25">
      <c r="A7289" t="str">
        <f t="shared" si="2976"/>
        <v>04-08-2020 12:35:42</v>
      </c>
      <c r="B7289" t="str">
        <f>"0000803621"</f>
        <v>0000803621</v>
      </c>
      <c r="C7289" t="str">
        <f t="shared" si="2977"/>
        <v>0000803555</v>
      </c>
      <c r="D7289" t="str">
        <f t="shared" si="2955"/>
        <v>73185</v>
      </c>
      <c r="E7289" t="str">
        <f t="shared" si="2956"/>
        <v>KFH-OPERATIONS DEPARTMENT</v>
      </c>
      <c r="F7289" t="str">
        <f t="shared" si="2957"/>
        <v>IBG</v>
      </c>
      <c r="G7289" t="str">
        <f t="shared" si="2966"/>
        <v>Refund COSHARE 10</v>
      </c>
      <c r="H7289" s="2">
        <v>209.9</v>
      </c>
      <c r="I7289" t="str">
        <f>"NOR ELYANA BINTI CHIK ROSDI"</f>
        <v>NOR ELYANA BINTI CHIK ROSDI</v>
      </c>
      <c r="J7289" t="str">
        <f t="shared" si="2971"/>
        <v>BANK SIMPANAN NASIONAL</v>
      </c>
      <c r="K7289" t="str">
        <f>"0823729859040988"</f>
        <v>0823729859040988</v>
      </c>
      <c r="L7289" t="str">
        <f t="shared" si="2978"/>
        <v>04-08-2020</v>
      </c>
      <c r="M7289" t="str">
        <f t="shared" si="2978"/>
        <v>04-08-2020</v>
      </c>
      <c r="N7289" t="str">
        <f t="shared" si="2958"/>
        <v>001105018356</v>
      </c>
      <c r="O7289" t="str">
        <f t="shared" si="2959"/>
        <v>MYR</v>
      </c>
      <c r="P7289" t="str">
        <f t="shared" si="2979"/>
        <v>NIL</v>
      </c>
      <c r="Q7289" t="str">
        <f t="shared" si="2979"/>
        <v>NIL</v>
      </c>
      <c r="R7289" t="str">
        <f t="shared" si="2972"/>
        <v>Accepted</v>
      </c>
      <c r="S7289" t="str">
        <f t="shared" si="2960"/>
        <v>Approved</v>
      </c>
      <c r="T7289" t="str">
        <f t="shared" si="2973"/>
        <v>10.20.8.188</v>
      </c>
      <c r="U7289" t="str">
        <f t="shared" si="2961"/>
        <v>AZRAD UMAR BIN SHAARI</v>
      </c>
      <c r="V7289" t="str">
        <f t="shared" si="2962"/>
        <v>FARHANA BINTI MUSTAPA</v>
      </c>
      <c r="W7289" t="str">
        <f t="shared" si="2963"/>
        <v>04-08-2020</v>
      </c>
      <c r="X7289" t="str">
        <f t="shared" si="2964"/>
        <v>RAZIMAH ANSAR AHMAD</v>
      </c>
      <c r="Y7289" t="str">
        <f t="shared" si="2965"/>
        <v>04-08-2020</v>
      </c>
      <c r="Z7289" t="str">
        <f>"COS10200804 1865"</f>
        <v>COS10200804 1865</v>
      </c>
    </row>
    <row r="7290" spans="1:26" x14ac:dyDescent="0.25">
      <c r="A7290" t="str">
        <f t="shared" si="2976"/>
        <v>04-08-2020 12:35:42</v>
      </c>
      <c r="B7290" t="str">
        <f>"0000803620"</f>
        <v>0000803620</v>
      </c>
      <c r="C7290" t="str">
        <f t="shared" si="2977"/>
        <v>0000803555</v>
      </c>
      <c r="D7290" t="str">
        <f t="shared" si="2955"/>
        <v>73185</v>
      </c>
      <c r="E7290" t="str">
        <f t="shared" si="2956"/>
        <v>KFH-OPERATIONS DEPARTMENT</v>
      </c>
      <c r="F7290" t="str">
        <f t="shared" si="2957"/>
        <v>IBG</v>
      </c>
      <c r="G7290" t="str">
        <f t="shared" si="2966"/>
        <v>Refund COSHARE 10</v>
      </c>
      <c r="H7290" s="2">
        <v>600</v>
      </c>
      <c r="I7290" t="str">
        <f>"NOR AZIZAH BINTI ABDUL GHAFFAR"</f>
        <v>NOR AZIZAH BINTI ABDUL GHAFFAR</v>
      </c>
      <c r="J7290" t="str">
        <f t="shared" si="2971"/>
        <v>BANK SIMPANAN NASIONAL</v>
      </c>
      <c r="K7290" t="str">
        <f>"1010029000234318"</f>
        <v>1010029000234318</v>
      </c>
      <c r="L7290" t="str">
        <f t="shared" si="2978"/>
        <v>04-08-2020</v>
      </c>
      <c r="M7290" t="str">
        <f t="shared" si="2978"/>
        <v>04-08-2020</v>
      </c>
      <c r="N7290" t="str">
        <f t="shared" si="2958"/>
        <v>001105018356</v>
      </c>
      <c r="O7290" t="str">
        <f t="shared" si="2959"/>
        <v>MYR</v>
      </c>
      <c r="P7290" t="str">
        <f t="shared" si="2979"/>
        <v>NIL</v>
      </c>
      <c r="Q7290" t="str">
        <f t="shared" si="2979"/>
        <v>NIL</v>
      </c>
      <c r="R7290" t="str">
        <f t="shared" si="2972"/>
        <v>Accepted</v>
      </c>
      <c r="S7290" t="str">
        <f t="shared" si="2960"/>
        <v>Approved</v>
      </c>
      <c r="T7290" t="str">
        <f t="shared" si="2973"/>
        <v>10.20.8.188</v>
      </c>
      <c r="U7290" t="str">
        <f t="shared" si="2961"/>
        <v>AZRAD UMAR BIN SHAARI</v>
      </c>
      <c r="V7290" t="str">
        <f t="shared" si="2962"/>
        <v>FARHANA BINTI MUSTAPA</v>
      </c>
      <c r="W7290" t="str">
        <f t="shared" si="2963"/>
        <v>04-08-2020</v>
      </c>
      <c r="X7290" t="str">
        <f t="shared" si="2964"/>
        <v>RAZIMAH ANSAR AHMAD</v>
      </c>
      <c r="Y7290" t="str">
        <f t="shared" si="2965"/>
        <v>04-08-2020</v>
      </c>
      <c r="Z7290" t="str">
        <f>"COS10200804 1864"</f>
        <v>COS10200804 1864</v>
      </c>
    </row>
    <row r="7291" spans="1:26" x14ac:dyDescent="0.25">
      <c r="A7291" t="str">
        <f t="shared" si="2976"/>
        <v>04-08-2020 12:35:42</v>
      </c>
      <c r="B7291" t="str">
        <f>"0000803619"</f>
        <v>0000803619</v>
      </c>
      <c r="C7291" t="str">
        <f t="shared" si="2977"/>
        <v>0000803555</v>
      </c>
      <c r="D7291" t="str">
        <f t="shared" si="2955"/>
        <v>73185</v>
      </c>
      <c r="E7291" t="str">
        <f t="shared" si="2956"/>
        <v>KFH-OPERATIONS DEPARTMENT</v>
      </c>
      <c r="F7291" t="str">
        <f t="shared" si="2957"/>
        <v>IBG</v>
      </c>
      <c r="G7291" t="str">
        <f t="shared" si="2966"/>
        <v>Refund COSHARE 10</v>
      </c>
      <c r="H7291" s="2">
        <v>1217.3</v>
      </c>
      <c r="I7291" t="str">
        <f>"NOR AZIAN BINTI ZAKARIA"</f>
        <v>NOR AZIAN BINTI ZAKARIA</v>
      </c>
      <c r="J7291" t="str">
        <f t="shared" si="2971"/>
        <v>BANK SIMPANAN NASIONAL</v>
      </c>
      <c r="K7291" t="str">
        <f>"0310029885586516"</f>
        <v>0310029885586516</v>
      </c>
      <c r="L7291" t="str">
        <f t="shared" si="2978"/>
        <v>04-08-2020</v>
      </c>
      <c r="M7291" t="str">
        <f t="shared" si="2978"/>
        <v>04-08-2020</v>
      </c>
      <c r="N7291" t="str">
        <f t="shared" si="2958"/>
        <v>001105018356</v>
      </c>
      <c r="O7291" t="str">
        <f t="shared" si="2959"/>
        <v>MYR</v>
      </c>
      <c r="P7291" t="str">
        <f t="shared" si="2979"/>
        <v>NIL</v>
      </c>
      <c r="Q7291" t="str">
        <f t="shared" si="2979"/>
        <v>NIL</v>
      </c>
      <c r="R7291" t="str">
        <f t="shared" si="2972"/>
        <v>Accepted</v>
      </c>
      <c r="S7291" t="str">
        <f t="shared" si="2960"/>
        <v>Approved</v>
      </c>
      <c r="T7291" t="str">
        <f t="shared" si="2973"/>
        <v>10.20.8.188</v>
      </c>
      <c r="U7291" t="str">
        <f t="shared" si="2961"/>
        <v>AZRAD UMAR BIN SHAARI</v>
      </c>
      <c r="V7291" t="str">
        <f t="shared" si="2962"/>
        <v>FARHANA BINTI MUSTAPA</v>
      </c>
      <c r="W7291" t="str">
        <f t="shared" si="2963"/>
        <v>04-08-2020</v>
      </c>
      <c r="X7291" t="str">
        <f t="shared" si="2964"/>
        <v>RAZIMAH ANSAR AHMAD</v>
      </c>
      <c r="Y7291" t="str">
        <f t="shared" si="2965"/>
        <v>04-08-2020</v>
      </c>
      <c r="Z7291" t="str">
        <f>"COS10200804 1863"</f>
        <v>COS10200804 1863</v>
      </c>
    </row>
    <row r="7292" spans="1:26" x14ac:dyDescent="0.25">
      <c r="A7292" t="str">
        <f t="shared" si="2976"/>
        <v>04-08-2020 12:35:42</v>
      </c>
      <c r="B7292" t="str">
        <f>"0000803618"</f>
        <v>0000803618</v>
      </c>
      <c r="C7292" t="str">
        <f t="shared" si="2977"/>
        <v>0000803555</v>
      </c>
      <c r="D7292" t="str">
        <f t="shared" si="2955"/>
        <v>73185</v>
      </c>
      <c r="E7292" t="str">
        <f t="shared" si="2956"/>
        <v>KFH-OPERATIONS DEPARTMENT</v>
      </c>
      <c r="F7292" t="str">
        <f t="shared" si="2957"/>
        <v>IBG</v>
      </c>
      <c r="G7292" t="str">
        <f t="shared" si="2966"/>
        <v>Refund COSHARE 10</v>
      </c>
      <c r="H7292" s="2">
        <v>71.5</v>
      </c>
      <c r="I7292" t="str">
        <f>"NOR AFFENDI BIN OSMAN"</f>
        <v>NOR AFFENDI BIN OSMAN</v>
      </c>
      <c r="J7292" t="str">
        <f t="shared" si="2971"/>
        <v>BANK SIMPANAN NASIONAL</v>
      </c>
      <c r="K7292" t="str">
        <f>"0113029878800351"</f>
        <v>0113029878800351</v>
      </c>
      <c r="L7292" t="str">
        <f t="shared" si="2978"/>
        <v>04-08-2020</v>
      </c>
      <c r="M7292" t="str">
        <f t="shared" si="2978"/>
        <v>04-08-2020</v>
      </c>
      <c r="N7292" t="str">
        <f t="shared" si="2958"/>
        <v>001105018356</v>
      </c>
      <c r="O7292" t="str">
        <f t="shared" si="2959"/>
        <v>MYR</v>
      </c>
      <c r="P7292" t="str">
        <f t="shared" si="2979"/>
        <v>NIL</v>
      </c>
      <c r="Q7292" t="str">
        <f t="shared" si="2979"/>
        <v>NIL</v>
      </c>
      <c r="R7292" t="str">
        <f t="shared" si="2972"/>
        <v>Accepted</v>
      </c>
      <c r="S7292" t="str">
        <f t="shared" si="2960"/>
        <v>Approved</v>
      </c>
      <c r="T7292" t="str">
        <f t="shared" si="2973"/>
        <v>10.20.8.188</v>
      </c>
      <c r="U7292" t="str">
        <f t="shared" si="2961"/>
        <v>AZRAD UMAR BIN SHAARI</v>
      </c>
      <c r="V7292" t="str">
        <f t="shared" si="2962"/>
        <v>FARHANA BINTI MUSTAPA</v>
      </c>
      <c r="W7292" t="str">
        <f t="shared" si="2963"/>
        <v>04-08-2020</v>
      </c>
      <c r="X7292" t="str">
        <f t="shared" si="2964"/>
        <v>RAZIMAH ANSAR AHMAD</v>
      </c>
      <c r="Y7292" t="str">
        <f t="shared" si="2965"/>
        <v>04-08-2020</v>
      </c>
      <c r="Z7292" t="str">
        <f>"COS10200804 1862"</f>
        <v>COS10200804 1862</v>
      </c>
    </row>
    <row r="7293" spans="1:26" x14ac:dyDescent="0.25">
      <c r="A7293" t="str">
        <f t="shared" si="2976"/>
        <v>04-08-2020 12:35:42</v>
      </c>
      <c r="B7293" t="str">
        <f>"0000803617"</f>
        <v>0000803617</v>
      </c>
      <c r="C7293" t="str">
        <f t="shared" si="2977"/>
        <v>0000803555</v>
      </c>
      <c r="D7293" t="str">
        <f t="shared" si="2955"/>
        <v>73185</v>
      </c>
      <c r="E7293" t="str">
        <f t="shared" si="2956"/>
        <v>KFH-OPERATIONS DEPARTMENT</v>
      </c>
      <c r="F7293" t="str">
        <f t="shared" si="2957"/>
        <v>IBG</v>
      </c>
      <c r="G7293" t="str">
        <f t="shared" si="2966"/>
        <v>Refund COSHARE 10</v>
      </c>
      <c r="H7293" s="2">
        <v>201.5</v>
      </c>
      <c r="I7293" t="str">
        <f>"NOORWAHIDA BINTI ABU OTHMAN"</f>
        <v>NOORWAHIDA BINTI ABU OTHMAN</v>
      </c>
      <c r="J7293" t="str">
        <f t="shared" si="2971"/>
        <v>BANK SIMPANAN NASIONAL</v>
      </c>
      <c r="K7293" t="str">
        <f>"0210329000106257"</f>
        <v>0210329000106257</v>
      </c>
      <c r="L7293" t="str">
        <f t="shared" si="2978"/>
        <v>04-08-2020</v>
      </c>
      <c r="M7293" t="str">
        <f t="shared" si="2978"/>
        <v>04-08-2020</v>
      </c>
      <c r="N7293" t="str">
        <f t="shared" si="2958"/>
        <v>001105018356</v>
      </c>
      <c r="O7293" t="str">
        <f t="shared" si="2959"/>
        <v>MYR</v>
      </c>
      <c r="P7293" t="str">
        <f t="shared" si="2979"/>
        <v>NIL</v>
      </c>
      <c r="Q7293" t="str">
        <f t="shared" si="2979"/>
        <v>NIL</v>
      </c>
      <c r="R7293" t="str">
        <f t="shared" si="2972"/>
        <v>Accepted</v>
      </c>
      <c r="S7293" t="str">
        <f t="shared" si="2960"/>
        <v>Approved</v>
      </c>
      <c r="T7293" t="str">
        <f t="shared" si="2973"/>
        <v>10.20.8.188</v>
      </c>
      <c r="U7293" t="str">
        <f t="shared" si="2961"/>
        <v>AZRAD UMAR BIN SHAARI</v>
      </c>
      <c r="V7293" t="str">
        <f t="shared" si="2962"/>
        <v>FARHANA BINTI MUSTAPA</v>
      </c>
      <c r="W7293" t="str">
        <f t="shared" si="2963"/>
        <v>04-08-2020</v>
      </c>
      <c r="X7293" t="str">
        <f t="shared" si="2964"/>
        <v>RAZIMAH ANSAR AHMAD</v>
      </c>
      <c r="Y7293" t="str">
        <f t="shared" si="2965"/>
        <v>04-08-2020</v>
      </c>
      <c r="Z7293" t="str">
        <f>"COS10200804 1861"</f>
        <v>COS10200804 1861</v>
      </c>
    </row>
    <row r="7294" spans="1:26" x14ac:dyDescent="0.25">
      <c r="A7294" t="str">
        <f t="shared" si="2976"/>
        <v>04-08-2020 12:35:42</v>
      </c>
      <c r="B7294" t="str">
        <f>"0000803615"</f>
        <v>0000803615</v>
      </c>
      <c r="C7294" t="str">
        <f t="shared" si="2977"/>
        <v>0000803555</v>
      </c>
      <c r="D7294" t="str">
        <f t="shared" si="2955"/>
        <v>73185</v>
      </c>
      <c r="E7294" t="str">
        <f t="shared" si="2956"/>
        <v>KFH-OPERATIONS DEPARTMENT</v>
      </c>
      <c r="F7294" t="str">
        <f t="shared" si="2957"/>
        <v>IBG</v>
      </c>
      <c r="G7294" t="str">
        <f t="shared" si="2966"/>
        <v>Refund COSHARE 10</v>
      </c>
      <c r="H7294" s="2">
        <v>384.3</v>
      </c>
      <c r="I7294" t="str">
        <f>"NOORIZA BINTI YAMAN"</f>
        <v>NOORIZA BINTI YAMAN</v>
      </c>
      <c r="J7294" t="str">
        <f t="shared" si="2971"/>
        <v>BANK SIMPANAN NASIONAL</v>
      </c>
      <c r="K7294" t="str">
        <f>"0710429865407436"</f>
        <v>0710429865407436</v>
      </c>
      <c r="L7294" t="str">
        <f t="shared" si="2978"/>
        <v>04-08-2020</v>
      </c>
      <c r="M7294" t="str">
        <f t="shared" si="2978"/>
        <v>04-08-2020</v>
      </c>
      <c r="N7294" t="str">
        <f t="shared" si="2958"/>
        <v>001105018356</v>
      </c>
      <c r="O7294" t="str">
        <f t="shared" si="2959"/>
        <v>MYR</v>
      </c>
      <c r="P7294" t="str">
        <f t="shared" si="2979"/>
        <v>NIL</v>
      </c>
      <c r="Q7294" t="str">
        <f t="shared" si="2979"/>
        <v>NIL</v>
      </c>
      <c r="R7294" t="str">
        <f t="shared" si="2972"/>
        <v>Accepted</v>
      </c>
      <c r="S7294" t="str">
        <f t="shared" si="2960"/>
        <v>Approved</v>
      </c>
      <c r="T7294" t="str">
        <f t="shared" si="2973"/>
        <v>10.20.8.188</v>
      </c>
      <c r="U7294" t="str">
        <f t="shared" si="2961"/>
        <v>AZRAD UMAR BIN SHAARI</v>
      </c>
      <c r="V7294" t="str">
        <f t="shared" si="2962"/>
        <v>FARHANA BINTI MUSTAPA</v>
      </c>
      <c r="W7294" t="str">
        <f t="shared" si="2963"/>
        <v>04-08-2020</v>
      </c>
      <c r="X7294" t="str">
        <f t="shared" si="2964"/>
        <v>RAZIMAH ANSAR AHMAD</v>
      </c>
      <c r="Y7294" t="str">
        <f t="shared" si="2965"/>
        <v>04-08-2020</v>
      </c>
      <c r="Z7294" t="str">
        <f>"COS10200804 1860"</f>
        <v>COS10200804 1860</v>
      </c>
    </row>
    <row r="7295" spans="1:26" x14ac:dyDescent="0.25">
      <c r="A7295" t="str">
        <f t="shared" si="2976"/>
        <v>04-08-2020 12:35:42</v>
      </c>
      <c r="B7295" t="str">
        <f>"0000803614"</f>
        <v>0000803614</v>
      </c>
      <c r="C7295" t="str">
        <f t="shared" si="2977"/>
        <v>0000803555</v>
      </c>
      <c r="D7295" t="str">
        <f t="shared" si="2955"/>
        <v>73185</v>
      </c>
      <c r="E7295" t="str">
        <f t="shared" si="2956"/>
        <v>KFH-OPERATIONS DEPARTMENT</v>
      </c>
      <c r="F7295" t="str">
        <f t="shared" si="2957"/>
        <v>IBG</v>
      </c>
      <c r="G7295" t="str">
        <f t="shared" si="2966"/>
        <v>Refund COSHARE 10</v>
      </c>
      <c r="H7295" s="2">
        <v>680</v>
      </c>
      <c r="I7295" t="str">
        <f>"NOORHAYATI BINTI ALFAUZI"</f>
        <v>NOORHAYATI BINTI ALFAUZI</v>
      </c>
      <c r="J7295" t="str">
        <f t="shared" si="2971"/>
        <v>BANK SIMPANAN NASIONAL</v>
      </c>
      <c r="K7295" t="str">
        <f>"1299541100338014"</f>
        <v>1299541100338014</v>
      </c>
      <c r="L7295" t="str">
        <f t="shared" si="2978"/>
        <v>04-08-2020</v>
      </c>
      <c r="M7295" t="str">
        <f t="shared" si="2978"/>
        <v>04-08-2020</v>
      </c>
      <c r="N7295" t="str">
        <f t="shared" si="2958"/>
        <v>001105018356</v>
      </c>
      <c r="O7295" t="str">
        <f t="shared" si="2959"/>
        <v>MYR</v>
      </c>
      <c r="P7295" t="str">
        <f t="shared" si="2979"/>
        <v>NIL</v>
      </c>
      <c r="Q7295" t="str">
        <f t="shared" si="2979"/>
        <v>NIL</v>
      </c>
      <c r="R7295" t="str">
        <f t="shared" si="2972"/>
        <v>Accepted</v>
      </c>
      <c r="S7295" t="str">
        <f t="shared" si="2960"/>
        <v>Approved</v>
      </c>
      <c r="T7295" t="str">
        <f t="shared" si="2973"/>
        <v>10.20.8.188</v>
      </c>
      <c r="U7295" t="str">
        <f t="shared" si="2961"/>
        <v>AZRAD UMAR BIN SHAARI</v>
      </c>
      <c r="V7295" t="str">
        <f t="shared" si="2962"/>
        <v>FARHANA BINTI MUSTAPA</v>
      </c>
      <c r="W7295" t="str">
        <f t="shared" si="2963"/>
        <v>04-08-2020</v>
      </c>
      <c r="X7295" t="str">
        <f t="shared" si="2964"/>
        <v>RAZIMAH ANSAR AHMAD</v>
      </c>
      <c r="Y7295" t="str">
        <f t="shared" si="2965"/>
        <v>04-08-2020</v>
      </c>
      <c r="Z7295" t="str">
        <f>"COS10200804 1859"</f>
        <v>COS10200804 1859</v>
      </c>
    </row>
    <row r="7296" spans="1:26" x14ac:dyDescent="0.25">
      <c r="A7296" t="str">
        <f t="shared" si="2976"/>
        <v>04-08-2020 12:35:42</v>
      </c>
      <c r="B7296" t="str">
        <f>"0000803613"</f>
        <v>0000803613</v>
      </c>
      <c r="C7296" t="str">
        <f t="shared" si="2977"/>
        <v>0000803555</v>
      </c>
      <c r="D7296" t="str">
        <f t="shared" si="2955"/>
        <v>73185</v>
      </c>
      <c r="E7296" t="str">
        <f t="shared" si="2956"/>
        <v>KFH-OPERATIONS DEPARTMENT</v>
      </c>
      <c r="F7296" t="str">
        <f t="shared" si="2957"/>
        <v>IBG</v>
      </c>
      <c r="G7296" t="str">
        <f t="shared" si="2966"/>
        <v>Refund COSHARE 10</v>
      </c>
      <c r="H7296" s="2">
        <v>63.55</v>
      </c>
      <c r="I7296" t="str">
        <f>"NOORBAITHI BINTI BAHARUDDIN"</f>
        <v>NOORBAITHI BINTI BAHARUDDIN</v>
      </c>
      <c r="J7296" t="str">
        <f t="shared" si="2971"/>
        <v>BANK SIMPANAN NASIONAL</v>
      </c>
      <c r="K7296" t="str">
        <f>"1416129000046715"</f>
        <v>1416129000046715</v>
      </c>
      <c r="L7296" t="str">
        <f t="shared" si="2978"/>
        <v>04-08-2020</v>
      </c>
      <c r="M7296" t="str">
        <f t="shared" si="2978"/>
        <v>04-08-2020</v>
      </c>
      <c r="N7296" t="str">
        <f t="shared" si="2958"/>
        <v>001105018356</v>
      </c>
      <c r="O7296" t="str">
        <f t="shared" si="2959"/>
        <v>MYR</v>
      </c>
      <c r="P7296" t="str">
        <f t="shared" si="2979"/>
        <v>NIL</v>
      </c>
      <c r="Q7296" t="str">
        <f t="shared" si="2979"/>
        <v>NIL</v>
      </c>
      <c r="R7296" t="str">
        <f t="shared" si="2972"/>
        <v>Accepted</v>
      </c>
      <c r="S7296" t="str">
        <f t="shared" si="2960"/>
        <v>Approved</v>
      </c>
      <c r="T7296" t="str">
        <f t="shared" si="2973"/>
        <v>10.20.8.188</v>
      </c>
      <c r="U7296" t="str">
        <f t="shared" si="2961"/>
        <v>AZRAD UMAR BIN SHAARI</v>
      </c>
      <c r="V7296" t="str">
        <f t="shared" si="2962"/>
        <v>FARHANA BINTI MUSTAPA</v>
      </c>
      <c r="W7296" t="str">
        <f t="shared" si="2963"/>
        <v>04-08-2020</v>
      </c>
      <c r="X7296" t="str">
        <f t="shared" si="2964"/>
        <v>RAZIMAH ANSAR AHMAD</v>
      </c>
      <c r="Y7296" t="str">
        <f t="shared" si="2965"/>
        <v>04-08-2020</v>
      </c>
      <c r="Z7296" t="str">
        <f>"COS10200804 1858"</f>
        <v>COS10200804 1858</v>
      </c>
    </row>
    <row r="7297" spans="1:26" x14ac:dyDescent="0.25">
      <c r="A7297" t="str">
        <f t="shared" si="2976"/>
        <v>04-08-2020 12:35:42</v>
      </c>
      <c r="B7297" t="str">
        <f>"0000803612"</f>
        <v>0000803612</v>
      </c>
      <c r="C7297" t="str">
        <f t="shared" si="2977"/>
        <v>0000803555</v>
      </c>
      <c r="D7297" t="str">
        <f t="shared" si="2955"/>
        <v>73185</v>
      </c>
      <c r="E7297" t="str">
        <f t="shared" si="2956"/>
        <v>KFH-OPERATIONS DEPARTMENT</v>
      </c>
      <c r="F7297" t="str">
        <f t="shared" si="2957"/>
        <v>IBG</v>
      </c>
      <c r="G7297" t="str">
        <f t="shared" si="2966"/>
        <v>Refund COSHARE 10</v>
      </c>
      <c r="H7297" s="2">
        <v>251.85</v>
      </c>
      <c r="I7297" t="str">
        <f>"NOORAZLIYANA BINTI ABDULLAH"</f>
        <v>NOORAZLIYANA BINTI ABDULLAH</v>
      </c>
      <c r="J7297" t="str">
        <f t="shared" si="2971"/>
        <v>BANK SIMPANAN NASIONAL</v>
      </c>
      <c r="K7297" t="str">
        <f>"1417741000012646"</f>
        <v>1417741000012646</v>
      </c>
      <c r="L7297" t="str">
        <f t="shared" si="2978"/>
        <v>04-08-2020</v>
      </c>
      <c r="M7297" t="str">
        <f t="shared" si="2978"/>
        <v>04-08-2020</v>
      </c>
      <c r="N7297" t="str">
        <f t="shared" si="2958"/>
        <v>001105018356</v>
      </c>
      <c r="O7297" t="str">
        <f t="shared" si="2959"/>
        <v>MYR</v>
      </c>
      <c r="P7297" t="str">
        <f t="shared" si="2979"/>
        <v>NIL</v>
      </c>
      <c r="Q7297" t="str">
        <f t="shared" si="2979"/>
        <v>NIL</v>
      </c>
      <c r="R7297" t="str">
        <f t="shared" si="2972"/>
        <v>Accepted</v>
      </c>
      <c r="S7297" t="str">
        <f t="shared" si="2960"/>
        <v>Approved</v>
      </c>
      <c r="T7297" t="str">
        <f t="shared" si="2973"/>
        <v>10.20.8.188</v>
      </c>
      <c r="U7297" t="str">
        <f t="shared" si="2961"/>
        <v>AZRAD UMAR BIN SHAARI</v>
      </c>
      <c r="V7297" t="str">
        <f t="shared" si="2962"/>
        <v>FARHANA BINTI MUSTAPA</v>
      </c>
      <c r="W7297" t="str">
        <f t="shared" si="2963"/>
        <v>04-08-2020</v>
      </c>
      <c r="X7297" t="str">
        <f t="shared" si="2964"/>
        <v>RAZIMAH ANSAR AHMAD</v>
      </c>
      <c r="Y7297" t="str">
        <f t="shared" si="2965"/>
        <v>04-08-2020</v>
      </c>
      <c r="Z7297" t="str">
        <f>"COS10200804 1857"</f>
        <v>COS10200804 1857</v>
      </c>
    </row>
    <row r="7298" spans="1:26" x14ac:dyDescent="0.25">
      <c r="A7298" t="str">
        <f t="shared" si="2976"/>
        <v>04-08-2020 12:35:42</v>
      </c>
      <c r="B7298" t="str">
        <f>"0000803611"</f>
        <v>0000803611</v>
      </c>
      <c r="C7298" t="str">
        <f t="shared" si="2977"/>
        <v>0000803555</v>
      </c>
      <c r="D7298" t="str">
        <f t="shared" si="2955"/>
        <v>73185</v>
      </c>
      <c r="E7298" t="str">
        <f t="shared" si="2956"/>
        <v>KFH-OPERATIONS DEPARTMENT</v>
      </c>
      <c r="F7298" t="str">
        <f t="shared" si="2957"/>
        <v>IBG</v>
      </c>
      <c r="G7298" t="str">
        <f t="shared" si="2966"/>
        <v>Refund COSHARE 10</v>
      </c>
      <c r="H7298" s="2">
        <v>349</v>
      </c>
      <c r="I7298" t="str">
        <f>"NOOR SUHADA BINTI MISROM"</f>
        <v>NOOR SUHADA BINTI MISROM</v>
      </c>
      <c r="J7298" t="str">
        <f t="shared" si="2971"/>
        <v>BANK SIMPANAN NASIONAL</v>
      </c>
      <c r="K7298" t="str">
        <f>"0110229000039596"</f>
        <v>0110229000039596</v>
      </c>
      <c r="L7298" t="str">
        <f t="shared" si="2978"/>
        <v>04-08-2020</v>
      </c>
      <c r="M7298" t="str">
        <f t="shared" si="2978"/>
        <v>04-08-2020</v>
      </c>
      <c r="N7298" t="str">
        <f t="shared" si="2958"/>
        <v>001105018356</v>
      </c>
      <c r="O7298" t="str">
        <f t="shared" si="2959"/>
        <v>MYR</v>
      </c>
      <c r="P7298" t="str">
        <f t="shared" si="2979"/>
        <v>NIL</v>
      </c>
      <c r="Q7298" t="str">
        <f t="shared" si="2979"/>
        <v>NIL</v>
      </c>
      <c r="R7298" t="str">
        <f t="shared" si="2972"/>
        <v>Accepted</v>
      </c>
      <c r="S7298" t="str">
        <f t="shared" si="2960"/>
        <v>Approved</v>
      </c>
      <c r="T7298" t="str">
        <f t="shared" si="2973"/>
        <v>10.20.8.188</v>
      </c>
      <c r="U7298" t="str">
        <f t="shared" si="2961"/>
        <v>AZRAD UMAR BIN SHAARI</v>
      </c>
      <c r="V7298" t="str">
        <f t="shared" si="2962"/>
        <v>FARHANA BINTI MUSTAPA</v>
      </c>
      <c r="W7298" t="str">
        <f t="shared" si="2963"/>
        <v>04-08-2020</v>
      </c>
      <c r="X7298" t="str">
        <f t="shared" si="2964"/>
        <v>RAZIMAH ANSAR AHMAD</v>
      </c>
      <c r="Y7298" t="str">
        <f t="shared" si="2965"/>
        <v>04-08-2020</v>
      </c>
      <c r="Z7298" t="str">
        <f>"COS10200804 1856"</f>
        <v>COS10200804 1856</v>
      </c>
    </row>
    <row r="7299" spans="1:26" x14ac:dyDescent="0.25">
      <c r="A7299" t="str">
        <f t="shared" si="2976"/>
        <v>04-08-2020 12:35:42</v>
      </c>
      <c r="B7299" t="str">
        <f>"0000803610"</f>
        <v>0000803610</v>
      </c>
      <c r="C7299" t="str">
        <f t="shared" si="2977"/>
        <v>0000803555</v>
      </c>
      <c r="D7299" t="str">
        <f t="shared" si="2955"/>
        <v>73185</v>
      </c>
      <c r="E7299" t="str">
        <f t="shared" si="2956"/>
        <v>KFH-OPERATIONS DEPARTMENT</v>
      </c>
      <c r="F7299" t="str">
        <f t="shared" si="2957"/>
        <v>IBG</v>
      </c>
      <c r="G7299" t="str">
        <f t="shared" si="2966"/>
        <v>Refund COSHARE 10</v>
      </c>
      <c r="H7299" s="2">
        <v>125.95</v>
      </c>
      <c r="I7299" t="str">
        <f>"NOOR SHAHRIR BIN ZAKARIA"</f>
        <v>NOOR SHAHRIR BIN ZAKARIA</v>
      </c>
      <c r="J7299" t="str">
        <f t="shared" si="2971"/>
        <v>BANK SIMPANAN NASIONAL</v>
      </c>
      <c r="K7299" t="str">
        <f>"0540029000148125"</f>
        <v>0540029000148125</v>
      </c>
      <c r="L7299" t="str">
        <f t="shared" si="2978"/>
        <v>04-08-2020</v>
      </c>
      <c r="M7299" t="str">
        <f t="shared" si="2978"/>
        <v>04-08-2020</v>
      </c>
      <c r="N7299" t="str">
        <f t="shared" si="2958"/>
        <v>001105018356</v>
      </c>
      <c r="O7299" t="str">
        <f t="shared" si="2959"/>
        <v>MYR</v>
      </c>
      <c r="P7299" t="str">
        <f t="shared" si="2979"/>
        <v>NIL</v>
      </c>
      <c r="Q7299" t="str">
        <f t="shared" si="2979"/>
        <v>NIL</v>
      </c>
      <c r="R7299" t="str">
        <f t="shared" si="2972"/>
        <v>Accepted</v>
      </c>
      <c r="S7299" t="str">
        <f t="shared" si="2960"/>
        <v>Approved</v>
      </c>
      <c r="T7299" t="str">
        <f t="shared" si="2973"/>
        <v>10.20.8.188</v>
      </c>
      <c r="U7299" t="str">
        <f t="shared" si="2961"/>
        <v>AZRAD UMAR BIN SHAARI</v>
      </c>
      <c r="V7299" t="str">
        <f t="shared" si="2962"/>
        <v>FARHANA BINTI MUSTAPA</v>
      </c>
      <c r="W7299" t="str">
        <f t="shared" si="2963"/>
        <v>04-08-2020</v>
      </c>
      <c r="X7299" t="str">
        <f t="shared" si="2964"/>
        <v>RAZIMAH ANSAR AHMAD</v>
      </c>
      <c r="Y7299" t="str">
        <f t="shared" si="2965"/>
        <v>04-08-2020</v>
      </c>
      <c r="Z7299" t="str">
        <f>"COS10200804 1855"</f>
        <v>COS10200804 1855</v>
      </c>
    </row>
    <row r="7300" spans="1:26" x14ac:dyDescent="0.25">
      <c r="A7300" t="str">
        <f t="shared" si="2976"/>
        <v>04-08-2020 12:35:42</v>
      </c>
      <c r="B7300" t="str">
        <f>"0000803609"</f>
        <v>0000803609</v>
      </c>
      <c r="C7300" t="str">
        <f t="shared" si="2977"/>
        <v>0000803555</v>
      </c>
      <c r="D7300" t="str">
        <f t="shared" si="2955"/>
        <v>73185</v>
      </c>
      <c r="E7300" t="str">
        <f t="shared" si="2956"/>
        <v>KFH-OPERATIONS DEPARTMENT</v>
      </c>
      <c r="F7300" t="str">
        <f t="shared" si="2957"/>
        <v>IBG</v>
      </c>
      <c r="G7300" t="str">
        <f t="shared" si="2966"/>
        <v>Refund COSHARE 10</v>
      </c>
      <c r="H7300" s="2">
        <v>511.65</v>
      </c>
      <c r="I7300" t="str">
        <f>"NOOR RIZAN BINTI MUHAMMAD"</f>
        <v>NOOR RIZAN BINTI MUHAMMAD</v>
      </c>
      <c r="J7300" t="str">
        <f t="shared" si="2971"/>
        <v>BANK SIMPANAN NASIONAL</v>
      </c>
      <c r="K7300" t="str">
        <f>"1010529874989701"</f>
        <v>1010529874989701</v>
      </c>
      <c r="L7300" t="str">
        <f t="shared" si="2978"/>
        <v>04-08-2020</v>
      </c>
      <c r="M7300" t="str">
        <f t="shared" si="2978"/>
        <v>04-08-2020</v>
      </c>
      <c r="N7300" t="str">
        <f t="shared" si="2958"/>
        <v>001105018356</v>
      </c>
      <c r="O7300" t="str">
        <f t="shared" si="2959"/>
        <v>MYR</v>
      </c>
      <c r="P7300" t="str">
        <f t="shared" si="2979"/>
        <v>NIL</v>
      </c>
      <c r="Q7300" t="str">
        <f t="shared" si="2979"/>
        <v>NIL</v>
      </c>
      <c r="R7300" t="str">
        <f t="shared" si="2972"/>
        <v>Accepted</v>
      </c>
      <c r="S7300" t="str">
        <f t="shared" si="2960"/>
        <v>Approved</v>
      </c>
      <c r="T7300" t="str">
        <f t="shared" si="2973"/>
        <v>10.20.8.188</v>
      </c>
      <c r="U7300" t="str">
        <f t="shared" si="2961"/>
        <v>AZRAD UMAR BIN SHAARI</v>
      </c>
      <c r="V7300" t="str">
        <f t="shared" si="2962"/>
        <v>FARHANA BINTI MUSTAPA</v>
      </c>
      <c r="W7300" t="str">
        <f t="shared" si="2963"/>
        <v>04-08-2020</v>
      </c>
      <c r="X7300" t="str">
        <f t="shared" si="2964"/>
        <v>RAZIMAH ANSAR AHMAD</v>
      </c>
      <c r="Y7300" t="str">
        <f t="shared" si="2965"/>
        <v>04-08-2020</v>
      </c>
      <c r="Z7300" t="str">
        <f>"COS10200804 1854"</f>
        <v>COS10200804 1854</v>
      </c>
    </row>
    <row r="7301" spans="1:26" x14ac:dyDescent="0.25">
      <c r="A7301" t="str">
        <f t="shared" si="2976"/>
        <v>04-08-2020 12:35:42</v>
      </c>
      <c r="B7301" t="str">
        <f>"0000803608"</f>
        <v>0000803608</v>
      </c>
      <c r="C7301" t="str">
        <f t="shared" si="2977"/>
        <v>0000803555</v>
      </c>
      <c r="D7301" t="str">
        <f t="shared" si="2955"/>
        <v>73185</v>
      </c>
      <c r="E7301" t="str">
        <f t="shared" si="2956"/>
        <v>KFH-OPERATIONS DEPARTMENT</v>
      </c>
      <c r="F7301" t="str">
        <f t="shared" si="2957"/>
        <v>IBG</v>
      </c>
      <c r="G7301" t="str">
        <f t="shared" si="2966"/>
        <v>Refund COSHARE 10</v>
      </c>
      <c r="H7301" s="2">
        <v>186.65</v>
      </c>
      <c r="I7301" t="str">
        <f>"NOOR HAYATI BINTI SAAT"</f>
        <v>NOOR HAYATI BINTI SAAT</v>
      </c>
      <c r="J7301" t="str">
        <f t="shared" si="2971"/>
        <v>BANK SIMPANAN NASIONAL</v>
      </c>
      <c r="K7301" t="str">
        <f>"0611429830483907"</f>
        <v>0611429830483907</v>
      </c>
      <c r="L7301" t="str">
        <f t="shared" si="2978"/>
        <v>04-08-2020</v>
      </c>
      <c r="M7301" t="str">
        <f t="shared" si="2978"/>
        <v>04-08-2020</v>
      </c>
      <c r="N7301" t="str">
        <f t="shared" si="2958"/>
        <v>001105018356</v>
      </c>
      <c r="O7301" t="str">
        <f t="shared" si="2959"/>
        <v>MYR</v>
      </c>
      <c r="P7301" t="str">
        <f t="shared" si="2979"/>
        <v>NIL</v>
      </c>
      <c r="Q7301" t="str">
        <f t="shared" si="2979"/>
        <v>NIL</v>
      </c>
      <c r="R7301" t="str">
        <f t="shared" si="2972"/>
        <v>Accepted</v>
      </c>
      <c r="S7301" t="str">
        <f t="shared" si="2960"/>
        <v>Approved</v>
      </c>
      <c r="T7301" t="str">
        <f t="shared" si="2973"/>
        <v>10.20.8.188</v>
      </c>
      <c r="U7301" t="str">
        <f t="shared" si="2961"/>
        <v>AZRAD UMAR BIN SHAARI</v>
      </c>
      <c r="V7301" t="str">
        <f t="shared" si="2962"/>
        <v>FARHANA BINTI MUSTAPA</v>
      </c>
      <c r="W7301" t="str">
        <f t="shared" si="2963"/>
        <v>04-08-2020</v>
      </c>
      <c r="X7301" t="str">
        <f t="shared" si="2964"/>
        <v>RAZIMAH ANSAR AHMAD</v>
      </c>
      <c r="Y7301" t="str">
        <f t="shared" si="2965"/>
        <v>04-08-2020</v>
      </c>
      <c r="Z7301" t="str">
        <f>"COS10200804 1853"</f>
        <v>COS10200804 1853</v>
      </c>
    </row>
    <row r="7302" spans="1:26" x14ac:dyDescent="0.25">
      <c r="A7302" t="str">
        <f t="shared" si="2976"/>
        <v>04-08-2020 12:35:42</v>
      </c>
      <c r="B7302" t="str">
        <f>"0000803607"</f>
        <v>0000803607</v>
      </c>
      <c r="C7302" t="str">
        <f t="shared" si="2977"/>
        <v>0000803555</v>
      </c>
      <c r="D7302" t="str">
        <f t="shared" si="2955"/>
        <v>73185</v>
      </c>
      <c r="E7302" t="str">
        <f t="shared" si="2956"/>
        <v>KFH-OPERATIONS DEPARTMENT</v>
      </c>
      <c r="F7302" t="str">
        <f t="shared" si="2957"/>
        <v>IBG</v>
      </c>
      <c r="G7302" t="str">
        <f t="shared" si="2966"/>
        <v>Refund COSHARE 10</v>
      </c>
      <c r="H7302" s="2">
        <v>683</v>
      </c>
      <c r="I7302" t="str">
        <f>"NOOR AZLEY AZROY BIN MHD RADZALI"</f>
        <v>NOOR AZLEY AZROY BIN MHD RADZALI</v>
      </c>
      <c r="J7302" t="str">
        <f t="shared" si="2971"/>
        <v>BANK SIMPANAN NASIONAL</v>
      </c>
      <c r="K7302" t="str">
        <f>"0510441000052386"</f>
        <v>0510441000052386</v>
      </c>
      <c r="L7302" t="str">
        <f t="shared" si="2978"/>
        <v>04-08-2020</v>
      </c>
      <c r="M7302" t="str">
        <f t="shared" si="2978"/>
        <v>04-08-2020</v>
      </c>
      <c r="N7302" t="str">
        <f t="shared" si="2958"/>
        <v>001105018356</v>
      </c>
      <c r="O7302" t="str">
        <f t="shared" si="2959"/>
        <v>MYR</v>
      </c>
      <c r="P7302" t="str">
        <f t="shared" si="2979"/>
        <v>NIL</v>
      </c>
      <c r="Q7302" t="str">
        <f t="shared" si="2979"/>
        <v>NIL</v>
      </c>
      <c r="R7302" t="str">
        <f t="shared" si="2972"/>
        <v>Accepted</v>
      </c>
      <c r="S7302" t="str">
        <f t="shared" si="2960"/>
        <v>Approved</v>
      </c>
      <c r="T7302" t="str">
        <f t="shared" si="2973"/>
        <v>10.20.8.188</v>
      </c>
      <c r="U7302" t="str">
        <f t="shared" si="2961"/>
        <v>AZRAD UMAR BIN SHAARI</v>
      </c>
      <c r="V7302" t="str">
        <f t="shared" si="2962"/>
        <v>FARHANA BINTI MUSTAPA</v>
      </c>
      <c r="W7302" t="str">
        <f t="shared" si="2963"/>
        <v>04-08-2020</v>
      </c>
      <c r="X7302" t="str">
        <f t="shared" si="2964"/>
        <v>RAZIMAH ANSAR AHMAD</v>
      </c>
      <c r="Y7302" t="str">
        <f t="shared" si="2965"/>
        <v>04-08-2020</v>
      </c>
      <c r="Z7302" t="str">
        <f>"COS10200804 1852"</f>
        <v>COS10200804 1852</v>
      </c>
    </row>
    <row r="7303" spans="1:26" x14ac:dyDescent="0.25">
      <c r="A7303" t="str">
        <f t="shared" si="2976"/>
        <v>04-08-2020 12:35:42</v>
      </c>
      <c r="B7303" t="str">
        <f>"0000803606"</f>
        <v>0000803606</v>
      </c>
      <c r="C7303" t="str">
        <f t="shared" si="2977"/>
        <v>0000803555</v>
      </c>
      <c r="D7303" t="str">
        <f t="shared" ref="D7303:D7366" si="2980">"73185"</f>
        <v>73185</v>
      </c>
      <c r="E7303" t="str">
        <f t="shared" ref="E7303:E7366" si="2981">"KFH-OPERATIONS DEPARTMENT"</f>
        <v>KFH-OPERATIONS DEPARTMENT</v>
      </c>
      <c r="F7303" t="str">
        <f t="shared" ref="F7303:F7366" si="2982">"IBG"</f>
        <v>IBG</v>
      </c>
      <c r="G7303" t="str">
        <f t="shared" si="2966"/>
        <v>Refund COSHARE 10</v>
      </c>
      <c r="H7303" s="2">
        <v>839.5</v>
      </c>
      <c r="I7303" t="str">
        <f>"NOOR AZIAN BINTI YEOB"</f>
        <v>NOOR AZIAN BINTI YEOB</v>
      </c>
      <c r="J7303" t="str">
        <f t="shared" si="2971"/>
        <v>BANK SIMPANAN NASIONAL</v>
      </c>
      <c r="K7303" t="str">
        <f>"0823729864877773"</f>
        <v>0823729864877773</v>
      </c>
      <c r="L7303" t="str">
        <f t="shared" si="2978"/>
        <v>04-08-2020</v>
      </c>
      <c r="M7303" t="str">
        <f t="shared" si="2978"/>
        <v>04-08-2020</v>
      </c>
      <c r="N7303" t="str">
        <f t="shared" ref="N7303:N7366" si="2983">"001105018356"</f>
        <v>001105018356</v>
      </c>
      <c r="O7303" t="str">
        <f t="shared" ref="O7303:O7366" si="2984">"MYR"</f>
        <v>MYR</v>
      </c>
      <c r="P7303" t="str">
        <f t="shared" si="2979"/>
        <v>NIL</v>
      </c>
      <c r="Q7303" t="str">
        <f t="shared" si="2979"/>
        <v>NIL</v>
      </c>
      <c r="R7303" t="str">
        <f t="shared" si="2972"/>
        <v>Accepted</v>
      </c>
      <c r="S7303" t="str">
        <f t="shared" ref="S7303:S7366" si="2985">"Approved"</f>
        <v>Approved</v>
      </c>
      <c r="T7303" t="str">
        <f t="shared" si="2973"/>
        <v>10.20.8.188</v>
      </c>
      <c r="U7303" t="str">
        <f t="shared" ref="U7303:U7366" si="2986">"AZRAD UMAR BIN SHAARI"</f>
        <v>AZRAD UMAR BIN SHAARI</v>
      </c>
      <c r="V7303" t="str">
        <f t="shared" ref="V7303:V7366" si="2987">"FARHANA BINTI MUSTAPA"</f>
        <v>FARHANA BINTI MUSTAPA</v>
      </c>
      <c r="W7303" t="str">
        <f t="shared" ref="W7303:W7366" si="2988">"04-08-2020"</f>
        <v>04-08-2020</v>
      </c>
      <c r="X7303" t="str">
        <f t="shared" ref="X7303:X7366" si="2989">"RAZIMAH ANSAR AHMAD"</f>
        <v>RAZIMAH ANSAR AHMAD</v>
      </c>
      <c r="Y7303" t="str">
        <f t="shared" ref="Y7303:Y7366" si="2990">"04-08-2020"</f>
        <v>04-08-2020</v>
      </c>
      <c r="Z7303" t="str">
        <f>"COS10200804 1851"</f>
        <v>COS10200804 1851</v>
      </c>
    </row>
    <row r="7304" spans="1:26" x14ac:dyDescent="0.25">
      <c r="A7304" t="str">
        <f t="shared" si="2976"/>
        <v>04-08-2020 12:35:42</v>
      </c>
      <c r="B7304" t="str">
        <f>"0000803605"</f>
        <v>0000803605</v>
      </c>
      <c r="C7304" t="str">
        <f t="shared" si="2977"/>
        <v>0000803555</v>
      </c>
      <c r="D7304" t="str">
        <f t="shared" si="2980"/>
        <v>73185</v>
      </c>
      <c r="E7304" t="str">
        <f t="shared" si="2981"/>
        <v>KFH-OPERATIONS DEPARTMENT</v>
      </c>
      <c r="F7304" t="str">
        <f t="shared" si="2982"/>
        <v>IBG</v>
      </c>
      <c r="G7304" t="str">
        <f t="shared" si="2966"/>
        <v>Refund COSHARE 10</v>
      </c>
      <c r="H7304" s="2">
        <v>1560.2</v>
      </c>
      <c r="I7304" t="str">
        <f>"NOOR AINI BINTI ABDULLAH"</f>
        <v>NOOR AINI BINTI ABDULLAH</v>
      </c>
      <c r="J7304" t="str">
        <f t="shared" si="2971"/>
        <v>BANK SIMPANAN NASIONAL</v>
      </c>
      <c r="K7304" t="str">
        <f>"0310229855704136"</f>
        <v>0310229855704136</v>
      </c>
      <c r="L7304" t="str">
        <f t="shared" si="2978"/>
        <v>04-08-2020</v>
      </c>
      <c r="M7304" t="str">
        <f t="shared" si="2978"/>
        <v>04-08-2020</v>
      </c>
      <c r="N7304" t="str">
        <f t="shared" si="2983"/>
        <v>001105018356</v>
      </c>
      <c r="O7304" t="str">
        <f t="shared" si="2984"/>
        <v>MYR</v>
      </c>
      <c r="P7304" t="str">
        <f t="shared" si="2979"/>
        <v>NIL</v>
      </c>
      <c r="Q7304" t="str">
        <f t="shared" si="2979"/>
        <v>NIL</v>
      </c>
      <c r="R7304" t="str">
        <f t="shared" si="2972"/>
        <v>Accepted</v>
      </c>
      <c r="S7304" t="str">
        <f t="shared" si="2985"/>
        <v>Approved</v>
      </c>
      <c r="T7304" t="str">
        <f t="shared" si="2973"/>
        <v>10.20.8.188</v>
      </c>
      <c r="U7304" t="str">
        <f t="shared" si="2986"/>
        <v>AZRAD UMAR BIN SHAARI</v>
      </c>
      <c r="V7304" t="str">
        <f t="shared" si="2987"/>
        <v>FARHANA BINTI MUSTAPA</v>
      </c>
      <c r="W7304" t="str">
        <f t="shared" si="2988"/>
        <v>04-08-2020</v>
      </c>
      <c r="X7304" t="str">
        <f t="shared" si="2989"/>
        <v>RAZIMAH ANSAR AHMAD</v>
      </c>
      <c r="Y7304" t="str">
        <f t="shared" si="2990"/>
        <v>04-08-2020</v>
      </c>
      <c r="Z7304" t="str">
        <f>"COS10200804 1850"</f>
        <v>COS10200804 1850</v>
      </c>
    </row>
    <row r="7305" spans="1:26" x14ac:dyDescent="0.25">
      <c r="A7305" t="str">
        <f t="shared" si="2976"/>
        <v>04-08-2020 12:35:42</v>
      </c>
      <c r="B7305" t="str">
        <f>"0000803604"</f>
        <v>0000803604</v>
      </c>
      <c r="C7305" t="str">
        <f t="shared" si="2977"/>
        <v>0000803555</v>
      </c>
      <c r="D7305" t="str">
        <f t="shared" si="2980"/>
        <v>73185</v>
      </c>
      <c r="E7305" t="str">
        <f t="shared" si="2981"/>
        <v>KFH-OPERATIONS DEPARTMENT</v>
      </c>
      <c r="F7305" t="str">
        <f t="shared" si="2982"/>
        <v>IBG</v>
      </c>
      <c r="G7305" t="str">
        <f t="shared" si="2966"/>
        <v>Refund COSHARE 10</v>
      </c>
      <c r="H7305" s="2">
        <v>251.85</v>
      </c>
      <c r="I7305" t="str">
        <f>"NIZAM BIN HUSSIN"</f>
        <v>NIZAM BIN HUSSIN</v>
      </c>
      <c r="J7305" t="str">
        <f t="shared" si="2971"/>
        <v>BANK SIMPANAN NASIONAL</v>
      </c>
      <c r="K7305" t="str">
        <f>"1014829835719466"</f>
        <v>1014829835719466</v>
      </c>
      <c r="L7305" t="str">
        <f t="shared" si="2978"/>
        <v>04-08-2020</v>
      </c>
      <c r="M7305" t="str">
        <f t="shared" si="2978"/>
        <v>04-08-2020</v>
      </c>
      <c r="N7305" t="str">
        <f t="shared" si="2983"/>
        <v>001105018356</v>
      </c>
      <c r="O7305" t="str">
        <f t="shared" si="2984"/>
        <v>MYR</v>
      </c>
      <c r="P7305" t="str">
        <f t="shared" si="2979"/>
        <v>NIL</v>
      </c>
      <c r="Q7305" t="str">
        <f t="shared" si="2979"/>
        <v>NIL</v>
      </c>
      <c r="R7305" t="str">
        <f t="shared" si="2972"/>
        <v>Accepted</v>
      </c>
      <c r="S7305" t="str">
        <f t="shared" si="2985"/>
        <v>Approved</v>
      </c>
      <c r="T7305" t="str">
        <f t="shared" si="2973"/>
        <v>10.20.8.188</v>
      </c>
      <c r="U7305" t="str">
        <f t="shared" si="2986"/>
        <v>AZRAD UMAR BIN SHAARI</v>
      </c>
      <c r="V7305" t="str">
        <f t="shared" si="2987"/>
        <v>FARHANA BINTI MUSTAPA</v>
      </c>
      <c r="W7305" t="str">
        <f t="shared" si="2988"/>
        <v>04-08-2020</v>
      </c>
      <c r="X7305" t="str">
        <f t="shared" si="2989"/>
        <v>RAZIMAH ANSAR AHMAD</v>
      </c>
      <c r="Y7305" t="str">
        <f t="shared" si="2990"/>
        <v>04-08-2020</v>
      </c>
      <c r="Z7305" t="str">
        <f>"COS10200804 1849"</f>
        <v>COS10200804 1849</v>
      </c>
    </row>
    <row r="7306" spans="1:26" x14ac:dyDescent="0.25">
      <c r="A7306" t="str">
        <f t="shared" si="2976"/>
        <v>04-08-2020 12:35:42</v>
      </c>
      <c r="B7306" t="str">
        <f>"0000803603"</f>
        <v>0000803603</v>
      </c>
      <c r="C7306" t="str">
        <f t="shared" si="2977"/>
        <v>0000803555</v>
      </c>
      <c r="D7306" t="str">
        <f t="shared" si="2980"/>
        <v>73185</v>
      </c>
      <c r="E7306" t="str">
        <f t="shared" si="2981"/>
        <v>KFH-OPERATIONS DEPARTMENT</v>
      </c>
      <c r="F7306" t="str">
        <f t="shared" si="2982"/>
        <v>IBG</v>
      </c>
      <c r="G7306" t="str">
        <f t="shared" si="2966"/>
        <v>Refund COSHARE 10</v>
      </c>
      <c r="H7306" s="2">
        <v>335.8</v>
      </c>
      <c r="I7306" t="str">
        <f>"NIZAM BIN ABDULLAH"</f>
        <v>NIZAM BIN ABDULLAH</v>
      </c>
      <c r="J7306" t="str">
        <f t="shared" si="2971"/>
        <v>BANK SIMPANAN NASIONAL</v>
      </c>
      <c r="K7306" t="str">
        <f>"0410629000442003"</f>
        <v>0410629000442003</v>
      </c>
      <c r="L7306" t="str">
        <f t="shared" si="2978"/>
        <v>04-08-2020</v>
      </c>
      <c r="M7306" t="str">
        <f t="shared" si="2978"/>
        <v>04-08-2020</v>
      </c>
      <c r="N7306" t="str">
        <f t="shared" si="2983"/>
        <v>001105018356</v>
      </c>
      <c r="O7306" t="str">
        <f t="shared" si="2984"/>
        <v>MYR</v>
      </c>
      <c r="P7306" t="str">
        <f t="shared" si="2979"/>
        <v>NIL</v>
      </c>
      <c r="Q7306" t="str">
        <f t="shared" si="2979"/>
        <v>NIL</v>
      </c>
      <c r="R7306" t="str">
        <f t="shared" si="2972"/>
        <v>Accepted</v>
      </c>
      <c r="S7306" t="str">
        <f t="shared" si="2985"/>
        <v>Approved</v>
      </c>
      <c r="T7306" t="str">
        <f t="shared" si="2973"/>
        <v>10.20.8.188</v>
      </c>
      <c r="U7306" t="str">
        <f t="shared" si="2986"/>
        <v>AZRAD UMAR BIN SHAARI</v>
      </c>
      <c r="V7306" t="str">
        <f t="shared" si="2987"/>
        <v>FARHANA BINTI MUSTAPA</v>
      </c>
      <c r="W7306" t="str">
        <f t="shared" si="2988"/>
        <v>04-08-2020</v>
      </c>
      <c r="X7306" t="str">
        <f t="shared" si="2989"/>
        <v>RAZIMAH ANSAR AHMAD</v>
      </c>
      <c r="Y7306" t="str">
        <f t="shared" si="2990"/>
        <v>04-08-2020</v>
      </c>
      <c r="Z7306" t="str">
        <f>"COS10200804 1848"</f>
        <v>COS10200804 1848</v>
      </c>
    </row>
    <row r="7307" spans="1:26" x14ac:dyDescent="0.25">
      <c r="A7307" t="str">
        <f t="shared" si="2976"/>
        <v>04-08-2020 12:35:42</v>
      </c>
      <c r="B7307" t="str">
        <f>"0000803602"</f>
        <v>0000803602</v>
      </c>
      <c r="C7307" t="str">
        <f t="shared" si="2977"/>
        <v>0000803555</v>
      </c>
      <c r="D7307" t="str">
        <f t="shared" si="2980"/>
        <v>73185</v>
      </c>
      <c r="E7307" t="str">
        <f t="shared" si="2981"/>
        <v>KFH-OPERATIONS DEPARTMENT</v>
      </c>
      <c r="F7307" t="str">
        <f t="shared" si="2982"/>
        <v>IBG</v>
      </c>
      <c r="G7307" t="str">
        <f t="shared" si="2966"/>
        <v>Refund COSHARE 10</v>
      </c>
      <c r="H7307" s="2">
        <v>1074.55</v>
      </c>
      <c r="I7307" t="str">
        <f>"NIZAM BIN ABDULLAH"</f>
        <v>NIZAM BIN ABDULLAH</v>
      </c>
      <c r="J7307" t="str">
        <f t="shared" si="2971"/>
        <v>BANK SIMPANAN NASIONAL</v>
      </c>
      <c r="K7307" t="str">
        <f>"0410629000442003"</f>
        <v>0410629000442003</v>
      </c>
      <c r="L7307" t="str">
        <f t="shared" ref="L7307:M7326" si="2991">"04-08-2020"</f>
        <v>04-08-2020</v>
      </c>
      <c r="M7307" t="str">
        <f t="shared" si="2991"/>
        <v>04-08-2020</v>
      </c>
      <c r="N7307" t="str">
        <f t="shared" si="2983"/>
        <v>001105018356</v>
      </c>
      <c r="O7307" t="str">
        <f t="shared" si="2984"/>
        <v>MYR</v>
      </c>
      <c r="P7307" t="str">
        <f t="shared" ref="P7307:Q7326" si="2992">"NIL"</f>
        <v>NIL</v>
      </c>
      <c r="Q7307" t="str">
        <f t="shared" si="2992"/>
        <v>NIL</v>
      </c>
      <c r="R7307" t="str">
        <f t="shared" si="2972"/>
        <v>Accepted</v>
      </c>
      <c r="S7307" t="str">
        <f t="shared" si="2985"/>
        <v>Approved</v>
      </c>
      <c r="T7307" t="str">
        <f t="shared" si="2973"/>
        <v>10.20.8.188</v>
      </c>
      <c r="U7307" t="str">
        <f t="shared" si="2986"/>
        <v>AZRAD UMAR BIN SHAARI</v>
      </c>
      <c r="V7307" t="str">
        <f t="shared" si="2987"/>
        <v>FARHANA BINTI MUSTAPA</v>
      </c>
      <c r="W7307" t="str">
        <f t="shared" si="2988"/>
        <v>04-08-2020</v>
      </c>
      <c r="X7307" t="str">
        <f t="shared" si="2989"/>
        <v>RAZIMAH ANSAR AHMAD</v>
      </c>
      <c r="Y7307" t="str">
        <f t="shared" si="2990"/>
        <v>04-08-2020</v>
      </c>
      <c r="Z7307" t="str">
        <f>"COS10200804 1847"</f>
        <v>COS10200804 1847</v>
      </c>
    </row>
    <row r="7308" spans="1:26" x14ac:dyDescent="0.25">
      <c r="A7308" t="str">
        <f t="shared" si="2976"/>
        <v>04-08-2020 12:35:42</v>
      </c>
      <c r="B7308" t="str">
        <f>"0000803601"</f>
        <v>0000803601</v>
      </c>
      <c r="C7308" t="str">
        <f t="shared" si="2977"/>
        <v>0000803555</v>
      </c>
      <c r="D7308" t="str">
        <f t="shared" si="2980"/>
        <v>73185</v>
      </c>
      <c r="E7308" t="str">
        <f t="shared" si="2981"/>
        <v>KFH-OPERATIONS DEPARTMENT</v>
      </c>
      <c r="F7308" t="str">
        <f t="shared" si="2982"/>
        <v>IBG</v>
      </c>
      <c r="G7308" t="str">
        <f t="shared" ref="G7308:G7371" si="2993">"Refund COSHARE 10"</f>
        <v>Refund COSHARE 10</v>
      </c>
      <c r="H7308" s="2">
        <v>453.35</v>
      </c>
      <c r="I7308" t="str">
        <f>"NILDA CYNTYHIA MARTIN"</f>
        <v>NILDA CYNTYHIA MARTIN</v>
      </c>
      <c r="J7308" t="str">
        <f t="shared" si="2971"/>
        <v>BANK SIMPANAN NASIONAL</v>
      </c>
      <c r="K7308" t="str">
        <f>"1210329000012096"</f>
        <v>1210329000012096</v>
      </c>
      <c r="L7308" t="str">
        <f t="shared" si="2991"/>
        <v>04-08-2020</v>
      </c>
      <c r="M7308" t="str">
        <f t="shared" si="2991"/>
        <v>04-08-2020</v>
      </c>
      <c r="N7308" t="str">
        <f t="shared" si="2983"/>
        <v>001105018356</v>
      </c>
      <c r="O7308" t="str">
        <f t="shared" si="2984"/>
        <v>MYR</v>
      </c>
      <c r="P7308" t="str">
        <f t="shared" si="2992"/>
        <v>NIL</v>
      </c>
      <c r="Q7308" t="str">
        <f t="shared" si="2992"/>
        <v>NIL</v>
      </c>
      <c r="R7308" t="str">
        <f t="shared" si="2972"/>
        <v>Accepted</v>
      </c>
      <c r="S7308" t="str">
        <f t="shared" si="2985"/>
        <v>Approved</v>
      </c>
      <c r="T7308" t="str">
        <f t="shared" si="2973"/>
        <v>10.20.8.188</v>
      </c>
      <c r="U7308" t="str">
        <f t="shared" si="2986"/>
        <v>AZRAD UMAR BIN SHAARI</v>
      </c>
      <c r="V7308" t="str">
        <f t="shared" si="2987"/>
        <v>FARHANA BINTI MUSTAPA</v>
      </c>
      <c r="W7308" t="str">
        <f t="shared" si="2988"/>
        <v>04-08-2020</v>
      </c>
      <c r="X7308" t="str">
        <f t="shared" si="2989"/>
        <v>RAZIMAH ANSAR AHMAD</v>
      </c>
      <c r="Y7308" t="str">
        <f t="shared" si="2990"/>
        <v>04-08-2020</v>
      </c>
      <c r="Z7308" t="str">
        <f>"COS10200804 1846"</f>
        <v>COS10200804 1846</v>
      </c>
    </row>
    <row r="7309" spans="1:26" x14ac:dyDescent="0.25">
      <c r="A7309" t="str">
        <f t="shared" si="2976"/>
        <v>04-08-2020 12:35:42</v>
      </c>
      <c r="B7309" t="str">
        <f>"0000803600"</f>
        <v>0000803600</v>
      </c>
      <c r="C7309" t="str">
        <f t="shared" si="2977"/>
        <v>0000803555</v>
      </c>
      <c r="D7309" t="str">
        <f t="shared" si="2980"/>
        <v>73185</v>
      </c>
      <c r="E7309" t="str">
        <f t="shared" si="2981"/>
        <v>KFH-OPERATIONS DEPARTMENT</v>
      </c>
      <c r="F7309" t="str">
        <f t="shared" si="2982"/>
        <v>IBG</v>
      </c>
      <c r="G7309" t="str">
        <f t="shared" si="2993"/>
        <v>Refund COSHARE 10</v>
      </c>
      <c r="H7309" s="2">
        <v>83.95</v>
      </c>
      <c r="I7309" t="str">
        <f>"NIK SHUKRI BIN MUHAMAD"</f>
        <v>NIK SHUKRI BIN MUHAMAD</v>
      </c>
      <c r="J7309" t="str">
        <f t="shared" si="2971"/>
        <v>BANK SIMPANAN NASIONAL</v>
      </c>
      <c r="K7309" t="str">
        <f>"0114229000041896"</f>
        <v>0114229000041896</v>
      </c>
      <c r="L7309" t="str">
        <f t="shared" si="2991"/>
        <v>04-08-2020</v>
      </c>
      <c r="M7309" t="str">
        <f t="shared" si="2991"/>
        <v>04-08-2020</v>
      </c>
      <c r="N7309" t="str">
        <f t="shared" si="2983"/>
        <v>001105018356</v>
      </c>
      <c r="O7309" t="str">
        <f t="shared" si="2984"/>
        <v>MYR</v>
      </c>
      <c r="P7309" t="str">
        <f t="shared" si="2992"/>
        <v>NIL</v>
      </c>
      <c r="Q7309" t="str">
        <f t="shared" si="2992"/>
        <v>NIL</v>
      </c>
      <c r="R7309" t="str">
        <f t="shared" si="2972"/>
        <v>Accepted</v>
      </c>
      <c r="S7309" t="str">
        <f t="shared" si="2985"/>
        <v>Approved</v>
      </c>
      <c r="T7309" t="str">
        <f t="shared" si="2973"/>
        <v>10.20.8.188</v>
      </c>
      <c r="U7309" t="str">
        <f t="shared" si="2986"/>
        <v>AZRAD UMAR BIN SHAARI</v>
      </c>
      <c r="V7309" t="str">
        <f t="shared" si="2987"/>
        <v>FARHANA BINTI MUSTAPA</v>
      </c>
      <c r="W7309" t="str">
        <f t="shared" si="2988"/>
        <v>04-08-2020</v>
      </c>
      <c r="X7309" t="str">
        <f t="shared" si="2989"/>
        <v>RAZIMAH ANSAR AHMAD</v>
      </c>
      <c r="Y7309" t="str">
        <f t="shared" si="2990"/>
        <v>04-08-2020</v>
      </c>
      <c r="Z7309" t="str">
        <f>"COS10200804 1845"</f>
        <v>COS10200804 1845</v>
      </c>
    </row>
    <row r="7310" spans="1:26" x14ac:dyDescent="0.25">
      <c r="A7310" t="str">
        <f t="shared" si="2976"/>
        <v>04-08-2020 12:35:42</v>
      </c>
      <c r="B7310" t="str">
        <f>"0000803599"</f>
        <v>0000803599</v>
      </c>
      <c r="C7310" t="str">
        <f t="shared" si="2977"/>
        <v>0000803555</v>
      </c>
      <c r="D7310" t="str">
        <f t="shared" si="2980"/>
        <v>73185</v>
      </c>
      <c r="E7310" t="str">
        <f t="shared" si="2981"/>
        <v>KFH-OPERATIONS DEPARTMENT</v>
      </c>
      <c r="F7310" t="str">
        <f t="shared" si="2982"/>
        <v>IBG</v>
      </c>
      <c r="G7310" t="str">
        <f t="shared" si="2993"/>
        <v>Refund COSHARE 10</v>
      </c>
      <c r="H7310" s="2">
        <v>755.55</v>
      </c>
      <c r="I7310" t="str">
        <f>"NIK NURULHIDAYAH BINTI MAT SUKI"</f>
        <v>NIK NURULHIDAYAH BINTI MAT SUKI</v>
      </c>
      <c r="J7310" t="str">
        <f t="shared" si="2971"/>
        <v>BANK SIMPANAN NASIONAL</v>
      </c>
      <c r="K7310" t="str">
        <f>"0320129859652461"</f>
        <v>0320129859652461</v>
      </c>
      <c r="L7310" t="str">
        <f t="shared" si="2991"/>
        <v>04-08-2020</v>
      </c>
      <c r="M7310" t="str">
        <f t="shared" si="2991"/>
        <v>04-08-2020</v>
      </c>
      <c r="N7310" t="str">
        <f t="shared" si="2983"/>
        <v>001105018356</v>
      </c>
      <c r="O7310" t="str">
        <f t="shared" si="2984"/>
        <v>MYR</v>
      </c>
      <c r="P7310" t="str">
        <f t="shared" si="2992"/>
        <v>NIL</v>
      </c>
      <c r="Q7310" t="str">
        <f t="shared" si="2992"/>
        <v>NIL</v>
      </c>
      <c r="R7310" t="str">
        <f t="shared" si="2972"/>
        <v>Accepted</v>
      </c>
      <c r="S7310" t="str">
        <f t="shared" si="2985"/>
        <v>Approved</v>
      </c>
      <c r="T7310" t="str">
        <f t="shared" si="2973"/>
        <v>10.20.8.188</v>
      </c>
      <c r="U7310" t="str">
        <f t="shared" si="2986"/>
        <v>AZRAD UMAR BIN SHAARI</v>
      </c>
      <c r="V7310" t="str">
        <f t="shared" si="2987"/>
        <v>FARHANA BINTI MUSTAPA</v>
      </c>
      <c r="W7310" t="str">
        <f t="shared" si="2988"/>
        <v>04-08-2020</v>
      </c>
      <c r="X7310" t="str">
        <f t="shared" si="2989"/>
        <v>RAZIMAH ANSAR AHMAD</v>
      </c>
      <c r="Y7310" t="str">
        <f t="shared" si="2990"/>
        <v>04-08-2020</v>
      </c>
      <c r="Z7310" t="str">
        <f>"COS10200804 1844"</f>
        <v>COS10200804 1844</v>
      </c>
    </row>
    <row r="7311" spans="1:26" x14ac:dyDescent="0.25">
      <c r="A7311" t="str">
        <f t="shared" si="2976"/>
        <v>04-08-2020 12:35:42</v>
      </c>
      <c r="B7311" t="str">
        <f>"0000803598"</f>
        <v>0000803598</v>
      </c>
      <c r="C7311" t="str">
        <f t="shared" si="2977"/>
        <v>0000803555</v>
      </c>
      <c r="D7311" t="str">
        <f t="shared" si="2980"/>
        <v>73185</v>
      </c>
      <c r="E7311" t="str">
        <f t="shared" si="2981"/>
        <v>KFH-OPERATIONS DEPARTMENT</v>
      </c>
      <c r="F7311" t="str">
        <f t="shared" si="2982"/>
        <v>IBG</v>
      </c>
      <c r="G7311" t="str">
        <f t="shared" si="2993"/>
        <v>Refund COSHARE 10</v>
      </c>
      <c r="H7311" s="2">
        <v>335.8</v>
      </c>
      <c r="I7311" t="str">
        <f>"NIK MOHD AZRUL BIN ABDUL GHAFAR"</f>
        <v>NIK MOHD AZRUL BIN ABDUL GHAFAR</v>
      </c>
      <c r="J7311" t="str">
        <f t="shared" si="2971"/>
        <v>BANK SIMPANAN NASIONAL</v>
      </c>
      <c r="K7311" t="str">
        <f>"1016041000031482"</f>
        <v>1016041000031482</v>
      </c>
      <c r="L7311" t="str">
        <f t="shared" si="2991"/>
        <v>04-08-2020</v>
      </c>
      <c r="M7311" t="str">
        <f t="shared" si="2991"/>
        <v>04-08-2020</v>
      </c>
      <c r="N7311" t="str">
        <f t="shared" si="2983"/>
        <v>001105018356</v>
      </c>
      <c r="O7311" t="str">
        <f t="shared" si="2984"/>
        <v>MYR</v>
      </c>
      <c r="P7311" t="str">
        <f t="shared" si="2992"/>
        <v>NIL</v>
      </c>
      <c r="Q7311" t="str">
        <f t="shared" si="2992"/>
        <v>NIL</v>
      </c>
      <c r="R7311" t="str">
        <f t="shared" si="2972"/>
        <v>Accepted</v>
      </c>
      <c r="S7311" t="str">
        <f t="shared" si="2985"/>
        <v>Approved</v>
      </c>
      <c r="T7311" t="str">
        <f t="shared" si="2973"/>
        <v>10.20.8.188</v>
      </c>
      <c r="U7311" t="str">
        <f t="shared" si="2986"/>
        <v>AZRAD UMAR BIN SHAARI</v>
      </c>
      <c r="V7311" t="str">
        <f t="shared" si="2987"/>
        <v>FARHANA BINTI MUSTAPA</v>
      </c>
      <c r="W7311" t="str">
        <f t="shared" si="2988"/>
        <v>04-08-2020</v>
      </c>
      <c r="X7311" t="str">
        <f t="shared" si="2989"/>
        <v>RAZIMAH ANSAR AHMAD</v>
      </c>
      <c r="Y7311" t="str">
        <f t="shared" si="2990"/>
        <v>04-08-2020</v>
      </c>
      <c r="Z7311" t="str">
        <f>"COS10200804 1843"</f>
        <v>COS10200804 1843</v>
      </c>
    </row>
    <row r="7312" spans="1:26" x14ac:dyDescent="0.25">
      <c r="A7312" t="str">
        <f t="shared" si="2976"/>
        <v>04-08-2020 12:35:42</v>
      </c>
      <c r="B7312" t="str">
        <f>"0000803597"</f>
        <v>0000803597</v>
      </c>
      <c r="C7312" t="str">
        <f t="shared" si="2977"/>
        <v>0000803555</v>
      </c>
      <c r="D7312" t="str">
        <f t="shared" si="2980"/>
        <v>73185</v>
      </c>
      <c r="E7312" t="str">
        <f t="shared" si="2981"/>
        <v>KFH-OPERATIONS DEPARTMENT</v>
      </c>
      <c r="F7312" t="str">
        <f t="shared" si="2982"/>
        <v>IBG</v>
      </c>
      <c r="G7312" t="str">
        <f t="shared" si="2993"/>
        <v>Refund COSHARE 10</v>
      </c>
      <c r="H7312" s="2">
        <v>335.8</v>
      </c>
      <c r="I7312" t="str">
        <f>"NIK MOHD AZRUL BIN ABDUL GHAFAR"</f>
        <v>NIK MOHD AZRUL BIN ABDUL GHAFAR</v>
      </c>
      <c r="J7312" t="str">
        <f t="shared" si="2971"/>
        <v>BANK SIMPANAN NASIONAL</v>
      </c>
      <c r="K7312" t="str">
        <f>"1016041000031482"</f>
        <v>1016041000031482</v>
      </c>
      <c r="L7312" t="str">
        <f t="shared" si="2991"/>
        <v>04-08-2020</v>
      </c>
      <c r="M7312" t="str">
        <f t="shared" si="2991"/>
        <v>04-08-2020</v>
      </c>
      <c r="N7312" t="str">
        <f t="shared" si="2983"/>
        <v>001105018356</v>
      </c>
      <c r="O7312" t="str">
        <f t="shared" si="2984"/>
        <v>MYR</v>
      </c>
      <c r="P7312" t="str">
        <f t="shared" si="2992"/>
        <v>NIL</v>
      </c>
      <c r="Q7312" t="str">
        <f t="shared" si="2992"/>
        <v>NIL</v>
      </c>
      <c r="R7312" t="str">
        <f t="shared" si="2972"/>
        <v>Accepted</v>
      </c>
      <c r="S7312" t="str">
        <f t="shared" si="2985"/>
        <v>Approved</v>
      </c>
      <c r="T7312" t="str">
        <f t="shared" si="2973"/>
        <v>10.20.8.188</v>
      </c>
      <c r="U7312" t="str">
        <f t="shared" si="2986"/>
        <v>AZRAD UMAR BIN SHAARI</v>
      </c>
      <c r="V7312" t="str">
        <f t="shared" si="2987"/>
        <v>FARHANA BINTI MUSTAPA</v>
      </c>
      <c r="W7312" t="str">
        <f t="shared" si="2988"/>
        <v>04-08-2020</v>
      </c>
      <c r="X7312" t="str">
        <f t="shared" si="2989"/>
        <v>RAZIMAH ANSAR AHMAD</v>
      </c>
      <c r="Y7312" t="str">
        <f t="shared" si="2990"/>
        <v>04-08-2020</v>
      </c>
      <c r="Z7312" t="str">
        <f>"COS10200804 1842"</f>
        <v>COS10200804 1842</v>
      </c>
    </row>
    <row r="7313" spans="1:26" x14ac:dyDescent="0.25">
      <c r="A7313" t="str">
        <f t="shared" si="2976"/>
        <v>04-08-2020 12:35:42</v>
      </c>
      <c r="B7313" t="str">
        <f>"0000803596"</f>
        <v>0000803596</v>
      </c>
      <c r="C7313" t="str">
        <f t="shared" si="2977"/>
        <v>0000803555</v>
      </c>
      <c r="D7313" t="str">
        <f t="shared" si="2980"/>
        <v>73185</v>
      </c>
      <c r="E7313" t="str">
        <f t="shared" si="2981"/>
        <v>KFH-OPERATIONS DEPARTMENT</v>
      </c>
      <c r="F7313" t="str">
        <f t="shared" si="2982"/>
        <v>IBG</v>
      </c>
      <c r="G7313" t="str">
        <f t="shared" si="2993"/>
        <v>Refund COSHARE 10</v>
      </c>
      <c r="H7313" s="2">
        <v>491.15</v>
      </c>
      <c r="I7313" t="str">
        <f>"NIK AZILAWANI BINTI NIK YUSOFF"</f>
        <v>NIK AZILAWANI BINTI NIK YUSOFF</v>
      </c>
      <c r="J7313" t="str">
        <f t="shared" si="2971"/>
        <v>BANK SIMPANAN NASIONAL</v>
      </c>
      <c r="K7313" t="str">
        <f>"0310229812950006"</f>
        <v>0310229812950006</v>
      </c>
      <c r="L7313" t="str">
        <f t="shared" si="2991"/>
        <v>04-08-2020</v>
      </c>
      <c r="M7313" t="str">
        <f t="shared" si="2991"/>
        <v>04-08-2020</v>
      </c>
      <c r="N7313" t="str">
        <f t="shared" si="2983"/>
        <v>001105018356</v>
      </c>
      <c r="O7313" t="str">
        <f t="shared" si="2984"/>
        <v>MYR</v>
      </c>
      <c r="P7313" t="str">
        <f t="shared" si="2992"/>
        <v>NIL</v>
      </c>
      <c r="Q7313" t="str">
        <f t="shared" si="2992"/>
        <v>NIL</v>
      </c>
      <c r="R7313" t="str">
        <f t="shared" si="2972"/>
        <v>Accepted</v>
      </c>
      <c r="S7313" t="str">
        <f t="shared" si="2985"/>
        <v>Approved</v>
      </c>
      <c r="T7313" t="str">
        <f t="shared" si="2973"/>
        <v>10.20.8.188</v>
      </c>
      <c r="U7313" t="str">
        <f t="shared" si="2986"/>
        <v>AZRAD UMAR BIN SHAARI</v>
      </c>
      <c r="V7313" t="str">
        <f t="shared" si="2987"/>
        <v>FARHANA BINTI MUSTAPA</v>
      </c>
      <c r="W7313" t="str">
        <f t="shared" si="2988"/>
        <v>04-08-2020</v>
      </c>
      <c r="X7313" t="str">
        <f t="shared" si="2989"/>
        <v>RAZIMAH ANSAR AHMAD</v>
      </c>
      <c r="Y7313" t="str">
        <f t="shared" si="2990"/>
        <v>04-08-2020</v>
      </c>
      <c r="Z7313" t="str">
        <f>"COS10200804 1841"</f>
        <v>COS10200804 1841</v>
      </c>
    </row>
    <row r="7314" spans="1:26" x14ac:dyDescent="0.25">
      <c r="A7314" t="str">
        <f t="shared" ref="A7314:A7345" si="2994">"04-08-2020 12:35:42"</f>
        <v>04-08-2020 12:35:42</v>
      </c>
      <c r="B7314" t="str">
        <f>"0000803595"</f>
        <v>0000803595</v>
      </c>
      <c r="C7314" t="str">
        <f t="shared" ref="C7314:C7345" si="2995">"0000803555"</f>
        <v>0000803555</v>
      </c>
      <c r="D7314" t="str">
        <f t="shared" si="2980"/>
        <v>73185</v>
      </c>
      <c r="E7314" t="str">
        <f t="shared" si="2981"/>
        <v>KFH-OPERATIONS DEPARTMENT</v>
      </c>
      <c r="F7314" t="str">
        <f t="shared" si="2982"/>
        <v>IBG</v>
      </c>
      <c r="G7314" t="str">
        <f t="shared" si="2993"/>
        <v>Refund COSHARE 10</v>
      </c>
      <c r="H7314" s="2">
        <v>851.55</v>
      </c>
      <c r="I7314" t="str">
        <f>"NIK AKRAMIN BIN NIK ABDULLAH"</f>
        <v>NIK AKRAMIN BIN NIK ABDULLAH</v>
      </c>
      <c r="J7314" t="str">
        <f t="shared" si="2971"/>
        <v>BANK SIMPANAN NASIONAL</v>
      </c>
      <c r="K7314" t="str">
        <f>"0301741000031563"</f>
        <v>0301741000031563</v>
      </c>
      <c r="L7314" t="str">
        <f t="shared" si="2991"/>
        <v>04-08-2020</v>
      </c>
      <c r="M7314" t="str">
        <f t="shared" si="2991"/>
        <v>04-08-2020</v>
      </c>
      <c r="N7314" t="str">
        <f t="shared" si="2983"/>
        <v>001105018356</v>
      </c>
      <c r="O7314" t="str">
        <f t="shared" si="2984"/>
        <v>MYR</v>
      </c>
      <c r="P7314" t="str">
        <f t="shared" si="2992"/>
        <v>NIL</v>
      </c>
      <c r="Q7314" t="str">
        <f t="shared" si="2992"/>
        <v>NIL</v>
      </c>
      <c r="R7314" t="str">
        <f t="shared" si="2972"/>
        <v>Accepted</v>
      </c>
      <c r="S7314" t="str">
        <f t="shared" si="2985"/>
        <v>Approved</v>
      </c>
      <c r="T7314" t="str">
        <f t="shared" si="2973"/>
        <v>10.20.8.188</v>
      </c>
      <c r="U7314" t="str">
        <f t="shared" si="2986"/>
        <v>AZRAD UMAR BIN SHAARI</v>
      </c>
      <c r="V7314" t="str">
        <f t="shared" si="2987"/>
        <v>FARHANA BINTI MUSTAPA</v>
      </c>
      <c r="W7314" t="str">
        <f t="shared" si="2988"/>
        <v>04-08-2020</v>
      </c>
      <c r="X7314" t="str">
        <f t="shared" si="2989"/>
        <v>RAZIMAH ANSAR AHMAD</v>
      </c>
      <c r="Y7314" t="str">
        <f t="shared" si="2990"/>
        <v>04-08-2020</v>
      </c>
      <c r="Z7314" t="str">
        <f>"COS10200804 1840"</f>
        <v>COS10200804 1840</v>
      </c>
    </row>
    <row r="7315" spans="1:26" x14ac:dyDescent="0.25">
      <c r="A7315" t="str">
        <f t="shared" si="2994"/>
        <v>04-08-2020 12:35:42</v>
      </c>
      <c r="B7315" t="str">
        <f>"0000803594"</f>
        <v>0000803594</v>
      </c>
      <c r="C7315" t="str">
        <f t="shared" si="2995"/>
        <v>0000803555</v>
      </c>
      <c r="D7315" t="str">
        <f t="shared" si="2980"/>
        <v>73185</v>
      </c>
      <c r="E7315" t="str">
        <f t="shared" si="2981"/>
        <v>KFH-OPERATIONS DEPARTMENT</v>
      </c>
      <c r="F7315" t="str">
        <f t="shared" si="2982"/>
        <v>IBG</v>
      </c>
      <c r="G7315" t="str">
        <f t="shared" si="2993"/>
        <v>Refund COSHARE 10</v>
      </c>
      <c r="H7315" s="2">
        <v>335.8</v>
      </c>
      <c r="I7315" t="str">
        <f>"NICK HAZRUL BIN HARUN"</f>
        <v>NICK HAZRUL BIN HARUN</v>
      </c>
      <c r="J7315" t="str">
        <f t="shared" si="2971"/>
        <v>BANK SIMPANAN NASIONAL</v>
      </c>
      <c r="K7315" t="str">
        <f>"0310029889462949"</f>
        <v>0310029889462949</v>
      </c>
      <c r="L7315" t="str">
        <f t="shared" si="2991"/>
        <v>04-08-2020</v>
      </c>
      <c r="M7315" t="str">
        <f t="shared" si="2991"/>
        <v>04-08-2020</v>
      </c>
      <c r="N7315" t="str">
        <f t="shared" si="2983"/>
        <v>001105018356</v>
      </c>
      <c r="O7315" t="str">
        <f t="shared" si="2984"/>
        <v>MYR</v>
      </c>
      <c r="P7315" t="str">
        <f t="shared" si="2992"/>
        <v>NIL</v>
      </c>
      <c r="Q7315" t="str">
        <f t="shared" si="2992"/>
        <v>NIL</v>
      </c>
      <c r="R7315" t="str">
        <f t="shared" si="2972"/>
        <v>Accepted</v>
      </c>
      <c r="S7315" t="str">
        <f t="shared" si="2985"/>
        <v>Approved</v>
      </c>
      <c r="T7315" t="str">
        <f t="shared" si="2973"/>
        <v>10.20.8.188</v>
      </c>
      <c r="U7315" t="str">
        <f t="shared" si="2986"/>
        <v>AZRAD UMAR BIN SHAARI</v>
      </c>
      <c r="V7315" t="str">
        <f t="shared" si="2987"/>
        <v>FARHANA BINTI MUSTAPA</v>
      </c>
      <c r="W7315" t="str">
        <f t="shared" si="2988"/>
        <v>04-08-2020</v>
      </c>
      <c r="X7315" t="str">
        <f t="shared" si="2989"/>
        <v>RAZIMAH ANSAR AHMAD</v>
      </c>
      <c r="Y7315" t="str">
        <f t="shared" si="2990"/>
        <v>04-08-2020</v>
      </c>
      <c r="Z7315" t="str">
        <f>"COS10200804 1839"</f>
        <v>COS10200804 1839</v>
      </c>
    </row>
    <row r="7316" spans="1:26" x14ac:dyDescent="0.25">
      <c r="A7316" t="str">
        <f t="shared" si="2994"/>
        <v>04-08-2020 12:35:42</v>
      </c>
      <c r="B7316" t="str">
        <f>"0000803593"</f>
        <v>0000803593</v>
      </c>
      <c r="C7316" t="str">
        <f t="shared" si="2995"/>
        <v>0000803555</v>
      </c>
      <c r="D7316" t="str">
        <f t="shared" si="2980"/>
        <v>73185</v>
      </c>
      <c r="E7316" t="str">
        <f t="shared" si="2981"/>
        <v>KFH-OPERATIONS DEPARTMENT</v>
      </c>
      <c r="F7316" t="str">
        <f t="shared" si="2982"/>
        <v>IBG</v>
      </c>
      <c r="G7316" t="str">
        <f t="shared" si="2993"/>
        <v>Refund COSHARE 10</v>
      </c>
      <c r="H7316" s="2">
        <v>228</v>
      </c>
      <c r="I7316" t="str">
        <f>"NEN BIN MOHD SALEM"</f>
        <v>NEN BIN MOHD SALEM</v>
      </c>
      <c r="J7316" t="str">
        <f t="shared" ref="J7316:J7379" si="2996">"BANK SIMPANAN NASIONAL"</f>
        <v>BANK SIMPANAN NASIONAL</v>
      </c>
      <c r="K7316" t="str">
        <f>"1312929838213743"</f>
        <v>1312929838213743</v>
      </c>
      <c r="L7316" t="str">
        <f t="shared" si="2991"/>
        <v>04-08-2020</v>
      </c>
      <c r="M7316" t="str">
        <f t="shared" si="2991"/>
        <v>04-08-2020</v>
      </c>
      <c r="N7316" t="str">
        <f t="shared" si="2983"/>
        <v>001105018356</v>
      </c>
      <c r="O7316" t="str">
        <f t="shared" si="2984"/>
        <v>MYR</v>
      </c>
      <c r="P7316" t="str">
        <f t="shared" si="2992"/>
        <v>NIL</v>
      </c>
      <c r="Q7316" t="str">
        <f t="shared" si="2992"/>
        <v>NIL</v>
      </c>
      <c r="R7316" t="str">
        <f t="shared" si="2972"/>
        <v>Accepted</v>
      </c>
      <c r="S7316" t="str">
        <f t="shared" si="2985"/>
        <v>Approved</v>
      </c>
      <c r="T7316" t="str">
        <f t="shared" si="2973"/>
        <v>10.20.8.188</v>
      </c>
      <c r="U7316" t="str">
        <f t="shared" si="2986"/>
        <v>AZRAD UMAR BIN SHAARI</v>
      </c>
      <c r="V7316" t="str">
        <f t="shared" si="2987"/>
        <v>FARHANA BINTI MUSTAPA</v>
      </c>
      <c r="W7316" t="str">
        <f t="shared" si="2988"/>
        <v>04-08-2020</v>
      </c>
      <c r="X7316" t="str">
        <f t="shared" si="2989"/>
        <v>RAZIMAH ANSAR AHMAD</v>
      </c>
      <c r="Y7316" t="str">
        <f t="shared" si="2990"/>
        <v>04-08-2020</v>
      </c>
      <c r="Z7316" t="str">
        <f>"COS10200804 1838"</f>
        <v>COS10200804 1838</v>
      </c>
    </row>
    <row r="7317" spans="1:26" x14ac:dyDescent="0.25">
      <c r="A7317" t="str">
        <f t="shared" si="2994"/>
        <v>04-08-2020 12:35:42</v>
      </c>
      <c r="B7317" t="str">
        <f>"0000803592"</f>
        <v>0000803592</v>
      </c>
      <c r="C7317" t="str">
        <f t="shared" si="2995"/>
        <v>0000803555</v>
      </c>
      <c r="D7317" t="str">
        <f t="shared" si="2980"/>
        <v>73185</v>
      </c>
      <c r="E7317" t="str">
        <f t="shared" si="2981"/>
        <v>KFH-OPERATIONS DEPARTMENT</v>
      </c>
      <c r="F7317" t="str">
        <f t="shared" si="2982"/>
        <v>IBG</v>
      </c>
      <c r="G7317" t="str">
        <f t="shared" si="2993"/>
        <v>Refund COSHARE 10</v>
      </c>
      <c r="H7317" s="2">
        <v>705.2</v>
      </c>
      <c r="I7317" t="str">
        <f>"NAZRULLAH BIN MOHD NOOR"</f>
        <v>NAZRULLAH BIN MOHD NOOR</v>
      </c>
      <c r="J7317" t="str">
        <f t="shared" si="2996"/>
        <v>BANK SIMPANAN NASIONAL</v>
      </c>
      <c r="K7317" t="str">
        <f>"1013141000127403"</f>
        <v>1013141000127403</v>
      </c>
      <c r="L7317" t="str">
        <f t="shared" si="2991"/>
        <v>04-08-2020</v>
      </c>
      <c r="M7317" t="str">
        <f t="shared" si="2991"/>
        <v>04-08-2020</v>
      </c>
      <c r="N7317" t="str">
        <f t="shared" si="2983"/>
        <v>001105018356</v>
      </c>
      <c r="O7317" t="str">
        <f t="shared" si="2984"/>
        <v>MYR</v>
      </c>
      <c r="P7317" t="str">
        <f t="shared" si="2992"/>
        <v>NIL</v>
      </c>
      <c r="Q7317" t="str">
        <f t="shared" si="2992"/>
        <v>NIL</v>
      </c>
      <c r="R7317" t="str">
        <f t="shared" si="2972"/>
        <v>Accepted</v>
      </c>
      <c r="S7317" t="str">
        <f t="shared" si="2985"/>
        <v>Approved</v>
      </c>
      <c r="T7317" t="str">
        <f t="shared" si="2973"/>
        <v>10.20.8.188</v>
      </c>
      <c r="U7317" t="str">
        <f t="shared" si="2986"/>
        <v>AZRAD UMAR BIN SHAARI</v>
      </c>
      <c r="V7317" t="str">
        <f t="shared" si="2987"/>
        <v>FARHANA BINTI MUSTAPA</v>
      </c>
      <c r="W7317" t="str">
        <f t="shared" si="2988"/>
        <v>04-08-2020</v>
      </c>
      <c r="X7317" t="str">
        <f t="shared" si="2989"/>
        <v>RAZIMAH ANSAR AHMAD</v>
      </c>
      <c r="Y7317" t="str">
        <f t="shared" si="2990"/>
        <v>04-08-2020</v>
      </c>
      <c r="Z7317" t="str">
        <f>"COS10200804 1837"</f>
        <v>COS10200804 1837</v>
      </c>
    </row>
    <row r="7318" spans="1:26" x14ac:dyDescent="0.25">
      <c r="A7318" t="str">
        <f t="shared" si="2994"/>
        <v>04-08-2020 12:35:42</v>
      </c>
      <c r="B7318" t="str">
        <f>"0000803591"</f>
        <v>0000803591</v>
      </c>
      <c r="C7318" t="str">
        <f t="shared" si="2995"/>
        <v>0000803555</v>
      </c>
      <c r="D7318" t="str">
        <f t="shared" si="2980"/>
        <v>73185</v>
      </c>
      <c r="E7318" t="str">
        <f t="shared" si="2981"/>
        <v>KFH-OPERATIONS DEPARTMENT</v>
      </c>
      <c r="F7318" t="str">
        <f t="shared" si="2982"/>
        <v>IBG</v>
      </c>
      <c r="G7318" t="str">
        <f t="shared" si="2993"/>
        <v>Refund COSHARE 10</v>
      </c>
      <c r="H7318" s="2">
        <v>588.85</v>
      </c>
      <c r="I7318" t="str">
        <f>"NAZLINA BINTI MOHD"</f>
        <v>NAZLINA BINTI MOHD</v>
      </c>
      <c r="J7318" t="str">
        <f t="shared" si="2996"/>
        <v>BANK SIMPANAN NASIONAL</v>
      </c>
      <c r="K7318" t="str">
        <f>"1110029840768242"</f>
        <v>1110029840768242</v>
      </c>
      <c r="L7318" t="str">
        <f t="shared" si="2991"/>
        <v>04-08-2020</v>
      </c>
      <c r="M7318" t="str">
        <f t="shared" si="2991"/>
        <v>04-08-2020</v>
      </c>
      <c r="N7318" t="str">
        <f t="shared" si="2983"/>
        <v>001105018356</v>
      </c>
      <c r="O7318" t="str">
        <f t="shared" si="2984"/>
        <v>MYR</v>
      </c>
      <c r="P7318" t="str">
        <f t="shared" si="2992"/>
        <v>NIL</v>
      </c>
      <c r="Q7318" t="str">
        <f t="shared" si="2992"/>
        <v>NIL</v>
      </c>
      <c r="R7318" t="str">
        <f t="shared" si="2972"/>
        <v>Accepted</v>
      </c>
      <c r="S7318" t="str">
        <f t="shared" si="2985"/>
        <v>Approved</v>
      </c>
      <c r="T7318" t="str">
        <f t="shared" si="2973"/>
        <v>10.20.8.188</v>
      </c>
      <c r="U7318" t="str">
        <f t="shared" si="2986"/>
        <v>AZRAD UMAR BIN SHAARI</v>
      </c>
      <c r="V7318" t="str">
        <f t="shared" si="2987"/>
        <v>FARHANA BINTI MUSTAPA</v>
      </c>
      <c r="W7318" t="str">
        <f t="shared" si="2988"/>
        <v>04-08-2020</v>
      </c>
      <c r="X7318" t="str">
        <f t="shared" si="2989"/>
        <v>RAZIMAH ANSAR AHMAD</v>
      </c>
      <c r="Y7318" t="str">
        <f t="shared" si="2990"/>
        <v>04-08-2020</v>
      </c>
      <c r="Z7318" t="str">
        <f>"COS10200804 1836"</f>
        <v>COS10200804 1836</v>
      </c>
    </row>
    <row r="7319" spans="1:26" x14ac:dyDescent="0.25">
      <c r="A7319" t="str">
        <f t="shared" si="2994"/>
        <v>04-08-2020 12:35:42</v>
      </c>
      <c r="B7319" t="str">
        <f>"0000803590"</f>
        <v>0000803590</v>
      </c>
      <c r="C7319" t="str">
        <f t="shared" si="2995"/>
        <v>0000803555</v>
      </c>
      <c r="D7319" t="str">
        <f t="shared" si="2980"/>
        <v>73185</v>
      </c>
      <c r="E7319" t="str">
        <f t="shared" si="2981"/>
        <v>KFH-OPERATIONS DEPARTMENT</v>
      </c>
      <c r="F7319" t="str">
        <f t="shared" si="2982"/>
        <v>IBG</v>
      </c>
      <c r="G7319" t="str">
        <f t="shared" si="2993"/>
        <v>Refund COSHARE 10</v>
      </c>
      <c r="H7319" s="2">
        <v>125.95</v>
      </c>
      <c r="I7319" t="str">
        <f>"NANCY ANAK JOSHUA LAWIN"</f>
        <v>NANCY ANAK JOSHUA LAWIN</v>
      </c>
      <c r="J7319" t="str">
        <f t="shared" si="2996"/>
        <v>BANK SIMPANAN NASIONAL</v>
      </c>
      <c r="K7319" t="str">
        <f>"1310029811294131"</f>
        <v>1310029811294131</v>
      </c>
      <c r="L7319" t="str">
        <f t="shared" si="2991"/>
        <v>04-08-2020</v>
      </c>
      <c r="M7319" t="str">
        <f t="shared" si="2991"/>
        <v>04-08-2020</v>
      </c>
      <c r="N7319" t="str">
        <f t="shared" si="2983"/>
        <v>001105018356</v>
      </c>
      <c r="O7319" t="str">
        <f t="shared" si="2984"/>
        <v>MYR</v>
      </c>
      <c r="P7319" t="str">
        <f t="shared" si="2992"/>
        <v>NIL</v>
      </c>
      <c r="Q7319" t="str">
        <f t="shared" si="2992"/>
        <v>NIL</v>
      </c>
      <c r="R7319" t="str">
        <f t="shared" si="2972"/>
        <v>Accepted</v>
      </c>
      <c r="S7319" t="str">
        <f t="shared" si="2985"/>
        <v>Approved</v>
      </c>
      <c r="T7319" t="str">
        <f t="shared" si="2973"/>
        <v>10.20.8.188</v>
      </c>
      <c r="U7319" t="str">
        <f t="shared" si="2986"/>
        <v>AZRAD UMAR BIN SHAARI</v>
      </c>
      <c r="V7319" t="str">
        <f t="shared" si="2987"/>
        <v>FARHANA BINTI MUSTAPA</v>
      </c>
      <c r="W7319" t="str">
        <f t="shared" si="2988"/>
        <v>04-08-2020</v>
      </c>
      <c r="X7319" t="str">
        <f t="shared" si="2989"/>
        <v>RAZIMAH ANSAR AHMAD</v>
      </c>
      <c r="Y7319" t="str">
        <f t="shared" si="2990"/>
        <v>04-08-2020</v>
      </c>
      <c r="Z7319" t="str">
        <f>"COS10200804 1835"</f>
        <v>COS10200804 1835</v>
      </c>
    </row>
    <row r="7320" spans="1:26" x14ac:dyDescent="0.25">
      <c r="A7320" t="str">
        <f t="shared" si="2994"/>
        <v>04-08-2020 12:35:42</v>
      </c>
      <c r="B7320" t="str">
        <f>"0000803589"</f>
        <v>0000803589</v>
      </c>
      <c r="C7320" t="str">
        <f t="shared" si="2995"/>
        <v>0000803555</v>
      </c>
      <c r="D7320" t="str">
        <f t="shared" si="2980"/>
        <v>73185</v>
      </c>
      <c r="E7320" t="str">
        <f t="shared" si="2981"/>
        <v>KFH-OPERATIONS DEPARTMENT</v>
      </c>
      <c r="F7320" t="str">
        <f t="shared" si="2982"/>
        <v>IBG</v>
      </c>
      <c r="G7320" t="str">
        <f t="shared" si="2993"/>
        <v>Refund COSHARE 10</v>
      </c>
      <c r="H7320" s="2">
        <v>654.85</v>
      </c>
      <c r="I7320" t="str">
        <f>"NAJIB BIN MOHD KUSAIRI"</f>
        <v>NAJIB BIN MOHD KUSAIRI</v>
      </c>
      <c r="J7320" t="str">
        <f t="shared" si="2996"/>
        <v>BANK SIMPANAN NASIONAL</v>
      </c>
      <c r="K7320" t="str">
        <f>"1455029000194495"</f>
        <v>1455029000194495</v>
      </c>
      <c r="L7320" t="str">
        <f t="shared" si="2991"/>
        <v>04-08-2020</v>
      </c>
      <c r="M7320" t="str">
        <f t="shared" si="2991"/>
        <v>04-08-2020</v>
      </c>
      <c r="N7320" t="str">
        <f t="shared" si="2983"/>
        <v>001105018356</v>
      </c>
      <c r="O7320" t="str">
        <f t="shared" si="2984"/>
        <v>MYR</v>
      </c>
      <c r="P7320" t="str">
        <f t="shared" si="2992"/>
        <v>NIL</v>
      </c>
      <c r="Q7320" t="str">
        <f t="shared" si="2992"/>
        <v>NIL</v>
      </c>
      <c r="R7320" t="str">
        <f t="shared" si="2972"/>
        <v>Accepted</v>
      </c>
      <c r="S7320" t="str">
        <f t="shared" si="2985"/>
        <v>Approved</v>
      </c>
      <c r="T7320" t="str">
        <f t="shared" si="2973"/>
        <v>10.20.8.188</v>
      </c>
      <c r="U7320" t="str">
        <f t="shared" si="2986"/>
        <v>AZRAD UMAR BIN SHAARI</v>
      </c>
      <c r="V7320" t="str">
        <f t="shared" si="2987"/>
        <v>FARHANA BINTI MUSTAPA</v>
      </c>
      <c r="W7320" t="str">
        <f t="shared" si="2988"/>
        <v>04-08-2020</v>
      </c>
      <c r="X7320" t="str">
        <f t="shared" si="2989"/>
        <v>RAZIMAH ANSAR AHMAD</v>
      </c>
      <c r="Y7320" t="str">
        <f t="shared" si="2990"/>
        <v>04-08-2020</v>
      </c>
      <c r="Z7320" t="str">
        <f>"COS10200804 1834"</f>
        <v>COS10200804 1834</v>
      </c>
    </row>
    <row r="7321" spans="1:26" x14ac:dyDescent="0.25">
      <c r="A7321" t="str">
        <f t="shared" si="2994"/>
        <v>04-08-2020 12:35:42</v>
      </c>
      <c r="B7321" t="str">
        <f>"0000803588"</f>
        <v>0000803588</v>
      </c>
      <c r="C7321" t="str">
        <f t="shared" si="2995"/>
        <v>0000803555</v>
      </c>
      <c r="D7321" t="str">
        <f t="shared" si="2980"/>
        <v>73185</v>
      </c>
      <c r="E7321" t="str">
        <f t="shared" si="2981"/>
        <v>KFH-OPERATIONS DEPARTMENT</v>
      </c>
      <c r="F7321" t="str">
        <f t="shared" si="2982"/>
        <v>IBG</v>
      </c>
      <c r="G7321" t="str">
        <f t="shared" si="2993"/>
        <v>Refund COSHARE 10</v>
      </c>
      <c r="H7321" s="2">
        <v>926</v>
      </c>
      <c r="I7321" t="str">
        <f>"NAHRUL HISYAM IZUDI BIN HASSAN"</f>
        <v>NAHRUL HISYAM IZUDI BIN HASSAN</v>
      </c>
      <c r="J7321" t="str">
        <f t="shared" si="2996"/>
        <v>BANK SIMPANAN NASIONAL</v>
      </c>
      <c r="K7321" t="str">
        <f>"0311429000079034"</f>
        <v>0311429000079034</v>
      </c>
      <c r="L7321" t="str">
        <f t="shared" si="2991"/>
        <v>04-08-2020</v>
      </c>
      <c r="M7321" t="str">
        <f t="shared" si="2991"/>
        <v>04-08-2020</v>
      </c>
      <c r="N7321" t="str">
        <f t="shared" si="2983"/>
        <v>001105018356</v>
      </c>
      <c r="O7321" t="str">
        <f t="shared" si="2984"/>
        <v>MYR</v>
      </c>
      <c r="P7321" t="str">
        <f t="shared" si="2992"/>
        <v>NIL</v>
      </c>
      <c r="Q7321" t="str">
        <f t="shared" si="2992"/>
        <v>NIL</v>
      </c>
      <c r="R7321" t="str">
        <f t="shared" si="2972"/>
        <v>Accepted</v>
      </c>
      <c r="S7321" t="str">
        <f t="shared" si="2985"/>
        <v>Approved</v>
      </c>
      <c r="T7321" t="str">
        <f t="shared" si="2973"/>
        <v>10.20.8.188</v>
      </c>
      <c r="U7321" t="str">
        <f t="shared" si="2986"/>
        <v>AZRAD UMAR BIN SHAARI</v>
      </c>
      <c r="V7321" t="str">
        <f t="shared" si="2987"/>
        <v>FARHANA BINTI MUSTAPA</v>
      </c>
      <c r="W7321" t="str">
        <f t="shared" si="2988"/>
        <v>04-08-2020</v>
      </c>
      <c r="X7321" t="str">
        <f t="shared" si="2989"/>
        <v>RAZIMAH ANSAR AHMAD</v>
      </c>
      <c r="Y7321" t="str">
        <f t="shared" si="2990"/>
        <v>04-08-2020</v>
      </c>
      <c r="Z7321" t="str">
        <f>"COS10200804 1833"</f>
        <v>COS10200804 1833</v>
      </c>
    </row>
    <row r="7322" spans="1:26" x14ac:dyDescent="0.25">
      <c r="A7322" t="str">
        <f t="shared" si="2994"/>
        <v>04-08-2020 12:35:42</v>
      </c>
      <c r="B7322" t="str">
        <f>"0000803587"</f>
        <v>0000803587</v>
      </c>
      <c r="C7322" t="str">
        <f t="shared" si="2995"/>
        <v>0000803555</v>
      </c>
      <c r="D7322" t="str">
        <f t="shared" si="2980"/>
        <v>73185</v>
      </c>
      <c r="E7322" t="str">
        <f t="shared" si="2981"/>
        <v>KFH-OPERATIONS DEPARTMENT</v>
      </c>
      <c r="F7322" t="str">
        <f t="shared" si="2982"/>
        <v>IBG</v>
      </c>
      <c r="G7322" t="str">
        <f t="shared" si="2993"/>
        <v>Refund COSHARE 10</v>
      </c>
      <c r="H7322" s="2">
        <v>304</v>
      </c>
      <c r="I7322" t="str">
        <f>"NABILAH BINTI RAMLI"</f>
        <v>NABILAH BINTI RAMLI</v>
      </c>
      <c r="J7322" t="str">
        <f t="shared" si="2996"/>
        <v>BANK SIMPANAN NASIONAL</v>
      </c>
      <c r="K7322" t="str">
        <f>"0211329000083233"</f>
        <v>0211329000083233</v>
      </c>
      <c r="L7322" t="str">
        <f t="shared" si="2991"/>
        <v>04-08-2020</v>
      </c>
      <c r="M7322" t="str">
        <f t="shared" si="2991"/>
        <v>04-08-2020</v>
      </c>
      <c r="N7322" t="str">
        <f t="shared" si="2983"/>
        <v>001105018356</v>
      </c>
      <c r="O7322" t="str">
        <f t="shared" si="2984"/>
        <v>MYR</v>
      </c>
      <c r="P7322" t="str">
        <f t="shared" si="2992"/>
        <v>NIL</v>
      </c>
      <c r="Q7322" t="str">
        <f t="shared" si="2992"/>
        <v>NIL</v>
      </c>
      <c r="R7322" t="str">
        <f t="shared" si="2972"/>
        <v>Accepted</v>
      </c>
      <c r="S7322" t="str">
        <f t="shared" si="2985"/>
        <v>Approved</v>
      </c>
      <c r="T7322" t="str">
        <f t="shared" si="2973"/>
        <v>10.20.8.188</v>
      </c>
      <c r="U7322" t="str">
        <f t="shared" si="2986"/>
        <v>AZRAD UMAR BIN SHAARI</v>
      </c>
      <c r="V7322" t="str">
        <f t="shared" si="2987"/>
        <v>FARHANA BINTI MUSTAPA</v>
      </c>
      <c r="W7322" t="str">
        <f t="shared" si="2988"/>
        <v>04-08-2020</v>
      </c>
      <c r="X7322" t="str">
        <f t="shared" si="2989"/>
        <v>RAZIMAH ANSAR AHMAD</v>
      </c>
      <c r="Y7322" t="str">
        <f t="shared" si="2990"/>
        <v>04-08-2020</v>
      </c>
      <c r="Z7322" t="str">
        <f>"COS10200804 1832"</f>
        <v>COS10200804 1832</v>
      </c>
    </row>
    <row r="7323" spans="1:26" x14ac:dyDescent="0.25">
      <c r="A7323" t="str">
        <f t="shared" si="2994"/>
        <v>04-08-2020 12:35:42</v>
      </c>
      <c r="B7323" t="str">
        <f>"0000803586"</f>
        <v>0000803586</v>
      </c>
      <c r="C7323" t="str">
        <f t="shared" si="2995"/>
        <v>0000803555</v>
      </c>
      <c r="D7323" t="str">
        <f t="shared" si="2980"/>
        <v>73185</v>
      </c>
      <c r="E7323" t="str">
        <f t="shared" si="2981"/>
        <v>KFH-OPERATIONS DEPARTMENT</v>
      </c>
      <c r="F7323" t="str">
        <f t="shared" si="2982"/>
        <v>IBG</v>
      </c>
      <c r="G7323" t="str">
        <f t="shared" si="2993"/>
        <v>Refund COSHARE 10</v>
      </c>
      <c r="H7323" s="2">
        <v>125.95</v>
      </c>
      <c r="I7323" t="str">
        <f>"MUSMARTO BIN MUSTAPA"</f>
        <v>MUSMARTO BIN MUSTAPA</v>
      </c>
      <c r="J7323" t="str">
        <f t="shared" si="2996"/>
        <v>BANK SIMPANAN NASIONAL</v>
      </c>
      <c r="K7323" t="str">
        <f>"1212529000072222"</f>
        <v>1212529000072222</v>
      </c>
      <c r="L7323" t="str">
        <f t="shared" si="2991"/>
        <v>04-08-2020</v>
      </c>
      <c r="M7323" t="str">
        <f t="shared" si="2991"/>
        <v>04-08-2020</v>
      </c>
      <c r="N7323" t="str">
        <f t="shared" si="2983"/>
        <v>001105018356</v>
      </c>
      <c r="O7323" t="str">
        <f t="shared" si="2984"/>
        <v>MYR</v>
      </c>
      <c r="P7323" t="str">
        <f t="shared" si="2992"/>
        <v>NIL</v>
      </c>
      <c r="Q7323" t="str">
        <f t="shared" si="2992"/>
        <v>NIL</v>
      </c>
      <c r="R7323" t="str">
        <f t="shared" si="2972"/>
        <v>Accepted</v>
      </c>
      <c r="S7323" t="str">
        <f t="shared" si="2985"/>
        <v>Approved</v>
      </c>
      <c r="T7323" t="str">
        <f t="shared" si="2973"/>
        <v>10.20.8.188</v>
      </c>
      <c r="U7323" t="str">
        <f t="shared" si="2986"/>
        <v>AZRAD UMAR BIN SHAARI</v>
      </c>
      <c r="V7323" t="str">
        <f t="shared" si="2987"/>
        <v>FARHANA BINTI MUSTAPA</v>
      </c>
      <c r="W7323" t="str">
        <f t="shared" si="2988"/>
        <v>04-08-2020</v>
      </c>
      <c r="X7323" t="str">
        <f t="shared" si="2989"/>
        <v>RAZIMAH ANSAR AHMAD</v>
      </c>
      <c r="Y7323" t="str">
        <f t="shared" si="2990"/>
        <v>04-08-2020</v>
      </c>
      <c r="Z7323" t="str">
        <f>"COS10200804 1831"</f>
        <v>COS10200804 1831</v>
      </c>
    </row>
    <row r="7324" spans="1:26" x14ac:dyDescent="0.25">
      <c r="A7324" t="str">
        <f t="shared" si="2994"/>
        <v>04-08-2020 12:35:42</v>
      </c>
      <c r="B7324" t="str">
        <f>"0000803585"</f>
        <v>0000803585</v>
      </c>
      <c r="C7324" t="str">
        <f t="shared" si="2995"/>
        <v>0000803555</v>
      </c>
      <c r="D7324" t="str">
        <f t="shared" si="2980"/>
        <v>73185</v>
      </c>
      <c r="E7324" t="str">
        <f t="shared" si="2981"/>
        <v>KFH-OPERATIONS DEPARTMENT</v>
      </c>
      <c r="F7324" t="str">
        <f t="shared" si="2982"/>
        <v>IBG</v>
      </c>
      <c r="G7324" t="str">
        <f t="shared" si="2993"/>
        <v>Refund COSHARE 10</v>
      </c>
      <c r="H7324" s="2">
        <v>839.5</v>
      </c>
      <c r="I7324" t="str">
        <f>"MUSLIM BIN KARIM"</f>
        <v>MUSLIM BIN KARIM</v>
      </c>
      <c r="J7324" t="str">
        <f t="shared" si="2996"/>
        <v>BANK SIMPANAN NASIONAL</v>
      </c>
      <c r="K7324" t="str">
        <f>"1312729857080975"</f>
        <v>1312729857080975</v>
      </c>
      <c r="L7324" t="str">
        <f t="shared" si="2991"/>
        <v>04-08-2020</v>
      </c>
      <c r="M7324" t="str">
        <f t="shared" si="2991"/>
        <v>04-08-2020</v>
      </c>
      <c r="N7324" t="str">
        <f t="shared" si="2983"/>
        <v>001105018356</v>
      </c>
      <c r="O7324" t="str">
        <f t="shared" si="2984"/>
        <v>MYR</v>
      </c>
      <c r="P7324" t="str">
        <f t="shared" si="2992"/>
        <v>NIL</v>
      </c>
      <c r="Q7324" t="str">
        <f t="shared" si="2992"/>
        <v>NIL</v>
      </c>
      <c r="R7324" t="str">
        <f t="shared" si="2972"/>
        <v>Accepted</v>
      </c>
      <c r="S7324" t="str">
        <f t="shared" si="2985"/>
        <v>Approved</v>
      </c>
      <c r="T7324" t="str">
        <f t="shared" si="2973"/>
        <v>10.20.8.188</v>
      </c>
      <c r="U7324" t="str">
        <f t="shared" si="2986"/>
        <v>AZRAD UMAR BIN SHAARI</v>
      </c>
      <c r="V7324" t="str">
        <f t="shared" si="2987"/>
        <v>FARHANA BINTI MUSTAPA</v>
      </c>
      <c r="W7324" t="str">
        <f t="shared" si="2988"/>
        <v>04-08-2020</v>
      </c>
      <c r="X7324" t="str">
        <f t="shared" si="2989"/>
        <v>RAZIMAH ANSAR AHMAD</v>
      </c>
      <c r="Y7324" t="str">
        <f t="shared" si="2990"/>
        <v>04-08-2020</v>
      </c>
      <c r="Z7324" t="str">
        <f>"COS10200804 1830"</f>
        <v>COS10200804 1830</v>
      </c>
    </row>
    <row r="7325" spans="1:26" x14ac:dyDescent="0.25">
      <c r="A7325" t="str">
        <f t="shared" si="2994"/>
        <v>04-08-2020 12:35:42</v>
      </c>
      <c r="B7325" t="str">
        <f>"0000803584"</f>
        <v>0000803584</v>
      </c>
      <c r="C7325" t="str">
        <f t="shared" si="2995"/>
        <v>0000803555</v>
      </c>
      <c r="D7325" t="str">
        <f t="shared" si="2980"/>
        <v>73185</v>
      </c>
      <c r="E7325" t="str">
        <f t="shared" si="2981"/>
        <v>KFH-OPERATIONS DEPARTMENT</v>
      </c>
      <c r="F7325" t="str">
        <f t="shared" si="2982"/>
        <v>IBG</v>
      </c>
      <c r="G7325" t="str">
        <f t="shared" si="2993"/>
        <v>Refund COSHARE 10</v>
      </c>
      <c r="H7325" s="2">
        <v>873.1</v>
      </c>
      <c r="I7325" t="str">
        <f>"MUSA BIN HANAPI"</f>
        <v>MUSA BIN HANAPI</v>
      </c>
      <c r="J7325" t="str">
        <f t="shared" si="2996"/>
        <v>BANK SIMPANAN NASIONAL</v>
      </c>
      <c r="K7325" t="str">
        <f>"1310029811052485"</f>
        <v>1310029811052485</v>
      </c>
      <c r="L7325" t="str">
        <f t="shared" si="2991"/>
        <v>04-08-2020</v>
      </c>
      <c r="M7325" t="str">
        <f t="shared" si="2991"/>
        <v>04-08-2020</v>
      </c>
      <c r="N7325" t="str">
        <f t="shared" si="2983"/>
        <v>001105018356</v>
      </c>
      <c r="O7325" t="str">
        <f t="shared" si="2984"/>
        <v>MYR</v>
      </c>
      <c r="P7325" t="str">
        <f t="shared" si="2992"/>
        <v>NIL</v>
      </c>
      <c r="Q7325" t="str">
        <f t="shared" si="2992"/>
        <v>NIL</v>
      </c>
      <c r="R7325" t="str">
        <f t="shared" si="2972"/>
        <v>Accepted</v>
      </c>
      <c r="S7325" t="str">
        <f t="shared" si="2985"/>
        <v>Approved</v>
      </c>
      <c r="T7325" t="str">
        <f t="shared" si="2973"/>
        <v>10.20.8.188</v>
      </c>
      <c r="U7325" t="str">
        <f t="shared" si="2986"/>
        <v>AZRAD UMAR BIN SHAARI</v>
      </c>
      <c r="V7325" t="str">
        <f t="shared" si="2987"/>
        <v>FARHANA BINTI MUSTAPA</v>
      </c>
      <c r="W7325" t="str">
        <f t="shared" si="2988"/>
        <v>04-08-2020</v>
      </c>
      <c r="X7325" t="str">
        <f t="shared" si="2989"/>
        <v>RAZIMAH ANSAR AHMAD</v>
      </c>
      <c r="Y7325" t="str">
        <f t="shared" si="2990"/>
        <v>04-08-2020</v>
      </c>
      <c r="Z7325" t="str">
        <f>"COS10200804 1829"</f>
        <v>COS10200804 1829</v>
      </c>
    </row>
    <row r="7326" spans="1:26" x14ac:dyDescent="0.25">
      <c r="A7326" t="str">
        <f t="shared" si="2994"/>
        <v>04-08-2020 12:35:42</v>
      </c>
      <c r="B7326" t="str">
        <f>"0000803583"</f>
        <v>0000803583</v>
      </c>
      <c r="C7326" t="str">
        <f t="shared" si="2995"/>
        <v>0000803555</v>
      </c>
      <c r="D7326" t="str">
        <f t="shared" si="2980"/>
        <v>73185</v>
      </c>
      <c r="E7326" t="str">
        <f t="shared" si="2981"/>
        <v>KFH-OPERATIONS DEPARTMENT</v>
      </c>
      <c r="F7326" t="str">
        <f t="shared" si="2982"/>
        <v>IBG</v>
      </c>
      <c r="G7326" t="str">
        <f t="shared" si="2993"/>
        <v>Refund COSHARE 10</v>
      </c>
      <c r="H7326" s="2">
        <v>88.95</v>
      </c>
      <c r="I7326" t="str">
        <f>"MUSA BIN ABD JAMAL"</f>
        <v>MUSA BIN ABD JAMAL</v>
      </c>
      <c r="J7326" t="str">
        <f t="shared" si="2996"/>
        <v>BANK SIMPANAN NASIONAL</v>
      </c>
      <c r="K7326" t="str">
        <f>"1415429896739275"</f>
        <v>1415429896739275</v>
      </c>
      <c r="L7326" t="str">
        <f t="shared" si="2991"/>
        <v>04-08-2020</v>
      </c>
      <c r="M7326" t="str">
        <f t="shared" si="2991"/>
        <v>04-08-2020</v>
      </c>
      <c r="N7326" t="str">
        <f t="shared" si="2983"/>
        <v>001105018356</v>
      </c>
      <c r="O7326" t="str">
        <f t="shared" si="2984"/>
        <v>MYR</v>
      </c>
      <c r="P7326" t="str">
        <f t="shared" si="2992"/>
        <v>NIL</v>
      </c>
      <c r="Q7326" t="str">
        <f t="shared" si="2992"/>
        <v>NIL</v>
      </c>
      <c r="R7326" t="str">
        <f t="shared" si="2972"/>
        <v>Accepted</v>
      </c>
      <c r="S7326" t="str">
        <f t="shared" si="2985"/>
        <v>Approved</v>
      </c>
      <c r="T7326" t="str">
        <f t="shared" si="2973"/>
        <v>10.20.8.188</v>
      </c>
      <c r="U7326" t="str">
        <f t="shared" si="2986"/>
        <v>AZRAD UMAR BIN SHAARI</v>
      </c>
      <c r="V7326" t="str">
        <f t="shared" si="2987"/>
        <v>FARHANA BINTI MUSTAPA</v>
      </c>
      <c r="W7326" t="str">
        <f t="shared" si="2988"/>
        <v>04-08-2020</v>
      </c>
      <c r="X7326" t="str">
        <f t="shared" si="2989"/>
        <v>RAZIMAH ANSAR AHMAD</v>
      </c>
      <c r="Y7326" t="str">
        <f t="shared" si="2990"/>
        <v>04-08-2020</v>
      </c>
      <c r="Z7326" t="str">
        <f>"COS10200804 1828"</f>
        <v>COS10200804 1828</v>
      </c>
    </row>
    <row r="7327" spans="1:26" x14ac:dyDescent="0.25">
      <c r="A7327" t="str">
        <f t="shared" si="2994"/>
        <v>04-08-2020 12:35:42</v>
      </c>
      <c r="B7327" t="str">
        <f>"0000803582"</f>
        <v>0000803582</v>
      </c>
      <c r="C7327" t="str">
        <f t="shared" si="2995"/>
        <v>0000803555</v>
      </c>
      <c r="D7327" t="str">
        <f t="shared" si="2980"/>
        <v>73185</v>
      </c>
      <c r="E7327" t="str">
        <f t="shared" si="2981"/>
        <v>KFH-OPERATIONS DEPARTMENT</v>
      </c>
      <c r="F7327" t="str">
        <f t="shared" si="2982"/>
        <v>IBG</v>
      </c>
      <c r="G7327" t="str">
        <f t="shared" si="2993"/>
        <v>Refund COSHARE 10</v>
      </c>
      <c r="H7327" s="2">
        <v>58.8</v>
      </c>
      <c r="I7327" t="str">
        <f>"MURIANY BINTI ASRI"</f>
        <v>MURIANY BINTI ASRI</v>
      </c>
      <c r="J7327" t="str">
        <f t="shared" si="2996"/>
        <v>BANK SIMPANAN NASIONAL</v>
      </c>
      <c r="K7327" t="str">
        <f>"1211229856375320"</f>
        <v>1211229856375320</v>
      </c>
      <c r="L7327" t="str">
        <f t="shared" ref="L7327:M7346" si="2997">"04-08-2020"</f>
        <v>04-08-2020</v>
      </c>
      <c r="M7327" t="str">
        <f t="shared" si="2997"/>
        <v>04-08-2020</v>
      </c>
      <c r="N7327" t="str">
        <f t="shared" si="2983"/>
        <v>001105018356</v>
      </c>
      <c r="O7327" t="str">
        <f t="shared" si="2984"/>
        <v>MYR</v>
      </c>
      <c r="P7327" t="str">
        <f t="shared" ref="P7327:Q7346" si="2998">"NIL"</f>
        <v>NIL</v>
      </c>
      <c r="Q7327" t="str">
        <f t="shared" si="2998"/>
        <v>NIL</v>
      </c>
      <c r="R7327" t="str">
        <f t="shared" si="2972"/>
        <v>Accepted</v>
      </c>
      <c r="S7327" t="str">
        <f t="shared" si="2985"/>
        <v>Approved</v>
      </c>
      <c r="T7327" t="str">
        <f t="shared" si="2973"/>
        <v>10.20.8.188</v>
      </c>
      <c r="U7327" t="str">
        <f t="shared" si="2986"/>
        <v>AZRAD UMAR BIN SHAARI</v>
      </c>
      <c r="V7327" t="str">
        <f t="shared" si="2987"/>
        <v>FARHANA BINTI MUSTAPA</v>
      </c>
      <c r="W7327" t="str">
        <f t="shared" si="2988"/>
        <v>04-08-2020</v>
      </c>
      <c r="X7327" t="str">
        <f t="shared" si="2989"/>
        <v>RAZIMAH ANSAR AHMAD</v>
      </c>
      <c r="Y7327" t="str">
        <f t="shared" si="2990"/>
        <v>04-08-2020</v>
      </c>
      <c r="Z7327" t="str">
        <f>"COS10200804 1827"</f>
        <v>COS10200804 1827</v>
      </c>
    </row>
    <row r="7328" spans="1:26" x14ac:dyDescent="0.25">
      <c r="A7328" t="str">
        <f t="shared" si="2994"/>
        <v>04-08-2020 12:35:42</v>
      </c>
      <c r="B7328" t="str">
        <f>"0000803581"</f>
        <v>0000803581</v>
      </c>
      <c r="C7328" t="str">
        <f t="shared" si="2995"/>
        <v>0000803555</v>
      </c>
      <c r="D7328" t="str">
        <f t="shared" si="2980"/>
        <v>73185</v>
      </c>
      <c r="E7328" t="str">
        <f t="shared" si="2981"/>
        <v>KFH-OPERATIONS DEPARTMENT</v>
      </c>
      <c r="F7328" t="str">
        <f t="shared" si="2982"/>
        <v>IBG</v>
      </c>
      <c r="G7328" t="str">
        <f t="shared" si="2993"/>
        <v>Refund COSHARE 10</v>
      </c>
      <c r="H7328" s="2">
        <v>386.2</v>
      </c>
      <c r="I7328" t="str">
        <f>"MURI GANDOT"</f>
        <v>MURI GANDOT</v>
      </c>
      <c r="J7328" t="str">
        <f t="shared" si="2996"/>
        <v>BANK SIMPANAN NASIONAL</v>
      </c>
      <c r="K7328" t="str">
        <f>"1410029000312669"</f>
        <v>1410029000312669</v>
      </c>
      <c r="L7328" t="str">
        <f t="shared" si="2997"/>
        <v>04-08-2020</v>
      </c>
      <c r="M7328" t="str">
        <f t="shared" si="2997"/>
        <v>04-08-2020</v>
      </c>
      <c r="N7328" t="str">
        <f t="shared" si="2983"/>
        <v>001105018356</v>
      </c>
      <c r="O7328" t="str">
        <f t="shared" si="2984"/>
        <v>MYR</v>
      </c>
      <c r="P7328" t="str">
        <f t="shared" si="2998"/>
        <v>NIL</v>
      </c>
      <c r="Q7328" t="str">
        <f t="shared" si="2998"/>
        <v>NIL</v>
      </c>
      <c r="R7328" t="str">
        <f t="shared" si="2972"/>
        <v>Accepted</v>
      </c>
      <c r="S7328" t="str">
        <f t="shared" si="2985"/>
        <v>Approved</v>
      </c>
      <c r="T7328" t="str">
        <f t="shared" si="2973"/>
        <v>10.20.8.188</v>
      </c>
      <c r="U7328" t="str">
        <f t="shared" si="2986"/>
        <v>AZRAD UMAR BIN SHAARI</v>
      </c>
      <c r="V7328" t="str">
        <f t="shared" si="2987"/>
        <v>FARHANA BINTI MUSTAPA</v>
      </c>
      <c r="W7328" t="str">
        <f t="shared" si="2988"/>
        <v>04-08-2020</v>
      </c>
      <c r="X7328" t="str">
        <f t="shared" si="2989"/>
        <v>RAZIMAH ANSAR AHMAD</v>
      </c>
      <c r="Y7328" t="str">
        <f t="shared" si="2990"/>
        <v>04-08-2020</v>
      </c>
      <c r="Z7328" t="str">
        <f>"COS10200804 1826"</f>
        <v>COS10200804 1826</v>
      </c>
    </row>
    <row r="7329" spans="1:26" x14ac:dyDescent="0.25">
      <c r="A7329" t="str">
        <f t="shared" si="2994"/>
        <v>04-08-2020 12:35:42</v>
      </c>
      <c r="B7329" t="str">
        <f>"0000803580"</f>
        <v>0000803580</v>
      </c>
      <c r="C7329" t="str">
        <f t="shared" si="2995"/>
        <v>0000803555</v>
      </c>
      <c r="D7329" t="str">
        <f t="shared" si="2980"/>
        <v>73185</v>
      </c>
      <c r="E7329" t="str">
        <f t="shared" si="2981"/>
        <v>KFH-OPERATIONS DEPARTMENT</v>
      </c>
      <c r="F7329" t="str">
        <f t="shared" si="2982"/>
        <v>IBG</v>
      </c>
      <c r="G7329" t="str">
        <f t="shared" si="2993"/>
        <v>Refund COSHARE 10</v>
      </c>
      <c r="H7329" s="2">
        <v>50.4</v>
      </c>
      <c r="I7329" t="str">
        <f>"MUHD ZAHARUDDIN BIN LAMDIN"</f>
        <v>MUHD ZAHARUDDIN BIN LAMDIN</v>
      </c>
      <c r="J7329" t="str">
        <f t="shared" si="2996"/>
        <v>BANK SIMPANAN NASIONAL</v>
      </c>
      <c r="K7329" t="str">
        <f>"1410029000201981"</f>
        <v>1410029000201981</v>
      </c>
      <c r="L7329" t="str">
        <f t="shared" si="2997"/>
        <v>04-08-2020</v>
      </c>
      <c r="M7329" t="str">
        <f t="shared" si="2997"/>
        <v>04-08-2020</v>
      </c>
      <c r="N7329" t="str">
        <f t="shared" si="2983"/>
        <v>001105018356</v>
      </c>
      <c r="O7329" t="str">
        <f t="shared" si="2984"/>
        <v>MYR</v>
      </c>
      <c r="P7329" t="str">
        <f t="shared" si="2998"/>
        <v>NIL</v>
      </c>
      <c r="Q7329" t="str">
        <f t="shared" si="2998"/>
        <v>NIL</v>
      </c>
      <c r="R7329" t="str">
        <f t="shared" si="2972"/>
        <v>Accepted</v>
      </c>
      <c r="S7329" t="str">
        <f t="shared" si="2985"/>
        <v>Approved</v>
      </c>
      <c r="T7329" t="str">
        <f t="shared" si="2973"/>
        <v>10.20.8.188</v>
      </c>
      <c r="U7329" t="str">
        <f t="shared" si="2986"/>
        <v>AZRAD UMAR BIN SHAARI</v>
      </c>
      <c r="V7329" t="str">
        <f t="shared" si="2987"/>
        <v>FARHANA BINTI MUSTAPA</v>
      </c>
      <c r="W7329" t="str">
        <f t="shared" si="2988"/>
        <v>04-08-2020</v>
      </c>
      <c r="X7329" t="str">
        <f t="shared" si="2989"/>
        <v>RAZIMAH ANSAR AHMAD</v>
      </c>
      <c r="Y7329" t="str">
        <f t="shared" si="2990"/>
        <v>04-08-2020</v>
      </c>
      <c r="Z7329" t="str">
        <f>"COS10200804 1825"</f>
        <v>COS10200804 1825</v>
      </c>
    </row>
    <row r="7330" spans="1:26" x14ac:dyDescent="0.25">
      <c r="A7330" t="str">
        <f t="shared" si="2994"/>
        <v>04-08-2020 12:35:42</v>
      </c>
      <c r="B7330" t="str">
        <f>"0000803579"</f>
        <v>0000803579</v>
      </c>
      <c r="C7330" t="str">
        <f t="shared" si="2995"/>
        <v>0000803555</v>
      </c>
      <c r="D7330" t="str">
        <f t="shared" si="2980"/>
        <v>73185</v>
      </c>
      <c r="E7330" t="str">
        <f t="shared" si="2981"/>
        <v>KFH-OPERATIONS DEPARTMENT</v>
      </c>
      <c r="F7330" t="str">
        <f t="shared" si="2982"/>
        <v>IBG</v>
      </c>
      <c r="G7330" t="str">
        <f t="shared" si="2993"/>
        <v>Refund COSHARE 10</v>
      </c>
      <c r="H7330" s="2">
        <v>497</v>
      </c>
      <c r="I7330" t="str">
        <f>"MUHAMMAD ZURIN BIN USOL GHAFLI"</f>
        <v>MUHAMMAD ZURIN BIN USOL GHAFLI</v>
      </c>
      <c r="J7330" t="str">
        <f t="shared" si="2996"/>
        <v>BANK SIMPANAN NASIONAL</v>
      </c>
      <c r="K7330" t="str">
        <f>"0710029000398216"</f>
        <v>0710029000398216</v>
      </c>
      <c r="L7330" t="str">
        <f t="shared" si="2997"/>
        <v>04-08-2020</v>
      </c>
      <c r="M7330" t="str">
        <f t="shared" si="2997"/>
        <v>04-08-2020</v>
      </c>
      <c r="N7330" t="str">
        <f t="shared" si="2983"/>
        <v>001105018356</v>
      </c>
      <c r="O7330" t="str">
        <f t="shared" si="2984"/>
        <v>MYR</v>
      </c>
      <c r="P7330" t="str">
        <f t="shared" si="2998"/>
        <v>NIL</v>
      </c>
      <c r="Q7330" t="str">
        <f t="shared" si="2998"/>
        <v>NIL</v>
      </c>
      <c r="R7330" t="str">
        <f t="shared" ref="R7330:R7393" si="2999">"Accepted"</f>
        <v>Accepted</v>
      </c>
      <c r="S7330" t="str">
        <f t="shared" si="2985"/>
        <v>Approved</v>
      </c>
      <c r="T7330" t="str">
        <f t="shared" ref="T7330:T7393" si="3000">"10.20.8.188"</f>
        <v>10.20.8.188</v>
      </c>
      <c r="U7330" t="str">
        <f t="shared" si="2986"/>
        <v>AZRAD UMAR BIN SHAARI</v>
      </c>
      <c r="V7330" t="str">
        <f t="shared" si="2987"/>
        <v>FARHANA BINTI MUSTAPA</v>
      </c>
      <c r="W7330" t="str">
        <f t="shared" si="2988"/>
        <v>04-08-2020</v>
      </c>
      <c r="X7330" t="str">
        <f t="shared" si="2989"/>
        <v>RAZIMAH ANSAR AHMAD</v>
      </c>
      <c r="Y7330" t="str">
        <f t="shared" si="2990"/>
        <v>04-08-2020</v>
      </c>
      <c r="Z7330" t="str">
        <f>"COS10200804 1824"</f>
        <v>COS10200804 1824</v>
      </c>
    </row>
    <row r="7331" spans="1:26" x14ac:dyDescent="0.25">
      <c r="A7331" t="str">
        <f t="shared" si="2994"/>
        <v>04-08-2020 12:35:42</v>
      </c>
      <c r="B7331" t="str">
        <f>"0000803578"</f>
        <v>0000803578</v>
      </c>
      <c r="C7331" t="str">
        <f t="shared" si="2995"/>
        <v>0000803555</v>
      </c>
      <c r="D7331" t="str">
        <f t="shared" si="2980"/>
        <v>73185</v>
      </c>
      <c r="E7331" t="str">
        <f t="shared" si="2981"/>
        <v>KFH-OPERATIONS DEPARTMENT</v>
      </c>
      <c r="F7331" t="str">
        <f t="shared" si="2982"/>
        <v>IBG</v>
      </c>
      <c r="G7331" t="str">
        <f t="shared" si="2993"/>
        <v>Refund COSHARE 10</v>
      </c>
      <c r="H7331" s="2">
        <v>1063</v>
      </c>
      <c r="I7331" t="str">
        <f>"MUHAMMAD SYAFIQ BIN MOHD ZAMAN"</f>
        <v>MUHAMMAD SYAFIQ BIN MOHD ZAMAN</v>
      </c>
      <c r="J7331" t="str">
        <f t="shared" si="2996"/>
        <v>BANK SIMPANAN NASIONAL</v>
      </c>
      <c r="K7331" t="str">
        <f>"1415841000022792"</f>
        <v>1415841000022792</v>
      </c>
      <c r="L7331" t="str">
        <f t="shared" si="2997"/>
        <v>04-08-2020</v>
      </c>
      <c r="M7331" t="str">
        <f t="shared" si="2997"/>
        <v>04-08-2020</v>
      </c>
      <c r="N7331" t="str">
        <f t="shared" si="2983"/>
        <v>001105018356</v>
      </c>
      <c r="O7331" t="str">
        <f t="shared" si="2984"/>
        <v>MYR</v>
      </c>
      <c r="P7331" t="str">
        <f t="shared" si="2998"/>
        <v>NIL</v>
      </c>
      <c r="Q7331" t="str">
        <f t="shared" si="2998"/>
        <v>NIL</v>
      </c>
      <c r="R7331" t="str">
        <f t="shared" si="2999"/>
        <v>Accepted</v>
      </c>
      <c r="S7331" t="str">
        <f t="shared" si="2985"/>
        <v>Approved</v>
      </c>
      <c r="T7331" t="str">
        <f t="shared" si="3000"/>
        <v>10.20.8.188</v>
      </c>
      <c r="U7331" t="str">
        <f t="shared" si="2986"/>
        <v>AZRAD UMAR BIN SHAARI</v>
      </c>
      <c r="V7331" t="str">
        <f t="shared" si="2987"/>
        <v>FARHANA BINTI MUSTAPA</v>
      </c>
      <c r="W7331" t="str">
        <f t="shared" si="2988"/>
        <v>04-08-2020</v>
      </c>
      <c r="X7331" t="str">
        <f t="shared" si="2989"/>
        <v>RAZIMAH ANSAR AHMAD</v>
      </c>
      <c r="Y7331" t="str">
        <f t="shared" si="2990"/>
        <v>04-08-2020</v>
      </c>
      <c r="Z7331" t="str">
        <f>"COS10200804 1823"</f>
        <v>COS10200804 1823</v>
      </c>
    </row>
    <row r="7332" spans="1:26" x14ac:dyDescent="0.25">
      <c r="A7332" t="str">
        <f t="shared" si="2994"/>
        <v>04-08-2020 12:35:42</v>
      </c>
      <c r="B7332" t="str">
        <f>"0000803577"</f>
        <v>0000803577</v>
      </c>
      <c r="C7332" t="str">
        <f t="shared" si="2995"/>
        <v>0000803555</v>
      </c>
      <c r="D7332" t="str">
        <f t="shared" si="2980"/>
        <v>73185</v>
      </c>
      <c r="E7332" t="str">
        <f t="shared" si="2981"/>
        <v>KFH-OPERATIONS DEPARTMENT</v>
      </c>
      <c r="F7332" t="str">
        <f t="shared" si="2982"/>
        <v>IBG</v>
      </c>
      <c r="G7332" t="str">
        <f t="shared" si="2993"/>
        <v>Refund COSHARE 10</v>
      </c>
      <c r="H7332" s="2">
        <v>587.65</v>
      </c>
      <c r="I7332" t="str">
        <f>"MUHAMMAD QUDUS BIN ABDULAH"</f>
        <v>MUHAMMAD QUDUS BIN ABDULAH</v>
      </c>
      <c r="J7332" t="str">
        <f t="shared" si="2996"/>
        <v>BANK SIMPANAN NASIONAL</v>
      </c>
      <c r="K7332" t="str">
        <f>"0899529000131623"</f>
        <v>0899529000131623</v>
      </c>
      <c r="L7332" t="str">
        <f t="shared" si="2997"/>
        <v>04-08-2020</v>
      </c>
      <c r="M7332" t="str">
        <f t="shared" si="2997"/>
        <v>04-08-2020</v>
      </c>
      <c r="N7332" t="str">
        <f t="shared" si="2983"/>
        <v>001105018356</v>
      </c>
      <c r="O7332" t="str">
        <f t="shared" si="2984"/>
        <v>MYR</v>
      </c>
      <c r="P7332" t="str">
        <f t="shared" si="2998"/>
        <v>NIL</v>
      </c>
      <c r="Q7332" t="str">
        <f t="shared" si="2998"/>
        <v>NIL</v>
      </c>
      <c r="R7332" t="str">
        <f t="shared" si="2999"/>
        <v>Accepted</v>
      </c>
      <c r="S7332" t="str">
        <f t="shared" si="2985"/>
        <v>Approved</v>
      </c>
      <c r="T7332" t="str">
        <f t="shared" si="3000"/>
        <v>10.20.8.188</v>
      </c>
      <c r="U7332" t="str">
        <f t="shared" si="2986"/>
        <v>AZRAD UMAR BIN SHAARI</v>
      </c>
      <c r="V7332" t="str">
        <f t="shared" si="2987"/>
        <v>FARHANA BINTI MUSTAPA</v>
      </c>
      <c r="W7332" t="str">
        <f t="shared" si="2988"/>
        <v>04-08-2020</v>
      </c>
      <c r="X7332" t="str">
        <f t="shared" si="2989"/>
        <v>RAZIMAH ANSAR AHMAD</v>
      </c>
      <c r="Y7332" t="str">
        <f t="shared" si="2990"/>
        <v>04-08-2020</v>
      </c>
      <c r="Z7332" t="str">
        <f>"COS10200804 1822"</f>
        <v>COS10200804 1822</v>
      </c>
    </row>
    <row r="7333" spans="1:26" x14ac:dyDescent="0.25">
      <c r="A7333" t="str">
        <f t="shared" si="2994"/>
        <v>04-08-2020 12:35:42</v>
      </c>
      <c r="B7333" t="str">
        <f>"0000803576"</f>
        <v>0000803576</v>
      </c>
      <c r="C7333" t="str">
        <f t="shared" si="2995"/>
        <v>0000803555</v>
      </c>
      <c r="D7333" t="str">
        <f t="shared" si="2980"/>
        <v>73185</v>
      </c>
      <c r="E7333" t="str">
        <f t="shared" si="2981"/>
        <v>KFH-OPERATIONS DEPARTMENT</v>
      </c>
      <c r="F7333" t="str">
        <f t="shared" si="2982"/>
        <v>IBG</v>
      </c>
      <c r="G7333" t="str">
        <f t="shared" si="2993"/>
        <v>Refund COSHARE 10</v>
      </c>
      <c r="H7333" s="2">
        <v>83.95</v>
      </c>
      <c r="I7333" t="str">
        <f>"MUHAMMAD JUNAIDI BIN JAMALUDIN"</f>
        <v>MUHAMMAD JUNAIDI BIN JAMALUDIN</v>
      </c>
      <c r="J7333" t="str">
        <f t="shared" si="2996"/>
        <v>BANK SIMPANAN NASIONAL</v>
      </c>
      <c r="K7333" t="str">
        <f>"0412329000033629"</f>
        <v>0412329000033629</v>
      </c>
      <c r="L7333" t="str">
        <f t="shared" si="2997"/>
        <v>04-08-2020</v>
      </c>
      <c r="M7333" t="str">
        <f t="shared" si="2997"/>
        <v>04-08-2020</v>
      </c>
      <c r="N7333" t="str">
        <f t="shared" si="2983"/>
        <v>001105018356</v>
      </c>
      <c r="O7333" t="str">
        <f t="shared" si="2984"/>
        <v>MYR</v>
      </c>
      <c r="P7333" t="str">
        <f t="shared" si="2998"/>
        <v>NIL</v>
      </c>
      <c r="Q7333" t="str">
        <f t="shared" si="2998"/>
        <v>NIL</v>
      </c>
      <c r="R7333" t="str">
        <f t="shared" si="2999"/>
        <v>Accepted</v>
      </c>
      <c r="S7333" t="str">
        <f t="shared" si="2985"/>
        <v>Approved</v>
      </c>
      <c r="T7333" t="str">
        <f t="shared" si="3000"/>
        <v>10.20.8.188</v>
      </c>
      <c r="U7333" t="str">
        <f t="shared" si="2986"/>
        <v>AZRAD UMAR BIN SHAARI</v>
      </c>
      <c r="V7333" t="str">
        <f t="shared" si="2987"/>
        <v>FARHANA BINTI MUSTAPA</v>
      </c>
      <c r="W7333" t="str">
        <f t="shared" si="2988"/>
        <v>04-08-2020</v>
      </c>
      <c r="X7333" t="str">
        <f t="shared" si="2989"/>
        <v>RAZIMAH ANSAR AHMAD</v>
      </c>
      <c r="Y7333" t="str">
        <f t="shared" si="2990"/>
        <v>04-08-2020</v>
      </c>
      <c r="Z7333" t="str">
        <f>"COS10200804 1821"</f>
        <v>COS10200804 1821</v>
      </c>
    </row>
    <row r="7334" spans="1:26" x14ac:dyDescent="0.25">
      <c r="A7334" t="str">
        <f t="shared" si="2994"/>
        <v>04-08-2020 12:35:42</v>
      </c>
      <c r="B7334" t="str">
        <f>"0000803575"</f>
        <v>0000803575</v>
      </c>
      <c r="C7334" t="str">
        <f t="shared" si="2995"/>
        <v>0000803555</v>
      </c>
      <c r="D7334" t="str">
        <f t="shared" si="2980"/>
        <v>73185</v>
      </c>
      <c r="E7334" t="str">
        <f t="shared" si="2981"/>
        <v>KFH-OPERATIONS DEPARTMENT</v>
      </c>
      <c r="F7334" t="str">
        <f t="shared" si="2982"/>
        <v>IBG</v>
      </c>
      <c r="G7334" t="str">
        <f t="shared" si="2993"/>
        <v>Refund COSHARE 10</v>
      </c>
      <c r="H7334" s="2">
        <v>167</v>
      </c>
      <c r="I7334" t="str">
        <f>"MUHAMMAD HAZELAN BIN ZULKIPLI"</f>
        <v>MUHAMMAD HAZELAN BIN ZULKIPLI</v>
      </c>
      <c r="J7334" t="str">
        <f t="shared" si="2996"/>
        <v>BANK SIMPANAN NASIONAL</v>
      </c>
      <c r="K7334" t="str">
        <f>"1419529000108055"</f>
        <v>1419529000108055</v>
      </c>
      <c r="L7334" t="str">
        <f t="shared" si="2997"/>
        <v>04-08-2020</v>
      </c>
      <c r="M7334" t="str">
        <f t="shared" si="2997"/>
        <v>04-08-2020</v>
      </c>
      <c r="N7334" t="str">
        <f t="shared" si="2983"/>
        <v>001105018356</v>
      </c>
      <c r="O7334" t="str">
        <f t="shared" si="2984"/>
        <v>MYR</v>
      </c>
      <c r="P7334" t="str">
        <f t="shared" si="2998"/>
        <v>NIL</v>
      </c>
      <c r="Q7334" t="str">
        <f t="shared" si="2998"/>
        <v>NIL</v>
      </c>
      <c r="R7334" t="str">
        <f t="shared" si="2999"/>
        <v>Accepted</v>
      </c>
      <c r="S7334" t="str">
        <f t="shared" si="2985"/>
        <v>Approved</v>
      </c>
      <c r="T7334" t="str">
        <f t="shared" si="3000"/>
        <v>10.20.8.188</v>
      </c>
      <c r="U7334" t="str">
        <f t="shared" si="2986"/>
        <v>AZRAD UMAR BIN SHAARI</v>
      </c>
      <c r="V7334" t="str">
        <f t="shared" si="2987"/>
        <v>FARHANA BINTI MUSTAPA</v>
      </c>
      <c r="W7334" t="str">
        <f t="shared" si="2988"/>
        <v>04-08-2020</v>
      </c>
      <c r="X7334" t="str">
        <f t="shared" si="2989"/>
        <v>RAZIMAH ANSAR AHMAD</v>
      </c>
      <c r="Y7334" t="str">
        <f t="shared" si="2990"/>
        <v>04-08-2020</v>
      </c>
      <c r="Z7334" t="str">
        <f>"COS10200804 1820"</f>
        <v>COS10200804 1820</v>
      </c>
    </row>
    <row r="7335" spans="1:26" x14ac:dyDescent="0.25">
      <c r="A7335" t="str">
        <f t="shared" si="2994"/>
        <v>04-08-2020 12:35:42</v>
      </c>
      <c r="B7335" t="str">
        <f>"0000803574"</f>
        <v>0000803574</v>
      </c>
      <c r="C7335" t="str">
        <f t="shared" si="2995"/>
        <v>0000803555</v>
      </c>
      <c r="D7335" t="str">
        <f t="shared" si="2980"/>
        <v>73185</v>
      </c>
      <c r="E7335" t="str">
        <f t="shared" si="2981"/>
        <v>KFH-OPERATIONS DEPARTMENT</v>
      </c>
      <c r="F7335" t="str">
        <f t="shared" si="2982"/>
        <v>IBG</v>
      </c>
      <c r="G7335" t="str">
        <f t="shared" si="2993"/>
        <v>Refund COSHARE 10</v>
      </c>
      <c r="H7335" s="2">
        <v>167.9</v>
      </c>
      <c r="I7335" t="str">
        <f>"MUHAMMAD FARIZ IMRAN BIN M ABDULLAH"</f>
        <v>MUHAMMAD FARIZ IMRAN BIN M ABDULLAH</v>
      </c>
      <c r="J7335" t="str">
        <f t="shared" si="2996"/>
        <v>BANK SIMPANAN NASIONAL</v>
      </c>
      <c r="K7335" t="str">
        <f>"1016029000063915"</f>
        <v>1016029000063915</v>
      </c>
      <c r="L7335" t="str">
        <f t="shared" si="2997"/>
        <v>04-08-2020</v>
      </c>
      <c r="M7335" t="str">
        <f t="shared" si="2997"/>
        <v>04-08-2020</v>
      </c>
      <c r="N7335" t="str">
        <f t="shared" si="2983"/>
        <v>001105018356</v>
      </c>
      <c r="O7335" t="str">
        <f t="shared" si="2984"/>
        <v>MYR</v>
      </c>
      <c r="P7335" t="str">
        <f t="shared" si="2998"/>
        <v>NIL</v>
      </c>
      <c r="Q7335" t="str">
        <f t="shared" si="2998"/>
        <v>NIL</v>
      </c>
      <c r="R7335" t="str">
        <f t="shared" si="2999"/>
        <v>Accepted</v>
      </c>
      <c r="S7335" t="str">
        <f t="shared" si="2985"/>
        <v>Approved</v>
      </c>
      <c r="T7335" t="str">
        <f t="shared" si="3000"/>
        <v>10.20.8.188</v>
      </c>
      <c r="U7335" t="str">
        <f t="shared" si="2986"/>
        <v>AZRAD UMAR BIN SHAARI</v>
      </c>
      <c r="V7335" t="str">
        <f t="shared" si="2987"/>
        <v>FARHANA BINTI MUSTAPA</v>
      </c>
      <c r="W7335" t="str">
        <f t="shared" si="2988"/>
        <v>04-08-2020</v>
      </c>
      <c r="X7335" t="str">
        <f t="shared" si="2989"/>
        <v>RAZIMAH ANSAR AHMAD</v>
      </c>
      <c r="Y7335" t="str">
        <f t="shared" si="2990"/>
        <v>04-08-2020</v>
      </c>
      <c r="Z7335" t="str">
        <f>"COS10200804 1819"</f>
        <v>COS10200804 1819</v>
      </c>
    </row>
    <row r="7336" spans="1:26" x14ac:dyDescent="0.25">
      <c r="A7336" t="str">
        <f t="shared" si="2994"/>
        <v>04-08-2020 12:35:42</v>
      </c>
      <c r="B7336" t="str">
        <f>"0000803573"</f>
        <v>0000803573</v>
      </c>
      <c r="C7336" t="str">
        <f t="shared" si="2995"/>
        <v>0000803555</v>
      </c>
      <c r="D7336" t="str">
        <f t="shared" si="2980"/>
        <v>73185</v>
      </c>
      <c r="E7336" t="str">
        <f t="shared" si="2981"/>
        <v>KFH-OPERATIONS DEPARTMENT</v>
      </c>
      <c r="F7336" t="str">
        <f t="shared" si="2982"/>
        <v>IBG</v>
      </c>
      <c r="G7336" t="str">
        <f t="shared" si="2993"/>
        <v>Refund COSHARE 10</v>
      </c>
      <c r="H7336" s="2">
        <v>67.2</v>
      </c>
      <c r="I7336" t="str">
        <f>"MUHAMMAD FAIZAL BIN NOORDIN"</f>
        <v>MUHAMMAD FAIZAL BIN NOORDIN</v>
      </c>
      <c r="J7336" t="str">
        <f t="shared" si="2996"/>
        <v>BANK SIMPANAN NASIONAL</v>
      </c>
      <c r="K7336" t="str">
        <f>"1013629000013844"</f>
        <v>1013629000013844</v>
      </c>
      <c r="L7336" t="str">
        <f t="shared" si="2997"/>
        <v>04-08-2020</v>
      </c>
      <c r="M7336" t="str">
        <f t="shared" si="2997"/>
        <v>04-08-2020</v>
      </c>
      <c r="N7336" t="str">
        <f t="shared" si="2983"/>
        <v>001105018356</v>
      </c>
      <c r="O7336" t="str">
        <f t="shared" si="2984"/>
        <v>MYR</v>
      </c>
      <c r="P7336" t="str">
        <f t="shared" si="2998"/>
        <v>NIL</v>
      </c>
      <c r="Q7336" t="str">
        <f t="shared" si="2998"/>
        <v>NIL</v>
      </c>
      <c r="R7336" t="str">
        <f t="shared" si="2999"/>
        <v>Accepted</v>
      </c>
      <c r="S7336" t="str">
        <f t="shared" si="2985"/>
        <v>Approved</v>
      </c>
      <c r="T7336" t="str">
        <f t="shared" si="3000"/>
        <v>10.20.8.188</v>
      </c>
      <c r="U7336" t="str">
        <f t="shared" si="2986"/>
        <v>AZRAD UMAR BIN SHAARI</v>
      </c>
      <c r="V7336" t="str">
        <f t="shared" si="2987"/>
        <v>FARHANA BINTI MUSTAPA</v>
      </c>
      <c r="W7336" t="str">
        <f t="shared" si="2988"/>
        <v>04-08-2020</v>
      </c>
      <c r="X7336" t="str">
        <f t="shared" si="2989"/>
        <v>RAZIMAH ANSAR AHMAD</v>
      </c>
      <c r="Y7336" t="str">
        <f t="shared" si="2990"/>
        <v>04-08-2020</v>
      </c>
      <c r="Z7336" t="str">
        <f>"COS10200804 1818"</f>
        <v>COS10200804 1818</v>
      </c>
    </row>
    <row r="7337" spans="1:26" x14ac:dyDescent="0.25">
      <c r="A7337" t="str">
        <f t="shared" si="2994"/>
        <v>04-08-2020 12:35:42</v>
      </c>
      <c r="B7337" t="str">
        <f>"0000803572"</f>
        <v>0000803572</v>
      </c>
      <c r="C7337" t="str">
        <f t="shared" si="2995"/>
        <v>0000803555</v>
      </c>
      <c r="D7337" t="str">
        <f t="shared" si="2980"/>
        <v>73185</v>
      </c>
      <c r="E7337" t="str">
        <f t="shared" si="2981"/>
        <v>KFH-OPERATIONS DEPARTMENT</v>
      </c>
      <c r="F7337" t="str">
        <f t="shared" si="2982"/>
        <v>IBG</v>
      </c>
      <c r="G7337" t="str">
        <f t="shared" si="2993"/>
        <v>Refund COSHARE 10</v>
      </c>
      <c r="H7337" s="2">
        <v>629.65</v>
      </c>
      <c r="I7337" t="str">
        <f>"MUHAMMAD FADZLAN BIN BASROH"</f>
        <v>MUHAMMAD FADZLAN BIN BASROH</v>
      </c>
      <c r="J7337" t="str">
        <f t="shared" si="2996"/>
        <v>BANK SIMPANAN NASIONAL</v>
      </c>
      <c r="K7337" t="str">
        <f>"1417129000028656"</f>
        <v>1417129000028656</v>
      </c>
      <c r="L7337" t="str">
        <f t="shared" si="2997"/>
        <v>04-08-2020</v>
      </c>
      <c r="M7337" t="str">
        <f t="shared" si="2997"/>
        <v>04-08-2020</v>
      </c>
      <c r="N7337" t="str">
        <f t="shared" si="2983"/>
        <v>001105018356</v>
      </c>
      <c r="O7337" t="str">
        <f t="shared" si="2984"/>
        <v>MYR</v>
      </c>
      <c r="P7337" t="str">
        <f t="shared" si="2998"/>
        <v>NIL</v>
      </c>
      <c r="Q7337" t="str">
        <f t="shared" si="2998"/>
        <v>NIL</v>
      </c>
      <c r="R7337" t="str">
        <f t="shared" si="2999"/>
        <v>Accepted</v>
      </c>
      <c r="S7337" t="str">
        <f t="shared" si="2985"/>
        <v>Approved</v>
      </c>
      <c r="T7337" t="str">
        <f t="shared" si="3000"/>
        <v>10.20.8.188</v>
      </c>
      <c r="U7337" t="str">
        <f t="shared" si="2986"/>
        <v>AZRAD UMAR BIN SHAARI</v>
      </c>
      <c r="V7337" t="str">
        <f t="shared" si="2987"/>
        <v>FARHANA BINTI MUSTAPA</v>
      </c>
      <c r="W7337" t="str">
        <f t="shared" si="2988"/>
        <v>04-08-2020</v>
      </c>
      <c r="X7337" t="str">
        <f t="shared" si="2989"/>
        <v>RAZIMAH ANSAR AHMAD</v>
      </c>
      <c r="Y7337" t="str">
        <f t="shared" si="2990"/>
        <v>04-08-2020</v>
      </c>
      <c r="Z7337" t="str">
        <f>"COS10200804 1817"</f>
        <v>COS10200804 1817</v>
      </c>
    </row>
    <row r="7338" spans="1:26" x14ac:dyDescent="0.25">
      <c r="A7338" t="str">
        <f t="shared" si="2994"/>
        <v>04-08-2020 12:35:42</v>
      </c>
      <c r="B7338" t="str">
        <f>"0000803571"</f>
        <v>0000803571</v>
      </c>
      <c r="C7338" t="str">
        <f t="shared" si="2995"/>
        <v>0000803555</v>
      </c>
      <c r="D7338" t="str">
        <f t="shared" si="2980"/>
        <v>73185</v>
      </c>
      <c r="E7338" t="str">
        <f t="shared" si="2981"/>
        <v>KFH-OPERATIONS DEPARTMENT</v>
      </c>
      <c r="F7338" t="str">
        <f t="shared" si="2982"/>
        <v>IBG</v>
      </c>
      <c r="G7338" t="str">
        <f t="shared" si="2993"/>
        <v>Refund COSHARE 10</v>
      </c>
      <c r="H7338" s="2">
        <v>69</v>
      </c>
      <c r="I7338" t="str">
        <f>"MUHAMAD RAZIF BIN MAT JANAL"</f>
        <v>MUHAMAD RAZIF BIN MAT JANAL</v>
      </c>
      <c r="J7338" t="str">
        <f t="shared" si="2996"/>
        <v>BANK SIMPANAN NASIONAL</v>
      </c>
      <c r="K7338" t="str">
        <f>"1014841000023244"</f>
        <v>1014841000023244</v>
      </c>
      <c r="L7338" t="str">
        <f t="shared" si="2997"/>
        <v>04-08-2020</v>
      </c>
      <c r="M7338" t="str">
        <f t="shared" si="2997"/>
        <v>04-08-2020</v>
      </c>
      <c r="N7338" t="str">
        <f t="shared" si="2983"/>
        <v>001105018356</v>
      </c>
      <c r="O7338" t="str">
        <f t="shared" si="2984"/>
        <v>MYR</v>
      </c>
      <c r="P7338" t="str">
        <f t="shared" si="2998"/>
        <v>NIL</v>
      </c>
      <c r="Q7338" t="str">
        <f t="shared" si="2998"/>
        <v>NIL</v>
      </c>
      <c r="R7338" t="str">
        <f t="shared" si="2999"/>
        <v>Accepted</v>
      </c>
      <c r="S7338" t="str">
        <f t="shared" si="2985"/>
        <v>Approved</v>
      </c>
      <c r="T7338" t="str">
        <f t="shared" si="3000"/>
        <v>10.20.8.188</v>
      </c>
      <c r="U7338" t="str">
        <f t="shared" si="2986"/>
        <v>AZRAD UMAR BIN SHAARI</v>
      </c>
      <c r="V7338" t="str">
        <f t="shared" si="2987"/>
        <v>FARHANA BINTI MUSTAPA</v>
      </c>
      <c r="W7338" t="str">
        <f t="shared" si="2988"/>
        <v>04-08-2020</v>
      </c>
      <c r="X7338" t="str">
        <f t="shared" si="2989"/>
        <v>RAZIMAH ANSAR AHMAD</v>
      </c>
      <c r="Y7338" t="str">
        <f t="shared" si="2990"/>
        <v>04-08-2020</v>
      </c>
      <c r="Z7338" t="str">
        <f>"COS10200804 1816"</f>
        <v>COS10200804 1816</v>
      </c>
    </row>
    <row r="7339" spans="1:26" x14ac:dyDescent="0.25">
      <c r="A7339" t="str">
        <f t="shared" si="2994"/>
        <v>04-08-2020 12:35:42</v>
      </c>
      <c r="B7339" t="str">
        <f>"0000803570"</f>
        <v>0000803570</v>
      </c>
      <c r="C7339" t="str">
        <f t="shared" si="2995"/>
        <v>0000803555</v>
      </c>
      <c r="D7339" t="str">
        <f t="shared" si="2980"/>
        <v>73185</v>
      </c>
      <c r="E7339" t="str">
        <f t="shared" si="2981"/>
        <v>KFH-OPERATIONS DEPARTMENT</v>
      </c>
      <c r="F7339" t="str">
        <f t="shared" si="2982"/>
        <v>IBG</v>
      </c>
      <c r="G7339" t="str">
        <f t="shared" si="2993"/>
        <v>Refund COSHARE 10</v>
      </c>
      <c r="H7339" s="2">
        <v>181</v>
      </c>
      <c r="I7339" t="str">
        <f>"MUHAMAD NOOR BIN NOORDIN"</f>
        <v>MUHAMAD NOOR BIN NOORDIN</v>
      </c>
      <c r="J7339" t="str">
        <f t="shared" si="2996"/>
        <v>BANK SIMPANAN NASIONAL</v>
      </c>
      <c r="K7339" t="str">
        <f>"0219041000172356"</f>
        <v>0219041000172356</v>
      </c>
      <c r="L7339" t="str">
        <f t="shared" si="2997"/>
        <v>04-08-2020</v>
      </c>
      <c r="M7339" t="str">
        <f t="shared" si="2997"/>
        <v>04-08-2020</v>
      </c>
      <c r="N7339" t="str">
        <f t="shared" si="2983"/>
        <v>001105018356</v>
      </c>
      <c r="O7339" t="str">
        <f t="shared" si="2984"/>
        <v>MYR</v>
      </c>
      <c r="P7339" t="str">
        <f t="shared" si="2998"/>
        <v>NIL</v>
      </c>
      <c r="Q7339" t="str">
        <f t="shared" si="2998"/>
        <v>NIL</v>
      </c>
      <c r="R7339" t="str">
        <f t="shared" si="2999"/>
        <v>Accepted</v>
      </c>
      <c r="S7339" t="str">
        <f t="shared" si="2985"/>
        <v>Approved</v>
      </c>
      <c r="T7339" t="str">
        <f t="shared" si="3000"/>
        <v>10.20.8.188</v>
      </c>
      <c r="U7339" t="str">
        <f t="shared" si="2986"/>
        <v>AZRAD UMAR BIN SHAARI</v>
      </c>
      <c r="V7339" t="str">
        <f t="shared" si="2987"/>
        <v>FARHANA BINTI MUSTAPA</v>
      </c>
      <c r="W7339" t="str">
        <f t="shared" si="2988"/>
        <v>04-08-2020</v>
      </c>
      <c r="X7339" t="str">
        <f t="shared" si="2989"/>
        <v>RAZIMAH ANSAR AHMAD</v>
      </c>
      <c r="Y7339" t="str">
        <f t="shared" si="2990"/>
        <v>04-08-2020</v>
      </c>
      <c r="Z7339" t="str">
        <f>"COS10200804 1815"</f>
        <v>COS10200804 1815</v>
      </c>
    </row>
    <row r="7340" spans="1:26" x14ac:dyDescent="0.25">
      <c r="A7340" t="str">
        <f t="shared" si="2994"/>
        <v>04-08-2020 12:35:42</v>
      </c>
      <c r="B7340" t="str">
        <f>"0000803569"</f>
        <v>0000803569</v>
      </c>
      <c r="C7340" t="str">
        <f t="shared" si="2995"/>
        <v>0000803555</v>
      </c>
      <c r="D7340" t="str">
        <f t="shared" si="2980"/>
        <v>73185</v>
      </c>
      <c r="E7340" t="str">
        <f t="shared" si="2981"/>
        <v>KFH-OPERATIONS DEPARTMENT</v>
      </c>
      <c r="F7340" t="str">
        <f t="shared" si="2982"/>
        <v>IBG</v>
      </c>
      <c r="G7340" t="str">
        <f t="shared" si="2993"/>
        <v>Refund COSHARE 10</v>
      </c>
      <c r="H7340" s="2">
        <v>377.8</v>
      </c>
      <c r="I7340" t="str">
        <f>"MUHAMAD NAZIM BIN KUDORI"</f>
        <v>MUHAMAD NAZIM BIN KUDORI</v>
      </c>
      <c r="J7340" t="str">
        <f t="shared" si="2996"/>
        <v>BANK SIMPANAN NASIONAL</v>
      </c>
      <c r="K7340" t="str">
        <f>"0920029000081197"</f>
        <v>0920029000081197</v>
      </c>
      <c r="L7340" t="str">
        <f t="shared" si="2997"/>
        <v>04-08-2020</v>
      </c>
      <c r="M7340" t="str">
        <f t="shared" si="2997"/>
        <v>04-08-2020</v>
      </c>
      <c r="N7340" t="str">
        <f t="shared" si="2983"/>
        <v>001105018356</v>
      </c>
      <c r="O7340" t="str">
        <f t="shared" si="2984"/>
        <v>MYR</v>
      </c>
      <c r="P7340" t="str">
        <f t="shared" si="2998"/>
        <v>NIL</v>
      </c>
      <c r="Q7340" t="str">
        <f t="shared" si="2998"/>
        <v>NIL</v>
      </c>
      <c r="R7340" t="str">
        <f t="shared" si="2999"/>
        <v>Accepted</v>
      </c>
      <c r="S7340" t="str">
        <f t="shared" si="2985"/>
        <v>Approved</v>
      </c>
      <c r="T7340" t="str">
        <f t="shared" si="3000"/>
        <v>10.20.8.188</v>
      </c>
      <c r="U7340" t="str">
        <f t="shared" si="2986"/>
        <v>AZRAD UMAR BIN SHAARI</v>
      </c>
      <c r="V7340" t="str">
        <f t="shared" si="2987"/>
        <v>FARHANA BINTI MUSTAPA</v>
      </c>
      <c r="W7340" t="str">
        <f t="shared" si="2988"/>
        <v>04-08-2020</v>
      </c>
      <c r="X7340" t="str">
        <f t="shared" si="2989"/>
        <v>RAZIMAH ANSAR AHMAD</v>
      </c>
      <c r="Y7340" t="str">
        <f t="shared" si="2990"/>
        <v>04-08-2020</v>
      </c>
      <c r="Z7340" t="str">
        <f>"COS10200804 1814"</f>
        <v>COS10200804 1814</v>
      </c>
    </row>
    <row r="7341" spans="1:26" x14ac:dyDescent="0.25">
      <c r="A7341" t="str">
        <f t="shared" si="2994"/>
        <v>04-08-2020 12:35:42</v>
      </c>
      <c r="B7341" t="str">
        <f>"0000803568"</f>
        <v>0000803568</v>
      </c>
      <c r="C7341" t="str">
        <f t="shared" si="2995"/>
        <v>0000803555</v>
      </c>
      <c r="D7341" t="str">
        <f t="shared" si="2980"/>
        <v>73185</v>
      </c>
      <c r="E7341" t="str">
        <f t="shared" si="2981"/>
        <v>KFH-OPERATIONS DEPARTMENT</v>
      </c>
      <c r="F7341" t="str">
        <f t="shared" si="2982"/>
        <v>IBG</v>
      </c>
      <c r="G7341" t="str">
        <f t="shared" si="2993"/>
        <v>Refund COSHARE 10</v>
      </c>
      <c r="H7341" s="2">
        <v>814.35</v>
      </c>
      <c r="I7341" t="str">
        <f>"MUHAMAD IZUAN BIN ABDULLAH"</f>
        <v>MUHAMAD IZUAN BIN ABDULLAH</v>
      </c>
      <c r="J7341" t="str">
        <f t="shared" si="2996"/>
        <v>BANK SIMPANAN NASIONAL</v>
      </c>
      <c r="K7341" t="str">
        <f>"0320129000047625"</f>
        <v>0320129000047625</v>
      </c>
      <c r="L7341" t="str">
        <f t="shared" si="2997"/>
        <v>04-08-2020</v>
      </c>
      <c r="M7341" t="str">
        <f t="shared" si="2997"/>
        <v>04-08-2020</v>
      </c>
      <c r="N7341" t="str">
        <f t="shared" si="2983"/>
        <v>001105018356</v>
      </c>
      <c r="O7341" t="str">
        <f t="shared" si="2984"/>
        <v>MYR</v>
      </c>
      <c r="P7341" t="str">
        <f t="shared" si="2998"/>
        <v>NIL</v>
      </c>
      <c r="Q7341" t="str">
        <f t="shared" si="2998"/>
        <v>NIL</v>
      </c>
      <c r="R7341" t="str">
        <f t="shared" si="2999"/>
        <v>Accepted</v>
      </c>
      <c r="S7341" t="str">
        <f t="shared" si="2985"/>
        <v>Approved</v>
      </c>
      <c r="T7341" t="str">
        <f t="shared" si="3000"/>
        <v>10.20.8.188</v>
      </c>
      <c r="U7341" t="str">
        <f t="shared" si="2986"/>
        <v>AZRAD UMAR BIN SHAARI</v>
      </c>
      <c r="V7341" t="str">
        <f t="shared" si="2987"/>
        <v>FARHANA BINTI MUSTAPA</v>
      </c>
      <c r="W7341" t="str">
        <f t="shared" si="2988"/>
        <v>04-08-2020</v>
      </c>
      <c r="X7341" t="str">
        <f t="shared" si="2989"/>
        <v>RAZIMAH ANSAR AHMAD</v>
      </c>
      <c r="Y7341" t="str">
        <f t="shared" si="2990"/>
        <v>04-08-2020</v>
      </c>
      <c r="Z7341" t="str">
        <f>"COS10200804 1813"</f>
        <v>COS10200804 1813</v>
      </c>
    </row>
    <row r="7342" spans="1:26" x14ac:dyDescent="0.25">
      <c r="A7342" t="str">
        <f t="shared" si="2994"/>
        <v>04-08-2020 12:35:42</v>
      </c>
      <c r="B7342" t="str">
        <f>"0000803567"</f>
        <v>0000803567</v>
      </c>
      <c r="C7342" t="str">
        <f t="shared" si="2995"/>
        <v>0000803555</v>
      </c>
      <c r="D7342" t="str">
        <f t="shared" si="2980"/>
        <v>73185</v>
      </c>
      <c r="E7342" t="str">
        <f t="shared" si="2981"/>
        <v>KFH-OPERATIONS DEPARTMENT</v>
      </c>
      <c r="F7342" t="str">
        <f t="shared" si="2982"/>
        <v>IBG</v>
      </c>
      <c r="G7342" t="str">
        <f t="shared" si="2993"/>
        <v>Refund COSHARE 10</v>
      </c>
      <c r="H7342" s="2">
        <v>797.55</v>
      </c>
      <c r="I7342" t="str">
        <f>"MUHAMAD HASRUL BIN ABDUL RASHID"</f>
        <v>MUHAMAD HASRUL BIN ABDUL RASHID</v>
      </c>
      <c r="J7342" t="str">
        <f t="shared" si="2996"/>
        <v>BANK SIMPANAN NASIONAL</v>
      </c>
      <c r="K7342" t="str">
        <f>"0212829000029006"</f>
        <v>0212829000029006</v>
      </c>
      <c r="L7342" t="str">
        <f t="shared" si="2997"/>
        <v>04-08-2020</v>
      </c>
      <c r="M7342" t="str">
        <f t="shared" si="2997"/>
        <v>04-08-2020</v>
      </c>
      <c r="N7342" t="str">
        <f t="shared" si="2983"/>
        <v>001105018356</v>
      </c>
      <c r="O7342" t="str">
        <f t="shared" si="2984"/>
        <v>MYR</v>
      </c>
      <c r="P7342" t="str">
        <f t="shared" si="2998"/>
        <v>NIL</v>
      </c>
      <c r="Q7342" t="str">
        <f t="shared" si="2998"/>
        <v>NIL</v>
      </c>
      <c r="R7342" t="str">
        <f t="shared" si="2999"/>
        <v>Accepted</v>
      </c>
      <c r="S7342" t="str">
        <f t="shared" si="2985"/>
        <v>Approved</v>
      </c>
      <c r="T7342" t="str">
        <f t="shared" si="3000"/>
        <v>10.20.8.188</v>
      </c>
      <c r="U7342" t="str">
        <f t="shared" si="2986"/>
        <v>AZRAD UMAR BIN SHAARI</v>
      </c>
      <c r="V7342" t="str">
        <f t="shared" si="2987"/>
        <v>FARHANA BINTI MUSTAPA</v>
      </c>
      <c r="W7342" t="str">
        <f t="shared" si="2988"/>
        <v>04-08-2020</v>
      </c>
      <c r="X7342" t="str">
        <f t="shared" si="2989"/>
        <v>RAZIMAH ANSAR AHMAD</v>
      </c>
      <c r="Y7342" t="str">
        <f t="shared" si="2990"/>
        <v>04-08-2020</v>
      </c>
      <c r="Z7342" t="str">
        <f>"COS10200804 1812"</f>
        <v>COS10200804 1812</v>
      </c>
    </row>
    <row r="7343" spans="1:26" x14ac:dyDescent="0.25">
      <c r="A7343" t="str">
        <f t="shared" si="2994"/>
        <v>04-08-2020 12:35:42</v>
      </c>
      <c r="B7343" t="str">
        <f>"0000803566"</f>
        <v>0000803566</v>
      </c>
      <c r="C7343" t="str">
        <f t="shared" si="2995"/>
        <v>0000803555</v>
      </c>
      <c r="D7343" t="str">
        <f t="shared" si="2980"/>
        <v>73185</v>
      </c>
      <c r="E7343" t="str">
        <f t="shared" si="2981"/>
        <v>KFH-OPERATIONS DEPARTMENT</v>
      </c>
      <c r="F7343" t="str">
        <f t="shared" si="2982"/>
        <v>IBG</v>
      </c>
      <c r="G7343" t="str">
        <f t="shared" si="2993"/>
        <v>Refund COSHARE 10</v>
      </c>
      <c r="H7343" s="2">
        <v>906.65</v>
      </c>
      <c r="I7343" t="str">
        <f>"MUHAMAD AZIZI BIN AHMAD"</f>
        <v>MUHAMAD AZIZI BIN AHMAD</v>
      </c>
      <c r="J7343" t="str">
        <f t="shared" si="2996"/>
        <v>BANK SIMPANAN NASIONAL</v>
      </c>
      <c r="K7343" t="str">
        <f>"0410629000473592"</f>
        <v>0410629000473592</v>
      </c>
      <c r="L7343" t="str">
        <f t="shared" si="2997"/>
        <v>04-08-2020</v>
      </c>
      <c r="M7343" t="str">
        <f t="shared" si="2997"/>
        <v>04-08-2020</v>
      </c>
      <c r="N7343" t="str">
        <f t="shared" si="2983"/>
        <v>001105018356</v>
      </c>
      <c r="O7343" t="str">
        <f t="shared" si="2984"/>
        <v>MYR</v>
      </c>
      <c r="P7343" t="str">
        <f t="shared" si="2998"/>
        <v>NIL</v>
      </c>
      <c r="Q7343" t="str">
        <f t="shared" si="2998"/>
        <v>NIL</v>
      </c>
      <c r="R7343" t="str">
        <f t="shared" si="2999"/>
        <v>Accepted</v>
      </c>
      <c r="S7343" t="str">
        <f t="shared" si="2985"/>
        <v>Approved</v>
      </c>
      <c r="T7343" t="str">
        <f t="shared" si="3000"/>
        <v>10.20.8.188</v>
      </c>
      <c r="U7343" t="str">
        <f t="shared" si="2986"/>
        <v>AZRAD UMAR BIN SHAARI</v>
      </c>
      <c r="V7343" t="str">
        <f t="shared" si="2987"/>
        <v>FARHANA BINTI MUSTAPA</v>
      </c>
      <c r="W7343" t="str">
        <f t="shared" si="2988"/>
        <v>04-08-2020</v>
      </c>
      <c r="X7343" t="str">
        <f t="shared" si="2989"/>
        <v>RAZIMAH ANSAR AHMAD</v>
      </c>
      <c r="Y7343" t="str">
        <f t="shared" si="2990"/>
        <v>04-08-2020</v>
      </c>
      <c r="Z7343" t="str">
        <f>"COS10200804 1811"</f>
        <v>COS10200804 1811</v>
      </c>
    </row>
    <row r="7344" spans="1:26" x14ac:dyDescent="0.25">
      <c r="A7344" t="str">
        <f t="shared" si="2994"/>
        <v>04-08-2020 12:35:42</v>
      </c>
      <c r="B7344" t="str">
        <f>"0000803565"</f>
        <v>0000803565</v>
      </c>
      <c r="C7344" t="str">
        <f t="shared" si="2995"/>
        <v>0000803555</v>
      </c>
      <c r="D7344" t="str">
        <f t="shared" si="2980"/>
        <v>73185</v>
      </c>
      <c r="E7344" t="str">
        <f t="shared" si="2981"/>
        <v>KFH-OPERATIONS DEPARTMENT</v>
      </c>
      <c r="F7344" t="str">
        <f t="shared" si="2982"/>
        <v>IBG</v>
      </c>
      <c r="G7344" t="str">
        <f t="shared" si="2993"/>
        <v>Refund COSHARE 10</v>
      </c>
      <c r="H7344" s="2">
        <v>562.45000000000005</v>
      </c>
      <c r="I7344" t="str">
        <f>"MUHAMAD ASRULHISAM BIN ZAKARIA"</f>
        <v>MUHAMAD ASRULHISAM BIN ZAKARIA</v>
      </c>
      <c r="J7344" t="str">
        <f t="shared" si="2996"/>
        <v>BANK SIMPANAN NASIONAL</v>
      </c>
      <c r="K7344" t="str">
        <f>"0311929810039601"</f>
        <v>0311929810039601</v>
      </c>
      <c r="L7344" t="str">
        <f t="shared" si="2997"/>
        <v>04-08-2020</v>
      </c>
      <c r="M7344" t="str">
        <f t="shared" si="2997"/>
        <v>04-08-2020</v>
      </c>
      <c r="N7344" t="str">
        <f t="shared" si="2983"/>
        <v>001105018356</v>
      </c>
      <c r="O7344" t="str">
        <f t="shared" si="2984"/>
        <v>MYR</v>
      </c>
      <c r="P7344" t="str">
        <f t="shared" si="2998"/>
        <v>NIL</v>
      </c>
      <c r="Q7344" t="str">
        <f t="shared" si="2998"/>
        <v>NIL</v>
      </c>
      <c r="R7344" t="str">
        <f t="shared" si="2999"/>
        <v>Accepted</v>
      </c>
      <c r="S7344" t="str">
        <f t="shared" si="2985"/>
        <v>Approved</v>
      </c>
      <c r="T7344" t="str">
        <f t="shared" si="3000"/>
        <v>10.20.8.188</v>
      </c>
      <c r="U7344" t="str">
        <f t="shared" si="2986"/>
        <v>AZRAD UMAR BIN SHAARI</v>
      </c>
      <c r="V7344" t="str">
        <f t="shared" si="2987"/>
        <v>FARHANA BINTI MUSTAPA</v>
      </c>
      <c r="W7344" t="str">
        <f t="shared" si="2988"/>
        <v>04-08-2020</v>
      </c>
      <c r="X7344" t="str">
        <f t="shared" si="2989"/>
        <v>RAZIMAH ANSAR AHMAD</v>
      </c>
      <c r="Y7344" t="str">
        <f t="shared" si="2990"/>
        <v>04-08-2020</v>
      </c>
      <c r="Z7344" t="str">
        <f>"COS10200804 1810"</f>
        <v>COS10200804 1810</v>
      </c>
    </row>
    <row r="7345" spans="1:26" x14ac:dyDescent="0.25">
      <c r="A7345" t="str">
        <f t="shared" si="2994"/>
        <v>04-08-2020 12:35:42</v>
      </c>
      <c r="B7345" t="str">
        <f>"0000803564"</f>
        <v>0000803564</v>
      </c>
      <c r="C7345" t="str">
        <f t="shared" si="2995"/>
        <v>0000803555</v>
      </c>
      <c r="D7345" t="str">
        <f t="shared" si="2980"/>
        <v>73185</v>
      </c>
      <c r="E7345" t="str">
        <f t="shared" si="2981"/>
        <v>KFH-OPERATIONS DEPARTMENT</v>
      </c>
      <c r="F7345" t="str">
        <f t="shared" si="2982"/>
        <v>IBG</v>
      </c>
      <c r="G7345" t="str">
        <f t="shared" si="2993"/>
        <v>Refund COSHARE 10</v>
      </c>
      <c r="H7345" s="2">
        <v>491.15</v>
      </c>
      <c r="I7345" t="str">
        <f>"MUHAMAD ASRAF BIN MD ZAIN"</f>
        <v>MUHAMAD ASRAF BIN MD ZAIN</v>
      </c>
      <c r="J7345" t="str">
        <f t="shared" si="2996"/>
        <v>BANK SIMPANAN NASIONAL</v>
      </c>
      <c r="K7345" t="str">
        <f>"0310929000074567"</f>
        <v>0310929000074567</v>
      </c>
      <c r="L7345" t="str">
        <f t="shared" si="2997"/>
        <v>04-08-2020</v>
      </c>
      <c r="M7345" t="str">
        <f t="shared" si="2997"/>
        <v>04-08-2020</v>
      </c>
      <c r="N7345" t="str">
        <f t="shared" si="2983"/>
        <v>001105018356</v>
      </c>
      <c r="O7345" t="str">
        <f t="shared" si="2984"/>
        <v>MYR</v>
      </c>
      <c r="P7345" t="str">
        <f t="shared" si="2998"/>
        <v>NIL</v>
      </c>
      <c r="Q7345" t="str">
        <f t="shared" si="2998"/>
        <v>NIL</v>
      </c>
      <c r="R7345" t="str">
        <f t="shared" si="2999"/>
        <v>Accepted</v>
      </c>
      <c r="S7345" t="str">
        <f t="shared" si="2985"/>
        <v>Approved</v>
      </c>
      <c r="T7345" t="str">
        <f t="shared" si="3000"/>
        <v>10.20.8.188</v>
      </c>
      <c r="U7345" t="str">
        <f t="shared" si="2986"/>
        <v>AZRAD UMAR BIN SHAARI</v>
      </c>
      <c r="V7345" t="str">
        <f t="shared" si="2987"/>
        <v>FARHANA BINTI MUSTAPA</v>
      </c>
      <c r="W7345" t="str">
        <f t="shared" si="2988"/>
        <v>04-08-2020</v>
      </c>
      <c r="X7345" t="str">
        <f t="shared" si="2989"/>
        <v>RAZIMAH ANSAR AHMAD</v>
      </c>
      <c r="Y7345" t="str">
        <f t="shared" si="2990"/>
        <v>04-08-2020</v>
      </c>
      <c r="Z7345" t="str">
        <f>"COS10200804 1809"</f>
        <v>COS10200804 1809</v>
      </c>
    </row>
    <row r="7346" spans="1:26" x14ac:dyDescent="0.25">
      <c r="A7346" t="str">
        <f t="shared" ref="A7346:A7353" si="3001">"04-08-2020 12:35:42"</f>
        <v>04-08-2020 12:35:42</v>
      </c>
      <c r="B7346" t="str">
        <f>"0000803563"</f>
        <v>0000803563</v>
      </c>
      <c r="C7346" t="str">
        <f t="shared" ref="C7346:C7353" si="3002">"0000803555"</f>
        <v>0000803555</v>
      </c>
      <c r="D7346" t="str">
        <f t="shared" si="2980"/>
        <v>73185</v>
      </c>
      <c r="E7346" t="str">
        <f t="shared" si="2981"/>
        <v>KFH-OPERATIONS DEPARTMENT</v>
      </c>
      <c r="F7346" t="str">
        <f t="shared" si="2982"/>
        <v>IBG</v>
      </c>
      <c r="G7346" t="str">
        <f t="shared" si="2993"/>
        <v>Refund COSHARE 10</v>
      </c>
      <c r="H7346" s="2">
        <v>718</v>
      </c>
      <c r="I7346" t="str">
        <f>"MUDZAFFAR SHAH BIN KHATIB"</f>
        <v>MUDZAFFAR SHAH BIN KHATIB</v>
      </c>
      <c r="J7346" t="str">
        <f t="shared" si="2996"/>
        <v>BANK SIMPANAN NASIONAL</v>
      </c>
      <c r="K7346" t="str">
        <f>"0310029893513055"</f>
        <v>0310029893513055</v>
      </c>
      <c r="L7346" t="str">
        <f t="shared" si="2997"/>
        <v>04-08-2020</v>
      </c>
      <c r="M7346" t="str">
        <f t="shared" si="2997"/>
        <v>04-08-2020</v>
      </c>
      <c r="N7346" t="str">
        <f t="shared" si="2983"/>
        <v>001105018356</v>
      </c>
      <c r="O7346" t="str">
        <f t="shared" si="2984"/>
        <v>MYR</v>
      </c>
      <c r="P7346" t="str">
        <f t="shared" si="2998"/>
        <v>NIL</v>
      </c>
      <c r="Q7346" t="str">
        <f t="shared" si="2998"/>
        <v>NIL</v>
      </c>
      <c r="R7346" t="str">
        <f t="shared" si="2999"/>
        <v>Accepted</v>
      </c>
      <c r="S7346" t="str">
        <f t="shared" si="2985"/>
        <v>Approved</v>
      </c>
      <c r="T7346" t="str">
        <f t="shared" si="3000"/>
        <v>10.20.8.188</v>
      </c>
      <c r="U7346" t="str">
        <f t="shared" si="2986"/>
        <v>AZRAD UMAR BIN SHAARI</v>
      </c>
      <c r="V7346" t="str">
        <f t="shared" si="2987"/>
        <v>FARHANA BINTI MUSTAPA</v>
      </c>
      <c r="W7346" t="str">
        <f t="shared" si="2988"/>
        <v>04-08-2020</v>
      </c>
      <c r="X7346" t="str">
        <f t="shared" si="2989"/>
        <v>RAZIMAH ANSAR AHMAD</v>
      </c>
      <c r="Y7346" t="str">
        <f t="shared" si="2990"/>
        <v>04-08-2020</v>
      </c>
      <c r="Z7346" t="str">
        <f>"COS10200804 1808"</f>
        <v>COS10200804 1808</v>
      </c>
    </row>
    <row r="7347" spans="1:26" x14ac:dyDescent="0.25">
      <c r="A7347" t="str">
        <f t="shared" si="3001"/>
        <v>04-08-2020 12:35:42</v>
      </c>
      <c r="B7347" t="str">
        <f>"0000803562"</f>
        <v>0000803562</v>
      </c>
      <c r="C7347" t="str">
        <f t="shared" si="3002"/>
        <v>0000803555</v>
      </c>
      <c r="D7347" t="str">
        <f t="shared" si="2980"/>
        <v>73185</v>
      </c>
      <c r="E7347" t="str">
        <f t="shared" si="2981"/>
        <v>KFH-OPERATIONS DEPARTMENT</v>
      </c>
      <c r="F7347" t="str">
        <f t="shared" si="2982"/>
        <v>IBG</v>
      </c>
      <c r="G7347" t="str">
        <f t="shared" si="2993"/>
        <v>Refund COSHARE 10</v>
      </c>
      <c r="H7347" s="2">
        <v>76</v>
      </c>
      <c r="I7347" t="str">
        <f>"MOHDABDHADY BIN MAZLAN"</f>
        <v>MOHDABDHADY BIN MAZLAN</v>
      </c>
      <c r="J7347" t="str">
        <f t="shared" si="2996"/>
        <v>BANK SIMPANAN NASIONAL</v>
      </c>
      <c r="K7347" t="str">
        <f>"0410629000500874"</f>
        <v>0410629000500874</v>
      </c>
      <c r="L7347" t="str">
        <f t="shared" ref="L7347:M7366" si="3003">"04-08-2020"</f>
        <v>04-08-2020</v>
      </c>
      <c r="M7347" t="str">
        <f t="shared" si="3003"/>
        <v>04-08-2020</v>
      </c>
      <c r="N7347" t="str">
        <f t="shared" si="2983"/>
        <v>001105018356</v>
      </c>
      <c r="O7347" t="str">
        <f t="shared" si="2984"/>
        <v>MYR</v>
      </c>
      <c r="P7347" t="str">
        <f t="shared" ref="P7347:Q7366" si="3004">"NIL"</f>
        <v>NIL</v>
      </c>
      <c r="Q7347" t="str">
        <f t="shared" si="3004"/>
        <v>NIL</v>
      </c>
      <c r="R7347" t="str">
        <f t="shared" si="2999"/>
        <v>Accepted</v>
      </c>
      <c r="S7347" t="str">
        <f t="shared" si="2985"/>
        <v>Approved</v>
      </c>
      <c r="T7347" t="str">
        <f t="shared" si="3000"/>
        <v>10.20.8.188</v>
      </c>
      <c r="U7347" t="str">
        <f t="shared" si="2986"/>
        <v>AZRAD UMAR BIN SHAARI</v>
      </c>
      <c r="V7347" t="str">
        <f t="shared" si="2987"/>
        <v>FARHANA BINTI MUSTAPA</v>
      </c>
      <c r="W7347" t="str">
        <f t="shared" si="2988"/>
        <v>04-08-2020</v>
      </c>
      <c r="X7347" t="str">
        <f t="shared" si="2989"/>
        <v>RAZIMAH ANSAR AHMAD</v>
      </c>
      <c r="Y7347" t="str">
        <f t="shared" si="2990"/>
        <v>04-08-2020</v>
      </c>
      <c r="Z7347" t="str">
        <f>"COS10200804 1807"</f>
        <v>COS10200804 1807</v>
      </c>
    </row>
    <row r="7348" spans="1:26" x14ac:dyDescent="0.25">
      <c r="A7348" t="str">
        <f t="shared" si="3001"/>
        <v>04-08-2020 12:35:42</v>
      </c>
      <c r="B7348" t="str">
        <f>"0000803561"</f>
        <v>0000803561</v>
      </c>
      <c r="C7348" t="str">
        <f t="shared" si="3002"/>
        <v>0000803555</v>
      </c>
      <c r="D7348" t="str">
        <f t="shared" si="2980"/>
        <v>73185</v>
      </c>
      <c r="E7348" t="str">
        <f t="shared" si="2981"/>
        <v>KFH-OPERATIONS DEPARTMENT</v>
      </c>
      <c r="F7348" t="str">
        <f t="shared" si="2982"/>
        <v>IBG</v>
      </c>
      <c r="G7348" t="str">
        <f t="shared" si="2993"/>
        <v>Refund COSHARE 10</v>
      </c>
      <c r="H7348" s="2">
        <v>520.5</v>
      </c>
      <c r="I7348" t="str">
        <f>"MOHD SAFWAN BIN RODZLEIY"</f>
        <v>MOHD SAFWAN BIN RODZLEIY</v>
      </c>
      <c r="J7348" t="str">
        <f t="shared" si="2996"/>
        <v>BANK SIMPANAN NASIONAL</v>
      </c>
      <c r="K7348" t="str">
        <f>"1210829000195202"</f>
        <v>1210829000195202</v>
      </c>
      <c r="L7348" t="str">
        <f t="shared" si="3003"/>
        <v>04-08-2020</v>
      </c>
      <c r="M7348" t="str">
        <f t="shared" si="3003"/>
        <v>04-08-2020</v>
      </c>
      <c r="N7348" t="str">
        <f t="shared" si="2983"/>
        <v>001105018356</v>
      </c>
      <c r="O7348" t="str">
        <f t="shared" si="2984"/>
        <v>MYR</v>
      </c>
      <c r="P7348" t="str">
        <f t="shared" si="3004"/>
        <v>NIL</v>
      </c>
      <c r="Q7348" t="str">
        <f t="shared" si="3004"/>
        <v>NIL</v>
      </c>
      <c r="R7348" t="str">
        <f t="shared" si="2999"/>
        <v>Accepted</v>
      </c>
      <c r="S7348" t="str">
        <f t="shared" si="2985"/>
        <v>Approved</v>
      </c>
      <c r="T7348" t="str">
        <f t="shared" si="3000"/>
        <v>10.20.8.188</v>
      </c>
      <c r="U7348" t="str">
        <f t="shared" si="2986"/>
        <v>AZRAD UMAR BIN SHAARI</v>
      </c>
      <c r="V7348" t="str">
        <f t="shared" si="2987"/>
        <v>FARHANA BINTI MUSTAPA</v>
      </c>
      <c r="W7348" t="str">
        <f t="shared" si="2988"/>
        <v>04-08-2020</v>
      </c>
      <c r="X7348" t="str">
        <f t="shared" si="2989"/>
        <v>RAZIMAH ANSAR AHMAD</v>
      </c>
      <c r="Y7348" t="str">
        <f t="shared" si="2990"/>
        <v>04-08-2020</v>
      </c>
      <c r="Z7348" t="str">
        <f>"COS10200804 1806"</f>
        <v>COS10200804 1806</v>
      </c>
    </row>
    <row r="7349" spans="1:26" x14ac:dyDescent="0.25">
      <c r="A7349" t="str">
        <f t="shared" si="3001"/>
        <v>04-08-2020 12:35:42</v>
      </c>
      <c r="B7349" t="str">
        <f>"0000803560"</f>
        <v>0000803560</v>
      </c>
      <c r="C7349" t="str">
        <f t="shared" si="3002"/>
        <v>0000803555</v>
      </c>
      <c r="D7349" t="str">
        <f t="shared" si="2980"/>
        <v>73185</v>
      </c>
      <c r="E7349" t="str">
        <f t="shared" si="2981"/>
        <v>KFH-OPERATIONS DEPARTMENT</v>
      </c>
      <c r="F7349" t="str">
        <f t="shared" si="2982"/>
        <v>IBG</v>
      </c>
      <c r="G7349" t="str">
        <f t="shared" si="2993"/>
        <v>Refund COSHARE 10</v>
      </c>
      <c r="H7349" s="2">
        <v>109.15</v>
      </c>
      <c r="I7349" t="str">
        <f>"MOHD ZURAIMI BIN ZAIDI"</f>
        <v>MOHD ZURAIMI BIN ZAIDI</v>
      </c>
      <c r="J7349" t="str">
        <f t="shared" si="2996"/>
        <v>BANK SIMPANAN NASIONAL</v>
      </c>
      <c r="K7349" t="str">
        <f>"0540029000088152"</f>
        <v>0540029000088152</v>
      </c>
      <c r="L7349" t="str">
        <f t="shared" si="3003"/>
        <v>04-08-2020</v>
      </c>
      <c r="M7349" t="str">
        <f t="shared" si="3003"/>
        <v>04-08-2020</v>
      </c>
      <c r="N7349" t="str">
        <f t="shared" si="2983"/>
        <v>001105018356</v>
      </c>
      <c r="O7349" t="str">
        <f t="shared" si="2984"/>
        <v>MYR</v>
      </c>
      <c r="P7349" t="str">
        <f t="shared" si="3004"/>
        <v>NIL</v>
      </c>
      <c r="Q7349" t="str">
        <f t="shared" si="3004"/>
        <v>NIL</v>
      </c>
      <c r="R7349" t="str">
        <f t="shared" si="2999"/>
        <v>Accepted</v>
      </c>
      <c r="S7349" t="str">
        <f t="shared" si="2985"/>
        <v>Approved</v>
      </c>
      <c r="T7349" t="str">
        <f t="shared" si="3000"/>
        <v>10.20.8.188</v>
      </c>
      <c r="U7349" t="str">
        <f t="shared" si="2986"/>
        <v>AZRAD UMAR BIN SHAARI</v>
      </c>
      <c r="V7349" t="str">
        <f t="shared" si="2987"/>
        <v>FARHANA BINTI MUSTAPA</v>
      </c>
      <c r="W7349" t="str">
        <f t="shared" si="2988"/>
        <v>04-08-2020</v>
      </c>
      <c r="X7349" t="str">
        <f t="shared" si="2989"/>
        <v>RAZIMAH ANSAR AHMAD</v>
      </c>
      <c r="Y7349" t="str">
        <f t="shared" si="2990"/>
        <v>04-08-2020</v>
      </c>
      <c r="Z7349" t="str">
        <f>"COS10200804 1805"</f>
        <v>COS10200804 1805</v>
      </c>
    </row>
    <row r="7350" spans="1:26" x14ac:dyDescent="0.25">
      <c r="A7350" t="str">
        <f t="shared" si="3001"/>
        <v>04-08-2020 12:35:42</v>
      </c>
      <c r="B7350" t="str">
        <f>"0000803559"</f>
        <v>0000803559</v>
      </c>
      <c r="C7350" t="str">
        <f t="shared" si="3002"/>
        <v>0000803555</v>
      </c>
      <c r="D7350" t="str">
        <f t="shared" si="2980"/>
        <v>73185</v>
      </c>
      <c r="E7350" t="str">
        <f t="shared" si="2981"/>
        <v>KFH-OPERATIONS DEPARTMENT</v>
      </c>
      <c r="F7350" t="str">
        <f t="shared" si="2982"/>
        <v>IBG</v>
      </c>
      <c r="G7350" t="str">
        <f t="shared" si="2993"/>
        <v>Refund COSHARE 10</v>
      </c>
      <c r="H7350" s="2">
        <v>251.85</v>
      </c>
      <c r="I7350" t="str">
        <f>"MOHD ZAWAWI BIN AZIZ"</f>
        <v>MOHD ZAWAWI BIN AZIZ</v>
      </c>
      <c r="J7350" t="str">
        <f t="shared" si="2996"/>
        <v>BANK SIMPANAN NASIONAL</v>
      </c>
      <c r="K7350" t="str">
        <f>"0320029000204136"</f>
        <v>0320029000204136</v>
      </c>
      <c r="L7350" t="str">
        <f t="shared" si="3003"/>
        <v>04-08-2020</v>
      </c>
      <c r="M7350" t="str">
        <f t="shared" si="3003"/>
        <v>04-08-2020</v>
      </c>
      <c r="N7350" t="str">
        <f t="shared" si="2983"/>
        <v>001105018356</v>
      </c>
      <c r="O7350" t="str">
        <f t="shared" si="2984"/>
        <v>MYR</v>
      </c>
      <c r="P7350" t="str">
        <f t="shared" si="3004"/>
        <v>NIL</v>
      </c>
      <c r="Q7350" t="str">
        <f t="shared" si="3004"/>
        <v>NIL</v>
      </c>
      <c r="R7350" t="str">
        <f t="shared" si="2999"/>
        <v>Accepted</v>
      </c>
      <c r="S7350" t="str">
        <f t="shared" si="2985"/>
        <v>Approved</v>
      </c>
      <c r="T7350" t="str">
        <f t="shared" si="3000"/>
        <v>10.20.8.188</v>
      </c>
      <c r="U7350" t="str">
        <f t="shared" si="2986"/>
        <v>AZRAD UMAR BIN SHAARI</v>
      </c>
      <c r="V7350" t="str">
        <f t="shared" si="2987"/>
        <v>FARHANA BINTI MUSTAPA</v>
      </c>
      <c r="W7350" t="str">
        <f t="shared" si="2988"/>
        <v>04-08-2020</v>
      </c>
      <c r="X7350" t="str">
        <f t="shared" si="2989"/>
        <v>RAZIMAH ANSAR AHMAD</v>
      </c>
      <c r="Y7350" t="str">
        <f t="shared" si="2990"/>
        <v>04-08-2020</v>
      </c>
      <c r="Z7350" t="str">
        <f>"COS10200804 1804"</f>
        <v>COS10200804 1804</v>
      </c>
    </row>
    <row r="7351" spans="1:26" x14ac:dyDescent="0.25">
      <c r="A7351" t="str">
        <f t="shared" si="3001"/>
        <v>04-08-2020 12:35:42</v>
      </c>
      <c r="B7351" t="str">
        <f>"0000803558"</f>
        <v>0000803558</v>
      </c>
      <c r="C7351" t="str">
        <f t="shared" si="3002"/>
        <v>0000803555</v>
      </c>
      <c r="D7351" t="str">
        <f t="shared" si="2980"/>
        <v>73185</v>
      </c>
      <c r="E7351" t="str">
        <f t="shared" si="2981"/>
        <v>KFH-OPERATIONS DEPARTMENT</v>
      </c>
      <c r="F7351" t="str">
        <f t="shared" si="2982"/>
        <v>IBG</v>
      </c>
      <c r="G7351" t="str">
        <f t="shared" si="2993"/>
        <v>Refund COSHARE 10</v>
      </c>
      <c r="H7351" s="2">
        <v>438.95</v>
      </c>
      <c r="I7351" t="str">
        <f>"MOHD ZAMIRI BIN ISHAK"</f>
        <v>MOHD ZAMIRI BIN ISHAK</v>
      </c>
      <c r="J7351" t="str">
        <f t="shared" si="2996"/>
        <v>BANK SIMPANAN NASIONAL</v>
      </c>
      <c r="K7351" t="str">
        <f>"1412329894507906"</f>
        <v>1412329894507906</v>
      </c>
      <c r="L7351" t="str">
        <f t="shared" si="3003"/>
        <v>04-08-2020</v>
      </c>
      <c r="M7351" t="str">
        <f t="shared" si="3003"/>
        <v>04-08-2020</v>
      </c>
      <c r="N7351" t="str">
        <f t="shared" si="2983"/>
        <v>001105018356</v>
      </c>
      <c r="O7351" t="str">
        <f t="shared" si="2984"/>
        <v>MYR</v>
      </c>
      <c r="P7351" t="str">
        <f t="shared" si="3004"/>
        <v>NIL</v>
      </c>
      <c r="Q7351" t="str">
        <f t="shared" si="3004"/>
        <v>NIL</v>
      </c>
      <c r="R7351" t="str">
        <f t="shared" si="2999"/>
        <v>Accepted</v>
      </c>
      <c r="S7351" t="str">
        <f t="shared" si="2985"/>
        <v>Approved</v>
      </c>
      <c r="T7351" t="str">
        <f t="shared" si="3000"/>
        <v>10.20.8.188</v>
      </c>
      <c r="U7351" t="str">
        <f t="shared" si="2986"/>
        <v>AZRAD UMAR BIN SHAARI</v>
      </c>
      <c r="V7351" t="str">
        <f t="shared" si="2987"/>
        <v>FARHANA BINTI MUSTAPA</v>
      </c>
      <c r="W7351" t="str">
        <f t="shared" si="2988"/>
        <v>04-08-2020</v>
      </c>
      <c r="X7351" t="str">
        <f t="shared" si="2989"/>
        <v>RAZIMAH ANSAR AHMAD</v>
      </c>
      <c r="Y7351" t="str">
        <f t="shared" si="2990"/>
        <v>04-08-2020</v>
      </c>
      <c r="Z7351" t="str">
        <f>"COS10200804 1803"</f>
        <v>COS10200804 1803</v>
      </c>
    </row>
    <row r="7352" spans="1:26" x14ac:dyDescent="0.25">
      <c r="A7352" t="str">
        <f t="shared" si="3001"/>
        <v>04-08-2020 12:35:42</v>
      </c>
      <c r="B7352" t="str">
        <f>"0000803557"</f>
        <v>0000803557</v>
      </c>
      <c r="C7352" t="str">
        <f t="shared" si="3002"/>
        <v>0000803555</v>
      </c>
      <c r="D7352" t="str">
        <f t="shared" si="2980"/>
        <v>73185</v>
      </c>
      <c r="E7352" t="str">
        <f t="shared" si="2981"/>
        <v>KFH-OPERATIONS DEPARTMENT</v>
      </c>
      <c r="F7352" t="str">
        <f t="shared" si="2982"/>
        <v>IBG</v>
      </c>
      <c r="G7352" t="str">
        <f t="shared" si="2993"/>
        <v>Refund COSHARE 10</v>
      </c>
      <c r="H7352" s="2">
        <v>1225.7</v>
      </c>
      <c r="I7352" t="str">
        <f>"MOHD ZAKUAN BIN YAAKOB"</f>
        <v>MOHD ZAKUAN BIN YAAKOB</v>
      </c>
      <c r="J7352" t="str">
        <f t="shared" si="2996"/>
        <v>BANK SIMPANAN NASIONAL</v>
      </c>
      <c r="K7352" t="str">
        <f>"0711029825293377"</f>
        <v>0711029825293377</v>
      </c>
      <c r="L7352" t="str">
        <f t="shared" si="3003"/>
        <v>04-08-2020</v>
      </c>
      <c r="M7352" t="str">
        <f t="shared" si="3003"/>
        <v>04-08-2020</v>
      </c>
      <c r="N7352" t="str">
        <f t="shared" si="2983"/>
        <v>001105018356</v>
      </c>
      <c r="O7352" t="str">
        <f t="shared" si="2984"/>
        <v>MYR</v>
      </c>
      <c r="P7352" t="str">
        <f t="shared" si="3004"/>
        <v>NIL</v>
      </c>
      <c r="Q7352" t="str">
        <f t="shared" si="3004"/>
        <v>NIL</v>
      </c>
      <c r="R7352" t="str">
        <f t="shared" si="2999"/>
        <v>Accepted</v>
      </c>
      <c r="S7352" t="str">
        <f t="shared" si="2985"/>
        <v>Approved</v>
      </c>
      <c r="T7352" t="str">
        <f t="shared" si="3000"/>
        <v>10.20.8.188</v>
      </c>
      <c r="U7352" t="str">
        <f t="shared" si="2986"/>
        <v>AZRAD UMAR BIN SHAARI</v>
      </c>
      <c r="V7352" t="str">
        <f t="shared" si="2987"/>
        <v>FARHANA BINTI MUSTAPA</v>
      </c>
      <c r="W7352" t="str">
        <f t="shared" si="2988"/>
        <v>04-08-2020</v>
      </c>
      <c r="X7352" t="str">
        <f t="shared" si="2989"/>
        <v>RAZIMAH ANSAR AHMAD</v>
      </c>
      <c r="Y7352" t="str">
        <f t="shared" si="2990"/>
        <v>04-08-2020</v>
      </c>
      <c r="Z7352" t="str">
        <f>"COS10200804 1802"</f>
        <v>COS10200804 1802</v>
      </c>
    </row>
    <row r="7353" spans="1:26" x14ac:dyDescent="0.25">
      <c r="A7353" t="str">
        <f t="shared" si="3001"/>
        <v>04-08-2020 12:35:42</v>
      </c>
      <c r="B7353" t="str">
        <f>"0000803556"</f>
        <v>0000803556</v>
      </c>
      <c r="C7353" t="str">
        <f t="shared" si="3002"/>
        <v>0000803555</v>
      </c>
      <c r="D7353" t="str">
        <f t="shared" si="2980"/>
        <v>73185</v>
      </c>
      <c r="E7353" t="str">
        <f t="shared" si="2981"/>
        <v>KFH-OPERATIONS DEPARTMENT</v>
      </c>
      <c r="F7353" t="str">
        <f t="shared" si="2982"/>
        <v>IBG</v>
      </c>
      <c r="G7353" t="str">
        <f t="shared" si="2993"/>
        <v>Refund COSHARE 10</v>
      </c>
      <c r="H7353" s="2">
        <v>972.5</v>
      </c>
      <c r="I7353" t="str">
        <f>"MOHD ZAINI BIN ZAINAL ABIDIN"</f>
        <v>MOHD ZAINI BIN ZAINAL ABIDIN</v>
      </c>
      <c r="J7353" t="str">
        <f t="shared" si="2996"/>
        <v>BANK SIMPANAN NASIONAL</v>
      </c>
      <c r="K7353" t="str">
        <f>"1011629891443963"</f>
        <v>1011629891443963</v>
      </c>
      <c r="L7353" t="str">
        <f t="shared" si="3003"/>
        <v>04-08-2020</v>
      </c>
      <c r="M7353" t="str">
        <f t="shared" si="3003"/>
        <v>04-08-2020</v>
      </c>
      <c r="N7353" t="str">
        <f t="shared" si="2983"/>
        <v>001105018356</v>
      </c>
      <c r="O7353" t="str">
        <f t="shared" si="2984"/>
        <v>MYR</v>
      </c>
      <c r="P7353" t="str">
        <f t="shared" si="3004"/>
        <v>NIL</v>
      </c>
      <c r="Q7353" t="str">
        <f t="shared" si="3004"/>
        <v>NIL</v>
      </c>
      <c r="R7353" t="str">
        <f t="shared" si="2999"/>
        <v>Accepted</v>
      </c>
      <c r="S7353" t="str">
        <f t="shared" si="2985"/>
        <v>Approved</v>
      </c>
      <c r="T7353" t="str">
        <f t="shared" si="3000"/>
        <v>10.20.8.188</v>
      </c>
      <c r="U7353" t="str">
        <f t="shared" si="2986"/>
        <v>AZRAD UMAR BIN SHAARI</v>
      </c>
      <c r="V7353" t="str">
        <f t="shared" si="2987"/>
        <v>FARHANA BINTI MUSTAPA</v>
      </c>
      <c r="W7353" t="str">
        <f t="shared" si="2988"/>
        <v>04-08-2020</v>
      </c>
      <c r="X7353" t="str">
        <f t="shared" si="2989"/>
        <v>RAZIMAH ANSAR AHMAD</v>
      </c>
      <c r="Y7353" t="str">
        <f t="shared" si="2990"/>
        <v>04-08-2020</v>
      </c>
      <c r="Z7353" t="str">
        <f>"COS10200804 1801"</f>
        <v>COS10200804 1801</v>
      </c>
    </row>
    <row r="7354" spans="1:26" x14ac:dyDescent="0.25">
      <c r="A7354" t="str">
        <f t="shared" ref="A7354:A7385" si="3005">"04-08-2020 12:34:57"</f>
        <v>04-08-2020 12:34:57</v>
      </c>
      <c r="B7354" t="str">
        <f>"0000803554"</f>
        <v>0000803554</v>
      </c>
      <c r="C7354" t="str">
        <f t="shared" ref="C7354:C7385" si="3006">"0000803354"</f>
        <v>0000803354</v>
      </c>
      <c r="D7354" t="str">
        <f t="shared" si="2980"/>
        <v>73185</v>
      </c>
      <c r="E7354" t="str">
        <f t="shared" si="2981"/>
        <v>KFH-OPERATIONS DEPARTMENT</v>
      </c>
      <c r="F7354" t="str">
        <f t="shared" si="2982"/>
        <v>IBG</v>
      </c>
      <c r="G7354" t="str">
        <f t="shared" si="2993"/>
        <v>Refund COSHARE 10</v>
      </c>
      <c r="H7354" s="2">
        <v>1082.1500000000001</v>
      </c>
      <c r="I7354" t="str">
        <f>"MOHD ZAID BIN MOHD NOOR"</f>
        <v>MOHD ZAID BIN MOHD NOOR</v>
      </c>
      <c r="J7354" t="str">
        <f t="shared" si="2996"/>
        <v>BANK SIMPANAN NASIONAL</v>
      </c>
      <c r="K7354" t="str">
        <f>"1111041000033773"</f>
        <v>1111041000033773</v>
      </c>
      <c r="L7354" t="str">
        <f t="shared" si="3003"/>
        <v>04-08-2020</v>
      </c>
      <c r="M7354" t="str">
        <f t="shared" si="3003"/>
        <v>04-08-2020</v>
      </c>
      <c r="N7354" t="str">
        <f t="shared" si="2983"/>
        <v>001105018356</v>
      </c>
      <c r="O7354" t="str">
        <f t="shared" si="2984"/>
        <v>MYR</v>
      </c>
      <c r="P7354" t="str">
        <f t="shared" si="3004"/>
        <v>NIL</v>
      </c>
      <c r="Q7354" t="str">
        <f t="shared" si="3004"/>
        <v>NIL</v>
      </c>
      <c r="R7354" t="str">
        <f t="shared" si="2999"/>
        <v>Accepted</v>
      </c>
      <c r="S7354" t="str">
        <f t="shared" si="2985"/>
        <v>Approved</v>
      </c>
      <c r="T7354" t="str">
        <f t="shared" si="3000"/>
        <v>10.20.8.188</v>
      </c>
      <c r="U7354" t="str">
        <f t="shared" si="2986"/>
        <v>AZRAD UMAR BIN SHAARI</v>
      </c>
      <c r="V7354" t="str">
        <f t="shared" si="2987"/>
        <v>FARHANA BINTI MUSTAPA</v>
      </c>
      <c r="W7354" t="str">
        <f t="shared" si="2988"/>
        <v>04-08-2020</v>
      </c>
      <c r="X7354" t="str">
        <f t="shared" si="2989"/>
        <v>RAZIMAH ANSAR AHMAD</v>
      </c>
      <c r="Y7354" t="str">
        <f t="shared" si="2990"/>
        <v>04-08-2020</v>
      </c>
      <c r="Z7354" t="str">
        <f>"COS10200804 1800"</f>
        <v>COS10200804 1800</v>
      </c>
    </row>
    <row r="7355" spans="1:26" x14ac:dyDescent="0.25">
      <c r="A7355" t="str">
        <f t="shared" si="3005"/>
        <v>04-08-2020 12:34:57</v>
      </c>
      <c r="B7355" t="str">
        <f>"0000803553"</f>
        <v>0000803553</v>
      </c>
      <c r="C7355" t="str">
        <f t="shared" si="3006"/>
        <v>0000803354</v>
      </c>
      <c r="D7355" t="str">
        <f t="shared" si="2980"/>
        <v>73185</v>
      </c>
      <c r="E7355" t="str">
        <f t="shared" si="2981"/>
        <v>KFH-OPERATIONS DEPARTMENT</v>
      </c>
      <c r="F7355" t="str">
        <f t="shared" si="2982"/>
        <v>IBG</v>
      </c>
      <c r="G7355" t="str">
        <f t="shared" si="2993"/>
        <v>Refund COSHARE 10</v>
      </c>
      <c r="H7355" s="2">
        <v>145</v>
      </c>
      <c r="I7355" t="str">
        <f>"MOHD YUSRI BIN KAMARUDDIN"</f>
        <v>MOHD YUSRI BIN KAMARUDDIN</v>
      </c>
      <c r="J7355" t="str">
        <f t="shared" si="2996"/>
        <v>BANK SIMPANAN NASIONAL</v>
      </c>
      <c r="K7355" t="str">
        <f>"0640041000008516"</f>
        <v>0640041000008516</v>
      </c>
      <c r="L7355" t="str">
        <f t="shared" si="3003"/>
        <v>04-08-2020</v>
      </c>
      <c r="M7355" t="str">
        <f t="shared" si="3003"/>
        <v>04-08-2020</v>
      </c>
      <c r="N7355" t="str">
        <f t="shared" si="2983"/>
        <v>001105018356</v>
      </c>
      <c r="O7355" t="str">
        <f t="shared" si="2984"/>
        <v>MYR</v>
      </c>
      <c r="P7355" t="str">
        <f t="shared" si="3004"/>
        <v>NIL</v>
      </c>
      <c r="Q7355" t="str">
        <f t="shared" si="3004"/>
        <v>NIL</v>
      </c>
      <c r="R7355" t="str">
        <f t="shared" si="2999"/>
        <v>Accepted</v>
      </c>
      <c r="S7355" t="str">
        <f t="shared" si="2985"/>
        <v>Approved</v>
      </c>
      <c r="T7355" t="str">
        <f t="shared" si="3000"/>
        <v>10.20.8.188</v>
      </c>
      <c r="U7355" t="str">
        <f t="shared" si="2986"/>
        <v>AZRAD UMAR BIN SHAARI</v>
      </c>
      <c r="V7355" t="str">
        <f t="shared" si="2987"/>
        <v>FARHANA BINTI MUSTAPA</v>
      </c>
      <c r="W7355" t="str">
        <f t="shared" si="2988"/>
        <v>04-08-2020</v>
      </c>
      <c r="X7355" t="str">
        <f t="shared" si="2989"/>
        <v>RAZIMAH ANSAR AHMAD</v>
      </c>
      <c r="Y7355" t="str">
        <f t="shared" si="2990"/>
        <v>04-08-2020</v>
      </c>
      <c r="Z7355" t="str">
        <f>"COS10200804 1799"</f>
        <v>COS10200804 1799</v>
      </c>
    </row>
    <row r="7356" spans="1:26" x14ac:dyDescent="0.25">
      <c r="A7356" t="str">
        <f t="shared" si="3005"/>
        <v>04-08-2020 12:34:57</v>
      </c>
      <c r="B7356" t="str">
        <f>"0000803552"</f>
        <v>0000803552</v>
      </c>
      <c r="C7356" t="str">
        <f t="shared" si="3006"/>
        <v>0000803354</v>
      </c>
      <c r="D7356" t="str">
        <f t="shared" si="2980"/>
        <v>73185</v>
      </c>
      <c r="E7356" t="str">
        <f t="shared" si="2981"/>
        <v>KFH-OPERATIONS DEPARTMENT</v>
      </c>
      <c r="F7356" t="str">
        <f t="shared" si="2982"/>
        <v>IBG</v>
      </c>
      <c r="G7356" t="str">
        <f t="shared" si="2993"/>
        <v>Refund COSHARE 10</v>
      </c>
      <c r="H7356" s="2">
        <v>503.7</v>
      </c>
      <c r="I7356" t="str">
        <f>"MOHD TAUFEK BIN ABU BAKAR"</f>
        <v>MOHD TAUFEK BIN ABU BAKAR</v>
      </c>
      <c r="J7356" t="str">
        <f t="shared" si="2996"/>
        <v>BANK SIMPANAN NASIONAL</v>
      </c>
      <c r="K7356" t="str">
        <f>"0211829858449093"</f>
        <v>0211829858449093</v>
      </c>
      <c r="L7356" t="str">
        <f t="shared" si="3003"/>
        <v>04-08-2020</v>
      </c>
      <c r="M7356" t="str">
        <f t="shared" si="3003"/>
        <v>04-08-2020</v>
      </c>
      <c r="N7356" t="str">
        <f t="shared" si="2983"/>
        <v>001105018356</v>
      </c>
      <c r="O7356" t="str">
        <f t="shared" si="2984"/>
        <v>MYR</v>
      </c>
      <c r="P7356" t="str">
        <f t="shared" si="3004"/>
        <v>NIL</v>
      </c>
      <c r="Q7356" t="str">
        <f t="shared" si="3004"/>
        <v>NIL</v>
      </c>
      <c r="R7356" t="str">
        <f t="shared" si="2999"/>
        <v>Accepted</v>
      </c>
      <c r="S7356" t="str">
        <f t="shared" si="2985"/>
        <v>Approved</v>
      </c>
      <c r="T7356" t="str">
        <f t="shared" si="3000"/>
        <v>10.20.8.188</v>
      </c>
      <c r="U7356" t="str">
        <f t="shared" si="2986"/>
        <v>AZRAD UMAR BIN SHAARI</v>
      </c>
      <c r="V7356" t="str">
        <f t="shared" si="2987"/>
        <v>FARHANA BINTI MUSTAPA</v>
      </c>
      <c r="W7356" t="str">
        <f t="shared" si="2988"/>
        <v>04-08-2020</v>
      </c>
      <c r="X7356" t="str">
        <f t="shared" si="2989"/>
        <v>RAZIMAH ANSAR AHMAD</v>
      </c>
      <c r="Y7356" t="str">
        <f t="shared" si="2990"/>
        <v>04-08-2020</v>
      </c>
      <c r="Z7356" t="str">
        <f>"COS10200804 1798"</f>
        <v>COS10200804 1798</v>
      </c>
    </row>
    <row r="7357" spans="1:26" x14ac:dyDescent="0.25">
      <c r="A7357" t="str">
        <f t="shared" si="3005"/>
        <v>04-08-2020 12:34:57</v>
      </c>
      <c r="B7357" t="str">
        <f>"0000803551"</f>
        <v>0000803551</v>
      </c>
      <c r="C7357" t="str">
        <f t="shared" si="3006"/>
        <v>0000803354</v>
      </c>
      <c r="D7357" t="str">
        <f t="shared" si="2980"/>
        <v>73185</v>
      </c>
      <c r="E7357" t="str">
        <f t="shared" si="2981"/>
        <v>KFH-OPERATIONS DEPARTMENT</v>
      </c>
      <c r="F7357" t="str">
        <f t="shared" si="2982"/>
        <v>IBG</v>
      </c>
      <c r="G7357" t="str">
        <f t="shared" si="2993"/>
        <v>Refund COSHARE 10</v>
      </c>
      <c r="H7357" s="2">
        <v>167.9</v>
      </c>
      <c r="I7357" t="str">
        <f>"MOHD TARMIZI BIN DIN"</f>
        <v>MOHD TARMIZI BIN DIN</v>
      </c>
      <c r="J7357" t="str">
        <f t="shared" si="2996"/>
        <v>BANK SIMPANAN NASIONAL</v>
      </c>
      <c r="K7357" t="str">
        <f>"0320229000043951"</f>
        <v>0320229000043951</v>
      </c>
      <c r="L7357" t="str">
        <f t="shared" si="3003"/>
        <v>04-08-2020</v>
      </c>
      <c r="M7357" t="str">
        <f t="shared" si="3003"/>
        <v>04-08-2020</v>
      </c>
      <c r="N7357" t="str">
        <f t="shared" si="2983"/>
        <v>001105018356</v>
      </c>
      <c r="O7357" t="str">
        <f t="shared" si="2984"/>
        <v>MYR</v>
      </c>
      <c r="P7357" t="str">
        <f t="shared" si="3004"/>
        <v>NIL</v>
      </c>
      <c r="Q7357" t="str">
        <f t="shared" si="3004"/>
        <v>NIL</v>
      </c>
      <c r="R7357" t="str">
        <f t="shared" si="2999"/>
        <v>Accepted</v>
      </c>
      <c r="S7357" t="str">
        <f t="shared" si="2985"/>
        <v>Approved</v>
      </c>
      <c r="T7357" t="str">
        <f t="shared" si="3000"/>
        <v>10.20.8.188</v>
      </c>
      <c r="U7357" t="str">
        <f t="shared" si="2986"/>
        <v>AZRAD UMAR BIN SHAARI</v>
      </c>
      <c r="V7357" t="str">
        <f t="shared" si="2987"/>
        <v>FARHANA BINTI MUSTAPA</v>
      </c>
      <c r="W7357" t="str">
        <f t="shared" si="2988"/>
        <v>04-08-2020</v>
      </c>
      <c r="X7357" t="str">
        <f t="shared" si="2989"/>
        <v>RAZIMAH ANSAR AHMAD</v>
      </c>
      <c r="Y7357" t="str">
        <f t="shared" si="2990"/>
        <v>04-08-2020</v>
      </c>
      <c r="Z7357" t="str">
        <f>"COS10200804 1797"</f>
        <v>COS10200804 1797</v>
      </c>
    </row>
    <row r="7358" spans="1:26" x14ac:dyDescent="0.25">
      <c r="A7358" t="str">
        <f t="shared" si="3005"/>
        <v>04-08-2020 12:34:57</v>
      </c>
      <c r="B7358" t="str">
        <f>"0000803550"</f>
        <v>0000803550</v>
      </c>
      <c r="C7358" t="str">
        <f t="shared" si="3006"/>
        <v>0000803354</v>
      </c>
      <c r="D7358" t="str">
        <f t="shared" si="2980"/>
        <v>73185</v>
      </c>
      <c r="E7358" t="str">
        <f t="shared" si="2981"/>
        <v>KFH-OPERATIONS DEPARTMENT</v>
      </c>
      <c r="F7358" t="str">
        <f t="shared" si="2982"/>
        <v>IBG</v>
      </c>
      <c r="G7358" t="str">
        <f t="shared" si="2993"/>
        <v>Refund COSHARE 10</v>
      </c>
      <c r="H7358" s="2">
        <v>545.70000000000005</v>
      </c>
      <c r="I7358" t="str">
        <f>"MOHD SUHAIRI BIN YAACOB"</f>
        <v>MOHD SUHAIRI BIN YAACOB</v>
      </c>
      <c r="J7358" t="str">
        <f t="shared" si="2996"/>
        <v>BANK SIMPANAN NASIONAL</v>
      </c>
      <c r="K7358" t="str">
        <f>"0311929000241279"</f>
        <v>0311929000241279</v>
      </c>
      <c r="L7358" t="str">
        <f t="shared" si="3003"/>
        <v>04-08-2020</v>
      </c>
      <c r="M7358" t="str">
        <f t="shared" si="3003"/>
        <v>04-08-2020</v>
      </c>
      <c r="N7358" t="str">
        <f t="shared" si="2983"/>
        <v>001105018356</v>
      </c>
      <c r="O7358" t="str">
        <f t="shared" si="2984"/>
        <v>MYR</v>
      </c>
      <c r="P7358" t="str">
        <f t="shared" si="3004"/>
        <v>NIL</v>
      </c>
      <c r="Q7358" t="str">
        <f t="shared" si="3004"/>
        <v>NIL</v>
      </c>
      <c r="R7358" t="str">
        <f t="shared" si="2999"/>
        <v>Accepted</v>
      </c>
      <c r="S7358" t="str">
        <f t="shared" si="2985"/>
        <v>Approved</v>
      </c>
      <c r="T7358" t="str">
        <f t="shared" si="3000"/>
        <v>10.20.8.188</v>
      </c>
      <c r="U7358" t="str">
        <f t="shared" si="2986"/>
        <v>AZRAD UMAR BIN SHAARI</v>
      </c>
      <c r="V7358" t="str">
        <f t="shared" si="2987"/>
        <v>FARHANA BINTI MUSTAPA</v>
      </c>
      <c r="W7358" t="str">
        <f t="shared" si="2988"/>
        <v>04-08-2020</v>
      </c>
      <c r="X7358" t="str">
        <f t="shared" si="2989"/>
        <v>RAZIMAH ANSAR AHMAD</v>
      </c>
      <c r="Y7358" t="str">
        <f t="shared" si="2990"/>
        <v>04-08-2020</v>
      </c>
      <c r="Z7358" t="str">
        <f>"COS10200804 1796"</f>
        <v>COS10200804 1796</v>
      </c>
    </row>
    <row r="7359" spans="1:26" x14ac:dyDescent="0.25">
      <c r="A7359" t="str">
        <f t="shared" si="3005"/>
        <v>04-08-2020 12:34:57</v>
      </c>
      <c r="B7359" t="str">
        <f>"0000803549"</f>
        <v>0000803549</v>
      </c>
      <c r="C7359" t="str">
        <f t="shared" si="3006"/>
        <v>0000803354</v>
      </c>
      <c r="D7359" t="str">
        <f t="shared" si="2980"/>
        <v>73185</v>
      </c>
      <c r="E7359" t="str">
        <f t="shared" si="2981"/>
        <v>KFH-OPERATIONS DEPARTMENT</v>
      </c>
      <c r="F7359" t="str">
        <f t="shared" si="2982"/>
        <v>IBG</v>
      </c>
      <c r="G7359" t="str">
        <f t="shared" si="2993"/>
        <v>Refund COSHARE 10</v>
      </c>
      <c r="H7359" s="2">
        <v>57</v>
      </c>
      <c r="I7359" t="str">
        <f>"MOHD SUBHI BIN SUDIN"</f>
        <v>MOHD SUBHI BIN SUDIN</v>
      </c>
      <c r="J7359" t="str">
        <f t="shared" si="2996"/>
        <v>BANK SIMPANAN NASIONAL</v>
      </c>
      <c r="K7359" t="str">
        <f>"0211929816886145"</f>
        <v>0211929816886145</v>
      </c>
      <c r="L7359" t="str">
        <f t="shared" si="3003"/>
        <v>04-08-2020</v>
      </c>
      <c r="M7359" t="str">
        <f t="shared" si="3003"/>
        <v>04-08-2020</v>
      </c>
      <c r="N7359" t="str">
        <f t="shared" si="2983"/>
        <v>001105018356</v>
      </c>
      <c r="O7359" t="str">
        <f t="shared" si="2984"/>
        <v>MYR</v>
      </c>
      <c r="P7359" t="str">
        <f t="shared" si="3004"/>
        <v>NIL</v>
      </c>
      <c r="Q7359" t="str">
        <f t="shared" si="3004"/>
        <v>NIL</v>
      </c>
      <c r="R7359" t="str">
        <f t="shared" si="2999"/>
        <v>Accepted</v>
      </c>
      <c r="S7359" t="str">
        <f t="shared" si="2985"/>
        <v>Approved</v>
      </c>
      <c r="T7359" t="str">
        <f t="shared" si="3000"/>
        <v>10.20.8.188</v>
      </c>
      <c r="U7359" t="str">
        <f t="shared" si="2986"/>
        <v>AZRAD UMAR BIN SHAARI</v>
      </c>
      <c r="V7359" t="str">
        <f t="shared" si="2987"/>
        <v>FARHANA BINTI MUSTAPA</v>
      </c>
      <c r="W7359" t="str">
        <f t="shared" si="2988"/>
        <v>04-08-2020</v>
      </c>
      <c r="X7359" t="str">
        <f t="shared" si="2989"/>
        <v>RAZIMAH ANSAR AHMAD</v>
      </c>
      <c r="Y7359" t="str">
        <f t="shared" si="2990"/>
        <v>04-08-2020</v>
      </c>
      <c r="Z7359" t="str">
        <f>"COS10200804 1795"</f>
        <v>COS10200804 1795</v>
      </c>
    </row>
    <row r="7360" spans="1:26" x14ac:dyDescent="0.25">
      <c r="A7360" t="str">
        <f t="shared" si="3005"/>
        <v>04-08-2020 12:34:57</v>
      </c>
      <c r="B7360" t="str">
        <f>"0000803548"</f>
        <v>0000803548</v>
      </c>
      <c r="C7360" t="str">
        <f t="shared" si="3006"/>
        <v>0000803354</v>
      </c>
      <c r="D7360" t="str">
        <f t="shared" si="2980"/>
        <v>73185</v>
      </c>
      <c r="E7360" t="str">
        <f t="shared" si="2981"/>
        <v>KFH-OPERATIONS DEPARTMENT</v>
      </c>
      <c r="F7360" t="str">
        <f t="shared" si="2982"/>
        <v>IBG</v>
      </c>
      <c r="G7360" t="str">
        <f t="shared" si="2993"/>
        <v>Refund COSHARE 10</v>
      </c>
      <c r="H7360" s="2">
        <v>671.6</v>
      </c>
      <c r="I7360" t="str">
        <f>"MOHD SHUKRI BIN HASHIM"</f>
        <v>MOHD SHUKRI BIN HASHIM</v>
      </c>
      <c r="J7360" t="str">
        <f t="shared" si="2996"/>
        <v>BANK SIMPANAN NASIONAL</v>
      </c>
      <c r="K7360" t="str">
        <f>"0114941000007908"</f>
        <v>0114941000007908</v>
      </c>
      <c r="L7360" t="str">
        <f t="shared" si="3003"/>
        <v>04-08-2020</v>
      </c>
      <c r="M7360" t="str">
        <f t="shared" si="3003"/>
        <v>04-08-2020</v>
      </c>
      <c r="N7360" t="str">
        <f t="shared" si="2983"/>
        <v>001105018356</v>
      </c>
      <c r="O7360" t="str">
        <f t="shared" si="2984"/>
        <v>MYR</v>
      </c>
      <c r="P7360" t="str">
        <f t="shared" si="3004"/>
        <v>NIL</v>
      </c>
      <c r="Q7360" t="str">
        <f t="shared" si="3004"/>
        <v>NIL</v>
      </c>
      <c r="R7360" t="str">
        <f t="shared" si="2999"/>
        <v>Accepted</v>
      </c>
      <c r="S7360" t="str">
        <f t="shared" si="2985"/>
        <v>Approved</v>
      </c>
      <c r="T7360" t="str">
        <f t="shared" si="3000"/>
        <v>10.20.8.188</v>
      </c>
      <c r="U7360" t="str">
        <f t="shared" si="2986"/>
        <v>AZRAD UMAR BIN SHAARI</v>
      </c>
      <c r="V7360" t="str">
        <f t="shared" si="2987"/>
        <v>FARHANA BINTI MUSTAPA</v>
      </c>
      <c r="W7360" t="str">
        <f t="shared" si="2988"/>
        <v>04-08-2020</v>
      </c>
      <c r="X7360" t="str">
        <f t="shared" si="2989"/>
        <v>RAZIMAH ANSAR AHMAD</v>
      </c>
      <c r="Y7360" t="str">
        <f t="shared" si="2990"/>
        <v>04-08-2020</v>
      </c>
      <c r="Z7360" t="str">
        <f>"COS10200804 1794"</f>
        <v>COS10200804 1794</v>
      </c>
    </row>
    <row r="7361" spans="1:26" x14ac:dyDescent="0.25">
      <c r="A7361" t="str">
        <f t="shared" si="3005"/>
        <v>04-08-2020 12:34:57</v>
      </c>
      <c r="B7361" t="str">
        <f>"0000803547"</f>
        <v>0000803547</v>
      </c>
      <c r="C7361" t="str">
        <f t="shared" si="3006"/>
        <v>0000803354</v>
      </c>
      <c r="D7361" t="str">
        <f t="shared" si="2980"/>
        <v>73185</v>
      </c>
      <c r="E7361" t="str">
        <f t="shared" si="2981"/>
        <v>KFH-OPERATIONS DEPARTMENT</v>
      </c>
      <c r="F7361" t="str">
        <f t="shared" si="2982"/>
        <v>IBG</v>
      </c>
      <c r="G7361" t="str">
        <f t="shared" si="2993"/>
        <v>Refund COSHARE 10</v>
      </c>
      <c r="H7361" s="2">
        <v>252</v>
      </c>
      <c r="I7361" t="str">
        <f>"MOHD SHUKRI BIN HASHIM"</f>
        <v>MOHD SHUKRI BIN HASHIM</v>
      </c>
      <c r="J7361" t="str">
        <f t="shared" si="2996"/>
        <v>BANK SIMPANAN NASIONAL</v>
      </c>
      <c r="K7361" t="str">
        <f>"0114941000007908"</f>
        <v>0114941000007908</v>
      </c>
      <c r="L7361" t="str">
        <f t="shared" si="3003"/>
        <v>04-08-2020</v>
      </c>
      <c r="M7361" t="str">
        <f t="shared" si="3003"/>
        <v>04-08-2020</v>
      </c>
      <c r="N7361" t="str">
        <f t="shared" si="2983"/>
        <v>001105018356</v>
      </c>
      <c r="O7361" t="str">
        <f t="shared" si="2984"/>
        <v>MYR</v>
      </c>
      <c r="P7361" t="str">
        <f t="shared" si="3004"/>
        <v>NIL</v>
      </c>
      <c r="Q7361" t="str">
        <f t="shared" si="3004"/>
        <v>NIL</v>
      </c>
      <c r="R7361" t="str">
        <f t="shared" si="2999"/>
        <v>Accepted</v>
      </c>
      <c r="S7361" t="str">
        <f t="shared" si="2985"/>
        <v>Approved</v>
      </c>
      <c r="T7361" t="str">
        <f t="shared" si="3000"/>
        <v>10.20.8.188</v>
      </c>
      <c r="U7361" t="str">
        <f t="shared" si="2986"/>
        <v>AZRAD UMAR BIN SHAARI</v>
      </c>
      <c r="V7361" t="str">
        <f t="shared" si="2987"/>
        <v>FARHANA BINTI MUSTAPA</v>
      </c>
      <c r="W7361" t="str">
        <f t="shared" si="2988"/>
        <v>04-08-2020</v>
      </c>
      <c r="X7361" t="str">
        <f t="shared" si="2989"/>
        <v>RAZIMAH ANSAR AHMAD</v>
      </c>
      <c r="Y7361" t="str">
        <f t="shared" si="2990"/>
        <v>04-08-2020</v>
      </c>
      <c r="Z7361" t="str">
        <f>"COS10200804 1793"</f>
        <v>COS10200804 1793</v>
      </c>
    </row>
    <row r="7362" spans="1:26" x14ac:dyDescent="0.25">
      <c r="A7362" t="str">
        <f t="shared" si="3005"/>
        <v>04-08-2020 12:34:57</v>
      </c>
      <c r="B7362" t="str">
        <f>"0000803546"</f>
        <v>0000803546</v>
      </c>
      <c r="C7362" t="str">
        <f t="shared" si="3006"/>
        <v>0000803354</v>
      </c>
      <c r="D7362" t="str">
        <f t="shared" si="2980"/>
        <v>73185</v>
      </c>
      <c r="E7362" t="str">
        <f t="shared" si="2981"/>
        <v>KFH-OPERATIONS DEPARTMENT</v>
      </c>
      <c r="F7362" t="str">
        <f t="shared" si="2982"/>
        <v>IBG</v>
      </c>
      <c r="G7362" t="str">
        <f t="shared" si="2993"/>
        <v>Refund COSHARE 10</v>
      </c>
      <c r="H7362" s="2">
        <v>252</v>
      </c>
      <c r="I7362" t="str">
        <f>"MOHD SHARMAN BIN RAZAKI"</f>
        <v>MOHD SHARMAN BIN RAZAKI</v>
      </c>
      <c r="J7362" t="str">
        <f t="shared" si="2996"/>
        <v>BANK SIMPANAN NASIONAL</v>
      </c>
      <c r="K7362" t="str">
        <f>"0511329000131263"</f>
        <v>0511329000131263</v>
      </c>
      <c r="L7362" t="str">
        <f t="shared" si="3003"/>
        <v>04-08-2020</v>
      </c>
      <c r="M7362" t="str">
        <f t="shared" si="3003"/>
        <v>04-08-2020</v>
      </c>
      <c r="N7362" t="str">
        <f t="shared" si="2983"/>
        <v>001105018356</v>
      </c>
      <c r="O7362" t="str">
        <f t="shared" si="2984"/>
        <v>MYR</v>
      </c>
      <c r="P7362" t="str">
        <f t="shared" si="3004"/>
        <v>NIL</v>
      </c>
      <c r="Q7362" t="str">
        <f t="shared" si="3004"/>
        <v>NIL</v>
      </c>
      <c r="R7362" t="str">
        <f t="shared" si="2999"/>
        <v>Accepted</v>
      </c>
      <c r="S7362" t="str">
        <f t="shared" si="2985"/>
        <v>Approved</v>
      </c>
      <c r="T7362" t="str">
        <f t="shared" si="3000"/>
        <v>10.20.8.188</v>
      </c>
      <c r="U7362" t="str">
        <f t="shared" si="2986"/>
        <v>AZRAD UMAR BIN SHAARI</v>
      </c>
      <c r="V7362" t="str">
        <f t="shared" si="2987"/>
        <v>FARHANA BINTI MUSTAPA</v>
      </c>
      <c r="W7362" t="str">
        <f t="shared" si="2988"/>
        <v>04-08-2020</v>
      </c>
      <c r="X7362" t="str">
        <f t="shared" si="2989"/>
        <v>RAZIMAH ANSAR AHMAD</v>
      </c>
      <c r="Y7362" t="str">
        <f t="shared" si="2990"/>
        <v>04-08-2020</v>
      </c>
      <c r="Z7362" t="str">
        <f>"COS10200804 1792"</f>
        <v>COS10200804 1792</v>
      </c>
    </row>
    <row r="7363" spans="1:26" x14ac:dyDescent="0.25">
      <c r="A7363" t="str">
        <f t="shared" si="3005"/>
        <v>04-08-2020 12:34:57</v>
      </c>
      <c r="B7363" t="str">
        <f>"0000803545"</f>
        <v>0000803545</v>
      </c>
      <c r="C7363" t="str">
        <f t="shared" si="3006"/>
        <v>0000803354</v>
      </c>
      <c r="D7363" t="str">
        <f t="shared" si="2980"/>
        <v>73185</v>
      </c>
      <c r="E7363" t="str">
        <f t="shared" si="2981"/>
        <v>KFH-OPERATIONS DEPARTMENT</v>
      </c>
      <c r="F7363" t="str">
        <f t="shared" si="2982"/>
        <v>IBG</v>
      </c>
      <c r="G7363" t="str">
        <f t="shared" si="2993"/>
        <v>Refund COSHARE 10</v>
      </c>
      <c r="H7363" s="2">
        <v>293.85000000000002</v>
      </c>
      <c r="I7363" t="str">
        <f>"MOHD SHAHIDAN BIN YAAKOB"</f>
        <v>MOHD SHAHIDAN BIN YAAKOB</v>
      </c>
      <c r="J7363" t="str">
        <f t="shared" si="2996"/>
        <v>BANK SIMPANAN NASIONAL</v>
      </c>
      <c r="K7363" t="str">
        <f>"0510441000051890"</f>
        <v>0510441000051890</v>
      </c>
      <c r="L7363" t="str">
        <f t="shared" si="3003"/>
        <v>04-08-2020</v>
      </c>
      <c r="M7363" t="str">
        <f t="shared" si="3003"/>
        <v>04-08-2020</v>
      </c>
      <c r="N7363" t="str">
        <f t="shared" si="2983"/>
        <v>001105018356</v>
      </c>
      <c r="O7363" t="str">
        <f t="shared" si="2984"/>
        <v>MYR</v>
      </c>
      <c r="P7363" t="str">
        <f t="shared" si="3004"/>
        <v>NIL</v>
      </c>
      <c r="Q7363" t="str">
        <f t="shared" si="3004"/>
        <v>NIL</v>
      </c>
      <c r="R7363" t="str">
        <f t="shared" si="2999"/>
        <v>Accepted</v>
      </c>
      <c r="S7363" t="str">
        <f t="shared" si="2985"/>
        <v>Approved</v>
      </c>
      <c r="T7363" t="str">
        <f t="shared" si="3000"/>
        <v>10.20.8.188</v>
      </c>
      <c r="U7363" t="str">
        <f t="shared" si="2986"/>
        <v>AZRAD UMAR BIN SHAARI</v>
      </c>
      <c r="V7363" t="str">
        <f t="shared" si="2987"/>
        <v>FARHANA BINTI MUSTAPA</v>
      </c>
      <c r="W7363" t="str">
        <f t="shared" si="2988"/>
        <v>04-08-2020</v>
      </c>
      <c r="X7363" t="str">
        <f t="shared" si="2989"/>
        <v>RAZIMAH ANSAR AHMAD</v>
      </c>
      <c r="Y7363" t="str">
        <f t="shared" si="2990"/>
        <v>04-08-2020</v>
      </c>
      <c r="Z7363" t="str">
        <f>"COS10200804 1791"</f>
        <v>COS10200804 1791</v>
      </c>
    </row>
    <row r="7364" spans="1:26" x14ac:dyDescent="0.25">
      <c r="A7364" t="str">
        <f t="shared" si="3005"/>
        <v>04-08-2020 12:34:57</v>
      </c>
      <c r="B7364" t="str">
        <f>"0000803544"</f>
        <v>0000803544</v>
      </c>
      <c r="C7364" t="str">
        <f t="shared" si="3006"/>
        <v>0000803354</v>
      </c>
      <c r="D7364" t="str">
        <f t="shared" si="2980"/>
        <v>73185</v>
      </c>
      <c r="E7364" t="str">
        <f t="shared" si="2981"/>
        <v>KFH-OPERATIONS DEPARTMENT</v>
      </c>
      <c r="F7364" t="str">
        <f t="shared" si="2982"/>
        <v>IBG</v>
      </c>
      <c r="G7364" t="str">
        <f t="shared" si="2993"/>
        <v>Refund COSHARE 10</v>
      </c>
      <c r="H7364" s="2">
        <v>361</v>
      </c>
      <c r="I7364" t="str">
        <f>"MOHD SAIFULLAH AFFANDI NGO ABDULLAH"</f>
        <v>MOHD SAIFULLAH AFFANDI NGO ABDULLAH</v>
      </c>
      <c r="J7364" t="str">
        <f t="shared" si="2996"/>
        <v>BANK SIMPANAN NASIONAL</v>
      </c>
      <c r="K7364" t="str">
        <f>"1310041000060108"</f>
        <v>1310041000060108</v>
      </c>
      <c r="L7364" t="str">
        <f t="shared" si="3003"/>
        <v>04-08-2020</v>
      </c>
      <c r="M7364" t="str">
        <f t="shared" si="3003"/>
        <v>04-08-2020</v>
      </c>
      <c r="N7364" t="str">
        <f t="shared" si="2983"/>
        <v>001105018356</v>
      </c>
      <c r="O7364" t="str">
        <f t="shared" si="2984"/>
        <v>MYR</v>
      </c>
      <c r="P7364" t="str">
        <f t="shared" si="3004"/>
        <v>NIL</v>
      </c>
      <c r="Q7364" t="str">
        <f t="shared" si="3004"/>
        <v>NIL</v>
      </c>
      <c r="R7364" t="str">
        <f t="shared" si="2999"/>
        <v>Accepted</v>
      </c>
      <c r="S7364" t="str">
        <f t="shared" si="2985"/>
        <v>Approved</v>
      </c>
      <c r="T7364" t="str">
        <f t="shared" si="3000"/>
        <v>10.20.8.188</v>
      </c>
      <c r="U7364" t="str">
        <f t="shared" si="2986"/>
        <v>AZRAD UMAR BIN SHAARI</v>
      </c>
      <c r="V7364" t="str">
        <f t="shared" si="2987"/>
        <v>FARHANA BINTI MUSTAPA</v>
      </c>
      <c r="W7364" t="str">
        <f t="shared" si="2988"/>
        <v>04-08-2020</v>
      </c>
      <c r="X7364" t="str">
        <f t="shared" si="2989"/>
        <v>RAZIMAH ANSAR AHMAD</v>
      </c>
      <c r="Y7364" t="str">
        <f t="shared" si="2990"/>
        <v>04-08-2020</v>
      </c>
      <c r="Z7364" t="str">
        <f>"COS10200804 1790"</f>
        <v>COS10200804 1790</v>
      </c>
    </row>
    <row r="7365" spans="1:26" x14ac:dyDescent="0.25">
      <c r="A7365" t="str">
        <f t="shared" si="3005"/>
        <v>04-08-2020 12:34:57</v>
      </c>
      <c r="B7365" t="str">
        <f>"0000803543"</f>
        <v>0000803543</v>
      </c>
      <c r="C7365" t="str">
        <f t="shared" si="3006"/>
        <v>0000803354</v>
      </c>
      <c r="D7365" t="str">
        <f t="shared" si="2980"/>
        <v>73185</v>
      </c>
      <c r="E7365" t="str">
        <f t="shared" si="2981"/>
        <v>KFH-OPERATIONS DEPARTMENT</v>
      </c>
      <c r="F7365" t="str">
        <f t="shared" si="2982"/>
        <v>IBG</v>
      </c>
      <c r="G7365" t="str">
        <f t="shared" si="2993"/>
        <v>Refund COSHARE 10</v>
      </c>
      <c r="H7365" s="2">
        <v>172.4</v>
      </c>
      <c r="I7365" t="str">
        <f>"MOHD SAIDI BIN HASSAN"</f>
        <v>MOHD SAIDI BIN HASSAN</v>
      </c>
      <c r="J7365" t="str">
        <f t="shared" si="2996"/>
        <v>BANK SIMPANAN NASIONAL</v>
      </c>
      <c r="K7365" t="str">
        <f>"1418129000007108"</f>
        <v>1418129000007108</v>
      </c>
      <c r="L7365" t="str">
        <f t="shared" si="3003"/>
        <v>04-08-2020</v>
      </c>
      <c r="M7365" t="str">
        <f t="shared" si="3003"/>
        <v>04-08-2020</v>
      </c>
      <c r="N7365" t="str">
        <f t="shared" si="2983"/>
        <v>001105018356</v>
      </c>
      <c r="O7365" t="str">
        <f t="shared" si="2984"/>
        <v>MYR</v>
      </c>
      <c r="P7365" t="str">
        <f t="shared" si="3004"/>
        <v>NIL</v>
      </c>
      <c r="Q7365" t="str">
        <f t="shared" si="3004"/>
        <v>NIL</v>
      </c>
      <c r="R7365" t="str">
        <f t="shared" si="2999"/>
        <v>Accepted</v>
      </c>
      <c r="S7365" t="str">
        <f t="shared" si="2985"/>
        <v>Approved</v>
      </c>
      <c r="T7365" t="str">
        <f t="shared" si="3000"/>
        <v>10.20.8.188</v>
      </c>
      <c r="U7365" t="str">
        <f t="shared" si="2986"/>
        <v>AZRAD UMAR BIN SHAARI</v>
      </c>
      <c r="V7365" t="str">
        <f t="shared" si="2987"/>
        <v>FARHANA BINTI MUSTAPA</v>
      </c>
      <c r="W7365" t="str">
        <f t="shared" si="2988"/>
        <v>04-08-2020</v>
      </c>
      <c r="X7365" t="str">
        <f t="shared" si="2989"/>
        <v>RAZIMAH ANSAR AHMAD</v>
      </c>
      <c r="Y7365" t="str">
        <f t="shared" si="2990"/>
        <v>04-08-2020</v>
      </c>
      <c r="Z7365" t="str">
        <f>"COS10200804 1789"</f>
        <v>COS10200804 1789</v>
      </c>
    </row>
    <row r="7366" spans="1:26" x14ac:dyDescent="0.25">
      <c r="A7366" t="str">
        <f t="shared" si="3005"/>
        <v>04-08-2020 12:34:57</v>
      </c>
      <c r="B7366" t="str">
        <f>"0000803542"</f>
        <v>0000803542</v>
      </c>
      <c r="C7366" t="str">
        <f t="shared" si="3006"/>
        <v>0000803354</v>
      </c>
      <c r="D7366" t="str">
        <f t="shared" si="2980"/>
        <v>73185</v>
      </c>
      <c r="E7366" t="str">
        <f t="shared" si="2981"/>
        <v>KFH-OPERATIONS DEPARTMENT</v>
      </c>
      <c r="F7366" t="str">
        <f t="shared" si="2982"/>
        <v>IBG</v>
      </c>
      <c r="G7366" t="str">
        <f t="shared" si="2993"/>
        <v>Refund COSHARE 10</v>
      </c>
      <c r="H7366" s="2">
        <v>209.9</v>
      </c>
      <c r="I7366" t="str">
        <f>"MOHD SAHARUN BIN MAD LABA"</f>
        <v>MOHD SAHARUN BIN MAD LABA</v>
      </c>
      <c r="J7366" t="str">
        <f t="shared" si="2996"/>
        <v>BANK SIMPANAN NASIONAL</v>
      </c>
      <c r="K7366" t="str">
        <f>"1212729000063532"</f>
        <v>1212729000063532</v>
      </c>
      <c r="L7366" t="str">
        <f t="shared" si="3003"/>
        <v>04-08-2020</v>
      </c>
      <c r="M7366" t="str">
        <f t="shared" si="3003"/>
        <v>04-08-2020</v>
      </c>
      <c r="N7366" t="str">
        <f t="shared" si="2983"/>
        <v>001105018356</v>
      </c>
      <c r="O7366" t="str">
        <f t="shared" si="2984"/>
        <v>MYR</v>
      </c>
      <c r="P7366" t="str">
        <f t="shared" si="3004"/>
        <v>NIL</v>
      </c>
      <c r="Q7366" t="str">
        <f t="shared" si="3004"/>
        <v>NIL</v>
      </c>
      <c r="R7366" t="str">
        <f t="shared" si="2999"/>
        <v>Accepted</v>
      </c>
      <c r="S7366" t="str">
        <f t="shared" si="2985"/>
        <v>Approved</v>
      </c>
      <c r="T7366" t="str">
        <f t="shared" si="3000"/>
        <v>10.20.8.188</v>
      </c>
      <c r="U7366" t="str">
        <f t="shared" si="2986"/>
        <v>AZRAD UMAR BIN SHAARI</v>
      </c>
      <c r="V7366" t="str">
        <f t="shared" si="2987"/>
        <v>FARHANA BINTI MUSTAPA</v>
      </c>
      <c r="W7366" t="str">
        <f t="shared" si="2988"/>
        <v>04-08-2020</v>
      </c>
      <c r="X7366" t="str">
        <f t="shared" si="2989"/>
        <v>RAZIMAH ANSAR AHMAD</v>
      </c>
      <c r="Y7366" t="str">
        <f t="shared" si="2990"/>
        <v>04-08-2020</v>
      </c>
      <c r="Z7366" t="str">
        <f>"COS10200804 1788"</f>
        <v>COS10200804 1788</v>
      </c>
    </row>
    <row r="7367" spans="1:26" x14ac:dyDescent="0.25">
      <c r="A7367" t="str">
        <f t="shared" si="3005"/>
        <v>04-08-2020 12:34:57</v>
      </c>
      <c r="B7367" t="str">
        <f>"0000803541"</f>
        <v>0000803541</v>
      </c>
      <c r="C7367" t="str">
        <f t="shared" si="3006"/>
        <v>0000803354</v>
      </c>
      <c r="D7367" t="str">
        <f t="shared" ref="D7367:D7430" si="3007">"73185"</f>
        <v>73185</v>
      </c>
      <c r="E7367" t="str">
        <f t="shared" ref="E7367:E7430" si="3008">"KFH-OPERATIONS DEPARTMENT"</f>
        <v>KFH-OPERATIONS DEPARTMENT</v>
      </c>
      <c r="F7367" t="str">
        <f t="shared" ref="F7367:F7430" si="3009">"IBG"</f>
        <v>IBG</v>
      </c>
      <c r="G7367" t="str">
        <f t="shared" si="2993"/>
        <v>Refund COSHARE 10</v>
      </c>
      <c r="H7367" s="2">
        <v>251.85</v>
      </c>
      <c r="I7367" t="str">
        <f>"MOHD SAFOAD BIN IBRAHIM"</f>
        <v>MOHD SAFOAD BIN IBRAHIM</v>
      </c>
      <c r="J7367" t="str">
        <f t="shared" si="2996"/>
        <v>BANK SIMPANAN NASIONAL</v>
      </c>
      <c r="K7367" t="str">
        <f>"0610029000608975"</f>
        <v>0610029000608975</v>
      </c>
      <c r="L7367" t="str">
        <f t="shared" ref="L7367:M7386" si="3010">"04-08-2020"</f>
        <v>04-08-2020</v>
      </c>
      <c r="M7367" t="str">
        <f t="shared" si="3010"/>
        <v>04-08-2020</v>
      </c>
      <c r="N7367" t="str">
        <f t="shared" ref="N7367:N7430" si="3011">"001105018356"</f>
        <v>001105018356</v>
      </c>
      <c r="O7367" t="str">
        <f t="shared" ref="O7367:O7430" si="3012">"MYR"</f>
        <v>MYR</v>
      </c>
      <c r="P7367" t="str">
        <f t="shared" ref="P7367:Q7386" si="3013">"NIL"</f>
        <v>NIL</v>
      </c>
      <c r="Q7367" t="str">
        <f t="shared" si="3013"/>
        <v>NIL</v>
      </c>
      <c r="R7367" t="str">
        <f t="shared" si="2999"/>
        <v>Accepted</v>
      </c>
      <c r="S7367" t="str">
        <f t="shared" ref="S7367:S7430" si="3014">"Approved"</f>
        <v>Approved</v>
      </c>
      <c r="T7367" t="str">
        <f t="shared" si="3000"/>
        <v>10.20.8.188</v>
      </c>
      <c r="U7367" t="str">
        <f t="shared" ref="U7367:U7430" si="3015">"AZRAD UMAR BIN SHAARI"</f>
        <v>AZRAD UMAR BIN SHAARI</v>
      </c>
      <c r="V7367" t="str">
        <f t="shared" ref="V7367:V7430" si="3016">"FARHANA BINTI MUSTAPA"</f>
        <v>FARHANA BINTI MUSTAPA</v>
      </c>
      <c r="W7367" t="str">
        <f t="shared" ref="W7367:W7430" si="3017">"04-08-2020"</f>
        <v>04-08-2020</v>
      </c>
      <c r="X7367" t="str">
        <f t="shared" ref="X7367:X7430" si="3018">"RAZIMAH ANSAR AHMAD"</f>
        <v>RAZIMAH ANSAR AHMAD</v>
      </c>
      <c r="Y7367" t="str">
        <f t="shared" ref="Y7367:Y7430" si="3019">"04-08-2020"</f>
        <v>04-08-2020</v>
      </c>
      <c r="Z7367" t="str">
        <f>"COS10200804 1787"</f>
        <v>COS10200804 1787</v>
      </c>
    </row>
    <row r="7368" spans="1:26" x14ac:dyDescent="0.25">
      <c r="A7368" t="str">
        <f t="shared" si="3005"/>
        <v>04-08-2020 12:34:57</v>
      </c>
      <c r="B7368" t="str">
        <f>"0000803540"</f>
        <v>0000803540</v>
      </c>
      <c r="C7368" t="str">
        <f t="shared" si="3006"/>
        <v>0000803354</v>
      </c>
      <c r="D7368" t="str">
        <f t="shared" si="3007"/>
        <v>73185</v>
      </c>
      <c r="E7368" t="str">
        <f t="shared" si="3008"/>
        <v>KFH-OPERATIONS DEPARTMENT</v>
      </c>
      <c r="F7368" t="str">
        <f t="shared" si="3009"/>
        <v>IBG</v>
      </c>
      <c r="G7368" t="str">
        <f t="shared" si="2993"/>
        <v>Refund COSHARE 10</v>
      </c>
      <c r="H7368" s="2">
        <v>42</v>
      </c>
      <c r="I7368" t="str">
        <f>"MOHD RUZLAN BIN MAKLADIN"</f>
        <v>MOHD RUZLAN BIN MAKLADIN</v>
      </c>
      <c r="J7368" t="str">
        <f t="shared" si="2996"/>
        <v>BANK SIMPANAN NASIONAL</v>
      </c>
      <c r="K7368" t="str">
        <f>"1212629000117271"</f>
        <v>1212629000117271</v>
      </c>
      <c r="L7368" t="str">
        <f t="shared" si="3010"/>
        <v>04-08-2020</v>
      </c>
      <c r="M7368" t="str">
        <f t="shared" si="3010"/>
        <v>04-08-2020</v>
      </c>
      <c r="N7368" t="str">
        <f t="shared" si="3011"/>
        <v>001105018356</v>
      </c>
      <c r="O7368" t="str">
        <f t="shared" si="3012"/>
        <v>MYR</v>
      </c>
      <c r="P7368" t="str">
        <f t="shared" si="3013"/>
        <v>NIL</v>
      </c>
      <c r="Q7368" t="str">
        <f t="shared" si="3013"/>
        <v>NIL</v>
      </c>
      <c r="R7368" t="str">
        <f t="shared" si="2999"/>
        <v>Accepted</v>
      </c>
      <c r="S7368" t="str">
        <f t="shared" si="3014"/>
        <v>Approved</v>
      </c>
      <c r="T7368" t="str">
        <f t="shared" si="3000"/>
        <v>10.20.8.188</v>
      </c>
      <c r="U7368" t="str">
        <f t="shared" si="3015"/>
        <v>AZRAD UMAR BIN SHAARI</v>
      </c>
      <c r="V7368" t="str">
        <f t="shared" si="3016"/>
        <v>FARHANA BINTI MUSTAPA</v>
      </c>
      <c r="W7368" t="str">
        <f t="shared" si="3017"/>
        <v>04-08-2020</v>
      </c>
      <c r="X7368" t="str">
        <f t="shared" si="3018"/>
        <v>RAZIMAH ANSAR AHMAD</v>
      </c>
      <c r="Y7368" t="str">
        <f t="shared" si="3019"/>
        <v>04-08-2020</v>
      </c>
      <c r="Z7368" t="str">
        <f>"COS10200804 1786"</f>
        <v>COS10200804 1786</v>
      </c>
    </row>
    <row r="7369" spans="1:26" x14ac:dyDescent="0.25">
      <c r="A7369" t="str">
        <f t="shared" si="3005"/>
        <v>04-08-2020 12:34:57</v>
      </c>
      <c r="B7369" t="str">
        <f>"0000803539"</f>
        <v>0000803539</v>
      </c>
      <c r="C7369" t="str">
        <f t="shared" si="3006"/>
        <v>0000803354</v>
      </c>
      <c r="D7369" t="str">
        <f t="shared" si="3007"/>
        <v>73185</v>
      </c>
      <c r="E7369" t="str">
        <f t="shared" si="3008"/>
        <v>KFH-OPERATIONS DEPARTMENT</v>
      </c>
      <c r="F7369" t="str">
        <f t="shared" si="3009"/>
        <v>IBG</v>
      </c>
      <c r="G7369" t="str">
        <f t="shared" si="2993"/>
        <v>Refund COSHARE 10</v>
      </c>
      <c r="H7369" s="2">
        <v>258</v>
      </c>
      <c r="I7369" t="str">
        <f>"MOHD RAZALI BIN HASSAN"</f>
        <v>MOHD RAZALI BIN HASSAN</v>
      </c>
      <c r="J7369" t="str">
        <f t="shared" si="2996"/>
        <v>BANK SIMPANAN NASIONAL</v>
      </c>
      <c r="K7369" t="str">
        <f>"1411329000057156"</f>
        <v>1411329000057156</v>
      </c>
      <c r="L7369" t="str">
        <f t="shared" si="3010"/>
        <v>04-08-2020</v>
      </c>
      <c r="M7369" t="str">
        <f t="shared" si="3010"/>
        <v>04-08-2020</v>
      </c>
      <c r="N7369" t="str">
        <f t="shared" si="3011"/>
        <v>001105018356</v>
      </c>
      <c r="O7369" t="str">
        <f t="shared" si="3012"/>
        <v>MYR</v>
      </c>
      <c r="P7369" t="str">
        <f t="shared" si="3013"/>
        <v>NIL</v>
      </c>
      <c r="Q7369" t="str">
        <f t="shared" si="3013"/>
        <v>NIL</v>
      </c>
      <c r="R7369" t="str">
        <f t="shared" si="2999"/>
        <v>Accepted</v>
      </c>
      <c r="S7369" t="str">
        <f t="shared" si="3014"/>
        <v>Approved</v>
      </c>
      <c r="T7369" t="str">
        <f t="shared" si="3000"/>
        <v>10.20.8.188</v>
      </c>
      <c r="U7369" t="str">
        <f t="shared" si="3015"/>
        <v>AZRAD UMAR BIN SHAARI</v>
      </c>
      <c r="V7369" t="str">
        <f t="shared" si="3016"/>
        <v>FARHANA BINTI MUSTAPA</v>
      </c>
      <c r="W7369" t="str">
        <f t="shared" si="3017"/>
        <v>04-08-2020</v>
      </c>
      <c r="X7369" t="str">
        <f t="shared" si="3018"/>
        <v>RAZIMAH ANSAR AHMAD</v>
      </c>
      <c r="Y7369" t="str">
        <f t="shared" si="3019"/>
        <v>04-08-2020</v>
      </c>
      <c r="Z7369" t="str">
        <f>"COS10200804 1785"</f>
        <v>COS10200804 1785</v>
      </c>
    </row>
    <row r="7370" spans="1:26" x14ac:dyDescent="0.25">
      <c r="A7370" t="str">
        <f t="shared" si="3005"/>
        <v>04-08-2020 12:34:57</v>
      </c>
      <c r="B7370" t="str">
        <f>"0000803538"</f>
        <v>0000803538</v>
      </c>
      <c r="C7370" t="str">
        <f t="shared" si="3006"/>
        <v>0000803354</v>
      </c>
      <c r="D7370" t="str">
        <f t="shared" si="3007"/>
        <v>73185</v>
      </c>
      <c r="E7370" t="str">
        <f t="shared" si="3008"/>
        <v>KFH-OPERATIONS DEPARTMENT</v>
      </c>
      <c r="F7370" t="str">
        <f t="shared" si="3009"/>
        <v>IBG</v>
      </c>
      <c r="G7370" t="str">
        <f t="shared" si="2993"/>
        <v>Refund COSHARE 10</v>
      </c>
      <c r="H7370" s="2">
        <v>1015.8</v>
      </c>
      <c r="I7370" t="str">
        <f>"MOHD RAHIZUL HISYAM ABDULLAH"</f>
        <v>MOHD RAHIZUL HISYAM ABDULLAH</v>
      </c>
      <c r="J7370" t="str">
        <f t="shared" si="2996"/>
        <v>BANK SIMPANAN NASIONAL</v>
      </c>
      <c r="K7370" t="str">
        <f>"1312141000017854"</f>
        <v>1312141000017854</v>
      </c>
      <c r="L7370" t="str">
        <f t="shared" si="3010"/>
        <v>04-08-2020</v>
      </c>
      <c r="M7370" t="str">
        <f t="shared" si="3010"/>
        <v>04-08-2020</v>
      </c>
      <c r="N7370" t="str">
        <f t="shared" si="3011"/>
        <v>001105018356</v>
      </c>
      <c r="O7370" t="str">
        <f t="shared" si="3012"/>
        <v>MYR</v>
      </c>
      <c r="P7370" t="str">
        <f t="shared" si="3013"/>
        <v>NIL</v>
      </c>
      <c r="Q7370" t="str">
        <f t="shared" si="3013"/>
        <v>NIL</v>
      </c>
      <c r="R7370" t="str">
        <f t="shared" si="2999"/>
        <v>Accepted</v>
      </c>
      <c r="S7370" t="str">
        <f t="shared" si="3014"/>
        <v>Approved</v>
      </c>
      <c r="T7370" t="str">
        <f t="shared" si="3000"/>
        <v>10.20.8.188</v>
      </c>
      <c r="U7370" t="str">
        <f t="shared" si="3015"/>
        <v>AZRAD UMAR BIN SHAARI</v>
      </c>
      <c r="V7370" t="str">
        <f t="shared" si="3016"/>
        <v>FARHANA BINTI MUSTAPA</v>
      </c>
      <c r="W7370" t="str">
        <f t="shared" si="3017"/>
        <v>04-08-2020</v>
      </c>
      <c r="X7370" t="str">
        <f t="shared" si="3018"/>
        <v>RAZIMAH ANSAR AHMAD</v>
      </c>
      <c r="Y7370" t="str">
        <f t="shared" si="3019"/>
        <v>04-08-2020</v>
      </c>
      <c r="Z7370" t="str">
        <f>"COS10200804 1784"</f>
        <v>COS10200804 1784</v>
      </c>
    </row>
    <row r="7371" spans="1:26" x14ac:dyDescent="0.25">
      <c r="A7371" t="str">
        <f t="shared" si="3005"/>
        <v>04-08-2020 12:34:57</v>
      </c>
      <c r="B7371" t="str">
        <f>"0000803537"</f>
        <v>0000803537</v>
      </c>
      <c r="C7371" t="str">
        <f t="shared" si="3006"/>
        <v>0000803354</v>
      </c>
      <c r="D7371" t="str">
        <f t="shared" si="3007"/>
        <v>73185</v>
      </c>
      <c r="E7371" t="str">
        <f t="shared" si="3008"/>
        <v>KFH-OPERATIONS DEPARTMENT</v>
      </c>
      <c r="F7371" t="str">
        <f t="shared" si="3009"/>
        <v>IBG</v>
      </c>
      <c r="G7371" t="str">
        <f t="shared" si="2993"/>
        <v>Refund COSHARE 10</v>
      </c>
      <c r="H7371" s="2">
        <v>137</v>
      </c>
      <c r="I7371" t="str">
        <f>"MOHD RAHIZUL HISYAM  ABDULLAH"</f>
        <v>MOHD RAHIZUL HISYAM  ABDULLAH</v>
      </c>
      <c r="J7371" t="str">
        <f t="shared" si="2996"/>
        <v>BANK SIMPANAN NASIONAL</v>
      </c>
      <c r="K7371" t="str">
        <f>"1312141000017854"</f>
        <v>1312141000017854</v>
      </c>
      <c r="L7371" t="str">
        <f t="shared" si="3010"/>
        <v>04-08-2020</v>
      </c>
      <c r="M7371" t="str">
        <f t="shared" si="3010"/>
        <v>04-08-2020</v>
      </c>
      <c r="N7371" t="str">
        <f t="shared" si="3011"/>
        <v>001105018356</v>
      </c>
      <c r="O7371" t="str">
        <f t="shared" si="3012"/>
        <v>MYR</v>
      </c>
      <c r="P7371" t="str">
        <f t="shared" si="3013"/>
        <v>NIL</v>
      </c>
      <c r="Q7371" t="str">
        <f t="shared" si="3013"/>
        <v>NIL</v>
      </c>
      <c r="R7371" t="str">
        <f t="shared" si="2999"/>
        <v>Accepted</v>
      </c>
      <c r="S7371" t="str">
        <f t="shared" si="3014"/>
        <v>Approved</v>
      </c>
      <c r="T7371" t="str">
        <f t="shared" si="3000"/>
        <v>10.20.8.188</v>
      </c>
      <c r="U7371" t="str">
        <f t="shared" si="3015"/>
        <v>AZRAD UMAR BIN SHAARI</v>
      </c>
      <c r="V7371" t="str">
        <f t="shared" si="3016"/>
        <v>FARHANA BINTI MUSTAPA</v>
      </c>
      <c r="W7371" t="str">
        <f t="shared" si="3017"/>
        <v>04-08-2020</v>
      </c>
      <c r="X7371" t="str">
        <f t="shared" si="3018"/>
        <v>RAZIMAH ANSAR AHMAD</v>
      </c>
      <c r="Y7371" t="str">
        <f t="shared" si="3019"/>
        <v>04-08-2020</v>
      </c>
      <c r="Z7371" t="str">
        <f>"COS10200804 1783"</f>
        <v>COS10200804 1783</v>
      </c>
    </row>
    <row r="7372" spans="1:26" x14ac:dyDescent="0.25">
      <c r="A7372" t="str">
        <f t="shared" si="3005"/>
        <v>04-08-2020 12:34:57</v>
      </c>
      <c r="B7372" t="str">
        <f>"0000803536"</f>
        <v>0000803536</v>
      </c>
      <c r="C7372" t="str">
        <f t="shared" si="3006"/>
        <v>0000803354</v>
      </c>
      <c r="D7372" t="str">
        <f t="shared" si="3007"/>
        <v>73185</v>
      </c>
      <c r="E7372" t="str">
        <f t="shared" si="3008"/>
        <v>KFH-OPERATIONS DEPARTMENT</v>
      </c>
      <c r="F7372" t="str">
        <f t="shared" si="3009"/>
        <v>IBG</v>
      </c>
      <c r="G7372" t="str">
        <f t="shared" ref="G7372:G7435" si="3020">"Refund COSHARE 10"</f>
        <v>Refund COSHARE 10</v>
      </c>
      <c r="H7372" s="2">
        <v>1402</v>
      </c>
      <c r="I7372" t="str">
        <f>"MOHD RAHIMMI BIN AB RAHIM"</f>
        <v>MOHD RAHIMMI BIN AB RAHIM</v>
      </c>
      <c r="J7372" t="str">
        <f t="shared" si="2996"/>
        <v>BANK SIMPANAN NASIONAL</v>
      </c>
      <c r="K7372" t="str">
        <f>"0110029836573202"</f>
        <v>0110029836573202</v>
      </c>
      <c r="L7372" t="str">
        <f t="shared" si="3010"/>
        <v>04-08-2020</v>
      </c>
      <c r="M7372" t="str">
        <f t="shared" si="3010"/>
        <v>04-08-2020</v>
      </c>
      <c r="N7372" t="str">
        <f t="shared" si="3011"/>
        <v>001105018356</v>
      </c>
      <c r="O7372" t="str">
        <f t="shared" si="3012"/>
        <v>MYR</v>
      </c>
      <c r="P7372" t="str">
        <f t="shared" si="3013"/>
        <v>NIL</v>
      </c>
      <c r="Q7372" t="str">
        <f t="shared" si="3013"/>
        <v>NIL</v>
      </c>
      <c r="R7372" t="str">
        <f t="shared" si="2999"/>
        <v>Accepted</v>
      </c>
      <c r="S7372" t="str">
        <f t="shared" si="3014"/>
        <v>Approved</v>
      </c>
      <c r="T7372" t="str">
        <f t="shared" si="3000"/>
        <v>10.20.8.188</v>
      </c>
      <c r="U7372" t="str">
        <f t="shared" si="3015"/>
        <v>AZRAD UMAR BIN SHAARI</v>
      </c>
      <c r="V7372" t="str">
        <f t="shared" si="3016"/>
        <v>FARHANA BINTI MUSTAPA</v>
      </c>
      <c r="W7372" t="str">
        <f t="shared" si="3017"/>
        <v>04-08-2020</v>
      </c>
      <c r="X7372" t="str">
        <f t="shared" si="3018"/>
        <v>RAZIMAH ANSAR AHMAD</v>
      </c>
      <c r="Y7372" t="str">
        <f t="shared" si="3019"/>
        <v>04-08-2020</v>
      </c>
      <c r="Z7372" t="str">
        <f>"COS10200804 1782"</f>
        <v>COS10200804 1782</v>
      </c>
    </row>
    <row r="7373" spans="1:26" x14ac:dyDescent="0.25">
      <c r="A7373" t="str">
        <f t="shared" si="3005"/>
        <v>04-08-2020 12:34:57</v>
      </c>
      <c r="B7373" t="str">
        <f>"0000803535"</f>
        <v>0000803535</v>
      </c>
      <c r="C7373" t="str">
        <f t="shared" si="3006"/>
        <v>0000803354</v>
      </c>
      <c r="D7373" t="str">
        <f t="shared" si="3007"/>
        <v>73185</v>
      </c>
      <c r="E7373" t="str">
        <f t="shared" si="3008"/>
        <v>KFH-OPERATIONS DEPARTMENT</v>
      </c>
      <c r="F7373" t="str">
        <f t="shared" si="3009"/>
        <v>IBG</v>
      </c>
      <c r="G7373" t="str">
        <f t="shared" si="3020"/>
        <v>Refund COSHARE 10</v>
      </c>
      <c r="H7373" s="2">
        <v>42</v>
      </c>
      <c r="I7373" t="str">
        <f>"MOHD RADZUAN AL ABDUL JALIL"</f>
        <v>MOHD RADZUAN AL ABDUL JALIL</v>
      </c>
      <c r="J7373" t="str">
        <f t="shared" si="2996"/>
        <v>BANK SIMPANAN NASIONAL</v>
      </c>
      <c r="K7373" t="str">
        <f>"0600241000058497"</f>
        <v>0600241000058497</v>
      </c>
      <c r="L7373" t="str">
        <f t="shared" si="3010"/>
        <v>04-08-2020</v>
      </c>
      <c r="M7373" t="str">
        <f t="shared" si="3010"/>
        <v>04-08-2020</v>
      </c>
      <c r="N7373" t="str">
        <f t="shared" si="3011"/>
        <v>001105018356</v>
      </c>
      <c r="O7373" t="str">
        <f t="shared" si="3012"/>
        <v>MYR</v>
      </c>
      <c r="P7373" t="str">
        <f t="shared" si="3013"/>
        <v>NIL</v>
      </c>
      <c r="Q7373" t="str">
        <f t="shared" si="3013"/>
        <v>NIL</v>
      </c>
      <c r="R7373" t="str">
        <f t="shared" si="2999"/>
        <v>Accepted</v>
      </c>
      <c r="S7373" t="str">
        <f t="shared" si="3014"/>
        <v>Approved</v>
      </c>
      <c r="T7373" t="str">
        <f t="shared" si="3000"/>
        <v>10.20.8.188</v>
      </c>
      <c r="U7373" t="str">
        <f t="shared" si="3015"/>
        <v>AZRAD UMAR BIN SHAARI</v>
      </c>
      <c r="V7373" t="str">
        <f t="shared" si="3016"/>
        <v>FARHANA BINTI MUSTAPA</v>
      </c>
      <c r="W7373" t="str">
        <f t="shared" si="3017"/>
        <v>04-08-2020</v>
      </c>
      <c r="X7373" t="str">
        <f t="shared" si="3018"/>
        <v>RAZIMAH ANSAR AHMAD</v>
      </c>
      <c r="Y7373" t="str">
        <f t="shared" si="3019"/>
        <v>04-08-2020</v>
      </c>
      <c r="Z7373" t="str">
        <f>"COS10200804 1781"</f>
        <v>COS10200804 1781</v>
      </c>
    </row>
    <row r="7374" spans="1:26" x14ac:dyDescent="0.25">
      <c r="A7374" t="str">
        <f t="shared" si="3005"/>
        <v>04-08-2020 12:34:57</v>
      </c>
      <c r="B7374" t="str">
        <f>"0000803534"</f>
        <v>0000803534</v>
      </c>
      <c r="C7374" t="str">
        <f t="shared" si="3006"/>
        <v>0000803354</v>
      </c>
      <c r="D7374" t="str">
        <f t="shared" si="3007"/>
        <v>73185</v>
      </c>
      <c r="E7374" t="str">
        <f t="shared" si="3008"/>
        <v>KFH-OPERATIONS DEPARTMENT</v>
      </c>
      <c r="F7374" t="str">
        <f t="shared" si="3009"/>
        <v>IBG</v>
      </c>
      <c r="G7374" t="str">
        <f t="shared" si="3020"/>
        <v>Refund COSHARE 10</v>
      </c>
      <c r="H7374" s="2">
        <v>67.2</v>
      </c>
      <c r="I7374" t="str">
        <f>"MOHD NOZRI BIN MOHAMED NOOR"</f>
        <v>MOHD NOZRI BIN MOHAMED NOOR</v>
      </c>
      <c r="J7374" t="str">
        <f t="shared" si="2996"/>
        <v>BANK SIMPANAN NASIONAL</v>
      </c>
      <c r="K7374" t="str">
        <f>"0520029000071615"</f>
        <v>0520029000071615</v>
      </c>
      <c r="L7374" t="str">
        <f t="shared" si="3010"/>
        <v>04-08-2020</v>
      </c>
      <c r="M7374" t="str">
        <f t="shared" si="3010"/>
        <v>04-08-2020</v>
      </c>
      <c r="N7374" t="str">
        <f t="shared" si="3011"/>
        <v>001105018356</v>
      </c>
      <c r="O7374" t="str">
        <f t="shared" si="3012"/>
        <v>MYR</v>
      </c>
      <c r="P7374" t="str">
        <f t="shared" si="3013"/>
        <v>NIL</v>
      </c>
      <c r="Q7374" t="str">
        <f t="shared" si="3013"/>
        <v>NIL</v>
      </c>
      <c r="R7374" t="str">
        <f t="shared" si="2999"/>
        <v>Accepted</v>
      </c>
      <c r="S7374" t="str">
        <f t="shared" si="3014"/>
        <v>Approved</v>
      </c>
      <c r="T7374" t="str">
        <f t="shared" si="3000"/>
        <v>10.20.8.188</v>
      </c>
      <c r="U7374" t="str">
        <f t="shared" si="3015"/>
        <v>AZRAD UMAR BIN SHAARI</v>
      </c>
      <c r="V7374" t="str">
        <f t="shared" si="3016"/>
        <v>FARHANA BINTI MUSTAPA</v>
      </c>
      <c r="W7374" t="str">
        <f t="shared" si="3017"/>
        <v>04-08-2020</v>
      </c>
      <c r="X7374" t="str">
        <f t="shared" si="3018"/>
        <v>RAZIMAH ANSAR AHMAD</v>
      </c>
      <c r="Y7374" t="str">
        <f t="shared" si="3019"/>
        <v>04-08-2020</v>
      </c>
      <c r="Z7374" t="str">
        <f>"COS10200804 1780"</f>
        <v>COS10200804 1780</v>
      </c>
    </row>
    <row r="7375" spans="1:26" x14ac:dyDescent="0.25">
      <c r="A7375" t="str">
        <f t="shared" si="3005"/>
        <v>04-08-2020 12:34:57</v>
      </c>
      <c r="B7375" t="str">
        <f>"0000803533"</f>
        <v>0000803533</v>
      </c>
      <c r="C7375" t="str">
        <f t="shared" si="3006"/>
        <v>0000803354</v>
      </c>
      <c r="D7375" t="str">
        <f t="shared" si="3007"/>
        <v>73185</v>
      </c>
      <c r="E7375" t="str">
        <f t="shared" si="3008"/>
        <v>KFH-OPERATIONS DEPARTMENT</v>
      </c>
      <c r="F7375" t="str">
        <f t="shared" si="3009"/>
        <v>IBG</v>
      </c>
      <c r="G7375" t="str">
        <f t="shared" si="3020"/>
        <v>Refund COSHARE 10</v>
      </c>
      <c r="H7375" s="2">
        <v>76</v>
      </c>
      <c r="I7375" t="str">
        <f>"MOHD NORSHARZEMEEY BIN MOHD ISA"</f>
        <v>MOHD NORSHARZEMEEY BIN MOHD ISA</v>
      </c>
      <c r="J7375" t="str">
        <f t="shared" si="2996"/>
        <v>BANK SIMPANAN NASIONAL</v>
      </c>
      <c r="K7375" t="str">
        <f>"1110429000028241"</f>
        <v>1110429000028241</v>
      </c>
      <c r="L7375" t="str">
        <f t="shared" si="3010"/>
        <v>04-08-2020</v>
      </c>
      <c r="M7375" t="str">
        <f t="shared" si="3010"/>
        <v>04-08-2020</v>
      </c>
      <c r="N7375" t="str">
        <f t="shared" si="3011"/>
        <v>001105018356</v>
      </c>
      <c r="O7375" t="str">
        <f t="shared" si="3012"/>
        <v>MYR</v>
      </c>
      <c r="P7375" t="str">
        <f t="shared" si="3013"/>
        <v>NIL</v>
      </c>
      <c r="Q7375" t="str">
        <f t="shared" si="3013"/>
        <v>NIL</v>
      </c>
      <c r="R7375" t="str">
        <f t="shared" si="2999"/>
        <v>Accepted</v>
      </c>
      <c r="S7375" t="str">
        <f t="shared" si="3014"/>
        <v>Approved</v>
      </c>
      <c r="T7375" t="str">
        <f t="shared" si="3000"/>
        <v>10.20.8.188</v>
      </c>
      <c r="U7375" t="str">
        <f t="shared" si="3015"/>
        <v>AZRAD UMAR BIN SHAARI</v>
      </c>
      <c r="V7375" t="str">
        <f t="shared" si="3016"/>
        <v>FARHANA BINTI MUSTAPA</v>
      </c>
      <c r="W7375" t="str">
        <f t="shared" si="3017"/>
        <v>04-08-2020</v>
      </c>
      <c r="X7375" t="str">
        <f t="shared" si="3018"/>
        <v>RAZIMAH ANSAR AHMAD</v>
      </c>
      <c r="Y7375" t="str">
        <f t="shared" si="3019"/>
        <v>04-08-2020</v>
      </c>
      <c r="Z7375" t="str">
        <f>"COS10200804 1779"</f>
        <v>COS10200804 1779</v>
      </c>
    </row>
    <row r="7376" spans="1:26" x14ac:dyDescent="0.25">
      <c r="A7376" t="str">
        <f t="shared" si="3005"/>
        <v>04-08-2020 12:34:57</v>
      </c>
      <c r="B7376" t="str">
        <f>"0000803532"</f>
        <v>0000803532</v>
      </c>
      <c r="C7376" t="str">
        <f t="shared" si="3006"/>
        <v>0000803354</v>
      </c>
      <c r="D7376" t="str">
        <f t="shared" si="3007"/>
        <v>73185</v>
      </c>
      <c r="E7376" t="str">
        <f t="shared" si="3008"/>
        <v>KFH-OPERATIONS DEPARTMENT</v>
      </c>
      <c r="F7376" t="str">
        <f t="shared" si="3009"/>
        <v>IBG</v>
      </c>
      <c r="G7376" t="str">
        <f t="shared" si="3020"/>
        <v>Refund COSHARE 10</v>
      </c>
      <c r="H7376" s="2">
        <v>1343.2</v>
      </c>
      <c r="I7376" t="str">
        <f>"MOHD NORHISAM BIN ZOLKIFLY"</f>
        <v>MOHD NORHISAM BIN ZOLKIFLY</v>
      </c>
      <c r="J7376" t="str">
        <f t="shared" si="2996"/>
        <v>BANK SIMPANAN NASIONAL</v>
      </c>
      <c r="K7376" t="str">
        <f>"0650029854033594"</f>
        <v>0650029854033594</v>
      </c>
      <c r="L7376" t="str">
        <f t="shared" si="3010"/>
        <v>04-08-2020</v>
      </c>
      <c r="M7376" t="str">
        <f t="shared" si="3010"/>
        <v>04-08-2020</v>
      </c>
      <c r="N7376" t="str">
        <f t="shared" si="3011"/>
        <v>001105018356</v>
      </c>
      <c r="O7376" t="str">
        <f t="shared" si="3012"/>
        <v>MYR</v>
      </c>
      <c r="P7376" t="str">
        <f t="shared" si="3013"/>
        <v>NIL</v>
      </c>
      <c r="Q7376" t="str">
        <f t="shared" si="3013"/>
        <v>NIL</v>
      </c>
      <c r="R7376" t="str">
        <f t="shared" si="2999"/>
        <v>Accepted</v>
      </c>
      <c r="S7376" t="str">
        <f t="shared" si="3014"/>
        <v>Approved</v>
      </c>
      <c r="T7376" t="str">
        <f t="shared" si="3000"/>
        <v>10.20.8.188</v>
      </c>
      <c r="U7376" t="str">
        <f t="shared" si="3015"/>
        <v>AZRAD UMAR BIN SHAARI</v>
      </c>
      <c r="V7376" t="str">
        <f t="shared" si="3016"/>
        <v>FARHANA BINTI MUSTAPA</v>
      </c>
      <c r="W7376" t="str">
        <f t="shared" si="3017"/>
        <v>04-08-2020</v>
      </c>
      <c r="X7376" t="str">
        <f t="shared" si="3018"/>
        <v>RAZIMAH ANSAR AHMAD</v>
      </c>
      <c r="Y7376" t="str">
        <f t="shared" si="3019"/>
        <v>04-08-2020</v>
      </c>
      <c r="Z7376" t="str">
        <f>"COS10200804 1778"</f>
        <v>COS10200804 1778</v>
      </c>
    </row>
    <row r="7377" spans="1:26" x14ac:dyDescent="0.25">
      <c r="A7377" t="str">
        <f t="shared" si="3005"/>
        <v>04-08-2020 12:34:57</v>
      </c>
      <c r="B7377" t="str">
        <f>"0000803531"</f>
        <v>0000803531</v>
      </c>
      <c r="C7377" t="str">
        <f t="shared" si="3006"/>
        <v>0000803354</v>
      </c>
      <c r="D7377" t="str">
        <f t="shared" si="3007"/>
        <v>73185</v>
      </c>
      <c r="E7377" t="str">
        <f t="shared" si="3008"/>
        <v>KFH-OPERATIONS DEPARTMENT</v>
      </c>
      <c r="F7377" t="str">
        <f t="shared" si="3009"/>
        <v>IBG</v>
      </c>
      <c r="G7377" t="str">
        <f t="shared" si="3020"/>
        <v>Refund COSHARE 10</v>
      </c>
      <c r="H7377" s="2">
        <v>225.2</v>
      </c>
      <c r="I7377" t="str">
        <f>"MOHD NORAZIZI BIN BADRI"</f>
        <v>MOHD NORAZIZI BIN BADRI</v>
      </c>
      <c r="J7377" t="str">
        <f t="shared" si="2996"/>
        <v>BANK SIMPANAN NASIONAL</v>
      </c>
      <c r="K7377" t="str">
        <f>"1418229000032383"</f>
        <v>1418229000032383</v>
      </c>
      <c r="L7377" t="str">
        <f t="shared" si="3010"/>
        <v>04-08-2020</v>
      </c>
      <c r="M7377" t="str">
        <f t="shared" si="3010"/>
        <v>04-08-2020</v>
      </c>
      <c r="N7377" t="str">
        <f t="shared" si="3011"/>
        <v>001105018356</v>
      </c>
      <c r="O7377" t="str">
        <f t="shared" si="3012"/>
        <v>MYR</v>
      </c>
      <c r="P7377" t="str">
        <f t="shared" si="3013"/>
        <v>NIL</v>
      </c>
      <c r="Q7377" t="str">
        <f t="shared" si="3013"/>
        <v>NIL</v>
      </c>
      <c r="R7377" t="str">
        <f t="shared" si="2999"/>
        <v>Accepted</v>
      </c>
      <c r="S7377" t="str">
        <f t="shared" si="3014"/>
        <v>Approved</v>
      </c>
      <c r="T7377" t="str">
        <f t="shared" si="3000"/>
        <v>10.20.8.188</v>
      </c>
      <c r="U7377" t="str">
        <f t="shared" si="3015"/>
        <v>AZRAD UMAR BIN SHAARI</v>
      </c>
      <c r="V7377" t="str">
        <f t="shared" si="3016"/>
        <v>FARHANA BINTI MUSTAPA</v>
      </c>
      <c r="W7377" t="str">
        <f t="shared" si="3017"/>
        <v>04-08-2020</v>
      </c>
      <c r="X7377" t="str">
        <f t="shared" si="3018"/>
        <v>RAZIMAH ANSAR AHMAD</v>
      </c>
      <c r="Y7377" t="str">
        <f t="shared" si="3019"/>
        <v>04-08-2020</v>
      </c>
      <c r="Z7377" t="str">
        <f>"COS10200804 1777"</f>
        <v>COS10200804 1777</v>
      </c>
    </row>
    <row r="7378" spans="1:26" x14ac:dyDescent="0.25">
      <c r="A7378" t="str">
        <f t="shared" si="3005"/>
        <v>04-08-2020 12:34:57</v>
      </c>
      <c r="B7378" t="str">
        <f>"0000803530"</f>
        <v>0000803530</v>
      </c>
      <c r="C7378" t="str">
        <f t="shared" si="3006"/>
        <v>0000803354</v>
      </c>
      <c r="D7378" t="str">
        <f t="shared" si="3007"/>
        <v>73185</v>
      </c>
      <c r="E7378" t="str">
        <f t="shared" si="3008"/>
        <v>KFH-OPERATIONS DEPARTMENT</v>
      </c>
      <c r="F7378" t="str">
        <f t="shared" si="3009"/>
        <v>IBG</v>
      </c>
      <c r="G7378" t="str">
        <f t="shared" si="3020"/>
        <v>Refund COSHARE 10</v>
      </c>
      <c r="H7378" s="2">
        <v>256</v>
      </c>
      <c r="I7378" t="str">
        <f>"MOHD NOR BIN MOHAMED"</f>
        <v>MOHD NOR BIN MOHAMED</v>
      </c>
      <c r="J7378" t="str">
        <f t="shared" si="2996"/>
        <v>BANK SIMPANAN NASIONAL</v>
      </c>
      <c r="K7378" t="str">
        <f>"0310029893733578"</f>
        <v>0310029893733578</v>
      </c>
      <c r="L7378" t="str">
        <f t="shared" si="3010"/>
        <v>04-08-2020</v>
      </c>
      <c r="M7378" t="str">
        <f t="shared" si="3010"/>
        <v>04-08-2020</v>
      </c>
      <c r="N7378" t="str">
        <f t="shared" si="3011"/>
        <v>001105018356</v>
      </c>
      <c r="O7378" t="str">
        <f t="shared" si="3012"/>
        <v>MYR</v>
      </c>
      <c r="P7378" t="str">
        <f t="shared" si="3013"/>
        <v>NIL</v>
      </c>
      <c r="Q7378" t="str">
        <f t="shared" si="3013"/>
        <v>NIL</v>
      </c>
      <c r="R7378" t="str">
        <f t="shared" si="2999"/>
        <v>Accepted</v>
      </c>
      <c r="S7378" t="str">
        <f t="shared" si="3014"/>
        <v>Approved</v>
      </c>
      <c r="T7378" t="str">
        <f t="shared" si="3000"/>
        <v>10.20.8.188</v>
      </c>
      <c r="U7378" t="str">
        <f t="shared" si="3015"/>
        <v>AZRAD UMAR BIN SHAARI</v>
      </c>
      <c r="V7378" t="str">
        <f t="shared" si="3016"/>
        <v>FARHANA BINTI MUSTAPA</v>
      </c>
      <c r="W7378" t="str">
        <f t="shared" si="3017"/>
        <v>04-08-2020</v>
      </c>
      <c r="X7378" t="str">
        <f t="shared" si="3018"/>
        <v>RAZIMAH ANSAR AHMAD</v>
      </c>
      <c r="Y7378" t="str">
        <f t="shared" si="3019"/>
        <v>04-08-2020</v>
      </c>
      <c r="Z7378" t="str">
        <f>"COS10200804 1776"</f>
        <v>COS10200804 1776</v>
      </c>
    </row>
    <row r="7379" spans="1:26" x14ac:dyDescent="0.25">
      <c r="A7379" t="str">
        <f t="shared" si="3005"/>
        <v>04-08-2020 12:34:57</v>
      </c>
      <c r="B7379" t="str">
        <f>"0000803529"</f>
        <v>0000803529</v>
      </c>
      <c r="C7379" t="str">
        <f t="shared" si="3006"/>
        <v>0000803354</v>
      </c>
      <c r="D7379" t="str">
        <f t="shared" si="3007"/>
        <v>73185</v>
      </c>
      <c r="E7379" t="str">
        <f t="shared" si="3008"/>
        <v>KFH-OPERATIONS DEPARTMENT</v>
      </c>
      <c r="F7379" t="str">
        <f t="shared" si="3009"/>
        <v>IBG</v>
      </c>
      <c r="G7379" t="str">
        <f t="shared" si="3020"/>
        <v>Refund COSHARE 10</v>
      </c>
      <c r="H7379" s="2">
        <v>151.15</v>
      </c>
      <c r="I7379" t="str">
        <f>"MOHD NAZRUL BIN MD YASIN"</f>
        <v>MOHD NAZRUL BIN MD YASIN</v>
      </c>
      <c r="J7379" t="str">
        <f t="shared" si="2996"/>
        <v>BANK SIMPANAN NASIONAL</v>
      </c>
      <c r="K7379" t="str">
        <f>"0412429000099192"</f>
        <v>0412429000099192</v>
      </c>
      <c r="L7379" t="str">
        <f t="shared" si="3010"/>
        <v>04-08-2020</v>
      </c>
      <c r="M7379" t="str">
        <f t="shared" si="3010"/>
        <v>04-08-2020</v>
      </c>
      <c r="N7379" t="str">
        <f t="shared" si="3011"/>
        <v>001105018356</v>
      </c>
      <c r="O7379" t="str">
        <f t="shared" si="3012"/>
        <v>MYR</v>
      </c>
      <c r="P7379" t="str">
        <f t="shared" si="3013"/>
        <v>NIL</v>
      </c>
      <c r="Q7379" t="str">
        <f t="shared" si="3013"/>
        <v>NIL</v>
      </c>
      <c r="R7379" t="str">
        <f t="shared" si="2999"/>
        <v>Accepted</v>
      </c>
      <c r="S7379" t="str">
        <f t="shared" si="3014"/>
        <v>Approved</v>
      </c>
      <c r="T7379" t="str">
        <f t="shared" si="3000"/>
        <v>10.20.8.188</v>
      </c>
      <c r="U7379" t="str">
        <f t="shared" si="3015"/>
        <v>AZRAD UMAR BIN SHAARI</v>
      </c>
      <c r="V7379" t="str">
        <f t="shared" si="3016"/>
        <v>FARHANA BINTI MUSTAPA</v>
      </c>
      <c r="W7379" t="str">
        <f t="shared" si="3017"/>
        <v>04-08-2020</v>
      </c>
      <c r="X7379" t="str">
        <f t="shared" si="3018"/>
        <v>RAZIMAH ANSAR AHMAD</v>
      </c>
      <c r="Y7379" t="str">
        <f t="shared" si="3019"/>
        <v>04-08-2020</v>
      </c>
      <c r="Z7379" t="str">
        <f>"COS10200804 1775"</f>
        <v>COS10200804 1775</v>
      </c>
    </row>
    <row r="7380" spans="1:26" x14ac:dyDescent="0.25">
      <c r="A7380" t="str">
        <f t="shared" si="3005"/>
        <v>04-08-2020 12:34:57</v>
      </c>
      <c r="B7380" t="str">
        <f>"0000803528"</f>
        <v>0000803528</v>
      </c>
      <c r="C7380" t="str">
        <f t="shared" si="3006"/>
        <v>0000803354</v>
      </c>
      <c r="D7380" t="str">
        <f t="shared" si="3007"/>
        <v>73185</v>
      </c>
      <c r="E7380" t="str">
        <f t="shared" si="3008"/>
        <v>KFH-OPERATIONS DEPARTMENT</v>
      </c>
      <c r="F7380" t="str">
        <f t="shared" si="3009"/>
        <v>IBG</v>
      </c>
      <c r="G7380" t="str">
        <f t="shared" si="3020"/>
        <v>Refund COSHARE 10</v>
      </c>
      <c r="H7380" s="2">
        <v>1316.85</v>
      </c>
      <c r="I7380" t="str">
        <f>"MOHD NAZRI BIN MOHAMAD ALI"</f>
        <v>MOHD NAZRI BIN MOHAMAD ALI</v>
      </c>
      <c r="J7380" t="str">
        <f t="shared" ref="J7380:J7443" si="3021">"BANK SIMPANAN NASIONAL"</f>
        <v>BANK SIMPANAN NASIONAL</v>
      </c>
      <c r="K7380" t="str">
        <f>"0610841000010798"</f>
        <v>0610841000010798</v>
      </c>
      <c r="L7380" t="str">
        <f t="shared" si="3010"/>
        <v>04-08-2020</v>
      </c>
      <c r="M7380" t="str">
        <f t="shared" si="3010"/>
        <v>04-08-2020</v>
      </c>
      <c r="N7380" t="str">
        <f t="shared" si="3011"/>
        <v>001105018356</v>
      </c>
      <c r="O7380" t="str">
        <f t="shared" si="3012"/>
        <v>MYR</v>
      </c>
      <c r="P7380" t="str">
        <f t="shared" si="3013"/>
        <v>NIL</v>
      </c>
      <c r="Q7380" t="str">
        <f t="shared" si="3013"/>
        <v>NIL</v>
      </c>
      <c r="R7380" t="str">
        <f t="shared" si="2999"/>
        <v>Accepted</v>
      </c>
      <c r="S7380" t="str">
        <f t="shared" si="3014"/>
        <v>Approved</v>
      </c>
      <c r="T7380" t="str">
        <f t="shared" si="3000"/>
        <v>10.20.8.188</v>
      </c>
      <c r="U7380" t="str">
        <f t="shared" si="3015"/>
        <v>AZRAD UMAR BIN SHAARI</v>
      </c>
      <c r="V7380" t="str">
        <f t="shared" si="3016"/>
        <v>FARHANA BINTI MUSTAPA</v>
      </c>
      <c r="W7380" t="str">
        <f t="shared" si="3017"/>
        <v>04-08-2020</v>
      </c>
      <c r="X7380" t="str">
        <f t="shared" si="3018"/>
        <v>RAZIMAH ANSAR AHMAD</v>
      </c>
      <c r="Y7380" t="str">
        <f t="shared" si="3019"/>
        <v>04-08-2020</v>
      </c>
      <c r="Z7380" t="str">
        <f>"COS10200804 1774"</f>
        <v>COS10200804 1774</v>
      </c>
    </row>
    <row r="7381" spans="1:26" x14ac:dyDescent="0.25">
      <c r="A7381" t="str">
        <f t="shared" si="3005"/>
        <v>04-08-2020 12:34:57</v>
      </c>
      <c r="B7381" t="str">
        <f>"0000803527"</f>
        <v>0000803527</v>
      </c>
      <c r="C7381" t="str">
        <f t="shared" si="3006"/>
        <v>0000803354</v>
      </c>
      <c r="D7381" t="str">
        <f t="shared" si="3007"/>
        <v>73185</v>
      </c>
      <c r="E7381" t="str">
        <f t="shared" si="3008"/>
        <v>KFH-OPERATIONS DEPARTMENT</v>
      </c>
      <c r="F7381" t="str">
        <f t="shared" si="3009"/>
        <v>IBG</v>
      </c>
      <c r="G7381" t="str">
        <f t="shared" si="3020"/>
        <v>Refund COSHARE 10</v>
      </c>
      <c r="H7381" s="2">
        <v>1452.35</v>
      </c>
      <c r="I7381" t="str">
        <f>"MOHD NAZIR BIN ISMAIL"</f>
        <v>MOHD NAZIR BIN ISMAIL</v>
      </c>
      <c r="J7381" t="str">
        <f t="shared" si="3021"/>
        <v>BANK SIMPANAN NASIONAL</v>
      </c>
      <c r="K7381" t="str">
        <f>"1012841100001867"</f>
        <v>1012841100001867</v>
      </c>
      <c r="L7381" t="str">
        <f t="shared" si="3010"/>
        <v>04-08-2020</v>
      </c>
      <c r="M7381" t="str">
        <f t="shared" si="3010"/>
        <v>04-08-2020</v>
      </c>
      <c r="N7381" t="str">
        <f t="shared" si="3011"/>
        <v>001105018356</v>
      </c>
      <c r="O7381" t="str">
        <f t="shared" si="3012"/>
        <v>MYR</v>
      </c>
      <c r="P7381" t="str">
        <f t="shared" si="3013"/>
        <v>NIL</v>
      </c>
      <c r="Q7381" t="str">
        <f t="shared" si="3013"/>
        <v>NIL</v>
      </c>
      <c r="R7381" t="str">
        <f t="shared" si="2999"/>
        <v>Accepted</v>
      </c>
      <c r="S7381" t="str">
        <f t="shared" si="3014"/>
        <v>Approved</v>
      </c>
      <c r="T7381" t="str">
        <f t="shared" si="3000"/>
        <v>10.20.8.188</v>
      </c>
      <c r="U7381" t="str">
        <f t="shared" si="3015"/>
        <v>AZRAD UMAR BIN SHAARI</v>
      </c>
      <c r="V7381" t="str">
        <f t="shared" si="3016"/>
        <v>FARHANA BINTI MUSTAPA</v>
      </c>
      <c r="W7381" t="str">
        <f t="shared" si="3017"/>
        <v>04-08-2020</v>
      </c>
      <c r="X7381" t="str">
        <f t="shared" si="3018"/>
        <v>RAZIMAH ANSAR AHMAD</v>
      </c>
      <c r="Y7381" t="str">
        <f t="shared" si="3019"/>
        <v>04-08-2020</v>
      </c>
      <c r="Z7381" t="str">
        <f>"COS10200804 1773"</f>
        <v>COS10200804 1773</v>
      </c>
    </row>
    <row r="7382" spans="1:26" x14ac:dyDescent="0.25">
      <c r="A7382" t="str">
        <f t="shared" si="3005"/>
        <v>04-08-2020 12:34:57</v>
      </c>
      <c r="B7382" t="str">
        <f>"0000803526"</f>
        <v>0000803526</v>
      </c>
      <c r="C7382" t="str">
        <f t="shared" si="3006"/>
        <v>0000803354</v>
      </c>
      <c r="D7382" t="str">
        <f t="shared" si="3007"/>
        <v>73185</v>
      </c>
      <c r="E7382" t="str">
        <f t="shared" si="3008"/>
        <v>KFH-OPERATIONS DEPARTMENT</v>
      </c>
      <c r="F7382" t="str">
        <f t="shared" si="3009"/>
        <v>IBG</v>
      </c>
      <c r="G7382" t="str">
        <f t="shared" si="3020"/>
        <v>Refund COSHARE 10</v>
      </c>
      <c r="H7382" s="2">
        <v>1234.0999999999999</v>
      </c>
      <c r="I7382" t="str">
        <f>"MOHD NAZAR BIN DIN"</f>
        <v>MOHD NAZAR BIN DIN</v>
      </c>
      <c r="J7382" t="str">
        <f t="shared" si="3021"/>
        <v>BANK SIMPANAN NASIONAL</v>
      </c>
      <c r="K7382" t="str">
        <f>"1410029000206494"</f>
        <v>1410029000206494</v>
      </c>
      <c r="L7382" t="str">
        <f t="shared" si="3010"/>
        <v>04-08-2020</v>
      </c>
      <c r="M7382" t="str">
        <f t="shared" si="3010"/>
        <v>04-08-2020</v>
      </c>
      <c r="N7382" t="str">
        <f t="shared" si="3011"/>
        <v>001105018356</v>
      </c>
      <c r="O7382" t="str">
        <f t="shared" si="3012"/>
        <v>MYR</v>
      </c>
      <c r="P7382" t="str">
        <f t="shared" si="3013"/>
        <v>NIL</v>
      </c>
      <c r="Q7382" t="str">
        <f t="shared" si="3013"/>
        <v>NIL</v>
      </c>
      <c r="R7382" t="str">
        <f t="shared" si="2999"/>
        <v>Accepted</v>
      </c>
      <c r="S7382" t="str">
        <f t="shared" si="3014"/>
        <v>Approved</v>
      </c>
      <c r="T7382" t="str">
        <f t="shared" si="3000"/>
        <v>10.20.8.188</v>
      </c>
      <c r="U7382" t="str">
        <f t="shared" si="3015"/>
        <v>AZRAD UMAR BIN SHAARI</v>
      </c>
      <c r="V7382" t="str">
        <f t="shared" si="3016"/>
        <v>FARHANA BINTI MUSTAPA</v>
      </c>
      <c r="W7382" t="str">
        <f t="shared" si="3017"/>
        <v>04-08-2020</v>
      </c>
      <c r="X7382" t="str">
        <f t="shared" si="3018"/>
        <v>RAZIMAH ANSAR AHMAD</v>
      </c>
      <c r="Y7382" t="str">
        <f t="shared" si="3019"/>
        <v>04-08-2020</v>
      </c>
      <c r="Z7382" t="str">
        <f>"COS10200804 1772"</f>
        <v>COS10200804 1772</v>
      </c>
    </row>
    <row r="7383" spans="1:26" x14ac:dyDescent="0.25">
      <c r="A7383" t="str">
        <f t="shared" si="3005"/>
        <v>04-08-2020 12:34:57</v>
      </c>
      <c r="B7383" t="str">
        <f>"0000803525"</f>
        <v>0000803525</v>
      </c>
      <c r="C7383" t="str">
        <f t="shared" si="3006"/>
        <v>0000803354</v>
      </c>
      <c r="D7383" t="str">
        <f t="shared" si="3007"/>
        <v>73185</v>
      </c>
      <c r="E7383" t="str">
        <f t="shared" si="3008"/>
        <v>KFH-OPERATIONS DEPARTMENT</v>
      </c>
      <c r="F7383" t="str">
        <f t="shared" si="3009"/>
        <v>IBG</v>
      </c>
      <c r="G7383" t="str">
        <f t="shared" si="3020"/>
        <v>Refund COSHARE 10</v>
      </c>
      <c r="H7383" s="2">
        <v>112</v>
      </c>
      <c r="I7383" t="str">
        <f>"MOHD MAHIR BIN SAMSUDIN"</f>
        <v>MOHD MAHIR BIN SAMSUDIN</v>
      </c>
      <c r="J7383" t="str">
        <f t="shared" si="3021"/>
        <v>BANK SIMPANAN NASIONAL</v>
      </c>
      <c r="K7383" t="str">
        <f>"0610029895084897"</f>
        <v>0610029895084897</v>
      </c>
      <c r="L7383" t="str">
        <f t="shared" si="3010"/>
        <v>04-08-2020</v>
      </c>
      <c r="M7383" t="str">
        <f t="shared" si="3010"/>
        <v>04-08-2020</v>
      </c>
      <c r="N7383" t="str">
        <f t="shared" si="3011"/>
        <v>001105018356</v>
      </c>
      <c r="O7383" t="str">
        <f t="shared" si="3012"/>
        <v>MYR</v>
      </c>
      <c r="P7383" t="str">
        <f t="shared" si="3013"/>
        <v>NIL</v>
      </c>
      <c r="Q7383" t="str">
        <f t="shared" si="3013"/>
        <v>NIL</v>
      </c>
      <c r="R7383" t="str">
        <f t="shared" si="2999"/>
        <v>Accepted</v>
      </c>
      <c r="S7383" t="str">
        <f t="shared" si="3014"/>
        <v>Approved</v>
      </c>
      <c r="T7383" t="str">
        <f t="shared" si="3000"/>
        <v>10.20.8.188</v>
      </c>
      <c r="U7383" t="str">
        <f t="shared" si="3015"/>
        <v>AZRAD UMAR BIN SHAARI</v>
      </c>
      <c r="V7383" t="str">
        <f t="shared" si="3016"/>
        <v>FARHANA BINTI MUSTAPA</v>
      </c>
      <c r="W7383" t="str">
        <f t="shared" si="3017"/>
        <v>04-08-2020</v>
      </c>
      <c r="X7383" t="str">
        <f t="shared" si="3018"/>
        <v>RAZIMAH ANSAR AHMAD</v>
      </c>
      <c r="Y7383" t="str">
        <f t="shared" si="3019"/>
        <v>04-08-2020</v>
      </c>
      <c r="Z7383" t="str">
        <f>"COS10200804 1771"</f>
        <v>COS10200804 1771</v>
      </c>
    </row>
    <row r="7384" spans="1:26" x14ac:dyDescent="0.25">
      <c r="A7384" t="str">
        <f t="shared" si="3005"/>
        <v>04-08-2020 12:34:57</v>
      </c>
      <c r="B7384" t="str">
        <f>"0000803524"</f>
        <v>0000803524</v>
      </c>
      <c r="C7384" t="str">
        <f t="shared" si="3006"/>
        <v>0000803354</v>
      </c>
      <c r="D7384" t="str">
        <f t="shared" si="3007"/>
        <v>73185</v>
      </c>
      <c r="E7384" t="str">
        <f t="shared" si="3008"/>
        <v>KFH-OPERATIONS DEPARTMENT</v>
      </c>
      <c r="F7384" t="str">
        <f t="shared" si="3009"/>
        <v>IBG</v>
      </c>
      <c r="G7384" t="str">
        <f t="shared" si="3020"/>
        <v>Refund COSHARE 10</v>
      </c>
      <c r="H7384" s="2">
        <v>112</v>
      </c>
      <c r="I7384" t="str">
        <f>"MOHD MAHIR BIN SAMSUDIN"</f>
        <v>MOHD MAHIR BIN SAMSUDIN</v>
      </c>
      <c r="J7384" t="str">
        <f t="shared" si="3021"/>
        <v>BANK SIMPANAN NASIONAL</v>
      </c>
      <c r="K7384" t="str">
        <f>"0610029895084897"</f>
        <v>0610029895084897</v>
      </c>
      <c r="L7384" t="str">
        <f t="shared" si="3010"/>
        <v>04-08-2020</v>
      </c>
      <c r="M7384" t="str">
        <f t="shared" si="3010"/>
        <v>04-08-2020</v>
      </c>
      <c r="N7384" t="str">
        <f t="shared" si="3011"/>
        <v>001105018356</v>
      </c>
      <c r="O7384" t="str">
        <f t="shared" si="3012"/>
        <v>MYR</v>
      </c>
      <c r="P7384" t="str">
        <f t="shared" si="3013"/>
        <v>NIL</v>
      </c>
      <c r="Q7384" t="str">
        <f t="shared" si="3013"/>
        <v>NIL</v>
      </c>
      <c r="R7384" t="str">
        <f t="shared" si="2999"/>
        <v>Accepted</v>
      </c>
      <c r="S7384" t="str">
        <f t="shared" si="3014"/>
        <v>Approved</v>
      </c>
      <c r="T7384" t="str">
        <f t="shared" si="3000"/>
        <v>10.20.8.188</v>
      </c>
      <c r="U7384" t="str">
        <f t="shared" si="3015"/>
        <v>AZRAD UMAR BIN SHAARI</v>
      </c>
      <c r="V7384" t="str">
        <f t="shared" si="3016"/>
        <v>FARHANA BINTI MUSTAPA</v>
      </c>
      <c r="W7384" t="str">
        <f t="shared" si="3017"/>
        <v>04-08-2020</v>
      </c>
      <c r="X7384" t="str">
        <f t="shared" si="3018"/>
        <v>RAZIMAH ANSAR AHMAD</v>
      </c>
      <c r="Y7384" t="str">
        <f t="shared" si="3019"/>
        <v>04-08-2020</v>
      </c>
      <c r="Z7384" t="str">
        <f>"COS10200804 1770"</f>
        <v>COS10200804 1770</v>
      </c>
    </row>
    <row r="7385" spans="1:26" x14ac:dyDescent="0.25">
      <c r="A7385" t="str">
        <f t="shared" si="3005"/>
        <v>04-08-2020 12:34:57</v>
      </c>
      <c r="B7385" t="str">
        <f>"0000803523"</f>
        <v>0000803523</v>
      </c>
      <c r="C7385" t="str">
        <f t="shared" si="3006"/>
        <v>0000803354</v>
      </c>
      <c r="D7385" t="str">
        <f t="shared" si="3007"/>
        <v>73185</v>
      </c>
      <c r="E7385" t="str">
        <f t="shared" si="3008"/>
        <v>KFH-OPERATIONS DEPARTMENT</v>
      </c>
      <c r="F7385" t="str">
        <f t="shared" si="3009"/>
        <v>IBG</v>
      </c>
      <c r="G7385" t="str">
        <f t="shared" si="3020"/>
        <v>Refund COSHARE 10</v>
      </c>
      <c r="H7385" s="2">
        <v>503.7</v>
      </c>
      <c r="I7385" t="str">
        <f>"MOHD KHAIRULNIZAM BIN JOHAR"</f>
        <v>MOHD KHAIRULNIZAM BIN JOHAR</v>
      </c>
      <c r="J7385" t="str">
        <f t="shared" si="3021"/>
        <v>BANK SIMPANAN NASIONAL</v>
      </c>
      <c r="K7385" t="str">
        <f>"1311329000004204"</f>
        <v>1311329000004204</v>
      </c>
      <c r="L7385" t="str">
        <f t="shared" si="3010"/>
        <v>04-08-2020</v>
      </c>
      <c r="M7385" t="str">
        <f t="shared" si="3010"/>
        <v>04-08-2020</v>
      </c>
      <c r="N7385" t="str">
        <f t="shared" si="3011"/>
        <v>001105018356</v>
      </c>
      <c r="O7385" t="str">
        <f t="shared" si="3012"/>
        <v>MYR</v>
      </c>
      <c r="P7385" t="str">
        <f t="shared" si="3013"/>
        <v>NIL</v>
      </c>
      <c r="Q7385" t="str">
        <f t="shared" si="3013"/>
        <v>NIL</v>
      </c>
      <c r="R7385" t="str">
        <f t="shared" si="2999"/>
        <v>Accepted</v>
      </c>
      <c r="S7385" t="str">
        <f t="shared" si="3014"/>
        <v>Approved</v>
      </c>
      <c r="T7385" t="str">
        <f t="shared" si="3000"/>
        <v>10.20.8.188</v>
      </c>
      <c r="U7385" t="str">
        <f t="shared" si="3015"/>
        <v>AZRAD UMAR BIN SHAARI</v>
      </c>
      <c r="V7385" t="str">
        <f t="shared" si="3016"/>
        <v>FARHANA BINTI MUSTAPA</v>
      </c>
      <c r="W7385" t="str">
        <f t="shared" si="3017"/>
        <v>04-08-2020</v>
      </c>
      <c r="X7385" t="str">
        <f t="shared" si="3018"/>
        <v>RAZIMAH ANSAR AHMAD</v>
      </c>
      <c r="Y7385" t="str">
        <f t="shared" si="3019"/>
        <v>04-08-2020</v>
      </c>
      <c r="Z7385" t="str">
        <f>"COS10200804 1769"</f>
        <v>COS10200804 1769</v>
      </c>
    </row>
    <row r="7386" spans="1:26" x14ac:dyDescent="0.25">
      <c r="A7386" t="str">
        <f t="shared" ref="A7386:A7417" si="3022">"04-08-2020 12:34:57"</f>
        <v>04-08-2020 12:34:57</v>
      </c>
      <c r="B7386" t="str">
        <f>"0000803522"</f>
        <v>0000803522</v>
      </c>
      <c r="C7386" t="str">
        <f t="shared" ref="C7386:C7417" si="3023">"0000803354"</f>
        <v>0000803354</v>
      </c>
      <c r="D7386" t="str">
        <f t="shared" si="3007"/>
        <v>73185</v>
      </c>
      <c r="E7386" t="str">
        <f t="shared" si="3008"/>
        <v>KFH-OPERATIONS DEPARTMENT</v>
      </c>
      <c r="F7386" t="str">
        <f t="shared" si="3009"/>
        <v>IBG</v>
      </c>
      <c r="G7386" t="str">
        <f t="shared" si="3020"/>
        <v>Refund COSHARE 10</v>
      </c>
      <c r="H7386" s="2">
        <v>83.95</v>
      </c>
      <c r="I7386" t="str">
        <f>"MOHD KHAIRUDDIN BIN IBRAHIM"</f>
        <v>MOHD KHAIRUDDIN BIN IBRAHIM</v>
      </c>
      <c r="J7386" t="str">
        <f t="shared" si="3021"/>
        <v>BANK SIMPANAN NASIONAL</v>
      </c>
      <c r="K7386" t="str">
        <f>"0310529000123223"</f>
        <v>0310529000123223</v>
      </c>
      <c r="L7386" t="str">
        <f t="shared" si="3010"/>
        <v>04-08-2020</v>
      </c>
      <c r="M7386" t="str">
        <f t="shared" si="3010"/>
        <v>04-08-2020</v>
      </c>
      <c r="N7386" t="str">
        <f t="shared" si="3011"/>
        <v>001105018356</v>
      </c>
      <c r="O7386" t="str">
        <f t="shared" si="3012"/>
        <v>MYR</v>
      </c>
      <c r="P7386" t="str">
        <f t="shared" si="3013"/>
        <v>NIL</v>
      </c>
      <c r="Q7386" t="str">
        <f t="shared" si="3013"/>
        <v>NIL</v>
      </c>
      <c r="R7386" t="str">
        <f t="shared" si="2999"/>
        <v>Accepted</v>
      </c>
      <c r="S7386" t="str">
        <f t="shared" si="3014"/>
        <v>Approved</v>
      </c>
      <c r="T7386" t="str">
        <f t="shared" si="3000"/>
        <v>10.20.8.188</v>
      </c>
      <c r="U7386" t="str">
        <f t="shared" si="3015"/>
        <v>AZRAD UMAR BIN SHAARI</v>
      </c>
      <c r="V7386" t="str">
        <f t="shared" si="3016"/>
        <v>FARHANA BINTI MUSTAPA</v>
      </c>
      <c r="W7386" t="str">
        <f t="shared" si="3017"/>
        <v>04-08-2020</v>
      </c>
      <c r="X7386" t="str">
        <f t="shared" si="3018"/>
        <v>RAZIMAH ANSAR AHMAD</v>
      </c>
      <c r="Y7386" t="str">
        <f t="shared" si="3019"/>
        <v>04-08-2020</v>
      </c>
      <c r="Z7386" t="str">
        <f>"COS10200804 1768"</f>
        <v>COS10200804 1768</v>
      </c>
    </row>
    <row r="7387" spans="1:26" x14ac:dyDescent="0.25">
      <c r="A7387" t="str">
        <f t="shared" si="3022"/>
        <v>04-08-2020 12:34:57</v>
      </c>
      <c r="B7387" t="str">
        <f>"0000803521"</f>
        <v>0000803521</v>
      </c>
      <c r="C7387" t="str">
        <f t="shared" si="3023"/>
        <v>0000803354</v>
      </c>
      <c r="D7387" t="str">
        <f t="shared" si="3007"/>
        <v>73185</v>
      </c>
      <c r="E7387" t="str">
        <f t="shared" si="3008"/>
        <v>KFH-OPERATIONS DEPARTMENT</v>
      </c>
      <c r="F7387" t="str">
        <f t="shared" si="3009"/>
        <v>IBG</v>
      </c>
      <c r="G7387" t="str">
        <f t="shared" si="3020"/>
        <v>Refund COSHARE 10</v>
      </c>
      <c r="H7387" s="2">
        <v>94</v>
      </c>
      <c r="I7387" t="str">
        <f>"MOHD KHAIROL SHAHRIL BIN ABDOLLAH"</f>
        <v>MOHD KHAIROL SHAHRIL BIN ABDOLLAH</v>
      </c>
      <c r="J7387" t="str">
        <f t="shared" si="3021"/>
        <v>BANK SIMPANAN NASIONAL</v>
      </c>
      <c r="K7387" t="str">
        <f>"0311129000109065"</f>
        <v>0311129000109065</v>
      </c>
      <c r="L7387" t="str">
        <f t="shared" ref="L7387:M7406" si="3024">"04-08-2020"</f>
        <v>04-08-2020</v>
      </c>
      <c r="M7387" t="str">
        <f t="shared" si="3024"/>
        <v>04-08-2020</v>
      </c>
      <c r="N7387" t="str">
        <f t="shared" si="3011"/>
        <v>001105018356</v>
      </c>
      <c r="O7387" t="str">
        <f t="shared" si="3012"/>
        <v>MYR</v>
      </c>
      <c r="P7387" t="str">
        <f t="shared" ref="P7387:Q7406" si="3025">"NIL"</f>
        <v>NIL</v>
      </c>
      <c r="Q7387" t="str">
        <f t="shared" si="3025"/>
        <v>NIL</v>
      </c>
      <c r="R7387" t="str">
        <f t="shared" si="2999"/>
        <v>Accepted</v>
      </c>
      <c r="S7387" t="str">
        <f t="shared" si="3014"/>
        <v>Approved</v>
      </c>
      <c r="T7387" t="str">
        <f t="shared" si="3000"/>
        <v>10.20.8.188</v>
      </c>
      <c r="U7387" t="str">
        <f t="shared" si="3015"/>
        <v>AZRAD UMAR BIN SHAARI</v>
      </c>
      <c r="V7387" t="str">
        <f t="shared" si="3016"/>
        <v>FARHANA BINTI MUSTAPA</v>
      </c>
      <c r="W7387" t="str">
        <f t="shared" si="3017"/>
        <v>04-08-2020</v>
      </c>
      <c r="X7387" t="str">
        <f t="shared" si="3018"/>
        <v>RAZIMAH ANSAR AHMAD</v>
      </c>
      <c r="Y7387" t="str">
        <f t="shared" si="3019"/>
        <v>04-08-2020</v>
      </c>
      <c r="Z7387" t="str">
        <f>"COS10200804 1767"</f>
        <v>COS10200804 1767</v>
      </c>
    </row>
    <row r="7388" spans="1:26" x14ac:dyDescent="0.25">
      <c r="A7388" t="str">
        <f t="shared" si="3022"/>
        <v>04-08-2020 12:34:57</v>
      </c>
      <c r="B7388" t="str">
        <f>"0000803520"</f>
        <v>0000803520</v>
      </c>
      <c r="C7388" t="str">
        <f t="shared" si="3023"/>
        <v>0000803354</v>
      </c>
      <c r="D7388" t="str">
        <f t="shared" si="3007"/>
        <v>73185</v>
      </c>
      <c r="E7388" t="str">
        <f t="shared" si="3008"/>
        <v>KFH-OPERATIONS DEPARTMENT</v>
      </c>
      <c r="F7388" t="str">
        <f t="shared" si="3009"/>
        <v>IBG</v>
      </c>
      <c r="G7388" t="str">
        <f t="shared" si="3020"/>
        <v>Refund COSHARE 10</v>
      </c>
      <c r="H7388" s="2">
        <v>251.85</v>
      </c>
      <c r="I7388" t="str">
        <f>"MOHD KHAIRI BIN DZULKIFLI"</f>
        <v>MOHD KHAIRI BIN DZULKIFLI</v>
      </c>
      <c r="J7388" t="str">
        <f t="shared" si="3021"/>
        <v>BANK SIMPANAN NASIONAL</v>
      </c>
      <c r="K7388" t="str">
        <f>"0412529000156741"</f>
        <v>0412529000156741</v>
      </c>
      <c r="L7388" t="str">
        <f t="shared" si="3024"/>
        <v>04-08-2020</v>
      </c>
      <c r="M7388" t="str">
        <f t="shared" si="3024"/>
        <v>04-08-2020</v>
      </c>
      <c r="N7388" t="str">
        <f t="shared" si="3011"/>
        <v>001105018356</v>
      </c>
      <c r="O7388" t="str">
        <f t="shared" si="3012"/>
        <v>MYR</v>
      </c>
      <c r="P7388" t="str">
        <f t="shared" si="3025"/>
        <v>NIL</v>
      </c>
      <c r="Q7388" t="str">
        <f t="shared" si="3025"/>
        <v>NIL</v>
      </c>
      <c r="R7388" t="str">
        <f t="shared" si="2999"/>
        <v>Accepted</v>
      </c>
      <c r="S7388" t="str">
        <f t="shared" si="3014"/>
        <v>Approved</v>
      </c>
      <c r="T7388" t="str">
        <f t="shared" si="3000"/>
        <v>10.20.8.188</v>
      </c>
      <c r="U7388" t="str">
        <f t="shared" si="3015"/>
        <v>AZRAD UMAR BIN SHAARI</v>
      </c>
      <c r="V7388" t="str">
        <f t="shared" si="3016"/>
        <v>FARHANA BINTI MUSTAPA</v>
      </c>
      <c r="W7388" t="str">
        <f t="shared" si="3017"/>
        <v>04-08-2020</v>
      </c>
      <c r="X7388" t="str">
        <f t="shared" si="3018"/>
        <v>RAZIMAH ANSAR AHMAD</v>
      </c>
      <c r="Y7388" t="str">
        <f t="shared" si="3019"/>
        <v>04-08-2020</v>
      </c>
      <c r="Z7388" t="str">
        <f>"COS10200804 1766"</f>
        <v>COS10200804 1766</v>
      </c>
    </row>
    <row r="7389" spans="1:26" x14ac:dyDescent="0.25">
      <c r="A7389" t="str">
        <f t="shared" si="3022"/>
        <v>04-08-2020 12:34:57</v>
      </c>
      <c r="B7389" t="str">
        <f>"0000803519"</f>
        <v>0000803519</v>
      </c>
      <c r="C7389" t="str">
        <f t="shared" si="3023"/>
        <v>0000803354</v>
      </c>
      <c r="D7389" t="str">
        <f t="shared" si="3007"/>
        <v>73185</v>
      </c>
      <c r="E7389" t="str">
        <f t="shared" si="3008"/>
        <v>KFH-OPERATIONS DEPARTMENT</v>
      </c>
      <c r="F7389" t="str">
        <f t="shared" si="3009"/>
        <v>IBG</v>
      </c>
      <c r="G7389" t="str">
        <f t="shared" si="3020"/>
        <v>Refund COSHARE 10</v>
      </c>
      <c r="H7389" s="2">
        <v>503.7</v>
      </c>
      <c r="I7389" t="str">
        <f>"MOHD JUNAIDI BIN HAMIL"</f>
        <v>MOHD JUNAIDI BIN HAMIL</v>
      </c>
      <c r="J7389" t="str">
        <f t="shared" si="3021"/>
        <v>BANK SIMPANAN NASIONAL</v>
      </c>
      <c r="K7389" t="str">
        <f>"1417329869015491"</f>
        <v>1417329869015491</v>
      </c>
      <c r="L7389" t="str">
        <f t="shared" si="3024"/>
        <v>04-08-2020</v>
      </c>
      <c r="M7389" t="str">
        <f t="shared" si="3024"/>
        <v>04-08-2020</v>
      </c>
      <c r="N7389" t="str">
        <f t="shared" si="3011"/>
        <v>001105018356</v>
      </c>
      <c r="O7389" t="str">
        <f t="shared" si="3012"/>
        <v>MYR</v>
      </c>
      <c r="P7389" t="str">
        <f t="shared" si="3025"/>
        <v>NIL</v>
      </c>
      <c r="Q7389" t="str">
        <f t="shared" si="3025"/>
        <v>NIL</v>
      </c>
      <c r="R7389" t="str">
        <f t="shared" si="2999"/>
        <v>Accepted</v>
      </c>
      <c r="S7389" t="str">
        <f t="shared" si="3014"/>
        <v>Approved</v>
      </c>
      <c r="T7389" t="str">
        <f t="shared" si="3000"/>
        <v>10.20.8.188</v>
      </c>
      <c r="U7389" t="str">
        <f t="shared" si="3015"/>
        <v>AZRAD UMAR BIN SHAARI</v>
      </c>
      <c r="V7389" t="str">
        <f t="shared" si="3016"/>
        <v>FARHANA BINTI MUSTAPA</v>
      </c>
      <c r="W7389" t="str">
        <f t="shared" si="3017"/>
        <v>04-08-2020</v>
      </c>
      <c r="X7389" t="str">
        <f t="shared" si="3018"/>
        <v>RAZIMAH ANSAR AHMAD</v>
      </c>
      <c r="Y7389" t="str">
        <f t="shared" si="3019"/>
        <v>04-08-2020</v>
      </c>
      <c r="Z7389" t="str">
        <f>"COS10200804 1765"</f>
        <v>COS10200804 1765</v>
      </c>
    </row>
    <row r="7390" spans="1:26" x14ac:dyDescent="0.25">
      <c r="A7390" t="str">
        <f t="shared" si="3022"/>
        <v>04-08-2020 12:34:57</v>
      </c>
      <c r="B7390" t="str">
        <f>"0000803518"</f>
        <v>0000803518</v>
      </c>
      <c r="C7390" t="str">
        <f t="shared" si="3023"/>
        <v>0000803354</v>
      </c>
      <c r="D7390" t="str">
        <f t="shared" si="3007"/>
        <v>73185</v>
      </c>
      <c r="E7390" t="str">
        <f t="shared" si="3008"/>
        <v>KFH-OPERATIONS DEPARTMENT</v>
      </c>
      <c r="F7390" t="str">
        <f t="shared" si="3009"/>
        <v>IBG</v>
      </c>
      <c r="G7390" t="str">
        <f t="shared" si="3020"/>
        <v>Refund COSHARE 10</v>
      </c>
      <c r="H7390" s="2">
        <v>83.95</v>
      </c>
      <c r="I7390" t="str">
        <f>"MOHD JILIDI BIN SUUT"</f>
        <v>MOHD JILIDI BIN SUUT</v>
      </c>
      <c r="J7390" t="str">
        <f t="shared" si="3021"/>
        <v>BANK SIMPANAN NASIONAL</v>
      </c>
      <c r="K7390" t="str">
        <f>"1310041000123474"</f>
        <v>1310041000123474</v>
      </c>
      <c r="L7390" t="str">
        <f t="shared" si="3024"/>
        <v>04-08-2020</v>
      </c>
      <c r="M7390" t="str">
        <f t="shared" si="3024"/>
        <v>04-08-2020</v>
      </c>
      <c r="N7390" t="str">
        <f t="shared" si="3011"/>
        <v>001105018356</v>
      </c>
      <c r="O7390" t="str">
        <f t="shared" si="3012"/>
        <v>MYR</v>
      </c>
      <c r="P7390" t="str">
        <f t="shared" si="3025"/>
        <v>NIL</v>
      </c>
      <c r="Q7390" t="str">
        <f t="shared" si="3025"/>
        <v>NIL</v>
      </c>
      <c r="R7390" t="str">
        <f t="shared" si="2999"/>
        <v>Accepted</v>
      </c>
      <c r="S7390" t="str">
        <f t="shared" si="3014"/>
        <v>Approved</v>
      </c>
      <c r="T7390" t="str">
        <f t="shared" si="3000"/>
        <v>10.20.8.188</v>
      </c>
      <c r="U7390" t="str">
        <f t="shared" si="3015"/>
        <v>AZRAD UMAR BIN SHAARI</v>
      </c>
      <c r="V7390" t="str">
        <f t="shared" si="3016"/>
        <v>FARHANA BINTI MUSTAPA</v>
      </c>
      <c r="W7390" t="str">
        <f t="shared" si="3017"/>
        <v>04-08-2020</v>
      </c>
      <c r="X7390" t="str">
        <f t="shared" si="3018"/>
        <v>RAZIMAH ANSAR AHMAD</v>
      </c>
      <c r="Y7390" t="str">
        <f t="shared" si="3019"/>
        <v>04-08-2020</v>
      </c>
      <c r="Z7390" t="str">
        <f>"COS10200804 1764"</f>
        <v>COS10200804 1764</v>
      </c>
    </row>
    <row r="7391" spans="1:26" x14ac:dyDescent="0.25">
      <c r="A7391" t="str">
        <f t="shared" si="3022"/>
        <v>04-08-2020 12:34:57</v>
      </c>
      <c r="B7391" t="str">
        <f>"0000803517"</f>
        <v>0000803517</v>
      </c>
      <c r="C7391" t="str">
        <f t="shared" si="3023"/>
        <v>0000803354</v>
      </c>
      <c r="D7391" t="str">
        <f t="shared" si="3007"/>
        <v>73185</v>
      </c>
      <c r="E7391" t="str">
        <f t="shared" si="3008"/>
        <v>KFH-OPERATIONS DEPARTMENT</v>
      </c>
      <c r="F7391" t="str">
        <f t="shared" si="3009"/>
        <v>IBG</v>
      </c>
      <c r="G7391" t="str">
        <f t="shared" si="3020"/>
        <v>Refund COSHARE 10</v>
      </c>
      <c r="H7391" s="2">
        <v>470.15</v>
      </c>
      <c r="I7391" t="str">
        <f>"MOHD IZZUDDIN BIN JAMAL  ISMAIL"</f>
        <v>MOHD IZZUDDIN BIN JAMAL  ISMAIL</v>
      </c>
      <c r="J7391" t="str">
        <f t="shared" si="3021"/>
        <v>BANK SIMPANAN NASIONAL</v>
      </c>
      <c r="K7391" t="str">
        <f>"1410041000118073"</f>
        <v>1410041000118073</v>
      </c>
      <c r="L7391" t="str">
        <f t="shared" si="3024"/>
        <v>04-08-2020</v>
      </c>
      <c r="M7391" t="str">
        <f t="shared" si="3024"/>
        <v>04-08-2020</v>
      </c>
      <c r="N7391" t="str">
        <f t="shared" si="3011"/>
        <v>001105018356</v>
      </c>
      <c r="O7391" t="str">
        <f t="shared" si="3012"/>
        <v>MYR</v>
      </c>
      <c r="P7391" t="str">
        <f t="shared" si="3025"/>
        <v>NIL</v>
      </c>
      <c r="Q7391" t="str">
        <f t="shared" si="3025"/>
        <v>NIL</v>
      </c>
      <c r="R7391" t="str">
        <f t="shared" si="2999"/>
        <v>Accepted</v>
      </c>
      <c r="S7391" t="str">
        <f t="shared" si="3014"/>
        <v>Approved</v>
      </c>
      <c r="T7391" t="str">
        <f t="shared" si="3000"/>
        <v>10.20.8.188</v>
      </c>
      <c r="U7391" t="str">
        <f t="shared" si="3015"/>
        <v>AZRAD UMAR BIN SHAARI</v>
      </c>
      <c r="V7391" t="str">
        <f t="shared" si="3016"/>
        <v>FARHANA BINTI MUSTAPA</v>
      </c>
      <c r="W7391" t="str">
        <f t="shared" si="3017"/>
        <v>04-08-2020</v>
      </c>
      <c r="X7391" t="str">
        <f t="shared" si="3018"/>
        <v>RAZIMAH ANSAR AHMAD</v>
      </c>
      <c r="Y7391" t="str">
        <f t="shared" si="3019"/>
        <v>04-08-2020</v>
      </c>
      <c r="Z7391" t="str">
        <f>"COS10200804 1763"</f>
        <v>COS10200804 1763</v>
      </c>
    </row>
    <row r="7392" spans="1:26" x14ac:dyDescent="0.25">
      <c r="A7392" t="str">
        <f t="shared" si="3022"/>
        <v>04-08-2020 12:34:57</v>
      </c>
      <c r="B7392" t="str">
        <f>"0000803516"</f>
        <v>0000803516</v>
      </c>
      <c r="C7392" t="str">
        <f t="shared" si="3023"/>
        <v>0000803354</v>
      </c>
      <c r="D7392" t="str">
        <f t="shared" si="3007"/>
        <v>73185</v>
      </c>
      <c r="E7392" t="str">
        <f t="shared" si="3008"/>
        <v>KFH-OPERATIONS DEPARTMENT</v>
      </c>
      <c r="F7392" t="str">
        <f t="shared" si="3009"/>
        <v>IBG</v>
      </c>
      <c r="G7392" t="str">
        <f t="shared" si="3020"/>
        <v>Refund COSHARE 10</v>
      </c>
      <c r="H7392" s="2">
        <v>167.9</v>
      </c>
      <c r="I7392" t="str">
        <f>"MOHD IZWAN HANIFF BIN BAHADUN"</f>
        <v>MOHD IZWAN HANIFF BIN BAHADUN</v>
      </c>
      <c r="J7392" t="str">
        <f t="shared" si="3021"/>
        <v>BANK SIMPANAN NASIONAL</v>
      </c>
      <c r="K7392" t="str">
        <f>"0510429000253751"</f>
        <v>0510429000253751</v>
      </c>
      <c r="L7392" t="str">
        <f t="shared" si="3024"/>
        <v>04-08-2020</v>
      </c>
      <c r="M7392" t="str">
        <f t="shared" si="3024"/>
        <v>04-08-2020</v>
      </c>
      <c r="N7392" t="str">
        <f t="shared" si="3011"/>
        <v>001105018356</v>
      </c>
      <c r="O7392" t="str">
        <f t="shared" si="3012"/>
        <v>MYR</v>
      </c>
      <c r="P7392" t="str">
        <f t="shared" si="3025"/>
        <v>NIL</v>
      </c>
      <c r="Q7392" t="str">
        <f t="shared" si="3025"/>
        <v>NIL</v>
      </c>
      <c r="R7392" t="str">
        <f t="shared" si="2999"/>
        <v>Accepted</v>
      </c>
      <c r="S7392" t="str">
        <f t="shared" si="3014"/>
        <v>Approved</v>
      </c>
      <c r="T7392" t="str">
        <f t="shared" si="3000"/>
        <v>10.20.8.188</v>
      </c>
      <c r="U7392" t="str">
        <f t="shared" si="3015"/>
        <v>AZRAD UMAR BIN SHAARI</v>
      </c>
      <c r="V7392" t="str">
        <f t="shared" si="3016"/>
        <v>FARHANA BINTI MUSTAPA</v>
      </c>
      <c r="W7392" t="str">
        <f t="shared" si="3017"/>
        <v>04-08-2020</v>
      </c>
      <c r="X7392" t="str">
        <f t="shared" si="3018"/>
        <v>RAZIMAH ANSAR AHMAD</v>
      </c>
      <c r="Y7392" t="str">
        <f t="shared" si="3019"/>
        <v>04-08-2020</v>
      </c>
      <c r="Z7392" t="str">
        <f>"COS10200804 1762"</f>
        <v>COS10200804 1762</v>
      </c>
    </row>
    <row r="7393" spans="1:26" x14ac:dyDescent="0.25">
      <c r="A7393" t="str">
        <f t="shared" si="3022"/>
        <v>04-08-2020 12:34:57</v>
      </c>
      <c r="B7393" t="str">
        <f>"0000803515"</f>
        <v>0000803515</v>
      </c>
      <c r="C7393" t="str">
        <f t="shared" si="3023"/>
        <v>0000803354</v>
      </c>
      <c r="D7393" t="str">
        <f t="shared" si="3007"/>
        <v>73185</v>
      </c>
      <c r="E7393" t="str">
        <f t="shared" si="3008"/>
        <v>KFH-OPERATIONS DEPARTMENT</v>
      </c>
      <c r="F7393" t="str">
        <f t="shared" si="3009"/>
        <v>IBG</v>
      </c>
      <c r="G7393" t="str">
        <f t="shared" si="3020"/>
        <v>Refund COSHARE 10</v>
      </c>
      <c r="H7393" s="2">
        <v>83.95</v>
      </c>
      <c r="I7393" t="str">
        <f>"MOHD IZWAN BIN ABD RAHIM"</f>
        <v>MOHD IZWAN BIN ABD RAHIM</v>
      </c>
      <c r="J7393" t="str">
        <f t="shared" si="3021"/>
        <v>BANK SIMPANAN NASIONAL</v>
      </c>
      <c r="K7393" t="str">
        <f>"0713629000001464"</f>
        <v>0713629000001464</v>
      </c>
      <c r="L7393" t="str">
        <f t="shared" si="3024"/>
        <v>04-08-2020</v>
      </c>
      <c r="M7393" t="str">
        <f t="shared" si="3024"/>
        <v>04-08-2020</v>
      </c>
      <c r="N7393" t="str">
        <f t="shared" si="3011"/>
        <v>001105018356</v>
      </c>
      <c r="O7393" t="str">
        <f t="shared" si="3012"/>
        <v>MYR</v>
      </c>
      <c r="P7393" t="str">
        <f t="shared" si="3025"/>
        <v>NIL</v>
      </c>
      <c r="Q7393" t="str">
        <f t="shared" si="3025"/>
        <v>NIL</v>
      </c>
      <c r="R7393" t="str">
        <f t="shared" si="2999"/>
        <v>Accepted</v>
      </c>
      <c r="S7393" t="str">
        <f t="shared" si="3014"/>
        <v>Approved</v>
      </c>
      <c r="T7393" t="str">
        <f t="shared" si="3000"/>
        <v>10.20.8.188</v>
      </c>
      <c r="U7393" t="str">
        <f t="shared" si="3015"/>
        <v>AZRAD UMAR BIN SHAARI</v>
      </c>
      <c r="V7393" t="str">
        <f t="shared" si="3016"/>
        <v>FARHANA BINTI MUSTAPA</v>
      </c>
      <c r="W7393" t="str">
        <f t="shared" si="3017"/>
        <v>04-08-2020</v>
      </c>
      <c r="X7393" t="str">
        <f t="shared" si="3018"/>
        <v>RAZIMAH ANSAR AHMAD</v>
      </c>
      <c r="Y7393" t="str">
        <f t="shared" si="3019"/>
        <v>04-08-2020</v>
      </c>
      <c r="Z7393" t="str">
        <f>"COS10200804 1761"</f>
        <v>COS10200804 1761</v>
      </c>
    </row>
    <row r="7394" spans="1:26" x14ac:dyDescent="0.25">
      <c r="A7394" t="str">
        <f t="shared" si="3022"/>
        <v>04-08-2020 12:34:57</v>
      </c>
      <c r="B7394" t="str">
        <f>"0000803514"</f>
        <v>0000803514</v>
      </c>
      <c r="C7394" t="str">
        <f t="shared" si="3023"/>
        <v>0000803354</v>
      </c>
      <c r="D7394" t="str">
        <f t="shared" si="3007"/>
        <v>73185</v>
      </c>
      <c r="E7394" t="str">
        <f t="shared" si="3008"/>
        <v>KFH-OPERATIONS DEPARTMENT</v>
      </c>
      <c r="F7394" t="str">
        <f t="shared" si="3009"/>
        <v>IBG</v>
      </c>
      <c r="G7394" t="str">
        <f t="shared" si="3020"/>
        <v>Refund COSHARE 10</v>
      </c>
      <c r="H7394" s="2">
        <v>84</v>
      </c>
      <c r="I7394" t="str">
        <f>"MOHD ISZUADI BIN MOHAMAD HASSAN"</f>
        <v>MOHD ISZUADI BIN MOHAMAD HASSAN</v>
      </c>
      <c r="J7394" t="str">
        <f t="shared" si="3021"/>
        <v>BANK SIMPANAN NASIONAL</v>
      </c>
      <c r="K7394" t="str">
        <f>"1210141000009542"</f>
        <v>1210141000009542</v>
      </c>
      <c r="L7394" t="str">
        <f t="shared" si="3024"/>
        <v>04-08-2020</v>
      </c>
      <c r="M7394" t="str">
        <f t="shared" si="3024"/>
        <v>04-08-2020</v>
      </c>
      <c r="N7394" t="str">
        <f t="shared" si="3011"/>
        <v>001105018356</v>
      </c>
      <c r="O7394" t="str">
        <f t="shared" si="3012"/>
        <v>MYR</v>
      </c>
      <c r="P7394" t="str">
        <f t="shared" si="3025"/>
        <v>NIL</v>
      </c>
      <c r="Q7394" t="str">
        <f t="shared" si="3025"/>
        <v>NIL</v>
      </c>
      <c r="R7394" t="str">
        <f t="shared" ref="R7394:R7457" si="3026">"Accepted"</f>
        <v>Accepted</v>
      </c>
      <c r="S7394" t="str">
        <f t="shared" si="3014"/>
        <v>Approved</v>
      </c>
      <c r="T7394" t="str">
        <f t="shared" ref="T7394:T7457" si="3027">"10.20.8.188"</f>
        <v>10.20.8.188</v>
      </c>
      <c r="U7394" t="str">
        <f t="shared" si="3015"/>
        <v>AZRAD UMAR BIN SHAARI</v>
      </c>
      <c r="V7394" t="str">
        <f t="shared" si="3016"/>
        <v>FARHANA BINTI MUSTAPA</v>
      </c>
      <c r="W7394" t="str">
        <f t="shared" si="3017"/>
        <v>04-08-2020</v>
      </c>
      <c r="X7394" t="str">
        <f t="shared" si="3018"/>
        <v>RAZIMAH ANSAR AHMAD</v>
      </c>
      <c r="Y7394" t="str">
        <f t="shared" si="3019"/>
        <v>04-08-2020</v>
      </c>
      <c r="Z7394" t="str">
        <f>"COS10200804 1760"</f>
        <v>COS10200804 1760</v>
      </c>
    </row>
    <row r="7395" spans="1:26" x14ac:dyDescent="0.25">
      <c r="A7395" t="str">
        <f t="shared" si="3022"/>
        <v>04-08-2020 12:34:57</v>
      </c>
      <c r="B7395" t="str">
        <f>"0000803513"</f>
        <v>0000803513</v>
      </c>
      <c r="C7395" t="str">
        <f t="shared" si="3023"/>
        <v>0000803354</v>
      </c>
      <c r="D7395" t="str">
        <f t="shared" si="3007"/>
        <v>73185</v>
      </c>
      <c r="E7395" t="str">
        <f t="shared" si="3008"/>
        <v>KFH-OPERATIONS DEPARTMENT</v>
      </c>
      <c r="F7395" t="str">
        <f t="shared" si="3009"/>
        <v>IBG</v>
      </c>
      <c r="G7395" t="str">
        <f t="shared" si="3020"/>
        <v>Refund COSHARE 10</v>
      </c>
      <c r="H7395" s="2">
        <v>419.75</v>
      </c>
      <c r="I7395" t="str">
        <f>"MOHD HISHAMUDDIN BIN MEH"</f>
        <v>MOHD HISHAMUDDIN BIN MEH</v>
      </c>
      <c r="J7395" t="str">
        <f t="shared" si="3021"/>
        <v>BANK SIMPANAN NASIONAL</v>
      </c>
      <c r="K7395" t="str">
        <f>"0610529000024464"</f>
        <v>0610529000024464</v>
      </c>
      <c r="L7395" t="str">
        <f t="shared" si="3024"/>
        <v>04-08-2020</v>
      </c>
      <c r="M7395" t="str">
        <f t="shared" si="3024"/>
        <v>04-08-2020</v>
      </c>
      <c r="N7395" t="str">
        <f t="shared" si="3011"/>
        <v>001105018356</v>
      </c>
      <c r="O7395" t="str">
        <f t="shared" si="3012"/>
        <v>MYR</v>
      </c>
      <c r="P7395" t="str">
        <f t="shared" si="3025"/>
        <v>NIL</v>
      </c>
      <c r="Q7395" t="str">
        <f t="shared" si="3025"/>
        <v>NIL</v>
      </c>
      <c r="R7395" t="str">
        <f t="shared" si="3026"/>
        <v>Accepted</v>
      </c>
      <c r="S7395" t="str">
        <f t="shared" si="3014"/>
        <v>Approved</v>
      </c>
      <c r="T7395" t="str">
        <f t="shared" si="3027"/>
        <v>10.20.8.188</v>
      </c>
      <c r="U7395" t="str">
        <f t="shared" si="3015"/>
        <v>AZRAD UMAR BIN SHAARI</v>
      </c>
      <c r="V7395" t="str">
        <f t="shared" si="3016"/>
        <v>FARHANA BINTI MUSTAPA</v>
      </c>
      <c r="W7395" t="str">
        <f t="shared" si="3017"/>
        <v>04-08-2020</v>
      </c>
      <c r="X7395" t="str">
        <f t="shared" si="3018"/>
        <v>RAZIMAH ANSAR AHMAD</v>
      </c>
      <c r="Y7395" t="str">
        <f t="shared" si="3019"/>
        <v>04-08-2020</v>
      </c>
      <c r="Z7395" t="str">
        <f>"COS10200804 1759"</f>
        <v>COS10200804 1759</v>
      </c>
    </row>
    <row r="7396" spans="1:26" x14ac:dyDescent="0.25">
      <c r="A7396" t="str">
        <f t="shared" si="3022"/>
        <v>04-08-2020 12:34:57</v>
      </c>
      <c r="B7396" t="str">
        <f>"0000803512"</f>
        <v>0000803512</v>
      </c>
      <c r="C7396" t="str">
        <f t="shared" si="3023"/>
        <v>0000803354</v>
      </c>
      <c r="D7396" t="str">
        <f t="shared" si="3007"/>
        <v>73185</v>
      </c>
      <c r="E7396" t="str">
        <f t="shared" si="3008"/>
        <v>KFH-OPERATIONS DEPARTMENT</v>
      </c>
      <c r="F7396" t="str">
        <f t="shared" si="3009"/>
        <v>IBG</v>
      </c>
      <c r="G7396" t="str">
        <f t="shared" si="3020"/>
        <v>Refund COSHARE 10</v>
      </c>
      <c r="H7396" s="2">
        <v>899</v>
      </c>
      <c r="I7396" t="str">
        <f>"MOHD HILMIE BIN RASHID"</f>
        <v>MOHD HILMIE BIN RASHID</v>
      </c>
      <c r="J7396" t="str">
        <f t="shared" si="3021"/>
        <v>BANK SIMPANAN NASIONAL</v>
      </c>
      <c r="K7396" t="str">
        <f>"0310429000089715"</f>
        <v>0310429000089715</v>
      </c>
      <c r="L7396" t="str">
        <f t="shared" si="3024"/>
        <v>04-08-2020</v>
      </c>
      <c r="M7396" t="str">
        <f t="shared" si="3024"/>
        <v>04-08-2020</v>
      </c>
      <c r="N7396" t="str">
        <f t="shared" si="3011"/>
        <v>001105018356</v>
      </c>
      <c r="O7396" t="str">
        <f t="shared" si="3012"/>
        <v>MYR</v>
      </c>
      <c r="P7396" t="str">
        <f t="shared" si="3025"/>
        <v>NIL</v>
      </c>
      <c r="Q7396" t="str">
        <f t="shared" si="3025"/>
        <v>NIL</v>
      </c>
      <c r="R7396" t="str">
        <f t="shared" si="3026"/>
        <v>Accepted</v>
      </c>
      <c r="S7396" t="str">
        <f t="shared" si="3014"/>
        <v>Approved</v>
      </c>
      <c r="T7396" t="str">
        <f t="shared" si="3027"/>
        <v>10.20.8.188</v>
      </c>
      <c r="U7396" t="str">
        <f t="shared" si="3015"/>
        <v>AZRAD UMAR BIN SHAARI</v>
      </c>
      <c r="V7396" t="str">
        <f t="shared" si="3016"/>
        <v>FARHANA BINTI MUSTAPA</v>
      </c>
      <c r="W7396" t="str">
        <f t="shared" si="3017"/>
        <v>04-08-2020</v>
      </c>
      <c r="X7396" t="str">
        <f t="shared" si="3018"/>
        <v>RAZIMAH ANSAR AHMAD</v>
      </c>
      <c r="Y7396" t="str">
        <f t="shared" si="3019"/>
        <v>04-08-2020</v>
      </c>
      <c r="Z7396" t="str">
        <f>"COS10200804 1758"</f>
        <v>COS10200804 1758</v>
      </c>
    </row>
    <row r="7397" spans="1:26" x14ac:dyDescent="0.25">
      <c r="A7397" t="str">
        <f t="shared" si="3022"/>
        <v>04-08-2020 12:34:57</v>
      </c>
      <c r="B7397" t="str">
        <f>"0000803511"</f>
        <v>0000803511</v>
      </c>
      <c r="C7397" t="str">
        <f t="shared" si="3023"/>
        <v>0000803354</v>
      </c>
      <c r="D7397" t="str">
        <f t="shared" si="3007"/>
        <v>73185</v>
      </c>
      <c r="E7397" t="str">
        <f t="shared" si="3008"/>
        <v>KFH-OPERATIONS DEPARTMENT</v>
      </c>
      <c r="F7397" t="str">
        <f t="shared" si="3009"/>
        <v>IBG</v>
      </c>
      <c r="G7397" t="str">
        <f t="shared" si="3020"/>
        <v>Refund COSHARE 10</v>
      </c>
      <c r="H7397" s="2">
        <v>260.25</v>
      </c>
      <c r="I7397" t="str">
        <f>"MOHD HAIRULAZLAN BIN CHE SHA ARI"</f>
        <v>MOHD HAIRULAZLAN BIN CHE SHA ARI</v>
      </c>
      <c r="J7397" t="str">
        <f t="shared" si="3021"/>
        <v>BANK SIMPANAN NASIONAL</v>
      </c>
      <c r="K7397" t="str">
        <f>"1111029000012943"</f>
        <v>1111029000012943</v>
      </c>
      <c r="L7397" t="str">
        <f t="shared" si="3024"/>
        <v>04-08-2020</v>
      </c>
      <c r="M7397" t="str">
        <f t="shared" si="3024"/>
        <v>04-08-2020</v>
      </c>
      <c r="N7397" t="str">
        <f t="shared" si="3011"/>
        <v>001105018356</v>
      </c>
      <c r="O7397" t="str">
        <f t="shared" si="3012"/>
        <v>MYR</v>
      </c>
      <c r="P7397" t="str">
        <f t="shared" si="3025"/>
        <v>NIL</v>
      </c>
      <c r="Q7397" t="str">
        <f t="shared" si="3025"/>
        <v>NIL</v>
      </c>
      <c r="R7397" t="str">
        <f t="shared" si="3026"/>
        <v>Accepted</v>
      </c>
      <c r="S7397" t="str">
        <f t="shared" si="3014"/>
        <v>Approved</v>
      </c>
      <c r="T7397" t="str">
        <f t="shared" si="3027"/>
        <v>10.20.8.188</v>
      </c>
      <c r="U7397" t="str">
        <f t="shared" si="3015"/>
        <v>AZRAD UMAR BIN SHAARI</v>
      </c>
      <c r="V7397" t="str">
        <f t="shared" si="3016"/>
        <v>FARHANA BINTI MUSTAPA</v>
      </c>
      <c r="W7397" t="str">
        <f t="shared" si="3017"/>
        <v>04-08-2020</v>
      </c>
      <c r="X7397" t="str">
        <f t="shared" si="3018"/>
        <v>RAZIMAH ANSAR AHMAD</v>
      </c>
      <c r="Y7397" t="str">
        <f t="shared" si="3019"/>
        <v>04-08-2020</v>
      </c>
      <c r="Z7397" t="str">
        <f>"COS10200804 1757"</f>
        <v>COS10200804 1757</v>
      </c>
    </row>
    <row r="7398" spans="1:26" x14ac:dyDescent="0.25">
      <c r="A7398" t="str">
        <f t="shared" si="3022"/>
        <v>04-08-2020 12:34:57</v>
      </c>
      <c r="B7398" t="str">
        <f>"0000803510"</f>
        <v>0000803510</v>
      </c>
      <c r="C7398" t="str">
        <f t="shared" si="3023"/>
        <v>0000803354</v>
      </c>
      <c r="D7398" t="str">
        <f t="shared" si="3007"/>
        <v>73185</v>
      </c>
      <c r="E7398" t="str">
        <f t="shared" si="3008"/>
        <v>KFH-OPERATIONS DEPARTMENT</v>
      </c>
      <c r="F7398" t="str">
        <f t="shared" si="3009"/>
        <v>IBG</v>
      </c>
      <c r="G7398" t="str">
        <f t="shared" si="3020"/>
        <v>Refund COSHARE 10</v>
      </c>
      <c r="H7398" s="2">
        <v>209.9</v>
      </c>
      <c r="I7398" t="str">
        <f>"MOHD HAIRI BIN SHAMSUDDIN"</f>
        <v>MOHD HAIRI BIN SHAMSUDDIN</v>
      </c>
      <c r="J7398" t="str">
        <f t="shared" si="3021"/>
        <v>BANK SIMPANAN NASIONAL</v>
      </c>
      <c r="K7398" t="str">
        <f>"0210029000243927"</f>
        <v>0210029000243927</v>
      </c>
      <c r="L7398" t="str">
        <f t="shared" si="3024"/>
        <v>04-08-2020</v>
      </c>
      <c r="M7398" t="str">
        <f t="shared" si="3024"/>
        <v>04-08-2020</v>
      </c>
      <c r="N7398" t="str">
        <f t="shared" si="3011"/>
        <v>001105018356</v>
      </c>
      <c r="O7398" t="str">
        <f t="shared" si="3012"/>
        <v>MYR</v>
      </c>
      <c r="P7398" t="str">
        <f t="shared" si="3025"/>
        <v>NIL</v>
      </c>
      <c r="Q7398" t="str">
        <f t="shared" si="3025"/>
        <v>NIL</v>
      </c>
      <c r="R7398" t="str">
        <f t="shared" si="3026"/>
        <v>Accepted</v>
      </c>
      <c r="S7398" t="str">
        <f t="shared" si="3014"/>
        <v>Approved</v>
      </c>
      <c r="T7398" t="str">
        <f t="shared" si="3027"/>
        <v>10.20.8.188</v>
      </c>
      <c r="U7398" t="str">
        <f t="shared" si="3015"/>
        <v>AZRAD UMAR BIN SHAARI</v>
      </c>
      <c r="V7398" t="str">
        <f t="shared" si="3016"/>
        <v>FARHANA BINTI MUSTAPA</v>
      </c>
      <c r="W7398" t="str">
        <f t="shared" si="3017"/>
        <v>04-08-2020</v>
      </c>
      <c r="X7398" t="str">
        <f t="shared" si="3018"/>
        <v>RAZIMAH ANSAR AHMAD</v>
      </c>
      <c r="Y7398" t="str">
        <f t="shared" si="3019"/>
        <v>04-08-2020</v>
      </c>
      <c r="Z7398" t="str">
        <f>"COS10200804 1756"</f>
        <v>COS10200804 1756</v>
      </c>
    </row>
    <row r="7399" spans="1:26" x14ac:dyDescent="0.25">
      <c r="A7399" t="str">
        <f t="shared" si="3022"/>
        <v>04-08-2020 12:34:57</v>
      </c>
      <c r="B7399" t="str">
        <f>"0000803509"</f>
        <v>0000803509</v>
      </c>
      <c r="C7399" t="str">
        <f t="shared" si="3023"/>
        <v>0000803354</v>
      </c>
      <c r="D7399" t="str">
        <f t="shared" si="3007"/>
        <v>73185</v>
      </c>
      <c r="E7399" t="str">
        <f t="shared" si="3008"/>
        <v>KFH-OPERATIONS DEPARTMENT</v>
      </c>
      <c r="F7399" t="str">
        <f t="shared" si="3009"/>
        <v>IBG</v>
      </c>
      <c r="G7399" t="str">
        <f t="shared" si="3020"/>
        <v>Refund COSHARE 10</v>
      </c>
      <c r="H7399" s="2">
        <v>142.75</v>
      </c>
      <c r="I7399" t="str">
        <f>"MOHD HAFIZ BIN IHSAN"</f>
        <v>MOHD HAFIZ BIN IHSAN</v>
      </c>
      <c r="J7399" t="str">
        <f t="shared" si="3021"/>
        <v>BANK SIMPANAN NASIONAL</v>
      </c>
      <c r="K7399" t="str">
        <f>"0510229000071615"</f>
        <v>0510229000071615</v>
      </c>
      <c r="L7399" t="str">
        <f t="shared" si="3024"/>
        <v>04-08-2020</v>
      </c>
      <c r="M7399" t="str">
        <f t="shared" si="3024"/>
        <v>04-08-2020</v>
      </c>
      <c r="N7399" t="str">
        <f t="shared" si="3011"/>
        <v>001105018356</v>
      </c>
      <c r="O7399" t="str">
        <f t="shared" si="3012"/>
        <v>MYR</v>
      </c>
      <c r="P7399" t="str">
        <f t="shared" si="3025"/>
        <v>NIL</v>
      </c>
      <c r="Q7399" t="str">
        <f t="shared" si="3025"/>
        <v>NIL</v>
      </c>
      <c r="R7399" t="str">
        <f t="shared" si="3026"/>
        <v>Accepted</v>
      </c>
      <c r="S7399" t="str">
        <f t="shared" si="3014"/>
        <v>Approved</v>
      </c>
      <c r="T7399" t="str">
        <f t="shared" si="3027"/>
        <v>10.20.8.188</v>
      </c>
      <c r="U7399" t="str">
        <f t="shared" si="3015"/>
        <v>AZRAD UMAR BIN SHAARI</v>
      </c>
      <c r="V7399" t="str">
        <f t="shared" si="3016"/>
        <v>FARHANA BINTI MUSTAPA</v>
      </c>
      <c r="W7399" t="str">
        <f t="shared" si="3017"/>
        <v>04-08-2020</v>
      </c>
      <c r="X7399" t="str">
        <f t="shared" si="3018"/>
        <v>RAZIMAH ANSAR AHMAD</v>
      </c>
      <c r="Y7399" t="str">
        <f t="shared" si="3019"/>
        <v>04-08-2020</v>
      </c>
      <c r="Z7399" t="str">
        <f>"COS10200804 1755"</f>
        <v>COS10200804 1755</v>
      </c>
    </row>
    <row r="7400" spans="1:26" x14ac:dyDescent="0.25">
      <c r="A7400" t="str">
        <f t="shared" si="3022"/>
        <v>04-08-2020 12:34:57</v>
      </c>
      <c r="B7400" t="str">
        <f>"0000803508"</f>
        <v>0000803508</v>
      </c>
      <c r="C7400" t="str">
        <f t="shared" si="3023"/>
        <v>0000803354</v>
      </c>
      <c r="D7400" t="str">
        <f t="shared" si="3007"/>
        <v>73185</v>
      </c>
      <c r="E7400" t="str">
        <f t="shared" si="3008"/>
        <v>KFH-OPERATIONS DEPARTMENT</v>
      </c>
      <c r="F7400" t="str">
        <f t="shared" si="3009"/>
        <v>IBG</v>
      </c>
      <c r="G7400" t="str">
        <f t="shared" si="3020"/>
        <v>Refund COSHARE 10</v>
      </c>
      <c r="H7400" s="2">
        <v>58.8</v>
      </c>
      <c r="I7400" t="str">
        <f>"MOHD HAFFIDZ BIN AZIZ"</f>
        <v>MOHD HAFFIDZ BIN AZIZ</v>
      </c>
      <c r="J7400" t="str">
        <f t="shared" si="3021"/>
        <v>BANK SIMPANAN NASIONAL</v>
      </c>
      <c r="K7400" t="str">
        <f>"0610029000015603"</f>
        <v>0610029000015603</v>
      </c>
      <c r="L7400" t="str">
        <f t="shared" si="3024"/>
        <v>04-08-2020</v>
      </c>
      <c r="M7400" t="str">
        <f t="shared" si="3024"/>
        <v>04-08-2020</v>
      </c>
      <c r="N7400" t="str">
        <f t="shared" si="3011"/>
        <v>001105018356</v>
      </c>
      <c r="O7400" t="str">
        <f t="shared" si="3012"/>
        <v>MYR</v>
      </c>
      <c r="P7400" t="str">
        <f t="shared" si="3025"/>
        <v>NIL</v>
      </c>
      <c r="Q7400" t="str">
        <f t="shared" si="3025"/>
        <v>NIL</v>
      </c>
      <c r="R7400" t="str">
        <f t="shared" si="3026"/>
        <v>Accepted</v>
      </c>
      <c r="S7400" t="str">
        <f t="shared" si="3014"/>
        <v>Approved</v>
      </c>
      <c r="T7400" t="str">
        <f t="shared" si="3027"/>
        <v>10.20.8.188</v>
      </c>
      <c r="U7400" t="str">
        <f t="shared" si="3015"/>
        <v>AZRAD UMAR BIN SHAARI</v>
      </c>
      <c r="V7400" t="str">
        <f t="shared" si="3016"/>
        <v>FARHANA BINTI MUSTAPA</v>
      </c>
      <c r="W7400" t="str">
        <f t="shared" si="3017"/>
        <v>04-08-2020</v>
      </c>
      <c r="X7400" t="str">
        <f t="shared" si="3018"/>
        <v>RAZIMAH ANSAR AHMAD</v>
      </c>
      <c r="Y7400" t="str">
        <f t="shared" si="3019"/>
        <v>04-08-2020</v>
      </c>
      <c r="Z7400" t="str">
        <f>"COS10200804 1754"</f>
        <v>COS10200804 1754</v>
      </c>
    </row>
    <row r="7401" spans="1:26" x14ac:dyDescent="0.25">
      <c r="A7401" t="str">
        <f t="shared" si="3022"/>
        <v>04-08-2020 12:34:57</v>
      </c>
      <c r="B7401" t="str">
        <f>"0000803507"</f>
        <v>0000803507</v>
      </c>
      <c r="C7401" t="str">
        <f t="shared" si="3023"/>
        <v>0000803354</v>
      </c>
      <c r="D7401" t="str">
        <f t="shared" si="3007"/>
        <v>73185</v>
      </c>
      <c r="E7401" t="str">
        <f t="shared" si="3008"/>
        <v>KFH-OPERATIONS DEPARTMENT</v>
      </c>
      <c r="F7401" t="str">
        <f t="shared" si="3009"/>
        <v>IBG</v>
      </c>
      <c r="G7401" t="str">
        <f t="shared" si="3020"/>
        <v>Refund COSHARE 10</v>
      </c>
      <c r="H7401" s="2">
        <v>960.75</v>
      </c>
      <c r="I7401" t="str">
        <f>"MOHD FUAD BIN MUSTAPHA"</f>
        <v>MOHD FUAD BIN MUSTAPHA</v>
      </c>
      <c r="J7401" t="str">
        <f t="shared" si="3021"/>
        <v>BANK SIMPANAN NASIONAL</v>
      </c>
      <c r="K7401" t="str">
        <f>"0412929000092283"</f>
        <v>0412929000092283</v>
      </c>
      <c r="L7401" t="str">
        <f t="shared" si="3024"/>
        <v>04-08-2020</v>
      </c>
      <c r="M7401" t="str">
        <f t="shared" si="3024"/>
        <v>04-08-2020</v>
      </c>
      <c r="N7401" t="str">
        <f t="shared" si="3011"/>
        <v>001105018356</v>
      </c>
      <c r="O7401" t="str">
        <f t="shared" si="3012"/>
        <v>MYR</v>
      </c>
      <c r="P7401" t="str">
        <f t="shared" si="3025"/>
        <v>NIL</v>
      </c>
      <c r="Q7401" t="str">
        <f t="shared" si="3025"/>
        <v>NIL</v>
      </c>
      <c r="R7401" t="str">
        <f t="shared" si="3026"/>
        <v>Accepted</v>
      </c>
      <c r="S7401" t="str">
        <f t="shared" si="3014"/>
        <v>Approved</v>
      </c>
      <c r="T7401" t="str">
        <f t="shared" si="3027"/>
        <v>10.20.8.188</v>
      </c>
      <c r="U7401" t="str">
        <f t="shared" si="3015"/>
        <v>AZRAD UMAR BIN SHAARI</v>
      </c>
      <c r="V7401" t="str">
        <f t="shared" si="3016"/>
        <v>FARHANA BINTI MUSTAPA</v>
      </c>
      <c r="W7401" t="str">
        <f t="shared" si="3017"/>
        <v>04-08-2020</v>
      </c>
      <c r="X7401" t="str">
        <f t="shared" si="3018"/>
        <v>RAZIMAH ANSAR AHMAD</v>
      </c>
      <c r="Y7401" t="str">
        <f t="shared" si="3019"/>
        <v>04-08-2020</v>
      </c>
      <c r="Z7401" t="str">
        <f>"COS10200804 1753"</f>
        <v>COS10200804 1753</v>
      </c>
    </row>
    <row r="7402" spans="1:26" x14ac:dyDescent="0.25">
      <c r="A7402" t="str">
        <f t="shared" si="3022"/>
        <v>04-08-2020 12:34:57</v>
      </c>
      <c r="B7402" t="str">
        <f>"0000803506"</f>
        <v>0000803506</v>
      </c>
      <c r="C7402" t="str">
        <f t="shared" si="3023"/>
        <v>0000803354</v>
      </c>
      <c r="D7402" t="str">
        <f t="shared" si="3007"/>
        <v>73185</v>
      </c>
      <c r="E7402" t="str">
        <f t="shared" si="3008"/>
        <v>KFH-OPERATIONS DEPARTMENT</v>
      </c>
      <c r="F7402" t="str">
        <f t="shared" si="3009"/>
        <v>IBG</v>
      </c>
      <c r="G7402" t="str">
        <f t="shared" si="3020"/>
        <v>Refund COSHARE 10</v>
      </c>
      <c r="H7402" s="2">
        <v>76</v>
      </c>
      <c r="I7402" t="str">
        <f>"MOHD FIRDAUS BIN MUSTAPHA"</f>
        <v>MOHD FIRDAUS BIN MUSTAPHA</v>
      </c>
      <c r="J7402" t="str">
        <f t="shared" si="3021"/>
        <v>BANK SIMPANAN NASIONAL</v>
      </c>
      <c r="K7402" t="str">
        <f>"0210029000371217"</f>
        <v>0210029000371217</v>
      </c>
      <c r="L7402" t="str">
        <f t="shared" si="3024"/>
        <v>04-08-2020</v>
      </c>
      <c r="M7402" t="str">
        <f t="shared" si="3024"/>
        <v>04-08-2020</v>
      </c>
      <c r="N7402" t="str">
        <f t="shared" si="3011"/>
        <v>001105018356</v>
      </c>
      <c r="O7402" t="str">
        <f t="shared" si="3012"/>
        <v>MYR</v>
      </c>
      <c r="P7402" t="str">
        <f t="shared" si="3025"/>
        <v>NIL</v>
      </c>
      <c r="Q7402" t="str">
        <f t="shared" si="3025"/>
        <v>NIL</v>
      </c>
      <c r="R7402" t="str">
        <f t="shared" si="3026"/>
        <v>Accepted</v>
      </c>
      <c r="S7402" t="str">
        <f t="shared" si="3014"/>
        <v>Approved</v>
      </c>
      <c r="T7402" t="str">
        <f t="shared" si="3027"/>
        <v>10.20.8.188</v>
      </c>
      <c r="U7402" t="str">
        <f t="shared" si="3015"/>
        <v>AZRAD UMAR BIN SHAARI</v>
      </c>
      <c r="V7402" t="str">
        <f t="shared" si="3016"/>
        <v>FARHANA BINTI MUSTAPA</v>
      </c>
      <c r="W7402" t="str">
        <f t="shared" si="3017"/>
        <v>04-08-2020</v>
      </c>
      <c r="X7402" t="str">
        <f t="shared" si="3018"/>
        <v>RAZIMAH ANSAR AHMAD</v>
      </c>
      <c r="Y7402" t="str">
        <f t="shared" si="3019"/>
        <v>04-08-2020</v>
      </c>
      <c r="Z7402" t="str">
        <f>"COS10200804 1752"</f>
        <v>COS10200804 1752</v>
      </c>
    </row>
    <row r="7403" spans="1:26" x14ac:dyDescent="0.25">
      <c r="A7403" t="str">
        <f t="shared" si="3022"/>
        <v>04-08-2020 12:34:57</v>
      </c>
      <c r="B7403" t="str">
        <f>"0000803505"</f>
        <v>0000803505</v>
      </c>
      <c r="C7403" t="str">
        <f t="shared" si="3023"/>
        <v>0000803354</v>
      </c>
      <c r="D7403" t="str">
        <f t="shared" si="3007"/>
        <v>73185</v>
      </c>
      <c r="E7403" t="str">
        <f t="shared" si="3008"/>
        <v>KFH-OPERATIONS DEPARTMENT</v>
      </c>
      <c r="F7403" t="str">
        <f t="shared" si="3009"/>
        <v>IBG</v>
      </c>
      <c r="G7403" t="str">
        <f t="shared" si="3020"/>
        <v>Refund COSHARE 10</v>
      </c>
      <c r="H7403" s="2">
        <v>744</v>
      </c>
      <c r="I7403" t="str">
        <f>"MOHD FIKRI BIN OMAR"</f>
        <v>MOHD FIKRI BIN OMAR</v>
      </c>
      <c r="J7403" t="str">
        <f t="shared" si="3021"/>
        <v>BANK SIMPANAN NASIONAL</v>
      </c>
      <c r="K7403" t="str">
        <f>"0540029000052416"</f>
        <v>0540029000052416</v>
      </c>
      <c r="L7403" t="str">
        <f t="shared" si="3024"/>
        <v>04-08-2020</v>
      </c>
      <c r="M7403" t="str">
        <f t="shared" si="3024"/>
        <v>04-08-2020</v>
      </c>
      <c r="N7403" t="str">
        <f t="shared" si="3011"/>
        <v>001105018356</v>
      </c>
      <c r="O7403" t="str">
        <f t="shared" si="3012"/>
        <v>MYR</v>
      </c>
      <c r="P7403" t="str">
        <f t="shared" si="3025"/>
        <v>NIL</v>
      </c>
      <c r="Q7403" t="str">
        <f t="shared" si="3025"/>
        <v>NIL</v>
      </c>
      <c r="R7403" t="str">
        <f t="shared" si="3026"/>
        <v>Accepted</v>
      </c>
      <c r="S7403" t="str">
        <f t="shared" si="3014"/>
        <v>Approved</v>
      </c>
      <c r="T7403" t="str">
        <f t="shared" si="3027"/>
        <v>10.20.8.188</v>
      </c>
      <c r="U7403" t="str">
        <f t="shared" si="3015"/>
        <v>AZRAD UMAR BIN SHAARI</v>
      </c>
      <c r="V7403" t="str">
        <f t="shared" si="3016"/>
        <v>FARHANA BINTI MUSTAPA</v>
      </c>
      <c r="W7403" t="str">
        <f t="shared" si="3017"/>
        <v>04-08-2020</v>
      </c>
      <c r="X7403" t="str">
        <f t="shared" si="3018"/>
        <v>RAZIMAH ANSAR AHMAD</v>
      </c>
      <c r="Y7403" t="str">
        <f t="shared" si="3019"/>
        <v>04-08-2020</v>
      </c>
      <c r="Z7403" t="str">
        <f>"COS10200804 1751"</f>
        <v>COS10200804 1751</v>
      </c>
    </row>
    <row r="7404" spans="1:26" x14ac:dyDescent="0.25">
      <c r="A7404" t="str">
        <f t="shared" si="3022"/>
        <v>04-08-2020 12:34:57</v>
      </c>
      <c r="B7404" t="str">
        <f>"0000803504"</f>
        <v>0000803504</v>
      </c>
      <c r="C7404" t="str">
        <f t="shared" si="3023"/>
        <v>0000803354</v>
      </c>
      <c r="D7404" t="str">
        <f t="shared" si="3007"/>
        <v>73185</v>
      </c>
      <c r="E7404" t="str">
        <f t="shared" si="3008"/>
        <v>KFH-OPERATIONS DEPARTMENT</v>
      </c>
      <c r="F7404" t="str">
        <f t="shared" si="3009"/>
        <v>IBG</v>
      </c>
      <c r="G7404" t="str">
        <f t="shared" si="3020"/>
        <v>Refund COSHARE 10</v>
      </c>
      <c r="H7404" s="2">
        <v>228</v>
      </c>
      <c r="I7404" t="str">
        <f>"MOHD FARED IZZUDIN BIN ISHAK"</f>
        <v>MOHD FARED IZZUDIN BIN ISHAK</v>
      </c>
      <c r="J7404" t="str">
        <f t="shared" si="3021"/>
        <v>BANK SIMPANAN NASIONAL</v>
      </c>
      <c r="K7404" t="str">
        <f>"0410629000276982"</f>
        <v>0410629000276982</v>
      </c>
      <c r="L7404" t="str">
        <f t="shared" si="3024"/>
        <v>04-08-2020</v>
      </c>
      <c r="M7404" t="str">
        <f t="shared" si="3024"/>
        <v>04-08-2020</v>
      </c>
      <c r="N7404" t="str">
        <f t="shared" si="3011"/>
        <v>001105018356</v>
      </c>
      <c r="O7404" t="str">
        <f t="shared" si="3012"/>
        <v>MYR</v>
      </c>
      <c r="P7404" t="str">
        <f t="shared" si="3025"/>
        <v>NIL</v>
      </c>
      <c r="Q7404" t="str">
        <f t="shared" si="3025"/>
        <v>NIL</v>
      </c>
      <c r="R7404" t="str">
        <f t="shared" si="3026"/>
        <v>Accepted</v>
      </c>
      <c r="S7404" t="str">
        <f t="shared" si="3014"/>
        <v>Approved</v>
      </c>
      <c r="T7404" t="str">
        <f t="shared" si="3027"/>
        <v>10.20.8.188</v>
      </c>
      <c r="U7404" t="str">
        <f t="shared" si="3015"/>
        <v>AZRAD UMAR BIN SHAARI</v>
      </c>
      <c r="V7404" t="str">
        <f t="shared" si="3016"/>
        <v>FARHANA BINTI MUSTAPA</v>
      </c>
      <c r="W7404" t="str">
        <f t="shared" si="3017"/>
        <v>04-08-2020</v>
      </c>
      <c r="X7404" t="str">
        <f t="shared" si="3018"/>
        <v>RAZIMAH ANSAR AHMAD</v>
      </c>
      <c r="Y7404" t="str">
        <f t="shared" si="3019"/>
        <v>04-08-2020</v>
      </c>
      <c r="Z7404" t="str">
        <f>"COS10200804 1750"</f>
        <v>COS10200804 1750</v>
      </c>
    </row>
    <row r="7405" spans="1:26" x14ac:dyDescent="0.25">
      <c r="A7405" t="str">
        <f t="shared" si="3022"/>
        <v>04-08-2020 12:34:57</v>
      </c>
      <c r="B7405" t="str">
        <f>"0000803503"</f>
        <v>0000803503</v>
      </c>
      <c r="C7405" t="str">
        <f t="shared" si="3023"/>
        <v>0000803354</v>
      </c>
      <c r="D7405" t="str">
        <f t="shared" si="3007"/>
        <v>73185</v>
      </c>
      <c r="E7405" t="str">
        <f t="shared" si="3008"/>
        <v>KFH-OPERATIONS DEPARTMENT</v>
      </c>
      <c r="F7405" t="str">
        <f t="shared" si="3009"/>
        <v>IBG</v>
      </c>
      <c r="G7405" t="str">
        <f t="shared" si="3020"/>
        <v>Refund COSHARE 10</v>
      </c>
      <c r="H7405" s="2">
        <v>67.2</v>
      </c>
      <c r="I7405" t="str">
        <f>"MOHD FADLI BIN YAAKOB"</f>
        <v>MOHD FADLI BIN YAAKOB</v>
      </c>
      <c r="J7405" t="str">
        <f t="shared" si="3021"/>
        <v>BANK SIMPANAN NASIONAL</v>
      </c>
      <c r="K7405" t="str">
        <f>"1419841000003902"</f>
        <v>1419841000003902</v>
      </c>
      <c r="L7405" t="str">
        <f t="shared" si="3024"/>
        <v>04-08-2020</v>
      </c>
      <c r="M7405" t="str">
        <f t="shared" si="3024"/>
        <v>04-08-2020</v>
      </c>
      <c r="N7405" t="str">
        <f t="shared" si="3011"/>
        <v>001105018356</v>
      </c>
      <c r="O7405" t="str">
        <f t="shared" si="3012"/>
        <v>MYR</v>
      </c>
      <c r="P7405" t="str">
        <f t="shared" si="3025"/>
        <v>NIL</v>
      </c>
      <c r="Q7405" t="str">
        <f t="shared" si="3025"/>
        <v>NIL</v>
      </c>
      <c r="R7405" t="str">
        <f t="shared" si="3026"/>
        <v>Accepted</v>
      </c>
      <c r="S7405" t="str">
        <f t="shared" si="3014"/>
        <v>Approved</v>
      </c>
      <c r="T7405" t="str">
        <f t="shared" si="3027"/>
        <v>10.20.8.188</v>
      </c>
      <c r="U7405" t="str">
        <f t="shared" si="3015"/>
        <v>AZRAD UMAR BIN SHAARI</v>
      </c>
      <c r="V7405" t="str">
        <f t="shared" si="3016"/>
        <v>FARHANA BINTI MUSTAPA</v>
      </c>
      <c r="W7405" t="str">
        <f t="shared" si="3017"/>
        <v>04-08-2020</v>
      </c>
      <c r="X7405" t="str">
        <f t="shared" si="3018"/>
        <v>RAZIMAH ANSAR AHMAD</v>
      </c>
      <c r="Y7405" t="str">
        <f t="shared" si="3019"/>
        <v>04-08-2020</v>
      </c>
      <c r="Z7405" t="str">
        <f>"COS10200804 1749"</f>
        <v>COS10200804 1749</v>
      </c>
    </row>
    <row r="7406" spans="1:26" x14ac:dyDescent="0.25">
      <c r="A7406" t="str">
        <f t="shared" si="3022"/>
        <v>04-08-2020 12:34:57</v>
      </c>
      <c r="B7406" t="str">
        <f>"0000803502"</f>
        <v>0000803502</v>
      </c>
      <c r="C7406" t="str">
        <f t="shared" si="3023"/>
        <v>0000803354</v>
      </c>
      <c r="D7406" t="str">
        <f t="shared" si="3007"/>
        <v>73185</v>
      </c>
      <c r="E7406" t="str">
        <f t="shared" si="3008"/>
        <v>KFH-OPERATIONS DEPARTMENT</v>
      </c>
      <c r="F7406" t="str">
        <f t="shared" si="3009"/>
        <v>IBG</v>
      </c>
      <c r="G7406" t="str">
        <f t="shared" si="3020"/>
        <v>Refund COSHARE 10</v>
      </c>
      <c r="H7406" s="2">
        <v>281.5</v>
      </c>
      <c r="I7406" t="str">
        <f>"MOHD FADHLI BIN OMAR  ABDULLAH"</f>
        <v>MOHD FADHLI BIN OMAR  ABDULLAH</v>
      </c>
      <c r="J7406" t="str">
        <f t="shared" si="3021"/>
        <v>BANK SIMPANAN NASIONAL</v>
      </c>
      <c r="K7406" t="str">
        <f>"0310029000464514"</f>
        <v>0310029000464514</v>
      </c>
      <c r="L7406" t="str">
        <f t="shared" si="3024"/>
        <v>04-08-2020</v>
      </c>
      <c r="M7406" t="str">
        <f t="shared" si="3024"/>
        <v>04-08-2020</v>
      </c>
      <c r="N7406" t="str">
        <f t="shared" si="3011"/>
        <v>001105018356</v>
      </c>
      <c r="O7406" t="str">
        <f t="shared" si="3012"/>
        <v>MYR</v>
      </c>
      <c r="P7406" t="str">
        <f t="shared" si="3025"/>
        <v>NIL</v>
      </c>
      <c r="Q7406" t="str">
        <f t="shared" si="3025"/>
        <v>NIL</v>
      </c>
      <c r="R7406" t="str">
        <f t="shared" si="3026"/>
        <v>Accepted</v>
      </c>
      <c r="S7406" t="str">
        <f t="shared" si="3014"/>
        <v>Approved</v>
      </c>
      <c r="T7406" t="str">
        <f t="shared" si="3027"/>
        <v>10.20.8.188</v>
      </c>
      <c r="U7406" t="str">
        <f t="shared" si="3015"/>
        <v>AZRAD UMAR BIN SHAARI</v>
      </c>
      <c r="V7406" t="str">
        <f t="shared" si="3016"/>
        <v>FARHANA BINTI MUSTAPA</v>
      </c>
      <c r="W7406" t="str">
        <f t="shared" si="3017"/>
        <v>04-08-2020</v>
      </c>
      <c r="X7406" t="str">
        <f t="shared" si="3018"/>
        <v>RAZIMAH ANSAR AHMAD</v>
      </c>
      <c r="Y7406" t="str">
        <f t="shared" si="3019"/>
        <v>04-08-2020</v>
      </c>
      <c r="Z7406" t="str">
        <f>"COS10200804 1748"</f>
        <v>COS10200804 1748</v>
      </c>
    </row>
    <row r="7407" spans="1:26" x14ac:dyDescent="0.25">
      <c r="A7407" t="str">
        <f t="shared" si="3022"/>
        <v>04-08-2020 12:34:57</v>
      </c>
      <c r="B7407" t="str">
        <f>"0000803501"</f>
        <v>0000803501</v>
      </c>
      <c r="C7407" t="str">
        <f t="shared" si="3023"/>
        <v>0000803354</v>
      </c>
      <c r="D7407" t="str">
        <f t="shared" si="3007"/>
        <v>73185</v>
      </c>
      <c r="E7407" t="str">
        <f t="shared" si="3008"/>
        <v>KFH-OPERATIONS DEPARTMENT</v>
      </c>
      <c r="F7407" t="str">
        <f t="shared" si="3009"/>
        <v>IBG</v>
      </c>
      <c r="G7407" t="str">
        <f t="shared" si="3020"/>
        <v>Refund COSHARE 10</v>
      </c>
      <c r="H7407" s="2">
        <v>629.65</v>
      </c>
      <c r="I7407" t="str">
        <f>"MOHD FADELI BIN ALIAS"</f>
        <v>MOHD FADELI BIN ALIAS</v>
      </c>
      <c r="J7407" t="str">
        <f t="shared" si="3021"/>
        <v>BANK SIMPANAN NASIONAL</v>
      </c>
      <c r="K7407" t="str">
        <f>"1410029000201238"</f>
        <v>1410029000201238</v>
      </c>
      <c r="L7407" t="str">
        <f t="shared" ref="L7407:M7426" si="3028">"04-08-2020"</f>
        <v>04-08-2020</v>
      </c>
      <c r="M7407" t="str">
        <f t="shared" si="3028"/>
        <v>04-08-2020</v>
      </c>
      <c r="N7407" t="str">
        <f t="shared" si="3011"/>
        <v>001105018356</v>
      </c>
      <c r="O7407" t="str">
        <f t="shared" si="3012"/>
        <v>MYR</v>
      </c>
      <c r="P7407" t="str">
        <f t="shared" ref="P7407:Q7426" si="3029">"NIL"</f>
        <v>NIL</v>
      </c>
      <c r="Q7407" t="str">
        <f t="shared" si="3029"/>
        <v>NIL</v>
      </c>
      <c r="R7407" t="str">
        <f t="shared" si="3026"/>
        <v>Accepted</v>
      </c>
      <c r="S7407" t="str">
        <f t="shared" si="3014"/>
        <v>Approved</v>
      </c>
      <c r="T7407" t="str">
        <f t="shared" si="3027"/>
        <v>10.20.8.188</v>
      </c>
      <c r="U7407" t="str">
        <f t="shared" si="3015"/>
        <v>AZRAD UMAR BIN SHAARI</v>
      </c>
      <c r="V7407" t="str">
        <f t="shared" si="3016"/>
        <v>FARHANA BINTI MUSTAPA</v>
      </c>
      <c r="W7407" t="str">
        <f t="shared" si="3017"/>
        <v>04-08-2020</v>
      </c>
      <c r="X7407" t="str">
        <f t="shared" si="3018"/>
        <v>RAZIMAH ANSAR AHMAD</v>
      </c>
      <c r="Y7407" t="str">
        <f t="shared" si="3019"/>
        <v>04-08-2020</v>
      </c>
      <c r="Z7407" t="str">
        <f>"COS10200804 1747"</f>
        <v>COS10200804 1747</v>
      </c>
    </row>
    <row r="7408" spans="1:26" x14ac:dyDescent="0.25">
      <c r="A7408" t="str">
        <f t="shared" si="3022"/>
        <v>04-08-2020 12:34:57</v>
      </c>
      <c r="B7408" t="str">
        <f>"0000803500"</f>
        <v>0000803500</v>
      </c>
      <c r="C7408" t="str">
        <f t="shared" si="3023"/>
        <v>0000803354</v>
      </c>
      <c r="D7408" t="str">
        <f t="shared" si="3007"/>
        <v>73185</v>
      </c>
      <c r="E7408" t="str">
        <f t="shared" si="3008"/>
        <v>KFH-OPERATIONS DEPARTMENT</v>
      </c>
      <c r="F7408" t="str">
        <f t="shared" si="3009"/>
        <v>IBG</v>
      </c>
      <c r="G7408" t="str">
        <f t="shared" si="3020"/>
        <v>Refund COSHARE 10</v>
      </c>
      <c r="H7408" s="2">
        <v>491.15</v>
      </c>
      <c r="I7408" t="str">
        <f>"MOHD EDDIE BIN MOHD RAJI"</f>
        <v>MOHD EDDIE BIN MOHD RAJI</v>
      </c>
      <c r="J7408" t="str">
        <f t="shared" si="3021"/>
        <v>BANK SIMPANAN NASIONAL</v>
      </c>
      <c r="K7408" t="str">
        <f>"1210229863060533"</f>
        <v>1210229863060533</v>
      </c>
      <c r="L7408" t="str">
        <f t="shared" si="3028"/>
        <v>04-08-2020</v>
      </c>
      <c r="M7408" t="str">
        <f t="shared" si="3028"/>
        <v>04-08-2020</v>
      </c>
      <c r="N7408" t="str">
        <f t="shared" si="3011"/>
        <v>001105018356</v>
      </c>
      <c r="O7408" t="str">
        <f t="shared" si="3012"/>
        <v>MYR</v>
      </c>
      <c r="P7408" t="str">
        <f t="shared" si="3029"/>
        <v>NIL</v>
      </c>
      <c r="Q7408" t="str">
        <f t="shared" si="3029"/>
        <v>NIL</v>
      </c>
      <c r="R7408" t="str">
        <f t="shared" si="3026"/>
        <v>Accepted</v>
      </c>
      <c r="S7408" t="str">
        <f t="shared" si="3014"/>
        <v>Approved</v>
      </c>
      <c r="T7408" t="str">
        <f t="shared" si="3027"/>
        <v>10.20.8.188</v>
      </c>
      <c r="U7408" t="str">
        <f t="shared" si="3015"/>
        <v>AZRAD UMAR BIN SHAARI</v>
      </c>
      <c r="V7408" t="str">
        <f t="shared" si="3016"/>
        <v>FARHANA BINTI MUSTAPA</v>
      </c>
      <c r="W7408" t="str">
        <f t="shared" si="3017"/>
        <v>04-08-2020</v>
      </c>
      <c r="X7408" t="str">
        <f t="shared" si="3018"/>
        <v>RAZIMAH ANSAR AHMAD</v>
      </c>
      <c r="Y7408" t="str">
        <f t="shared" si="3019"/>
        <v>04-08-2020</v>
      </c>
      <c r="Z7408" t="str">
        <f>"COS10200804 1746"</f>
        <v>COS10200804 1746</v>
      </c>
    </row>
    <row r="7409" spans="1:26" x14ac:dyDescent="0.25">
      <c r="A7409" t="str">
        <f t="shared" si="3022"/>
        <v>04-08-2020 12:34:57</v>
      </c>
      <c r="B7409" t="str">
        <f>"0000803499"</f>
        <v>0000803499</v>
      </c>
      <c r="C7409" t="str">
        <f t="shared" si="3023"/>
        <v>0000803354</v>
      </c>
      <c r="D7409" t="str">
        <f t="shared" si="3007"/>
        <v>73185</v>
      </c>
      <c r="E7409" t="str">
        <f t="shared" si="3008"/>
        <v>KFH-OPERATIONS DEPARTMENT</v>
      </c>
      <c r="F7409" t="str">
        <f t="shared" si="3009"/>
        <v>IBG</v>
      </c>
      <c r="G7409" t="str">
        <f t="shared" si="3020"/>
        <v>Refund COSHARE 10</v>
      </c>
      <c r="H7409" s="2">
        <v>587.65</v>
      </c>
      <c r="I7409" t="str">
        <f>"MOHD DI BIN ISMAIL"</f>
        <v>MOHD DI BIN ISMAIL</v>
      </c>
      <c r="J7409" t="str">
        <f t="shared" si="3021"/>
        <v>BANK SIMPANAN NASIONAL</v>
      </c>
      <c r="K7409" t="str">
        <f>"0212629847586292"</f>
        <v>0212629847586292</v>
      </c>
      <c r="L7409" t="str">
        <f t="shared" si="3028"/>
        <v>04-08-2020</v>
      </c>
      <c r="M7409" t="str">
        <f t="shared" si="3028"/>
        <v>04-08-2020</v>
      </c>
      <c r="N7409" t="str">
        <f t="shared" si="3011"/>
        <v>001105018356</v>
      </c>
      <c r="O7409" t="str">
        <f t="shared" si="3012"/>
        <v>MYR</v>
      </c>
      <c r="P7409" t="str">
        <f t="shared" si="3029"/>
        <v>NIL</v>
      </c>
      <c r="Q7409" t="str">
        <f t="shared" si="3029"/>
        <v>NIL</v>
      </c>
      <c r="R7409" t="str">
        <f t="shared" si="3026"/>
        <v>Accepted</v>
      </c>
      <c r="S7409" t="str">
        <f t="shared" si="3014"/>
        <v>Approved</v>
      </c>
      <c r="T7409" t="str">
        <f t="shared" si="3027"/>
        <v>10.20.8.188</v>
      </c>
      <c r="U7409" t="str">
        <f t="shared" si="3015"/>
        <v>AZRAD UMAR BIN SHAARI</v>
      </c>
      <c r="V7409" t="str">
        <f t="shared" si="3016"/>
        <v>FARHANA BINTI MUSTAPA</v>
      </c>
      <c r="W7409" t="str">
        <f t="shared" si="3017"/>
        <v>04-08-2020</v>
      </c>
      <c r="X7409" t="str">
        <f t="shared" si="3018"/>
        <v>RAZIMAH ANSAR AHMAD</v>
      </c>
      <c r="Y7409" t="str">
        <f t="shared" si="3019"/>
        <v>04-08-2020</v>
      </c>
      <c r="Z7409" t="str">
        <f>"COS10200804 1745"</f>
        <v>COS10200804 1745</v>
      </c>
    </row>
    <row r="7410" spans="1:26" x14ac:dyDescent="0.25">
      <c r="A7410" t="str">
        <f t="shared" si="3022"/>
        <v>04-08-2020 12:34:57</v>
      </c>
      <c r="B7410" t="str">
        <f>"0000803498"</f>
        <v>0000803498</v>
      </c>
      <c r="C7410" t="str">
        <f t="shared" si="3023"/>
        <v>0000803354</v>
      </c>
      <c r="D7410" t="str">
        <f t="shared" si="3007"/>
        <v>73185</v>
      </c>
      <c r="E7410" t="str">
        <f t="shared" si="3008"/>
        <v>KFH-OPERATIONS DEPARTMENT</v>
      </c>
      <c r="F7410" t="str">
        <f t="shared" si="3009"/>
        <v>IBG</v>
      </c>
      <c r="G7410" t="str">
        <f t="shared" si="3020"/>
        <v>Refund COSHARE 10</v>
      </c>
      <c r="H7410" s="2">
        <v>75.599999999999994</v>
      </c>
      <c r="I7410" t="str">
        <f>"MOHD BISYRI BIN ABDULLAH"</f>
        <v>MOHD BISYRI BIN ABDULLAH</v>
      </c>
      <c r="J7410" t="str">
        <f t="shared" si="3021"/>
        <v>BANK SIMPANAN NASIONAL</v>
      </c>
      <c r="K7410" t="str">
        <f>"1355029000079755"</f>
        <v>1355029000079755</v>
      </c>
      <c r="L7410" t="str">
        <f t="shared" si="3028"/>
        <v>04-08-2020</v>
      </c>
      <c r="M7410" t="str">
        <f t="shared" si="3028"/>
        <v>04-08-2020</v>
      </c>
      <c r="N7410" t="str">
        <f t="shared" si="3011"/>
        <v>001105018356</v>
      </c>
      <c r="O7410" t="str">
        <f t="shared" si="3012"/>
        <v>MYR</v>
      </c>
      <c r="P7410" t="str">
        <f t="shared" si="3029"/>
        <v>NIL</v>
      </c>
      <c r="Q7410" t="str">
        <f t="shared" si="3029"/>
        <v>NIL</v>
      </c>
      <c r="R7410" t="str">
        <f t="shared" si="3026"/>
        <v>Accepted</v>
      </c>
      <c r="S7410" t="str">
        <f t="shared" si="3014"/>
        <v>Approved</v>
      </c>
      <c r="T7410" t="str">
        <f t="shared" si="3027"/>
        <v>10.20.8.188</v>
      </c>
      <c r="U7410" t="str">
        <f t="shared" si="3015"/>
        <v>AZRAD UMAR BIN SHAARI</v>
      </c>
      <c r="V7410" t="str">
        <f t="shared" si="3016"/>
        <v>FARHANA BINTI MUSTAPA</v>
      </c>
      <c r="W7410" t="str">
        <f t="shared" si="3017"/>
        <v>04-08-2020</v>
      </c>
      <c r="X7410" t="str">
        <f t="shared" si="3018"/>
        <v>RAZIMAH ANSAR AHMAD</v>
      </c>
      <c r="Y7410" t="str">
        <f t="shared" si="3019"/>
        <v>04-08-2020</v>
      </c>
      <c r="Z7410" t="str">
        <f>"COS10200804 1744"</f>
        <v>COS10200804 1744</v>
      </c>
    </row>
    <row r="7411" spans="1:26" x14ac:dyDescent="0.25">
      <c r="A7411" t="str">
        <f t="shared" si="3022"/>
        <v>04-08-2020 12:34:57</v>
      </c>
      <c r="B7411" t="str">
        <f>"0000803497"</f>
        <v>0000803497</v>
      </c>
      <c r="C7411" t="str">
        <f t="shared" si="3023"/>
        <v>0000803354</v>
      </c>
      <c r="D7411" t="str">
        <f t="shared" si="3007"/>
        <v>73185</v>
      </c>
      <c r="E7411" t="str">
        <f t="shared" si="3008"/>
        <v>KFH-OPERATIONS DEPARTMENT</v>
      </c>
      <c r="F7411" t="str">
        <f t="shared" si="3009"/>
        <v>IBG</v>
      </c>
      <c r="G7411" t="str">
        <f t="shared" si="3020"/>
        <v>Refund COSHARE 10</v>
      </c>
      <c r="H7411" s="2">
        <v>759</v>
      </c>
      <c r="I7411" t="str">
        <f>"MOHD BASRI ARIFFIN BIN MOHD RIDZUAN"</f>
        <v>MOHD BASRI ARIFFIN BIN MOHD RIDZUAN</v>
      </c>
      <c r="J7411" t="str">
        <f t="shared" si="3021"/>
        <v>BANK SIMPANAN NASIONAL</v>
      </c>
      <c r="K7411" t="str">
        <f>"1312941000008901"</f>
        <v>1312941000008901</v>
      </c>
      <c r="L7411" t="str">
        <f t="shared" si="3028"/>
        <v>04-08-2020</v>
      </c>
      <c r="M7411" t="str">
        <f t="shared" si="3028"/>
        <v>04-08-2020</v>
      </c>
      <c r="N7411" t="str">
        <f t="shared" si="3011"/>
        <v>001105018356</v>
      </c>
      <c r="O7411" t="str">
        <f t="shared" si="3012"/>
        <v>MYR</v>
      </c>
      <c r="P7411" t="str">
        <f t="shared" si="3029"/>
        <v>NIL</v>
      </c>
      <c r="Q7411" t="str">
        <f t="shared" si="3029"/>
        <v>NIL</v>
      </c>
      <c r="R7411" t="str">
        <f t="shared" si="3026"/>
        <v>Accepted</v>
      </c>
      <c r="S7411" t="str">
        <f t="shared" si="3014"/>
        <v>Approved</v>
      </c>
      <c r="T7411" t="str">
        <f t="shared" si="3027"/>
        <v>10.20.8.188</v>
      </c>
      <c r="U7411" t="str">
        <f t="shared" si="3015"/>
        <v>AZRAD UMAR BIN SHAARI</v>
      </c>
      <c r="V7411" t="str">
        <f t="shared" si="3016"/>
        <v>FARHANA BINTI MUSTAPA</v>
      </c>
      <c r="W7411" t="str">
        <f t="shared" si="3017"/>
        <v>04-08-2020</v>
      </c>
      <c r="X7411" t="str">
        <f t="shared" si="3018"/>
        <v>RAZIMAH ANSAR AHMAD</v>
      </c>
      <c r="Y7411" t="str">
        <f t="shared" si="3019"/>
        <v>04-08-2020</v>
      </c>
      <c r="Z7411" t="str">
        <f>"COS10200804 1743"</f>
        <v>COS10200804 1743</v>
      </c>
    </row>
    <row r="7412" spans="1:26" x14ac:dyDescent="0.25">
      <c r="A7412" t="str">
        <f t="shared" si="3022"/>
        <v>04-08-2020 12:34:57</v>
      </c>
      <c r="B7412" t="str">
        <f>"0000803496"</f>
        <v>0000803496</v>
      </c>
      <c r="C7412" t="str">
        <f t="shared" si="3023"/>
        <v>0000803354</v>
      </c>
      <c r="D7412" t="str">
        <f t="shared" si="3007"/>
        <v>73185</v>
      </c>
      <c r="E7412" t="str">
        <f t="shared" si="3008"/>
        <v>KFH-OPERATIONS DEPARTMENT</v>
      </c>
      <c r="F7412" t="str">
        <f t="shared" si="3009"/>
        <v>IBG</v>
      </c>
      <c r="G7412" t="str">
        <f t="shared" si="3020"/>
        <v>Refund COSHARE 10</v>
      </c>
      <c r="H7412" s="2">
        <v>251.85</v>
      </c>
      <c r="I7412" t="str">
        <f>"MOHD AZMI BIN YASIN"</f>
        <v>MOHD AZMI BIN YASIN</v>
      </c>
      <c r="J7412" t="str">
        <f t="shared" si="3021"/>
        <v>BANK SIMPANAN NASIONAL</v>
      </c>
      <c r="K7412" t="str">
        <f>"1410029000195809"</f>
        <v>1410029000195809</v>
      </c>
      <c r="L7412" t="str">
        <f t="shared" si="3028"/>
        <v>04-08-2020</v>
      </c>
      <c r="M7412" t="str">
        <f t="shared" si="3028"/>
        <v>04-08-2020</v>
      </c>
      <c r="N7412" t="str">
        <f t="shared" si="3011"/>
        <v>001105018356</v>
      </c>
      <c r="O7412" t="str">
        <f t="shared" si="3012"/>
        <v>MYR</v>
      </c>
      <c r="P7412" t="str">
        <f t="shared" si="3029"/>
        <v>NIL</v>
      </c>
      <c r="Q7412" t="str">
        <f t="shared" si="3029"/>
        <v>NIL</v>
      </c>
      <c r="R7412" t="str">
        <f t="shared" si="3026"/>
        <v>Accepted</v>
      </c>
      <c r="S7412" t="str">
        <f t="shared" si="3014"/>
        <v>Approved</v>
      </c>
      <c r="T7412" t="str">
        <f t="shared" si="3027"/>
        <v>10.20.8.188</v>
      </c>
      <c r="U7412" t="str">
        <f t="shared" si="3015"/>
        <v>AZRAD UMAR BIN SHAARI</v>
      </c>
      <c r="V7412" t="str">
        <f t="shared" si="3016"/>
        <v>FARHANA BINTI MUSTAPA</v>
      </c>
      <c r="W7412" t="str">
        <f t="shared" si="3017"/>
        <v>04-08-2020</v>
      </c>
      <c r="X7412" t="str">
        <f t="shared" si="3018"/>
        <v>RAZIMAH ANSAR AHMAD</v>
      </c>
      <c r="Y7412" t="str">
        <f t="shared" si="3019"/>
        <v>04-08-2020</v>
      </c>
      <c r="Z7412" t="str">
        <f>"COS10200804 1742"</f>
        <v>COS10200804 1742</v>
      </c>
    </row>
    <row r="7413" spans="1:26" x14ac:dyDescent="0.25">
      <c r="A7413" t="str">
        <f t="shared" si="3022"/>
        <v>04-08-2020 12:34:57</v>
      </c>
      <c r="B7413" t="str">
        <f>"0000803495"</f>
        <v>0000803495</v>
      </c>
      <c r="C7413" t="str">
        <f t="shared" si="3023"/>
        <v>0000803354</v>
      </c>
      <c r="D7413" t="str">
        <f t="shared" si="3007"/>
        <v>73185</v>
      </c>
      <c r="E7413" t="str">
        <f t="shared" si="3008"/>
        <v>KFH-OPERATIONS DEPARTMENT</v>
      </c>
      <c r="F7413" t="str">
        <f t="shared" si="3009"/>
        <v>IBG</v>
      </c>
      <c r="G7413" t="str">
        <f t="shared" si="3020"/>
        <v>Refund COSHARE 10</v>
      </c>
      <c r="H7413" s="2">
        <v>1183.7</v>
      </c>
      <c r="I7413" t="str">
        <f>"MOHD AZMI BIN YASIN"</f>
        <v>MOHD AZMI BIN YASIN</v>
      </c>
      <c r="J7413" t="str">
        <f t="shared" si="3021"/>
        <v>BANK SIMPANAN NASIONAL</v>
      </c>
      <c r="K7413" t="str">
        <f>"1410029000195809"</f>
        <v>1410029000195809</v>
      </c>
      <c r="L7413" t="str">
        <f t="shared" si="3028"/>
        <v>04-08-2020</v>
      </c>
      <c r="M7413" t="str">
        <f t="shared" si="3028"/>
        <v>04-08-2020</v>
      </c>
      <c r="N7413" t="str">
        <f t="shared" si="3011"/>
        <v>001105018356</v>
      </c>
      <c r="O7413" t="str">
        <f t="shared" si="3012"/>
        <v>MYR</v>
      </c>
      <c r="P7413" t="str">
        <f t="shared" si="3029"/>
        <v>NIL</v>
      </c>
      <c r="Q7413" t="str">
        <f t="shared" si="3029"/>
        <v>NIL</v>
      </c>
      <c r="R7413" t="str">
        <f t="shared" si="3026"/>
        <v>Accepted</v>
      </c>
      <c r="S7413" t="str">
        <f t="shared" si="3014"/>
        <v>Approved</v>
      </c>
      <c r="T7413" t="str">
        <f t="shared" si="3027"/>
        <v>10.20.8.188</v>
      </c>
      <c r="U7413" t="str">
        <f t="shared" si="3015"/>
        <v>AZRAD UMAR BIN SHAARI</v>
      </c>
      <c r="V7413" t="str">
        <f t="shared" si="3016"/>
        <v>FARHANA BINTI MUSTAPA</v>
      </c>
      <c r="W7413" t="str">
        <f t="shared" si="3017"/>
        <v>04-08-2020</v>
      </c>
      <c r="X7413" t="str">
        <f t="shared" si="3018"/>
        <v>RAZIMAH ANSAR AHMAD</v>
      </c>
      <c r="Y7413" t="str">
        <f t="shared" si="3019"/>
        <v>04-08-2020</v>
      </c>
      <c r="Z7413" t="str">
        <f>"COS10200804 1741"</f>
        <v>COS10200804 1741</v>
      </c>
    </row>
    <row r="7414" spans="1:26" x14ac:dyDescent="0.25">
      <c r="A7414" t="str">
        <f t="shared" si="3022"/>
        <v>04-08-2020 12:34:57</v>
      </c>
      <c r="B7414" t="str">
        <f>"0000803494"</f>
        <v>0000803494</v>
      </c>
      <c r="C7414" t="str">
        <f t="shared" si="3023"/>
        <v>0000803354</v>
      </c>
      <c r="D7414" t="str">
        <f t="shared" si="3007"/>
        <v>73185</v>
      </c>
      <c r="E7414" t="str">
        <f t="shared" si="3008"/>
        <v>KFH-OPERATIONS DEPARTMENT</v>
      </c>
      <c r="F7414" t="str">
        <f t="shared" si="3009"/>
        <v>IBG</v>
      </c>
      <c r="G7414" t="str">
        <f t="shared" si="3020"/>
        <v>Refund COSHARE 10</v>
      </c>
      <c r="H7414" s="2">
        <v>167.9</v>
      </c>
      <c r="I7414" t="str">
        <f>"MOHD AZLAN BIN KAMAROZAMAN"</f>
        <v>MOHD AZLAN BIN KAMAROZAMAN</v>
      </c>
      <c r="J7414" t="str">
        <f t="shared" si="3021"/>
        <v>BANK SIMPANAN NASIONAL</v>
      </c>
      <c r="K7414" t="str">
        <f>"0310029000704106"</f>
        <v>0310029000704106</v>
      </c>
      <c r="L7414" t="str">
        <f t="shared" si="3028"/>
        <v>04-08-2020</v>
      </c>
      <c r="M7414" t="str">
        <f t="shared" si="3028"/>
        <v>04-08-2020</v>
      </c>
      <c r="N7414" t="str">
        <f t="shared" si="3011"/>
        <v>001105018356</v>
      </c>
      <c r="O7414" t="str">
        <f t="shared" si="3012"/>
        <v>MYR</v>
      </c>
      <c r="P7414" t="str">
        <f t="shared" si="3029"/>
        <v>NIL</v>
      </c>
      <c r="Q7414" t="str">
        <f t="shared" si="3029"/>
        <v>NIL</v>
      </c>
      <c r="R7414" t="str">
        <f t="shared" si="3026"/>
        <v>Accepted</v>
      </c>
      <c r="S7414" t="str">
        <f t="shared" si="3014"/>
        <v>Approved</v>
      </c>
      <c r="T7414" t="str">
        <f t="shared" si="3027"/>
        <v>10.20.8.188</v>
      </c>
      <c r="U7414" t="str">
        <f t="shared" si="3015"/>
        <v>AZRAD UMAR BIN SHAARI</v>
      </c>
      <c r="V7414" t="str">
        <f t="shared" si="3016"/>
        <v>FARHANA BINTI MUSTAPA</v>
      </c>
      <c r="W7414" t="str">
        <f t="shared" si="3017"/>
        <v>04-08-2020</v>
      </c>
      <c r="X7414" t="str">
        <f t="shared" si="3018"/>
        <v>RAZIMAH ANSAR AHMAD</v>
      </c>
      <c r="Y7414" t="str">
        <f t="shared" si="3019"/>
        <v>04-08-2020</v>
      </c>
      <c r="Z7414" t="str">
        <f>"COS10200804 1740"</f>
        <v>COS10200804 1740</v>
      </c>
    </row>
    <row r="7415" spans="1:26" x14ac:dyDescent="0.25">
      <c r="A7415" t="str">
        <f t="shared" si="3022"/>
        <v>04-08-2020 12:34:57</v>
      </c>
      <c r="B7415" t="str">
        <f>"0000803493"</f>
        <v>0000803493</v>
      </c>
      <c r="C7415" t="str">
        <f t="shared" si="3023"/>
        <v>0000803354</v>
      </c>
      <c r="D7415" t="str">
        <f t="shared" si="3007"/>
        <v>73185</v>
      </c>
      <c r="E7415" t="str">
        <f t="shared" si="3008"/>
        <v>KFH-OPERATIONS DEPARTMENT</v>
      </c>
      <c r="F7415" t="str">
        <f t="shared" si="3009"/>
        <v>IBG</v>
      </c>
      <c r="G7415" t="str">
        <f t="shared" si="3020"/>
        <v>Refund COSHARE 10</v>
      </c>
      <c r="H7415" s="2">
        <v>1200.5</v>
      </c>
      <c r="I7415" t="str">
        <f>"MOHD AZIZUL BIN CHE MAT DALI"</f>
        <v>MOHD AZIZUL BIN CHE MAT DALI</v>
      </c>
      <c r="J7415" t="str">
        <f t="shared" si="3021"/>
        <v>BANK SIMPANAN NASIONAL</v>
      </c>
      <c r="K7415" t="str">
        <f>"0220029861543086"</f>
        <v>0220029861543086</v>
      </c>
      <c r="L7415" t="str">
        <f t="shared" si="3028"/>
        <v>04-08-2020</v>
      </c>
      <c r="M7415" t="str">
        <f t="shared" si="3028"/>
        <v>04-08-2020</v>
      </c>
      <c r="N7415" t="str">
        <f t="shared" si="3011"/>
        <v>001105018356</v>
      </c>
      <c r="O7415" t="str">
        <f t="shared" si="3012"/>
        <v>MYR</v>
      </c>
      <c r="P7415" t="str">
        <f t="shared" si="3029"/>
        <v>NIL</v>
      </c>
      <c r="Q7415" t="str">
        <f t="shared" si="3029"/>
        <v>NIL</v>
      </c>
      <c r="R7415" t="str">
        <f t="shared" si="3026"/>
        <v>Accepted</v>
      </c>
      <c r="S7415" t="str">
        <f t="shared" si="3014"/>
        <v>Approved</v>
      </c>
      <c r="T7415" t="str">
        <f t="shared" si="3027"/>
        <v>10.20.8.188</v>
      </c>
      <c r="U7415" t="str">
        <f t="shared" si="3015"/>
        <v>AZRAD UMAR BIN SHAARI</v>
      </c>
      <c r="V7415" t="str">
        <f t="shared" si="3016"/>
        <v>FARHANA BINTI MUSTAPA</v>
      </c>
      <c r="W7415" t="str">
        <f t="shared" si="3017"/>
        <v>04-08-2020</v>
      </c>
      <c r="X7415" t="str">
        <f t="shared" si="3018"/>
        <v>RAZIMAH ANSAR AHMAD</v>
      </c>
      <c r="Y7415" t="str">
        <f t="shared" si="3019"/>
        <v>04-08-2020</v>
      </c>
      <c r="Z7415" t="str">
        <f>"COS10200804 1739"</f>
        <v>COS10200804 1739</v>
      </c>
    </row>
    <row r="7416" spans="1:26" x14ac:dyDescent="0.25">
      <c r="A7416" t="str">
        <f t="shared" si="3022"/>
        <v>04-08-2020 12:34:57</v>
      </c>
      <c r="B7416" t="str">
        <f>"0000803492"</f>
        <v>0000803492</v>
      </c>
      <c r="C7416" t="str">
        <f t="shared" si="3023"/>
        <v>0000803354</v>
      </c>
      <c r="D7416" t="str">
        <f t="shared" si="3007"/>
        <v>73185</v>
      </c>
      <c r="E7416" t="str">
        <f t="shared" si="3008"/>
        <v>KFH-OPERATIONS DEPARTMENT</v>
      </c>
      <c r="F7416" t="str">
        <f t="shared" si="3009"/>
        <v>IBG</v>
      </c>
      <c r="G7416" t="str">
        <f t="shared" si="3020"/>
        <v>Refund COSHARE 10</v>
      </c>
      <c r="H7416" s="2">
        <v>587.65</v>
      </c>
      <c r="I7416" t="str">
        <f>"MOHD AZIZI BIN ABDUL HAMID"</f>
        <v>MOHD AZIZI BIN ABDUL HAMID</v>
      </c>
      <c r="J7416" t="str">
        <f t="shared" si="3021"/>
        <v>BANK SIMPANAN NASIONAL</v>
      </c>
      <c r="K7416" t="str">
        <f>"0511329000097201"</f>
        <v>0511329000097201</v>
      </c>
      <c r="L7416" t="str">
        <f t="shared" si="3028"/>
        <v>04-08-2020</v>
      </c>
      <c r="M7416" t="str">
        <f t="shared" si="3028"/>
        <v>04-08-2020</v>
      </c>
      <c r="N7416" t="str">
        <f t="shared" si="3011"/>
        <v>001105018356</v>
      </c>
      <c r="O7416" t="str">
        <f t="shared" si="3012"/>
        <v>MYR</v>
      </c>
      <c r="P7416" t="str">
        <f t="shared" si="3029"/>
        <v>NIL</v>
      </c>
      <c r="Q7416" t="str">
        <f t="shared" si="3029"/>
        <v>NIL</v>
      </c>
      <c r="R7416" t="str">
        <f t="shared" si="3026"/>
        <v>Accepted</v>
      </c>
      <c r="S7416" t="str">
        <f t="shared" si="3014"/>
        <v>Approved</v>
      </c>
      <c r="T7416" t="str">
        <f t="shared" si="3027"/>
        <v>10.20.8.188</v>
      </c>
      <c r="U7416" t="str">
        <f t="shared" si="3015"/>
        <v>AZRAD UMAR BIN SHAARI</v>
      </c>
      <c r="V7416" t="str">
        <f t="shared" si="3016"/>
        <v>FARHANA BINTI MUSTAPA</v>
      </c>
      <c r="W7416" t="str">
        <f t="shared" si="3017"/>
        <v>04-08-2020</v>
      </c>
      <c r="X7416" t="str">
        <f t="shared" si="3018"/>
        <v>RAZIMAH ANSAR AHMAD</v>
      </c>
      <c r="Y7416" t="str">
        <f t="shared" si="3019"/>
        <v>04-08-2020</v>
      </c>
      <c r="Z7416" t="str">
        <f>"COS10200804 1738"</f>
        <v>COS10200804 1738</v>
      </c>
    </row>
    <row r="7417" spans="1:26" x14ac:dyDescent="0.25">
      <c r="A7417" t="str">
        <f t="shared" si="3022"/>
        <v>04-08-2020 12:34:57</v>
      </c>
      <c r="B7417" t="str">
        <f>"0000803491"</f>
        <v>0000803491</v>
      </c>
      <c r="C7417" t="str">
        <f t="shared" si="3023"/>
        <v>0000803354</v>
      </c>
      <c r="D7417" t="str">
        <f t="shared" si="3007"/>
        <v>73185</v>
      </c>
      <c r="E7417" t="str">
        <f t="shared" si="3008"/>
        <v>KFH-OPERATIONS DEPARTMENT</v>
      </c>
      <c r="F7417" t="str">
        <f t="shared" si="3009"/>
        <v>IBG</v>
      </c>
      <c r="G7417" t="str">
        <f t="shared" si="3020"/>
        <v>Refund COSHARE 10</v>
      </c>
      <c r="H7417" s="2">
        <v>532</v>
      </c>
      <c r="I7417" t="str">
        <f>"MOHD ASWAD BIN MD SAAD"</f>
        <v>MOHD ASWAD BIN MD SAAD</v>
      </c>
      <c r="J7417" t="str">
        <f t="shared" si="3021"/>
        <v>BANK SIMPANAN NASIONAL</v>
      </c>
      <c r="K7417" t="str">
        <f>"1410029000312086"</f>
        <v>1410029000312086</v>
      </c>
      <c r="L7417" t="str">
        <f t="shared" si="3028"/>
        <v>04-08-2020</v>
      </c>
      <c r="M7417" t="str">
        <f t="shared" si="3028"/>
        <v>04-08-2020</v>
      </c>
      <c r="N7417" t="str">
        <f t="shared" si="3011"/>
        <v>001105018356</v>
      </c>
      <c r="O7417" t="str">
        <f t="shared" si="3012"/>
        <v>MYR</v>
      </c>
      <c r="P7417" t="str">
        <f t="shared" si="3029"/>
        <v>NIL</v>
      </c>
      <c r="Q7417" t="str">
        <f t="shared" si="3029"/>
        <v>NIL</v>
      </c>
      <c r="R7417" t="str">
        <f t="shared" si="3026"/>
        <v>Accepted</v>
      </c>
      <c r="S7417" t="str">
        <f t="shared" si="3014"/>
        <v>Approved</v>
      </c>
      <c r="T7417" t="str">
        <f t="shared" si="3027"/>
        <v>10.20.8.188</v>
      </c>
      <c r="U7417" t="str">
        <f t="shared" si="3015"/>
        <v>AZRAD UMAR BIN SHAARI</v>
      </c>
      <c r="V7417" t="str">
        <f t="shared" si="3016"/>
        <v>FARHANA BINTI MUSTAPA</v>
      </c>
      <c r="W7417" t="str">
        <f t="shared" si="3017"/>
        <v>04-08-2020</v>
      </c>
      <c r="X7417" t="str">
        <f t="shared" si="3018"/>
        <v>RAZIMAH ANSAR AHMAD</v>
      </c>
      <c r="Y7417" t="str">
        <f t="shared" si="3019"/>
        <v>04-08-2020</v>
      </c>
      <c r="Z7417" t="str">
        <f>"COS10200804 1737"</f>
        <v>COS10200804 1737</v>
      </c>
    </row>
    <row r="7418" spans="1:26" x14ac:dyDescent="0.25">
      <c r="A7418" t="str">
        <f t="shared" ref="A7418:A7449" si="3030">"04-08-2020 12:34:57"</f>
        <v>04-08-2020 12:34:57</v>
      </c>
      <c r="B7418" t="str">
        <f>"0000803490"</f>
        <v>0000803490</v>
      </c>
      <c r="C7418" t="str">
        <f t="shared" ref="C7418:C7449" si="3031">"0000803354"</f>
        <v>0000803354</v>
      </c>
      <c r="D7418" t="str">
        <f t="shared" si="3007"/>
        <v>73185</v>
      </c>
      <c r="E7418" t="str">
        <f t="shared" si="3008"/>
        <v>KFH-OPERATIONS DEPARTMENT</v>
      </c>
      <c r="F7418" t="str">
        <f t="shared" si="3009"/>
        <v>IBG</v>
      </c>
      <c r="G7418" t="str">
        <f t="shared" si="3020"/>
        <v>Refund COSHARE 10</v>
      </c>
      <c r="H7418" s="2">
        <v>839.5</v>
      </c>
      <c r="I7418" t="str">
        <f>"MOHD ASWAD BIN MD SA AD"</f>
        <v>MOHD ASWAD BIN MD SA AD</v>
      </c>
      <c r="J7418" t="str">
        <f t="shared" si="3021"/>
        <v>BANK SIMPANAN NASIONAL</v>
      </c>
      <c r="K7418" t="str">
        <f>"1410029000312086"</f>
        <v>1410029000312086</v>
      </c>
      <c r="L7418" t="str">
        <f t="shared" si="3028"/>
        <v>04-08-2020</v>
      </c>
      <c r="M7418" t="str">
        <f t="shared" si="3028"/>
        <v>04-08-2020</v>
      </c>
      <c r="N7418" t="str">
        <f t="shared" si="3011"/>
        <v>001105018356</v>
      </c>
      <c r="O7418" t="str">
        <f t="shared" si="3012"/>
        <v>MYR</v>
      </c>
      <c r="P7418" t="str">
        <f t="shared" si="3029"/>
        <v>NIL</v>
      </c>
      <c r="Q7418" t="str">
        <f t="shared" si="3029"/>
        <v>NIL</v>
      </c>
      <c r="R7418" t="str">
        <f t="shared" si="3026"/>
        <v>Accepted</v>
      </c>
      <c r="S7418" t="str">
        <f t="shared" si="3014"/>
        <v>Approved</v>
      </c>
      <c r="T7418" t="str">
        <f t="shared" si="3027"/>
        <v>10.20.8.188</v>
      </c>
      <c r="U7418" t="str">
        <f t="shared" si="3015"/>
        <v>AZRAD UMAR BIN SHAARI</v>
      </c>
      <c r="V7418" t="str">
        <f t="shared" si="3016"/>
        <v>FARHANA BINTI MUSTAPA</v>
      </c>
      <c r="W7418" t="str">
        <f t="shared" si="3017"/>
        <v>04-08-2020</v>
      </c>
      <c r="X7418" t="str">
        <f t="shared" si="3018"/>
        <v>RAZIMAH ANSAR AHMAD</v>
      </c>
      <c r="Y7418" t="str">
        <f t="shared" si="3019"/>
        <v>04-08-2020</v>
      </c>
      <c r="Z7418" t="str">
        <f>"COS10200804 1736"</f>
        <v>COS10200804 1736</v>
      </c>
    </row>
    <row r="7419" spans="1:26" x14ac:dyDescent="0.25">
      <c r="A7419" t="str">
        <f t="shared" si="3030"/>
        <v>04-08-2020 12:34:57</v>
      </c>
      <c r="B7419" t="str">
        <f>"0000803489"</f>
        <v>0000803489</v>
      </c>
      <c r="C7419" t="str">
        <f t="shared" si="3031"/>
        <v>0000803354</v>
      </c>
      <c r="D7419" t="str">
        <f t="shared" si="3007"/>
        <v>73185</v>
      </c>
      <c r="E7419" t="str">
        <f t="shared" si="3008"/>
        <v>KFH-OPERATIONS DEPARTMENT</v>
      </c>
      <c r="F7419" t="str">
        <f t="shared" si="3009"/>
        <v>IBG</v>
      </c>
      <c r="G7419" t="str">
        <f t="shared" si="3020"/>
        <v>Refund COSHARE 10</v>
      </c>
      <c r="H7419" s="2">
        <v>209.9</v>
      </c>
      <c r="I7419" t="str">
        <f>"MOHD ASRAF BIN SAPLI"</f>
        <v>MOHD ASRAF BIN SAPLI</v>
      </c>
      <c r="J7419" t="str">
        <f t="shared" si="3021"/>
        <v>BANK SIMPANAN NASIONAL</v>
      </c>
      <c r="K7419" t="str">
        <f>"1210329000079609"</f>
        <v>1210329000079609</v>
      </c>
      <c r="L7419" t="str">
        <f t="shared" si="3028"/>
        <v>04-08-2020</v>
      </c>
      <c r="M7419" t="str">
        <f t="shared" si="3028"/>
        <v>04-08-2020</v>
      </c>
      <c r="N7419" t="str">
        <f t="shared" si="3011"/>
        <v>001105018356</v>
      </c>
      <c r="O7419" t="str">
        <f t="shared" si="3012"/>
        <v>MYR</v>
      </c>
      <c r="P7419" t="str">
        <f t="shared" si="3029"/>
        <v>NIL</v>
      </c>
      <c r="Q7419" t="str">
        <f t="shared" si="3029"/>
        <v>NIL</v>
      </c>
      <c r="R7419" t="str">
        <f t="shared" si="3026"/>
        <v>Accepted</v>
      </c>
      <c r="S7419" t="str">
        <f t="shared" si="3014"/>
        <v>Approved</v>
      </c>
      <c r="T7419" t="str">
        <f t="shared" si="3027"/>
        <v>10.20.8.188</v>
      </c>
      <c r="U7419" t="str">
        <f t="shared" si="3015"/>
        <v>AZRAD UMAR BIN SHAARI</v>
      </c>
      <c r="V7419" t="str">
        <f t="shared" si="3016"/>
        <v>FARHANA BINTI MUSTAPA</v>
      </c>
      <c r="W7419" t="str">
        <f t="shared" si="3017"/>
        <v>04-08-2020</v>
      </c>
      <c r="X7419" t="str">
        <f t="shared" si="3018"/>
        <v>RAZIMAH ANSAR AHMAD</v>
      </c>
      <c r="Y7419" t="str">
        <f t="shared" si="3019"/>
        <v>04-08-2020</v>
      </c>
      <c r="Z7419" t="str">
        <f>"COS10200804 1735"</f>
        <v>COS10200804 1735</v>
      </c>
    </row>
    <row r="7420" spans="1:26" x14ac:dyDescent="0.25">
      <c r="A7420" t="str">
        <f t="shared" si="3030"/>
        <v>04-08-2020 12:34:57</v>
      </c>
      <c r="B7420" t="str">
        <f>"0000803488"</f>
        <v>0000803488</v>
      </c>
      <c r="C7420" t="str">
        <f t="shared" si="3031"/>
        <v>0000803354</v>
      </c>
      <c r="D7420" t="str">
        <f t="shared" si="3007"/>
        <v>73185</v>
      </c>
      <c r="E7420" t="str">
        <f t="shared" si="3008"/>
        <v>KFH-OPERATIONS DEPARTMENT</v>
      </c>
      <c r="F7420" t="str">
        <f t="shared" si="3009"/>
        <v>IBG</v>
      </c>
      <c r="G7420" t="str">
        <f t="shared" si="3020"/>
        <v>Refund COSHARE 10</v>
      </c>
      <c r="H7420" s="2">
        <v>184.7</v>
      </c>
      <c r="I7420" t="str">
        <f>"MOHD ANUAR BIN MUSRIPAN"</f>
        <v>MOHD ANUAR BIN MUSRIPAN</v>
      </c>
      <c r="J7420" t="str">
        <f t="shared" si="3021"/>
        <v>BANK SIMPANAN NASIONAL</v>
      </c>
      <c r="K7420" t="str">
        <f>"0411029000115395"</f>
        <v>0411029000115395</v>
      </c>
      <c r="L7420" t="str">
        <f t="shared" si="3028"/>
        <v>04-08-2020</v>
      </c>
      <c r="M7420" t="str">
        <f t="shared" si="3028"/>
        <v>04-08-2020</v>
      </c>
      <c r="N7420" t="str">
        <f t="shared" si="3011"/>
        <v>001105018356</v>
      </c>
      <c r="O7420" t="str">
        <f t="shared" si="3012"/>
        <v>MYR</v>
      </c>
      <c r="P7420" t="str">
        <f t="shared" si="3029"/>
        <v>NIL</v>
      </c>
      <c r="Q7420" t="str">
        <f t="shared" si="3029"/>
        <v>NIL</v>
      </c>
      <c r="R7420" t="str">
        <f t="shared" si="3026"/>
        <v>Accepted</v>
      </c>
      <c r="S7420" t="str">
        <f t="shared" si="3014"/>
        <v>Approved</v>
      </c>
      <c r="T7420" t="str">
        <f t="shared" si="3027"/>
        <v>10.20.8.188</v>
      </c>
      <c r="U7420" t="str">
        <f t="shared" si="3015"/>
        <v>AZRAD UMAR BIN SHAARI</v>
      </c>
      <c r="V7420" t="str">
        <f t="shared" si="3016"/>
        <v>FARHANA BINTI MUSTAPA</v>
      </c>
      <c r="W7420" t="str">
        <f t="shared" si="3017"/>
        <v>04-08-2020</v>
      </c>
      <c r="X7420" t="str">
        <f t="shared" si="3018"/>
        <v>RAZIMAH ANSAR AHMAD</v>
      </c>
      <c r="Y7420" t="str">
        <f t="shared" si="3019"/>
        <v>04-08-2020</v>
      </c>
      <c r="Z7420" t="str">
        <f>"COS10200804 1734"</f>
        <v>COS10200804 1734</v>
      </c>
    </row>
    <row r="7421" spans="1:26" x14ac:dyDescent="0.25">
      <c r="A7421" t="str">
        <f t="shared" si="3030"/>
        <v>04-08-2020 12:34:57</v>
      </c>
      <c r="B7421" t="str">
        <f>"0000803487"</f>
        <v>0000803487</v>
      </c>
      <c r="C7421" t="str">
        <f t="shared" si="3031"/>
        <v>0000803354</v>
      </c>
      <c r="D7421" t="str">
        <f t="shared" si="3007"/>
        <v>73185</v>
      </c>
      <c r="E7421" t="str">
        <f t="shared" si="3008"/>
        <v>KFH-OPERATIONS DEPARTMENT</v>
      </c>
      <c r="F7421" t="str">
        <f t="shared" si="3009"/>
        <v>IBG</v>
      </c>
      <c r="G7421" t="str">
        <f t="shared" si="3020"/>
        <v>Refund COSHARE 10</v>
      </c>
      <c r="H7421" s="2">
        <v>83.95</v>
      </c>
      <c r="I7421" t="str">
        <f>"MOHD ANRE BIN ABDUL RAHIM"</f>
        <v>MOHD ANRE BIN ABDUL RAHIM</v>
      </c>
      <c r="J7421" t="str">
        <f t="shared" si="3021"/>
        <v>BANK SIMPANAN NASIONAL</v>
      </c>
      <c r="K7421" t="str">
        <f>"0410629000201136"</f>
        <v>0410629000201136</v>
      </c>
      <c r="L7421" t="str">
        <f t="shared" si="3028"/>
        <v>04-08-2020</v>
      </c>
      <c r="M7421" t="str">
        <f t="shared" si="3028"/>
        <v>04-08-2020</v>
      </c>
      <c r="N7421" t="str">
        <f t="shared" si="3011"/>
        <v>001105018356</v>
      </c>
      <c r="O7421" t="str">
        <f t="shared" si="3012"/>
        <v>MYR</v>
      </c>
      <c r="P7421" t="str">
        <f t="shared" si="3029"/>
        <v>NIL</v>
      </c>
      <c r="Q7421" t="str">
        <f t="shared" si="3029"/>
        <v>NIL</v>
      </c>
      <c r="R7421" t="str">
        <f t="shared" si="3026"/>
        <v>Accepted</v>
      </c>
      <c r="S7421" t="str">
        <f t="shared" si="3014"/>
        <v>Approved</v>
      </c>
      <c r="T7421" t="str">
        <f t="shared" si="3027"/>
        <v>10.20.8.188</v>
      </c>
      <c r="U7421" t="str">
        <f t="shared" si="3015"/>
        <v>AZRAD UMAR BIN SHAARI</v>
      </c>
      <c r="V7421" t="str">
        <f t="shared" si="3016"/>
        <v>FARHANA BINTI MUSTAPA</v>
      </c>
      <c r="W7421" t="str">
        <f t="shared" si="3017"/>
        <v>04-08-2020</v>
      </c>
      <c r="X7421" t="str">
        <f t="shared" si="3018"/>
        <v>RAZIMAH ANSAR AHMAD</v>
      </c>
      <c r="Y7421" t="str">
        <f t="shared" si="3019"/>
        <v>04-08-2020</v>
      </c>
      <c r="Z7421" t="str">
        <f>"COS10200804 1733"</f>
        <v>COS10200804 1733</v>
      </c>
    </row>
    <row r="7422" spans="1:26" x14ac:dyDescent="0.25">
      <c r="A7422" t="str">
        <f t="shared" si="3030"/>
        <v>04-08-2020 12:34:57</v>
      </c>
      <c r="B7422" t="str">
        <f>"0000803486"</f>
        <v>0000803486</v>
      </c>
      <c r="C7422" t="str">
        <f t="shared" si="3031"/>
        <v>0000803354</v>
      </c>
      <c r="D7422" t="str">
        <f t="shared" si="3007"/>
        <v>73185</v>
      </c>
      <c r="E7422" t="str">
        <f t="shared" si="3008"/>
        <v>KFH-OPERATIONS DEPARTMENT</v>
      </c>
      <c r="F7422" t="str">
        <f t="shared" si="3009"/>
        <v>IBG</v>
      </c>
      <c r="G7422" t="str">
        <f t="shared" si="3020"/>
        <v>Refund COSHARE 10</v>
      </c>
      <c r="H7422" s="2">
        <v>125.95</v>
      </c>
      <c r="I7422" t="str">
        <f>"MOHD AMRI BIN ABU HASAN"</f>
        <v>MOHD AMRI BIN ABU HASAN</v>
      </c>
      <c r="J7422" t="str">
        <f t="shared" si="3021"/>
        <v>BANK SIMPANAN NASIONAL</v>
      </c>
      <c r="K7422" t="str">
        <f>"0822729000003114"</f>
        <v>0822729000003114</v>
      </c>
      <c r="L7422" t="str">
        <f t="shared" si="3028"/>
        <v>04-08-2020</v>
      </c>
      <c r="M7422" t="str">
        <f t="shared" si="3028"/>
        <v>04-08-2020</v>
      </c>
      <c r="N7422" t="str">
        <f t="shared" si="3011"/>
        <v>001105018356</v>
      </c>
      <c r="O7422" t="str">
        <f t="shared" si="3012"/>
        <v>MYR</v>
      </c>
      <c r="P7422" t="str">
        <f t="shared" si="3029"/>
        <v>NIL</v>
      </c>
      <c r="Q7422" t="str">
        <f t="shared" si="3029"/>
        <v>NIL</v>
      </c>
      <c r="R7422" t="str">
        <f t="shared" si="3026"/>
        <v>Accepted</v>
      </c>
      <c r="S7422" t="str">
        <f t="shared" si="3014"/>
        <v>Approved</v>
      </c>
      <c r="T7422" t="str">
        <f t="shared" si="3027"/>
        <v>10.20.8.188</v>
      </c>
      <c r="U7422" t="str">
        <f t="shared" si="3015"/>
        <v>AZRAD UMAR BIN SHAARI</v>
      </c>
      <c r="V7422" t="str">
        <f t="shared" si="3016"/>
        <v>FARHANA BINTI MUSTAPA</v>
      </c>
      <c r="W7422" t="str">
        <f t="shared" si="3017"/>
        <v>04-08-2020</v>
      </c>
      <c r="X7422" t="str">
        <f t="shared" si="3018"/>
        <v>RAZIMAH ANSAR AHMAD</v>
      </c>
      <c r="Y7422" t="str">
        <f t="shared" si="3019"/>
        <v>04-08-2020</v>
      </c>
      <c r="Z7422" t="str">
        <f>"COS10200804 1732"</f>
        <v>COS10200804 1732</v>
      </c>
    </row>
    <row r="7423" spans="1:26" x14ac:dyDescent="0.25">
      <c r="A7423" t="str">
        <f t="shared" si="3030"/>
        <v>04-08-2020 12:34:57</v>
      </c>
      <c r="B7423" t="str">
        <f>"0000803485"</f>
        <v>0000803485</v>
      </c>
      <c r="C7423" t="str">
        <f t="shared" si="3031"/>
        <v>0000803354</v>
      </c>
      <c r="D7423" t="str">
        <f t="shared" si="3007"/>
        <v>73185</v>
      </c>
      <c r="E7423" t="str">
        <f t="shared" si="3008"/>
        <v>KFH-OPERATIONS DEPARTMENT</v>
      </c>
      <c r="F7423" t="str">
        <f t="shared" si="3009"/>
        <v>IBG</v>
      </c>
      <c r="G7423" t="str">
        <f t="shared" si="3020"/>
        <v>Refund COSHARE 10</v>
      </c>
      <c r="H7423" s="2">
        <v>151.15</v>
      </c>
      <c r="I7423" t="str">
        <f>"MOHD ALIF AZWAN BIN ABDULLAH"</f>
        <v>MOHD ALIF AZWAN BIN ABDULLAH</v>
      </c>
      <c r="J7423" t="str">
        <f t="shared" si="3021"/>
        <v>BANK SIMPANAN NASIONAL</v>
      </c>
      <c r="K7423" t="str">
        <f>"0310929000099718"</f>
        <v>0310929000099718</v>
      </c>
      <c r="L7423" t="str">
        <f t="shared" si="3028"/>
        <v>04-08-2020</v>
      </c>
      <c r="M7423" t="str">
        <f t="shared" si="3028"/>
        <v>04-08-2020</v>
      </c>
      <c r="N7423" t="str">
        <f t="shared" si="3011"/>
        <v>001105018356</v>
      </c>
      <c r="O7423" t="str">
        <f t="shared" si="3012"/>
        <v>MYR</v>
      </c>
      <c r="P7423" t="str">
        <f t="shared" si="3029"/>
        <v>NIL</v>
      </c>
      <c r="Q7423" t="str">
        <f t="shared" si="3029"/>
        <v>NIL</v>
      </c>
      <c r="R7423" t="str">
        <f t="shared" si="3026"/>
        <v>Accepted</v>
      </c>
      <c r="S7423" t="str">
        <f t="shared" si="3014"/>
        <v>Approved</v>
      </c>
      <c r="T7423" t="str">
        <f t="shared" si="3027"/>
        <v>10.20.8.188</v>
      </c>
      <c r="U7423" t="str">
        <f t="shared" si="3015"/>
        <v>AZRAD UMAR BIN SHAARI</v>
      </c>
      <c r="V7423" t="str">
        <f t="shared" si="3016"/>
        <v>FARHANA BINTI MUSTAPA</v>
      </c>
      <c r="W7423" t="str">
        <f t="shared" si="3017"/>
        <v>04-08-2020</v>
      </c>
      <c r="X7423" t="str">
        <f t="shared" si="3018"/>
        <v>RAZIMAH ANSAR AHMAD</v>
      </c>
      <c r="Y7423" t="str">
        <f t="shared" si="3019"/>
        <v>04-08-2020</v>
      </c>
      <c r="Z7423" t="str">
        <f>"COS10200804 1731"</f>
        <v>COS10200804 1731</v>
      </c>
    </row>
    <row r="7424" spans="1:26" x14ac:dyDescent="0.25">
      <c r="A7424" t="str">
        <f t="shared" si="3030"/>
        <v>04-08-2020 12:34:57</v>
      </c>
      <c r="B7424" t="str">
        <f>"0000803484"</f>
        <v>0000803484</v>
      </c>
      <c r="C7424" t="str">
        <f t="shared" si="3031"/>
        <v>0000803354</v>
      </c>
      <c r="D7424" t="str">
        <f t="shared" si="3007"/>
        <v>73185</v>
      </c>
      <c r="E7424" t="str">
        <f t="shared" si="3008"/>
        <v>KFH-OPERATIONS DEPARTMENT</v>
      </c>
      <c r="F7424" t="str">
        <f t="shared" si="3009"/>
        <v>IBG</v>
      </c>
      <c r="G7424" t="str">
        <f t="shared" si="3020"/>
        <v>Refund COSHARE 10</v>
      </c>
      <c r="H7424" s="2">
        <v>949</v>
      </c>
      <c r="I7424" t="str">
        <f>"MOHD ADI AMIN BIN ISMAIL"</f>
        <v>MOHD ADI AMIN BIN ISMAIL</v>
      </c>
      <c r="J7424" t="str">
        <f t="shared" si="3021"/>
        <v>BANK SIMPANAN NASIONAL</v>
      </c>
      <c r="K7424" t="str">
        <f>"0510429000123075"</f>
        <v>0510429000123075</v>
      </c>
      <c r="L7424" t="str">
        <f t="shared" si="3028"/>
        <v>04-08-2020</v>
      </c>
      <c r="M7424" t="str">
        <f t="shared" si="3028"/>
        <v>04-08-2020</v>
      </c>
      <c r="N7424" t="str">
        <f t="shared" si="3011"/>
        <v>001105018356</v>
      </c>
      <c r="O7424" t="str">
        <f t="shared" si="3012"/>
        <v>MYR</v>
      </c>
      <c r="P7424" t="str">
        <f t="shared" si="3029"/>
        <v>NIL</v>
      </c>
      <c r="Q7424" t="str">
        <f t="shared" si="3029"/>
        <v>NIL</v>
      </c>
      <c r="R7424" t="str">
        <f t="shared" si="3026"/>
        <v>Accepted</v>
      </c>
      <c r="S7424" t="str">
        <f t="shared" si="3014"/>
        <v>Approved</v>
      </c>
      <c r="T7424" t="str">
        <f t="shared" si="3027"/>
        <v>10.20.8.188</v>
      </c>
      <c r="U7424" t="str">
        <f t="shared" si="3015"/>
        <v>AZRAD UMAR BIN SHAARI</v>
      </c>
      <c r="V7424" t="str">
        <f t="shared" si="3016"/>
        <v>FARHANA BINTI MUSTAPA</v>
      </c>
      <c r="W7424" t="str">
        <f t="shared" si="3017"/>
        <v>04-08-2020</v>
      </c>
      <c r="X7424" t="str">
        <f t="shared" si="3018"/>
        <v>RAZIMAH ANSAR AHMAD</v>
      </c>
      <c r="Y7424" t="str">
        <f t="shared" si="3019"/>
        <v>04-08-2020</v>
      </c>
      <c r="Z7424" t="str">
        <f>"COS10200804 1730"</f>
        <v>COS10200804 1730</v>
      </c>
    </row>
    <row r="7425" spans="1:26" x14ac:dyDescent="0.25">
      <c r="A7425" t="str">
        <f t="shared" si="3030"/>
        <v>04-08-2020 12:34:57</v>
      </c>
      <c r="B7425" t="str">
        <f>"0000803483"</f>
        <v>0000803483</v>
      </c>
      <c r="C7425" t="str">
        <f t="shared" si="3031"/>
        <v>0000803354</v>
      </c>
      <c r="D7425" t="str">
        <f t="shared" si="3007"/>
        <v>73185</v>
      </c>
      <c r="E7425" t="str">
        <f t="shared" si="3008"/>
        <v>KFH-OPERATIONS DEPARTMENT</v>
      </c>
      <c r="F7425" t="str">
        <f t="shared" si="3009"/>
        <v>IBG</v>
      </c>
      <c r="G7425" t="str">
        <f t="shared" si="3020"/>
        <v>Refund COSHARE 10</v>
      </c>
      <c r="H7425" s="2">
        <v>167.9</v>
      </c>
      <c r="I7425" t="str">
        <f>"MOHD ABDUL HALIM BIN TAHAMIT"</f>
        <v>MOHD ABDUL HALIM BIN TAHAMIT</v>
      </c>
      <c r="J7425" t="str">
        <f t="shared" si="3021"/>
        <v>BANK SIMPANAN NASIONAL</v>
      </c>
      <c r="K7425" t="str">
        <f>"1011429000051806"</f>
        <v>1011429000051806</v>
      </c>
      <c r="L7425" t="str">
        <f t="shared" si="3028"/>
        <v>04-08-2020</v>
      </c>
      <c r="M7425" t="str">
        <f t="shared" si="3028"/>
        <v>04-08-2020</v>
      </c>
      <c r="N7425" t="str">
        <f t="shared" si="3011"/>
        <v>001105018356</v>
      </c>
      <c r="O7425" t="str">
        <f t="shared" si="3012"/>
        <v>MYR</v>
      </c>
      <c r="P7425" t="str">
        <f t="shared" si="3029"/>
        <v>NIL</v>
      </c>
      <c r="Q7425" t="str">
        <f t="shared" si="3029"/>
        <v>NIL</v>
      </c>
      <c r="R7425" t="str">
        <f t="shared" si="3026"/>
        <v>Accepted</v>
      </c>
      <c r="S7425" t="str">
        <f t="shared" si="3014"/>
        <v>Approved</v>
      </c>
      <c r="T7425" t="str">
        <f t="shared" si="3027"/>
        <v>10.20.8.188</v>
      </c>
      <c r="U7425" t="str">
        <f t="shared" si="3015"/>
        <v>AZRAD UMAR BIN SHAARI</v>
      </c>
      <c r="V7425" t="str">
        <f t="shared" si="3016"/>
        <v>FARHANA BINTI MUSTAPA</v>
      </c>
      <c r="W7425" t="str">
        <f t="shared" si="3017"/>
        <v>04-08-2020</v>
      </c>
      <c r="X7425" t="str">
        <f t="shared" si="3018"/>
        <v>RAZIMAH ANSAR AHMAD</v>
      </c>
      <c r="Y7425" t="str">
        <f t="shared" si="3019"/>
        <v>04-08-2020</v>
      </c>
      <c r="Z7425" t="str">
        <f>"COS10200804 1729"</f>
        <v>COS10200804 1729</v>
      </c>
    </row>
    <row r="7426" spans="1:26" x14ac:dyDescent="0.25">
      <c r="A7426" t="str">
        <f t="shared" si="3030"/>
        <v>04-08-2020 12:34:57</v>
      </c>
      <c r="B7426" t="str">
        <f>"0000803482"</f>
        <v>0000803482</v>
      </c>
      <c r="C7426" t="str">
        <f t="shared" si="3031"/>
        <v>0000803354</v>
      </c>
      <c r="D7426" t="str">
        <f t="shared" si="3007"/>
        <v>73185</v>
      </c>
      <c r="E7426" t="str">
        <f t="shared" si="3008"/>
        <v>KFH-OPERATIONS DEPARTMENT</v>
      </c>
      <c r="F7426" t="str">
        <f t="shared" si="3009"/>
        <v>IBG</v>
      </c>
      <c r="G7426" t="str">
        <f t="shared" si="3020"/>
        <v>Refund COSHARE 10</v>
      </c>
      <c r="H7426" s="2">
        <v>888</v>
      </c>
      <c r="I7426" t="str">
        <f>"MOHAMMED FARID BIN ZALANI"</f>
        <v>MOHAMMED FARID BIN ZALANI</v>
      </c>
      <c r="J7426" t="str">
        <f t="shared" si="3021"/>
        <v>BANK SIMPANAN NASIONAL</v>
      </c>
      <c r="K7426" t="str">
        <f>"1355029000079797"</f>
        <v>1355029000079797</v>
      </c>
      <c r="L7426" t="str">
        <f t="shared" si="3028"/>
        <v>04-08-2020</v>
      </c>
      <c r="M7426" t="str">
        <f t="shared" si="3028"/>
        <v>04-08-2020</v>
      </c>
      <c r="N7426" t="str">
        <f t="shared" si="3011"/>
        <v>001105018356</v>
      </c>
      <c r="O7426" t="str">
        <f t="shared" si="3012"/>
        <v>MYR</v>
      </c>
      <c r="P7426" t="str">
        <f t="shared" si="3029"/>
        <v>NIL</v>
      </c>
      <c r="Q7426" t="str">
        <f t="shared" si="3029"/>
        <v>NIL</v>
      </c>
      <c r="R7426" t="str">
        <f t="shared" si="3026"/>
        <v>Accepted</v>
      </c>
      <c r="S7426" t="str">
        <f t="shared" si="3014"/>
        <v>Approved</v>
      </c>
      <c r="T7426" t="str">
        <f t="shared" si="3027"/>
        <v>10.20.8.188</v>
      </c>
      <c r="U7426" t="str">
        <f t="shared" si="3015"/>
        <v>AZRAD UMAR BIN SHAARI</v>
      </c>
      <c r="V7426" t="str">
        <f t="shared" si="3016"/>
        <v>FARHANA BINTI MUSTAPA</v>
      </c>
      <c r="W7426" t="str">
        <f t="shared" si="3017"/>
        <v>04-08-2020</v>
      </c>
      <c r="X7426" t="str">
        <f t="shared" si="3018"/>
        <v>RAZIMAH ANSAR AHMAD</v>
      </c>
      <c r="Y7426" t="str">
        <f t="shared" si="3019"/>
        <v>04-08-2020</v>
      </c>
      <c r="Z7426" t="str">
        <f>"COS10200804 1728"</f>
        <v>COS10200804 1728</v>
      </c>
    </row>
    <row r="7427" spans="1:26" x14ac:dyDescent="0.25">
      <c r="A7427" t="str">
        <f t="shared" si="3030"/>
        <v>04-08-2020 12:34:57</v>
      </c>
      <c r="B7427" t="str">
        <f>"0000803481"</f>
        <v>0000803481</v>
      </c>
      <c r="C7427" t="str">
        <f t="shared" si="3031"/>
        <v>0000803354</v>
      </c>
      <c r="D7427" t="str">
        <f t="shared" si="3007"/>
        <v>73185</v>
      </c>
      <c r="E7427" t="str">
        <f t="shared" si="3008"/>
        <v>KFH-OPERATIONS DEPARTMENT</v>
      </c>
      <c r="F7427" t="str">
        <f t="shared" si="3009"/>
        <v>IBG</v>
      </c>
      <c r="G7427" t="str">
        <f t="shared" si="3020"/>
        <v>Refund COSHARE 10</v>
      </c>
      <c r="H7427" s="2">
        <v>125.95</v>
      </c>
      <c r="I7427" t="str">
        <f>"MOHAMMAD KHIROL BIN MOHD ISMAIL"</f>
        <v>MOHAMMAD KHIROL BIN MOHD ISMAIL</v>
      </c>
      <c r="J7427" t="str">
        <f t="shared" si="3021"/>
        <v>BANK SIMPANAN NASIONAL</v>
      </c>
      <c r="K7427" t="str">
        <f>"0115841000009292"</f>
        <v>0115841000009292</v>
      </c>
      <c r="L7427" t="str">
        <f t="shared" ref="L7427:M7446" si="3032">"04-08-2020"</f>
        <v>04-08-2020</v>
      </c>
      <c r="M7427" t="str">
        <f t="shared" si="3032"/>
        <v>04-08-2020</v>
      </c>
      <c r="N7427" t="str">
        <f t="shared" si="3011"/>
        <v>001105018356</v>
      </c>
      <c r="O7427" t="str">
        <f t="shared" si="3012"/>
        <v>MYR</v>
      </c>
      <c r="P7427" t="str">
        <f t="shared" ref="P7427:Q7446" si="3033">"NIL"</f>
        <v>NIL</v>
      </c>
      <c r="Q7427" t="str">
        <f t="shared" si="3033"/>
        <v>NIL</v>
      </c>
      <c r="R7427" t="str">
        <f t="shared" si="3026"/>
        <v>Accepted</v>
      </c>
      <c r="S7427" t="str">
        <f t="shared" si="3014"/>
        <v>Approved</v>
      </c>
      <c r="T7427" t="str">
        <f t="shared" si="3027"/>
        <v>10.20.8.188</v>
      </c>
      <c r="U7427" t="str">
        <f t="shared" si="3015"/>
        <v>AZRAD UMAR BIN SHAARI</v>
      </c>
      <c r="V7427" t="str">
        <f t="shared" si="3016"/>
        <v>FARHANA BINTI MUSTAPA</v>
      </c>
      <c r="W7427" t="str">
        <f t="shared" si="3017"/>
        <v>04-08-2020</v>
      </c>
      <c r="X7427" t="str">
        <f t="shared" si="3018"/>
        <v>RAZIMAH ANSAR AHMAD</v>
      </c>
      <c r="Y7427" t="str">
        <f t="shared" si="3019"/>
        <v>04-08-2020</v>
      </c>
      <c r="Z7427" t="str">
        <f>"COS10200804 1727"</f>
        <v>COS10200804 1727</v>
      </c>
    </row>
    <row r="7428" spans="1:26" x14ac:dyDescent="0.25">
      <c r="A7428" t="str">
        <f t="shared" si="3030"/>
        <v>04-08-2020 12:34:57</v>
      </c>
      <c r="B7428" t="str">
        <f>"0000803480"</f>
        <v>0000803480</v>
      </c>
      <c r="C7428" t="str">
        <f t="shared" si="3031"/>
        <v>0000803354</v>
      </c>
      <c r="D7428" t="str">
        <f t="shared" si="3007"/>
        <v>73185</v>
      </c>
      <c r="E7428" t="str">
        <f t="shared" si="3008"/>
        <v>KFH-OPERATIONS DEPARTMENT</v>
      </c>
      <c r="F7428" t="str">
        <f t="shared" si="3009"/>
        <v>IBG</v>
      </c>
      <c r="G7428" t="str">
        <f t="shared" si="3020"/>
        <v>Refund COSHARE 10</v>
      </c>
      <c r="H7428" s="2">
        <v>785.85</v>
      </c>
      <c r="I7428" t="str">
        <f>"MOHAMMAD ARBA NGDANA BIN JAMAIN"</f>
        <v>MOHAMMAD ARBA NGDANA BIN JAMAIN</v>
      </c>
      <c r="J7428" t="str">
        <f t="shared" si="3021"/>
        <v>BANK SIMPANAN NASIONAL</v>
      </c>
      <c r="K7428" t="str">
        <f>"1310229000000842"</f>
        <v>1310229000000842</v>
      </c>
      <c r="L7428" t="str">
        <f t="shared" si="3032"/>
        <v>04-08-2020</v>
      </c>
      <c r="M7428" t="str">
        <f t="shared" si="3032"/>
        <v>04-08-2020</v>
      </c>
      <c r="N7428" t="str">
        <f t="shared" si="3011"/>
        <v>001105018356</v>
      </c>
      <c r="O7428" t="str">
        <f t="shared" si="3012"/>
        <v>MYR</v>
      </c>
      <c r="P7428" t="str">
        <f t="shared" si="3033"/>
        <v>NIL</v>
      </c>
      <c r="Q7428" t="str">
        <f t="shared" si="3033"/>
        <v>NIL</v>
      </c>
      <c r="R7428" t="str">
        <f t="shared" si="3026"/>
        <v>Accepted</v>
      </c>
      <c r="S7428" t="str">
        <f t="shared" si="3014"/>
        <v>Approved</v>
      </c>
      <c r="T7428" t="str">
        <f t="shared" si="3027"/>
        <v>10.20.8.188</v>
      </c>
      <c r="U7428" t="str">
        <f t="shared" si="3015"/>
        <v>AZRAD UMAR BIN SHAARI</v>
      </c>
      <c r="V7428" t="str">
        <f t="shared" si="3016"/>
        <v>FARHANA BINTI MUSTAPA</v>
      </c>
      <c r="W7428" t="str">
        <f t="shared" si="3017"/>
        <v>04-08-2020</v>
      </c>
      <c r="X7428" t="str">
        <f t="shared" si="3018"/>
        <v>RAZIMAH ANSAR AHMAD</v>
      </c>
      <c r="Y7428" t="str">
        <f t="shared" si="3019"/>
        <v>04-08-2020</v>
      </c>
      <c r="Z7428" t="str">
        <f>"COS10200804 1726"</f>
        <v>COS10200804 1726</v>
      </c>
    </row>
    <row r="7429" spans="1:26" x14ac:dyDescent="0.25">
      <c r="A7429" t="str">
        <f t="shared" si="3030"/>
        <v>04-08-2020 12:34:57</v>
      </c>
      <c r="B7429" t="str">
        <f>"0000803479"</f>
        <v>0000803479</v>
      </c>
      <c r="C7429" t="str">
        <f t="shared" si="3031"/>
        <v>0000803354</v>
      </c>
      <c r="D7429" t="str">
        <f t="shared" si="3007"/>
        <v>73185</v>
      </c>
      <c r="E7429" t="str">
        <f t="shared" si="3008"/>
        <v>KFH-OPERATIONS DEPARTMENT</v>
      </c>
      <c r="F7429" t="str">
        <f t="shared" si="3009"/>
        <v>IBG</v>
      </c>
      <c r="G7429" t="str">
        <f t="shared" si="3020"/>
        <v>Refund COSHARE 10</v>
      </c>
      <c r="H7429" s="2">
        <v>911</v>
      </c>
      <c r="I7429" t="str">
        <f>"MOHAMED PUJI BIN TUMPANG"</f>
        <v>MOHAMED PUJI BIN TUMPANG</v>
      </c>
      <c r="J7429" t="str">
        <f t="shared" si="3021"/>
        <v>BANK SIMPANAN NASIONAL</v>
      </c>
      <c r="K7429" t="str">
        <f>"0822029000103237"</f>
        <v>0822029000103237</v>
      </c>
      <c r="L7429" t="str">
        <f t="shared" si="3032"/>
        <v>04-08-2020</v>
      </c>
      <c r="M7429" t="str">
        <f t="shared" si="3032"/>
        <v>04-08-2020</v>
      </c>
      <c r="N7429" t="str">
        <f t="shared" si="3011"/>
        <v>001105018356</v>
      </c>
      <c r="O7429" t="str">
        <f t="shared" si="3012"/>
        <v>MYR</v>
      </c>
      <c r="P7429" t="str">
        <f t="shared" si="3033"/>
        <v>NIL</v>
      </c>
      <c r="Q7429" t="str">
        <f t="shared" si="3033"/>
        <v>NIL</v>
      </c>
      <c r="R7429" t="str">
        <f t="shared" si="3026"/>
        <v>Accepted</v>
      </c>
      <c r="S7429" t="str">
        <f t="shared" si="3014"/>
        <v>Approved</v>
      </c>
      <c r="T7429" t="str">
        <f t="shared" si="3027"/>
        <v>10.20.8.188</v>
      </c>
      <c r="U7429" t="str">
        <f t="shared" si="3015"/>
        <v>AZRAD UMAR BIN SHAARI</v>
      </c>
      <c r="V7429" t="str">
        <f t="shared" si="3016"/>
        <v>FARHANA BINTI MUSTAPA</v>
      </c>
      <c r="W7429" t="str">
        <f t="shared" si="3017"/>
        <v>04-08-2020</v>
      </c>
      <c r="X7429" t="str">
        <f t="shared" si="3018"/>
        <v>RAZIMAH ANSAR AHMAD</v>
      </c>
      <c r="Y7429" t="str">
        <f t="shared" si="3019"/>
        <v>04-08-2020</v>
      </c>
      <c r="Z7429" t="str">
        <f>"COS10200804 1725"</f>
        <v>COS10200804 1725</v>
      </c>
    </row>
    <row r="7430" spans="1:26" x14ac:dyDescent="0.25">
      <c r="A7430" t="str">
        <f t="shared" si="3030"/>
        <v>04-08-2020 12:34:57</v>
      </c>
      <c r="B7430" t="str">
        <f>"0000803478"</f>
        <v>0000803478</v>
      </c>
      <c r="C7430" t="str">
        <f t="shared" si="3031"/>
        <v>0000803354</v>
      </c>
      <c r="D7430" t="str">
        <f t="shared" si="3007"/>
        <v>73185</v>
      </c>
      <c r="E7430" t="str">
        <f t="shared" si="3008"/>
        <v>KFH-OPERATIONS DEPARTMENT</v>
      </c>
      <c r="F7430" t="str">
        <f t="shared" si="3009"/>
        <v>IBG</v>
      </c>
      <c r="G7430" t="str">
        <f t="shared" si="3020"/>
        <v>Refund COSHARE 10</v>
      </c>
      <c r="H7430" s="2">
        <v>198</v>
      </c>
      <c r="I7430" t="str">
        <f>"MOHAMED HANIF BIN ZULKAPELI"</f>
        <v>MOHAMED HANIF BIN ZULKAPELI</v>
      </c>
      <c r="J7430" t="str">
        <f t="shared" si="3021"/>
        <v>BANK SIMPANAN NASIONAL</v>
      </c>
      <c r="K7430" t="str">
        <f>"0610829824671831"</f>
        <v>0610829824671831</v>
      </c>
      <c r="L7430" t="str">
        <f t="shared" si="3032"/>
        <v>04-08-2020</v>
      </c>
      <c r="M7430" t="str">
        <f t="shared" si="3032"/>
        <v>04-08-2020</v>
      </c>
      <c r="N7430" t="str">
        <f t="shared" si="3011"/>
        <v>001105018356</v>
      </c>
      <c r="O7430" t="str">
        <f t="shared" si="3012"/>
        <v>MYR</v>
      </c>
      <c r="P7430" t="str">
        <f t="shared" si="3033"/>
        <v>NIL</v>
      </c>
      <c r="Q7430" t="str">
        <f t="shared" si="3033"/>
        <v>NIL</v>
      </c>
      <c r="R7430" t="str">
        <f t="shared" si="3026"/>
        <v>Accepted</v>
      </c>
      <c r="S7430" t="str">
        <f t="shared" si="3014"/>
        <v>Approved</v>
      </c>
      <c r="T7430" t="str">
        <f t="shared" si="3027"/>
        <v>10.20.8.188</v>
      </c>
      <c r="U7430" t="str">
        <f t="shared" si="3015"/>
        <v>AZRAD UMAR BIN SHAARI</v>
      </c>
      <c r="V7430" t="str">
        <f t="shared" si="3016"/>
        <v>FARHANA BINTI MUSTAPA</v>
      </c>
      <c r="W7430" t="str">
        <f t="shared" si="3017"/>
        <v>04-08-2020</v>
      </c>
      <c r="X7430" t="str">
        <f t="shared" si="3018"/>
        <v>RAZIMAH ANSAR AHMAD</v>
      </c>
      <c r="Y7430" t="str">
        <f t="shared" si="3019"/>
        <v>04-08-2020</v>
      </c>
      <c r="Z7430" t="str">
        <f>"COS10200804 1724"</f>
        <v>COS10200804 1724</v>
      </c>
    </row>
    <row r="7431" spans="1:26" x14ac:dyDescent="0.25">
      <c r="A7431" t="str">
        <f t="shared" si="3030"/>
        <v>04-08-2020 12:34:57</v>
      </c>
      <c r="B7431" t="str">
        <f>"0000803477"</f>
        <v>0000803477</v>
      </c>
      <c r="C7431" t="str">
        <f t="shared" si="3031"/>
        <v>0000803354</v>
      </c>
      <c r="D7431" t="str">
        <f t="shared" ref="D7431:D7494" si="3034">"73185"</f>
        <v>73185</v>
      </c>
      <c r="E7431" t="str">
        <f t="shared" ref="E7431:E7494" si="3035">"KFH-OPERATIONS DEPARTMENT"</f>
        <v>KFH-OPERATIONS DEPARTMENT</v>
      </c>
      <c r="F7431" t="str">
        <f t="shared" ref="F7431:F7494" si="3036">"IBG"</f>
        <v>IBG</v>
      </c>
      <c r="G7431" t="str">
        <f t="shared" si="3020"/>
        <v>Refund COSHARE 10</v>
      </c>
      <c r="H7431" s="2">
        <v>198</v>
      </c>
      <c r="I7431" t="str">
        <f>"MOHAMED HANIF BIN ZULKAPELI"</f>
        <v>MOHAMED HANIF BIN ZULKAPELI</v>
      </c>
      <c r="J7431" t="str">
        <f t="shared" si="3021"/>
        <v>BANK SIMPANAN NASIONAL</v>
      </c>
      <c r="K7431" t="str">
        <f>"0610829824671831"</f>
        <v>0610829824671831</v>
      </c>
      <c r="L7431" t="str">
        <f t="shared" si="3032"/>
        <v>04-08-2020</v>
      </c>
      <c r="M7431" t="str">
        <f t="shared" si="3032"/>
        <v>04-08-2020</v>
      </c>
      <c r="N7431" t="str">
        <f t="shared" ref="N7431:N7494" si="3037">"001105018356"</f>
        <v>001105018356</v>
      </c>
      <c r="O7431" t="str">
        <f t="shared" ref="O7431:O7494" si="3038">"MYR"</f>
        <v>MYR</v>
      </c>
      <c r="P7431" t="str">
        <f t="shared" si="3033"/>
        <v>NIL</v>
      </c>
      <c r="Q7431" t="str">
        <f t="shared" si="3033"/>
        <v>NIL</v>
      </c>
      <c r="R7431" t="str">
        <f t="shared" si="3026"/>
        <v>Accepted</v>
      </c>
      <c r="S7431" t="str">
        <f t="shared" ref="S7431:S7494" si="3039">"Approved"</f>
        <v>Approved</v>
      </c>
      <c r="T7431" t="str">
        <f t="shared" si="3027"/>
        <v>10.20.8.188</v>
      </c>
      <c r="U7431" t="str">
        <f t="shared" ref="U7431:U7494" si="3040">"AZRAD UMAR BIN SHAARI"</f>
        <v>AZRAD UMAR BIN SHAARI</v>
      </c>
      <c r="V7431" t="str">
        <f t="shared" ref="V7431:V7494" si="3041">"FARHANA BINTI MUSTAPA"</f>
        <v>FARHANA BINTI MUSTAPA</v>
      </c>
      <c r="W7431" t="str">
        <f t="shared" ref="W7431:W7494" si="3042">"04-08-2020"</f>
        <v>04-08-2020</v>
      </c>
      <c r="X7431" t="str">
        <f t="shared" ref="X7431:X7494" si="3043">"RAZIMAH ANSAR AHMAD"</f>
        <v>RAZIMAH ANSAR AHMAD</v>
      </c>
      <c r="Y7431" t="str">
        <f t="shared" ref="Y7431:Y7494" si="3044">"04-08-2020"</f>
        <v>04-08-2020</v>
      </c>
      <c r="Z7431" t="str">
        <f>"COS10200804 1723"</f>
        <v>COS10200804 1723</v>
      </c>
    </row>
    <row r="7432" spans="1:26" x14ac:dyDescent="0.25">
      <c r="A7432" t="str">
        <f t="shared" si="3030"/>
        <v>04-08-2020 12:34:57</v>
      </c>
      <c r="B7432" t="str">
        <f>"0000803476"</f>
        <v>0000803476</v>
      </c>
      <c r="C7432" t="str">
        <f t="shared" si="3031"/>
        <v>0000803354</v>
      </c>
      <c r="D7432" t="str">
        <f t="shared" si="3034"/>
        <v>73185</v>
      </c>
      <c r="E7432" t="str">
        <f t="shared" si="3035"/>
        <v>KFH-OPERATIONS DEPARTMENT</v>
      </c>
      <c r="F7432" t="str">
        <f t="shared" si="3036"/>
        <v>IBG</v>
      </c>
      <c r="G7432" t="str">
        <f t="shared" si="3020"/>
        <v>Refund COSHARE 10</v>
      </c>
      <c r="H7432" s="2">
        <v>911</v>
      </c>
      <c r="I7432" t="str">
        <f>"MOHAMAD ZUKHI BIN ABDUL WAHAB"</f>
        <v>MOHAMAD ZUKHI BIN ABDUL WAHAB</v>
      </c>
      <c r="J7432" t="str">
        <f t="shared" si="3021"/>
        <v>BANK SIMPANAN NASIONAL</v>
      </c>
      <c r="K7432" t="str">
        <f>"0210029000023064"</f>
        <v>0210029000023064</v>
      </c>
      <c r="L7432" t="str">
        <f t="shared" si="3032"/>
        <v>04-08-2020</v>
      </c>
      <c r="M7432" t="str">
        <f t="shared" si="3032"/>
        <v>04-08-2020</v>
      </c>
      <c r="N7432" t="str">
        <f t="shared" si="3037"/>
        <v>001105018356</v>
      </c>
      <c r="O7432" t="str">
        <f t="shared" si="3038"/>
        <v>MYR</v>
      </c>
      <c r="P7432" t="str">
        <f t="shared" si="3033"/>
        <v>NIL</v>
      </c>
      <c r="Q7432" t="str">
        <f t="shared" si="3033"/>
        <v>NIL</v>
      </c>
      <c r="R7432" t="str">
        <f t="shared" si="3026"/>
        <v>Accepted</v>
      </c>
      <c r="S7432" t="str">
        <f t="shared" si="3039"/>
        <v>Approved</v>
      </c>
      <c r="T7432" t="str">
        <f t="shared" si="3027"/>
        <v>10.20.8.188</v>
      </c>
      <c r="U7432" t="str">
        <f t="shared" si="3040"/>
        <v>AZRAD UMAR BIN SHAARI</v>
      </c>
      <c r="V7432" t="str">
        <f t="shared" si="3041"/>
        <v>FARHANA BINTI MUSTAPA</v>
      </c>
      <c r="W7432" t="str">
        <f t="shared" si="3042"/>
        <v>04-08-2020</v>
      </c>
      <c r="X7432" t="str">
        <f t="shared" si="3043"/>
        <v>RAZIMAH ANSAR AHMAD</v>
      </c>
      <c r="Y7432" t="str">
        <f t="shared" si="3044"/>
        <v>04-08-2020</v>
      </c>
      <c r="Z7432" t="str">
        <f>"COS10200804 1722"</f>
        <v>COS10200804 1722</v>
      </c>
    </row>
    <row r="7433" spans="1:26" x14ac:dyDescent="0.25">
      <c r="A7433" t="str">
        <f t="shared" si="3030"/>
        <v>04-08-2020 12:34:57</v>
      </c>
      <c r="B7433" t="str">
        <f>"0000803475"</f>
        <v>0000803475</v>
      </c>
      <c r="C7433" t="str">
        <f t="shared" si="3031"/>
        <v>0000803354</v>
      </c>
      <c r="D7433" t="str">
        <f t="shared" si="3034"/>
        <v>73185</v>
      </c>
      <c r="E7433" t="str">
        <f t="shared" si="3035"/>
        <v>KFH-OPERATIONS DEPARTMENT</v>
      </c>
      <c r="F7433" t="str">
        <f t="shared" si="3036"/>
        <v>IBG</v>
      </c>
      <c r="G7433" t="str">
        <f t="shared" si="3020"/>
        <v>Refund COSHARE 10</v>
      </c>
      <c r="H7433" s="2">
        <v>251.85</v>
      </c>
      <c r="I7433" t="str">
        <f>"MOHAMAD SYUKRI BIN SABRAN"</f>
        <v>MOHAMAD SYUKRI BIN SABRAN</v>
      </c>
      <c r="J7433" t="str">
        <f t="shared" si="3021"/>
        <v>BANK SIMPANAN NASIONAL</v>
      </c>
      <c r="K7433" t="str">
        <f>"0810029000162145"</f>
        <v>0810029000162145</v>
      </c>
      <c r="L7433" t="str">
        <f t="shared" si="3032"/>
        <v>04-08-2020</v>
      </c>
      <c r="M7433" t="str">
        <f t="shared" si="3032"/>
        <v>04-08-2020</v>
      </c>
      <c r="N7433" t="str">
        <f t="shared" si="3037"/>
        <v>001105018356</v>
      </c>
      <c r="O7433" t="str">
        <f t="shared" si="3038"/>
        <v>MYR</v>
      </c>
      <c r="P7433" t="str">
        <f t="shared" si="3033"/>
        <v>NIL</v>
      </c>
      <c r="Q7433" t="str">
        <f t="shared" si="3033"/>
        <v>NIL</v>
      </c>
      <c r="R7433" t="str">
        <f t="shared" si="3026"/>
        <v>Accepted</v>
      </c>
      <c r="S7433" t="str">
        <f t="shared" si="3039"/>
        <v>Approved</v>
      </c>
      <c r="T7433" t="str">
        <f t="shared" si="3027"/>
        <v>10.20.8.188</v>
      </c>
      <c r="U7433" t="str">
        <f t="shared" si="3040"/>
        <v>AZRAD UMAR BIN SHAARI</v>
      </c>
      <c r="V7433" t="str">
        <f t="shared" si="3041"/>
        <v>FARHANA BINTI MUSTAPA</v>
      </c>
      <c r="W7433" t="str">
        <f t="shared" si="3042"/>
        <v>04-08-2020</v>
      </c>
      <c r="X7433" t="str">
        <f t="shared" si="3043"/>
        <v>RAZIMAH ANSAR AHMAD</v>
      </c>
      <c r="Y7433" t="str">
        <f t="shared" si="3044"/>
        <v>04-08-2020</v>
      </c>
      <c r="Z7433" t="str">
        <f>"COS10200804 1721"</f>
        <v>COS10200804 1721</v>
      </c>
    </row>
    <row r="7434" spans="1:26" x14ac:dyDescent="0.25">
      <c r="A7434" t="str">
        <f t="shared" si="3030"/>
        <v>04-08-2020 12:34:57</v>
      </c>
      <c r="B7434" t="str">
        <f>"0000803474"</f>
        <v>0000803474</v>
      </c>
      <c r="C7434" t="str">
        <f t="shared" si="3031"/>
        <v>0000803354</v>
      </c>
      <c r="D7434" t="str">
        <f t="shared" si="3034"/>
        <v>73185</v>
      </c>
      <c r="E7434" t="str">
        <f t="shared" si="3035"/>
        <v>KFH-OPERATIONS DEPARTMENT</v>
      </c>
      <c r="F7434" t="str">
        <f t="shared" si="3036"/>
        <v>IBG</v>
      </c>
      <c r="G7434" t="str">
        <f t="shared" si="3020"/>
        <v>Refund COSHARE 10</v>
      </c>
      <c r="H7434" s="2">
        <v>251.85</v>
      </c>
      <c r="I7434" t="str">
        <f>"MOHAMAD SHAHRIZAN IEZARA"</f>
        <v>MOHAMAD SHAHRIZAN IEZARA</v>
      </c>
      <c r="J7434" t="str">
        <f t="shared" si="3021"/>
        <v>BANK SIMPANAN NASIONAL</v>
      </c>
      <c r="K7434" t="str">
        <f>"1310029000077774"</f>
        <v>1310029000077774</v>
      </c>
      <c r="L7434" t="str">
        <f t="shared" si="3032"/>
        <v>04-08-2020</v>
      </c>
      <c r="M7434" t="str">
        <f t="shared" si="3032"/>
        <v>04-08-2020</v>
      </c>
      <c r="N7434" t="str">
        <f t="shared" si="3037"/>
        <v>001105018356</v>
      </c>
      <c r="O7434" t="str">
        <f t="shared" si="3038"/>
        <v>MYR</v>
      </c>
      <c r="P7434" t="str">
        <f t="shared" si="3033"/>
        <v>NIL</v>
      </c>
      <c r="Q7434" t="str">
        <f t="shared" si="3033"/>
        <v>NIL</v>
      </c>
      <c r="R7434" t="str">
        <f t="shared" si="3026"/>
        <v>Accepted</v>
      </c>
      <c r="S7434" t="str">
        <f t="shared" si="3039"/>
        <v>Approved</v>
      </c>
      <c r="T7434" t="str">
        <f t="shared" si="3027"/>
        <v>10.20.8.188</v>
      </c>
      <c r="U7434" t="str">
        <f t="shared" si="3040"/>
        <v>AZRAD UMAR BIN SHAARI</v>
      </c>
      <c r="V7434" t="str">
        <f t="shared" si="3041"/>
        <v>FARHANA BINTI MUSTAPA</v>
      </c>
      <c r="W7434" t="str">
        <f t="shared" si="3042"/>
        <v>04-08-2020</v>
      </c>
      <c r="X7434" t="str">
        <f t="shared" si="3043"/>
        <v>RAZIMAH ANSAR AHMAD</v>
      </c>
      <c r="Y7434" t="str">
        <f t="shared" si="3044"/>
        <v>04-08-2020</v>
      </c>
      <c r="Z7434" t="str">
        <f>"COS10200804 1720"</f>
        <v>COS10200804 1720</v>
      </c>
    </row>
    <row r="7435" spans="1:26" x14ac:dyDescent="0.25">
      <c r="A7435" t="str">
        <f t="shared" si="3030"/>
        <v>04-08-2020 12:34:57</v>
      </c>
      <c r="B7435" t="str">
        <f>"0000803473"</f>
        <v>0000803473</v>
      </c>
      <c r="C7435" t="str">
        <f t="shared" si="3031"/>
        <v>0000803354</v>
      </c>
      <c r="D7435" t="str">
        <f t="shared" si="3034"/>
        <v>73185</v>
      </c>
      <c r="E7435" t="str">
        <f t="shared" si="3035"/>
        <v>KFH-OPERATIONS DEPARTMENT</v>
      </c>
      <c r="F7435" t="str">
        <f t="shared" si="3036"/>
        <v>IBG</v>
      </c>
      <c r="G7435" t="str">
        <f t="shared" si="3020"/>
        <v>Refund COSHARE 10</v>
      </c>
      <c r="H7435" s="2">
        <v>152</v>
      </c>
      <c r="I7435" t="str">
        <f>"MOHAMAD ROSLAN BIN MADERI"</f>
        <v>MOHAMAD ROSLAN BIN MADERI</v>
      </c>
      <c r="J7435" t="str">
        <f t="shared" si="3021"/>
        <v>BANK SIMPANAN NASIONAL</v>
      </c>
      <c r="K7435" t="str">
        <f>"1311929814379677"</f>
        <v>1311929814379677</v>
      </c>
      <c r="L7435" t="str">
        <f t="shared" si="3032"/>
        <v>04-08-2020</v>
      </c>
      <c r="M7435" t="str">
        <f t="shared" si="3032"/>
        <v>04-08-2020</v>
      </c>
      <c r="N7435" t="str">
        <f t="shared" si="3037"/>
        <v>001105018356</v>
      </c>
      <c r="O7435" t="str">
        <f t="shared" si="3038"/>
        <v>MYR</v>
      </c>
      <c r="P7435" t="str">
        <f t="shared" si="3033"/>
        <v>NIL</v>
      </c>
      <c r="Q7435" t="str">
        <f t="shared" si="3033"/>
        <v>NIL</v>
      </c>
      <c r="R7435" t="str">
        <f t="shared" si="3026"/>
        <v>Accepted</v>
      </c>
      <c r="S7435" t="str">
        <f t="shared" si="3039"/>
        <v>Approved</v>
      </c>
      <c r="T7435" t="str">
        <f t="shared" si="3027"/>
        <v>10.20.8.188</v>
      </c>
      <c r="U7435" t="str">
        <f t="shared" si="3040"/>
        <v>AZRAD UMAR BIN SHAARI</v>
      </c>
      <c r="V7435" t="str">
        <f t="shared" si="3041"/>
        <v>FARHANA BINTI MUSTAPA</v>
      </c>
      <c r="W7435" t="str">
        <f t="shared" si="3042"/>
        <v>04-08-2020</v>
      </c>
      <c r="X7435" t="str">
        <f t="shared" si="3043"/>
        <v>RAZIMAH ANSAR AHMAD</v>
      </c>
      <c r="Y7435" t="str">
        <f t="shared" si="3044"/>
        <v>04-08-2020</v>
      </c>
      <c r="Z7435" t="str">
        <f>"COS10200804 1719"</f>
        <v>COS10200804 1719</v>
      </c>
    </row>
    <row r="7436" spans="1:26" x14ac:dyDescent="0.25">
      <c r="A7436" t="str">
        <f t="shared" si="3030"/>
        <v>04-08-2020 12:34:57</v>
      </c>
      <c r="B7436" t="str">
        <f>"0000803472"</f>
        <v>0000803472</v>
      </c>
      <c r="C7436" t="str">
        <f t="shared" si="3031"/>
        <v>0000803354</v>
      </c>
      <c r="D7436" t="str">
        <f t="shared" si="3034"/>
        <v>73185</v>
      </c>
      <c r="E7436" t="str">
        <f t="shared" si="3035"/>
        <v>KFH-OPERATIONS DEPARTMENT</v>
      </c>
      <c r="F7436" t="str">
        <f t="shared" si="3036"/>
        <v>IBG</v>
      </c>
      <c r="G7436" t="str">
        <f t="shared" ref="G7436:G7499" si="3045">"Refund COSHARE 10"</f>
        <v>Refund COSHARE 10</v>
      </c>
      <c r="H7436" s="2">
        <v>839.5</v>
      </c>
      <c r="I7436" t="str">
        <f>"MOHAMAD RIDZUAN BIN ZAIKARIA"</f>
        <v>MOHAMAD RIDZUAN BIN ZAIKARIA</v>
      </c>
      <c r="J7436" t="str">
        <f t="shared" si="3021"/>
        <v>BANK SIMPANAN NASIONAL</v>
      </c>
      <c r="K7436" t="str">
        <f>"0213229000009648"</f>
        <v>0213229000009648</v>
      </c>
      <c r="L7436" t="str">
        <f t="shared" si="3032"/>
        <v>04-08-2020</v>
      </c>
      <c r="M7436" t="str">
        <f t="shared" si="3032"/>
        <v>04-08-2020</v>
      </c>
      <c r="N7436" t="str">
        <f t="shared" si="3037"/>
        <v>001105018356</v>
      </c>
      <c r="O7436" t="str">
        <f t="shared" si="3038"/>
        <v>MYR</v>
      </c>
      <c r="P7436" t="str">
        <f t="shared" si="3033"/>
        <v>NIL</v>
      </c>
      <c r="Q7436" t="str">
        <f t="shared" si="3033"/>
        <v>NIL</v>
      </c>
      <c r="R7436" t="str">
        <f t="shared" si="3026"/>
        <v>Accepted</v>
      </c>
      <c r="S7436" t="str">
        <f t="shared" si="3039"/>
        <v>Approved</v>
      </c>
      <c r="T7436" t="str">
        <f t="shared" si="3027"/>
        <v>10.20.8.188</v>
      </c>
      <c r="U7436" t="str">
        <f t="shared" si="3040"/>
        <v>AZRAD UMAR BIN SHAARI</v>
      </c>
      <c r="V7436" t="str">
        <f t="shared" si="3041"/>
        <v>FARHANA BINTI MUSTAPA</v>
      </c>
      <c r="W7436" t="str">
        <f t="shared" si="3042"/>
        <v>04-08-2020</v>
      </c>
      <c r="X7436" t="str">
        <f t="shared" si="3043"/>
        <v>RAZIMAH ANSAR AHMAD</v>
      </c>
      <c r="Y7436" t="str">
        <f t="shared" si="3044"/>
        <v>04-08-2020</v>
      </c>
      <c r="Z7436" t="str">
        <f>"COS10200804 1718"</f>
        <v>COS10200804 1718</v>
      </c>
    </row>
    <row r="7437" spans="1:26" x14ac:dyDescent="0.25">
      <c r="A7437" t="str">
        <f t="shared" si="3030"/>
        <v>04-08-2020 12:34:57</v>
      </c>
      <c r="B7437" t="str">
        <f>"0000803471"</f>
        <v>0000803471</v>
      </c>
      <c r="C7437" t="str">
        <f t="shared" si="3031"/>
        <v>0000803354</v>
      </c>
      <c r="D7437" t="str">
        <f t="shared" si="3034"/>
        <v>73185</v>
      </c>
      <c r="E7437" t="str">
        <f t="shared" si="3035"/>
        <v>KFH-OPERATIONS DEPARTMENT</v>
      </c>
      <c r="F7437" t="str">
        <f t="shared" si="3036"/>
        <v>IBG</v>
      </c>
      <c r="G7437" t="str">
        <f t="shared" si="3045"/>
        <v>Refund COSHARE 10</v>
      </c>
      <c r="H7437" s="2">
        <v>554</v>
      </c>
      <c r="I7437" t="str">
        <f>"MOHAMAD JAMIL FAUZI BIN ROZIMI"</f>
        <v>MOHAMAD JAMIL FAUZI BIN ROZIMI</v>
      </c>
      <c r="J7437" t="str">
        <f t="shared" si="3021"/>
        <v>BANK SIMPANAN NASIONAL</v>
      </c>
      <c r="K7437" t="str">
        <f>"0821329000068042"</f>
        <v>0821329000068042</v>
      </c>
      <c r="L7437" t="str">
        <f t="shared" si="3032"/>
        <v>04-08-2020</v>
      </c>
      <c r="M7437" t="str">
        <f t="shared" si="3032"/>
        <v>04-08-2020</v>
      </c>
      <c r="N7437" t="str">
        <f t="shared" si="3037"/>
        <v>001105018356</v>
      </c>
      <c r="O7437" t="str">
        <f t="shared" si="3038"/>
        <v>MYR</v>
      </c>
      <c r="P7437" t="str">
        <f t="shared" si="3033"/>
        <v>NIL</v>
      </c>
      <c r="Q7437" t="str">
        <f t="shared" si="3033"/>
        <v>NIL</v>
      </c>
      <c r="R7437" t="str">
        <f t="shared" si="3026"/>
        <v>Accepted</v>
      </c>
      <c r="S7437" t="str">
        <f t="shared" si="3039"/>
        <v>Approved</v>
      </c>
      <c r="T7437" t="str">
        <f t="shared" si="3027"/>
        <v>10.20.8.188</v>
      </c>
      <c r="U7437" t="str">
        <f t="shared" si="3040"/>
        <v>AZRAD UMAR BIN SHAARI</v>
      </c>
      <c r="V7437" t="str">
        <f t="shared" si="3041"/>
        <v>FARHANA BINTI MUSTAPA</v>
      </c>
      <c r="W7437" t="str">
        <f t="shared" si="3042"/>
        <v>04-08-2020</v>
      </c>
      <c r="X7437" t="str">
        <f t="shared" si="3043"/>
        <v>RAZIMAH ANSAR AHMAD</v>
      </c>
      <c r="Y7437" t="str">
        <f t="shared" si="3044"/>
        <v>04-08-2020</v>
      </c>
      <c r="Z7437" t="str">
        <f>"COS10200804 1717"</f>
        <v>COS10200804 1717</v>
      </c>
    </row>
    <row r="7438" spans="1:26" x14ac:dyDescent="0.25">
      <c r="A7438" t="str">
        <f t="shared" si="3030"/>
        <v>04-08-2020 12:34:57</v>
      </c>
      <c r="B7438" t="str">
        <f>"0000803470"</f>
        <v>0000803470</v>
      </c>
      <c r="C7438" t="str">
        <f t="shared" si="3031"/>
        <v>0000803354</v>
      </c>
      <c r="D7438" t="str">
        <f t="shared" si="3034"/>
        <v>73185</v>
      </c>
      <c r="E7438" t="str">
        <f t="shared" si="3035"/>
        <v>KFH-OPERATIONS DEPARTMENT</v>
      </c>
      <c r="F7438" t="str">
        <f t="shared" si="3036"/>
        <v>IBG</v>
      </c>
      <c r="G7438" t="str">
        <f t="shared" si="3045"/>
        <v>Refund COSHARE 10</v>
      </c>
      <c r="H7438" s="2">
        <v>479</v>
      </c>
      <c r="I7438" t="str">
        <f>"MOHAMAD IKHWANEE BIN RABAIEE"</f>
        <v>MOHAMAD IKHWANEE BIN RABAIEE</v>
      </c>
      <c r="J7438" t="str">
        <f t="shared" si="3021"/>
        <v>BANK SIMPANAN NASIONAL</v>
      </c>
      <c r="K7438" t="str">
        <f>"1311541000126547"</f>
        <v>1311541000126547</v>
      </c>
      <c r="L7438" t="str">
        <f t="shared" si="3032"/>
        <v>04-08-2020</v>
      </c>
      <c r="M7438" t="str">
        <f t="shared" si="3032"/>
        <v>04-08-2020</v>
      </c>
      <c r="N7438" t="str">
        <f t="shared" si="3037"/>
        <v>001105018356</v>
      </c>
      <c r="O7438" t="str">
        <f t="shared" si="3038"/>
        <v>MYR</v>
      </c>
      <c r="P7438" t="str">
        <f t="shared" si="3033"/>
        <v>NIL</v>
      </c>
      <c r="Q7438" t="str">
        <f t="shared" si="3033"/>
        <v>NIL</v>
      </c>
      <c r="R7438" t="str">
        <f t="shared" si="3026"/>
        <v>Accepted</v>
      </c>
      <c r="S7438" t="str">
        <f t="shared" si="3039"/>
        <v>Approved</v>
      </c>
      <c r="T7438" t="str">
        <f t="shared" si="3027"/>
        <v>10.20.8.188</v>
      </c>
      <c r="U7438" t="str">
        <f t="shared" si="3040"/>
        <v>AZRAD UMAR BIN SHAARI</v>
      </c>
      <c r="V7438" t="str">
        <f t="shared" si="3041"/>
        <v>FARHANA BINTI MUSTAPA</v>
      </c>
      <c r="W7438" t="str">
        <f t="shared" si="3042"/>
        <v>04-08-2020</v>
      </c>
      <c r="X7438" t="str">
        <f t="shared" si="3043"/>
        <v>RAZIMAH ANSAR AHMAD</v>
      </c>
      <c r="Y7438" t="str">
        <f t="shared" si="3044"/>
        <v>04-08-2020</v>
      </c>
      <c r="Z7438" t="str">
        <f>"COS10200804 1716"</f>
        <v>COS10200804 1716</v>
      </c>
    </row>
    <row r="7439" spans="1:26" x14ac:dyDescent="0.25">
      <c r="A7439" t="str">
        <f t="shared" si="3030"/>
        <v>04-08-2020 12:34:57</v>
      </c>
      <c r="B7439" t="str">
        <f>"0000803469"</f>
        <v>0000803469</v>
      </c>
      <c r="C7439" t="str">
        <f t="shared" si="3031"/>
        <v>0000803354</v>
      </c>
      <c r="D7439" t="str">
        <f t="shared" si="3034"/>
        <v>73185</v>
      </c>
      <c r="E7439" t="str">
        <f t="shared" si="3035"/>
        <v>KFH-OPERATIONS DEPARTMENT</v>
      </c>
      <c r="F7439" t="str">
        <f t="shared" si="3036"/>
        <v>IBG</v>
      </c>
      <c r="G7439" t="str">
        <f t="shared" si="3045"/>
        <v>Refund COSHARE 10</v>
      </c>
      <c r="H7439" s="2">
        <v>759</v>
      </c>
      <c r="I7439" t="str">
        <f>"MOHAMAD FAIZUL BIN MOHD HANAFI"</f>
        <v>MOHAMAD FAIZUL BIN MOHD HANAFI</v>
      </c>
      <c r="J7439" t="str">
        <f t="shared" si="3021"/>
        <v>BANK SIMPANAN NASIONAL</v>
      </c>
      <c r="K7439" t="str">
        <f>"1012329000139367"</f>
        <v>1012329000139367</v>
      </c>
      <c r="L7439" t="str">
        <f t="shared" si="3032"/>
        <v>04-08-2020</v>
      </c>
      <c r="M7439" t="str">
        <f t="shared" si="3032"/>
        <v>04-08-2020</v>
      </c>
      <c r="N7439" t="str">
        <f t="shared" si="3037"/>
        <v>001105018356</v>
      </c>
      <c r="O7439" t="str">
        <f t="shared" si="3038"/>
        <v>MYR</v>
      </c>
      <c r="P7439" t="str">
        <f t="shared" si="3033"/>
        <v>NIL</v>
      </c>
      <c r="Q7439" t="str">
        <f t="shared" si="3033"/>
        <v>NIL</v>
      </c>
      <c r="R7439" t="str">
        <f t="shared" si="3026"/>
        <v>Accepted</v>
      </c>
      <c r="S7439" t="str">
        <f t="shared" si="3039"/>
        <v>Approved</v>
      </c>
      <c r="T7439" t="str">
        <f t="shared" si="3027"/>
        <v>10.20.8.188</v>
      </c>
      <c r="U7439" t="str">
        <f t="shared" si="3040"/>
        <v>AZRAD UMAR BIN SHAARI</v>
      </c>
      <c r="V7439" t="str">
        <f t="shared" si="3041"/>
        <v>FARHANA BINTI MUSTAPA</v>
      </c>
      <c r="W7439" t="str">
        <f t="shared" si="3042"/>
        <v>04-08-2020</v>
      </c>
      <c r="X7439" t="str">
        <f t="shared" si="3043"/>
        <v>RAZIMAH ANSAR AHMAD</v>
      </c>
      <c r="Y7439" t="str">
        <f t="shared" si="3044"/>
        <v>04-08-2020</v>
      </c>
      <c r="Z7439" t="str">
        <f>"COS10200804 1715"</f>
        <v>COS10200804 1715</v>
      </c>
    </row>
    <row r="7440" spans="1:26" x14ac:dyDescent="0.25">
      <c r="A7440" t="str">
        <f t="shared" si="3030"/>
        <v>04-08-2020 12:34:57</v>
      </c>
      <c r="B7440" t="str">
        <f>"0000803468"</f>
        <v>0000803468</v>
      </c>
      <c r="C7440" t="str">
        <f t="shared" si="3031"/>
        <v>0000803354</v>
      </c>
      <c r="D7440" t="str">
        <f t="shared" si="3034"/>
        <v>73185</v>
      </c>
      <c r="E7440" t="str">
        <f t="shared" si="3035"/>
        <v>KFH-OPERATIONS DEPARTMENT</v>
      </c>
      <c r="F7440" t="str">
        <f t="shared" si="3036"/>
        <v>IBG</v>
      </c>
      <c r="G7440" t="str">
        <f t="shared" si="3045"/>
        <v>Refund COSHARE 10</v>
      </c>
      <c r="H7440" s="2">
        <v>671.6</v>
      </c>
      <c r="I7440" t="str">
        <f>"MOHAMAD AZHAR BIN SULAIMAN"</f>
        <v>MOHAMAD AZHAR BIN SULAIMAN</v>
      </c>
      <c r="J7440" t="str">
        <f t="shared" si="3021"/>
        <v>BANK SIMPANAN NASIONAL</v>
      </c>
      <c r="K7440" t="str">
        <f>"0824641000004735"</f>
        <v>0824641000004735</v>
      </c>
      <c r="L7440" t="str">
        <f t="shared" si="3032"/>
        <v>04-08-2020</v>
      </c>
      <c r="M7440" t="str">
        <f t="shared" si="3032"/>
        <v>04-08-2020</v>
      </c>
      <c r="N7440" t="str">
        <f t="shared" si="3037"/>
        <v>001105018356</v>
      </c>
      <c r="O7440" t="str">
        <f t="shared" si="3038"/>
        <v>MYR</v>
      </c>
      <c r="P7440" t="str">
        <f t="shared" si="3033"/>
        <v>NIL</v>
      </c>
      <c r="Q7440" t="str">
        <f t="shared" si="3033"/>
        <v>NIL</v>
      </c>
      <c r="R7440" t="str">
        <f t="shared" si="3026"/>
        <v>Accepted</v>
      </c>
      <c r="S7440" t="str">
        <f t="shared" si="3039"/>
        <v>Approved</v>
      </c>
      <c r="T7440" t="str">
        <f t="shared" si="3027"/>
        <v>10.20.8.188</v>
      </c>
      <c r="U7440" t="str">
        <f t="shared" si="3040"/>
        <v>AZRAD UMAR BIN SHAARI</v>
      </c>
      <c r="V7440" t="str">
        <f t="shared" si="3041"/>
        <v>FARHANA BINTI MUSTAPA</v>
      </c>
      <c r="W7440" t="str">
        <f t="shared" si="3042"/>
        <v>04-08-2020</v>
      </c>
      <c r="X7440" t="str">
        <f t="shared" si="3043"/>
        <v>RAZIMAH ANSAR AHMAD</v>
      </c>
      <c r="Y7440" t="str">
        <f t="shared" si="3044"/>
        <v>04-08-2020</v>
      </c>
      <c r="Z7440" t="str">
        <f>"COS10200804 1714"</f>
        <v>COS10200804 1714</v>
      </c>
    </row>
    <row r="7441" spans="1:26" x14ac:dyDescent="0.25">
      <c r="A7441" t="str">
        <f t="shared" si="3030"/>
        <v>04-08-2020 12:34:57</v>
      </c>
      <c r="B7441" t="str">
        <f>"0000803467"</f>
        <v>0000803467</v>
      </c>
      <c r="C7441" t="str">
        <f t="shared" si="3031"/>
        <v>0000803354</v>
      </c>
      <c r="D7441" t="str">
        <f t="shared" si="3034"/>
        <v>73185</v>
      </c>
      <c r="E7441" t="str">
        <f t="shared" si="3035"/>
        <v>KFH-OPERATIONS DEPARTMENT</v>
      </c>
      <c r="F7441" t="str">
        <f t="shared" si="3036"/>
        <v>IBG</v>
      </c>
      <c r="G7441" t="str">
        <f t="shared" si="3045"/>
        <v>Refund COSHARE 10</v>
      </c>
      <c r="H7441" s="2">
        <v>671.6</v>
      </c>
      <c r="I7441" t="str">
        <f>"MOHAMAD AZHAR BIN SULAIMAN"</f>
        <v>MOHAMAD AZHAR BIN SULAIMAN</v>
      </c>
      <c r="J7441" t="str">
        <f t="shared" si="3021"/>
        <v>BANK SIMPANAN NASIONAL</v>
      </c>
      <c r="K7441" t="str">
        <f>"0824641000004735"</f>
        <v>0824641000004735</v>
      </c>
      <c r="L7441" t="str">
        <f t="shared" si="3032"/>
        <v>04-08-2020</v>
      </c>
      <c r="M7441" t="str">
        <f t="shared" si="3032"/>
        <v>04-08-2020</v>
      </c>
      <c r="N7441" t="str">
        <f t="shared" si="3037"/>
        <v>001105018356</v>
      </c>
      <c r="O7441" t="str">
        <f t="shared" si="3038"/>
        <v>MYR</v>
      </c>
      <c r="P7441" t="str">
        <f t="shared" si="3033"/>
        <v>NIL</v>
      </c>
      <c r="Q7441" t="str">
        <f t="shared" si="3033"/>
        <v>NIL</v>
      </c>
      <c r="R7441" t="str">
        <f t="shared" si="3026"/>
        <v>Accepted</v>
      </c>
      <c r="S7441" t="str">
        <f t="shared" si="3039"/>
        <v>Approved</v>
      </c>
      <c r="T7441" t="str">
        <f t="shared" si="3027"/>
        <v>10.20.8.188</v>
      </c>
      <c r="U7441" t="str">
        <f t="shared" si="3040"/>
        <v>AZRAD UMAR BIN SHAARI</v>
      </c>
      <c r="V7441" t="str">
        <f t="shared" si="3041"/>
        <v>FARHANA BINTI MUSTAPA</v>
      </c>
      <c r="W7441" t="str">
        <f t="shared" si="3042"/>
        <v>04-08-2020</v>
      </c>
      <c r="X7441" t="str">
        <f t="shared" si="3043"/>
        <v>RAZIMAH ANSAR AHMAD</v>
      </c>
      <c r="Y7441" t="str">
        <f t="shared" si="3044"/>
        <v>04-08-2020</v>
      </c>
      <c r="Z7441" t="str">
        <f>"COS10200804 1713"</f>
        <v>COS10200804 1713</v>
      </c>
    </row>
    <row r="7442" spans="1:26" x14ac:dyDescent="0.25">
      <c r="A7442" t="str">
        <f t="shared" si="3030"/>
        <v>04-08-2020 12:34:57</v>
      </c>
      <c r="B7442" t="str">
        <f>"0000803466"</f>
        <v>0000803466</v>
      </c>
      <c r="C7442" t="str">
        <f t="shared" si="3031"/>
        <v>0000803354</v>
      </c>
      <c r="D7442" t="str">
        <f t="shared" si="3034"/>
        <v>73185</v>
      </c>
      <c r="E7442" t="str">
        <f t="shared" si="3035"/>
        <v>KFH-OPERATIONS DEPARTMENT</v>
      </c>
      <c r="F7442" t="str">
        <f t="shared" si="3036"/>
        <v>IBG</v>
      </c>
      <c r="G7442" t="str">
        <f t="shared" si="3045"/>
        <v>Refund COSHARE 10</v>
      </c>
      <c r="H7442" s="2">
        <v>503.7</v>
      </c>
      <c r="I7442" t="str">
        <f>"MOHAMAD ASRAF BIN MD NOH"</f>
        <v>MOHAMAD ASRAF BIN MD NOH</v>
      </c>
      <c r="J7442" t="str">
        <f t="shared" si="3021"/>
        <v>BANK SIMPANAN NASIONAL</v>
      </c>
      <c r="K7442" t="str">
        <f>"0114629000060333"</f>
        <v>0114629000060333</v>
      </c>
      <c r="L7442" t="str">
        <f t="shared" si="3032"/>
        <v>04-08-2020</v>
      </c>
      <c r="M7442" t="str">
        <f t="shared" si="3032"/>
        <v>04-08-2020</v>
      </c>
      <c r="N7442" t="str">
        <f t="shared" si="3037"/>
        <v>001105018356</v>
      </c>
      <c r="O7442" t="str">
        <f t="shared" si="3038"/>
        <v>MYR</v>
      </c>
      <c r="P7442" t="str">
        <f t="shared" si="3033"/>
        <v>NIL</v>
      </c>
      <c r="Q7442" t="str">
        <f t="shared" si="3033"/>
        <v>NIL</v>
      </c>
      <c r="R7442" t="str">
        <f t="shared" si="3026"/>
        <v>Accepted</v>
      </c>
      <c r="S7442" t="str">
        <f t="shared" si="3039"/>
        <v>Approved</v>
      </c>
      <c r="T7442" t="str">
        <f t="shared" si="3027"/>
        <v>10.20.8.188</v>
      </c>
      <c r="U7442" t="str">
        <f t="shared" si="3040"/>
        <v>AZRAD UMAR BIN SHAARI</v>
      </c>
      <c r="V7442" t="str">
        <f t="shared" si="3041"/>
        <v>FARHANA BINTI MUSTAPA</v>
      </c>
      <c r="W7442" t="str">
        <f t="shared" si="3042"/>
        <v>04-08-2020</v>
      </c>
      <c r="X7442" t="str">
        <f t="shared" si="3043"/>
        <v>RAZIMAH ANSAR AHMAD</v>
      </c>
      <c r="Y7442" t="str">
        <f t="shared" si="3044"/>
        <v>04-08-2020</v>
      </c>
      <c r="Z7442" t="str">
        <f>"COS10200804 1712"</f>
        <v>COS10200804 1712</v>
      </c>
    </row>
    <row r="7443" spans="1:26" x14ac:dyDescent="0.25">
      <c r="A7443" t="str">
        <f t="shared" si="3030"/>
        <v>04-08-2020 12:34:57</v>
      </c>
      <c r="B7443" t="str">
        <f>"0000803465"</f>
        <v>0000803465</v>
      </c>
      <c r="C7443" t="str">
        <f t="shared" si="3031"/>
        <v>0000803354</v>
      </c>
      <c r="D7443" t="str">
        <f t="shared" si="3034"/>
        <v>73185</v>
      </c>
      <c r="E7443" t="str">
        <f t="shared" si="3035"/>
        <v>KFH-OPERATIONS DEPARTMENT</v>
      </c>
      <c r="F7443" t="str">
        <f t="shared" si="3036"/>
        <v>IBG</v>
      </c>
      <c r="G7443" t="str">
        <f t="shared" si="3045"/>
        <v>Refund COSHARE 10</v>
      </c>
      <c r="H7443" s="2">
        <v>1007.4</v>
      </c>
      <c r="I7443" t="str">
        <f>"MOHAMAD ADHHA BIN MAHRI"</f>
        <v>MOHAMAD ADHHA BIN MAHRI</v>
      </c>
      <c r="J7443" t="str">
        <f t="shared" si="3021"/>
        <v>BANK SIMPANAN NASIONAL</v>
      </c>
      <c r="K7443" t="str">
        <f>"1312929000012281"</f>
        <v>1312929000012281</v>
      </c>
      <c r="L7443" t="str">
        <f t="shared" si="3032"/>
        <v>04-08-2020</v>
      </c>
      <c r="M7443" t="str">
        <f t="shared" si="3032"/>
        <v>04-08-2020</v>
      </c>
      <c r="N7443" t="str">
        <f t="shared" si="3037"/>
        <v>001105018356</v>
      </c>
      <c r="O7443" t="str">
        <f t="shared" si="3038"/>
        <v>MYR</v>
      </c>
      <c r="P7443" t="str">
        <f t="shared" si="3033"/>
        <v>NIL</v>
      </c>
      <c r="Q7443" t="str">
        <f t="shared" si="3033"/>
        <v>NIL</v>
      </c>
      <c r="R7443" t="str">
        <f t="shared" si="3026"/>
        <v>Accepted</v>
      </c>
      <c r="S7443" t="str">
        <f t="shared" si="3039"/>
        <v>Approved</v>
      </c>
      <c r="T7443" t="str">
        <f t="shared" si="3027"/>
        <v>10.20.8.188</v>
      </c>
      <c r="U7443" t="str">
        <f t="shared" si="3040"/>
        <v>AZRAD UMAR BIN SHAARI</v>
      </c>
      <c r="V7443" t="str">
        <f t="shared" si="3041"/>
        <v>FARHANA BINTI MUSTAPA</v>
      </c>
      <c r="W7443" t="str">
        <f t="shared" si="3042"/>
        <v>04-08-2020</v>
      </c>
      <c r="X7443" t="str">
        <f t="shared" si="3043"/>
        <v>RAZIMAH ANSAR AHMAD</v>
      </c>
      <c r="Y7443" t="str">
        <f t="shared" si="3044"/>
        <v>04-08-2020</v>
      </c>
      <c r="Z7443" t="str">
        <f>"COS10200804 1711"</f>
        <v>COS10200804 1711</v>
      </c>
    </row>
    <row r="7444" spans="1:26" x14ac:dyDescent="0.25">
      <c r="A7444" t="str">
        <f t="shared" si="3030"/>
        <v>04-08-2020 12:34:57</v>
      </c>
      <c r="B7444" t="str">
        <f>"0000803464"</f>
        <v>0000803464</v>
      </c>
      <c r="C7444" t="str">
        <f t="shared" si="3031"/>
        <v>0000803354</v>
      </c>
      <c r="D7444" t="str">
        <f t="shared" si="3034"/>
        <v>73185</v>
      </c>
      <c r="E7444" t="str">
        <f t="shared" si="3035"/>
        <v>KFH-OPERATIONS DEPARTMENT</v>
      </c>
      <c r="F7444" t="str">
        <f t="shared" si="3036"/>
        <v>IBG</v>
      </c>
      <c r="G7444" t="str">
        <f t="shared" si="3045"/>
        <v>Refund COSHARE 10</v>
      </c>
      <c r="H7444" s="2">
        <v>167.9</v>
      </c>
      <c r="I7444" t="str">
        <f>"MICHAEL AK TIBUL"</f>
        <v>MICHAEL AK TIBUL</v>
      </c>
      <c r="J7444" t="str">
        <f t="shared" ref="J7444:J7507" si="3046">"BANK SIMPANAN NASIONAL"</f>
        <v>BANK SIMPANAN NASIONAL</v>
      </c>
      <c r="K7444" t="str">
        <f>"0822829840116320"</f>
        <v>0822829840116320</v>
      </c>
      <c r="L7444" t="str">
        <f t="shared" si="3032"/>
        <v>04-08-2020</v>
      </c>
      <c r="M7444" t="str">
        <f t="shared" si="3032"/>
        <v>04-08-2020</v>
      </c>
      <c r="N7444" t="str">
        <f t="shared" si="3037"/>
        <v>001105018356</v>
      </c>
      <c r="O7444" t="str">
        <f t="shared" si="3038"/>
        <v>MYR</v>
      </c>
      <c r="P7444" t="str">
        <f t="shared" si="3033"/>
        <v>NIL</v>
      </c>
      <c r="Q7444" t="str">
        <f t="shared" si="3033"/>
        <v>NIL</v>
      </c>
      <c r="R7444" t="str">
        <f t="shared" si="3026"/>
        <v>Accepted</v>
      </c>
      <c r="S7444" t="str">
        <f t="shared" si="3039"/>
        <v>Approved</v>
      </c>
      <c r="T7444" t="str">
        <f t="shared" si="3027"/>
        <v>10.20.8.188</v>
      </c>
      <c r="U7444" t="str">
        <f t="shared" si="3040"/>
        <v>AZRAD UMAR BIN SHAARI</v>
      </c>
      <c r="V7444" t="str">
        <f t="shared" si="3041"/>
        <v>FARHANA BINTI MUSTAPA</v>
      </c>
      <c r="W7444" t="str">
        <f t="shared" si="3042"/>
        <v>04-08-2020</v>
      </c>
      <c r="X7444" t="str">
        <f t="shared" si="3043"/>
        <v>RAZIMAH ANSAR AHMAD</v>
      </c>
      <c r="Y7444" t="str">
        <f t="shared" si="3044"/>
        <v>04-08-2020</v>
      </c>
      <c r="Z7444" t="str">
        <f>"COS10200804 1710"</f>
        <v>COS10200804 1710</v>
      </c>
    </row>
    <row r="7445" spans="1:26" x14ac:dyDescent="0.25">
      <c r="A7445" t="str">
        <f t="shared" si="3030"/>
        <v>04-08-2020 12:34:57</v>
      </c>
      <c r="B7445" t="str">
        <f>"0000803463"</f>
        <v>0000803463</v>
      </c>
      <c r="C7445" t="str">
        <f t="shared" si="3031"/>
        <v>0000803354</v>
      </c>
      <c r="D7445" t="str">
        <f t="shared" si="3034"/>
        <v>73185</v>
      </c>
      <c r="E7445" t="str">
        <f t="shared" si="3035"/>
        <v>KFH-OPERATIONS DEPARTMENT</v>
      </c>
      <c r="F7445" t="str">
        <f t="shared" si="3036"/>
        <v>IBG</v>
      </c>
      <c r="G7445" t="str">
        <f t="shared" si="3045"/>
        <v>Refund COSHARE 10</v>
      </c>
      <c r="H7445" s="2">
        <v>887.05</v>
      </c>
      <c r="I7445" t="str">
        <f>"MEGAT FUAD BIN MEGAT ZAINUDI"</f>
        <v>MEGAT FUAD BIN MEGAT ZAINUDI</v>
      </c>
      <c r="J7445" t="str">
        <f t="shared" si="3046"/>
        <v>BANK SIMPANAN NASIONAL</v>
      </c>
      <c r="K7445" t="str">
        <f>"0820029899019852"</f>
        <v>0820029899019852</v>
      </c>
      <c r="L7445" t="str">
        <f t="shared" si="3032"/>
        <v>04-08-2020</v>
      </c>
      <c r="M7445" t="str">
        <f t="shared" si="3032"/>
        <v>04-08-2020</v>
      </c>
      <c r="N7445" t="str">
        <f t="shared" si="3037"/>
        <v>001105018356</v>
      </c>
      <c r="O7445" t="str">
        <f t="shared" si="3038"/>
        <v>MYR</v>
      </c>
      <c r="P7445" t="str">
        <f t="shared" si="3033"/>
        <v>NIL</v>
      </c>
      <c r="Q7445" t="str">
        <f t="shared" si="3033"/>
        <v>NIL</v>
      </c>
      <c r="R7445" t="str">
        <f t="shared" si="3026"/>
        <v>Accepted</v>
      </c>
      <c r="S7445" t="str">
        <f t="shared" si="3039"/>
        <v>Approved</v>
      </c>
      <c r="T7445" t="str">
        <f t="shared" si="3027"/>
        <v>10.20.8.188</v>
      </c>
      <c r="U7445" t="str">
        <f t="shared" si="3040"/>
        <v>AZRAD UMAR BIN SHAARI</v>
      </c>
      <c r="V7445" t="str">
        <f t="shared" si="3041"/>
        <v>FARHANA BINTI MUSTAPA</v>
      </c>
      <c r="W7445" t="str">
        <f t="shared" si="3042"/>
        <v>04-08-2020</v>
      </c>
      <c r="X7445" t="str">
        <f t="shared" si="3043"/>
        <v>RAZIMAH ANSAR AHMAD</v>
      </c>
      <c r="Y7445" t="str">
        <f t="shared" si="3044"/>
        <v>04-08-2020</v>
      </c>
      <c r="Z7445" t="str">
        <f>"COS10200804 1709"</f>
        <v>COS10200804 1709</v>
      </c>
    </row>
    <row r="7446" spans="1:26" x14ac:dyDescent="0.25">
      <c r="A7446" t="str">
        <f t="shared" si="3030"/>
        <v>04-08-2020 12:34:57</v>
      </c>
      <c r="B7446" t="str">
        <f>"0000803462"</f>
        <v>0000803462</v>
      </c>
      <c r="C7446" t="str">
        <f t="shared" si="3031"/>
        <v>0000803354</v>
      </c>
      <c r="D7446" t="str">
        <f t="shared" si="3034"/>
        <v>73185</v>
      </c>
      <c r="E7446" t="str">
        <f t="shared" si="3035"/>
        <v>KFH-OPERATIONS DEPARTMENT</v>
      </c>
      <c r="F7446" t="str">
        <f t="shared" si="3036"/>
        <v>IBG</v>
      </c>
      <c r="G7446" t="str">
        <f t="shared" si="3045"/>
        <v>Refund COSHARE 10</v>
      </c>
      <c r="H7446" s="2">
        <v>816</v>
      </c>
      <c r="I7446" t="str">
        <f>"MD TALMIZI BIN ALI"</f>
        <v>MD TALMIZI BIN ALI</v>
      </c>
      <c r="J7446" t="str">
        <f t="shared" si="3046"/>
        <v>BANK SIMPANAN NASIONAL</v>
      </c>
      <c r="K7446" t="str">
        <f>"0310029893915609"</f>
        <v>0310029893915609</v>
      </c>
      <c r="L7446" t="str">
        <f t="shared" si="3032"/>
        <v>04-08-2020</v>
      </c>
      <c r="M7446" t="str">
        <f t="shared" si="3032"/>
        <v>04-08-2020</v>
      </c>
      <c r="N7446" t="str">
        <f t="shared" si="3037"/>
        <v>001105018356</v>
      </c>
      <c r="O7446" t="str">
        <f t="shared" si="3038"/>
        <v>MYR</v>
      </c>
      <c r="P7446" t="str">
        <f t="shared" si="3033"/>
        <v>NIL</v>
      </c>
      <c r="Q7446" t="str">
        <f t="shared" si="3033"/>
        <v>NIL</v>
      </c>
      <c r="R7446" t="str">
        <f t="shared" si="3026"/>
        <v>Accepted</v>
      </c>
      <c r="S7446" t="str">
        <f t="shared" si="3039"/>
        <v>Approved</v>
      </c>
      <c r="T7446" t="str">
        <f t="shared" si="3027"/>
        <v>10.20.8.188</v>
      </c>
      <c r="U7446" t="str">
        <f t="shared" si="3040"/>
        <v>AZRAD UMAR BIN SHAARI</v>
      </c>
      <c r="V7446" t="str">
        <f t="shared" si="3041"/>
        <v>FARHANA BINTI MUSTAPA</v>
      </c>
      <c r="W7446" t="str">
        <f t="shared" si="3042"/>
        <v>04-08-2020</v>
      </c>
      <c r="X7446" t="str">
        <f t="shared" si="3043"/>
        <v>RAZIMAH ANSAR AHMAD</v>
      </c>
      <c r="Y7446" t="str">
        <f t="shared" si="3044"/>
        <v>04-08-2020</v>
      </c>
      <c r="Z7446" t="str">
        <f>"COS10200804 1708"</f>
        <v>COS10200804 1708</v>
      </c>
    </row>
    <row r="7447" spans="1:26" x14ac:dyDescent="0.25">
      <c r="A7447" t="str">
        <f t="shared" si="3030"/>
        <v>04-08-2020 12:34:57</v>
      </c>
      <c r="B7447" t="str">
        <f>"0000803461"</f>
        <v>0000803461</v>
      </c>
      <c r="C7447" t="str">
        <f t="shared" si="3031"/>
        <v>0000803354</v>
      </c>
      <c r="D7447" t="str">
        <f t="shared" si="3034"/>
        <v>73185</v>
      </c>
      <c r="E7447" t="str">
        <f t="shared" si="3035"/>
        <v>KFH-OPERATIONS DEPARTMENT</v>
      </c>
      <c r="F7447" t="str">
        <f t="shared" si="3036"/>
        <v>IBG</v>
      </c>
      <c r="G7447" t="str">
        <f t="shared" si="3045"/>
        <v>Refund COSHARE 10</v>
      </c>
      <c r="H7447" s="2">
        <v>1420</v>
      </c>
      <c r="I7447" t="str">
        <f>"MD SABRI BIN MD NOR"</f>
        <v>MD SABRI BIN MD NOR</v>
      </c>
      <c r="J7447" t="str">
        <f t="shared" si="3046"/>
        <v>BANK SIMPANAN NASIONAL</v>
      </c>
      <c r="K7447" t="str">
        <f>"0310929850357969"</f>
        <v>0310929850357969</v>
      </c>
      <c r="L7447" t="str">
        <f t="shared" ref="L7447:M7466" si="3047">"04-08-2020"</f>
        <v>04-08-2020</v>
      </c>
      <c r="M7447" t="str">
        <f t="shared" si="3047"/>
        <v>04-08-2020</v>
      </c>
      <c r="N7447" t="str">
        <f t="shared" si="3037"/>
        <v>001105018356</v>
      </c>
      <c r="O7447" t="str">
        <f t="shared" si="3038"/>
        <v>MYR</v>
      </c>
      <c r="P7447" t="str">
        <f t="shared" ref="P7447:Q7466" si="3048">"NIL"</f>
        <v>NIL</v>
      </c>
      <c r="Q7447" t="str">
        <f t="shared" si="3048"/>
        <v>NIL</v>
      </c>
      <c r="R7447" t="str">
        <f t="shared" si="3026"/>
        <v>Accepted</v>
      </c>
      <c r="S7447" t="str">
        <f t="shared" si="3039"/>
        <v>Approved</v>
      </c>
      <c r="T7447" t="str">
        <f t="shared" si="3027"/>
        <v>10.20.8.188</v>
      </c>
      <c r="U7447" t="str">
        <f t="shared" si="3040"/>
        <v>AZRAD UMAR BIN SHAARI</v>
      </c>
      <c r="V7447" t="str">
        <f t="shared" si="3041"/>
        <v>FARHANA BINTI MUSTAPA</v>
      </c>
      <c r="W7447" t="str">
        <f t="shared" si="3042"/>
        <v>04-08-2020</v>
      </c>
      <c r="X7447" t="str">
        <f t="shared" si="3043"/>
        <v>RAZIMAH ANSAR AHMAD</v>
      </c>
      <c r="Y7447" t="str">
        <f t="shared" si="3044"/>
        <v>04-08-2020</v>
      </c>
      <c r="Z7447" t="str">
        <f>"COS10200804 1707"</f>
        <v>COS10200804 1707</v>
      </c>
    </row>
    <row r="7448" spans="1:26" x14ac:dyDescent="0.25">
      <c r="A7448" t="str">
        <f t="shared" si="3030"/>
        <v>04-08-2020 12:34:57</v>
      </c>
      <c r="B7448" t="str">
        <f>"0000803460"</f>
        <v>0000803460</v>
      </c>
      <c r="C7448" t="str">
        <f t="shared" si="3031"/>
        <v>0000803354</v>
      </c>
      <c r="D7448" t="str">
        <f t="shared" si="3034"/>
        <v>73185</v>
      </c>
      <c r="E7448" t="str">
        <f t="shared" si="3035"/>
        <v>KFH-OPERATIONS DEPARTMENT</v>
      </c>
      <c r="F7448" t="str">
        <f t="shared" si="3036"/>
        <v>IBG</v>
      </c>
      <c r="G7448" t="str">
        <f t="shared" si="3045"/>
        <v>Refund COSHARE 10</v>
      </c>
      <c r="H7448" s="2">
        <v>549</v>
      </c>
      <c r="I7448" t="str">
        <f>"MD JAIS BIN MD SAID"</f>
        <v>MD JAIS BIN MD SAID</v>
      </c>
      <c r="J7448" t="str">
        <f t="shared" si="3046"/>
        <v>BANK SIMPANAN NASIONAL</v>
      </c>
      <c r="K7448" t="str">
        <f>"0630029863848275"</f>
        <v>0630029863848275</v>
      </c>
      <c r="L7448" t="str">
        <f t="shared" si="3047"/>
        <v>04-08-2020</v>
      </c>
      <c r="M7448" t="str">
        <f t="shared" si="3047"/>
        <v>04-08-2020</v>
      </c>
      <c r="N7448" t="str">
        <f t="shared" si="3037"/>
        <v>001105018356</v>
      </c>
      <c r="O7448" t="str">
        <f t="shared" si="3038"/>
        <v>MYR</v>
      </c>
      <c r="P7448" t="str">
        <f t="shared" si="3048"/>
        <v>NIL</v>
      </c>
      <c r="Q7448" t="str">
        <f t="shared" si="3048"/>
        <v>NIL</v>
      </c>
      <c r="R7448" t="str">
        <f t="shared" si="3026"/>
        <v>Accepted</v>
      </c>
      <c r="S7448" t="str">
        <f t="shared" si="3039"/>
        <v>Approved</v>
      </c>
      <c r="T7448" t="str">
        <f t="shared" si="3027"/>
        <v>10.20.8.188</v>
      </c>
      <c r="U7448" t="str">
        <f t="shared" si="3040"/>
        <v>AZRAD UMAR BIN SHAARI</v>
      </c>
      <c r="V7448" t="str">
        <f t="shared" si="3041"/>
        <v>FARHANA BINTI MUSTAPA</v>
      </c>
      <c r="W7448" t="str">
        <f t="shared" si="3042"/>
        <v>04-08-2020</v>
      </c>
      <c r="X7448" t="str">
        <f t="shared" si="3043"/>
        <v>RAZIMAH ANSAR AHMAD</v>
      </c>
      <c r="Y7448" t="str">
        <f t="shared" si="3044"/>
        <v>04-08-2020</v>
      </c>
      <c r="Z7448" t="str">
        <f>"COS10200804 1706"</f>
        <v>COS10200804 1706</v>
      </c>
    </row>
    <row r="7449" spans="1:26" x14ac:dyDescent="0.25">
      <c r="A7449" t="str">
        <f t="shared" si="3030"/>
        <v>04-08-2020 12:34:57</v>
      </c>
      <c r="B7449" t="str">
        <f>"0000803459"</f>
        <v>0000803459</v>
      </c>
      <c r="C7449" t="str">
        <f t="shared" si="3031"/>
        <v>0000803354</v>
      </c>
      <c r="D7449" t="str">
        <f t="shared" si="3034"/>
        <v>73185</v>
      </c>
      <c r="E7449" t="str">
        <f t="shared" si="3035"/>
        <v>KFH-OPERATIONS DEPARTMENT</v>
      </c>
      <c r="F7449" t="str">
        <f t="shared" si="3036"/>
        <v>IBG</v>
      </c>
      <c r="G7449" t="str">
        <f t="shared" si="3045"/>
        <v>Refund COSHARE 10</v>
      </c>
      <c r="H7449" s="2">
        <v>1644</v>
      </c>
      <c r="I7449" t="str">
        <f>"MD DAUD BIN MAT NASIB"</f>
        <v>MD DAUD BIN MAT NASIB</v>
      </c>
      <c r="J7449" t="str">
        <f t="shared" si="3046"/>
        <v>BANK SIMPANAN NASIONAL</v>
      </c>
      <c r="K7449" t="str">
        <f>"1412329891240109"</f>
        <v>1412329891240109</v>
      </c>
      <c r="L7449" t="str">
        <f t="shared" si="3047"/>
        <v>04-08-2020</v>
      </c>
      <c r="M7449" t="str">
        <f t="shared" si="3047"/>
        <v>04-08-2020</v>
      </c>
      <c r="N7449" t="str">
        <f t="shared" si="3037"/>
        <v>001105018356</v>
      </c>
      <c r="O7449" t="str">
        <f t="shared" si="3038"/>
        <v>MYR</v>
      </c>
      <c r="P7449" t="str">
        <f t="shared" si="3048"/>
        <v>NIL</v>
      </c>
      <c r="Q7449" t="str">
        <f t="shared" si="3048"/>
        <v>NIL</v>
      </c>
      <c r="R7449" t="str">
        <f t="shared" si="3026"/>
        <v>Accepted</v>
      </c>
      <c r="S7449" t="str">
        <f t="shared" si="3039"/>
        <v>Approved</v>
      </c>
      <c r="T7449" t="str">
        <f t="shared" si="3027"/>
        <v>10.20.8.188</v>
      </c>
      <c r="U7449" t="str">
        <f t="shared" si="3040"/>
        <v>AZRAD UMAR BIN SHAARI</v>
      </c>
      <c r="V7449" t="str">
        <f t="shared" si="3041"/>
        <v>FARHANA BINTI MUSTAPA</v>
      </c>
      <c r="W7449" t="str">
        <f t="shared" si="3042"/>
        <v>04-08-2020</v>
      </c>
      <c r="X7449" t="str">
        <f t="shared" si="3043"/>
        <v>RAZIMAH ANSAR AHMAD</v>
      </c>
      <c r="Y7449" t="str">
        <f t="shared" si="3044"/>
        <v>04-08-2020</v>
      </c>
      <c r="Z7449" t="str">
        <f>"COS10200804 1705"</f>
        <v>COS10200804 1705</v>
      </c>
    </row>
    <row r="7450" spans="1:26" x14ac:dyDescent="0.25">
      <c r="A7450" t="str">
        <f t="shared" ref="A7450:A7481" si="3049">"04-08-2020 12:34:57"</f>
        <v>04-08-2020 12:34:57</v>
      </c>
      <c r="B7450" t="str">
        <f>"0000803458"</f>
        <v>0000803458</v>
      </c>
      <c r="C7450" t="str">
        <f t="shared" ref="C7450:C7481" si="3050">"0000803354"</f>
        <v>0000803354</v>
      </c>
      <c r="D7450" t="str">
        <f t="shared" si="3034"/>
        <v>73185</v>
      </c>
      <c r="E7450" t="str">
        <f t="shared" si="3035"/>
        <v>KFH-OPERATIONS DEPARTMENT</v>
      </c>
      <c r="F7450" t="str">
        <f t="shared" si="3036"/>
        <v>IBG</v>
      </c>
      <c r="G7450" t="str">
        <f t="shared" si="3045"/>
        <v>Refund COSHARE 10</v>
      </c>
      <c r="H7450" s="2">
        <v>953.2</v>
      </c>
      <c r="I7450" t="str">
        <f>"MD AFFINDI BIN IBRAHIM"</f>
        <v>MD AFFINDI BIN IBRAHIM</v>
      </c>
      <c r="J7450" t="str">
        <f t="shared" si="3046"/>
        <v>BANK SIMPANAN NASIONAL</v>
      </c>
      <c r="K7450" t="str">
        <f>"0670029000054346"</f>
        <v>0670029000054346</v>
      </c>
      <c r="L7450" t="str">
        <f t="shared" si="3047"/>
        <v>04-08-2020</v>
      </c>
      <c r="M7450" t="str">
        <f t="shared" si="3047"/>
        <v>04-08-2020</v>
      </c>
      <c r="N7450" t="str">
        <f t="shared" si="3037"/>
        <v>001105018356</v>
      </c>
      <c r="O7450" t="str">
        <f t="shared" si="3038"/>
        <v>MYR</v>
      </c>
      <c r="P7450" t="str">
        <f t="shared" si="3048"/>
        <v>NIL</v>
      </c>
      <c r="Q7450" t="str">
        <f t="shared" si="3048"/>
        <v>NIL</v>
      </c>
      <c r="R7450" t="str">
        <f t="shared" si="3026"/>
        <v>Accepted</v>
      </c>
      <c r="S7450" t="str">
        <f t="shared" si="3039"/>
        <v>Approved</v>
      </c>
      <c r="T7450" t="str">
        <f t="shared" si="3027"/>
        <v>10.20.8.188</v>
      </c>
      <c r="U7450" t="str">
        <f t="shared" si="3040"/>
        <v>AZRAD UMAR BIN SHAARI</v>
      </c>
      <c r="V7450" t="str">
        <f t="shared" si="3041"/>
        <v>FARHANA BINTI MUSTAPA</v>
      </c>
      <c r="W7450" t="str">
        <f t="shared" si="3042"/>
        <v>04-08-2020</v>
      </c>
      <c r="X7450" t="str">
        <f t="shared" si="3043"/>
        <v>RAZIMAH ANSAR AHMAD</v>
      </c>
      <c r="Y7450" t="str">
        <f t="shared" si="3044"/>
        <v>04-08-2020</v>
      </c>
      <c r="Z7450" t="str">
        <f>"COS10200804 1704"</f>
        <v>COS10200804 1704</v>
      </c>
    </row>
    <row r="7451" spans="1:26" x14ac:dyDescent="0.25">
      <c r="A7451" t="str">
        <f t="shared" si="3049"/>
        <v>04-08-2020 12:34:57</v>
      </c>
      <c r="B7451" t="str">
        <f>"0000803457"</f>
        <v>0000803457</v>
      </c>
      <c r="C7451" t="str">
        <f t="shared" si="3050"/>
        <v>0000803354</v>
      </c>
      <c r="D7451" t="str">
        <f t="shared" si="3034"/>
        <v>73185</v>
      </c>
      <c r="E7451" t="str">
        <f t="shared" si="3035"/>
        <v>KFH-OPERATIONS DEPARTMENT</v>
      </c>
      <c r="F7451" t="str">
        <f t="shared" si="3036"/>
        <v>IBG</v>
      </c>
      <c r="G7451" t="str">
        <f t="shared" si="3045"/>
        <v>Refund COSHARE 10</v>
      </c>
      <c r="H7451" s="2">
        <v>889.9</v>
      </c>
      <c r="I7451" t="str">
        <f>"MAZZURANI NOOR FILLI BINTI MATUSIN"</f>
        <v>MAZZURANI NOOR FILLI BINTI MATUSIN</v>
      </c>
      <c r="J7451" t="str">
        <f t="shared" si="3046"/>
        <v>BANK SIMPANAN NASIONAL</v>
      </c>
      <c r="K7451" t="str">
        <f>"1212229827071212"</f>
        <v>1212229827071212</v>
      </c>
      <c r="L7451" t="str">
        <f t="shared" si="3047"/>
        <v>04-08-2020</v>
      </c>
      <c r="M7451" t="str">
        <f t="shared" si="3047"/>
        <v>04-08-2020</v>
      </c>
      <c r="N7451" t="str">
        <f t="shared" si="3037"/>
        <v>001105018356</v>
      </c>
      <c r="O7451" t="str">
        <f t="shared" si="3038"/>
        <v>MYR</v>
      </c>
      <c r="P7451" t="str">
        <f t="shared" si="3048"/>
        <v>NIL</v>
      </c>
      <c r="Q7451" t="str">
        <f t="shared" si="3048"/>
        <v>NIL</v>
      </c>
      <c r="R7451" t="str">
        <f t="shared" si="3026"/>
        <v>Accepted</v>
      </c>
      <c r="S7451" t="str">
        <f t="shared" si="3039"/>
        <v>Approved</v>
      </c>
      <c r="T7451" t="str">
        <f t="shared" si="3027"/>
        <v>10.20.8.188</v>
      </c>
      <c r="U7451" t="str">
        <f t="shared" si="3040"/>
        <v>AZRAD UMAR BIN SHAARI</v>
      </c>
      <c r="V7451" t="str">
        <f t="shared" si="3041"/>
        <v>FARHANA BINTI MUSTAPA</v>
      </c>
      <c r="W7451" t="str">
        <f t="shared" si="3042"/>
        <v>04-08-2020</v>
      </c>
      <c r="X7451" t="str">
        <f t="shared" si="3043"/>
        <v>RAZIMAH ANSAR AHMAD</v>
      </c>
      <c r="Y7451" t="str">
        <f t="shared" si="3044"/>
        <v>04-08-2020</v>
      </c>
      <c r="Z7451" t="str">
        <f>"COS10200804 1703"</f>
        <v>COS10200804 1703</v>
      </c>
    </row>
    <row r="7452" spans="1:26" x14ac:dyDescent="0.25">
      <c r="A7452" t="str">
        <f t="shared" si="3049"/>
        <v>04-08-2020 12:34:57</v>
      </c>
      <c r="B7452" t="str">
        <f>"0000803456"</f>
        <v>0000803456</v>
      </c>
      <c r="C7452" t="str">
        <f t="shared" si="3050"/>
        <v>0000803354</v>
      </c>
      <c r="D7452" t="str">
        <f t="shared" si="3034"/>
        <v>73185</v>
      </c>
      <c r="E7452" t="str">
        <f t="shared" si="3035"/>
        <v>KFH-OPERATIONS DEPARTMENT</v>
      </c>
      <c r="F7452" t="str">
        <f t="shared" si="3036"/>
        <v>IBG</v>
      </c>
      <c r="G7452" t="str">
        <f t="shared" si="3045"/>
        <v>Refund COSHARE 10</v>
      </c>
      <c r="H7452" s="2">
        <v>409.3</v>
      </c>
      <c r="I7452" t="str">
        <f>"MAZNUNI BINTI CHE YUSOF"</f>
        <v>MAZNUNI BINTI CHE YUSOF</v>
      </c>
      <c r="J7452" t="str">
        <f t="shared" si="3046"/>
        <v>BANK SIMPANAN NASIONAL</v>
      </c>
      <c r="K7452" t="str">
        <f>"0310229852475793"</f>
        <v>0310229852475793</v>
      </c>
      <c r="L7452" t="str">
        <f t="shared" si="3047"/>
        <v>04-08-2020</v>
      </c>
      <c r="M7452" t="str">
        <f t="shared" si="3047"/>
        <v>04-08-2020</v>
      </c>
      <c r="N7452" t="str">
        <f t="shared" si="3037"/>
        <v>001105018356</v>
      </c>
      <c r="O7452" t="str">
        <f t="shared" si="3038"/>
        <v>MYR</v>
      </c>
      <c r="P7452" t="str">
        <f t="shared" si="3048"/>
        <v>NIL</v>
      </c>
      <c r="Q7452" t="str">
        <f t="shared" si="3048"/>
        <v>NIL</v>
      </c>
      <c r="R7452" t="str">
        <f t="shared" si="3026"/>
        <v>Accepted</v>
      </c>
      <c r="S7452" t="str">
        <f t="shared" si="3039"/>
        <v>Approved</v>
      </c>
      <c r="T7452" t="str">
        <f t="shared" si="3027"/>
        <v>10.20.8.188</v>
      </c>
      <c r="U7452" t="str">
        <f t="shared" si="3040"/>
        <v>AZRAD UMAR BIN SHAARI</v>
      </c>
      <c r="V7452" t="str">
        <f t="shared" si="3041"/>
        <v>FARHANA BINTI MUSTAPA</v>
      </c>
      <c r="W7452" t="str">
        <f t="shared" si="3042"/>
        <v>04-08-2020</v>
      </c>
      <c r="X7452" t="str">
        <f t="shared" si="3043"/>
        <v>RAZIMAH ANSAR AHMAD</v>
      </c>
      <c r="Y7452" t="str">
        <f t="shared" si="3044"/>
        <v>04-08-2020</v>
      </c>
      <c r="Z7452" t="str">
        <f>"COS10200804 1702"</f>
        <v>COS10200804 1702</v>
      </c>
    </row>
    <row r="7453" spans="1:26" x14ac:dyDescent="0.25">
      <c r="A7453" t="str">
        <f t="shared" si="3049"/>
        <v>04-08-2020 12:34:57</v>
      </c>
      <c r="B7453" t="str">
        <f>"0000803455"</f>
        <v>0000803455</v>
      </c>
      <c r="C7453" t="str">
        <f t="shared" si="3050"/>
        <v>0000803354</v>
      </c>
      <c r="D7453" t="str">
        <f t="shared" si="3034"/>
        <v>73185</v>
      </c>
      <c r="E7453" t="str">
        <f t="shared" si="3035"/>
        <v>KFH-OPERATIONS DEPARTMENT</v>
      </c>
      <c r="F7453" t="str">
        <f t="shared" si="3036"/>
        <v>IBG</v>
      </c>
      <c r="G7453" t="str">
        <f t="shared" si="3045"/>
        <v>Refund COSHARE 10</v>
      </c>
      <c r="H7453" s="2">
        <v>1511.1</v>
      </c>
      <c r="I7453" t="str">
        <f>"MAZILAWATI BINTI MININ"</f>
        <v>MAZILAWATI BINTI MININ</v>
      </c>
      <c r="J7453" t="str">
        <f t="shared" si="3046"/>
        <v>BANK SIMPANAN NASIONAL</v>
      </c>
      <c r="K7453" t="str">
        <f>"1211729000102273"</f>
        <v>1211729000102273</v>
      </c>
      <c r="L7453" t="str">
        <f t="shared" si="3047"/>
        <v>04-08-2020</v>
      </c>
      <c r="M7453" t="str">
        <f t="shared" si="3047"/>
        <v>04-08-2020</v>
      </c>
      <c r="N7453" t="str">
        <f t="shared" si="3037"/>
        <v>001105018356</v>
      </c>
      <c r="O7453" t="str">
        <f t="shared" si="3038"/>
        <v>MYR</v>
      </c>
      <c r="P7453" t="str">
        <f t="shared" si="3048"/>
        <v>NIL</v>
      </c>
      <c r="Q7453" t="str">
        <f t="shared" si="3048"/>
        <v>NIL</v>
      </c>
      <c r="R7453" t="str">
        <f t="shared" si="3026"/>
        <v>Accepted</v>
      </c>
      <c r="S7453" t="str">
        <f t="shared" si="3039"/>
        <v>Approved</v>
      </c>
      <c r="T7453" t="str">
        <f t="shared" si="3027"/>
        <v>10.20.8.188</v>
      </c>
      <c r="U7453" t="str">
        <f t="shared" si="3040"/>
        <v>AZRAD UMAR BIN SHAARI</v>
      </c>
      <c r="V7453" t="str">
        <f t="shared" si="3041"/>
        <v>FARHANA BINTI MUSTAPA</v>
      </c>
      <c r="W7453" t="str">
        <f t="shared" si="3042"/>
        <v>04-08-2020</v>
      </c>
      <c r="X7453" t="str">
        <f t="shared" si="3043"/>
        <v>RAZIMAH ANSAR AHMAD</v>
      </c>
      <c r="Y7453" t="str">
        <f t="shared" si="3044"/>
        <v>04-08-2020</v>
      </c>
      <c r="Z7453" t="str">
        <f>"COS10200804 1701"</f>
        <v>COS10200804 1701</v>
      </c>
    </row>
    <row r="7454" spans="1:26" x14ac:dyDescent="0.25">
      <c r="A7454" t="str">
        <f t="shared" si="3049"/>
        <v>04-08-2020 12:34:57</v>
      </c>
      <c r="B7454" t="str">
        <f>"0000803454"</f>
        <v>0000803454</v>
      </c>
      <c r="C7454" t="str">
        <f t="shared" si="3050"/>
        <v>0000803354</v>
      </c>
      <c r="D7454" t="str">
        <f t="shared" si="3034"/>
        <v>73185</v>
      </c>
      <c r="E7454" t="str">
        <f t="shared" si="3035"/>
        <v>KFH-OPERATIONS DEPARTMENT</v>
      </c>
      <c r="F7454" t="str">
        <f t="shared" si="3036"/>
        <v>IBG</v>
      </c>
      <c r="G7454" t="str">
        <f t="shared" si="3045"/>
        <v>Refund COSHARE 10</v>
      </c>
      <c r="H7454" s="2">
        <v>380</v>
      </c>
      <c r="I7454" t="str">
        <f>"MAZIAH BINTI ISMAIL  HASSAN"</f>
        <v>MAZIAH BINTI ISMAIL  HASSAN</v>
      </c>
      <c r="J7454" t="str">
        <f t="shared" si="3046"/>
        <v>BANK SIMPANAN NASIONAL</v>
      </c>
      <c r="K7454" t="str">
        <f>"0310029823889723"</f>
        <v>0310029823889723</v>
      </c>
      <c r="L7454" t="str">
        <f t="shared" si="3047"/>
        <v>04-08-2020</v>
      </c>
      <c r="M7454" t="str">
        <f t="shared" si="3047"/>
        <v>04-08-2020</v>
      </c>
      <c r="N7454" t="str">
        <f t="shared" si="3037"/>
        <v>001105018356</v>
      </c>
      <c r="O7454" t="str">
        <f t="shared" si="3038"/>
        <v>MYR</v>
      </c>
      <c r="P7454" t="str">
        <f t="shared" si="3048"/>
        <v>NIL</v>
      </c>
      <c r="Q7454" t="str">
        <f t="shared" si="3048"/>
        <v>NIL</v>
      </c>
      <c r="R7454" t="str">
        <f t="shared" si="3026"/>
        <v>Accepted</v>
      </c>
      <c r="S7454" t="str">
        <f t="shared" si="3039"/>
        <v>Approved</v>
      </c>
      <c r="T7454" t="str">
        <f t="shared" si="3027"/>
        <v>10.20.8.188</v>
      </c>
      <c r="U7454" t="str">
        <f t="shared" si="3040"/>
        <v>AZRAD UMAR BIN SHAARI</v>
      </c>
      <c r="V7454" t="str">
        <f t="shared" si="3041"/>
        <v>FARHANA BINTI MUSTAPA</v>
      </c>
      <c r="W7454" t="str">
        <f t="shared" si="3042"/>
        <v>04-08-2020</v>
      </c>
      <c r="X7454" t="str">
        <f t="shared" si="3043"/>
        <v>RAZIMAH ANSAR AHMAD</v>
      </c>
      <c r="Y7454" t="str">
        <f t="shared" si="3044"/>
        <v>04-08-2020</v>
      </c>
      <c r="Z7454" t="str">
        <f>"COS10200804 1700"</f>
        <v>COS10200804 1700</v>
      </c>
    </row>
    <row r="7455" spans="1:26" x14ac:dyDescent="0.25">
      <c r="A7455" t="str">
        <f t="shared" si="3049"/>
        <v>04-08-2020 12:34:57</v>
      </c>
      <c r="B7455" t="str">
        <f>"0000803453"</f>
        <v>0000803453</v>
      </c>
      <c r="C7455" t="str">
        <f t="shared" si="3050"/>
        <v>0000803354</v>
      </c>
      <c r="D7455" t="str">
        <f t="shared" si="3034"/>
        <v>73185</v>
      </c>
      <c r="E7455" t="str">
        <f t="shared" si="3035"/>
        <v>KFH-OPERATIONS DEPARTMENT</v>
      </c>
      <c r="F7455" t="str">
        <f t="shared" si="3036"/>
        <v>IBG</v>
      </c>
      <c r="G7455" t="str">
        <f t="shared" si="3045"/>
        <v>Refund COSHARE 10</v>
      </c>
      <c r="H7455" s="2">
        <v>839.5</v>
      </c>
      <c r="I7455" t="str">
        <f>"MAT ZAWADI BIN MOHAMAD"</f>
        <v>MAT ZAWADI BIN MOHAMAD</v>
      </c>
      <c r="J7455" t="str">
        <f t="shared" si="3046"/>
        <v>BANK SIMPANAN NASIONAL</v>
      </c>
      <c r="K7455" t="str">
        <f>"0311929869222983"</f>
        <v>0311929869222983</v>
      </c>
      <c r="L7455" t="str">
        <f t="shared" si="3047"/>
        <v>04-08-2020</v>
      </c>
      <c r="M7455" t="str">
        <f t="shared" si="3047"/>
        <v>04-08-2020</v>
      </c>
      <c r="N7455" t="str">
        <f t="shared" si="3037"/>
        <v>001105018356</v>
      </c>
      <c r="O7455" t="str">
        <f t="shared" si="3038"/>
        <v>MYR</v>
      </c>
      <c r="P7455" t="str">
        <f t="shared" si="3048"/>
        <v>NIL</v>
      </c>
      <c r="Q7455" t="str">
        <f t="shared" si="3048"/>
        <v>NIL</v>
      </c>
      <c r="R7455" t="str">
        <f t="shared" si="3026"/>
        <v>Accepted</v>
      </c>
      <c r="S7455" t="str">
        <f t="shared" si="3039"/>
        <v>Approved</v>
      </c>
      <c r="T7455" t="str">
        <f t="shared" si="3027"/>
        <v>10.20.8.188</v>
      </c>
      <c r="U7455" t="str">
        <f t="shared" si="3040"/>
        <v>AZRAD UMAR BIN SHAARI</v>
      </c>
      <c r="V7455" t="str">
        <f t="shared" si="3041"/>
        <v>FARHANA BINTI MUSTAPA</v>
      </c>
      <c r="W7455" t="str">
        <f t="shared" si="3042"/>
        <v>04-08-2020</v>
      </c>
      <c r="X7455" t="str">
        <f t="shared" si="3043"/>
        <v>RAZIMAH ANSAR AHMAD</v>
      </c>
      <c r="Y7455" t="str">
        <f t="shared" si="3044"/>
        <v>04-08-2020</v>
      </c>
      <c r="Z7455" t="str">
        <f>"COS10200804 1699"</f>
        <v>COS10200804 1699</v>
      </c>
    </row>
    <row r="7456" spans="1:26" x14ac:dyDescent="0.25">
      <c r="A7456" t="str">
        <f t="shared" si="3049"/>
        <v>04-08-2020 12:34:57</v>
      </c>
      <c r="B7456" t="str">
        <f>"0000803452"</f>
        <v>0000803452</v>
      </c>
      <c r="C7456" t="str">
        <f t="shared" si="3050"/>
        <v>0000803354</v>
      </c>
      <c r="D7456" t="str">
        <f t="shared" si="3034"/>
        <v>73185</v>
      </c>
      <c r="E7456" t="str">
        <f t="shared" si="3035"/>
        <v>KFH-OPERATIONS DEPARTMENT</v>
      </c>
      <c r="F7456" t="str">
        <f t="shared" si="3036"/>
        <v>IBG</v>
      </c>
      <c r="G7456" t="str">
        <f t="shared" si="3045"/>
        <v>Refund COSHARE 10</v>
      </c>
      <c r="H7456" s="2">
        <v>117.55</v>
      </c>
      <c r="I7456" t="str">
        <f>"MASROL BIN MUSTAPA"</f>
        <v>MASROL BIN MUSTAPA</v>
      </c>
      <c r="J7456" t="str">
        <f t="shared" si="3046"/>
        <v>BANK SIMPANAN NASIONAL</v>
      </c>
      <c r="K7456" t="str">
        <f>"0310929826460440"</f>
        <v>0310929826460440</v>
      </c>
      <c r="L7456" t="str">
        <f t="shared" si="3047"/>
        <v>04-08-2020</v>
      </c>
      <c r="M7456" t="str">
        <f t="shared" si="3047"/>
        <v>04-08-2020</v>
      </c>
      <c r="N7456" t="str">
        <f t="shared" si="3037"/>
        <v>001105018356</v>
      </c>
      <c r="O7456" t="str">
        <f t="shared" si="3038"/>
        <v>MYR</v>
      </c>
      <c r="P7456" t="str">
        <f t="shared" si="3048"/>
        <v>NIL</v>
      </c>
      <c r="Q7456" t="str">
        <f t="shared" si="3048"/>
        <v>NIL</v>
      </c>
      <c r="R7456" t="str">
        <f t="shared" si="3026"/>
        <v>Accepted</v>
      </c>
      <c r="S7456" t="str">
        <f t="shared" si="3039"/>
        <v>Approved</v>
      </c>
      <c r="T7456" t="str">
        <f t="shared" si="3027"/>
        <v>10.20.8.188</v>
      </c>
      <c r="U7456" t="str">
        <f t="shared" si="3040"/>
        <v>AZRAD UMAR BIN SHAARI</v>
      </c>
      <c r="V7456" t="str">
        <f t="shared" si="3041"/>
        <v>FARHANA BINTI MUSTAPA</v>
      </c>
      <c r="W7456" t="str">
        <f t="shared" si="3042"/>
        <v>04-08-2020</v>
      </c>
      <c r="X7456" t="str">
        <f t="shared" si="3043"/>
        <v>RAZIMAH ANSAR AHMAD</v>
      </c>
      <c r="Y7456" t="str">
        <f t="shared" si="3044"/>
        <v>04-08-2020</v>
      </c>
      <c r="Z7456" t="str">
        <f>"COS10200804 1698"</f>
        <v>COS10200804 1698</v>
      </c>
    </row>
    <row r="7457" spans="1:26" x14ac:dyDescent="0.25">
      <c r="A7457" t="str">
        <f t="shared" si="3049"/>
        <v>04-08-2020 12:34:57</v>
      </c>
      <c r="B7457" t="str">
        <f>"0000803451"</f>
        <v>0000803451</v>
      </c>
      <c r="C7457" t="str">
        <f t="shared" si="3050"/>
        <v>0000803354</v>
      </c>
      <c r="D7457" t="str">
        <f t="shared" si="3034"/>
        <v>73185</v>
      </c>
      <c r="E7457" t="str">
        <f t="shared" si="3035"/>
        <v>KFH-OPERATIONS DEPARTMENT</v>
      </c>
      <c r="F7457" t="str">
        <f t="shared" si="3036"/>
        <v>IBG</v>
      </c>
      <c r="G7457" t="str">
        <f t="shared" si="3045"/>
        <v>Refund COSHARE 10</v>
      </c>
      <c r="H7457" s="2">
        <v>827.55</v>
      </c>
      <c r="I7457" t="str">
        <f>"MASRAH BINTI MAIL"</f>
        <v>MASRAH BINTI MAIL</v>
      </c>
      <c r="J7457" t="str">
        <f t="shared" si="3046"/>
        <v>BANK SIMPANAN NASIONAL</v>
      </c>
      <c r="K7457" t="str">
        <f>"0610041000192012"</f>
        <v>0610041000192012</v>
      </c>
      <c r="L7457" t="str">
        <f t="shared" si="3047"/>
        <v>04-08-2020</v>
      </c>
      <c r="M7457" t="str">
        <f t="shared" si="3047"/>
        <v>04-08-2020</v>
      </c>
      <c r="N7457" t="str">
        <f t="shared" si="3037"/>
        <v>001105018356</v>
      </c>
      <c r="O7457" t="str">
        <f t="shared" si="3038"/>
        <v>MYR</v>
      </c>
      <c r="P7457" t="str">
        <f t="shared" si="3048"/>
        <v>NIL</v>
      </c>
      <c r="Q7457" t="str">
        <f t="shared" si="3048"/>
        <v>NIL</v>
      </c>
      <c r="R7457" t="str">
        <f t="shared" si="3026"/>
        <v>Accepted</v>
      </c>
      <c r="S7457" t="str">
        <f t="shared" si="3039"/>
        <v>Approved</v>
      </c>
      <c r="T7457" t="str">
        <f t="shared" si="3027"/>
        <v>10.20.8.188</v>
      </c>
      <c r="U7457" t="str">
        <f t="shared" si="3040"/>
        <v>AZRAD UMAR BIN SHAARI</v>
      </c>
      <c r="V7457" t="str">
        <f t="shared" si="3041"/>
        <v>FARHANA BINTI MUSTAPA</v>
      </c>
      <c r="W7457" t="str">
        <f t="shared" si="3042"/>
        <v>04-08-2020</v>
      </c>
      <c r="X7457" t="str">
        <f t="shared" si="3043"/>
        <v>RAZIMAH ANSAR AHMAD</v>
      </c>
      <c r="Y7457" t="str">
        <f t="shared" si="3044"/>
        <v>04-08-2020</v>
      </c>
      <c r="Z7457" t="str">
        <f>"COS10200804 1697"</f>
        <v>COS10200804 1697</v>
      </c>
    </row>
    <row r="7458" spans="1:26" x14ac:dyDescent="0.25">
      <c r="A7458" t="str">
        <f t="shared" si="3049"/>
        <v>04-08-2020 12:34:57</v>
      </c>
      <c r="B7458" t="str">
        <f>"0000803450"</f>
        <v>0000803450</v>
      </c>
      <c r="C7458" t="str">
        <f t="shared" si="3050"/>
        <v>0000803354</v>
      </c>
      <c r="D7458" t="str">
        <f t="shared" si="3034"/>
        <v>73185</v>
      </c>
      <c r="E7458" t="str">
        <f t="shared" si="3035"/>
        <v>KFH-OPERATIONS DEPARTMENT</v>
      </c>
      <c r="F7458" t="str">
        <f t="shared" si="3036"/>
        <v>IBG</v>
      </c>
      <c r="G7458" t="str">
        <f t="shared" si="3045"/>
        <v>Refund COSHARE 10</v>
      </c>
      <c r="H7458" s="2">
        <v>1348</v>
      </c>
      <c r="I7458" t="str">
        <f>"MASNGUT BIN JAKIMAN"</f>
        <v>MASNGUT BIN JAKIMAN</v>
      </c>
      <c r="J7458" t="str">
        <f t="shared" si="3046"/>
        <v>BANK SIMPANAN NASIONAL</v>
      </c>
      <c r="K7458" t="str">
        <f>"0115229000070410"</f>
        <v>0115229000070410</v>
      </c>
      <c r="L7458" t="str">
        <f t="shared" si="3047"/>
        <v>04-08-2020</v>
      </c>
      <c r="M7458" t="str">
        <f t="shared" si="3047"/>
        <v>04-08-2020</v>
      </c>
      <c r="N7458" t="str">
        <f t="shared" si="3037"/>
        <v>001105018356</v>
      </c>
      <c r="O7458" t="str">
        <f t="shared" si="3038"/>
        <v>MYR</v>
      </c>
      <c r="P7458" t="str">
        <f t="shared" si="3048"/>
        <v>NIL</v>
      </c>
      <c r="Q7458" t="str">
        <f t="shared" si="3048"/>
        <v>NIL</v>
      </c>
      <c r="R7458" t="str">
        <f t="shared" ref="R7458:R7521" si="3051">"Accepted"</f>
        <v>Accepted</v>
      </c>
      <c r="S7458" t="str">
        <f t="shared" si="3039"/>
        <v>Approved</v>
      </c>
      <c r="T7458" t="str">
        <f t="shared" ref="T7458:T7521" si="3052">"10.20.8.188"</f>
        <v>10.20.8.188</v>
      </c>
      <c r="U7458" t="str">
        <f t="shared" si="3040"/>
        <v>AZRAD UMAR BIN SHAARI</v>
      </c>
      <c r="V7458" t="str">
        <f t="shared" si="3041"/>
        <v>FARHANA BINTI MUSTAPA</v>
      </c>
      <c r="W7458" t="str">
        <f t="shared" si="3042"/>
        <v>04-08-2020</v>
      </c>
      <c r="X7458" t="str">
        <f t="shared" si="3043"/>
        <v>RAZIMAH ANSAR AHMAD</v>
      </c>
      <c r="Y7458" t="str">
        <f t="shared" si="3044"/>
        <v>04-08-2020</v>
      </c>
      <c r="Z7458" t="str">
        <f>"COS10200804 1696"</f>
        <v>COS10200804 1696</v>
      </c>
    </row>
    <row r="7459" spans="1:26" x14ac:dyDescent="0.25">
      <c r="A7459" t="str">
        <f t="shared" si="3049"/>
        <v>04-08-2020 12:34:57</v>
      </c>
      <c r="B7459" t="str">
        <f>"0000803449"</f>
        <v>0000803449</v>
      </c>
      <c r="C7459" t="str">
        <f t="shared" si="3050"/>
        <v>0000803354</v>
      </c>
      <c r="D7459" t="str">
        <f t="shared" si="3034"/>
        <v>73185</v>
      </c>
      <c r="E7459" t="str">
        <f t="shared" si="3035"/>
        <v>KFH-OPERATIONS DEPARTMENT</v>
      </c>
      <c r="F7459" t="str">
        <f t="shared" si="3036"/>
        <v>IBG</v>
      </c>
      <c r="G7459" t="str">
        <f t="shared" si="3045"/>
        <v>Refund COSHARE 10</v>
      </c>
      <c r="H7459" s="2">
        <v>1436.55</v>
      </c>
      <c r="I7459" t="str">
        <f>"MASKANAH BINTI PERAN"</f>
        <v>MASKANAH BINTI PERAN</v>
      </c>
      <c r="J7459" t="str">
        <f t="shared" si="3046"/>
        <v>BANK SIMPANAN NASIONAL</v>
      </c>
      <c r="K7459" t="str">
        <f>"1210829838569511"</f>
        <v>1210829838569511</v>
      </c>
      <c r="L7459" t="str">
        <f t="shared" si="3047"/>
        <v>04-08-2020</v>
      </c>
      <c r="M7459" t="str">
        <f t="shared" si="3047"/>
        <v>04-08-2020</v>
      </c>
      <c r="N7459" t="str">
        <f t="shared" si="3037"/>
        <v>001105018356</v>
      </c>
      <c r="O7459" t="str">
        <f t="shared" si="3038"/>
        <v>MYR</v>
      </c>
      <c r="P7459" t="str">
        <f t="shared" si="3048"/>
        <v>NIL</v>
      </c>
      <c r="Q7459" t="str">
        <f t="shared" si="3048"/>
        <v>NIL</v>
      </c>
      <c r="R7459" t="str">
        <f t="shared" si="3051"/>
        <v>Accepted</v>
      </c>
      <c r="S7459" t="str">
        <f t="shared" si="3039"/>
        <v>Approved</v>
      </c>
      <c r="T7459" t="str">
        <f t="shared" si="3052"/>
        <v>10.20.8.188</v>
      </c>
      <c r="U7459" t="str">
        <f t="shared" si="3040"/>
        <v>AZRAD UMAR BIN SHAARI</v>
      </c>
      <c r="V7459" t="str">
        <f t="shared" si="3041"/>
        <v>FARHANA BINTI MUSTAPA</v>
      </c>
      <c r="W7459" t="str">
        <f t="shared" si="3042"/>
        <v>04-08-2020</v>
      </c>
      <c r="X7459" t="str">
        <f t="shared" si="3043"/>
        <v>RAZIMAH ANSAR AHMAD</v>
      </c>
      <c r="Y7459" t="str">
        <f t="shared" si="3044"/>
        <v>04-08-2020</v>
      </c>
      <c r="Z7459" t="str">
        <f>"COS10200804 1695"</f>
        <v>COS10200804 1695</v>
      </c>
    </row>
    <row r="7460" spans="1:26" x14ac:dyDescent="0.25">
      <c r="A7460" t="str">
        <f t="shared" si="3049"/>
        <v>04-08-2020 12:34:57</v>
      </c>
      <c r="B7460" t="str">
        <f>"0000803448"</f>
        <v>0000803448</v>
      </c>
      <c r="C7460" t="str">
        <f t="shared" si="3050"/>
        <v>0000803354</v>
      </c>
      <c r="D7460" t="str">
        <f t="shared" si="3034"/>
        <v>73185</v>
      </c>
      <c r="E7460" t="str">
        <f t="shared" si="3035"/>
        <v>KFH-OPERATIONS DEPARTMENT</v>
      </c>
      <c r="F7460" t="str">
        <f t="shared" si="3036"/>
        <v>IBG</v>
      </c>
      <c r="G7460" t="str">
        <f t="shared" si="3045"/>
        <v>Refund COSHARE 10</v>
      </c>
      <c r="H7460" s="2">
        <v>896</v>
      </c>
      <c r="I7460" t="str">
        <f>"MASITAH BINTI KAWI"</f>
        <v>MASITAH BINTI KAWI</v>
      </c>
      <c r="J7460" t="str">
        <f t="shared" si="3046"/>
        <v>BANK SIMPANAN NASIONAL</v>
      </c>
      <c r="K7460" t="str">
        <f>"1311929000039484"</f>
        <v>1311929000039484</v>
      </c>
      <c r="L7460" t="str">
        <f t="shared" si="3047"/>
        <v>04-08-2020</v>
      </c>
      <c r="M7460" t="str">
        <f t="shared" si="3047"/>
        <v>04-08-2020</v>
      </c>
      <c r="N7460" t="str">
        <f t="shared" si="3037"/>
        <v>001105018356</v>
      </c>
      <c r="O7460" t="str">
        <f t="shared" si="3038"/>
        <v>MYR</v>
      </c>
      <c r="P7460" t="str">
        <f t="shared" si="3048"/>
        <v>NIL</v>
      </c>
      <c r="Q7460" t="str">
        <f t="shared" si="3048"/>
        <v>NIL</v>
      </c>
      <c r="R7460" t="str">
        <f t="shared" si="3051"/>
        <v>Accepted</v>
      </c>
      <c r="S7460" t="str">
        <f t="shared" si="3039"/>
        <v>Approved</v>
      </c>
      <c r="T7460" t="str">
        <f t="shared" si="3052"/>
        <v>10.20.8.188</v>
      </c>
      <c r="U7460" t="str">
        <f t="shared" si="3040"/>
        <v>AZRAD UMAR BIN SHAARI</v>
      </c>
      <c r="V7460" t="str">
        <f t="shared" si="3041"/>
        <v>FARHANA BINTI MUSTAPA</v>
      </c>
      <c r="W7460" t="str">
        <f t="shared" si="3042"/>
        <v>04-08-2020</v>
      </c>
      <c r="X7460" t="str">
        <f t="shared" si="3043"/>
        <v>RAZIMAH ANSAR AHMAD</v>
      </c>
      <c r="Y7460" t="str">
        <f t="shared" si="3044"/>
        <v>04-08-2020</v>
      </c>
      <c r="Z7460" t="str">
        <f>"COS10200804 1694"</f>
        <v>COS10200804 1694</v>
      </c>
    </row>
    <row r="7461" spans="1:26" x14ac:dyDescent="0.25">
      <c r="A7461" t="str">
        <f t="shared" si="3049"/>
        <v>04-08-2020 12:34:57</v>
      </c>
      <c r="B7461" t="str">
        <f>"0000803447"</f>
        <v>0000803447</v>
      </c>
      <c r="C7461" t="str">
        <f t="shared" si="3050"/>
        <v>0000803354</v>
      </c>
      <c r="D7461" t="str">
        <f t="shared" si="3034"/>
        <v>73185</v>
      </c>
      <c r="E7461" t="str">
        <f t="shared" si="3035"/>
        <v>KFH-OPERATIONS DEPARTMENT</v>
      </c>
      <c r="F7461" t="str">
        <f t="shared" si="3036"/>
        <v>IBG</v>
      </c>
      <c r="G7461" t="str">
        <f t="shared" si="3045"/>
        <v>Refund COSHARE 10</v>
      </c>
      <c r="H7461" s="2">
        <v>42</v>
      </c>
      <c r="I7461" t="str">
        <f>"MASHITAH HANIM BINTI DAHALIM"</f>
        <v>MASHITAH HANIM BINTI DAHALIM</v>
      </c>
      <c r="J7461" t="str">
        <f t="shared" si="3046"/>
        <v>BANK SIMPANAN NASIONAL</v>
      </c>
      <c r="K7461" t="str">
        <f>"0823729855633075"</f>
        <v>0823729855633075</v>
      </c>
      <c r="L7461" t="str">
        <f t="shared" si="3047"/>
        <v>04-08-2020</v>
      </c>
      <c r="M7461" t="str">
        <f t="shared" si="3047"/>
        <v>04-08-2020</v>
      </c>
      <c r="N7461" t="str">
        <f t="shared" si="3037"/>
        <v>001105018356</v>
      </c>
      <c r="O7461" t="str">
        <f t="shared" si="3038"/>
        <v>MYR</v>
      </c>
      <c r="P7461" t="str">
        <f t="shared" si="3048"/>
        <v>NIL</v>
      </c>
      <c r="Q7461" t="str">
        <f t="shared" si="3048"/>
        <v>NIL</v>
      </c>
      <c r="R7461" t="str">
        <f t="shared" si="3051"/>
        <v>Accepted</v>
      </c>
      <c r="S7461" t="str">
        <f t="shared" si="3039"/>
        <v>Approved</v>
      </c>
      <c r="T7461" t="str">
        <f t="shared" si="3052"/>
        <v>10.20.8.188</v>
      </c>
      <c r="U7461" t="str">
        <f t="shared" si="3040"/>
        <v>AZRAD UMAR BIN SHAARI</v>
      </c>
      <c r="V7461" t="str">
        <f t="shared" si="3041"/>
        <v>FARHANA BINTI MUSTAPA</v>
      </c>
      <c r="W7461" t="str">
        <f t="shared" si="3042"/>
        <v>04-08-2020</v>
      </c>
      <c r="X7461" t="str">
        <f t="shared" si="3043"/>
        <v>RAZIMAH ANSAR AHMAD</v>
      </c>
      <c r="Y7461" t="str">
        <f t="shared" si="3044"/>
        <v>04-08-2020</v>
      </c>
      <c r="Z7461" t="str">
        <f>"COS10200804 1693"</f>
        <v>COS10200804 1693</v>
      </c>
    </row>
    <row r="7462" spans="1:26" x14ac:dyDescent="0.25">
      <c r="A7462" t="str">
        <f t="shared" si="3049"/>
        <v>04-08-2020 12:34:57</v>
      </c>
      <c r="B7462" t="str">
        <f>"0000803446"</f>
        <v>0000803446</v>
      </c>
      <c r="C7462" t="str">
        <f t="shared" si="3050"/>
        <v>0000803354</v>
      </c>
      <c r="D7462" t="str">
        <f t="shared" si="3034"/>
        <v>73185</v>
      </c>
      <c r="E7462" t="str">
        <f t="shared" si="3035"/>
        <v>KFH-OPERATIONS DEPARTMENT</v>
      </c>
      <c r="F7462" t="str">
        <f t="shared" si="3036"/>
        <v>IBG</v>
      </c>
      <c r="G7462" t="str">
        <f t="shared" si="3045"/>
        <v>Refund COSHARE 10</v>
      </c>
      <c r="H7462" s="2">
        <v>129</v>
      </c>
      <c r="I7462" t="str">
        <f>"MARYLIN ANAK BINET"</f>
        <v>MARYLIN ANAK BINET</v>
      </c>
      <c r="J7462" t="str">
        <f t="shared" si="3046"/>
        <v>BANK SIMPANAN NASIONAL</v>
      </c>
      <c r="K7462" t="str">
        <f>"1310029854703494"</f>
        <v>1310029854703494</v>
      </c>
      <c r="L7462" t="str">
        <f t="shared" si="3047"/>
        <v>04-08-2020</v>
      </c>
      <c r="M7462" t="str">
        <f t="shared" si="3047"/>
        <v>04-08-2020</v>
      </c>
      <c r="N7462" t="str">
        <f t="shared" si="3037"/>
        <v>001105018356</v>
      </c>
      <c r="O7462" t="str">
        <f t="shared" si="3038"/>
        <v>MYR</v>
      </c>
      <c r="P7462" t="str">
        <f t="shared" si="3048"/>
        <v>NIL</v>
      </c>
      <c r="Q7462" t="str">
        <f t="shared" si="3048"/>
        <v>NIL</v>
      </c>
      <c r="R7462" t="str">
        <f t="shared" si="3051"/>
        <v>Accepted</v>
      </c>
      <c r="S7462" t="str">
        <f t="shared" si="3039"/>
        <v>Approved</v>
      </c>
      <c r="T7462" t="str">
        <f t="shared" si="3052"/>
        <v>10.20.8.188</v>
      </c>
      <c r="U7462" t="str">
        <f t="shared" si="3040"/>
        <v>AZRAD UMAR BIN SHAARI</v>
      </c>
      <c r="V7462" t="str">
        <f t="shared" si="3041"/>
        <v>FARHANA BINTI MUSTAPA</v>
      </c>
      <c r="W7462" t="str">
        <f t="shared" si="3042"/>
        <v>04-08-2020</v>
      </c>
      <c r="X7462" t="str">
        <f t="shared" si="3043"/>
        <v>RAZIMAH ANSAR AHMAD</v>
      </c>
      <c r="Y7462" t="str">
        <f t="shared" si="3044"/>
        <v>04-08-2020</v>
      </c>
      <c r="Z7462" t="str">
        <f>"COS10200804 1692"</f>
        <v>COS10200804 1692</v>
      </c>
    </row>
    <row r="7463" spans="1:26" x14ac:dyDescent="0.25">
      <c r="A7463" t="str">
        <f t="shared" si="3049"/>
        <v>04-08-2020 12:34:57</v>
      </c>
      <c r="B7463" t="str">
        <f>"0000803445"</f>
        <v>0000803445</v>
      </c>
      <c r="C7463" t="str">
        <f t="shared" si="3050"/>
        <v>0000803354</v>
      </c>
      <c r="D7463" t="str">
        <f t="shared" si="3034"/>
        <v>73185</v>
      </c>
      <c r="E7463" t="str">
        <f t="shared" si="3035"/>
        <v>KFH-OPERATIONS DEPARTMENT</v>
      </c>
      <c r="F7463" t="str">
        <f t="shared" si="3036"/>
        <v>IBG</v>
      </c>
      <c r="G7463" t="str">
        <f t="shared" si="3045"/>
        <v>Refund COSHARE 10</v>
      </c>
      <c r="H7463" s="2">
        <v>83.95</v>
      </c>
      <c r="I7463" t="str">
        <f>"MARRY ANAK EMPATI"</f>
        <v>MARRY ANAK EMPATI</v>
      </c>
      <c r="J7463" t="str">
        <f t="shared" si="3046"/>
        <v>BANK SIMPANAN NASIONAL</v>
      </c>
      <c r="K7463" t="str">
        <f>"1311929825854151"</f>
        <v>1311929825854151</v>
      </c>
      <c r="L7463" t="str">
        <f t="shared" si="3047"/>
        <v>04-08-2020</v>
      </c>
      <c r="M7463" t="str">
        <f t="shared" si="3047"/>
        <v>04-08-2020</v>
      </c>
      <c r="N7463" t="str">
        <f t="shared" si="3037"/>
        <v>001105018356</v>
      </c>
      <c r="O7463" t="str">
        <f t="shared" si="3038"/>
        <v>MYR</v>
      </c>
      <c r="P7463" t="str">
        <f t="shared" si="3048"/>
        <v>NIL</v>
      </c>
      <c r="Q7463" t="str">
        <f t="shared" si="3048"/>
        <v>NIL</v>
      </c>
      <c r="R7463" t="str">
        <f t="shared" si="3051"/>
        <v>Accepted</v>
      </c>
      <c r="S7463" t="str">
        <f t="shared" si="3039"/>
        <v>Approved</v>
      </c>
      <c r="T7463" t="str">
        <f t="shared" si="3052"/>
        <v>10.20.8.188</v>
      </c>
      <c r="U7463" t="str">
        <f t="shared" si="3040"/>
        <v>AZRAD UMAR BIN SHAARI</v>
      </c>
      <c r="V7463" t="str">
        <f t="shared" si="3041"/>
        <v>FARHANA BINTI MUSTAPA</v>
      </c>
      <c r="W7463" t="str">
        <f t="shared" si="3042"/>
        <v>04-08-2020</v>
      </c>
      <c r="X7463" t="str">
        <f t="shared" si="3043"/>
        <v>RAZIMAH ANSAR AHMAD</v>
      </c>
      <c r="Y7463" t="str">
        <f t="shared" si="3044"/>
        <v>04-08-2020</v>
      </c>
      <c r="Z7463" t="str">
        <f>"COS10200804 1691"</f>
        <v>COS10200804 1691</v>
      </c>
    </row>
    <row r="7464" spans="1:26" x14ac:dyDescent="0.25">
      <c r="A7464" t="str">
        <f t="shared" si="3049"/>
        <v>04-08-2020 12:34:57</v>
      </c>
      <c r="B7464" t="str">
        <f>"0000803444"</f>
        <v>0000803444</v>
      </c>
      <c r="C7464" t="str">
        <f t="shared" si="3050"/>
        <v>0000803354</v>
      </c>
      <c r="D7464" t="str">
        <f t="shared" si="3034"/>
        <v>73185</v>
      </c>
      <c r="E7464" t="str">
        <f t="shared" si="3035"/>
        <v>KFH-OPERATIONS DEPARTMENT</v>
      </c>
      <c r="F7464" t="str">
        <f t="shared" si="3036"/>
        <v>IBG</v>
      </c>
      <c r="G7464" t="str">
        <f t="shared" si="3045"/>
        <v>Refund COSHARE 10</v>
      </c>
      <c r="H7464" s="2">
        <v>520.5</v>
      </c>
      <c r="I7464" t="str">
        <f>"MARLINA BINTI IBRAHIM"</f>
        <v>MARLINA BINTI IBRAHIM</v>
      </c>
      <c r="J7464" t="str">
        <f t="shared" si="3046"/>
        <v>BANK SIMPANAN NASIONAL</v>
      </c>
      <c r="K7464" t="str">
        <f>"1419029000047062"</f>
        <v>1419029000047062</v>
      </c>
      <c r="L7464" t="str">
        <f t="shared" si="3047"/>
        <v>04-08-2020</v>
      </c>
      <c r="M7464" t="str">
        <f t="shared" si="3047"/>
        <v>04-08-2020</v>
      </c>
      <c r="N7464" t="str">
        <f t="shared" si="3037"/>
        <v>001105018356</v>
      </c>
      <c r="O7464" t="str">
        <f t="shared" si="3038"/>
        <v>MYR</v>
      </c>
      <c r="P7464" t="str">
        <f t="shared" si="3048"/>
        <v>NIL</v>
      </c>
      <c r="Q7464" t="str">
        <f t="shared" si="3048"/>
        <v>NIL</v>
      </c>
      <c r="R7464" t="str">
        <f t="shared" si="3051"/>
        <v>Accepted</v>
      </c>
      <c r="S7464" t="str">
        <f t="shared" si="3039"/>
        <v>Approved</v>
      </c>
      <c r="T7464" t="str">
        <f t="shared" si="3052"/>
        <v>10.20.8.188</v>
      </c>
      <c r="U7464" t="str">
        <f t="shared" si="3040"/>
        <v>AZRAD UMAR BIN SHAARI</v>
      </c>
      <c r="V7464" t="str">
        <f t="shared" si="3041"/>
        <v>FARHANA BINTI MUSTAPA</v>
      </c>
      <c r="W7464" t="str">
        <f t="shared" si="3042"/>
        <v>04-08-2020</v>
      </c>
      <c r="X7464" t="str">
        <f t="shared" si="3043"/>
        <v>RAZIMAH ANSAR AHMAD</v>
      </c>
      <c r="Y7464" t="str">
        <f t="shared" si="3044"/>
        <v>04-08-2020</v>
      </c>
      <c r="Z7464" t="str">
        <f>"COS10200804 1690"</f>
        <v>COS10200804 1690</v>
      </c>
    </row>
    <row r="7465" spans="1:26" x14ac:dyDescent="0.25">
      <c r="A7465" t="str">
        <f t="shared" si="3049"/>
        <v>04-08-2020 12:34:57</v>
      </c>
      <c r="B7465" t="str">
        <f>"0000803443"</f>
        <v>0000803443</v>
      </c>
      <c r="C7465" t="str">
        <f t="shared" si="3050"/>
        <v>0000803354</v>
      </c>
      <c r="D7465" t="str">
        <f t="shared" si="3034"/>
        <v>73185</v>
      </c>
      <c r="E7465" t="str">
        <f t="shared" si="3035"/>
        <v>KFH-OPERATIONS DEPARTMENT</v>
      </c>
      <c r="F7465" t="str">
        <f t="shared" si="3036"/>
        <v>IBG</v>
      </c>
      <c r="G7465" t="str">
        <f t="shared" si="3045"/>
        <v>Refund COSHARE 10</v>
      </c>
      <c r="H7465" s="2">
        <v>201.5</v>
      </c>
      <c r="I7465" t="str">
        <f>"MARJORIE ELLIEN J ACHA"</f>
        <v>MARJORIE ELLIEN J ACHA</v>
      </c>
      <c r="J7465" t="str">
        <f t="shared" si="3046"/>
        <v>BANK SIMPANAN NASIONAL</v>
      </c>
      <c r="K7465" t="str">
        <f>"1210029000308702"</f>
        <v>1210029000308702</v>
      </c>
      <c r="L7465" t="str">
        <f t="shared" si="3047"/>
        <v>04-08-2020</v>
      </c>
      <c r="M7465" t="str">
        <f t="shared" si="3047"/>
        <v>04-08-2020</v>
      </c>
      <c r="N7465" t="str">
        <f t="shared" si="3037"/>
        <v>001105018356</v>
      </c>
      <c r="O7465" t="str">
        <f t="shared" si="3038"/>
        <v>MYR</v>
      </c>
      <c r="P7465" t="str">
        <f t="shared" si="3048"/>
        <v>NIL</v>
      </c>
      <c r="Q7465" t="str">
        <f t="shared" si="3048"/>
        <v>NIL</v>
      </c>
      <c r="R7465" t="str">
        <f t="shared" si="3051"/>
        <v>Accepted</v>
      </c>
      <c r="S7465" t="str">
        <f t="shared" si="3039"/>
        <v>Approved</v>
      </c>
      <c r="T7465" t="str">
        <f t="shared" si="3052"/>
        <v>10.20.8.188</v>
      </c>
      <c r="U7465" t="str">
        <f t="shared" si="3040"/>
        <v>AZRAD UMAR BIN SHAARI</v>
      </c>
      <c r="V7465" t="str">
        <f t="shared" si="3041"/>
        <v>FARHANA BINTI MUSTAPA</v>
      </c>
      <c r="W7465" t="str">
        <f t="shared" si="3042"/>
        <v>04-08-2020</v>
      </c>
      <c r="X7465" t="str">
        <f t="shared" si="3043"/>
        <v>RAZIMAH ANSAR AHMAD</v>
      </c>
      <c r="Y7465" t="str">
        <f t="shared" si="3044"/>
        <v>04-08-2020</v>
      </c>
      <c r="Z7465" t="str">
        <f>"COS10200804 1689"</f>
        <v>COS10200804 1689</v>
      </c>
    </row>
    <row r="7466" spans="1:26" x14ac:dyDescent="0.25">
      <c r="A7466" t="str">
        <f t="shared" si="3049"/>
        <v>04-08-2020 12:34:57</v>
      </c>
      <c r="B7466" t="str">
        <f>"0000803442"</f>
        <v>0000803442</v>
      </c>
      <c r="C7466" t="str">
        <f t="shared" si="3050"/>
        <v>0000803354</v>
      </c>
      <c r="D7466" t="str">
        <f t="shared" si="3034"/>
        <v>73185</v>
      </c>
      <c r="E7466" t="str">
        <f t="shared" si="3035"/>
        <v>KFH-OPERATIONS DEPARTMENT</v>
      </c>
      <c r="F7466" t="str">
        <f t="shared" si="3036"/>
        <v>IBG</v>
      </c>
      <c r="G7466" t="str">
        <f t="shared" si="3045"/>
        <v>Refund COSHARE 10</v>
      </c>
      <c r="H7466" s="2">
        <v>1237</v>
      </c>
      <c r="I7466" t="str">
        <f>"MARIATI BINTI MOHAMAD  MAMAT"</f>
        <v>MARIATI BINTI MOHAMAD  MAMAT</v>
      </c>
      <c r="J7466" t="str">
        <f t="shared" si="3046"/>
        <v>BANK SIMPANAN NASIONAL</v>
      </c>
      <c r="K7466" t="str">
        <f>"0311429863575139"</f>
        <v>0311429863575139</v>
      </c>
      <c r="L7466" t="str">
        <f t="shared" si="3047"/>
        <v>04-08-2020</v>
      </c>
      <c r="M7466" t="str">
        <f t="shared" si="3047"/>
        <v>04-08-2020</v>
      </c>
      <c r="N7466" t="str">
        <f t="shared" si="3037"/>
        <v>001105018356</v>
      </c>
      <c r="O7466" t="str">
        <f t="shared" si="3038"/>
        <v>MYR</v>
      </c>
      <c r="P7466" t="str">
        <f t="shared" si="3048"/>
        <v>NIL</v>
      </c>
      <c r="Q7466" t="str">
        <f t="shared" si="3048"/>
        <v>NIL</v>
      </c>
      <c r="R7466" t="str">
        <f t="shared" si="3051"/>
        <v>Accepted</v>
      </c>
      <c r="S7466" t="str">
        <f t="shared" si="3039"/>
        <v>Approved</v>
      </c>
      <c r="T7466" t="str">
        <f t="shared" si="3052"/>
        <v>10.20.8.188</v>
      </c>
      <c r="U7466" t="str">
        <f t="shared" si="3040"/>
        <v>AZRAD UMAR BIN SHAARI</v>
      </c>
      <c r="V7466" t="str">
        <f t="shared" si="3041"/>
        <v>FARHANA BINTI MUSTAPA</v>
      </c>
      <c r="W7466" t="str">
        <f t="shared" si="3042"/>
        <v>04-08-2020</v>
      </c>
      <c r="X7466" t="str">
        <f t="shared" si="3043"/>
        <v>RAZIMAH ANSAR AHMAD</v>
      </c>
      <c r="Y7466" t="str">
        <f t="shared" si="3044"/>
        <v>04-08-2020</v>
      </c>
      <c r="Z7466" t="str">
        <f>"COS10200804 1688"</f>
        <v>COS10200804 1688</v>
      </c>
    </row>
    <row r="7467" spans="1:26" x14ac:dyDescent="0.25">
      <c r="A7467" t="str">
        <f t="shared" si="3049"/>
        <v>04-08-2020 12:34:57</v>
      </c>
      <c r="B7467" t="str">
        <f>"0000803441"</f>
        <v>0000803441</v>
      </c>
      <c r="C7467" t="str">
        <f t="shared" si="3050"/>
        <v>0000803354</v>
      </c>
      <c r="D7467" t="str">
        <f t="shared" si="3034"/>
        <v>73185</v>
      </c>
      <c r="E7467" t="str">
        <f t="shared" si="3035"/>
        <v>KFH-OPERATIONS DEPARTMENT</v>
      </c>
      <c r="F7467" t="str">
        <f t="shared" si="3036"/>
        <v>IBG</v>
      </c>
      <c r="G7467" t="str">
        <f t="shared" si="3045"/>
        <v>Refund COSHARE 10</v>
      </c>
      <c r="H7467" s="2">
        <v>243</v>
      </c>
      <c r="I7467" t="str">
        <f>"MARIAM BINTI NAN"</f>
        <v>MARIAM BINTI NAN</v>
      </c>
      <c r="J7467" t="str">
        <f t="shared" si="3046"/>
        <v>BANK SIMPANAN NASIONAL</v>
      </c>
      <c r="K7467" t="str">
        <f>"0821929000002616"</f>
        <v>0821929000002616</v>
      </c>
      <c r="L7467" t="str">
        <f t="shared" ref="L7467:M7486" si="3053">"04-08-2020"</f>
        <v>04-08-2020</v>
      </c>
      <c r="M7467" t="str">
        <f t="shared" si="3053"/>
        <v>04-08-2020</v>
      </c>
      <c r="N7467" t="str">
        <f t="shared" si="3037"/>
        <v>001105018356</v>
      </c>
      <c r="O7467" t="str">
        <f t="shared" si="3038"/>
        <v>MYR</v>
      </c>
      <c r="P7467" t="str">
        <f t="shared" ref="P7467:Q7486" si="3054">"NIL"</f>
        <v>NIL</v>
      </c>
      <c r="Q7467" t="str">
        <f t="shared" si="3054"/>
        <v>NIL</v>
      </c>
      <c r="R7467" t="str">
        <f t="shared" si="3051"/>
        <v>Accepted</v>
      </c>
      <c r="S7467" t="str">
        <f t="shared" si="3039"/>
        <v>Approved</v>
      </c>
      <c r="T7467" t="str">
        <f t="shared" si="3052"/>
        <v>10.20.8.188</v>
      </c>
      <c r="U7467" t="str">
        <f t="shared" si="3040"/>
        <v>AZRAD UMAR BIN SHAARI</v>
      </c>
      <c r="V7467" t="str">
        <f t="shared" si="3041"/>
        <v>FARHANA BINTI MUSTAPA</v>
      </c>
      <c r="W7467" t="str">
        <f t="shared" si="3042"/>
        <v>04-08-2020</v>
      </c>
      <c r="X7467" t="str">
        <f t="shared" si="3043"/>
        <v>RAZIMAH ANSAR AHMAD</v>
      </c>
      <c r="Y7467" t="str">
        <f t="shared" si="3044"/>
        <v>04-08-2020</v>
      </c>
      <c r="Z7467" t="str">
        <f>"COS10200804 1687"</f>
        <v>COS10200804 1687</v>
      </c>
    </row>
    <row r="7468" spans="1:26" x14ac:dyDescent="0.25">
      <c r="A7468" t="str">
        <f t="shared" si="3049"/>
        <v>04-08-2020 12:34:57</v>
      </c>
      <c r="B7468" t="str">
        <f>"0000803440"</f>
        <v>0000803440</v>
      </c>
      <c r="C7468" t="str">
        <f t="shared" si="3050"/>
        <v>0000803354</v>
      </c>
      <c r="D7468" t="str">
        <f t="shared" si="3034"/>
        <v>73185</v>
      </c>
      <c r="E7468" t="str">
        <f t="shared" si="3035"/>
        <v>KFH-OPERATIONS DEPARTMENT</v>
      </c>
      <c r="F7468" t="str">
        <f t="shared" si="3036"/>
        <v>IBG</v>
      </c>
      <c r="G7468" t="str">
        <f t="shared" si="3045"/>
        <v>Refund COSHARE 10</v>
      </c>
      <c r="H7468" s="2">
        <v>832.65</v>
      </c>
      <c r="I7468" t="str">
        <f>"MARIA ANAK KAYAN"</f>
        <v>MARIA ANAK KAYAN</v>
      </c>
      <c r="J7468" t="str">
        <f t="shared" si="3046"/>
        <v>BANK SIMPANAN NASIONAL</v>
      </c>
      <c r="K7468" t="str">
        <f>"1310329000054291"</f>
        <v>1310329000054291</v>
      </c>
      <c r="L7468" t="str">
        <f t="shared" si="3053"/>
        <v>04-08-2020</v>
      </c>
      <c r="M7468" t="str">
        <f t="shared" si="3053"/>
        <v>04-08-2020</v>
      </c>
      <c r="N7468" t="str">
        <f t="shared" si="3037"/>
        <v>001105018356</v>
      </c>
      <c r="O7468" t="str">
        <f t="shared" si="3038"/>
        <v>MYR</v>
      </c>
      <c r="P7468" t="str">
        <f t="shared" si="3054"/>
        <v>NIL</v>
      </c>
      <c r="Q7468" t="str">
        <f t="shared" si="3054"/>
        <v>NIL</v>
      </c>
      <c r="R7468" t="str">
        <f t="shared" si="3051"/>
        <v>Accepted</v>
      </c>
      <c r="S7468" t="str">
        <f t="shared" si="3039"/>
        <v>Approved</v>
      </c>
      <c r="T7468" t="str">
        <f t="shared" si="3052"/>
        <v>10.20.8.188</v>
      </c>
      <c r="U7468" t="str">
        <f t="shared" si="3040"/>
        <v>AZRAD UMAR BIN SHAARI</v>
      </c>
      <c r="V7468" t="str">
        <f t="shared" si="3041"/>
        <v>FARHANA BINTI MUSTAPA</v>
      </c>
      <c r="W7468" t="str">
        <f t="shared" si="3042"/>
        <v>04-08-2020</v>
      </c>
      <c r="X7468" t="str">
        <f t="shared" si="3043"/>
        <v>RAZIMAH ANSAR AHMAD</v>
      </c>
      <c r="Y7468" t="str">
        <f t="shared" si="3044"/>
        <v>04-08-2020</v>
      </c>
      <c r="Z7468" t="str">
        <f>"COS10200804 1686"</f>
        <v>COS10200804 1686</v>
      </c>
    </row>
    <row r="7469" spans="1:26" x14ac:dyDescent="0.25">
      <c r="A7469" t="str">
        <f t="shared" si="3049"/>
        <v>04-08-2020 12:34:57</v>
      </c>
      <c r="B7469" t="str">
        <f>"0000803439"</f>
        <v>0000803439</v>
      </c>
      <c r="C7469" t="str">
        <f t="shared" si="3050"/>
        <v>0000803354</v>
      </c>
      <c r="D7469" t="str">
        <f t="shared" si="3034"/>
        <v>73185</v>
      </c>
      <c r="E7469" t="str">
        <f t="shared" si="3035"/>
        <v>KFH-OPERATIONS DEPARTMENT</v>
      </c>
      <c r="F7469" t="str">
        <f t="shared" si="3036"/>
        <v>IBG</v>
      </c>
      <c r="G7469" t="str">
        <f t="shared" si="3045"/>
        <v>Refund COSHARE 10</v>
      </c>
      <c r="H7469" s="2">
        <v>629.65</v>
      </c>
      <c r="I7469" t="str">
        <f>"MARGRET ANAK ANYAU"</f>
        <v>MARGRET ANAK ANYAU</v>
      </c>
      <c r="J7469" t="str">
        <f t="shared" si="3046"/>
        <v>BANK SIMPANAN NASIONAL</v>
      </c>
      <c r="K7469" t="str">
        <f>"1312729000017123"</f>
        <v>1312729000017123</v>
      </c>
      <c r="L7469" t="str">
        <f t="shared" si="3053"/>
        <v>04-08-2020</v>
      </c>
      <c r="M7469" t="str">
        <f t="shared" si="3053"/>
        <v>04-08-2020</v>
      </c>
      <c r="N7469" t="str">
        <f t="shared" si="3037"/>
        <v>001105018356</v>
      </c>
      <c r="O7469" t="str">
        <f t="shared" si="3038"/>
        <v>MYR</v>
      </c>
      <c r="P7469" t="str">
        <f t="shared" si="3054"/>
        <v>NIL</v>
      </c>
      <c r="Q7469" t="str">
        <f t="shared" si="3054"/>
        <v>NIL</v>
      </c>
      <c r="R7469" t="str">
        <f t="shared" si="3051"/>
        <v>Accepted</v>
      </c>
      <c r="S7469" t="str">
        <f t="shared" si="3039"/>
        <v>Approved</v>
      </c>
      <c r="T7469" t="str">
        <f t="shared" si="3052"/>
        <v>10.20.8.188</v>
      </c>
      <c r="U7469" t="str">
        <f t="shared" si="3040"/>
        <v>AZRAD UMAR BIN SHAARI</v>
      </c>
      <c r="V7469" t="str">
        <f t="shared" si="3041"/>
        <v>FARHANA BINTI MUSTAPA</v>
      </c>
      <c r="W7469" t="str">
        <f t="shared" si="3042"/>
        <v>04-08-2020</v>
      </c>
      <c r="X7469" t="str">
        <f t="shared" si="3043"/>
        <v>RAZIMAH ANSAR AHMAD</v>
      </c>
      <c r="Y7469" t="str">
        <f t="shared" si="3044"/>
        <v>04-08-2020</v>
      </c>
      <c r="Z7469" t="str">
        <f>"COS10200804 1685"</f>
        <v>COS10200804 1685</v>
      </c>
    </row>
    <row r="7470" spans="1:26" x14ac:dyDescent="0.25">
      <c r="A7470" t="str">
        <f t="shared" si="3049"/>
        <v>04-08-2020 12:34:57</v>
      </c>
      <c r="B7470" t="str">
        <f>"0000803438"</f>
        <v>0000803438</v>
      </c>
      <c r="C7470" t="str">
        <f t="shared" si="3050"/>
        <v>0000803354</v>
      </c>
      <c r="D7470" t="str">
        <f t="shared" si="3034"/>
        <v>73185</v>
      </c>
      <c r="E7470" t="str">
        <f t="shared" si="3035"/>
        <v>KFH-OPERATIONS DEPARTMENT</v>
      </c>
      <c r="F7470" t="str">
        <f t="shared" si="3036"/>
        <v>IBG</v>
      </c>
      <c r="G7470" t="str">
        <f t="shared" si="3045"/>
        <v>Refund COSHARE 10</v>
      </c>
      <c r="H7470" s="2">
        <v>75.599999999999994</v>
      </c>
      <c r="I7470" t="str">
        <f>"MANIRAH BINTI CHE HASIN"</f>
        <v>MANIRAH BINTI CHE HASIN</v>
      </c>
      <c r="J7470" t="str">
        <f t="shared" si="3046"/>
        <v>BANK SIMPANAN NASIONAL</v>
      </c>
      <c r="K7470" t="str">
        <f>"0310229000067705"</f>
        <v>0310229000067705</v>
      </c>
      <c r="L7470" t="str">
        <f t="shared" si="3053"/>
        <v>04-08-2020</v>
      </c>
      <c r="M7470" t="str">
        <f t="shared" si="3053"/>
        <v>04-08-2020</v>
      </c>
      <c r="N7470" t="str">
        <f t="shared" si="3037"/>
        <v>001105018356</v>
      </c>
      <c r="O7470" t="str">
        <f t="shared" si="3038"/>
        <v>MYR</v>
      </c>
      <c r="P7470" t="str">
        <f t="shared" si="3054"/>
        <v>NIL</v>
      </c>
      <c r="Q7470" t="str">
        <f t="shared" si="3054"/>
        <v>NIL</v>
      </c>
      <c r="R7470" t="str">
        <f t="shared" si="3051"/>
        <v>Accepted</v>
      </c>
      <c r="S7470" t="str">
        <f t="shared" si="3039"/>
        <v>Approved</v>
      </c>
      <c r="T7470" t="str">
        <f t="shared" si="3052"/>
        <v>10.20.8.188</v>
      </c>
      <c r="U7470" t="str">
        <f t="shared" si="3040"/>
        <v>AZRAD UMAR BIN SHAARI</v>
      </c>
      <c r="V7470" t="str">
        <f t="shared" si="3041"/>
        <v>FARHANA BINTI MUSTAPA</v>
      </c>
      <c r="W7470" t="str">
        <f t="shared" si="3042"/>
        <v>04-08-2020</v>
      </c>
      <c r="X7470" t="str">
        <f t="shared" si="3043"/>
        <v>RAZIMAH ANSAR AHMAD</v>
      </c>
      <c r="Y7470" t="str">
        <f t="shared" si="3044"/>
        <v>04-08-2020</v>
      </c>
      <c r="Z7470" t="str">
        <f>"COS10200804 1684"</f>
        <v>COS10200804 1684</v>
      </c>
    </row>
    <row r="7471" spans="1:26" x14ac:dyDescent="0.25">
      <c r="A7471" t="str">
        <f t="shared" si="3049"/>
        <v>04-08-2020 12:34:57</v>
      </c>
      <c r="B7471" t="str">
        <f>"0000803437"</f>
        <v>0000803437</v>
      </c>
      <c r="C7471" t="str">
        <f t="shared" si="3050"/>
        <v>0000803354</v>
      </c>
      <c r="D7471" t="str">
        <f t="shared" si="3034"/>
        <v>73185</v>
      </c>
      <c r="E7471" t="str">
        <f t="shared" si="3035"/>
        <v>KFH-OPERATIONS DEPARTMENT</v>
      </c>
      <c r="F7471" t="str">
        <f t="shared" si="3036"/>
        <v>IBG</v>
      </c>
      <c r="G7471" t="str">
        <f t="shared" si="3045"/>
        <v>Refund COSHARE 10</v>
      </c>
      <c r="H7471" s="2">
        <v>109.15</v>
      </c>
      <c r="I7471" t="str">
        <f>"MAJANG ANAK ENTAWAN"</f>
        <v>MAJANG ANAK ENTAWAN</v>
      </c>
      <c r="J7471" t="str">
        <f t="shared" si="3046"/>
        <v>BANK SIMPANAN NASIONAL</v>
      </c>
      <c r="K7471" t="str">
        <f>"1311929814588825"</f>
        <v>1311929814588825</v>
      </c>
      <c r="L7471" t="str">
        <f t="shared" si="3053"/>
        <v>04-08-2020</v>
      </c>
      <c r="M7471" t="str">
        <f t="shared" si="3053"/>
        <v>04-08-2020</v>
      </c>
      <c r="N7471" t="str">
        <f t="shared" si="3037"/>
        <v>001105018356</v>
      </c>
      <c r="O7471" t="str">
        <f t="shared" si="3038"/>
        <v>MYR</v>
      </c>
      <c r="P7471" t="str">
        <f t="shared" si="3054"/>
        <v>NIL</v>
      </c>
      <c r="Q7471" t="str">
        <f t="shared" si="3054"/>
        <v>NIL</v>
      </c>
      <c r="R7471" t="str">
        <f t="shared" si="3051"/>
        <v>Accepted</v>
      </c>
      <c r="S7471" t="str">
        <f t="shared" si="3039"/>
        <v>Approved</v>
      </c>
      <c r="T7471" t="str">
        <f t="shared" si="3052"/>
        <v>10.20.8.188</v>
      </c>
      <c r="U7471" t="str">
        <f t="shared" si="3040"/>
        <v>AZRAD UMAR BIN SHAARI</v>
      </c>
      <c r="V7471" t="str">
        <f t="shared" si="3041"/>
        <v>FARHANA BINTI MUSTAPA</v>
      </c>
      <c r="W7471" t="str">
        <f t="shared" si="3042"/>
        <v>04-08-2020</v>
      </c>
      <c r="X7471" t="str">
        <f t="shared" si="3043"/>
        <v>RAZIMAH ANSAR AHMAD</v>
      </c>
      <c r="Y7471" t="str">
        <f t="shared" si="3044"/>
        <v>04-08-2020</v>
      </c>
      <c r="Z7471" t="str">
        <f>"COS10200804 1683"</f>
        <v>COS10200804 1683</v>
      </c>
    </row>
    <row r="7472" spans="1:26" x14ac:dyDescent="0.25">
      <c r="A7472" t="str">
        <f t="shared" si="3049"/>
        <v>04-08-2020 12:34:57</v>
      </c>
      <c r="B7472" t="str">
        <f>"0000803436"</f>
        <v>0000803436</v>
      </c>
      <c r="C7472" t="str">
        <f t="shared" si="3050"/>
        <v>0000803354</v>
      </c>
      <c r="D7472" t="str">
        <f t="shared" si="3034"/>
        <v>73185</v>
      </c>
      <c r="E7472" t="str">
        <f t="shared" si="3035"/>
        <v>KFH-OPERATIONS DEPARTMENT</v>
      </c>
      <c r="F7472" t="str">
        <f t="shared" si="3036"/>
        <v>IBG</v>
      </c>
      <c r="G7472" t="str">
        <f t="shared" si="3045"/>
        <v>Refund COSHARE 10</v>
      </c>
      <c r="H7472" s="2">
        <v>889.9</v>
      </c>
      <c r="I7472" t="str">
        <f>"MAIRI LINOG"</f>
        <v>MAIRI LINOG</v>
      </c>
      <c r="J7472" t="str">
        <f t="shared" si="3046"/>
        <v>BANK SIMPANAN NASIONAL</v>
      </c>
      <c r="K7472" t="str">
        <f>"1211229856306973"</f>
        <v>1211229856306973</v>
      </c>
      <c r="L7472" t="str">
        <f t="shared" si="3053"/>
        <v>04-08-2020</v>
      </c>
      <c r="M7472" t="str">
        <f t="shared" si="3053"/>
        <v>04-08-2020</v>
      </c>
      <c r="N7472" t="str">
        <f t="shared" si="3037"/>
        <v>001105018356</v>
      </c>
      <c r="O7472" t="str">
        <f t="shared" si="3038"/>
        <v>MYR</v>
      </c>
      <c r="P7472" t="str">
        <f t="shared" si="3054"/>
        <v>NIL</v>
      </c>
      <c r="Q7472" t="str">
        <f t="shared" si="3054"/>
        <v>NIL</v>
      </c>
      <c r="R7472" t="str">
        <f t="shared" si="3051"/>
        <v>Accepted</v>
      </c>
      <c r="S7472" t="str">
        <f t="shared" si="3039"/>
        <v>Approved</v>
      </c>
      <c r="T7472" t="str">
        <f t="shared" si="3052"/>
        <v>10.20.8.188</v>
      </c>
      <c r="U7472" t="str">
        <f t="shared" si="3040"/>
        <v>AZRAD UMAR BIN SHAARI</v>
      </c>
      <c r="V7472" t="str">
        <f t="shared" si="3041"/>
        <v>FARHANA BINTI MUSTAPA</v>
      </c>
      <c r="W7472" t="str">
        <f t="shared" si="3042"/>
        <v>04-08-2020</v>
      </c>
      <c r="X7472" t="str">
        <f t="shared" si="3043"/>
        <v>RAZIMAH ANSAR AHMAD</v>
      </c>
      <c r="Y7472" t="str">
        <f t="shared" si="3044"/>
        <v>04-08-2020</v>
      </c>
      <c r="Z7472" t="str">
        <f>"COS10200804 1682"</f>
        <v>COS10200804 1682</v>
      </c>
    </row>
    <row r="7473" spans="1:26" x14ac:dyDescent="0.25">
      <c r="A7473" t="str">
        <f t="shared" si="3049"/>
        <v>04-08-2020 12:34:57</v>
      </c>
      <c r="B7473" t="str">
        <f>"0000803435"</f>
        <v>0000803435</v>
      </c>
      <c r="C7473" t="str">
        <f t="shared" si="3050"/>
        <v>0000803354</v>
      </c>
      <c r="D7473" t="str">
        <f t="shared" si="3034"/>
        <v>73185</v>
      </c>
      <c r="E7473" t="str">
        <f t="shared" si="3035"/>
        <v>KFH-OPERATIONS DEPARTMENT</v>
      </c>
      <c r="F7473" t="str">
        <f t="shared" si="3036"/>
        <v>IBG</v>
      </c>
      <c r="G7473" t="str">
        <f t="shared" si="3045"/>
        <v>Refund COSHARE 10</v>
      </c>
      <c r="H7473" s="2">
        <v>1463</v>
      </c>
      <c r="I7473" t="str">
        <f>"MAIMON BINTI SALAMAT"</f>
        <v>MAIMON BINTI SALAMAT</v>
      </c>
      <c r="J7473" t="str">
        <f t="shared" si="3046"/>
        <v>BANK SIMPANAN NASIONAL</v>
      </c>
      <c r="K7473" t="str">
        <f>"0114729000379599"</f>
        <v>0114729000379599</v>
      </c>
      <c r="L7473" t="str">
        <f t="shared" si="3053"/>
        <v>04-08-2020</v>
      </c>
      <c r="M7473" t="str">
        <f t="shared" si="3053"/>
        <v>04-08-2020</v>
      </c>
      <c r="N7473" t="str">
        <f t="shared" si="3037"/>
        <v>001105018356</v>
      </c>
      <c r="O7473" t="str">
        <f t="shared" si="3038"/>
        <v>MYR</v>
      </c>
      <c r="P7473" t="str">
        <f t="shared" si="3054"/>
        <v>NIL</v>
      </c>
      <c r="Q7473" t="str">
        <f t="shared" si="3054"/>
        <v>NIL</v>
      </c>
      <c r="R7473" t="str">
        <f t="shared" si="3051"/>
        <v>Accepted</v>
      </c>
      <c r="S7473" t="str">
        <f t="shared" si="3039"/>
        <v>Approved</v>
      </c>
      <c r="T7473" t="str">
        <f t="shared" si="3052"/>
        <v>10.20.8.188</v>
      </c>
      <c r="U7473" t="str">
        <f t="shared" si="3040"/>
        <v>AZRAD UMAR BIN SHAARI</v>
      </c>
      <c r="V7473" t="str">
        <f t="shared" si="3041"/>
        <v>FARHANA BINTI MUSTAPA</v>
      </c>
      <c r="W7473" t="str">
        <f t="shared" si="3042"/>
        <v>04-08-2020</v>
      </c>
      <c r="X7473" t="str">
        <f t="shared" si="3043"/>
        <v>RAZIMAH ANSAR AHMAD</v>
      </c>
      <c r="Y7473" t="str">
        <f t="shared" si="3044"/>
        <v>04-08-2020</v>
      </c>
      <c r="Z7473" t="str">
        <f>"COS10200804 1681"</f>
        <v>COS10200804 1681</v>
      </c>
    </row>
    <row r="7474" spans="1:26" x14ac:dyDescent="0.25">
      <c r="A7474" t="str">
        <f t="shared" si="3049"/>
        <v>04-08-2020 12:34:57</v>
      </c>
      <c r="B7474" t="str">
        <f>"0000803434"</f>
        <v>0000803434</v>
      </c>
      <c r="C7474" t="str">
        <f t="shared" si="3050"/>
        <v>0000803354</v>
      </c>
      <c r="D7474" t="str">
        <f t="shared" si="3034"/>
        <v>73185</v>
      </c>
      <c r="E7474" t="str">
        <f t="shared" si="3035"/>
        <v>KFH-OPERATIONS DEPARTMENT</v>
      </c>
      <c r="F7474" t="str">
        <f t="shared" si="3036"/>
        <v>IBG</v>
      </c>
      <c r="G7474" t="str">
        <f t="shared" si="3045"/>
        <v>Refund COSHARE 10</v>
      </c>
      <c r="H7474" s="2">
        <v>814.35</v>
      </c>
      <c r="I7474" t="str">
        <f>"MAIDI BIN SANDI"</f>
        <v>MAIDI BIN SANDI</v>
      </c>
      <c r="J7474" t="str">
        <f t="shared" si="3046"/>
        <v>BANK SIMPANAN NASIONAL</v>
      </c>
      <c r="K7474" t="str">
        <f>"1210829000108695"</f>
        <v>1210829000108695</v>
      </c>
      <c r="L7474" t="str">
        <f t="shared" si="3053"/>
        <v>04-08-2020</v>
      </c>
      <c r="M7474" t="str">
        <f t="shared" si="3053"/>
        <v>04-08-2020</v>
      </c>
      <c r="N7474" t="str">
        <f t="shared" si="3037"/>
        <v>001105018356</v>
      </c>
      <c r="O7474" t="str">
        <f t="shared" si="3038"/>
        <v>MYR</v>
      </c>
      <c r="P7474" t="str">
        <f t="shared" si="3054"/>
        <v>NIL</v>
      </c>
      <c r="Q7474" t="str">
        <f t="shared" si="3054"/>
        <v>NIL</v>
      </c>
      <c r="R7474" t="str">
        <f t="shared" si="3051"/>
        <v>Accepted</v>
      </c>
      <c r="S7474" t="str">
        <f t="shared" si="3039"/>
        <v>Approved</v>
      </c>
      <c r="T7474" t="str">
        <f t="shared" si="3052"/>
        <v>10.20.8.188</v>
      </c>
      <c r="U7474" t="str">
        <f t="shared" si="3040"/>
        <v>AZRAD UMAR BIN SHAARI</v>
      </c>
      <c r="V7474" t="str">
        <f t="shared" si="3041"/>
        <v>FARHANA BINTI MUSTAPA</v>
      </c>
      <c r="W7474" t="str">
        <f t="shared" si="3042"/>
        <v>04-08-2020</v>
      </c>
      <c r="X7474" t="str">
        <f t="shared" si="3043"/>
        <v>RAZIMAH ANSAR AHMAD</v>
      </c>
      <c r="Y7474" t="str">
        <f t="shared" si="3044"/>
        <v>04-08-2020</v>
      </c>
      <c r="Z7474" t="str">
        <f>"COS10200804 1680"</f>
        <v>COS10200804 1680</v>
      </c>
    </row>
    <row r="7475" spans="1:26" x14ac:dyDescent="0.25">
      <c r="A7475" t="str">
        <f t="shared" si="3049"/>
        <v>04-08-2020 12:34:57</v>
      </c>
      <c r="B7475" t="str">
        <f>"0000803433"</f>
        <v>0000803433</v>
      </c>
      <c r="C7475" t="str">
        <f t="shared" si="3050"/>
        <v>0000803354</v>
      </c>
      <c r="D7475" t="str">
        <f t="shared" si="3034"/>
        <v>73185</v>
      </c>
      <c r="E7475" t="str">
        <f t="shared" si="3035"/>
        <v>KFH-OPERATIONS DEPARTMENT</v>
      </c>
      <c r="F7475" t="str">
        <f t="shared" si="3036"/>
        <v>IBG</v>
      </c>
      <c r="G7475" t="str">
        <f t="shared" si="3045"/>
        <v>Refund COSHARE 10</v>
      </c>
      <c r="H7475" s="2">
        <v>42</v>
      </c>
      <c r="I7475" t="str">
        <f>"MAHATHIR BIN AB GHANI"</f>
        <v>MAHATHIR BIN AB GHANI</v>
      </c>
      <c r="J7475" t="str">
        <f t="shared" si="3046"/>
        <v>BANK SIMPANAN NASIONAL</v>
      </c>
      <c r="K7475" t="str">
        <f>"0410629812435969"</f>
        <v>0410629812435969</v>
      </c>
      <c r="L7475" t="str">
        <f t="shared" si="3053"/>
        <v>04-08-2020</v>
      </c>
      <c r="M7475" t="str">
        <f t="shared" si="3053"/>
        <v>04-08-2020</v>
      </c>
      <c r="N7475" t="str">
        <f t="shared" si="3037"/>
        <v>001105018356</v>
      </c>
      <c r="O7475" t="str">
        <f t="shared" si="3038"/>
        <v>MYR</v>
      </c>
      <c r="P7475" t="str">
        <f t="shared" si="3054"/>
        <v>NIL</v>
      </c>
      <c r="Q7475" t="str">
        <f t="shared" si="3054"/>
        <v>NIL</v>
      </c>
      <c r="R7475" t="str">
        <f t="shared" si="3051"/>
        <v>Accepted</v>
      </c>
      <c r="S7475" t="str">
        <f t="shared" si="3039"/>
        <v>Approved</v>
      </c>
      <c r="T7475" t="str">
        <f t="shared" si="3052"/>
        <v>10.20.8.188</v>
      </c>
      <c r="U7475" t="str">
        <f t="shared" si="3040"/>
        <v>AZRAD UMAR BIN SHAARI</v>
      </c>
      <c r="V7475" t="str">
        <f t="shared" si="3041"/>
        <v>FARHANA BINTI MUSTAPA</v>
      </c>
      <c r="W7475" t="str">
        <f t="shared" si="3042"/>
        <v>04-08-2020</v>
      </c>
      <c r="X7475" t="str">
        <f t="shared" si="3043"/>
        <v>RAZIMAH ANSAR AHMAD</v>
      </c>
      <c r="Y7475" t="str">
        <f t="shared" si="3044"/>
        <v>04-08-2020</v>
      </c>
      <c r="Z7475" t="str">
        <f>"COS10200804 1679"</f>
        <v>COS10200804 1679</v>
      </c>
    </row>
    <row r="7476" spans="1:26" x14ac:dyDescent="0.25">
      <c r="A7476" t="str">
        <f t="shared" si="3049"/>
        <v>04-08-2020 12:34:57</v>
      </c>
      <c r="B7476" t="str">
        <f>"0000803432"</f>
        <v>0000803432</v>
      </c>
      <c r="C7476" t="str">
        <f t="shared" si="3050"/>
        <v>0000803354</v>
      </c>
      <c r="D7476" t="str">
        <f t="shared" si="3034"/>
        <v>73185</v>
      </c>
      <c r="E7476" t="str">
        <f t="shared" si="3035"/>
        <v>KFH-OPERATIONS DEPARTMENT</v>
      </c>
      <c r="F7476" t="str">
        <f t="shared" si="3036"/>
        <v>IBG</v>
      </c>
      <c r="G7476" t="str">
        <f t="shared" si="3045"/>
        <v>Refund COSHARE 10</v>
      </c>
      <c r="H7476" s="2">
        <v>84</v>
      </c>
      <c r="I7476" t="str">
        <f>"MAHANI BINTI MD ZUKI"</f>
        <v>MAHANI BINTI MD ZUKI</v>
      </c>
      <c r="J7476" t="str">
        <f t="shared" si="3046"/>
        <v>BANK SIMPANAN NASIONAL</v>
      </c>
      <c r="K7476" t="str">
        <f>"0510341000025028"</f>
        <v>0510341000025028</v>
      </c>
      <c r="L7476" t="str">
        <f t="shared" si="3053"/>
        <v>04-08-2020</v>
      </c>
      <c r="M7476" t="str">
        <f t="shared" si="3053"/>
        <v>04-08-2020</v>
      </c>
      <c r="N7476" t="str">
        <f t="shared" si="3037"/>
        <v>001105018356</v>
      </c>
      <c r="O7476" t="str">
        <f t="shared" si="3038"/>
        <v>MYR</v>
      </c>
      <c r="P7476" t="str">
        <f t="shared" si="3054"/>
        <v>NIL</v>
      </c>
      <c r="Q7476" t="str">
        <f t="shared" si="3054"/>
        <v>NIL</v>
      </c>
      <c r="R7476" t="str">
        <f t="shared" si="3051"/>
        <v>Accepted</v>
      </c>
      <c r="S7476" t="str">
        <f t="shared" si="3039"/>
        <v>Approved</v>
      </c>
      <c r="T7476" t="str">
        <f t="shared" si="3052"/>
        <v>10.20.8.188</v>
      </c>
      <c r="U7476" t="str">
        <f t="shared" si="3040"/>
        <v>AZRAD UMAR BIN SHAARI</v>
      </c>
      <c r="V7476" t="str">
        <f t="shared" si="3041"/>
        <v>FARHANA BINTI MUSTAPA</v>
      </c>
      <c r="W7476" t="str">
        <f t="shared" si="3042"/>
        <v>04-08-2020</v>
      </c>
      <c r="X7476" t="str">
        <f t="shared" si="3043"/>
        <v>RAZIMAH ANSAR AHMAD</v>
      </c>
      <c r="Y7476" t="str">
        <f t="shared" si="3044"/>
        <v>04-08-2020</v>
      </c>
      <c r="Z7476" t="str">
        <f>"COS10200804 1678"</f>
        <v>COS10200804 1678</v>
      </c>
    </row>
    <row r="7477" spans="1:26" x14ac:dyDescent="0.25">
      <c r="A7477" t="str">
        <f t="shared" si="3049"/>
        <v>04-08-2020 12:34:57</v>
      </c>
      <c r="B7477" t="str">
        <f>"0000803431"</f>
        <v>0000803431</v>
      </c>
      <c r="C7477" t="str">
        <f t="shared" si="3050"/>
        <v>0000803354</v>
      </c>
      <c r="D7477" t="str">
        <f t="shared" si="3034"/>
        <v>73185</v>
      </c>
      <c r="E7477" t="str">
        <f t="shared" si="3035"/>
        <v>KFH-OPERATIONS DEPARTMENT</v>
      </c>
      <c r="F7477" t="str">
        <f t="shared" si="3036"/>
        <v>IBG</v>
      </c>
      <c r="G7477" t="str">
        <f t="shared" si="3045"/>
        <v>Refund COSHARE 10</v>
      </c>
      <c r="H7477" s="2">
        <v>994</v>
      </c>
      <c r="I7477" t="str">
        <f>"MAHAMUD BIN HARUN"</f>
        <v>MAHAMUD BIN HARUN</v>
      </c>
      <c r="J7477" t="str">
        <f t="shared" si="3046"/>
        <v>BANK SIMPANAN NASIONAL</v>
      </c>
      <c r="K7477" t="str">
        <f>"0710029890876116"</f>
        <v>0710029890876116</v>
      </c>
      <c r="L7477" t="str">
        <f t="shared" si="3053"/>
        <v>04-08-2020</v>
      </c>
      <c r="M7477" t="str">
        <f t="shared" si="3053"/>
        <v>04-08-2020</v>
      </c>
      <c r="N7477" t="str">
        <f t="shared" si="3037"/>
        <v>001105018356</v>
      </c>
      <c r="O7477" t="str">
        <f t="shared" si="3038"/>
        <v>MYR</v>
      </c>
      <c r="P7477" t="str">
        <f t="shared" si="3054"/>
        <v>NIL</v>
      </c>
      <c r="Q7477" t="str">
        <f t="shared" si="3054"/>
        <v>NIL</v>
      </c>
      <c r="R7477" t="str">
        <f t="shared" si="3051"/>
        <v>Accepted</v>
      </c>
      <c r="S7477" t="str">
        <f t="shared" si="3039"/>
        <v>Approved</v>
      </c>
      <c r="T7477" t="str">
        <f t="shared" si="3052"/>
        <v>10.20.8.188</v>
      </c>
      <c r="U7477" t="str">
        <f t="shared" si="3040"/>
        <v>AZRAD UMAR BIN SHAARI</v>
      </c>
      <c r="V7477" t="str">
        <f t="shared" si="3041"/>
        <v>FARHANA BINTI MUSTAPA</v>
      </c>
      <c r="W7477" t="str">
        <f t="shared" si="3042"/>
        <v>04-08-2020</v>
      </c>
      <c r="X7477" t="str">
        <f t="shared" si="3043"/>
        <v>RAZIMAH ANSAR AHMAD</v>
      </c>
      <c r="Y7477" t="str">
        <f t="shared" si="3044"/>
        <v>04-08-2020</v>
      </c>
      <c r="Z7477" t="str">
        <f>"COS10200804 1677"</f>
        <v>COS10200804 1677</v>
      </c>
    </row>
    <row r="7478" spans="1:26" x14ac:dyDescent="0.25">
      <c r="A7478" t="str">
        <f t="shared" si="3049"/>
        <v>04-08-2020 12:34:57</v>
      </c>
      <c r="B7478" t="str">
        <f>"0000803430"</f>
        <v>0000803430</v>
      </c>
      <c r="C7478" t="str">
        <f t="shared" si="3050"/>
        <v>0000803354</v>
      </c>
      <c r="D7478" t="str">
        <f t="shared" si="3034"/>
        <v>73185</v>
      </c>
      <c r="E7478" t="str">
        <f t="shared" si="3035"/>
        <v>KFH-OPERATIONS DEPARTMENT</v>
      </c>
      <c r="F7478" t="str">
        <f t="shared" si="3036"/>
        <v>IBG</v>
      </c>
      <c r="G7478" t="str">
        <f t="shared" si="3045"/>
        <v>Refund COSHARE 10</v>
      </c>
      <c r="H7478" s="2">
        <v>457.5</v>
      </c>
      <c r="I7478" t="str">
        <f>"MAHADI BIN ABDUL RAHMAN"</f>
        <v>MAHADI BIN ABDUL RAHMAN</v>
      </c>
      <c r="J7478" t="str">
        <f t="shared" si="3046"/>
        <v>BANK SIMPANAN NASIONAL</v>
      </c>
      <c r="K7478" t="str">
        <f>"0510029863443332"</f>
        <v>0510029863443332</v>
      </c>
      <c r="L7478" t="str">
        <f t="shared" si="3053"/>
        <v>04-08-2020</v>
      </c>
      <c r="M7478" t="str">
        <f t="shared" si="3053"/>
        <v>04-08-2020</v>
      </c>
      <c r="N7478" t="str">
        <f t="shared" si="3037"/>
        <v>001105018356</v>
      </c>
      <c r="O7478" t="str">
        <f t="shared" si="3038"/>
        <v>MYR</v>
      </c>
      <c r="P7478" t="str">
        <f t="shared" si="3054"/>
        <v>NIL</v>
      </c>
      <c r="Q7478" t="str">
        <f t="shared" si="3054"/>
        <v>NIL</v>
      </c>
      <c r="R7478" t="str">
        <f t="shared" si="3051"/>
        <v>Accepted</v>
      </c>
      <c r="S7478" t="str">
        <f t="shared" si="3039"/>
        <v>Approved</v>
      </c>
      <c r="T7478" t="str">
        <f t="shared" si="3052"/>
        <v>10.20.8.188</v>
      </c>
      <c r="U7478" t="str">
        <f t="shared" si="3040"/>
        <v>AZRAD UMAR BIN SHAARI</v>
      </c>
      <c r="V7478" t="str">
        <f t="shared" si="3041"/>
        <v>FARHANA BINTI MUSTAPA</v>
      </c>
      <c r="W7478" t="str">
        <f t="shared" si="3042"/>
        <v>04-08-2020</v>
      </c>
      <c r="X7478" t="str">
        <f t="shared" si="3043"/>
        <v>RAZIMAH ANSAR AHMAD</v>
      </c>
      <c r="Y7478" t="str">
        <f t="shared" si="3044"/>
        <v>04-08-2020</v>
      </c>
      <c r="Z7478" t="str">
        <f>"COS10200804 1676"</f>
        <v>COS10200804 1676</v>
      </c>
    </row>
    <row r="7479" spans="1:26" x14ac:dyDescent="0.25">
      <c r="A7479" t="str">
        <f t="shared" si="3049"/>
        <v>04-08-2020 12:34:57</v>
      </c>
      <c r="B7479" t="str">
        <f>"0000803429"</f>
        <v>0000803429</v>
      </c>
      <c r="C7479" t="str">
        <f t="shared" si="3050"/>
        <v>0000803354</v>
      </c>
      <c r="D7479" t="str">
        <f t="shared" si="3034"/>
        <v>73185</v>
      </c>
      <c r="E7479" t="str">
        <f t="shared" si="3035"/>
        <v>KFH-OPERATIONS DEPARTMENT</v>
      </c>
      <c r="F7479" t="str">
        <f t="shared" si="3036"/>
        <v>IBG</v>
      </c>
      <c r="G7479" t="str">
        <f t="shared" si="3045"/>
        <v>Refund COSHARE 10</v>
      </c>
      <c r="H7479" s="2">
        <v>125.95</v>
      </c>
      <c r="I7479" t="str">
        <f>"LOUIS  KYLEE BIN MATIUS"</f>
        <v>LOUIS  KYLEE BIN MATIUS</v>
      </c>
      <c r="J7479" t="str">
        <f t="shared" si="3046"/>
        <v>BANK SIMPANAN NASIONAL</v>
      </c>
      <c r="K7479" t="str">
        <f>"1211629862979147"</f>
        <v>1211629862979147</v>
      </c>
      <c r="L7479" t="str">
        <f t="shared" si="3053"/>
        <v>04-08-2020</v>
      </c>
      <c r="M7479" t="str">
        <f t="shared" si="3053"/>
        <v>04-08-2020</v>
      </c>
      <c r="N7479" t="str">
        <f t="shared" si="3037"/>
        <v>001105018356</v>
      </c>
      <c r="O7479" t="str">
        <f t="shared" si="3038"/>
        <v>MYR</v>
      </c>
      <c r="P7479" t="str">
        <f t="shared" si="3054"/>
        <v>NIL</v>
      </c>
      <c r="Q7479" t="str">
        <f t="shared" si="3054"/>
        <v>NIL</v>
      </c>
      <c r="R7479" t="str">
        <f t="shared" si="3051"/>
        <v>Accepted</v>
      </c>
      <c r="S7479" t="str">
        <f t="shared" si="3039"/>
        <v>Approved</v>
      </c>
      <c r="T7479" t="str">
        <f t="shared" si="3052"/>
        <v>10.20.8.188</v>
      </c>
      <c r="U7479" t="str">
        <f t="shared" si="3040"/>
        <v>AZRAD UMAR BIN SHAARI</v>
      </c>
      <c r="V7479" t="str">
        <f t="shared" si="3041"/>
        <v>FARHANA BINTI MUSTAPA</v>
      </c>
      <c r="W7479" t="str">
        <f t="shared" si="3042"/>
        <v>04-08-2020</v>
      </c>
      <c r="X7479" t="str">
        <f t="shared" si="3043"/>
        <v>RAZIMAH ANSAR AHMAD</v>
      </c>
      <c r="Y7479" t="str">
        <f t="shared" si="3044"/>
        <v>04-08-2020</v>
      </c>
      <c r="Z7479" t="str">
        <f>"COS10200804 1675"</f>
        <v>COS10200804 1675</v>
      </c>
    </row>
    <row r="7480" spans="1:26" x14ac:dyDescent="0.25">
      <c r="A7480" t="str">
        <f t="shared" si="3049"/>
        <v>04-08-2020 12:34:57</v>
      </c>
      <c r="B7480" t="str">
        <f>"0000803428"</f>
        <v>0000803428</v>
      </c>
      <c r="C7480" t="str">
        <f t="shared" si="3050"/>
        <v>0000803354</v>
      </c>
      <c r="D7480" t="str">
        <f t="shared" si="3034"/>
        <v>73185</v>
      </c>
      <c r="E7480" t="str">
        <f t="shared" si="3035"/>
        <v>KFH-OPERATIONS DEPARTMENT</v>
      </c>
      <c r="F7480" t="str">
        <f t="shared" si="3036"/>
        <v>IBG</v>
      </c>
      <c r="G7480" t="str">
        <f t="shared" si="3045"/>
        <v>Refund COSHARE 10</v>
      </c>
      <c r="H7480" s="2">
        <v>508.15</v>
      </c>
      <c r="I7480" t="str">
        <f>"LINA BINTI LAJIS"</f>
        <v>LINA BINTI LAJIS</v>
      </c>
      <c r="J7480" t="str">
        <f t="shared" si="3046"/>
        <v>BANK SIMPANAN NASIONAL</v>
      </c>
      <c r="K7480" t="str">
        <f>"1012029000001136"</f>
        <v>1012029000001136</v>
      </c>
      <c r="L7480" t="str">
        <f t="shared" si="3053"/>
        <v>04-08-2020</v>
      </c>
      <c r="M7480" t="str">
        <f t="shared" si="3053"/>
        <v>04-08-2020</v>
      </c>
      <c r="N7480" t="str">
        <f t="shared" si="3037"/>
        <v>001105018356</v>
      </c>
      <c r="O7480" t="str">
        <f t="shared" si="3038"/>
        <v>MYR</v>
      </c>
      <c r="P7480" t="str">
        <f t="shared" si="3054"/>
        <v>NIL</v>
      </c>
      <c r="Q7480" t="str">
        <f t="shared" si="3054"/>
        <v>NIL</v>
      </c>
      <c r="R7480" t="str">
        <f t="shared" si="3051"/>
        <v>Accepted</v>
      </c>
      <c r="S7480" t="str">
        <f t="shared" si="3039"/>
        <v>Approved</v>
      </c>
      <c r="T7480" t="str">
        <f t="shared" si="3052"/>
        <v>10.20.8.188</v>
      </c>
      <c r="U7480" t="str">
        <f t="shared" si="3040"/>
        <v>AZRAD UMAR BIN SHAARI</v>
      </c>
      <c r="V7480" t="str">
        <f t="shared" si="3041"/>
        <v>FARHANA BINTI MUSTAPA</v>
      </c>
      <c r="W7480" t="str">
        <f t="shared" si="3042"/>
        <v>04-08-2020</v>
      </c>
      <c r="X7480" t="str">
        <f t="shared" si="3043"/>
        <v>RAZIMAH ANSAR AHMAD</v>
      </c>
      <c r="Y7480" t="str">
        <f t="shared" si="3044"/>
        <v>04-08-2020</v>
      </c>
      <c r="Z7480" t="str">
        <f>"COS10200804 1674"</f>
        <v>COS10200804 1674</v>
      </c>
    </row>
    <row r="7481" spans="1:26" x14ac:dyDescent="0.25">
      <c r="A7481" t="str">
        <f t="shared" si="3049"/>
        <v>04-08-2020 12:34:57</v>
      </c>
      <c r="B7481" t="str">
        <f>"0000803427"</f>
        <v>0000803427</v>
      </c>
      <c r="C7481" t="str">
        <f t="shared" si="3050"/>
        <v>0000803354</v>
      </c>
      <c r="D7481" t="str">
        <f t="shared" si="3034"/>
        <v>73185</v>
      </c>
      <c r="E7481" t="str">
        <f t="shared" si="3035"/>
        <v>KFH-OPERATIONS DEPARTMENT</v>
      </c>
      <c r="F7481" t="str">
        <f t="shared" si="3036"/>
        <v>IBG</v>
      </c>
      <c r="G7481" t="str">
        <f t="shared" si="3045"/>
        <v>Refund COSHARE 10</v>
      </c>
      <c r="H7481" s="2">
        <v>1125.95</v>
      </c>
      <c r="I7481" t="str">
        <f>"LILY RANSANGAN"</f>
        <v>LILY RANSANGAN</v>
      </c>
      <c r="J7481" t="str">
        <f t="shared" si="3046"/>
        <v>BANK SIMPANAN NASIONAL</v>
      </c>
      <c r="K7481" t="str">
        <f>"1210629842513072"</f>
        <v>1210629842513072</v>
      </c>
      <c r="L7481" t="str">
        <f t="shared" si="3053"/>
        <v>04-08-2020</v>
      </c>
      <c r="M7481" t="str">
        <f t="shared" si="3053"/>
        <v>04-08-2020</v>
      </c>
      <c r="N7481" t="str">
        <f t="shared" si="3037"/>
        <v>001105018356</v>
      </c>
      <c r="O7481" t="str">
        <f t="shared" si="3038"/>
        <v>MYR</v>
      </c>
      <c r="P7481" t="str">
        <f t="shared" si="3054"/>
        <v>NIL</v>
      </c>
      <c r="Q7481" t="str">
        <f t="shared" si="3054"/>
        <v>NIL</v>
      </c>
      <c r="R7481" t="str">
        <f t="shared" si="3051"/>
        <v>Accepted</v>
      </c>
      <c r="S7481" t="str">
        <f t="shared" si="3039"/>
        <v>Approved</v>
      </c>
      <c r="T7481" t="str">
        <f t="shared" si="3052"/>
        <v>10.20.8.188</v>
      </c>
      <c r="U7481" t="str">
        <f t="shared" si="3040"/>
        <v>AZRAD UMAR BIN SHAARI</v>
      </c>
      <c r="V7481" t="str">
        <f t="shared" si="3041"/>
        <v>FARHANA BINTI MUSTAPA</v>
      </c>
      <c r="W7481" t="str">
        <f t="shared" si="3042"/>
        <v>04-08-2020</v>
      </c>
      <c r="X7481" t="str">
        <f t="shared" si="3043"/>
        <v>RAZIMAH ANSAR AHMAD</v>
      </c>
      <c r="Y7481" t="str">
        <f t="shared" si="3044"/>
        <v>04-08-2020</v>
      </c>
      <c r="Z7481" t="str">
        <f>"COS10200804 1673"</f>
        <v>COS10200804 1673</v>
      </c>
    </row>
    <row r="7482" spans="1:26" x14ac:dyDescent="0.25">
      <c r="A7482" t="str">
        <f t="shared" ref="A7482:A7513" si="3055">"04-08-2020 12:34:57"</f>
        <v>04-08-2020 12:34:57</v>
      </c>
      <c r="B7482" t="str">
        <f>"0000803426"</f>
        <v>0000803426</v>
      </c>
      <c r="C7482" t="str">
        <f t="shared" ref="C7482:C7513" si="3056">"0000803354"</f>
        <v>0000803354</v>
      </c>
      <c r="D7482" t="str">
        <f t="shared" si="3034"/>
        <v>73185</v>
      </c>
      <c r="E7482" t="str">
        <f t="shared" si="3035"/>
        <v>KFH-OPERATIONS DEPARTMENT</v>
      </c>
      <c r="F7482" t="str">
        <f t="shared" si="3036"/>
        <v>IBG</v>
      </c>
      <c r="G7482" t="str">
        <f t="shared" si="3045"/>
        <v>Refund COSHARE 10</v>
      </c>
      <c r="H7482" s="2">
        <v>511.65</v>
      </c>
      <c r="I7482" t="str">
        <f>"LILIDIANA BINTI MOHD PAUZAI"</f>
        <v>LILIDIANA BINTI MOHD PAUZAI</v>
      </c>
      <c r="J7482" t="str">
        <f t="shared" si="3046"/>
        <v>BANK SIMPANAN NASIONAL</v>
      </c>
      <c r="K7482" t="str">
        <f>"0320029000048801"</f>
        <v>0320029000048801</v>
      </c>
      <c r="L7482" t="str">
        <f t="shared" si="3053"/>
        <v>04-08-2020</v>
      </c>
      <c r="M7482" t="str">
        <f t="shared" si="3053"/>
        <v>04-08-2020</v>
      </c>
      <c r="N7482" t="str">
        <f t="shared" si="3037"/>
        <v>001105018356</v>
      </c>
      <c r="O7482" t="str">
        <f t="shared" si="3038"/>
        <v>MYR</v>
      </c>
      <c r="P7482" t="str">
        <f t="shared" si="3054"/>
        <v>NIL</v>
      </c>
      <c r="Q7482" t="str">
        <f t="shared" si="3054"/>
        <v>NIL</v>
      </c>
      <c r="R7482" t="str">
        <f t="shared" si="3051"/>
        <v>Accepted</v>
      </c>
      <c r="S7482" t="str">
        <f t="shared" si="3039"/>
        <v>Approved</v>
      </c>
      <c r="T7482" t="str">
        <f t="shared" si="3052"/>
        <v>10.20.8.188</v>
      </c>
      <c r="U7482" t="str">
        <f t="shared" si="3040"/>
        <v>AZRAD UMAR BIN SHAARI</v>
      </c>
      <c r="V7482" t="str">
        <f t="shared" si="3041"/>
        <v>FARHANA BINTI MUSTAPA</v>
      </c>
      <c r="W7482" t="str">
        <f t="shared" si="3042"/>
        <v>04-08-2020</v>
      </c>
      <c r="X7482" t="str">
        <f t="shared" si="3043"/>
        <v>RAZIMAH ANSAR AHMAD</v>
      </c>
      <c r="Y7482" t="str">
        <f t="shared" si="3044"/>
        <v>04-08-2020</v>
      </c>
      <c r="Z7482" t="str">
        <f>"COS10200804 1672"</f>
        <v>COS10200804 1672</v>
      </c>
    </row>
    <row r="7483" spans="1:26" x14ac:dyDescent="0.25">
      <c r="A7483" t="str">
        <f t="shared" si="3055"/>
        <v>04-08-2020 12:34:57</v>
      </c>
      <c r="B7483" t="str">
        <f>"0000803425"</f>
        <v>0000803425</v>
      </c>
      <c r="C7483" t="str">
        <f t="shared" si="3056"/>
        <v>0000803354</v>
      </c>
      <c r="D7483" t="str">
        <f t="shared" si="3034"/>
        <v>73185</v>
      </c>
      <c r="E7483" t="str">
        <f t="shared" si="3035"/>
        <v>KFH-OPERATIONS DEPARTMENT</v>
      </c>
      <c r="F7483" t="str">
        <f t="shared" si="3036"/>
        <v>IBG</v>
      </c>
      <c r="G7483" t="str">
        <f t="shared" si="3045"/>
        <v>Refund COSHARE 10</v>
      </c>
      <c r="H7483" s="2">
        <v>42</v>
      </c>
      <c r="I7483" t="str">
        <f>"LILI HASNIZA BINTI MOHD KHASZRI"</f>
        <v>LILI HASNIZA BINTI MOHD KHASZRI</v>
      </c>
      <c r="J7483" t="str">
        <f t="shared" si="3046"/>
        <v>BANK SIMPANAN NASIONAL</v>
      </c>
      <c r="K7483" t="str">
        <f>"0820029000036580"</f>
        <v>0820029000036580</v>
      </c>
      <c r="L7483" t="str">
        <f t="shared" si="3053"/>
        <v>04-08-2020</v>
      </c>
      <c r="M7483" t="str">
        <f t="shared" si="3053"/>
        <v>04-08-2020</v>
      </c>
      <c r="N7483" t="str">
        <f t="shared" si="3037"/>
        <v>001105018356</v>
      </c>
      <c r="O7483" t="str">
        <f t="shared" si="3038"/>
        <v>MYR</v>
      </c>
      <c r="P7483" t="str">
        <f t="shared" si="3054"/>
        <v>NIL</v>
      </c>
      <c r="Q7483" t="str">
        <f t="shared" si="3054"/>
        <v>NIL</v>
      </c>
      <c r="R7483" t="str">
        <f t="shared" si="3051"/>
        <v>Accepted</v>
      </c>
      <c r="S7483" t="str">
        <f t="shared" si="3039"/>
        <v>Approved</v>
      </c>
      <c r="T7483" t="str">
        <f t="shared" si="3052"/>
        <v>10.20.8.188</v>
      </c>
      <c r="U7483" t="str">
        <f t="shared" si="3040"/>
        <v>AZRAD UMAR BIN SHAARI</v>
      </c>
      <c r="V7483" t="str">
        <f t="shared" si="3041"/>
        <v>FARHANA BINTI MUSTAPA</v>
      </c>
      <c r="W7483" t="str">
        <f t="shared" si="3042"/>
        <v>04-08-2020</v>
      </c>
      <c r="X7483" t="str">
        <f t="shared" si="3043"/>
        <v>RAZIMAH ANSAR AHMAD</v>
      </c>
      <c r="Y7483" t="str">
        <f t="shared" si="3044"/>
        <v>04-08-2020</v>
      </c>
      <c r="Z7483" t="str">
        <f>"COS10200804 1671"</f>
        <v>COS10200804 1671</v>
      </c>
    </row>
    <row r="7484" spans="1:26" x14ac:dyDescent="0.25">
      <c r="A7484" t="str">
        <f t="shared" si="3055"/>
        <v>04-08-2020 12:34:57</v>
      </c>
      <c r="B7484" t="str">
        <f>"0000803424"</f>
        <v>0000803424</v>
      </c>
      <c r="C7484" t="str">
        <f t="shared" si="3056"/>
        <v>0000803354</v>
      </c>
      <c r="D7484" t="str">
        <f t="shared" si="3034"/>
        <v>73185</v>
      </c>
      <c r="E7484" t="str">
        <f t="shared" si="3035"/>
        <v>KFH-OPERATIONS DEPARTMENT</v>
      </c>
      <c r="F7484" t="str">
        <f t="shared" si="3036"/>
        <v>IBG</v>
      </c>
      <c r="G7484" t="str">
        <f t="shared" si="3045"/>
        <v>Refund COSHARE 10</v>
      </c>
      <c r="H7484" s="2">
        <v>835</v>
      </c>
      <c r="I7484" t="str">
        <f>"LIANA BINTI ESLAN"</f>
        <v>LIANA BINTI ESLAN</v>
      </c>
      <c r="J7484" t="str">
        <f t="shared" si="3046"/>
        <v>BANK SIMPANAN NASIONAL</v>
      </c>
      <c r="K7484" t="str">
        <f>"1310029822257497"</f>
        <v>1310029822257497</v>
      </c>
      <c r="L7484" t="str">
        <f t="shared" si="3053"/>
        <v>04-08-2020</v>
      </c>
      <c r="M7484" t="str">
        <f t="shared" si="3053"/>
        <v>04-08-2020</v>
      </c>
      <c r="N7484" t="str">
        <f t="shared" si="3037"/>
        <v>001105018356</v>
      </c>
      <c r="O7484" t="str">
        <f t="shared" si="3038"/>
        <v>MYR</v>
      </c>
      <c r="P7484" t="str">
        <f t="shared" si="3054"/>
        <v>NIL</v>
      </c>
      <c r="Q7484" t="str">
        <f t="shared" si="3054"/>
        <v>NIL</v>
      </c>
      <c r="R7484" t="str">
        <f t="shared" si="3051"/>
        <v>Accepted</v>
      </c>
      <c r="S7484" t="str">
        <f t="shared" si="3039"/>
        <v>Approved</v>
      </c>
      <c r="T7484" t="str">
        <f t="shared" si="3052"/>
        <v>10.20.8.188</v>
      </c>
      <c r="U7484" t="str">
        <f t="shared" si="3040"/>
        <v>AZRAD UMAR BIN SHAARI</v>
      </c>
      <c r="V7484" t="str">
        <f t="shared" si="3041"/>
        <v>FARHANA BINTI MUSTAPA</v>
      </c>
      <c r="W7484" t="str">
        <f t="shared" si="3042"/>
        <v>04-08-2020</v>
      </c>
      <c r="X7484" t="str">
        <f t="shared" si="3043"/>
        <v>RAZIMAH ANSAR AHMAD</v>
      </c>
      <c r="Y7484" t="str">
        <f t="shared" si="3044"/>
        <v>04-08-2020</v>
      </c>
      <c r="Z7484" t="str">
        <f>"COS10200804 1670"</f>
        <v>COS10200804 1670</v>
      </c>
    </row>
    <row r="7485" spans="1:26" x14ac:dyDescent="0.25">
      <c r="A7485" t="str">
        <f t="shared" si="3055"/>
        <v>04-08-2020 12:34:57</v>
      </c>
      <c r="B7485" t="str">
        <f>"0000803423"</f>
        <v>0000803423</v>
      </c>
      <c r="C7485" t="str">
        <f t="shared" si="3056"/>
        <v>0000803354</v>
      </c>
      <c r="D7485" t="str">
        <f t="shared" si="3034"/>
        <v>73185</v>
      </c>
      <c r="E7485" t="str">
        <f t="shared" si="3035"/>
        <v>KFH-OPERATIONS DEPARTMENT</v>
      </c>
      <c r="F7485" t="str">
        <f t="shared" si="3036"/>
        <v>IBG</v>
      </c>
      <c r="G7485" t="str">
        <f t="shared" si="3045"/>
        <v>Refund COSHARE 10</v>
      </c>
      <c r="H7485" s="2">
        <v>683</v>
      </c>
      <c r="I7485" t="str">
        <f>"LEE AI LIN"</f>
        <v>LEE AI LIN</v>
      </c>
      <c r="J7485" t="str">
        <f t="shared" si="3046"/>
        <v>BANK SIMPANAN NASIONAL</v>
      </c>
      <c r="K7485" t="str">
        <f>"0820029000041740"</f>
        <v>0820029000041740</v>
      </c>
      <c r="L7485" t="str">
        <f t="shared" si="3053"/>
        <v>04-08-2020</v>
      </c>
      <c r="M7485" t="str">
        <f t="shared" si="3053"/>
        <v>04-08-2020</v>
      </c>
      <c r="N7485" t="str">
        <f t="shared" si="3037"/>
        <v>001105018356</v>
      </c>
      <c r="O7485" t="str">
        <f t="shared" si="3038"/>
        <v>MYR</v>
      </c>
      <c r="P7485" t="str">
        <f t="shared" si="3054"/>
        <v>NIL</v>
      </c>
      <c r="Q7485" t="str">
        <f t="shared" si="3054"/>
        <v>NIL</v>
      </c>
      <c r="R7485" t="str">
        <f t="shared" si="3051"/>
        <v>Accepted</v>
      </c>
      <c r="S7485" t="str">
        <f t="shared" si="3039"/>
        <v>Approved</v>
      </c>
      <c r="T7485" t="str">
        <f t="shared" si="3052"/>
        <v>10.20.8.188</v>
      </c>
      <c r="U7485" t="str">
        <f t="shared" si="3040"/>
        <v>AZRAD UMAR BIN SHAARI</v>
      </c>
      <c r="V7485" t="str">
        <f t="shared" si="3041"/>
        <v>FARHANA BINTI MUSTAPA</v>
      </c>
      <c r="W7485" t="str">
        <f t="shared" si="3042"/>
        <v>04-08-2020</v>
      </c>
      <c r="X7485" t="str">
        <f t="shared" si="3043"/>
        <v>RAZIMAH ANSAR AHMAD</v>
      </c>
      <c r="Y7485" t="str">
        <f t="shared" si="3044"/>
        <v>04-08-2020</v>
      </c>
      <c r="Z7485" t="str">
        <f>"COS10200804 1669"</f>
        <v>COS10200804 1669</v>
      </c>
    </row>
    <row r="7486" spans="1:26" x14ac:dyDescent="0.25">
      <c r="A7486" t="str">
        <f t="shared" si="3055"/>
        <v>04-08-2020 12:34:57</v>
      </c>
      <c r="B7486" t="str">
        <f>"0000803422"</f>
        <v>0000803422</v>
      </c>
      <c r="C7486" t="str">
        <f t="shared" si="3056"/>
        <v>0000803354</v>
      </c>
      <c r="D7486" t="str">
        <f t="shared" si="3034"/>
        <v>73185</v>
      </c>
      <c r="E7486" t="str">
        <f t="shared" si="3035"/>
        <v>KFH-OPERATIONS DEPARTMENT</v>
      </c>
      <c r="F7486" t="str">
        <f t="shared" si="3036"/>
        <v>IBG</v>
      </c>
      <c r="G7486" t="str">
        <f t="shared" si="3045"/>
        <v>Refund COSHARE 10</v>
      </c>
      <c r="H7486" s="2">
        <v>1893.05</v>
      </c>
      <c r="I7486" t="str">
        <f>"LAWRENCE BIN NAMIN"</f>
        <v>LAWRENCE BIN NAMIN</v>
      </c>
      <c r="J7486" t="str">
        <f t="shared" si="3046"/>
        <v>BANK SIMPANAN NASIONAL</v>
      </c>
      <c r="K7486" t="str">
        <f>"1418429856533539"</f>
        <v>1418429856533539</v>
      </c>
      <c r="L7486" t="str">
        <f t="shared" si="3053"/>
        <v>04-08-2020</v>
      </c>
      <c r="M7486" t="str">
        <f t="shared" si="3053"/>
        <v>04-08-2020</v>
      </c>
      <c r="N7486" t="str">
        <f t="shared" si="3037"/>
        <v>001105018356</v>
      </c>
      <c r="O7486" t="str">
        <f t="shared" si="3038"/>
        <v>MYR</v>
      </c>
      <c r="P7486" t="str">
        <f t="shared" si="3054"/>
        <v>NIL</v>
      </c>
      <c r="Q7486" t="str">
        <f t="shared" si="3054"/>
        <v>NIL</v>
      </c>
      <c r="R7486" t="str">
        <f t="shared" si="3051"/>
        <v>Accepted</v>
      </c>
      <c r="S7486" t="str">
        <f t="shared" si="3039"/>
        <v>Approved</v>
      </c>
      <c r="T7486" t="str">
        <f t="shared" si="3052"/>
        <v>10.20.8.188</v>
      </c>
      <c r="U7486" t="str">
        <f t="shared" si="3040"/>
        <v>AZRAD UMAR BIN SHAARI</v>
      </c>
      <c r="V7486" t="str">
        <f t="shared" si="3041"/>
        <v>FARHANA BINTI MUSTAPA</v>
      </c>
      <c r="W7486" t="str">
        <f t="shared" si="3042"/>
        <v>04-08-2020</v>
      </c>
      <c r="X7486" t="str">
        <f t="shared" si="3043"/>
        <v>RAZIMAH ANSAR AHMAD</v>
      </c>
      <c r="Y7486" t="str">
        <f t="shared" si="3044"/>
        <v>04-08-2020</v>
      </c>
      <c r="Z7486" t="str">
        <f>"COS10200804 1668"</f>
        <v>COS10200804 1668</v>
      </c>
    </row>
    <row r="7487" spans="1:26" x14ac:dyDescent="0.25">
      <c r="A7487" t="str">
        <f t="shared" si="3055"/>
        <v>04-08-2020 12:34:57</v>
      </c>
      <c r="B7487" t="str">
        <f>"0000803421"</f>
        <v>0000803421</v>
      </c>
      <c r="C7487" t="str">
        <f t="shared" si="3056"/>
        <v>0000803354</v>
      </c>
      <c r="D7487" t="str">
        <f t="shared" si="3034"/>
        <v>73185</v>
      </c>
      <c r="E7487" t="str">
        <f t="shared" si="3035"/>
        <v>KFH-OPERATIONS DEPARTMENT</v>
      </c>
      <c r="F7487" t="str">
        <f t="shared" si="3036"/>
        <v>IBG</v>
      </c>
      <c r="G7487" t="str">
        <f t="shared" si="3045"/>
        <v>Refund COSHARE 10</v>
      </c>
      <c r="H7487" s="2">
        <v>67.2</v>
      </c>
      <c r="I7487" t="str">
        <f>"LATIFAH BINTI OMAR"</f>
        <v>LATIFAH BINTI OMAR</v>
      </c>
      <c r="J7487" t="str">
        <f t="shared" si="3046"/>
        <v>BANK SIMPANAN NASIONAL</v>
      </c>
      <c r="K7487" t="str">
        <f>"1011041000036023"</f>
        <v>1011041000036023</v>
      </c>
      <c r="L7487" t="str">
        <f t="shared" ref="L7487:M7506" si="3057">"04-08-2020"</f>
        <v>04-08-2020</v>
      </c>
      <c r="M7487" t="str">
        <f t="shared" si="3057"/>
        <v>04-08-2020</v>
      </c>
      <c r="N7487" t="str">
        <f t="shared" si="3037"/>
        <v>001105018356</v>
      </c>
      <c r="O7487" t="str">
        <f t="shared" si="3038"/>
        <v>MYR</v>
      </c>
      <c r="P7487" t="str">
        <f t="shared" ref="P7487:Q7506" si="3058">"NIL"</f>
        <v>NIL</v>
      </c>
      <c r="Q7487" t="str">
        <f t="shared" si="3058"/>
        <v>NIL</v>
      </c>
      <c r="R7487" t="str">
        <f t="shared" si="3051"/>
        <v>Accepted</v>
      </c>
      <c r="S7487" t="str">
        <f t="shared" si="3039"/>
        <v>Approved</v>
      </c>
      <c r="T7487" t="str">
        <f t="shared" si="3052"/>
        <v>10.20.8.188</v>
      </c>
      <c r="U7487" t="str">
        <f t="shared" si="3040"/>
        <v>AZRAD UMAR BIN SHAARI</v>
      </c>
      <c r="V7487" t="str">
        <f t="shared" si="3041"/>
        <v>FARHANA BINTI MUSTAPA</v>
      </c>
      <c r="W7487" t="str">
        <f t="shared" si="3042"/>
        <v>04-08-2020</v>
      </c>
      <c r="X7487" t="str">
        <f t="shared" si="3043"/>
        <v>RAZIMAH ANSAR AHMAD</v>
      </c>
      <c r="Y7487" t="str">
        <f t="shared" si="3044"/>
        <v>04-08-2020</v>
      </c>
      <c r="Z7487" t="str">
        <f>"COS10200804 1667"</f>
        <v>COS10200804 1667</v>
      </c>
    </row>
    <row r="7488" spans="1:26" x14ac:dyDescent="0.25">
      <c r="A7488" t="str">
        <f t="shared" si="3055"/>
        <v>04-08-2020 12:34:57</v>
      </c>
      <c r="B7488" t="str">
        <f>"0000803420"</f>
        <v>0000803420</v>
      </c>
      <c r="C7488" t="str">
        <f t="shared" si="3056"/>
        <v>0000803354</v>
      </c>
      <c r="D7488" t="str">
        <f t="shared" si="3034"/>
        <v>73185</v>
      </c>
      <c r="E7488" t="str">
        <f t="shared" si="3035"/>
        <v>KFH-OPERATIONS DEPARTMENT</v>
      </c>
      <c r="F7488" t="str">
        <f t="shared" si="3036"/>
        <v>IBG</v>
      </c>
      <c r="G7488" t="str">
        <f t="shared" si="3045"/>
        <v>Refund COSHARE 10</v>
      </c>
      <c r="H7488" s="2">
        <v>305</v>
      </c>
      <c r="I7488" t="str">
        <f>"LAMIDI BINTI KISANG  CORNELIA R PISANG"</f>
        <v>LAMIDI BINTI KISANG  CORNELIA R PISANG</v>
      </c>
      <c r="J7488" t="str">
        <f t="shared" si="3046"/>
        <v>BANK SIMPANAN NASIONAL</v>
      </c>
      <c r="K7488" t="str">
        <f>"1212341000014517"</f>
        <v>1212341000014517</v>
      </c>
      <c r="L7488" t="str">
        <f t="shared" si="3057"/>
        <v>04-08-2020</v>
      </c>
      <c r="M7488" t="str">
        <f t="shared" si="3057"/>
        <v>04-08-2020</v>
      </c>
      <c r="N7488" t="str">
        <f t="shared" si="3037"/>
        <v>001105018356</v>
      </c>
      <c r="O7488" t="str">
        <f t="shared" si="3038"/>
        <v>MYR</v>
      </c>
      <c r="P7488" t="str">
        <f t="shared" si="3058"/>
        <v>NIL</v>
      </c>
      <c r="Q7488" t="str">
        <f t="shared" si="3058"/>
        <v>NIL</v>
      </c>
      <c r="R7488" t="str">
        <f t="shared" si="3051"/>
        <v>Accepted</v>
      </c>
      <c r="S7488" t="str">
        <f t="shared" si="3039"/>
        <v>Approved</v>
      </c>
      <c r="T7488" t="str">
        <f t="shared" si="3052"/>
        <v>10.20.8.188</v>
      </c>
      <c r="U7488" t="str">
        <f t="shared" si="3040"/>
        <v>AZRAD UMAR BIN SHAARI</v>
      </c>
      <c r="V7488" t="str">
        <f t="shared" si="3041"/>
        <v>FARHANA BINTI MUSTAPA</v>
      </c>
      <c r="W7488" t="str">
        <f t="shared" si="3042"/>
        <v>04-08-2020</v>
      </c>
      <c r="X7488" t="str">
        <f t="shared" si="3043"/>
        <v>RAZIMAH ANSAR AHMAD</v>
      </c>
      <c r="Y7488" t="str">
        <f t="shared" si="3044"/>
        <v>04-08-2020</v>
      </c>
      <c r="Z7488" t="str">
        <f>"COS10200804 1666"</f>
        <v>COS10200804 1666</v>
      </c>
    </row>
    <row r="7489" spans="1:26" x14ac:dyDescent="0.25">
      <c r="A7489" t="str">
        <f t="shared" si="3055"/>
        <v>04-08-2020 12:34:57</v>
      </c>
      <c r="B7489" t="str">
        <f>"0000803419"</f>
        <v>0000803419</v>
      </c>
      <c r="C7489" t="str">
        <f t="shared" si="3056"/>
        <v>0000803354</v>
      </c>
      <c r="D7489" t="str">
        <f t="shared" si="3034"/>
        <v>73185</v>
      </c>
      <c r="E7489" t="str">
        <f t="shared" si="3035"/>
        <v>KFH-OPERATIONS DEPARTMENT</v>
      </c>
      <c r="F7489" t="str">
        <f t="shared" si="3036"/>
        <v>IBG</v>
      </c>
      <c r="G7489" t="str">
        <f t="shared" si="3045"/>
        <v>Refund COSHARE 10</v>
      </c>
      <c r="H7489" s="2">
        <v>225.2</v>
      </c>
      <c r="I7489" t="str">
        <f>"LAMIDI BINTI KISANG  CORNELIA R PISANG"</f>
        <v>LAMIDI BINTI KISANG  CORNELIA R PISANG</v>
      </c>
      <c r="J7489" t="str">
        <f t="shared" si="3046"/>
        <v>BANK SIMPANAN NASIONAL</v>
      </c>
      <c r="K7489" t="str">
        <f>"1212341000014517"</f>
        <v>1212341000014517</v>
      </c>
      <c r="L7489" t="str">
        <f t="shared" si="3057"/>
        <v>04-08-2020</v>
      </c>
      <c r="M7489" t="str">
        <f t="shared" si="3057"/>
        <v>04-08-2020</v>
      </c>
      <c r="N7489" t="str">
        <f t="shared" si="3037"/>
        <v>001105018356</v>
      </c>
      <c r="O7489" t="str">
        <f t="shared" si="3038"/>
        <v>MYR</v>
      </c>
      <c r="P7489" t="str">
        <f t="shared" si="3058"/>
        <v>NIL</v>
      </c>
      <c r="Q7489" t="str">
        <f t="shared" si="3058"/>
        <v>NIL</v>
      </c>
      <c r="R7489" t="str">
        <f t="shared" si="3051"/>
        <v>Accepted</v>
      </c>
      <c r="S7489" t="str">
        <f t="shared" si="3039"/>
        <v>Approved</v>
      </c>
      <c r="T7489" t="str">
        <f t="shared" si="3052"/>
        <v>10.20.8.188</v>
      </c>
      <c r="U7489" t="str">
        <f t="shared" si="3040"/>
        <v>AZRAD UMAR BIN SHAARI</v>
      </c>
      <c r="V7489" t="str">
        <f t="shared" si="3041"/>
        <v>FARHANA BINTI MUSTAPA</v>
      </c>
      <c r="W7489" t="str">
        <f t="shared" si="3042"/>
        <v>04-08-2020</v>
      </c>
      <c r="X7489" t="str">
        <f t="shared" si="3043"/>
        <v>RAZIMAH ANSAR AHMAD</v>
      </c>
      <c r="Y7489" t="str">
        <f t="shared" si="3044"/>
        <v>04-08-2020</v>
      </c>
      <c r="Z7489" t="str">
        <f>"COS10200804 1665"</f>
        <v>COS10200804 1665</v>
      </c>
    </row>
    <row r="7490" spans="1:26" x14ac:dyDescent="0.25">
      <c r="A7490" t="str">
        <f t="shared" si="3055"/>
        <v>04-08-2020 12:34:57</v>
      </c>
      <c r="B7490" t="str">
        <f>"0000803418"</f>
        <v>0000803418</v>
      </c>
      <c r="C7490" t="str">
        <f t="shared" si="3056"/>
        <v>0000803354</v>
      </c>
      <c r="D7490" t="str">
        <f t="shared" si="3034"/>
        <v>73185</v>
      </c>
      <c r="E7490" t="str">
        <f t="shared" si="3035"/>
        <v>KFH-OPERATIONS DEPARTMENT</v>
      </c>
      <c r="F7490" t="str">
        <f t="shared" si="3036"/>
        <v>IBG</v>
      </c>
      <c r="G7490" t="str">
        <f t="shared" si="3045"/>
        <v>Refund COSHARE 10</v>
      </c>
      <c r="H7490" s="2">
        <v>1234.0999999999999</v>
      </c>
      <c r="I7490" t="str">
        <f>"LAIMAH BINTI DUIL"</f>
        <v>LAIMAH BINTI DUIL</v>
      </c>
      <c r="J7490" t="str">
        <f t="shared" si="3046"/>
        <v>BANK SIMPANAN NASIONAL</v>
      </c>
      <c r="K7490" t="str">
        <f>"1210829856363723"</f>
        <v>1210829856363723</v>
      </c>
      <c r="L7490" t="str">
        <f t="shared" si="3057"/>
        <v>04-08-2020</v>
      </c>
      <c r="M7490" t="str">
        <f t="shared" si="3057"/>
        <v>04-08-2020</v>
      </c>
      <c r="N7490" t="str">
        <f t="shared" si="3037"/>
        <v>001105018356</v>
      </c>
      <c r="O7490" t="str">
        <f t="shared" si="3038"/>
        <v>MYR</v>
      </c>
      <c r="P7490" t="str">
        <f t="shared" si="3058"/>
        <v>NIL</v>
      </c>
      <c r="Q7490" t="str">
        <f t="shared" si="3058"/>
        <v>NIL</v>
      </c>
      <c r="R7490" t="str">
        <f t="shared" si="3051"/>
        <v>Accepted</v>
      </c>
      <c r="S7490" t="str">
        <f t="shared" si="3039"/>
        <v>Approved</v>
      </c>
      <c r="T7490" t="str">
        <f t="shared" si="3052"/>
        <v>10.20.8.188</v>
      </c>
      <c r="U7490" t="str">
        <f t="shared" si="3040"/>
        <v>AZRAD UMAR BIN SHAARI</v>
      </c>
      <c r="V7490" t="str">
        <f t="shared" si="3041"/>
        <v>FARHANA BINTI MUSTAPA</v>
      </c>
      <c r="W7490" t="str">
        <f t="shared" si="3042"/>
        <v>04-08-2020</v>
      </c>
      <c r="X7490" t="str">
        <f t="shared" si="3043"/>
        <v>RAZIMAH ANSAR AHMAD</v>
      </c>
      <c r="Y7490" t="str">
        <f t="shared" si="3044"/>
        <v>04-08-2020</v>
      </c>
      <c r="Z7490" t="str">
        <f>"COS10200804 1664"</f>
        <v>COS10200804 1664</v>
      </c>
    </row>
    <row r="7491" spans="1:26" x14ac:dyDescent="0.25">
      <c r="A7491" t="str">
        <f t="shared" si="3055"/>
        <v>04-08-2020 12:34:57</v>
      </c>
      <c r="B7491" t="str">
        <f>"0000803417"</f>
        <v>0000803417</v>
      </c>
      <c r="C7491" t="str">
        <f t="shared" si="3056"/>
        <v>0000803354</v>
      </c>
      <c r="D7491" t="str">
        <f t="shared" si="3034"/>
        <v>73185</v>
      </c>
      <c r="E7491" t="str">
        <f t="shared" si="3035"/>
        <v>KFH-OPERATIONS DEPARTMENT</v>
      </c>
      <c r="F7491" t="str">
        <f t="shared" si="3036"/>
        <v>IBG</v>
      </c>
      <c r="G7491" t="str">
        <f t="shared" si="3045"/>
        <v>Refund COSHARE 10</v>
      </c>
      <c r="H7491" s="2">
        <v>1037.8</v>
      </c>
      <c r="I7491" t="str">
        <f>"LAILATUL KADAR BT MOHAMAD TAHIR"</f>
        <v>LAILATUL KADAR BT MOHAMAD TAHIR</v>
      </c>
      <c r="J7491" t="str">
        <f t="shared" si="3046"/>
        <v>BANK SIMPANAN NASIONAL</v>
      </c>
      <c r="K7491" t="str">
        <f>"1411729850942826"</f>
        <v>1411729850942826</v>
      </c>
      <c r="L7491" t="str">
        <f t="shared" si="3057"/>
        <v>04-08-2020</v>
      </c>
      <c r="M7491" t="str">
        <f t="shared" si="3057"/>
        <v>04-08-2020</v>
      </c>
      <c r="N7491" t="str">
        <f t="shared" si="3037"/>
        <v>001105018356</v>
      </c>
      <c r="O7491" t="str">
        <f t="shared" si="3038"/>
        <v>MYR</v>
      </c>
      <c r="P7491" t="str">
        <f t="shared" si="3058"/>
        <v>NIL</v>
      </c>
      <c r="Q7491" t="str">
        <f t="shared" si="3058"/>
        <v>NIL</v>
      </c>
      <c r="R7491" t="str">
        <f t="shared" si="3051"/>
        <v>Accepted</v>
      </c>
      <c r="S7491" t="str">
        <f t="shared" si="3039"/>
        <v>Approved</v>
      </c>
      <c r="T7491" t="str">
        <f t="shared" si="3052"/>
        <v>10.20.8.188</v>
      </c>
      <c r="U7491" t="str">
        <f t="shared" si="3040"/>
        <v>AZRAD UMAR BIN SHAARI</v>
      </c>
      <c r="V7491" t="str">
        <f t="shared" si="3041"/>
        <v>FARHANA BINTI MUSTAPA</v>
      </c>
      <c r="W7491" t="str">
        <f t="shared" si="3042"/>
        <v>04-08-2020</v>
      </c>
      <c r="X7491" t="str">
        <f t="shared" si="3043"/>
        <v>RAZIMAH ANSAR AHMAD</v>
      </c>
      <c r="Y7491" t="str">
        <f t="shared" si="3044"/>
        <v>04-08-2020</v>
      </c>
      <c r="Z7491" t="str">
        <f>"COS10200804 1663"</f>
        <v>COS10200804 1663</v>
      </c>
    </row>
    <row r="7492" spans="1:26" x14ac:dyDescent="0.25">
      <c r="A7492" t="str">
        <f t="shared" si="3055"/>
        <v>04-08-2020 12:34:57</v>
      </c>
      <c r="B7492" t="str">
        <f>"0000803416"</f>
        <v>0000803416</v>
      </c>
      <c r="C7492" t="str">
        <f t="shared" si="3056"/>
        <v>0000803354</v>
      </c>
      <c r="D7492" t="str">
        <f t="shared" si="3034"/>
        <v>73185</v>
      </c>
      <c r="E7492" t="str">
        <f t="shared" si="3035"/>
        <v>KFH-OPERATIONS DEPARTMENT</v>
      </c>
      <c r="F7492" t="str">
        <f t="shared" si="3036"/>
        <v>IBG</v>
      </c>
      <c r="G7492" t="str">
        <f t="shared" si="3045"/>
        <v>Refund COSHARE 10</v>
      </c>
      <c r="H7492" s="2">
        <v>839.5</v>
      </c>
      <c r="I7492" t="str">
        <f>"LR SINDAH AP SM LEKSHMNA"</f>
        <v>LR SINDAH AP SM LEKSHMNA</v>
      </c>
      <c r="J7492" t="str">
        <f t="shared" si="3046"/>
        <v>BANK SIMPANAN NASIONAL</v>
      </c>
      <c r="K7492" t="str">
        <f>"0810429847050804"</f>
        <v>0810429847050804</v>
      </c>
      <c r="L7492" t="str">
        <f t="shared" si="3057"/>
        <v>04-08-2020</v>
      </c>
      <c r="M7492" t="str">
        <f t="shared" si="3057"/>
        <v>04-08-2020</v>
      </c>
      <c r="N7492" t="str">
        <f t="shared" si="3037"/>
        <v>001105018356</v>
      </c>
      <c r="O7492" t="str">
        <f t="shared" si="3038"/>
        <v>MYR</v>
      </c>
      <c r="P7492" t="str">
        <f t="shared" si="3058"/>
        <v>NIL</v>
      </c>
      <c r="Q7492" t="str">
        <f t="shared" si="3058"/>
        <v>NIL</v>
      </c>
      <c r="R7492" t="str">
        <f t="shared" si="3051"/>
        <v>Accepted</v>
      </c>
      <c r="S7492" t="str">
        <f t="shared" si="3039"/>
        <v>Approved</v>
      </c>
      <c r="T7492" t="str">
        <f t="shared" si="3052"/>
        <v>10.20.8.188</v>
      </c>
      <c r="U7492" t="str">
        <f t="shared" si="3040"/>
        <v>AZRAD UMAR BIN SHAARI</v>
      </c>
      <c r="V7492" t="str">
        <f t="shared" si="3041"/>
        <v>FARHANA BINTI MUSTAPA</v>
      </c>
      <c r="W7492" t="str">
        <f t="shared" si="3042"/>
        <v>04-08-2020</v>
      </c>
      <c r="X7492" t="str">
        <f t="shared" si="3043"/>
        <v>RAZIMAH ANSAR AHMAD</v>
      </c>
      <c r="Y7492" t="str">
        <f t="shared" si="3044"/>
        <v>04-08-2020</v>
      </c>
      <c r="Z7492" t="str">
        <f>"COS10200804 1662"</f>
        <v>COS10200804 1662</v>
      </c>
    </row>
    <row r="7493" spans="1:26" x14ac:dyDescent="0.25">
      <c r="A7493" t="str">
        <f t="shared" si="3055"/>
        <v>04-08-2020 12:34:57</v>
      </c>
      <c r="B7493" t="str">
        <f>"0000803415"</f>
        <v>0000803415</v>
      </c>
      <c r="C7493" t="str">
        <f t="shared" si="3056"/>
        <v>0000803354</v>
      </c>
      <c r="D7493" t="str">
        <f t="shared" si="3034"/>
        <v>73185</v>
      </c>
      <c r="E7493" t="str">
        <f t="shared" si="3035"/>
        <v>KFH-OPERATIONS DEPARTMENT</v>
      </c>
      <c r="F7493" t="str">
        <f t="shared" si="3036"/>
        <v>IBG</v>
      </c>
      <c r="G7493" t="str">
        <f t="shared" si="3045"/>
        <v>Refund COSHARE 10</v>
      </c>
      <c r="H7493" s="2">
        <v>61</v>
      </c>
      <c r="I7493" t="str">
        <f>"KURSHIAH BINTI ISHAK"</f>
        <v>KURSHIAH BINTI ISHAK</v>
      </c>
      <c r="J7493" t="str">
        <f t="shared" si="3046"/>
        <v>BANK SIMPANAN NASIONAL</v>
      </c>
      <c r="K7493" t="str">
        <f>"0520029000132341"</f>
        <v>0520029000132341</v>
      </c>
      <c r="L7493" t="str">
        <f t="shared" si="3057"/>
        <v>04-08-2020</v>
      </c>
      <c r="M7493" t="str">
        <f t="shared" si="3057"/>
        <v>04-08-2020</v>
      </c>
      <c r="N7493" t="str">
        <f t="shared" si="3037"/>
        <v>001105018356</v>
      </c>
      <c r="O7493" t="str">
        <f t="shared" si="3038"/>
        <v>MYR</v>
      </c>
      <c r="P7493" t="str">
        <f t="shared" si="3058"/>
        <v>NIL</v>
      </c>
      <c r="Q7493" t="str">
        <f t="shared" si="3058"/>
        <v>NIL</v>
      </c>
      <c r="R7493" t="str">
        <f t="shared" si="3051"/>
        <v>Accepted</v>
      </c>
      <c r="S7493" t="str">
        <f t="shared" si="3039"/>
        <v>Approved</v>
      </c>
      <c r="T7493" t="str">
        <f t="shared" si="3052"/>
        <v>10.20.8.188</v>
      </c>
      <c r="U7493" t="str">
        <f t="shared" si="3040"/>
        <v>AZRAD UMAR BIN SHAARI</v>
      </c>
      <c r="V7493" t="str">
        <f t="shared" si="3041"/>
        <v>FARHANA BINTI MUSTAPA</v>
      </c>
      <c r="W7493" t="str">
        <f t="shared" si="3042"/>
        <v>04-08-2020</v>
      </c>
      <c r="X7493" t="str">
        <f t="shared" si="3043"/>
        <v>RAZIMAH ANSAR AHMAD</v>
      </c>
      <c r="Y7493" t="str">
        <f t="shared" si="3044"/>
        <v>04-08-2020</v>
      </c>
      <c r="Z7493" t="str">
        <f>"COS10200804 1661"</f>
        <v>COS10200804 1661</v>
      </c>
    </row>
    <row r="7494" spans="1:26" x14ac:dyDescent="0.25">
      <c r="A7494" t="str">
        <f t="shared" si="3055"/>
        <v>04-08-2020 12:34:57</v>
      </c>
      <c r="B7494" t="str">
        <f>"0000803414"</f>
        <v>0000803414</v>
      </c>
      <c r="C7494" t="str">
        <f t="shared" si="3056"/>
        <v>0000803354</v>
      </c>
      <c r="D7494" t="str">
        <f t="shared" si="3034"/>
        <v>73185</v>
      </c>
      <c r="E7494" t="str">
        <f t="shared" si="3035"/>
        <v>KFH-OPERATIONS DEPARTMENT</v>
      </c>
      <c r="F7494" t="str">
        <f t="shared" si="3036"/>
        <v>IBG</v>
      </c>
      <c r="G7494" t="str">
        <f t="shared" si="3045"/>
        <v>Refund COSHARE 10</v>
      </c>
      <c r="H7494" s="2">
        <v>210.45</v>
      </c>
      <c r="I7494" t="str">
        <f>"KOHAYE BINTI KUASAH"</f>
        <v>KOHAYE BINTI KUASAH</v>
      </c>
      <c r="J7494" t="str">
        <f t="shared" si="3046"/>
        <v>BANK SIMPANAN NASIONAL</v>
      </c>
      <c r="K7494" t="str">
        <f>"1210629810462797"</f>
        <v>1210629810462797</v>
      </c>
      <c r="L7494" t="str">
        <f t="shared" si="3057"/>
        <v>04-08-2020</v>
      </c>
      <c r="M7494" t="str">
        <f t="shared" si="3057"/>
        <v>04-08-2020</v>
      </c>
      <c r="N7494" t="str">
        <f t="shared" si="3037"/>
        <v>001105018356</v>
      </c>
      <c r="O7494" t="str">
        <f t="shared" si="3038"/>
        <v>MYR</v>
      </c>
      <c r="P7494" t="str">
        <f t="shared" si="3058"/>
        <v>NIL</v>
      </c>
      <c r="Q7494" t="str">
        <f t="shared" si="3058"/>
        <v>NIL</v>
      </c>
      <c r="R7494" t="str">
        <f t="shared" si="3051"/>
        <v>Accepted</v>
      </c>
      <c r="S7494" t="str">
        <f t="shared" si="3039"/>
        <v>Approved</v>
      </c>
      <c r="T7494" t="str">
        <f t="shared" si="3052"/>
        <v>10.20.8.188</v>
      </c>
      <c r="U7494" t="str">
        <f t="shared" si="3040"/>
        <v>AZRAD UMAR BIN SHAARI</v>
      </c>
      <c r="V7494" t="str">
        <f t="shared" si="3041"/>
        <v>FARHANA BINTI MUSTAPA</v>
      </c>
      <c r="W7494" t="str">
        <f t="shared" si="3042"/>
        <v>04-08-2020</v>
      </c>
      <c r="X7494" t="str">
        <f t="shared" si="3043"/>
        <v>RAZIMAH ANSAR AHMAD</v>
      </c>
      <c r="Y7494" t="str">
        <f t="shared" si="3044"/>
        <v>04-08-2020</v>
      </c>
      <c r="Z7494" t="str">
        <f>"COS10200804 1660"</f>
        <v>COS10200804 1660</v>
      </c>
    </row>
    <row r="7495" spans="1:26" x14ac:dyDescent="0.25">
      <c r="A7495" t="str">
        <f t="shared" si="3055"/>
        <v>04-08-2020 12:34:57</v>
      </c>
      <c r="B7495" t="str">
        <f>"0000803413"</f>
        <v>0000803413</v>
      </c>
      <c r="C7495" t="str">
        <f t="shared" si="3056"/>
        <v>0000803354</v>
      </c>
      <c r="D7495" t="str">
        <f t="shared" ref="D7495:D7558" si="3059">"73185"</f>
        <v>73185</v>
      </c>
      <c r="E7495" t="str">
        <f t="shared" ref="E7495:E7558" si="3060">"KFH-OPERATIONS DEPARTMENT"</f>
        <v>KFH-OPERATIONS DEPARTMENT</v>
      </c>
      <c r="F7495" t="str">
        <f t="shared" ref="F7495:F7558" si="3061">"IBG"</f>
        <v>IBG</v>
      </c>
      <c r="G7495" t="str">
        <f t="shared" si="3045"/>
        <v>Refund COSHARE 10</v>
      </c>
      <c r="H7495" s="2">
        <v>874.25</v>
      </c>
      <c r="I7495" t="str">
        <f>"KHALID BIN A RASHID"</f>
        <v>KHALID BIN A RASHID</v>
      </c>
      <c r="J7495" t="str">
        <f t="shared" si="3046"/>
        <v>BANK SIMPANAN NASIONAL</v>
      </c>
      <c r="K7495" t="str">
        <f>"1410029868009367"</f>
        <v>1410029868009367</v>
      </c>
      <c r="L7495" t="str">
        <f t="shared" si="3057"/>
        <v>04-08-2020</v>
      </c>
      <c r="M7495" t="str">
        <f t="shared" si="3057"/>
        <v>04-08-2020</v>
      </c>
      <c r="N7495" t="str">
        <f t="shared" ref="N7495:N7558" si="3062">"001105018356"</f>
        <v>001105018356</v>
      </c>
      <c r="O7495" t="str">
        <f t="shared" ref="O7495:O7558" si="3063">"MYR"</f>
        <v>MYR</v>
      </c>
      <c r="P7495" t="str">
        <f t="shared" si="3058"/>
        <v>NIL</v>
      </c>
      <c r="Q7495" t="str">
        <f t="shared" si="3058"/>
        <v>NIL</v>
      </c>
      <c r="R7495" t="str">
        <f t="shared" si="3051"/>
        <v>Accepted</v>
      </c>
      <c r="S7495" t="str">
        <f t="shared" ref="S7495:S7558" si="3064">"Approved"</f>
        <v>Approved</v>
      </c>
      <c r="T7495" t="str">
        <f t="shared" si="3052"/>
        <v>10.20.8.188</v>
      </c>
      <c r="U7495" t="str">
        <f t="shared" ref="U7495:U7558" si="3065">"AZRAD UMAR BIN SHAARI"</f>
        <v>AZRAD UMAR BIN SHAARI</v>
      </c>
      <c r="V7495" t="str">
        <f t="shared" ref="V7495:V7558" si="3066">"FARHANA BINTI MUSTAPA"</f>
        <v>FARHANA BINTI MUSTAPA</v>
      </c>
      <c r="W7495" t="str">
        <f t="shared" ref="W7495:W7558" si="3067">"04-08-2020"</f>
        <v>04-08-2020</v>
      </c>
      <c r="X7495" t="str">
        <f t="shared" ref="X7495:X7558" si="3068">"RAZIMAH ANSAR AHMAD"</f>
        <v>RAZIMAH ANSAR AHMAD</v>
      </c>
      <c r="Y7495" t="str">
        <f t="shared" ref="Y7495:Y7558" si="3069">"04-08-2020"</f>
        <v>04-08-2020</v>
      </c>
      <c r="Z7495" t="str">
        <f>"COS10200804 1659"</f>
        <v>COS10200804 1659</v>
      </c>
    </row>
    <row r="7496" spans="1:26" x14ac:dyDescent="0.25">
      <c r="A7496" t="str">
        <f t="shared" si="3055"/>
        <v>04-08-2020 12:34:57</v>
      </c>
      <c r="B7496" t="str">
        <f>"0000803412"</f>
        <v>0000803412</v>
      </c>
      <c r="C7496" t="str">
        <f t="shared" si="3056"/>
        <v>0000803354</v>
      </c>
      <c r="D7496" t="str">
        <f t="shared" si="3059"/>
        <v>73185</v>
      </c>
      <c r="E7496" t="str">
        <f t="shared" si="3060"/>
        <v>KFH-OPERATIONS DEPARTMENT</v>
      </c>
      <c r="F7496" t="str">
        <f t="shared" si="3061"/>
        <v>IBG</v>
      </c>
      <c r="G7496" t="str">
        <f t="shared" si="3045"/>
        <v>Refund COSHARE 10</v>
      </c>
      <c r="H7496" s="2">
        <v>167.9</v>
      </c>
      <c r="I7496" t="str">
        <f>"KHAIRULZAIDI BIN DAUD"</f>
        <v>KHAIRULZAIDI BIN DAUD</v>
      </c>
      <c r="J7496" t="str">
        <f t="shared" si="3046"/>
        <v>BANK SIMPANAN NASIONAL</v>
      </c>
      <c r="K7496" t="str">
        <f>"0611341000015605"</f>
        <v>0611341000015605</v>
      </c>
      <c r="L7496" t="str">
        <f t="shared" si="3057"/>
        <v>04-08-2020</v>
      </c>
      <c r="M7496" t="str">
        <f t="shared" si="3057"/>
        <v>04-08-2020</v>
      </c>
      <c r="N7496" t="str">
        <f t="shared" si="3062"/>
        <v>001105018356</v>
      </c>
      <c r="O7496" t="str">
        <f t="shared" si="3063"/>
        <v>MYR</v>
      </c>
      <c r="P7496" t="str">
        <f t="shared" si="3058"/>
        <v>NIL</v>
      </c>
      <c r="Q7496" t="str">
        <f t="shared" si="3058"/>
        <v>NIL</v>
      </c>
      <c r="R7496" t="str">
        <f t="shared" si="3051"/>
        <v>Accepted</v>
      </c>
      <c r="S7496" t="str">
        <f t="shared" si="3064"/>
        <v>Approved</v>
      </c>
      <c r="T7496" t="str">
        <f t="shared" si="3052"/>
        <v>10.20.8.188</v>
      </c>
      <c r="U7496" t="str">
        <f t="shared" si="3065"/>
        <v>AZRAD UMAR BIN SHAARI</v>
      </c>
      <c r="V7496" t="str">
        <f t="shared" si="3066"/>
        <v>FARHANA BINTI MUSTAPA</v>
      </c>
      <c r="W7496" t="str">
        <f t="shared" si="3067"/>
        <v>04-08-2020</v>
      </c>
      <c r="X7496" t="str">
        <f t="shared" si="3068"/>
        <v>RAZIMAH ANSAR AHMAD</v>
      </c>
      <c r="Y7496" t="str">
        <f t="shared" si="3069"/>
        <v>04-08-2020</v>
      </c>
      <c r="Z7496" t="str">
        <f>"COS10200804 1658"</f>
        <v>COS10200804 1658</v>
      </c>
    </row>
    <row r="7497" spans="1:26" x14ac:dyDescent="0.25">
      <c r="A7497" t="str">
        <f t="shared" si="3055"/>
        <v>04-08-2020 12:34:57</v>
      </c>
      <c r="B7497" t="str">
        <f>"0000803411"</f>
        <v>0000803411</v>
      </c>
      <c r="C7497" t="str">
        <f t="shared" si="3056"/>
        <v>0000803354</v>
      </c>
      <c r="D7497" t="str">
        <f t="shared" si="3059"/>
        <v>73185</v>
      </c>
      <c r="E7497" t="str">
        <f t="shared" si="3060"/>
        <v>KFH-OPERATIONS DEPARTMENT</v>
      </c>
      <c r="F7497" t="str">
        <f t="shared" si="3061"/>
        <v>IBG</v>
      </c>
      <c r="G7497" t="str">
        <f t="shared" si="3045"/>
        <v>Refund COSHARE 10</v>
      </c>
      <c r="H7497" s="2">
        <v>915</v>
      </c>
      <c r="I7497" t="str">
        <f>"KHAIRUL NIZA BINTI ISMAIL"</f>
        <v>KHAIRUL NIZA BINTI ISMAIL</v>
      </c>
      <c r="J7497" t="str">
        <f t="shared" si="3046"/>
        <v>BANK SIMPANAN NASIONAL</v>
      </c>
      <c r="K7497" t="str">
        <f>"0810229832955483"</f>
        <v>0810229832955483</v>
      </c>
      <c r="L7497" t="str">
        <f t="shared" si="3057"/>
        <v>04-08-2020</v>
      </c>
      <c r="M7497" t="str">
        <f t="shared" si="3057"/>
        <v>04-08-2020</v>
      </c>
      <c r="N7497" t="str">
        <f t="shared" si="3062"/>
        <v>001105018356</v>
      </c>
      <c r="O7497" t="str">
        <f t="shared" si="3063"/>
        <v>MYR</v>
      </c>
      <c r="P7497" t="str">
        <f t="shared" si="3058"/>
        <v>NIL</v>
      </c>
      <c r="Q7497" t="str">
        <f t="shared" si="3058"/>
        <v>NIL</v>
      </c>
      <c r="R7497" t="str">
        <f t="shared" si="3051"/>
        <v>Accepted</v>
      </c>
      <c r="S7497" t="str">
        <f t="shared" si="3064"/>
        <v>Approved</v>
      </c>
      <c r="T7497" t="str">
        <f t="shared" si="3052"/>
        <v>10.20.8.188</v>
      </c>
      <c r="U7497" t="str">
        <f t="shared" si="3065"/>
        <v>AZRAD UMAR BIN SHAARI</v>
      </c>
      <c r="V7497" t="str">
        <f t="shared" si="3066"/>
        <v>FARHANA BINTI MUSTAPA</v>
      </c>
      <c r="W7497" t="str">
        <f t="shared" si="3067"/>
        <v>04-08-2020</v>
      </c>
      <c r="X7497" t="str">
        <f t="shared" si="3068"/>
        <v>RAZIMAH ANSAR AHMAD</v>
      </c>
      <c r="Y7497" t="str">
        <f t="shared" si="3069"/>
        <v>04-08-2020</v>
      </c>
      <c r="Z7497" t="str">
        <f>"COS10200804 1657"</f>
        <v>COS10200804 1657</v>
      </c>
    </row>
    <row r="7498" spans="1:26" x14ac:dyDescent="0.25">
      <c r="A7498" t="str">
        <f t="shared" si="3055"/>
        <v>04-08-2020 12:34:57</v>
      </c>
      <c r="B7498" t="str">
        <f>"0000803410"</f>
        <v>0000803410</v>
      </c>
      <c r="C7498" t="str">
        <f t="shared" si="3056"/>
        <v>0000803354</v>
      </c>
      <c r="D7498" t="str">
        <f t="shared" si="3059"/>
        <v>73185</v>
      </c>
      <c r="E7498" t="str">
        <f t="shared" si="3060"/>
        <v>KFH-OPERATIONS DEPARTMENT</v>
      </c>
      <c r="F7498" t="str">
        <f t="shared" si="3061"/>
        <v>IBG</v>
      </c>
      <c r="G7498" t="str">
        <f t="shared" si="3045"/>
        <v>Refund COSHARE 10</v>
      </c>
      <c r="H7498" s="2">
        <v>294</v>
      </c>
      <c r="I7498" t="str">
        <f>"KHAIRUL ANUAR BIN KAMARUDDIN"</f>
        <v>KHAIRUL ANUAR BIN KAMARUDDIN</v>
      </c>
      <c r="J7498" t="str">
        <f t="shared" si="3046"/>
        <v>BANK SIMPANAN NASIONAL</v>
      </c>
      <c r="K7498" t="str">
        <f>"0510429000035685"</f>
        <v>0510429000035685</v>
      </c>
      <c r="L7498" t="str">
        <f t="shared" si="3057"/>
        <v>04-08-2020</v>
      </c>
      <c r="M7498" t="str">
        <f t="shared" si="3057"/>
        <v>04-08-2020</v>
      </c>
      <c r="N7498" t="str">
        <f t="shared" si="3062"/>
        <v>001105018356</v>
      </c>
      <c r="O7498" t="str">
        <f t="shared" si="3063"/>
        <v>MYR</v>
      </c>
      <c r="P7498" t="str">
        <f t="shared" si="3058"/>
        <v>NIL</v>
      </c>
      <c r="Q7498" t="str">
        <f t="shared" si="3058"/>
        <v>NIL</v>
      </c>
      <c r="R7498" t="str">
        <f t="shared" si="3051"/>
        <v>Accepted</v>
      </c>
      <c r="S7498" t="str">
        <f t="shared" si="3064"/>
        <v>Approved</v>
      </c>
      <c r="T7498" t="str">
        <f t="shared" si="3052"/>
        <v>10.20.8.188</v>
      </c>
      <c r="U7498" t="str">
        <f t="shared" si="3065"/>
        <v>AZRAD UMAR BIN SHAARI</v>
      </c>
      <c r="V7498" t="str">
        <f t="shared" si="3066"/>
        <v>FARHANA BINTI MUSTAPA</v>
      </c>
      <c r="W7498" t="str">
        <f t="shared" si="3067"/>
        <v>04-08-2020</v>
      </c>
      <c r="X7498" t="str">
        <f t="shared" si="3068"/>
        <v>RAZIMAH ANSAR AHMAD</v>
      </c>
      <c r="Y7498" t="str">
        <f t="shared" si="3069"/>
        <v>04-08-2020</v>
      </c>
      <c r="Z7498" t="str">
        <f>"COS10200804 1656"</f>
        <v>COS10200804 1656</v>
      </c>
    </row>
    <row r="7499" spans="1:26" x14ac:dyDescent="0.25">
      <c r="A7499" t="str">
        <f t="shared" si="3055"/>
        <v>04-08-2020 12:34:57</v>
      </c>
      <c r="B7499" t="str">
        <f>"0000803409"</f>
        <v>0000803409</v>
      </c>
      <c r="C7499" t="str">
        <f t="shared" si="3056"/>
        <v>0000803354</v>
      </c>
      <c r="D7499" t="str">
        <f t="shared" si="3059"/>
        <v>73185</v>
      </c>
      <c r="E7499" t="str">
        <f t="shared" si="3060"/>
        <v>KFH-OPERATIONS DEPARTMENT</v>
      </c>
      <c r="F7499" t="str">
        <f t="shared" si="3061"/>
        <v>IBG</v>
      </c>
      <c r="G7499" t="str">
        <f t="shared" si="3045"/>
        <v>Refund COSHARE 10</v>
      </c>
      <c r="H7499" s="2">
        <v>75.599999999999994</v>
      </c>
      <c r="I7499" t="str">
        <f>"KHAIRUL ANUAR BIN CHE OMAR"</f>
        <v>KHAIRUL ANUAR BIN CHE OMAR</v>
      </c>
      <c r="J7499" t="str">
        <f t="shared" si="3046"/>
        <v>BANK SIMPANAN NASIONAL</v>
      </c>
      <c r="K7499" t="str">
        <f>"1411329000045735"</f>
        <v>1411329000045735</v>
      </c>
      <c r="L7499" t="str">
        <f t="shared" si="3057"/>
        <v>04-08-2020</v>
      </c>
      <c r="M7499" t="str">
        <f t="shared" si="3057"/>
        <v>04-08-2020</v>
      </c>
      <c r="N7499" t="str">
        <f t="shared" si="3062"/>
        <v>001105018356</v>
      </c>
      <c r="O7499" t="str">
        <f t="shared" si="3063"/>
        <v>MYR</v>
      </c>
      <c r="P7499" t="str">
        <f t="shared" si="3058"/>
        <v>NIL</v>
      </c>
      <c r="Q7499" t="str">
        <f t="shared" si="3058"/>
        <v>NIL</v>
      </c>
      <c r="R7499" t="str">
        <f t="shared" si="3051"/>
        <v>Accepted</v>
      </c>
      <c r="S7499" t="str">
        <f t="shared" si="3064"/>
        <v>Approved</v>
      </c>
      <c r="T7499" t="str">
        <f t="shared" si="3052"/>
        <v>10.20.8.188</v>
      </c>
      <c r="U7499" t="str">
        <f t="shared" si="3065"/>
        <v>AZRAD UMAR BIN SHAARI</v>
      </c>
      <c r="V7499" t="str">
        <f t="shared" si="3066"/>
        <v>FARHANA BINTI MUSTAPA</v>
      </c>
      <c r="W7499" t="str">
        <f t="shared" si="3067"/>
        <v>04-08-2020</v>
      </c>
      <c r="X7499" t="str">
        <f t="shared" si="3068"/>
        <v>RAZIMAH ANSAR AHMAD</v>
      </c>
      <c r="Y7499" t="str">
        <f t="shared" si="3069"/>
        <v>04-08-2020</v>
      </c>
      <c r="Z7499" t="str">
        <f>"COS10200804 1655"</f>
        <v>COS10200804 1655</v>
      </c>
    </row>
    <row r="7500" spans="1:26" x14ac:dyDescent="0.25">
      <c r="A7500" t="str">
        <f t="shared" si="3055"/>
        <v>04-08-2020 12:34:57</v>
      </c>
      <c r="B7500" t="str">
        <f>"0000803408"</f>
        <v>0000803408</v>
      </c>
      <c r="C7500" t="str">
        <f t="shared" si="3056"/>
        <v>0000803354</v>
      </c>
      <c r="D7500" t="str">
        <f t="shared" si="3059"/>
        <v>73185</v>
      </c>
      <c r="E7500" t="str">
        <f t="shared" si="3060"/>
        <v>KFH-OPERATIONS DEPARTMENT</v>
      </c>
      <c r="F7500" t="str">
        <f t="shared" si="3061"/>
        <v>IBG</v>
      </c>
      <c r="G7500" t="str">
        <f t="shared" ref="G7500:G7563" si="3070">"Refund COSHARE 10"</f>
        <v>Refund COSHARE 10</v>
      </c>
      <c r="H7500" s="2">
        <v>277.05</v>
      </c>
      <c r="I7500" t="str">
        <f>"KHAIRUL ABIDIN BIN SALLEH"</f>
        <v>KHAIRUL ABIDIN BIN SALLEH</v>
      </c>
      <c r="J7500" t="str">
        <f t="shared" si="3046"/>
        <v>BANK SIMPANAN NASIONAL</v>
      </c>
      <c r="K7500" t="str">
        <f>"0412729000012119"</f>
        <v>0412729000012119</v>
      </c>
      <c r="L7500" t="str">
        <f t="shared" si="3057"/>
        <v>04-08-2020</v>
      </c>
      <c r="M7500" t="str">
        <f t="shared" si="3057"/>
        <v>04-08-2020</v>
      </c>
      <c r="N7500" t="str">
        <f t="shared" si="3062"/>
        <v>001105018356</v>
      </c>
      <c r="O7500" t="str">
        <f t="shared" si="3063"/>
        <v>MYR</v>
      </c>
      <c r="P7500" t="str">
        <f t="shared" si="3058"/>
        <v>NIL</v>
      </c>
      <c r="Q7500" t="str">
        <f t="shared" si="3058"/>
        <v>NIL</v>
      </c>
      <c r="R7500" t="str">
        <f t="shared" si="3051"/>
        <v>Accepted</v>
      </c>
      <c r="S7500" t="str">
        <f t="shared" si="3064"/>
        <v>Approved</v>
      </c>
      <c r="T7500" t="str">
        <f t="shared" si="3052"/>
        <v>10.20.8.188</v>
      </c>
      <c r="U7500" t="str">
        <f t="shared" si="3065"/>
        <v>AZRAD UMAR BIN SHAARI</v>
      </c>
      <c r="V7500" t="str">
        <f t="shared" si="3066"/>
        <v>FARHANA BINTI MUSTAPA</v>
      </c>
      <c r="W7500" t="str">
        <f t="shared" si="3067"/>
        <v>04-08-2020</v>
      </c>
      <c r="X7500" t="str">
        <f t="shared" si="3068"/>
        <v>RAZIMAH ANSAR AHMAD</v>
      </c>
      <c r="Y7500" t="str">
        <f t="shared" si="3069"/>
        <v>04-08-2020</v>
      </c>
      <c r="Z7500" t="str">
        <f>"COS10200804 1654"</f>
        <v>COS10200804 1654</v>
      </c>
    </row>
    <row r="7501" spans="1:26" x14ac:dyDescent="0.25">
      <c r="A7501" t="str">
        <f t="shared" si="3055"/>
        <v>04-08-2020 12:34:57</v>
      </c>
      <c r="B7501" t="str">
        <f>"0000803407"</f>
        <v>0000803407</v>
      </c>
      <c r="C7501" t="str">
        <f t="shared" si="3056"/>
        <v>0000803354</v>
      </c>
      <c r="D7501" t="str">
        <f t="shared" si="3059"/>
        <v>73185</v>
      </c>
      <c r="E7501" t="str">
        <f t="shared" si="3060"/>
        <v>KFH-OPERATIONS DEPARTMENT</v>
      </c>
      <c r="F7501" t="str">
        <f t="shared" si="3061"/>
        <v>IBG</v>
      </c>
      <c r="G7501" t="str">
        <f t="shared" si="3070"/>
        <v>Refund COSHARE 10</v>
      </c>
      <c r="H7501" s="2">
        <v>130</v>
      </c>
      <c r="I7501" t="str">
        <f>"KHAIRUDIN BIN ABDULLAH"</f>
        <v>KHAIRUDIN BIN ABDULLAH</v>
      </c>
      <c r="J7501" t="str">
        <f t="shared" si="3046"/>
        <v>BANK SIMPANAN NASIONAL</v>
      </c>
      <c r="K7501" t="str">
        <f>"0670029000110941"</f>
        <v>0670029000110941</v>
      </c>
      <c r="L7501" t="str">
        <f t="shared" si="3057"/>
        <v>04-08-2020</v>
      </c>
      <c r="M7501" t="str">
        <f t="shared" si="3057"/>
        <v>04-08-2020</v>
      </c>
      <c r="N7501" t="str">
        <f t="shared" si="3062"/>
        <v>001105018356</v>
      </c>
      <c r="O7501" t="str">
        <f t="shared" si="3063"/>
        <v>MYR</v>
      </c>
      <c r="P7501" t="str">
        <f t="shared" si="3058"/>
        <v>NIL</v>
      </c>
      <c r="Q7501" t="str">
        <f t="shared" si="3058"/>
        <v>NIL</v>
      </c>
      <c r="R7501" t="str">
        <f t="shared" si="3051"/>
        <v>Accepted</v>
      </c>
      <c r="S7501" t="str">
        <f t="shared" si="3064"/>
        <v>Approved</v>
      </c>
      <c r="T7501" t="str">
        <f t="shared" si="3052"/>
        <v>10.20.8.188</v>
      </c>
      <c r="U7501" t="str">
        <f t="shared" si="3065"/>
        <v>AZRAD UMAR BIN SHAARI</v>
      </c>
      <c r="V7501" t="str">
        <f t="shared" si="3066"/>
        <v>FARHANA BINTI MUSTAPA</v>
      </c>
      <c r="W7501" t="str">
        <f t="shared" si="3067"/>
        <v>04-08-2020</v>
      </c>
      <c r="X7501" t="str">
        <f t="shared" si="3068"/>
        <v>RAZIMAH ANSAR AHMAD</v>
      </c>
      <c r="Y7501" t="str">
        <f t="shared" si="3069"/>
        <v>04-08-2020</v>
      </c>
      <c r="Z7501" t="str">
        <f>"COS10200804 1653"</f>
        <v>COS10200804 1653</v>
      </c>
    </row>
    <row r="7502" spans="1:26" x14ac:dyDescent="0.25">
      <c r="A7502" t="str">
        <f t="shared" si="3055"/>
        <v>04-08-2020 12:34:57</v>
      </c>
      <c r="B7502" t="str">
        <f>"0000803406"</f>
        <v>0000803406</v>
      </c>
      <c r="C7502" t="str">
        <f t="shared" si="3056"/>
        <v>0000803354</v>
      </c>
      <c r="D7502" t="str">
        <f t="shared" si="3059"/>
        <v>73185</v>
      </c>
      <c r="E7502" t="str">
        <f t="shared" si="3060"/>
        <v>KFH-OPERATIONS DEPARTMENT</v>
      </c>
      <c r="F7502" t="str">
        <f t="shared" si="3061"/>
        <v>IBG</v>
      </c>
      <c r="G7502" t="str">
        <f t="shared" si="3070"/>
        <v>Refund COSHARE 10</v>
      </c>
      <c r="H7502" s="2">
        <v>130</v>
      </c>
      <c r="I7502" t="str">
        <f>"KHAIRUDIN BIN ABDULLAH"</f>
        <v>KHAIRUDIN BIN ABDULLAH</v>
      </c>
      <c r="J7502" t="str">
        <f t="shared" si="3046"/>
        <v>BANK SIMPANAN NASIONAL</v>
      </c>
      <c r="K7502" t="str">
        <f>"0670029000110941"</f>
        <v>0670029000110941</v>
      </c>
      <c r="L7502" t="str">
        <f t="shared" si="3057"/>
        <v>04-08-2020</v>
      </c>
      <c r="M7502" t="str">
        <f t="shared" si="3057"/>
        <v>04-08-2020</v>
      </c>
      <c r="N7502" t="str">
        <f t="shared" si="3062"/>
        <v>001105018356</v>
      </c>
      <c r="O7502" t="str">
        <f t="shared" si="3063"/>
        <v>MYR</v>
      </c>
      <c r="P7502" t="str">
        <f t="shared" si="3058"/>
        <v>NIL</v>
      </c>
      <c r="Q7502" t="str">
        <f t="shared" si="3058"/>
        <v>NIL</v>
      </c>
      <c r="R7502" t="str">
        <f t="shared" si="3051"/>
        <v>Accepted</v>
      </c>
      <c r="S7502" t="str">
        <f t="shared" si="3064"/>
        <v>Approved</v>
      </c>
      <c r="T7502" t="str">
        <f t="shared" si="3052"/>
        <v>10.20.8.188</v>
      </c>
      <c r="U7502" t="str">
        <f t="shared" si="3065"/>
        <v>AZRAD UMAR BIN SHAARI</v>
      </c>
      <c r="V7502" t="str">
        <f t="shared" si="3066"/>
        <v>FARHANA BINTI MUSTAPA</v>
      </c>
      <c r="W7502" t="str">
        <f t="shared" si="3067"/>
        <v>04-08-2020</v>
      </c>
      <c r="X7502" t="str">
        <f t="shared" si="3068"/>
        <v>RAZIMAH ANSAR AHMAD</v>
      </c>
      <c r="Y7502" t="str">
        <f t="shared" si="3069"/>
        <v>04-08-2020</v>
      </c>
      <c r="Z7502" t="str">
        <f>"COS10200804 1652"</f>
        <v>COS10200804 1652</v>
      </c>
    </row>
    <row r="7503" spans="1:26" x14ac:dyDescent="0.25">
      <c r="A7503" t="str">
        <f t="shared" si="3055"/>
        <v>04-08-2020 12:34:57</v>
      </c>
      <c r="B7503" t="str">
        <f>"0000803405"</f>
        <v>0000803405</v>
      </c>
      <c r="C7503" t="str">
        <f t="shared" si="3056"/>
        <v>0000803354</v>
      </c>
      <c r="D7503" t="str">
        <f t="shared" si="3059"/>
        <v>73185</v>
      </c>
      <c r="E7503" t="str">
        <f t="shared" si="3060"/>
        <v>KFH-OPERATIONS DEPARTMENT</v>
      </c>
      <c r="F7503" t="str">
        <f t="shared" si="3061"/>
        <v>IBG</v>
      </c>
      <c r="G7503" t="str">
        <f t="shared" si="3070"/>
        <v>Refund COSHARE 10</v>
      </c>
      <c r="H7503" s="2">
        <v>839.5</v>
      </c>
      <c r="I7503" t="str">
        <f>"KHAIROL ANUAR BIN ZAINUDIN"</f>
        <v>KHAIROL ANUAR BIN ZAINUDIN</v>
      </c>
      <c r="J7503" t="str">
        <f t="shared" si="3046"/>
        <v>BANK SIMPANAN NASIONAL</v>
      </c>
      <c r="K7503" t="str">
        <f>"0212129000020452"</f>
        <v>0212129000020452</v>
      </c>
      <c r="L7503" t="str">
        <f t="shared" si="3057"/>
        <v>04-08-2020</v>
      </c>
      <c r="M7503" t="str">
        <f t="shared" si="3057"/>
        <v>04-08-2020</v>
      </c>
      <c r="N7503" t="str">
        <f t="shared" si="3062"/>
        <v>001105018356</v>
      </c>
      <c r="O7503" t="str">
        <f t="shared" si="3063"/>
        <v>MYR</v>
      </c>
      <c r="P7503" t="str">
        <f t="shared" si="3058"/>
        <v>NIL</v>
      </c>
      <c r="Q7503" t="str">
        <f t="shared" si="3058"/>
        <v>NIL</v>
      </c>
      <c r="R7503" t="str">
        <f t="shared" si="3051"/>
        <v>Accepted</v>
      </c>
      <c r="S7503" t="str">
        <f t="shared" si="3064"/>
        <v>Approved</v>
      </c>
      <c r="T7503" t="str">
        <f t="shared" si="3052"/>
        <v>10.20.8.188</v>
      </c>
      <c r="U7503" t="str">
        <f t="shared" si="3065"/>
        <v>AZRAD UMAR BIN SHAARI</v>
      </c>
      <c r="V7503" t="str">
        <f t="shared" si="3066"/>
        <v>FARHANA BINTI MUSTAPA</v>
      </c>
      <c r="W7503" t="str">
        <f t="shared" si="3067"/>
        <v>04-08-2020</v>
      </c>
      <c r="X7503" t="str">
        <f t="shared" si="3068"/>
        <v>RAZIMAH ANSAR AHMAD</v>
      </c>
      <c r="Y7503" t="str">
        <f t="shared" si="3069"/>
        <v>04-08-2020</v>
      </c>
      <c r="Z7503" t="str">
        <f>"COS10200804 1651"</f>
        <v>COS10200804 1651</v>
      </c>
    </row>
    <row r="7504" spans="1:26" x14ac:dyDescent="0.25">
      <c r="A7504" t="str">
        <f t="shared" si="3055"/>
        <v>04-08-2020 12:34:57</v>
      </c>
      <c r="B7504" t="str">
        <f>"0000803404"</f>
        <v>0000803404</v>
      </c>
      <c r="C7504" t="str">
        <f t="shared" si="3056"/>
        <v>0000803354</v>
      </c>
      <c r="D7504" t="str">
        <f t="shared" si="3059"/>
        <v>73185</v>
      </c>
      <c r="E7504" t="str">
        <f t="shared" si="3060"/>
        <v>KFH-OPERATIONS DEPARTMENT</v>
      </c>
      <c r="F7504" t="str">
        <f t="shared" si="3061"/>
        <v>IBG</v>
      </c>
      <c r="G7504" t="str">
        <f t="shared" si="3070"/>
        <v>Refund COSHARE 10</v>
      </c>
      <c r="H7504" s="2">
        <v>312</v>
      </c>
      <c r="I7504" t="str">
        <f>"KHAIRIL ASRAF BIN MOHAMAD ASAAD"</f>
        <v>KHAIRIL ASRAF BIN MOHAMAD ASAAD</v>
      </c>
      <c r="J7504" t="str">
        <f t="shared" si="3046"/>
        <v>BANK SIMPANAN NASIONAL</v>
      </c>
      <c r="K7504" t="str">
        <f>"1010929000009390"</f>
        <v>1010929000009390</v>
      </c>
      <c r="L7504" t="str">
        <f t="shared" si="3057"/>
        <v>04-08-2020</v>
      </c>
      <c r="M7504" t="str">
        <f t="shared" si="3057"/>
        <v>04-08-2020</v>
      </c>
      <c r="N7504" t="str">
        <f t="shared" si="3062"/>
        <v>001105018356</v>
      </c>
      <c r="O7504" t="str">
        <f t="shared" si="3063"/>
        <v>MYR</v>
      </c>
      <c r="P7504" t="str">
        <f t="shared" si="3058"/>
        <v>NIL</v>
      </c>
      <c r="Q7504" t="str">
        <f t="shared" si="3058"/>
        <v>NIL</v>
      </c>
      <c r="R7504" t="str">
        <f t="shared" si="3051"/>
        <v>Accepted</v>
      </c>
      <c r="S7504" t="str">
        <f t="shared" si="3064"/>
        <v>Approved</v>
      </c>
      <c r="T7504" t="str">
        <f t="shared" si="3052"/>
        <v>10.20.8.188</v>
      </c>
      <c r="U7504" t="str">
        <f t="shared" si="3065"/>
        <v>AZRAD UMAR BIN SHAARI</v>
      </c>
      <c r="V7504" t="str">
        <f t="shared" si="3066"/>
        <v>FARHANA BINTI MUSTAPA</v>
      </c>
      <c r="W7504" t="str">
        <f t="shared" si="3067"/>
        <v>04-08-2020</v>
      </c>
      <c r="X7504" t="str">
        <f t="shared" si="3068"/>
        <v>RAZIMAH ANSAR AHMAD</v>
      </c>
      <c r="Y7504" t="str">
        <f t="shared" si="3069"/>
        <v>04-08-2020</v>
      </c>
      <c r="Z7504" t="str">
        <f>"COS10200804 1650"</f>
        <v>COS10200804 1650</v>
      </c>
    </row>
    <row r="7505" spans="1:26" x14ac:dyDescent="0.25">
      <c r="A7505" t="str">
        <f t="shared" si="3055"/>
        <v>04-08-2020 12:34:57</v>
      </c>
      <c r="B7505" t="str">
        <f>"0000803403"</f>
        <v>0000803403</v>
      </c>
      <c r="C7505" t="str">
        <f t="shared" si="3056"/>
        <v>0000803354</v>
      </c>
      <c r="D7505" t="str">
        <f t="shared" si="3059"/>
        <v>73185</v>
      </c>
      <c r="E7505" t="str">
        <f t="shared" si="3060"/>
        <v>KFH-OPERATIONS DEPARTMENT</v>
      </c>
      <c r="F7505" t="str">
        <f t="shared" si="3061"/>
        <v>IBG</v>
      </c>
      <c r="G7505" t="str">
        <f t="shared" si="3070"/>
        <v>Refund COSHARE 10</v>
      </c>
      <c r="H7505" s="2">
        <v>2046.55</v>
      </c>
      <c r="I7505" t="str">
        <f>"KESUMA BINTI ARAHMAN"</f>
        <v>KESUMA BINTI ARAHMAN</v>
      </c>
      <c r="J7505" t="str">
        <f t="shared" si="3046"/>
        <v>BANK SIMPANAN NASIONAL</v>
      </c>
      <c r="K7505" t="str">
        <f>"1210329856313333"</f>
        <v>1210329856313333</v>
      </c>
      <c r="L7505" t="str">
        <f t="shared" si="3057"/>
        <v>04-08-2020</v>
      </c>
      <c r="M7505" t="str">
        <f t="shared" si="3057"/>
        <v>04-08-2020</v>
      </c>
      <c r="N7505" t="str">
        <f t="shared" si="3062"/>
        <v>001105018356</v>
      </c>
      <c r="O7505" t="str">
        <f t="shared" si="3063"/>
        <v>MYR</v>
      </c>
      <c r="P7505" t="str">
        <f t="shared" si="3058"/>
        <v>NIL</v>
      </c>
      <c r="Q7505" t="str">
        <f t="shared" si="3058"/>
        <v>NIL</v>
      </c>
      <c r="R7505" t="str">
        <f t="shared" si="3051"/>
        <v>Accepted</v>
      </c>
      <c r="S7505" t="str">
        <f t="shared" si="3064"/>
        <v>Approved</v>
      </c>
      <c r="T7505" t="str">
        <f t="shared" si="3052"/>
        <v>10.20.8.188</v>
      </c>
      <c r="U7505" t="str">
        <f t="shared" si="3065"/>
        <v>AZRAD UMAR BIN SHAARI</v>
      </c>
      <c r="V7505" t="str">
        <f t="shared" si="3066"/>
        <v>FARHANA BINTI MUSTAPA</v>
      </c>
      <c r="W7505" t="str">
        <f t="shared" si="3067"/>
        <v>04-08-2020</v>
      </c>
      <c r="X7505" t="str">
        <f t="shared" si="3068"/>
        <v>RAZIMAH ANSAR AHMAD</v>
      </c>
      <c r="Y7505" t="str">
        <f t="shared" si="3069"/>
        <v>04-08-2020</v>
      </c>
      <c r="Z7505" t="str">
        <f>"COS10200804 1649"</f>
        <v>COS10200804 1649</v>
      </c>
    </row>
    <row r="7506" spans="1:26" x14ac:dyDescent="0.25">
      <c r="A7506" t="str">
        <f t="shared" si="3055"/>
        <v>04-08-2020 12:34:57</v>
      </c>
      <c r="B7506" t="str">
        <f>"0000803402"</f>
        <v>0000803402</v>
      </c>
      <c r="C7506" t="str">
        <f t="shared" si="3056"/>
        <v>0000803354</v>
      </c>
      <c r="D7506" t="str">
        <f t="shared" si="3059"/>
        <v>73185</v>
      </c>
      <c r="E7506" t="str">
        <f t="shared" si="3060"/>
        <v>KFH-OPERATIONS DEPARTMENT</v>
      </c>
      <c r="F7506" t="str">
        <f t="shared" si="3061"/>
        <v>IBG</v>
      </c>
      <c r="G7506" t="str">
        <f t="shared" si="3070"/>
        <v>Refund COSHARE 10</v>
      </c>
      <c r="H7506" s="2">
        <v>443.5</v>
      </c>
      <c r="I7506" t="str">
        <f>"KERRY ANAK DUNSTAN MUDA"</f>
        <v>KERRY ANAK DUNSTAN MUDA</v>
      </c>
      <c r="J7506" t="str">
        <f t="shared" si="3046"/>
        <v>BANK SIMPANAN NASIONAL</v>
      </c>
      <c r="K7506" t="str">
        <f>"1310029851966406"</f>
        <v>1310029851966406</v>
      </c>
      <c r="L7506" t="str">
        <f t="shared" si="3057"/>
        <v>04-08-2020</v>
      </c>
      <c r="M7506" t="str">
        <f t="shared" si="3057"/>
        <v>04-08-2020</v>
      </c>
      <c r="N7506" t="str">
        <f t="shared" si="3062"/>
        <v>001105018356</v>
      </c>
      <c r="O7506" t="str">
        <f t="shared" si="3063"/>
        <v>MYR</v>
      </c>
      <c r="P7506" t="str">
        <f t="shared" si="3058"/>
        <v>NIL</v>
      </c>
      <c r="Q7506" t="str">
        <f t="shared" si="3058"/>
        <v>NIL</v>
      </c>
      <c r="R7506" t="str">
        <f t="shared" si="3051"/>
        <v>Accepted</v>
      </c>
      <c r="S7506" t="str">
        <f t="shared" si="3064"/>
        <v>Approved</v>
      </c>
      <c r="T7506" t="str">
        <f t="shared" si="3052"/>
        <v>10.20.8.188</v>
      </c>
      <c r="U7506" t="str">
        <f t="shared" si="3065"/>
        <v>AZRAD UMAR BIN SHAARI</v>
      </c>
      <c r="V7506" t="str">
        <f t="shared" si="3066"/>
        <v>FARHANA BINTI MUSTAPA</v>
      </c>
      <c r="W7506" t="str">
        <f t="shared" si="3067"/>
        <v>04-08-2020</v>
      </c>
      <c r="X7506" t="str">
        <f t="shared" si="3068"/>
        <v>RAZIMAH ANSAR AHMAD</v>
      </c>
      <c r="Y7506" t="str">
        <f t="shared" si="3069"/>
        <v>04-08-2020</v>
      </c>
      <c r="Z7506" t="str">
        <f>"COS10200804 1648"</f>
        <v>COS10200804 1648</v>
      </c>
    </row>
    <row r="7507" spans="1:26" x14ac:dyDescent="0.25">
      <c r="A7507" t="str">
        <f t="shared" si="3055"/>
        <v>04-08-2020 12:34:57</v>
      </c>
      <c r="B7507" t="str">
        <f>"0000803401"</f>
        <v>0000803401</v>
      </c>
      <c r="C7507" t="str">
        <f t="shared" si="3056"/>
        <v>0000803354</v>
      </c>
      <c r="D7507" t="str">
        <f t="shared" si="3059"/>
        <v>73185</v>
      </c>
      <c r="E7507" t="str">
        <f t="shared" si="3060"/>
        <v>KFH-OPERATIONS DEPARTMENT</v>
      </c>
      <c r="F7507" t="str">
        <f t="shared" si="3061"/>
        <v>IBG</v>
      </c>
      <c r="G7507" t="str">
        <f t="shared" si="3070"/>
        <v>Refund COSHARE 10</v>
      </c>
      <c r="H7507" s="2">
        <v>587.65</v>
      </c>
      <c r="I7507" t="str">
        <f>"KAVIARASU AL MUNIANDY"</f>
        <v>KAVIARASU AL MUNIANDY</v>
      </c>
      <c r="J7507" t="str">
        <f t="shared" si="3046"/>
        <v>BANK SIMPANAN NASIONAL</v>
      </c>
      <c r="K7507" t="str">
        <f>"0100341000038673"</f>
        <v>0100341000038673</v>
      </c>
      <c r="L7507" t="str">
        <f t="shared" ref="L7507:M7526" si="3071">"04-08-2020"</f>
        <v>04-08-2020</v>
      </c>
      <c r="M7507" t="str">
        <f t="shared" si="3071"/>
        <v>04-08-2020</v>
      </c>
      <c r="N7507" t="str">
        <f t="shared" si="3062"/>
        <v>001105018356</v>
      </c>
      <c r="O7507" t="str">
        <f t="shared" si="3063"/>
        <v>MYR</v>
      </c>
      <c r="P7507" t="str">
        <f t="shared" ref="P7507:Q7526" si="3072">"NIL"</f>
        <v>NIL</v>
      </c>
      <c r="Q7507" t="str">
        <f t="shared" si="3072"/>
        <v>NIL</v>
      </c>
      <c r="R7507" t="str">
        <f t="shared" si="3051"/>
        <v>Accepted</v>
      </c>
      <c r="S7507" t="str">
        <f t="shared" si="3064"/>
        <v>Approved</v>
      </c>
      <c r="T7507" t="str">
        <f t="shared" si="3052"/>
        <v>10.20.8.188</v>
      </c>
      <c r="U7507" t="str">
        <f t="shared" si="3065"/>
        <v>AZRAD UMAR BIN SHAARI</v>
      </c>
      <c r="V7507" t="str">
        <f t="shared" si="3066"/>
        <v>FARHANA BINTI MUSTAPA</v>
      </c>
      <c r="W7507" t="str">
        <f t="shared" si="3067"/>
        <v>04-08-2020</v>
      </c>
      <c r="X7507" t="str">
        <f t="shared" si="3068"/>
        <v>RAZIMAH ANSAR AHMAD</v>
      </c>
      <c r="Y7507" t="str">
        <f t="shared" si="3069"/>
        <v>04-08-2020</v>
      </c>
      <c r="Z7507" t="str">
        <f>"COS10200804 1647"</f>
        <v>COS10200804 1647</v>
      </c>
    </row>
    <row r="7508" spans="1:26" x14ac:dyDescent="0.25">
      <c r="A7508" t="str">
        <f t="shared" si="3055"/>
        <v>04-08-2020 12:34:57</v>
      </c>
      <c r="B7508" t="str">
        <f>"0000803400"</f>
        <v>0000803400</v>
      </c>
      <c r="C7508" t="str">
        <f t="shared" si="3056"/>
        <v>0000803354</v>
      </c>
      <c r="D7508" t="str">
        <f t="shared" si="3059"/>
        <v>73185</v>
      </c>
      <c r="E7508" t="str">
        <f t="shared" si="3060"/>
        <v>KFH-OPERATIONS DEPARTMENT</v>
      </c>
      <c r="F7508" t="str">
        <f t="shared" si="3061"/>
        <v>IBG</v>
      </c>
      <c r="G7508" t="str">
        <f t="shared" si="3070"/>
        <v>Refund COSHARE 10</v>
      </c>
      <c r="H7508" s="2">
        <v>142.75</v>
      </c>
      <c r="I7508" t="str">
        <f>"KALYANI AP CHANDRAN"</f>
        <v>KALYANI AP CHANDRAN</v>
      </c>
      <c r="J7508" t="str">
        <f t="shared" ref="J7508:J7571" si="3073">"BANK SIMPANAN NASIONAL"</f>
        <v>BANK SIMPANAN NASIONAL</v>
      </c>
      <c r="K7508" t="str">
        <f>"0115229000123305"</f>
        <v>0115229000123305</v>
      </c>
      <c r="L7508" t="str">
        <f t="shared" si="3071"/>
        <v>04-08-2020</v>
      </c>
      <c r="M7508" t="str">
        <f t="shared" si="3071"/>
        <v>04-08-2020</v>
      </c>
      <c r="N7508" t="str">
        <f t="shared" si="3062"/>
        <v>001105018356</v>
      </c>
      <c r="O7508" t="str">
        <f t="shared" si="3063"/>
        <v>MYR</v>
      </c>
      <c r="P7508" t="str">
        <f t="shared" si="3072"/>
        <v>NIL</v>
      </c>
      <c r="Q7508" t="str">
        <f t="shared" si="3072"/>
        <v>NIL</v>
      </c>
      <c r="R7508" t="str">
        <f t="shared" si="3051"/>
        <v>Accepted</v>
      </c>
      <c r="S7508" t="str">
        <f t="shared" si="3064"/>
        <v>Approved</v>
      </c>
      <c r="T7508" t="str">
        <f t="shared" si="3052"/>
        <v>10.20.8.188</v>
      </c>
      <c r="U7508" t="str">
        <f t="shared" si="3065"/>
        <v>AZRAD UMAR BIN SHAARI</v>
      </c>
      <c r="V7508" t="str">
        <f t="shared" si="3066"/>
        <v>FARHANA BINTI MUSTAPA</v>
      </c>
      <c r="W7508" t="str">
        <f t="shared" si="3067"/>
        <v>04-08-2020</v>
      </c>
      <c r="X7508" t="str">
        <f t="shared" si="3068"/>
        <v>RAZIMAH ANSAR AHMAD</v>
      </c>
      <c r="Y7508" t="str">
        <f t="shared" si="3069"/>
        <v>04-08-2020</v>
      </c>
      <c r="Z7508" t="str">
        <f>"COS10200804 1646"</f>
        <v>COS10200804 1646</v>
      </c>
    </row>
    <row r="7509" spans="1:26" x14ac:dyDescent="0.25">
      <c r="A7509" t="str">
        <f t="shared" si="3055"/>
        <v>04-08-2020 12:34:57</v>
      </c>
      <c r="B7509" t="str">
        <f>"0000803399"</f>
        <v>0000803399</v>
      </c>
      <c r="C7509" t="str">
        <f t="shared" si="3056"/>
        <v>0000803354</v>
      </c>
      <c r="D7509" t="str">
        <f t="shared" si="3059"/>
        <v>73185</v>
      </c>
      <c r="E7509" t="str">
        <f t="shared" si="3060"/>
        <v>KFH-OPERATIONS DEPARTMENT</v>
      </c>
      <c r="F7509" t="str">
        <f t="shared" si="3061"/>
        <v>IBG</v>
      </c>
      <c r="G7509" t="str">
        <f t="shared" si="3070"/>
        <v>Refund COSHARE 10</v>
      </c>
      <c r="H7509" s="2">
        <v>1053.95</v>
      </c>
      <c r="I7509" t="str">
        <f>"KALTHOM BINTI MOHAMAD"</f>
        <v>KALTHOM BINTI MOHAMAD</v>
      </c>
      <c r="J7509" t="str">
        <f t="shared" si="3073"/>
        <v>BANK SIMPANAN NASIONAL</v>
      </c>
      <c r="K7509" t="str">
        <f>"0410029853046132"</f>
        <v>0410029853046132</v>
      </c>
      <c r="L7509" t="str">
        <f t="shared" si="3071"/>
        <v>04-08-2020</v>
      </c>
      <c r="M7509" t="str">
        <f t="shared" si="3071"/>
        <v>04-08-2020</v>
      </c>
      <c r="N7509" t="str">
        <f t="shared" si="3062"/>
        <v>001105018356</v>
      </c>
      <c r="O7509" t="str">
        <f t="shared" si="3063"/>
        <v>MYR</v>
      </c>
      <c r="P7509" t="str">
        <f t="shared" si="3072"/>
        <v>NIL</v>
      </c>
      <c r="Q7509" t="str">
        <f t="shared" si="3072"/>
        <v>NIL</v>
      </c>
      <c r="R7509" t="str">
        <f t="shared" si="3051"/>
        <v>Accepted</v>
      </c>
      <c r="S7509" t="str">
        <f t="shared" si="3064"/>
        <v>Approved</v>
      </c>
      <c r="T7509" t="str">
        <f t="shared" si="3052"/>
        <v>10.20.8.188</v>
      </c>
      <c r="U7509" t="str">
        <f t="shared" si="3065"/>
        <v>AZRAD UMAR BIN SHAARI</v>
      </c>
      <c r="V7509" t="str">
        <f t="shared" si="3066"/>
        <v>FARHANA BINTI MUSTAPA</v>
      </c>
      <c r="W7509" t="str">
        <f t="shared" si="3067"/>
        <v>04-08-2020</v>
      </c>
      <c r="X7509" t="str">
        <f t="shared" si="3068"/>
        <v>RAZIMAH ANSAR AHMAD</v>
      </c>
      <c r="Y7509" t="str">
        <f t="shared" si="3069"/>
        <v>04-08-2020</v>
      </c>
      <c r="Z7509" t="str">
        <f>"COS10200804 1645"</f>
        <v>COS10200804 1645</v>
      </c>
    </row>
    <row r="7510" spans="1:26" x14ac:dyDescent="0.25">
      <c r="A7510" t="str">
        <f t="shared" si="3055"/>
        <v>04-08-2020 12:34:57</v>
      </c>
      <c r="B7510" t="str">
        <f>"0000803398"</f>
        <v>0000803398</v>
      </c>
      <c r="C7510" t="str">
        <f t="shared" si="3056"/>
        <v>0000803354</v>
      </c>
      <c r="D7510" t="str">
        <f t="shared" si="3059"/>
        <v>73185</v>
      </c>
      <c r="E7510" t="str">
        <f t="shared" si="3060"/>
        <v>KFH-OPERATIONS DEPARTMENT</v>
      </c>
      <c r="F7510" t="str">
        <f t="shared" si="3061"/>
        <v>IBG</v>
      </c>
      <c r="G7510" t="str">
        <f t="shared" si="3070"/>
        <v>Refund COSHARE 10</v>
      </c>
      <c r="H7510" s="2">
        <v>461.75</v>
      </c>
      <c r="I7510" t="str">
        <f>"JUSTINAH BINTI YAHYA"</f>
        <v>JUSTINAH BINTI YAHYA</v>
      </c>
      <c r="J7510" t="str">
        <f t="shared" si="3073"/>
        <v>BANK SIMPANAN NASIONAL</v>
      </c>
      <c r="K7510" t="str">
        <f>"1211229000138405"</f>
        <v>1211229000138405</v>
      </c>
      <c r="L7510" t="str">
        <f t="shared" si="3071"/>
        <v>04-08-2020</v>
      </c>
      <c r="M7510" t="str">
        <f t="shared" si="3071"/>
        <v>04-08-2020</v>
      </c>
      <c r="N7510" t="str">
        <f t="shared" si="3062"/>
        <v>001105018356</v>
      </c>
      <c r="O7510" t="str">
        <f t="shared" si="3063"/>
        <v>MYR</v>
      </c>
      <c r="P7510" t="str">
        <f t="shared" si="3072"/>
        <v>NIL</v>
      </c>
      <c r="Q7510" t="str">
        <f t="shared" si="3072"/>
        <v>NIL</v>
      </c>
      <c r="R7510" t="str">
        <f t="shared" si="3051"/>
        <v>Accepted</v>
      </c>
      <c r="S7510" t="str">
        <f t="shared" si="3064"/>
        <v>Approved</v>
      </c>
      <c r="T7510" t="str">
        <f t="shared" si="3052"/>
        <v>10.20.8.188</v>
      </c>
      <c r="U7510" t="str">
        <f t="shared" si="3065"/>
        <v>AZRAD UMAR BIN SHAARI</v>
      </c>
      <c r="V7510" t="str">
        <f t="shared" si="3066"/>
        <v>FARHANA BINTI MUSTAPA</v>
      </c>
      <c r="W7510" t="str">
        <f t="shared" si="3067"/>
        <v>04-08-2020</v>
      </c>
      <c r="X7510" t="str">
        <f t="shared" si="3068"/>
        <v>RAZIMAH ANSAR AHMAD</v>
      </c>
      <c r="Y7510" t="str">
        <f t="shared" si="3069"/>
        <v>04-08-2020</v>
      </c>
      <c r="Z7510" t="str">
        <f>"COS10200804 1644"</f>
        <v>COS10200804 1644</v>
      </c>
    </row>
    <row r="7511" spans="1:26" x14ac:dyDescent="0.25">
      <c r="A7511" t="str">
        <f t="shared" si="3055"/>
        <v>04-08-2020 12:34:57</v>
      </c>
      <c r="B7511" t="str">
        <f>"0000803397"</f>
        <v>0000803397</v>
      </c>
      <c r="C7511" t="str">
        <f t="shared" si="3056"/>
        <v>0000803354</v>
      </c>
      <c r="D7511" t="str">
        <f t="shared" si="3059"/>
        <v>73185</v>
      </c>
      <c r="E7511" t="str">
        <f t="shared" si="3060"/>
        <v>KFH-OPERATIONS DEPARTMENT</v>
      </c>
      <c r="F7511" t="str">
        <f t="shared" si="3061"/>
        <v>IBG</v>
      </c>
      <c r="G7511" t="str">
        <f t="shared" si="3070"/>
        <v>Refund COSHARE 10</v>
      </c>
      <c r="H7511" s="2">
        <v>209.9</v>
      </c>
      <c r="I7511" t="str">
        <f>"JUSMAN BIN JAMAL"</f>
        <v>JUSMAN BIN JAMAL</v>
      </c>
      <c r="J7511" t="str">
        <f t="shared" si="3073"/>
        <v>BANK SIMPANAN NASIONAL</v>
      </c>
      <c r="K7511" t="str">
        <f>"1211229000008684"</f>
        <v>1211229000008684</v>
      </c>
      <c r="L7511" t="str">
        <f t="shared" si="3071"/>
        <v>04-08-2020</v>
      </c>
      <c r="M7511" t="str">
        <f t="shared" si="3071"/>
        <v>04-08-2020</v>
      </c>
      <c r="N7511" t="str">
        <f t="shared" si="3062"/>
        <v>001105018356</v>
      </c>
      <c r="O7511" t="str">
        <f t="shared" si="3063"/>
        <v>MYR</v>
      </c>
      <c r="P7511" t="str">
        <f t="shared" si="3072"/>
        <v>NIL</v>
      </c>
      <c r="Q7511" t="str">
        <f t="shared" si="3072"/>
        <v>NIL</v>
      </c>
      <c r="R7511" t="str">
        <f t="shared" si="3051"/>
        <v>Accepted</v>
      </c>
      <c r="S7511" t="str">
        <f t="shared" si="3064"/>
        <v>Approved</v>
      </c>
      <c r="T7511" t="str">
        <f t="shared" si="3052"/>
        <v>10.20.8.188</v>
      </c>
      <c r="U7511" t="str">
        <f t="shared" si="3065"/>
        <v>AZRAD UMAR BIN SHAARI</v>
      </c>
      <c r="V7511" t="str">
        <f t="shared" si="3066"/>
        <v>FARHANA BINTI MUSTAPA</v>
      </c>
      <c r="W7511" t="str">
        <f t="shared" si="3067"/>
        <v>04-08-2020</v>
      </c>
      <c r="X7511" t="str">
        <f t="shared" si="3068"/>
        <v>RAZIMAH ANSAR AHMAD</v>
      </c>
      <c r="Y7511" t="str">
        <f t="shared" si="3069"/>
        <v>04-08-2020</v>
      </c>
      <c r="Z7511" t="str">
        <f>"COS10200804 1643"</f>
        <v>COS10200804 1643</v>
      </c>
    </row>
    <row r="7512" spans="1:26" x14ac:dyDescent="0.25">
      <c r="A7512" t="str">
        <f t="shared" si="3055"/>
        <v>04-08-2020 12:34:57</v>
      </c>
      <c r="B7512" t="str">
        <f>"0000803396"</f>
        <v>0000803396</v>
      </c>
      <c r="C7512" t="str">
        <f t="shared" si="3056"/>
        <v>0000803354</v>
      </c>
      <c r="D7512" t="str">
        <f t="shared" si="3059"/>
        <v>73185</v>
      </c>
      <c r="E7512" t="str">
        <f t="shared" si="3060"/>
        <v>KFH-OPERATIONS DEPARTMENT</v>
      </c>
      <c r="F7512" t="str">
        <f t="shared" si="3061"/>
        <v>IBG</v>
      </c>
      <c r="G7512" t="str">
        <f t="shared" si="3070"/>
        <v>Refund COSHARE 10</v>
      </c>
      <c r="H7512" s="2">
        <v>422.4</v>
      </c>
      <c r="I7512" t="str">
        <f>"JUMAADIL BIN RIDWAN"</f>
        <v>JUMAADIL BIN RIDWAN</v>
      </c>
      <c r="J7512" t="str">
        <f t="shared" si="3073"/>
        <v>BANK SIMPANAN NASIONAL</v>
      </c>
      <c r="K7512" t="str">
        <f>"1410029000197939"</f>
        <v>1410029000197939</v>
      </c>
      <c r="L7512" t="str">
        <f t="shared" si="3071"/>
        <v>04-08-2020</v>
      </c>
      <c r="M7512" t="str">
        <f t="shared" si="3071"/>
        <v>04-08-2020</v>
      </c>
      <c r="N7512" t="str">
        <f t="shared" si="3062"/>
        <v>001105018356</v>
      </c>
      <c r="O7512" t="str">
        <f t="shared" si="3063"/>
        <v>MYR</v>
      </c>
      <c r="P7512" t="str">
        <f t="shared" si="3072"/>
        <v>NIL</v>
      </c>
      <c r="Q7512" t="str">
        <f t="shared" si="3072"/>
        <v>NIL</v>
      </c>
      <c r="R7512" t="str">
        <f t="shared" si="3051"/>
        <v>Accepted</v>
      </c>
      <c r="S7512" t="str">
        <f t="shared" si="3064"/>
        <v>Approved</v>
      </c>
      <c r="T7512" t="str">
        <f t="shared" si="3052"/>
        <v>10.20.8.188</v>
      </c>
      <c r="U7512" t="str">
        <f t="shared" si="3065"/>
        <v>AZRAD UMAR BIN SHAARI</v>
      </c>
      <c r="V7512" t="str">
        <f t="shared" si="3066"/>
        <v>FARHANA BINTI MUSTAPA</v>
      </c>
      <c r="W7512" t="str">
        <f t="shared" si="3067"/>
        <v>04-08-2020</v>
      </c>
      <c r="X7512" t="str">
        <f t="shared" si="3068"/>
        <v>RAZIMAH ANSAR AHMAD</v>
      </c>
      <c r="Y7512" t="str">
        <f t="shared" si="3069"/>
        <v>04-08-2020</v>
      </c>
      <c r="Z7512" t="str">
        <f>"COS10200804 1642"</f>
        <v>COS10200804 1642</v>
      </c>
    </row>
    <row r="7513" spans="1:26" x14ac:dyDescent="0.25">
      <c r="A7513" t="str">
        <f t="shared" si="3055"/>
        <v>04-08-2020 12:34:57</v>
      </c>
      <c r="B7513" t="str">
        <f>"0000803395"</f>
        <v>0000803395</v>
      </c>
      <c r="C7513" t="str">
        <f t="shared" si="3056"/>
        <v>0000803354</v>
      </c>
      <c r="D7513" t="str">
        <f t="shared" si="3059"/>
        <v>73185</v>
      </c>
      <c r="E7513" t="str">
        <f t="shared" si="3060"/>
        <v>KFH-OPERATIONS DEPARTMENT</v>
      </c>
      <c r="F7513" t="str">
        <f t="shared" si="3061"/>
        <v>IBG</v>
      </c>
      <c r="G7513" t="str">
        <f t="shared" si="3070"/>
        <v>Refund COSHARE 10</v>
      </c>
      <c r="H7513" s="2">
        <v>1259.25</v>
      </c>
      <c r="I7513" t="str">
        <f>"JULIANA SURIA ANAK LANG"</f>
        <v>JULIANA SURIA ANAK LANG</v>
      </c>
      <c r="J7513" t="str">
        <f t="shared" si="3073"/>
        <v>BANK SIMPANAN NASIONAL</v>
      </c>
      <c r="K7513" t="str">
        <f>"1311529836765447"</f>
        <v>1311529836765447</v>
      </c>
      <c r="L7513" t="str">
        <f t="shared" si="3071"/>
        <v>04-08-2020</v>
      </c>
      <c r="M7513" t="str">
        <f t="shared" si="3071"/>
        <v>04-08-2020</v>
      </c>
      <c r="N7513" t="str">
        <f t="shared" si="3062"/>
        <v>001105018356</v>
      </c>
      <c r="O7513" t="str">
        <f t="shared" si="3063"/>
        <v>MYR</v>
      </c>
      <c r="P7513" t="str">
        <f t="shared" si="3072"/>
        <v>NIL</v>
      </c>
      <c r="Q7513" t="str">
        <f t="shared" si="3072"/>
        <v>NIL</v>
      </c>
      <c r="R7513" t="str">
        <f t="shared" si="3051"/>
        <v>Accepted</v>
      </c>
      <c r="S7513" t="str">
        <f t="shared" si="3064"/>
        <v>Approved</v>
      </c>
      <c r="T7513" t="str">
        <f t="shared" si="3052"/>
        <v>10.20.8.188</v>
      </c>
      <c r="U7513" t="str">
        <f t="shared" si="3065"/>
        <v>AZRAD UMAR BIN SHAARI</v>
      </c>
      <c r="V7513" t="str">
        <f t="shared" si="3066"/>
        <v>FARHANA BINTI MUSTAPA</v>
      </c>
      <c r="W7513" t="str">
        <f t="shared" si="3067"/>
        <v>04-08-2020</v>
      </c>
      <c r="X7513" t="str">
        <f t="shared" si="3068"/>
        <v>RAZIMAH ANSAR AHMAD</v>
      </c>
      <c r="Y7513" t="str">
        <f t="shared" si="3069"/>
        <v>04-08-2020</v>
      </c>
      <c r="Z7513" t="str">
        <f>"COS10200804 1641"</f>
        <v>COS10200804 1641</v>
      </c>
    </row>
    <row r="7514" spans="1:26" x14ac:dyDescent="0.25">
      <c r="A7514" t="str">
        <f t="shared" ref="A7514:A7545" si="3074">"04-08-2020 12:34:57"</f>
        <v>04-08-2020 12:34:57</v>
      </c>
      <c r="B7514" t="str">
        <f>"0000803394"</f>
        <v>0000803394</v>
      </c>
      <c r="C7514" t="str">
        <f t="shared" ref="C7514:C7545" si="3075">"0000803354"</f>
        <v>0000803354</v>
      </c>
      <c r="D7514" t="str">
        <f t="shared" si="3059"/>
        <v>73185</v>
      </c>
      <c r="E7514" t="str">
        <f t="shared" si="3060"/>
        <v>KFH-OPERATIONS DEPARTMENT</v>
      </c>
      <c r="F7514" t="str">
        <f t="shared" si="3061"/>
        <v>IBG</v>
      </c>
      <c r="G7514" t="str">
        <f t="shared" si="3070"/>
        <v>Refund COSHARE 10</v>
      </c>
      <c r="H7514" s="2">
        <v>254.1</v>
      </c>
      <c r="I7514" t="str">
        <f>"JULIANA BINTI JAMALUDIN"</f>
        <v>JULIANA BINTI JAMALUDIN</v>
      </c>
      <c r="J7514" t="str">
        <f t="shared" si="3073"/>
        <v>BANK SIMPANAN NASIONAL</v>
      </c>
      <c r="K7514" t="str">
        <f>"0210029861638113"</f>
        <v>0210029861638113</v>
      </c>
      <c r="L7514" t="str">
        <f t="shared" si="3071"/>
        <v>04-08-2020</v>
      </c>
      <c r="M7514" t="str">
        <f t="shared" si="3071"/>
        <v>04-08-2020</v>
      </c>
      <c r="N7514" t="str">
        <f t="shared" si="3062"/>
        <v>001105018356</v>
      </c>
      <c r="O7514" t="str">
        <f t="shared" si="3063"/>
        <v>MYR</v>
      </c>
      <c r="P7514" t="str">
        <f t="shared" si="3072"/>
        <v>NIL</v>
      </c>
      <c r="Q7514" t="str">
        <f t="shared" si="3072"/>
        <v>NIL</v>
      </c>
      <c r="R7514" t="str">
        <f t="shared" si="3051"/>
        <v>Accepted</v>
      </c>
      <c r="S7514" t="str">
        <f t="shared" si="3064"/>
        <v>Approved</v>
      </c>
      <c r="T7514" t="str">
        <f t="shared" si="3052"/>
        <v>10.20.8.188</v>
      </c>
      <c r="U7514" t="str">
        <f t="shared" si="3065"/>
        <v>AZRAD UMAR BIN SHAARI</v>
      </c>
      <c r="V7514" t="str">
        <f t="shared" si="3066"/>
        <v>FARHANA BINTI MUSTAPA</v>
      </c>
      <c r="W7514" t="str">
        <f t="shared" si="3067"/>
        <v>04-08-2020</v>
      </c>
      <c r="X7514" t="str">
        <f t="shared" si="3068"/>
        <v>RAZIMAH ANSAR AHMAD</v>
      </c>
      <c r="Y7514" t="str">
        <f t="shared" si="3069"/>
        <v>04-08-2020</v>
      </c>
      <c r="Z7514" t="str">
        <f>"COS10200804 1640"</f>
        <v>COS10200804 1640</v>
      </c>
    </row>
    <row r="7515" spans="1:26" x14ac:dyDescent="0.25">
      <c r="A7515" t="str">
        <f t="shared" si="3074"/>
        <v>04-08-2020 12:34:57</v>
      </c>
      <c r="B7515" t="str">
        <f>"0000803393"</f>
        <v>0000803393</v>
      </c>
      <c r="C7515" t="str">
        <f t="shared" si="3075"/>
        <v>0000803354</v>
      </c>
      <c r="D7515" t="str">
        <f t="shared" si="3059"/>
        <v>73185</v>
      </c>
      <c r="E7515" t="str">
        <f t="shared" si="3060"/>
        <v>KFH-OPERATIONS DEPARTMENT</v>
      </c>
      <c r="F7515" t="str">
        <f t="shared" si="3061"/>
        <v>IBG</v>
      </c>
      <c r="G7515" t="str">
        <f t="shared" si="3070"/>
        <v>Refund COSHARE 10</v>
      </c>
      <c r="H7515" s="2">
        <v>1427.15</v>
      </c>
      <c r="I7515" t="str">
        <f>"JULIA BINTI BELASIUS"</f>
        <v>JULIA BINTI BELASIUS</v>
      </c>
      <c r="J7515" t="str">
        <f t="shared" si="3073"/>
        <v>BANK SIMPANAN NASIONAL</v>
      </c>
      <c r="K7515" t="str">
        <f>"1210329812052133"</f>
        <v>1210329812052133</v>
      </c>
      <c r="L7515" t="str">
        <f t="shared" si="3071"/>
        <v>04-08-2020</v>
      </c>
      <c r="M7515" t="str">
        <f t="shared" si="3071"/>
        <v>04-08-2020</v>
      </c>
      <c r="N7515" t="str">
        <f t="shared" si="3062"/>
        <v>001105018356</v>
      </c>
      <c r="O7515" t="str">
        <f t="shared" si="3063"/>
        <v>MYR</v>
      </c>
      <c r="P7515" t="str">
        <f t="shared" si="3072"/>
        <v>NIL</v>
      </c>
      <c r="Q7515" t="str">
        <f t="shared" si="3072"/>
        <v>NIL</v>
      </c>
      <c r="R7515" t="str">
        <f t="shared" si="3051"/>
        <v>Accepted</v>
      </c>
      <c r="S7515" t="str">
        <f t="shared" si="3064"/>
        <v>Approved</v>
      </c>
      <c r="T7515" t="str">
        <f t="shared" si="3052"/>
        <v>10.20.8.188</v>
      </c>
      <c r="U7515" t="str">
        <f t="shared" si="3065"/>
        <v>AZRAD UMAR BIN SHAARI</v>
      </c>
      <c r="V7515" t="str">
        <f t="shared" si="3066"/>
        <v>FARHANA BINTI MUSTAPA</v>
      </c>
      <c r="W7515" t="str">
        <f t="shared" si="3067"/>
        <v>04-08-2020</v>
      </c>
      <c r="X7515" t="str">
        <f t="shared" si="3068"/>
        <v>RAZIMAH ANSAR AHMAD</v>
      </c>
      <c r="Y7515" t="str">
        <f t="shared" si="3069"/>
        <v>04-08-2020</v>
      </c>
      <c r="Z7515" t="str">
        <f>"COS10200804 1639"</f>
        <v>COS10200804 1639</v>
      </c>
    </row>
    <row r="7516" spans="1:26" x14ac:dyDescent="0.25">
      <c r="A7516" t="str">
        <f t="shared" si="3074"/>
        <v>04-08-2020 12:34:57</v>
      </c>
      <c r="B7516" t="str">
        <f>"0000803392"</f>
        <v>0000803392</v>
      </c>
      <c r="C7516" t="str">
        <f t="shared" si="3075"/>
        <v>0000803354</v>
      </c>
      <c r="D7516" t="str">
        <f t="shared" si="3059"/>
        <v>73185</v>
      </c>
      <c r="E7516" t="str">
        <f t="shared" si="3060"/>
        <v>KFH-OPERATIONS DEPARTMENT</v>
      </c>
      <c r="F7516" t="str">
        <f t="shared" si="3061"/>
        <v>IBG</v>
      </c>
      <c r="G7516" t="str">
        <f t="shared" si="3070"/>
        <v>Refund COSHARE 10</v>
      </c>
      <c r="H7516" s="2">
        <v>587.65</v>
      </c>
      <c r="I7516" t="str">
        <f>"JUL HASSAN BIN JUKANI"</f>
        <v>JUL HASSAN BIN JUKANI</v>
      </c>
      <c r="J7516" t="str">
        <f t="shared" si="3073"/>
        <v>BANK SIMPANAN NASIONAL</v>
      </c>
      <c r="K7516" t="str">
        <f>"1212529000022636"</f>
        <v>1212529000022636</v>
      </c>
      <c r="L7516" t="str">
        <f t="shared" si="3071"/>
        <v>04-08-2020</v>
      </c>
      <c r="M7516" t="str">
        <f t="shared" si="3071"/>
        <v>04-08-2020</v>
      </c>
      <c r="N7516" t="str">
        <f t="shared" si="3062"/>
        <v>001105018356</v>
      </c>
      <c r="O7516" t="str">
        <f t="shared" si="3063"/>
        <v>MYR</v>
      </c>
      <c r="P7516" t="str">
        <f t="shared" si="3072"/>
        <v>NIL</v>
      </c>
      <c r="Q7516" t="str">
        <f t="shared" si="3072"/>
        <v>NIL</v>
      </c>
      <c r="R7516" t="str">
        <f t="shared" si="3051"/>
        <v>Accepted</v>
      </c>
      <c r="S7516" t="str">
        <f t="shared" si="3064"/>
        <v>Approved</v>
      </c>
      <c r="T7516" t="str">
        <f t="shared" si="3052"/>
        <v>10.20.8.188</v>
      </c>
      <c r="U7516" t="str">
        <f t="shared" si="3065"/>
        <v>AZRAD UMAR BIN SHAARI</v>
      </c>
      <c r="V7516" t="str">
        <f t="shared" si="3066"/>
        <v>FARHANA BINTI MUSTAPA</v>
      </c>
      <c r="W7516" t="str">
        <f t="shared" si="3067"/>
        <v>04-08-2020</v>
      </c>
      <c r="X7516" t="str">
        <f t="shared" si="3068"/>
        <v>RAZIMAH ANSAR AHMAD</v>
      </c>
      <c r="Y7516" t="str">
        <f t="shared" si="3069"/>
        <v>04-08-2020</v>
      </c>
      <c r="Z7516" t="str">
        <f>"COS10200804 1638"</f>
        <v>COS10200804 1638</v>
      </c>
    </row>
    <row r="7517" spans="1:26" x14ac:dyDescent="0.25">
      <c r="A7517" t="str">
        <f t="shared" si="3074"/>
        <v>04-08-2020 12:34:57</v>
      </c>
      <c r="B7517" t="str">
        <f>"0000803391"</f>
        <v>0000803391</v>
      </c>
      <c r="C7517" t="str">
        <f t="shared" si="3075"/>
        <v>0000803354</v>
      </c>
      <c r="D7517" t="str">
        <f t="shared" si="3059"/>
        <v>73185</v>
      </c>
      <c r="E7517" t="str">
        <f t="shared" si="3060"/>
        <v>KFH-OPERATIONS DEPARTMENT</v>
      </c>
      <c r="F7517" t="str">
        <f t="shared" si="3061"/>
        <v>IBG</v>
      </c>
      <c r="G7517" t="str">
        <f t="shared" si="3070"/>
        <v>Refund COSHARE 10</v>
      </c>
      <c r="H7517" s="2">
        <v>545.70000000000005</v>
      </c>
      <c r="I7517" t="str">
        <f>"JOSEPH GEDIUN  JOSEPH GEDUIN"</f>
        <v>JOSEPH GEDIUN  JOSEPH GEDUIN</v>
      </c>
      <c r="J7517" t="str">
        <f t="shared" si="3073"/>
        <v>BANK SIMPANAN NASIONAL</v>
      </c>
      <c r="K7517" t="str">
        <f>"1210029860241117"</f>
        <v>1210029860241117</v>
      </c>
      <c r="L7517" t="str">
        <f t="shared" si="3071"/>
        <v>04-08-2020</v>
      </c>
      <c r="M7517" t="str">
        <f t="shared" si="3071"/>
        <v>04-08-2020</v>
      </c>
      <c r="N7517" t="str">
        <f t="shared" si="3062"/>
        <v>001105018356</v>
      </c>
      <c r="O7517" t="str">
        <f t="shared" si="3063"/>
        <v>MYR</v>
      </c>
      <c r="P7517" t="str">
        <f t="shared" si="3072"/>
        <v>NIL</v>
      </c>
      <c r="Q7517" t="str">
        <f t="shared" si="3072"/>
        <v>NIL</v>
      </c>
      <c r="R7517" t="str">
        <f t="shared" si="3051"/>
        <v>Accepted</v>
      </c>
      <c r="S7517" t="str">
        <f t="shared" si="3064"/>
        <v>Approved</v>
      </c>
      <c r="T7517" t="str">
        <f t="shared" si="3052"/>
        <v>10.20.8.188</v>
      </c>
      <c r="U7517" t="str">
        <f t="shared" si="3065"/>
        <v>AZRAD UMAR BIN SHAARI</v>
      </c>
      <c r="V7517" t="str">
        <f t="shared" si="3066"/>
        <v>FARHANA BINTI MUSTAPA</v>
      </c>
      <c r="W7517" t="str">
        <f t="shared" si="3067"/>
        <v>04-08-2020</v>
      </c>
      <c r="X7517" t="str">
        <f t="shared" si="3068"/>
        <v>RAZIMAH ANSAR AHMAD</v>
      </c>
      <c r="Y7517" t="str">
        <f t="shared" si="3069"/>
        <v>04-08-2020</v>
      </c>
      <c r="Z7517" t="str">
        <f>"COS10200804 1637"</f>
        <v>COS10200804 1637</v>
      </c>
    </row>
    <row r="7518" spans="1:26" x14ac:dyDescent="0.25">
      <c r="A7518" t="str">
        <f t="shared" si="3074"/>
        <v>04-08-2020 12:34:57</v>
      </c>
      <c r="B7518" t="str">
        <f>"0000803390"</f>
        <v>0000803390</v>
      </c>
      <c r="C7518" t="str">
        <f t="shared" si="3075"/>
        <v>0000803354</v>
      </c>
      <c r="D7518" t="str">
        <f t="shared" si="3059"/>
        <v>73185</v>
      </c>
      <c r="E7518" t="str">
        <f t="shared" si="3060"/>
        <v>KFH-OPERATIONS DEPARTMENT</v>
      </c>
      <c r="F7518" t="str">
        <f t="shared" si="3061"/>
        <v>IBG</v>
      </c>
      <c r="G7518" t="str">
        <f t="shared" si="3070"/>
        <v>Refund COSHARE 10</v>
      </c>
      <c r="H7518" s="2">
        <v>1628.65</v>
      </c>
      <c r="I7518" t="str">
        <f>"JOIBOL  AMENREY BIN BORUBUI"</f>
        <v>JOIBOL  AMENREY BIN BORUBUI</v>
      </c>
      <c r="J7518" t="str">
        <f t="shared" si="3073"/>
        <v>BANK SIMPANAN NASIONAL</v>
      </c>
      <c r="K7518" t="str">
        <f>"1211129865881523"</f>
        <v>1211129865881523</v>
      </c>
      <c r="L7518" t="str">
        <f t="shared" si="3071"/>
        <v>04-08-2020</v>
      </c>
      <c r="M7518" t="str">
        <f t="shared" si="3071"/>
        <v>04-08-2020</v>
      </c>
      <c r="N7518" t="str">
        <f t="shared" si="3062"/>
        <v>001105018356</v>
      </c>
      <c r="O7518" t="str">
        <f t="shared" si="3063"/>
        <v>MYR</v>
      </c>
      <c r="P7518" t="str">
        <f t="shared" si="3072"/>
        <v>NIL</v>
      </c>
      <c r="Q7518" t="str">
        <f t="shared" si="3072"/>
        <v>NIL</v>
      </c>
      <c r="R7518" t="str">
        <f t="shared" si="3051"/>
        <v>Accepted</v>
      </c>
      <c r="S7518" t="str">
        <f t="shared" si="3064"/>
        <v>Approved</v>
      </c>
      <c r="T7518" t="str">
        <f t="shared" si="3052"/>
        <v>10.20.8.188</v>
      </c>
      <c r="U7518" t="str">
        <f t="shared" si="3065"/>
        <v>AZRAD UMAR BIN SHAARI</v>
      </c>
      <c r="V7518" t="str">
        <f t="shared" si="3066"/>
        <v>FARHANA BINTI MUSTAPA</v>
      </c>
      <c r="W7518" t="str">
        <f t="shared" si="3067"/>
        <v>04-08-2020</v>
      </c>
      <c r="X7518" t="str">
        <f t="shared" si="3068"/>
        <v>RAZIMAH ANSAR AHMAD</v>
      </c>
      <c r="Y7518" t="str">
        <f t="shared" si="3069"/>
        <v>04-08-2020</v>
      </c>
      <c r="Z7518" t="str">
        <f>"COS10200804 1636"</f>
        <v>COS10200804 1636</v>
      </c>
    </row>
    <row r="7519" spans="1:26" x14ac:dyDescent="0.25">
      <c r="A7519" t="str">
        <f t="shared" si="3074"/>
        <v>04-08-2020 12:34:57</v>
      </c>
      <c r="B7519" t="str">
        <f>"0000803389"</f>
        <v>0000803389</v>
      </c>
      <c r="C7519" t="str">
        <f t="shared" si="3075"/>
        <v>0000803354</v>
      </c>
      <c r="D7519" t="str">
        <f t="shared" si="3059"/>
        <v>73185</v>
      </c>
      <c r="E7519" t="str">
        <f t="shared" si="3060"/>
        <v>KFH-OPERATIONS DEPARTMENT</v>
      </c>
      <c r="F7519" t="str">
        <f t="shared" si="3061"/>
        <v>IBG</v>
      </c>
      <c r="G7519" t="str">
        <f t="shared" si="3070"/>
        <v>Refund COSHARE 10</v>
      </c>
      <c r="H7519" s="2">
        <v>142.75</v>
      </c>
      <c r="I7519" t="str">
        <f>"JOHNNY ANAK BILON"</f>
        <v>JOHNNY ANAK BILON</v>
      </c>
      <c r="J7519" t="str">
        <f t="shared" si="3073"/>
        <v>BANK SIMPANAN NASIONAL</v>
      </c>
      <c r="K7519" t="str">
        <f>"1312041000041063"</f>
        <v>1312041000041063</v>
      </c>
      <c r="L7519" t="str">
        <f t="shared" si="3071"/>
        <v>04-08-2020</v>
      </c>
      <c r="M7519" t="str">
        <f t="shared" si="3071"/>
        <v>04-08-2020</v>
      </c>
      <c r="N7519" t="str">
        <f t="shared" si="3062"/>
        <v>001105018356</v>
      </c>
      <c r="O7519" t="str">
        <f t="shared" si="3063"/>
        <v>MYR</v>
      </c>
      <c r="P7519" t="str">
        <f t="shared" si="3072"/>
        <v>NIL</v>
      </c>
      <c r="Q7519" t="str">
        <f t="shared" si="3072"/>
        <v>NIL</v>
      </c>
      <c r="R7519" t="str">
        <f t="shared" si="3051"/>
        <v>Accepted</v>
      </c>
      <c r="S7519" t="str">
        <f t="shared" si="3064"/>
        <v>Approved</v>
      </c>
      <c r="T7519" t="str">
        <f t="shared" si="3052"/>
        <v>10.20.8.188</v>
      </c>
      <c r="U7519" t="str">
        <f t="shared" si="3065"/>
        <v>AZRAD UMAR BIN SHAARI</v>
      </c>
      <c r="V7519" t="str">
        <f t="shared" si="3066"/>
        <v>FARHANA BINTI MUSTAPA</v>
      </c>
      <c r="W7519" t="str">
        <f t="shared" si="3067"/>
        <v>04-08-2020</v>
      </c>
      <c r="X7519" t="str">
        <f t="shared" si="3068"/>
        <v>RAZIMAH ANSAR AHMAD</v>
      </c>
      <c r="Y7519" t="str">
        <f t="shared" si="3069"/>
        <v>04-08-2020</v>
      </c>
      <c r="Z7519" t="str">
        <f>"COS10200804 1635"</f>
        <v>COS10200804 1635</v>
      </c>
    </row>
    <row r="7520" spans="1:26" x14ac:dyDescent="0.25">
      <c r="A7520" t="str">
        <f t="shared" si="3074"/>
        <v>04-08-2020 12:34:57</v>
      </c>
      <c r="B7520" t="str">
        <f>"0000803388"</f>
        <v>0000803388</v>
      </c>
      <c r="C7520" t="str">
        <f t="shared" si="3075"/>
        <v>0000803354</v>
      </c>
      <c r="D7520" t="str">
        <f t="shared" si="3059"/>
        <v>73185</v>
      </c>
      <c r="E7520" t="str">
        <f t="shared" si="3060"/>
        <v>KFH-OPERATIONS DEPARTMENT</v>
      </c>
      <c r="F7520" t="str">
        <f t="shared" si="3061"/>
        <v>IBG</v>
      </c>
      <c r="G7520" t="str">
        <f t="shared" si="3070"/>
        <v>Refund COSHARE 10</v>
      </c>
      <c r="H7520" s="2">
        <v>1662.2</v>
      </c>
      <c r="I7520" t="str">
        <f>"JOEL JOSEPH"</f>
        <v>JOEL JOSEPH</v>
      </c>
      <c r="J7520" t="str">
        <f t="shared" si="3073"/>
        <v>BANK SIMPANAN NASIONAL</v>
      </c>
      <c r="K7520" t="str">
        <f>"1211229868551847"</f>
        <v>1211229868551847</v>
      </c>
      <c r="L7520" t="str">
        <f t="shared" si="3071"/>
        <v>04-08-2020</v>
      </c>
      <c r="M7520" t="str">
        <f t="shared" si="3071"/>
        <v>04-08-2020</v>
      </c>
      <c r="N7520" t="str">
        <f t="shared" si="3062"/>
        <v>001105018356</v>
      </c>
      <c r="O7520" t="str">
        <f t="shared" si="3063"/>
        <v>MYR</v>
      </c>
      <c r="P7520" t="str">
        <f t="shared" si="3072"/>
        <v>NIL</v>
      </c>
      <c r="Q7520" t="str">
        <f t="shared" si="3072"/>
        <v>NIL</v>
      </c>
      <c r="R7520" t="str">
        <f t="shared" si="3051"/>
        <v>Accepted</v>
      </c>
      <c r="S7520" t="str">
        <f t="shared" si="3064"/>
        <v>Approved</v>
      </c>
      <c r="T7520" t="str">
        <f t="shared" si="3052"/>
        <v>10.20.8.188</v>
      </c>
      <c r="U7520" t="str">
        <f t="shared" si="3065"/>
        <v>AZRAD UMAR BIN SHAARI</v>
      </c>
      <c r="V7520" t="str">
        <f t="shared" si="3066"/>
        <v>FARHANA BINTI MUSTAPA</v>
      </c>
      <c r="W7520" t="str">
        <f t="shared" si="3067"/>
        <v>04-08-2020</v>
      </c>
      <c r="X7520" t="str">
        <f t="shared" si="3068"/>
        <v>RAZIMAH ANSAR AHMAD</v>
      </c>
      <c r="Y7520" t="str">
        <f t="shared" si="3069"/>
        <v>04-08-2020</v>
      </c>
      <c r="Z7520" t="str">
        <f>"COS10200804 1634"</f>
        <v>COS10200804 1634</v>
      </c>
    </row>
    <row r="7521" spans="1:26" x14ac:dyDescent="0.25">
      <c r="A7521" t="str">
        <f t="shared" si="3074"/>
        <v>04-08-2020 12:34:57</v>
      </c>
      <c r="B7521" t="str">
        <f>"0000803387"</f>
        <v>0000803387</v>
      </c>
      <c r="C7521" t="str">
        <f t="shared" si="3075"/>
        <v>0000803354</v>
      </c>
      <c r="D7521" t="str">
        <f t="shared" si="3059"/>
        <v>73185</v>
      </c>
      <c r="E7521" t="str">
        <f t="shared" si="3060"/>
        <v>KFH-OPERATIONS DEPARTMENT</v>
      </c>
      <c r="F7521" t="str">
        <f t="shared" si="3061"/>
        <v>IBG</v>
      </c>
      <c r="G7521" t="str">
        <f t="shared" si="3070"/>
        <v>Refund COSHARE 10</v>
      </c>
      <c r="H7521" s="2">
        <v>134</v>
      </c>
      <c r="I7521" t="str">
        <f>"JENNIFER BINTI RARU  PALU"</f>
        <v>JENNIFER BINTI RARU  PALU</v>
      </c>
      <c r="J7521" t="str">
        <f t="shared" si="3073"/>
        <v>BANK SIMPANAN NASIONAL</v>
      </c>
      <c r="K7521" t="str">
        <f>"1211929000109272"</f>
        <v>1211929000109272</v>
      </c>
      <c r="L7521" t="str">
        <f t="shared" si="3071"/>
        <v>04-08-2020</v>
      </c>
      <c r="M7521" t="str">
        <f t="shared" si="3071"/>
        <v>04-08-2020</v>
      </c>
      <c r="N7521" t="str">
        <f t="shared" si="3062"/>
        <v>001105018356</v>
      </c>
      <c r="O7521" t="str">
        <f t="shared" si="3063"/>
        <v>MYR</v>
      </c>
      <c r="P7521" t="str">
        <f t="shared" si="3072"/>
        <v>NIL</v>
      </c>
      <c r="Q7521" t="str">
        <f t="shared" si="3072"/>
        <v>NIL</v>
      </c>
      <c r="R7521" t="str">
        <f t="shared" si="3051"/>
        <v>Accepted</v>
      </c>
      <c r="S7521" t="str">
        <f t="shared" si="3064"/>
        <v>Approved</v>
      </c>
      <c r="T7521" t="str">
        <f t="shared" si="3052"/>
        <v>10.20.8.188</v>
      </c>
      <c r="U7521" t="str">
        <f t="shared" si="3065"/>
        <v>AZRAD UMAR BIN SHAARI</v>
      </c>
      <c r="V7521" t="str">
        <f t="shared" si="3066"/>
        <v>FARHANA BINTI MUSTAPA</v>
      </c>
      <c r="W7521" t="str">
        <f t="shared" si="3067"/>
        <v>04-08-2020</v>
      </c>
      <c r="X7521" t="str">
        <f t="shared" si="3068"/>
        <v>RAZIMAH ANSAR AHMAD</v>
      </c>
      <c r="Y7521" t="str">
        <f t="shared" si="3069"/>
        <v>04-08-2020</v>
      </c>
      <c r="Z7521" t="str">
        <f>"COS10200804 1633"</f>
        <v>COS10200804 1633</v>
      </c>
    </row>
    <row r="7522" spans="1:26" x14ac:dyDescent="0.25">
      <c r="A7522" t="str">
        <f t="shared" si="3074"/>
        <v>04-08-2020 12:34:57</v>
      </c>
      <c r="B7522" t="str">
        <f>"0000803386"</f>
        <v>0000803386</v>
      </c>
      <c r="C7522" t="str">
        <f t="shared" si="3075"/>
        <v>0000803354</v>
      </c>
      <c r="D7522" t="str">
        <f t="shared" si="3059"/>
        <v>73185</v>
      </c>
      <c r="E7522" t="str">
        <f t="shared" si="3060"/>
        <v>KFH-OPERATIONS DEPARTMENT</v>
      </c>
      <c r="F7522" t="str">
        <f t="shared" si="3061"/>
        <v>IBG</v>
      </c>
      <c r="G7522" t="str">
        <f t="shared" si="3070"/>
        <v>Refund COSHARE 10</v>
      </c>
      <c r="H7522" s="2">
        <v>251.85</v>
      </c>
      <c r="I7522" t="str">
        <f>"JEFFRY JAMES JAHEM"</f>
        <v>JEFFRY JAMES JAHEM</v>
      </c>
      <c r="J7522" t="str">
        <f t="shared" si="3073"/>
        <v>BANK SIMPANAN NASIONAL</v>
      </c>
      <c r="K7522" t="str">
        <f>"1210641100005702"</f>
        <v>1210641100005702</v>
      </c>
      <c r="L7522" t="str">
        <f t="shared" si="3071"/>
        <v>04-08-2020</v>
      </c>
      <c r="M7522" t="str">
        <f t="shared" si="3071"/>
        <v>04-08-2020</v>
      </c>
      <c r="N7522" t="str">
        <f t="shared" si="3062"/>
        <v>001105018356</v>
      </c>
      <c r="O7522" t="str">
        <f t="shared" si="3063"/>
        <v>MYR</v>
      </c>
      <c r="P7522" t="str">
        <f t="shared" si="3072"/>
        <v>NIL</v>
      </c>
      <c r="Q7522" t="str">
        <f t="shared" si="3072"/>
        <v>NIL</v>
      </c>
      <c r="R7522" t="str">
        <f t="shared" ref="R7522:R7585" si="3076">"Accepted"</f>
        <v>Accepted</v>
      </c>
      <c r="S7522" t="str">
        <f t="shared" si="3064"/>
        <v>Approved</v>
      </c>
      <c r="T7522" t="str">
        <f t="shared" ref="T7522:T7585" si="3077">"10.20.8.188"</f>
        <v>10.20.8.188</v>
      </c>
      <c r="U7522" t="str">
        <f t="shared" si="3065"/>
        <v>AZRAD UMAR BIN SHAARI</v>
      </c>
      <c r="V7522" t="str">
        <f t="shared" si="3066"/>
        <v>FARHANA BINTI MUSTAPA</v>
      </c>
      <c r="W7522" t="str">
        <f t="shared" si="3067"/>
        <v>04-08-2020</v>
      </c>
      <c r="X7522" t="str">
        <f t="shared" si="3068"/>
        <v>RAZIMAH ANSAR AHMAD</v>
      </c>
      <c r="Y7522" t="str">
        <f t="shared" si="3069"/>
        <v>04-08-2020</v>
      </c>
      <c r="Z7522" t="str">
        <f>"COS10200804 1632"</f>
        <v>COS10200804 1632</v>
      </c>
    </row>
    <row r="7523" spans="1:26" x14ac:dyDescent="0.25">
      <c r="A7523" t="str">
        <f t="shared" si="3074"/>
        <v>04-08-2020 12:34:57</v>
      </c>
      <c r="B7523" t="str">
        <f>"0000803385"</f>
        <v>0000803385</v>
      </c>
      <c r="C7523" t="str">
        <f t="shared" si="3075"/>
        <v>0000803354</v>
      </c>
      <c r="D7523" t="str">
        <f t="shared" si="3059"/>
        <v>73185</v>
      </c>
      <c r="E7523" t="str">
        <f t="shared" si="3060"/>
        <v>KFH-OPERATIONS DEPARTMENT</v>
      </c>
      <c r="F7523" t="str">
        <f t="shared" si="3061"/>
        <v>IBG</v>
      </c>
      <c r="G7523" t="str">
        <f t="shared" si="3070"/>
        <v>Refund COSHARE 10</v>
      </c>
      <c r="H7523" s="2">
        <v>528.9</v>
      </c>
      <c r="I7523" t="str">
        <f>"JAYA CHITRA AP PATHUMALAI"</f>
        <v>JAYA CHITRA AP PATHUMALAI</v>
      </c>
      <c r="J7523" t="str">
        <f t="shared" si="3073"/>
        <v>BANK SIMPANAN NASIONAL</v>
      </c>
      <c r="K7523" t="str">
        <f>"1416329000057910"</f>
        <v>1416329000057910</v>
      </c>
      <c r="L7523" t="str">
        <f t="shared" si="3071"/>
        <v>04-08-2020</v>
      </c>
      <c r="M7523" t="str">
        <f t="shared" si="3071"/>
        <v>04-08-2020</v>
      </c>
      <c r="N7523" t="str">
        <f t="shared" si="3062"/>
        <v>001105018356</v>
      </c>
      <c r="O7523" t="str">
        <f t="shared" si="3063"/>
        <v>MYR</v>
      </c>
      <c r="P7523" t="str">
        <f t="shared" si="3072"/>
        <v>NIL</v>
      </c>
      <c r="Q7523" t="str">
        <f t="shared" si="3072"/>
        <v>NIL</v>
      </c>
      <c r="R7523" t="str">
        <f t="shared" si="3076"/>
        <v>Accepted</v>
      </c>
      <c r="S7523" t="str">
        <f t="shared" si="3064"/>
        <v>Approved</v>
      </c>
      <c r="T7523" t="str">
        <f t="shared" si="3077"/>
        <v>10.20.8.188</v>
      </c>
      <c r="U7523" t="str">
        <f t="shared" si="3065"/>
        <v>AZRAD UMAR BIN SHAARI</v>
      </c>
      <c r="V7523" t="str">
        <f t="shared" si="3066"/>
        <v>FARHANA BINTI MUSTAPA</v>
      </c>
      <c r="W7523" t="str">
        <f t="shared" si="3067"/>
        <v>04-08-2020</v>
      </c>
      <c r="X7523" t="str">
        <f t="shared" si="3068"/>
        <v>RAZIMAH ANSAR AHMAD</v>
      </c>
      <c r="Y7523" t="str">
        <f t="shared" si="3069"/>
        <v>04-08-2020</v>
      </c>
      <c r="Z7523" t="str">
        <f>"COS10200804 1631"</f>
        <v>COS10200804 1631</v>
      </c>
    </row>
    <row r="7524" spans="1:26" x14ac:dyDescent="0.25">
      <c r="A7524" t="str">
        <f t="shared" si="3074"/>
        <v>04-08-2020 12:34:57</v>
      </c>
      <c r="B7524" t="str">
        <f>"0000803384"</f>
        <v>0000803384</v>
      </c>
      <c r="C7524" t="str">
        <f t="shared" si="3075"/>
        <v>0000803354</v>
      </c>
      <c r="D7524" t="str">
        <f t="shared" si="3059"/>
        <v>73185</v>
      </c>
      <c r="E7524" t="str">
        <f t="shared" si="3060"/>
        <v>KFH-OPERATIONS DEPARTMENT</v>
      </c>
      <c r="F7524" t="str">
        <f t="shared" si="3061"/>
        <v>IBG</v>
      </c>
      <c r="G7524" t="str">
        <f t="shared" si="3070"/>
        <v>Refund COSHARE 10</v>
      </c>
      <c r="H7524" s="2">
        <v>50.4</v>
      </c>
      <c r="I7524" t="str">
        <f>"JATIAH BINTI KOROM"</f>
        <v>JATIAH BINTI KOROM</v>
      </c>
      <c r="J7524" t="str">
        <f t="shared" si="3073"/>
        <v>BANK SIMPANAN NASIONAL</v>
      </c>
      <c r="K7524" t="str">
        <f>"1210629000138744"</f>
        <v>1210629000138744</v>
      </c>
      <c r="L7524" t="str">
        <f t="shared" si="3071"/>
        <v>04-08-2020</v>
      </c>
      <c r="M7524" t="str">
        <f t="shared" si="3071"/>
        <v>04-08-2020</v>
      </c>
      <c r="N7524" t="str">
        <f t="shared" si="3062"/>
        <v>001105018356</v>
      </c>
      <c r="O7524" t="str">
        <f t="shared" si="3063"/>
        <v>MYR</v>
      </c>
      <c r="P7524" t="str">
        <f t="shared" si="3072"/>
        <v>NIL</v>
      </c>
      <c r="Q7524" t="str">
        <f t="shared" si="3072"/>
        <v>NIL</v>
      </c>
      <c r="R7524" t="str">
        <f t="shared" si="3076"/>
        <v>Accepted</v>
      </c>
      <c r="S7524" t="str">
        <f t="shared" si="3064"/>
        <v>Approved</v>
      </c>
      <c r="T7524" t="str">
        <f t="shared" si="3077"/>
        <v>10.20.8.188</v>
      </c>
      <c r="U7524" t="str">
        <f t="shared" si="3065"/>
        <v>AZRAD UMAR BIN SHAARI</v>
      </c>
      <c r="V7524" t="str">
        <f t="shared" si="3066"/>
        <v>FARHANA BINTI MUSTAPA</v>
      </c>
      <c r="W7524" t="str">
        <f t="shared" si="3067"/>
        <v>04-08-2020</v>
      </c>
      <c r="X7524" t="str">
        <f t="shared" si="3068"/>
        <v>RAZIMAH ANSAR AHMAD</v>
      </c>
      <c r="Y7524" t="str">
        <f t="shared" si="3069"/>
        <v>04-08-2020</v>
      </c>
      <c r="Z7524" t="str">
        <f>"COS10200804 1630"</f>
        <v>COS10200804 1630</v>
      </c>
    </row>
    <row r="7525" spans="1:26" x14ac:dyDescent="0.25">
      <c r="A7525" t="str">
        <f t="shared" si="3074"/>
        <v>04-08-2020 12:34:57</v>
      </c>
      <c r="B7525" t="str">
        <f>"0000803383"</f>
        <v>0000803383</v>
      </c>
      <c r="C7525" t="str">
        <f t="shared" si="3075"/>
        <v>0000803354</v>
      </c>
      <c r="D7525" t="str">
        <f t="shared" si="3059"/>
        <v>73185</v>
      </c>
      <c r="E7525" t="str">
        <f t="shared" si="3060"/>
        <v>KFH-OPERATIONS DEPARTMENT</v>
      </c>
      <c r="F7525" t="str">
        <f t="shared" si="3061"/>
        <v>IBG</v>
      </c>
      <c r="G7525" t="str">
        <f t="shared" si="3070"/>
        <v>Refund COSHARE 10</v>
      </c>
      <c r="H7525" s="2">
        <v>1021.6</v>
      </c>
      <c r="I7525" t="str">
        <f>"JASMIN RUZINA BINTI ZAINUL"</f>
        <v>JASMIN RUZINA BINTI ZAINUL</v>
      </c>
      <c r="J7525" t="str">
        <f t="shared" si="3073"/>
        <v>BANK SIMPANAN NASIONAL</v>
      </c>
      <c r="K7525" t="str">
        <f>"0710029857975017"</f>
        <v>0710029857975017</v>
      </c>
      <c r="L7525" t="str">
        <f t="shared" si="3071"/>
        <v>04-08-2020</v>
      </c>
      <c r="M7525" t="str">
        <f t="shared" si="3071"/>
        <v>04-08-2020</v>
      </c>
      <c r="N7525" t="str">
        <f t="shared" si="3062"/>
        <v>001105018356</v>
      </c>
      <c r="O7525" t="str">
        <f t="shared" si="3063"/>
        <v>MYR</v>
      </c>
      <c r="P7525" t="str">
        <f t="shared" si="3072"/>
        <v>NIL</v>
      </c>
      <c r="Q7525" t="str">
        <f t="shared" si="3072"/>
        <v>NIL</v>
      </c>
      <c r="R7525" t="str">
        <f t="shared" si="3076"/>
        <v>Accepted</v>
      </c>
      <c r="S7525" t="str">
        <f t="shared" si="3064"/>
        <v>Approved</v>
      </c>
      <c r="T7525" t="str">
        <f t="shared" si="3077"/>
        <v>10.20.8.188</v>
      </c>
      <c r="U7525" t="str">
        <f t="shared" si="3065"/>
        <v>AZRAD UMAR BIN SHAARI</v>
      </c>
      <c r="V7525" t="str">
        <f t="shared" si="3066"/>
        <v>FARHANA BINTI MUSTAPA</v>
      </c>
      <c r="W7525" t="str">
        <f t="shared" si="3067"/>
        <v>04-08-2020</v>
      </c>
      <c r="X7525" t="str">
        <f t="shared" si="3068"/>
        <v>RAZIMAH ANSAR AHMAD</v>
      </c>
      <c r="Y7525" t="str">
        <f t="shared" si="3069"/>
        <v>04-08-2020</v>
      </c>
      <c r="Z7525" t="str">
        <f>"COS10200804 1629"</f>
        <v>COS10200804 1629</v>
      </c>
    </row>
    <row r="7526" spans="1:26" x14ac:dyDescent="0.25">
      <c r="A7526" t="str">
        <f t="shared" si="3074"/>
        <v>04-08-2020 12:34:57</v>
      </c>
      <c r="B7526" t="str">
        <f>"0000803382"</f>
        <v>0000803382</v>
      </c>
      <c r="C7526" t="str">
        <f t="shared" si="3075"/>
        <v>0000803354</v>
      </c>
      <c r="D7526" t="str">
        <f t="shared" si="3059"/>
        <v>73185</v>
      </c>
      <c r="E7526" t="str">
        <f t="shared" si="3060"/>
        <v>KFH-OPERATIONS DEPARTMENT</v>
      </c>
      <c r="F7526" t="str">
        <f t="shared" si="3061"/>
        <v>IBG</v>
      </c>
      <c r="G7526" t="str">
        <f t="shared" si="3070"/>
        <v>Refund COSHARE 10</v>
      </c>
      <c r="H7526" s="2">
        <v>167.9</v>
      </c>
      <c r="I7526" t="str">
        <f>"JASICCA RINDA ANAK MUN"</f>
        <v>JASICCA RINDA ANAK MUN</v>
      </c>
      <c r="J7526" t="str">
        <f t="shared" si="3073"/>
        <v>BANK SIMPANAN NASIONAL</v>
      </c>
      <c r="K7526" t="str">
        <f>"1312629000090698"</f>
        <v>1312629000090698</v>
      </c>
      <c r="L7526" t="str">
        <f t="shared" si="3071"/>
        <v>04-08-2020</v>
      </c>
      <c r="M7526" t="str">
        <f t="shared" si="3071"/>
        <v>04-08-2020</v>
      </c>
      <c r="N7526" t="str">
        <f t="shared" si="3062"/>
        <v>001105018356</v>
      </c>
      <c r="O7526" t="str">
        <f t="shared" si="3063"/>
        <v>MYR</v>
      </c>
      <c r="P7526" t="str">
        <f t="shared" si="3072"/>
        <v>NIL</v>
      </c>
      <c r="Q7526" t="str">
        <f t="shared" si="3072"/>
        <v>NIL</v>
      </c>
      <c r="R7526" t="str">
        <f t="shared" si="3076"/>
        <v>Accepted</v>
      </c>
      <c r="S7526" t="str">
        <f t="shared" si="3064"/>
        <v>Approved</v>
      </c>
      <c r="T7526" t="str">
        <f t="shared" si="3077"/>
        <v>10.20.8.188</v>
      </c>
      <c r="U7526" t="str">
        <f t="shared" si="3065"/>
        <v>AZRAD UMAR BIN SHAARI</v>
      </c>
      <c r="V7526" t="str">
        <f t="shared" si="3066"/>
        <v>FARHANA BINTI MUSTAPA</v>
      </c>
      <c r="W7526" t="str">
        <f t="shared" si="3067"/>
        <v>04-08-2020</v>
      </c>
      <c r="X7526" t="str">
        <f t="shared" si="3068"/>
        <v>RAZIMAH ANSAR AHMAD</v>
      </c>
      <c r="Y7526" t="str">
        <f t="shared" si="3069"/>
        <v>04-08-2020</v>
      </c>
      <c r="Z7526" t="str">
        <f>"COS10200804 1628"</f>
        <v>COS10200804 1628</v>
      </c>
    </row>
    <row r="7527" spans="1:26" x14ac:dyDescent="0.25">
      <c r="A7527" t="str">
        <f t="shared" si="3074"/>
        <v>04-08-2020 12:34:57</v>
      </c>
      <c r="B7527" t="str">
        <f>"0000803381"</f>
        <v>0000803381</v>
      </c>
      <c r="C7527" t="str">
        <f t="shared" si="3075"/>
        <v>0000803354</v>
      </c>
      <c r="D7527" t="str">
        <f t="shared" si="3059"/>
        <v>73185</v>
      </c>
      <c r="E7527" t="str">
        <f t="shared" si="3060"/>
        <v>KFH-OPERATIONS DEPARTMENT</v>
      </c>
      <c r="F7527" t="str">
        <f t="shared" si="3061"/>
        <v>IBG</v>
      </c>
      <c r="G7527" t="str">
        <f t="shared" si="3070"/>
        <v>Refund COSHARE 10</v>
      </c>
      <c r="H7527" s="2">
        <v>612.85</v>
      </c>
      <c r="I7527" t="str">
        <f>"JAMRI BIN ISMAIL"</f>
        <v>JAMRI BIN ISMAIL</v>
      </c>
      <c r="J7527" t="str">
        <f t="shared" si="3073"/>
        <v>BANK SIMPANAN NASIONAL</v>
      </c>
      <c r="K7527" t="str">
        <f>"1455029000148018"</f>
        <v>1455029000148018</v>
      </c>
      <c r="L7527" t="str">
        <f t="shared" ref="L7527:M7546" si="3078">"04-08-2020"</f>
        <v>04-08-2020</v>
      </c>
      <c r="M7527" t="str">
        <f t="shared" si="3078"/>
        <v>04-08-2020</v>
      </c>
      <c r="N7527" t="str">
        <f t="shared" si="3062"/>
        <v>001105018356</v>
      </c>
      <c r="O7527" t="str">
        <f t="shared" si="3063"/>
        <v>MYR</v>
      </c>
      <c r="P7527" t="str">
        <f t="shared" ref="P7527:Q7546" si="3079">"NIL"</f>
        <v>NIL</v>
      </c>
      <c r="Q7527" t="str">
        <f t="shared" si="3079"/>
        <v>NIL</v>
      </c>
      <c r="R7527" t="str">
        <f t="shared" si="3076"/>
        <v>Accepted</v>
      </c>
      <c r="S7527" t="str">
        <f t="shared" si="3064"/>
        <v>Approved</v>
      </c>
      <c r="T7527" t="str">
        <f t="shared" si="3077"/>
        <v>10.20.8.188</v>
      </c>
      <c r="U7527" t="str">
        <f t="shared" si="3065"/>
        <v>AZRAD UMAR BIN SHAARI</v>
      </c>
      <c r="V7527" t="str">
        <f t="shared" si="3066"/>
        <v>FARHANA BINTI MUSTAPA</v>
      </c>
      <c r="W7527" t="str">
        <f t="shared" si="3067"/>
        <v>04-08-2020</v>
      </c>
      <c r="X7527" t="str">
        <f t="shared" si="3068"/>
        <v>RAZIMAH ANSAR AHMAD</v>
      </c>
      <c r="Y7527" t="str">
        <f t="shared" si="3069"/>
        <v>04-08-2020</v>
      </c>
      <c r="Z7527" t="str">
        <f>"COS10200804 1627"</f>
        <v>COS10200804 1627</v>
      </c>
    </row>
    <row r="7528" spans="1:26" x14ac:dyDescent="0.25">
      <c r="A7528" t="str">
        <f t="shared" si="3074"/>
        <v>04-08-2020 12:34:57</v>
      </c>
      <c r="B7528" t="str">
        <f>"0000803380"</f>
        <v>0000803380</v>
      </c>
      <c r="C7528" t="str">
        <f t="shared" si="3075"/>
        <v>0000803354</v>
      </c>
      <c r="D7528" t="str">
        <f t="shared" si="3059"/>
        <v>73185</v>
      </c>
      <c r="E7528" t="str">
        <f t="shared" si="3060"/>
        <v>KFH-OPERATIONS DEPARTMENT</v>
      </c>
      <c r="F7528" t="str">
        <f t="shared" si="3061"/>
        <v>IBG</v>
      </c>
      <c r="G7528" t="str">
        <f t="shared" si="3070"/>
        <v>Refund COSHARE 10</v>
      </c>
      <c r="H7528" s="2">
        <v>680</v>
      </c>
      <c r="I7528" t="str">
        <f>"JAMILAH BINTI NAYAN"</f>
        <v>JAMILAH BINTI NAYAN</v>
      </c>
      <c r="J7528" t="str">
        <f t="shared" si="3073"/>
        <v>BANK SIMPANAN NASIONAL</v>
      </c>
      <c r="K7528" t="str">
        <f>"0823529834991250"</f>
        <v>0823529834991250</v>
      </c>
      <c r="L7528" t="str">
        <f t="shared" si="3078"/>
        <v>04-08-2020</v>
      </c>
      <c r="M7528" t="str">
        <f t="shared" si="3078"/>
        <v>04-08-2020</v>
      </c>
      <c r="N7528" t="str">
        <f t="shared" si="3062"/>
        <v>001105018356</v>
      </c>
      <c r="O7528" t="str">
        <f t="shared" si="3063"/>
        <v>MYR</v>
      </c>
      <c r="P7528" t="str">
        <f t="shared" si="3079"/>
        <v>NIL</v>
      </c>
      <c r="Q7528" t="str">
        <f t="shared" si="3079"/>
        <v>NIL</v>
      </c>
      <c r="R7528" t="str">
        <f t="shared" si="3076"/>
        <v>Accepted</v>
      </c>
      <c r="S7528" t="str">
        <f t="shared" si="3064"/>
        <v>Approved</v>
      </c>
      <c r="T7528" t="str">
        <f t="shared" si="3077"/>
        <v>10.20.8.188</v>
      </c>
      <c r="U7528" t="str">
        <f t="shared" si="3065"/>
        <v>AZRAD UMAR BIN SHAARI</v>
      </c>
      <c r="V7528" t="str">
        <f t="shared" si="3066"/>
        <v>FARHANA BINTI MUSTAPA</v>
      </c>
      <c r="W7528" t="str">
        <f t="shared" si="3067"/>
        <v>04-08-2020</v>
      </c>
      <c r="X7528" t="str">
        <f t="shared" si="3068"/>
        <v>RAZIMAH ANSAR AHMAD</v>
      </c>
      <c r="Y7528" t="str">
        <f t="shared" si="3069"/>
        <v>04-08-2020</v>
      </c>
      <c r="Z7528" t="str">
        <f>"COS10200804 1626"</f>
        <v>COS10200804 1626</v>
      </c>
    </row>
    <row r="7529" spans="1:26" x14ac:dyDescent="0.25">
      <c r="A7529" t="str">
        <f t="shared" si="3074"/>
        <v>04-08-2020 12:34:57</v>
      </c>
      <c r="B7529" t="str">
        <f>"0000803379"</f>
        <v>0000803379</v>
      </c>
      <c r="C7529" t="str">
        <f t="shared" si="3075"/>
        <v>0000803354</v>
      </c>
      <c r="D7529" t="str">
        <f t="shared" si="3059"/>
        <v>73185</v>
      </c>
      <c r="E7529" t="str">
        <f t="shared" si="3060"/>
        <v>KFH-OPERATIONS DEPARTMENT</v>
      </c>
      <c r="F7529" t="str">
        <f t="shared" si="3061"/>
        <v>IBG</v>
      </c>
      <c r="G7529" t="str">
        <f t="shared" si="3070"/>
        <v>Refund COSHARE 10</v>
      </c>
      <c r="H7529" s="2">
        <v>839.5</v>
      </c>
      <c r="I7529" t="str">
        <f>"JAMIDAH BINTI MAZLAN"</f>
        <v>JAMIDAH BINTI MAZLAN</v>
      </c>
      <c r="J7529" t="str">
        <f t="shared" si="3073"/>
        <v>BANK SIMPANAN NASIONAL</v>
      </c>
      <c r="K7529" t="str">
        <f>"1311629830405466"</f>
        <v>1311629830405466</v>
      </c>
      <c r="L7529" t="str">
        <f t="shared" si="3078"/>
        <v>04-08-2020</v>
      </c>
      <c r="M7529" t="str">
        <f t="shared" si="3078"/>
        <v>04-08-2020</v>
      </c>
      <c r="N7529" t="str">
        <f t="shared" si="3062"/>
        <v>001105018356</v>
      </c>
      <c r="O7529" t="str">
        <f t="shared" si="3063"/>
        <v>MYR</v>
      </c>
      <c r="P7529" t="str">
        <f t="shared" si="3079"/>
        <v>NIL</v>
      </c>
      <c r="Q7529" t="str">
        <f t="shared" si="3079"/>
        <v>NIL</v>
      </c>
      <c r="R7529" t="str">
        <f t="shared" si="3076"/>
        <v>Accepted</v>
      </c>
      <c r="S7529" t="str">
        <f t="shared" si="3064"/>
        <v>Approved</v>
      </c>
      <c r="T7529" t="str">
        <f t="shared" si="3077"/>
        <v>10.20.8.188</v>
      </c>
      <c r="U7529" t="str">
        <f t="shared" si="3065"/>
        <v>AZRAD UMAR BIN SHAARI</v>
      </c>
      <c r="V7529" t="str">
        <f t="shared" si="3066"/>
        <v>FARHANA BINTI MUSTAPA</v>
      </c>
      <c r="W7529" t="str">
        <f t="shared" si="3067"/>
        <v>04-08-2020</v>
      </c>
      <c r="X7529" t="str">
        <f t="shared" si="3068"/>
        <v>RAZIMAH ANSAR AHMAD</v>
      </c>
      <c r="Y7529" t="str">
        <f t="shared" si="3069"/>
        <v>04-08-2020</v>
      </c>
      <c r="Z7529" t="str">
        <f>"COS10200804 1625"</f>
        <v>COS10200804 1625</v>
      </c>
    </row>
    <row r="7530" spans="1:26" x14ac:dyDescent="0.25">
      <c r="A7530" t="str">
        <f t="shared" si="3074"/>
        <v>04-08-2020 12:34:57</v>
      </c>
      <c r="B7530" t="str">
        <f>"0000803378"</f>
        <v>0000803378</v>
      </c>
      <c r="C7530" t="str">
        <f t="shared" si="3075"/>
        <v>0000803354</v>
      </c>
      <c r="D7530" t="str">
        <f t="shared" si="3059"/>
        <v>73185</v>
      </c>
      <c r="E7530" t="str">
        <f t="shared" si="3060"/>
        <v>KFH-OPERATIONS DEPARTMENT</v>
      </c>
      <c r="F7530" t="str">
        <f t="shared" si="3061"/>
        <v>IBG</v>
      </c>
      <c r="G7530" t="str">
        <f t="shared" si="3070"/>
        <v>Refund COSHARE 10</v>
      </c>
      <c r="H7530" s="2">
        <v>330</v>
      </c>
      <c r="I7530" t="str">
        <f>"JAMALUDIN BIN ROMLI"</f>
        <v>JAMALUDIN BIN ROMLI</v>
      </c>
      <c r="J7530" t="str">
        <f t="shared" si="3073"/>
        <v>BANK SIMPANAN NASIONAL</v>
      </c>
      <c r="K7530" t="str">
        <f>"0822429000053301"</f>
        <v>0822429000053301</v>
      </c>
      <c r="L7530" t="str">
        <f t="shared" si="3078"/>
        <v>04-08-2020</v>
      </c>
      <c r="M7530" t="str">
        <f t="shared" si="3078"/>
        <v>04-08-2020</v>
      </c>
      <c r="N7530" t="str">
        <f t="shared" si="3062"/>
        <v>001105018356</v>
      </c>
      <c r="O7530" t="str">
        <f t="shared" si="3063"/>
        <v>MYR</v>
      </c>
      <c r="P7530" t="str">
        <f t="shared" si="3079"/>
        <v>NIL</v>
      </c>
      <c r="Q7530" t="str">
        <f t="shared" si="3079"/>
        <v>NIL</v>
      </c>
      <c r="R7530" t="str">
        <f t="shared" si="3076"/>
        <v>Accepted</v>
      </c>
      <c r="S7530" t="str">
        <f t="shared" si="3064"/>
        <v>Approved</v>
      </c>
      <c r="T7530" t="str">
        <f t="shared" si="3077"/>
        <v>10.20.8.188</v>
      </c>
      <c r="U7530" t="str">
        <f t="shared" si="3065"/>
        <v>AZRAD UMAR BIN SHAARI</v>
      </c>
      <c r="V7530" t="str">
        <f t="shared" si="3066"/>
        <v>FARHANA BINTI MUSTAPA</v>
      </c>
      <c r="W7530" t="str">
        <f t="shared" si="3067"/>
        <v>04-08-2020</v>
      </c>
      <c r="X7530" t="str">
        <f t="shared" si="3068"/>
        <v>RAZIMAH ANSAR AHMAD</v>
      </c>
      <c r="Y7530" t="str">
        <f t="shared" si="3069"/>
        <v>04-08-2020</v>
      </c>
      <c r="Z7530" t="str">
        <f>"COS10200804 1624"</f>
        <v>COS10200804 1624</v>
      </c>
    </row>
    <row r="7531" spans="1:26" x14ac:dyDescent="0.25">
      <c r="A7531" t="str">
        <f t="shared" si="3074"/>
        <v>04-08-2020 12:34:57</v>
      </c>
      <c r="B7531" t="str">
        <f>"0000803377"</f>
        <v>0000803377</v>
      </c>
      <c r="C7531" t="str">
        <f t="shared" si="3075"/>
        <v>0000803354</v>
      </c>
      <c r="D7531" t="str">
        <f t="shared" si="3059"/>
        <v>73185</v>
      </c>
      <c r="E7531" t="str">
        <f t="shared" si="3060"/>
        <v>KFH-OPERATIONS DEPARTMENT</v>
      </c>
      <c r="F7531" t="str">
        <f t="shared" si="3061"/>
        <v>IBG</v>
      </c>
      <c r="G7531" t="str">
        <f t="shared" si="3070"/>
        <v>Refund COSHARE 10</v>
      </c>
      <c r="H7531" s="2">
        <v>832</v>
      </c>
      <c r="I7531" t="str">
        <f>"JAMALUDIN ALIAS"</f>
        <v>JAMALUDIN ALIAS</v>
      </c>
      <c r="J7531" t="str">
        <f t="shared" si="3073"/>
        <v>BANK SIMPANAN NASIONAL</v>
      </c>
      <c r="K7531" t="str">
        <f>"1210429853196255"</f>
        <v>1210429853196255</v>
      </c>
      <c r="L7531" t="str">
        <f t="shared" si="3078"/>
        <v>04-08-2020</v>
      </c>
      <c r="M7531" t="str">
        <f t="shared" si="3078"/>
        <v>04-08-2020</v>
      </c>
      <c r="N7531" t="str">
        <f t="shared" si="3062"/>
        <v>001105018356</v>
      </c>
      <c r="O7531" t="str">
        <f t="shared" si="3063"/>
        <v>MYR</v>
      </c>
      <c r="P7531" t="str">
        <f t="shared" si="3079"/>
        <v>NIL</v>
      </c>
      <c r="Q7531" t="str">
        <f t="shared" si="3079"/>
        <v>NIL</v>
      </c>
      <c r="R7531" t="str">
        <f t="shared" si="3076"/>
        <v>Accepted</v>
      </c>
      <c r="S7531" t="str">
        <f t="shared" si="3064"/>
        <v>Approved</v>
      </c>
      <c r="T7531" t="str">
        <f t="shared" si="3077"/>
        <v>10.20.8.188</v>
      </c>
      <c r="U7531" t="str">
        <f t="shared" si="3065"/>
        <v>AZRAD UMAR BIN SHAARI</v>
      </c>
      <c r="V7531" t="str">
        <f t="shared" si="3066"/>
        <v>FARHANA BINTI MUSTAPA</v>
      </c>
      <c r="W7531" t="str">
        <f t="shared" si="3067"/>
        <v>04-08-2020</v>
      </c>
      <c r="X7531" t="str">
        <f t="shared" si="3068"/>
        <v>RAZIMAH ANSAR AHMAD</v>
      </c>
      <c r="Y7531" t="str">
        <f t="shared" si="3069"/>
        <v>04-08-2020</v>
      </c>
      <c r="Z7531" t="str">
        <f>"COS10200804 1623"</f>
        <v>COS10200804 1623</v>
      </c>
    </row>
    <row r="7532" spans="1:26" x14ac:dyDescent="0.25">
      <c r="A7532" t="str">
        <f t="shared" si="3074"/>
        <v>04-08-2020 12:34:57</v>
      </c>
      <c r="B7532" t="str">
        <f>"0000803376"</f>
        <v>0000803376</v>
      </c>
      <c r="C7532" t="str">
        <f t="shared" si="3075"/>
        <v>0000803354</v>
      </c>
      <c r="D7532" t="str">
        <f t="shared" si="3059"/>
        <v>73185</v>
      </c>
      <c r="E7532" t="str">
        <f t="shared" si="3060"/>
        <v>KFH-OPERATIONS DEPARTMENT</v>
      </c>
      <c r="F7532" t="str">
        <f t="shared" si="3061"/>
        <v>IBG</v>
      </c>
      <c r="G7532" t="str">
        <f t="shared" si="3070"/>
        <v>Refund COSHARE 10</v>
      </c>
      <c r="H7532" s="2">
        <v>1724</v>
      </c>
      <c r="I7532" t="str">
        <f>"JAMALUDDIN BIN KAMARUDDIN"</f>
        <v>JAMALUDDIN BIN KAMARUDDIN</v>
      </c>
      <c r="J7532" t="str">
        <f t="shared" si="3073"/>
        <v>BANK SIMPANAN NASIONAL</v>
      </c>
      <c r="K7532" t="str">
        <f>"1011629877088606"</f>
        <v>1011629877088606</v>
      </c>
      <c r="L7532" t="str">
        <f t="shared" si="3078"/>
        <v>04-08-2020</v>
      </c>
      <c r="M7532" t="str">
        <f t="shared" si="3078"/>
        <v>04-08-2020</v>
      </c>
      <c r="N7532" t="str">
        <f t="shared" si="3062"/>
        <v>001105018356</v>
      </c>
      <c r="O7532" t="str">
        <f t="shared" si="3063"/>
        <v>MYR</v>
      </c>
      <c r="P7532" t="str">
        <f t="shared" si="3079"/>
        <v>NIL</v>
      </c>
      <c r="Q7532" t="str">
        <f t="shared" si="3079"/>
        <v>NIL</v>
      </c>
      <c r="R7532" t="str">
        <f t="shared" si="3076"/>
        <v>Accepted</v>
      </c>
      <c r="S7532" t="str">
        <f t="shared" si="3064"/>
        <v>Approved</v>
      </c>
      <c r="T7532" t="str">
        <f t="shared" si="3077"/>
        <v>10.20.8.188</v>
      </c>
      <c r="U7532" t="str">
        <f t="shared" si="3065"/>
        <v>AZRAD UMAR BIN SHAARI</v>
      </c>
      <c r="V7532" t="str">
        <f t="shared" si="3066"/>
        <v>FARHANA BINTI MUSTAPA</v>
      </c>
      <c r="W7532" t="str">
        <f t="shared" si="3067"/>
        <v>04-08-2020</v>
      </c>
      <c r="X7532" t="str">
        <f t="shared" si="3068"/>
        <v>RAZIMAH ANSAR AHMAD</v>
      </c>
      <c r="Y7532" t="str">
        <f t="shared" si="3069"/>
        <v>04-08-2020</v>
      </c>
      <c r="Z7532" t="str">
        <f>"COS10200804 1622"</f>
        <v>COS10200804 1622</v>
      </c>
    </row>
    <row r="7533" spans="1:26" x14ac:dyDescent="0.25">
      <c r="A7533" t="str">
        <f t="shared" si="3074"/>
        <v>04-08-2020 12:34:57</v>
      </c>
      <c r="B7533" t="str">
        <f>"0000803375"</f>
        <v>0000803375</v>
      </c>
      <c r="C7533" t="str">
        <f t="shared" si="3075"/>
        <v>0000803354</v>
      </c>
      <c r="D7533" t="str">
        <f t="shared" si="3059"/>
        <v>73185</v>
      </c>
      <c r="E7533" t="str">
        <f t="shared" si="3060"/>
        <v>KFH-OPERATIONS DEPARTMENT</v>
      </c>
      <c r="F7533" t="str">
        <f t="shared" si="3061"/>
        <v>IBG</v>
      </c>
      <c r="G7533" t="str">
        <f t="shared" si="3070"/>
        <v>Refund COSHARE 10</v>
      </c>
      <c r="H7533" s="2">
        <v>168</v>
      </c>
      <c r="I7533" t="str">
        <f>"JALILAH BINTI ABDULLAH"</f>
        <v>JALILAH BINTI ABDULLAH</v>
      </c>
      <c r="J7533" t="str">
        <f t="shared" si="3073"/>
        <v>BANK SIMPANAN NASIONAL</v>
      </c>
      <c r="K7533" t="str">
        <f>"1210429000123031"</f>
        <v>1210429000123031</v>
      </c>
      <c r="L7533" t="str">
        <f t="shared" si="3078"/>
        <v>04-08-2020</v>
      </c>
      <c r="M7533" t="str">
        <f t="shared" si="3078"/>
        <v>04-08-2020</v>
      </c>
      <c r="N7533" t="str">
        <f t="shared" si="3062"/>
        <v>001105018356</v>
      </c>
      <c r="O7533" t="str">
        <f t="shared" si="3063"/>
        <v>MYR</v>
      </c>
      <c r="P7533" t="str">
        <f t="shared" si="3079"/>
        <v>NIL</v>
      </c>
      <c r="Q7533" t="str">
        <f t="shared" si="3079"/>
        <v>NIL</v>
      </c>
      <c r="R7533" t="str">
        <f t="shared" si="3076"/>
        <v>Accepted</v>
      </c>
      <c r="S7533" t="str">
        <f t="shared" si="3064"/>
        <v>Approved</v>
      </c>
      <c r="T7533" t="str">
        <f t="shared" si="3077"/>
        <v>10.20.8.188</v>
      </c>
      <c r="U7533" t="str">
        <f t="shared" si="3065"/>
        <v>AZRAD UMAR BIN SHAARI</v>
      </c>
      <c r="V7533" t="str">
        <f t="shared" si="3066"/>
        <v>FARHANA BINTI MUSTAPA</v>
      </c>
      <c r="W7533" t="str">
        <f t="shared" si="3067"/>
        <v>04-08-2020</v>
      </c>
      <c r="X7533" t="str">
        <f t="shared" si="3068"/>
        <v>RAZIMAH ANSAR AHMAD</v>
      </c>
      <c r="Y7533" t="str">
        <f t="shared" si="3069"/>
        <v>04-08-2020</v>
      </c>
      <c r="Z7533" t="str">
        <f>"COS10200804 1621"</f>
        <v>COS10200804 1621</v>
      </c>
    </row>
    <row r="7534" spans="1:26" x14ac:dyDescent="0.25">
      <c r="A7534" t="str">
        <f t="shared" si="3074"/>
        <v>04-08-2020 12:34:57</v>
      </c>
      <c r="B7534" t="str">
        <f>"0000803374"</f>
        <v>0000803374</v>
      </c>
      <c r="C7534" t="str">
        <f t="shared" si="3075"/>
        <v>0000803354</v>
      </c>
      <c r="D7534" t="str">
        <f t="shared" si="3059"/>
        <v>73185</v>
      </c>
      <c r="E7534" t="str">
        <f t="shared" si="3060"/>
        <v>KFH-OPERATIONS DEPARTMENT</v>
      </c>
      <c r="F7534" t="str">
        <f t="shared" si="3061"/>
        <v>IBG</v>
      </c>
      <c r="G7534" t="str">
        <f t="shared" si="3070"/>
        <v>Refund COSHARE 10</v>
      </c>
      <c r="H7534" s="2">
        <v>1970.35</v>
      </c>
      <c r="I7534" t="str">
        <f>"JAINAL  EDOL BIN SIMPUKAN"</f>
        <v>JAINAL  EDOL BIN SIMPUKAN</v>
      </c>
      <c r="J7534" t="str">
        <f t="shared" si="3073"/>
        <v>BANK SIMPANAN NASIONAL</v>
      </c>
      <c r="K7534" t="str">
        <f>"0510029895958543"</f>
        <v>0510029895958543</v>
      </c>
      <c r="L7534" t="str">
        <f t="shared" si="3078"/>
        <v>04-08-2020</v>
      </c>
      <c r="M7534" t="str">
        <f t="shared" si="3078"/>
        <v>04-08-2020</v>
      </c>
      <c r="N7534" t="str">
        <f t="shared" si="3062"/>
        <v>001105018356</v>
      </c>
      <c r="O7534" t="str">
        <f t="shared" si="3063"/>
        <v>MYR</v>
      </c>
      <c r="P7534" t="str">
        <f t="shared" si="3079"/>
        <v>NIL</v>
      </c>
      <c r="Q7534" t="str">
        <f t="shared" si="3079"/>
        <v>NIL</v>
      </c>
      <c r="R7534" t="str">
        <f t="shared" si="3076"/>
        <v>Accepted</v>
      </c>
      <c r="S7534" t="str">
        <f t="shared" si="3064"/>
        <v>Approved</v>
      </c>
      <c r="T7534" t="str">
        <f t="shared" si="3077"/>
        <v>10.20.8.188</v>
      </c>
      <c r="U7534" t="str">
        <f t="shared" si="3065"/>
        <v>AZRAD UMAR BIN SHAARI</v>
      </c>
      <c r="V7534" t="str">
        <f t="shared" si="3066"/>
        <v>FARHANA BINTI MUSTAPA</v>
      </c>
      <c r="W7534" t="str">
        <f t="shared" si="3067"/>
        <v>04-08-2020</v>
      </c>
      <c r="X7534" t="str">
        <f t="shared" si="3068"/>
        <v>RAZIMAH ANSAR AHMAD</v>
      </c>
      <c r="Y7534" t="str">
        <f t="shared" si="3069"/>
        <v>04-08-2020</v>
      </c>
      <c r="Z7534" t="str">
        <f>"COS10200804 1620"</f>
        <v>COS10200804 1620</v>
      </c>
    </row>
    <row r="7535" spans="1:26" x14ac:dyDescent="0.25">
      <c r="A7535" t="str">
        <f t="shared" si="3074"/>
        <v>04-08-2020 12:34:57</v>
      </c>
      <c r="B7535" t="str">
        <f>"0000803373"</f>
        <v>0000803373</v>
      </c>
      <c r="C7535" t="str">
        <f t="shared" si="3075"/>
        <v>0000803354</v>
      </c>
      <c r="D7535" t="str">
        <f t="shared" si="3059"/>
        <v>73185</v>
      </c>
      <c r="E7535" t="str">
        <f t="shared" si="3060"/>
        <v>KFH-OPERATIONS DEPARTMENT</v>
      </c>
      <c r="F7535" t="str">
        <f t="shared" si="3061"/>
        <v>IBG</v>
      </c>
      <c r="G7535" t="str">
        <f t="shared" si="3070"/>
        <v>Refund COSHARE 10</v>
      </c>
      <c r="H7535" s="2">
        <v>672</v>
      </c>
      <c r="I7535" t="str">
        <f>"JAIMIN BIN RAHMAN"</f>
        <v>JAIMIN BIN RAHMAN</v>
      </c>
      <c r="J7535" t="str">
        <f t="shared" si="3073"/>
        <v>BANK SIMPANAN NASIONAL</v>
      </c>
      <c r="K7535" t="str">
        <f>"1210629000017732"</f>
        <v>1210629000017732</v>
      </c>
      <c r="L7535" t="str">
        <f t="shared" si="3078"/>
        <v>04-08-2020</v>
      </c>
      <c r="M7535" t="str">
        <f t="shared" si="3078"/>
        <v>04-08-2020</v>
      </c>
      <c r="N7535" t="str">
        <f t="shared" si="3062"/>
        <v>001105018356</v>
      </c>
      <c r="O7535" t="str">
        <f t="shared" si="3063"/>
        <v>MYR</v>
      </c>
      <c r="P7535" t="str">
        <f t="shared" si="3079"/>
        <v>NIL</v>
      </c>
      <c r="Q7535" t="str">
        <f t="shared" si="3079"/>
        <v>NIL</v>
      </c>
      <c r="R7535" t="str">
        <f t="shared" si="3076"/>
        <v>Accepted</v>
      </c>
      <c r="S7535" t="str">
        <f t="shared" si="3064"/>
        <v>Approved</v>
      </c>
      <c r="T7535" t="str">
        <f t="shared" si="3077"/>
        <v>10.20.8.188</v>
      </c>
      <c r="U7535" t="str">
        <f t="shared" si="3065"/>
        <v>AZRAD UMAR BIN SHAARI</v>
      </c>
      <c r="V7535" t="str">
        <f t="shared" si="3066"/>
        <v>FARHANA BINTI MUSTAPA</v>
      </c>
      <c r="W7535" t="str">
        <f t="shared" si="3067"/>
        <v>04-08-2020</v>
      </c>
      <c r="X7535" t="str">
        <f t="shared" si="3068"/>
        <v>RAZIMAH ANSAR AHMAD</v>
      </c>
      <c r="Y7535" t="str">
        <f t="shared" si="3069"/>
        <v>04-08-2020</v>
      </c>
      <c r="Z7535" t="str">
        <f>"COS10200804 1619"</f>
        <v>COS10200804 1619</v>
      </c>
    </row>
    <row r="7536" spans="1:26" x14ac:dyDescent="0.25">
      <c r="A7536" t="str">
        <f t="shared" si="3074"/>
        <v>04-08-2020 12:34:57</v>
      </c>
      <c r="B7536" t="str">
        <f>"0000803372"</f>
        <v>0000803372</v>
      </c>
      <c r="C7536" t="str">
        <f t="shared" si="3075"/>
        <v>0000803354</v>
      </c>
      <c r="D7536" t="str">
        <f t="shared" si="3059"/>
        <v>73185</v>
      </c>
      <c r="E7536" t="str">
        <f t="shared" si="3060"/>
        <v>KFH-OPERATIONS DEPARTMENT</v>
      </c>
      <c r="F7536" t="str">
        <f t="shared" si="3061"/>
        <v>IBG</v>
      </c>
      <c r="G7536" t="str">
        <f t="shared" si="3070"/>
        <v>Refund COSHARE 10</v>
      </c>
      <c r="H7536" s="2">
        <v>949</v>
      </c>
      <c r="I7536" t="str">
        <f>"JAILANIH BIN DULIH"</f>
        <v>JAILANIH BIN DULIH</v>
      </c>
      <c r="J7536" t="str">
        <f t="shared" si="3073"/>
        <v>BANK SIMPANAN NASIONAL</v>
      </c>
      <c r="K7536" t="str">
        <f>"1210129000073193"</f>
        <v>1210129000073193</v>
      </c>
      <c r="L7536" t="str">
        <f t="shared" si="3078"/>
        <v>04-08-2020</v>
      </c>
      <c r="M7536" t="str">
        <f t="shared" si="3078"/>
        <v>04-08-2020</v>
      </c>
      <c r="N7536" t="str">
        <f t="shared" si="3062"/>
        <v>001105018356</v>
      </c>
      <c r="O7536" t="str">
        <f t="shared" si="3063"/>
        <v>MYR</v>
      </c>
      <c r="P7536" t="str">
        <f t="shared" si="3079"/>
        <v>NIL</v>
      </c>
      <c r="Q7536" t="str">
        <f t="shared" si="3079"/>
        <v>NIL</v>
      </c>
      <c r="R7536" t="str">
        <f t="shared" si="3076"/>
        <v>Accepted</v>
      </c>
      <c r="S7536" t="str">
        <f t="shared" si="3064"/>
        <v>Approved</v>
      </c>
      <c r="T7536" t="str">
        <f t="shared" si="3077"/>
        <v>10.20.8.188</v>
      </c>
      <c r="U7536" t="str">
        <f t="shared" si="3065"/>
        <v>AZRAD UMAR BIN SHAARI</v>
      </c>
      <c r="V7536" t="str">
        <f t="shared" si="3066"/>
        <v>FARHANA BINTI MUSTAPA</v>
      </c>
      <c r="W7536" t="str">
        <f t="shared" si="3067"/>
        <v>04-08-2020</v>
      </c>
      <c r="X7536" t="str">
        <f t="shared" si="3068"/>
        <v>RAZIMAH ANSAR AHMAD</v>
      </c>
      <c r="Y7536" t="str">
        <f t="shared" si="3069"/>
        <v>04-08-2020</v>
      </c>
      <c r="Z7536" t="str">
        <f>"COS10200804 1618"</f>
        <v>COS10200804 1618</v>
      </c>
    </row>
    <row r="7537" spans="1:26" x14ac:dyDescent="0.25">
      <c r="A7537" t="str">
        <f t="shared" si="3074"/>
        <v>04-08-2020 12:34:57</v>
      </c>
      <c r="B7537" t="str">
        <f>"0000803371"</f>
        <v>0000803371</v>
      </c>
      <c r="C7537" t="str">
        <f t="shared" si="3075"/>
        <v>0000803354</v>
      </c>
      <c r="D7537" t="str">
        <f t="shared" si="3059"/>
        <v>73185</v>
      </c>
      <c r="E7537" t="str">
        <f t="shared" si="3060"/>
        <v>KFH-OPERATIONS DEPARTMENT</v>
      </c>
      <c r="F7537" t="str">
        <f t="shared" si="3061"/>
        <v>IBG</v>
      </c>
      <c r="G7537" t="str">
        <f t="shared" si="3070"/>
        <v>Refund COSHARE 10</v>
      </c>
      <c r="H7537" s="2">
        <v>381.1</v>
      </c>
      <c r="I7537" t="str">
        <f>"JAILAM BINTI SERI  MASRI"</f>
        <v>JAILAM BINTI SERI  MASRI</v>
      </c>
      <c r="J7537" t="str">
        <f t="shared" si="3073"/>
        <v>BANK SIMPANAN NASIONAL</v>
      </c>
      <c r="K7537" t="str">
        <f>"1210829875963857"</f>
        <v>1210829875963857</v>
      </c>
      <c r="L7537" t="str">
        <f t="shared" si="3078"/>
        <v>04-08-2020</v>
      </c>
      <c r="M7537" t="str">
        <f t="shared" si="3078"/>
        <v>04-08-2020</v>
      </c>
      <c r="N7537" t="str">
        <f t="shared" si="3062"/>
        <v>001105018356</v>
      </c>
      <c r="O7537" t="str">
        <f t="shared" si="3063"/>
        <v>MYR</v>
      </c>
      <c r="P7537" t="str">
        <f t="shared" si="3079"/>
        <v>NIL</v>
      </c>
      <c r="Q7537" t="str">
        <f t="shared" si="3079"/>
        <v>NIL</v>
      </c>
      <c r="R7537" t="str">
        <f t="shared" si="3076"/>
        <v>Accepted</v>
      </c>
      <c r="S7537" t="str">
        <f t="shared" si="3064"/>
        <v>Approved</v>
      </c>
      <c r="T7537" t="str">
        <f t="shared" si="3077"/>
        <v>10.20.8.188</v>
      </c>
      <c r="U7537" t="str">
        <f t="shared" si="3065"/>
        <v>AZRAD UMAR BIN SHAARI</v>
      </c>
      <c r="V7537" t="str">
        <f t="shared" si="3066"/>
        <v>FARHANA BINTI MUSTAPA</v>
      </c>
      <c r="W7537" t="str">
        <f t="shared" si="3067"/>
        <v>04-08-2020</v>
      </c>
      <c r="X7537" t="str">
        <f t="shared" si="3068"/>
        <v>RAZIMAH ANSAR AHMAD</v>
      </c>
      <c r="Y7537" t="str">
        <f t="shared" si="3069"/>
        <v>04-08-2020</v>
      </c>
      <c r="Z7537" t="str">
        <f>"COS10200804 1617"</f>
        <v>COS10200804 1617</v>
      </c>
    </row>
    <row r="7538" spans="1:26" x14ac:dyDescent="0.25">
      <c r="A7538" t="str">
        <f t="shared" si="3074"/>
        <v>04-08-2020 12:34:57</v>
      </c>
      <c r="B7538" t="str">
        <f>"0000803370"</f>
        <v>0000803370</v>
      </c>
      <c r="C7538" t="str">
        <f t="shared" si="3075"/>
        <v>0000803354</v>
      </c>
      <c r="D7538" t="str">
        <f t="shared" si="3059"/>
        <v>73185</v>
      </c>
      <c r="E7538" t="str">
        <f t="shared" si="3060"/>
        <v>KFH-OPERATIONS DEPARTMENT</v>
      </c>
      <c r="F7538" t="str">
        <f t="shared" si="3061"/>
        <v>IBG</v>
      </c>
      <c r="G7538" t="str">
        <f t="shared" si="3070"/>
        <v>Refund COSHARE 10</v>
      </c>
      <c r="H7538" s="2">
        <v>228</v>
      </c>
      <c r="I7538" t="str">
        <f>"JACKY ANAK GERINANG"</f>
        <v>JACKY ANAK GERINANG</v>
      </c>
      <c r="J7538" t="str">
        <f t="shared" si="3073"/>
        <v>BANK SIMPANAN NASIONAL</v>
      </c>
      <c r="K7538" t="str">
        <f>"1312129000054814"</f>
        <v>1312129000054814</v>
      </c>
      <c r="L7538" t="str">
        <f t="shared" si="3078"/>
        <v>04-08-2020</v>
      </c>
      <c r="M7538" t="str">
        <f t="shared" si="3078"/>
        <v>04-08-2020</v>
      </c>
      <c r="N7538" t="str">
        <f t="shared" si="3062"/>
        <v>001105018356</v>
      </c>
      <c r="O7538" t="str">
        <f t="shared" si="3063"/>
        <v>MYR</v>
      </c>
      <c r="P7538" t="str">
        <f t="shared" si="3079"/>
        <v>NIL</v>
      </c>
      <c r="Q7538" t="str">
        <f t="shared" si="3079"/>
        <v>NIL</v>
      </c>
      <c r="R7538" t="str">
        <f t="shared" si="3076"/>
        <v>Accepted</v>
      </c>
      <c r="S7538" t="str">
        <f t="shared" si="3064"/>
        <v>Approved</v>
      </c>
      <c r="T7538" t="str">
        <f t="shared" si="3077"/>
        <v>10.20.8.188</v>
      </c>
      <c r="U7538" t="str">
        <f t="shared" si="3065"/>
        <v>AZRAD UMAR BIN SHAARI</v>
      </c>
      <c r="V7538" t="str">
        <f t="shared" si="3066"/>
        <v>FARHANA BINTI MUSTAPA</v>
      </c>
      <c r="W7538" t="str">
        <f t="shared" si="3067"/>
        <v>04-08-2020</v>
      </c>
      <c r="X7538" t="str">
        <f t="shared" si="3068"/>
        <v>RAZIMAH ANSAR AHMAD</v>
      </c>
      <c r="Y7538" t="str">
        <f t="shared" si="3069"/>
        <v>04-08-2020</v>
      </c>
      <c r="Z7538" t="str">
        <f>"COS10200804 1616"</f>
        <v>COS10200804 1616</v>
      </c>
    </row>
    <row r="7539" spans="1:26" x14ac:dyDescent="0.25">
      <c r="A7539" t="str">
        <f t="shared" si="3074"/>
        <v>04-08-2020 12:34:57</v>
      </c>
      <c r="B7539" t="str">
        <f>"0000803369"</f>
        <v>0000803369</v>
      </c>
      <c r="C7539" t="str">
        <f t="shared" si="3075"/>
        <v>0000803354</v>
      </c>
      <c r="D7539" t="str">
        <f t="shared" si="3059"/>
        <v>73185</v>
      </c>
      <c r="E7539" t="str">
        <f t="shared" si="3060"/>
        <v>KFH-OPERATIONS DEPARTMENT</v>
      </c>
      <c r="F7539" t="str">
        <f t="shared" si="3061"/>
        <v>IBG</v>
      </c>
      <c r="G7539" t="str">
        <f t="shared" si="3070"/>
        <v>Refund COSHARE 10</v>
      </c>
      <c r="H7539" s="2">
        <v>1442</v>
      </c>
      <c r="I7539" t="str">
        <f>"JACK BIN LABEH"</f>
        <v>JACK BIN LABEH</v>
      </c>
      <c r="J7539" t="str">
        <f t="shared" si="3073"/>
        <v>BANK SIMPANAN NASIONAL</v>
      </c>
      <c r="K7539" t="str">
        <f>"1210529000055886"</f>
        <v>1210529000055886</v>
      </c>
      <c r="L7539" t="str">
        <f t="shared" si="3078"/>
        <v>04-08-2020</v>
      </c>
      <c r="M7539" t="str">
        <f t="shared" si="3078"/>
        <v>04-08-2020</v>
      </c>
      <c r="N7539" t="str">
        <f t="shared" si="3062"/>
        <v>001105018356</v>
      </c>
      <c r="O7539" t="str">
        <f t="shared" si="3063"/>
        <v>MYR</v>
      </c>
      <c r="P7539" t="str">
        <f t="shared" si="3079"/>
        <v>NIL</v>
      </c>
      <c r="Q7539" t="str">
        <f t="shared" si="3079"/>
        <v>NIL</v>
      </c>
      <c r="R7539" t="str">
        <f t="shared" si="3076"/>
        <v>Accepted</v>
      </c>
      <c r="S7539" t="str">
        <f t="shared" si="3064"/>
        <v>Approved</v>
      </c>
      <c r="T7539" t="str">
        <f t="shared" si="3077"/>
        <v>10.20.8.188</v>
      </c>
      <c r="U7539" t="str">
        <f t="shared" si="3065"/>
        <v>AZRAD UMAR BIN SHAARI</v>
      </c>
      <c r="V7539" t="str">
        <f t="shared" si="3066"/>
        <v>FARHANA BINTI MUSTAPA</v>
      </c>
      <c r="W7539" t="str">
        <f t="shared" si="3067"/>
        <v>04-08-2020</v>
      </c>
      <c r="X7539" t="str">
        <f t="shared" si="3068"/>
        <v>RAZIMAH ANSAR AHMAD</v>
      </c>
      <c r="Y7539" t="str">
        <f t="shared" si="3069"/>
        <v>04-08-2020</v>
      </c>
      <c r="Z7539" t="str">
        <f>"COS10200804 1615"</f>
        <v>COS10200804 1615</v>
      </c>
    </row>
    <row r="7540" spans="1:26" x14ac:dyDescent="0.25">
      <c r="A7540" t="str">
        <f t="shared" si="3074"/>
        <v>04-08-2020 12:34:57</v>
      </c>
      <c r="B7540" t="str">
        <f>"0000803368"</f>
        <v>0000803368</v>
      </c>
      <c r="C7540" t="str">
        <f t="shared" si="3075"/>
        <v>0000803354</v>
      </c>
      <c r="D7540" t="str">
        <f t="shared" si="3059"/>
        <v>73185</v>
      </c>
      <c r="E7540" t="str">
        <f t="shared" si="3060"/>
        <v>KFH-OPERATIONS DEPARTMENT</v>
      </c>
      <c r="F7540" t="str">
        <f t="shared" si="3061"/>
        <v>IBG</v>
      </c>
      <c r="G7540" t="str">
        <f t="shared" si="3070"/>
        <v>Refund COSHARE 10</v>
      </c>
      <c r="H7540" s="2">
        <v>289</v>
      </c>
      <c r="I7540" t="str">
        <f>"IZZAHNI BINTI AHMAD"</f>
        <v>IZZAHNI BINTI AHMAD</v>
      </c>
      <c r="J7540" t="str">
        <f t="shared" si="3073"/>
        <v>BANK SIMPANAN NASIONAL</v>
      </c>
      <c r="K7540" t="str">
        <f>"0210029875360977"</f>
        <v>0210029875360977</v>
      </c>
      <c r="L7540" t="str">
        <f t="shared" si="3078"/>
        <v>04-08-2020</v>
      </c>
      <c r="M7540" t="str">
        <f t="shared" si="3078"/>
        <v>04-08-2020</v>
      </c>
      <c r="N7540" t="str">
        <f t="shared" si="3062"/>
        <v>001105018356</v>
      </c>
      <c r="O7540" t="str">
        <f t="shared" si="3063"/>
        <v>MYR</v>
      </c>
      <c r="P7540" t="str">
        <f t="shared" si="3079"/>
        <v>NIL</v>
      </c>
      <c r="Q7540" t="str">
        <f t="shared" si="3079"/>
        <v>NIL</v>
      </c>
      <c r="R7540" t="str">
        <f t="shared" si="3076"/>
        <v>Accepted</v>
      </c>
      <c r="S7540" t="str">
        <f t="shared" si="3064"/>
        <v>Approved</v>
      </c>
      <c r="T7540" t="str">
        <f t="shared" si="3077"/>
        <v>10.20.8.188</v>
      </c>
      <c r="U7540" t="str">
        <f t="shared" si="3065"/>
        <v>AZRAD UMAR BIN SHAARI</v>
      </c>
      <c r="V7540" t="str">
        <f t="shared" si="3066"/>
        <v>FARHANA BINTI MUSTAPA</v>
      </c>
      <c r="W7540" t="str">
        <f t="shared" si="3067"/>
        <v>04-08-2020</v>
      </c>
      <c r="X7540" t="str">
        <f t="shared" si="3068"/>
        <v>RAZIMAH ANSAR AHMAD</v>
      </c>
      <c r="Y7540" t="str">
        <f t="shared" si="3069"/>
        <v>04-08-2020</v>
      </c>
      <c r="Z7540" t="str">
        <f>"COS10200804 1614"</f>
        <v>COS10200804 1614</v>
      </c>
    </row>
    <row r="7541" spans="1:26" x14ac:dyDescent="0.25">
      <c r="A7541" t="str">
        <f t="shared" si="3074"/>
        <v>04-08-2020 12:34:57</v>
      </c>
      <c r="B7541" t="str">
        <f>"0000803367"</f>
        <v>0000803367</v>
      </c>
      <c r="C7541" t="str">
        <f t="shared" si="3075"/>
        <v>0000803354</v>
      </c>
      <c r="D7541" t="str">
        <f t="shared" si="3059"/>
        <v>73185</v>
      </c>
      <c r="E7541" t="str">
        <f t="shared" si="3060"/>
        <v>KFH-OPERATIONS DEPARTMENT</v>
      </c>
      <c r="F7541" t="str">
        <f t="shared" si="3061"/>
        <v>IBG</v>
      </c>
      <c r="G7541" t="str">
        <f t="shared" si="3070"/>
        <v>Refund COSHARE 10</v>
      </c>
      <c r="H7541" s="2">
        <v>190.55</v>
      </c>
      <c r="I7541" t="str">
        <f>"IZA BINTI JAMALUDIN"</f>
        <v>IZA BINTI JAMALUDIN</v>
      </c>
      <c r="J7541" t="str">
        <f t="shared" si="3073"/>
        <v>BANK SIMPANAN NASIONAL</v>
      </c>
      <c r="K7541" t="str">
        <f>"1210041000262597"</f>
        <v>1210041000262597</v>
      </c>
      <c r="L7541" t="str">
        <f t="shared" si="3078"/>
        <v>04-08-2020</v>
      </c>
      <c r="M7541" t="str">
        <f t="shared" si="3078"/>
        <v>04-08-2020</v>
      </c>
      <c r="N7541" t="str">
        <f t="shared" si="3062"/>
        <v>001105018356</v>
      </c>
      <c r="O7541" t="str">
        <f t="shared" si="3063"/>
        <v>MYR</v>
      </c>
      <c r="P7541" t="str">
        <f t="shared" si="3079"/>
        <v>NIL</v>
      </c>
      <c r="Q7541" t="str">
        <f t="shared" si="3079"/>
        <v>NIL</v>
      </c>
      <c r="R7541" t="str">
        <f t="shared" si="3076"/>
        <v>Accepted</v>
      </c>
      <c r="S7541" t="str">
        <f t="shared" si="3064"/>
        <v>Approved</v>
      </c>
      <c r="T7541" t="str">
        <f t="shared" si="3077"/>
        <v>10.20.8.188</v>
      </c>
      <c r="U7541" t="str">
        <f t="shared" si="3065"/>
        <v>AZRAD UMAR BIN SHAARI</v>
      </c>
      <c r="V7541" t="str">
        <f t="shared" si="3066"/>
        <v>FARHANA BINTI MUSTAPA</v>
      </c>
      <c r="W7541" t="str">
        <f t="shared" si="3067"/>
        <v>04-08-2020</v>
      </c>
      <c r="X7541" t="str">
        <f t="shared" si="3068"/>
        <v>RAZIMAH ANSAR AHMAD</v>
      </c>
      <c r="Y7541" t="str">
        <f t="shared" si="3069"/>
        <v>04-08-2020</v>
      </c>
      <c r="Z7541" t="str">
        <f>"COS10200804 1613"</f>
        <v>COS10200804 1613</v>
      </c>
    </row>
    <row r="7542" spans="1:26" x14ac:dyDescent="0.25">
      <c r="A7542" t="str">
        <f t="shared" si="3074"/>
        <v>04-08-2020 12:34:57</v>
      </c>
      <c r="B7542" t="str">
        <f>"0000803366"</f>
        <v>0000803366</v>
      </c>
      <c r="C7542" t="str">
        <f t="shared" si="3075"/>
        <v>0000803354</v>
      </c>
      <c r="D7542" t="str">
        <f t="shared" si="3059"/>
        <v>73185</v>
      </c>
      <c r="E7542" t="str">
        <f t="shared" si="3060"/>
        <v>KFH-OPERATIONS DEPARTMENT</v>
      </c>
      <c r="F7542" t="str">
        <f t="shared" si="3061"/>
        <v>IBG</v>
      </c>
      <c r="G7542" t="str">
        <f t="shared" si="3070"/>
        <v>Refund COSHARE 10</v>
      </c>
      <c r="H7542" s="2">
        <v>797</v>
      </c>
      <c r="I7542" t="str">
        <f>"IZA BINTI JAMALUDIN"</f>
        <v>IZA BINTI JAMALUDIN</v>
      </c>
      <c r="J7542" t="str">
        <f t="shared" si="3073"/>
        <v>BANK SIMPANAN NASIONAL</v>
      </c>
      <c r="K7542" t="str">
        <f>"1210041000262597"</f>
        <v>1210041000262597</v>
      </c>
      <c r="L7542" t="str">
        <f t="shared" si="3078"/>
        <v>04-08-2020</v>
      </c>
      <c r="M7542" t="str">
        <f t="shared" si="3078"/>
        <v>04-08-2020</v>
      </c>
      <c r="N7542" t="str">
        <f t="shared" si="3062"/>
        <v>001105018356</v>
      </c>
      <c r="O7542" t="str">
        <f t="shared" si="3063"/>
        <v>MYR</v>
      </c>
      <c r="P7542" t="str">
        <f t="shared" si="3079"/>
        <v>NIL</v>
      </c>
      <c r="Q7542" t="str">
        <f t="shared" si="3079"/>
        <v>NIL</v>
      </c>
      <c r="R7542" t="str">
        <f t="shared" si="3076"/>
        <v>Accepted</v>
      </c>
      <c r="S7542" t="str">
        <f t="shared" si="3064"/>
        <v>Approved</v>
      </c>
      <c r="T7542" t="str">
        <f t="shared" si="3077"/>
        <v>10.20.8.188</v>
      </c>
      <c r="U7542" t="str">
        <f t="shared" si="3065"/>
        <v>AZRAD UMAR BIN SHAARI</v>
      </c>
      <c r="V7542" t="str">
        <f t="shared" si="3066"/>
        <v>FARHANA BINTI MUSTAPA</v>
      </c>
      <c r="W7542" t="str">
        <f t="shared" si="3067"/>
        <v>04-08-2020</v>
      </c>
      <c r="X7542" t="str">
        <f t="shared" si="3068"/>
        <v>RAZIMAH ANSAR AHMAD</v>
      </c>
      <c r="Y7542" t="str">
        <f t="shared" si="3069"/>
        <v>04-08-2020</v>
      </c>
      <c r="Z7542" t="str">
        <f>"COS10200804 1612"</f>
        <v>COS10200804 1612</v>
      </c>
    </row>
    <row r="7543" spans="1:26" x14ac:dyDescent="0.25">
      <c r="A7543" t="str">
        <f t="shared" si="3074"/>
        <v>04-08-2020 12:34:57</v>
      </c>
      <c r="B7543" t="str">
        <f>"0000803365"</f>
        <v>0000803365</v>
      </c>
      <c r="C7543" t="str">
        <f t="shared" si="3075"/>
        <v>0000803354</v>
      </c>
      <c r="D7543" t="str">
        <f t="shared" si="3059"/>
        <v>73185</v>
      </c>
      <c r="E7543" t="str">
        <f t="shared" si="3060"/>
        <v>KFH-OPERATIONS DEPARTMENT</v>
      </c>
      <c r="F7543" t="str">
        <f t="shared" si="3061"/>
        <v>IBG</v>
      </c>
      <c r="G7543" t="str">
        <f t="shared" si="3070"/>
        <v>Refund COSHARE 10</v>
      </c>
      <c r="H7543" s="2">
        <v>204.65</v>
      </c>
      <c r="I7543" t="str">
        <f>"ISMAWANI BT CHE ISMAIL"</f>
        <v>ISMAWANI BT CHE ISMAIL</v>
      </c>
      <c r="J7543" t="str">
        <f t="shared" si="3073"/>
        <v>BANK SIMPANAN NASIONAL</v>
      </c>
      <c r="K7543" t="str">
        <f>"0310829822539501"</f>
        <v>0310829822539501</v>
      </c>
      <c r="L7543" t="str">
        <f t="shared" si="3078"/>
        <v>04-08-2020</v>
      </c>
      <c r="M7543" t="str">
        <f t="shared" si="3078"/>
        <v>04-08-2020</v>
      </c>
      <c r="N7543" t="str">
        <f t="shared" si="3062"/>
        <v>001105018356</v>
      </c>
      <c r="O7543" t="str">
        <f t="shared" si="3063"/>
        <v>MYR</v>
      </c>
      <c r="P7543" t="str">
        <f t="shared" si="3079"/>
        <v>NIL</v>
      </c>
      <c r="Q7543" t="str">
        <f t="shared" si="3079"/>
        <v>NIL</v>
      </c>
      <c r="R7543" t="str">
        <f t="shared" si="3076"/>
        <v>Accepted</v>
      </c>
      <c r="S7543" t="str">
        <f t="shared" si="3064"/>
        <v>Approved</v>
      </c>
      <c r="T7543" t="str">
        <f t="shared" si="3077"/>
        <v>10.20.8.188</v>
      </c>
      <c r="U7543" t="str">
        <f t="shared" si="3065"/>
        <v>AZRAD UMAR BIN SHAARI</v>
      </c>
      <c r="V7543" t="str">
        <f t="shared" si="3066"/>
        <v>FARHANA BINTI MUSTAPA</v>
      </c>
      <c r="W7543" t="str">
        <f t="shared" si="3067"/>
        <v>04-08-2020</v>
      </c>
      <c r="X7543" t="str">
        <f t="shared" si="3068"/>
        <v>RAZIMAH ANSAR AHMAD</v>
      </c>
      <c r="Y7543" t="str">
        <f t="shared" si="3069"/>
        <v>04-08-2020</v>
      </c>
      <c r="Z7543" t="str">
        <f>"COS10200804 1611"</f>
        <v>COS10200804 1611</v>
      </c>
    </row>
    <row r="7544" spans="1:26" x14ac:dyDescent="0.25">
      <c r="A7544" t="str">
        <f t="shared" si="3074"/>
        <v>04-08-2020 12:34:57</v>
      </c>
      <c r="B7544" t="str">
        <f>"0000803364"</f>
        <v>0000803364</v>
      </c>
      <c r="C7544" t="str">
        <f t="shared" si="3075"/>
        <v>0000803354</v>
      </c>
      <c r="D7544" t="str">
        <f t="shared" si="3059"/>
        <v>73185</v>
      </c>
      <c r="E7544" t="str">
        <f t="shared" si="3060"/>
        <v>KFH-OPERATIONS DEPARTMENT</v>
      </c>
      <c r="F7544" t="str">
        <f t="shared" si="3061"/>
        <v>IBG</v>
      </c>
      <c r="G7544" t="str">
        <f t="shared" si="3070"/>
        <v>Refund COSHARE 10</v>
      </c>
      <c r="H7544" s="2">
        <v>505.6</v>
      </c>
      <c r="I7544" t="str">
        <f>"ISMANDI BIN BELADI"</f>
        <v>ISMANDI BIN BELADI</v>
      </c>
      <c r="J7544" t="str">
        <f t="shared" si="3073"/>
        <v>BANK SIMPANAN NASIONAL</v>
      </c>
      <c r="K7544" t="str">
        <f>"1410029812104159"</f>
        <v>1410029812104159</v>
      </c>
      <c r="L7544" t="str">
        <f t="shared" si="3078"/>
        <v>04-08-2020</v>
      </c>
      <c r="M7544" t="str">
        <f t="shared" si="3078"/>
        <v>04-08-2020</v>
      </c>
      <c r="N7544" t="str">
        <f t="shared" si="3062"/>
        <v>001105018356</v>
      </c>
      <c r="O7544" t="str">
        <f t="shared" si="3063"/>
        <v>MYR</v>
      </c>
      <c r="P7544" t="str">
        <f t="shared" si="3079"/>
        <v>NIL</v>
      </c>
      <c r="Q7544" t="str">
        <f t="shared" si="3079"/>
        <v>NIL</v>
      </c>
      <c r="R7544" t="str">
        <f t="shared" si="3076"/>
        <v>Accepted</v>
      </c>
      <c r="S7544" t="str">
        <f t="shared" si="3064"/>
        <v>Approved</v>
      </c>
      <c r="T7544" t="str">
        <f t="shared" si="3077"/>
        <v>10.20.8.188</v>
      </c>
      <c r="U7544" t="str">
        <f t="shared" si="3065"/>
        <v>AZRAD UMAR BIN SHAARI</v>
      </c>
      <c r="V7544" t="str">
        <f t="shared" si="3066"/>
        <v>FARHANA BINTI MUSTAPA</v>
      </c>
      <c r="W7544" t="str">
        <f t="shared" si="3067"/>
        <v>04-08-2020</v>
      </c>
      <c r="X7544" t="str">
        <f t="shared" si="3068"/>
        <v>RAZIMAH ANSAR AHMAD</v>
      </c>
      <c r="Y7544" t="str">
        <f t="shared" si="3069"/>
        <v>04-08-2020</v>
      </c>
      <c r="Z7544" t="str">
        <f>"COS10200804 1610"</f>
        <v>COS10200804 1610</v>
      </c>
    </row>
    <row r="7545" spans="1:26" x14ac:dyDescent="0.25">
      <c r="A7545" t="str">
        <f t="shared" si="3074"/>
        <v>04-08-2020 12:34:57</v>
      </c>
      <c r="B7545" t="str">
        <f>"0000803363"</f>
        <v>0000803363</v>
      </c>
      <c r="C7545" t="str">
        <f t="shared" si="3075"/>
        <v>0000803354</v>
      </c>
      <c r="D7545" t="str">
        <f t="shared" si="3059"/>
        <v>73185</v>
      </c>
      <c r="E7545" t="str">
        <f t="shared" si="3060"/>
        <v>KFH-OPERATIONS DEPARTMENT</v>
      </c>
      <c r="F7545" t="str">
        <f t="shared" si="3061"/>
        <v>IBG</v>
      </c>
      <c r="G7545" t="str">
        <f t="shared" si="3070"/>
        <v>Refund COSHARE 10</v>
      </c>
      <c r="H7545" s="2">
        <v>578.15</v>
      </c>
      <c r="I7545" t="str">
        <f>"ISMAIL BIN ABDOL GHANI"</f>
        <v>ISMAIL BIN ABDOL GHANI</v>
      </c>
      <c r="J7545" t="str">
        <f t="shared" si="3073"/>
        <v>BANK SIMPANAN NASIONAL</v>
      </c>
      <c r="K7545" t="str">
        <f>"1412829881515627"</f>
        <v>1412829881515627</v>
      </c>
      <c r="L7545" t="str">
        <f t="shared" si="3078"/>
        <v>04-08-2020</v>
      </c>
      <c r="M7545" t="str">
        <f t="shared" si="3078"/>
        <v>04-08-2020</v>
      </c>
      <c r="N7545" t="str">
        <f t="shared" si="3062"/>
        <v>001105018356</v>
      </c>
      <c r="O7545" t="str">
        <f t="shared" si="3063"/>
        <v>MYR</v>
      </c>
      <c r="P7545" t="str">
        <f t="shared" si="3079"/>
        <v>NIL</v>
      </c>
      <c r="Q7545" t="str">
        <f t="shared" si="3079"/>
        <v>NIL</v>
      </c>
      <c r="R7545" t="str">
        <f t="shared" si="3076"/>
        <v>Accepted</v>
      </c>
      <c r="S7545" t="str">
        <f t="shared" si="3064"/>
        <v>Approved</v>
      </c>
      <c r="T7545" t="str">
        <f t="shared" si="3077"/>
        <v>10.20.8.188</v>
      </c>
      <c r="U7545" t="str">
        <f t="shared" si="3065"/>
        <v>AZRAD UMAR BIN SHAARI</v>
      </c>
      <c r="V7545" t="str">
        <f t="shared" si="3066"/>
        <v>FARHANA BINTI MUSTAPA</v>
      </c>
      <c r="W7545" t="str">
        <f t="shared" si="3067"/>
        <v>04-08-2020</v>
      </c>
      <c r="X7545" t="str">
        <f t="shared" si="3068"/>
        <v>RAZIMAH ANSAR AHMAD</v>
      </c>
      <c r="Y7545" t="str">
        <f t="shared" si="3069"/>
        <v>04-08-2020</v>
      </c>
      <c r="Z7545" t="str">
        <f>"COS10200804 1609"</f>
        <v>COS10200804 1609</v>
      </c>
    </row>
    <row r="7546" spans="1:26" x14ac:dyDescent="0.25">
      <c r="A7546" t="str">
        <f t="shared" ref="A7546:A7553" si="3080">"04-08-2020 12:34:57"</f>
        <v>04-08-2020 12:34:57</v>
      </c>
      <c r="B7546" t="str">
        <f>"0000803362"</f>
        <v>0000803362</v>
      </c>
      <c r="C7546" t="str">
        <f t="shared" ref="C7546:C7553" si="3081">"0000803354"</f>
        <v>0000803354</v>
      </c>
      <c r="D7546" t="str">
        <f t="shared" si="3059"/>
        <v>73185</v>
      </c>
      <c r="E7546" t="str">
        <f t="shared" si="3060"/>
        <v>KFH-OPERATIONS DEPARTMENT</v>
      </c>
      <c r="F7546" t="str">
        <f t="shared" si="3061"/>
        <v>IBG</v>
      </c>
      <c r="G7546" t="str">
        <f t="shared" si="3070"/>
        <v>Refund COSHARE 10</v>
      </c>
      <c r="H7546" s="2">
        <v>304</v>
      </c>
      <c r="I7546" t="str">
        <f>"ISMADI BIN ISMAIL"</f>
        <v>ISMADI BIN ISMAIL</v>
      </c>
      <c r="J7546" t="str">
        <f t="shared" si="3073"/>
        <v>BANK SIMPANAN NASIONAL</v>
      </c>
      <c r="K7546" t="str">
        <f>"1210329000040471"</f>
        <v>1210329000040471</v>
      </c>
      <c r="L7546" t="str">
        <f t="shared" si="3078"/>
        <v>04-08-2020</v>
      </c>
      <c r="M7546" t="str">
        <f t="shared" si="3078"/>
        <v>04-08-2020</v>
      </c>
      <c r="N7546" t="str">
        <f t="shared" si="3062"/>
        <v>001105018356</v>
      </c>
      <c r="O7546" t="str">
        <f t="shared" si="3063"/>
        <v>MYR</v>
      </c>
      <c r="P7546" t="str">
        <f t="shared" si="3079"/>
        <v>NIL</v>
      </c>
      <c r="Q7546" t="str">
        <f t="shared" si="3079"/>
        <v>NIL</v>
      </c>
      <c r="R7546" t="str">
        <f t="shared" si="3076"/>
        <v>Accepted</v>
      </c>
      <c r="S7546" t="str">
        <f t="shared" si="3064"/>
        <v>Approved</v>
      </c>
      <c r="T7546" t="str">
        <f t="shared" si="3077"/>
        <v>10.20.8.188</v>
      </c>
      <c r="U7546" t="str">
        <f t="shared" si="3065"/>
        <v>AZRAD UMAR BIN SHAARI</v>
      </c>
      <c r="V7546" t="str">
        <f t="shared" si="3066"/>
        <v>FARHANA BINTI MUSTAPA</v>
      </c>
      <c r="W7546" t="str">
        <f t="shared" si="3067"/>
        <v>04-08-2020</v>
      </c>
      <c r="X7546" t="str">
        <f t="shared" si="3068"/>
        <v>RAZIMAH ANSAR AHMAD</v>
      </c>
      <c r="Y7546" t="str">
        <f t="shared" si="3069"/>
        <v>04-08-2020</v>
      </c>
      <c r="Z7546" t="str">
        <f>"COS10200804 1608"</f>
        <v>COS10200804 1608</v>
      </c>
    </row>
    <row r="7547" spans="1:26" x14ac:dyDescent="0.25">
      <c r="A7547" t="str">
        <f t="shared" si="3080"/>
        <v>04-08-2020 12:34:57</v>
      </c>
      <c r="B7547" t="str">
        <f>"0000803361"</f>
        <v>0000803361</v>
      </c>
      <c r="C7547" t="str">
        <f t="shared" si="3081"/>
        <v>0000803354</v>
      </c>
      <c r="D7547" t="str">
        <f t="shared" si="3059"/>
        <v>73185</v>
      </c>
      <c r="E7547" t="str">
        <f t="shared" si="3060"/>
        <v>KFH-OPERATIONS DEPARTMENT</v>
      </c>
      <c r="F7547" t="str">
        <f t="shared" si="3061"/>
        <v>IBG</v>
      </c>
      <c r="G7547" t="str">
        <f t="shared" si="3070"/>
        <v>Refund COSHARE 10</v>
      </c>
      <c r="H7547" s="2">
        <v>671.6</v>
      </c>
      <c r="I7547" t="str">
        <f>"ISKANDAR BIN SHAFIEE"</f>
        <v>ISKANDAR BIN SHAFIEE</v>
      </c>
      <c r="J7547" t="str">
        <f t="shared" si="3073"/>
        <v>BANK SIMPANAN NASIONAL</v>
      </c>
      <c r="K7547" t="str">
        <f>"0114729000367498"</f>
        <v>0114729000367498</v>
      </c>
      <c r="L7547" t="str">
        <f t="shared" ref="L7547:M7566" si="3082">"04-08-2020"</f>
        <v>04-08-2020</v>
      </c>
      <c r="M7547" t="str">
        <f t="shared" si="3082"/>
        <v>04-08-2020</v>
      </c>
      <c r="N7547" t="str">
        <f t="shared" si="3062"/>
        <v>001105018356</v>
      </c>
      <c r="O7547" t="str">
        <f t="shared" si="3063"/>
        <v>MYR</v>
      </c>
      <c r="P7547" t="str">
        <f t="shared" ref="P7547:Q7566" si="3083">"NIL"</f>
        <v>NIL</v>
      </c>
      <c r="Q7547" t="str">
        <f t="shared" si="3083"/>
        <v>NIL</v>
      </c>
      <c r="R7547" t="str">
        <f t="shared" si="3076"/>
        <v>Accepted</v>
      </c>
      <c r="S7547" t="str">
        <f t="shared" si="3064"/>
        <v>Approved</v>
      </c>
      <c r="T7547" t="str">
        <f t="shared" si="3077"/>
        <v>10.20.8.188</v>
      </c>
      <c r="U7547" t="str">
        <f t="shared" si="3065"/>
        <v>AZRAD UMAR BIN SHAARI</v>
      </c>
      <c r="V7547" t="str">
        <f t="shared" si="3066"/>
        <v>FARHANA BINTI MUSTAPA</v>
      </c>
      <c r="W7547" t="str">
        <f t="shared" si="3067"/>
        <v>04-08-2020</v>
      </c>
      <c r="X7547" t="str">
        <f t="shared" si="3068"/>
        <v>RAZIMAH ANSAR AHMAD</v>
      </c>
      <c r="Y7547" t="str">
        <f t="shared" si="3069"/>
        <v>04-08-2020</v>
      </c>
      <c r="Z7547" t="str">
        <f>"COS10200804 1607"</f>
        <v>COS10200804 1607</v>
      </c>
    </row>
    <row r="7548" spans="1:26" x14ac:dyDescent="0.25">
      <c r="A7548" t="str">
        <f t="shared" si="3080"/>
        <v>04-08-2020 12:34:57</v>
      </c>
      <c r="B7548" t="str">
        <f>"0000803360"</f>
        <v>0000803360</v>
      </c>
      <c r="C7548" t="str">
        <f t="shared" si="3081"/>
        <v>0000803354</v>
      </c>
      <c r="D7548" t="str">
        <f t="shared" si="3059"/>
        <v>73185</v>
      </c>
      <c r="E7548" t="str">
        <f t="shared" si="3060"/>
        <v>KFH-OPERATIONS DEPARTMENT</v>
      </c>
      <c r="F7548" t="str">
        <f t="shared" si="3061"/>
        <v>IBG</v>
      </c>
      <c r="G7548" t="str">
        <f t="shared" si="3070"/>
        <v>Refund COSHARE 10</v>
      </c>
      <c r="H7548" s="2">
        <v>537.29999999999995</v>
      </c>
      <c r="I7548" t="str">
        <f>"INTAN SURAYA BINTI SAHARIMIN"</f>
        <v>INTAN SURAYA BINTI SAHARIMIN</v>
      </c>
      <c r="J7548" t="str">
        <f t="shared" si="3073"/>
        <v>BANK SIMPANAN NASIONAL</v>
      </c>
      <c r="K7548" t="str">
        <f>"0890129000074101"</f>
        <v>0890129000074101</v>
      </c>
      <c r="L7548" t="str">
        <f t="shared" si="3082"/>
        <v>04-08-2020</v>
      </c>
      <c r="M7548" t="str">
        <f t="shared" si="3082"/>
        <v>04-08-2020</v>
      </c>
      <c r="N7548" t="str">
        <f t="shared" si="3062"/>
        <v>001105018356</v>
      </c>
      <c r="O7548" t="str">
        <f t="shared" si="3063"/>
        <v>MYR</v>
      </c>
      <c r="P7548" t="str">
        <f t="shared" si="3083"/>
        <v>NIL</v>
      </c>
      <c r="Q7548" t="str">
        <f t="shared" si="3083"/>
        <v>NIL</v>
      </c>
      <c r="R7548" t="str">
        <f t="shared" si="3076"/>
        <v>Accepted</v>
      </c>
      <c r="S7548" t="str">
        <f t="shared" si="3064"/>
        <v>Approved</v>
      </c>
      <c r="T7548" t="str">
        <f t="shared" si="3077"/>
        <v>10.20.8.188</v>
      </c>
      <c r="U7548" t="str">
        <f t="shared" si="3065"/>
        <v>AZRAD UMAR BIN SHAARI</v>
      </c>
      <c r="V7548" t="str">
        <f t="shared" si="3066"/>
        <v>FARHANA BINTI MUSTAPA</v>
      </c>
      <c r="W7548" t="str">
        <f t="shared" si="3067"/>
        <v>04-08-2020</v>
      </c>
      <c r="X7548" t="str">
        <f t="shared" si="3068"/>
        <v>RAZIMAH ANSAR AHMAD</v>
      </c>
      <c r="Y7548" t="str">
        <f t="shared" si="3069"/>
        <v>04-08-2020</v>
      </c>
      <c r="Z7548" t="str">
        <f>"COS10200804 1606"</f>
        <v>COS10200804 1606</v>
      </c>
    </row>
    <row r="7549" spans="1:26" x14ac:dyDescent="0.25">
      <c r="A7549" t="str">
        <f t="shared" si="3080"/>
        <v>04-08-2020 12:34:57</v>
      </c>
      <c r="B7549" t="str">
        <f>"0000803359"</f>
        <v>0000803359</v>
      </c>
      <c r="C7549" t="str">
        <f t="shared" si="3081"/>
        <v>0000803354</v>
      </c>
      <c r="D7549" t="str">
        <f t="shared" si="3059"/>
        <v>73185</v>
      </c>
      <c r="E7549" t="str">
        <f t="shared" si="3060"/>
        <v>KFH-OPERATIONS DEPARTMENT</v>
      </c>
      <c r="F7549" t="str">
        <f t="shared" si="3061"/>
        <v>IBG</v>
      </c>
      <c r="G7549" t="str">
        <f t="shared" si="3070"/>
        <v>Refund COSHARE 10</v>
      </c>
      <c r="H7549" s="2">
        <v>713.6</v>
      </c>
      <c r="I7549" t="str">
        <f>"INDOTANG BINTI MUSA"</f>
        <v>INDOTANG BINTI MUSA</v>
      </c>
      <c r="J7549" t="str">
        <f t="shared" si="3073"/>
        <v>BANK SIMPANAN NASIONAL</v>
      </c>
      <c r="K7549" t="str">
        <f>"1212429000115538"</f>
        <v>1212429000115538</v>
      </c>
      <c r="L7549" t="str">
        <f t="shared" si="3082"/>
        <v>04-08-2020</v>
      </c>
      <c r="M7549" t="str">
        <f t="shared" si="3082"/>
        <v>04-08-2020</v>
      </c>
      <c r="N7549" t="str">
        <f t="shared" si="3062"/>
        <v>001105018356</v>
      </c>
      <c r="O7549" t="str">
        <f t="shared" si="3063"/>
        <v>MYR</v>
      </c>
      <c r="P7549" t="str">
        <f t="shared" si="3083"/>
        <v>NIL</v>
      </c>
      <c r="Q7549" t="str">
        <f t="shared" si="3083"/>
        <v>NIL</v>
      </c>
      <c r="R7549" t="str">
        <f t="shared" si="3076"/>
        <v>Accepted</v>
      </c>
      <c r="S7549" t="str">
        <f t="shared" si="3064"/>
        <v>Approved</v>
      </c>
      <c r="T7549" t="str">
        <f t="shared" si="3077"/>
        <v>10.20.8.188</v>
      </c>
      <c r="U7549" t="str">
        <f t="shared" si="3065"/>
        <v>AZRAD UMAR BIN SHAARI</v>
      </c>
      <c r="V7549" t="str">
        <f t="shared" si="3066"/>
        <v>FARHANA BINTI MUSTAPA</v>
      </c>
      <c r="W7549" t="str">
        <f t="shared" si="3067"/>
        <v>04-08-2020</v>
      </c>
      <c r="X7549" t="str">
        <f t="shared" si="3068"/>
        <v>RAZIMAH ANSAR AHMAD</v>
      </c>
      <c r="Y7549" t="str">
        <f t="shared" si="3069"/>
        <v>04-08-2020</v>
      </c>
      <c r="Z7549" t="str">
        <f>"COS10200804 1605"</f>
        <v>COS10200804 1605</v>
      </c>
    </row>
    <row r="7550" spans="1:26" x14ac:dyDescent="0.25">
      <c r="A7550" t="str">
        <f t="shared" si="3080"/>
        <v>04-08-2020 12:34:57</v>
      </c>
      <c r="B7550" t="str">
        <f>"0000803358"</f>
        <v>0000803358</v>
      </c>
      <c r="C7550" t="str">
        <f t="shared" si="3081"/>
        <v>0000803354</v>
      </c>
      <c r="D7550" t="str">
        <f t="shared" si="3059"/>
        <v>73185</v>
      </c>
      <c r="E7550" t="str">
        <f t="shared" si="3060"/>
        <v>KFH-OPERATIONS DEPARTMENT</v>
      </c>
      <c r="F7550" t="str">
        <f t="shared" si="3061"/>
        <v>IBG</v>
      </c>
      <c r="G7550" t="str">
        <f t="shared" si="3070"/>
        <v>Refund COSHARE 10</v>
      </c>
      <c r="H7550" s="2">
        <v>98.25</v>
      </c>
      <c r="I7550" t="str">
        <f>"IFZAD ADELEI BIN MUSTAFA"</f>
        <v>IFZAD ADELEI BIN MUSTAFA</v>
      </c>
      <c r="J7550" t="str">
        <f t="shared" si="3073"/>
        <v>BANK SIMPANAN NASIONAL</v>
      </c>
      <c r="K7550" t="str">
        <f>"0610029000110422"</f>
        <v>0610029000110422</v>
      </c>
      <c r="L7550" t="str">
        <f t="shared" si="3082"/>
        <v>04-08-2020</v>
      </c>
      <c r="M7550" t="str">
        <f t="shared" si="3082"/>
        <v>04-08-2020</v>
      </c>
      <c r="N7550" t="str">
        <f t="shared" si="3062"/>
        <v>001105018356</v>
      </c>
      <c r="O7550" t="str">
        <f t="shared" si="3063"/>
        <v>MYR</v>
      </c>
      <c r="P7550" t="str">
        <f t="shared" si="3083"/>
        <v>NIL</v>
      </c>
      <c r="Q7550" t="str">
        <f t="shared" si="3083"/>
        <v>NIL</v>
      </c>
      <c r="R7550" t="str">
        <f t="shared" si="3076"/>
        <v>Accepted</v>
      </c>
      <c r="S7550" t="str">
        <f t="shared" si="3064"/>
        <v>Approved</v>
      </c>
      <c r="T7550" t="str">
        <f t="shared" si="3077"/>
        <v>10.20.8.188</v>
      </c>
      <c r="U7550" t="str">
        <f t="shared" si="3065"/>
        <v>AZRAD UMAR BIN SHAARI</v>
      </c>
      <c r="V7550" t="str">
        <f t="shared" si="3066"/>
        <v>FARHANA BINTI MUSTAPA</v>
      </c>
      <c r="W7550" t="str">
        <f t="shared" si="3067"/>
        <v>04-08-2020</v>
      </c>
      <c r="X7550" t="str">
        <f t="shared" si="3068"/>
        <v>RAZIMAH ANSAR AHMAD</v>
      </c>
      <c r="Y7550" t="str">
        <f t="shared" si="3069"/>
        <v>04-08-2020</v>
      </c>
      <c r="Z7550" t="str">
        <f>"COS10200804 1604"</f>
        <v>COS10200804 1604</v>
      </c>
    </row>
    <row r="7551" spans="1:26" x14ac:dyDescent="0.25">
      <c r="A7551" t="str">
        <f t="shared" si="3080"/>
        <v>04-08-2020 12:34:57</v>
      </c>
      <c r="B7551" t="str">
        <f>"0000803357"</f>
        <v>0000803357</v>
      </c>
      <c r="C7551" t="str">
        <f t="shared" si="3081"/>
        <v>0000803354</v>
      </c>
      <c r="D7551" t="str">
        <f t="shared" si="3059"/>
        <v>73185</v>
      </c>
      <c r="E7551" t="str">
        <f t="shared" si="3060"/>
        <v>KFH-OPERATIONS DEPARTMENT</v>
      </c>
      <c r="F7551" t="str">
        <f t="shared" si="3061"/>
        <v>IBG</v>
      </c>
      <c r="G7551" t="str">
        <f t="shared" si="3070"/>
        <v>Refund COSHARE 10</v>
      </c>
      <c r="H7551" s="2">
        <v>1477.55</v>
      </c>
      <c r="I7551" t="str">
        <f>"IDA SURYANI BINTI ISMAIL"</f>
        <v>IDA SURYANI BINTI ISMAIL</v>
      </c>
      <c r="J7551" t="str">
        <f t="shared" si="3073"/>
        <v>BANK SIMPANAN NASIONAL</v>
      </c>
      <c r="K7551" t="str">
        <f>"0220029875900561"</f>
        <v>0220029875900561</v>
      </c>
      <c r="L7551" t="str">
        <f t="shared" si="3082"/>
        <v>04-08-2020</v>
      </c>
      <c r="M7551" t="str">
        <f t="shared" si="3082"/>
        <v>04-08-2020</v>
      </c>
      <c r="N7551" t="str">
        <f t="shared" si="3062"/>
        <v>001105018356</v>
      </c>
      <c r="O7551" t="str">
        <f t="shared" si="3063"/>
        <v>MYR</v>
      </c>
      <c r="P7551" t="str">
        <f t="shared" si="3083"/>
        <v>NIL</v>
      </c>
      <c r="Q7551" t="str">
        <f t="shared" si="3083"/>
        <v>NIL</v>
      </c>
      <c r="R7551" t="str">
        <f t="shared" si="3076"/>
        <v>Accepted</v>
      </c>
      <c r="S7551" t="str">
        <f t="shared" si="3064"/>
        <v>Approved</v>
      </c>
      <c r="T7551" t="str">
        <f t="shared" si="3077"/>
        <v>10.20.8.188</v>
      </c>
      <c r="U7551" t="str">
        <f t="shared" si="3065"/>
        <v>AZRAD UMAR BIN SHAARI</v>
      </c>
      <c r="V7551" t="str">
        <f t="shared" si="3066"/>
        <v>FARHANA BINTI MUSTAPA</v>
      </c>
      <c r="W7551" t="str">
        <f t="shared" si="3067"/>
        <v>04-08-2020</v>
      </c>
      <c r="X7551" t="str">
        <f t="shared" si="3068"/>
        <v>RAZIMAH ANSAR AHMAD</v>
      </c>
      <c r="Y7551" t="str">
        <f t="shared" si="3069"/>
        <v>04-08-2020</v>
      </c>
      <c r="Z7551" t="str">
        <f>"COS10200804 1603"</f>
        <v>COS10200804 1603</v>
      </c>
    </row>
    <row r="7552" spans="1:26" x14ac:dyDescent="0.25">
      <c r="A7552" t="str">
        <f t="shared" si="3080"/>
        <v>04-08-2020 12:34:57</v>
      </c>
      <c r="B7552" t="str">
        <f>"0000803356"</f>
        <v>0000803356</v>
      </c>
      <c r="C7552" t="str">
        <f t="shared" si="3081"/>
        <v>0000803354</v>
      </c>
      <c r="D7552" t="str">
        <f t="shared" si="3059"/>
        <v>73185</v>
      </c>
      <c r="E7552" t="str">
        <f t="shared" si="3060"/>
        <v>KFH-OPERATIONS DEPARTMENT</v>
      </c>
      <c r="F7552" t="str">
        <f t="shared" si="3061"/>
        <v>IBG</v>
      </c>
      <c r="G7552" t="str">
        <f t="shared" si="3070"/>
        <v>Refund COSHARE 10</v>
      </c>
      <c r="H7552" s="2">
        <v>780.75</v>
      </c>
      <c r="I7552" t="str">
        <f>"IBRAHIM BIN AHMAD PAUD"</f>
        <v>IBRAHIM BIN AHMAD PAUD</v>
      </c>
      <c r="J7552" t="str">
        <f t="shared" si="3073"/>
        <v>BANK SIMPANAN NASIONAL</v>
      </c>
      <c r="K7552" t="str">
        <f>"1410029000192885"</f>
        <v>1410029000192885</v>
      </c>
      <c r="L7552" t="str">
        <f t="shared" si="3082"/>
        <v>04-08-2020</v>
      </c>
      <c r="M7552" t="str">
        <f t="shared" si="3082"/>
        <v>04-08-2020</v>
      </c>
      <c r="N7552" t="str">
        <f t="shared" si="3062"/>
        <v>001105018356</v>
      </c>
      <c r="O7552" t="str">
        <f t="shared" si="3063"/>
        <v>MYR</v>
      </c>
      <c r="P7552" t="str">
        <f t="shared" si="3083"/>
        <v>NIL</v>
      </c>
      <c r="Q7552" t="str">
        <f t="shared" si="3083"/>
        <v>NIL</v>
      </c>
      <c r="R7552" t="str">
        <f t="shared" si="3076"/>
        <v>Accepted</v>
      </c>
      <c r="S7552" t="str">
        <f t="shared" si="3064"/>
        <v>Approved</v>
      </c>
      <c r="T7552" t="str">
        <f t="shared" si="3077"/>
        <v>10.20.8.188</v>
      </c>
      <c r="U7552" t="str">
        <f t="shared" si="3065"/>
        <v>AZRAD UMAR BIN SHAARI</v>
      </c>
      <c r="V7552" t="str">
        <f t="shared" si="3066"/>
        <v>FARHANA BINTI MUSTAPA</v>
      </c>
      <c r="W7552" t="str">
        <f t="shared" si="3067"/>
        <v>04-08-2020</v>
      </c>
      <c r="X7552" t="str">
        <f t="shared" si="3068"/>
        <v>RAZIMAH ANSAR AHMAD</v>
      </c>
      <c r="Y7552" t="str">
        <f t="shared" si="3069"/>
        <v>04-08-2020</v>
      </c>
      <c r="Z7552" t="str">
        <f>"COS10200804 1602"</f>
        <v>COS10200804 1602</v>
      </c>
    </row>
    <row r="7553" spans="1:26" x14ac:dyDescent="0.25">
      <c r="A7553" t="str">
        <f t="shared" si="3080"/>
        <v>04-08-2020 12:34:57</v>
      </c>
      <c r="B7553" t="str">
        <f>"0000803355"</f>
        <v>0000803355</v>
      </c>
      <c r="C7553" t="str">
        <f t="shared" si="3081"/>
        <v>0000803354</v>
      </c>
      <c r="D7553" t="str">
        <f t="shared" si="3059"/>
        <v>73185</v>
      </c>
      <c r="E7553" t="str">
        <f t="shared" si="3060"/>
        <v>KFH-OPERATIONS DEPARTMENT</v>
      </c>
      <c r="F7553" t="str">
        <f t="shared" si="3061"/>
        <v>IBG</v>
      </c>
      <c r="G7553" t="str">
        <f t="shared" si="3070"/>
        <v>Refund COSHARE 10</v>
      </c>
      <c r="H7553" s="2">
        <v>247.05</v>
      </c>
      <c r="I7553" t="str">
        <f>"IBERAHIM BIN CHE MAK"</f>
        <v>IBERAHIM BIN CHE MAK</v>
      </c>
      <c r="J7553" t="str">
        <f t="shared" si="3073"/>
        <v>BANK SIMPANAN NASIONAL</v>
      </c>
      <c r="K7553" t="str">
        <f>"0510029874386204"</f>
        <v>0510029874386204</v>
      </c>
      <c r="L7553" t="str">
        <f t="shared" si="3082"/>
        <v>04-08-2020</v>
      </c>
      <c r="M7553" t="str">
        <f t="shared" si="3082"/>
        <v>04-08-2020</v>
      </c>
      <c r="N7553" t="str">
        <f t="shared" si="3062"/>
        <v>001105018356</v>
      </c>
      <c r="O7553" t="str">
        <f t="shared" si="3063"/>
        <v>MYR</v>
      </c>
      <c r="P7553" t="str">
        <f t="shared" si="3083"/>
        <v>NIL</v>
      </c>
      <c r="Q7553" t="str">
        <f t="shared" si="3083"/>
        <v>NIL</v>
      </c>
      <c r="R7553" t="str">
        <f t="shared" si="3076"/>
        <v>Accepted</v>
      </c>
      <c r="S7553" t="str">
        <f t="shared" si="3064"/>
        <v>Approved</v>
      </c>
      <c r="T7553" t="str">
        <f t="shared" si="3077"/>
        <v>10.20.8.188</v>
      </c>
      <c r="U7553" t="str">
        <f t="shared" si="3065"/>
        <v>AZRAD UMAR BIN SHAARI</v>
      </c>
      <c r="V7553" t="str">
        <f t="shared" si="3066"/>
        <v>FARHANA BINTI MUSTAPA</v>
      </c>
      <c r="W7553" t="str">
        <f t="shared" si="3067"/>
        <v>04-08-2020</v>
      </c>
      <c r="X7553" t="str">
        <f t="shared" si="3068"/>
        <v>RAZIMAH ANSAR AHMAD</v>
      </c>
      <c r="Y7553" t="str">
        <f t="shared" si="3069"/>
        <v>04-08-2020</v>
      </c>
      <c r="Z7553" t="str">
        <f>"COS10200804 1601"</f>
        <v>COS10200804 1601</v>
      </c>
    </row>
    <row r="7554" spans="1:26" x14ac:dyDescent="0.25">
      <c r="A7554" t="str">
        <f t="shared" ref="A7554:A7585" si="3084">"04-08-2020 12:34:18"</f>
        <v>04-08-2020 12:34:18</v>
      </c>
      <c r="B7554" t="str">
        <f>"0000803352"</f>
        <v>0000803352</v>
      </c>
      <c r="C7554" t="str">
        <f t="shared" ref="C7554:C7585" si="3085">"0000803152"</f>
        <v>0000803152</v>
      </c>
      <c r="D7554" t="str">
        <f t="shared" si="3059"/>
        <v>73185</v>
      </c>
      <c r="E7554" t="str">
        <f t="shared" si="3060"/>
        <v>KFH-OPERATIONS DEPARTMENT</v>
      </c>
      <c r="F7554" t="str">
        <f t="shared" si="3061"/>
        <v>IBG</v>
      </c>
      <c r="G7554" t="str">
        <f t="shared" si="3070"/>
        <v>Refund COSHARE 10</v>
      </c>
      <c r="H7554" s="2">
        <v>204.65</v>
      </c>
      <c r="I7554" t="str">
        <f>"HISHAM BIN MOHAMED"</f>
        <v>HISHAM BIN MOHAMED</v>
      </c>
      <c r="J7554" t="str">
        <f t="shared" si="3073"/>
        <v>BANK SIMPANAN NASIONAL</v>
      </c>
      <c r="K7554" t="str">
        <f>"0301141000105641"</f>
        <v>0301141000105641</v>
      </c>
      <c r="L7554" t="str">
        <f t="shared" si="3082"/>
        <v>04-08-2020</v>
      </c>
      <c r="M7554" t="str">
        <f t="shared" si="3082"/>
        <v>04-08-2020</v>
      </c>
      <c r="N7554" t="str">
        <f t="shared" si="3062"/>
        <v>001105018356</v>
      </c>
      <c r="O7554" t="str">
        <f t="shared" si="3063"/>
        <v>MYR</v>
      </c>
      <c r="P7554" t="str">
        <f t="shared" si="3083"/>
        <v>NIL</v>
      </c>
      <c r="Q7554" t="str">
        <f t="shared" si="3083"/>
        <v>NIL</v>
      </c>
      <c r="R7554" t="str">
        <f t="shared" si="3076"/>
        <v>Accepted</v>
      </c>
      <c r="S7554" t="str">
        <f t="shared" si="3064"/>
        <v>Approved</v>
      </c>
      <c r="T7554" t="str">
        <f t="shared" si="3077"/>
        <v>10.20.8.188</v>
      </c>
      <c r="U7554" t="str">
        <f t="shared" si="3065"/>
        <v>AZRAD UMAR BIN SHAARI</v>
      </c>
      <c r="V7554" t="str">
        <f t="shared" si="3066"/>
        <v>FARHANA BINTI MUSTAPA</v>
      </c>
      <c r="W7554" t="str">
        <f t="shared" si="3067"/>
        <v>04-08-2020</v>
      </c>
      <c r="X7554" t="str">
        <f t="shared" si="3068"/>
        <v>RAZIMAH ANSAR AHMAD</v>
      </c>
      <c r="Y7554" t="str">
        <f t="shared" si="3069"/>
        <v>04-08-2020</v>
      </c>
      <c r="Z7554" t="str">
        <f>"COS10200804 1600"</f>
        <v>COS10200804 1600</v>
      </c>
    </row>
    <row r="7555" spans="1:26" x14ac:dyDescent="0.25">
      <c r="A7555" t="str">
        <f t="shared" si="3084"/>
        <v>04-08-2020 12:34:18</v>
      </c>
      <c r="B7555" t="str">
        <f>"0000803351"</f>
        <v>0000803351</v>
      </c>
      <c r="C7555" t="str">
        <f t="shared" si="3085"/>
        <v>0000803152</v>
      </c>
      <c r="D7555" t="str">
        <f t="shared" si="3059"/>
        <v>73185</v>
      </c>
      <c r="E7555" t="str">
        <f t="shared" si="3060"/>
        <v>KFH-OPERATIONS DEPARTMENT</v>
      </c>
      <c r="F7555" t="str">
        <f t="shared" si="3061"/>
        <v>IBG</v>
      </c>
      <c r="G7555" t="str">
        <f t="shared" si="3070"/>
        <v>Refund COSHARE 10</v>
      </c>
      <c r="H7555" s="2">
        <v>856.3</v>
      </c>
      <c r="I7555" t="str">
        <f>"HERMON BIN ABUSANG"</f>
        <v>HERMON BIN ABUSANG</v>
      </c>
      <c r="J7555" t="str">
        <f t="shared" si="3073"/>
        <v>BANK SIMPANAN NASIONAL</v>
      </c>
      <c r="K7555" t="str">
        <f>"1211829827615441"</f>
        <v>1211829827615441</v>
      </c>
      <c r="L7555" t="str">
        <f t="shared" si="3082"/>
        <v>04-08-2020</v>
      </c>
      <c r="M7555" t="str">
        <f t="shared" si="3082"/>
        <v>04-08-2020</v>
      </c>
      <c r="N7555" t="str">
        <f t="shared" si="3062"/>
        <v>001105018356</v>
      </c>
      <c r="O7555" t="str">
        <f t="shared" si="3063"/>
        <v>MYR</v>
      </c>
      <c r="P7555" t="str">
        <f t="shared" si="3083"/>
        <v>NIL</v>
      </c>
      <c r="Q7555" t="str">
        <f t="shared" si="3083"/>
        <v>NIL</v>
      </c>
      <c r="R7555" t="str">
        <f t="shared" si="3076"/>
        <v>Accepted</v>
      </c>
      <c r="S7555" t="str">
        <f t="shared" si="3064"/>
        <v>Approved</v>
      </c>
      <c r="T7555" t="str">
        <f t="shared" si="3077"/>
        <v>10.20.8.188</v>
      </c>
      <c r="U7555" t="str">
        <f t="shared" si="3065"/>
        <v>AZRAD UMAR BIN SHAARI</v>
      </c>
      <c r="V7555" t="str">
        <f t="shared" si="3066"/>
        <v>FARHANA BINTI MUSTAPA</v>
      </c>
      <c r="W7555" t="str">
        <f t="shared" si="3067"/>
        <v>04-08-2020</v>
      </c>
      <c r="X7555" t="str">
        <f t="shared" si="3068"/>
        <v>RAZIMAH ANSAR AHMAD</v>
      </c>
      <c r="Y7555" t="str">
        <f t="shared" si="3069"/>
        <v>04-08-2020</v>
      </c>
      <c r="Z7555" t="str">
        <f>"COS10200804 1599"</f>
        <v>COS10200804 1599</v>
      </c>
    </row>
    <row r="7556" spans="1:26" x14ac:dyDescent="0.25">
      <c r="A7556" t="str">
        <f t="shared" si="3084"/>
        <v>04-08-2020 12:34:18</v>
      </c>
      <c r="B7556" t="str">
        <f>"0000803350"</f>
        <v>0000803350</v>
      </c>
      <c r="C7556" t="str">
        <f t="shared" si="3085"/>
        <v>0000803152</v>
      </c>
      <c r="D7556" t="str">
        <f t="shared" si="3059"/>
        <v>73185</v>
      </c>
      <c r="E7556" t="str">
        <f t="shared" si="3060"/>
        <v>KFH-OPERATIONS DEPARTMENT</v>
      </c>
      <c r="F7556" t="str">
        <f t="shared" si="3061"/>
        <v>IBG</v>
      </c>
      <c r="G7556" t="str">
        <f t="shared" si="3070"/>
        <v>Refund COSHARE 10</v>
      </c>
      <c r="H7556" s="2">
        <v>545.70000000000005</v>
      </c>
      <c r="I7556" t="str">
        <f>"HERMAN BIN ZAKARIA"</f>
        <v>HERMAN BIN ZAKARIA</v>
      </c>
      <c r="J7556" t="str">
        <f t="shared" si="3073"/>
        <v>BANK SIMPANAN NASIONAL</v>
      </c>
      <c r="K7556" t="str">
        <f>"1410029000201131"</f>
        <v>1410029000201131</v>
      </c>
      <c r="L7556" t="str">
        <f t="shared" si="3082"/>
        <v>04-08-2020</v>
      </c>
      <c r="M7556" t="str">
        <f t="shared" si="3082"/>
        <v>04-08-2020</v>
      </c>
      <c r="N7556" t="str">
        <f t="shared" si="3062"/>
        <v>001105018356</v>
      </c>
      <c r="O7556" t="str">
        <f t="shared" si="3063"/>
        <v>MYR</v>
      </c>
      <c r="P7556" t="str">
        <f t="shared" si="3083"/>
        <v>NIL</v>
      </c>
      <c r="Q7556" t="str">
        <f t="shared" si="3083"/>
        <v>NIL</v>
      </c>
      <c r="R7556" t="str">
        <f t="shared" si="3076"/>
        <v>Accepted</v>
      </c>
      <c r="S7556" t="str">
        <f t="shared" si="3064"/>
        <v>Approved</v>
      </c>
      <c r="T7556" t="str">
        <f t="shared" si="3077"/>
        <v>10.20.8.188</v>
      </c>
      <c r="U7556" t="str">
        <f t="shared" si="3065"/>
        <v>AZRAD UMAR BIN SHAARI</v>
      </c>
      <c r="V7556" t="str">
        <f t="shared" si="3066"/>
        <v>FARHANA BINTI MUSTAPA</v>
      </c>
      <c r="W7556" t="str">
        <f t="shared" si="3067"/>
        <v>04-08-2020</v>
      </c>
      <c r="X7556" t="str">
        <f t="shared" si="3068"/>
        <v>RAZIMAH ANSAR AHMAD</v>
      </c>
      <c r="Y7556" t="str">
        <f t="shared" si="3069"/>
        <v>04-08-2020</v>
      </c>
      <c r="Z7556" t="str">
        <f>"COS10200804 1598"</f>
        <v>COS10200804 1598</v>
      </c>
    </row>
    <row r="7557" spans="1:26" x14ac:dyDescent="0.25">
      <c r="A7557" t="str">
        <f t="shared" si="3084"/>
        <v>04-08-2020 12:34:18</v>
      </c>
      <c r="B7557" t="str">
        <f>"0000803349"</f>
        <v>0000803349</v>
      </c>
      <c r="C7557" t="str">
        <f t="shared" si="3085"/>
        <v>0000803152</v>
      </c>
      <c r="D7557" t="str">
        <f t="shared" si="3059"/>
        <v>73185</v>
      </c>
      <c r="E7557" t="str">
        <f t="shared" si="3060"/>
        <v>KFH-OPERATIONS DEPARTMENT</v>
      </c>
      <c r="F7557" t="str">
        <f t="shared" si="3061"/>
        <v>IBG</v>
      </c>
      <c r="G7557" t="str">
        <f t="shared" si="3070"/>
        <v>Refund COSHARE 10</v>
      </c>
      <c r="H7557" s="2">
        <v>419.75</v>
      </c>
      <c r="I7557" t="str">
        <f>"HELMY RIZAL BIN AHMAD"</f>
        <v>HELMY RIZAL BIN AHMAD</v>
      </c>
      <c r="J7557" t="str">
        <f t="shared" si="3073"/>
        <v>BANK SIMPANAN NASIONAL</v>
      </c>
      <c r="K7557" t="str">
        <f>"0240029000079351"</f>
        <v>0240029000079351</v>
      </c>
      <c r="L7557" t="str">
        <f t="shared" si="3082"/>
        <v>04-08-2020</v>
      </c>
      <c r="M7557" t="str">
        <f t="shared" si="3082"/>
        <v>04-08-2020</v>
      </c>
      <c r="N7557" t="str">
        <f t="shared" si="3062"/>
        <v>001105018356</v>
      </c>
      <c r="O7557" t="str">
        <f t="shared" si="3063"/>
        <v>MYR</v>
      </c>
      <c r="P7557" t="str">
        <f t="shared" si="3083"/>
        <v>NIL</v>
      </c>
      <c r="Q7557" t="str">
        <f t="shared" si="3083"/>
        <v>NIL</v>
      </c>
      <c r="R7557" t="str">
        <f t="shared" si="3076"/>
        <v>Accepted</v>
      </c>
      <c r="S7557" t="str">
        <f t="shared" si="3064"/>
        <v>Approved</v>
      </c>
      <c r="T7557" t="str">
        <f t="shared" si="3077"/>
        <v>10.20.8.188</v>
      </c>
      <c r="U7557" t="str">
        <f t="shared" si="3065"/>
        <v>AZRAD UMAR BIN SHAARI</v>
      </c>
      <c r="V7557" t="str">
        <f t="shared" si="3066"/>
        <v>FARHANA BINTI MUSTAPA</v>
      </c>
      <c r="W7557" t="str">
        <f t="shared" si="3067"/>
        <v>04-08-2020</v>
      </c>
      <c r="X7557" t="str">
        <f t="shared" si="3068"/>
        <v>RAZIMAH ANSAR AHMAD</v>
      </c>
      <c r="Y7557" t="str">
        <f t="shared" si="3069"/>
        <v>04-08-2020</v>
      </c>
      <c r="Z7557" t="str">
        <f>"COS10200804 1597"</f>
        <v>COS10200804 1597</v>
      </c>
    </row>
    <row r="7558" spans="1:26" x14ac:dyDescent="0.25">
      <c r="A7558" t="str">
        <f t="shared" si="3084"/>
        <v>04-08-2020 12:34:18</v>
      </c>
      <c r="B7558" t="str">
        <f>"0000803348"</f>
        <v>0000803348</v>
      </c>
      <c r="C7558" t="str">
        <f t="shared" si="3085"/>
        <v>0000803152</v>
      </c>
      <c r="D7558" t="str">
        <f t="shared" si="3059"/>
        <v>73185</v>
      </c>
      <c r="E7558" t="str">
        <f t="shared" si="3060"/>
        <v>KFH-OPERATIONS DEPARTMENT</v>
      </c>
      <c r="F7558" t="str">
        <f t="shared" si="3061"/>
        <v>IBG</v>
      </c>
      <c r="G7558" t="str">
        <f t="shared" si="3070"/>
        <v>Refund COSHARE 10</v>
      </c>
      <c r="H7558" s="2">
        <v>736.75</v>
      </c>
      <c r="I7558" t="str">
        <f>"HELLAN ANAK RAMONG"</f>
        <v>HELLAN ANAK RAMONG</v>
      </c>
      <c r="J7558" t="str">
        <f t="shared" si="3073"/>
        <v>BANK SIMPANAN NASIONAL</v>
      </c>
      <c r="K7558" t="str">
        <f>"1310029854586182"</f>
        <v>1310029854586182</v>
      </c>
      <c r="L7558" t="str">
        <f t="shared" si="3082"/>
        <v>04-08-2020</v>
      </c>
      <c r="M7558" t="str">
        <f t="shared" si="3082"/>
        <v>04-08-2020</v>
      </c>
      <c r="N7558" t="str">
        <f t="shared" si="3062"/>
        <v>001105018356</v>
      </c>
      <c r="O7558" t="str">
        <f t="shared" si="3063"/>
        <v>MYR</v>
      </c>
      <c r="P7558" t="str">
        <f t="shared" si="3083"/>
        <v>NIL</v>
      </c>
      <c r="Q7558" t="str">
        <f t="shared" si="3083"/>
        <v>NIL</v>
      </c>
      <c r="R7558" t="str">
        <f t="shared" si="3076"/>
        <v>Accepted</v>
      </c>
      <c r="S7558" t="str">
        <f t="shared" si="3064"/>
        <v>Approved</v>
      </c>
      <c r="T7558" t="str">
        <f t="shared" si="3077"/>
        <v>10.20.8.188</v>
      </c>
      <c r="U7558" t="str">
        <f t="shared" si="3065"/>
        <v>AZRAD UMAR BIN SHAARI</v>
      </c>
      <c r="V7558" t="str">
        <f t="shared" si="3066"/>
        <v>FARHANA BINTI MUSTAPA</v>
      </c>
      <c r="W7558" t="str">
        <f t="shared" si="3067"/>
        <v>04-08-2020</v>
      </c>
      <c r="X7558" t="str">
        <f t="shared" si="3068"/>
        <v>RAZIMAH ANSAR AHMAD</v>
      </c>
      <c r="Y7558" t="str">
        <f t="shared" si="3069"/>
        <v>04-08-2020</v>
      </c>
      <c r="Z7558" t="str">
        <f>"COS10200804 1596"</f>
        <v>COS10200804 1596</v>
      </c>
    </row>
    <row r="7559" spans="1:26" x14ac:dyDescent="0.25">
      <c r="A7559" t="str">
        <f t="shared" si="3084"/>
        <v>04-08-2020 12:34:18</v>
      </c>
      <c r="B7559" t="str">
        <f>"0000803347"</f>
        <v>0000803347</v>
      </c>
      <c r="C7559" t="str">
        <f t="shared" si="3085"/>
        <v>0000803152</v>
      </c>
      <c r="D7559" t="str">
        <f t="shared" ref="D7559:D7622" si="3086">"73185"</f>
        <v>73185</v>
      </c>
      <c r="E7559" t="str">
        <f t="shared" ref="E7559:E7622" si="3087">"KFH-OPERATIONS DEPARTMENT"</f>
        <v>KFH-OPERATIONS DEPARTMENT</v>
      </c>
      <c r="F7559" t="str">
        <f t="shared" ref="F7559:F7622" si="3088">"IBG"</f>
        <v>IBG</v>
      </c>
      <c r="G7559" t="str">
        <f t="shared" si="3070"/>
        <v>Refund COSHARE 10</v>
      </c>
      <c r="H7559" s="2">
        <v>42</v>
      </c>
      <c r="I7559" t="str">
        <f>"HAZWAH BINTI JUBRINE"</f>
        <v>HAZWAH BINTI JUBRINE</v>
      </c>
      <c r="J7559" t="str">
        <f t="shared" si="3073"/>
        <v>BANK SIMPANAN NASIONAL</v>
      </c>
      <c r="K7559" t="str">
        <f>"1210029000000581"</f>
        <v>1210029000000581</v>
      </c>
      <c r="L7559" t="str">
        <f t="shared" si="3082"/>
        <v>04-08-2020</v>
      </c>
      <c r="M7559" t="str">
        <f t="shared" si="3082"/>
        <v>04-08-2020</v>
      </c>
      <c r="N7559" t="str">
        <f t="shared" ref="N7559:N7622" si="3089">"001105018356"</f>
        <v>001105018356</v>
      </c>
      <c r="O7559" t="str">
        <f t="shared" ref="O7559:O7622" si="3090">"MYR"</f>
        <v>MYR</v>
      </c>
      <c r="P7559" t="str">
        <f t="shared" si="3083"/>
        <v>NIL</v>
      </c>
      <c r="Q7559" t="str">
        <f t="shared" si="3083"/>
        <v>NIL</v>
      </c>
      <c r="R7559" t="str">
        <f t="shared" si="3076"/>
        <v>Accepted</v>
      </c>
      <c r="S7559" t="str">
        <f t="shared" ref="S7559:S7622" si="3091">"Approved"</f>
        <v>Approved</v>
      </c>
      <c r="T7559" t="str">
        <f t="shared" si="3077"/>
        <v>10.20.8.188</v>
      </c>
      <c r="U7559" t="str">
        <f t="shared" ref="U7559:U7622" si="3092">"AZRAD UMAR BIN SHAARI"</f>
        <v>AZRAD UMAR BIN SHAARI</v>
      </c>
      <c r="V7559" t="str">
        <f t="shared" ref="V7559:V7622" si="3093">"FARHANA BINTI MUSTAPA"</f>
        <v>FARHANA BINTI MUSTAPA</v>
      </c>
      <c r="W7559" t="str">
        <f t="shared" ref="W7559:W7622" si="3094">"04-08-2020"</f>
        <v>04-08-2020</v>
      </c>
      <c r="X7559" t="str">
        <f t="shared" ref="X7559:X7622" si="3095">"RAZIMAH ANSAR AHMAD"</f>
        <v>RAZIMAH ANSAR AHMAD</v>
      </c>
      <c r="Y7559" t="str">
        <f t="shared" ref="Y7559:Y7622" si="3096">"04-08-2020"</f>
        <v>04-08-2020</v>
      </c>
      <c r="Z7559" t="str">
        <f>"COS10200804 1595"</f>
        <v>COS10200804 1595</v>
      </c>
    </row>
    <row r="7560" spans="1:26" x14ac:dyDescent="0.25">
      <c r="A7560" t="str">
        <f t="shared" si="3084"/>
        <v>04-08-2020 12:34:18</v>
      </c>
      <c r="B7560" t="str">
        <f>"0000803346"</f>
        <v>0000803346</v>
      </c>
      <c r="C7560" t="str">
        <f t="shared" si="3085"/>
        <v>0000803152</v>
      </c>
      <c r="D7560" t="str">
        <f t="shared" si="3086"/>
        <v>73185</v>
      </c>
      <c r="E7560" t="str">
        <f t="shared" si="3087"/>
        <v>KFH-OPERATIONS DEPARTMENT</v>
      </c>
      <c r="F7560" t="str">
        <f t="shared" si="3088"/>
        <v>IBG</v>
      </c>
      <c r="G7560" t="str">
        <f t="shared" si="3070"/>
        <v>Refund COSHARE 10</v>
      </c>
      <c r="H7560" s="2">
        <v>639</v>
      </c>
      <c r="I7560" t="str">
        <f>"HAZLINA BINTI HUSIN"</f>
        <v>HAZLINA BINTI HUSIN</v>
      </c>
      <c r="J7560" t="str">
        <f t="shared" si="3073"/>
        <v>BANK SIMPANAN NASIONAL</v>
      </c>
      <c r="K7560" t="str">
        <f>"0320129000010601"</f>
        <v>0320129000010601</v>
      </c>
      <c r="L7560" t="str">
        <f t="shared" si="3082"/>
        <v>04-08-2020</v>
      </c>
      <c r="M7560" t="str">
        <f t="shared" si="3082"/>
        <v>04-08-2020</v>
      </c>
      <c r="N7560" t="str">
        <f t="shared" si="3089"/>
        <v>001105018356</v>
      </c>
      <c r="O7560" t="str">
        <f t="shared" si="3090"/>
        <v>MYR</v>
      </c>
      <c r="P7560" t="str">
        <f t="shared" si="3083"/>
        <v>NIL</v>
      </c>
      <c r="Q7560" t="str">
        <f t="shared" si="3083"/>
        <v>NIL</v>
      </c>
      <c r="R7560" t="str">
        <f t="shared" si="3076"/>
        <v>Accepted</v>
      </c>
      <c r="S7560" t="str">
        <f t="shared" si="3091"/>
        <v>Approved</v>
      </c>
      <c r="T7560" t="str">
        <f t="shared" si="3077"/>
        <v>10.20.8.188</v>
      </c>
      <c r="U7560" t="str">
        <f t="shared" si="3092"/>
        <v>AZRAD UMAR BIN SHAARI</v>
      </c>
      <c r="V7560" t="str">
        <f t="shared" si="3093"/>
        <v>FARHANA BINTI MUSTAPA</v>
      </c>
      <c r="W7560" t="str">
        <f t="shared" si="3094"/>
        <v>04-08-2020</v>
      </c>
      <c r="X7560" t="str">
        <f t="shared" si="3095"/>
        <v>RAZIMAH ANSAR AHMAD</v>
      </c>
      <c r="Y7560" t="str">
        <f t="shared" si="3096"/>
        <v>04-08-2020</v>
      </c>
      <c r="Z7560" t="str">
        <f>"COS10200804 1594"</f>
        <v>COS10200804 1594</v>
      </c>
    </row>
    <row r="7561" spans="1:26" x14ac:dyDescent="0.25">
      <c r="A7561" t="str">
        <f t="shared" si="3084"/>
        <v>04-08-2020 12:34:18</v>
      </c>
      <c r="B7561" t="str">
        <f>"0000803345"</f>
        <v>0000803345</v>
      </c>
      <c r="C7561" t="str">
        <f t="shared" si="3085"/>
        <v>0000803152</v>
      </c>
      <c r="D7561" t="str">
        <f t="shared" si="3086"/>
        <v>73185</v>
      </c>
      <c r="E7561" t="str">
        <f t="shared" si="3087"/>
        <v>KFH-OPERATIONS DEPARTMENT</v>
      </c>
      <c r="F7561" t="str">
        <f t="shared" si="3088"/>
        <v>IBG</v>
      </c>
      <c r="G7561" t="str">
        <f t="shared" si="3070"/>
        <v>Refund COSHARE 10</v>
      </c>
      <c r="H7561" s="2">
        <v>167.9</v>
      </c>
      <c r="I7561" t="str">
        <f>"HAZIZUL BIN HASAN"</f>
        <v>HAZIZUL BIN HASAN</v>
      </c>
      <c r="J7561" t="str">
        <f t="shared" si="3073"/>
        <v>BANK SIMPANAN NASIONAL</v>
      </c>
      <c r="K7561" t="str">
        <f>"0211729862109053"</f>
        <v>0211729862109053</v>
      </c>
      <c r="L7561" t="str">
        <f t="shared" si="3082"/>
        <v>04-08-2020</v>
      </c>
      <c r="M7561" t="str">
        <f t="shared" si="3082"/>
        <v>04-08-2020</v>
      </c>
      <c r="N7561" t="str">
        <f t="shared" si="3089"/>
        <v>001105018356</v>
      </c>
      <c r="O7561" t="str">
        <f t="shared" si="3090"/>
        <v>MYR</v>
      </c>
      <c r="P7561" t="str">
        <f t="shared" si="3083"/>
        <v>NIL</v>
      </c>
      <c r="Q7561" t="str">
        <f t="shared" si="3083"/>
        <v>NIL</v>
      </c>
      <c r="R7561" t="str">
        <f t="shared" si="3076"/>
        <v>Accepted</v>
      </c>
      <c r="S7561" t="str">
        <f t="shared" si="3091"/>
        <v>Approved</v>
      </c>
      <c r="T7561" t="str">
        <f t="shared" si="3077"/>
        <v>10.20.8.188</v>
      </c>
      <c r="U7561" t="str">
        <f t="shared" si="3092"/>
        <v>AZRAD UMAR BIN SHAARI</v>
      </c>
      <c r="V7561" t="str">
        <f t="shared" si="3093"/>
        <v>FARHANA BINTI MUSTAPA</v>
      </c>
      <c r="W7561" t="str">
        <f t="shared" si="3094"/>
        <v>04-08-2020</v>
      </c>
      <c r="X7561" t="str">
        <f t="shared" si="3095"/>
        <v>RAZIMAH ANSAR AHMAD</v>
      </c>
      <c r="Y7561" t="str">
        <f t="shared" si="3096"/>
        <v>04-08-2020</v>
      </c>
      <c r="Z7561" t="str">
        <f>"COS10200804 1593"</f>
        <v>COS10200804 1593</v>
      </c>
    </row>
    <row r="7562" spans="1:26" x14ac:dyDescent="0.25">
      <c r="A7562" t="str">
        <f t="shared" si="3084"/>
        <v>04-08-2020 12:34:18</v>
      </c>
      <c r="B7562" t="str">
        <f>"0000803344"</f>
        <v>0000803344</v>
      </c>
      <c r="C7562" t="str">
        <f t="shared" si="3085"/>
        <v>0000803152</v>
      </c>
      <c r="D7562" t="str">
        <f t="shared" si="3086"/>
        <v>73185</v>
      </c>
      <c r="E7562" t="str">
        <f t="shared" si="3087"/>
        <v>KFH-OPERATIONS DEPARTMENT</v>
      </c>
      <c r="F7562" t="str">
        <f t="shared" si="3088"/>
        <v>IBG</v>
      </c>
      <c r="G7562" t="str">
        <f t="shared" si="3070"/>
        <v>Refund COSHARE 10</v>
      </c>
      <c r="H7562" s="2">
        <v>209.9</v>
      </c>
      <c r="I7562" t="str">
        <f>"HASRUL HISHAM BIN MOHD HASHIM"</f>
        <v>HASRUL HISHAM BIN MOHD HASHIM</v>
      </c>
      <c r="J7562" t="str">
        <f t="shared" si="3073"/>
        <v>BANK SIMPANAN NASIONAL</v>
      </c>
      <c r="K7562" t="str">
        <f>"1210029839094354"</f>
        <v>1210029839094354</v>
      </c>
      <c r="L7562" t="str">
        <f t="shared" si="3082"/>
        <v>04-08-2020</v>
      </c>
      <c r="M7562" t="str">
        <f t="shared" si="3082"/>
        <v>04-08-2020</v>
      </c>
      <c r="N7562" t="str">
        <f t="shared" si="3089"/>
        <v>001105018356</v>
      </c>
      <c r="O7562" t="str">
        <f t="shared" si="3090"/>
        <v>MYR</v>
      </c>
      <c r="P7562" t="str">
        <f t="shared" si="3083"/>
        <v>NIL</v>
      </c>
      <c r="Q7562" t="str">
        <f t="shared" si="3083"/>
        <v>NIL</v>
      </c>
      <c r="R7562" t="str">
        <f t="shared" si="3076"/>
        <v>Accepted</v>
      </c>
      <c r="S7562" t="str">
        <f t="shared" si="3091"/>
        <v>Approved</v>
      </c>
      <c r="T7562" t="str">
        <f t="shared" si="3077"/>
        <v>10.20.8.188</v>
      </c>
      <c r="U7562" t="str">
        <f t="shared" si="3092"/>
        <v>AZRAD UMAR BIN SHAARI</v>
      </c>
      <c r="V7562" t="str">
        <f t="shared" si="3093"/>
        <v>FARHANA BINTI MUSTAPA</v>
      </c>
      <c r="W7562" t="str">
        <f t="shared" si="3094"/>
        <v>04-08-2020</v>
      </c>
      <c r="X7562" t="str">
        <f t="shared" si="3095"/>
        <v>RAZIMAH ANSAR AHMAD</v>
      </c>
      <c r="Y7562" t="str">
        <f t="shared" si="3096"/>
        <v>04-08-2020</v>
      </c>
      <c r="Z7562" t="str">
        <f>"COS10200804 1592"</f>
        <v>COS10200804 1592</v>
      </c>
    </row>
    <row r="7563" spans="1:26" x14ac:dyDescent="0.25">
      <c r="A7563" t="str">
        <f t="shared" si="3084"/>
        <v>04-08-2020 12:34:18</v>
      </c>
      <c r="B7563" t="str">
        <f>"0000803343"</f>
        <v>0000803343</v>
      </c>
      <c r="C7563" t="str">
        <f t="shared" si="3085"/>
        <v>0000803152</v>
      </c>
      <c r="D7563" t="str">
        <f t="shared" si="3086"/>
        <v>73185</v>
      </c>
      <c r="E7563" t="str">
        <f t="shared" si="3087"/>
        <v>KFH-OPERATIONS DEPARTMENT</v>
      </c>
      <c r="F7563" t="str">
        <f t="shared" si="3088"/>
        <v>IBG</v>
      </c>
      <c r="G7563" t="str">
        <f t="shared" si="3070"/>
        <v>Refund COSHARE 10</v>
      </c>
      <c r="H7563" s="2">
        <v>1041</v>
      </c>
      <c r="I7563" t="str">
        <f>"HASRUL HISHAM BIN MOHD HASHIM"</f>
        <v>HASRUL HISHAM BIN MOHD HASHIM</v>
      </c>
      <c r="J7563" t="str">
        <f t="shared" si="3073"/>
        <v>BANK SIMPANAN NASIONAL</v>
      </c>
      <c r="K7563" t="str">
        <f>"1210029839094354"</f>
        <v>1210029839094354</v>
      </c>
      <c r="L7563" t="str">
        <f t="shared" si="3082"/>
        <v>04-08-2020</v>
      </c>
      <c r="M7563" t="str">
        <f t="shared" si="3082"/>
        <v>04-08-2020</v>
      </c>
      <c r="N7563" t="str">
        <f t="shared" si="3089"/>
        <v>001105018356</v>
      </c>
      <c r="O7563" t="str">
        <f t="shared" si="3090"/>
        <v>MYR</v>
      </c>
      <c r="P7563" t="str">
        <f t="shared" si="3083"/>
        <v>NIL</v>
      </c>
      <c r="Q7563" t="str">
        <f t="shared" si="3083"/>
        <v>NIL</v>
      </c>
      <c r="R7563" t="str">
        <f t="shared" si="3076"/>
        <v>Accepted</v>
      </c>
      <c r="S7563" t="str">
        <f t="shared" si="3091"/>
        <v>Approved</v>
      </c>
      <c r="T7563" t="str">
        <f t="shared" si="3077"/>
        <v>10.20.8.188</v>
      </c>
      <c r="U7563" t="str">
        <f t="shared" si="3092"/>
        <v>AZRAD UMAR BIN SHAARI</v>
      </c>
      <c r="V7563" t="str">
        <f t="shared" si="3093"/>
        <v>FARHANA BINTI MUSTAPA</v>
      </c>
      <c r="W7563" t="str">
        <f t="shared" si="3094"/>
        <v>04-08-2020</v>
      </c>
      <c r="X7563" t="str">
        <f t="shared" si="3095"/>
        <v>RAZIMAH ANSAR AHMAD</v>
      </c>
      <c r="Y7563" t="str">
        <f t="shared" si="3096"/>
        <v>04-08-2020</v>
      </c>
      <c r="Z7563" t="str">
        <f>"COS10200804 1591"</f>
        <v>COS10200804 1591</v>
      </c>
    </row>
    <row r="7564" spans="1:26" x14ac:dyDescent="0.25">
      <c r="A7564" t="str">
        <f t="shared" si="3084"/>
        <v>04-08-2020 12:34:18</v>
      </c>
      <c r="B7564" t="str">
        <f>"0000803342"</f>
        <v>0000803342</v>
      </c>
      <c r="C7564" t="str">
        <f t="shared" si="3085"/>
        <v>0000803152</v>
      </c>
      <c r="D7564" t="str">
        <f t="shared" si="3086"/>
        <v>73185</v>
      </c>
      <c r="E7564" t="str">
        <f t="shared" si="3087"/>
        <v>KFH-OPERATIONS DEPARTMENT</v>
      </c>
      <c r="F7564" t="str">
        <f t="shared" si="3088"/>
        <v>IBG</v>
      </c>
      <c r="G7564" t="str">
        <f t="shared" ref="G7564:G7627" si="3097">"Refund COSHARE 10"</f>
        <v>Refund COSHARE 10</v>
      </c>
      <c r="H7564" s="2">
        <v>283.95</v>
      </c>
      <c r="I7564" t="str">
        <f>"HASROL NIZAM BIN HASHIM"</f>
        <v>HASROL NIZAM BIN HASHIM</v>
      </c>
      <c r="J7564" t="str">
        <f t="shared" si="3073"/>
        <v>BANK SIMPANAN NASIONAL</v>
      </c>
      <c r="K7564" t="str">
        <f>"0212329000046212"</f>
        <v>0212329000046212</v>
      </c>
      <c r="L7564" t="str">
        <f t="shared" si="3082"/>
        <v>04-08-2020</v>
      </c>
      <c r="M7564" t="str">
        <f t="shared" si="3082"/>
        <v>04-08-2020</v>
      </c>
      <c r="N7564" t="str">
        <f t="shared" si="3089"/>
        <v>001105018356</v>
      </c>
      <c r="O7564" t="str">
        <f t="shared" si="3090"/>
        <v>MYR</v>
      </c>
      <c r="P7564" t="str">
        <f t="shared" si="3083"/>
        <v>NIL</v>
      </c>
      <c r="Q7564" t="str">
        <f t="shared" si="3083"/>
        <v>NIL</v>
      </c>
      <c r="R7564" t="str">
        <f t="shared" si="3076"/>
        <v>Accepted</v>
      </c>
      <c r="S7564" t="str">
        <f t="shared" si="3091"/>
        <v>Approved</v>
      </c>
      <c r="T7564" t="str">
        <f t="shared" si="3077"/>
        <v>10.20.8.188</v>
      </c>
      <c r="U7564" t="str">
        <f t="shared" si="3092"/>
        <v>AZRAD UMAR BIN SHAARI</v>
      </c>
      <c r="V7564" t="str">
        <f t="shared" si="3093"/>
        <v>FARHANA BINTI MUSTAPA</v>
      </c>
      <c r="W7564" t="str">
        <f t="shared" si="3094"/>
        <v>04-08-2020</v>
      </c>
      <c r="X7564" t="str">
        <f t="shared" si="3095"/>
        <v>RAZIMAH ANSAR AHMAD</v>
      </c>
      <c r="Y7564" t="str">
        <f t="shared" si="3096"/>
        <v>04-08-2020</v>
      </c>
      <c r="Z7564" t="str">
        <f>"COS10200804 1590"</f>
        <v>COS10200804 1590</v>
      </c>
    </row>
    <row r="7565" spans="1:26" x14ac:dyDescent="0.25">
      <c r="A7565" t="str">
        <f t="shared" si="3084"/>
        <v>04-08-2020 12:34:18</v>
      </c>
      <c r="B7565" t="str">
        <f>"0000803341"</f>
        <v>0000803341</v>
      </c>
      <c r="C7565" t="str">
        <f t="shared" si="3085"/>
        <v>0000803152</v>
      </c>
      <c r="D7565" t="str">
        <f t="shared" si="3086"/>
        <v>73185</v>
      </c>
      <c r="E7565" t="str">
        <f t="shared" si="3087"/>
        <v>KFH-OPERATIONS DEPARTMENT</v>
      </c>
      <c r="F7565" t="str">
        <f t="shared" si="3088"/>
        <v>IBG</v>
      </c>
      <c r="G7565" t="str">
        <f t="shared" si="3097"/>
        <v>Refund COSHARE 10</v>
      </c>
      <c r="H7565" s="2">
        <v>134.35</v>
      </c>
      <c r="I7565" t="str">
        <f>"HASROL NAHAR BIN HASSIM"</f>
        <v>HASROL NAHAR BIN HASSIM</v>
      </c>
      <c r="J7565" t="str">
        <f t="shared" si="3073"/>
        <v>BANK SIMPANAN NASIONAL</v>
      </c>
      <c r="K7565" t="str">
        <f>"0860029811322942"</f>
        <v>0860029811322942</v>
      </c>
      <c r="L7565" t="str">
        <f t="shared" si="3082"/>
        <v>04-08-2020</v>
      </c>
      <c r="M7565" t="str">
        <f t="shared" si="3082"/>
        <v>04-08-2020</v>
      </c>
      <c r="N7565" t="str">
        <f t="shared" si="3089"/>
        <v>001105018356</v>
      </c>
      <c r="O7565" t="str">
        <f t="shared" si="3090"/>
        <v>MYR</v>
      </c>
      <c r="P7565" t="str">
        <f t="shared" si="3083"/>
        <v>NIL</v>
      </c>
      <c r="Q7565" t="str">
        <f t="shared" si="3083"/>
        <v>NIL</v>
      </c>
      <c r="R7565" t="str">
        <f t="shared" si="3076"/>
        <v>Accepted</v>
      </c>
      <c r="S7565" t="str">
        <f t="shared" si="3091"/>
        <v>Approved</v>
      </c>
      <c r="T7565" t="str">
        <f t="shared" si="3077"/>
        <v>10.20.8.188</v>
      </c>
      <c r="U7565" t="str">
        <f t="shared" si="3092"/>
        <v>AZRAD UMAR BIN SHAARI</v>
      </c>
      <c r="V7565" t="str">
        <f t="shared" si="3093"/>
        <v>FARHANA BINTI MUSTAPA</v>
      </c>
      <c r="W7565" t="str">
        <f t="shared" si="3094"/>
        <v>04-08-2020</v>
      </c>
      <c r="X7565" t="str">
        <f t="shared" si="3095"/>
        <v>RAZIMAH ANSAR AHMAD</v>
      </c>
      <c r="Y7565" t="str">
        <f t="shared" si="3096"/>
        <v>04-08-2020</v>
      </c>
      <c r="Z7565" t="str">
        <f>"COS10200804 1589"</f>
        <v>COS10200804 1589</v>
      </c>
    </row>
    <row r="7566" spans="1:26" x14ac:dyDescent="0.25">
      <c r="A7566" t="str">
        <f t="shared" si="3084"/>
        <v>04-08-2020 12:34:18</v>
      </c>
      <c r="B7566" t="str">
        <f>"0000803340"</f>
        <v>0000803340</v>
      </c>
      <c r="C7566" t="str">
        <f t="shared" si="3085"/>
        <v>0000803152</v>
      </c>
      <c r="D7566" t="str">
        <f t="shared" si="3086"/>
        <v>73185</v>
      </c>
      <c r="E7566" t="str">
        <f t="shared" si="3087"/>
        <v>KFH-OPERATIONS DEPARTMENT</v>
      </c>
      <c r="F7566" t="str">
        <f t="shared" si="3088"/>
        <v>IBG</v>
      </c>
      <c r="G7566" t="str">
        <f t="shared" si="3097"/>
        <v>Refund COSHARE 10</v>
      </c>
      <c r="H7566" s="2">
        <v>1108.1500000000001</v>
      </c>
      <c r="I7566" t="str">
        <f>"HASNI BINTI MAH HUSSIN"</f>
        <v>HASNI BINTI MAH HUSSIN</v>
      </c>
      <c r="J7566" t="str">
        <f t="shared" si="3073"/>
        <v>BANK SIMPANAN NASIONAL</v>
      </c>
      <c r="K7566" t="str">
        <f>"1010829000024330"</f>
        <v>1010829000024330</v>
      </c>
      <c r="L7566" t="str">
        <f t="shared" si="3082"/>
        <v>04-08-2020</v>
      </c>
      <c r="M7566" t="str">
        <f t="shared" si="3082"/>
        <v>04-08-2020</v>
      </c>
      <c r="N7566" t="str">
        <f t="shared" si="3089"/>
        <v>001105018356</v>
      </c>
      <c r="O7566" t="str">
        <f t="shared" si="3090"/>
        <v>MYR</v>
      </c>
      <c r="P7566" t="str">
        <f t="shared" si="3083"/>
        <v>NIL</v>
      </c>
      <c r="Q7566" t="str">
        <f t="shared" si="3083"/>
        <v>NIL</v>
      </c>
      <c r="R7566" t="str">
        <f t="shared" si="3076"/>
        <v>Accepted</v>
      </c>
      <c r="S7566" t="str">
        <f t="shared" si="3091"/>
        <v>Approved</v>
      </c>
      <c r="T7566" t="str">
        <f t="shared" si="3077"/>
        <v>10.20.8.188</v>
      </c>
      <c r="U7566" t="str">
        <f t="shared" si="3092"/>
        <v>AZRAD UMAR BIN SHAARI</v>
      </c>
      <c r="V7566" t="str">
        <f t="shared" si="3093"/>
        <v>FARHANA BINTI MUSTAPA</v>
      </c>
      <c r="W7566" t="str">
        <f t="shared" si="3094"/>
        <v>04-08-2020</v>
      </c>
      <c r="X7566" t="str">
        <f t="shared" si="3095"/>
        <v>RAZIMAH ANSAR AHMAD</v>
      </c>
      <c r="Y7566" t="str">
        <f t="shared" si="3096"/>
        <v>04-08-2020</v>
      </c>
      <c r="Z7566" t="str">
        <f>"COS10200804 1588"</f>
        <v>COS10200804 1588</v>
      </c>
    </row>
    <row r="7567" spans="1:26" x14ac:dyDescent="0.25">
      <c r="A7567" t="str">
        <f t="shared" si="3084"/>
        <v>04-08-2020 12:34:18</v>
      </c>
      <c r="B7567" t="str">
        <f>"0000803339"</f>
        <v>0000803339</v>
      </c>
      <c r="C7567" t="str">
        <f t="shared" si="3085"/>
        <v>0000803152</v>
      </c>
      <c r="D7567" t="str">
        <f t="shared" si="3086"/>
        <v>73185</v>
      </c>
      <c r="E7567" t="str">
        <f t="shared" si="3087"/>
        <v>KFH-OPERATIONS DEPARTMENT</v>
      </c>
      <c r="F7567" t="str">
        <f t="shared" si="3088"/>
        <v>IBG</v>
      </c>
      <c r="G7567" t="str">
        <f t="shared" si="3097"/>
        <v>Refund COSHARE 10</v>
      </c>
      <c r="H7567" s="2">
        <v>587</v>
      </c>
      <c r="I7567" t="str">
        <f>"HASNI BIN MAT"</f>
        <v>HASNI BIN MAT</v>
      </c>
      <c r="J7567" t="str">
        <f t="shared" si="3073"/>
        <v>BANK SIMPANAN NASIONAL</v>
      </c>
      <c r="K7567" t="str">
        <f>"0640029866948947"</f>
        <v>0640029866948947</v>
      </c>
      <c r="L7567" t="str">
        <f t="shared" ref="L7567:M7586" si="3098">"04-08-2020"</f>
        <v>04-08-2020</v>
      </c>
      <c r="M7567" t="str">
        <f t="shared" si="3098"/>
        <v>04-08-2020</v>
      </c>
      <c r="N7567" t="str">
        <f t="shared" si="3089"/>
        <v>001105018356</v>
      </c>
      <c r="O7567" t="str">
        <f t="shared" si="3090"/>
        <v>MYR</v>
      </c>
      <c r="P7567" t="str">
        <f t="shared" ref="P7567:Q7586" si="3099">"NIL"</f>
        <v>NIL</v>
      </c>
      <c r="Q7567" t="str">
        <f t="shared" si="3099"/>
        <v>NIL</v>
      </c>
      <c r="R7567" t="str">
        <f t="shared" si="3076"/>
        <v>Accepted</v>
      </c>
      <c r="S7567" t="str">
        <f t="shared" si="3091"/>
        <v>Approved</v>
      </c>
      <c r="T7567" t="str">
        <f t="shared" si="3077"/>
        <v>10.20.8.188</v>
      </c>
      <c r="U7567" t="str">
        <f t="shared" si="3092"/>
        <v>AZRAD UMAR BIN SHAARI</v>
      </c>
      <c r="V7567" t="str">
        <f t="shared" si="3093"/>
        <v>FARHANA BINTI MUSTAPA</v>
      </c>
      <c r="W7567" t="str">
        <f t="shared" si="3094"/>
        <v>04-08-2020</v>
      </c>
      <c r="X7567" t="str">
        <f t="shared" si="3095"/>
        <v>RAZIMAH ANSAR AHMAD</v>
      </c>
      <c r="Y7567" t="str">
        <f t="shared" si="3096"/>
        <v>04-08-2020</v>
      </c>
      <c r="Z7567" t="str">
        <f>"COS10200804 1587"</f>
        <v>COS10200804 1587</v>
      </c>
    </row>
    <row r="7568" spans="1:26" x14ac:dyDescent="0.25">
      <c r="A7568" t="str">
        <f t="shared" si="3084"/>
        <v>04-08-2020 12:34:18</v>
      </c>
      <c r="B7568" t="str">
        <f>"0000803338"</f>
        <v>0000803338</v>
      </c>
      <c r="C7568" t="str">
        <f t="shared" si="3085"/>
        <v>0000803152</v>
      </c>
      <c r="D7568" t="str">
        <f t="shared" si="3086"/>
        <v>73185</v>
      </c>
      <c r="E7568" t="str">
        <f t="shared" si="3087"/>
        <v>KFH-OPERATIONS DEPARTMENT</v>
      </c>
      <c r="F7568" t="str">
        <f t="shared" si="3088"/>
        <v>IBG</v>
      </c>
      <c r="G7568" t="str">
        <f t="shared" si="3097"/>
        <v>Refund COSHARE 10</v>
      </c>
      <c r="H7568" s="2">
        <v>125.95</v>
      </c>
      <c r="I7568" t="str">
        <f>"HASLINDA BINTI YAMAN"</f>
        <v>HASLINDA BINTI YAMAN</v>
      </c>
      <c r="J7568" t="str">
        <f t="shared" si="3073"/>
        <v>BANK SIMPANAN NASIONAL</v>
      </c>
      <c r="K7568" t="str">
        <f>"0113729000044976"</f>
        <v>0113729000044976</v>
      </c>
      <c r="L7568" t="str">
        <f t="shared" si="3098"/>
        <v>04-08-2020</v>
      </c>
      <c r="M7568" t="str">
        <f t="shared" si="3098"/>
        <v>04-08-2020</v>
      </c>
      <c r="N7568" t="str">
        <f t="shared" si="3089"/>
        <v>001105018356</v>
      </c>
      <c r="O7568" t="str">
        <f t="shared" si="3090"/>
        <v>MYR</v>
      </c>
      <c r="P7568" t="str">
        <f t="shared" si="3099"/>
        <v>NIL</v>
      </c>
      <c r="Q7568" t="str">
        <f t="shared" si="3099"/>
        <v>NIL</v>
      </c>
      <c r="R7568" t="str">
        <f t="shared" si="3076"/>
        <v>Accepted</v>
      </c>
      <c r="S7568" t="str">
        <f t="shared" si="3091"/>
        <v>Approved</v>
      </c>
      <c r="T7568" t="str">
        <f t="shared" si="3077"/>
        <v>10.20.8.188</v>
      </c>
      <c r="U7568" t="str">
        <f t="shared" si="3092"/>
        <v>AZRAD UMAR BIN SHAARI</v>
      </c>
      <c r="V7568" t="str">
        <f t="shared" si="3093"/>
        <v>FARHANA BINTI MUSTAPA</v>
      </c>
      <c r="W7568" t="str">
        <f t="shared" si="3094"/>
        <v>04-08-2020</v>
      </c>
      <c r="X7568" t="str">
        <f t="shared" si="3095"/>
        <v>RAZIMAH ANSAR AHMAD</v>
      </c>
      <c r="Y7568" t="str">
        <f t="shared" si="3096"/>
        <v>04-08-2020</v>
      </c>
      <c r="Z7568" t="str">
        <f>"COS10200804 1586"</f>
        <v>COS10200804 1586</v>
      </c>
    </row>
    <row r="7569" spans="1:26" x14ac:dyDescent="0.25">
      <c r="A7569" t="str">
        <f t="shared" si="3084"/>
        <v>04-08-2020 12:34:18</v>
      </c>
      <c r="B7569" t="str">
        <f>"0000803337"</f>
        <v>0000803337</v>
      </c>
      <c r="C7569" t="str">
        <f t="shared" si="3085"/>
        <v>0000803152</v>
      </c>
      <c r="D7569" t="str">
        <f t="shared" si="3086"/>
        <v>73185</v>
      </c>
      <c r="E7569" t="str">
        <f t="shared" si="3087"/>
        <v>KFH-OPERATIONS DEPARTMENT</v>
      </c>
      <c r="F7569" t="str">
        <f t="shared" si="3088"/>
        <v>IBG</v>
      </c>
      <c r="G7569" t="str">
        <f t="shared" si="3097"/>
        <v>Refund COSHARE 10</v>
      </c>
      <c r="H7569" s="2">
        <v>1293</v>
      </c>
      <c r="I7569" t="str">
        <f>"HASLINA BINTI JAMARI"</f>
        <v>HASLINA BINTI JAMARI</v>
      </c>
      <c r="J7569" t="str">
        <f t="shared" si="3073"/>
        <v>BANK SIMPANAN NASIONAL</v>
      </c>
      <c r="K7569" t="str">
        <f>"0520029835982916"</f>
        <v>0520029835982916</v>
      </c>
      <c r="L7569" t="str">
        <f t="shared" si="3098"/>
        <v>04-08-2020</v>
      </c>
      <c r="M7569" t="str">
        <f t="shared" si="3098"/>
        <v>04-08-2020</v>
      </c>
      <c r="N7569" t="str">
        <f t="shared" si="3089"/>
        <v>001105018356</v>
      </c>
      <c r="O7569" t="str">
        <f t="shared" si="3090"/>
        <v>MYR</v>
      </c>
      <c r="P7569" t="str">
        <f t="shared" si="3099"/>
        <v>NIL</v>
      </c>
      <c r="Q7569" t="str">
        <f t="shared" si="3099"/>
        <v>NIL</v>
      </c>
      <c r="R7569" t="str">
        <f t="shared" si="3076"/>
        <v>Accepted</v>
      </c>
      <c r="S7569" t="str">
        <f t="shared" si="3091"/>
        <v>Approved</v>
      </c>
      <c r="T7569" t="str">
        <f t="shared" si="3077"/>
        <v>10.20.8.188</v>
      </c>
      <c r="U7569" t="str">
        <f t="shared" si="3092"/>
        <v>AZRAD UMAR BIN SHAARI</v>
      </c>
      <c r="V7569" t="str">
        <f t="shared" si="3093"/>
        <v>FARHANA BINTI MUSTAPA</v>
      </c>
      <c r="W7569" t="str">
        <f t="shared" si="3094"/>
        <v>04-08-2020</v>
      </c>
      <c r="X7569" t="str">
        <f t="shared" si="3095"/>
        <v>RAZIMAH ANSAR AHMAD</v>
      </c>
      <c r="Y7569" t="str">
        <f t="shared" si="3096"/>
        <v>04-08-2020</v>
      </c>
      <c r="Z7569" t="str">
        <f>"COS10200804 1585"</f>
        <v>COS10200804 1585</v>
      </c>
    </row>
    <row r="7570" spans="1:26" x14ac:dyDescent="0.25">
      <c r="A7570" t="str">
        <f t="shared" si="3084"/>
        <v>04-08-2020 12:34:18</v>
      </c>
      <c r="B7570" t="str">
        <f>"0000803336"</f>
        <v>0000803336</v>
      </c>
      <c r="C7570" t="str">
        <f t="shared" si="3085"/>
        <v>0000803152</v>
      </c>
      <c r="D7570" t="str">
        <f t="shared" si="3086"/>
        <v>73185</v>
      </c>
      <c r="E7570" t="str">
        <f t="shared" si="3087"/>
        <v>KFH-OPERATIONS DEPARTMENT</v>
      </c>
      <c r="F7570" t="str">
        <f t="shared" si="3088"/>
        <v>IBG</v>
      </c>
      <c r="G7570" t="str">
        <f t="shared" si="3097"/>
        <v>Refund COSHARE 10</v>
      </c>
      <c r="H7570" s="2">
        <v>839.5</v>
      </c>
      <c r="I7570" t="str">
        <f>"HASFATASHA BINTI HALIM"</f>
        <v>HASFATASHA BINTI HALIM</v>
      </c>
      <c r="J7570" t="str">
        <f t="shared" si="3073"/>
        <v>BANK SIMPANAN NASIONAL</v>
      </c>
      <c r="K7570" t="str">
        <f>"1413329000024301"</f>
        <v>1413329000024301</v>
      </c>
      <c r="L7570" t="str">
        <f t="shared" si="3098"/>
        <v>04-08-2020</v>
      </c>
      <c r="M7570" t="str">
        <f t="shared" si="3098"/>
        <v>04-08-2020</v>
      </c>
      <c r="N7570" t="str">
        <f t="shared" si="3089"/>
        <v>001105018356</v>
      </c>
      <c r="O7570" t="str">
        <f t="shared" si="3090"/>
        <v>MYR</v>
      </c>
      <c r="P7570" t="str">
        <f t="shared" si="3099"/>
        <v>NIL</v>
      </c>
      <c r="Q7570" t="str">
        <f t="shared" si="3099"/>
        <v>NIL</v>
      </c>
      <c r="R7570" t="str">
        <f t="shared" si="3076"/>
        <v>Accepted</v>
      </c>
      <c r="S7570" t="str">
        <f t="shared" si="3091"/>
        <v>Approved</v>
      </c>
      <c r="T7570" t="str">
        <f t="shared" si="3077"/>
        <v>10.20.8.188</v>
      </c>
      <c r="U7570" t="str">
        <f t="shared" si="3092"/>
        <v>AZRAD UMAR BIN SHAARI</v>
      </c>
      <c r="V7570" t="str">
        <f t="shared" si="3093"/>
        <v>FARHANA BINTI MUSTAPA</v>
      </c>
      <c r="W7570" t="str">
        <f t="shared" si="3094"/>
        <v>04-08-2020</v>
      </c>
      <c r="X7570" t="str">
        <f t="shared" si="3095"/>
        <v>RAZIMAH ANSAR AHMAD</v>
      </c>
      <c r="Y7570" t="str">
        <f t="shared" si="3096"/>
        <v>04-08-2020</v>
      </c>
      <c r="Z7570" t="str">
        <f>"COS10200804 1584"</f>
        <v>COS10200804 1584</v>
      </c>
    </row>
    <row r="7571" spans="1:26" x14ac:dyDescent="0.25">
      <c r="A7571" t="str">
        <f t="shared" si="3084"/>
        <v>04-08-2020 12:34:18</v>
      </c>
      <c r="B7571" t="str">
        <f>"0000803335"</f>
        <v>0000803335</v>
      </c>
      <c r="C7571" t="str">
        <f t="shared" si="3085"/>
        <v>0000803152</v>
      </c>
      <c r="D7571" t="str">
        <f t="shared" si="3086"/>
        <v>73185</v>
      </c>
      <c r="E7571" t="str">
        <f t="shared" si="3087"/>
        <v>KFH-OPERATIONS DEPARTMENT</v>
      </c>
      <c r="F7571" t="str">
        <f t="shared" si="3088"/>
        <v>IBG</v>
      </c>
      <c r="G7571" t="str">
        <f t="shared" si="3097"/>
        <v>Refund COSHARE 10</v>
      </c>
      <c r="H7571" s="2">
        <v>242</v>
      </c>
      <c r="I7571" t="str">
        <f>"HARUN NARASID BIN DASUKI"</f>
        <v>HARUN NARASID BIN DASUKI</v>
      </c>
      <c r="J7571" t="str">
        <f t="shared" si="3073"/>
        <v>BANK SIMPANAN NASIONAL</v>
      </c>
      <c r="K7571" t="str">
        <f>"1010029881142626"</f>
        <v>1010029881142626</v>
      </c>
      <c r="L7571" t="str">
        <f t="shared" si="3098"/>
        <v>04-08-2020</v>
      </c>
      <c r="M7571" t="str">
        <f t="shared" si="3098"/>
        <v>04-08-2020</v>
      </c>
      <c r="N7571" t="str">
        <f t="shared" si="3089"/>
        <v>001105018356</v>
      </c>
      <c r="O7571" t="str">
        <f t="shared" si="3090"/>
        <v>MYR</v>
      </c>
      <c r="P7571" t="str">
        <f t="shared" si="3099"/>
        <v>NIL</v>
      </c>
      <c r="Q7571" t="str">
        <f t="shared" si="3099"/>
        <v>NIL</v>
      </c>
      <c r="R7571" t="str">
        <f t="shared" si="3076"/>
        <v>Accepted</v>
      </c>
      <c r="S7571" t="str">
        <f t="shared" si="3091"/>
        <v>Approved</v>
      </c>
      <c r="T7571" t="str">
        <f t="shared" si="3077"/>
        <v>10.20.8.188</v>
      </c>
      <c r="U7571" t="str">
        <f t="shared" si="3092"/>
        <v>AZRAD UMAR BIN SHAARI</v>
      </c>
      <c r="V7571" t="str">
        <f t="shared" si="3093"/>
        <v>FARHANA BINTI MUSTAPA</v>
      </c>
      <c r="W7571" t="str">
        <f t="shared" si="3094"/>
        <v>04-08-2020</v>
      </c>
      <c r="X7571" t="str">
        <f t="shared" si="3095"/>
        <v>RAZIMAH ANSAR AHMAD</v>
      </c>
      <c r="Y7571" t="str">
        <f t="shared" si="3096"/>
        <v>04-08-2020</v>
      </c>
      <c r="Z7571" t="str">
        <f>"COS10200804 1583"</f>
        <v>COS10200804 1583</v>
      </c>
    </row>
    <row r="7572" spans="1:26" x14ac:dyDescent="0.25">
      <c r="A7572" t="str">
        <f t="shared" si="3084"/>
        <v>04-08-2020 12:34:18</v>
      </c>
      <c r="B7572" t="str">
        <f>"0000803334"</f>
        <v>0000803334</v>
      </c>
      <c r="C7572" t="str">
        <f t="shared" si="3085"/>
        <v>0000803152</v>
      </c>
      <c r="D7572" t="str">
        <f t="shared" si="3086"/>
        <v>73185</v>
      </c>
      <c r="E7572" t="str">
        <f t="shared" si="3087"/>
        <v>KFH-OPERATIONS DEPARTMENT</v>
      </c>
      <c r="F7572" t="str">
        <f t="shared" si="3088"/>
        <v>IBG</v>
      </c>
      <c r="G7572" t="str">
        <f t="shared" si="3097"/>
        <v>Refund COSHARE 10</v>
      </c>
      <c r="H7572" s="2">
        <v>88.45</v>
      </c>
      <c r="I7572" t="str">
        <f>"HARUN BIN AHMAD"</f>
        <v>HARUN BIN AHMAD</v>
      </c>
      <c r="J7572" t="str">
        <f t="shared" ref="J7572:J7635" si="3100">"BANK SIMPANAN NASIONAL"</f>
        <v>BANK SIMPANAN NASIONAL</v>
      </c>
      <c r="K7572" t="str">
        <f>"1211329865819375"</f>
        <v>1211329865819375</v>
      </c>
      <c r="L7572" t="str">
        <f t="shared" si="3098"/>
        <v>04-08-2020</v>
      </c>
      <c r="M7572" t="str">
        <f t="shared" si="3098"/>
        <v>04-08-2020</v>
      </c>
      <c r="N7572" t="str">
        <f t="shared" si="3089"/>
        <v>001105018356</v>
      </c>
      <c r="O7572" t="str">
        <f t="shared" si="3090"/>
        <v>MYR</v>
      </c>
      <c r="P7572" t="str">
        <f t="shared" si="3099"/>
        <v>NIL</v>
      </c>
      <c r="Q7572" t="str">
        <f t="shared" si="3099"/>
        <v>NIL</v>
      </c>
      <c r="R7572" t="str">
        <f t="shared" si="3076"/>
        <v>Accepted</v>
      </c>
      <c r="S7572" t="str">
        <f t="shared" si="3091"/>
        <v>Approved</v>
      </c>
      <c r="T7572" t="str">
        <f t="shared" si="3077"/>
        <v>10.20.8.188</v>
      </c>
      <c r="U7572" t="str">
        <f t="shared" si="3092"/>
        <v>AZRAD UMAR BIN SHAARI</v>
      </c>
      <c r="V7572" t="str">
        <f t="shared" si="3093"/>
        <v>FARHANA BINTI MUSTAPA</v>
      </c>
      <c r="W7572" t="str">
        <f t="shared" si="3094"/>
        <v>04-08-2020</v>
      </c>
      <c r="X7572" t="str">
        <f t="shared" si="3095"/>
        <v>RAZIMAH ANSAR AHMAD</v>
      </c>
      <c r="Y7572" t="str">
        <f t="shared" si="3096"/>
        <v>04-08-2020</v>
      </c>
      <c r="Z7572" t="str">
        <f>"COS10200804 1582"</f>
        <v>COS10200804 1582</v>
      </c>
    </row>
    <row r="7573" spans="1:26" x14ac:dyDescent="0.25">
      <c r="A7573" t="str">
        <f t="shared" si="3084"/>
        <v>04-08-2020 12:34:18</v>
      </c>
      <c r="B7573" t="str">
        <f>"0000803333"</f>
        <v>0000803333</v>
      </c>
      <c r="C7573" t="str">
        <f t="shared" si="3085"/>
        <v>0000803152</v>
      </c>
      <c r="D7573" t="str">
        <f t="shared" si="3086"/>
        <v>73185</v>
      </c>
      <c r="E7573" t="str">
        <f t="shared" si="3087"/>
        <v>KFH-OPERATIONS DEPARTMENT</v>
      </c>
      <c r="F7573" t="str">
        <f t="shared" si="3088"/>
        <v>IBG</v>
      </c>
      <c r="G7573" t="str">
        <f t="shared" si="3097"/>
        <v>Refund COSHARE 10</v>
      </c>
      <c r="H7573" s="2">
        <v>1175.3</v>
      </c>
      <c r="I7573" t="str">
        <f>"HARDAYU BINTI HAMDAN"</f>
        <v>HARDAYU BINTI HAMDAN</v>
      </c>
      <c r="J7573" t="str">
        <f t="shared" si="3100"/>
        <v>BANK SIMPANAN NASIONAL</v>
      </c>
      <c r="K7573" t="str">
        <f>"0115129857466543"</f>
        <v>0115129857466543</v>
      </c>
      <c r="L7573" t="str">
        <f t="shared" si="3098"/>
        <v>04-08-2020</v>
      </c>
      <c r="M7573" t="str">
        <f t="shared" si="3098"/>
        <v>04-08-2020</v>
      </c>
      <c r="N7573" t="str">
        <f t="shared" si="3089"/>
        <v>001105018356</v>
      </c>
      <c r="O7573" t="str">
        <f t="shared" si="3090"/>
        <v>MYR</v>
      </c>
      <c r="P7573" t="str">
        <f t="shared" si="3099"/>
        <v>NIL</v>
      </c>
      <c r="Q7573" t="str">
        <f t="shared" si="3099"/>
        <v>NIL</v>
      </c>
      <c r="R7573" t="str">
        <f t="shared" si="3076"/>
        <v>Accepted</v>
      </c>
      <c r="S7573" t="str">
        <f t="shared" si="3091"/>
        <v>Approved</v>
      </c>
      <c r="T7573" t="str">
        <f t="shared" si="3077"/>
        <v>10.20.8.188</v>
      </c>
      <c r="U7573" t="str">
        <f t="shared" si="3092"/>
        <v>AZRAD UMAR BIN SHAARI</v>
      </c>
      <c r="V7573" t="str">
        <f t="shared" si="3093"/>
        <v>FARHANA BINTI MUSTAPA</v>
      </c>
      <c r="W7573" t="str">
        <f t="shared" si="3094"/>
        <v>04-08-2020</v>
      </c>
      <c r="X7573" t="str">
        <f t="shared" si="3095"/>
        <v>RAZIMAH ANSAR AHMAD</v>
      </c>
      <c r="Y7573" t="str">
        <f t="shared" si="3096"/>
        <v>04-08-2020</v>
      </c>
      <c r="Z7573" t="str">
        <f>"COS10200804 1581"</f>
        <v>COS10200804 1581</v>
      </c>
    </row>
    <row r="7574" spans="1:26" x14ac:dyDescent="0.25">
      <c r="A7574" t="str">
        <f t="shared" si="3084"/>
        <v>04-08-2020 12:34:18</v>
      </c>
      <c r="B7574" t="str">
        <f>"0000803332"</f>
        <v>0000803332</v>
      </c>
      <c r="C7574" t="str">
        <f t="shared" si="3085"/>
        <v>0000803152</v>
      </c>
      <c r="D7574" t="str">
        <f t="shared" si="3086"/>
        <v>73185</v>
      </c>
      <c r="E7574" t="str">
        <f t="shared" si="3087"/>
        <v>KFH-OPERATIONS DEPARTMENT</v>
      </c>
      <c r="F7574" t="str">
        <f t="shared" si="3088"/>
        <v>IBG</v>
      </c>
      <c r="G7574" t="str">
        <f t="shared" si="3097"/>
        <v>Refund COSHARE 10</v>
      </c>
      <c r="H7574" s="2">
        <v>839.5</v>
      </c>
      <c r="I7574" t="str">
        <f>"HAPIZU BIN AWANG"</f>
        <v>HAPIZU BIN AWANG</v>
      </c>
      <c r="J7574" t="str">
        <f t="shared" si="3100"/>
        <v>BANK SIMPANAN NASIONAL</v>
      </c>
      <c r="K7574" t="str">
        <f>"1015129000001646"</f>
        <v>1015129000001646</v>
      </c>
      <c r="L7574" t="str">
        <f t="shared" si="3098"/>
        <v>04-08-2020</v>
      </c>
      <c r="M7574" t="str">
        <f t="shared" si="3098"/>
        <v>04-08-2020</v>
      </c>
      <c r="N7574" t="str">
        <f t="shared" si="3089"/>
        <v>001105018356</v>
      </c>
      <c r="O7574" t="str">
        <f t="shared" si="3090"/>
        <v>MYR</v>
      </c>
      <c r="P7574" t="str">
        <f t="shared" si="3099"/>
        <v>NIL</v>
      </c>
      <c r="Q7574" t="str">
        <f t="shared" si="3099"/>
        <v>NIL</v>
      </c>
      <c r="R7574" t="str">
        <f t="shared" si="3076"/>
        <v>Accepted</v>
      </c>
      <c r="S7574" t="str">
        <f t="shared" si="3091"/>
        <v>Approved</v>
      </c>
      <c r="T7574" t="str">
        <f t="shared" si="3077"/>
        <v>10.20.8.188</v>
      </c>
      <c r="U7574" t="str">
        <f t="shared" si="3092"/>
        <v>AZRAD UMAR BIN SHAARI</v>
      </c>
      <c r="V7574" t="str">
        <f t="shared" si="3093"/>
        <v>FARHANA BINTI MUSTAPA</v>
      </c>
      <c r="W7574" t="str">
        <f t="shared" si="3094"/>
        <v>04-08-2020</v>
      </c>
      <c r="X7574" t="str">
        <f t="shared" si="3095"/>
        <v>RAZIMAH ANSAR AHMAD</v>
      </c>
      <c r="Y7574" t="str">
        <f t="shared" si="3096"/>
        <v>04-08-2020</v>
      </c>
      <c r="Z7574" t="str">
        <f>"COS10200804 1580"</f>
        <v>COS10200804 1580</v>
      </c>
    </row>
    <row r="7575" spans="1:26" x14ac:dyDescent="0.25">
      <c r="A7575" t="str">
        <f t="shared" si="3084"/>
        <v>04-08-2020 12:34:18</v>
      </c>
      <c r="B7575" t="str">
        <f>"0000803331"</f>
        <v>0000803331</v>
      </c>
      <c r="C7575" t="str">
        <f t="shared" si="3085"/>
        <v>0000803152</v>
      </c>
      <c r="D7575" t="str">
        <f t="shared" si="3086"/>
        <v>73185</v>
      </c>
      <c r="E7575" t="str">
        <f t="shared" si="3087"/>
        <v>KFH-OPERATIONS DEPARTMENT</v>
      </c>
      <c r="F7575" t="str">
        <f t="shared" si="3088"/>
        <v>IBG</v>
      </c>
      <c r="G7575" t="str">
        <f t="shared" si="3097"/>
        <v>Refund COSHARE 10</v>
      </c>
      <c r="H7575" s="2">
        <v>386</v>
      </c>
      <c r="I7575" t="str">
        <f>"HAPID BIN JUDDIN"</f>
        <v>HAPID BIN JUDDIN</v>
      </c>
      <c r="J7575" t="str">
        <f t="shared" si="3100"/>
        <v>BANK SIMPANAN NASIONAL</v>
      </c>
      <c r="K7575" t="str">
        <f>"1210129000022739"</f>
        <v>1210129000022739</v>
      </c>
      <c r="L7575" t="str">
        <f t="shared" si="3098"/>
        <v>04-08-2020</v>
      </c>
      <c r="M7575" t="str">
        <f t="shared" si="3098"/>
        <v>04-08-2020</v>
      </c>
      <c r="N7575" t="str">
        <f t="shared" si="3089"/>
        <v>001105018356</v>
      </c>
      <c r="O7575" t="str">
        <f t="shared" si="3090"/>
        <v>MYR</v>
      </c>
      <c r="P7575" t="str">
        <f t="shared" si="3099"/>
        <v>NIL</v>
      </c>
      <c r="Q7575" t="str">
        <f t="shared" si="3099"/>
        <v>NIL</v>
      </c>
      <c r="R7575" t="str">
        <f t="shared" si="3076"/>
        <v>Accepted</v>
      </c>
      <c r="S7575" t="str">
        <f t="shared" si="3091"/>
        <v>Approved</v>
      </c>
      <c r="T7575" t="str">
        <f t="shared" si="3077"/>
        <v>10.20.8.188</v>
      </c>
      <c r="U7575" t="str">
        <f t="shared" si="3092"/>
        <v>AZRAD UMAR BIN SHAARI</v>
      </c>
      <c r="V7575" t="str">
        <f t="shared" si="3093"/>
        <v>FARHANA BINTI MUSTAPA</v>
      </c>
      <c r="W7575" t="str">
        <f t="shared" si="3094"/>
        <v>04-08-2020</v>
      </c>
      <c r="X7575" t="str">
        <f t="shared" si="3095"/>
        <v>RAZIMAH ANSAR AHMAD</v>
      </c>
      <c r="Y7575" t="str">
        <f t="shared" si="3096"/>
        <v>04-08-2020</v>
      </c>
      <c r="Z7575" t="str">
        <f>"COS10200804 1579"</f>
        <v>COS10200804 1579</v>
      </c>
    </row>
    <row r="7576" spans="1:26" x14ac:dyDescent="0.25">
      <c r="A7576" t="str">
        <f t="shared" si="3084"/>
        <v>04-08-2020 12:34:18</v>
      </c>
      <c r="B7576" t="str">
        <f>"0000803330"</f>
        <v>0000803330</v>
      </c>
      <c r="C7576" t="str">
        <f t="shared" si="3085"/>
        <v>0000803152</v>
      </c>
      <c r="D7576" t="str">
        <f t="shared" si="3086"/>
        <v>73185</v>
      </c>
      <c r="E7576" t="str">
        <f t="shared" si="3087"/>
        <v>KFH-OPERATIONS DEPARTMENT</v>
      </c>
      <c r="F7576" t="str">
        <f t="shared" si="3088"/>
        <v>IBG</v>
      </c>
      <c r="G7576" t="str">
        <f t="shared" si="3097"/>
        <v>Refund COSHARE 10</v>
      </c>
      <c r="H7576" s="2">
        <v>92.35</v>
      </c>
      <c r="I7576" t="str">
        <f>"HANAPIAH BIN SALLEH"</f>
        <v>HANAPIAH BIN SALLEH</v>
      </c>
      <c r="J7576" t="str">
        <f t="shared" si="3100"/>
        <v>BANK SIMPANAN NASIONAL</v>
      </c>
      <c r="K7576" t="str">
        <f>"0510429000253662"</f>
        <v>0510429000253662</v>
      </c>
      <c r="L7576" t="str">
        <f t="shared" si="3098"/>
        <v>04-08-2020</v>
      </c>
      <c r="M7576" t="str">
        <f t="shared" si="3098"/>
        <v>04-08-2020</v>
      </c>
      <c r="N7576" t="str">
        <f t="shared" si="3089"/>
        <v>001105018356</v>
      </c>
      <c r="O7576" t="str">
        <f t="shared" si="3090"/>
        <v>MYR</v>
      </c>
      <c r="P7576" t="str">
        <f t="shared" si="3099"/>
        <v>NIL</v>
      </c>
      <c r="Q7576" t="str">
        <f t="shared" si="3099"/>
        <v>NIL</v>
      </c>
      <c r="R7576" t="str">
        <f t="shared" si="3076"/>
        <v>Accepted</v>
      </c>
      <c r="S7576" t="str">
        <f t="shared" si="3091"/>
        <v>Approved</v>
      </c>
      <c r="T7576" t="str">
        <f t="shared" si="3077"/>
        <v>10.20.8.188</v>
      </c>
      <c r="U7576" t="str">
        <f t="shared" si="3092"/>
        <v>AZRAD UMAR BIN SHAARI</v>
      </c>
      <c r="V7576" t="str">
        <f t="shared" si="3093"/>
        <v>FARHANA BINTI MUSTAPA</v>
      </c>
      <c r="W7576" t="str">
        <f t="shared" si="3094"/>
        <v>04-08-2020</v>
      </c>
      <c r="X7576" t="str">
        <f t="shared" si="3095"/>
        <v>RAZIMAH ANSAR AHMAD</v>
      </c>
      <c r="Y7576" t="str">
        <f t="shared" si="3096"/>
        <v>04-08-2020</v>
      </c>
      <c r="Z7576" t="str">
        <f>"COS10200804 1578"</f>
        <v>COS10200804 1578</v>
      </c>
    </row>
    <row r="7577" spans="1:26" x14ac:dyDescent="0.25">
      <c r="A7577" t="str">
        <f t="shared" si="3084"/>
        <v>04-08-2020 12:34:18</v>
      </c>
      <c r="B7577" t="str">
        <f>"0000803329"</f>
        <v>0000803329</v>
      </c>
      <c r="C7577" t="str">
        <f t="shared" si="3085"/>
        <v>0000803152</v>
      </c>
      <c r="D7577" t="str">
        <f t="shared" si="3086"/>
        <v>73185</v>
      </c>
      <c r="E7577" t="str">
        <f t="shared" si="3087"/>
        <v>KFH-OPERATIONS DEPARTMENT</v>
      </c>
      <c r="F7577" t="str">
        <f t="shared" si="3088"/>
        <v>IBG</v>
      </c>
      <c r="G7577" t="str">
        <f t="shared" si="3097"/>
        <v>Refund COSHARE 10</v>
      </c>
      <c r="H7577" s="2">
        <v>1290</v>
      </c>
      <c r="I7577" t="str">
        <f>"HAMISAH BINTI MILAH"</f>
        <v>HAMISAH BINTI MILAH</v>
      </c>
      <c r="J7577" t="str">
        <f t="shared" si="3100"/>
        <v>BANK SIMPANAN NASIONAL</v>
      </c>
      <c r="K7577" t="str">
        <f>"1210029000286938"</f>
        <v>1210029000286938</v>
      </c>
      <c r="L7577" t="str">
        <f t="shared" si="3098"/>
        <v>04-08-2020</v>
      </c>
      <c r="M7577" t="str">
        <f t="shared" si="3098"/>
        <v>04-08-2020</v>
      </c>
      <c r="N7577" t="str">
        <f t="shared" si="3089"/>
        <v>001105018356</v>
      </c>
      <c r="O7577" t="str">
        <f t="shared" si="3090"/>
        <v>MYR</v>
      </c>
      <c r="P7577" t="str">
        <f t="shared" si="3099"/>
        <v>NIL</v>
      </c>
      <c r="Q7577" t="str">
        <f t="shared" si="3099"/>
        <v>NIL</v>
      </c>
      <c r="R7577" t="str">
        <f t="shared" si="3076"/>
        <v>Accepted</v>
      </c>
      <c r="S7577" t="str">
        <f t="shared" si="3091"/>
        <v>Approved</v>
      </c>
      <c r="T7577" t="str">
        <f t="shared" si="3077"/>
        <v>10.20.8.188</v>
      </c>
      <c r="U7577" t="str">
        <f t="shared" si="3092"/>
        <v>AZRAD UMAR BIN SHAARI</v>
      </c>
      <c r="V7577" t="str">
        <f t="shared" si="3093"/>
        <v>FARHANA BINTI MUSTAPA</v>
      </c>
      <c r="W7577" t="str">
        <f t="shared" si="3094"/>
        <v>04-08-2020</v>
      </c>
      <c r="X7577" t="str">
        <f t="shared" si="3095"/>
        <v>RAZIMAH ANSAR AHMAD</v>
      </c>
      <c r="Y7577" t="str">
        <f t="shared" si="3096"/>
        <v>04-08-2020</v>
      </c>
      <c r="Z7577" t="str">
        <f>"COS10200804 1577"</f>
        <v>COS10200804 1577</v>
      </c>
    </row>
    <row r="7578" spans="1:26" x14ac:dyDescent="0.25">
      <c r="A7578" t="str">
        <f t="shared" si="3084"/>
        <v>04-08-2020 12:34:18</v>
      </c>
      <c r="B7578" t="str">
        <f>"0000803328"</f>
        <v>0000803328</v>
      </c>
      <c r="C7578" t="str">
        <f t="shared" si="3085"/>
        <v>0000803152</v>
      </c>
      <c r="D7578" t="str">
        <f t="shared" si="3086"/>
        <v>73185</v>
      </c>
      <c r="E7578" t="str">
        <f t="shared" si="3087"/>
        <v>KFH-OPERATIONS DEPARTMENT</v>
      </c>
      <c r="F7578" t="str">
        <f t="shared" si="3088"/>
        <v>IBG</v>
      </c>
      <c r="G7578" t="str">
        <f t="shared" si="3097"/>
        <v>Refund COSHARE 10</v>
      </c>
      <c r="H7578" s="2">
        <v>1540</v>
      </c>
      <c r="I7578" t="str">
        <f>"HAMIDAH BINTI HASHIM"</f>
        <v>HAMIDAH BINTI HASHIM</v>
      </c>
      <c r="J7578" t="str">
        <f t="shared" si="3100"/>
        <v>BANK SIMPANAN NASIONAL</v>
      </c>
      <c r="K7578" t="str">
        <f>"0860029854515477"</f>
        <v>0860029854515477</v>
      </c>
      <c r="L7578" t="str">
        <f t="shared" si="3098"/>
        <v>04-08-2020</v>
      </c>
      <c r="M7578" t="str">
        <f t="shared" si="3098"/>
        <v>04-08-2020</v>
      </c>
      <c r="N7578" t="str">
        <f t="shared" si="3089"/>
        <v>001105018356</v>
      </c>
      <c r="O7578" t="str">
        <f t="shared" si="3090"/>
        <v>MYR</v>
      </c>
      <c r="P7578" t="str">
        <f t="shared" si="3099"/>
        <v>NIL</v>
      </c>
      <c r="Q7578" t="str">
        <f t="shared" si="3099"/>
        <v>NIL</v>
      </c>
      <c r="R7578" t="str">
        <f t="shared" si="3076"/>
        <v>Accepted</v>
      </c>
      <c r="S7578" t="str">
        <f t="shared" si="3091"/>
        <v>Approved</v>
      </c>
      <c r="T7578" t="str">
        <f t="shared" si="3077"/>
        <v>10.20.8.188</v>
      </c>
      <c r="U7578" t="str">
        <f t="shared" si="3092"/>
        <v>AZRAD UMAR BIN SHAARI</v>
      </c>
      <c r="V7578" t="str">
        <f t="shared" si="3093"/>
        <v>FARHANA BINTI MUSTAPA</v>
      </c>
      <c r="W7578" t="str">
        <f t="shared" si="3094"/>
        <v>04-08-2020</v>
      </c>
      <c r="X7578" t="str">
        <f t="shared" si="3095"/>
        <v>RAZIMAH ANSAR AHMAD</v>
      </c>
      <c r="Y7578" t="str">
        <f t="shared" si="3096"/>
        <v>04-08-2020</v>
      </c>
      <c r="Z7578" t="str">
        <f>"COS10200804 1576"</f>
        <v>COS10200804 1576</v>
      </c>
    </row>
    <row r="7579" spans="1:26" x14ac:dyDescent="0.25">
      <c r="A7579" t="str">
        <f t="shared" si="3084"/>
        <v>04-08-2020 12:34:18</v>
      </c>
      <c r="B7579" t="str">
        <f>"0000803327"</f>
        <v>0000803327</v>
      </c>
      <c r="C7579" t="str">
        <f t="shared" si="3085"/>
        <v>0000803152</v>
      </c>
      <c r="D7579" t="str">
        <f t="shared" si="3086"/>
        <v>73185</v>
      </c>
      <c r="E7579" t="str">
        <f t="shared" si="3087"/>
        <v>KFH-OPERATIONS DEPARTMENT</v>
      </c>
      <c r="F7579" t="str">
        <f t="shared" si="3088"/>
        <v>IBG</v>
      </c>
      <c r="G7579" t="str">
        <f t="shared" si="3097"/>
        <v>Refund COSHARE 10</v>
      </c>
      <c r="H7579" s="2">
        <v>228</v>
      </c>
      <c r="I7579" t="str">
        <f>"HAMIDAH BINTI BASNI"</f>
        <v>HAMIDAH BINTI BASNI</v>
      </c>
      <c r="J7579" t="str">
        <f t="shared" si="3100"/>
        <v>BANK SIMPANAN NASIONAL</v>
      </c>
      <c r="K7579" t="str">
        <f>"1311929000117850"</f>
        <v>1311929000117850</v>
      </c>
      <c r="L7579" t="str">
        <f t="shared" si="3098"/>
        <v>04-08-2020</v>
      </c>
      <c r="M7579" t="str">
        <f t="shared" si="3098"/>
        <v>04-08-2020</v>
      </c>
      <c r="N7579" t="str">
        <f t="shared" si="3089"/>
        <v>001105018356</v>
      </c>
      <c r="O7579" t="str">
        <f t="shared" si="3090"/>
        <v>MYR</v>
      </c>
      <c r="P7579" t="str">
        <f t="shared" si="3099"/>
        <v>NIL</v>
      </c>
      <c r="Q7579" t="str">
        <f t="shared" si="3099"/>
        <v>NIL</v>
      </c>
      <c r="R7579" t="str">
        <f t="shared" si="3076"/>
        <v>Accepted</v>
      </c>
      <c r="S7579" t="str">
        <f t="shared" si="3091"/>
        <v>Approved</v>
      </c>
      <c r="T7579" t="str">
        <f t="shared" si="3077"/>
        <v>10.20.8.188</v>
      </c>
      <c r="U7579" t="str">
        <f t="shared" si="3092"/>
        <v>AZRAD UMAR BIN SHAARI</v>
      </c>
      <c r="V7579" t="str">
        <f t="shared" si="3093"/>
        <v>FARHANA BINTI MUSTAPA</v>
      </c>
      <c r="W7579" t="str">
        <f t="shared" si="3094"/>
        <v>04-08-2020</v>
      </c>
      <c r="X7579" t="str">
        <f t="shared" si="3095"/>
        <v>RAZIMAH ANSAR AHMAD</v>
      </c>
      <c r="Y7579" t="str">
        <f t="shared" si="3096"/>
        <v>04-08-2020</v>
      </c>
      <c r="Z7579" t="str">
        <f>"COS10200804 1575"</f>
        <v>COS10200804 1575</v>
      </c>
    </row>
    <row r="7580" spans="1:26" x14ac:dyDescent="0.25">
      <c r="A7580" t="str">
        <f t="shared" si="3084"/>
        <v>04-08-2020 12:34:18</v>
      </c>
      <c r="B7580" t="str">
        <f>"0000803326"</f>
        <v>0000803326</v>
      </c>
      <c r="C7580" t="str">
        <f t="shared" si="3085"/>
        <v>0000803152</v>
      </c>
      <c r="D7580" t="str">
        <f t="shared" si="3086"/>
        <v>73185</v>
      </c>
      <c r="E7580" t="str">
        <f t="shared" si="3087"/>
        <v>KFH-OPERATIONS DEPARTMENT</v>
      </c>
      <c r="F7580" t="str">
        <f t="shared" si="3088"/>
        <v>IBG</v>
      </c>
      <c r="G7580" t="str">
        <f t="shared" si="3097"/>
        <v>Refund COSHARE 10</v>
      </c>
      <c r="H7580" s="2">
        <v>503.7</v>
      </c>
      <c r="I7580" t="str">
        <f>"HAMIDAH BINTI ABDULLAH"</f>
        <v>HAMIDAH BINTI ABDULLAH</v>
      </c>
      <c r="J7580" t="str">
        <f t="shared" si="3100"/>
        <v>BANK SIMPANAN NASIONAL</v>
      </c>
      <c r="K7580" t="str">
        <f>"0310029810041143"</f>
        <v>0310029810041143</v>
      </c>
      <c r="L7580" t="str">
        <f t="shared" si="3098"/>
        <v>04-08-2020</v>
      </c>
      <c r="M7580" t="str">
        <f t="shared" si="3098"/>
        <v>04-08-2020</v>
      </c>
      <c r="N7580" t="str">
        <f t="shared" si="3089"/>
        <v>001105018356</v>
      </c>
      <c r="O7580" t="str">
        <f t="shared" si="3090"/>
        <v>MYR</v>
      </c>
      <c r="P7580" t="str">
        <f t="shared" si="3099"/>
        <v>NIL</v>
      </c>
      <c r="Q7580" t="str">
        <f t="shared" si="3099"/>
        <v>NIL</v>
      </c>
      <c r="R7580" t="str">
        <f t="shared" si="3076"/>
        <v>Accepted</v>
      </c>
      <c r="S7580" t="str">
        <f t="shared" si="3091"/>
        <v>Approved</v>
      </c>
      <c r="T7580" t="str">
        <f t="shared" si="3077"/>
        <v>10.20.8.188</v>
      </c>
      <c r="U7580" t="str">
        <f t="shared" si="3092"/>
        <v>AZRAD UMAR BIN SHAARI</v>
      </c>
      <c r="V7580" t="str">
        <f t="shared" si="3093"/>
        <v>FARHANA BINTI MUSTAPA</v>
      </c>
      <c r="W7580" t="str">
        <f t="shared" si="3094"/>
        <v>04-08-2020</v>
      </c>
      <c r="X7580" t="str">
        <f t="shared" si="3095"/>
        <v>RAZIMAH ANSAR AHMAD</v>
      </c>
      <c r="Y7580" t="str">
        <f t="shared" si="3096"/>
        <v>04-08-2020</v>
      </c>
      <c r="Z7580" t="str">
        <f>"COS10200804 1574"</f>
        <v>COS10200804 1574</v>
      </c>
    </row>
    <row r="7581" spans="1:26" x14ac:dyDescent="0.25">
      <c r="A7581" t="str">
        <f t="shared" si="3084"/>
        <v>04-08-2020 12:34:18</v>
      </c>
      <c r="B7581" t="str">
        <f>"0000803325"</f>
        <v>0000803325</v>
      </c>
      <c r="C7581" t="str">
        <f t="shared" si="3085"/>
        <v>0000803152</v>
      </c>
      <c r="D7581" t="str">
        <f t="shared" si="3086"/>
        <v>73185</v>
      </c>
      <c r="E7581" t="str">
        <f t="shared" si="3087"/>
        <v>KFH-OPERATIONS DEPARTMENT</v>
      </c>
      <c r="F7581" t="str">
        <f t="shared" si="3088"/>
        <v>IBG</v>
      </c>
      <c r="G7581" t="str">
        <f t="shared" si="3097"/>
        <v>Refund COSHARE 10</v>
      </c>
      <c r="H7581" s="2">
        <v>614</v>
      </c>
      <c r="I7581" t="str">
        <f>"HAMDAN BIN YAAKUB"</f>
        <v>HAMDAN BIN YAAKUB</v>
      </c>
      <c r="J7581" t="str">
        <f t="shared" si="3100"/>
        <v>BANK SIMPANAN NASIONAL</v>
      </c>
      <c r="K7581" t="str">
        <f>"1212941000022061"</f>
        <v>1212941000022061</v>
      </c>
      <c r="L7581" t="str">
        <f t="shared" si="3098"/>
        <v>04-08-2020</v>
      </c>
      <c r="M7581" t="str">
        <f t="shared" si="3098"/>
        <v>04-08-2020</v>
      </c>
      <c r="N7581" t="str">
        <f t="shared" si="3089"/>
        <v>001105018356</v>
      </c>
      <c r="O7581" t="str">
        <f t="shared" si="3090"/>
        <v>MYR</v>
      </c>
      <c r="P7581" t="str">
        <f t="shared" si="3099"/>
        <v>NIL</v>
      </c>
      <c r="Q7581" t="str">
        <f t="shared" si="3099"/>
        <v>NIL</v>
      </c>
      <c r="R7581" t="str">
        <f t="shared" si="3076"/>
        <v>Accepted</v>
      </c>
      <c r="S7581" t="str">
        <f t="shared" si="3091"/>
        <v>Approved</v>
      </c>
      <c r="T7581" t="str">
        <f t="shared" si="3077"/>
        <v>10.20.8.188</v>
      </c>
      <c r="U7581" t="str">
        <f t="shared" si="3092"/>
        <v>AZRAD UMAR BIN SHAARI</v>
      </c>
      <c r="V7581" t="str">
        <f t="shared" si="3093"/>
        <v>FARHANA BINTI MUSTAPA</v>
      </c>
      <c r="W7581" t="str">
        <f t="shared" si="3094"/>
        <v>04-08-2020</v>
      </c>
      <c r="X7581" t="str">
        <f t="shared" si="3095"/>
        <v>RAZIMAH ANSAR AHMAD</v>
      </c>
      <c r="Y7581" t="str">
        <f t="shared" si="3096"/>
        <v>04-08-2020</v>
      </c>
      <c r="Z7581" t="str">
        <f>"COS10200804 1573"</f>
        <v>COS10200804 1573</v>
      </c>
    </row>
    <row r="7582" spans="1:26" x14ac:dyDescent="0.25">
      <c r="A7582" t="str">
        <f t="shared" si="3084"/>
        <v>04-08-2020 12:34:18</v>
      </c>
      <c r="B7582" t="str">
        <f>"0000803324"</f>
        <v>0000803324</v>
      </c>
      <c r="C7582" t="str">
        <f t="shared" si="3085"/>
        <v>0000803152</v>
      </c>
      <c r="D7582" t="str">
        <f t="shared" si="3086"/>
        <v>73185</v>
      </c>
      <c r="E7582" t="str">
        <f t="shared" si="3087"/>
        <v>KFH-OPERATIONS DEPARTMENT</v>
      </c>
      <c r="F7582" t="str">
        <f t="shared" si="3088"/>
        <v>IBG</v>
      </c>
      <c r="G7582" t="str">
        <f t="shared" si="3097"/>
        <v>Refund COSHARE 10</v>
      </c>
      <c r="H7582" s="2">
        <v>84</v>
      </c>
      <c r="I7582" t="str">
        <f>"HALIMATUN SAADIAH BINTI AHMAD RODI"</f>
        <v>HALIMATUN SAADIAH BINTI AHMAD RODI</v>
      </c>
      <c r="J7582" t="str">
        <f t="shared" si="3100"/>
        <v>BANK SIMPANAN NASIONAL</v>
      </c>
      <c r="K7582" t="str">
        <f>"0213329840186416"</f>
        <v>0213329840186416</v>
      </c>
      <c r="L7582" t="str">
        <f t="shared" si="3098"/>
        <v>04-08-2020</v>
      </c>
      <c r="M7582" t="str">
        <f t="shared" si="3098"/>
        <v>04-08-2020</v>
      </c>
      <c r="N7582" t="str">
        <f t="shared" si="3089"/>
        <v>001105018356</v>
      </c>
      <c r="O7582" t="str">
        <f t="shared" si="3090"/>
        <v>MYR</v>
      </c>
      <c r="P7582" t="str">
        <f t="shared" si="3099"/>
        <v>NIL</v>
      </c>
      <c r="Q7582" t="str">
        <f t="shared" si="3099"/>
        <v>NIL</v>
      </c>
      <c r="R7582" t="str">
        <f t="shared" si="3076"/>
        <v>Accepted</v>
      </c>
      <c r="S7582" t="str">
        <f t="shared" si="3091"/>
        <v>Approved</v>
      </c>
      <c r="T7582" t="str">
        <f t="shared" si="3077"/>
        <v>10.20.8.188</v>
      </c>
      <c r="U7582" t="str">
        <f t="shared" si="3092"/>
        <v>AZRAD UMAR BIN SHAARI</v>
      </c>
      <c r="V7582" t="str">
        <f t="shared" si="3093"/>
        <v>FARHANA BINTI MUSTAPA</v>
      </c>
      <c r="W7582" t="str">
        <f t="shared" si="3094"/>
        <v>04-08-2020</v>
      </c>
      <c r="X7582" t="str">
        <f t="shared" si="3095"/>
        <v>RAZIMAH ANSAR AHMAD</v>
      </c>
      <c r="Y7582" t="str">
        <f t="shared" si="3096"/>
        <v>04-08-2020</v>
      </c>
      <c r="Z7582" t="str">
        <f>"COS10200804 1572"</f>
        <v>COS10200804 1572</v>
      </c>
    </row>
    <row r="7583" spans="1:26" x14ac:dyDescent="0.25">
      <c r="A7583" t="str">
        <f t="shared" si="3084"/>
        <v>04-08-2020 12:34:18</v>
      </c>
      <c r="B7583" t="str">
        <f>"0000803323"</f>
        <v>0000803323</v>
      </c>
      <c r="C7583" t="str">
        <f t="shared" si="3085"/>
        <v>0000803152</v>
      </c>
      <c r="D7583" t="str">
        <f t="shared" si="3086"/>
        <v>73185</v>
      </c>
      <c r="E7583" t="str">
        <f t="shared" si="3087"/>
        <v>KFH-OPERATIONS DEPARTMENT</v>
      </c>
      <c r="F7583" t="str">
        <f t="shared" si="3088"/>
        <v>IBG</v>
      </c>
      <c r="G7583" t="str">
        <f t="shared" si="3097"/>
        <v>Refund COSHARE 10</v>
      </c>
      <c r="H7583" s="2">
        <v>1070.55</v>
      </c>
      <c r="I7583" t="str">
        <f>"HALIM BIN BIAU"</f>
        <v>HALIM BIN BIAU</v>
      </c>
      <c r="J7583" t="str">
        <f t="shared" si="3100"/>
        <v>BANK SIMPANAN NASIONAL</v>
      </c>
      <c r="K7583" t="str">
        <f>"0821529850663004"</f>
        <v>0821529850663004</v>
      </c>
      <c r="L7583" t="str">
        <f t="shared" si="3098"/>
        <v>04-08-2020</v>
      </c>
      <c r="M7583" t="str">
        <f t="shared" si="3098"/>
        <v>04-08-2020</v>
      </c>
      <c r="N7583" t="str">
        <f t="shared" si="3089"/>
        <v>001105018356</v>
      </c>
      <c r="O7583" t="str">
        <f t="shared" si="3090"/>
        <v>MYR</v>
      </c>
      <c r="P7583" t="str">
        <f t="shared" si="3099"/>
        <v>NIL</v>
      </c>
      <c r="Q7583" t="str">
        <f t="shared" si="3099"/>
        <v>NIL</v>
      </c>
      <c r="R7583" t="str">
        <f t="shared" si="3076"/>
        <v>Accepted</v>
      </c>
      <c r="S7583" t="str">
        <f t="shared" si="3091"/>
        <v>Approved</v>
      </c>
      <c r="T7583" t="str">
        <f t="shared" si="3077"/>
        <v>10.20.8.188</v>
      </c>
      <c r="U7583" t="str">
        <f t="shared" si="3092"/>
        <v>AZRAD UMAR BIN SHAARI</v>
      </c>
      <c r="V7583" t="str">
        <f t="shared" si="3093"/>
        <v>FARHANA BINTI MUSTAPA</v>
      </c>
      <c r="W7583" t="str">
        <f t="shared" si="3094"/>
        <v>04-08-2020</v>
      </c>
      <c r="X7583" t="str">
        <f t="shared" si="3095"/>
        <v>RAZIMAH ANSAR AHMAD</v>
      </c>
      <c r="Y7583" t="str">
        <f t="shared" si="3096"/>
        <v>04-08-2020</v>
      </c>
      <c r="Z7583" t="str">
        <f>"COS10200804 1571"</f>
        <v>COS10200804 1571</v>
      </c>
    </row>
    <row r="7584" spans="1:26" x14ac:dyDescent="0.25">
      <c r="A7584" t="str">
        <f t="shared" si="3084"/>
        <v>04-08-2020 12:34:18</v>
      </c>
      <c r="B7584" t="str">
        <f>"0000803322"</f>
        <v>0000803322</v>
      </c>
      <c r="C7584" t="str">
        <f t="shared" si="3085"/>
        <v>0000803152</v>
      </c>
      <c r="D7584" t="str">
        <f t="shared" si="3086"/>
        <v>73185</v>
      </c>
      <c r="E7584" t="str">
        <f t="shared" si="3087"/>
        <v>KFH-OPERATIONS DEPARTMENT</v>
      </c>
      <c r="F7584" t="str">
        <f t="shared" si="3088"/>
        <v>IBG</v>
      </c>
      <c r="G7584" t="str">
        <f t="shared" si="3097"/>
        <v>Refund COSHARE 10</v>
      </c>
      <c r="H7584" s="2">
        <v>42</v>
      </c>
      <c r="I7584" t="str">
        <f>"HALIJAH BINTI AHMAD ROPAI"</f>
        <v>HALIJAH BINTI AHMAD ROPAI</v>
      </c>
      <c r="J7584" t="str">
        <f t="shared" si="3100"/>
        <v>BANK SIMPANAN NASIONAL</v>
      </c>
      <c r="K7584" t="str">
        <f>"0610029840848847"</f>
        <v>0610029840848847</v>
      </c>
      <c r="L7584" t="str">
        <f t="shared" si="3098"/>
        <v>04-08-2020</v>
      </c>
      <c r="M7584" t="str">
        <f t="shared" si="3098"/>
        <v>04-08-2020</v>
      </c>
      <c r="N7584" t="str">
        <f t="shared" si="3089"/>
        <v>001105018356</v>
      </c>
      <c r="O7584" t="str">
        <f t="shared" si="3090"/>
        <v>MYR</v>
      </c>
      <c r="P7584" t="str">
        <f t="shared" si="3099"/>
        <v>NIL</v>
      </c>
      <c r="Q7584" t="str">
        <f t="shared" si="3099"/>
        <v>NIL</v>
      </c>
      <c r="R7584" t="str">
        <f t="shared" si="3076"/>
        <v>Accepted</v>
      </c>
      <c r="S7584" t="str">
        <f t="shared" si="3091"/>
        <v>Approved</v>
      </c>
      <c r="T7584" t="str">
        <f t="shared" si="3077"/>
        <v>10.20.8.188</v>
      </c>
      <c r="U7584" t="str">
        <f t="shared" si="3092"/>
        <v>AZRAD UMAR BIN SHAARI</v>
      </c>
      <c r="V7584" t="str">
        <f t="shared" si="3093"/>
        <v>FARHANA BINTI MUSTAPA</v>
      </c>
      <c r="W7584" t="str">
        <f t="shared" si="3094"/>
        <v>04-08-2020</v>
      </c>
      <c r="X7584" t="str">
        <f t="shared" si="3095"/>
        <v>RAZIMAH ANSAR AHMAD</v>
      </c>
      <c r="Y7584" t="str">
        <f t="shared" si="3096"/>
        <v>04-08-2020</v>
      </c>
      <c r="Z7584" t="str">
        <f>"COS10200804 1570"</f>
        <v>COS10200804 1570</v>
      </c>
    </row>
    <row r="7585" spans="1:26" x14ac:dyDescent="0.25">
      <c r="A7585" t="str">
        <f t="shared" si="3084"/>
        <v>04-08-2020 12:34:18</v>
      </c>
      <c r="B7585" t="str">
        <f>"0000803321"</f>
        <v>0000803321</v>
      </c>
      <c r="C7585" t="str">
        <f t="shared" si="3085"/>
        <v>0000803152</v>
      </c>
      <c r="D7585" t="str">
        <f t="shared" si="3086"/>
        <v>73185</v>
      </c>
      <c r="E7585" t="str">
        <f t="shared" si="3087"/>
        <v>KFH-OPERATIONS DEPARTMENT</v>
      </c>
      <c r="F7585" t="str">
        <f t="shared" si="3088"/>
        <v>IBG</v>
      </c>
      <c r="G7585" t="str">
        <f t="shared" si="3097"/>
        <v>Refund COSHARE 10</v>
      </c>
      <c r="H7585" s="2">
        <v>42</v>
      </c>
      <c r="I7585" t="str">
        <f>"HALIJAH BINTI AHMAD ROPAI"</f>
        <v>HALIJAH BINTI AHMAD ROPAI</v>
      </c>
      <c r="J7585" t="str">
        <f t="shared" si="3100"/>
        <v>BANK SIMPANAN NASIONAL</v>
      </c>
      <c r="K7585" t="str">
        <f>"0610029840848847"</f>
        <v>0610029840848847</v>
      </c>
      <c r="L7585" t="str">
        <f t="shared" si="3098"/>
        <v>04-08-2020</v>
      </c>
      <c r="M7585" t="str">
        <f t="shared" si="3098"/>
        <v>04-08-2020</v>
      </c>
      <c r="N7585" t="str">
        <f t="shared" si="3089"/>
        <v>001105018356</v>
      </c>
      <c r="O7585" t="str">
        <f t="shared" si="3090"/>
        <v>MYR</v>
      </c>
      <c r="P7585" t="str">
        <f t="shared" si="3099"/>
        <v>NIL</v>
      </c>
      <c r="Q7585" t="str">
        <f t="shared" si="3099"/>
        <v>NIL</v>
      </c>
      <c r="R7585" t="str">
        <f t="shared" si="3076"/>
        <v>Accepted</v>
      </c>
      <c r="S7585" t="str">
        <f t="shared" si="3091"/>
        <v>Approved</v>
      </c>
      <c r="T7585" t="str">
        <f t="shared" si="3077"/>
        <v>10.20.8.188</v>
      </c>
      <c r="U7585" t="str">
        <f t="shared" si="3092"/>
        <v>AZRAD UMAR BIN SHAARI</v>
      </c>
      <c r="V7585" t="str">
        <f t="shared" si="3093"/>
        <v>FARHANA BINTI MUSTAPA</v>
      </c>
      <c r="W7585" t="str">
        <f t="shared" si="3094"/>
        <v>04-08-2020</v>
      </c>
      <c r="X7585" t="str">
        <f t="shared" si="3095"/>
        <v>RAZIMAH ANSAR AHMAD</v>
      </c>
      <c r="Y7585" t="str">
        <f t="shared" si="3096"/>
        <v>04-08-2020</v>
      </c>
      <c r="Z7585" t="str">
        <f>"COS10200804 1569"</f>
        <v>COS10200804 1569</v>
      </c>
    </row>
    <row r="7586" spans="1:26" x14ac:dyDescent="0.25">
      <c r="A7586" t="str">
        <f t="shared" ref="A7586:A7617" si="3101">"04-08-2020 12:34:18"</f>
        <v>04-08-2020 12:34:18</v>
      </c>
      <c r="B7586" t="str">
        <f>"0000803320"</f>
        <v>0000803320</v>
      </c>
      <c r="C7586" t="str">
        <f t="shared" ref="C7586:C7617" si="3102">"0000803152"</f>
        <v>0000803152</v>
      </c>
      <c r="D7586" t="str">
        <f t="shared" si="3086"/>
        <v>73185</v>
      </c>
      <c r="E7586" t="str">
        <f t="shared" si="3087"/>
        <v>KFH-OPERATIONS DEPARTMENT</v>
      </c>
      <c r="F7586" t="str">
        <f t="shared" si="3088"/>
        <v>IBG</v>
      </c>
      <c r="G7586" t="str">
        <f t="shared" si="3097"/>
        <v>Refund COSHARE 10</v>
      </c>
      <c r="H7586" s="2">
        <v>45.75</v>
      </c>
      <c r="I7586" t="str">
        <f>"GHAZALI BIN JAMALUDIN"</f>
        <v>GHAZALI BIN JAMALUDIN</v>
      </c>
      <c r="J7586" t="str">
        <f t="shared" si="3100"/>
        <v>BANK SIMPANAN NASIONAL</v>
      </c>
      <c r="K7586" t="str">
        <f>"0822841000015403"</f>
        <v>0822841000015403</v>
      </c>
      <c r="L7586" t="str">
        <f t="shared" si="3098"/>
        <v>04-08-2020</v>
      </c>
      <c r="M7586" t="str">
        <f t="shared" si="3098"/>
        <v>04-08-2020</v>
      </c>
      <c r="N7586" t="str">
        <f t="shared" si="3089"/>
        <v>001105018356</v>
      </c>
      <c r="O7586" t="str">
        <f t="shared" si="3090"/>
        <v>MYR</v>
      </c>
      <c r="P7586" t="str">
        <f t="shared" si="3099"/>
        <v>NIL</v>
      </c>
      <c r="Q7586" t="str">
        <f t="shared" si="3099"/>
        <v>NIL</v>
      </c>
      <c r="R7586" t="str">
        <f t="shared" ref="R7586:R7649" si="3103">"Accepted"</f>
        <v>Accepted</v>
      </c>
      <c r="S7586" t="str">
        <f t="shared" si="3091"/>
        <v>Approved</v>
      </c>
      <c r="T7586" t="str">
        <f t="shared" ref="T7586:T7649" si="3104">"10.20.8.188"</f>
        <v>10.20.8.188</v>
      </c>
      <c r="U7586" t="str">
        <f t="shared" si="3092"/>
        <v>AZRAD UMAR BIN SHAARI</v>
      </c>
      <c r="V7586" t="str">
        <f t="shared" si="3093"/>
        <v>FARHANA BINTI MUSTAPA</v>
      </c>
      <c r="W7586" t="str">
        <f t="shared" si="3094"/>
        <v>04-08-2020</v>
      </c>
      <c r="X7586" t="str">
        <f t="shared" si="3095"/>
        <v>RAZIMAH ANSAR AHMAD</v>
      </c>
      <c r="Y7586" t="str">
        <f t="shared" si="3096"/>
        <v>04-08-2020</v>
      </c>
      <c r="Z7586" t="str">
        <f>"COS10200804 1568"</f>
        <v>COS10200804 1568</v>
      </c>
    </row>
    <row r="7587" spans="1:26" x14ac:dyDescent="0.25">
      <c r="A7587" t="str">
        <f t="shared" si="3101"/>
        <v>04-08-2020 12:34:18</v>
      </c>
      <c r="B7587" t="str">
        <f>"0000803319"</f>
        <v>0000803319</v>
      </c>
      <c r="C7587" t="str">
        <f t="shared" si="3102"/>
        <v>0000803152</v>
      </c>
      <c r="D7587" t="str">
        <f t="shared" si="3086"/>
        <v>73185</v>
      </c>
      <c r="E7587" t="str">
        <f t="shared" si="3087"/>
        <v>KFH-OPERATIONS DEPARTMENT</v>
      </c>
      <c r="F7587" t="str">
        <f t="shared" si="3088"/>
        <v>IBG</v>
      </c>
      <c r="G7587" t="str">
        <f t="shared" si="3097"/>
        <v>Refund COSHARE 10</v>
      </c>
      <c r="H7587" s="2">
        <v>688.4</v>
      </c>
      <c r="I7587" t="str">
        <f>"FREDERIK BIN JONIL"</f>
        <v>FREDERIK BIN JONIL</v>
      </c>
      <c r="J7587" t="str">
        <f t="shared" si="3100"/>
        <v>BANK SIMPANAN NASIONAL</v>
      </c>
      <c r="K7587" t="str">
        <f>"1211329810486334"</f>
        <v>1211329810486334</v>
      </c>
      <c r="L7587" t="str">
        <f t="shared" ref="L7587:M7606" si="3105">"04-08-2020"</f>
        <v>04-08-2020</v>
      </c>
      <c r="M7587" t="str">
        <f t="shared" si="3105"/>
        <v>04-08-2020</v>
      </c>
      <c r="N7587" t="str">
        <f t="shared" si="3089"/>
        <v>001105018356</v>
      </c>
      <c r="O7587" t="str">
        <f t="shared" si="3090"/>
        <v>MYR</v>
      </c>
      <c r="P7587" t="str">
        <f t="shared" ref="P7587:Q7606" si="3106">"NIL"</f>
        <v>NIL</v>
      </c>
      <c r="Q7587" t="str">
        <f t="shared" si="3106"/>
        <v>NIL</v>
      </c>
      <c r="R7587" t="str">
        <f t="shared" si="3103"/>
        <v>Accepted</v>
      </c>
      <c r="S7587" t="str">
        <f t="shared" si="3091"/>
        <v>Approved</v>
      </c>
      <c r="T7587" t="str">
        <f t="shared" si="3104"/>
        <v>10.20.8.188</v>
      </c>
      <c r="U7587" t="str">
        <f t="shared" si="3092"/>
        <v>AZRAD UMAR BIN SHAARI</v>
      </c>
      <c r="V7587" t="str">
        <f t="shared" si="3093"/>
        <v>FARHANA BINTI MUSTAPA</v>
      </c>
      <c r="W7587" t="str">
        <f t="shared" si="3094"/>
        <v>04-08-2020</v>
      </c>
      <c r="X7587" t="str">
        <f t="shared" si="3095"/>
        <v>RAZIMAH ANSAR AHMAD</v>
      </c>
      <c r="Y7587" t="str">
        <f t="shared" si="3096"/>
        <v>04-08-2020</v>
      </c>
      <c r="Z7587" t="str">
        <f>"COS10200804 1567"</f>
        <v>COS10200804 1567</v>
      </c>
    </row>
    <row r="7588" spans="1:26" x14ac:dyDescent="0.25">
      <c r="A7588" t="str">
        <f t="shared" si="3101"/>
        <v>04-08-2020 12:34:18</v>
      </c>
      <c r="B7588" t="str">
        <f>"0000803318"</f>
        <v>0000803318</v>
      </c>
      <c r="C7588" t="str">
        <f t="shared" si="3102"/>
        <v>0000803152</v>
      </c>
      <c r="D7588" t="str">
        <f t="shared" si="3086"/>
        <v>73185</v>
      </c>
      <c r="E7588" t="str">
        <f t="shared" si="3087"/>
        <v>KFH-OPERATIONS DEPARTMENT</v>
      </c>
      <c r="F7588" t="str">
        <f t="shared" si="3088"/>
        <v>IBG</v>
      </c>
      <c r="G7588" t="str">
        <f t="shared" si="3097"/>
        <v>Refund COSHARE 10</v>
      </c>
      <c r="H7588" s="2">
        <v>190</v>
      </c>
      <c r="I7588" t="str">
        <f>"FRANCIS ANAK BAGOK"</f>
        <v>FRANCIS ANAK BAGOK</v>
      </c>
      <c r="J7588" t="str">
        <f t="shared" si="3100"/>
        <v>BANK SIMPANAN NASIONAL</v>
      </c>
      <c r="K7588" t="str">
        <f>"1311629812261393"</f>
        <v>1311629812261393</v>
      </c>
      <c r="L7588" t="str">
        <f t="shared" si="3105"/>
        <v>04-08-2020</v>
      </c>
      <c r="M7588" t="str">
        <f t="shared" si="3105"/>
        <v>04-08-2020</v>
      </c>
      <c r="N7588" t="str">
        <f t="shared" si="3089"/>
        <v>001105018356</v>
      </c>
      <c r="O7588" t="str">
        <f t="shared" si="3090"/>
        <v>MYR</v>
      </c>
      <c r="P7588" t="str">
        <f t="shared" si="3106"/>
        <v>NIL</v>
      </c>
      <c r="Q7588" t="str">
        <f t="shared" si="3106"/>
        <v>NIL</v>
      </c>
      <c r="R7588" t="str">
        <f t="shared" si="3103"/>
        <v>Accepted</v>
      </c>
      <c r="S7588" t="str">
        <f t="shared" si="3091"/>
        <v>Approved</v>
      </c>
      <c r="T7588" t="str">
        <f t="shared" si="3104"/>
        <v>10.20.8.188</v>
      </c>
      <c r="U7588" t="str">
        <f t="shared" si="3092"/>
        <v>AZRAD UMAR BIN SHAARI</v>
      </c>
      <c r="V7588" t="str">
        <f t="shared" si="3093"/>
        <v>FARHANA BINTI MUSTAPA</v>
      </c>
      <c r="W7588" t="str">
        <f t="shared" si="3094"/>
        <v>04-08-2020</v>
      </c>
      <c r="X7588" t="str">
        <f t="shared" si="3095"/>
        <v>RAZIMAH ANSAR AHMAD</v>
      </c>
      <c r="Y7588" t="str">
        <f t="shared" si="3096"/>
        <v>04-08-2020</v>
      </c>
      <c r="Z7588" t="str">
        <f>"COS10200804 1566"</f>
        <v>COS10200804 1566</v>
      </c>
    </row>
    <row r="7589" spans="1:26" x14ac:dyDescent="0.25">
      <c r="A7589" t="str">
        <f t="shared" si="3101"/>
        <v>04-08-2020 12:34:18</v>
      </c>
      <c r="B7589" t="str">
        <f>"0000803317"</f>
        <v>0000803317</v>
      </c>
      <c r="C7589" t="str">
        <f t="shared" si="3102"/>
        <v>0000803152</v>
      </c>
      <c r="D7589" t="str">
        <f t="shared" si="3086"/>
        <v>73185</v>
      </c>
      <c r="E7589" t="str">
        <f t="shared" si="3087"/>
        <v>KFH-OPERATIONS DEPARTMENT</v>
      </c>
      <c r="F7589" t="str">
        <f t="shared" si="3088"/>
        <v>IBG</v>
      </c>
      <c r="G7589" t="str">
        <f t="shared" si="3097"/>
        <v>Refund COSHARE 10</v>
      </c>
      <c r="H7589" s="2">
        <v>612.85</v>
      </c>
      <c r="I7589" t="str">
        <f>"FRANCIS ANAK BAGOK"</f>
        <v>FRANCIS ANAK BAGOK</v>
      </c>
      <c r="J7589" t="str">
        <f t="shared" si="3100"/>
        <v>BANK SIMPANAN NASIONAL</v>
      </c>
      <c r="K7589" t="str">
        <f>"1311629812261393"</f>
        <v>1311629812261393</v>
      </c>
      <c r="L7589" t="str">
        <f t="shared" si="3105"/>
        <v>04-08-2020</v>
      </c>
      <c r="M7589" t="str">
        <f t="shared" si="3105"/>
        <v>04-08-2020</v>
      </c>
      <c r="N7589" t="str">
        <f t="shared" si="3089"/>
        <v>001105018356</v>
      </c>
      <c r="O7589" t="str">
        <f t="shared" si="3090"/>
        <v>MYR</v>
      </c>
      <c r="P7589" t="str">
        <f t="shared" si="3106"/>
        <v>NIL</v>
      </c>
      <c r="Q7589" t="str">
        <f t="shared" si="3106"/>
        <v>NIL</v>
      </c>
      <c r="R7589" t="str">
        <f t="shared" si="3103"/>
        <v>Accepted</v>
      </c>
      <c r="S7589" t="str">
        <f t="shared" si="3091"/>
        <v>Approved</v>
      </c>
      <c r="T7589" t="str">
        <f t="shared" si="3104"/>
        <v>10.20.8.188</v>
      </c>
      <c r="U7589" t="str">
        <f t="shared" si="3092"/>
        <v>AZRAD UMAR BIN SHAARI</v>
      </c>
      <c r="V7589" t="str">
        <f t="shared" si="3093"/>
        <v>FARHANA BINTI MUSTAPA</v>
      </c>
      <c r="W7589" t="str">
        <f t="shared" si="3094"/>
        <v>04-08-2020</v>
      </c>
      <c r="X7589" t="str">
        <f t="shared" si="3095"/>
        <v>RAZIMAH ANSAR AHMAD</v>
      </c>
      <c r="Y7589" t="str">
        <f t="shared" si="3096"/>
        <v>04-08-2020</v>
      </c>
      <c r="Z7589" t="str">
        <f>"COS10200804 1565"</f>
        <v>COS10200804 1565</v>
      </c>
    </row>
    <row r="7590" spans="1:26" x14ac:dyDescent="0.25">
      <c r="A7590" t="str">
        <f t="shared" si="3101"/>
        <v>04-08-2020 12:34:18</v>
      </c>
      <c r="B7590" t="str">
        <f>"0000803316"</f>
        <v>0000803316</v>
      </c>
      <c r="C7590" t="str">
        <f t="shared" si="3102"/>
        <v>0000803152</v>
      </c>
      <c r="D7590" t="str">
        <f t="shared" si="3086"/>
        <v>73185</v>
      </c>
      <c r="E7590" t="str">
        <f t="shared" si="3087"/>
        <v>KFH-OPERATIONS DEPARTMENT</v>
      </c>
      <c r="F7590" t="str">
        <f t="shared" si="3088"/>
        <v>IBG</v>
      </c>
      <c r="G7590" t="str">
        <f t="shared" si="3097"/>
        <v>Refund COSHARE 10</v>
      </c>
      <c r="H7590" s="2">
        <v>76</v>
      </c>
      <c r="I7590" t="str">
        <f>"FITRI SURAYA BINTI ROSLAN"</f>
        <v>FITRI SURAYA BINTI ROSLAN</v>
      </c>
      <c r="J7590" t="str">
        <f t="shared" si="3100"/>
        <v>BANK SIMPANAN NASIONAL</v>
      </c>
      <c r="K7590" t="str">
        <f>"1310841000037051"</f>
        <v>1310841000037051</v>
      </c>
      <c r="L7590" t="str">
        <f t="shared" si="3105"/>
        <v>04-08-2020</v>
      </c>
      <c r="M7590" t="str">
        <f t="shared" si="3105"/>
        <v>04-08-2020</v>
      </c>
      <c r="N7590" t="str">
        <f t="shared" si="3089"/>
        <v>001105018356</v>
      </c>
      <c r="O7590" t="str">
        <f t="shared" si="3090"/>
        <v>MYR</v>
      </c>
      <c r="P7590" t="str">
        <f t="shared" si="3106"/>
        <v>NIL</v>
      </c>
      <c r="Q7590" t="str">
        <f t="shared" si="3106"/>
        <v>NIL</v>
      </c>
      <c r="R7590" t="str">
        <f t="shared" si="3103"/>
        <v>Accepted</v>
      </c>
      <c r="S7590" t="str">
        <f t="shared" si="3091"/>
        <v>Approved</v>
      </c>
      <c r="T7590" t="str">
        <f t="shared" si="3104"/>
        <v>10.20.8.188</v>
      </c>
      <c r="U7590" t="str">
        <f t="shared" si="3092"/>
        <v>AZRAD UMAR BIN SHAARI</v>
      </c>
      <c r="V7590" t="str">
        <f t="shared" si="3093"/>
        <v>FARHANA BINTI MUSTAPA</v>
      </c>
      <c r="W7590" t="str">
        <f t="shared" si="3094"/>
        <v>04-08-2020</v>
      </c>
      <c r="X7590" t="str">
        <f t="shared" si="3095"/>
        <v>RAZIMAH ANSAR AHMAD</v>
      </c>
      <c r="Y7590" t="str">
        <f t="shared" si="3096"/>
        <v>04-08-2020</v>
      </c>
      <c r="Z7590" t="str">
        <f>"COS10200804 1564"</f>
        <v>COS10200804 1564</v>
      </c>
    </row>
    <row r="7591" spans="1:26" x14ac:dyDescent="0.25">
      <c r="A7591" t="str">
        <f t="shared" si="3101"/>
        <v>04-08-2020 12:34:18</v>
      </c>
      <c r="B7591" t="str">
        <f>"0000803315"</f>
        <v>0000803315</v>
      </c>
      <c r="C7591" t="str">
        <f t="shared" si="3102"/>
        <v>0000803152</v>
      </c>
      <c r="D7591" t="str">
        <f t="shared" si="3086"/>
        <v>73185</v>
      </c>
      <c r="E7591" t="str">
        <f t="shared" si="3087"/>
        <v>KFH-OPERATIONS DEPARTMENT</v>
      </c>
      <c r="F7591" t="str">
        <f t="shared" si="3088"/>
        <v>IBG</v>
      </c>
      <c r="G7591" t="str">
        <f t="shared" si="3097"/>
        <v>Refund COSHARE 10</v>
      </c>
      <c r="H7591" s="2">
        <v>389</v>
      </c>
      <c r="I7591" t="str">
        <f>"FELIX JIM ANAK JIMBAT"</f>
        <v>FELIX JIM ANAK JIMBAT</v>
      </c>
      <c r="J7591" t="str">
        <f t="shared" si="3100"/>
        <v>BANK SIMPANAN NASIONAL</v>
      </c>
      <c r="K7591" t="str">
        <f>"1311629000067057"</f>
        <v>1311629000067057</v>
      </c>
      <c r="L7591" t="str">
        <f t="shared" si="3105"/>
        <v>04-08-2020</v>
      </c>
      <c r="M7591" t="str">
        <f t="shared" si="3105"/>
        <v>04-08-2020</v>
      </c>
      <c r="N7591" t="str">
        <f t="shared" si="3089"/>
        <v>001105018356</v>
      </c>
      <c r="O7591" t="str">
        <f t="shared" si="3090"/>
        <v>MYR</v>
      </c>
      <c r="P7591" t="str">
        <f t="shared" si="3106"/>
        <v>NIL</v>
      </c>
      <c r="Q7591" t="str">
        <f t="shared" si="3106"/>
        <v>NIL</v>
      </c>
      <c r="R7591" t="str">
        <f t="shared" si="3103"/>
        <v>Accepted</v>
      </c>
      <c r="S7591" t="str">
        <f t="shared" si="3091"/>
        <v>Approved</v>
      </c>
      <c r="T7591" t="str">
        <f t="shared" si="3104"/>
        <v>10.20.8.188</v>
      </c>
      <c r="U7591" t="str">
        <f t="shared" si="3092"/>
        <v>AZRAD UMAR BIN SHAARI</v>
      </c>
      <c r="V7591" t="str">
        <f t="shared" si="3093"/>
        <v>FARHANA BINTI MUSTAPA</v>
      </c>
      <c r="W7591" t="str">
        <f t="shared" si="3094"/>
        <v>04-08-2020</v>
      </c>
      <c r="X7591" t="str">
        <f t="shared" si="3095"/>
        <v>RAZIMAH ANSAR AHMAD</v>
      </c>
      <c r="Y7591" t="str">
        <f t="shared" si="3096"/>
        <v>04-08-2020</v>
      </c>
      <c r="Z7591" t="str">
        <f>"COS10200804 1563"</f>
        <v>COS10200804 1563</v>
      </c>
    </row>
    <row r="7592" spans="1:26" x14ac:dyDescent="0.25">
      <c r="A7592" t="str">
        <f t="shared" si="3101"/>
        <v>04-08-2020 12:34:18</v>
      </c>
      <c r="B7592" t="str">
        <f>"0000803314"</f>
        <v>0000803314</v>
      </c>
      <c r="C7592" t="str">
        <f t="shared" si="3102"/>
        <v>0000803152</v>
      </c>
      <c r="D7592" t="str">
        <f t="shared" si="3086"/>
        <v>73185</v>
      </c>
      <c r="E7592" t="str">
        <f t="shared" si="3087"/>
        <v>KFH-OPERATIONS DEPARTMENT</v>
      </c>
      <c r="F7592" t="str">
        <f t="shared" si="3088"/>
        <v>IBG</v>
      </c>
      <c r="G7592" t="str">
        <f t="shared" si="3097"/>
        <v>Refund COSHARE 10</v>
      </c>
      <c r="H7592" s="2">
        <v>243</v>
      </c>
      <c r="I7592" t="str">
        <f>"FELICIA ANAK DYLAN THOMAS"</f>
        <v>FELICIA ANAK DYLAN THOMAS</v>
      </c>
      <c r="J7592" t="str">
        <f t="shared" si="3100"/>
        <v>BANK SIMPANAN NASIONAL</v>
      </c>
      <c r="K7592" t="str">
        <f>"1310329000106431"</f>
        <v>1310329000106431</v>
      </c>
      <c r="L7592" t="str">
        <f t="shared" si="3105"/>
        <v>04-08-2020</v>
      </c>
      <c r="M7592" t="str">
        <f t="shared" si="3105"/>
        <v>04-08-2020</v>
      </c>
      <c r="N7592" t="str">
        <f t="shared" si="3089"/>
        <v>001105018356</v>
      </c>
      <c r="O7592" t="str">
        <f t="shared" si="3090"/>
        <v>MYR</v>
      </c>
      <c r="P7592" t="str">
        <f t="shared" si="3106"/>
        <v>NIL</v>
      </c>
      <c r="Q7592" t="str">
        <f t="shared" si="3106"/>
        <v>NIL</v>
      </c>
      <c r="R7592" t="str">
        <f t="shared" si="3103"/>
        <v>Accepted</v>
      </c>
      <c r="S7592" t="str">
        <f t="shared" si="3091"/>
        <v>Approved</v>
      </c>
      <c r="T7592" t="str">
        <f t="shared" si="3104"/>
        <v>10.20.8.188</v>
      </c>
      <c r="U7592" t="str">
        <f t="shared" si="3092"/>
        <v>AZRAD UMAR BIN SHAARI</v>
      </c>
      <c r="V7592" t="str">
        <f t="shared" si="3093"/>
        <v>FARHANA BINTI MUSTAPA</v>
      </c>
      <c r="W7592" t="str">
        <f t="shared" si="3094"/>
        <v>04-08-2020</v>
      </c>
      <c r="X7592" t="str">
        <f t="shared" si="3095"/>
        <v>RAZIMAH ANSAR AHMAD</v>
      </c>
      <c r="Y7592" t="str">
        <f t="shared" si="3096"/>
        <v>04-08-2020</v>
      </c>
      <c r="Z7592" t="str">
        <f>"COS10200804 1562"</f>
        <v>COS10200804 1562</v>
      </c>
    </row>
    <row r="7593" spans="1:26" x14ac:dyDescent="0.25">
      <c r="A7593" t="str">
        <f t="shared" si="3101"/>
        <v>04-08-2020 12:34:18</v>
      </c>
      <c r="B7593" t="str">
        <f>"0000803313"</f>
        <v>0000803313</v>
      </c>
      <c r="C7593" t="str">
        <f t="shared" si="3102"/>
        <v>0000803152</v>
      </c>
      <c r="D7593" t="str">
        <f t="shared" si="3086"/>
        <v>73185</v>
      </c>
      <c r="E7593" t="str">
        <f t="shared" si="3087"/>
        <v>KFH-OPERATIONS DEPARTMENT</v>
      </c>
      <c r="F7593" t="str">
        <f t="shared" si="3088"/>
        <v>IBG</v>
      </c>
      <c r="G7593" t="str">
        <f t="shared" si="3097"/>
        <v>Refund COSHARE 10</v>
      </c>
      <c r="H7593" s="2">
        <v>193.1</v>
      </c>
      <c r="I7593" t="str">
        <f>"FEDILIA SANDRA BINTI FEDILIS"</f>
        <v>FEDILIA SANDRA BINTI FEDILIS</v>
      </c>
      <c r="J7593" t="str">
        <f t="shared" si="3100"/>
        <v>BANK SIMPANAN NASIONAL</v>
      </c>
      <c r="K7593" t="str">
        <f>"1212329000031512"</f>
        <v>1212329000031512</v>
      </c>
      <c r="L7593" t="str">
        <f t="shared" si="3105"/>
        <v>04-08-2020</v>
      </c>
      <c r="M7593" t="str">
        <f t="shared" si="3105"/>
        <v>04-08-2020</v>
      </c>
      <c r="N7593" t="str">
        <f t="shared" si="3089"/>
        <v>001105018356</v>
      </c>
      <c r="O7593" t="str">
        <f t="shared" si="3090"/>
        <v>MYR</v>
      </c>
      <c r="P7593" t="str">
        <f t="shared" si="3106"/>
        <v>NIL</v>
      </c>
      <c r="Q7593" t="str">
        <f t="shared" si="3106"/>
        <v>NIL</v>
      </c>
      <c r="R7593" t="str">
        <f t="shared" si="3103"/>
        <v>Accepted</v>
      </c>
      <c r="S7593" t="str">
        <f t="shared" si="3091"/>
        <v>Approved</v>
      </c>
      <c r="T7593" t="str">
        <f t="shared" si="3104"/>
        <v>10.20.8.188</v>
      </c>
      <c r="U7593" t="str">
        <f t="shared" si="3092"/>
        <v>AZRAD UMAR BIN SHAARI</v>
      </c>
      <c r="V7593" t="str">
        <f t="shared" si="3093"/>
        <v>FARHANA BINTI MUSTAPA</v>
      </c>
      <c r="W7593" t="str">
        <f t="shared" si="3094"/>
        <v>04-08-2020</v>
      </c>
      <c r="X7593" t="str">
        <f t="shared" si="3095"/>
        <v>RAZIMAH ANSAR AHMAD</v>
      </c>
      <c r="Y7593" t="str">
        <f t="shared" si="3096"/>
        <v>04-08-2020</v>
      </c>
      <c r="Z7593" t="str">
        <f>"COS10200804 1561"</f>
        <v>COS10200804 1561</v>
      </c>
    </row>
    <row r="7594" spans="1:26" x14ac:dyDescent="0.25">
      <c r="A7594" t="str">
        <f t="shared" si="3101"/>
        <v>04-08-2020 12:34:18</v>
      </c>
      <c r="B7594" t="str">
        <f>"0000803312"</f>
        <v>0000803312</v>
      </c>
      <c r="C7594" t="str">
        <f t="shared" si="3102"/>
        <v>0000803152</v>
      </c>
      <c r="D7594" t="str">
        <f t="shared" si="3086"/>
        <v>73185</v>
      </c>
      <c r="E7594" t="str">
        <f t="shared" si="3087"/>
        <v>KFH-OPERATIONS DEPARTMENT</v>
      </c>
      <c r="F7594" t="str">
        <f t="shared" si="3088"/>
        <v>IBG</v>
      </c>
      <c r="G7594" t="str">
        <f t="shared" si="3097"/>
        <v>Refund COSHARE 10</v>
      </c>
      <c r="H7594" s="2">
        <v>167.9</v>
      </c>
      <c r="I7594" t="str">
        <f>"FAZZA FAIRUS BIN TUKIRAN"</f>
        <v>FAZZA FAIRUS BIN TUKIRAN</v>
      </c>
      <c r="J7594" t="str">
        <f t="shared" si="3100"/>
        <v>BANK SIMPANAN NASIONAL</v>
      </c>
      <c r="K7594" t="str">
        <f>"1416429000004683"</f>
        <v>1416429000004683</v>
      </c>
      <c r="L7594" t="str">
        <f t="shared" si="3105"/>
        <v>04-08-2020</v>
      </c>
      <c r="M7594" t="str">
        <f t="shared" si="3105"/>
        <v>04-08-2020</v>
      </c>
      <c r="N7594" t="str">
        <f t="shared" si="3089"/>
        <v>001105018356</v>
      </c>
      <c r="O7594" t="str">
        <f t="shared" si="3090"/>
        <v>MYR</v>
      </c>
      <c r="P7594" t="str">
        <f t="shared" si="3106"/>
        <v>NIL</v>
      </c>
      <c r="Q7594" t="str">
        <f t="shared" si="3106"/>
        <v>NIL</v>
      </c>
      <c r="R7594" t="str">
        <f t="shared" si="3103"/>
        <v>Accepted</v>
      </c>
      <c r="S7594" t="str">
        <f t="shared" si="3091"/>
        <v>Approved</v>
      </c>
      <c r="T7594" t="str">
        <f t="shared" si="3104"/>
        <v>10.20.8.188</v>
      </c>
      <c r="U7594" t="str">
        <f t="shared" si="3092"/>
        <v>AZRAD UMAR BIN SHAARI</v>
      </c>
      <c r="V7594" t="str">
        <f t="shared" si="3093"/>
        <v>FARHANA BINTI MUSTAPA</v>
      </c>
      <c r="W7594" t="str">
        <f t="shared" si="3094"/>
        <v>04-08-2020</v>
      </c>
      <c r="X7594" t="str">
        <f t="shared" si="3095"/>
        <v>RAZIMAH ANSAR AHMAD</v>
      </c>
      <c r="Y7594" t="str">
        <f t="shared" si="3096"/>
        <v>04-08-2020</v>
      </c>
      <c r="Z7594" t="str">
        <f>"COS10200804 1560"</f>
        <v>COS10200804 1560</v>
      </c>
    </row>
    <row r="7595" spans="1:26" x14ac:dyDescent="0.25">
      <c r="A7595" t="str">
        <f t="shared" si="3101"/>
        <v>04-08-2020 12:34:18</v>
      </c>
      <c r="B7595" t="str">
        <f>"0000803311"</f>
        <v>0000803311</v>
      </c>
      <c r="C7595" t="str">
        <f t="shared" si="3102"/>
        <v>0000803152</v>
      </c>
      <c r="D7595" t="str">
        <f t="shared" si="3086"/>
        <v>73185</v>
      </c>
      <c r="E7595" t="str">
        <f t="shared" si="3087"/>
        <v>KFH-OPERATIONS DEPARTMENT</v>
      </c>
      <c r="F7595" t="str">
        <f t="shared" si="3088"/>
        <v>IBG</v>
      </c>
      <c r="G7595" t="str">
        <f t="shared" si="3097"/>
        <v>Refund COSHARE 10</v>
      </c>
      <c r="H7595" s="2">
        <v>216.15</v>
      </c>
      <c r="I7595" t="str">
        <f>"FAUZIAH BINTI ABDUL SHUKOR"</f>
        <v>FAUZIAH BINTI ABDUL SHUKOR</v>
      </c>
      <c r="J7595" t="str">
        <f t="shared" si="3100"/>
        <v>BANK SIMPANAN NASIONAL</v>
      </c>
      <c r="K7595" t="str">
        <f>"1411629000059519"</f>
        <v>1411629000059519</v>
      </c>
      <c r="L7595" t="str">
        <f t="shared" si="3105"/>
        <v>04-08-2020</v>
      </c>
      <c r="M7595" t="str">
        <f t="shared" si="3105"/>
        <v>04-08-2020</v>
      </c>
      <c r="N7595" t="str">
        <f t="shared" si="3089"/>
        <v>001105018356</v>
      </c>
      <c r="O7595" t="str">
        <f t="shared" si="3090"/>
        <v>MYR</v>
      </c>
      <c r="P7595" t="str">
        <f t="shared" si="3106"/>
        <v>NIL</v>
      </c>
      <c r="Q7595" t="str">
        <f t="shared" si="3106"/>
        <v>NIL</v>
      </c>
      <c r="R7595" t="str">
        <f t="shared" si="3103"/>
        <v>Accepted</v>
      </c>
      <c r="S7595" t="str">
        <f t="shared" si="3091"/>
        <v>Approved</v>
      </c>
      <c r="T7595" t="str">
        <f t="shared" si="3104"/>
        <v>10.20.8.188</v>
      </c>
      <c r="U7595" t="str">
        <f t="shared" si="3092"/>
        <v>AZRAD UMAR BIN SHAARI</v>
      </c>
      <c r="V7595" t="str">
        <f t="shared" si="3093"/>
        <v>FARHANA BINTI MUSTAPA</v>
      </c>
      <c r="W7595" t="str">
        <f t="shared" si="3094"/>
        <v>04-08-2020</v>
      </c>
      <c r="X7595" t="str">
        <f t="shared" si="3095"/>
        <v>RAZIMAH ANSAR AHMAD</v>
      </c>
      <c r="Y7595" t="str">
        <f t="shared" si="3096"/>
        <v>04-08-2020</v>
      </c>
      <c r="Z7595" t="str">
        <f>"COS10200804 1559"</f>
        <v>COS10200804 1559</v>
      </c>
    </row>
    <row r="7596" spans="1:26" x14ac:dyDescent="0.25">
      <c r="A7596" t="str">
        <f t="shared" si="3101"/>
        <v>04-08-2020 12:34:18</v>
      </c>
      <c r="B7596" t="str">
        <f>"0000803310"</f>
        <v>0000803310</v>
      </c>
      <c r="C7596" t="str">
        <f t="shared" si="3102"/>
        <v>0000803152</v>
      </c>
      <c r="D7596" t="str">
        <f t="shared" si="3086"/>
        <v>73185</v>
      </c>
      <c r="E7596" t="str">
        <f t="shared" si="3087"/>
        <v>KFH-OPERATIONS DEPARTMENT</v>
      </c>
      <c r="F7596" t="str">
        <f t="shared" si="3088"/>
        <v>IBG</v>
      </c>
      <c r="G7596" t="str">
        <f t="shared" si="3097"/>
        <v>Refund COSHARE 10</v>
      </c>
      <c r="H7596" s="2">
        <v>259</v>
      </c>
      <c r="I7596" t="str">
        <f>"FAUZI BINTI IBRAHIM"</f>
        <v>FAUZI BINTI IBRAHIM</v>
      </c>
      <c r="J7596" t="str">
        <f t="shared" si="3100"/>
        <v>BANK SIMPANAN NASIONAL</v>
      </c>
      <c r="K7596" t="str">
        <f>"0120029861876083"</f>
        <v>0120029861876083</v>
      </c>
      <c r="L7596" t="str">
        <f t="shared" si="3105"/>
        <v>04-08-2020</v>
      </c>
      <c r="M7596" t="str">
        <f t="shared" si="3105"/>
        <v>04-08-2020</v>
      </c>
      <c r="N7596" t="str">
        <f t="shared" si="3089"/>
        <v>001105018356</v>
      </c>
      <c r="O7596" t="str">
        <f t="shared" si="3090"/>
        <v>MYR</v>
      </c>
      <c r="P7596" t="str">
        <f t="shared" si="3106"/>
        <v>NIL</v>
      </c>
      <c r="Q7596" t="str">
        <f t="shared" si="3106"/>
        <v>NIL</v>
      </c>
      <c r="R7596" t="str">
        <f t="shared" si="3103"/>
        <v>Accepted</v>
      </c>
      <c r="S7596" t="str">
        <f t="shared" si="3091"/>
        <v>Approved</v>
      </c>
      <c r="T7596" t="str">
        <f t="shared" si="3104"/>
        <v>10.20.8.188</v>
      </c>
      <c r="U7596" t="str">
        <f t="shared" si="3092"/>
        <v>AZRAD UMAR BIN SHAARI</v>
      </c>
      <c r="V7596" t="str">
        <f t="shared" si="3093"/>
        <v>FARHANA BINTI MUSTAPA</v>
      </c>
      <c r="W7596" t="str">
        <f t="shared" si="3094"/>
        <v>04-08-2020</v>
      </c>
      <c r="X7596" t="str">
        <f t="shared" si="3095"/>
        <v>RAZIMAH ANSAR AHMAD</v>
      </c>
      <c r="Y7596" t="str">
        <f t="shared" si="3096"/>
        <v>04-08-2020</v>
      </c>
      <c r="Z7596" t="str">
        <f>"COS10200804 1558"</f>
        <v>COS10200804 1558</v>
      </c>
    </row>
    <row r="7597" spans="1:26" x14ac:dyDescent="0.25">
      <c r="A7597" t="str">
        <f t="shared" si="3101"/>
        <v>04-08-2020 12:34:18</v>
      </c>
      <c r="B7597" t="str">
        <f>"0000803309"</f>
        <v>0000803309</v>
      </c>
      <c r="C7597" t="str">
        <f t="shared" si="3102"/>
        <v>0000803152</v>
      </c>
      <c r="D7597" t="str">
        <f t="shared" si="3086"/>
        <v>73185</v>
      </c>
      <c r="E7597" t="str">
        <f t="shared" si="3087"/>
        <v>KFH-OPERATIONS DEPARTMENT</v>
      </c>
      <c r="F7597" t="str">
        <f t="shared" si="3088"/>
        <v>IBG</v>
      </c>
      <c r="G7597" t="str">
        <f t="shared" si="3097"/>
        <v>Refund COSHARE 10</v>
      </c>
      <c r="H7597" s="2">
        <v>831.1</v>
      </c>
      <c r="I7597" t="str">
        <f>"FAUJIAH  TIAH BINTI AKING"</f>
        <v>FAUJIAH  TIAH BINTI AKING</v>
      </c>
      <c r="J7597" t="str">
        <f t="shared" si="3100"/>
        <v>BANK SIMPANAN NASIONAL</v>
      </c>
      <c r="K7597" t="str">
        <f>"1210129000040826"</f>
        <v>1210129000040826</v>
      </c>
      <c r="L7597" t="str">
        <f t="shared" si="3105"/>
        <v>04-08-2020</v>
      </c>
      <c r="M7597" t="str">
        <f t="shared" si="3105"/>
        <v>04-08-2020</v>
      </c>
      <c r="N7597" t="str">
        <f t="shared" si="3089"/>
        <v>001105018356</v>
      </c>
      <c r="O7597" t="str">
        <f t="shared" si="3090"/>
        <v>MYR</v>
      </c>
      <c r="P7597" t="str">
        <f t="shared" si="3106"/>
        <v>NIL</v>
      </c>
      <c r="Q7597" t="str">
        <f t="shared" si="3106"/>
        <v>NIL</v>
      </c>
      <c r="R7597" t="str">
        <f t="shared" si="3103"/>
        <v>Accepted</v>
      </c>
      <c r="S7597" t="str">
        <f t="shared" si="3091"/>
        <v>Approved</v>
      </c>
      <c r="T7597" t="str">
        <f t="shared" si="3104"/>
        <v>10.20.8.188</v>
      </c>
      <c r="U7597" t="str">
        <f t="shared" si="3092"/>
        <v>AZRAD UMAR BIN SHAARI</v>
      </c>
      <c r="V7597" t="str">
        <f t="shared" si="3093"/>
        <v>FARHANA BINTI MUSTAPA</v>
      </c>
      <c r="W7597" t="str">
        <f t="shared" si="3094"/>
        <v>04-08-2020</v>
      </c>
      <c r="X7597" t="str">
        <f t="shared" si="3095"/>
        <v>RAZIMAH ANSAR AHMAD</v>
      </c>
      <c r="Y7597" t="str">
        <f t="shared" si="3096"/>
        <v>04-08-2020</v>
      </c>
      <c r="Z7597" t="str">
        <f>"COS10200804 1557"</f>
        <v>COS10200804 1557</v>
      </c>
    </row>
    <row r="7598" spans="1:26" x14ac:dyDescent="0.25">
      <c r="A7598" t="str">
        <f t="shared" si="3101"/>
        <v>04-08-2020 12:34:18</v>
      </c>
      <c r="B7598" t="str">
        <f>"0000803308"</f>
        <v>0000803308</v>
      </c>
      <c r="C7598" t="str">
        <f t="shared" si="3102"/>
        <v>0000803152</v>
      </c>
      <c r="D7598" t="str">
        <f t="shared" si="3086"/>
        <v>73185</v>
      </c>
      <c r="E7598" t="str">
        <f t="shared" si="3087"/>
        <v>KFH-OPERATIONS DEPARTMENT</v>
      </c>
      <c r="F7598" t="str">
        <f t="shared" si="3088"/>
        <v>IBG</v>
      </c>
      <c r="G7598" t="str">
        <f t="shared" si="3097"/>
        <v>Refund COSHARE 10</v>
      </c>
      <c r="H7598" s="2">
        <v>940.25</v>
      </c>
      <c r="I7598" t="str">
        <f>"FATIMAH ZURA BINTI NUS"</f>
        <v>FATIMAH ZURA BINTI NUS</v>
      </c>
      <c r="J7598" t="str">
        <f t="shared" si="3100"/>
        <v>BANK SIMPANAN NASIONAL</v>
      </c>
      <c r="K7598" t="str">
        <f>"0510029000010021"</f>
        <v>0510029000010021</v>
      </c>
      <c r="L7598" t="str">
        <f t="shared" si="3105"/>
        <v>04-08-2020</v>
      </c>
      <c r="M7598" t="str">
        <f t="shared" si="3105"/>
        <v>04-08-2020</v>
      </c>
      <c r="N7598" t="str">
        <f t="shared" si="3089"/>
        <v>001105018356</v>
      </c>
      <c r="O7598" t="str">
        <f t="shared" si="3090"/>
        <v>MYR</v>
      </c>
      <c r="P7598" t="str">
        <f t="shared" si="3106"/>
        <v>NIL</v>
      </c>
      <c r="Q7598" t="str">
        <f t="shared" si="3106"/>
        <v>NIL</v>
      </c>
      <c r="R7598" t="str">
        <f t="shared" si="3103"/>
        <v>Accepted</v>
      </c>
      <c r="S7598" t="str">
        <f t="shared" si="3091"/>
        <v>Approved</v>
      </c>
      <c r="T7598" t="str">
        <f t="shared" si="3104"/>
        <v>10.20.8.188</v>
      </c>
      <c r="U7598" t="str">
        <f t="shared" si="3092"/>
        <v>AZRAD UMAR BIN SHAARI</v>
      </c>
      <c r="V7598" t="str">
        <f t="shared" si="3093"/>
        <v>FARHANA BINTI MUSTAPA</v>
      </c>
      <c r="W7598" t="str">
        <f t="shared" si="3094"/>
        <v>04-08-2020</v>
      </c>
      <c r="X7598" t="str">
        <f t="shared" si="3095"/>
        <v>RAZIMAH ANSAR AHMAD</v>
      </c>
      <c r="Y7598" t="str">
        <f t="shared" si="3096"/>
        <v>04-08-2020</v>
      </c>
      <c r="Z7598" t="str">
        <f>"COS10200804 1556"</f>
        <v>COS10200804 1556</v>
      </c>
    </row>
    <row r="7599" spans="1:26" x14ac:dyDescent="0.25">
      <c r="A7599" t="str">
        <f t="shared" si="3101"/>
        <v>04-08-2020 12:34:18</v>
      </c>
      <c r="B7599" t="str">
        <f>"0000803307"</f>
        <v>0000803307</v>
      </c>
      <c r="C7599" t="str">
        <f t="shared" si="3102"/>
        <v>0000803152</v>
      </c>
      <c r="D7599" t="str">
        <f t="shared" si="3086"/>
        <v>73185</v>
      </c>
      <c r="E7599" t="str">
        <f t="shared" si="3087"/>
        <v>KFH-OPERATIONS DEPARTMENT</v>
      </c>
      <c r="F7599" t="str">
        <f t="shared" si="3088"/>
        <v>IBG</v>
      </c>
      <c r="G7599" t="str">
        <f t="shared" si="3097"/>
        <v>Refund COSHARE 10</v>
      </c>
      <c r="H7599" s="2">
        <v>562.79999999999995</v>
      </c>
      <c r="I7599" t="str">
        <f>"FAIZUL BIN CHE HASSAN"</f>
        <v>FAIZUL BIN CHE HASSAN</v>
      </c>
      <c r="J7599" t="str">
        <f t="shared" si="3100"/>
        <v>BANK SIMPANAN NASIONAL</v>
      </c>
      <c r="K7599" t="str">
        <f>"1410341000011913"</f>
        <v>1410341000011913</v>
      </c>
      <c r="L7599" t="str">
        <f t="shared" si="3105"/>
        <v>04-08-2020</v>
      </c>
      <c r="M7599" t="str">
        <f t="shared" si="3105"/>
        <v>04-08-2020</v>
      </c>
      <c r="N7599" t="str">
        <f t="shared" si="3089"/>
        <v>001105018356</v>
      </c>
      <c r="O7599" t="str">
        <f t="shared" si="3090"/>
        <v>MYR</v>
      </c>
      <c r="P7599" t="str">
        <f t="shared" si="3106"/>
        <v>NIL</v>
      </c>
      <c r="Q7599" t="str">
        <f t="shared" si="3106"/>
        <v>NIL</v>
      </c>
      <c r="R7599" t="str">
        <f t="shared" si="3103"/>
        <v>Accepted</v>
      </c>
      <c r="S7599" t="str">
        <f t="shared" si="3091"/>
        <v>Approved</v>
      </c>
      <c r="T7599" t="str">
        <f t="shared" si="3104"/>
        <v>10.20.8.188</v>
      </c>
      <c r="U7599" t="str">
        <f t="shared" si="3092"/>
        <v>AZRAD UMAR BIN SHAARI</v>
      </c>
      <c r="V7599" t="str">
        <f t="shared" si="3093"/>
        <v>FARHANA BINTI MUSTAPA</v>
      </c>
      <c r="W7599" t="str">
        <f t="shared" si="3094"/>
        <v>04-08-2020</v>
      </c>
      <c r="X7599" t="str">
        <f t="shared" si="3095"/>
        <v>RAZIMAH ANSAR AHMAD</v>
      </c>
      <c r="Y7599" t="str">
        <f t="shared" si="3096"/>
        <v>04-08-2020</v>
      </c>
      <c r="Z7599" t="str">
        <f>"COS10200804 1555"</f>
        <v>COS10200804 1555</v>
      </c>
    </row>
    <row r="7600" spans="1:26" x14ac:dyDescent="0.25">
      <c r="A7600" t="str">
        <f t="shared" si="3101"/>
        <v>04-08-2020 12:34:18</v>
      </c>
      <c r="B7600" t="str">
        <f>"0000803306"</f>
        <v>0000803306</v>
      </c>
      <c r="C7600" t="str">
        <f t="shared" si="3102"/>
        <v>0000803152</v>
      </c>
      <c r="D7600" t="str">
        <f t="shared" si="3086"/>
        <v>73185</v>
      </c>
      <c r="E7600" t="str">
        <f t="shared" si="3087"/>
        <v>KFH-OPERATIONS DEPARTMENT</v>
      </c>
      <c r="F7600" t="str">
        <f t="shared" si="3088"/>
        <v>IBG</v>
      </c>
      <c r="G7600" t="str">
        <f t="shared" si="3097"/>
        <v>Refund COSHARE 10</v>
      </c>
      <c r="H7600" s="2">
        <v>125.95</v>
      </c>
      <c r="I7600" t="str">
        <f>"FAIZANIZAM BIN AMIR FADZIL"</f>
        <v>FAIZANIZAM BIN AMIR FADZIL</v>
      </c>
      <c r="J7600" t="str">
        <f t="shared" si="3100"/>
        <v>BANK SIMPANAN NASIONAL</v>
      </c>
      <c r="K7600" t="str">
        <f>"0410629000200148"</f>
        <v>0410629000200148</v>
      </c>
      <c r="L7600" t="str">
        <f t="shared" si="3105"/>
        <v>04-08-2020</v>
      </c>
      <c r="M7600" t="str">
        <f t="shared" si="3105"/>
        <v>04-08-2020</v>
      </c>
      <c r="N7600" t="str">
        <f t="shared" si="3089"/>
        <v>001105018356</v>
      </c>
      <c r="O7600" t="str">
        <f t="shared" si="3090"/>
        <v>MYR</v>
      </c>
      <c r="P7600" t="str">
        <f t="shared" si="3106"/>
        <v>NIL</v>
      </c>
      <c r="Q7600" t="str">
        <f t="shared" si="3106"/>
        <v>NIL</v>
      </c>
      <c r="R7600" t="str">
        <f t="shared" si="3103"/>
        <v>Accepted</v>
      </c>
      <c r="S7600" t="str">
        <f t="shared" si="3091"/>
        <v>Approved</v>
      </c>
      <c r="T7600" t="str">
        <f t="shared" si="3104"/>
        <v>10.20.8.188</v>
      </c>
      <c r="U7600" t="str">
        <f t="shared" si="3092"/>
        <v>AZRAD UMAR BIN SHAARI</v>
      </c>
      <c r="V7600" t="str">
        <f t="shared" si="3093"/>
        <v>FARHANA BINTI MUSTAPA</v>
      </c>
      <c r="W7600" t="str">
        <f t="shared" si="3094"/>
        <v>04-08-2020</v>
      </c>
      <c r="X7600" t="str">
        <f t="shared" si="3095"/>
        <v>RAZIMAH ANSAR AHMAD</v>
      </c>
      <c r="Y7600" t="str">
        <f t="shared" si="3096"/>
        <v>04-08-2020</v>
      </c>
      <c r="Z7600" t="str">
        <f>"COS10200804 1554"</f>
        <v>COS10200804 1554</v>
      </c>
    </row>
    <row r="7601" spans="1:26" x14ac:dyDescent="0.25">
      <c r="A7601" t="str">
        <f t="shared" si="3101"/>
        <v>04-08-2020 12:34:18</v>
      </c>
      <c r="B7601" t="str">
        <f>"0000803305"</f>
        <v>0000803305</v>
      </c>
      <c r="C7601" t="str">
        <f t="shared" si="3102"/>
        <v>0000803152</v>
      </c>
      <c r="D7601" t="str">
        <f t="shared" si="3086"/>
        <v>73185</v>
      </c>
      <c r="E7601" t="str">
        <f t="shared" si="3087"/>
        <v>KFH-OPERATIONS DEPARTMENT</v>
      </c>
      <c r="F7601" t="str">
        <f t="shared" si="3088"/>
        <v>IBG</v>
      </c>
      <c r="G7601" t="str">
        <f t="shared" si="3097"/>
        <v>Refund COSHARE 10</v>
      </c>
      <c r="H7601" s="2">
        <v>61</v>
      </c>
      <c r="I7601" t="str">
        <f>"FAIZAL NAZLI BIN SAMSI"</f>
        <v>FAIZAL NAZLI BIN SAMSI</v>
      </c>
      <c r="J7601" t="str">
        <f t="shared" si="3100"/>
        <v>BANK SIMPANAN NASIONAL</v>
      </c>
      <c r="K7601" t="str">
        <f>"0115129000023832"</f>
        <v>0115129000023832</v>
      </c>
      <c r="L7601" t="str">
        <f t="shared" si="3105"/>
        <v>04-08-2020</v>
      </c>
      <c r="M7601" t="str">
        <f t="shared" si="3105"/>
        <v>04-08-2020</v>
      </c>
      <c r="N7601" t="str">
        <f t="shared" si="3089"/>
        <v>001105018356</v>
      </c>
      <c r="O7601" t="str">
        <f t="shared" si="3090"/>
        <v>MYR</v>
      </c>
      <c r="P7601" t="str">
        <f t="shared" si="3106"/>
        <v>NIL</v>
      </c>
      <c r="Q7601" t="str">
        <f t="shared" si="3106"/>
        <v>NIL</v>
      </c>
      <c r="R7601" t="str">
        <f t="shared" si="3103"/>
        <v>Accepted</v>
      </c>
      <c r="S7601" t="str">
        <f t="shared" si="3091"/>
        <v>Approved</v>
      </c>
      <c r="T7601" t="str">
        <f t="shared" si="3104"/>
        <v>10.20.8.188</v>
      </c>
      <c r="U7601" t="str">
        <f t="shared" si="3092"/>
        <v>AZRAD UMAR BIN SHAARI</v>
      </c>
      <c r="V7601" t="str">
        <f t="shared" si="3093"/>
        <v>FARHANA BINTI MUSTAPA</v>
      </c>
      <c r="W7601" t="str">
        <f t="shared" si="3094"/>
        <v>04-08-2020</v>
      </c>
      <c r="X7601" t="str">
        <f t="shared" si="3095"/>
        <v>RAZIMAH ANSAR AHMAD</v>
      </c>
      <c r="Y7601" t="str">
        <f t="shared" si="3096"/>
        <v>04-08-2020</v>
      </c>
      <c r="Z7601" t="str">
        <f>"COS10200804 1553"</f>
        <v>COS10200804 1553</v>
      </c>
    </row>
    <row r="7602" spans="1:26" x14ac:dyDescent="0.25">
      <c r="A7602" t="str">
        <f t="shared" si="3101"/>
        <v>04-08-2020 12:34:18</v>
      </c>
      <c r="B7602" t="str">
        <f>"0000803304"</f>
        <v>0000803304</v>
      </c>
      <c r="C7602" t="str">
        <f t="shared" si="3102"/>
        <v>0000803152</v>
      </c>
      <c r="D7602" t="str">
        <f t="shared" si="3086"/>
        <v>73185</v>
      </c>
      <c r="E7602" t="str">
        <f t="shared" si="3087"/>
        <v>KFH-OPERATIONS DEPARTMENT</v>
      </c>
      <c r="F7602" t="str">
        <f t="shared" si="3088"/>
        <v>IBG</v>
      </c>
      <c r="G7602" t="str">
        <f t="shared" si="3097"/>
        <v>Refund COSHARE 10</v>
      </c>
      <c r="H7602" s="2">
        <v>196.5</v>
      </c>
      <c r="I7602" t="str">
        <f>"FAIROZ MUNIRAH BINTI MUHAMMAD"</f>
        <v>FAIROZ MUNIRAH BINTI MUHAMMAD</v>
      </c>
      <c r="J7602" t="str">
        <f t="shared" si="3100"/>
        <v>BANK SIMPANAN NASIONAL</v>
      </c>
      <c r="K7602" t="str">
        <f>"1015129000099142"</f>
        <v>1015129000099142</v>
      </c>
      <c r="L7602" t="str">
        <f t="shared" si="3105"/>
        <v>04-08-2020</v>
      </c>
      <c r="M7602" t="str">
        <f t="shared" si="3105"/>
        <v>04-08-2020</v>
      </c>
      <c r="N7602" t="str">
        <f t="shared" si="3089"/>
        <v>001105018356</v>
      </c>
      <c r="O7602" t="str">
        <f t="shared" si="3090"/>
        <v>MYR</v>
      </c>
      <c r="P7602" t="str">
        <f t="shared" si="3106"/>
        <v>NIL</v>
      </c>
      <c r="Q7602" t="str">
        <f t="shared" si="3106"/>
        <v>NIL</v>
      </c>
      <c r="R7602" t="str">
        <f t="shared" si="3103"/>
        <v>Accepted</v>
      </c>
      <c r="S7602" t="str">
        <f t="shared" si="3091"/>
        <v>Approved</v>
      </c>
      <c r="T7602" t="str">
        <f t="shared" si="3104"/>
        <v>10.20.8.188</v>
      </c>
      <c r="U7602" t="str">
        <f t="shared" si="3092"/>
        <v>AZRAD UMAR BIN SHAARI</v>
      </c>
      <c r="V7602" t="str">
        <f t="shared" si="3093"/>
        <v>FARHANA BINTI MUSTAPA</v>
      </c>
      <c r="W7602" t="str">
        <f t="shared" si="3094"/>
        <v>04-08-2020</v>
      </c>
      <c r="X7602" t="str">
        <f t="shared" si="3095"/>
        <v>RAZIMAH ANSAR AHMAD</v>
      </c>
      <c r="Y7602" t="str">
        <f t="shared" si="3096"/>
        <v>04-08-2020</v>
      </c>
      <c r="Z7602" t="str">
        <f>"COS10200804 1552"</f>
        <v>COS10200804 1552</v>
      </c>
    </row>
    <row r="7603" spans="1:26" x14ac:dyDescent="0.25">
      <c r="A7603" t="str">
        <f t="shared" si="3101"/>
        <v>04-08-2020 12:34:18</v>
      </c>
      <c r="B7603" t="str">
        <f>"0000803303"</f>
        <v>0000803303</v>
      </c>
      <c r="C7603" t="str">
        <f t="shared" si="3102"/>
        <v>0000803152</v>
      </c>
      <c r="D7603" t="str">
        <f t="shared" si="3086"/>
        <v>73185</v>
      </c>
      <c r="E7603" t="str">
        <f t="shared" si="3087"/>
        <v>KFH-OPERATIONS DEPARTMENT</v>
      </c>
      <c r="F7603" t="str">
        <f t="shared" si="3088"/>
        <v>IBG</v>
      </c>
      <c r="G7603" t="str">
        <f t="shared" si="3097"/>
        <v>Refund COSHARE 10</v>
      </c>
      <c r="H7603" s="2">
        <v>167.9</v>
      </c>
      <c r="I7603" t="str">
        <f>"FADLI BIN MD DAUD"</f>
        <v>FADLI BIN MD DAUD</v>
      </c>
      <c r="J7603" t="str">
        <f t="shared" si="3100"/>
        <v>BANK SIMPANAN NASIONAL</v>
      </c>
      <c r="K7603" t="str">
        <f>"0410029000536954"</f>
        <v>0410029000536954</v>
      </c>
      <c r="L7603" t="str">
        <f t="shared" si="3105"/>
        <v>04-08-2020</v>
      </c>
      <c r="M7603" t="str">
        <f t="shared" si="3105"/>
        <v>04-08-2020</v>
      </c>
      <c r="N7603" t="str">
        <f t="shared" si="3089"/>
        <v>001105018356</v>
      </c>
      <c r="O7603" t="str">
        <f t="shared" si="3090"/>
        <v>MYR</v>
      </c>
      <c r="P7603" t="str">
        <f t="shared" si="3106"/>
        <v>NIL</v>
      </c>
      <c r="Q7603" t="str">
        <f t="shared" si="3106"/>
        <v>NIL</v>
      </c>
      <c r="R7603" t="str">
        <f t="shared" si="3103"/>
        <v>Accepted</v>
      </c>
      <c r="S7603" t="str">
        <f t="shared" si="3091"/>
        <v>Approved</v>
      </c>
      <c r="T7603" t="str">
        <f t="shared" si="3104"/>
        <v>10.20.8.188</v>
      </c>
      <c r="U7603" t="str">
        <f t="shared" si="3092"/>
        <v>AZRAD UMAR BIN SHAARI</v>
      </c>
      <c r="V7603" t="str">
        <f t="shared" si="3093"/>
        <v>FARHANA BINTI MUSTAPA</v>
      </c>
      <c r="W7603" t="str">
        <f t="shared" si="3094"/>
        <v>04-08-2020</v>
      </c>
      <c r="X7603" t="str">
        <f t="shared" si="3095"/>
        <v>RAZIMAH ANSAR AHMAD</v>
      </c>
      <c r="Y7603" t="str">
        <f t="shared" si="3096"/>
        <v>04-08-2020</v>
      </c>
      <c r="Z7603" t="str">
        <f>"COS10200804 1551"</f>
        <v>COS10200804 1551</v>
      </c>
    </row>
    <row r="7604" spans="1:26" x14ac:dyDescent="0.25">
      <c r="A7604" t="str">
        <f t="shared" si="3101"/>
        <v>04-08-2020 12:34:18</v>
      </c>
      <c r="B7604" t="str">
        <f>"0000803302"</f>
        <v>0000803302</v>
      </c>
      <c r="C7604" t="str">
        <f t="shared" si="3102"/>
        <v>0000803152</v>
      </c>
      <c r="D7604" t="str">
        <f t="shared" si="3086"/>
        <v>73185</v>
      </c>
      <c r="E7604" t="str">
        <f t="shared" si="3087"/>
        <v>KFH-OPERATIONS DEPARTMENT</v>
      </c>
      <c r="F7604" t="str">
        <f t="shared" si="3088"/>
        <v>IBG</v>
      </c>
      <c r="G7604" t="str">
        <f t="shared" si="3097"/>
        <v>Refund COSHARE 10</v>
      </c>
      <c r="H7604" s="2">
        <v>377.8</v>
      </c>
      <c r="I7604" t="str">
        <f>"ESMININ BIN MANSOR"</f>
        <v>ESMININ BIN MANSOR</v>
      </c>
      <c r="J7604" t="str">
        <f t="shared" si="3100"/>
        <v>BANK SIMPANAN NASIONAL</v>
      </c>
      <c r="K7604" t="str">
        <f>"1212929000064554"</f>
        <v>1212929000064554</v>
      </c>
      <c r="L7604" t="str">
        <f t="shared" si="3105"/>
        <v>04-08-2020</v>
      </c>
      <c r="M7604" t="str">
        <f t="shared" si="3105"/>
        <v>04-08-2020</v>
      </c>
      <c r="N7604" t="str">
        <f t="shared" si="3089"/>
        <v>001105018356</v>
      </c>
      <c r="O7604" t="str">
        <f t="shared" si="3090"/>
        <v>MYR</v>
      </c>
      <c r="P7604" t="str">
        <f t="shared" si="3106"/>
        <v>NIL</v>
      </c>
      <c r="Q7604" t="str">
        <f t="shared" si="3106"/>
        <v>NIL</v>
      </c>
      <c r="R7604" t="str">
        <f t="shared" si="3103"/>
        <v>Accepted</v>
      </c>
      <c r="S7604" t="str">
        <f t="shared" si="3091"/>
        <v>Approved</v>
      </c>
      <c r="T7604" t="str">
        <f t="shared" si="3104"/>
        <v>10.20.8.188</v>
      </c>
      <c r="U7604" t="str">
        <f t="shared" si="3092"/>
        <v>AZRAD UMAR BIN SHAARI</v>
      </c>
      <c r="V7604" t="str">
        <f t="shared" si="3093"/>
        <v>FARHANA BINTI MUSTAPA</v>
      </c>
      <c r="W7604" t="str">
        <f t="shared" si="3094"/>
        <v>04-08-2020</v>
      </c>
      <c r="X7604" t="str">
        <f t="shared" si="3095"/>
        <v>RAZIMAH ANSAR AHMAD</v>
      </c>
      <c r="Y7604" t="str">
        <f t="shared" si="3096"/>
        <v>04-08-2020</v>
      </c>
      <c r="Z7604" t="str">
        <f>"COS10200804 1550"</f>
        <v>COS10200804 1550</v>
      </c>
    </row>
    <row r="7605" spans="1:26" x14ac:dyDescent="0.25">
      <c r="A7605" t="str">
        <f t="shared" si="3101"/>
        <v>04-08-2020 12:34:18</v>
      </c>
      <c r="B7605" t="str">
        <f>"0000803301"</f>
        <v>0000803301</v>
      </c>
      <c r="C7605" t="str">
        <f t="shared" si="3102"/>
        <v>0000803152</v>
      </c>
      <c r="D7605" t="str">
        <f t="shared" si="3086"/>
        <v>73185</v>
      </c>
      <c r="E7605" t="str">
        <f t="shared" si="3087"/>
        <v>KFH-OPERATIONS DEPARTMENT</v>
      </c>
      <c r="F7605" t="str">
        <f t="shared" si="3088"/>
        <v>IBG</v>
      </c>
      <c r="G7605" t="str">
        <f t="shared" si="3097"/>
        <v>Refund COSHARE 10</v>
      </c>
      <c r="H7605" s="2">
        <v>873</v>
      </c>
      <c r="I7605" t="str">
        <f>"ERNY ZULMIATI BINTI MOHAMMAD"</f>
        <v>ERNY ZULMIATI BINTI MOHAMMAD</v>
      </c>
      <c r="J7605" t="str">
        <f t="shared" si="3100"/>
        <v>BANK SIMPANAN NASIONAL</v>
      </c>
      <c r="K7605" t="str">
        <f>"0110029834425375"</f>
        <v>0110029834425375</v>
      </c>
      <c r="L7605" t="str">
        <f t="shared" si="3105"/>
        <v>04-08-2020</v>
      </c>
      <c r="M7605" t="str">
        <f t="shared" si="3105"/>
        <v>04-08-2020</v>
      </c>
      <c r="N7605" t="str">
        <f t="shared" si="3089"/>
        <v>001105018356</v>
      </c>
      <c r="O7605" t="str">
        <f t="shared" si="3090"/>
        <v>MYR</v>
      </c>
      <c r="P7605" t="str">
        <f t="shared" si="3106"/>
        <v>NIL</v>
      </c>
      <c r="Q7605" t="str">
        <f t="shared" si="3106"/>
        <v>NIL</v>
      </c>
      <c r="R7605" t="str">
        <f t="shared" si="3103"/>
        <v>Accepted</v>
      </c>
      <c r="S7605" t="str">
        <f t="shared" si="3091"/>
        <v>Approved</v>
      </c>
      <c r="T7605" t="str">
        <f t="shared" si="3104"/>
        <v>10.20.8.188</v>
      </c>
      <c r="U7605" t="str">
        <f t="shared" si="3092"/>
        <v>AZRAD UMAR BIN SHAARI</v>
      </c>
      <c r="V7605" t="str">
        <f t="shared" si="3093"/>
        <v>FARHANA BINTI MUSTAPA</v>
      </c>
      <c r="W7605" t="str">
        <f t="shared" si="3094"/>
        <v>04-08-2020</v>
      </c>
      <c r="X7605" t="str">
        <f t="shared" si="3095"/>
        <v>RAZIMAH ANSAR AHMAD</v>
      </c>
      <c r="Y7605" t="str">
        <f t="shared" si="3096"/>
        <v>04-08-2020</v>
      </c>
      <c r="Z7605" t="str">
        <f>"COS10200804 1549"</f>
        <v>COS10200804 1549</v>
      </c>
    </row>
    <row r="7606" spans="1:26" x14ac:dyDescent="0.25">
      <c r="A7606" t="str">
        <f t="shared" si="3101"/>
        <v>04-08-2020 12:34:18</v>
      </c>
      <c r="B7606" t="str">
        <f>"0000803300"</f>
        <v>0000803300</v>
      </c>
      <c r="C7606" t="str">
        <f t="shared" si="3102"/>
        <v>0000803152</v>
      </c>
      <c r="D7606" t="str">
        <f t="shared" si="3086"/>
        <v>73185</v>
      </c>
      <c r="E7606" t="str">
        <f t="shared" si="3087"/>
        <v>KFH-OPERATIONS DEPARTMENT</v>
      </c>
      <c r="F7606" t="str">
        <f t="shared" si="3088"/>
        <v>IBG</v>
      </c>
      <c r="G7606" t="str">
        <f t="shared" si="3097"/>
        <v>Refund COSHARE 10</v>
      </c>
      <c r="H7606" s="2">
        <v>1259.25</v>
      </c>
      <c r="I7606" t="str">
        <f>"ERNI SALINA BINTI ABD AMIN"</f>
        <v>ERNI SALINA BINTI ABD AMIN</v>
      </c>
      <c r="J7606" t="str">
        <f t="shared" si="3100"/>
        <v>BANK SIMPANAN NASIONAL</v>
      </c>
      <c r="K7606" t="str">
        <f>"1211429000022383"</f>
        <v>1211429000022383</v>
      </c>
      <c r="L7606" t="str">
        <f t="shared" si="3105"/>
        <v>04-08-2020</v>
      </c>
      <c r="M7606" t="str">
        <f t="shared" si="3105"/>
        <v>04-08-2020</v>
      </c>
      <c r="N7606" t="str">
        <f t="shared" si="3089"/>
        <v>001105018356</v>
      </c>
      <c r="O7606" t="str">
        <f t="shared" si="3090"/>
        <v>MYR</v>
      </c>
      <c r="P7606" t="str">
        <f t="shared" si="3106"/>
        <v>NIL</v>
      </c>
      <c r="Q7606" t="str">
        <f t="shared" si="3106"/>
        <v>NIL</v>
      </c>
      <c r="R7606" t="str">
        <f t="shared" si="3103"/>
        <v>Accepted</v>
      </c>
      <c r="S7606" t="str">
        <f t="shared" si="3091"/>
        <v>Approved</v>
      </c>
      <c r="T7606" t="str">
        <f t="shared" si="3104"/>
        <v>10.20.8.188</v>
      </c>
      <c r="U7606" t="str">
        <f t="shared" si="3092"/>
        <v>AZRAD UMAR BIN SHAARI</v>
      </c>
      <c r="V7606" t="str">
        <f t="shared" si="3093"/>
        <v>FARHANA BINTI MUSTAPA</v>
      </c>
      <c r="W7606" t="str">
        <f t="shared" si="3094"/>
        <v>04-08-2020</v>
      </c>
      <c r="X7606" t="str">
        <f t="shared" si="3095"/>
        <v>RAZIMAH ANSAR AHMAD</v>
      </c>
      <c r="Y7606" t="str">
        <f t="shared" si="3096"/>
        <v>04-08-2020</v>
      </c>
      <c r="Z7606" t="str">
        <f>"COS10200804 1548"</f>
        <v>COS10200804 1548</v>
      </c>
    </row>
    <row r="7607" spans="1:26" x14ac:dyDescent="0.25">
      <c r="A7607" t="str">
        <f t="shared" si="3101"/>
        <v>04-08-2020 12:34:18</v>
      </c>
      <c r="B7607" t="str">
        <f>"0000803299"</f>
        <v>0000803299</v>
      </c>
      <c r="C7607" t="str">
        <f t="shared" si="3102"/>
        <v>0000803152</v>
      </c>
      <c r="D7607" t="str">
        <f t="shared" si="3086"/>
        <v>73185</v>
      </c>
      <c r="E7607" t="str">
        <f t="shared" si="3087"/>
        <v>KFH-OPERATIONS DEPARTMENT</v>
      </c>
      <c r="F7607" t="str">
        <f t="shared" si="3088"/>
        <v>IBG</v>
      </c>
      <c r="G7607" t="str">
        <f t="shared" si="3097"/>
        <v>Refund COSHARE 10</v>
      </c>
      <c r="H7607" s="2">
        <v>147.35</v>
      </c>
      <c r="I7607" t="str">
        <f>"ERAJESWARI AP SARMOGAM"</f>
        <v>ERAJESWARI AP SARMOGAM</v>
      </c>
      <c r="J7607" t="str">
        <f t="shared" si="3100"/>
        <v>BANK SIMPANAN NASIONAL</v>
      </c>
      <c r="K7607" t="str">
        <f>"0711229000003948"</f>
        <v>0711229000003948</v>
      </c>
      <c r="L7607" t="str">
        <f t="shared" ref="L7607:M7626" si="3107">"04-08-2020"</f>
        <v>04-08-2020</v>
      </c>
      <c r="M7607" t="str">
        <f t="shared" si="3107"/>
        <v>04-08-2020</v>
      </c>
      <c r="N7607" t="str">
        <f t="shared" si="3089"/>
        <v>001105018356</v>
      </c>
      <c r="O7607" t="str">
        <f t="shared" si="3090"/>
        <v>MYR</v>
      </c>
      <c r="P7607" t="str">
        <f t="shared" ref="P7607:Q7626" si="3108">"NIL"</f>
        <v>NIL</v>
      </c>
      <c r="Q7607" t="str">
        <f t="shared" si="3108"/>
        <v>NIL</v>
      </c>
      <c r="R7607" t="str">
        <f t="shared" si="3103"/>
        <v>Accepted</v>
      </c>
      <c r="S7607" t="str">
        <f t="shared" si="3091"/>
        <v>Approved</v>
      </c>
      <c r="T7607" t="str">
        <f t="shared" si="3104"/>
        <v>10.20.8.188</v>
      </c>
      <c r="U7607" t="str">
        <f t="shared" si="3092"/>
        <v>AZRAD UMAR BIN SHAARI</v>
      </c>
      <c r="V7607" t="str">
        <f t="shared" si="3093"/>
        <v>FARHANA BINTI MUSTAPA</v>
      </c>
      <c r="W7607" t="str">
        <f t="shared" si="3094"/>
        <v>04-08-2020</v>
      </c>
      <c r="X7607" t="str">
        <f t="shared" si="3095"/>
        <v>RAZIMAH ANSAR AHMAD</v>
      </c>
      <c r="Y7607" t="str">
        <f t="shared" si="3096"/>
        <v>04-08-2020</v>
      </c>
      <c r="Z7607" t="str">
        <f>"COS10200804 1547"</f>
        <v>COS10200804 1547</v>
      </c>
    </row>
    <row r="7608" spans="1:26" x14ac:dyDescent="0.25">
      <c r="A7608" t="str">
        <f t="shared" si="3101"/>
        <v>04-08-2020 12:34:18</v>
      </c>
      <c r="B7608" t="str">
        <f>"0000803298"</f>
        <v>0000803298</v>
      </c>
      <c r="C7608" t="str">
        <f t="shared" si="3102"/>
        <v>0000803152</v>
      </c>
      <c r="D7608" t="str">
        <f t="shared" si="3086"/>
        <v>73185</v>
      </c>
      <c r="E7608" t="str">
        <f t="shared" si="3087"/>
        <v>KFH-OPERATIONS DEPARTMENT</v>
      </c>
      <c r="F7608" t="str">
        <f t="shared" si="3088"/>
        <v>IBG</v>
      </c>
      <c r="G7608" t="str">
        <f t="shared" si="3097"/>
        <v>Refund COSHARE 10</v>
      </c>
      <c r="H7608" s="2">
        <v>151.15</v>
      </c>
      <c r="I7608" t="str">
        <f>"ELLY SURIANI BINTI OPI"</f>
        <v>ELLY SURIANI BINTI OPI</v>
      </c>
      <c r="J7608" t="str">
        <f t="shared" si="3100"/>
        <v>BANK SIMPANAN NASIONAL</v>
      </c>
      <c r="K7608" t="str">
        <f>"1210429848496212"</f>
        <v>1210429848496212</v>
      </c>
      <c r="L7608" t="str">
        <f t="shared" si="3107"/>
        <v>04-08-2020</v>
      </c>
      <c r="M7608" t="str">
        <f t="shared" si="3107"/>
        <v>04-08-2020</v>
      </c>
      <c r="N7608" t="str">
        <f t="shared" si="3089"/>
        <v>001105018356</v>
      </c>
      <c r="O7608" t="str">
        <f t="shared" si="3090"/>
        <v>MYR</v>
      </c>
      <c r="P7608" t="str">
        <f t="shared" si="3108"/>
        <v>NIL</v>
      </c>
      <c r="Q7608" t="str">
        <f t="shared" si="3108"/>
        <v>NIL</v>
      </c>
      <c r="R7608" t="str">
        <f t="shared" si="3103"/>
        <v>Accepted</v>
      </c>
      <c r="S7608" t="str">
        <f t="shared" si="3091"/>
        <v>Approved</v>
      </c>
      <c r="T7608" t="str">
        <f t="shared" si="3104"/>
        <v>10.20.8.188</v>
      </c>
      <c r="U7608" t="str">
        <f t="shared" si="3092"/>
        <v>AZRAD UMAR BIN SHAARI</v>
      </c>
      <c r="V7608" t="str">
        <f t="shared" si="3093"/>
        <v>FARHANA BINTI MUSTAPA</v>
      </c>
      <c r="W7608" t="str">
        <f t="shared" si="3094"/>
        <v>04-08-2020</v>
      </c>
      <c r="X7608" t="str">
        <f t="shared" si="3095"/>
        <v>RAZIMAH ANSAR AHMAD</v>
      </c>
      <c r="Y7608" t="str">
        <f t="shared" si="3096"/>
        <v>04-08-2020</v>
      </c>
      <c r="Z7608" t="str">
        <f>"COS10200804 1546"</f>
        <v>COS10200804 1546</v>
      </c>
    </row>
    <row r="7609" spans="1:26" x14ac:dyDescent="0.25">
      <c r="A7609" t="str">
        <f t="shared" si="3101"/>
        <v>04-08-2020 12:34:18</v>
      </c>
      <c r="B7609" t="str">
        <f>"0000803297"</f>
        <v>0000803297</v>
      </c>
      <c r="C7609" t="str">
        <f t="shared" si="3102"/>
        <v>0000803152</v>
      </c>
      <c r="D7609" t="str">
        <f t="shared" si="3086"/>
        <v>73185</v>
      </c>
      <c r="E7609" t="str">
        <f t="shared" si="3087"/>
        <v>KFH-OPERATIONS DEPARTMENT</v>
      </c>
      <c r="F7609" t="str">
        <f t="shared" si="3088"/>
        <v>IBG</v>
      </c>
      <c r="G7609" t="str">
        <f t="shared" si="3097"/>
        <v>Refund COSHARE 10</v>
      </c>
      <c r="H7609" s="2">
        <v>129</v>
      </c>
      <c r="I7609" t="str">
        <f>"ELLIN DAGUYEN"</f>
        <v>ELLIN DAGUYEN</v>
      </c>
      <c r="J7609" t="str">
        <f t="shared" si="3100"/>
        <v>BANK SIMPANAN NASIONAL</v>
      </c>
      <c r="K7609" t="str">
        <f>"1211829000034877"</f>
        <v>1211829000034877</v>
      </c>
      <c r="L7609" t="str">
        <f t="shared" si="3107"/>
        <v>04-08-2020</v>
      </c>
      <c r="M7609" t="str">
        <f t="shared" si="3107"/>
        <v>04-08-2020</v>
      </c>
      <c r="N7609" t="str">
        <f t="shared" si="3089"/>
        <v>001105018356</v>
      </c>
      <c r="O7609" t="str">
        <f t="shared" si="3090"/>
        <v>MYR</v>
      </c>
      <c r="P7609" t="str">
        <f t="shared" si="3108"/>
        <v>NIL</v>
      </c>
      <c r="Q7609" t="str">
        <f t="shared" si="3108"/>
        <v>NIL</v>
      </c>
      <c r="R7609" t="str">
        <f t="shared" si="3103"/>
        <v>Accepted</v>
      </c>
      <c r="S7609" t="str">
        <f t="shared" si="3091"/>
        <v>Approved</v>
      </c>
      <c r="T7609" t="str">
        <f t="shared" si="3104"/>
        <v>10.20.8.188</v>
      </c>
      <c r="U7609" t="str">
        <f t="shared" si="3092"/>
        <v>AZRAD UMAR BIN SHAARI</v>
      </c>
      <c r="V7609" t="str">
        <f t="shared" si="3093"/>
        <v>FARHANA BINTI MUSTAPA</v>
      </c>
      <c r="W7609" t="str">
        <f t="shared" si="3094"/>
        <v>04-08-2020</v>
      </c>
      <c r="X7609" t="str">
        <f t="shared" si="3095"/>
        <v>RAZIMAH ANSAR AHMAD</v>
      </c>
      <c r="Y7609" t="str">
        <f t="shared" si="3096"/>
        <v>04-08-2020</v>
      </c>
      <c r="Z7609" t="str">
        <f>"COS10200804 1545"</f>
        <v>COS10200804 1545</v>
      </c>
    </row>
    <row r="7610" spans="1:26" x14ac:dyDescent="0.25">
      <c r="A7610" t="str">
        <f t="shared" si="3101"/>
        <v>04-08-2020 12:34:18</v>
      </c>
      <c r="B7610" t="str">
        <f>"0000803296"</f>
        <v>0000803296</v>
      </c>
      <c r="C7610" t="str">
        <f t="shared" si="3102"/>
        <v>0000803152</v>
      </c>
      <c r="D7610" t="str">
        <f t="shared" si="3086"/>
        <v>73185</v>
      </c>
      <c r="E7610" t="str">
        <f t="shared" si="3087"/>
        <v>KFH-OPERATIONS DEPARTMENT</v>
      </c>
      <c r="F7610" t="str">
        <f t="shared" si="3088"/>
        <v>IBG</v>
      </c>
      <c r="G7610" t="str">
        <f t="shared" si="3097"/>
        <v>Refund COSHARE 10</v>
      </c>
      <c r="H7610" s="2">
        <v>377.8</v>
      </c>
      <c r="I7610" t="str">
        <f>"ELLIN ANAK JOHN BUNGKAN"</f>
        <v>ELLIN ANAK JOHN BUNGKAN</v>
      </c>
      <c r="J7610" t="str">
        <f t="shared" si="3100"/>
        <v>BANK SIMPANAN NASIONAL</v>
      </c>
      <c r="K7610" t="str">
        <f>"1312929000119589"</f>
        <v>1312929000119589</v>
      </c>
      <c r="L7610" t="str">
        <f t="shared" si="3107"/>
        <v>04-08-2020</v>
      </c>
      <c r="M7610" t="str">
        <f t="shared" si="3107"/>
        <v>04-08-2020</v>
      </c>
      <c r="N7610" t="str">
        <f t="shared" si="3089"/>
        <v>001105018356</v>
      </c>
      <c r="O7610" t="str">
        <f t="shared" si="3090"/>
        <v>MYR</v>
      </c>
      <c r="P7610" t="str">
        <f t="shared" si="3108"/>
        <v>NIL</v>
      </c>
      <c r="Q7610" t="str">
        <f t="shared" si="3108"/>
        <v>NIL</v>
      </c>
      <c r="R7610" t="str">
        <f t="shared" si="3103"/>
        <v>Accepted</v>
      </c>
      <c r="S7610" t="str">
        <f t="shared" si="3091"/>
        <v>Approved</v>
      </c>
      <c r="T7610" t="str">
        <f t="shared" si="3104"/>
        <v>10.20.8.188</v>
      </c>
      <c r="U7610" t="str">
        <f t="shared" si="3092"/>
        <v>AZRAD UMAR BIN SHAARI</v>
      </c>
      <c r="V7610" t="str">
        <f t="shared" si="3093"/>
        <v>FARHANA BINTI MUSTAPA</v>
      </c>
      <c r="W7610" t="str">
        <f t="shared" si="3094"/>
        <v>04-08-2020</v>
      </c>
      <c r="X7610" t="str">
        <f t="shared" si="3095"/>
        <v>RAZIMAH ANSAR AHMAD</v>
      </c>
      <c r="Y7610" t="str">
        <f t="shared" si="3096"/>
        <v>04-08-2020</v>
      </c>
      <c r="Z7610" t="str">
        <f>"COS10200804 1544"</f>
        <v>COS10200804 1544</v>
      </c>
    </row>
    <row r="7611" spans="1:26" x14ac:dyDescent="0.25">
      <c r="A7611" t="str">
        <f t="shared" si="3101"/>
        <v>04-08-2020 12:34:18</v>
      </c>
      <c r="B7611" t="str">
        <f>"0000803295"</f>
        <v>0000803295</v>
      </c>
      <c r="C7611" t="str">
        <f t="shared" si="3102"/>
        <v>0000803152</v>
      </c>
      <c r="D7611" t="str">
        <f t="shared" si="3086"/>
        <v>73185</v>
      </c>
      <c r="E7611" t="str">
        <f t="shared" si="3087"/>
        <v>KFH-OPERATIONS DEPARTMENT</v>
      </c>
      <c r="F7611" t="str">
        <f t="shared" si="3088"/>
        <v>IBG</v>
      </c>
      <c r="G7611" t="str">
        <f t="shared" si="3097"/>
        <v>Refund COSHARE 10</v>
      </c>
      <c r="H7611" s="2">
        <v>258.60000000000002</v>
      </c>
      <c r="I7611" t="str">
        <f>"ELBIE BIN LIMIT"</f>
        <v>ELBIE BIN LIMIT</v>
      </c>
      <c r="J7611" t="str">
        <f t="shared" si="3100"/>
        <v>BANK SIMPANAN NASIONAL</v>
      </c>
      <c r="K7611" t="str">
        <f>"1212829853199837"</f>
        <v>1212829853199837</v>
      </c>
      <c r="L7611" t="str">
        <f t="shared" si="3107"/>
        <v>04-08-2020</v>
      </c>
      <c r="M7611" t="str">
        <f t="shared" si="3107"/>
        <v>04-08-2020</v>
      </c>
      <c r="N7611" t="str">
        <f t="shared" si="3089"/>
        <v>001105018356</v>
      </c>
      <c r="O7611" t="str">
        <f t="shared" si="3090"/>
        <v>MYR</v>
      </c>
      <c r="P7611" t="str">
        <f t="shared" si="3108"/>
        <v>NIL</v>
      </c>
      <c r="Q7611" t="str">
        <f t="shared" si="3108"/>
        <v>NIL</v>
      </c>
      <c r="R7611" t="str">
        <f t="shared" si="3103"/>
        <v>Accepted</v>
      </c>
      <c r="S7611" t="str">
        <f t="shared" si="3091"/>
        <v>Approved</v>
      </c>
      <c r="T7611" t="str">
        <f t="shared" si="3104"/>
        <v>10.20.8.188</v>
      </c>
      <c r="U7611" t="str">
        <f t="shared" si="3092"/>
        <v>AZRAD UMAR BIN SHAARI</v>
      </c>
      <c r="V7611" t="str">
        <f t="shared" si="3093"/>
        <v>FARHANA BINTI MUSTAPA</v>
      </c>
      <c r="W7611" t="str">
        <f t="shared" si="3094"/>
        <v>04-08-2020</v>
      </c>
      <c r="X7611" t="str">
        <f t="shared" si="3095"/>
        <v>RAZIMAH ANSAR AHMAD</v>
      </c>
      <c r="Y7611" t="str">
        <f t="shared" si="3096"/>
        <v>04-08-2020</v>
      </c>
      <c r="Z7611" t="str">
        <f>"COS10200804 1543"</f>
        <v>COS10200804 1543</v>
      </c>
    </row>
    <row r="7612" spans="1:26" x14ac:dyDescent="0.25">
      <c r="A7612" t="str">
        <f t="shared" si="3101"/>
        <v>04-08-2020 12:34:18</v>
      </c>
      <c r="B7612" t="str">
        <f>"0000803294"</f>
        <v>0000803294</v>
      </c>
      <c r="C7612" t="str">
        <f t="shared" si="3102"/>
        <v>0000803152</v>
      </c>
      <c r="D7612" t="str">
        <f t="shared" si="3086"/>
        <v>73185</v>
      </c>
      <c r="E7612" t="str">
        <f t="shared" si="3087"/>
        <v>KFH-OPERATIONS DEPARTMENT</v>
      </c>
      <c r="F7612" t="str">
        <f t="shared" si="3088"/>
        <v>IBG</v>
      </c>
      <c r="G7612" t="str">
        <f t="shared" si="3097"/>
        <v>Refund COSHARE 10</v>
      </c>
      <c r="H7612" s="2">
        <v>750.3</v>
      </c>
      <c r="I7612" t="str">
        <f>"EILEEN ANAK WILLIAM TOM"</f>
        <v>EILEEN ANAK WILLIAM TOM</v>
      </c>
      <c r="J7612" t="str">
        <f t="shared" si="3100"/>
        <v>BANK SIMPANAN NASIONAL</v>
      </c>
      <c r="K7612" t="str">
        <f>"1310029833500377"</f>
        <v>1310029833500377</v>
      </c>
      <c r="L7612" t="str">
        <f t="shared" si="3107"/>
        <v>04-08-2020</v>
      </c>
      <c r="M7612" t="str">
        <f t="shared" si="3107"/>
        <v>04-08-2020</v>
      </c>
      <c r="N7612" t="str">
        <f t="shared" si="3089"/>
        <v>001105018356</v>
      </c>
      <c r="O7612" t="str">
        <f t="shared" si="3090"/>
        <v>MYR</v>
      </c>
      <c r="P7612" t="str">
        <f t="shared" si="3108"/>
        <v>NIL</v>
      </c>
      <c r="Q7612" t="str">
        <f t="shared" si="3108"/>
        <v>NIL</v>
      </c>
      <c r="R7612" t="str">
        <f t="shared" si="3103"/>
        <v>Accepted</v>
      </c>
      <c r="S7612" t="str">
        <f t="shared" si="3091"/>
        <v>Approved</v>
      </c>
      <c r="T7612" t="str">
        <f t="shared" si="3104"/>
        <v>10.20.8.188</v>
      </c>
      <c r="U7612" t="str">
        <f t="shared" si="3092"/>
        <v>AZRAD UMAR BIN SHAARI</v>
      </c>
      <c r="V7612" t="str">
        <f t="shared" si="3093"/>
        <v>FARHANA BINTI MUSTAPA</v>
      </c>
      <c r="W7612" t="str">
        <f t="shared" si="3094"/>
        <v>04-08-2020</v>
      </c>
      <c r="X7612" t="str">
        <f t="shared" si="3095"/>
        <v>RAZIMAH ANSAR AHMAD</v>
      </c>
      <c r="Y7612" t="str">
        <f t="shared" si="3096"/>
        <v>04-08-2020</v>
      </c>
      <c r="Z7612" t="str">
        <f>"COS10200804 1542"</f>
        <v>COS10200804 1542</v>
      </c>
    </row>
    <row r="7613" spans="1:26" x14ac:dyDescent="0.25">
      <c r="A7613" t="str">
        <f t="shared" si="3101"/>
        <v>04-08-2020 12:34:18</v>
      </c>
      <c r="B7613" t="str">
        <f>"0000803293"</f>
        <v>0000803293</v>
      </c>
      <c r="C7613" t="str">
        <f t="shared" si="3102"/>
        <v>0000803152</v>
      </c>
      <c r="D7613" t="str">
        <f t="shared" si="3086"/>
        <v>73185</v>
      </c>
      <c r="E7613" t="str">
        <f t="shared" si="3087"/>
        <v>KFH-OPERATIONS DEPARTMENT</v>
      </c>
      <c r="F7613" t="str">
        <f t="shared" si="3088"/>
        <v>IBG</v>
      </c>
      <c r="G7613" t="str">
        <f t="shared" si="3097"/>
        <v>Refund COSHARE 10</v>
      </c>
      <c r="H7613" s="2">
        <v>450.25</v>
      </c>
      <c r="I7613" t="str">
        <f>"EDWIN BIN EBIN"</f>
        <v>EDWIN BIN EBIN</v>
      </c>
      <c r="J7613" t="str">
        <f t="shared" si="3100"/>
        <v>BANK SIMPANAN NASIONAL</v>
      </c>
      <c r="K7613" t="str">
        <f>"1210029868471629"</f>
        <v>1210029868471629</v>
      </c>
      <c r="L7613" t="str">
        <f t="shared" si="3107"/>
        <v>04-08-2020</v>
      </c>
      <c r="M7613" t="str">
        <f t="shared" si="3107"/>
        <v>04-08-2020</v>
      </c>
      <c r="N7613" t="str">
        <f t="shared" si="3089"/>
        <v>001105018356</v>
      </c>
      <c r="O7613" t="str">
        <f t="shared" si="3090"/>
        <v>MYR</v>
      </c>
      <c r="P7613" t="str">
        <f t="shared" si="3108"/>
        <v>NIL</v>
      </c>
      <c r="Q7613" t="str">
        <f t="shared" si="3108"/>
        <v>NIL</v>
      </c>
      <c r="R7613" t="str">
        <f t="shared" si="3103"/>
        <v>Accepted</v>
      </c>
      <c r="S7613" t="str">
        <f t="shared" si="3091"/>
        <v>Approved</v>
      </c>
      <c r="T7613" t="str">
        <f t="shared" si="3104"/>
        <v>10.20.8.188</v>
      </c>
      <c r="U7613" t="str">
        <f t="shared" si="3092"/>
        <v>AZRAD UMAR BIN SHAARI</v>
      </c>
      <c r="V7613" t="str">
        <f t="shared" si="3093"/>
        <v>FARHANA BINTI MUSTAPA</v>
      </c>
      <c r="W7613" t="str">
        <f t="shared" si="3094"/>
        <v>04-08-2020</v>
      </c>
      <c r="X7613" t="str">
        <f t="shared" si="3095"/>
        <v>RAZIMAH ANSAR AHMAD</v>
      </c>
      <c r="Y7613" t="str">
        <f t="shared" si="3096"/>
        <v>04-08-2020</v>
      </c>
      <c r="Z7613" t="str">
        <f>"COS10200804 1541"</f>
        <v>COS10200804 1541</v>
      </c>
    </row>
    <row r="7614" spans="1:26" x14ac:dyDescent="0.25">
      <c r="A7614" t="str">
        <f t="shared" si="3101"/>
        <v>04-08-2020 12:34:18</v>
      </c>
      <c r="B7614" t="str">
        <f>"0000803292"</f>
        <v>0000803292</v>
      </c>
      <c r="C7614" t="str">
        <f t="shared" si="3102"/>
        <v>0000803152</v>
      </c>
      <c r="D7614" t="str">
        <f t="shared" si="3086"/>
        <v>73185</v>
      </c>
      <c r="E7614" t="str">
        <f t="shared" si="3087"/>
        <v>KFH-OPERATIONS DEPARTMENT</v>
      </c>
      <c r="F7614" t="str">
        <f t="shared" si="3088"/>
        <v>IBG</v>
      </c>
      <c r="G7614" t="str">
        <f t="shared" si="3097"/>
        <v>Refund COSHARE 10</v>
      </c>
      <c r="H7614" s="2">
        <v>1464</v>
      </c>
      <c r="I7614" t="str">
        <f>"EDDY MUZAFFAR BIN HASHIM"</f>
        <v>EDDY MUZAFFAR BIN HASHIM</v>
      </c>
      <c r="J7614" t="str">
        <f t="shared" si="3100"/>
        <v>BANK SIMPANAN NASIONAL</v>
      </c>
      <c r="K7614" t="str">
        <f>"1015141000014894"</f>
        <v>1015141000014894</v>
      </c>
      <c r="L7614" t="str">
        <f t="shared" si="3107"/>
        <v>04-08-2020</v>
      </c>
      <c r="M7614" t="str">
        <f t="shared" si="3107"/>
        <v>04-08-2020</v>
      </c>
      <c r="N7614" t="str">
        <f t="shared" si="3089"/>
        <v>001105018356</v>
      </c>
      <c r="O7614" t="str">
        <f t="shared" si="3090"/>
        <v>MYR</v>
      </c>
      <c r="P7614" t="str">
        <f t="shared" si="3108"/>
        <v>NIL</v>
      </c>
      <c r="Q7614" t="str">
        <f t="shared" si="3108"/>
        <v>NIL</v>
      </c>
      <c r="R7614" t="str">
        <f t="shared" si="3103"/>
        <v>Accepted</v>
      </c>
      <c r="S7614" t="str">
        <f t="shared" si="3091"/>
        <v>Approved</v>
      </c>
      <c r="T7614" t="str">
        <f t="shared" si="3104"/>
        <v>10.20.8.188</v>
      </c>
      <c r="U7614" t="str">
        <f t="shared" si="3092"/>
        <v>AZRAD UMAR BIN SHAARI</v>
      </c>
      <c r="V7614" t="str">
        <f t="shared" si="3093"/>
        <v>FARHANA BINTI MUSTAPA</v>
      </c>
      <c r="W7614" t="str">
        <f t="shared" si="3094"/>
        <v>04-08-2020</v>
      </c>
      <c r="X7614" t="str">
        <f t="shared" si="3095"/>
        <v>RAZIMAH ANSAR AHMAD</v>
      </c>
      <c r="Y7614" t="str">
        <f t="shared" si="3096"/>
        <v>04-08-2020</v>
      </c>
      <c r="Z7614" t="str">
        <f>"COS10200804 1540"</f>
        <v>COS10200804 1540</v>
      </c>
    </row>
    <row r="7615" spans="1:26" x14ac:dyDescent="0.25">
      <c r="A7615" t="str">
        <f t="shared" si="3101"/>
        <v>04-08-2020 12:34:18</v>
      </c>
      <c r="B7615" t="str">
        <f>"0000803291"</f>
        <v>0000803291</v>
      </c>
      <c r="C7615" t="str">
        <f t="shared" si="3102"/>
        <v>0000803152</v>
      </c>
      <c r="D7615" t="str">
        <f t="shared" si="3086"/>
        <v>73185</v>
      </c>
      <c r="E7615" t="str">
        <f t="shared" si="3087"/>
        <v>KFH-OPERATIONS DEPARTMENT</v>
      </c>
      <c r="F7615" t="str">
        <f t="shared" si="3088"/>
        <v>IBG</v>
      </c>
      <c r="G7615" t="str">
        <f t="shared" si="3097"/>
        <v>Refund COSHARE 10</v>
      </c>
      <c r="H7615" s="2">
        <v>640.5</v>
      </c>
      <c r="I7615" t="str">
        <f>"DAYANG WIDYAWATI BINTI AWANG MENTERI"</f>
        <v>DAYANG WIDYAWATI BINTI AWANG MENTERI</v>
      </c>
      <c r="J7615" t="str">
        <f t="shared" si="3100"/>
        <v>BANK SIMPANAN NASIONAL</v>
      </c>
      <c r="K7615" t="str">
        <f>"0510029813015547"</f>
        <v>0510029813015547</v>
      </c>
      <c r="L7615" t="str">
        <f t="shared" si="3107"/>
        <v>04-08-2020</v>
      </c>
      <c r="M7615" t="str">
        <f t="shared" si="3107"/>
        <v>04-08-2020</v>
      </c>
      <c r="N7615" t="str">
        <f t="shared" si="3089"/>
        <v>001105018356</v>
      </c>
      <c r="O7615" t="str">
        <f t="shared" si="3090"/>
        <v>MYR</v>
      </c>
      <c r="P7615" t="str">
        <f t="shared" si="3108"/>
        <v>NIL</v>
      </c>
      <c r="Q7615" t="str">
        <f t="shared" si="3108"/>
        <v>NIL</v>
      </c>
      <c r="R7615" t="str">
        <f t="shared" si="3103"/>
        <v>Accepted</v>
      </c>
      <c r="S7615" t="str">
        <f t="shared" si="3091"/>
        <v>Approved</v>
      </c>
      <c r="T7615" t="str">
        <f t="shared" si="3104"/>
        <v>10.20.8.188</v>
      </c>
      <c r="U7615" t="str">
        <f t="shared" si="3092"/>
        <v>AZRAD UMAR BIN SHAARI</v>
      </c>
      <c r="V7615" t="str">
        <f t="shared" si="3093"/>
        <v>FARHANA BINTI MUSTAPA</v>
      </c>
      <c r="W7615" t="str">
        <f t="shared" si="3094"/>
        <v>04-08-2020</v>
      </c>
      <c r="X7615" t="str">
        <f t="shared" si="3095"/>
        <v>RAZIMAH ANSAR AHMAD</v>
      </c>
      <c r="Y7615" t="str">
        <f t="shared" si="3096"/>
        <v>04-08-2020</v>
      </c>
      <c r="Z7615" t="str">
        <f>"COS10200804 1539"</f>
        <v>COS10200804 1539</v>
      </c>
    </row>
    <row r="7616" spans="1:26" x14ac:dyDescent="0.25">
      <c r="A7616" t="str">
        <f t="shared" si="3101"/>
        <v>04-08-2020 12:34:18</v>
      </c>
      <c r="B7616" t="str">
        <f>"0000803290"</f>
        <v>0000803290</v>
      </c>
      <c r="C7616" t="str">
        <f t="shared" si="3102"/>
        <v>0000803152</v>
      </c>
      <c r="D7616" t="str">
        <f t="shared" si="3086"/>
        <v>73185</v>
      </c>
      <c r="E7616" t="str">
        <f t="shared" si="3087"/>
        <v>KFH-OPERATIONS DEPARTMENT</v>
      </c>
      <c r="F7616" t="str">
        <f t="shared" si="3088"/>
        <v>IBG</v>
      </c>
      <c r="G7616" t="str">
        <f t="shared" si="3097"/>
        <v>Refund COSHARE 10</v>
      </c>
      <c r="H7616" s="2">
        <v>1674.45</v>
      </c>
      <c r="I7616" t="str">
        <f>"DAYANG ROSIAH BINTI AG SIMPOL"</f>
        <v>DAYANG ROSIAH BINTI AG SIMPOL</v>
      </c>
      <c r="J7616" t="str">
        <f t="shared" si="3100"/>
        <v>BANK SIMPANAN NASIONAL</v>
      </c>
      <c r="K7616" t="str">
        <f>"1216029870082953"</f>
        <v>1216029870082953</v>
      </c>
      <c r="L7616" t="str">
        <f t="shared" si="3107"/>
        <v>04-08-2020</v>
      </c>
      <c r="M7616" t="str">
        <f t="shared" si="3107"/>
        <v>04-08-2020</v>
      </c>
      <c r="N7616" t="str">
        <f t="shared" si="3089"/>
        <v>001105018356</v>
      </c>
      <c r="O7616" t="str">
        <f t="shared" si="3090"/>
        <v>MYR</v>
      </c>
      <c r="P7616" t="str">
        <f t="shared" si="3108"/>
        <v>NIL</v>
      </c>
      <c r="Q7616" t="str">
        <f t="shared" si="3108"/>
        <v>NIL</v>
      </c>
      <c r="R7616" t="str">
        <f t="shared" si="3103"/>
        <v>Accepted</v>
      </c>
      <c r="S7616" t="str">
        <f t="shared" si="3091"/>
        <v>Approved</v>
      </c>
      <c r="T7616" t="str">
        <f t="shared" si="3104"/>
        <v>10.20.8.188</v>
      </c>
      <c r="U7616" t="str">
        <f t="shared" si="3092"/>
        <v>AZRAD UMAR BIN SHAARI</v>
      </c>
      <c r="V7616" t="str">
        <f t="shared" si="3093"/>
        <v>FARHANA BINTI MUSTAPA</v>
      </c>
      <c r="W7616" t="str">
        <f t="shared" si="3094"/>
        <v>04-08-2020</v>
      </c>
      <c r="X7616" t="str">
        <f t="shared" si="3095"/>
        <v>RAZIMAH ANSAR AHMAD</v>
      </c>
      <c r="Y7616" t="str">
        <f t="shared" si="3096"/>
        <v>04-08-2020</v>
      </c>
      <c r="Z7616" t="str">
        <f>"COS10200804 1538"</f>
        <v>COS10200804 1538</v>
      </c>
    </row>
    <row r="7617" spans="1:26" x14ac:dyDescent="0.25">
      <c r="A7617" t="str">
        <f t="shared" si="3101"/>
        <v>04-08-2020 12:34:18</v>
      </c>
      <c r="B7617" t="str">
        <f>"0000803289"</f>
        <v>0000803289</v>
      </c>
      <c r="C7617" t="str">
        <f t="shared" si="3102"/>
        <v>0000803152</v>
      </c>
      <c r="D7617" t="str">
        <f t="shared" si="3086"/>
        <v>73185</v>
      </c>
      <c r="E7617" t="str">
        <f t="shared" si="3087"/>
        <v>KFH-OPERATIONS DEPARTMENT</v>
      </c>
      <c r="F7617" t="str">
        <f t="shared" si="3088"/>
        <v>IBG</v>
      </c>
      <c r="G7617" t="str">
        <f t="shared" si="3097"/>
        <v>Refund COSHARE 10</v>
      </c>
      <c r="H7617" s="2">
        <v>279</v>
      </c>
      <c r="I7617" t="str">
        <f>"DAYANG ANUM BINTI AWANG ALI BIMA"</f>
        <v>DAYANG ANUM BINTI AWANG ALI BIMA</v>
      </c>
      <c r="J7617" t="str">
        <f t="shared" si="3100"/>
        <v>BANK SIMPANAN NASIONAL</v>
      </c>
      <c r="K7617" t="str">
        <f>"1311029000019475"</f>
        <v>1311029000019475</v>
      </c>
      <c r="L7617" t="str">
        <f t="shared" si="3107"/>
        <v>04-08-2020</v>
      </c>
      <c r="M7617" t="str">
        <f t="shared" si="3107"/>
        <v>04-08-2020</v>
      </c>
      <c r="N7617" t="str">
        <f t="shared" si="3089"/>
        <v>001105018356</v>
      </c>
      <c r="O7617" t="str">
        <f t="shared" si="3090"/>
        <v>MYR</v>
      </c>
      <c r="P7617" t="str">
        <f t="shared" si="3108"/>
        <v>NIL</v>
      </c>
      <c r="Q7617" t="str">
        <f t="shared" si="3108"/>
        <v>NIL</v>
      </c>
      <c r="R7617" t="str">
        <f t="shared" si="3103"/>
        <v>Accepted</v>
      </c>
      <c r="S7617" t="str">
        <f t="shared" si="3091"/>
        <v>Approved</v>
      </c>
      <c r="T7617" t="str">
        <f t="shared" si="3104"/>
        <v>10.20.8.188</v>
      </c>
      <c r="U7617" t="str">
        <f t="shared" si="3092"/>
        <v>AZRAD UMAR BIN SHAARI</v>
      </c>
      <c r="V7617" t="str">
        <f t="shared" si="3093"/>
        <v>FARHANA BINTI MUSTAPA</v>
      </c>
      <c r="W7617" t="str">
        <f t="shared" si="3094"/>
        <v>04-08-2020</v>
      </c>
      <c r="X7617" t="str">
        <f t="shared" si="3095"/>
        <v>RAZIMAH ANSAR AHMAD</v>
      </c>
      <c r="Y7617" t="str">
        <f t="shared" si="3096"/>
        <v>04-08-2020</v>
      </c>
      <c r="Z7617" t="str">
        <f>"COS10200804 1537"</f>
        <v>COS10200804 1537</v>
      </c>
    </row>
    <row r="7618" spans="1:26" x14ac:dyDescent="0.25">
      <c r="A7618" t="str">
        <f t="shared" ref="A7618:A7649" si="3109">"04-08-2020 12:34:18"</f>
        <v>04-08-2020 12:34:18</v>
      </c>
      <c r="B7618" t="str">
        <f>"0000803288"</f>
        <v>0000803288</v>
      </c>
      <c r="C7618" t="str">
        <f t="shared" ref="C7618:C7649" si="3110">"0000803152"</f>
        <v>0000803152</v>
      </c>
      <c r="D7618" t="str">
        <f t="shared" si="3086"/>
        <v>73185</v>
      </c>
      <c r="E7618" t="str">
        <f t="shared" si="3087"/>
        <v>KFH-OPERATIONS DEPARTMENT</v>
      </c>
      <c r="F7618" t="str">
        <f t="shared" si="3088"/>
        <v>IBG</v>
      </c>
      <c r="G7618" t="str">
        <f t="shared" si="3097"/>
        <v>Refund COSHARE 10</v>
      </c>
      <c r="H7618" s="2">
        <v>774</v>
      </c>
      <c r="I7618" t="str">
        <f>"DARVIN HASNEN  WINN BIN ISKANDAR"</f>
        <v>DARVIN HASNEN  WINN BIN ISKANDAR</v>
      </c>
      <c r="J7618" t="str">
        <f t="shared" si="3100"/>
        <v>BANK SIMPANAN NASIONAL</v>
      </c>
      <c r="K7618" t="str">
        <f>"1210629000030393"</f>
        <v>1210629000030393</v>
      </c>
      <c r="L7618" t="str">
        <f t="shared" si="3107"/>
        <v>04-08-2020</v>
      </c>
      <c r="M7618" t="str">
        <f t="shared" si="3107"/>
        <v>04-08-2020</v>
      </c>
      <c r="N7618" t="str">
        <f t="shared" si="3089"/>
        <v>001105018356</v>
      </c>
      <c r="O7618" t="str">
        <f t="shared" si="3090"/>
        <v>MYR</v>
      </c>
      <c r="P7618" t="str">
        <f t="shared" si="3108"/>
        <v>NIL</v>
      </c>
      <c r="Q7618" t="str">
        <f t="shared" si="3108"/>
        <v>NIL</v>
      </c>
      <c r="R7618" t="str">
        <f t="shared" si="3103"/>
        <v>Accepted</v>
      </c>
      <c r="S7618" t="str">
        <f t="shared" si="3091"/>
        <v>Approved</v>
      </c>
      <c r="T7618" t="str">
        <f t="shared" si="3104"/>
        <v>10.20.8.188</v>
      </c>
      <c r="U7618" t="str">
        <f t="shared" si="3092"/>
        <v>AZRAD UMAR BIN SHAARI</v>
      </c>
      <c r="V7618" t="str">
        <f t="shared" si="3093"/>
        <v>FARHANA BINTI MUSTAPA</v>
      </c>
      <c r="W7618" t="str">
        <f t="shared" si="3094"/>
        <v>04-08-2020</v>
      </c>
      <c r="X7618" t="str">
        <f t="shared" si="3095"/>
        <v>RAZIMAH ANSAR AHMAD</v>
      </c>
      <c r="Y7618" t="str">
        <f t="shared" si="3096"/>
        <v>04-08-2020</v>
      </c>
      <c r="Z7618" t="str">
        <f>"COS10200804 1536"</f>
        <v>COS10200804 1536</v>
      </c>
    </row>
    <row r="7619" spans="1:26" x14ac:dyDescent="0.25">
      <c r="A7619" t="str">
        <f t="shared" si="3109"/>
        <v>04-08-2020 12:34:18</v>
      </c>
      <c r="B7619" t="str">
        <f>"0000803287"</f>
        <v>0000803287</v>
      </c>
      <c r="C7619" t="str">
        <f t="shared" si="3110"/>
        <v>0000803152</v>
      </c>
      <c r="D7619" t="str">
        <f t="shared" si="3086"/>
        <v>73185</v>
      </c>
      <c r="E7619" t="str">
        <f t="shared" si="3087"/>
        <v>KFH-OPERATIONS DEPARTMENT</v>
      </c>
      <c r="F7619" t="str">
        <f t="shared" si="3088"/>
        <v>IBG</v>
      </c>
      <c r="G7619" t="str">
        <f t="shared" si="3097"/>
        <v>Refund COSHARE 10</v>
      </c>
      <c r="H7619" s="2">
        <v>76</v>
      </c>
      <c r="I7619" t="str">
        <f>"CLARICE BINTI PHILIP"</f>
        <v>CLARICE BINTI PHILIP</v>
      </c>
      <c r="J7619" t="str">
        <f t="shared" si="3100"/>
        <v>BANK SIMPANAN NASIONAL</v>
      </c>
      <c r="K7619" t="str">
        <f>"1211229000024131"</f>
        <v>1211229000024131</v>
      </c>
      <c r="L7619" t="str">
        <f t="shared" si="3107"/>
        <v>04-08-2020</v>
      </c>
      <c r="M7619" t="str">
        <f t="shared" si="3107"/>
        <v>04-08-2020</v>
      </c>
      <c r="N7619" t="str">
        <f t="shared" si="3089"/>
        <v>001105018356</v>
      </c>
      <c r="O7619" t="str">
        <f t="shared" si="3090"/>
        <v>MYR</v>
      </c>
      <c r="P7619" t="str">
        <f t="shared" si="3108"/>
        <v>NIL</v>
      </c>
      <c r="Q7619" t="str">
        <f t="shared" si="3108"/>
        <v>NIL</v>
      </c>
      <c r="R7619" t="str">
        <f t="shared" si="3103"/>
        <v>Accepted</v>
      </c>
      <c r="S7619" t="str">
        <f t="shared" si="3091"/>
        <v>Approved</v>
      </c>
      <c r="T7619" t="str">
        <f t="shared" si="3104"/>
        <v>10.20.8.188</v>
      </c>
      <c r="U7619" t="str">
        <f t="shared" si="3092"/>
        <v>AZRAD UMAR BIN SHAARI</v>
      </c>
      <c r="V7619" t="str">
        <f t="shared" si="3093"/>
        <v>FARHANA BINTI MUSTAPA</v>
      </c>
      <c r="W7619" t="str">
        <f t="shared" si="3094"/>
        <v>04-08-2020</v>
      </c>
      <c r="X7619" t="str">
        <f t="shared" si="3095"/>
        <v>RAZIMAH ANSAR AHMAD</v>
      </c>
      <c r="Y7619" t="str">
        <f t="shared" si="3096"/>
        <v>04-08-2020</v>
      </c>
      <c r="Z7619" t="str">
        <f>"COS10200804 1535"</f>
        <v>COS10200804 1535</v>
      </c>
    </row>
    <row r="7620" spans="1:26" x14ac:dyDescent="0.25">
      <c r="A7620" t="str">
        <f t="shared" si="3109"/>
        <v>04-08-2020 12:34:18</v>
      </c>
      <c r="B7620" t="str">
        <f>"0000803286"</f>
        <v>0000803286</v>
      </c>
      <c r="C7620" t="str">
        <f t="shared" si="3110"/>
        <v>0000803152</v>
      </c>
      <c r="D7620" t="str">
        <f t="shared" si="3086"/>
        <v>73185</v>
      </c>
      <c r="E7620" t="str">
        <f t="shared" si="3087"/>
        <v>KFH-OPERATIONS DEPARTMENT</v>
      </c>
      <c r="F7620" t="str">
        <f t="shared" si="3088"/>
        <v>IBG</v>
      </c>
      <c r="G7620" t="str">
        <f t="shared" si="3097"/>
        <v>Refund COSHARE 10</v>
      </c>
      <c r="H7620" s="2">
        <v>630</v>
      </c>
      <c r="I7620" t="str">
        <f>"CINDY ANAK ANSAM"</f>
        <v>CINDY ANAK ANSAM</v>
      </c>
      <c r="J7620" t="str">
        <f t="shared" si="3100"/>
        <v>BANK SIMPANAN NASIONAL</v>
      </c>
      <c r="K7620" t="str">
        <f>"1310041000121611"</f>
        <v>1310041000121611</v>
      </c>
      <c r="L7620" t="str">
        <f t="shared" si="3107"/>
        <v>04-08-2020</v>
      </c>
      <c r="M7620" t="str">
        <f t="shared" si="3107"/>
        <v>04-08-2020</v>
      </c>
      <c r="N7620" t="str">
        <f t="shared" si="3089"/>
        <v>001105018356</v>
      </c>
      <c r="O7620" t="str">
        <f t="shared" si="3090"/>
        <v>MYR</v>
      </c>
      <c r="P7620" t="str">
        <f t="shared" si="3108"/>
        <v>NIL</v>
      </c>
      <c r="Q7620" t="str">
        <f t="shared" si="3108"/>
        <v>NIL</v>
      </c>
      <c r="R7620" t="str">
        <f t="shared" si="3103"/>
        <v>Accepted</v>
      </c>
      <c r="S7620" t="str">
        <f t="shared" si="3091"/>
        <v>Approved</v>
      </c>
      <c r="T7620" t="str">
        <f t="shared" si="3104"/>
        <v>10.20.8.188</v>
      </c>
      <c r="U7620" t="str">
        <f t="shared" si="3092"/>
        <v>AZRAD UMAR BIN SHAARI</v>
      </c>
      <c r="V7620" t="str">
        <f t="shared" si="3093"/>
        <v>FARHANA BINTI MUSTAPA</v>
      </c>
      <c r="W7620" t="str">
        <f t="shared" si="3094"/>
        <v>04-08-2020</v>
      </c>
      <c r="X7620" t="str">
        <f t="shared" si="3095"/>
        <v>RAZIMAH ANSAR AHMAD</v>
      </c>
      <c r="Y7620" t="str">
        <f t="shared" si="3096"/>
        <v>04-08-2020</v>
      </c>
      <c r="Z7620" t="str">
        <f>"COS10200804 1534"</f>
        <v>COS10200804 1534</v>
      </c>
    </row>
    <row r="7621" spans="1:26" x14ac:dyDescent="0.25">
      <c r="A7621" t="str">
        <f t="shared" si="3109"/>
        <v>04-08-2020 12:34:18</v>
      </c>
      <c r="B7621" t="str">
        <f>"0000803285"</f>
        <v>0000803285</v>
      </c>
      <c r="C7621" t="str">
        <f t="shared" si="3110"/>
        <v>0000803152</v>
      </c>
      <c r="D7621" t="str">
        <f t="shared" si="3086"/>
        <v>73185</v>
      </c>
      <c r="E7621" t="str">
        <f t="shared" si="3087"/>
        <v>KFH-OPERATIONS DEPARTMENT</v>
      </c>
      <c r="F7621" t="str">
        <f t="shared" si="3088"/>
        <v>IBG</v>
      </c>
      <c r="G7621" t="str">
        <f t="shared" si="3097"/>
        <v>Refund COSHARE 10</v>
      </c>
      <c r="H7621" s="2">
        <v>945</v>
      </c>
      <c r="I7621" t="str">
        <f>"CHRISTINA BINTI ALI"</f>
        <v>CHRISTINA BINTI ALI</v>
      </c>
      <c r="J7621" t="str">
        <f t="shared" si="3100"/>
        <v>BANK SIMPANAN NASIONAL</v>
      </c>
      <c r="K7621" t="str">
        <f>"1312129878176318"</f>
        <v>1312129878176318</v>
      </c>
      <c r="L7621" t="str">
        <f t="shared" si="3107"/>
        <v>04-08-2020</v>
      </c>
      <c r="M7621" t="str">
        <f t="shared" si="3107"/>
        <v>04-08-2020</v>
      </c>
      <c r="N7621" t="str">
        <f t="shared" si="3089"/>
        <v>001105018356</v>
      </c>
      <c r="O7621" t="str">
        <f t="shared" si="3090"/>
        <v>MYR</v>
      </c>
      <c r="P7621" t="str">
        <f t="shared" si="3108"/>
        <v>NIL</v>
      </c>
      <c r="Q7621" t="str">
        <f t="shared" si="3108"/>
        <v>NIL</v>
      </c>
      <c r="R7621" t="str">
        <f t="shared" si="3103"/>
        <v>Accepted</v>
      </c>
      <c r="S7621" t="str">
        <f t="shared" si="3091"/>
        <v>Approved</v>
      </c>
      <c r="T7621" t="str">
        <f t="shared" si="3104"/>
        <v>10.20.8.188</v>
      </c>
      <c r="U7621" t="str">
        <f t="shared" si="3092"/>
        <v>AZRAD UMAR BIN SHAARI</v>
      </c>
      <c r="V7621" t="str">
        <f t="shared" si="3093"/>
        <v>FARHANA BINTI MUSTAPA</v>
      </c>
      <c r="W7621" t="str">
        <f t="shared" si="3094"/>
        <v>04-08-2020</v>
      </c>
      <c r="X7621" t="str">
        <f t="shared" si="3095"/>
        <v>RAZIMAH ANSAR AHMAD</v>
      </c>
      <c r="Y7621" t="str">
        <f t="shared" si="3096"/>
        <v>04-08-2020</v>
      </c>
      <c r="Z7621" t="str">
        <f>"COS10200804 1533"</f>
        <v>COS10200804 1533</v>
      </c>
    </row>
    <row r="7622" spans="1:26" x14ac:dyDescent="0.25">
      <c r="A7622" t="str">
        <f t="shared" si="3109"/>
        <v>04-08-2020 12:34:18</v>
      </c>
      <c r="B7622" t="str">
        <f>"0000803284"</f>
        <v>0000803284</v>
      </c>
      <c r="C7622" t="str">
        <f t="shared" si="3110"/>
        <v>0000803152</v>
      </c>
      <c r="D7622" t="str">
        <f t="shared" si="3086"/>
        <v>73185</v>
      </c>
      <c r="E7622" t="str">
        <f t="shared" si="3087"/>
        <v>KFH-OPERATIONS DEPARTMENT</v>
      </c>
      <c r="F7622" t="str">
        <f t="shared" si="3088"/>
        <v>IBG</v>
      </c>
      <c r="G7622" t="str">
        <f t="shared" si="3097"/>
        <v>Refund COSHARE 10</v>
      </c>
      <c r="H7622" s="2">
        <v>216.15</v>
      </c>
      <c r="I7622" t="str">
        <f>"CHONG CHEE BOON"</f>
        <v>CHONG CHEE BOON</v>
      </c>
      <c r="J7622" t="str">
        <f t="shared" si="3100"/>
        <v>BANK SIMPANAN NASIONAL</v>
      </c>
      <c r="K7622" t="str">
        <f>"1420029000000376"</f>
        <v>1420029000000376</v>
      </c>
      <c r="L7622" t="str">
        <f t="shared" si="3107"/>
        <v>04-08-2020</v>
      </c>
      <c r="M7622" t="str">
        <f t="shared" si="3107"/>
        <v>04-08-2020</v>
      </c>
      <c r="N7622" t="str">
        <f t="shared" si="3089"/>
        <v>001105018356</v>
      </c>
      <c r="O7622" t="str">
        <f t="shared" si="3090"/>
        <v>MYR</v>
      </c>
      <c r="P7622" t="str">
        <f t="shared" si="3108"/>
        <v>NIL</v>
      </c>
      <c r="Q7622" t="str">
        <f t="shared" si="3108"/>
        <v>NIL</v>
      </c>
      <c r="R7622" t="str">
        <f t="shared" si="3103"/>
        <v>Accepted</v>
      </c>
      <c r="S7622" t="str">
        <f t="shared" si="3091"/>
        <v>Approved</v>
      </c>
      <c r="T7622" t="str">
        <f t="shared" si="3104"/>
        <v>10.20.8.188</v>
      </c>
      <c r="U7622" t="str">
        <f t="shared" si="3092"/>
        <v>AZRAD UMAR BIN SHAARI</v>
      </c>
      <c r="V7622" t="str">
        <f t="shared" si="3093"/>
        <v>FARHANA BINTI MUSTAPA</v>
      </c>
      <c r="W7622" t="str">
        <f t="shared" si="3094"/>
        <v>04-08-2020</v>
      </c>
      <c r="X7622" t="str">
        <f t="shared" si="3095"/>
        <v>RAZIMAH ANSAR AHMAD</v>
      </c>
      <c r="Y7622" t="str">
        <f t="shared" si="3096"/>
        <v>04-08-2020</v>
      </c>
      <c r="Z7622" t="str">
        <f>"COS10200804 1532"</f>
        <v>COS10200804 1532</v>
      </c>
    </row>
    <row r="7623" spans="1:26" x14ac:dyDescent="0.25">
      <c r="A7623" t="str">
        <f t="shared" si="3109"/>
        <v>04-08-2020 12:34:18</v>
      </c>
      <c r="B7623" t="str">
        <f>"0000803283"</f>
        <v>0000803283</v>
      </c>
      <c r="C7623" t="str">
        <f t="shared" si="3110"/>
        <v>0000803152</v>
      </c>
      <c r="D7623" t="str">
        <f t="shared" ref="D7623:D7686" si="3111">"73185"</f>
        <v>73185</v>
      </c>
      <c r="E7623" t="str">
        <f t="shared" ref="E7623:E7686" si="3112">"KFH-OPERATIONS DEPARTMENT"</f>
        <v>KFH-OPERATIONS DEPARTMENT</v>
      </c>
      <c r="F7623" t="str">
        <f t="shared" ref="F7623:F7686" si="3113">"IBG"</f>
        <v>IBG</v>
      </c>
      <c r="G7623" t="str">
        <f t="shared" si="3097"/>
        <v>Refund COSHARE 10</v>
      </c>
      <c r="H7623" s="2">
        <v>114</v>
      </c>
      <c r="I7623" t="str">
        <f>"CHI HON WAN"</f>
        <v>CHI HON WAN</v>
      </c>
      <c r="J7623" t="str">
        <f t="shared" si="3100"/>
        <v>BANK SIMPANAN NASIONAL</v>
      </c>
      <c r="K7623" t="str">
        <f>"1310129873550206"</f>
        <v>1310129873550206</v>
      </c>
      <c r="L7623" t="str">
        <f t="shared" si="3107"/>
        <v>04-08-2020</v>
      </c>
      <c r="M7623" t="str">
        <f t="shared" si="3107"/>
        <v>04-08-2020</v>
      </c>
      <c r="N7623" t="str">
        <f t="shared" ref="N7623:N7686" si="3114">"001105018356"</f>
        <v>001105018356</v>
      </c>
      <c r="O7623" t="str">
        <f t="shared" ref="O7623:O7686" si="3115">"MYR"</f>
        <v>MYR</v>
      </c>
      <c r="P7623" t="str">
        <f t="shared" si="3108"/>
        <v>NIL</v>
      </c>
      <c r="Q7623" t="str">
        <f t="shared" si="3108"/>
        <v>NIL</v>
      </c>
      <c r="R7623" t="str">
        <f t="shared" si="3103"/>
        <v>Accepted</v>
      </c>
      <c r="S7623" t="str">
        <f t="shared" ref="S7623:S7686" si="3116">"Approved"</f>
        <v>Approved</v>
      </c>
      <c r="T7623" t="str">
        <f t="shared" si="3104"/>
        <v>10.20.8.188</v>
      </c>
      <c r="U7623" t="str">
        <f t="shared" ref="U7623:U7686" si="3117">"AZRAD UMAR BIN SHAARI"</f>
        <v>AZRAD UMAR BIN SHAARI</v>
      </c>
      <c r="V7623" t="str">
        <f t="shared" ref="V7623:V7686" si="3118">"FARHANA BINTI MUSTAPA"</f>
        <v>FARHANA BINTI MUSTAPA</v>
      </c>
      <c r="W7623" t="str">
        <f t="shared" ref="W7623:W7686" si="3119">"04-08-2020"</f>
        <v>04-08-2020</v>
      </c>
      <c r="X7623" t="str">
        <f t="shared" ref="X7623:X7686" si="3120">"RAZIMAH ANSAR AHMAD"</f>
        <v>RAZIMAH ANSAR AHMAD</v>
      </c>
      <c r="Y7623" t="str">
        <f t="shared" ref="Y7623:Y7686" si="3121">"04-08-2020"</f>
        <v>04-08-2020</v>
      </c>
      <c r="Z7623" t="str">
        <f>"COS10200804 1531"</f>
        <v>COS10200804 1531</v>
      </c>
    </row>
    <row r="7624" spans="1:26" x14ac:dyDescent="0.25">
      <c r="A7624" t="str">
        <f t="shared" si="3109"/>
        <v>04-08-2020 12:34:18</v>
      </c>
      <c r="B7624" t="str">
        <f>"0000803282"</f>
        <v>0000803282</v>
      </c>
      <c r="C7624" t="str">
        <f t="shared" si="3110"/>
        <v>0000803152</v>
      </c>
      <c r="D7624" t="str">
        <f t="shared" si="3111"/>
        <v>73185</v>
      </c>
      <c r="E7624" t="str">
        <f t="shared" si="3112"/>
        <v>KFH-OPERATIONS DEPARTMENT</v>
      </c>
      <c r="F7624" t="str">
        <f t="shared" si="3113"/>
        <v>IBG</v>
      </c>
      <c r="G7624" t="str">
        <f t="shared" si="3097"/>
        <v>Refund COSHARE 10</v>
      </c>
      <c r="H7624" s="2">
        <v>1093</v>
      </c>
      <c r="I7624" t="str">
        <f>"CHERISFEH BINTI SIGERIS"</f>
        <v>CHERISFEH BINTI SIGERIS</v>
      </c>
      <c r="J7624" t="str">
        <f t="shared" si="3100"/>
        <v>BANK SIMPANAN NASIONAL</v>
      </c>
      <c r="K7624" t="str">
        <f>"1212529000030362"</f>
        <v>1212529000030362</v>
      </c>
      <c r="L7624" t="str">
        <f t="shared" si="3107"/>
        <v>04-08-2020</v>
      </c>
      <c r="M7624" t="str">
        <f t="shared" si="3107"/>
        <v>04-08-2020</v>
      </c>
      <c r="N7624" t="str">
        <f t="shared" si="3114"/>
        <v>001105018356</v>
      </c>
      <c r="O7624" t="str">
        <f t="shared" si="3115"/>
        <v>MYR</v>
      </c>
      <c r="P7624" t="str">
        <f t="shared" si="3108"/>
        <v>NIL</v>
      </c>
      <c r="Q7624" t="str">
        <f t="shared" si="3108"/>
        <v>NIL</v>
      </c>
      <c r="R7624" t="str">
        <f t="shared" si="3103"/>
        <v>Accepted</v>
      </c>
      <c r="S7624" t="str">
        <f t="shared" si="3116"/>
        <v>Approved</v>
      </c>
      <c r="T7624" t="str">
        <f t="shared" si="3104"/>
        <v>10.20.8.188</v>
      </c>
      <c r="U7624" t="str">
        <f t="shared" si="3117"/>
        <v>AZRAD UMAR BIN SHAARI</v>
      </c>
      <c r="V7624" t="str">
        <f t="shared" si="3118"/>
        <v>FARHANA BINTI MUSTAPA</v>
      </c>
      <c r="W7624" t="str">
        <f t="shared" si="3119"/>
        <v>04-08-2020</v>
      </c>
      <c r="X7624" t="str">
        <f t="shared" si="3120"/>
        <v>RAZIMAH ANSAR AHMAD</v>
      </c>
      <c r="Y7624" t="str">
        <f t="shared" si="3121"/>
        <v>04-08-2020</v>
      </c>
      <c r="Z7624" t="str">
        <f>"COS10200804 1530"</f>
        <v>COS10200804 1530</v>
      </c>
    </row>
    <row r="7625" spans="1:26" x14ac:dyDescent="0.25">
      <c r="A7625" t="str">
        <f t="shared" si="3109"/>
        <v>04-08-2020 12:34:18</v>
      </c>
      <c r="B7625" t="str">
        <f>"0000803281"</f>
        <v>0000803281</v>
      </c>
      <c r="C7625" t="str">
        <f t="shared" si="3110"/>
        <v>0000803152</v>
      </c>
      <c r="D7625" t="str">
        <f t="shared" si="3111"/>
        <v>73185</v>
      </c>
      <c r="E7625" t="str">
        <f t="shared" si="3112"/>
        <v>KFH-OPERATIONS DEPARTMENT</v>
      </c>
      <c r="F7625" t="str">
        <f t="shared" si="3113"/>
        <v>IBG</v>
      </c>
      <c r="G7625" t="str">
        <f t="shared" si="3097"/>
        <v>Refund COSHARE 10</v>
      </c>
      <c r="H7625" s="2">
        <v>183</v>
      </c>
      <c r="I7625" t="str">
        <f>"CHE ROSLI BIN CHE LONG"</f>
        <v>CHE ROSLI BIN CHE LONG</v>
      </c>
      <c r="J7625" t="str">
        <f t="shared" si="3100"/>
        <v>BANK SIMPANAN NASIONAL</v>
      </c>
      <c r="K7625" t="str">
        <f>"0114229868771365"</f>
        <v>0114229868771365</v>
      </c>
      <c r="L7625" t="str">
        <f t="shared" si="3107"/>
        <v>04-08-2020</v>
      </c>
      <c r="M7625" t="str">
        <f t="shared" si="3107"/>
        <v>04-08-2020</v>
      </c>
      <c r="N7625" t="str">
        <f t="shared" si="3114"/>
        <v>001105018356</v>
      </c>
      <c r="O7625" t="str">
        <f t="shared" si="3115"/>
        <v>MYR</v>
      </c>
      <c r="P7625" t="str">
        <f t="shared" si="3108"/>
        <v>NIL</v>
      </c>
      <c r="Q7625" t="str">
        <f t="shared" si="3108"/>
        <v>NIL</v>
      </c>
      <c r="R7625" t="str">
        <f t="shared" si="3103"/>
        <v>Accepted</v>
      </c>
      <c r="S7625" t="str">
        <f t="shared" si="3116"/>
        <v>Approved</v>
      </c>
      <c r="T7625" t="str">
        <f t="shared" si="3104"/>
        <v>10.20.8.188</v>
      </c>
      <c r="U7625" t="str">
        <f t="shared" si="3117"/>
        <v>AZRAD UMAR BIN SHAARI</v>
      </c>
      <c r="V7625" t="str">
        <f t="shared" si="3118"/>
        <v>FARHANA BINTI MUSTAPA</v>
      </c>
      <c r="W7625" t="str">
        <f t="shared" si="3119"/>
        <v>04-08-2020</v>
      </c>
      <c r="X7625" t="str">
        <f t="shared" si="3120"/>
        <v>RAZIMAH ANSAR AHMAD</v>
      </c>
      <c r="Y7625" t="str">
        <f t="shared" si="3121"/>
        <v>04-08-2020</v>
      </c>
      <c r="Z7625" t="str">
        <f>"COS10200804 1529"</f>
        <v>COS10200804 1529</v>
      </c>
    </row>
    <row r="7626" spans="1:26" x14ac:dyDescent="0.25">
      <c r="A7626" t="str">
        <f t="shared" si="3109"/>
        <v>04-08-2020 12:34:18</v>
      </c>
      <c r="B7626" t="str">
        <f>"0000803280"</f>
        <v>0000803280</v>
      </c>
      <c r="C7626" t="str">
        <f t="shared" si="3110"/>
        <v>0000803152</v>
      </c>
      <c r="D7626" t="str">
        <f t="shared" si="3111"/>
        <v>73185</v>
      </c>
      <c r="E7626" t="str">
        <f t="shared" si="3112"/>
        <v>KFH-OPERATIONS DEPARTMENT</v>
      </c>
      <c r="F7626" t="str">
        <f t="shared" si="3113"/>
        <v>IBG</v>
      </c>
      <c r="G7626" t="str">
        <f t="shared" si="3097"/>
        <v>Refund COSHARE 10</v>
      </c>
      <c r="H7626" s="2">
        <v>167.9</v>
      </c>
      <c r="I7626" t="str">
        <f>"CHARLES BIN ANTHONIUS"</f>
        <v>CHARLES BIN ANTHONIUS</v>
      </c>
      <c r="J7626" t="str">
        <f t="shared" si="3100"/>
        <v>BANK SIMPANAN NASIONAL</v>
      </c>
      <c r="K7626" t="str">
        <f>"1211041000030707"</f>
        <v>1211041000030707</v>
      </c>
      <c r="L7626" t="str">
        <f t="shared" si="3107"/>
        <v>04-08-2020</v>
      </c>
      <c r="M7626" t="str">
        <f t="shared" si="3107"/>
        <v>04-08-2020</v>
      </c>
      <c r="N7626" t="str">
        <f t="shared" si="3114"/>
        <v>001105018356</v>
      </c>
      <c r="O7626" t="str">
        <f t="shared" si="3115"/>
        <v>MYR</v>
      </c>
      <c r="P7626" t="str">
        <f t="shared" si="3108"/>
        <v>NIL</v>
      </c>
      <c r="Q7626" t="str">
        <f t="shared" si="3108"/>
        <v>NIL</v>
      </c>
      <c r="R7626" t="str">
        <f t="shared" si="3103"/>
        <v>Accepted</v>
      </c>
      <c r="S7626" t="str">
        <f t="shared" si="3116"/>
        <v>Approved</v>
      </c>
      <c r="T7626" t="str">
        <f t="shared" si="3104"/>
        <v>10.20.8.188</v>
      </c>
      <c r="U7626" t="str">
        <f t="shared" si="3117"/>
        <v>AZRAD UMAR BIN SHAARI</v>
      </c>
      <c r="V7626" t="str">
        <f t="shared" si="3118"/>
        <v>FARHANA BINTI MUSTAPA</v>
      </c>
      <c r="W7626" t="str">
        <f t="shared" si="3119"/>
        <v>04-08-2020</v>
      </c>
      <c r="X7626" t="str">
        <f t="shared" si="3120"/>
        <v>RAZIMAH ANSAR AHMAD</v>
      </c>
      <c r="Y7626" t="str">
        <f t="shared" si="3121"/>
        <v>04-08-2020</v>
      </c>
      <c r="Z7626" t="str">
        <f>"COS10200804 1528"</f>
        <v>COS10200804 1528</v>
      </c>
    </row>
    <row r="7627" spans="1:26" x14ac:dyDescent="0.25">
      <c r="A7627" t="str">
        <f t="shared" si="3109"/>
        <v>04-08-2020 12:34:18</v>
      </c>
      <c r="B7627" t="str">
        <f>"0000803279"</f>
        <v>0000803279</v>
      </c>
      <c r="C7627" t="str">
        <f t="shared" si="3110"/>
        <v>0000803152</v>
      </c>
      <c r="D7627" t="str">
        <f t="shared" si="3111"/>
        <v>73185</v>
      </c>
      <c r="E7627" t="str">
        <f t="shared" si="3112"/>
        <v>KFH-OPERATIONS DEPARTMENT</v>
      </c>
      <c r="F7627" t="str">
        <f t="shared" si="3113"/>
        <v>IBG</v>
      </c>
      <c r="G7627" t="str">
        <f t="shared" si="3097"/>
        <v>Refund COSHARE 10</v>
      </c>
      <c r="H7627" s="2">
        <v>508.15</v>
      </c>
      <c r="I7627" t="str">
        <f>"CHAMBARIHAN NAWATI BINTI ZALADIN"</f>
        <v>CHAMBARIHAN NAWATI BINTI ZALADIN</v>
      </c>
      <c r="J7627" t="str">
        <f t="shared" si="3100"/>
        <v>BANK SIMPANAN NASIONAL</v>
      </c>
      <c r="K7627" t="str">
        <f>"1010029891276107"</f>
        <v>1010029891276107</v>
      </c>
      <c r="L7627" t="str">
        <f t="shared" ref="L7627:M7646" si="3122">"04-08-2020"</f>
        <v>04-08-2020</v>
      </c>
      <c r="M7627" t="str">
        <f t="shared" si="3122"/>
        <v>04-08-2020</v>
      </c>
      <c r="N7627" t="str">
        <f t="shared" si="3114"/>
        <v>001105018356</v>
      </c>
      <c r="O7627" t="str">
        <f t="shared" si="3115"/>
        <v>MYR</v>
      </c>
      <c r="P7627" t="str">
        <f t="shared" ref="P7627:Q7646" si="3123">"NIL"</f>
        <v>NIL</v>
      </c>
      <c r="Q7627" t="str">
        <f t="shared" si="3123"/>
        <v>NIL</v>
      </c>
      <c r="R7627" t="str">
        <f t="shared" si="3103"/>
        <v>Accepted</v>
      </c>
      <c r="S7627" t="str">
        <f t="shared" si="3116"/>
        <v>Approved</v>
      </c>
      <c r="T7627" t="str">
        <f t="shared" si="3104"/>
        <v>10.20.8.188</v>
      </c>
      <c r="U7627" t="str">
        <f t="shared" si="3117"/>
        <v>AZRAD UMAR BIN SHAARI</v>
      </c>
      <c r="V7627" t="str">
        <f t="shared" si="3118"/>
        <v>FARHANA BINTI MUSTAPA</v>
      </c>
      <c r="W7627" t="str">
        <f t="shared" si="3119"/>
        <v>04-08-2020</v>
      </c>
      <c r="X7627" t="str">
        <f t="shared" si="3120"/>
        <v>RAZIMAH ANSAR AHMAD</v>
      </c>
      <c r="Y7627" t="str">
        <f t="shared" si="3121"/>
        <v>04-08-2020</v>
      </c>
      <c r="Z7627" t="str">
        <f>"COS10200804 1527"</f>
        <v>COS10200804 1527</v>
      </c>
    </row>
    <row r="7628" spans="1:26" x14ac:dyDescent="0.25">
      <c r="A7628" t="str">
        <f t="shared" si="3109"/>
        <v>04-08-2020 12:34:18</v>
      </c>
      <c r="B7628" t="str">
        <f>"0000803278"</f>
        <v>0000803278</v>
      </c>
      <c r="C7628" t="str">
        <f t="shared" si="3110"/>
        <v>0000803152</v>
      </c>
      <c r="D7628" t="str">
        <f t="shared" si="3111"/>
        <v>73185</v>
      </c>
      <c r="E7628" t="str">
        <f t="shared" si="3112"/>
        <v>KFH-OPERATIONS DEPARTMENT</v>
      </c>
      <c r="F7628" t="str">
        <f t="shared" si="3113"/>
        <v>IBG</v>
      </c>
      <c r="G7628" t="str">
        <f t="shared" ref="G7628:G7691" si="3124">"Refund COSHARE 10"</f>
        <v>Refund COSHARE 10</v>
      </c>
      <c r="H7628" s="2">
        <v>1679</v>
      </c>
      <c r="I7628" t="str">
        <f>"CECILIA MOIDI"</f>
        <v>CECILIA MOIDI</v>
      </c>
      <c r="J7628" t="str">
        <f t="shared" si="3100"/>
        <v>BANK SIMPANAN NASIONAL</v>
      </c>
      <c r="K7628" t="str">
        <f>"1255029817066421"</f>
        <v>1255029817066421</v>
      </c>
      <c r="L7628" t="str">
        <f t="shared" si="3122"/>
        <v>04-08-2020</v>
      </c>
      <c r="M7628" t="str">
        <f t="shared" si="3122"/>
        <v>04-08-2020</v>
      </c>
      <c r="N7628" t="str">
        <f t="shared" si="3114"/>
        <v>001105018356</v>
      </c>
      <c r="O7628" t="str">
        <f t="shared" si="3115"/>
        <v>MYR</v>
      </c>
      <c r="P7628" t="str">
        <f t="shared" si="3123"/>
        <v>NIL</v>
      </c>
      <c r="Q7628" t="str">
        <f t="shared" si="3123"/>
        <v>NIL</v>
      </c>
      <c r="R7628" t="str">
        <f t="shared" si="3103"/>
        <v>Accepted</v>
      </c>
      <c r="S7628" t="str">
        <f t="shared" si="3116"/>
        <v>Approved</v>
      </c>
      <c r="T7628" t="str">
        <f t="shared" si="3104"/>
        <v>10.20.8.188</v>
      </c>
      <c r="U7628" t="str">
        <f t="shared" si="3117"/>
        <v>AZRAD UMAR BIN SHAARI</v>
      </c>
      <c r="V7628" t="str">
        <f t="shared" si="3118"/>
        <v>FARHANA BINTI MUSTAPA</v>
      </c>
      <c r="W7628" t="str">
        <f t="shared" si="3119"/>
        <v>04-08-2020</v>
      </c>
      <c r="X7628" t="str">
        <f t="shared" si="3120"/>
        <v>RAZIMAH ANSAR AHMAD</v>
      </c>
      <c r="Y7628" t="str">
        <f t="shared" si="3121"/>
        <v>04-08-2020</v>
      </c>
      <c r="Z7628" t="str">
        <f>"COS10200804 1526"</f>
        <v>COS10200804 1526</v>
      </c>
    </row>
    <row r="7629" spans="1:26" x14ac:dyDescent="0.25">
      <c r="A7629" t="str">
        <f t="shared" si="3109"/>
        <v>04-08-2020 12:34:18</v>
      </c>
      <c r="B7629" t="str">
        <f>"0000803277"</f>
        <v>0000803277</v>
      </c>
      <c r="C7629" t="str">
        <f t="shared" si="3110"/>
        <v>0000803152</v>
      </c>
      <c r="D7629" t="str">
        <f t="shared" si="3111"/>
        <v>73185</v>
      </c>
      <c r="E7629" t="str">
        <f t="shared" si="3112"/>
        <v>KFH-OPERATIONS DEPARTMENT</v>
      </c>
      <c r="F7629" t="str">
        <f t="shared" si="3113"/>
        <v>IBG</v>
      </c>
      <c r="G7629" t="str">
        <f t="shared" si="3124"/>
        <v>Refund COSHARE 10</v>
      </c>
      <c r="H7629" s="2">
        <v>419.75</v>
      </c>
      <c r="I7629" t="str">
        <f>"BROLINE BENSON"</f>
        <v>BROLINE BENSON</v>
      </c>
      <c r="J7629" t="str">
        <f t="shared" si="3100"/>
        <v>BANK SIMPANAN NASIONAL</v>
      </c>
      <c r="K7629" t="str">
        <f>"0510929000049825"</f>
        <v>0510929000049825</v>
      </c>
      <c r="L7629" t="str">
        <f t="shared" si="3122"/>
        <v>04-08-2020</v>
      </c>
      <c r="M7629" t="str">
        <f t="shared" si="3122"/>
        <v>04-08-2020</v>
      </c>
      <c r="N7629" t="str">
        <f t="shared" si="3114"/>
        <v>001105018356</v>
      </c>
      <c r="O7629" t="str">
        <f t="shared" si="3115"/>
        <v>MYR</v>
      </c>
      <c r="P7629" t="str">
        <f t="shared" si="3123"/>
        <v>NIL</v>
      </c>
      <c r="Q7629" t="str">
        <f t="shared" si="3123"/>
        <v>NIL</v>
      </c>
      <c r="R7629" t="str">
        <f t="shared" si="3103"/>
        <v>Accepted</v>
      </c>
      <c r="S7629" t="str">
        <f t="shared" si="3116"/>
        <v>Approved</v>
      </c>
      <c r="T7629" t="str">
        <f t="shared" si="3104"/>
        <v>10.20.8.188</v>
      </c>
      <c r="U7629" t="str">
        <f t="shared" si="3117"/>
        <v>AZRAD UMAR BIN SHAARI</v>
      </c>
      <c r="V7629" t="str">
        <f t="shared" si="3118"/>
        <v>FARHANA BINTI MUSTAPA</v>
      </c>
      <c r="W7629" t="str">
        <f t="shared" si="3119"/>
        <v>04-08-2020</v>
      </c>
      <c r="X7629" t="str">
        <f t="shared" si="3120"/>
        <v>RAZIMAH ANSAR AHMAD</v>
      </c>
      <c r="Y7629" t="str">
        <f t="shared" si="3121"/>
        <v>04-08-2020</v>
      </c>
      <c r="Z7629" t="str">
        <f>"COS10200804 1525"</f>
        <v>COS10200804 1525</v>
      </c>
    </row>
    <row r="7630" spans="1:26" x14ac:dyDescent="0.25">
      <c r="A7630" t="str">
        <f t="shared" si="3109"/>
        <v>04-08-2020 12:34:18</v>
      </c>
      <c r="B7630" t="str">
        <f>"0000803276"</f>
        <v>0000803276</v>
      </c>
      <c r="C7630" t="str">
        <f t="shared" si="3110"/>
        <v>0000803152</v>
      </c>
      <c r="D7630" t="str">
        <f t="shared" si="3111"/>
        <v>73185</v>
      </c>
      <c r="E7630" t="str">
        <f t="shared" si="3112"/>
        <v>KFH-OPERATIONS DEPARTMENT</v>
      </c>
      <c r="F7630" t="str">
        <f t="shared" si="3113"/>
        <v>IBG</v>
      </c>
      <c r="G7630" t="str">
        <f t="shared" si="3124"/>
        <v>Refund COSHARE 10</v>
      </c>
      <c r="H7630" s="2">
        <v>107.1</v>
      </c>
      <c r="I7630" t="str">
        <f>"BORHANNODIN BIN MOHD YUSOF"</f>
        <v>BORHANNODIN BIN MOHD YUSOF</v>
      </c>
      <c r="J7630" t="str">
        <f t="shared" si="3100"/>
        <v>BANK SIMPANAN NASIONAL</v>
      </c>
      <c r="K7630" t="str">
        <f>"0510029871625597"</f>
        <v>0510029871625597</v>
      </c>
      <c r="L7630" t="str">
        <f t="shared" si="3122"/>
        <v>04-08-2020</v>
      </c>
      <c r="M7630" t="str">
        <f t="shared" si="3122"/>
        <v>04-08-2020</v>
      </c>
      <c r="N7630" t="str">
        <f t="shared" si="3114"/>
        <v>001105018356</v>
      </c>
      <c r="O7630" t="str">
        <f t="shared" si="3115"/>
        <v>MYR</v>
      </c>
      <c r="P7630" t="str">
        <f t="shared" si="3123"/>
        <v>NIL</v>
      </c>
      <c r="Q7630" t="str">
        <f t="shared" si="3123"/>
        <v>NIL</v>
      </c>
      <c r="R7630" t="str">
        <f t="shared" si="3103"/>
        <v>Accepted</v>
      </c>
      <c r="S7630" t="str">
        <f t="shared" si="3116"/>
        <v>Approved</v>
      </c>
      <c r="T7630" t="str">
        <f t="shared" si="3104"/>
        <v>10.20.8.188</v>
      </c>
      <c r="U7630" t="str">
        <f t="shared" si="3117"/>
        <v>AZRAD UMAR BIN SHAARI</v>
      </c>
      <c r="V7630" t="str">
        <f t="shared" si="3118"/>
        <v>FARHANA BINTI MUSTAPA</v>
      </c>
      <c r="W7630" t="str">
        <f t="shared" si="3119"/>
        <v>04-08-2020</v>
      </c>
      <c r="X7630" t="str">
        <f t="shared" si="3120"/>
        <v>RAZIMAH ANSAR AHMAD</v>
      </c>
      <c r="Y7630" t="str">
        <f t="shared" si="3121"/>
        <v>04-08-2020</v>
      </c>
      <c r="Z7630" t="str">
        <f>"COS10200804 1524"</f>
        <v>COS10200804 1524</v>
      </c>
    </row>
    <row r="7631" spans="1:26" x14ac:dyDescent="0.25">
      <c r="A7631" t="str">
        <f t="shared" si="3109"/>
        <v>04-08-2020 12:34:18</v>
      </c>
      <c r="B7631" t="str">
        <f>"0000803275"</f>
        <v>0000803275</v>
      </c>
      <c r="C7631" t="str">
        <f t="shared" si="3110"/>
        <v>0000803152</v>
      </c>
      <c r="D7631" t="str">
        <f t="shared" si="3111"/>
        <v>73185</v>
      </c>
      <c r="E7631" t="str">
        <f t="shared" si="3112"/>
        <v>KFH-OPERATIONS DEPARTMENT</v>
      </c>
      <c r="F7631" t="str">
        <f t="shared" si="3113"/>
        <v>IBG</v>
      </c>
      <c r="G7631" t="str">
        <f t="shared" si="3124"/>
        <v>Refund COSHARE 10</v>
      </c>
      <c r="H7631" s="2">
        <v>268.64999999999998</v>
      </c>
      <c r="I7631" t="str">
        <f>"BINJAMIN BIN KALAGOH"</f>
        <v>BINJAMIN BIN KALAGOH</v>
      </c>
      <c r="J7631" t="str">
        <f t="shared" si="3100"/>
        <v>BANK SIMPANAN NASIONAL</v>
      </c>
      <c r="K7631" t="str">
        <f>"1410029000239402"</f>
        <v>1410029000239402</v>
      </c>
      <c r="L7631" t="str">
        <f t="shared" si="3122"/>
        <v>04-08-2020</v>
      </c>
      <c r="M7631" t="str">
        <f t="shared" si="3122"/>
        <v>04-08-2020</v>
      </c>
      <c r="N7631" t="str">
        <f t="shared" si="3114"/>
        <v>001105018356</v>
      </c>
      <c r="O7631" t="str">
        <f t="shared" si="3115"/>
        <v>MYR</v>
      </c>
      <c r="P7631" t="str">
        <f t="shared" si="3123"/>
        <v>NIL</v>
      </c>
      <c r="Q7631" t="str">
        <f t="shared" si="3123"/>
        <v>NIL</v>
      </c>
      <c r="R7631" t="str">
        <f t="shared" si="3103"/>
        <v>Accepted</v>
      </c>
      <c r="S7631" t="str">
        <f t="shared" si="3116"/>
        <v>Approved</v>
      </c>
      <c r="T7631" t="str">
        <f t="shared" si="3104"/>
        <v>10.20.8.188</v>
      </c>
      <c r="U7631" t="str">
        <f t="shared" si="3117"/>
        <v>AZRAD UMAR BIN SHAARI</v>
      </c>
      <c r="V7631" t="str">
        <f t="shared" si="3118"/>
        <v>FARHANA BINTI MUSTAPA</v>
      </c>
      <c r="W7631" t="str">
        <f t="shared" si="3119"/>
        <v>04-08-2020</v>
      </c>
      <c r="X7631" t="str">
        <f t="shared" si="3120"/>
        <v>RAZIMAH ANSAR AHMAD</v>
      </c>
      <c r="Y7631" t="str">
        <f t="shared" si="3121"/>
        <v>04-08-2020</v>
      </c>
      <c r="Z7631" t="str">
        <f>"COS10200804 1523"</f>
        <v>COS10200804 1523</v>
      </c>
    </row>
    <row r="7632" spans="1:26" x14ac:dyDescent="0.25">
      <c r="A7632" t="str">
        <f t="shared" si="3109"/>
        <v>04-08-2020 12:34:18</v>
      </c>
      <c r="B7632" t="str">
        <f>"0000803274"</f>
        <v>0000803274</v>
      </c>
      <c r="C7632" t="str">
        <f t="shared" si="3110"/>
        <v>0000803152</v>
      </c>
      <c r="D7632" t="str">
        <f t="shared" si="3111"/>
        <v>73185</v>
      </c>
      <c r="E7632" t="str">
        <f t="shared" si="3112"/>
        <v>KFH-OPERATIONS DEPARTMENT</v>
      </c>
      <c r="F7632" t="str">
        <f t="shared" si="3113"/>
        <v>IBG</v>
      </c>
      <c r="G7632" t="str">
        <f t="shared" si="3124"/>
        <v>Refund COSHARE 10</v>
      </c>
      <c r="H7632" s="2">
        <v>687.65</v>
      </c>
      <c r="I7632" t="str">
        <f>"BENLY BAINUN"</f>
        <v>BENLY BAINUN</v>
      </c>
      <c r="J7632" t="str">
        <f t="shared" si="3100"/>
        <v>BANK SIMPANAN NASIONAL</v>
      </c>
      <c r="K7632" t="str">
        <f>"1210029000343558"</f>
        <v>1210029000343558</v>
      </c>
      <c r="L7632" t="str">
        <f t="shared" si="3122"/>
        <v>04-08-2020</v>
      </c>
      <c r="M7632" t="str">
        <f t="shared" si="3122"/>
        <v>04-08-2020</v>
      </c>
      <c r="N7632" t="str">
        <f t="shared" si="3114"/>
        <v>001105018356</v>
      </c>
      <c r="O7632" t="str">
        <f t="shared" si="3115"/>
        <v>MYR</v>
      </c>
      <c r="P7632" t="str">
        <f t="shared" si="3123"/>
        <v>NIL</v>
      </c>
      <c r="Q7632" t="str">
        <f t="shared" si="3123"/>
        <v>NIL</v>
      </c>
      <c r="R7632" t="str">
        <f t="shared" si="3103"/>
        <v>Accepted</v>
      </c>
      <c r="S7632" t="str">
        <f t="shared" si="3116"/>
        <v>Approved</v>
      </c>
      <c r="T7632" t="str">
        <f t="shared" si="3104"/>
        <v>10.20.8.188</v>
      </c>
      <c r="U7632" t="str">
        <f t="shared" si="3117"/>
        <v>AZRAD UMAR BIN SHAARI</v>
      </c>
      <c r="V7632" t="str">
        <f t="shared" si="3118"/>
        <v>FARHANA BINTI MUSTAPA</v>
      </c>
      <c r="W7632" t="str">
        <f t="shared" si="3119"/>
        <v>04-08-2020</v>
      </c>
      <c r="X7632" t="str">
        <f t="shared" si="3120"/>
        <v>RAZIMAH ANSAR AHMAD</v>
      </c>
      <c r="Y7632" t="str">
        <f t="shared" si="3121"/>
        <v>04-08-2020</v>
      </c>
      <c r="Z7632" t="str">
        <f>"COS10200804 1522"</f>
        <v>COS10200804 1522</v>
      </c>
    </row>
    <row r="7633" spans="1:26" x14ac:dyDescent="0.25">
      <c r="A7633" t="str">
        <f t="shared" si="3109"/>
        <v>04-08-2020 12:34:18</v>
      </c>
      <c r="B7633" t="str">
        <f>"0000803273"</f>
        <v>0000803273</v>
      </c>
      <c r="C7633" t="str">
        <f t="shared" si="3110"/>
        <v>0000803152</v>
      </c>
      <c r="D7633" t="str">
        <f t="shared" si="3111"/>
        <v>73185</v>
      </c>
      <c r="E7633" t="str">
        <f t="shared" si="3112"/>
        <v>KFH-OPERATIONS DEPARTMENT</v>
      </c>
      <c r="F7633" t="str">
        <f t="shared" si="3113"/>
        <v>IBG</v>
      </c>
      <c r="G7633" t="str">
        <f t="shared" si="3124"/>
        <v>Refund COSHARE 10</v>
      </c>
      <c r="H7633" s="2">
        <v>1074.5999999999999</v>
      </c>
      <c r="I7633" t="str">
        <f>"BAISAN BINTI SARIKAL"</f>
        <v>BAISAN BINTI SARIKAL</v>
      </c>
      <c r="J7633" t="str">
        <f t="shared" si="3100"/>
        <v>BANK SIMPANAN NASIONAL</v>
      </c>
      <c r="K7633" t="str">
        <f>"1210829827073274"</f>
        <v>1210829827073274</v>
      </c>
      <c r="L7633" t="str">
        <f t="shared" si="3122"/>
        <v>04-08-2020</v>
      </c>
      <c r="M7633" t="str">
        <f t="shared" si="3122"/>
        <v>04-08-2020</v>
      </c>
      <c r="N7633" t="str">
        <f t="shared" si="3114"/>
        <v>001105018356</v>
      </c>
      <c r="O7633" t="str">
        <f t="shared" si="3115"/>
        <v>MYR</v>
      </c>
      <c r="P7633" t="str">
        <f t="shared" si="3123"/>
        <v>NIL</v>
      </c>
      <c r="Q7633" t="str">
        <f t="shared" si="3123"/>
        <v>NIL</v>
      </c>
      <c r="R7633" t="str">
        <f t="shared" si="3103"/>
        <v>Accepted</v>
      </c>
      <c r="S7633" t="str">
        <f t="shared" si="3116"/>
        <v>Approved</v>
      </c>
      <c r="T7633" t="str">
        <f t="shared" si="3104"/>
        <v>10.20.8.188</v>
      </c>
      <c r="U7633" t="str">
        <f t="shared" si="3117"/>
        <v>AZRAD UMAR BIN SHAARI</v>
      </c>
      <c r="V7633" t="str">
        <f t="shared" si="3118"/>
        <v>FARHANA BINTI MUSTAPA</v>
      </c>
      <c r="W7633" t="str">
        <f t="shared" si="3119"/>
        <v>04-08-2020</v>
      </c>
      <c r="X7633" t="str">
        <f t="shared" si="3120"/>
        <v>RAZIMAH ANSAR AHMAD</v>
      </c>
      <c r="Y7633" t="str">
        <f t="shared" si="3121"/>
        <v>04-08-2020</v>
      </c>
      <c r="Z7633" t="str">
        <f>"COS10200804 1521"</f>
        <v>COS10200804 1521</v>
      </c>
    </row>
    <row r="7634" spans="1:26" x14ac:dyDescent="0.25">
      <c r="A7634" t="str">
        <f t="shared" si="3109"/>
        <v>04-08-2020 12:34:18</v>
      </c>
      <c r="B7634" t="str">
        <f>"0000803272"</f>
        <v>0000803272</v>
      </c>
      <c r="C7634" t="str">
        <f t="shared" si="3110"/>
        <v>0000803152</v>
      </c>
      <c r="D7634" t="str">
        <f t="shared" si="3111"/>
        <v>73185</v>
      </c>
      <c r="E7634" t="str">
        <f t="shared" si="3112"/>
        <v>KFH-OPERATIONS DEPARTMENT</v>
      </c>
      <c r="F7634" t="str">
        <f t="shared" si="3113"/>
        <v>IBG</v>
      </c>
      <c r="G7634" t="str">
        <f t="shared" si="3124"/>
        <v>Refund COSHARE 10</v>
      </c>
      <c r="H7634" s="2">
        <v>635.20000000000005</v>
      </c>
      <c r="I7634" t="str">
        <f>"BAHARUDIN BIN EMBONG"</f>
        <v>BAHARUDIN BIN EMBONG</v>
      </c>
      <c r="J7634" t="str">
        <f t="shared" si="3100"/>
        <v>BANK SIMPANAN NASIONAL</v>
      </c>
      <c r="K7634" t="str">
        <f>"0111129886294518"</f>
        <v>0111129886294518</v>
      </c>
      <c r="L7634" t="str">
        <f t="shared" si="3122"/>
        <v>04-08-2020</v>
      </c>
      <c r="M7634" t="str">
        <f t="shared" si="3122"/>
        <v>04-08-2020</v>
      </c>
      <c r="N7634" t="str">
        <f t="shared" si="3114"/>
        <v>001105018356</v>
      </c>
      <c r="O7634" t="str">
        <f t="shared" si="3115"/>
        <v>MYR</v>
      </c>
      <c r="P7634" t="str">
        <f t="shared" si="3123"/>
        <v>NIL</v>
      </c>
      <c r="Q7634" t="str">
        <f t="shared" si="3123"/>
        <v>NIL</v>
      </c>
      <c r="R7634" t="str">
        <f t="shared" si="3103"/>
        <v>Accepted</v>
      </c>
      <c r="S7634" t="str">
        <f t="shared" si="3116"/>
        <v>Approved</v>
      </c>
      <c r="T7634" t="str">
        <f t="shared" si="3104"/>
        <v>10.20.8.188</v>
      </c>
      <c r="U7634" t="str">
        <f t="shared" si="3117"/>
        <v>AZRAD UMAR BIN SHAARI</v>
      </c>
      <c r="V7634" t="str">
        <f t="shared" si="3118"/>
        <v>FARHANA BINTI MUSTAPA</v>
      </c>
      <c r="W7634" t="str">
        <f t="shared" si="3119"/>
        <v>04-08-2020</v>
      </c>
      <c r="X7634" t="str">
        <f t="shared" si="3120"/>
        <v>RAZIMAH ANSAR AHMAD</v>
      </c>
      <c r="Y7634" t="str">
        <f t="shared" si="3121"/>
        <v>04-08-2020</v>
      </c>
      <c r="Z7634" t="str">
        <f>"COS10200804 1520"</f>
        <v>COS10200804 1520</v>
      </c>
    </row>
    <row r="7635" spans="1:26" x14ac:dyDescent="0.25">
      <c r="A7635" t="str">
        <f t="shared" si="3109"/>
        <v>04-08-2020 12:34:18</v>
      </c>
      <c r="B7635" t="str">
        <f>"0000803271"</f>
        <v>0000803271</v>
      </c>
      <c r="C7635" t="str">
        <f t="shared" si="3110"/>
        <v>0000803152</v>
      </c>
      <c r="D7635" t="str">
        <f t="shared" si="3111"/>
        <v>73185</v>
      </c>
      <c r="E7635" t="str">
        <f t="shared" si="3112"/>
        <v>KFH-OPERATIONS DEPARTMENT</v>
      </c>
      <c r="F7635" t="str">
        <f t="shared" si="3113"/>
        <v>IBG</v>
      </c>
      <c r="G7635" t="str">
        <f t="shared" si="3124"/>
        <v>Refund COSHARE 10</v>
      </c>
      <c r="H7635" s="2">
        <v>266</v>
      </c>
      <c r="I7635" t="str">
        <f>"BADROL BIN MD DAUD"</f>
        <v>BADROL BIN MD DAUD</v>
      </c>
      <c r="J7635" t="str">
        <f t="shared" si="3100"/>
        <v>BANK SIMPANAN NASIONAL</v>
      </c>
      <c r="K7635" t="str">
        <f>"0200541000036205"</f>
        <v>0200541000036205</v>
      </c>
      <c r="L7635" t="str">
        <f t="shared" si="3122"/>
        <v>04-08-2020</v>
      </c>
      <c r="M7635" t="str">
        <f t="shared" si="3122"/>
        <v>04-08-2020</v>
      </c>
      <c r="N7635" t="str">
        <f t="shared" si="3114"/>
        <v>001105018356</v>
      </c>
      <c r="O7635" t="str">
        <f t="shared" si="3115"/>
        <v>MYR</v>
      </c>
      <c r="P7635" t="str">
        <f t="shared" si="3123"/>
        <v>NIL</v>
      </c>
      <c r="Q7635" t="str">
        <f t="shared" si="3123"/>
        <v>NIL</v>
      </c>
      <c r="R7635" t="str">
        <f t="shared" si="3103"/>
        <v>Accepted</v>
      </c>
      <c r="S7635" t="str">
        <f t="shared" si="3116"/>
        <v>Approved</v>
      </c>
      <c r="T7635" t="str">
        <f t="shared" si="3104"/>
        <v>10.20.8.188</v>
      </c>
      <c r="U7635" t="str">
        <f t="shared" si="3117"/>
        <v>AZRAD UMAR BIN SHAARI</v>
      </c>
      <c r="V7635" t="str">
        <f t="shared" si="3118"/>
        <v>FARHANA BINTI MUSTAPA</v>
      </c>
      <c r="W7635" t="str">
        <f t="shared" si="3119"/>
        <v>04-08-2020</v>
      </c>
      <c r="X7635" t="str">
        <f t="shared" si="3120"/>
        <v>RAZIMAH ANSAR AHMAD</v>
      </c>
      <c r="Y7635" t="str">
        <f t="shared" si="3121"/>
        <v>04-08-2020</v>
      </c>
      <c r="Z7635" t="str">
        <f>"COS10200804 1519"</f>
        <v>COS10200804 1519</v>
      </c>
    </row>
    <row r="7636" spans="1:26" x14ac:dyDescent="0.25">
      <c r="A7636" t="str">
        <f t="shared" si="3109"/>
        <v>04-08-2020 12:34:18</v>
      </c>
      <c r="B7636" t="str">
        <f>"0000803270"</f>
        <v>0000803270</v>
      </c>
      <c r="C7636" t="str">
        <f t="shared" si="3110"/>
        <v>0000803152</v>
      </c>
      <c r="D7636" t="str">
        <f t="shared" si="3111"/>
        <v>73185</v>
      </c>
      <c r="E7636" t="str">
        <f t="shared" si="3112"/>
        <v>KFH-OPERATIONS DEPARTMENT</v>
      </c>
      <c r="F7636" t="str">
        <f t="shared" si="3113"/>
        <v>IBG</v>
      </c>
      <c r="G7636" t="str">
        <f t="shared" si="3124"/>
        <v>Refund COSHARE 10</v>
      </c>
      <c r="H7636" s="2">
        <v>862</v>
      </c>
      <c r="I7636" t="str">
        <f>"BADARIAH BINTI SULAIMAN"</f>
        <v>BADARIAH BINTI SULAIMAN</v>
      </c>
      <c r="J7636" t="str">
        <f t="shared" ref="J7636:J7699" si="3125">"BANK SIMPANAN NASIONAL"</f>
        <v>BANK SIMPANAN NASIONAL</v>
      </c>
      <c r="K7636" t="str">
        <f>"1416429000032605"</f>
        <v>1416429000032605</v>
      </c>
      <c r="L7636" t="str">
        <f t="shared" si="3122"/>
        <v>04-08-2020</v>
      </c>
      <c r="M7636" t="str">
        <f t="shared" si="3122"/>
        <v>04-08-2020</v>
      </c>
      <c r="N7636" t="str">
        <f t="shared" si="3114"/>
        <v>001105018356</v>
      </c>
      <c r="O7636" t="str">
        <f t="shared" si="3115"/>
        <v>MYR</v>
      </c>
      <c r="P7636" t="str">
        <f t="shared" si="3123"/>
        <v>NIL</v>
      </c>
      <c r="Q7636" t="str">
        <f t="shared" si="3123"/>
        <v>NIL</v>
      </c>
      <c r="R7636" t="str">
        <f t="shared" si="3103"/>
        <v>Accepted</v>
      </c>
      <c r="S7636" t="str">
        <f t="shared" si="3116"/>
        <v>Approved</v>
      </c>
      <c r="T7636" t="str">
        <f t="shared" si="3104"/>
        <v>10.20.8.188</v>
      </c>
      <c r="U7636" t="str">
        <f t="shared" si="3117"/>
        <v>AZRAD UMAR BIN SHAARI</v>
      </c>
      <c r="V7636" t="str">
        <f t="shared" si="3118"/>
        <v>FARHANA BINTI MUSTAPA</v>
      </c>
      <c r="W7636" t="str">
        <f t="shared" si="3119"/>
        <v>04-08-2020</v>
      </c>
      <c r="X7636" t="str">
        <f t="shared" si="3120"/>
        <v>RAZIMAH ANSAR AHMAD</v>
      </c>
      <c r="Y7636" t="str">
        <f t="shared" si="3121"/>
        <v>04-08-2020</v>
      </c>
      <c r="Z7636" t="str">
        <f>"COS10200804 1518"</f>
        <v>COS10200804 1518</v>
      </c>
    </row>
    <row r="7637" spans="1:26" x14ac:dyDescent="0.25">
      <c r="A7637" t="str">
        <f t="shared" si="3109"/>
        <v>04-08-2020 12:34:18</v>
      </c>
      <c r="B7637" t="str">
        <f>"0000803269"</f>
        <v>0000803269</v>
      </c>
      <c r="C7637" t="str">
        <f t="shared" si="3110"/>
        <v>0000803152</v>
      </c>
      <c r="D7637" t="str">
        <f t="shared" si="3111"/>
        <v>73185</v>
      </c>
      <c r="E7637" t="str">
        <f t="shared" si="3112"/>
        <v>KFH-OPERATIONS DEPARTMENT</v>
      </c>
      <c r="F7637" t="str">
        <f t="shared" si="3113"/>
        <v>IBG</v>
      </c>
      <c r="G7637" t="str">
        <f t="shared" si="3124"/>
        <v>Refund COSHARE 10</v>
      </c>
      <c r="H7637" s="2">
        <v>1534.9</v>
      </c>
      <c r="I7637" t="str">
        <f>"AZYANAH BINTI TERMUDI"</f>
        <v>AZYANAH BINTI TERMUDI</v>
      </c>
      <c r="J7637" t="str">
        <f t="shared" si="3125"/>
        <v>BANK SIMPANAN NASIONAL</v>
      </c>
      <c r="K7637" t="str">
        <f>"0710429872340946"</f>
        <v>0710429872340946</v>
      </c>
      <c r="L7637" t="str">
        <f t="shared" si="3122"/>
        <v>04-08-2020</v>
      </c>
      <c r="M7637" t="str">
        <f t="shared" si="3122"/>
        <v>04-08-2020</v>
      </c>
      <c r="N7637" t="str">
        <f t="shared" si="3114"/>
        <v>001105018356</v>
      </c>
      <c r="O7637" t="str">
        <f t="shared" si="3115"/>
        <v>MYR</v>
      </c>
      <c r="P7637" t="str">
        <f t="shared" si="3123"/>
        <v>NIL</v>
      </c>
      <c r="Q7637" t="str">
        <f t="shared" si="3123"/>
        <v>NIL</v>
      </c>
      <c r="R7637" t="str">
        <f t="shared" si="3103"/>
        <v>Accepted</v>
      </c>
      <c r="S7637" t="str">
        <f t="shared" si="3116"/>
        <v>Approved</v>
      </c>
      <c r="T7637" t="str">
        <f t="shared" si="3104"/>
        <v>10.20.8.188</v>
      </c>
      <c r="U7637" t="str">
        <f t="shared" si="3117"/>
        <v>AZRAD UMAR BIN SHAARI</v>
      </c>
      <c r="V7637" t="str">
        <f t="shared" si="3118"/>
        <v>FARHANA BINTI MUSTAPA</v>
      </c>
      <c r="W7637" t="str">
        <f t="shared" si="3119"/>
        <v>04-08-2020</v>
      </c>
      <c r="X7637" t="str">
        <f t="shared" si="3120"/>
        <v>RAZIMAH ANSAR AHMAD</v>
      </c>
      <c r="Y7637" t="str">
        <f t="shared" si="3121"/>
        <v>04-08-2020</v>
      </c>
      <c r="Z7637" t="str">
        <f>"COS10200804 1517"</f>
        <v>COS10200804 1517</v>
      </c>
    </row>
    <row r="7638" spans="1:26" x14ac:dyDescent="0.25">
      <c r="A7638" t="str">
        <f t="shared" si="3109"/>
        <v>04-08-2020 12:34:18</v>
      </c>
      <c r="B7638" t="str">
        <f>"0000803268"</f>
        <v>0000803268</v>
      </c>
      <c r="C7638" t="str">
        <f t="shared" si="3110"/>
        <v>0000803152</v>
      </c>
      <c r="D7638" t="str">
        <f t="shared" si="3111"/>
        <v>73185</v>
      </c>
      <c r="E7638" t="str">
        <f t="shared" si="3112"/>
        <v>KFH-OPERATIONS DEPARTMENT</v>
      </c>
      <c r="F7638" t="str">
        <f t="shared" si="3113"/>
        <v>IBG</v>
      </c>
      <c r="G7638" t="str">
        <f t="shared" si="3124"/>
        <v>Refund COSHARE 10</v>
      </c>
      <c r="H7638" s="2">
        <v>86.2</v>
      </c>
      <c r="I7638" t="str">
        <f>"AZRUL HASNAH BINTI AHMAD"</f>
        <v>AZRUL HASNAH BINTI AHMAD</v>
      </c>
      <c r="J7638" t="str">
        <f t="shared" si="3125"/>
        <v>BANK SIMPANAN NASIONAL</v>
      </c>
      <c r="K7638" t="str">
        <f>"0213029000003870"</f>
        <v>0213029000003870</v>
      </c>
      <c r="L7638" t="str">
        <f t="shared" si="3122"/>
        <v>04-08-2020</v>
      </c>
      <c r="M7638" t="str">
        <f t="shared" si="3122"/>
        <v>04-08-2020</v>
      </c>
      <c r="N7638" t="str">
        <f t="shared" si="3114"/>
        <v>001105018356</v>
      </c>
      <c r="O7638" t="str">
        <f t="shared" si="3115"/>
        <v>MYR</v>
      </c>
      <c r="P7638" t="str">
        <f t="shared" si="3123"/>
        <v>NIL</v>
      </c>
      <c r="Q7638" t="str">
        <f t="shared" si="3123"/>
        <v>NIL</v>
      </c>
      <c r="R7638" t="str">
        <f t="shared" si="3103"/>
        <v>Accepted</v>
      </c>
      <c r="S7638" t="str">
        <f t="shared" si="3116"/>
        <v>Approved</v>
      </c>
      <c r="T7638" t="str">
        <f t="shared" si="3104"/>
        <v>10.20.8.188</v>
      </c>
      <c r="U7638" t="str">
        <f t="shared" si="3117"/>
        <v>AZRAD UMAR BIN SHAARI</v>
      </c>
      <c r="V7638" t="str">
        <f t="shared" si="3118"/>
        <v>FARHANA BINTI MUSTAPA</v>
      </c>
      <c r="W7638" t="str">
        <f t="shared" si="3119"/>
        <v>04-08-2020</v>
      </c>
      <c r="X7638" t="str">
        <f t="shared" si="3120"/>
        <v>RAZIMAH ANSAR AHMAD</v>
      </c>
      <c r="Y7638" t="str">
        <f t="shared" si="3121"/>
        <v>04-08-2020</v>
      </c>
      <c r="Z7638" t="str">
        <f>"COS10200804 1516"</f>
        <v>COS10200804 1516</v>
      </c>
    </row>
    <row r="7639" spans="1:26" x14ac:dyDescent="0.25">
      <c r="A7639" t="str">
        <f t="shared" si="3109"/>
        <v>04-08-2020 12:34:18</v>
      </c>
      <c r="B7639" t="str">
        <f>"0000803267"</f>
        <v>0000803267</v>
      </c>
      <c r="C7639" t="str">
        <f t="shared" si="3110"/>
        <v>0000803152</v>
      </c>
      <c r="D7639" t="str">
        <f t="shared" si="3111"/>
        <v>73185</v>
      </c>
      <c r="E7639" t="str">
        <f t="shared" si="3112"/>
        <v>KFH-OPERATIONS DEPARTMENT</v>
      </c>
      <c r="F7639" t="str">
        <f t="shared" si="3113"/>
        <v>IBG</v>
      </c>
      <c r="G7639" t="str">
        <f t="shared" si="3124"/>
        <v>Refund COSHARE 10</v>
      </c>
      <c r="H7639" s="2">
        <v>1138</v>
      </c>
      <c r="I7639" t="str">
        <f>"AZRI BIN ABDUL HASSAN"</f>
        <v>AZRI BIN ABDUL HASSAN</v>
      </c>
      <c r="J7639" t="str">
        <f t="shared" si="3125"/>
        <v>BANK SIMPANAN NASIONAL</v>
      </c>
      <c r="K7639" t="str">
        <f>"1310029000515675"</f>
        <v>1310029000515675</v>
      </c>
      <c r="L7639" t="str">
        <f t="shared" si="3122"/>
        <v>04-08-2020</v>
      </c>
      <c r="M7639" t="str">
        <f t="shared" si="3122"/>
        <v>04-08-2020</v>
      </c>
      <c r="N7639" t="str">
        <f t="shared" si="3114"/>
        <v>001105018356</v>
      </c>
      <c r="O7639" t="str">
        <f t="shared" si="3115"/>
        <v>MYR</v>
      </c>
      <c r="P7639" t="str">
        <f t="shared" si="3123"/>
        <v>NIL</v>
      </c>
      <c r="Q7639" t="str">
        <f t="shared" si="3123"/>
        <v>NIL</v>
      </c>
      <c r="R7639" t="str">
        <f t="shared" si="3103"/>
        <v>Accepted</v>
      </c>
      <c r="S7639" t="str">
        <f t="shared" si="3116"/>
        <v>Approved</v>
      </c>
      <c r="T7639" t="str">
        <f t="shared" si="3104"/>
        <v>10.20.8.188</v>
      </c>
      <c r="U7639" t="str">
        <f t="shared" si="3117"/>
        <v>AZRAD UMAR BIN SHAARI</v>
      </c>
      <c r="V7639" t="str">
        <f t="shared" si="3118"/>
        <v>FARHANA BINTI MUSTAPA</v>
      </c>
      <c r="W7639" t="str">
        <f t="shared" si="3119"/>
        <v>04-08-2020</v>
      </c>
      <c r="X7639" t="str">
        <f t="shared" si="3120"/>
        <v>RAZIMAH ANSAR AHMAD</v>
      </c>
      <c r="Y7639" t="str">
        <f t="shared" si="3121"/>
        <v>04-08-2020</v>
      </c>
      <c r="Z7639" t="str">
        <f>"COS10200804 1515"</f>
        <v>COS10200804 1515</v>
      </c>
    </row>
    <row r="7640" spans="1:26" x14ac:dyDescent="0.25">
      <c r="A7640" t="str">
        <f t="shared" si="3109"/>
        <v>04-08-2020 12:34:18</v>
      </c>
      <c r="B7640" t="str">
        <f>"0000803266"</f>
        <v>0000803266</v>
      </c>
      <c r="C7640" t="str">
        <f t="shared" si="3110"/>
        <v>0000803152</v>
      </c>
      <c r="D7640" t="str">
        <f t="shared" si="3111"/>
        <v>73185</v>
      </c>
      <c r="E7640" t="str">
        <f t="shared" si="3112"/>
        <v>KFH-OPERATIONS DEPARTMENT</v>
      </c>
      <c r="F7640" t="str">
        <f t="shared" si="3113"/>
        <v>IBG</v>
      </c>
      <c r="G7640" t="str">
        <f t="shared" si="3124"/>
        <v>Refund COSHARE 10</v>
      </c>
      <c r="H7640" s="2">
        <v>50.4</v>
      </c>
      <c r="I7640" t="str">
        <f>"AZNIZA BT AHMAD"</f>
        <v>AZNIZA BT AHMAD</v>
      </c>
      <c r="J7640" t="str">
        <f t="shared" si="3125"/>
        <v>BANK SIMPANAN NASIONAL</v>
      </c>
      <c r="K7640" t="str">
        <f>"0714029000206862"</f>
        <v>0714029000206862</v>
      </c>
      <c r="L7640" t="str">
        <f t="shared" si="3122"/>
        <v>04-08-2020</v>
      </c>
      <c r="M7640" t="str">
        <f t="shared" si="3122"/>
        <v>04-08-2020</v>
      </c>
      <c r="N7640" t="str">
        <f t="shared" si="3114"/>
        <v>001105018356</v>
      </c>
      <c r="O7640" t="str">
        <f t="shared" si="3115"/>
        <v>MYR</v>
      </c>
      <c r="P7640" t="str">
        <f t="shared" si="3123"/>
        <v>NIL</v>
      </c>
      <c r="Q7640" t="str">
        <f t="shared" si="3123"/>
        <v>NIL</v>
      </c>
      <c r="R7640" t="str">
        <f t="shared" si="3103"/>
        <v>Accepted</v>
      </c>
      <c r="S7640" t="str">
        <f t="shared" si="3116"/>
        <v>Approved</v>
      </c>
      <c r="T7640" t="str">
        <f t="shared" si="3104"/>
        <v>10.20.8.188</v>
      </c>
      <c r="U7640" t="str">
        <f t="shared" si="3117"/>
        <v>AZRAD UMAR BIN SHAARI</v>
      </c>
      <c r="V7640" t="str">
        <f t="shared" si="3118"/>
        <v>FARHANA BINTI MUSTAPA</v>
      </c>
      <c r="W7640" t="str">
        <f t="shared" si="3119"/>
        <v>04-08-2020</v>
      </c>
      <c r="X7640" t="str">
        <f t="shared" si="3120"/>
        <v>RAZIMAH ANSAR AHMAD</v>
      </c>
      <c r="Y7640" t="str">
        <f t="shared" si="3121"/>
        <v>04-08-2020</v>
      </c>
      <c r="Z7640" t="str">
        <f>"COS10200804 1514"</f>
        <v>COS10200804 1514</v>
      </c>
    </row>
    <row r="7641" spans="1:26" x14ac:dyDescent="0.25">
      <c r="A7641" t="str">
        <f t="shared" si="3109"/>
        <v>04-08-2020 12:34:18</v>
      </c>
      <c r="B7641" t="str">
        <f>"0000803265"</f>
        <v>0000803265</v>
      </c>
      <c r="C7641" t="str">
        <f t="shared" si="3110"/>
        <v>0000803152</v>
      </c>
      <c r="D7641" t="str">
        <f t="shared" si="3111"/>
        <v>73185</v>
      </c>
      <c r="E7641" t="str">
        <f t="shared" si="3112"/>
        <v>KFH-OPERATIONS DEPARTMENT</v>
      </c>
      <c r="F7641" t="str">
        <f t="shared" si="3113"/>
        <v>IBG</v>
      </c>
      <c r="G7641" t="str">
        <f t="shared" si="3124"/>
        <v>Refund COSHARE 10</v>
      </c>
      <c r="H7641" s="2">
        <v>835</v>
      </c>
      <c r="I7641" t="str">
        <f>"AZMIN BIN DAUD"</f>
        <v>AZMIN BIN DAUD</v>
      </c>
      <c r="J7641" t="str">
        <f t="shared" si="3125"/>
        <v>BANK SIMPANAN NASIONAL</v>
      </c>
      <c r="K7641" t="str">
        <f>"0511329000102704"</f>
        <v>0511329000102704</v>
      </c>
      <c r="L7641" t="str">
        <f t="shared" si="3122"/>
        <v>04-08-2020</v>
      </c>
      <c r="M7641" t="str">
        <f t="shared" si="3122"/>
        <v>04-08-2020</v>
      </c>
      <c r="N7641" t="str">
        <f t="shared" si="3114"/>
        <v>001105018356</v>
      </c>
      <c r="O7641" t="str">
        <f t="shared" si="3115"/>
        <v>MYR</v>
      </c>
      <c r="P7641" t="str">
        <f t="shared" si="3123"/>
        <v>NIL</v>
      </c>
      <c r="Q7641" t="str">
        <f t="shared" si="3123"/>
        <v>NIL</v>
      </c>
      <c r="R7641" t="str">
        <f t="shared" si="3103"/>
        <v>Accepted</v>
      </c>
      <c r="S7641" t="str">
        <f t="shared" si="3116"/>
        <v>Approved</v>
      </c>
      <c r="T7641" t="str">
        <f t="shared" si="3104"/>
        <v>10.20.8.188</v>
      </c>
      <c r="U7641" t="str">
        <f t="shared" si="3117"/>
        <v>AZRAD UMAR BIN SHAARI</v>
      </c>
      <c r="V7641" t="str">
        <f t="shared" si="3118"/>
        <v>FARHANA BINTI MUSTAPA</v>
      </c>
      <c r="W7641" t="str">
        <f t="shared" si="3119"/>
        <v>04-08-2020</v>
      </c>
      <c r="X7641" t="str">
        <f t="shared" si="3120"/>
        <v>RAZIMAH ANSAR AHMAD</v>
      </c>
      <c r="Y7641" t="str">
        <f t="shared" si="3121"/>
        <v>04-08-2020</v>
      </c>
      <c r="Z7641" t="str">
        <f>"COS10200804 1513"</f>
        <v>COS10200804 1513</v>
      </c>
    </row>
    <row r="7642" spans="1:26" x14ac:dyDescent="0.25">
      <c r="A7642" t="str">
        <f t="shared" si="3109"/>
        <v>04-08-2020 12:34:18</v>
      </c>
      <c r="B7642" t="str">
        <f>"0000803264"</f>
        <v>0000803264</v>
      </c>
      <c r="C7642" t="str">
        <f t="shared" si="3110"/>
        <v>0000803152</v>
      </c>
      <c r="D7642" t="str">
        <f t="shared" si="3111"/>
        <v>73185</v>
      </c>
      <c r="E7642" t="str">
        <f t="shared" si="3112"/>
        <v>KFH-OPERATIONS DEPARTMENT</v>
      </c>
      <c r="F7642" t="str">
        <f t="shared" si="3113"/>
        <v>IBG</v>
      </c>
      <c r="G7642" t="str">
        <f t="shared" si="3124"/>
        <v>Refund COSHARE 10</v>
      </c>
      <c r="H7642" s="2">
        <v>372.55</v>
      </c>
      <c r="I7642" t="str">
        <f>"AZMI BIN MARBAWI"</f>
        <v>AZMI BIN MARBAWI</v>
      </c>
      <c r="J7642" t="str">
        <f t="shared" si="3125"/>
        <v>BANK SIMPANAN NASIONAL</v>
      </c>
      <c r="K7642" t="str">
        <f>"1312529864221520"</f>
        <v>1312529864221520</v>
      </c>
      <c r="L7642" t="str">
        <f t="shared" si="3122"/>
        <v>04-08-2020</v>
      </c>
      <c r="M7642" t="str">
        <f t="shared" si="3122"/>
        <v>04-08-2020</v>
      </c>
      <c r="N7642" t="str">
        <f t="shared" si="3114"/>
        <v>001105018356</v>
      </c>
      <c r="O7642" t="str">
        <f t="shared" si="3115"/>
        <v>MYR</v>
      </c>
      <c r="P7642" t="str">
        <f t="shared" si="3123"/>
        <v>NIL</v>
      </c>
      <c r="Q7642" t="str">
        <f t="shared" si="3123"/>
        <v>NIL</v>
      </c>
      <c r="R7642" t="str">
        <f t="shared" si="3103"/>
        <v>Accepted</v>
      </c>
      <c r="S7642" t="str">
        <f t="shared" si="3116"/>
        <v>Approved</v>
      </c>
      <c r="T7642" t="str">
        <f t="shared" si="3104"/>
        <v>10.20.8.188</v>
      </c>
      <c r="U7642" t="str">
        <f t="shared" si="3117"/>
        <v>AZRAD UMAR BIN SHAARI</v>
      </c>
      <c r="V7642" t="str">
        <f t="shared" si="3118"/>
        <v>FARHANA BINTI MUSTAPA</v>
      </c>
      <c r="W7642" t="str">
        <f t="shared" si="3119"/>
        <v>04-08-2020</v>
      </c>
      <c r="X7642" t="str">
        <f t="shared" si="3120"/>
        <v>RAZIMAH ANSAR AHMAD</v>
      </c>
      <c r="Y7642" t="str">
        <f t="shared" si="3121"/>
        <v>04-08-2020</v>
      </c>
      <c r="Z7642" t="str">
        <f>"COS10200804 1512"</f>
        <v>COS10200804 1512</v>
      </c>
    </row>
    <row r="7643" spans="1:26" x14ac:dyDescent="0.25">
      <c r="A7643" t="str">
        <f t="shared" si="3109"/>
        <v>04-08-2020 12:34:18</v>
      </c>
      <c r="B7643" t="str">
        <f>"0000803263"</f>
        <v>0000803263</v>
      </c>
      <c r="C7643" t="str">
        <f t="shared" si="3110"/>
        <v>0000803152</v>
      </c>
      <c r="D7643" t="str">
        <f t="shared" si="3111"/>
        <v>73185</v>
      </c>
      <c r="E7643" t="str">
        <f t="shared" si="3112"/>
        <v>KFH-OPERATIONS DEPARTMENT</v>
      </c>
      <c r="F7643" t="str">
        <f t="shared" si="3113"/>
        <v>IBG</v>
      </c>
      <c r="G7643" t="str">
        <f t="shared" si="3124"/>
        <v>Refund COSHARE 10</v>
      </c>
      <c r="H7643" s="2">
        <v>654.9</v>
      </c>
      <c r="I7643" t="str">
        <f>"AZMI BIN MAHMOD"</f>
        <v>AZMI BIN MAHMOD</v>
      </c>
      <c r="J7643" t="str">
        <f t="shared" si="3125"/>
        <v>BANK SIMPANAN NASIONAL</v>
      </c>
      <c r="K7643" t="str">
        <f>"0710029875237842"</f>
        <v>0710029875237842</v>
      </c>
      <c r="L7643" t="str">
        <f t="shared" si="3122"/>
        <v>04-08-2020</v>
      </c>
      <c r="M7643" t="str">
        <f t="shared" si="3122"/>
        <v>04-08-2020</v>
      </c>
      <c r="N7643" t="str">
        <f t="shared" si="3114"/>
        <v>001105018356</v>
      </c>
      <c r="O7643" t="str">
        <f t="shared" si="3115"/>
        <v>MYR</v>
      </c>
      <c r="P7643" t="str">
        <f t="shared" si="3123"/>
        <v>NIL</v>
      </c>
      <c r="Q7643" t="str">
        <f t="shared" si="3123"/>
        <v>NIL</v>
      </c>
      <c r="R7643" t="str">
        <f t="shared" si="3103"/>
        <v>Accepted</v>
      </c>
      <c r="S7643" t="str">
        <f t="shared" si="3116"/>
        <v>Approved</v>
      </c>
      <c r="T7643" t="str">
        <f t="shared" si="3104"/>
        <v>10.20.8.188</v>
      </c>
      <c r="U7643" t="str">
        <f t="shared" si="3117"/>
        <v>AZRAD UMAR BIN SHAARI</v>
      </c>
      <c r="V7643" t="str">
        <f t="shared" si="3118"/>
        <v>FARHANA BINTI MUSTAPA</v>
      </c>
      <c r="W7643" t="str">
        <f t="shared" si="3119"/>
        <v>04-08-2020</v>
      </c>
      <c r="X7643" t="str">
        <f t="shared" si="3120"/>
        <v>RAZIMAH ANSAR AHMAD</v>
      </c>
      <c r="Y7643" t="str">
        <f t="shared" si="3121"/>
        <v>04-08-2020</v>
      </c>
      <c r="Z7643" t="str">
        <f>"COS10200804 1511"</f>
        <v>COS10200804 1511</v>
      </c>
    </row>
    <row r="7644" spans="1:26" x14ac:dyDescent="0.25">
      <c r="A7644" t="str">
        <f t="shared" si="3109"/>
        <v>04-08-2020 12:34:18</v>
      </c>
      <c r="B7644" t="str">
        <f>"0000803262"</f>
        <v>0000803262</v>
      </c>
      <c r="C7644" t="str">
        <f t="shared" si="3110"/>
        <v>0000803152</v>
      </c>
      <c r="D7644" t="str">
        <f t="shared" si="3111"/>
        <v>73185</v>
      </c>
      <c r="E7644" t="str">
        <f t="shared" si="3112"/>
        <v>KFH-OPERATIONS DEPARTMENT</v>
      </c>
      <c r="F7644" t="str">
        <f t="shared" si="3113"/>
        <v>IBG</v>
      </c>
      <c r="G7644" t="str">
        <f t="shared" si="3124"/>
        <v>Refund COSHARE 10</v>
      </c>
      <c r="H7644" s="2">
        <v>705.2</v>
      </c>
      <c r="I7644" t="str">
        <f>"AZMAN BIN ABAS"</f>
        <v>AZMAN BIN ABAS</v>
      </c>
      <c r="J7644" t="str">
        <f t="shared" si="3125"/>
        <v>BANK SIMPANAN NASIONAL</v>
      </c>
      <c r="K7644" t="str">
        <f>"1412629854854727"</f>
        <v>1412629854854727</v>
      </c>
      <c r="L7644" t="str">
        <f t="shared" si="3122"/>
        <v>04-08-2020</v>
      </c>
      <c r="M7644" t="str">
        <f t="shared" si="3122"/>
        <v>04-08-2020</v>
      </c>
      <c r="N7644" t="str">
        <f t="shared" si="3114"/>
        <v>001105018356</v>
      </c>
      <c r="O7644" t="str">
        <f t="shared" si="3115"/>
        <v>MYR</v>
      </c>
      <c r="P7644" t="str">
        <f t="shared" si="3123"/>
        <v>NIL</v>
      </c>
      <c r="Q7644" t="str">
        <f t="shared" si="3123"/>
        <v>NIL</v>
      </c>
      <c r="R7644" t="str">
        <f t="shared" si="3103"/>
        <v>Accepted</v>
      </c>
      <c r="S7644" t="str">
        <f t="shared" si="3116"/>
        <v>Approved</v>
      </c>
      <c r="T7644" t="str">
        <f t="shared" si="3104"/>
        <v>10.20.8.188</v>
      </c>
      <c r="U7644" t="str">
        <f t="shared" si="3117"/>
        <v>AZRAD UMAR BIN SHAARI</v>
      </c>
      <c r="V7644" t="str">
        <f t="shared" si="3118"/>
        <v>FARHANA BINTI MUSTAPA</v>
      </c>
      <c r="W7644" t="str">
        <f t="shared" si="3119"/>
        <v>04-08-2020</v>
      </c>
      <c r="X7644" t="str">
        <f t="shared" si="3120"/>
        <v>RAZIMAH ANSAR AHMAD</v>
      </c>
      <c r="Y7644" t="str">
        <f t="shared" si="3121"/>
        <v>04-08-2020</v>
      </c>
      <c r="Z7644" t="str">
        <f>"COS10200804 1510"</f>
        <v>COS10200804 1510</v>
      </c>
    </row>
    <row r="7645" spans="1:26" x14ac:dyDescent="0.25">
      <c r="A7645" t="str">
        <f t="shared" si="3109"/>
        <v>04-08-2020 12:34:18</v>
      </c>
      <c r="B7645" t="str">
        <f>"0000803261"</f>
        <v>0000803261</v>
      </c>
      <c r="C7645" t="str">
        <f t="shared" si="3110"/>
        <v>0000803152</v>
      </c>
      <c r="D7645" t="str">
        <f t="shared" si="3111"/>
        <v>73185</v>
      </c>
      <c r="E7645" t="str">
        <f t="shared" si="3112"/>
        <v>KFH-OPERATIONS DEPARTMENT</v>
      </c>
      <c r="F7645" t="str">
        <f t="shared" si="3113"/>
        <v>IBG</v>
      </c>
      <c r="G7645" t="str">
        <f t="shared" si="3124"/>
        <v>Refund COSHARE 10</v>
      </c>
      <c r="H7645" s="2">
        <v>651</v>
      </c>
      <c r="I7645" t="str">
        <f>"AZLINA BINTI ABDULLAH"</f>
        <v>AZLINA BINTI ABDULLAH</v>
      </c>
      <c r="J7645" t="str">
        <f t="shared" si="3125"/>
        <v>BANK SIMPANAN NASIONAL</v>
      </c>
      <c r="K7645" t="str">
        <f>"0211129000082736"</f>
        <v>0211129000082736</v>
      </c>
      <c r="L7645" t="str">
        <f t="shared" si="3122"/>
        <v>04-08-2020</v>
      </c>
      <c r="M7645" t="str">
        <f t="shared" si="3122"/>
        <v>04-08-2020</v>
      </c>
      <c r="N7645" t="str">
        <f t="shared" si="3114"/>
        <v>001105018356</v>
      </c>
      <c r="O7645" t="str">
        <f t="shared" si="3115"/>
        <v>MYR</v>
      </c>
      <c r="P7645" t="str">
        <f t="shared" si="3123"/>
        <v>NIL</v>
      </c>
      <c r="Q7645" t="str">
        <f t="shared" si="3123"/>
        <v>NIL</v>
      </c>
      <c r="R7645" t="str">
        <f t="shared" si="3103"/>
        <v>Accepted</v>
      </c>
      <c r="S7645" t="str">
        <f t="shared" si="3116"/>
        <v>Approved</v>
      </c>
      <c r="T7645" t="str">
        <f t="shared" si="3104"/>
        <v>10.20.8.188</v>
      </c>
      <c r="U7645" t="str">
        <f t="shared" si="3117"/>
        <v>AZRAD UMAR BIN SHAARI</v>
      </c>
      <c r="V7645" t="str">
        <f t="shared" si="3118"/>
        <v>FARHANA BINTI MUSTAPA</v>
      </c>
      <c r="W7645" t="str">
        <f t="shared" si="3119"/>
        <v>04-08-2020</v>
      </c>
      <c r="X7645" t="str">
        <f t="shared" si="3120"/>
        <v>RAZIMAH ANSAR AHMAD</v>
      </c>
      <c r="Y7645" t="str">
        <f t="shared" si="3121"/>
        <v>04-08-2020</v>
      </c>
      <c r="Z7645" t="str">
        <f>"COS10200804 1509"</f>
        <v>COS10200804 1509</v>
      </c>
    </row>
    <row r="7646" spans="1:26" x14ac:dyDescent="0.25">
      <c r="A7646" t="str">
        <f t="shared" si="3109"/>
        <v>04-08-2020 12:34:18</v>
      </c>
      <c r="B7646" t="str">
        <f>"0000803260"</f>
        <v>0000803260</v>
      </c>
      <c r="C7646" t="str">
        <f t="shared" si="3110"/>
        <v>0000803152</v>
      </c>
      <c r="D7646" t="str">
        <f t="shared" si="3111"/>
        <v>73185</v>
      </c>
      <c r="E7646" t="str">
        <f t="shared" si="3112"/>
        <v>KFH-OPERATIONS DEPARTMENT</v>
      </c>
      <c r="F7646" t="str">
        <f t="shared" si="3113"/>
        <v>IBG</v>
      </c>
      <c r="G7646" t="str">
        <f t="shared" si="3124"/>
        <v>Refund COSHARE 10</v>
      </c>
      <c r="H7646" s="2">
        <v>344.2</v>
      </c>
      <c r="I7646" t="str">
        <f>"AZIZUL BIN MOKHTAR"</f>
        <v>AZIZUL BIN MOKHTAR</v>
      </c>
      <c r="J7646" t="str">
        <f t="shared" si="3125"/>
        <v>BANK SIMPANAN NASIONAL</v>
      </c>
      <c r="K7646" t="str">
        <f>"0810329811490514"</f>
        <v>0810329811490514</v>
      </c>
      <c r="L7646" t="str">
        <f t="shared" si="3122"/>
        <v>04-08-2020</v>
      </c>
      <c r="M7646" t="str">
        <f t="shared" si="3122"/>
        <v>04-08-2020</v>
      </c>
      <c r="N7646" t="str">
        <f t="shared" si="3114"/>
        <v>001105018356</v>
      </c>
      <c r="O7646" t="str">
        <f t="shared" si="3115"/>
        <v>MYR</v>
      </c>
      <c r="P7646" t="str">
        <f t="shared" si="3123"/>
        <v>NIL</v>
      </c>
      <c r="Q7646" t="str">
        <f t="shared" si="3123"/>
        <v>NIL</v>
      </c>
      <c r="R7646" t="str">
        <f t="shared" si="3103"/>
        <v>Accepted</v>
      </c>
      <c r="S7646" t="str">
        <f t="shared" si="3116"/>
        <v>Approved</v>
      </c>
      <c r="T7646" t="str">
        <f t="shared" si="3104"/>
        <v>10.20.8.188</v>
      </c>
      <c r="U7646" t="str">
        <f t="shared" si="3117"/>
        <v>AZRAD UMAR BIN SHAARI</v>
      </c>
      <c r="V7646" t="str">
        <f t="shared" si="3118"/>
        <v>FARHANA BINTI MUSTAPA</v>
      </c>
      <c r="W7646" t="str">
        <f t="shared" si="3119"/>
        <v>04-08-2020</v>
      </c>
      <c r="X7646" t="str">
        <f t="shared" si="3120"/>
        <v>RAZIMAH ANSAR AHMAD</v>
      </c>
      <c r="Y7646" t="str">
        <f t="shared" si="3121"/>
        <v>04-08-2020</v>
      </c>
      <c r="Z7646" t="str">
        <f>"COS10200804 1508"</f>
        <v>COS10200804 1508</v>
      </c>
    </row>
    <row r="7647" spans="1:26" x14ac:dyDescent="0.25">
      <c r="A7647" t="str">
        <f t="shared" si="3109"/>
        <v>04-08-2020 12:34:18</v>
      </c>
      <c r="B7647" t="str">
        <f>"0000803259"</f>
        <v>0000803259</v>
      </c>
      <c r="C7647" t="str">
        <f t="shared" si="3110"/>
        <v>0000803152</v>
      </c>
      <c r="D7647" t="str">
        <f t="shared" si="3111"/>
        <v>73185</v>
      </c>
      <c r="E7647" t="str">
        <f t="shared" si="3112"/>
        <v>KFH-OPERATIONS DEPARTMENT</v>
      </c>
      <c r="F7647" t="str">
        <f t="shared" si="3113"/>
        <v>IBG</v>
      </c>
      <c r="G7647" t="str">
        <f t="shared" si="3124"/>
        <v>Refund COSHARE 10</v>
      </c>
      <c r="H7647" s="2">
        <v>92.35</v>
      </c>
      <c r="I7647" t="str">
        <f>"AZIZUL BIN ASURI  KASURI"</f>
        <v>AZIZUL BIN ASURI  KASURI</v>
      </c>
      <c r="J7647" t="str">
        <f t="shared" si="3125"/>
        <v>BANK SIMPANAN NASIONAL</v>
      </c>
      <c r="K7647" t="str">
        <f>"0410629000277031"</f>
        <v>0410629000277031</v>
      </c>
      <c r="L7647" t="str">
        <f t="shared" ref="L7647:M7666" si="3126">"04-08-2020"</f>
        <v>04-08-2020</v>
      </c>
      <c r="M7647" t="str">
        <f t="shared" si="3126"/>
        <v>04-08-2020</v>
      </c>
      <c r="N7647" t="str">
        <f t="shared" si="3114"/>
        <v>001105018356</v>
      </c>
      <c r="O7647" t="str">
        <f t="shared" si="3115"/>
        <v>MYR</v>
      </c>
      <c r="P7647" t="str">
        <f t="shared" ref="P7647:Q7666" si="3127">"NIL"</f>
        <v>NIL</v>
      </c>
      <c r="Q7647" t="str">
        <f t="shared" si="3127"/>
        <v>NIL</v>
      </c>
      <c r="R7647" t="str">
        <f t="shared" si="3103"/>
        <v>Accepted</v>
      </c>
      <c r="S7647" t="str">
        <f t="shared" si="3116"/>
        <v>Approved</v>
      </c>
      <c r="T7647" t="str">
        <f t="shared" si="3104"/>
        <v>10.20.8.188</v>
      </c>
      <c r="U7647" t="str">
        <f t="shared" si="3117"/>
        <v>AZRAD UMAR BIN SHAARI</v>
      </c>
      <c r="V7647" t="str">
        <f t="shared" si="3118"/>
        <v>FARHANA BINTI MUSTAPA</v>
      </c>
      <c r="W7647" t="str">
        <f t="shared" si="3119"/>
        <v>04-08-2020</v>
      </c>
      <c r="X7647" t="str">
        <f t="shared" si="3120"/>
        <v>RAZIMAH ANSAR AHMAD</v>
      </c>
      <c r="Y7647" t="str">
        <f t="shared" si="3121"/>
        <v>04-08-2020</v>
      </c>
      <c r="Z7647" t="str">
        <f>"COS10200804 1507"</f>
        <v>COS10200804 1507</v>
      </c>
    </row>
    <row r="7648" spans="1:26" x14ac:dyDescent="0.25">
      <c r="A7648" t="str">
        <f t="shared" si="3109"/>
        <v>04-08-2020 12:34:18</v>
      </c>
      <c r="B7648" t="str">
        <f>"0000803258"</f>
        <v>0000803258</v>
      </c>
      <c r="C7648" t="str">
        <f t="shared" si="3110"/>
        <v>0000803152</v>
      </c>
      <c r="D7648" t="str">
        <f t="shared" si="3111"/>
        <v>73185</v>
      </c>
      <c r="E7648" t="str">
        <f t="shared" si="3112"/>
        <v>KFH-OPERATIONS DEPARTMENT</v>
      </c>
      <c r="F7648" t="str">
        <f t="shared" si="3113"/>
        <v>IBG</v>
      </c>
      <c r="G7648" t="str">
        <f t="shared" si="3124"/>
        <v>Refund COSHARE 10</v>
      </c>
      <c r="H7648" s="2">
        <v>205.1</v>
      </c>
      <c r="I7648" t="str">
        <f>"AZIZAH BINTI CHE REE"</f>
        <v>AZIZAH BINTI CHE REE</v>
      </c>
      <c r="J7648" t="str">
        <f t="shared" si="3125"/>
        <v>BANK SIMPANAN NASIONAL</v>
      </c>
      <c r="K7648" t="str">
        <f>"0821629895658052"</f>
        <v>0821629895658052</v>
      </c>
      <c r="L7648" t="str">
        <f t="shared" si="3126"/>
        <v>04-08-2020</v>
      </c>
      <c r="M7648" t="str">
        <f t="shared" si="3126"/>
        <v>04-08-2020</v>
      </c>
      <c r="N7648" t="str">
        <f t="shared" si="3114"/>
        <v>001105018356</v>
      </c>
      <c r="O7648" t="str">
        <f t="shared" si="3115"/>
        <v>MYR</v>
      </c>
      <c r="P7648" t="str">
        <f t="shared" si="3127"/>
        <v>NIL</v>
      </c>
      <c r="Q7648" t="str">
        <f t="shared" si="3127"/>
        <v>NIL</v>
      </c>
      <c r="R7648" t="str">
        <f t="shared" si="3103"/>
        <v>Accepted</v>
      </c>
      <c r="S7648" t="str">
        <f t="shared" si="3116"/>
        <v>Approved</v>
      </c>
      <c r="T7648" t="str">
        <f t="shared" si="3104"/>
        <v>10.20.8.188</v>
      </c>
      <c r="U7648" t="str">
        <f t="shared" si="3117"/>
        <v>AZRAD UMAR BIN SHAARI</v>
      </c>
      <c r="V7648" t="str">
        <f t="shared" si="3118"/>
        <v>FARHANA BINTI MUSTAPA</v>
      </c>
      <c r="W7648" t="str">
        <f t="shared" si="3119"/>
        <v>04-08-2020</v>
      </c>
      <c r="X7648" t="str">
        <f t="shared" si="3120"/>
        <v>RAZIMAH ANSAR AHMAD</v>
      </c>
      <c r="Y7648" t="str">
        <f t="shared" si="3121"/>
        <v>04-08-2020</v>
      </c>
      <c r="Z7648" t="str">
        <f>"COS10200804 1506"</f>
        <v>COS10200804 1506</v>
      </c>
    </row>
    <row r="7649" spans="1:26" x14ac:dyDescent="0.25">
      <c r="A7649" t="str">
        <f t="shared" si="3109"/>
        <v>04-08-2020 12:34:18</v>
      </c>
      <c r="B7649" t="str">
        <f>"0000803257"</f>
        <v>0000803257</v>
      </c>
      <c r="C7649" t="str">
        <f t="shared" si="3110"/>
        <v>0000803152</v>
      </c>
      <c r="D7649" t="str">
        <f t="shared" si="3111"/>
        <v>73185</v>
      </c>
      <c r="E7649" t="str">
        <f t="shared" si="3112"/>
        <v>KFH-OPERATIONS DEPARTMENT</v>
      </c>
      <c r="F7649" t="str">
        <f t="shared" si="3113"/>
        <v>IBG</v>
      </c>
      <c r="G7649" t="str">
        <f t="shared" si="3124"/>
        <v>Refund COSHARE 10</v>
      </c>
      <c r="H7649" s="2">
        <v>1670</v>
      </c>
      <c r="I7649" t="str">
        <f>"AZIZAH BINTI ABU BAKAR"</f>
        <v>AZIZAH BINTI ABU BAKAR</v>
      </c>
      <c r="J7649" t="str">
        <f t="shared" si="3125"/>
        <v>BANK SIMPANAN NASIONAL</v>
      </c>
      <c r="K7649" t="str">
        <f>"0210729866232627"</f>
        <v>0210729866232627</v>
      </c>
      <c r="L7649" t="str">
        <f t="shared" si="3126"/>
        <v>04-08-2020</v>
      </c>
      <c r="M7649" t="str">
        <f t="shared" si="3126"/>
        <v>04-08-2020</v>
      </c>
      <c r="N7649" t="str">
        <f t="shared" si="3114"/>
        <v>001105018356</v>
      </c>
      <c r="O7649" t="str">
        <f t="shared" si="3115"/>
        <v>MYR</v>
      </c>
      <c r="P7649" t="str">
        <f t="shared" si="3127"/>
        <v>NIL</v>
      </c>
      <c r="Q7649" t="str">
        <f t="shared" si="3127"/>
        <v>NIL</v>
      </c>
      <c r="R7649" t="str">
        <f t="shared" si="3103"/>
        <v>Accepted</v>
      </c>
      <c r="S7649" t="str">
        <f t="shared" si="3116"/>
        <v>Approved</v>
      </c>
      <c r="T7649" t="str">
        <f t="shared" si="3104"/>
        <v>10.20.8.188</v>
      </c>
      <c r="U7649" t="str">
        <f t="shared" si="3117"/>
        <v>AZRAD UMAR BIN SHAARI</v>
      </c>
      <c r="V7649" t="str">
        <f t="shared" si="3118"/>
        <v>FARHANA BINTI MUSTAPA</v>
      </c>
      <c r="W7649" t="str">
        <f t="shared" si="3119"/>
        <v>04-08-2020</v>
      </c>
      <c r="X7649" t="str">
        <f t="shared" si="3120"/>
        <v>RAZIMAH ANSAR AHMAD</v>
      </c>
      <c r="Y7649" t="str">
        <f t="shared" si="3121"/>
        <v>04-08-2020</v>
      </c>
      <c r="Z7649" t="str">
        <f>"COS10200804 1505"</f>
        <v>COS10200804 1505</v>
      </c>
    </row>
    <row r="7650" spans="1:26" x14ac:dyDescent="0.25">
      <c r="A7650" t="str">
        <f t="shared" ref="A7650:A7681" si="3128">"04-08-2020 12:34:18"</f>
        <v>04-08-2020 12:34:18</v>
      </c>
      <c r="B7650" t="str">
        <f>"0000803256"</f>
        <v>0000803256</v>
      </c>
      <c r="C7650" t="str">
        <f t="shared" ref="C7650:C7681" si="3129">"0000803152"</f>
        <v>0000803152</v>
      </c>
      <c r="D7650" t="str">
        <f t="shared" si="3111"/>
        <v>73185</v>
      </c>
      <c r="E7650" t="str">
        <f t="shared" si="3112"/>
        <v>KFH-OPERATIONS DEPARTMENT</v>
      </c>
      <c r="F7650" t="str">
        <f t="shared" si="3113"/>
        <v>IBG</v>
      </c>
      <c r="G7650" t="str">
        <f t="shared" si="3124"/>
        <v>Refund COSHARE 10</v>
      </c>
      <c r="H7650" s="2">
        <v>81.900000000000006</v>
      </c>
      <c r="I7650" t="str">
        <f>"AZIZ BIN MUSA"</f>
        <v>AZIZ BIN MUSA</v>
      </c>
      <c r="J7650" t="str">
        <f t="shared" si="3125"/>
        <v>BANK SIMPANAN NASIONAL</v>
      </c>
      <c r="K7650" t="str">
        <f>"0110029873219004"</f>
        <v>0110029873219004</v>
      </c>
      <c r="L7650" t="str">
        <f t="shared" si="3126"/>
        <v>04-08-2020</v>
      </c>
      <c r="M7650" t="str">
        <f t="shared" si="3126"/>
        <v>04-08-2020</v>
      </c>
      <c r="N7650" t="str">
        <f t="shared" si="3114"/>
        <v>001105018356</v>
      </c>
      <c r="O7650" t="str">
        <f t="shared" si="3115"/>
        <v>MYR</v>
      </c>
      <c r="P7650" t="str">
        <f t="shared" si="3127"/>
        <v>NIL</v>
      </c>
      <c r="Q7650" t="str">
        <f t="shared" si="3127"/>
        <v>NIL</v>
      </c>
      <c r="R7650" t="str">
        <f t="shared" ref="R7650:R7713" si="3130">"Accepted"</f>
        <v>Accepted</v>
      </c>
      <c r="S7650" t="str">
        <f t="shared" si="3116"/>
        <v>Approved</v>
      </c>
      <c r="T7650" t="str">
        <f t="shared" ref="T7650:T7713" si="3131">"10.20.8.188"</f>
        <v>10.20.8.188</v>
      </c>
      <c r="U7650" t="str">
        <f t="shared" si="3117"/>
        <v>AZRAD UMAR BIN SHAARI</v>
      </c>
      <c r="V7650" t="str">
        <f t="shared" si="3118"/>
        <v>FARHANA BINTI MUSTAPA</v>
      </c>
      <c r="W7650" t="str">
        <f t="shared" si="3119"/>
        <v>04-08-2020</v>
      </c>
      <c r="X7650" t="str">
        <f t="shared" si="3120"/>
        <v>RAZIMAH ANSAR AHMAD</v>
      </c>
      <c r="Y7650" t="str">
        <f t="shared" si="3121"/>
        <v>04-08-2020</v>
      </c>
      <c r="Z7650" t="str">
        <f>"COS10200804 1504"</f>
        <v>COS10200804 1504</v>
      </c>
    </row>
    <row r="7651" spans="1:26" x14ac:dyDescent="0.25">
      <c r="A7651" t="str">
        <f t="shared" si="3128"/>
        <v>04-08-2020 12:34:18</v>
      </c>
      <c r="B7651" t="str">
        <f>"0000803255"</f>
        <v>0000803255</v>
      </c>
      <c r="C7651" t="str">
        <f t="shared" si="3129"/>
        <v>0000803152</v>
      </c>
      <c r="D7651" t="str">
        <f t="shared" si="3111"/>
        <v>73185</v>
      </c>
      <c r="E7651" t="str">
        <f t="shared" si="3112"/>
        <v>KFH-OPERATIONS DEPARTMENT</v>
      </c>
      <c r="F7651" t="str">
        <f t="shared" si="3113"/>
        <v>IBG</v>
      </c>
      <c r="G7651" t="str">
        <f t="shared" si="3124"/>
        <v>Refund COSHARE 10</v>
      </c>
      <c r="H7651" s="2">
        <v>51.75</v>
      </c>
      <c r="I7651" t="str">
        <f>"AZHAR BIN ALI"</f>
        <v>AZHAR BIN ALI</v>
      </c>
      <c r="J7651" t="str">
        <f t="shared" si="3125"/>
        <v>BANK SIMPANAN NASIONAL</v>
      </c>
      <c r="K7651" t="str">
        <f>"1213141000020813"</f>
        <v>1213141000020813</v>
      </c>
      <c r="L7651" t="str">
        <f t="shared" si="3126"/>
        <v>04-08-2020</v>
      </c>
      <c r="M7651" t="str">
        <f t="shared" si="3126"/>
        <v>04-08-2020</v>
      </c>
      <c r="N7651" t="str">
        <f t="shared" si="3114"/>
        <v>001105018356</v>
      </c>
      <c r="O7651" t="str">
        <f t="shared" si="3115"/>
        <v>MYR</v>
      </c>
      <c r="P7651" t="str">
        <f t="shared" si="3127"/>
        <v>NIL</v>
      </c>
      <c r="Q7651" t="str">
        <f t="shared" si="3127"/>
        <v>NIL</v>
      </c>
      <c r="R7651" t="str">
        <f t="shared" si="3130"/>
        <v>Accepted</v>
      </c>
      <c r="S7651" t="str">
        <f t="shared" si="3116"/>
        <v>Approved</v>
      </c>
      <c r="T7651" t="str">
        <f t="shared" si="3131"/>
        <v>10.20.8.188</v>
      </c>
      <c r="U7651" t="str">
        <f t="shared" si="3117"/>
        <v>AZRAD UMAR BIN SHAARI</v>
      </c>
      <c r="V7651" t="str">
        <f t="shared" si="3118"/>
        <v>FARHANA BINTI MUSTAPA</v>
      </c>
      <c r="W7651" t="str">
        <f t="shared" si="3119"/>
        <v>04-08-2020</v>
      </c>
      <c r="X7651" t="str">
        <f t="shared" si="3120"/>
        <v>RAZIMAH ANSAR AHMAD</v>
      </c>
      <c r="Y7651" t="str">
        <f t="shared" si="3121"/>
        <v>04-08-2020</v>
      </c>
      <c r="Z7651" t="str">
        <f>"COS10200804 1503"</f>
        <v>COS10200804 1503</v>
      </c>
    </row>
    <row r="7652" spans="1:26" x14ac:dyDescent="0.25">
      <c r="A7652" t="str">
        <f t="shared" si="3128"/>
        <v>04-08-2020 12:34:18</v>
      </c>
      <c r="B7652" t="str">
        <f>"0000803254"</f>
        <v>0000803254</v>
      </c>
      <c r="C7652" t="str">
        <f t="shared" si="3129"/>
        <v>0000803152</v>
      </c>
      <c r="D7652" t="str">
        <f t="shared" si="3111"/>
        <v>73185</v>
      </c>
      <c r="E7652" t="str">
        <f t="shared" si="3112"/>
        <v>KFH-OPERATIONS DEPARTMENT</v>
      </c>
      <c r="F7652" t="str">
        <f t="shared" si="3113"/>
        <v>IBG</v>
      </c>
      <c r="G7652" t="str">
        <f t="shared" si="3124"/>
        <v>Refund COSHARE 10</v>
      </c>
      <c r="H7652" s="2">
        <v>84</v>
      </c>
      <c r="I7652" t="str">
        <f>"AZHAR BIN AHMAD"</f>
        <v>AZHAR BIN AHMAD</v>
      </c>
      <c r="J7652" t="str">
        <f t="shared" si="3125"/>
        <v>BANK SIMPANAN NASIONAL</v>
      </c>
      <c r="K7652" t="str">
        <f>"0310229873884958"</f>
        <v>0310229873884958</v>
      </c>
      <c r="L7652" t="str">
        <f t="shared" si="3126"/>
        <v>04-08-2020</v>
      </c>
      <c r="M7652" t="str">
        <f t="shared" si="3126"/>
        <v>04-08-2020</v>
      </c>
      <c r="N7652" t="str">
        <f t="shared" si="3114"/>
        <v>001105018356</v>
      </c>
      <c r="O7652" t="str">
        <f t="shared" si="3115"/>
        <v>MYR</v>
      </c>
      <c r="P7652" t="str">
        <f t="shared" si="3127"/>
        <v>NIL</v>
      </c>
      <c r="Q7652" t="str">
        <f t="shared" si="3127"/>
        <v>NIL</v>
      </c>
      <c r="R7652" t="str">
        <f t="shared" si="3130"/>
        <v>Accepted</v>
      </c>
      <c r="S7652" t="str">
        <f t="shared" si="3116"/>
        <v>Approved</v>
      </c>
      <c r="T7652" t="str">
        <f t="shared" si="3131"/>
        <v>10.20.8.188</v>
      </c>
      <c r="U7652" t="str">
        <f t="shared" si="3117"/>
        <v>AZRAD UMAR BIN SHAARI</v>
      </c>
      <c r="V7652" t="str">
        <f t="shared" si="3118"/>
        <v>FARHANA BINTI MUSTAPA</v>
      </c>
      <c r="W7652" t="str">
        <f t="shared" si="3119"/>
        <v>04-08-2020</v>
      </c>
      <c r="X7652" t="str">
        <f t="shared" si="3120"/>
        <v>RAZIMAH ANSAR AHMAD</v>
      </c>
      <c r="Y7652" t="str">
        <f t="shared" si="3121"/>
        <v>04-08-2020</v>
      </c>
      <c r="Z7652" t="str">
        <f>"COS10200804 1502"</f>
        <v>COS10200804 1502</v>
      </c>
    </row>
    <row r="7653" spans="1:26" x14ac:dyDescent="0.25">
      <c r="A7653" t="str">
        <f t="shared" si="3128"/>
        <v>04-08-2020 12:34:18</v>
      </c>
      <c r="B7653" t="str">
        <f>"0000803253"</f>
        <v>0000803253</v>
      </c>
      <c r="C7653" t="str">
        <f t="shared" si="3129"/>
        <v>0000803152</v>
      </c>
      <c r="D7653" t="str">
        <f t="shared" si="3111"/>
        <v>73185</v>
      </c>
      <c r="E7653" t="str">
        <f t="shared" si="3112"/>
        <v>KFH-OPERATIONS DEPARTMENT</v>
      </c>
      <c r="F7653" t="str">
        <f t="shared" si="3113"/>
        <v>IBG</v>
      </c>
      <c r="G7653" t="str">
        <f t="shared" si="3124"/>
        <v>Refund COSHARE 10</v>
      </c>
      <c r="H7653" s="2">
        <v>722</v>
      </c>
      <c r="I7653" t="str">
        <f>"AZAMI BIN MD SALEH"</f>
        <v>AZAMI BIN MD SALEH</v>
      </c>
      <c r="J7653" t="str">
        <f t="shared" si="3125"/>
        <v>BANK SIMPANAN NASIONAL</v>
      </c>
      <c r="K7653" t="str">
        <f>"1410029000194327"</f>
        <v>1410029000194327</v>
      </c>
      <c r="L7653" t="str">
        <f t="shared" si="3126"/>
        <v>04-08-2020</v>
      </c>
      <c r="M7653" t="str">
        <f t="shared" si="3126"/>
        <v>04-08-2020</v>
      </c>
      <c r="N7653" t="str">
        <f t="shared" si="3114"/>
        <v>001105018356</v>
      </c>
      <c r="O7653" t="str">
        <f t="shared" si="3115"/>
        <v>MYR</v>
      </c>
      <c r="P7653" t="str">
        <f t="shared" si="3127"/>
        <v>NIL</v>
      </c>
      <c r="Q7653" t="str">
        <f t="shared" si="3127"/>
        <v>NIL</v>
      </c>
      <c r="R7653" t="str">
        <f t="shared" si="3130"/>
        <v>Accepted</v>
      </c>
      <c r="S7653" t="str">
        <f t="shared" si="3116"/>
        <v>Approved</v>
      </c>
      <c r="T7653" t="str">
        <f t="shared" si="3131"/>
        <v>10.20.8.188</v>
      </c>
      <c r="U7653" t="str">
        <f t="shared" si="3117"/>
        <v>AZRAD UMAR BIN SHAARI</v>
      </c>
      <c r="V7653" t="str">
        <f t="shared" si="3118"/>
        <v>FARHANA BINTI MUSTAPA</v>
      </c>
      <c r="W7653" t="str">
        <f t="shared" si="3119"/>
        <v>04-08-2020</v>
      </c>
      <c r="X7653" t="str">
        <f t="shared" si="3120"/>
        <v>RAZIMAH ANSAR AHMAD</v>
      </c>
      <c r="Y7653" t="str">
        <f t="shared" si="3121"/>
        <v>04-08-2020</v>
      </c>
      <c r="Z7653" t="str">
        <f>"COS10200804 1501"</f>
        <v>COS10200804 1501</v>
      </c>
    </row>
    <row r="7654" spans="1:26" x14ac:dyDescent="0.25">
      <c r="A7654" t="str">
        <f t="shared" si="3128"/>
        <v>04-08-2020 12:34:18</v>
      </c>
      <c r="B7654" t="str">
        <f>"0000803252"</f>
        <v>0000803252</v>
      </c>
      <c r="C7654" t="str">
        <f t="shared" si="3129"/>
        <v>0000803152</v>
      </c>
      <c r="D7654" t="str">
        <f t="shared" si="3111"/>
        <v>73185</v>
      </c>
      <c r="E7654" t="str">
        <f t="shared" si="3112"/>
        <v>KFH-OPERATIONS DEPARTMENT</v>
      </c>
      <c r="F7654" t="str">
        <f t="shared" si="3113"/>
        <v>IBG</v>
      </c>
      <c r="G7654" t="str">
        <f t="shared" si="3124"/>
        <v>Refund COSHARE 10</v>
      </c>
      <c r="H7654" s="2">
        <v>671.6</v>
      </c>
      <c r="I7654" t="str">
        <f>"AZAHLILA BINTI MOHAMED YUNAN"</f>
        <v>AZAHLILA BINTI MOHAMED YUNAN</v>
      </c>
      <c r="J7654" t="str">
        <f t="shared" si="3125"/>
        <v>BANK SIMPANAN NASIONAL</v>
      </c>
      <c r="K7654" t="str">
        <f>"0310129000086607"</f>
        <v>0310129000086607</v>
      </c>
      <c r="L7654" t="str">
        <f t="shared" si="3126"/>
        <v>04-08-2020</v>
      </c>
      <c r="M7654" t="str">
        <f t="shared" si="3126"/>
        <v>04-08-2020</v>
      </c>
      <c r="N7654" t="str">
        <f t="shared" si="3114"/>
        <v>001105018356</v>
      </c>
      <c r="O7654" t="str">
        <f t="shared" si="3115"/>
        <v>MYR</v>
      </c>
      <c r="P7654" t="str">
        <f t="shared" si="3127"/>
        <v>NIL</v>
      </c>
      <c r="Q7654" t="str">
        <f t="shared" si="3127"/>
        <v>NIL</v>
      </c>
      <c r="R7654" t="str">
        <f t="shared" si="3130"/>
        <v>Accepted</v>
      </c>
      <c r="S7654" t="str">
        <f t="shared" si="3116"/>
        <v>Approved</v>
      </c>
      <c r="T7654" t="str">
        <f t="shared" si="3131"/>
        <v>10.20.8.188</v>
      </c>
      <c r="U7654" t="str">
        <f t="shared" si="3117"/>
        <v>AZRAD UMAR BIN SHAARI</v>
      </c>
      <c r="V7654" t="str">
        <f t="shared" si="3118"/>
        <v>FARHANA BINTI MUSTAPA</v>
      </c>
      <c r="W7654" t="str">
        <f t="shared" si="3119"/>
        <v>04-08-2020</v>
      </c>
      <c r="X7654" t="str">
        <f t="shared" si="3120"/>
        <v>RAZIMAH ANSAR AHMAD</v>
      </c>
      <c r="Y7654" t="str">
        <f t="shared" si="3121"/>
        <v>04-08-2020</v>
      </c>
      <c r="Z7654" t="str">
        <f>"COS10200804 1500"</f>
        <v>COS10200804 1500</v>
      </c>
    </row>
    <row r="7655" spans="1:26" x14ac:dyDescent="0.25">
      <c r="A7655" t="str">
        <f t="shared" si="3128"/>
        <v>04-08-2020 12:34:18</v>
      </c>
      <c r="B7655" t="str">
        <f>"0000803251"</f>
        <v>0000803251</v>
      </c>
      <c r="C7655" t="str">
        <f t="shared" si="3129"/>
        <v>0000803152</v>
      </c>
      <c r="D7655" t="str">
        <f t="shared" si="3111"/>
        <v>73185</v>
      </c>
      <c r="E7655" t="str">
        <f t="shared" si="3112"/>
        <v>KFH-OPERATIONS DEPARTMENT</v>
      </c>
      <c r="F7655" t="str">
        <f t="shared" si="3113"/>
        <v>IBG</v>
      </c>
      <c r="G7655" t="str">
        <f t="shared" si="3124"/>
        <v>Refund COSHARE 10</v>
      </c>
      <c r="H7655" s="2">
        <v>100.75</v>
      </c>
      <c r="I7655" t="str">
        <f>"AUTHUR ANAK RAPHAEL JESSY"</f>
        <v>AUTHUR ANAK RAPHAEL JESSY</v>
      </c>
      <c r="J7655" t="str">
        <f t="shared" si="3125"/>
        <v>BANK SIMPANAN NASIONAL</v>
      </c>
      <c r="K7655" t="str">
        <f>"1311641968927357"</f>
        <v>1311641968927357</v>
      </c>
      <c r="L7655" t="str">
        <f t="shared" si="3126"/>
        <v>04-08-2020</v>
      </c>
      <c r="M7655" t="str">
        <f t="shared" si="3126"/>
        <v>04-08-2020</v>
      </c>
      <c r="N7655" t="str">
        <f t="shared" si="3114"/>
        <v>001105018356</v>
      </c>
      <c r="O7655" t="str">
        <f t="shared" si="3115"/>
        <v>MYR</v>
      </c>
      <c r="P7655" t="str">
        <f t="shared" si="3127"/>
        <v>NIL</v>
      </c>
      <c r="Q7655" t="str">
        <f t="shared" si="3127"/>
        <v>NIL</v>
      </c>
      <c r="R7655" t="str">
        <f t="shared" si="3130"/>
        <v>Accepted</v>
      </c>
      <c r="S7655" t="str">
        <f t="shared" si="3116"/>
        <v>Approved</v>
      </c>
      <c r="T7655" t="str">
        <f t="shared" si="3131"/>
        <v>10.20.8.188</v>
      </c>
      <c r="U7655" t="str">
        <f t="shared" si="3117"/>
        <v>AZRAD UMAR BIN SHAARI</v>
      </c>
      <c r="V7655" t="str">
        <f t="shared" si="3118"/>
        <v>FARHANA BINTI MUSTAPA</v>
      </c>
      <c r="W7655" t="str">
        <f t="shared" si="3119"/>
        <v>04-08-2020</v>
      </c>
      <c r="X7655" t="str">
        <f t="shared" si="3120"/>
        <v>RAZIMAH ANSAR AHMAD</v>
      </c>
      <c r="Y7655" t="str">
        <f t="shared" si="3121"/>
        <v>04-08-2020</v>
      </c>
      <c r="Z7655" t="str">
        <f>"COS10200804 1499"</f>
        <v>COS10200804 1499</v>
      </c>
    </row>
    <row r="7656" spans="1:26" x14ac:dyDescent="0.25">
      <c r="A7656" t="str">
        <f t="shared" si="3128"/>
        <v>04-08-2020 12:34:18</v>
      </c>
      <c r="B7656" t="str">
        <f>"0000803250"</f>
        <v>0000803250</v>
      </c>
      <c r="C7656" t="str">
        <f t="shared" si="3129"/>
        <v>0000803152</v>
      </c>
      <c r="D7656" t="str">
        <f t="shared" si="3111"/>
        <v>73185</v>
      </c>
      <c r="E7656" t="str">
        <f t="shared" si="3112"/>
        <v>KFH-OPERATIONS DEPARTMENT</v>
      </c>
      <c r="F7656" t="str">
        <f t="shared" si="3113"/>
        <v>IBG</v>
      </c>
      <c r="G7656" t="str">
        <f t="shared" si="3124"/>
        <v>Refund COSHARE 10</v>
      </c>
      <c r="H7656" s="2">
        <v>417.55</v>
      </c>
      <c r="I7656" t="str">
        <f>"ASMAR DALIMI BINTI KAMARULZAMAN"</f>
        <v>ASMAR DALIMI BINTI KAMARULZAMAN</v>
      </c>
      <c r="J7656" t="str">
        <f t="shared" si="3125"/>
        <v>BANK SIMPANAN NASIONAL</v>
      </c>
      <c r="K7656" t="str">
        <f>"0211529871497128"</f>
        <v>0211529871497128</v>
      </c>
      <c r="L7656" t="str">
        <f t="shared" si="3126"/>
        <v>04-08-2020</v>
      </c>
      <c r="M7656" t="str">
        <f t="shared" si="3126"/>
        <v>04-08-2020</v>
      </c>
      <c r="N7656" t="str">
        <f t="shared" si="3114"/>
        <v>001105018356</v>
      </c>
      <c r="O7656" t="str">
        <f t="shared" si="3115"/>
        <v>MYR</v>
      </c>
      <c r="P7656" t="str">
        <f t="shared" si="3127"/>
        <v>NIL</v>
      </c>
      <c r="Q7656" t="str">
        <f t="shared" si="3127"/>
        <v>NIL</v>
      </c>
      <c r="R7656" t="str">
        <f t="shared" si="3130"/>
        <v>Accepted</v>
      </c>
      <c r="S7656" t="str">
        <f t="shared" si="3116"/>
        <v>Approved</v>
      </c>
      <c r="T7656" t="str">
        <f t="shared" si="3131"/>
        <v>10.20.8.188</v>
      </c>
      <c r="U7656" t="str">
        <f t="shared" si="3117"/>
        <v>AZRAD UMAR BIN SHAARI</v>
      </c>
      <c r="V7656" t="str">
        <f t="shared" si="3118"/>
        <v>FARHANA BINTI MUSTAPA</v>
      </c>
      <c r="W7656" t="str">
        <f t="shared" si="3119"/>
        <v>04-08-2020</v>
      </c>
      <c r="X7656" t="str">
        <f t="shared" si="3120"/>
        <v>RAZIMAH ANSAR AHMAD</v>
      </c>
      <c r="Y7656" t="str">
        <f t="shared" si="3121"/>
        <v>04-08-2020</v>
      </c>
      <c r="Z7656" t="str">
        <f>"COS10200804 1498"</f>
        <v>COS10200804 1498</v>
      </c>
    </row>
    <row r="7657" spans="1:26" x14ac:dyDescent="0.25">
      <c r="A7657" t="str">
        <f t="shared" si="3128"/>
        <v>04-08-2020 12:34:18</v>
      </c>
      <c r="B7657" t="str">
        <f>"0000803249"</f>
        <v>0000803249</v>
      </c>
      <c r="C7657" t="str">
        <f t="shared" si="3129"/>
        <v>0000803152</v>
      </c>
      <c r="D7657" t="str">
        <f t="shared" si="3111"/>
        <v>73185</v>
      </c>
      <c r="E7657" t="str">
        <f t="shared" si="3112"/>
        <v>KFH-OPERATIONS DEPARTMENT</v>
      </c>
      <c r="F7657" t="str">
        <f t="shared" si="3113"/>
        <v>IBG</v>
      </c>
      <c r="G7657" t="str">
        <f t="shared" si="3124"/>
        <v>Refund COSHARE 10</v>
      </c>
      <c r="H7657" s="2">
        <v>105</v>
      </c>
      <c r="I7657" t="str">
        <f>"ASMAR DALIMI BINTI KAMARULZAMAN"</f>
        <v>ASMAR DALIMI BINTI KAMARULZAMAN</v>
      </c>
      <c r="J7657" t="str">
        <f t="shared" si="3125"/>
        <v>BANK SIMPANAN NASIONAL</v>
      </c>
      <c r="K7657" t="str">
        <f>"0211529871497128"</f>
        <v>0211529871497128</v>
      </c>
      <c r="L7657" t="str">
        <f t="shared" si="3126"/>
        <v>04-08-2020</v>
      </c>
      <c r="M7657" t="str">
        <f t="shared" si="3126"/>
        <v>04-08-2020</v>
      </c>
      <c r="N7657" t="str">
        <f t="shared" si="3114"/>
        <v>001105018356</v>
      </c>
      <c r="O7657" t="str">
        <f t="shared" si="3115"/>
        <v>MYR</v>
      </c>
      <c r="P7657" t="str">
        <f t="shared" si="3127"/>
        <v>NIL</v>
      </c>
      <c r="Q7657" t="str">
        <f t="shared" si="3127"/>
        <v>NIL</v>
      </c>
      <c r="R7657" t="str">
        <f t="shared" si="3130"/>
        <v>Accepted</v>
      </c>
      <c r="S7657" t="str">
        <f t="shared" si="3116"/>
        <v>Approved</v>
      </c>
      <c r="T7657" t="str">
        <f t="shared" si="3131"/>
        <v>10.20.8.188</v>
      </c>
      <c r="U7657" t="str">
        <f t="shared" si="3117"/>
        <v>AZRAD UMAR BIN SHAARI</v>
      </c>
      <c r="V7657" t="str">
        <f t="shared" si="3118"/>
        <v>FARHANA BINTI MUSTAPA</v>
      </c>
      <c r="W7657" t="str">
        <f t="shared" si="3119"/>
        <v>04-08-2020</v>
      </c>
      <c r="X7657" t="str">
        <f t="shared" si="3120"/>
        <v>RAZIMAH ANSAR AHMAD</v>
      </c>
      <c r="Y7657" t="str">
        <f t="shared" si="3121"/>
        <v>04-08-2020</v>
      </c>
      <c r="Z7657" t="str">
        <f>"COS10200804 1497"</f>
        <v>COS10200804 1497</v>
      </c>
    </row>
    <row r="7658" spans="1:26" x14ac:dyDescent="0.25">
      <c r="A7658" t="str">
        <f t="shared" si="3128"/>
        <v>04-08-2020 12:34:18</v>
      </c>
      <c r="B7658" t="str">
        <f>"0000803248"</f>
        <v>0000803248</v>
      </c>
      <c r="C7658" t="str">
        <f t="shared" si="3129"/>
        <v>0000803152</v>
      </c>
      <c r="D7658" t="str">
        <f t="shared" si="3111"/>
        <v>73185</v>
      </c>
      <c r="E7658" t="str">
        <f t="shared" si="3112"/>
        <v>KFH-OPERATIONS DEPARTMENT</v>
      </c>
      <c r="F7658" t="str">
        <f t="shared" si="3113"/>
        <v>IBG</v>
      </c>
      <c r="G7658" t="str">
        <f t="shared" si="3124"/>
        <v>Refund COSHARE 10</v>
      </c>
      <c r="H7658" s="2">
        <v>688.4</v>
      </c>
      <c r="I7658" t="str">
        <f>"ASMANIZA BINTI CHE MANSOR"</f>
        <v>ASMANIZA BINTI CHE MANSOR</v>
      </c>
      <c r="J7658" t="str">
        <f t="shared" si="3125"/>
        <v>BANK SIMPANAN NASIONAL</v>
      </c>
      <c r="K7658" t="str">
        <f>"0412529000077353"</f>
        <v>0412529000077353</v>
      </c>
      <c r="L7658" t="str">
        <f t="shared" si="3126"/>
        <v>04-08-2020</v>
      </c>
      <c r="M7658" t="str">
        <f t="shared" si="3126"/>
        <v>04-08-2020</v>
      </c>
      <c r="N7658" t="str">
        <f t="shared" si="3114"/>
        <v>001105018356</v>
      </c>
      <c r="O7658" t="str">
        <f t="shared" si="3115"/>
        <v>MYR</v>
      </c>
      <c r="P7658" t="str">
        <f t="shared" si="3127"/>
        <v>NIL</v>
      </c>
      <c r="Q7658" t="str">
        <f t="shared" si="3127"/>
        <v>NIL</v>
      </c>
      <c r="R7658" t="str">
        <f t="shared" si="3130"/>
        <v>Accepted</v>
      </c>
      <c r="S7658" t="str">
        <f t="shared" si="3116"/>
        <v>Approved</v>
      </c>
      <c r="T7658" t="str">
        <f t="shared" si="3131"/>
        <v>10.20.8.188</v>
      </c>
      <c r="U7658" t="str">
        <f t="shared" si="3117"/>
        <v>AZRAD UMAR BIN SHAARI</v>
      </c>
      <c r="V7658" t="str">
        <f t="shared" si="3118"/>
        <v>FARHANA BINTI MUSTAPA</v>
      </c>
      <c r="W7658" t="str">
        <f t="shared" si="3119"/>
        <v>04-08-2020</v>
      </c>
      <c r="X7658" t="str">
        <f t="shared" si="3120"/>
        <v>RAZIMAH ANSAR AHMAD</v>
      </c>
      <c r="Y7658" t="str">
        <f t="shared" si="3121"/>
        <v>04-08-2020</v>
      </c>
      <c r="Z7658" t="str">
        <f>"COS10200804 1496"</f>
        <v>COS10200804 1496</v>
      </c>
    </row>
    <row r="7659" spans="1:26" x14ac:dyDescent="0.25">
      <c r="A7659" t="str">
        <f t="shared" si="3128"/>
        <v>04-08-2020 12:34:18</v>
      </c>
      <c r="B7659" t="str">
        <f>"0000803247"</f>
        <v>0000803247</v>
      </c>
      <c r="C7659" t="str">
        <f t="shared" si="3129"/>
        <v>0000803152</v>
      </c>
      <c r="D7659" t="str">
        <f t="shared" si="3111"/>
        <v>73185</v>
      </c>
      <c r="E7659" t="str">
        <f t="shared" si="3112"/>
        <v>KFH-OPERATIONS DEPARTMENT</v>
      </c>
      <c r="F7659" t="str">
        <f t="shared" si="3113"/>
        <v>IBG</v>
      </c>
      <c r="G7659" t="str">
        <f t="shared" si="3124"/>
        <v>Refund COSHARE 10</v>
      </c>
      <c r="H7659" s="2">
        <v>524.25</v>
      </c>
      <c r="I7659" t="str">
        <f>"ASMAIL  ISMAIL BIN GAKAU"</f>
        <v>ASMAIL  ISMAIL BIN GAKAU</v>
      </c>
      <c r="J7659" t="str">
        <f t="shared" si="3125"/>
        <v>BANK SIMPANAN NASIONAL</v>
      </c>
      <c r="K7659" t="str">
        <f>"1211129851016627"</f>
        <v>1211129851016627</v>
      </c>
      <c r="L7659" t="str">
        <f t="shared" si="3126"/>
        <v>04-08-2020</v>
      </c>
      <c r="M7659" t="str">
        <f t="shared" si="3126"/>
        <v>04-08-2020</v>
      </c>
      <c r="N7659" t="str">
        <f t="shared" si="3114"/>
        <v>001105018356</v>
      </c>
      <c r="O7659" t="str">
        <f t="shared" si="3115"/>
        <v>MYR</v>
      </c>
      <c r="P7659" t="str">
        <f t="shared" si="3127"/>
        <v>NIL</v>
      </c>
      <c r="Q7659" t="str">
        <f t="shared" si="3127"/>
        <v>NIL</v>
      </c>
      <c r="R7659" t="str">
        <f t="shared" si="3130"/>
        <v>Accepted</v>
      </c>
      <c r="S7659" t="str">
        <f t="shared" si="3116"/>
        <v>Approved</v>
      </c>
      <c r="T7659" t="str">
        <f t="shared" si="3131"/>
        <v>10.20.8.188</v>
      </c>
      <c r="U7659" t="str">
        <f t="shared" si="3117"/>
        <v>AZRAD UMAR BIN SHAARI</v>
      </c>
      <c r="V7659" t="str">
        <f t="shared" si="3118"/>
        <v>FARHANA BINTI MUSTAPA</v>
      </c>
      <c r="W7659" t="str">
        <f t="shared" si="3119"/>
        <v>04-08-2020</v>
      </c>
      <c r="X7659" t="str">
        <f t="shared" si="3120"/>
        <v>RAZIMAH ANSAR AHMAD</v>
      </c>
      <c r="Y7659" t="str">
        <f t="shared" si="3121"/>
        <v>04-08-2020</v>
      </c>
      <c r="Z7659" t="str">
        <f>"COS10200804 1495"</f>
        <v>COS10200804 1495</v>
      </c>
    </row>
    <row r="7660" spans="1:26" x14ac:dyDescent="0.25">
      <c r="A7660" t="str">
        <f t="shared" si="3128"/>
        <v>04-08-2020 12:34:18</v>
      </c>
      <c r="B7660" t="str">
        <f>"0000803246"</f>
        <v>0000803246</v>
      </c>
      <c r="C7660" t="str">
        <f t="shared" si="3129"/>
        <v>0000803152</v>
      </c>
      <c r="D7660" t="str">
        <f t="shared" si="3111"/>
        <v>73185</v>
      </c>
      <c r="E7660" t="str">
        <f t="shared" si="3112"/>
        <v>KFH-OPERATIONS DEPARTMENT</v>
      </c>
      <c r="F7660" t="str">
        <f t="shared" si="3113"/>
        <v>IBG</v>
      </c>
      <c r="G7660" t="str">
        <f t="shared" si="3124"/>
        <v>Refund COSHARE 10</v>
      </c>
      <c r="H7660" s="2">
        <v>1453</v>
      </c>
      <c r="I7660" t="str">
        <f>"ASMAHANI BT ISMAIL"</f>
        <v>ASMAHANI BT ISMAIL</v>
      </c>
      <c r="J7660" t="str">
        <f t="shared" si="3125"/>
        <v>BANK SIMPANAN NASIONAL</v>
      </c>
      <c r="K7660" t="str">
        <f>"0310029816485417"</f>
        <v>0310029816485417</v>
      </c>
      <c r="L7660" t="str">
        <f t="shared" si="3126"/>
        <v>04-08-2020</v>
      </c>
      <c r="M7660" t="str">
        <f t="shared" si="3126"/>
        <v>04-08-2020</v>
      </c>
      <c r="N7660" t="str">
        <f t="shared" si="3114"/>
        <v>001105018356</v>
      </c>
      <c r="O7660" t="str">
        <f t="shared" si="3115"/>
        <v>MYR</v>
      </c>
      <c r="P7660" t="str">
        <f t="shared" si="3127"/>
        <v>NIL</v>
      </c>
      <c r="Q7660" t="str">
        <f t="shared" si="3127"/>
        <v>NIL</v>
      </c>
      <c r="R7660" t="str">
        <f t="shared" si="3130"/>
        <v>Accepted</v>
      </c>
      <c r="S7660" t="str">
        <f t="shared" si="3116"/>
        <v>Approved</v>
      </c>
      <c r="T7660" t="str">
        <f t="shared" si="3131"/>
        <v>10.20.8.188</v>
      </c>
      <c r="U7660" t="str">
        <f t="shared" si="3117"/>
        <v>AZRAD UMAR BIN SHAARI</v>
      </c>
      <c r="V7660" t="str">
        <f t="shared" si="3118"/>
        <v>FARHANA BINTI MUSTAPA</v>
      </c>
      <c r="W7660" t="str">
        <f t="shared" si="3119"/>
        <v>04-08-2020</v>
      </c>
      <c r="X7660" t="str">
        <f t="shared" si="3120"/>
        <v>RAZIMAH ANSAR AHMAD</v>
      </c>
      <c r="Y7660" t="str">
        <f t="shared" si="3121"/>
        <v>04-08-2020</v>
      </c>
      <c r="Z7660" t="str">
        <f>"COS10200804 1494"</f>
        <v>COS10200804 1494</v>
      </c>
    </row>
    <row r="7661" spans="1:26" x14ac:dyDescent="0.25">
      <c r="A7661" t="str">
        <f t="shared" si="3128"/>
        <v>04-08-2020 12:34:18</v>
      </c>
      <c r="B7661" t="str">
        <f>"0000803245"</f>
        <v>0000803245</v>
      </c>
      <c r="C7661" t="str">
        <f t="shared" si="3129"/>
        <v>0000803152</v>
      </c>
      <c r="D7661" t="str">
        <f t="shared" si="3111"/>
        <v>73185</v>
      </c>
      <c r="E7661" t="str">
        <f t="shared" si="3112"/>
        <v>KFH-OPERATIONS DEPARTMENT</v>
      </c>
      <c r="F7661" t="str">
        <f t="shared" si="3113"/>
        <v>IBG</v>
      </c>
      <c r="G7661" t="str">
        <f t="shared" si="3124"/>
        <v>Refund COSHARE 10</v>
      </c>
      <c r="H7661" s="2">
        <v>849.3</v>
      </c>
      <c r="I7661" t="str">
        <f>"ARUMUGAM AL MOKKAYYA"</f>
        <v>ARUMUGAM AL MOKKAYYA</v>
      </c>
      <c r="J7661" t="str">
        <f t="shared" si="3125"/>
        <v>BANK SIMPANAN NASIONAL</v>
      </c>
      <c r="K7661" t="str">
        <f>"0411029827580763"</f>
        <v>0411029827580763</v>
      </c>
      <c r="L7661" t="str">
        <f t="shared" si="3126"/>
        <v>04-08-2020</v>
      </c>
      <c r="M7661" t="str">
        <f t="shared" si="3126"/>
        <v>04-08-2020</v>
      </c>
      <c r="N7661" t="str">
        <f t="shared" si="3114"/>
        <v>001105018356</v>
      </c>
      <c r="O7661" t="str">
        <f t="shared" si="3115"/>
        <v>MYR</v>
      </c>
      <c r="P7661" t="str">
        <f t="shared" si="3127"/>
        <v>NIL</v>
      </c>
      <c r="Q7661" t="str">
        <f t="shared" si="3127"/>
        <v>NIL</v>
      </c>
      <c r="R7661" t="str">
        <f t="shared" si="3130"/>
        <v>Accepted</v>
      </c>
      <c r="S7661" t="str">
        <f t="shared" si="3116"/>
        <v>Approved</v>
      </c>
      <c r="T7661" t="str">
        <f t="shared" si="3131"/>
        <v>10.20.8.188</v>
      </c>
      <c r="U7661" t="str">
        <f t="shared" si="3117"/>
        <v>AZRAD UMAR BIN SHAARI</v>
      </c>
      <c r="V7661" t="str">
        <f t="shared" si="3118"/>
        <v>FARHANA BINTI MUSTAPA</v>
      </c>
      <c r="W7661" t="str">
        <f t="shared" si="3119"/>
        <v>04-08-2020</v>
      </c>
      <c r="X7661" t="str">
        <f t="shared" si="3120"/>
        <v>RAZIMAH ANSAR AHMAD</v>
      </c>
      <c r="Y7661" t="str">
        <f t="shared" si="3121"/>
        <v>04-08-2020</v>
      </c>
      <c r="Z7661" t="str">
        <f>"COS10200804 1493"</f>
        <v>COS10200804 1493</v>
      </c>
    </row>
    <row r="7662" spans="1:26" x14ac:dyDescent="0.25">
      <c r="A7662" t="str">
        <f t="shared" si="3128"/>
        <v>04-08-2020 12:34:18</v>
      </c>
      <c r="B7662" t="str">
        <f>"0000803244"</f>
        <v>0000803244</v>
      </c>
      <c r="C7662" t="str">
        <f t="shared" si="3129"/>
        <v>0000803152</v>
      </c>
      <c r="D7662" t="str">
        <f t="shared" si="3111"/>
        <v>73185</v>
      </c>
      <c r="E7662" t="str">
        <f t="shared" si="3112"/>
        <v>KFH-OPERATIONS DEPARTMENT</v>
      </c>
      <c r="F7662" t="str">
        <f t="shared" si="3113"/>
        <v>IBG</v>
      </c>
      <c r="G7662" t="str">
        <f t="shared" si="3124"/>
        <v>Refund COSHARE 10</v>
      </c>
      <c r="H7662" s="2">
        <v>125.95</v>
      </c>
      <c r="I7662" t="str">
        <f>"ARMAN BIN UJAM"</f>
        <v>ARMAN BIN UJAM</v>
      </c>
      <c r="J7662" t="str">
        <f t="shared" si="3125"/>
        <v>BANK SIMPANAN NASIONAL</v>
      </c>
      <c r="K7662" t="str">
        <f>"0510929000067776"</f>
        <v>0510929000067776</v>
      </c>
      <c r="L7662" t="str">
        <f t="shared" si="3126"/>
        <v>04-08-2020</v>
      </c>
      <c r="M7662" t="str">
        <f t="shared" si="3126"/>
        <v>04-08-2020</v>
      </c>
      <c r="N7662" t="str">
        <f t="shared" si="3114"/>
        <v>001105018356</v>
      </c>
      <c r="O7662" t="str">
        <f t="shared" si="3115"/>
        <v>MYR</v>
      </c>
      <c r="P7662" t="str">
        <f t="shared" si="3127"/>
        <v>NIL</v>
      </c>
      <c r="Q7662" t="str">
        <f t="shared" si="3127"/>
        <v>NIL</v>
      </c>
      <c r="R7662" t="str">
        <f t="shared" si="3130"/>
        <v>Accepted</v>
      </c>
      <c r="S7662" t="str">
        <f t="shared" si="3116"/>
        <v>Approved</v>
      </c>
      <c r="T7662" t="str">
        <f t="shared" si="3131"/>
        <v>10.20.8.188</v>
      </c>
      <c r="U7662" t="str">
        <f t="shared" si="3117"/>
        <v>AZRAD UMAR BIN SHAARI</v>
      </c>
      <c r="V7662" t="str">
        <f t="shared" si="3118"/>
        <v>FARHANA BINTI MUSTAPA</v>
      </c>
      <c r="W7662" t="str">
        <f t="shared" si="3119"/>
        <v>04-08-2020</v>
      </c>
      <c r="X7662" t="str">
        <f t="shared" si="3120"/>
        <v>RAZIMAH ANSAR AHMAD</v>
      </c>
      <c r="Y7662" t="str">
        <f t="shared" si="3121"/>
        <v>04-08-2020</v>
      </c>
      <c r="Z7662" t="str">
        <f>"COS10200804 1492"</f>
        <v>COS10200804 1492</v>
      </c>
    </row>
    <row r="7663" spans="1:26" x14ac:dyDescent="0.25">
      <c r="A7663" t="str">
        <f t="shared" si="3128"/>
        <v>04-08-2020 12:34:18</v>
      </c>
      <c r="B7663" t="str">
        <f>"0000803243"</f>
        <v>0000803243</v>
      </c>
      <c r="C7663" t="str">
        <f t="shared" si="3129"/>
        <v>0000803152</v>
      </c>
      <c r="D7663" t="str">
        <f t="shared" si="3111"/>
        <v>73185</v>
      </c>
      <c r="E7663" t="str">
        <f t="shared" si="3112"/>
        <v>KFH-OPERATIONS DEPARTMENT</v>
      </c>
      <c r="F7663" t="str">
        <f t="shared" si="3113"/>
        <v>IBG</v>
      </c>
      <c r="G7663" t="str">
        <f t="shared" si="3124"/>
        <v>Refund COSHARE 10</v>
      </c>
      <c r="H7663" s="2">
        <v>1162.05</v>
      </c>
      <c r="I7663" t="str">
        <f>"ARIFFIN BIN MAMAT"</f>
        <v>ARIFFIN BIN MAMAT</v>
      </c>
      <c r="J7663" t="str">
        <f t="shared" si="3125"/>
        <v>BANK SIMPANAN NASIONAL</v>
      </c>
      <c r="K7663" t="str">
        <f>"0310629893702851"</f>
        <v>0310629893702851</v>
      </c>
      <c r="L7663" t="str">
        <f t="shared" si="3126"/>
        <v>04-08-2020</v>
      </c>
      <c r="M7663" t="str">
        <f t="shared" si="3126"/>
        <v>04-08-2020</v>
      </c>
      <c r="N7663" t="str">
        <f t="shared" si="3114"/>
        <v>001105018356</v>
      </c>
      <c r="O7663" t="str">
        <f t="shared" si="3115"/>
        <v>MYR</v>
      </c>
      <c r="P7663" t="str">
        <f t="shared" si="3127"/>
        <v>NIL</v>
      </c>
      <c r="Q7663" t="str">
        <f t="shared" si="3127"/>
        <v>NIL</v>
      </c>
      <c r="R7663" t="str">
        <f t="shared" si="3130"/>
        <v>Accepted</v>
      </c>
      <c r="S7663" t="str">
        <f t="shared" si="3116"/>
        <v>Approved</v>
      </c>
      <c r="T7663" t="str">
        <f t="shared" si="3131"/>
        <v>10.20.8.188</v>
      </c>
      <c r="U7663" t="str">
        <f t="shared" si="3117"/>
        <v>AZRAD UMAR BIN SHAARI</v>
      </c>
      <c r="V7663" t="str">
        <f t="shared" si="3118"/>
        <v>FARHANA BINTI MUSTAPA</v>
      </c>
      <c r="W7663" t="str">
        <f t="shared" si="3119"/>
        <v>04-08-2020</v>
      </c>
      <c r="X7663" t="str">
        <f t="shared" si="3120"/>
        <v>RAZIMAH ANSAR AHMAD</v>
      </c>
      <c r="Y7663" t="str">
        <f t="shared" si="3121"/>
        <v>04-08-2020</v>
      </c>
      <c r="Z7663" t="str">
        <f>"COS10200804 1491"</f>
        <v>COS10200804 1491</v>
      </c>
    </row>
    <row r="7664" spans="1:26" x14ac:dyDescent="0.25">
      <c r="A7664" t="str">
        <f t="shared" si="3128"/>
        <v>04-08-2020 12:34:18</v>
      </c>
      <c r="B7664" t="str">
        <f>"0000803242"</f>
        <v>0000803242</v>
      </c>
      <c r="C7664" t="str">
        <f t="shared" si="3129"/>
        <v>0000803152</v>
      </c>
      <c r="D7664" t="str">
        <f t="shared" si="3111"/>
        <v>73185</v>
      </c>
      <c r="E7664" t="str">
        <f t="shared" si="3112"/>
        <v>KFH-OPERATIONS DEPARTMENT</v>
      </c>
      <c r="F7664" t="str">
        <f t="shared" si="3113"/>
        <v>IBG</v>
      </c>
      <c r="G7664" t="str">
        <f t="shared" si="3124"/>
        <v>Refund COSHARE 10</v>
      </c>
      <c r="H7664" s="2">
        <v>662.6</v>
      </c>
      <c r="I7664" t="str">
        <f>"AREEINA JASMIN ABDULLAH"</f>
        <v>AREEINA JASMIN ABDULLAH</v>
      </c>
      <c r="J7664" t="str">
        <f t="shared" si="3125"/>
        <v>BANK SIMPANAN NASIONAL</v>
      </c>
      <c r="K7664" t="str">
        <f>"1310129880855823"</f>
        <v>1310129880855823</v>
      </c>
      <c r="L7664" t="str">
        <f t="shared" si="3126"/>
        <v>04-08-2020</v>
      </c>
      <c r="M7664" t="str">
        <f t="shared" si="3126"/>
        <v>04-08-2020</v>
      </c>
      <c r="N7664" t="str">
        <f t="shared" si="3114"/>
        <v>001105018356</v>
      </c>
      <c r="O7664" t="str">
        <f t="shared" si="3115"/>
        <v>MYR</v>
      </c>
      <c r="P7664" t="str">
        <f t="shared" si="3127"/>
        <v>NIL</v>
      </c>
      <c r="Q7664" t="str">
        <f t="shared" si="3127"/>
        <v>NIL</v>
      </c>
      <c r="R7664" t="str">
        <f t="shared" si="3130"/>
        <v>Accepted</v>
      </c>
      <c r="S7664" t="str">
        <f t="shared" si="3116"/>
        <v>Approved</v>
      </c>
      <c r="T7664" t="str">
        <f t="shared" si="3131"/>
        <v>10.20.8.188</v>
      </c>
      <c r="U7664" t="str">
        <f t="shared" si="3117"/>
        <v>AZRAD UMAR BIN SHAARI</v>
      </c>
      <c r="V7664" t="str">
        <f t="shared" si="3118"/>
        <v>FARHANA BINTI MUSTAPA</v>
      </c>
      <c r="W7664" t="str">
        <f t="shared" si="3119"/>
        <v>04-08-2020</v>
      </c>
      <c r="X7664" t="str">
        <f t="shared" si="3120"/>
        <v>RAZIMAH ANSAR AHMAD</v>
      </c>
      <c r="Y7664" t="str">
        <f t="shared" si="3121"/>
        <v>04-08-2020</v>
      </c>
      <c r="Z7664" t="str">
        <f>"COS10200804 1490"</f>
        <v>COS10200804 1490</v>
      </c>
    </row>
    <row r="7665" spans="1:26" x14ac:dyDescent="0.25">
      <c r="A7665" t="str">
        <f t="shared" si="3128"/>
        <v>04-08-2020 12:34:18</v>
      </c>
      <c r="B7665" t="str">
        <f>"0000803241"</f>
        <v>0000803241</v>
      </c>
      <c r="C7665" t="str">
        <f t="shared" si="3129"/>
        <v>0000803152</v>
      </c>
      <c r="D7665" t="str">
        <f t="shared" si="3111"/>
        <v>73185</v>
      </c>
      <c r="E7665" t="str">
        <f t="shared" si="3112"/>
        <v>KFH-OPERATIONS DEPARTMENT</v>
      </c>
      <c r="F7665" t="str">
        <f t="shared" si="3113"/>
        <v>IBG</v>
      </c>
      <c r="G7665" t="str">
        <f t="shared" si="3124"/>
        <v>Refund COSHARE 10</v>
      </c>
      <c r="H7665" s="2">
        <v>293.85000000000002</v>
      </c>
      <c r="I7665" t="str">
        <f>"ANUAR BIN HUSIN"</f>
        <v>ANUAR BIN HUSIN</v>
      </c>
      <c r="J7665" t="str">
        <f t="shared" si="3125"/>
        <v>BANK SIMPANAN NASIONAL</v>
      </c>
      <c r="K7665" t="str">
        <f>"0310029810027120"</f>
        <v>0310029810027120</v>
      </c>
      <c r="L7665" t="str">
        <f t="shared" si="3126"/>
        <v>04-08-2020</v>
      </c>
      <c r="M7665" t="str">
        <f t="shared" si="3126"/>
        <v>04-08-2020</v>
      </c>
      <c r="N7665" t="str">
        <f t="shared" si="3114"/>
        <v>001105018356</v>
      </c>
      <c r="O7665" t="str">
        <f t="shared" si="3115"/>
        <v>MYR</v>
      </c>
      <c r="P7665" t="str">
        <f t="shared" si="3127"/>
        <v>NIL</v>
      </c>
      <c r="Q7665" t="str">
        <f t="shared" si="3127"/>
        <v>NIL</v>
      </c>
      <c r="R7665" t="str">
        <f t="shared" si="3130"/>
        <v>Accepted</v>
      </c>
      <c r="S7665" t="str">
        <f t="shared" si="3116"/>
        <v>Approved</v>
      </c>
      <c r="T7665" t="str">
        <f t="shared" si="3131"/>
        <v>10.20.8.188</v>
      </c>
      <c r="U7665" t="str">
        <f t="shared" si="3117"/>
        <v>AZRAD UMAR BIN SHAARI</v>
      </c>
      <c r="V7665" t="str">
        <f t="shared" si="3118"/>
        <v>FARHANA BINTI MUSTAPA</v>
      </c>
      <c r="W7665" t="str">
        <f t="shared" si="3119"/>
        <v>04-08-2020</v>
      </c>
      <c r="X7665" t="str">
        <f t="shared" si="3120"/>
        <v>RAZIMAH ANSAR AHMAD</v>
      </c>
      <c r="Y7665" t="str">
        <f t="shared" si="3121"/>
        <v>04-08-2020</v>
      </c>
      <c r="Z7665" t="str">
        <f>"COS10200804 1489"</f>
        <v>COS10200804 1489</v>
      </c>
    </row>
    <row r="7666" spans="1:26" x14ac:dyDescent="0.25">
      <c r="A7666" t="str">
        <f t="shared" si="3128"/>
        <v>04-08-2020 12:34:18</v>
      </c>
      <c r="B7666" t="str">
        <f>"0000803240"</f>
        <v>0000803240</v>
      </c>
      <c r="C7666" t="str">
        <f t="shared" si="3129"/>
        <v>0000803152</v>
      </c>
      <c r="D7666" t="str">
        <f t="shared" si="3111"/>
        <v>73185</v>
      </c>
      <c r="E7666" t="str">
        <f t="shared" si="3112"/>
        <v>KFH-OPERATIONS DEPARTMENT</v>
      </c>
      <c r="F7666" t="str">
        <f t="shared" si="3113"/>
        <v>IBG</v>
      </c>
      <c r="G7666" t="str">
        <f t="shared" si="3124"/>
        <v>Refund COSHARE 10</v>
      </c>
      <c r="H7666" s="2">
        <v>193.1</v>
      </c>
      <c r="I7666" t="str">
        <f>"ANNBARASU AL MANIYAM"</f>
        <v>ANNBARASU AL MANIYAM</v>
      </c>
      <c r="J7666" t="str">
        <f t="shared" si="3125"/>
        <v>BANK SIMPANAN NASIONAL</v>
      </c>
      <c r="K7666" t="str">
        <f>"0810429000005268"</f>
        <v>0810429000005268</v>
      </c>
      <c r="L7666" t="str">
        <f t="shared" si="3126"/>
        <v>04-08-2020</v>
      </c>
      <c r="M7666" t="str">
        <f t="shared" si="3126"/>
        <v>04-08-2020</v>
      </c>
      <c r="N7666" t="str">
        <f t="shared" si="3114"/>
        <v>001105018356</v>
      </c>
      <c r="O7666" t="str">
        <f t="shared" si="3115"/>
        <v>MYR</v>
      </c>
      <c r="P7666" t="str">
        <f t="shared" si="3127"/>
        <v>NIL</v>
      </c>
      <c r="Q7666" t="str">
        <f t="shared" si="3127"/>
        <v>NIL</v>
      </c>
      <c r="R7666" t="str">
        <f t="shared" si="3130"/>
        <v>Accepted</v>
      </c>
      <c r="S7666" t="str">
        <f t="shared" si="3116"/>
        <v>Approved</v>
      </c>
      <c r="T7666" t="str">
        <f t="shared" si="3131"/>
        <v>10.20.8.188</v>
      </c>
      <c r="U7666" t="str">
        <f t="shared" si="3117"/>
        <v>AZRAD UMAR BIN SHAARI</v>
      </c>
      <c r="V7666" t="str">
        <f t="shared" si="3118"/>
        <v>FARHANA BINTI MUSTAPA</v>
      </c>
      <c r="W7666" t="str">
        <f t="shared" si="3119"/>
        <v>04-08-2020</v>
      </c>
      <c r="X7666" t="str">
        <f t="shared" si="3120"/>
        <v>RAZIMAH ANSAR AHMAD</v>
      </c>
      <c r="Y7666" t="str">
        <f t="shared" si="3121"/>
        <v>04-08-2020</v>
      </c>
      <c r="Z7666" t="str">
        <f>"COS10200804 1488"</f>
        <v>COS10200804 1488</v>
      </c>
    </row>
    <row r="7667" spans="1:26" x14ac:dyDescent="0.25">
      <c r="A7667" t="str">
        <f t="shared" si="3128"/>
        <v>04-08-2020 12:34:18</v>
      </c>
      <c r="B7667" t="str">
        <f>"0000803239"</f>
        <v>0000803239</v>
      </c>
      <c r="C7667" t="str">
        <f t="shared" si="3129"/>
        <v>0000803152</v>
      </c>
      <c r="D7667" t="str">
        <f t="shared" si="3111"/>
        <v>73185</v>
      </c>
      <c r="E7667" t="str">
        <f t="shared" si="3112"/>
        <v>KFH-OPERATIONS DEPARTMENT</v>
      </c>
      <c r="F7667" t="str">
        <f t="shared" si="3113"/>
        <v>IBG</v>
      </c>
      <c r="G7667" t="str">
        <f t="shared" si="3124"/>
        <v>Refund COSHARE 10</v>
      </c>
      <c r="H7667" s="2">
        <v>577</v>
      </c>
      <c r="I7667" t="str">
        <f>"ANITA BINTI SIBIN"</f>
        <v>ANITA BINTI SIBIN</v>
      </c>
      <c r="J7667" t="str">
        <f t="shared" si="3125"/>
        <v>BANK SIMPANAN NASIONAL</v>
      </c>
      <c r="K7667" t="str">
        <f>"1210129000231103"</f>
        <v>1210129000231103</v>
      </c>
      <c r="L7667" t="str">
        <f t="shared" ref="L7667:M7686" si="3132">"04-08-2020"</f>
        <v>04-08-2020</v>
      </c>
      <c r="M7667" t="str">
        <f t="shared" si="3132"/>
        <v>04-08-2020</v>
      </c>
      <c r="N7667" t="str">
        <f t="shared" si="3114"/>
        <v>001105018356</v>
      </c>
      <c r="O7667" t="str">
        <f t="shared" si="3115"/>
        <v>MYR</v>
      </c>
      <c r="P7667" t="str">
        <f t="shared" ref="P7667:Q7686" si="3133">"NIL"</f>
        <v>NIL</v>
      </c>
      <c r="Q7667" t="str">
        <f t="shared" si="3133"/>
        <v>NIL</v>
      </c>
      <c r="R7667" t="str">
        <f t="shared" si="3130"/>
        <v>Accepted</v>
      </c>
      <c r="S7667" t="str">
        <f t="shared" si="3116"/>
        <v>Approved</v>
      </c>
      <c r="T7667" t="str">
        <f t="shared" si="3131"/>
        <v>10.20.8.188</v>
      </c>
      <c r="U7667" t="str">
        <f t="shared" si="3117"/>
        <v>AZRAD UMAR BIN SHAARI</v>
      </c>
      <c r="V7667" t="str">
        <f t="shared" si="3118"/>
        <v>FARHANA BINTI MUSTAPA</v>
      </c>
      <c r="W7667" t="str">
        <f t="shared" si="3119"/>
        <v>04-08-2020</v>
      </c>
      <c r="X7667" t="str">
        <f t="shared" si="3120"/>
        <v>RAZIMAH ANSAR AHMAD</v>
      </c>
      <c r="Y7667" t="str">
        <f t="shared" si="3121"/>
        <v>04-08-2020</v>
      </c>
      <c r="Z7667" t="str">
        <f>"COS10200804 1487"</f>
        <v>COS10200804 1487</v>
      </c>
    </row>
    <row r="7668" spans="1:26" x14ac:dyDescent="0.25">
      <c r="A7668" t="str">
        <f t="shared" si="3128"/>
        <v>04-08-2020 12:34:18</v>
      </c>
      <c r="B7668" t="str">
        <f>"0000803238"</f>
        <v>0000803238</v>
      </c>
      <c r="C7668" t="str">
        <f t="shared" si="3129"/>
        <v>0000803152</v>
      </c>
      <c r="D7668" t="str">
        <f t="shared" si="3111"/>
        <v>73185</v>
      </c>
      <c r="E7668" t="str">
        <f t="shared" si="3112"/>
        <v>KFH-OPERATIONS DEPARTMENT</v>
      </c>
      <c r="F7668" t="str">
        <f t="shared" si="3113"/>
        <v>IBG</v>
      </c>
      <c r="G7668" t="str">
        <f t="shared" si="3124"/>
        <v>Refund COSHARE 10</v>
      </c>
      <c r="H7668" s="2">
        <v>1259.25</v>
      </c>
      <c r="I7668" t="str">
        <f>"ANDREW ANAK BUKONG"</f>
        <v>ANDREW ANAK BUKONG</v>
      </c>
      <c r="J7668" t="str">
        <f t="shared" si="3125"/>
        <v>BANK SIMPANAN NASIONAL</v>
      </c>
      <c r="K7668" t="str">
        <f>"1311529864392637"</f>
        <v>1311529864392637</v>
      </c>
      <c r="L7668" t="str">
        <f t="shared" si="3132"/>
        <v>04-08-2020</v>
      </c>
      <c r="M7668" t="str">
        <f t="shared" si="3132"/>
        <v>04-08-2020</v>
      </c>
      <c r="N7668" t="str">
        <f t="shared" si="3114"/>
        <v>001105018356</v>
      </c>
      <c r="O7668" t="str">
        <f t="shared" si="3115"/>
        <v>MYR</v>
      </c>
      <c r="P7668" t="str">
        <f t="shared" si="3133"/>
        <v>NIL</v>
      </c>
      <c r="Q7668" t="str">
        <f t="shared" si="3133"/>
        <v>NIL</v>
      </c>
      <c r="R7668" t="str">
        <f t="shared" si="3130"/>
        <v>Accepted</v>
      </c>
      <c r="S7668" t="str">
        <f t="shared" si="3116"/>
        <v>Approved</v>
      </c>
      <c r="T7668" t="str">
        <f t="shared" si="3131"/>
        <v>10.20.8.188</v>
      </c>
      <c r="U7668" t="str">
        <f t="shared" si="3117"/>
        <v>AZRAD UMAR BIN SHAARI</v>
      </c>
      <c r="V7668" t="str">
        <f t="shared" si="3118"/>
        <v>FARHANA BINTI MUSTAPA</v>
      </c>
      <c r="W7668" t="str">
        <f t="shared" si="3119"/>
        <v>04-08-2020</v>
      </c>
      <c r="X7668" t="str">
        <f t="shared" si="3120"/>
        <v>RAZIMAH ANSAR AHMAD</v>
      </c>
      <c r="Y7668" t="str">
        <f t="shared" si="3121"/>
        <v>04-08-2020</v>
      </c>
      <c r="Z7668" t="str">
        <f>"COS10200804 1486"</f>
        <v>COS10200804 1486</v>
      </c>
    </row>
    <row r="7669" spans="1:26" x14ac:dyDescent="0.25">
      <c r="A7669" t="str">
        <f t="shared" si="3128"/>
        <v>04-08-2020 12:34:18</v>
      </c>
      <c r="B7669" t="str">
        <f>"0000803237"</f>
        <v>0000803237</v>
      </c>
      <c r="C7669" t="str">
        <f t="shared" si="3129"/>
        <v>0000803152</v>
      </c>
      <c r="D7669" t="str">
        <f t="shared" si="3111"/>
        <v>73185</v>
      </c>
      <c r="E7669" t="str">
        <f t="shared" si="3112"/>
        <v>KFH-OPERATIONS DEPARTMENT</v>
      </c>
      <c r="F7669" t="str">
        <f t="shared" si="3113"/>
        <v>IBG</v>
      </c>
      <c r="G7669" t="str">
        <f t="shared" si="3124"/>
        <v>Refund COSHARE 10</v>
      </c>
      <c r="H7669" s="2">
        <v>126</v>
      </c>
      <c r="I7669" t="str">
        <f>"ANDIKA BIN MKOD ANUAR"</f>
        <v>ANDIKA BIN MKOD ANUAR</v>
      </c>
      <c r="J7669" t="str">
        <f t="shared" si="3125"/>
        <v>BANK SIMPANAN NASIONAL</v>
      </c>
      <c r="K7669" t="str">
        <f>"0410029000479136"</f>
        <v>0410029000479136</v>
      </c>
      <c r="L7669" t="str">
        <f t="shared" si="3132"/>
        <v>04-08-2020</v>
      </c>
      <c r="M7669" t="str">
        <f t="shared" si="3132"/>
        <v>04-08-2020</v>
      </c>
      <c r="N7669" t="str">
        <f t="shared" si="3114"/>
        <v>001105018356</v>
      </c>
      <c r="O7669" t="str">
        <f t="shared" si="3115"/>
        <v>MYR</v>
      </c>
      <c r="P7669" t="str">
        <f t="shared" si="3133"/>
        <v>NIL</v>
      </c>
      <c r="Q7669" t="str">
        <f t="shared" si="3133"/>
        <v>NIL</v>
      </c>
      <c r="R7669" t="str">
        <f t="shared" si="3130"/>
        <v>Accepted</v>
      </c>
      <c r="S7669" t="str">
        <f t="shared" si="3116"/>
        <v>Approved</v>
      </c>
      <c r="T7669" t="str">
        <f t="shared" si="3131"/>
        <v>10.20.8.188</v>
      </c>
      <c r="U7669" t="str">
        <f t="shared" si="3117"/>
        <v>AZRAD UMAR BIN SHAARI</v>
      </c>
      <c r="V7669" t="str">
        <f t="shared" si="3118"/>
        <v>FARHANA BINTI MUSTAPA</v>
      </c>
      <c r="W7669" t="str">
        <f t="shared" si="3119"/>
        <v>04-08-2020</v>
      </c>
      <c r="X7669" t="str">
        <f t="shared" si="3120"/>
        <v>RAZIMAH ANSAR AHMAD</v>
      </c>
      <c r="Y7669" t="str">
        <f t="shared" si="3121"/>
        <v>04-08-2020</v>
      </c>
      <c r="Z7669" t="str">
        <f>"COS10200804 1485"</f>
        <v>COS10200804 1485</v>
      </c>
    </row>
    <row r="7670" spans="1:26" x14ac:dyDescent="0.25">
      <c r="A7670" t="str">
        <f t="shared" si="3128"/>
        <v>04-08-2020 12:34:18</v>
      </c>
      <c r="B7670" t="str">
        <f>"0000803236"</f>
        <v>0000803236</v>
      </c>
      <c r="C7670" t="str">
        <f t="shared" si="3129"/>
        <v>0000803152</v>
      </c>
      <c r="D7670" t="str">
        <f t="shared" si="3111"/>
        <v>73185</v>
      </c>
      <c r="E7670" t="str">
        <f t="shared" si="3112"/>
        <v>KFH-OPERATIONS DEPARTMENT</v>
      </c>
      <c r="F7670" t="str">
        <f t="shared" si="3113"/>
        <v>IBG</v>
      </c>
      <c r="G7670" t="str">
        <f t="shared" si="3124"/>
        <v>Refund COSHARE 10</v>
      </c>
      <c r="H7670" s="2">
        <v>486.95</v>
      </c>
      <c r="I7670" t="str">
        <f>"AMRITA KAUR AP HARNEK SINGH"</f>
        <v>AMRITA KAUR AP HARNEK SINGH</v>
      </c>
      <c r="J7670" t="str">
        <f t="shared" si="3125"/>
        <v>BANK SIMPANAN NASIONAL</v>
      </c>
      <c r="K7670" t="str">
        <f>"0510029000084565"</f>
        <v>0510029000084565</v>
      </c>
      <c r="L7670" t="str">
        <f t="shared" si="3132"/>
        <v>04-08-2020</v>
      </c>
      <c r="M7670" t="str">
        <f t="shared" si="3132"/>
        <v>04-08-2020</v>
      </c>
      <c r="N7670" t="str">
        <f t="shared" si="3114"/>
        <v>001105018356</v>
      </c>
      <c r="O7670" t="str">
        <f t="shared" si="3115"/>
        <v>MYR</v>
      </c>
      <c r="P7670" t="str">
        <f t="shared" si="3133"/>
        <v>NIL</v>
      </c>
      <c r="Q7670" t="str">
        <f t="shared" si="3133"/>
        <v>NIL</v>
      </c>
      <c r="R7670" t="str">
        <f t="shared" si="3130"/>
        <v>Accepted</v>
      </c>
      <c r="S7670" t="str">
        <f t="shared" si="3116"/>
        <v>Approved</v>
      </c>
      <c r="T7670" t="str">
        <f t="shared" si="3131"/>
        <v>10.20.8.188</v>
      </c>
      <c r="U7670" t="str">
        <f t="shared" si="3117"/>
        <v>AZRAD UMAR BIN SHAARI</v>
      </c>
      <c r="V7670" t="str">
        <f t="shared" si="3118"/>
        <v>FARHANA BINTI MUSTAPA</v>
      </c>
      <c r="W7670" t="str">
        <f t="shared" si="3119"/>
        <v>04-08-2020</v>
      </c>
      <c r="X7670" t="str">
        <f t="shared" si="3120"/>
        <v>RAZIMAH ANSAR AHMAD</v>
      </c>
      <c r="Y7670" t="str">
        <f t="shared" si="3121"/>
        <v>04-08-2020</v>
      </c>
      <c r="Z7670" t="str">
        <f>"COS10200804 1484"</f>
        <v>COS10200804 1484</v>
      </c>
    </row>
    <row r="7671" spans="1:26" x14ac:dyDescent="0.25">
      <c r="A7671" t="str">
        <f t="shared" si="3128"/>
        <v>04-08-2020 12:34:18</v>
      </c>
      <c r="B7671" t="str">
        <f>"0000803235"</f>
        <v>0000803235</v>
      </c>
      <c r="C7671" t="str">
        <f t="shared" si="3129"/>
        <v>0000803152</v>
      </c>
      <c r="D7671" t="str">
        <f t="shared" si="3111"/>
        <v>73185</v>
      </c>
      <c r="E7671" t="str">
        <f t="shared" si="3112"/>
        <v>KFH-OPERATIONS DEPARTMENT</v>
      </c>
      <c r="F7671" t="str">
        <f t="shared" si="3113"/>
        <v>IBG</v>
      </c>
      <c r="G7671" t="str">
        <f t="shared" si="3124"/>
        <v>Refund COSHARE 10</v>
      </c>
      <c r="H7671" s="2">
        <v>285.45</v>
      </c>
      <c r="I7671" t="str">
        <f>"AMKA BIN LATIP"</f>
        <v>AMKA BIN LATIP</v>
      </c>
      <c r="J7671" t="str">
        <f t="shared" si="3125"/>
        <v>BANK SIMPANAN NASIONAL</v>
      </c>
      <c r="K7671" t="str">
        <f>"1310029811052354"</f>
        <v>1310029811052354</v>
      </c>
      <c r="L7671" t="str">
        <f t="shared" si="3132"/>
        <v>04-08-2020</v>
      </c>
      <c r="M7671" t="str">
        <f t="shared" si="3132"/>
        <v>04-08-2020</v>
      </c>
      <c r="N7671" t="str">
        <f t="shared" si="3114"/>
        <v>001105018356</v>
      </c>
      <c r="O7671" t="str">
        <f t="shared" si="3115"/>
        <v>MYR</v>
      </c>
      <c r="P7671" t="str">
        <f t="shared" si="3133"/>
        <v>NIL</v>
      </c>
      <c r="Q7671" t="str">
        <f t="shared" si="3133"/>
        <v>NIL</v>
      </c>
      <c r="R7671" t="str">
        <f t="shared" si="3130"/>
        <v>Accepted</v>
      </c>
      <c r="S7671" t="str">
        <f t="shared" si="3116"/>
        <v>Approved</v>
      </c>
      <c r="T7671" t="str">
        <f t="shared" si="3131"/>
        <v>10.20.8.188</v>
      </c>
      <c r="U7671" t="str">
        <f t="shared" si="3117"/>
        <v>AZRAD UMAR BIN SHAARI</v>
      </c>
      <c r="V7671" t="str">
        <f t="shared" si="3118"/>
        <v>FARHANA BINTI MUSTAPA</v>
      </c>
      <c r="W7671" t="str">
        <f t="shared" si="3119"/>
        <v>04-08-2020</v>
      </c>
      <c r="X7671" t="str">
        <f t="shared" si="3120"/>
        <v>RAZIMAH ANSAR AHMAD</v>
      </c>
      <c r="Y7671" t="str">
        <f t="shared" si="3121"/>
        <v>04-08-2020</v>
      </c>
      <c r="Z7671" t="str">
        <f>"COS10200804 1483"</f>
        <v>COS10200804 1483</v>
      </c>
    </row>
    <row r="7672" spans="1:26" x14ac:dyDescent="0.25">
      <c r="A7672" t="str">
        <f t="shared" si="3128"/>
        <v>04-08-2020 12:34:18</v>
      </c>
      <c r="B7672" t="str">
        <f>"0000803234"</f>
        <v>0000803234</v>
      </c>
      <c r="C7672" t="str">
        <f t="shared" si="3129"/>
        <v>0000803152</v>
      </c>
      <c r="D7672" t="str">
        <f t="shared" si="3111"/>
        <v>73185</v>
      </c>
      <c r="E7672" t="str">
        <f t="shared" si="3112"/>
        <v>KFH-OPERATIONS DEPARTMENT</v>
      </c>
      <c r="F7672" t="str">
        <f t="shared" si="3113"/>
        <v>IBG</v>
      </c>
      <c r="G7672" t="str">
        <f t="shared" si="3124"/>
        <v>Refund COSHARE 10</v>
      </c>
      <c r="H7672" s="2">
        <v>637.9</v>
      </c>
      <c r="I7672" t="str">
        <f>"AMIZI BINTI MINHOD  MINHAD"</f>
        <v>AMIZI BINTI MINHOD  MINHAD</v>
      </c>
      <c r="J7672" t="str">
        <f t="shared" si="3125"/>
        <v>BANK SIMPANAN NASIONAL</v>
      </c>
      <c r="K7672" t="str">
        <f>"0114729810528602"</f>
        <v>0114729810528602</v>
      </c>
      <c r="L7672" t="str">
        <f t="shared" si="3132"/>
        <v>04-08-2020</v>
      </c>
      <c r="M7672" t="str">
        <f t="shared" si="3132"/>
        <v>04-08-2020</v>
      </c>
      <c r="N7672" t="str">
        <f t="shared" si="3114"/>
        <v>001105018356</v>
      </c>
      <c r="O7672" t="str">
        <f t="shared" si="3115"/>
        <v>MYR</v>
      </c>
      <c r="P7672" t="str">
        <f t="shared" si="3133"/>
        <v>NIL</v>
      </c>
      <c r="Q7672" t="str">
        <f t="shared" si="3133"/>
        <v>NIL</v>
      </c>
      <c r="R7672" t="str">
        <f t="shared" si="3130"/>
        <v>Accepted</v>
      </c>
      <c r="S7672" t="str">
        <f t="shared" si="3116"/>
        <v>Approved</v>
      </c>
      <c r="T7672" t="str">
        <f t="shared" si="3131"/>
        <v>10.20.8.188</v>
      </c>
      <c r="U7672" t="str">
        <f t="shared" si="3117"/>
        <v>AZRAD UMAR BIN SHAARI</v>
      </c>
      <c r="V7672" t="str">
        <f t="shared" si="3118"/>
        <v>FARHANA BINTI MUSTAPA</v>
      </c>
      <c r="W7672" t="str">
        <f t="shared" si="3119"/>
        <v>04-08-2020</v>
      </c>
      <c r="X7672" t="str">
        <f t="shared" si="3120"/>
        <v>RAZIMAH ANSAR AHMAD</v>
      </c>
      <c r="Y7672" t="str">
        <f t="shared" si="3121"/>
        <v>04-08-2020</v>
      </c>
      <c r="Z7672" t="str">
        <f>"COS10200804 1482"</f>
        <v>COS10200804 1482</v>
      </c>
    </row>
    <row r="7673" spans="1:26" x14ac:dyDescent="0.25">
      <c r="A7673" t="str">
        <f t="shared" si="3128"/>
        <v>04-08-2020 12:34:18</v>
      </c>
      <c r="B7673" t="str">
        <f>"0000803233"</f>
        <v>0000803233</v>
      </c>
      <c r="C7673" t="str">
        <f t="shared" si="3129"/>
        <v>0000803152</v>
      </c>
      <c r="D7673" t="str">
        <f t="shared" si="3111"/>
        <v>73185</v>
      </c>
      <c r="E7673" t="str">
        <f t="shared" si="3112"/>
        <v>KFH-OPERATIONS DEPARTMENT</v>
      </c>
      <c r="F7673" t="str">
        <f t="shared" si="3113"/>
        <v>IBG</v>
      </c>
      <c r="G7673" t="str">
        <f t="shared" si="3124"/>
        <v>Refund COSHARE 10</v>
      </c>
      <c r="H7673" s="2">
        <v>571</v>
      </c>
      <c r="I7673" t="str">
        <f>"AMINAH BINTI RADIN"</f>
        <v>AMINAH BINTI RADIN</v>
      </c>
      <c r="J7673" t="str">
        <f t="shared" si="3125"/>
        <v>BANK SIMPANAN NASIONAL</v>
      </c>
      <c r="K7673" t="str">
        <f>"1310229000314376"</f>
        <v>1310229000314376</v>
      </c>
      <c r="L7673" t="str">
        <f t="shared" si="3132"/>
        <v>04-08-2020</v>
      </c>
      <c r="M7673" t="str">
        <f t="shared" si="3132"/>
        <v>04-08-2020</v>
      </c>
      <c r="N7673" t="str">
        <f t="shared" si="3114"/>
        <v>001105018356</v>
      </c>
      <c r="O7673" t="str">
        <f t="shared" si="3115"/>
        <v>MYR</v>
      </c>
      <c r="P7673" t="str">
        <f t="shared" si="3133"/>
        <v>NIL</v>
      </c>
      <c r="Q7673" t="str">
        <f t="shared" si="3133"/>
        <v>NIL</v>
      </c>
      <c r="R7673" t="str">
        <f t="shared" si="3130"/>
        <v>Accepted</v>
      </c>
      <c r="S7673" t="str">
        <f t="shared" si="3116"/>
        <v>Approved</v>
      </c>
      <c r="T7673" t="str">
        <f t="shared" si="3131"/>
        <v>10.20.8.188</v>
      </c>
      <c r="U7673" t="str">
        <f t="shared" si="3117"/>
        <v>AZRAD UMAR BIN SHAARI</v>
      </c>
      <c r="V7673" t="str">
        <f t="shared" si="3118"/>
        <v>FARHANA BINTI MUSTAPA</v>
      </c>
      <c r="W7673" t="str">
        <f t="shared" si="3119"/>
        <v>04-08-2020</v>
      </c>
      <c r="X7673" t="str">
        <f t="shared" si="3120"/>
        <v>RAZIMAH ANSAR AHMAD</v>
      </c>
      <c r="Y7673" t="str">
        <f t="shared" si="3121"/>
        <v>04-08-2020</v>
      </c>
      <c r="Z7673" t="str">
        <f>"COS10200804 1481"</f>
        <v>COS10200804 1481</v>
      </c>
    </row>
    <row r="7674" spans="1:26" x14ac:dyDescent="0.25">
      <c r="A7674" t="str">
        <f t="shared" si="3128"/>
        <v>04-08-2020 12:34:18</v>
      </c>
      <c r="B7674" t="str">
        <f>"0000803232"</f>
        <v>0000803232</v>
      </c>
      <c r="C7674" t="str">
        <f t="shared" si="3129"/>
        <v>0000803152</v>
      </c>
      <c r="D7674" t="str">
        <f t="shared" si="3111"/>
        <v>73185</v>
      </c>
      <c r="E7674" t="str">
        <f t="shared" si="3112"/>
        <v>KFH-OPERATIONS DEPARTMENT</v>
      </c>
      <c r="F7674" t="str">
        <f t="shared" si="3113"/>
        <v>IBG</v>
      </c>
      <c r="G7674" t="str">
        <f t="shared" si="3124"/>
        <v>Refund COSHARE 10</v>
      </c>
      <c r="H7674" s="2">
        <v>159.5</v>
      </c>
      <c r="I7674" t="str">
        <f>"AMERI BIN ABU NASIR"</f>
        <v>AMERI BIN ABU NASIR</v>
      </c>
      <c r="J7674" t="str">
        <f t="shared" si="3125"/>
        <v>BANK SIMPANAN NASIONAL</v>
      </c>
      <c r="K7674" t="str">
        <f>"0211141000010832"</f>
        <v>0211141000010832</v>
      </c>
      <c r="L7674" t="str">
        <f t="shared" si="3132"/>
        <v>04-08-2020</v>
      </c>
      <c r="M7674" t="str">
        <f t="shared" si="3132"/>
        <v>04-08-2020</v>
      </c>
      <c r="N7674" t="str">
        <f t="shared" si="3114"/>
        <v>001105018356</v>
      </c>
      <c r="O7674" t="str">
        <f t="shared" si="3115"/>
        <v>MYR</v>
      </c>
      <c r="P7674" t="str">
        <f t="shared" si="3133"/>
        <v>NIL</v>
      </c>
      <c r="Q7674" t="str">
        <f t="shared" si="3133"/>
        <v>NIL</v>
      </c>
      <c r="R7674" t="str">
        <f t="shared" si="3130"/>
        <v>Accepted</v>
      </c>
      <c r="S7674" t="str">
        <f t="shared" si="3116"/>
        <v>Approved</v>
      </c>
      <c r="T7674" t="str">
        <f t="shared" si="3131"/>
        <v>10.20.8.188</v>
      </c>
      <c r="U7674" t="str">
        <f t="shared" si="3117"/>
        <v>AZRAD UMAR BIN SHAARI</v>
      </c>
      <c r="V7674" t="str">
        <f t="shared" si="3118"/>
        <v>FARHANA BINTI MUSTAPA</v>
      </c>
      <c r="W7674" t="str">
        <f t="shared" si="3119"/>
        <v>04-08-2020</v>
      </c>
      <c r="X7674" t="str">
        <f t="shared" si="3120"/>
        <v>RAZIMAH ANSAR AHMAD</v>
      </c>
      <c r="Y7674" t="str">
        <f t="shared" si="3121"/>
        <v>04-08-2020</v>
      </c>
      <c r="Z7674" t="str">
        <f>"COS10200804 1480"</f>
        <v>COS10200804 1480</v>
      </c>
    </row>
    <row r="7675" spans="1:26" x14ac:dyDescent="0.25">
      <c r="A7675" t="str">
        <f t="shared" si="3128"/>
        <v>04-08-2020 12:34:18</v>
      </c>
      <c r="B7675" t="str">
        <f>"0000803231"</f>
        <v>0000803231</v>
      </c>
      <c r="C7675" t="str">
        <f t="shared" si="3129"/>
        <v>0000803152</v>
      </c>
      <c r="D7675" t="str">
        <f t="shared" si="3111"/>
        <v>73185</v>
      </c>
      <c r="E7675" t="str">
        <f t="shared" si="3112"/>
        <v>KFH-OPERATIONS DEPARTMENT</v>
      </c>
      <c r="F7675" t="str">
        <f t="shared" si="3113"/>
        <v>IBG</v>
      </c>
      <c r="G7675" t="str">
        <f t="shared" si="3124"/>
        <v>Refund COSHARE 10</v>
      </c>
      <c r="H7675" s="2">
        <v>84</v>
      </c>
      <c r="I7675" t="str">
        <f>"ALMEY NORAINAH BINTI JAFFERY"</f>
        <v>ALMEY NORAINAH BINTI JAFFERY</v>
      </c>
      <c r="J7675" t="str">
        <f t="shared" si="3125"/>
        <v>BANK SIMPANAN NASIONAL</v>
      </c>
      <c r="K7675" t="str">
        <f>"1299529000005473"</f>
        <v>1299529000005473</v>
      </c>
      <c r="L7675" t="str">
        <f t="shared" si="3132"/>
        <v>04-08-2020</v>
      </c>
      <c r="M7675" t="str">
        <f t="shared" si="3132"/>
        <v>04-08-2020</v>
      </c>
      <c r="N7675" t="str">
        <f t="shared" si="3114"/>
        <v>001105018356</v>
      </c>
      <c r="O7675" t="str">
        <f t="shared" si="3115"/>
        <v>MYR</v>
      </c>
      <c r="P7675" t="str">
        <f t="shared" si="3133"/>
        <v>NIL</v>
      </c>
      <c r="Q7675" t="str">
        <f t="shared" si="3133"/>
        <v>NIL</v>
      </c>
      <c r="R7675" t="str">
        <f t="shared" si="3130"/>
        <v>Accepted</v>
      </c>
      <c r="S7675" t="str">
        <f t="shared" si="3116"/>
        <v>Approved</v>
      </c>
      <c r="T7675" t="str">
        <f t="shared" si="3131"/>
        <v>10.20.8.188</v>
      </c>
      <c r="U7675" t="str">
        <f t="shared" si="3117"/>
        <v>AZRAD UMAR BIN SHAARI</v>
      </c>
      <c r="V7675" t="str">
        <f t="shared" si="3118"/>
        <v>FARHANA BINTI MUSTAPA</v>
      </c>
      <c r="W7675" t="str">
        <f t="shared" si="3119"/>
        <v>04-08-2020</v>
      </c>
      <c r="X7675" t="str">
        <f t="shared" si="3120"/>
        <v>RAZIMAH ANSAR AHMAD</v>
      </c>
      <c r="Y7675" t="str">
        <f t="shared" si="3121"/>
        <v>04-08-2020</v>
      </c>
      <c r="Z7675" t="str">
        <f>"COS10200804 1479"</f>
        <v>COS10200804 1479</v>
      </c>
    </row>
    <row r="7676" spans="1:26" x14ac:dyDescent="0.25">
      <c r="A7676" t="str">
        <f t="shared" si="3128"/>
        <v>04-08-2020 12:34:18</v>
      </c>
      <c r="B7676" t="str">
        <f>"0000803230"</f>
        <v>0000803230</v>
      </c>
      <c r="C7676" t="str">
        <f t="shared" si="3129"/>
        <v>0000803152</v>
      </c>
      <c r="D7676" t="str">
        <f t="shared" si="3111"/>
        <v>73185</v>
      </c>
      <c r="E7676" t="str">
        <f t="shared" si="3112"/>
        <v>KFH-OPERATIONS DEPARTMENT</v>
      </c>
      <c r="F7676" t="str">
        <f t="shared" si="3113"/>
        <v>IBG</v>
      </c>
      <c r="G7676" t="str">
        <f t="shared" si="3124"/>
        <v>Refund COSHARE 10</v>
      </c>
      <c r="H7676" s="2">
        <v>621.25</v>
      </c>
      <c r="I7676" t="str">
        <f>"ALICE BINTI GINSOS"</f>
        <v>ALICE BINTI GINSOS</v>
      </c>
      <c r="J7676" t="str">
        <f t="shared" si="3125"/>
        <v>BANK SIMPANAN NASIONAL</v>
      </c>
      <c r="K7676" t="str">
        <f>"1210229811707182"</f>
        <v>1210229811707182</v>
      </c>
      <c r="L7676" t="str">
        <f t="shared" si="3132"/>
        <v>04-08-2020</v>
      </c>
      <c r="M7676" t="str">
        <f t="shared" si="3132"/>
        <v>04-08-2020</v>
      </c>
      <c r="N7676" t="str">
        <f t="shared" si="3114"/>
        <v>001105018356</v>
      </c>
      <c r="O7676" t="str">
        <f t="shared" si="3115"/>
        <v>MYR</v>
      </c>
      <c r="P7676" t="str">
        <f t="shared" si="3133"/>
        <v>NIL</v>
      </c>
      <c r="Q7676" t="str">
        <f t="shared" si="3133"/>
        <v>NIL</v>
      </c>
      <c r="R7676" t="str">
        <f t="shared" si="3130"/>
        <v>Accepted</v>
      </c>
      <c r="S7676" t="str">
        <f t="shared" si="3116"/>
        <v>Approved</v>
      </c>
      <c r="T7676" t="str">
        <f t="shared" si="3131"/>
        <v>10.20.8.188</v>
      </c>
      <c r="U7676" t="str">
        <f t="shared" si="3117"/>
        <v>AZRAD UMAR BIN SHAARI</v>
      </c>
      <c r="V7676" t="str">
        <f t="shared" si="3118"/>
        <v>FARHANA BINTI MUSTAPA</v>
      </c>
      <c r="W7676" t="str">
        <f t="shared" si="3119"/>
        <v>04-08-2020</v>
      </c>
      <c r="X7676" t="str">
        <f t="shared" si="3120"/>
        <v>RAZIMAH ANSAR AHMAD</v>
      </c>
      <c r="Y7676" t="str">
        <f t="shared" si="3121"/>
        <v>04-08-2020</v>
      </c>
      <c r="Z7676" t="str">
        <f>"COS10200804 1478"</f>
        <v>COS10200804 1478</v>
      </c>
    </row>
    <row r="7677" spans="1:26" x14ac:dyDescent="0.25">
      <c r="A7677" t="str">
        <f t="shared" si="3128"/>
        <v>04-08-2020 12:34:18</v>
      </c>
      <c r="B7677" t="str">
        <f>"0000803229"</f>
        <v>0000803229</v>
      </c>
      <c r="C7677" t="str">
        <f t="shared" si="3129"/>
        <v>0000803152</v>
      </c>
      <c r="D7677" t="str">
        <f t="shared" si="3111"/>
        <v>73185</v>
      </c>
      <c r="E7677" t="str">
        <f t="shared" si="3112"/>
        <v>KFH-OPERATIONS DEPARTMENT</v>
      </c>
      <c r="F7677" t="str">
        <f t="shared" si="3113"/>
        <v>IBG</v>
      </c>
      <c r="G7677" t="str">
        <f t="shared" si="3124"/>
        <v>Refund COSHARE 10</v>
      </c>
      <c r="H7677" s="2">
        <v>209.9</v>
      </c>
      <c r="I7677" t="str">
        <f>"ALBERT BIN UNING"</f>
        <v>ALBERT BIN UNING</v>
      </c>
      <c r="J7677" t="str">
        <f t="shared" si="3125"/>
        <v>BANK SIMPANAN NASIONAL</v>
      </c>
      <c r="K7677" t="str">
        <f>"1210329816510153"</f>
        <v>1210329816510153</v>
      </c>
      <c r="L7677" t="str">
        <f t="shared" si="3132"/>
        <v>04-08-2020</v>
      </c>
      <c r="M7677" t="str">
        <f t="shared" si="3132"/>
        <v>04-08-2020</v>
      </c>
      <c r="N7677" t="str">
        <f t="shared" si="3114"/>
        <v>001105018356</v>
      </c>
      <c r="O7677" t="str">
        <f t="shared" si="3115"/>
        <v>MYR</v>
      </c>
      <c r="P7677" t="str">
        <f t="shared" si="3133"/>
        <v>NIL</v>
      </c>
      <c r="Q7677" t="str">
        <f t="shared" si="3133"/>
        <v>NIL</v>
      </c>
      <c r="R7677" t="str">
        <f t="shared" si="3130"/>
        <v>Accepted</v>
      </c>
      <c r="S7677" t="str">
        <f t="shared" si="3116"/>
        <v>Approved</v>
      </c>
      <c r="T7677" t="str">
        <f t="shared" si="3131"/>
        <v>10.20.8.188</v>
      </c>
      <c r="U7677" t="str">
        <f t="shared" si="3117"/>
        <v>AZRAD UMAR BIN SHAARI</v>
      </c>
      <c r="V7677" t="str">
        <f t="shared" si="3118"/>
        <v>FARHANA BINTI MUSTAPA</v>
      </c>
      <c r="W7677" t="str">
        <f t="shared" si="3119"/>
        <v>04-08-2020</v>
      </c>
      <c r="X7677" t="str">
        <f t="shared" si="3120"/>
        <v>RAZIMAH ANSAR AHMAD</v>
      </c>
      <c r="Y7677" t="str">
        <f t="shared" si="3121"/>
        <v>04-08-2020</v>
      </c>
      <c r="Z7677" t="str">
        <f>"COS10200804 1477"</f>
        <v>COS10200804 1477</v>
      </c>
    </row>
    <row r="7678" spans="1:26" x14ac:dyDescent="0.25">
      <c r="A7678" t="str">
        <f t="shared" si="3128"/>
        <v>04-08-2020 12:34:18</v>
      </c>
      <c r="B7678" t="str">
        <f>"0000803228"</f>
        <v>0000803228</v>
      </c>
      <c r="C7678" t="str">
        <f t="shared" si="3129"/>
        <v>0000803152</v>
      </c>
      <c r="D7678" t="str">
        <f t="shared" si="3111"/>
        <v>73185</v>
      </c>
      <c r="E7678" t="str">
        <f t="shared" si="3112"/>
        <v>KFH-OPERATIONS DEPARTMENT</v>
      </c>
      <c r="F7678" t="str">
        <f t="shared" si="3113"/>
        <v>IBG</v>
      </c>
      <c r="G7678" t="str">
        <f t="shared" si="3124"/>
        <v>Refund COSHARE 10</v>
      </c>
      <c r="H7678" s="2">
        <v>96</v>
      </c>
      <c r="I7678" t="str">
        <f>"AKHIR  ADHAR BIN KONTOT"</f>
        <v>AKHIR  ADHAR BIN KONTOT</v>
      </c>
      <c r="J7678" t="str">
        <f t="shared" si="3125"/>
        <v>BANK SIMPANAN NASIONAL</v>
      </c>
      <c r="K7678" t="str">
        <f>"1310129882293784"</f>
        <v>1310129882293784</v>
      </c>
      <c r="L7678" t="str">
        <f t="shared" si="3132"/>
        <v>04-08-2020</v>
      </c>
      <c r="M7678" t="str">
        <f t="shared" si="3132"/>
        <v>04-08-2020</v>
      </c>
      <c r="N7678" t="str">
        <f t="shared" si="3114"/>
        <v>001105018356</v>
      </c>
      <c r="O7678" t="str">
        <f t="shared" si="3115"/>
        <v>MYR</v>
      </c>
      <c r="P7678" t="str">
        <f t="shared" si="3133"/>
        <v>NIL</v>
      </c>
      <c r="Q7678" t="str">
        <f t="shared" si="3133"/>
        <v>NIL</v>
      </c>
      <c r="R7678" t="str">
        <f t="shared" si="3130"/>
        <v>Accepted</v>
      </c>
      <c r="S7678" t="str">
        <f t="shared" si="3116"/>
        <v>Approved</v>
      </c>
      <c r="T7678" t="str">
        <f t="shared" si="3131"/>
        <v>10.20.8.188</v>
      </c>
      <c r="U7678" t="str">
        <f t="shared" si="3117"/>
        <v>AZRAD UMAR BIN SHAARI</v>
      </c>
      <c r="V7678" t="str">
        <f t="shared" si="3118"/>
        <v>FARHANA BINTI MUSTAPA</v>
      </c>
      <c r="W7678" t="str">
        <f t="shared" si="3119"/>
        <v>04-08-2020</v>
      </c>
      <c r="X7678" t="str">
        <f t="shared" si="3120"/>
        <v>RAZIMAH ANSAR AHMAD</v>
      </c>
      <c r="Y7678" t="str">
        <f t="shared" si="3121"/>
        <v>04-08-2020</v>
      </c>
      <c r="Z7678" t="str">
        <f>"COS10200804 1476"</f>
        <v>COS10200804 1476</v>
      </c>
    </row>
    <row r="7679" spans="1:26" x14ac:dyDescent="0.25">
      <c r="A7679" t="str">
        <f t="shared" si="3128"/>
        <v>04-08-2020 12:34:18</v>
      </c>
      <c r="B7679" t="str">
        <f>"0000803227"</f>
        <v>0000803227</v>
      </c>
      <c r="C7679" t="str">
        <f t="shared" si="3129"/>
        <v>0000803152</v>
      </c>
      <c r="D7679" t="str">
        <f t="shared" si="3111"/>
        <v>73185</v>
      </c>
      <c r="E7679" t="str">
        <f t="shared" si="3112"/>
        <v>KFH-OPERATIONS DEPARTMENT</v>
      </c>
      <c r="F7679" t="str">
        <f t="shared" si="3113"/>
        <v>IBG</v>
      </c>
      <c r="G7679" t="str">
        <f t="shared" si="3124"/>
        <v>Refund COSHARE 10</v>
      </c>
      <c r="H7679" s="2">
        <v>260.25</v>
      </c>
      <c r="I7679" t="str">
        <f>"AK HASSANUDDIN BIN PG MINGGU"</f>
        <v>AK HASSANUDDIN BIN PG MINGGU</v>
      </c>
      <c r="J7679" t="str">
        <f t="shared" si="3125"/>
        <v>BANK SIMPANAN NASIONAL</v>
      </c>
      <c r="K7679" t="str">
        <f>"1210429000048711"</f>
        <v>1210429000048711</v>
      </c>
      <c r="L7679" t="str">
        <f t="shared" si="3132"/>
        <v>04-08-2020</v>
      </c>
      <c r="M7679" t="str">
        <f t="shared" si="3132"/>
        <v>04-08-2020</v>
      </c>
      <c r="N7679" t="str">
        <f t="shared" si="3114"/>
        <v>001105018356</v>
      </c>
      <c r="O7679" t="str">
        <f t="shared" si="3115"/>
        <v>MYR</v>
      </c>
      <c r="P7679" t="str">
        <f t="shared" si="3133"/>
        <v>NIL</v>
      </c>
      <c r="Q7679" t="str">
        <f t="shared" si="3133"/>
        <v>NIL</v>
      </c>
      <c r="R7679" t="str">
        <f t="shared" si="3130"/>
        <v>Accepted</v>
      </c>
      <c r="S7679" t="str">
        <f t="shared" si="3116"/>
        <v>Approved</v>
      </c>
      <c r="T7679" t="str">
        <f t="shared" si="3131"/>
        <v>10.20.8.188</v>
      </c>
      <c r="U7679" t="str">
        <f t="shared" si="3117"/>
        <v>AZRAD UMAR BIN SHAARI</v>
      </c>
      <c r="V7679" t="str">
        <f t="shared" si="3118"/>
        <v>FARHANA BINTI MUSTAPA</v>
      </c>
      <c r="W7679" t="str">
        <f t="shared" si="3119"/>
        <v>04-08-2020</v>
      </c>
      <c r="X7679" t="str">
        <f t="shared" si="3120"/>
        <v>RAZIMAH ANSAR AHMAD</v>
      </c>
      <c r="Y7679" t="str">
        <f t="shared" si="3121"/>
        <v>04-08-2020</v>
      </c>
      <c r="Z7679" t="str">
        <f>"COS10200804 1475"</f>
        <v>COS10200804 1475</v>
      </c>
    </row>
    <row r="7680" spans="1:26" x14ac:dyDescent="0.25">
      <c r="A7680" t="str">
        <f t="shared" si="3128"/>
        <v>04-08-2020 12:34:18</v>
      </c>
      <c r="B7680" t="str">
        <f>"0000803226"</f>
        <v>0000803226</v>
      </c>
      <c r="C7680" t="str">
        <f t="shared" si="3129"/>
        <v>0000803152</v>
      </c>
      <c r="D7680" t="str">
        <f t="shared" si="3111"/>
        <v>73185</v>
      </c>
      <c r="E7680" t="str">
        <f t="shared" si="3112"/>
        <v>KFH-OPERATIONS DEPARTMENT</v>
      </c>
      <c r="F7680" t="str">
        <f t="shared" si="3113"/>
        <v>IBG</v>
      </c>
      <c r="G7680" t="str">
        <f t="shared" si="3124"/>
        <v>Refund COSHARE 10</v>
      </c>
      <c r="H7680" s="2">
        <v>61</v>
      </c>
      <c r="I7680" t="str">
        <f>"AJIK BIN SIBIN"</f>
        <v>AJIK BIN SIBIN</v>
      </c>
      <c r="J7680" t="str">
        <f t="shared" si="3125"/>
        <v>BANK SIMPANAN NASIONAL</v>
      </c>
      <c r="K7680" t="str">
        <f>"1210029812834311"</f>
        <v>1210029812834311</v>
      </c>
      <c r="L7680" t="str">
        <f t="shared" si="3132"/>
        <v>04-08-2020</v>
      </c>
      <c r="M7680" t="str">
        <f t="shared" si="3132"/>
        <v>04-08-2020</v>
      </c>
      <c r="N7680" t="str">
        <f t="shared" si="3114"/>
        <v>001105018356</v>
      </c>
      <c r="O7680" t="str">
        <f t="shared" si="3115"/>
        <v>MYR</v>
      </c>
      <c r="P7680" t="str">
        <f t="shared" si="3133"/>
        <v>NIL</v>
      </c>
      <c r="Q7680" t="str">
        <f t="shared" si="3133"/>
        <v>NIL</v>
      </c>
      <c r="R7680" t="str">
        <f t="shared" si="3130"/>
        <v>Accepted</v>
      </c>
      <c r="S7680" t="str">
        <f t="shared" si="3116"/>
        <v>Approved</v>
      </c>
      <c r="T7680" t="str">
        <f t="shared" si="3131"/>
        <v>10.20.8.188</v>
      </c>
      <c r="U7680" t="str">
        <f t="shared" si="3117"/>
        <v>AZRAD UMAR BIN SHAARI</v>
      </c>
      <c r="V7680" t="str">
        <f t="shared" si="3118"/>
        <v>FARHANA BINTI MUSTAPA</v>
      </c>
      <c r="W7680" t="str">
        <f t="shared" si="3119"/>
        <v>04-08-2020</v>
      </c>
      <c r="X7680" t="str">
        <f t="shared" si="3120"/>
        <v>RAZIMAH ANSAR AHMAD</v>
      </c>
      <c r="Y7680" t="str">
        <f t="shared" si="3121"/>
        <v>04-08-2020</v>
      </c>
      <c r="Z7680" t="str">
        <f>"COS10200804 1474"</f>
        <v>COS10200804 1474</v>
      </c>
    </row>
    <row r="7681" spans="1:26" x14ac:dyDescent="0.25">
      <c r="A7681" t="str">
        <f t="shared" si="3128"/>
        <v>04-08-2020 12:34:18</v>
      </c>
      <c r="B7681" t="str">
        <f>"0000803225"</f>
        <v>0000803225</v>
      </c>
      <c r="C7681" t="str">
        <f t="shared" si="3129"/>
        <v>0000803152</v>
      </c>
      <c r="D7681" t="str">
        <f t="shared" si="3111"/>
        <v>73185</v>
      </c>
      <c r="E7681" t="str">
        <f t="shared" si="3112"/>
        <v>KFH-OPERATIONS DEPARTMENT</v>
      </c>
      <c r="F7681" t="str">
        <f t="shared" si="3113"/>
        <v>IBG</v>
      </c>
      <c r="G7681" t="str">
        <f t="shared" si="3124"/>
        <v>Refund COSHARE 10</v>
      </c>
      <c r="H7681" s="2">
        <v>349</v>
      </c>
      <c r="I7681" t="str">
        <f>"AINNUL FIKRI BIN IBRAHIM CHAI"</f>
        <v>AINNUL FIKRI BIN IBRAHIM CHAI</v>
      </c>
      <c r="J7681" t="str">
        <f t="shared" si="3125"/>
        <v>BANK SIMPANAN NASIONAL</v>
      </c>
      <c r="K7681" t="str">
        <f>"0822029837395667"</f>
        <v>0822029837395667</v>
      </c>
      <c r="L7681" t="str">
        <f t="shared" si="3132"/>
        <v>04-08-2020</v>
      </c>
      <c r="M7681" t="str">
        <f t="shared" si="3132"/>
        <v>04-08-2020</v>
      </c>
      <c r="N7681" t="str">
        <f t="shared" si="3114"/>
        <v>001105018356</v>
      </c>
      <c r="O7681" t="str">
        <f t="shared" si="3115"/>
        <v>MYR</v>
      </c>
      <c r="P7681" t="str">
        <f t="shared" si="3133"/>
        <v>NIL</v>
      </c>
      <c r="Q7681" t="str">
        <f t="shared" si="3133"/>
        <v>NIL</v>
      </c>
      <c r="R7681" t="str">
        <f t="shared" si="3130"/>
        <v>Accepted</v>
      </c>
      <c r="S7681" t="str">
        <f t="shared" si="3116"/>
        <v>Approved</v>
      </c>
      <c r="T7681" t="str">
        <f t="shared" si="3131"/>
        <v>10.20.8.188</v>
      </c>
      <c r="U7681" t="str">
        <f t="shared" si="3117"/>
        <v>AZRAD UMAR BIN SHAARI</v>
      </c>
      <c r="V7681" t="str">
        <f t="shared" si="3118"/>
        <v>FARHANA BINTI MUSTAPA</v>
      </c>
      <c r="W7681" t="str">
        <f t="shared" si="3119"/>
        <v>04-08-2020</v>
      </c>
      <c r="X7681" t="str">
        <f t="shared" si="3120"/>
        <v>RAZIMAH ANSAR AHMAD</v>
      </c>
      <c r="Y7681" t="str">
        <f t="shared" si="3121"/>
        <v>04-08-2020</v>
      </c>
      <c r="Z7681" t="str">
        <f>"COS10200804 1473"</f>
        <v>COS10200804 1473</v>
      </c>
    </row>
    <row r="7682" spans="1:26" x14ac:dyDescent="0.25">
      <c r="A7682" t="str">
        <f t="shared" ref="A7682:A7713" si="3134">"04-08-2020 12:34:18"</f>
        <v>04-08-2020 12:34:18</v>
      </c>
      <c r="B7682" t="str">
        <f>"0000803224"</f>
        <v>0000803224</v>
      </c>
      <c r="C7682" t="str">
        <f t="shared" ref="C7682:C7713" si="3135">"0000803152"</f>
        <v>0000803152</v>
      </c>
      <c r="D7682" t="str">
        <f t="shared" si="3111"/>
        <v>73185</v>
      </c>
      <c r="E7682" t="str">
        <f t="shared" si="3112"/>
        <v>KFH-OPERATIONS DEPARTMENT</v>
      </c>
      <c r="F7682" t="str">
        <f t="shared" si="3113"/>
        <v>IBG</v>
      </c>
      <c r="G7682" t="str">
        <f t="shared" si="3124"/>
        <v>Refund COSHARE 10</v>
      </c>
      <c r="H7682" s="2">
        <v>85.2</v>
      </c>
      <c r="I7682" t="str">
        <f>"AINI JOHAN BINTI BEDIAN"</f>
        <v>AINI JOHAN BINTI BEDIAN</v>
      </c>
      <c r="J7682" t="str">
        <f t="shared" si="3125"/>
        <v>BANK SIMPANAN NASIONAL</v>
      </c>
      <c r="K7682" t="str">
        <f>"1011829835733840"</f>
        <v>1011829835733840</v>
      </c>
      <c r="L7682" t="str">
        <f t="shared" si="3132"/>
        <v>04-08-2020</v>
      </c>
      <c r="M7682" t="str">
        <f t="shared" si="3132"/>
        <v>04-08-2020</v>
      </c>
      <c r="N7682" t="str">
        <f t="shared" si="3114"/>
        <v>001105018356</v>
      </c>
      <c r="O7682" t="str">
        <f t="shared" si="3115"/>
        <v>MYR</v>
      </c>
      <c r="P7682" t="str">
        <f t="shared" si="3133"/>
        <v>NIL</v>
      </c>
      <c r="Q7682" t="str">
        <f t="shared" si="3133"/>
        <v>NIL</v>
      </c>
      <c r="R7682" t="str">
        <f t="shared" si="3130"/>
        <v>Accepted</v>
      </c>
      <c r="S7682" t="str">
        <f t="shared" si="3116"/>
        <v>Approved</v>
      </c>
      <c r="T7682" t="str">
        <f t="shared" si="3131"/>
        <v>10.20.8.188</v>
      </c>
      <c r="U7682" t="str">
        <f t="shared" si="3117"/>
        <v>AZRAD UMAR BIN SHAARI</v>
      </c>
      <c r="V7682" t="str">
        <f t="shared" si="3118"/>
        <v>FARHANA BINTI MUSTAPA</v>
      </c>
      <c r="W7682" t="str">
        <f t="shared" si="3119"/>
        <v>04-08-2020</v>
      </c>
      <c r="X7682" t="str">
        <f t="shared" si="3120"/>
        <v>RAZIMAH ANSAR AHMAD</v>
      </c>
      <c r="Y7682" t="str">
        <f t="shared" si="3121"/>
        <v>04-08-2020</v>
      </c>
      <c r="Z7682" t="str">
        <f>"COS10200804 1472"</f>
        <v>COS10200804 1472</v>
      </c>
    </row>
    <row r="7683" spans="1:26" x14ac:dyDescent="0.25">
      <c r="A7683" t="str">
        <f t="shared" si="3134"/>
        <v>04-08-2020 12:34:18</v>
      </c>
      <c r="B7683" t="str">
        <f>"0000803223"</f>
        <v>0000803223</v>
      </c>
      <c r="C7683" t="str">
        <f t="shared" si="3135"/>
        <v>0000803152</v>
      </c>
      <c r="D7683" t="str">
        <f t="shared" si="3111"/>
        <v>73185</v>
      </c>
      <c r="E7683" t="str">
        <f t="shared" si="3112"/>
        <v>KFH-OPERATIONS DEPARTMENT</v>
      </c>
      <c r="F7683" t="str">
        <f t="shared" si="3113"/>
        <v>IBG</v>
      </c>
      <c r="G7683" t="str">
        <f t="shared" si="3124"/>
        <v>Refund COSHARE 10</v>
      </c>
      <c r="H7683" s="2">
        <v>293.85000000000002</v>
      </c>
      <c r="I7683" t="str">
        <f>"AILISY BINTI YUSOFF"</f>
        <v>AILISY BINTI YUSOFF</v>
      </c>
      <c r="J7683" t="str">
        <f t="shared" si="3125"/>
        <v>BANK SIMPANAN NASIONAL</v>
      </c>
      <c r="K7683" t="str">
        <f>"0311829826464134"</f>
        <v>0311829826464134</v>
      </c>
      <c r="L7683" t="str">
        <f t="shared" si="3132"/>
        <v>04-08-2020</v>
      </c>
      <c r="M7683" t="str">
        <f t="shared" si="3132"/>
        <v>04-08-2020</v>
      </c>
      <c r="N7683" t="str">
        <f t="shared" si="3114"/>
        <v>001105018356</v>
      </c>
      <c r="O7683" t="str">
        <f t="shared" si="3115"/>
        <v>MYR</v>
      </c>
      <c r="P7683" t="str">
        <f t="shared" si="3133"/>
        <v>NIL</v>
      </c>
      <c r="Q7683" t="str">
        <f t="shared" si="3133"/>
        <v>NIL</v>
      </c>
      <c r="R7683" t="str">
        <f t="shared" si="3130"/>
        <v>Accepted</v>
      </c>
      <c r="S7683" t="str">
        <f t="shared" si="3116"/>
        <v>Approved</v>
      </c>
      <c r="T7683" t="str">
        <f t="shared" si="3131"/>
        <v>10.20.8.188</v>
      </c>
      <c r="U7683" t="str">
        <f t="shared" si="3117"/>
        <v>AZRAD UMAR BIN SHAARI</v>
      </c>
      <c r="V7683" t="str">
        <f t="shared" si="3118"/>
        <v>FARHANA BINTI MUSTAPA</v>
      </c>
      <c r="W7683" t="str">
        <f t="shared" si="3119"/>
        <v>04-08-2020</v>
      </c>
      <c r="X7683" t="str">
        <f t="shared" si="3120"/>
        <v>RAZIMAH ANSAR AHMAD</v>
      </c>
      <c r="Y7683" t="str">
        <f t="shared" si="3121"/>
        <v>04-08-2020</v>
      </c>
      <c r="Z7683" t="str">
        <f>"COS10200804 1471"</f>
        <v>COS10200804 1471</v>
      </c>
    </row>
    <row r="7684" spans="1:26" x14ac:dyDescent="0.25">
      <c r="A7684" t="str">
        <f t="shared" si="3134"/>
        <v>04-08-2020 12:34:18</v>
      </c>
      <c r="B7684" t="str">
        <f>"0000803222"</f>
        <v>0000803222</v>
      </c>
      <c r="C7684" t="str">
        <f t="shared" si="3135"/>
        <v>0000803152</v>
      </c>
      <c r="D7684" t="str">
        <f t="shared" si="3111"/>
        <v>73185</v>
      </c>
      <c r="E7684" t="str">
        <f t="shared" si="3112"/>
        <v>KFH-OPERATIONS DEPARTMENT</v>
      </c>
      <c r="F7684" t="str">
        <f t="shared" si="3113"/>
        <v>IBG</v>
      </c>
      <c r="G7684" t="str">
        <f t="shared" si="3124"/>
        <v>Refund COSHARE 10</v>
      </c>
      <c r="H7684" s="2">
        <v>839.5</v>
      </c>
      <c r="I7684" t="str">
        <f>"AIFAA SHAHIRA BINTI ABDULLAH"</f>
        <v>AIFAA SHAHIRA BINTI ABDULLAH</v>
      </c>
      <c r="J7684" t="str">
        <f t="shared" si="3125"/>
        <v>BANK SIMPANAN NASIONAL</v>
      </c>
      <c r="K7684" t="str">
        <f>"1110029000252059"</f>
        <v>1110029000252059</v>
      </c>
      <c r="L7684" t="str">
        <f t="shared" si="3132"/>
        <v>04-08-2020</v>
      </c>
      <c r="M7684" t="str">
        <f t="shared" si="3132"/>
        <v>04-08-2020</v>
      </c>
      <c r="N7684" t="str">
        <f t="shared" si="3114"/>
        <v>001105018356</v>
      </c>
      <c r="O7684" t="str">
        <f t="shared" si="3115"/>
        <v>MYR</v>
      </c>
      <c r="P7684" t="str">
        <f t="shared" si="3133"/>
        <v>NIL</v>
      </c>
      <c r="Q7684" t="str">
        <f t="shared" si="3133"/>
        <v>NIL</v>
      </c>
      <c r="R7684" t="str">
        <f t="shared" si="3130"/>
        <v>Accepted</v>
      </c>
      <c r="S7684" t="str">
        <f t="shared" si="3116"/>
        <v>Approved</v>
      </c>
      <c r="T7684" t="str">
        <f t="shared" si="3131"/>
        <v>10.20.8.188</v>
      </c>
      <c r="U7684" t="str">
        <f t="shared" si="3117"/>
        <v>AZRAD UMAR BIN SHAARI</v>
      </c>
      <c r="V7684" t="str">
        <f t="shared" si="3118"/>
        <v>FARHANA BINTI MUSTAPA</v>
      </c>
      <c r="W7684" t="str">
        <f t="shared" si="3119"/>
        <v>04-08-2020</v>
      </c>
      <c r="X7684" t="str">
        <f t="shared" si="3120"/>
        <v>RAZIMAH ANSAR AHMAD</v>
      </c>
      <c r="Y7684" t="str">
        <f t="shared" si="3121"/>
        <v>04-08-2020</v>
      </c>
      <c r="Z7684" t="str">
        <f>"COS10200804 1470"</f>
        <v>COS10200804 1470</v>
      </c>
    </row>
    <row r="7685" spans="1:26" x14ac:dyDescent="0.25">
      <c r="A7685" t="str">
        <f t="shared" si="3134"/>
        <v>04-08-2020 12:34:18</v>
      </c>
      <c r="B7685" t="str">
        <f>"0000803221"</f>
        <v>0000803221</v>
      </c>
      <c r="C7685" t="str">
        <f t="shared" si="3135"/>
        <v>0000803152</v>
      </c>
      <c r="D7685" t="str">
        <f t="shared" si="3111"/>
        <v>73185</v>
      </c>
      <c r="E7685" t="str">
        <f t="shared" si="3112"/>
        <v>KFH-OPERATIONS DEPARTMENT</v>
      </c>
      <c r="F7685" t="str">
        <f t="shared" si="3113"/>
        <v>IBG</v>
      </c>
      <c r="G7685" t="str">
        <f t="shared" si="3124"/>
        <v>Refund COSHARE 10</v>
      </c>
      <c r="H7685" s="2">
        <v>193.1</v>
      </c>
      <c r="I7685" t="str">
        <f>"AHMADKHAIRI BIN ABDUL RAOH"</f>
        <v>AHMADKHAIRI BIN ABDUL RAOH</v>
      </c>
      <c r="J7685" t="str">
        <f t="shared" si="3125"/>
        <v>BANK SIMPANAN NASIONAL</v>
      </c>
      <c r="K7685" t="str">
        <f>"0510429863455656"</f>
        <v>0510429863455656</v>
      </c>
      <c r="L7685" t="str">
        <f t="shared" si="3132"/>
        <v>04-08-2020</v>
      </c>
      <c r="M7685" t="str">
        <f t="shared" si="3132"/>
        <v>04-08-2020</v>
      </c>
      <c r="N7685" t="str">
        <f t="shared" si="3114"/>
        <v>001105018356</v>
      </c>
      <c r="O7685" t="str">
        <f t="shared" si="3115"/>
        <v>MYR</v>
      </c>
      <c r="P7685" t="str">
        <f t="shared" si="3133"/>
        <v>NIL</v>
      </c>
      <c r="Q7685" t="str">
        <f t="shared" si="3133"/>
        <v>NIL</v>
      </c>
      <c r="R7685" t="str">
        <f t="shared" si="3130"/>
        <v>Accepted</v>
      </c>
      <c r="S7685" t="str">
        <f t="shared" si="3116"/>
        <v>Approved</v>
      </c>
      <c r="T7685" t="str">
        <f t="shared" si="3131"/>
        <v>10.20.8.188</v>
      </c>
      <c r="U7685" t="str">
        <f t="shared" si="3117"/>
        <v>AZRAD UMAR BIN SHAARI</v>
      </c>
      <c r="V7685" t="str">
        <f t="shared" si="3118"/>
        <v>FARHANA BINTI MUSTAPA</v>
      </c>
      <c r="W7685" t="str">
        <f t="shared" si="3119"/>
        <v>04-08-2020</v>
      </c>
      <c r="X7685" t="str">
        <f t="shared" si="3120"/>
        <v>RAZIMAH ANSAR AHMAD</v>
      </c>
      <c r="Y7685" t="str">
        <f t="shared" si="3121"/>
        <v>04-08-2020</v>
      </c>
      <c r="Z7685" t="str">
        <f>"COS10200804 1469"</f>
        <v>COS10200804 1469</v>
      </c>
    </row>
    <row r="7686" spans="1:26" x14ac:dyDescent="0.25">
      <c r="A7686" t="str">
        <f t="shared" si="3134"/>
        <v>04-08-2020 12:34:18</v>
      </c>
      <c r="B7686" t="str">
        <f>"0000803220"</f>
        <v>0000803220</v>
      </c>
      <c r="C7686" t="str">
        <f t="shared" si="3135"/>
        <v>0000803152</v>
      </c>
      <c r="D7686" t="str">
        <f t="shared" si="3111"/>
        <v>73185</v>
      </c>
      <c r="E7686" t="str">
        <f t="shared" si="3112"/>
        <v>KFH-OPERATIONS DEPARTMENT</v>
      </c>
      <c r="F7686" t="str">
        <f t="shared" si="3113"/>
        <v>IBG</v>
      </c>
      <c r="G7686" t="str">
        <f t="shared" si="3124"/>
        <v>Refund COSHARE 10</v>
      </c>
      <c r="H7686" s="2">
        <v>167.9</v>
      </c>
      <c r="I7686" t="str">
        <f>"AHMAD ZABIDI BIN ZAINAL ABIDIN"</f>
        <v>AHMAD ZABIDI BIN ZAINAL ABIDIN</v>
      </c>
      <c r="J7686" t="str">
        <f t="shared" si="3125"/>
        <v>BANK SIMPANAN NASIONAL</v>
      </c>
      <c r="K7686" t="str">
        <f>"1012641000020991"</f>
        <v>1012641000020991</v>
      </c>
      <c r="L7686" t="str">
        <f t="shared" si="3132"/>
        <v>04-08-2020</v>
      </c>
      <c r="M7686" t="str">
        <f t="shared" si="3132"/>
        <v>04-08-2020</v>
      </c>
      <c r="N7686" t="str">
        <f t="shared" si="3114"/>
        <v>001105018356</v>
      </c>
      <c r="O7686" t="str">
        <f t="shared" si="3115"/>
        <v>MYR</v>
      </c>
      <c r="P7686" t="str">
        <f t="shared" si="3133"/>
        <v>NIL</v>
      </c>
      <c r="Q7686" t="str">
        <f t="shared" si="3133"/>
        <v>NIL</v>
      </c>
      <c r="R7686" t="str">
        <f t="shared" si="3130"/>
        <v>Accepted</v>
      </c>
      <c r="S7686" t="str">
        <f t="shared" si="3116"/>
        <v>Approved</v>
      </c>
      <c r="T7686" t="str">
        <f t="shared" si="3131"/>
        <v>10.20.8.188</v>
      </c>
      <c r="U7686" t="str">
        <f t="shared" si="3117"/>
        <v>AZRAD UMAR BIN SHAARI</v>
      </c>
      <c r="V7686" t="str">
        <f t="shared" si="3118"/>
        <v>FARHANA BINTI MUSTAPA</v>
      </c>
      <c r="W7686" t="str">
        <f t="shared" si="3119"/>
        <v>04-08-2020</v>
      </c>
      <c r="X7686" t="str">
        <f t="shared" si="3120"/>
        <v>RAZIMAH ANSAR AHMAD</v>
      </c>
      <c r="Y7686" t="str">
        <f t="shared" si="3121"/>
        <v>04-08-2020</v>
      </c>
      <c r="Z7686" t="str">
        <f>"COS10200804 1468"</f>
        <v>COS10200804 1468</v>
      </c>
    </row>
    <row r="7687" spans="1:26" x14ac:dyDescent="0.25">
      <c r="A7687" t="str">
        <f t="shared" si="3134"/>
        <v>04-08-2020 12:34:18</v>
      </c>
      <c r="B7687" t="str">
        <f>"0000803219"</f>
        <v>0000803219</v>
      </c>
      <c r="C7687" t="str">
        <f t="shared" si="3135"/>
        <v>0000803152</v>
      </c>
      <c r="D7687" t="str">
        <f t="shared" ref="D7687:D7750" si="3136">"73185"</f>
        <v>73185</v>
      </c>
      <c r="E7687" t="str">
        <f t="shared" ref="E7687:E7750" si="3137">"KFH-OPERATIONS DEPARTMENT"</f>
        <v>KFH-OPERATIONS DEPARTMENT</v>
      </c>
      <c r="F7687" t="str">
        <f t="shared" ref="F7687:F7750" si="3138">"IBG"</f>
        <v>IBG</v>
      </c>
      <c r="G7687" t="str">
        <f t="shared" si="3124"/>
        <v>Refund COSHARE 10</v>
      </c>
      <c r="H7687" s="2">
        <v>277.05</v>
      </c>
      <c r="I7687" t="str">
        <f>"AHMAD TARMIZEE BIN MOHD ARIFFIN"</f>
        <v>AHMAD TARMIZEE BIN MOHD ARIFFIN</v>
      </c>
      <c r="J7687" t="str">
        <f t="shared" si="3125"/>
        <v>BANK SIMPANAN NASIONAL</v>
      </c>
      <c r="K7687" t="str">
        <f>"0210029814663515"</f>
        <v>0210029814663515</v>
      </c>
      <c r="L7687" t="str">
        <f t="shared" ref="L7687:M7706" si="3139">"04-08-2020"</f>
        <v>04-08-2020</v>
      </c>
      <c r="M7687" t="str">
        <f t="shared" si="3139"/>
        <v>04-08-2020</v>
      </c>
      <c r="N7687" t="str">
        <f t="shared" ref="N7687:N7750" si="3140">"001105018356"</f>
        <v>001105018356</v>
      </c>
      <c r="O7687" t="str">
        <f t="shared" ref="O7687:O7750" si="3141">"MYR"</f>
        <v>MYR</v>
      </c>
      <c r="P7687" t="str">
        <f t="shared" ref="P7687:Q7706" si="3142">"NIL"</f>
        <v>NIL</v>
      </c>
      <c r="Q7687" t="str">
        <f t="shared" si="3142"/>
        <v>NIL</v>
      </c>
      <c r="R7687" t="str">
        <f t="shared" si="3130"/>
        <v>Accepted</v>
      </c>
      <c r="S7687" t="str">
        <f t="shared" ref="S7687:S7750" si="3143">"Approved"</f>
        <v>Approved</v>
      </c>
      <c r="T7687" t="str">
        <f t="shared" si="3131"/>
        <v>10.20.8.188</v>
      </c>
      <c r="U7687" t="str">
        <f t="shared" ref="U7687:U7750" si="3144">"AZRAD UMAR BIN SHAARI"</f>
        <v>AZRAD UMAR BIN SHAARI</v>
      </c>
      <c r="V7687" t="str">
        <f t="shared" ref="V7687:V7750" si="3145">"FARHANA BINTI MUSTAPA"</f>
        <v>FARHANA BINTI MUSTAPA</v>
      </c>
      <c r="W7687" t="str">
        <f t="shared" ref="W7687:W7750" si="3146">"04-08-2020"</f>
        <v>04-08-2020</v>
      </c>
      <c r="X7687" t="str">
        <f t="shared" ref="X7687:X7750" si="3147">"RAZIMAH ANSAR AHMAD"</f>
        <v>RAZIMAH ANSAR AHMAD</v>
      </c>
      <c r="Y7687" t="str">
        <f t="shared" ref="Y7687:Y7750" si="3148">"04-08-2020"</f>
        <v>04-08-2020</v>
      </c>
      <c r="Z7687" t="str">
        <f>"COS10200804 1467"</f>
        <v>COS10200804 1467</v>
      </c>
    </row>
    <row r="7688" spans="1:26" x14ac:dyDescent="0.25">
      <c r="A7688" t="str">
        <f t="shared" si="3134"/>
        <v>04-08-2020 12:34:18</v>
      </c>
      <c r="B7688" t="str">
        <f>"0000803218"</f>
        <v>0000803218</v>
      </c>
      <c r="C7688" t="str">
        <f t="shared" si="3135"/>
        <v>0000803152</v>
      </c>
      <c r="D7688" t="str">
        <f t="shared" si="3136"/>
        <v>73185</v>
      </c>
      <c r="E7688" t="str">
        <f t="shared" si="3137"/>
        <v>KFH-OPERATIONS DEPARTMENT</v>
      </c>
      <c r="F7688" t="str">
        <f t="shared" si="3138"/>
        <v>IBG</v>
      </c>
      <c r="G7688" t="str">
        <f t="shared" si="3124"/>
        <v>Refund COSHARE 10</v>
      </c>
      <c r="H7688" s="2">
        <v>1465.4</v>
      </c>
      <c r="I7688" t="str">
        <f>"AHMAD SOUFI LIM BIN ABDULLAH"</f>
        <v>AHMAD SOUFI LIM BIN ABDULLAH</v>
      </c>
      <c r="J7688" t="str">
        <f t="shared" si="3125"/>
        <v>BANK SIMPANAN NASIONAL</v>
      </c>
      <c r="K7688" t="str">
        <f>"1010041000068509"</f>
        <v>1010041000068509</v>
      </c>
      <c r="L7688" t="str">
        <f t="shared" si="3139"/>
        <v>04-08-2020</v>
      </c>
      <c r="M7688" t="str">
        <f t="shared" si="3139"/>
        <v>04-08-2020</v>
      </c>
      <c r="N7688" t="str">
        <f t="shared" si="3140"/>
        <v>001105018356</v>
      </c>
      <c r="O7688" t="str">
        <f t="shared" si="3141"/>
        <v>MYR</v>
      </c>
      <c r="P7688" t="str">
        <f t="shared" si="3142"/>
        <v>NIL</v>
      </c>
      <c r="Q7688" t="str">
        <f t="shared" si="3142"/>
        <v>NIL</v>
      </c>
      <c r="R7688" t="str">
        <f t="shared" si="3130"/>
        <v>Accepted</v>
      </c>
      <c r="S7688" t="str">
        <f t="shared" si="3143"/>
        <v>Approved</v>
      </c>
      <c r="T7688" t="str">
        <f t="shared" si="3131"/>
        <v>10.20.8.188</v>
      </c>
      <c r="U7688" t="str">
        <f t="shared" si="3144"/>
        <v>AZRAD UMAR BIN SHAARI</v>
      </c>
      <c r="V7688" t="str">
        <f t="shared" si="3145"/>
        <v>FARHANA BINTI MUSTAPA</v>
      </c>
      <c r="W7688" t="str">
        <f t="shared" si="3146"/>
        <v>04-08-2020</v>
      </c>
      <c r="X7688" t="str">
        <f t="shared" si="3147"/>
        <v>RAZIMAH ANSAR AHMAD</v>
      </c>
      <c r="Y7688" t="str">
        <f t="shared" si="3148"/>
        <v>04-08-2020</v>
      </c>
      <c r="Z7688" t="str">
        <f>"COS10200804 1466"</f>
        <v>COS10200804 1466</v>
      </c>
    </row>
    <row r="7689" spans="1:26" x14ac:dyDescent="0.25">
      <c r="A7689" t="str">
        <f t="shared" si="3134"/>
        <v>04-08-2020 12:34:18</v>
      </c>
      <c r="B7689" t="str">
        <f>"0000803217"</f>
        <v>0000803217</v>
      </c>
      <c r="C7689" t="str">
        <f t="shared" si="3135"/>
        <v>0000803152</v>
      </c>
      <c r="D7689" t="str">
        <f t="shared" si="3136"/>
        <v>73185</v>
      </c>
      <c r="E7689" t="str">
        <f t="shared" si="3137"/>
        <v>KFH-OPERATIONS DEPARTMENT</v>
      </c>
      <c r="F7689" t="str">
        <f t="shared" si="3138"/>
        <v>IBG</v>
      </c>
      <c r="G7689" t="str">
        <f t="shared" si="3124"/>
        <v>Refund COSHARE 10</v>
      </c>
      <c r="H7689" s="2">
        <v>92.35</v>
      </c>
      <c r="I7689" t="str">
        <f>"AHMAD NORIKRAM  BIN AHMAD TERMIZI"</f>
        <v>AHMAD NORIKRAM  BIN AHMAD TERMIZI</v>
      </c>
      <c r="J7689" t="str">
        <f t="shared" si="3125"/>
        <v>BANK SIMPANAN NASIONAL</v>
      </c>
      <c r="K7689" t="str">
        <f>"0823441000011364"</f>
        <v>0823441000011364</v>
      </c>
      <c r="L7689" t="str">
        <f t="shared" si="3139"/>
        <v>04-08-2020</v>
      </c>
      <c r="M7689" t="str">
        <f t="shared" si="3139"/>
        <v>04-08-2020</v>
      </c>
      <c r="N7689" t="str">
        <f t="shared" si="3140"/>
        <v>001105018356</v>
      </c>
      <c r="O7689" t="str">
        <f t="shared" si="3141"/>
        <v>MYR</v>
      </c>
      <c r="P7689" t="str">
        <f t="shared" si="3142"/>
        <v>NIL</v>
      </c>
      <c r="Q7689" t="str">
        <f t="shared" si="3142"/>
        <v>NIL</v>
      </c>
      <c r="R7689" t="str">
        <f t="shared" si="3130"/>
        <v>Accepted</v>
      </c>
      <c r="S7689" t="str">
        <f t="shared" si="3143"/>
        <v>Approved</v>
      </c>
      <c r="T7689" t="str">
        <f t="shared" si="3131"/>
        <v>10.20.8.188</v>
      </c>
      <c r="U7689" t="str">
        <f t="shared" si="3144"/>
        <v>AZRAD UMAR BIN SHAARI</v>
      </c>
      <c r="V7689" t="str">
        <f t="shared" si="3145"/>
        <v>FARHANA BINTI MUSTAPA</v>
      </c>
      <c r="W7689" t="str">
        <f t="shared" si="3146"/>
        <v>04-08-2020</v>
      </c>
      <c r="X7689" t="str">
        <f t="shared" si="3147"/>
        <v>RAZIMAH ANSAR AHMAD</v>
      </c>
      <c r="Y7689" t="str">
        <f t="shared" si="3148"/>
        <v>04-08-2020</v>
      </c>
      <c r="Z7689" t="str">
        <f>"COS10200804 1465"</f>
        <v>COS10200804 1465</v>
      </c>
    </row>
    <row r="7690" spans="1:26" x14ac:dyDescent="0.25">
      <c r="A7690" t="str">
        <f t="shared" si="3134"/>
        <v>04-08-2020 12:34:18</v>
      </c>
      <c r="B7690" t="str">
        <f>"0000803216"</f>
        <v>0000803216</v>
      </c>
      <c r="C7690" t="str">
        <f t="shared" si="3135"/>
        <v>0000803152</v>
      </c>
      <c r="D7690" t="str">
        <f t="shared" si="3136"/>
        <v>73185</v>
      </c>
      <c r="E7690" t="str">
        <f t="shared" si="3137"/>
        <v>KFH-OPERATIONS DEPARTMENT</v>
      </c>
      <c r="F7690" t="str">
        <f t="shared" si="3138"/>
        <v>IBG</v>
      </c>
      <c r="G7690" t="str">
        <f t="shared" si="3124"/>
        <v>Refund COSHARE 10</v>
      </c>
      <c r="H7690" s="2">
        <v>494</v>
      </c>
      <c r="I7690" t="str">
        <f>"AHMAD MAZRAN BIN SHAKAM"</f>
        <v>AHMAD MAZRAN BIN SHAKAM</v>
      </c>
      <c r="J7690" t="str">
        <f t="shared" si="3125"/>
        <v>BANK SIMPANAN NASIONAL</v>
      </c>
      <c r="K7690" t="str">
        <f>"1311429000007173"</f>
        <v>1311429000007173</v>
      </c>
      <c r="L7690" t="str">
        <f t="shared" si="3139"/>
        <v>04-08-2020</v>
      </c>
      <c r="M7690" t="str">
        <f t="shared" si="3139"/>
        <v>04-08-2020</v>
      </c>
      <c r="N7690" t="str">
        <f t="shared" si="3140"/>
        <v>001105018356</v>
      </c>
      <c r="O7690" t="str">
        <f t="shared" si="3141"/>
        <v>MYR</v>
      </c>
      <c r="P7690" t="str">
        <f t="shared" si="3142"/>
        <v>NIL</v>
      </c>
      <c r="Q7690" t="str">
        <f t="shared" si="3142"/>
        <v>NIL</v>
      </c>
      <c r="R7690" t="str">
        <f t="shared" si="3130"/>
        <v>Accepted</v>
      </c>
      <c r="S7690" t="str">
        <f t="shared" si="3143"/>
        <v>Approved</v>
      </c>
      <c r="T7690" t="str">
        <f t="shared" si="3131"/>
        <v>10.20.8.188</v>
      </c>
      <c r="U7690" t="str">
        <f t="shared" si="3144"/>
        <v>AZRAD UMAR BIN SHAARI</v>
      </c>
      <c r="V7690" t="str">
        <f t="shared" si="3145"/>
        <v>FARHANA BINTI MUSTAPA</v>
      </c>
      <c r="W7690" t="str">
        <f t="shared" si="3146"/>
        <v>04-08-2020</v>
      </c>
      <c r="X7690" t="str">
        <f t="shared" si="3147"/>
        <v>RAZIMAH ANSAR AHMAD</v>
      </c>
      <c r="Y7690" t="str">
        <f t="shared" si="3148"/>
        <v>04-08-2020</v>
      </c>
      <c r="Z7690" t="str">
        <f>"COS10200804 1464"</f>
        <v>COS10200804 1464</v>
      </c>
    </row>
    <row r="7691" spans="1:26" x14ac:dyDescent="0.25">
      <c r="A7691" t="str">
        <f t="shared" si="3134"/>
        <v>04-08-2020 12:34:18</v>
      </c>
      <c r="B7691" t="str">
        <f>"0000803215"</f>
        <v>0000803215</v>
      </c>
      <c r="C7691" t="str">
        <f t="shared" si="3135"/>
        <v>0000803152</v>
      </c>
      <c r="D7691" t="str">
        <f t="shared" si="3136"/>
        <v>73185</v>
      </c>
      <c r="E7691" t="str">
        <f t="shared" si="3137"/>
        <v>KFH-OPERATIONS DEPARTMENT</v>
      </c>
      <c r="F7691" t="str">
        <f t="shared" si="3138"/>
        <v>IBG</v>
      </c>
      <c r="G7691" t="str">
        <f t="shared" si="3124"/>
        <v>Refund COSHARE 10</v>
      </c>
      <c r="H7691" s="2">
        <v>436.55</v>
      </c>
      <c r="I7691" t="str">
        <f>"AHMAD KHAIRUL NIZAM BIN ABDUL JALIL"</f>
        <v>AHMAD KHAIRUL NIZAM BIN ABDUL JALIL</v>
      </c>
      <c r="J7691" t="str">
        <f t="shared" si="3125"/>
        <v>BANK SIMPANAN NASIONAL</v>
      </c>
      <c r="K7691" t="str">
        <f>"0120029860287300"</f>
        <v>0120029860287300</v>
      </c>
      <c r="L7691" t="str">
        <f t="shared" si="3139"/>
        <v>04-08-2020</v>
      </c>
      <c r="M7691" t="str">
        <f t="shared" si="3139"/>
        <v>04-08-2020</v>
      </c>
      <c r="N7691" t="str">
        <f t="shared" si="3140"/>
        <v>001105018356</v>
      </c>
      <c r="O7691" t="str">
        <f t="shared" si="3141"/>
        <v>MYR</v>
      </c>
      <c r="P7691" t="str">
        <f t="shared" si="3142"/>
        <v>NIL</v>
      </c>
      <c r="Q7691" t="str">
        <f t="shared" si="3142"/>
        <v>NIL</v>
      </c>
      <c r="R7691" t="str">
        <f t="shared" si="3130"/>
        <v>Accepted</v>
      </c>
      <c r="S7691" t="str">
        <f t="shared" si="3143"/>
        <v>Approved</v>
      </c>
      <c r="T7691" t="str">
        <f t="shared" si="3131"/>
        <v>10.20.8.188</v>
      </c>
      <c r="U7691" t="str">
        <f t="shared" si="3144"/>
        <v>AZRAD UMAR BIN SHAARI</v>
      </c>
      <c r="V7691" t="str">
        <f t="shared" si="3145"/>
        <v>FARHANA BINTI MUSTAPA</v>
      </c>
      <c r="W7691" t="str">
        <f t="shared" si="3146"/>
        <v>04-08-2020</v>
      </c>
      <c r="X7691" t="str">
        <f t="shared" si="3147"/>
        <v>RAZIMAH ANSAR AHMAD</v>
      </c>
      <c r="Y7691" t="str">
        <f t="shared" si="3148"/>
        <v>04-08-2020</v>
      </c>
      <c r="Z7691" t="str">
        <f>"COS10200804 1463"</f>
        <v>COS10200804 1463</v>
      </c>
    </row>
    <row r="7692" spans="1:26" x14ac:dyDescent="0.25">
      <c r="A7692" t="str">
        <f t="shared" si="3134"/>
        <v>04-08-2020 12:34:18</v>
      </c>
      <c r="B7692" t="str">
        <f>"0000803214"</f>
        <v>0000803214</v>
      </c>
      <c r="C7692" t="str">
        <f t="shared" si="3135"/>
        <v>0000803152</v>
      </c>
      <c r="D7692" t="str">
        <f t="shared" si="3136"/>
        <v>73185</v>
      </c>
      <c r="E7692" t="str">
        <f t="shared" si="3137"/>
        <v>KFH-OPERATIONS DEPARTMENT</v>
      </c>
      <c r="F7692" t="str">
        <f t="shared" si="3138"/>
        <v>IBG</v>
      </c>
      <c r="G7692" t="str">
        <f t="shared" ref="G7692:G7755" si="3149">"Refund COSHARE 10"</f>
        <v>Refund COSHARE 10</v>
      </c>
      <c r="H7692" s="2">
        <v>713.6</v>
      </c>
      <c r="I7692" t="str">
        <f>"AHMAD KHAIRI BIN HASSAN"</f>
        <v>AHMAD KHAIRI BIN HASSAN</v>
      </c>
      <c r="J7692" t="str">
        <f t="shared" si="3125"/>
        <v>BANK SIMPANAN NASIONAL</v>
      </c>
      <c r="K7692" t="str">
        <f>"0640029838723844"</f>
        <v>0640029838723844</v>
      </c>
      <c r="L7692" t="str">
        <f t="shared" si="3139"/>
        <v>04-08-2020</v>
      </c>
      <c r="M7692" t="str">
        <f t="shared" si="3139"/>
        <v>04-08-2020</v>
      </c>
      <c r="N7692" t="str">
        <f t="shared" si="3140"/>
        <v>001105018356</v>
      </c>
      <c r="O7692" t="str">
        <f t="shared" si="3141"/>
        <v>MYR</v>
      </c>
      <c r="P7692" t="str">
        <f t="shared" si="3142"/>
        <v>NIL</v>
      </c>
      <c r="Q7692" t="str">
        <f t="shared" si="3142"/>
        <v>NIL</v>
      </c>
      <c r="R7692" t="str">
        <f t="shared" si="3130"/>
        <v>Accepted</v>
      </c>
      <c r="S7692" t="str">
        <f t="shared" si="3143"/>
        <v>Approved</v>
      </c>
      <c r="T7692" t="str">
        <f t="shared" si="3131"/>
        <v>10.20.8.188</v>
      </c>
      <c r="U7692" t="str">
        <f t="shared" si="3144"/>
        <v>AZRAD UMAR BIN SHAARI</v>
      </c>
      <c r="V7692" t="str">
        <f t="shared" si="3145"/>
        <v>FARHANA BINTI MUSTAPA</v>
      </c>
      <c r="W7692" t="str">
        <f t="shared" si="3146"/>
        <v>04-08-2020</v>
      </c>
      <c r="X7692" t="str">
        <f t="shared" si="3147"/>
        <v>RAZIMAH ANSAR AHMAD</v>
      </c>
      <c r="Y7692" t="str">
        <f t="shared" si="3148"/>
        <v>04-08-2020</v>
      </c>
      <c r="Z7692" t="str">
        <f>"COS10200804 1462"</f>
        <v>COS10200804 1462</v>
      </c>
    </row>
    <row r="7693" spans="1:26" x14ac:dyDescent="0.25">
      <c r="A7693" t="str">
        <f t="shared" si="3134"/>
        <v>04-08-2020 12:34:18</v>
      </c>
      <c r="B7693" t="str">
        <f>"0000803213"</f>
        <v>0000803213</v>
      </c>
      <c r="C7693" t="str">
        <f t="shared" si="3135"/>
        <v>0000803152</v>
      </c>
      <c r="D7693" t="str">
        <f t="shared" si="3136"/>
        <v>73185</v>
      </c>
      <c r="E7693" t="str">
        <f t="shared" si="3137"/>
        <v>KFH-OPERATIONS DEPARTMENT</v>
      </c>
      <c r="F7693" t="str">
        <f t="shared" si="3138"/>
        <v>IBG</v>
      </c>
      <c r="G7693" t="str">
        <f t="shared" si="3149"/>
        <v>Refund COSHARE 10</v>
      </c>
      <c r="H7693" s="2">
        <v>176.85</v>
      </c>
      <c r="I7693" t="str">
        <f>"AHMAD JAIS BIN SANDAMUN"</f>
        <v>AHMAD JAIS BIN SANDAMUN</v>
      </c>
      <c r="J7693" t="str">
        <f t="shared" si="3125"/>
        <v>BANK SIMPANAN NASIONAL</v>
      </c>
      <c r="K7693" t="str">
        <f>"0712029885861023"</f>
        <v>0712029885861023</v>
      </c>
      <c r="L7693" t="str">
        <f t="shared" si="3139"/>
        <v>04-08-2020</v>
      </c>
      <c r="M7693" t="str">
        <f t="shared" si="3139"/>
        <v>04-08-2020</v>
      </c>
      <c r="N7693" t="str">
        <f t="shared" si="3140"/>
        <v>001105018356</v>
      </c>
      <c r="O7693" t="str">
        <f t="shared" si="3141"/>
        <v>MYR</v>
      </c>
      <c r="P7693" t="str">
        <f t="shared" si="3142"/>
        <v>NIL</v>
      </c>
      <c r="Q7693" t="str">
        <f t="shared" si="3142"/>
        <v>NIL</v>
      </c>
      <c r="R7693" t="str">
        <f t="shared" si="3130"/>
        <v>Accepted</v>
      </c>
      <c r="S7693" t="str">
        <f t="shared" si="3143"/>
        <v>Approved</v>
      </c>
      <c r="T7693" t="str">
        <f t="shared" si="3131"/>
        <v>10.20.8.188</v>
      </c>
      <c r="U7693" t="str">
        <f t="shared" si="3144"/>
        <v>AZRAD UMAR BIN SHAARI</v>
      </c>
      <c r="V7693" t="str">
        <f t="shared" si="3145"/>
        <v>FARHANA BINTI MUSTAPA</v>
      </c>
      <c r="W7693" t="str">
        <f t="shared" si="3146"/>
        <v>04-08-2020</v>
      </c>
      <c r="X7693" t="str">
        <f t="shared" si="3147"/>
        <v>RAZIMAH ANSAR AHMAD</v>
      </c>
      <c r="Y7693" t="str">
        <f t="shared" si="3148"/>
        <v>04-08-2020</v>
      </c>
      <c r="Z7693" t="str">
        <f>"COS10200804 1461"</f>
        <v>COS10200804 1461</v>
      </c>
    </row>
    <row r="7694" spans="1:26" x14ac:dyDescent="0.25">
      <c r="A7694" t="str">
        <f t="shared" si="3134"/>
        <v>04-08-2020 12:34:18</v>
      </c>
      <c r="B7694" t="str">
        <f>"0000803212"</f>
        <v>0000803212</v>
      </c>
      <c r="C7694" t="str">
        <f t="shared" si="3135"/>
        <v>0000803152</v>
      </c>
      <c r="D7694" t="str">
        <f t="shared" si="3136"/>
        <v>73185</v>
      </c>
      <c r="E7694" t="str">
        <f t="shared" si="3137"/>
        <v>KFH-OPERATIONS DEPARTMENT</v>
      </c>
      <c r="F7694" t="str">
        <f t="shared" si="3138"/>
        <v>IBG</v>
      </c>
      <c r="G7694" t="str">
        <f t="shared" si="3149"/>
        <v>Refund COSHARE 10</v>
      </c>
      <c r="H7694" s="2">
        <v>353.3</v>
      </c>
      <c r="I7694" t="str">
        <f>"AHMAD BIN TALIB"</f>
        <v>AHMAD BIN TALIB</v>
      </c>
      <c r="J7694" t="str">
        <f t="shared" si="3125"/>
        <v>BANK SIMPANAN NASIONAL</v>
      </c>
      <c r="K7694" t="str">
        <f>"1412329894508449"</f>
        <v>1412329894508449</v>
      </c>
      <c r="L7694" t="str">
        <f t="shared" si="3139"/>
        <v>04-08-2020</v>
      </c>
      <c r="M7694" t="str">
        <f t="shared" si="3139"/>
        <v>04-08-2020</v>
      </c>
      <c r="N7694" t="str">
        <f t="shared" si="3140"/>
        <v>001105018356</v>
      </c>
      <c r="O7694" t="str">
        <f t="shared" si="3141"/>
        <v>MYR</v>
      </c>
      <c r="P7694" t="str">
        <f t="shared" si="3142"/>
        <v>NIL</v>
      </c>
      <c r="Q7694" t="str">
        <f t="shared" si="3142"/>
        <v>NIL</v>
      </c>
      <c r="R7694" t="str">
        <f t="shared" si="3130"/>
        <v>Accepted</v>
      </c>
      <c r="S7694" t="str">
        <f t="shared" si="3143"/>
        <v>Approved</v>
      </c>
      <c r="T7694" t="str">
        <f t="shared" si="3131"/>
        <v>10.20.8.188</v>
      </c>
      <c r="U7694" t="str">
        <f t="shared" si="3144"/>
        <v>AZRAD UMAR BIN SHAARI</v>
      </c>
      <c r="V7694" t="str">
        <f t="shared" si="3145"/>
        <v>FARHANA BINTI MUSTAPA</v>
      </c>
      <c r="W7694" t="str">
        <f t="shared" si="3146"/>
        <v>04-08-2020</v>
      </c>
      <c r="X7694" t="str">
        <f t="shared" si="3147"/>
        <v>RAZIMAH ANSAR AHMAD</v>
      </c>
      <c r="Y7694" t="str">
        <f t="shared" si="3148"/>
        <v>04-08-2020</v>
      </c>
      <c r="Z7694" t="str">
        <f>"COS10200804 1460"</f>
        <v>COS10200804 1460</v>
      </c>
    </row>
    <row r="7695" spans="1:26" x14ac:dyDescent="0.25">
      <c r="A7695" t="str">
        <f t="shared" si="3134"/>
        <v>04-08-2020 12:34:18</v>
      </c>
      <c r="B7695" t="str">
        <f>"0000803211"</f>
        <v>0000803211</v>
      </c>
      <c r="C7695" t="str">
        <f t="shared" si="3135"/>
        <v>0000803152</v>
      </c>
      <c r="D7695" t="str">
        <f t="shared" si="3136"/>
        <v>73185</v>
      </c>
      <c r="E7695" t="str">
        <f t="shared" si="3137"/>
        <v>KFH-OPERATIONS DEPARTMENT</v>
      </c>
      <c r="F7695" t="str">
        <f t="shared" si="3138"/>
        <v>IBG</v>
      </c>
      <c r="G7695" t="str">
        <f t="shared" si="3149"/>
        <v>Refund COSHARE 10</v>
      </c>
      <c r="H7695" s="2">
        <v>83.95</v>
      </c>
      <c r="I7695" t="str">
        <f>"AHMAD ANUAR BIN KHALID"</f>
        <v>AHMAD ANUAR BIN KHALID</v>
      </c>
      <c r="J7695" t="str">
        <f t="shared" si="3125"/>
        <v>BANK SIMPANAN NASIONAL</v>
      </c>
      <c r="K7695" t="str">
        <f>"0600141000004557"</f>
        <v>0600141000004557</v>
      </c>
      <c r="L7695" t="str">
        <f t="shared" si="3139"/>
        <v>04-08-2020</v>
      </c>
      <c r="M7695" t="str">
        <f t="shared" si="3139"/>
        <v>04-08-2020</v>
      </c>
      <c r="N7695" t="str">
        <f t="shared" si="3140"/>
        <v>001105018356</v>
      </c>
      <c r="O7695" t="str">
        <f t="shared" si="3141"/>
        <v>MYR</v>
      </c>
      <c r="P7695" t="str">
        <f t="shared" si="3142"/>
        <v>NIL</v>
      </c>
      <c r="Q7695" t="str">
        <f t="shared" si="3142"/>
        <v>NIL</v>
      </c>
      <c r="R7695" t="str">
        <f t="shared" si="3130"/>
        <v>Accepted</v>
      </c>
      <c r="S7695" t="str">
        <f t="shared" si="3143"/>
        <v>Approved</v>
      </c>
      <c r="T7695" t="str">
        <f t="shared" si="3131"/>
        <v>10.20.8.188</v>
      </c>
      <c r="U7695" t="str">
        <f t="shared" si="3144"/>
        <v>AZRAD UMAR BIN SHAARI</v>
      </c>
      <c r="V7695" t="str">
        <f t="shared" si="3145"/>
        <v>FARHANA BINTI MUSTAPA</v>
      </c>
      <c r="W7695" t="str">
        <f t="shared" si="3146"/>
        <v>04-08-2020</v>
      </c>
      <c r="X7695" t="str">
        <f t="shared" si="3147"/>
        <v>RAZIMAH ANSAR AHMAD</v>
      </c>
      <c r="Y7695" t="str">
        <f t="shared" si="3148"/>
        <v>04-08-2020</v>
      </c>
      <c r="Z7695" t="str">
        <f>"COS10200804 1459"</f>
        <v>COS10200804 1459</v>
      </c>
    </row>
    <row r="7696" spans="1:26" x14ac:dyDescent="0.25">
      <c r="A7696" t="str">
        <f t="shared" si="3134"/>
        <v>04-08-2020 12:34:18</v>
      </c>
      <c r="B7696" t="str">
        <f>"0000803210"</f>
        <v>0000803210</v>
      </c>
      <c r="C7696" t="str">
        <f t="shared" si="3135"/>
        <v>0000803152</v>
      </c>
      <c r="D7696" t="str">
        <f t="shared" si="3136"/>
        <v>73185</v>
      </c>
      <c r="E7696" t="str">
        <f t="shared" si="3137"/>
        <v>KFH-OPERATIONS DEPARTMENT</v>
      </c>
      <c r="F7696" t="str">
        <f t="shared" si="3138"/>
        <v>IBG</v>
      </c>
      <c r="G7696" t="str">
        <f t="shared" si="3149"/>
        <v>Refund COSHARE 10</v>
      </c>
      <c r="H7696" s="2">
        <v>189.3</v>
      </c>
      <c r="I7696" t="str">
        <f>"AHMAD AMRI BIN MAHMAD REZALI"</f>
        <v>AHMAD AMRI BIN MAHMAD REZALI</v>
      </c>
      <c r="J7696" t="str">
        <f t="shared" si="3125"/>
        <v>BANK SIMPANAN NASIONAL</v>
      </c>
      <c r="K7696" t="str">
        <f>"1111129867654781"</f>
        <v>1111129867654781</v>
      </c>
      <c r="L7696" t="str">
        <f t="shared" si="3139"/>
        <v>04-08-2020</v>
      </c>
      <c r="M7696" t="str">
        <f t="shared" si="3139"/>
        <v>04-08-2020</v>
      </c>
      <c r="N7696" t="str">
        <f t="shared" si="3140"/>
        <v>001105018356</v>
      </c>
      <c r="O7696" t="str">
        <f t="shared" si="3141"/>
        <v>MYR</v>
      </c>
      <c r="P7696" t="str">
        <f t="shared" si="3142"/>
        <v>NIL</v>
      </c>
      <c r="Q7696" t="str">
        <f t="shared" si="3142"/>
        <v>NIL</v>
      </c>
      <c r="R7696" t="str">
        <f t="shared" si="3130"/>
        <v>Accepted</v>
      </c>
      <c r="S7696" t="str">
        <f t="shared" si="3143"/>
        <v>Approved</v>
      </c>
      <c r="T7696" t="str">
        <f t="shared" si="3131"/>
        <v>10.20.8.188</v>
      </c>
      <c r="U7696" t="str">
        <f t="shared" si="3144"/>
        <v>AZRAD UMAR BIN SHAARI</v>
      </c>
      <c r="V7696" t="str">
        <f t="shared" si="3145"/>
        <v>FARHANA BINTI MUSTAPA</v>
      </c>
      <c r="W7696" t="str">
        <f t="shared" si="3146"/>
        <v>04-08-2020</v>
      </c>
      <c r="X7696" t="str">
        <f t="shared" si="3147"/>
        <v>RAZIMAH ANSAR AHMAD</v>
      </c>
      <c r="Y7696" t="str">
        <f t="shared" si="3148"/>
        <v>04-08-2020</v>
      </c>
      <c r="Z7696" t="str">
        <f>"COS10200804 1458"</f>
        <v>COS10200804 1458</v>
      </c>
    </row>
    <row r="7697" spans="1:26" x14ac:dyDescent="0.25">
      <c r="A7697" t="str">
        <f t="shared" si="3134"/>
        <v>04-08-2020 12:34:18</v>
      </c>
      <c r="B7697" t="str">
        <f>"0000803209"</f>
        <v>0000803209</v>
      </c>
      <c r="C7697" t="str">
        <f t="shared" si="3135"/>
        <v>0000803152</v>
      </c>
      <c r="D7697" t="str">
        <f t="shared" si="3136"/>
        <v>73185</v>
      </c>
      <c r="E7697" t="str">
        <f t="shared" si="3137"/>
        <v>KFH-OPERATIONS DEPARTMENT</v>
      </c>
      <c r="F7697" t="str">
        <f t="shared" si="3138"/>
        <v>IBG</v>
      </c>
      <c r="G7697" t="str">
        <f t="shared" si="3149"/>
        <v>Refund COSHARE 10</v>
      </c>
      <c r="H7697" s="2">
        <v>1066.2</v>
      </c>
      <c r="I7697" t="str">
        <f>"AG JAMIL BIN HARIS"</f>
        <v>AG JAMIL BIN HARIS</v>
      </c>
      <c r="J7697" t="str">
        <f t="shared" si="3125"/>
        <v>BANK SIMPANAN NASIONAL</v>
      </c>
      <c r="K7697" t="str">
        <f>"1211029000043749"</f>
        <v>1211029000043749</v>
      </c>
      <c r="L7697" t="str">
        <f t="shared" si="3139"/>
        <v>04-08-2020</v>
      </c>
      <c r="M7697" t="str">
        <f t="shared" si="3139"/>
        <v>04-08-2020</v>
      </c>
      <c r="N7697" t="str">
        <f t="shared" si="3140"/>
        <v>001105018356</v>
      </c>
      <c r="O7697" t="str">
        <f t="shared" si="3141"/>
        <v>MYR</v>
      </c>
      <c r="P7697" t="str">
        <f t="shared" si="3142"/>
        <v>NIL</v>
      </c>
      <c r="Q7697" t="str">
        <f t="shared" si="3142"/>
        <v>NIL</v>
      </c>
      <c r="R7697" t="str">
        <f t="shared" si="3130"/>
        <v>Accepted</v>
      </c>
      <c r="S7697" t="str">
        <f t="shared" si="3143"/>
        <v>Approved</v>
      </c>
      <c r="T7697" t="str">
        <f t="shared" si="3131"/>
        <v>10.20.8.188</v>
      </c>
      <c r="U7697" t="str">
        <f t="shared" si="3144"/>
        <v>AZRAD UMAR BIN SHAARI</v>
      </c>
      <c r="V7697" t="str">
        <f t="shared" si="3145"/>
        <v>FARHANA BINTI MUSTAPA</v>
      </c>
      <c r="W7697" t="str">
        <f t="shared" si="3146"/>
        <v>04-08-2020</v>
      </c>
      <c r="X7697" t="str">
        <f t="shared" si="3147"/>
        <v>RAZIMAH ANSAR AHMAD</v>
      </c>
      <c r="Y7697" t="str">
        <f t="shared" si="3148"/>
        <v>04-08-2020</v>
      </c>
      <c r="Z7697" t="str">
        <f>"COS10200804 1457"</f>
        <v>COS10200804 1457</v>
      </c>
    </row>
    <row r="7698" spans="1:26" x14ac:dyDescent="0.25">
      <c r="A7698" t="str">
        <f t="shared" si="3134"/>
        <v>04-08-2020 12:34:18</v>
      </c>
      <c r="B7698" t="str">
        <f>"0000803208"</f>
        <v>0000803208</v>
      </c>
      <c r="C7698" t="str">
        <f t="shared" si="3135"/>
        <v>0000803152</v>
      </c>
      <c r="D7698" t="str">
        <f t="shared" si="3136"/>
        <v>73185</v>
      </c>
      <c r="E7698" t="str">
        <f t="shared" si="3137"/>
        <v>KFH-OPERATIONS DEPARTMENT</v>
      </c>
      <c r="F7698" t="str">
        <f t="shared" si="3138"/>
        <v>IBG</v>
      </c>
      <c r="G7698" t="str">
        <f t="shared" si="3149"/>
        <v>Refund COSHARE 10</v>
      </c>
      <c r="H7698" s="2">
        <v>1049.4000000000001</v>
      </c>
      <c r="I7698" t="str">
        <f>"AFZANIZAM BIN SHAFII"</f>
        <v>AFZANIZAM BIN SHAFII</v>
      </c>
      <c r="J7698" t="str">
        <f t="shared" si="3125"/>
        <v>BANK SIMPANAN NASIONAL</v>
      </c>
      <c r="K7698" t="str">
        <f>"0720029825308703"</f>
        <v>0720029825308703</v>
      </c>
      <c r="L7698" t="str">
        <f t="shared" si="3139"/>
        <v>04-08-2020</v>
      </c>
      <c r="M7698" t="str">
        <f t="shared" si="3139"/>
        <v>04-08-2020</v>
      </c>
      <c r="N7698" t="str">
        <f t="shared" si="3140"/>
        <v>001105018356</v>
      </c>
      <c r="O7698" t="str">
        <f t="shared" si="3141"/>
        <v>MYR</v>
      </c>
      <c r="P7698" t="str">
        <f t="shared" si="3142"/>
        <v>NIL</v>
      </c>
      <c r="Q7698" t="str">
        <f t="shared" si="3142"/>
        <v>NIL</v>
      </c>
      <c r="R7698" t="str">
        <f t="shared" si="3130"/>
        <v>Accepted</v>
      </c>
      <c r="S7698" t="str">
        <f t="shared" si="3143"/>
        <v>Approved</v>
      </c>
      <c r="T7698" t="str">
        <f t="shared" si="3131"/>
        <v>10.20.8.188</v>
      </c>
      <c r="U7698" t="str">
        <f t="shared" si="3144"/>
        <v>AZRAD UMAR BIN SHAARI</v>
      </c>
      <c r="V7698" t="str">
        <f t="shared" si="3145"/>
        <v>FARHANA BINTI MUSTAPA</v>
      </c>
      <c r="W7698" t="str">
        <f t="shared" si="3146"/>
        <v>04-08-2020</v>
      </c>
      <c r="X7698" t="str">
        <f t="shared" si="3147"/>
        <v>RAZIMAH ANSAR AHMAD</v>
      </c>
      <c r="Y7698" t="str">
        <f t="shared" si="3148"/>
        <v>04-08-2020</v>
      </c>
      <c r="Z7698" t="str">
        <f>"COS10200804 1456"</f>
        <v>COS10200804 1456</v>
      </c>
    </row>
    <row r="7699" spans="1:26" x14ac:dyDescent="0.25">
      <c r="A7699" t="str">
        <f t="shared" si="3134"/>
        <v>04-08-2020 12:34:18</v>
      </c>
      <c r="B7699" t="str">
        <f>"0000803207"</f>
        <v>0000803207</v>
      </c>
      <c r="C7699" t="str">
        <f t="shared" si="3135"/>
        <v>0000803152</v>
      </c>
      <c r="D7699" t="str">
        <f t="shared" si="3136"/>
        <v>73185</v>
      </c>
      <c r="E7699" t="str">
        <f t="shared" si="3137"/>
        <v>KFH-OPERATIONS DEPARTMENT</v>
      </c>
      <c r="F7699" t="str">
        <f t="shared" si="3138"/>
        <v>IBG</v>
      </c>
      <c r="G7699" t="str">
        <f t="shared" si="3149"/>
        <v>Refund COSHARE 10</v>
      </c>
      <c r="H7699" s="2">
        <v>1555.5</v>
      </c>
      <c r="I7699" t="str">
        <f>"AFANDI BIN HUSSIN"</f>
        <v>AFANDI BIN HUSSIN</v>
      </c>
      <c r="J7699" t="str">
        <f t="shared" si="3125"/>
        <v>BANK SIMPANAN NASIONAL</v>
      </c>
      <c r="K7699" t="str">
        <f>"0310229883205483"</f>
        <v>0310229883205483</v>
      </c>
      <c r="L7699" t="str">
        <f t="shared" si="3139"/>
        <v>04-08-2020</v>
      </c>
      <c r="M7699" t="str">
        <f t="shared" si="3139"/>
        <v>04-08-2020</v>
      </c>
      <c r="N7699" t="str">
        <f t="shared" si="3140"/>
        <v>001105018356</v>
      </c>
      <c r="O7699" t="str">
        <f t="shared" si="3141"/>
        <v>MYR</v>
      </c>
      <c r="P7699" t="str">
        <f t="shared" si="3142"/>
        <v>NIL</v>
      </c>
      <c r="Q7699" t="str">
        <f t="shared" si="3142"/>
        <v>NIL</v>
      </c>
      <c r="R7699" t="str">
        <f t="shared" si="3130"/>
        <v>Accepted</v>
      </c>
      <c r="S7699" t="str">
        <f t="shared" si="3143"/>
        <v>Approved</v>
      </c>
      <c r="T7699" t="str">
        <f t="shared" si="3131"/>
        <v>10.20.8.188</v>
      </c>
      <c r="U7699" t="str">
        <f t="shared" si="3144"/>
        <v>AZRAD UMAR BIN SHAARI</v>
      </c>
      <c r="V7699" t="str">
        <f t="shared" si="3145"/>
        <v>FARHANA BINTI MUSTAPA</v>
      </c>
      <c r="W7699" t="str">
        <f t="shared" si="3146"/>
        <v>04-08-2020</v>
      </c>
      <c r="X7699" t="str">
        <f t="shared" si="3147"/>
        <v>RAZIMAH ANSAR AHMAD</v>
      </c>
      <c r="Y7699" t="str">
        <f t="shared" si="3148"/>
        <v>04-08-2020</v>
      </c>
      <c r="Z7699" t="str">
        <f>"COS10200804 1455"</f>
        <v>COS10200804 1455</v>
      </c>
    </row>
    <row r="7700" spans="1:26" x14ac:dyDescent="0.25">
      <c r="A7700" t="str">
        <f t="shared" si="3134"/>
        <v>04-08-2020 12:34:18</v>
      </c>
      <c r="B7700" t="str">
        <f>"0000803206"</f>
        <v>0000803206</v>
      </c>
      <c r="C7700" t="str">
        <f t="shared" si="3135"/>
        <v>0000803152</v>
      </c>
      <c r="D7700" t="str">
        <f t="shared" si="3136"/>
        <v>73185</v>
      </c>
      <c r="E7700" t="str">
        <f t="shared" si="3137"/>
        <v>KFH-OPERATIONS DEPARTMENT</v>
      </c>
      <c r="F7700" t="str">
        <f t="shared" si="3138"/>
        <v>IBG</v>
      </c>
      <c r="G7700" t="str">
        <f t="shared" si="3149"/>
        <v>Refund COSHARE 10</v>
      </c>
      <c r="H7700" s="2">
        <v>76.25</v>
      </c>
      <c r="I7700" t="str">
        <f>"ADNAN BIN YUSOFF"</f>
        <v>ADNAN BIN YUSOFF</v>
      </c>
      <c r="J7700" t="str">
        <f t="shared" ref="J7700:J7713" si="3150">"BANK SIMPANAN NASIONAL"</f>
        <v>BANK SIMPANAN NASIONAL</v>
      </c>
      <c r="K7700" t="str">
        <f>"0310029875035264"</f>
        <v>0310029875035264</v>
      </c>
      <c r="L7700" t="str">
        <f t="shared" si="3139"/>
        <v>04-08-2020</v>
      </c>
      <c r="M7700" t="str">
        <f t="shared" si="3139"/>
        <v>04-08-2020</v>
      </c>
      <c r="N7700" t="str">
        <f t="shared" si="3140"/>
        <v>001105018356</v>
      </c>
      <c r="O7700" t="str">
        <f t="shared" si="3141"/>
        <v>MYR</v>
      </c>
      <c r="P7700" t="str">
        <f t="shared" si="3142"/>
        <v>NIL</v>
      </c>
      <c r="Q7700" t="str">
        <f t="shared" si="3142"/>
        <v>NIL</v>
      </c>
      <c r="R7700" t="str">
        <f t="shared" si="3130"/>
        <v>Accepted</v>
      </c>
      <c r="S7700" t="str">
        <f t="shared" si="3143"/>
        <v>Approved</v>
      </c>
      <c r="T7700" t="str">
        <f t="shared" si="3131"/>
        <v>10.20.8.188</v>
      </c>
      <c r="U7700" t="str">
        <f t="shared" si="3144"/>
        <v>AZRAD UMAR BIN SHAARI</v>
      </c>
      <c r="V7700" t="str">
        <f t="shared" si="3145"/>
        <v>FARHANA BINTI MUSTAPA</v>
      </c>
      <c r="W7700" t="str">
        <f t="shared" si="3146"/>
        <v>04-08-2020</v>
      </c>
      <c r="X7700" t="str">
        <f t="shared" si="3147"/>
        <v>RAZIMAH ANSAR AHMAD</v>
      </c>
      <c r="Y7700" t="str">
        <f t="shared" si="3148"/>
        <v>04-08-2020</v>
      </c>
      <c r="Z7700" t="str">
        <f>"COS10200804 1454"</f>
        <v>COS10200804 1454</v>
      </c>
    </row>
    <row r="7701" spans="1:26" x14ac:dyDescent="0.25">
      <c r="A7701" t="str">
        <f t="shared" si="3134"/>
        <v>04-08-2020 12:34:18</v>
      </c>
      <c r="B7701" t="str">
        <f>"0000803205"</f>
        <v>0000803205</v>
      </c>
      <c r="C7701" t="str">
        <f t="shared" si="3135"/>
        <v>0000803152</v>
      </c>
      <c r="D7701" t="str">
        <f t="shared" si="3136"/>
        <v>73185</v>
      </c>
      <c r="E7701" t="str">
        <f t="shared" si="3137"/>
        <v>KFH-OPERATIONS DEPARTMENT</v>
      </c>
      <c r="F7701" t="str">
        <f t="shared" si="3138"/>
        <v>IBG</v>
      </c>
      <c r="G7701" t="str">
        <f t="shared" si="3149"/>
        <v>Refund COSHARE 10</v>
      </c>
      <c r="H7701" s="2">
        <v>125.95</v>
      </c>
      <c r="I7701" t="str">
        <f>"ADMI BIN LEE"</f>
        <v>ADMI BIN LEE</v>
      </c>
      <c r="J7701" t="str">
        <f t="shared" si="3150"/>
        <v>BANK SIMPANAN NASIONAL</v>
      </c>
      <c r="K7701" t="str">
        <f>"1311729000030313"</f>
        <v>1311729000030313</v>
      </c>
      <c r="L7701" t="str">
        <f t="shared" si="3139"/>
        <v>04-08-2020</v>
      </c>
      <c r="M7701" t="str">
        <f t="shared" si="3139"/>
        <v>04-08-2020</v>
      </c>
      <c r="N7701" t="str">
        <f t="shared" si="3140"/>
        <v>001105018356</v>
      </c>
      <c r="O7701" t="str">
        <f t="shared" si="3141"/>
        <v>MYR</v>
      </c>
      <c r="P7701" t="str">
        <f t="shared" si="3142"/>
        <v>NIL</v>
      </c>
      <c r="Q7701" t="str">
        <f t="shared" si="3142"/>
        <v>NIL</v>
      </c>
      <c r="R7701" t="str">
        <f t="shared" si="3130"/>
        <v>Accepted</v>
      </c>
      <c r="S7701" t="str">
        <f t="shared" si="3143"/>
        <v>Approved</v>
      </c>
      <c r="T7701" t="str">
        <f t="shared" si="3131"/>
        <v>10.20.8.188</v>
      </c>
      <c r="U7701" t="str">
        <f t="shared" si="3144"/>
        <v>AZRAD UMAR BIN SHAARI</v>
      </c>
      <c r="V7701" t="str">
        <f t="shared" si="3145"/>
        <v>FARHANA BINTI MUSTAPA</v>
      </c>
      <c r="W7701" t="str">
        <f t="shared" si="3146"/>
        <v>04-08-2020</v>
      </c>
      <c r="X7701" t="str">
        <f t="shared" si="3147"/>
        <v>RAZIMAH ANSAR AHMAD</v>
      </c>
      <c r="Y7701" t="str">
        <f t="shared" si="3148"/>
        <v>04-08-2020</v>
      </c>
      <c r="Z7701" t="str">
        <f>"COS10200804 1453"</f>
        <v>COS10200804 1453</v>
      </c>
    </row>
    <row r="7702" spans="1:26" x14ac:dyDescent="0.25">
      <c r="A7702" t="str">
        <f t="shared" si="3134"/>
        <v>04-08-2020 12:34:18</v>
      </c>
      <c r="B7702" t="str">
        <f>"0000803204"</f>
        <v>0000803204</v>
      </c>
      <c r="C7702" t="str">
        <f t="shared" si="3135"/>
        <v>0000803152</v>
      </c>
      <c r="D7702" t="str">
        <f t="shared" si="3136"/>
        <v>73185</v>
      </c>
      <c r="E7702" t="str">
        <f t="shared" si="3137"/>
        <v>KFH-OPERATIONS DEPARTMENT</v>
      </c>
      <c r="F7702" t="str">
        <f t="shared" si="3138"/>
        <v>IBG</v>
      </c>
      <c r="G7702" t="str">
        <f t="shared" si="3149"/>
        <v>Refund COSHARE 10</v>
      </c>
      <c r="H7702" s="2">
        <v>135.15</v>
      </c>
      <c r="I7702" t="str">
        <f>"ADIL BIN IBRAHIM"</f>
        <v>ADIL BIN IBRAHIM</v>
      </c>
      <c r="J7702" t="str">
        <f t="shared" si="3150"/>
        <v>BANK SIMPANAN NASIONAL</v>
      </c>
      <c r="K7702" t="str">
        <f>"0710029884095961"</f>
        <v>0710029884095961</v>
      </c>
      <c r="L7702" t="str">
        <f t="shared" si="3139"/>
        <v>04-08-2020</v>
      </c>
      <c r="M7702" t="str">
        <f t="shared" si="3139"/>
        <v>04-08-2020</v>
      </c>
      <c r="N7702" t="str">
        <f t="shared" si="3140"/>
        <v>001105018356</v>
      </c>
      <c r="O7702" t="str">
        <f t="shared" si="3141"/>
        <v>MYR</v>
      </c>
      <c r="P7702" t="str">
        <f t="shared" si="3142"/>
        <v>NIL</v>
      </c>
      <c r="Q7702" t="str">
        <f t="shared" si="3142"/>
        <v>NIL</v>
      </c>
      <c r="R7702" t="str">
        <f t="shared" si="3130"/>
        <v>Accepted</v>
      </c>
      <c r="S7702" t="str">
        <f t="shared" si="3143"/>
        <v>Approved</v>
      </c>
      <c r="T7702" t="str">
        <f t="shared" si="3131"/>
        <v>10.20.8.188</v>
      </c>
      <c r="U7702" t="str">
        <f t="shared" si="3144"/>
        <v>AZRAD UMAR BIN SHAARI</v>
      </c>
      <c r="V7702" t="str">
        <f t="shared" si="3145"/>
        <v>FARHANA BINTI MUSTAPA</v>
      </c>
      <c r="W7702" t="str">
        <f t="shared" si="3146"/>
        <v>04-08-2020</v>
      </c>
      <c r="X7702" t="str">
        <f t="shared" si="3147"/>
        <v>RAZIMAH ANSAR AHMAD</v>
      </c>
      <c r="Y7702" t="str">
        <f t="shared" si="3148"/>
        <v>04-08-2020</v>
      </c>
      <c r="Z7702" t="str">
        <f>"COS10200804 1452"</f>
        <v>COS10200804 1452</v>
      </c>
    </row>
    <row r="7703" spans="1:26" x14ac:dyDescent="0.25">
      <c r="A7703" t="str">
        <f t="shared" si="3134"/>
        <v>04-08-2020 12:34:18</v>
      </c>
      <c r="B7703" t="str">
        <f>"0000803203"</f>
        <v>0000803203</v>
      </c>
      <c r="C7703" t="str">
        <f t="shared" si="3135"/>
        <v>0000803152</v>
      </c>
      <c r="D7703" t="str">
        <f t="shared" si="3136"/>
        <v>73185</v>
      </c>
      <c r="E7703" t="str">
        <f t="shared" si="3137"/>
        <v>KFH-OPERATIONS DEPARTMENT</v>
      </c>
      <c r="F7703" t="str">
        <f t="shared" si="3138"/>
        <v>IBG</v>
      </c>
      <c r="G7703" t="str">
        <f t="shared" si="3149"/>
        <v>Refund COSHARE 10</v>
      </c>
      <c r="H7703" s="2">
        <v>671.6</v>
      </c>
      <c r="I7703" t="str">
        <f>"ADIBAH BINTI AHMAD DAHLAN"</f>
        <v>ADIBAH BINTI AHMAD DAHLAN</v>
      </c>
      <c r="J7703" t="str">
        <f t="shared" si="3150"/>
        <v>BANK SIMPANAN NASIONAL</v>
      </c>
      <c r="K7703" t="str">
        <f>"1014629000112336"</f>
        <v>1014629000112336</v>
      </c>
      <c r="L7703" t="str">
        <f t="shared" si="3139"/>
        <v>04-08-2020</v>
      </c>
      <c r="M7703" t="str">
        <f t="shared" si="3139"/>
        <v>04-08-2020</v>
      </c>
      <c r="N7703" t="str">
        <f t="shared" si="3140"/>
        <v>001105018356</v>
      </c>
      <c r="O7703" t="str">
        <f t="shared" si="3141"/>
        <v>MYR</v>
      </c>
      <c r="P7703" t="str">
        <f t="shared" si="3142"/>
        <v>NIL</v>
      </c>
      <c r="Q7703" t="str">
        <f t="shared" si="3142"/>
        <v>NIL</v>
      </c>
      <c r="R7703" t="str">
        <f t="shared" si="3130"/>
        <v>Accepted</v>
      </c>
      <c r="S7703" t="str">
        <f t="shared" si="3143"/>
        <v>Approved</v>
      </c>
      <c r="T7703" t="str">
        <f t="shared" si="3131"/>
        <v>10.20.8.188</v>
      </c>
      <c r="U7703" t="str">
        <f t="shared" si="3144"/>
        <v>AZRAD UMAR BIN SHAARI</v>
      </c>
      <c r="V7703" t="str">
        <f t="shared" si="3145"/>
        <v>FARHANA BINTI MUSTAPA</v>
      </c>
      <c r="W7703" t="str">
        <f t="shared" si="3146"/>
        <v>04-08-2020</v>
      </c>
      <c r="X7703" t="str">
        <f t="shared" si="3147"/>
        <v>RAZIMAH ANSAR AHMAD</v>
      </c>
      <c r="Y7703" t="str">
        <f t="shared" si="3148"/>
        <v>04-08-2020</v>
      </c>
      <c r="Z7703" t="str">
        <f>"COS10200804 1451"</f>
        <v>COS10200804 1451</v>
      </c>
    </row>
    <row r="7704" spans="1:26" x14ac:dyDescent="0.25">
      <c r="A7704" t="str">
        <f t="shared" si="3134"/>
        <v>04-08-2020 12:34:18</v>
      </c>
      <c r="B7704" t="str">
        <f>"0000803202"</f>
        <v>0000803202</v>
      </c>
      <c r="C7704" t="str">
        <f t="shared" si="3135"/>
        <v>0000803152</v>
      </c>
      <c r="D7704" t="str">
        <f t="shared" si="3136"/>
        <v>73185</v>
      </c>
      <c r="E7704" t="str">
        <f t="shared" si="3137"/>
        <v>KFH-OPERATIONS DEPARTMENT</v>
      </c>
      <c r="F7704" t="str">
        <f t="shared" si="3138"/>
        <v>IBG</v>
      </c>
      <c r="G7704" t="str">
        <f t="shared" si="3149"/>
        <v>Refund COSHARE 10</v>
      </c>
      <c r="H7704" s="2">
        <v>993</v>
      </c>
      <c r="I7704" t="str">
        <f>"ABDULLAH BIN SAMAIN"</f>
        <v>ABDULLAH BIN SAMAIN</v>
      </c>
      <c r="J7704" t="str">
        <f t="shared" si="3150"/>
        <v>BANK SIMPANAN NASIONAL</v>
      </c>
      <c r="K7704" t="str">
        <f>"1310029000221055"</f>
        <v>1310029000221055</v>
      </c>
      <c r="L7704" t="str">
        <f t="shared" si="3139"/>
        <v>04-08-2020</v>
      </c>
      <c r="M7704" t="str">
        <f t="shared" si="3139"/>
        <v>04-08-2020</v>
      </c>
      <c r="N7704" t="str">
        <f t="shared" si="3140"/>
        <v>001105018356</v>
      </c>
      <c r="O7704" t="str">
        <f t="shared" si="3141"/>
        <v>MYR</v>
      </c>
      <c r="P7704" t="str">
        <f t="shared" si="3142"/>
        <v>NIL</v>
      </c>
      <c r="Q7704" t="str">
        <f t="shared" si="3142"/>
        <v>NIL</v>
      </c>
      <c r="R7704" t="str">
        <f t="shared" si="3130"/>
        <v>Accepted</v>
      </c>
      <c r="S7704" t="str">
        <f t="shared" si="3143"/>
        <v>Approved</v>
      </c>
      <c r="T7704" t="str">
        <f t="shared" si="3131"/>
        <v>10.20.8.188</v>
      </c>
      <c r="U7704" t="str">
        <f t="shared" si="3144"/>
        <v>AZRAD UMAR BIN SHAARI</v>
      </c>
      <c r="V7704" t="str">
        <f t="shared" si="3145"/>
        <v>FARHANA BINTI MUSTAPA</v>
      </c>
      <c r="W7704" t="str">
        <f t="shared" si="3146"/>
        <v>04-08-2020</v>
      </c>
      <c r="X7704" t="str">
        <f t="shared" si="3147"/>
        <v>RAZIMAH ANSAR AHMAD</v>
      </c>
      <c r="Y7704" t="str">
        <f t="shared" si="3148"/>
        <v>04-08-2020</v>
      </c>
      <c r="Z7704" t="str">
        <f>"COS10200804 1450"</f>
        <v>COS10200804 1450</v>
      </c>
    </row>
    <row r="7705" spans="1:26" x14ac:dyDescent="0.25">
      <c r="A7705" t="str">
        <f t="shared" si="3134"/>
        <v>04-08-2020 12:34:18</v>
      </c>
      <c r="B7705" t="str">
        <f>"0000803201"</f>
        <v>0000803201</v>
      </c>
      <c r="C7705" t="str">
        <f t="shared" si="3135"/>
        <v>0000803152</v>
      </c>
      <c r="D7705" t="str">
        <f t="shared" si="3136"/>
        <v>73185</v>
      </c>
      <c r="E7705" t="str">
        <f t="shared" si="3137"/>
        <v>KFH-OPERATIONS DEPARTMENT</v>
      </c>
      <c r="F7705" t="str">
        <f t="shared" si="3138"/>
        <v>IBG</v>
      </c>
      <c r="G7705" t="str">
        <f t="shared" si="3149"/>
        <v>Refund COSHARE 10</v>
      </c>
      <c r="H7705" s="2">
        <v>1452.35</v>
      </c>
      <c r="I7705" t="str">
        <f>"ABDUL SONNI BIN ROSLI"</f>
        <v>ABDUL SONNI BIN ROSLI</v>
      </c>
      <c r="J7705" t="str">
        <f t="shared" si="3150"/>
        <v>BANK SIMPANAN NASIONAL</v>
      </c>
      <c r="K7705" t="str">
        <f>"0890129000138342"</f>
        <v>0890129000138342</v>
      </c>
      <c r="L7705" t="str">
        <f t="shared" si="3139"/>
        <v>04-08-2020</v>
      </c>
      <c r="M7705" t="str">
        <f t="shared" si="3139"/>
        <v>04-08-2020</v>
      </c>
      <c r="N7705" t="str">
        <f t="shared" si="3140"/>
        <v>001105018356</v>
      </c>
      <c r="O7705" t="str">
        <f t="shared" si="3141"/>
        <v>MYR</v>
      </c>
      <c r="P7705" t="str">
        <f t="shared" si="3142"/>
        <v>NIL</v>
      </c>
      <c r="Q7705" t="str">
        <f t="shared" si="3142"/>
        <v>NIL</v>
      </c>
      <c r="R7705" t="str">
        <f t="shared" si="3130"/>
        <v>Accepted</v>
      </c>
      <c r="S7705" t="str">
        <f t="shared" si="3143"/>
        <v>Approved</v>
      </c>
      <c r="T7705" t="str">
        <f t="shared" si="3131"/>
        <v>10.20.8.188</v>
      </c>
      <c r="U7705" t="str">
        <f t="shared" si="3144"/>
        <v>AZRAD UMAR BIN SHAARI</v>
      </c>
      <c r="V7705" t="str">
        <f t="shared" si="3145"/>
        <v>FARHANA BINTI MUSTAPA</v>
      </c>
      <c r="W7705" t="str">
        <f t="shared" si="3146"/>
        <v>04-08-2020</v>
      </c>
      <c r="X7705" t="str">
        <f t="shared" si="3147"/>
        <v>RAZIMAH ANSAR AHMAD</v>
      </c>
      <c r="Y7705" t="str">
        <f t="shared" si="3148"/>
        <v>04-08-2020</v>
      </c>
      <c r="Z7705" t="str">
        <f>"COS10200804 1449"</f>
        <v>COS10200804 1449</v>
      </c>
    </row>
    <row r="7706" spans="1:26" x14ac:dyDescent="0.25">
      <c r="A7706" t="str">
        <f t="shared" si="3134"/>
        <v>04-08-2020 12:34:18</v>
      </c>
      <c r="B7706" t="str">
        <f>"0000803200"</f>
        <v>0000803200</v>
      </c>
      <c r="C7706" t="str">
        <f t="shared" si="3135"/>
        <v>0000803152</v>
      </c>
      <c r="D7706" t="str">
        <f t="shared" si="3136"/>
        <v>73185</v>
      </c>
      <c r="E7706" t="str">
        <f t="shared" si="3137"/>
        <v>KFH-OPERATIONS DEPARTMENT</v>
      </c>
      <c r="F7706" t="str">
        <f t="shared" si="3138"/>
        <v>IBG</v>
      </c>
      <c r="G7706" t="str">
        <f t="shared" si="3149"/>
        <v>Refund COSHARE 10</v>
      </c>
      <c r="H7706" s="2">
        <v>1517.55</v>
      </c>
      <c r="I7706" t="str">
        <f>"ABDUL NIEFAIZAL BIN ABDUL HAMMID"</f>
        <v>ABDUL NIEFAIZAL BIN ABDUL HAMMID</v>
      </c>
      <c r="J7706" t="str">
        <f t="shared" si="3150"/>
        <v>BANK SIMPANAN NASIONAL</v>
      </c>
      <c r="K7706" t="str">
        <f>"1010941000020470"</f>
        <v>1010941000020470</v>
      </c>
      <c r="L7706" t="str">
        <f t="shared" si="3139"/>
        <v>04-08-2020</v>
      </c>
      <c r="M7706" t="str">
        <f t="shared" si="3139"/>
        <v>04-08-2020</v>
      </c>
      <c r="N7706" t="str">
        <f t="shared" si="3140"/>
        <v>001105018356</v>
      </c>
      <c r="O7706" t="str">
        <f t="shared" si="3141"/>
        <v>MYR</v>
      </c>
      <c r="P7706" t="str">
        <f t="shared" si="3142"/>
        <v>NIL</v>
      </c>
      <c r="Q7706" t="str">
        <f t="shared" si="3142"/>
        <v>NIL</v>
      </c>
      <c r="R7706" t="str">
        <f t="shared" si="3130"/>
        <v>Accepted</v>
      </c>
      <c r="S7706" t="str">
        <f t="shared" si="3143"/>
        <v>Approved</v>
      </c>
      <c r="T7706" t="str">
        <f t="shared" si="3131"/>
        <v>10.20.8.188</v>
      </c>
      <c r="U7706" t="str">
        <f t="shared" si="3144"/>
        <v>AZRAD UMAR BIN SHAARI</v>
      </c>
      <c r="V7706" t="str">
        <f t="shared" si="3145"/>
        <v>FARHANA BINTI MUSTAPA</v>
      </c>
      <c r="W7706" t="str">
        <f t="shared" si="3146"/>
        <v>04-08-2020</v>
      </c>
      <c r="X7706" t="str">
        <f t="shared" si="3147"/>
        <v>RAZIMAH ANSAR AHMAD</v>
      </c>
      <c r="Y7706" t="str">
        <f t="shared" si="3148"/>
        <v>04-08-2020</v>
      </c>
      <c r="Z7706" t="str">
        <f>"COS10200804 1448"</f>
        <v>COS10200804 1448</v>
      </c>
    </row>
    <row r="7707" spans="1:26" x14ac:dyDescent="0.25">
      <c r="A7707" t="str">
        <f t="shared" si="3134"/>
        <v>04-08-2020 12:34:18</v>
      </c>
      <c r="B7707" t="str">
        <f>"0000803199"</f>
        <v>0000803199</v>
      </c>
      <c r="C7707" t="str">
        <f t="shared" si="3135"/>
        <v>0000803152</v>
      </c>
      <c r="D7707" t="str">
        <f t="shared" si="3136"/>
        <v>73185</v>
      </c>
      <c r="E7707" t="str">
        <f t="shared" si="3137"/>
        <v>KFH-OPERATIONS DEPARTMENT</v>
      </c>
      <c r="F7707" t="str">
        <f t="shared" si="3138"/>
        <v>IBG</v>
      </c>
      <c r="G7707" t="str">
        <f t="shared" si="3149"/>
        <v>Refund COSHARE 10</v>
      </c>
      <c r="H7707" s="2">
        <v>1620.25</v>
      </c>
      <c r="I7707" t="str">
        <f>"ABDUL LATIF BIN AMIT"</f>
        <v>ABDUL LATIF BIN AMIT</v>
      </c>
      <c r="J7707" t="str">
        <f t="shared" si="3150"/>
        <v>BANK SIMPANAN NASIONAL</v>
      </c>
      <c r="K7707" t="str">
        <f>"1211729000073977"</f>
        <v>1211729000073977</v>
      </c>
      <c r="L7707" t="str">
        <f t="shared" ref="L7707:M7726" si="3151">"04-08-2020"</f>
        <v>04-08-2020</v>
      </c>
      <c r="M7707" t="str">
        <f t="shared" si="3151"/>
        <v>04-08-2020</v>
      </c>
      <c r="N7707" t="str">
        <f t="shared" si="3140"/>
        <v>001105018356</v>
      </c>
      <c r="O7707" t="str">
        <f t="shared" si="3141"/>
        <v>MYR</v>
      </c>
      <c r="P7707" t="str">
        <f t="shared" ref="P7707:Q7726" si="3152">"NIL"</f>
        <v>NIL</v>
      </c>
      <c r="Q7707" t="str">
        <f t="shared" si="3152"/>
        <v>NIL</v>
      </c>
      <c r="R7707" t="str">
        <f t="shared" si="3130"/>
        <v>Accepted</v>
      </c>
      <c r="S7707" t="str">
        <f t="shared" si="3143"/>
        <v>Approved</v>
      </c>
      <c r="T7707" t="str">
        <f t="shared" si="3131"/>
        <v>10.20.8.188</v>
      </c>
      <c r="U7707" t="str">
        <f t="shared" si="3144"/>
        <v>AZRAD UMAR BIN SHAARI</v>
      </c>
      <c r="V7707" t="str">
        <f t="shared" si="3145"/>
        <v>FARHANA BINTI MUSTAPA</v>
      </c>
      <c r="W7707" t="str">
        <f t="shared" si="3146"/>
        <v>04-08-2020</v>
      </c>
      <c r="X7707" t="str">
        <f t="shared" si="3147"/>
        <v>RAZIMAH ANSAR AHMAD</v>
      </c>
      <c r="Y7707" t="str">
        <f t="shared" si="3148"/>
        <v>04-08-2020</v>
      </c>
      <c r="Z7707" t="str">
        <f>"COS10200804 1447"</f>
        <v>COS10200804 1447</v>
      </c>
    </row>
    <row r="7708" spans="1:26" x14ac:dyDescent="0.25">
      <c r="A7708" t="str">
        <f t="shared" si="3134"/>
        <v>04-08-2020 12:34:18</v>
      </c>
      <c r="B7708" t="str">
        <f>"0000803198"</f>
        <v>0000803198</v>
      </c>
      <c r="C7708" t="str">
        <f t="shared" si="3135"/>
        <v>0000803152</v>
      </c>
      <c r="D7708" t="str">
        <f t="shared" si="3136"/>
        <v>73185</v>
      </c>
      <c r="E7708" t="str">
        <f t="shared" si="3137"/>
        <v>KFH-OPERATIONS DEPARTMENT</v>
      </c>
      <c r="F7708" t="str">
        <f t="shared" si="3138"/>
        <v>IBG</v>
      </c>
      <c r="G7708" t="str">
        <f t="shared" si="3149"/>
        <v>Refund COSHARE 10</v>
      </c>
      <c r="H7708" s="2">
        <v>137.25</v>
      </c>
      <c r="I7708" t="str">
        <f>"ABDUL AZIS BIN ABDUL HAMID"</f>
        <v>ABDUL AZIS BIN ABDUL HAMID</v>
      </c>
      <c r="J7708" t="str">
        <f t="shared" si="3150"/>
        <v>BANK SIMPANAN NASIONAL</v>
      </c>
      <c r="K7708" t="str">
        <f>"1211329812043957"</f>
        <v>1211329812043957</v>
      </c>
      <c r="L7708" t="str">
        <f t="shared" si="3151"/>
        <v>04-08-2020</v>
      </c>
      <c r="M7708" t="str">
        <f t="shared" si="3151"/>
        <v>04-08-2020</v>
      </c>
      <c r="N7708" t="str">
        <f t="shared" si="3140"/>
        <v>001105018356</v>
      </c>
      <c r="O7708" t="str">
        <f t="shared" si="3141"/>
        <v>MYR</v>
      </c>
      <c r="P7708" t="str">
        <f t="shared" si="3152"/>
        <v>NIL</v>
      </c>
      <c r="Q7708" t="str">
        <f t="shared" si="3152"/>
        <v>NIL</v>
      </c>
      <c r="R7708" t="str">
        <f t="shared" si="3130"/>
        <v>Accepted</v>
      </c>
      <c r="S7708" t="str">
        <f t="shared" si="3143"/>
        <v>Approved</v>
      </c>
      <c r="T7708" t="str">
        <f t="shared" si="3131"/>
        <v>10.20.8.188</v>
      </c>
      <c r="U7708" t="str">
        <f t="shared" si="3144"/>
        <v>AZRAD UMAR BIN SHAARI</v>
      </c>
      <c r="V7708" t="str">
        <f t="shared" si="3145"/>
        <v>FARHANA BINTI MUSTAPA</v>
      </c>
      <c r="W7708" t="str">
        <f t="shared" si="3146"/>
        <v>04-08-2020</v>
      </c>
      <c r="X7708" t="str">
        <f t="shared" si="3147"/>
        <v>RAZIMAH ANSAR AHMAD</v>
      </c>
      <c r="Y7708" t="str">
        <f t="shared" si="3148"/>
        <v>04-08-2020</v>
      </c>
      <c r="Z7708" t="str">
        <f>"COS10200804 1446"</f>
        <v>COS10200804 1446</v>
      </c>
    </row>
    <row r="7709" spans="1:26" x14ac:dyDescent="0.25">
      <c r="A7709" t="str">
        <f t="shared" si="3134"/>
        <v>04-08-2020 12:34:18</v>
      </c>
      <c r="B7709" t="str">
        <f>"0000803197"</f>
        <v>0000803197</v>
      </c>
      <c r="C7709" t="str">
        <f t="shared" si="3135"/>
        <v>0000803152</v>
      </c>
      <c r="D7709" t="str">
        <f t="shared" si="3136"/>
        <v>73185</v>
      </c>
      <c r="E7709" t="str">
        <f t="shared" si="3137"/>
        <v>KFH-OPERATIONS DEPARTMENT</v>
      </c>
      <c r="F7709" t="str">
        <f t="shared" si="3138"/>
        <v>IBG</v>
      </c>
      <c r="G7709" t="str">
        <f t="shared" si="3149"/>
        <v>Refund COSHARE 10</v>
      </c>
      <c r="H7709" s="2">
        <v>529</v>
      </c>
      <c r="I7709" t="str">
        <f>"ABANG APIAN BIN ABANG KADERI"</f>
        <v>ABANG APIAN BIN ABANG KADERI</v>
      </c>
      <c r="J7709" t="str">
        <f t="shared" si="3150"/>
        <v>BANK SIMPANAN NASIONAL</v>
      </c>
      <c r="K7709" t="str">
        <f>"1310429896394664"</f>
        <v>1310429896394664</v>
      </c>
      <c r="L7709" t="str">
        <f t="shared" si="3151"/>
        <v>04-08-2020</v>
      </c>
      <c r="M7709" t="str">
        <f t="shared" si="3151"/>
        <v>04-08-2020</v>
      </c>
      <c r="N7709" t="str">
        <f t="shared" si="3140"/>
        <v>001105018356</v>
      </c>
      <c r="O7709" t="str">
        <f t="shared" si="3141"/>
        <v>MYR</v>
      </c>
      <c r="P7709" t="str">
        <f t="shared" si="3152"/>
        <v>NIL</v>
      </c>
      <c r="Q7709" t="str">
        <f t="shared" si="3152"/>
        <v>NIL</v>
      </c>
      <c r="R7709" t="str">
        <f t="shared" si="3130"/>
        <v>Accepted</v>
      </c>
      <c r="S7709" t="str">
        <f t="shared" si="3143"/>
        <v>Approved</v>
      </c>
      <c r="T7709" t="str">
        <f t="shared" si="3131"/>
        <v>10.20.8.188</v>
      </c>
      <c r="U7709" t="str">
        <f t="shared" si="3144"/>
        <v>AZRAD UMAR BIN SHAARI</v>
      </c>
      <c r="V7709" t="str">
        <f t="shared" si="3145"/>
        <v>FARHANA BINTI MUSTAPA</v>
      </c>
      <c r="W7709" t="str">
        <f t="shared" si="3146"/>
        <v>04-08-2020</v>
      </c>
      <c r="X7709" t="str">
        <f t="shared" si="3147"/>
        <v>RAZIMAH ANSAR AHMAD</v>
      </c>
      <c r="Y7709" t="str">
        <f t="shared" si="3148"/>
        <v>04-08-2020</v>
      </c>
      <c r="Z7709" t="str">
        <f>"COS10200804 1445"</f>
        <v>COS10200804 1445</v>
      </c>
    </row>
    <row r="7710" spans="1:26" x14ac:dyDescent="0.25">
      <c r="A7710" t="str">
        <f t="shared" si="3134"/>
        <v>04-08-2020 12:34:18</v>
      </c>
      <c r="B7710" t="str">
        <f>"0000803196"</f>
        <v>0000803196</v>
      </c>
      <c r="C7710" t="str">
        <f t="shared" si="3135"/>
        <v>0000803152</v>
      </c>
      <c r="D7710" t="str">
        <f t="shared" si="3136"/>
        <v>73185</v>
      </c>
      <c r="E7710" t="str">
        <f t="shared" si="3137"/>
        <v>KFH-OPERATIONS DEPARTMENT</v>
      </c>
      <c r="F7710" t="str">
        <f t="shared" si="3138"/>
        <v>IBG</v>
      </c>
      <c r="G7710" t="str">
        <f t="shared" si="3149"/>
        <v>Refund COSHARE 10</v>
      </c>
      <c r="H7710" s="2">
        <v>127</v>
      </c>
      <c r="I7710" t="str">
        <f>"ABANG APIAN BIN ABANG KADERI"</f>
        <v>ABANG APIAN BIN ABANG KADERI</v>
      </c>
      <c r="J7710" t="str">
        <f t="shared" si="3150"/>
        <v>BANK SIMPANAN NASIONAL</v>
      </c>
      <c r="K7710" t="str">
        <f>"1310429896394664"</f>
        <v>1310429896394664</v>
      </c>
      <c r="L7710" t="str">
        <f t="shared" si="3151"/>
        <v>04-08-2020</v>
      </c>
      <c r="M7710" t="str">
        <f t="shared" si="3151"/>
        <v>04-08-2020</v>
      </c>
      <c r="N7710" t="str">
        <f t="shared" si="3140"/>
        <v>001105018356</v>
      </c>
      <c r="O7710" t="str">
        <f t="shared" si="3141"/>
        <v>MYR</v>
      </c>
      <c r="P7710" t="str">
        <f t="shared" si="3152"/>
        <v>NIL</v>
      </c>
      <c r="Q7710" t="str">
        <f t="shared" si="3152"/>
        <v>NIL</v>
      </c>
      <c r="R7710" t="str">
        <f t="shared" si="3130"/>
        <v>Accepted</v>
      </c>
      <c r="S7710" t="str">
        <f t="shared" si="3143"/>
        <v>Approved</v>
      </c>
      <c r="T7710" t="str">
        <f t="shared" si="3131"/>
        <v>10.20.8.188</v>
      </c>
      <c r="U7710" t="str">
        <f t="shared" si="3144"/>
        <v>AZRAD UMAR BIN SHAARI</v>
      </c>
      <c r="V7710" t="str">
        <f t="shared" si="3145"/>
        <v>FARHANA BINTI MUSTAPA</v>
      </c>
      <c r="W7710" t="str">
        <f t="shared" si="3146"/>
        <v>04-08-2020</v>
      </c>
      <c r="X7710" t="str">
        <f t="shared" si="3147"/>
        <v>RAZIMAH ANSAR AHMAD</v>
      </c>
      <c r="Y7710" t="str">
        <f t="shared" si="3148"/>
        <v>04-08-2020</v>
      </c>
      <c r="Z7710" t="str">
        <f>"COS10200804 1444"</f>
        <v>COS10200804 1444</v>
      </c>
    </row>
    <row r="7711" spans="1:26" x14ac:dyDescent="0.25">
      <c r="A7711" t="str">
        <f t="shared" si="3134"/>
        <v>04-08-2020 12:34:18</v>
      </c>
      <c r="B7711" t="str">
        <f>"0000803195"</f>
        <v>0000803195</v>
      </c>
      <c r="C7711" t="str">
        <f t="shared" si="3135"/>
        <v>0000803152</v>
      </c>
      <c r="D7711" t="str">
        <f t="shared" si="3136"/>
        <v>73185</v>
      </c>
      <c r="E7711" t="str">
        <f t="shared" si="3137"/>
        <v>KFH-OPERATIONS DEPARTMENT</v>
      </c>
      <c r="F7711" t="str">
        <f t="shared" si="3138"/>
        <v>IBG</v>
      </c>
      <c r="G7711" t="str">
        <f t="shared" si="3149"/>
        <v>Refund COSHARE 10</v>
      </c>
      <c r="H7711" s="2">
        <v>605.79999999999995</v>
      </c>
      <c r="I7711" t="str">
        <f>"AROSLAN BIN AG JAAFAR"</f>
        <v>AROSLAN BIN AG JAAFAR</v>
      </c>
      <c r="J7711" t="str">
        <f t="shared" si="3150"/>
        <v>BANK SIMPANAN NASIONAL</v>
      </c>
      <c r="K7711" t="str">
        <f>"1210029875948631"</f>
        <v>1210029875948631</v>
      </c>
      <c r="L7711" t="str">
        <f t="shared" si="3151"/>
        <v>04-08-2020</v>
      </c>
      <c r="M7711" t="str">
        <f t="shared" si="3151"/>
        <v>04-08-2020</v>
      </c>
      <c r="N7711" t="str">
        <f t="shared" si="3140"/>
        <v>001105018356</v>
      </c>
      <c r="O7711" t="str">
        <f t="shared" si="3141"/>
        <v>MYR</v>
      </c>
      <c r="P7711" t="str">
        <f t="shared" si="3152"/>
        <v>NIL</v>
      </c>
      <c r="Q7711" t="str">
        <f t="shared" si="3152"/>
        <v>NIL</v>
      </c>
      <c r="R7711" t="str">
        <f t="shared" si="3130"/>
        <v>Accepted</v>
      </c>
      <c r="S7711" t="str">
        <f t="shared" si="3143"/>
        <v>Approved</v>
      </c>
      <c r="T7711" t="str">
        <f t="shared" si="3131"/>
        <v>10.20.8.188</v>
      </c>
      <c r="U7711" t="str">
        <f t="shared" si="3144"/>
        <v>AZRAD UMAR BIN SHAARI</v>
      </c>
      <c r="V7711" t="str">
        <f t="shared" si="3145"/>
        <v>FARHANA BINTI MUSTAPA</v>
      </c>
      <c r="W7711" t="str">
        <f t="shared" si="3146"/>
        <v>04-08-2020</v>
      </c>
      <c r="X7711" t="str">
        <f t="shared" si="3147"/>
        <v>RAZIMAH ANSAR AHMAD</v>
      </c>
      <c r="Y7711" t="str">
        <f t="shared" si="3148"/>
        <v>04-08-2020</v>
      </c>
      <c r="Z7711" t="str">
        <f>"COS10200804 1443"</f>
        <v>COS10200804 1443</v>
      </c>
    </row>
    <row r="7712" spans="1:26" x14ac:dyDescent="0.25">
      <c r="A7712" t="str">
        <f t="shared" si="3134"/>
        <v>04-08-2020 12:34:18</v>
      </c>
      <c r="B7712" t="str">
        <f>"0000803194"</f>
        <v>0000803194</v>
      </c>
      <c r="C7712" t="str">
        <f t="shared" si="3135"/>
        <v>0000803152</v>
      </c>
      <c r="D7712" t="str">
        <f t="shared" si="3136"/>
        <v>73185</v>
      </c>
      <c r="E7712" t="str">
        <f t="shared" si="3137"/>
        <v>KFH-OPERATIONS DEPARTMENT</v>
      </c>
      <c r="F7712" t="str">
        <f t="shared" si="3138"/>
        <v>IBG</v>
      </c>
      <c r="G7712" t="str">
        <f t="shared" si="3149"/>
        <v>Refund COSHARE 10</v>
      </c>
      <c r="H7712" s="2">
        <v>1477.55</v>
      </c>
      <c r="I7712" t="str">
        <f>"ARAMESH AL ARTHUNARAYANAN"</f>
        <v>ARAMESH AL ARTHUNARAYANAN</v>
      </c>
      <c r="J7712" t="str">
        <f t="shared" si="3150"/>
        <v>BANK SIMPANAN NASIONAL</v>
      </c>
      <c r="K7712" t="str">
        <f>"1419229000077504"</f>
        <v>1419229000077504</v>
      </c>
      <c r="L7712" t="str">
        <f t="shared" si="3151"/>
        <v>04-08-2020</v>
      </c>
      <c r="M7712" t="str">
        <f t="shared" si="3151"/>
        <v>04-08-2020</v>
      </c>
      <c r="N7712" t="str">
        <f t="shared" si="3140"/>
        <v>001105018356</v>
      </c>
      <c r="O7712" t="str">
        <f t="shared" si="3141"/>
        <v>MYR</v>
      </c>
      <c r="P7712" t="str">
        <f t="shared" si="3152"/>
        <v>NIL</v>
      </c>
      <c r="Q7712" t="str">
        <f t="shared" si="3152"/>
        <v>NIL</v>
      </c>
      <c r="R7712" t="str">
        <f t="shared" si="3130"/>
        <v>Accepted</v>
      </c>
      <c r="S7712" t="str">
        <f t="shared" si="3143"/>
        <v>Approved</v>
      </c>
      <c r="T7712" t="str">
        <f t="shared" si="3131"/>
        <v>10.20.8.188</v>
      </c>
      <c r="U7712" t="str">
        <f t="shared" si="3144"/>
        <v>AZRAD UMAR BIN SHAARI</v>
      </c>
      <c r="V7712" t="str">
        <f t="shared" si="3145"/>
        <v>FARHANA BINTI MUSTAPA</v>
      </c>
      <c r="W7712" t="str">
        <f t="shared" si="3146"/>
        <v>04-08-2020</v>
      </c>
      <c r="X7712" t="str">
        <f t="shared" si="3147"/>
        <v>RAZIMAH ANSAR AHMAD</v>
      </c>
      <c r="Y7712" t="str">
        <f t="shared" si="3148"/>
        <v>04-08-2020</v>
      </c>
      <c r="Z7712" t="str">
        <f>"COS10200804 1442"</f>
        <v>COS10200804 1442</v>
      </c>
    </row>
    <row r="7713" spans="1:26" x14ac:dyDescent="0.25">
      <c r="A7713" t="str">
        <f t="shared" si="3134"/>
        <v>04-08-2020 12:34:18</v>
      </c>
      <c r="B7713" t="str">
        <f>"0000803193"</f>
        <v>0000803193</v>
      </c>
      <c r="C7713" t="str">
        <f t="shared" si="3135"/>
        <v>0000803152</v>
      </c>
      <c r="D7713" t="str">
        <f t="shared" si="3136"/>
        <v>73185</v>
      </c>
      <c r="E7713" t="str">
        <f t="shared" si="3137"/>
        <v>KFH-OPERATIONS DEPARTMENT</v>
      </c>
      <c r="F7713" t="str">
        <f t="shared" si="3138"/>
        <v>IBG</v>
      </c>
      <c r="G7713" t="str">
        <f t="shared" si="3149"/>
        <v>Refund COSHARE 10</v>
      </c>
      <c r="H7713" s="2">
        <v>117.55</v>
      </c>
      <c r="I7713" t="str">
        <f>"A RAHMAN BIN LAJUI"</f>
        <v>A RAHMAN BIN LAJUI</v>
      </c>
      <c r="J7713" t="str">
        <f t="shared" si="3150"/>
        <v>BANK SIMPANAN NASIONAL</v>
      </c>
      <c r="K7713" t="str">
        <f>"1211729000053567"</f>
        <v>1211729000053567</v>
      </c>
      <c r="L7713" t="str">
        <f t="shared" si="3151"/>
        <v>04-08-2020</v>
      </c>
      <c r="M7713" t="str">
        <f t="shared" si="3151"/>
        <v>04-08-2020</v>
      </c>
      <c r="N7713" t="str">
        <f t="shared" si="3140"/>
        <v>001105018356</v>
      </c>
      <c r="O7713" t="str">
        <f t="shared" si="3141"/>
        <v>MYR</v>
      </c>
      <c r="P7713" t="str">
        <f t="shared" si="3152"/>
        <v>NIL</v>
      </c>
      <c r="Q7713" t="str">
        <f t="shared" si="3152"/>
        <v>NIL</v>
      </c>
      <c r="R7713" t="str">
        <f t="shared" si="3130"/>
        <v>Accepted</v>
      </c>
      <c r="S7713" t="str">
        <f t="shared" si="3143"/>
        <v>Approved</v>
      </c>
      <c r="T7713" t="str">
        <f t="shared" si="3131"/>
        <v>10.20.8.188</v>
      </c>
      <c r="U7713" t="str">
        <f t="shared" si="3144"/>
        <v>AZRAD UMAR BIN SHAARI</v>
      </c>
      <c r="V7713" t="str">
        <f t="shared" si="3145"/>
        <v>FARHANA BINTI MUSTAPA</v>
      </c>
      <c r="W7713" t="str">
        <f t="shared" si="3146"/>
        <v>04-08-2020</v>
      </c>
      <c r="X7713" t="str">
        <f t="shared" si="3147"/>
        <v>RAZIMAH ANSAR AHMAD</v>
      </c>
      <c r="Y7713" t="str">
        <f t="shared" si="3148"/>
        <v>04-08-2020</v>
      </c>
      <c r="Z7713" t="str">
        <f>"COS10200804 1441"</f>
        <v>COS10200804 1441</v>
      </c>
    </row>
    <row r="7714" spans="1:26" x14ac:dyDescent="0.25">
      <c r="A7714" t="str">
        <f t="shared" ref="A7714:A7745" si="3153">"04-08-2020 12:34:18"</f>
        <v>04-08-2020 12:34:18</v>
      </c>
      <c r="B7714" t="str">
        <f>"0000803192"</f>
        <v>0000803192</v>
      </c>
      <c r="C7714" t="str">
        <f t="shared" ref="C7714:C7745" si="3154">"0000803152"</f>
        <v>0000803152</v>
      </c>
      <c r="D7714" t="str">
        <f t="shared" si="3136"/>
        <v>73185</v>
      </c>
      <c r="E7714" t="str">
        <f t="shared" si="3137"/>
        <v>KFH-OPERATIONS DEPARTMENT</v>
      </c>
      <c r="F7714" t="str">
        <f t="shared" si="3138"/>
        <v>IBG</v>
      </c>
      <c r="G7714" t="str">
        <f t="shared" si="3149"/>
        <v>Refund COSHARE 10</v>
      </c>
      <c r="H7714" s="2">
        <v>1007.4</v>
      </c>
      <c r="I7714" t="str">
        <f>"ZURAINI BINTI ZAINON"</f>
        <v>ZURAINI BINTI ZAINON</v>
      </c>
      <c r="J7714" t="str">
        <f t="shared" ref="J7714:J7777" si="3155">"BANK KERJASAMA RAKYAT"</f>
        <v>BANK KERJASAMA RAKYAT</v>
      </c>
      <c r="K7714" t="str">
        <f>"220071246981"</f>
        <v>220071246981</v>
      </c>
      <c r="L7714" t="str">
        <f t="shared" si="3151"/>
        <v>04-08-2020</v>
      </c>
      <c r="M7714" t="str">
        <f t="shared" si="3151"/>
        <v>04-08-2020</v>
      </c>
      <c r="N7714" t="str">
        <f t="shared" si="3140"/>
        <v>001105018356</v>
      </c>
      <c r="O7714" t="str">
        <f t="shared" si="3141"/>
        <v>MYR</v>
      </c>
      <c r="P7714" t="str">
        <f t="shared" si="3152"/>
        <v>NIL</v>
      </c>
      <c r="Q7714" t="str">
        <f t="shared" si="3152"/>
        <v>NIL</v>
      </c>
      <c r="R7714" t="str">
        <f t="shared" ref="R7714:R7777" si="3156">"Accepted"</f>
        <v>Accepted</v>
      </c>
      <c r="S7714" t="str">
        <f t="shared" si="3143"/>
        <v>Approved</v>
      </c>
      <c r="T7714" t="str">
        <f t="shared" ref="T7714:T7777" si="3157">"10.20.8.188"</f>
        <v>10.20.8.188</v>
      </c>
      <c r="U7714" t="str">
        <f t="shared" si="3144"/>
        <v>AZRAD UMAR BIN SHAARI</v>
      </c>
      <c r="V7714" t="str">
        <f t="shared" si="3145"/>
        <v>FARHANA BINTI MUSTAPA</v>
      </c>
      <c r="W7714" t="str">
        <f t="shared" si="3146"/>
        <v>04-08-2020</v>
      </c>
      <c r="X7714" t="str">
        <f t="shared" si="3147"/>
        <v>RAZIMAH ANSAR AHMAD</v>
      </c>
      <c r="Y7714" t="str">
        <f t="shared" si="3148"/>
        <v>04-08-2020</v>
      </c>
      <c r="Z7714" t="str">
        <f>"COS10200804 1440"</f>
        <v>COS10200804 1440</v>
      </c>
    </row>
    <row r="7715" spans="1:26" x14ac:dyDescent="0.25">
      <c r="A7715" t="str">
        <f t="shared" si="3153"/>
        <v>04-08-2020 12:34:18</v>
      </c>
      <c r="B7715" t="str">
        <f>"0000803191"</f>
        <v>0000803191</v>
      </c>
      <c r="C7715" t="str">
        <f t="shared" si="3154"/>
        <v>0000803152</v>
      </c>
      <c r="D7715" t="str">
        <f t="shared" si="3136"/>
        <v>73185</v>
      </c>
      <c r="E7715" t="str">
        <f t="shared" si="3137"/>
        <v>KFH-OPERATIONS DEPARTMENT</v>
      </c>
      <c r="F7715" t="str">
        <f t="shared" si="3138"/>
        <v>IBG</v>
      </c>
      <c r="G7715" t="str">
        <f t="shared" si="3149"/>
        <v>Refund COSHARE 10</v>
      </c>
      <c r="H7715" s="2">
        <v>42</v>
      </c>
      <c r="I7715" t="str">
        <f>"ZURAINI BINTI AHMAD"</f>
        <v>ZURAINI BINTI AHMAD</v>
      </c>
      <c r="J7715" t="str">
        <f t="shared" si="3155"/>
        <v>BANK KERJASAMA RAKYAT</v>
      </c>
      <c r="K7715" t="str">
        <f>"220531182964"</f>
        <v>220531182964</v>
      </c>
      <c r="L7715" t="str">
        <f t="shared" si="3151"/>
        <v>04-08-2020</v>
      </c>
      <c r="M7715" t="str">
        <f t="shared" si="3151"/>
        <v>04-08-2020</v>
      </c>
      <c r="N7715" t="str">
        <f t="shared" si="3140"/>
        <v>001105018356</v>
      </c>
      <c r="O7715" t="str">
        <f t="shared" si="3141"/>
        <v>MYR</v>
      </c>
      <c r="P7715" t="str">
        <f t="shared" si="3152"/>
        <v>NIL</v>
      </c>
      <c r="Q7715" t="str">
        <f t="shared" si="3152"/>
        <v>NIL</v>
      </c>
      <c r="R7715" t="str">
        <f t="shared" si="3156"/>
        <v>Accepted</v>
      </c>
      <c r="S7715" t="str">
        <f t="shared" si="3143"/>
        <v>Approved</v>
      </c>
      <c r="T7715" t="str">
        <f t="shared" si="3157"/>
        <v>10.20.8.188</v>
      </c>
      <c r="U7715" t="str">
        <f t="shared" si="3144"/>
        <v>AZRAD UMAR BIN SHAARI</v>
      </c>
      <c r="V7715" t="str">
        <f t="shared" si="3145"/>
        <v>FARHANA BINTI MUSTAPA</v>
      </c>
      <c r="W7715" t="str">
        <f t="shared" si="3146"/>
        <v>04-08-2020</v>
      </c>
      <c r="X7715" t="str">
        <f t="shared" si="3147"/>
        <v>RAZIMAH ANSAR AHMAD</v>
      </c>
      <c r="Y7715" t="str">
        <f t="shared" si="3148"/>
        <v>04-08-2020</v>
      </c>
      <c r="Z7715" t="str">
        <f>"COS10200804 1439"</f>
        <v>COS10200804 1439</v>
      </c>
    </row>
    <row r="7716" spans="1:26" x14ac:dyDescent="0.25">
      <c r="A7716" t="str">
        <f t="shared" si="3153"/>
        <v>04-08-2020 12:34:18</v>
      </c>
      <c r="B7716" t="str">
        <f>"0000803190"</f>
        <v>0000803190</v>
      </c>
      <c r="C7716" t="str">
        <f t="shared" si="3154"/>
        <v>0000803152</v>
      </c>
      <c r="D7716" t="str">
        <f t="shared" si="3136"/>
        <v>73185</v>
      </c>
      <c r="E7716" t="str">
        <f t="shared" si="3137"/>
        <v>KFH-OPERATIONS DEPARTMENT</v>
      </c>
      <c r="F7716" t="str">
        <f t="shared" si="3138"/>
        <v>IBG</v>
      </c>
      <c r="G7716" t="str">
        <f t="shared" si="3149"/>
        <v>Refund COSHARE 10</v>
      </c>
      <c r="H7716" s="2">
        <v>128.1</v>
      </c>
      <c r="I7716" t="str">
        <f>"ZURAIDAH BINTI ABDUL GHANI"</f>
        <v>ZURAIDAH BINTI ABDUL GHANI</v>
      </c>
      <c r="J7716" t="str">
        <f t="shared" si="3155"/>
        <v>BANK KERJASAMA RAKYAT</v>
      </c>
      <c r="K7716" t="str">
        <f>"220031427808"</f>
        <v>220031427808</v>
      </c>
      <c r="L7716" t="str">
        <f t="shared" si="3151"/>
        <v>04-08-2020</v>
      </c>
      <c r="M7716" t="str">
        <f t="shared" si="3151"/>
        <v>04-08-2020</v>
      </c>
      <c r="N7716" t="str">
        <f t="shared" si="3140"/>
        <v>001105018356</v>
      </c>
      <c r="O7716" t="str">
        <f t="shared" si="3141"/>
        <v>MYR</v>
      </c>
      <c r="P7716" t="str">
        <f t="shared" si="3152"/>
        <v>NIL</v>
      </c>
      <c r="Q7716" t="str">
        <f t="shared" si="3152"/>
        <v>NIL</v>
      </c>
      <c r="R7716" t="str">
        <f t="shared" si="3156"/>
        <v>Accepted</v>
      </c>
      <c r="S7716" t="str">
        <f t="shared" si="3143"/>
        <v>Approved</v>
      </c>
      <c r="T7716" t="str">
        <f t="shared" si="3157"/>
        <v>10.20.8.188</v>
      </c>
      <c r="U7716" t="str">
        <f t="shared" si="3144"/>
        <v>AZRAD UMAR BIN SHAARI</v>
      </c>
      <c r="V7716" t="str">
        <f t="shared" si="3145"/>
        <v>FARHANA BINTI MUSTAPA</v>
      </c>
      <c r="W7716" t="str">
        <f t="shared" si="3146"/>
        <v>04-08-2020</v>
      </c>
      <c r="X7716" t="str">
        <f t="shared" si="3147"/>
        <v>RAZIMAH ANSAR AHMAD</v>
      </c>
      <c r="Y7716" t="str">
        <f t="shared" si="3148"/>
        <v>04-08-2020</v>
      </c>
      <c r="Z7716" t="str">
        <f>"COS10200804 1438"</f>
        <v>COS10200804 1438</v>
      </c>
    </row>
    <row r="7717" spans="1:26" x14ac:dyDescent="0.25">
      <c r="A7717" t="str">
        <f t="shared" si="3153"/>
        <v>04-08-2020 12:34:18</v>
      </c>
      <c r="B7717" t="str">
        <f>"0000803189"</f>
        <v>0000803189</v>
      </c>
      <c r="C7717" t="str">
        <f t="shared" si="3154"/>
        <v>0000803152</v>
      </c>
      <c r="D7717" t="str">
        <f t="shared" si="3136"/>
        <v>73185</v>
      </c>
      <c r="E7717" t="str">
        <f t="shared" si="3137"/>
        <v>KFH-OPERATIONS DEPARTMENT</v>
      </c>
      <c r="F7717" t="str">
        <f t="shared" si="3138"/>
        <v>IBG</v>
      </c>
      <c r="G7717" t="str">
        <f t="shared" si="3149"/>
        <v>Refund COSHARE 10</v>
      </c>
      <c r="H7717" s="2">
        <v>57</v>
      </c>
      <c r="I7717" t="str">
        <f>"ZULKEFLE BIN RAHAMAN"</f>
        <v>ZULKEFLE BIN RAHAMAN</v>
      </c>
      <c r="J7717" t="str">
        <f t="shared" si="3155"/>
        <v>BANK KERJASAMA RAKYAT</v>
      </c>
      <c r="K7717" t="str">
        <f>"220701024341"</f>
        <v>220701024341</v>
      </c>
      <c r="L7717" t="str">
        <f t="shared" si="3151"/>
        <v>04-08-2020</v>
      </c>
      <c r="M7717" t="str">
        <f t="shared" si="3151"/>
        <v>04-08-2020</v>
      </c>
      <c r="N7717" t="str">
        <f t="shared" si="3140"/>
        <v>001105018356</v>
      </c>
      <c r="O7717" t="str">
        <f t="shared" si="3141"/>
        <v>MYR</v>
      </c>
      <c r="P7717" t="str">
        <f t="shared" si="3152"/>
        <v>NIL</v>
      </c>
      <c r="Q7717" t="str">
        <f t="shared" si="3152"/>
        <v>NIL</v>
      </c>
      <c r="R7717" t="str">
        <f t="shared" si="3156"/>
        <v>Accepted</v>
      </c>
      <c r="S7717" t="str">
        <f t="shared" si="3143"/>
        <v>Approved</v>
      </c>
      <c r="T7717" t="str">
        <f t="shared" si="3157"/>
        <v>10.20.8.188</v>
      </c>
      <c r="U7717" t="str">
        <f t="shared" si="3144"/>
        <v>AZRAD UMAR BIN SHAARI</v>
      </c>
      <c r="V7717" t="str">
        <f t="shared" si="3145"/>
        <v>FARHANA BINTI MUSTAPA</v>
      </c>
      <c r="W7717" t="str">
        <f t="shared" si="3146"/>
        <v>04-08-2020</v>
      </c>
      <c r="X7717" t="str">
        <f t="shared" si="3147"/>
        <v>RAZIMAH ANSAR AHMAD</v>
      </c>
      <c r="Y7717" t="str">
        <f t="shared" si="3148"/>
        <v>04-08-2020</v>
      </c>
      <c r="Z7717" t="str">
        <f>"COS10200804 1437"</f>
        <v>COS10200804 1437</v>
      </c>
    </row>
    <row r="7718" spans="1:26" x14ac:dyDescent="0.25">
      <c r="A7718" t="str">
        <f t="shared" si="3153"/>
        <v>04-08-2020 12:34:18</v>
      </c>
      <c r="B7718" t="str">
        <f>"0000803188"</f>
        <v>0000803188</v>
      </c>
      <c r="C7718" t="str">
        <f t="shared" si="3154"/>
        <v>0000803152</v>
      </c>
      <c r="D7718" t="str">
        <f t="shared" si="3136"/>
        <v>73185</v>
      </c>
      <c r="E7718" t="str">
        <f t="shared" si="3137"/>
        <v>KFH-OPERATIONS DEPARTMENT</v>
      </c>
      <c r="F7718" t="str">
        <f t="shared" si="3138"/>
        <v>IBG</v>
      </c>
      <c r="G7718" t="str">
        <f t="shared" si="3149"/>
        <v>Refund COSHARE 10</v>
      </c>
      <c r="H7718" s="2">
        <v>183</v>
      </c>
      <c r="I7718" t="str">
        <f>"ZULINA BINTI SANDI"</f>
        <v>ZULINA BINTI SANDI</v>
      </c>
      <c r="J7718" t="str">
        <f t="shared" si="3155"/>
        <v>BANK KERJASAMA RAKYAT</v>
      </c>
      <c r="K7718" t="str">
        <f>"220541323718"</f>
        <v>220541323718</v>
      </c>
      <c r="L7718" t="str">
        <f t="shared" si="3151"/>
        <v>04-08-2020</v>
      </c>
      <c r="M7718" t="str">
        <f t="shared" si="3151"/>
        <v>04-08-2020</v>
      </c>
      <c r="N7718" t="str">
        <f t="shared" si="3140"/>
        <v>001105018356</v>
      </c>
      <c r="O7718" t="str">
        <f t="shared" si="3141"/>
        <v>MYR</v>
      </c>
      <c r="P7718" t="str">
        <f t="shared" si="3152"/>
        <v>NIL</v>
      </c>
      <c r="Q7718" t="str">
        <f t="shared" si="3152"/>
        <v>NIL</v>
      </c>
      <c r="R7718" t="str">
        <f t="shared" si="3156"/>
        <v>Accepted</v>
      </c>
      <c r="S7718" t="str">
        <f t="shared" si="3143"/>
        <v>Approved</v>
      </c>
      <c r="T7718" t="str">
        <f t="shared" si="3157"/>
        <v>10.20.8.188</v>
      </c>
      <c r="U7718" t="str">
        <f t="shared" si="3144"/>
        <v>AZRAD UMAR BIN SHAARI</v>
      </c>
      <c r="V7718" t="str">
        <f t="shared" si="3145"/>
        <v>FARHANA BINTI MUSTAPA</v>
      </c>
      <c r="W7718" t="str">
        <f t="shared" si="3146"/>
        <v>04-08-2020</v>
      </c>
      <c r="X7718" t="str">
        <f t="shared" si="3147"/>
        <v>RAZIMAH ANSAR AHMAD</v>
      </c>
      <c r="Y7718" t="str">
        <f t="shared" si="3148"/>
        <v>04-08-2020</v>
      </c>
      <c r="Z7718" t="str">
        <f>"COS10200804 1436"</f>
        <v>COS10200804 1436</v>
      </c>
    </row>
    <row r="7719" spans="1:26" x14ac:dyDescent="0.25">
      <c r="A7719" t="str">
        <f t="shared" si="3153"/>
        <v>04-08-2020 12:34:18</v>
      </c>
      <c r="B7719" t="str">
        <f>"0000803187"</f>
        <v>0000803187</v>
      </c>
      <c r="C7719" t="str">
        <f t="shared" si="3154"/>
        <v>0000803152</v>
      </c>
      <c r="D7719" t="str">
        <f t="shared" si="3136"/>
        <v>73185</v>
      </c>
      <c r="E7719" t="str">
        <f t="shared" si="3137"/>
        <v>KFH-OPERATIONS DEPARTMENT</v>
      </c>
      <c r="F7719" t="str">
        <f t="shared" si="3138"/>
        <v>IBG</v>
      </c>
      <c r="G7719" t="str">
        <f t="shared" si="3149"/>
        <v>Refund COSHARE 10</v>
      </c>
      <c r="H7719" s="2">
        <v>251.85</v>
      </c>
      <c r="I7719" t="str">
        <f>"ZULHELMI BIN ILIAS"</f>
        <v>ZULHELMI BIN ILIAS</v>
      </c>
      <c r="J7719" t="str">
        <f t="shared" si="3155"/>
        <v>BANK KERJASAMA RAKYAT</v>
      </c>
      <c r="K7719" t="str">
        <f>"220791198767"</f>
        <v>220791198767</v>
      </c>
      <c r="L7719" t="str">
        <f t="shared" si="3151"/>
        <v>04-08-2020</v>
      </c>
      <c r="M7719" t="str">
        <f t="shared" si="3151"/>
        <v>04-08-2020</v>
      </c>
      <c r="N7719" t="str">
        <f t="shared" si="3140"/>
        <v>001105018356</v>
      </c>
      <c r="O7719" t="str">
        <f t="shared" si="3141"/>
        <v>MYR</v>
      </c>
      <c r="P7719" t="str">
        <f t="shared" si="3152"/>
        <v>NIL</v>
      </c>
      <c r="Q7719" t="str">
        <f t="shared" si="3152"/>
        <v>NIL</v>
      </c>
      <c r="R7719" t="str">
        <f t="shared" si="3156"/>
        <v>Accepted</v>
      </c>
      <c r="S7719" t="str">
        <f t="shared" si="3143"/>
        <v>Approved</v>
      </c>
      <c r="T7719" t="str">
        <f t="shared" si="3157"/>
        <v>10.20.8.188</v>
      </c>
      <c r="U7719" t="str">
        <f t="shared" si="3144"/>
        <v>AZRAD UMAR BIN SHAARI</v>
      </c>
      <c r="V7719" t="str">
        <f t="shared" si="3145"/>
        <v>FARHANA BINTI MUSTAPA</v>
      </c>
      <c r="W7719" t="str">
        <f t="shared" si="3146"/>
        <v>04-08-2020</v>
      </c>
      <c r="X7719" t="str">
        <f t="shared" si="3147"/>
        <v>RAZIMAH ANSAR AHMAD</v>
      </c>
      <c r="Y7719" t="str">
        <f t="shared" si="3148"/>
        <v>04-08-2020</v>
      </c>
      <c r="Z7719" t="str">
        <f>"COS10200804 1435"</f>
        <v>COS10200804 1435</v>
      </c>
    </row>
    <row r="7720" spans="1:26" x14ac:dyDescent="0.25">
      <c r="A7720" t="str">
        <f t="shared" si="3153"/>
        <v>04-08-2020 12:34:18</v>
      </c>
      <c r="B7720" t="str">
        <f>"0000803186"</f>
        <v>0000803186</v>
      </c>
      <c r="C7720" t="str">
        <f t="shared" si="3154"/>
        <v>0000803152</v>
      </c>
      <c r="D7720" t="str">
        <f t="shared" si="3136"/>
        <v>73185</v>
      </c>
      <c r="E7720" t="str">
        <f t="shared" si="3137"/>
        <v>KFH-OPERATIONS DEPARTMENT</v>
      </c>
      <c r="F7720" t="str">
        <f t="shared" si="3138"/>
        <v>IBG</v>
      </c>
      <c r="G7720" t="str">
        <f t="shared" si="3149"/>
        <v>Refund COSHARE 10</v>
      </c>
      <c r="H7720" s="2">
        <v>302.25</v>
      </c>
      <c r="I7720" t="str">
        <f>"ZUBAIDAH BINTI MOHD HANAFFIAH"</f>
        <v>ZUBAIDAH BINTI MOHD HANAFFIAH</v>
      </c>
      <c r="J7720" t="str">
        <f t="shared" si="3155"/>
        <v>BANK KERJASAMA RAKYAT</v>
      </c>
      <c r="K7720" t="str">
        <f>"220291207473"</f>
        <v>220291207473</v>
      </c>
      <c r="L7720" t="str">
        <f t="shared" si="3151"/>
        <v>04-08-2020</v>
      </c>
      <c r="M7720" t="str">
        <f t="shared" si="3151"/>
        <v>04-08-2020</v>
      </c>
      <c r="N7720" t="str">
        <f t="shared" si="3140"/>
        <v>001105018356</v>
      </c>
      <c r="O7720" t="str">
        <f t="shared" si="3141"/>
        <v>MYR</v>
      </c>
      <c r="P7720" t="str">
        <f t="shared" si="3152"/>
        <v>NIL</v>
      </c>
      <c r="Q7720" t="str">
        <f t="shared" si="3152"/>
        <v>NIL</v>
      </c>
      <c r="R7720" t="str">
        <f t="shared" si="3156"/>
        <v>Accepted</v>
      </c>
      <c r="S7720" t="str">
        <f t="shared" si="3143"/>
        <v>Approved</v>
      </c>
      <c r="T7720" t="str">
        <f t="shared" si="3157"/>
        <v>10.20.8.188</v>
      </c>
      <c r="U7720" t="str">
        <f t="shared" si="3144"/>
        <v>AZRAD UMAR BIN SHAARI</v>
      </c>
      <c r="V7720" t="str">
        <f t="shared" si="3145"/>
        <v>FARHANA BINTI MUSTAPA</v>
      </c>
      <c r="W7720" t="str">
        <f t="shared" si="3146"/>
        <v>04-08-2020</v>
      </c>
      <c r="X7720" t="str">
        <f t="shared" si="3147"/>
        <v>RAZIMAH ANSAR AHMAD</v>
      </c>
      <c r="Y7720" t="str">
        <f t="shared" si="3148"/>
        <v>04-08-2020</v>
      </c>
      <c r="Z7720" t="str">
        <f>"COS10200804 1434"</f>
        <v>COS10200804 1434</v>
      </c>
    </row>
    <row r="7721" spans="1:26" x14ac:dyDescent="0.25">
      <c r="A7721" t="str">
        <f t="shared" si="3153"/>
        <v>04-08-2020 12:34:18</v>
      </c>
      <c r="B7721" t="str">
        <f>"0000803185"</f>
        <v>0000803185</v>
      </c>
      <c r="C7721" t="str">
        <f t="shared" si="3154"/>
        <v>0000803152</v>
      </c>
      <c r="D7721" t="str">
        <f t="shared" si="3136"/>
        <v>73185</v>
      </c>
      <c r="E7721" t="str">
        <f t="shared" si="3137"/>
        <v>KFH-OPERATIONS DEPARTMENT</v>
      </c>
      <c r="F7721" t="str">
        <f t="shared" si="3138"/>
        <v>IBG</v>
      </c>
      <c r="G7721" t="str">
        <f t="shared" si="3149"/>
        <v>Refund COSHARE 10</v>
      </c>
      <c r="H7721" s="2">
        <v>186.65</v>
      </c>
      <c r="I7721" t="str">
        <f>"ZAZALI BIN ALIAS"</f>
        <v>ZAZALI BIN ALIAS</v>
      </c>
      <c r="J7721" t="str">
        <f t="shared" si="3155"/>
        <v>BANK KERJASAMA RAKYAT</v>
      </c>
      <c r="K7721" t="str">
        <f>"220286319867"</f>
        <v>220286319867</v>
      </c>
      <c r="L7721" t="str">
        <f t="shared" si="3151"/>
        <v>04-08-2020</v>
      </c>
      <c r="M7721" t="str">
        <f t="shared" si="3151"/>
        <v>04-08-2020</v>
      </c>
      <c r="N7721" t="str">
        <f t="shared" si="3140"/>
        <v>001105018356</v>
      </c>
      <c r="O7721" t="str">
        <f t="shared" si="3141"/>
        <v>MYR</v>
      </c>
      <c r="P7721" t="str">
        <f t="shared" si="3152"/>
        <v>NIL</v>
      </c>
      <c r="Q7721" t="str">
        <f t="shared" si="3152"/>
        <v>NIL</v>
      </c>
      <c r="R7721" t="str">
        <f t="shared" si="3156"/>
        <v>Accepted</v>
      </c>
      <c r="S7721" t="str">
        <f t="shared" si="3143"/>
        <v>Approved</v>
      </c>
      <c r="T7721" t="str">
        <f t="shared" si="3157"/>
        <v>10.20.8.188</v>
      </c>
      <c r="U7721" t="str">
        <f t="shared" si="3144"/>
        <v>AZRAD UMAR BIN SHAARI</v>
      </c>
      <c r="V7721" t="str">
        <f t="shared" si="3145"/>
        <v>FARHANA BINTI MUSTAPA</v>
      </c>
      <c r="W7721" t="str">
        <f t="shared" si="3146"/>
        <v>04-08-2020</v>
      </c>
      <c r="X7721" t="str">
        <f t="shared" si="3147"/>
        <v>RAZIMAH ANSAR AHMAD</v>
      </c>
      <c r="Y7721" t="str">
        <f t="shared" si="3148"/>
        <v>04-08-2020</v>
      </c>
      <c r="Z7721" t="str">
        <f>"COS10200804 1433"</f>
        <v>COS10200804 1433</v>
      </c>
    </row>
    <row r="7722" spans="1:26" x14ac:dyDescent="0.25">
      <c r="A7722" t="str">
        <f t="shared" si="3153"/>
        <v>04-08-2020 12:34:18</v>
      </c>
      <c r="B7722" t="str">
        <f>"0000803184"</f>
        <v>0000803184</v>
      </c>
      <c r="C7722" t="str">
        <f t="shared" si="3154"/>
        <v>0000803152</v>
      </c>
      <c r="D7722" t="str">
        <f t="shared" si="3136"/>
        <v>73185</v>
      </c>
      <c r="E7722" t="str">
        <f t="shared" si="3137"/>
        <v>KFH-OPERATIONS DEPARTMENT</v>
      </c>
      <c r="F7722" t="str">
        <f t="shared" si="3138"/>
        <v>IBG</v>
      </c>
      <c r="G7722" t="str">
        <f t="shared" si="3149"/>
        <v>Refund COSHARE 10</v>
      </c>
      <c r="H7722" s="2">
        <v>1379.2</v>
      </c>
      <c r="I7722" t="str">
        <f>"ZARINA BINTI AZIZAN"</f>
        <v>ZARINA BINTI AZIZAN</v>
      </c>
      <c r="J7722" t="str">
        <f t="shared" si="3155"/>
        <v>BANK KERJASAMA RAKYAT</v>
      </c>
      <c r="K7722" t="str">
        <f>"220423163423"</f>
        <v>220423163423</v>
      </c>
      <c r="L7722" t="str">
        <f t="shared" si="3151"/>
        <v>04-08-2020</v>
      </c>
      <c r="M7722" t="str">
        <f t="shared" si="3151"/>
        <v>04-08-2020</v>
      </c>
      <c r="N7722" t="str">
        <f t="shared" si="3140"/>
        <v>001105018356</v>
      </c>
      <c r="O7722" t="str">
        <f t="shared" si="3141"/>
        <v>MYR</v>
      </c>
      <c r="P7722" t="str">
        <f t="shared" si="3152"/>
        <v>NIL</v>
      </c>
      <c r="Q7722" t="str">
        <f t="shared" si="3152"/>
        <v>NIL</v>
      </c>
      <c r="R7722" t="str">
        <f t="shared" si="3156"/>
        <v>Accepted</v>
      </c>
      <c r="S7722" t="str">
        <f t="shared" si="3143"/>
        <v>Approved</v>
      </c>
      <c r="T7722" t="str">
        <f t="shared" si="3157"/>
        <v>10.20.8.188</v>
      </c>
      <c r="U7722" t="str">
        <f t="shared" si="3144"/>
        <v>AZRAD UMAR BIN SHAARI</v>
      </c>
      <c r="V7722" t="str">
        <f t="shared" si="3145"/>
        <v>FARHANA BINTI MUSTAPA</v>
      </c>
      <c r="W7722" t="str">
        <f t="shared" si="3146"/>
        <v>04-08-2020</v>
      </c>
      <c r="X7722" t="str">
        <f t="shared" si="3147"/>
        <v>RAZIMAH ANSAR AHMAD</v>
      </c>
      <c r="Y7722" t="str">
        <f t="shared" si="3148"/>
        <v>04-08-2020</v>
      </c>
      <c r="Z7722" t="str">
        <f>"COS10200804 1432"</f>
        <v>COS10200804 1432</v>
      </c>
    </row>
    <row r="7723" spans="1:26" x14ac:dyDescent="0.25">
      <c r="A7723" t="str">
        <f t="shared" si="3153"/>
        <v>04-08-2020 12:34:18</v>
      </c>
      <c r="B7723" t="str">
        <f>"0000803183"</f>
        <v>0000803183</v>
      </c>
      <c r="C7723" t="str">
        <f t="shared" si="3154"/>
        <v>0000803152</v>
      </c>
      <c r="D7723" t="str">
        <f t="shared" si="3136"/>
        <v>73185</v>
      </c>
      <c r="E7723" t="str">
        <f t="shared" si="3137"/>
        <v>KFH-OPERATIONS DEPARTMENT</v>
      </c>
      <c r="F7723" t="str">
        <f t="shared" si="3138"/>
        <v>IBG</v>
      </c>
      <c r="G7723" t="str">
        <f t="shared" si="3149"/>
        <v>Refund COSHARE 10</v>
      </c>
      <c r="H7723" s="2">
        <v>102.35</v>
      </c>
      <c r="I7723" t="str">
        <f>"ZAMILAH BINTI MAHMOOD"</f>
        <v>ZAMILAH BINTI MAHMOOD</v>
      </c>
      <c r="J7723" t="str">
        <f t="shared" si="3155"/>
        <v>BANK KERJASAMA RAKYAT</v>
      </c>
      <c r="K7723" t="str">
        <f>"220121448946"</f>
        <v>220121448946</v>
      </c>
      <c r="L7723" t="str">
        <f t="shared" si="3151"/>
        <v>04-08-2020</v>
      </c>
      <c r="M7723" t="str">
        <f t="shared" si="3151"/>
        <v>04-08-2020</v>
      </c>
      <c r="N7723" t="str">
        <f t="shared" si="3140"/>
        <v>001105018356</v>
      </c>
      <c r="O7723" t="str">
        <f t="shared" si="3141"/>
        <v>MYR</v>
      </c>
      <c r="P7723" t="str">
        <f t="shared" si="3152"/>
        <v>NIL</v>
      </c>
      <c r="Q7723" t="str">
        <f t="shared" si="3152"/>
        <v>NIL</v>
      </c>
      <c r="R7723" t="str">
        <f t="shared" si="3156"/>
        <v>Accepted</v>
      </c>
      <c r="S7723" t="str">
        <f t="shared" si="3143"/>
        <v>Approved</v>
      </c>
      <c r="T7723" t="str">
        <f t="shared" si="3157"/>
        <v>10.20.8.188</v>
      </c>
      <c r="U7723" t="str">
        <f t="shared" si="3144"/>
        <v>AZRAD UMAR BIN SHAARI</v>
      </c>
      <c r="V7723" t="str">
        <f t="shared" si="3145"/>
        <v>FARHANA BINTI MUSTAPA</v>
      </c>
      <c r="W7723" t="str">
        <f t="shared" si="3146"/>
        <v>04-08-2020</v>
      </c>
      <c r="X7723" t="str">
        <f t="shared" si="3147"/>
        <v>RAZIMAH ANSAR AHMAD</v>
      </c>
      <c r="Y7723" t="str">
        <f t="shared" si="3148"/>
        <v>04-08-2020</v>
      </c>
      <c r="Z7723" t="str">
        <f>"COS10200804 1431"</f>
        <v>COS10200804 1431</v>
      </c>
    </row>
    <row r="7724" spans="1:26" x14ac:dyDescent="0.25">
      <c r="A7724" t="str">
        <f t="shared" si="3153"/>
        <v>04-08-2020 12:34:18</v>
      </c>
      <c r="B7724" t="str">
        <f>"0000803182"</f>
        <v>0000803182</v>
      </c>
      <c r="C7724" t="str">
        <f t="shared" si="3154"/>
        <v>0000803152</v>
      </c>
      <c r="D7724" t="str">
        <f t="shared" si="3136"/>
        <v>73185</v>
      </c>
      <c r="E7724" t="str">
        <f t="shared" si="3137"/>
        <v>KFH-OPERATIONS DEPARTMENT</v>
      </c>
      <c r="F7724" t="str">
        <f t="shared" si="3138"/>
        <v>IBG</v>
      </c>
      <c r="G7724" t="str">
        <f t="shared" si="3149"/>
        <v>Refund COSHARE 10</v>
      </c>
      <c r="H7724" s="2">
        <v>107.1</v>
      </c>
      <c r="I7724" t="str">
        <f>"ZAMBRIE BIN MOHAMMED"</f>
        <v>ZAMBRIE BIN MOHAMMED</v>
      </c>
      <c r="J7724" t="str">
        <f t="shared" si="3155"/>
        <v>BANK KERJASAMA RAKYAT</v>
      </c>
      <c r="K7724" t="str">
        <f>"220101031682"</f>
        <v>220101031682</v>
      </c>
      <c r="L7724" t="str">
        <f t="shared" si="3151"/>
        <v>04-08-2020</v>
      </c>
      <c r="M7724" t="str">
        <f t="shared" si="3151"/>
        <v>04-08-2020</v>
      </c>
      <c r="N7724" t="str">
        <f t="shared" si="3140"/>
        <v>001105018356</v>
      </c>
      <c r="O7724" t="str">
        <f t="shared" si="3141"/>
        <v>MYR</v>
      </c>
      <c r="P7724" t="str">
        <f t="shared" si="3152"/>
        <v>NIL</v>
      </c>
      <c r="Q7724" t="str">
        <f t="shared" si="3152"/>
        <v>NIL</v>
      </c>
      <c r="R7724" t="str">
        <f t="shared" si="3156"/>
        <v>Accepted</v>
      </c>
      <c r="S7724" t="str">
        <f t="shared" si="3143"/>
        <v>Approved</v>
      </c>
      <c r="T7724" t="str">
        <f t="shared" si="3157"/>
        <v>10.20.8.188</v>
      </c>
      <c r="U7724" t="str">
        <f t="shared" si="3144"/>
        <v>AZRAD UMAR BIN SHAARI</v>
      </c>
      <c r="V7724" t="str">
        <f t="shared" si="3145"/>
        <v>FARHANA BINTI MUSTAPA</v>
      </c>
      <c r="W7724" t="str">
        <f t="shared" si="3146"/>
        <v>04-08-2020</v>
      </c>
      <c r="X7724" t="str">
        <f t="shared" si="3147"/>
        <v>RAZIMAH ANSAR AHMAD</v>
      </c>
      <c r="Y7724" t="str">
        <f t="shared" si="3148"/>
        <v>04-08-2020</v>
      </c>
      <c r="Z7724" t="str">
        <f>"COS10200804 1430"</f>
        <v>COS10200804 1430</v>
      </c>
    </row>
    <row r="7725" spans="1:26" x14ac:dyDescent="0.25">
      <c r="A7725" t="str">
        <f t="shared" si="3153"/>
        <v>04-08-2020 12:34:18</v>
      </c>
      <c r="B7725" t="str">
        <f>"0000803181"</f>
        <v>0000803181</v>
      </c>
      <c r="C7725" t="str">
        <f t="shared" si="3154"/>
        <v>0000803152</v>
      </c>
      <c r="D7725" t="str">
        <f t="shared" si="3136"/>
        <v>73185</v>
      </c>
      <c r="E7725" t="str">
        <f t="shared" si="3137"/>
        <v>KFH-OPERATIONS DEPARTMENT</v>
      </c>
      <c r="F7725" t="str">
        <f t="shared" si="3138"/>
        <v>IBG</v>
      </c>
      <c r="G7725" t="str">
        <f t="shared" si="3149"/>
        <v>Refund COSHARE 10</v>
      </c>
      <c r="H7725" s="2">
        <v>1133.3499999999999</v>
      </c>
      <c r="I7725" t="str">
        <f>"ZALWANI BINTI ISMAIL"</f>
        <v>ZALWANI BINTI ISMAIL</v>
      </c>
      <c r="J7725" t="str">
        <f t="shared" si="3155"/>
        <v>BANK KERJASAMA RAKYAT</v>
      </c>
      <c r="K7725" t="str">
        <f>"220121293767"</f>
        <v>220121293767</v>
      </c>
      <c r="L7725" t="str">
        <f t="shared" si="3151"/>
        <v>04-08-2020</v>
      </c>
      <c r="M7725" t="str">
        <f t="shared" si="3151"/>
        <v>04-08-2020</v>
      </c>
      <c r="N7725" t="str">
        <f t="shared" si="3140"/>
        <v>001105018356</v>
      </c>
      <c r="O7725" t="str">
        <f t="shared" si="3141"/>
        <v>MYR</v>
      </c>
      <c r="P7725" t="str">
        <f t="shared" si="3152"/>
        <v>NIL</v>
      </c>
      <c r="Q7725" t="str">
        <f t="shared" si="3152"/>
        <v>NIL</v>
      </c>
      <c r="R7725" t="str">
        <f t="shared" si="3156"/>
        <v>Accepted</v>
      </c>
      <c r="S7725" t="str">
        <f t="shared" si="3143"/>
        <v>Approved</v>
      </c>
      <c r="T7725" t="str">
        <f t="shared" si="3157"/>
        <v>10.20.8.188</v>
      </c>
      <c r="U7725" t="str">
        <f t="shared" si="3144"/>
        <v>AZRAD UMAR BIN SHAARI</v>
      </c>
      <c r="V7725" t="str">
        <f t="shared" si="3145"/>
        <v>FARHANA BINTI MUSTAPA</v>
      </c>
      <c r="W7725" t="str">
        <f t="shared" si="3146"/>
        <v>04-08-2020</v>
      </c>
      <c r="X7725" t="str">
        <f t="shared" si="3147"/>
        <v>RAZIMAH ANSAR AHMAD</v>
      </c>
      <c r="Y7725" t="str">
        <f t="shared" si="3148"/>
        <v>04-08-2020</v>
      </c>
      <c r="Z7725" t="str">
        <f>"COS10200804 1429"</f>
        <v>COS10200804 1429</v>
      </c>
    </row>
    <row r="7726" spans="1:26" x14ac:dyDescent="0.25">
      <c r="A7726" t="str">
        <f t="shared" si="3153"/>
        <v>04-08-2020 12:34:18</v>
      </c>
      <c r="B7726" t="str">
        <f>"0000803180"</f>
        <v>0000803180</v>
      </c>
      <c r="C7726" t="str">
        <f t="shared" si="3154"/>
        <v>0000803152</v>
      </c>
      <c r="D7726" t="str">
        <f t="shared" si="3136"/>
        <v>73185</v>
      </c>
      <c r="E7726" t="str">
        <f t="shared" si="3137"/>
        <v>KFH-OPERATIONS DEPARTMENT</v>
      </c>
      <c r="F7726" t="str">
        <f t="shared" si="3138"/>
        <v>IBG</v>
      </c>
      <c r="G7726" t="str">
        <f t="shared" si="3149"/>
        <v>Refund COSHARE 10</v>
      </c>
      <c r="H7726" s="2">
        <v>1079.7</v>
      </c>
      <c r="I7726" t="str">
        <f>"ZALIHA BINTI YAHYA"</f>
        <v>ZALIHA BINTI YAHYA</v>
      </c>
      <c r="J7726" t="str">
        <f t="shared" si="3155"/>
        <v>BANK KERJASAMA RAKYAT</v>
      </c>
      <c r="K7726" t="str">
        <f>"220541203144"</f>
        <v>220541203144</v>
      </c>
      <c r="L7726" t="str">
        <f t="shared" si="3151"/>
        <v>04-08-2020</v>
      </c>
      <c r="M7726" t="str">
        <f t="shared" si="3151"/>
        <v>04-08-2020</v>
      </c>
      <c r="N7726" t="str">
        <f t="shared" si="3140"/>
        <v>001105018356</v>
      </c>
      <c r="O7726" t="str">
        <f t="shared" si="3141"/>
        <v>MYR</v>
      </c>
      <c r="P7726" t="str">
        <f t="shared" si="3152"/>
        <v>NIL</v>
      </c>
      <c r="Q7726" t="str">
        <f t="shared" si="3152"/>
        <v>NIL</v>
      </c>
      <c r="R7726" t="str">
        <f t="shared" si="3156"/>
        <v>Accepted</v>
      </c>
      <c r="S7726" t="str">
        <f t="shared" si="3143"/>
        <v>Approved</v>
      </c>
      <c r="T7726" t="str">
        <f t="shared" si="3157"/>
        <v>10.20.8.188</v>
      </c>
      <c r="U7726" t="str">
        <f t="shared" si="3144"/>
        <v>AZRAD UMAR BIN SHAARI</v>
      </c>
      <c r="V7726" t="str">
        <f t="shared" si="3145"/>
        <v>FARHANA BINTI MUSTAPA</v>
      </c>
      <c r="W7726" t="str">
        <f t="shared" si="3146"/>
        <v>04-08-2020</v>
      </c>
      <c r="X7726" t="str">
        <f t="shared" si="3147"/>
        <v>RAZIMAH ANSAR AHMAD</v>
      </c>
      <c r="Y7726" t="str">
        <f t="shared" si="3148"/>
        <v>04-08-2020</v>
      </c>
      <c r="Z7726" t="str">
        <f>"COS10200804 1428"</f>
        <v>COS10200804 1428</v>
      </c>
    </row>
    <row r="7727" spans="1:26" x14ac:dyDescent="0.25">
      <c r="A7727" t="str">
        <f t="shared" si="3153"/>
        <v>04-08-2020 12:34:18</v>
      </c>
      <c r="B7727" t="str">
        <f>"0000803179"</f>
        <v>0000803179</v>
      </c>
      <c r="C7727" t="str">
        <f t="shared" si="3154"/>
        <v>0000803152</v>
      </c>
      <c r="D7727" t="str">
        <f t="shared" si="3136"/>
        <v>73185</v>
      </c>
      <c r="E7727" t="str">
        <f t="shared" si="3137"/>
        <v>KFH-OPERATIONS DEPARTMENT</v>
      </c>
      <c r="F7727" t="str">
        <f t="shared" si="3138"/>
        <v>IBG</v>
      </c>
      <c r="G7727" t="str">
        <f t="shared" si="3149"/>
        <v>Refund COSHARE 10</v>
      </c>
      <c r="H7727" s="2">
        <v>419.55</v>
      </c>
      <c r="I7727" t="str">
        <f>"ZALEHA BINTI ABD AZIZ"</f>
        <v>ZALEHA BINTI ABD AZIZ</v>
      </c>
      <c r="J7727" t="str">
        <f t="shared" si="3155"/>
        <v>BANK KERJASAMA RAKYAT</v>
      </c>
      <c r="K7727" t="str">
        <f>"220151266838"</f>
        <v>220151266838</v>
      </c>
      <c r="L7727" t="str">
        <f t="shared" ref="L7727:M7746" si="3158">"04-08-2020"</f>
        <v>04-08-2020</v>
      </c>
      <c r="M7727" t="str">
        <f t="shared" si="3158"/>
        <v>04-08-2020</v>
      </c>
      <c r="N7727" t="str">
        <f t="shared" si="3140"/>
        <v>001105018356</v>
      </c>
      <c r="O7727" t="str">
        <f t="shared" si="3141"/>
        <v>MYR</v>
      </c>
      <c r="P7727" t="str">
        <f t="shared" ref="P7727:Q7746" si="3159">"NIL"</f>
        <v>NIL</v>
      </c>
      <c r="Q7727" t="str">
        <f t="shared" si="3159"/>
        <v>NIL</v>
      </c>
      <c r="R7727" t="str">
        <f t="shared" si="3156"/>
        <v>Accepted</v>
      </c>
      <c r="S7727" t="str">
        <f t="shared" si="3143"/>
        <v>Approved</v>
      </c>
      <c r="T7727" t="str">
        <f t="shared" si="3157"/>
        <v>10.20.8.188</v>
      </c>
      <c r="U7727" t="str">
        <f t="shared" si="3144"/>
        <v>AZRAD UMAR BIN SHAARI</v>
      </c>
      <c r="V7727" t="str">
        <f t="shared" si="3145"/>
        <v>FARHANA BINTI MUSTAPA</v>
      </c>
      <c r="W7727" t="str">
        <f t="shared" si="3146"/>
        <v>04-08-2020</v>
      </c>
      <c r="X7727" t="str">
        <f t="shared" si="3147"/>
        <v>RAZIMAH ANSAR AHMAD</v>
      </c>
      <c r="Y7727" t="str">
        <f t="shared" si="3148"/>
        <v>04-08-2020</v>
      </c>
      <c r="Z7727" t="str">
        <f>"COS10200804 1427"</f>
        <v>COS10200804 1427</v>
      </c>
    </row>
    <row r="7728" spans="1:26" x14ac:dyDescent="0.25">
      <c r="A7728" t="str">
        <f t="shared" si="3153"/>
        <v>04-08-2020 12:34:18</v>
      </c>
      <c r="B7728" t="str">
        <f>"0000803178"</f>
        <v>0000803178</v>
      </c>
      <c r="C7728" t="str">
        <f t="shared" si="3154"/>
        <v>0000803152</v>
      </c>
      <c r="D7728" t="str">
        <f t="shared" si="3136"/>
        <v>73185</v>
      </c>
      <c r="E7728" t="str">
        <f t="shared" si="3137"/>
        <v>KFH-OPERATIONS DEPARTMENT</v>
      </c>
      <c r="F7728" t="str">
        <f t="shared" si="3138"/>
        <v>IBG</v>
      </c>
      <c r="G7728" t="str">
        <f t="shared" si="3149"/>
        <v>Refund COSHARE 10</v>
      </c>
      <c r="H7728" s="2">
        <v>371.55</v>
      </c>
      <c r="I7728" t="str">
        <f>"ZAKRI BIN SEMAN"</f>
        <v>ZAKRI BIN SEMAN</v>
      </c>
      <c r="J7728" t="str">
        <f t="shared" si="3155"/>
        <v>BANK KERJASAMA RAKYAT</v>
      </c>
      <c r="K7728" t="str">
        <f>"220101086507"</f>
        <v>220101086507</v>
      </c>
      <c r="L7728" t="str">
        <f t="shared" si="3158"/>
        <v>04-08-2020</v>
      </c>
      <c r="M7728" t="str">
        <f t="shared" si="3158"/>
        <v>04-08-2020</v>
      </c>
      <c r="N7728" t="str">
        <f t="shared" si="3140"/>
        <v>001105018356</v>
      </c>
      <c r="O7728" t="str">
        <f t="shared" si="3141"/>
        <v>MYR</v>
      </c>
      <c r="P7728" t="str">
        <f t="shared" si="3159"/>
        <v>NIL</v>
      </c>
      <c r="Q7728" t="str">
        <f t="shared" si="3159"/>
        <v>NIL</v>
      </c>
      <c r="R7728" t="str">
        <f t="shared" si="3156"/>
        <v>Accepted</v>
      </c>
      <c r="S7728" t="str">
        <f t="shared" si="3143"/>
        <v>Approved</v>
      </c>
      <c r="T7728" t="str">
        <f t="shared" si="3157"/>
        <v>10.20.8.188</v>
      </c>
      <c r="U7728" t="str">
        <f t="shared" si="3144"/>
        <v>AZRAD UMAR BIN SHAARI</v>
      </c>
      <c r="V7728" t="str">
        <f t="shared" si="3145"/>
        <v>FARHANA BINTI MUSTAPA</v>
      </c>
      <c r="W7728" t="str">
        <f t="shared" si="3146"/>
        <v>04-08-2020</v>
      </c>
      <c r="X7728" t="str">
        <f t="shared" si="3147"/>
        <v>RAZIMAH ANSAR AHMAD</v>
      </c>
      <c r="Y7728" t="str">
        <f t="shared" si="3148"/>
        <v>04-08-2020</v>
      </c>
      <c r="Z7728" t="str">
        <f>"COS10200804 1426"</f>
        <v>COS10200804 1426</v>
      </c>
    </row>
    <row r="7729" spans="1:26" x14ac:dyDescent="0.25">
      <c r="A7729" t="str">
        <f t="shared" si="3153"/>
        <v>04-08-2020 12:34:18</v>
      </c>
      <c r="B7729" t="str">
        <f>"0000803177"</f>
        <v>0000803177</v>
      </c>
      <c r="C7729" t="str">
        <f t="shared" si="3154"/>
        <v>0000803152</v>
      </c>
      <c r="D7729" t="str">
        <f t="shared" si="3136"/>
        <v>73185</v>
      </c>
      <c r="E7729" t="str">
        <f t="shared" si="3137"/>
        <v>KFH-OPERATIONS DEPARTMENT</v>
      </c>
      <c r="F7729" t="str">
        <f t="shared" si="3138"/>
        <v>IBG</v>
      </c>
      <c r="G7729" t="str">
        <f t="shared" si="3149"/>
        <v>Refund COSHARE 10</v>
      </c>
      <c r="H7729" s="2">
        <v>219.6</v>
      </c>
      <c r="I7729" t="str">
        <f>"ZAKARIAH BIN JAYARI"</f>
        <v>ZAKARIAH BIN JAYARI</v>
      </c>
      <c r="J7729" t="str">
        <f t="shared" si="3155"/>
        <v>BANK KERJASAMA RAKYAT</v>
      </c>
      <c r="K7729" t="str">
        <f>"220711010317"</f>
        <v>220711010317</v>
      </c>
      <c r="L7729" t="str">
        <f t="shared" si="3158"/>
        <v>04-08-2020</v>
      </c>
      <c r="M7729" t="str">
        <f t="shared" si="3158"/>
        <v>04-08-2020</v>
      </c>
      <c r="N7729" t="str">
        <f t="shared" si="3140"/>
        <v>001105018356</v>
      </c>
      <c r="O7729" t="str">
        <f t="shared" si="3141"/>
        <v>MYR</v>
      </c>
      <c r="P7729" t="str">
        <f t="shared" si="3159"/>
        <v>NIL</v>
      </c>
      <c r="Q7729" t="str">
        <f t="shared" si="3159"/>
        <v>NIL</v>
      </c>
      <c r="R7729" t="str">
        <f t="shared" si="3156"/>
        <v>Accepted</v>
      </c>
      <c r="S7729" t="str">
        <f t="shared" si="3143"/>
        <v>Approved</v>
      </c>
      <c r="T7729" t="str">
        <f t="shared" si="3157"/>
        <v>10.20.8.188</v>
      </c>
      <c r="U7729" t="str">
        <f t="shared" si="3144"/>
        <v>AZRAD UMAR BIN SHAARI</v>
      </c>
      <c r="V7729" t="str">
        <f t="shared" si="3145"/>
        <v>FARHANA BINTI MUSTAPA</v>
      </c>
      <c r="W7729" t="str">
        <f t="shared" si="3146"/>
        <v>04-08-2020</v>
      </c>
      <c r="X7729" t="str">
        <f t="shared" si="3147"/>
        <v>RAZIMAH ANSAR AHMAD</v>
      </c>
      <c r="Y7729" t="str">
        <f t="shared" si="3148"/>
        <v>04-08-2020</v>
      </c>
      <c r="Z7729" t="str">
        <f>"COS10200804 1425"</f>
        <v>COS10200804 1425</v>
      </c>
    </row>
    <row r="7730" spans="1:26" x14ac:dyDescent="0.25">
      <c r="A7730" t="str">
        <f t="shared" si="3153"/>
        <v>04-08-2020 12:34:18</v>
      </c>
      <c r="B7730" t="str">
        <f>"0000803176"</f>
        <v>0000803176</v>
      </c>
      <c r="C7730" t="str">
        <f t="shared" si="3154"/>
        <v>0000803152</v>
      </c>
      <c r="D7730" t="str">
        <f t="shared" si="3136"/>
        <v>73185</v>
      </c>
      <c r="E7730" t="str">
        <f t="shared" si="3137"/>
        <v>KFH-OPERATIONS DEPARTMENT</v>
      </c>
      <c r="F7730" t="str">
        <f t="shared" si="3138"/>
        <v>IBG</v>
      </c>
      <c r="G7730" t="str">
        <f t="shared" si="3149"/>
        <v>Refund COSHARE 10</v>
      </c>
      <c r="H7730" s="2">
        <v>246.25</v>
      </c>
      <c r="I7730" t="str">
        <f>"ZAKARIA BIN ABDULLAH"</f>
        <v>ZAKARIA BIN ABDULLAH</v>
      </c>
      <c r="J7730" t="str">
        <f t="shared" si="3155"/>
        <v>BANK KERJASAMA RAKYAT</v>
      </c>
      <c r="K7730" t="str">
        <f>"220541323400"</f>
        <v>220541323400</v>
      </c>
      <c r="L7730" t="str">
        <f t="shared" si="3158"/>
        <v>04-08-2020</v>
      </c>
      <c r="M7730" t="str">
        <f t="shared" si="3158"/>
        <v>04-08-2020</v>
      </c>
      <c r="N7730" t="str">
        <f t="shared" si="3140"/>
        <v>001105018356</v>
      </c>
      <c r="O7730" t="str">
        <f t="shared" si="3141"/>
        <v>MYR</v>
      </c>
      <c r="P7730" t="str">
        <f t="shared" si="3159"/>
        <v>NIL</v>
      </c>
      <c r="Q7730" t="str">
        <f t="shared" si="3159"/>
        <v>NIL</v>
      </c>
      <c r="R7730" t="str">
        <f t="shared" si="3156"/>
        <v>Accepted</v>
      </c>
      <c r="S7730" t="str">
        <f t="shared" si="3143"/>
        <v>Approved</v>
      </c>
      <c r="T7730" t="str">
        <f t="shared" si="3157"/>
        <v>10.20.8.188</v>
      </c>
      <c r="U7730" t="str">
        <f t="shared" si="3144"/>
        <v>AZRAD UMAR BIN SHAARI</v>
      </c>
      <c r="V7730" t="str">
        <f t="shared" si="3145"/>
        <v>FARHANA BINTI MUSTAPA</v>
      </c>
      <c r="W7730" t="str">
        <f t="shared" si="3146"/>
        <v>04-08-2020</v>
      </c>
      <c r="X7730" t="str">
        <f t="shared" si="3147"/>
        <v>RAZIMAH ANSAR AHMAD</v>
      </c>
      <c r="Y7730" t="str">
        <f t="shared" si="3148"/>
        <v>04-08-2020</v>
      </c>
      <c r="Z7730" t="str">
        <f>"COS10200804 1424"</f>
        <v>COS10200804 1424</v>
      </c>
    </row>
    <row r="7731" spans="1:26" x14ac:dyDescent="0.25">
      <c r="A7731" t="str">
        <f t="shared" si="3153"/>
        <v>04-08-2020 12:34:18</v>
      </c>
      <c r="B7731" t="str">
        <f>"0000803175"</f>
        <v>0000803175</v>
      </c>
      <c r="C7731" t="str">
        <f t="shared" si="3154"/>
        <v>0000803152</v>
      </c>
      <c r="D7731" t="str">
        <f t="shared" si="3136"/>
        <v>73185</v>
      </c>
      <c r="E7731" t="str">
        <f t="shared" si="3137"/>
        <v>KFH-OPERATIONS DEPARTMENT</v>
      </c>
      <c r="F7731" t="str">
        <f t="shared" si="3138"/>
        <v>IBG</v>
      </c>
      <c r="G7731" t="str">
        <f t="shared" si="3149"/>
        <v>Refund COSHARE 10</v>
      </c>
      <c r="H7731" s="2">
        <v>107.1</v>
      </c>
      <c r="I7731" t="str">
        <f>"ZAITON BINTI HASBULLAH"</f>
        <v>ZAITON BINTI HASBULLAH</v>
      </c>
      <c r="J7731" t="str">
        <f t="shared" si="3155"/>
        <v>BANK KERJASAMA RAKYAT</v>
      </c>
      <c r="K7731" t="str">
        <f>"220151224221"</f>
        <v>220151224221</v>
      </c>
      <c r="L7731" t="str">
        <f t="shared" si="3158"/>
        <v>04-08-2020</v>
      </c>
      <c r="M7731" t="str">
        <f t="shared" si="3158"/>
        <v>04-08-2020</v>
      </c>
      <c r="N7731" t="str">
        <f t="shared" si="3140"/>
        <v>001105018356</v>
      </c>
      <c r="O7731" t="str">
        <f t="shared" si="3141"/>
        <v>MYR</v>
      </c>
      <c r="P7731" t="str">
        <f t="shared" si="3159"/>
        <v>NIL</v>
      </c>
      <c r="Q7731" t="str">
        <f t="shared" si="3159"/>
        <v>NIL</v>
      </c>
      <c r="R7731" t="str">
        <f t="shared" si="3156"/>
        <v>Accepted</v>
      </c>
      <c r="S7731" t="str">
        <f t="shared" si="3143"/>
        <v>Approved</v>
      </c>
      <c r="T7731" t="str">
        <f t="shared" si="3157"/>
        <v>10.20.8.188</v>
      </c>
      <c r="U7731" t="str">
        <f t="shared" si="3144"/>
        <v>AZRAD UMAR BIN SHAARI</v>
      </c>
      <c r="V7731" t="str">
        <f t="shared" si="3145"/>
        <v>FARHANA BINTI MUSTAPA</v>
      </c>
      <c r="W7731" t="str">
        <f t="shared" si="3146"/>
        <v>04-08-2020</v>
      </c>
      <c r="X7731" t="str">
        <f t="shared" si="3147"/>
        <v>RAZIMAH ANSAR AHMAD</v>
      </c>
      <c r="Y7731" t="str">
        <f t="shared" si="3148"/>
        <v>04-08-2020</v>
      </c>
      <c r="Z7731" t="str">
        <f>"COS10200804 1423"</f>
        <v>COS10200804 1423</v>
      </c>
    </row>
    <row r="7732" spans="1:26" x14ac:dyDescent="0.25">
      <c r="A7732" t="str">
        <f t="shared" si="3153"/>
        <v>04-08-2020 12:34:18</v>
      </c>
      <c r="B7732" t="str">
        <f>"0000803174"</f>
        <v>0000803174</v>
      </c>
      <c r="C7732" t="str">
        <f t="shared" si="3154"/>
        <v>0000803152</v>
      </c>
      <c r="D7732" t="str">
        <f t="shared" si="3136"/>
        <v>73185</v>
      </c>
      <c r="E7732" t="str">
        <f t="shared" si="3137"/>
        <v>KFH-OPERATIONS DEPARTMENT</v>
      </c>
      <c r="F7732" t="str">
        <f t="shared" si="3138"/>
        <v>IBG</v>
      </c>
      <c r="G7732" t="str">
        <f t="shared" si="3149"/>
        <v>Refund COSHARE 10</v>
      </c>
      <c r="H7732" s="2">
        <v>76.25</v>
      </c>
      <c r="I7732" t="str">
        <f>"ZAINI BIN OTHMAN"</f>
        <v>ZAINI BIN OTHMAN</v>
      </c>
      <c r="J7732" t="str">
        <f t="shared" si="3155"/>
        <v>BANK KERJASAMA RAKYAT</v>
      </c>
      <c r="K7732" t="str">
        <f>"220881004158"</f>
        <v>220881004158</v>
      </c>
      <c r="L7732" t="str">
        <f t="shared" si="3158"/>
        <v>04-08-2020</v>
      </c>
      <c r="M7732" t="str">
        <f t="shared" si="3158"/>
        <v>04-08-2020</v>
      </c>
      <c r="N7732" t="str">
        <f t="shared" si="3140"/>
        <v>001105018356</v>
      </c>
      <c r="O7732" t="str">
        <f t="shared" si="3141"/>
        <v>MYR</v>
      </c>
      <c r="P7732" t="str">
        <f t="shared" si="3159"/>
        <v>NIL</v>
      </c>
      <c r="Q7732" t="str">
        <f t="shared" si="3159"/>
        <v>NIL</v>
      </c>
      <c r="R7732" t="str">
        <f t="shared" si="3156"/>
        <v>Accepted</v>
      </c>
      <c r="S7732" t="str">
        <f t="shared" si="3143"/>
        <v>Approved</v>
      </c>
      <c r="T7732" t="str">
        <f t="shared" si="3157"/>
        <v>10.20.8.188</v>
      </c>
      <c r="U7732" t="str">
        <f t="shared" si="3144"/>
        <v>AZRAD UMAR BIN SHAARI</v>
      </c>
      <c r="V7732" t="str">
        <f t="shared" si="3145"/>
        <v>FARHANA BINTI MUSTAPA</v>
      </c>
      <c r="W7732" t="str">
        <f t="shared" si="3146"/>
        <v>04-08-2020</v>
      </c>
      <c r="X7732" t="str">
        <f t="shared" si="3147"/>
        <v>RAZIMAH ANSAR AHMAD</v>
      </c>
      <c r="Y7732" t="str">
        <f t="shared" si="3148"/>
        <v>04-08-2020</v>
      </c>
      <c r="Z7732" t="str">
        <f>"COS10200804 1422"</f>
        <v>COS10200804 1422</v>
      </c>
    </row>
    <row r="7733" spans="1:26" x14ac:dyDescent="0.25">
      <c r="A7733" t="str">
        <f t="shared" si="3153"/>
        <v>04-08-2020 12:34:18</v>
      </c>
      <c r="B7733" t="str">
        <f>"0000803173"</f>
        <v>0000803173</v>
      </c>
      <c r="C7733" t="str">
        <f t="shared" si="3154"/>
        <v>0000803152</v>
      </c>
      <c r="D7733" t="str">
        <f t="shared" si="3136"/>
        <v>73185</v>
      </c>
      <c r="E7733" t="str">
        <f t="shared" si="3137"/>
        <v>KFH-OPERATIONS DEPARTMENT</v>
      </c>
      <c r="F7733" t="str">
        <f t="shared" si="3138"/>
        <v>IBG</v>
      </c>
      <c r="G7733" t="str">
        <f t="shared" si="3149"/>
        <v>Refund COSHARE 10</v>
      </c>
      <c r="H7733" s="2">
        <v>1267.6500000000001</v>
      </c>
      <c r="I7733" t="str">
        <f>"ZAINAB  BIBI BINTI UJIN"</f>
        <v>ZAINAB  BIBI BINTI UJIN</v>
      </c>
      <c r="J7733" t="str">
        <f t="shared" si="3155"/>
        <v>BANK KERJASAMA RAKYAT</v>
      </c>
      <c r="K7733" t="str">
        <f>"220531226406"</f>
        <v>220531226406</v>
      </c>
      <c r="L7733" t="str">
        <f t="shared" si="3158"/>
        <v>04-08-2020</v>
      </c>
      <c r="M7733" t="str">
        <f t="shared" si="3158"/>
        <v>04-08-2020</v>
      </c>
      <c r="N7733" t="str">
        <f t="shared" si="3140"/>
        <v>001105018356</v>
      </c>
      <c r="O7733" t="str">
        <f t="shared" si="3141"/>
        <v>MYR</v>
      </c>
      <c r="P7733" t="str">
        <f t="shared" si="3159"/>
        <v>NIL</v>
      </c>
      <c r="Q7733" t="str">
        <f t="shared" si="3159"/>
        <v>NIL</v>
      </c>
      <c r="R7733" t="str">
        <f t="shared" si="3156"/>
        <v>Accepted</v>
      </c>
      <c r="S7733" t="str">
        <f t="shared" si="3143"/>
        <v>Approved</v>
      </c>
      <c r="T7733" t="str">
        <f t="shared" si="3157"/>
        <v>10.20.8.188</v>
      </c>
      <c r="U7733" t="str">
        <f t="shared" si="3144"/>
        <v>AZRAD UMAR BIN SHAARI</v>
      </c>
      <c r="V7733" t="str">
        <f t="shared" si="3145"/>
        <v>FARHANA BINTI MUSTAPA</v>
      </c>
      <c r="W7733" t="str">
        <f t="shared" si="3146"/>
        <v>04-08-2020</v>
      </c>
      <c r="X7733" t="str">
        <f t="shared" si="3147"/>
        <v>RAZIMAH ANSAR AHMAD</v>
      </c>
      <c r="Y7733" t="str">
        <f t="shared" si="3148"/>
        <v>04-08-2020</v>
      </c>
      <c r="Z7733" t="str">
        <f>"COS10200804 1421"</f>
        <v>COS10200804 1421</v>
      </c>
    </row>
    <row r="7734" spans="1:26" x14ac:dyDescent="0.25">
      <c r="A7734" t="str">
        <f t="shared" si="3153"/>
        <v>04-08-2020 12:34:18</v>
      </c>
      <c r="B7734" t="str">
        <f>"0000803172"</f>
        <v>0000803172</v>
      </c>
      <c r="C7734" t="str">
        <f t="shared" si="3154"/>
        <v>0000803152</v>
      </c>
      <c r="D7734" t="str">
        <f t="shared" si="3136"/>
        <v>73185</v>
      </c>
      <c r="E7734" t="str">
        <f t="shared" si="3137"/>
        <v>KFH-OPERATIONS DEPARTMENT</v>
      </c>
      <c r="F7734" t="str">
        <f t="shared" si="3138"/>
        <v>IBG</v>
      </c>
      <c r="G7734" t="str">
        <f t="shared" si="3149"/>
        <v>Refund COSHARE 10</v>
      </c>
      <c r="H7734" s="2">
        <v>151.15</v>
      </c>
      <c r="I7734" t="str">
        <f>"ZAID AZRAQH BIN ZAINAL AZNAM"</f>
        <v>ZAID AZRAQH BIN ZAINAL AZNAM</v>
      </c>
      <c r="J7734" t="str">
        <f t="shared" si="3155"/>
        <v>BANK KERJASAMA RAKYAT</v>
      </c>
      <c r="K7734" t="str">
        <f>"220515437180"</f>
        <v>220515437180</v>
      </c>
      <c r="L7734" t="str">
        <f t="shared" si="3158"/>
        <v>04-08-2020</v>
      </c>
      <c r="M7734" t="str">
        <f t="shared" si="3158"/>
        <v>04-08-2020</v>
      </c>
      <c r="N7734" t="str">
        <f t="shared" si="3140"/>
        <v>001105018356</v>
      </c>
      <c r="O7734" t="str">
        <f t="shared" si="3141"/>
        <v>MYR</v>
      </c>
      <c r="P7734" t="str">
        <f t="shared" si="3159"/>
        <v>NIL</v>
      </c>
      <c r="Q7734" t="str">
        <f t="shared" si="3159"/>
        <v>NIL</v>
      </c>
      <c r="R7734" t="str">
        <f t="shared" si="3156"/>
        <v>Accepted</v>
      </c>
      <c r="S7734" t="str">
        <f t="shared" si="3143"/>
        <v>Approved</v>
      </c>
      <c r="T7734" t="str">
        <f t="shared" si="3157"/>
        <v>10.20.8.188</v>
      </c>
      <c r="U7734" t="str">
        <f t="shared" si="3144"/>
        <v>AZRAD UMAR BIN SHAARI</v>
      </c>
      <c r="V7734" t="str">
        <f t="shared" si="3145"/>
        <v>FARHANA BINTI MUSTAPA</v>
      </c>
      <c r="W7734" t="str">
        <f t="shared" si="3146"/>
        <v>04-08-2020</v>
      </c>
      <c r="X7734" t="str">
        <f t="shared" si="3147"/>
        <v>RAZIMAH ANSAR AHMAD</v>
      </c>
      <c r="Y7734" t="str">
        <f t="shared" si="3148"/>
        <v>04-08-2020</v>
      </c>
      <c r="Z7734" t="str">
        <f>"COS10200804 1420"</f>
        <v>COS10200804 1420</v>
      </c>
    </row>
    <row r="7735" spans="1:26" x14ac:dyDescent="0.25">
      <c r="A7735" t="str">
        <f t="shared" si="3153"/>
        <v>04-08-2020 12:34:18</v>
      </c>
      <c r="B7735" t="str">
        <f>"0000803171"</f>
        <v>0000803171</v>
      </c>
      <c r="C7735" t="str">
        <f t="shared" si="3154"/>
        <v>0000803152</v>
      </c>
      <c r="D7735" t="str">
        <f t="shared" si="3136"/>
        <v>73185</v>
      </c>
      <c r="E7735" t="str">
        <f t="shared" si="3137"/>
        <v>KFH-OPERATIONS DEPARTMENT</v>
      </c>
      <c r="F7735" t="str">
        <f t="shared" si="3138"/>
        <v>IBG</v>
      </c>
      <c r="G7735" t="str">
        <f t="shared" si="3149"/>
        <v>Refund COSHARE 10</v>
      </c>
      <c r="H7735" s="2">
        <v>1456.8</v>
      </c>
      <c r="I7735" t="str">
        <f>"ZAHARUDIN BIN ALWI"</f>
        <v>ZAHARUDIN BIN ALWI</v>
      </c>
      <c r="J7735" t="str">
        <f t="shared" si="3155"/>
        <v>BANK KERJASAMA RAKYAT</v>
      </c>
      <c r="K7735" t="str">
        <f>"220411102545"</f>
        <v>220411102545</v>
      </c>
      <c r="L7735" t="str">
        <f t="shared" si="3158"/>
        <v>04-08-2020</v>
      </c>
      <c r="M7735" t="str">
        <f t="shared" si="3158"/>
        <v>04-08-2020</v>
      </c>
      <c r="N7735" t="str">
        <f t="shared" si="3140"/>
        <v>001105018356</v>
      </c>
      <c r="O7735" t="str">
        <f t="shared" si="3141"/>
        <v>MYR</v>
      </c>
      <c r="P7735" t="str">
        <f t="shared" si="3159"/>
        <v>NIL</v>
      </c>
      <c r="Q7735" t="str">
        <f t="shared" si="3159"/>
        <v>NIL</v>
      </c>
      <c r="R7735" t="str">
        <f t="shared" si="3156"/>
        <v>Accepted</v>
      </c>
      <c r="S7735" t="str">
        <f t="shared" si="3143"/>
        <v>Approved</v>
      </c>
      <c r="T7735" t="str">
        <f t="shared" si="3157"/>
        <v>10.20.8.188</v>
      </c>
      <c r="U7735" t="str">
        <f t="shared" si="3144"/>
        <v>AZRAD UMAR BIN SHAARI</v>
      </c>
      <c r="V7735" t="str">
        <f t="shared" si="3145"/>
        <v>FARHANA BINTI MUSTAPA</v>
      </c>
      <c r="W7735" t="str">
        <f t="shared" si="3146"/>
        <v>04-08-2020</v>
      </c>
      <c r="X7735" t="str">
        <f t="shared" si="3147"/>
        <v>RAZIMAH ANSAR AHMAD</v>
      </c>
      <c r="Y7735" t="str">
        <f t="shared" si="3148"/>
        <v>04-08-2020</v>
      </c>
      <c r="Z7735" t="str">
        <f>"COS10200804 1419"</f>
        <v>COS10200804 1419</v>
      </c>
    </row>
    <row r="7736" spans="1:26" x14ac:dyDescent="0.25">
      <c r="A7736" t="str">
        <f t="shared" si="3153"/>
        <v>04-08-2020 12:34:18</v>
      </c>
      <c r="B7736" t="str">
        <f>"0000803170"</f>
        <v>0000803170</v>
      </c>
      <c r="C7736" t="str">
        <f t="shared" si="3154"/>
        <v>0000803152</v>
      </c>
      <c r="D7736" t="str">
        <f t="shared" si="3136"/>
        <v>73185</v>
      </c>
      <c r="E7736" t="str">
        <f t="shared" si="3137"/>
        <v>KFH-OPERATIONS DEPARTMENT</v>
      </c>
      <c r="F7736" t="str">
        <f t="shared" si="3138"/>
        <v>IBG</v>
      </c>
      <c r="G7736" t="str">
        <f t="shared" si="3149"/>
        <v>Refund COSHARE 10</v>
      </c>
      <c r="H7736" s="2">
        <v>142</v>
      </c>
      <c r="I7736" t="str">
        <f>"ZAHARUDIN BIN ALWI"</f>
        <v>ZAHARUDIN BIN ALWI</v>
      </c>
      <c r="J7736" t="str">
        <f t="shared" si="3155"/>
        <v>BANK KERJASAMA RAKYAT</v>
      </c>
      <c r="K7736" t="str">
        <f>"220411102545"</f>
        <v>220411102545</v>
      </c>
      <c r="L7736" t="str">
        <f t="shared" si="3158"/>
        <v>04-08-2020</v>
      </c>
      <c r="M7736" t="str">
        <f t="shared" si="3158"/>
        <v>04-08-2020</v>
      </c>
      <c r="N7736" t="str">
        <f t="shared" si="3140"/>
        <v>001105018356</v>
      </c>
      <c r="O7736" t="str">
        <f t="shared" si="3141"/>
        <v>MYR</v>
      </c>
      <c r="P7736" t="str">
        <f t="shared" si="3159"/>
        <v>NIL</v>
      </c>
      <c r="Q7736" t="str">
        <f t="shared" si="3159"/>
        <v>NIL</v>
      </c>
      <c r="R7736" t="str">
        <f t="shared" si="3156"/>
        <v>Accepted</v>
      </c>
      <c r="S7736" t="str">
        <f t="shared" si="3143"/>
        <v>Approved</v>
      </c>
      <c r="T7736" t="str">
        <f t="shared" si="3157"/>
        <v>10.20.8.188</v>
      </c>
      <c r="U7736" t="str">
        <f t="shared" si="3144"/>
        <v>AZRAD UMAR BIN SHAARI</v>
      </c>
      <c r="V7736" t="str">
        <f t="shared" si="3145"/>
        <v>FARHANA BINTI MUSTAPA</v>
      </c>
      <c r="W7736" t="str">
        <f t="shared" si="3146"/>
        <v>04-08-2020</v>
      </c>
      <c r="X7736" t="str">
        <f t="shared" si="3147"/>
        <v>RAZIMAH ANSAR AHMAD</v>
      </c>
      <c r="Y7736" t="str">
        <f t="shared" si="3148"/>
        <v>04-08-2020</v>
      </c>
      <c r="Z7736" t="str">
        <f>"COS10200804 1418"</f>
        <v>COS10200804 1418</v>
      </c>
    </row>
    <row r="7737" spans="1:26" x14ac:dyDescent="0.25">
      <c r="A7737" t="str">
        <f t="shared" si="3153"/>
        <v>04-08-2020 12:34:18</v>
      </c>
      <c r="B7737" t="str">
        <f>"0000803169"</f>
        <v>0000803169</v>
      </c>
      <c r="C7737" t="str">
        <f t="shared" si="3154"/>
        <v>0000803152</v>
      </c>
      <c r="D7737" t="str">
        <f t="shared" si="3136"/>
        <v>73185</v>
      </c>
      <c r="E7737" t="str">
        <f t="shared" si="3137"/>
        <v>KFH-OPERATIONS DEPARTMENT</v>
      </c>
      <c r="F7737" t="str">
        <f t="shared" si="3138"/>
        <v>IBG</v>
      </c>
      <c r="G7737" t="str">
        <f t="shared" si="3149"/>
        <v>Refund COSHARE 10</v>
      </c>
      <c r="H7737" s="2">
        <v>85.2</v>
      </c>
      <c r="I7737" t="str">
        <f>"ZAHARIN BIN JAAFAR"</f>
        <v>ZAHARIN BIN JAAFAR</v>
      </c>
      <c r="J7737" t="str">
        <f t="shared" si="3155"/>
        <v>BANK KERJASAMA RAKYAT</v>
      </c>
      <c r="K7737" t="str">
        <f>"220601151214"</f>
        <v>220601151214</v>
      </c>
      <c r="L7737" t="str">
        <f t="shared" si="3158"/>
        <v>04-08-2020</v>
      </c>
      <c r="M7737" t="str">
        <f t="shared" si="3158"/>
        <v>04-08-2020</v>
      </c>
      <c r="N7737" t="str">
        <f t="shared" si="3140"/>
        <v>001105018356</v>
      </c>
      <c r="O7737" t="str">
        <f t="shared" si="3141"/>
        <v>MYR</v>
      </c>
      <c r="P7737" t="str">
        <f t="shared" si="3159"/>
        <v>NIL</v>
      </c>
      <c r="Q7737" t="str">
        <f t="shared" si="3159"/>
        <v>NIL</v>
      </c>
      <c r="R7737" t="str">
        <f t="shared" si="3156"/>
        <v>Accepted</v>
      </c>
      <c r="S7737" t="str">
        <f t="shared" si="3143"/>
        <v>Approved</v>
      </c>
      <c r="T7737" t="str">
        <f t="shared" si="3157"/>
        <v>10.20.8.188</v>
      </c>
      <c r="U7737" t="str">
        <f t="shared" si="3144"/>
        <v>AZRAD UMAR BIN SHAARI</v>
      </c>
      <c r="V7737" t="str">
        <f t="shared" si="3145"/>
        <v>FARHANA BINTI MUSTAPA</v>
      </c>
      <c r="W7737" t="str">
        <f t="shared" si="3146"/>
        <v>04-08-2020</v>
      </c>
      <c r="X7737" t="str">
        <f t="shared" si="3147"/>
        <v>RAZIMAH ANSAR AHMAD</v>
      </c>
      <c r="Y7737" t="str">
        <f t="shared" si="3148"/>
        <v>04-08-2020</v>
      </c>
      <c r="Z7737" t="str">
        <f>"COS10200804 1417"</f>
        <v>COS10200804 1417</v>
      </c>
    </row>
    <row r="7738" spans="1:26" x14ac:dyDescent="0.25">
      <c r="A7738" t="str">
        <f t="shared" si="3153"/>
        <v>04-08-2020 12:34:18</v>
      </c>
      <c r="B7738" t="str">
        <f>"0000803168"</f>
        <v>0000803168</v>
      </c>
      <c r="C7738" t="str">
        <f t="shared" si="3154"/>
        <v>0000803152</v>
      </c>
      <c r="D7738" t="str">
        <f t="shared" si="3136"/>
        <v>73185</v>
      </c>
      <c r="E7738" t="str">
        <f t="shared" si="3137"/>
        <v>KFH-OPERATIONS DEPARTMENT</v>
      </c>
      <c r="F7738" t="str">
        <f t="shared" si="3138"/>
        <v>IBG</v>
      </c>
      <c r="G7738" t="str">
        <f t="shared" si="3149"/>
        <v>Refund COSHARE 10</v>
      </c>
      <c r="H7738" s="2">
        <v>85.2</v>
      </c>
      <c r="I7738" t="str">
        <f>"ZAHARIN BIN JAAFAR"</f>
        <v>ZAHARIN BIN JAAFAR</v>
      </c>
      <c r="J7738" t="str">
        <f t="shared" si="3155"/>
        <v>BANK KERJASAMA RAKYAT</v>
      </c>
      <c r="K7738" t="str">
        <f>"220601151214"</f>
        <v>220601151214</v>
      </c>
      <c r="L7738" t="str">
        <f t="shared" si="3158"/>
        <v>04-08-2020</v>
      </c>
      <c r="M7738" t="str">
        <f t="shared" si="3158"/>
        <v>04-08-2020</v>
      </c>
      <c r="N7738" t="str">
        <f t="shared" si="3140"/>
        <v>001105018356</v>
      </c>
      <c r="O7738" t="str">
        <f t="shared" si="3141"/>
        <v>MYR</v>
      </c>
      <c r="P7738" t="str">
        <f t="shared" si="3159"/>
        <v>NIL</v>
      </c>
      <c r="Q7738" t="str">
        <f t="shared" si="3159"/>
        <v>NIL</v>
      </c>
      <c r="R7738" t="str">
        <f t="shared" si="3156"/>
        <v>Accepted</v>
      </c>
      <c r="S7738" t="str">
        <f t="shared" si="3143"/>
        <v>Approved</v>
      </c>
      <c r="T7738" t="str">
        <f t="shared" si="3157"/>
        <v>10.20.8.188</v>
      </c>
      <c r="U7738" t="str">
        <f t="shared" si="3144"/>
        <v>AZRAD UMAR BIN SHAARI</v>
      </c>
      <c r="V7738" t="str">
        <f t="shared" si="3145"/>
        <v>FARHANA BINTI MUSTAPA</v>
      </c>
      <c r="W7738" t="str">
        <f t="shared" si="3146"/>
        <v>04-08-2020</v>
      </c>
      <c r="X7738" t="str">
        <f t="shared" si="3147"/>
        <v>RAZIMAH ANSAR AHMAD</v>
      </c>
      <c r="Y7738" t="str">
        <f t="shared" si="3148"/>
        <v>04-08-2020</v>
      </c>
      <c r="Z7738" t="str">
        <f>"COS10200804 1416"</f>
        <v>COS10200804 1416</v>
      </c>
    </row>
    <row r="7739" spans="1:26" x14ac:dyDescent="0.25">
      <c r="A7739" t="str">
        <f t="shared" si="3153"/>
        <v>04-08-2020 12:34:18</v>
      </c>
      <c r="B7739" t="str">
        <f>"0000803167"</f>
        <v>0000803167</v>
      </c>
      <c r="C7739" t="str">
        <f t="shared" si="3154"/>
        <v>0000803152</v>
      </c>
      <c r="D7739" t="str">
        <f t="shared" si="3136"/>
        <v>73185</v>
      </c>
      <c r="E7739" t="str">
        <f t="shared" si="3137"/>
        <v>KFH-OPERATIONS DEPARTMENT</v>
      </c>
      <c r="F7739" t="str">
        <f t="shared" si="3138"/>
        <v>IBG</v>
      </c>
      <c r="G7739" t="str">
        <f t="shared" si="3149"/>
        <v>Refund COSHARE 10</v>
      </c>
      <c r="H7739" s="2">
        <v>125.95</v>
      </c>
      <c r="I7739" t="str">
        <f>"ZABAAYAH BINTI ZAINABDIN  ZINABDIN"</f>
        <v>ZABAAYAH BINTI ZAINABDIN  ZINABDIN</v>
      </c>
      <c r="J7739" t="str">
        <f t="shared" si="3155"/>
        <v>BANK KERJASAMA RAKYAT</v>
      </c>
      <c r="K7739" t="str">
        <f>"220781185081"</f>
        <v>220781185081</v>
      </c>
      <c r="L7739" t="str">
        <f t="shared" si="3158"/>
        <v>04-08-2020</v>
      </c>
      <c r="M7739" t="str">
        <f t="shared" si="3158"/>
        <v>04-08-2020</v>
      </c>
      <c r="N7739" t="str">
        <f t="shared" si="3140"/>
        <v>001105018356</v>
      </c>
      <c r="O7739" t="str">
        <f t="shared" si="3141"/>
        <v>MYR</v>
      </c>
      <c r="P7739" t="str">
        <f t="shared" si="3159"/>
        <v>NIL</v>
      </c>
      <c r="Q7739" t="str">
        <f t="shared" si="3159"/>
        <v>NIL</v>
      </c>
      <c r="R7739" t="str">
        <f t="shared" si="3156"/>
        <v>Accepted</v>
      </c>
      <c r="S7739" t="str">
        <f t="shared" si="3143"/>
        <v>Approved</v>
      </c>
      <c r="T7739" t="str">
        <f t="shared" si="3157"/>
        <v>10.20.8.188</v>
      </c>
      <c r="U7739" t="str">
        <f t="shared" si="3144"/>
        <v>AZRAD UMAR BIN SHAARI</v>
      </c>
      <c r="V7739" t="str">
        <f t="shared" si="3145"/>
        <v>FARHANA BINTI MUSTAPA</v>
      </c>
      <c r="W7739" t="str">
        <f t="shared" si="3146"/>
        <v>04-08-2020</v>
      </c>
      <c r="X7739" t="str">
        <f t="shared" si="3147"/>
        <v>RAZIMAH ANSAR AHMAD</v>
      </c>
      <c r="Y7739" t="str">
        <f t="shared" si="3148"/>
        <v>04-08-2020</v>
      </c>
      <c r="Z7739" t="str">
        <f>"COS10200804 1415"</f>
        <v>COS10200804 1415</v>
      </c>
    </row>
    <row r="7740" spans="1:26" x14ac:dyDescent="0.25">
      <c r="A7740" t="str">
        <f t="shared" si="3153"/>
        <v>04-08-2020 12:34:18</v>
      </c>
      <c r="B7740" t="str">
        <f>"0000803166"</f>
        <v>0000803166</v>
      </c>
      <c r="C7740" t="str">
        <f t="shared" si="3154"/>
        <v>0000803152</v>
      </c>
      <c r="D7740" t="str">
        <f t="shared" si="3136"/>
        <v>73185</v>
      </c>
      <c r="E7740" t="str">
        <f t="shared" si="3137"/>
        <v>KFH-OPERATIONS DEPARTMENT</v>
      </c>
      <c r="F7740" t="str">
        <f t="shared" si="3138"/>
        <v>IBG</v>
      </c>
      <c r="G7740" t="str">
        <f t="shared" si="3149"/>
        <v>Refund COSHARE 10</v>
      </c>
      <c r="H7740" s="2">
        <v>899.25</v>
      </c>
      <c r="I7740" t="str">
        <f>"YUSSHAINI BIN ISMAIL"</f>
        <v>YUSSHAINI BIN ISMAIL</v>
      </c>
      <c r="J7740" t="str">
        <f t="shared" si="3155"/>
        <v>BANK KERJASAMA RAKYAT</v>
      </c>
      <c r="K7740" t="str">
        <f>"220331354373"</f>
        <v>220331354373</v>
      </c>
      <c r="L7740" t="str">
        <f t="shared" si="3158"/>
        <v>04-08-2020</v>
      </c>
      <c r="M7740" t="str">
        <f t="shared" si="3158"/>
        <v>04-08-2020</v>
      </c>
      <c r="N7740" t="str">
        <f t="shared" si="3140"/>
        <v>001105018356</v>
      </c>
      <c r="O7740" t="str">
        <f t="shared" si="3141"/>
        <v>MYR</v>
      </c>
      <c r="P7740" t="str">
        <f t="shared" si="3159"/>
        <v>NIL</v>
      </c>
      <c r="Q7740" t="str">
        <f t="shared" si="3159"/>
        <v>NIL</v>
      </c>
      <c r="R7740" t="str">
        <f t="shared" si="3156"/>
        <v>Accepted</v>
      </c>
      <c r="S7740" t="str">
        <f t="shared" si="3143"/>
        <v>Approved</v>
      </c>
      <c r="T7740" t="str">
        <f t="shared" si="3157"/>
        <v>10.20.8.188</v>
      </c>
      <c r="U7740" t="str">
        <f t="shared" si="3144"/>
        <v>AZRAD UMAR BIN SHAARI</v>
      </c>
      <c r="V7740" t="str">
        <f t="shared" si="3145"/>
        <v>FARHANA BINTI MUSTAPA</v>
      </c>
      <c r="W7740" t="str">
        <f t="shared" si="3146"/>
        <v>04-08-2020</v>
      </c>
      <c r="X7740" t="str">
        <f t="shared" si="3147"/>
        <v>RAZIMAH ANSAR AHMAD</v>
      </c>
      <c r="Y7740" t="str">
        <f t="shared" si="3148"/>
        <v>04-08-2020</v>
      </c>
      <c r="Z7740" t="str">
        <f>"COS10200804 1414"</f>
        <v>COS10200804 1414</v>
      </c>
    </row>
    <row r="7741" spans="1:26" x14ac:dyDescent="0.25">
      <c r="A7741" t="str">
        <f t="shared" si="3153"/>
        <v>04-08-2020 12:34:18</v>
      </c>
      <c r="B7741" t="str">
        <f>"0000803165"</f>
        <v>0000803165</v>
      </c>
      <c r="C7741" t="str">
        <f t="shared" si="3154"/>
        <v>0000803152</v>
      </c>
      <c r="D7741" t="str">
        <f t="shared" si="3136"/>
        <v>73185</v>
      </c>
      <c r="E7741" t="str">
        <f t="shared" si="3137"/>
        <v>KFH-OPERATIONS DEPARTMENT</v>
      </c>
      <c r="F7741" t="str">
        <f t="shared" si="3138"/>
        <v>IBG</v>
      </c>
      <c r="G7741" t="str">
        <f t="shared" si="3149"/>
        <v>Refund COSHARE 10</v>
      </c>
      <c r="H7741" s="2">
        <v>366</v>
      </c>
      <c r="I7741" t="str">
        <f>"YUSRI BIN MUHAMAD YUSSOF"</f>
        <v>YUSRI BIN MUHAMAD YUSSOF</v>
      </c>
      <c r="J7741" t="str">
        <f t="shared" si="3155"/>
        <v>BANK KERJASAMA RAKYAT</v>
      </c>
      <c r="K7741" t="str">
        <f>"220721152179"</f>
        <v>220721152179</v>
      </c>
      <c r="L7741" t="str">
        <f t="shared" si="3158"/>
        <v>04-08-2020</v>
      </c>
      <c r="M7741" t="str">
        <f t="shared" si="3158"/>
        <v>04-08-2020</v>
      </c>
      <c r="N7741" t="str">
        <f t="shared" si="3140"/>
        <v>001105018356</v>
      </c>
      <c r="O7741" t="str">
        <f t="shared" si="3141"/>
        <v>MYR</v>
      </c>
      <c r="P7741" t="str">
        <f t="shared" si="3159"/>
        <v>NIL</v>
      </c>
      <c r="Q7741" t="str">
        <f t="shared" si="3159"/>
        <v>NIL</v>
      </c>
      <c r="R7741" t="str">
        <f t="shared" si="3156"/>
        <v>Accepted</v>
      </c>
      <c r="S7741" t="str">
        <f t="shared" si="3143"/>
        <v>Approved</v>
      </c>
      <c r="T7741" t="str">
        <f t="shared" si="3157"/>
        <v>10.20.8.188</v>
      </c>
      <c r="U7741" t="str">
        <f t="shared" si="3144"/>
        <v>AZRAD UMAR BIN SHAARI</v>
      </c>
      <c r="V7741" t="str">
        <f t="shared" si="3145"/>
        <v>FARHANA BINTI MUSTAPA</v>
      </c>
      <c r="W7741" t="str">
        <f t="shared" si="3146"/>
        <v>04-08-2020</v>
      </c>
      <c r="X7741" t="str">
        <f t="shared" si="3147"/>
        <v>RAZIMAH ANSAR AHMAD</v>
      </c>
      <c r="Y7741" t="str">
        <f t="shared" si="3148"/>
        <v>04-08-2020</v>
      </c>
      <c r="Z7741" t="str">
        <f>"COS10200804 1413"</f>
        <v>COS10200804 1413</v>
      </c>
    </row>
    <row r="7742" spans="1:26" x14ac:dyDescent="0.25">
      <c r="A7742" t="str">
        <f t="shared" si="3153"/>
        <v>04-08-2020 12:34:18</v>
      </c>
      <c r="B7742" t="str">
        <f>"0000803164"</f>
        <v>0000803164</v>
      </c>
      <c r="C7742" t="str">
        <f t="shared" si="3154"/>
        <v>0000803152</v>
      </c>
      <c r="D7742" t="str">
        <f t="shared" si="3136"/>
        <v>73185</v>
      </c>
      <c r="E7742" t="str">
        <f t="shared" si="3137"/>
        <v>KFH-OPERATIONS DEPARTMENT</v>
      </c>
      <c r="F7742" t="str">
        <f t="shared" si="3138"/>
        <v>IBG</v>
      </c>
      <c r="G7742" t="str">
        <f t="shared" si="3149"/>
        <v>Refund COSHARE 10</v>
      </c>
      <c r="H7742" s="2">
        <v>366</v>
      </c>
      <c r="I7742" t="str">
        <f>"YUSRI BIN MUHAMAD YUSSOF"</f>
        <v>YUSRI BIN MUHAMAD YUSSOF</v>
      </c>
      <c r="J7742" t="str">
        <f t="shared" si="3155"/>
        <v>BANK KERJASAMA RAKYAT</v>
      </c>
      <c r="K7742" t="str">
        <f>"220721152179"</f>
        <v>220721152179</v>
      </c>
      <c r="L7742" t="str">
        <f t="shared" si="3158"/>
        <v>04-08-2020</v>
      </c>
      <c r="M7742" t="str">
        <f t="shared" si="3158"/>
        <v>04-08-2020</v>
      </c>
      <c r="N7742" t="str">
        <f t="shared" si="3140"/>
        <v>001105018356</v>
      </c>
      <c r="O7742" t="str">
        <f t="shared" si="3141"/>
        <v>MYR</v>
      </c>
      <c r="P7742" t="str">
        <f t="shared" si="3159"/>
        <v>NIL</v>
      </c>
      <c r="Q7742" t="str">
        <f t="shared" si="3159"/>
        <v>NIL</v>
      </c>
      <c r="R7742" t="str">
        <f t="shared" si="3156"/>
        <v>Accepted</v>
      </c>
      <c r="S7742" t="str">
        <f t="shared" si="3143"/>
        <v>Approved</v>
      </c>
      <c r="T7742" t="str">
        <f t="shared" si="3157"/>
        <v>10.20.8.188</v>
      </c>
      <c r="U7742" t="str">
        <f t="shared" si="3144"/>
        <v>AZRAD UMAR BIN SHAARI</v>
      </c>
      <c r="V7742" t="str">
        <f t="shared" si="3145"/>
        <v>FARHANA BINTI MUSTAPA</v>
      </c>
      <c r="W7742" t="str">
        <f t="shared" si="3146"/>
        <v>04-08-2020</v>
      </c>
      <c r="X7742" t="str">
        <f t="shared" si="3147"/>
        <v>RAZIMAH ANSAR AHMAD</v>
      </c>
      <c r="Y7742" t="str">
        <f t="shared" si="3148"/>
        <v>04-08-2020</v>
      </c>
      <c r="Z7742" t="str">
        <f>"COS10200804 1412"</f>
        <v>COS10200804 1412</v>
      </c>
    </row>
    <row r="7743" spans="1:26" x14ac:dyDescent="0.25">
      <c r="A7743" t="str">
        <f t="shared" si="3153"/>
        <v>04-08-2020 12:34:18</v>
      </c>
      <c r="B7743" t="str">
        <f>"0000803163"</f>
        <v>0000803163</v>
      </c>
      <c r="C7743" t="str">
        <f t="shared" si="3154"/>
        <v>0000803152</v>
      </c>
      <c r="D7743" t="str">
        <f t="shared" si="3136"/>
        <v>73185</v>
      </c>
      <c r="E7743" t="str">
        <f t="shared" si="3137"/>
        <v>KFH-OPERATIONS DEPARTMENT</v>
      </c>
      <c r="F7743" t="str">
        <f t="shared" si="3138"/>
        <v>IBG</v>
      </c>
      <c r="G7743" t="str">
        <f t="shared" si="3149"/>
        <v>Refund COSHARE 10</v>
      </c>
      <c r="H7743" s="2">
        <v>50.4</v>
      </c>
      <c r="I7743" t="str">
        <f>"YAZLI BIN AHMAD"</f>
        <v>YAZLI BIN AHMAD</v>
      </c>
      <c r="J7743" t="str">
        <f t="shared" si="3155"/>
        <v>BANK KERJASAMA RAKYAT</v>
      </c>
      <c r="K7743" t="str">
        <f>"220693083873"</f>
        <v>220693083873</v>
      </c>
      <c r="L7743" t="str">
        <f t="shared" si="3158"/>
        <v>04-08-2020</v>
      </c>
      <c r="M7743" t="str">
        <f t="shared" si="3158"/>
        <v>04-08-2020</v>
      </c>
      <c r="N7743" t="str">
        <f t="shared" si="3140"/>
        <v>001105018356</v>
      </c>
      <c r="O7743" t="str">
        <f t="shared" si="3141"/>
        <v>MYR</v>
      </c>
      <c r="P7743" t="str">
        <f t="shared" si="3159"/>
        <v>NIL</v>
      </c>
      <c r="Q7743" t="str">
        <f t="shared" si="3159"/>
        <v>NIL</v>
      </c>
      <c r="R7743" t="str">
        <f t="shared" si="3156"/>
        <v>Accepted</v>
      </c>
      <c r="S7743" t="str">
        <f t="shared" si="3143"/>
        <v>Approved</v>
      </c>
      <c r="T7743" t="str">
        <f t="shared" si="3157"/>
        <v>10.20.8.188</v>
      </c>
      <c r="U7743" t="str">
        <f t="shared" si="3144"/>
        <v>AZRAD UMAR BIN SHAARI</v>
      </c>
      <c r="V7743" t="str">
        <f t="shared" si="3145"/>
        <v>FARHANA BINTI MUSTAPA</v>
      </c>
      <c r="W7743" t="str">
        <f t="shared" si="3146"/>
        <v>04-08-2020</v>
      </c>
      <c r="X7743" t="str">
        <f t="shared" si="3147"/>
        <v>RAZIMAH ANSAR AHMAD</v>
      </c>
      <c r="Y7743" t="str">
        <f t="shared" si="3148"/>
        <v>04-08-2020</v>
      </c>
      <c r="Z7743" t="str">
        <f>"COS10200804 1411"</f>
        <v>COS10200804 1411</v>
      </c>
    </row>
    <row r="7744" spans="1:26" x14ac:dyDescent="0.25">
      <c r="A7744" t="str">
        <f t="shared" si="3153"/>
        <v>04-08-2020 12:34:18</v>
      </c>
      <c r="B7744" t="str">
        <f>"0000803162"</f>
        <v>0000803162</v>
      </c>
      <c r="C7744" t="str">
        <f t="shared" si="3154"/>
        <v>0000803152</v>
      </c>
      <c r="D7744" t="str">
        <f t="shared" si="3136"/>
        <v>73185</v>
      </c>
      <c r="E7744" t="str">
        <f t="shared" si="3137"/>
        <v>KFH-OPERATIONS DEPARTMENT</v>
      </c>
      <c r="F7744" t="str">
        <f t="shared" si="3138"/>
        <v>IBG</v>
      </c>
      <c r="G7744" t="str">
        <f t="shared" si="3149"/>
        <v>Refund COSHARE 10</v>
      </c>
      <c r="H7744" s="2">
        <v>50.4</v>
      </c>
      <c r="I7744" t="str">
        <f>"YAPNAH BINTI HASHIM"</f>
        <v>YAPNAH BINTI HASHIM</v>
      </c>
      <c r="J7744" t="str">
        <f t="shared" si="3155"/>
        <v>BANK KERJASAMA RAKYAT</v>
      </c>
      <c r="K7744" t="str">
        <f>"220531229102"</f>
        <v>220531229102</v>
      </c>
      <c r="L7744" t="str">
        <f t="shared" si="3158"/>
        <v>04-08-2020</v>
      </c>
      <c r="M7744" t="str">
        <f t="shared" si="3158"/>
        <v>04-08-2020</v>
      </c>
      <c r="N7744" t="str">
        <f t="shared" si="3140"/>
        <v>001105018356</v>
      </c>
      <c r="O7744" t="str">
        <f t="shared" si="3141"/>
        <v>MYR</v>
      </c>
      <c r="P7744" t="str">
        <f t="shared" si="3159"/>
        <v>NIL</v>
      </c>
      <c r="Q7744" t="str">
        <f t="shared" si="3159"/>
        <v>NIL</v>
      </c>
      <c r="R7744" t="str">
        <f t="shared" si="3156"/>
        <v>Accepted</v>
      </c>
      <c r="S7744" t="str">
        <f t="shared" si="3143"/>
        <v>Approved</v>
      </c>
      <c r="T7744" t="str">
        <f t="shared" si="3157"/>
        <v>10.20.8.188</v>
      </c>
      <c r="U7744" t="str">
        <f t="shared" si="3144"/>
        <v>AZRAD UMAR BIN SHAARI</v>
      </c>
      <c r="V7744" t="str">
        <f t="shared" si="3145"/>
        <v>FARHANA BINTI MUSTAPA</v>
      </c>
      <c r="W7744" t="str">
        <f t="shared" si="3146"/>
        <v>04-08-2020</v>
      </c>
      <c r="X7744" t="str">
        <f t="shared" si="3147"/>
        <v>RAZIMAH ANSAR AHMAD</v>
      </c>
      <c r="Y7744" t="str">
        <f t="shared" si="3148"/>
        <v>04-08-2020</v>
      </c>
      <c r="Z7744" t="str">
        <f>"COS10200804 1410"</f>
        <v>COS10200804 1410</v>
      </c>
    </row>
    <row r="7745" spans="1:26" x14ac:dyDescent="0.25">
      <c r="A7745" t="str">
        <f t="shared" si="3153"/>
        <v>04-08-2020 12:34:18</v>
      </c>
      <c r="B7745" t="str">
        <f>"0000803161"</f>
        <v>0000803161</v>
      </c>
      <c r="C7745" t="str">
        <f t="shared" si="3154"/>
        <v>0000803152</v>
      </c>
      <c r="D7745" t="str">
        <f t="shared" si="3136"/>
        <v>73185</v>
      </c>
      <c r="E7745" t="str">
        <f t="shared" si="3137"/>
        <v>KFH-OPERATIONS DEPARTMENT</v>
      </c>
      <c r="F7745" t="str">
        <f t="shared" si="3138"/>
        <v>IBG</v>
      </c>
      <c r="G7745" t="str">
        <f t="shared" si="3149"/>
        <v>Refund COSHARE 10</v>
      </c>
      <c r="H7745" s="2">
        <v>1152.9000000000001</v>
      </c>
      <c r="I7745" t="str">
        <f>"WIZAM BIN SEMAN"</f>
        <v>WIZAM BIN SEMAN</v>
      </c>
      <c r="J7745" t="str">
        <f t="shared" si="3155"/>
        <v>BANK KERJASAMA RAKYAT</v>
      </c>
      <c r="K7745" t="str">
        <f>"220841018176"</f>
        <v>220841018176</v>
      </c>
      <c r="L7745" t="str">
        <f t="shared" si="3158"/>
        <v>04-08-2020</v>
      </c>
      <c r="M7745" t="str">
        <f t="shared" si="3158"/>
        <v>04-08-2020</v>
      </c>
      <c r="N7745" t="str">
        <f t="shared" si="3140"/>
        <v>001105018356</v>
      </c>
      <c r="O7745" t="str">
        <f t="shared" si="3141"/>
        <v>MYR</v>
      </c>
      <c r="P7745" t="str">
        <f t="shared" si="3159"/>
        <v>NIL</v>
      </c>
      <c r="Q7745" t="str">
        <f t="shared" si="3159"/>
        <v>NIL</v>
      </c>
      <c r="R7745" t="str">
        <f t="shared" si="3156"/>
        <v>Accepted</v>
      </c>
      <c r="S7745" t="str">
        <f t="shared" si="3143"/>
        <v>Approved</v>
      </c>
      <c r="T7745" t="str">
        <f t="shared" si="3157"/>
        <v>10.20.8.188</v>
      </c>
      <c r="U7745" t="str">
        <f t="shared" si="3144"/>
        <v>AZRAD UMAR BIN SHAARI</v>
      </c>
      <c r="V7745" t="str">
        <f t="shared" si="3145"/>
        <v>FARHANA BINTI MUSTAPA</v>
      </c>
      <c r="W7745" t="str">
        <f t="shared" si="3146"/>
        <v>04-08-2020</v>
      </c>
      <c r="X7745" t="str">
        <f t="shared" si="3147"/>
        <v>RAZIMAH ANSAR AHMAD</v>
      </c>
      <c r="Y7745" t="str">
        <f t="shared" si="3148"/>
        <v>04-08-2020</v>
      </c>
      <c r="Z7745" t="str">
        <f>"COS10200804 1409"</f>
        <v>COS10200804 1409</v>
      </c>
    </row>
    <row r="7746" spans="1:26" x14ac:dyDescent="0.25">
      <c r="A7746" t="str">
        <f t="shared" ref="A7746:A7753" si="3160">"04-08-2020 12:34:18"</f>
        <v>04-08-2020 12:34:18</v>
      </c>
      <c r="B7746" t="str">
        <f>"0000803160"</f>
        <v>0000803160</v>
      </c>
      <c r="C7746" t="str">
        <f t="shared" ref="C7746:C7753" si="3161">"0000803152"</f>
        <v>0000803152</v>
      </c>
      <c r="D7746" t="str">
        <f t="shared" si="3136"/>
        <v>73185</v>
      </c>
      <c r="E7746" t="str">
        <f t="shared" si="3137"/>
        <v>KFH-OPERATIONS DEPARTMENT</v>
      </c>
      <c r="F7746" t="str">
        <f t="shared" si="3138"/>
        <v>IBG</v>
      </c>
      <c r="G7746" t="str">
        <f t="shared" si="3149"/>
        <v>Refund COSHARE 10</v>
      </c>
      <c r="H7746" s="2">
        <v>785.85</v>
      </c>
      <c r="I7746" t="str">
        <f>"WENDY ANAK UJAN"</f>
        <v>WENDY ANAK UJAN</v>
      </c>
      <c r="J7746" t="str">
        <f t="shared" si="3155"/>
        <v>BANK KERJASAMA RAKYAT</v>
      </c>
      <c r="K7746" t="str">
        <f>"220671058212"</f>
        <v>220671058212</v>
      </c>
      <c r="L7746" t="str">
        <f t="shared" si="3158"/>
        <v>04-08-2020</v>
      </c>
      <c r="M7746" t="str">
        <f t="shared" si="3158"/>
        <v>04-08-2020</v>
      </c>
      <c r="N7746" t="str">
        <f t="shared" si="3140"/>
        <v>001105018356</v>
      </c>
      <c r="O7746" t="str">
        <f t="shared" si="3141"/>
        <v>MYR</v>
      </c>
      <c r="P7746" t="str">
        <f t="shared" si="3159"/>
        <v>NIL</v>
      </c>
      <c r="Q7746" t="str">
        <f t="shared" si="3159"/>
        <v>NIL</v>
      </c>
      <c r="R7746" t="str">
        <f t="shared" si="3156"/>
        <v>Accepted</v>
      </c>
      <c r="S7746" t="str">
        <f t="shared" si="3143"/>
        <v>Approved</v>
      </c>
      <c r="T7746" t="str">
        <f t="shared" si="3157"/>
        <v>10.20.8.188</v>
      </c>
      <c r="U7746" t="str">
        <f t="shared" si="3144"/>
        <v>AZRAD UMAR BIN SHAARI</v>
      </c>
      <c r="V7746" t="str">
        <f t="shared" si="3145"/>
        <v>FARHANA BINTI MUSTAPA</v>
      </c>
      <c r="W7746" t="str">
        <f t="shared" si="3146"/>
        <v>04-08-2020</v>
      </c>
      <c r="X7746" t="str">
        <f t="shared" si="3147"/>
        <v>RAZIMAH ANSAR AHMAD</v>
      </c>
      <c r="Y7746" t="str">
        <f t="shared" si="3148"/>
        <v>04-08-2020</v>
      </c>
      <c r="Z7746" t="str">
        <f>"COS10200804 1408"</f>
        <v>COS10200804 1408</v>
      </c>
    </row>
    <row r="7747" spans="1:26" x14ac:dyDescent="0.25">
      <c r="A7747" t="str">
        <f t="shared" si="3160"/>
        <v>04-08-2020 12:34:18</v>
      </c>
      <c r="B7747" t="str">
        <f>"0000803159"</f>
        <v>0000803159</v>
      </c>
      <c r="C7747" t="str">
        <f t="shared" si="3161"/>
        <v>0000803152</v>
      </c>
      <c r="D7747" t="str">
        <f t="shared" si="3136"/>
        <v>73185</v>
      </c>
      <c r="E7747" t="str">
        <f t="shared" si="3137"/>
        <v>KFH-OPERATIONS DEPARTMENT</v>
      </c>
      <c r="F7747" t="str">
        <f t="shared" si="3138"/>
        <v>IBG</v>
      </c>
      <c r="G7747" t="str">
        <f t="shared" si="3149"/>
        <v>Refund COSHARE 10</v>
      </c>
      <c r="H7747" s="2">
        <v>258</v>
      </c>
      <c r="I7747" t="str">
        <f>"WENDY ANAK UJAH"</f>
        <v>WENDY ANAK UJAH</v>
      </c>
      <c r="J7747" t="str">
        <f t="shared" si="3155"/>
        <v>BANK KERJASAMA RAKYAT</v>
      </c>
      <c r="K7747" t="str">
        <f>"220671058212"</f>
        <v>220671058212</v>
      </c>
      <c r="L7747" t="str">
        <f t="shared" ref="L7747:M7766" si="3162">"04-08-2020"</f>
        <v>04-08-2020</v>
      </c>
      <c r="M7747" t="str">
        <f t="shared" si="3162"/>
        <v>04-08-2020</v>
      </c>
      <c r="N7747" t="str">
        <f t="shared" si="3140"/>
        <v>001105018356</v>
      </c>
      <c r="O7747" t="str">
        <f t="shared" si="3141"/>
        <v>MYR</v>
      </c>
      <c r="P7747" t="str">
        <f t="shared" ref="P7747:Q7766" si="3163">"NIL"</f>
        <v>NIL</v>
      </c>
      <c r="Q7747" t="str">
        <f t="shared" si="3163"/>
        <v>NIL</v>
      </c>
      <c r="R7747" t="str">
        <f t="shared" si="3156"/>
        <v>Accepted</v>
      </c>
      <c r="S7747" t="str">
        <f t="shared" si="3143"/>
        <v>Approved</v>
      </c>
      <c r="T7747" t="str">
        <f t="shared" si="3157"/>
        <v>10.20.8.188</v>
      </c>
      <c r="U7747" t="str">
        <f t="shared" si="3144"/>
        <v>AZRAD UMAR BIN SHAARI</v>
      </c>
      <c r="V7747" t="str">
        <f t="shared" si="3145"/>
        <v>FARHANA BINTI MUSTAPA</v>
      </c>
      <c r="W7747" t="str">
        <f t="shared" si="3146"/>
        <v>04-08-2020</v>
      </c>
      <c r="X7747" t="str">
        <f t="shared" si="3147"/>
        <v>RAZIMAH ANSAR AHMAD</v>
      </c>
      <c r="Y7747" t="str">
        <f t="shared" si="3148"/>
        <v>04-08-2020</v>
      </c>
      <c r="Z7747" t="str">
        <f>"COS10200804 1407"</f>
        <v>COS10200804 1407</v>
      </c>
    </row>
    <row r="7748" spans="1:26" x14ac:dyDescent="0.25">
      <c r="A7748" t="str">
        <f t="shared" si="3160"/>
        <v>04-08-2020 12:34:18</v>
      </c>
      <c r="B7748" t="str">
        <f>"0000803158"</f>
        <v>0000803158</v>
      </c>
      <c r="C7748" t="str">
        <f t="shared" si="3161"/>
        <v>0000803152</v>
      </c>
      <c r="D7748" t="str">
        <f t="shared" si="3136"/>
        <v>73185</v>
      </c>
      <c r="E7748" t="str">
        <f t="shared" si="3137"/>
        <v>KFH-OPERATIONS DEPARTMENT</v>
      </c>
      <c r="F7748" t="str">
        <f t="shared" si="3138"/>
        <v>IBG</v>
      </c>
      <c r="G7748" t="str">
        <f t="shared" si="3149"/>
        <v>Refund COSHARE 10</v>
      </c>
      <c r="H7748" s="2">
        <v>621.25</v>
      </c>
      <c r="I7748" t="str">
        <f>"WAN ZAPERI BIN WAN ALLWI"</f>
        <v>WAN ZAPERI BIN WAN ALLWI</v>
      </c>
      <c r="J7748" t="str">
        <f t="shared" si="3155"/>
        <v>BANK KERJASAMA RAKYAT</v>
      </c>
      <c r="K7748" t="str">
        <f>"220541282151"</f>
        <v>220541282151</v>
      </c>
      <c r="L7748" t="str">
        <f t="shared" si="3162"/>
        <v>04-08-2020</v>
      </c>
      <c r="M7748" t="str">
        <f t="shared" si="3162"/>
        <v>04-08-2020</v>
      </c>
      <c r="N7748" t="str">
        <f t="shared" si="3140"/>
        <v>001105018356</v>
      </c>
      <c r="O7748" t="str">
        <f t="shared" si="3141"/>
        <v>MYR</v>
      </c>
      <c r="P7748" t="str">
        <f t="shared" si="3163"/>
        <v>NIL</v>
      </c>
      <c r="Q7748" t="str">
        <f t="shared" si="3163"/>
        <v>NIL</v>
      </c>
      <c r="R7748" t="str">
        <f t="shared" si="3156"/>
        <v>Accepted</v>
      </c>
      <c r="S7748" t="str">
        <f t="shared" si="3143"/>
        <v>Approved</v>
      </c>
      <c r="T7748" t="str">
        <f t="shared" si="3157"/>
        <v>10.20.8.188</v>
      </c>
      <c r="U7748" t="str">
        <f t="shared" si="3144"/>
        <v>AZRAD UMAR BIN SHAARI</v>
      </c>
      <c r="V7748" t="str">
        <f t="shared" si="3145"/>
        <v>FARHANA BINTI MUSTAPA</v>
      </c>
      <c r="W7748" t="str">
        <f t="shared" si="3146"/>
        <v>04-08-2020</v>
      </c>
      <c r="X7748" t="str">
        <f t="shared" si="3147"/>
        <v>RAZIMAH ANSAR AHMAD</v>
      </c>
      <c r="Y7748" t="str">
        <f t="shared" si="3148"/>
        <v>04-08-2020</v>
      </c>
      <c r="Z7748" t="str">
        <f>"COS10200804 1406"</f>
        <v>COS10200804 1406</v>
      </c>
    </row>
    <row r="7749" spans="1:26" x14ac:dyDescent="0.25">
      <c r="A7749" t="str">
        <f t="shared" si="3160"/>
        <v>04-08-2020 12:34:18</v>
      </c>
      <c r="B7749" t="str">
        <f>"0000803157"</f>
        <v>0000803157</v>
      </c>
      <c r="C7749" t="str">
        <f t="shared" si="3161"/>
        <v>0000803152</v>
      </c>
      <c r="D7749" t="str">
        <f t="shared" si="3136"/>
        <v>73185</v>
      </c>
      <c r="E7749" t="str">
        <f t="shared" si="3137"/>
        <v>KFH-OPERATIONS DEPARTMENT</v>
      </c>
      <c r="F7749" t="str">
        <f t="shared" si="3138"/>
        <v>IBG</v>
      </c>
      <c r="G7749" t="str">
        <f t="shared" si="3149"/>
        <v>Refund COSHARE 10</v>
      </c>
      <c r="H7749" s="2">
        <v>570.85</v>
      </c>
      <c r="I7749" t="str">
        <f>"WAN ZAINA BINTI WAN ALI"</f>
        <v>WAN ZAINA BINTI WAN ALI</v>
      </c>
      <c r="J7749" t="str">
        <f t="shared" si="3155"/>
        <v>BANK KERJASAMA RAKYAT</v>
      </c>
      <c r="K7749" t="str">
        <f>"221051066950"</f>
        <v>221051066950</v>
      </c>
      <c r="L7749" t="str">
        <f t="shared" si="3162"/>
        <v>04-08-2020</v>
      </c>
      <c r="M7749" t="str">
        <f t="shared" si="3162"/>
        <v>04-08-2020</v>
      </c>
      <c r="N7749" t="str">
        <f t="shared" si="3140"/>
        <v>001105018356</v>
      </c>
      <c r="O7749" t="str">
        <f t="shared" si="3141"/>
        <v>MYR</v>
      </c>
      <c r="P7749" t="str">
        <f t="shared" si="3163"/>
        <v>NIL</v>
      </c>
      <c r="Q7749" t="str">
        <f t="shared" si="3163"/>
        <v>NIL</v>
      </c>
      <c r="R7749" t="str">
        <f t="shared" si="3156"/>
        <v>Accepted</v>
      </c>
      <c r="S7749" t="str">
        <f t="shared" si="3143"/>
        <v>Approved</v>
      </c>
      <c r="T7749" t="str">
        <f t="shared" si="3157"/>
        <v>10.20.8.188</v>
      </c>
      <c r="U7749" t="str">
        <f t="shared" si="3144"/>
        <v>AZRAD UMAR BIN SHAARI</v>
      </c>
      <c r="V7749" t="str">
        <f t="shared" si="3145"/>
        <v>FARHANA BINTI MUSTAPA</v>
      </c>
      <c r="W7749" t="str">
        <f t="shared" si="3146"/>
        <v>04-08-2020</v>
      </c>
      <c r="X7749" t="str">
        <f t="shared" si="3147"/>
        <v>RAZIMAH ANSAR AHMAD</v>
      </c>
      <c r="Y7749" t="str">
        <f t="shared" si="3148"/>
        <v>04-08-2020</v>
      </c>
      <c r="Z7749" t="str">
        <f>"COS10200804 1405"</f>
        <v>COS10200804 1405</v>
      </c>
    </row>
    <row r="7750" spans="1:26" x14ac:dyDescent="0.25">
      <c r="A7750" t="str">
        <f t="shared" si="3160"/>
        <v>04-08-2020 12:34:18</v>
      </c>
      <c r="B7750" t="str">
        <f>"0000803156"</f>
        <v>0000803156</v>
      </c>
      <c r="C7750" t="str">
        <f t="shared" si="3161"/>
        <v>0000803152</v>
      </c>
      <c r="D7750" t="str">
        <f t="shared" si="3136"/>
        <v>73185</v>
      </c>
      <c r="E7750" t="str">
        <f t="shared" si="3137"/>
        <v>KFH-OPERATIONS DEPARTMENT</v>
      </c>
      <c r="F7750" t="str">
        <f t="shared" si="3138"/>
        <v>IBG</v>
      </c>
      <c r="G7750" t="str">
        <f t="shared" si="3149"/>
        <v>Refund COSHARE 10</v>
      </c>
      <c r="H7750" s="2">
        <v>67</v>
      </c>
      <c r="I7750" t="str">
        <f>"WAN ROZITA BINTI WAN SEMBOK"</f>
        <v>WAN ROZITA BINTI WAN SEMBOK</v>
      </c>
      <c r="J7750" t="str">
        <f t="shared" si="3155"/>
        <v>BANK KERJASAMA RAKYAT</v>
      </c>
      <c r="K7750" t="str">
        <f>"220471211525"</f>
        <v>220471211525</v>
      </c>
      <c r="L7750" t="str">
        <f t="shared" si="3162"/>
        <v>04-08-2020</v>
      </c>
      <c r="M7750" t="str">
        <f t="shared" si="3162"/>
        <v>04-08-2020</v>
      </c>
      <c r="N7750" t="str">
        <f t="shared" si="3140"/>
        <v>001105018356</v>
      </c>
      <c r="O7750" t="str">
        <f t="shared" si="3141"/>
        <v>MYR</v>
      </c>
      <c r="P7750" t="str">
        <f t="shared" si="3163"/>
        <v>NIL</v>
      </c>
      <c r="Q7750" t="str">
        <f t="shared" si="3163"/>
        <v>NIL</v>
      </c>
      <c r="R7750" t="str">
        <f t="shared" si="3156"/>
        <v>Accepted</v>
      </c>
      <c r="S7750" t="str">
        <f t="shared" si="3143"/>
        <v>Approved</v>
      </c>
      <c r="T7750" t="str">
        <f t="shared" si="3157"/>
        <v>10.20.8.188</v>
      </c>
      <c r="U7750" t="str">
        <f t="shared" si="3144"/>
        <v>AZRAD UMAR BIN SHAARI</v>
      </c>
      <c r="V7750" t="str">
        <f t="shared" si="3145"/>
        <v>FARHANA BINTI MUSTAPA</v>
      </c>
      <c r="W7750" t="str">
        <f t="shared" si="3146"/>
        <v>04-08-2020</v>
      </c>
      <c r="X7750" t="str">
        <f t="shared" si="3147"/>
        <v>RAZIMAH ANSAR AHMAD</v>
      </c>
      <c r="Y7750" t="str">
        <f t="shared" si="3148"/>
        <v>04-08-2020</v>
      </c>
      <c r="Z7750" t="str">
        <f>"COS10200804 1404"</f>
        <v>COS10200804 1404</v>
      </c>
    </row>
    <row r="7751" spans="1:26" x14ac:dyDescent="0.25">
      <c r="A7751" t="str">
        <f t="shared" si="3160"/>
        <v>04-08-2020 12:34:18</v>
      </c>
      <c r="B7751" t="str">
        <f>"0000803155"</f>
        <v>0000803155</v>
      </c>
      <c r="C7751" t="str">
        <f t="shared" si="3161"/>
        <v>0000803152</v>
      </c>
      <c r="D7751" t="str">
        <f t="shared" ref="D7751:D7814" si="3164">"73185"</f>
        <v>73185</v>
      </c>
      <c r="E7751" t="str">
        <f t="shared" ref="E7751:E7814" si="3165">"KFH-OPERATIONS DEPARTMENT"</f>
        <v>KFH-OPERATIONS DEPARTMENT</v>
      </c>
      <c r="F7751" t="str">
        <f t="shared" ref="F7751:F7814" si="3166">"IBG"</f>
        <v>IBG</v>
      </c>
      <c r="G7751" t="str">
        <f t="shared" si="3149"/>
        <v>Refund COSHARE 10</v>
      </c>
      <c r="H7751" s="2">
        <v>167</v>
      </c>
      <c r="I7751" t="str">
        <f>"WAN ROSDI BIN WAN YUSOF"</f>
        <v>WAN ROSDI BIN WAN YUSOF</v>
      </c>
      <c r="J7751" t="str">
        <f t="shared" si="3155"/>
        <v>BANK KERJASAMA RAKYAT</v>
      </c>
      <c r="K7751" t="str">
        <f>"220731008313"</f>
        <v>220731008313</v>
      </c>
      <c r="L7751" t="str">
        <f t="shared" si="3162"/>
        <v>04-08-2020</v>
      </c>
      <c r="M7751" t="str">
        <f t="shared" si="3162"/>
        <v>04-08-2020</v>
      </c>
      <c r="N7751" t="str">
        <f t="shared" ref="N7751:N7814" si="3167">"001105018356"</f>
        <v>001105018356</v>
      </c>
      <c r="O7751" t="str">
        <f t="shared" ref="O7751:O7814" si="3168">"MYR"</f>
        <v>MYR</v>
      </c>
      <c r="P7751" t="str">
        <f t="shared" si="3163"/>
        <v>NIL</v>
      </c>
      <c r="Q7751" t="str">
        <f t="shared" si="3163"/>
        <v>NIL</v>
      </c>
      <c r="R7751" t="str">
        <f t="shared" si="3156"/>
        <v>Accepted</v>
      </c>
      <c r="S7751" t="str">
        <f t="shared" ref="S7751:S7814" si="3169">"Approved"</f>
        <v>Approved</v>
      </c>
      <c r="T7751" t="str">
        <f t="shared" si="3157"/>
        <v>10.20.8.188</v>
      </c>
      <c r="U7751" t="str">
        <f t="shared" ref="U7751:U7814" si="3170">"AZRAD UMAR BIN SHAARI"</f>
        <v>AZRAD UMAR BIN SHAARI</v>
      </c>
      <c r="V7751" t="str">
        <f t="shared" ref="V7751:V7814" si="3171">"FARHANA BINTI MUSTAPA"</f>
        <v>FARHANA BINTI MUSTAPA</v>
      </c>
      <c r="W7751" t="str">
        <f t="shared" ref="W7751:W7814" si="3172">"04-08-2020"</f>
        <v>04-08-2020</v>
      </c>
      <c r="X7751" t="str">
        <f t="shared" ref="X7751:X7814" si="3173">"RAZIMAH ANSAR AHMAD"</f>
        <v>RAZIMAH ANSAR AHMAD</v>
      </c>
      <c r="Y7751" t="str">
        <f t="shared" ref="Y7751:Y7814" si="3174">"04-08-2020"</f>
        <v>04-08-2020</v>
      </c>
      <c r="Z7751" t="str">
        <f>"COS10200804 1403"</f>
        <v>COS10200804 1403</v>
      </c>
    </row>
    <row r="7752" spans="1:26" x14ac:dyDescent="0.25">
      <c r="A7752" t="str">
        <f t="shared" si="3160"/>
        <v>04-08-2020 12:34:18</v>
      </c>
      <c r="B7752" t="str">
        <f>"0000803154"</f>
        <v>0000803154</v>
      </c>
      <c r="C7752" t="str">
        <f t="shared" si="3161"/>
        <v>0000803152</v>
      </c>
      <c r="D7752" t="str">
        <f t="shared" si="3164"/>
        <v>73185</v>
      </c>
      <c r="E7752" t="str">
        <f t="shared" si="3165"/>
        <v>KFH-OPERATIONS DEPARTMENT</v>
      </c>
      <c r="F7752" t="str">
        <f t="shared" si="3166"/>
        <v>IBG</v>
      </c>
      <c r="G7752" t="str">
        <f t="shared" si="3149"/>
        <v>Refund COSHARE 10</v>
      </c>
      <c r="H7752" s="2">
        <v>84</v>
      </c>
      <c r="I7752" t="str">
        <f>"WAN RANAZIMA BINTI WAN ABDUL RASHID"</f>
        <v>WAN RANAZIMA BINTI WAN ABDUL RASHID</v>
      </c>
      <c r="J7752" t="str">
        <f t="shared" si="3155"/>
        <v>BANK KERJASAMA RAKYAT</v>
      </c>
      <c r="K7752" t="str">
        <f>"220121459823"</f>
        <v>220121459823</v>
      </c>
      <c r="L7752" t="str">
        <f t="shared" si="3162"/>
        <v>04-08-2020</v>
      </c>
      <c r="M7752" t="str">
        <f t="shared" si="3162"/>
        <v>04-08-2020</v>
      </c>
      <c r="N7752" t="str">
        <f t="shared" si="3167"/>
        <v>001105018356</v>
      </c>
      <c r="O7752" t="str">
        <f t="shared" si="3168"/>
        <v>MYR</v>
      </c>
      <c r="P7752" t="str">
        <f t="shared" si="3163"/>
        <v>NIL</v>
      </c>
      <c r="Q7752" t="str">
        <f t="shared" si="3163"/>
        <v>NIL</v>
      </c>
      <c r="R7752" t="str">
        <f t="shared" si="3156"/>
        <v>Accepted</v>
      </c>
      <c r="S7752" t="str">
        <f t="shared" si="3169"/>
        <v>Approved</v>
      </c>
      <c r="T7752" t="str">
        <f t="shared" si="3157"/>
        <v>10.20.8.188</v>
      </c>
      <c r="U7752" t="str">
        <f t="shared" si="3170"/>
        <v>AZRAD UMAR BIN SHAARI</v>
      </c>
      <c r="V7752" t="str">
        <f t="shared" si="3171"/>
        <v>FARHANA BINTI MUSTAPA</v>
      </c>
      <c r="W7752" t="str">
        <f t="shared" si="3172"/>
        <v>04-08-2020</v>
      </c>
      <c r="X7752" t="str">
        <f t="shared" si="3173"/>
        <v>RAZIMAH ANSAR AHMAD</v>
      </c>
      <c r="Y7752" t="str">
        <f t="shared" si="3174"/>
        <v>04-08-2020</v>
      </c>
      <c r="Z7752" t="str">
        <f>"COS10200804 1402"</f>
        <v>COS10200804 1402</v>
      </c>
    </row>
    <row r="7753" spans="1:26" x14ac:dyDescent="0.25">
      <c r="A7753" t="str">
        <f t="shared" si="3160"/>
        <v>04-08-2020 12:34:18</v>
      </c>
      <c r="B7753" t="str">
        <f>"0000803153"</f>
        <v>0000803153</v>
      </c>
      <c r="C7753" t="str">
        <f t="shared" si="3161"/>
        <v>0000803152</v>
      </c>
      <c r="D7753" t="str">
        <f t="shared" si="3164"/>
        <v>73185</v>
      </c>
      <c r="E7753" t="str">
        <f t="shared" si="3165"/>
        <v>KFH-OPERATIONS DEPARTMENT</v>
      </c>
      <c r="F7753" t="str">
        <f t="shared" si="3166"/>
        <v>IBG</v>
      </c>
      <c r="G7753" t="str">
        <f t="shared" si="3149"/>
        <v>Refund COSHARE 10</v>
      </c>
      <c r="H7753" s="2">
        <v>159.5</v>
      </c>
      <c r="I7753" t="str">
        <f>"WAN NURUL HIDAYAH BINTI WAB ABD RAHMAN"</f>
        <v>WAN NURUL HIDAYAH BINTI WAB ABD RAHMAN</v>
      </c>
      <c r="J7753" t="str">
        <f t="shared" si="3155"/>
        <v>BANK KERJASAMA RAKYAT</v>
      </c>
      <c r="K7753" t="str">
        <f>"220961065732"</f>
        <v>220961065732</v>
      </c>
      <c r="L7753" t="str">
        <f t="shared" si="3162"/>
        <v>04-08-2020</v>
      </c>
      <c r="M7753" t="str">
        <f t="shared" si="3162"/>
        <v>04-08-2020</v>
      </c>
      <c r="N7753" t="str">
        <f t="shared" si="3167"/>
        <v>001105018356</v>
      </c>
      <c r="O7753" t="str">
        <f t="shared" si="3168"/>
        <v>MYR</v>
      </c>
      <c r="P7753" t="str">
        <f t="shared" si="3163"/>
        <v>NIL</v>
      </c>
      <c r="Q7753" t="str">
        <f t="shared" si="3163"/>
        <v>NIL</v>
      </c>
      <c r="R7753" t="str">
        <f t="shared" si="3156"/>
        <v>Accepted</v>
      </c>
      <c r="S7753" t="str">
        <f t="shared" si="3169"/>
        <v>Approved</v>
      </c>
      <c r="T7753" t="str">
        <f t="shared" si="3157"/>
        <v>10.20.8.188</v>
      </c>
      <c r="U7753" t="str">
        <f t="shared" si="3170"/>
        <v>AZRAD UMAR BIN SHAARI</v>
      </c>
      <c r="V7753" t="str">
        <f t="shared" si="3171"/>
        <v>FARHANA BINTI MUSTAPA</v>
      </c>
      <c r="W7753" t="str">
        <f t="shared" si="3172"/>
        <v>04-08-2020</v>
      </c>
      <c r="X7753" t="str">
        <f t="shared" si="3173"/>
        <v>RAZIMAH ANSAR AHMAD</v>
      </c>
      <c r="Y7753" t="str">
        <f t="shared" si="3174"/>
        <v>04-08-2020</v>
      </c>
      <c r="Z7753" t="str">
        <f>"COS10200804 1401"</f>
        <v>COS10200804 1401</v>
      </c>
    </row>
    <row r="7754" spans="1:26" x14ac:dyDescent="0.25">
      <c r="A7754" t="str">
        <f t="shared" ref="A7754:A7785" si="3175">"04-08-2020 12:32:37"</f>
        <v>04-08-2020 12:32:37</v>
      </c>
      <c r="B7754" t="str">
        <f>"0000803148"</f>
        <v>0000803148</v>
      </c>
      <c r="C7754" t="str">
        <f t="shared" ref="C7754:C7785" si="3176">"0000802948"</f>
        <v>0000802948</v>
      </c>
      <c r="D7754" t="str">
        <f t="shared" si="3164"/>
        <v>73185</v>
      </c>
      <c r="E7754" t="str">
        <f t="shared" si="3165"/>
        <v>KFH-OPERATIONS DEPARTMENT</v>
      </c>
      <c r="F7754" t="str">
        <f t="shared" si="3166"/>
        <v>IBG</v>
      </c>
      <c r="G7754" t="str">
        <f t="shared" si="3149"/>
        <v>Refund COSHARE 10</v>
      </c>
      <c r="H7754" s="2">
        <v>1175.3</v>
      </c>
      <c r="I7754" t="str">
        <f>"WAN NOR ASLILA BINTI MAT ZAIN"</f>
        <v>WAN NOR ASLILA BINTI MAT ZAIN</v>
      </c>
      <c r="J7754" t="str">
        <f t="shared" si="3155"/>
        <v>BANK KERJASAMA RAKYAT</v>
      </c>
      <c r="K7754" t="str">
        <f>"221051214589"</f>
        <v>221051214589</v>
      </c>
      <c r="L7754" t="str">
        <f t="shared" si="3162"/>
        <v>04-08-2020</v>
      </c>
      <c r="M7754" t="str">
        <f t="shared" si="3162"/>
        <v>04-08-2020</v>
      </c>
      <c r="N7754" t="str">
        <f t="shared" si="3167"/>
        <v>001105018356</v>
      </c>
      <c r="O7754" t="str">
        <f t="shared" si="3168"/>
        <v>MYR</v>
      </c>
      <c r="P7754" t="str">
        <f t="shared" si="3163"/>
        <v>NIL</v>
      </c>
      <c r="Q7754" t="str">
        <f t="shared" si="3163"/>
        <v>NIL</v>
      </c>
      <c r="R7754" t="str">
        <f t="shared" si="3156"/>
        <v>Accepted</v>
      </c>
      <c r="S7754" t="str">
        <f t="shared" si="3169"/>
        <v>Approved</v>
      </c>
      <c r="T7754" t="str">
        <f t="shared" si="3157"/>
        <v>10.20.8.188</v>
      </c>
      <c r="U7754" t="str">
        <f t="shared" si="3170"/>
        <v>AZRAD UMAR BIN SHAARI</v>
      </c>
      <c r="V7754" t="str">
        <f t="shared" si="3171"/>
        <v>FARHANA BINTI MUSTAPA</v>
      </c>
      <c r="W7754" t="str">
        <f t="shared" si="3172"/>
        <v>04-08-2020</v>
      </c>
      <c r="X7754" t="str">
        <f t="shared" si="3173"/>
        <v>RAZIMAH ANSAR AHMAD</v>
      </c>
      <c r="Y7754" t="str">
        <f t="shared" si="3174"/>
        <v>04-08-2020</v>
      </c>
      <c r="Z7754" t="str">
        <f>"COS10200804 1400"</f>
        <v>COS10200804 1400</v>
      </c>
    </row>
    <row r="7755" spans="1:26" x14ac:dyDescent="0.25">
      <c r="A7755" t="str">
        <f t="shared" si="3175"/>
        <v>04-08-2020 12:32:37</v>
      </c>
      <c r="B7755" t="str">
        <f>"0000803147"</f>
        <v>0000803147</v>
      </c>
      <c r="C7755" t="str">
        <f t="shared" si="3176"/>
        <v>0000802948</v>
      </c>
      <c r="D7755" t="str">
        <f t="shared" si="3164"/>
        <v>73185</v>
      </c>
      <c r="E7755" t="str">
        <f t="shared" si="3165"/>
        <v>KFH-OPERATIONS DEPARTMENT</v>
      </c>
      <c r="F7755" t="str">
        <f t="shared" si="3166"/>
        <v>IBG</v>
      </c>
      <c r="G7755" t="str">
        <f t="shared" si="3149"/>
        <v>Refund COSHARE 10</v>
      </c>
      <c r="H7755" s="2">
        <v>235.1</v>
      </c>
      <c r="I7755" t="str">
        <f>"WAN NOORUL SALMAZ BINTI MOHD AZMI"</f>
        <v>WAN NOORUL SALMAZ BINTI MOHD AZMI</v>
      </c>
      <c r="J7755" t="str">
        <f t="shared" si="3155"/>
        <v>BANK KERJASAMA RAKYAT</v>
      </c>
      <c r="K7755" t="str">
        <f>"220721031020"</f>
        <v>220721031020</v>
      </c>
      <c r="L7755" t="str">
        <f t="shared" si="3162"/>
        <v>04-08-2020</v>
      </c>
      <c r="M7755" t="str">
        <f t="shared" si="3162"/>
        <v>04-08-2020</v>
      </c>
      <c r="N7755" t="str">
        <f t="shared" si="3167"/>
        <v>001105018356</v>
      </c>
      <c r="O7755" t="str">
        <f t="shared" si="3168"/>
        <v>MYR</v>
      </c>
      <c r="P7755" t="str">
        <f t="shared" si="3163"/>
        <v>NIL</v>
      </c>
      <c r="Q7755" t="str">
        <f t="shared" si="3163"/>
        <v>NIL</v>
      </c>
      <c r="R7755" t="str">
        <f t="shared" si="3156"/>
        <v>Accepted</v>
      </c>
      <c r="S7755" t="str">
        <f t="shared" si="3169"/>
        <v>Approved</v>
      </c>
      <c r="T7755" t="str">
        <f t="shared" si="3157"/>
        <v>10.20.8.188</v>
      </c>
      <c r="U7755" t="str">
        <f t="shared" si="3170"/>
        <v>AZRAD UMAR BIN SHAARI</v>
      </c>
      <c r="V7755" t="str">
        <f t="shared" si="3171"/>
        <v>FARHANA BINTI MUSTAPA</v>
      </c>
      <c r="W7755" t="str">
        <f t="shared" si="3172"/>
        <v>04-08-2020</v>
      </c>
      <c r="X7755" t="str">
        <f t="shared" si="3173"/>
        <v>RAZIMAH ANSAR AHMAD</v>
      </c>
      <c r="Y7755" t="str">
        <f t="shared" si="3174"/>
        <v>04-08-2020</v>
      </c>
      <c r="Z7755" t="str">
        <f>"COS10200804 1399"</f>
        <v>COS10200804 1399</v>
      </c>
    </row>
    <row r="7756" spans="1:26" x14ac:dyDescent="0.25">
      <c r="A7756" t="str">
        <f t="shared" si="3175"/>
        <v>04-08-2020 12:32:37</v>
      </c>
      <c r="B7756" t="str">
        <f>"0000803146"</f>
        <v>0000803146</v>
      </c>
      <c r="C7756" t="str">
        <f t="shared" si="3176"/>
        <v>0000802948</v>
      </c>
      <c r="D7756" t="str">
        <f t="shared" si="3164"/>
        <v>73185</v>
      </c>
      <c r="E7756" t="str">
        <f t="shared" si="3165"/>
        <v>KFH-OPERATIONS DEPARTMENT</v>
      </c>
      <c r="F7756" t="str">
        <f t="shared" si="3166"/>
        <v>IBG</v>
      </c>
      <c r="G7756" t="str">
        <f t="shared" ref="G7756:G7819" si="3177">"Refund COSHARE 10"</f>
        <v>Refund COSHARE 10</v>
      </c>
      <c r="H7756" s="2">
        <v>1084.6500000000001</v>
      </c>
      <c r="I7756" t="str">
        <f>"WAN MOHD IZANI BIN W HASSAN"</f>
        <v>WAN MOHD IZANI BIN W HASSAN</v>
      </c>
      <c r="J7756" t="str">
        <f t="shared" si="3155"/>
        <v>BANK KERJASAMA RAKYAT</v>
      </c>
      <c r="K7756" t="str">
        <f>"220501090587"</f>
        <v>220501090587</v>
      </c>
      <c r="L7756" t="str">
        <f t="shared" si="3162"/>
        <v>04-08-2020</v>
      </c>
      <c r="M7756" t="str">
        <f t="shared" si="3162"/>
        <v>04-08-2020</v>
      </c>
      <c r="N7756" t="str">
        <f t="shared" si="3167"/>
        <v>001105018356</v>
      </c>
      <c r="O7756" t="str">
        <f t="shared" si="3168"/>
        <v>MYR</v>
      </c>
      <c r="P7756" t="str">
        <f t="shared" si="3163"/>
        <v>NIL</v>
      </c>
      <c r="Q7756" t="str">
        <f t="shared" si="3163"/>
        <v>NIL</v>
      </c>
      <c r="R7756" t="str">
        <f t="shared" si="3156"/>
        <v>Accepted</v>
      </c>
      <c r="S7756" t="str">
        <f t="shared" si="3169"/>
        <v>Approved</v>
      </c>
      <c r="T7756" t="str">
        <f t="shared" si="3157"/>
        <v>10.20.8.188</v>
      </c>
      <c r="U7756" t="str">
        <f t="shared" si="3170"/>
        <v>AZRAD UMAR BIN SHAARI</v>
      </c>
      <c r="V7756" t="str">
        <f t="shared" si="3171"/>
        <v>FARHANA BINTI MUSTAPA</v>
      </c>
      <c r="W7756" t="str">
        <f t="shared" si="3172"/>
        <v>04-08-2020</v>
      </c>
      <c r="X7756" t="str">
        <f t="shared" si="3173"/>
        <v>RAZIMAH ANSAR AHMAD</v>
      </c>
      <c r="Y7756" t="str">
        <f t="shared" si="3174"/>
        <v>04-08-2020</v>
      </c>
      <c r="Z7756" t="str">
        <f>"COS10200804 1398"</f>
        <v>COS10200804 1398</v>
      </c>
    </row>
    <row r="7757" spans="1:26" x14ac:dyDescent="0.25">
      <c r="A7757" t="str">
        <f t="shared" si="3175"/>
        <v>04-08-2020 12:32:37</v>
      </c>
      <c r="B7757" t="str">
        <f>"0000803145"</f>
        <v>0000803145</v>
      </c>
      <c r="C7757" t="str">
        <f t="shared" si="3176"/>
        <v>0000802948</v>
      </c>
      <c r="D7757" t="str">
        <f t="shared" si="3164"/>
        <v>73185</v>
      </c>
      <c r="E7757" t="str">
        <f t="shared" si="3165"/>
        <v>KFH-OPERATIONS DEPARTMENT</v>
      </c>
      <c r="F7757" t="str">
        <f t="shared" si="3166"/>
        <v>IBG</v>
      </c>
      <c r="G7757" t="str">
        <f t="shared" si="3177"/>
        <v>Refund COSHARE 10</v>
      </c>
      <c r="H7757" s="2">
        <v>663.2</v>
      </c>
      <c r="I7757" t="str">
        <f>"WAN MOHD AZRULNIZAM BIN WAN ABU BAKAR"</f>
        <v>WAN MOHD AZRULNIZAM BIN WAN ABU BAKAR</v>
      </c>
      <c r="J7757" t="str">
        <f t="shared" si="3155"/>
        <v>BANK KERJASAMA RAKYAT</v>
      </c>
      <c r="K7757" t="str">
        <f>"220301268166"</f>
        <v>220301268166</v>
      </c>
      <c r="L7757" t="str">
        <f t="shared" si="3162"/>
        <v>04-08-2020</v>
      </c>
      <c r="M7757" t="str">
        <f t="shared" si="3162"/>
        <v>04-08-2020</v>
      </c>
      <c r="N7757" t="str">
        <f t="shared" si="3167"/>
        <v>001105018356</v>
      </c>
      <c r="O7757" t="str">
        <f t="shared" si="3168"/>
        <v>MYR</v>
      </c>
      <c r="P7757" t="str">
        <f t="shared" si="3163"/>
        <v>NIL</v>
      </c>
      <c r="Q7757" t="str">
        <f t="shared" si="3163"/>
        <v>NIL</v>
      </c>
      <c r="R7757" t="str">
        <f t="shared" si="3156"/>
        <v>Accepted</v>
      </c>
      <c r="S7757" t="str">
        <f t="shared" si="3169"/>
        <v>Approved</v>
      </c>
      <c r="T7757" t="str">
        <f t="shared" si="3157"/>
        <v>10.20.8.188</v>
      </c>
      <c r="U7757" t="str">
        <f t="shared" si="3170"/>
        <v>AZRAD UMAR BIN SHAARI</v>
      </c>
      <c r="V7757" t="str">
        <f t="shared" si="3171"/>
        <v>FARHANA BINTI MUSTAPA</v>
      </c>
      <c r="W7757" t="str">
        <f t="shared" si="3172"/>
        <v>04-08-2020</v>
      </c>
      <c r="X7757" t="str">
        <f t="shared" si="3173"/>
        <v>RAZIMAH ANSAR AHMAD</v>
      </c>
      <c r="Y7757" t="str">
        <f t="shared" si="3174"/>
        <v>04-08-2020</v>
      </c>
      <c r="Z7757" t="str">
        <f>"COS10200804 1397"</f>
        <v>COS10200804 1397</v>
      </c>
    </row>
    <row r="7758" spans="1:26" x14ac:dyDescent="0.25">
      <c r="A7758" t="str">
        <f t="shared" si="3175"/>
        <v>04-08-2020 12:32:37</v>
      </c>
      <c r="B7758" t="str">
        <f>"0000803144"</f>
        <v>0000803144</v>
      </c>
      <c r="C7758" t="str">
        <f t="shared" si="3176"/>
        <v>0000802948</v>
      </c>
      <c r="D7758" t="str">
        <f t="shared" si="3164"/>
        <v>73185</v>
      </c>
      <c r="E7758" t="str">
        <f t="shared" si="3165"/>
        <v>KFH-OPERATIONS DEPARTMENT</v>
      </c>
      <c r="F7758" t="str">
        <f t="shared" si="3166"/>
        <v>IBG</v>
      </c>
      <c r="G7758" t="str">
        <f t="shared" si="3177"/>
        <v>Refund COSHARE 10</v>
      </c>
      <c r="H7758" s="2">
        <v>83.95</v>
      </c>
      <c r="I7758" t="str">
        <f>"WAN MOHD AMIRUL HAFIZ BIN WAN DAUD"</f>
        <v>WAN MOHD AMIRUL HAFIZ BIN WAN DAUD</v>
      </c>
      <c r="J7758" t="str">
        <f t="shared" si="3155"/>
        <v>BANK KERJASAMA RAKYAT</v>
      </c>
      <c r="K7758" t="str">
        <f>"220163419513"</f>
        <v>220163419513</v>
      </c>
      <c r="L7758" t="str">
        <f t="shared" si="3162"/>
        <v>04-08-2020</v>
      </c>
      <c r="M7758" t="str">
        <f t="shared" si="3162"/>
        <v>04-08-2020</v>
      </c>
      <c r="N7758" t="str">
        <f t="shared" si="3167"/>
        <v>001105018356</v>
      </c>
      <c r="O7758" t="str">
        <f t="shared" si="3168"/>
        <v>MYR</v>
      </c>
      <c r="P7758" t="str">
        <f t="shared" si="3163"/>
        <v>NIL</v>
      </c>
      <c r="Q7758" t="str">
        <f t="shared" si="3163"/>
        <v>NIL</v>
      </c>
      <c r="R7758" t="str">
        <f t="shared" si="3156"/>
        <v>Accepted</v>
      </c>
      <c r="S7758" t="str">
        <f t="shared" si="3169"/>
        <v>Approved</v>
      </c>
      <c r="T7758" t="str">
        <f t="shared" si="3157"/>
        <v>10.20.8.188</v>
      </c>
      <c r="U7758" t="str">
        <f t="shared" si="3170"/>
        <v>AZRAD UMAR BIN SHAARI</v>
      </c>
      <c r="V7758" t="str">
        <f t="shared" si="3171"/>
        <v>FARHANA BINTI MUSTAPA</v>
      </c>
      <c r="W7758" t="str">
        <f t="shared" si="3172"/>
        <v>04-08-2020</v>
      </c>
      <c r="X7758" t="str">
        <f t="shared" si="3173"/>
        <v>RAZIMAH ANSAR AHMAD</v>
      </c>
      <c r="Y7758" t="str">
        <f t="shared" si="3174"/>
        <v>04-08-2020</v>
      </c>
      <c r="Z7758" t="str">
        <f>"COS10200804 1396"</f>
        <v>COS10200804 1396</v>
      </c>
    </row>
    <row r="7759" spans="1:26" x14ac:dyDescent="0.25">
      <c r="A7759" t="str">
        <f t="shared" si="3175"/>
        <v>04-08-2020 12:32:37</v>
      </c>
      <c r="B7759" t="str">
        <f>"0000803143"</f>
        <v>0000803143</v>
      </c>
      <c r="C7759" t="str">
        <f t="shared" si="3176"/>
        <v>0000802948</v>
      </c>
      <c r="D7759" t="str">
        <f t="shared" si="3164"/>
        <v>73185</v>
      </c>
      <c r="E7759" t="str">
        <f t="shared" si="3165"/>
        <v>KFH-OPERATIONS DEPARTMENT</v>
      </c>
      <c r="F7759" t="str">
        <f t="shared" si="3166"/>
        <v>IBG</v>
      </c>
      <c r="G7759" t="str">
        <f t="shared" si="3177"/>
        <v>Refund COSHARE 10</v>
      </c>
      <c r="H7759" s="2">
        <v>58.8</v>
      </c>
      <c r="I7759" t="str">
        <f>"WAN KHALID BIN WAN HASAN  W HAMZAH"</f>
        <v>WAN KHALID BIN WAN HASAN  W HAMZAH</v>
      </c>
      <c r="J7759" t="str">
        <f t="shared" si="3155"/>
        <v>BANK KERJASAMA RAKYAT</v>
      </c>
      <c r="K7759" t="str">
        <f>"220501113854"</f>
        <v>220501113854</v>
      </c>
      <c r="L7759" t="str">
        <f t="shared" si="3162"/>
        <v>04-08-2020</v>
      </c>
      <c r="M7759" t="str">
        <f t="shared" si="3162"/>
        <v>04-08-2020</v>
      </c>
      <c r="N7759" t="str">
        <f t="shared" si="3167"/>
        <v>001105018356</v>
      </c>
      <c r="O7759" t="str">
        <f t="shared" si="3168"/>
        <v>MYR</v>
      </c>
      <c r="P7759" t="str">
        <f t="shared" si="3163"/>
        <v>NIL</v>
      </c>
      <c r="Q7759" t="str">
        <f t="shared" si="3163"/>
        <v>NIL</v>
      </c>
      <c r="R7759" t="str">
        <f t="shared" si="3156"/>
        <v>Accepted</v>
      </c>
      <c r="S7759" t="str">
        <f t="shared" si="3169"/>
        <v>Approved</v>
      </c>
      <c r="T7759" t="str">
        <f t="shared" si="3157"/>
        <v>10.20.8.188</v>
      </c>
      <c r="U7759" t="str">
        <f t="shared" si="3170"/>
        <v>AZRAD UMAR BIN SHAARI</v>
      </c>
      <c r="V7759" t="str">
        <f t="shared" si="3171"/>
        <v>FARHANA BINTI MUSTAPA</v>
      </c>
      <c r="W7759" t="str">
        <f t="shared" si="3172"/>
        <v>04-08-2020</v>
      </c>
      <c r="X7759" t="str">
        <f t="shared" si="3173"/>
        <v>RAZIMAH ANSAR AHMAD</v>
      </c>
      <c r="Y7759" t="str">
        <f t="shared" si="3174"/>
        <v>04-08-2020</v>
      </c>
      <c r="Z7759" t="str">
        <f>"COS10200804 1395"</f>
        <v>COS10200804 1395</v>
      </c>
    </row>
    <row r="7760" spans="1:26" x14ac:dyDescent="0.25">
      <c r="A7760" t="str">
        <f t="shared" si="3175"/>
        <v>04-08-2020 12:32:37</v>
      </c>
      <c r="B7760" t="str">
        <f>"0000803142"</f>
        <v>0000803142</v>
      </c>
      <c r="C7760" t="str">
        <f t="shared" si="3176"/>
        <v>0000802948</v>
      </c>
      <c r="D7760" t="str">
        <f t="shared" si="3164"/>
        <v>73185</v>
      </c>
      <c r="E7760" t="str">
        <f t="shared" si="3165"/>
        <v>KFH-OPERATIONS DEPARTMENT</v>
      </c>
      <c r="F7760" t="str">
        <f t="shared" si="3166"/>
        <v>IBG</v>
      </c>
      <c r="G7760" t="str">
        <f t="shared" si="3177"/>
        <v>Refund COSHARE 10</v>
      </c>
      <c r="H7760" s="2">
        <v>537.29999999999995</v>
      </c>
      <c r="I7760" t="str">
        <f>"WAN FARIDAH BT ALI"</f>
        <v>WAN FARIDAH BT ALI</v>
      </c>
      <c r="J7760" t="str">
        <f t="shared" si="3155"/>
        <v>BANK KERJASAMA RAKYAT</v>
      </c>
      <c r="K7760" t="str">
        <f>"221381015181"</f>
        <v>221381015181</v>
      </c>
      <c r="L7760" t="str">
        <f t="shared" si="3162"/>
        <v>04-08-2020</v>
      </c>
      <c r="M7760" t="str">
        <f t="shared" si="3162"/>
        <v>04-08-2020</v>
      </c>
      <c r="N7760" t="str">
        <f t="shared" si="3167"/>
        <v>001105018356</v>
      </c>
      <c r="O7760" t="str">
        <f t="shared" si="3168"/>
        <v>MYR</v>
      </c>
      <c r="P7760" t="str">
        <f t="shared" si="3163"/>
        <v>NIL</v>
      </c>
      <c r="Q7760" t="str">
        <f t="shared" si="3163"/>
        <v>NIL</v>
      </c>
      <c r="R7760" t="str">
        <f t="shared" si="3156"/>
        <v>Accepted</v>
      </c>
      <c r="S7760" t="str">
        <f t="shared" si="3169"/>
        <v>Approved</v>
      </c>
      <c r="T7760" t="str">
        <f t="shared" si="3157"/>
        <v>10.20.8.188</v>
      </c>
      <c r="U7760" t="str">
        <f t="shared" si="3170"/>
        <v>AZRAD UMAR BIN SHAARI</v>
      </c>
      <c r="V7760" t="str">
        <f t="shared" si="3171"/>
        <v>FARHANA BINTI MUSTAPA</v>
      </c>
      <c r="W7760" t="str">
        <f t="shared" si="3172"/>
        <v>04-08-2020</v>
      </c>
      <c r="X7760" t="str">
        <f t="shared" si="3173"/>
        <v>RAZIMAH ANSAR AHMAD</v>
      </c>
      <c r="Y7760" t="str">
        <f t="shared" si="3174"/>
        <v>04-08-2020</v>
      </c>
      <c r="Z7760" t="str">
        <f>"COS10200804 1394"</f>
        <v>COS10200804 1394</v>
      </c>
    </row>
    <row r="7761" spans="1:26" x14ac:dyDescent="0.25">
      <c r="A7761" t="str">
        <f t="shared" si="3175"/>
        <v>04-08-2020 12:32:37</v>
      </c>
      <c r="B7761" t="str">
        <f>"0000803141"</f>
        <v>0000803141</v>
      </c>
      <c r="C7761" t="str">
        <f t="shared" si="3176"/>
        <v>0000802948</v>
      </c>
      <c r="D7761" t="str">
        <f t="shared" si="3164"/>
        <v>73185</v>
      </c>
      <c r="E7761" t="str">
        <f t="shared" si="3165"/>
        <v>KFH-OPERATIONS DEPARTMENT</v>
      </c>
      <c r="F7761" t="str">
        <f t="shared" si="3166"/>
        <v>IBG</v>
      </c>
      <c r="G7761" t="str">
        <f t="shared" si="3177"/>
        <v>Refund COSHARE 10</v>
      </c>
      <c r="H7761" s="2">
        <v>42</v>
      </c>
      <c r="I7761" t="str">
        <f>"WAN FAISAL BIN WAN ADNAN"</f>
        <v>WAN FAISAL BIN WAN ADNAN</v>
      </c>
      <c r="J7761" t="str">
        <f t="shared" si="3155"/>
        <v>BANK KERJASAMA RAKYAT</v>
      </c>
      <c r="K7761" t="str">
        <f>"220122267931"</f>
        <v>220122267931</v>
      </c>
      <c r="L7761" t="str">
        <f t="shared" si="3162"/>
        <v>04-08-2020</v>
      </c>
      <c r="M7761" t="str">
        <f t="shared" si="3162"/>
        <v>04-08-2020</v>
      </c>
      <c r="N7761" t="str">
        <f t="shared" si="3167"/>
        <v>001105018356</v>
      </c>
      <c r="O7761" t="str">
        <f t="shared" si="3168"/>
        <v>MYR</v>
      </c>
      <c r="P7761" t="str">
        <f t="shared" si="3163"/>
        <v>NIL</v>
      </c>
      <c r="Q7761" t="str">
        <f t="shared" si="3163"/>
        <v>NIL</v>
      </c>
      <c r="R7761" t="str">
        <f t="shared" si="3156"/>
        <v>Accepted</v>
      </c>
      <c r="S7761" t="str">
        <f t="shared" si="3169"/>
        <v>Approved</v>
      </c>
      <c r="T7761" t="str">
        <f t="shared" si="3157"/>
        <v>10.20.8.188</v>
      </c>
      <c r="U7761" t="str">
        <f t="shared" si="3170"/>
        <v>AZRAD UMAR BIN SHAARI</v>
      </c>
      <c r="V7761" t="str">
        <f t="shared" si="3171"/>
        <v>FARHANA BINTI MUSTAPA</v>
      </c>
      <c r="W7761" t="str">
        <f t="shared" si="3172"/>
        <v>04-08-2020</v>
      </c>
      <c r="X7761" t="str">
        <f t="shared" si="3173"/>
        <v>RAZIMAH ANSAR AHMAD</v>
      </c>
      <c r="Y7761" t="str">
        <f t="shared" si="3174"/>
        <v>04-08-2020</v>
      </c>
      <c r="Z7761" t="str">
        <f>"COS10200804 1393"</f>
        <v>COS10200804 1393</v>
      </c>
    </row>
    <row r="7762" spans="1:26" x14ac:dyDescent="0.25">
      <c r="A7762" t="str">
        <f t="shared" si="3175"/>
        <v>04-08-2020 12:32:37</v>
      </c>
      <c r="B7762" t="str">
        <f>"0000803140"</f>
        <v>0000803140</v>
      </c>
      <c r="C7762" t="str">
        <f t="shared" si="3176"/>
        <v>0000802948</v>
      </c>
      <c r="D7762" t="str">
        <f t="shared" si="3164"/>
        <v>73185</v>
      </c>
      <c r="E7762" t="str">
        <f t="shared" si="3165"/>
        <v>KFH-OPERATIONS DEPARTMENT</v>
      </c>
      <c r="F7762" t="str">
        <f t="shared" si="3166"/>
        <v>IBG</v>
      </c>
      <c r="G7762" t="str">
        <f t="shared" si="3177"/>
        <v>Refund COSHARE 10</v>
      </c>
      <c r="H7762" s="2">
        <v>201.5</v>
      </c>
      <c r="I7762" t="str">
        <f>"WAN AZLAN BIN WAN AHMED"</f>
        <v>WAN AZLAN BIN WAN AHMED</v>
      </c>
      <c r="J7762" t="str">
        <f t="shared" si="3155"/>
        <v>BANK KERJASAMA RAKYAT</v>
      </c>
      <c r="K7762" t="str">
        <f>"220971072109"</f>
        <v>220971072109</v>
      </c>
      <c r="L7762" t="str">
        <f t="shared" si="3162"/>
        <v>04-08-2020</v>
      </c>
      <c r="M7762" t="str">
        <f t="shared" si="3162"/>
        <v>04-08-2020</v>
      </c>
      <c r="N7762" t="str">
        <f t="shared" si="3167"/>
        <v>001105018356</v>
      </c>
      <c r="O7762" t="str">
        <f t="shared" si="3168"/>
        <v>MYR</v>
      </c>
      <c r="P7762" t="str">
        <f t="shared" si="3163"/>
        <v>NIL</v>
      </c>
      <c r="Q7762" t="str">
        <f t="shared" si="3163"/>
        <v>NIL</v>
      </c>
      <c r="R7762" t="str">
        <f t="shared" si="3156"/>
        <v>Accepted</v>
      </c>
      <c r="S7762" t="str">
        <f t="shared" si="3169"/>
        <v>Approved</v>
      </c>
      <c r="T7762" t="str">
        <f t="shared" si="3157"/>
        <v>10.20.8.188</v>
      </c>
      <c r="U7762" t="str">
        <f t="shared" si="3170"/>
        <v>AZRAD UMAR BIN SHAARI</v>
      </c>
      <c r="V7762" t="str">
        <f t="shared" si="3171"/>
        <v>FARHANA BINTI MUSTAPA</v>
      </c>
      <c r="W7762" t="str">
        <f t="shared" si="3172"/>
        <v>04-08-2020</v>
      </c>
      <c r="X7762" t="str">
        <f t="shared" si="3173"/>
        <v>RAZIMAH ANSAR AHMAD</v>
      </c>
      <c r="Y7762" t="str">
        <f t="shared" si="3174"/>
        <v>04-08-2020</v>
      </c>
      <c r="Z7762" t="str">
        <f>"COS10200804 1392"</f>
        <v>COS10200804 1392</v>
      </c>
    </row>
    <row r="7763" spans="1:26" x14ac:dyDescent="0.25">
      <c r="A7763" t="str">
        <f t="shared" si="3175"/>
        <v>04-08-2020 12:32:37</v>
      </c>
      <c r="B7763" t="str">
        <f>"0000803139"</f>
        <v>0000803139</v>
      </c>
      <c r="C7763" t="str">
        <f t="shared" si="3176"/>
        <v>0000802948</v>
      </c>
      <c r="D7763" t="str">
        <f t="shared" si="3164"/>
        <v>73185</v>
      </c>
      <c r="E7763" t="str">
        <f t="shared" si="3165"/>
        <v>KFH-OPERATIONS DEPARTMENT</v>
      </c>
      <c r="F7763" t="str">
        <f t="shared" si="3166"/>
        <v>IBG</v>
      </c>
      <c r="G7763" t="str">
        <f t="shared" si="3177"/>
        <v>Refund COSHARE 10</v>
      </c>
      <c r="H7763" s="2">
        <v>946.55</v>
      </c>
      <c r="I7763" t="str">
        <f>"WAN ABDUL HADI BIN WAN YUSOF"</f>
        <v>WAN ABDUL HADI BIN WAN YUSOF</v>
      </c>
      <c r="J7763" t="str">
        <f t="shared" si="3155"/>
        <v>BANK KERJASAMA RAKYAT</v>
      </c>
      <c r="K7763" t="str">
        <f>"220951169335"</f>
        <v>220951169335</v>
      </c>
      <c r="L7763" t="str">
        <f t="shared" si="3162"/>
        <v>04-08-2020</v>
      </c>
      <c r="M7763" t="str">
        <f t="shared" si="3162"/>
        <v>04-08-2020</v>
      </c>
      <c r="N7763" t="str">
        <f t="shared" si="3167"/>
        <v>001105018356</v>
      </c>
      <c r="O7763" t="str">
        <f t="shared" si="3168"/>
        <v>MYR</v>
      </c>
      <c r="P7763" t="str">
        <f t="shared" si="3163"/>
        <v>NIL</v>
      </c>
      <c r="Q7763" t="str">
        <f t="shared" si="3163"/>
        <v>NIL</v>
      </c>
      <c r="R7763" t="str">
        <f t="shared" si="3156"/>
        <v>Accepted</v>
      </c>
      <c r="S7763" t="str">
        <f t="shared" si="3169"/>
        <v>Approved</v>
      </c>
      <c r="T7763" t="str">
        <f t="shared" si="3157"/>
        <v>10.20.8.188</v>
      </c>
      <c r="U7763" t="str">
        <f t="shared" si="3170"/>
        <v>AZRAD UMAR BIN SHAARI</v>
      </c>
      <c r="V7763" t="str">
        <f t="shared" si="3171"/>
        <v>FARHANA BINTI MUSTAPA</v>
      </c>
      <c r="W7763" t="str">
        <f t="shared" si="3172"/>
        <v>04-08-2020</v>
      </c>
      <c r="X7763" t="str">
        <f t="shared" si="3173"/>
        <v>RAZIMAH ANSAR AHMAD</v>
      </c>
      <c r="Y7763" t="str">
        <f t="shared" si="3174"/>
        <v>04-08-2020</v>
      </c>
      <c r="Z7763" t="str">
        <f>"COS10200804 1391"</f>
        <v>COS10200804 1391</v>
      </c>
    </row>
    <row r="7764" spans="1:26" x14ac:dyDescent="0.25">
      <c r="A7764" t="str">
        <f t="shared" si="3175"/>
        <v>04-08-2020 12:32:37</v>
      </c>
      <c r="B7764" t="str">
        <f>"0000803138"</f>
        <v>0000803138</v>
      </c>
      <c r="C7764" t="str">
        <f t="shared" si="3176"/>
        <v>0000802948</v>
      </c>
      <c r="D7764" t="str">
        <f t="shared" si="3164"/>
        <v>73185</v>
      </c>
      <c r="E7764" t="str">
        <f t="shared" si="3165"/>
        <v>KFH-OPERATIONS DEPARTMENT</v>
      </c>
      <c r="F7764" t="str">
        <f t="shared" si="3166"/>
        <v>IBG</v>
      </c>
      <c r="G7764" t="str">
        <f t="shared" si="3177"/>
        <v>Refund COSHARE 10</v>
      </c>
      <c r="H7764" s="2">
        <v>1527.9</v>
      </c>
      <c r="I7764" t="str">
        <f>"VINDDY BIN GABRIEL"</f>
        <v>VINDDY BIN GABRIEL</v>
      </c>
      <c r="J7764" t="str">
        <f t="shared" si="3155"/>
        <v>BANK KERJASAMA RAKYAT</v>
      </c>
      <c r="K7764" t="str">
        <f>"220741158426"</f>
        <v>220741158426</v>
      </c>
      <c r="L7764" t="str">
        <f t="shared" si="3162"/>
        <v>04-08-2020</v>
      </c>
      <c r="M7764" t="str">
        <f t="shared" si="3162"/>
        <v>04-08-2020</v>
      </c>
      <c r="N7764" t="str">
        <f t="shared" si="3167"/>
        <v>001105018356</v>
      </c>
      <c r="O7764" t="str">
        <f t="shared" si="3168"/>
        <v>MYR</v>
      </c>
      <c r="P7764" t="str">
        <f t="shared" si="3163"/>
        <v>NIL</v>
      </c>
      <c r="Q7764" t="str">
        <f t="shared" si="3163"/>
        <v>NIL</v>
      </c>
      <c r="R7764" t="str">
        <f t="shared" si="3156"/>
        <v>Accepted</v>
      </c>
      <c r="S7764" t="str">
        <f t="shared" si="3169"/>
        <v>Approved</v>
      </c>
      <c r="T7764" t="str">
        <f t="shared" si="3157"/>
        <v>10.20.8.188</v>
      </c>
      <c r="U7764" t="str">
        <f t="shared" si="3170"/>
        <v>AZRAD UMAR BIN SHAARI</v>
      </c>
      <c r="V7764" t="str">
        <f t="shared" si="3171"/>
        <v>FARHANA BINTI MUSTAPA</v>
      </c>
      <c r="W7764" t="str">
        <f t="shared" si="3172"/>
        <v>04-08-2020</v>
      </c>
      <c r="X7764" t="str">
        <f t="shared" si="3173"/>
        <v>RAZIMAH ANSAR AHMAD</v>
      </c>
      <c r="Y7764" t="str">
        <f t="shared" si="3174"/>
        <v>04-08-2020</v>
      </c>
      <c r="Z7764" t="str">
        <f>"COS10200804 1390"</f>
        <v>COS10200804 1390</v>
      </c>
    </row>
    <row r="7765" spans="1:26" x14ac:dyDescent="0.25">
      <c r="A7765" t="str">
        <f t="shared" si="3175"/>
        <v>04-08-2020 12:32:37</v>
      </c>
      <c r="B7765" t="str">
        <f>"0000803137"</f>
        <v>0000803137</v>
      </c>
      <c r="C7765" t="str">
        <f t="shared" si="3176"/>
        <v>0000802948</v>
      </c>
      <c r="D7765" t="str">
        <f t="shared" si="3164"/>
        <v>73185</v>
      </c>
      <c r="E7765" t="str">
        <f t="shared" si="3165"/>
        <v>KFH-OPERATIONS DEPARTMENT</v>
      </c>
      <c r="F7765" t="str">
        <f t="shared" si="3166"/>
        <v>IBG</v>
      </c>
      <c r="G7765" t="str">
        <f t="shared" si="3177"/>
        <v>Refund COSHARE 10</v>
      </c>
      <c r="H7765" s="2">
        <v>193.1</v>
      </c>
      <c r="I7765" t="str">
        <f>"VICK MORROW AK JONATHAN TENGSOI"</f>
        <v>VICK MORROW AK JONATHAN TENGSOI</v>
      </c>
      <c r="J7765" t="str">
        <f t="shared" si="3155"/>
        <v>BANK KERJASAMA RAKYAT</v>
      </c>
      <c r="K7765" t="str">
        <f>"220741013167"</f>
        <v>220741013167</v>
      </c>
      <c r="L7765" t="str">
        <f t="shared" si="3162"/>
        <v>04-08-2020</v>
      </c>
      <c r="M7765" t="str">
        <f t="shared" si="3162"/>
        <v>04-08-2020</v>
      </c>
      <c r="N7765" t="str">
        <f t="shared" si="3167"/>
        <v>001105018356</v>
      </c>
      <c r="O7765" t="str">
        <f t="shared" si="3168"/>
        <v>MYR</v>
      </c>
      <c r="P7765" t="str">
        <f t="shared" si="3163"/>
        <v>NIL</v>
      </c>
      <c r="Q7765" t="str">
        <f t="shared" si="3163"/>
        <v>NIL</v>
      </c>
      <c r="R7765" t="str">
        <f t="shared" si="3156"/>
        <v>Accepted</v>
      </c>
      <c r="S7765" t="str">
        <f t="shared" si="3169"/>
        <v>Approved</v>
      </c>
      <c r="T7765" t="str">
        <f t="shared" si="3157"/>
        <v>10.20.8.188</v>
      </c>
      <c r="U7765" t="str">
        <f t="shared" si="3170"/>
        <v>AZRAD UMAR BIN SHAARI</v>
      </c>
      <c r="V7765" t="str">
        <f t="shared" si="3171"/>
        <v>FARHANA BINTI MUSTAPA</v>
      </c>
      <c r="W7765" t="str">
        <f t="shared" si="3172"/>
        <v>04-08-2020</v>
      </c>
      <c r="X7765" t="str">
        <f t="shared" si="3173"/>
        <v>RAZIMAH ANSAR AHMAD</v>
      </c>
      <c r="Y7765" t="str">
        <f t="shared" si="3174"/>
        <v>04-08-2020</v>
      </c>
      <c r="Z7765" t="str">
        <f>"COS10200804 1389"</f>
        <v>COS10200804 1389</v>
      </c>
    </row>
    <row r="7766" spans="1:26" x14ac:dyDescent="0.25">
      <c r="A7766" t="str">
        <f t="shared" si="3175"/>
        <v>04-08-2020 12:32:37</v>
      </c>
      <c r="B7766" t="str">
        <f>"0000803136"</f>
        <v>0000803136</v>
      </c>
      <c r="C7766" t="str">
        <f t="shared" si="3176"/>
        <v>0000802948</v>
      </c>
      <c r="D7766" t="str">
        <f t="shared" si="3164"/>
        <v>73185</v>
      </c>
      <c r="E7766" t="str">
        <f t="shared" si="3165"/>
        <v>KFH-OPERATIONS DEPARTMENT</v>
      </c>
      <c r="F7766" t="str">
        <f t="shared" si="3166"/>
        <v>IBG</v>
      </c>
      <c r="G7766" t="str">
        <f t="shared" si="3177"/>
        <v>Refund COSHARE 10</v>
      </c>
      <c r="H7766" s="2">
        <v>1154</v>
      </c>
      <c r="I7766" t="str">
        <f>"UMISALIMAH BINTI HASNAN"</f>
        <v>UMISALIMAH BINTI HASNAN</v>
      </c>
      <c r="J7766" t="str">
        <f t="shared" si="3155"/>
        <v>BANK KERJASAMA RAKYAT</v>
      </c>
      <c r="K7766" t="str">
        <f>"220581150724"</f>
        <v>220581150724</v>
      </c>
      <c r="L7766" t="str">
        <f t="shared" si="3162"/>
        <v>04-08-2020</v>
      </c>
      <c r="M7766" t="str">
        <f t="shared" si="3162"/>
        <v>04-08-2020</v>
      </c>
      <c r="N7766" t="str">
        <f t="shared" si="3167"/>
        <v>001105018356</v>
      </c>
      <c r="O7766" t="str">
        <f t="shared" si="3168"/>
        <v>MYR</v>
      </c>
      <c r="P7766" t="str">
        <f t="shared" si="3163"/>
        <v>NIL</v>
      </c>
      <c r="Q7766" t="str">
        <f t="shared" si="3163"/>
        <v>NIL</v>
      </c>
      <c r="R7766" t="str">
        <f t="shared" si="3156"/>
        <v>Accepted</v>
      </c>
      <c r="S7766" t="str">
        <f t="shared" si="3169"/>
        <v>Approved</v>
      </c>
      <c r="T7766" t="str">
        <f t="shared" si="3157"/>
        <v>10.20.8.188</v>
      </c>
      <c r="U7766" t="str">
        <f t="shared" si="3170"/>
        <v>AZRAD UMAR BIN SHAARI</v>
      </c>
      <c r="V7766" t="str">
        <f t="shared" si="3171"/>
        <v>FARHANA BINTI MUSTAPA</v>
      </c>
      <c r="W7766" t="str">
        <f t="shared" si="3172"/>
        <v>04-08-2020</v>
      </c>
      <c r="X7766" t="str">
        <f t="shared" si="3173"/>
        <v>RAZIMAH ANSAR AHMAD</v>
      </c>
      <c r="Y7766" t="str">
        <f t="shared" si="3174"/>
        <v>04-08-2020</v>
      </c>
      <c r="Z7766" t="str">
        <f>"COS10200804 1388"</f>
        <v>COS10200804 1388</v>
      </c>
    </row>
    <row r="7767" spans="1:26" x14ac:dyDescent="0.25">
      <c r="A7767" t="str">
        <f t="shared" si="3175"/>
        <v>04-08-2020 12:32:37</v>
      </c>
      <c r="B7767" t="str">
        <f>"0000803135"</f>
        <v>0000803135</v>
      </c>
      <c r="C7767" t="str">
        <f t="shared" si="3176"/>
        <v>0000802948</v>
      </c>
      <c r="D7767" t="str">
        <f t="shared" si="3164"/>
        <v>73185</v>
      </c>
      <c r="E7767" t="str">
        <f t="shared" si="3165"/>
        <v>KFH-OPERATIONS DEPARTMENT</v>
      </c>
      <c r="F7767" t="str">
        <f t="shared" si="3166"/>
        <v>IBG</v>
      </c>
      <c r="G7767" t="str">
        <f t="shared" si="3177"/>
        <v>Refund COSHARE 10</v>
      </c>
      <c r="H7767" s="2">
        <v>520.5</v>
      </c>
      <c r="I7767" t="str">
        <f>"UMI KALSOM BINTI ABDULLAH"</f>
        <v>UMI KALSOM BINTI ABDULLAH</v>
      </c>
      <c r="J7767" t="str">
        <f t="shared" si="3155"/>
        <v>BANK KERJASAMA RAKYAT</v>
      </c>
      <c r="K7767" t="str">
        <f>"220092346376"</f>
        <v>220092346376</v>
      </c>
      <c r="L7767" t="str">
        <f t="shared" ref="L7767:M7786" si="3178">"04-08-2020"</f>
        <v>04-08-2020</v>
      </c>
      <c r="M7767" t="str">
        <f t="shared" si="3178"/>
        <v>04-08-2020</v>
      </c>
      <c r="N7767" t="str">
        <f t="shared" si="3167"/>
        <v>001105018356</v>
      </c>
      <c r="O7767" t="str">
        <f t="shared" si="3168"/>
        <v>MYR</v>
      </c>
      <c r="P7767" t="str">
        <f t="shared" ref="P7767:Q7786" si="3179">"NIL"</f>
        <v>NIL</v>
      </c>
      <c r="Q7767" t="str">
        <f t="shared" si="3179"/>
        <v>NIL</v>
      </c>
      <c r="R7767" t="str">
        <f t="shared" si="3156"/>
        <v>Accepted</v>
      </c>
      <c r="S7767" t="str">
        <f t="shared" si="3169"/>
        <v>Approved</v>
      </c>
      <c r="T7767" t="str">
        <f t="shared" si="3157"/>
        <v>10.20.8.188</v>
      </c>
      <c r="U7767" t="str">
        <f t="shared" si="3170"/>
        <v>AZRAD UMAR BIN SHAARI</v>
      </c>
      <c r="V7767" t="str">
        <f t="shared" si="3171"/>
        <v>FARHANA BINTI MUSTAPA</v>
      </c>
      <c r="W7767" t="str">
        <f t="shared" si="3172"/>
        <v>04-08-2020</v>
      </c>
      <c r="X7767" t="str">
        <f t="shared" si="3173"/>
        <v>RAZIMAH ANSAR AHMAD</v>
      </c>
      <c r="Y7767" t="str">
        <f t="shared" si="3174"/>
        <v>04-08-2020</v>
      </c>
      <c r="Z7767" t="str">
        <f>"COS10200804 1387"</f>
        <v>COS10200804 1387</v>
      </c>
    </row>
    <row r="7768" spans="1:26" x14ac:dyDescent="0.25">
      <c r="A7768" t="str">
        <f t="shared" si="3175"/>
        <v>04-08-2020 12:32:37</v>
      </c>
      <c r="B7768" t="str">
        <f>"0000803134"</f>
        <v>0000803134</v>
      </c>
      <c r="C7768" t="str">
        <f t="shared" si="3176"/>
        <v>0000802948</v>
      </c>
      <c r="D7768" t="str">
        <f t="shared" si="3164"/>
        <v>73185</v>
      </c>
      <c r="E7768" t="str">
        <f t="shared" si="3165"/>
        <v>KFH-OPERATIONS DEPARTMENT</v>
      </c>
      <c r="F7768" t="str">
        <f t="shared" si="3166"/>
        <v>IBG</v>
      </c>
      <c r="G7768" t="str">
        <f t="shared" si="3177"/>
        <v>Refund COSHARE 10</v>
      </c>
      <c r="H7768" s="2">
        <v>202</v>
      </c>
      <c r="I7768" t="str">
        <f>"TUTTY RAMUNI BINTI OTHMAN"</f>
        <v>TUTTY RAMUNI BINTI OTHMAN</v>
      </c>
      <c r="J7768" t="str">
        <f t="shared" si="3155"/>
        <v>BANK KERJASAMA RAKYAT</v>
      </c>
      <c r="K7768" t="str">
        <f>"220541364736"</f>
        <v>220541364736</v>
      </c>
      <c r="L7768" t="str">
        <f t="shared" si="3178"/>
        <v>04-08-2020</v>
      </c>
      <c r="M7768" t="str">
        <f t="shared" si="3178"/>
        <v>04-08-2020</v>
      </c>
      <c r="N7768" t="str">
        <f t="shared" si="3167"/>
        <v>001105018356</v>
      </c>
      <c r="O7768" t="str">
        <f t="shared" si="3168"/>
        <v>MYR</v>
      </c>
      <c r="P7768" t="str">
        <f t="shared" si="3179"/>
        <v>NIL</v>
      </c>
      <c r="Q7768" t="str">
        <f t="shared" si="3179"/>
        <v>NIL</v>
      </c>
      <c r="R7768" t="str">
        <f t="shared" si="3156"/>
        <v>Accepted</v>
      </c>
      <c r="S7768" t="str">
        <f t="shared" si="3169"/>
        <v>Approved</v>
      </c>
      <c r="T7768" t="str">
        <f t="shared" si="3157"/>
        <v>10.20.8.188</v>
      </c>
      <c r="U7768" t="str">
        <f t="shared" si="3170"/>
        <v>AZRAD UMAR BIN SHAARI</v>
      </c>
      <c r="V7768" t="str">
        <f t="shared" si="3171"/>
        <v>FARHANA BINTI MUSTAPA</v>
      </c>
      <c r="W7768" t="str">
        <f t="shared" si="3172"/>
        <v>04-08-2020</v>
      </c>
      <c r="X7768" t="str">
        <f t="shared" si="3173"/>
        <v>RAZIMAH ANSAR AHMAD</v>
      </c>
      <c r="Y7768" t="str">
        <f t="shared" si="3174"/>
        <v>04-08-2020</v>
      </c>
      <c r="Z7768" t="str">
        <f>"COS10200804 1386"</f>
        <v>COS10200804 1386</v>
      </c>
    </row>
    <row r="7769" spans="1:26" x14ac:dyDescent="0.25">
      <c r="A7769" t="str">
        <f t="shared" si="3175"/>
        <v>04-08-2020 12:32:37</v>
      </c>
      <c r="B7769" t="str">
        <f>"0000803133"</f>
        <v>0000803133</v>
      </c>
      <c r="C7769" t="str">
        <f t="shared" si="3176"/>
        <v>0000802948</v>
      </c>
      <c r="D7769" t="str">
        <f t="shared" si="3164"/>
        <v>73185</v>
      </c>
      <c r="E7769" t="str">
        <f t="shared" si="3165"/>
        <v>KFH-OPERATIONS DEPARTMENT</v>
      </c>
      <c r="F7769" t="str">
        <f t="shared" si="3166"/>
        <v>IBG</v>
      </c>
      <c r="G7769" t="str">
        <f t="shared" si="3177"/>
        <v>Refund COSHARE 10</v>
      </c>
      <c r="H7769" s="2">
        <v>1148.3499999999999</v>
      </c>
      <c r="I7769" t="str">
        <f>"TURIAH BINTI SUPAHAT"</f>
        <v>TURIAH BINTI SUPAHAT</v>
      </c>
      <c r="J7769" t="str">
        <f t="shared" si="3155"/>
        <v>BANK KERJASAMA RAKYAT</v>
      </c>
      <c r="K7769" t="str">
        <f>"220991045197"</f>
        <v>220991045197</v>
      </c>
      <c r="L7769" t="str">
        <f t="shared" si="3178"/>
        <v>04-08-2020</v>
      </c>
      <c r="M7769" t="str">
        <f t="shared" si="3178"/>
        <v>04-08-2020</v>
      </c>
      <c r="N7769" t="str">
        <f t="shared" si="3167"/>
        <v>001105018356</v>
      </c>
      <c r="O7769" t="str">
        <f t="shared" si="3168"/>
        <v>MYR</v>
      </c>
      <c r="P7769" t="str">
        <f t="shared" si="3179"/>
        <v>NIL</v>
      </c>
      <c r="Q7769" t="str">
        <f t="shared" si="3179"/>
        <v>NIL</v>
      </c>
      <c r="R7769" t="str">
        <f t="shared" si="3156"/>
        <v>Accepted</v>
      </c>
      <c r="S7769" t="str">
        <f t="shared" si="3169"/>
        <v>Approved</v>
      </c>
      <c r="T7769" t="str">
        <f t="shared" si="3157"/>
        <v>10.20.8.188</v>
      </c>
      <c r="U7769" t="str">
        <f t="shared" si="3170"/>
        <v>AZRAD UMAR BIN SHAARI</v>
      </c>
      <c r="V7769" t="str">
        <f t="shared" si="3171"/>
        <v>FARHANA BINTI MUSTAPA</v>
      </c>
      <c r="W7769" t="str">
        <f t="shared" si="3172"/>
        <v>04-08-2020</v>
      </c>
      <c r="X7769" t="str">
        <f t="shared" si="3173"/>
        <v>RAZIMAH ANSAR AHMAD</v>
      </c>
      <c r="Y7769" t="str">
        <f t="shared" si="3174"/>
        <v>04-08-2020</v>
      </c>
      <c r="Z7769" t="str">
        <f>"COS10200804 1385"</f>
        <v>COS10200804 1385</v>
      </c>
    </row>
    <row r="7770" spans="1:26" x14ac:dyDescent="0.25">
      <c r="A7770" t="str">
        <f t="shared" si="3175"/>
        <v>04-08-2020 12:32:37</v>
      </c>
      <c r="B7770" t="str">
        <f>"0000803132"</f>
        <v>0000803132</v>
      </c>
      <c r="C7770" t="str">
        <f t="shared" si="3176"/>
        <v>0000802948</v>
      </c>
      <c r="D7770" t="str">
        <f t="shared" si="3164"/>
        <v>73185</v>
      </c>
      <c r="E7770" t="str">
        <f t="shared" si="3165"/>
        <v>KFH-OPERATIONS DEPARTMENT</v>
      </c>
      <c r="F7770" t="str">
        <f t="shared" si="3166"/>
        <v>IBG</v>
      </c>
      <c r="G7770" t="str">
        <f t="shared" si="3177"/>
        <v>Refund COSHARE 10</v>
      </c>
      <c r="H7770" s="2">
        <v>293.85000000000002</v>
      </c>
      <c r="I7770" t="str">
        <f>"TUAN SHAHRUBAHARIN BIN TUAN YUSOFF"</f>
        <v>TUAN SHAHRUBAHARIN BIN TUAN YUSOFF</v>
      </c>
      <c r="J7770" t="str">
        <f t="shared" si="3155"/>
        <v>BANK KERJASAMA RAKYAT</v>
      </c>
      <c r="K7770" t="str">
        <f>"220141461074"</f>
        <v>220141461074</v>
      </c>
      <c r="L7770" t="str">
        <f t="shared" si="3178"/>
        <v>04-08-2020</v>
      </c>
      <c r="M7770" t="str">
        <f t="shared" si="3178"/>
        <v>04-08-2020</v>
      </c>
      <c r="N7770" t="str">
        <f t="shared" si="3167"/>
        <v>001105018356</v>
      </c>
      <c r="O7770" t="str">
        <f t="shared" si="3168"/>
        <v>MYR</v>
      </c>
      <c r="P7770" t="str">
        <f t="shared" si="3179"/>
        <v>NIL</v>
      </c>
      <c r="Q7770" t="str">
        <f t="shared" si="3179"/>
        <v>NIL</v>
      </c>
      <c r="R7770" t="str">
        <f t="shared" si="3156"/>
        <v>Accepted</v>
      </c>
      <c r="S7770" t="str">
        <f t="shared" si="3169"/>
        <v>Approved</v>
      </c>
      <c r="T7770" t="str">
        <f t="shared" si="3157"/>
        <v>10.20.8.188</v>
      </c>
      <c r="U7770" t="str">
        <f t="shared" si="3170"/>
        <v>AZRAD UMAR BIN SHAARI</v>
      </c>
      <c r="V7770" t="str">
        <f t="shared" si="3171"/>
        <v>FARHANA BINTI MUSTAPA</v>
      </c>
      <c r="W7770" t="str">
        <f t="shared" si="3172"/>
        <v>04-08-2020</v>
      </c>
      <c r="X7770" t="str">
        <f t="shared" si="3173"/>
        <v>RAZIMAH ANSAR AHMAD</v>
      </c>
      <c r="Y7770" t="str">
        <f t="shared" si="3174"/>
        <v>04-08-2020</v>
      </c>
      <c r="Z7770" t="str">
        <f>"COS10200804 1384"</f>
        <v>COS10200804 1384</v>
      </c>
    </row>
    <row r="7771" spans="1:26" x14ac:dyDescent="0.25">
      <c r="A7771" t="str">
        <f t="shared" si="3175"/>
        <v>04-08-2020 12:32:37</v>
      </c>
      <c r="B7771" t="str">
        <f>"0000803131"</f>
        <v>0000803131</v>
      </c>
      <c r="C7771" t="str">
        <f t="shared" si="3176"/>
        <v>0000802948</v>
      </c>
      <c r="D7771" t="str">
        <f t="shared" si="3164"/>
        <v>73185</v>
      </c>
      <c r="E7771" t="str">
        <f t="shared" si="3165"/>
        <v>KFH-OPERATIONS DEPARTMENT</v>
      </c>
      <c r="F7771" t="str">
        <f t="shared" si="3166"/>
        <v>IBG</v>
      </c>
      <c r="G7771" t="str">
        <f t="shared" si="3177"/>
        <v>Refund COSHARE 10</v>
      </c>
      <c r="H7771" s="2">
        <v>92</v>
      </c>
      <c r="I7771" t="str">
        <f>"TUAN HASLINI BINTI TUAN HASSAN"</f>
        <v>TUAN HASLINI BINTI TUAN HASSAN</v>
      </c>
      <c r="J7771" t="str">
        <f t="shared" si="3155"/>
        <v>BANK KERJASAMA RAKYAT</v>
      </c>
      <c r="K7771" t="str">
        <f>"220291267575"</f>
        <v>220291267575</v>
      </c>
      <c r="L7771" t="str">
        <f t="shared" si="3178"/>
        <v>04-08-2020</v>
      </c>
      <c r="M7771" t="str">
        <f t="shared" si="3178"/>
        <v>04-08-2020</v>
      </c>
      <c r="N7771" t="str">
        <f t="shared" si="3167"/>
        <v>001105018356</v>
      </c>
      <c r="O7771" t="str">
        <f t="shared" si="3168"/>
        <v>MYR</v>
      </c>
      <c r="P7771" t="str">
        <f t="shared" si="3179"/>
        <v>NIL</v>
      </c>
      <c r="Q7771" t="str">
        <f t="shared" si="3179"/>
        <v>NIL</v>
      </c>
      <c r="R7771" t="str">
        <f t="shared" si="3156"/>
        <v>Accepted</v>
      </c>
      <c r="S7771" t="str">
        <f t="shared" si="3169"/>
        <v>Approved</v>
      </c>
      <c r="T7771" t="str">
        <f t="shared" si="3157"/>
        <v>10.20.8.188</v>
      </c>
      <c r="U7771" t="str">
        <f t="shared" si="3170"/>
        <v>AZRAD UMAR BIN SHAARI</v>
      </c>
      <c r="V7771" t="str">
        <f t="shared" si="3171"/>
        <v>FARHANA BINTI MUSTAPA</v>
      </c>
      <c r="W7771" t="str">
        <f t="shared" si="3172"/>
        <v>04-08-2020</v>
      </c>
      <c r="X7771" t="str">
        <f t="shared" si="3173"/>
        <v>RAZIMAH ANSAR AHMAD</v>
      </c>
      <c r="Y7771" t="str">
        <f t="shared" si="3174"/>
        <v>04-08-2020</v>
      </c>
      <c r="Z7771" t="str">
        <f>"COS10200804 1383"</f>
        <v>COS10200804 1383</v>
      </c>
    </row>
    <row r="7772" spans="1:26" x14ac:dyDescent="0.25">
      <c r="A7772" t="str">
        <f t="shared" si="3175"/>
        <v>04-08-2020 12:32:37</v>
      </c>
      <c r="B7772" t="str">
        <f>"0000803130"</f>
        <v>0000803130</v>
      </c>
      <c r="C7772" t="str">
        <f t="shared" si="3176"/>
        <v>0000802948</v>
      </c>
      <c r="D7772" t="str">
        <f t="shared" si="3164"/>
        <v>73185</v>
      </c>
      <c r="E7772" t="str">
        <f t="shared" si="3165"/>
        <v>KFH-OPERATIONS DEPARTMENT</v>
      </c>
      <c r="F7772" t="str">
        <f t="shared" si="3166"/>
        <v>IBG</v>
      </c>
      <c r="G7772" t="str">
        <f t="shared" si="3177"/>
        <v>Refund COSHARE 10</v>
      </c>
      <c r="H7772" s="2">
        <v>67.2</v>
      </c>
      <c r="I7772" t="str">
        <f>"TRACY BINTI CLARENCE"</f>
        <v>TRACY BINTI CLARENCE</v>
      </c>
      <c r="J7772" t="str">
        <f t="shared" si="3155"/>
        <v>BANK KERJASAMA RAKYAT</v>
      </c>
      <c r="K7772" t="str">
        <f>"220743089097"</f>
        <v>220743089097</v>
      </c>
      <c r="L7772" t="str">
        <f t="shared" si="3178"/>
        <v>04-08-2020</v>
      </c>
      <c r="M7772" t="str">
        <f t="shared" si="3178"/>
        <v>04-08-2020</v>
      </c>
      <c r="N7772" t="str">
        <f t="shared" si="3167"/>
        <v>001105018356</v>
      </c>
      <c r="O7772" t="str">
        <f t="shared" si="3168"/>
        <v>MYR</v>
      </c>
      <c r="P7772" t="str">
        <f t="shared" si="3179"/>
        <v>NIL</v>
      </c>
      <c r="Q7772" t="str">
        <f t="shared" si="3179"/>
        <v>NIL</v>
      </c>
      <c r="R7772" t="str">
        <f t="shared" si="3156"/>
        <v>Accepted</v>
      </c>
      <c r="S7772" t="str">
        <f t="shared" si="3169"/>
        <v>Approved</v>
      </c>
      <c r="T7772" t="str">
        <f t="shared" si="3157"/>
        <v>10.20.8.188</v>
      </c>
      <c r="U7772" t="str">
        <f t="shared" si="3170"/>
        <v>AZRAD UMAR BIN SHAARI</v>
      </c>
      <c r="V7772" t="str">
        <f t="shared" si="3171"/>
        <v>FARHANA BINTI MUSTAPA</v>
      </c>
      <c r="W7772" t="str">
        <f t="shared" si="3172"/>
        <v>04-08-2020</v>
      </c>
      <c r="X7772" t="str">
        <f t="shared" si="3173"/>
        <v>RAZIMAH ANSAR AHMAD</v>
      </c>
      <c r="Y7772" t="str">
        <f t="shared" si="3174"/>
        <v>04-08-2020</v>
      </c>
      <c r="Z7772" t="str">
        <f>"COS10200804 1382"</f>
        <v>COS10200804 1382</v>
      </c>
    </row>
    <row r="7773" spans="1:26" x14ac:dyDescent="0.25">
      <c r="A7773" t="str">
        <f t="shared" si="3175"/>
        <v>04-08-2020 12:32:37</v>
      </c>
      <c r="B7773" t="str">
        <f>"0000803129"</f>
        <v>0000803129</v>
      </c>
      <c r="C7773" t="str">
        <f t="shared" si="3176"/>
        <v>0000802948</v>
      </c>
      <c r="D7773" t="str">
        <f t="shared" si="3164"/>
        <v>73185</v>
      </c>
      <c r="E7773" t="str">
        <f t="shared" si="3165"/>
        <v>KFH-OPERATIONS DEPARTMENT</v>
      </c>
      <c r="F7773" t="str">
        <f t="shared" si="3166"/>
        <v>IBG</v>
      </c>
      <c r="G7773" t="str">
        <f t="shared" si="3177"/>
        <v>Refund COSHARE 10</v>
      </c>
      <c r="H7773" s="2">
        <v>125.95</v>
      </c>
      <c r="I7773" t="str">
        <f>"THIERRY ANAK SIYOK"</f>
        <v>THIERRY ANAK SIYOK</v>
      </c>
      <c r="J7773" t="str">
        <f t="shared" si="3155"/>
        <v>BANK KERJASAMA RAKYAT</v>
      </c>
      <c r="K7773" t="str">
        <f>"220541421331"</f>
        <v>220541421331</v>
      </c>
      <c r="L7773" t="str">
        <f t="shared" si="3178"/>
        <v>04-08-2020</v>
      </c>
      <c r="M7773" t="str">
        <f t="shared" si="3178"/>
        <v>04-08-2020</v>
      </c>
      <c r="N7773" t="str">
        <f t="shared" si="3167"/>
        <v>001105018356</v>
      </c>
      <c r="O7773" t="str">
        <f t="shared" si="3168"/>
        <v>MYR</v>
      </c>
      <c r="P7773" t="str">
        <f t="shared" si="3179"/>
        <v>NIL</v>
      </c>
      <c r="Q7773" t="str">
        <f t="shared" si="3179"/>
        <v>NIL</v>
      </c>
      <c r="R7773" t="str">
        <f t="shared" si="3156"/>
        <v>Accepted</v>
      </c>
      <c r="S7773" t="str">
        <f t="shared" si="3169"/>
        <v>Approved</v>
      </c>
      <c r="T7773" t="str">
        <f t="shared" si="3157"/>
        <v>10.20.8.188</v>
      </c>
      <c r="U7773" t="str">
        <f t="shared" si="3170"/>
        <v>AZRAD UMAR BIN SHAARI</v>
      </c>
      <c r="V7773" t="str">
        <f t="shared" si="3171"/>
        <v>FARHANA BINTI MUSTAPA</v>
      </c>
      <c r="W7773" t="str">
        <f t="shared" si="3172"/>
        <v>04-08-2020</v>
      </c>
      <c r="X7773" t="str">
        <f t="shared" si="3173"/>
        <v>RAZIMAH ANSAR AHMAD</v>
      </c>
      <c r="Y7773" t="str">
        <f t="shared" si="3174"/>
        <v>04-08-2020</v>
      </c>
      <c r="Z7773" t="str">
        <f>"COS10200804 1381"</f>
        <v>COS10200804 1381</v>
      </c>
    </row>
    <row r="7774" spans="1:26" x14ac:dyDescent="0.25">
      <c r="A7774" t="str">
        <f t="shared" si="3175"/>
        <v>04-08-2020 12:32:37</v>
      </c>
      <c r="B7774" t="str">
        <f>"0000803128"</f>
        <v>0000803128</v>
      </c>
      <c r="C7774" t="str">
        <f t="shared" si="3176"/>
        <v>0000802948</v>
      </c>
      <c r="D7774" t="str">
        <f t="shared" si="3164"/>
        <v>73185</v>
      </c>
      <c r="E7774" t="str">
        <f t="shared" si="3165"/>
        <v>KFH-OPERATIONS DEPARTMENT</v>
      </c>
      <c r="F7774" t="str">
        <f t="shared" si="3166"/>
        <v>IBG</v>
      </c>
      <c r="G7774" t="str">
        <f t="shared" si="3177"/>
        <v>Refund COSHARE 10</v>
      </c>
      <c r="H7774" s="2">
        <v>705.2</v>
      </c>
      <c r="I7774" t="str">
        <f>"TEMAH BINTI SAID"</f>
        <v>TEMAH BINTI SAID</v>
      </c>
      <c r="J7774" t="str">
        <f t="shared" si="3155"/>
        <v>BANK KERJASAMA RAKYAT</v>
      </c>
      <c r="K7774" t="str">
        <f>"220541601777"</f>
        <v>220541601777</v>
      </c>
      <c r="L7774" t="str">
        <f t="shared" si="3178"/>
        <v>04-08-2020</v>
      </c>
      <c r="M7774" t="str">
        <f t="shared" si="3178"/>
        <v>04-08-2020</v>
      </c>
      <c r="N7774" t="str">
        <f t="shared" si="3167"/>
        <v>001105018356</v>
      </c>
      <c r="O7774" t="str">
        <f t="shared" si="3168"/>
        <v>MYR</v>
      </c>
      <c r="P7774" t="str">
        <f t="shared" si="3179"/>
        <v>NIL</v>
      </c>
      <c r="Q7774" t="str">
        <f t="shared" si="3179"/>
        <v>NIL</v>
      </c>
      <c r="R7774" t="str">
        <f t="shared" si="3156"/>
        <v>Accepted</v>
      </c>
      <c r="S7774" t="str">
        <f t="shared" si="3169"/>
        <v>Approved</v>
      </c>
      <c r="T7774" t="str">
        <f t="shared" si="3157"/>
        <v>10.20.8.188</v>
      </c>
      <c r="U7774" t="str">
        <f t="shared" si="3170"/>
        <v>AZRAD UMAR BIN SHAARI</v>
      </c>
      <c r="V7774" t="str">
        <f t="shared" si="3171"/>
        <v>FARHANA BINTI MUSTAPA</v>
      </c>
      <c r="W7774" t="str">
        <f t="shared" si="3172"/>
        <v>04-08-2020</v>
      </c>
      <c r="X7774" t="str">
        <f t="shared" si="3173"/>
        <v>RAZIMAH ANSAR AHMAD</v>
      </c>
      <c r="Y7774" t="str">
        <f t="shared" si="3174"/>
        <v>04-08-2020</v>
      </c>
      <c r="Z7774" t="str">
        <f>"COS10200804 1380"</f>
        <v>COS10200804 1380</v>
      </c>
    </row>
    <row r="7775" spans="1:26" x14ac:dyDescent="0.25">
      <c r="A7775" t="str">
        <f t="shared" si="3175"/>
        <v>04-08-2020 12:32:37</v>
      </c>
      <c r="B7775" t="str">
        <f>"0000803127"</f>
        <v>0000803127</v>
      </c>
      <c r="C7775" t="str">
        <f t="shared" si="3176"/>
        <v>0000802948</v>
      </c>
      <c r="D7775" t="str">
        <f t="shared" si="3164"/>
        <v>73185</v>
      </c>
      <c r="E7775" t="str">
        <f t="shared" si="3165"/>
        <v>KFH-OPERATIONS DEPARTMENT</v>
      </c>
      <c r="F7775" t="str">
        <f t="shared" si="3166"/>
        <v>IBG</v>
      </c>
      <c r="G7775" t="str">
        <f t="shared" si="3177"/>
        <v>Refund COSHARE 10</v>
      </c>
      <c r="H7775" s="2">
        <v>195</v>
      </c>
      <c r="I7775" t="str">
        <f>"TAMBI ANAK JERAH"</f>
        <v>TAMBI ANAK JERAH</v>
      </c>
      <c r="J7775" t="str">
        <f t="shared" si="3155"/>
        <v>BANK KERJASAMA RAKYAT</v>
      </c>
      <c r="K7775" t="str">
        <f>"220841103641"</f>
        <v>220841103641</v>
      </c>
      <c r="L7775" t="str">
        <f t="shared" si="3178"/>
        <v>04-08-2020</v>
      </c>
      <c r="M7775" t="str">
        <f t="shared" si="3178"/>
        <v>04-08-2020</v>
      </c>
      <c r="N7775" t="str">
        <f t="shared" si="3167"/>
        <v>001105018356</v>
      </c>
      <c r="O7775" t="str">
        <f t="shared" si="3168"/>
        <v>MYR</v>
      </c>
      <c r="P7775" t="str">
        <f t="shared" si="3179"/>
        <v>NIL</v>
      </c>
      <c r="Q7775" t="str">
        <f t="shared" si="3179"/>
        <v>NIL</v>
      </c>
      <c r="R7775" t="str">
        <f t="shared" si="3156"/>
        <v>Accepted</v>
      </c>
      <c r="S7775" t="str">
        <f t="shared" si="3169"/>
        <v>Approved</v>
      </c>
      <c r="T7775" t="str">
        <f t="shared" si="3157"/>
        <v>10.20.8.188</v>
      </c>
      <c r="U7775" t="str">
        <f t="shared" si="3170"/>
        <v>AZRAD UMAR BIN SHAARI</v>
      </c>
      <c r="V7775" t="str">
        <f t="shared" si="3171"/>
        <v>FARHANA BINTI MUSTAPA</v>
      </c>
      <c r="W7775" t="str">
        <f t="shared" si="3172"/>
        <v>04-08-2020</v>
      </c>
      <c r="X7775" t="str">
        <f t="shared" si="3173"/>
        <v>RAZIMAH ANSAR AHMAD</v>
      </c>
      <c r="Y7775" t="str">
        <f t="shared" si="3174"/>
        <v>04-08-2020</v>
      </c>
      <c r="Z7775" t="str">
        <f>"COS10200804 1379"</f>
        <v>COS10200804 1379</v>
      </c>
    </row>
    <row r="7776" spans="1:26" x14ac:dyDescent="0.25">
      <c r="A7776" t="str">
        <f t="shared" si="3175"/>
        <v>04-08-2020 12:32:37</v>
      </c>
      <c r="B7776" t="str">
        <f>"0000803126"</f>
        <v>0000803126</v>
      </c>
      <c r="C7776" t="str">
        <f t="shared" si="3176"/>
        <v>0000802948</v>
      </c>
      <c r="D7776" t="str">
        <f t="shared" si="3164"/>
        <v>73185</v>
      </c>
      <c r="E7776" t="str">
        <f t="shared" si="3165"/>
        <v>KFH-OPERATIONS DEPARTMENT</v>
      </c>
      <c r="F7776" t="str">
        <f t="shared" si="3166"/>
        <v>IBG</v>
      </c>
      <c r="G7776" t="str">
        <f t="shared" si="3177"/>
        <v>Refund COSHARE 10</v>
      </c>
      <c r="H7776" s="2">
        <v>125.95</v>
      </c>
      <c r="I7776" t="str">
        <f>"SYLVIA BINTI MIAN"</f>
        <v>SYLVIA BINTI MIAN</v>
      </c>
      <c r="J7776" t="str">
        <f t="shared" si="3155"/>
        <v>BANK KERJASAMA RAKYAT</v>
      </c>
      <c r="K7776" t="str">
        <f>"220531394464"</f>
        <v>220531394464</v>
      </c>
      <c r="L7776" t="str">
        <f t="shared" si="3178"/>
        <v>04-08-2020</v>
      </c>
      <c r="M7776" t="str">
        <f t="shared" si="3178"/>
        <v>04-08-2020</v>
      </c>
      <c r="N7776" t="str">
        <f t="shared" si="3167"/>
        <v>001105018356</v>
      </c>
      <c r="O7776" t="str">
        <f t="shared" si="3168"/>
        <v>MYR</v>
      </c>
      <c r="P7776" t="str">
        <f t="shared" si="3179"/>
        <v>NIL</v>
      </c>
      <c r="Q7776" t="str">
        <f t="shared" si="3179"/>
        <v>NIL</v>
      </c>
      <c r="R7776" t="str">
        <f t="shared" si="3156"/>
        <v>Accepted</v>
      </c>
      <c r="S7776" t="str">
        <f t="shared" si="3169"/>
        <v>Approved</v>
      </c>
      <c r="T7776" t="str">
        <f t="shared" si="3157"/>
        <v>10.20.8.188</v>
      </c>
      <c r="U7776" t="str">
        <f t="shared" si="3170"/>
        <v>AZRAD UMAR BIN SHAARI</v>
      </c>
      <c r="V7776" t="str">
        <f t="shared" si="3171"/>
        <v>FARHANA BINTI MUSTAPA</v>
      </c>
      <c r="W7776" t="str">
        <f t="shared" si="3172"/>
        <v>04-08-2020</v>
      </c>
      <c r="X7776" t="str">
        <f t="shared" si="3173"/>
        <v>RAZIMAH ANSAR AHMAD</v>
      </c>
      <c r="Y7776" t="str">
        <f t="shared" si="3174"/>
        <v>04-08-2020</v>
      </c>
      <c r="Z7776" t="str">
        <f>"COS10200804 1378"</f>
        <v>COS10200804 1378</v>
      </c>
    </row>
    <row r="7777" spans="1:26" x14ac:dyDescent="0.25">
      <c r="A7777" t="str">
        <f t="shared" si="3175"/>
        <v>04-08-2020 12:32:37</v>
      </c>
      <c r="B7777" t="str">
        <f>"0000803125"</f>
        <v>0000803125</v>
      </c>
      <c r="C7777" t="str">
        <f t="shared" si="3176"/>
        <v>0000802948</v>
      </c>
      <c r="D7777" t="str">
        <f t="shared" si="3164"/>
        <v>73185</v>
      </c>
      <c r="E7777" t="str">
        <f t="shared" si="3165"/>
        <v>KFH-OPERATIONS DEPARTMENT</v>
      </c>
      <c r="F7777" t="str">
        <f t="shared" si="3166"/>
        <v>IBG</v>
      </c>
      <c r="G7777" t="str">
        <f t="shared" si="3177"/>
        <v>Refund COSHARE 10</v>
      </c>
      <c r="H7777" s="2">
        <v>1358</v>
      </c>
      <c r="I7777" t="str">
        <f>"SYED MAHLI BIN WAN RAZALI"</f>
        <v>SYED MAHLI BIN WAN RAZALI</v>
      </c>
      <c r="J7777" t="str">
        <f t="shared" si="3155"/>
        <v>BANK KERJASAMA RAKYAT</v>
      </c>
      <c r="K7777" t="str">
        <f>"221091094229"</f>
        <v>221091094229</v>
      </c>
      <c r="L7777" t="str">
        <f t="shared" si="3178"/>
        <v>04-08-2020</v>
      </c>
      <c r="M7777" t="str">
        <f t="shared" si="3178"/>
        <v>04-08-2020</v>
      </c>
      <c r="N7777" t="str">
        <f t="shared" si="3167"/>
        <v>001105018356</v>
      </c>
      <c r="O7777" t="str">
        <f t="shared" si="3168"/>
        <v>MYR</v>
      </c>
      <c r="P7777" t="str">
        <f t="shared" si="3179"/>
        <v>NIL</v>
      </c>
      <c r="Q7777" t="str">
        <f t="shared" si="3179"/>
        <v>NIL</v>
      </c>
      <c r="R7777" t="str">
        <f t="shared" si="3156"/>
        <v>Accepted</v>
      </c>
      <c r="S7777" t="str">
        <f t="shared" si="3169"/>
        <v>Approved</v>
      </c>
      <c r="T7777" t="str">
        <f t="shared" si="3157"/>
        <v>10.20.8.188</v>
      </c>
      <c r="U7777" t="str">
        <f t="shared" si="3170"/>
        <v>AZRAD UMAR BIN SHAARI</v>
      </c>
      <c r="V7777" t="str">
        <f t="shared" si="3171"/>
        <v>FARHANA BINTI MUSTAPA</v>
      </c>
      <c r="W7777" t="str">
        <f t="shared" si="3172"/>
        <v>04-08-2020</v>
      </c>
      <c r="X7777" t="str">
        <f t="shared" si="3173"/>
        <v>RAZIMAH ANSAR AHMAD</v>
      </c>
      <c r="Y7777" t="str">
        <f t="shared" si="3174"/>
        <v>04-08-2020</v>
      </c>
      <c r="Z7777" t="str">
        <f>"COS10200804 1377"</f>
        <v>COS10200804 1377</v>
      </c>
    </row>
    <row r="7778" spans="1:26" x14ac:dyDescent="0.25">
      <c r="A7778" t="str">
        <f t="shared" si="3175"/>
        <v>04-08-2020 12:32:37</v>
      </c>
      <c r="B7778" t="str">
        <f>"0000803124"</f>
        <v>0000803124</v>
      </c>
      <c r="C7778" t="str">
        <f t="shared" si="3176"/>
        <v>0000802948</v>
      </c>
      <c r="D7778" t="str">
        <f t="shared" si="3164"/>
        <v>73185</v>
      </c>
      <c r="E7778" t="str">
        <f t="shared" si="3165"/>
        <v>KFH-OPERATIONS DEPARTMENT</v>
      </c>
      <c r="F7778" t="str">
        <f t="shared" si="3166"/>
        <v>IBG</v>
      </c>
      <c r="G7778" t="str">
        <f t="shared" si="3177"/>
        <v>Refund COSHARE 10</v>
      </c>
      <c r="H7778" s="2">
        <v>818.6</v>
      </c>
      <c r="I7778" t="str">
        <f>"SYAHRULAZMAN BIN AZLAN"</f>
        <v>SYAHRULAZMAN BIN AZLAN</v>
      </c>
      <c r="J7778" t="str">
        <f t="shared" ref="J7778:J7841" si="3180">"BANK KERJASAMA RAKYAT"</f>
        <v>BANK KERJASAMA RAKYAT</v>
      </c>
      <c r="K7778" t="str">
        <f>"220971076242"</f>
        <v>220971076242</v>
      </c>
      <c r="L7778" t="str">
        <f t="shared" si="3178"/>
        <v>04-08-2020</v>
      </c>
      <c r="M7778" t="str">
        <f t="shared" si="3178"/>
        <v>04-08-2020</v>
      </c>
      <c r="N7778" t="str">
        <f t="shared" si="3167"/>
        <v>001105018356</v>
      </c>
      <c r="O7778" t="str">
        <f t="shared" si="3168"/>
        <v>MYR</v>
      </c>
      <c r="P7778" t="str">
        <f t="shared" si="3179"/>
        <v>NIL</v>
      </c>
      <c r="Q7778" t="str">
        <f t="shared" si="3179"/>
        <v>NIL</v>
      </c>
      <c r="R7778" t="str">
        <f t="shared" ref="R7778:R7841" si="3181">"Accepted"</f>
        <v>Accepted</v>
      </c>
      <c r="S7778" t="str">
        <f t="shared" si="3169"/>
        <v>Approved</v>
      </c>
      <c r="T7778" t="str">
        <f t="shared" ref="T7778:T7841" si="3182">"10.20.8.188"</f>
        <v>10.20.8.188</v>
      </c>
      <c r="U7778" t="str">
        <f t="shared" si="3170"/>
        <v>AZRAD UMAR BIN SHAARI</v>
      </c>
      <c r="V7778" t="str">
        <f t="shared" si="3171"/>
        <v>FARHANA BINTI MUSTAPA</v>
      </c>
      <c r="W7778" t="str">
        <f t="shared" si="3172"/>
        <v>04-08-2020</v>
      </c>
      <c r="X7778" t="str">
        <f t="shared" si="3173"/>
        <v>RAZIMAH ANSAR AHMAD</v>
      </c>
      <c r="Y7778" t="str">
        <f t="shared" si="3174"/>
        <v>04-08-2020</v>
      </c>
      <c r="Z7778" t="str">
        <f>"COS10200804 1376"</f>
        <v>COS10200804 1376</v>
      </c>
    </row>
    <row r="7779" spans="1:26" x14ac:dyDescent="0.25">
      <c r="A7779" t="str">
        <f t="shared" si="3175"/>
        <v>04-08-2020 12:32:37</v>
      </c>
      <c r="B7779" t="str">
        <f>"0000803123"</f>
        <v>0000803123</v>
      </c>
      <c r="C7779" t="str">
        <f t="shared" si="3176"/>
        <v>0000802948</v>
      </c>
      <c r="D7779" t="str">
        <f t="shared" si="3164"/>
        <v>73185</v>
      </c>
      <c r="E7779" t="str">
        <f t="shared" si="3165"/>
        <v>KFH-OPERATIONS DEPARTMENT</v>
      </c>
      <c r="F7779" t="str">
        <f t="shared" si="3166"/>
        <v>IBG</v>
      </c>
      <c r="G7779" t="str">
        <f t="shared" si="3177"/>
        <v>Refund COSHARE 10</v>
      </c>
      <c r="H7779" s="2">
        <v>1536.3</v>
      </c>
      <c r="I7779" t="str">
        <f>"SYAHRUDDIN BIN ABDULLAH  A HALIM"</f>
        <v>SYAHRUDDIN BIN ABDULLAH  A HALIM</v>
      </c>
      <c r="J7779" t="str">
        <f t="shared" si="3180"/>
        <v>BANK KERJASAMA RAKYAT</v>
      </c>
      <c r="K7779" t="str">
        <f>"220501122150"</f>
        <v>220501122150</v>
      </c>
      <c r="L7779" t="str">
        <f t="shared" si="3178"/>
        <v>04-08-2020</v>
      </c>
      <c r="M7779" t="str">
        <f t="shared" si="3178"/>
        <v>04-08-2020</v>
      </c>
      <c r="N7779" t="str">
        <f t="shared" si="3167"/>
        <v>001105018356</v>
      </c>
      <c r="O7779" t="str">
        <f t="shared" si="3168"/>
        <v>MYR</v>
      </c>
      <c r="P7779" t="str">
        <f t="shared" si="3179"/>
        <v>NIL</v>
      </c>
      <c r="Q7779" t="str">
        <f t="shared" si="3179"/>
        <v>NIL</v>
      </c>
      <c r="R7779" t="str">
        <f t="shared" si="3181"/>
        <v>Accepted</v>
      </c>
      <c r="S7779" t="str">
        <f t="shared" si="3169"/>
        <v>Approved</v>
      </c>
      <c r="T7779" t="str">
        <f t="shared" si="3182"/>
        <v>10.20.8.188</v>
      </c>
      <c r="U7779" t="str">
        <f t="shared" si="3170"/>
        <v>AZRAD UMAR BIN SHAARI</v>
      </c>
      <c r="V7779" t="str">
        <f t="shared" si="3171"/>
        <v>FARHANA BINTI MUSTAPA</v>
      </c>
      <c r="W7779" t="str">
        <f t="shared" si="3172"/>
        <v>04-08-2020</v>
      </c>
      <c r="X7779" t="str">
        <f t="shared" si="3173"/>
        <v>RAZIMAH ANSAR AHMAD</v>
      </c>
      <c r="Y7779" t="str">
        <f t="shared" si="3174"/>
        <v>04-08-2020</v>
      </c>
      <c r="Z7779" t="str">
        <f>"COS10200804 1375"</f>
        <v>COS10200804 1375</v>
      </c>
    </row>
    <row r="7780" spans="1:26" x14ac:dyDescent="0.25">
      <c r="A7780" t="str">
        <f t="shared" si="3175"/>
        <v>04-08-2020 12:32:37</v>
      </c>
      <c r="B7780" t="str">
        <f>"0000803122"</f>
        <v>0000803122</v>
      </c>
      <c r="C7780" t="str">
        <f t="shared" si="3176"/>
        <v>0000802948</v>
      </c>
      <c r="D7780" t="str">
        <f t="shared" si="3164"/>
        <v>73185</v>
      </c>
      <c r="E7780" t="str">
        <f t="shared" si="3165"/>
        <v>KFH-OPERATIONS DEPARTMENT</v>
      </c>
      <c r="F7780" t="str">
        <f t="shared" si="3166"/>
        <v>IBG</v>
      </c>
      <c r="G7780" t="str">
        <f t="shared" si="3177"/>
        <v>Refund COSHARE 10</v>
      </c>
      <c r="H7780" s="2">
        <v>67.2</v>
      </c>
      <c r="I7780" t="str">
        <f>"SYAHRIL ANWAR BIN MOHAMED SHAHARUDDIN"</f>
        <v>SYAHRIL ANWAR BIN MOHAMED SHAHARUDDIN</v>
      </c>
      <c r="J7780" t="str">
        <f t="shared" si="3180"/>
        <v>BANK KERJASAMA RAKYAT</v>
      </c>
      <c r="K7780" t="str">
        <f>"220591134899"</f>
        <v>220591134899</v>
      </c>
      <c r="L7780" t="str">
        <f t="shared" si="3178"/>
        <v>04-08-2020</v>
      </c>
      <c r="M7780" t="str">
        <f t="shared" si="3178"/>
        <v>04-08-2020</v>
      </c>
      <c r="N7780" t="str">
        <f t="shared" si="3167"/>
        <v>001105018356</v>
      </c>
      <c r="O7780" t="str">
        <f t="shared" si="3168"/>
        <v>MYR</v>
      </c>
      <c r="P7780" t="str">
        <f t="shared" si="3179"/>
        <v>NIL</v>
      </c>
      <c r="Q7780" t="str">
        <f t="shared" si="3179"/>
        <v>NIL</v>
      </c>
      <c r="R7780" t="str">
        <f t="shared" si="3181"/>
        <v>Accepted</v>
      </c>
      <c r="S7780" t="str">
        <f t="shared" si="3169"/>
        <v>Approved</v>
      </c>
      <c r="T7780" t="str">
        <f t="shared" si="3182"/>
        <v>10.20.8.188</v>
      </c>
      <c r="U7780" t="str">
        <f t="shared" si="3170"/>
        <v>AZRAD UMAR BIN SHAARI</v>
      </c>
      <c r="V7780" t="str">
        <f t="shared" si="3171"/>
        <v>FARHANA BINTI MUSTAPA</v>
      </c>
      <c r="W7780" t="str">
        <f t="shared" si="3172"/>
        <v>04-08-2020</v>
      </c>
      <c r="X7780" t="str">
        <f t="shared" si="3173"/>
        <v>RAZIMAH ANSAR AHMAD</v>
      </c>
      <c r="Y7780" t="str">
        <f t="shared" si="3174"/>
        <v>04-08-2020</v>
      </c>
      <c r="Z7780" t="str">
        <f>"COS10200804 1374"</f>
        <v>COS10200804 1374</v>
      </c>
    </row>
    <row r="7781" spans="1:26" x14ac:dyDescent="0.25">
      <c r="A7781" t="str">
        <f t="shared" si="3175"/>
        <v>04-08-2020 12:32:37</v>
      </c>
      <c r="B7781" t="str">
        <f>"0000803121"</f>
        <v>0000803121</v>
      </c>
      <c r="C7781" t="str">
        <f t="shared" si="3176"/>
        <v>0000802948</v>
      </c>
      <c r="D7781" t="str">
        <f t="shared" si="3164"/>
        <v>73185</v>
      </c>
      <c r="E7781" t="str">
        <f t="shared" si="3165"/>
        <v>KFH-OPERATIONS DEPARTMENT</v>
      </c>
      <c r="F7781" t="str">
        <f t="shared" si="3166"/>
        <v>IBG</v>
      </c>
      <c r="G7781" t="str">
        <f t="shared" si="3177"/>
        <v>Refund COSHARE 10</v>
      </c>
      <c r="H7781" s="2">
        <v>78.599999999999994</v>
      </c>
      <c r="I7781" t="str">
        <f>"SUZLINAH BINTI SUALI"</f>
        <v>SUZLINAH BINTI SUALI</v>
      </c>
      <c r="J7781" t="str">
        <f t="shared" si="3180"/>
        <v>BANK KERJASAMA RAKYAT</v>
      </c>
      <c r="K7781" t="str">
        <f>"220815031847"</f>
        <v>220815031847</v>
      </c>
      <c r="L7781" t="str">
        <f t="shared" si="3178"/>
        <v>04-08-2020</v>
      </c>
      <c r="M7781" t="str">
        <f t="shared" si="3178"/>
        <v>04-08-2020</v>
      </c>
      <c r="N7781" t="str">
        <f t="shared" si="3167"/>
        <v>001105018356</v>
      </c>
      <c r="O7781" t="str">
        <f t="shared" si="3168"/>
        <v>MYR</v>
      </c>
      <c r="P7781" t="str">
        <f t="shared" si="3179"/>
        <v>NIL</v>
      </c>
      <c r="Q7781" t="str">
        <f t="shared" si="3179"/>
        <v>NIL</v>
      </c>
      <c r="R7781" t="str">
        <f t="shared" si="3181"/>
        <v>Accepted</v>
      </c>
      <c r="S7781" t="str">
        <f t="shared" si="3169"/>
        <v>Approved</v>
      </c>
      <c r="T7781" t="str">
        <f t="shared" si="3182"/>
        <v>10.20.8.188</v>
      </c>
      <c r="U7781" t="str">
        <f t="shared" si="3170"/>
        <v>AZRAD UMAR BIN SHAARI</v>
      </c>
      <c r="V7781" t="str">
        <f t="shared" si="3171"/>
        <v>FARHANA BINTI MUSTAPA</v>
      </c>
      <c r="W7781" t="str">
        <f t="shared" si="3172"/>
        <v>04-08-2020</v>
      </c>
      <c r="X7781" t="str">
        <f t="shared" si="3173"/>
        <v>RAZIMAH ANSAR AHMAD</v>
      </c>
      <c r="Y7781" t="str">
        <f t="shared" si="3174"/>
        <v>04-08-2020</v>
      </c>
      <c r="Z7781" t="str">
        <f>"COS10200804 1373"</f>
        <v>COS10200804 1373</v>
      </c>
    </row>
    <row r="7782" spans="1:26" x14ac:dyDescent="0.25">
      <c r="A7782" t="str">
        <f t="shared" si="3175"/>
        <v>04-08-2020 12:32:37</v>
      </c>
      <c r="B7782" t="str">
        <f>"0000803120"</f>
        <v>0000803120</v>
      </c>
      <c r="C7782" t="str">
        <f t="shared" si="3176"/>
        <v>0000802948</v>
      </c>
      <c r="D7782" t="str">
        <f t="shared" si="3164"/>
        <v>73185</v>
      </c>
      <c r="E7782" t="str">
        <f t="shared" si="3165"/>
        <v>KFH-OPERATIONS DEPARTMENT</v>
      </c>
      <c r="F7782" t="str">
        <f t="shared" si="3166"/>
        <v>IBG</v>
      </c>
      <c r="G7782" t="str">
        <f t="shared" si="3177"/>
        <v>Refund COSHARE 10</v>
      </c>
      <c r="H7782" s="2">
        <v>167.9</v>
      </c>
      <c r="I7782" t="str">
        <f>"SUZANNA BINTI MATSIDON"</f>
        <v>SUZANNA BINTI MATSIDON</v>
      </c>
      <c r="J7782" t="str">
        <f t="shared" si="3180"/>
        <v>BANK KERJASAMA RAKYAT</v>
      </c>
      <c r="K7782" t="str">
        <f>"220743184311"</f>
        <v>220743184311</v>
      </c>
      <c r="L7782" t="str">
        <f t="shared" si="3178"/>
        <v>04-08-2020</v>
      </c>
      <c r="M7782" t="str">
        <f t="shared" si="3178"/>
        <v>04-08-2020</v>
      </c>
      <c r="N7782" t="str">
        <f t="shared" si="3167"/>
        <v>001105018356</v>
      </c>
      <c r="O7782" t="str">
        <f t="shared" si="3168"/>
        <v>MYR</v>
      </c>
      <c r="P7782" t="str">
        <f t="shared" si="3179"/>
        <v>NIL</v>
      </c>
      <c r="Q7782" t="str">
        <f t="shared" si="3179"/>
        <v>NIL</v>
      </c>
      <c r="R7782" t="str">
        <f t="shared" si="3181"/>
        <v>Accepted</v>
      </c>
      <c r="S7782" t="str">
        <f t="shared" si="3169"/>
        <v>Approved</v>
      </c>
      <c r="T7782" t="str">
        <f t="shared" si="3182"/>
        <v>10.20.8.188</v>
      </c>
      <c r="U7782" t="str">
        <f t="shared" si="3170"/>
        <v>AZRAD UMAR BIN SHAARI</v>
      </c>
      <c r="V7782" t="str">
        <f t="shared" si="3171"/>
        <v>FARHANA BINTI MUSTAPA</v>
      </c>
      <c r="W7782" t="str">
        <f t="shared" si="3172"/>
        <v>04-08-2020</v>
      </c>
      <c r="X7782" t="str">
        <f t="shared" si="3173"/>
        <v>RAZIMAH ANSAR AHMAD</v>
      </c>
      <c r="Y7782" t="str">
        <f t="shared" si="3174"/>
        <v>04-08-2020</v>
      </c>
      <c r="Z7782" t="str">
        <f>"COS10200804 1372"</f>
        <v>COS10200804 1372</v>
      </c>
    </row>
    <row r="7783" spans="1:26" x14ac:dyDescent="0.25">
      <c r="A7783" t="str">
        <f t="shared" si="3175"/>
        <v>04-08-2020 12:32:37</v>
      </c>
      <c r="B7783" t="str">
        <f>"0000803119"</f>
        <v>0000803119</v>
      </c>
      <c r="C7783" t="str">
        <f t="shared" si="3176"/>
        <v>0000802948</v>
      </c>
      <c r="D7783" t="str">
        <f t="shared" si="3164"/>
        <v>73185</v>
      </c>
      <c r="E7783" t="str">
        <f t="shared" si="3165"/>
        <v>KFH-OPERATIONS DEPARTMENT</v>
      </c>
      <c r="F7783" t="str">
        <f t="shared" si="3166"/>
        <v>IBG</v>
      </c>
      <c r="G7783" t="str">
        <f t="shared" si="3177"/>
        <v>Refund COSHARE 10</v>
      </c>
      <c r="H7783" s="2">
        <v>342.6</v>
      </c>
      <c r="I7783" t="str">
        <f>"SUZANA BINTI ABDULLAH"</f>
        <v>SUZANA BINTI ABDULLAH</v>
      </c>
      <c r="J7783" t="str">
        <f t="shared" si="3180"/>
        <v>BANK KERJASAMA RAKYAT</v>
      </c>
      <c r="K7783" t="str">
        <f>"220481133680"</f>
        <v>220481133680</v>
      </c>
      <c r="L7783" t="str">
        <f t="shared" si="3178"/>
        <v>04-08-2020</v>
      </c>
      <c r="M7783" t="str">
        <f t="shared" si="3178"/>
        <v>04-08-2020</v>
      </c>
      <c r="N7783" t="str">
        <f t="shared" si="3167"/>
        <v>001105018356</v>
      </c>
      <c r="O7783" t="str">
        <f t="shared" si="3168"/>
        <v>MYR</v>
      </c>
      <c r="P7783" t="str">
        <f t="shared" si="3179"/>
        <v>NIL</v>
      </c>
      <c r="Q7783" t="str">
        <f t="shared" si="3179"/>
        <v>NIL</v>
      </c>
      <c r="R7783" t="str">
        <f t="shared" si="3181"/>
        <v>Accepted</v>
      </c>
      <c r="S7783" t="str">
        <f t="shared" si="3169"/>
        <v>Approved</v>
      </c>
      <c r="T7783" t="str">
        <f t="shared" si="3182"/>
        <v>10.20.8.188</v>
      </c>
      <c r="U7783" t="str">
        <f t="shared" si="3170"/>
        <v>AZRAD UMAR BIN SHAARI</v>
      </c>
      <c r="V7783" t="str">
        <f t="shared" si="3171"/>
        <v>FARHANA BINTI MUSTAPA</v>
      </c>
      <c r="W7783" t="str">
        <f t="shared" si="3172"/>
        <v>04-08-2020</v>
      </c>
      <c r="X7783" t="str">
        <f t="shared" si="3173"/>
        <v>RAZIMAH ANSAR AHMAD</v>
      </c>
      <c r="Y7783" t="str">
        <f t="shared" si="3174"/>
        <v>04-08-2020</v>
      </c>
      <c r="Z7783" t="str">
        <f>"COS10200804 1371"</f>
        <v>COS10200804 1371</v>
      </c>
    </row>
    <row r="7784" spans="1:26" x14ac:dyDescent="0.25">
      <c r="A7784" t="str">
        <f t="shared" si="3175"/>
        <v>04-08-2020 12:32:37</v>
      </c>
      <c r="B7784" t="str">
        <f>"0000803118"</f>
        <v>0000803118</v>
      </c>
      <c r="C7784" t="str">
        <f t="shared" si="3176"/>
        <v>0000802948</v>
      </c>
      <c r="D7784" t="str">
        <f t="shared" si="3164"/>
        <v>73185</v>
      </c>
      <c r="E7784" t="str">
        <f t="shared" si="3165"/>
        <v>KFH-OPERATIONS DEPARTMENT</v>
      </c>
      <c r="F7784" t="str">
        <f t="shared" si="3166"/>
        <v>IBG</v>
      </c>
      <c r="G7784" t="str">
        <f t="shared" si="3177"/>
        <v>Refund COSHARE 10</v>
      </c>
      <c r="H7784" s="2">
        <v>982.25</v>
      </c>
      <c r="I7784" t="str">
        <f>"SUSILAWATI BINTI MAHYIDDIN"</f>
        <v>SUSILAWATI BINTI MAHYIDDIN</v>
      </c>
      <c r="J7784" t="str">
        <f t="shared" si="3180"/>
        <v>BANK KERJASAMA RAKYAT</v>
      </c>
      <c r="K7784" t="str">
        <f>"220761051024"</f>
        <v>220761051024</v>
      </c>
      <c r="L7784" t="str">
        <f t="shared" si="3178"/>
        <v>04-08-2020</v>
      </c>
      <c r="M7784" t="str">
        <f t="shared" si="3178"/>
        <v>04-08-2020</v>
      </c>
      <c r="N7784" t="str">
        <f t="shared" si="3167"/>
        <v>001105018356</v>
      </c>
      <c r="O7784" t="str">
        <f t="shared" si="3168"/>
        <v>MYR</v>
      </c>
      <c r="P7784" t="str">
        <f t="shared" si="3179"/>
        <v>NIL</v>
      </c>
      <c r="Q7784" t="str">
        <f t="shared" si="3179"/>
        <v>NIL</v>
      </c>
      <c r="R7784" t="str">
        <f t="shared" si="3181"/>
        <v>Accepted</v>
      </c>
      <c r="S7784" t="str">
        <f t="shared" si="3169"/>
        <v>Approved</v>
      </c>
      <c r="T7784" t="str">
        <f t="shared" si="3182"/>
        <v>10.20.8.188</v>
      </c>
      <c r="U7784" t="str">
        <f t="shared" si="3170"/>
        <v>AZRAD UMAR BIN SHAARI</v>
      </c>
      <c r="V7784" t="str">
        <f t="shared" si="3171"/>
        <v>FARHANA BINTI MUSTAPA</v>
      </c>
      <c r="W7784" t="str">
        <f t="shared" si="3172"/>
        <v>04-08-2020</v>
      </c>
      <c r="X7784" t="str">
        <f t="shared" si="3173"/>
        <v>RAZIMAH ANSAR AHMAD</v>
      </c>
      <c r="Y7784" t="str">
        <f t="shared" si="3174"/>
        <v>04-08-2020</v>
      </c>
      <c r="Z7784" t="str">
        <f>"COS10200804 1370"</f>
        <v>COS10200804 1370</v>
      </c>
    </row>
    <row r="7785" spans="1:26" x14ac:dyDescent="0.25">
      <c r="A7785" t="str">
        <f t="shared" si="3175"/>
        <v>04-08-2020 12:32:37</v>
      </c>
      <c r="B7785" t="str">
        <f>"0000803117"</f>
        <v>0000803117</v>
      </c>
      <c r="C7785" t="str">
        <f t="shared" si="3176"/>
        <v>0000802948</v>
      </c>
      <c r="D7785" t="str">
        <f t="shared" si="3164"/>
        <v>73185</v>
      </c>
      <c r="E7785" t="str">
        <f t="shared" si="3165"/>
        <v>KFH-OPERATIONS DEPARTMENT</v>
      </c>
      <c r="F7785" t="str">
        <f t="shared" si="3166"/>
        <v>IBG</v>
      </c>
      <c r="G7785" t="str">
        <f t="shared" si="3177"/>
        <v>Refund COSHARE 10</v>
      </c>
      <c r="H7785" s="2">
        <v>152</v>
      </c>
      <c r="I7785" t="str">
        <f>"SURIDA BINTI SAAD"</f>
        <v>SURIDA BINTI SAAD</v>
      </c>
      <c r="J7785" t="str">
        <f t="shared" si="3180"/>
        <v>BANK KERJASAMA RAKYAT</v>
      </c>
      <c r="K7785" t="str">
        <f>"220231372316"</f>
        <v>220231372316</v>
      </c>
      <c r="L7785" t="str">
        <f t="shared" si="3178"/>
        <v>04-08-2020</v>
      </c>
      <c r="M7785" t="str">
        <f t="shared" si="3178"/>
        <v>04-08-2020</v>
      </c>
      <c r="N7785" t="str">
        <f t="shared" si="3167"/>
        <v>001105018356</v>
      </c>
      <c r="O7785" t="str">
        <f t="shared" si="3168"/>
        <v>MYR</v>
      </c>
      <c r="P7785" t="str">
        <f t="shared" si="3179"/>
        <v>NIL</v>
      </c>
      <c r="Q7785" t="str">
        <f t="shared" si="3179"/>
        <v>NIL</v>
      </c>
      <c r="R7785" t="str">
        <f t="shared" si="3181"/>
        <v>Accepted</v>
      </c>
      <c r="S7785" t="str">
        <f t="shared" si="3169"/>
        <v>Approved</v>
      </c>
      <c r="T7785" t="str">
        <f t="shared" si="3182"/>
        <v>10.20.8.188</v>
      </c>
      <c r="U7785" t="str">
        <f t="shared" si="3170"/>
        <v>AZRAD UMAR BIN SHAARI</v>
      </c>
      <c r="V7785" t="str">
        <f t="shared" si="3171"/>
        <v>FARHANA BINTI MUSTAPA</v>
      </c>
      <c r="W7785" t="str">
        <f t="shared" si="3172"/>
        <v>04-08-2020</v>
      </c>
      <c r="X7785" t="str">
        <f t="shared" si="3173"/>
        <v>RAZIMAH ANSAR AHMAD</v>
      </c>
      <c r="Y7785" t="str">
        <f t="shared" si="3174"/>
        <v>04-08-2020</v>
      </c>
      <c r="Z7785" t="str">
        <f>"COS10200804 1369"</f>
        <v>COS10200804 1369</v>
      </c>
    </row>
    <row r="7786" spans="1:26" x14ac:dyDescent="0.25">
      <c r="A7786" t="str">
        <f t="shared" ref="A7786:A7817" si="3183">"04-08-2020 12:32:37"</f>
        <v>04-08-2020 12:32:37</v>
      </c>
      <c r="B7786" t="str">
        <f>"0000803116"</f>
        <v>0000803116</v>
      </c>
      <c r="C7786" t="str">
        <f t="shared" ref="C7786:C7817" si="3184">"0000802948"</f>
        <v>0000802948</v>
      </c>
      <c r="D7786" t="str">
        <f t="shared" si="3164"/>
        <v>73185</v>
      </c>
      <c r="E7786" t="str">
        <f t="shared" si="3165"/>
        <v>KFH-OPERATIONS DEPARTMENT</v>
      </c>
      <c r="F7786" t="str">
        <f t="shared" si="3166"/>
        <v>IBG</v>
      </c>
      <c r="G7786" t="str">
        <f t="shared" si="3177"/>
        <v>Refund COSHARE 10</v>
      </c>
      <c r="H7786" s="2">
        <v>1679</v>
      </c>
      <c r="I7786" t="str">
        <f>"SURIANI BINTI CHE YAAKUB"</f>
        <v>SURIANI BINTI CHE YAAKUB</v>
      </c>
      <c r="J7786" t="str">
        <f t="shared" si="3180"/>
        <v>BANK KERJASAMA RAKYAT</v>
      </c>
      <c r="K7786" t="str">
        <f>"220301186501"</f>
        <v>220301186501</v>
      </c>
      <c r="L7786" t="str">
        <f t="shared" si="3178"/>
        <v>04-08-2020</v>
      </c>
      <c r="M7786" t="str">
        <f t="shared" si="3178"/>
        <v>04-08-2020</v>
      </c>
      <c r="N7786" t="str">
        <f t="shared" si="3167"/>
        <v>001105018356</v>
      </c>
      <c r="O7786" t="str">
        <f t="shared" si="3168"/>
        <v>MYR</v>
      </c>
      <c r="P7786" t="str">
        <f t="shared" si="3179"/>
        <v>NIL</v>
      </c>
      <c r="Q7786" t="str">
        <f t="shared" si="3179"/>
        <v>NIL</v>
      </c>
      <c r="R7786" t="str">
        <f t="shared" si="3181"/>
        <v>Accepted</v>
      </c>
      <c r="S7786" t="str">
        <f t="shared" si="3169"/>
        <v>Approved</v>
      </c>
      <c r="T7786" t="str">
        <f t="shared" si="3182"/>
        <v>10.20.8.188</v>
      </c>
      <c r="U7786" t="str">
        <f t="shared" si="3170"/>
        <v>AZRAD UMAR BIN SHAARI</v>
      </c>
      <c r="V7786" t="str">
        <f t="shared" si="3171"/>
        <v>FARHANA BINTI MUSTAPA</v>
      </c>
      <c r="W7786" t="str">
        <f t="shared" si="3172"/>
        <v>04-08-2020</v>
      </c>
      <c r="X7786" t="str">
        <f t="shared" si="3173"/>
        <v>RAZIMAH ANSAR AHMAD</v>
      </c>
      <c r="Y7786" t="str">
        <f t="shared" si="3174"/>
        <v>04-08-2020</v>
      </c>
      <c r="Z7786" t="str">
        <f>"COS10200804 1368"</f>
        <v>COS10200804 1368</v>
      </c>
    </row>
    <row r="7787" spans="1:26" x14ac:dyDescent="0.25">
      <c r="A7787" t="str">
        <f t="shared" si="3183"/>
        <v>04-08-2020 12:32:37</v>
      </c>
      <c r="B7787" t="str">
        <f>"0000803115"</f>
        <v>0000803115</v>
      </c>
      <c r="C7787" t="str">
        <f t="shared" si="3184"/>
        <v>0000802948</v>
      </c>
      <c r="D7787" t="str">
        <f t="shared" si="3164"/>
        <v>73185</v>
      </c>
      <c r="E7787" t="str">
        <f t="shared" si="3165"/>
        <v>KFH-OPERATIONS DEPARTMENT</v>
      </c>
      <c r="F7787" t="str">
        <f t="shared" si="3166"/>
        <v>IBG</v>
      </c>
      <c r="G7787" t="str">
        <f t="shared" si="3177"/>
        <v>Refund COSHARE 10</v>
      </c>
      <c r="H7787" s="2">
        <v>42</v>
      </c>
      <c r="I7787" t="str">
        <f>"SURAYAH BINTI AMAT"</f>
        <v>SURAYAH BINTI AMAT</v>
      </c>
      <c r="J7787" t="str">
        <f t="shared" si="3180"/>
        <v>BANK KERJASAMA RAKYAT</v>
      </c>
      <c r="K7787" t="str">
        <f>"220711284780"</f>
        <v>220711284780</v>
      </c>
      <c r="L7787" t="str">
        <f t="shared" ref="L7787:M7806" si="3185">"04-08-2020"</f>
        <v>04-08-2020</v>
      </c>
      <c r="M7787" t="str">
        <f t="shared" si="3185"/>
        <v>04-08-2020</v>
      </c>
      <c r="N7787" t="str">
        <f t="shared" si="3167"/>
        <v>001105018356</v>
      </c>
      <c r="O7787" t="str">
        <f t="shared" si="3168"/>
        <v>MYR</v>
      </c>
      <c r="P7787" t="str">
        <f t="shared" ref="P7787:Q7806" si="3186">"NIL"</f>
        <v>NIL</v>
      </c>
      <c r="Q7787" t="str">
        <f t="shared" si="3186"/>
        <v>NIL</v>
      </c>
      <c r="R7787" t="str">
        <f t="shared" si="3181"/>
        <v>Accepted</v>
      </c>
      <c r="S7787" t="str">
        <f t="shared" si="3169"/>
        <v>Approved</v>
      </c>
      <c r="T7787" t="str">
        <f t="shared" si="3182"/>
        <v>10.20.8.188</v>
      </c>
      <c r="U7787" t="str">
        <f t="shared" si="3170"/>
        <v>AZRAD UMAR BIN SHAARI</v>
      </c>
      <c r="V7787" t="str">
        <f t="shared" si="3171"/>
        <v>FARHANA BINTI MUSTAPA</v>
      </c>
      <c r="W7787" t="str">
        <f t="shared" si="3172"/>
        <v>04-08-2020</v>
      </c>
      <c r="X7787" t="str">
        <f t="shared" si="3173"/>
        <v>RAZIMAH ANSAR AHMAD</v>
      </c>
      <c r="Y7787" t="str">
        <f t="shared" si="3174"/>
        <v>04-08-2020</v>
      </c>
      <c r="Z7787" t="str">
        <f>"COS10200804 1367"</f>
        <v>COS10200804 1367</v>
      </c>
    </row>
    <row r="7788" spans="1:26" x14ac:dyDescent="0.25">
      <c r="A7788" t="str">
        <f t="shared" si="3183"/>
        <v>04-08-2020 12:32:37</v>
      </c>
      <c r="B7788" t="str">
        <f>"0000803114"</f>
        <v>0000803114</v>
      </c>
      <c r="C7788" t="str">
        <f t="shared" si="3184"/>
        <v>0000802948</v>
      </c>
      <c r="D7788" t="str">
        <f t="shared" si="3164"/>
        <v>73185</v>
      </c>
      <c r="E7788" t="str">
        <f t="shared" si="3165"/>
        <v>KFH-OPERATIONS DEPARTMENT</v>
      </c>
      <c r="F7788" t="str">
        <f t="shared" si="3166"/>
        <v>IBG</v>
      </c>
      <c r="G7788" t="str">
        <f t="shared" si="3177"/>
        <v>Refund COSHARE 10</v>
      </c>
      <c r="H7788" s="2">
        <v>839.5</v>
      </c>
      <c r="I7788" t="str">
        <f>"SURAYA BINTI MD SALEH"</f>
        <v>SURAYA BINTI MD SALEH</v>
      </c>
      <c r="J7788" t="str">
        <f t="shared" si="3180"/>
        <v>BANK KERJASAMA RAKYAT</v>
      </c>
      <c r="K7788" t="str">
        <f>"220101250692"</f>
        <v>220101250692</v>
      </c>
      <c r="L7788" t="str">
        <f t="shared" si="3185"/>
        <v>04-08-2020</v>
      </c>
      <c r="M7788" t="str">
        <f t="shared" si="3185"/>
        <v>04-08-2020</v>
      </c>
      <c r="N7788" t="str">
        <f t="shared" si="3167"/>
        <v>001105018356</v>
      </c>
      <c r="O7788" t="str">
        <f t="shared" si="3168"/>
        <v>MYR</v>
      </c>
      <c r="P7788" t="str">
        <f t="shared" si="3186"/>
        <v>NIL</v>
      </c>
      <c r="Q7788" t="str">
        <f t="shared" si="3186"/>
        <v>NIL</v>
      </c>
      <c r="R7788" t="str">
        <f t="shared" si="3181"/>
        <v>Accepted</v>
      </c>
      <c r="S7788" t="str">
        <f t="shared" si="3169"/>
        <v>Approved</v>
      </c>
      <c r="T7788" t="str">
        <f t="shared" si="3182"/>
        <v>10.20.8.188</v>
      </c>
      <c r="U7788" t="str">
        <f t="shared" si="3170"/>
        <v>AZRAD UMAR BIN SHAARI</v>
      </c>
      <c r="V7788" t="str">
        <f t="shared" si="3171"/>
        <v>FARHANA BINTI MUSTAPA</v>
      </c>
      <c r="W7788" t="str">
        <f t="shared" si="3172"/>
        <v>04-08-2020</v>
      </c>
      <c r="X7788" t="str">
        <f t="shared" si="3173"/>
        <v>RAZIMAH ANSAR AHMAD</v>
      </c>
      <c r="Y7788" t="str">
        <f t="shared" si="3174"/>
        <v>04-08-2020</v>
      </c>
      <c r="Z7788" t="str">
        <f>"COS10200804 1366"</f>
        <v>COS10200804 1366</v>
      </c>
    </row>
    <row r="7789" spans="1:26" x14ac:dyDescent="0.25">
      <c r="A7789" t="str">
        <f t="shared" si="3183"/>
        <v>04-08-2020 12:32:37</v>
      </c>
      <c r="B7789" t="str">
        <f>"0000803113"</f>
        <v>0000803113</v>
      </c>
      <c r="C7789" t="str">
        <f t="shared" si="3184"/>
        <v>0000802948</v>
      </c>
      <c r="D7789" t="str">
        <f t="shared" si="3164"/>
        <v>73185</v>
      </c>
      <c r="E7789" t="str">
        <f t="shared" si="3165"/>
        <v>KFH-OPERATIONS DEPARTMENT</v>
      </c>
      <c r="F7789" t="str">
        <f t="shared" si="3166"/>
        <v>IBG</v>
      </c>
      <c r="G7789" t="str">
        <f t="shared" si="3177"/>
        <v>Refund COSHARE 10</v>
      </c>
      <c r="H7789" s="2">
        <v>75.599999999999994</v>
      </c>
      <c r="I7789" t="str">
        <f>"SUKRI BIN BUSU"</f>
        <v>SUKRI BIN BUSU</v>
      </c>
      <c r="J7789" t="str">
        <f t="shared" si="3180"/>
        <v>BANK KERJASAMA RAKYAT</v>
      </c>
      <c r="K7789" t="str">
        <f>"220991025678"</f>
        <v>220991025678</v>
      </c>
      <c r="L7789" t="str">
        <f t="shared" si="3185"/>
        <v>04-08-2020</v>
      </c>
      <c r="M7789" t="str">
        <f t="shared" si="3185"/>
        <v>04-08-2020</v>
      </c>
      <c r="N7789" t="str">
        <f t="shared" si="3167"/>
        <v>001105018356</v>
      </c>
      <c r="O7789" t="str">
        <f t="shared" si="3168"/>
        <v>MYR</v>
      </c>
      <c r="P7789" t="str">
        <f t="shared" si="3186"/>
        <v>NIL</v>
      </c>
      <c r="Q7789" t="str">
        <f t="shared" si="3186"/>
        <v>NIL</v>
      </c>
      <c r="R7789" t="str">
        <f t="shared" si="3181"/>
        <v>Accepted</v>
      </c>
      <c r="S7789" t="str">
        <f t="shared" si="3169"/>
        <v>Approved</v>
      </c>
      <c r="T7789" t="str">
        <f t="shared" si="3182"/>
        <v>10.20.8.188</v>
      </c>
      <c r="U7789" t="str">
        <f t="shared" si="3170"/>
        <v>AZRAD UMAR BIN SHAARI</v>
      </c>
      <c r="V7789" t="str">
        <f t="shared" si="3171"/>
        <v>FARHANA BINTI MUSTAPA</v>
      </c>
      <c r="W7789" t="str">
        <f t="shared" si="3172"/>
        <v>04-08-2020</v>
      </c>
      <c r="X7789" t="str">
        <f t="shared" si="3173"/>
        <v>RAZIMAH ANSAR AHMAD</v>
      </c>
      <c r="Y7789" t="str">
        <f t="shared" si="3174"/>
        <v>04-08-2020</v>
      </c>
      <c r="Z7789" t="str">
        <f>"COS10200804 1365"</f>
        <v>COS10200804 1365</v>
      </c>
    </row>
    <row r="7790" spans="1:26" x14ac:dyDescent="0.25">
      <c r="A7790" t="str">
        <f t="shared" si="3183"/>
        <v>04-08-2020 12:32:37</v>
      </c>
      <c r="B7790" t="str">
        <f>"0000803112"</f>
        <v>0000803112</v>
      </c>
      <c r="C7790" t="str">
        <f t="shared" si="3184"/>
        <v>0000802948</v>
      </c>
      <c r="D7790" t="str">
        <f t="shared" si="3164"/>
        <v>73185</v>
      </c>
      <c r="E7790" t="str">
        <f t="shared" si="3165"/>
        <v>KFH-OPERATIONS DEPARTMENT</v>
      </c>
      <c r="F7790" t="str">
        <f t="shared" si="3166"/>
        <v>IBG</v>
      </c>
      <c r="G7790" t="str">
        <f t="shared" si="3177"/>
        <v>Refund COSHARE 10</v>
      </c>
      <c r="H7790" s="2">
        <v>1376.8</v>
      </c>
      <c r="I7790" t="str">
        <f>"SUHAINIZA BINTI MAT ALI"</f>
        <v>SUHAINIZA BINTI MAT ALI</v>
      </c>
      <c r="J7790" t="str">
        <f t="shared" si="3180"/>
        <v>BANK KERJASAMA RAKYAT</v>
      </c>
      <c r="K7790" t="str">
        <f>"110411008821"</f>
        <v>110411008821</v>
      </c>
      <c r="L7790" t="str">
        <f t="shared" si="3185"/>
        <v>04-08-2020</v>
      </c>
      <c r="M7790" t="str">
        <f t="shared" si="3185"/>
        <v>04-08-2020</v>
      </c>
      <c r="N7790" t="str">
        <f t="shared" si="3167"/>
        <v>001105018356</v>
      </c>
      <c r="O7790" t="str">
        <f t="shared" si="3168"/>
        <v>MYR</v>
      </c>
      <c r="P7790" t="str">
        <f t="shared" si="3186"/>
        <v>NIL</v>
      </c>
      <c r="Q7790" t="str">
        <f t="shared" si="3186"/>
        <v>NIL</v>
      </c>
      <c r="R7790" t="str">
        <f t="shared" si="3181"/>
        <v>Accepted</v>
      </c>
      <c r="S7790" t="str">
        <f t="shared" si="3169"/>
        <v>Approved</v>
      </c>
      <c r="T7790" t="str">
        <f t="shared" si="3182"/>
        <v>10.20.8.188</v>
      </c>
      <c r="U7790" t="str">
        <f t="shared" si="3170"/>
        <v>AZRAD UMAR BIN SHAARI</v>
      </c>
      <c r="V7790" t="str">
        <f t="shared" si="3171"/>
        <v>FARHANA BINTI MUSTAPA</v>
      </c>
      <c r="W7790" t="str">
        <f t="shared" si="3172"/>
        <v>04-08-2020</v>
      </c>
      <c r="X7790" t="str">
        <f t="shared" si="3173"/>
        <v>RAZIMAH ANSAR AHMAD</v>
      </c>
      <c r="Y7790" t="str">
        <f t="shared" si="3174"/>
        <v>04-08-2020</v>
      </c>
      <c r="Z7790" t="str">
        <f>"COS10200804 1364"</f>
        <v>COS10200804 1364</v>
      </c>
    </row>
    <row r="7791" spans="1:26" x14ac:dyDescent="0.25">
      <c r="A7791" t="str">
        <f t="shared" si="3183"/>
        <v>04-08-2020 12:32:37</v>
      </c>
      <c r="B7791" t="str">
        <f>"0000803111"</f>
        <v>0000803111</v>
      </c>
      <c r="C7791" t="str">
        <f t="shared" si="3184"/>
        <v>0000802948</v>
      </c>
      <c r="D7791" t="str">
        <f t="shared" si="3164"/>
        <v>73185</v>
      </c>
      <c r="E7791" t="str">
        <f t="shared" si="3165"/>
        <v>KFH-OPERATIONS DEPARTMENT</v>
      </c>
      <c r="F7791" t="str">
        <f t="shared" si="3166"/>
        <v>IBG</v>
      </c>
      <c r="G7791" t="str">
        <f t="shared" si="3177"/>
        <v>Refund COSHARE 10</v>
      </c>
      <c r="H7791" s="2">
        <v>110</v>
      </c>
      <c r="I7791" t="str">
        <f>"SUHAINIZA BINTI MAT ALI"</f>
        <v>SUHAINIZA BINTI MAT ALI</v>
      </c>
      <c r="J7791" t="str">
        <f t="shared" si="3180"/>
        <v>BANK KERJASAMA RAKYAT</v>
      </c>
      <c r="K7791" t="str">
        <f>"110411008821"</f>
        <v>110411008821</v>
      </c>
      <c r="L7791" t="str">
        <f t="shared" si="3185"/>
        <v>04-08-2020</v>
      </c>
      <c r="M7791" t="str">
        <f t="shared" si="3185"/>
        <v>04-08-2020</v>
      </c>
      <c r="N7791" t="str">
        <f t="shared" si="3167"/>
        <v>001105018356</v>
      </c>
      <c r="O7791" t="str">
        <f t="shared" si="3168"/>
        <v>MYR</v>
      </c>
      <c r="P7791" t="str">
        <f t="shared" si="3186"/>
        <v>NIL</v>
      </c>
      <c r="Q7791" t="str">
        <f t="shared" si="3186"/>
        <v>NIL</v>
      </c>
      <c r="R7791" t="str">
        <f t="shared" si="3181"/>
        <v>Accepted</v>
      </c>
      <c r="S7791" t="str">
        <f t="shared" si="3169"/>
        <v>Approved</v>
      </c>
      <c r="T7791" t="str">
        <f t="shared" si="3182"/>
        <v>10.20.8.188</v>
      </c>
      <c r="U7791" t="str">
        <f t="shared" si="3170"/>
        <v>AZRAD UMAR BIN SHAARI</v>
      </c>
      <c r="V7791" t="str">
        <f t="shared" si="3171"/>
        <v>FARHANA BINTI MUSTAPA</v>
      </c>
      <c r="W7791" t="str">
        <f t="shared" si="3172"/>
        <v>04-08-2020</v>
      </c>
      <c r="X7791" t="str">
        <f t="shared" si="3173"/>
        <v>RAZIMAH ANSAR AHMAD</v>
      </c>
      <c r="Y7791" t="str">
        <f t="shared" si="3174"/>
        <v>04-08-2020</v>
      </c>
      <c r="Z7791" t="str">
        <f>"COS10200804 1363"</f>
        <v>COS10200804 1363</v>
      </c>
    </row>
    <row r="7792" spans="1:26" x14ac:dyDescent="0.25">
      <c r="A7792" t="str">
        <f t="shared" si="3183"/>
        <v>04-08-2020 12:32:37</v>
      </c>
      <c r="B7792" t="str">
        <f>"0000803110"</f>
        <v>0000803110</v>
      </c>
      <c r="C7792" t="str">
        <f t="shared" si="3184"/>
        <v>0000802948</v>
      </c>
      <c r="D7792" t="str">
        <f t="shared" si="3164"/>
        <v>73185</v>
      </c>
      <c r="E7792" t="str">
        <f t="shared" si="3165"/>
        <v>KFH-OPERATIONS DEPARTMENT</v>
      </c>
      <c r="F7792" t="str">
        <f t="shared" si="3166"/>
        <v>IBG</v>
      </c>
      <c r="G7792" t="str">
        <f t="shared" si="3177"/>
        <v>Refund COSHARE 10</v>
      </c>
      <c r="H7792" s="2">
        <v>503.7</v>
      </c>
      <c r="I7792" t="str">
        <f>"SUHAIMI BIN ABDUL SAMAD"</f>
        <v>SUHAIMI BIN ABDUL SAMAD</v>
      </c>
      <c r="J7792" t="str">
        <f t="shared" si="3180"/>
        <v>BANK KERJASAMA RAKYAT</v>
      </c>
      <c r="K7792" t="str">
        <f>"220411138856"</f>
        <v>220411138856</v>
      </c>
      <c r="L7792" t="str">
        <f t="shared" si="3185"/>
        <v>04-08-2020</v>
      </c>
      <c r="M7792" t="str">
        <f t="shared" si="3185"/>
        <v>04-08-2020</v>
      </c>
      <c r="N7792" t="str">
        <f t="shared" si="3167"/>
        <v>001105018356</v>
      </c>
      <c r="O7792" t="str">
        <f t="shared" si="3168"/>
        <v>MYR</v>
      </c>
      <c r="P7792" t="str">
        <f t="shared" si="3186"/>
        <v>NIL</v>
      </c>
      <c r="Q7792" t="str">
        <f t="shared" si="3186"/>
        <v>NIL</v>
      </c>
      <c r="R7792" t="str">
        <f t="shared" si="3181"/>
        <v>Accepted</v>
      </c>
      <c r="S7792" t="str">
        <f t="shared" si="3169"/>
        <v>Approved</v>
      </c>
      <c r="T7792" t="str">
        <f t="shared" si="3182"/>
        <v>10.20.8.188</v>
      </c>
      <c r="U7792" t="str">
        <f t="shared" si="3170"/>
        <v>AZRAD UMAR BIN SHAARI</v>
      </c>
      <c r="V7792" t="str">
        <f t="shared" si="3171"/>
        <v>FARHANA BINTI MUSTAPA</v>
      </c>
      <c r="W7792" t="str">
        <f t="shared" si="3172"/>
        <v>04-08-2020</v>
      </c>
      <c r="X7792" t="str">
        <f t="shared" si="3173"/>
        <v>RAZIMAH ANSAR AHMAD</v>
      </c>
      <c r="Y7792" t="str">
        <f t="shared" si="3174"/>
        <v>04-08-2020</v>
      </c>
      <c r="Z7792" t="str">
        <f>"COS10200804 1362"</f>
        <v>COS10200804 1362</v>
      </c>
    </row>
    <row r="7793" spans="1:26" x14ac:dyDescent="0.25">
      <c r="A7793" t="str">
        <f t="shared" si="3183"/>
        <v>04-08-2020 12:32:37</v>
      </c>
      <c r="B7793" t="str">
        <f>"0000803109"</f>
        <v>0000803109</v>
      </c>
      <c r="C7793" t="str">
        <f t="shared" si="3184"/>
        <v>0000802948</v>
      </c>
      <c r="D7793" t="str">
        <f t="shared" si="3164"/>
        <v>73185</v>
      </c>
      <c r="E7793" t="str">
        <f t="shared" si="3165"/>
        <v>KFH-OPERATIONS DEPARTMENT</v>
      </c>
      <c r="F7793" t="str">
        <f t="shared" si="3166"/>
        <v>IBG</v>
      </c>
      <c r="G7793" t="str">
        <f t="shared" si="3177"/>
        <v>Refund COSHARE 10</v>
      </c>
      <c r="H7793" s="2">
        <v>1724</v>
      </c>
      <c r="I7793" t="str">
        <f>"SOPHIAN BIN SULAIMAN"</f>
        <v>SOPHIAN BIN SULAIMAN</v>
      </c>
      <c r="J7793" t="str">
        <f t="shared" si="3180"/>
        <v>BANK KERJASAMA RAKYAT</v>
      </c>
      <c r="K7793" t="str">
        <f>"220161332281"</f>
        <v>220161332281</v>
      </c>
      <c r="L7793" t="str">
        <f t="shared" si="3185"/>
        <v>04-08-2020</v>
      </c>
      <c r="M7793" t="str">
        <f t="shared" si="3185"/>
        <v>04-08-2020</v>
      </c>
      <c r="N7793" t="str">
        <f t="shared" si="3167"/>
        <v>001105018356</v>
      </c>
      <c r="O7793" t="str">
        <f t="shared" si="3168"/>
        <v>MYR</v>
      </c>
      <c r="P7793" t="str">
        <f t="shared" si="3186"/>
        <v>NIL</v>
      </c>
      <c r="Q7793" t="str">
        <f t="shared" si="3186"/>
        <v>NIL</v>
      </c>
      <c r="R7793" t="str">
        <f t="shared" si="3181"/>
        <v>Accepted</v>
      </c>
      <c r="S7793" t="str">
        <f t="shared" si="3169"/>
        <v>Approved</v>
      </c>
      <c r="T7793" t="str">
        <f t="shared" si="3182"/>
        <v>10.20.8.188</v>
      </c>
      <c r="U7793" t="str">
        <f t="shared" si="3170"/>
        <v>AZRAD UMAR BIN SHAARI</v>
      </c>
      <c r="V7793" t="str">
        <f t="shared" si="3171"/>
        <v>FARHANA BINTI MUSTAPA</v>
      </c>
      <c r="W7793" t="str">
        <f t="shared" si="3172"/>
        <v>04-08-2020</v>
      </c>
      <c r="X7793" t="str">
        <f t="shared" si="3173"/>
        <v>RAZIMAH ANSAR AHMAD</v>
      </c>
      <c r="Y7793" t="str">
        <f t="shared" si="3174"/>
        <v>04-08-2020</v>
      </c>
      <c r="Z7793" t="str">
        <f>"COS10200804 1361"</f>
        <v>COS10200804 1361</v>
      </c>
    </row>
    <row r="7794" spans="1:26" x14ac:dyDescent="0.25">
      <c r="A7794" t="str">
        <f t="shared" si="3183"/>
        <v>04-08-2020 12:32:37</v>
      </c>
      <c r="B7794" t="str">
        <f>"0000803108"</f>
        <v>0000803108</v>
      </c>
      <c r="C7794" t="str">
        <f t="shared" si="3184"/>
        <v>0000802948</v>
      </c>
      <c r="D7794" t="str">
        <f t="shared" si="3164"/>
        <v>73185</v>
      </c>
      <c r="E7794" t="str">
        <f t="shared" si="3165"/>
        <v>KFH-OPERATIONS DEPARTMENT</v>
      </c>
      <c r="F7794" t="str">
        <f t="shared" si="3166"/>
        <v>IBG</v>
      </c>
      <c r="G7794" t="str">
        <f t="shared" si="3177"/>
        <v>Refund COSHARE 10</v>
      </c>
      <c r="H7794" s="2">
        <v>495.3</v>
      </c>
      <c r="I7794" t="str">
        <f>"SITTI FATIMAH BINTI ABDUL HAMAR"</f>
        <v>SITTI FATIMAH BINTI ABDUL HAMAR</v>
      </c>
      <c r="J7794" t="str">
        <f t="shared" si="3180"/>
        <v>BANK KERJASAMA RAKYAT</v>
      </c>
      <c r="K7794" t="str">
        <f>"220661165583"</f>
        <v>220661165583</v>
      </c>
      <c r="L7794" t="str">
        <f t="shared" si="3185"/>
        <v>04-08-2020</v>
      </c>
      <c r="M7794" t="str">
        <f t="shared" si="3185"/>
        <v>04-08-2020</v>
      </c>
      <c r="N7794" t="str">
        <f t="shared" si="3167"/>
        <v>001105018356</v>
      </c>
      <c r="O7794" t="str">
        <f t="shared" si="3168"/>
        <v>MYR</v>
      </c>
      <c r="P7794" t="str">
        <f t="shared" si="3186"/>
        <v>NIL</v>
      </c>
      <c r="Q7794" t="str">
        <f t="shared" si="3186"/>
        <v>NIL</v>
      </c>
      <c r="R7794" t="str">
        <f t="shared" si="3181"/>
        <v>Accepted</v>
      </c>
      <c r="S7794" t="str">
        <f t="shared" si="3169"/>
        <v>Approved</v>
      </c>
      <c r="T7794" t="str">
        <f t="shared" si="3182"/>
        <v>10.20.8.188</v>
      </c>
      <c r="U7794" t="str">
        <f t="shared" si="3170"/>
        <v>AZRAD UMAR BIN SHAARI</v>
      </c>
      <c r="V7794" t="str">
        <f t="shared" si="3171"/>
        <v>FARHANA BINTI MUSTAPA</v>
      </c>
      <c r="W7794" t="str">
        <f t="shared" si="3172"/>
        <v>04-08-2020</v>
      </c>
      <c r="X7794" t="str">
        <f t="shared" si="3173"/>
        <v>RAZIMAH ANSAR AHMAD</v>
      </c>
      <c r="Y7794" t="str">
        <f t="shared" si="3174"/>
        <v>04-08-2020</v>
      </c>
      <c r="Z7794" t="str">
        <f>"COS10200804 1360"</f>
        <v>COS10200804 1360</v>
      </c>
    </row>
    <row r="7795" spans="1:26" x14ac:dyDescent="0.25">
      <c r="A7795" t="str">
        <f t="shared" si="3183"/>
        <v>04-08-2020 12:32:37</v>
      </c>
      <c r="B7795" t="str">
        <f>"0000803107"</f>
        <v>0000803107</v>
      </c>
      <c r="C7795" t="str">
        <f t="shared" si="3184"/>
        <v>0000802948</v>
      </c>
      <c r="D7795" t="str">
        <f t="shared" si="3164"/>
        <v>73185</v>
      </c>
      <c r="E7795" t="str">
        <f t="shared" si="3165"/>
        <v>KFH-OPERATIONS DEPARTMENT</v>
      </c>
      <c r="F7795" t="str">
        <f t="shared" si="3166"/>
        <v>IBG</v>
      </c>
      <c r="G7795" t="str">
        <f t="shared" si="3177"/>
        <v>Refund COSHARE 10</v>
      </c>
      <c r="H7795" s="2">
        <v>573</v>
      </c>
      <c r="I7795" t="str">
        <f>"SITI ZURRIAH BINTI ABANG ZAIDI"</f>
        <v>SITI ZURRIAH BINTI ABANG ZAIDI</v>
      </c>
      <c r="J7795" t="str">
        <f t="shared" si="3180"/>
        <v>BANK KERJASAMA RAKYAT</v>
      </c>
      <c r="K7795" t="str">
        <f>"220781007930"</f>
        <v>220781007930</v>
      </c>
      <c r="L7795" t="str">
        <f t="shared" si="3185"/>
        <v>04-08-2020</v>
      </c>
      <c r="M7795" t="str">
        <f t="shared" si="3185"/>
        <v>04-08-2020</v>
      </c>
      <c r="N7795" t="str">
        <f t="shared" si="3167"/>
        <v>001105018356</v>
      </c>
      <c r="O7795" t="str">
        <f t="shared" si="3168"/>
        <v>MYR</v>
      </c>
      <c r="P7795" t="str">
        <f t="shared" si="3186"/>
        <v>NIL</v>
      </c>
      <c r="Q7795" t="str">
        <f t="shared" si="3186"/>
        <v>NIL</v>
      </c>
      <c r="R7795" t="str">
        <f t="shared" si="3181"/>
        <v>Accepted</v>
      </c>
      <c r="S7795" t="str">
        <f t="shared" si="3169"/>
        <v>Approved</v>
      </c>
      <c r="T7795" t="str">
        <f t="shared" si="3182"/>
        <v>10.20.8.188</v>
      </c>
      <c r="U7795" t="str">
        <f t="shared" si="3170"/>
        <v>AZRAD UMAR BIN SHAARI</v>
      </c>
      <c r="V7795" t="str">
        <f t="shared" si="3171"/>
        <v>FARHANA BINTI MUSTAPA</v>
      </c>
      <c r="W7795" t="str">
        <f t="shared" si="3172"/>
        <v>04-08-2020</v>
      </c>
      <c r="X7795" t="str">
        <f t="shared" si="3173"/>
        <v>RAZIMAH ANSAR AHMAD</v>
      </c>
      <c r="Y7795" t="str">
        <f t="shared" si="3174"/>
        <v>04-08-2020</v>
      </c>
      <c r="Z7795" t="str">
        <f>"COS10200804 1359"</f>
        <v>COS10200804 1359</v>
      </c>
    </row>
    <row r="7796" spans="1:26" x14ac:dyDescent="0.25">
      <c r="A7796" t="str">
        <f t="shared" si="3183"/>
        <v>04-08-2020 12:32:37</v>
      </c>
      <c r="B7796" t="str">
        <f>"0000803106"</f>
        <v>0000803106</v>
      </c>
      <c r="C7796" t="str">
        <f t="shared" si="3184"/>
        <v>0000802948</v>
      </c>
      <c r="D7796" t="str">
        <f t="shared" si="3164"/>
        <v>73185</v>
      </c>
      <c r="E7796" t="str">
        <f t="shared" si="3165"/>
        <v>KFH-OPERATIONS DEPARTMENT</v>
      </c>
      <c r="F7796" t="str">
        <f t="shared" si="3166"/>
        <v>IBG</v>
      </c>
      <c r="G7796" t="str">
        <f t="shared" si="3177"/>
        <v>Refund COSHARE 10</v>
      </c>
      <c r="H7796" s="2">
        <v>461.75</v>
      </c>
      <c r="I7796" t="str">
        <f>"SITI ZUBAIDAH BINTI AHMAD"</f>
        <v>SITI ZUBAIDAH BINTI AHMAD</v>
      </c>
      <c r="J7796" t="str">
        <f t="shared" si="3180"/>
        <v>BANK KERJASAMA RAKYAT</v>
      </c>
      <c r="K7796" t="str">
        <f>"220646498639"</f>
        <v>220646498639</v>
      </c>
      <c r="L7796" t="str">
        <f t="shared" si="3185"/>
        <v>04-08-2020</v>
      </c>
      <c r="M7796" t="str">
        <f t="shared" si="3185"/>
        <v>04-08-2020</v>
      </c>
      <c r="N7796" t="str">
        <f t="shared" si="3167"/>
        <v>001105018356</v>
      </c>
      <c r="O7796" t="str">
        <f t="shared" si="3168"/>
        <v>MYR</v>
      </c>
      <c r="P7796" t="str">
        <f t="shared" si="3186"/>
        <v>NIL</v>
      </c>
      <c r="Q7796" t="str">
        <f t="shared" si="3186"/>
        <v>NIL</v>
      </c>
      <c r="R7796" t="str">
        <f t="shared" si="3181"/>
        <v>Accepted</v>
      </c>
      <c r="S7796" t="str">
        <f t="shared" si="3169"/>
        <v>Approved</v>
      </c>
      <c r="T7796" t="str">
        <f t="shared" si="3182"/>
        <v>10.20.8.188</v>
      </c>
      <c r="U7796" t="str">
        <f t="shared" si="3170"/>
        <v>AZRAD UMAR BIN SHAARI</v>
      </c>
      <c r="V7796" t="str">
        <f t="shared" si="3171"/>
        <v>FARHANA BINTI MUSTAPA</v>
      </c>
      <c r="W7796" t="str">
        <f t="shared" si="3172"/>
        <v>04-08-2020</v>
      </c>
      <c r="X7796" t="str">
        <f t="shared" si="3173"/>
        <v>RAZIMAH ANSAR AHMAD</v>
      </c>
      <c r="Y7796" t="str">
        <f t="shared" si="3174"/>
        <v>04-08-2020</v>
      </c>
      <c r="Z7796" t="str">
        <f>"COS10200804 1358"</f>
        <v>COS10200804 1358</v>
      </c>
    </row>
    <row r="7797" spans="1:26" x14ac:dyDescent="0.25">
      <c r="A7797" t="str">
        <f t="shared" si="3183"/>
        <v>04-08-2020 12:32:37</v>
      </c>
      <c r="B7797" t="str">
        <f>"0000803105"</f>
        <v>0000803105</v>
      </c>
      <c r="C7797" t="str">
        <f t="shared" si="3184"/>
        <v>0000802948</v>
      </c>
      <c r="D7797" t="str">
        <f t="shared" si="3164"/>
        <v>73185</v>
      </c>
      <c r="E7797" t="str">
        <f t="shared" si="3165"/>
        <v>KFH-OPERATIONS DEPARTMENT</v>
      </c>
      <c r="F7797" t="str">
        <f t="shared" si="3166"/>
        <v>IBG</v>
      </c>
      <c r="G7797" t="str">
        <f t="shared" si="3177"/>
        <v>Refund COSHARE 10</v>
      </c>
      <c r="H7797" s="2">
        <v>120.7</v>
      </c>
      <c r="I7797" t="str">
        <f>"SITI ZAMRAH BINTI AHMAD"</f>
        <v>SITI ZAMRAH BINTI AHMAD</v>
      </c>
      <c r="J7797" t="str">
        <f t="shared" si="3180"/>
        <v>BANK KERJASAMA RAKYAT</v>
      </c>
      <c r="K7797" t="str">
        <f>"220091191026"</f>
        <v>220091191026</v>
      </c>
      <c r="L7797" t="str">
        <f t="shared" si="3185"/>
        <v>04-08-2020</v>
      </c>
      <c r="M7797" t="str">
        <f t="shared" si="3185"/>
        <v>04-08-2020</v>
      </c>
      <c r="N7797" t="str">
        <f t="shared" si="3167"/>
        <v>001105018356</v>
      </c>
      <c r="O7797" t="str">
        <f t="shared" si="3168"/>
        <v>MYR</v>
      </c>
      <c r="P7797" t="str">
        <f t="shared" si="3186"/>
        <v>NIL</v>
      </c>
      <c r="Q7797" t="str">
        <f t="shared" si="3186"/>
        <v>NIL</v>
      </c>
      <c r="R7797" t="str">
        <f t="shared" si="3181"/>
        <v>Accepted</v>
      </c>
      <c r="S7797" t="str">
        <f t="shared" si="3169"/>
        <v>Approved</v>
      </c>
      <c r="T7797" t="str">
        <f t="shared" si="3182"/>
        <v>10.20.8.188</v>
      </c>
      <c r="U7797" t="str">
        <f t="shared" si="3170"/>
        <v>AZRAD UMAR BIN SHAARI</v>
      </c>
      <c r="V7797" t="str">
        <f t="shared" si="3171"/>
        <v>FARHANA BINTI MUSTAPA</v>
      </c>
      <c r="W7797" t="str">
        <f t="shared" si="3172"/>
        <v>04-08-2020</v>
      </c>
      <c r="X7797" t="str">
        <f t="shared" si="3173"/>
        <v>RAZIMAH ANSAR AHMAD</v>
      </c>
      <c r="Y7797" t="str">
        <f t="shared" si="3174"/>
        <v>04-08-2020</v>
      </c>
      <c r="Z7797" t="str">
        <f>"COS10200804 1357"</f>
        <v>COS10200804 1357</v>
      </c>
    </row>
    <row r="7798" spans="1:26" x14ac:dyDescent="0.25">
      <c r="A7798" t="str">
        <f t="shared" si="3183"/>
        <v>04-08-2020 12:32:37</v>
      </c>
      <c r="B7798" t="str">
        <f>"0000803104"</f>
        <v>0000803104</v>
      </c>
      <c r="C7798" t="str">
        <f t="shared" si="3184"/>
        <v>0000802948</v>
      </c>
      <c r="D7798" t="str">
        <f t="shared" si="3164"/>
        <v>73185</v>
      </c>
      <c r="E7798" t="str">
        <f t="shared" si="3165"/>
        <v>KFH-OPERATIONS DEPARTMENT</v>
      </c>
      <c r="F7798" t="str">
        <f t="shared" si="3166"/>
        <v>IBG</v>
      </c>
      <c r="G7798" t="str">
        <f t="shared" si="3177"/>
        <v>Refund COSHARE 10</v>
      </c>
      <c r="H7798" s="2">
        <v>503.7</v>
      </c>
      <c r="I7798" t="str">
        <f>"SITI SUZILAWATI BINTI JAKARIA"</f>
        <v>SITI SUZILAWATI BINTI JAKARIA</v>
      </c>
      <c r="J7798" t="str">
        <f t="shared" si="3180"/>
        <v>BANK KERJASAMA RAKYAT</v>
      </c>
      <c r="K7798" t="str">
        <f>"221273284268"</f>
        <v>221273284268</v>
      </c>
      <c r="L7798" t="str">
        <f t="shared" si="3185"/>
        <v>04-08-2020</v>
      </c>
      <c r="M7798" t="str">
        <f t="shared" si="3185"/>
        <v>04-08-2020</v>
      </c>
      <c r="N7798" t="str">
        <f t="shared" si="3167"/>
        <v>001105018356</v>
      </c>
      <c r="O7798" t="str">
        <f t="shared" si="3168"/>
        <v>MYR</v>
      </c>
      <c r="P7798" t="str">
        <f t="shared" si="3186"/>
        <v>NIL</v>
      </c>
      <c r="Q7798" t="str">
        <f t="shared" si="3186"/>
        <v>NIL</v>
      </c>
      <c r="R7798" t="str">
        <f t="shared" si="3181"/>
        <v>Accepted</v>
      </c>
      <c r="S7798" t="str">
        <f t="shared" si="3169"/>
        <v>Approved</v>
      </c>
      <c r="T7798" t="str">
        <f t="shared" si="3182"/>
        <v>10.20.8.188</v>
      </c>
      <c r="U7798" t="str">
        <f t="shared" si="3170"/>
        <v>AZRAD UMAR BIN SHAARI</v>
      </c>
      <c r="V7798" t="str">
        <f t="shared" si="3171"/>
        <v>FARHANA BINTI MUSTAPA</v>
      </c>
      <c r="W7798" t="str">
        <f t="shared" si="3172"/>
        <v>04-08-2020</v>
      </c>
      <c r="X7798" t="str">
        <f t="shared" si="3173"/>
        <v>RAZIMAH ANSAR AHMAD</v>
      </c>
      <c r="Y7798" t="str">
        <f t="shared" si="3174"/>
        <v>04-08-2020</v>
      </c>
      <c r="Z7798" t="str">
        <f>"COS10200804 1356"</f>
        <v>COS10200804 1356</v>
      </c>
    </row>
    <row r="7799" spans="1:26" x14ac:dyDescent="0.25">
      <c r="A7799" t="str">
        <f t="shared" si="3183"/>
        <v>04-08-2020 12:32:37</v>
      </c>
      <c r="B7799" t="str">
        <f>"0000803103"</f>
        <v>0000803103</v>
      </c>
      <c r="C7799" t="str">
        <f t="shared" si="3184"/>
        <v>0000802948</v>
      </c>
      <c r="D7799" t="str">
        <f t="shared" si="3164"/>
        <v>73185</v>
      </c>
      <c r="E7799" t="str">
        <f t="shared" si="3165"/>
        <v>KFH-OPERATIONS DEPARTMENT</v>
      </c>
      <c r="F7799" t="str">
        <f t="shared" si="3166"/>
        <v>IBG</v>
      </c>
      <c r="G7799" t="str">
        <f t="shared" si="3177"/>
        <v>Refund COSHARE 10</v>
      </c>
      <c r="H7799" s="2">
        <v>1135.8499999999999</v>
      </c>
      <c r="I7799" t="str">
        <f>"SITI SABARIAH BINTI MDIRHAM"</f>
        <v>SITI SABARIAH BINTI MDIRHAM</v>
      </c>
      <c r="J7799" t="str">
        <f t="shared" si="3180"/>
        <v>BANK KERJASAMA RAKYAT</v>
      </c>
      <c r="K7799" t="str">
        <f>"221141007239"</f>
        <v>221141007239</v>
      </c>
      <c r="L7799" t="str">
        <f t="shared" si="3185"/>
        <v>04-08-2020</v>
      </c>
      <c r="M7799" t="str">
        <f t="shared" si="3185"/>
        <v>04-08-2020</v>
      </c>
      <c r="N7799" t="str">
        <f t="shared" si="3167"/>
        <v>001105018356</v>
      </c>
      <c r="O7799" t="str">
        <f t="shared" si="3168"/>
        <v>MYR</v>
      </c>
      <c r="P7799" t="str">
        <f t="shared" si="3186"/>
        <v>NIL</v>
      </c>
      <c r="Q7799" t="str">
        <f t="shared" si="3186"/>
        <v>NIL</v>
      </c>
      <c r="R7799" t="str">
        <f t="shared" si="3181"/>
        <v>Accepted</v>
      </c>
      <c r="S7799" t="str">
        <f t="shared" si="3169"/>
        <v>Approved</v>
      </c>
      <c r="T7799" t="str">
        <f t="shared" si="3182"/>
        <v>10.20.8.188</v>
      </c>
      <c r="U7799" t="str">
        <f t="shared" si="3170"/>
        <v>AZRAD UMAR BIN SHAARI</v>
      </c>
      <c r="V7799" t="str">
        <f t="shared" si="3171"/>
        <v>FARHANA BINTI MUSTAPA</v>
      </c>
      <c r="W7799" t="str">
        <f t="shared" si="3172"/>
        <v>04-08-2020</v>
      </c>
      <c r="X7799" t="str">
        <f t="shared" si="3173"/>
        <v>RAZIMAH ANSAR AHMAD</v>
      </c>
      <c r="Y7799" t="str">
        <f t="shared" si="3174"/>
        <v>04-08-2020</v>
      </c>
      <c r="Z7799" t="str">
        <f>"COS10200804 1355"</f>
        <v>COS10200804 1355</v>
      </c>
    </row>
    <row r="7800" spans="1:26" x14ac:dyDescent="0.25">
      <c r="A7800" t="str">
        <f t="shared" si="3183"/>
        <v>04-08-2020 12:32:37</v>
      </c>
      <c r="B7800" t="str">
        <f>"0000803102"</f>
        <v>0000803102</v>
      </c>
      <c r="C7800" t="str">
        <f t="shared" si="3184"/>
        <v>0000802948</v>
      </c>
      <c r="D7800" t="str">
        <f t="shared" si="3164"/>
        <v>73185</v>
      </c>
      <c r="E7800" t="str">
        <f t="shared" si="3165"/>
        <v>KFH-OPERATIONS DEPARTMENT</v>
      </c>
      <c r="F7800" t="str">
        <f t="shared" si="3166"/>
        <v>IBG</v>
      </c>
      <c r="G7800" t="str">
        <f t="shared" si="3177"/>
        <v>Refund COSHARE 10</v>
      </c>
      <c r="H7800" s="2">
        <v>377.8</v>
      </c>
      <c r="I7800" t="str">
        <f>"SITI RAFIDAH BINTI ABDUL RAHMAN"</f>
        <v>SITI RAFIDAH BINTI ABDUL RAHMAN</v>
      </c>
      <c r="J7800" t="str">
        <f t="shared" si="3180"/>
        <v>BANK KERJASAMA RAKYAT</v>
      </c>
      <c r="K7800" t="str">
        <f>"220661166337"</f>
        <v>220661166337</v>
      </c>
      <c r="L7800" t="str">
        <f t="shared" si="3185"/>
        <v>04-08-2020</v>
      </c>
      <c r="M7800" t="str">
        <f t="shared" si="3185"/>
        <v>04-08-2020</v>
      </c>
      <c r="N7800" t="str">
        <f t="shared" si="3167"/>
        <v>001105018356</v>
      </c>
      <c r="O7800" t="str">
        <f t="shared" si="3168"/>
        <v>MYR</v>
      </c>
      <c r="P7800" t="str">
        <f t="shared" si="3186"/>
        <v>NIL</v>
      </c>
      <c r="Q7800" t="str">
        <f t="shared" si="3186"/>
        <v>NIL</v>
      </c>
      <c r="R7800" t="str">
        <f t="shared" si="3181"/>
        <v>Accepted</v>
      </c>
      <c r="S7800" t="str">
        <f t="shared" si="3169"/>
        <v>Approved</v>
      </c>
      <c r="T7800" t="str">
        <f t="shared" si="3182"/>
        <v>10.20.8.188</v>
      </c>
      <c r="U7800" t="str">
        <f t="shared" si="3170"/>
        <v>AZRAD UMAR BIN SHAARI</v>
      </c>
      <c r="V7800" t="str">
        <f t="shared" si="3171"/>
        <v>FARHANA BINTI MUSTAPA</v>
      </c>
      <c r="W7800" t="str">
        <f t="shared" si="3172"/>
        <v>04-08-2020</v>
      </c>
      <c r="X7800" t="str">
        <f t="shared" si="3173"/>
        <v>RAZIMAH ANSAR AHMAD</v>
      </c>
      <c r="Y7800" t="str">
        <f t="shared" si="3174"/>
        <v>04-08-2020</v>
      </c>
      <c r="Z7800" t="str">
        <f>"COS10200804 1354"</f>
        <v>COS10200804 1354</v>
      </c>
    </row>
    <row r="7801" spans="1:26" x14ac:dyDescent="0.25">
      <c r="A7801" t="str">
        <f t="shared" si="3183"/>
        <v>04-08-2020 12:32:37</v>
      </c>
      <c r="B7801" t="str">
        <f>"0000803101"</f>
        <v>0000803101</v>
      </c>
      <c r="C7801" t="str">
        <f t="shared" si="3184"/>
        <v>0000802948</v>
      </c>
      <c r="D7801" t="str">
        <f t="shared" si="3164"/>
        <v>73185</v>
      </c>
      <c r="E7801" t="str">
        <f t="shared" si="3165"/>
        <v>KFH-OPERATIONS DEPARTMENT</v>
      </c>
      <c r="F7801" t="str">
        <f t="shared" si="3166"/>
        <v>IBG</v>
      </c>
      <c r="G7801" t="str">
        <f t="shared" si="3177"/>
        <v>Refund COSHARE 10</v>
      </c>
      <c r="H7801" s="2">
        <v>508.15</v>
      </c>
      <c r="I7801" t="str">
        <f>"SITI NUR AISHAH BINTI SUMAP"</f>
        <v>SITI NUR AISHAH BINTI SUMAP</v>
      </c>
      <c r="J7801" t="str">
        <f t="shared" si="3180"/>
        <v>BANK KERJASAMA RAKYAT</v>
      </c>
      <c r="K7801" t="str">
        <f>"220291318250"</f>
        <v>220291318250</v>
      </c>
      <c r="L7801" t="str">
        <f t="shared" si="3185"/>
        <v>04-08-2020</v>
      </c>
      <c r="M7801" t="str">
        <f t="shared" si="3185"/>
        <v>04-08-2020</v>
      </c>
      <c r="N7801" t="str">
        <f t="shared" si="3167"/>
        <v>001105018356</v>
      </c>
      <c r="O7801" t="str">
        <f t="shared" si="3168"/>
        <v>MYR</v>
      </c>
      <c r="P7801" t="str">
        <f t="shared" si="3186"/>
        <v>NIL</v>
      </c>
      <c r="Q7801" t="str">
        <f t="shared" si="3186"/>
        <v>NIL</v>
      </c>
      <c r="R7801" t="str">
        <f t="shared" si="3181"/>
        <v>Accepted</v>
      </c>
      <c r="S7801" t="str">
        <f t="shared" si="3169"/>
        <v>Approved</v>
      </c>
      <c r="T7801" t="str">
        <f t="shared" si="3182"/>
        <v>10.20.8.188</v>
      </c>
      <c r="U7801" t="str">
        <f t="shared" si="3170"/>
        <v>AZRAD UMAR BIN SHAARI</v>
      </c>
      <c r="V7801" t="str">
        <f t="shared" si="3171"/>
        <v>FARHANA BINTI MUSTAPA</v>
      </c>
      <c r="W7801" t="str">
        <f t="shared" si="3172"/>
        <v>04-08-2020</v>
      </c>
      <c r="X7801" t="str">
        <f t="shared" si="3173"/>
        <v>RAZIMAH ANSAR AHMAD</v>
      </c>
      <c r="Y7801" t="str">
        <f t="shared" si="3174"/>
        <v>04-08-2020</v>
      </c>
      <c r="Z7801" t="str">
        <f>"COS10200804 1353"</f>
        <v>COS10200804 1353</v>
      </c>
    </row>
    <row r="7802" spans="1:26" x14ac:dyDescent="0.25">
      <c r="A7802" t="str">
        <f t="shared" si="3183"/>
        <v>04-08-2020 12:32:37</v>
      </c>
      <c r="B7802" t="str">
        <f>"0000803100"</f>
        <v>0000803100</v>
      </c>
      <c r="C7802" t="str">
        <f t="shared" si="3184"/>
        <v>0000802948</v>
      </c>
      <c r="D7802" t="str">
        <f t="shared" si="3164"/>
        <v>73185</v>
      </c>
      <c r="E7802" t="str">
        <f t="shared" si="3165"/>
        <v>KFH-OPERATIONS DEPARTMENT</v>
      </c>
      <c r="F7802" t="str">
        <f t="shared" si="3166"/>
        <v>IBG</v>
      </c>
      <c r="G7802" t="str">
        <f t="shared" si="3177"/>
        <v>Refund COSHARE 10</v>
      </c>
      <c r="H7802" s="2">
        <v>1224.05</v>
      </c>
      <c r="I7802" t="str">
        <f>"SITI NORLIZA BINTI MOHD YUSOF"</f>
        <v>SITI NORLIZA BINTI MOHD YUSOF</v>
      </c>
      <c r="J7802" t="str">
        <f t="shared" si="3180"/>
        <v>BANK KERJASAMA RAKYAT</v>
      </c>
      <c r="K7802" t="str">
        <f>"220455380032"</f>
        <v>220455380032</v>
      </c>
      <c r="L7802" t="str">
        <f t="shared" si="3185"/>
        <v>04-08-2020</v>
      </c>
      <c r="M7802" t="str">
        <f t="shared" si="3185"/>
        <v>04-08-2020</v>
      </c>
      <c r="N7802" t="str">
        <f t="shared" si="3167"/>
        <v>001105018356</v>
      </c>
      <c r="O7802" t="str">
        <f t="shared" si="3168"/>
        <v>MYR</v>
      </c>
      <c r="P7802" t="str">
        <f t="shared" si="3186"/>
        <v>NIL</v>
      </c>
      <c r="Q7802" t="str">
        <f t="shared" si="3186"/>
        <v>NIL</v>
      </c>
      <c r="R7802" t="str">
        <f t="shared" si="3181"/>
        <v>Accepted</v>
      </c>
      <c r="S7802" t="str">
        <f t="shared" si="3169"/>
        <v>Approved</v>
      </c>
      <c r="T7802" t="str">
        <f t="shared" si="3182"/>
        <v>10.20.8.188</v>
      </c>
      <c r="U7802" t="str">
        <f t="shared" si="3170"/>
        <v>AZRAD UMAR BIN SHAARI</v>
      </c>
      <c r="V7802" t="str">
        <f t="shared" si="3171"/>
        <v>FARHANA BINTI MUSTAPA</v>
      </c>
      <c r="W7802" t="str">
        <f t="shared" si="3172"/>
        <v>04-08-2020</v>
      </c>
      <c r="X7802" t="str">
        <f t="shared" si="3173"/>
        <v>RAZIMAH ANSAR AHMAD</v>
      </c>
      <c r="Y7802" t="str">
        <f t="shared" si="3174"/>
        <v>04-08-2020</v>
      </c>
      <c r="Z7802" t="str">
        <f>"COS10200804 1352"</f>
        <v>COS10200804 1352</v>
      </c>
    </row>
    <row r="7803" spans="1:26" x14ac:dyDescent="0.25">
      <c r="A7803" t="str">
        <f t="shared" si="3183"/>
        <v>04-08-2020 12:32:37</v>
      </c>
      <c r="B7803" t="str">
        <f>"0000803099"</f>
        <v>0000803099</v>
      </c>
      <c r="C7803" t="str">
        <f t="shared" si="3184"/>
        <v>0000802948</v>
      </c>
      <c r="D7803" t="str">
        <f t="shared" si="3164"/>
        <v>73185</v>
      </c>
      <c r="E7803" t="str">
        <f t="shared" si="3165"/>
        <v>KFH-OPERATIONS DEPARTMENT</v>
      </c>
      <c r="F7803" t="str">
        <f t="shared" si="3166"/>
        <v>IBG</v>
      </c>
      <c r="G7803" t="str">
        <f t="shared" si="3177"/>
        <v>Refund COSHARE 10</v>
      </c>
      <c r="H7803" s="2">
        <v>251.85</v>
      </c>
      <c r="I7803" t="str">
        <f>"SITI NORHAFIZA BINTI MUHAMMAT"</f>
        <v>SITI NORHAFIZA BINTI MUHAMMAT</v>
      </c>
      <c r="J7803" t="str">
        <f t="shared" si="3180"/>
        <v>BANK KERJASAMA RAKYAT</v>
      </c>
      <c r="K7803" t="str">
        <f>"220701119225"</f>
        <v>220701119225</v>
      </c>
      <c r="L7803" t="str">
        <f t="shared" si="3185"/>
        <v>04-08-2020</v>
      </c>
      <c r="M7803" t="str">
        <f t="shared" si="3185"/>
        <v>04-08-2020</v>
      </c>
      <c r="N7803" t="str">
        <f t="shared" si="3167"/>
        <v>001105018356</v>
      </c>
      <c r="O7803" t="str">
        <f t="shared" si="3168"/>
        <v>MYR</v>
      </c>
      <c r="P7803" t="str">
        <f t="shared" si="3186"/>
        <v>NIL</v>
      </c>
      <c r="Q7803" t="str">
        <f t="shared" si="3186"/>
        <v>NIL</v>
      </c>
      <c r="R7803" t="str">
        <f t="shared" si="3181"/>
        <v>Accepted</v>
      </c>
      <c r="S7803" t="str">
        <f t="shared" si="3169"/>
        <v>Approved</v>
      </c>
      <c r="T7803" t="str">
        <f t="shared" si="3182"/>
        <v>10.20.8.188</v>
      </c>
      <c r="U7803" t="str">
        <f t="shared" si="3170"/>
        <v>AZRAD UMAR BIN SHAARI</v>
      </c>
      <c r="V7803" t="str">
        <f t="shared" si="3171"/>
        <v>FARHANA BINTI MUSTAPA</v>
      </c>
      <c r="W7803" t="str">
        <f t="shared" si="3172"/>
        <v>04-08-2020</v>
      </c>
      <c r="X7803" t="str">
        <f t="shared" si="3173"/>
        <v>RAZIMAH ANSAR AHMAD</v>
      </c>
      <c r="Y7803" t="str">
        <f t="shared" si="3174"/>
        <v>04-08-2020</v>
      </c>
      <c r="Z7803" t="str">
        <f>"COS10200804 1351"</f>
        <v>COS10200804 1351</v>
      </c>
    </row>
    <row r="7804" spans="1:26" x14ac:dyDescent="0.25">
      <c r="A7804" t="str">
        <f t="shared" si="3183"/>
        <v>04-08-2020 12:32:37</v>
      </c>
      <c r="B7804" t="str">
        <f>"0000803098"</f>
        <v>0000803098</v>
      </c>
      <c r="C7804" t="str">
        <f t="shared" si="3184"/>
        <v>0000802948</v>
      </c>
      <c r="D7804" t="str">
        <f t="shared" si="3164"/>
        <v>73185</v>
      </c>
      <c r="E7804" t="str">
        <f t="shared" si="3165"/>
        <v>KFH-OPERATIONS DEPARTMENT</v>
      </c>
      <c r="F7804" t="str">
        <f t="shared" si="3166"/>
        <v>IBG</v>
      </c>
      <c r="G7804" t="str">
        <f t="shared" si="3177"/>
        <v>Refund COSHARE 10</v>
      </c>
      <c r="H7804" s="2">
        <v>78.599999999999994</v>
      </c>
      <c r="I7804" t="str">
        <f>"SITI NAZURA BINTI SELAMAT"</f>
        <v>SITI NAZURA BINTI SELAMAT</v>
      </c>
      <c r="J7804" t="str">
        <f t="shared" si="3180"/>
        <v>BANK KERJASAMA RAKYAT</v>
      </c>
      <c r="K7804" t="str">
        <f>"220921012681"</f>
        <v>220921012681</v>
      </c>
      <c r="L7804" t="str">
        <f t="shared" si="3185"/>
        <v>04-08-2020</v>
      </c>
      <c r="M7804" t="str">
        <f t="shared" si="3185"/>
        <v>04-08-2020</v>
      </c>
      <c r="N7804" t="str">
        <f t="shared" si="3167"/>
        <v>001105018356</v>
      </c>
      <c r="O7804" t="str">
        <f t="shared" si="3168"/>
        <v>MYR</v>
      </c>
      <c r="P7804" t="str">
        <f t="shared" si="3186"/>
        <v>NIL</v>
      </c>
      <c r="Q7804" t="str">
        <f t="shared" si="3186"/>
        <v>NIL</v>
      </c>
      <c r="R7804" t="str">
        <f t="shared" si="3181"/>
        <v>Accepted</v>
      </c>
      <c r="S7804" t="str">
        <f t="shared" si="3169"/>
        <v>Approved</v>
      </c>
      <c r="T7804" t="str">
        <f t="shared" si="3182"/>
        <v>10.20.8.188</v>
      </c>
      <c r="U7804" t="str">
        <f t="shared" si="3170"/>
        <v>AZRAD UMAR BIN SHAARI</v>
      </c>
      <c r="V7804" t="str">
        <f t="shared" si="3171"/>
        <v>FARHANA BINTI MUSTAPA</v>
      </c>
      <c r="W7804" t="str">
        <f t="shared" si="3172"/>
        <v>04-08-2020</v>
      </c>
      <c r="X7804" t="str">
        <f t="shared" si="3173"/>
        <v>RAZIMAH ANSAR AHMAD</v>
      </c>
      <c r="Y7804" t="str">
        <f t="shared" si="3174"/>
        <v>04-08-2020</v>
      </c>
      <c r="Z7804" t="str">
        <f>"COS10200804 1350"</f>
        <v>COS10200804 1350</v>
      </c>
    </row>
    <row r="7805" spans="1:26" x14ac:dyDescent="0.25">
      <c r="A7805" t="str">
        <f t="shared" si="3183"/>
        <v>04-08-2020 12:32:37</v>
      </c>
      <c r="B7805" t="str">
        <f>"0000803097"</f>
        <v>0000803097</v>
      </c>
      <c r="C7805" t="str">
        <f t="shared" si="3184"/>
        <v>0000802948</v>
      </c>
      <c r="D7805" t="str">
        <f t="shared" si="3164"/>
        <v>73185</v>
      </c>
      <c r="E7805" t="str">
        <f t="shared" si="3165"/>
        <v>KFH-OPERATIONS DEPARTMENT</v>
      </c>
      <c r="F7805" t="str">
        <f t="shared" si="3166"/>
        <v>IBG</v>
      </c>
      <c r="G7805" t="str">
        <f t="shared" si="3177"/>
        <v>Refund COSHARE 10</v>
      </c>
      <c r="H7805" s="2">
        <v>1456</v>
      </c>
      <c r="I7805" t="str">
        <f>"SITI MASITA BINTI JAPRI"</f>
        <v>SITI MASITA BINTI JAPRI</v>
      </c>
      <c r="J7805" t="str">
        <f t="shared" si="3180"/>
        <v>BANK KERJASAMA RAKYAT</v>
      </c>
      <c r="K7805" t="str">
        <f>"220661057503"</f>
        <v>220661057503</v>
      </c>
      <c r="L7805" t="str">
        <f t="shared" si="3185"/>
        <v>04-08-2020</v>
      </c>
      <c r="M7805" t="str">
        <f t="shared" si="3185"/>
        <v>04-08-2020</v>
      </c>
      <c r="N7805" t="str">
        <f t="shared" si="3167"/>
        <v>001105018356</v>
      </c>
      <c r="O7805" t="str">
        <f t="shared" si="3168"/>
        <v>MYR</v>
      </c>
      <c r="P7805" t="str">
        <f t="shared" si="3186"/>
        <v>NIL</v>
      </c>
      <c r="Q7805" t="str">
        <f t="shared" si="3186"/>
        <v>NIL</v>
      </c>
      <c r="R7805" t="str">
        <f t="shared" si="3181"/>
        <v>Accepted</v>
      </c>
      <c r="S7805" t="str">
        <f t="shared" si="3169"/>
        <v>Approved</v>
      </c>
      <c r="T7805" t="str">
        <f t="shared" si="3182"/>
        <v>10.20.8.188</v>
      </c>
      <c r="U7805" t="str">
        <f t="shared" si="3170"/>
        <v>AZRAD UMAR BIN SHAARI</v>
      </c>
      <c r="V7805" t="str">
        <f t="shared" si="3171"/>
        <v>FARHANA BINTI MUSTAPA</v>
      </c>
      <c r="W7805" t="str">
        <f t="shared" si="3172"/>
        <v>04-08-2020</v>
      </c>
      <c r="X7805" t="str">
        <f t="shared" si="3173"/>
        <v>RAZIMAH ANSAR AHMAD</v>
      </c>
      <c r="Y7805" t="str">
        <f t="shared" si="3174"/>
        <v>04-08-2020</v>
      </c>
      <c r="Z7805" t="str">
        <f>"COS10200804 1349"</f>
        <v>COS10200804 1349</v>
      </c>
    </row>
    <row r="7806" spans="1:26" x14ac:dyDescent="0.25">
      <c r="A7806" t="str">
        <f t="shared" si="3183"/>
        <v>04-08-2020 12:32:37</v>
      </c>
      <c r="B7806" t="str">
        <f>"0000803096"</f>
        <v>0000803096</v>
      </c>
      <c r="C7806" t="str">
        <f t="shared" si="3184"/>
        <v>0000802948</v>
      </c>
      <c r="D7806" t="str">
        <f t="shared" si="3164"/>
        <v>73185</v>
      </c>
      <c r="E7806" t="str">
        <f t="shared" si="3165"/>
        <v>KFH-OPERATIONS DEPARTMENT</v>
      </c>
      <c r="F7806" t="str">
        <f t="shared" si="3166"/>
        <v>IBG</v>
      </c>
      <c r="G7806" t="str">
        <f t="shared" si="3177"/>
        <v>Refund COSHARE 10</v>
      </c>
      <c r="H7806" s="2">
        <v>159.69999999999999</v>
      </c>
      <c r="I7806" t="str">
        <f>"SITI MARSEELLA BINTI MUSA"</f>
        <v>SITI MARSEELLA BINTI MUSA</v>
      </c>
      <c r="J7806" t="str">
        <f t="shared" si="3180"/>
        <v>BANK KERJASAMA RAKYAT</v>
      </c>
      <c r="K7806" t="str">
        <f>"220241292823"</f>
        <v>220241292823</v>
      </c>
      <c r="L7806" t="str">
        <f t="shared" si="3185"/>
        <v>04-08-2020</v>
      </c>
      <c r="M7806" t="str">
        <f t="shared" si="3185"/>
        <v>04-08-2020</v>
      </c>
      <c r="N7806" t="str">
        <f t="shared" si="3167"/>
        <v>001105018356</v>
      </c>
      <c r="O7806" t="str">
        <f t="shared" si="3168"/>
        <v>MYR</v>
      </c>
      <c r="P7806" t="str">
        <f t="shared" si="3186"/>
        <v>NIL</v>
      </c>
      <c r="Q7806" t="str">
        <f t="shared" si="3186"/>
        <v>NIL</v>
      </c>
      <c r="R7806" t="str">
        <f t="shared" si="3181"/>
        <v>Accepted</v>
      </c>
      <c r="S7806" t="str">
        <f t="shared" si="3169"/>
        <v>Approved</v>
      </c>
      <c r="T7806" t="str">
        <f t="shared" si="3182"/>
        <v>10.20.8.188</v>
      </c>
      <c r="U7806" t="str">
        <f t="shared" si="3170"/>
        <v>AZRAD UMAR BIN SHAARI</v>
      </c>
      <c r="V7806" t="str">
        <f t="shared" si="3171"/>
        <v>FARHANA BINTI MUSTAPA</v>
      </c>
      <c r="W7806" t="str">
        <f t="shared" si="3172"/>
        <v>04-08-2020</v>
      </c>
      <c r="X7806" t="str">
        <f t="shared" si="3173"/>
        <v>RAZIMAH ANSAR AHMAD</v>
      </c>
      <c r="Y7806" t="str">
        <f t="shared" si="3174"/>
        <v>04-08-2020</v>
      </c>
      <c r="Z7806" t="str">
        <f>"COS10200804 1348"</f>
        <v>COS10200804 1348</v>
      </c>
    </row>
    <row r="7807" spans="1:26" x14ac:dyDescent="0.25">
      <c r="A7807" t="str">
        <f t="shared" si="3183"/>
        <v>04-08-2020 12:32:37</v>
      </c>
      <c r="B7807" t="str">
        <f>"0000803095"</f>
        <v>0000803095</v>
      </c>
      <c r="C7807" t="str">
        <f t="shared" si="3184"/>
        <v>0000802948</v>
      </c>
      <c r="D7807" t="str">
        <f t="shared" si="3164"/>
        <v>73185</v>
      </c>
      <c r="E7807" t="str">
        <f t="shared" si="3165"/>
        <v>KFH-OPERATIONS DEPARTMENT</v>
      </c>
      <c r="F7807" t="str">
        <f t="shared" si="3166"/>
        <v>IBG</v>
      </c>
      <c r="G7807" t="str">
        <f t="shared" si="3177"/>
        <v>Refund COSHARE 10</v>
      </c>
      <c r="H7807" s="2">
        <v>1563</v>
      </c>
      <c r="I7807" t="str">
        <f>"SITI MARIAM BINTI ABDUL HAMID"</f>
        <v>SITI MARIAM BINTI ABDUL HAMID</v>
      </c>
      <c r="J7807" t="str">
        <f t="shared" si="3180"/>
        <v>BANK KERJASAMA RAKYAT</v>
      </c>
      <c r="K7807" t="str">
        <f>"220541229388"</f>
        <v>220541229388</v>
      </c>
      <c r="L7807" t="str">
        <f t="shared" ref="L7807:M7826" si="3187">"04-08-2020"</f>
        <v>04-08-2020</v>
      </c>
      <c r="M7807" t="str">
        <f t="shared" si="3187"/>
        <v>04-08-2020</v>
      </c>
      <c r="N7807" t="str">
        <f t="shared" si="3167"/>
        <v>001105018356</v>
      </c>
      <c r="O7807" t="str">
        <f t="shared" si="3168"/>
        <v>MYR</v>
      </c>
      <c r="P7807" t="str">
        <f t="shared" ref="P7807:Q7826" si="3188">"NIL"</f>
        <v>NIL</v>
      </c>
      <c r="Q7807" t="str">
        <f t="shared" si="3188"/>
        <v>NIL</v>
      </c>
      <c r="R7807" t="str">
        <f t="shared" si="3181"/>
        <v>Accepted</v>
      </c>
      <c r="S7807" t="str">
        <f t="shared" si="3169"/>
        <v>Approved</v>
      </c>
      <c r="T7807" t="str">
        <f t="shared" si="3182"/>
        <v>10.20.8.188</v>
      </c>
      <c r="U7807" t="str">
        <f t="shared" si="3170"/>
        <v>AZRAD UMAR BIN SHAARI</v>
      </c>
      <c r="V7807" t="str">
        <f t="shared" si="3171"/>
        <v>FARHANA BINTI MUSTAPA</v>
      </c>
      <c r="W7807" t="str">
        <f t="shared" si="3172"/>
        <v>04-08-2020</v>
      </c>
      <c r="X7807" t="str">
        <f t="shared" si="3173"/>
        <v>RAZIMAH ANSAR AHMAD</v>
      </c>
      <c r="Y7807" t="str">
        <f t="shared" si="3174"/>
        <v>04-08-2020</v>
      </c>
      <c r="Z7807" t="str">
        <f>"COS10200804 1347"</f>
        <v>COS10200804 1347</v>
      </c>
    </row>
    <row r="7808" spans="1:26" x14ac:dyDescent="0.25">
      <c r="A7808" t="str">
        <f t="shared" si="3183"/>
        <v>04-08-2020 12:32:37</v>
      </c>
      <c r="B7808" t="str">
        <f>"0000803094"</f>
        <v>0000803094</v>
      </c>
      <c r="C7808" t="str">
        <f t="shared" si="3184"/>
        <v>0000802948</v>
      </c>
      <c r="D7808" t="str">
        <f t="shared" si="3164"/>
        <v>73185</v>
      </c>
      <c r="E7808" t="str">
        <f t="shared" si="3165"/>
        <v>KFH-OPERATIONS DEPARTMENT</v>
      </c>
      <c r="F7808" t="str">
        <f t="shared" si="3166"/>
        <v>IBG</v>
      </c>
      <c r="G7808" t="str">
        <f t="shared" si="3177"/>
        <v>Refund COSHARE 10</v>
      </c>
      <c r="H7808" s="2">
        <v>920.95</v>
      </c>
      <c r="I7808" t="str">
        <f>"SITI KALSOM BINTI LAMIJO"</f>
        <v>SITI KALSOM BINTI LAMIJO</v>
      </c>
      <c r="J7808" t="str">
        <f t="shared" si="3180"/>
        <v>BANK KERJASAMA RAKYAT</v>
      </c>
      <c r="K7808" t="str">
        <f>"220981108453"</f>
        <v>220981108453</v>
      </c>
      <c r="L7808" t="str">
        <f t="shared" si="3187"/>
        <v>04-08-2020</v>
      </c>
      <c r="M7808" t="str">
        <f t="shared" si="3187"/>
        <v>04-08-2020</v>
      </c>
      <c r="N7808" t="str">
        <f t="shared" si="3167"/>
        <v>001105018356</v>
      </c>
      <c r="O7808" t="str">
        <f t="shared" si="3168"/>
        <v>MYR</v>
      </c>
      <c r="P7808" t="str">
        <f t="shared" si="3188"/>
        <v>NIL</v>
      </c>
      <c r="Q7808" t="str">
        <f t="shared" si="3188"/>
        <v>NIL</v>
      </c>
      <c r="R7808" t="str">
        <f t="shared" si="3181"/>
        <v>Accepted</v>
      </c>
      <c r="S7808" t="str">
        <f t="shared" si="3169"/>
        <v>Approved</v>
      </c>
      <c r="T7808" t="str">
        <f t="shared" si="3182"/>
        <v>10.20.8.188</v>
      </c>
      <c r="U7808" t="str">
        <f t="shared" si="3170"/>
        <v>AZRAD UMAR BIN SHAARI</v>
      </c>
      <c r="V7808" t="str">
        <f t="shared" si="3171"/>
        <v>FARHANA BINTI MUSTAPA</v>
      </c>
      <c r="W7808" t="str">
        <f t="shared" si="3172"/>
        <v>04-08-2020</v>
      </c>
      <c r="X7808" t="str">
        <f t="shared" si="3173"/>
        <v>RAZIMAH ANSAR AHMAD</v>
      </c>
      <c r="Y7808" t="str">
        <f t="shared" si="3174"/>
        <v>04-08-2020</v>
      </c>
      <c r="Z7808" t="str">
        <f>"COS10200804 1346"</f>
        <v>COS10200804 1346</v>
      </c>
    </row>
    <row r="7809" spans="1:26" x14ac:dyDescent="0.25">
      <c r="A7809" t="str">
        <f t="shared" si="3183"/>
        <v>04-08-2020 12:32:37</v>
      </c>
      <c r="B7809" t="str">
        <f>"0000803093"</f>
        <v>0000803093</v>
      </c>
      <c r="C7809" t="str">
        <f t="shared" si="3184"/>
        <v>0000802948</v>
      </c>
      <c r="D7809" t="str">
        <f t="shared" si="3164"/>
        <v>73185</v>
      </c>
      <c r="E7809" t="str">
        <f t="shared" si="3165"/>
        <v>KFH-OPERATIONS DEPARTMENT</v>
      </c>
      <c r="F7809" t="str">
        <f t="shared" si="3166"/>
        <v>IBG</v>
      </c>
      <c r="G7809" t="str">
        <f t="shared" si="3177"/>
        <v>Refund COSHARE 10</v>
      </c>
      <c r="H7809" s="2">
        <v>1175.3</v>
      </c>
      <c r="I7809" t="str">
        <f>"SITI INASYATILA BINTI ROSLEE"</f>
        <v>SITI INASYATILA BINTI ROSLEE</v>
      </c>
      <c r="J7809" t="str">
        <f t="shared" si="3180"/>
        <v>BANK KERJASAMA RAKYAT</v>
      </c>
      <c r="K7809" t="str">
        <f>"220671164128"</f>
        <v>220671164128</v>
      </c>
      <c r="L7809" t="str">
        <f t="shared" si="3187"/>
        <v>04-08-2020</v>
      </c>
      <c r="M7809" t="str">
        <f t="shared" si="3187"/>
        <v>04-08-2020</v>
      </c>
      <c r="N7809" t="str">
        <f t="shared" si="3167"/>
        <v>001105018356</v>
      </c>
      <c r="O7809" t="str">
        <f t="shared" si="3168"/>
        <v>MYR</v>
      </c>
      <c r="P7809" t="str">
        <f t="shared" si="3188"/>
        <v>NIL</v>
      </c>
      <c r="Q7809" t="str">
        <f t="shared" si="3188"/>
        <v>NIL</v>
      </c>
      <c r="R7809" t="str">
        <f t="shared" si="3181"/>
        <v>Accepted</v>
      </c>
      <c r="S7809" t="str">
        <f t="shared" si="3169"/>
        <v>Approved</v>
      </c>
      <c r="T7809" t="str">
        <f t="shared" si="3182"/>
        <v>10.20.8.188</v>
      </c>
      <c r="U7809" t="str">
        <f t="shared" si="3170"/>
        <v>AZRAD UMAR BIN SHAARI</v>
      </c>
      <c r="V7809" t="str">
        <f t="shared" si="3171"/>
        <v>FARHANA BINTI MUSTAPA</v>
      </c>
      <c r="W7809" t="str">
        <f t="shared" si="3172"/>
        <v>04-08-2020</v>
      </c>
      <c r="X7809" t="str">
        <f t="shared" si="3173"/>
        <v>RAZIMAH ANSAR AHMAD</v>
      </c>
      <c r="Y7809" t="str">
        <f t="shared" si="3174"/>
        <v>04-08-2020</v>
      </c>
      <c r="Z7809" t="str">
        <f>"COS10200804 1345"</f>
        <v>COS10200804 1345</v>
      </c>
    </row>
    <row r="7810" spans="1:26" x14ac:dyDescent="0.25">
      <c r="A7810" t="str">
        <f t="shared" si="3183"/>
        <v>04-08-2020 12:32:37</v>
      </c>
      <c r="B7810" t="str">
        <f>"0000803092"</f>
        <v>0000803092</v>
      </c>
      <c r="C7810" t="str">
        <f t="shared" si="3184"/>
        <v>0000802948</v>
      </c>
      <c r="D7810" t="str">
        <f t="shared" si="3164"/>
        <v>73185</v>
      </c>
      <c r="E7810" t="str">
        <f t="shared" si="3165"/>
        <v>KFH-OPERATIONS DEPARTMENT</v>
      </c>
      <c r="F7810" t="str">
        <f t="shared" si="3166"/>
        <v>IBG</v>
      </c>
      <c r="G7810" t="str">
        <f t="shared" si="3177"/>
        <v>Refund COSHARE 10</v>
      </c>
      <c r="H7810" s="2">
        <v>42</v>
      </c>
      <c r="I7810" t="str">
        <f>"SITI HAZIAH BINTI BAHA"</f>
        <v>SITI HAZIAH BINTI BAHA</v>
      </c>
      <c r="J7810" t="str">
        <f t="shared" si="3180"/>
        <v>BANK KERJASAMA RAKYAT</v>
      </c>
      <c r="K7810" t="str">
        <f>"220901065310"</f>
        <v>220901065310</v>
      </c>
      <c r="L7810" t="str">
        <f t="shared" si="3187"/>
        <v>04-08-2020</v>
      </c>
      <c r="M7810" t="str">
        <f t="shared" si="3187"/>
        <v>04-08-2020</v>
      </c>
      <c r="N7810" t="str">
        <f t="shared" si="3167"/>
        <v>001105018356</v>
      </c>
      <c r="O7810" t="str">
        <f t="shared" si="3168"/>
        <v>MYR</v>
      </c>
      <c r="P7810" t="str">
        <f t="shared" si="3188"/>
        <v>NIL</v>
      </c>
      <c r="Q7810" t="str">
        <f t="shared" si="3188"/>
        <v>NIL</v>
      </c>
      <c r="R7810" t="str">
        <f t="shared" si="3181"/>
        <v>Accepted</v>
      </c>
      <c r="S7810" t="str">
        <f t="shared" si="3169"/>
        <v>Approved</v>
      </c>
      <c r="T7810" t="str">
        <f t="shared" si="3182"/>
        <v>10.20.8.188</v>
      </c>
      <c r="U7810" t="str">
        <f t="shared" si="3170"/>
        <v>AZRAD UMAR BIN SHAARI</v>
      </c>
      <c r="V7810" t="str">
        <f t="shared" si="3171"/>
        <v>FARHANA BINTI MUSTAPA</v>
      </c>
      <c r="W7810" t="str">
        <f t="shared" si="3172"/>
        <v>04-08-2020</v>
      </c>
      <c r="X7810" t="str">
        <f t="shared" si="3173"/>
        <v>RAZIMAH ANSAR AHMAD</v>
      </c>
      <c r="Y7810" t="str">
        <f t="shared" si="3174"/>
        <v>04-08-2020</v>
      </c>
      <c r="Z7810" t="str">
        <f>"COS10200804 1344"</f>
        <v>COS10200804 1344</v>
      </c>
    </row>
    <row r="7811" spans="1:26" x14ac:dyDescent="0.25">
      <c r="A7811" t="str">
        <f t="shared" si="3183"/>
        <v>04-08-2020 12:32:37</v>
      </c>
      <c r="B7811" t="str">
        <f>"0000803091"</f>
        <v>0000803091</v>
      </c>
      <c r="C7811" t="str">
        <f t="shared" si="3184"/>
        <v>0000802948</v>
      </c>
      <c r="D7811" t="str">
        <f t="shared" si="3164"/>
        <v>73185</v>
      </c>
      <c r="E7811" t="str">
        <f t="shared" si="3165"/>
        <v>KFH-OPERATIONS DEPARTMENT</v>
      </c>
      <c r="F7811" t="str">
        <f t="shared" si="3166"/>
        <v>IBG</v>
      </c>
      <c r="G7811" t="str">
        <f t="shared" si="3177"/>
        <v>Refund COSHARE 10</v>
      </c>
      <c r="H7811" s="2">
        <v>1915.5</v>
      </c>
      <c r="I7811" t="str">
        <f>"SILVESTER BIN PANTAU"</f>
        <v>SILVESTER BIN PANTAU</v>
      </c>
      <c r="J7811" t="str">
        <f t="shared" si="3180"/>
        <v>BANK KERJASAMA RAKYAT</v>
      </c>
      <c r="K7811" t="str">
        <f>"220711180065"</f>
        <v>220711180065</v>
      </c>
      <c r="L7811" t="str">
        <f t="shared" si="3187"/>
        <v>04-08-2020</v>
      </c>
      <c r="M7811" t="str">
        <f t="shared" si="3187"/>
        <v>04-08-2020</v>
      </c>
      <c r="N7811" t="str">
        <f t="shared" si="3167"/>
        <v>001105018356</v>
      </c>
      <c r="O7811" t="str">
        <f t="shared" si="3168"/>
        <v>MYR</v>
      </c>
      <c r="P7811" t="str">
        <f t="shared" si="3188"/>
        <v>NIL</v>
      </c>
      <c r="Q7811" t="str">
        <f t="shared" si="3188"/>
        <v>NIL</v>
      </c>
      <c r="R7811" t="str">
        <f t="shared" si="3181"/>
        <v>Accepted</v>
      </c>
      <c r="S7811" t="str">
        <f t="shared" si="3169"/>
        <v>Approved</v>
      </c>
      <c r="T7811" t="str">
        <f t="shared" si="3182"/>
        <v>10.20.8.188</v>
      </c>
      <c r="U7811" t="str">
        <f t="shared" si="3170"/>
        <v>AZRAD UMAR BIN SHAARI</v>
      </c>
      <c r="V7811" t="str">
        <f t="shared" si="3171"/>
        <v>FARHANA BINTI MUSTAPA</v>
      </c>
      <c r="W7811" t="str">
        <f t="shared" si="3172"/>
        <v>04-08-2020</v>
      </c>
      <c r="X7811" t="str">
        <f t="shared" si="3173"/>
        <v>RAZIMAH ANSAR AHMAD</v>
      </c>
      <c r="Y7811" t="str">
        <f t="shared" si="3174"/>
        <v>04-08-2020</v>
      </c>
      <c r="Z7811" t="str">
        <f>"COS10200804 1343"</f>
        <v>COS10200804 1343</v>
      </c>
    </row>
    <row r="7812" spans="1:26" x14ac:dyDescent="0.25">
      <c r="A7812" t="str">
        <f t="shared" si="3183"/>
        <v>04-08-2020 12:32:37</v>
      </c>
      <c r="B7812" t="str">
        <f>"0000803090"</f>
        <v>0000803090</v>
      </c>
      <c r="C7812" t="str">
        <f t="shared" si="3184"/>
        <v>0000802948</v>
      </c>
      <c r="D7812" t="str">
        <f t="shared" si="3164"/>
        <v>73185</v>
      </c>
      <c r="E7812" t="str">
        <f t="shared" si="3165"/>
        <v>KFH-OPERATIONS DEPARTMENT</v>
      </c>
      <c r="F7812" t="str">
        <f t="shared" si="3166"/>
        <v>IBG</v>
      </c>
      <c r="G7812" t="str">
        <f t="shared" si="3177"/>
        <v>Refund COSHARE 10</v>
      </c>
      <c r="H7812" s="2">
        <v>261</v>
      </c>
      <c r="I7812" t="str">
        <f>"SHYAREL MISON  SYLVIA"</f>
        <v>SHYAREL MISON  SYLVIA</v>
      </c>
      <c r="J7812" t="str">
        <f t="shared" si="3180"/>
        <v>BANK KERJASAMA RAKYAT</v>
      </c>
      <c r="K7812" t="str">
        <f>"220741110094"</f>
        <v>220741110094</v>
      </c>
      <c r="L7812" t="str">
        <f t="shared" si="3187"/>
        <v>04-08-2020</v>
      </c>
      <c r="M7812" t="str">
        <f t="shared" si="3187"/>
        <v>04-08-2020</v>
      </c>
      <c r="N7812" t="str">
        <f t="shared" si="3167"/>
        <v>001105018356</v>
      </c>
      <c r="O7812" t="str">
        <f t="shared" si="3168"/>
        <v>MYR</v>
      </c>
      <c r="P7812" t="str">
        <f t="shared" si="3188"/>
        <v>NIL</v>
      </c>
      <c r="Q7812" t="str">
        <f t="shared" si="3188"/>
        <v>NIL</v>
      </c>
      <c r="R7812" t="str">
        <f t="shared" si="3181"/>
        <v>Accepted</v>
      </c>
      <c r="S7812" t="str">
        <f t="shared" si="3169"/>
        <v>Approved</v>
      </c>
      <c r="T7812" t="str">
        <f t="shared" si="3182"/>
        <v>10.20.8.188</v>
      </c>
      <c r="U7812" t="str">
        <f t="shared" si="3170"/>
        <v>AZRAD UMAR BIN SHAARI</v>
      </c>
      <c r="V7812" t="str">
        <f t="shared" si="3171"/>
        <v>FARHANA BINTI MUSTAPA</v>
      </c>
      <c r="W7812" t="str">
        <f t="shared" si="3172"/>
        <v>04-08-2020</v>
      </c>
      <c r="X7812" t="str">
        <f t="shared" si="3173"/>
        <v>RAZIMAH ANSAR AHMAD</v>
      </c>
      <c r="Y7812" t="str">
        <f t="shared" si="3174"/>
        <v>04-08-2020</v>
      </c>
      <c r="Z7812" t="str">
        <f>"COS10200804 1342"</f>
        <v>COS10200804 1342</v>
      </c>
    </row>
    <row r="7813" spans="1:26" x14ac:dyDescent="0.25">
      <c r="A7813" t="str">
        <f t="shared" si="3183"/>
        <v>04-08-2020 12:32:37</v>
      </c>
      <c r="B7813" t="str">
        <f>"0000803089"</f>
        <v>0000803089</v>
      </c>
      <c r="C7813" t="str">
        <f t="shared" si="3184"/>
        <v>0000802948</v>
      </c>
      <c r="D7813" t="str">
        <f t="shared" si="3164"/>
        <v>73185</v>
      </c>
      <c r="E7813" t="str">
        <f t="shared" si="3165"/>
        <v>KFH-OPERATIONS DEPARTMENT</v>
      </c>
      <c r="F7813" t="str">
        <f t="shared" si="3166"/>
        <v>IBG</v>
      </c>
      <c r="G7813" t="str">
        <f t="shared" si="3177"/>
        <v>Refund COSHARE 10</v>
      </c>
      <c r="H7813" s="2">
        <v>109.4</v>
      </c>
      <c r="I7813" t="str">
        <f>"SHOIMI BIN ISMAIL"</f>
        <v>SHOIMI BIN ISMAIL</v>
      </c>
      <c r="J7813" t="str">
        <f t="shared" si="3180"/>
        <v>BANK KERJASAMA RAKYAT</v>
      </c>
      <c r="K7813" t="str">
        <f>"220411416428"</f>
        <v>220411416428</v>
      </c>
      <c r="L7813" t="str">
        <f t="shared" si="3187"/>
        <v>04-08-2020</v>
      </c>
      <c r="M7813" t="str">
        <f t="shared" si="3187"/>
        <v>04-08-2020</v>
      </c>
      <c r="N7813" t="str">
        <f t="shared" si="3167"/>
        <v>001105018356</v>
      </c>
      <c r="O7813" t="str">
        <f t="shared" si="3168"/>
        <v>MYR</v>
      </c>
      <c r="P7813" t="str">
        <f t="shared" si="3188"/>
        <v>NIL</v>
      </c>
      <c r="Q7813" t="str">
        <f t="shared" si="3188"/>
        <v>NIL</v>
      </c>
      <c r="R7813" t="str">
        <f t="shared" si="3181"/>
        <v>Accepted</v>
      </c>
      <c r="S7813" t="str">
        <f t="shared" si="3169"/>
        <v>Approved</v>
      </c>
      <c r="T7813" t="str">
        <f t="shared" si="3182"/>
        <v>10.20.8.188</v>
      </c>
      <c r="U7813" t="str">
        <f t="shared" si="3170"/>
        <v>AZRAD UMAR BIN SHAARI</v>
      </c>
      <c r="V7813" t="str">
        <f t="shared" si="3171"/>
        <v>FARHANA BINTI MUSTAPA</v>
      </c>
      <c r="W7813" t="str">
        <f t="shared" si="3172"/>
        <v>04-08-2020</v>
      </c>
      <c r="X7813" t="str">
        <f t="shared" si="3173"/>
        <v>RAZIMAH ANSAR AHMAD</v>
      </c>
      <c r="Y7813" t="str">
        <f t="shared" si="3174"/>
        <v>04-08-2020</v>
      </c>
      <c r="Z7813" t="str">
        <f>"COS10200804 1341"</f>
        <v>COS10200804 1341</v>
      </c>
    </row>
    <row r="7814" spans="1:26" x14ac:dyDescent="0.25">
      <c r="A7814" t="str">
        <f t="shared" si="3183"/>
        <v>04-08-2020 12:32:37</v>
      </c>
      <c r="B7814" t="str">
        <f>"0000803088"</f>
        <v>0000803088</v>
      </c>
      <c r="C7814" t="str">
        <f t="shared" si="3184"/>
        <v>0000802948</v>
      </c>
      <c r="D7814" t="str">
        <f t="shared" si="3164"/>
        <v>73185</v>
      </c>
      <c r="E7814" t="str">
        <f t="shared" si="3165"/>
        <v>KFH-OPERATIONS DEPARTMENT</v>
      </c>
      <c r="F7814" t="str">
        <f t="shared" si="3166"/>
        <v>IBG</v>
      </c>
      <c r="G7814" t="str">
        <f t="shared" si="3177"/>
        <v>Refund COSHARE 10</v>
      </c>
      <c r="H7814" s="2">
        <v>109.4</v>
      </c>
      <c r="I7814" t="str">
        <f>"SHOIMI BIN ISMAIL"</f>
        <v>SHOIMI BIN ISMAIL</v>
      </c>
      <c r="J7814" t="str">
        <f t="shared" si="3180"/>
        <v>BANK KERJASAMA RAKYAT</v>
      </c>
      <c r="K7814" t="str">
        <f>"220411416428"</f>
        <v>220411416428</v>
      </c>
      <c r="L7814" t="str">
        <f t="shared" si="3187"/>
        <v>04-08-2020</v>
      </c>
      <c r="M7814" t="str">
        <f t="shared" si="3187"/>
        <v>04-08-2020</v>
      </c>
      <c r="N7814" t="str">
        <f t="shared" si="3167"/>
        <v>001105018356</v>
      </c>
      <c r="O7814" t="str">
        <f t="shared" si="3168"/>
        <v>MYR</v>
      </c>
      <c r="P7814" t="str">
        <f t="shared" si="3188"/>
        <v>NIL</v>
      </c>
      <c r="Q7814" t="str">
        <f t="shared" si="3188"/>
        <v>NIL</v>
      </c>
      <c r="R7814" t="str">
        <f t="shared" si="3181"/>
        <v>Accepted</v>
      </c>
      <c r="S7814" t="str">
        <f t="shared" si="3169"/>
        <v>Approved</v>
      </c>
      <c r="T7814" t="str">
        <f t="shared" si="3182"/>
        <v>10.20.8.188</v>
      </c>
      <c r="U7814" t="str">
        <f t="shared" si="3170"/>
        <v>AZRAD UMAR BIN SHAARI</v>
      </c>
      <c r="V7814" t="str">
        <f t="shared" si="3171"/>
        <v>FARHANA BINTI MUSTAPA</v>
      </c>
      <c r="W7814" t="str">
        <f t="shared" si="3172"/>
        <v>04-08-2020</v>
      </c>
      <c r="X7814" t="str">
        <f t="shared" si="3173"/>
        <v>RAZIMAH ANSAR AHMAD</v>
      </c>
      <c r="Y7814" t="str">
        <f t="shared" si="3174"/>
        <v>04-08-2020</v>
      </c>
      <c r="Z7814" t="str">
        <f>"COS10200804 1340"</f>
        <v>COS10200804 1340</v>
      </c>
    </row>
    <row r="7815" spans="1:26" x14ac:dyDescent="0.25">
      <c r="A7815" t="str">
        <f t="shared" si="3183"/>
        <v>04-08-2020 12:32:37</v>
      </c>
      <c r="B7815" t="str">
        <f>"0000803087"</f>
        <v>0000803087</v>
      </c>
      <c r="C7815" t="str">
        <f t="shared" si="3184"/>
        <v>0000802948</v>
      </c>
      <c r="D7815" t="str">
        <f t="shared" ref="D7815:D7878" si="3189">"73185"</f>
        <v>73185</v>
      </c>
      <c r="E7815" t="str">
        <f t="shared" ref="E7815:E7878" si="3190">"KFH-OPERATIONS DEPARTMENT"</f>
        <v>KFH-OPERATIONS DEPARTMENT</v>
      </c>
      <c r="F7815" t="str">
        <f t="shared" ref="F7815:F7878" si="3191">"IBG"</f>
        <v>IBG</v>
      </c>
      <c r="G7815" t="str">
        <f t="shared" si="3177"/>
        <v>Refund COSHARE 10</v>
      </c>
      <c r="H7815" s="2">
        <v>114</v>
      </c>
      <c r="I7815" t="str">
        <f>"SHARRUDIN BIN KASSIM"</f>
        <v>SHARRUDIN BIN KASSIM</v>
      </c>
      <c r="J7815" t="str">
        <f t="shared" si="3180"/>
        <v>BANK KERJASAMA RAKYAT</v>
      </c>
      <c r="K7815" t="str">
        <f>"220431061025"</f>
        <v>220431061025</v>
      </c>
      <c r="L7815" t="str">
        <f t="shared" si="3187"/>
        <v>04-08-2020</v>
      </c>
      <c r="M7815" t="str">
        <f t="shared" si="3187"/>
        <v>04-08-2020</v>
      </c>
      <c r="N7815" t="str">
        <f t="shared" ref="N7815:N7878" si="3192">"001105018356"</f>
        <v>001105018356</v>
      </c>
      <c r="O7815" t="str">
        <f t="shared" ref="O7815:O7878" si="3193">"MYR"</f>
        <v>MYR</v>
      </c>
      <c r="P7815" t="str">
        <f t="shared" si="3188"/>
        <v>NIL</v>
      </c>
      <c r="Q7815" t="str">
        <f t="shared" si="3188"/>
        <v>NIL</v>
      </c>
      <c r="R7815" t="str">
        <f t="shared" si="3181"/>
        <v>Accepted</v>
      </c>
      <c r="S7815" t="str">
        <f t="shared" ref="S7815:S7878" si="3194">"Approved"</f>
        <v>Approved</v>
      </c>
      <c r="T7815" t="str">
        <f t="shared" si="3182"/>
        <v>10.20.8.188</v>
      </c>
      <c r="U7815" t="str">
        <f t="shared" ref="U7815:U7878" si="3195">"AZRAD UMAR BIN SHAARI"</f>
        <v>AZRAD UMAR BIN SHAARI</v>
      </c>
      <c r="V7815" t="str">
        <f t="shared" ref="V7815:V7878" si="3196">"FARHANA BINTI MUSTAPA"</f>
        <v>FARHANA BINTI MUSTAPA</v>
      </c>
      <c r="W7815" t="str">
        <f t="shared" ref="W7815:W7878" si="3197">"04-08-2020"</f>
        <v>04-08-2020</v>
      </c>
      <c r="X7815" t="str">
        <f t="shared" ref="X7815:X7878" si="3198">"RAZIMAH ANSAR AHMAD"</f>
        <v>RAZIMAH ANSAR AHMAD</v>
      </c>
      <c r="Y7815" t="str">
        <f t="shared" ref="Y7815:Y7878" si="3199">"04-08-2020"</f>
        <v>04-08-2020</v>
      </c>
      <c r="Z7815" t="str">
        <f>"COS10200804 1339"</f>
        <v>COS10200804 1339</v>
      </c>
    </row>
    <row r="7816" spans="1:26" x14ac:dyDescent="0.25">
      <c r="A7816" t="str">
        <f t="shared" si="3183"/>
        <v>04-08-2020 12:32:37</v>
      </c>
      <c r="B7816" t="str">
        <f>"0000803086"</f>
        <v>0000803086</v>
      </c>
      <c r="C7816" t="str">
        <f t="shared" si="3184"/>
        <v>0000802948</v>
      </c>
      <c r="D7816" t="str">
        <f t="shared" si="3189"/>
        <v>73185</v>
      </c>
      <c r="E7816" t="str">
        <f t="shared" si="3190"/>
        <v>KFH-OPERATIONS DEPARTMENT</v>
      </c>
      <c r="F7816" t="str">
        <f t="shared" si="3191"/>
        <v>IBG</v>
      </c>
      <c r="G7816" t="str">
        <f t="shared" si="3177"/>
        <v>Refund COSHARE 10</v>
      </c>
      <c r="H7816" s="2">
        <v>654.85</v>
      </c>
      <c r="I7816" t="str">
        <f>"SHARRUDIN BIN KASSIM"</f>
        <v>SHARRUDIN BIN KASSIM</v>
      </c>
      <c r="J7816" t="str">
        <f t="shared" si="3180"/>
        <v>BANK KERJASAMA RAKYAT</v>
      </c>
      <c r="K7816" t="str">
        <f>"220431061025"</f>
        <v>220431061025</v>
      </c>
      <c r="L7816" t="str">
        <f t="shared" si="3187"/>
        <v>04-08-2020</v>
      </c>
      <c r="M7816" t="str">
        <f t="shared" si="3187"/>
        <v>04-08-2020</v>
      </c>
      <c r="N7816" t="str">
        <f t="shared" si="3192"/>
        <v>001105018356</v>
      </c>
      <c r="O7816" t="str">
        <f t="shared" si="3193"/>
        <v>MYR</v>
      </c>
      <c r="P7816" t="str">
        <f t="shared" si="3188"/>
        <v>NIL</v>
      </c>
      <c r="Q7816" t="str">
        <f t="shared" si="3188"/>
        <v>NIL</v>
      </c>
      <c r="R7816" t="str">
        <f t="shared" si="3181"/>
        <v>Accepted</v>
      </c>
      <c r="S7816" t="str">
        <f t="shared" si="3194"/>
        <v>Approved</v>
      </c>
      <c r="T7816" t="str">
        <f t="shared" si="3182"/>
        <v>10.20.8.188</v>
      </c>
      <c r="U7816" t="str">
        <f t="shared" si="3195"/>
        <v>AZRAD UMAR BIN SHAARI</v>
      </c>
      <c r="V7816" t="str">
        <f t="shared" si="3196"/>
        <v>FARHANA BINTI MUSTAPA</v>
      </c>
      <c r="W7816" t="str">
        <f t="shared" si="3197"/>
        <v>04-08-2020</v>
      </c>
      <c r="X7816" t="str">
        <f t="shared" si="3198"/>
        <v>RAZIMAH ANSAR AHMAD</v>
      </c>
      <c r="Y7816" t="str">
        <f t="shared" si="3199"/>
        <v>04-08-2020</v>
      </c>
      <c r="Z7816" t="str">
        <f>"COS10200804 1338"</f>
        <v>COS10200804 1338</v>
      </c>
    </row>
    <row r="7817" spans="1:26" x14ac:dyDescent="0.25">
      <c r="A7817" t="str">
        <f t="shared" si="3183"/>
        <v>04-08-2020 12:32:37</v>
      </c>
      <c r="B7817" t="str">
        <f>"0000803085"</f>
        <v>0000803085</v>
      </c>
      <c r="C7817" t="str">
        <f t="shared" si="3184"/>
        <v>0000802948</v>
      </c>
      <c r="D7817" t="str">
        <f t="shared" si="3189"/>
        <v>73185</v>
      </c>
      <c r="E7817" t="str">
        <f t="shared" si="3190"/>
        <v>KFH-OPERATIONS DEPARTMENT</v>
      </c>
      <c r="F7817" t="str">
        <f t="shared" si="3191"/>
        <v>IBG</v>
      </c>
      <c r="G7817" t="str">
        <f t="shared" si="3177"/>
        <v>Refund COSHARE 10</v>
      </c>
      <c r="H7817" s="2">
        <v>992.15</v>
      </c>
      <c r="I7817" t="str">
        <f>"SHARIFAH RADZIAH BT SYED HABIB SHAH"</f>
        <v>SHARIFAH RADZIAH BT SYED HABIB SHAH</v>
      </c>
      <c r="J7817" t="str">
        <f t="shared" si="3180"/>
        <v>BANK KERJASAMA RAKYAT</v>
      </c>
      <c r="K7817" t="str">
        <f>"220361123874"</f>
        <v>220361123874</v>
      </c>
      <c r="L7817" t="str">
        <f t="shared" si="3187"/>
        <v>04-08-2020</v>
      </c>
      <c r="M7817" t="str">
        <f t="shared" si="3187"/>
        <v>04-08-2020</v>
      </c>
      <c r="N7817" t="str">
        <f t="shared" si="3192"/>
        <v>001105018356</v>
      </c>
      <c r="O7817" t="str">
        <f t="shared" si="3193"/>
        <v>MYR</v>
      </c>
      <c r="P7817" t="str">
        <f t="shared" si="3188"/>
        <v>NIL</v>
      </c>
      <c r="Q7817" t="str">
        <f t="shared" si="3188"/>
        <v>NIL</v>
      </c>
      <c r="R7817" t="str">
        <f t="shared" si="3181"/>
        <v>Accepted</v>
      </c>
      <c r="S7817" t="str">
        <f t="shared" si="3194"/>
        <v>Approved</v>
      </c>
      <c r="T7817" t="str">
        <f t="shared" si="3182"/>
        <v>10.20.8.188</v>
      </c>
      <c r="U7817" t="str">
        <f t="shared" si="3195"/>
        <v>AZRAD UMAR BIN SHAARI</v>
      </c>
      <c r="V7817" t="str">
        <f t="shared" si="3196"/>
        <v>FARHANA BINTI MUSTAPA</v>
      </c>
      <c r="W7817" t="str">
        <f t="shared" si="3197"/>
        <v>04-08-2020</v>
      </c>
      <c r="X7817" t="str">
        <f t="shared" si="3198"/>
        <v>RAZIMAH ANSAR AHMAD</v>
      </c>
      <c r="Y7817" t="str">
        <f t="shared" si="3199"/>
        <v>04-08-2020</v>
      </c>
      <c r="Z7817" t="str">
        <f>"COS10200804 1337"</f>
        <v>COS10200804 1337</v>
      </c>
    </row>
    <row r="7818" spans="1:26" x14ac:dyDescent="0.25">
      <c r="A7818" t="str">
        <f t="shared" ref="A7818:A7849" si="3200">"04-08-2020 12:32:37"</f>
        <v>04-08-2020 12:32:37</v>
      </c>
      <c r="B7818" t="str">
        <f>"0000803084"</f>
        <v>0000803084</v>
      </c>
      <c r="C7818" t="str">
        <f t="shared" ref="C7818:C7849" si="3201">"0000802948"</f>
        <v>0000802948</v>
      </c>
      <c r="D7818" t="str">
        <f t="shared" si="3189"/>
        <v>73185</v>
      </c>
      <c r="E7818" t="str">
        <f t="shared" si="3190"/>
        <v>KFH-OPERATIONS DEPARTMENT</v>
      </c>
      <c r="F7818" t="str">
        <f t="shared" si="3191"/>
        <v>IBG</v>
      </c>
      <c r="G7818" t="str">
        <f t="shared" si="3177"/>
        <v>Refund COSHARE 10</v>
      </c>
      <c r="H7818" s="2">
        <v>139</v>
      </c>
      <c r="I7818" t="str">
        <f>"SHARIFAH NORHA BINTI SYED ABDULLAH"</f>
        <v>SHARIFAH NORHA BINTI SYED ABDULLAH</v>
      </c>
      <c r="J7818" t="str">
        <f t="shared" si="3180"/>
        <v>BANK KERJASAMA RAKYAT</v>
      </c>
      <c r="K7818" t="str">
        <f>"220601068288"</f>
        <v>220601068288</v>
      </c>
      <c r="L7818" t="str">
        <f t="shared" si="3187"/>
        <v>04-08-2020</v>
      </c>
      <c r="M7818" t="str">
        <f t="shared" si="3187"/>
        <v>04-08-2020</v>
      </c>
      <c r="N7818" t="str">
        <f t="shared" si="3192"/>
        <v>001105018356</v>
      </c>
      <c r="O7818" t="str">
        <f t="shared" si="3193"/>
        <v>MYR</v>
      </c>
      <c r="P7818" t="str">
        <f t="shared" si="3188"/>
        <v>NIL</v>
      </c>
      <c r="Q7818" t="str">
        <f t="shared" si="3188"/>
        <v>NIL</v>
      </c>
      <c r="R7818" t="str">
        <f t="shared" si="3181"/>
        <v>Accepted</v>
      </c>
      <c r="S7818" t="str">
        <f t="shared" si="3194"/>
        <v>Approved</v>
      </c>
      <c r="T7818" t="str">
        <f t="shared" si="3182"/>
        <v>10.20.8.188</v>
      </c>
      <c r="U7818" t="str">
        <f t="shared" si="3195"/>
        <v>AZRAD UMAR BIN SHAARI</v>
      </c>
      <c r="V7818" t="str">
        <f t="shared" si="3196"/>
        <v>FARHANA BINTI MUSTAPA</v>
      </c>
      <c r="W7818" t="str">
        <f t="shared" si="3197"/>
        <v>04-08-2020</v>
      </c>
      <c r="X7818" t="str">
        <f t="shared" si="3198"/>
        <v>RAZIMAH ANSAR AHMAD</v>
      </c>
      <c r="Y7818" t="str">
        <f t="shared" si="3199"/>
        <v>04-08-2020</v>
      </c>
      <c r="Z7818" t="str">
        <f>"COS10200804 1336"</f>
        <v>COS10200804 1336</v>
      </c>
    </row>
    <row r="7819" spans="1:26" x14ac:dyDescent="0.25">
      <c r="A7819" t="str">
        <f t="shared" si="3200"/>
        <v>04-08-2020 12:32:37</v>
      </c>
      <c r="B7819" t="str">
        <f>"0000803083"</f>
        <v>0000803083</v>
      </c>
      <c r="C7819" t="str">
        <f t="shared" si="3201"/>
        <v>0000802948</v>
      </c>
      <c r="D7819" t="str">
        <f t="shared" si="3189"/>
        <v>73185</v>
      </c>
      <c r="E7819" t="str">
        <f t="shared" si="3190"/>
        <v>KFH-OPERATIONS DEPARTMENT</v>
      </c>
      <c r="F7819" t="str">
        <f t="shared" si="3191"/>
        <v>IBG</v>
      </c>
      <c r="G7819" t="str">
        <f t="shared" si="3177"/>
        <v>Refund COSHARE 10</v>
      </c>
      <c r="H7819" s="2">
        <v>599.25</v>
      </c>
      <c r="I7819" t="str">
        <f>"SHARIFAH LATIFAH BINTI WAN ABU SERAH"</f>
        <v>SHARIFAH LATIFAH BINTI WAN ABU SERAH</v>
      </c>
      <c r="J7819" t="str">
        <f t="shared" si="3180"/>
        <v>BANK KERJASAMA RAKYAT</v>
      </c>
      <c r="K7819" t="str">
        <f>"220541036571"</f>
        <v>220541036571</v>
      </c>
      <c r="L7819" t="str">
        <f t="shared" si="3187"/>
        <v>04-08-2020</v>
      </c>
      <c r="M7819" t="str">
        <f t="shared" si="3187"/>
        <v>04-08-2020</v>
      </c>
      <c r="N7819" t="str">
        <f t="shared" si="3192"/>
        <v>001105018356</v>
      </c>
      <c r="O7819" t="str">
        <f t="shared" si="3193"/>
        <v>MYR</v>
      </c>
      <c r="P7819" t="str">
        <f t="shared" si="3188"/>
        <v>NIL</v>
      </c>
      <c r="Q7819" t="str">
        <f t="shared" si="3188"/>
        <v>NIL</v>
      </c>
      <c r="R7819" t="str">
        <f t="shared" si="3181"/>
        <v>Accepted</v>
      </c>
      <c r="S7819" t="str">
        <f t="shared" si="3194"/>
        <v>Approved</v>
      </c>
      <c r="T7819" t="str">
        <f t="shared" si="3182"/>
        <v>10.20.8.188</v>
      </c>
      <c r="U7819" t="str">
        <f t="shared" si="3195"/>
        <v>AZRAD UMAR BIN SHAARI</v>
      </c>
      <c r="V7819" t="str">
        <f t="shared" si="3196"/>
        <v>FARHANA BINTI MUSTAPA</v>
      </c>
      <c r="W7819" t="str">
        <f t="shared" si="3197"/>
        <v>04-08-2020</v>
      </c>
      <c r="X7819" t="str">
        <f t="shared" si="3198"/>
        <v>RAZIMAH ANSAR AHMAD</v>
      </c>
      <c r="Y7819" t="str">
        <f t="shared" si="3199"/>
        <v>04-08-2020</v>
      </c>
      <c r="Z7819" t="str">
        <f>"COS10200804 1335"</f>
        <v>COS10200804 1335</v>
      </c>
    </row>
    <row r="7820" spans="1:26" x14ac:dyDescent="0.25">
      <c r="A7820" t="str">
        <f t="shared" si="3200"/>
        <v>04-08-2020 12:32:37</v>
      </c>
      <c r="B7820" t="str">
        <f>"0000803082"</f>
        <v>0000803082</v>
      </c>
      <c r="C7820" t="str">
        <f t="shared" si="3201"/>
        <v>0000802948</v>
      </c>
      <c r="D7820" t="str">
        <f t="shared" si="3189"/>
        <v>73185</v>
      </c>
      <c r="E7820" t="str">
        <f t="shared" si="3190"/>
        <v>KFH-OPERATIONS DEPARTMENT</v>
      </c>
      <c r="F7820" t="str">
        <f t="shared" si="3191"/>
        <v>IBG</v>
      </c>
      <c r="G7820" t="str">
        <f t="shared" ref="G7820:G7883" si="3202">"Refund COSHARE 10"</f>
        <v>Refund COSHARE 10</v>
      </c>
      <c r="H7820" s="2">
        <v>163</v>
      </c>
      <c r="I7820" t="str">
        <f>"SHARIFAH LATIFAH BINTI WAN ABU SERAH"</f>
        <v>SHARIFAH LATIFAH BINTI WAN ABU SERAH</v>
      </c>
      <c r="J7820" t="str">
        <f t="shared" si="3180"/>
        <v>BANK KERJASAMA RAKYAT</v>
      </c>
      <c r="K7820" t="str">
        <f>"220541036571"</f>
        <v>220541036571</v>
      </c>
      <c r="L7820" t="str">
        <f t="shared" si="3187"/>
        <v>04-08-2020</v>
      </c>
      <c r="M7820" t="str">
        <f t="shared" si="3187"/>
        <v>04-08-2020</v>
      </c>
      <c r="N7820" t="str">
        <f t="shared" si="3192"/>
        <v>001105018356</v>
      </c>
      <c r="O7820" t="str">
        <f t="shared" si="3193"/>
        <v>MYR</v>
      </c>
      <c r="P7820" t="str">
        <f t="shared" si="3188"/>
        <v>NIL</v>
      </c>
      <c r="Q7820" t="str">
        <f t="shared" si="3188"/>
        <v>NIL</v>
      </c>
      <c r="R7820" t="str">
        <f t="shared" si="3181"/>
        <v>Accepted</v>
      </c>
      <c r="S7820" t="str">
        <f t="shared" si="3194"/>
        <v>Approved</v>
      </c>
      <c r="T7820" t="str">
        <f t="shared" si="3182"/>
        <v>10.20.8.188</v>
      </c>
      <c r="U7820" t="str">
        <f t="shared" si="3195"/>
        <v>AZRAD UMAR BIN SHAARI</v>
      </c>
      <c r="V7820" t="str">
        <f t="shared" si="3196"/>
        <v>FARHANA BINTI MUSTAPA</v>
      </c>
      <c r="W7820" t="str">
        <f t="shared" si="3197"/>
        <v>04-08-2020</v>
      </c>
      <c r="X7820" t="str">
        <f t="shared" si="3198"/>
        <v>RAZIMAH ANSAR AHMAD</v>
      </c>
      <c r="Y7820" t="str">
        <f t="shared" si="3199"/>
        <v>04-08-2020</v>
      </c>
      <c r="Z7820" t="str">
        <f>"COS10200804 1334"</f>
        <v>COS10200804 1334</v>
      </c>
    </row>
    <row r="7821" spans="1:26" x14ac:dyDescent="0.25">
      <c r="A7821" t="str">
        <f t="shared" si="3200"/>
        <v>04-08-2020 12:32:37</v>
      </c>
      <c r="B7821" t="str">
        <f>"0000803081"</f>
        <v>0000803081</v>
      </c>
      <c r="C7821" t="str">
        <f t="shared" si="3201"/>
        <v>0000802948</v>
      </c>
      <c r="D7821" t="str">
        <f t="shared" si="3189"/>
        <v>73185</v>
      </c>
      <c r="E7821" t="str">
        <f t="shared" si="3190"/>
        <v>KFH-OPERATIONS DEPARTMENT</v>
      </c>
      <c r="F7821" t="str">
        <f t="shared" si="3191"/>
        <v>IBG</v>
      </c>
      <c r="G7821" t="str">
        <f t="shared" si="3202"/>
        <v>Refund COSHARE 10</v>
      </c>
      <c r="H7821" s="2">
        <v>71</v>
      </c>
      <c r="I7821" t="str">
        <f>"SHAPIEE BIN SAPARI"</f>
        <v>SHAPIEE BIN SAPARI</v>
      </c>
      <c r="J7821" t="str">
        <f t="shared" si="3180"/>
        <v>BANK KERJASAMA RAKYAT</v>
      </c>
      <c r="K7821" t="str">
        <f>"220541076485"</f>
        <v>220541076485</v>
      </c>
      <c r="L7821" t="str">
        <f t="shared" si="3187"/>
        <v>04-08-2020</v>
      </c>
      <c r="M7821" t="str">
        <f t="shared" si="3187"/>
        <v>04-08-2020</v>
      </c>
      <c r="N7821" t="str">
        <f t="shared" si="3192"/>
        <v>001105018356</v>
      </c>
      <c r="O7821" t="str">
        <f t="shared" si="3193"/>
        <v>MYR</v>
      </c>
      <c r="P7821" t="str">
        <f t="shared" si="3188"/>
        <v>NIL</v>
      </c>
      <c r="Q7821" t="str">
        <f t="shared" si="3188"/>
        <v>NIL</v>
      </c>
      <c r="R7821" t="str">
        <f t="shared" si="3181"/>
        <v>Accepted</v>
      </c>
      <c r="S7821" t="str">
        <f t="shared" si="3194"/>
        <v>Approved</v>
      </c>
      <c r="T7821" t="str">
        <f t="shared" si="3182"/>
        <v>10.20.8.188</v>
      </c>
      <c r="U7821" t="str">
        <f t="shared" si="3195"/>
        <v>AZRAD UMAR BIN SHAARI</v>
      </c>
      <c r="V7821" t="str">
        <f t="shared" si="3196"/>
        <v>FARHANA BINTI MUSTAPA</v>
      </c>
      <c r="W7821" t="str">
        <f t="shared" si="3197"/>
        <v>04-08-2020</v>
      </c>
      <c r="X7821" t="str">
        <f t="shared" si="3198"/>
        <v>RAZIMAH ANSAR AHMAD</v>
      </c>
      <c r="Y7821" t="str">
        <f t="shared" si="3199"/>
        <v>04-08-2020</v>
      </c>
      <c r="Z7821" t="str">
        <f>"COS10200804 1333"</f>
        <v>COS10200804 1333</v>
      </c>
    </row>
    <row r="7822" spans="1:26" x14ac:dyDescent="0.25">
      <c r="A7822" t="str">
        <f t="shared" si="3200"/>
        <v>04-08-2020 12:32:37</v>
      </c>
      <c r="B7822" t="str">
        <f>"0000803080"</f>
        <v>0000803080</v>
      </c>
      <c r="C7822" t="str">
        <f t="shared" si="3201"/>
        <v>0000802948</v>
      </c>
      <c r="D7822" t="str">
        <f t="shared" si="3189"/>
        <v>73185</v>
      </c>
      <c r="E7822" t="str">
        <f t="shared" si="3190"/>
        <v>KFH-OPERATIONS DEPARTMENT</v>
      </c>
      <c r="F7822" t="str">
        <f t="shared" si="3191"/>
        <v>IBG</v>
      </c>
      <c r="G7822" t="str">
        <f t="shared" si="3202"/>
        <v>Refund COSHARE 10</v>
      </c>
      <c r="H7822" s="2">
        <v>91</v>
      </c>
      <c r="I7822" t="str">
        <f>"SHAPIEE BIN SAPARI"</f>
        <v>SHAPIEE BIN SAPARI</v>
      </c>
      <c r="J7822" t="str">
        <f t="shared" si="3180"/>
        <v>BANK KERJASAMA RAKYAT</v>
      </c>
      <c r="K7822" t="str">
        <f>"220541076485"</f>
        <v>220541076485</v>
      </c>
      <c r="L7822" t="str">
        <f t="shared" si="3187"/>
        <v>04-08-2020</v>
      </c>
      <c r="M7822" t="str">
        <f t="shared" si="3187"/>
        <v>04-08-2020</v>
      </c>
      <c r="N7822" t="str">
        <f t="shared" si="3192"/>
        <v>001105018356</v>
      </c>
      <c r="O7822" t="str">
        <f t="shared" si="3193"/>
        <v>MYR</v>
      </c>
      <c r="P7822" t="str">
        <f t="shared" si="3188"/>
        <v>NIL</v>
      </c>
      <c r="Q7822" t="str">
        <f t="shared" si="3188"/>
        <v>NIL</v>
      </c>
      <c r="R7822" t="str">
        <f t="shared" si="3181"/>
        <v>Accepted</v>
      </c>
      <c r="S7822" t="str">
        <f t="shared" si="3194"/>
        <v>Approved</v>
      </c>
      <c r="T7822" t="str">
        <f t="shared" si="3182"/>
        <v>10.20.8.188</v>
      </c>
      <c r="U7822" t="str">
        <f t="shared" si="3195"/>
        <v>AZRAD UMAR BIN SHAARI</v>
      </c>
      <c r="V7822" t="str">
        <f t="shared" si="3196"/>
        <v>FARHANA BINTI MUSTAPA</v>
      </c>
      <c r="W7822" t="str">
        <f t="shared" si="3197"/>
        <v>04-08-2020</v>
      </c>
      <c r="X7822" t="str">
        <f t="shared" si="3198"/>
        <v>RAZIMAH ANSAR AHMAD</v>
      </c>
      <c r="Y7822" t="str">
        <f t="shared" si="3199"/>
        <v>04-08-2020</v>
      </c>
      <c r="Z7822" t="str">
        <f>"COS10200804 1332"</f>
        <v>COS10200804 1332</v>
      </c>
    </row>
    <row r="7823" spans="1:26" x14ac:dyDescent="0.25">
      <c r="A7823" t="str">
        <f t="shared" si="3200"/>
        <v>04-08-2020 12:32:37</v>
      </c>
      <c r="B7823" t="str">
        <f>"0000803079"</f>
        <v>0000803079</v>
      </c>
      <c r="C7823" t="str">
        <f t="shared" si="3201"/>
        <v>0000802948</v>
      </c>
      <c r="D7823" t="str">
        <f t="shared" si="3189"/>
        <v>73185</v>
      </c>
      <c r="E7823" t="str">
        <f t="shared" si="3190"/>
        <v>KFH-OPERATIONS DEPARTMENT</v>
      </c>
      <c r="F7823" t="str">
        <f t="shared" si="3191"/>
        <v>IBG</v>
      </c>
      <c r="G7823" t="str">
        <f t="shared" si="3202"/>
        <v>Refund COSHARE 10</v>
      </c>
      <c r="H7823" s="2">
        <v>1158.5</v>
      </c>
      <c r="I7823" t="str">
        <f>"SHAMSUL MA RUF BIN MISWAN"</f>
        <v>SHAMSUL MA RUF BIN MISWAN</v>
      </c>
      <c r="J7823" t="str">
        <f t="shared" si="3180"/>
        <v>BANK KERJASAMA RAKYAT</v>
      </c>
      <c r="K7823" t="str">
        <f>"220701210455"</f>
        <v>220701210455</v>
      </c>
      <c r="L7823" t="str">
        <f t="shared" si="3187"/>
        <v>04-08-2020</v>
      </c>
      <c r="M7823" t="str">
        <f t="shared" si="3187"/>
        <v>04-08-2020</v>
      </c>
      <c r="N7823" t="str">
        <f t="shared" si="3192"/>
        <v>001105018356</v>
      </c>
      <c r="O7823" t="str">
        <f t="shared" si="3193"/>
        <v>MYR</v>
      </c>
      <c r="P7823" t="str">
        <f t="shared" si="3188"/>
        <v>NIL</v>
      </c>
      <c r="Q7823" t="str">
        <f t="shared" si="3188"/>
        <v>NIL</v>
      </c>
      <c r="R7823" t="str">
        <f t="shared" si="3181"/>
        <v>Accepted</v>
      </c>
      <c r="S7823" t="str">
        <f t="shared" si="3194"/>
        <v>Approved</v>
      </c>
      <c r="T7823" t="str">
        <f t="shared" si="3182"/>
        <v>10.20.8.188</v>
      </c>
      <c r="U7823" t="str">
        <f t="shared" si="3195"/>
        <v>AZRAD UMAR BIN SHAARI</v>
      </c>
      <c r="V7823" t="str">
        <f t="shared" si="3196"/>
        <v>FARHANA BINTI MUSTAPA</v>
      </c>
      <c r="W7823" t="str">
        <f t="shared" si="3197"/>
        <v>04-08-2020</v>
      </c>
      <c r="X7823" t="str">
        <f t="shared" si="3198"/>
        <v>RAZIMAH ANSAR AHMAD</v>
      </c>
      <c r="Y7823" t="str">
        <f t="shared" si="3199"/>
        <v>04-08-2020</v>
      </c>
      <c r="Z7823" t="str">
        <f>"COS10200804 1331"</f>
        <v>COS10200804 1331</v>
      </c>
    </row>
    <row r="7824" spans="1:26" x14ac:dyDescent="0.25">
      <c r="A7824" t="str">
        <f t="shared" si="3200"/>
        <v>04-08-2020 12:32:37</v>
      </c>
      <c r="B7824" t="str">
        <f>"0000803078"</f>
        <v>0000803078</v>
      </c>
      <c r="C7824" t="str">
        <f t="shared" si="3201"/>
        <v>0000802948</v>
      </c>
      <c r="D7824" t="str">
        <f t="shared" si="3189"/>
        <v>73185</v>
      </c>
      <c r="E7824" t="str">
        <f t="shared" si="3190"/>
        <v>KFH-OPERATIONS DEPARTMENT</v>
      </c>
      <c r="F7824" t="str">
        <f t="shared" si="3191"/>
        <v>IBG</v>
      </c>
      <c r="G7824" t="str">
        <f t="shared" si="3202"/>
        <v>Refund COSHARE 10</v>
      </c>
      <c r="H7824" s="2">
        <v>268.64999999999998</v>
      </c>
      <c r="I7824" t="str">
        <f>"SHAMSUDDIN BIN HASSAN"</f>
        <v>SHAMSUDDIN BIN HASSAN</v>
      </c>
      <c r="J7824" t="str">
        <f t="shared" si="3180"/>
        <v>BANK KERJASAMA RAKYAT</v>
      </c>
      <c r="K7824" t="str">
        <f>"220241271226"</f>
        <v>220241271226</v>
      </c>
      <c r="L7824" t="str">
        <f t="shared" si="3187"/>
        <v>04-08-2020</v>
      </c>
      <c r="M7824" t="str">
        <f t="shared" si="3187"/>
        <v>04-08-2020</v>
      </c>
      <c r="N7824" t="str">
        <f t="shared" si="3192"/>
        <v>001105018356</v>
      </c>
      <c r="O7824" t="str">
        <f t="shared" si="3193"/>
        <v>MYR</v>
      </c>
      <c r="P7824" t="str">
        <f t="shared" si="3188"/>
        <v>NIL</v>
      </c>
      <c r="Q7824" t="str">
        <f t="shared" si="3188"/>
        <v>NIL</v>
      </c>
      <c r="R7824" t="str">
        <f t="shared" si="3181"/>
        <v>Accepted</v>
      </c>
      <c r="S7824" t="str">
        <f t="shared" si="3194"/>
        <v>Approved</v>
      </c>
      <c r="T7824" t="str">
        <f t="shared" si="3182"/>
        <v>10.20.8.188</v>
      </c>
      <c r="U7824" t="str">
        <f t="shared" si="3195"/>
        <v>AZRAD UMAR BIN SHAARI</v>
      </c>
      <c r="V7824" t="str">
        <f t="shared" si="3196"/>
        <v>FARHANA BINTI MUSTAPA</v>
      </c>
      <c r="W7824" t="str">
        <f t="shared" si="3197"/>
        <v>04-08-2020</v>
      </c>
      <c r="X7824" t="str">
        <f t="shared" si="3198"/>
        <v>RAZIMAH ANSAR AHMAD</v>
      </c>
      <c r="Y7824" t="str">
        <f t="shared" si="3199"/>
        <v>04-08-2020</v>
      </c>
      <c r="Z7824" t="str">
        <f>"COS10200804 1330"</f>
        <v>COS10200804 1330</v>
      </c>
    </row>
    <row r="7825" spans="1:26" x14ac:dyDescent="0.25">
      <c r="A7825" t="str">
        <f t="shared" si="3200"/>
        <v>04-08-2020 12:32:37</v>
      </c>
      <c r="B7825" t="str">
        <f>"0000803077"</f>
        <v>0000803077</v>
      </c>
      <c r="C7825" t="str">
        <f t="shared" si="3201"/>
        <v>0000802948</v>
      </c>
      <c r="D7825" t="str">
        <f t="shared" si="3189"/>
        <v>73185</v>
      </c>
      <c r="E7825" t="str">
        <f t="shared" si="3190"/>
        <v>KFH-OPERATIONS DEPARTMENT</v>
      </c>
      <c r="F7825" t="str">
        <f t="shared" si="3191"/>
        <v>IBG</v>
      </c>
      <c r="G7825" t="str">
        <f t="shared" si="3202"/>
        <v>Refund COSHARE 10</v>
      </c>
      <c r="H7825" s="2">
        <v>317.60000000000002</v>
      </c>
      <c r="I7825" t="str">
        <f>"SHAKIRAH BINTI MOHD FADZIR"</f>
        <v>SHAKIRAH BINTI MOHD FADZIR</v>
      </c>
      <c r="J7825" t="str">
        <f t="shared" si="3180"/>
        <v>BANK KERJASAMA RAKYAT</v>
      </c>
      <c r="K7825" t="str">
        <f>"220151184893"</f>
        <v>220151184893</v>
      </c>
      <c r="L7825" t="str">
        <f t="shared" si="3187"/>
        <v>04-08-2020</v>
      </c>
      <c r="M7825" t="str">
        <f t="shared" si="3187"/>
        <v>04-08-2020</v>
      </c>
      <c r="N7825" t="str">
        <f t="shared" si="3192"/>
        <v>001105018356</v>
      </c>
      <c r="O7825" t="str">
        <f t="shared" si="3193"/>
        <v>MYR</v>
      </c>
      <c r="P7825" t="str">
        <f t="shared" si="3188"/>
        <v>NIL</v>
      </c>
      <c r="Q7825" t="str">
        <f t="shared" si="3188"/>
        <v>NIL</v>
      </c>
      <c r="R7825" t="str">
        <f t="shared" si="3181"/>
        <v>Accepted</v>
      </c>
      <c r="S7825" t="str">
        <f t="shared" si="3194"/>
        <v>Approved</v>
      </c>
      <c r="T7825" t="str">
        <f t="shared" si="3182"/>
        <v>10.20.8.188</v>
      </c>
      <c r="U7825" t="str">
        <f t="shared" si="3195"/>
        <v>AZRAD UMAR BIN SHAARI</v>
      </c>
      <c r="V7825" t="str">
        <f t="shared" si="3196"/>
        <v>FARHANA BINTI MUSTAPA</v>
      </c>
      <c r="W7825" t="str">
        <f t="shared" si="3197"/>
        <v>04-08-2020</v>
      </c>
      <c r="X7825" t="str">
        <f t="shared" si="3198"/>
        <v>RAZIMAH ANSAR AHMAD</v>
      </c>
      <c r="Y7825" t="str">
        <f t="shared" si="3199"/>
        <v>04-08-2020</v>
      </c>
      <c r="Z7825" t="str">
        <f>"COS10200804 1329"</f>
        <v>COS10200804 1329</v>
      </c>
    </row>
    <row r="7826" spans="1:26" x14ac:dyDescent="0.25">
      <c r="A7826" t="str">
        <f t="shared" si="3200"/>
        <v>04-08-2020 12:32:37</v>
      </c>
      <c r="B7826" t="str">
        <f>"0000803076"</f>
        <v>0000803076</v>
      </c>
      <c r="C7826" t="str">
        <f t="shared" si="3201"/>
        <v>0000802948</v>
      </c>
      <c r="D7826" t="str">
        <f t="shared" si="3189"/>
        <v>73185</v>
      </c>
      <c r="E7826" t="str">
        <f t="shared" si="3190"/>
        <v>KFH-OPERATIONS DEPARTMENT</v>
      </c>
      <c r="F7826" t="str">
        <f t="shared" si="3191"/>
        <v>IBG</v>
      </c>
      <c r="G7826" t="str">
        <f t="shared" si="3202"/>
        <v>Refund COSHARE 10</v>
      </c>
      <c r="H7826" s="2">
        <v>138</v>
      </c>
      <c r="I7826" t="str">
        <f>"SHAIRUL LATIF BIN SALEHUDIN"</f>
        <v>SHAIRUL LATIF BIN SALEHUDIN</v>
      </c>
      <c r="J7826" t="str">
        <f t="shared" si="3180"/>
        <v>BANK KERJASAMA RAKYAT</v>
      </c>
      <c r="K7826" t="str">
        <f>"220861165802"</f>
        <v>220861165802</v>
      </c>
      <c r="L7826" t="str">
        <f t="shared" si="3187"/>
        <v>04-08-2020</v>
      </c>
      <c r="M7826" t="str">
        <f t="shared" si="3187"/>
        <v>04-08-2020</v>
      </c>
      <c r="N7826" t="str">
        <f t="shared" si="3192"/>
        <v>001105018356</v>
      </c>
      <c r="O7826" t="str">
        <f t="shared" si="3193"/>
        <v>MYR</v>
      </c>
      <c r="P7826" t="str">
        <f t="shared" si="3188"/>
        <v>NIL</v>
      </c>
      <c r="Q7826" t="str">
        <f t="shared" si="3188"/>
        <v>NIL</v>
      </c>
      <c r="R7826" t="str">
        <f t="shared" si="3181"/>
        <v>Accepted</v>
      </c>
      <c r="S7826" t="str">
        <f t="shared" si="3194"/>
        <v>Approved</v>
      </c>
      <c r="T7826" t="str">
        <f t="shared" si="3182"/>
        <v>10.20.8.188</v>
      </c>
      <c r="U7826" t="str">
        <f t="shared" si="3195"/>
        <v>AZRAD UMAR BIN SHAARI</v>
      </c>
      <c r="V7826" t="str">
        <f t="shared" si="3196"/>
        <v>FARHANA BINTI MUSTAPA</v>
      </c>
      <c r="W7826" t="str">
        <f t="shared" si="3197"/>
        <v>04-08-2020</v>
      </c>
      <c r="X7826" t="str">
        <f t="shared" si="3198"/>
        <v>RAZIMAH ANSAR AHMAD</v>
      </c>
      <c r="Y7826" t="str">
        <f t="shared" si="3199"/>
        <v>04-08-2020</v>
      </c>
      <c r="Z7826" t="str">
        <f>"COS10200804 1328"</f>
        <v>COS10200804 1328</v>
      </c>
    </row>
    <row r="7827" spans="1:26" x14ac:dyDescent="0.25">
      <c r="A7827" t="str">
        <f t="shared" si="3200"/>
        <v>04-08-2020 12:32:37</v>
      </c>
      <c r="B7827" t="str">
        <f>"0000803075"</f>
        <v>0000803075</v>
      </c>
      <c r="C7827" t="str">
        <f t="shared" si="3201"/>
        <v>0000802948</v>
      </c>
      <c r="D7827" t="str">
        <f t="shared" si="3189"/>
        <v>73185</v>
      </c>
      <c r="E7827" t="str">
        <f t="shared" si="3190"/>
        <v>KFH-OPERATIONS DEPARTMENT</v>
      </c>
      <c r="F7827" t="str">
        <f t="shared" si="3191"/>
        <v>IBG</v>
      </c>
      <c r="G7827" t="str">
        <f t="shared" si="3202"/>
        <v>Refund COSHARE 10</v>
      </c>
      <c r="H7827" s="2">
        <v>138</v>
      </c>
      <c r="I7827" t="str">
        <f>"SHAIRUL LATIF BIN SALEHUDIN"</f>
        <v>SHAIRUL LATIF BIN SALEHUDIN</v>
      </c>
      <c r="J7827" t="str">
        <f t="shared" si="3180"/>
        <v>BANK KERJASAMA RAKYAT</v>
      </c>
      <c r="K7827" t="str">
        <f>"220861165802"</f>
        <v>220861165802</v>
      </c>
      <c r="L7827" t="str">
        <f t="shared" ref="L7827:M7846" si="3203">"04-08-2020"</f>
        <v>04-08-2020</v>
      </c>
      <c r="M7827" t="str">
        <f t="shared" si="3203"/>
        <v>04-08-2020</v>
      </c>
      <c r="N7827" t="str">
        <f t="shared" si="3192"/>
        <v>001105018356</v>
      </c>
      <c r="O7827" t="str">
        <f t="shared" si="3193"/>
        <v>MYR</v>
      </c>
      <c r="P7827" t="str">
        <f t="shared" ref="P7827:Q7846" si="3204">"NIL"</f>
        <v>NIL</v>
      </c>
      <c r="Q7827" t="str">
        <f t="shared" si="3204"/>
        <v>NIL</v>
      </c>
      <c r="R7827" t="str">
        <f t="shared" si="3181"/>
        <v>Accepted</v>
      </c>
      <c r="S7827" t="str">
        <f t="shared" si="3194"/>
        <v>Approved</v>
      </c>
      <c r="T7827" t="str">
        <f t="shared" si="3182"/>
        <v>10.20.8.188</v>
      </c>
      <c r="U7827" t="str">
        <f t="shared" si="3195"/>
        <v>AZRAD UMAR BIN SHAARI</v>
      </c>
      <c r="V7827" t="str">
        <f t="shared" si="3196"/>
        <v>FARHANA BINTI MUSTAPA</v>
      </c>
      <c r="W7827" t="str">
        <f t="shared" si="3197"/>
        <v>04-08-2020</v>
      </c>
      <c r="X7827" t="str">
        <f t="shared" si="3198"/>
        <v>RAZIMAH ANSAR AHMAD</v>
      </c>
      <c r="Y7827" t="str">
        <f t="shared" si="3199"/>
        <v>04-08-2020</v>
      </c>
      <c r="Z7827" t="str">
        <f>"COS10200804 1327"</f>
        <v>COS10200804 1327</v>
      </c>
    </row>
    <row r="7828" spans="1:26" x14ac:dyDescent="0.25">
      <c r="A7828" t="str">
        <f t="shared" si="3200"/>
        <v>04-08-2020 12:32:37</v>
      </c>
      <c r="B7828" t="str">
        <f>"0000803074"</f>
        <v>0000803074</v>
      </c>
      <c r="C7828" t="str">
        <f t="shared" si="3201"/>
        <v>0000802948</v>
      </c>
      <c r="D7828" t="str">
        <f t="shared" si="3189"/>
        <v>73185</v>
      </c>
      <c r="E7828" t="str">
        <f t="shared" si="3190"/>
        <v>KFH-OPERATIONS DEPARTMENT</v>
      </c>
      <c r="F7828" t="str">
        <f t="shared" si="3191"/>
        <v>IBG</v>
      </c>
      <c r="G7828" t="str">
        <f t="shared" si="3202"/>
        <v>Refund COSHARE 10</v>
      </c>
      <c r="H7828" s="2">
        <v>64.05</v>
      </c>
      <c r="I7828" t="str">
        <f>"SHAIFUL RAHIMY BIN ABDUL SHUKOR"</f>
        <v>SHAIFUL RAHIMY BIN ABDUL SHUKOR</v>
      </c>
      <c r="J7828" t="str">
        <f t="shared" si="3180"/>
        <v>BANK KERJASAMA RAKYAT</v>
      </c>
      <c r="K7828" t="str">
        <f>"220161314814"</f>
        <v>220161314814</v>
      </c>
      <c r="L7828" t="str">
        <f t="shared" si="3203"/>
        <v>04-08-2020</v>
      </c>
      <c r="M7828" t="str">
        <f t="shared" si="3203"/>
        <v>04-08-2020</v>
      </c>
      <c r="N7828" t="str">
        <f t="shared" si="3192"/>
        <v>001105018356</v>
      </c>
      <c r="O7828" t="str">
        <f t="shared" si="3193"/>
        <v>MYR</v>
      </c>
      <c r="P7828" t="str">
        <f t="shared" si="3204"/>
        <v>NIL</v>
      </c>
      <c r="Q7828" t="str">
        <f t="shared" si="3204"/>
        <v>NIL</v>
      </c>
      <c r="R7828" t="str">
        <f t="shared" si="3181"/>
        <v>Accepted</v>
      </c>
      <c r="S7828" t="str">
        <f t="shared" si="3194"/>
        <v>Approved</v>
      </c>
      <c r="T7828" t="str">
        <f t="shared" si="3182"/>
        <v>10.20.8.188</v>
      </c>
      <c r="U7828" t="str">
        <f t="shared" si="3195"/>
        <v>AZRAD UMAR BIN SHAARI</v>
      </c>
      <c r="V7828" t="str">
        <f t="shared" si="3196"/>
        <v>FARHANA BINTI MUSTAPA</v>
      </c>
      <c r="W7828" t="str">
        <f t="shared" si="3197"/>
        <v>04-08-2020</v>
      </c>
      <c r="X7828" t="str">
        <f t="shared" si="3198"/>
        <v>RAZIMAH ANSAR AHMAD</v>
      </c>
      <c r="Y7828" t="str">
        <f t="shared" si="3199"/>
        <v>04-08-2020</v>
      </c>
      <c r="Z7828" t="str">
        <f>"COS10200804 1326"</f>
        <v>COS10200804 1326</v>
      </c>
    </row>
    <row r="7829" spans="1:26" x14ac:dyDescent="0.25">
      <c r="A7829" t="str">
        <f t="shared" si="3200"/>
        <v>04-08-2020 12:32:37</v>
      </c>
      <c r="B7829" t="str">
        <f>"0000803073"</f>
        <v>0000803073</v>
      </c>
      <c r="C7829" t="str">
        <f t="shared" si="3201"/>
        <v>0000802948</v>
      </c>
      <c r="D7829" t="str">
        <f t="shared" si="3189"/>
        <v>73185</v>
      </c>
      <c r="E7829" t="str">
        <f t="shared" si="3190"/>
        <v>KFH-OPERATIONS DEPARTMENT</v>
      </c>
      <c r="F7829" t="str">
        <f t="shared" si="3191"/>
        <v>IBG</v>
      </c>
      <c r="G7829" t="str">
        <f t="shared" si="3202"/>
        <v>Refund COSHARE 10</v>
      </c>
      <c r="H7829" s="2">
        <v>1007.4</v>
      </c>
      <c r="I7829" t="str">
        <f>"SHAHRIR BIN ABDUL RAHIM"</f>
        <v>SHAHRIR BIN ABDUL RAHIM</v>
      </c>
      <c r="J7829" t="str">
        <f t="shared" si="3180"/>
        <v>BANK KERJASAMA RAKYAT</v>
      </c>
      <c r="K7829" t="str">
        <f>"220442158120"</f>
        <v>220442158120</v>
      </c>
      <c r="L7829" t="str">
        <f t="shared" si="3203"/>
        <v>04-08-2020</v>
      </c>
      <c r="M7829" t="str">
        <f t="shared" si="3203"/>
        <v>04-08-2020</v>
      </c>
      <c r="N7829" t="str">
        <f t="shared" si="3192"/>
        <v>001105018356</v>
      </c>
      <c r="O7829" t="str">
        <f t="shared" si="3193"/>
        <v>MYR</v>
      </c>
      <c r="P7829" t="str">
        <f t="shared" si="3204"/>
        <v>NIL</v>
      </c>
      <c r="Q7829" t="str">
        <f t="shared" si="3204"/>
        <v>NIL</v>
      </c>
      <c r="R7829" t="str">
        <f t="shared" si="3181"/>
        <v>Accepted</v>
      </c>
      <c r="S7829" t="str">
        <f t="shared" si="3194"/>
        <v>Approved</v>
      </c>
      <c r="T7829" t="str">
        <f t="shared" si="3182"/>
        <v>10.20.8.188</v>
      </c>
      <c r="U7829" t="str">
        <f t="shared" si="3195"/>
        <v>AZRAD UMAR BIN SHAARI</v>
      </c>
      <c r="V7829" t="str">
        <f t="shared" si="3196"/>
        <v>FARHANA BINTI MUSTAPA</v>
      </c>
      <c r="W7829" t="str">
        <f t="shared" si="3197"/>
        <v>04-08-2020</v>
      </c>
      <c r="X7829" t="str">
        <f t="shared" si="3198"/>
        <v>RAZIMAH ANSAR AHMAD</v>
      </c>
      <c r="Y7829" t="str">
        <f t="shared" si="3199"/>
        <v>04-08-2020</v>
      </c>
      <c r="Z7829" t="str">
        <f>"COS10200804 1325"</f>
        <v>COS10200804 1325</v>
      </c>
    </row>
    <row r="7830" spans="1:26" x14ac:dyDescent="0.25">
      <c r="A7830" t="str">
        <f t="shared" si="3200"/>
        <v>04-08-2020 12:32:37</v>
      </c>
      <c r="B7830" t="str">
        <f>"0000803072"</f>
        <v>0000803072</v>
      </c>
      <c r="C7830" t="str">
        <f t="shared" si="3201"/>
        <v>0000802948</v>
      </c>
      <c r="D7830" t="str">
        <f t="shared" si="3189"/>
        <v>73185</v>
      </c>
      <c r="E7830" t="str">
        <f t="shared" si="3190"/>
        <v>KFH-OPERATIONS DEPARTMENT</v>
      </c>
      <c r="F7830" t="str">
        <f t="shared" si="3191"/>
        <v>IBG</v>
      </c>
      <c r="G7830" t="str">
        <f t="shared" si="3202"/>
        <v>Refund COSHARE 10</v>
      </c>
      <c r="H7830" s="2">
        <v>442.05</v>
      </c>
      <c r="I7830" t="str">
        <f>"SHAHIDA BINTI SHAH MINAN"</f>
        <v>SHAHIDA BINTI SHAH MINAN</v>
      </c>
      <c r="J7830" t="str">
        <f t="shared" si="3180"/>
        <v>BANK KERJASAMA RAKYAT</v>
      </c>
      <c r="K7830" t="str">
        <f>"220961179721"</f>
        <v>220961179721</v>
      </c>
      <c r="L7830" t="str">
        <f t="shared" si="3203"/>
        <v>04-08-2020</v>
      </c>
      <c r="M7830" t="str">
        <f t="shared" si="3203"/>
        <v>04-08-2020</v>
      </c>
      <c r="N7830" t="str">
        <f t="shared" si="3192"/>
        <v>001105018356</v>
      </c>
      <c r="O7830" t="str">
        <f t="shared" si="3193"/>
        <v>MYR</v>
      </c>
      <c r="P7830" t="str">
        <f t="shared" si="3204"/>
        <v>NIL</v>
      </c>
      <c r="Q7830" t="str">
        <f t="shared" si="3204"/>
        <v>NIL</v>
      </c>
      <c r="R7830" t="str">
        <f t="shared" si="3181"/>
        <v>Accepted</v>
      </c>
      <c r="S7830" t="str">
        <f t="shared" si="3194"/>
        <v>Approved</v>
      </c>
      <c r="T7830" t="str">
        <f t="shared" si="3182"/>
        <v>10.20.8.188</v>
      </c>
      <c r="U7830" t="str">
        <f t="shared" si="3195"/>
        <v>AZRAD UMAR BIN SHAARI</v>
      </c>
      <c r="V7830" t="str">
        <f t="shared" si="3196"/>
        <v>FARHANA BINTI MUSTAPA</v>
      </c>
      <c r="W7830" t="str">
        <f t="shared" si="3197"/>
        <v>04-08-2020</v>
      </c>
      <c r="X7830" t="str">
        <f t="shared" si="3198"/>
        <v>RAZIMAH ANSAR AHMAD</v>
      </c>
      <c r="Y7830" t="str">
        <f t="shared" si="3199"/>
        <v>04-08-2020</v>
      </c>
      <c r="Z7830" t="str">
        <f>"COS10200804 1324"</f>
        <v>COS10200804 1324</v>
      </c>
    </row>
    <row r="7831" spans="1:26" x14ac:dyDescent="0.25">
      <c r="A7831" t="str">
        <f t="shared" si="3200"/>
        <v>04-08-2020 12:32:37</v>
      </c>
      <c r="B7831" t="str">
        <f>"0000803071"</f>
        <v>0000803071</v>
      </c>
      <c r="C7831" t="str">
        <f t="shared" si="3201"/>
        <v>0000802948</v>
      </c>
      <c r="D7831" t="str">
        <f t="shared" si="3189"/>
        <v>73185</v>
      </c>
      <c r="E7831" t="str">
        <f t="shared" si="3190"/>
        <v>KFH-OPERATIONS DEPARTMENT</v>
      </c>
      <c r="F7831" t="str">
        <f t="shared" si="3191"/>
        <v>IBG</v>
      </c>
      <c r="G7831" t="str">
        <f t="shared" si="3202"/>
        <v>Refund COSHARE 10</v>
      </c>
      <c r="H7831" s="2">
        <v>521</v>
      </c>
      <c r="I7831" t="str">
        <f>"SEVERINUS TUKAH  SEVERINUS TUKANG"</f>
        <v>SEVERINUS TUKAH  SEVERINUS TUKANG</v>
      </c>
      <c r="J7831" t="str">
        <f t="shared" si="3180"/>
        <v>BANK KERJASAMA RAKYAT</v>
      </c>
      <c r="K7831" t="str">
        <f>"220551046090"</f>
        <v>220551046090</v>
      </c>
      <c r="L7831" t="str">
        <f t="shared" si="3203"/>
        <v>04-08-2020</v>
      </c>
      <c r="M7831" t="str">
        <f t="shared" si="3203"/>
        <v>04-08-2020</v>
      </c>
      <c r="N7831" t="str">
        <f t="shared" si="3192"/>
        <v>001105018356</v>
      </c>
      <c r="O7831" t="str">
        <f t="shared" si="3193"/>
        <v>MYR</v>
      </c>
      <c r="P7831" t="str">
        <f t="shared" si="3204"/>
        <v>NIL</v>
      </c>
      <c r="Q7831" t="str">
        <f t="shared" si="3204"/>
        <v>NIL</v>
      </c>
      <c r="R7831" t="str">
        <f t="shared" si="3181"/>
        <v>Accepted</v>
      </c>
      <c r="S7831" t="str">
        <f t="shared" si="3194"/>
        <v>Approved</v>
      </c>
      <c r="T7831" t="str">
        <f t="shared" si="3182"/>
        <v>10.20.8.188</v>
      </c>
      <c r="U7831" t="str">
        <f t="shared" si="3195"/>
        <v>AZRAD UMAR BIN SHAARI</v>
      </c>
      <c r="V7831" t="str">
        <f t="shared" si="3196"/>
        <v>FARHANA BINTI MUSTAPA</v>
      </c>
      <c r="W7831" t="str">
        <f t="shared" si="3197"/>
        <v>04-08-2020</v>
      </c>
      <c r="X7831" t="str">
        <f t="shared" si="3198"/>
        <v>RAZIMAH ANSAR AHMAD</v>
      </c>
      <c r="Y7831" t="str">
        <f t="shared" si="3199"/>
        <v>04-08-2020</v>
      </c>
      <c r="Z7831" t="str">
        <f>"COS10200804 1323"</f>
        <v>COS10200804 1323</v>
      </c>
    </row>
    <row r="7832" spans="1:26" x14ac:dyDescent="0.25">
      <c r="A7832" t="str">
        <f t="shared" si="3200"/>
        <v>04-08-2020 12:32:37</v>
      </c>
      <c r="B7832" t="str">
        <f>"0000803070"</f>
        <v>0000803070</v>
      </c>
      <c r="C7832" t="str">
        <f t="shared" si="3201"/>
        <v>0000802948</v>
      </c>
      <c r="D7832" t="str">
        <f t="shared" si="3189"/>
        <v>73185</v>
      </c>
      <c r="E7832" t="str">
        <f t="shared" si="3190"/>
        <v>KFH-OPERATIONS DEPARTMENT</v>
      </c>
      <c r="F7832" t="str">
        <f t="shared" si="3191"/>
        <v>IBG</v>
      </c>
      <c r="G7832" t="str">
        <f t="shared" si="3202"/>
        <v>Refund COSHARE 10</v>
      </c>
      <c r="H7832" s="2">
        <v>858</v>
      </c>
      <c r="I7832" t="str">
        <f>"SERINAH BINTI JERIUN"</f>
        <v>SERINAH BINTI JERIUN</v>
      </c>
      <c r="J7832" t="str">
        <f t="shared" si="3180"/>
        <v>BANK KERJASAMA RAKYAT</v>
      </c>
      <c r="K7832" t="str">
        <f>"221011003399"</f>
        <v>221011003399</v>
      </c>
      <c r="L7832" t="str">
        <f t="shared" si="3203"/>
        <v>04-08-2020</v>
      </c>
      <c r="M7832" t="str">
        <f t="shared" si="3203"/>
        <v>04-08-2020</v>
      </c>
      <c r="N7832" t="str">
        <f t="shared" si="3192"/>
        <v>001105018356</v>
      </c>
      <c r="O7832" t="str">
        <f t="shared" si="3193"/>
        <v>MYR</v>
      </c>
      <c r="P7832" t="str">
        <f t="shared" si="3204"/>
        <v>NIL</v>
      </c>
      <c r="Q7832" t="str">
        <f t="shared" si="3204"/>
        <v>NIL</v>
      </c>
      <c r="R7832" t="str">
        <f t="shared" si="3181"/>
        <v>Accepted</v>
      </c>
      <c r="S7832" t="str">
        <f t="shared" si="3194"/>
        <v>Approved</v>
      </c>
      <c r="T7832" t="str">
        <f t="shared" si="3182"/>
        <v>10.20.8.188</v>
      </c>
      <c r="U7832" t="str">
        <f t="shared" si="3195"/>
        <v>AZRAD UMAR BIN SHAARI</v>
      </c>
      <c r="V7832" t="str">
        <f t="shared" si="3196"/>
        <v>FARHANA BINTI MUSTAPA</v>
      </c>
      <c r="W7832" t="str">
        <f t="shared" si="3197"/>
        <v>04-08-2020</v>
      </c>
      <c r="X7832" t="str">
        <f t="shared" si="3198"/>
        <v>RAZIMAH ANSAR AHMAD</v>
      </c>
      <c r="Y7832" t="str">
        <f t="shared" si="3199"/>
        <v>04-08-2020</v>
      </c>
      <c r="Z7832" t="str">
        <f>"COS10200804 1322"</f>
        <v>COS10200804 1322</v>
      </c>
    </row>
    <row r="7833" spans="1:26" x14ac:dyDescent="0.25">
      <c r="A7833" t="str">
        <f t="shared" si="3200"/>
        <v>04-08-2020 12:32:37</v>
      </c>
      <c r="B7833" t="str">
        <f>"0000803069"</f>
        <v>0000803069</v>
      </c>
      <c r="C7833" t="str">
        <f t="shared" si="3201"/>
        <v>0000802948</v>
      </c>
      <c r="D7833" t="str">
        <f t="shared" si="3189"/>
        <v>73185</v>
      </c>
      <c r="E7833" t="str">
        <f t="shared" si="3190"/>
        <v>KFH-OPERATIONS DEPARTMENT</v>
      </c>
      <c r="F7833" t="str">
        <f t="shared" si="3191"/>
        <v>IBG</v>
      </c>
      <c r="G7833" t="str">
        <f t="shared" si="3202"/>
        <v>Refund COSHARE 10</v>
      </c>
      <c r="H7833" s="2">
        <v>1469</v>
      </c>
      <c r="I7833" t="str">
        <f>"SEJILI BIN ETON"</f>
        <v>SEJILI BIN ETON</v>
      </c>
      <c r="J7833" t="str">
        <f t="shared" si="3180"/>
        <v>BANK KERJASAMA RAKYAT</v>
      </c>
      <c r="K7833" t="str">
        <f>"221021117856"</f>
        <v>221021117856</v>
      </c>
      <c r="L7833" t="str">
        <f t="shared" si="3203"/>
        <v>04-08-2020</v>
      </c>
      <c r="M7833" t="str">
        <f t="shared" si="3203"/>
        <v>04-08-2020</v>
      </c>
      <c r="N7833" t="str">
        <f t="shared" si="3192"/>
        <v>001105018356</v>
      </c>
      <c r="O7833" t="str">
        <f t="shared" si="3193"/>
        <v>MYR</v>
      </c>
      <c r="P7833" t="str">
        <f t="shared" si="3204"/>
        <v>NIL</v>
      </c>
      <c r="Q7833" t="str">
        <f t="shared" si="3204"/>
        <v>NIL</v>
      </c>
      <c r="R7833" t="str">
        <f t="shared" si="3181"/>
        <v>Accepted</v>
      </c>
      <c r="S7833" t="str">
        <f t="shared" si="3194"/>
        <v>Approved</v>
      </c>
      <c r="T7833" t="str">
        <f t="shared" si="3182"/>
        <v>10.20.8.188</v>
      </c>
      <c r="U7833" t="str">
        <f t="shared" si="3195"/>
        <v>AZRAD UMAR BIN SHAARI</v>
      </c>
      <c r="V7833" t="str">
        <f t="shared" si="3196"/>
        <v>FARHANA BINTI MUSTAPA</v>
      </c>
      <c r="W7833" t="str">
        <f t="shared" si="3197"/>
        <v>04-08-2020</v>
      </c>
      <c r="X7833" t="str">
        <f t="shared" si="3198"/>
        <v>RAZIMAH ANSAR AHMAD</v>
      </c>
      <c r="Y7833" t="str">
        <f t="shared" si="3199"/>
        <v>04-08-2020</v>
      </c>
      <c r="Z7833" t="str">
        <f>"COS10200804 1321"</f>
        <v>COS10200804 1321</v>
      </c>
    </row>
    <row r="7834" spans="1:26" x14ac:dyDescent="0.25">
      <c r="A7834" t="str">
        <f t="shared" si="3200"/>
        <v>04-08-2020 12:32:37</v>
      </c>
      <c r="B7834" t="str">
        <f>"0000803068"</f>
        <v>0000803068</v>
      </c>
      <c r="C7834" t="str">
        <f t="shared" si="3201"/>
        <v>0000802948</v>
      </c>
      <c r="D7834" t="str">
        <f t="shared" si="3189"/>
        <v>73185</v>
      </c>
      <c r="E7834" t="str">
        <f t="shared" si="3190"/>
        <v>KFH-OPERATIONS DEPARTMENT</v>
      </c>
      <c r="F7834" t="str">
        <f t="shared" si="3191"/>
        <v>IBG</v>
      </c>
      <c r="G7834" t="str">
        <f t="shared" si="3202"/>
        <v>Refund COSHARE 10</v>
      </c>
      <c r="H7834" s="2">
        <v>183</v>
      </c>
      <c r="I7834" t="str">
        <f>"SEBASTIAN LAZARUS MATIGAL"</f>
        <v>SEBASTIAN LAZARUS MATIGAL</v>
      </c>
      <c r="J7834" t="str">
        <f t="shared" si="3180"/>
        <v>BANK KERJASAMA RAKYAT</v>
      </c>
      <c r="K7834" t="str">
        <f>"220821183952"</f>
        <v>220821183952</v>
      </c>
      <c r="L7834" t="str">
        <f t="shared" si="3203"/>
        <v>04-08-2020</v>
      </c>
      <c r="M7834" t="str">
        <f t="shared" si="3203"/>
        <v>04-08-2020</v>
      </c>
      <c r="N7834" t="str">
        <f t="shared" si="3192"/>
        <v>001105018356</v>
      </c>
      <c r="O7834" t="str">
        <f t="shared" si="3193"/>
        <v>MYR</v>
      </c>
      <c r="P7834" t="str">
        <f t="shared" si="3204"/>
        <v>NIL</v>
      </c>
      <c r="Q7834" t="str">
        <f t="shared" si="3204"/>
        <v>NIL</v>
      </c>
      <c r="R7834" t="str">
        <f t="shared" si="3181"/>
        <v>Accepted</v>
      </c>
      <c r="S7834" t="str">
        <f t="shared" si="3194"/>
        <v>Approved</v>
      </c>
      <c r="T7834" t="str">
        <f t="shared" si="3182"/>
        <v>10.20.8.188</v>
      </c>
      <c r="U7834" t="str">
        <f t="shared" si="3195"/>
        <v>AZRAD UMAR BIN SHAARI</v>
      </c>
      <c r="V7834" t="str">
        <f t="shared" si="3196"/>
        <v>FARHANA BINTI MUSTAPA</v>
      </c>
      <c r="W7834" t="str">
        <f t="shared" si="3197"/>
        <v>04-08-2020</v>
      </c>
      <c r="X7834" t="str">
        <f t="shared" si="3198"/>
        <v>RAZIMAH ANSAR AHMAD</v>
      </c>
      <c r="Y7834" t="str">
        <f t="shared" si="3199"/>
        <v>04-08-2020</v>
      </c>
      <c r="Z7834" t="str">
        <f>"COS10200804 1320"</f>
        <v>COS10200804 1320</v>
      </c>
    </row>
    <row r="7835" spans="1:26" x14ac:dyDescent="0.25">
      <c r="A7835" t="str">
        <f t="shared" si="3200"/>
        <v>04-08-2020 12:32:37</v>
      </c>
      <c r="B7835" t="str">
        <f>"0000803067"</f>
        <v>0000803067</v>
      </c>
      <c r="C7835" t="str">
        <f t="shared" si="3201"/>
        <v>0000802948</v>
      </c>
      <c r="D7835" t="str">
        <f t="shared" si="3189"/>
        <v>73185</v>
      </c>
      <c r="E7835" t="str">
        <f t="shared" si="3190"/>
        <v>KFH-OPERATIONS DEPARTMENT</v>
      </c>
      <c r="F7835" t="str">
        <f t="shared" si="3191"/>
        <v>IBG</v>
      </c>
      <c r="G7835" t="str">
        <f t="shared" si="3202"/>
        <v>Refund COSHARE 10</v>
      </c>
      <c r="H7835" s="2">
        <v>587.65</v>
      </c>
      <c r="I7835" t="str">
        <f>"SAWIYA BINTI MURSALIN"</f>
        <v>SAWIYA BINTI MURSALIN</v>
      </c>
      <c r="J7835" t="str">
        <f t="shared" si="3180"/>
        <v>BANK KERJASAMA RAKYAT</v>
      </c>
      <c r="K7835" t="str">
        <f>"221211053919"</f>
        <v>221211053919</v>
      </c>
      <c r="L7835" t="str">
        <f t="shared" si="3203"/>
        <v>04-08-2020</v>
      </c>
      <c r="M7835" t="str">
        <f t="shared" si="3203"/>
        <v>04-08-2020</v>
      </c>
      <c r="N7835" t="str">
        <f t="shared" si="3192"/>
        <v>001105018356</v>
      </c>
      <c r="O7835" t="str">
        <f t="shared" si="3193"/>
        <v>MYR</v>
      </c>
      <c r="P7835" t="str">
        <f t="shared" si="3204"/>
        <v>NIL</v>
      </c>
      <c r="Q7835" t="str">
        <f t="shared" si="3204"/>
        <v>NIL</v>
      </c>
      <c r="R7835" t="str">
        <f t="shared" si="3181"/>
        <v>Accepted</v>
      </c>
      <c r="S7835" t="str">
        <f t="shared" si="3194"/>
        <v>Approved</v>
      </c>
      <c r="T7835" t="str">
        <f t="shared" si="3182"/>
        <v>10.20.8.188</v>
      </c>
      <c r="U7835" t="str">
        <f t="shared" si="3195"/>
        <v>AZRAD UMAR BIN SHAARI</v>
      </c>
      <c r="V7835" t="str">
        <f t="shared" si="3196"/>
        <v>FARHANA BINTI MUSTAPA</v>
      </c>
      <c r="W7835" t="str">
        <f t="shared" si="3197"/>
        <v>04-08-2020</v>
      </c>
      <c r="X7835" t="str">
        <f t="shared" si="3198"/>
        <v>RAZIMAH ANSAR AHMAD</v>
      </c>
      <c r="Y7835" t="str">
        <f t="shared" si="3199"/>
        <v>04-08-2020</v>
      </c>
      <c r="Z7835" t="str">
        <f>"COS10200804 1319"</f>
        <v>COS10200804 1319</v>
      </c>
    </row>
    <row r="7836" spans="1:26" x14ac:dyDescent="0.25">
      <c r="A7836" t="str">
        <f t="shared" si="3200"/>
        <v>04-08-2020 12:32:37</v>
      </c>
      <c r="B7836" t="str">
        <f>"0000803066"</f>
        <v>0000803066</v>
      </c>
      <c r="C7836" t="str">
        <f t="shared" si="3201"/>
        <v>0000802948</v>
      </c>
      <c r="D7836" t="str">
        <f t="shared" si="3189"/>
        <v>73185</v>
      </c>
      <c r="E7836" t="str">
        <f t="shared" si="3190"/>
        <v>KFH-OPERATIONS DEPARTMENT</v>
      </c>
      <c r="F7836" t="str">
        <f t="shared" si="3191"/>
        <v>IBG</v>
      </c>
      <c r="G7836" t="str">
        <f t="shared" si="3202"/>
        <v>Refund COSHARE 10</v>
      </c>
      <c r="H7836" s="2">
        <v>142.75</v>
      </c>
      <c r="I7836" t="str">
        <f>"SAUNEH BINTI MALOI"</f>
        <v>SAUNEH BINTI MALOI</v>
      </c>
      <c r="J7836" t="str">
        <f t="shared" si="3180"/>
        <v>BANK KERJASAMA RAKYAT</v>
      </c>
      <c r="K7836" t="str">
        <f>"220765036438"</f>
        <v>220765036438</v>
      </c>
      <c r="L7836" t="str">
        <f t="shared" si="3203"/>
        <v>04-08-2020</v>
      </c>
      <c r="M7836" t="str">
        <f t="shared" si="3203"/>
        <v>04-08-2020</v>
      </c>
      <c r="N7836" t="str">
        <f t="shared" si="3192"/>
        <v>001105018356</v>
      </c>
      <c r="O7836" t="str">
        <f t="shared" si="3193"/>
        <v>MYR</v>
      </c>
      <c r="P7836" t="str">
        <f t="shared" si="3204"/>
        <v>NIL</v>
      </c>
      <c r="Q7836" t="str">
        <f t="shared" si="3204"/>
        <v>NIL</v>
      </c>
      <c r="R7836" t="str">
        <f t="shared" si="3181"/>
        <v>Accepted</v>
      </c>
      <c r="S7836" t="str">
        <f t="shared" si="3194"/>
        <v>Approved</v>
      </c>
      <c r="T7836" t="str">
        <f t="shared" si="3182"/>
        <v>10.20.8.188</v>
      </c>
      <c r="U7836" t="str">
        <f t="shared" si="3195"/>
        <v>AZRAD UMAR BIN SHAARI</v>
      </c>
      <c r="V7836" t="str">
        <f t="shared" si="3196"/>
        <v>FARHANA BINTI MUSTAPA</v>
      </c>
      <c r="W7836" t="str">
        <f t="shared" si="3197"/>
        <v>04-08-2020</v>
      </c>
      <c r="X7836" t="str">
        <f t="shared" si="3198"/>
        <v>RAZIMAH ANSAR AHMAD</v>
      </c>
      <c r="Y7836" t="str">
        <f t="shared" si="3199"/>
        <v>04-08-2020</v>
      </c>
      <c r="Z7836" t="str">
        <f>"COS10200804 1318"</f>
        <v>COS10200804 1318</v>
      </c>
    </row>
    <row r="7837" spans="1:26" x14ac:dyDescent="0.25">
      <c r="A7837" t="str">
        <f t="shared" si="3200"/>
        <v>04-08-2020 12:32:37</v>
      </c>
      <c r="B7837" t="str">
        <f>"0000803065"</f>
        <v>0000803065</v>
      </c>
      <c r="C7837" t="str">
        <f t="shared" si="3201"/>
        <v>0000802948</v>
      </c>
      <c r="D7837" t="str">
        <f t="shared" si="3189"/>
        <v>73185</v>
      </c>
      <c r="E7837" t="str">
        <f t="shared" si="3190"/>
        <v>KFH-OPERATIONS DEPARTMENT</v>
      </c>
      <c r="F7837" t="str">
        <f t="shared" si="3191"/>
        <v>IBG</v>
      </c>
      <c r="G7837" t="str">
        <f t="shared" si="3202"/>
        <v>Refund COSHARE 10</v>
      </c>
      <c r="H7837" s="2">
        <v>117.55</v>
      </c>
      <c r="I7837" t="str">
        <f>"SARINI BINTI ABDUSUKOR"</f>
        <v>SARINI BINTI ABDUSUKOR</v>
      </c>
      <c r="J7837" t="str">
        <f t="shared" si="3180"/>
        <v>BANK KERJASAMA RAKYAT</v>
      </c>
      <c r="K7837" t="str">
        <f>"220661213408"</f>
        <v>220661213408</v>
      </c>
      <c r="L7837" t="str">
        <f t="shared" si="3203"/>
        <v>04-08-2020</v>
      </c>
      <c r="M7837" t="str">
        <f t="shared" si="3203"/>
        <v>04-08-2020</v>
      </c>
      <c r="N7837" t="str">
        <f t="shared" si="3192"/>
        <v>001105018356</v>
      </c>
      <c r="O7837" t="str">
        <f t="shared" si="3193"/>
        <v>MYR</v>
      </c>
      <c r="P7837" t="str">
        <f t="shared" si="3204"/>
        <v>NIL</v>
      </c>
      <c r="Q7837" t="str">
        <f t="shared" si="3204"/>
        <v>NIL</v>
      </c>
      <c r="R7837" t="str">
        <f t="shared" si="3181"/>
        <v>Accepted</v>
      </c>
      <c r="S7837" t="str">
        <f t="shared" si="3194"/>
        <v>Approved</v>
      </c>
      <c r="T7837" t="str">
        <f t="shared" si="3182"/>
        <v>10.20.8.188</v>
      </c>
      <c r="U7837" t="str">
        <f t="shared" si="3195"/>
        <v>AZRAD UMAR BIN SHAARI</v>
      </c>
      <c r="V7837" t="str">
        <f t="shared" si="3196"/>
        <v>FARHANA BINTI MUSTAPA</v>
      </c>
      <c r="W7837" t="str">
        <f t="shared" si="3197"/>
        <v>04-08-2020</v>
      </c>
      <c r="X7837" t="str">
        <f t="shared" si="3198"/>
        <v>RAZIMAH ANSAR AHMAD</v>
      </c>
      <c r="Y7837" t="str">
        <f t="shared" si="3199"/>
        <v>04-08-2020</v>
      </c>
      <c r="Z7837" t="str">
        <f>"COS10200804 1317"</f>
        <v>COS10200804 1317</v>
      </c>
    </row>
    <row r="7838" spans="1:26" x14ac:dyDescent="0.25">
      <c r="A7838" t="str">
        <f t="shared" si="3200"/>
        <v>04-08-2020 12:32:37</v>
      </c>
      <c r="B7838" t="str">
        <f>"0000803064"</f>
        <v>0000803064</v>
      </c>
      <c r="C7838" t="str">
        <f t="shared" si="3201"/>
        <v>0000802948</v>
      </c>
      <c r="D7838" t="str">
        <f t="shared" si="3189"/>
        <v>73185</v>
      </c>
      <c r="E7838" t="str">
        <f t="shared" si="3190"/>
        <v>KFH-OPERATIONS DEPARTMENT</v>
      </c>
      <c r="F7838" t="str">
        <f t="shared" si="3191"/>
        <v>IBG</v>
      </c>
      <c r="G7838" t="str">
        <f t="shared" si="3202"/>
        <v>Refund COSHARE 10</v>
      </c>
      <c r="H7838" s="2">
        <v>204.65</v>
      </c>
      <c r="I7838" t="str">
        <f>"SARIHA BINTI ABD HAMID"</f>
        <v>SARIHA BINTI ABD HAMID</v>
      </c>
      <c r="J7838" t="str">
        <f t="shared" si="3180"/>
        <v>BANK KERJASAMA RAKYAT</v>
      </c>
      <c r="K7838" t="str">
        <f>"220711165598"</f>
        <v>220711165598</v>
      </c>
      <c r="L7838" t="str">
        <f t="shared" si="3203"/>
        <v>04-08-2020</v>
      </c>
      <c r="M7838" t="str">
        <f t="shared" si="3203"/>
        <v>04-08-2020</v>
      </c>
      <c r="N7838" t="str">
        <f t="shared" si="3192"/>
        <v>001105018356</v>
      </c>
      <c r="O7838" t="str">
        <f t="shared" si="3193"/>
        <v>MYR</v>
      </c>
      <c r="P7838" t="str">
        <f t="shared" si="3204"/>
        <v>NIL</v>
      </c>
      <c r="Q7838" t="str">
        <f t="shared" si="3204"/>
        <v>NIL</v>
      </c>
      <c r="R7838" t="str">
        <f t="shared" si="3181"/>
        <v>Accepted</v>
      </c>
      <c r="S7838" t="str">
        <f t="shared" si="3194"/>
        <v>Approved</v>
      </c>
      <c r="T7838" t="str">
        <f t="shared" si="3182"/>
        <v>10.20.8.188</v>
      </c>
      <c r="U7838" t="str">
        <f t="shared" si="3195"/>
        <v>AZRAD UMAR BIN SHAARI</v>
      </c>
      <c r="V7838" t="str">
        <f t="shared" si="3196"/>
        <v>FARHANA BINTI MUSTAPA</v>
      </c>
      <c r="W7838" t="str">
        <f t="shared" si="3197"/>
        <v>04-08-2020</v>
      </c>
      <c r="X7838" t="str">
        <f t="shared" si="3198"/>
        <v>RAZIMAH ANSAR AHMAD</v>
      </c>
      <c r="Y7838" t="str">
        <f t="shared" si="3199"/>
        <v>04-08-2020</v>
      </c>
      <c r="Z7838" t="str">
        <f>"COS10200804 1316"</f>
        <v>COS10200804 1316</v>
      </c>
    </row>
    <row r="7839" spans="1:26" x14ac:dyDescent="0.25">
      <c r="A7839" t="str">
        <f t="shared" si="3200"/>
        <v>04-08-2020 12:32:37</v>
      </c>
      <c r="B7839" t="str">
        <f>"0000803063"</f>
        <v>0000803063</v>
      </c>
      <c r="C7839" t="str">
        <f t="shared" si="3201"/>
        <v>0000802948</v>
      </c>
      <c r="D7839" t="str">
        <f t="shared" si="3189"/>
        <v>73185</v>
      </c>
      <c r="E7839" t="str">
        <f t="shared" si="3190"/>
        <v>KFH-OPERATIONS DEPARTMENT</v>
      </c>
      <c r="F7839" t="str">
        <f t="shared" si="3191"/>
        <v>IBG</v>
      </c>
      <c r="G7839" t="str">
        <f t="shared" si="3202"/>
        <v>Refund COSHARE 10</v>
      </c>
      <c r="H7839" s="2">
        <v>1060.25</v>
      </c>
      <c r="I7839" t="str">
        <f>"SARASVATHI AP KARUPPIAH"</f>
        <v>SARASVATHI AP KARUPPIAH</v>
      </c>
      <c r="J7839" t="str">
        <f t="shared" si="3180"/>
        <v>BANK KERJASAMA RAKYAT</v>
      </c>
      <c r="K7839" t="str">
        <f>"220561055118"</f>
        <v>220561055118</v>
      </c>
      <c r="L7839" t="str">
        <f t="shared" si="3203"/>
        <v>04-08-2020</v>
      </c>
      <c r="M7839" t="str">
        <f t="shared" si="3203"/>
        <v>04-08-2020</v>
      </c>
      <c r="N7839" t="str">
        <f t="shared" si="3192"/>
        <v>001105018356</v>
      </c>
      <c r="O7839" t="str">
        <f t="shared" si="3193"/>
        <v>MYR</v>
      </c>
      <c r="P7839" t="str">
        <f t="shared" si="3204"/>
        <v>NIL</v>
      </c>
      <c r="Q7839" t="str">
        <f t="shared" si="3204"/>
        <v>NIL</v>
      </c>
      <c r="R7839" t="str">
        <f t="shared" si="3181"/>
        <v>Accepted</v>
      </c>
      <c r="S7839" t="str">
        <f t="shared" si="3194"/>
        <v>Approved</v>
      </c>
      <c r="T7839" t="str">
        <f t="shared" si="3182"/>
        <v>10.20.8.188</v>
      </c>
      <c r="U7839" t="str">
        <f t="shared" si="3195"/>
        <v>AZRAD UMAR BIN SHAARI</v>
      </c>
      <c r="V7839" t="str">
        <f t="shared" si="3196"/>
        <v>FARHANA BINTI MUSTAPA</v>
      </c>
      <c r="W7839" t="str">
        <f t="shared" si="3197"/>
        <v>04-08-2020</v>
      </c>
      <c r="X7839" t="str">
        <f t="shared" si="3198"/>
        <v>RAZIMAH ANSAR AHMAD</v>
      </c>
      <c r="Y7839" t="str">
        <f t="shared" si="3199"/>
        <v>04-08-2020</v>
      </c>
      <c r="Z7839" t="str">
        <f>"COS10200804 1315"</f>
        <v>COS10200804 1315</v>
      </c>
    </row>
    <row r="7840" spans="1:26" x14ac:dyDescent="0.25">
      <c r="A7840" t="str">
        <f t="shared" si="3200"/>
        <v>04-08-2020 12:32:37</v>
      </c>
      <c r="B7840" t="str">
        <f>"0000803062"</f>
        <v>0000803062</v>
      </c>
      <c r="C7840" t="str">
        <f t="shared" si="3201"/>
        <v>0000802948</v>
      </c>
      <c r="D7840" t="str">
        <f t="shared" si="3189"/>
        <v>73185</v>
      </c>
      <c r="E7840" t="str">
        <f t="shared" si="3190"/>
        <v>KFH-OPERATIONS DEPARTMENT</v>
      </c>
      <c r="F7840" t="str">
        <f t="shared" si="3191"/>
        <v>IBG</v>
      </c>
      <c r="G7840" t="str">
        <f t="shared" si="3202"/>
        <v>Refund COSHARE 10</v>
      </c>
      <c r="H7840" s="2">
        <v>1175.3</v>
      </c>
      <c r="I7840" t="str">
        <f>"SANAZIAH BINTI SAMSUDIN"</f>
        <v>SANAZIAH BINTI SAMSUDIN</v>
      </c>
      <c r="J7840" t="str">
        <f t="shared" si="3180"/>
        <v>BANK KERJASAMA RAKYAT</v>
      </c>
      <c r="K7840" t="str">
        <f>"220071401621"</f>
        <v>220071401621</v>
      </c>
      <c r="L7840" t="str">
        <f t="shared" si="3203"/>
        <v>04-08-2020</v>
      </c>
      <c r="M7840" t="str">
        <f t="shared" si="3203"/>
        <v>04-08-2020</v>
      </c>
      <c r="N7840" t="str">
        <f t="shared" si="3192"/>
        <v>001105018356</v>
      </c>
      <c r="O7840" t="str">
        <f t="shared" si="3193"/>
        <v>MYR</v>
      </c>
      <c r="P7840" t="str">
        <f t="shared" si="3204"/>
        <v>NIL</v>
      </c>
      <c r="Q7840" t="str">
        <f t="shared" si="3204"/>
        <v>NIL</v>
      </c>
      <c r="R7840" t="str">
        <f t="shared" si="3181"/>
        <v>Accepted</v>
      </c>
      <c r="S7840" t="str">
        <f t="shared" si="3194"/>
        <v>Approved</v>
      </c>
      <c r="T7840" t="str">
        <f t="shared" si="3182"/>
        <v>10.20.8.188</v>
      </c>
      <c r="U7840" t="str">
        <f t="shared" si="3195"/>
        <v>AZRAD UMAR BIN SHAARI</v>
      </c>
      <c r="V7840" t="str">
        <f t="shared" si="3196"/>
        <v>FARHANA BINTI MUSTAPA</v>
      </c>
      <c r="W7840" t="str">
        <f t="shared" si="3197"/>
        <v>04-08-2020</v>
      </c>
      <c r="X7840" t="str">
        <f t="shared" si="3198"/>
        <v>RAZIMAH ANSAR AHMAD</v>
      </c>
      <c r="Y7840" t="str">
        <f t="shared" si="3199"/>
        <v>04-08-2020</v>
      </c>
      <c r="Z7840" t="str">
        <f>"COS10200804 1314"</f>
        <v>COS10200804 1314</v>
      </c>
    </row>
    <row r="7841" spans="1:26" x14ac:dyDescent="0.25">
      <c r="A7841" t="str">
        <f t="shared" si="3200"/>
        <v>04-08-2020 12:32:37</v>
      </c>
      <c r="B7841" t="str">
        <f>"0000803061"</f>
        <v>0000803061</v>
      </c>
      <c r="C7841" t="str">
        <f t="shared" si="3201"/>
        <v>0000802948</v>
      </c>
      <c r="D7841" t="str">
        <f t="shared" si="3189"/>
        <v>73185</v>
      </c>
      <c r="E7841" t="str">
        <f t="shared" si="3190"/>
        <v>KFH-OPERATIONS DEPARTMENT</v>
      </c>
      <c r="F7841" t="str">
        <f t="shared" si="3191"/>
        <v>IBG</v>
      </c>
      <c r="G7841" t="str">
        <f t="shared" si="3202"/>
        <v>Refund COSHARE 10</v>
      </c>
      <c r="H7841" s="2">
        <v>813.65</v>
      </c>
      <c r="I7841" t="str">
        <f>"SAMUDI BIN MD YASIN"</f>
        <v>SAMUDI BIN MD YASIN</v>
      </c>
      <c r="J7841" t="str">
        <f t="shared" si="3180"/>
        <v>BANK KERJASAMA RAKYAT</v>
      </c>
      <c r="K7841" t="str">
        <f>"220161263178"</f>
        <v>220161263178</v>
      </c>
      <c r="L7841" t="str">
        <f t="shared" si="3203"/>
        <v>04-08-2020</v>
      </c>
      <c r="M7841" t="str">
        <f t="shared" si="3203"/>
        <v>04-08-2020</v>
      </c>
      <c r="N7841" t="str">
        <f t="shared" si="3192"/>
        <v>001105018356</v>
      </c>
      <c r="O7841" t="str">
        <f t="shared" si="3193"/>
        <v>MYR</v>
      </c>
      <c r="P7841" t="str">
        <f t="shared" si="3204"/>
        <v>NIL</v>
      </c>
      <c r="Q7841" t="str">
        <f t="shared" si="3204"/>
        <v>NIL</v>
      </c>
      <c r="R7841" t="str">
        <f t="shared" si="3181"/>
        <v>Accepted</v>
      </c>
      <c r="S7841" t="str">
        <f t="shared" si="3194"/>
        <v>Approved</v>
      </c>
      <c r="T7841" t="str">
        <f t="shared" si="3182"/>
        <v>10.20.8.188</v>
      </c>
      <c r="U7841" t="str">
        <f t="shared" si="3195"/>
        <v>AZRAD UMAR BIN SHAARI</v>
      </c>
      <c r="V7841" t="str">
        <f t="shared" si="3196"/>
        <v>FARHANA BINTI MUSTAPA</v>
      </c>
      <c r="W7841" t="str">
        <f t="shared" si="3197"/>
        <v>04-08-2020</v>
      </c>
      <c r="X7841" t="str">
        <f t="shared" si="3198"/>
        <v>RAZIMAH ANSAR AHMAD</v>
      </c>
      <c r="Y7841" t="str">
        <f t="shared" si="3199"/>
        <v>04-08-2020</v>
      </c>
      <c r="Z7841" t="str">
        <f>"COS10200804 1313"</f>
        <v>COS10200804 1313</v>
      </c>
    </row>
    <row r="7842" spans="1:26" x14ac:dyDescent="0.25">
      <c r="A7842" t="str">
        <f t="shared" si="3200"/>
        <v>04-08-2020 12:32:37</v>
      </c>
      <c r="B7842" t="str">
        <f>"0000803060"</f>
        <v>0000803060</v>
      </c>
      <c r="C7842" t="str">
        <f t="shared" si="3201"/>
        <v>0000802948</v>
      </c>
      <c r="D7842" t="str">
        <f t="shared" si="3189"/>
        <v>73185</v>
      </c>
      <c r="E7842" t="str">
        <f t="shared" si="3190"/>
        <v>KFH-OPERATIONS DEPARTMENT</v>
      </c>
      <c r="F7842" t="str">
        <f t="shared" si="3191"/>
        <v>IBG</v>
      </c>
      <c r="G7842" t="str">
        <f t="shared" si="3202"/>
        <v>Refund COSHARE 10</v>
      </c>
      <c r="H7842" s="2">
        <v>344.2</v>
      </c>
      <c r="I7842" t="str">
        <f>"SAMSURI BIN MOHAMMAD"</f>
        <v>SAMSURI BIN MOHAMMAD</v>
      </c>
      <c r="J7842" t="str">
        <f t="shared" ref="J7842:J7905" si="3205">"BANK KERJASAMA RAKYAT"</f>
        <v>BANK KERJASAMA RAKYAT</v>
      </c>
      <c r="K7842" t="str">
        <f>"220201214864"</f>
        <v>220201214864</v>
      </c>
      <c r="L7842" t="str">
        <f t="shared" si="3203"/>
        <v>04-08-2020</v>
      </c>
      <c r="M7842" t="str">
        <f t="shared" si="3203"/>
        <v>04-08-2020</v>
      </c>
      <c r="N7842" t="str">
        <f t="shared" si="3192"/>
        <v>001105018356</v>
      </c>
      <c r="O7842" t="str">
        <f t="shared" si="3193"/>
        <v>MYR</v>
      </c>
      <c r="P7842" t="str">
        <f t="shared" si="3204"/>
        <v>NIL</v>
      </c>
      <c r="Q7842" t="str">
        <f t="shared" si="3204"/>
        <v>NIL</v>
      </c>
      <c r="R7842" t="str">
        <f t="shared" ref="R7842:R7905" si="3206">"Accepted"</f>
        <v>Accepted</v>
      </c>
      <c r="S7842" t="str">
        <f t="shared" si="3194"/>
        <v>Approved</v>
      </c>
      <c r="T7842" t="str">
        <f t="shared" ref="T7842:T7905" si="3207">"10.20.8.188"</f>
        <v>10.20.8.188</v>
      </c>
      <c r="U7842" t="str">
        <f t="shared" si="3195"/>
        <v>AZRAD UMAR BIN SHAARI</v>
      </c>
      <c r="V7842" t="str">
        <f t="shared" si="3196"/>
        <v>FARHANA BINTI MUSTAPA</v>
      </c>
      <c r="W7842" t="str">
        <f t="shared" si="3197"/>
        <v>04-08-2020</v>
      </c>
      <c r="X7842" t="str">
        <f t="shared" si="3198"/>
        <v>RAZIMAH ANSAR AHMAD</v>
      </c>
      <c r="Y7842" t="str">
        <f t="shared" si="3199"/>
        <v>04-08-2020</v>
      </c>
      <c r="Z7842" t="str">
        <f>"COS10200804 1312"</f>
        <v>COS10200804 1312</v>
      </c>
    </row>
    <row r="7843" spans="1:26" x14ac:dyDescent="0.25">
      <c r="A7843" t="str">
        <f t="shared" si="3200"/>
        <v>04-08-2020 12:32:37</v>
      </c>
      <c r="B7843" t="str">
        <f>"0000803059"</f>
        <v>0000803059</v>
      </c>
      <c r="C7843" t="str">
        <f t="shared" si="3201"/>
        <v>0000802948</v>
      </c>
      <c r="D7843" t="str">
        <f t="shared" si="3189"/>
        <v>73185</v>
      </c>
      <c r="E7843" t="str">
        <f t="shared" si="3190"/>
        <v>KFH-OPERATIONS DEPARTMENT</v>
      </c>
      <c r="F7843" t="str">
        <f t="shared" si="3191"/>
        <v>IBG</v>
      </c>
      <c r="G7843" t="str">
        <f t="shared" si="3202"/>
        <v>Refund COSHARE 10</v>
      </c>
      <c r="H7843" s="2">
        <v>579</v>
      </c>
      <c r="I7843" t="str">
        <f>"SAMSUHAINI BINTI DERAMAN"</f>
        <v>SAMSUHAINI BINTI DERAMAN</v>
      </c>
      <c r="J7843" t="str">
        <f t="shared" si="3205"/>
        <v>BANK KERJASAMA RAKYAT</v>
      </c>
      <c r="K7843" t="str">
        <f>"220171437982"</f>
        <v>220171437982</v>
      </c>
      <c r="L7843" t="str">
        <f t="shared" si="3203"/>
        <v>04-08-2020</v>
      </c>
      <c r="M7843" t="str">
        <f t="shared" si="3203"/>
        <v>04-08-2020</v>
      </c>
      <c r="N7843" t="str">
        <f t="shared" si="3192"/>
        <v>001105018356</v>
      </c>
      <c r="O7843" t="str">
        <f t="shared" si="3193"/>
        <v>MYR</v>
      </c>
      <c r="P7843" t="str">
        <f t="shared" si="3204"/>
        <v>NIL</v>
      </c>
      <c r="Q7843" t="str">
        <f t="shared" si="3204"/>
        <v>NIL</v>
      </c>
      <c r="R7843" t="str">
        <f t="shared" si="3206"/>
        <v>Accepted</v>
      </c>
      <c r="S7843" t="str">
        <f t="shared" si="3194"/>
        <v>Approved</v>
      </c>
      <c r="T7843" t="str">
        <f t="shared" si="3207"/>
        <v>10.20.8.188</v>
      </c>
      <c r="U7843" t="str">
        <f t="shared" si="3195"/>
        <v>AZRAD UMAR BIN SHAARI</v>
      </c>
      <c r="V7843" t="str">
        <f t="shared" si="3196"/>
        <v>FARHANA BINTI MUSTAPA</v>
      </c>
      <c r="W7843" t="str">
        <f t="shared" si="3197"/>
        <v>04-08-2020</v>
      </c>
      <c r="X7843" t="str">
        <f t="shared" si="3198"/>
        <v>RAZIMAH ANSAR AHMAD</v>
      </c>
      <c r="Y7843" t="str">
        <f t="shared" si="3199"/>
        <v>04-08-2020</v>
      </c>
      <c r="Z7843" t="str">
        <f>"COS10200804 1311"</f>
        <v>COS10200804 1311</v>
      </c>
    </row>
    <row r="7844" spans="1:26" x14ac:dyDescent="0.25">
      <c r="A7844" t="str">
        <f t="shared" si="3200"/>
        <v>04-08-2020 12:32:37</v>
      </c>
      <c r="B7844" t="str">
        <f>"0000803058"</f>
        <v>0000803058</v>
      </c>
      <c r="C7844" t="str">
        <f t="shared" si="3201"/>
        <v>0000802948</v>
      </c>
      <c r="D7844" t="str">
        <f t="shared" si="3189"/>
        <v>73185</v>
      </c>
      <c r="E7844" t="str">
        <f t="shared" si="3190"/>
        <v>KFH-OPERATIONS DEPARTMENT</v>
      </c>
      <c r="F7844" t="str">
        <f t="shared" si="3191"/>
        <v>IBG</v>
      </c>
      <c r="G7844" t="str">
        <f t="shared" si="3202"/>
        <v>Refund COSHARE 10</v>
      </c>
      <c r="H7844" s="2">
        <v>756.4</v>
      </c>
      <c r="I7844" t="str">
        <f>"SALMAH BINTI JANANG"</f>
        <v>SALMAH BINTI JANANG</v>
      </c>
      <c r="J7844" t="str">
        <f t="shared" si="3205"/>
        <v>BANK KERJASAMA RAKYAT</v>
      </c>
      <c r="K7844" t="str">
        <f>"221011006109"</f>
        <v>221011006109</v>
      </c>
      <c r="L7844" t="str">
        <f t="shared" si="3203"/>
        <v>04-08-2020</v>
      </c>
      <c r="M7844" t="str">
        <f t="shared" si="3203"/>
        <v>04-08-2020</v>
      </c>
      <c r="N7844" t="str">
        <f t="shared" si="3192"/>
        <v>001105018356</v>
      </c>
      <c r="O7844" t="str">
        <f t="shared" si="3193"/>
        <v>MYR</v>
      </c>
      <c r="P7844" t="str">
        <f t="shared" si="3204"/>
        <v>NIL</v>
      </c>
      <c r="Q7844" t="str">
        <f t="shared" si="3204"/>
        <v>NIL</v>
      </c>
      <c r="R7844" t="str">
        <f t="shared" si="3206"/>
        <v>Accepted</v>
      </c>
      <c r="S7844" t="str">
        <f t="shared" si="3194"/>
        <v>Approved</v>
      </c>
      <c r="T7844" t="str">
        <f t="shared" si="3207"/>
        <v>10.20.8.188</v>
      </c>
      <c r="U7844" t="str">
        <f t="shared" si="3195"/>
        <v>AZRAD UMAR BIN SHAARI</v>
      </c>
      <c r="V7844" t="str">
        <f t="shared" si="3196"/>
        <v>FARHANA BINTI MUSTAPA</v>
      </c>
      <c r="W7844" t="str">
        <f t="shared" si="3197"/>
        <v>04-08-2020</v>
      </c>
      <c r="X7844" t="str">
        <f t="shared" si="3198"/>
        <v>RAZIMAH ANSAR AHMAD</v>
      </c>
      <c r="Y7844" t="str">
        <f t="shared" si="3199"/>
        <v>04-08-2020</v>
      </c>
      <c r="Z7844" t="str">
        <f>"COS10200804 1310"</f>
        <v>COS10200804 1310</v>
      </c>
    </row>
    <row r="7845" spans="1:26" x14ac:dyDescent="0.25">
      <c r="A7845" t="str">
        <f t="shared" si="3200"/>
        <v>04-08-2020 12:32:37</v>
      </c>
      <c r="B7845" t="str">
        <f>"0000803057"</f>
        <v>0000803057</v>
      </c>
      <c r="C7845" t="str">
        <f t="shared" si="3201"/>
        <v>0000802948</v>
      </c>
      <c r="D7845" t="str">
        <f t="shared" si="3189"/>
        <v>73185</v>
      </c>
      <c r="E7845" t="str">
        <f t="shared" si="3190"/>
        <v>KFH-OPERATIONS DEPARTMENT</v>
      </c>
      <c r="F7845" t="str">
        <f t="shared" si="3191"/>
        <v>IBG</v>
      </c>
      <c r="G7845" t="str">
        <f t="shared" si="3202"/>
        <v>Refund COSHARE 10</v>
      </c>
      <c r="H7845" s="2">
        <v>428.25</v>
      </c>
      <c r="I7845" t="str">
        <f>"SALLINA BINTI MARUP"</f>
        <v>SALLINA BINTI MARUP</v>
      </c>
      <c r="J7845" t="str">
        <f t="shared" si="3205"/>
        <v>BANK KERJASAMA RAKYAT</v>
      </c>
      <c r="K7845" t="str">
        <f>"220661038848"</f>
        <v>220661038848</v>
      </c>
      <c r="L7845" t="str">
        <f t="shared" si="3203"/>
        <v>04-08-2020</v>
      </c>
      <c r="M7845" t="str">
        <f t="shared" si="3203"/>
        <v>04-08-2020</v>
      </c>
      <c r="N7845" t="str">
        <f t="shared" si="3192"/>
        <v>001105018356</v>
      </c>
      <c r="O7845" t="str">
        <f t="shared" si="3193"/>
        <v>MYR</v>
      </c>
      <c r="P7845" t="str">
        <f t="shared" si="3204"/>
        <v>NIL</v>
      </c>
      <c r="Q7845" t="str">
        <f t="shared" si="3204"/>
        <v>NIL</v>
      </c>
      <c r="R7845" t="str">
        <f t="shared" si="3206"/>
        <v>Accepted</v>
      </c>
      <c r="S7845" t="str">
        <f t="shared" si="3194"/>
        <v>Approved</v>
      </c>
      <c r="T7845" t="str">
        <f t="shared" si="3207"/>
        <v>10.20.8.188</v>
      </c>
      <c r="U7845" t="str">
        <f t="shared" si="3195"/>
        <v>AZRAD UMAR BIN SHAARI</v>
      </c>
      <c r="V7845" t="str">
        <f t="shared" si="3196"/>
        <v>FARHANA BINTI MUSTAPA</v>
      </c>
      <c r="W7845" t="str">
        <f t="shared" si="3197"/>
        <v>04-08-2020</v>
      </c>
      <c r="X7845" t="str">
        <f t="shared" si="3198"/>
        <v>RAZIMAH ANSAR AHMAD</v>
      </c>
      <c r="Y7845" t="str">
        <f t="shared" si="3199"/>
        <v>04-08-2020</v>
      </c>
      <c r="Z7845" t="str">
        <f>"COS10200804 1309"</f>
        <v>COS10200804 1309</v>
      </c>
    </row>
    <row r="7846" spans="1:26" x14ac:dyDescent="0.25">
      <c r="A7846" t="str">
        <f t="shared" si="3200"/>
        <v>04-08-2020 12:32:37</v>
      </c>
      <c r="B7846" t="str">
        <f>"0000803056"</f>
        <v>0000803056</v>
      </c>
      <c r="C7846" t="str">
        <f t="shared" si="3201"/>
        <v>0000802948</v>
      </c>
      <c r="D7846" t="str">
        <f t="shared" si="3189"/>
        <v>73185</v>
      </c>
      <c r="E7846" t="str">
        <f t="shared" si="3190"/>
        <v>KFH-OPERATIONS DEPARTMENT</v>
      </c>
      <c r="F7846" t="str">
        <f t="shared" si="3191"/>
        <v>IBG</v>
      </c>
      <c r="G7846" t="str">
        <f t="shared" si="3202"/>
        <v>Refund COSHARE 10</v>
      </c>
      <c r="H7846" s="2">
        <v>1007.4</v>
      </c>
      <c r="I7846" t="str">
        <f>"SALIZA BINTI ABU SAIRIN"</f>
        <v>SALIZA BINTI ABU SAIRIN</v>
      </c>
      <c r="J7846" t="str">
        <f t="shared" si="3205"/>
        <v>BANK KERJASAMA RAKYAT</v>
      </c>
      <c r="K7846" t="str">
        <f>"220331356161"</f>
        <v>220331356161</v>
      </c>
      <c r="L7846" t="str">
        <f t="shared" si="3203"/>
        <v>04-08-2020</v>
      </c>
      <c r="M7846" t="str">
        <f t="shared" si="3203"/>
        <v>04-08-2020</v>
      </c>
      <c r="N7846" t="str">
        <f t="shared" si="3192"/>
        <v>001105018356</v>
      </c>
      <c r="O7846" t="str">
        <f t="shared" si="3193"/>
        <v>MYR</v>
      </c>
      <c r="P7846" t="str">
        <f t="shared" si="3204"/>
        <v>NIL</v>
      </c>
      <c r="Q7846" t="str">
        <f t="shared" si="3204"/>
        <v>NIL</v>
      </c>
      <c r="R7846" t="str">
        <f t="shared" si="3206"/>
        <v>Accepted</v>
      </c>
      <c r="S7846" t="str">
        <f t="shared" si="3194"/>
        <v>Approved</v>
      </c>
      <c r="T7846" t="str">
        <f t="shared" si="3207"/>
        <v>10.20.8.188</v>
      </c>
      <c r="U7846" t="str">
        <f t="shared" si="3195"/>
        <v>AZRAD UMAR BIN SHAARI</v>
      </c>
      <c r="V7846" t="str">
        <f t="shared" si="3196"/>
        <v>FARHANA BINTI MUSTAPA</v>
      </c>
      <c r="W7846" t="str">
        <f t="shared" si="3197"/>
        <v>04-08-2020</v>
      </c>
      <c r="X7846" t="str">
        <f t="shared" si="3198"/>
        <v>RAZIMAH ANSAR AHMAD</v>
      </c>
      <c r="Y7846" t="str">
        <f t="shared" si="3199"/>
        <v>04-08-2020</v>
      </c>
      <c r="Z7846" t="str">
        <f>"COS10200804 1308"</f>
        <v>COS10200804 1308</v>
      </c>
    </row>
    <row r="7847" spans="1:26" x14ac:dyDescent="0.25">
      <c r="A7847" t="str">
        <f t="shared" si="3200"/>
        <v>04-08-2020 12:32:37</v>
      </c>
      <c r="B7847" t="str">
        <f>"0000803055"</f>
        <v>0000803055</v>
      </c>
      <c r="C7847" t="str">
        <f t="shared" si="3201"/>
        <v>0000802948</v>
      </c>
      <c r="D7847" t="str">
        <f t="shared" si="3189"/>
        <v>73185</v>
      </c>
      <c r="E7847" t="str">
        <f t="shared" si="3190"/>
        <v>KFH-OPERATIONS DEPARTMENT</v>
      </c>
      <c r="F7847" t="str">
        <f t="shared" si="3191"/>
        <v>IBG</v>
      </c>
      <c r="G7847" t="str">
        <f t="shared" si="3202"/>
        <v>Refund COSHARE 10</v>
      </c>
      <c r="H7847" s="2">
        <v>251.85</v>
      </c>
      <c r="I7847" t="str">
        <f>"SALINAWATI RAHMAT"</f>
        <v>SALINAWATI RAHMAT</v>
      </c>
      <c r="J7847" t="str">
        <f t="shared" si="3205"/>
        <v>BANK KERJASAMA RAKYAT</v>
      </c>
      <c r="K7847" t="str">
        <f>"220841113189"</f>
        <v>220841113189</v>
      </c>
      <c r="L7847" t="str">
        <f t="shared" ref="L7847:M7866" si="3208">"04-08-2020"</f>
        <v>04-08-2020</v>
      </c>
      <c r="M7847" t="str">
        <f t="shared" si="3208"/>
        <v>04-08-2020</v>
      </c>
      <c r="N7847" t="str">
        <f t="shared" si="3192"/>
        <v>001105018356</v>
      </c>
      <c r="O7847" t="str">
        <f t="shared" si="3193"/>
        <v>MYR</v>
      </c>
      <c r="P7847" t="str">
        <f t="shared" ref="P7847:Q7866" si="3209">"NIL"</f>
        <v>NIL</v>
      </c>
      <c r="Q7847" t="str">
        <f t="shared" si="3209"/>
        <v>NIL</v>
      </c>
      <c r="R7847" t="str">
        <f t="shared" si="3206"/>
        <v>Accepted</v>
      </c>
      <c r="S7847" t="str">
        <f t="shared" si="3194"/>
        <v>Approved</v>
      </c>
      <c r="T7847" t="str">
        <f t="shared" si="3207"/>
        <v>10.20.8.188</v>
      </c>
      <c r="U7847" t="str">
        <f t="shared" si="3195"/>
        <v>AZRAD UMAR BIN SHAARI</v>
      </c>
      <c r="V7847" t="str">
        <f t="shared" si="3196"/>
        <v>FARHANA BINTI MUSTAPA</v>
      </c>
      <c r="W7847" t="str">
        <f t="shared" si="3197"/>
        <v>04-08-2020</v>
      </c>
      <c r="X7847" t="str">
        <f t="shared" si="3198"/>
        <v>RAZIMAH ANSAR AHMAD</v>
      </c>
      <c r="Y7847" t="str">
        <f t="shared" si="3199"/>
        <v>04-08-2020</v>
      </c>
      <c r="Z7847" t="str">
        <f>"COS10200804 1307"</f>
        <v>COS10200804 1307</v>
      </c>
    </row>
    <row r="7848" spans="1:26" x14ac:dyDescent="0.25">
      <c r="A7848" t="str">
        <f t="shared" si="3200"/>
        <v>04-08-2020 12:32:37</v>
      </c>
      <c r="B7848" t="str">
        <f>"0000803054"</f>
        <v>0000803054</v>
      </c>
      <c r="C7848" t="str">
        <f t="shared" si="3201"/>
        <v>0000802948</v>
      </c>
      <c r="D7848" t="str">
        <f t="shared" si="3189"/>
        <v>73185</v>
      </c>
      <c r="E7848" t="str">
        <f t="shared" si="3190"/>
        <v>KFH-OPERATIONS DEPARTMENT</v>
      </c>
      <c r="F7848" t="str">
        <f t="shared" si="3191"/>
        <v>IBG</v>
      </c>
      <c r="G7848" t="str">
        <f t="shared" si="3202"/>
        <v>Refund COSHARE 10</v>
      </c>
      <c r="H7848" s="2">
        <v>64.05</v>
      </c>
      <c r="I7848" t="str">
        <f>"SALIM ANAK USOP"</f>
        <v>SALIM ANAK USOP</v>
      </c>
      <c r="J7848" t="str">
        <f t="shared" si="3205"/>
        <v>BANK KERJASAMA RAKYAT</v>
      </c>
      <c r="K7848" t="str">
        <f>"220841033621"</f>
        <v>220841033621</v>
      </c>
      <c r="L7848" t="str">
        <f t="shared" si="3208"/>
        <v>04-08-2020</v>
      </c>
      <c r="M7848" t="str">
        <f t="shared" si="3208"/>
        <v>04-08-2020</v>
      </c>
      <c r="N7848" t="str">
        <f t="shared" si="3192"/>
        <v>001105018356</v>
      </c>
      <c r="O7848" t="str">
        <f t="shared" si="3193"/>
        <v>MYR</v>
      </c>
      <c r="P7848" t="str">
        <f t="shared" si="3209"/>
        <v>NIL</v>
      </c>
      <c r="Q7848" t="str">
        <f t="shared" si="3209"/>
        <v>NIL</v>
      </c>
      <c r="R7848" t="str">
        <f t="shared" si="3206"/>
        <v>Accepted</v>
      </c>
      <c r="S7848" t="str">
        <f t="shared" si="3194"/>
        <v>Approved</v>
      </c>
      <c r="T7848" t="str">
        <f t="shared" si="3207"/>
        <v>10.20.8.188</v>
      </c>
      <c r="U7848" t="str">
        <f t="shared" si="3195"/>
        <v>AZRAD UMAR BIN SHAARI</v>
      </c>
      <c r="V7848" t="str">
        <f t="shared" si="3196"/>
        <v>FARHANA BINTI MUSTAPA</v>
      </c>
      <c r="W7848" t="str">
        <f t="shared" si="3197"/>
        <v>04-08-2020</v>
      </c>
      <c r="X7848" t="str">
        <f t="shared" si="3198"/>
        <v>RAZIMAH ANSAR AHMAD</v>
      </c>
      <c r="Y7848" t="str">
        <f t="shared" si="3199"/>
        <v>04-08-2020</v>
      </c>
      <c r="Z7848" t="str">
        <f>"COS10200804 1306"</f>
        <v>COS10200804 1306</v>
      </c>
    </row>
    <row r="7849" spans="1:26" x14ac:dyDescent="0.25">
      <c r="A7849" t="str">
        <f t="shared" si="3200"/>
        <v>04-08-2020 12:32:37</v>
      </c>
      <c r="B7849" t="str">
        <f>"0000803053"</f>
        <v>0000803053</v>
      </c>
      <c r="C7849" t="str">
        <f t="shared" si="3201"/>
        <v>0000802948</v>
      </c>
      <c r="D7849" t="str">
        <f t="shared" si="3189"/>
        <v>73185</v>
      </c>
      <c r="E7849" t="str">
        <f t="shared" si="3190"/>
        <v>KFH-OPERATIONS DEPARTMENT</v>
      </c>
      <c r="F7849" t="str">
        <f t="shared" si="3191"/>
        <v>IBG</v>
      </c>
      <c r="G7849" t="str">
        <f t="shared" si="3202"/>
        <v>Refund COSHARE 10</v>
      </c>
      <c r="H7849" s="2">
        <v>1401.9</v>
      </c>
      <c r="I7849" t="str">
        <f>"SALIA BINTI SULEMANA"</f>
        <v>SALIA BINTI SULEMANA</v>
      </c>
      <c r="J7849" t="str">
        <f t="shared" si="3205"/>
        <v>BANK KERJASAMA RAKYAT</v>
      </c>
      <c r="K7849" t="str">
        <f>"220711023190"</f>
        <v>220711023190</v>
      </c>
      <c r="L7849" t="str">
        <f t="shared" si="3208"/>
        <v>04-08-2020</v>
      </c>
      <c r="M7849" t="str">
        <f t="shared" si="3208"/>
        <v>04-08-2020</v>
      </c>
      <c r="N7849" t="str">
        <f t="shared" si="3192"/>
        <v>001105018356</v>
      </c>
      <c r="O7849" t="str">
        <f t="shared" si="3193"/>
        <v>MYR</v>
      </c>
      <c r="P7849" t="str">
        <f t="shared" si="3209"/>
        <v>NIL</v>
      </c>
      <c r="Q7849" t="str">
        <f t="shared" si="3209"/>
        <v>NIL</v>
      </c>
      <c r="R7849" t="str">
        <f t="shared" si="3206"/>
        <v>Accepted</v>
      </c>
      <c r="S7849" t="str">
        <f t="shared" si="3194"/>
        <v>Approved</v>
      </c>
      <c r="T7849" t="str">
        <f t="shared" si="3207"/>
        <v>10.20.8.188</v>
      </c>
      <c r="U7849" t="str">
        <f t="shared" si="3195"/>
        <v>AZRAD UMAR BIN SHAARI</v>
      </c>
      <c r="V7849" t="str">
        <f t="shared" si="3196"/>
        <v>FARHANA BINTI MUSTAPA</v>
      </c>
      <c r="W7849" t="str">
        <f t="shared" si="3197"/>
        <v>04-08-2020</v>
      </c>
      <c r="X7849" t="str">
        <f t="shared" si="3198"/>
        <v>RAZIMAH ANSAR AHMAD</v>
      </c>
      <c r="Y7849" t="str">
        <f t="shared" si="3199"/>
        <v>04-08-2020</v>
      </c>
      <c r="Z7849" t="str">
        <f>"COS10200804 1305"</f>
        <v>COS10200804 1305</v>
      </c>
    </row>
    <row r="7850" spans="1:26" x14ac:dyDescent="0.25">
      <c r="A7850" t="str">
        <f t="shared" ref="A7850:A7881" si="3210">"04-08-2020 12:32:37"</f>
        <v>04-08-2020 12:32:37</v>
      </c>
      <c r="B7850" t="str">
        <f>"0000803052"</f>
        <v>0000803052</v>
      </c>
      <c r="C7850" t="str">
        <f t="shared" ref="C7850:C7881" si="3211">"0000802948"</f>
        <v>0000802948</v>
      </c>
      <c r="D7850" t="str">
        <f t="shared" si="3189"/>
        <v>73185</v>
      </c>
      <c r="E7850" t="str">
        <f t="shared" si="3190"/>
        <v>KFH-OPERATIONS DEPARTMENT</v>
      </c>
      <c r="F7850" t="str">
        <f t="shared" si="3191"/>
        <v>IBG</v>
      </c>
      <c r="G7850" t="str">
        <f t="shared" si="3202"/>
        <v>Refund COSHARE 10</v>
      </c>
      <c r="H7850" s="2">
        <v>470.15</v>
      </c>
      <c r="I7850" t="str">
        <f>"SALBIAH SALLEH"</f>
        <v>SALBIAH SALLEH</v>
      </c>
      <c r="J7850" t="str">
        <f t="shared" si="3205"/>
        <v>BANK KERJASAMA RAKYAT</v>
      </c>
      <c r="K7850" t="str">
        <f>"220781013850"</f>
        <v>220781013850</v>
      </c>
      <c r="L7850" t="str">
        <f t="shared" si="3208"/>
        <v>04-08-2020</v>
      </c>
      <c r="M7850" t="str">
        <f t="shared" si="3208"/>
        <v>04-08-2020</v>
      </c>
      <c r="N7850" t="str">
        <f t="shared" si="3192"/>
        <v>001105018356</v>
      </c>
      <c r="O7850" t="str">
        <f t="shared" si="3193"/>
        <v>MYR</v>
      </c>
      <c r="P7850" t="str">
        <f t="shared" si="3209"/>
        <v>NIL</v>
      </c>
      <c r="Q7850" t="str">
        <f t="shared" si="3209"/>
        <v>NIL</v>
      </c>
      <c r="R7850" t="str">
        <f t="shared" si="3206"/>
        <v>Accepted</v>
      </c>
      <c r="S7850" t="str">
        <f t="shared" si="3194"/>
        <v>Approved</v>
      </c>
      <c r="T7850" t="str">
        <f t="shared" si="3207"/>
        <v>10.20.8.188</v>
      </c>
      <c r="U7850" t="str">
        <f t="shared" si="3195"/>
        <v>AZRAD UMAR BIN SHAARI</v>
      </c>
      <c r="V7850" t="str">
        <f t="shared" si="3196"/>
        <v>FARHANA BINTI MUSTAPA</v>
      </c>
      <c r="W7850" t="str">
        <f t="shared" si="3197"/>
        <v>04-08-2020</v>
      </c>
      <c r="X7850" t="str">
        <f t="shared" si="3198"/>
        <v>RAZIMAH ANSAR AHMAD</v>
      </c>
      <c r="Y7850" t="str">
        <f t="shared" si="3199"/>
        <v>04-08-2020</v>
      </c>
      <c r="Z7850" t="str">
        <f>"COS10200804 1304"</f>
        <v>COS10200804 1304</v>
      </c>
    </row>
    <row r="7851" spans="1:26" x14ac:dyDescent="0.25">
      <c r="A7851" t="str">
        <f t="shared" si="3210"/>
        <v>04-08-2020 12:32:37</v>
      </c>
      <c r="B7851" t="str">
        <f>"0000803051"</f>
        <v>0000803051</v>
      </c>
      <c r="C7851" t="str">
        <f t="shared" si="3211"/>
        <v>0000802948</v>
      </c>
      <c r="D7851" t="str">
        <f t="shared" si="3189"/>
        <v>73185</v>
      </c>
      <c r="E7851" t="str">
        <f t="shared" si="3190"/>
        <v>KFH-OPERATIONS DEPARTMENT</v>
      </c>
      <c r="F7851" t="str">
        <f t="shared" si="3191"/>
        <v>IBG</v>
      </c>
      <c r="G7851" t="str">
        <f t="shared" si="3202"/>
        <v>Refund COSHARE 10</v>
      </c>
      <c r="H7851" s="2">
        <v>251.85</v>
      </c>
      <c r="I7851" t="str">
        <f>"SALBIAH BINTI JUDIN"</f>
        <v>SALBIAH BINTI JUDIN</v>
      </c>
      <c r="J7851" t="str">
        <f t="shared" si="3205"/>
        <v>BANK KERJASAMA RAKYAT</v>
      </c>
      <c r="K7851" t="str">
        <f>"220531421584"</f>
        <v>220531421584</v>
      </c>
      <c r="L7851" t="str">
        <f t="shared" si="3208"/>
        <v>04-08-2020</v>
      </c>
      <c r="M7851" t="str">
        <f t="shared" si="3208"/>
        <v>04-08-2020</v>
      </c>
      <c r="N7851" t="str">
        <f t="shared" si="3192"/>
        <v>001105018356</v>
      </c>
      <c r="O7851" t="str">
        <f t="shared" si="3193"/>
        <v>MYR</v>
      </c>
      <c r="P7851" t="str">
        <f t="shared" si="3209"/>
        <v>NIL</v>
      </c>
      <c r="Q7851" t="str">
        <f t="shared" si="3209"/>
        <v>NIL</v>
      </c>
      <c r="R7851" t="str">
        <f t="shared" si="3206"/>
        <v>Accepted</v>
      </c>
      <c r="S7851" t="str">
        <f t="shared" si="3194"/>
        <v>Approved</v>
      </c>
      <c r="T7851" t="str">
        <f t="shared" si="3207"/>
        <v>10.20.8.188</v>
      </c>
      <c r="U7851" t="str">
        <f t="shared" si="3195"/>
        <v>AZRAD UMAR BIN SHAARI</v>
      </c>
      <c r="V7851" t="str">
        <f t="shared" si="3196"/>
        <v>FARHANA BINTI MUSTAPA</v>
      </c>
      <c r="W7851" t="str">
        <f t="shared" si="3197"/>
        <v>04-08-2020</v>
      </c>
      <c r="X7851" t="str">
        <f t="shared" si="3198"/>
        <v>RAZIMAH ANSAR AHMAD</v>
      </c>
      <c r="Y7851" t="str">
        <f t="shared" si="3199"/>
        <v>04-08-2020</v>
      </c>
      <c r="Z7851" t="str">
        <f>"COS10200804 1303"</f>
        <v>COS10200804 1303</v>
      </c>
    </row>
    <row r="7852" spans="1:26" x14ac:dyDescent="0.25">
      <c r="A7852" t="str">
        <f t="shared" si="3210"/>
        <v>04-08-2020 12:32:37</v>
      </c>
      <c r="B7852" t="str">
        <f>"0000803050"</f>
        <v>0000803050</v>
      </c>
      <c r="C7852" t="str">
        <f t="shared" si="3211"/>
        <v>0000802948</v>
      </c>
      <c r="D7852" t="str">
        <f t="shared" si="3189"/>
        <v>73185</v>
      </c>
      <c r="E7852" t="str">
        <f t="shared" si="3190"/>
        <v>KFH-OPERATIONS DEPARTMENT</v>
      </c>
      <c r="F7852" t="str">
        <f t="shared" si="3191"/>
        <v>IBG</v>
      </c>
      <c r="G7852" t="str">
        <f t="shared" si="3202"/>
        <v>Refund COSHARE 10</v>
      </c>
      <c r="H7852" s="2">
        <v>1040</v>
      </c>
      <c r="I7852" t="str">
        <f>"SAID ALI BIN SHAHIRUL"</f>
        <v>SAID ALI BIN SHAHIRUL</v>
      </c>
      <c r="J7852" t="str">
        <f t="shared" si="3205"/>
        <v>BANK KERJASAMA RAKYAT</v>
      </c>
      <c r="K7852" t="str">
        <f>"220631200129"</f>
        <v>220631200129</v>
      </c>
      <c r="L7852" t="str">
        <f t="shared" si="3208"/>
        <v>04-08-2020</v>
      </c>
      <c r="M7852" t="str">
        <f t="shared" si="3208"/>
        <v>04-08-2020</v>
      </c>
      <c r="N7852" t="str">
        <f t="shared" si="3192"/>
        <v>001105018356</v>
      </c>
      <c r="O7852" t="str">
        <f t="shared" si="3193"/>
        <v>MYR</v>
      </c>
      <c r="P7852" t="str">
        <f t="shared" si="3209"/>
        <v>NIL</v>
      </c>
      <c r="Q7852" t="str">
        <f t="shared" si="3209"/>
        <v>NIL</v>
      </c>
      <c r="R7852" t="str">
        <f t="shared" si="3206"/>
        <v>Accepted</v>
      </c>
      <c r="S7852" t="str">
        <f t="shared" si="3194"/>
        <v>Approved</v>
      </c>
      <c r="T7852" t="str">
        <f t="shared" si="3207"/>
        <v>10.20.8.188</v>
      </c>
      <c r="U7852" t="str">
        <f t="shared" si="3195"/>
        <v>AZRAD UMAR BIN SHAARI</v>
      </c>
      <c r="V7852" t="str">
        <f t="shared" si="3196"/>
        <v>FARHANA BINTI MUSTAPA</v>
      </c>
      <c r="W7852" t="str">
        <f t="shared" si="3197"/>
        <v>04-08-2020</v>
      </c>
      <c r="X7852" t="str">
        <f t="shared" si="3198"/>
        <v>RAZIMAH ANSAR AHMAD</v>
      </c>
      <c r="Y7852" t="str">
        <f t="shared" si="3199"/>
        <v>04-08-2020</v>
      </c>
      <c r="Z7852" t="str">
        <f>"COS10200804 1302"</f>
        <v>COS10200804 1302</v>
      </c>
    </row>
    <row r="7853" spans="1:26" x14ac:dyDescent="0.25">
      <c r="A7853" t="str">
        <f t="shared" si="3210"/>
        <v>04-08-2020 12:32:37</v>
      </c>
      <c r="B7853" t="str">
        <f>"0000803049"</f>
        <v>0000803049</v>
      </c>
      <c r="C7853" t="str">
        <f t="shared" si="3211"/>
        <v>0000802948</v>
      </c>
      <c r="D7853" t="str">
        <f t="shared" si="3189"/>
        <v>73185</v>
      </c>
      <c r="E7853" t="str">
        <f t="shared" si="3190"/>
        <v>KFH-OPERATIONS DEPARTMENT</v>
      </c>
      <c r="F7853" t="str">
        <f t="shared" si="3191"/>
        <v>IBG</v>
      </c>
      <c r="G7853" t="str">
        <f t="shared" si="3202"/>
        <v>Refund COSHARE 10</v>
      </c>
      <c r="H7853" s="2">
        <v>336</v>
      </c>
      <c r="I7853" t="str">
        <f>"SABLI BIN USOH"</f>
        <v>SABLI BIN USOH</v>
      </c>
      <c r="J7853" t="str">
        <f t="shared" si="3205"/>
        <v>BANK KERJASAMA RAKYAT</v>
      </c>
      <c r="K7853" t="str">
        <f>"220743355851"</f>
        <v>220743355851</v>
      </c>
      <c r="L7853" t="str">
        <f t="shared" si="3208"/>
        <v>04-08-2020</v>
      </c>
      <c r="M7853" t="str">
        <f t="shared" si="3208"/>
        <v>04-08-2020</v>
      </c>
      <c r="N7853" t="str">
        <f t="shared" si="3192"/>
        <v>001105018356</v>
      </c>
      <c r="O7853" t="str">
        <f t="shared" si="3193"/>
        <v>MYR</v>
      </c>
      <c r="P7853" t="str">
        <f t="shared" si="3209"/>
        <v>NIL</v>
      </c>
      <c r="Q7853" t="str">
        <f t="shared" si="3209"/>
        <v>NIL</v>
      </c>
      <c r="R7853" t="str">
        <f t="shared" si="3206"/>
        <v>Accepted</v>
      </c>
      <c r="S7853" t="str">
        <f t="shared" si="3194"/>
        <v>Approved</v>
      </c>
      <c r="T7853" t="str">
        <f t="shared" si="3207"/>
        <v>10.20.8.188</v>
      </c>
      <c r="U7853" t="str">
        <f t="shared" si="3195"/>
        <v>AZRAD UMAR BIN SHAARI</v>
      </c>
      <c r="V7853" t="str">
        <f t="shared" si="3196"/>
        <v>FARHANA BINTI MUSTAPA</v>
      </c>
      <c r="W7853" t="str">
        <f t="shared" si="3197"/>
        <v>04-08-2020</v>
      </c>
      <c r="X7853" t="str">
        <f t="shared" si="3198"/>
        <v>RAZIMAH ANSAR AHMAD</v>
      </c>
      <c r="Y7853" t="str">
        <f t="shared" si="3199"/>
        <v>04-08-2020</v>
      </c>
      <c r="Z7853" t="str">
        <f>"COS10200804 1301"</f>
        <v>COS10200804 1301</v>
      </c>
    </row>
    <row r="7854" spans="1:26" x14ac:dyDescent="0.25">
      <c r="A7854" t="str">
        <f t="shared" si="3210"/>
        <v>04-08-2020 12:32:37</v>
      </c>
      <c r="B7854" t="str">
        <f>"0000803048"</f>
        <v>0000803048</v>
      </c>
      <c r="C7854" t="str">
        <f t="shared" si="3211"/>
        <v>0000802948</v>
      </c>
      <c r="D7854" t="str">
        <f t="shared" si="3189"/>
        <v>73185</v>
      </c>
      <c r="E7854" t="str">
        <f t="shared" si="3190"/>
        <v>KFH-OPERATIONS DEPARTMENT</v>
      </c>
      <c r="F7854" t="str">
        <f t="shared" si="3191"/>
        <v>IBG</v>
      </c>
      <c r="G7854" t="str">
        <f t="shared" si="3202"/>
        <v>Refund COSHARE 10</v>
      </c>
      <c r="H7854" s="2">
        <v>481.8</v>
      </c>
      <c r="I7854" t="str">
        <f>"SABIAH BINTI SAUM"</f>
        <v>SABIAH BINTI SAUM</v>
      </c>
      <c r="J7854" t="str">
        <f t="shared" si="3205"/>
        <v>BANK KERJASAMA RAKYAT</v>
      </c>
      <c r="K7854" t="str">
        <f>"220701352212"</f>
        <v>220701352212</v>
      </c>
      <c r="L7854" t="str">
        <f t="shared" si="3208"/>
        <v>04-08-2020</v>
      </c>
      <c r="M7854" t="str">
        <f t="shared" si="3208"/>
        <v>04-08-2020</v>
      </c>
      <c r="N7854" t="str">
        <f t="shared" si="3192"/>
        <v>001105018356</v>
      </c>
      <c r="O7854" t="str">
        <f t="shared" si="3193"/>
        <v>MYR</v>
      </c>
      <c r="P7854" t="str">
        <f t="shared" si="3209"/>
        <v>NIL</v>
      </c>
      <c r="Q7854" t="str">
        <f t="shared" si="3209"/>
        <v>NIL</v>
      </c>
      <c r="R7854" t="str">
        <f t="shared" si="3206"/>
        <v>Accepted</v>
      </c>
      <c r="S7854" t="str">
        <f t="shared" si="3194"/>
        <v>Approved</v>
      </c>
      <c r="T7854" t="str">
        <f t="shared" si="3207"/>
        <v>10.20.8.188</v>
      </c>
      <c r="U7854" t="str">
        <f t="shared" si="3195"/>
        <v>AZRAD UMAR BIN SHAARI</v>
      </c>
      <c r="V7854" t="str">
        <f t="shared" si="3196"/>
        <v>FARHANA BINTI MUSTAPA</v>
      </c>
      <c r="W7854" t="str">
        <f t="shared" si="3197"/>
        <v>04-08-2020</v>
      </c>
      <c r="X7854" t="str">
        <f t="shared" si="3198"/>
        <v>RAZIMAH ANSAR AHMAD</v>
      </c>
      <c r="Y7854" t="str">
        <f t="shared" si="3199"/>
        <v>04-08-2020</v>
      </c>
      <c r="Z7854" t="str">
        <f>"COS10200804 1300"</f>
        <v>COS10200804 1300</v>
      </c>
    </row>
    <row r="7855" spans="1:26" x14ac:dyDescent="0.25">
      <c r="A7855" t="str">
        <f t="shared" si="3210"/>
        <v>04-08-2020 12:32:37</v>
      </c>
      <c r="B7855" t="str">
        <f>"0000803047"</f>
        <v>0000803047</v>
      </c>
      <c r="C7855" t="str">
        <f t="shared" si="3211"/>
        <v>0000802948</v>
      </c>
      <c r="D7855" t="str">
        <f t="shared" si="3189"/>
        <v>73185</v>
      </c>
      <c r="E7855" t="str">
        <f t="shared" si="3190"/>
        <v>KFH-OPERATIONS DEPARTMENT</v>
      </c>
      <c r="F7855" t="str">
        <f t="shared" si="3191"/>
        <v>IBG</v>
      </c>
      <c r="G7855" t="str">
        <f t="shared" si="3202"/>
        <v>Refund COSHARE 10</v>
      </c>
      <c r="H7855" s="2">
        <v>1135.8499999999999</v>
      </c>
      <c r="I7855" t="str">
        <f>"SABARIAH BINTI HAJI OSMAN"</f>
        <v>SABARIAH BINTI HAJI OSMAN</v>
      </c>
      <c r="J7855" t="str">
        <f t="shared" si="3205"/>
        <v>BANK KERJASAMA RAKYAT</v>
      </c>
      <c r="K7855" t="str">
        <f>"220031364851"</f>
        <v>220031364851</v>
      </c>
      <c r="L7855" t="str">
        <f t="shared" si="3208"/>
        <v>04-08-2020</v>
      </c>
      <c r="M7855" t="str">
        <f t="shared" si="3208"/>
        <v>04-08-2020</v>
      </c>
      <c r="N7855" t="str">
        <f t="shared" si="3192"/>
        <v>001105018356</v>
      </c>
      <c r="O7855" t="str">
        <f t="shared" si="3193"/>
        <v>MYR</v>
      </c>
      <c r="P7855" t="str">
        <f t="shared" si="3209"/>
        <v>NIL</v>
      </c>
      <c r="Q7855" t="str">
        <f t="shared" si="3209"/>
        <v>NIL</v>
      </c>
      <c r="R7855" t="str">
        <f t="shared" si="3206"/>
        <v>Accepted</v>
      </c>
      <c r="S7855" t="str">
        <f t="shared" si="3194"/>
        <v>Approved</v>
      </c>
      <c r="T7855" t="str">
        <f t="shared" si="3207"/>
        <v>10.20.8.188</v>
      </c>
      <c r="U7855" t="str">
        <f t="shared" si="3195"/>
        <v>AZRAD UMAR BIN SHAARI</v>
      </c>
      <c r="V7855" t="str">
        <f t="shared" si="3196"/>
        <v>FARHANA BINTI MUSTAPA</v>
      </c>
      <c r="W7855" t="str">
        <f t="shared" si="3197"/>
        <v>04-08-2020</v>
      </c>
      <c r="X7855" t="str">
        <f t="shared" si="3198"/>
        <v>RAZIMAH ANSAR AHMAD</v>
      </c>
      <c r="Y7855" t="str">
        <f t="shared" si="3199"/>
        <v>04-08-2020</v>
      </c>
      <c r="Z7855" t="str">
        <f>"COS10200804 1299"</f>
        <v>COS10200804 1299</v>
      </c>
    </row>
    <row r="7856" spans="1:26" x14ac:dyDescent="0.25">
      <c r="A7856" t="str">
        <f t="shared" si="3210"/>
        <v>04-08-2020 12:32:37</v>
      </c>
      <c r="B7856" t="str">
        <f>"0000803046"</f>
        <v>0000803046</v>
      </c>
      <c r="C7856" t="str">
        <f t="shared" si="3211"/>
        <v>0000802948</v>
      </c>
      <c r="D7856" t="str">
        <f t="shared" si="3189"/>
        <v>73185</v>
      </c>
      <c r="E7856" t="str">
        <f t="shared" si="3190"/>
        <v>KFH-OPERATIONS DEPARTMENT</v>
      </c>
      <c r="F7856" t="str">
        <f t="shared" si="3191"/>
        <v>IBG</v>
      </c>
      <c r="G7856" t="str">
        <f t="shared" si="3202"/>
        <v>Refund COSHARE 10</v>
      </c>
      <c r="H7856" s="2">
        <v>1025.3499999999999</v>
      </c>
      <c r="I7856" t="str">
        <f>"SAADIAH BINTI JUNUS"</f>
        <v>SAADIAH BINTI JUNUS</v>
      </c>
      <c r="J7856" t="str">
        <f t="shared" si="3205"/>
        <v>BANK KERJASAMA RAKYAT</v>
      </c>
      <c r="K7856" t="str">
        <f>"220441102632"</f>
        <v>220441102632</v>
      </c>
      <c r="L7856" t="str">
        <f t="shared" si="3208"/>
        <v>04-08-2020</v>
      </c>
      <c r="M7856" t="str">
        <f t="shared" si="3208"/>
        <v>04-08-2020</v>
      </c>
      <c r="N7856" t="str">
        <f t="shared" si="3192"/>
        <v>001105018356</v>
      </c>
      <c r="O7856" t="str">
        <f t="shared" si="3193"/>
        <v>MYR</v>
      </c>
      <c r="P7856" t="str">
        <f t="shared" si="3209"/>
        <v>NIL</v>
      </c>
      <c r="Q7856" t="str">
        <f t="shared" si="3209"/>
        <v>NIL</v>
      </c>
      <c r="R7856" t="str">
        <f t="shared" si="3206"/>
        <v>Accepted</v>
      </c>
      <c r="S7856" t="str">
        <f t="shared" si="3194"/>
        <v>Approved</v>
      </c>
      <c r="T7856" t="str">
        <f t="shared" si="3207"/>
        <v>10.20.8.188</v>
      </c>
      <c r="U7856" t="str">
        <f t="shared" si="3195"/>
        <v>AZRAD UMAR BIN SHAARI</v>
      </c>
      <c r="V7856" t="str">
        <f t="shared" si="3196"/>
        <v>FARHANA BINTI MUSTAPA</v>
      </c>
      <c r="W7856" t="str">
        <f t="shared" si="3197"/>
        <v>04-08-2020</v>
      </c>
      <c r="X7856" t="str">
        <f t="shared" si="3198"/>
        <v>RAZIMAH ANSAR AHMAD</v>
      </c>
      <c r="Y7856" t="str">
        <f t="shared" si="3199"/>
        <v>04-08-2020</v>
      </c>
      <c r="Z7856" t="str">
        <f>"COS10200804 1298"</f>
        <v>COS10200804 1298</v>
      </c>
    </row>
    <row r="7857" spans="1:26" x14ac:dyDescent="0.25">
      <c r="A7857" t="str">
        <f t="shared" si="3210"/>
        <v>04-08-2020 12:32:37</v>
      </c>
      <c r="B7857" t="str">
        <f>"0000803045"</f>
        <v>0000803045</v>
      </c>
      <c r="C7857" t="str">
        <f t="shared" si="3211"/>
        <v>0000802948</v>
      </c>
      <c r="D7857" t="str">
        <f t="shared" si="3189"/>
        <v>73185</v>
      </c>
      <c r="E7857" t="str">
        <f t="shared" si="3190"/>
        <v>KFH-OPERATIONS DEPARTMENT</v>
      </c>
      <c r="F7857" t="str">
        <f t="shared" si="3191"/>
        <v>IBG</v>
      </c>
      <c r="G7857" t="str">
        <f t="shared" si="3202"/>
        <v>Refund COSHARE 10</v>
      </c>
      <c r="H7857" s="2">
        <v>49</v>
      </c>
      <c r="I7857" t="str">
        <f>"RUSLINA BINTI IBRAHIM"</f>
        <v>RUSLINA BINTI IBRAHIM</v>
      </c>
      <c r="J7857" t="str">
        <f t="shared" si="3205"/>
        <v>BANK KERJASAMA RAKYAT</v>
      </c>
      <c r="K7857" t="str">
        <f>"220321189687"</f>
        <v>220321189687</v>
      </c>
      <c r="L7857" t="str">
        <f t="shared" si="3208"/>
        <v>04-08-2020</v>
      </c>
      <c r="M7857" t="str">
        <f t="shared" si="3208"/>
        <v>04-08-2020</v>
      </c>
      <c r="N7857" t="str">
        <f t="shared" si="3192"/>
        <v>001105018356</v>
      </c>
      <c r="O7857" t="str">
        <f t="shared" si="3193"/>
        <v>MYR</v>
      </c>
      <c r="P7857" t="str">
        <f t="shared" si="3209"/>
        <v>NIL</v>
      </c>
      <c r="Q7857" t="str">
        <f t="shared" si="3209"/>
        <v>NIL</v>
      </c>
      <c r="R7857" t="str">
        <f t="shared" si="3206"/>
        <v>Accepted</v>
      </c>
      <c r="S7857" t="str">
        <f t="shared" si="3194"/>
        <v>Approved</v>
      </c>
      <c r="T7857" t="str">
        <f t="shared" si="3207"/>
        <v>10.20.8.188</v>
      </c>
      <c r="U7857" t="str">
        <f t="shared" si="3195"/>
        <v>AZRAD UMAR BIN SHAARI</v>
      </c>
      <c r="V7857" t="str">
        <f t="shared" si="3196"/>
        <v>FARHANA BINTI MUSTAPA</v>
      </c>
      <c r="W7857" t="str">
        <f t="shared" si="3197"/>
        <v>04-08-2020</v>
      </c>
      <c r="X7857" t="str">
        <f t="shared" si="3198"/>
        <v>RAZIMAH ANSAR AHMAD</v>
      </c>
      <c r="Y7857" t="str">
        <f t="shared" si="3199"/>
        <v>04-08-2020</v>
      </c>
      <c r="Z7857" t="str">
        <f>"COS10200804 1297"</f>
        <v>COS10200804 1297</v>
      </c>
    </row>
    <row r="7858" spans="1:26" x14ac:dyDescent="0.25">
      <c r="A7858" t="str">
        <f t="shared" si="3210"/>
        <v>04-08-2020 12:32:37</v>
      </c>
      <c r="B7858" t="str">
        <f>"0000803044"</f>
        <v>0000803044</v>
      </c>
      <c r="C7858" t="str">
        <f t="shared" si="3211"/>
        <v>0000802948</v>
      </c>
      <c r="D7858" t="str">
        <f t="shared" si="3189"/>
        <v>73185</v>
      </c>
      <c r="E7858" t="str">
        <f t="shared" si="3190"/>
        <v>KFH-OPERATIONS DEPARTMENT</v>
      </c>
      <c r="F7858" t="str">
        <f t="shared" si="3191"/>
        <v>IBG</v>
      </c>
      <c r="G7858" t="str">
        <f t="shared" si="3202"/>
        <v>Refund COSHARE 10</v>
      </c>
      <c r="H7858" s="2">
        <v>236.65</v>
      </c>
      <c r="I7858" t="str">
        <f>"RUSLIDA BINTI ISMAIL"</f>
        <v>RUSLIDA BINTI ISMAIL</v>
      </c>
      <c r="J7858" t="str">
        <f t="shared" si="3205"/>
        <v>BANK KERJASAMA RAKYAT</v>
      </c>
      <c r="K7858" t="str">
        <f>"220121337655"</f>
        <v>220121337655</v>
      </c>
      <c r="L7858" t="str">
        <f t="shared" si="3208"/>
        <v>04-08-2020</v>
      </c>
      <c r="M7858" t="str">
        <f t="shared" si="3208"/>
        <v>04-08-2020</v>
      </c>
      <c r="N7858" t="str">
        <f t="shared" si="3192"/>
        <v>001105018356</v>
      </c>
      <c r="O7858" t="str">
        <f t="shared" si="3193"/>
        <v>MYR</v>
      </c>
      <c r="P7858" t="str">
        <f t="shared" si="3209"/>
        <v>NIL</v>
      </c>
      <c r="Q7858" t="str">
        <f t="shared" si="3209"/>
        <v>NIL</v>
      </c>
      <c r="R7858" t="str">
        <f t="shared" si="3206"/>
        <v>Accepted</v>
      </c>
      <c r="S7858" t="str">
        <f t="shared" si="3194"/>
        <v>Approved</v>
      </c>
      <c r="T7858" t="str">
        <f t="shared" si="3207"/>
        <v>10.20.8.188</v>
      </c>
      <c r="U7858" t="str">
        <f t="shared" si="3195"/>
        <v>AZRAD UMAR BIN SHAARI</v>
      </c>
      <c r="V7858" t="str">
        <f t="shared" si="3196"/>
        <v>FARHANA BINTI MUSTAPA</v>
      </c>
      <c r="W7858" t="str">
        <f t="shared" si="3197"/>
        <v>04-08-2020</v>
      </c>
      <c r="X7858" t="str">
        <f t="shared" si="3198"/>
        <v>RAZIMAH ANSAR AHMAD</v>
      </c>
      <c r="Y7858" t="str">
        <f t="shared" si="3199"/>
        <v>04-08-2020</v>
      </c>
      <c r="Z7858" t="str">
        <f>"COS10200804 1296"</f>
        <v>COS10200804 1296</v>
      </c>
    </row>
    <row r="7859" spans="1:26" x14ac:dyDescent="0.25">
      <c r="A7859" t="str">
        <f t="shared" si="3210"/>
        <v>04-08-2020 12:32:37</v>
      </c>
      <c r="B7859" t="str">
        <f>"0000803043"</f>
        <v>0000803043</v>
      </c>
      <c r="C7859" t="str">
        <f t="shared" si="3211"/>
        <v>0000802948</v>
      </c>
      <c r="D7859" t="str">
        <f t="shared" si="3189"/>
        <v>73185</v>
      </c>
      <c r="E7859" t="str">
        <f t="shared" si="3190"/>
        <v>KFH-OPERATIONS DEPARTMENT</v>
      </c>
      <c r="F7859" t="str">
        <f t="shared" si="3191"/>
        <v>IBG</v>
      </c>
      <c r="G7859" t="str">
        <f t="shared" si="3202"/>
        <v>Refund COSHARE 10</v>
      </c>
      <c r="H7859" s="2">
        <v>1091.3499999999999</v>
      </c>
      <c r="I7859" t="str">
        <f>"RUSITA BINTI AHMAD"</f>
        <v>RUSITA BINTI AHMAD</v>
      </c>
      <c r="J7859" t="str">
        <f t="shared" si="3205"/>
        <v>BANK KERJASAMA RAKYAT</v>
      </c>
      <c r="K7859" t="str">
        <f>"220121402109"</f>
        <v>220121402109</v>
      </c>
      <c r="L7859" t="str">
        <f t="shared" si="3208"/>
        <v>04-08-2020</v>
      </c>
      <c r="M7859" t="str">
        <f t="shared" si="3208"/>
        <v>04-08-2020</v>
      </c>
      <c r="N7859" t="str">
        <f t="shared" si="3192"/>
        <v>001105018356</v>
      </c>
      <c r="O7859" t="str">
        <f t="shared" si="3193"/>
        <v>MYR</v>
      </c>
      <c r="P7859" t="str">
        <f t="shared" si="3209"/>
        <v>NIL</v>
      </c>
      <c r="Q7859" t="str">
        <f t="shared" si="3209"/>
        <v>NIL</v>
      </c>
      <c r="R7859" t="str">
        <f t="shared" si="3206"/>
        <v>Accepted</v>
      </c>
      <c r="S7859" t="str">
        <f t="shared" si="3194"/>
        <v>Approved</v>
      </c>
      <c r="T7859" t="str">
        <f t="shared" si="3207"/>
        <v>10.20.8.188</v>
      </c>
      <c r="U7859" t="str">
        <f t="shared" si="3195"/>
        <v>AZRAD UMAR BIN SHAARI</v>
      </c>
      <c r="V7859" t="str">
        <f t="shared" si="3196"/>
        <v>FARHANA BINTI MUSTAPA</v>
      </c>
      <c r="W7859" t="str">
        <f t="shared" si="3197"/>
        <v>04-08-2020</v>
      </c>
      <c r="X7859" t="str">
        <f t="shared" si="3198"/>
        <v>RAZIMAH ANSAR AHMAD</v>
      </c>
      <c r="Y7859" t="str">
        <f t="shared" si="3199"/>
        <v>04-08-2020</v>
      </c>
      <c r="Z7859" t="str">
        <f>"COS10200804 1295"</f>
        <v>COS10200804 1295</v>
      </c>
    </row>
    <row r="7860" spans="1:26" x14ac:dyDescent="0.25">
      <c r="A7860" t="str">
        <f t="shared" si="3210"/>
        <v>04-08-2020 12:32:37</v>
      </c>
      <c r="B7860" t="str">
        <f>"0000803042"</f>
        <v>0000803042</v>
      </c>
      <c r="C7860" t="str">
        <f t="shared" si="3211"/>
        <v>0000802948</v>
      </c>
      <c r="D7860" t="str">
        <f t="shared" si="3189"/>
        <v>73185</v>
      </c>
      <c r="E7860" t="str">
        <f t="shared" si="3190"/>
        <v>KFH-OPERATIONS DEPARTMENT</v>
      </c>
      <c r="F7860" t="str">
        <f t="shared" si="3191"/>
        <v>IBG</v>
      </c>
      <c r="G7860" t="str">
        <f t="shared" si="3202"/>
        <v>Refund COSHARE 10</v>
      </c>
      <c r="H7860" s="2">
        <v>125.95</v>
      </c>
      <c r="I7860" t="str">
        <f>"RUGIS MANDI ANAK LIDOM"</f>
        <v>RUGIS MANDI ANAK LIDOM</v>
      </c>
      <c r="J7860" t="str">
        <f t="shared" si="3205"/>
        <v>BANK KERJASAMA RAKYAT</v>
      </c>
      <c r="K7860" t="str">
        <f>"220841067027"</f>
        <v>220841067027</v>
      </c>
      <c r="L7860" t="str">
        <f t="shared" si="3208"/>
        <v>04-08-2020</v>
      </c>
      <c r="M7860" t="str">
        <f t="shared" si="3208"/>
        <v>04-08-2020</v>
      </c>
      <c r="N7860" t="str">
        <f t="shared" si="3192"/>
        <v>001105018356</v>
      </c>
      <c r="O7860" t="str">
        <f t="shared" si="3193"/>
        <v>MYR</v>
      </c>
      <c r="P7860" t="str">
        <f t="shared" si="3209"/>
        <v>NIL</v>
      </c>
      <c r="Q7860" t="str">
        <f t="shared" si="3209"/>
        <v>NIL</v>
      </c>
      <c r="R7860" t="str">
        <f t="shared" si="3206"/>
        <v>Accepted</v>
      </c>
      <c r="S7860" t="str">
        <f t="shared" si="3194"/>
        <v>Approved</v>
      </c>
      <c r="T7860" t="str">
        <f t="shared" si="3207"/>
        <v>10.20.8.188</v>
      </c>
      <c r="U7860" t="str">
        <f t="shared" si="3195"/>
        <v>AZRAD UMAR BIN SHAARI</v>
      </c>
      <c r="V7860" t="str">
        <f t="shared" si="3196"/>
        <v>FARHANA BINTI MUSTAPA</v>
      </c>
      <c r="W7860" t="str">
        <f t="shared" si="3197"/>
        <v>04-08-2020</v>
      </c>
      <c r="X7860" t="str">
        <f t="shared" si="3198"/>
        <v>RAZIMAH ANSAR AHMAD</v>
      </c>
      <c r="Y7860" t="str">
        <f t="shared" si="3199"/>
        <v>04-08-2020</v>
      </c>
      <c r="Z7860" t="str">
        <f>"COS10200804 1294"</f>
        <v>COS10200804 1294</v>
      </c>
    </row>
    <row r="7861" spans="1:26" x14ac:dyDescent="0.25">
      <c r="A7861" t="str">
        <f t="shared" si="3210"/>
        <v>04-08-2020 12:32:37</v>
      </c>
      <c r="B7861" t="str">
        <f>"0000803041"</f>
        <v>0000803041</v>
      </c>
      <c r="C7861" t="str">
        <f t="shared" si="3211"/>
        <v>0000802948</v>
      </c>
      <c r="D7861" t="str">
        <f t="shared" si="3189"/>
        <v>73185</v>
      </c>
      <c r="E7861" t="str">
        <f t="shared" si="3190"/>
        <v>KFH-OPERATIONS DEPARTMENT</v>
      </c>
      <c r="F7861" t="str">
        <f t="shared" si="3191"/>
        <v>IBG</v>
      </c>
      <c r="G7861" t="str">
        <f t="shared" si="3202"/>
        <v>Refund COSHARE 10</v>
      </c>
      <c r="H7861" s="2">
        <v>370</v>
      </c>
      <c r="I7861" t="str">
        <f>"RUGIJAH  RUZITA BINTI TUMERAN"</f>
        <v>RUGIJAH  RUZITA BINTI TUMERAN</v>
      </c>
      <c r="J7861" t="str">
        <f t="shared" si="3205"/>
        <v>BANK KERJASAMA RAKYAT</v>
      </c>
      <c r="K7861" t="str">
        <f>"220311224381"</f>
        <v>220311224381</v>
      </c>
      <c r="L7861" t="str">
        <f t="shared" si="3208"/>
        <v>04-08-2020</v>
      </c>
      <c r="M7861" t="str">
        <f t="shared" si="3208"/>
        <v>04-08-2020</v>
      </c>
      <c r="N7861" t="str">
        <f t="shared" si="3192"/>
        <v>001105018356</v>
      </c>
      <c r="O7861" t="str">
        <f t="shared" si="3193"/>
        <v>MYR</v>
      </c>
      <c r="P7861" t="str">
        <f t="shared" si="3209"/>
        <v>NIL</v>
      </c>
      <c r="Q7861" t="str">
        <f t="shared" si="3209"/>
        <v>NIL</v>
      </c>
      <c r="R7861" t="str">
        <f t="shared" si="3206"/>
        <v>Accepted</v>
      </c>
      <c r="S7861" t="str">
        <f t="shared" si="3194"/>
        <v>Approved</v>
      </c>
      <c r="T7861" t="str">
        <f t="shared" si="3207"/>
        <v>10.20.8.188</v>
      </c>
      <c r="U7861" t="str">
        <f t="shared" si="3195"/>
        <v>AZRAD UMAR BIN SHAARI</v>
      </c>
      <c r="V7861" t="str">
        <f t="shared" si="3196"/>
        <v>FARHANA BINTI MUSTAPA</v>
      </c>
      <c r="W7861" t="str">
        <f t="shared" si="3197"/>
        <v>04-08-2020</v>
      </c>
      <c r="X7861" t="str">
        <f t="shared" si="3198"/>
        <v>RAZIMAH ANSAR AHMAD</v>
      </c>
      <c r="Y7861" t="str">
        <f t="shared" si="3199"/>
        <v>04-08-2020</v>
      </c>
      <c r="Z7861" t="str">
        <f>"COS10200804 1293"</f>
        <v>COS10200804 1293</v>
      </c>
    </row>
    <row r="7862" spans="1:26" x14ac:dyDescent="0.25">
      <c r="A7862" t="str">
        <f t="shared" si="3210"/>
        <v>04-08-2020 12:32:37</v>
      </c>
      <c r="B7862" t="str">
        <f>"0000803040"</f>
        <v>0000803040</v>
      </c>
      <c r="C7862" t="str">
        <f t="shared" si="3211"/>
        <v>0000802948</v>
      </c>
      <c r="D7862" t="str">
        <f t="shared" si="3189"/>
        <v>73185</v>
      </c>
      <c r="E7862" t="str">
        <f t="shared" si="3190"/>
        <v>KFH-OPERATIONS DEPARTMENT</v>
      </c>
      <c r="F7862" t="str">
        <f t="shared" si="3191"/>
        <v>IBG</v>
      </c>
      <c r="G7862" t="str">
        <f t="shared" si="3202"/>
        <v>Refund COSHARE 10</v>
      </c>
      <c r="H7862" s="2">
        <v>1230.5</v>
      </c>
      <c r="I7862" t="str">
        <f>"RUGIJAH  RUZITA BINTI TUMERAN"</f>
        <v>RUGIJAH  RUZITA BINTI TUMERAN</v>
      </c>
      <c r="J7862" t="str">
        <f t="shared" si="3205"/>
        <v>BANK KERJASAMA RAKYAT</v>
      </c>
      <c r="K7862" t="str">
        <f>"220311224381"</f>
        <v>220311224381</v>
      </c>
      <c r="L7862" t="str">
        <f t="shared" si="3208"/>
        <v>04-08-2020</v>
      </c>
      <c r="M7862" t="str">
        <f t="shared" si="3208"/>
        <v>04-08-2020</v>
      </c>
      <c r="N7862" t="str">
        <f t="shared" si="3192"/>
        <v>001105018356</v>
      </c>
      <c r="O7862" t="str">
        <f t="shared" si="3193"/>
        <v>MYR</v>
      </c>
      <c r="P7862" t="str">
        <f t="shared" si="3209"/>
        <v>NIL</v>
      </c>
      <c r="Q7862" t="str">
        <f t="shared" si="3209"/>
        <v>NIL</v>
      </c>
      <c r="R7862" t="str">
        <f t="shared" si="3206"/>
        <v>Accepted</v>
      </c>
      <c r="S7862" t="str">
        <f t="shared" si="3194"/>
        <v>Approved</v>
      </c>
      <c r="T7862" t="str">
        <f t="shared" si="3207"/>
        <v>10.20.8.188</v>
      </c>
      <c r="U7862" t="str">
        <f t="shared" si="3195"/>
        <v>AZRAD UMAR BIN SHAARI</v>
      </c>
      <c r="V7862" t="str">
        <f t="shared" si="3196"/>
        <v>FARHANA BINTI MUSTAPA</v>
      </c>
      <c r="W7862" t="str">
        <f t="shared" si="3197"/>
        <v>04-08-2020</v>
      </c>
      <c r="X7862" t="str">
        <f t="shared" si="3198"/>
        <v>RAZIMAH ANSAR AHMAD</v>
      </c>
      <c r="Y7862" t="str">
        <f t="shared" si="3199"/>
        <v>04-08-2020</v>
      </c>
      <c r="Z7862" t="str">
        <f>"COS10200804 1292"</f>
        <v>COS10200804 1292</v>
      </c>
    </row>
    <row r="7863" spans="1:26" x14ac:dyDescent="0.25">
      <c r="A7863" t="str">
        <f t="shared" si="3210"/>
        <v>04-08-2020 12:32:37</v>
      </c>
      <c r="B7863" t="str">
        <f>"0000803039"</f>
        <v>0000803039</v>
      </c>
      <c r="C7863" t="str">
        <f t="shared" si="3211"/>
        <v>0000802948</v>
      </c>
      <c r="D7863" t="str">
        <f t="shared" si="3189"/>
        <v>73185</v>
      </c>
      <c r="E7863" t="str">
        <f t="shared" si="3190"/>
        <v>KFH-OPERATIONS DEPARTMENT</v>
      </c>
      <c r="F7863" t="str">
        <f t="shared" si="3191"/>
        <v>IBG</v>
      </c>
      <c r="G7863" t="str">
        <f t="shared" si="3202"/>
        <v>Refund COSHARE 10</v>
      </c>
      <c r="H7863" s="2">
        <v>461.75</v>
      </c>
      <c r="I7863" t="str">
        <f>"ROZILA BINTI RAMLI"</f>
        <v>ROZILA BINTI RAMLI</v>
      </c>
      <c r="J7863" t="str">
        <f t="shared" si="3205"/>
        <v>BANK KERJASAMA RAKYAT</v>
      </c>
      <c r="K7863" t="str">
        <f>"220502222514"</f>
        <v>220502222514</v>
      </c>
      <c r="L7863" t="str">
        <f t="shared" si="3208"/>
        <v>04-08-2020</v>
      </c>
      <c r="M7863" t="str">
        <f t="shared" si="3208"/>
        <v>04-08-2020</v>
      </c>
      <c r="N7863" t="str">
        <f t="shared" si="3192"/>
        <v>001105018356</v>
      </c>
      <c r="O7863" t="str">
        <f t="shared" si="3193"/>
        <v>MYR</v>
      </c>
      <c r="P7863" t="str">
        <f t="shared" si="3209"/>
        <v>NIL</v>
      </c>
      <c r="Q7863" t="str">
        <f t="shared" si="3209"/>
        <v>NIL</v>
      </c>
      <c r="R7863" t="str">
        <f t="shared" si="3206"/>
        <v>Accepted</v>
      </c>
      <c r="S7863" t="str">
        <f t="shared" si="3194"/>
        <v>Approved</v>
      </c>
      <c r="T7863" t="str">
        <f t="shared" si="3207"/>
        <v>10.20.8.188</v>
      </c>
      <c r="U7863" t="str">
        <f t="shared" si="3195"/>
        <v>AZRAD UMAR BIN SHAARI</v>
      </c>
      <c r="V7863" t="str">
        <f t="shared" si="3196"/>
        <v>FARHANA BINTI MUSTAPA</v>
      </c>
      <c r="W7863" t="str">
        <f t="shared" si="3197"/>
        <v>04-08-2020</v>
      </c>
      <c r="X7863" t="str">
        <f t="shared" si="3198"/>
        <v>RAZIMAH ANSAR AHMAD</v>
      </c>
      <c r="Y7863" t="str">
        <f t="shared" si="3199"/>
        <v>04-08-2020</v>
      </c>
      <c r="Z7863" t="str">
        <f>"COS10200804 1291"</f>
        <v>COS10200804 1291</v>
      </c>
    </row>
    <row r="7864" spans="1:26" x14ac:dyDescent="0.25">
      <c r="A7864" t="str">
        <f t="shared" si="3210"/>
        <v>04-08-2020 12:32:37</v>
      </c>
      <c r="B7864" t="str">
        <f>"0000803038"</f>
        <v>0000803038</v>
      </c>
      <c r="C7864" t="str">
        <f t="shared" si="3211"/>
        <v>0000802948</v>
      </c>
      <c r="D7864" t="str">
        <f t="shared" si="3189"/>
        <v>73185</v>
      </c>
      <c r="E7864" t="str">
        <f t="shared" si="3190"/>
        <v>KFH-OPERATIONS DEPARTMENT</v>
      </c>
      <c r="F7864" t="str">
        <f t="shared" si="3191"/>
        <v>IBG</v>
      </c>
      <c r="G7864" t="str">
        <f t="shared" si="3202"/>
        <v>Refund COSHARE 10</v>
      </c>
      <c r="H7864" s="2">
        <v>53.25</v>
      </c>
      <c r="I7864" t="str">
        <f>"ROZIHANA BINTI AHMAD RADZI"</f>
        <v>ROZIHANA BINTI AHMAD RADZI</v>
      </c>
      <c r="J7864" t="str">
        <f t="shared" si="3205"/>
        <v>BANK KERJASAMA RAKYAT</v>
      </c>
      <c r="K7864" t="str">
        <f>"220321177613"</f>
        <v>220321177613</v>
      </c>
      <c r="L7864" t="str">
        <f t="shared" si="3208"/>
        <v>04-08-2020</v>
      </c>
      <c r="M7864" t="str">
        <f t="shared" si="3208"/>
        <v>04-08-2020</v>
      </c>
      <c r="N7864" t="str">
        <f t="shared" si="3192"/>
        <v>001105018356</v>
      </c>
      <c r="O7864" t="str">
        <f t="shared" si="3193"/>
        <v>MYR</v>
      </c>
      <c r="P7864" t="str">
        <f t="shared" si="3209"/>
        <v>NIL</v>
      </c>
      <c r="Q7864" t="str">
        <f t="shared" si="3209"/>
        <v>NIL</v>
      </c>
      <c r="R7864" t="str">
        <f t="shared" si="3206"/>
        <v>Accepted</v>
      </c>
      <c r="S7864" t="str">
        <f t="shared" si="3194"/>
        <v>Approved</v>
      </c>
      <c r="T7864" t="str">
        <f t="shared" si="3207"/>
        <v>10.20.8.188</v>
      </c>
      <c r="U7864" t="str">
        <f t="shared" si="3195"/>
        <v>AZRAD UMAR BIN SHAARI</v>
      </c>
      <c r="V7864" t="str">
        <f t="shared" si="3196"/>
        <v>FARHANA BINTI MUSTAPA</v>
      </c>
      <c r="W7864" t="str">
        <f t="shared" si="3197"/>
        <v>04-08-2020</v>
      </c>
      <c r="X7864" t="str">
        <f t="shared" si="3198"/>
        <v>RAZIMAH ANSAR AHMAD</v>
      </c>
      <c r="Y7864" t="str">
        <f t="shared" si="3199"/>
        <v>04-08-2020</v>
      </c>
      <c r="Z7864" t="str">
        <f>"COS10200804 1290"</f>
        <v>COS10200804 1290</v>
      </c>
    </row>
    <row r="7865" spans="1:26" x14ac:dyDescent="0.25">
      <c r="A7865" t="str">
        <f t="shared" si="3210"/>
        <v>04-08-2020 12:32:37</v>
      </c>
      <c r="B7865" t="str">
        <f>"0000803037"</f>
        <v>0000803037</v>
      </c>
      <c r="C7865" t="str">
        <f t="shared" si="3211"/>
        <v>0000802948</v>
      </c>
      <c r="D7865" t="str">
        <f t="shared" si="3189"/>
        <v>73185</v>
      </c>
      <c r="E7865" t="str">
        <f t="shared" si="3190"/>
        <v>KFH-OPERATIONS DEPARTMENT</v>
      </c>
      <c r="F7865" t="str">
        <f t="shared" si="3191"/>
        <v>IBG</v>
      </c>
      <c r="G7865" t="str">
        <f t="shared" si="3202"/>
        <v>Refund COSHARE 10</v>
      </c>
      <c r="H7865" s="2">
        <v>587.65</v>
      </c>
      <c r="I7865" t="str">
        <f>"ROZIANTI BINTI BEGADAT"</f>
        <v>ROZIANTI BINTI BEGADAT</v>
      </c>
      <c r="J7865" t="str">
        <f t="shared" si="3205"/>
        <v>BANK KERJASAMA RAKYAT</v>
      </c>
      <c r="K7865" t="str">
        <f>"221091007420"</f>
        <v>221091007420</v>
      </c>
      <c r="L7865" t="str">
        <f t="shared" si="3208"/>
        <v>04-08-2020</v>
      </c>
      <c r="M7865" t="str">
        <f t="shared" si="3208"/>
        <v>04-08-2020</v>
      </c>
      <c r="N7865" t="str">
        <f t="shared" si="3192"/>
        <v>001105018356</v>
      </c>
      <c r="O7865" t="str">
        <f t="shared" si="3193"/>
        <v>MYR</v>
      </c>
      <c r="P7865" t="str">
        <f t="shared" si="3209"/>
        <v>NIL</v>
      </c>
      <c r="Q7865" t="str">
        <f t="shared" si="3209"/>
        <v>NIL</v>
      </c>
      <c r="R7865" t="str">
        <f t="shared" si="3206"/>
        <v>Accepted</v>
      </c>
      <c r="S7865" t="str">
        <f t="shared" si="3194"/>
        <v>Approved</v>
      </c>
      <c r="T7865" t="str">
        <f t="shared" si="3207"/>
        <v>10.20.8.188</v>
      </c>
      <c r="U7865" t="str">
        <f t="shared" si="3195"/>
        <v>AZRAD UMAR BIN SHAARI</v>
      </c>
      <c r="V7865" t="str">
        <f t="shared" si="3196"/>
        <v>FARHANA BINTI MUSTAPA</v>
      </c>
      <c r="W7865" t="str">
        <f t="shared" si="3197"/>
        <v>04-08-2020</v>
      </c>
      <c r="X7865" t="str">
        <f t="shared" si="3198"/>
        <v>RAZIMAH ANSAR AHMAD</v>
      </c>
      <c r="Y7865" t="str">
        <f t="shared" si="3199"/>
        <v>04-08-2020</v>
      </c>
      <c r="Z7865" t="str">
        <f>"COS10200804 1289"</f>
        <v>COS10200804 1289</v>
      </c>
    </row>
    <row r="7866" spans="1:26" x14ac:dyDescent="0.25">
      <c r="A7866" t="str">
        <f t="shared" si="3210"/>
        <v>04-08-2020 12:32:37</v>
      </c>
      <c r="B7866" t="str">
        <f>"0000803036"</f>
        <v>0000803036</v>
      </c>
      <c r="C7866" t="str">
        <f t="shared" si="3211"/>
        <v>0000802948</v>
      </c>
      <c r="D7866" t="str">
        <f t="shared" si="3189"/>
        <v>73185</v>
      </c>
      <c r="E7866" t="str">
        <f t="shared" si="3190"/>
        <v>KFH-OPERATIONS DEPARTMENT</v>
      </c>
      <c r="F7866" t="str">
        <f t="shared" si="3191"/>
        <v>IBG</v>
      </c>
      <c r="G7866" t="str">
        <f t="shared" si="3202"/>
        <v>Refund COSHARE 10</v>
      </c>
      <c r="H7866" s="2">
        <v>1679</v>
      </c>
      <c r="I7866" t="str">
        <f>"ROZER DAIMUN"</f>
        <v>ROZER DAIMUN</v>
      </c>
      <c r="J7866" t="str">
        <f t="shared" si="3205"/>
        <v>BANK KERJASAMA RAKYAT</v>
      </c>
      <c r="K7866" t="str">
        <f>"220743131366"</f>
        <v>220743131366</v>
      </c>
      <c r="L7866" t="str">
        <f t="shared" si="3208"/>
        <v>04-08-2020</v>
      </c>
      <c r="M7866" t="str">
        <f t="shared" si="3208"/>
        <v>04-08-2020</v>
      </c>
      <c r="N7866" t="str">
        <f t="shared" si="3192"/>
        <v>001105018356</v>
      </c>
      <c r="O7866" t="str">
        <f t="shared" si="3193"/>
        <v>MYR</v>
      </c>
      <c r="P7866" t="str">
        <f t="shared" si="3209"/>
        <v>NIL</v>
      </c>
      <c r="Q7866" t="str">
        <f t="shared" si="3209"/>
        <v>NIL</v>
      </c>
      <c r="R7866" t="str">
        <f t="shared" si="3206"/>
        <v>Accepted</v>
      </c>
      <c r="S7866" t="str">
        <f t="shared" si="3194"/>
        <v>Approved</v>
      </c>
      <c r="T7866" t="str">
        <f t="shared" si="3207"/>
        <v>10.20.8.188</v>
      </c>
      <c r="U7866" t="str">
        <f t="shared" si="3195"/>
        <v>AZRAD UMAR BIN SHAARI</v>
      </c>
      <c r="V7866" t="str">
        <f t="shared" si="3196"/>
        <v>FARHANA BINTI MUSTAPA</v>
      </c>
      <c r="W7866" t="str">
        <f t="shared" si="3197"/>
        <v>04-08-2020</v>
      </c>
      <c r="X7866" t="str">
        <f t="shared" si="3198"/>
        <v>RAZIMAH ANSAR AHMAD</v>
      </c>
      <c r="Y7866" t="str">
        <f t="shared" si="3199"/>
        <v>04-08-2020</v>
      </c>
      <c r="Z7866" t="str">
        <f>"COS10200804 1288"</f>
        <v>COS10200804 1288</v>
      </c>
    </row>
    <row r="7867" spans="1:26" x14ac:dyDescent="0.25">
      <c r="A7867" t="str">
        <f t="shared" si="3210"/>
        <v>04-08-2020 12:32:37</v>
      </c>
      <c r="B7867" t="str">
        <f>"0000803035"</f>
        <v>0000803035</v>
      </c>
      <c r="C7867" t="str">
        <f t="shared" si="3211"/>
        <v>0000802948</v>
      </c>
      <c r="D7867" t="str">
        <f t="shared" si="3189"/>
        <v>73185</v>
      </c>
      <c r="E7867" t="str">
        <f t="shared" si="3190"/>
        <v>KFH-OPERATIONS DEPARTMENT</v>
      </c>
      <c r="F7867" t="str">
        <f t="shared" si="3191"/>
        <v>IBG</v>
      </c>
      <c r="G7867" t="str">
        <f t="shared" si="3202"/>
        <v>Refund COSHARE 10</v>
      </c>
      <c r="H7867" s="2">
        <v>121</v>
      </c>
      <c r="I7867" t="str">
        <f>"ROSNANI BINTI IBRAHIM"</f>
        <v>ROSNANI BINTI IBRAHIM</v>
      </c>
      <c r="J7867" t="str">
        <f t="shared" si="3205"/>
        <v>BANK KERJASAMA RAKYAT</v>
      </c>
      <c r="K7867" t="str">
        <f>"220121428244"</f>
        <v>220121428244</v>
      </c>
      <c r="L7867" t="str">
        <f t="shared" ref="L7867:M7886" si="3212">"04-08-2020"</f>
        <v>04-08-2020</v>
      </c>
      <c r="M7867" t="str">
        <f t="shared" si="3212"/>
        <v>04-08-2020</v>
      </c>
      <c r="N7867" t="str">
        <f t="shared" si="3192"/>
        <v>001105018356</v>
      </c>
      <c r="O7867" t="str">
        <f t="shared" si="3193"/>
        <v>MYR</v>
      </c>
      <c r="P7867" t="str">
        <f t="shared" ref="P7867:Q7886" si="3213">"NIL"</f>
        <v>NIL</v>
      </c>
      <c r="Q7867" t="str">
        <f t="shared" si="3213"/>
        <v>NIL</v>
      </c>
      <c r="R7867" t="str">
        <f t="shared" si="3206"/>
        <v>Accepted</v>
      </c>
      <c r="S7867" t="str">
        <f t="shared" si="3194"/>
        <v>Approved</v>
      </c>
      <c r="T7867" t="str">
        <f t="shared" si="3207"/>
        <v>10.20.8.188</v>
      </c>
      <c r="U7867" t="str">
        <f t="shared" si="3195"/>
        <v>AZRAD UMAR BIN SHAARI</v>
      </c>
      <c r="V7867" t="str">
        <f t="shared" si="3196"/>
        <v>FARHANA BINTI MUSTAPA</v>
      </c>
      <c r="W7867" t="str">
        <f t="shared" si="3197"/>
        <v>04-08-2020</v>
      </c>
      <c r="X7867" t="str">
        <f t="shared" si="3198"/>
        <v>RAZIMAH ANSAR AHMAD</v>
      </c>
      <c r="Y7867" t="str">
        <f t="shared" si="3199"/>
        <v>04-08-2020</v>
      </c>
      <c r="Z7867" t="str">
        <f>"COS10200804 1287"</f>
        <v>COS10200804 1287</v>
      </c>
    </row>
    <row r="7868" spans="1:26" x14ac:dyDescent="0.25">
      <c r="A7868" t="str">
        <f t="shared" si="3210"/>
        <v>04-08-2020 12:32:37</v>
      </c>
      <c r="B7868" t="str">
        <f>"0000803034"</f>
        <v>0000803034</v>
      </c>
      <c r="C7868" t="str">
        <f t="shared" si="3211"/>
        <v>0000802948</v>
      </c>
      <c r="D7868" t="str">
        <f t="shared" si="3189"/>
        <v>73185</v>
      </c>
      <c r="E7868" t="str">
        <f t="shared" si="3190"/>
        <v>KFH-OPERATIONS DEPARTMENT</v>
      </c>
      <c r="F7868" t="str">
        <f t="shared" si="3191"/>
        <v>IBG</v>
      </c>
      <c r="G7868" t="str">
        <f t="shared" si="3202"/>
        <v>Refund COSHARE 10</v>
      </c>
      <c r="H7868" s="2">
        <v>88</v>
      </c>
      <c r="I7868" t="str">
        <f>"ROSNANI BINTI IBRAHIM"</f>
        <v>ROSNANI BINTI IBRAHIM</v>
      </c>
      <c r="J7868" t="str">
        <f t="shared" si="3205"/>
        <v>BANK KERJASAMA RAKYAT</v>
      </c>
      <c r="K7868" t="str">
        <f>"220121428244"</f>
        <v>220121428244</v>
      </c>
      <c r="L7868" t="str">
        <f t="shared" si="3212"/>
        <v>04-08-2020</v>
      </c>
      <c r="M7868" t="str">
        <f t="shared" si="3212"/>
        <v>04-08-2020</v>
      </c>
      <c r="N7868" t="str">
        <f t="shared" si="3192"/>
        <v>001105018356</v>
      </c>
      <c r="O7868" t="str">
        <f t="shared" si="3193"/>
        <v>MYR</v>
      </c>
      <c r="P7868" t="str">
        <f t="shared" si="3213"/>
        <v>NIL</v>
      </c>
      <c r="Q7868" t="str">
        <f t="shared" si="3213"/>
        <v>NIL</v>
      </c>
      <c r="R7868" t="str">
        <f t="shared" si="3206"/>
        <v>Accepted</v>
      </c>
      <c r="S7868" t="str">
        <f t="shared" si="3194"/>
        <v>Approved</v>
      </c>
      <c r="T7868" t="str">
        <f t="shared" si="3207"/>
        <v>10.20.8.188</v>
      </c>
      <c r="U7868" t="str">
        <f t="shared" si="3195"/>
        <v>AZRAD UMAR BIN SHAARI</v>
      </c>
      <c r="V7868" t="str">
        <f t="shared" si="3196"/>
        <v>FARHANA BINTI MUSTAPA</v>
      </c>
      <c r="W7868" t="str">
        <f t="shared" si="3197"/>
        <v>04-08-2020</v>
      </c>
      <c r="X7868" t="str">
        <f t="shared" si="3198"/>
        <v>RAZIMAH ANSAR AHMAD</v>
      </c>
      <c r="Y7868" t="str">
        <f t="shared" si="3199"/>
        <v>04-08-2020</v>
      </c>
      <c r="Z7868" t="str">
        <f>"COS10200804 1286"</f>
        <v>COS10200804 1286</v>
      </c>
    </row>
    <row r="7869" spans="1:26" x14ac:dyDescent="0.25">
      <c r="A7869" t="str">
        <f t="shared" si="3210"/>
        <v>04-08-2020 12:32:37</v>
      </c>
      <c r="B7869" t="str">
        <f>"0000803033"</f>
        <v>0000803033</v>
      </c>
      <c r="C7869" t="str">
        <f t="shared" si="3211"/>
        <v>0000802948</v>
      </c>
      <c r="D7869" t="str">
        <f t="shared" si="3189"/>
        <v>73185</v>
      </c>
      <c r="E7869" t="str">
        <f t="shared" si="3190"/>
        <v>KFH-OPERATIONS DEPARTMENT</v>
      </c>
      <c r="F7869" t="str">
        <f t="shared" si="3191"/>
        <v>IBG</v>
      </c>
      <c r="G7869" t="str">
        <f t="shared" si="3202"/>
        <v>Refund COSHARE 10</v>
      </c>
      <c r="H7869" s="2">
        <v>889.9</v>
      </c>
      <c r="I7869" t="str">
        <f>"ROSNAH BINTI ONGKAL"</f>
        <v>ROSNAH BINTI ONGKAL</v>
      </c>
      <c r="J7869" t="str">
        <f t="shared" si="3205"/>
        <v>BANK KERJASAMA RAKYAT</v>
      </c>
      <c r="K7869" t="str">
        <f>"220711145983"</f>
        <v>220711145983</v>
      </c>
      <c r="L7869" t="str">
        <f t="shared" si="3212"/>
        <v>04-08-2020</v>
      </c>
      <c r="M7869" t="str">
        <f t="shared" si="3212"/>
        <v>04-08-2020</v>
      </c>
      <c r="N7869" t="str">
        <f t="shared" si="3192"/>
        <v>001105018356</v>
      </c>
      <c r="O7869" t="str">
        <f t="shared" si="3193"/>
        <v>MYR</v>
      </c>
      <c r="P7869" t="str">
        <f t="shared" si="3213"/>
        <v>NIL</v>
      </c>
      <c r="Q7869" t="str">
        <f t="shared" si="3213"/>
        <v>NIL</v>
      </c>
      <c r="R7869" t="str">
        <f t="shared" si="3206"/>
        <v>Accepted</v>
      </c>
      <c r="S7869" t="str">
        <f t="shared" si="3194"/>
        <v>Approved</v>
      </c>
      <c r="T7869" t="str">
        <f t="shared" si="3207"/>
        <v>10.20.8.188</v>
      </c>
      <c r="U7869" t="str">
        <f t="shared" si="3195"/>
        <v>AZRAD UMAR BIN SHAARI</v>
      </c>
      <c r="V7869" t="str">
        <f t="shared" si="3196"/>
        <v>FARHANA BINTI MUSTAPA</v>
      </c>
      <c r="W7869" t="str">
        <f t="shared" si="3197"/>
        <v>04-08-2020</v>
      </c>
      <c r="X7869" t="str">
        <f t="shared" si="3198"/>
        <v>RAZIMAH ANSAR AHMAD</v>
      </c>
      <c r="Y7869" t="str">
        <f t="shared" si="3199"/>
        <v>04-08-2020</v>
      </c>
      <c r="Z7869" t="str">
        <f>"COS10200804 1285"</f>
        <v>COS10200804 1285</v>
      </c>
    </row>
    <row r="7870" spans="1:26" x14ac:dyDescent="0.25">
      <c r="A7870" t="str">
        <f t="shared" si="3210"/>
        <v>04-08-2020 12:32:37</v>
      </c>
      <c r="B7870" t="str">
        <f>"0000803032"</f>
        <v>0000803032</v>
      </c>
      <c r="C7870" t="str">
        <f t="shared" si="3211"/>
        <v>0000802948</v>
      </c>
      <c r="D7870" t="str">
        <f t="shared" si="3189"/>
        <v>73185</v>
      </c>
      <c r="E7870" t="str">
        <f t="shared" si="3190"/>
        <v>KFH-OPERATIONS DEPARTMENT</v>
      </c>
      <c r="F7870" t="str">
        <f t="shared" si="3191"/>
        <v>IBG</v>
      </c>
      <c r="G7870" t="str">
        <f t="shared" si="3202"/>
        <v>Refund COSHARE 10</v>
      </c>
      <c r="H7870" s="2">
        <v>167.9</v>
      </c>
      <c r="I7870" t="str">
        <f>"ROSNAH BINTI ISMAIL"</f>
        <v>ROSNAH BINTI ISMAIL</v>
      </c>
      <c r="J7870" t="str">
        <f t="shared" si="3205"/>
        <v>BANK KERJASAMA RAKYAT</v>
      </c>
      <c r="K7870" t="str">
        <f>"220021458792"</f>
        <v>220021458792</v>
      </c>
      <c r="L7870" t="str">
        <f t="shared" si="3212"/>
        <v>04-08-2020</v>
      </c>
      <c r="M7870" t="str">
        <f t="shared" si="3212"/>
        <v>04-08-2020</v>
      </c>
      <c r="N7870" t="str">
        <f t="shared" si="3192"/>
        <v>001105018356</v>
      </c>
      <c r="O7870" t="str">
        <f t="shared" si="3193"/>
        <v>MYR</v>
      </c>
      <c r="P7870" t="str">
        <f t="shared" si="3213"/>
        <v>NIL</v>
      </c>
      <c r="Q7870" t="str">
        <f t="shared" si="3213"/>
        <v>NIL</v>
      </c>
      <c r="R7870" t="str">
        <f t="shared" si="3206"/>
        <v>Accepted</v>
      </c>
      <c r="S7870" t="str">
        <f t="shared" si="3194"/>
        <v>Approved</v>
      </c>
      <c r="T7870" t="str">
        <f t="shared" si="3207"/>
        <v>10.20.8.188</v>
      </c>
      <c r="U7870" t="str">
        <f t="shared" si="3195"/>
        <v>AZRAD UMAR BIN SHAARI</v>
      </c>
      <c r="V7870" t="str">
        <f t="shared" si="3196"/>
        <v>FARHANA BINTI MUSTAPA</v>
      </c>
      <c r="W7870" t="str">
        <f t="shared" si="3197"/>
        <v>04-08-2020</v>
      </c>
      <c r="X7870" t="str">
        <f t="shared" si="3198"/>
        <v>RAZIMAH ANSAR AHMAD</v>
      </c>
      <c r="Y7870" t="str">
        <f t="shared" si="3199"/>
        <v>04-08-2020</v>
      </c>
      <c r="Z7870" t="str">
        <f>"COS10200804 1284"</f>
        <v>COS10200804 1284</v>
      </c>
    </row>
    <row r="7871" spans="1:26" x14ac:dyDescent="0.25">
      <c r="A7871" t="str">
        <f t="shared" si="3210"/>
        <v>04-08-2020 12:32:37</v>
      </c>
      <c r="B7871" t="str">
        <f>"0000803031"</f>
        <v>0000803031</v>
      </c>
      <c r="C7871" t="str">
        <f t="shared" si="3211"/>
        <v>0000802948</v>
      </c>
      <c r="D7871" t="str">
        <f t="shared" si="3189"/>
        <v>73185</v>
      </c>
      <c r="E7871" t="str">
        <f t="shared" si="3190"/>
        <v>KFH-OPERATIONS DEPARTMENT</v>
      </c>
      <c r="F7871" t="str">
        <f t="shared" si="3191"/>
        <v>IBG</v>
      </c>
      <c r="G7871" t="str">
        <f t="shared" si="3202"/>
        <v>Refund COSHARE 10</v>
      </c>
      <c r="H7871" s="2">
        <v>1351.6</v>
      </c>
      <c r="I7871" t="str">
        <f>"ROSMINA BINTI AWANG IBRAHIM"</f>
        <v>ROSMINA BINTI AWANG IBRAHIM</v>
      </c>
      <c r="J7871" t="str">
        <f t="shared" si="3205"/>
        <v>BANK KERJASAMA RAKYAT</v>
      </c>
      <c r="K7871" t="str">
        <f>"221001094179"</f>
        <v>221001094179</v>
      </c>
      <c r="L7871" t="str">
        <f t="shared" si="3212"/>
        <v>04-08-2020</v>
      </c>
      <c r="M7871" t="str">
        <f t="shared" si="3212"/>
        <v>04-08-2020</v>
      </c>
      <c r="N7871" t="str">
        <f t="shared" si="3192"/>
        <v>001105018356</v>
      </c>
      <c r="O7871" t="str">
        <f t="shared" si="3193"/>
        <v>MYR</v>
      </c>
      <c r="P7871" t="str">
        <f t="shared" si="3213"/>
        <v>NIL</v>
      </c>
      <c r="Q7871" t="str">
        <f t="shared" si="3213"/>
        <v>NIL</v>
      </c>
      <c r="R7871" t="str">
        <f t="shared" si="3206"/>
        <v>Accepted</v>
      </c>
      <c r="S7871" t="str">
        <f t="shared" si="3194"/>
        <v>Approved</v>
      </c>
      <c r="T7871" t="str">
        <f t="shared" si="3207"/>
        <v>10.20.8.188</v>
      </c>
      <c r="U7871" t="str">
        <f t="shared" si="3195"/>
        <v>AZRAD UMAR BIN SHAARI</v>
      </c>
      <c r="V7871" t="str">
        <f t="shared" si="3196"/>
        <v>FARHANA BINTI MUSTAPA</v>
      </c>
      <c r="W7871" t="str">
        <f t="shared" si="3197"/>
        <v>04-08-2020</v>
      </c>
      <c r="X7871" t="str">
        <f t="shared" si="3198"/>
        <v>RAZIMAH ANSAR AHMAD</v>
      </c>
      <c r="Y7871" t="str">
        <f t="shared" si="3199"/>
        <v>04-08-2020</v>
      </c>
      <c r="Z7871" t="str">
        <f>"COS10200804 1283"</f>
        <v>COS10200804 1283</v>
      </c>
    </row>
    <row r="7872" spans="1:26" x14ac:dyDescent="0.25">
      <c r="A7872" t="str">
        <f t="shared" si="3210"/>
        <v>04-08-2020 12:32:37</v>
      </c>
      <c r="B7872" t="str">
        <f>"0000803030"</f>
        <v>0000803030</v>
      </c>
      <c r="C7872" t="str">
        <f t="shared" si="3211"/>
        <v>0000802948</v>
      </c>
      <c r="D7872" t="str">
        <f t="shared" si="3189"/>
        <v>73185</v>
      </c>
      <c r="E7872" t="str">
        <f t="shared" si="3190"/>
        <v>KFH-OPERATIONS DEPARTMENT</v>
      </c>
      <c r="F7872" t="str">
        <f t="shared" si="3191"/>
        <v>IBG</v>
      </c>
      <c r="G7872" t="str">
        <f t="shared" si="3202"/>
        <v>Refund COSHARE 10</v>
      </c>
      <c r="H7872" s="2">
        <v>335.8</v>
      </c>
      <c r="I7872" t="str">
        <f>"ROSMALINI BINTI ACHIT  AB AZIZ"</f>
        <v>ROSMALINI BINTI ACHIT  AB AZIZ</v>
      </c>
      <c r="J7872" t="str">
        <f t="shared" si="3205"/>
        <v>BANK KERJASAMA RAKYAT</v>
      </c>
      <c r="K7872" t="str">
        <f>"220921158321"</f>
        <v>220921158321</v>
      </c>
      <c r="L7872" t="str">
        <f t="shared" si="3212"/>
        <v>04-08-2020</v>
      </c>
      <c r="M7872" t="str">
        <f t="shared" si="3212"/>
        <v>04-08-2020</v>
      </c>
      <c r="N7872" t="str">
        <f t="shared" si="3192"/>
        <v>001105018356</v>
      </c>
      <c r="O7872" t="str">
        <f t="shared" si="3193"/>
        <v>MYR</v>
      </c>
      <c r="P7872" t="str">
        <f t="shared" si="3213"/>
        <v>NIL</v>
      </c>
      <c r="Q7872" t="str">
        <f t="shared" si="3213"/>
        <v>NIL</v>
      </c>
      <c r="R7872" t="str">
        <f t="shared" si="3206"/>
        <v>Accepted</v>
      </c>
      <c r="S7872" t="str">
        <f t="shared" si="3194"/>
        <v>Approved</v>
      </c>
      <c r="T7872" t="str">
        <f t="shared" si="3207"/>
        <v>10.20.8.188</v>
      </c>
      <c r="U7872" t="str">
        <f t="shared" si="3195"/>
        <v>AZRAD UMAR BIN SHAARI</v>
      </c>
      <c r="V7872" t="str">
        <f t="shared" si="3196"/>
        <v>FARHANA BINTI MUSTAPA</v>
      </c>
      <c r="W7872" t="str">
        <f t="shared" si="3197"/>
        <v>04-08-2020</v>
      </c>
      <c r="X7872" t="str">
        <f t="shared" si="3198"/>
        <v>RAZIMAH ANSAR AHMAD</v>
      </c>
      <c r="Y7872" t="str">
        <f t="shared" si="3199"/>
        <v>04-08-2020</v>
      </c>
      <c r="Z7872" t="str">
        <f>"COS10200804 1282"</f>
        <v>COS10200804 1282</v>
      </c>
    </row>
    <row r="7873" spans="1:26" x14ac:dyDescent="0.25">
      <c r="A7873" t="str">
        <f t="shared" si="3210"/>
        <v>04-08-2020 12:32:37</v>
      </c>
      <c r="B7873" t="str">
        <f>"0000803029"</f>
        <v>0000803029</v>
      </c>
      <c r="C7873" t="str">
        <f t="shared" si="3211"/>
        <v>0000802948</v>
      </c>
      <c r="D7873" t="str">
        <f t="shared" si="3189"/>
        <v>73185</v>
      </c>
      <c r="E7873" t="str">
        <f t="shared" si="3190"/>
        <v>KFH-OPERATIONS DEPARTMENT</v>
      </c>
      <c r="F7873" t="str">
        <f t="shared" si="3191"/>
        <v>IBG</v>
      </c>
      <c r="G7873" t="str">
        <f t="shared" si="3202"/>
        <v>Refund COSHARE 10</v>
      </c>
      <c r="H7873" s="2">
        <v>982.7</v>
      </c>
      <c r="I7873" t="str">
        <f>"ROSLIZA BINTI HUSIN"</f>
        <v>ROSLIZA BINTI HUSIN</v>
      </c>
      <c r="J7873" t="str">
        <f t="shared" si="3205"/>
        <v>BANK KERJASAMA RAKYAT</v>
      </c>
      <c r="K7873" t="str">
        <f>"220361031166"</f>
        <v>220361031166</v>
      </c>
      <c r="L7873" t="str">
        <f t="shared" si="3212"/>
        <v>04-08-2020</v>
      </c>
      <c r="M7873" t="str">
        <f t="shared" si="3212"/>
        <v>04-08-2020</v>
      </c>
      <c r="N7873" t="str">
        <f t="shared" si="3192"/>
        <v>001105018356</v>
      </c>
      <c r="O7873" t="str">
        <f t="shared" si="3193"/>
        <v>MYR</v>
      </c>
      <c r="P7873" t="str">
        <f t="shared" si="3213"/>
        <v>NIL</v>
      </c>
      <c r="Q7873" t="str">
        <f t="shared" si="3213"/>
        <v>NIL</v>
      </c>
      <c r="R7873" t="str">
        <f t="shared" si="3206"/>
        <v>Accepted</v>
      </c>
      <c r="S7873" t="str">
        <f t="shared" si="3194"/>
        <v>Approved</v>
      </c>
      <c r="T7873" t="str">
        <f t="shared" si="3207"/>
        <v>10.20.8.188</v>
      </c>
      <c r="U7873" t="str">
        <f t="shared" si="3195"/>
        <v>AZRAD UMAR BIN SHAARI</v>
      </c>
      <c r="V7873" t="str">
        <f t="shared" si="3196"/>
        <v>FARHANA BINTI MUSTAPA</v>
      </c>
      <c r="W7873" t="str">
        <f t="shared" si="3197"/>
        <v>04-08-2020</v>
      </c>
      <c r="X7873" t="str">
        <f t="shared" si="3198"/>
        <v>RAZIMAH ANSAR AHMAD</v>
      </c>
      <c r="Y7873" t="str">
        <f t="shared" si="3199"/>
        <v>04-08-2020</v>
      </c>
      <c r="Z7873" t="str">
        <f>"COS10200804 1281"</f>
        <v>COS10200804 1281</v>
      </c>
    </row>
    <row r="7874" spans="1:26" x14ac:dyDescent="0.25">
      <c r="A7874" t="str">
        <f t="shared" si="3210"/>
        <v>04-08-2020 12:32:37</v>
      </c>
      <c r="B7874" t="str">
        <f>"0000803028"</f>
        <v>0000803028</v>
      </c>
      <c r="C7874" t="str">
        <f t="shared" si="3211"/>
        <v>0000802948</v>
      </c>
      <c r="D7874" t="str">
        <f t="shared" si="3189"/>
        <v>73185</v>
      </c>
      <c r="E7874" t="str">
        <f t="shared" si="3190"/>
        <v>KFH-OPERATIONS DEPARTMENT</v>
      </c>
      <c r="F7874" t="str">
        <f t="shared" si="3191"/>
        <v>IBG</v>
      </c>
      <c r="G7874" t="str">
        <f t="shared" si="3202"/>
        <v>Refund COSHARE 10</v>
      </c>
      <c r="H7874" s="2">
        <v>152</v>
      </c>
      <c r="I7874" t="str">
        <f>"ROSLIZA BINTI ABDUL WAHAB"</f>
        <v>ROSLIZA BINTI ABDUL WAHAB</v>
      </c>
      <c r="J7874" t="str">
        <f t="shared" si="3205"/>
        <v>BANK KERJASAMA RAKYAT</v>
      </c>
      <c r="K7874" t="str">
        <f>"220261462319"</f>
        <v>220261462319</v>
      </c>
      <c r="L7874" t="str">
        <f t="shared" si="3212"/>
        <v>04-08-2020</v>
      </c>
      <c r="M7874" t="str">
        <f t="shared" si="3212"/>
        <v>04-08-2020</v>
      </c>
      <c r="N7874" t="str">
        <f t="shared" si="3192"/>
        <v>001105018356</v>
      </c>
      <c r="O7874" t="str">
        <f t="shared" si="3193"/>
        <v>MYR</v>
      </c>
      <c r="P7874" t="str">
        <f t="shared" si="3213"/>
        <v>NIL</v>
      </c>
      <c r="Q7874" t="str">
        <f t="shared" si="3213"/>
        <v>NIL</v>
      </c>
      <c r="R7874" t="str">
        <f t="shared" si="3206"/>
        <v>Accepted</v>
      </c>
      <c r="S7874" t="str">
        <f t="shared" si="3194"/>
        <v>Approved</v>
      </c>
      <c r="T7874" t="str">
        <f t="shared" si="3207"/>
        <v>10.20.8.188</v>
      </c>
      <c r="U7874" t="str">
        <f t="shared" si="3195"/>
        <v>AZRAD UMAR BIN SHAARI</v>
      </c>
      <c r="V7874" t="str">
        <f t="shared" si="3196"/>
        <v>FARHANA BINTI MUSTAPA</v>
      </c>
      <c r="W7874" t="str">
        <f t="shared" si="3197"/>
        <v>04-08-2020</v>
      </c>
      <c r="X7874" t="str">
        <f t="shared" si="3198"/>
        <v>RAZIMAH ANSAR AHMAD</v>
      </c>
      <c r="Y7874" t="str">
        <f t="shared" si="3199"/>
        <v>04-08-2020</v>
      </c>
      <c r="Z7874" t="str">
        <f>"COS10200804 1280"</f>
        <v>COS10200804 1280</v>
      </c>
    </row>
    <row r="7875" spans="1:26" x14ac:dyDescent="0.25">
      <c r="A7875" t="str">
        <f t="shared" si="3210"/>
        <v>04-08-2020 12:32:37</v>
      </c>
      <c r="B7875" t="str">
        <f>"0000803027"</f>
        <v>0000803027</v>
      </c>
      <c r="C7875" t="str">
        <f t="shared" si="3211"/>
        <v>0000802948</v>
      </c>
      <c r="D7875" t="str">
        <f t="shared" si="3189"/>
        <v>73185</v>
      </c>
      <c r="E7875" t="str">
        <f t="shared" si="3190"/>
        <v>KFH-OPERATIONS DEPARTMENT</v>
      </c>
      <c r="F7875" t="str">
        <f t="shared" si="3191"/>
        <v>IBG</v>
      </c>
      <c r="G7875" t="str">
        <f t="shared" si="3202"/>
        <v>Refund COSHARE 10</v>
      </c>
      <c r="H7875" s="2">
        <v>419.75</v>
      </c>
      <c r="I7875" t="str">
        <f>"ROSLINAH BINTI MOHD IMRAN"</f>
        <v>ROSLINAH BINTI MOHD IMRAN</v>
      </c>
      <c r="J7875" t="str">
        <f t="shared" si="3205"/>
        <v>BANK KERJASAMA RAKYAT</v>
      </c>
      <c r="K7875" t="str">
        <f>"221011049137"</f>
        <v>221011049137</v>
      </c>
      <c r="L7875" t="str">
        <f t="shared" si="3212"/>
        <v>04-08-2020</v>
      </c>
      <c r="M7875" t="str">
        <f t="shared" si="3212"/>
        <v>04-08-2020</v>
      </c>
      <c r="N7875" t="str">
        <f t="shared" si="3192"/>
        <v>001105018356</v>
      </c>
      <c r="O7875" t="str">
        <f t="shared" si="3193"/>
        <v>MYR</v>
      </c>
      <c r="P7875" t="str">
        <f t="shared" si="3213"/>
        <v>NIL</v>
      </c>
      <c r="Q7875" t="str">
        <f t="shared" si="3213"/>
        <v>NIL</v>
      </c>
      <c r="R7875" t="str">
        <f t="shared" si="3206"/>
        <v>Accepted</v>
      </c>
      <c r="S7875" t="str">
        <f t="shared" si="3194"/>
        <v>Approved</v>
      </c>
      <c r="T7875" t="str">
        <f t="shared" si="3207"/>
        <v>10.20.8.188</v>
      </c>
      <c r="U7875" t="str">
        <f t="shared" si="3195"/>
        <v>AZRAD UMAR BIN SHAARI</v>
      </c>
      <c r="V7875" t="str">
        <f t="shared" si="3196"/>
        <v>FARHANA BINTI MUSTAPA</v>
      </c>
      <c r="W7875" t="str">
        <f t="shared" si="3197"/>
        <v>04-08-2020</v>
      </c>
      <c r="X7875" t="str">
        <f t="shared" si="3198"/>
        <v>RAZIMAH ANSAR AHMAD</v>
      </c>
      <c r="Y7875" t="str">
        <f t="shared" si="3199"/>
        <v>04-08-2020</v>
      </c>
      <c r="Z7875" t="str">
        <f>"COS10200804 1279"</f>
        <v>COS10200804 1279</v>
      </c>
    </row>
    <row r="7876" spans="1:26" x14ac:dyDescent="0.25">
      <c r="A7876" t="str">
        <f t="shared" si="3210"/>
        <v>04-08-2020 12:32:37</v>
      </c>
      <c r="B7876" t="str">
        <f>"0000803026"</f>
        <v>0000803026</v>
      </c>
      <c r="C7876" t="str">
        <f t="shared" si="3211"/>
        <v>0000802948</v>
      </c>
      <c r="D7876" t="str">
        <f t="shared" si="3189"/>
        <v>73185</v>
      </c>
      <c r="E7876" t="str">
        <f t="shared" si="3190"/>
        <v>KFH-OPERATIONS DEPARTMENT</v>
      </c>
      <c r="F7876" t="str">
        <f t="shared" si="3191"/>
        <v>IBG</v>
      </c>
      <c r="G7876" t="str">
        <f t="shared" si="3202"/>
        <v>Refund COSHARE 10</v>
      </c>
      <c r="H7876" s="2">
        <v>168.9</v>
      </c>
      <c r="I7876" t="str">
        <f>"ROSLINA BINTI ALIAS"</f>
        <v>ROSLINA BINTI ALIAS</v>
      </c>
      <c r="J7876" t="str">
        <f t="shared" si="3205"/>
        <v>BANK KERJASAMA RAKYAT</v>
      </c>
      <c r="K7876" t="str">
        <f>"220411125398"</f>
        <v>220411125398</v>
      </c>
      <c r="L7876" t="str">
        <f t="shared" si="3212"/>
        <v>04-08-2020</v>
      </c>
      <c r="M7876" t="str">
        <f t="shared" si="3212"/>
        <v>04-08-2020</v>
      </c>
      <c r="N7876" t="str">
        <f t="shared" si="3192"/>
        <v>001105018356</v>
      </c>
      <c r="O7876" t="str">
        <f t="shared" si="3193"/>
        <v>MYR</v>
      </c>
      <c r="P7876" t="str">
        <f t="shared" si="3213"/>
        <v>NIL</v>
      </c>
      <c r="Q7876" t="str">
        <f t="shared" si="3213"/>
        <v>NIL</v>
      </c>
      <c r="R7876" t="str">
        <f t="shared" si="3206"/>
        <v>Accepted</v>
      </c>
      <c r="S7876" t="str">
        <f t="shared" si="3194"/>
        <v>Approved</v>
      </c>
      <c r="T7876" t="str">
        <f t="shared" si="3207"/>
        <v>10.20.8.188</v>
      </c>
      <c r="U7876" t="str">
        <f t="shared" si="3195"/>
        <v>AZRAD UMAR BIN SHAARI</v>
      </c>
      <c r="V7876" t="str">
        <f t="shared" si="3196"/>
        <v>FARHANA BINTI MUSTAPA</v>
      </c>
      <c r="W7876" t="str">
        <f t="shared" si="3197"/>
        <v>04-08-2020</v>
      </c>
      <c r="X7876" t="str">
        <f t="shared" si="3198"/>
        <v>RAZIMAH ANSAR AHMAD</v>
      </c>
      <c r="Y7876" t="str">
        <f t="shared" si="3199"/>
        <v>04-08-2020</v>
      </c>
      <c r="Z7876" t="str">
        <f>"COS10200804 1278"</f>
        <v>COS10200804 1278</v>
      </c>
    </row>
    <row r="7877" spans="1:26" x14ac:dyDescent="0.25">
      <c r="A7877" t="str">
        <f t="shared" si="3210"/>
        <v>04-08-2020 12:32:37</v>
      </c>
      <c r="B7877" t="str">
        <f>"0000803025"</f>
        <v>0000803025</v>
      </c>
      <c r="C7877" t="str">
        <f t="shared" si="3211"/>
        <v>0000802948</v>
      </c>
      <c r="D7877" t="str">
        <f t="shared" si="3189"/>
        <v>73185</v>
      </c>
      <c r="E7877" t="str">
        <f t="shared" si="3190"/>
        <v>KFH-OPERATIONS DEPARTMENT</v>
      </c>
      <c r="F7877" t="str">
        <f t="shared" si="3191"/>
        <v>IBG</v>
      </c>
      <c r="G7877" t="str">
        <f t="shared" si="3202"/>
        <v>Refund COSHARE 10</v>
      </c>
      <c r="H7877" s="2">
        <v>474.1</v>
      </c>
      <c r="I7877" t="str">
        <f>"ROSLI BIN OBENG"</f>
        <v>ROSLI BIN OBENG</v>
      </c>
      <c r="J7877" t="str">
        <f t="shared" si="3205"/>
        <v>BANK KERJASAMA RAKYAT</v>
      </c>
      <c r="K7877" t="str">
        <f>"220541377928"</f>
        <v>220541377928</v>
      </c>
      <c r="L7877" t="str">
        <f t="shared" si="3212"/>
        <v>04-08-2020</v>
      </c>
      <c r="M7877" t="str">
        <f t="shared" si="3212"/>
        <v>04-08-2020</v>
      </c>
      <c r="N7877" t="str">
        <f t="shared" si="3192"/>
        <v>001105018356</v>
      </c>
      <c r="O7877" t="str">
        <f t="shared" si="3193"/>
        <v>MYR</v>
      </c>
      <c r="P7877" t="str">
        <f t="shared" si="3213"/>
        <v>NIL</v>
      </c>
      <c r="Q7877" t="str">
        <f t="shared" si="3213"/>
        <v>NIL</v>
      </c>
      <c r="R7877" t="str">
        <f t="shared" si="3206"/>
        <v>Accepted</v>
      </c>
      <c r="S7877" t="str">
        <f t="shared" si="3194"/>
        <v>Approved</v>
      </c>
      <c r="T7877" t="str">
        <f t="shared" si="3207"/>
        <v>10.20.8.188</v>
      </c>
      <c r="U7877" t="str">
        <f t="shared" si="3195"/>
        <v>AZRAD UMAR BIN SHAARI</v>
      </c>
      <c r="V7877" t="str">
        <f t="shared" si="3196"/>
        <v>FARHANA BINTI MUSTAPA</v>
      </c>
      <c r="W7877" t="str">
        <f t="shared" si="3197"/>
        <v>04-08-2020</v>
      </c>
      <c r="X7877" t="str">
        <f t="shared" si="3198"/>
        <v>RAZIMAH ANSAR AHMAD</v>
      </c>
      <c r="Y7877" t="str">
        <f t="shared" si="3199"/>
        <v>04-08-2020</v>
      </c>
      <c r="Z7877" t="str">
        <f>"COS10200804 1277"</f>
        <v>COS10200804 1277</v>
      </c>
    </row>
    <row r="7878" spans="1:26" x14ac:dyDescent="0.25">
      <c r="A7878" t="str">
        <f t="shared" si="3210"/>
        <v>04-08-2020 12:32:37</v>
      </c>
      <c r="B7878" t="str">
        <f>"0000803024"</f>
        <v>0000803024</v>
      </c>
      <c r="C7878" t="str">
        <f t="shared" si="3211"/>
        <v>0000802948</v>
      </c>
      <c r="D7878" t="str">
        <f t="shared" si="3189"/>
        <v>73185</v>
      </c>
      <c r="E7878" t="str">
        <f t="shared" si="3190"/>
        <v>KFH-OPERATIONS DEPARTMENT</v>
      </c>
      <c r="F7878" t="str">
        <f t="shared" si="3191"/>
        <v>IBG</v>
      </c>
      <c r="G7878" t="str">
        <f t="shared" si="3202"/>
        <v>Refund COSHARE 10</v>
      </c>
      <c r="H7878" s="2">
        <v>503.2</v>
      </c>
      <c r="I7878" t="str">
        <f>"ROSLI BIN MUKAIR"</f>
        <v>ROSLI BIN MUKAIR</v>
      </c>
      <c r="J7878" t="str">
        <f t="shared" si="3205"/>
        <v>BANK KERJASAMA RAKYAT</v>
      </c>
      <c r="K7878" t="str">
        <f>"220851033655"</f>
        <v>220851033655</v>
      </c>
      <c r="L7878" t="str">
        <f t="shared" si="3212"/>
        <v>04-08-2020</v>
      </c>
      <c r="M7878" t="str">
        <f t="shared" si="3212"/>
        <v>04-08-2020</v>
      </c>
      <c r="N7878" t="str">
        <f t="shared" si="3192"/>
        <v>001105018356</v>
      </c>
      <c r="O7878" t="str">
        <f t="shared" si="3193"/>
        <v>MYR</v>
      </c>
      <c r="P7878" t="str">
        <f t="shared" si="3213"/>
        <v>NIL</v>
      </c>
      <c r="Q7878" t="str">
        <f t="shared" si="3213"/>
        <v>NIL</v>
      </c>
      <c r="R7878" t="str">
        <f t="shared" si="3206"/>
        <v>Accepted</v>
      </c>
      <c r="S7878" t="str">
        <f t="shared" si="3194"/>
        <v>Approved</v>
      </c>
      <c r="T7878" t="str">
        <f t="shared" si="3207"/>
        <v>10.20.8.188</v>
      </c>
      <c r="U7878" t="str">
        <f t="shared" si="3195"/>
        <v>AZRAD UMAR BIN SHAARI</v>
      </c>
      <c r="V7878" t="str">
        <f t="shared" si="3196"/>
        <v>FARHANA BINTI MUSTAPA</v>
      </c>
      <c r="W7878" t="str">
        <f t="shared" si="3197"/>
        <v>04-08-2020</v>
      </c>
      <c r="X7878" t="str">
        <f t="shared" si="3198"/>
        <v>RAZIMAH ANSAR AHMAD</v>
      </c>
      <c r="Y7878" t="str">
        <f t="shared" si="3199"/>
        <v>04-08-2020</v>
      </c>
      <c r="Z7878" t="str">
        <f>"COS10200804 1276"</f>
        <v>COS10200804 1276</v>
      </c>
    </row>
    <row r="7879" spans="1:26" x14ac:dyDescent="0.25">
      <c r="A7879" t="str">
        <f t="shared" si="3210"/>
        <v>04-08-2020 12:32:37</v>
      </c>
      <c r="B7879" t="str">
        <f>"0000803023"</f>
        <v>0000803023</v>
      </c>
      <c r="C7879" t="str">
        <f t="shared" si="3211"/>
        <v>0000802948</v>
      </c>
      <c r="D7879" t="str">
        <f t="shared" ref="D7879:D7942" si="3214">"73185"</f>
        <v>73185</v>
      </c>
      <c r="E7879" t="str">
        <f t="shared" ref="E7879:E7942" si="3215">"KFH-OPERATIONS DEPARTMENT"</f>
        <v>KFH-OPERATIONS DEPARTMENT</v>
      </c>
      <c r="F7879" t="str">
        <f t="shared" ref="F7879:F7942" si="3216">"IBG"</f>
        <v>IBG</v>
      </c>
      <c r="G7879" t="str">
        <f t="shared" si="3202"/>
        <v>Refund COSHARE 10</v>
      </c>
      <c r="H7879" s="2">
        <v>1196</v>
      </c>
      <c r="I7879" t="str">
        <f>"ROSLI BIN DESA"</f>
        <v>ROSLI BIN DESA</v>
      </c>
      <c r="J7879" t="str">
        <f t="shared" si="3205"/>
        <v>BANK KERJASAMA RAKYAT</v>
      </c>
      <c r="K7879" t="str">
        <f>"220631326094"</f>
        <v>220631326094</v>
      </c>
      <c r="L7879" t="str">
        <f t="shared" si="3212"/>
        <v>04-08-2020</v>
      </c>
      <c r="M7879" t="str">
        <f t="shared" si="3212"/>
        <v>04-08-2020</v>
      </c>
      <c r="N7879" t="str">
        <f t="shared" ref="N7879:N7942" si="3217">"001105018356"</f>
        <v>001105018356</v>
      </c>
      <c r="O7879" t="str">
        <f t="shared" ref="O7879:O7942" si="3218">"MYR"</f>
        <v>MYR</v>
      </c>
      <c r="P7879" t="str">
        <f t="shared" si="3213"/>
        <v>NIL</v>
      </c>
      <c r="Q7879" t="str">
        <f t="shared" si="3213"/>
        <v>NIL</v>
      </c>
      <c r="R7879" t="str">
        <f t="shared" si="3206"/>
        <v>Accepted</v>
      </c>
      <c r="S7879" t="str">
        <f t="shared" ref="S7879:S7942" si="3219">"Approved"</f>
        <v>Approved</v>
      </c>
      <c r="T7879" t="str">
        <f t="shared" si="3207"/>
        <v>10.20.8.188</v>
      </c>
      <c r="U7879" t="str">
        <f t="shared" ref="U7879:U7942" si="3220">"AZRAD UMAR BIN SHAARI"</f>
        <v>AZRAD UMAR BIN SHAARI</v>
      </c>
      <c r="V7879" t="str">
        <f t="shared" ref="V7879:V7942" si="3221">"FARHANA BINTI MUSTAPA"</f>
        <v>FARHANA BINTI MUSTAPA</v>
      </c>
      <c r="W7879" t="str">
        <f t="shared" ref="W7879:W7942" si="3222">"04-08-2020"</f>
        <v>04-08-2020</v>
      </c>
      <c r="X7879" t="str">
        <f t="shared" ref="X7879:X7942" si="3223">"RAZIMAH ANSAR AHMAD"</f>
        <v>RAZIMAH ANSAR AHMAD</v>
      </c>
      <c r="Y7879" t="str">
        <f t="shared" ref="Y7879:Y7942" si="3224">"04-08-2020"</f>
        <v>04-08-2020</v>
      </c>
      <c r="Z7879" t="str">
        <f>"COS10200804 1275"</f>
        <v>COS10200804 1275</v>
      </c>
    </row>
    <row r="7880" spans="1:26" x14ac:dyDescent="0.25">
      <c r="A7880" t="str">
        <f t="shared" si="3210"/>
        <v>04-08-2020 12:32:37</v>
      </c>
      <c r="B7880" t="str">
        <f>"0000803022"</f>
        <v>0000803022</v>
      </c>
      <c r="C7880" t="str">
        <f t="shared" si="3211"/>
        <v>0000802948</v>
      </c>
      <c r="D7880" t="str">
        <f t="shared" si="3214"/>
        <v>73185</v>
      </c>
      <c r="E7880" t="str">
        <f t="shared" si="3215"/>
        <v>KFH-OPERATIONS DEPARTMENT</v>
      </c>
      <c r="F7880" t="str">
        <f t="shared" si="3216"/>
        <v>IBG</v>
      </c>
      <c r="G7880" t="str">
        <f t="shared" si="3202"/>
        <v>Refund COSHARE 10</v>
      </c>
      <c r="H7880" s="2">
        <v>281</v>
      </c>
      <c r="I7880" t="str">
        <f>"ROSLEE BIN SABANG"</f>
        <v>ROSLEE BIN SABANG</v>
      </c>
      <c r="J7880" t="str">
        <f t="shared" si="3205"/>
        <v>BANK KERJASAMA RAKYAT</v>
      </c>
      <c r="K7880" t="str">
        <f>"221091047070"</f>
        <v>221091047070</v>
      </c>
      <c r="L7880" t="str">
        <f t="shared" si="3212"/>
        <v>04-08-2020</v>
      </c>
      <c r="M7880" t="str">
        <f t="shared" si="3212"/>
        <v>04-08-2020</v>
      </c>
      <c r="N7880" t="str">
        <f t="shared" si="3217"/>
        <v>001105018356</v>
      </c>
      <c r="O7880" t="str">
        <f t="shared" si="3218"/>
        <v>MYR</v>
      </c>
      <c r="P7880" t="str">
        <f t="shared" si="3213"/>
        <v>NIL</v>
      </c>
      <c r="Q7880" t="str">
        <f t="shared" si="3213"/>
        <v>NIL</v>
      </c>
      <c r="R7880" t="str">
        <f t="shared" si="3206"/>
        <v>Accepted</v>
      </c>
      <c r="S7880" t="str">
        <f t="shared" si="3219"/>
        <v>Approved</v>
      </c>
      <c r="T7880" t="str">
        <f t="shared" si="3207"/>
        <v>10.20.8.188</v>
      </c>
      <c r="U7880" t="str">
        <f t="shared" si="3220"/>
        <v>AZRAD UMAR BIN SHAARI</v>
      </c>
      <c r="V7880" t="str">
        <f t="shared" si="3221"/>
        <v>FARHANA BINTI MUSTAPA</v>
      </c>
      <c r="W7880" t="str">
        <f t="shared" si="3222"/>
        <v>04-08-2020</v>
      </c>
      <c r="X7880" t="str">
        <f t="shared" si="3223"/>
        <v>RAZIMAH ANSAR AHMAD</v>
      </c>
      <c r="Y7880" t="str">
        <f t="shared" si="3224"/>
        <v>04-08-2020</v>
      </c>
      <c r="Z7880" t="str">
        <f>"COS10200804 1274"</f>
        <v>COS10200804 1274</v>
      </c>
    </row>
    <row r="7881" spans="1:26" x14ac:dyDescent="0.25">
      <c r="A7881" t="str">
        <f t="shared" si="3210"/>
        <v>04-08-2020 12:32:37</v>
      </c>
      <c r="B7881" t="str">
        <f>"0000803021"</f>
        <v>0000803021</v>
      </c>
      <c r="C7881" t="str">
        <f t="shared" si="3211"/>
        <v>0000802948</v>
      </c>
      <c r="D7881" t="str">
        <f t="shared" si="3214"/>
        <v>73185</v>
      </c>
      <c r="E7881" t="str">
        <f t="shared" si="3215"/>
        <v>KFH-OPERATIONS DEPARTMENT</v>
      </c>
      <c r="F7881" t="str">
        <f t="shared" si="3216"/>
        <v>IBG</v>
      </c>
      <c r="G7881" t="str">
        <f t="shared" si="3202"/>
        <v>Refund COSHARE 10</v>
      </c>
      <c r="H7881" s="2">
        <v>738.8</v>
      </c>
      <c r="I7881" t="str">
        <f>"ROSBAHIYAH BINTI BAHALUDIN"</f>
        <v>ROSBAHIYAH BINTI BAHALUDIN</v>
      </c>
      <c r="J7881" t="str">
        <f t="shared" si="3205"/>
        <v>BANK KERJASAMA RAKYAT</v>
      </c>
      <c r="K7881" t="str">
        <f>"220411155067"</f>
        <v>220411155067</v>
      </c>
      <c r="L7881" t="str">
        <f t="shared" si="3212"/>
        <v>04-08-2020</v>
      </c>
      <c r="M7881" t="str">
        <f t="shared" si="3212"/>
        <v>04-08-2020</v>
      </c>
      <c r="N7881" t="str">
        <f t="shared" si="3217"/>
        <v>001105018356</v>
      </c>
      <c r="O7881" t="str">
        <f t="shared" si="3218"/>
        <v>MYR</v>
      </c>
      <c r="P7881" t="str">
        <f t="shared" si="3213"/>
        <v>NIL</v>
      </c>
      <c r="Q7881" t="str">
        <f t="shared" si="3213"/>
        <v>NIL</v>
      </c>
      <c r="R7881" t="str">
        <f t="shared" si="3206"/>
        <v>Accepted</v>
      </c>
      <c r="S7881" t="str">
        <f t="shared" si="3219"/>
        <v>Approved</v>
      </c>
      <c r="T7881" t="str">
        <f t="shared" si="3207"/>
        <v>10.20.8.188</v>
      </c>
      <c r="U7881" t="str">
        <f t="shared" si="3220"/>
        <v>AZRAD UMAR BIN SHAARI</v>
      </c>
      <c r="V7881" t="str">
        <f t="shared" si="3221"/>
        <v>FARHANA BINTI MUSTAPA</v>
      </c>
      <c r="W7881" t="str">
        <f t="shared" si="3222"/>
        <v>04-08-2020</v>
      </c>
      <c r="X7881" t="str">
        <f t="shared" si="3223"/>
        <v>RAZIMAH ANSAR AHMAD</v>
      </c>
      <c r="Y7881" t="str">
        <f t="shared" si="3224"/>
        <v>04-08-2020</v>
      </c>
      <c r="Z7881" t="str">
        <f>"COS10200804 1273"</f>
        <v>COS10200804 1273</v>
      </c>
    </row>
    <row r="7882" spans="1:26" x14ac:dyDescent="0.25">
      <c r="A7882" t="str">
        <f t="shared" ref="A7882:A7913" si="3225">"04-08-2020 12:32:37"</f>
        <v>04-08-2020 12:32:37</v>
      </c>
      <c r="B7882" t="str">
        <f>"0000803020"</f>
        <v>0000803020</v>
      </c>
      <c r="C7882" t="str">
        <f t="shared" ref="C7882:C7913" si="3226">"0000802948"</f>
        <v>0000802948</v>
      </c>
      <c r="D7882" t="str">
        <f t="shared" si="3214"/>
        <v>73185</v>
      </c>
      <c r="E7882" t="str">
        <f t="shared" si="3215"/>
        <v>KFH-OPERATIONS DEPARTMENT</v>
      </c>
      <c r="F7882" t="str">
        <f t="shared" si="3216"/>
        <v>IBG</v>
      </c>
      <c r="G7882" t="str">
        <f t="shared" si="3202"/>
        <v>Refund COSHARE 10</v>
      </c>
      <c r="H7882" s="2">
        <v>738.8</v>
      </c>
      <c r="I7882" t="str">
        <f>"ROSBAHIYAH BINTI BAHALUDIN"</f>
        <v>ROSBAHIYAH BINTI BAHALUDIN</v>
      </c>
      <c r="J7882" t="str">
        <f t="shared" si="3205"/>
        <v>BANK KERJASAMA RAKYAT</v>
      </c>
      <c r="K7882" t="str">
        <f>"220411155067"</f>
        <v>220411155067</v>
      </c>
      <c r="L7882" t="str">
        <f t="shared" si="3212"/>
        <v>04-08-2020</v>
      </c>
      <c r="M7882" t="str">
        <f t="shared" si="3212"/>
        <v>04-08-2020</v>
      </c>
      <c r="N7882" t="str">
        <f t="shared" si="3217"/>
        <v>001105018356</v>
      </c>
      <c r="O7882" t="str">
        <f t="shared" si="3218"/>
        <v>MYR</v>
      </c>
      <c r="P7882" t="str">
        <f t="shared" si="3213"/>
        <v>NIL</v>
      </c>
      <c r="Q7882" t="str">
        <f t="shared" si="3213"/>
        <v>NIL</v>
      </c>
      <c r="R7882" t="str">
        <f t="shared" si="3206"/>
        <v>Accepted</v>
      </c>
      <c r="S7882" t="str">
        <f t="shared" si="3219"/>
        <v>Approved</v>
      </c>
      <c r="T7882" t="str">
        <f t="shared" si="3207"/>
        <v>10.20.8.188</v>
      </c>
      <c r="U7882" t="str">
        <f t="shared" si="3220"/>
        <v>AZRAD UMAR BIN SHAARI</v>
      </c>
      <c r="V7882" t="str">
        <f t="shared" si="3221"/>
        <v>FARHANA BINTI MUSTAPA</v>
      </c>
      <c r="W7882" t="str">
        <f t="shared" si="3222"/>
        <v>04-08-2020</v>
      </c>
      <c r="X7882" t="str">
        <f t="shared" si="3223"/>
        <v>RAZIMAH ANSAR AHMAD</v>
      </c>
      <c r="Y7882" t="str">
        <f t="shared" si="3224"/>
        <v>04-08-2020</v>
      </c>
      <c r="Z7882" t="str">
        <f>"COS10200804 1272"</f>
        <v>COS10200804 1272</v>
      </c>
    </row>
    <row r="7883" spans="1:26" x14ac:dyDescent="0.25">
      <c r="A7883" t="str">
        <f t="shared" si="3225"/>
        <v>04-08-2020 12:32:37</v>
      </c>
      <c r="B7883" t="str">
        <f>"0000803019"</f>
        <v>0000803019</v>
      </c>
      <c r="C7883" t="str">
        <f t="shared" si="3226"/>
        <v>0000802948</v>
      </c>
      <c r="D7883" t="str">
        <f t="shared" si="3214"/>
        <v>73185</v>
      </c>
      <c r="E7883" t="str">
        <f t="shared" si="3215"/>
        <v>KFH-OPERATIONS DEPARTMENT</v>
      </c>
      <c r="F7883" t="str">
        <f t="shared" si="3216"/>
        <v>IBG</v>
      </c>
      <c r="G7883" t="str">
        <f t="shared" si="3202"/>
        <v>Refund COSHARE 10</v>
      </c>
      <c r="H7883" s="2">
        <v>74.95</v>
      </c>
      <c r="I7883" t="str">
        <f>"ROSAZIAN BINTI BASSAR"</f>
        <v>ROSAZIAN BINTI BASSAR</v>
      </c>
      <c r="J7883" t="str">
        <f t="shared" si="3205"/>
        <v>BANK KERJASAMA RAKYAT</v>
      </c>
      <c r="K7883" t="str">
        <f>"220471150326"</f>
        <v>220471150326</v>
      </c>
      <c r="L7883" t="str">
        <f t="shared" si="3212"/>
        <v>04-08-2020</v>
      </c>
      <c r="M7883" t="str">
        <f t="shared" si="3212"/>
        <v>04-08-2020</v>
      </c>
      <c r="N7883" t="str">
        <f t="shared" si="3217"/>
        <v>001105018356</v>
      </c>
      <c r="O7883" t="str">
        <f t="shared" si="3218"/>
        <v>MYR</v>
      </c>
      <c r="P7883" t="str">
        <f t="shared" si="3213"/>
        <v>NIL</v>
      </c>
      <c r="Q7883" t="str">
        <f t="shared" si="3213"/>
        <v>NIL</v>
      </c>
      <c r="R7883" t="str">
        <f t="shared" si="3206"/>
        <v>Accepted</v>
      </c>
      <c r="S7883" t="str">
        <f t="shared" si="3219"/>
        <v>Approved</v>
      </c>
      <c r="T7883" t="str">
        <f t="shared" si="3207"/>
        <v>10.20.8.188</v>
      </c>
      <c r="U7883" t="str">
        <f t="shared" si="3220"/>
        <v>AZRAD UMAR BIN SHAARI</v>
      </c>
      <c r="V7883" t="str">
        <f t="shared" si="3221"/>
        <v>FARHANA BINTI MUSTAPA</v>
      </c>
      <c r="W7883" t="str">
        <f t="shared" si="3222"/>
        <v>04-08-2020</v>
      </c>
      <c r="X7883" t="str">
        <f t="shared" si="3223"/>
        <v>RAZIMAH ANSAR AHMAD</v>
      </c>
      <c r="Y7883" t="str">
        <f t="shared" si="3224"/>
        <v>04-08-2020</v>
      </c>
      <c r="Z7883" t="str">
        <f>"COS10200804 1271"</f>
        <v>COS10200804 1271</v>
      </c>
    </row>
    <row r="7884" spans="1:26" x14ac:dyDescent="0.25">
      <c r="A7884" t="str">
        <f t="shared" si="3225"/>
        <v>04-08-2020 12:32:37</v>
      </c>
      <c r="B7884" t="str">
        <f>"0000803018"</f>
        <v>0000803018</v>
      </c>
      <c r="C7884" t="str">
        <f t="shared" si="3226"/>
        <v>0000802948</v>
      </c>
      <c r="D7884" t="str">
        <f t="shared" si="3214"/>
        <v>73185</v>
      </c>
      <c r="E7884" t="str">
        <f t="shared" si="3215"/>
        <v>KFH-OPERATIONS DEPARTMENT</v>
      </c>
      <c r="F7884" t="str">
        <f t="shared" si="3216"/>
        <v>IBG</v>
      </c>
      <c r="G7884" t="str">
        <f t="shared" ref="G7884:G7947" si="3227">"Refund COSHARE 10"</f>
        <v>Refund COSHARE 10</v>
      </c>
      <c r="H7884" s="2">
        <v>191.4</v>
      </c>
      <c r="I7884" t="str">
        <f>"ROSANITA BINTI MD NOH"</f>
        <v>ROSANITA BINTI MD NOH</v>
      </c>
      <c r="J7884" t="str">
        <f t="shared" si="3205"/>
        <v>BANK KERJASAMA RAKYAT</v>
      </c>
      <c r="K7884" t="str">
        <f>"220121425703"</f>
        <v>220121425703</v>
      </c>
      <c r="L7884" t="str">
        <f t="shared" si="3212"/>
        <v>04-08-2020</v>
      </c>
      <c r="M7884" t="str">
        <f t="shared" si="3212"/>
        <v>04-08-2020</v>
      </c>
      <c r="N7884" t="str">
        <f t="shared" si="3217"/>
        <v>001105018356</v>
      </c>
      <c r="O7884" t="str">
        <f t="shared" si="3218"/>
        <v>MYR</v>
      </c>
      <c r="P7884" t="str">
        <f t="shared" si="3213"/>
        <v>NIL</v>
      </c>
      <c r="Q7884" t="str">
        <f t="shared" si="3213"/>
        <v>NIL</v>
      </c>
      <c r="R7884" t="str">
        <f t="shared" si="3206"/>
        <v>Accepted</v>
      </c>
      <c r="S7884" t="str">
        <f t="shared" si="3219"/>
        <v>Approved</v>
      </c>
      <c r="T7884" t="str">
        <f t="shared" si="3207"/>
        <v>10.20.8.188</v>
      </c>
      <c r="U7884" t="str">
        <f t="shared" si="3220"/>
        <v>AZRAD UMAR BIN SHAARI</v>
      </c>
      <c r="V7884" t="str">
        <f t="shared" si="3221"/>
        <v>FARHANA BINTI MUSTAPA</v>
      </c>
      <c r="W7884" t="str">
        <f t="shared" si="3222"/>
        <v>04-08-2020</v>
      </c>
      <c r="X7884" t="str">
        <f t="shared" si="3223"/>
        <v>RAZIMAH ANSAR AHMAD</v>
      </c>
      <c r="Y7884" t="str">
        <f t="shared" si="3224"/>
        <v>04-08-2020</v>
      </c>
      <c r="Z7884" t="str">
        <f>"COS10200804 1270"</f>
        <v>COS10200804 1270</v>
      </c>
    </row>
    <row r="7885" spans="1:26" x14ac:dyDescent="0.25">
      <c r="A7885" t="str">
        <f t="shared" si="3225"/>
        <v>04-08-2020 12:32:37</v>
      </c>
      <c r="B7885" t="str">
        <f>"0000803017"</f>
        <v>0000803017</v>
      </c>
      <c r="C7885" t="str">
        <f t="shared" si="3226"/>
        <v>0000802948</v>
      </c>
      <c r="D7885" t="str">
        <f t="shared" si="3214"/>
        <v>73185</v>
      </c>
      <c r="E7885" t="str">
        <f t="shared" si="3215"/>
        <v>KFH-OPERATIONS DEPARTMENT</v>
      </c>
      <c r="F7885" t="str">
        <f t="shared" si="3216"/>
        <v>IBG</v>
      </c>
      <c r="G7885" t="str">
        <f t="shared" si="3227"/>
        <v>Refund COSHARE 10</v>
      </c>
      <c r="H7885" s="2">
        <v>1474</v>
      </c>
      <c r="I7885" t="str">
        <f>"RONNIE BIN AUGUSTINE"</f>
        <v>RONNIE BIN AUGUSTINE</v>
      </c>
      <c r="J7885" t="str">
        <f t="shared" si="3205"/>
        <v>BANK KERJASAMA RAKYAT</v>
      </c>
      <c r="K7885" t="str">
        <f>"221101010231"</f>
        <v>221101010231</v>
      </c>
      <c r="L7885" t="str">
        <f t="shared" si="3212"/>
        <v>04-08-2020</v>
      </c>
      <c r="M7885" t="str">
        <f t="shared" si="3212"/>
        <v>04-08-2020</v>
      </c>
      <c r="N7885" t="str">
        <f t="shared" si="3217"/>
        <v>001105018356</v>
      </c>
      <c r="O7885" t="str">
        <f t="shared" si="3218"/>
        <v>MYR</v>
      </c>
      <c r="P7885" t="str">
        <f t="shared" si="3213"/>
        <v>NIL</v>
      </c>
      <c r="Q7885" t="str">
        <f t="shared" si="3213"/>
        <v>NIL</v>
      </c>
      <c r="R7885" t="str">
        <f t="shared" si="3206"/>
        <v>Accepted</v>
      </c>
      <c r="S7885" t="str">
        <f t="shared" si="3219"/>
        <v>Approved</v>
      </c>
      <c r="T7885" t="str">
        <f t="shared" si="3207"/>
        <v>10.20.8.188</v>
      </c>
      <c r="U7885" t="str">
        <f t="shared" si="3220"/>
        <v>AZRAD UMAR BIN SHAARI</v>
      </c>
      <c r="V7885" t="str">
        <f t="shared" si="3221"/>
        <v>FARHANA BINTI MUSTAPA</v>
      </c>
      <c r="W7885" t="str">
        <f t="shared" si="3222"/>
        <v>04-08-2020</v>
      </c>
      <c r="X7885" t="str">
        <f t="shared" si="3223"/>
        <v>RAZIMAH ANSAR AHMAD</v>
      </c>
      <c r="Y7885" t="str">
        <f t="shared" si="3224"/>
        <v>04-08-2020</v>
      </c>
      <c r="Z7885" t="str">
        <f>"COS10200804 1269"</f>
        <v>COS10200804 1269</v>
      </c>
    </row>
    <row r="7886" spans="1:26" x14ac:dyDescent="0.25">
      <c r="A7886" t="str">
        <f t="shared" si="3225"/>
        <v>04-08-2020 12:32:37</v>
      </c>
      <c r="B7886" t="str">
        <f>"0000803016"</f>
        <v>0000803016</v>
      </c>
      <c r="C7886" t="str">
        <f t="shared" si="3226"/>
        <v>0000802948</v>
      </c>
      <c r="D7886" t="str">
        <f t="shared" si="3214"/>
        <v>73185</v>
      </c>
      <c r="E7886" t="str">
        <f t="shared" si="3215"/>
        <v>KFH-OPERATIONS DEPARTMENT</v>
      </c>
      <c r="F7886" t="str">
        <f t="shared" si="3216"/>
        <v>IBG</v>
      </c>
      <c r="G7886" t="str">
        <f t="shared" si="3227"/>
        <v>Refund COSHARE 10</v>
      </c>
      <c r="H7886" s="2">
        <v>204.05</v>
      </c>
      <c r="I7886" t="str">
        <f>"RONNIE ANAK DUWAI"</f>
        <v>RONNIE ANAK DUWAI</v>
      </c>
      <c r="J7886" t="str">
        <f t="shared" si="3205"/>
        <v>BANK KERJASAMA RAKYAT</v>
      </c>
      <c r="K7886" t="str">
        <f>"220541446473"</f>
        <v>220541446473</v>
      </c>
      <c r="L7886" t="str">
        <f t="shared" si="3212"/>
        <v>04-08-2020</v>
      </c>
      <c r="M7886" t="str">
        <f t="shared" si="3212"/>
        <v>04-08-2020</v>
      </c>
      <c r="N7886" t="str">
        <f t="shared" si="3217"/>
        <v>001105018356</v>
      </c>
      <c r="O7886" t="str">
        <f t="shared" si="3218"/>
        <v>MYR</v>
      </c>
      <c r="P7886" t="str">
        <f t="shared" si="3213"/>
        <v>NIL</v>
      </c>
      <c r="Q7886" t="str">
        <f t="shared" si="3213"/>
        <v>NIL</v>
      </c>
      <c r="R7886" t="str">
        <f t="shared" si="3206"/>
        <v>Accepted</v>
      </c>
      <c r="S7886" t="str">
        <f t="shared" si="3219"/>
        <v>Approved</v>
      </c>
      <c r="T7886" t="str">
        <f t="shared" si="3207"/>
        <v>10.20.8.188</v>
      </c>
      <c r="U7886" t="str">
        <f t="shared" si="3220"/>
        <v>AZRAD UMAR BIN SHAARI</v>
      </c>
      <c r="V7886" t="str">
        <f t="shared" si="3221"/>
        <v>FARHANA BINTI MUSTAPA</v>
      </c>
      <c r="W7886" t="str">
        <f t="shared" si="3222"/>
        <v>04-08-2020</v>
      </c>
      <c r="X7886" t="str">
        <f t="shared" si="3223"/>
        <v>RAZIMAH ANSAR AHMAD</v>
      </c>
      <c r="Y7886" t="str">
        <f t="shared" si="3224"/>
        <v>04-08-2020</v>
      </c>
      <c r="Z7886" t="str">
        <f>"COS10200804 1268"</f>
        <v>COS10200804 1268</v>
      </c>
    </row>
    <row r="7887" spans="1:26" x14ac:dyDescent="0.25">
      <c r="A7887" t="str">
        <f t="shared" si="3225"/>
        <v>04-08-2020 12:32:37</v>
      </c>
      <c r="B7887" t="str">
        <f>"0000803015"</f>
        <v>0000803015</v>
      </c>
      <c r="C7887" t="str">
        <f t="shared" si="3226"/>
        <v>0000802948</v>
      </c>
      <c r="D7887" t="str">
        <f t="shared" si="3214"/>
        <v>73185</v>
      </c>
      <c r="E7887" t="str">
        <f t="shared" si="3215"/>
        <v>KFH-OPERATIONS DEPARTMENT</v>
      </c>
      <c r="F7887" t="str">
        <f t="shared" si="3216"/>
        <v>IBG</v>
      </c>
      <c r="G7887" t="str">
        <f t="shared" si="3227"/>
        <v>Refund COSHARE 10</v>
      </c>
      <c r="H7887" s="2">
        <v>83.95</v>
      </c>
      <c r="I7887" t="str">
        <f>"ROHAYU BINTI MAHAMAD"</f>
        <v>ROHAYU BINTI MAHAMAD</v>
      </c>
      <c r="J7887" t="str">
        <f t="shared" si="3205"/>
        <v>BANK KERJASAMA RAKYAT</v>
      </c>
      <c r="K7887" t="str">
        <f>"220961018070"</f>
        <v>220961018070</v>
      </c>
      <c r="L7887" t="str">
        <f t="shared" ref="L7887:M7906" si="3228">"04-08-2020"</f>
        <v>04-08-2020</v>
      </c>
      <c r="M7887" t="str">
        <f t="shared" si="3228"/>
        <v>04-08-2020</v>
      </c>
      <c r="N7887" t="str">
        <f t="shared" si="3217"/>
        <v>001105018356</v>
      </c>
      <c r="O7887" t="str">
        <f t="shared" si="3218"/>
        <v>MYR</v>
      </c>
      <c r="P7887" t="str">
        <f t="shared" ref="P7887:Q7906" si="3229">"NIL"</f>
        <v>NIL</v>
      </c>
      <c r="Q7887" t="str">
        <f t="shared" si="3229"/>
        <v>NIL</v>
      </c>
      <c r="R7887" t="str">
        <f t="shared" si="3206"/>
        <v>Accepted</v>
      </c>
      <c r="S7887" t="str">
        <f t="shared" si="3219"/>
        <v>Approved</v>
      </c>
      <c r="T7887" t="str">
        <f t="shared" si="3207"/>
        <v>10.20.8.188</v>
      </c>
      <c r="U7887" t="str">
        <f t="shared" si="3220"/>
        <v>AZRAD UMAR BIN SHAARI</v>
      </c>
      <c r="V7887" t="str">
        <f t="shared" si="3221"/>
        <v>FARHANA BINTI MUSTAPA</v>
      </c>
      <c r="W7887" t="str">
        <f t="shared" si="3222"/>
        <v>04-08-2020</v>
      </c>
      <c r="X7887" t="str">
        <f t="shared" si="3223"/>
        <v>RAZIMAH ANSAR AHMAD</v>
      </c>
      <c r="Y7887" t="str">
        <f t="shared" si="3224"/>
        <v>04-08-2020</v>
      </c>
      <c r="Z7887" t="str">
        <f>"COS10200804 1267"</f>
        <v>COS10200804 1267</v>
      </c>
    </row>
    <row r="7888" spans="1:26" x14ac:dyDescent="0.25">
      <c r="A7888" t="str">
        <f t="shared" si="3225"/>
        <v>04-08-2020 12:32:37</v>
      </c>
      <c r="B7888" t="str">
        <f>"0000803014"</f>
        <v>0000803014</v>
      </c>
      <c r="C7888" t="str">
        <f t="shared" si="3226"/>
        <v>0000802948</v>
      </c>
      <c r="D7888" t="str">
        <f t="shared" si="3214"/>
        <v>73185</v>
      </c>
      <c r="E7888" t="str">
        <f t="shared" si="3215"/>
        <v>KFH-OPERATIONS DEPARTMENT</v>
      </c>
      <c r="F7888" t="str">
        <f t="shared" si="3216"/>
        <v>IBG</v>
      </c>
      <c r="G7888" t="str">
        <f t="shared" si="3227"/>
        <v>Refund COSHARE 10</v>
      </c>
      <c r="H7888" s="2">
        <v>123.05</v>
      </c>
      <c r="I7888" t="str">
        <f>"ROHAYAH BINTI KASSIM"</f>
        <v>ROHAYAH BINTI KASSIM</v>
      </c>
      <c r="J7888" t="str">
        <f t="shared" si="3205"/>
        <v>BANK KERJASAMA RAKYAT</v>
      </c>
      <c r="K7888" t="str">
        <f>"220101026601"</f>
        <v>220101026601</v>
      </c>
      <c r="L7888" t="str">
        <f t="shared" si="3228"/>
        <v>04-08-2020</v>
      </c>
      <c r="M7888" t="str">
        <f t="shared" si="3228"/>
        <v>04-08-2020</v>
      </c>
      <c r="N7888" t="str">
        <f t="shared" si="3217"/>
        <v>001105018356</v>
      </c>
      <c r="O7888" t="str">
        <f t="shared" si="3218"/>
        <v>MYR</v>
      </c>
      <c r="P7888" t="str">
        <f t="shared" si="3229"/>
        <v>NIL</v>
      </c>
      <c r="Q7888" t="str">
        <f t="shared" si="3229"/>
        <v>NIL</v>
      </c>
      <c r="R7888" t="str">
        <f t="shared" si="3206"/>
        <v>Accepted</v>
      </c>
      <c r="S7888" t="str">
        <f t="shared" si="3219"/>
        <v>Approved</v>
      </c>
      <c r="T7888" t="str">
        <f t="shared" si="3207"/>
        <v>10.20.8.188</v>
      </c>
      <c r="U7888" t="str">
        <f t="shared" si="3220"/>
        <v>AZRAD UMAR BIN SHAARI</v>
      </c>
      <c r="V7888" t="str">
        <f t="shared" si="3221"/>
        <v>FARHANA BINTI MUSTAPA</v>
      </c>
      <c r="W7888" t="str">
        <f t="shared" si="3222"/>
        <v>04-08-2020</v>
      </c>
      <c r="X7888" t="str">
        <f t="shared" si="3223"/>
        <v>RAZIMAH ANSAR AHMAD</v>
      </c>
      <c r="Y7888" t="str">
        <f t="shared" si="3224"/>
        <v>04-08-2020</v>
      </c>
      <c r="Z7888" t="str">
        <f>"COS10200804 1266"</f>
        <v>COS10200804 1266</v>
      </c>
    </row>
    <row r="7889" spans="1:26" x14ac:dyDescent="0.25">
      <c r="A7889" t="str">
        <f t="shared" si="3225"/>
        <v>04-08-2020 12:32:37</v>
      </c>
      <c r="B7889" t="str">
        <f>"0000803013"</f>
        <v>0000803013</v>
      </c>
      <c r="C7889" t="str">
        <f t="shared" si="3226"/>
        <v>0000802948</v>
      </c>
      <c r="D7889" t="str">
        <f t="shared" si="3214"/>
        <v>73185</v>
      </c>
      <c r="E7889" t="str">
        <f t="shared" si="3215"/>
        <v>KFH-OPERATIONS DEPARTMENT</v>
      </c>
      <c r="F7889" t="str">
        <f t="shared" si="3216"/>
        <v>IBG</v>
      </c>
      <c r="G7889" t="str">
        <f t="shared" si="3227"/>
        <v>Refund COSHARE 10</v>
      </c>
      <c r="H7889" s="2">
        <v>75.75</v>
      </c>
      <c r="I7889" t="str">
        <f>"ROHAYA BINTI MAHADIE"</f>
        <v>ROHAYA BINTI MAHADIE</v>
      </c>
      <c r="J7889" t="str">
        <f t="shared" si="3205"/>
        <v>BANK KERJASAMA RAKYAT</v>
      </c>
      <c r="K7889" t="str">
        <f>"220901006950"</f>
        <v>220901006950</v>
      </c>
      <c r="L7889" t="str">
        <f t="shared" si="3228"/>
        <v>04-08-2020</v>
      </c>
      <c r="M7889" t="str">
        <f t="shared" si="3228"/>
        <v>04-08-2020</v>
      </c>
      <c r="N7889" t="str">
        <f t="shared" si="3217"/>
        <v>001105018356</v>
      </c>
      <c r="O7889" t="str">
        <f t="shared" si="3218"/>
        <v>MYR</v>
      </c>
      <c r="P7889" t="str">
        <f t="shared" si="3229"/>
        <v>NIL</v>
      </c>
      <c r="Q7889" t="str">
        <f t="shared" si="3229"/>
        <v>NIL</v>
      </c>
      <c r="R7889" t="str">
        <f t="shared" si="3206"/>
        <v>Accepted</v>
      </c>
      <c r="S7889" t="str">
        <f t="shared" si="3219"/>
        <v>Approved</v>
      </c>
      <c r="T7889" t="str">
        <f t="shared" si="3207"/>
        <v>10.20.8.188</v>
      </c>
      <c r="U7889" t="str">
        <f t="shared" si="3220"/>
        <v>AZRAD UMAR BIN SHAARI</v>
      </c>
      <c r="V7889" t="str">
        <f t="shared" si="3221"/>
        <v>FARHANA BINTI MUSTAPA</v>
      </c>
      <c r="W7889" t="str">
        <f t="shared" si="3222"/>
        <v>04-08-2020</v>
      </c>
      <c r="X7889" t="str">
        <f t="shared" si="3223"/>
        <v>RAZIMAH ANSAR AHMAD</v>
      </c>
      <c r="Y7889" t="str">
        <f t="shared" si="3224"/>
        <v>04-08-2020</v>
      </c>
      <c r="Z7889" t="str">
        <f>"COS10200804 1265"</f>
        <v>COS10200804 1265</v>
      </c>
    </row>
    <row r="7890" spans="1:26" x14ac:dyDescent="0.25">
      <c r="A7890" t="str">
        <f t="shared" si="3225"/>
        <v>04-08-2020 12:32:37</v>
      </c>
      <c r="B7890" t="str">
        <f>"0000803012"</f>
        <v>0000803012</v>
      </c>
      <c r="C7890" t="str">
        <f t="shared" si="3226"/>
        <v>0000802948</v>
      </c>
      <c r="D7890" t="str">
        <f t="shared" si="3214"/>
        <v>73185</v>
      </c>
      <c r="E7890" t="str">
        <f t="shared" si="3215"/>
        <v>KFH-OPERATIONS DEPARTMENT</v>
      </c>
      <c r="F7890" t="str">
        <f t="shared" si="3216"/>
        <v>IBG</v>
      </c>
      <c r="G7890" t="str">
        <f t="shared" si="3227"/>
        <v>Refund COSHARE 10</v>
      </c>
      <c r="H7890" s="2">
        <v>1632.6</v>
      </c>
      <c r="I7890" t="str">
        <f>"ROHANI BINTI ABD LATIFF"</f>
        <v>ROHANI BINTI ABD LATIFF</v>
      </c>
      <c r="J7890" t="str">
        <f t="shared" si="3205"/>
        <v>BANK KERJASAMA RAKYAT</v>
      </c>
      <c r="K7890" t="str">
        <f>"220551046953"</f>
        <v>220551046953</v>
      </c>
      <c r="L7890" t="str">
        <f t="shared" si="3228"/>
        <v>04-08-2020</v>
      </c>
      <c r="M7890" t="str">
        <f t="shared" si="3228"/>
        <v>04-08-2020</v>
      </c>
      <c r="N7890" t="str">
        <f t="shared" si="3217"/>
        <v>001105018356</v>
      </c>
      <c r="O7890" t="str">
        <f t="shared" si="3218"/>
        <v>MYR</v>
      </c>
      <c r="P7890" t="str">
        <f t="shared" si="3229"/>
        <v>NIL</v>
      </c>
      <c r="Q7890" t="str">
        <f t="shared" si="3229"/>
        <v>NIL</v>
      </c>
      <c r="R7890" t="str">
        <f t="shared" si="3206"/>
        <v>Accepted</v>
      </c>
      <c r="S7890" t="str">
        <f t="shared" si="3219"/>
        <v>Approved</v>
      </c>
      <c r="T7890" t="str">
        <f t="shared" si="3207"/>
        <v>10.20.8.188</v>
      </c>
      <c r="U7890" t="str">
        <f t="shared" si="3220"/>
        <v>AZRAD UMAR BIN SHAARI</v>
      </c>
      <c r="V7890" t="str">
        <f t="shared" si="3221"/>
        <v>FARHANA BINTI MUSTAPA</v>
      </c>
      <c r="W7890" t="str">
        <f t="shared" si="3222"/>
        <v>04-08-2020</v>
      </c>
      <c r="X7890" t="str">
        <f t="shared" si="3223"/>
        <v>RAZIMAH ANSAR AHMAD</v>
      </c>
      <c r="Y7890" t="str">
        <f t="shared" si="3224"/>
        <v>04-08-2020</v>
      </c>
      <c r="Z7890" t="str">
        <f>"COS10200804 1264"</f>
        <v>COS10200804 1264</v>
      </c>
    </row>
    <row r="7891" spans="1:26" x14ac:dyDescent="0.25">
      <c r="A7891" t="str">
        <f t="shared" si="3225"/>
        <v>04-08-2020 12:32:37</v>
      </c>
      <c r="B7891" t="str">
        <f>"0000803011"</f>
        <v>0000803011</v>
      </c>
      <c r="C7891" t="str">
        <f t="shared" si="3226"/>
        <v>0000802948</v>
      </c>
      <c r="D7891" t="str">
        <f t="shared" si="3214"/>
        <v>73185</v>
      </c>
      <c r="E7891" t="str">
        <f t="shared" si="3215"/>
        <v>KFH-OPERATIONS DEPARTMENT</v>
      </c>
      <c r="F7891" t="str">
        <f t="shared" si="3216"/>
        <v>IBG</v>
      </c>
      <c r="G7891" t="str">
        <f t="shared" si="3227"/>
        <v>Refund COSHARE 10</v>
      </c>
      <c r="H7891" s="2">
        <v>1335.9</v>
      </c>
      <c r="I7891" t="str">
        <f>"ROHANI BINTI ABD AZIZ"</f>
        <v>ROHANI BINTI ABD AZIZ</v>
      </c>
      <c r="J7891" t="str">
        <f t="shared" si="3205"/>
        <v>BANK KERJASAMA RAKYAT</v>
      </c>
      <c r="K7891" t="str">
        <f>"220491178380"</f>
        <v>220491178380</v>
      </c>
      <c r="L7891" t="str">
        <f t="shared" si="3228"/>
        <v>04-08-2020</v>
      </c>
      <c r="M7891" t="str">
        <f t="shared" si="3228"/>
        <v>04-08-2020</v>
      </c>
      <c r="N7891" t="str">
        <f t="shared" si="3217"/>
        <v>001105018356</v>
      </c>
      <c r="O7891" t="str">
        <f t="shared" si="3218"/>
        <v>MYR</v>
      </c>
      <c r="P7891" t="str">
        <f t="shared" si="3229"/>
        <v>NIL</v>
      </c>
      <c r="Q7891" t="str">
        <f t="shared" si="3229"/>
        <v>NIL</v>
      </c>
      <c r="R7891" t="str">
        <f t="shared" si="3206"/>
        <v>Accepted</v>
      </c>
      <c r="S7891" t="str">
        <f t="shared" si="3219"/>
        <v>Approved</v>
      </c>
      <c r="T7891" t="str">
        <f t="shared" si="3207"/>
        <v>10.20.8.188</v>
      </c>
      <c r="U7891" t="str">
        <f t="shared" si="3220"/>
        <v>AZRAD UMAR BIN SHAARI</v>
      </c>
      <c r="V7891" t="str">
        <f t="shared" si="3221"/>
        <v>FARHANA BINTI MUSTAPA</v>
      </c>
      <c r="W7891" t="str">
        <f t="shared" si="3222"/>
        <v>04-08-2020</v>
      </c>
      <c r="X7891" t="str">
        <f t="shared" si="3223"/>
        <v>RAZIMAH ANSAR AHMAD</v>
      </c>
      <c r="Y7891" t="str">
        <f t="shared" si="3224"/>
        <v>04-08-2020</v>
      </c>
      <c r="Z7891" t="str">
        <f>"COS10200804 1263"</f>
        <v>COS10200804 1263</v>
      </c>
    </row>
    <row r="7892" spans="1:26" x14ac:dyDescent="0.25">
      <c r="A7892" t="str">
        <f t="shared" si="3225"/>
        <v>04-08-2020 12:32:37</v>
      </c>
      <c r="B7892" t="str">
        <f>"0000803010"</f>
        <v>0000803010</v>
      </c>
      <c r="C7892" t="str">
        <f t="shared" si="3226"/>
        <v>0000802948</v>
      </c>
      <c r="D7892" t="str">
        <f t="shared" si="3214"/>
        <v>73185</v>
      </c>
      <c r="E7892" t="str">
        <f t="shared" si="3215"/>
        <v>KFH-OPERATIONS DEPARTMENT</v>
      </c>
      <c r="F7892" t="str">
        <f t="shared" si="3216"/>
        <v>IBG</v>
      </c>
      <c r="G7892" t="str">
        <f t="shared" si="3227"/>
        <v>Refund COSHARE 10</v>
      </c>
      <c r="H7892" s="2">
        <v>159.5</v>
      </c>
      <c r="I7892" t="str">
        <f>"ROHAIDA BINTI AZIZ"</f>
        <v>ROHAIDA BINTI AZIZ</v>
      </c>
      <c r="J7892" t="str">
        <f t="shared" si="3205"/>
        <v>BANK KERJASAMA RAKYAT</v>
      </c>
      <c r="K7892" t="str">
        <f>"220951067651"</f>
        <v>220951067651</v>
      </c>
      <c r="L7892" t="str">
        <f t="shared" si="3228"/>
        <v>04-08-2020</v>
      </c>
      <c r="M7892" t="str">
        <f t="shared" si="3228"/>
        <v>04-08-2020</v>
      </c>
      <c r="N7892" t="str">
        <f t="shared" si="3217"/>
        <v>001105018356</v>
      </c>
      <c r="O7892" t="str">
        <f t="shared" si="3218"/>
        <v>MYR</v>
      </c>
      <c r="P7892" t="str">
        <f t="shared" si="3229"/>
        <v>NIL</v>
      </c>
      <c r="Q7892" t="str">
        <f t="shared" si="3229"/>
        <v>NIL</v>
      </c>
      <c r="R7892" t="str">
        <f t="shared" si="3206"/>
        <v>Accepted</v>
      </c>
      <c r="S7892" t="str">
        <f t="shared" si="3219"/>
        <v>Approved</v>
      </c>
      <c r="T7892" t="str">
        <f t="shared" si="3207"/>
        <v>10.20.8.188</v>
      </c>
      <c r="U7892" t="str">
        <f t="shared" si="3220"/>
        <v>AZRAD UMAR BIN SHAARI</v>
      </c>
      <c r="V7892" t="str">
        <f t="shared" si="3221"/>
        <v>FARHANA BINTI MUSTAPA</v>
      </c>
      <c r="W7892" t="str">
        <f t="shared" si="3222"/>
        <v>04-08-2020</v>
      </c>
      <c r="X7892" t="str">
        <f t="shared" si="3223"/>
        <v>RAZIMAH ANSAR AHMAD</v>
      </c>
      <c r="Y7892" t="str">
        <f t="shared" si="3224"/>
        <v>04-08-2020</v>
      </c>
      <c r="Z7892" t="str">
        <f>"COS10200804 1262"</f>
        <v>COS10200804 1262</v>
      </c>
    </row>
    <row r="7893" spans="1:26" x14ac:dyDescent="0.25">
      <c r="A7893" t="str">
        <f t="shared" si="3225"/>
        <v>04-08-2020 12:32:37</v>
      </c>
      <c r="B7893" t="str">
        <f>"0000803009"</f>
        <v>0000803009</v>
      </c>
      <c r="C7893" t="str">
        <f t="shared" si="3226"/>
        <v>0000802948</v>
      </c>
      <c r="D7893" t="str">
        <f t="shared" si="3214"/>
        <v>73185</v>
      </c>
      <c r="E7893" t="str">
        <f t="shared" si="3215"/>
        <v>KFH-OPERATIONS DEPARTMENT</v>
      </c>
      <c r="F7893" t="str">
        <f t="shared" si="3216"/>
        <v>IBG</v>
      </c>
      <c r="G7893" t="str">
        <f t="shared" si="3227"/>
        <v>Refund COSHARE 10</v>
      </c>
      <c r="H7893" s="2">
        <v>646.5</v>
      </c>
      <c r="I7893" t="str">
        <f>"RODZLI BIN ABD HAMID"</f>
        <v>RODZLI BIN ABD HAMID</v>
      </c>
      <c r="J7893" t="str">
        <f t="shared" si="3205"/>
        <v>BANK KERJASAMA RAKYAT</v>
      </c>
      <c r="K7893" t="str">
        <f>"220531454058"</f>
        <v>220531454058</v>
      </c>
      <c r="L7893" t="str">
        <f t="shared" si="3228"/>
        <v>04-08-2020</v>
      </c>
      <c r="M7893" t="str">
        <f t="shared" si="3228"/>
        <v>04-08-2020</v>
      </c>
      <c r="N7893" t="str">
        <f t="shared" si="3217"/>
        <v>001105018356</v>
      </c>
      <c r="O7893" t="str">
        <f t="shared" si="3218"/>
        <v>MYR</v>
      </c>
      <c r="P7893" t="str">
        <f t="shared" si="3229"/>
        <v>NIL</v>
      </c>
      <c r="Q7893" t="str">
        <f t="shared" si="3229"/>
        <v>NIL</v>
      </c>
      <c r="R7893" t="str">
        <f t="shared" si="3206"/>
        <v>Accepted</v>
      </c>
      <c r="S7893" t="str">
        <f t="shared" si="3219"/>
        <v>Approved</v>
      </c>
      <c r="T7893" t="str">
        <f t="shared" si="3207"/>
        <v>10.20.8.188</v>
      </c>
      <c r="U7893" t="str">
        <f t="shared" si="3220"/>
        <v>AZRAD UMAR BIN SHAARI</v>
      </c>
      <c r="V7893" t="str">
        <f t="shared" si="3221"/>
        <v>FARHANA BINTI MUSTAPA</v>
      </c>
      <c r="W7893" t="str">
        <f t="shared" si="3222"/>
        <v>04-08-2020</v>
      </c>
      <c r="X7893" t="str">
        <f t="shared" si="3223"/>
        <v>RAZIMAH ANSAR AHMAD</v>
      </c>
      <c r="Y7893" t="str">
        <f t="shared" si="3224"/>
        <v>04-08-2020</v>
      </c>
      <c r="Z7893" t="str">
        <f>"COS10200804 1261"</f>
        <v>COS10200804 1261</v>
      </c>
    </row>
    <row r="7894" spans="1:26" x14ac:dyDescent="0.25">
      <c r="A7894" t="str">
        <f t="shared" si="3225"/>
        <v>04-08-2020 12:32:37</v>
      </c>
      <c r="B7894" t="str">
        <f>"0000803008"</f>
        <v>0000803008</v>
      </c>
      <c r="C7894" t="str">
        <f t="shared" si="3226"/>
        <v>0000802948</v>
      </c>
      <c r="D7894" t="str">
        <f t="shared" si="3214"/>
        <v>73185</v>
      </c>
      <c r="E7894" t="str">
        <f t="shared" si="3215"/>
        <v>KFH-OPERATIONS DEPARTMENT</v>
      </c>
      <c r="F7894" t="str">
        <f t="shared" si="3216"/>
        <v>IBG</v>
      </c>
      <c r="G7894" t="str">
        <f t="shared" si="3227"/>
        <v>Refund COSHARE 10</v>
      </c>
      <c r="H7894" s="2">
        <v>412.6</v>
      </c>
      <c r="I7894" t="str">
        <f>"ROBEAH BINTI ABDUL MAJID"</f>
        <v>ROBEAH BINTI ABDUL MAJID</v>
      </c>
      <c r="J7894" t="str">
        <f t="shared" si="3205"/>
        <v>BANK KERJASAMA RAKYAT</v>
      </c>
      <c r="K7894" t="str">
        <f>"220581040297"</f>
        <v>220581040297</v>
      </c>
      <c r="L7894" t="str">
        <f t="shared" si="3228"/>
        <v>04-08-2020</v>
      </c>
      <c r="M7894" t="str">
        <f t="shared" si="3228"/>
        <v>04-08-2020</v>
      </c>
      <c r="N7894" t="str">
        <f t="shared" si="3217"/>
        <v>001105018356</v>
      </c>
      <c r="O7894" t="str">
        <f t="shared" si="3218"/>
        <v>MYR</v>
      </c>
      <c r="P7894" t="str">
        <f t="shared" si="3229"/>
        <v>NIL</v>
      </c>
      <c r="Q7894" t="str">
        <f t="shared" si="3229"/>
        <v>NIL</v>
      </c>
      <c r="R7894" t="str">
        <f t="shared" si="3206"/>
        <v>Accepted</v>
      </c>
      <c r="S7894" t="str">
        <f t="shared" si="3219"/>
        <v>Approved</v>
      </c>
      <c r="T7894" t="str">
        <f t="shared" si="3207"/>
        <v>10.20.8.188</v>
      </c>
      <c r="U7894" t="str">
        <f t="shared" si="3220"/>
        <v>AZRAD UMAR BIN SHAARI</v>
      </c>
      <c r="V7894" t="str">
        <f t="shared" si="3221"/>
        <v>FARHANA BINTI MUSTAPA</v>
      </c>
      <c r="W7894" t="str">
        <f t="shared" si="3222"/>
        <v>04-08-2020</v>
      </c>
      <c r="X7894" t="str">
        <f t="shared" si="3223"/>
        <v>RAZIMAH ANSAR AHMAD</v>
      </c>
      <c r="Y7894" t="str">
        <f t="shared" si="3224"/>
        <v>04-08-2020</v>
      </c>
      <c r="Z7894" t="str">
        <f>"COS10200804 1260"</f>
        <v>COS10200804 1260</v>
      </c>
    </row>
    <row r="7895" spans="1:26" x14ac:dyDescent="0.25">
      <c r="A7895" t="str">
        <f t="shared" si="3225"/>
        <v>04-08-2020 12:32:37</v>
      </c>
      <c r="B7895" t="str">
        <f>"0000803007"</f>
        <v>0000803007</v>
      </c>
      <c r="C7895" t="str">
        <f t="shared" si="3226"/>
        <v>0000802948</v>
      </c>
      <c r="D7895" t="str">
        <f t="shared" si="3214"/>
        <v>73185</v>
      </c>
      <c r="E7895" t="str">
        <f t="shared" si="3215"/>
        <v>KFH-OPERATIONS DEPARTMENT</v>
      </c>
      <c r="F7895" t="str">
        <f t="shared" si="3216"/>
        <v>IBG</v>
      </c>
      <c r="G7895" t="str">
        <f t="shared" si="3227"/>
        <v>Refund COSHARE 10</v>
      </c>
      <c r="H7895" s="2">
        <v>865</v>
      </c>
      <c r="I7895" t="str">
        <f>"RICHARD ANAK BURONG"</f>
        <v>RICHARD ANAK BURONG</v>
      </c>
      <c r="J7895" t="str">
        <f t="shared" si="3205"/>
        <v>BANK KERJASAMA RAKYAT</v>
      </c>
      <c r="K7895" t="str">
        <f>"221321003264"</f>
        <v>221321003264</v>
      </c>
      <c r="L7895" t="str">
        <f t="shared" si="3228"/>
        <v>04-08-2020</v>
      </c>
      <c r="M7895" t="str">
        <f t="shared" si="3228"/>
        <v>04-08-2020</v>
      </c>
      <c r="N7895" t="str">
        <f t="shared" si="3217"/>
        <v>001105018356</v>
      </c>
      <c r="O7895" t="str">
        <f t="shared" si="3218"/>
        <v>MYR</v>
      </c>
      <c r="P7895" t="str">
        <f t="shared" si="3229"/>
        <v>NIL</v>
      </c>
      <c r="Q7895" t="str">
        <f t="shared" si="3229"/>
        <v>NIL</v>
      </c>
      <c r="R7895" t="str">
        <f t="shared" si="3206"/>
        <v>Accepted</v>
      </c>
      <c r="S7895" t="str">
        <f t="shared" si="3219"/>
        <v>Approved</v>
      </c>
      <c r="T7895" t="str">
        <f t="shared" si="3207"/>
        <v>10.20.8.188</v>
      </c>
      <c r="U7895" t="str">
        <f t="shared" si="3220"/>
        <v>AZRAD UMAR BIN SHAARI</v>
      </c>
      <c r="V7895" t="str">
        <f t="shared" si="3221"/>
        <v>FARHANA BINTI MUSTAPA</v>
      </c>
      <c r="W7895" t="str">
        <f t="shared" si="3222"/>
        <v>04-08-2020</v>
      </c>
      <c r="X7895" t="str">
        <f t="shared" si="3223"/>
        <v>RAZIMAH ANSAR AHMAD</v>
      </c>
      <c r="Y7895" t="str">
        <f t="shared" si="3224"/>
        <v>04-08-2020</v>
      </c>
      <c r="Z7895" t="str">
        <f>"COS10200804 1259"</f>
        <v>COS10200804 1259</v>
      </c>
    </row>
    <row r="7896" spans="1:26" x14ac:dyDescent="0.25">
      <c r="A7896" t="str">
        <f t="shared" si="3225"/>
        <v>04-08-2020 12:32:37</v>
      </c>
      <c r="B7896" t="str">
        <f>"0000803006"</f>
        <v>0000803006</v>
      </c>
      <c r="C7896" t="str">
        <f t="shared" si="3226"/>
        <v>0000802948</v>
      </c>
      <c r="D7896" t="str">
        <f t="shared" si="3214"/>
        <v>73185</v>
      </c>
      <c r="E7896" t="str">
        <f t="shared" si="3215"/>
        <v>KFH-OPERATIONS DEPARTMENT</v>
      </c>
      <c r="F7896" t="str">
        <f t="shared" si="3216"/>
        <v>IBG</v>
      </c>
      <c r="G7896" t="str">
        <f t="shared" si="3227"/>
        <v>Refund COSHARE 10</v>
      </c>
      <c r="H7896" s="2">
        <v>495.4</v>
      </c>
      <c r="I7896" t="str">
        <f>"REGGIE BINTI BARASIK"</f>
        <v>REGGIE BINTI BARASIK</v>
      </c>
      <c r="J7896" t="str">
        <f t="shared" si="3205"/>
        <v>BANK KERJASAMA RAKYAT</v>
      </c>
      <c r="K7896" t="str">
        <f>"221211025648"</f>
        <v>221211025648</v>
      </c>
      <c r="L7896" t="str">
        <f t="shared" si="3228"/>
        <v>04-08-2020</v>
      </c>
      <c r="M7896" t="str">
        <f t="shared" si="3228"/>
        <v>04-08-2020</v>
      </c>
      <c r="N7896" t="str">
        <f t="shared" si="3217"/>
        <v>001105018356</v>
      </c>
      <c r="O7896" t="str">
        <f t="shared" si="3218"/>
        <v>MYR</v>
      </c>
      <c r="P7896" t="str">
        <f t="shared" si="3229"/>
        <v>NIL</v>
      </c>
      <c r="Q7896" t="str">
        <f t="shared" si="3229"/>
        <v>NIL</v>
      </c>
      <c r="R7896" t="str">
        <f t="shared" si="3206"/>
        <v>Accepted</v>
      </c>
      <c r="S7896" t="str">
        <f t="shared" si="3219"/>
        <v>Approved</v>
      </c>
      <c r="T7896" t="str">
        <f t="shared" si="3207"/>
        <v>10.20.8.188</v>
      </c>
      <c r="U7896" t="str">
        <f t="shared" si="3220"/>
        <v>AZRAD UMAR BIN SHAARI</v>
      </c>
      <c r="V7896" t="str">
        <f t="shared" si="3221"/>
        <v>FARHANA BINTI MUSTAPA</v>
      </c>
      <c r="W7896" t="str">
        <f t="shared" si="3222"/>
        <v>04-08-2020</v>
      </c>
      <c r="X7896" t="str">
        <f t="shared" si="3223"/>
        <v>RAZIMAH ANSAR AHMAD</v>
      </c>
      <c r="Y7896" t="str">
        <f t="shared" si="3224"/>
        <v>04-08-2020</v>
      </c>
      <c r="Z7896" t="str">
        <f>"COS10200804 1258"</f>
        <v>COS10200804 1258</v>
      </c>
    </row>
    <row r="7897" spans="1:26" x14ac:dyDescent="0.25">
      <c r="A7897" t="str">
        <f t="shared" si="3225"/>
        <v>04-08-2020 12:32:37</v>
      </c>
      <c r="B7897" t="str">
        <f>"0000803005"</f>
        <v>0000803005</v>
      </c>
      <c r="C7897" t="str">
        <f t="shared" si="3226"/>
        <v>0000802948</v>
      </c>
      <c r="D7897" t="str">
        <f t="shared" si="3214"/>
        <v>73185</v>
      </c>
      <c r="E7897" t="str">
        <f t="shared" si="3215"/>
        <v>KFH-OPERATIONS DEPARTMENT</v>
      </c>
      <c r="F7897" t="str">
        <f t="shared" si="3216"/>
        <v>IBG</v>
      </c>
      <c r="G7897" t="str">
        <f t="shared" si="3227"/>
        <v>Refund COSHARE 10</v>
      </c>
      <c r="H7897" s="2">
        <v>251.85</v>
      </c>
      <c r="I7897" t="str">
        <f>"RAWASIAH BINTI PAGUE"</f>
        <v>RAWASIAH BINTI PAGUE</v>
      </c>
      <c r="J7897" t="str">
        <f t="shared" si="3205"/>
        <v>BANK KERJASAMA RAKYAT</v>
      </c>
      <c r="K7897" t="str">
        <f>"220711070462"</f>
        <v>220711070462</v>
      </c>
      <c r="L7897" t="str">
        <f t="shared" si="3228"/>
        <v>04-08-2020</v>
      </c>
      <c r="M7897" t="str">
        <f t="shared" si="3228"/>
        <v>04-08-2020</v>
      </c>
      <c r="N7897" t="str">
        <f t="shared" si="3217"/>
        <v>001105018356</v>
      </c>
      <c r="O7897" t="str">
        <f t="shared" si="3218"/>
        <v>MYR</v>
      </c>
      <c r="P7897" t="str">
        <f t="shared" si="3229"/>
        <v>NIL</v>
      </c>
      <c r="Q7897" t="str">
        <f t="shared" si="3229"/>
        <v>NIL</v>
      </c>
      <c r="R7897" t="str">
        <f t="shared" si="3206"/>
        <v>Accepted</v>
      </c>
      <c r="S7897" t="str">
        <f t="shared" si="3219"/>
        <v>Approved</v>
      </c>
      <c r="T7897" t="str">
        <f t="shared" si="3207"/>
        <v>10.20.8.188</v>
      </c>
      <c r="U7897" t="str">
        <f t="shared" si="3220"/>
        <v>AZRAD UMAR BIN SHAARI</v>
      </c>
      <c r="V7897" t="str">
        <f t="shared" si="3221"/>
        <v>FARHANA BINTI MUSTAPA</v>
      </c>
      <c r="W7897" t="str">
        <f t="shared" si="3222"/>
        <v>04-08-2020</v>
      </c>
      <c r="X7897" t="str">
        <f t="shared" si="3223"/>
        <v>RAZIMAH ANSAR AHMAD</v>
      </c>
      <c r="Y7897" t="str">
        <f t="shared" si="3224"/>
        <v>04-08-2020</v>
      </c>
      <c r="Z7897" t="str">
        <f>"COS10200804 1257"</f>
        <v>COS10200804 1257</v>
      </c>
    </row>
    <row r="7898" spans="1:26" x14ac:dyDescent="0.25">
      <c r="A7898" t="str">
        <f t="shared" si="3225"/>
        <v>04-08-2020 12:32:37</v>
      </c>
      <c r="B7898" t="str">
        <f>"0000803004"</f>
        <v>0000803004</v>
      </c>
      <c r="C7898" t="str">
        <f t="shared" si="3226"/>
        <v>0000802948</v>
      </c>
      <c r="D7898" t="str">
        <f t="shared" si="3214"/>
        <v>73185</v>
      </c>
      <c r="E7898" t="str">
        <f t="shared" si="3215"/>
        <v>KFH-OPERATIONS DEPARTMENT</v>
      </c>
      <c r="F7898" t="str">
        <f t="shared" si="3216"/>
        <v>IBG</v>
      </c>
      <c r="G7898" t="str">
        <f t="shared" si="3227"/>
        <v>Refund COSHARE 10</v>
      </c>
      <c r="H7898" s="2">
        <v>268.64999999999998</v>
      </c>
      <c r="I7898" t="str">
        <f>"RASLAN HALAMI BIN ABBAS"</f>
        <v>RASLAN HALAMI BIN ABBAS</v>
      </c>
      <c r="J7898" t="str">
        <f t="shared" si="3205"/>
        <v>BANK KERJASAMA RAKYAT</v>
      </c>
      <c r="K7898" t="str">
        <f>"220461052051"</f>
        <v>220461052051</v>
      </c>
      <c r="L7898" t="str">
        <f t="shared" si="3228"/>
        <v>04-08-2020</v>
      </c>
      <c r="M7898" t="str">
        <f t="shared" si="3228"/>
        <v>04-08-2020</v>
      </c>
      <c r="N7898" t="str">
        <f t="shared" si="3217"/>
        <v>001105018356</v>
      </c>
      <c r="O7898" t="str">
        <f t="shared" si="3218"/>
        <v>MYR</v>
      </c>
      <c r="P7898" t="str">
        <f t="shared" si="3229"/>
        <v>NIL</v>
      </c>
      <c r="Q7898" t="str">
        <f t="shared" si="3229"/>
        <v>NIL</v>
      </c>
      <c r="R7898" t="str">
        <f t="shared" si="3206"/>
        <v>Accepted</v>
      </c>
      <c r="S7898" t="str">
        <f t="shared" si="3219"/>
        <v>Approved</v>
      </c>
      <c r="T7898" t="str">
        <f t="shared" si="3207"/>
        <v>10.20.8.188</v>
      </c>
      <c r="U7898" t="str">
        <f t="shared" si="3220"/>
        <v>AZRAD UMAR BIN SHAARI</v>
      </c>
      <c r="V7898" t="str">
        <f t="shared" si="3221"/>
        <v>FARHANA BINTI MUSTAPA</v>
      </c>
      <c r="W7898" t="str">
        <f t="shared" si="3222"/>
        <v>04-08-2020</v>
      </c>
      <c r="X7898" t="str">
        <f t="shared" si="3223"/>
        <v>RAZIMAH ANSAR AHMAD</v>
      </c>
      <c r="Y7898" t="str">
        <f t="shared" si="3224"/>
        <v>04-08-2020</v>
      </c>
      <c r="Z7898" t="str">
        <f>"COS10200804 1256"</f>
        <v>COS10200804 1256</v>
      </c>
    </row>
    <row r="7899" spans="1:26" x14ac:dyDescent="0.25">
      <c r="A7899" t="str">
        <f t="shared" si="3225"/>
        <v>04-08-2020 12:32:37</v>
      </c>
      <c r="B7899" t="str">
        <f>"0000803003"</f>
        <v>0000803003</v>
      </c>
      <c r="C7899" t="str">
        <f t="shared" si="3226"/>
        <v>0000802948</v>
      </c>
      <c r="D7899" t="str">
        <f t="shared" si="3214"/>
        <v>73185</v>
      </c>
      <c r="E7899" t="str">
        <f t="shared" si="3215"/>
        <v>KFH-OPERATIONS DEPARTMENT</v>
      </c>
      <c r="F7899" t="str">
        <f t="shared" si="3216"/>
        <v>IBG</v>
      </c>
      <c r="G7899" t="str">
        <f t="shared" si="3227"/>
        <v>Refund COSHARE 10</v>
      </c>
      <c r="H7899" s="2">
        <v>117.55</v>
      </c>
      <c r="I7899" t="str">
        <f>"RASID BIN DURAMAN"</f>
        <v>RASID BIN DURAMAN</v>
      </c>
      <c r="J7899" t="str">
        <f t="shared" si="3205"/>
        <v>BANK KERJASAMA RAKYAT</v>
      </c>
      <c r="K7899" t="str">
        <f>"220671174778"</f>
        <v>220671174778</v>
      </c>
      <c r="L7899" t="str">
        <f t="shared" si="3228"/>
        <v>04-08-2020</v>
      </c>
      <c r="M7899" t="str">
        <f t="shared" si="3228"/>
        <v>04-08-2020</v>
      </c>
      <c r="N7899" t="str">
        <f t="shared" si="3217"/>
        <v>001105018356</v>
      </c>
      <c r="O7899" t="str">
        <f t="shared" si="3218"/>
        <v>MYR</v>
      </c>
      <c r="P7899" t="str">
        <f t="shared" si="3229"/>
        <v>NIL</v>
      </c>
      <c r="Q7899" t="str">
        <f t="shared" si="3229"/>
        <v>NIL</v>
      </c>
      <c r="R7899" t="str">
        <f t="shared" si="3206"/>
        <v>Accepted</v>
      </c>
      <c r="S7899" t="str">
        <f t="shared" si="3219"/>
        <v>Approved</v>
      </c>
      <c r="T7899" t="str">
        <f t="shared" si="3207"/>
        <v>10.20.8.188</v>
      </c>
      <c r="U7899" t="str">
        <f t="shared" si="3220"/>
        <v>AZRAD UMAR BIN SHAARI</v>
      </c>
      <c r="V7899" t="str">
        <f t="shared" si="3221"/>
        <v>FARHANA BINTI MUSTAPA</v>
      </c>
      <c r="W7899" t="str">
        <f t="shared" si="3222"/>
        <v>04-08-2020</v>
      </c>
      <c r="X7899" t="str">
        <f t="shared" si="3223"/>
        <v>RAZIMAH ANSAR AHMAD</v>
      </c>
      <c r="Y7899" t="str">
        <f t="shared" si="3224"/>
        <v>04-08-2020</v>
      </c>
      <c r="Z7899" t="str">
        <f>"COS10200804 1255"</f>
        <v>COS10200804 1255</v>
      </c>
    </row>
    <row r="7900" spans="1:26" x14ac:dyDescent="0.25">
      <c r="A7900" t="str">
        <f t="shared" si="3225"/>
        <v>04-08-2020 12:32:37</v>
      </c>
      <c r="B7900" t="str">
        <f>"0000803002"</f>
        <v>0000803002</v>
      </c>
      <c r="C7900" t="str">
        <f t="shared" si="3226"/>
        <v>0000802948</v>
      </c>
      <c r="D7900" t="str">
        <f t="shared" si="3214"/>
        <v>73185</v>
      </c>
      <c r="E7900" t="str">
        <f t="shared" si="3215"/>
        <v>KFH-OPERATIONS DEPARTMENT</v>
      </c>
      <c r="F7900" t="str">
        <f t="shared" si="3216"/>
        <v>IBG</v>
      </c>
      <c r="G7900" t="str">
        <f t="shared" si="3227"/>
        <v>Refund COSHARE 10</v>
      </c>
      <c r="H7900" s="2">
        <v>94.85</v>
      </c>
      <c r="I7900" t="str">
        <f>"RASHIDAH BINTI YUNOS"</f>
        <v>RASHIDAH BINTI YUNOS</v>
      </c>
      <c r="J7900" t="str">
        <f t="shared" si="3205"/>
        <v>BANK KERJASAMA RAKYAT</v>
      </c>
      <c r="K7900" t="str">
        <f>"220131268091"</f>
        <v>220131268091</v>
      </c>
      <c r="L7900" t="str">
        <f t="shared" si="3228"/>
        <v>04-08-2020</v>
      </c>
      <c r="M7900" t="str">
        <f t="shared" si="3228"/>
        <v>04-08-2020</v>
      </c>
      <c r="N7900" t="str">
        <f t="shared" si="3217"/>
        <v>001105018356</v>
      </c>
      <c r="O7900" t="str">
        <f t="shared" si="3218"/>
        <v>MYR</v>
      </c>
      <c r="P7900" t="str">
        <f t="shared" si="3229"/>
        <v>NIL</v>
      </c>
      <c r="Q7900" t="str">
        <f t="shared" si="3229"/>
        <v>NIL</v>
      </c>
      <c r="R7900" t="str">
        <f t="shared" si="3206"/>
        <v>Accepted</v>
      </c>
      <c r="S7900" t="str">
        <f t="shared" si="3219"/>
        <v>Approved</v>
      </c>
      <c r="T7900" t="str">
        <f t="shared" si="3207"/>
        <v>10.20.8.188</v>
      </c>
      <c r="U7900" t="str">
        <f t="shared" si="3220"/>
        <v>AZRAD UMAR BIN SHAARI</v>
      </c>
      <c r="V7900" t="str">
        <f t="shared" si="3221"/>
        <v>FARHANA BINTI MUSTAPA</v>
      </c>
      <c r="W7900" t="str">
        <f t="shared" si="3222"/>
        <v>04-08-2020</v>
      </c>
      <c r="X7900" t="str">
        <f t="shared" si="3223"/>
        <v>RAZIMAH ANSAR AHMAD</v>
      </c>
      <c r="Y7900" t="str">
        <f t="shared" si="3224"/>
        <v>04-08-2020</v>
      </c>
      <c r="Z7900" t="str">
        <f>"COS10200804 1254"</f>
        <v>COS10200804 1254</v>
      </c>
    </row>
    <row r="7901" spans="1:26" x14ac:dyDescent="0.25">
      <c r="A7901" t="str">
        <f t="shared" si="3225"/>
        <v>04-08-2020 12:32:37</v>
      </c>
      <c r="B7901" t="str">
        <f>"0000803001"</f>
        <v>0000803001</v>
      </c>
      <c r="C7901" t="str">
        <f t="shared" si="3226"/>
        <v>0000802948</v>
      </c>
      <c r="D7901" t="str">
        <f t="shared" si="3214"/>
        <v>73185</v>
      </c>
      <c r="E7901" t="str">
        <f t="shared" si="3215"/>
        <v>KFH-OPERATIONS DEPARTMENT</v>
      </c>
      <c r="F7901" t="str">
        <f t="shared" si="3216"/>
        <v>IBG</v>
      </c>
      <c r="G7901" t="str">
        <f t="shared" si="3227"/>
        <v>Refund COSHARE 10</v>
      </c>
      <c r="H7901" s="2">
        <v>310.45</v>
      </c>
      <c r="I7901" t="str">
        <f>"RASHIDAH BINTI OTHMAN"</f>
        <v>RASHIDAH BINTI OTHMAN</v>
      </c>
      <c r="J7901" t="str">
        <f t="shared" si="3205"/>
        <v>BANK KERJASAMA RAKYAT</v>
      </c>
      <c r="K7901" t="str">
        <f>"220121149137"</f>
        <v>220121149137</v>
      </c>
      <c r="L7901" t="str">
        <f t="shared" si="3228"/>
        <v>04-08-2020</v>
      </c>
      <c r="M7901" t="str">
        <f t="shared" si="3228"/>
        <v>04-08-2020</v>
      </c>
      <c r="N7901" t="str">
        <f t="shared" si="3217"/>
        <v>001105018356</v>
      </c>
      <c r="O7901" t="str">
        <f t="shared" si="3218"/>
        <v>MYR</v>
      </c>
      <c r="P7901" t="str">
        <f t="shared" si="3229"/>
        <v>NIL</v>
      </c>
      <c r="Q7901" t="str">
        <f t="shared" si="3229"/>
        <v>NIL</v>
      </c>
      <c r="R7901" t="str">
        <f t="shared" si="3206"/>
        <v>Accepted</v>
      </c>
      <c r="S7901" t="str">
        <f t="shared" si="3219"/>
        <v>Approved</v>
      </c>
      <c r="T7901" t="str">
        <f t="shared" si="3207"/>
        <v>10.20.8.188</v>
      </c>
      <c r="U7901" t="str">
        <f t="shared" si="3220"/>
        <v>AZRAD UMAR BIN SHAARI</v>
      </c>
      <c r="V7901" t="str">
        <f t="shared" si="3221"/>
        <v>FARHANA BINTI MUSTAPA</v>
      </c>
      <c r="W7901" t="str">
        <f t="shared" si="3222"/>
        <v>04-08-2020</v>
      </c>
      <c r="X7901" t="str">
        <f t="shared" si="3223"/>
        <v>RAZIMAH ANSAR AHMAD</v>
      </c>
      <c r="Y7901" t="str">
        <f t="shared" si="3224"/>
        <v>04-08-2020</v>
      </c>
      <c r="Z7901" t="str">
        <f>"COS10200804 1253"</f>
        <v>COS10200804 1253</v>
      </c>
    </row>
    <row r="7902" spans="1:26" x14ac:dyDescent="0.25">
      <c r="A7902" t="str">
        <f t="shared" si="3225"/>
        <v>04-08-2020 12:32:37</v>
      </c>
      <c r="B7902" t="str">
        <f>"0000803000"</f>
        <v>0000803000</v>
      </c>
      <c r="C7902" t="str">
        <f t="shared" si="3226"/>
        <v>0000802948</v>
      </c>
      <c r="D7902" t="str">
        <f t="shared" si="3214"/>
        <v>73185</v>
      </c>
      <c r="E7902" t="str">
        <f t="shared" si="3215"/>
        <v>KFH-OPERATIONS DEPARTMENT</v>
      </c>
      <c r="F7902" t="str">
        <f t="shared" si="3216"/>
        <v>IBG</v>
      </c>
      <c r="G7902" t="str">
        <f t="shared" si="3227"/>
        <v>Refund COSHARE 10</v>
      </c>
      <c r="H7902" s="2">
        <v>251.85</v>
      </c>
      <c r="I7902" t="str">
        <f>"RAMLI BIN SUPI"</f>
        <v>RAMLI BIN SUPI</v>
      </c>
      <c r="J7902" t="str">
        <f t="shared" si="3205"/>
        <v>BANK KERJASAMA RAKYAT</v>
      </c>
      <c r="K7902" t="str">
        <f>"220551032644"</f>
        <v>220551032644</v>
      </c>
      <c r="L7902" t="str">
        <f t="shared" si="3228"/>
        <v>04-08-2020</v>
      </c>
      <c r="M7902" t="str">
        <f t="shared" si="3228"/>
        <v>04-08-2020</v>
      </c>
      <c r="N7902" t="str">
        <f t="shared" si="3217"/>
        <v>001105018356</v>
      </c>
      <c r="O7902" t="str">
        <f t="shared" si="3218"/>
        <v>MYR</v>
      </c>
      <c r="P7902" t="str">
        <f t="shared" si="3229"/>
        <v>NIL</v>
      </c>
      <c r="Q7902" t="str">
        <f t="shared" si="3229"/>
        <v>NIL</v>
      </c>
      <c r="R7902" t="str">
        <f t="shared" si="3206"/>
        <v>Accepted</v>
      </c>
      <c r="S7902" t="str">
        <f t="shared" si="3219"/>
        <v>Approved</v>
      </c>
      <c r="T7902" t="str">
        <f t="shared" si="3207"/>
        <v>10.20.8.188</v>
      </c>
      <c r="U7902" t="str">
        <f t="shared" si="3220"/>
        <v>AZRAD UMAR BIN SHAARI</v>
      </c>
      <c r="V7902" t="str">
        <f t="shared" si="3221"/>
        <v>FARHANA BINTI MUSTAPA</v>
      </c>
      <c r="W7902" t="str">
        <f t="shared" si="3222"/>
        <v>04-08-2020</v>
      </c>
      <c r="X7902" t="str">
        <f t="shared" si="3223"/>
        <v>RAZIMAH ANSAR AHMAD</v>
      </c>
      <c r="Y7902" t="str">
        <f t="shared" si="3224"/>
        <v>04-08-2020</v>
      </c>
      <c r="Z7902" t="str">
        <f>"COS10200804 1252"</f>
        <v>COS10200804 1252</v>
      </c>
    </row>
    <row r="7903" spans="1:26" x14ac:dyDescent="0.25">
      <c r="A7903" t="str">
        <f t="shared" si="3225"/>
        <v>04-08-2020 12:32:37</v>
      </c>
      <c r="B7903" t="str">
        <f>"0000802999"</f>
        <v>0000802999</v>
      </c>
      <c r="C7903" t="str">
        <f t="shared" si="3226"/>
        <v>0000802948</v>
      </c>
      <c r="D7903" t="str">
        <f t="shared" si="3214"/>
        <v>73185</v>
      </c>
      <c r="E7903" t="str">
        <f t="shared" si="3215"/>
        <v>KFH-OPERATIONS DEPARTMENT</v>
      </c>
      <c r="F7903" t="str">
        <f t="shared" si="3216"/>
        <v>IBG</v>
      </c>
      <c r="G7903" t="str">
        <f t="shared" si="3227"/>
        <v>Refund COSHARE 10</v>
      </c>
      <c r="H7903" s="2">
        <v>342</v>
      </c>
      <c r="I7903" t="str">
        <f>"RAMLI BIN SANUDIN"</f>
        <v>RAMLI BIN SANUDIN</v>
      </c>
      <c r="J7903" t="str">
        <f t="shared" si="3205"/>
        <v>BANK KERJASAMA RAKYAT</v>
      </c>
      <c r="K7903" t="str">
        <f>"220791195113"</f>
        <v>220791195113</v>
      </c>
      <c r="L7903" t="str">
        <f t="shared" si="3228"/>
        <v>04-08-2020</v>
      </c>
      <c r="M7903" t="str">
        <f t="shared" si="3228"/>
        <v>04-08-2020</v>
      </c>
      <c r="N7903" t="str">
        <f t="shared" si="3217"/>
        <v>001105018356</v>
      </c>
      <c r="O7903" t="str">
        <f t="shared" si="3218"/>
        <v>MYR</v>
      </c>
      <c r="P7903" t="str">
        <f t="shared" si="3229"/>
        <v>NIL</v>
      </c>
      <c r="Q7903" t="str">
        <f t="shared" si="3229"/>
        <v>NIL</v>
      </c>
      <c r="R7903" t="str">
        <f t="shared" si="3206"/>
        <v>Accepted</v>
      </c>
      <c r="S7903" t="str">
        <f t="shared" si="3219"/>
        <v>Approved</v>
      </c>
      <c r="T7903" t="str">
        <f t="shared" si="3207"/>
        <v>10.20.8.188</v>
      </c>
      <c r="U7903" t="str">
        <f t="shared" si="3220"/>
        <v>AZRAD UMAR BIN SHAARI</v>
      </c>
      <c r="V7903" t="str">
        <f t="shared" si="3221"/>
        <v>FARHANA BINTI MUSTAPA</v>
      </c>
      <c r="W7903" t="str">
        <f t="shared" si="3222"/>
        <v>04-08-2020</v>
      </c>
      <c r="X7903" t="str">
        <f t="shared" si="3223"/>
        <v>RAZIMAH ANSAR AHMAD</v>
      </c>
      <c r="Y7903" t="str">
        <f t="shared" si="3224"/>
        <v>04-08-2020</v>
      </c>
      <c r="Z7903" t="str">
        <f>"COS10200804 1251"</f>
        <v>COS10200804 1251</v>
      </c>
    </row>
    <row r="7904" spans="1:26" x14ac:dyDescent="0.25">
      <c r="A7904" t="str">
        <f t="shared" si="3225"/>
        <v>04-08-2020 12:32:37</v>
      </c>
      <c r="B7904" t="str">
        <f>"0000802998"</f>
        <v>0000802998</v>
      </c>
      <c r="C7904" t="str">
        <f t="shared" si="3226"/>
        <v>0000802948</v>
      </c>
      <c r="D7904" t="str">
        <f t="shared" si="3214"/>
        <v>73185</v>
      </c>
      <c r="E7904" t="str">
        <f t="shared" si="3215"/>
        <v>KFH-OPERATIONS DEPARTMENT</v>
      </c>
      <c r="F7904" t="str">
        <f t="shared" si="3216"/>
        <v>IBG</v>
      </c>
      <c r="G7904" t="str">
        <f t="shared" si="3227"/>
        <v>Refund COSHARE 10</v>
      </c>
      <c r="H7904" s="2">
        <v>213</v>
      </c>
      <c r="I7904" t="str">
        <f>"RAMDIN BIN MOKSIN"</f>
        <v>RAMDIN BIN MOKSIN</v>
      </c>
      <c r="J7904" t="str">
        <f t="shared" si="3205"/>
        <v>BANK KERJASAMA RAKYAT</v>
      </c>
      <c r="K7904" t="str">
        <f>"220531260026"</f>
        <v>220531260026</v>
      </c>
      <c r="L7904" t="str">
        <f t="shared" si="3228"/>
        <v>04-08-2020</v>
      </c>
      <c r="M7904" t="str">
        <f t="shared" si="3228"/>
        <v>04-08-2020</v>
      </c>
      <c r="N7904" t="str">
        <f t="shared" si="3217"/>
        <v>001105018356</v>
      </c>
      <c r="O7904" t="str">
        <f t="shared" si="3218"/>
        <v>MYR</v>
      </c>
      <c r="P7904" t="str">
        <f t="shared" si="3229"/>
        <v>NIL</v>
      </c>
      <c r="Q7904" t="str">
        <f t="shared" si="3229"/>
        <v>NIL</v>
      </c>
      <c r="R7904" t="str">
        <f t="shared" si="3206"/>
        <v>Accepted</v>
      </c>
      <c r="S7904" t="str">
        <f t="shared" si="3219"/>
        <v>Approved</v>
      </c>
      <c r="T7904" t="str">
        <f t="shared" si="3207"/>
        <v>10.20.8.188</v>
      </c>
      <c r="U7904" t="str">
        <f t="shared" si="3220"/>
        <v>AZRAD UMAR BIN SHAARI</v>
      </c>
      <c r="V7904" t="str">
        <f t="shared" si="3221"/>
        <v>FARHANA BINTI MUSTAPA</v>
      </c>
      <c r="W7904" t="str">
        <f t="shared" si="3222"/>
        <v>04-08-2020</v>
      </c>
      <c r="X7904" t="str">
        <f t="shared" si="3223"/>
        <v>RAZIMAH ANSAR AHMAD</v>
      </c>
      <c r="Y7904" t="str">
        <f t="shared" si="3224"/>
        <v>04-08-2020</v>
      </c>
      <c r="Z7904" t="str">
        <f>"COS10200804 1250"</f>
        <v>COS10200804 1250</v>
      </c>
    </row>
    <row r="7905" spans="1:26" x14ac:dyDescent="0.25">
      <c r="A7905" t="str">
        <f t="shared" si="3225"/>
        <v>04-08-2020 12:32:37</v>
      </c>
      <c r="B7905" t="str">
        <f>"0000802997"</f>
        <v>0000802997</v>
      </c>
      <c r="C7905" t="str">
        <f t="shared" si="3226"/>
        <v>0000802948</v>
      </c>
      <c r="D7905" t="str">
        <f t="shared" si="3214"/>
        <v>73185</v>
      </c>
      <c r="E7905" t="str">
        <f t="shared" si="3215"/>
        <v>KFH-OPERATIONS DEPARTMENT</v>
      </c>
      <c r="F7905" t="str">
        <f t="shared" si="3216"/>
        <v>IBG</v>
      </c>
      <c r="G7905" t="str">
        <f t="shared" si="3227"/>
        <v>Refund COSHARE 10</v>
      </c>
      <c r="H7905" s="2">
        <v>881.5</v>
      </c>
      <c r="I7905" t="str">
        <f>"RAJANTHIRAN AL KRISHNAN"</f>
        <v>RAJANTHIRAN AL KRISHNAN</v>
      </c>
      <c r="J7905" t="str">
        <f t="shared" si="3205"/>
        <v>BANK KERJASAMA RAKYAT</v>
      </c>
      <c r="K7905" t="str">
        <f>"220441125917"</f>
        <v>220441125917</v>
      </c>
      <c r="L7905" t="str">
        <f t="shared" si="3228"/>
        <v>04-08-2020</v>
      </c>
      <c r="M7905" t="str">
        <f t="shared" si="3228"/>
        <v>04-08-2020</v>
      </c>
      <c r="N7905" t="str">
        <f t="shared" si="3217"/>
        <v>001105018356</v>
      </c>
      <c r="O7905" t="str">
        <f t="shared" si="3218"/>
        <v>MYR</v>
      </c>
      <c r="P7905" t="str">
        <f t="shared" si="3229"/>
        <v>NIL</v>
      </c>
      <c r="Q7905" t="str">
        <f t="shared" si="3229"/>
        <v>NIL</v>
      </c>
      <c r="R7905" t="str">
        <f t="shared" si="3206"/>
        <v>Accepted</v>
      </c>
      <c r="S7905" t="str">
        <f t="shared" si="3219"/>
        <v>Approved</v>
      </c>
      <c r="T7905" t="str">
        <f t="shared" si="3207"/>
        <v>10.20.8.188</v>
      </c>
      <c r="U7905" t="str">
        <f t="shared" si="3220"/>
        <v>AZRAD UMAR BIN SHAARI</v>
      </c>
      <c r="V7905" t="str">
        <f t="shared" si="3221"/>
        <v>FARHANA BINTI MUSTAPA</v>
      </c>
      <c r="W7905" t="str">
        <f t="shared" si="3222"/>
        <v>04-08-2020</v>
      </c>
      <c r="X7905" t="str">
        <f t="shared" si="3223"/>
        <v>RAZIMAH ANSAR AHMAD</v>
      </c>
      <c r="Y7905" t="str">
        <f t="shared" si="3224"/>
        <v>04-08-2020</v>
      </c>
      <c r="Z7905" t="str">
        <f>"COS10200804 1249"</f>
        <v>COS10200804 1249</v>
      </c>
    </row>
    <row r="7906" spans="1:26" x14ac:dyDescent="0.25">
      <c r="A7906" t="str">
        <f t="shared" si="3225"/>
        <v>04-08-2020 12:32:37</v>
      </c>
      <c r="B7906" t="str">
        <f>"0000802996"</f>
        <v>0000802996</v>
      </c>
      <c r="C7906" t="str">
        <f t="shared" si="3226"/>
        <v>0000802948</v>
      </c>
      <c r="D7906" t="str">
        <f t="shared" si="3214"/>
        <v>73185</v>
      </c>
      <c r="E7906" t="str">
        <f t="shared" si="3215"/>
        <v>KFH-OPERATIONS DEPARTMENT</v>
      </c>
      <c r="F7906" t="str">
        <f t="shared" si="3216"/>
        <v>IBG</v>
      </c>
      <c r="G7906" t="str">
        <f t="shared" si="3227"/>
        <v>Refund COSHARE 10</v>
      </c>
      <c r="H7906" s="2">
        <v>661</v>
      </c>
      <c r="I7906" t="str">
        <f>"RAHMAT BIN KASIM"</f>
        <v>RAHMAT BIN KASIM</v>
      </c>
      <c r="J7906" t="str">
        <f t="shared" ref="J7906:J7969" si="3230">"BANK KERJASAMA RAKYAT"</f>
        <v>BANK KERJASAMA RAKYAT</v>
      </c>
      <c r="K7906" t="str">
        <f>"220471270093"</f>
        <v>220471270093</v>
      </c>
      <c r="L7906" t="str">
        <f t="shared" si="3228"/>
        <v>04-08-2020</v>
      </c>
      <c r="M7906" t="str">
        <f t="shared" si="3228"/>
        <v>04-08-2020</v>
      </c>
      <c r="N7906" t="str">
        <f t="shared" si="3217"/>
        <v>001105018356</v>
      </c>
      <c r="O7906" t="str">
        <f t="shared" si="3218"/>
        <v>MYR</v>
      </c>
      <c r="P7906" t="str">
        <f t="shared" si="3229"/>
        <v>NIL</v>
      </c>
      <c r="Q7906" t="str">
        <f t="shared" si="3229"/>
        <v>NIL</v>
      </c>
      <c r="R7906" t="str">
        <f t="shared" ref="R7906:R7969" si="3231">"Accepted"</f>
        <v>Accepted</v>
      </c>
      <c r="S7906" t="str">
        <f t="shared" si="3219"/>
        <v>Approved</v>
      </c>
      <c r="T7906" t="str">
        <f t="shared" ref="T7906:T7969" si="3232">"10.20.8.188"</f>
        <v>10.20.8.188</v>
      </c>
      <c r="U7906" t="str">
        <f t="shared" si="3220"/>
        <v>AZRAD UMAR BIN SHAARI</v>
      </c>
      <c r="V7906" t="str">
        <f t="shared" si="3221"/>
        <v>FARHANA BINTI MUSTAPA</v>
      </c>
      <c r="W7906" t="str">
        <f t="shared" si="3222"/>
        <v>04-08-2020</v>
      </c>
      <c r="X7906" t="str">
        <f t="shared" si="3223"/>
        <v>RAZIMAH ANSAR AHMAD</v>
      </c>
      <c r="Y7906" t="str">
        <f t="shared" si="3224"/>
        <v>04-08-2020</v>
      </c>
      <c r="Z7906" t="str">
        <f>"COS10200804 1248"</f>
        <v>COS10200804 1248</v>
      </c>
    </row>
    <row r="7907" spans="1:26" x14ac:dyDescent="0.25">
      <c r="A7907" t="str">
        <f t="shared" si="3225"/>
        <v>04-08-2020 12:32:37</v>
      </c>
      <c r="B7907" t="str">
        <f>"0000802995"</f>
        <v>0000802995</v>
      </c>
      <c r="C7907" t="str">
        <f t="shared" si="3226"/>
        <v>0000802948</v>
      </c>
      <c r="D7907" t="str">
        <f t="shared" si="3214"/>
        <v>73185</v>
      </c>
      <c r="E7907" t="str">
        <f t="shared" si="3215"/>
        <v>KFH-OPERATIONS DEPARTMENT</v>
      </c>
      <c r="F7907" t="str">
        <f t="shared" si="3216"/>
        <v>IBG</v>
      </c>
      <c r="G7907" t="str">
        <f t="shared" si="3227"/>
        <v>Refund COSHARE 10</v>
      </c>
      <c r="H7907" s="2">
        <v>1351.1</v>
      </c>
      <c r="I7907" t="str">
        <f>"RAHIMAH BINTI ABU HASSAN"</f>
        <v>RAHIMAH BINTI ABU HASSAN</v>
      </c>
      <c r="J7907" t="str">
        <f t="shared" si="3230"/>
        <v>BANK KERJASAMA RAKYAT</v>
      </c>
      <c r="K7907" t="str">
        <f>"220011110222"</f>
        <v>220011110222</v>
      </c>
      <c r="L7907" t="str">
        <f t="shared" ref="L7907:M7926" si="3233">"04-08-2020"</f>
        <v>04-08-2020</v>
      </c>
      <c r="M7907" t="str">
        <f t="shared" si="3233"/>
        <v>04-08-2020</v>
      </c>
      <c r="N7907" t="str">
        <f t="shared" si="3217"/>
        <v>001105018356</v>
      </c>
      <c r="O7907" t="str">
        <f t="shared" si="3218"/>
        <v>MYR</v>
      </c>
      <c r="P7907" t="str">
        <f t="shared" ref="P7907:Q7926" si="3234">"NIL"</f>
        <v>NIL</v>
      </c>
      <c r="Q7907" t="str">
        <f t="shared" si="3234"/>
        <v>NIL</v>
      </c>
      <c r="R7907" t="str">
        <f t="shared" si="3231"/>
        <v>Accepted</v>
      </c>
      <c r="S7907" t="str">
        <f t="shared" si="3219"/>
        <v>Approved</v>
      </c>
      <c r="T7907" t="str">
        <f t="shared" si="3232"/>
        <v>10.20.8.188</v>
      </c>
      <c r="U7907" t="str">
        <f t="shared" si="3220"/>
        <v>AZRAD UMAR BIN SHAARI</v>
      </c>
      <c r="V7907" t="str">
        <f t="shared" si="3221"/>
        <v>FARHANA BINTI MUSTAPA</v>
      </c>
      <c r="W7907" t="str">
        <f t="shared" si="3222"/>
        <v>04-08-2020</v>
      </c>
      <c r="X7907" t="str">
        <f t="shared" si="3223"/>
        <v>RAZIMAH ANSAR AHMAD</v>
      </c>
      <c r="Y7907" t="str">
        <f t="shared" si="3224"/>
        <v>04-08-2020</v>
      </c>
      <c r="Z7907" t="str">
        <f>"COS10200804 1247"</f>
        <v>COS10200804 1247</v>
      </c>
    </row>
    <row r="7908" spans="1:26" x14ac:dyDescent="0.25">
      <c r="A7908" t="str">
        <f t="shared" si="3225"/>
        <v>04-08-2020 12:32:37</v>
      </c>
      <c r="B7908" t="str">
        <f>"0000802994"</f>
        <v>0000802994</v>
      </c>
      <c r="C7908" t="str">
        <f t="shared" si="3226"/>
        <v>0000802948</v>
      </c>
      <c r="D7908" t="str">
        <f t="shared" si="3214"/>
        <v>73185</v>
      </c>
      <c r="E7908" t="str">
        <f t="shared" si="3215"/>
        <v>KFH-OPERATIONS DEPARTMENT</v>
      </c>
      <c r="F7908" t="str">
        <f t="shared" si="3216"/>
        <v>IBG</v>
      </c>
      <c r="G7908" t="str">
        <f t="shared" si="3227"/>
        <v>Refund COSHARE 10</v>
      </c>
      <c r="H7908" s="2">
        <v>88.7</v>
      </c>
      <c r="I7908" t="str">
        <f>"RAFIAH BINTI A RAHMAN"</f>
        <v>RAFIAH BINTI A RAHMAN</v>
      </c>
      <c r="J7908" t="str">
        <f t="shared" si="3230"/>
        <v>BANK KERJASAMA RAKYAT</v>
      </c>
      <c r="K7908" t="str">
        <f>"220791165207"</f>
        <v>220791165207</v>
      </c>
      <c r="L7908" t="str">
        <f t="shared" si="3233"/>
        <v>04-08-2020</v>
      </c>
      <c r="M7908" t="str">
        <f t="shared" si="3233"/>
        <v>04-08-2020</v>
      </c>
      <c r="N7908" t="str">
        <f t="shared" si="3217"/>
        <v>001105018356</v>
      </c>
      <c r="O7908" t="str">
        <f t="shared" si="3218"/>
        <v>MYR</v>
      </c>
      <c r="P7908" t="str">
        <f t="shared" si="3234"/>
        <v>NIL</v>
      </c>
      <c r="Q7908" t="str">
        <f t="shared" si="3234"/>
        <v>NIL</v>
      </c>
      <c r="R7908" t="str">
        <f t="shared" si="3231"/>
        <v>Accepted</v>
      </c>
      <c r="S7908" t="str">
        <f t="shared" si="3219"/>
        <v>Approved</v>
      </c>
      <c r="T7908" t="str">
        <f t="shared" si="3232"/>
        <v>10.20.8.188</v>
      </c>
      <c r="U7908" t="str">
        <f t="shared" si="3220"/>
        <v>AZRAD UMAR BIN SHAARI</v>
      </c>
      <c r="V7908" t="str">
        <f t="shared" si="3221"/>
        <v>FARHANA BINTI MUSTAPA</v>
      </c>
      <c r="W7908" t="str">
        <f t="shared" si="3222"/>
        <v>04-08-2020</v>
      </c>
      <c r="X7908" t="str">
        <f t="shared" si="3223"/>
        <v>RAZIMAH ANSAR AHMAD</v>
      </c>
      <c r="Y7908" t="str">
        <f t="shared" si="3224"/>
        <v>04-08-2020</v>
      </c>
      <c r="Z7908" t="str">
        <f>"COS10200804 1246"</f>
        <v>COS10200804 1246</v>
      </c>
    </row>
    <row r="7909" spans="1:26" x14ac:dyDescent="0.25">
      <c r="A7909" t="str">
        <f t="shared" si="3225"/>
        <v>04-08-2020 12:32:37</v>
      </c>
      <c r="B7909" t="str">
        <f>"0000802993"</f>
        <v>0000802993</v>
      </c>
      <c r="C7909" t="str">
        <f t="shared" si="3226"/>
        <v>0000802948</v>
      </c>
      <c r="D7909" t="str">
        <f t="shared" si="3214"/>
        <v>73185</v>
      </c>
      <c r="E7909" t="str">
        <f t="shared" si="3215"/>
        <v>KFH-OPERATIONS DEPARTMENT</v>
      </c>
      <c r="F7909" t="str">
        <f t="shared" si="3216"/>
        <v>IBG</v>
      </c>
      <c r="G7909" t="str">
        <f t="shared" si="3227"/>
        <v>Refund COSHARE 10</v>
      </c>
      <c r="H7909" s="2">
        <v>139</v>
      </c>
      <c r="I7909" t="str">
        <f>"RADNAN BIN IBRAHIM"</f>
        <v>RADNAN BIN IBRAHIM</v>
      </c>
      <c r="J7909" t="str">
        <f t="shared" si="3230"/>
        <v>BANK KERJASAMA RAKYAT</v>
      </c>
      <c r="K7909" t="str">
        <f>"221051076736"</f>
        <v>221051076736</v>
      </c>
      <c r="L7909" t="str">
        <f t="shared" si="3233"/>
        <v>04-08-2020</v>
      </c>
      <c r="M7909" t="str">
        <f t="shared" si="3233"/>
        <v>04-08-2020</v>
      </c>
      <c r="N7909" t="str">
        <f t="shared" si="3217"/>
        <v>001105018356</v>
      </c>
      <c r="O7909" t="str">
        <f t="shared" si="3218"/>
        <v>MYR</v>
      </c>
      <c r="P7909" t="str">
        <f t="shared" si="3234"/>
        <v>NIL</v>
      </c>
      <c r="Q7909" t="str">
        <f t="shared" si="3234"/>
        <v>NIL</v>
      </c>
      <c r="R7909" t="str">
        <f t="shared" si="3231"/>
        <v>Accepted</v>
      </c>
      <c r="S7909" t="str">
        <f t="shared" si="3219"/>
        <v>Approved</v>
      </c>
      <c r="T7909" t="str">
        <f t="shared" si="3232"/>
        <v>10.20.8.188</v>
      </c>
      <c r="U7909" t="str">
        <f t="shared" si="3220"/>
        <v>AZRAD UMAR BIN SHAARI</v>
      </c>
      <c r="V7909" t="str">
        <f t="shared" si="3221"/>
        <v>FARHANA BINTI MUSTAPA</v>
      </c>
      <c r="W7909" t="str">
        <f t="shared" si="3222"/>
        <v>04-08-2020</v>
      </c>
      <c r="X7909" t="str">
        <f t="shared" si="3223"/>
        <v>RAZIMAH ANSAR AHMAD</v>
      </c>
      <c r="Y7909" t="str">
        <f t="shared" si="3224"/>
        <v>04-08-2020</v>
      </c>
      <c r="Z7909" t="str">
        <f>"COS10200804 1245"</f>
        <v>COS10200804 1245</v>
      </c>
    </row>
    <row r="7910" spans="1:26" x14ac:dyDescent="0.25">
      <c r="A7910" t="str">
        <f t="shared" si="3225"/>
        <v>04-08-2020 12:32:37</v>
      </c>
      <c r="B7910" t="str">
        <f>"0000802992"</f>
        <v>0000802992</v>
      </c>
      <c r="C7910" t="str">
        <f t="shared" si="3226"/>
        <v>0000802948</v>
      </c>
      <c r="D7910" t="str">
        <f t="shared" si="3214"/>
        <v>73185</v>
      </c>
      <c r="E7910" t="str">
        <f t="shared" si="3215"/>
        <v>KFH-OPERATIONS DEPARTMENT</v>
      </c>
      <c r="F7910" t="str">
        <f t="shared" si="3216"/>
        <v>IBG</v>
      </c>
      <c r="G7910" t="str">
        <f t="shared" si="3227"/>
        <v>Refund COSHARE 10</v>
      </c>
      <c r="H7910" s="2">
        <v>475.8</v>
      </c>
      <c r="I7910" t="str">
        <f>"RACHAEL TAWANG MALUDA"</f>
        <v>RACHAEL TAWANG MALUDA</v>
      </c>
      <c r="J7910" t="str">
        <f t="shared" si="3230"/>
        <v>BANK KERJASAMA RAKYAT</v>
      </c>
      <c r="K7910" t="str">
        <f>"220661123365"</f>
        <v>220661123365</v>
      </c>
      <c r="L7910" t="str">
        <f t="shared" si="3233"/>
        <v>04-08-2020</v>
      </c>
      <c r="M7910" t="str">
        <f t="shared" si="3233"/>
        <v>04-08-2020</v>
      </c>
      <c r="N7910" t="str">
        <f t="shared" si="3217"/>
        <v>001105018356</v>
      </c>
      <c r="O7910" t="str">
        <f t="shared" si="3218"/>
        <v>MYR</v>
      </c>
      <c r="P7910" t="str">
        <f t="shared" si="3234"/>
        <v>NIL</v>
      </c>
      <c r="Q7910" t="str">
        <f t="shared" si="3234"/>
        <v>NIL</v>
      </c>
      <c r="R7910" t="str">
        <f t="shared" si="3231"/>
        <v>Accepted</v>
      </c>
      <c r="S7910" t="str">
        <f t="shared" si="3219"/>
        <v>Approved</v>
      </c>
      <c r="T7910" t="str">
        <f t="shared" si="3232"/>
        <v>10.20.8.188</v>
      </c>
      <c r="U7910" t="str">
        <f t="shared" si="3220"/>
        <v>AZRAD UMAR BIN SHAARI</v>
      </c>
      <c r="V7910" t="str">
        <f t="shared" si="3221"/>
        <v>FARHANA BINTI MUSTAPA</v>
      </c>
      <c r="W7910" t="str">
        <f t="shared" si="3222"/>
        <v>04-08-2020</v>
      </c>
      <c r="X7910" t="str">
        <f t="shared" si="3223"/>
        <v>RAZIMAH ANSAR AHMAD</v>
      </c>
      <c r="Y7910" t="str">
        <f t="shared" si="3224"/>
        <v>04-08-2020</v>
      </c>
      <c r="Z7910" t="str">
        <f>"COS10200804 1244"</f>
        <v>COS10200804 1244</v>
      </c>
    </row>
    <row r="7911" spans="1:26" x14ac:dyDescent="0.25">
      <c r="A7911" t="str">
        <f t="shared" si="3225"/>
        <v>04-08-2020 12:32:37</v>
      </c>
      <c r="B7911" t="str">
        <f>"0000802991"</f>
        <v>0000802991</v>
      </c>
      <c r="C7911" t="str">
        <f t="shared" si="3226"/>
        <v>0000802948</v>
      </c>
      <c r="D7911" t="str">
        <f t="shared" si="3214"/>
        <v>73185</v>
      </c>
      <c r="E7911" t="str">
        <f t="shared" si="3215"/>
        <v>KFH-OPERATIONS DEPARTMENT</v>
      </c>
      <c r="F7911" t="str">
        <f t="shared" si="3216"/>
        <v>IBG</v>
      </c>
      <c r="G7911" t="str">
        <f t="shared" si="3227"/>
        <v>Refund COSHARE 10</v>
      </c>
      <c r="H7911" s="2">
        <v>114</v>
      </c>
      <c r="I7911" t="str">
        <f>"PREMALA AP RAMAIAH"</f>
        <v>PREMALA AP RAMAIAH</v>
      </c>
      <c r="J7911" t="str">
        <f t="shared" si="3230"/>
        <v>BANK KERJASAMA RAKYAT</v>
      </c>
      <c r="K7911" t="str">
        <f>"220271224137"</f>
        <v>220271224137</v>
      </c>
      <c r="L7911" t="str">
        <f t="shared" si="3233"/>
        <v>04-08-2020</v>
      </c>
      <c r="M7911" t="str">
        <f t="shared" si="3233"/>
        <v>04-08-2020</v>
      </c>
      <c r="N7911" t="str">
        <f t="shared" si="3217"/>
        <v>001105018356</v>
      </c>
      <c r="O7911" t="str">
        <f t="shared" si="3218"/>
        <v>MYR</v>
      </c>
      <c r="P7911" t="str">
        <f t="shared" si="3234"/>
        <v>NIL</v>
      </c>
      <c r="Q7911" t="str">
        <f t="shared" si="3234"/>
        <v>NIL</v>
      </c>
      <c r="R7911" t="str">
        <f t="shared" si="3231"/>
        <v>Accepted</v>
      </c>
      <c r="S7911" t="str">
        <f t="shared" si="3219"/>
        <v>Approved</v>
      </c>
      <c r="T7911" t="str">
        <f t="shared" si="3232"/>
        <v>10.20.8.188</v>
      </c>
      <c r="U7911" t="str">
        <f t="shared" si="3220"/>
        <v>AZRAD UMAR BIN SHAARI</v>
      </c>
      <c r="V7911" t="str">
        <f t="shared" si="3221"/>
        <v>FARHANA BINTI MUSTAPA</v>
      </c>
      <c r="W7911" t="str">
        <f t="shared" si="3222"/>
        <v>04-08-2020</v>
      </c>
      <c r="X7911" t="str">
        <f t="shared" si="3223"/>
        <v>RAZIMAH ANSAR AHMAD</v>
      </c>
      <c r="Y7911" t="str">
        <f t="shared" si="3224"/>
        <v>04-08-2020</v>
      </c>
      <c r="Z7911" t="str">
        <f>"COS10200804 1243"</f>
        <v>COS10200804 1243</v>
      </c>
    </row>
    <row r="7912" spans="1:26" x14ac:dyDescent="0.25">
      <c r="A7912" t="str">
        <f t="shared" si="3225"/>
        <v>04-08-2020 12:32:37</v>
      </c>
      <c r="B7912" t="str">
        <f>"0000802990"</f>
        <v>0000802990</v>
      </c>
      <c r="C7912" t="str">
        <f t="shared" si="3226"/>
        <v>0000802948</v>
      </c>
      <c r="D7912" t="str">
        <f t="shared" si="3214"/>
        <v>73185</v>
      </c>
      <c r="E7912" t="str">
        <f t="shared" si="3215"/>
        <v>KFH-OPERATIONS DEPARTMENT</v>
      </c>
      <c r="F7912" t="str">
        <f t="shared" si="3216"/>
        <v>IBG</v>
      </c>
      <c r="G7912" t="str">
        <f t="shared" si="3227"/>
        <v>Refund COSHARE 10</v>
      </c>
      <c r="H7912" s="2">
        <v>654.85</v>
      </c>
      <c r="I7912" t="str">
        <f>"PETER ANAK WED"</f>
        <v>PETER ANAK WED</v>
      </c>
      <c r="J7912" t="str">
        <f t="shared" si="3230"/>
        <v>BANK KERJASAMA RAKYAT</v>
      </c>
      <c r="K7912" t="str">
        <f>"220781057882"</f>
        <v>220781057882</v>
      </c>
      <c r="L7912" t="str">
        <f t="shared" si="3233"/>
        <v>04-08-2020</v>
      </c>
      <c r="M7912" t="str">
        <f t="shared" si="3233"/>
        <v>04-08-2020</v>
      </c>
      <c r="N7912" t="str">
        <f t="shared" si="3217"/>
        <v>001105018356</v>
      </c>
      <c r="O7912" t="str">
        <f t="shared" si="3218"/>
        <v>MYR</v>
      </c>
      <c r="P7912" t="str">
        <f t="shared" si="3234"/>
        <v>NIL</v>
      </c>
      <c r="Q7912" t="str">
        <f t="shared" si="3234"/>
        <v>NIL</v>
      </c>
      <c r="R7912" t="str">
        <f t="shared" si="3231"/>
        <v>Accepted</v>
      </c>
      <c r="S7912" t="str">
        <f t="shared" si="3219"/>
        <v>Approved</v>
      </c>
      <c r="T7912" t="str">
        <f t="shared" si="3232"/>
        <v>10.20.8.188</v>
      </c>
      <c r="U7912" t="str">
        <f t="shared" si="3220"/>
        <v>AZRAD UMAR BIN SHAARI</v>
      </c>
      <c r="V7912" t="str">
        <f t="shared" si="3221"/>
        <v>FARHANA BINTI MUSTAPA</v>
      </c>
      <c r="W7912" t="str">
        <f t="shared" si="3222"/>
        <v>04-08-2020</v>
      </c>
      <c r="X7912" t="str">
        <f t="shared" si="3223"/>
        <v>RAZIMAH ANSAR AHMAD</v>
      </c>
      <c r="Y7912" t="str">
        <f t="shared" si="3224"/>
        <v>04-08-2020</v>
      </c>
      <c r="Z7912" t="str">
        <f>"COS10200804 1242"</f>
        <v>COS10200804 1242</v>
      </c>
    </row>
    <row r="7913" spans="1:26" x14ac:dyDescent="0.25">
      <c r="A7913" t="str">
        <f t="shared" si="3225"/>
        <v>04-08-2020 12:32:37</v>
      </c>
      <c r="B7913" t="str">
        <f>"0000802989"</f>
        <v>0000802989</v>
      </c>
      <c r="C7913" t="str">
        <f t="shared" si="3226"/>
        <v>0000802948</v>
      </c>
      <c r="D7913" t="str">
        <f t="shared" si="3214"/>
        <v>73185</v>
      </c>
      <c r="E7913" t="str">
        <f t="shared" si="3215"/>
        <v>KFH-OPERATIONS DEPARTMENT</v>
      </c>
      <c r="F7913" t="str">
        <f t="shared" si="3216"/>
        <v>IBG</v>
      </c>
      <c r="G7913" t="str">
        <f t="shared" si="3227"/>
        <v>Refund COSHARE 10</v>
      </c>
      <c r="H7913" s="2">
        <v>58.8</v>
      </c>
      <c r="I7913" t="str">
        <f>"PERIASAMY AL MURUGAN"</f>
        <v>PERIASAMY AL MURUGAN</v>
      </c>
      <c r="J7913" t="str">
        <f t="shared" si="3230"/>
        <v>BANK KERJASAMA RAKYAT</v>
      </c>
      <c r="K7913" t="str">
        <f>"220361322921"</f>
        <v>220361322921</v>
      </c>
      <c r="L7913" t="str">
        <f t="shared" si="3233"/>
        <v>04-08-2020</v>
      </c>
      <c r="M7913" t="str">
        <f t="shared" si="3233"/>
        <v>04-08-2020</v>
      </c>
      <c r="N7913" t="str">
        <f t="shared" si="3217"/>
        <v>001105018356</v>
      </c>
      <c r="O7913" t="str">
        <f t="shared" si="3218"/>
        <v>MYR</v>
      </c>
      <c r="P7913" t="str">
        <f t="shared" si="3234"/>
        <v>NIL</v>
      </c>
      <c r="Q7913" t="str">
        <f t="shared" si="3234"/>
        <v>NIL</v>
      </c>
      <c r="R7913" t="str">
        <f t="shared" si="3231"/>
        <v>Accepted</v>
      </c>
      <c r="S7913" t="str">
        <f t="shared" si="3219"/>
        <v>Approved</v>
      </c>
      <c r="T7913" t="str">
        <f t="shared" si="3232"/>
        <v>10.20.8.188</v>
      </c>
      <c r="U7913" t="str">
        <f t="shared" si="3220"/>
        <v>AZRAD UMAR BIN SHAARI</v>
      </c>
      <c r="V7913" t="str">
        <f t="shared" si="3221"/>
        <v>FARHANA BINTI MUSTAPA</v>
      </c>
      <c r="W7913" t="str">
        <f t="shared" si="3222"/>
        <v>04-08-2020</v>
      </c>
      <c r="X7913" t="str">
        <f t="shared" si="3223"/>
        <v>RAZIMAH ANSAR AHMAD</v>
      </c>
      <c r="Y7913" t="str">
        <f t="shared" si="3224"/>
        <v>04-08-2020</v>
      </c>
      <c r="Z7913" t="str">
        <f>"COS10200804 1241"</f>
        <v>COS10200804 1241</v>
      </c>
    </row>
    <row r="7914" spans="1:26" x14ac:dyDescent="0.25">
      <c r="A7914" t="str">
        <f t="shared" ref="A7914:A7945" si="3235">"04-08-2020 12:32:37"</f>
        <v>04-08-2020 12:32:37</v>
      </c>
      <c r="B7914" t="str">
        <f>"0000802988"</f>
        <v>0000802988</v>
      </c>
      <c r="C7914" t="str">
        <f t="shared" ref="C7914:C7945" si="3236">"0000802948"</f>
        <v>0000802948</v>
      </c>
      <c r="D7914" t="str">
        <f t="shared" si="3214"/>
        <v>73185</v>
      </c>
      <c r="E7914" t="str">
        <f t="shared" si="3215"/>
        <v>KFH-OPERATIONS DEPARTMENT</v>
      </c>
      <c r="F7914" t="str">
        <f t="shared" si="3216"/>
        <v>IBG</v>
      </c>
      <c r="G7914" t="str">
        <f t="shared" si="3227"/>
        <v>Refund COSHARE 10</v>
      </c>
      <c r="H7914" s="2">
        <v>411.35</v>
      </c>
      <c r="I7914" t="str">
        <f>"PATRICIA ANAK MICHAEL JITIN"</f>
        <v>PATRICIA ANAK MICHAEL JITIN</v>
      </c>
      <c r="J7914" t="str">
        <f t="shared" si="3230"/>
        <v>BANK KERJASAMA RAKYAT</v>
      </c>
      <c r="K7914" t="str">
        <f>"220541368699"</f>
        <v>220541368699</v>
      </c>
      <c r="L7914" t="str">
        <f t="shared" si="3233"/>
        <v>04-08-2020</v>
      </c>
      <c r="M7914" t="str">
        <f t="shared" si="3233"/>
        <v>04-08-2020</v>
      </c>
      <c r="N7914" t="str">
        <f t="shared" si="3217"/>
        <v>001105018356</v>
      </c>
      <c r="O7914" t="str">
        <f t="shared" si="3218"/>
        <v>MYR</v>
      </c>
      <c r="P7914" t="str">
        <f t="shared" si="3234"/>
        <v>NIL</v>
      </c>
      <c r="Q7914" t="str">
        <f t="shared" si="3234"/>
        <v>NIL</v>
      </c>
      <c r="R7914" t="str">
        <f t="shared" si="3231"/>
        <v>Accepted</v>
      </c>
      <c r="S7914" t="str">
        <f t="shared" si="3219"/>
        <v>Approved</v>
      </c>
      <c r="T7914" t="str">
        <f t="shared" si="3232"/>
        <v>10.20.8.188</v>
      </c>
      <c r="U7914" t="str">
        <f t="shared" si="3220"/>
        <v>AZRAD UMAR BIN SHAARI</v>
      </c>
      <c r="V7914" t="str">
        <f t="shared" si="3221"/>
        <v>FARHANA BINTI MUSTAPA</v>
      </c>
      <c r="W7914" t="str">
        <f t="shared" si="3222"/>
        <v>04-08-2020</v>
      </c>
      <c r="X7914" t="str">
        <f t="shared" si="3223"/>
        <v>RAZIMAH ANSAR AHMAD</v>
      </c>
      <c r="Y7914" t="str">
        <f t="shared" si="3224"/>
        <v>04-08-2020</v>
      </c>
      <c r="Z7914" t="str">
        <f>"COS10200804 1240"</f>
        <v>COS10200804 1240</v>
      </c>
    </row>
    <row r="7915" spans="1:26" x14ac:dyDescent="0.25">
      <c r="A7915" t="str">
        <f t="shared" si="3235"/>
        <v>04-08-2020 12:32:37</v>
      </c>
      <c r="B7915" t="str">
        <f>"0000802987"</f>
        <v>0000802987</v>
      </c>
      <c r="C7915" t="str">
        <f t="shared" si="3236"/>
        <v>0000802948</v>
      </c>
      <c r="D7915" t="str">
        <f t="shared" si="3214"/>
        <v>73185</v>
      </c>
      <c r="E7915" t="str">
        <f t="shared" si="3215"/>
        <v>KFH-OPERATIONS DEPARTMENT</v>
      </c>
      <c r="F7915" t="str">
        <f t="shared" si="3216"/>
        <v>IBG</v>
      </c>
      <c r="G7915" t="str">
        <f t="shared" si="3227"/>
        <v>Refund COSHARE 10</v>
      </c>
      <c r="H7915" s="2">
        <v>523.35</v>
      </c>
      <c r="I7915" t="str">
        <f>"PAIHON BIN BULINTA"</f>
        <v>PAIHON BIN BULINTA</v>
      </c>
      <c r="J7915" t="str">
        <f t="shared" si="3230"/>
        <v>BANK KERJASAMA RAKYAT</v>
      </c>
      <c r="K7915" t="str">
        <f>"220531458107"</f>
        <v>220531458107</v>
      </c>
      <c r="L7915" t="str">
        <f t="shared" si="3233"/>
        <v>04-08-2020</v>
      </c>
      <c r="M7915" t="str">
        <f t="shared" si="3233"/>
        <v>04-08-2020</v>
      </c>
      <c r="N7915" t="str">
        <f t="shared" si="3217"/>
        <v>001105018356</v>
      </c>
      <c r="O7915" t="str">
        <f t="shared" si="3218"/>
        <v>MYR</v>
      </c>
      <c r="P7915" t="str">
        <f t="shared" si="3234"/>
        <v>NIL</v>
      </c>
      <c r="Q7915" t="str">
        <f t="shared" si="3234"/>
        <v>NIL</v>
      </c>
      <c r="R7915" t="str">
        <f t="shared" si="3231"/>
        <v>Accepted</v>
      </c>
      <c r="S7915" t="str">
        <f t="shared" si="3219"/>
        <v>Approved</v>
      </c>
      <c r="T7915" t="str">
        <f t="shared" si="3232"/>
        <v>10.20.8.188</v>
      </c>
      <c r="U7915" t="str">
        <f t="shared" si="3220"/>
        <v>AZRAD UMAR BIN SHAARI</v>
      </c>
      <c r="V7915" t="str">
        <f t="shared" si="3221"/>
        <v>FARHANA BINTI MUSTAPA</v>
      </c>
      <c r="W7915" t="str">
        <f t="shared" si="3222"/>
        <v>04-08-2020</v>
      </c>
      <c r="X7915" t="str">
        <f t="shared" si="3223"/>
        <v>RAZIMAH ANSAR AHMAD</v>
      </c>
      <c r="Y7915" t="str">
        <f t="shared" si="3224"/>
        <v>04-08-2020</v>
      </c>
      <c r="Z7915" t="str">
        <f>"COS10200804 1239"</f>
        <v>COS10200804 1239</v>
      </c>
    </row>
    <row r="7916" spans="1:26" x14ac:dyDescent="0.25">
      <c r="A7916" t="str">
        <f t="shared" si="3235"/>
        <v>04-08-2020 12:32:37</v>
      </c>
      <c r="B7916" t="str">
        <f>"0000802986"</f>
        <v>0000802986</v>
      </c>
      <c r="C7916" t="str">
        <f t="shared" si="3236"/>
        <v>0000802948</v>
      </c>
      <c r="D7916" t="str">
        <f t="shared" si="3214"/>
        <v>73185</v>
      </c>
      <c r="E7916" t="str">
        <f t="shared" si="3215"/>
        <v>KFH-OPERATIONS DEPARTMENT</v>
      </c>
      <c r="F7916" t="str">
        <f t="shared" si="3216"/>
        <v>IBG</v>
      </c>
      <c r="G7916" t="str">
        <f t="shared" si="3227"/>
        <v>Refund COSHARE 10</v>
      </c>
      <c r="H7916" s="2">
        <v>671.6</v>
      </c>
      <c r="I7916" t="str">
        <f>"PADLI BIN AHMAD"</f>
        <v>PADLI BIN AHMAD</v>
      </c>
      <c r="J7916" t="str">
        <f t="shared" si="3230"/>
        <v>BANK KERJASAMA RAKYAT</v>
      </c>
      <c r="K7916" t="str">
        <f>"220981054165"</f>
        <v>220981054165</v>
      </c>
      <c r="L7916" t="str">
        <f t="shared" si="3233"/>
        <v>04-08-2020</v>
      </c>
      <c r="M7916" t="str">
        <f t="shared" si="3233"/>
        <v>04-08-2020</v>
      </c>
      <c r="N7916" t="str">
        <f t="shared" si="3217"/>
        <v>001105018356</v>
      </c>
      <c r="O7916" t="str">
        <f t="shared" si="3218"/>
        <v>MYR</v>
      </c>
      <c r="P7916" t="str">
        <f t="shared" si="3234"/>
        <v>NIL</v>
      </c>
      <c r="Q7916" t="str">
        <f t="shared" si="3234"/>
        <v>NIL</v>
      </c>
      <c r="R7916" t="str">
        <f t="shared" si="3231"/>
        <v>Accepted</v>
      </c>
      <c r="S7916" t="str">
        <f t="shared" si="3219"/>
        <v>Approved</v>
      </c>
      <c r="T7916" t="str">
        <f t="shared" si="3232"/>
        <v>10.20.8.188</v>
      </c>
      <c r="U7916" t="str">
        <f t="shared" si="3220"/>
        <v>AZRAD UMAR BIN SHAARI</v>
      </c>
      <c r="V7916" t="str">
        <f t="shared" si="3221"/>
        <v>FARHANA BINTI MUSTAPA</v>
      </c>
      <c r="W7916" t="str">
        <f t="shared" si="3222"/>
        <v>04-08-2020</v>
      </c>
      <c r="X7916" t="str">
        <f t="shared" si="3223"/>
        <v>RAZIMAH ANSAR AHMAD</v>
      </c>
      <c r="Y7916" t="str">
        <f t="shared" si="3224"/>
        <v>04-08-2020</v>
      </c>
      <c r="Z7916" t="str">
        <f>"COS10200804 1238"</f>
        <v>COS10200804 1238</v>
      </c>
    </row>
    <row r="7917" spans="1:26" x14ac:dyDescent="0.25">
      <c r="A7917" t="str">
        <f t="shared" si="3235"/>
        <v>04-08-2020 12:32:37</v>
      </c>
      <c r="B7917" t="str">
        <f>"0000802985"</f>
        <v>0000802985</v>
      </c>
      <c r="C7917" t="str">
        <f t="shared" si="3236"/>
        <v>0000802948</v>
      </c>
      <c r="D7917" t="str">
        <f t="shared" si="3214"/>
        <v>73185</v>
      </c>
      <c r="E7917" t="str">
        <f t="shared" si="3215"/>
        <v>KFH-OPERATIONS DEPARTMENT</v>
      </c>
      <c r="F7917" t="str">
        <f t="shared" si="3216"/>
        <v>IBG</v>
      </c>
      <c r="G7917" t="str">
        <f t="shared" si="3227"/>
        <v>Refund COSHARE 10</v>
      </c>
      <c r="H7917" s="2">
        <v>1536.3</v>
      </c>
      <c r="I7917" t="str">
        <f>"NURULHOODA FARRAH BINTI DORAHIM"</f>
        <v>NURULHOODA FARRAH BINTI DORAHIM</v>
      </c>
      <c r="J7917" t="str">
        <f t="shared" si="3230"/>
        <v>BANK KERJASAMA RAKYAT</v>
      </c>
      <c r="K7917" t="str">
        <f>"220291224730"</f>
        <v>220291224730</v>
      </c>
      <c r="L7917" t="str">
        <f t="shared" si="3233"/>
        <v>04-08-2020</v>
      </c>
      <c r="M7917" t="str">
        <f t="shared" si="3233"/>
        <v>04-08-2020</v>
      </c>
      <c r="N7917" t="str">
        <f t="shared" si="3217"/>
        <v>001105018356</v>
      </c>
      <c r="O7917" t="str">
        <f t="shared" si="3218"/>
        <v>MYR</v>
      </c>
      <c r="P7917" t="str">
        <f t="shared" si="3234"/>
        <v>NIL</v>
      </c>
      <c r="Q7917" t="str">
        <f t="shared" si="3234"/>
        <v>NIL</v>
      </c>
      <c r="R7917" t="str">
        <f t="shared" si="3231"/>
        <v>Accepted</v>
      </c>
      <c r="S7917" t="str">
        <f t="shared" si="3219"/>
        <v>Approved</v>
      </c>
      <c r="T7917" t="str">
        <f t="shared" si="3232"/>
        <v>10.20.8.188</v>
      </c>
      <c r="U7917" t="str">
        <f t="shared" si="3220"/>
        <v>AZRAD UMAR BIN SHAARI</v>
      </c>
      <c r="V7917" t="str">
        <f t="shared" si="3221"/>
        <v>FARHANA BINTI MUSTAPA</v>
      </c>
      <c r="W7917" t="str">
        <f t="shared" si="3222"/>
        <v>04-08-2020</v>
      </c>
      <c r="X7917" t="str">
        <f t="shared" si="3223"/>
        <v>RAZIMAH ANSAR AHMAD</v>
      </c>
      <c r="Y7917" t="str">
        <f t="shared" si="3224"/>
        <v>04-08-2020</v>
      </c>
      <c r="Z7917" t="str">
        <f>"COS10200804 1237"</f>
        <v>COS10200804 1237</v>
      </c>
    </row>
    <row r="7918" spans="1:26" x14ac:dyDescent="0.25">
      <c r="A7918" t="str">
        <f t="shared" si="3235"/>
        <v>04-08-2020 12:32:37</v>
      </c>
      <c r="B7918" t="str">
        <f>"0000802984"</f>
        <v>0000802984</v>
      </c>
      <c r="C7918" t="str">
        <f t="shared" si="3236"/>
        <v>0000802948</v>
      </c>
      <c r="D7918" t="str">
        <f t="shared" si="3214"/>
        <v>73185</v>
      </c>
      <c r="E7918" t="str">
        <f t="shared" si="3215"/>
        <v>KFH-OPERATIONS DEPARTMENT</v>
      </c>
      <c r="F7918" t="str">
        <f t="shared" si="3216"/>
        <v>IBG</v>
      </c>
      <c r="G7918" t="str">
        <f t="shared" si="3227"/>
        <v>Refund COSHARE 10</v>
      </c>
      <c r="H7918" s="2">
        <v>755.55</v>
      </c>
      <c r="I7918" t="str">
        <f>"NURULAINI BINTI MUSA"</f>
        <v>NURULAINI BINTI MUSA</v>
      </c>
      <c r="J7918" t="str">
        <f t="shared" si="3230"/>
        <v>BANK KERJASAMA RAKYAT</v>
      </c>
      <c r="K7918" t="str">
        <f>"220841152450"</f>
        <v>220841152450</v>
      </c>
      <c r="L7918" t="str">
        <f t="shared" si="3233"/>
        <v>04-08-2020</v>
      </c>
      <c r="M7918" t="str">
        <f t="shared" si="3233"/>
        <v>04-08-2020</v>
      </c>
      <c r="N7918" t="str">
        <f t="shared" si="3217"/>
        <v>001105018356</v>
      </c>
      <c r="O7918" t="str">
        <f t="shared" si="3218"/>
        <v>MYR</v>
      </c>
      <c r="P7918" t="str">
        <f t="shared" si="3234"/>
        <v>NIL</v>
      </c>
      <c r="Q7918" t="str">
        <f t="shared" si="3234"/>
        <v>NIL</v>
      </c>
      <c r="R7918" t="str">
        <f t="shared" si="3231"/>
        <v>Accepted</v>
      </c>
      <c r="S7918" t="str">
        <f t="shared" si="3219"/>
        <v>Approved</v>
      </c>
      <c r="T7918" t="str">
        <f t="shared" si="3232"/>
        <v>10.20.8.188</v>
      </c>
      <c r="U7918" t="str">
        <f t="shared" si="3220"/>
        <v>AZRAD UMAR BIN SHAARI</v>
      </c>
      <c r="V7918" t="str">
        <f t="shared" si="3221"/>
        <v>FARHANA BINTI MUSTAPA</v>
      </c>
      <c r="W7918" t="str">
        <f t="shared" si="3222"/>
        <v>04-08-2020</v>
      </c>
      <c r="X7918" t="str">
        <f t="shared" si="3223"/>
        <v>RAZIMAH ANSAR AHMAD</v>
      </c>
      <c r="Y7918" t="str">
        <f t="shared" si="3224"/>
        <v>04-08-2020</v>
      </c>
      <c r="Z7918" t="str">
        <f>"COS10200804 1236"</f>
        <v>COS10200804 1236</v>
      </c>
    </row>
    <row r="7919" spans="1:26" x14ac:dyDescent="0.25">
      <c r="A7919" t="str">
        <f t="shared" si="3235"/>
        <v>04-08-2020 12:32:37</v>
      </c>
      <c r="B7919" t="str">
        <f>"0000802983"</f>
        <v>0000802983</v>
      </c>
      <c r="C7919" t="str">
        <f t="shared" si="3236"/>
        <v>0000802948</v>
      </c>
      <c r="D7919" t="str">
        <f t="shared" si="3214"/>
        <v>73185</v>
      </c>
      <c r="E7919" t="str">
        <f t="shared" si="3215"/>
        <v>KFH-OPERATIONS DEPARTMENT</v>
      </c>
      <c r="F7919" t="str">
        <f t="shared" si="3216"/>
        <v>IBG</v>
      </c>
      <c r="G7919" t="str">
        <f t="shared" si="3227"/>
        <v>Refund COSHARE 10</v>
      </c>
      <c r="H7919" s="2">
        <v>42</v>
      </c>
      <c r="I7919" t="str">
        <f>"NURUL HIDAYAH BINTI ZAINAL ARIFFIN"</f>
        <v>NURUL HIDAYAH BINTI ZAINAL ARIFFIN</v>
      </c>
      <c r="J7919" t="str">
        <f t="shared" si="3230"/>
        <v>BANK KERJASAMA RAKYAT</v>
      </c>
      <c r="K7919" t="str">
        <f>"220163468851"</f>
        <v>220163468851</v>
      </c>
      <c r="L7919" t="str">
        <f t="shared" si="3233"/>
        <v>04-08-2020</v>
      </c>
      <c r="M7919" t="str">
        <f t="shared" si="3233"/>
        <v>04-08-2020</v>
      </c>
      <c r="N7919" t="str">
        <f t="shared" si="3217"/>
        <v>001105018356</v>
      </c>
      <c r="O7919" t="str">
        <f t="shared" si="3218"/>
        <v>MYR</v>
      </c>
      <c r="P7919" t="str">
        <f t="shared" si="3234"/>
        <v>NIL</v>
      </c>
      <c r="Q7919" t="str">
        <f t="shared" si="3234"/>
        <v>NIL</v>
      </c>
      <c r="R7919" t="str">
        <f t="shared" si="3231"/>
        <v>Accepted</v>
      </c>
      <c r="S7919" t="str">
        <f t="shared" si="3219"/>
        <v>Approved</v>
      </c>
      <c r="T7919" t="str">
        <f t="shared" si="3232"/>
        <v>10.20.8.188</v>
      </c>
      <c r="U7919" t="str">
        <f t="shared" si="3220"/>
        <v>AZRAD UMAR BIN SHAARI</v>
      </c>
      <c r="V7919" t="str">
        <f t="shared" si="3221"/>
        <v>FARHANA BINTI MUSTAPA</v>
      </c>
      <c r="W7919" t="str">
        <f t="shared" si="3222"/>
        <v>04-08-2020</v>
      </c>
      <c r="X7919" t="str">
        <f t="shared" si="3223"/>
        <v>RAZIMAH ANSAR AHMAD</v>
      </c>
      <c r="Y7919" t="str">
        <f t="shared" si="3224"/>
        <v>04-08-2020</v>
      </c>
      <c r="Z7919" t="str">
        <f>"COS10200804 1235"</f>
        <v>COS10200804 1235</v>
      </c>
    </row>
    <row r="7920" spans="1:26" x14ac:dyDescent="0.25">
      <c r="A7920" t="str">
        <f t="shared" si="3235"/>
        <v>04-08-2020 12:32:37</v>
      </c>
      <c r="B7920" t="str">
        <f>"0000802982"</f>
        <v>0000802982</v>
      </c>
      <c r="C7920" t="str">
        <f t="shared" si="3236"/>
        <v>0000802948</v>
      </c>
      <c r="D7920" t="str">
        <f t="shared" si="3214"/>
        <v>73185</v>
      </c>
      <c r="E7920" t="str">
        <f t="shared" si="3215"/>
        <v>KFH-OPERATIONS DEPARTMENT</v>
      </c>
      <c r="F7920" t="str">
        <f t="shared" si="3216"/>
        <v>IBG</v>
      </c>
      <c r="G7920" t="str">
        <f t="shared" si="3227"/>
        <v>Refund COSHARE 10</v>
      </c>
      <c r="H7920" s="2">
        <v>260.25</v>
      </c>
      <c r="I7920" t="str">
        <f>"NURUL AIN BINTI MOHAMAD JAMAL"</f>
        <v>NURUL AIN BINTI MOHAMAD JAMAL</v>
      </c>
      <c r="J7920" t="str">
        <f t="shared" si="3230"/>
        <v>BANK KERJASAMA RAKYAT</v>
      </c>
      <c r="K7920" t="str">
        <f>"220331313091"</f>
        <v>220331313091</v>
      </c>
      <c r="L7920" t="str">
        <f t="shared" si="3233"/>
        <v>04-08-2020</v>
      </c>
      <c r="M7920" t="str">
        <f t="shared" si="3233"/>
        <v>04-08-2020</v>
      </c>
      <c r="N7920" t="str">
        <f t="shared" si="3217"/>
        <v>001105018356</v>
      </c>
      <c r="O7920" t="str">
        <f t="shared" si="3218"/>
        <v>MYR</v>
      </c>
      <c r="P7920" t="str">
        <f t="shared" si="3234"/>
        <v>NIL</v>
      </c>
      <c r="Q7920" t="str">
        <f t="shared" si="3234"/>
        <v>NIL</v>
      </c>
      <c r="R7920" t="str">
        <f t="shared" si="3231"/>
        <v>Accepted</v>
      </c>
      <c r="S7920" t="str">
        <f t="shared" si="3219"/>
        <v>Approved</v>
      </c>
      <c r="T7920" t="str">
        <f t="shared" si="3232"/>
        <v>10.20.8.188</v>
      </c>
      <c r="U7920" t="str">
        <f t="shared" si="3220"/>
        <v>AZRAD UMAR BIN SHAARI</v>
      </c>
      <c r="V7920" t="str">
        <f t="shared" si="3221"/>
        <v>FARHANA BINTI MUSTAPA</v>
      </c>
      <c r="W7920" t="str">
        <f t="shared" si="3222"/>
        <v>04-08-2020</v>
      </c>
      <c r="X7920" t="str">
        <f t="shared" si="3223"/>
        <v>RAZIMAH ANSAR AHMAD</v>
      </c>
      <c r="Y7920" t="str">
        <f t="shared" si="3224"/>
        <v>04-08-2020</v>
      </c>
      <c r="Z7920" t="str">
        <f>"COS10200804 1234"</f>
        <v>COS10200804 1234</v>
      </c>
    </row>
    <row r="7921" spans="1:26" x14ac:dyDescent="0.25">
      <c r="A7921" t="str">
        <f t="shared" si="3235"/>
        <v>04-08-2020 12:32:37</v>
      </c>
      <c r="B7921" t="str">
        <f>"0000802981"</f>
        <v>0000802981</v>
      </c>
      <c r="C7921" t="str">
        <f t="shared" si="3236"/>
        <v>0000802948</v>
      </c>
      <c r="D7921" t="str">
        <f t="shared" si="3214"/>
        <v>73185</v>
      </c>
      <c r="E7921" t="str">
        <f t="shared" si="3215"/>
        <v>KFH-OPERATIONS DEPARTMENT</v>
      </c>
      <c r="F7921" t="str">
        <f t="shared" si="3216"/>
        <v>IBG</v>
      </c>
      <c r="G7921" t="str">
        <f t="shared" si="3227"/>
        <v>Refund COSHARE 10</v>
      </c>
      <c r="H7921" s="2">
        <v>109.15</v>
      </c>
      <c r="I7921" t="str">
        <f>"NURJUWITA JANTING ABDULLAH"</f>
        <v>NURJUWITA JANTING ABDULLAH</v>
      </c>
      <c r="J7921" t="str">
        <f t="shared" si="3230"/>
        <v>BANK KERJASAMA RAKYAT</v>
      </c>
      <c r="K7921" t="str">
        <f>"220711113065"</f>
        <v>220711113065</v>
      </c>
      <c r="L7921" t="str">
        <f t="shared" si="3233"/>
        <v>04-08-2020</v>
      </c>
      <c r="M7921" t="str">
        <f t="shared" si="3233"/>
        <v>04-08-2020</v>
      </c>
      <c r="N7921" t="str">
        <f t="shared" si="3217"/>
        <v>001105018356</v>
      </c>
      <c r="O7921" t="str">
        <f t="shared" si="3218"/>
        <v>MYR</v>
      </c>
      <c r="P7921" t="str">
        <f t="shared" si="3234"/>
        <v>NIL</v>
      </c>
      <c r="Q7921" t="str">
        <f t="shared" si="3234"/>
        <v>NIL</v>
      </c>
      <c r="R7921" t="str">
        <f t="shared" si="3231"/>
        <v>Accepted</v>
      </c>
      <c r="S7921" t="str">
        <f t="shared" si="3219"/>
        <v>Approved</v>
      </c>
      <c r="T7921" t="str">
        <f t="shared" si="3232"/>
        <v>10.20.8.188</v>
      </c>
      <c r="U7921" t="str">
        <f t="shared" si="3220"/>
        <v>AZRAD UMAR BIN SHAARI</v>
      </c>
      <c r="V7921" t="str">
        <f t="shared" si="3221"/>
        <v>FARHANA BINTI MUSTAPA</v>
      </c>
      <c r="W7921" t="str">
        <f t="shared" si="3222"/>
        <v>04-08-2020</v>
      </c>
      <c r="X7921" t="str">
        <f t="shared" si="3223"/>
        <v>RAZIMAH ANSAR AHMAD</v>
      </c>
      <c r="Y7921" t="str">
        <f t="shared" si="3224"/>
        <v>04-08-2020</v>
      </c>
      <c r="Z7921" t="str">
        <f>"COS10200804 1233"</f>
        <v>COS10200804 1233</v>
      </c>
    </row>
    <row r="7922" spans="1:26" x14ac:dyDescent="0.25">
      <c r="A7922" t="str">
        <f t="shared" si="3235"/>
        <v>04-08-2020 12:32:37</v>
      </c>
      <c r="B7922" t="str">
        <f>"0000802980"</f>
        <v>0000802980</v>
      </c>
      <c r="C7922" t="str">
        <f t="shared" si="3236"/>
        <v>0000802948</v>
      </c>
      <c r="D7922" t="str">
        <f t="shared" si="3214"/>
        <v>73185</v>
      </c>
      <c r="E7922" t="str">
        <f t="shared" si="3215"/>
        <v>KFH-OPERATIONS DEPARTMENT</v>
      </c>
      <c r="F7922" t="str">
        <f t="shared" si="3216"/>
        <v>IBG</v>
      </c>
      <c r="G7922" t="str">
        <f t="shared" si="3227"/>
        <v>Refund COSHARE 10</v>
      </c>
      <c r="H7922" s="2">
        <v>100.75</v>
      </c>
      <c r="I7922" t="str">
        <f>"NURIN BINTI JAAFFAR"</f>
        <v>NURIN BINTI JAAFFAR</v>
      </c>
      <c r="J7922" t="str">
        <f t="shared" si="3230"/>
        <v>BANK KERJASAMA RAKYAT</v>
      </c>
      <c r="K7922" t="str">
        <f>"220951068596"</f>
        <v>220951068596</v>
      </c>
      <c r="L7922" t="str">
        <f t="shared" si="3233"/>
        <v>04-08-2020</v>
      </c>
      <c r="M7922" t="str">
        <f t="shared" si="3233"/>
        <v>04-08-2020</v>
      </c>
      <c r="N7922" t="str">
        <f t="shared" si="3217"/>
        <v>001105018356</v>
      </c>
      <c r="O7922" t="str">
        <f t="shared" si="3218"/>
        <v>MYR</v>
      </c>
      <c r="P7922" t="str">
        <f t="shared" si="3234"/>
        <v>NIL</v>
      </c>
      <c r="Q7922" t="str">
        <f t="shared" si="3234"/>
        <v>NIL</v>
      </c>
      <c r="R7922" t="str">
        <f t="shared" si="3231"/>
        <v>Accepted</v>
      </c>
      <c r="S7922" t="str">
        <f t="shared" si="3219"/>
        <v>Approved</v>
      </c>
      <c r="T7922" t="str">
        <f t="shared" si="3232"/>
        <v>10.20.8.188</v>
      </c>
      <c r="U7922" t="str">
        <f t="shared" si="3220"/>
        <v>AZRAD UMAR BIN SHAARI</v>
      </c>
      <c r="V7922" t="str">
        <f t="shared" si="3221"/>
        <v>FARHANA BINTI MUSTAPA</v>
      </c>
      <c r="W7922" t="str">
        <f t="shared" si="3222"/>
        <v>04-08-2020</v>
      </c>
      <c r="X7922" t="str">
        <f t="shared" si="3223"/>
        <v>RAZIMAH ANSAR AHMAD</v>
      </c>
      <c r="Y7922" t="str">
        <f t="shared" si="3224"/>
        <v>04-08-2020</v>
      </c>
      <c r="Z7922" t="str">
        <f>"COS10200804 1232"</f>
        <v>COS10200804 1232</v>
      </c>
    </row>
    <row r="7923" spans="1:26" x14ac:dyDescent="0.25">
      <c r="A7923" t="str">
        <f t="shared" si="3235"/>
        <v>04-08-2020 12:32:37</v>
      </c>
      <c r="B7923" t="str">
        <f>"0000802979"</f>
        <v>0000802979</v>
      </c>
      <c r="C7923" t="str">
        <f t="shared" si="3236"/>
        <v>0000802948</v>
      </c>
      <c r="D7923" t="str">
        <f t="shared" si="3214"/>
        <v>73185</v>
      </c>
      <c r="E7923" t="str">
        <f t="shared" si="3215"/>
        <v>KFH-OPERATIONS DEPARTMENT</v>
      </c>
      <c r="F7923" t="str">
        <f t="shared" si="3216"/>
        <v>IBG</v>
      </c>
      <c r="G7923" t="str">
        <f t="shared" si="3227"/>
        <v>Refund COSHARE 10</v>
      </c>
      <c r="H7923" s="2">
        <v>1645.45</v>
      </c>
      <c r="I7923" t="str">
        <f>"NURHASNIZA BINTI KUMARUZAMAN"</f>
        <v>NURHASNIZA BINTI KUMARUZAMAN</v>
      </c>
      <c r="J7923" t="str">
        <f t="shared" si="3230"/>
        <v>BANK KERJASAMA RAKYAT</v>
      </c>
      <c r="K7923" t="str">
        <f>"220693155881"</f>
        <v>220693155881</v>
      </c>
      <c r="L7923" t="str">
        <f t="shared" si="3233"/>
        <v>04-08-2020</v>
      </c>
      <c r="M7923" t="str">
        <f t="shared" si="3233"/>
        <v>04-08-2020</v>
      </c>
      <c r="N7923" t="str">
        <f t="shared" si="3217"/>
        <v>001105018356</v>
      </c>
      <c r="O7923" t="str">
        <f t="shared" si="3218"/>
        <v>MYR</v>
      </c>
      <c r="P7923" t="str">
        <f t="shared" si="3234"/>
        <v>NIL</v>
      </c>
      <c r="Q7923" t="str">
        <f t="shared" si="3234"/>
        <v>NIL</v>
      </c>
      <c r="R7923" t="str">
        <f t="shared" si="3231"/>
        <v>Accepted</v>
      </c>
      <c r="S7923" t="str">
        <f t="shared" si="3219"/>
        <v>Approved</v>
      </c>
      <c r="T7923" t="str">
        <f t="shared" si="3232"/>
        <v>10.20.8.188</v>
      </c>
      <c r="U7923" t="str">
        <f t="shared" si="3220"/>
        <v>AZRAD UMAR BIN SHAARI</v>
      </c>
      <c r="V7923" t="str">
        <f t="shared" si="3221"/>
        <v>FARHANA BINTI MUSTAPA</v>
      </c>
      <c r="W7923" t="str">
        <f t="shared" si="3222"/>
        <v>04-08-2020</v>
      </c>
      <c r="X7923" t="str">
        <f t="shared" si="3223"/>
        <v>RAZIMAH ANSAR AHMAD</v>
      </c>
      <c r="Y7923" t="str">
        <f t="shared" si="3224"/>
        <v>04-08-2020</v>
      </c>
      <c r="Z7923" t="str">
        <f>"COS10200804 1231"</f>
        <v>COS10200804 1231</v>
      </c>
    </row>
    <row r="7924" spans="1:26" x14ac:dyDescent="0.25">
      <c r="A7924" t="str">
        <f t="shared" si="3235"/>
        <v>04-08-2020 12:32:37</v>
      </c>
      <c r="B7924" t="str">
        <f>"0000802978"</f>
        <v>0000802978</v>
      </c>
      <c r="C7924" t="str">
        <f t="shared" si="3236"/>
        <v>0000802948</v>
      </c>
      <c r="D7924" t="str">
        <f t="shared" si="3214"/>
        <v>73185</v>
      </c>
      <c r="E7924" t="str">
        <f t="shared" si="3215"/>
        <v>KFH-OPERATIONS DEPARTMENT</v>
      </c>
      <c r="F7924" t="str">
        <f t="shared" si="3216"/>
        <v>IBG</v>
      </c>
      <c r="G7924" t="str">
        <f t="shared" si="3227"/>
        <v>Refund COSHARE 10</v>
      </c>
      <c r="H7924" s="2">
        <v>369.4</v>
      </c>
      <c r="I7924" t="str">
        <f>"NURHAFIZA BINTI MARSIDI"</f>
        <v>NURHAFIZA BINTI MARSIDI</v>
      </c>
      <c r="J7924" t="str">
        <f t="shared" si="3230"/>
        <v>BANK KERJASAMA RAKYAT</v>
      </c>
      <c r="K7924" t="str">
        <f>"220191371071"</f>
        <v>220191371071</v>
      </c>
      <c r="L7924" t="str">
        <f t="shared" si="3233"/>
        <v>04-08-2020</v>
      </c>
      <c r="M7924" t="str">
        <f t="shared" si="3233"/>
        <v>04-08-2020</v>
      </c>
      <c r="N7924" t="str">
        <f t="shared" si="3217"/>
        <v>001105018356</v>
      </c>
      <c r="O7924" t="str">
        <f t="shared" si="3218"/>
        <v>MYR</v>
      </c>
      <c r="P7924" t="str">
        <f t="shared" si="3234"/>
        <v>NIL</v>
      </c>
      <c r="Q7924" t="str">
        <f t="shared" si="3234"/>
        <v>NIL</v>
      </c>
      <c r="R7924" t="str">
        <f t="shared" si="3231"/>
        <v>Accepted</v>
      </c>
      <c r="S7924" t="str">
        <f t="shared" si="3219"/>
        <v>Approved</v>
      </c>
      <c r="T7924" t="str">
        <f t="shared" si="3232"/>
        <v>10.20.8.188</v>
      </c>
      <c r="U7924" t="str">
        <f t="shared" si="3220"/>
        <v>AZRAD UMAR BIN SHAARI</v>
      </c>
      <c r="V7924" t="str">
        <f t="shared" si="3221"/>
        <v>FARHANA BINTI MUSTAPA</v>
      </c>
      <c r="W7924" t="str">
        <f t="shared" si="3222"/>
        <v>04-08-2020</v>
      </c>
      <c r="X7924" t="str">
        <f t="shared" si="3223"/>
        <v>RAZIMAH ANSAR AHMAD</v>
      </c>
      <c r="Y7924" t="str">
        <f t="shared" si="3224"/>
        <v>04-08-2020</v>
      </c>
      <c r="Z7924" t="str">
        <f>"COS10200804 1230"</f>
        <v>COS10200804 1230</v>
      </c>
    </row>
    <row r="7925" spans="1:26" x14ac:dyDescent="0.25">
      <c r="A7925" t="str">
        <f t="shared" si="3235"/>
        <v>04-08-2020 12:32:37</v>
      </c>
      <c r="B7925" t="str">
        <f>"0000802977"</f>
        <v>0000802977</v>
      </c>
      <c r="C7925" t="str">
        <f t="shared" si="3236"/>
        <v>0000802948</v>
      </c>
      <c r="D7925" t="str">
        <f t="shared" si="3214"/>
        <v>73185</v>
      </c>
      <c r="E7925" t="str">
        <f t="shared" si="3215"/>
        <v>KFH-OPERATIONS DEPARTMENT</v>
      </c>
      <c r="F7925" t="str">
        <f t="shared" si="3216"/>
        <v>IBG</v>
      </c>
      <c r="G7925" t="str">
        <f t="shared" si="3227"/>
        <v>Refund COSHARE 10</v>
      </c>
      <c r="H7925" s="2">
        <v>144</v>
      </c>
      <c r="I7925" t="str">
        <f>"NUR SHAZREENA DANSON ABDULLAH"</f>
        <v>NUR SHAZREENA DANSON ABDULLAH</v>
      </c>
      <c r="J7925" t="str">
        <f t="shared" si="3230"/>
        <v>BANK KERJASAMA RAKYAT</v>
      </c>
      <c r="K7925" t="str">
        <f>"220841022698"</f>
        <v>220841022698</v>
      </c>
      <c r="L7925" t="str">
        <f t="shared" si="3233"/>
        <v>04-08-2020</v>
      </c>
      <c r="M7925" t="str">
        <f t="shared" si="3233"/>
        <v>04-08-2020</v>
      </c>
      <c r="N7925" t="str">
        <f t="shared" si="3217"/>
        <v>001105018356</v>
      </c>
      <c r="O7925" t="str">
        <f t="shared" si="3218"/>
        <v>MYR</v>
      </c>
      <c r="P7925" t="str">
        <f t="shared" si="3234"/>
        <v>NIL</v>
      </c>
      <c r="Q7925" t="str">
        <f t="shared" si="3234"/>
        <v>NIL</v>
      </c>
      <c r="R7925" t="str">
        <f t="shared" si="3231"/>
        <v>Accepted</v>
      </c>
      <c r="S7925" t="str">
        <f t="shared" si="3219"/>
        <v>Approved</v>
      </c>
      <c r="T7925" t="str">
        <f t="shared" si="3232"/>
        <v>10.20.8.188</v>
      </c>
      <c r="U7925" t="str">
        <f t="shared" si="3220"/>
        <v>AZRAD UMAR BIN SHAARI</v>
      </c>
      <c r="V7925" t="str">
        <f t="shared" si="3221"/>
        <v>FARHANA BINTI MUSTAPA</v>
      </c>
      <c r="W7925" t="str">
        <f t="shared" si="3222"/>
        <v>04-08-2020</v>
      </c>
      <c r="X7925" t="str">
        <f t="shared" si="3223"/>
        <v>RAZIMAH ANSAR AHMAD</v>
      </c>
      <c r="Y7925" t="str">
        <f t="shared" si="3224"/>
        <v>04-08-2020</v>
      </c>
      <c r="Z7925" t="str">
        <f>"COS10200804 1229"</f>
        <v>COS10200804 1229</v>
      </c>
    </row>
    <row r="7926" spans="1:26" x14ac:dyDescent="0.25">
      <c r="A7926" t="str">
        <f t="shared" si="3235"/>
        <v>04-08-2020 12:32:37</v>
      </c>
      <c r="B7926" t="str">
        <f>"0000802976"</f>
        <v>0000802976</v>
      </c>
      <c r="C7926" t="str">
        <f t="shared" si="3236"/>
        <v>0000802948</v>
      </c>
      <c r="D7926" t="str">
        <f t="shared" si="3214"/>
        <v>73185</v>
      </c>
      <c r="E7926" t="str">
        <f t="shared" si="3215"/>
        <v>KFH-OPERATIONS DEPARTMENT</v>
      </c>
      <c r="F7926" t="str">
        <f t="shared" si="3216"/>
        <v>IBG</v>
      </c>
      <c r="G7926" t="str">
        <f t="shared" si="3227"/>
        <v>Refund COSHARE 10</v>
      </c>
      <c r="H7926" s="2">
        <v>1116.55</v>
      </c>
      <c r="I7926" t="str">
        <f>"NUR FATIHAH DINGLE LIGUNJANG ABDULLAH"</f>
        <v>NUR FATIHAH DINGLE LIGUNJANG ABDULLAH</v>
      </c>
      <c r="J7926" t="str">
        <f t="shared" si="3230"/>
        <v>BANK KERJASAMA RAKYAT</v>
      </c>
      <c r="K7926" t="str">
        <f>"221101080861"</f>
        <v>221101080861</v>
      </c>
      <c r="L7926" t="str">
        <f t="shared" si="3233"/>
        <v>04-08-2020</v>
      </c>
      <c r="M7926" t="str">
        <f t="shared" si="3233"/>
        <v>04-08-2020</v>
      </c>
      <c r="N7926" t="str">
        <f t="shared" si="3217"/>
        <v>001105018356</v>
      </c>
      <c r="O7926" t="str">
        <f t="shared" si="3218"/>
        <v>MYR</v>
      </c>
      <c r="P7926" t="str">
        <f t="shared" si="3234"/>
        <v>NIL</v>
      </c>
      <c r="Q7926" t="str">
        <f t="shared" si="3234"/>
        <v>NIL</v>
      </c>
      <c r="R7926" t="str">
        <f t="shared" si="3231"/>
        <v>Accepted</v>
      </c>
      <c r="S7926" t="str">
        <f t="shared" si="3219"/>
        <v>Approved</v>
      </c>
      <c r="T7926" t="str">
        <f t="shared" si="3232"/>
        <v>10.20.8.188</v>
      </c>
      <c r="U7926" t="str">
        <f t="shared" si="3220"/>
        <v>AZRAD UMAR BIN SHAARI</v>
      </c>
      <c r="V7926" t="str">
        <f t="shared" si="3221"/>
        <v>FARHANA BINTI MUSTAPA</v>
      </c>
      <c r="W7926" t="str">
        <f t="shared" si="3222"/>
        <v>04-08-2020</v>
      </c>
      <c r="X7926" t="str">
        <f t="shared" si="3223"/>
        <v>RAZIMAH ANSAR AHMAD</v>
      </c>
      <c r="Y7926" t="str">
        <f t="shared" si="3224"/>
        <v>04-08-2020</v>
      </c>
      <c r="Z7926" t="str">
        <f>"COS10200804 1228"</f>
        <v>COS10200804 1228</v>
      </c>
    </row>
    <row r="7927" spans="1:26" x14ac:dyDescent="0.25">
      <c r="A7927" t="str">
        <f t="shared" si="3235"/>
        <v>04-08-2020 12:32:37</v>
      </c>
      <c r="B7927" t="str">
        <f>"0000802975"</f>
        <v>0000802975</v>
      </c>
      <c r="C7927" t="str">
        <f t="shared" si="3236"/>
        <v>0000802948</v>
      </c>
      <c r="D7927" t="str">
        <f t="shared" si="3214"/>
        <v>73185</v>
      </c>
      <c r="E7927" t="str">
        <f t="shared" si="3215"/>
        <v>KFH-OPERATIONS DEPARTMENT</v>
      </c>
      <c r="F7927" t="str">
        <f t="shared" si="3216"/>
        <v>IBG</v>
      </c>
      <c r="G7927" t="str">
        <f t="shared" si="3227"/>
        <v>Refund COSHARE 10</v>
      </c>
      <c r="H7927" s="2">
        <v>641.79999999999995</v>
      </c>
      <c r="I7927" t="str">
        <f>"NUR FARHANA BINTI ABDULLAH"</f>
        <v>NUR FARHANA BINTI ABDULLAH</v>
      </c>
      <c r="J7927" t="str">
        <f t="shared" si="3230"/>
        <v>BANK KERJASAMA RAKYAT</v>
      </c>
      <c r="K7927" t="str">
        <f>"220781020147"</f>
        <v>220781020147</v>
      </c>
      <c r="L7927" t="str">
        <f t="shared" ref="L7927:M7946" si="3237">"04-08-2020"</f>
        <v>04-08-2020</v>
      </c>
      <c r="M7927" t="str">
        <f t="shared" si="3237"/>
        <v>04-08-2020</v>
      </c>
      <c r="N7927" t="str">
        <f t="shared" si="3217"/>
        <v>001105018356</v>
      </c>
      <c r="O7927" t="str">
        <f t="shared" si="3218"/>
        <v>MYR</v>
      </c>
      <c r="P7927" t="str">
        <f t="shared" ref="P7927:Q7946" si="3238">"NIL"</f>
        <v>NIL</v>
      </c>
      <c r="Q7927" t="str">
        <f t="shared" si="3238"/>
        <v>NIL</v>
      </c>
      <c r="R7927" t="str">
        <f t="shared" si="3231"/>
        <v>Accepted</v>
      </c>
      <c r="S7927" t="str">
        <f t="shared" si="3219"/>
        <v>Approved</v>
      </c>
      <c r="T7927" t="str">
        <f t="shared" si="3232"/>
        <v>10.20.8.188</v>
      </c>
      <c r="U7927" t="str">
        <f t="shared" si="3220"/>
        <v>AZRAD UMAR BIN SHAARI</v>
      </c>
      <c r="V7927" t="str">
        <f t="shared" si="3221"/>
        <v>FARHANA BINTI MUSTAPA</v>
      </c>
      <c r="W7927" t="str">
        <f t="shared" si="3222"/>
        <v>04-08-2020</v>
      </c>
      <c r="X7927" t="str">
        <f t="shared" si="3223"/>
        <v>RAZIMAH ANSAR AHMAD</v>
      </c>
      <c r="Y7927" t="str">
        <f t="shared" si="3224"/>
        <v>04-08-2020</v>
      </c>
      <c r="Z7927" t="str">
        <f>"COS10200804 1227"</f>
        <v>COS10200804 1227</v>
      </c>
    </row>
    <row r="7928" spans="1:26" x14ac:dyDescent="0.25">
      <c r="A7928" t="str">
        <f t="shared" si="3235"/>
        <v>04-08-2020 12:32:37</v>
      </c>
      <c r="B7928" t="str">
        <f>"0000802974"</f>
        <v>0000802974</v>
      </c>
      <c r="C7928" t="str">
        <f t="shared" si="3236"/>
        <v>0000802948</v>
      </c>
      <c r="D7928" t="str">
        <f t="shared" si="3214"/>
        <v>73185</v>
      </c>
      <c r="E7928" t="str">
        <f t="shared" si="3215"/>
        <v>KFH-OPERATIONS DEPARTMENT</v>
      </c>
      <c r="F7928" t="str">
        <f t="shared" si="3216"/>
        <v>IBG</v>
      </c>
      <c r="G7928" t="str">
        <f t="shared" si="3227"/>
        <v>Refund COSHARE 10</v>
      </c>
      <c r="H7928" s="2">
        <v>125.95</v>
      </c>
      <c r="I7928" t="str">
        <f>"NORSUHAILI BINTI MD NOR"</f>
        <v>NORSUHAILI BINTI MD NOR</v>
      </c>
      <c r="J7928" t="str">
        <f t="shared" si="3230"/>
        <v>BANK KERJASAMA RAKYAT</v>
      </c>
      <c r="K7928" t="str">
        <f>"220121498552"</f>
        <v>220121498552</v>
      </c>
      <c r="L7928" t="str">
        <f t="shared" si="3237"/>
        <v>04-08-2020</v>
      </c>
      <c r="M7928" t="str">
        <f t="shared" si="3237"/>
        <v>04-08-2020</v>
      </c>
      <c r="N7928" t="str">
        <f t="shared" si="3217"/>
        <v>001105018356</v>
      </c>
      <c r="O7928" t="str">
        <f t="shared" si="3218"/>
        <v>MYR</v>
      </c>
      <c r="P7928" t="str">
        <f t="shared" si="3238"/>
        <v>NIL</v>
      </c>
      <c r="Q7928" t="str">
        <f t="shared" si="3238"/>
        <v>NIL</v>
      </c>
      <c r="R7928" t="str">
        <f t="shared" si="3231"/>
        <v>Accepted</v>
      </c>
      <c r="S7928" t="str">
        <f t="shared" si="3219"/>
        <v>Approved</v>
      </c>
      <c r="T7928" t="str">
        <f t="shared" si="3232"/>
        <v>10.20.8.188</v>
      </c>
      <c r="U7928" t="str">
        <f t="shared" si="3220"/>
        <v>AZRAD UMAR BIN SHAARI</v>
      </c>
      <c r="V7928" t="str">
        <f t="shared" si="3221"/>
        <v>FARHANA BINTI MUSTAPA</v>
      </c>
      <c r="W7928" t="str">
        <f t="shared" si="3222"/>
        <v>04-08-2020</v>
      </c>
      <c r="X7928" t="str">
        <f t="shared" si="3223"/>
        <v>RAZIMAH ANSAR AHMAD</v>
      </c>
      <c r="Y7928" t="str">
        <f t="shared" si="3224"/>
        <v>04-08-2020</v>
      </c>
      <c r="Z7928" t="str">
        <f>"COS10200804 1226"</f>
        <v>COS10200804 1226</v>
      </c>
    </row>
    <row r="7929" spans="1:26" x14ac:dyDescent="0.25">
      <c r="A7929" t="str">
        <f t="shared" si="3235"/>
        <v>04-08-2020 12:32:37</v>
      </c>
      <c r="B7929" t="str">
        <f>"0000802973"</f>
        <v>0000802973</v>
      </c>
      <c r="C7929" t="str">
        <f t="shared" si="3236"/>
        <v>0000802948</v>
      </c>
      <c r="D7929" t="str">
        <f t="shared" si="3214"/>
        <v>73185</v>
      </c>
      <c r="E7929" t="str">
        <f t="shared" si="3215"/>
        <v>KFH-OPERATIONS DEPARTMENT</v>
      </c>
      <c r="F7929" t="str">
        <f t="shared" si="3216"/>
        <v>IBG</v>
      </c>
      <c r="G7929" t="str">
        <f t="shared" si="3227"/>
        <v>Refund COSHARE 10</v>
      </c>
      <c r="H7929" s="2">
        <v>839.5</v>
      </c>
      <c r="I7929" t="str">
        <f>"NORRULAZWAH BINTI BAHARI"</f>
        <v>NORRULAZWAH BINTI BAHARI</v>
      </c>
      <c r="J7929" t="str">
        <f t="shared" si="3230"/>
        <v>BANK KERJASAMA RAKYAT</v>
      </c>
      <c r="K7929" t="str">
        <f>"220806097810"</f>
        <v>220806097810</v>
      </c>
      <c r="L7929" t="str">
        <f t="shared" si="3237"/>
        <v>04-08-2020</v>
      </c>
      <c r="M7929" t="str">
        <f t="shared" si="3237"/>
        <v>04-08-2020</v>
      </c>
      <c r="N7929" t="str">
        <f t="shared" si="3217"/>
        <v>001105018356</v>
      </c>
      <c r="O7929" t="str">
        <f t="shared" si="3218"/>
        <v>MYR</v>
      </c>
      <c r="P7929" t="str">
        <f t="shared" si="3238"/>
        <v>NIL</v>
      </c>
      <c r="Q7929" t="str">
        <f t="shared" si="3238"/>
        <v>NIL</v>
      </c>
      <c r="R7929" t="str">
        <f t="shared" si="3231"/>
        <v>Accepted</v>
      </c>
      <c r="S7929" t="str">
        <f t="shared" si="3219"/>
        <v>Approved</v>
      </c>
      <c r="T7929" t="str">
        <f t="shared" si="3232"/>
        <v>10.20.8.188</v>
      </c>
      <c r="U7929" t="str">
        <f t="shared" si="3220"/>
        <v>AZRAD UMAR BIN SHAARI</v>
      </c>
      <c r="V7929" t="str">
        <f t="shared" si="3221"/>
        <v>FARHANA BINTI MUSTAPA</v>
      </c>
      <c r="W7929" t="str">
        <f t="shared" si="3222"/>
        <v>04-08-2020</v>
      </c>
      <c r="X7929" t="str">
        <f t="shared" si="3223"/>
        <v>RAZIMAH ANSAR AHMAD</v>
      </c>
      <c r="Y7929" t="str">
        <f t="shared" si="3224"/>
        <v>04-08-2020</v>
      </c>
      <c r="Z7929" t="str">
        <f>"COS10200804 1225"</f>
        <v>COS10200804 1225</v>
      </c>
    </row>
    <row r="7930" spans="1:26" x14ac:dyDescent="0.25">
      <c r="A7930" t="str">
        <f t="shared" si="3235"/>
        <v>04-08-2020 12:32:37</v>
      </c>
      <c r="B7930" t="str">
        <f>"0000802972"</f>
        <v>0000802972</v>
      </c>
      <c r="C7930" t="str">
        <f t="shared" si="3236"/>
        <v>0000802948</v>
      </c>
      <c r="D7930" t="str">
        <f t="shared" si="3214"/>
        <v>73185</v>
      </c>
      <c r="E7930" t="str">
        <f t="shared" si="3215"/>
        <v>KFH-OPERATIONS DEPARTMENT</v>
      </c>
      <c r="F7930" t="str">
        <f t="shared" si="3216"/>
        <v>IBG</v>
      </c>
      <c r="G7930" t="str">
        <f t="shared" si="3227"/>
        <v>Refund COSHARE 10</v>
      </c>
      <c r="H7930" s="2">
        <v>1250.8499999999999</v>
      </c>
      <c r="I7930" t="str">
        <f>"NORRIAH BINTI MOHD NOH"</f>
        <v>NORRIAH BINTI MOHD NOH</v>
      </c>
      <c r="J7930" t="str">
        <f t="shared" si="3230"/>
        <v>BANK KERJASAMA RAKYAT</v>
      </c>
      <c r="K7930" t="str">
        <f>"220191114822"</f>
        <v>220191114822</v>
      </c>
      <c r="L7930" t="str">
        <f t="shared" si="3237"/>
        <v>04-08-2020</v>
      </c>
      <c r="M7930" t="str">
        <f t="shared" si="3237"/>
        <v>04-08-2020</v>
      </c>
      <c r="N7930" t="str">
        <f t="shared" si="3217"/>
        <v>001105018356</v>
      </c>
      <c r="O7930" t="str">
        <f t="shared" si="3218"/>
        <v>MYR</v>
      </c>
      <c r="P7930" t="str">
        <f t="shared" si="3238"/>
        <v>NIL</v>
      </c>
      <c r="Q7930" t="str">
        <f t="shared" si="3238"/>
        <v>NIL</v>
      </c>
      <c r="R7930" t="str">
        <f t="shared" si="3231"/>
        <v>Accepted</v>
      </c>
      <c r="S7930" t="str">
        <f t="shared" si="3219"/>
        <v>Approved</v>
      </c>
      <c r="T7930" t="str">
        <f t="shared" si="3232"/>
        <v>10.20.8.188</v>
      </c>
      <c r="U7930" t="str">
        <f t="shared" si="3220"/>
        <v>AZRAD UMAR BIN SHAARI</v>
      </c>
      <c r="V7930" t="str">
        <f t="shared" si="3221"/>
        <v>FARHANA BINTI MUSTAPA</v>
      </c>
      <c r="W7930" t="str">
        <f t="shared" si="3222"/>
        <v>04-08-2020</v>
      </c>
      <c r="X7930" t="str">
        <f t="shared" si="3223"/>
        <v>RAZIMAH ANSAR AHMAD</v>
      </c>
      <c r="Y7930" t="str">
        <f t="shared" si="3224"/>
        <v>04-08-2020</v>
      </c>
      <c r="Z7930" t="str">
        <f>"COS10200804 1224"</f>
        <v>COS10200804 1224</v>
      </c>
    </row>
    <row r="7931" spans="1:26" x14ac:dyDescent="0.25">
      <c r="A7931" t="str">
        <f t="shared" si="3235"/>
        <v>04-08-2020 12:32:37</v>
      </c>
      <c r="B7931" t="str">
        <f>"0000802971"</f>
        <v>0000802971</v>
      </c>
      <c r="C7931" t="str">
        <f t="shared" si="3236"/>
        <v>0000802948</v>
      </c>
      <c r="D7931" t="str">
        <f t="shared" si="3214"/>
        <v>73185</v>
      </c>
      <c r="E7931" t="str">
        <f t="shared" si="3215"/>
        <v>KFH-OPERATIONS DEPARTMENT</v>
      </c>
      <c r="F7931" t="str">
        <f t="shared" si="3216"/>
        <v>IBG</v>
      </c>
      <c r="G7931" t="str">
        <f t="shared" si="3227"/>
        <v>Refund COSHARE 10</v>
      </c>
      <c r="H7931" s="2">
        <v>58.8</v>
      </c>
      <c r="I7931" t="str">
        <f>"NORMAZIAH BINTI MAHMOOD"</f>
        <v>NORMAZIAH BINTI MAHMOOD</v>
      </c>
      <c r="J7931" t="str">
        <f t="shared" si="3230"/>
        <v>BANK KERJASAMA RAKYAT</v>
      </c>
      <c r="K7931" t="str">
        <f>"220096320921"</f>
        <v>220096320921</v>
      </c>
      <c r="L7931" t="str">
        <f t="shared" si="3237"/>
        <v>04-08-2020</v>
      </c>
      <c r="M7931" t="str">
        <f t="shared" si="3237"/>
        <v>04-08-2020</v>
      </c>
      <c r="N7931" t="str">
        <f t="shared" si="3217"/>
        <v>001105018356</v>
      </c>
      <c r="O7931" t="str">
        <f t="shared" si="3218"/>
        <v>MYR</v>
      </c>
      <c r="P7931" t="str">
        <f t="shared" si="3238"/>
        <v>NIL</v>
      </c>
      <c r="Q7931" t="str">
        <f t="shared" si="3238"/>
        <v>NIL</v>
      </c>
      <c r="R7931" t="str">
        <f t="shared" si="3231"/>
        <v>Accepted</v>
      </c>
      <c r="S7931" t="str">
        <f t="shared" si="3219"/>
        <v>Approved</v>
      </c>
      <c r="T7931" t="str">
        <f t="shared" si="3232"/>
        <v>10.20.8.188</v>
      </c>
      <c r="U7931" t="str">
        <f t="shared" si="3220"/>
        <v>AZRAD UMAR BIN SHAARI</v>
      </c>
      <c r="V7931" t="str">
        <f t="shared" si="3221"/>
        <v>FARHANA BINTI MUSTAPA</v>
      </c>
      <c r="W7931" t="str">
        <f t="shared" si="3222"/>
        <v>04-08-2020</v>
      </c>
      <c r="X7931" t="str">
        <f t="shared" si="3223"/>
        <v>RAZIMAH ANSAR AHMAD</v>
      </c>
      <c r="Y7931" t="str">
        <f t="shared" si="3224"/>
        <v>04-08-2020</v>
      </c>
      <c r="Z7931" t="str">
        <f>"COS10200804 1223"</f>
        <v>COS10200804 1223</v>
      </c>
    </row>
    <row r="7932" spans="1:26" x14ac:dyDescent="0.25">
      <c r="A7932" t="str">
        <f t="shared" si="3235"/>
        <v>04-08-2020 12:32:37</v>
      </c>
      <c r="B7932" t="str">
        <f>"0000802970"</f>
        <v>0000802970</v>
      </c>
      <c r="C7932" t="str">
        <f t="shared" si="3236"/>
        <v>0000802948</v>
      </c>
      <c r="D7932" t="str">
        <f t="shared" si="3214"/>
        <v>73185</v>
      </c>
      <c r="E7932" t="str">
        <f t="shared" si="3215"/>
        <v>KFH-OPERATIONS DEPARTMENT</v>
      </c>
      <c r="F7932" t="str">
        <f t="shared" si="3216"/>
        <v>IBG</v>
      </c>
      <c r="G7932" t="str">
        <f t="shared" si="3227"/>
        <v>Refund COSHARE 10</v>
      </c>
      <c r="H7932" s="2">
        <v>100.75</v>
      </c>
      <c r="I7932" t="str">
        <f>"NORMASRAWATY BINTI ABD RANI"</f>
        <v>NORMASRAWATY BINTI ABD RANI</v>
      </c>
      <c r="J7932" t="str">
        <f t="shared" si="3230"/>
        <v>BANK KERJASAMA RAKYAT</v>
      </c>
      <c r="K7932" t="str">
        <f>"221071012704"</f>
        <v>221071012704</v>
      </c>
      <c r="L7932" t="str">
        <f t="shared" si="3237"/>
        <v>04-08-2020</v>
      </c>
      <c r="M7932" t="str">
        <f t="shared" si="3237"/>
        <v>04-08-2020</v>
      </c>
      <c r="N7932" t="str">
        <f t="shared" si="3217"/>
        <v>001105018356</v>
      </c>
      <c r="O7932" t="str">
        <f t="shared" si="3218"/>
        <v>MYR</v>
      </c>
      <c r="P7932" t="str">
        <f t="shared" si="3238"/>
        <v>NIL</v>
      </c>
      <c r="Q7932" t="str">
        <f t="shared" si="3238"/>
        <v>NIL</v>
      </c>
      <c r="R7932" t="str">
        <f t="shared" si="3231"/>
        <v>Accepted</v>
      </c>
      <c r="S7932" t="str">
        <f t="shared" si="3219"/>
        <v>Approved</v>
      </c>
      <c r="T7932" t="str">
        <f t="shared" si="3232"/>
        <v>10.20.8.188</v>
      </c>
      <c r="U7932" t="str">
        <f t="shared" si="3220"/>
        <v>AZRAD UMAR BIN SHAARI</v>
      </c>
      <c r="V7932" t="str">
        <f t="shared" si="3221"/>
        <v>FARHANA BINTI MUSTAPA</v>
      </c>
      <c r="W7932" t="str">
        <f t="shared" si="3222"/>
        <v>04-08-2020</v>
      </c>
      <c r="X7932" t="str">
        <f t="shared" si="3223"/>
        <v>RAZIMAH ANSAR AHMAD</v>
      </c>
      <c r="Y7932" t="str">
        <f t="shared" si="3224"/>
        <v>04-08-2020</v>
      </c>
      <c r="Z7932" t="str">
        <f>"COS10200804 1222"</f>
        <v>COS10200804 1222</v>
      </c>
    </row>
    <row r="7933" spans="1:26" x14ac:dyDescent="0.25">
      <c r="A7933" t="str">
        <f t="shared" si="3235"/>
        <v>04-08-2020 12:32:37</v>
      </c>
      <c r="B7933" t="str">
        <f>"0000802969"</f>
        <v>0000802969</v>
      </c>
      <c r="C7933" t="str">
        <f t="shared" si="3236"/>
        <v>0000802948</v>
      </c>
      <c r="D7933" t="str">
        <f t="shared" si="3214"/>
        <v>73185</v>
      </c>
      <c r="E7933" t="str">
        <f t="shared" si="3215"/>
        <v>KFH-OPERATIONS DEPARTMENT</v>
      </c>
      <c r="F7933" t="str">
        <f t="shared" si="3216"/>
        <v>IBG</v>
      </c>
      <c r="G7933" t="str">
        <f t="shared" si="3227"/>
        <v>Refund COSHARE 10</v>
      </c>
      <c r="H7933" s="2">
        <v>596.04999999999995</v>
      </c>
      <c r="I7933" t="str">
        <f>"NORLIA BINTI ABDUL RAHIM"</f>
        <v>NORLIA BINTI ABDUL RAHIM</v>
      </c>
      <c r="J7933" t="str">
        <f t="shared" si="3230"/>
        <v>BANK KERJASAMA RAKYAT</v>
      </c>
      <c r="K7933" t="str">
        <f>"220611127280"</f>
        <v>220611127280</v>
      </c>
      <c r="L7933" t="str">
        <f t="shared" si="3237"/>
        <v>04-08-2020</v>
      </c>
      <c r="M7933" t="str">
        <f t="shared" si="3237"/>
        <v>04-08-2020</v>
      </c>
      <c r="N7933" t="str">
        <f t="shared" si="3217"/>
        <v>001105018356</v>
      </c>
      <c r="O7933" t="str">
        <f t="shared" si="3218"/>
        <v>MYR</v>
      </c>
      <c r="P7933" t="str">
        <f t="shared" si="3238"/>
        <v>NIL</v>
      </c>
      <c r="Q7933" t="str">
        <f t="shared" si="3238"/>
        <v>NIL</v>
      </c>
      <c r="R7933" t="str">
        <f t="shared" si="3231"/>
        <v>Accepted</v>
      </c>
      <c r="S7933" t="str">
        <f t="shared" si="3219"/>
        <v>Approved</v>
      </c>
      <c r="T7933" t="str">
        <f t="shared" si="3232"/>
        <v>10.20.8.188</v>
      </c>
      <c r="U7933" t="str">
        <f t="shared" si="3220"/>
        <v>AZRAD UMAR BIN SHAARI</v>
      </c>
      <c r="V7933" t="str">
        <f t="shared" si="3221"/>
        <v>FARHANA BINTI MUSTAPA</v>
      </c>
      <c r="W7933" t="str">
        <f t="shared" si="3222"/>
        <v>04-08-2020</v>
      </c>
      <c r="X7933" t="str">
        <f t="shared" si="3223"/>
        <v>RAZIMAH ANSAR AHMAD</v>
      </c>
      <c r="Y7933" t="str">
        <f t="shared" si="3224"/>
        <v>04-08-2020</v>
      </c>
      <c r="Z7933" t="str">
        <f>"COS10200804 1221"</f>
        <v>COS10200804 1221</v>
      </c>
    </row>
    <row r="7934" spans="1:26" x14ac:dyDescent="0.25">
      <c r="A7934" t="str">
        <f t="shared" si="3235"/>
        <v>04-08-2020 12:32:37</v>
      </c>
      <c r="B7934" t="str">
        <f>"0000802968"</f>
        <v>0000802968</v>
      </c>
      <c r="C7934" t="str">
        <f t="shared" si="3236"/>
        <v>0000802948</v>
      </c>
      <c r="D7934" t="str">
        <f t="shared" si="3214"/>
        <v>73185</v>
      </c>
      <c r="E7934" t="str">
        <f t="shared" si="3215"/>
        <v>KFH-OPERATIONS DEPARTMENT</v>
      </c>
      <c r="F7934" t="str">
        <f t="shared" si="3216"/>
        <v>IBG</v>
      </c>
      <c r="G7934" t="str">
        <f t="shared" si="3227"/>
        <v>Refund COSHARE 10</v>
      </c>
      <c r="H7934" s="2">
        <v>409.3</v>
      </c>
      <c r="I7934" t="str">
        <f>"NORLAILEE BINTI MOHD AFANDI"</f>
        <v>NORLAILEE BINTI MOHD AFANDI</v>
      </c>
      <c r="J7934" t="str">
        <f t="shared" si="3230"/>
        <v>BANK KERJASAMA RAKYAT</v>
      </c>
      <c r="K7934" t="str">
        <f>"220801011184"</f>
        <v>220801011184</v>
      </c>
      <c r="L7934" t="str">
        <f t="shared" si="3237"/>
        <v>04-08-2020</v>
      </c>
      <c r="M7934" t="str">
        <f t="shared" si="3237"/>
        <v>04-08-2020</v>
      </c>
      <c r="N7934" t="str">
        <f t="shared" si="3217"/>
        <v>001105018356</v>
      </c>
      <c r="O7934" t="str">
        <f t="shared" si="3218"/>
        <v>MYR</v>
      </c>
      <c r="P7934" t="str">
        <f t="shared" si="3238"/>
        <v>NIL</v>
      </c>
      <c r="Q7934" t="str">
        <f t="shared" si="3238"/>
        <v>NIL</v>
      </c>
      <c r="R7934" t="str">
        <f t="shared" si="3231"/>
        <v>Accepted</v>
      </c>
      <c r="S7934" t="str">
        <f t="shared" si="3219"/>
        <v>Approved</v>
      </c>
      <c r="T7934" t="str">
        <f t="shared" si="3232"/>
        <v>10.20.8.188</v>
      </c>
      <c r="U7934" t="str">
        <f t="shared" si="3220"/>
        <v>AZRAD UMAR BIN SHAARI</v>
      </c>
      <c r="V7934" t="str">
        <f t="shared" si="3221"/>
        <v>FARHANA BINTI MUSTAPA</v>
      </c>
      <c r="W7934" t="str">
        <f t="shared" si="3222"/>
        <v>04-08-2020</v>
      </c>
      <c r="X7934" t="str">
        <f t="shared" si="3223"/>
        <v>RAZIMAH ANSAR AHMAD</v>
      </c>
      <c r="Y7934" t="str">
        <f t="shared" si="3224"/>
        <v>04-08-2020</v>
      </c>
      <c r="Z7934" t="str">
        <f>"COS10200804 1220"</f>
        <v>COS10200804 1220</v>
      </c>
    </row>
    <row r="7935" spans="1:26" x14ac:dyDescent="0.25">
      <c r="A7935" t="str">
        <f t="shared" si="3235"/>
        <v>04-08-2020 12:32:37</v>
      </c>
      <c r="B7935" t="str">
        <f>"0000802967"</f>
        <v>0000802967</v>
      </c>
      <c r="C7935" t="str">
        <f t="shared" si="3236"/>
        <v>0000802948</v>
      </c>
      <c r="D7935" t="str">
        <f t="shared" si="3214"/>
        <v>73185</v>
      </c>
      <c r="E7935" t="str">
        <f t="shared" si="3215"/>
        <v>KFH-OPERATIONS DEPARTMENT</v>
      </c>
      <c r="F7935" t="str">
        <f t="shared" si="3216"/>
        <v>IBG</v>
      </c>
      <c r="G7935" t="str">
        <f t="shared" si="3227"/>
        <v>Refund COSHARE 10</v>
      </c>
      <c r="H7935" s="2">
        <v>1259.25</v>
      </c>
      <c r="I7935" t="str">
        <f>"NORIZAN BINTI MOHAMAD"</f>
        <v>NORIZAN BINTI MOHAMAD</v>
      </c>
      <c r="J7935" t="str">
        <f t="shared" si="3230"/>
        <v>BANK KERJASAMA RAKYAT</v>
      </c>
      <c r="K7935" t="str">
        <f>"220071255750"</f>
        <v>220071255750</v>
      </c>
      <c r="L7935" t="str">
        <f t="shared" si="3237"/>
        <v>04-08-2020</v>
      </c>
      <c r="M7935" t="str">
        <f t="shared" si="3237"/>
        <v>04-08-2020</v>
      </c>
      <c r="N7935" t="str">
        <f t="shared" si="3217"/>
        <v>001105018356</v>
      </c>
      <c r="O7935" t="str">
        <f t="shared" si="3218"/>
        <v>MYR</v>
      </c>
      <c r="P7935" t="str">
        <f t="shared" si="3238"/>
        <v>NIL</v>
      </c>
      <c r="Q7935" t="str">
        <f t="shared" si="3238"/>
        <v>NIL</v>
      </c>
      <c r="R7935" t="str">
        <f t="shared" si="3231"/>
        <v>Accepted</v>
      </c>
      <c r="S7935" t="str">
        <f t="shared" si="3219"/>
        <v>Approved</v>
      </c>
      <c r="T7935" t="str">
        <f t="shared" si="3232"/>
        <v>10.20.8.188</v>
      </c>
      <c r="U7935" t="str">
        <f t="shared" si="3220"/>
        <v>AZRAD UMAR BIN SHAARI</v>
      </c>
      <c r="V7935" t="str">
        <f t="shared" si="3221"/>
        <v>FARHANA BINTI MUSTAPA</v>
      </c>
      <c r="W7935" t="str">
        <f t="shared" si="3222"/>
        <v>04-08-2020</v>
      </c>
      <c r="X7935" t="str">
        <f t="shared" si="3223"/>
        <v>RAZIMAH ANSAR AHMAD</v>
      </c>
      <c r="Y7935" t="str">
        <f t="shared" si="3224"/>
        <v>04-08-2020</v>
      </c>
      <c r="Z7935" t="str">
        <f>"COS10200804 1219"</f>
        <v>COS10200804 1219</v>
      </c>
    </row>
    <row r="7936" spans="1:26" x14ac:dyDescent="0.25">
      <c r="A7936" t="str">
        <f t="shared" si="3235"/>
        <v>04-08-2020 12:32:37</v>
      </c>
      <c r="B7936" t="str">
        <f>"0000802966"</f>
        <v>0000802966</v>
      </c>
      <c r="C7936" t="str">
        <f t="shared" si="3236"/>
        <v>0000802948</v>
      </c>
      <c r="D7936" t="str">
        <f t="shared" si="3214"/>
        <v>73185</v>
      </c>
      <c r="E7936" t="str">
        <f t="shared" si="3215"/>
        <v>KFH-OPERATIONS DEPARTMENT</v>
      </c>
      <c r="F7936" t="str">
        <f t="shared" si="3216"/>
        <v>IBG</v>
      </c>
      <c r="G7936" t="str">
        <f t="shared" si="3227"/>
        <v>Refund COSHARE 10</v>
      </c>
      <c r="H7936" s="2">
        <v>633</v>
      </c>
      <c r="I7936" t="str">
        <f>"NORIZAN BINTI ABD AZIZ"</f>
        <v>NORIZAN BINTI ABD AZIZ</v>
      </c>
      <c r="J7936" t="str">
        <f t="shared" si="3230"/>
        <v>BANK KERJASAMA RAKYAT</v>
      </c>
      <c r="K7936" t="str">
        <f>"220013237441"</f>
        <v>220013237441</v>
      </c>
      <c r="L7936" t="str">
        <f t="shared" si="3237"/>
        <v>04-08-2020</v>
      </c>
      <c r="M7936" t="str">
        <f t="shared" si="3237"/>
        <v>04-08-2020</v>
      </c>
      <c r="N7936" t="str">
        <f t="shared" si="3217"/>
        <v>001105018356</v>
      </c>
      <c r="O7936" t="str">
        <f t="shared" si="3218"/>
        <v>MYR</v>
      </c>
      <c r="P7936" t="str">
        <f t="shared" si="3238"/>
        <v>NIL</v>
      </c>
      <c r="Q7936" t="str">
        <f t="shared" si="3238"/>
        <v>NIL</v>
      </c>
      <c r="R7936" t="str">
        <f t="shared" si="3231"/>
        <v>Accepted</v>
      </c>
      <c r="S7936" t="str">
        <f t="shared" si="3219"/>
        <v>Approved</v>
      </c>
      <c r="T7936" t="str">
        <f t="shared" si="3232"/>
        <v>10.20.8.188</v>
      </c>
      <c r="U7936" t="str">
        <f t="shared" si="3220"/>
        <v>AZRAD UMAR BIN SHAARI</v>
      </c>
      <c r="V7936" t="str">
        <f t="shared" si="3221"/>
        <v>FARHANA BINTI MUSTAPA</v>
      </c>
      <c r="W7936" t="str">
        <f t="shared" si="3222"/>
        <v>04-08-2020</v>
      </c>
      <c r="X7936" t="str">
        <f t="shared" si="3223"/>
        <v>RAZIMAH ANSAR AHMAD</v>
      </c>
      <c r="Y7936" t="str">
        <f t="shared" si="3224"/>
        <v>04-08-2020</v>
      </c>
      <c r="Z7936" t="str">
        <f>"COS10200804 1218"</f>
        <v>COS10200804 1218</v>
      </c>
    </row>
    <row r="7937" spans="1:26" x14ac:dyDescent="0.25">
      <c r="A7937" t="str">
        <f t="shared" si="3235"/>
        <v>04-08-2020 12:32:37</v>
      </c>
      <c r="B7937" t="str">
        <f>"0000802965"</f>
        <v>0000802965</v>
      </c>
      <c r="C7937" t="str">
        <f t="shared" si="3236"/>
        <v>0000802948</v>
      </c>
      <c r="D7937" t="str">
        <f t="shared" si="3214"/>
        <v>73185</v>
      </c>
      <c r="E7937" t="str">
        <f t="shared" si="3215"/>
        <v>KFH-OPERATIONS DEPARTMENT</v>
      </c>
      <c r="F7937" t="str">
        <f t="shared" si="3216"/>
        <v>IBG</v>
      </c>
      <c r="G7937" t="str">
        <f t="shared" si="3227"/>
        <v>Refund COSHARE 10</v>
      </c>
      <c r="H7937" s="2">
        <v>235.1</v>
      </c>
      <c r="I7937" t="str">
        <f>"NORISMALINDA BINTI MEOR ISA"</f>
        <v>NORISMALINDA BINTI MEOR ISA</v>
      </c>
      <c r="J7937" t="str">
        <f t="shared" si="3230"/>
        <v>BANK KERJASAMA RAKYAT</v>
      </c>
      <c r="K7937" t="str">
        <f>"220251344928"</f>
        <v>220251344928</v>
      </c>
      <c r="L7937" t="str">
        <f t="shared" si="3237"/>
        <v>04-08-2020</v>
      </c>
      <c r="M7937" t="str">
        <f t="shared" si="3237"/>
        <v>04-08-2020</v>
      </c>
      <c r="N7937" t="str">
        <f t="shared" si="3217"/>
        <v>001105018356</v>
      </c>
      <c r="O7937" t="str">
        <f t="shared" si="3218"/>
        <v>MYR</v>
      </c>
      <c r="P7937" t="str">
        <f t="shared" si="3238"/>
        <v>NIL</v>
      </c>
      <c r="Q7937" t="str">
        <f t="shared" si="3238"/>
        <v>NIL</v>
      </c>
      <c r="R7937" t="str">
        <f t="shared" si="3231"/>
        <v>Accepted</v>
      </c>
      <c r="S7937" t="str">
        <f t="shared" si="3219"/>
        <v>Approved</v>
      </c>
      <c r="T7937" t="str">
        <f t="shared" si="3232"/>
        <v>10.20.8.188</v>
      </c>
      <c r="U7937" t="str">
        <f t="shared" si="3220"/>
        <v>AZRAD UMAR BIN SHAARI</v>
      </c>
      <c r="V7937" t="str">
        <f t="shared" si="3221"/>
        <v>FARHANA BINTI MUSTAPA</v>
      </c>
      <c r="W7937" t="str">
        <f t="shared" si="3222"/>
        <v>04-08-2020</v>
      </c>
      <c r="X7937" t="str">
        <f t="shared" si="3223"/>
        <v>RAZIMAH ANSAR AHMAD</v>
      </c>
      <c r="Y7937" t="str">
        <f t="shared" si="3224"/>
        <v>04-08-2020</v>
      </c>
      <c r="Z7937" t="str">
        <f>"COS10200804 1217"</f>
        <v>COS10200804 1217</v>
      </c>
    </row>
    <row r="7938" spans="1:26" x14ac:dyDescent="0.25">
      <c r="A7938" t="str">
        <f t="shared" si="3235"/>
        <v>04-08-2020 12:32:37</v>
      </c>
      <c r="B7938" t="str">
        <f>"0000802964"</f>
        <v>0000802964</v>
      </c>
      <c r="C7938" t="str">
        <f t="shared" si="3236"/>
        <v>0000802948</v>
      </c>
      <c r="D7938" t="str">
        <f t="shared" si="3214"/>
        <v>73185</v>
      </c>
      <c r="E7938" t="str">
        <f t="shared" si="3215"/>
        <v>KFH-OPERATIONS DEPARTMENT</v>
      </c>
      <c r="F7938" t="str">
        <f t="shared" si="3216"/>
        <v>IBG</v>
      </c>
      <c r="G7938" t="str">
        <f t="shared" si="3227"/>
        <v>Refund COSHARE 10</v>
      </c>
      <c r="H7938" s="2">
        <v>839.5</v>
      </c>
      <c r="I7938" t="str">
        <f>"NORIRMALIZA BINTI AHMAD"</f>
        <v>NORIRMALIZA BINTI AHMAD</v>
      </c>
      <c r="J7938" t="str">
        <f t="shared" si="3230"/>
        <v>BANK KERJASAMA RAKYAT</v>
      </c>
      <c r="K7938" t="str">
        <f>"220131288068"</f>
        <v>220131288068</v>
      </c>
      <c r="L7938" t="str">
        <f t="shared" si="3237"/>
        <v>04-08-2020</v>
      </c>
      <c r="M7938" t="str">
        <f t="shared" si="3237"/>
        <v>04-08-2020</v>
      </c>
      <c r="N7938" t="str">
        <f t="shared" si="3217"/>
        <v>001105018356</v>
      </c>
      <c r="O7938" t="str">
        <f t="shared" si="3218"/>
        <v>MYR</v>
      </c>
      <c r="P7938" t="str">
        <f t="shared" si="3238"/>
        <v>NIL</v>
      </c>
      <c r="Q7938" t="str">
        <f t="shared" si="3238"/>
        <v>NIL</v>
      </c>
      <c r="R7938" t="str">
        <f t="shared" si="3231"/>
        <v>Accepted</v>
      </c>
      <c r="S7938" t="str">
        <f t="shared" si="3219"/>
        <v>Approved</v>
      </c>
      <c r="T7938" t="str">
        <f t="shared" si="3232"/>
        <v>10.20.8.188</v>
      </c>
      <c r="U7938" t="str">
        <f t="shared" si="3220"/>
        <v>AZRAD UMAR BIN SHAARI</v>
      </c>
      <c r="V7938" t="str">
        <f t="shared" si="3221"/>
        <v>FARHANA BINTI MUSTAPA</v>
      </c>
      <c r="W7938" t="str">
        <f t="shared" si="3222"/>
        <v>04-08-2020</v>
      </c>
      <c r="X7938" t="str">
        <f t="shared" si="3223"/>
        <v>RAZIMAH ANSAR AHMAD</v>
      </c>
      <c r="Y7938" t="str">
        <f t="shared" si="3224"/>
        <v>04-08-2020</v>
      </c>
      <c r="Z7938" t="str">
        <f>"COS10200804 1216"</f>
        <v>COS10200804 1216</v>
      </c>
    </row>
    <row r="7939" spans="1:26" x14ac:dyDescent="0.25">
      <c r="A7939" t="str">
        <f t="shared" si="3235"/>
        <v>04-08-2020 12:32:37</v>
      </c>
      <c r="B7939" t="str">
        <f>"0000802963"</f>
        <v>0000802963</v>
      </c>
      <c r="C7939" t="str">
        <f t="shared" si="3236"/>
        <v>0000802948</v>
      </c>
      <c r="D7939" t="str">
        <f t="shared" si="3214"/>
        <v>73185</v>
      </c>
      <c r="E7939" t="str">
        <f t="shared" si="3215"/>
        <v>KFH-OPERATIONS DEPARTMENT</v>
      </c>
      <c r="F7939" t="str">
        <f t="shared" si="3216"/>
        <v>IBG</v>
      </c>
      <c r="G7939" t="str">
        <f t="shared" si="3227"/>
        <v>Refund COSHARE 10</v>
      </c>
      <c r="H7939" s="2">
        <v>1326.4</v>
      </c>
      <c r="I7939" t="str">
        <f>"NORINAH BINTI MOHD NOH"</f>
        <v>NORINAH BINTI MOHD NOH</v>
      </c>
      <c r="J7939" t="str">
        <f t="shared" si="3230"/>
        <v>BANK KERJASAMA RAKYAT</v>
      </c>
      <c r="K7939" t="str">
        <f>"220711050385"</f>
        <v>220711050385</v>
      </c>
      <c r="L7939" t="str">
        <f t="shared" si="3237"/>
        <v>04-08-2020</v>
      </c>
      <c r="M7939" t="str">
        <f t="shared" si="3237"/>
        <v>04-08-2020</v>
      </c>
      <c r="N7939" t="str">
        <f t="shared" si="3217"/>
        <v>001105018356</v>
      </c>
      <c r="O7939" t="str">
        <f t="shared" si="3218"/>
        <v>MYR</v>
      </c>
      <c r="P7939" t="str">
        <f t="shared" si="3238"/>
        <v>NIL</v>
      </c>
      <c r="Q7939" t="str">
        <f t="shared" si="3238"/>
        <v>NIL</v>
      </c>
      <c r="R7939" t="str">
        <f t="shared" si="3231"/>
        <v>Accepted</v>
      </c>
      <c r="S7939" t="str">
        <f t="shared" si="3219"/>
        <v>Approved</v>
      </c>
      <c r="T7939" t="str">
        <f t="shared" si="3232"/>
        <v>10.20.8.188</v>
      </c>
      <c r="U7939" t="str">
        <f t="shared" si="3220"/>
        <v>AZRAD UMAR BIN SHAARI</v>
      </c>
      <c r="V7939" t="str">
        <f t="shared" si="3221"/>
        <v>FARHANA BINTI MUSTAPA</v>
      </c>
      <c r="W7939" t="str">
        <f t="shared" si="3222"/>
        <v>04-08-2020</v>
      </c>
      <c r="X7939" t="str">
        <f t="shared" si="3223"/>
        <v>RAZIMAH ANSAR AHMAD</v>
      </c>
      <c r="Y7939" t="str">
        <f t="shared" si="3224"/>
        <v>04-08-2020</v>
      </c>
      <c r="Z7939" t="str">
        <f>"COS10200804 1215"</f>
        <v>COS10200804 1215</v>
      </c>
    </row>
    <row r="7940" spans="1:26" x14ac:dyDescent="0.25">
      <c r="A7940" t="str">
        <f t="shared" si="3235"/>
        <v>04-08-2020 12:32:37</v>
      </c>
      <c r="B7940" t="str">
        <f>"0000802962"</f>
        <v>0000802962</v>
      </c>
      <c r="C7940" t="str">
        <f t="shared" si="3236"/>
        <v>0000802948</v>
      </c>
      <c r="D7940" t="str">
        <f t="shared" si="3214"/>
        <v>73185</v>
      </c>
      <c r="E7940" t="str">
        <f t="shared" si="3215"/>
        <v>KFH-OPERATIONS DEPARTMENT</v>
      </c>
      <c r="F7940" t="str">
        <f t="shared" si="3216"/>
        <v>IBG</v>
      </c>
      <c r="G7940" t="str">
        <f t="shared" si="3227"/>
        <v>Refund COSHARE 10</v>
      </c>
      <c r="H7940" s="2">
        <v>98</v>
      </c>
      <c r="I7940" t="str">
        <f>"NORHAYATI BINTI MANSOR"</f>
        <v>NORHAYATI BINTI MANSOR</v>
      </c>
      <c r="J7940" t="str">
        <f t="shared" si="3230"/>
        <v>BANK KERJASAMA RAKYAT</v>
      </c>
      <c r="K7940" t="str">
        <f>"220411192747"</f>
        <v>220411192747</v>
      </c>
      <c r="L7940" t="str">
        <f t="shared" si="3237"/>
        <v>04-08-2020</v>
      </c>
      <c r="M7940" t="str">
        <f t="shared" si="3237"/>
        <v>04-08-2020</v>
      </c>
      <c r="N7940" t="str">
        <f t="shared" si="3217"/>
        <v>001105018356</v>
      </c>
      <c r="O7940" t="str">
        <f t="shared" si="3218"/>
        <v>MYR</v>
      </c>
      <c r="P7940" t="str">
        <f t="shared" si="3238"/>
        <v>NIL</v>
      </c>
      <c r="Q7940" t="str">
        <f t="shared" si="3238"/>
        <v>NIL</v>
      </c>
      <c r="R7940" t="str">
        <f t="shared" si="3231"/>
        <v>Accepted</v>
      </c>
      <c r="S7940" t="str">
        <f t="shared" si="3219"/>
        <v>Approved</v>
      </c>
      <c r="T7940" t="str">
        <f t="shared" si="3232"/>
        <v>10.20.8.188</v>
      </c>
      <c r="U7940" t="str">
        <f t="shared" si="3220"/>
        <v>AZRAD UMAR BIN SHAARI</v>
      </c>
      <c r="V7940" t="str">
        <f t="shared" si="3221"/>
        <v>FARHANA BINTI MUSTAPA</v>
      </c>
      <c r="W7940" t="str">
        <f t="shared" si="3222"/>
        <v>04-08-2020</v>
      </c>
      <c r="X7940" t="str">
        <f t="shared" si="3223"/>
        <v>RAZIMAH ANSAR AHMAD</v>
      </c>
      <c r="Y7940" t="str">
        <f t="shared" si="3224"/>
        <v>04-08-2020</v>
      </c>
      <c r="Z7940" t="str">
        <f>"COS10200804 1214"</f>
        <v>COS10200804 1214</v>
      </c>
    </row>
    <row r="7941" spans="1:26" x14ac:dyDescent="0.25">
      <c r="A7941" t="str">
        <f t="shared" si="3235"/>
        <v>04-08-2020 12:32:37</v>
      </c>
      <c r="B7941" t="str">
        <f>"0000802961"</f>
        <v>0000802961</v>
      </c>
      <c r="C7941" t="str">
        <f t="shared" si="3236"/>
        <v>0000802948</v>
      </c>
      <c r="D7941" t="str">
        <f t="shared" si="3214"/>
        <v>73185</v>
      </c>
      <c r="E7941" t="str">
        <f t="shared" si="3215"/>
        <v>KFH-OPERATIONS DEPARTMENT</v>
      </c>
      <c r="F7941" t="str">
        <f t="shared" si="3216"/>
        <v>IBG</v>
      </c>
      <c r="G7941" t="str">
        <f t="shared" si="3227"/>
        <v>Refund COSHARE 10</v>
      </c>
      <c r="H7941" s="2">
        <v>705.2</v>
      </c>
      <c r="I7941" t="str">
        <f>"NORHAMIDAH BINTI MOHAMAD ALI"</f>
        <v>NORHAMIDAH BINTI MOHAMAD ALI</v>
      </c>
      <c r="J7941" t="str">
        <f t="shared" si="3230"/>
        <v>BANK KERJASAMA RAKYAT</v>
      </c>
      <c r="K7941" t="str">
        <f>"220411173217"</f>
        <v>220411173217</v>
      </c>
      <c r="L7941" t="str">
        <f t="shared" si="3237"/>
        <v>04-08-2020</v>
      </c>
      <c r="M7941" t="str">
        <f t="shared" si="3237"/>
        <v>04-08-2020</v>
      </c>
      <c r="N7941" t="str">
        <f t="shared" si="3217"/>
        <v>001105018356</v>
      </c>
      <c r="O7941" t="str">
        <f t="shared" si="3218"/>
        <v>MYR</v>
      </c>
      <c r="P7941" t="str">
        <f t="shared" si="3238"/>
        <v>NIL</v>
      </c>
      <c r="Q7941" t="str">
        <f t="shared" si="3238"/>
        <v>NIL</v>
      </c>
      <c r="R7941" t="str">
        <f t="shared" si="3231"/>
        <v>Accepted</v>
      </c>
      <c r="S7941" t="str">
        <f t="shared" si="3219"/>
        <v>Approved</v>
      </c>
      <c r="T7941" t="str">
        <f t="shared" si="3232"/>
        <v>10.20.8.188</v>
      </c>
      <c r="U7941" t="str">
        <f t="shared" si="3220"/>
        <v>AZRAD UMAR BIN SHAARI</v>
      </c>
      <c r="V7941" t="str">
        <f t="shared" si="3221"/>
        <v>FARHANA BINTI MUSTAPA</v>
      </c>
      <c r="W7941" t="str">
        <f t="shared" si="3222"/>
        <v>04-08-2020</v>
      </c>
      <c r="X7941" t="str">
        <f t="shared" si="3223"/>
        <v>RAZIMAH ANSAR AHMAD</v>
      </c>
      <c r="Y7941" t="str">
        <f t="shared" si="3224"/>
        <v>04-08-2020</v>
      </c>
      <c r="Z7941" t="str">
        <f>"COS10200804 1213"</f>
        <v>COS10200804 1213</v>
      </c>
    </row>
    <row r="7942" spans="1:26" x14ac:dyDescent="0.25">
      <c r="A7942" t="str">
        <f t="shared" si="3235"/>
        <v>04-08-2020 12:32:37</v>
      </c>
      <c r="B7942" t="str">
        <f>"0000802960"</f>
        <v>0000802960</v>
      </c>
      <c r="C7942" t="str">
        <f t="shared" si="3236"/>
        <v>0000802948</v>
      </c>
      <c r="D7942" t="str">
        <f t="shared" si="3214"/>
        <v>73185</v>
      </c>
      <c r="E7942" t="str">
        <f t="shared" si="3215"/>
        <v>KFH-OPERATIONS DEPARTMENT</v>
      </c>
      <c r="F7942" t="str">
        <f t="shared" si="3216"/>
        <v>IBG</v>
      </c>
      <c r="G7942" t="str">
        <f t="shared" si="3227"/>
        <v>Refund COSHARE 10</v>
      </c>
      <c r="H7942" s="2">
        <v>310.64999999999998</v>
      </c>
      <c r="I7942" t="str">
        <f>"NORHAIZAN BINTI ISMAIL"</f>
        <v>NORHAIZAN BINTI ISMAIL</v>
      </c>
      <c r="J7942" t="str">
        <f t="shared" si="3230"/>
        <v>BANK KERJASAMA RAKYAT</v>
      </c>
      <c r="K7942" t="str">
        <f>"220981047505"</f>
        <v>220981047505</v>
      </c>
      <c r="L7942" t="str">
        <f t="shared" si="3237"/>
        <v>04-08-2020</v>
      </c>
      <c r="M7942" t="str">
        <f t="shared" si="3237"/>
        <v>04-08-2020</v>
      </c>
      <c r="N7942" t="str">
        <f t="shared" si="3217"/>
        <v>001105018356</v>
      </c>
      <c r="O7942" t="str">
        <f t="shared" si="3218"/>
        <v>MYR</v>
      </c>
      <c r="P7942" t="str">
        <f t="shared" si="3238"/>
        <v>NIL</v>
      </c>
      <c r="Q7942" t="str">
        <f t="shared" si="3238"/>
        <v>NIL</v>
      </c>
      <c r="R7942" t="str">
        <f t="shared" si="3231"/>
        <v>Accepted</v>
      </c>
      <c r="S7942" t="str">
        <f t="shared" si="3219"/>
        <v>Approved</v>
      </c>
      <c r="T7942" t="str">
        <f t="shared" si="3232"/>
        <v>10.20.8.188</v>
      </c>
      <c r="U7942" t="str">
        <f t="shared" si="3220"/>
        <v>AZRAD UMAR BIN SHAARI</v>
      </c>
      <c r="V7942" t="str">
        <f t="shared" si="3221"/>
        <v>FARHANA BINTI MUSTAPA</v>
      </c>
      <c r="W7942" t="str">
        <f t="shared" si="3222"/>
        <v>04-08-2020</v>
      </c>
      <c r="X7942" t="str">
        <f t="shared" si="3223"/>
        <v>RAZIMAH ANSAR AHMAD</v>
      </c>
      <c r="Y7942" t="str">
        <f t="shared" si="3224"/>
        <v>04-08-2020</v>
      </c>
      <c r="Z7942" t="str">
        <f>"COS10200804 1212"</f>
        <v>COS10200804 1212</v>
      </c>
    </row>
    <row r="7943" spans="1:26" x14ac:dyDescent="0.25">
      <c r="A7943" t="str">
        <f t="shared" si="3235"/>
        <v>04-08-2020 12:32:37</v>
      </c>
      <c r="B7943" t="str">
        <f>"0000802959"</f>
        <v>0000802959</v>
      </c>
      <c r="C7943" t="str">
        <f t="shared" si="3236"/>
        <v>0000802948</v>
      </c>
      <c r="D7943" t="str">
        <f t="shared" ref="D7943:D8006" si="3239">"73185"</f>
        <v>73185</v>
      </c>
      <c r="E7943" t="str">
        <f t="shared" ref="E7943:E8006" si="3240">"KFH-OPERATIONS DEPARTMENT"</f>
        <v>KFH-OPERATIONS DEPARTMENT</v>
      </c>
      <c r="F7943" t="str">
        <f t="shared" ref="F7943:F8006" si="3241">"IBG"</f>
        <v>IBG</v>
      </c>
      <c r="G7943" t="str">
        <f t="shared" si="3227"/>
        <v>Refund COSHARE 10</v>
      </c>
      <c r="H7943" s="2">
        <v>419.75</v>
      </c>
      <c r="I7943" t="str">
        <f>"NORHAFIZAH BINTI ABDULLAH"</f>
        <v>NORHAFIZAH BINTI ABDULLAH</v>
      </c>
      <c r="J7943" t="str">
        <f t="shared" si="3230"/>
        <v>BANK KERJASAMA RAKYAT</v>
      </c>
      <c r="K7943" t="str">
        <f>"220421125981"</f>
        <v>220421125981</v>
      </c>
      <c r="L7943" t="str">
        <f t="shared" si="3237"/>
        <v>04-08-2020</v>
      </c>
      <c r="M7943" t="str">
        <f t="shared" si="3237"/>
        <v>04-08-2020</v>
      </c>
      <c r="N7943" t="str">
        <f t="shared" ref="N7943:N8006" si="3242">"001105018356"</f>
        <v>001105018356</v>
      </c>
      <c r="O7943" t="str">
        <f t="shared" ref="O7943:O8006" si="3243">"MYR"</f>
        <v>MYR</v>
      </c>
      <c r="P7943" t="str">
        <f t="shared" si="3238"/>
        <v>NIL</v>
      </c>
      <c r="Q7943" t="str">
        <f t="shared" si="3238"/>
        <v>NIL</v>
      </c>
      <c r="R7943" t="str">
        <f t="shared" si="3231"/>
        <v>Accepted</v>
      </c>
      <c r="S7943" t="str">
        <f t="shared" ref="S7943:S8006" si="3244">"Approved"</f>
        <v>Approved</v>
      </c>
      <c r="T7943" t="str">
        <f t="shared" si="3232"/>
        <v>10.20.8.188</v>
      </c>
      <c r="U7943" t="str">
        <f t="shared" ref="U7943:U8006" si="3245">"AZRAD UMAR BIN SHAARI"</f>
        <v>AZRAD UMAR BIN SHAARI</v>
      </c>
      <c r="V7943" t="str">
        <f t="shared" ref="V7943:V8006" si="3246">"FARHANA BINTI MUSTAPA"</f>
        <v>FARHANA BINTI MUSTAPA</v>
      </c>
      <c r="W7943" t="str">
        <f t="shared" ref="W7943:W8006" si="3247">"04-08-2020"</f>
        <v>04-08-2020</v>
      </c>
      <c r="X7943" t="str">
        <f t="shared" ref="X7943:X8006" si="3248">"RAZIMAH ANSAR AHMAD"</f>
        <v>RAZIMAH ANSAR AHMAD</v>
      </c>
      <c r="Y7943" t="str">
        <f t="shared" ref="Y7943:Y8006" si="3249">"04-08-2020"</f>
        <v>04-08-2020</v>
      </c>
      <c r="Z7943" t="str">
        <f>"COS10200804 1211"</f>
        <v>COS10200804 1211</v>
      </c>
    </row>
    <row r="7944" spans="1:26" x14ac:dyDescent="0.25">
      <c r="A7944" t="str">
        <f t="shared" si="3235"/>
        <v>04-08-2020 12:32:37</v>
      </c>
      <c r="B7944" t="str">
        <f>"0000802958"</f>
        <v>0000802958</v>
      </c>
      <c r="C7944" t="str">
        <f t="shared" si="3236"/>
        <v>0000802948</v>
      </c>
      <c r="D7944" t="str">
        <f t="shared" si="3239"/>
        <v>73185</v>
      </c>
      <c r="E7944" t="str">
        <f t="shared" si="3240"/>
        <v>KFH-OPERATIONS DEPARTMENT</v>
      </c>
      <c r="F7944" t="str">
        <f t="shared" si="3241"/>
        <v>IBG</v>
      </c>
      <c r="G7944" t="str">
        <f t="shared" si="3227"/>
        <v>Refund COSHARE 10</v>
      </c>
      <c r="H7944" s="2">
        <v>151.15</v>
      </c>
      <c r="I7944" t="str">
        <f>"NORHAFIZA BINTI HUSIN"</f>
        <v>NORHAFIZA BINTI HUSIN</v>
      </c>
      <c r="J7944" t="str">
        <f t="shared" si="3230"/>
        <v>BANK KERJASAMA RAKYAT</v>
      </c>
      <c r="K7944" t="str">
        <f>"220121511881"</f>
        <v>220121511881</v>
      </c>
      <c r="L7944" t="str">
        <f t="shared" si="3237"/>
        <v>04-08-2020</v>
      </c>
      <c r="M7944" t="str">
        <f t="shared" si="3237"/>
        <v>04-08-2020</v>
      </c>
      <c r="N7944" t="str">
        <f t="shared" si="3242"/>
        <v>001105018356</v>
      </c>
      <c r="O7944" t="str">
        <f t="shared" si="3243"/>
        <v>MYR</v>
      </c>
      <c r="P7944" t="str">
        <f t="shared" si="3238"/>
        <v>NIL</v>
      </c>
      <c r="Q7944" t="str">
        <f t="shared" si="3238"/>
        <v>NIL</v>
      </c>
      <c r="R7944" t="str">
        <f t="shared" si="3231"/>
        <v>Accepted</v>
      </c>
      <c r="S7944" t="str">
        <f t="shared" si="3244"/>
        <v>Approved</v>
      </c>
      <c r="T7944" t="str">
        <f t="shared" si="3232"/>
        <v>10.20.8.188</v>
      </c>
      <c r="U7944" t="str">
        <f t="shared" si="3245"/>
        <v>AZRAD UMAR BIN SHAARI</v>
      </c>
      <c r="V7944" t="str">
        <f t="shared" si="3246"/>
        <v>FARHANA BINTI MUSTAPA</v>
      </c>
      <c r="W7944" t="str">
        <f t="shared" si="3247"/>
        <v>04-08-2020</v>
      </c>
      <c r="X7944" t="str">
        <f t="shared" si="3248"/>
        <v>RAZIMAH ANSAR AHMAD</v>
      </c>
      <c r="Y7944" t="str">
        <f t="shared" si="3249"/>
        <v>04-08-2020</v>
      </c>
      <c r="Z7944" t="str">
        <f>"COS10200804 1210"</f>
        <v>COS10200804 1210</v>
      </c>
    </row>
    <row r="7945" spans="1:26" x14ac:dyDescent="0.25">
      <c r="A7945" t="str">
        <f t="shared" si="3235"/>
        <v>04-08-2020 12:32:37</v>
      </c>
      <c r="B7945" t="str">
        <f>"0000802957"</f>
        <v>0000802957</v>
      </c>
      <c r="C7945" t="str">
        <f t="shared" si="3236"/>
        <v>0000802948</v>
      </c>
      <c r="D7945" t="str">
        <f t="shared" si="3239"/>
        <v>73185</v>
      </c>
      <c r="E7945" t="str">
        <f t="shared" si="3240"/>
        <v>KFH-OPERATIONS DEPARTMENT</v>
      </c>
      <c r="F7945" t="str">
        <f t="shared" si="3241"/>
        <v>IBG</v>
      </c>
      <c r="G7945" t="str">
        <f t="shared" si="3227"/>
        <v>Refund COSHARE 10</v>
      </c>
      <c r="H7945" s="2">
        <v>377.8</v>
      </c>
      <c r="I7945" t="str">
        <f>"NORHADAH ROSMARY BINTI MOHAMAD TIMHAL"</f>
        <v>NORHADAH ROSMARY BINTI MOHAMAD TIMHAL</v>
      </c>
      <c r="J7945" t="str">
        <f t="shared" si="3230"/>
        <v>BANK KERJASAMA RAKYAT</v>
      </c>
      <c r="K7945" t="str">
        <f>"220531466233"</f>
        <v>220531466233</v>
      </c>
      <c r="L7945" t="str">
        <f t="shared" si="3237"/>
        <v>04-08-2020</v>
      </c>
      <c r="M7945" t="str">
        <f t="shared" si="3237"/>
        <v>04-08-2020</v>
      </c>
      <c r="N7945" t="str">
        <f t="shared" si="3242"/>
        <v>001105018356</v>
      </c>
      <c r="O7945" t="str">
        <f t="shared" si="3243"/>
        <v>MYR</v>
      </c>
      <c r="P7945" t="str">
        <f t="shared" si="3238"/>
        <v>NIL</v>
      </c>
      <c r="Q7945" t="str">
        <f t="shared" si="3238"/>
        <v>NIL</v>
      </c>
      <c r="R7945" t="str">
        <f t="shared" si="3231"/>
        <v>Accepted</v>
      </c>
      <c r="S7945" t="str">
        <f t="shared" si="3244"/>
        <v>Approved</v>
      </c>
      <c r="T7945" t="str">
        <f t="shared" si="3232"/>
        <v>10.20.8.188</v>
      </c>
      <c r="U7945" t="str">
        <f t="shared" si="3245"/>
        <v>AZRAD UMAR BIN SHAARI</v>
      </c>
      <c r="V7945" t="str">
        <f t="shared" si="3246"/>
        <v>FARHANA BINTI MUSTAPA</v>
      </c>
      <c r="W7945" t="str">
        <f t="shared" si="3247"/>
        <v>04-08-2020</v>
      </c>
      <c r="X7945" t="str">
        <f t="shared" si="3248"/>
        <v>RAZIMAH ANSAR AHMAD</v>
      </c>
      <c r="Y7945" t="str">
        <f t="shared" si="3249"/>
        <v>04-08-2020</v>
      </c>
      <c r="Z7945" t="str">
        <f>"COS10200804 1209"</f>
        <v>COS10200804 1209</v>
      </c>
    </row>
    <row r="7946" spans="1:26" x14ac:dyDescent="0.25">
      <c r="A7946" t="str">
        <f t="shared" ref="A7946:A7953" si="3250">"04-08-2020 12:32:37"</f>
        <v>04-08-2020 12:32:37</v>
      </c>
      <c r="B7946" t="str">
        <f>"0000802956"</f>
        <v>0000802956</v>
      </c>
      <c r="C7946" t="str">
        <f t="shared" ref="C7946:C7953" si="3251">"0000802948"</f>
        <v>0000802948</v>
      </c>
      <c r="D7946" t="str">
        <f t="shared" si="3239"/>
        <v>73185</v>
      </c>
      <c r="E7946" t="str">
        <f t="shared" si="3240"/>
        <v>KFH-OPERATIONS DEPARTMENT</v>
      </c>
      <c r="F7946" t="str">
        <f t="shared" si="3241"/>
        <v>IBG</v>
      </c>
      <c r="G7946" t="str">
        <f t="shared" si="3227"/>
        <v>Refund COSHARE 10</v>
      </c>
      <c r="H7946" s="2">
        <v>134.35</v>
      </c>
      <c r="I7946" t="str">
        <f>"NORDIANNA BINTI SANIM"</f>
        <v>NORDIANNA BINTI SANIM</v>
      </c>
      <c r="J7946" t="str">
        <f t="shared" si="3230"/>
        <v>BANK KERJASAMA RAKYAT</v>
      </c>
      <c r="K7946" t="str">
        <f>"220331292044"</f>
        <v>220331292044</v>
      </c>
      <c r="L7946" t="str">
        <f t="shared" si="3237"/>
        <v>04-08-2020</v>
      </c>
      <c r="M7946" t="str">
        <f t="shared" si="3237"/>
        <v>04-08-2020</v>
      </c>
      <c r="N7946" t="str">
        <f t="shared" si="3242"/>
        <v>001105018356</v>
      </c>
      <c r="O7946" t="str">
        <f t="shared" si="3243"/>
        <v>MYR</v>
      </c>
      <c r="P7946" t="str">
        <f t="shared" si="3238"/>
        <v>NIL</v>
      </c>
      <c r="Q7946" t="str">
        <f t="shared" si="3238"/>
        <v>NIL</v>
      </c>
      <c r="R7946" t="str">
        <f t="shared" si="3231"/>
        <v>Accepted</v>
      </c>
      <c r="S7946" t="str">
        <f t="shared" si="3244"/>
        <v>Approved</v>
      </c>
      <c r="T7946" t="str">
        <f t="shared" si="3232"/>
        <v>10.20.8.188</v>
      </c>
      <c r="U7946" t="str">
        <f t="shared" si="3245"/>
        <v>AZRAD UMAR BIN SHAARI</v>
      </c>
      <c r="V7946" t="str">
        <f t="shared" si="3246"/>
        <v>FARHANA BINTI MUSTAPA</v>
      </c>
      <c r="W7946" t="str">
        <f t="shared" si="3247"/>
        <v>04-08-2020</v>
      </c>
      <c r="X7946" t="str">
        <f t="shared" si="3248"/>
        <v>RAZIMAH ANSAR AHMAD</v>
      </c>
      <c r="Y7946" t="str">
        <f t="shared" si="3249"/>
        <v>04-08-2020</v>
      </c>
      <c r="Z7946" t="str">
        <f>"COS10200804 1208"</f>
        <v>COS10200804 1208</v>
      </c>
    </row>
    <row r="7947" spans="1:26" x14ac:dyDescent="0.25">
      <c r="A7947" t="str">
        <f t="shared" si="3250"/>
        <v>04-08-2020 12:32:37</v>
      </c>
      <c r="B7947" t="str">
        <f>"0000802955"</f>
        <v>0000802955</v>
      </c>
      <c r="C7947" t="str">
        <f t="shared" si="3251"/>
        <v>0000802948</v>
      </c>
      <c r="D7947" t="str">
        <f t="shared" si="3239"/>
        <v>73185</v>
      </c>
      <c r="E7947" t="str">
        <f t="shared" si="3240"/>
        <v>KFH-OPERATIONS DEPARTMENT</v>
      </c>
      <c r="F7947" t="str">
        <f t="shared" si="3241"/>
        <v>IBG</v>
      </c>
      <c r="G7947" t="str">
        <f t="shared" si="3227"/>
        <v>Refund COSHARE 10</v>
      </c>
      <c r="H7947" s="2">
        <v>344.2</v>
      </c>
      <c r="I7947" t="str">
        <f>"NORDIANA BINTI YAZID"</f>
        <v>NORDIANA BINTI YAZID</v>
      </c>
      <c r="J7947" t="str">
        <f t="shared" si="3230"/>
        <v>BANK KERJASAMA RAKYAT</v>
      </c>
      <c r="K7947" t="str">
        <f>"220163242484"</f>
        <v>220163242484</v>
      </c>
      <c r="L7947" t="str">
        <f t="shared" ref="L7947:M7966" si="3252">"04-08-2020"</f>
        <v>04-08-2020</v>
      </c>
      <c r="M7947" t="str">
        <f t="shared" si="3252"/>
        <v>04-08-2020</v>
      </c>
      <c r="N7947" t="str">
        <f t="shared" si="3242"/>
        <v>001105018356</v>
      </c>
      <c r="O7947" t="str">
        <f t="shared" si="3243"/>
        <v>MYR</v>
      </c>
      <c r="P7947" t="str">
        <f t="shared" ref="P7947:Q7966" si="3253">"NIL"</f>
        <v>NIL</v>
      </c>
      <c r="Q7947" t="str">
        <f t="shared" si="3253"/>
        <v>NIL</v>
      </c>
      <c r="R7947" t="str">
        <f t="shared" si="3231"/>
        <v>Accepted</v>
      </c>
      <c r="S7947" t="str">
        <f t="shared" si="3244"/>
        <v>Approved</v>
      </c>
      <c r="T7947" t="str">
        <f t="shared" si="3232"/>
        <v>10.20.8.188</v>
      </c>
      <c r="U7947" t="str">
        <f t="shared" si="3245"/>
        <v>AZRAD UMAR BIN SHAARI</v>
      </c>
      <c r="V7947" t="str">
        <f t="shared" si="3246"/>
        <v>FARHANA BINTI MUSTAPA</v>
      </c>
      <c r="W7947" t="str">
        <f t="shared" si="3247"/>
        <v>04-08-2020</v>
      </c>
      <c r="X7947" t="str">
        <f t="shared" si="3248"/>
        <v>RAZIMAH ANSAR AHMAD</v>
      </c>
      <c r="Y7947" t="str">
        <f t="shared" si="3249"/>
        <v>04-08-2020</v>
      </c>
      <c r="Z7947" t="str">
        <f>"COS10200804 1207"</f>
        <v>COS10200804 1207</v>
      </c>
    </row>
    <row r="7948" spans="1:26" x14ac:dyDescent="0.25">
      <c r="A7948" t="str">
        <f t="shared" si="3250"/>
        <v>04-08-2020 12:32:37</v>
      </c>
      <c r="B7948" t="str">
        <f>"0000802954"</f>
        <v>0000802954</v>
      </c>
      <c r="C7948" t="str">
        <f t="shared" si="3251"/>
        <v>0000802948</v>
      </c>
      <c r="D7948" t="str">
        <f t="shared" si="3239"/>
        <v>73185</v>
      </c>
      <c r="E7948" t="str">
        <f t="shared" si="3240"/>
        <v>KFH-OPERATIONS DEPARTMENT</v>
      </c>
      <c r="F7948" t="str">
        <f t="shared" si="3241"/>
        <v>IBG</v>
      </c>
      <c r="G7948" t="str">
        <f t="shared" ref="G7948:G8011" si="3254">"Refund COSHARE 10"</f>
        <v>Refund COSHARE 10</v>
      </c>
      <c r="H7948" s="2">
        <v>1649.85</v>
      </c>
      <c r="I7948" t="str">
        <f>"NORAZMI BIN YAAKOB"</f>
        <v>NORAZMI BIN YAAKOB</v>
      </c>
      <c r="J7948" t="str">
        <f t="shared" si="3230"/>
        <v>BANK KERJASAMA RAKYAT</v>
      </c>
      <c r="K7948" t="str">
        <f>"220531057951"</f>
        <v>220531057951</v>
      </c>
      <c r="L7948" t="str">
        <f t="shared" si="3252"/>
        <v>04-08-2020</v>
      </c>
      <c r="M7948" t="str">
        <f t="shared" si="3252"/>
        <v>04-08-2020</v>
      </c>
      <c r="N7948" t="str">
        <f t="shared" si="3242"/>
        <v>001105018356</v>
      </c>
      <c r="O7948" t="str">
        <f t="shared" si="3243"/>
        <v>MYR</v>
      </c>
      <c r="P7948" t="str">
        <f t="shared" si="3253"/>
        <v>NIL</v>
      </c>
      <c r="Q7948" t="str">
        <f t="shared" si="3253"/>
        <v>NIL</v>
      </c>
      <c r="R7948" t="str">
        <f t="shared" si="3231"/>
        <v>Accepted</v>
      </c>
      <c r="S7948" t="str">
        <f t="shared" si="3244"/>
        <v>Approved</v>
      </c>
      <c r="T7948" t="str">
        <f t="shared" si="3232"/>
        <v>10.20.8.188</v>
      </c>
      <c r="U7948" t="str">
        <f t="shared" si="3245"/>
        <v>AZRAD UMAR BIN SHAARI</v>
      </c>
      <c r="V7948" t="str">
        <f t="shared" si="3246"/>
        <v>FARHANA BINTI MUSTAPA</v>
      </c>
      <c r="W7948" t="str">
        <f t="shared" si="3247"/>
        <v>04-08-2020</v>
      </c>
      <c r="X7948" t="str">
        <f t="shared" si="3248"/>
        <v>RAZIMAH ANSAR AHMAD</v>
      </c>
      <c r="Y7948" t="str">
        <f t="shared" si="3249"/>
        <v>04-08-2020</v>
      </c>
      <c r="Z7948" t="str">
        <f>"COS10200804 1206"</f>
        <v>COS10200804 1206</v>
      </c>
    </row>
    <row r="7949" spans="1:26" x14ac:dyDescent="0.25">
      <c r="A7949" t="str">
        <f t="shared" si="3250"/>
        <v>04-08-2020 12:32:37</v>
      </c>
      <c r="B7949" t="str">
        <f>"0000802953"</f>
        <v>0000802953</v>
      </c>
      <c r="C7949" t="str">
        <f t="shared" si="3251"/>
        <v>0000802948</v>
      </c>
      <c r="D7949" t="str">
        <f t="shared" si="3239"/>
        <v>73185</v>
      </c>
      <c r="E7949" t="str">
        <f t="shared" si="3240"/>
        <v>KFH-OPERATIONS DEPARTMENT</v>
      </c>
      <c r="F7949" t="str">
        <f t="shared" si="3241"/>
        <v>IBG</v>
      </c>
      <c r="G7949" t="str">
        <f t="shared" si="3254"/>
        <v>Refund COSHARE 10</v>
      </c>
      <c r="H7949" s="2">
        <v>67.2</v>
      </c>
      <c r="I7949" t="str">
        <f>"NORAZLINA BINTI ABDUL AZIZ"</f>
        <v>NORAZLINA BINTI ABDUL AZIZ</v>
      </c>
      <c r="J7949" t="str">
        <f t="shared" si="3230"/>
        <v>BANK KERJASAMA RAKYAT</v>
      </c>
      <c r="K7949" t="str">
        <f>"220491215593"</f>
        <v>220491215593</v>
      </c>
      <c r="L7949" t="str">
        <f t="shared" si="3252"/>
        <v>04-08-2020</v>
      </c>
      <c r="M7949" t="str">
        <f t="shared" si="3252"/>
        <v>04-08-2020</v>
      </c>
      <c r="N7949" t="str">
        <f t="shared" si="3242"/>
        <v>001105018356</v>
      </c>
      <c r="O7949" t="str">
        <f t="shared" si="3243"/>
        <v>MYR</v>
      </c>
      <c r="P7949" t="str">
        <f t="shared" si="3253"/>
        <v>NIL</v>
      </c>
      <c r="Q7949" t="str">
        <f t="shared" si="3253"/>
        <v>NIL</v>
      </c>
      <c r="R7949" t="str">
        <f t="shared" si="3231"/>
        <v>Accepted</v>
      </c>
      <c r="S7949" t="str">
        <f t="shared" si="3244"/>
        <v>Approved</v>
      </c>
      <c r="T7949" t="str">
        <f t="shared" si="3232"/>
        <v>10.20.8.188</v>
      </c>
      <c r="U7949" t="str">
        <f t="shared" si="3245"/>
        <v>AZRAD UMAR BIN SHAARI</v>
      </c>
      <c r="V7949" t="str">
        <f t="shared" si="3246"/>
        <v>FARHANA BINTI MUSTAPA</v>
      </c>
      <c r="W7949" t="str">
        <f t="shared" si="3247"/>
        <v>04-08-2020</v>
      </c>
      <c r="X7949" t="str">
        <f t="shared" si="3248"/>
        <v>RAZIMAH ANSAR AHMAD</v>
      </c>
      <c r="Y7949" t="str">
        <f t="shared" si="3249"/>
        <v>04-08-2020</v>
      </c>
      <c r="Z7949" t="str">
        <f>"COS10200804 1205"</f>
        <v>COS10200804 1205</v>
      </c>
    </row>
    <row r="7950" spans="1:26" x14ac:dyDescent="0.25">
      <c r="A7950" t="str">
        <f t="shared" si="3250"/>
        <v>04-08-2020 12:32:37</v>
      </c>
      <c r="B7950" t="str">
        <f>"0000802952"</f>
        <v>0000802952</v>
      </c>
      <c r="C7950" t="str">
        <f t="shared" si="3251"/>
        <v>0000802948</v>
      </c>
      <c r="D7950" t="str">
        <f t="shared" si="3239"/>
        <v>73185</v>
      </c>
      <c r="E7950" t="str">
        <f t="shared" si="3240"/>
        <v>KFH-OPERATIONS DEPARTMENT</v>
      </c>
      <c r="F7950" t="str">
        <f t="shared" si="3241"/>
        <v>IBG</v>
      </c>
      <c r="G7950" t="str">
        <f t="shared" si="3254"/>
        <v>Refund COSHARE 10</v>
      </c>
      <c r="H7950" s="2">
        <v>84</v>
      </c>
      <c r="I7950" t="str">
        <f>"NORAZLIN BINTI AZLAN"</f>
        <v>NORAZLIN BINTI AZLAN</v>
      </c>
      <c r="J7950" t="str">
        <f t="shared" si="3230"/>
        <v>BANK KERJASAMA RAKYAT</v>
      </c>
      <c r="K7950" t="str">
        <f>"220721065181"</f>
        <v>220721065181</v>
      </c>
      <c r="L7950" t="str">
        <f t="shared" si="3252"/>
        <v>04-08-2020</v>
      </c>
      <c r="M7950" t="str">
        <f t="shared" si="3252"/>
        <v>04-08-2020</v>
      </c>
      <c r="N7950" t="str">
        <f t="shared" si="3242"/>
        <v>001105018356</v>
      </c>
      <c r="O7950" t="str">
        <f t="shared" si="3243"/>
        <v>MYR</v>
      </c>
      <c r="P7950" t="str">
        <f t="shared" si="3253"/>
        <v>NIL</v>
      </c>
      <c r="Q7950" t="str">
        <f t="shared" si="3253"/>
        <v>NIL</v>
      </c>
      <c r="R7950" t="str">
        <f t="shared" si="3231"/>
        <v>Accepted</v>
      </c>
      <c r="S7950" t="str">
        <f t="shared" si="3244"/>
        <v>Approved</v>
      </c>
      <c r="T7950" t="str">
        <f t="shared" si="3232"/>
        <v>10.20.8.188</v>
      </c>
      <c r="U7950" t="str">
        <f t="shared" si="3245"/>
        <v>AZRAD UMAR BIN SHAARI</v>
      </c>
      <c r="V7950" t="str">
        <f t="shared" si="3246"/>
        <v>FARHANA BINTI MUSTAPA</v>
      </c>
      <c r="W7950" t="str">
        <f t="shared" si="3247"/>
        <v>04-08-2020</v>
      </c>
      <c r="X7950" t="str">
        <f t="shared" si="3248"/>
        <v>RAZIMAH ANSAR AHMAD</v>
      </c>
      <c r="Y7950" t="str">
        <f t="shared" si="3249"/>
        <v>04-08-2020</v>
      </c>
      <c r="Z7950" t="str">
        <f>"COS10200804 1204"</f>
        <v>COS10200804 1204</v>
      </c>
    </row>
    <row r="7951" spans="1:26" x14ac:dyDescent="0.25">
      <c r="A7951" t="str">
        <f t="shared" si="3250"/>
        <v>04-08-2020 12:32:37</v>
      </c>
      <c r="B7951" t="str">
        <f>"0000802951"</f>
        <v>0000802951</v>
      </c>
      <c r="C7951" t="str">
        <f t="shared" si="3251"/>
        <v>0000802948</v>
      </c>
      <c r="D7951" t="str">
        <f t="shared" si="3239"/>
        <v>73185</v>
      </c>
      <c r="E7951" t="str">
        <f t="shared" si="3240"/>
        <v>KFH-OPERATIONS DEPARTMENT</v>
      </c>
      <c r="F7951" t="str">
        <f t="shared" si="3241"/>
        <v>IBG</v>
      </c>
      <c r="G7951" t="str">
        <f t="shared" si="3254"/>
        <v>Refund COSHARE 10</v>
      </c>
      <c r="H7951" s="2">
        <v>906.65</v>
      </c>
      <c r="I7951" t="str">
        <f>"NORAZLENA BINTI JEBAR"</f>
        <v>NORAZLENA BINTI JEBAR</v>
      </c>
      <c r="J7951" t="str">
        <f t="shared" si="3230"/>
        <v>BANK KERJASAMA RAKYAT</v>
      </c>
      <c r="K7951" t="str">
        <f>"220541207262"</f>
        <v>220541207262</v>
      </c>
      <c r="L7951" t="str">
        <f t="shared" si="3252"/>
        <v>04-08-2020</v>
      </c>
      <c r="M7951" t="str">
        <f t="shared" si="3252"/>
        <v>04-08-2020</v>
      </c>
      <c r="N7951" t="str">
        <f t="shared" si="3242"/>
        <v>001105018356</v>
      </c>
      <c r="O7951" t="str">
        <f t="shared" si="3243"/>
        <v>MYR</v>
      </c>
      <c r="P7951" t="str">
        <f t="shared" si="3253"/>
        <v>NIL</v>
      </c>
      <c r="Q7951" t="str">
        <f t="shared" si="3253"/>
        <v>NIL</v>
      </c>
      <c r="R7951" t="str">
        <f t="shared" si="3231"/>
        <v>Accepted</v>
      </c>
      <c r="S7951" t="str">
        <f t="shared" si="3244"/>
        <v>Approved</v>
      </c>
      <c r="T7951" t="str">
        <f t="shared" si="3232"/>
        <v>10.20.8.188</v>
      </c>
      <c r="U7951" t="str">
        <f t="shared" si="3245"/>
        <v>AZRAD UMAR BIN SHAARI</v>
      </c>
      <c r="V7951" t="str">
        <f t="shared" si="3246"/>
        <v>FARHANA BINTI MUSTAPA</v>
      </c>
      <c r="W7951" t="str">
        <f t="shared" si="3247"/>
        <v>04-08-2020</v>
      </c>
      <c r="X7951" t="str">
        <f t="shared" si="3248"/>
        <v>RAZIMAH ANSAR AHMAD</v>
      </c>
      <c r="Y7951" t="str">
        <f t="shared" si="3249"/>
        <v>04-08-2020</v>
      </c>
      <c r="Z7951" t="str">
        <f>"COS10200804 1203"</f>
        <v>COS10200804 1203</v>
      </c>
    </row>
    <row r="7952" spans="1:26" x14ac:dyDescent="0.25">
      <c r="A7952" t="str">
        <f t="shared" si="3250"/>
        <v>04-08-2020 12:32:37</v>
      </c>
      <c r="B7952" t="str">
        <f>"0000802950"</f>
        <v>0000802950</v>
      </c>
      <c r="C7952" t="str">
        <f t="shared" si="3251"/>
        <v>0000802948</v>
      </c>
      <c r="D7952" t="str">
        <f t="shared" si="3239"/>
        <v>73185</v>
      </c>
      <c r="E7952" t="str">
        <f t="shared" si="3240"/>
        <v>KFH-OPERATIONS DEPARTMENT</v>
      </c>
      <c r="F7952" t="str">
        <f t="shared" si="3241"/>
        <v>IBG</v>
      </c>
      <c r="G7952" t="str">
        <f t="shared" si="3254"/>
        <v>Refund COSHARE 10</v>
      </c>
      <c r="H7952" s="2">
        <v>1120.5999999999999</v>
      </c>
      <c r="I7952" t="str">
        <f>"NORAZILA BINTI ZAINUDIN"</f>
        <v>NORAZILA BINTI ZAINUDIN</v>
      </c>
      <c r="J7952" t="str">
        <f t="shared" si="3230"/>
        <v>BANK KERJASAMA RAKYAT</v>
      </c>
      <c r="K7952" t="str">
        <f>"221071257054"</f>
        <v>221071257054</v>
      </c>
      <c r="L7952" t="str">
        <f t="shared" si="3252"/>
        <v>04-08-2020</v>
      </c>
      <c r="M7952" t="str">
        <f t="shared" si="3252"/>
        <v>04-08-2020</v>
      </c>
      <c r="N7952" t="str">
        <f t="shared" si="3242"/>
        <v>001105018356</v>
      </c>
      <c r="O7952" t="str">
        <f t="shared" si="3243"/>
        <v>MYR</v>
      </c>
      <c r="P7952" t="str">
        <f t="shared" si="3253"/>
        <v>NIL</v>
      </c>
      <c r="Q7952" t="str">
        <f t="shared" si="3253"/>
        <v>NIL</v>
      </c>
      <c r="R7952" t="str">
        <f t="shared" si="3231"/>
        <v>Accepted</v>
      </c>
      <c r="S7952" t="str">
        <f t="shared" si="3244"/>
        <v>Approved</v>
      </c>
      <c r="T7952" t="str">
        <f t="shared" si="3232"/>
        <v>10.20.8.188</v>
      </c>
      <c r="U7952" t="str">
        <f t="shared" si="3245"/>
        <v>AZRAD UMAR BIN SHAARI</v>
      </c>
      <c r="V7952" t="str">
        <f t="shared" si="3246"/>
        <v>FARHANA BINTI MUSTAPA</v>
      </c>
      <c r="W7952" t="str">
        <f t="shared" si="3247"/>
        <v>04-08-2020</v>
      </c>
      <c r="X7952" t="str">
        <f t="shared" si="3248"/>
        <v>RAZIMAH ANSAR AHMAD</v>
      </c>
      <c r="Y7952" t="str">
        <f t="shared" si="3249"/>
        <v>04-08-2020</v>
      </c>
      <c r="Z7952" t="str">
        <f>"COS10200804 1202"</f>
        <v>COS10200804 1202</v>
      </c>
    </row>
    <row r="7953" spans="1:26" x14ac:dyDescent="0.25">
      <c r="A7953" t="str">
        <f t="shared" si="3250"/>
        <v>04-08-2020 12:32:37</v>
      </c>
      <c r="B7953" t="str">
        <f>"0000802949"</f>
        <v>0000802949</v>
      </c>
      <c r="C7953" t="str">
        <f t="shared" si="3251"/>
        <v>0000802948</v>
      </c>
      <c r="D7953" t="str">
        <f t="shared" si="3239"/>
        <v>73185</v>
      </c>
      <c r="E7953" t="str">
        <f t="shared" si="3240"/>
        <v>KFH-OPERATIONS DEPARTMENT</v>
      </c>
      <c r="F7953" t="str">
        <f t="shared" si="3241"/>
        <v>IBG</v>
      </c>
      <c r="G7953" t="str">
        <f t="shared" si="3254"/>
        <v>Refund COSHARE 10</v>
      </c>
      <c r="H7953" s="2">
        <v>58.8</v>
      </c>
      <c r="I7953" t="str">
        <f>"NORASHIKIN BINTI ABDUL KADER"</f>
        <v>NORASHIKIN BINTI ABDUL KADER</v>
      </c>
      <c r="J7953" t="str">
        <f t="shared" si="3230"/>
        <v>BANK KERJASAMA RAKYAT</v>
      </c>
      <c r="K7953" t="str">
        <f>"220331298715"</f>
        <v>220331298715</v>
      </c>
      <c r="L7953" t="str">
        <f t="shared" si="3252"/>
        <v>04-08-2020</v>
      </c>
      <c r="M7953" t="str">
        <f t="shared" si="3252"/>
        <v>04-08-2020</v>
      </c>
      <c r="N7953" t="str">
        <f t="shared" si="3242"/>
        <v>001105018356</v>
      </c>
      <c r="O7953" t="str">
        <f t="shared" si="3243"/>
        <v>MYR</v>
      </c>
      <c r="P7953" t="str">
        <f t="shared" si="3253"/>
        <v>NIL</v>
      </c>
      <c r="Q7953" t="str">
        <f t="shared" si="3253"/>
        <v>NIL</v>
      </c>
      <c r="R7953" t="str">
        <f t="shared" si="3231"/>
        <v>Accepted</v>
      </c>
      <c r="S7953" t="str">
        <f t="shared" si="3244"/>
        <v>Approved</v>
      </c>
      <c r="T7953" t="str">
        <f t="shared" si="3232"/>
        <v>10.20.8.188</v>
      </c>
      <c r="U7953" t="str">
        <f t="shared" si="3245"/>
        <v>AZRAD UMAR BIN SHAARI</v>
      </c>
      <c r="V7953" t="str">
        <f t="shared" si="3246"/>
        <v>FARHANA BINTI MUSTAPA</v>
      </c>
      <c r="W7953" t="str">
        <f t="shared" si="3247"/>
        <v>04-08-2020</v>
      </c>
      <c r="X7953" t="str">
        <f t="shared" si="3248"/>
        <v>RAZIMAH ANSAR AHMAD</v>
      </c>
      <c r="Y7953" t="str">
        <f t="shared" si="3249"/>
        <v>04-08-2020</v>
      </c>
      <c r="Z7953" t="str">
        <f>"COS10200804 1201"</f>
        <v>COS10200804 1201</v>
      </c>
    </row>
    <row r="7954" spans="1:26" x14ac:dyDescent="0.25">
      <c r="A7954" t="str">
        <f t="shared" ref="A7954:A7985" si="3255">"04-08-2020 12:31:59"</f>
        <v>04-08-2020 12:31:59</v>
      </c>
      <c r="B7954" t="str">
        <f>"0000802947"</f>
        <v>0000802947</v>
      </c>
      <c r="C7954" t="str">
        <f t="shared" ref="C7954:C7985" si="3256">"0000802747"</f>
        <v>0000802747</v>
      </c>
      <c r="D7954" t="str">
        <f t="shared" si="3239"/>
        <v>73185</v>
      </c>
      <c r="E7954" t="str">
        <f t="shared" si="3240"/>
        <v>KFH-OPERATIONS DEPARTMENT</v>
      </c>
      <c r="F7954" t="str">
        <f t="shared" si="3241"/>
        <v>IBG</v>
      </c>
      <c r="G7954" t="str">
        <f t="shared" si="3254"/>
        <v>Refund COSHARE 10</v>
      </c>
      <c r="H7954" s="2">
        <v>1002</v>
      </c>
      <c r="I7954" t="str">
        <f>"NORAIZUM BINTI BAHARI"</f>
        <v>NORAIZUM BINTI BAHARI</v>
      </c>
      <c r="J7954" t="str">
        <f t="shared" si="3230"/>
        <v>BANK KERJASAMA RAKYAT</v>
      </c>
      <c r="K7954" t="str">
        <f>"221401069821"</f>
        <v>221401069821</v>
      </c>
      <c r="L7954" t="str">
        <f t="shared" si="3252"/>
        <v>04-08-2020</v>
      </c>
      <c r="M7954" t="str">
        <f t="shared" si="3252"/>
        <v>04-08-2020</v>
      </c>
      <c r="N7954" t="str">
        <f t="shared" si="3242"/>
        <v>001105018356</v>
      </c>
      <c r="O7954" t="str">
        <f t="shared" si="3243"/>
        <v>MYR</v>
      </c>
      <c r="P7954" t="str">
        <f t="shared" si="3253"/>
        <v>NIL</v>
      </c>
      <c r="Q7954" t="str">
        <f t="shared" si="3253"/>
        <v>NIL</v>
      </c>
      <c r="R7954" t="str">
        <f t="shared" si="3231"/>
        <v>Accepted</v>
      </c>
      <c r="S7954" t="str">
        <f t="shared" si="3244"/>
        <v>Approved</v>
      </c>
      <c r="T7954" t="str">
        <f t="shared" si="3232"/>
        <v>10.20.8.188</v>
      </c>
      <c r="U7954" t="str">
        <f t="shared" si="3245"/>
        <v>AZRAD UMAR BIN SHAARI</v>
      </c>
      <c r="V7954" t="str">
        <f t="shared" si="3246"/>
        <v>FARHANA BINTI MUSTAPA</v>
      </c>
      <c r="W7954" t="str">
        <f t="shared" si="3247"/>
        <v>04-08-2020</v>
      </c>
      <c r="X7954" t="str">
        <f t="shared" si="3248"/>
        <v>RAZIMAH ANSAR AHMAD</v>
      </c>
      <c r="Y7954" t="str">
        <f t="shared" si="3249"/>
        <v>04-08-2020</v>
      </c>
      <c r="Z7954" t="str">
        <f>"COS10200804 1200"</f>
        <v>COS10200804 1200</v>
      </c>
    </row>
    <row r="7955" spans="1:26" x14ac:dyDescent="0.25">
      <c r="A7955" t="str">
        <f t="shared" si="3255"/>
        <v>04-08-2020 12:31:59</v>
      </c>
      <c r="B7955" t="str">
        <f>"0000802946"</f>
        <v>0000802946</v>
      </c>
      <c r="C7955" t="str">
        <f t="shared" si="3256"/>
        <v>0000802747</v>
      </c>
      <c r="D7955" t="str">
        <f t="shared" si="3239"/>
        <v>73185</v>
      </c>
      <c r="E7955" t="str">
        <f t="shared" si="3240"/>
        <v>KFH-OPERATIONS DEPARTMENT</v>
      </c>
      <c r="F7955" t="str">
        <f t="shared" si="3241"/>
        <v>IBG</v>
      </c>
      <c r="G7955" t="str">
        <f t="shared" si="3254"/>
        <v>Refund COSHARE 10</v>
      </c>
      <c r="H7955" s="2">
        <v>125.95</v>
      </c>
      <c r="I7955" t="str">
        <f>"NORA BINTI AMIR"</f>
        <v>NORA BINTI AMIR</v>
      </c>
      <c r="J7955" t="str">
        <f t="shared" si="3230"/>
        <v>BANK KERJASAMA RAKYAT</v>
      </c>
      <c r="K7955" t="str">
        <f>"220661217053"</f>
        <v>220661217053</v>
      </c>
      <c r="L7955" t="str">
        <f t="shared" si="3252"/>
        <v>04-08-2020</v>
      </c>
      <c r="M7955" t="str">
        <f t="shared" si="3252"/>
        <v>04-08-2020</v>
      </c>
      <c r="N7955" t="str">
        <f t="shared" si="3242"/>
        <v>001105018356</v>
      </c>
      <c r="O7955" t="str">
        <f t="shared" si="3243"/>
        <v>MYR</v>
      </c>
      <c r="P7955" t="str">
        <f t="shared" si="3253"/>
        <v>NIL</v>
      </c>
      <c r="Q7955" t="str">
        <f t="shared" si="3253"/>
        <v>NIL</v>
      </c>
      <c r="R7955" t="str">
        <f t="shared" si="3231"/>
        <v>Accepted</v>
      </c>
      <c r="S7955" t="str">
        <f t="shared" si="3244"/>
        <v>Approved</v>
      </c>
      <c r="T7955" t="str">
        <f t="shared" si="3232"/>
        <v>10.20.8.188</v>
      </c>
      <c r="U7955" t="str">
        <f t="shared" si="3245"/>
        <v>AZRAD UMAR BIN SHAARI</v>
      </c>
      <c r="V7955" t="str">
        <f t="shared" si="3246"/>
        <v>FARHANA BINTI MUSTAPA</v>
      </c>
      <c r="W7955" t="str">
        <f t="shared" si="3247"/>
        <v>04-08-2020</v>
      </c>
      <c r="X7955" t="str">
        <f t="shared" si="3248"/>
        <v>RAZIMAH ANSAR AHMAD</v>
      </c>
      <c r="Y7955" t="str">
        <f t="shared" si="3249"/>
        <v>04-08-2020</v>
      </c>
      <c r="Z7955" t="str">
        <f>"COS10200804 1199"</f>
        <v>COS10200804 1199</v>
      </c>
    </row>
    <row r="7956" spans="1:26" x14ac:dyDescent="0.25">
      <c r="A7956" t="str">
        <f t="shared" si="3255"/>
        <v>04-08-2020 12:31:59</v>
      </c>
      <c r="B7956" t="str">
        <f>"0000802945"</f>
        <v>0000802945</v>
      </c>
      <c r="C7956" t="str">
        <f t="shared" si="3256"/>
        <v>0000802747</v>
      </c>
      <c r="D7956" t="str">
        <f t="shared" si="3239"/>
        <v>73185</v>
      </c>
      <c r="E7956" t="str">
        <f t="shared" si="3240"/>
        <v>KFH-OPERATIONS DEPARTMENT</v>
      </c>
      <c r="F7956" t="str">
        <f t="shared" si="3241"/>
        <v>IBG</v>
      </c>
      <c r="G7956" t="str">
        <f t="shared" si="3254"/>
        <v>Refund COSHARE 10</v>
      </c>
      <c r="H7956" s="2">
        <v>563</v>
      </c>
      <c r="I7956" t="str">
        <f>"NOR ZURAIDA BINTI MUSTAPHA"</f>
        <v>NOR ZURAIDA BINTI MUSTAPHA</v>
      </c>
      <c r="J7956" t="str">
        <f t="shared" si="3230"/>
        <v>BANK KERJASAMA RAKYAT</v>
      </c>
      <c r="K7956" t="str">
        <f>"221041045635"</f>
        <v>221041045635</v>
      </c>
      <c r="L7956" t="str">
        <f t="shared" si="3252"/>
        <v>04-08-2020</v>
      </c>
      <c r="M7956" t="str">
        <f t="shared" si="3252"/>
        <v>04-08-2020</v>
      </c>
      <c r="N7956" t="str">
        <f t="shared" si="3242"/>
        <v>001105018356</v>
      </c>
      <c r="O7956" t="str">
        <f t="shared" si="3243"/>
        <v>MYR</v>
      </c>
      <c r="P7956" t="str">
        <f t="shared" si="3253"/>
        <v>NIL</v>
      </c>
      <c r="Q7956" t="str">
        <f t="shared" si="3253"/>
        <v>NIL</v>
      </c>
      <c r="R7956" t="str">
        <f t="shared" si="3231"/>
        <v>Accepted</v>
      </c>
      <c r="S7956" t="str">
        <f t="shared" si="3244"/>
        <v>Approved</v>
      </c>
      <c r="T7956" t="str">
        <f t="shared" si="3232"/>
        <v>10.20.8.188</v>
      </c>
      <c r="U7956" t="str">
        <f t="shared" si="3245"/>
        <v>AZRAD UMAR BIN SHAARI</v>
      </c>
      <c r="V7956" t="str">
        <f t="shared" si="3246"/>
        <v>FARHANA BINTI MUSTAPA</v>
      </c>
      <c r="W7956" t="str">
        <f t="shared" si="3247"/>
        <v>04-08-2020</v>
      </c>
      <c r="X7956" t="str">
        <f t="shared" si="3248"/>
        <v>RAZIMAH ANSAR AHMAD</v>
      </c>
      <c r="Y7956" t="str">
        <f t="shared" si="3249"/>
        <v>04-08-2020</v>
      </c>
      <c r="Z7956" t="str">
        <f>"COS10200804 1198"</f>
        <v>COS10200804 1198</v>
      </c>
    </row>
    <row r="7957" spans="1:26" x14ac:dyDescent="0.25">
      <c r="A7957" t="str">
        <f t="shared" si="3255"/>
        <v>04-08-2020 12:31:59</v>
      </c>
      <c r="B7957" t="str">
        <f>"0000802944"</f>
        <v>0000802944</v>
      </c>
      <c r="C7957" t="str">
        <f t="shared" si="3256"/>
        <v>0000802747</v>
      </c>
      <c r="D7957" t="str">
        <f t="shared" si="3239"/>
        <v>73185</v>
      </c>
      <c r="E7957" t="str">
        <f t="shared" si="3240"/>
        <v>KFH-OPERATIONS DEPARTMENT</v>
      </c>
      <c r="F7957" t="str">
        <f t="shared" si="3241"/>
        <v>IBG</v>
      </c>
      <c r="G7957" t="str">
        <f t="shared" si="3254"/>
        <v>Refund COSHARE 10</v>
      </c>
      <c r="H7957" s="2">
        <v>486.95</v>
      </c>
      <c r="I7957" t="str">
        <f>"NOR SUZILA BINTI SARMANI"</f>
        <v>NOR SUZILA BINTI SARMANI</v>
      </c>
      <c r="J7957" t="str">
        <f t="shared" si="3230"/>
        <v>BANK KERJASAMA RAKYAT</v>
      </c>
      <c r="K7957" t="str">
        <f>"220771149981"</f>
        <v>220771149981</v>
      </c>
      <c r="L7957" t="str">
        <f t="shared" si="3252"/>
        <v>04-08-2020</v>
      </c>
      <c r="M7957" t="str">
        <f t="shared" si="3252"/>
        <v>04-08-2020</v>
      </c>
      <c r="N7957" t="str">
        <f t="shared" si="3242"/>
        <v>001105018356</v>
      </c>
      <c r="O7957" t="str">
        <f t="shared" si="3243"/>
        <v>MYR</v>
      </c>
      <c r="P7957" t="str">
        <f t="shared" si="3253"/>
        <v>NIL</v>
      </c>
      <c r="Q7957" t="str">
        <f t="shared" si="3253"/>
        <v>NIL</v>
      </c>
      <c r="R7957" t="str">
        <f t="shared" si="3231"/>
        <v>Accepted</v>
      </c>
      <c r="S7957" t="str">
        <f t="shared" si="3244"/>
        <v>Approved</v>
      </c>
      <c r="T7957" t="str">
        <f t="shared" si="3232"/>
        <v>10.20.8.188</v>
      </c>
      <c r="U7957" t="str">
        <f t="shared" si="3245"/>
        <v>AZRAD UMAR BIN SHAARI</v>
      </c>
      <c r="V7957" t="str">
        <f t="shared" si="3246"/>
        <v>FARHANA BINTI MUSTAPA</v>
      </c>
      <c r="W7957" t="str">
        <f t="shared" si="3247"/>
        <v>04-08-2020</v>
      </c>
      <c r="X7957" t="str">
        <f t="shared" si="3248"/>
        <v>RAZIMAH ANSAR AHMAD</v>
      </c>
      <c r="Y7957" t="str">
        <f t="shared" si="3249"/>
        <v>04-08-2020</v>
      </c>
      <c r="Z7957" t="str">
        <f>"COS10200804 1197"</f>
        <v>COS10200804 1197</v>
      </c>
    </row>
    <row r="7958" spans="1:26" x14ac:dyDescent="0.25">
      <c r="A7958" t="str">
        <f t="shared" si="3255"/>
        <v>04-08-2020 12:31:59</v>
      </c>
      <c r="B7958" t="str">
        <f>"0000802943"</f>
        <v>0000802943</v>
      </c>
      <c r="C7958" t="str">
        <f t="shared" si="3256"/>
        <v>0000802747</v>
      </c>
      <c r="D7958" t="str">
        <f t="shared" si="3239"/>
        <v>73185</v>
      </c>
      <c r="E7958" t="str">
        <f t="shared" si="3240"/>
        <v>KFH-OPERATIONS DEPARTMENT</v>
      </c>
      <c r="F7958" t="str">
        <f t="shared" si="3241"/>
        <v>IBG</v>
      </c>
      <c r="G7958" t="str">
        <f t="shared" si="3254"/>
        <v>Refund COSHARE 10</v>
      </c>
      <c r="H7958" s="2">
        <v>696.8</v>
      </c>
      <c r="I7958" t="str">
        <f>"NOR SAZLIYANA BINTI SAHRUDIN"</f>
        <v>NOR SAZLIYANA BINTI SAHRUDIN</v>
      </c>
      <c r="J7958" t="str">
        <f t="shared" si="3230"/>
        <v>BANK KERJASAMA RAKYAT</v>
      </c>
      <c r="K7958" t="str">
        <f>"220361467791"</f>
        <v>220361467791</v>
      </c>
      <c r="L7958" t="str">
        <f t="shared" si="3252"/>
        <v>04-08-2020</v>
      </c>
      <c r="M7958" t="str">
        <f t="shared" si="3252"/>
        <v>04-08-2020</v>
      </c>
      <c r="N7958" t="str">
        <f t="shared" si="3242"/>
        <v>001105018356</v>
      </c>
      <c r="O7958" t="str">
        <f t="shared" si="3243"/>
        <v>MYR</v>
      </c>
      <c r="P7958" t="str">
        <f t="shared" si="3253"/>
        <v>NIL</v>
      </c>
      <c r="Q7958" t="str">
        <f t="shared" si="3253"/>
        <v>NIL</v>
      </c>
      <c r="R7958" t="str">
        <f t="shared" si="3231"/>
        <v>Accepted</v>
      </c>
      <c r="S7958" t="str">
        <f t="shared" si="3244"/>
        <v>Approved</v>
      </c>
      <c r="T7958" t="str">
        <f t="shared" si="3232"/>
        <v>10.20.8.188</v>
      </c>
      <c r="U7958" t="str">
        <f t="shared" si="3245"/>
        <v>AZRAD UMAR BIN SHAARI</v>
      </c>
      <c r="V7958" t="str">
        <f t="shared" si="3246"/>
        <v>FARHANA BINTI MUSTAPA</v>
      </c>
      <c r="W7958" t="str">
        <f t="shared" si="3247"/>
        <v>04-08-2020</v>
      </c>
      <c r="X7958" t="str">
        <f t="shared" si="3248"/>
        <v>RAZIMAH ANSAR AHMAD</v>
      </c>
      <c r="Y7958" t="str">
        <f t="shared" si="3249"/>
        <v>04-08-2020</v>
      </c>
      <c r="Z7958" t="str">
        <f>"COS10200804 1196"</f>
        <v>COS10200804 1196</v>
      </c>
    </row>
    <row r="7959" spans="1:26" x14ac:dyDescent="0.25">
      <c r="A7959" t="str">
        <f t="shared" si="3255"/>
        <v>04-08-2020 12:31:59</v>
      </c>
      <c r="B7959" t="str">
        <f>"0000802942"</f>
        <v>0000802942</v>
      </c>
      <c r="C7959" t="str">
        <f t="shared" si="3256"/>
        <v>0000802747</v>
      </c>
      <c r="D7959" t="str">
        <f t="shared" si="3239"/>
        <v>73185</v>
      </c>
      <c r="E7959" t="str">
        <f t="shared" si="3240"/>
        <v>KFH-OPERATIONS DEPARTMENT</v>
      </c>
      <c r="F7959" t="str">
        <f t="shared" si="3241"/>
        <v>IBG</v>
      </c>
      <c r="G7959" t="str">
        <f t="shared" si="3254"/>
        <v>Refund COSHARE 10</v>
      </c>
      <c r="H7959" s="2">
        <v>587.65</v>
      </c>
      <c r="I7959" t="str">
        <f>"NOR IMAL AMIZA BINTI MAT HASAN"</f>
        <v>NOR IMAL AMIZA BINTI MAT HASAN</v>
      </c>
      <c r="J7959" t="str">
        <f t="shared" si="3230"/>
        <v>BANK KERJASAMA RAKYAT</v>
      </c>
      <c r="K7959" t="str">
        <f>"220111411939"</f>
        <v>220111411939</v>
      </c>
      <c r="L7959" t="str">
        <f t="shared" si="3252"/>
        <v>04-08-2020</v>
      </c>
      <c r="M7959" t="str">
        <f t="shared" si="3252"/>
        <v>04-08-2020</v>
      </c>
      <c r="N7959" t="str">
        <f t="shared" si="3242"/>
        <v>001105018356</v>
      </c>
      <c r="O7959" t="str">
        <f t="shared" si="3243"/>
        <v>MYR</v>
      </c>
      <c r="P7959" t="str">
        <f t="shared" si="3253"/>
        <v>NIL</v>
      </c>
      <c r="Q7959" t="str">
        <f t="shared" si="3253"/>
        <v>NIL</v>
      </c>
      <c r="R7959" t="str">
        <f t="shared" si="3231"/>
        <v>Accepted</v>
      </c>
      <c r="S7959" t="str">
        <f t="shared" si="3244"/>
        <v>Approved</v>
      </c>
      <c r="T7959" t="str">
        <f t="shared" si="3232"/>
        <v>10.20.8.188</v>
      </c>
      <c r="U7959" t="str">
        <f t="shared" si="3245"/>
        <v>AZRAD UMAR BIN SHAARI</v>
      </c>
      <c r="V7959" t="str">
        <f t="shared" si="3246"/>
        <v>FARHANA BINTI MUSTAPA</v>
      </c>
      <c r="W7959" t="str">
        <f t="shared" si="3247"/>
        <v>04-08-2020</v>
      </c>
      <c r="X7959" t="str">
        <f t="shared" si="3248"/>
        <v>RAZIMAH ANSAR AHMAD</v>
      </c>
      <c r="Y7959" t="str">
        <f t="shared" si="3249"/>
        <v>04-08-2020</v>
      </c>
      <c r="Z7959" t="str">
        <f>"COS10200804 1195"</f>
        <v>COS10200804 1195</v>
      </c>
    </row>
    <row r="7960" spans="1:26" x14ac:dyDescent="0.25">
      <c r="A7960" t="str">
        <f t="shared" si="3255"/>
        <v>04-08-2020 12:31:59</v>
      </c>
      <c r="B7960" t="str">
        <f>"0000802941"</f>
        <v>0000802941</v>
      </c>
      <c r="C7960" t="str">
        <f t="shared" si="3256"/>
        <v>0000802747</v>
      </c>
      <c r="D7960" t="str">
        <f t="shared" si="3239"/>
        <v>73185</v>
      </c>
      <c r="E7960" t="str">
        <f t="shared" si="3240"/>
        <v>KFH-OPERATIONS DEPARTMENT</v>
      </c>
      <c r="F7960" t="str">
        <f t="shared" si="3241"/>
        <v>IBG</v>
      </c>
      <c r="G7960" t="str">
        <f t="shared" si="3254"/>
        <v>Refund COSHARE 10</v>
      </c>
      <c r="H7960" s="2">
        <v>88.45</v>
      </c>
      <c r="I7960" t="str">
        <f>"NOR HAMIZAH BINTI ABD HAMID"</f>
        <v>NOR HAMIZAH BINTI ABD HAMID</v>
      </c>
      <c r="J7960" t="str">
        <f t="shared" si="3230"/>
        <v>BANK KERJASAMA RAKYAT</v>
      </c>
      <c r="K7960" t="str">
        <f>"220791075415"</f>
        <v>220791075415</v>
      </c>
      <c r="L7960" t="str">
        <f t="shared" si="3252"/>
        <v>04-08-2020</v>
      </c>
      <c r="M7960" t="str">
        <f t="shared" si="3252"/>
        <v>04-08-2020</v>
      </c>
      <c r="N7960" t="str">
        <f t="shared" si="3242"/>
        <v>001105018356</v>
      </c>
      <c r="O7960" t="str">
        <f t="shared" si="3243"/>
        <v>MYR</v>
      </c>
      <c r="P7960" t="str">
        <f t="shared" si="3253"/>
        <v>NIL</v>
      </c>
      <c r="Q7960" t="str">
        <f t="shared" si="3253"/>
        <v>NIL</v>
      </c>
      <c r="R7960" t="str">
        <f t="shared" si="3231"/>
        <v>Accepted</v>
      </c>
      <c r="S7960" t="str">
        <f t="shared" si="3244"/>
        <v>Approved</v>
      </c>
      <c r="T7960" t="str">
        <f t="shared" si="3232"/>
        <v>10.20.8.188</v>
      </c>
      <c r="U7960" t="str">
        <f t="shared" si="3245"/>
        <v>AZRAD UMAR BIN SHAARI</v>
      </c>
      <c r="V7960" t="str">
        <f t="shared" si="3246"/>
        <v>FARHANA BINTI MUSTAPA</v>
      </c>
      <c r="W7960" t="str">
        <f t="shared" si="3247"/>
        <v>04-08-2020</v>
      </c>
      <c r="X7960" t="str">
        <f t="shared" si="3248"/>
        <v>RAZIMAH ANSAR AHMAD</v>
      </c>
      <c r="Y7960" t="str">
        <f t="shared" si="3249"/>
        <v>04-08-2020</v>
      </c>
      <c r="Z7960" t="str">
        <f>"COS10200804 1194"</f>
        <v>COS10200804 1194</v>
      </c>
    </row>
    <row r="7961" spans="1:26" x14ac:dyDescent="0.25">
      <c r="A7961" t="str">
        <f t="shared" si="3255"/>
        <v>04-08-2020 12:31:59</v>
      </c>
      <c r="B7961" t="str">
        <f>"0000802940"</f>
        <v>0000802940</v>
      </c>
      <c r="C7961" t="str">
        <f t="shared" si="3256"/>
        <v>0000802747</v>
      </c>
      <c r="D7961" t="str">
        <f t="shared" si="3239"/>
        <v>73185</v>
      </c>
      <c r="E7961" t="str">
        <f t="shared" si="3240"/>
        <v>KFH-OPERATIONS DEPARTMENT</v>
      </c>
      <c r="F7961" t="str">
        <f t="shared" si="3241"/>
        <v>IBG</v>
      </c>
      <c r="G7961" t="str">
        <f t="shared" si="3254"/>
        <v>Refund COSHARE 10</v>
      </c>
      <c r="H7961" s="2">
        <v>112.6</v>
      </c>
      <c r="I7961" t="str">
        <f>"NOR HAMIZAH BINTI ABD HAMID"</f>
        <v>NOR HAMIZAH BINTI ABD HAMID</v>
      </c>
      <c r="J7961" t="str">
        <f t="shared" si="3230"/>
        <v>BANK KERJASAMA RAKYAT</v>
      </c>
      <c r="K7961" t="str">
        <f>"220791075415"</f>
        <v>220791075415</v>
      </c>
      <c r="L7961" t="str">
        <f t="shared" si="3252"/>
        <v>04-08-2020</v>
      </c>
      <c r="M7961" t="str">
        <f t="shared" si="3252"/>
        <v>04-08-2020</v>
      </c>
      <c r="N7961" t="str">
        <f t="shared" si="3242"/>
        <v>001105018356</v>
      </c>
      <c r="O7961" t="str">
        <f t="shared" si="3243"/>
        <v>MYR</v>
      </c>
      <c r="P7961" t="str">
        <f t="shared" si="3253"/>
        <v>NIL</v>
      </c>
      <c r="Q7961" t="str">
        <f t="shared" si="3253"/>
        <v>NIL</v>
      </c>
      <c r="R7961" t="str">
        <f t="shared" si="3231"/>
        <v>Accepted</v>
      </c>
      <c r="S7961" t="str">
        <f t="shared" si="3244"/>
        <v>Approved</v>
      </c>
      <c r="T7961" t="str">
        <f t="shared" si="3232"/>
        <v>10.20.8.188</v>
      </c>
      <c r="U7961" t="str">
        <f t="shared" si="3245"/>
        <v>AZRAD UMAR BIN SHAARI</v>
      </c>
      <c r="V7961" t="str">
        <f t="shared" si="3246"/>
        <v>FARHANA BINTI MUSTAPA</v>
      </c>
      <c r="W7961" t="str">
        <f t="shared" si="3247"/>
        <v>04-08-2020</v>
      </c>
      <c r="X7961" t="str">
        <f t="shared" si="3248"/>
        <v>RAZIMAH ANSAR AHMAD</v>
      </c>
      <c r="Y7961" t="str">
        <f t="shared" si="3249"/>
        <v>04-08-2020</v>
      </c>
      <c r="Z7961" t="str">
        <f>"COS10200804 1193"</f>
        <v>COS10200804 1193</v>
      </c>
    </row>
    <row r="7962" spans="1:26" x14ac:dyDescent="0.25">
      <c r="A7962" t="str">
        <f t="shared" si="3255"/>
        <v>04-08-2020 12:31:59</v>
      </c>
      <c r="B7962" t="str">
        <f>"0000802939"</f>
        <v>0000802939</v>
      </c>
      <c r="C7962" t="str">
        <f t="shared" si="3256"/>
        <v>0000802747</v>
      </c>
      <c r="D7962" t="str">
        <f t="shared" si="3239"/>
        <v>73185</v>
      </c>
      <c r="E7962" t="str">
        <f t="shared" si="3240"/>
        <v>KFH-OPERATIONS DEPARTMENT</v>
      </c>
      <c r="F7962" t="str">
        <f t="shared" si="3241"/>
        <v>IBG</v>
      </c>
      <c r="G7962" t="str">
        <f t="shared" si="3254"/>
        <v>Refund COSHARE 10</v>
      </c>
      <c r="H7962" s="2">
        <v>133.05000000000001</v>
      </c>
      <c r="I7962" t="str">
        <f>"NOR DIWIYANA BINTI MOHAMED NOR"</f>
        <v>NOR DIWIYANA BINTI MOHAMED NOR</v>
      </c>
      <c r="J7962" t="str">
        <f t="shared" si="3230"/>
        <v>BANK KERJASAMA RAKYAT</v>
      </c>
      <c r="K7962" t="str">
        <f>"220211244112"</f>
        <v>220211244112</v>
      </c>
      <c r="L7962" t="str">
        <f t="shared" si="3252"/>
        <v>04-08-2020</v>
      </c>
      <c r="M7962" t="str">
        <f t="shared" si="3252"/>
        <v>04-08-2020</v>
      </c>
      <c r="N7962" t="str">
        <f t="shared" si="3242"/>
        <v>001105018356</v>
      </c>
      <c r="O7962" t="str">
        <f t="shared" si="3243"/>
        <v>MYR</v>
      </c>
      <c r="P7962" t="str">
        <f t="shared" si="3253"/>
        <v>NIL</v>
      </c>
      <c r="Q7962" t="str">
        <f t="shared" si="3253"/>
        <v>NIL</v>
      </c>
      <c r="R7962" t="str">
        <f t="shared" si="3231"/>
        <v>Accepted</v>
      </c>
      <c r="S7962" t="str">
        <f t="shared" si="3244"/>
        <v>Approved</v>
      </c>
      <c r="T7962" t="str">
        <f t="shared" si="3232"/>
        <v>10.20.8.188</v>
      </c>
      <c r="U7962" t="str">
        <f t="shared" si="3245"/>
        <v>AZRAD UMAR BIN SHAARI</v>
      </c>
      <c r="V7962" t="str">
        <f t="shared" si="3246"/>
        <v>FARHANA BINTI MUSTAPA</v>
      </c>
      <c r="W7962" t="str">
        <f t="shared" si="3247"/>
        <v>04-08-2020</v>
      </c>
      <c r="X7962" t="str">
        <f t="shared" si="3248"/>
        <v>RAZIMAH ANSAR AHMAD</v>
      </c>
      <c r="Y7962" t="str">
        <f t="shared" si="3249"/>
        <v>04-08-2020</v>
      </c>
      <c r="Z7962" t="str">
        <f>"COS10200804 1192"</f>
        <v>COS10200804 1192</v>
      </c>
    </row>
    <row r="7963" spans="1:26" x14ac:dyDescent="0.25">
      <c r="A7963" t="str">
        <f t="shared" si="3255"/>
        <v>04-08-2020 12:31:59</v>
      </c>
      <c r="B7963" t="str">
        <f>"0000802938"</f>
        <v>0000802938</v>
      </c>
      <c r="C7963" t="str">
        <f t="shared" si="3256"/>
        <v>0000802747</v>
      </c>
      <c r="D7963" t="str">
        <f t="shared" si="3239"/>
        <v>73185</v>
      </c>
      <c r="E7963" t="str">
        <f t="shared" si="3240"/>
        <v>KFH-OPERATIONS DEPARTMENT</v>
      </c>
      <c r="F7963" t="str">
        <f t="shared" si="3241"/>
        <v>IBG</v>
      </c>
      <c r="G7963" t="str">
        <f t="shared" si="3254"/>
        <v>Refund COSHARE 10</v>
      </c>
      <c r="H7963" s="2">
        <v>960.75</v>
      </c>
      <c r="I7963" t="str">
        <f>"NOR AZURA BINTI A RIFIN"</f>
        <v>NOR AZURA BINTI A RIFIN</v>
      </c>
      <c r="J7963" t="str">
        <f t="shared" si="3230"/>
        <v>BANK KERJASAMA RAKYAT</v>
      </c>
      <c r="K7963" t="str">
        <f>"221051026099"</f>
        <v>221051026099</v>
      </c>
      <c r="L7963" t="str">
        <f t="shared" si="3252"/>
        <v>04-08-2020</v>
      </c>
      <c r="M7963" t="str">
        <f t="shared" si="3252"/>
        <v>04-08-2020</v>
      </c>
      <c r="N7963" t="str">
        <f t="shared" si="3242"/>
        <v>001105018356</v>
      </c>
      <c r="O7963" t="str">
        <f t="shared" si="3243"/>
        <v>MYR</v>
      </c>
      <c r="P7963" t="str">
        <f t="shared" si="3253"/>
        <v>NIL</v>
      </c>
      <c r="Q7963" t="str">
        <f t="shared" si="3253"/>
        <v>NIL</v>
      </c>
      <c r="R7963" t="str">
        <f t="shared" si="3231"/>
        <v>Accepted</v>
      </c>
      <c r="S7963" t="str">
        <f t="shared" si="3244"/>
        <v>Approved</v>
      </c>
      <c r="T7963" t="str">
        <f t="shared" si="3232"/>
        <v>10.20.8.188</v>
      </c>
      <c r="U7963" t="str">
        <f t="shared" si="3245"/>
        <v>AZRAD UMAR BIN SHAARI</v>
      </c>
      <c r="V7963" t="str">
        <f t="shared" si="3246"/>
        <v>FARHANA BINTI MUSTAPA</v>
      </c>
      <c r="W7963" t="str">
        <f t="shared" si="3247"/>
        <v>04-08-2020</v>
      </c>
      <c r="X7963" t="str">
        <f t="shared" si="3248"/>
        <v>RAZIMAH ANSAR AHMAD</v>
      </c>
      <c r="Y7963" t="str">
        <f t="shared" si="3249"/>
        <v>04-08-2020</v>
      </c>
      <c r="Z7963" t="str">
        <f>"COS10200804 1191"</f>
        <v>COS10200804 1191</v>
      </c>
    </row>
    <row r="7964" spans="1:26" x14ac:dyDescent="0.25">
      <c r="A7964" t="str">
        <f t="shared" si="3255"/>
        <v>04-08-2020 12:31:59</v>
      </c>
      <c r="B7964" t="str">
        <f>"0000802937"</f>
        <v>0000802937</v>
      </c>
      <c r="C7964" t="str">
        <f t="shared" si="3256"/>
        <v>0000802747</v>
      </c>
      <c r="D7964" t="str">
        <f t="shared" si="3239"/>
        <v>73185</v>
      </c>
      <c r="E7964" t="str">
        <f t="shared" si="3240"/>
        <v>KFH-OPERATIONS DEPARTMENT</v>
      </c>
      <c r="F7964" t="str">
        <f t="shared" si="3241"/>
        <v>IBG</v>
      </c>
      <c r="G7964" t="str">
        <f t="shared" si="3254"/>
        <v>Refund COSHARE 10</v>
      </c>
      <c r="H7964" s="2">
        <v>134</v>
      </c>
      <c r="I7964" t="str">
        <f>"NOR AZLINA BINTI MUDA"</f>
        <v>NOR AZLINA BINTI MUDA</v>
      </c>
      <c r="J7964" t="str">
        <f t="shared" si="3230"/>
        <v>BANK KERJASAMA RAKYAT</v>
      </c>
      <c r="K7964" t="str">
        <f>"220941057670"</f>
        <v>220941057670</v>
      </c>
      <c r="L7964" t="str">
        <f t="shared" si="3252"/>
        <v>04-08-2020</v>
      </c>
      <c r="M7964" t="str">
        <f t="shared" si="3252"/>
        <v>04-08-2020</v>
      </c>
      <c r="N7964" t="str">
        <f t="shared" si="3242"/>
        <v>001105018356</v>
      </c>
      <c r="O7964" t="str">
        <f t="shared" si="3243"/>
        <v>MYR</v>
      </c>
      <c r="P7964" t="str">
        <f t="shared" si="3253"/>
        <v>NIL</v>
      </c>
      <c r="Q7964" t="str">
        <f t="shared" si="3253"/>
        <v>NIL</v>
      </c>
      <c r="R7964" t="str">
        <f t="shared" si="3231"/>
        <v>Accepted</v>
      </c>
      <c r="S7964" t="str">
        <f t="shared" si="3244"/>
        <v>Approved</v>
      </c>
      <c r="T7964" t="str">
        <f t="shared" si="3232"/>
        <v>10.20.8.188</v>
      </c>
      <c r="U7964" t="str">
        <f t="shared" si="3245"/>
        <v>AZRAD UMAR BIN SHAARI</v>
      </c>
      <c r="V7964" t="str">
        <f t="shared" si="3246"/>
        <v>FARHANA BINTI MUSTAPA</v>
      </c>
      <c r="W7964" t="str">
        <f t="shared" si="3247"/>
        <v>04-08-2020</v>
      </c>
      <c r="X7964" t="str">
        <f t="shared" si="3248"/>
        <v>RAZIMAH ANSAR AHMAD</v>
      </c>
      <c r="Y7964" t="str">
        <f t="shared" si="3249"/>
        <v>04-08-2020</v>
      </c>
      <c r="Z7964" t="str">
        <f>"COS10200804 1190"</f>
        <v>COS10200804 1190</v>
      </c>
    </row>
    <row r="7965" spans="1:26" x14ac:dyDescent="0.25">
      <c r="A7965" t="str">
        <f t="shared" si="3255"/>
        <v>04-08-2020 12:31:59</v>
      </c>
      <c r="B7965" t="str">
        <f>"0000802936"</f>
        <v>0000802936</v>
      </c>
      <c r="C7965" t="str">
        <f t="shared" si="3256"/>
        <v>0000802747</v>
      </c>
      <c r="D7965" t="str">
        <f t="shared" si="3239"/>
        <v>73185</v>
      </c>
      <c r="E7965" t="str">
        <f t="shared" si="3240"/>
        <v>KFH-OPERATIONS DEPARTMENT</v>
      </c>
      <c r="F7965" t="str">
        <f t="shared" si="3241"/>
        <v>IBG</v>
      </c>
      <c r="G7965" t="str">
        <f t="shared" si="3254"/>
        <v>Refund COSHARE 10</v>
      </c>
      <c r="H7965" s="2">
        <v>134.35</v>
      </c>
      <c r="I7965" t="str">
        <f>"NOR ALIDA BINTI MOHAMAD ALIB"</f>
        <v>NOR ALIDA BINTI MOHAMAD ALIB</v>
      </c>
      <c r="J7965" t="str">
        <f t="shared" si="3230"/>
        <v>BANK KERJASAMA RAKYAT</v>
      </c>
      <c r="K7965" t="str">
        <f>"220061233792"</f>
        <v>220061233792</v>
      </c>
      <c r="L7965" t="str">
        <f t="shared" si="3252"/>
        <v>04-08-2020</v>
      </c>
      <c r="M7965" t="str">
        <f t="shared" si="3252"/>
        <v>04-08-2020</v>
      </c>
      <c r="N7965" t="str">
        <f t="shared" si="3242"/>
        <v>001105018356</v>
      </c>
      <c r="O7965" t="str">
        <f t="shared" si="3243"/>
        <v>MYR</v>
      </c>
      <c r="P7965" t="str">
        <f t="shared" si="3253"/>
        <v>NIL</v>
      </c>
      <c r="Q7965" t="str">
        <f t="shared" si="3253"/>
        <v>NIL</v>
      </c>
      <c r="R7965" t="str">
        <f t="shared" si="3231"/>
        <v>Accepted</v>
      </c>
      <c r="S7965" t="str">
        <f t="shared" si="3244"/>
        <v>Approved</v>
      </c>
      <c r="T7965" t="str">
        <f t="shared" si="3232"/>
        <v>10.20.8.188</v>
      </c>
      <c r="U7965" t="str">
        <f t="shared" si="3245"/>
        <v>AZRAD UMAR BIN SHAARI</v>
      </c>
      <c r="V7965" t="str">
        <f t="shared" si="3246"/>
        <v>FARHANA BINTI MUSTAPA</v>
      </c>
      <c r="W7965" t="str">
        <f t="shared" si="3247"/>
        <v>04-08-2020</v>
      </c>
      <c r="X7965" t="str">
        <f t="shared" si="3248"/>
        <v>RAZIMAH ANSAR AHMAD</v>
      </c>
      <c r="Y7965" t="str">
        <f t="shared" si="3249"/>
        <v>04-08-2020</v>
      </c>
      <c r="Z7965" t="str">
        <f>"COS10200804 1189"</f>
        <v>COS10200804 1189</v>
      </c>
    </row>
    <row r="7966" spans="1:26" x14ac:dyDescent="0.25">
      <c r="A7966" t="str">
        <f t="shared" si="3255"/>
        <v>04-08-2020 12:31:59</v>
      </c>
      <c r="B7966" t="str">
        <f>"0000802935"</f>
        <v>0000802935</v>
      </c>
      <c r="C7966" t="str">
        <f t="shared" si="3256"/>
        <v>0000802747</v>
      </c>
      <c r="D7966" t="str">
        <f t="shared" si="3239"/>
        <v>73185</v>
      </c>
      <c r="E7966" t="str">
        <f t="shared" si="3240"/>
        <v>KFH-OPERATIONS DEPARTMENT</v>
      </c>
      <c r="F7966" t="str">
        <f t="shared" si="3241"/>
        <v>IBG</v>
      </c>
      <c r="G7966" t="str">
        <f t="shared" si="3254"/>
        <v>Refund COSHARE 10</v>
      </c>
      <c r="H7966" s="2">
        <v>114</v>
      </c>
      <c r="I7966" t="str">
        <f>"NOORHISHAM SURIA BIN PAK WANTEH"</f>
        <v>NOORHISHAM SURIA BIN PAK WANTEH</v>
      </c>
      <c r="J7966" t="str">
        <f t="shared" si="3230"/>
        <v>BANK KERJASAMA RAKYAT</v>
      </c>
      <c r="K7966" t="str">
        <f>"220441851172"</f>
        <v>220441851172</v>
      </c>
      <c r="L7966" t="str">
        <f t="shared" si="3252"/>
        <v>04-08-2020</v>
      </c>
      <c r="M7966" t="str">
        <f t="shared" si="3252"/>
        <v>04-08-2020</v>
      </c>
      <c r="N7966" t="str">
        <f t="shared" si="3242"/>
        <v>001105018356</v>
      </c>
      <c r="O7966" t="str">
        <f t="shared" si="3243"/>
        <v>MYR</v>
      </c>
      <c r="P7966" t="str">
        <f t="shared" si="3253"/>
        <v>NIL</v>
      </c>
      <c r="Q7966" t="str">
        <f t="shared" si="3253"/>
        <v>NIL</v>
      </c>
      <c r="R7966" t="str">
        <f t="shared" si="3231"/>
        <v>Accepted</v>
      </c>
      <c r="S7966" t="str">
        <f t="shared" si="3244"/>
        <v>Approved</v>
      </c>
      <c r="T7966" t="str">
        <f t="shared" si="3232"/>
        <v>10.20.8.188</v>
      </c>
      <c r="U7966" t="str">
        <f t="shared" si="3245"/>
        <v>AZRAD UMAR BIN SHAARI</v>
      </c>
      <c r="V7966" t="str">
        <f t="shared" si="3246"/>
        <v>FARHANA BINTI MUSTAPA</v>
      </c>
      <c r="W7966" t="str">
        <f t="shared" si="3247"/>
        <v>04-08-2020</v>
      </c>
      <c r="X7966" t="str">
        <f t="shared" si="3248"/>
        <v>RAZIMAH ANSAR AHMAD</v>
      </c>
      <c r="Y7966" t="str">
        <f t="shared" si="3249"/>
        <v>04-08-2020</v>
      </c>
      <c r="Z7966" t="str">
        <f>"COS10200804 1188"</f>
        <v>COS10200804 1188</v>
      </c>
    </row>
    <row r="7967" spans="1:26" x14ac:dyDescent="0.25">
      <c r="A7967" t="str">
        <f t="shared" si="3255"/>
        <v>04-08-2020 12:31:59</v>
      </c>
      <c r="B7967" t="str">
        <f>"0000802934"</f>
        <v>0000802934</v>
      </c>
      <c r="C7967" t="str">
        <f t="shared" si="3256"/>
        <v>0000802747</v>
      </c>
      <c r="D7967" t="str">
        <f t="shared" si="3239"/>
        <v>73185</v>
      </c>
      <c r="E7967" t="str">
        <f t="shared" si="3240"/>
        <v>KFH-OPERATIONS DEPARTMENT</v>
      </c>
      <c r="F7967" t="str">
        <f t="shared" si="3241"/>
        <v>IBG</v>
      </c>
      <c r="G7967" t="str">
        <f t="shared" si="3254"/>
        <v>Refund COSHARE 10</v>
      </c>
      <c r="H7967" s="2">
        <v>671.6</v>
      </c>
      <c r="I7967" t="str">
        <f>"NOORHIDAYAH BINTI MOHD ZOHRI"</f>
        <v>NOORHIDAYAH BINTI MOHD ZOHRI</v>
      </c>
      <c r="J7967" t="str">
        <f t="shared" si="3230"/>
        <v>BANK KERJASAMA RAKYAT</v>
      </c>
      <c r="K7967" t="str">
        <f>"220441863108"</f>
        <v>220441863108</v>
      </c>
      <c r="L7967" t="str">
        <f t="shared" ref="L7967:M7986" si="3257">"04-08-2020"</f>
        <v>04-08-2020</v>
      </c>
      <c r="M7967" t="str">
        <f t="shared" si="3257"/>
        <v>04-08-2020</v>
      </c>
      <c r="N7967" t="str">
        <f t="shared" si="3242"/>
        <v>001105018356</v>
      </c>
      <c r="O7967" t="str">
        <f t="shared" si="3243"/>
        <v>MYR</v>
      </c>
      <c r="P7967" t="str">
        <f t="shared" ref="P7967:Q7986" si="3258">"NIL"</f>
        <v>NIL</v>
      </c>
      <c r="Q7967" t="str">
        <f t="shared" si="3258"/>
        <v>NIL</v>
      </c>
      <c r="R7967" t="str">
        <f t="shared" si="3231"/>
        <v>Accepted</v>
      </c>
      <c r="S7967" t="str">
        <f t="shared" si="3244"/>
        <v>Approved</v>
      </c>
      <c r="T7967" t="str">
        <f t="shared" si="3232"/>
        <v>10.20.8.188</v>
      </c>
      <c r="U7967" t="str">
        <f t="shared" si="3245"/>
        <v>AZRAD UMAR BIN SHAARI</v>
      </c>
      <c r="V7967" t="str">
        <f t="shared" si="3246"/>
        <v>FARHANA BINTI MUSTAPA</v>
      </c>
      <c r="W7967" t="str">
        <f t="shared" si="3247"/>
        <v>04-08-2020</v>
      </c>
      <c r="X7967" t="str">
        <f t="shared" si="3248"/>
        <v>RAZIMAH ANSAR AHMAD</v>
      </c>
      <c r="Y7967" t="str">
        <f t="shared" si="3249"/>
        <v>04-08-2020</v>
      </c>
      <c r="Z7967" t="str">
        <f>"COS10200804 1187"</f>
        <v>COS10200804 1187</v>
      </c>
    </row>
    <row r="7968" spans="1:26" x14ac:dyDescent="0.25">
      <c r="A7968" t="str">
        <f t="shared" si="3255"/>
        <v>04-08-2020 12:31:59</v>
      </c>
      <c r="B7968" t="str">
        <f>"0000802933"</f>
        <v>0000802933</v>
      </c>
      <c r="C7968" t="str">
        <f t="shared" si="3256"/>
        <v>0000802747</v>
      </c>
      <c r="D7968" t="str">
        <f t="shared" si="3239"/>
        <v>73185</v>
      </c>
      <c r="E7968" t="str">
        <f t="shared" si="3240"/>
        <v>KFH-OPERATIONS DEPARTMENT</v>
      </c>
      <c r="F7968" t="str">
        <f t="shared" si="3241"/>
        <v>IBG</v>
      </c>
      <c r="G7968" t="str">
        <f t="shared" si="3254"/>
        <v>Refund COSHARE 10</v>
      </c>
      <c r="H7968" s="2">
        <v>58.8</v>
      </c>
      <c r="I7968" t="str">
        <f>"NOORBAIERA BINTI MOHD NOR"</f>
        <v>NOORBAIERA BINTI MOHD NOR</v>
      </c>
      <c r="J7968" t="str">
        <f t="shared" si="3230"/>
        <v>BANK KERJASAMA RAKYAT</v>
      </c>
      <c r="K7968" t="str">
        <f>"220431127958"</f>
        <v>220431127958</v>
      </c>
      <c r="L7968" t="str">
        <f t="shared" si="3257"/>
        <v>04-08-2020</v>
      </c>
      <c r="M7968" t="str">
        <f t="shared" si="3257"/>
        <v>04-08-2020</v>
      </c>
      <c r="N7968" t="str">
        <f t="shared" si="3242"/>
        <v>001105018356</v>
      </c>
      <c r="O7968" t="str">
        <f t="shared" si="3243"/>
        <v>MYR</v>
      </c>
      <c r="P7968" t="str">
        <f t="shared" si="3258"/>
        <v>NIL</v>
      </c>
      <c r="Q7968" t="str">
        <f t="shared" si="3258"/>
        <v>NIL</v>
      </c>
      <c r="R7968" t="str">
        <f t="shared" si="3231"/>
        <v>Accepted</v>
      </c>
      <c r="S7968" t="str">
        <f t="shared" si="3244"/>
        <v>Approved</v>
      </c>
      <c r="T7968" t="str">
        <f t="shared" si="3232"/>
        <v>10.20.8.188</v>
      </c>
      <c r="U7968" t="str">
        <f t="shared" si="3245"/>
        <v>AZRAD UMAR BIN SHAARI</v>
      </c>
      <c r="V7968" t="str">
        <f t="shared" si="3246"/>
        <v>FARHANA BINTI MUSTAPA</v>
      </c>
      <c r="W7968" t="str">
        <f t="shared" si="3247"/>
        <v>04-08-2020</v>
      </c>
      <c r="X7968" t="str">
        <f t="shared" si="3248"/>
        <v>RAZIMAH ANSAR AHMAD</v>
      </c>
      <c r="Y7968" t="str">
        <f t="shared" si="3249"/>
        <v>04-08-2020</v>
      </c>
      <c r="Z7968" t="str">
        <f>"COS10200804 1186"</f>
        <v>COS10200804 1186</v>
      </c>
    </row>
    <row r="7969" spans="1:26" x14ac:dyDescent="0.25">
      <c r="A7969" t="str">
        <f t="shared" si="3255"/>
        <v>04-08-2020 12:31:59</v>
      </c>
      <c r="B7969" t="str">
        <f>"0000802932"</f>
        <v>0000802932</v>
      </c>
      <c r="C7969" t="str">
        <f t="shared" si="3256"/>
        <v>0000802747</v>
      </c>
      <c r="D7969" t="str">
        <f t="shared" si="3239"/>
        <v>73185</v>
      </c>
      <c r="E7969" t="str">
        <f t="shared" si="3240"/>
        <v>KFH-OPERATIONS DEPARTMENT</v>
      </c>
      <c r="F7969" t="str">
        <f t="shared" si="3241"/>
        <v>IBG</v>
      </c>
      <c r="G7969" t="str">
        <f t="shared" si="3254"/>
        <v>Refund COSHARE 10</v>
      </c>
      <c r="H7969" s="2">
        <v>528.9</v>
      </c>
      <c r="I7969" t="str">
        <f>"NOORAZIAN BINTI AGUS"</f>
        <v>NOORAZIAN BINTI AGUS</v>
      </c>
      <c r="J7969" t="str">
        <f t="shared" si="3230"/>
        <v>BANK KERJASAMA RAKYAT</v>
      </c>
      <c r="K7969" t="str">
        <f>"220531216855"</f>
        <v>220531216855</v>
      </c>
      <c r="L7969" t="str">
        <f t="shared" si="3257"/>
        <v>04-08-2020</v>
      </c>
      <c r="M7969" t="str">
        <f t="shared" si="3257"/>
        <v>04-08-2020</v>
      </c>
      <c r="N7969" t="str">
        <f t="shared" si="3242"/>
        <v>001105018356</v>
      </c>
      <c r="O7969" t="str">
        <f t="shared" si="3243"/>
        <v>MYR</v>
      </c>
      <c r="P7969" t="str">
        <f t="shared" si="3258"/>
        <v>NIL</v>
      </c>
      <c r="Q7969" t="str">
        <f t="shared" si="3258"/>
        <v>NIL</v>
      </c>
      <c r="R7969" t="str">
        <f t="shared" si="3231"/>
        <v>Accepted</v>
      </c>
      <c r="S7969" t="str">
        <f t="shared" si="3244"/>
        <v>Approved</v>
      </c>
      <c r="T7969" t="str">
        <f t="shared" si="3232"/>
        <v>10.20.8.188</v>
      </c>
      <c r="U7969" t="str">
        <f t="shared" si="3245"/>
        <v>AZRAD UMAR BIN SHAARI</v>
      </c>
      <c r="V7969" t="str">
        <f t="shared" si="3246"/>
        <v>FARHANA BINTI MUSTAPA</v>
      </c>
      <c r="W7969" t="str">
        <f t="shared" si="3247"/>
        <v>04-08-2020</v>
      </c>
      <c r="X7969" t="str">
        <f t="shared" si="3248"/>
        <v>RAZIMAH ANSAR AHMAD</v>
      </c>
      <c r="Y7969" t="str">
        <f t="shared" si="3249"/>
        <v>04-08-2020</v>
      </c>
      <c r="Z7969" t="str">
        <f>"COS10200804 1185"</f>
        <v>COS10200804 1185</v>
      </c>
    </row>
    <row r="7970" spans="1:26" x14ac:dyDescent="0.25">
      <c r="A7970" t="str">
        <f t="shared" si="3255"/>
        <v>04-08-2020 12:31:59</v>
      </c>
      <c r="B7970" t="str">
        <f>"0000802931"</f>
        <v>0000802931</v>
      </c>
      <c r="C7970" t="str">
        <f t="shared" si="3256"/>
        <v>0000802747</v>
      </c>
      <c r="D7970" t="str">
        <f t="shared" si="3239"/>
        <v>73185</v>
      </c>
      <c r="E7970" t="str">
        <f t="shared" si="3240"/>
        <v>KFH-OPERATIONS DEPARTMENT</v>
      </c>
      <c r="F7970" t="str">
        <f t="shared" si="3241"/>
        <v>IBG</v>
      </c>
      <c r="G7970" t="str">
        <f t="shared" si="3254"/>
        <v>Refund COSHARE 10</v>
      </c>
      <c r="H7970" s="2">
        <v>604.45000000000005</v>
      </c>
      <c r="I7970" t="str">
        <f>"NOOR SHAHARIZA BINTI SHAFIE"</f>
        <v>NOOR SHAHARIZA BINTI SHAFIE</v>
      </c>
      <c r="J7970" t="str">
        <f t="shared" ref="J7970:J8033" si="3259">"BANK KERJASAMA RAKYAT"</f>
        <v>BANK KERJASAMA RAKYAT</v>
      </c>
      <c r="K7970" t="str">
        <f>"220021711095"</f>
        <v>220021711095</v>
      </c>
      <c r="L7970" t="str">
        <f t="shared" si="3257"/>
        <v>04-08-2020</v>
      </c>
      <c r="M7970" t="str">
        <f t="shared" si="3257"/>
        <v>04-08-2020</v>
      </c>
      <c r="N7970" t="str">
        <f t="shared" si="3242"/>
        <v>001105018356</v>
      </c>
      <c r="O7970" t="str">
        <f t="shared" si="3243"/>
        <v>MYR</v>
      </c>
      <c r="P7970" t="str">
        <f t="shared" si="3258"/>
        <v>NIL</v>
      </c>
      <c r="Q7970" t="str">
        <f t="shared" si="3258"/>
        <v>NIL</v>
      </c>
      <c r="R7970" t="str">
        <f t="shared" ref="R7970:R8033" si="3260">"Accepted"</f>
        <v>Accepted</v>
      </c>
      <c r="S7970" t="str">
        <f t="shared" si="3244"/>
        <v>Approved</v>
      </c>
      <c r="T7970" t="str">
        <f t="shared" ref="T7970:T8033" si="3261">"10.20.8.188"</f>
        <v>10.20.8.188</v>
      </c>
      <c r="U7970" t="str">
        <f t="shared" si="3245"/>
        <v>AZRAD UMAR BIN SHAARI</v>
      </c>
      <c r="V7970" t="str">
        <f t="shared" si="3246"/>
        <v>FARHANA BINTI MUSTAPA</v>
      </c>
      <c r="W7970" t="str">
        <f t="shared" si="3247"/>
        <v>04-08-2020</v>
      </c>
      <c r="X7970" t="str">
        <f t="shared" si="3248"/>
        <v>RAZIMAH ANSAR AHMAD</v>
      </c>
      <c r="Y7970" t="str">
        <f t="shared" si="3249"/>
        <v>04-08-2020</v>
      </c>
      <c r="Z7970" t="str">
        <f>"COS10200804 1184"</f>
        <v>COS10200804 1184</v>
      </c>
    </row>
    <row r="7971" spans="1:26" x14ac:dyDescent="0.25">
      <c r="A7971" t="str">
        <f t="shared" si="3255"/>
        <v>04-08-2020 12:31:59</v>
      </c>
      <c r="B7971" t="str">
        <f>"0000802930"</f>
        <v>0000802930</v>
      </c>
      <c r="C7971" t="str">
        <f t="shared" si="3256"/>
        <v>0000802747</v>
      </c>
      <c r="D7971" t="str">
        <f t="shared" si="3239"/>
        <v>73185</v>
      </c>
      <c r="E7971" t="str">
        <f t="shared" si="3240"/>
        <v>KFH-OPERATIONS DEPARTMENT</v>
      </c>
      <c r="F7971" t="str">
        <f t="shared" si="3241"/>
        <v>IBG</v>
      </c>
      <c r="G7971" t="str">
        <f t="shared" si="3254"/>
        <v>Refund COSHARE 10</v>
      </c>
      <c r="H7971" s="2">
        <v>1284.45</v>
      </c>
      <c r="I7971" t="str">
        <f>"NOOR HISYAM BIN ISMAIL"</f>
        <v>NOOR HISYAM BIN ISMAIL</v>
      </c>
      <c r="J7971" t="str">
        <f t="shared" si="3259"/>
        <v>BANK KERJASAMA RAKYAT</v>
      </c>
      <c r="K7971" t="str">
        <f>"220801033731"</f>
        <v>220801033731</v>
      </c>
      <c r="L7971" t="str">
        <f t="shared" si="3257"/>
        <v>04-08-2020</v>
      </c>
      <c r="M7971" t="str">
        <f t="shared" si="3257"/>
        <v>04-08-2020</v>
      </c>
      <c r="N7971" t="str">
        <f t="shared" si="3242"/>
        <v>001105018356</v>
      </c>
      <c r="O7971" t="str">
        <f t="shared" si="3243"/>
        <v>MYR</v>
      </c>
      <c r="P7971" t="str">
        <f t="shared" si="3258"/>
        <v>NIL</v>
      </c>
      <c r="Q7971" t="str">
        <f t="shared" si="3258"/>
        <v>NIL</v>
      </c>
      <c r="R7971" t="str">
        <f t="shared" si="3260"/>
        <v>Accepted</v>
      </c>
      <c r="S7971" t="str">
        <f t="shared" si="3244"/>
        <v>Approved</v>
      </c>
      <c r="T7971" t="str">
        <f t="shared" si="3261"/>
        <v>10.20.8.188</v>
      </c>
      <c r="U7971" t="str">
        <f t="shared" si="3245"/>
        <v>AZRAD UMAR BIN SHAARI</v>
      </c>
      <c r="V7971" t="str">
        <f t="shared" si="3246"/>
        <v>FARHANA BINTI MUSTAPA</v>
      </c>
      <c r="W7971" t="str">
        <f t="shared" si="3247"/>
        <v>04-08-2020</v>
      </c>
      <c r="X7971" t="str">
        <f t="shared" si="3248"/>
        <v>RAZIMAH ANSAR AHMAD</v>
      </c>
      <c r="Y7971" t="str">
        <f t="shared" si="3249"/>
        <v>04-08-2020</v>
      </c>
      <c r="Z7971" t="str">
        <f>"COS10200804 1183"</f>
        <v>COS10200804 1183</v>
      </c>
    </row>
    <row r="7972" spans="1:26" x14ac:dyDescent="0.25">
      <c r="A7972" t="str">
        <f t="shared" si="3255"/>
        <v>04-08-2020 12:31:59</v>
      </c>
      <c r="B7972" t="str">
        <f>"0000802929"</f>
        <v>0000802929</v>
      </c>
      <c r="C7972" t="str">
        <f t="shared" si="3256"/>
        <v>0000802747</v>
      </c>
      <c r="D7972" t="str">
        <f t="shared" si="3239"/>
        <v>73185</v>
      </c>
      <c r="E7972" t="str">
        <f t="shared" si="3240"/>
        <v>KFH-OPERATIONS DEPARTMENT</v>
      </c>
      <c r="F7972" t="str">
        <f t="shared" si="3241"/>
        <v>IBG</v>
      </c>
      <c r="G7972" t="str">
        <f t="shared" si="3254"/>
        <v>Refund COSHARE 10</v>
      </c>
      <c r="H7972" s="2">
        <v>62.1</v>
      </c>
      <c r="I7972" t="str">
        <f>"NOOR FAZLINA BINTI HAMDAN"</f>
        <v>NOOR FAZLINA BINTI HAMDAN</v>
      </c>
      <c r="J7972" t="str">
        <f t="shared" si="3259"/>
        <v>BANK KERJASAMA RAKYAT</v>
      </c>
      <c r="K7972" t="str">
        <f>"220571040163"</f>
        <v>220571040163</v>
      </c>
      <c r="L7972" t="str">
        <f t="shared" si="3257"/>
        <v>04-08-2020</v>
      </c>
      <c r="M7972" t="str">
        <f t="shared" si="3257"/>
        <v>04-08-2020</v>
      </c>
      <c r="N7972" t="str">
        <f t="shared" si="3242"/>
        <v>001105018356</v>
      </c>
      <c r="O7972" t="str">
        <f t="shared" si="3243"/>
        <v>MYR</v>
      </c>
      <c r="P7972" t="str">
        <f t="shared" si="3258"/>
        <v>NIL</v>
      </c>
      <c r="Q7972" t="str">
        <f t="shared" si="3258"/>
        <v>NIL</v>
      </c>
      <c r="R7972" t="str">
        <f t="shared" si="3260"/>
        <v>Accepted</v>
      </c>
      <c r="S7972" t="str">
        <f t="shared" si="3244"/>
        <v>Approved</v>
      </c>
      <c r="T7972" t="str">
        <f t="shared" si="3261"/>
        <v>10.20.8.188</v>
      </c>
      <c r="U7972" t="str">
        <f t="shared" si="3245"/>
        <v>AZRAD UMAR BIN SHAARI</v>
      </c>
      <c r="V7972" t="str">
        <f t="shared" si="3246"/>
        <v>FARHANA BINTI MUSTAPA</v>
      </c>
      <c r="W7972" t="str">
        <f t="shared" si="3247"/>
        <v>04-08-2020</v>
      </c>
      <c r="X7972" t="str">
        <f t="shared" si="3248"/>
        <v>RAZIMAH ANSAR AHMAD</v>
      </c>
      <c r="Y7972" t="str">
        <f t="shared" si="3249"/>
        <v>04-08-2020</v>
      </c>
      <c r="Z7972" t="str">
        <f>"COS10200804 1182"</f>
        <v>COS10200804 1182</v>
      </c>
    </row>
    <row r="7973" spans="1:26" x14ac:dyDescent="0.25">
      <c r="A7973" t="str">
        <f t="shared" si="3255"/>
        <v>04-08-2020 12:31:59</v>
      </c>
      <c r="B7973" t="str">
        <f>"0000802928"</f>
        <v>0000802928</v>
      </c>
      <c r="C7973" t="str">
        <f t="shared" si="3256"/>
        <v>0000802747</v>
      </c>
      <c r="D7973" t="str">
        <f t="shared" si="3239"/>
        <v>73185</v>
      </c>
      <c r="E7973" t="str">
        <f t="shared" si="3240"/>
        <v>KFH-OPERATIONS DEPARTMENT</v>
      </c>
      <c r="F7973" t="str">
        <f t="shared" si="3241"/>
        <v>IBG</v>
      </c>
      <c r="G7973" t="str">
        <f t="shared" si="3254"/>
        <v>Refund COSHARE 10</v>
      </c>
      <c r="H7973" s="2">
        <v>1729.35</v>
      </c>
      <c r="I7973" t="str">
        <f>"NOOR FARHANNA MALINI BINTI ABDULLAH"</f>
        <v>NOOR FARHANNA MALINI BINTI ABDULLAH</v>
      </c>
      <c r="J7973" t="str">
        <f t="shared" si="3259"/>
        <v>BANK KERJASAMA RAKYAT</v>
      </c>
      <c r="K7973" t="str">
        <f>"220121295207"</f>
        <v>220121295207</v>
      </c>
      <c r="L7973" t="str">
        <f t="shared" si="3257"/>
        <v>04-08-2020</v>
      </c>
      <c r="M7973" t="str">
        <f t="shared" si="3257"/>
        <v>04-08-2020</v>
      </c>
      <c r="N7973" t="str">
        <f t="shared" si="3242"/>
        <v>001105018356</v>
      </c>
      <c r="O7973" t="str">
        <f t="shared" si="3243"/>
        <v>MYR</v>
      </c>
      <c r="P7973" t="str">
        <f t="shared" si="3258"/>
        <v>NIL</v>
      </c>
      <c r="Q7973" t="str">
        <f t="shared" si="3258"/>
        <v>NIL</v>
      </c>
      <c r="R7973" t="str">
        <f t="shared" si="3260"/>
        <v>Accepted</v>
      </c>
      <c r="S7973" t="str">
        <f t="shared" si="3244"/>
        <v>Approved</v>
      </c>
      <c r="T7973" t="str">
        <f t="shared" si="3261"/>
        <v>10.20.8.188</v>
      </c>
      <c r="U7973" t="str">
        <f t="shared" si="3245"/>
        <v>AZRAD UMAR BIN SHAARI</v>
      </c>
      <c r="V7973" t="str">
        <f t="shared" si="3246"/>
        <v>FARHANA BINTI MUSTAPA</v>
      </c>
      <c r="W7973" t="str">
        <f t="shared" si="3247"/>
        <v>04-08-2020</v>
      </c>
      <c r="X7973" t="str">
        <f t="shared" si="3248"/>
        <v>RAZIMAH ANSAR AHMAD</v>
      </c>
      <c r="Y7973" t="str">
        <f t="shared" si="3249"/>
        <v>04-08-2020</v>
      </c>
      <c r="Z7973" t="str">
        <f>"COS10200804 1181"</f>
        <v>COS10200804 1181</v>
      </c>
    </row>
    <row r="7974" spans="1:26" x14ac:dyDescent="0.25">
      <c r="A7974" t="str">
        <f t="shared" si="3255"/>
        <v>04-08-2020 12:31:59</v>
      </c>
      <c r="B7974" t="str">
        <f>"0000802927"</f>
        <v>0000802927</v>
      </c>
      <c r="C7974" t="str">
        <f t="shared" si="3256"/>
        <v>0000802747</v>
      </c>
      <c r="D7974" t="str">
        <f t="shared" si="3239"/>
        <v>73185</v>
      </c>
      <c r="E7974" t="str">
        <f t="shared" si="3240"/>
        <v>KFH-OPERATIONS DEPARTMENT</v>
      </c>
      <c r="F7974" t="str">
        <f t="shared" si="3241"/>
        <v>IBG</v>
      </c>
      <c r="G7974" t="str">
        <f t="shared" si="3254"/>
        <v>Refund COSHARE 10</v>
      </c>
      <c r="H7974" s="2">
        <v>42</v>
      </c>
      <c r="I7974" t="str">
        <f>"NOOR AZLIN BINTI LASIMIN"</f>
        <v>NOOR AZLIN BINTI LASIMIN</v>
      </c>
      <c r="J7974" t="str">
        <f t="shared" si="3259"/>
        <v>BANK KERJASAMA RAKYAT</v>
      </c>
      <c r="K7974" t="str">
        <f>"220096182449"</f>
        <v>220096182449</v>
      </c>
      <c r="L7974" t="str">
        <f t="shared" si="3257"/>
        <v>04-08-2020</v>
      </c>
      <c r="M7974" t="str">
        <f t="shared" si="3257"/>
        <v>04-08-2020</v>
      </c>
      <c r="N7974" t="str">
        <f t="shared" si="3242"/>
        <v>001105018356</v>
      </c>
      <c r="O7974" t="str">
        <f t="shared" si="3243"/>
        <v>MYR</v>
      </c>
      <c r="P7974" t="str">
        <f t="shared" si="3258"/>
        <v>NIL</v>
      </c>
      <c r="Q7974" t="str">
        <f t="shared" si="3258"/>
        <v>NIL</v>
      </c>
      <c r="R7974" t="str">
        <f t="shared" si="3260"/>
        <v>Accepted</v>
      </c>
      <c r="S7974" t="str">
        <f t="shared" si="3244"/>
        <v>Approved</v>
      </c>
      <c r="T7974" t="str">
        <f t="shared" si="3261"/>
        <v>10.20.8.188</v>
      </c>
      <c r="U7974" t="str">
        <f t="shared" si="3245"/>
        <v>AZRAD UMAR BIN SHAARI</v>
      </c>
      <c r="V7974" t="str">
        <f t="shared" si="3246"/>
        <v>FARHANA BINTI MUSTAPA</v>
      </c>
      <c r="W7974" t="str">
        <f t="shared" si="3247"/>
        <v>04-08-2020</v>
      </c>
      <c r="X7974" t="str">
        <f t="shared" si="3248"/>
        <v>RAZIMAH ANSAR AHMAD</v>
      </c>
      <c r="Y7974" t="str">
        <f t="shared" si="3249"/>
        <v>04-08-2020</v>
      </c>
      <c r="Z7974" t="str">
        <f>"COS10200804 1180"</f>
        <v>COS10200804 1180</v>
      </c>
    </row>
    <row r="7975" spans="1:26" x14ac:dyDescent="0.25">
      <c r="A7975" t="str">
        <f t="shared" si="3255"/>
        <v>04-08-2020 12:31:59</v>
      </c>
      <c r="B7975" t="str">
        <f>"0000802926"</f>
        <v>0000802926</v>
      </c>
      <c r="C7975" t="str">
        <f t="shared" si="3256"/>
        <v>0000802747</v>
      </c>
      <c r="D7975" t="str">
        <f t="shared" si="3239"/>
        <v>73185</v>
      </c>
      <c r="E7975" t="str">
        <f t="shared" si="3240"/>
        <v>KFH-OPERATIONS DEPARTMENT</v>
      </c>
      <c r="F7975" t="str">
        <f t="shared" si="3241"/>
        <v>IBG</v>
      </c>
      <c r="G7975" t="str">
        <f t="shared" si="3254"/>
        <v>Refund COSHARE 10</v>
      </c>
      <c r="H7975" s="2">
        <v>755.55</v>
      </c>
      <c r="I7975" t="str">
        <f>"NOLING BINTI SULONG"</f>
        <v>NOLING BINTI SULONG</v>
      </c>
      <c r="J7975" t="str">
        <f t="shared" si="3259"/>
        <v>BANK KERJASAMA RAKYAT</v>
      </c>
      <c r="K7975" t="str">
        <f>"220541503571"</f>
        <v>220541503571</v>
      </c>
      <c r="L7975" t="str">
        <f t="shared" si="3257"/>
        <v>04-08-2020</v>
      </c>
      <c r="M7975" t="str">
        <f t="shared" si="3257"/>
        <v>04-08-2020</v>
      </c>
      <c r="N7975" t="str">
        <f t="shared" si="3242"/>
        <v>001105018356</v>
      </c>
      <c r="O7975" t="str">
        <f t="shared" si="3243"/>
        <v>MYR</v>
      </c>
      <c r="P7975" t="str">
        <f t="shared" si="3258"/>
        <v>NIL</v>
      </c>
      <c r="Q7975" t="str">
        <f t="shared" si="3258"/>
        <v>NIL</v>
      </c>
      <c r="R7975" t="str">
        <f t="shared" si="3260"/>
        <v>Accepted</v>
      </c>
      <c r="S7975" t="str">
        <f t="shared" si="3244"/>
        <v>Approved</v>
      </c>
      <c r="T7975" t="str">
        <f t="shared" si="3261"/>
        <v>10.20.8.188</v>
      </c>
      <c r="U7975" t="str">
        <f t="shared" si="3245"/>
        <v>AZRAD UMAR BIN SHAARI</v>
      </c>
      <c r="V7975" t="str">
        <f t="shared" si="3246"/>
        <v>FARHANA BINTI MUSTAPA</v>
      </c>
      <c r="W7975" t="str">
        <f t="shared" si="3247"/>
        <v>04-08-2020</v>
      </c>
      <c r="X7975" t="str">
        <f t="shared" si="3248"/>
        <v>RAZIMAH ANSAR AHMAD</v>
      </c>
      <c r="Y7975" t="str">
        <f t="shared" si="3249"/>
        <v>04-08-2020</v>
      </c>
      <c r="Z7975" t="str">
        <f>"COS10200804 1179"</f>
        <v>COS10200804 1179</v>
      </c>
    </row>
    <row r="7976" spans="1:26" x14ac:dyDescent="0.25">
      <c r="A7976" t="str">
        <f t="shared" si="3255"/>
        <v>04-08-2020 12:31:59</v>
      </c>
      <c r="B7976" t="str">
        <f>"0000802925"</f>
        <v>0000802925</v>
      </c>
      <c r="C7976" t="str">
        <f t="shared" si="3256"/>
        <v>0000802747</v>
      </c>
      <c r="D7976" t="str">
        <f t="shared" si="3239"/>
        <v>73185</v>
      </c>
      <c r="E7976" t="str">
        <f t="shared" si="3240"/>
        <v>KFH-OPERATIONS DEPARTMENT</v>
      </c>
      <c r="F7976" t="str">
        <f t="shared" si="3241"/>
        <v>IBG</v>
      </c>
      <c r="G7976" t="str">
        <f t="shared" si="3254"/>
        <v>Refund COSHARE 10</v>
      </c>
      <c r="H7976" s="2">
        <v>196.5</v>
      </c>
      <c r="I7976" t="str">
        <f>"NOFAZILAH BINTI MOHD SAJAT"</f>
        <v>NOFAZILAH BINTI MOHD SAJAT</v>
      </c>
      <c r="J7976" t="str">
        <f t="shared" si="3259"/>
        <v>BANK KERJASAMA RAKYAT</v>
      </c>
      <c r="K7976" t="str">
        <f>"220471493461"</f>
        <v>220471493461</v>
      </c>
      <c r="L7976" t="str">
        <f t="shared" si="3257"/>
        <v>04-08-2020</v>
      </c>
      <c r="M7976" t="str">
        <f t="shared" si="3257"/>
        <v>04-08-2020</v>
      </c>
      <c r="N7976" t="str">
        <f t="shared" si="3242"/>
        <v>001105018356</v>
      </c>
      <c r="O7976" t="str">
        <f t="shared" si="3243"/>
        <v>MYR</v>
      </c>
      <c r="P7976" t="str">
        <f t="shared" si="3258"/>
        <v>NIL</v>
      </c>
      <c r="Q7976" t="str">
        <f t="shared" si="3258"/>
        <v>NIL</v>
      </c>
      <c r="R7976" t="str">
        <f t="shared" si="3260"/>
        <v>Accepted</v>
      </c>
      <c r="S7976" t="str">
        <f t="shared" si="3244"/>
        <v>Approved</v>
      </c>
      <c r="T7976" t="str">
        <f t="shared" si="3261"/>
        <v>10.20.8.188</v>
      </c>
      <c r="U7976" t="str">
        <f t="shared" si="3245"/>
        <v>AZRAD UMAR BIN SHAARI</v>
      </c>
      <c r="V7976" t="str">
        <f t="shared" si="3246"/>
        <v>FARHANA BINTI MUSTAPA</v>
      </c>
      <c r="W7976" t="str">
        <f t="shared" si="3247"/>
        <v>04-08-2020</v>
      </c>
      <c r="X7976" t="str">
        <f t="shared" si="3248"/>
        <v>RAZIMAH ANSAR AHMAD</v>
      </c>
      <c r="Y7976" t="str">
        <f t="shared" si="3249"/>
        <v>04-08-2020</v>
      </c>
      <c r="Z7976" t="str">
        <f>"COS10200804 1178"</f>
        <v>COS10200804 1178</v>
      </c>
    </row>
    <row r="7977" spans="1:26" x14ac:dyDescent="0.25">
      <c r="A7977" t="str">
        <f t="shared" si="3255"/>
        <v>04-08-2020 12:31:59</v>
      </c>
      <c r="B7977" t="str">
        <f>"0000802924"</f>
        <v>0000802924</v>
      </c>
      <c r="C7977" t="str">
        <f t="shared" si="3256"/>
        <v>0000802747</v>
      </c>
      <c r="D7977" t="str">
        <f t="shared" si="3239"/>
        <v>73185</v>
      </c>
      <c r="E7977" t="str">
        <f t="shared" si="3240"/>
        <v>KFH-OPERATIONS DEPARTMENT</v>
      </c>
      <c r="F7977" t="str">
        <f t="shared" si="3241"/>
        <v>IBG</v>
      </c>
      <c r="G7977" t="str">
        <f t="shared" si="3254"/>
        <v>Refund COSHARE 10</v>
      </c>
      <c r="H7977" s="2">
        <v>1518</v>
      </c>
      <c r="I7977" t="str">
        <f>"NIK NOR ZALIHA BINTI MOHD ZAINAL ABIDIN"</f>
        <v>NIK NOR ZALIHA BINTI MOHD ZAINAL ABIDIN</v>
      </c>
      <c r="J7977" t="str">
        <f t="shared" si="3259"/>
        <v>BANK KERJASAMA RAKYAT</v>
      </c>
      <c r="K7977" t="str">
        <f>"221181066196"</f>
        <v>221181066196</v>
      </c>
      <c r="L7977" t="str">
        <f t="shared" si="3257"/>
        <v>04-08-2020</v>
      </c>
      <c r="M7977" t="str">
        <f t="shared" si="3257"/>
        <v>04-08-2020</v>
      </c>
      <c r="N7977" t="str">
        <f t="shared" si="3242"/>
        <v>001105018356</v>
      </c>
      <c r="O7977" t="str">
        <f t="shared" si="3243"/>
        <v>MYR</v>
      </c>
      <c r="P7977" t="str">
        <f t="shared" si="3258"/>
        <v>NIL</v>
      </c>
      <c r="Q7977" t="str">
        <f t="shared" si="3258"/>
        <v>NIL</v>
      </c>
      <c r="R7977" t="str">
        <f t="shared" si="3260"/>
        <v>Accepted</v>
      </c>
      <c r="S7977" t="str">
        <f t="shared" si="3244"/>
        <v>Approved</v>
      </c>
      <c r="T7977" t="str">
        <f t="shared" si="3261"/>
        <v>10.20.8.188</v>
      </c>
      <c r="U7977" t="str">
        <f t="shared" si="3245"/>
        <v>AZRAD UMAR BIN SHAARI</v>
      </c>
      <c r="V7977" t="str">
        <f t="shared" si="3246"/>
        <v>FARHANA BINTI MUSTAPA</v>
      </c>
      <c r="W7977" t="str">
        <f t="shared" si="3247"/>
        <v>04-08-2020</v>
      </c>
      <c r="X7977" t="str">
        <f t="shared" si="3248"/>
        <v>RAZIMAH ANSAR AHMAD</v>
      </c>
      <c r="Y7977" t="str">
        <f t="shared" si="3249"/>
        <v>04-08-2020</v>
      </c>
      <c r="Z7977" t="str">
        <f>"COS10200804 1177"</f>
        <v>COS10200804 1177</v>
      </c>
    </row>
    <row r="7978" spans="1:26" x14ac:dyDescent="0.25">
      <c r="A7978" t="str">
        <f t="shared" si="3255"/>
        <v>04-08-2020 12:31:59</v>
      </c>
      <c r="B7978" t="str">
        <f>"0000802923"</f>
        <v>0000802923</v>
      </c>
      <c r="C7978" t="str">
        <f t="shared" si="3256"/>
        <v>0000802747</v>
      </c>
      <c r="D7978" t="str">
        <f t="shared" si="3239"/>
        <v>73185</v>
      </c>
      <c r="E7978" t="str">
        <f t="shared" si="3240"/>
        <v>KFH-OPERATIONS DEPARTMENT</v>
      </c>
      <c r="F7978" t="str">
        <f t="shared" si="3241"/>
        <v>IBG</v>
      </c>
      <c r="G7978" t="str">
        <f t="shared" si="3254"/>
        <v>Refund COSHARE 10</v>
      </c>
      <c r="H7978" s="2">
        <v>1200.5</v>
      </c>
      <c r="I7978" t="str">
        <f>"NIK NOOR FAJARIDAYU BINTI NIK SINLUDDIN"</f>
        <v>NIK NOOR FAJARIDAYU BINTI NIK SINLUDDIN</v>
      </c>
      <c r="J7978" t="str">
        <f t="shared" si="3259"/>
        <v>BANK KERJASAMA RAKYAT</v>
      </c>
      <c r="K7978" t="str">
        <f>"220063189328"</f>
        <v>220063189328</v>
      </c>
      <c r="L7978" t="str">
        <f t="shared" si="3257"/>
        <v>04-08-2020</v>
      </c>
      <c r="M7978" t="str">
        <f t="shared" si="3257"/>
        <v>04-08-2020</v>
      </c>
      <c r="N7978" t="str">
        <f t="shared" si="3242"/>
        <v>001105018356</v>
      </c>
      <c r="O7978" t="str">
        <f t="shared" si="3243"/>
        <v>MYR</v>
      </c>
      <c r="P7978" t="str">
        <f t="shared" si="3258"/>
        <v>NIL</v>
      </c>
      <c r="Q7978" t="str">
        <f t="shared" si="3258"/>
        <v>NIL</v>
      </c>
      <c r="R7978" t="str">
        <f t="shared" si="3260"/>
        <v>Accepted</v>
      </c>
      <c r="S7978" t="str">
        <f t="shared" si="3244"/>
        <v>Approved</v>
      </c>
      <c r="T7978" t="str">
        <f t="shared" si="3261"/>
        <v>10.20.8.188</v>
      </c>
      <c r="U7978" t="str">
        <f t="shared" si="3245"/>
        <v>AZRAD UMAR BIN SHAARI</v>
      </c>
      <c r="V7978" t="str">
        <f t="shared" si="3246"/>
        <v>FARHANA BINTI MUSTAPA</v>
      </c>
      <c r="W7978" t="str">
        <f t="shared" si="3247"/>
        <v>04-08-2020</v>
      </c>
      <c r="X7978" t="str">
        <f t="shared" si="3248"/>
        <v>RAZIMAH ANSAR AHMAD</v>
      </c>
      <c r="Y7978" t="str">
        <f t="shared" si="3249"/>
        <v>04-08-2020</v>
      </c>
      <c r="Z7978" t="str">
        <f>"COS10200804 1176"</f>
        <v>COS10200804 1176</v>
      </c>
    </row>
    <row r="7979" spans="1:26" x14ac:dyDescent="0.25">
      <c r="A7979" t="str">
        <f t="shared" si="3255"/>
        <v>04-08-2020 12:31:59</v>
      </c>
      <c r="B7979" t="str">
        <f>"0000802922"</f>
        <v>0000802922</v>
      </c>
      <c r="C7979" t="str">
        <f t="shared" si="3256"/>
        <v>0000802747</v>
      </c>
      <c r="D7979" t="str">
        <f t="shared" si="3239"/>
        <v>73185</v>
      </c>
      <c r="E7979" t="str">
        <f t="shared" si="3240"/>
        <v>KFH-OPERATIONS DEPARTMENT</v>
      </c>
      <c r="F7979" t="str">
        <f t="shared" si="3241"/>
        <v>IBG</v>
      </c>
      <c r="G7979" t="str">
        <f t="shared" si="3254"/>
        <v>Refund COSHARE 10</v>
      </c>
      <c r="H7979" s="2">
        <v>117.55</v>
      </c>
      <c r="I7979" t="str">
        <f>"NIK MOHD SHAHRUL BIN NIK HUSSAIN"</f>
        <v>NIK MOHD SHAHRUL BIN NIK HUSSAIN</v>
      </c>
      <c r="J7979" t="str">
        <f t="shared" si="3259"/>
        <v>BANK KERJASAMA RAKYAT</v>
      </c>
      <c r="K7979" t="str">
        <f>"220311326180"</f>
        <v>220311326180</v>
      </c>
      <c r="L7979" t="str">
        <f t="shared" si="3257"/>
        <v>04-08-2020</v>
      </c>
      <c r="M7979" t="str">
        <f t="shared" si="3257"/>
        <v>04-08-2020</v>
      </c>
      <c r="N7979" t="str">
        <f t="shared" si="3242"/>
        <v>001105018356</v>
      </c>
      <c r="O7979" t="str">
        <f t="shared" si="3243"/>
        <v>MYR</v>
      </c>
      <c r="P7979" t="str">
        <f t="shared" si="3258"/>
        <v>NIL</v>
      </c>
      <c r="Q7979" t="str">
        <f t="shared" si="3258"/>
        <v>NIL</v>
      </c>
      <c r="R7979" t="str">
        <f t="shared" si="3260"/>
        <v>Accepted</v>
      </c>
      <c r="S7979" t="str">
        <f t="shared" si="3244"/>
        <v>Approved</v>
      </c>
      <c r="T7979" t="str">
        <f t="shared" si="3261"/>
        <v>10.20.8.188</v>
      </c>
      <c r="U7979" t="str">
        <f t="shared" si="3245"/>
        <v>AZRAD UMAR BIN SHAARI</v>
      </c>
      <c r="V7979" t="str">
        <f t="shared" si="3246"/>
        <v>FARHANA BINTI MUSTAPA</v>
      </c>
      <c r="W7979" t="str">
        <f t="shared" si="3247"/>
        <v>04-08-2020</v>
      </c>
      <c r="X7979" t="str">
        <f t="shared" si="3248"/>
        <v>RAZIMAH ANSAR AHMAD</v>
      </c>
      <c r="Y7979" t="str">
        <f t="shared" si="3249"/>
        <v>04-08-2020</v>
      </c>
      <c r="Z7979" t="str">
        <f>"COS10200804 1175"</f>
        <v>COS10200804 1175</v>
      </c>
    </row>
    <row r="7980" spans="1:26" x14ac:dyDescent="0.25">
      <c r="A7980" t="str">
        <f t="shared" si="3255"/>
        <v>04-08-2020 12:31:59</v>
      </c>
      <c r="B7980" t="str">
        <f>"0000802921"</f>
        <v>0000802921</v>
      </c>
      <c r="C7980" t="str">
        <f t="shared" si="3256"/>
        <v>0000802747</v>
      </c>
      <c r="D7980" t="str">
        <f t="shared" si="3239"/>
        <v>73185</v>
      </c>
      <c r="E7980" t="str">
        <f t="shared" si="3240"/>
        <v>KFH-OPERATIONS DEPARTMENT</v>
      </c>
      <c r="F7980" t="str">
        <f t="shared" si="3241"/>
        <v>IBG</v>
      </c>
      <c r="G7980" t="str">
        <f t="shared" si="3254"/>
        <v>Refund COSHARE 10</v>
      </c>
      <c r="H7980" s="2">
        <v>906.65</v>
      </c>
      <c r="I7980" t="str">
        <f>"NIK MARIAM BINTI NIK MAT"</f>
        <v>NIK MARIAM BINTI NIK MAT</v>
      </c>
      <c r="J7980" t="str">
        <f t="shared" si="3259"/>
        <v>BANK KERJASAMA RAKYAT</v>
      </c>
      <c r="K7980" t="str">
        <f>"220412180831"</f>
        <v>220412180831</v>
      </c>
      <c r="L7980" t="str">
        <f t="shared" si="3257"/>
        <v>04-08-2020</v>
      </c>
      <c r="M7980" t="str">
        <f t="shared" si="3257"/>
        <v>04-08-2020</v>
      </c>
      <c r="N7980" t="str">
        <f t="shared" si="3242"/>
        <v>001105018356</v>
      </c>
      <c r="O7980" t="str">
        <f t="shared" si="3243"/>
        <v>MYR</v>
      </c>
      <c r="P7980" t="str">
        <f t="shared" si="3258"/>
        <v>NIL</v>
      </c>
      <c r="Q7980" t="str">
        <f t="shared" si="3258"/>
        <v>NIL</v>
      </c>
      <c r="R7980" t="str">
        <f t="shared" si="3260"/>
        <v>Accepted</v>
      </c>
      <c r="S7980" t="str">
        <f t="shared" si="3244"/>
        <v>Approved</v>
      </c>
      <c r="T7980" t="str">
        <f t="shared" si="3261"/>
        <v>10.20.8.188</v>
      </c>
      <c r="U7980" t="str">
        <f t="shared" si="3245"/>
        <v>AZRAD UMAR BIN SHAARI</v>
      </c>
      <c r="V7980" t="str">
        <f t="shared" si="3246"/>
        <v>FARHANA BINTI MUSTAPA</v>
      </c>
      <c r="W7980" t="str">
        <f t="shared" si="3247"/>
        <v>04-08-2020</v>
      </c>
      <c r="X7980" t="str">
        <f t="shared" si="3248"/>
        <v>RAZIMAH ANSAR AHMAD</v>
      </c>
      <c r="Y7980" t="str">
        <f t="shared" si="3249"/>
        <v>04-08-2020</v>
      </c>
      <c r="Z7980" t="str">
        <f>"COS10200804 1174"</f>
        <v>COS10200804 1174</v>
      </c>
    </row>
    <row r="7981" spans="1:26" x14ac:dyDescent="0.25">
      <c r="A7981" t="str">
        <f t="shared" si="3255"/>
        <v>04-08-2020 12:31:59</v>
      </c>
      <c r="B7981" t="str">
        <f>"0000802920"</f>
        <v>0000802920</v>
      </c>
      <c r="C7981" t="str">
        <f t="shared" si="3256"/>
        <v>0000802747</v>
      </c>
      <c r="D7981" t="str">
        <f t="shared" si="3239"/>
        <v>73185</v>
      </c>
      <c r="E7981" t="str">
        <f t="shared" si="3240"/>
        <v>KFH-OPERATIONS DEPARTMENT</v>
      </c>
      <c r="F7981" t="str">
        <f t="shared" si="3241"/>
        <v>IBG</v>
      </c>
      <c r="G7981" t="str">
        <f t="shared" si="3254"/>
        <v>Refund COSHARE 10</v>
      </c>
      <c r="H7981" s="2">
        <v>243</v>
      </c>
      <c r="I7981" t="str">
        <f>"NIK MAHIRAN BINTI NIK MUSTAFFA  NIK PA"</f>
        <v>NIK MAHIRAN BINTI NIK MUSTAFFA  NIK PA</v>
      </c>
      <c r="J7981" t="str">
        <f t="shared" si="3259"/>
        <v>BANK KERJASAMA RAKYAT</v>
      </c>
      <c r="K7981" t="str">
        <f>"220581106161"</f>
        <v>220581106161</v>
      </c>
      <c r="L7981" t="str">
        <f t="shared" si="3257"/>
        <v>04-08-2020</v>
      </c>
      <c r="M7981" t="str">
        <f t="shared" si="3257"/>
        <v>04-08-2020</v>
      </c>
      <c r="N7981" t="str">
        <f t="shared" si="3242"/>
        <v>001105018356</v>
      </c>
      <c r="O7981" t="str">
        <f t="shared" si="3243"/>
        <v>MYR</v>
      </c>
      <c r="P7981" t="str">
        <f t="shared" si="3258"/>
        <v>NIL</v>
      </c>
      <c r="Q7981" t="str">
        <f t="shared" si="3258"/>
        <v>NIL</v>
      </c>
      <c r="R7981" t="str">
        <f t="shared" si="3260"/>
        <v>Accepted</v>
      </c>
      <c r="S7981" t="str">
        <f t="shared" si="3244"/>
        <v>Approved</v>
      </c>
      <c r="T7981" t="str">
        <f t="shared" si="3261"/>
        <v>10.20.8.188</v>
      </c>
      <c r="U7981" t="str">
        <f t="shared" si="3245"/>
        <v>AZRAD UMAR BIN SHAARI</v>
      </c>
      <c r="V7981" t="str">
        <f t="shared" si="3246"/>
        <v>FARHANA BINTI MUSTAPA</v>
      </c>
      <c r="W7981" t="str">
        <f t="shared" si="3247"/>
        <v>04-08-2020</v>
      </c>
      <c r="X7981" t="str">
        <f t="shared" si="3248"/>
        <v>RAZIMAH ANSAR AHMAD</v>
      </c>
      <c r="Y7981" t="str">
        <f t="shared" si="3249"/>
        <v>04-08-2020</v>
      </c>
      <c r="Z7981" t="str">
        <f>"COS10200804 1173"</f>
        <v>COS10200804 1173</v>
      </c>
    </row>
    <row r="7982" spans="1:26" x14ac:dyDescent="0.25">
      <c r="A7982" t="str">
        <f t="shared" si="3255"/>
        <v>04-08-2020 12:31:59</v>
      </c>
      <c r="B7982" t="str">
        <f>"0000802919"</f>
        <v>0000802919</v>
      </c>
      <c r="C7982" t="str">
        <f t="shared" si="3256"/>
        <v>0000802747</v>
      </c>
      <c r="D7982" t="str">
        <f t="shared" si="3239"/>
        <v>73185</v>
      </c>
      <c r="E7982" t="str">
        <f t="shared" si="3240"/>
        <v>KFH-OPERATIONS DEPARTMENT</v>
      </c>
      <c r="F7982" t="str">
        <f t="shared" si="3241"/>
        <v>IBG</v>
      </c>
      <c r="G7982" t="str">
        <f t="shared" si="3254"/>
        <v>Refund COSHARE 10</v>
      </c>
      <c r="H7982" s="2">
        <v>629.65</v>
      </c>
      <c r="I7982" t="str">
        <f>"NIK ASMANI BINTI GHANI"</f>
        <v>NIK ASMANI BINTI GHANI</v>
      </c>
      <c r="J7982" t="str">
        <f t="shared" si="3259"/>
        <v>BANK KERJASAMA RAKYAT</v>
      </c>
      <c r="K7982" t="str">
        <f>"220941041656"</f>
        <v>220941041656</v>
      </c>
      <c r="L7982" t="str">
        <f t="shared" si="3257"/>
        <v>04-08-2020</v>
      </c>
      <c r="M7982" t="str">
        <f t="shared" si="3257"/>
        <v>04-08-2020</v>
      </c>
      <c r="N7982" t="str">
        <f t="shared" si="3242"/>
        <v>001105018356</v>
      </c>
      <c r="O7982" t="str">
        <f t="shared" si="3243"/>
        <v>MYR</v>
      </c>
      <c r="P7982" t="str">
        <f t="shared" si="3258"/>
        <v>NIL</v>
      </c>
      <c r="Q7982" t="str">
        <f t="shared" si="3258"/>
        <v>NIL</v>
      </c>
      <c r="R7982" t="str">
        <f t="shared" si="3260"/>
        <v>Accepted</v>
      </c>
      <c r="S7982" t="str">
        <f t="shared" si="3244"/>
        <v>Approved</v>
      </c>
      <c r="T7982" t="str">
        <f t="shared" si="3261"/>
        <v>10.20.8.188</v>
      </c>
      <c r="U7982" t="str">
        <f t="shared" si="3245"/>
        <v>AZRAD UMAR BIN SHAARI</v>
      </c>
      <c r="V7982" t="str">
        <f t="shared" si="3246"/>
        <v>FARHANA BINTI MUSTAPA</v>
      </c>
      <c r="W7982" t="str">
        <f t="shared" si="3247"/>
        <v>04-08-2020</v>
      </c>
      <c r="X7982" t="str">
        <f t="shared" si="3248"/>
        <v>RAZIMAH ANSAR AHMAD</v>
      </c>
      <c r="Y7982" t="str">
        <f t="shared" si="3249"/>
        <v>04-08-2020</v>
      </c>
      <c r="Z7982" t="str">
        <f>"COS10200804 1172"</f>
        <v>COS10200804 1172</v>
      </c>
    </row>
    <row r="7983" spans="1:26" x14ac:dyDescent="0.25">
      <c r="A7983" t="str">
        <f t="shared" si="3255"/>
        <v>04-08-2020 12:31:59</v>
      </c>
      <c r="B7983" t="str">
        <f>"0000802918"</f>
        <v>0000802918</v>
      </c>
      <c r="C7983" t="str">
        <f t="shared" si="3256"/>
        <v>0000802747</v>
      </c>
      <c r="D7983" t="str">
        <f t="shared" si="3239"/>
        <v>73185</v>
      </c>
      <c r="E7983" t="str">
        <f t="shared" si="3240"/>
        <v>KFH-OPERATIONS DEPARTMENT</v>
      </c>
      <c r="F7983" t="str">
        <f t="shared" si="3241"/>
        <v>IBG</v>
      </c>
      <c r="G7983" t="str">
        <f t="shared" si="3254"/>
        <v>Refund COSHARE 10</v>
      </c>
      <c r="H7983" s="2">
        <v>399.15</v>
      </c>
      <c r="I7983" t="str">
        <f>"NAZRI BIN ADNAN"</f>
        <v>NAZRI BIN ADNAN</v>
      </c>
      <c r="J7983" t="str">
        <f t="shared" si="3259"/>
        <v>BANK KERJASAMA RAKYAT</v>
      </c>
      <c r="K7983" t="str">
        <f>"220121582133"</f>
        <v>220121582133</v>
      </c>
      <c r="L7983" t="str">
        <f t="shared" si="3257"/>
        <v>04-08-2020</v>
      </c>
      <c r="M7983" t="str">
        <f t="shared" si="3257"/>
        <v>04-08-2020</v>
      </c>
      <c r="N7983" t="str">
        <f t="shared" si="3242"/>
        <v>001105018356</v>
      </c>
      <c r="O7983" t="str">
        <f t="shared" si="3243"/>
        <v>MYR</v>
      </c>
      <c r="P7983" t="str">
        <f t="shared" si="3258"/>
        <v>NIL</v>
      </c>
      <c r="Q7983" t="str">
        <f t="shared" si="3258"/>
        <v>NIL</v>
      </c>
      <c r="R7983" t="str">
        <f t="shared" si="3260"/>
        <v>Accepted</v>
      </c>
      <c r="S7983" t="str">
        <f t="shared" si="3244"/>
        <v>Approved</v>
      </c>
      <c r="T7983" t="str">
        <f t="shared" si="3261"/>
        <v>10.20.8.188</v>
      </c>
      <c r="U7983" t="str">
        <f t="shared" si="3245"/>
        <v>AZRAD UMAR BIN SHAARI</v>
      </c>
      <c r="V7983" t="str">
        <f t="shared" si="3246"/>
        <v>FARHANA BINTI MUSTAPA</v>
      </c>
      <c r="W7983" t="str">
        <f t="shared" si="3247"/>
        <v>04-08-2020</v>
      </c>
      <c r="X7983" t="str">
        <f t="shared" si="3248"/>
        <v>RAZIMAH ANSAR AHMAD</v>
      </c>
      <c r="Y7983" t="str">
        <f t="shared" si="3249"/>
        <v>04-08-2020</v>
      </c>
      <c r="Z7983" t="str">
        <f>"COS10200804 1171"</f>
        <v>COS10200804 1171</v>
      </c>
    </row>
    <row r="7984" spans="1:26" x14ac:dyDescent="0.25">
      <c r="A7984" t="str">
        <f t="shared" si="3255"/>
        <v>04-08-2020 12:31:59</v>
      </c>
      <c r="B7984" t="str">
        <f>"0000802917"</f>
        <v>0000802917</v>
      </c>
      <c r="C7984" t="str">
        <f t="shared" si="3256"/>
        <v>0000802747</v>
      </c>
      <c r="D7984" t="str">
        <f t="shared" si="3239"/>
        <v>73185</v>
      </c>
      <c r="E7984" t="str">
        <f t="shared" si="3240"/>
        <v>KFH-OPERATIONS DEPARTMENT</v>
      </c>
      <c r="F7984" t="str">
        <f t="shared" si="3241"/>
        <v>IBG</v>
      </c>
      <c r="G7984" t="str">
        <f t="shared" si="3254"/>
        <v>Refund COSHARE 10</v>
      </c>
      <c r="H7984" s="2">
        <v>1041.25</v>
      </c>
      <c r="I7984" t="str">
        <f>"NATASHA SHARINA HAM BINTI ABDULLAH"</f>
        <v>NATASHA SHARINA HAM BINTI ABDULLAH</v>
      </c>
      <c r="J7984" t="str">
        <f t="shared" si="3259"/>
        <v>BANK KERJASAMA RAKYAT</v>
      </c>
      <c r="K7984" t="str">
        <f>"221131134605"</f>
        <v>221131134605</v>
      </c>
      <c r="L7984" t="str">
        <f t="shared" si="3257"/>
        <v>04-08-2020</v>
      </c>
      <c r="M7984" t="str">
        <f t="shared" si="3257"/>
        <v>04-08-2020</v>
      </c>
      <c r="N7984" t="str">
        <f t="shared" si="3242"/>
        <v>001105018356</v>
      </c>
      <c r="O7984" t="str">
        <f t="shared" si="3243"/>
        <v>MYR</v>
      </c>
      <c r="P7984" t="str">
        <f t="shared" si="3258"/>
        <v>NIL</v>
      </c>
      <c r="Q7984" t="str">
        <f t="shared" si="3258"/>
        <v>NIL</v>
      </c>
      <c r="R7984" t="str">
        <f t="shared" si="3260"/>
        <v>Accepted</v>
      </c>
      <c r="S7984" t="str">
        <f t="shared" si="3244"/>
        <v>Approved</v>
      </c>
      <c r="T7984" t="str">
        <f t="shared" si="3261"/>
        <v>10.20.8.188</v>
      </c>
      <c r="U7984" t="str">
        <f t="shared" si="3245"/>
        <v>AZRAD UMAR BIN SHAARI</v>
      </c>
      <c r="V7984" t="str">
        <f t="shared" si="3246"/>
        <v>FARHANA BINTI MUSTAPA</v>
      </c>
      <c r="W7984" t="str">
        <f t="shared" si="3247"/>
        <v>04-08-2020</v>
      </c>
      <c r="X7984" t="str">
        <f t="shared" si="3248"/>
        <v>RAZIMAH ANSAR AHMAD</v>
      </c>
      <c r="Y7984" t="str">
        <f t="shared" si="3249"/>
        <v>04-08-2020</v>
      </c>
      <c r="Z7984" t="str">
        <f>"COS10200804 1170"</f>
        <v>COS10200804 1170</v>
      </c>
    </row>
    <row r="7985" spans="1:26" x14ac:dyDescent="0.25">
      <c r="A7985" t="str">
        <f t="shared" si="3255"/>
        <v>04-08-2020 12:31:59</v>
      </c>
      <c r="B7985" t="str">
        <f>"0000802916"</f>
        <v>0000802916</v>
      </c>
      <c r="C7985" t="str">
        <f t="shared" si="3256"/>
        <v>0000802747</v>
      </c>
      <c r="D7985" t="str">
        <f t="shared" si="3239"/>
        <v>73185</v>
      </c>
      <c r="E7985" t="str">
        <f t="shared" si="3240"/>
        <v>KFH-OPERATIONS DEPARTMENT</v>
      </c>
      <c r="F7985" t="str">
        <f t="shared" si="3241"/>
        <v>IBG</v>
      </c>
      <c r="G7985" t="str">
        <f t="shared" si="3254"/>
        <v>Refund COSHARE 10</v>
      </c>
      <c r="H7985" s="2">
        <v>393.2</v>
      </c>
      <c r="I7985" t="str">
        <f>"NASSIF BIN YUSOF  USOP"</f>
        <v>NASSIF BIN YUSOF  USOP</v>
      </c>
      <c r="J7985" t="str">
        <f t="shared" si="3259"/>
        <v>BANK KERJASAMA RAKYAT</v>
      </c>
      <c r="K7985" t="str">
        <f>"220891040955"</f>
        <v>220891040955</v>
      </c>
      <c r="L7985" t="str">
        <f t="shared" si="3257"/>
        <v>04-08-2020</v>
      </c>
      <c r="M7985" t="str">
        <f t="shared" si="3257"/>
        <v>04-08-2020</v>
      </c>
      <c r="N7985" t="str">
        <f t="shared" si="3242"/>
        <v>001105018356</v>
      </c>
      <c r="O7985" t="str">
        <f t="shared" si="3243"/>
        <v>MYR</v>
      </c>
      <c r="P7985" t="str">
        <f t="shared" si="3258"/>
        <v>NIL</v>
      </c>
      <c r="Q7985" t="str">
        <f t="shared" si="3258"/>
        <v>NIL</v>
      </c>
      <c r="R7985" t="str">
        <f t="shared" si="3260"/>
        <v>Accepted</v>
      </c>
      <c r="S7985" t="str">
        <f t="shared" si="3244"/>
        <v>Approved</v>
      </c>
      <c r="T7985" t="str">
        <f t="shared" si="3261"/>
        <v>10.20.8.188</v>
      </c>
      <c r="U7985" t="str">
        <f t="shared" si="3245"/>
        <v>AZRAD UMAR BIN SHAARI</v>
      </c>
      <c r="V7985" t="str">
        <f t="shared" si="3246"/>
        <v>FARHANA BINTI MUSTAPA</v>
      </c>
      <c r="W7985" t="str">
        <f t="shared" si="3247"/>
        <v>04-08-2020</v>
      </c>
      <c r="X7985" t="str">
        <f t="shared" si="3248"/>
        <v>RAZIMAH ANSAR AHMAD</v>
      </c>
      <c r="Y7985" t="str">
        <f t="shared" si="3249"/>
        <v>04-08-2020</v>
      </c>
      <c r="Z7985" t="str">
        <f>"COS10200804 1169"</f>
        <v>COS10200804 1169</v>
      </c>
    </row>
    <row r="7986" spans="1:26" x14ac:dyDescent="0.25">
      <c r="A7986" t="str">
        <f t="shared" ref="A7986:A8017" si="3262">"04-08-2020 12:31:59"</f>
        <v>04-08-2020 12:31:59</v>
      </c>
      <c r="B7986" t="str">
        <f>"0000802915"</f>
        <v>0000802915</v>
      </c>
      <c r="C7986" t="str">
        <f t="shared" ref="C7986:C8017" si="3263">"0000802747"</f>
        <v>0000802747</v>
      </c>
      <c r="D7986" t="str">
        <f t="shared" si="3239"/>
        <v>73185</v>
      </c>
      <c r="E7986" t="str">
        <f t="shared" si="3240"/>
        <v>KFH-OPERATIONS DEPARTMENT</v>
      </c>
      <c r="F7986" t="str">
        <f t="shared" si="3241"/>
        <v>IBG</v>
      </c>
      <c r="G7986" t="str">
        <f t="shared" si="3254"/>
        <v>Refund COSHARE 10</v>
      </c>
      <c r="H7986" s="2">
        <v>67.2</v>
      </c>
      <c r="I7986" t="str">
        <f>"NASRUL HAFINAZ BIN NASARUDDIN"</f>
        <v>NASRUL HAFINAZ BIN NASARUDDIN</v>
      </c>
      <c r="J7986" t="str">
        <f t="shared" si="3259"/>
        <v>BANK KERJASAMA RAKYAT</v>
      </c>
      <c r="K7986" t="str">
        <f>"220163421829"</f>
        <v>220163421829</v>
      </c>
      <c r="L7986" t="str">
        <f t="shared" si="3257"/>
        <v>04-08-2020</v>
      </c>
      <c r="M7986" t="str">
        <f t="shared" si="3257"/>
        <v>04-08-2020</v>
      </c>
      <c r="N7986" t="str">
        <f t="shared" si="3242"/>
        <v>001105018356</v>
      </c>
      <c r="O7986" t="str">
        <f t="shared" si="3243"/>
        <v>MYR</v>
      </c>
      <c r="P7986" t="str">
        <f t="shared" si="3258"/>
        <v>NIL</v>
      </c>
      <c r="Q7986" t="str">
        <f t="shared" si="3258"/>
        <v>NIL</v>
      </c>
      <c r="R7986" t="str">
        <f t="shared" si="3260"/>
        <v>Accepted</v>
      </c>
      <c r="S7986" t="str">
        <f t="shared" si="3244"/>
        <v>Approved</v>
      </c>
      <c r="T7986" t="str">
        <f t="shared" si="3261"/>
        <v>10.20.8.188</v>
      </c>
      <c r="U7986" t="str">
        <f t="shared" si="3245"/>
        <v>AZRAD UMAR BIN SHAARI</v>
      </c>
      <c r="V7986" t="str">
        <f t="shared" si="3246"/>
        <v>FARHANA BINTI MUSTAPA</v>
      </c>
      <c r="W7986" t="str">
        <f t="shared" si="3247"/>
        <v>04-08-2020</v>
      </c>
      <c r="X7986" t="str">
        <f t="shared" si="3248"/>
        <v>RAZIMAH ANSAR AHMAD</v>
      </c>
      <c r="Y7986" t="str">
        <f t="shared" si="3249"/>
        <v>04-08-2020</v>
      </c>
      <c r="Z7986" t="str">
        <f>"COS10200804 1168"</f>
        <v>COS10200804 1168</v>
      </c>
    </row>
    <row r="7987" spans="1:26" x14ac:dyDescent="0.25">
      <c r="A7987" t="str">
        <f t="shared" si="3262"/>
        <v>04-08-2020 12:31:59</v>
      </c>
      <c r="B7987" t="str">
        <f>"0000802914"</f>
        <v>0000802914</v>
      </c>
      <c r="C7987" t="str">
        <f t="shared" si="3263"/>
        <v>0000802747</v>
      </c>
      <c r="D7987" t="str">
        <f t="shared" si="3239"/>
        <v>73185</v>
      </c>
      <c r="E7987" t="str">
        <f t="shared" si="3240"/>
        <v>KFH-OPERATIONS DEPARTMENT</v>
      </c>
      <c r="F7987" t="str">
        <f t="shared" si="3241"/>
        <v>IBG</v>
      </c>
      <c r="G7987" t="str">
        <f t="shared" si="3254"/>
        <v>Refund COSHARE 10</v>
      </c>
      <c r="H7987" s="2">
        <v>461.75</v>
      </c>
      <c r="I7987" t="str">
        <f>"NASRON BIN ZAINUDIN"</f>
        <v>NASRON BIN ZAINUDIN</v>
      </c>
      <c r="J7987" t="str">
        <f t="shared" si="3259"/>
        <v>BANK KERJASAMA RAKYAT</v>
      </c>
      <c r="K7987" t="str">
        <f>"220541403249"</f>
        <v>220541403249</v>
      </c>
      <c r="L7987" t="str">
        <f t="shared" ref="L7987:M8006" si="3264">"04-08-2020"</f>
        <v>04-08-2020</v>
      </c>
      <c r="M7987" t="str">
        <f t="shared" si="3264"/>
        <v>04-08-2020</v>
      </c>
      <c r="N7987" t="str">
        <f t="shared" si="3242"/>
        <v>001105018356</v>
      </c>
      <c r="O7987" t="str">
        <f t="shared" si="3243"/>
        <v>MYR</v>
      </c>
      <c r="P7987" t="str">
        <f t="shared" ref="P7987:Q8006" si="3265">"NIL"</f>
        <v>NIL</v>
      </c>
      <c r="Q7987" t="str">
        <f t="shared" si="3265"/>
        <v>NIL</v>
      </c>
      <c r="R7987" t="str">
        <f t="shared" si="3260"/>
        <v>Accepted</v>
      </c>
      <c r="S7987" t="str">
        <f t="shared" si="3244"/>
        <v>Approved</v>
      </c>
      <c r="T7987" t="str">
        <f t="shared" si="3261"/>
        <v>10.20.8.188</v>
      </c>
      <c r="U7987" t="str">
        <f t="shared" si="3245"/>
        <v>AZRAD UMAR BIN SHAARI</v>
      </c>
      <c r="V7987" t="str">
        <f t="shared" si="3246"/>
        <v>FARHANA BINTI MUSTAPA</v>
      </c>
      <c r="W7987" t="str">
        <f t="shared" si="3247"/>
        <v>04-08-2020</v>
      </c>
      <c r="X7987" t="str">
        <f t="shared" si="3248"/>
        <v>RAZIMAH ANSAR AHMAD</v>
      </c>
      <c r="Y7987" t="str">
        <f t="shared" si="3249"/>
        <v>04-08-2020</v>
      </c>
      <c r="Z7987" t="str">
        <f>"COS10200804 1167"</f>
        <v>COS10200804 1167</v>
      </c>
    </row>
    <row r="7988" spans="1:26" x14ac:dyDescent="0.25">
      <c r="A7988" t="str">
        <f t="shared" si="3262"/>
        <v>04-08-2020 12:31:59</v>
      </c>
      <c r="B7988" t="str">
        <f>"0000802913"</f>
        <v>0000802913</v>
      </c>
      <c r="C7988" t="str">
        <f t="shared" si="3263"/>
        <v>0000802747</v>
      </c>
      <c r="D7988" t="str">
        <f t="shared" si="3239"/>
        <v>73185</v>
      </c>
      <c r="E7988" t="str">
        <f t="shared" si="3240"/>
        <v>KFH-OPERATIONS DEPARTMENT</v>
      </c>
      <c r="F7988" t="str">
        <f t="shared" si="3241"/>
        <v>IBG</v>
      </c>
      <c r="G7988" t="str">
        <f t="shared" si="3254"/>
        <v>Refund COSHARE 10</v>
      </c>
      <c r="H7988" s="2">
        <v>283.85000000000002</v>
      </c>
      <c r="I7988" t="str">
        <f>"NASIRAH BINTI ABDUL MANAN"</f>
        <v>NASIRAH BINTI ABDUL MANAN</v>
      </c>
      <c r="J7988" t="str">
        <f t="shared" si="3259"/>
        <v>BANK KERJASAMA RAKYAT</v>
      </c>
      <c r="K7988" t="str">
        <f>"220161031005"</f>
        <v>220161031005</v>
      </c>
      <c r="L7988" t="str">
        <f t="shared" si="3264"/>
        <v>04-08-2020</v>
      </c>
      <c r="M7988" t="str">
        <f t="shared" si="3264"/>
        <v>04-08-2020</v>
      </c>
      <c r="N7988" t="str">
        <f t="shared" si="3242"/>
        <v>001105018356</v>
      </c>
      <c r="O7988" t="str">
        <f t="shared" si="3243"/>
        <v>MYR</v>
      </c>
      <c r="P7988" t="str">
        <f t="shared" si="3265"/>
        <v>NIL</v>
      </c>
      <c r="Q7988" t="str">
        <f t="shared" si="3265"/>
        <v>NIL</v>
      </c>
      <c r="R7988" t="str">
        <f t="shared" si="3260"/>
        <v>Accepted</v>
      </c>
      <c r="S7988" t="str">
        <f t="shared" si="3244"/>
        <v>Approved</v>
      </c>
      <c r="T7988" t="str">
        <f t="shared" si="3261"/>
        <v>10.20.8.188</v>
      </c>
      <c r="U7988" t="str">
        <f t="shared" si="3245"/>
        <v>AZRAD UMAR BIN SHAARI</v>
      </c>
      <c r="V7988" t="str">
        <f t="shared" si="3246"/>
        <v>FARHANA BINTI MUSTAPA</v>
      </c>
      <c r="W7988" t="str">
        <f t="shared" si="3247"/>
        <v>04-08-2020</v>
      </c>
      <c r="X7988" t="str">
        <f t="shared" si="3248"/>
        <v>RAZIMAH ANSAR AHMAD</v>
      </c>
      <c r="Y7988" t="str">
        <f t="shared" si="3249"/>
        <v>04-08-2020</v>
      </c>
      <c r="Z7988" t="str">
        <f>"COS10200804 1166"</f>
        <v>COS10200804 1166</v>
      </c>
    </row>
    <row r="7989" spans="1:26" x14ac:dyDescent="0.25">
      <c r="A7989" t="str">
        <f t="shared" si="3262"/>
        <v>04-08-2020 12:31:59</v>
      </c>
      <c r="B7989" t="str">
        <f>"0000802912"</f>
        <v>0000802912</v>
      </c>
      <c r="C7989" t="str">
        <f t="shared" si="3263"/>
        <v>0000802747</v>
      </c>
      <c r="D7989" t="str">
        <f t="shared" si="3239"/>
        <v>73185</v>
      </c>
      <c r="E7989" t="str">
        <f t="shared" si="3240"/>
        <v>KFH-OPERATIONS DEPARTMENT</v>
      </c>
      <c r="F7989" t="str">
        <f t="shared" si="3241"/>
        <v>IBG</v>
      </c>
      <c r="G7989" t="str">
        <f t="shared" si="3254"/>
        <v>Refund COSHARE 10</v>
      </c>
      <c r="H7989" s="2">
        <v>58.8</v>
      </c>
      <c r="I7989" t="str">
        <f>"NASIR BIN OTHMAN"</f>
        <v>NASIR BIN OTHMAN</v>
      </c>
      <c r="J7989" t="str">
        <f t="shared" si="3259"/>
        <v>BANK KERJASAMA RAKYAT</v>
      </c>
      <c r="K7989" t="str">
        <f>"220631099577"</f>
        <v>220631099577</v>
      </c>
      <c r="L7989" t="str">
        <f t="shared" si="3264"/>
        <v>04-08-2020</v>
      </c>
      <c r="M7989" t="str">
        <f t="shared" si="3264"/>
        <v>04-08-2020</v>
      </c>
      <c r="N7989" t="str">
        <f t="shared" si="3242"/>
        <v>001105018356</v>
      </c>
      <c r="O7989" t="str">
        <f t="shared" si="3243"/>
        <v>MYR</v>
      </c>
      <c r="P7989" t="str">
        <f t="shared" si="3265"/>
        <v>NIL</v>
      </c>
      <c r="Q7989" t="str">
        <f t="shared" si="3265"/>
        <v>NIL</v>
      </c>
      <c r="R7989" t="str">
        <f t="shared" si="3260"/>
        <v>Accepted</v>
      </c>
      <c r="S7989" t="str">
        <f t="shared" si="3244"/>
        <v>Approved</v>
      </c>
      <c r="T7989" t="str">
        <f t="shared" si="3261"/>
        <v>10.20.8.188</v>
      </c>
      <c r="U7989" t="str">
        <f t="shared" si="3245"/>
        <v>AZRAD UMAR BIN SHAARI</v>
      </c>
      <c r="V7989" t="str">
        <f t="shared" si="3246"/>
        <v>FARHANA BINTI MUSTAPA</v>
      </c>
      <c r="W7989" t="str">
        <f t="shared" si="3247"/>
        <v>04-08-2020</v>
      </c>
      <c r="X7989" t="str">
        <f t="shared" si="3248"/>
        <v>RAZIMAH ANSAR AHMAD</v>
      </c>
      <c r="Y7989" t="str">
        <f t="shared" si="3249"/>
        <v>04-08-2020</v>
      </c>
      <c r="Z7989" t="str">
        <f>"COS10200804 1165"</f>
        <v>COS10200804 1165</v>
      </c>
    </row>
    <row r="7990" spans="1:26" x14ac:dyDescent="0.25">
      <c r="A7990" t="str">
        <f t="shared" si="3262"/>
        <v>04-08-2020 12:31:59</v>
      </c>
      <c r="B7990" t="str">
        <f>"0000802911"</f>
        <v>0000802911</v>
      </c>
      <c r="C7990" t="str">
        <f t="shared" si="3263"/>
        <v>0000802747</v>
      </c>
      <c r="D7990" t="str">
        <f t="shared" si="3239"/>
        <v>73185</v>
      </c>
      <c r="E7990" t="str">
        <f t="shared" si="3240"/>
        <v>KFH-OPERATIONS DEPARTMENT</v>
      </c>
      <c r="F7990" t="str">
        <f t="shared" si="3241"/>
        <v>IBG</v>
      </c>
      <c r="G7990" t="str">
        <f t="shared" si="3254"/>
        <v>Refund COSHARE 10</v>
      </c>
      <c r="H7990" s="2">
        <v>42</v>
      </c>
      <c r="I7990" t="str">
        <f>"NASHAREHAN BINTI ABDULLAH"</f>
        <v>NASHAREHAN BINTI ABDULLAH</v>
      </c>
      <c r="J7990" t="str">
        <f t="shared" si="3259"/>
        <v>BANK KERJASAMA RAKYAT</v>
      </c>
      <c r="K7990" t="str">
        <f>"220591198799"</f>
        <v>220591198799</v>
      </c>
      <c r="L7990" t="str">
        <f t="shared" si="3264"/>
        <v>04-08-2020</v>
      </c>
      <c r="M7990" t="str">
        <f t="shared" si="3264"/>
        <v>04-08-2020</v>
      </c>
      <c r="N7990" t="str">
        <f t="shared" si="3242"/>
        <v>001105018356</v>
      </c>
      <c r="O7990" t="str">
        <f t="shared" si="3243"/>
        <v>MYR</v>
      </c>
      <c r="P7990" t="str">
        <f t="shared" si="3265"/>
        <v>NIL</v>
      </c>
      <c r="Q7990" t="str">
        <f t="shared" si="3265"/>
        <v>NIL</v>
      </c>
      <c r="R7990" t="str">
        <f t="shared" si="3260"/>
        <v>Accepted</v>
      </c>
      <c r="S7990" t="str">
        <f t="shared" si="3244"/>
        <v>Approved</v>
      </c>
      <c r="T7990" t="str">
        <f t="shared" si="3261"/>
        <v>10.20.8.188</v>
      </c>
      <c r="U7990" t="str">
        <f t="shared" si="3245"/>
        <v>AZRAD UMAR BIN SHAARI</v>
      </c>
      <c r="V7990" t="str">
        <f t="shared" si="3246"/>
        <v>FARHANA BINTI MUSTAPA</v>
      </c>
      <c r="W7990" t="str">
        <f t="shared" si="3247"/>
        <v>04-08-2020</v>
      </c>
      <c r="X7990" t="str">
        <f t="shared" si="3248"/>
        <v>RAZIMAH ANSAR AHMAD</v>
      </c>
      <c r="Y7990" t="str">
        <f t="shared" si="3249"/>
        <v>04-08-2020</v>
      </c>
      <c r="Z7990" t="str">
        <f>"COS10200804 1164"</f>
        <v>COS10200804 1164</v>
      </c>
    </row>
    <row r="7991" spans="1:26" x14ac:dyDescent="0.25">
      <c r="A7991" t="str">
        <f t="shared" si="3262"/>
        <v>04-08-2020 12:31:59</v>
      </c>
      <c r="B7991" t="str">
        <f>"0000802910"</f>
        <v>0000802910</v>
      </c>
      <c r="C7991" t="str">
        <f t="shared" si="3263"/>
        <v>0000802747</v>
      </c>
      <c r="D7991" t="str">
        <f t="shared" si="3239"/>
        <v>73185</v>
      </c>
      <c r="E7991" t="str">
        <f t="shared" si="3240"/>
        <v>KFH-OPERATIONS DEPARTMENT</v>
      </c>
      <c r="F7991" t="str">
        <f t="shared" si="3241"/>
        <v>IBG</v>
      </c>
      <c r="G7991" t="str">
        <f t="shared" si="3254"/>
        <v>Refund COSHARE 10</v>
      </c>
      <c r="H7991" s="2">
        <v>587.65</v>
      </c>
      <c r="I7991" t="str">
        <f>"NAROL HASLIZA  NOR HASLIZA BINTI AHMAD"</f>
        <v>NAROL HASLIZA  NOR HASLIZA BINTI AHMAD</v>
      </c>
      <c r="J7991" t="str">
        <f t="shared" si="3259"/>
        <v>BANK KERJASAMA RAKYAT</v>
      </c>
      <c r="K7991" t="str">
        <f>"620860542808"</f>
        <v>620860542808</v>
      </c>
      <c r="L7991" t="str">
        <f t="shared" si="3264"/>
        <v>04-08-2020</v>
      </c>
      <c r="M7991" t="str">
        <f t="shared" si="3264"/>
        <v>04-08-2020</v>
      </c>
      <c r="N7991" t="str">
        <f t="shared" si="3242"/>
        <v>001105018356</v>
      </c>
      <c r="O7991" t="str">
        <f t="shared" si="3243"/>
        <v>MYR</v>
      </c>
      <c r="P7991" t="str">
        <f t="shared" si="3265"/>
        <v>NIL</v>
      </c>
      <c r="Q7991" t="str">
        <f t="shared" si="3265"/>
        <v>NIL</v>
      </c>
      <c r="R7991" t="str">
        <f t="shared" si="3260"/>
        <v>Accepted</v>
      </c>
      <c r="S7991" t="str">
        <f t="shared" si="3244"/>
        <v>Approved</v>
      </c>
      <c r="T7991" t="str">
        <f t="shared" si="3261"/>
        <v>10.20.8.188</v>
      </c>
      <c r="U7991" t="str">
        <f t="shared" si="3245"/>
        <v>AZRAD UMAR BIN SHAARI</v>
      </c>
      <c r="V7991" t="str">
        <f t="shared" si="3246"/>
        <v>FARHANA BINTI MUSTAPA</v>
      </c>
      <c r="W7991" t="str">
        <f t="shared" si="3247"/>
        <v>04-08-2020</v>
      </c>
      <c r="X7991" t="str">
        <f t="shared" si="3248"/>
        <v>RAZIMAH ANSAR AHMAD</v>
      </c>
      <c r="Y7991" t="str">
        <f t="shared" si="3249"/>
        <v>04-08-2020</v>
      </c>
      <c r="Z7991" t="str">
        <f>"COS10200804 1163"</f>
        <v>COS10200804 1163</v>
      </c>
    </row>
    <row r="7992" spans="1:26" x14ac:dyDescent="0.25">
      <c r="A7992" t="str">
        <f t="shared" si="3262"/>
        <v>04-08-2020 12:31:59</v>
      </c>
      <c r="B7992" t="str">
        <f>"0000802909"</f>
        <v>0000802909</v>
      </c>
      <c r="C7992" t="str">
        <f t="shared" si="3263"/>
        <v>0000802747</v>
      </c>
      <c r="D7992" t="str">
        <f t="shared" si="3239"/>
        <v>73185</v>
      </c>
      <c r="E7992" t="str">
        <f t="shared" si="3240"/>
        <v>KFH-OPERATIONS DEPARTMENT</v>
      </c>
      <c r="F7992" t="str">
        <f t="shared" si="3241"/>
        <v>IBG</v>
      </c>
      <c r="G7992" t="str">
        <f t="shared" si="3254"/>
        <v>Refund COSHARE 10</v>
      </c>
      <c r="H7992" s="2">
        <v>749.95</v>
      </c>
      <c r="I7992" t="str">
        <f>"NAIM BIN OTHMAN"</f>
        <v>NAIM BIN OTHMAN</v>
      </c>
      <c r="J7992" t="str">
        <f t="shared" si="3259"/>
        <v>BANK KERJASAMA RAKYAT</v>
      </c>
      <c r="K7992" t="str">
        <f>"220171497152"</f>
        <v>220171497152</v>
      </c>
      <c r="L7992" t="str">
        <f t="shared" si="3264"/>
        <v>04-08-2020</v>
      </c>
      <c r="M7992" t="str">
        <f t="shared" si="3264"/>
        <v>04-08-2020</v>
      </c>
      <c r="N7992" t="str">
        <f t="shared" si="3242"/>
        <v>001105018356</v>
      </c>
      <c r="O7992" t="str">
        <f t="shared" si="3243"/>
        <v>MYR</v>
      </c>
      <c r="P7992" t="str">
        <f t="shared" si="3265"/>
        <v>NIL</v>
      </c>
      <c r="Q7992" t="str">
        <f t="shared" si="3265"/>
        <v>NIL</v>
      </c>
      <c r="R7992" t="str">
        <f t="shared" si="3260"/>
        <v>Accepted</v>
      </c>
      <c r="S7992" t="str">
        <f t="shared" si="3244"/>
        <v>Approved</v>
      </c>
      <c r="T7992" t="str">
        <f t="shared" si="3261"/>
        <v>10.20.8.188</v>
      </c>
      <c r="U7992" t="str">
        <f t="shared" si="3245"/>
        <v>AZRAD UMAR BIN SHAARI</v>
      </c>
      <c r="V7992" t="str">
        <f t="shared" si="3246"/>
        <v>FARHANA BINTI MUSTAPA</v>
      </c>
      <c r="W7992" t="str">
        <f t="shared" si="3247"/>
        <v>04-08-2020</v>
      </c>
      <c r="X7992" t="str">
        <f t="shared" si="3248"/>
        <v>RAZIMAH ANSAR AHMAD</v>
      </c>
      <c r="Y7992" t="str">
        <f t="shared" si="3249"/>
        <v>04-08-2020</v>
      </c>
      <c r="Z7992" t="str">
        <f>"COS10200804 1162"</f>
        <v>COS10200804 1162</v>
      </c>
    </row>
    <row r="7993" spans="1:26" x14ac:dyDescent="0.25">
      <c r="A7993" t="str">
        <f t="shared" si="3262"/>
        <v>04-08-2020 12:31:59</v>
      </c>
      <c r="B7993" t="str">
        <f>"0000802908"</f>
        <v>0000802908</v>
      </c>
      <c r="C7993" t="str">
        <f t="shared" si="3263"/>
        <v>0000802747</v>
      </c>
      <c r="D7993" t="str">
        <f t="shared" si="3239"/>
        <v>73185</v>
      </c>
      <c r="E7993" t="str">
        <f t="shared" si="3240"/>
        <v>KFH-OPERATIONS DEPARTMENT</v>
      </c>
      <c r="F7993" t="str">
        <f t="shared" si="3241"/>
        <v>IBG</v>
      </c>
      <c r="G7993" t="str">
        <f t="shared" si="3254"/>
        <v>Refund COSHARE 10</v>
      </c>
      <c r="H7993" s="2">
        <v>134.35</v>
      </c>
      <c r="I7993" t="str">
        <f>"NAFISAH BINTI ABDUL RAHIM"</f>
        <v>NAFISAH BINTI ABDUL RAHIM</v>
      </c>
      <c r="J7993" t="str">
        <f t="shared" si="3259"/>
        <v>BANK KERJASAMA RAKYAT</v>
      </c>
      <c r="K7993" t="str">
        <f>"220751104840"</f>
        <v>220751104840</v>
      </c>
      <c r="L7993" t="str">
        <f t="shared" si="3264"/>
        <v>04-08-2020</v>
      </c>
      <c r="M7993" t="str">
        <f t="shared" si="3264"/>
        <v>04-08-2020</v>
      </c>
      <c r="N7993" t="str">
        <f t="shared" si="3242"/>
        <v>001105018356</v>
      </c>
      <c r="O7993" t="str">
        <f t="shared" si="3243"/>
        <v>MYR</v>
      </c>
      <c r="P7993" t="str">
        <f t="shared" si="3265"/>
        <v>NIL</v>
      </c>
      <c r="Q7993" t="str">
        <f t="shared" si="3265"/>
        <v>NIL</v>
      </c>
      <c r="R7993" t="str">
        <f t="shared" si="3260"/>
        <v>Accepted</v>
      </c>
      <c r="S7993" t="str">
        <f t="shared" si="3244"/>
        <v>Approved</v>
      </c>
      <c r="T7993" t="str">
        <f t="shared" si="3261"/>
        <v>10.20.8.188</v>
      </c>
      <c r="U7993" t="str">
        <f t="shared" si="3245"/>
        <v>AZRAD UMAR BIN SHAARI</v>
      </c>
      <c r="V7993" t="str">
        <f t="shared" si="3246"/>
        <v>FARHANA BINTI MUSTAPA</v>
      </c>
      <c r="W7993" t="str">
        <f t="shared" si="3247"/>
        <v>04-08-2020</v>
      </c>
      <c r="X7993" t="str">
        <f t="shared" si="3248"/>
        <v>RAZIMAH ANSAR AHMAD</v>
      </c>
      <c r="Y7993" t="str">
        <f t="shared" si="3249"/>
        <v>04-08-2020</v>
      </c>
      <c r="Z7993" t="str">
        <f>"COS10200804 1161"</f>
        <v>COS10200804 1161</v>
      </c>
    </row>
    <row r="7994" spans="1:26" x14ac:dyDescent="0.25">
      <c r="A7994" t="str">
        <f t="shared" si="3262"/>
        <v>04-08-2020 12:31:59</v>
      </c>
      <c r="B7994" t="str">
        <f>"0000802907"</f>
        <v>0000802907</v>
      </c>
      <c r="C7994" t="str">
        <f t="shared" si="3263"/>
        <v>0000802747</v>
      </c>
      <c r="D7994" t="str">
        <f t="shared" si="3239"/>
        <v>73185</v>
      </c>
      <c r="E7994" t="str">
        <f t="shared" si="3240"/>
        <v>KFH-OPERATIONS DEPARTMENT</v>
      </c>
      <c r="F7994" t="str">
        <f t="shared" si="3241"/>
        <v>IBG</v>
      </c>
      <c r="G7994" t="str">
        <f t="shared" si="3254"/>
        <v>Refund COSHARE 10</v>
      </c>
      <c r="H7994" s="2">
        <v>68.8</v>
      </c>
      <c r="I7994" t="str">
        <f>"MUSTAPHA BIN JOBELI"</f>
        <v>MUSTAPHA BIN JOBELI</v>
      </c>
      <c r="J7994" t="str">
        <f t="shared" si="3259"/>
        <v>BANK KERJASAMA RAKYAT</v>
      </c>
      <c r="K7994" t="str">
        <f>"220671181593"</f>
        <v>220671181593</v>
      </c>
      <c r="L7994" t="str">
        <f t="shared" si="3264"/>
        <v>04-08-2020</v>
      </c>
      <c r="M7994" t="str">
        <f t="shared" si="3264"/>
        <v>04-08-2020</v>
      </c>
      <c r="N7994" t="str">
        <f t="shared" si="3242"/>
        <v>001105018356</v>
      </c>
      <c r="O7994" t="str">
        <f t="shared" si="3243"/>
        <v>MYR</v>
      </c>
      <c r="P7994" t="str">
        <f t="shared" si="3265"/>
        <v>NIL</v>
      </c>
      <c r="Q7994" t="str">
        <f t="shared" si="3265"/>
        <v>NIL</v>
      </c>
      <c r="R7994" t="str">
        <f t="shared" si="3260"/>
        <v>Accepted</v>
      </c>
      <c r="S7994" t="str">
        <f t="shared" si="3244"/>
        <v>Approved</v>
      </c>
      <c r="T7994" t="str">
        <f t="shared" si="3261"/>
        <v>10.20.8.188</v>
      </c>
      <c r="U7994" t="str">
        <f t="shared" si="3245"/>
        <v>AZRAD UMAR BIN SHAARI</v>
      </c>
      <c r="V7994" t="str">
        <f t="shared" si="3246"/>
        <v>FARHANA BINTI MUSTAPA</v>
      </c>
      <c r="W7994" t="str">
        <f t="shared" si="3247"/>
        <v>04-08-2020</v>
      </c>
      <c r="X7994" t="str">
        <f t="shared" si="3248"/>
        <v>RAZIMAH ANSAR AHMAD</v>
      </c>
      <c r="Y7994" t="str">
        <f t="shared" si="3249"/>
        <v>04-08-2020</v>
      </c>
      <c r="Z7994" t="str">
        <f>"COS10200804 1160"</f>
        <v>COS10200804 1160</v>
      </c>
    </row>
    <row r="7995" spans="1:26" x14ac:dyDescent="0.25">
      <c r="A7995" t="str">
        <f t="shared" si="3262"/>
        <v>04-08-2020 12:31:59</v>
      </c>
      <c r="B7995" t="str">
        <f>"0000802906"</f>
        <v>0000802906</v>
      </c>
      <c r="C7995" t="str">
        <f t="shared" si="3263"/>
        <v>0000802747</v>
      </c>
      <c r="D7995" t="str">
        <f t="shared" si="3239"/>
        <v>73185</v>
      </c>
      <c r="E7995" t="str">
        <f t="shared" si="3240"/>
        <v>KFH-OPERATIONS DEPARTMENT</v>
      </c>
      <c r="F7995" t="str">
        <f t="shared" si="3241"/>
        <v>IBG</v>
      </c>
      <c r="G7995" t="str">
        <f t="shared" si="3254"/>
        <v>Refund COSHARE 10</v>
      </c>
      <c r="H7995" s="2">
        <v>1355</v>
      </c>
      <c r="I7995" t="str">
        <f>"MUSDI BIN MOHAMED"</f>
        <v>MUSDI BIN MOHAMED</v>
      </c>
      <c r="J7995" t="str">
        <f t="shared" si="3259"/>
        <v>BANK KERJASAMA RAKYAT</v>
      </c>
      <c r="K7995" t="str">
        <f>"220381083136"</f>
        <v>220381083136</v>
      </c>
      <c r="L7995" t="str">
        <f t="shared" si="3264"/>
        <v>04-08-2020</v>
      </c>
      <c r="M7995" t="str">
        <f t="shared" si="3264"/>
        <v>04-08-2020</v>
      </c>
      <c r="N7995" t="str">
        <f t="shared" si="3242"/>
        <v>001105018356</v>
      </c>
      <c r="O7995" t="str">
        <f t="shared" si="3243"/>
        <v>MYR</v>
      </c>
      <c r="P7995" t="str">
        <f t="shared" si="3265"/>
        <v>NIL</v>
      </c>
      <c r="Q7995" t="str">
        <f t="shared" si="3265"/>
        <v>NIL</v>
      </c>
      <c r="R7995" t="str">
        <f t="shared" si="3260"/>
        <v>Accepted</v>
      </c>
      <c r="S7995" t="str">
        <f t="shared" si="3244"/>
        <v>Approved</v>
      </c>
      <c r="T7995" t="str">
        <f t="shared" si="3261"/>
        <v>10.20.8.188</v>
      </c>
      <c r="U7995" t="str">
        <f t="shared" si="3245"/>
        <v>AZRAD UMAR BIN SHAARI</v>
      </c>
      <c r="V7995" t="str">
        <f t="shared" si="3246"/>
        <v>FARHANA BINTI MUSTAPA</v>
      </c>
      <c r="W7995" t="str">
        <f t="shared" si="3247"/>
        <v>04-08-2020</v>
      </c>
      <c r="X7995" t="str">
        <f t="shared" si="3248"/>
        <v>RAZIMAH ANSAR AHMAD</v>
      </c>
      <c r="Y7995" t="str">
        <f t="shared" si="3249"/>
        <v>04-08-2020</v>
      </c>
      <c r="Z7995" t="str">
        <f>"COS10200804 1159"</f>
        <v>COS10200804 1159</v>
      </c>
    </row>
    <row r="7996" spans="1:26" x14ac:dyDescent="0.25">
      <c r="A7996" t="str">
        <f t="shared" si="3262"/>
        <v>04-08-2020 12:31:59</v>
      </c>
      <c r="B7996" t="str">
        <f>"0000802905"</f>
        <v>0000802905</v>
      </c>
      <c r="C7996" t="str">
        <f t="shared" si="3263"/>
        <v>0000802747</v>
      </c>
      <c r="D7996" t="str">
        <f t="shared" si="3239"/>
        <v>73185</v>
      </c>
      <c r="E7996" t="str">
        <f t="shared" si="3240"/>
        <v>KFH-OPERATIONS DEPARTMENT</v>
      </c>
      <c r="F7996" t="str">
        <f t="shared" si="3241"/>
        <v>IBG</v>
      </c>
      <c r="G7996" t="str">
        <f t="shared" si="3254"/>
        <v>Refund COSHARE 10</v>
      </c>
      <c r="H7996" s="2">
        <v>671.6</v>
      </c>
      <c r="I7996" t="str">
        <f>"MUNAWARAH BINTI SAHARANI"</f>
        <v>MUNAWARAH BINTI SAHARANI</v>
      </c>
      <c r="J7996" t="str">
        <f t="shared" si="3259"/>
        <v>BANK KERJASAMA RAKYAT</v>
      </c>
      <c r="K7996" t="str">
        <f>"220951515631"</f>
        <v>220951515631</v>
      </c>
      <c r="L7996" t="str">
        <f t="shared" si="3264"/>
        <v>04-08-2020</v>
      </c>
      <c r="M7996" t="str">
        <f t="shared" si="3264"/>
        <v>04-08-2020</v>
      </c>
      <c r="N7996" t="str">
        <f t="shared" si="3242"/>
        <v>001105018356</v>
      </c>
      <c r="O7996" t="str">
        <f t="shared" si="3243"/>
        <v>MYR</v>
      </c>
      <c r="P7996" t="str">
        <f t="shared" si="3265"/>
        <v>NIL</v>
      </c>
      <c r="Q7996" t="str">
        <f t="shared" si="3265"/>
        <v>NIL</v>
      </c>
      <c r="R7996" t="str">
        <f t="shared" si="3260"/>
        <v>Accepted</v>
      </c>
      <c r="S7996" t="str">
        <f t="shared" si="3244"/>
        <v>Approved</v>
      </c>
      <c r="T7996" t="str">
        <f t="shared" si="3261"/>
        <v>10.20.8.188</v>
      </c>
      <c r="U7996" t="str">
        <f t="shared" si="3245"/>
        <v>AZRAD UMAR BIN SHAARI</v>
      </c>
      <c r="V7996" t="str">
        <f t="shared" si="3246"/>
        <v>FARHANA BINTI MUSTAPA</v>
      </c>
      <c r="W7996" t="str">
        <f t="shared" si="3247"/>
        <v>04-08-2020</v>
      </c>
      <c r="X7996" t="str">
        <f t="shared" si="3248"/>
        <v>RAZIMAH ANSAR AHMAD</v>
      </c>
      <c r="Y7996" t="str">
        <f t="shared" si="3249"/>
        <v>04-08-2020</v>
      </c>
      <c r="Z7996" t="str">
        <f>"COS10200804 1158"</f>
        <v>COS10200804 1158</v>
      </c>
    </row>
    <row r="7997" spans="1:26" x14ac:dyDescent="0.25">
      <c r="A7997" t="str">
        <f t="shared" si="3262"/>
        <v>04-08-2020 12:31:59</v>
      </c>
      <c r="B7997" t="str">
        <f>"0000802904"</f>
        <v>0000802904</v>
      </c>
      <c r="C7997" t="str">
        <f t="shared" si="3263"/>
        <v>0000802747</v>
      </c>
      <c r="D7997" t="str">
        <f t="shared" si="3239"/>
        <v>73185</v>
      </c>
      <c r="E7997" t="str">
        <f t="shared" si="3240"/>
        <v>KFH-OPERATIONS DEPARTMENT</v>
      </c>
      <c r="F7997" t="str">
        <f t="shared" si="3241"/>
        <v>IBG</v>
      </c>
      <c r="G7997" t="str">
        <f t="shared" si="3254"/>
        <v>Refund COSHARE 10</v>
      </c>
      <c r="H7997" s="2">
        <v>688.4</v>
      </c>
      <c r="I7997" t="str">
        <f>"MUHAMMAD SYAMIZAR BIN HAMID"</f>
        <v>MUHAMMAD SYAMIZAR BIN HAMID</v>
      </c>
      <c r="J7997" t="str">
        <f t="shared" si="3259"/>
        <v>BANK KERJASAMA RAKYAT</v>
      </c>
      <c r="K7997" t="str">
        <f>"220421164421"</f>
        <v>220421164421</v>
      </c>
      <c r="L7997" t="str">
        <f t="shared" si="3264"/>
        <v>04-08-2020</v>
      </c>
      <c r="M7997" t="str">
        <f t="shared" si="3264"/>
        <v>04-08-2020</v>
      </c>
      <c r="N7997" t="str">
        <f t="shared" si="3242"/>
        <v>001105018356</v>
      </c>
      <c r="O7997" t="str">
        <f t="shared" si="3243"/>
        <v>MYR</v>
      </c>
      <c r="P7997" t="str">
        <f t="shared" si="3265"/>
        <v>NIL</v>
      </c>
      <c r="Q7997" t="str">
        <f t="shared" si="3265"/>
        <v>NIL</v>
      </c>
      <c r="R7997" t="str">
        <f t="shared" si="3260"/>
        <v>Accepted</v>
      </c>
      <c r="S7997" t="str">
        <f t="shared" si="3244"/>
        <v>Approved</v>
      </c>
      <c r="T7997" t="str">
        <f t="shared" si="3261"/>
        <v>10.20.8.188</v>
      </c>
      <c r="U7997" t="str">
        <f t="shared" si="3245"/>
        <v>AZRAD UMAR BIN SHAARI</v>
      </c>
      <c r="V7997" t="str">
        <f t="shared" si="3246"/>
        <v>FARHANA BINTI MUSTAPA</v>
      </c>
      <c r="W7997" t="str">
        <f t="shared" si="3247"/>
        <v>04-08-2020</v>
      </c>
      <c r="X7997" t="str">
        <f t="shared" si="3248"/>
        <v>RAZIMAH ANSAR AHMAD</v>
      </c>
      <c r="Y7997" t="str">
        <f t="shared" si="3249"/>
        <v>04-08-2020</v>
      </c>
      <c r="Z7997" t="str">
        <f>"COS10200804 1157"</f>
        <v>COS10200804 1157</v>
      </c>
    </row>
    <row r="7998" spans="1:26" x14ac:dyDescent="0.25">
      <c r="A7998" t="str">
        <f t="shared" si="3262"/>
        <v>04-08-2020 12:31:59</v>
      </c>
      <c r="B7998" t="str">
        <f>"0000802903"</f>
        <v>0000802903</v>
      </c>
      <c r="C7998" t="str">
        <f t="shared" si="3263"/>
        <v>0000802747</v>
      </c>
      <c r="D7998" t="str">
        <f t="shared" si="3239"/>
        <v>73185</v>
      </c>
      <c r="E7998" t="str">
        <f t="shared" si="3240"/>
        <v>KFH-OPERATIONS DEPARTMENT</v>
      </c>
      <c r="F7998" t="str">
        <f t="shared" si="3241"/>
        <v>IBG</v>
      </c>
      <c r="G7998" t="str">
        <f t="shared" si="3254"/>
        <v>Refund COSHARE 10</v>
      </c>
      <c r="H7998" s="2">
        <v>395</v>
      </c>
      <c r="I7998" t="str">
        <f>"MUHAMMAD SUHARIMI BIN ABDUL RAHMAN"</f>
        <v>MUHAMMAD SUHARIMI BIN ABDUL RAHMAN</v>
      </c>
      <c r="J7998" t="str">
        <f t="shared" si="3259"/>
        <v>BANK KERJASAMA RAKYAT</v>
      </c>
      <c r="K7998" t="str">
        <f>"220461103488"</f>
        <v>220461103488</v>
      </c>
      <c r="L7998" t="str">
        <f t="shared" si="3264"/>
        <v>04-08-2020</v>
      </c>
      <c r="M7998" t="str">
        <f t="shared" si="3264"/>
        <v>04-08-2020</v>
      </c>
      <c r="N7998" t="str">
        <f t="shared" si="3242"/>
        <v>001105018356</v>
      </c>
      <c r="O7998" t="str">
        <f t="shared" si="3243"/>
        <v>MYR</v>
      </c>
      <c r="P7998" t="str">
        <f t="shared" si="3265"/>
        <v>NIL</v>
      </c>
      <c r="Q7998" t="str">
        <f t="shared" si="3265"/>
        <v>NIL</v>
      </c>
      <c r="R7998" t="str">
        <f t="shared" si="3260"/>
        <v>Accepted</v>
      </c>
      <c r="S7998" t="str">
        <f t="shared" si="3244"/>
        <v>Approved</v>
      </c>
      <c r="T7998" t="str">
        <f t="shared" si="3261"/>
        <v>10.20.8.188</v>
      </c>
      <c r="U7998" t="str">
        <f t="shared" si="3245"/>
        <v>AZRAD UMAR BIN SHAARI</v>
      </c>
      <c r="V7998" t="str">
        <f t="shared" si="3246"/>
        <v>FARHANA BINTI MUSTAPA</v>
      </c>
      <c r="W7998" t="str">
        <f t="shared" si="3247"/>
        <v>04-08-2020</v>
      </c>
      <c r="X7998" t="str">
        <f t="shared" si="3248"/>
        <v>RAZIMAH ANSAR AHMAD</v>
      </c>
      <c r="Y7998" t="str">
        <f t="shared" si="3249"/>
        <v>04-08-2020</v>
      </c>
      <c r="Z7998" t="str">
        <f>"COS10200804 1156"</f>
        <v>COS10200804 1156</v>
      </c>
    </row>
    <row r="7999" spans="1:26" x14ac:dyDescent="0.25">
      <c r="A7999" t="str">
        <f t="shared" si="3262"/>
        <v>04-08-2020 12:31:59</v>
      </c>
      <c r="B7999" t="str">
        <f>"0000802902"</f>
        <v>0000802902</v>
      </c>
      <c r="C7999" t="str">
        <f t="shared" si="3263"/>
        <v>0000802747</v>
      </c>
      <c r="D7999" t="str">
        <f t="shared" si="3239"/>
        <v>73185</v>
      </c>
      <c r="E7999" t="str">
        <f t="shared" si="3240"/>
        <v>KFH-OPERATIONS DEPARTMENT</v>
      </c>
      <c r="F7999" t="str">
        <f t="shared" si="3241"/>
        <v>IBG</v>
      </c>
      <c r="G7999" t="str">
        <f t="shared" si="3254"/>
        <v>Refund COSHARE 10</v>
      </c>
      <c r="H7999" s="2">
        <v>680</v>
      </c>
      <c r="I7999" t="str">
        <f>"MUHAMMAD SHAHRUL AMIN BIN SHAHARUM"</f>
        <v>MUHAMMAD SHAHRUL AMIN BIN SHAHARUM</v>
      </c>
      <c r="J7999" t="str">
        <f t="shared" si="3259"/>
        <v>BANK KERJASAMA RAKYAT</v>
      </c>
      <c r="K7999" t="str">
        <f>"220981003819"</f>
        <v>220981003819</v>
      </c>
      <c r="L7999" t="str">
        <f t="shared" si="3264"/>
        <v>04-08-2020</v>
      </c>
      <c r="M7999" t="str">
        <f t="shared" si="3264"/>
        <v>04-08-2020</v>
      </c>
      <c r="N7999" t="str">
        <f t="shared" si="3242"/>
        <v>001105018356</v>
      </c>
      <c r="O7999" t="str">
        <f t="shared" si="3243"/>
        <v>MYR</v>
      </c>
      <c r="P7999" t="str">
        <f t="shared" si="3265"/>
        <v>NIL</v>
      </c>
      <c r="Q7999" t="str">
        <f t="shared" si="3265"/>
        <v>NIL</v>
      </c>
      <c r="R7999" t="str">
        <f t="shared" si="3260"/>
        <v>Accepted</v>
      </c>
      <c r="S7999" t="str">
        <f t="shared" si="3244"/>
        <v>Approved</v>
      </c>
      <c r="T7999" t="str">
        <f t="shared" si="3261"/>
        <v>10.20.8.188</v>
      </c>
      <c r="U7999" t="str">
        <f t="shared" si="3245"/>
        <v>AZRAD UMAR BIN SHAARI</v>
      </c>
      <c r="V7999" t="str">
        <f t="shared" si="3246"/>
        <v>FARHANA BINTI MUSTAPA</v>
      </c>
      <c r="W7999" t="str">
        <f t="shared" si="3247"/>
        <v>04-08-2020</v>
      </c>
      <c r="X7999" t="str">
        <f t="shared" si="3248"/>
        <v>RAZIMAH ANSAR AHMAD</v>
      </c>
      <c r="Y7999" t="str">
        <f t="shared" si="3249"/>
        <v>04-08-2020</v>
      </c>
      <c r="Z7999" t="str">
        <f>"COS10200804 1155"</f>
        <v>COS10200804 1155</v>
      </c>
    </row>
    <row r="8000" spans="1:26" x14ac:dyDescent="0.25">
      <c r="A8000" t="str">
        <f t="shared" si="3262"/>
        <v>04-08-2020 12:31:59</v>
      </c>
      <c r="B8000" t="str">
        <f>"0000802901"</f>
        <v>0000802901</v>
      </c>
      <c r="C8000" t="str">
        <f t="shared" si="3263"/>
        <v>0000802747</v>
      </c>
      <c r="D8000" t="str">
        <f t="shared" si="3239"/>
        <v>73185</v>
      </c>
      <c r="E8000" t="str">
        <f t="shared" si="3240"/>
        <v>KFH-OPERATIONS DEPARTMENT</v>
      </c>
      <c r="F8000" t="str">
        <f t="shared" si="3241"/>
        <v>IBG</v>
      </c>
      <c r="G8000" t="str">
        <f t="shared" si="3254"/>
        <v>Refund COSHARE 10</v>
      </c>
      <c r="H8000" s="2">
        <v>80</v>
      </c>
      <c r="I8000" t="str">
        <f>"MUHAMMAD RAFIZAN BIN DAHARI"</f>
        <v>MUHAMMAD RAFIZAN BIN DAHARI</v>
      </c>
      <c r="J8000" t="str">
        <f t="shared" si="3259"/>
        <v>BANK KERJASAMA RAKYAT</v>
      </c>
      <c r="K8000" t="str">
        <f>"220151356116"</f>
        <v>220151356116</v>
      </c>
      <c r="L8000" t="str">
        <f t="shared" si="3264"/>
        <v>04-08-2020</v>
      </c>
      <c r="M8000" t="str">
        <f t="shared" si="3264"/>
        <v>04-08-2020</v>
      </c>
      <c r="N8000" t="str">
        <f t="shared" si="3242"/>
        <v>001105018356</v>
      </c>
      <c r="O8000" t="str">
        <f t="shared" si="3243"/>
        <v>MYR</v>
      </c>
      <c r="P8000" t="str">
        <f t="shared" si="3265"/>
        <v>NIL</v>
      </c>
      <c r="Q8000" t="str">
        <f t="shared" si="3265"/>
        <v>NIL</v>
      </c>
      <c r="R8000" t="str">
        <f t="shared" si="3260"/>
        <v>Accepted</v>
      </c>
      <c r="S8000" t="str">
        <f t="shared" si="3244"/>
        <v>Approved</v>
      </c>
      <c r="T8000" t="str">
        <f t="shared" si="3261"/>
        <v>10.20.8.188</v>
      </c>
      <c r="U8000" t="str">
        <f t="shared" si="3245"/>
        <v>AZRAD UMAR BIN SHAARI</v>
      </c>
      <c r="V8000" t="str">
        <f t="shared" si="3246"/>
        <v>FARHANA BINTI MUSTAPA</v>
      </c>
      <c r="W8000" t="str">
        <f t="shared" si="3247"/>
        <v>04-08-2020</v>
      </c>
      <c r="X8000" t="str">
        <f t="shared" si="3248"/>
        <v>RAZIMAH ANSAR AHMAD</v>
      </c>
      <c r="Y8000" t="str">
        <f t="shared" si="3249"/>
        <v>04-08-2020</v>
      </c>
      <c r="Z8000" t="str">
        <f>"COS10200804 1154"</f>
        <v>COS10200804 1154</v>
      </c>
    </row>
    <row r="8001" spans="1:26" x14ac:dyDescent="0.25">
      <c r="A8001" t="str">
        <f t="shared" si="3262"/>
        <v>04-08-2020 12:31:59</v>
      </c>
      <c r="B8001" t="str">
        <f>"0000802900"</f>
        <v>0000802900</v>
      </c>
      <c r="C8001" t="str">
        <f t="shared" si="3263"/>
        <v>0000802747</v>
      </c>
      <c r="D8001" t="str">
        <f t="shared" si="3239"/>
        <v>73185</v>
      </c>
      <c r="E8001" t="str">
        <f t="shared" si="3240"/>
        <v>KFH-OPERATIONS DEPARTMENT</v>
      </c>
      <c r="F8001" t="str">
        <f t="shared" si="3241"/>
        <v>IBG</v>
      </c>
      <c r="G8001" t="str">
        <f t="shared" si="3254"/>
        <v>Refund COSHARE 10</v>
      </c>
      <c r="H8001" s="2">
        <v>91</v>
      </c>
      <c r="I8001" t="str">
        <f>"MUHAMMAD NATSIR BIN BUDASIR"</f>
        <v>MUHAMMAD NATSIR BIN BUDASIR</v>
      </c>
      <c r="J8001" t="str">
        <f t="shared" si="3259"/>
        <v>BANK KERJASAMA RAKYAT</v>
      </c>
      <c r="K8001" t="str">
        <f>"220711034636"</f>
        <v>220711034636</v>
      </c>
      <c r="L8001" t="str">
        <f t="shared" si="3264"/>
        <v>04-08-2020</v>
      </c>
      <c r="M8001" t="str">
        <f t="shared" si="3264"/>
        <v>04-08-2020</v>
      </c>
      <c r="N8001" t="str">
        <f t="shared" si="3242"/>
        <v>001105018356</v>
      </c>
      <c r="O8001" t="str">
        <f t="shared" si="3243"/>
        <v>MYR</v>
      </c>
      <c r="P8001" t="str">
        <f t="shared" si="3265"/>
        <v>NIL</v>
      </c>
      <c r="Q8001" t="str">
        <f t="shared" si="3265"/>
        <v>NIL</v>
      </c>
      <c r="R8001" t="str">
        <f t="shared" si="3260"/>
        <v>Accepted</v>
      </c>
      <c r="S8001" t="str">
        <f t="shared" si="3244"/>
        <v>Approved</v>
      </c>
      <c r="T8001" t="str">
        <f t="shared" si="3261"/>
        <v>10.20.8.188</v>
      </c>
      <c r="U8001" t="str">
        <f t="shared" si="3245"/>
        <v>AZRAD UMAR BIN SHAARI</v>
      </c>
      <c r="V8001" t="str">
        <f t="shared" si="3246"/>
        <v>FARHANA BINTI MUSTAPA</v>
      </c>
      <c r="W8001" t="str">
        <f t="shared" si="3247"/>
        <v>04-08-2020</v>
      </c>
      <c r="X8001" t="str">
        <f t="shared" si="3248"/>
        <v>RAZIMAH ANSAR AHMAD</v>
      </c>
      <c r="Y8001" t="str">
        <f t="shared" si="3249"/>
        <v>04-08-2020</v>
      </c>
      <c r="Z8001" t="str">
        <f>"COS10200804 1153"</f>
        <v>COS10200804 1153</v>
      </c>
    </row>
    <row r="8002" spans="1:26" x14ac:dyDescent="0.25">
      <c r="A8002" t="str">
        <f t="shared" si="3262"/>
        <v>04-08-2020 12:31:59</v>
      </c>
      <c r="B8002" t="str">
        <f>"0000802899"</f>
        <v>0000802899</v>
      </c>
      <c r="C8002" t="str">
        <f t="shared" si="3263"/>
        <v>0000802747</v>
      </c>
      <c r="D8002" t="str">
        <f t="shared" si="3239"/>
        <v>73185</v>
      </c>
      <c r="E8002" t="str">
        <f t="shared" si="3240"/>
        <v>KFH-OPERATIONS DEPARTMENT</v>
      </c>
      <c r="F8002" t="str">
        <f t="shared" si="3241"/>
        <v>IBG</v>
      </c>
      <c r="G8002" t="str">
        <f t="shared" si="3254"/>
        <v>Refund COSHARE 10</v>
      </c>
      <c r="H8002" s="2">
        <v>196.5</v>
      </c>
      <c r="I8002" t="str">
        <f>"MUHAMMAD KAMARUL NIZAM BIN ADAM"</f>
        <v>MUHAMMAD KAMARUL NIZAM BIN ADAM</v>
      </c>
      <c r="J8002" t="str">
        <f t="shared" si="3259"/>
        <v>BANK KERJASAMA RAKYAT</v>
      </c>
      <c r="K8002" t="str">
        <f>"221011187211"</f>
        <v>221011187211</v>
      </c>
      <c r="L8002" t="str">
        <f t="shared" si="3264"/>
        <v>04-08-2020</v>
      </c>
      <c r="M8002" t="str">
        <f t="shared" si="3264"/>
        <v>04-08-2020</v>
      </c>
      <c r="N8002" t="str">
        <f t="shared" si="3242"/>
        <v>001105018356</v>
      </c>
      <c r="O8002" t="str">
        <f t="shared" si="3243"/>
        <v>MYR</v>
      </c>
      <c r="P8002" t="str">
        <f t="shared" si="3265"/>
        <v>NIL</v>
      </c>
      <c r="Q8002" t="str">
        <f t="shared" si="3265"/>
        <v>NIL</v>
      </c>
      <c r="R8002" t="str">
        <f t="shared" si="3260"/>
        <v>Accepted</v>
      </c>
      <c r="S8002" t="str">
        <f t="shared" si="3244"/>
        <v>Approved</v>
      </c>
      <c r="T8002" t="str">
        <f t="shared" si="3261"/>
        <v>10.20.8.188</v>
      </c>
      <c r="U8002" t="str">
        <f t="shared" si="3245"/>
        <v>AZRAD UMAR BIN SHAARI</v>
      </c>
      <c r="V8002" t="str">
        <f t="shared" si="3246"/>
        <v>FARHANA BINTI MUSTAPA</v>
      </c>
      <c r="W8002" t="str">
        <f t="shared" si="3247"/>
        <v>04-08-2020</v>
      </c>
      <c r="X8002" t="str">
        <f t="shared" si="3248"/>
        <v>RAZIMAH ANSAR AHMAD</v>
      </c>
      <c r="Y8002" t="str">
        <f t="shared" si="3249"/>
        <v>04-08-2020</v>
      </c>
      <c r="Z8002" t="str">
        <f>"COS10200804 1152"</f>
        <v>COS10200804 1152</v>
      </c>
    </row>
    <row r="8003" spans="1:26" x14ac:dyDescent="0.25">
      <c r="A8003" t="str">
        <f t="shared" si="3262"/>
        <v>04-08-2020 12:31:59</v>
      </c>
      <c r="B8003" t="str">
        <f>"0000802898"</f>
        <v>0000802898</v>
      </c>
      <c r="C8003" t="str">
        <f t="shared" si="3263"/>
        <v>0000802747</v>
      </c>
      <c r="D8003" t="str">
        <f t="shared" si="3239"/>
        <v>73185</v>
      </c>
      <c r="E8003" t="str">
        <f t="shared" si="3240"/>
        <v>KFH-OPERATIONS DEPARTMENT</v>
      </c>
      <c r="F8003" t="str">
        <f t="shared" si="3241"/>
        <v>IBG</v>
      </c>
      <c r="G8003" t="str">
        <f t="shared" si="3254"/>
        <v>Refund COSHARE 10</v>
      </c>
      <c r="H8003" s="2">
        <v>1679</v>
      </c>
      <c r="I8003" t="str">
        <f>"MUHAMMAD HAFEEZ BIN BASRI"</f>
        <v>MUHAMMAD HAFEEZ BIN BASRI</v>
      </c>
      <c r="J8003" t="str">
        <f t="shared" si="3259"/>
        <v>BANK KERJASAMA RAKYAT</v>
      </c>
      <c r="K8003" t="str">
        <f>"220581149651"</f>
        <v>220581149651</v>
      </c>
      <c r="L8003" t="str">
        <f t="shared" si="3264"/>
        <v>04-08-2020</v>
      </c>
      <c r="M8003" t="str">
        <f t="shared" si="3264"/>
        <v>04-08-2020</v>
      </c>
      <c r="N8003" t="str">
        <f t="shared" si="3242"/>
        <v>001105018356</v>
      </c>
      <c r="O8003" t="str">
        <f t="shared" si="3243"/>
        <v>MYR</v>
      </c>
      <c r="P8003" t="str">
        <f t="shared" si="3265"/>
        <v>NIL</v>
      </c>
      <c r="Q8003" t="str">
        <f t="shared" si="3265"/>
        <v>NIL</v>
      </c>
      <c r="R8003" t="str">
        <f t="shared" si="3260"/>
        <v>Accepted</v>
      </c>
      <c r="S8003" t="str">
        <f t="shared" si="3244"/>
        <v>Approved</v>
      </c>
      <c r="T8003" t="str">
        <f t="shared" si="3261"/>
        <v>10.20.8.188</v>
      </c>
      <c r="U8003" t="str">
        <f t="shared" si="3245"/>
        <v>AZRAD UMAR BIN SHAARI</v>
      </c>
      <c r="V8003" t="str">
        <f t="shared" si="3246"/>
        <v>FARHANA BINTI MUSTAPA</v>
      </c>
      <c r="W8003" t="str">
        <f t="shared" si="3247"/>
        <v>04-08-2020</v>
      </c>
      <c r="X8003" t="str">
        <f t="shared" si="3248"/>
        <v>RAZIMAH ANSAR AHMAD</v>
      </c>
      <c r="Y8003" t="str">
        <f t="shared" si="3249"/>
        <v>04-08-2020</v>
      </c>
      <c r="Z8003" t="str">
        <f>"COS10200804 1151"</f>
        <v>COS10200804 1151</v>
      </c>
    </row>
    <row r="8004" spans="1:26" x14ac:dyDescent="0.25">
      <c r="A8004" t="str">
        <f t="shared" si="3262"/>
        <v>04-08-2020 12:31:59</v>
      </c>
      <c r="B8004" t="str">
        <f>"0000802897"</f>
        <v>0000802897</v>
      </c>
      <c r="C8004" t="str">
        <f t="shared" si="3263"/>
        <v>0000802747</v>
      </c>
      <c r="D8004" t="str">
        <f t="shared" si="3239"/>
        <v>73185</v>
      </c>
      <c r="E8004" t="str">
        <f t="shared" si="3240"/>
        <v>KFH-OPERATIONS DEPARTMENT</v>
      </c>
      <c r="F8004" t="str">
        <f t="shared" si="3241"/>
        <v>IBG</v>
      </c>
      <c r="G8004" t="str">
        <f t="shared" si="3254"/>
        <v>Refund COSHARE 10</v>
      </c>
      <c r="H8004" s="2">
        <v>801.65</v>
      </c>
      <c r="I8004" t="str">
        <f>"MUHAMMAD EZRY BIN ESA"</f>
        <v>MUHAMMAD EZRY BIN ESA</v>
      </c>
      <c r="J8004" t="str">
        <f t="shared" si="3259"/>
        <v>BANK KERJASAMA RAKYAT</v>
      </c>
      <c r="K8004" t="str">
        <f>"220471194181"</f>
        <v>220471194181</v>
      </c>
      <c r="L8004" t="str">
        <f t="shared" si="3264"/>
        <v>04-08-2020</v>
      </c>
      <c r="M8004" t="str">
        <f t="shared" si="3264"/>
        <v>04-08-2020</v>
      </c>
      <c r="N8004" t="str">
        <f t="shared" si="3242"/>
        <v>001105018356</v>
      </c>
      <c r="O8004" t="str">
        <f t="shared" si="3243"/>
        <v>MYR</v>
      </c>
      <c r="P8004" t="str">
        <f t="shared" si="3265"/>
        <v>NIL</v>
      </c>
      <c r="Q8004" t="str">
        <f t="shared" si="3265"/>
        <v>NIL</v>
      </c>
      <c r="R8004" t="str">
        <f t="shared" si="3260"/>
        <v>Accepted</v>
      </c>
      <c r="S8004" t="str">
        <f t="shared" si="3244"/>
        <v>Approved</v>
      </c>
      <c r="T8004" t="str">
        <f t="shared" si="3261"/>
        <v>10.20.8.188</v>
      </c>
      <c r="U8004" t="str">
        <f t="shared" si="3245"/>
        <v>AZRAD UMAR BIN SHAARI</v>
      </c>
      <c r="V8004" t="str">
        <f t="shared" si="3246"/>
        <v>FARHANA BINTI MUSTAPA</v>
      </c>
      <c r="W8004" t="str">
        <f t="shared" si="3247"/>
        <v>04-08-2020</v>
      </c>
      <c r="X8004" t="str">
        <f t="shared" si="3248"/>
        <v>RAZIMAH ANSAR AHMAD</v>
      </c>
      <c r="Y8004" t="str">
        <f t="shared" si="3249"/>
        <v>04-08-2020</v>
      </c>
      <c r="Z8004" t="str">
        <f>"COS10200804 1150"</f>
        <v>COS10200804 1150</v>
      </c>
    </row>
    <row r="8005" spans="1:26" x14ac:dyDescent="0.25">
      <c r="A8005" t="str">
        <f t="shared" si="3262"/>
        <v>04-08-2020 12:31:59</v>
      </c>
      <c r="B8005" t="str">
        <f>"0000802896"</f>
        <v>0000802896</v>
      </c>
      <c r="C8005" t="str">
        <f t="shared" si="3263"/>
        <v>0000802747</v>
      </c>
      <c r="D8005" t="str">
        <f t="shared" si="3239"/>
        <v>73185</v>
      </c>
      <c r="E8005" t="str">
        <f t="shared" si="3240"/>
        <v>KFH-OPERATIONS DEPARTMENT</v>
      </c>
      <c r="F8005" t="str">
        <f t="shared" si="3241"/>
        <v>IBG</v>
      </c>
      <c r="G8005" t="str">
        <f t="shared" si="3254"/>
        <v>Refund COSHARE 10</v>
      </c>
      <c r="H8005" s="2">
        <v>83.95</v>
      </c>
      <c r="I8005" t="str">
        <f>"MUHAMMAD AZMULLAH BIN MUSTAPA"</f>
        <v>MUHAMMAD AZMULLAH BIN MUSTAPA</v>
      </c>
      <c r="J8005" t="str">
        <f t="shared" si="3259"/>
        <v>BANK KERJASAMA RAKYAT</v>
      </c>
      <c r="K8005" t="str">
        <f>"220411173397"</f>
        <v>220411173397</v>
      </c>
      <c r="L8005" t="str">
        <f t="shared" si="3264"/>
        <v>04-08-2020</v>
      </c>
      <c r="M8005" t="str">
        <f t="shared" si="3264"/>
        <v>04-08-2020</v>
      </c>
      <c r="N8005" t="str">
        <f t="shared" si="3242"/>
        <v>001105018356</v>
      </c>
      <c r="O8005" t="str">
        <f t="shared" si="3243"/>
        <v>MYR</v>
      </c>
      <c r="P8005" t="str">
        <f t="shared" si="3265"/>
        <v>NIL</v>
      </c>
      <c r="Q8005" t="str">
        <f t="shared" si="3265"/>
        <v>NIL</v>
      </c>
      <c r="R8005" t="str">
        <f t="shared" si="3260"/>
        <v>Accepted</v>
      </c>
      <c r="S8005" t="str">
        <f t="shared" si="3244"/>
        <v>Approved</v>
      </c>
      <c r="T8005" t="str">
        <f t="shared" si="3261"/>
        <v>10.20.8.188</v>
      </c>
      <c r="U8005" t="str">
        <f t="shared" si="3245"/>
        <v>AZRAD UMAR BIN SHAARI</v>
      </c>
      <c r="V8005" t="str">
        <f t="shared" si="3246"/>
        <v>FARHANA BINTI MUSTAPA</v>
      </c>
      <c r="W8005" t="str">
        <f t="shared" si="3247"/>
        <v>04-08-2020</v>
      </c>
      <c r="X8005" t="str">
        <f t="shared" si="3248"/>
        <v>RAZIMAH ANSAR AHMAD</v>
      </c>
      <c r="Y8005" t="str">
        <f t="shared" si="3249"/>
        <v>04-08-2020</v>
      </c>
      <c r="Z8005" t="str">
        <f>"COS10200804 1149"</f>
        <v>COS10200804 1149</v>
      </c>
    </row>
    <row r="8006" spans="1:26" x14ac:dyDescent="0.25">
      <c r="A8006" t="str">
        <f t="shared" si="3262"/>
        <v>04-08-2020 12:31:59</v>
      </c>
      <c r="B8006" t="str">
        <f>"0000802895"</f>
        <v>0000802895</v>
      </c>
      <c r="C8006" t="str">
        <f t="shared" si="3263"/>
        <v>0000802747</v>
      </c>
      <c r="D8006" t="str">
        <f t="shared" si="3239"/>
        <v>73185</v>
      </c>
      <c r="E8006" t="str">
        <f t="shared" si="3240"/>
        <v>KFH-OPERATIONS DEPARTMENT</v>
      </c>
      <c r="F8006" t="str">
        <f t="shared" si="3241"/>
        <v>IBG</v>
      </c>
      <c r="G8006" t="str">
        <f t="shared" si="3254"/>
        <v>Refund COSHARE 10</v>
      </c>
      <c r="H8006" s="2">
        <v>302.25</v>
      </c>
      <c r="I8006" t="str">
        <f>"MUHAMMAD AZLAN BIN ABDUL AZIZ"</f>
        <v>MUHAMMAD AZLAN BIN ABDUL AZIZ</v>
      </c>
      <c r="J8006" t="str">
        <f t="shared" si="3259"/>
        <v>BANK KERJASAMA RAKYAT</v>
      </c>
      <c r="K8006" t="str">
        <f>"220741147203"</f>
        <v>220741147203</v>
      </c>
      <c r="L8006" t="str">
        <f t="shared" si="3264"/>
        <v>04-08-2020</v>
      </c>
      <c r="M8006" t="str">
        <f t="shared" si="3264"/>
        <v>04-08-2020</v>
      </c>
      <c r="N8006" t="str">
        <f t="shared" si="3242"/>
        <v>001105018356</v>
      </c>
      <c r="O8006" t="str">
        <f t="shared" si="3243"/>
        <v>MYR</v>
      </c>
      <c r="P8006" t="str">
        <f t="shared" si="3265"/>
        <v>NIL</v>
      </c>
      <c r="Q8006" t="str">
        <f t="shared" si="3265"/>
        <v>NIL</v>
      </c>
      <c r="R8006" t="str">
        <f t="shared" si="3260"/>
        <v>Accepted</v>
      </c>
      <c r="S8006" t="str">
        <f t="shared" si="3244"/>
        <v>Approved</v>
      </c>
      <c r="T8006" t="str">
        <f t="shared" si="3261"/>
        <v>10.20.8.188</v>
      </c>
      <c r="U8006" t="str">
        <f t="shared" si="3245"/>
        <v>AZRAD UMAR BIN SHAARI</v>
      </c>
      <c r="V8006" t="str">
        <f t="shared" si="3246"/>
        <v>FARHANA BINTI MUSTAPA</v>
      </c>
      <c r="W8006" t="str">
        <f t="shared" si="3247"/>
        <v>04-08-2020</v>
      </c>
      <c r="X8006" t="str">
        <f t="shared" si="3248"/>
        <v>RAZIMAH ANSAR AHMAD</v>
      </c>
      <c r="Y8006" t="str">
        <f t="shared" si="3249"/>
        <v>04-08-2020</v>
      </c>
      <c r="Z8006" t="str">
        <f>"COS10200804 1148"</f>
        <v>COS10200804 1148</v>
      </c>
    </row>
    <row r="8007" spans="1:26" x14ac:dyDescent="0.25">
      <c r="A8007" t="str">
        <f t="shared" si="3262"/>
        <v>04-08-2020 12:31:59</v>
      </c>
      <c r="B8007" t="str">
        <f>"0000802894"</f>
        <v>0000802894</v>
      </c>
      <c r="C8007" t="str">
        <f t="shared" si="3263"/>
        <v>0000802747</v>
      </c>
      <c r="D8007" t="str">
        <f t="shared" ref="D8007:D8070" si="3266">"73185"</f>
        <v>73185</v>
      </c>
      <c r="E8007" t="str">
        <f t="shared" ref="E8007:E8070" si="3267">"KFH-OPERATIONS DEPARTMENT"</f>
        <v>KFH-OPERATIONS DEPARTMENT</v>
      </c>
      <c r="F8007" t="str">
        <f t="shared" ref="F8007:F8070" si="3268">"IBG"</f>
        <v>IBG</v>
      </c>
      <c r="G8007" t="str">
        <f t="shared" si="3254"/>
        <v>Refund COSHARE 10</v>
      </c>
      <c r="H8007" s="2">
        <v>698</v>
      </c>
      <c r="I8007" t="str">
        <f>"MUHAMMAD AZLAN BIN ABDUL AZIZ"</f>
        <v>MUHAMMAD AZLAN BIN ABDUL AZIZ</v>
      </c>
      <c r="J8007" t="str">
        <f t="shared" si="3259"/>
        <v>BANK KERJASAMA RAKYAT</v>
      </c>
      <c r="K8007" t="str">
        <f>"220741147203"</f>
        <v>220741147203</v>
      </c>
      <c r="L8007" t="str">
        <f t="shared" ref="L8007:M8026" si="3269">"04-08-2020"</f>
        <v>04-08-2020</v>
      </c>
      <c r="M8007" t="str">
        <f t="shared" si="3269"/>
        <v>04-08-2020</v>
      </c>
      <c r="N8007" t="str">
        <f t="shared" ref="N8007:N8070" si="3270">"001105018356"</f>
        <v>001105018356</v>
      </c>
      <c r="O8007" t="str">
        <f t="shared" ref="O8007:O8070" si="3271">"MYR"</f>
        <v>MYR</v>
      </c>
      <c r="P8007" t="str">
        <f t="shared" ref="P8007:Q8026" si="3272">"NIL"</f>
        <v>NIL</v>
      </c>
      <c r="Q8007" t="str">
        <f t="shared" si="3272"/>
        <v>NIL</v>
      </c>
      <c r="R8007" t="str">
        <f t="shared" si="3260"/>
        <v>Accepted</v>
      </c>
      <c r="S8007" t="str">
        <f t="shared" ref="S8007:S8070" si="3273">"Approved"</f>
        <v>Approved</v>
      </c>
      <c r="T8007" t="str">
        <f t="shared" si="3261"/>
        <v>10.20.8.188</v>
      </c>
      <c r="U8007" t="str">
        <f t="shared" ref="U8007:U8070" si="3274">"AZRAD UMAR BIN SHAARI"</f>
        <v>AZRAD UMAR BIN SHAARI</v>
      </c>
      <c r="V8007" t="str">
        <f t="shared" ref="V8007:V8070" si="3275">"FARHANA BINTI MUSTAPA"</f>
        <v>FARHANA BINTI MUSTAPA</v>
      </c>
      <c r="W8007" t="str">
        <f t="shared" ref="W8007:W8070" si="3276">"04-08-2020"</f>
        <v>04-08-2020</v>
      </c>
      <c r="X8007" t="str">
        <f t="shared" ref="X8007:X8070" si="3277">"RAZIMAH ANSAR AHMAD"</f>
        <v>RAZIMAH ANSAR AHMAD</v>
      </c>
      <c r="Y8007" t="str">
        <f t="shared" ref="Y8007:Y8070" si="3278">"04-08-2020"</f>
        <v>04-08-2020</v>
      </c>
      <c r="Z8007" t="str">
        <f>"COS10200804 1147"</f>
        <v>COS10200804 1147</v>
      </c>
    </row>
    <row r="8008" spans="1:26" x14ac:dyDescent="0.25">
      <c r="A8008" t="str">
        <f t="shared" si="3262"/>
        <v>04-08-2020 12:31:59</v>
      </c>
      <c r="B8008" t="str">
        <f>"0000802893"</f>
        <v>0000802893</v>
      </c>
      <c r="C8008" t="str">
        <f t="shared" si="3263"/>
        <v>0000802747</v>
      </c>
      <c r="D8008" t="str">
        <f t="shared" si="3266"/>
        <v>73185</v>
      </c>
      <c r="E8008" t="str">
        <f t="shared" si="3267"/>
        <v>KFH-OPERATIONS DEPARTMENT</v>
      </c>
      <c r="F8008" t="str">
        <f t="shared" si="3268"/>
        <v>IBG</v>
      </c>
      <c r="G8008" t="str">
        <f t="shared" si="3254"/>
        <v>Refund COSHARE 10</v>
      </c>
      <c r="H8008" s="2">
        <v>152</v>
      </c>
      <c r="I8008" t="str">
        <f>"MUHAMAD SUBHI BIN ABDUL RAHIM TEE"</f>
        <v>MUHAMAD SUBHI BIN ABDUL RAHIM TEE</v>
      </c>
      <c r="J8008" t="str">
        <f t="shared" si="3259"/>
        <v>BANK KERJASAMA RAKYAT</v>
      </c>
      <c r="K8008" t="str">
        <f>"220321049832"</f>
        <v>220321049832</v>
      </c>
      <c r="L8008" t="str">
        <f t="shared" si="3269"/>
        <v>04-08-2020</v>
      </c>
      <c r="M8008" t="str">
        <f t="shared" si="3269"/>
        <v>04-08-2020</v>
      </c>
      <c r="N8008" t="str">
        <f t="shared" si="3270"/>
        <v>001105018356</v>
      </c>
      <c r="O8008" t="str">
        <f t="shared" si="3271"/>
        <v>MYR</v>
      </c>
      <c r="P8008" t="str">
        <f t="shared" si="3272"/>
        <v>NIL</v>
      </c>
      <c r="Q8008" t="str">
        <f t="shared" si="3272"/>
        <v>NIL</v>
      </c>
      <c r="R8008" t="str">
        <f t="shared" si="3260"/>
        <v>Accepted</v>
      </c>
      <c r="S8008" t="str">
        <f t="shared" si="3273"/>
        <v>Approved</v>
      </c>
      <c r="T8008" t="str">
        <f t="shared" si="3261"/>
        <v>10.20.8.188</v>
      </c>
      <c r="U8008" t="str">
        <f t="shared" si="3274"/>
        <v>AZRAD UMAR BIN SHAARI</v>
      </c>
      <c r="V8008" t="str">
        <f t="shared" si="3275"/>
        <v>FARHANA BINTI MUSTAPA</v>
      </c>
      <c r="W8008" t="str">
        <f t="shared" si="3276"/>
        <v>04-08-2020</v>
      </c>
      <c r="X8008" t="str">
        <f t="shared" si="3277"/>
        <v>RAZIMAH ANSAR AHMAD</v>
      </c>
      <c r="Y8008" t="str">
        <f t="shared" si="3278"/>
        <v>04-08-2020</v>
      </c>
      <c r="Z8008" t="str">
        <f>"COS10200804 1146"</f>
        <v>COS10200804 1146</v>
      </c>
    </row>
    <row r="8009" spans="1:26" x14ac:dyDescent="0.25">
      <c r="A8009" t="str">
        <f t="shared" si="3262"/>
        <v>04-08-2020 12:31:59</v>
      </c>
      <c r="B8009" t="str">
        <f>"0000802892"</f>
        <v>0000802892</v>
      </c>
      <c r="C8009" t="str">
        <f t="shared" si="3263"/>
        <v>0000802747</v>
      </c>
      <c r="D8009" t="str">
        <f t="shared" si="3266"/>
        <v>73185</v>
      </c>
      <c r="E8009" t="str">
        <f t="shared" si="3267"/>
        <v>KFH-OPERATIONS DEPARTMENT</v>
      </c>
      <c r="F8009" t="str">
        <f t="shared" si="3268"/>
        <v>IBG</v>
      </c>
      <c r="G8009" t="str">
        <f t="shared" si="3254"/>
        <v>Refund COSHARE 10</v>
      </c>
      <c r="H8009" s="2">
        <v>722</v>
      </c>
      <c r="I8009" t="str">
        <f>"MUHAMAD HARDI NORHANI BIN MOHD NOOR"</f>
        <v>MUHAMAD HARDI NORHANI BIN MOHD NOOR</v>
      </c>
      <c r="J8009" t="str">
        <f t="shared" si="3259"/>
        <v>BANK KERJASAMA RAKYAT</v>
      </c>
      <c r="K8009" t="str">
        <f>"220171578036"</f>
        <v>220171578036</v>
      </c>
      <c r="L8009" t="str">
        <f t="shared" si="3269"/>
        <v>04-08-2020</v>
      </c>
      <c r="M8009" t="str">
        <f t="shared" si="3269"/>
        <v>04-08-2020</v>
      </c>
      <c r="N8009" t="str">
        <f t="shared" si="3270"/>
        <v>001105018356</v>
      </c>
      <c r="O8009" t="str">
        <f t="shared" si="3271"/>
        <v>MYR</v>
      </c>
      <c r="P8009" t="str">
        <f t="shared" si="3272"/>
        <v>NIL</v>
      </c>
      <c r="Q8009" t="str">
        <f t="shared" si="3272"/>
        <v>NIL</v>
      </c>
      <c r="R8009" t="str">
        <f t="shared" si="3260"/>
        <v>Accepted</v>
      </c>
      <c r="S8009" t="str">
        <f t="shared" si="3273"/>
        <v>Approved</v>
      </c>
      <c r="T8009" t="str">
        <f t="shared" si="3261"/>
        <v>10.20.8.188</v>
      </c>
      <c r="U8009" t="str">
        <f t="shared" si="3274"/>
        <v>AZRAD UMAR BIN SHAARI</v>
      </c>
      <c r="V8009" t="str">
        <f t="shared" si="3275"/>
        <v>FARHANA BINTI MUSTAPA</v>
      </c>
      <c r="W8009" t="str">
        <f t="shared" si="3276"/>
        <v>04-08-2020</v>
      </c>
      <c r="X8009" t="str">
        <f t="shared" si="3277"/>
        <v>RAZIMAH ANSAR AHMAD</v>
      </c>
      <c r="Y8009" t="str">
        <f t="shared" si="3278"/>
        <v>04-08-2020</v>
      </c>
      <c r="Z8009" t="str">
        <f>"COS10200804 1145"</f>
        <v>COS10200804 1145</v>
      </c>
    </row>
    <row r="8010" spans="1:26" x14ac:dyDescent="0.25">
      <c r="A8010" t="str">
        <f t="shared" si="3262"/>
        <v>04-08-2020 12:31:59</v>
      </c>
      <c r="B8010" t="str">
        <f>"0000802891"</f>
        <v>0000802891</v>
      </c>
      <c r="C8010" t="str">
        <f t="shared" si="3263"/>
        <v>0000802747</v>
      </c>
      <c r="D8010" t="str">
        <f t="shared" si="3266"/>
        <v>73185</v>
      </c>
      <c r="E8010" t="str">
        <f t="shared" si="3267"/>
        <v>KFH-OPERATIONS DEPARTMENT</v>
      </c>
      <c r="F8010" t="str">
        <f t="shared" si="3268"/>
        <v>IBG</v>
      </c>
      <c r="G8010" t="str">
        <f t="shared" si="3254"/>
        <v>Refund COSHARE 10</v>
      </c>
      <c r="H8010" s="2">
        <v>486.95</v>
      </c>
      <c r="I8010" t="str">
        <f>"MUHAMAD AZRUL BIN AB WAHAB"</f>
        <v>MUHAMAD AZRUL BIN AB WAHAB</v>
      </c>
      <c r="J8010" t="str">
        <f t="shared" si="3259"/>
        <v>BANK KERJASAMA RAKYAT</v>
      </c>
      <c r="K8010" t="str">
        <f>"220801033511"</f>
        <v>220801033511</v>
      </c>
      <c r="L8010" t="str">
        <f t="shared" si="3269"/>
        <v>04-08-2020</v>
      </c>
      <c r="M8010" t="str">
        <f t="shared" si="3269"/>
        <v>04-08-2020</v>
      </c>
      <c r="N8010" t="str">
        <f t="shared" si="3270"/>
        <v>001105018356</v>
      </c>
      <c r="O8010" t="str">
        <f t="shared" si="3271"/>
        <v>MYR</v>
      </c>
      <c r="P8010" t="str">
        <f t="shared" si="3272"/>
        <v>NIL</v>
      </c>
      <c r="Q8010" t="str">
        <f t="shared" si="3272"/>
        <v>NIL</v>
      </c>
      <c r="R8010" t="str">
        <f t="shared" si="3260"/>
        <v>Accepted</v>
      </c>
      <c r="S8010" t="str">
        <f t="shared" si="3273"/>
        <v>Approved</v>
      </c>
      <c r="T8010" t="str">
        <f t="shared" si="3261"/>
        <v>10.20.8.188</v>
      </c>
      <c r="U8010" t="str">
        <f t="shared" si="3274"/>
        <v>AZRAD UMAR BIN SHAARI</v>
      </c>
      <c r="V8010" t="str">
        <f t="shared" si="3275"/>
        <v>FARHANA BINTI MUSTAPA</v>
      </c>
      <c r="W8010" t="str">
        <f t="shared" si="3276"/>
        <v>04-08-2020</v>
      </c>
      <c r="X8010" t="str">
        <f t="shared" si="3277"/>
        <v>RAZIMAH ANSAR AHMAD</v>
      </c>
      <c r="Y8010" t="str">
        <f t="shared" si="3278"/>
        <v>04-08-2020</v>
      </c>
      <c r="Z8010" t="str">
        <f>"COS10200804 1144"</f>
        <v>COS10200804 1144</v>
      </c>
    </row>
    <row r="8011" spans="1:26" x14ac:dyDescent="0.25">
      <c r="A8011" t="str">
        <f t="shared" si="3262"/>
        <v>04-08-2020 12:31:59</v>
      </c>
      <c r="B8011" t="str">
        <f>"0000802890"</f>
        <v>0000802890</v>
      </c>
      <c r="C8011" t="str">
        <f t="shared" si="3263"/>
        <v>0000802747</v>
      </c>
      <c r="D8011" t="str">
        <f t="shared" si="3266"/>
        <v>73185</v>
      </c>
      <c r="E8011" t="str">
        <f t="shared" si="3267"/>
        <v>KFH-OPERATIONS DEPARTMENT</v>
      </c>
      <c r="F8011" t="str">
        <f t="shared" si="3268"/>
        <v>IBG</v>
      </c>
      <c r="G8011" t="str">
        <f t="shared" si="3254"/>
        <v>Refund COSHARE 10</v>
      </c>
      <c r="H8011" s="2">
        <v>545.70000000000005</v>
      </c>
      <c r="I8011" t="str">
        <f>"MORIJAN  NIENA BINTI MUSTAFA"</f>
        <v>MORIJAN  NIENA BINTI MUSTAFA</v>
      </c>
      <c r="J8011" t="str">
        <f t="shared" si="3259"/>
        <v>BANK KERJASAMA RAKYAT</v>
      </c>
      <c r="K8011" t="str">
        <f>"220411350316"</f>
        <v>220411350316</v>
      </c>
      <c r="L8011" t="str">
        <f t="shared" si="3269"/>
        <v>04-08-2020</v>
      </c>
      <c r="M8011" t="str">
        <f t="shared" si="3269"/>
        <v>04-08-2020</v>
      </c>
      <c r="N8011" t="str">
        <f t="shared" si="3270"/>
        <v>001105018356</v>
      </c>
      <c r="O8011" t="str">
        <f t="shared" si="3271"/>
        <v>MYR</v>
      </c>
      <c r="P8011" t="str">
        <f t="shared" si="3272"/>
        <v>NIL</v>
      </c>
      <c r="Q8011" t="str">
        <f t="shared" si="3272"/>
        <v>NIL</v>
      </c>
      <c r="R8011" t="str">
        <f t="shared" si="3260"/>
        <v>Accepted</v>
      </c>
      <c r="S8011" t="str">
        <f t="shared" si="3273"/>
        <v>Approved</v>
      </c>
      <c r="T8011" t="str">
        <f t="shared" si="3261"/>
        <v>10.20.8.188</v>
      </c>
      <c r="U8011" t="str">
        <f t="shared" si="3274"/>
        <v>AZRAD UMAR BIN SHAARI</v>
      </c>
      <c r="V8011" t="str">
        <f t="shared" si="3275"/>
        <v>FARHANA BINTI MUSTAPA</v>
      </c>
      <c r="W8011" t="str">
        <f t="shared" si="3276"/>
        <v>04-08-2020</v>
      </c>
      <c r="X8011" t="str">
        <f t="shared" si="3277"/>
        <v>RAZIMAH ANSAR AHMAD</v>
      </c>
      <c r="Y8011" t="str">
        <f t="shared" si="3278"/>
        <v>04-08-2020</v>
      </c>
      <c r="Z8011" t="str">
        <f>"COS10200804 1143"</f>
        <v>COS10200804 1143</v>
      </c>
    </row>
    <row r="8012" spans="1:26" x14ac:dyDescent="0.25">
      <c r="A8012" t="str">
        <f t="shared" si="3262"/>
        <v>04-08-2020 12:31:59</v>
      </c>
      <c r="B8012" t="str">
        <f>"0000802889"</f>
        <v>0000802889</v>
      </c>
      <c r="C8012" t="str">
        <f t="shared" si="3263"/>
        <v>0000802747</v>
      </c>
      <c r="D8012" t="str">
        <f t="shared" si="3266"/>
        <v>73185</v>
      </c>
      <c r="E8012" t="str">
        <f t="shared" si="3267"/>
        <v>KFH-OPERATIONS DEPARTMENT</v>
      </c>
      <c r="F8012" t="str">
        <f t="shared" si="3268"/>
        <v>IBG</v>
      </c>
      <c r="G8012" t="str">
        <f t="shared" ref="G8012:G8075" si="3279">"Refund COSHARE 10"</f>
        <v>Refund COSHARE 10</v>
      </c>
      <c r="H8012" s="2">
        <v>920.95</v>
      </c>
      <c r="I8012" t="str">
        <f>"MOINI BINTI SANAN"</f>
        <v>MOINI BINTI SANAN</v>
      </c>
      <c r="J8012" t="str">
        <f t="shared" si="3259"/>
        <v>BANK KERJASAMA RAKYAT</v>
      </c>
      <c r="K8012" t="str">
        <f>"220531128154"</f>
        <v>220531128154</v>
      </c>
      <c r="L8012" t="str">
        <f t="shared" si="3269"/>
        <v>04-08-2020</v>
      </c>
      <c r="M8012" t="str">
        <f t="shared" si="3269"/>
        <v>04-08-2020</v>
      </c>
      <c r="N8012" t="str">
        <f t="shared" si="3270"/>
        <v>001105018356</v>
      </c>
      <c r="O8012" t="str">
        <f t="shared" si="3271"/>
        <v>MYR</v>
      </c>
      <c r="P8012" t="str">
        <f t="shared" si="3272"/>
        <v>NIL</v>
      </c>
      <c r="Q8012" t="str">
        <f t="shared" si="3272"/>
        <v>NIL</v>
      </c>
      <c r="R8012" t="str">
        <f t="shared" si="3260"/>
        <v>Accepted</v>
      </c>
      <c r="S8012" t="str">
        <f t="shared" si="3273"/>
        <v>Approved</v>
      </c>
      <c r="T8012" t="str">
        <f t="shared" si="3261"/>
        <v>10.20.8.188</v>
      </c>
      <c r="U8012" t="str">
        <f t="shared" si="3274"/>
        <v>AZRAD UMAR BIN SHAARI</v>
      </c>
      <c r="V8012" t="str">
        <f t="shared" si="3275"/>
        <v>FARHANA BINTI MUSTAPA</v>
      </c>
      <c r="W8012" t="str">
        <f t="shared" si="3276"/>
        <v>04-08-2020</v>
      </c>
      <c r="X8012" t="str">
        <f t="shared" si="3277"/>
        <v>RAZIMAH ANSAR AHMAD</v>
      </c>
      <c r="Y8012" t="str">
        <f t="shared" si="3278"/>
        <v>04-08-2020</v>
      </c>
      <c r="Z8012" t="str">
        <f>"COS10200804 1142"</f>
        <v>COS10200804 1142</v>
      </c>
    </row>
    <row r="8013" spans="1:26" x14ac:dyDescent="0.25">
      <c r="A8013" t="str">
        <f t="shared" si="3262"/>
        <v>04-08-2020 12:31:59</v>
      </c>
      <c r="B8013" t="str">
        <f>"0000802888"</f>
        <v>0000802888</v>
      </c>
      <c r="C8013" t="str">
        <f t="shared" si="3263"/>
        <v>0000802747</v>
      </c>
      <c r="D8013" t="str">
        <f t="shared" si="3266"/>
        <v>73185</v>
      </c>
      <c r="E8013" t="str">
        <f t="shared" si="3267"/>
        <v>KFH-OPERATIONS DEPARTMENT</v>
      </c>
      <c r="F8013" t="str">
        <f t="shared" si="3268"/>
        <v>IBG</v>
      </c>
      <c r="G8013" t="str">
        <f t="shared" si="3279"/>
        <v>Refund COSHARE 10</v>
      </c>
      <c r="H8013" s="2">
        <v>251.85</v>
      </c>
      <c r="I8013" t="str">
        <f>"MOHD ZULFADLI BIN MAMAT"</f>
        <v>MOHD ZULFADLI BIN MAMAT</v>
      </c>
      <c r="J8013" t="str">
        <f t="shared" si="3259"/>
        <v>BANK KERJASAMA RAKYAT</v>
      </c>
      <c r="K8013" t="str">
        <f>"221051160360"</f>
        <v>221051160360</v>
      </c>
      <c r="L8013" t="str">
        <f t="shared" si="3269"/>
        <v>04-08-2020</v>
      </c>
      <c r="M8013" t="str">
        <f t="shared" si="3269"/>
        <v>04-08-2020</v>
      </c>
      <c r="N8013" t="str">
        <f t="shared" si="3270"/>
        <v>001105018356</v>
      </c>
      <c r="O8013" t="str">
        <f t="shared" si="3271"/>
        <v>MYR</v>
      </c>
      <c r="P8013" t="str">
        <f t="shared" si="3272"/>
        <v>NIL</v>
      </c>
      <c r="Q8013" t="str">
        <f t="shared" si="3272"/>
        <v>NIL</v>
      </c>
      <c r="R8013" t="str">
        <f t="shared" si="3260"/>
        <v>Accepted</v>
      </c>
      <c r="S8013" t="str">
        <f t="shared" si="3273"/>
        <v>Approved</v>
      </c>
      <c r="T8013" t="str">
        <f t="shared" si="3261"/>
        <v>10.20.8.188</v>
      </c>
      <c r="U8013" t="str">
        <f t="shared" si="3274"/>
        <v>AZRAD UMAR BIN SHAARI</v>
      </c>
      <c r="V8013" t="str">
        <f t="shared" si="3275"/>
        <v>FARHANA BINTI MUSTAPA</v>
      </c>
      <c r="W8013" t="str">
        <f t="shared" si="3276"/>
        <v>04-08-2020</v>
      </c>
      <c r="X8013" t="str">
        <f t="shared" si="3277"/>
        <v>RAZIMAH ANSAR AHMAD</v>
      </c>
      <c r="Y8013" t="str">
        <f t="shared" si="3278"/>
        <v>04-08-2020</v>
      </c>
      <c r="Z8013" t="str">
        <f>"COS10200804 1141"</f>
        <v>COS10200804 1141</v>
      </c>
    </row>
    <row r="8014" spans="1:26" x14ac:dyDescent="0.25">
      <c r="A8014" t="str">
        <f t="shared" si="3262"/>
        <v>04-08-2020 12:31:59</v>
      </c>
      <c r="B8014" t="str">
        <f>"0000802887"</f>
        <v>0000802887</v>
      </c>
      <c r="C8014" t="str">
        <f t="shared" si="3263"/>
        <v>0000802747</v>
      </c>
      <c r="D8014" t="str">
        <f t="shared" si="3266"/>
        <v>73185</v>
      </c>
      <c r="E8014" t="str">
        <f t="shared" si="3267"/>
        <v>KFH-OPERATIONS DEPARTMENT</v>
      </c>
      <c r="F8014" t="str">
        <f t="shared" si="3268"/>
        <v>IBG</v>
      </c>
      <c r="G8014" t="str">
        <f t="shared" si="3279"/>
        <v>Refund COSHARE 10</v>
      </c>
      <c r="H8014" s="2">
        <v>1124.95</v>
      </c>
      <c r="I8014" t="str">
        <f>"MOHD ZERRY BIN NAZERI"</f>
        <v>MOHD ZERRY BIN NAZERI</v>
      </c>
      <c r="J8014" t="str">
        <f t="shared" si="3259"/>
        <v>BANK KERJASAMA RAKYAT</v>
      </c>
      <c r="K8014" t="str">
        <f>"220471275089"</f>
        <v>220471275089</v>
      </c>
      <c r="L8014" t="str">
        <f t="shared" si="3269"/>
        <v>04-08-2020</v>
      </c>
      <c r="M8014" t="str">
        <f t="shared" si="3269"/>
        <v>04-08-2020</v>
      </c>
      <c r="N8014" t="str">
        <f t="shared" si="3270"/>
        <v>001105018356</v>
      </c>
      <c r="O8014" t="str">
        <f t="shared" si="3271"/>
        <v>MYR</v>
      </c>
      <c r="P8014" t="str">
        <f t="shared" si="3272"/>
        <v>NIL</v>
      </c>
      <c r="Q8014" t="str">
        <f t="shared" si="3272"/>
        <v>NIL</v>
      </c>
      <c r="R8014" t="str">
        <f t="shared" si="3260"/>
        <v>Accepted</v>
      </c>
      <c r="S8014" t="str">
        <f t="shared" si="3273"/>
        <v>Approved</v>
      </c>
      <c r="T8014" t="str">
        <f t="shared" si="3261"/>
        <v>10.20.8.188</v>
      </c>
      <c r="U8014" t="str">
        <f t="shared" si="3274"/>
        <v>AZRAD UMAR BIN SHAARI</v>
      </c>
      <c r="V8014" t="str">
        <f t="shared" si="3275"/>
        <v>FARHANA BINTI MUSTAPA</v>
      </c>
      <c r="W8014" t="str">
        <f t="shared" si="3276"/>
        <v>04-08-2020</v>
      </c>
      <c r="X8014" t="str">
        <f t="shared" si="3277"/>
        <v>RAZIMAH ANSAR AHMAD</v>
      </c>
      <c r="Y8014" t="str">
        <f t="shared" si="3278"/>
        <v>04-08-2020</v>
      </c>
      <c r="Z8014" t="str">
        <f>"COS10200804 1140"</f>
        <v>COS10200804 1140</v>
      </c>
    </row>
    <row r="8015" spans="1:26" x14ac:dyDescent="0.25">
      <c r="A8015" t="str">
        <f t="shared" si="3262"/>
        <v>04-08-2020 12:31:59</v>
      </c>
      <c r="B8015" t="str">
        <f>"0000802886"</f>
        <v>0000802886</v>
      </c>
      <c r="C8015" t="str">
        <f t="shared" si="3263"/>
        <v>0000802747</v>
      </c>
      <c r="D8015" t="str">
        <f t="shared" si="3266"/>
        <v>73185</v>
      </c>
      <c r="E8015" t="str">
        <f t="shared" si="3267"/>
        <v>KFH-OPERATIONS DEPARTMENT</v>
      </c>
      <c r="F8015" t="str">
        <f t="shared" si="3268"/>
        <v>IBG</v>
      </c>
      <c r="G8015" t="str">
        <f t="shared" si="3279"/>
        <v>Refund COSHARE 10</v>
      </c>
      <c r="H8015" s="2">
        <v>915.05</v>
      </c>
      <c r="I8015" t="str">
        <f>"MOHD ZAZALI BIN MOHAMAD ZIN  JIN"</f>
        <v>MOHD ZAZALI BIN MOHAMAD ZIN  JIN</v>
      </c>
      <c r="J8015" t="str">
        <f t="shared" si="3259"/>
        <v>BANK KERJASAMA RAKYAT</v>
      </c>
      <c r="K8015" t="str">
        <f>"220971058400"</f>
        <v>220971058400</v>
      </c>
      <c r="L8015" t="str">
        <f t="shared" si="3269"/>
        <v>04-08-2020</v>
      </c>
      <c r="M8015" t="str">
        <f t="shared" si="3269"/>
        <v>04-08-2020</v>
      </c>
      <c r="N8015" t="str">
        <f t="shared" si="3270"/>
        <v>001105018356</v>
      </c>
      <c r="O8015" t="str">
        <f t="shared" si="3271"/>
        <v>MYR</v>
      </c>
      <c r="P8015" t="str">
        <f t="shared" si="3272"/>
        <v>NIL</v>
      </c>
      <c r="Q8015" t="str">
        <f t="shared" si="3272"/>
        <v>NIL</v>
      </c>
      <c r="R8015" t="str">
        <f t="shared" si="3260"/>
        <v>Accepted</v>
      </c>
      <c r="S8015" t="str">
        <f t="shared" si="3273"/>
        <v>Approved</v>
      </c>
      <c r="T8015" t="str">
        <f t="shared" si="3261"/>
        <v>10.20.8.188</v>
      </c>
      <c r="U8015" t="str">
        <f t="shared" si="3274"/>
        <v>AZRAD UMAR BIN SHAARI</v>
      </c>
      <c r="V8015" t="str">
        <f t="shared" si="3275"/>
        <v>FARHANA BINTI MUSTAPA</v>
      </c>
      <c r="W8015" t="str">
        <f t="shared" si="3276"/>
        <v>04-08-2020</v>
      </c>
      <c r="X8015" t="str">
        <f t="shared" si="3277"/>
        <v>RAZIMAH ANSAR AHMAD</v>
      </c>
      <c r="Y8015" t="str">
        <f t="shared" si="3278"/>
        <v>04-08-2020</v>
      </c>
      <c r="Z8015" t="str">
        <f>"COS10200804 1139"</f>
        <v>COS10200804 1139</v>
      </c>
    </row>
    <row r="8016" spans="1:26" x14ac:dyDescent="0.25">
      <c r="A8016" t="str">
        <f t="shared" si="3262"/>
        <v>04-08-2020 12:31:59</v>
      </c>
      <c r="B8016" t="str">
        <f>"0000802885"</f>
        <v>0000802885</v>
      </c>
      <c r="C8016" t="str">
        <f t="shared" si="3263"/>
        <v>0000802747</v>
      </c>
      <c r="D8016" t="str">
        <f t="shared" si="3266"/>
        <v>73185</v>
      </c>
      <c r="E8016" t="str">
        <f t="shared" si="3267"/>
        <v>KFH-OPERATIONS DEPARTMENT</v>
      </c>
      <c r="F8016" t="str">
        <f t="shared" si="3268"/>
        <v>IBG</v>
      </c>
      <c r="G8016" t="str">
        <f t="shared" si="3279"/>
        <v>Refund COSHARE 10</v>
      </c>
      <c r="H8016" s="2">
        <v>50.4</v>
      </c>
      <c r="I8016" t="str">
        <f>"MOHD ZAMZURI BIN MOHD ZAIN"</f>
        <v>MOHD ZAMZURI BIN MOHD ZAIN</v>
      </c>
      <c r="J8016" t="str">
        <f t="shared" si="3259"/>
        <v>BANK KERJASAMA RAKYAT</v>
      </c>
      <c r="K8016" t="str">
        <f>"220502212310"</f>
        <v>220502212310</v>
      </c>
      <c r="L8016" t="str">
        <f t="shared" si="3269"/>
        <v>04-08-2020</v>
      </c>
      <c r="M8016" t="str">
        <f t="shared" si="3269"/>
        <v>04-08-2020</v>
      </c>
      <c r="N8016" t="str">
        <f t="shared" si="3270"/>
        <v>001105018356</v>
      </c>
      <c r="O8016" t="str">
        <f t="shared" si="3271"/>
        <v>MYR</v>
      </c>
      <c r="P8016" t="str">
        <f t="shared" si="3272"/>
        <v>NIL</v>
      </c>
      <c r="Q8016" t="str">
        <f t="shared" si="3272"/>
        <v>NIL</v>
      </c>
      <c r="R8016" t="str">
        <f t="shared" si="3260"/>
        <v>Accepted</v>
      </c>
      <c r="S8016" t="str">
        <f t="shared" si="3273"/>
        <v>Approved</v>
      </c>
      <c r="T8016" t="str">
        <f t="shared" si="3261"/>
        <v>10.20.8.188</v>
      </c>
      <c r="U8016" t="str">
        <f t="shared" si="3274"/>
        <v>AZRAD UMAR BIN SHAARI</v>
      </c>
      <c r="V8016" t="str">
        <f t="shared" si="3275"/>
        <v>FARHANA BINTI MUSTAPA</v>
      </c>
      <c r="W8016" t="str">
        <f t="shared" si="3276"/>
        <v>04-08-2020</v>
      </c>
      <c r="X8016" t="str">
        <f t="shared" si="3277"/>
        <v>RAZIMAH ANSAR AHMAD</v>
      </c>
      <c r="Y8016" t="str">
        <f t="shared" si="3278"/>
        <v>04-08-2020</v>
      </c>
      <c r="Z8016" t="str">
        <f>"COS10200804 1138"</f>
        <v>COS10200804 1138</v>
      </c>
    </row>
    <row r="8017" spans="1:26" x14ac:dyDescent="0.25">
      <c r="A8017" t="str">
        <f t="shared" si="3262"/>
        <v>04-08-2020 12:31:59</v>
      </c>
      <c r="B8017" t="str">
        <f>"0000802884"</f>
        <v>0000802884</v>
      </c>
      <c r="C8017" t="str">
        <f t="shared" si="3263"/>
        <v>0000802747</v>
      </c>
      <c r="D8017" t="str">
        <f t="shared" si="3266"/>
        <v>73185</v>
      </c>
      <c r="E8017" t="str">
        <f t="shared" si="3267"/>
        <v>KFH-OPERATIONS DEPARTMENT</v>
      </c>
      <c r="F8017" t="str">
        <f t="shared" si="3268"/>
        <v>IBG</v>
      </c>
      <c r="G8017" t="str">
        <f t="shared" si="3279"/>
        <v>Refund COSHARE 10</v>
      </c>
      <c r="H8017" s="2">
        <v>190</v>
      </c>
      <c r="I8017" t="str">
        <f>"MOHD ZAMRI BIN OMAR"</f>
        <v>MOHD ZAMRI BIN OMAR</v>
      </c>
      <c r="J8017" t="str">
        <f t="shared" si="3259"/>
        <v>BANK KERJASAMA RAKYAT</v>
      </c>
      <c r="K8017" t="str">
        <f>"220381174672"</f>
        <v>220381174672</v>
      </c>
      <c r="L8017" t="str">
        <f t="shared" si="3269"/>
        <v>04-08-2020</v>
      </c>
      <c r="M8017" t="str">
        <f t="shared" si="3269"/>
        <v>04-08-2020</v>
      </c>
      <c r="N8017" t="str">
        <f t="shared" si="3270"/>
        <v>001105018356</v>
      </c>
      <c r="O8017" t="str">
        <f t="shared" si="3271"/>
        <v>MYR</v>
      </c>
      <c r="P8017" t="str">
        <f t="shared" si="3272"/>
        <v>NIL</v>
      </c>
      <c r="Q8017" t="str">
        <f t="shared" si="3272"/>
        <v>NIL</v>
      </c>
      <c r="R8017" t="str">
        <f t="shared" si="3260"/>
        <v>Accepted</v>
      </c>
      <c r="S8017" t="str">
        <f t="shared" si="3273"/>
        <v>Approved</v>
      </c>
      <c r="T8017" t="str">
        <f t="shared" si="3261"/>
        <v>10.20.8.188</v>
      </c>
      <c r="U8017" t="str">
        <f t="shared" si="3274"/>
        <v>AZRAD UMAR BIN SHAARI</v>
      </c>
      <c r="V8017" t="str">
        <f t="shared" si="3275"/>
        <v>FARHANA BINTI MUSTAPA</v>
      </c>
      <c r="W8017" t="str">
        <f t="shared" si="3276"/>
        <v>04-08-2020</v>
      </c>
      <c r="X8017" t="str">
        <f t="shared" si="3277"/>
        <v>RAZIMAH ANSAR AHMAD</v>
      </c>
      <c r="Y8017" t="str">
        <f t="shared" si="3278"/>
        <v>04-08-2020</v>
      </c>
      <c r="Z8017" t="str">
        <f>"COS10200804 1137"</f>
        <v>COS10200804 1137</v>
      </c>
    </row>
    <row r="8018" spans="1:26" x14ac:dyDescent="0.25">
      <c r="A8018" t="str">
        <f t="shared" ref="A8018:A8049" si="3280">"04-08-2020 12:31:59"</f>
        <v>04-08-2020 12:31:59</v>
      </c>
      <c r="B8018" t="str">
        <f>"0000802883"</f>
        <v>0000802883</v>
      </c>
      <c r="C8018" t="str">
        <f t="shared" ref="C8018:C8049" si="3281">"0000802747"</f>
        <v>0000802747</v>
      </c>
      <c r="D8018" t="str">
        <f t="shared" si="3266"/>
        <v>73185</v>
      </c>
      <c r="E8018" t="str">
        <f t="shared" si="3267"/>
        <v>KFH-OPERATIONS DEPARTMENT</v>
      </c>
      <c r="F8018" t="str">
        <f t="shared" si="3268"/>
        <v>IBG</v>
      </c>
      <c r="G8018" t="str">
        <f t="shared" si="3279"/>
        <v>Refund COSHARE 10</v>
      </c>
      <c r="H8018" s="2">
        <v>823.5</v>
      </c>
      <c r="I8018" t="str">
        <f>"MOHD ZAMRI BIN IBRAHIM"</f>
        <v>MOHD ZAMRI BIN IBRAHIM</v>
      </c>
      <c r="J8018" t="str">
        <f t="shared" si="3259"/>
        <v>BANK KERJASAMA RAKYAT</v>
      </c>
      <c r="K8018" t="str">
        <f>"220401033950"</f>
        <v>220401033950</v>
      </c>
      <c r="L8018" t="str">
        <f t="shared" si="3269"/>
        <v>04-08-2020</v>
      </c>
      <c r="M8018" t="str">
        <f t="shared" si="3269"/>
        <v>04-08-2020</v>
      </c>
      <c r="N8018" t="str">
        <f t="shared" si="3270"/>
        <v>001105018356</v>
      </c>
      <c r="O8018" t="str">
        <f t="shared" si="3271"/>
        <v>MYR</v>
      </c>
      <c r="P8018" t="str">
        <f t="shared" si="3272"/>
        <v>NIL</v>
      </c>
      <c r="Q8018" t="str">
        <f t="shared" si="3272"/>
        <v>NIL</v>
      </c>
      <c r="R8018" t="str">
        <f t="shared" si="3260"/>
        <v>Accepted</v>
      </c>
      <c r="S8018" t="str">
        <f t="shared" si="3273"/>
        <v>Approved</v>
      </c>
      <c r="T8018" t="str">
        <f t="shared" si="3261"/>
        <v>10.20.8.188</v>
      </c>
      <c r="U8018" t="str">
        <f t="shared" si="3274"/>
        <v>AZRAD UMAR BIN SHAARI</v>
      </c>
      <c r="V8018" t="str">
        <f t="shared" si="3275"/>
        <v>FARHANA BINTI MUSTAPA</v>
      </c>
      <c r="W8018" t="str">
        <f t="shared" si="3276"/>
        <v>04-08-2020</v>
      </c>
      <c r="X8018" t="str">
        <f t="shared" si="3277"/>
        <v>RAZIMAH ANSAR AHMAD</v>
      </c>
      <c r="Y8018" t="str">
        <f t="shared" si="3278"/>
        <v>04-08-2020</v>
      </c>
      <c r="Z8018" t="str">
        <f>"COS10200804 1136"</f>
        <v>COS10200804 1136</v>
      </c>
    </row>
    <row r="8019" spans="1:26" x14ac:dyDescent="0.25">
      <c r="A8019" t="str">
        <f t="shared" si="3280"/>
        <v>04-08-2020 12:31:59</v>
      </c>
      <c r="B8019" t="str">
        <f>"0000802882"</f>
        <v>0000802882</v>
      </c>
      <c r="C8019" t="str">
        <f t="shared" si="3281"/>
        <v>0000802747</v>
      </c>
      <c r="D8019" t="str">
        <f t="shared" si="3266"/>
        <v>73185</v>
      </c>
      <c r="E8019" t="str">
        <f t="shared" si="3267"/>
        <v>KFH-OPERATIONS DEPARTMENT</v>
      </c>
      <c r="F8019" t="str">
        <f t="shared" si="3268"/>
        <v>IBG</v>
      </c>
      <c r="G8019" t="str">
        <f t="shared" si="3279"/>
        <v>Refund COSHARE 10</v>
      </c>
      <c r="H8019" s="2">
        <v>387</v>
      </c>
      <c r="I8019" t="str">
        <f>"MOHD ZAMANI BIN SALIP"</f>
        <v>MOHD ZAMANI BIN SALIP</v>
      </c>
      <c r="J8019" t="str">
        <f t="shared" si="3259"/>
        <v>BANK KERJASAMA RAKYAT</v>
      </c>
      <c r="K8019" t="str">
        <f>"220141054981"</f>
        <v>220141054981</v>
      </c>
      <c r="L8019" t="str">
        <f t="shared" si="3269"/>
        <v>04-08-2020</v>
      </c>
      <c r="M8019" t="str">
        <f t="shared" si="3269"/>
        <v>04-08-2020</v>
      </c>
      <c r="N8019" t="str">
        <f t="shared" si="3270"/>
        <v>001105018356</v>
      </c>
      <c r="O8019" t="str">
        <f t="shared" si="3271"/>
        <v>MYR</v>
      </c>
      <c r="P8019" t="str">
        <f t="shared" si="3272"/>
        <v>NIL</v>
      </c>
      <c r="Q8019" t="str">
        <f t="shared" si="3272"/>
        <v>NIL</v>
      </c>
      <c r="R8019" t="str">
        <f t="shared" si="3260"/>
        <v>Accepted</v>
      </c>
      <c r="S8019" t="str">
        <f t="shared" si="3273"/>
        <v>Approved</v>
      </c>
      <c r="T8019" t="str">
        <f t="shared" si="3261"/>
        <v>10.20.8.188</v>
      </c>
      <c r="U8019" t="str">
        <f t="shared" si="3274"/>
        <v>AZRAD UMAR BIN SHAARI</v>
      </c>
      <c r="V8019" t="str">
        <f t="shared" si="3275"/>
        <v>FARHANA BINTI MUSTAPA</v>
      </c>
      <c r="W8019" t="str">
        <f t="shared" si="3276"/>
        <v>04-08-2020</v>
      </c>
      <c r="X8019" t="str">
        <f t="shared" si="3277"/>
        <v>RAZIMAH ANSAR AHMAD</v>
      </c>
      <c r="Y8019" t="str">
        <f t="shared" si="3278"/>
        <v>04-08-2020</v>
      </c>
      <c r="Z8019" t="str">
        <f>"COS10200804 1135"</f>
        <v>COS10200804 1135</v>
      </c>
    </row>
    <row r="8020" spans="1:26" x14ac:dyDescent="0.25">
      <c r="A8020" t="str">
        <f t="shared" si="3280"/>
        <v>04-08-2020 12:31:59</v>
      </c>
      <c r="B8020" t="str">
        <f>"0000802881"</f>
        <v>0000802881</v>
      </c>
      <c r="C8020" t="str">
        <f t="shared" si="3281"/>
        <v>0000802747</v>
      </c>
      <c r="D8020" t="str">
        <f t="shared" si="3266"/>
        <v>73185</v>
      </c>
      <c r="E8020" t="str">
        <f t="shared" si="3267"/>
        <v>KFH-OPERATIONS DEPARTMENT</v>
      </c>
      <c r="F8020" t="str">
        <f t="shared" si="3268"/>
        <v>IBG</v>
      </c>
      <c r="G8020" t="str">
        <f t="shared" si="3279"/>
        <v>Refund COSHARE 10</v>
      </c>
      <c r="H8020" s="2">
        <v>268.64999999999998</v>
      </c>
      <c r="I8020" t="str">
        <f>"MOHD ZAIRIEMIE AZWAN BIN MOHD NAWI"</f>
        <v>MOHD ZAIRIEMIE AZWAN BIN MOHD NAWI</v>
      </c>
      <c r="J8020" t="str">
        <f t="shared" si="3259"/>
        <v>BANK KERJASAMA RAKYAT</v>
      </c>
      <c r="K8020" t="str">
        <f>"221191029836"</f>
        <v>221191029836</v>
      </c>
      <c r="L8020" t="str">
        <f t="shared" si="3269"/>
        <v>04-08-2020</v>
      </c>
      <c r="M8020" t="str">
        <f t="shared" si="3269"/>
        <v>04-08-2020</v>
      </c>
      <c r="N8020" t="str">
        <f t="shared" si="3270"/>
        <v>001105018356</v>
      </c>
      <c r="O8020" t="str">
        <f t="shared" si="3271"/>
        <v>MYR</v>
      </c>
      <c r="P8020" t="str">
        <f t="shared" si="3272"/>
        <v>NIL</v>
      </c>
      <c r="Q8020" t="str">
        <f t="shared" si="3272"/>
        <v>NIL</v>
      </c>
      <c r="R8020" t="str">
        <f t="shared" si="3260"/>
        <v>Accepted</v>
      </c>
      <c r="S8020" t="str">
        <f t="shared" si="3273"/>
        <v>Approved</v>
      </c>
      <c r="T8020" t="str">
        <f t="shared" si="3261"/>
        <v>10.20.8.188</v>
      </c>
      <c r="U8020" t="str">
        <f t="shared" si="3274"/>
        <v>AZRAD UMAR BIN SHAARI</v>
      </c>
      <c r="V8020" t="str">
        <f t="shared" si="3275"/>
        <v>FARHANA BINTI MUSTAPA</v>
      </c>
      <c r="W8020" t="str">
        <f t="shared" si="3276"/>
        <v>04-08-2020</v>
      </c>
      <c r="X8020" t="str">
        <f t="shared" si="3277"/>
        <v>RAZIMAH ANSAR AHMAD</v>
      </c>
      <c r="Y8020" t="str">
        <f t="shared" si="3278"/>
        <v>04-08-2020</v>
      </c>
      <c r="Z8020" t="str">
        <f>"COS10200804 1134"</f>
        <v>COS10200804 1134</v>
      </c>
    </row>
    <row r="8021" spans="1:26" x14ac:dyDescent="0.25">
      <c r="A8021" t="str">
        <f t="shared" si="3280"/>
        <v>04-08-2020 12:31:59</v>
      </c>
      <c r="B8021" t="str">
        <f>"0000802880"</f>
        <v>0000802880</v>
      </c>
      <c r="C8021" t="str">
        <f t="shared" si="3281"/>
        <v>0000802747</v>
      </c>
      <c r="D8021" t="str">
        <f t="shared" si="3266"/>
        <v>73185</v>
      </c>
      <c r="E8021" t="str">
        <f t="shared" si="3267"/>
        <v>KFH-OPERATIONS DEPARTMENT</v>
      </c>
      <c r="F8021" t="str">
        <f t="shared" si="3268"/>
        <v>IBG</v>
      </c>
      <c r="G8021" t="str">
        <f t="shared" si="3279"/>
        <v>Refund COSHARE 10</v>
      </c>
      <c r="H8021" s="2">
        <v>310.45</v>
      </c>
      <c r="I8021" t="str">
        <f>"MOHD ZAINURI BIN BERAHIM"</f>
        <v>MOHD ZAINURI BIN BERAHIM</v>
      </c>
      <c r="J8021" t="str">
        <f t="shared" si="3259"/>
        <v>BANK KERJASAMA RAKYAT</v>
      </c>
      <c r="K8021" t="str">
        <f>"220881085774"</f>
        <v>220881085774</v>
      </c>
      <c r="L8021" t="str">
        <f t="shared" si="3269"/>
        <v>04-08-2020</v>
      </c>
      <c r="M8021" t="str">
        <f t="shared" si="3269"/>
        <v>04-08-2020</v>
      </c>
      <c r="N8021" t="str">
        <f t="shared" si="3270"/>
        <v>001105018356</v>
      </c>
      <c r="O8021" t="str">
        <f t="shared" si="3271"/>
        <v>MYR</v>
      </c>
      <c r="P8021" t="str">
        <f t="shared" si="3272"/>
        <v>NIL</v>
      </c>
      <c r="Q8021" t="str">
        <f t="shared" si="3272"/>
        <v>NIL</v>
      </c>
      <c r="R8021" t="str">
        <f t="shared" si="3260"/>
        <v>Accepted</v>
      </c>
      <c r="S8021" t="str">
        <f t="shared" si="3273"/>
        <v>Approved</v>
      </c>
      <c r="T8021" t="str">
        <f t="shared" si="3261"/>
        <v>10.20.8.188</v>
      </c>
      <c r="U8021" t="str">
        <f t="shared" si="3274"/>
        <v>AZRAD UMAR BIN SHAARI</v>
      </c>
      <c r="V8021" t="str">
        <f t="shared" si="3275"/>
        <v>FARHANA BINTI MUSTAPA</v>
      </c>
      <c r="W8021" t="str">
        <f t="shared" si="3276"/>
        <v>04-08-2020</v>
      </c>
      <c r="X8021" t="str">
        <f t="shared" si="3277"/>
        <v>RAZIMAH ANSAR AHMAD</v>
      </c>
      <c r="Y8021" t="str">
        <f t="shared" si="3278"/>
        <v>04-08-2020</v>
      </c>
      <c r="Z8021" t="str">
        <f>"COS10200804 1133"</f>
        <v>COS10200804 1133</v>
      </c>
    </row>
    <row r="8022" spans="1:26" x14ac:dyDescent="0.25">
      <c r="A8022" t="str">
        <f t="shared" si="3280"/>
        <v>04-08-2020 12:31:59</v>
      </c>
      <c r="B8022" t="str">
        <f>"0000802879"</f>
        <v>0000802879</v>
      </c>
      <c r="C8022" t="str">
        <f t="shared" si="3281"/>
        <v>0000802747</v>
      </c>
      <c r="D8022" t="str">
        <f t="shared" si="3266"/>
        <v>73185</v>
      </c>
      <c r="E8022" t="str">
        <f t="shared" si="3267"/>
        <v>KFH-OPERATIONS DEPARTMENT</v>
      </c>
      <c r="F8022" t="str">
        <f t="shared" si="3268"/>
        <v>IBG</v>
      </c>
      <c r="G8022" t="str">
        <f t="shared" si="3279"/>
        <v>Refund COSHARE 10</v>
      </c>
      <c r="H8022" s="2">
        <v>546.85</v>
      </c>
      <c r="I8022" t="str">
        <f>"MOHD YUNUS BIN WAHAB"</f>
        <v>MOHD YUNUS BIN WAHAB</v>
      </c>
      <c r="J8022" t="str">
        <f t="shared" si="3259"/>
        <v>BANK KERJASAMA RAKYAT</v>
      </c>
      <c r="K8022" t="str">
        <f>"220681047079"</f>
        <v>220681047079</v>
      </c>
      <c r="L8022" t="str">
        <f t="shared" si="3269"/>
        <v>04-08-2020</v>
      </c>
      <c r="M8022" t="str">
        <f t="shared" si="3269"/>
        <v>04-08-2020</v>
      </c>
      <c r="N8022" t="str">
        <f t="shared" si="3270"/>
        <v>001105018356</v>
      </c>
      <c r="O8022" t="str">
        <f t="shared" si="3271"/>
        <v>MYR</v>
      </c>
      <c r="P8022" t="str">
        <f t="shared" si="3272"/>
        <v>NIL</v>
      </c>
      <c r="Q8022" t="str">
        <f t="shared" si="3272"/>
        <v>NIL</v>
      </c>
      <c r="R8022" t="str">
        <f t="shared" si="3260"/>
        <v>Accepted</v>
      </c>
      <c r="S8022" t="str">
        <f t="shared" si="3273"/>
        <v>Approved</v>
      </c>
      <c r="T8022" t="str">
        <f t="shared" si="3261"/>
        <v>10.20.8.188</v>
      </c>
      <c r="U8022" t="str">
        <f t="shared" si="3274"/>
        <v>AZRAD UMAR BIN SHAARI</v>
      </c>
      <c r="V8022" t="str">
        <f t="shared" si="3275"/>
        <v>FARHANA BINTI MUSTAPA</v>
      </c>
      <c r="W8022" t="str">
        <f t="shared" si="3276"/>
        <v>04-08-2020</v>
      </c>
      <c r="X8022" t="str">
        <f t="shared" si="3277"/>
        <v>RAZIMAH ANSAR AHMAD</v>
      </c>
      <c r="Y8022" t="str">
        <f t="shared" si="3278"/>
        <v>04-08-2020</v>
      </c>
      <c r="Z8022" t="str">
        <f>"COS10200804 1132"</f>
        <v>COS10200804 1132</v>
      </c>
    </row>
    <row r="8023" spans="1:26" x14ac:dyDescent="0.25">
      <c r="A8023" t="str">
        <f t="shared" si="3280"/>
        <v>04-08-2020 12:31:59</v>
      </c>
      <c r="B8023" t="str">
        <f>"0000802878"</f>
        <v>0000802878</v>
      </c>
      <c r="C8023" t="str">
        <f t="shared" si="3281"/>
        <v>0000802747</v>
      </c>
      <c r="D8023" t="str">
        <f t="shared" si="3266"/>
        <v>73185</v>
      </c>
      <c r="E8023" t="str">
        <f t="shared" si="3267"/>
        <v>KFH-OPERATIONS DEPARTMENT</v>
      </c>
      <c r="F8023" t="str">
        <f t="shared" si="3268"/>
        <v>IBG</v>
      </c>
      <c r="G8023" t="str">
        <f t="shared" si="3279"/>
        <v>Refund COSHARE 10</v>
      </c>
      <c r="H8023" s="2">
        <v>847.9</v>
      </c>
      <c r="I8023" t="str">
        <f>"MOHD YATIM BIN SAAD"</f>
        <v>MOHD YATIM BIN SAAD</v>
      </c>
      <c r="J8023" t="str">
        <f t="shared" si="3259"/>
        <v>BANK KERJASAMA RAKYAT</v>
      </c>
      <c r="K8023" t="str">
        <f>"220423303426"</f>
        <v>220423303426</v>
      </c>
      <c r="L8023" t="str">
        <f t="shared" si="3269"/>
        <v>04-08-2020</v>
      </c>
      <c r="M8023" t="str">
        <f t="shared" si="3269"/>
        <v>04-08-2020</v>
      </c>
      <c r="N8023" t="str">
        <f t="shared" si="3270"/>
        <v>001105018356</v>
      </c>
      <c r="O8023" t="str">
        <f t="shared" si="3271"/>
        <v>MYR</v>
      </c>
      <c r="P8023" t="str">
        <f t="shared" si="3272"/>
        <v>NIL</v>
      </c>
      <c r="Q8023" t="str">
        <f t="shared" si="3272"/>
        <v>NIL</v>
      </c>
      <c r="R8023" t="str">
        <f t="shared" si="3260"/>
        <v>Accepted</v>
      </c>
      <c r="S8023" t="str">
        <f t="shared" si="3273"/>
        <v>Approved</v>
      </c>
      <c r="T8023" t="str">
        <f t="shared" si="3261"/>
        <v>10.20.8.188</v>
      </c>
      <c r="U8023" t="str">
        <f t="shared" si="3274"/>
        <v>AZRAD UMAR BIN SHAARI</v>
      </c>
      <c r="V8023" t="str">
        <f t="shared" si="3275"/>
        <v>FARHANA BINTI MUSTAPA</v>
      </c>
      <c r="W8023" t="str">
        <f t="shared" si="3276"/>
        <v>04-08-2020</v>
      </c>
      <c r="X8023" t="str">
        <f t="shared" si="3277"/>
        <v>RAZIMAH ANSAR AHMAD</v>
      </c>
      <c r="Y8023" t="str">
        <f t="shared" si="3278"/>
        <v>04-08-2020</v>
      </c>
      <c r="Z8023" t="str">
        <f>"COS10200804 1131"</f>
        <v>COS10200804 1131</v>
      </c>
    </row>
    <row r="8024" spans="1:26" x14ac:dyDescent="0.25">
      <c r="A8024" t="str">
        <f t="shared" si="3280"/>
        <v>04-08-2020 12:31:59</v>
      </c>
      <c r="B8024" t="str">
        <f>"0000802877"</f>
        <v>0000802877</v>
      </c>
      <c r="C8024" t="str">
        <f t="shared" si="3281"/>
        <v>0000802747</v>
      </c>
      <c r="D8024" t="str">
        <f t="shared" si="3266"/>
        <v>73185</v>
      </c>
      <c r="E8024" t="str">
        <f t="shared" si="3267"/>
        <v>KFH-OPERATIONS DEPARTMENT</v>
      </c>
      <c r="F8024" t="str">
        <f t="shared" si="3268"/>
        <v>IBG</v>
      </c>
      <c r="G8024" t="str">
        <f t="shared" si="3279"/>
        <v>Refund COSHARE 10</v>
      </c>
      <c r="H8024" s="2">
        <v>335.8</v>
      </c>
      <c r="I8024" t="str">
        <f>"MOHD YATIM BIN PAIMAN"</f>
        <v>MOHD YATIM BIN PAIMAN</v>
      </c>
      <c r="J8024" t="str">
        <f t="shared" si="3259"/>
        <v>BANK KERJASAMA RAKYAT</v>
      </c>
      <c r="K8024" t="str">
        <f>"221031090037"</f>
        <v>221031090037</v>
      </c>
      <c r="L8024" t="str">
        <f t="shared" si="3269"/>
        <v>04-08-2020</v>
      </c>
      <c r="M8024" t="str">
        <f t="shared" si="3269"/>
        <v>04-08-2020</v>
      </c>
      <c r="N8024" t="str">
        <f t="shared" si="3270"/>
        <v>001105018356</v>
      </c>
      <c r="O8024" t="str">
        <f t="shared" si="3271"/>
        <v>MYR</v>
      </c>
      <c r="P8024" t="str">
        <f t="shared" si="3272"/>
        <v>NIL</v>
      </c>
      <c r="Q8024" t="str">
        <f t="shared" si="3272"/>
        <v>NIL</v>
      </c>
      <c r="R8024" t="str">
        <f t="shared" si="3260"/>
        <v>Accepted</v>
      </c>
      <c r="S8024" t="str">
        <f t="shared" si="3273"/>
        <v>Approved</v>
      </c>
      <c r="T8024" t="str">
        <f t="shared" si="3261"/>
        <v>10.20.8.188</v>
      </c>
      <c r="U8024" t="str">
        <f t="shared" si="3274"/>
        <v>AZRAD UMAR BIN SHAARI</v>
      </c>
      <c r="V8024" t="str">
        <f t="shared" si="3275"/>
        <v>FARHANA BINTI MUSTAPA</v>
      </c>
      <c r="W8024" t="str">
        <f t="shared" si="3276"/>
        <v>04-08-2020</v>
      </c>
      <c r="X8024" t="str">
        <f t="shared" si="3277"/>
        <v>RAZIMAH ANSAR AHMAD</v>
      </c>
      <c r="Y8024" t="str">
        <f t="shared" si="3278"/>
        <v>04-08-2020</v>
      </c>
      <c r="Z8024" t="str">
        <f>"COS10200804 1130"</f>
        <v>COS10200804 1130</v>
      </c>
    </row>
    <row r="8025" spans="1:26" x14ac:dyDescent="0.25">
      <c r="A8025" t="str">
        <f t="shared" si="3280"/>
        <v>04-08-2020 12:31:59</v>
      </c>
      <c r="B8025" t="str">
        <f>"0000802876"</f>
        <v>0000802876</v>
      </c>
      <c r="C8025" t="str">
        <f t="shared" si="3281"/>
        <v>0000802747</v>
      </c>
      <c r="D8025" t="str">
        <f t="shared" si="3266"/>
        <v>73185</v>
      </c>
      <c r="E8025" t="str">
        <f t="shared" si="3267"/>
        <v>KFH-OPERATIONS DEPARTMENT</v>
      </c>
      <c r="F8025" t="str">
        <f t="shared" si="3268"/>
        <v>IBG</v>
      </c>
      <c r="G8025" t="str">
        <f t="shared" si="3279"/>
        <v>Refund COSHARE 10</v>
      </c>
      <c r="H8025" s="2">
        <v>917</v>
      </c>
      <c r="I8025" t="str">
        <f>"MOHD SOFIAN BIN ABDUL MAJID"</f>
        <v>MOHD SOFIAN BIN ABDUL MAJID</v>
      </c>
      <c r="J8025" t="str">
        <f t="shared" si="3259"/>
        <v>BANK KERJASAMA RAKYAT</v>
      </c>
      <c r="K8025" t="str">
        <f>"220041247787"</f>
        <v>220041247787</v>
      </c>
      <c r="L8025" t="str">
        <f t="shared" si="3269"/>
        <v>04-08-2020</v>
      </c>
      <c r="M8025" t="str">
        <f t="shared" si="3269"/>
        <v>04-08-2020</v>
      </c>
      <c r="N8025" t="str">
        <f t="shared" si="3270"/>
        <v>001105018356</v>
      </c>
      <c r="O8025" t="str">
        <f t="shared" si="3271"/>
        <v>MYR</v>
      </c>
      <c r="P8025" t="str">
        <f t="shared" si="3272"/>
        <v>NIL</v>
      </c>
      <c r="Q8025" t="str">
        <f t="shared" si="3272"/>
        <v>NIL</v>
      </c>
      <c r="R8025" t="str">
        <f t="shared" si="3260"/>
        <v>Accepted</v>
      </c>
      <c r="S8025" t="str">
        <f t="shared" si="3273"/>
        <v>Approved</v>
      </c>
      <c r="T8025" t="str">
        <f t="shared" si="3261"/>
        <v>10.20.8.188</v>
      </c>
      <c r="U8025" t="str">
        <f t="shared" si="3274"/>
        <v>AZRAD UMAR BIN SHAARI</v>
      </c>
      <c r="V8025" t="str">
        <f t="shared" si="3275"/>
        <v>FARHANA BINTI MUSTAPA</v>
      </c>
      <c r="W8025" t="str">
        <f t="shared" si="3276"/>
        <v>04-08-2020</v>
      </c>
      <c r="X8025" t="str">
        <f t="shared" si="3277"/>
        <v>RAZIMAH ANSAR AHMAD</v>
      </c>
      <c r="Y8025" t="str">
        <f t="shared" si="3278"/>
        <v>04-08-2020</v>
      </c>
      <c r="Z8025" t="str">
        <f>"COS10200804 1129"</f>
        <v>COS10200804 1129</v>
      </c>
    </row>
    <row r="8026" spans="1:26" x14ac:dyDescent="0.25">
      <c r="A8026" t="str">
        <f t="shared" si="3280"/>
        <v>04-08-2020 12:31:59</v>
      </c>
      <c r="B8026" t="str">
        <f>"0000802875"</f>
        <v>0000802875</v>
      </c>
      <c r="C8026" t="str">
        <f t="shared" si="3281"/>
        <v>0000802747</v>
      </c>
      <c r="D8026" t="str">
        <f t="shared" si="3266"/>
        <v>73185</v>
      </c>
      <c r="E8026" t="str">
        <f t="shared" si="3267"/>
        <v>KFH-OPERATIONS DEPARTMENT</v>
      </c>
      <c r="F8026" t="str">
        <f t="shared" si="3268"/>
        <v>IBG</v>
      </c>
      <c r="G8026" t="str">
        <f t="shared" si="3279"/>
        <v>Refund COSHARE 10</v>
      </c>
      <c r="H8026" s="2">
        <v>705.2</v>
      </c>
      <c r="I8026" t="str">
        <f>"MOHD SOBRY BIN MOHD NOOR"</f>
        <v>MOHD SOBRY BIN MOHD NOOR</v>
      </c>
      <c r="J8026" t="str">
        <f t="shared" si="3259"/>
        <v>BANK KERJASAMA RAKYAT</v>
      </c>
      <c r="K8026" t="str">
        <f>"220301158326"</f>
        <v>220301158326</v>
      </c>
      <c r="L8026" t="str">
        <f t="shared" si="3269"/>
        <v>04-08-2020</v>
      </c>
      <c r="M8026" t="str">
        <f t="shared" si="3269"/>
        <v>04-08-2020</v>
      </c>
      <c r="N8026" t="str">
        <f t="shared" si="3270"/>
        <v>001105018356</v>
      </c>
      <c r="O8026" t="str">
        <f t="shared" si="3271"/>
        <v>MYR</v>
      </c>
      <c r="P8026" t="str">
        <f t="shared" si="3272"/>
        <v>NIL</v>
      </c>
      <c r="Q8026" t="str">
        <f t="shared" si="3272"/>
        <v>NIL</v>
      </c>
      <c r="R8026" t="str">
        <f t="shared" si="3260"/>
        <v>Accepted</v>
      </c>
      <c r="S8026" t="str">
        <f t="shared" si="3273"/>
        <v>Approved</v>
      </c>
      <c r="T8026" t="str">
        <f t="shared" si="3261"/>
        <v>10.20.8.188</v>
      </c>
      <c r="U8026" t="str">
        <f t="shared" si="3274"/>
        <v>AZRAD UMAR BIN SHAARI</v>
      </c>
      <c r="V8026" t="str">
        <f t="shared" si="3275"/>
        <v>FARHANA BINTI MUSTAPA</v>
      </c>
      <c r="W8026" t="str">
        <f t="shared" si="3276"/>
        <v>04-08-2020</v>
      </c>
      <c r="X8026" t="str">
        <f t="shared" si="3277"/>
        <v>RAZIMAH ANSAR AHMAD</v>
      </c>
      <c r="Y8026" t="str">
        <f t="shared" si="3278"/>
        <v>04-08-2020</v>
      </c>
      <c r="Z8026" t="str">
        <f>"COS10200804 1128"</f>
        <v>COS10200804 1128</v>
      </c>
    </row>
    <row r="8027" spans="1:26" x14ac:dyDescent="0.25">
      <c r="A8027" t="str">
        <f t="shared" si="3280"/>
        <v>04-08-2020 12:31:59</v>
      </c>
      <c r="B8027" t="str">
        <f>"0000802874"</f>
        <v>0000802874</v>
      </c>
      <c r="C8027" t="str">
        <f t="shared" si="3281"/>
        <v>0000802747</v>
      </c>
      <c r="D8027" t="str">
        <f t="shared" si="3266"/>
        <v>73185</v>
      </c>
      <c r="E8027" t="str">
        <f t="shared" si="3267"/>
        <v>KFH-OPERATIONS DEPARTMENT</v>
      </c>
      <c r="F8027" t="str">
        <f t="shared" si="3268"/>
        <v>IBG</v>
      </c>
      <c r="G8027" t="str">
        <f t="shared" si="3279"/>
        <v>Refund COSHARE 10</v>
      </c>
      <c r="H8027" s="2">
        <v>69</v>
      </c>
      <c r="I8027" t="str">
        <f>"MOHD SHAMSUDDIN BIN MOHAMMAD SALLEH"</f>
        <v>MOHD SHAMSUDDIN BIN MOHAMMAD SALLEH</v>
      </c>
      <c r="J8027" t="str">
        <f t="shared" si="3259"/>
        <v>BANK KERJASAMA RAKYAT</v>
      </c>
      <c r="K8027" t="str">
        <f>"220921015153"</f>
        <v>220921015153</v>
      </c>
      <c r="L8027" t="str">
        <f t="shared" ref="L8027:M8046" si="3282">"04-08-2020"</f>
        <v>04-08-2020</v>
      </c>
      <c r="M8027" t="str">
        <f t="shared" si="3282"/>
        <v>04-08-2020</v>
      </c>
      <c r="N8027" t="str">
        <f t="shared" si="3270"/>
        <v>001105018356</v>
      </c>
      <c r="O8027" t="str">
        <f t="shared" si="3271"/>
        <v>MYR</v>
      </c>
      <c r="P8027" t="str">
        <f t="shared" ref="P8027:Q8046" si="3283">"NIL"</f>
        <v>NIL</v>
      </c>
      <c r="Q8027" t="str">
        <f t="shared" si="3283"/>
        <v>NIL</v>
      </c>
      <c r="R8027" t="str">
        <f t="shared" si="3260"/>
        <v>Accepted</v>
      </c>
      <c r="S8027" t="str">
        <f t="shared" si="3273"/>
        <v>Approved</v>
      </c>
      <c r="T8027" t="str">
        <f t="shared" si="3261"/>
        <v>10.20.8.188</v>
      </c>
      <c r="U8027" t="str">
        <f t="shared" si="3274"/>
        <v>AZRAD UMAR BIN SHAARI</v>
      </c>
      <c r="V8027" t="str">
        <f t="shared" si="3275"/>
        <v>FARHANA BINTI MUSTAPA</v>
      </c>
      <c r="W8027" t="str">
        <f t="shared" si="3276"/>
        <v>04-08-2020</v>
      </c>
      <c r="X8027" t="str">
        <f t="shared" si="3277"/>
        <v>RAZIMAH ANSAR AHMAD</v>
      </c>
      <c r="Y8027" t="str">
        <f t="shared" si="3278"/>
        <v>04-08-2020</v>
      </c>
      <c r="Z8027" t="str">
        <f>"COS10200804 1127"</f>
        <v>COS10200804 1127</v>
      </c>
    </row>
    <row r="8028" spans="1:26" x14ac:dyDescent="0.25">
      <c r="A8028" t="str">
        <f t="shared" si="3280"/>
        <v>04-08-2020 12:31:59</v>
      </c>
      <c r="B8028" t="str">
        <f>"0000802873"</f>
        <v>0000802873</v>
      </c>
      <c r="C8028" t="str">
        <f t="shared" si="3281"/>
        <v>0000802747</v>
      </c>
      <c r="D8028" t="str">
        <f t="shared" si="3266"/>
        <v>73185</v>
      </c>
      <c r="E8028" t="str">
        <f t="shared" si="3267"/>
        <v>KFH-OPERATIONS DEPARTMENT</v>
      </c>
      <c r="F8028" t="str">
        <f t="shared" si="3268"/>
        <v>IBG</v>
      </c>
      <c r="G8028" t="str">
        <f t="shared" si="3279"/>
        <v>Refund COSHARE 10</v>
      </c>
      <c r="H8028" s="2">
        <v>50.4</v>
      </c>
      <c r="I8028" t="str">
        <f>"MOHD SHAHRIL BIN KAMILAN"</f>
        <v>MOHD SHAHRIL BIN KAMILAN</v>
      </c>
      <c r="J8028" t="str">
        <f t="shared" si="3259"/>
        <v>BANK KERJASAMA RAKYAT</v>
      </c>
      <c r="K8028" t="str">
        <f>"220251239920"</f>
        <v>220251239920</v>
      </c>
      <c r="L8028" t="str">
        <f t="shared" si="3282"/>
        <v>04-08-2020</v>
      </c>
      <c r="M8028" t="str">
        <f t="shared" si="3282"/>
        <v>04-08-2020</v>
      </c>
      <c r="N8028" t="str">
        <f t="shared" si="3270"/>
        <v>001105018356</v>
      </c>
      <c r="O8028" t="str">
        <f t="shared" si="3271"/>
        <v>MYR</v>
      </c>
      <c r="P8028" t="str">
        <f t="shared" si="3283"/>
        <v>NIL</v>
      </c>
      <c r="Q8028" t="str">
        <f t="shared" si="3283"/>
        <v>NIL</v>
      </c>
      <c r="R8028" t="str">
        <f t="shared" si="3260"/>
        <v>Accepted</v>
      </c>
      <c r="S8028" t="str">
        <f t="shared" si="3273"/>
        <v>Approved</v>
      </c>
      <c r="T8028" t="str">
        <f t="shared" si="3261"/>
        <v>10.20.8.188</v>
      </c>
      <c r="U8028" t="str">
        <f t="shared" si="3274"/>
        <v>AZRAD UMAR BIN SHAARI</v>
      </c>
      <c r="V8028" t="str">
        <f t="shared" si="3275"/>
        <v>FARHANA BINTI MUSTAPA</v>
      </c>
      <c r="W8028" t="str">
        <f t="shared" si="3276"/>
        <v>04-08-2020</v>
      </c>
      <c r="X8028" t="str">
        <f t="shared" si="3277"/>
        <v>RAZIMAH ANSAR AHMAD</v>
      </c>
      <c r="Y8028" t="str">
        <f t="shared" si="3278"/>
        <v>04-08-2020</v>
      </c>
      <c r="Z8028" t="str">
        <f>"COS10200804 1126"</f>
        <v>COS10200804 1126</v>
      </c>
    </row>
    <row r="8029" spans="1:26" x14ac:dyDescent="0.25">
      <c r="A8029" t="str">
        <f t="shared" si="3280"/>
        <v>04-08-2020 12:31:59</v>
      </c>
      <c r="B8029" t="str">
        <f>"0000802872"</f>
        <v>0000802872</v>
      </c>
      <c r="C8029" t="str">
        <f t="shared" si="3281"/>
        <v>0000802747</v>
      </c>
      <c r="D8029" t="str">
        <f t="shared" si="3266"/>
        <v>73185</v>
      </c>
      <c r="E8029" t="str">
        <f t="shared" si="3267"/>
        <v>KFH-OPERATIONS DEPARTMENT</v>
      </c>
      <c r="F8029" t="str">
        <f t="shared" si="3268"/>
        <v>IBG</v>
      </c>
      <c r="G8029" t="str">
        <f t="shared" si="3279"/>
        <v>Refund COSHARE 10</v>
      </c>
      <c r="H8029" s="2">
        <v>638.04999999999995</v>
      </c>
      <c r="I8029" t="str">
        <f>"MOHD SHAHFIL ADZLIM BIN MOHD YUSOF"</f>
        <v>MOHD SHAHFIL ADZLIM BIN MOHD YUSOF</v>
      </c>
      <c r="J8029" t="str">
        <f t="shared" si="3259"/>
        <v>BANK KERJASAMA RAKYAT</v>
      </c>
      <c r="K8029" t="str">
        <f>"220163364891"</f>
        <v>220163364891</v>
      </c>
      <c r="L8029" t="str">
        <f t="shared" si="3282"/>
        <v>04-08-2020</v>
      </c>
      <c r="M8029" t="str">
        <f t="shared" si="3282"/>
        <v>04-08-2020</v>
      </c>
      <c r="N8029" t="str">
        <f t="shared" si="3270"/>
        <v>001105018356</v>
      </c>
      <c r="O8029" t="str">
        <f t="shared" si="3271"/>
        <v>MYR</v>
      </c>
      <c r="P8029" t="str">
        <f t="shared" si="3283"/>
        <v>NIL</v>
      </c>
      <c r="Q8029" t="str">
        <f t="shared" si="3283"/>
        <v>NIL</v>
      </c>
      <c r="R8029" t="str">
        <f t="shared" si="3260"/>
        <v>Accepted</v>
      </c>
      <c r="S8029" t="str">
        <f t="shared" si="3273"/>
        <v>Approved</v>
      </c>
      <c r="T8029" t="str">
        <f t="shared" si="3261"/>
        <v>10.20.8.188</v>
      </c>
      <c r="U8029" t="str">
        <f t="shared" si="3274"/>
        <v>AZRAD UMAR BIN SHAARI</v>
      </c>
      <c r="V8029" t="str">
        <f t="shared" si="3275"/>
        <v>FARHANA BINTI MUSTAPA</v>
      </c>
      <c r="W8029" t="str">
        <f t="shared" si="3276"/>
        <v>04-08-2020</v>
      </c>
      <c r="X8029" t="str">
        <f t="shared" si="3277"/>
        <v>RAZIMAH ANSAR AHMAD</v>
      </c>
      <c r="Y8029" t="str">
        <f t="shared" si="3278"/>
        <v>04-08-2020</v>
      </c>
      <c r="Z8029" t="str">
        <f>"COS10200804 1125"</f>
        <v>COS10200804 1125</v>
      </c>
    </row>
    <row r="8030" spans="1:26" x14ac:dyDescent="0.25">
      <c r="A8030" t="str">
        <f t="shared" si="3280"/>
        <v>04-08-2020 12:31:59</v>
      </c>
      <c r="B8030" t="str">
        <f>"0000802871"</f>
        <v>0000802871</v>
      </c>
      <c r="C8030" t="str">
        <f t="shared" si="3281"/>
        <v>0000802747</v>
      </c>
      <c r="D8030" t="str">
        <f t="shared" si="3266"/>
        <v>73185</v>
      </c>
      <c r="E8030" t="str">
        <f t="shared" si="3267"/>
        <v>KFH-OPERATIONS DEPARTMENT</v>
      </c>
      <c r="F8030" t="str">
        <f t="shared" si="3268"/>
        <v>IBG</v>
      </c>
      <c r="G8030" t="str">
        <f t="shared" si="3279"/>
        <v>Refund COSHARE 10</v>
      </c>
      <c r="H8030" s="2">
        <v>1372</v>
      </c>
      <c r="I8030" t="str">
        <f>"MOHD SHAHARUDDIN BIN SURANI"</f>
        <v>MOHD SHAHARUDDIN BIN SURANI</v>
      </c>
      <c r="J8030" t="str">
        <f t="shared" si="3259"/>
        <v>BANK KERJASAMA RAKYAT</v>
      </c>
      <c r="K8030" t="str">
        <f>"220691075695"</f>
        <v>220691075695</v>
      </c>
      <c r="L8030" t="str">
        <f t="shared" si="3282"/>
        <v>04-08-2020</v>
      </c>
      <c r="M8030" t="str">
        <f t="shared" si="3282"/>
        <v>04-08-2020</v>
      </c>
      <c r="N8030" t="str">
        <f t="shared" si="3270"/>
        <v>001105018356</v>
      </c>
      <c r="O8030" t="str">
        <f t="shared" si="3271"/>
        <v>MYR</v>
      </c>
      <c r="P8030" t="str">
        <f t="shared" si="3283"/>
        <v>NIL</v>
      </c>
      <c r="Q8030" t="str">
        <f t="shared" si="3283"/>
        <v>NIL</v>
      </c>
      <c r="R8030" t="str">
        <f t="shared" si="3260"/>
        <v>Accepted</v>
      </c>
      <c r="S8030" t="str">
        <f t="shared" si="3273"/>
        <v>Approved</v>
      </c>
      <c r="T8030" t="str">
        <f t="shared" si="3261"/>
        <v>10.20.8.188</v>
      </c>
      <c r="U8030" t="str">
        <f t="shared" si="3274"/>
        <v>AZRAD UMAR BIN SHAARI</v>
      </c>
      <c r="V8030" t="str">
        <f t="shared" si="3275"/>
        <v>FARHANA BINTI MUSTAPA</v>
      </c>
      <c r="W8030" t="str">
        <f t="shared" si="3276"/>
        <v>04-08-2020</v>
      </c>
      <c r="X8030" t="str">
        <f t="shared" si="3277"/>
        <v>RAZIMAH ANSAR AHMAD</v>
      </c>
      <c r="Y8030" t="str">
        <f t="shared" si="3278"/>
        <v>04-08-2020</v>
      </c>
      <c r="Z8030" t="str">
        <f>"COS10200804 1124"</f>
        <v>COS10200804 1124</v>
      </c>
    </row>
    <row r="8031" spans="1:26" x14ac:dyDescent="0.25">
      <c r="A8031" t="str">
        <f t="shared" si="3280"/>
        <v>04-08-2020 12:31:59</v>
      </c>
      <c r="B8031" t="str">
        <f>"0000802870"</f>
        <v>0000802870</v>
      </c>
      <c r="C8031" t="str">
        <f t="shared" si="3281"/>
        <v>0000802747</v>
      </c>
      <c r="D8031" t="str">
        <f t="shared" si="3266"/>
        <v>73185</v>
      </c>
      <c r="E8031" t="str">
        <f t="shared" si="3267"/>
        <v>KFH-OPERATIONS DEPARTMENT</v>
      </c>
      <c r="F8031" t="str">
        <f t="shared" si="3268"/>
        <v>IBG</v>
      </c>
      <c r="G8031" t="str">
        <f t="shared" si="3279"/>
        <v>Refund COSHARE 10</v>
      </c>
      <c r="H8031" s="2">
        <v>234</v>
      </c>
      <c r="I8031" t="str">
        <f>"MOHD SALLEH BIN AHMAD"</f>
        <v>MOHD SALLEH BIN AHMAD</v>
      </c>
      <c r="J8031" t="str">
        <f t="shared" si="3259"/>
        <v>BANK KERJASAMA RAKYAT</v>
      </c>
      <c r="K8031" t="str">
        <f>"221211017495"</f>
        <v>221211017495</v>
      </c>
      <c r="L8031" t="str">
        <f t="shared" si="3282"/>
        <v>04-08-2020</v>
      </c>
      <c r="M8031" t="str">
        <f t="shared" si="3282"/>
        <v>04-08-2020</v>
      </c>
      <c r="N8031" t="str">
        <f t="shared" si="3270"/>
        <v>001105018356</v>
      </c>
      <c r="O8031" t="str">
        <f t="shared" si="3271"/>
        <v>MYR</v>
      </c>
      <c r="P8031" t="str">
        <f t="shared" si="3283"/>
        <v>NIL</v>
      </c>
      <c r="Q8031" t="str">
        <f t="shared" si="3283"/>
        <v>NIL</v>
      </c>
      <c r="R8031" t="str">
        <f t="shared" si="3260"/>
        <v>Accepted</v>
      </c>
      <c r="S8031" t="str">
        <f t="shared" si="3273"/>
        <v>Approved</v>
      </c>
      <c r="T8031" t="str">
        <f t="shared" si="3261"/>
        <v>10.20.8.188</v>
      </c>
      <c r="U8031" t="str">
        <f t="shared" si="3274"/>
        <v>AZRAD UMAR BIN SHAARI</v>
      </c>
      <c r="V8031" t="str">
        <f t="shared" si="3275"/>
        <v>FARHANA BINTI MUSTAPA</v>
      </c>
      <c r="W8031" t="str">
        <f t="shared" si="3276"/>
        <v>04-08-2020</v>
      </c>
      <c r="X8031" t="str">
        <f t="shared" si="3277"/>
        <v>RAZIMAH ANSAR AHMAD</v>
      </c>
      <c r="Y8031" t="str">
        <f t="shared" si="3278"/>
        <v>04-08-2020</v>
      </c>
      <c r="Z8031" t="str">
        <f>"COS10200804 1123"</f>
        <v>COS10200804 1123</v>
      </c>
    </row>
    <row r="8032" spans="1:26" x14ac:dyDescent="0.25">
      <c r="A8032" t="str">
        <f t="shared" si="3280"/>
        <v>04-08-2020 12:31:59</v>
      </c>
      <c r="B8032" t="str">
        <f>"0000802869"</f>
        <v>0000802869</v>
      </c>
      <c r="C8032" t="str">
        <f t="shared" si="3281"/>
        <v>0000802747</v>
      </c>
      <c r="D8032" t="str">
        <f t="shared" si="3266"/>
        <v>73185</v>
      </c>
      <c r="E8032" t="str">
        <f t="shared" si="3267"/>
        <v>KFH-OPERATIONS DEPARTMENT</v>
      </c>
      <c r="F8032" t="str">
        <f t="shared" si="3268"/>
        <v>IBG</v>
      </c>
      <c r="G8032" t="str">
        <f t="shared" si="3279"/>
        <v>Refund COSHARE 10</v>
      </c>
      <c r="H8032" s="2">
        <v>419.75</v>
      </c>
      <c r="I8032" t="str">
        <f>"MOHD RUSTAM BIN HAMZAH"</f>
        <v>MOHD RUSTAM BIN HAMZAH</v>
      </c>
      <c r="J8032" t="str">
        <f t="shared" si="3259"/>
        <v>BANK KERJASAMA RAKYAT</v>
      </c>
      <c r="K8032" t="str">
        <f>"220791043461"</f>
        <v>220791043461</v>
      </c>
      <c r="L8032" t="str">
        <f t="shared" si="3282"/>
        <v>04-08-2020</v>
      </c>
      <c r="M8032" t="str">
        <f t="shared" si="3282"/>
        <v>04-08-2020</v>
      </c>
      <c r="N8032" t="str">
        <f t="shared" si="3270"/>
        <v>001105018356</v>
      </c>
      <c r="O8032" t="str">
        <f t="shared" si="3271"/>
        <v>MYR</v>
      </c>
      <c r="P8032" t="str">
        <f t="shared" si="3283"/>
        <v>NIL</v>
      </c>
      <c r="Q8032" t="str">
        <f t="shared" si="3283"/>
        <v>NIL</v>
      </c>
      <c r="R8032" t="str">
        <f t="shared" si="3260"/>
        <v>Accepted</v>
      </c>
      <c r="S8032" t="str">
        <f t="shared" si="3273"/>
        <v>Approved</v>
      </c>
      <c r="T8032" t="str">
        <f t="shared" si="3261"/>
        <v>10.20.8.188</v>
      </c>
      <c r="U8032" t="str">
        <f t="shared" si="3274"/>
        <v>AZRAD UMAR BIN SHAARI</v>
      </c>
      <c r="V8032" t="str">
        <f t="shared" si="3275"/>
        <v>FARHANA BINTI MUSTAPA</v>
      </c>
      <c r="W8032" t="str">
        <f t="shared" si="3276"/>
        <v>04-08-2020</v>
      </c>
      <c r="X8032" t="str">
        <f t="shared" si="3277"/>
        <v>RAZIMAH ANSAR AHMAD</v>
      </c>
      <c r="Y8032" t="str">
        <f t="shared" si="3278"/>
        <v>04-08-2020</v>
      </c>
      <c r="Z8032" t="str">
        <f>"COS10200804 1122"</f>
        <v>COS10200804 1122</v>
      </c>
    </row>
    <row r="8033" spans="1:26" x14ac:dyDescent="0.25">
      <c r="A8033" t="str">
        <f t="shared" si="3280"/>
        <v>04-08-2020 12:31:59</v>
      </c>
      <c r="B8033" t="str">
        <f>"0000802868"</f>
        <v>0000802868</v>
      </c>
      <c r="C8033" t="str">
        <f t="shared" si="3281"/>
        <v>0000802747</v>
      </c>
      <c r="D8033" t="str">
        <f t="shared" si="3266"/>
        <v>73185</v>
      </c>
      <c r="E8033" t="str">
        <f t="shared" si="3267"/>
        <v>KFH-OPERATIONS DEPARTMENT</v>
      </c>
      <c r="F8033" t="str">
        <f t="shared" si="3268"/>
        <v>IBG</v>
      </c>
      <c r="G8033" t="str">
        <f t="shared" si="3279"/>
        <v>Refund COSHARE 10</v>
      </c>
      <c r="H8033" s="2">
        <v>167.9</v>
      </c>
      <c r="I8033" t="str">
        <f>"MOHD ROSLEE BIN MUSTAFA"</f>
        <v>MOHD ROSLEE BIN MUSTAFA</v>
      </c>
      <c r="J8033" t="str">
        <f t="shared" si="3259"/>
        <v>BANK KERJASAMA RAKYAT</v>
      </c>
      <c r="K8033" t="str">
        <f>"220502324088"</f>
        <v>220502324088</v>
      </c>
      <c r="L8033" t="str">
        <f t="shared" si="3282"/>
        <v>04-08-2020</v>
      </c>
      <c r="M8033" t="str">
        <f t="shared" si="3282"/>
        <v>04-08-2020</v>
      </c>
      <c r="N8033" t="str">
        <f t="shared" si="3270"/>
        <v>001105018356</v>
      </c>
      <c r="O8033" t="str">
        <f t="shared" si="3271"/>
        <v>MYR</v>
      </c>
      <c r="P8033" t="str">
        <f t="shared" si="3283"/>
        <v>NIL</v>
      </c>
      <c r="Q8033" t="str">
        <f t="shared" si="3283"/>
        <v>NIL</v>
      </c>
      <c r="R8033" t="str">
        <f t="shared" si="3260"/>
        <v>Accepted</v>
      </c>
      <c r="S8033" t="str">
        <f t="shared" si="3273"/>
        <v>Approved</v>
      </c>
      <c r="T8033" t="str">
        <f t="shared" si="3261"/>
        <v>10.20.8.188</v>
      </c>
      <c r="U8033" t="str">
        <f t="shared" si="3274"/>
        <v>AZRAD UMAR BIN SHAARI</v>
      </c>
      <c r="V8033" t="str">
        <f t="shared" si="3275"/>
        <v>FARHANA BINTI MUSTAPA</v>
      </c>
      <c r="W8033" t="str">
        <f t="shared" si="3276"/>
        <v>04-08-2020</v>
      </c>
      <c r="X8033" t="str">
        <f t="shared" si="3277"/>
        <v>RAZIMAH ANSAR AHMAD</v>
      </c>
      <c r="Y8033" t="str">
        <f t="shared" si="3278"/>
        <v>04-08-2020</v>
      </c>
      <c r="Z8033" t="str">
        <f>"COS10200804 1121"</f>
        <v>COS10200804 1121</v>
      </c>
    </row>
    <row r="8034" spans="1:26" x14ac:dyDescent="0.25">
      <c r="A8034" t="str">
        <f t="shared" si="3280"/>
        <v>04-08-2020 12:31:59</v>
      </c>
      <c r="B8034" t="str">
        <f>"0000802867"</f>
        <v>0000802867</v>
      </c>
      <c r="C8034" t="str">
        <f t="shared" si="3281"/>
        <v>0000802747</v>
      </c>
      <c r="D8034" t="str">
        <f t="shared" si="3266"/>
        <v>73185</v>
      </c>
      <c r="E8034" t="str">
        <f t="shared" si="3267"/>
        <v>KFH-OPERATIONS DEPARTMENT</v>
      </c>
      <c r="F8034" t="str">
        <f t="shared" si="3268"/>
        <v>IBG</v>
      </c>
      <c r="G8034" t="str">
        <f t="shared" si="3279"/>
        <v>Refund COSHARE 10</v>
      </c>
      <c r="H8034" s="2">
        <v>671.6</v>
      </c>
      <c r="I8034" t="str">
        <f>"MOHD RIZAL BIN HASHIM BARKERY"</f>
        <v>MOHD RIZAL BIN HASHIM BARKERY</v>
      </c>
      <c r="J8034" t="str">
        <f t="shared" ref="J8034:J8097" si="3284">"BANK KERJASAMA RAKYAT"</f>
        <v>BANK KERJASAMA RAKYAT</v>
      </c>
      <c r="K8034" t="str">
        <f>"220171009373"</f>
        <v>220171009373</v>
      </c>
      <c r="L8034" t="str">
        <f t="shared" si="3282"/>
        <v>04-08-2020</v>
      </c>
      <c r="M8034" t="str">
        <f t="shared" si="3282"/>
        <v>04-08-2020</v>
      </c>
      <c r="N8034" t="str">
        <f t="shared" si="3270"/>
        <v>001105018356</v>
      </c>
      <c r="O8034" t="str">
        <f t="shared" si="3271"/>
        <v>MYR</v>
      </c>
      <c r="P8034" t="str">
        <f t="shared" si="3283"/>
        <v>NIL</v>
      </c>
      <c r="Q8034" t="str">
        <f t="shared" si="3283"/>
        <v>NIL</v>
      </c>
      <c r="R8034" t="str">
        <f t="shared" ref="R8034:R8097" si="3285">"Accepted"</f>
        <v>Accepted</v>
      </c>
      <c r="S8034" t="str">
        <f t="shared" si="3273"/>
        <v>Approved</v>
      </c>
      <c r="T8034" t="str">
        <f t="shared" ref="T8034:T8097" si="3286">"10.20.8.188"</f>
        <v>10.20.8.188</v>
      </c>
      <c r="U8034" t="str">
        <f t="shared" si="3274"/>
        <v>AZRAD UMAR BIN SHAARI</v>
      </c>
      <c r="V8034" t="str">
        <f t="shared" si="3275"/>
        <v>FARHANA BINTI MUSTAPA</v>
      </c>
      <c r="W8034" t="str">
        <f t="shared" si="3276"/>
        <v>04-08-2020</v>
      </c>
      <c r="X8034" t="str">
        <f t="shared" si="3277"/>
        <v>RAZIMAH ANSAR AHMAD</v>
      </c>
      <c r="Y8034" t="str">
        <f t="shared" si="3278"/>
        <v>04-08-2020</v>
      </c>
      <c r="Z8034" t="str">
        <f>"COS10200804 1120"</f>
        <v>COS10200804 1120</v>
      </c>
    </row>
    <row r="8035" spans="1:26" x14ac:dyDescent="0.25">
      <c r="A8035" t="str">
        <f t="shared" si="3280"/>
        <v>04-08-2020 12:31:59</v>
      </c>
      <c r="B8035" t="str">
        <f>"0000802866"</f>
        <v>0000802866</v>
      </c>
      <c r="C8035" t="str">
        <f t="shared" si="3281"/>
        <v>0000802747</v>
      </c>
      <c r="D8035" t="str">
        <f t="shared" si="3266"/>
        <v>73185</v>
      </c>
      <c r="E8035" t="str">
        <f t="shared" si="3267"/>
        <v>KFH-OPERATIONS DEPARTMENT</v>
      </c>
      <c r="F8035" t="str">
        <f t="shared" si="3268"/>
        <v>IBG</v>
      </c>
      <c r="G8035" t="str">
        <f t="shared" si="3279"/>
        <v>Refund COSHARE 10</v>
      </c>
      <c r="H8035" s="2">
        <v>278.35000000000002</v>
      </c>
      <c r="I8035" t="str">
        <f>"MOHD RAZALI BIN SETAPA"</f>
        <v>MOHD RAZALI BIN SETAPA</v>
      </c>
      <c r="J8035" t="str">
        <f t="shared" si="3284"/>
        <v>BANK KERJASAMA RAKYAT</v>
      </c>
      <c r="K8035" t="str">
        <f>"220121378449"</f>
        <v>220121378449</v>
      </c>
      <c r="L8035" t="str">
        <f t="shared" si="3282"/>
        <v>04-08-2020</v>
      </c>
      <c r="M8035" t="str">
        <f t="shared" si="3282"/>
        <v>04-08-2020</v>
      </c>
      <c r="N8035" t="str">
        <f t="shared" si="3270"/>
        <v>001105018356</v>
      </c>
      <c r="O8035" t="str">
        <f t="shared" si="3271"/>
        <v>MYR</v>
      </c>
      <c r="P8035" t="str">
        <f t="shared" si="3283"/>
        <v>NIL</v>
      </c>
      <c r="Q8035" t="str">
        <f t="shared" si="3283"/>
        <v>NIL</v>
      </c>
      <c r="R8035" t="str">
        <f t="shared" si="3285"/>
        <v>Accepted</v>
      </c>
      <c r="S8035" t="str">
        <f t="shared" si="3273"/>
        <v>Approved</v>
      </c>
      <c r="T8035" t="str">
        <f t="shared" si="3286"/>
        <v>10.20.8.188</v>
      </c>
      <c r="U8035" t="str">
        <f t="shared" si="3274"/>
        <v>AZRAD UMAR BIN SHAARI</v>
      </c>
      <c r="V8035" t="str">
        <f t="shared" si="3275"/>
        <v>FARHANA BINTI MUSTAPA</v>
      </c>
      <c r="W8035" t="str">
        <f t="shared" si="3276"/>
        <v>04-08-2020</v>
      </c>
      <c r="X8035" t="str">
        <f t="shared" si="3277"/>
        <v>RAZIMAH ANSAR AHMAD</v>
      </c>
      <c r="Y8035" t="str">
        <f t="shared" si="3278"/>
        <v>04-08-2020</v>
      </c>
      <c r="Z8035" t="str">
        <f>"COS10200804 1119"</f>
        <v>COS10200804 1119</v>
      </c>
    </row>
    <row r="8036" spans="1:26" x14ac:dyDescent="0.25">
      <c r="A8036" t="str">
        <f t="shared" si="3280"/>
        <v>04-08-2020 12:31:59</v>
      </c>
      <c r="B8036" t="str">
        <f>"0000802865"</f>
        <v>0000802865</v>
      </c>
      <c r="C8036" t="str">
        <f t="shared" si="3281"/>
        <v>0000802747</v>
      </c>
      <c r="D8036" t="str">
        <f t="shared" si="3266"/>
        <v>73185</v>
      </c>
      <c r="E8036" t="str">
        <f t="shared" si="3267"/>
        <v>KFH-OPERATIONS DEPARTMENT</v>
      </c>
      <c r="F8036" t="str">
        <f t="shared" si="3268"/>
        <v>IBG</v>
      </c>
      <c r="G8036" t="str">
        <f t="shared" si="3279"/>
        <v>Refund COSHARE 10</v>
      </c>
      <c r="H8036" s="2">
        <v>839.5</v>
      </c>
      <c r="I8036" t="str">
        <f>"MOHD RAZALI BIN MAN"</f>
        <v>MOHD RAZALI BIN MAN</v>
      </c>
      <c r="J8036" t="str">
        <f t="shared" si="3284"/>
        <v>BANK KERJASAMA RAKYAT</v>
      </c>
      <c r="K8036" t="str">
        <f>"220111486605"</f>
        <v>220111486605</v>
      </c>
      <c r="L8036" t="str">
        <f t="shared" si="3282"/>
        <v>04-08-2020</v>
      </c>
      <c r="M8036" t="str">
        <f t="shared" si="3282"/>
        <v>04-08-2020</v>
      </c>
      <c r="N8036" t="str">
        <f t="shared" si="3270"/>
        <v>001105018356</v>
      </c>
      <c r="O8036" t="str">
        <f t="shared" si="3271"/>
        <v>MYR</v>
      </c>
      <c r="P8036" t="str">
        <f t="shared" si="3283"/>
        <v>NIL</v>
      </c>
      <c r="Q8036" t="str">
        <f t="shared" si="3283"/>
        <v>NIL</v>
      </c>
      <c r="R8036" t="str">
        <f t="shared" si="3285"/>
        <v>Accepted</v>
      </c>
      <c r="S8036" t="str">
        <f t="shared" si="3273"/>
        <v>Approved</v>
      </c>
      <c r="T8036" t="str">
        <f t="shared" si="3286"/>
        <v>10.20.8.188</v>
      </c>
      <c r="U8036" t="str">
        <f t="shared" si="3274"/>
        <v>AZRAD UMAR BIN SHAARI</v>
      </c>
      <c r="V8036" t="str">
        <f t="shared" si="3275"/>
        <v>FARHANA BINTI MUSTAPA</v>
      </c>
      <c r="W8036" t="str">
        <f t="shared" si="3276"/>
        <v>04-08-2020</v>
      </c>
      <c r="X8036" t="str">
        <f t="shared" si="3277"/>
        <v>RAZIMAH ANSAR AHMAD</v>
      </c>
      <c r="Y8036" t="str">
        <f t="shared" si="3278"/>
        <v>04-08-2020</v>
      </c>
      <c r="Z8036" t="str">
        <f>"COS10200804 1118"</f>
        <v>COS10200804 1118</v>
      </c>
    </row>
    <row r="8037" spans="1:26" x14ac:dyDescent="0.25">
      <c r="A8037" t="str">
        <f t="shared" si="3280"/>
        <v>04-08-2020 12:31:59</v>
      </c>
      <c r="B8037" t="str">
        <f>"0000802864"</f>
        <v>0000802864</v>
      </c>
      <c r="C8037" t="str">
        <f t="shared" si="3281"/>
        <v>0000802747</v>
      </c>
      <c r="D8037" t="str">
        <f t="shared" si="3266"/>
        <v>73185</v>
      </c>
      <c r="E8037" t="str">
        <f t="shared" si="3267"/>
        <v>KFH-OPERATIONS DEPARTMENT</v>
      </c>
      <c r="F8037" t="str">
        <f t="shared" si="3268"/>
        <v>IBG</v>
      </c>
      <c r="G8037" t="str">
        <f t="shared" si="3279"/>
        <v>Refund COSHARE 10</v>
      </c>
      <c r="H8037" s="2">
        <v>1663</v>
      </c>
      <c r="I8037" t="str">
        <f>"MOHD NURUL AKMAL BIN MAT ARIFF"</f>
        <v>MOHD NURUL AKMAL BIN MAT ARIFF</v>
      </c>
      <c r="J8037" t="str">
        <f t="shared" si="3284"/>
        <v>BANK KERJASAMA RAKYAT</v>
      </c>
      <c r="K8037" t="str">
        <f>"220011385269"</f>
        <v>220011385269</v>
      </c>
      <c r="L8037" t="str">
        <f t="shared" si="3282"/>
        <v>04-08-2020</v>
      </c>
      <c r="M8037" t="str">
        <f t="shared" si="3282"/>
        <v>04-08-2020</v>
      </c>
      <c r="N8037" t="str">
        <f t="shared" si="3270"/>
        <v>001105018356</v>
      </c>
      <c r="O8037" t="str">
        <f t="shared" si="3271"/>
        <v>MYR</v>
      </c>
      <c r="P8037" t="str">
        <f t="shared" si="3283"/>
        <v>NIL</v>
      </c>
      <c r="Q8037" t="str">
        <f t="shared" si="3283"/>
        <v>NIL</v>
      </c>
      <c r="R8037" t="str">
        <f t="shared" si="3285"/>
        <v>Accepted</v>
      </c>
      <c r="S8037" t="str">
        <f t="shared" si="3273"/>
        <v>Approved</v>
      </c>
      <c r="T8037" t="str">
        <f t="shared" si="3286"/>
        <v>10.20.8.188</v>
      </c>
      <c r="U8037" t="str">
        <f t="shared" si="3274"/>
        <v>AZRAD UMAR BIN SHAARI</v>
      </c>
      <c r="V8037" t="str">
        <f t="shared" si="3275"/>
        <v>FARHANA BINTI MUSTAPA</v>
      </c>
      <c r="W8037" t="str">
        <f t="shared" si="3276"/>
        <v>04-08-2020</v>
      </c>
      <c r="X8037" t="str">
        <f t="shared" si="3277"/>
        <v>RAZIMAH ANSAR AHMAD</v>
      </c>
      <c r="Y8037" t="str">
        <f t="shared" si="3278"/>
        <v>04-08-2020</v>
      </c>
      <c r="Z8037" t="str">
        <f>"COS10200804 1117"</f>
        <v>COS10200804 1117</v>
      </c>
    </row>
    <row r="8038" spans="1:26" x14ac:dyDescent="0.25">
      <c r="A8038" t="str">
        <f t="shared" si="3280"/>
        <v>04-08-2020 12:31:59</v>
      </c>
      <c r="B8038" t="str">
        <f>"0000802863"</f>
        <v>0000802863</v>
      </c>
      <c r="C8038" t="str">
        <f t="shared" si="3281"/>
        <v>0000802747</v>
      </c>
      <c r="D8038" t="str">
        <f t="shared" si="3266"/>
        <v>73185</v>
      </c>
      <c r="E8038" t="str">
        <f t="shared" si="3267"/>
        <v>KFH-OPERATIONS DEPARTMENT</v>
      </c>
      <c r="F8038" t="str">
        <f t="shared" si="3268"/>
        <v>IBG</v>
      </c>
      <c r="G8038" t="str">
        <f t="shared" si="3279"/>
        <v>Refund COSHARE 10</v>
      </c>
      <c r="H8038" s="2">
        <v>127.05</v>
      </c>
      <c r="I8038" t="str">
        <f>"MOHD NAZRI BIN MOHAMAD SALLEH"</f>
        <v>MOHD NAZRI BIN MOHAMAD SALLEH</v>
      </c>
      <c r="J8038" t="str">
        <f t="shared" si="3284"/>
        <v>BANK KERJASAMA RAKYAT</v>
      </c>
      <c r="K8038" t="str">
        <f>"220601153572"</f>
        <v>220601153572</v>
      </c>
      <c r="L8038" t="str">
        <f t="shared" si="3282"/>
        <v>04-08-2020</v>
      </c>
      <c r="M8038" t="str">
        <f t="shared" si="3282"/>
        <v>04-08-2020</v>
      </c>
      <c r="N8038" t="str">
        <f t="shared" si="3270"/>
        <v>001105018356</v>
      </c>
      <c r="O8038" t="str">
        <f t="shared" si="3271"/>
        <v>MYR</v>
      </c>
      <c r="P8038" t="str">
        <f t="shared" si="3283"/>
        <v>NIL</v>
      </c>
      <c r="Q8038" t="str">
        <f t="shared" si="3283"/>
        <v>NIL</v>
      </c>
      <c r="R8038" t="str">
        <f t="shared" si="3285"/>
        <v>Accepted</v>
      </c>
      <c r="S8038" t="str">
        <f t="shared" si="3273"/>
        <v>Approved</v>
      </c>
      <c r="T8038" t="str">
        <f t="shared" si="3286"/>
        <v>10.20.8.188</v>
      </c>
      <c r="U8038" t="str">
        <f t="shared" si="3274"/>
        <v>AZRAD UMAR BIN SHAARI</v>
      </c>
      <c r="V8038" t="str">
        <f t="shared" si="3275"/>
        <v>FARHANA BINTI MUSTAPA</v>
      </c>
      <c r="W8038" t="str">
        <f t="shared" si="3276"/>
        <v>04-08-2020</v>
      </c>
      <c r="X8038" t="str">
        <f t="shared" si="3277"/>
        <v>RAZIMAH ANSAR AHMAD</v>
      </c>
      <c r="Y8038" t="str">
        <f t="shared" si="3278"/>
        <v>04-08-2020</v>
      </c>
      <c r="Z8038" t="str">
        <f>"COS10200804 1116"</f>
        <v>COS10200804 1116</v>
      </c>
    </row>
    <row r="8039" spans="1:26" x14ac:dyDescent="0.25">
      <c r="A8039" t="str">
        <f t="shared" si="3280"/>
        <v>04-08-2020 12:31:59</v>
      </c>
      <c r="B8039" t="str">
        <f>"0000802862"</f>
        <v>0000802862</v>
      </c>
      <c r="C8039" t="str">
        <f t="shared" si="3281"/>
        <v>0000802747</v>
      </c>
      <c r="D8039" t="str">
        <f t="shared" si="3266"/>
        <v>73185</v>
      </c>
      <c r="E8039" t="str">
        <f t="shared" si="3267"/>
        <v>KFH-OPERATIONS DEPARTMENT</v>
      </c>
      <c r="F8039" t="str">
        <f t="shared" si="3268"/>
        <v>IBG</v>
      </c>
      <c r="G8039" t="str">
        <f t="shared" si="3279"/>
        <v>Refund COSHARE 10</v>
      </c>
      <c r="H8039" s="2">
        <v>532</v>
      </c>
      <c r="I8039" t="str">
        <f>"MOHD NAZRI BIN MOHAMAD SALLEH"</f>
        <v>MOHD NAZRI BIN MOHAMAD SALLEH</v>
      </c>
      <c r="J8039" t="str">
        <f t="shared" si="3284"/>
        <v>BANK KERJASAMA RAKYAT</v>
      </c>
      <c r="K8039" t="str">
        <f>"220601153572"</f>
        <v>220601153572</v>
      </c>
      <c r="L8039" t="str">
        <f t="shared" si="3282"/>
        <v>04-08-2020</v>
      </c>
      <c r="M8039" t="str">
        <f t="shared" si="3282"/>
        <v>04-08-2020</v>
      </c>
      <c r="N8039" t="str">
        <f t="shared" si="3270"/>
        <v>001105018356</v>
      </c>
      <c r="O8039" t="str">
        <f t="shared" si="3271"/>
        <v>MYR</v>
      </c>
      <c r="P8039" t="str">
        <f t="shared" si="3283"/>
        <v>NIL</v>
      </c>
      <c r="Q8039" t="str">
        <f t="shared" si="3283"/>
        <v>NIL</v>
      </c>
      <c r="R8039" t="str">
        <f t="shared" si="3285"/>
        <v>Accepted</v>
      </c>
      <c r="S8039" t="str">
        <f t="shared" si="3273"/>
        <v>Approved</v>
      </c>
      <c r="T8039" t="str">
        <f t="shared" si="3286"/>
        <v>10.20.8.188</v>
      </c>
      <c r="U8039" t="str">
        <f t="shared" si="3274"/>
        <v>AZRAD UMAR BIN SHAARI</v>
      </c>
      <c r="V8039" t="str">
        <f t="shared" si="3275"/>
        <v>FARHANA BINTI MUSTAPA</v>
      </c>
      <c r="W8039" t="str">
        <f t="shared" si="3276"/>
        <v>04-08-2020</v>
      </c>
      <c r="X8039" t="str">
        <f t="shared" si="3277"/>
        <v>RAZIMAH ANSAR AHMAD</v>
      </c>
      <c r="Y8039" t="str">
        <f t="shared" si="3278"/>
        <v>04-08-2020</v>
      </c>
      <c r="Z8039" t="str">
        <f>"COS10200804 1115"</f>
        <v>COS10200804 1115</v>
      </c>
    </row>
    <row r="8040" spans="1:26" x14ac:dyDescent="0.25">
      <c r="A8040" t="str">
        <f t="shared" si="3280"/>
        <v>04-08-2020 12:31:59</v>
      </c>
      <c r="B8040" t="str">
        <f>"0000802861"</f>
        <v>0000802861</v>
      </c>
      <c r="C8040" t="str">
        <f t="shared" si="3281"/>
        <v>0000802747</v>
      </c>
      <c r="D8040" t="str">
        <f t="shared" si="3266"/>
        <v>73185</v>
      </c>
      <c r="E8040" t="str">
        <f t="shared" si="3267"/>
        <v>KFH-OPERATIONS DEPARTMENT</v>
      </c>
      <c r="F8040" t="str">
        <f t="shared" si="3268"/>
        <v>IBG</v>
      </c>
      <c r="G8040" t="str">
        <f t="shared" si="3279"/>
        <v>Refund COSHARE 10</v>
      </c>
      <c r="H8040" s="2">
        <v>696.8</v>
      </c>
      <c r="I8040" t="str">
        <f>"MOHD NAZRI BIN HUSAIN"</f>
        <v>MOHD NAZRI BIN HUSAIN</v>
      </c>
      <c r="J8040" t="str">
        <f t="shared" si="3284"/>
        <v>BANK KERJASAMA RAKYAT</v>
      </c>
      <c r="K8040" t="str">
        <f>"220401307792"</f>
        <v>220401307792</v>
      </c>
      <c r="L8040" t="str">
        <f t="shared" si="3282"/>
        <v>04-08-2020</v>
      </c>
      <c r="M8040" t="str">
        <f t="shared" si="3282"/>
        <v>04-08-2020</v>
      </c>
      <c r="N8040" t="str">
        <f t="shared" si="3270"/>
        <v>001105018356</v>
      </c>
      <c r="O8040" t="str">
        <f t="shared" si="3271"/>
        <v>MYR</v>
      </c>
      <c r="P8040" t="str">
        <f t="shared" si="3283"/>
        <v>NIL</v>
      </c>
      <c r="Q8040" t="str">
        <f t="shared" si="3283"/>
        <v>NIL</v>
      </c>
      <c r="R8040" t="str">
        <f t="shared" si="3285"/>
        <v>Accepted</v>
      </c>
      <c r="S8040" t="str">
        <f t="shared" si="3273"/>
        <v>Approved</v>
      </c>
      <c r="T8040" t="str">
        <f t="shared" si="3286"/>
        <v>10.20.8.188</v>
      </c>
      <c r="U8040" t="str">
        <f t="shared" si="3274"/>
        <v>AZRAD UMAR BIN SHAARI</v>
      </c>
      <c r="V8040" t="str">
        <f t="shared" si="3275"/>
        <v>FARHANA BINTI MUSTAPA</v>
      </c>
      <c r="W8040" t="str">
        <f t="shared" si="3276"/>
        <v>04-08-2020</v>
      </c>
      <c r="X8040" t="str">
        <f t="shared" si="3277"/>
        <v>RAZIMAH ANSAR AHMAD</v>
      </c>
      <c r="Y8040" t="str">
        <f t="shared" si="3278"/>
        <v>04-08-2020</v>
      </c>
      <c r="Z8040" t="str">
        <f>"COS10200804 1114"</f>
        <v>COS10200804 1114</v>
      </c>
    </row>
    <row r="8041" spans="1:26" x14ac:dyDescent="0.25">
      <c r="A8041" t="str">
        <f t="shared" si="3280"/>
        <v>04-08-2020 12:31:59</v>
      </c>
      <c r="B8041" t="str">
        <f>"0000802860"</f>
        <v>0000802860</v>
      </c>
      <c r="C8041" t="str">
        <f t="shared" si="3281"/>
        <v>0000802747</v>
      </c>
      <c r="D8041" t="str">
        <f t="shared" si="3266"/>
        <v>73185</v>
      </c>
      <c r="E8041" t="str">
        <f t="shared" si="3267"/>
        <v>KFH-OPERATIONS DEPARTMENT</v>
      </c>
      <c r="F8041" t="str">
        <f t="shared" si="3268"/>
        <v>IBG</v>
      </c>
      <c r="G8041" t="str">
        <f t="shared" si="3279"/>
        <v>Refund COSHARE 10</v>
      </c>
      <c r="H8041" s="2">
        <v>824.95</v>
      </c>
      <c r="I8041" t="str">
        <f>"MOHD NAJID BIN IBRAHIM"</f>
        <v>MOHD NAJID BIN IBRAHIM</v>
      </c>
      <c r="J8041" t="str">
        <f t="shared" si="3284"/>
        <v>BANK KERJASAMA RAKYAT</v>
      </c>
      <c r="K8041" t="str">
        <f>"220171011844"</f>
        <v>220171011844</v>
      </c>
      <c r="L8041" t="str">
        <f t="shared" si="3282"/>
        <v>04-08-2020</v>
      </c>
      <c r="M8041" t="str">
        <f t="shared" si="3282"/>
        <v>04-08-2020</v>
      </c>
      <c r="N8041" t="str">
        <f t="shared" si="3270"/>
        <v>001105018356</v>
      </c>
      <c r="O8041" t="str">
        <f t="shared" si="3271"/>
        <v>MYR</v>
      </c>
      <c r="P8041" t="str">
        <f t="shared" si="3283"/>
        <v>NIL</v>
      </c>
      <c r="Q8041" t="str">
        <f t="shared" si="3283"/>
        <v>NIL</v>
      </c>
      <c r="R8041" t="str">
        <f t="shared" si="3285"/>
        <v>Accepted</v>
      </c>
      <c r="S8041" t="str">
        <f t="shared" si="3273"/>
        <v>Approved</v>
      </c>
      <c r="T8041" t="str">
        <f t="shared" si="3286"/>
        <v>10.20.8.188</v>
      </c>
      <c r="U8041" t="str">
        <f t="shared" si="3274"/>
        <v>AZRAD UMAR BIN SHAARI</v>
      </c>
      <c r="V8041" t="str">
        <f t="shared" si="3275"/>
        <v>FARHANA BINTI MUSTAPA</v>
      </c>
      <c r="W8041" t="str">
        <f t="shared" si="3276"/>
        <v>04-08-2020</v>
      </c>
      <c r="X8041" t="str">
        <f t="shared" si="3277"/>
        <v>RAZIMAH ANSAR AHMAD</v>
      </c>
      <c r="Y8041" t="str">
        <f t="shared" si="3278"/>
        <v>04-08-2020</v>
      </c>
      <c r="Z8041" t="str">
        <f>"COS10200804 1113"</f>
        <v>COS10200804 1113</v>
      </c>
    </row>
    <row r="8042" spans="1:26" x14ac:dyDescent="0.25">
      <c r="A8042" t="str">
        <f t="shared" si="3280"/>
        <v>04-08-2020 12:31:59</v>
      </c>
      <c r="B8042" t="str">
        <f>"0000802859"</f>
        <v>0000802859</v>
      </c>
      <c r="C8042" t="str">
        <f t="shared" si="3281"/>
        <v>0000802747</v>
      </c>
      <c r="D8042" t="str">
        <f t="shared" si="3266"/>
        <v>73185</v>
      </c>
      <c r="E8042" t="str">
        <f t="shared" si="3267"/>
        <v>KFH-OPERATIONS DEPARTMENT</v>
      </c>
      <c r="F8042" t="str">
        <f t="shared" si="3268"/>
        <v>IBG</v>
      </c>
      <c r="G8042" t="str">
        <f t="shared" si="3279"/>
        <v>Refund COSHARE 10</v>
      </c>
      <c r="H8042" s="2">
        <v>755.55</v>
      </c>
      <c r="I8042" t="str">
        <f>"MOHD KHAIRUL AZUANDIE BIN CHE SOH"</f>
        <v>MOHD KHAIRUL AZUANDIE BIN CHE SOH</v>
      </c>
      <c r="J8042" t="str">
        <f t="shared" si="3284"/>
        <v>BANK KERJASAMA RAKYAT</v>
      </c>
      <c r="K8042" t="str">
        <f>"220631255707"</f>
        <v>220631255707</v>
      </c>
      <c r="L8042" t="str">
        <f t="shared" si="3282"/>
        <v>04-08-2020</v>
      </c>
      <c r="M8042" t="str">
        <f t="shared" si="3282"/>
        <v>04-08-2020</v>
      </c>
      <c r="N8042" t="str">
        <f t="shared" si="3270"/>
        <v>001105018356</v>
      </c>
      <c r="O8042" t="str">
        <f t="shared" si="3271"/>
        <v>MYR</v>
      </c>
      <c r="P8042" t="str">
        <f t="shared" si="3283"/>
        <v>NIL</v>
      </c>
      <c r="Q8042" t="str">
        <f t="shared" si="3283"/>
        <v>NIL</v>
      </c>
      <c r="R8042" t="str">
        <f t="shared" si="3285"/>
        <v>Accepted</v>
      </c>
      <c r="S8042" t="str">
        <f t="shared" si="3273"/>
        <v>Approved</v>
      </c>
      <c r="T8042" t="str">
        <f t="shared" si="3286"/>
        <v>10.20.8.188</v>
      </c>
      <c r="U8042" t="str">
        <f t="shared" si="3274"/>
        <v>AZRAD UMAR BIN SHAARI</v>
      </c>
      <c r="V8042" t="str">
        <f t="shared" si="3275"/>
        <v>FARHANA BINTI MUSTAPA</v>
      </c>
      <c r="W8042" t="str">
        <f t="shared" si="3276"/>
        <v>04-08-2020</v>
      </c>
      <c r="X8042" t="str">
        <f t="shared" si="3277"/>
        <v>RAZIMAH ANSAR AHMAD</v>
      </c>
      <c r="Y8042" t="str">
        <f t="shared" si="3278"/>
        <v>04-08-2020</v>
      </c>
      <c r="Z8042" t="str">
        <f>"COS10200804 1112"</f>
        <v>COS10200804 1112</v>
      </c>
    </row>
    <row r="8043" spans="1:26" x14ac:dyDescent="0.25">
      <c r="A8043" t="str">
        <f t="shared" si="3280"/>
        <v>04-08-2020 12:31:59</v>
      </c>
      <c r="B8043" t="str">
        <f>"0000802858"</f>
        <v>0000802858</v>
      </c>
      <c r="C8043" t="str">
        <f t="shared" si="3281"/>
        <v>0000802747</v>
      </c>
      <c r="D8043" t="str">
        <f t="shared" si="3266"/>
        <v>73185</v>
      </c>
      <c r="E8043" t="str">
        <f t="shared" si="3267"/>
        <v>KFH-OPERATIONS DEPARTMENT</v>
      </c>
      <c r="F8043" t="str">
        <f t="shared" si="3268"/>
        <v>IBG</v>
      </c>
      <c r="G8043" t="str">
        <f t="shared" si="3279"/>
        <v>Refund COSHARE 10</v>
      </c>
      <c r="H8043" s="2">
        <v>344.2</v>
      </c>
      <c r="I8043" t="str">
        <f>"MOHD KHAIRUL ANUAR BIN MAT SOH"</f>
        <v>MOHD KHAIRUL ANUAR BIN MAT SOH</v>
      </c>
      <c r="J8043" t="str">
        <f t="shared" si="3284"/>
        <v>BANK KERJASAMA RAKYAT</v>
      </c>
      <c r="K8043" t="str">
        <f>"220171515841"</f>
        <v>220171515841</v>
      </c>
      <c r="L8043" t="str">
        <f t="shared" si="3282"/>
        <v>04-08-2020</v>
      </c>
      <c r="M8043" t="str">
        <f t="shared" si="3282"/>
        <v>04-08-2020</v>
      </c>
      <c r="N8043" t="str">
        <f t="shared" si="3270"/>
        <v>001105018356</v>
      </c>
      <c r="O8043" t="str">
        <f t="shared" si="3271"/>
        <v>MYR</v>
      </c>
      <c r="P8043" t="str">
        <f t="shared" si="3283"/>
        <v>NIL</v>
      </c>
      <c r="Q8043" t="str">
        <f t="shared" si="3283"/>
        <v>NIL</v>
      </c>
      <c r="R8043" t="str">
        <f t="shared" si="3285"/>
        <v>Accepted</v>
      </c>
      <c r="S8043" t="str">
        <f t="shared" si="3273"/>
        <v>Approved</v>
      </c>
      <c r="T8043" t="str">
        <f t="shared" si="3286"/>
        <v>10.20.8.188</v>
      </c>
      <c r="U8043" t="str">
        <f t="shared" si="3274"/>
        <v>AZRAD UMAR BIN SHAARI</v>
      </c>
      <c r="V8043" t="str">
        <f t="shared" si="3275"/>
        <v>FARHANA BINTI MUSTAPA</v>
      </c>
      <c r="W8043" t="str">
        <f t="shared" si="3276"/>
        <v>04-08-2020</v>
      </c>
      <c r="X8043" t="str">
        <f t="shared" si="3277"/>
        <v>RAZIMAH ANSAR AHMAD</v>
      </c>
      <c r="Y8043" t="str">
        <f t="shared" si="3278"/>
        <v>04-08-2020</v>
      </c>
      <c r="Z8043" t="str">
        <f>"COS10200804 1111"</f>
        <v>COS10200804 1111</v>
      </c>
    </row>
    <row r="8044" spans="1:26" x14ac:dyDescent="0.25">
      <c r="A8044" t="str">
        <f t="shared" si="3280"/>
        <v>04-08-2020 12:31:59</v>
      </c>
      <c r="B8044" t="str">
        <f>"0000802857"</f>
        <v>0000802857</v>
      </c>
      <c r="C8044" t="str">
        <f t="shared" si="3281"/>
        <v>0000802747</v>
      </c>
      <c r="D8044" t="str">
        <f t="shared" si="3266"/>
        <v>73185</v>
      </c>
      <c r="E8044" t="str">
        <f t="shared" si="3267"/>
        <v>KFH-OPERATIONS DEPARTMENT</v>
      </c>
      <c r="F8044" t="str">
        <f t="shared" si="3268"/>
        <v>IBG</v>
      </c>
      <c r="G8044" t="str">
        <f t="shared" si="3279"/>
        <v>Refund COSHARE 10</v>
      </c>
      <c r="H8044" s="2">
        <v>107</v>
      </c>
      <c r="I8044" t="str">
        <f>"MOHD KHAIRUL ANUAR BIN MAT SOH"</f>
        <v>MOHD KHAIRUL ANUAR BIN MAT SOH</v>
      </c>
      <c r="J8044" t="str">
        <f t="shared" si="3284"/>
        <v>BANK KERJASAMA RAKYAT</v>
      </c>
      <c r="K8044" t="str">
        <f>"220171515841"</f>
        <v>220171515841</v>
      </c>
      <c r="L8044" t="str">
        <f t="shared" si="3282"/>
        <v>04-08-2020</v>
      </c>
      <c r="M8044" t="str">
        <f t="shared" si="3282"/>
        <v>04-08-2020</v>
      </c>
      <c r="N8044" t="str">
        <f t="shared" si="3270"/>
        <v>001105018356</v>
      </c>
      <c r="O8044" t="str">
        <f t="shared" si="3271"/>
        <v>MYR</v>
      </c>
      <c r="P8044" t="str">
        <f t="shared" si="3283"/>
        <v>NIL</v>
      </c>
      <c r="Q8044" t="str">
        <f t="shared" si="3283"/>
        <v>NIL</v>
      </c>
      <c r="R8044" t="str">
        <f t="shared" si="3285"/>
        <v>Accepted</v>
      </c>
      <c r="S8044" t="str">
        <f t="shared" si="3273"/>
        <v>Approved</v>
      </c>
      <c r="T8044" t="str">
        <f t="shared" si="3286"/>
        <v>10.20.8.188</v>
      </c>
      <c r="U8044" t="str">
        <f t="shared" si="3274"/>
        <v>AZRAD UMAR BIN SHAARI</v>
      </c>
      <c r="V8044" t="str">
        <f t="shared" si="3275"/>
        <v>FARHANA BINTI MUSTAPA</v>
      </c>
      <c r="W8044" t="str">
        <f t="shared" si="3276"/>
        <v>04-08-2020</v>
      </c>
      <c r="X8044" t="str">
        <f t="shared" si="3277"/>
        <v>RAZIMAH ANSAR AHMAD</v>
      </c>
      <c r="Y8044" t="str">
        <f t="shared" si="3278"/>
        <v>04-08-2020</v>
      </c>
      <c r="Z8044" t="str">
        <f>"COS10200804 1110"</f>
        <v>COS10200804 1110</v>
      </c>
    </row>
    <row r="8045" spans="1:26" x14ac:dyDescent="0.25">
      <c r="A8045" t="str">
        <f t="shared" si="3280"/>
        <v>04-08-2020 12:31:59</v>
      </c>
      <c r="B8045" t="str">
        <f>"0000802856"</f>
        <v>0000802856</v>
      </c>
      <c r="C8045" t="str">
        <f t="shared" si="3281"/>
        <v>0000802747</v>
      </c>
      <c r="D8045" t="str">
        <f t="shared" si="3266"/>
        <v>73185</v>
      </c>
      <c r="E8045" t="str">
        <f t="shared" si="3267"/>
        <v>KFH-OPERATIONS DEPARTMENT</v>
      </c>
      <c r="F8045" t="str">
        <f t="shared" si="3268"/>
        <v>IBG</v>
      </c>
      <c r="G8045" t="str">
        <f t="shared" si="3279"/>
        <v>Refund COSHARE 10</v>
      </c>
      <c r="H8045" s="2">
        <v>569</v>
      </c>
      <c r="I8045" t="str">
        <f>"MOHD KHAIRIL AZRUL BIN OTHMAN"</f>
        <v>MOHD KHAIRIL AZRUL BIN OTHMAN</v>
      </c>
      <c r="J8045" t="str">
        <f t="shared" si="3284"/>
        <v>BANK KERJASAMA RAKYAT</v>
      </c>
      <c r="K8045" t="str">
        <f>"220031650728"</f>
        <v>220031650728</v>
      </c>
      <c r="L8045" t="str">
        <f t="shared" si="3282"/>
        <v>04-08-2020</v>
      </c>
      <c r="M8045" t="str">
        <f t="shared" si="3282"/>
        <v>04-08-2020</v>
      </c>
      <c r="N8045" t="str">
        <f t="shared" si="3270"/>
        <v>001105018356</v>
      </c>
      <c r="O8045" t="str">
        <f t="shared" si="3271"/>
        <v>MYR</v>
      </c>
      <c r="P8045" t="str">
        <f t="shared" si="3283"/>
        <v>NIL</v>
      </c>
      <c r="Q8045" t="str">
        <f t="shared" si="3283"/>
        <v>NIL</v>
      </c>
      <c r="R8045" t="str">
        <f t="shared" si="3285"/>
        <v>Accepted</v>
      </c>
      <c r="S8045" t="str">
        <f t="shared" si="3273"/>
        <v>Approved</v>
      </c>
      <c r="T8045" t="str">
        <f t="shared" si="3286"/>
        <v>10.20.8.188</v>
      </c>
      <c r="U8045" t="str">
        <f t="shared" si="3274"/>
        <v>AZRAD UMAR BIN SHAARI</v>
      </c>
      <c r="V8045" t="str">
        <f t="shared" si="3275"/>
        <v>FARHANA BINTI MUSTAPA</v>
      </c>
      <c r="W8045" t="str">
        <f t="shared" si="3276"/>
        <v>04-08-2020</v>
      </c>
      <c r="X8045" t="str">
        <f t="shared" si="3277"/>
        <v>RAZIMAH ANSAR AHMAD</v>
      </c>
      <c r="Y8045" t="str">
        <f t="shared" si="3278"/>
        <v>04-08-2020</v>
      </c>
      <c r="Z8045" t="str">
        <f>"COS10200804 1109"</f>
        <v>COS10200804 1109</v>
      </c>
    </row>
    <row r="8046" spans="1:26" x14ac:dyDescent="0.25">
      <c r="A8046" t="str">
        <f t="shared" si="3280"/>
        <v>04-08-2020 12:31:59</v>
      </c>
      <c r="B8046" t="str">
        <f>"0000802855"</f>
        <v>0000802855</v>
      </c>
      <c r="C8046" t="str">
        <f t="shared" si="3281"/>
        <v>0000802747</v>
      </c>
      <c r="D8046" t="str">
        <f t="shared" si="3266"/>
        <v>73185</v>
      </c>
      <c r="E8046" t="str">
        <f t="shared" si="3267"/>
        <v>KFH-OPERATIONS DEPARTMENT</v>
      </c>
      <c r="F8046" t="str">
        <f t="shared" si="3268"/>
        <v>IBG</v>
      </c>
      <c r="G8046" t="str">
        <f t="shared" si="3279"/>
        <v>Refund COSHARE 10</v>
      </c>
      <c r="H8046" s="2">
        <v>1088.55</v>
      </c>
      <c r="I8046" t="str">
        <f>"MOHD JASNI BIN JUNOH"</f>
        <v>MOHD JASNI BIN JUNOH</v>
      </c>
      <c r="J8046" t="str">
        <f t="shared" si="3284"/>
        <v>BANK KERJASAMA RAKYAT</v>
      </c>
      <c r="K8046" t="str">
        <f>"221131196606"</f>
        <v>221131196606</v>
      </c>
      <c r="L8046" t="str">
        <f t="shared" si="3282"/>
        <v>04-08-2020</v>
      </c>
      <c r="M8046" t="str">
        <f t="shared" si="3282"/>
        <v>04-08-2020</v>
      </c>
      <c r="N8046" t="str">
        <f t="shared" si="3270"/>
        <v>001105018356</v>
      </c>
      <c r="O8046" t="str">
        <f t="shared" si="3271"/>
        <v>MYR</v>
      </c>
      <c r="P8046" t="str">
        <f t="shared" si="3283"/>
        <v>NIL</v>
      </c>
      <c r="Q8046" t="str">
        <f t="shared" si="3283"/>
        <v>NIL</v>
      </c>
      <c r="R8046" t="str">
        <f t="shared" si="3285"/>
        <v>Accepted</v>
      </c>
      <c r="S8046" t="str">
        <f t="shared" si="3273"/>
        <v>Approved</v>
      </c>
      <c r="T8046" t="str">
        <f t="shared" si="3286"/>
        <v>10.20.8.188</v>
      </c>
      <c r="U8046" t="str">
        <f t="shared" si="3274"/>
        <v>AZRAD UMAR BIN SHAARI</v>
      </c>
      <c r="V8046" t="str">
        <f t="shared" si="3275"/>
        <v>FARHANA BINTI MUSTAPA</v>
      </c>
      <c r="W8046" t="str">
        <f t="shared" si="3276"/>
        <v>04-08-2020</v>
      </c>
      <c r="X8046" t="str">
        <f t="shared" si="3277"/>
        <v>RAZIMAH ANSAR AHMAD</v>
      </c>
      <c r="Y8046" t="str">
        <f t="shared" si="3278"/>
        <v>04-08-2020</v>
      </c>
      <c r="Z8046" t="str">
        <f>"COS10200804 1108"</f>
        <v>COS10200804 1108</v>
      </c>
    </row>
    <row r="8047" spans="1:26" x14ac:dyDescent="0.25">
      <c r="A8047" t="str">
        <f t="shared" si="3280"/>
        <v>04-08-2020 12:31:59</v>
      </c>
      <c r="B8047" t="str">
        <f>"0000802854"</f>
        <v>0000802854</v>
      </c>
      <c r="C8047" t="str">
        <f t="shared" si="3281"/>
        <v>0000802747</v>
      </c>
      <c r="D8047" t="str">
        <f t="shared" si="3266"/>
        <v>73185</v>
      </c>
      <c r="E8047" t="str">
        <f t="shared" si="3267"/>
        <v>KFH-OPERATIONS DEPARTMENT</v>
      </c>
      <c r="F8047" t="str">
        <f t="shared" si="3268"/>
        <v>IBG</v>
      </c>
      <c r="G8047" t="str">
        <f t="shared" si="3279"/>
        <v>Refund COSHARE 10</v>
      </c>
      <c r="H8047" s="2">
        <v>117.55</v>
      </c>
      <c r="I8047" t="str">
        <f>"MOHD ISMAN BIN MERIEN"</f>
        <v>MOHD ISMAN BIN MERIEN</v>
      </c>
      <c r="J8047" t="str">
        <f t="shared" si="3284"/>
        <v>BANK KERJASAMA RAKYAT</v>
      </c>
      <c r="K8047" t="str">
        <f>"220531460786"</f>
        <v>220531460786</v>
      </c>
      <c r="L8047" t="str">
        <f t="shared" ref="L8047:M8066" si="3287">"04-08-2020"</f>
        <v>04-08-2020</v>
      </c>
      <c r="M8047" t="str">
        <f t="shared" si="3287"/>
        <v>04-08-2020</v>
      </c>
      <c r="N8047" t="str">
        <f t="shared" si="3270"/>
        <v>001105018356</v>
      </c>
      <c r="O8047" t="str">
        <f t="shared" si="3271"/>
        <v>MYR</v>
      </c>
      <c r="P8047" t="str">
        <f t="shared" ref="P8047:Q8066" si="3288">"NIL"</f>
        <v>NIL</v>
      </c>
      <c r="Q8047" t="str">
        <f t="shared" si="3288"/>
        <v>NIL</v>
      </c>
      <c r="R8047" t="str">
        <f t="shared" si="3285"/>
        <v>Accepted</v>
      </c>
      <c r="S8047" t="str">
        <f t="shared" si="3273"/>
        <v>Approved</v>
      </c>
      <c r="T8047" t="str">
        <f t="shared" si="3286"/>
        <v>10.20.8.188</v>
      </c>
      <c r="U8047" t="str">
        <f t="shared" si="3274"/>
        <v>AZRAD UMAR BIN SHAARI</v>
      </c>
      <c r="V8047" t="str">
        <f t="shared" si="3275"/>
        <v>FARHANA BINTI MUSTAPA</v>
      </c>
      <c r="W8047" t="str">
        <f t="shared" si="3276"/>
        <v>04-08-2020</v>
      </c>
      <c r="X8047" t="str">
        <f t="shared" si="3277"/>
        <v>RAZIMAH ANSAR AHMAD</v>
      </c>
      <c r="Y8047" t="str">
        <f t="shared" si="3278"/>
        <v>04-08-2020</v>
      </c>
      <c r="Z8047" t="str">
        <f>"COS10200804 1107"</f>
        <v>COS10200804 1107</v>
      </c>
    </row>
    <row r="8048" spans="1:26" x14ac:dyDescent="0.25">
      <c r="A8048" t="str">
        <f t="shared" si="3280"/>
        <v>04-08-2020 12:31:59</v>
      </c>
      <c r="B8048" t="str">
        <f>"0000802853"</f>
        <v>0000802853</v>
      </c>
      <c r="C8048" t="str">
        <f t="shared" si="3281"/>
        <v>0000802747</v>
      </c>
      <c r="D8048" t="str">
        <f t="shared" si="3266"/>
        <v>73185</v>
      </c>
      <c r="E8048" t="str">
        <f t="shared" si="3267"/>
        <v>KFH-OPERATIONS DEPARTMENT</v>
      </c>
      <c r="F8048" t="str">
        <f t="shared" si="3268"/>
        <v>IBG</v>
      </c>
      <c r="G8048" t="str">
        <f t="shared" si="3279"/>
        <v>Refund COSHARE 10</v>
      </c>
      <c r="H8048" s="2">
        <v>1052.25</v>
      </c>
      <c r="I8048" t="str">
        <f>"MOHD HASBI BIN RAMLI"</f>
        <v>MOHD HASBI BIN RAMLI</v>
      </c>
      <c r="J8048" t="str">
        <f t="shared" si="3284"/>
        <v>BANK KERJASAMA RAKYAT</v>
      </c>
      <c r="K8048" t="str">
        <f>"220291002551"</f>
        <v>220291002551</v>
      </c>
      <c r="L8048" t="str">
        <f t="shared" si="3287"/>
        <v>04-08-2020</v>
      </c>
      <c r="M8048" t="str">
        <f t="shared" si="3287"/>
        <v>04-08-2020</v>
      </c>
      <c r="N8048" t="str">
        <f t="shared" si="3270"/>
        <v>001105018356</v>
      </c>
      <c r="O8048" t="str">
        <f t="shared" si="3271"/>
        <v>MYR</v>
      </c>
      <c r="P8048" t="str">
        <f t="shared" si="3288"/>
        <v>NIL</v>
      </c>
      <c r="Q8048" t="str">
        <f t="shared" si="3288"/>
        <v>NIL</v>
      </c>
      <c r="R8048" t="str">
        <f t="shared" si="3285"/>
        <v>Accepted</v>
      </c>
      <c r="S8048" t="str">
        <f t="shared" si="3273"/>
        <v>Approved</v>
      </c>
      <c r="T8048" t="str">
        <f t="shared" si="3286"/>
        <v>10.20.8.188</v>
      </c>
      <c r="U8048" t="str">
        <f t="shared" si="3274"/>
        <v>AZRAD UMAR BIN SHAARI</v>
      </c>
      <c r="V8048" t="str">
        <f t="shared" si="3275"/>
        <v>FARHANA BINTI MUSTAPA</v>
      </c>
      <c r="W8048" t="str">
        <f t="shared" si="3276"/>
        <v>04-08-2020</v>
      </c>
      <c r="X8048" t="str">
        <f t="shared" si="3277"/>
        <v>RAZIMAH ANSAR AHMAD</v>
      </c>
      <c r="Y8048" t="str">
        <f t="shared" si="3278"/>
        <v>04-08-2020</v>
      </c>
      <c r="Z8048" t="str">
        <f>"COS10200804 1106"</f>
        <v>COS10200804 1106</v>
      </c>
    </row>
    <row r="8049" spans="1:26" x14ac:dyDescent="0.25">
      <c r="A8049" t="str">
        <f t="shared" si="3280"/>
        <v>04-08-2020 12:31:59</v>
      </c>
      <c r="B8049" t="str">
        <f>"0000802852"</f>
        <v>0000802852</v>
      </c>
      <c r="C8049" t="str">
        <f t="shared" si="3281"/>
        <v>0000802747</v>
      </c>
      <c r="D8049" t="str">
        <f t="shared" si="3266"/>
        <v>73185</v>
      </c>
      <c r="E8049" t="str">
        <f t="shared" si="3267"/>
        <v>KFH-OPERATIONS DEPARTMENT</v>
      </c>
      <c r="F8049" t="str">
        <f t="shared" si="3268"/>
        <v>IBG</v>
      </c>
      <c r="G8049" t="str">
        <f t="shared" si="3279"/>
        <v>Refund COSHARE 10</v>
      </c>
      <c r="H8049" s="2">
        <v>713.6</v>
      </c>
      <c r="I8049" t="str">
        <f>"MOHD HANIFF BIN ROMAINOOR"</f>
        <v>MOHD HANIFF BIN ROMAINOOR</v>
      </c>
      <c r="J8049" t="str">
        <f t="shared" si="3284"/>
        <v>BANK KERJASAMA RAKYAT</v>
      </c>
      <c r="K8049" t="str">
        <f>"220571158057"</f>
        <v>220571158057</v>
      </c>
      <c r="L8049" t="str">
        <f t="shared" si="3287"/>
        <v>04-08-2020</v>
      </c>
      <c r="M8049" t="str">
        <f t="shared" si="3287"/>
        <v>04-08-2020</v>
      </c>
      <c r="N8049" t="str">
        <f t="shared" si="3270"/>
        <v>001105018356</v>
      </c>
      <c r="O8049" t="str">
        <f t="shared" si="3271"/>
        <v>MYR</v>
      </c>
      <c r="P8049" t="str">
        <f t="shared" si="3288"/>
        <v>NIL</v>
      </c>
      <c r="Q8049" t="str">
        <f t="shared" si="3288"/>
        <v>NIL</v>
      </c>
      <c r="R8049" t="str">
        <f t="shared" si="3285"/>
        <v>Accepted</v>
      </c>
      <c r="S8049" t="str">
        <f t="shared" si="3273"/>
        <v>Approved</v>
      </c>
      <c r="T8049" t="str">
        <f t="shared" si="3286"/>
        <v>10.20.8.188</v>
      </c>
      <c r="U8049" t="str">
        <f t="shared" si="3274"/>
        <v>AZRAD UMAR BIN SHAARI</v>
      </c>
      <c r="V8049" t="str">
        <f t="shared" si="3275"/>
        <v>FARHANA BINTI MUSTAPA</v>
      </c>
      <c r="W8049" t="str">
        <f t="shared" si="3276"/>
        <v>04-08-2020</v>
      </c>
      <c r="X8049" t="str">
        <f t="shared" si="3277"/>
        <v>RAZIMAH ANSAR AHMAD</v>
      </c>
      <c r="Y8049" t="str">
        <f t="shared" si="3278"/>
        <v>04-08-2020</v>
      </c>
      <c r="Z8049" t="str">
        <f>"COS10200804 1105"</f>
        <v>COS10200804 1105</v>
      </c>
    </row>
    <row r="8050" spans="1:26" x14ac:dyDescent="0.25">
      <c r="A8050" t="str">
        <f t="shared" ref="A8050:A8081" si="3289">"04-08-2020 12:31:59"</f>
        <v>04-08-2020 12:31:59</v>
      </c>
      <c r="B8050" t="str">
        <f>"0000802851"</f>
        <v>0000802851</v>
      </c>
      <c r="C8050" t="str">
        <f t="shared" ref="C8050:C8081" si="3290">"0000802747"</f>
        <v>0000802747</v>
      </c>
      <c r="D8050" t="str">
        <f t="shared" si="3266"/>
        <v>73185</v>
      </c>
      <c r="E8050" t="str">
        <f t="shared" si="3267"/>
        <v>KFH-OPERATIONS DEPARTMENT</v>
      </c>
      <c r="F8050" t="str">
        <f t="shared" si="3268"/>
        <v>IBG</v>
      </c>
      <c r="G8050" t="str">
        <f t="shared" si="3279"/>
        <v>Refund COSHARE 10</v>
      </c>
      <c r="H8050" s="2">
        <v>251.85</v>
      </c>
      <c r="I8050" t="str">
        <f>"MOHD HAIRULSAH BIN MALBRIN  MATRIN"</f>
        <v>MOHD HAIRULSAH BIN MALBRIN  MATRIN</v>
      </c>
      <c r="J8050" t="str">
        <f t="shared" si="3284"/>
        <v>BANK KERJASAMA RAKYAT</v>
      </c>
      <c r="K8050" t="str">
        <f>"220661204417"</f>
        <v>220661204417</v>
      </c>
      <c r="L8050" t="str">
        <f t="shared" si="3287"/>
        <v>04-08-2020</v>
      </c>
      <c r="M8050" t="str">
        <f t="shared" si="3287"/>
        <v>04-08-2020</v>
      </c>
      <c r="N8050" t="str">
        <f t="shared" si="3270"/>
        <v>001105018356</v>
      </c>
      <c r="O8050" t="str">
        <f t="shared" si="3271"/>
        <v>MYR</v>
      </c>
      <c r="P8050" t="str">
        <f t="shared" si="3288"/>
        <v>NIL</v>
      </c>
      <c r="Q8050" t="str">
        <f t="shared" si="3288"/>
        <v>NIL</v>
      </c>
      <c r="R8050" t="str">
        <f t="shared" si="3285"/>
        <v>Accepted</v>
      </c>
      <c r="S8050" t="str">
        <f t="shared" si="3273"/>
        <v>Approved</v>
      </c>
      <c r="T8050" t="str">
        <f t="shared" si="3286"/>
        <v>10.20.8.188</v>
      </c>
      <c r="U8050" t="str">
        <f t="shared" si="3274"/>
        <v>AZRAD UMAR BIN SHAARI</v>
      </c>
      <c r="V8050" t="str">
        <f t="shared" si="3275"/>
        <v>FARHANA BINTI MUSTAPA</v>
      </c>
      <c r="W8050" t="str">
        <f t="shared" si="3276"/>
        <v>04-08-2020</v>
      </c>
      <c r="X8050" t="str">
        <f t="shared" si="3277"/>
        <v>RAZIMAH ANSAR AHMAD</v>
      </c>
      <c r="Y8050" t="str">
        <f t="shared" si="3278"/>
        <v>04-08-2020</v>
      </c>
      <c r="Z8050" t="str">
        <f>"COS10200804 1104"</f>
        <v>COS10200804 1104</v>
      </c>
    </row>
    <row r="8051" spans="1:26" x14ac:dyDescent="0.25">
      <c r="A8051" t="str">
        <f t="shared" si="3289"/>
        <v>04-08-2020 12:31:59</v>
      </c>
      <c r="B8051" t="str">
        <f>"0000802850"</f>
        <v>0000802850</v>
      </c>
      <c r="C8051" t="str">
        <f t="shared" si="3290"/>
        <v>0000802747</v>
      </c>
      <c r="D8051" t="str">
        <f t="shared" si="3266"/>
        <v>73185</v>
      </c>
      <c r="E8051" t="str">
        <f t="shared" si="3267"/>
        <v>KFH-OPERATIONS DEPARTMENT</v>
      </c>
      <c r="F8051" t="str">
        <f t="shared" si="3268"/>
        <v>IBG</v>
      </c>
      <c r="G8051" t="str">
        <f t="shared" si="3279"/>
        <v>Refund COSHARE 10</v>
      </c>
      <c r="H8051" s="2">
        <v>159</v>
      </c>
      <c r="I8051" t="str">
        <f>"MOHD FUAD BIN SABTU"</f>
        <v>MOHD FUAD BIN SABTU</v>
      </c>
      <c r="J8051" t="str">
        <f t="shared" si="3284"/>
        <v>BANK KERJASAMA RAKYAT</v>
      </c>
      <c r="K8051" t="str">
        <f>"220173279341"</f>
        <v>220173279341</v>
      </c>
      <c r="L8051" t="str">
        <f t="shared" si="3287"/>
        <v>04-08-2020</v>
      </c>
      <c r="M8051" t="str">
        <f t="shared" si="3287"/>
        <v>04-08-2020</v>
      </c>
      <c r="N8051" t="str">
        <f t="shared" si="3270"/>
        <v>001105018356</v>
      </c>
      <c r="O8051" t="str">
        <f t="shared" si="3271"/>
        <v>MYR</v>
      </c>
      <c r="P8051" t="str">
        <f t="shared" si="3288"/>
        <v>NIL</v>
      </c>
      <c r="Q8051" t="str">
        <f t="shared" si="3288"/>
        <v>NIL</v>
      </c>
      <c r="R8051" t="str">
        <f t="shared" si="3285"/>
        <v>Accepted</v>
      </c>
      <c r="S8051" t="str">
        <f t="shared" si="3273"/>
        <v>Approved</v>
      </c>
      <c r="T8051" t="str">
        <f t="shared" si="3286"/>
        <v>10.20.8.188</v>
      </c>
      <c r="U8051" t="str">
        <f t="shared" si="3274"/>
        <v>AZRAD UMAR BIN SHAARI</v>
      </c>
      <c r="V8051" t="str">
        <f t="shared" si="3275"/>
        <v>FARHANA BINTI MUSTAPA</v>
      </c>
      <c r="W8051" t="str">
        <f t="shared" si="3276"/>
        <v>04-08-2020</v>
      </c>
      <c r="X8051" t="str">
        <f t="shared" si="3277"/>
        <v>RAZIMAH ANSAR AHMAD</v>
      </c>
      <c r="Y8051" t="str">
        <f t="shared" si="3278"/>
        <v>04-08-2020</v>
      </c>
      <c r="Z8051" t="str">
        <f>"COS10200804 1103"</f>
        <v>COS10200804 1103</v>
      </c>
    </row>
    <row r="8052" spans="1:26" x14ac:dyDescent="0.25">
      <c r="A8052" t="str">
        <f t="shared" si="3289"/>
        <v>04-08-2020 12:31:59</v>
      </c>
      <c r="B8052" t="str">
        <f>"0000802849"</f>
        <v>0000802849</v>
      </c>
      <c r="C8052" t="str">
        <f t="shared" si="3290"/>
        <v>0000802747</v>
      </c>
      <c r="D8052" t="str">
        <f t="shared" si="3266"/>
        <v>73185</v>
      </c>
      <c r="E8052" t="str">
        <f t="shared" si="3267"/>
        <v>KFH-OPERATIONS DEPARTMENT</v>
      </c>
      <c r="F8052" t="str">
        <f t="shared" si="3268"/>
        <v>IBG</v>
      </c>
      <c r="G8052" t="str">
        <f t="shared" si="3279"/>
        <v>Refund COSHARE 10</v>
      </c>
      <c r="H8052" s="2">
        <v>780.75</v>
      </c>
      <c r="I8052" t="str">
        <f>"MOHD FIRDAUS BIN YAHAYA"</f>
        <v>MOHD FIRDAUS BIN YAHAYA</v>
      </c>
      <c r="J8052" t="str">
        <f t="shared" si="3284"/>
        <v>BANK KERJASAMA RAKYAT</v>
      </c>
      <c r="K8052" t="str">
        <f>"220815143447"</f>
        <v>220815143447</v>
      </c>
      <c r="L8052" t="str">
        <f t="shared" si="3287"/>
        <v>04-08-2020</v>
      </c>
      <c r="M8052" t="str">
        <f t="shared" si="3287"/>
        <v>04-08-2020</v>
      </c>
      <c r="N8052" t="str">
        <f t="shared" si="3270"/>
        <v>001105018356</v>
      </c>
      <c r="O8052" t="str">
        <f t="shared" si="3271"/>
        <v>MYR</v>
      </c>
      <c r="P8052" t="str">
        <f t="shared" si="3288"/>
        <v>NIL</v>
      </c>
      <c r="Q8052" t="str">
        <f t="shared" si="3288"/>
        <v>NIL</v>
      </c>
      <c r="R8052" t="str">
        <f t="shared" si="3285"/>
        <v>Accepted</v>
      </c>
      <c r="S8052" t="str">
        <f t="shared" si="3273"/>
        <v>Approved</v>
      </c>
      <c r="T8052" t="str">
        <f t="shared" si="3286"/>
        <v>10.20.8.188</v>
      </c>
      <c r="U8052" t="str">
        <f t="shared" si="3274"/>
        <v>AZRAD UMAR BIN SHAARI</v>
      </c>
      <c r="V8052" t="str">
        <f t="shared" si="3275"/>
        <v>FARHANA BINTI MUSTAPA</v>
      </c>
      <c r="W8052" t="str">
        <f t="shared" si="3276"/>
        <v>04-08-2020</v>
      </c>
      <c r="X8052" t="str">
        <f t="shared" si="3277"/>
        <v>RAZIMAH ANSAR AHMAD</v>
      </c>
      <c r="Y8052" t="str">
        <f t="shared" si="3278"/>
        <v>04-08-2020</v>
      </c>
      <c r="Z8052" t="str">
        <f>"COS10200804 1102"</f>
        <v>COS10200804 1102</v>
      </c>
    </row>
    <row r="8053" spans="1:26" x14ac:dyDescent="0.25">
      <c r="A8053" t="str">
        <f t="shared" si="3289"/>
        <v>04-08-2020 12:31:59</v>
      </c>
      <c r="B8053" t="str">
        <f>"0000802848"</f>
        <v>0000802848</v>
      </c>
      <c r="C8053" t="str">
        <f t="shared" si="3290"/>
        <v>0000802747</v>
      </c>
      <c r="D8053" t="str">
        <f t="shared" si="3266"/>
        <v>73185</v>
      </c>
      <c r="E8053" t="str">
        <f t="shared" si="3267"/>
        <v>KFH-OPERATIONS DEPARTMENT</v>
      </c>
      <c r="F8053" t="str">
        <f t="shared" si="3268"/>
        <v>IBG</v>
      </c>
      <c r="G8053" t="str">
        <f t="shared" si="3279"/>
        <v>Refund COSHARE 10</v>
      </c>
      <c r="H8053" s="2">
        <v>747.15</v>
      </c>
      <c r="I8053" t="str">
        <f>"MOHD FADZLEY BIN MAHARI"</f>
        <v>MOHD FADZLEY BIN MAHARI</v>
      </c>
      <c r="J8053" t="str">
        <f t="shared" si="3284"/>
        <v>BANK KERJASAMA RAKYAT</v>
      </c>
      <c r="K8053" t="str">
        <f>"220971155268"</f>
        <v>220971155268</v>
      </c>
      <c r="L8053" t="str">
        <f t="shared" si="3287"/>
        <v>04-08-2020</v>
      </c>
      <c r="M8053" t="str">
        <f t="shared" si="3287"/>
        <v>04-08-2020</v>
      </c>
      <c r="N8053" t="str">
        <f t="shared" si="3270"/>
        <v>001105018356</v>
      </c>
      <c r="O8053" t="str">
        <f t="shared" si="3271"/>
        <v>MYR</v>
      </c>
      <c r="P8053" t="str">
        <f t="shared" si="3288"/>
        <v>NIL</v>
      </c>
      <c r="Q8053" t="str">
        <f t="shared" si="3288"/>
        <v>NIL</v>
      </c>
      <c r="R8053" t="str">
        <f t="shared" si="3285"/>
        <v>Accepted</v>
      </c>
      <c r="S8053" t="str">
        <f t="shared" si="3273"/>
        <v>Approved</v>
      </c>
      <c r="T8053" t="str">
        <f t="shared" si="3286"/>
        <v>10.20.8.188</v>
      </c>
      <c r="U8053" t="str">
        <f t="shared" si="3274"/>
        <v>AZRAD UMAR BIN SHAARI</v>
      </c>
      <c r="V8053" t="str">
        <f t="shared" si="3275"/>
        <v>FARHANA BINTI MUSTAPA</v>
      </c>
      <c r="W8053" t="str">
        <f t="shared" si="3276"/>
        <v>04-08-2020</v>
      </c>
      <c r="X8053" t="str">
        <f t="shared" si="3277"/>
        <v>RAZIMAH ANSAR AHMAD</v>
      </c>
      <c r="Y8053" t="str">
        <f t="shared" si="3278"/>
        <v>04-08-2020</v>
      </c>
      <c r="Z8053" t="str">
        <f>"COS10200804 1101"</f>
        <v>COS10200804 1101</v>
      </c>
    </row>
    <row r="8054" spans="1:26" x14ac:dyDescent="0.25">
      <c r="A8054" t="str">
        <f t="shared" si="3289"/>
        <v>04-08-2020 12:31:59</v>
      </c>
      <c r="B8054" t="str">
        <f>"0000802847"</f>
        <v>0000802847</v>
      </c>
      <c r="C8054" t="str">
        <f t="shared" si="3290"/>
        <v>0000802747</v>
      </c>
      <c r="D8054" t="str">
        <f t="shared" si="3266"/>
        <v>73185</v>
      </c>
      <c r="E8054" t="str">
        <f t="shared" si="3267"/>
        <v>KFH-OPERATIONS DEPARTMENT</v>
      </c>
      <c r="F8054" t="str">
        <f t="shared" si="3268"/>
        <v>IBG</v>
      </c>
      <c r="G8054" t="str">
        <f t="shared" si="3279"/>
        <v>Refund COSHARE 10</v>
      </c>
      <c r="H8054" s="2">
        <v>184.7</v>
      </c>
      <c r="I8054" t="str">
        <f>"MOHD FADZIL BIN SALMIN"</f>
        <v>MOHD FADZIL BIN SALMIN</v>
      </c>
      <c r="J8054" t="str">
        <f t="shared" si="3284"/>
        <v>BANK KERJASAMA RAKYAT</v>
      </c>
      <c r="K8054" t="str">
        <f>"220141239297"</f>
        <v>220141239297</v>
      </c>
      <c r="L8054" t="str">
        <f t="shared" si="3287"/>
        <v>04-08-2020</v>
      </c>
      <c r="M8054" t="str">
        <f t="shared" si="3287"/>
        <v>04-08-2020</v>
      </c>
      <c r="N8054" t="str">
        <f t="shared" si="3270"/>
        <v>001105018356</v>
      </c>
      <c r="O8054" t="str">
        <f t="shared" si="3271"/>
        <v>MYR</v>
      </c>
      <c r="P8054" t="str">
        <f t="shared" si="3288"/>
        <v>NIL</v>
      </c>
      <c r="Q8054" t="str">
        <f t="shared" si="3288"/>
        <v>NIL</v>
      </c>
      <c r="R8054" t="str">
        <f t="shared" si="3285"/>
        <v>Accepted</v>
      </c>
      <c r="S8054" t="str">
        <f t="shared" si="3273"/>
        <v>Approved</v>
      </c>
      <c r="T8054" t="str">
        <f t="shared" si="3286"/>
        <v>10.20.8.188</v>
      </c>
      <c r="U8054" t="str">
        <f t="shared" si="3274"/>
        <v>AZRAD UMAR BIN SHAARI</v>
      </c>
      <c r="V8054" t="str">
        <f t="shared" si="3275"/>
        <v>FARHANA BINTI MUSTAPA</v>
      </c>
      <c r="W8054" t="str">
        <f t="shared" si="3276"/>
        <v>04-08-2020</v>
      </c>
      <c r="X8054" t="str">
        <f t="shared" si="3277"/>
        <v>RAZIMAH ANSAR AHMAD</v>
      </c>
      <c r="Y8054" t="str">
        <f t="shared" si="3278"/>
        <v>04-08-2020</v>
      </c>
      <c r="Z8054" t="str">
        <f>"COS10200804 1100"</f>
        <v>COS10200804 1100</v>
      </c>
    </row>
    <row r="8055" spans="1:26" x14ac:dyDescent="0.25">
      <c r="A8055" t="str">
        <f t="shared" si="3289"/>
        <v>04-08-2020 12:31:59</v>
      </c>
      <c r="B8055" t="str">
        <f>"0000802846"</f>
        <v>0000802846</v>
      </c>
      <c r="C8055" t="str">
        <f t="shared" si="3290"/>
        <v>0000802747</v>
      </c>
      <c r="D8055" t="str">
        <f t="shared" si="3266"/>
        <v>73185</v>
      </c>
      <c r="E8055" t="str">
        <f t="shared" si="3267"/>
        <v>KFH-OPERATIONS DEPARTMENT</v>
      </c>
      <c r="F8055" t="str">
        <f t="shared" si="3268"/>
        <v>IBG</v>
      </c>
      <c r="G8055" t="str">
        <f t="shared" si="3279"/>
        <v>Refund COSHARE 10</v>
      </c>
      <c r="H8055" s="2">
        <v>42</v>
      </c>
      <c r="I8055" t="str">
        <f>"MOHD FADZIL BIN FAUZI"</f>
        <v>MOHD FADZIL BIN FAUZI</v>
      </c>
      <c r="J8055" t="str">
        <f t="shared" si="3284"/>
        <v>BANK KERJASAMA RAKYAT</v>
      </c>
      <c r="K8055" t="str">
        <f>"220121580776"</f>
        <v>220121580776</v>
      </c>
      <c r="L8055" t="str">
        <f t="shared" si="3287"/>
        <v>04-08-2020</v>
      </c>
      <c r="M8055" t="str">
        <f t="shared" si="3287"/>
        <v>04-08-2020</v>
      </c>
      <c r="N8055" t="str">
        <f t="shared" si="3270"/>
        <v>001105018356</v>
      </c>
      <c r="O8055" t="str">
        <f t="shared" si="3271"/>
        <v>MYR</v>
      </c>
      <c r="P8055" t="str">
        <f t="shared" si="3288"/>
        <v>NIL</v>
      </c>
      <c r="Q8055" t="str">
        <f t="shared" si="3288"/>
        <v>NIL</v>
      </c>
      <c r="R8055" t="str">
        <f t="shared" si="3285"/>
        <v>Accepted</v>
      </c>
      <c r="S8055" t="str">
        <f t="shared" si="3273"/>
        <v>Approved</v>
      </c>
      <c r="T8055" t="str">
        <f t="shared" si="3286"/>
        <v>10.20.8.188</v>
      </c>
      <c r="U8055" t="str">
        <f t="shared" si="3274"/>
        <v>AZRAD UMAR BIN SHAARI</v>
      </c>
      <c r="V8055" t="str">
        <f t="shared" si="3275"/>
        <v>FARHANA BINTI MUSTAPA</v>
      </c>
      <c r="W8055" t="str">
        <f t="shared" si="3276"/>
        <v>04-08-2020</v>
      </c>
      <c r="X8055" t="str">
        <f t="shared" si="3277"/>
        <v>RAZIMAH ANSAR AHMAD</v>
      </c>
      <c r="Y8055" t="str">
        <f t="shared" si="3278"/>
        <v>04-08-2020</v>
      </c>
      <c r="Z8055" t="str">
        <f>"COS10200804 1099"</f>
        <v>COS10200804 1099</v>
      </c>
    </row>
    <row r="8056" spans="1:26" x14ac:dyDescent="0.25">
      <c r="A8056" t="str">
        <f t="shared" si="3289"/>
        <v>04-08-2020 12:31:59</v>
      </c>
      <c r="B8056" t="str">
        <f>"0000802845"</f>
        <v>0000802845</v>
      </c>
      <c r="C8056" t="str">
        <f t="shared" si="3290"/>
        <v>0000802747</v>
      </c>
      <c r="D8056" t="str">
        <f t="shared" si="3266"/>
        <v>73185</v>
      </c>
      <c r="E8056" t="str">
        <f t="shared" si="3267"/>
        <v>KFH-OPERATIONS DEPARTMENT</v>
      </c>
      <c r="F8056" t="str">
        <f t="shared" si="3268"/>
        <v>IBG</v>
      </c>
      <c r="G8056" t="str">
        <f t="shared" si="3279"/>
        <v>Refund COSHARE 10</v>
      </c>
      <c r="H8056" s="2">
        <v>1049.4000000000001</v>
      </c>
      <c r="I8056" t="str">
        <f>"MOHD DZULKIFLI BIN RAMLI"</f>
        <v>MOHD DZULKIFLI BIN RAMLI</v>
      </c>
      <c r="J8056" t="str">
        <f t="shared" si="3284"/>
        <v>BANK KERJASAMA RAKYAT</v>
      </c>
      <c r="K8056" t="str">
        <f>"221041009434"</f>
        <v>221041009434</v>
      </c>
      <c r="L8056" t="str">
        <f t="shared" si="3287"/>
        <v>04-08-2020</v>
      </c>
      <c r="M8056" t="str">
        <f t="shared" si="3287"/>
        <v>04-08-2020</v>
      </c>
      <c r="N8056" t="str">
        <f t="shared" si="3270"/>
        <v>001105018356</v>
      </c>
      <c r="O8056" t="str">
        <f t="shared" si="3271"/>
        <v>MYR</v>
      </c>
      <c r="P8056" t="str">
        <f t="shared" si="3288"/>
        <v>NIL</v>
      </c>
      <c r="Q8056" t="str">
        <f t="shared" si="3288"/>
        <v>NIL</v>
      </c>
      <c r="R8056" t="str">
        <f t="shared" si="3285"/>
        <v>Accepted</v>
      </c>
      <c r="S8056" t="str">
        <f t="shared" si="3273"/>
        <v>Approved</v>
      </c>
      <c r="T8056" t="str">
        <f t="shared" si="3286"/>
        <v>10.20.8.188</v>
      </c>
      <c r="U8056" t="str">
        <f t="shared" si="3274"/>
        <v>AZRAD UMAR BIN SHAARI</v>
      </c>
      <c r="V8056" t="str">
        <f t="shared" si="3275"/>
        <v>FARHANA BINTI MUSTAPA</v>
      </c>
      <c r="W8056" t="str">
        <f t="shared" si="3276"/>
        <v>04-08-2020</v>
      </c>
      <c r="X8056" t="str">
        <f t="shared" si="3277"/>
        <v>RAZIMAH ANSAR AHMAD</v>
      </c>
      <c r="Y8056" t="str">
        <f t="shared" si="3278"/>
        <v>04-08-2020</v>
      </c>
      <c r="Z8056" t="str">
        <f>"COS10200804 1098"</f>
        <v>COS10200804 1098</v>
      </c>
    </row>
    <row r="8057" spans="1:26" x14ac:dyDescent="0.25">
      <c r="A8057" t="str">
        <f t="shared" si="3289"/>
        <v>04-08-2020 12:31:59</v>
      </c>
      <c r="B8057" t="str">
        <f>"0000802844"</f>
        <v>0000802844</v>
      </c>
      <c r="C8057" t="str">
        <f t="shared" si="3290"/>
        <v>0000802747</v>
      </c>
      <c r="D8057" t="str">
        <f t="shared" si="3266"/>
        <v>73185</v>
      </c>
      <c r="E8057" t="str">
        <f t="shared" si="3267"/>
        <v>KFH-OPERATIONS DEPARTMENT</v>
      </c>
      <c r="F8057" t="str">
        <f t="shared" si="3268"/>
        <v>IBG</v>
      </c>
      <c r="G8057" t="str">
        <f t="shared" si="3279"/>
        <v>Refund COSHARE 10</v>
      </c>
      <c r="H8057" s="2">
        <v>84</v>
      </c>
      <c r="I8057" t="str">
        <f>"MOHD DAZMAN BIN MAT HASAN"</f>
        <v>MOHD DAZMAN BIN MAT HASAN</v>
      </c>
      <c r="J8057" t="str">
        <f t="shared" si="3284"/>
        <v>BANK KERJASAMA RAKYAT</v>
      </c>
      <c r="K8057" t="str">
        <f>"220241301140"</f>
        <v>220241301140</v>
      </c>
      <c r="L8057" t="str">
        <f t="shared" si="3287"/>
        <v>04-08-2020</v>
      </c>
      <c r="M8057" t="str">
        <f t="shared" si="3287"/>
        <v>04-08-2020</v>
      </c>
      <c r="N8057" t="str">
        <f t="shared" si="3270"/>
        <v>001105018356</v>
      </c>
      <c r="O8057" t="str">
        <f t="shared" si="3271"/>
        <v>MYR</v>
      </c>
      <c r="P8057" t="str">
        <f t="shared" si="3288"/>
        <v>NIL</v>
      </c>
      <c r="Q8057" t="str">
        <f t="shared" si="3288"/>
        <v>NIL</v>
      </c>
      <c r="R8057" t="str">
        <f t="shared" si="3285"/>
        <v>Accepted</v>
      </c>
      <c r="S8057" t="str">
        <f t="shared" si="3273"/>
        <v>Approved</v>
      </c>
      <c r="T8057" t="str">
        <f t="shared" si="3286"/>
        <v>10.20.8.188</v>
      </c>
      <c r="U8057" t="str">
        <f t="shared" si="3274"/>
        <v>AZRAD UMAR BIN SHAARI</v>
      </c>
      <c r="V8057" t="str">
        <f t="shared" si="3275"/>
        <v>FARHANA BINTI MUSTAPA</v>
      </c>
      <c r="W8057" t="str">
        <f t="shared" si="3276"/>
        <v>04-08-2020</v>
      </c>
      <c r="X8057" t="str">
        <f t="shared" si="3277"/>
        <v>RAZIMAH ANSAR AHMAD</v>
      </c>
      <c r="Y8057" t="str">
        <f t="shared" si="3278"/>
        <v>04-08-2020</v>
      </c>
      <c r="Z8057" t="str">
        <f>"COS10200804 1097"</f>
        <v>COS10200804 1097</v>
      </c>
    </row>
    <row r="8058" spans="1:26" x14ac:dyDescent="0.25">
      <c r="A8058" t="str">
        <f t="shared" si="3289"/>
        <v>04-08-2020 12:31:59</v>
      </c>
      <c r="B8058" t="str">
        <f>"0000802843"</f>
        <v>0000802843</v>
      </c>
      <c r="C8058" t="str">
        <f t="shared" si="3290"/>
        <v>0000802747</v>
      </c>
      <c r="D8058" t="str">
        <f t="shared" si="3266"/>
        <v>73185</v>
      </c>
      <c r="E8058" t="str">
        <f t="shared" si="3267"/>
        <v>KFH-OPERATIONS DEPARTMENT</v>
      </c>
      <c r="F8058" t="str">
        <f t="shared" si="3268"/>
        <v>IBG</v>
      </c>
      <c r="G8058" t="str">
        <f t="shared" si="3279"/>
        <v>Refund COSHARE 10</v>
      </c>
      <c r="H8058" s="2">
        <v>1495</v>
      </c>
      <c r="I8058" t="str">
        <f>"MOHD BAHARI BIN MAT NOR"</f>
        <v>MOHD BAHARI BIN MAT NOR</v>
      </c>
      <c r="J8058" t="str">
        <f t="shared" si="3284"/>
        <v>BANK KERJASAMA RAKYAT</v>
      </c>
      <c r="K8058" t="str">
        <f>"220281316411"</f>
        <v>220281316411</v>
      </c>
      <c r="L8058" t="str">
        <f t="shared" si="3287"/>
        <v>04-08-2020</v>
      </c>
      <c r="M8058" t="str">
        <f t="shared" si="3287"/>
        <v>04-08-2020</v>
      </c>
      <c r="N8058" t="str">
        <f t="shared" si="3270"/>
        <v>001105018356</v>
      </c>
      <c r="O8058" t="str">
        <f t="shared" si="3271"/>
        <v>MYR</v>
      </c>
      <c r="P8058" t="str">
        <f t="shared" si="3288"/>
        <v>NIL</v>
      </c>
      <c r="Q8058" t="str">
        <f t="shared" si="3288"/>
        <v>NIL</v>
      </c>
      <c r="R8058" t="str">
        <f t="shared" si="3285"/>
        <v>Accepted</v>
      </c>
      <c r="S8058" t="str">
        <f t="shared" si="3273"/>
        <v>Approved</v>
      </c>
      <c r="T8058" t="str">
        <f t="shared" si="3286"/>
        <v>10.20.8.188</v>
      </c>
      <c r="U8058" t="str">
        <f t="shared" si="3274"/>
        <v>AZRAD UMAR BIN SHAARI</v>
      </c>
      <c r="V8058" t="str">
        <f t="shared" si="3275"/>
        <v>FARHANA BINTI MUSTAPA</v>
      </c>
      <c r="W8058" t="str">
        <f t="shared" si="3276"/>
        <v>04-08-2020</v>
      </c>
      <c r="X8058" t="str">
        <f t="shared" si="3277"/>
        <v>RAZIMAH ANSAR AHMAD</v>
      </c>
      <c r="Y8058" t="str">
        <f t="shared" si="3278"/>
        <v>04-08-2020</v>
      </c>
      <c r="Z8058" t="str">
        <f>"COS10200804 1096"</f>
        <v>COS10200804 1096</v>
      </c>
    </row>
    <row r="8059" spans="1:26" x14ac:dyDescent="0.25">
      <c r="A8059" t="str">
        <f t="shared" si="3289"/>
        <v>04-08-2020 12:31:59</v>
      </c>
      <c r="B8059" t="str">
        <f>"0000802842"</f>
        <v>0000802842</v>
      </c>
      <c r="C8059" t="str">
        <f t="shared" si="3290"/>
        <v>0000802747</v>
      </c>
      <c r="D8059" t="str">
        <f t="shared" si="3266"/>
        <v>73185</v>
      </c>
      <c r="E8059" t="str">
        <f t="shared" si="3267"/>
        <v>KFH-OPERATIONS DEPARTMENT</v>
      </c>
      <c r="F8059" t="str">
        <f t="shared" si="3268"/>
        <v>IBG</v>
      </c>
      <c r="G8059" t="str">
        <f t="shared" si="3279"/>
        <v>Refund COSHARE 10</v>
      </c>
      <c r="H8059" s="2">
        <v>167.9</v>
      </c>
      <c r="I8059" t="str">
        <f>"MOHD AZIZI BIN HUSAIN"</f>
        <v>MOHD AZIZI BIN HUSAIN</v>
      </c>
      <c r="J8059" t="str">
        <f t="shared" si="3284"/>
        <v>BANK KERJASAMA RAKYAT</v>
      </c>
      <c r="K8059" t="str">
        <f>"220071202056"</f>
        <v>220071202056</v>
      </c>
      <c r="L8059" t="str">
        <f t="shared" si="3287"/>
        <v>04-08-2020</v>
      </c>
      <c r="M8059" t="str">
        <f t="shared" si="3287"/>
        <v>04-08-2020</v>
      </c>
      <c r="N8059" t="str">
        <f t="shared" si="3270"/>
        <v>001105018356</v>
      </c>
      <c r="O8059" t="str">
        <f t="shared" si="3271"/>
        <v>MYR</v>
      </c>
      <c r="P8059" t="str">
        <f t="shared" si="3288"/>
        <v>NIL</v>
      </c>
      <c r="Q8059" t="str">
        <f t="shared" si="3288"/>
        <v>NIL</v>
      </c>
      <c r="R8059" t="str">
        <f t="shared" si="3285"/>
        <v>Accepted</v>
      </c>
      <c r="S8059" t="str">
        <f t="shared" si="3273"/>
        <v>Approved</v>
      </c>
      <c r="T8059" t="str">
        <f t="shared" si="3286"/>
        <v>10.20.8.188</v>
      </c>
      <c r="U8059" t="str">
        <f t="shared" si="3274"/>
        <v>AZRAD UMAR BIN SHAARI</v>
      </c>
      <c r="V8059" t="str">
        <f t="shared" si="3275"/>
        <v>FARHANA BINTI MUSTAPA</v>
      </c>
      <c r="W8059" t="str">
        <f t="shared" si="3276"/>
        <v>04-08-2020</v>
      </c>
      <c r="X8059" t="str">
        <f t="shared" si="3277"/>
        <v>RAZIMAH ANSAR AHMAD</v>
      </c>
      <c r="Y8059" t="str">
        <f t="shared" si="3278"/>
        <v>04-08-2020</v>
      </c>
      <c r="Z8059" t="str">
        <f>"COS10200804 1095"</f>
        <v>COS10200804 1095</v>
      </c>
    </row>
    <row r="8060" spans="1:26" x14ac:dyDescent="0.25">
      <c r="A8060" t="str">
        <f t="shared" si="3289"/>
        <v>04-08-2020 12:31:59</v>
      </c>
      <c r="B8060" t="str">
        <f>"0000802841"</f>
        <v>0000802841</v>
      </c>
      <c r="C8060" t="str">
        <f t="shared" si="3290"/>
        <v>0000802747</v>
      </c>
      <c r="D8060" t="str">
        <f t="shared" si="3266"/>
        <v>73185</v>
      </c>
      <c r="E8060" t="str">
        <f t="shared" si="3267"/>
        <v>KFH-OPERATIONS DEPARTMENT</v>
      </c>
      <c r="F8060" t="str">
        <f t="shared" si="3268"/>
        <v>IBG</v>
      </c>
      <c r="G8060" t="str">
        <f t="shared" si="3279"/>
        <v>Refund COSHARE 10</v>
      </c>
      <c r="H8060" s="2">
        <v>537.29999999999995</v>
      </c>
      <c r="I8060" t="str">
        <f>"MOHD AMIN BIN MOHAMED DERIL"</f>
        <v>MOHD AMIN BIN MOHAMED DERIL</v>
      </c>
      <c r="J8060" t="str">
        <f t="shared" si="3284"/>
        <v>BANK KERJASAMA RAKYAT</v>
      </c>
      <c r="K8060" t="str">
        <f>"220851065417"</f>
        <v>220851065417</v>
      </c>
      <c r="L8060" t="str">
        <f t="shared" si="3287"/>
        <v>04-08-2020</v>
      </c>
      <c r="M8060" t="str">
        <f t="shared" si="3287"/>
        <v>04-08-2020</v>
      </c>
      <c r="N8060" t="str">
        <f t="shared" si="3270"/>
        <v>001105018356</v>
      </c>
      <c r="O8060" t="str">
        <f t="shared" si="3271"/>
        <v>MYR</v>
      </c>
      <c r="P8060" t="str">
        <f t="shared" si="3288"/>
        <v>NIL</v>
      </c>
      <c r="Q8060" t="str">
        <f t="shared" si="3288"/>
        <v>NIL</v>
      </c>
      <c r="R8060" t="str">
        <f t="shared" si="3285"/>
        <v>Accepted</v>
      </c>
      <c r="S8060" t="str">
        <f t="shared" si="3273"/>
        <v>Approved</v>
      </c>
      <c r="T8060" t="str">
        <f t="shared" si="3286"/>
        <v>10.20.8.188</v>
      </c>
      <c r="U8060" t="str">
        <f t="shared" si="3274"/>
        <v>AZRAD UMAR BIN SHAARI</v>
      </c>
      <c r="V8060" t="str">
        <f t="shared" si="3275"/>
        <v>FARHANA BINTI MUSTAPA</v>
      </c>
      <c r="W8060" t="str">
        <f t="shared" si="3276"/>
        <v>04-08-2020</v>
      </c>
      <c r="X8060" t="str">
        <f t="shared" si="3277"/>
        <v>RAZIMAH ANSAR AHMAD</v>
      </c>
      <c r="Y8060" t="str">
        <f t="shared" si="3278"/>
        <v>04-08-2020</v>
      </c>
      <c r="Z8060" t="str">
        <f>"COS10200804 1094"</f>
        <v>COS10200804 1094</v>
      </c>
    </row>
    <row r="8061" spans="1:26" x14ac:dyDescent="0.25">
      <c r="A8061" t="str">
        <f t="shared" si="3289"/>
        <v>04-08-2020 12:31:59</v>
      </c>
      <c r="B8061" t="str">
        <f>"0000802840"</f>
        <v>0000802840</v>
      </c>
      <c r="C8061" t="str">
        <f t="shared" si="3290"/>
        <v>0000802747</v>
      </c>
      <c r="D8061" t="str">
        <f t="shared" si="3266"/>
        <v>73185</v>
      </c>
      <c r="E8061" t="str">
        <f t="shared" si="3267"/>
        <v>KFH-OPERATIONS DEPARTMENT</v>
      </c>
      <c r="F8061" t="str">
        <f t="shared" si="3268"/>
        <v>IBG</v>
      </c>
      <c r="G8061" t="str">
        <f t="shared" si="3279"/>
        <v>Refund COSHARE 10</v>
      </c>
      <c r="H8061" s="2">
        <v>151.15</v>
      </c>
      <c r="I8061" t="str">
        <f>"MOHD AFFENDY  ANDY BIN ABIDIN"</f>
        <v>MOHD AFFENDY  ANDY BIN ABIDIN</v>
      </c>
      <c r="J8061" t="str">
        <f t="shared" si="3284"/>
        <v>BANK KERJASAMA RAKYAT</v>
      </c>
      <c r="K8061" t="str">
        <f>"220815068746"</f>
        <v>220815068746</v>
      </c>
      <c r="L8061" t="str">
        <f t="shared" si="3287"/>
        <v>04-08-2020</v>
      </c>
      <c r="M8061" t="str">
        <f t="shared" si="3287"/>
        <v>04-08-2020</v>
      </c>
      <c r="N8061" t="str">
        <f t="shared" si="3270"/>
        <v>001105018356</v>
      </c>
      <c r="O8061" t="str">
        <f t="shared" si="3271"/>
        <v>MYR</v>
      </c>
      <c r="P8061" t="str">
        <f t="shared" si="3288"/>
        <v>NIL</v>
      </c>
      <c r="Q8061" t="str">
        <f t="shared" si="3288"/>
        <v>NIL</v>
      </c>
      <c r="R8061" t="str">
        <f t="shared" si="3285"/>
        <v>Accepted</v>
      </c>
      <c r="S8061" t="str">
        <f t="shared" si="3273"/>
        <v>Approved</v>
      </c>
      <c r="T8061" t="str">
        <f t="shared" si="3286"/>
        <v>10.20.8.188</v>
      </c>
      <c r="U8061" t="str">
        <f t="shared" si="3274"/>
        <v>AZRAD UMAR BIN SHAARI</v>
      </c>
      <c r="V8061" t="str">
        <f t="shared" si="3275"/>
        <v>FARHANA BINTI MUSTAPA</v>
      </c>
      <c r="W8061" t="str">
        <f t="shared" si="3276"/>
        <v>04-08-2020</v>
      </c>
      <c r="X8061" t="str">
        <f t="shared" si="3277"/>
        <v>RAZIMAH ANSAR AHMAD</v>
      </c>
      <c r="Y8061" t="str">
        <f t="shared" si="3278"/>
        <v>04-08-2020</v>
      </c>
      <c r="Z8061" t="str">
        <f>"COS10200804 1093"</f>
        <v>COS10200804 1093</v>
      </c>
    </row>
    <row r="8062" spans="1:26" x14ac:dyDescent="0.25">
      <c r="A8062" t="str">
        <f t="shared" si="3289"/>
        <v>04-08-2020 12:31:59</v>
      </c>
      <c r="B8062" t="str">
        <f>"0000802839"</f>
        <v>0000802839</v>
      </c>
      <c r="C8062" t="str">
        <f t="shared" si="3290"/>
        <v>0000802747</v>
      </c>
      <c r="D8062" t="str">
        <f t="shared" si="3266"/>
        <v>73185</v>
      </c>
      <c r="E8062" t="str">
        <f t="shared" si="3267"/>
        <v>KFH-OPERATIONS DEPARTMENT</v>
      </c>
      <c r="F8062" t="str">
        <f t="shared" si="3268"/>
        <v>IBG</v>
      </c>
      <c r="G8062" t="str">
        <f t="shared" si="3279"/>
        <v>Refund COSHARE 10</v>
      </c>
      <c r="H8062" s="2">
        <v>839.5</v>
      </c>
      <c r="I8062" t="str">
        <f>"MOHAMMED HAZIMAN BIN AWANG"</f>
        <v>MOHAMMED HAZIMAN BIN AWANG</v>
      </c>
      <c r="J8062" t="str">
        <f t="shared" si="3284"/>
        <v>BANK KERJASAMA RAKYAT</v>
      </c>
      <c r="K8062" t="str">
        <f>"220881051765"</f>
        <v>220881051765</v>
      </c>
      <c r="L8062" t="str">
        <f t="shared" si="3287"/>
        <v>04-08-2020</v>
      </c>
      <c r="M8062" t="str">
        <f t="shared" si="3287"/>
        <v>04-08-2020</v>
      </c>
      <c r="N8062" t="str">
        <f t="shared" si="3270"/>
        <v>001105018356</v>
      </c>
      <c r="O8062" t="str">
        <f t="shared" si="3271"/>
        <v>MYR</v>
      </c>
      <c r="P8062" t="str">
        <f t="shared" si="3288"/>
        <v>NIL</v>
      </c>
      <c r="Q8062" t="str">
        <f t="shared" si="3288"/>
        <v>NIL</v>
      </c>
      <c r="R8062" t="str">
        <f t="shared" si="3285"/>
        <v>Accepted</v>
      </c>
      <c r="S8062" t="str">
        <f t="shared" si="3273"/>
        <v>Approved</v>
      </c>
      <c r="T8062" t="str">
        <f t="shared" si="3286"/>
        <v>10.20.8.188</v>
      </c>
      <c r="U8062" t="str">
        <f t="shared" si="3274"/>
        <v>AZRAD UMAR BIN SHAARI</v>
      </c>
      <c r="V8062" t="str">
        <f t="shared" si="3275"/>
        <v>FARHANA BINTI MUSTAPA</v>
      </c>
      <c r="W8062" t="str">
        <f t="shared" si="3276"/>
        <v>04-08-2020</v>
      </c>
      <c r="X8062" t="str">
        <f t="shared" si="3277"/>
        <v>RAZIMAH ANSAR AHMAD</v>
      </c>
      <c r="Y8062" t="str">
        <f t="shared" si="3278"/>
        <v>04-08-2020</v>
      </c>
      <c r="Z8062" t="str">
        <f>"COS10200804 1092"</f>
        <v>COS10200804 1092</v>
      </c>
    </row>
    <row r="8063" spans="1:26" x14ac:dyDescent="0.25">
      <c r="A8063" t="str">
        <f t="shared" si="3289"/>
        <v>04-08-2020 12:31:59</v>
      </c>
      <c r="B8063" t="str">
        <f>"0000802838"</f>
        <v>0000802838</v>
      </c>
      <c r="C8063" t="str">
        <f t="shared" si="3290"/>
        <v>0000802747</v>
      </c>
      <c r="D8063" t="str">
        <f t="shared" si="3266"/>
        <v>73185</v>
      </c>
      <c r="E8063" t="str">
        <f t="shared" si="3267"/>
        <v>KFH-OPERATIONS DEPARTMENT</v>
      </c>
      <c r="F8063" t="str">
        <f t="shared" si="3268"/>
        <v>IBG</v>
      </c>
      <c r="G8063" t="str">
        <f t="shared" si="3279"/>
        <v>Refund COSHARE 10</v>
      </c>
      <c r="H8063" s="2">
        <v>688.4</v>
      </c>
      <c r="I8063" t="str">
        <f>"MOHAMMAD AZLY BIN AB RAHMAN"</f>
        <v>MOHAMMAD AZLY BIN AB RAHMAN</v>
      </c>
      <c r="J8063" t="str">
        <f t="shared" si="3284"/>
        <v>BANK KERJASAMA RAKYAT</v>
      </c>
      <c r="K8063" t="str">
        <f>"220621079604"</f>
        <v>220621079604</v>
      </c>
      <c r="L8063" t="str">
        <f t="shared" si="3287"/>
        <v>04-08-2020</v>
      </c>
      <c r="M8063" t="str">
        <f t="shared" si="3287"/>
        <v>04-08-2020</v>
      </c>
      <c r="N8063" t="str">
        <f t="shared" si="3270"/>
        <v>001105018356</v>
      </c>
      <c r="O8063" t="str">
        <f t="shared" si="3271"/>
        <v>MYR</v>
      </c>
      <c r="P8063" t="str">
        <f t="shared" si="3288"/>
        <v>NIL</v>
      </c>
      <c r="Q8063" t="str">
        <f t="shared" si="3288"/>
        <v>NIL</v>
      </c>
      <c r="R8063" t="str">
        <f t="shared" si="3285"/>
        <v>Accepted</v>
      </c>
      <c r="S8063" t="str">
        <f t="shared" si="3273"/>
        <v>Approved</v>
      </c>
      <c r="T8063" t="str">
        <f t="shared" si="3286"/>
        <v>10.20.8.188</v>
      </c>
      <c r="U8063" t="str">
        <f t="shared" si="3274"/>
        <v>AZRAD UMAR BIN SHAARI</v>
      </c>
      <c r="V8063" t="str">
        <f t="shared" si="3275"/>
        <v>FARHANA BINTI MUSTAPA</v>
      </c>
      <c r="W8063" t="str">
        <f t="shared" si="3276"/>
        <v>04-08-2020</v>
      </c>
      <c r="X8063" t="str">
        <f t="shared" si="3277"/>
        <v>RAZIMAH ANSAR AHMAD</v>
      </c>
      <c r="Y8063" t="str">
        <f t="shared" si="3278"/>
        <v>04-08-2020</v>
      </c>
      <c r="Z8063" t="str">
        <f>"COS10200804 1091"</f>
        <v>COS10200804 1091</v>
      </c>
    </row>
    <row r="8064" spans="1:26" x14ac:dyDescent="0.25">
      <c r="A8064" t="str">
        <f t="shared" si="3289"/>
        <v>04-08-2020 12:31:59</v>
      </c>
      <c r="B8064" t="str">
        <f>"0000802837"</f>
        <v>0000802837</v>
      </c>
      <c r="C8064" t="str">
        <f t="shared" si="3290"/>
        <v>0000802747</v>
      </c>
      <c r="D8064" t="str">
        <f t="shared" si="3266"/>
        <v>73185</v>
      </c>
      <c r="E8064" t="str">
        <f t="shared" si="3267"/>
        <v>KFH-OPERATIONS DEPARTMENT</v>
      </c>
      <c r="F8064" t="str">
        <f t="shared" si="3268"/>
        <v>IBG</v>
      </c>
      <c r="G8064" t="str">
        <f t="shared" si="3279"/>
        <v>Refund COSHARE 10</v>
      </c>
      <c r="H8064" s="2">
        <v>1049.4000000000001</v>
      </c>
      <c r="I8064" t="str">
        <f>"MOHAMMAD ASWAD BIN ISMAIL"</f>
        <v>MOHAMMAD ASWAD BIN ISMAIL</v>
      </c>
      <c r="J8064" t="str">
        <f t="shared" si="3284"/>
        <v>BANK KERJASAMA RAKYAT</v>
      </c>
      <c r="K8064" t="str">
        <f>"221091122662"</f>
        <v>221091122662</v>
      </c>
      <c r="L8064" t="str">
        <f t="shared" si="3287"/>
        <v>04-08-2020</v>
      </c>
      <c r="M8064" t="str">
        <f t="shared" si="3287"/>
        <v>04-08-2020</v>
      </c>
      <c r="N8064" t="str">
        <f t="shared" si="3270"/>
        <v>001105018356</v>
      </c>
      <c r="O8064" t="str">
        <f t="shared" si="3271"/>
        <v>MYR</v>
      </c>
      <c r="P8064" t="str">
        <f t="shared" si="3288"/>
        <v>NIL</v>
      </c>
      <c r="Q8064" t="str">
        <f t="shared" si="3288"/>
        <v>NIL</v>
      </c>
      <c r="R8064" t="str">
        <f t="shared" si="3285"/>
        <v>Accepted</v>
      </c>
      <c r="S8064" t="str">
        <f t="shared" si="3273"/>
        <v>Approved</v>
      </c>
      <c r="T8064" t="str">
        <f t="shared" si="3286"/>
        <v>10.20.8.188</v>
      </c>
      <c r="U8064" t="str">
        <f t="shared" si="3274"/>
        <v>AZRAD UMAR BIN SHAARI</v>
      </c>
      <c r="V8064" t="str">
        <f t="shared" si="3275"/>
        <v>FARHANA BINTI MUSTAPA</v>
      </c>
      <c r="W8064" t="str">
        <f t="shared" si="3276"/>
        <v>04-08-2020</v>
      </c>
      <c r="X8064" t="str">
        <f t="shared" si="3277"/>
        <v>RAZIMAH ANSAR AHMAD</v>
      </c>
      <c r="Y8064" t="str">
        <f t="shared" si="3278"/>
        <v>04-08-2020</v>
      </c>
      <c r="Z8064" t="str">
        <f>"COS10200804 1090"</f>
        <v>COS10200804 1090</v>
      </c>
    </row>
    <row r="8065" spans="1:26" x14ac:dyDescent="0.25">
      <c r="A8065" t="str">
        <f t="shared" si="3289"/>
        <v>04-08-2020 12:31:59</v>
      </c>
      <c r="B8065" t="str">
        <f>"0000802836"</f>
        <v>0000802836</v>
      </c>
      <c r="C8065" t="str">
        <f t="shared" si="3290"/>
        <v>0000802747</v>
      </c>
      <c r="D8065" t="str">
        <f t="shared" si="3266"/>
        <v>73185</v>
      </c>
      <c r="E8065" t="str">
        <f t="shared" si="3267"/>
        <v>KFH-OPERATIONS DEPARTMENT</v>
      </c>
      <c r="F8065" t="str">
        <f t="shared" si="3268"/>
        <v>IBG</v>
      </c>
      <c r="G8065" t="str">
        <f t="shared" si="3279"/>
        <v>Refund COSHARE 10</v>
      </c>
      <c r="H8065" s="2">
        <v>151.15</v>
      </c>
      <c r="I8065" t="str">
        <f>"MOHAMMAD ASWAD BIN ISMAIL"</f>
        <v>MOHAMMAD ASWAD BIN ISMAIL</v>
      </c>
      <c r="J8065" t="str">
        <f t="shared" si="3284"/>
        <v>BANK KERJASAMA RAKYAT</v>
      </c>
      <c r="K8065" t="str">
        <f>"221091122662"</f>
        <v>221091122662</v>
      </c>
      <c r="L8065" t="str">
        <f t="shared" si="3287"/>
        <v>04-08-2020</v>
      </c>
      <c r="M8065" t="str">
        <f t="shared" si="3287"/>
        <v>04-08-2020</v>
      </c>
      <c r="N8065" t="str">
        <f t="shared" si="3270"/>
        <v>001105018356</v>
      </c>
      <c r="O8065" t="str">
        <f t="shared" si="3271"/>
        <v>MYR</v>
      </c>
      <c r="P8065" t="str">
        <f t="shared" si="3288"/>
        <v>NIL</v>
      </c>
      <c r="Q8065" t="str">
        <f t="shared" si="3288"/>
        <v>NIL</v>
      </c>
      <c r="R8065" t="str">
        <f t="shared" si="3285"/>
        <v>Accepted</v>
      </c>
      <c r="S8065" t="str">
        <f t="shared" si="3273"/>
        <v>Approved</v>
      </c>
      <c r="T8065" t="str">
        <f t="shared" si="3286"/>
        <v>10.20.8.188</v>
      </c>
      <c r="U8065" t="str">
        <f t="shared" si="3274"/>
        <v>AZRAD UMAR BIN SHAARI</v>
      </c>
      <c r="V8065" t="str">
        <f t="shared" si="3275"/>
        <v>FARHANA BINTI MUSTAPA</v>
      </c>
      <c r="W8065" t="str">
        <f t="shared" si="3276"/>
        <v>04-08-2020</v>
      </c>
      <c r="X8065" t="str">
        <f t="shared" si="3277"/>
        <v>RAZIMAH ANSAR AHMAD</v>
      </c>
      <c r="Y8065" t="str">
        <f t="shared" si="3278"/>
        <v>04-08-2020</v>
      </c>
      <c r="Z8065" t="str">
        <f>"COS10200804 1089"</f>
        <v>COS10200804 1089</v>
      </c>
    </row>
    <row r="8066" spans="1:26" x14ac:dyDescent="0.25">
      <c r="A8066" t="str">
        <f t="shared" si="3289"/>
        <v>04-08-2020 12:31:59</v>
      </c>
      <c r="B8066" t="str">
        <f>"0000802835"</f>
        <v>0000802835</v>
      </c>
      <c r="C8066" t="str">
        <f t="shared" si="3290"/>
        <v>0000802747</v>
      </c>
      <c r="D8066" t="str">
        <f t="shared" si="3266"/>
        <v>73185</v>
      </c>
      <c r="E8066" t="str">
        <f t="shared" si="3267"/>
        <v>KFH-OPERATIONS DEPARTMENT</v>
      </c>
      <c r="F8066" t="str">
        <f t="shared" si="3268"/>
        <v>IBG</v>
      </c>
      <c r="G8066" t="str">
        <f t="shared" si="3279"/>
        <v>Refund COSHARE 10</v>
      </c>
      <c r="H8066" s="2">
        <v>192.15</v>
      </c>
      <c r="I8066" t="str">
        <f>"MOHAMMAD AMBIA BIN MAHMUD"</f>
        <v>MOHAMMAD AMBIA BIN MAHMUD</v>
      </c>
      <c r="J8066" t="str">
        <f t="shared" si="3284"/>
        <v>BANK KERJASAMA RAKYAT</v>
      </c>
      <c r="K8066" t="str">
        <f>"220841043280"</f>
        <v>220841043280</v>
      </c>
      <c r="L8066" t="str">
        <f t="shared" si="3287"/>
        <v>04-08-2020</v>
      </c>
      <c r="M8066" t="str">
        <f t="shared" si="3287"/>
        <v>04-08-2020</v>
      </c>
      <c r="N8066" t="str">
        <f t="shared" si="3270"/>
        <v>001105018356</v>
      </c>
      <c r="O8066" t="str">
        <f t="shared" si="3271"/>
        <v>MYR</v>
      </c>
      <c r="P8066" t="str">
        <f t="shared" si="3288"/>
        <v>NIL</v>
      </c>
      <c r="Q8066" t="str">
        <f t="shared" si="3288"/>
        <v>NIL</v>
      </c>
      <c r="R8066" t="str">
        <f t="shared" si="3285"/>
        <v>Accepted</v>
      </c>
      <c r="S8066" t="str">
        <f t="shared" si="3273"/>
        <v>Approved</v>
      </c>
      <c r="T8066" t="str">
        <f t="shared" si="3286"/>
        <v>10.20.8.188</v>
      </c>
      <c r="U8066" t="str">
        <f t="shared" si="3274"/>
        <v>AZRAD UMAR BIN SHAARI</v>
      </c>
      <c r="V8066" t="str">
        <f t="shared" si="3275"/>
        <v>FARHANA BINTI MUSTAPA</v>
      </c>
      <c r="W8066" t="str">
        <f t="shared" si="3276"/>
        <v>04-08-2020</v>
      </c>
      <c r="X8066" t="str">
        <f t="shared" si="3277"/>
        <v>RAZIMAH ANSAR AHMAD</v>
      </c>
      <c r="Y8066" t="str">
        <f t="shared" si="3278"/>
        <v>04-08-2020</v>
      </c>
      <c r="Z8066" t="str">
        <f>"COS10200804 1088"</f>
        <v>COS10200804 1088</v>
      </c>
    </row>
    <row r="8067" spans="1:26" x14ac:dyDescent="0.25">
      <c r="A8067" t="str">
        <f t="shared" si="3289"/>
        <v>04-08-2020 12:31:59</v>
      </c>
      <c r="B8067" t="str">
        <f>"0000802834"</f>
        <v>0000802834</v>
      </c>
      <c r="C8067" t="str">
        <f t="shared" si="3290"/>
        <v>0000802747</v>
      </c>
      <c r="D8067" t="str">
        <f t="shared" si="3266"/>
        <v>73185</v>
      </c>
      <c r="E8067" t="str">
        <f t="shared" si="3267"/>
        <v>KFH-OPERATIONS DEPARTMENT</v>
      </c>
      <c r="F8067" t="str">
        <f t="shared" si="3268"/>
        <v>IBG</v>
      </c>
      <c r="G8067" t="str">
        <f t="shared" si="3279"/>
        <v>Refund COSHARE 10</v>
      </c>
      <c r="H8067" s="2">
        <v>125.95</v>
      </c>
      <c r="I8067" t="str">
        <f>"MOHAMED SOFIROL BIN MOHAMED NOOR"</f>
        <v>MOHAMED SOFIROL BIN MOHAMED NOOR</v>
      </c>
      <c r="J8067" t="str">
        <f t="shared" si="3284"/>
        <v>BANK KERJASAMA RAKYAT</v>
      </c>
      <c r="K8067" t="str">
        <f>"220331344712"</f>
        <v>220331344712</v>
      </c>
      <c r="L8067" t="str">
        <f t="shared" ref="L8067:M8086" si="3291">"04-08-2020"</f>
        <v>04-08-2020</v>
      </c>
      <c r="M8067" t="str">
        <f t="shared" si="3291"/>
        <v>04-08-2020</v>
      </c>
      <c r="N8067" t="str">
        <f t="shared" si="3270"/>
        <v>001105018356</v>
      </c>
      <c r="O8067" t="str">
        <f t="shared" si="3271"/>
        <v>MYR</v>
      </c>
      <c r="P8067" t="str">
        <f t="shared" ref="P8067:Q8086" si="3292">"NIL"</f>
        <v>NIL</v>
      </c>
      <c r="Q8067" t="str">
        <f t="shared" si="3292"/>
        <v>NIL</v>
      </c>
      <c r="R8067" t="str">
        <f t="shared" si="3285"/>
        <v>Accepted</v>
      </c>
      <c r="S8067" t="str">
        <f t="shared" si="3273"/>
        <v>Approved</v>
      </c>
      <c r="T8067" t="str">
        <f t="shared" si="3286"/>
        <v>10.20.8.188</v>
      </c>
      <c r="U8067" t="str">
        <f t="shared" si="3274"/>
        <v>AZRAD UMAR BIN SHAARI</v>
      </c>
      <c r="V8067" t="str">
        <f t="shared" si="3275"/>
        <v>FARHANA BINTI MUSTAPA</v>
      </c>
      <c r="W8067" t="str">
        <f t="shared" si="3276"/>
        <v>04-08-2020</v>
      </c>
      <c r="X8067" t="str">
        <f t="shared" si="3277"/>
        <v>RAZIMAH ANSAR AHMAD</v>
      </c>
      <c r="Y8067" t="str">
        <f t="shared" si="3278"/>
        <v>04-08-2020</v>
      </c>
      <c r="Z8067" t="str">
        <f>"COS10200804 1087"</f>
        <v>COS10200804 1087</v>
      </c>
    </row>
    <row r="8068" spans="1:26" x14ac:dyDescent="0.25">
      <c r="A8068" t="str">
        <f t="shared" si="3289"/>
        <v>04-08-2020 12:31:59</v>
      </c>
      <c r="B8068" t="str">
        <f>"0000802833"</f>
        <v>0000802833</v>
      </c>
      <c r="C8068" t="str">
        <f t="shared" si="3290"/>
        <v>0000802747</v>
      </c>
      <c r="D8068" t="str">
        <f t="shared" si="3266"/>
        <v>73185</v>
      </c>
      <c r="E8068" t="str">
        <f t="shared" si="3267"/>
        <v>KFH-OPERATIONS DEPARTMENT</v>
      </c>
      <c r="F8068" t="str">
        <f t="shared" si="3268"/>
        <v>IBG</v>
      </c>
      <c r="G8068" t="str">
        <f t="shared" si="3279"/>
        <v>Refund COSHARE 10</v>
      </c>
      <c r="H8068" s="2">
        <v>50.4</v>
      </c>
      <c r="I8068" t="str">
        <f>"MOHAMED FADZAIL BIN MOHAMED ISA"</f>
        <v>MOHAMED FADZAIL BIN MOHAMED ISA</v>
      </c>
      <c r="J8068" t="str">
        <f t="shared" si="3284"/>
        <v>BANK KERJASAMA RAKYAT</v>
      </c>
      <c r="K8068" t="str">
        <f>"220201274687"</f>
        <v>220201274687</v>
      </c>
      <c r="L8068" t="str">
        <f t="shared" si="3291"/>
        <v>04-08-2020</v>
      </c>
      <c r="M8068" t="str">
        <f t="shared" si="3291"/>
        <v>04-08-2020</v>
      </c>
      <c r="N8068" t="str">
        <f t="shared" si="3270"/>
        <v>001105018356</v>
      </c>
      <c r="O8068" t="str">
        <f t="shared" si="3271"/>
        <v>MYR</v>
      </c>
      <c r="P8068" t="str">
        <f t="shared" si="3292"/>
        <v>NIL</v>
      </c>
      <c r="Q8068" t="str">
        <f t="shared" si="3292"/>
        <v>NIL</v>
      </c>
      <c r="R8068" t="str">
        <f t="shared" si="3285"/>
        <v>Accepted</v>
      </c>
      <c r="S8068" t="str">
        <f t="shared" si="3273"/>
        <v>Approved</v>
      </c>
      <c r="T8068" t="str">
        <f t="shared" si="3286"/>
        <v>10.20.8.188</v>
      </c>
      <c r="U8068" t="str">
        <f t="shared" si="3274"/>
        <v>AZRAD UMAR BIN SHAARI</v>
      </c>
      <c r="V8068" t="str">
        <f t="shared" si="3275"/>
        <v>FARHANA BINTI MUSTAPA</v>
      </c>
      <c r="W8068" t="str">
        <f t="shared" si="3276"/>
        <v>04-08-2020</v>
      </c>
      <c r="X8068" t="str">
        <f t="shared" si="3277"/>
        <v>RAZIMAH ANSAR AHMAD</v>
      </c>
      <c r="Y8068" t="str">
        <f t="shared" si="3278"/>
        <v>04-08-2020</v>
      </c>
      <c r="Z8068" t="str">
        <f>"COS10200804 1086"</f>
        <v>COS10200804 1086</v>
      </c>
    </row>
    <row r="8069" spans="1:26" x14ac:dyDescent="0.25">
      <c r="A8069" t="str">
        <f t="shared" si="3289"/>
        <v>04-08-2020 12:31:59</v>
      </c>
      <c r="B8069" t="str">
        <f>"0000802832"</f>
        <v>0000802832</v>
      </c>
      <c r="C8069" t="str">
        <f t="shared" si="3290"/>
        <v>0000802747</v>
      </c>
      <c r="D8069" t="str">
        <f t="shared" si="3266"/>
        <v>73185</v>
      </c>
      <c r="E8069" t="str">
        <f t="shared" si="3267"/>
        <v>KFH-OPERATIONS DEPARTMENT</v>
      </c>
      <c r="F8069" t="str">
        <f t="shared" si="3268"/>
        <v>IBG</v>
      </c>
      <c r="G8069" t="str">
        <f t="shared" si="3279"/>
        <v>Refund COSHARE 10</v>
      </c>
      <c r="H8069" s="2">
        <v>50.4</v>
      </c>
      <c r="I8069" t="str">
        <f>"MOHAMED FADZAIL BIN MOHAMED ISA"</f>
        <v>MOHAMED FADZAIL BIN MOHAMED ISA</v>
      </c>
      <c r="J8069" t="str">
        <f t="shared" si="3284"/>
        <v>BANK KERJASAMA RAKYAT</v>
      </c>
      <c r="K8069" t="str">
        <f>"220201274687"</f>
        <v>220201274687</v>
      </c>
      <c r="L8069" t="str">
        <f t="shared" si="3291"/>
        <v>04-08-2020</v>
      </c>
      <c r="M8069" t="str">
        <f t="shared" si="3291"/>
        <v>04-08-2020</v>
      </c>
      <c r="N8069" t="str">
        <f t="shared" si="3270"/>
        <v>001105018356</v>
      </c>
      <c r="O8069" t="str">
        <f t="shared" si="3271"/>
        <v>MYR</v>
      </c>
      <c r="P8069" t="str">
        <f t="shared" si="3292"/>
        <v>NIL</v>
      </c>
      <c r="Q8069" t="str">
        <f t="shared" si="3292"/>
        <v>NIL</v>
      </c>
      <c r="R8069" t="str">
        <f t="shared" si="3285"/>
        <v>Accepted</v>
      </c>
      <c r="S8069" t="str">
        <f t="shared" si="3273"/>
        <v>Approved</v>
      </c>
      <c r="T8069" t="str">
        <f t="shared" si="3286"/>
        <v>10.20.8.188</v>
      </c>
      <c r="U8069" t="str">
        <f t="shared" si="3274"/>
        <v>AZRAD UMAR BIN SHAARI</v>
      </c>
      <c r="V8069" t="str">
        <f t="shared" si="3275"/>
        <v>FARHANA BINTI MUSTAPA</v>
      </c>
      <c r="W8069" t="str">
        <f t="shared" si="3276"/>
        <v>04-08-2020</v>
      </c>
      <c r="X8069" t="str">
        <f t="shared" si="3277"/>
        <v>RAZIMAH ANSAR AHMAD</v>
      </c>
      <c r="Y8069" t="str">
        <f t="shared" si="3278"/>
        <v>04-08-2020</v>
      </c>
      <c r="Z8069" t="str">
        <f>"COS10200804 1085"</f>
        <v>COS10200804 1085</v>
      </c>
    </row>
    <row r="8070" spans="1:26" x14ac:dyDescent="0.25">
      <c r="A8070" t="str">
        <f t="shared" si="3289"/>
        <v>04-08-2020 12:31:59</v>
      </c>
      <c r="B8070" t="str">
        <f>"0000802831"</f>
        <v>0000802831</v>
      </c>
      <c r="C8070" t="str">
        <f t="shared" si="3290"/>
        <v>0000802747</v>
      </c>
      <c r="D8070" t="str">
        <f t="shared" si="3266"/>
        <v>73185</v>
      </c>
      <c r="E8070" t="str">
        <f t="shared" si="3267"/>
        <v>KFH-OPERATIONS DEPARTMENT</v>
      </c>
      <c r="F8070" t="str">
        <f t="shared" si="3268"/>
        <v>IBG</v>
      </c>
      <c r="G8070" t="str">
        <f t="shared" si="3279"/>
        <v>Refund COSHARE 10</v>
      </c>
      <c r="H8070" s="2">
        <v>301.7</v>
      </c>
      <c r="I8070" t="str">
        <f>"MOHAMAD ZAMRY BIN SEMAN"</f>
        <v>MOHAMAD ZAMRY BIN SEMAN</v>
      </c>
      <c r="J8070" t="str">
        <f t="shared" si="3284"/>
        <v>BANK KERJASAMA RAKYAT</v>
      </c>
      <c r="K8070" t="str">
        <f>"220341103039"</f>
        <v>220341103039</v>
      </c>
      <c r="L8070" t="str">
        <f t="shared" si="3291"/>
        <v>04-08-2020</v>
      </c>
      <c r="M8070" t="str">
        <f t="shared" si="3291"/>
        <v>04-08-2020</v>
      </c>
      <c r="N8070" t="str">
        <f t="shared" si="3270"/>
        <v>001105018356</v>
      </c>
      <c r="O8070" t="str">
        <f t="shared" si="3271"/>
        <v>MYR</v>
      </c>
      <c r="P8070" t="str">
        <f t="shared" si="3292"/>
        <v>NIL</v>
      </c>
      <c r="Q8070" t="str">
        <f t="shared" si="3292"/>
        <v>NIL</v>
      </c>
      <c r="R8070" t="str">
        <f t="shared" si="3285"/>
        <v>Accepted</v>
      </c>
      <c r="S8070" t="str">
        <f t="shared" si="3273"/>
        <v>Approved</v>
      </c>
      <c r="T8070" t="str">
        <f t="shared" si="3286"/>
        <v>10.20.8.188</v>
      </c>
      <c r="U8070" t="str">
        <f t="shared" si="3274"/>
        <v>AZRAD UMAR BIN SHAARI</v>
      </c>
      <c r="V8070" t="str">
        <f t="shared" si="3275"/>
        <v>FARHANA BINTI MUSTAPA</v>
      </c>
      <c r="W8070" t="str">
        <f t="shared" si="3276"/>
        <v>04-08-2020</v>
      </c>
      <c r="X8070" t="str">
        <f t="shared" si="3277"/>
        <v>RAZIMAH ANSAR AHMAD</v>
      </c>
      <c r="Y8070" t="str">
        <f t="shared" si="3278"/>
        <v>04-08-2020</v>
      </c>
      <c r="Z8070" t="str">
        <f>"COS10200804 1084"</f>
        <v>COS10200804 1084</v>
      </c>
    </row>
    <row r="8071" spans="1:26" x14ac:dyDescent="0.25">
      <c r="A8071" t="str">
        <f t="shared" si="3289"/>
        <v>04-08-2020 12:31:59</v>
      </c>
      <c r="B8071" t="str">
        <f>"0000802830"</f>
        <v>0000802830</v>
      </c>
      <c r="C8071" t="str">
        <f t="shared" si="3290"/>
        <v>0000802747</v>
      </c>
      <c r="D8071" t="str">
        <f t="shared" ref="D8071:D8134" si="3293">"73185"</f>
        <v>73185</v>
      </c>
      <c r="E8071" t="str">
        <f t="shared" ref="E8071:E8134" si="3294">"KFH-OPERATIONS DEPARTMENT"</f>
        <v>KFH-OPERATIONS DEPARTMENT</v>
      </c>
      <c r="F8071" t="str">
        <f t="shared" ref="F8071:F8134" si="3295">"IBG"</f>
        <v>IBG</v>
      </c>
      <c r="G8071" t="str">
        <f t="shared" si="3279"/>
        <v>Refund COSHARE 10</v>
      </c>
      <c r="H8071" s="2">
        <v>86</v>
      </c>
      <c r="I8071" t="str">
        <f>"MOHAMAD ZAKARIA BIN MOHAMAD KASSIM"</f>
        <v>MOHAMAD ZAKARIA BIN MOHAMAD KASSIM</v>
      </c>
      <c r="J8071" t="str">
        <f t="shared" si="3284"/>
        <v>BANK KERJASAMA RAKYAT</v>
      </c>
      <c r="K8071" t="str">
        <f>"220088160865"</f>
        <v>220088160865</v>
      </c>
      <c r="L8071" t="str">
        <f t="shared" si="3291"/>
        <v>04-08-2020</v>
      </c>
      <c r="M8071" t="str">
        <f t="shared" si="3291"/>
        <v>04-08-2020</v>
      </c>
      <c r="N8071" t="str">
        <f t="shared" ref="N8071:N8134" si="3296">"001105018356"</f>
        <v>001105018356</v>
      </c>
      <c r="O8071" t="str">
        <f t="shared" ref="O8071:O8134" si="3297">"MYR"</f>
        <v>MYR</v>
      </c>
      <c r="P8071" t="str">
        <f t="shared" si="3292"/>
        <v>NIL</v>
      </c>
      <c r="Q8071" t="str">
        <f t="shared" si="3292"/>
        <v>NIL</v>
      </c>
      <c r="R8071" t="str">
        <f t="shared" si="3285"/>
        <v>Accepted</v>
      </c>
      <c r="S8071" t="str">
        <f t="shared" ref="S8071:S8134" si="3298">"Approved"</f>
        <v>Approved</v>
      </c>
      <c r="T8071" t="str">
        <f t="shared" si="3286"/>
        <v>10.20.8.188</v>
      </c>
      <c r="U8071" t="str">
        <f t="shared" ref="U8071:U8134" si="3299">"AZRAD UMAR BIN SHAARI"</f>
        <v>AZRAD UMAR BIN SHAARI</v>
      </c>
      <c r="V8071" t="str">
        <f t="shared" ref="V8071:V8134" si="3300">"FARHANA BINTI MUSTAPA"</f>
        <v>FARHANA BINTI MUSTAPA</v>
      </c>
      <c r="W8071" t="str">
        <f t="shared" ref="W8071:W8134" si="3301">"04-08-2020"</f>
        <v>04-08-2020</v>
      </c>
      <c r="X8071" t="str">
        <f t="shared" ref="X8071:X8134" si="3302">"RAZIMAH ANSAR AHMAD"</f>
        <v>RAZIMAH ANSAR AHMAD</v>
      </c>
      <c r="Y8071" t="str">
        <f t="shared" ref="Y8071:Y8134" si="3303">"04-08-2020"</f>
        <v>04-08-2020</v>
      </c>
      <c r="Z8071" t="str">
        <f>"COS10200804 1083"</f>
        <v>COS10200804 1083</v>
      </c>
    </row>
    <row r="8072" spans="1:26" x14ac:dyDescent="0.25">
      <c r="A8072" t="str">
        <f t="shared" si="3289"/>
        <v>04-08-2020 12:31:59</v>
      </c>
      <c r="B8072" t="str">
        <f>"0000802829"</f>
        <v>0000802829</v>
      </c>
      <c r="C8072" t="str">
        <f t="shared" si="3290"/>
        <v>0000802747</v>
      </c>
      <c r="D8072" t="str">
        <f t="shared" si="3293"/>
        <v>73185</v>
      </c>
      <c r="E8072" t="str">
        <f t="shared" si="3294"/>
        <v>KFH-OPERATIONS DEPARTMENT</v>
      </c>
      <c r="F8072" t="str">
        <f t="shared" si="3295"/>
        <v>IBG</v>
      </c>
      <c r="G8072" t="str">
        <f t="shared" si="3279"/>
        <v>Refund COSHARE 10</v>
      </c>
      <c r="H8072" s="2">
        <v>1250.8499999999999</v>
      </c>
      <c r="I8072" t="str">
        <f>"MOHAMAD TARMIZI BIN MAT ROS"</f>
        <v>MOHAMAD TARMIZI BIN MAT ROS</v>
      </c>
      <c r="J8072" t="str">
        <f t="shared" si="3284"/>
        <v>BANK KERJASAMA RAKYAT</v>
      </c>
      <c r="K8072" t="str">
        <f>"220311002939"</f>
        <v>220311002939</v>
      </c>
      <c r="L8072" t="str">
        <f t="shared" si="3291"/>
        <v>04-08-2020</v>
      </c>
      <c r="M8072" t="str">
        <f t="shared" si="3291"/>
        <v>04-08-2020</v>
      </c>
      <c r="N8072" t="str">
        <f t="shared" si="3296"/>
        <v>001105018356</v>
      </c>
      <c r="O8072" t="str">
        <f t="shared" si="3297"/>
        <v>MYR</v>
      </c>
      <c r="P8072" t="str">
        <f t="shared" si="3292"/>
        <v>NIL</v>
      </c>
      <c r="Q8072" t="str">
        <f t="shared" si="3292"/>
        <v>NIL</v>
      </c>
      <c r="R8072" t="str">
        <f t="shared" si="3285"/>
        <v>Accepted</v>
      </c>
      <c r="S8072" t="str">
        <f t="shared" si="3298"/>
        <v>Approved</v>
      </c>
      <c r="T8072" t="str">
        <f t="shared" si="3286"/>
        <v>10.20.8.188</v>
      </c>
      <c r="U8072" t="str">
        <f t="shared" si="3299"/>
        <v>AZRAD UMAR BIN SHAARI</v>
      </c>
      <c r="V8072" t="str">
        <f t="shared" si="3300"/>
        <v>FARHANA BINTI MUSTAPA</v>
      </c>
      <c r="W8072" t="str">
        <f t="shared" si="3301"/>
        <v>04-08-2020</v>
      </c>
      <c r="X8072" t="str">
        <f t="shared" si="3302"/>
        <v>RAZIMAH ANSAR AHMAD</v>
      </c>
      <c r="Y8072" t="str">
        <f t="shared" si="3303"/>
        <v>04-08-2020</v>
      </c>
      <c r="Z8072" t="str">
        <f>"COS10200804 1082"</f>
        <v>COS10200804 1082</v>
      </c>
    </row>
    <row r="8073" spans="1:26" x14ac:dyDescent="0.25">
      <c r="A8073" t="str">
        <f t="shared" si="3289"/>
        <v>04-08-2020 12:31:59</v>
      </c>
      <c r="B8073" t="str">
        <f>"0000802828"</f>
        <v>0000802828</v>
      </c>
      <c r="C8073" t="str">
        <f t="shared" si="3290"/>
        <v>0000802747</v>
      </c>
      <c r="D8073" t="str">
        <f t="shared" si="3293"/>
        <v>73185</v>
      </c>
      <c r="E8073" t="str">
        <f t="shared" si="3294"/>
        <v>KFH-OPERATIONS DEPARTMENT</v>
      </c>
      <c r="F8073" t="str">
        <f t="shared" si="3295"/>
        <v>IBG</v>
      </c>
      <c r="G8073" t="str">
        <f t="shared" si="3279"/>
        <v>Refund COSHARE 10</v>
      </c>
      <c r="H8073" s="2">
        <v>705.2</v>
      </c>
      <c r="I8073" t="str">
        <f>"MOHAMAD SABANDY BIN MUHUTAR"</f>
        <v>MOHAMAD SABANDY BIN MUHUTAR</v>
      </c>
      <c r="J8073" t="str">
        <f t="shared" si="3284"/>
        <v>BANK KERJASAMA RAKYAT</v>
      </c>
      <c r="K8073" t="str">
        <f>"220531600221"</f>
        <v>220531600221</v>
      </c>
      <c r="L8073" t="str">
        <f t="shared" si="3291"/>
        <v>04-08-2020</v>
      </c>
      <c r="M8073" t="str">
        <f t="shared" si="3291"/>
        <v>04-08-2020</v>
      </c>
      <c r="N8073" t="str">
        <f t="shared" si="3296"/>
        <v>001105018356</v>
      </c>
      <c r="O8073" t="str">
        <f t="shared" si="3297"/>
        <v>MYR</v>
      </c>
      <c r="P8073" t="str">
        <f t="shared" si="3292"/>
        <v>NIL</v>
      </c>
      <c r="Q8073" t="str">
        <f t="shared" si="3292"/>
        <v>NIL</v>
      </c>
      <c r="R8073" t="str">
        <f t="shared" si="3285"/>
        <v>Accepted</v>
      </c>
      <c r="S8073" t="str">
        <f t="shared" si="3298"/>
        <v>Approved</v>
      </c>
      <c r="T8073" t="str">
        <f t="shared" si="3286"/>
        <v>10.20.8.188</v>
      </c>
      <c r="U8073" t="str">
        <f t="shared" si="3299"/>
        <v>AZRAD UMAR BIN SHAARI</v>
      </c>
      <c r="V8073" t="str">
        <f t="shared" si="3300"/>
        <v>FARHANA BINTI MUSTAPA</v>
      </c>
      <c r="W8073" t="str">
        <f t="shared" si="3301"/>
        <v>04-08-2020</v>
      </c>
      <c r="X8073" t="str">
        <f t="shared" si="3302"/>
        <v>RAZIMAH ANSAR AHMAD</v>
      </c>
      <c r="Y8073" t="str">
        <f t="shared" si="3303"/>
        <v>04-08-2020</v>
      </c>
      <c r="Z8073" t="str">
        <f>"COS10200804 1081"</f>
        <v>COS10200804 1081</v>
      </c>
    </row>
    <row r="8074" spans="1:26" x14ac:dyDescent="0.25">
      <c r="A8074" t="str">
        <f t="shared" si="3289"/>
        <v>04-08-2020 12:31:59</v>
      </c>
      <c r="B8074" t="str">
        <f>"0000802827"</f>
        <v>0000802827</v>
      </c>
      <c r="C8074" t="str">
        <f t="shared" si="3290"/>
        <v>0000802747</v>
      </c>
      <c r="D8074" t="str">
        <f t="shared" si="3293"/>
        <v>73185</v>
      </c>
      <c r="E8074" t="str">
        <f t="shared" si="3294"/>
        <v>KFH-OPERATIONS DEPARTMENT</v>
      </c>
      <c r="F8074" t="str">
        <f t="shared" si="3295"/>
        <v>IBG</v>
      </c>
      <c r="G8074" t="str">
        <f t="shared" si="3279"/>
        <v>Refund COSHARE 10</v>
      </c>
      <c r="H8074" s="2">
        <v>847.9</v>
      </c>
      <c r="I8074" t="str">
        <f>"MOHAMAD RUSSAZLI BIN MOHAMAD RUSDIN"</f>
        <v>MOHAMAD RUSSAZLI BIN MOHAMAD RUSDIN</v>
      </c>
      <c r="J8074" t="str">
        <f t="shared" si="3284"/>
        <v>BANK KERJASAMA RAKYAT</v>
      </c>
      <c r="K8074" t="str">
        <f>"221031122669"</f>
        <v>221031122669</v>
      </c>
      <c r="L8074" t="str">
        <f t="shared" si="3291"/>
        <v>04-08-2020</v>
      </c>
      <c r="M8074" t="str">
        <f t="shared" si="3291"/>
        <v>04-08-2020</v>
      </c>
      <c r="N8074" t="str">
        <f t="shared" si="3296"/>
        <v>001105018356</v>
      </c>
      <c r="O8074" t="str">
        <f t="shared" si="3297"/>
        <v>MYR</v>
      </c>
      <c r="P8074" t="str">
        <f t="shared" si="3292"/>
        <v>NIL</v>
      </c>
      <c r="Q8074" t="str">
        <f t="shared" si="3292"/>
        <v>NIL</v>
      </c>
      <c r="R8074" t="str">
        <f t="shared" si="3285"/>
        <v>Accepted</v>
      </c>
      <c r="S8074" t="str">
        <f t="shared" si="3298"/>
        <v>Approved</v>
      </c>
      <c r="T8074" t="str">
        <f t="shared" si="3286"/>
        <v>10.20.8.188</v>
      </c>
      <c r="U8074" t="str">
        <f t="shared" si="3299"/>
        <v>AZRAD UMAR BIN SHAARI</v>
      </c>
      <c r="V8074" t="str">
        <f t="shared" si="3300"/>
        <v>FARHANA BINTI MUSTAPA</v>
      </c>
      <c r="W8074" t="str">
        <f t="shared" si="3301"/>
        <v>04-08-2020</v>
      </c>
      <c r="X8074" t="str">
        <f t="shared" si="3302"/>
        <v>RAZIMAH ANSAR AHMAD</v>
      </c>
      <c r="Y8074" t="str">
        <f t="shared" si="3303"/>
        <v>04-08-2020</v>
      </c>
      <c r="Z8074" t="str">
        <f>"COS10200804 1080"</f>
        <v>COS10200804 1080</v>
      </c>
    </row>
    <row r="8075" spans="1:26" x14ac:dyDescent="0.25">
      <c r="A8075" t="str">
        <f t="shared" si="3289"/>
        <v>04-08-2020 12:31:59</v>
      </c>
      <c r="B8075" t="str">
        <f>"0000802826"</f>
        <v>0000802826</v>
      </c>
      <c r="C8075" t="str">
        <f t="shared" si="3290"/>
        <v>0000802747</v>
      </c>
      <c r="D8075" t="str">
        <f t="shared" si="3293"/>
        <v>73185</v>
      </c>
      <c r="E8075" t="str">
        <f t="shared" si="3294"/>
        <v>KFH-OPERATIONS DEPARTMENT</v>
      </c>
      <c r="F8075" t="str">
        <f t="shared" si="3295"/>
        <v>IBG</v>
      </c>
      <c r="G8075" t="str">
        <f t="shared" si="3279"/>
        <v>Refund COSHARE 10</v>
      </c>
      <c r="H8075" s="2">
        <v>780.75</v>
      </c>
      <c r="I8075" t="str">
        <f>"MOHAMAD ROSDI BIN MOHD TIJAN"</f>
        <v>MOHAMAD ROSDI BIN MOHD TIJAN</v>
      </c>
      <c r="J8075" t="str">
        <f t="shared" si="3284"/>
        <v>BANK KERJASAMA RAKYAT</v>
      </c>
      <c r="K8075" t="str">
        <f>"220851113145"</f>
        <v>220851113145</v>
      </c>
      <c r="L8075" t="str">
        <f t="shared" si="3291"/>
        <v>04-08-2020</v>
      </c>
      <c r="M8075" t="str">
        <f t="shared" si="3291"/>
        <v>04-08-2020</v>
      </c>
      <c r="N8075" t="str">
        <f t="shared" si="3296"/>
        <v>001105018356</v>
      </c>
      <c r="O8075" t="str">
        <f t="shared" si="3297"/>
        <v>MYR</v>
      </c>
      <c r="P8075" t="str">
        <f t="shared" si="3292"/>
        <v>NIL</v>
      </c>
      <c r="Q8075" t="str">
        <f t="shared" si="3292"/>
        <v>NIL</v>
      </c>
      <c r="R8075" t="str">
        <f t="shared" si="3285"/>
        <v>Accepted</v>
      </c>
      <c r="S8075" t="str">
        <f t="shared" si="3298"/>
        <v>Approved</v>
      </c>
      <c r="T8075" t="str">
        <f t="shared" si="3286"/>
        <v>10.20.8.188</v>
      </c>
      <c r="U8075" t="str">
        <f t="shared" si="3299"/>
        <v>AZRAD UMAR BIN SHAARI</v>
      </c>
      <c r="V8075" t="str">
        <f t="shared" si="3300"/>
        <v>FARHANA BINTI MUSTAPA</v>
      </c>
      <c r="W8075" t="str">
        <f t="shared" si="3301"/>
        <v>04-08-2020</v>
      </c>
      <c r="X8075" t="str">
        <f t="shared" si="3302"/>
        <v>RAZIMAH ANSAR AHMAD</v>
      </c>
      <c r="Y8075" t="str">
        <f t="shared" si="3303"/>
        <v>04-08-2020</v>
      </c>
      <c r="Z8075" t="str">
        <f>"COS10200804 1079"</f>
        <v>COS10200804 1079</v>
      </c>
    </row>
    <row r="8076" spans="1:26" x14ac:dyDescent="0.25">
      <c r="A8076" t="str">
        <f t="shared" si="3289"/>
        <v>04-08-2020 12:31:59</v>
      </c>
      <c r="B8076" t="str">
        <f>"0000802825"</f>
        <v>0000802825</v>
      </c>
      <c r="C8076" t="str">
        <f t="shared" si="3290"/>
        <v>0000802747</v>
      </c>
      <c r="D8076" t="str">
        <f t="shared" si="3293"/>
        <v>73185</v>
      </c>
      <c r="E8076" t="str">
        <f t="shared" si="3294"/>
        <v>KFH-OPERATIONS DEPARTMENT</v>
      </c>
      <c r="F8076" t="str">
        <f t="shared" si="3295"/>
        <v>IBG</v>
      </c>
      <c r="G8076" t="str">
        <f t="shared" ref="G8076:G8139" si="3304">"Refund COSHARE 10"</f>
        <v>Refund COSHARE 10</v>
      </c>
      <c r="H8076" s="2">
        <v>1049.2</v>
      </c>
      <c r="I8076" t="str">
        <f>"MOHAMAD KAMAL BIN BANDONG"</f>
        <v>MOHAMAD KAMAL BIN BANDONG</v>
      </c>
      <c r="J8076" t="str">
        <f t="shared" si="3284"/>
        <v>BANK KERJASAMA RAKYAT</v>
      </c>
      <c r="K8076" t="str">
        <f>"220731040633"</f>
        <v>220731040633</v>
      </c>
      <c r="L8076" t="str">
        <f t="shared" si="3291"/>
        <v>04-08-2020</v>
      </c>
      <c r="M8076" t="str">
        <f t="shared" si="3291"/>
        <v>04-08-2020</v>
      </c>
      <c r="N8076" t="str">
        <f t="shared" si="3296"/>
        <v>001105018356</v>
      </c>
      <c r="O8076" t="str">
        <f t="shared" si="3297"/>
        <v>MYR</v>
      </c>
      <c r="P8076" t="str">
        <f t="shared" si="3292"/>
        <v>NIL</v>
      </c>
      <c r="Q8076" t="str">
        <f t="shared" si="3292"/>
        <v>NIL</v>
      </c>
      <c r="R8076" t="str">
        <f t="shared" si="3285"/>
        <v>Accepted</v>
      </c>
      <c r="S8076" t="str">
        <f t="shared" si="3298"/>
        <v>Approved</v>
      </c>
      <c r="T8076" t="str">
        <f t="shared" si="3286"/>
        <v>10.20.8.188</v>
      </c>
      <c r="U8076" t="str">
        <f t="shared" si="3299"/>
        <v>AZRAD UMAR BIN SHAARI</v>
      </c>
      <c r="V8076" t="str">
        <f t="shared" si="3300"/>
        <v>FARHANA BINTI MUSTAPA</v>
      </c>
      <c r="W8076" t="str">
        <f t="shared" si="3301"/>
        <v>04-08-2020</v>
      </c>
      <c r="X8076" t="str">
        <f t="shared" si="3302"/>
        <v>RAZIMAH ANSAR AHMAD</v>
      </c>
      <c r="Y8076" t="str">
        <f t="shared" si="3303"/>
        <v>04-08-2020</v>
      </c>
      <c r="Z8076" t="str">
        <f>"COS10200804 1078"</f>
        <v>COS10200804 1078</v>
      </c>
    </row>
    <row r="8077" spans="1:26" x14ac:dyDescent="0.25">
      <c r="A8077" t="str">
        <f t="shared" si="3289"/>
        <v>04-08-2020 12:31:59</v>
      </c>
      <c r="B8077" t="str">
        <f>"0000802824"</f>
        <v>0000802824</v>
      </c>
      <c r="C8077" t="str">
        <f t="shared" si="3290"/>
        <v>0000802747</v>
      </c>
      <c r="D8077" t="str">
        <f t="shared" si="3293"/>
        <v>73185</v>
      </c>
      <c r="E8077" t="str">
        <f t="shared" si="3294"/>
        <v>KFH-OPERATIONS DEPARTMENT</v>
      </c>
      <c r="F8077" t="str">
        <f t="shared" si="3295"/>
        <v>IBG</v>
      </c>
      <c r="G8077" t="str">
        <f t="shared" si="3304"/>
        <v>Refund COSHARE 10</v>
      </c>
      <c r="H8077" s="2">
        <v>92.35</v>
      </c>
      <c r="I8077" t="str">
        <f>"MOHAMAD IRWAN BIN ABDUL HAMID"</f>
        <v>MOHAMAD IRWAN BIN ABDUL HAMID</v>
      </c>
      <c r="J8077" t="str">
        <f t="shared" si="3284"/>
        <v>BANK KERJASAMA RAKYAT</v>
      </c>
      <c r="K8077" t="str">
        <f>"220741056307"</f>
        <v>220741056307</v>
      </c>
      <c r="L8077" t="str">
        <f t="shared" si="3291"/>
        <v>04-08-2020</v>
      </c>
      <c r="M8077" t="str">
        <f t="shared" si="3291"/>
        <v>04-08-2020</v>
      </c>
      <c r="N8077" t="str">
        <f t="shared" si="3296"/>
        <v>001105018356</v>
      </c>
      <c r="O8077" t="str">
        <f t="shared" si="3297"/>
        <v>MYR</v>
      </c>
      <c r="P8077" t="str">
        <f t="shared" si="3292"/>
        <v>NIL</v>
      </c>
      <c r="Q8077" t="str">
        <f t="shared" si="3292"/>
        <v>NIL</v>
      </c>
      <c r="R8077" t="str">
        <f t="shared" si="3285"/>
        <v>Accepted</v>
      </c>
      <c r="S8077" t="str">
        <f t="shared" si="3298"/>
        <v>Approved</v>
      </c>
      <c r="T8077" t="str">
        <f t="shared" si="3286"/>
        <v>10.20.8.188</v>
      </c>
      <c r="U8077" t="str">
        <f t="shared" si="3299"/>
        <v>AZRAD UMAR BIN SHAARI</v>
      </c>
      <c r="V8077" t="str">
        <f t="shared" si="3300"/>
        <v>FARHANA BINTI MUSTAPA</v>
      </c>
      <c r="W8077" t="str">
        <f t="shared" si="3301"/>
        <v>04-08-2020</v>
      </c>
      <c r="X8077" t="str">
        <f t="shared" si="3302"/>
        <v>RAZIMAH ANSAR AHMAD</v>
      </c>
      <c r="Y8077" t="str">
        <f t="shared" si="3303"/>
        <v>04-08-2020</v>
      </c>
      <c r="Z8077" t="str">
        <f>"COS10200804 1077"</f>
        <v>COS10200804 1077</v>
      </c>
    </row>
    <row r="8078" spans="1:26" x14ac:dyDescent="0.25">
      <c r="A8078" t="str">
        <f t="shared" si="3289"/>
        <v>04-08-2020 12:31:59</v>
      </c>
      <c r="B8078" t="str">
        <f>"0000802823"</f>
        <v>0000802823</v>
      </c>
      <c r="C8078" t="str">
        <f t="shared" si="3290"/>
        <v>0000802747</v>
      </c>
      <c r="D8078" t="str">
        <f t="shared" si="3293"/>
        <v>73185</v>
      </c>
      <c r="E8078" t="str">
        <f t="shared" si="3294"/>
        <v>KFH-OPERATIONS DEPARTMENT</v>
      </c>
      <c r="F8078" t="str">
        <f t="shared" si="3295"/>
        <v>IBG</v>
      </c>
      <c r="G8078" t="str">
        <f t="shared" si="3304"/>
        <v>Refund COSHARE 10</v>
      </c>
      <c r="H8078" s="2">
        <v>759</v>
      </c>
      <c r="I8078" t="str">
        <f>"MOHAMAD FITRI AZHAR BIN MASTOR"</f>
        <v>MOHAMAD FITRI AZHAR BIN MASTOR</v>
      </c>
      <c r="J8078" t="str">
        <f t="shared" si="3284"/>
        <v>BANK KERJASAMA RAKYAT</v>
      </c>
      <c r="K8078" t="str">
        <f>"220591247116"</f>
        <v>220591247116</v>
      </c>
      <c r="L8078" t="str">
        <f t="shared" si="3291"/>
        <v>04-08-2020</v>
      </c>
      <c r="M8078" t="str">
        <f t="shared" si="3291"/>
        <v>04-08-2020</v>
      </c>
      <c r="N8078" t="str">
        <f t="shared" si="3296"/>
        <v>001105018356</v>
      </c>
      <c r="O8078" t="str">
        <f t="shared" si="3297"/>
        <v>MYR</v>
      </c>
      <c r="P8078" t="str">
        <f t="shared" si="3292"/>
        <v>NIL</v>
      </c>
      <c r="Q8078" t="str">
        <f t="shared" si="3292"/>
        <v>NIL</v>
      </c>
      <c r="R8078" t="str">
        <f t="shared" si="3285"/>
        <v>Accepted</v>
      </c>
      <c r="S8078" t="str">
        <f t="shared" si="3298"/>
        <v>Approved</v>
      </c>
      <c r="T8078" t="str">
        <f t="shared" si="3286"/>
        <v>10.20.8.188</v>
      </c>
      <c r="U8078" t="str">
        <f t="shared" si="3299"/>
        <v>AZRAD UMAR BIN SHAARI</v>
      </c>
      <c r="V8078" t="str">
        <f t="shared" si="3300"/>
        <v>FARHANA BINTI MUSTAPA</v>
      </c>
      <c r="W8078" t="str">
        <f t="shared" si="3301"/>
        <v>04-08-2020</v>
      </c>
      <c r="X8078" t="str">
        <f t="shared" si="3302"/>
        <v>RAZIMAH ANSAR AHMAD</v>
      </c>
      <c r="Y8078" t="str">
        <f t="shared" si="3303"/>
        <v>04-08-2020</v>
      </c>
      <c r="Z8078" t="str">
        <f>"COS10200804 1076"</f>
        <v>COS10200804 1076</v>
      </c>
    </row>
    <row r="8079" spans="1:26" x14ac:dyDescent="0.25">
      <c r="A8079" t="str">
        <f t="shared" si="3289"/>
        <v>04-08-2020 12:31:59</v>
      </c>
      <c r="B8079" t="str">
        <f>"0000802822"</f>
        <v>0000802822</v>
      </c>
      <c r="C8079" t="str">
        <f t="shared" si="3290"/>
        <v>0000802747</v>
      </c>
      <c r="D8079" t="str">
        <f t="shared" si="3293"/>
        <v>73185</v>
      </c>
      <c r="E8079" t="str">
        <f t="shared" si="3294"/>
        <v>KFH-OPERATIONS DEPARTMENT</v>
      </c>
      <c r="F8079" t="str">
        <f t="shared" si="3295"/>
        <v>IBG</v>
      </c>
      <c r="G8079" t="str">
        <f t="shared" si="3304"/>
        <v>Refund COSHARE 10</v>
      </c>
      <c r="H8079" s="2">
        <v>767.2</v>
      </c>
      <c r="I8079" t="str">
        <f>"MOHAMAD FIKRI BIN MOHAMAD MOKHTAR"</f>
        <v>MOHAMAD FIKRI BIN MOHAMAD MOKHTAR</v>
      </c>
      <c r="J8079" t="str">
        <f t="shared" si="3284"/>
        <v>BANK KERJASAMA RAKYAT</v>
      </c>
      <c r="K8079" t="str">
        <f>"220163290734"</f>
        <v>220163290734</v>
      </c>
      <c r="L8079" t="str">
        <f t="shared" si="3291"/>
        <v>04-08-2020</v>
      </c>
      <c r="M8079" t="str">
        <f t="shared" si="3291"/>
        <v>04-08-2020</v>
      </c>
      <c r="N8079" t="str">
        <f t="shared" si="3296"/>
        <v>001105018356</v>
      </c>
      <c r="O8079" t="str">
        <f t="shared" si="3297"/>
        <v>MYR</v>
      </c>
      <c r="P8079" t="str">
        <f t="shared" si="3292"/>
        <v>NIL</v>
      </c>
      <c r="Q8079" t="str">
        <f t="shared" si="3292"/>
        <v>NIL</v>
      </c>
      <c r="R8079" t="str">
        <f t="shared" si="3285"/>
        <v>Accepted</v>
      </c>
      <c r="S8079" t="str">
        <f t="shared" si="3298"/>
        <v>Approved</v>
      </c>
      <c r="T8079" t="str">
        <f t="shared" si="3286"/>
        <v>10.20.8.188</v>
      </c>
      <c r="U8079" t="str">
        <f t="shared" si="3299"/>
        <v>AZRAD UMAR BIN SHAARI</v>
      </c>
      <c r="V8079" t="str">
        <f t="shared" si="3300"/>
        <v>FARHANA BINTI MUSTAPA</v>
      </c>
      <c r="W8079" t="str">
        <f t="shared" si="3301"/>
        <v>04-08-2020</v>
      </c>
      <c r="X8079" t="str">
        <f t="shared" si="3302"/>
        <v>RAZIMAH ANSAR AHMAD</v>
      </c>
      <c r="Y8079" t="str">
        <f t="shared" si="3303"/>
        <v>04-08-2020</v>
      </c>
      <c r="Z8079" t="str">
        <f>"COS10200804 1075"</f>
        <v>COS10200804 1075</v>
      </c>
    </row>
    <row r="8080" spans="1:26" x14ac:dyDescent="0.25">
      <c r="A8080" t="str">
        <f t="shared" si="3289"/>
        <v>04-08-2020 12:31:59</v>
      </c>
      <c r="B8080" t="str">
        <f>"0000802821"</f>
        <v>0000802821</v>
      </c>
      <c r="C8080" t="str">
        <f t="shared" si="3290"/>
        <v>0000802747</v>
      </c>
      <c r="D8080" t="str">
        <f t="shared" si="3293"/>
        <v>73185</v>
      </c>
      <c r="E8080" t="str">
        <f t="shared" si="3294"/>
        <v>KFH-OPERATIONS DEPARTMENT</v>
      </c>
      <c r="F8080" t="str">
        <f t="shared" si="3295"/>
        <v>IBG</v>
      </c>
      <c r="G8080" t="str">
        <f t="shared" si="3304"/>
        <v>Refund COSHARE 10</v>
      </c>
      <c r="H8080" s="2">
        <v>1049.4000000000001</v>
      </c>
      <c r="I8080" t="str">
        <f>"MOHAMAD FAZUDDIN BIN ZAKARIA"</f>
        <v>MOHAMAD FAZUDDIN BIN ZAKARIA</v>
      </c>
      <c r="J8080" t="str">
        <f t="shared" si="3284"/>
        <v>BANK KERJASAMA RAKYAT</v>
      </c>
      <c r="K8080" t="str">
        <f>"220931024252"</f>
        <v>220931024252</v>
      </c>
      <c r="L8080" t="str">
        <f t="shared" si="3291"/>
        <v>04-08-2020</v>
      </c>
      <c r="M8080" t="str">
        <f t="shared" si="3291"/>
        <v>04-08-2020</v>
      </c>
      <c r="N8080" t="str">
        <f t="shared" si="3296"/>
        <v>001105018356</v>
      </c>
      <c r="O8080" t="str">
        <f t="shared" si="3297"/>
        <v>MYR</v>
      </c>
      <c r="P8080" t="str">
        <f t="shared" si="3292"/>
        <v>NIL</v>
      </c>
      <c r="Q8080" t="str">
        <f t="shared" si="3292"/>
        <v>NIL</v>
      </c>
      <c r="R8080" t="str">
        <f t="shared" si="3285"/>
        <v>Accepted</v>
      </c>
      <c r="S8080" t="str">
        <f t="shared" si="3298"/>
        <v>Approved</v>
      </c>
      <c r="T8080" t="str">
        <f t="shared" si="3286"/>
        <v>10.20.8.188</v>
      </c>
      <c r="U8080" t="str">
        <f t="shared" si="3299"/>
        <v>AZRAD UMAR BIN SHAARI</v>
      </c>
      <c r="V8080" t="str">
        <f t="shared" si="3300"/>
        <v>FARHANA BINTI MUSTAPA</v>
      </c>
      <c r="W8080" t="str">
        <f t="shared" si="3301"/>
        <v>04-08-2020</v>
      </c>
      <c r="X8080" t="str">
        <f t="shared" si="3302"/>
        <v>RAZIMAH ANSAR AHMAD</v>
      </c>
      <c r="Y8080" t="str">
        <f t="shared" si="3303"/>
        <v>04-08-2020</v>
      </c>
      <c r="Z8080" t="str">
        <f>"COS10200804 1074"</f>
        <v>COS10200804 1074</v>
      </c>
    </row>
    <row r="8081" spans="1:26" x14ac:dyDescent="0.25">
      <c r="A8081" t="str">
        <f t="shared" si="3289"/>
        <v>04-08-2020 12:31:59</v>
      </c>
      <c r="B8081" t="str">
        <f>"0000802820"</f>
        <v>0000802820</v>
      </c>
      <c r="C8081" t="str">
        <f t="shared" si="3290"/>
        <v>0000802747</v>
      </c>
      <c r="D8081" t="str">
        <f t="shared" si="3293"/>
        <v>73185</v>
      </c>
      <c r="E8081" t="str">
        <f t="shared" si="3294"/>
        <v>KFH-OPERATIONS DEPARTMENT</v>
      </c>
      <c r="F8081" t="str">
        <f t="shared" si="3295"/>
        <v>IBG</v>
      </c>
      <c r="G8081" t="str">
        <f t="shared" si="3304"/>
        <v>Refund COSHARE 10</v>
      </c>
      <c r="H8081" s="2">
        <v>58.8</v>
      </c>
      <c r="I8081" t="str">
        <f>"MOHAMAD FARHAN BIN MOHD MAHAYUDDIN"</f>
        <v>MOHAMAD FARHAN BIN MOHD MAHAYUDDIN</v>
      </c>
      <c r="J8081" t="str">
        <f t="shared" si="3284"/>
        <v>BANK KERJASAMA RAKYAT</v>
      </c>
      <c r="K8081" t="str">
        <f>"220111929102"</f>
        <v>220111929102</v>
      </c>
      <c r="L8081" t="str">
        <f t="shared" si="3291"/>
        <v>04-08-2020</v>
      </c>
      <c r="M8081" t="str">
        <f t="shared" si="3291"/>
        <v>04-08-2020</v>
      </c>
      <c r="N8081" t="str">
        <f t="shared" si="3296"/>
        <v>001105018356</v>
      </c>
      <c r="O8081" t="str">
        <f t="shared" si="3297"/>
        <v>MYR</v>
      </c>
      <c r="P8081" t="str">
        <f t="shared" si="3292"/>
        <v>NIL</v>
      </c>
      <c r="Q8081" t="str">
        <f t="shared" si="3292"/>
        <v>NIL</v>
      </c>
      <c r="R8081" t="str">
        <f t="shared" si="3285"/>
        <v>Accepted</v>
      </c>
      <c r="S8081" t="str">
        <f t="shared" si="3298"/>
        <v>Approved</v>
      </c>
      <c r="T8081" t="str">
        <f t="shared" si="3286"/>
        <v>10.20.8.188</v>
      </c>
      <c r="U8081" t="str">
        <f t="shared" si="3299"/>
        <v>AZRAD UMAR BIN SHAARI</v>
      </c>
      <c r="V8081" t="str">
        <f t="shared" si="3300"/>
        <v>FARHANA BINTI MUSTAPA</v>
      </c>
      <c r="W8081" t="str">
        <f t="shared" si="3301"/>
        <v>04-08-2020</v>
      </c>
      <c r="X8081" t="str">
        <f t="shared" si="3302"/>
        <v>RAZIMAH ANSAR AHMAD</v>
      </c>
      <c r="Y8081" t="str">
        <f t="shared" si="3303"/>
        <v>04-08-2020</v>
      </c>
      <c r="Z8081" t="str">
        <f>"COS10200804 1073"</f>
        <v>COS10200804 1073</v>
      </c>
    </row>
    <row r="8082" spans="1:26" x14ac:dyDescent="0.25">
      <c r="A8082" t="str">
        <f t="shared" ref="A8082:A8113" si="3305">"04-08-2020 12:31:59"</f>
        <v>04-08-2020 12:31:59</v>
      </c>
      <c r="B8082" t="str">
        <f>"0000802819"</f>
        <v>0000802819</v>
      </c>
      <c r="C8082" t="str">
        <f t="shared" ref="C8082:C8113" si="3306">"0000802747"</f>
        <v>0000802747</v>
      </c>
      <c r="D8082" t="str">
        <f t="shared" si="3293"/>
        <v>73185</v>
      </c>
      <c r="E8082" t="str">
        <f t="shared" si="3294"/>
        <v>KFH-OPERATIONS DEPARTMENT</v>
      </c>
      <c r="F8082" t="str">
        <f t="shared" si="3295"/>
        <v>IBG</v>
      </c>
      <c r="G8082" t="str">
        <f t="shared" si="3304"/>
        <v>Refund COSHARE 10</v>
      </c>
      <c r="H8082" s="2">
        <v>805</v>
      </c>
      <c r="I8082" t="str">
        <f>"MOHAMAD FAIZAL BIN ISMAIL"</f>
        <v>MOHAMAD FAIZAL BIN ISMAIL</v>
      </c>
      <c r="J8082" t="str">
        <f t="shared" si="3284"/>
        <v>BANK KERJASAMA RAKYAT</v>
      </c>
      <c r="K8082" t="str">
        <f>"220591338025"</f>
        <v>220591338025</v>
      </c>
      <c r="L8082" t="str">
        <f t="shared" si="3291"/>
        <v>04-08-2020</v>
      </c>
      <c r="M8082" t="str">
        <f t="shared" si="3291"/>
        <v>04-08-2020</v>
      </c>
      <c r="N8082" t="str">
        <f t="shared" si="3296"/>
        <v>001105018356</v>
      </c>
      <c r="O8082" t="str">
        <f t="shared" si="3297"/>
        <v>MYR</v>
      </c>
      <c r="P8082" t="str">
        <f t="shared" si="3292"/>
        <v>NIL</v>
      </c>
      <c r="Q8082" t="str">
        <f t="shared" si="3292"/>
        <v>NIL</v>
      </c>
      <c r="R8082" t="str">
        <f t="shared" si="3285"/>
        <v>Accepted</v>
      </c>
      <c r="S8082" t="str">
        <f t="shared" si="3298"/>
        <v>Approved</v>
      </c>
      <c r="T8082" t="str">
        <f t="shared" si="3286"/>
        <v>10.20.8.188</v>
      </c>
      <c r="U8082" t="str">
        <f t="shared" si="3299"/>
        <v>AZRAD UMAR BIN SHAARI</v>
      </c>
      <c r="V8082" t="str">
        <f t="shared" si="3300"/>
        <v>FARHANA BINTI MUSTAPA</v>
      </c>
      <c r="W8082" t="str">
        <f t="shared" si="3301"/>
        <v>04-08-2020</v>
      </c>
      <c r="X8082" t="str">
        <f t="shared" si="3302"/>
        <v>RAZIMAH ANSAR AHMAD</v>
      </c>
      <c r="Y8082" t="str">
        <f t="shared" si="3303"/>
        <v>04-08-2020</v>
      </c>
      <c r="Z8082" t="str">
        <f>"COS10200804 1072"</f>
        <v>COS10200804 1072</v>
      </c>
    </row>
    <row r="8083" spans="1:26" x14ac:dyDescent="0.25">
      <c r="A8083" t="str">
        <f t="shared" si="3305"/>
        <v>04-08-2020 12:31:59</v>
      </c>
      <c r="B8083" t="str">
        <f>"0000802818"</f>
        <v>0000802818</v>
      </c>
      <c r="C8083" t="str">
        <f t="shared" si="3306"/>
        <v>0000802747</v>
      </c>
      <c r="D8083" t="str">
        <f t="shared" si="3293"/>
        <v>73185</v>
      </c>
      <c r="E8083" t="str">
        <f t="shared" si="3294"/>
        <v>KFH-OPERATIONS DEPARTMENT</v>
      </c>
      <c r="F8083" t="str">
        <f t="shared" si="3295"/>
        <v>IBG</v>
      </c>
      <c r="G8083" t="str">
        <f t="shared" si="3304"/>
        <v>Refund COSHARE 10</v>
      </c>
      <c r="H8083" s="2">
        <v>228</v>
      </c>
      <c r="I8083" t="str">
        <f>"MOHAMAD FAIZAL BIN GAPOR"</f>
        <v>MOHAMAD FAIZAL BIN GAPOR</v>
      </c>
      <c r="J8083" t="str">
        <f t="shared" si="3284"/>
        <v>BANK KERJASAMA RAKYAT</v>
      </c>
      <c r="K8083" t="str">
        <f>"220541475066"</f>
        <v>220541475066</v>
      </c>
      <c r="L8083" t="str">
        <f t="shared" si="3291"/>
        <v>04-08-2020</v>
      </c>
      <c r="M8083" t="str">
        <f t="shared" si="3291"/>
        <v>04-08-2020</v>
      </c>
      <c r="N8083" t="str">
        <f t="shared" si="3296"/>
        <v>001105018356</v>
      </c>
      <c r="O8083" t="str">
        <f t="shared" si="3297"/>
        <v>MYR</v>
      </c>
      <c r="P8083" t="str">
        <f t="shared" si="3292"/>
        <v>NIL</v>
      </c>
      <c r="Q8083" t="str">
        <f t="shared" si="3292"/>
        <v>NIL</v>
      </c>
      <c r="R8083" t="str">
        <f t="shared" si="3285"/>
        <v>Accepted</v>
      </c>
      <c r="S8083" t="str">
        <f t="shared" si="3298"/>
        <v>Approved</v>
      </c>
      <c r="T8083" t="str">
        <f t="shared" si="3286"/>
        <v>10.20.8.188</v>
      </c>
      <c r="U8083" t="str">
        <f t="shared" si="3299"/>
        <v>AZRAD UMAR BIN SHAARI</v>
      </c>
      <c r="V8083" t="str">
        <f t="shared" si="3300"/>
        <v>FARHANA BINTI MUSTAPA</v>
      </c>
      <c r="W8083" t="str">
        <f t="shared" si="3301"/>
        <v>04-08-2020</v>
      </c>
      <c r="X8083" t="str">
        <f t="shared" si="3302"/>
        <v>RAZIMAH ANSAR AHMAD</v>
      </c>
      <c r="Y8083" t="str">
        <f t="shared" si="3303"/>
        <v>04-08-2020</v>
      </c>
      <c r="Z8083" t="str">
        <f>"COS10200804 1071"</f>
        <v>COS10200804 1071</v>
      </c>
    </row>
    <row r="8084" spans="1:26" x14ac:dyDescent="0.25">
      <c r="A8084" t="str">
        <f t="shared" si="3305"/>
        <v>04-08-2020 12:31:59</v>
      </c>
      <c r="B8084" t="str">
        <f>"0000802817"</f>
        <v>0000802817</v>
      </c>
      <c r="C8084" t="str">
        <f t="shared" si="3306"/>
        <v>0000802747</v>
      </c>
      <c r="D8084" t="str">
        <f t="shared" si="3293"/>
        <v>73185</v>
      </c>
      <c r="E8084" t="str">
        <f t="shared" si="3294"/>
        <v>KFH-OPERATIONS DEPARTMENT</v>
      </c>
      <c r="F8084" t="str">
        <f t="shared" si="3295"/>
        <v>IBG</v>
      </c>
      <c r="G8084" t="str">
        <f t="shared" si="3304"/>
        <v>Refund COSHARE 10</v>
      </c>
      <c r="H8084" s="2">
        <v>1138</v>
      </c>
      <c r="I8084" t="str">
        <f>"MOHAMAD BIN ISMAIL"</f>
        <v>MOHAMAD BIN ISMAIL</v>
      </c>
      <c r="J8084" t="str">
        <f t="shared" si="3284"/>
        <v>BANK KERJASAMA RAKYAT</v>
      </c>
      <c r="K8084" t="str">
        <f>"220781056556"</f>
        <v>220781056556</v>
      </c>
      <c r="L8084" t="str">
        <f t="shared" si="3291"/>
        <v>04-08-2020</v>
      </c>
      <c r="M8084" t="str">
        <f t="shared" si="3291"/>
        <v>04-08-2020</v>
      </c>
      <c r="N8084" t="str">
        <f t="shared" si="3296"/>
        <v>001105018356</v>
      </c>
      <c r="O8084" t="str">
        <f t="shared" si="3297"/>
        <v>MYR</v>
      </c>
      <c r="P8084" t="str">
        <f t="shared" si="3292"/>
        <v>NIL</v>
      </c>
      <c r="Q8084" t="str">
        <f t="shared" si="3292"/>
        <v>NIL</v>
      </c>
      <c r="R8084" t="str">
        <f t="shared" si="3285"/>
        <v>Accepted</v>
      </c>
      <c r="S8084" t="str">
        <f t="shared" si="3298"/>
        <v>Approved</v>
      </c>
      <c r="T8084" t="str">
        <f t="shared" si="3286"/>
        <v>10.20.8.188</v>
      </c>
      <c r="U8084" t="str">
        <f t="shared" si="3299"/>
        <v>AZRAD UMAR BIN SHAARI</v>
      </c>
      <c r="V8084" t="str">
        <f t="shared" si="3300"/>
        <v>FARHANA BINTI MUSTAPA</v>
      </c>
      <c r="W8084" t="str">
        <f t="shared" si="3301"/>
        <v>04-08-2020</v>
      </c>
      <c r="X8084" t="str">
        <f t="shared" si="3302"/>
        <v>RAZIMAH ANSAR AHMAD</v>
      </c>
      <c r="Y8084" t="str">
        <f t="shared" si="3303"/>
        <v>04-08-2020</v>
      </c>
      <c r="Z8084" t="str">
        <f>"COS10200804 1070"</f>
        <v>COS10200804 1070</v>
      </c>
    </row>
    <row r="8085" spans="1:26" x14ac:dyDescent="0.25">
      <c r="A8085" t="str">
        <f t="shared" si="3305"/>
        <v>04-08-2020 12:31:59</v>
      </c>
      <c r="B8085" t="str">
        <f>"0000802816"</f>
        <v>0000802816</v>
      </c>
      <c r="C8085" t="str">
        <f t="shared" si="3306"/>
        <v>0000802747</v>
      </c>
      <c r="D8085" t="str">
        <f t="shared" si="3293"/>
        <v>73185</v>
      </c>
      <c r="E8085" t="str">
        <f t="shared" si="3294"/>
        <v>KFH-OPERATIONS DEPARTMENT</v>
      </c>
      <c r="F8085" t="str">
        <f t="shared" si="3295"/>
        <v>IBG</v>
      </c>
      <c r="G8085" t="str">
        <f t="shared" si="3304"/>
        <v>Refund COSHARE 10</v>
      </c>
      <c r="H8085" s="2">
        <v>923.45</v>
      </c>
      <c r="I8085" t="str">
        <f>"MITMAH BINTI AWANG JUMAT"</f>
        <v>MITMAH BINTI AWANG JUMAT</v>
      </c>
      <c r="J8085" t="str">
        <f t="shared" si="3284"/>
        <v>BANK KERJASAMA RAKYAT</v>
      </c>
      <c r="K8085" t="str">
        <f>"220531307472"</f>
        <v>220531307472</v>
      </c>
      <c r="L8085" t="str">
        <f t="shared" si="3291"/>
        <v>04-08-2020</v>
      </c>
      <c r="M8085" t="str">
        <f t="shared" si="3291"/>
        <v>04-08-2020</v>
      </c>
      <c r="N8085" t="str">
        <f t="shared" si="3296"/>
        <v>001105018356</v>
      </c>
      <c r="O8085" t="str">
        <f t="shared" si="3297"/>
        <v>MYR</v>
      </c>
      <c r="P8085" t="str">
        <f t="shared" si="3292"/>
        <v>NIL</v>
      </c>
      <c r="Q8085" t="str">
        <f t="shared" si="3292"/>
        <v>NIL</v>
      </c>
      <c r="R8085" t="str">
        <f t="shared" si="3285"/>
        <v>Accepted</v>
      </c>
      <c r="S8085" t="str">
        <f t="shared" si="3298"/>
        <v>Approved</v>
      </c>
      <c r="T8085" t="str">
        <f t="shared" si="3286"/>
        <v>10.20.8.188</v>
      </c>
      <c r="U8085" t="str">
        <f t="shared" si="3299"/>
        <v>AZRAD UMAR BIN SHAARI</v>
      </c>
      <c r="V8085" t="str">
        <f t="shared" si="3300"/>
        <v>FARHANA BINTI MUSTAPA</v>
      </c>
      <c r="W8085" t="str">
        <f t="shared" si="3301"/>
        <v>04-08-2020</v>
      </c>
      <c r="X8085" t="str">
        <f t="shared" si="3302"/>
        <v>RAZIMAH ANSAR AHMAD</v>
      </c>
      <c r="Y8085" t="str">
        <f t="shared" si="3303"/>
        <v>04-08-2020</v>
      </c>
      <c r="Z8085" t="str">
        <f>"COS10200804 1069"</f>
        <v>COS10200804 1069</v>
      </c>
    </row>
    <row r="8086" spans="1:26" x14ac:dyDescent="0.25">
      <c r="A8086" t="str">
        <f t="shared" si="3305"/>
        <v>04-08-2020 12:31:59</v>
      </c>
      <c r="B8086" t="str">
        <f>"0000802815"</f>
        <v>0000802815</v>
      </c>
      <c r="C8086" t="str">
        <f t="shared" si="3306"/>
        <v>0000802747</v>
      </c>
      <c r="D8086" t="str">
        <f t="shared" si="3293"/>
        <v>73185</v>
      </c>
      <c r="E8086" t="str">
        <f t="shared" si="3294"/>
        <v>KFH-OPERATIONS DEPARTMENT</v>
      </c>
      <c r="F8086" t="str">
        <f t="shared" si="3295"/>
        <v>IBG</v>
      </c>
      <c r="G8086" t="str">
        <f t="shared" si="3304"/>
        <v>Refund COSHARE 10</v>
      </c>
      <c r="H8086" s="2">
        <v>67.2</v>
      </c>
      <c r="I8086" t="str">
        <f>"MISLIAH BINTI NIDI"</f>
        <v>MISLIAH BINTI NIDI</v>
      </c>
      <c r="J8086" t="str">
        <f t="shared" si="3284"/>
        <v>BANK KERJASAMA RAKYAT</v>
      </c>
      <c r="K8086" t="str">
        <f>"220661167008"</f>
        <v>220661167008</v>
      </c>
      <c r="L8086" t="str">
        <f t="shared" si="3291"/>
        <v>04-08-2020</v>
      </c>
      <c r="M8086" t="str">
        <f t="shared" si="3291"/>
        <v>04-08-2020</v>
      </c>
      <c r="N8086" t="str">
        <f t="shared" si="3296"/>
        <v>001105018356</v>
      </c>
      <c r="O8086" t="str">
        <f t="shared" si="3297"/>
        <v>MYR</v>
      </c>
      <c r="P8086" t="str">
        <f t="shared" si="3292"/>
        <v>NIL</v>
      </c>
      <c r="Q8086" t="str">
        <f t="shared" si="3292"/>
        <v>NIL</v>
      </c>
      <c r="R8086" t="str">
        <f t="shared" si="3285"/>
        <v>Accepted</v>
      </c>
      <c r="S8086" t="str">
        <f t="shared" si="3298"/>
        <v>Approved</v>
      </c>
      <c r="T8086" t="str">
        <f t="shared" si="3286"/>
        <v>10.20.8.188</v>
      </c>
      <c r="U8086" t="str">
        <f t="shared" si="3299"/>
        <v>AZRAD UMAR BIN SHAARI</v>
      </c>
      <c r="V8086" t="str">
        <f t="shared" si="3300"/>
        <v>FARHANA BINTI MUSTAPA</v>
      </c>
      <c r="W8086" t="str">
        <f t="shared" si="3301"/>
        <v>04-08-2020</v>
      </c>
      <c r="X8086" t="str">
        <f t="shared" si="3302"/>
        <v>RAZIMAH ANSAR AHMAD</v>
      </c>
      <c r="Y8086" t="str">
        <f t="shared" si="3303"/>
        <v>04-08-2020</v>
      </c>
      <c r="Z8086" t="str">
        <f>"COS10200804 1068"</f>
        <v>COS10200804 1068</v>
      </c>
    </row>
    <row r="8087" spans="1:26" x14ac:dyDescent="0.25">
      <c r="A8087" t="str">
        <f t="shared" si="3305"/>
        <v>04-08-2020 12:31:59</v>
      </c>
      <c r="B8087" t="str">
        <f>"0000802814"</f>
        <v>0000802814</v>
      </c>
      <c r="C8087" t="str">
        <f t="shared" si="3306"/>
        <v>0000802747</v>
      </c>
      <c r="D8087" t="str">
        <f t="shared" si="3293"/>
        <v>73185</v>
      </c>
      <c r="E8087" t="str">
        <f t="shared" si="3294"/>
        <v>KFH-OPERATIONS DEPARTMENT</v>
      </c>
      <c r="F8087" t="str">
        <f t="shared" si="3295"/>
        <v>IBG</v>
      </c>
      <c r="G8087" t="str">
        <f t="shared" si="3304"/>
        <v>Refund COSHARE 10</v>
      </c>
      <c r="H8087" s="2">
        <v>1626.05</v>
      </c>
      <c r="I8087" t="str">
        <f>"MINDA BINTI ABDUL HAMID"</f>
        <v>MINDA BINTI ABDUL HAMID</v>
      </c>
      <c r="J8087" t="str">
        <f t="shared" si="3284"/>
        <v>BANK KERJASAMA RAKYAT</v>
      </c>
      <c r="K8087" t="str">
        <f>"220111332050"</f>
        <v>220111332050</v>
      </c>
      <c r="L8087" t="str">
        <f t="shared" ref="L8087:M8106" si="3307">"04-08-2020"</f>
        <v>04-08-2020</v>
      </c>
      <c r="M8087" t="str">
        <f t="shared" si="3307"/>
        <v>04-08-2020</v>
      </c>
      <c r="N8087" t="str">
        <f t="shared" si="3296"/>
        <v>001105018356</v>
      </c>
      <c r="O8087" t="str">
        <f t="shared" si="3297"/>
        <v>MYR</v>
      </c>
      <c r="P8087" t="str">
        <f t="shared" ref="P8087:Q8106" si="3308">"NIL"</f>
        <v>NIL</v>
      </c>
      <c r="Q8087" t="str">
        <f t="shared" si="3308"/>
        <v>NIL</v>
      </c>
      <c r="R8087" t="str">
        <f t="shared" si="3285"/>
        <v>Accepted</v>
      </c>
      <c r="S8087" t="str">
        <f t="shared" si="3298"/>
        <v>Approved</v>
      </c>
      <c r="T8087" t="str">
        <f t="shared" si="3286"/>
        <v>10.20.8.188</v>
      </c>
      <c r="U8087" t="str">
        <f t="shared" si="3299"/>
        <v>AZRAD UMAR BIN SHAARI</v>
      </c>
      <c r="V8087" t="str">
        <f t="shared" si="3300"/>
        <v>FARHANA BINTI MUSTAPA</v>
      </c>
      <c r="W8087" t="str">
        <f t="shared" si="3301"/>
        <v>04-08-2020</v>
      </c>
      <c r="X8087" t="str">
        <f t="shared" si="3302"/>
        <v>RAZIMAH ANSAR AHMAD</v>
      </c>
      <c r="Y8087" t="str">
        <f t="shared" si="3303"/>
        <v>04-08-2020</v>
      </c>
      <c r="Z8087" t="str">
        <f>"COS10200804 1067"</f>
        <v>COS10200804 1067</v>
      </c>
    </row>
    <row r="8088" spans="1:26" x14ac:dyDescent="0.25">
      <c r="A8088" t="str">
        <f t="shared" si="3305"/>
        <v>04-08-2020 12:31:59</v>
      </c>
      <c r="B8088" t="str">
        <f>"0000802813"</f>
        <v>0000802813</v>
      </c>
      <c r="C8088" t="str">
        <f t="shared" si="3306"/>
        <v>0000802747</v>
      </c>
      <c r="D8088" t="str">
        <f t="shared" si="3293"/>
        <v>73185</v>
      </c>
      <c r="E8088" t="str">
        <f t="shared" si="3294"/>
        <v>KFH-OPERATIONS DEPARTMENT</v>
      </c>
      <c r="F8088" t="str">
        <f t="shared" si="3295"/>
        <v>IBG</v>
      </c>
      <c r="G8088" t="str">
        <f t="shared" si="3304"/>
        <v>Refund COSHARE 10</v>
      </c>
      <c r="H8088" s="2">
        <v>226.7</v>
      </c>
      <c r="I8088" t="str">
        <f>"MIENI ANAK GUNGGANG"</f>
        <v>MIENI ANAK GUNGGANG</v>
      </c>
      <c r="J8088" t="str">
        <f t="shared" si="3284"/>
        <v>BANK KERJASAMA RAKYAT</v>
      </c>
      <c r="K8088" t="str">
        <f>"220781051656"</f>
        <v>220781051656</v>
      </c>
      <c r="L8088" t="str">
        <f t="shared" si="3307"/>
        <v>04-08-2020</v>
      </c>
      <c r="M8088" t="str">
        <f t="shared" si="3307"/>
        <v>04-08-2020</v>
      </c>
      <c r="N8088" t="str">
        <f t="shared" si="3296"/>
        <v>001105018356</v>
      </c>
      <c r="O8088" t="str">
        <f t="shared" si="3297"/>
        <v>MYR</v>
      </c>
      <c r="P8088" t="str">
        <f t="shared" si="3308"/>
        <v>NIL</v>
      </c>
      <c r="Q8088" t="str">
        <f t="shared" si="3308"/>
        <v>NIL</v>
      </c>
      <c r="R8088" t="str">
        <f t="shared" si="3285"/>
        <v>Accepted</v>
      </c>
      <c r="S8088" t="str">
        <f t="shared" si="3298"/>
        <v>Approved</v>
      </c>
      <c r="T8088" t="str">
        <f t="shared" si="3286"/>
        <v>10.20.8.188</v>
      </c>
      <c r="U8088" t="str">
        <f t="shared" si="3299"/>
        <v>AZRAD UMAR BIN SHAARI</v>
      </c>
      <c r="V8088" t="str">
        <f t="shared" si="3300"/>
        <v>FARHANA BINTI MUSTAPA</v>
      </c>
      <c r="W8088" t="str">
        <f t="shared" si="3301"/>
        <v>04-08-2020</v>
      </c>
      <c r="X8088" t="str">
        <f t="shared" si="3302"/>
        <v>RAZIMAH ANSAR AHMAD</v>
      </c>
      <c r="Y8088" t="str">
        <f t="shared" si="3303"/>
        <v>04-08-2020</v>
      </c>
      <c r="Z8088" t="str">
        <f>"COS10200804 1066"</f>
        <v>COS10200804 1066</v>
      </c>
    </row>
    <row r="8089" spans="1:26" x14ac:dyDescent="0.25">
      <c r="A8089" t="str">
        <f t="shared" si="3305"/>
        <v>04-08-2020 12:31:59</v>
      </c>
      <c r="B8089" t="str">
        <f>"0000802812"</f>
        <v>0000802812</v>
      </c>
      <c r="C8089" t="str">
        <f t="shared" si="3306"/>
        <v>0000802747</v>
      </c>
      <c r="D8089" t="str">
        <f t="shared" si="3293"/>
        <v>73185</v>
      </c>
      <c r="E8089" t="str">
        <f t="shared" si="3294"/>
        <v>KFH-OPERATIONS DEPARTMENT</v>
      </c>
      <c r="F8089" t="str">
        <f t="shared" si="3295"/>
        <v>IBG</v>
      </c>
      <c r="G8089" t="str">
        <f t="shared" si="3304"/>
        <v>Refund COSHARE 10</v>
      </c>
      <c r="H8089" s="2">
        <v>461.75</v>
      </c>
      <c r="I8089" t="str">
        <f>"MICHEAL WILTER ANAK SIRIS"</f>
        <v>MICHEAL WILTER ANAK SIRIS</v>
      </c>
      <c r="J8089" t="str">
        <f t="shared" si="3284"/>
        <v>BANK KERJASAMA RAKYAT</v>
      </c>
      <c r="K8089" t="str">
        <f>"221091082947"</f>
        <v>221091082947</v>
      </c>
      <c r="L8089" t="str">
        <f t="shared" si="3307"/>
        <v>04-08-2020</v>
      </c>
      <c r="M8089" t="str">
        <f t="shared" si="3307"/>
        <v>04-08-2020</v>
      </c>
      <c r="N8089" t="str">
        <f t="shared" si="3296"/>
        <v>001105018356</v>
      </c>
      <c r="O8089" t="str">
        <f t="shared" si="3297"/>
        <v>MYR</v>
      </c>
      <c r="P8089" t="str">
        <f t="shared" si="3308"/>
        <v>NIL</v>
      </c>
      <c r="Q8089" t="str">
        <f t="shared" si="3308"/>
        <v>NIL</v>
      </c>
      <c r="R8089" t="str">
        <f t="shared" si="3285"/>
        <v>Accepted</v>
      </c>
      <c r="S8089" t="str">
        <f t="shared" si="3298"/>
        <v>Approved</v>
      </c>
      <c r="T8089" t="str">
        <f t="shared" si="3286"/>
        <v>10.20.8.188</v>
      </c>
      <c r="U8089" t="str">
        <f t="shared" si="3299"/>
        <v>AZRAD UMAR BIN SHAARI</v>
      </c>
      <c r="V8089" t="str">
        <f t="shared" si="3300"/>
        <v>FARHANA BINTI MUSTAPA</v>
      </c>
      <c r="W8089" t="str">
        <f t="shared" si="3301"/>
        <v>04-08-2020</v>
      </c>
      <c r="X8089" t="str">
        <f t="shared" si="3302"/>
        <v>RAZIMAH ANSAR AHMAD</v>
      </c>
      <c r="Y8089" t="str">
        <f t="shared" si="3303"/>
        <v>04-08-2020</v>
      </c>
      <c r="Z8089" t="str">
        <f>"COS10200804 1065"</f>
        <v>COS10200804 1065</v>
      </c>
    </row>
    <row r="8090" spans="1:26" x14ac:dyDescent="0.25">
      <c r="A8090" t="str">
        <f t="shared" si="3305"/>
        <v>04-08-2020 12:31:59</v>
      </c>
      <c r="B8090" t="str">
        <f>"0000802811"</f>
        <v>0000802811</v>
      </c>
      <c r="C8090" t="str">
        <f t="shared" si="3306"/>
        <v>0000802747</v>
      </c>
      <c r="D8090" t="str">
        <f t="shared" si="3293"/>
        <v>73185</v>
      </c>
      <c r="E8090" t="str">
        <f t="shared" si="3294"/>
        <v>KFH-OPERATIONS DEPARTMENT</v>
      </c>
      <c r="F8090" t="str">
        <f t="shared" si="3295"/>
        <v>IBG</v>
      </c>
      <c r="G8090" t="str">
        <f t="shared" si="3304"/>
        <v>Refund COSHARE 10</v>
      </c>
      <c r="H8090" s="2">
        <v>820</v>
      </c>
      <c r="I8090" t="str">
        <f>"MD SHAMSUL RIZAN BIN HAMIDAN"</f>
        <v>MD SHAMSUL RIZAN BIN HAMIDAN</v>
      </c>
      <c r="J8090" t="str">
        <f t="shared" si="3284"/>
        <v>BANK KERJASAMA RAKYAT</v>
      </c>
      <c r="K8090" t="str">
        <f>"220471272827"</f>
        <v>220471272827</v>
      </c>
      <c r="L8090" t="str">
        <f t="shared" si="3307"/>
        <v>04-08-2020</v>
      </c>
      <c r="M8090" t="str">
        <f t="shared" si="3307"/>
        <v>04-08-2020</v>
      </c>
      <c r="N8090" t="str">
        <f t="shared" si="3296"/>
        <v>001105018356</v>
      </c>
      <c r="O8090" t="str">
        <f t="shared" si="3297"/>
        <v>MYR</v>
      </c>
      <c r="P8090" t="str">
        <f t="shared" si="3308"/>
        <v>NIL</v>
      </c>
      <c r="Q8090" t="str">
        <f t="shared" si="3308"/>
        <v>NIL</v>
      </c>
      <c r="R8090" t="str">
        <f t="shared" si="3285"/>
        <v>Accepted</v>
      </c>
      <c r="S8090" t="str">
        <f t="shared" si="3298"/>
        <v>Approved</v>
      </c>
      <c r="T8090" t="str">
        <f t="shared" si="3286"/>
        <v>10.20.8.188</v>
      </c>
      <c r="U8090" t="str">
        <f t="shared" si="3299"/>
        <v>AZRAD UMAR BIN SHAARI</v>
      </c>
      <c r="V8090" t="str">
        <f t="shared" si="3300"/>
        <v>FARHANA BINTI MUSTAPA</v>
      </c>
      <c r="W8090" t="str">
        <f t="shared" si="3301"/>
        <v>04-08-2020</v>
      </c>
      <c r="X8090" t="str">
        <f t="shared" si="3302"/>
        <v>RAZIMAH ANSAR AHMAD</v>
      </c>
      <c r="Y8090" t="str">
        <f t="shared" si="3303"/>
        <v>04-08-2020</v>
      </c>
      <c r="Z8090" t="str">
        <f>"COS10200804 1064"</f>
        <v>COS10200804 1064</v>
      </c>
    </row>
    <row r="8091" spans="1:26" x14ac:dyDescent="0.25">
      <c r="A8091" t="str">
        <f t="shared" si="3305"/>
        <v>04-08-2020 12:31:59</v>
      </c>
      <c r="B8091" t="str">
        <f>"0000802810"</f>
        <v>0000802810</v>
      </c>
      <c r="C8091" t="str">
        <f t="shared" si="3306"/>
        <v>0000802747</v>
      </c>
      <c r="D8091" t="str">
        <f t="shared" si="3293"/>
        <v>73185</v>
      </c>
      <c r="E8091" t="str">
        <f t="shared" si="3294"/>
        <v>KFH-OPERATIONS DEPARTMENT</v>
      </c>
      <c r="F8091" t="str">
        <f t="shared" si="3295"/>
        <v>IBG</v>
      </c>
      <c r="G8091" t="str">
        <f t="shared" si="3304"/>
        <v>Refund COSHARE 10</v>
      </c>
      <c r="H8091" s="2">
        <v>596.04999999999995</v>
      </c>
      <c r="I8091" t="str">
        <f>"MAZURIWAN BIN MUDA"</f>
        <v>MAZURIWAN BIN MUDA</v>
      </c>
      <c r="J8091" t="str">
        <f t="shared" si="3284"/>
        <v>BANK KERJASAMA RAKYAT</v>
      </c>
      <c r="K8091" t="str">
        <f>"220551141441"</f>
        <v>220551141441</v>
      </c>
      <c r="L8091" t="str">
        <f t="shared" si="3307"/>
        <v>04-08-2020</v>
      </c>
      <c r="M8091" t="str">
        <f t="shared" si="3307"/>
        <v>04-08-2020</v>
      </c>
      <c r="N8091" t="str">
        <f t="shared" si="3296"/>
        <v>001105018356</v>
      </c>
      <c r="O8091" t="str">
        <f t="shared" si="3297"/>
        <v>MYR</v>
      </c>
      <c r="P8091" t="str">
        <f t="shared" si="3308"/>
        <v>NIL</v>
      </c>
      <c r="Q8091" t="str">
        <f t="shared" si="3308"/>
        <v>NIL</v>
      </c>
      <c r="R8091" t="str">
        <f t="shared" si="3285"/>
        <v>Accepted</v>
      </c>
      <c r="S8091" t="str">
        <f t="shared" si="3298"/>
        <v>Approved</v>
      </c>
      <c r="T8091" t="str">
        <f t="shared" si="3286"/>
        <v>10.20.8.188</v>
      </c>
      <c r="U8091" t="str">
        <f t="shared" si="3299"/>
        <v>AZRAD UMAR BIN SHAARI</v>
      </c>
      <c r="V8091" t="str">
        <f t="shared" si="3300"/>
        <v>FARHANA BINTI MUSTAPA</v>
      </c>
      <c r="W8091" t="str">
        <f t="shared" si="3301"/>
        <v>04-08-2020</v>
      </c>
      <c r="X8091" t="str">
        <f t="shared" si="3302"/>
        <v>RAZIMAH ANSAR AHMAD</v>
      </c>
      <c r="Y8091" t="str">
        <f t="shared" si="3303"/>
        <v>04-08-2020</v>
      </c>
      <c r="Z8091" t="str">
        <f>"COS10200804 1063"</f>
        <v>COS10200804 1063</v>
      </c>
    </row>
    <row r="8092" spans="1:26" x14ac:dyDescent="0.25">
      <c r="A8092" t="str">
        <f t="shared" si="3305"/>
        <v>04-08-2020 12:31:59</v>
      </c>
      <c r="B8092" t="str">
        <f>"0000802809"</f>
        <v>0000802809</v>
      </c>
      <c r="C8092" t="str">
        <f t="shared" si="3306"/>
        <v>0000802747</v>
      </c>
      <c r="D8092" t="str">
        <f t="shared" si="3293"/>
        <v>73185</v>
      </c>
      <c r="E8092" t="str">
        <f t="shared" si="3294"/>
        <v>KFH-OPERATIONS DEPARTMENT</v>
      </c>
      <c r="F8092" t="str">
        <f t="shared" si="3295"/>
        <v>IBG</v>
      </c>
      <c r="G8092" t="str">
        <f t="shared" si="3304"/>
        <v>Refund COSHARE 10</v>
      </c>
      <c r="H8092" s="2">
        <v>1309.6500000000001</v>
      </c>
      <c r="I8092" t="str">
        <f>"MAZNI BINTI MUSTAFFA"</f>
        <v>MAZNI BINTI MUSTAFFA</v>
      </c>
      <c r="J8092" t="str">
        <f t="shared" si="3284"/>
        <v>BANK KERJASAMA RAKYAT</v>
      </c>
      <c r="K8092" t="str">
        <f>"220411168496"</f>
        <v>220411168496</v>
      </c>
      <c r="L8092" t="str">
        <f t="shared" si="3307"/>
        <v>04-08-2020</v>
      </c>
      <c r="M8092" t="str">
        <f t="shared" si="3307"/>
        <v>04-08-2020</v>
      </c>
      <c r="N8092" t="str">
        <f t="shared" si="3296"/>
        <v>001105018356</v>
      </c>
      <c r="O8092" t="str">
        <f t="shared" si="3297"/>
        <v>MYR</v>
      </c>
      <c r="P8092" t="str">
        <f t="shared" si="3308"/>
        <v>NIL</v>
      </c>
      <c r="Q8092" t="str">
        <f t="shared" si="3308"/>
        <v>NIL</v>
      </c>
      <c r="R8092" t="str">
        <f t="shared" si="3285"/>
        <v>Accepted</v>
      </c>
      <c r="S8092" t="str">
        <f t="shared" si="3298"/>
        <v>Approved</v>
      </c>
      <c r="T8092" t="str">
        <f t="shared" si="3286"/>
        <v>10.20.8.188</v>
      </c>
      <c r="U8092" t="str">
        <f t="shared" si="3299"/>
        <v>AZRAD UMAR BIN SHAARI</v>
      </c>
      <c r="V8092" t="str">
        <f t="shared" si="3300"/>
        <v>FARHANA BINTI MUSTAPA</v>
      </c>
      <c r="W8092" t="str">
        <f t="shared" si="3301"/>
        <v>04-08-2020</v>
      </c>
      <c r="X8092" t="str">
        <f t="shared" si="3302"/>
        <v>RAZIMAH ANSAR AHMAD</v>
      </c>
      <c r="Y8092" t="str">
        <f t="shared" si="3303"/>
        <v>04-08-2020</v>
      </c>
      <c r="Z8092" t="str">
        <f>"COS10200804 1062"</f>
        <v>COS10200804 1062</v>
      </c>
    </row>
    <row r="8093" spans="1:26" x14ac:dyDescent="0.25">
      <c r="A8093" t="str">
        <f t="shared" si="3305"/>
        <v>04-08-2020 12:31:59</v>
      </c>
      <c r="B8093" t="str">
        <f>"0000802808"</f>
        <v>0000802808</v>
      </c>
      <c r="C8093" t="str">
        <f t="shared" si="3306"/>
        <v>0000802747</v>
      </c>
      <c r="D8093" t="str">
        <f t="shared" si="3293"/>
        <v>73185</v>
      </c>
      <c r="E8093" t="str">
        <f t="shared" si="3294"/>
        <v>KFH-OPERATIONS DEPARTMENT</v>
      </c>
      <c r="F8093" t="str">
        <f t="shared" si="3295"/>
        <v>IBG</v>
      </c>
      <c r="G8093" t="str">
        <f t="shared" si="3304"/>
        <v>Refund COSHARE 10</v>
      </c>
      <c r="H8093" s="2">
        <v>125.95</v>
      </c>
      <c r="I8093" t="str">
        <f>"MAZLAN BIN MOHAMED"</f>
        <v>MAZLAN BIN MOHAMED</v>
      </c>
      <c r="J8093" t="str">
        <f t="shared" si="3284"/>
        <v>BANK KERJASAMA RAKYAT</v>
      </c>
      <c r="K8093" t="str">
        <f>"220121522963"</f>
        <v>220121522963</v>
      </c>
      <c r="L8093" t="str">
        <f t="shared" si="3307"/>
        <v>04-08-2020</v>
      </c>
      <c r="M8093" t="str">
        <f t="shared" si="3307"/>
        <v>04-08-2020</v>
      </c>
      <c r="N8093" t="str">
        <f t="shared" si="3296"/>
        <v>001105018356</v>
      </c>
      <c r="O8093" t="str">
        <f t="shared" si="3297"/>
        <v>MYR</v>
      </c>
      <c r="P8093" t="str">
        <f t="shared" si="3308"/>
        <v>NIL</v>
      </c>
      <c r="Q8093" t="str">
        <f t="shared" si="3308"/>
        <v>NIL</v>
      </c>
      <c r="R8093" t="str">
        <f t="shared" si="3285"/>
        <v>Accepted</v>
      </c>
      <c r="S8093" t="str">
        <f t="shared" si="3298"/>
        <v>Approved</v>
      </c>
      <c r="T8093" t="str">
        <f t="shared" si="3286"/>
        <v>10.20.8.188</v>
      </c>
      <c r="U8093" t="str">
        <f t="shared" si="3299"/>
        <v>AZRAD UMAR BIN SHAARI</v>
      </c>
      <c r="V8093" t="str">
        <f t="shared" si="3300"/>
        <v>FARHANA BINTI MUSTAPA</v>
      </c>
      <c r="W8093" t="str">
        <f t="shared" si="3301"/>
        <v>04-08-2020</v>
      </c>
      <c r="X8093" t="str">
        <f t="shared" si="3302"/>
        <v>RAZIMAH ANSAR AHMAD</v>
      </c>
      <c r="Y8093" t="str">
        <f t="shared" si="3303"/>
        <v>04-08-2020</v>
      </c>
      <c r="Z8093" t="str">
        <f>"COS10200804 1061"</f>
        <v>COS10200804 1061</v>
      </c>
    </row>
    <row r="8094" spans="1:26" x14ac:dyDescent="0.25">
      <c r="A8094" t="str">
        <f t="shared" si="3305"/>
        <v>04-08-2020 12:31:59</v>
      </c>
      <c r="B8094" t="str">
        <f>"0000802807"</f>
        <v>0000802807</v>
      </c>
      <c r="C8094" t="str">
        <f t="shared" si="3306"/>
        <v>0000802747</v>
      </c>
      <c r="D8094" t="str">
        <f t="shared" si="3293"/>
        <v>73185</v>
      </c>
      <c r="E8094" t="str">
        <f t="shared" si="3294"/>
        <v>KFH-OPERATIONS DEPARTMENT</v>
      </c>
      <c r="F8094" t="str">
        <f t="shared" si="3295"/>
        <v>IBG</v>
      </c>
      <c r="G8094" t="str">
        <f t="shared" si="3304"/>
        <v>Refund COSHARE 10</v>
      </c>
      <c r="H8094" s="2">
        <v>1277</v>
      </c>
      <c r="I8094" t="str">
        <f>"MAZLAN BIN MAHMOOD"</f>
        <v>MAZLAN BIN MAHMOOD</v>
      </c>
      <c r="J8094" t="str">
        <f t="shared" si="3284"/>
        <v>BANK KERJASAMA RAKYAT</v>
      </c>
      <c r="K8094" t="str">
        <f>"221051011790"</f>
        <v>221051011790</v>
      </c>
      <c r="L8094" t="str">
        <f t="shared" si="3307"/>
        <v>04-08-2020</v>
      </c>
      <c r="M8094" t="str">
        <f t="shared" si="3307"/>
        <v>04-08-2020</v>
      </c>
      <c r="N8094" t="str">
        <f t="shared" si="3296"/>
        <v>001105018356</v>
      </c>
      <c r="O8094" t="str">
        <f t="shared" si="3297"/>
        <v>MYR</v>
      </c>
      <c r="P8094" t="str">
        <f t="shared" si="3308"/>
        <v>NIL</v>
      </c>
      <c r="Q8094" t="str">
        <f t="shared" si="3308"/>
        <v>NIL</v>
      </c>
      <c r="R8094" t="str">
        <f t="shared" si="3285"/>
        <v>Accepted</v>
      </c>
      <c r="S8094" t="str">
        <f t="shared" si="3298"/>
        <v>Approved</v>
      </c>
      <c r="T8094" t="str">
        <f t="shared" si="3286"/>
        <v>10.20.8.188</v>
      </c>
      <c r="U8094" t="str">
        <f t="shared" si="3299"/>
        <v>AZRAD UMAR BIN SHAARI</v>
      </c>
      <c r="V8094" t="str">
        <f t="shared" si="3300"/>
        <v>FARHANA BINTI MUSTAPA</v>
      </c>
      <c r="W8094" t="str">
        <f t="shared" si="3301"/>
        <v>04-08-2020</v>
      </c>
      <c r="X8094" t="str">
        <f t="shared" si="3302"/>
        <v>RAZIMAH ANSAR AHMAD</v>
      </c>
      <c r="Y8094" t="str">
        <f t="shared" si="3303"/>
        <v>04-08-2020</v>
      </c>
      <c r="Z8094" t="str">
        <f>"COS10200804 1060"</f>
        <v>COS10200804 1060</v>
      </c>
    </row>
    <row r="8095" spans="1:26" x14ac:dyDescent="0.25">
      <c r="A8095" t="str">
        <f t="shared" si="3305"/>
        <v>04-08-2020 12:31:59</v>
      </c>
      <c r="B8095" t="str">
        <f>"0000802806"</f>
        <v>0000802806</v>
      </c>
      <c r="C8095" t="str">
        <f t="shared" si="3306"/>
        <v>0000802747</v>
      </c>
      <c r="D8095" t="str">
        <f t="shared" si="3293"/>
        <v>73185</v>
      </c>
      <c r="E8095" t="str">
        <f t="shared" si="3294"/>
        <v>KFH-OPERATIONS DEPARTMENT</v>
      </c>
      <c r="F8095" t="str">
        <f t="shared" si="3295"/>
        <v>IBG</v>
      </c>
      <c r="G8095" t="str">
        <f t="shared" si="3304"/>
        <v>Refund COSHARE 10</v>
      </c>
      <c r="H8095" s="2">
        <v>112.6</v>
      </c>
      <c r="I8095" t="str">
        <f>"MAZLAN BIN BAHARIN"</f>
        <v>MAZLAN BIN BAHARIN</v>
      </c>
      <c r="J8095" t="str">
        <f t="shared" si="3284"/>
        <v>BANK KERJASAMA RAKYAT</v>
      </c>
      <c r="K8095" t="str">
        <f>"220611022691"</f>
        <v>220611022691</v>
      </c>
      <c r="L8095" t="str">
        <f t="shared" si="3307"/>
        <v>04-08-2020</v>
      </c>
      <c r="M8095" t="str">
        <f t="shared" si="3307"/>
        <v>04-08-2020</v>
      </c>
      <c r="N8095" t="str">
        <f t="shared" si="3296"/>
        <v>001105018356</v>
      </c>
      <c r="O8095" t="str">
        <f t="shared" si="3297"/>
        <v>MYR</v>
      </c>
      <c r="P8095" t="str">
        <f t="shared" si="3308"/>
        <v>NIL</v>
      </c>
      <c r="Q8095" t="str">
        <f t="shared" si="3308"/>
        <v>NIL</v>
      </c>
      <c r="R8095" t="str">
        <f t="shared" si="3285"/>
        <v>Accepted</v>
      </c>
      <c r="S8095" t="str">
        <f t="shared" si="3298"/>
        <v>Approved</v>
      </c>
      <c r="T8095" t="str">
        <f t="shared" si="3286"/>
        <v>10.20.8.188</v>
      </c>
      <c r="U8095" t="str">
        <f t="shared" si="3299"/>
        <v>AZRAD UMAR BIN SHAARI</v>
      </c>
      <c r="V8095" t="str">
        <f t="shared" si="3300"/>
        <v>FARHANA BINTI MUSTAPA</v>
      </c>
      <c r="W8095" t="str">
        <f t="shared" si="3301"/>
        <v>04-08-2020</v>
      </c>
      <c r="X8095" t="str">
        <f t="shared" si="3302"/>
        <v>RAZIMAH ANSAR AHMAD</v>
      </c>
      <c r="Y8095" t="str">
        <f t="shared" si="3303"/>
        <v>04-08-2020</v>
      </c>
      <c r="Z8095" t="str">
        <f>"COS10200804 1059"</f>
        <v>COS10200804 1059</v>
      </c>
    </row>
    <row r="8096" spans="1:26" x14ac:dyDescent="0.25">
      <c r="A8096" t="str">
        <f t="shared" si="3305"/>
        <v>04-08-2020 12:31:59</v>
      </c>
      <c r="B8096" t="str">
        <f>"0000802805"</f>
        <v>0000802805</v>
      </c>
      <c r="C8096" t="str">
        <f t="shared" si="3306"/>
        <v>0000802747</v>
      </c>
      <c r="D8096" t="str">
        <f t="shared" si="3293"/>
        <v>73185</v>
      </c>
      <c r="E8096" t="str">
        <f t="shared" si="3294"/>
        <v>KFH-OPERATIONS DEPARTMENT</v>
      </c>
      <c r="F8096" t="str">
        <f t="shared" si="3295"/>
        <v>IBG</v>
      </c>
      <c r="G8096" t="str">
        <f t="shared" si="3304"/>
        <v>Refund COSHARE 10</v>
      </c>
      <c r="H8096" s="2">
        <v>1748.5</v>
      </c>
      <c r="I8096" t="str">
        <f>"MAZALI  MAZLEE BIN MAHALI"</f>
        <v>MAZALI  MAZLEE BIN MAHALI</v>
      </c>
      <c r="J8096" t="str">
        <f t="shared" si="3284"/>
        <v>BANK KERJASAMA RAKYAT</v>
      </c>
      <c r="K8096" t="str">
        <f>"220711192795"</f>
        <v>220711192795</v>
      </c>
      <c r="L8096" t="str">
        <f t="shared" si="3307"/>
        <v>04-08-2020</v>
      </c>
      <c r="M8096" t="str">
        <f t="shared" si="3307"/>
        <v>04-08-2020</v>
      </c>
      <c r="N8096" t="str">
        <f t="shared" si="3296"/>
        <v>001105018356</v>
      </c>
      <c r="O8096" t="str">
        <f t="shared" si="3297"/>
        <v>MYR</v>
      </c>
      <c r="P8096" t="str">
        <f t="shared" si="3308"/>
        <v>NIL</v>
      </c>
      <c r="Q8096" t="str">
        <f t="shared" si="3308"/>
        <v>NIL</v>
      </c>
      <c r="R8096" t="str">
        <f t="shared" si="3285"/>
        <v>Accepted</v>
      </c>
      <c r="S8096" t="str">
        <f t="shared" si="3298"/>
        <v>Approved</v>
      </c>
      <c r="T8096" t="str">
        <f t="shared" si="3286"/>
        <v>10.20.8.188</v>
      </c>
      <c r="U8096" t="str">
        <f t="shared" si="3299"/>
        <v>AZRAD UMAR BIN SHAARI</v>
      </c>
      <c r="V8096" t="str">
        <f t="shared" si="3300"/>
        <v>FARHANA BINTI MUSTAPA</v>
      </c>
      <c r="W8096" t="str">
        <f t="shared" si="3301"/>
        <v>04-08-2020</v>
      </c>
      <c r="X8096" t="str">
        <f t="shared" si="3302"/>
        <v>RAZIMAH ANSAR AHMAD</v>
      </c>
      <c r="Y8096" t="str">
        <f t="shared" si="3303"/>
        <v>04-08-2020</v>
      </c>
      <c r="Z8096" t="str">
        <f>"COS10200804 1058"</f>
        <v>COS10200804 1058</v>
      </c>
    </row>
    <row r="8097" spans="1:26" x14ac:dyDescent="0.25">
      <c r="A8097" t="str">
        <f t="shared" si="3305"/>
        <v>04-08-2020 12:31:59</v>
      </c>
      <c r="B8097" t="str">
        <f>"0000802804"</f>
        <v>0000802804</v>
      </c>
      <c r="C8097" t="str">
        <f t="shared" si="3306"/>
        <v>0000802747</v>
      </c>
      <c r="D8097" t="str">
        <f t="shared" si="3293"/>
        <v>73185</v>
      </c>
      <c r="E8097" t="str">
        <f t="shared" si="3294"/>
        <v>KFH-OPERATIONS DEPARTMENT</v>
      </c>
      <c r="F8097" t="str">
        <f t="shared" si="3295"/>
        <v>IBG</v>
      </c>
      <c r="G8097" t="str">
        <f t="shared" si="3304"/>
        <v>Refund COSHARE 10</v>
      </c>
      <c r="H8097" s="2">
        <v>151.15</v>
      </c>
      <c r="I8097" t="str">
        <f>"MATILDA ANAK MICHAEL JITIN"</f>
        <v>MATILDA ANAK MICHAEL JITIN</v>
      </c>
      <c r="J8097" t="str">
        <f t="shared" si="3284"/>
        <v>BANK KERJASAMA RAKYAT</v>
      </c>
      <c r="K8097" t="str">
        <f>"220781054825"</f>
        <v>220781054825</v>
      </c>
      <c r="L8097" t="str">
        <f t="shared" si="3307"/>
        <v>04-08-2020</v>
      </c>
      <c r="M8097" t="str">
        <f t="shared" si="3307"/>
        <v>04-08-2020</v>
      </c>
      <c r="N8097" t="str">
        <f t="shared" si="3296"/>
        <v>001105018356</v>
      </c>
      <c r="O8097" t="str">
        <f t="shared" si="3297"/>
        <v>MYR</v>
      </c>
      <c r="P8097" t="str">
        <f t="shared" si="3308"/>
        <v>NIL</v>
      </c>
      <c r="Q8097" t="str">
        <f t="shared" si="3308"/>
        <v>NIL</v>
      </c>
      <c r="R8097" t="str">
        <f t="shared" si="3285"/>
        <v>Accepted</v>
      </c>
      <c r="S8097" t="str">
        <f t="shared" si="3298"/>
        <v>Approved</v>
      </c>
      <c r="T8097" t="str">
        <f t="shared" si="3286"/>
        <v>10.20.8.188</v>
      </c>
      <c r="U8097" t="str">
        <f t="shared" si="3299"/>
        <v>AZRAD UMAR BIN SHAARI</v>
      </c>
      <c r="V8097" t="str">
        <f t="shared" si="3300"/>
        <v>FARHANA BINTI MUSTAPA</v>
      </c>
      <c r="W8097" t="str">
        <f t="shared" si="3301"/>
        <v>04-08-2020</v>
      </c>
      <c r="X8097" t="str">
        <f t="shared" si="3302"/>
        <v>RAZIMAH ANSAR AHMAD</v>
      </c>
      <c r="Y8097" t="str">
        <f t="shared" si="3303"/>
        <v>04-08-2020</v>
      </c>
      <c r="Z8097" t="str">
        <f>"COS10200804 1057"</f>
        <v>COS10200804 1057</v>
      </c>
    </row>
    <row r="8098" spans="1:26" x14ac:dyDescent="0.25">
      <c r="A8098" t="str">
        <f t="shared" si="3305"/>
        <v>04-08-2020 12:31:59</v>
      </c>
      <c r="B8098" t="str">
        <f>"0000802803"</f>
        <v>0000802803</v>
      </c>
      <c r="C8098" t="str">
        <f t="shared" si="3306"/>
        <v>0000802747</v>
      </c>
      <c r="D8098" t="str">
        <f t="shared" si="3293"/>
        <v>73185</v>
      </c>
      <c r="E8098" t="str">
        <f t="shared" si="3294"/>
        <v>KFH-OPERATIONS DEPARTMENT</v>
      </c>
      <c r="F8098" t="str">
        <f t="shared" si="3295"/>
        <v>IBG</v>
      </c>
      <c r="G8098" t="str">
        <f t="shared" si="3304"/>
        <v>Refund COSHARE 10</v>
      </c>
      <c r="H8098" s="2">
        <v>92.35</v>
      </c>
      <c r="I8098" t="str">
        <f>"MATHAIR BIN ABDUL MALEK"</f>
        <v>MATHAIR BIN ABDUL MALEK</v>
      </c>
      <c r="J8098" t="str">
        <f t="shared" ref="J8098:J8161" si="3309">"BANK KERJASAMA RAKYAT"</f>
        <v>BANK KERJASAMA RAKYAT</v>
      </c>
      <c r="K8098" t="str">
        <f>"220601092539"</f>
        <v>220601092539</v>
      </c>
      <c r="L8098" t="str">
        <f t="shared" si="3307"/>
        <v>04-08-2020</v>
      </c>
      <c r="M8098" t="str">
        <f t="shared" si="3307"/>
        <v>04-08-2020</v>
      </c>
      <c r="N8098" t="str">
        <f t="shared" si="3296"/>
        <v>001105018356</v>
      </c>
      <c r="O8098" t="str">
        <f t="shared" si="3297"/>
        <v>MYR</v>
      </c>
      <c r="P8098" t="str">
        <f t="shared" si="3308"/>
        <v>NIL</v>
      </c>
      <c r="Q8098" t="str">
        <f t="shared" si="3308"/>
        <v>NIL</v>
      </c>
      <c r="R8098" t="str">
        <f t="shared" ref="R8098:R8161" si="3310">"Accepted"</f>
        <v>Accepted</v>
      </c>
      <c r="S8098" t="str">
        <f t="shared" si="3298"/>
        <v>Approved</v>
      </c>
      <c r="T8098" t="str">
        <f t="shared" ref="T8098:T8161" si="3311">"10.20.8.188"</f>
        <v>10.20.8.188</v>
      </c>
      <c r="U8098" t="str">
        <f t="shared" si="3299"/>
        <v>AZRAD UMAR BIN SHAARI</v>
      </c>
      <c r="V8098" t="str">
        <f t="shared" si="3300"/>
        <v>FARHANA BINTI MUSTAPA</v>
      </c>
      <c r="W8098" t="str">
        <f t="shared" si="3301"/>
        <v>04-08-2020</v>
      </c>
      <c r="X8098" t="str">
        <f t="shared" si="3302"/>
        <v>RAZIMAH ANSAR AHMAD</v>
      </c>
      <c r="Y8098" t="str">
        <f t="shared" si="3303"/>
        <v>04-08-2020</v>
      </c>
      <c r="Z8098" t="str">
        <f>"COS10200804 1056"</f>
        <v>COS10200804 1056</v>
      </c>
    </row>
    <row r="8099" spans="1:26" x14ac:dyDescent="0.25">
      <c r="A8099" t="str">
        <f t="shared" si="3305"/>
        <v>04-08-2020 12:31:59</v>
      </c>
      <c r="B8099" t="str">
        <f>"0000802802"</f>
        <v>0000802802</v>
      </c>
      <c r="C8099" t="str">
        <f t="shared" si="3306"/>
        <v>0000802747</v>
      </c>
      <c r="D8099" t="str">
        <f t="shared" si="3293"/>
        <v>73185</v>
      </c>
      <c r="E8099" t="str">
        <f t="shared" si="3294"/>
        <v>KFH-OPERATIONS DEPARTMENT</v>
      </c>
      <c r="F8099" t="str">
        <f t="shared" si="3295"/>
        <v>IBG</v>
      </c>
      <c r="G8099" t="str">
        <f t="shared" si="3304"/>
        <v>Refund COSHARE 10</v>
      </c>
      <c r="H8099" s="2">
        <v>42</v>
      </c>
      <c r="I8099" t="str">
        <f>"MAT RABUAN BIN AWANG AHMAD"</f>
        <v>MAT RABUAN BIN AWANG AHMAD</v>
      </c>
      <c r="J8099" t="str">
        <f t="shared" si="3309"/>
        <v>BANK KERJASAMA RAKYAT</v>
      </c>
      <c r="K8099" t="str">
        <f>"220241237688"</f>
        <v>220241237688</v>
      </c>
      <c r="L8099" t="str">
        <f t="shared" si="3307"/>
        <v>04-08-2020</v>
      </c>
      <c r="M8099" t="str">
        <f t="shared" si="3307"/>
        <v>04-08-2020</v>
      </c>
      <c r="N8099" t="str">
        <f t="shared" si="3296"/>
        <v>001105018356</v>
      </c>
      <c r="O8099" t="str">
        <f t="shared" si="3297"/>
        <v>MYR</v>
      </c>
      <c r="P8099" t="str">
        <f t="shared" si="3308"/>
        <v>NIL</v>
      </c>
      <c r="Q8099" t="str">
        <f t="shared" si="3308"/>
        <v>NIL</v>
      </c>
      <c r="R8099" t="str">
        <f t="shared" si="3310"/>
        <v>Accepted</v>
      </c>
      <c r="S8099" t="str">
        <f t="shared" si="3298"/>
        <v>Approved</v>
      </c>
      <c r="T8099" t="str">
        <f t="shared" si="3311"/>
        <v>10.20.8.188</v>
      </c>
      <c r="U8099" t="str">
        <f t="shared" si="3299"/>
        <v>AZRAD UMAR BIN SHAARI</v>
      </c>
      <c r="V8099" t="str">
        <f t="shared" si="3300"/>
        <v>FARHANA BINTI MUSTAPA</v>
      </c>
      <c r="W8099" t="str">
        <f t="shared" si="3301"/>
        <v>04-08-2020</v>
      </c>
      <c r="X8099" t="str">
        <f t="shared" si="3302"/>
        <v>RAZIMAH ANSAR AHMAD</v>
      </c>
      <c r="Y8099" t="str">
        <f t="shared" si="3303"/>
        <v>04-08-2020</v>
      </c>
      <c r="Z8099" t="str">
        <f>"COS10200804 1055"</f>
        <v>COS10200804 1055</v>
      </c>
    </row>
    <row r="8100" spans="1:26" x14ac:dyDescent="0.25">
      <c r="A8100" t="str">
        <f t="shared" si="3305"/>
        <v>04-08-2020 12:31:59</v>
      </c>
      <c r="B8100" t="str">
        <f>"0000802801"</f>
        <v>0000802801</v>
      </c>
      <c r="C8100" t="str">
        <f t="shared" si="3306"/>
        <v>0000802747</v>
      </c>
      <c r="D8100" t="str">
        <f t="shared" si="3293"/>
        <v>73185</v>
      </c>
      <c r="E8100" t="str">
        <f t="shared" si="3294"/>
        <v>KFH-OPERATIONS DEPARTMENT</v>
      </c>
      <c r="F8100" t="str">
        <f t="shared" si="3295"/>
        <v>IBG</v>
      </c>
      <c r="G8100" t="str">
        <f t="shared" si="3304"/>
        <v>Refund COSHARE 10</v>
      </c>
      <c r="H8100" s="2">
        <v>66.25</v>
      </c>
      <c r="I8100" t="str">
        <f>"MAT ALI BIN MAMAT"</f>
        <v>MAT ALI BIN MAMAT</v>
      </c>
      <c r="J8100" t="str">
        <f t="shared" si="3309"/>
        <v>BANK KERJASAMA RAKYAT</v>
      </c>
      <c r="K8100" t="str">
        <f>"220161289523"</f>
        <v>220161289523</v>
      </c>
      <c r="L8100" t="str">
        <f t="shared" si="3307"/>
        <v>04-08-2020</v>
      </c>
      <c r="M8100" t="str">
        <f t="shared" si="3307"/>
        <v>04-08-2020</v>
      </c>
      <c r="N8100" t="str">
        <f t="shared" si="3296"/>
        <v>001105018356</v>
      </c>
      <c r="O8100" t="str">
        <f t="shared" si="3297"/>
        <v>MYR</v>
      </c>
      <c r="P8100" t="str">
        <f t="shared" si="3308"/>
        <v>NIL</v>
      </c>
      <c r="Q8100" t="str">
        <f t="shared" si="3308"/>
        <v>NIL</v>
      </c>
      <c r="R8100" t="str">
        <f t="shared" si="3310"/>
        <v>Accepted</v>
      </c>
      <c r="S8100" t="str">
        <f t="shared" si="3298"/>
        <v>Approved</v>
      </c>
      <c r="T8100" t="str">
        <f t="shared" si="3311"/>
        <v>10.20.8.188</v>
      </c>
      <c r="U8100" t="str">
        <f t="shared" si="3299"/>
        <v>AZRAD UMAR BIN SHAARI</v>
      </c>
      <c r="V8100" t="str">
        <f t="shared" si="3300"/>
        <v>FARHANA BINTI MUSTAPA</v>
      </c>
      <c r="W8100" t="str">
        <f t="shared" si="3301"/>
        <v>04-08-2020</v>
      </c>
      <c r="X8100" t="str">
        <f t="shared" si="3302"/>
        <v>RAZIMAH ANSAR AHMAD</v>
      </c>
      <c r="Y8100" t="str">
        <f t="shared" si="3303"/>
        <v>04-08-2020</v>
      </c>
      <c r="Z8100" t="str">
        <f>"COS10200804 1054"</f>
        <v>COS10200804 1054</v>
      </c>
    </row>
    <row r="8101" spans="1:26" x14ac:dyDescent="0.25">
      <c r="A8101" t="str">
        <f t="shared" si="3305"/>
        <v>04-08-2020 12:31:59</v>
      </c>
      <c r="B8101" t="str">
        <f>"0000802800"</f>
        <v>0000802800</v>
      </c>
      <c r="C8101" t="str">
        <f t="shared" si="3306"/>
        <v>0000802747</v>
      </c>
      <c r="D8101" t="str">
        <f t="shared" si="3293"/>
        <v>73185</v>
      </c>
      <c r="E8101" t="str">
        <f t="shared" si="3294"/>
        <v>KFH-OPERATIONS DEPARTMENT</v>
      </c>
      <c r="F8101" t="str">
        <f t="shared" si="3295"/>
        <v>IBG</v>
      </c>
      <c r="G8101" t="str">
        <f t="shared" si="3304"/>
        <v>Refund COSHARE 10</v>
      </c>
      <c r="H8101" s="2">
        <v>344.2</v>
      </c>
      <c r="I8101" t="str">
        <f>"MASYITA BINTI MOHAMAD"</f>
        <v>MASYITA BINTI MOHAMAD</v>
      </c>
      <c r="J8101" t="str">
        <f t="shared" si="3309"/>
        <v>BANK KERJASAMA RAKYAT</v>
      </c>
      <c r="K8101" t="str">
        <f>"220821040412"</f>
        <v>220821040412</v>
      </c>
      <c r="L8101" t="str">
        <f t="shared" si="3307"/>
        <v>04-08-2020</v>
      </c>
      <c r="M8101" t="str">
        <f t="shared" si="3307"/>
        <v>04-08-2020</v>
      </c>
      <c r="N8101" t="str">
        <f t="shared" si="3296"/>
        <v>001105018356</v>
      </c>
      <c r="O8101" t="str">
        <f t="shared" si="3297"/>
        <v>MYR</v>
      </c>
      <c r="P8101" t="str">
        <f t="shared" si="3308"/>
        <v>NIL</v>
      </c>
      <c r="Q8101" t="str">
        <f t="shared" si="3308"/>
        <v>NIL</v>
      </c>
      <c r="R8101" t="str">
        <f t="shared" si="3310"/>
        <v>Accepted</v>
      </c>
      <c r="S8101" t="str">
        <f t="shared" si="3298"/>
        <v>Approved</v>
      </c>
      <c r="T8101" t="str">
        <f t="shared" si="3311"/>
        <v>10.20.8.188</v>
      </c>
      <c r="U8101" t="str">
        <f t="shared" si="3299"/>
        <v>AZRAD UMAR BIN SHAARI</v>
      </c>
      <c r="V8101" t="str">
        <f t="shared" si="3300"/>
        <v>FARHANA BINTI MUSTAPA</v>
      </c>
      <c r="W8101" t="str">
        <f t="shared" si="3301"/>
        <v>04-08-2020</v>
      </c>
      <c r="X8101" t="str">
        <f t="shared" si="3302"/>
        <v>RAZIMAH ANSAR AHMAD</v>
      </c>
      <c r="Y8101" t="str">
        <f t="shared" si="3303"/>
        <v>04-08-2020</v>
      </c>
      <c r="Z8101" t="str">
        <f>"COS10200804 1053"</f>
        <v>COS10200804 1053</v>
      </c>
    </row>
    <row r="8102" spans="1:26" x14ac:dyDescent="0.25">
      <c r="A8102" t="str">
        <f t="shared" si="3305"/>
        <v>04-08-2020 12:31:59</v>
      </c>
      <c r="B8102" t="str">
        <f>"0000802799"</f>
        <v>0000802799</v>
      </c>
      <c r="C8102" t="str">
        <f t="shared" si="3306"/>
        <v>0000802747</v>
      </c>
      <c r="D8102" t="str">
        <f t="shared" si="3293"/>
        <v>73185</v>
      </c>
      <c r="E8102" t="str">
        <f t="shared" si="3294"/>
        <v>KFH-OPERATIONS DEPARTMENT</v>
      </c>
      <c r="F8102" t="str">
        <f t="shared" si="3295"/>
        <v>IBG</v>
      </c>
      <c r="G8102" t="str">
        <f t="shared" si="3304"/>
        <v>Refund COSHARE 10</v>
      </c>
      <c r="H8102" s="2">
        <v>107.1</v>
      </c>
      <c r="I8102" t="str">
        <f>"MASRIKAH  HALIMAH BINTI SULAIMAN"</f>
        <v>MASRIKAH  HALIMAH BINTI SULAIMAN</v>
      </c>
      <c r="J8102" t="str">
        <f t="shared" si="3309"/>
        <v>BANK KERJASAMA RAKYAT</v>
      </c>
      <c r="K8102" t="str">
        <f>"220491040660"</f>
        <v>220491040660</v>
      </c>
      <c r="L8102" t="str">
        <f t="shared" si="3307"/>
        <v>04-08-2020</v>
      </c>
      <c r="M8102" t="str">
        <f t="shared" si="3307"/>
        <v>04-08-2020</v>
      </c>
      <c r="N8102" t="str">
        <f t="shared" si="3296"/>
        <v>001105018356</v>
      </c>
      <c r="O8102" t="str">
        <f t="shared" si="3297"/>
        <v>MYR</v>
      </c>
      <c r="P8102" t="str">
        <f t="shared" si="3308"/>
        <v>NIL</v>
      </c>
      <c r="Q8102" t="str">
        <f t="shared" si="3308"/>
        <v>NIL</v>
      </c>
      <c r="R8102" t="str">
        <f t="shared" si="3310"/>
        <v>Accepted</v>
      </c>
      <c r="S8102" t="str">
        <f t="shared" si="3298"/>
        <v>Approved</v>
      </c>
      <c r="T8102" t="str">
        <f t="shared" si="3311"/>
        <v>10.20.8.188</v>
      </c>
      <c r="U8102" t="str">
        <f t="shared" si="3299"/>
        <v>AZRAD UMAR BIN SHAARI</v>
      </c>
      <c r="V8102" t="str">
        <f t="shared" si="3300"/>
        <v>FARHANA BINTI MUSTAPA</v>
      </c>
      <c r="W8102" t="str">
        <f t="shared" si="3301"/>
        <v>04-08-2020</v>
      </c>
      <c r="X8102" t="str">
        <f t="shared" si="3302"/>
        <v>RAZIMAH ANSAR AHMAD</v>
      </c>
      <c r="Y8102" t="str">
        <f t="shared" si="3303"/>
        <v>04-08-2020</v>
      </c>
      <c r="Z8102" t="str">
        <f>"COS10200804 1052"</f>
        <v>COS10200804 1052</v>
      </c>
    </row>
    <row r="8103" spans="1:26" x14ac:dyDescent="0.25">
      <c r="A8103" t="str">
        <f t="shared" si="3305"/>
        <v>04-08-2020 12:31:59</v>
      </c>
      <c r="B8103" t="str">
        <f>"0000802798"</f>
        <v>0000802798</v>
      </c>
      <c r="C8103" t="str">
        <f t="shared" si="3306"/>
        <v>0000802747</v>
      </c>
      <c r="D8103" t="str">
        <f t="shared" si="3293"/>
        <v>73185</v>
      </c>
      <c r="E8103" t="str">
        <f t="shared" si="3294"/>
        <v>KFH-OPERATIONS DEPARTMENT</v>
      </c>
      <c r="F8103" t="str">
        <f t="shared" si="3295"/>
        <v>IBG</v>
      </c>
      <c r="G8103" t="str">
        <f t="shared" si="3304"/>
        <v>Refund COSHARE 10</v>
      </c>
      <c r="H8103" s="2">
        <v>381.1</v>
      </c>
      <c r="I8103" t="str">
        <f>"MASNIYA BINTI ABDULLAH SANI"</f>
        <v>MASNIYA BINTI ABDULLAH SANI</v>
      </c>
      <c r="J8103" t="str">
        <f t="shared" si="3309"/>
        <v>BANK KERJASAMA RAKYAT</v>
      </c>
      <c r="K8103" t="str">
        <f>"220661036411"</f>
        <v>220661036411</v>
      </c>
      <c r="L8103" t="str">
        <f t="shared" si="3307"/>
        <v>04-08-2020</v>
      </c>
      <c r="M8103" t="str">
        <f t="shared" si="3307"/>
        <v>04-08-2020</v>
      </c>
      <c r="N8103" t="str">
        <f t="shared" si="3296"/>
        <v>001105018356</v>
      </c>
      <c r="O8103" t="str">
        <f t="shared" si="3297"/>
        <v>MYR</v>
      </c>
      <c r="P8103" t="str">
        <f t="shared" si="3308"/>
        <v>NIL</v>
      </c>
      <c r="Q8103" t="str">
        <f t="shared" si="3308"/>
        <v>NIL</v>
      </c>
      <c r="R8103" t="str">
        <f t="shared" si="3310"/>
        <v>Accepted</v>
      </c>
      <c r="S8103" t="str">
        <f t="shared" si="3298"/>
        <v>Approved</v>
      </c>
      <c r="T8103" t="str">
        <f t="shared" si="3311"/>
        <v>10.20.8.188</v>
      </c>
      <c r="U8103" t="str">
        <f t="shared" si="3299"/>
        <v>AZRAD UMAR BIN SHAARI</v>
      </c>
      <c r="V8103" t="str">
        <f t="shared" si="3300"/>
        <v>FARHANA BINTI MUSTAPA</v>
      </c>
      <c r="W8103" t="str">
        <f t="shared" si="3301"/>
        <v>04-08-2020</v>
      </c>
      <c r="X8103" t="str">
        <f t="shared" si="3302"/>
        <v>RAZIMAH ANSAR AHMAD</v>
      </c>
      <c r="Y8103" t="str">
        <f t="shared" si="3303"/>
        <v>04-08-2020</v>
      </c>
      <c r="Z8103" t="str">
        <f>"COS10200804 1051"</f>
        <v>COS10200804 1051</v>
      </c>
    </row>
    <row r="8104" spans="1:26" x14ac:dyDescent="0.25">
      <c r="A8104" t="str">
        <f t="shared" si="3305"/>
        <v>04-08-2020 12:31:59</v>
      </c>
      <c r="B8104" t="str">
        <f>"0000802797"</f>
        <v>0000802797</v>
      </c>
      <c r="C8104" t="str">
        <f t="shared" si="3306"/>
        <v>0000802747</v>
      </c>
      <c r="D8104" t="str">
        <f t="shared" si="3293"/>
        <v>73185</v>
      </c>
      <c r="E8104" t="str">
        <f t="shared" si="3294"/>
        <v>KFH-OPERATIONS DEPARTMENT</v>
      </c>
      <c r="F8104" t="str">
        <f t="shared" si="3295"/>
        <v>IBG</v>
      </c>
      <c r="G8104" t="str">
        <f t="shared" si="3304"/>
        <v>Refund COSHARE 10</v>
      </c>
      <c r="H8104" s="2">
        <v>428.15</v>
      </c>
      <c r="I8104" t="str">
        <f>"MASLINAH BINTI BENEDICT"</f>
        <v>MASLINAH BINTI BENEDICT</v>
      </c>
      <c r="J8104" t="str">
        <f t="shared" si="3309"/>
        <v>BANK KERJASAMA RAKYAT</v>
      </c>
      <c r="K8104" t="str">
        <f>"220821115933"</f>
        <v>220821115933</v>
      </c>
      <c r="L8104" t="str">
        <f t="shared" si="3307"/>
        <v>04-08-2020</v>
      </c>
      <c r="M8104" t="str">
        <f t="shared" si="3307"/>
        <v>04-08-2020</v>
      </c>
      <c r="N8104" t="str">
        <f t="shared" si="3296"/>
        <v>001105018356</v>
      </c>
      <c r="O8104" t="str">
        <f t="shared" si="3297"/>
        <v>MYR</v>
      </c>
      <c r="P8104" t="str">
        <f t="shared" si="3308"/>
        <v>NIL</v>
      </c>
      <c r="Q8104" t="str">
        <f t="shared" si="3308"/>
        <v>NIL</v>
      </c>
      <c r="R8104" t="str">
        <f t="shared" si="3310"/>
        <v>Accepted</v>
      </c>
      <c r="S8104" t="str">
        <f t="shared" si="3298"/>
        <v>Approved</v>
      </c>
      <c r="T8104" t="str">
        <f t="shared" si="3311"/>
        <v>10.20.8.188</v>
      </c>
      <c r="U8104" t="str">
        <f t="shared" si="3299"/>
        <v>AZRAD UMAR BIN SHAARI</v>
      </c>
      <c r="V8104" t="str">
        <f t="shared" si="3300"/>
        <v>FARHANA BINTI MUSTAPA</v>
      </c>
      <c r="W8104" t="str">
        <f t="shared" si="3301"/>
        <v>04-08-2020</v>
      </c>
      <c r="X8104" t="str">
        <f t="shared" si="3302"/>
        <v>RAZIMAH ANSAR AHMAD</v>
      </c>
      <c r="Y8104" t="str">
        <f t="shared" si="3303"/>
        <v>04-08-2020</v>
      </c>
      <c r="Z8104" t="str">
        <f>"COS10200804 1050"</f>
        <v>COS10200804 1050</v>
      </c>
    </row>
    <row r="8105" spans="1:26" x14ac:dyDescent="0.25">
      <c r="A8105" t="str">
        <f t="shared" si="3305"/>
        <v>04-08-2020 12:31:59</v>
      </c>
      <c r="B8105" t="str">
        <f>"0000802796"</f>
        <v>0000802796</v>
      </c>
      <c r="C8105" t="str">
        <f t="shared" si="3306"/>
        <v>0000802747</v>
      </c>
      <c r="D8105" t="str">
        <f t="shared" si="3293"/>
        <v>73185</v>
      </c>
      <c r="E8105" t="str">
        <f t="shared" si="3294"/>
        <v>KFH-OPERATIONS DEPARTMENT</v>
      </c>
      <c r="F8105" t="str">
        <f t="shared" si="3295"/>
        <v>IBG</v>
      </c>
      <c r="G8105" t="str">
        <f t="shared" si="3304"/>
        <v>Refund COSHARE 10</v>
      </c>
      <c r="H8105" s="2">
        <v>75.599999999999994</v>
      </c>
      <c r="I8105" t="str">
        <f>"MARVEL ROBSON ANAK SALLEH"</f>
        <v>MARVEL ROBSON ANAK SALLEH</v>
      </c>
      <c r="J8105" t="str">
        <f t="shared" si="3309"/>
        <v>BANK KERJASAMA RAKYAT</v>
      </c>
      <c r="K8105" t="str">
        <f>"220171582392"</f>
        <v>220171582392</v>
      </c>
      <c r="L8105" t="str">
        <f t="shared" si="3307"/>
        <v>04-08-2020</v>
      </c>
      <c r="M8105" t="str">
        <f t="shared" si="3307"/>
        <v>04-08-2020</v>
      </c>
      <c r="N8105" t="str">
        <f t="shared" si="3296"/>
        <v>001105018356</v>
      </c>
      <c r="O8105" t="str">
        <f t="shared" si="3297"/>
        <v>MYR</v>
      </c>
      <c r="P8105" t="str">
        <f t="shared" si="3308"/>
        <v>NIL</v>
      </c>
      <c r="Q8105" t="str">
        <f t="shared" si="3308"/>
        <v>NIL</v>
      </c>
      <c r="R8105" t="str">
        <f t="shared" si="3310"/>
        <v>Accepted</v>
      </c>
      <c r="S8105" t="str">
        <f t="shared" si="3298"/>
        <v>Approved</v>
      </c>
      <c r="T8105" t="str">
        <f t="shared" si="3311"/>
        <v>10.20.8.188</v>
      </c>
      <c r="U8105" t="str">
        <f t="shared" si="3299"/>
        <v>AZRAD UMAR BIN SHAARI</v>
      </c>
      <c r="V8105" t="str">
        <f t="shared" si="3300"/>
        <v>FARHANA BINTI MUSTAPA</v>
      </c>
      <c r="W8105" t="str">
        <f t="shared" si="3301"/>
        <v>04-08-2020</v>
      </c>
      <c r="X8105" t="str">
        <f t="shared" si="3302"/>
        <v>RAZIMAH ANSAR AHMAD</v>
      </c>
      <c r="Y8105" t="str">
        <f t="shared" si="3303"/>
        <v>04-08-2020</v>
      </c>
      <c r="Z8105" t="str">
        <f>"COS10200804 1049"</f>
        <v>COS10200804 1049</v>
      </c>
    </row>
    <row r="8106" spans="1:26" x14ac:dyDescent="0.25">
      <c r="A8106" t="str">
        <f t="shared" si="3305"/>
        <v>04-08-2020 12:31:59</v>
      </c>
      <c r="B8106" t="str">
        <f>"0000802795"</f>
        <v>0000802795</v>
      </c>
      <c r="C8106" t="str">
        <f t="shared" si="3306"/>
        <v>0000802747</v>
      </c>
      <c r="D8106" t="str">
        <f t="shared" si="3293"/>
        <v>73185</v>
      </c>
      <c r="E8106" t="str">
        <f t="shared" si="3294"/>
        <v>KFH-OPERATIONS DEPARTMENT</v>
      </c>
      <c r="F8106" t="str">
        <f t="shared" si="3295"/>
        <v>IBG</v>
      </c>
      <c r="G8106" t="str">
        <f t="shared" si="3304"/>
        <v>Refund COSHARE 10</v>
      </c>
      <c r="H8106" s="2">
        <v>42</v>
      </c>
      <c r="I8106" t="str">
        <f>"MARINA BINTI MOHAMAD"</f>
        <v>MARINA BINTI MOHAMAD</v>
      </c>
      <c r="J8106" t="str">
        <f t="shared" si="3309"/>
        <v>BANK KERJASAMA RAKYAT</v>
      </c>
      <c r="K8106" t="str">
        <f>"220591175905"</f>
        <v>220591175905</v>
      </c>
      <c r="L8106" t="str">
        <f t="shared" si="3307"/>
        <v>04-08-2020</v>
      </c>
      <c r="M8106" t="str">
        <f t="shared" si="3307"/>
        <v>04-08-2020</v>
      </c>
      <c r="N8106" t="str">
        <f t="shared" si="3296"/>
        <v>001105018356</v>
      </c>
      <c r="O8106" t="str">
        <f t="shared" si="3297"/>
        <v>MYR</v>
      </c>
      <c r="P8106" t="str">
        <f t="shared" si="3308"/>
        <v>NIL</v>
      </c>
      <c r="Q8106" t="str">
        <f t="shared" si="3308"/>
        <v>NIL</v>
      </c>
      <c r="R8106" t="str">
        <f t="shared" si="3310"/>
        <v>Accepted</v>
      </c>
      <c r="S8106" t="str">
        <f t="shared" si="3298"/>
        <v>Approved</v>
      </c>
      <c r="T8106" t="str">
        <f t="shared" si="3311"/>
        <v>10.20.8.188</v>
      </c>
      <c r="U8106" t="str">
        <f t="shared" si="3299"/>
        <v>AZRAD UMAR BIN SHAARI</v>
      </c>
      <c r="V8106" t="str">
        <f t="shared" si="3300"/>
        <v>FARHANA BINTI MUSTAPA</v>
      </c>
      <c r="W8106" t="str">
        <f t="shared" si="3301"/>
        <v>04-08-2020</v>
      </c>
      <c r="X8106" t="str">
        <f t="shared" si="3302"/>
        <v>RAZIMAH ANSAR AHMAD</v>
      </c>
      <c r="Y8106" t="str">
        <f t="shared" si="3303"/>
        <v>04-08-2020</v>
      </c>
      <c r="Z8106" t="str">
        <f>"COS10200804 1048"</f>
        <v>COS10200804 1048</v>
      </c>
    </row>
    <row r="8107" spans="1:26" x14ac:dyDescent="0.25">
      <c r="A8107" t="str">
        <f t="shared" si="3305"/>
        <v>04-08-2020 12:31:59</v>
      </c>
      <c r="B8107" t="str">
        <f>"0000802794"</f>
        <v>0000802794</v>
      </c>
      <c r="C8107" t="str">
        <f t="shared" si="3306"/>
        <v>0000802747</v>
      </c>
      <c r="D8107" t="str">
        <f t="shared" si="3293"/>
        <v>73185</v>
      </c>
      <c r="E8107" t="str">
        <f t="shared" si="3294"/>
        <v>KFH-OPERATIONS DEPARTMENT</v>
      </c>
      <c r="F8107" t="str">
        <f t="shared" si="3295"/>
        <v>IBG</v>
      </c>
      <c r="G8107" t="str">
        <f t="shared" si="3304"/>
        <v>Refund COSHARE 10</v>
      </c>
      <c r="H8107" s="2">
        <v>317.60000000000002</v>
      </c>
      <c r="I8107" t="str">
        <f>"MARIBI BIN BUJANG"</f>
        <v>MARIBI BIN BUJANG</v>
      </c>
      <c r="J8107" t="str">
        <f t="shared" si="3309"/>
        <v>BANK KERJASAMA RAKYAT</v>
      </c>
      <c r="K8107" t="str">
        <f>"220541121992"</f>
        <v>220541121992</v>
      </c>
      <c r="L8107" t="str">
        <f t="shared" ref="L8107:M8126" si="3312">"04-08-2020"</f>
        <v>04-08-2020</v>
      </c>
      <c r="M8107" t="str">
        <f t="shared" si="3312"/>
        <v>04-08-2020</v>
      </c>
      <c r="N8107" t="str">
        <f t="shared" si="3296"/>
        <v>001105018356</v>
      </c>
      <c r="O8107" t="str">
        <f t="shared" si="3297"/>
        <v>MYR</v>
      </c>
      <c r="P8107" t="str">
        <f t="shared" ref="P8107:Q8126" si="3313">"NIL"</f>
        <v>NIL</v>
      </c>
      <c r="Q8107" t="str">
        <f t="shared" si="3313"/>
        <v>NIL</v>
      </c>
      <c r="R8107" t="str">
        <f t="shared" si="3310"/>
        <v>Accepted</v>
      </c>
      <c r="S8107" t="str">
        <f t="shared" si="3298"/>
        <v>Approved</v>
      </c>
      <c r="T8107" t="str">
        <f t="shared" si="3311"/>
        <v>10.20.8.188</v>
      </c>
      <c r="U8107" t="str">
        <f t="shared" si="3299"/>
        <v>AZRAD UMAR BIN SHAARI</v>
      </c>
      <c r="V8107" t="str">
        <f t="shared" si="3300"/>
        <v>FARHANA BINTI MUSTAPA</v>
      </c>
      <c r="W8107" t="str">
        <f t="shared" si="3301"/>
        <v>04-08-2020</v>
      </c>
      <c r="X8107" t="str">
        <f t="shared" si="3302"/>
        <v>RAZIMAH ANSAR AHMAD</v>
      </c>
      <c r="Y8107" t="str">
        <f t="shared" si="3303"/>
        <v>04-08-2020</v>
      </c>
      <c r="Z8107" t="str">
        <f>"COS10200804 1047"</f>
        <v>COS10200804 1047</v>
      </c>
    </row>
    <row r="8108" spans="1:26" x14ac:dyDescent="0.25">
      <c r="A8108" t="str">
        <f t="shared" si="3305"/>
        <v>04-08-2020 12:31:59</v>
      </c>
      <c r="B8108" t="str">
        <f>"0000802793"</f>
        <v>0000802793</v>
      </c>
      <c r="C8108" t="str">
        <f t="shared" si="3306"/>
        <v>0000802747</v>
      </c>
      <c r="D8108" t="str">
        <f t="shared" si="3293"/>
        <v>73185</v>
      </c>
      <c r="E8108" t="str">
        <f t="shared" si="3294"/>
        <v>KFH-OPERATIONS DEPARTMENT</v>
      </c>
      <c r="F8108" t="str">
        <f t="shared" si="3295"/>
        <v>IBG</v>
      </c>
      <c r="G8108" t="str">
        <f t="shared" si="3304"/>
        <v>Refund COSHARE 10</v>
      </c>
      <c r="H8108" s="2">
        <v>304</v>
      </c>
      <c r="I8108" t="str">
        <f>"MARIANI BINTI MAT ISA"</f>
        <v>MARIANI BINTI MAT ISA</v>
      </c>
      <c r="J8108" t="str">
        <f t="shared" si="3309"/>
        <v>BANK KERJASAMA RAKYAT</v>
      </c>
      <c r="K8108" t="str">
        <f>"220021395568"</f>
        <v>220021395568</v>
      </c>
      <c r="L8108" t="str">
        <f t="shared" si="3312"/>
        <v>04-08-2020</v>
      </c>
      <c r="M8108" t="str">
        <f t="shared" si="3312"/>
        <v>04-08-2020</v>
      </c>
      <c r="N8108" t="str">
        <f t="shared" si="3296"/>
        <v>001105018356</v>
      </c>
      <c r="O8108" t="str">
        <f t="shared" si="3297"/>
        <v>MYR</v>
      </c>
      <c r="P8108" t="str">
        <f t="shared" si="3313"/>
        <v>NIL</v>
      </c>
      <c r="Q8108" t="str">
        <f t="shared" si="3313"/>
        <v>NIL</v>
      </c>
      <c r="R8108" t="str">
        <f t="shared" si="3310"/>
        <v>Accepted</v>
      </c>
      <c r="S8108" t="str">
        <f t="shared" si="3298"/>
        <v>Approved</v>
      </c>
      <c r="T8108" t="str">
        <f t="shared" si="3311"/>
        <v>10.20.8.188</v>
      </c>
      <c r="U8108" t="str">
        <f t="shared" si="3299"/>
        <v>AZRAD UMAR BIN SHAARI</v>
      </c>
      <c r="V8108" t="str">
        <f t="shared" si="3300"/>
        <v>FARHANA BINTI MUSTAPA</v>
      </c>
      <c r="W8108" t="str">
        <f t="shared" si="3301"/>
        <v>04-08-2020</v>
      </c>
      <c r="X8108" t="str">
        <f t="shared" si="3302"/>
        <v>RAZIMAH ANSAR AHMAD</v>
      </c>
      <c r="Y8108" t="str">
        <f t="shared" si="3303"/>
        <v>04-08-2020</v>
      </c>
      <c r="Z8108" t="str">
        <f>"COS10200804 1046"</f>
        <v>COS10200804 1046</v>
      </c>
    </row>
    <row r="8109" spans="1:26" x14ac:dyDescent="0.25">
      <c r="A8109" t="str">
        <f t="shared" si="3305"/>
        <v>04-08-2020 12:31:59</v>
      </c>
      <c r="B8109" t="str">
        <f>"0000802792"</f>
        <v>0000802792</v>
      </c>
      <c r="C8109" t="str">
        <f t="shared" si="3306"/>
        <v>0000802747</v>
      </c>
      <c r="D8109" t="str">
        <f t="shared" si="3293"/>
        <v>73185</v>
      </c>
      <c r="E8109" t="str">
        <f t="shared" si="3294"/>
        <v>KFH-OPERATIONS DEPARTMENT</v>
      </c>
      <c r="F8109" t="str">
        <f t="shared" si="3295"/>
        <v>IBG</v>
      </c>
      <c r="G8109" t="str">
        <f t="shared" si="3304"/>
        <v>Refund COSHARE 10</v>
      </c>
      <c r="H8109" s="2">
        <v>635.20000000000005</v>
      </c>
      <c r="I8109" t="str">
        <f>"MARIAM BINTI A RAHAMAN"</f>
        <v>MARIAM BINTI A RAHAMAN</v>
      </c>
      <c r="J8109" t="str">
        <f t="shared" si="3309"/>
        <v>BANK KERJASAMA RAKYAT</v>
      </c>
      <c r="K8109" t="str">
        <f>"220811004590"</f>
        <v>220811004590</v>
      </c>
      <c r="L8109" t="str">
        <f t="shared" si="3312"/>
        <v>04-08-2020</v>
      </c>
      <c r="M8109" t="str">
        <f t="shared" si="3312"/>
        <v>04-08-2020</v>
      </c>
      <c r="N8109" t="str">
        <f t="shared" si="3296"/>
        <v>001105018356</v>
      </c>
      <c r="O8109" t="str">
        <f t="shared" si="3297"/>
        <v>MYR</v>
      </c>
      <c r="P8109" t="str">
        <f t="shared" si="3313"/>
        <v>NIL</v>
      </c>
      <c r="Q8109" t="str">
        <f t="shared" si="3313"/>
        <v>NIL</v>
      </c>
      <c r="R8109" t="str">
        <f t="shared" si="3310"/>
        <v>Accepted</v>
      </c>
      <c r="S8109" t="str">
        <f t="shared" si="3298"/>
        <v>Approved</v>
      </c>
      <c r="T8109" t="str">
        <f t="shared" si="3311"/>
        <v>10.20.8.188</v>
      </c>
      <c r="U8109" t="str">
        <f t="shared" si="3299"/>
        <v>AZRAD UMAR BIN SHAARI</v>
      </c>
      <c r="V8109" t="str">
        <f t="shared" si="3300"/>
        <v>FARHANA BINTI MUSTAPA</v>
      </c>
      <c r="W8109" t="str">
        <f t="shared" si="3301"/>
        <v>04-08-2020</v>
      </c>
      <c r="X8109" t="str">
        <f t="shared" si="3302"/>
        <v>RAZIMAH ANSAR AHMAD</v>
      </c>
      <c r="Y8109" t="str">
        <f t="shared" si="3303"/>
        <v>04-08-2020</v>
      </c>
      <c r="Z8109" t="str">
        <f>"COS10200804 1045"</f>
        <v>COS10200804 1045</v>
      </c>
    </row>
    <row r="8110" spans="1:26" x14ac:dyDescent="0.25">
      <c r="A8110" t="str">
        <f t="shared" si="3305"/>
        <v>04-08-2020 12:31:59</v>
      </c>
      <c r="B8110" t="str">
        <f>"0000802791"</f>
        <v>0000802791</v>
      </c>
      <c r="C8110" t="str">
        <f t="shared" si="3306"/>
        <v>0000802747</v>
      </c>
      <c r="D8110" t="str">
        <f t="shared" si="3293"/>
        <v>73185</v>
      </c>
      <c r="E8110" t="str">
        <f t="shared" si="3294"/>
        <v>KFH-OPERATIONS DEPARTMENT</v>
      </c>
      <c r="F8110" t="str">
        <f t="shared" si="3295"/>
        <v>IBG</v>
      </c>
      <c r="G8110" t="str">
        <f t="shared" si="3304"/>
        <v>Refund COSHARE 10</v>
      </c>
      <c r="H8110" s="2">
        <v>100.75</v>
      </c>
      <c r="I8110" t="str">
        <f>"MARIA MANISAH BINTI MAIDIN"</f>
        <v>MARIA MANISAH BINTI MAIDIN</v>
      </c>
      <c r="J8110" t="str">
        <f t="shared" si="3309"/>
        <v>BANK KERJASAMA RAKYAT</v>
      </c>
      <c r="K8110" t="str">
        <f>"220841093329"</f>
        <v>220841093329</v>
      </c>
      <c r="L8110" t="str">
        <f t="shared" si="3312"/>
        <v>04-08-2020</v>
      </c>
      <c r="M8110" t="str">
        <f t="shared" si="3312"/>
        <v>04-08-2020</v>
      </c>
      <c r="N8110" t="str">
        <f t="shared" si="3296"/>
        <v>001105018356</v>
      </c>
      <c r="O8110" t="str">
        <f t="shared" si="3297"/>
        <v>MYR</v>
      </c>
      <c r="P8110" t="str">
        <f t="shared" si="3313"/>
        <v>NIL</v>
      </c>
      <c r="Q8110" t="str">
        <f t="shared" si="3313"/>
        <v>NIL</v>
      </c>
      <c r="R8110" t="str">
        <f t="shared" si="3310"/>
        <v>Accepted</v>
      </c>
      <c r="S8110" t="str">
        <f t="shared" si="3298"/>
        <v>Approved</v>
      </c>
      <c r="T8110" t="str">
        <f t="shared" si="3311"/>
        <v>10.20.8.188</v>
      </c>
      <c r="U8110" t="str">
        <f t="shared" si="3299"/>
        <v>AZRAD UMAR BIN SHAARI</v>
      </c>
      <c r="V8110" t="str">
        <f t="shared" si="3300"/>
        <v>FARHANA BINTI MUSTAPA</v>
      </c>
      <c r="W8110" t="str">
        <f t="shared" si="3301"/>
        <v>04-08-2020</v>
      </c>
      <c r="X8110" t="str">
        <f t="shared" si="3302"/>
        <v>RAZIMAH ANSAR AHMAD</v>
      </c>
      <c r="Y8110" t="str">
        <f t="shared" si="3303"/>
        <v>04-08-2020</v>
      </c>
      <c r="Z8110" t="str">
        <f>"COS10200804 1044"</f>
        <v>COS10200804 1044</v>
      </c>
    </row>
    <row r="8111" spans="1:26" x14ac:dyDescent="0.25">
      <c r="A8111" t="str">
        <f t="shared" si="3305"/>
        <v>04-08-2020 12:31:59</v>
      </c>
      <c r="B8111" t="str">
        <f>"0000802790"</f>
        <v>0000802790</v>
      </c>
      <c r="C8111" t="str">
        <f t="shared" si="3306"/>
        <v>0000802747</v>
      </c>
      <c r="D8111" t="str">
        <f t="shared" si="3293"/>
        <v>73185</v>
      </c>
      <c r="E8111" t="str">
        <f t="shared" si="3294"/>
        <v>KFH-OPERATIONS DEPARTMENT</v>
      </c>
      <c r="F8111" t="str">
        <f t="shared" si="3295"/>
        <v>IBG</v>
      </c>
      <c r="G8111" t="str">
        <f t="shared" si="3304"/>
        <v>Refund COSHARE 10</v>
      </c>
      <c r="H8111" s="2">
        <v>159.5</v>
      </c>
      <c r="I8111" t="str">
        <f>"MALIZA BINTI MAHAT"</f>
        <v>MALIZA BINTI MAHAT</v>
      </c>
      <c r="J8111" t="str">
        <f t="shared" si="3309"/>
        <v>BANK KERJASAMA RAKYAT</v>
      </c>
      <c r="K8111" t="str">
        <f>"220111551894"</f>
        <v>220111551894</v>
      </c>
      <c r="L8111" t="str">
        <f t="shared" si="3312"/>
        <v>04-08-2020</v>
      </c>
      <c r="M8111" t="str">
        <f t="shared" si="3312"/>
        <v>04-08-2020</v>
      </c>
      <c r="N8111" t="str">
        <f t="shared" si="3296"/>
        <v>001105018356</v>
      </c>
      <c r="O8111" t="str">
        <f t="shared" si="3297"/>
        <v>MYR</v>
      </c>
      <c r="P8111" t="str">
        <f t="shared" si="3313"/>
        <v>NIL</v>
      </c>
      <c r="Q8111" t="str">
        <f t="shared" si="3313"/>
        <v>NIL</v>
      </c>
      <c r="R8111" t="str">
        <f t="shared" si="3310"/>
        <v>Accepted</v>
      </c>
      <c r="S8111" t="str">
        <f t="shared" si="3298"/>
        <v>Approved</v>
      </c>
      <c r="T8111" t="str">
        <f t="shared" si="3311"/>
        <v>10.20.8.188</v>
      </c>
      <c r="U8111" t="str">
        <f t="shared" si="3299"/>
        <v>AZRAD UMAR BIN SHAARI</v>
      </c>
      <c r="V8111" t="str">
        <f t="shared" si="3300"/>
        <v>FARHANA BINTI MUSTAPA</v>
      </c>
      <c r="W8111" t="str">
        <f t="shared" si="3301"/>
        <v>04-08-2020</v>
      </c>
      <c r="X8111" t="str">
        <f t="shared" si="3302"/>
        <v>RAZIMAH ANSAR AHMAD</v>
      </c>
      <c r="Y8111" t="str">
        <f t="shared" si="3303"/>
        <v>04-08-2020</v>
      </c>
      <c r="Z8111" t="str">
        <f>"COS10200804 1043"</f>
        <v>COS10200804 1043</v>
      </c>
    </row>
    <row r="8112" spans="1:26" x14ac:dyDescent="0.25">
      <c r="A8112" t="str">
        <f t="shared" si="3305"/>
        <v>04-08-2020 12:31:59</v>
      </c>
      <c r="B8112" t="str">
        <f>"0000802789"</f>
        <v>0000802789</v>
      </c>
      <c r="C8112" t="str">
        <f t="shared" si="3306"/>
        <v>0000802747</v>
      </c>
      <c r="D8112" t="str">
        <f t="shared" si="3293"/>
        <v>73185</v>
      </c>
      <c r="E8112" t="str">
        <f t="shared" si="3294"/>
        <v>KFH-OPERATIONS DEPARTMENT</v>
      </c>
      <c r="F8112" t="str">
        <f t="shared" si="3295"/>
        <v>IBG</v>
      </c>
      <c r="G8112" t="str">
        <f t="shared" si="3304"/>
        <v>Refund COSHARE 10</v>
      </c>
      <c r="H8112" s="2">
        <v>123.05</v>
      </c>
      <c r="I8112" t="str">
        <f>"MAJIN BIN BULAT"</f>
        <v>MAJIN BIN BULAT</v>
      </c>
      <c r="J8112" t="str">
        <f t="shared" si="3309"/>
        <v>BANK KERJASAMA RAKYAT</v>
      </c>
      <c r="K8112" t="str">
        <f>"220711082524"</f>
        <v>220711082524</v>
      </c>
      <c r="L8112" t="str">
        <f t="shared" si="3312"/>
        <v>04-08-2020</v>
      </c>
      <c r="M8112" t="str">
        <f t="shared" si="3312"/>
        <v>04-08-2020</v>
      </c>
      <c r="N8112" t="str">
        <f t="shared" si="3296"/>
        <v>001105018356</v>
      </c>
      <c r="O8112" t="str">
        <f t="shared" si="3297"/>
        <v>MYR</v>
      </c>
      <c r="P8112" t="str">
        <f t="shared" si="3313"/>
        <v>NIL</v>
      </c>
      <c r="Q8112" t="str">
        <f t="shared" si="3313"/>
        <v>NIL</v>
      </c>
      <c r="R8112" t="str">
        <f t="shared" si="3310"/>
        <v>Accepted</v>
      </c>
      <c r="S8112" t="str">
        <f t="shared" si="3298"/>
        <v>Approved</v>
      </c>
      <c r="T8112" t="str">
        <f t="shared" si="3311"/>
        <v>10.20.8.188</v>
      </c>
      <c r="U8112" t="str">
        <f t="shared" si="3299"/>
        <v>AZRAD UMAR BIN SHAARI</v>
      </c>
      <c r="V8112" t="str">
        <f t="shared" si="3300"/>
        <v>FARHANA BINTI MUSTAPA</v>
      </c>
      <c r="W8112" t="str">
        <f t="shared" si="3301"/>
        <v>04-08-2020</v>
      </c>
      <c r="X8112" t="str">
        <f t="shared" si="3302"/>
        <v>RAZIMAH ANSAR AHMAD</v>
      </c>
      <c r="Y8112" t="str">
        <f t="shared" si="3303"/>
        <v>04-08-2020</v>
      </c>
      <c r="Z8112" t="str">
        <f>"COS10200804 1042"</f>
        <v>COS10200804 1042</v>
      </c>
    </row>
    <row r="8113" spans="1:26" x14ac:dyDescent="0.25">
      <c r="A8113" t="str">
        <f t="shared" si="3305"/>
        <v>04-08-2020 12:31:59</v>
      </c>
      <c r="B8113" t="str">
        <f>"0000802788"</f>
        <v>0000802788</v>
      </c>
      <c r="C8113" t="str">
        <f t="shared" si="3306"/>
        <v>0000802747</v>
      </c>
      <c r="D8113" t="str">
        <f t="shared" si="3293"/>
        <v>73185</v>
      </c>
      <c r="E8113" t="str">
        <f t="shared" si="3294"/>
        <v>KFH-OPERATIONS DEPARTMENT</v>
      </c>
      <c r="F8113" t="str">
        <f t="shared" si="3295"/>
        <v>IBG</v>
      </c>
      <c r="G8113" t="str">
        <f t="shared" si="3304"/>
        <v>Refund COSHARE 10</v>
      </c>
      <c r="H8113" s="2">
        <v>164.7</v>
      </c>
      <c r="I8113" t="str">
        <f>"MAIZURA BINTI DERASED"</f>
        <v>MAIZURA BINTI DERASED</v>
      </c>
      <c r="J8113" t="str">
        <f t="shared" si="3309"/>
        <v>BANK KERJASAMA RAKYAT</v>
      </c>
      <c r="K8113" t="str">
        <f>"220881226879"</f>
        <v>220881226879</v>
      </c>
      <c r="L8113" t="str">
        <f t="shared" si="3312"/>
        <v>04-08-2020</v>
      </c>
      <c r="M8113" t="str">
        <f t="shared" si="3312"/>
        <v>04-08-2020</v>
      </c>
      <c r="N8113" t="str">
        <f t="shared" si="3296"/>
        <v>001105018356</v>
      </c>
      <c r="O8113" t="str">
        <f t="shared" si="3297"/>
        <v>MYR</v>
      </c>
      <c r="P8113" t="str">
        <f t="shared" si="3313"/>
        <v>NIL</v>
      </c>
      <c r="Q8113" t="str">
        <f t="shared" si="3313"/>
        <v>NIL</v>
      </c>
      <c r="R8113" t="str">
        <f t="shared" si="3310"/>
        <v>Accepted</v>
      </c>
      <c r="S8113" t="str">
        <f t="shared" si="3298"/>
        <v>Approved</v>
      </c>
      <c r="T8113" t="str">
        <f t="shared" si="3311"/>
        <v>10.20.8.188</v>
      </c>
      <c r="U8113" t="str">
        <f t="shared" si="3299"/>
        <v>AZRAD UMAR BIN SHAARI</v>
      </c>
      <c r="V8113" t="str">
        <f t="shared" si="3300"/>
        <v>FARHANA BINTI MUSTAPA</v>
      </c>
      <c r="W8113" t="str">
        <f t="shared" si="3301"/>
        <v>04-08-2020</v>
      </c>
      <c r="X8113" t="str">
        <f t="shared" si="3302"/>
        <v>RAZIMAH ANSAR AHMAD</v>
      </c>
      <c r="Y8113" t="str">
        <f t="shared" si="3303"/>
        <v>04-08-2020</v>
      </c>
      <c r="Z8113" t="str">
        <f>"COS10200804 1041"</f>
        <v>COS10200804 1041</v>
      </c>
    </row>
    <row r="8114" spans="1:26" x14ac:dyDescent="0.25">
      <c r="A8114" t="str">
        <f t="shared" ref="A8114:A8145" si="3314">"04-08-2020 12:31:59"</f>
        <v>04-08-2020 12:31:59</v>
      </c>
      <c r="B8114" t="str">
        <f>"0000802787"</f>
        <v>0000802787</v>
      </c>
      <c r="C8114" t="str">
        <f t="shared" ref="C8114:C8145" si="3315">"0000802747"</f>
        <v>0000802747</v>
      </c>
      <c r="D8114" t="str">
        <f t="shared" si="3293"/>
        <v>73185</v>
      </c>
      <c r="E8114" t="str">
        <f t="shared" si="3294"/>
        <v>KFH-OPERATIONS DEPARTMENT</v>
      </c>
      <c r="F8114" t="str">
        <f t="shared" si="3295"/>
        <v>IBG</v>
      </c>
      <c r="G8114" t="str">
        <f t="shared" si="3304"/>
        <v>Refund COSHARE 10</v>
      </c>
      <c r="H8114" s="2">
        <v>844.45</v>
      </c>
      <c r="I8114" t="str">
        <f>"MAIMON BINTI MU"</f>
        <v>MAIMON BINTI MU</v>
      </c>
      <c r="J8114" t="str">
        <f t="shared" si="3309"/>
        <v>BANK KERJASAMA RAKYAT</v>
      </c>
      <c r="K8114" t="str">
        <f>"220541012561"</f>
        <v>220541012561</v>
      </c>
      <c r="L8114" t="str">
        <f t="shared" si="3312"/>
        <v>04-08-2020</v>
      </c>
      <c r="M8114" t="str">
        <f t="shared" si="3312"/>
        <v>04-08-2020</v>
      </c>
      <c r="N8114" t="str">
        <f t="shared" si="3296"/>
        <v>001105018356</v>
      </c>
      <c r="O8114" t="str">
        <f t="shared" si="3297"/>
        <v>MYR</v>
      </c>
      <c r="P8114" t="str">
        <f t="shared" si="3313"/>
        <v>NIL</v>
      </c>
      <c r="Q8114" t="str">
        <f t="shared" si="3313"/>
        <v>NIL</v>
      </c>
      <c r="R8114" t="str">
        <f t="shared" si="3310"/>
        <v>Accepted</v>
      </c>
      <c r="S8114" t="str">
        <f t="shared" si="3298"/>
        <v>Approved</v>
      </c>
      <c r="T8114" t="str">
        <f t="shared" si="3311"/>
        <v>10.20.8.188</v>
      </c>
      <c r="U8114" t="str">
        <f t="shared" si="3299"/>
        <v>AZRAD UMAR BIN SHAARI</v>
      </c>
      <c r="V8114" t="str">
        <f t="shared" si="3300"/>
        <v>FARHANA BINTI MUSTAPA</v>
      </c>
      <c r="W8114" t="str">
        <f t="shared" si="3301"/>
        <v>04-08-2020</v>
      </c>
      <c r="X8114" t="str">
        <f t="shared" si="3302"/>
        <v>RAZIMAH ANSAR AHMAD</v>
      </c>
      <c r="Y8114" t="str">
        <f t="shared" si="3303"/>
        <v>04-08-2020</v>
      </c>
      <c r="Z8114" t="str">
        <f>"COS10200804 1040"</f>
        <v>COS10200804 1040</v>
      </c>
    </row>
    <row r="8115" spans="1:26" x14ac:dyDescent="0.25">
      <c r="A8115" t="str">
        <f t="shared" si="3314"/>
        <v>04-08-2020 12:31:59</v>
      </c>
      <c r="B8115" t="str">
        <f>"0000802786"</f>
        <v>0000802786</v>
      </c>
      <c r="C8115" t="str">
        <f t="shared" si="3315"/>
        <v>0000802747</v>
      </c>
      <c r="D8115" t="str">
        <f t="shared" si="3293"/>
        <v>73185</v>
      </c>
      <c r="E8115" t="str">
        <f t="shared" si="3294"/>
        <v>KFH-OPERATIONS DEPARTMENT</v>
      </c>
      <c r="F8115" t="str">
        <f t="shared" si="3295"/>
        <v>IBG</v>
      </c>
      <c r="G8115" t="str">
        <f t="shared" si="3304"/>
        <v>Refund COSHARE 10</v>
      </c>
      <c r="H8115" s="2">
        <v>512.4</v>
      </c>
      <c r="I8115" t="str">
        <f>"MAHMUD BIN NAIM"</f>
        <v>MAHMUD BIN NAIM</v>
      </c>
      <c r="J8115" t="str">
        <f t="shared" si="3309"/>
        <v>BANK KERJASAMA RAKYAT</v>
      </c>
      <c r="K8115" t="str">
        <f>"220541212873"</f>
        <v>220541212873</v>
      </c>
      <c r="L8115" t="str">
        <f t="shared" si="3312"/>
        <v>04-08-2020</v>
      </c>
      <c r="M8115" t="str">
        <f t="shared" si="3312"/>
        <v>04-08-2020</v>
      </c>
      <c r="N8115" t="str">
        <f t="shared" si="3296"/>
        <v>001105018356</v>
      </c>
      <c r="O8115" t="str">
        <f t="shared" si="3297"/>
        <v>MYR</v>
      </c>
      <c r="P8115" t="str">
        <f t="shared" si="3313"/>
        <v>NIL</v>
      </c>
      <c r="Q8115" t="str">
        <f t="shared" si="3313"/>
        <v>NIL</v>
      </c>
      <c r="R8115" t="str">
        <f t="shared" si="3310"/>
        <v>Accepted</v>
      </c>
      <c r="S8115" t="str">
        <f t="shared" si="3298"/>
        <v>Approved</v>
      </c>
      <c r="T8115" t="str">
        <f t="shared" si="3311"/>
        <v>10.20.8.188</v>
      </c>
      <c r="U8115" t="str">
        <f t="shared" si="3299"/>
        <v>AZRAD UMAR BIN SHAARI</v>
      </c>
      <c r="V8115" t="str">
        <f t="shared" si="3300"/>
        <v>FARHANA BINTI MUSTAPA</v>
      </c>
      <c r="W8115" t="str">
        <f t="shared" si="3301"/>
        <v>04-08-2020</v>
      </c>
      <c r="X8115" t="str">
        <f t="shared" si="3302"/>
        <v>RAZIMAH ANSAR AHMAD</v>
      </c>
      <c r="Y8115" t="str">
        <f t="shared" si="3303"/>
        <v>04-08-2020</v>
      </c>
      <c r="Z8115" t="str">
        <f>"COS10200804 1039"</f>
        <v>COS10200804 1039</v>
      </c>
    </row>
    <row r="8116" spans="1:26" x14ac:dyDescent="0.25">
      <c r="A8116" t="str">
        <f t="shared" si="3314"/>
        <v>04-08-2020 12:31:59</v>
      </c>
      <c r="B8116" t="str">
        <f>"0000802785"</f>
        <v>0000802785</v>
      </c>
      <c r="C8116" t="str">
        <f t="shared" si="3315"/>
        <v>0000802747</v>
      </c>
      <c r="D8116" t="str">
        <f t="shared" si="3293"/>
        <v>73185</v>
      </c>
      <c r="E8116" t="str">
        <f t="shared" si="3294"/>
        <v>KFH-OPERATIONS DEPARTMENT</v>
      </c>
      <c r="F8116" t="str">
        <f t="shared" si="3295"/>
        <v>IBG</v>
      </c>
      <c r="G8116" t="str">
        <f t="shared" si="3304"/>
        <v>Refund COSHARE 10</v>
      </c>
      <c r="H8116" s="2">
        <v>762.2</v>
      </c>
      <c r="I8116" t="str">
        <f>"MAHAMAD REDZO BIN ARIPIN"</f>
        <v>MAHAMAD REDZO BIN ARIPIN</v>
      </c>
      <c r="J8116" t="str">
        <f t="shared" si="3309"/>
        <v>BANK KERJASAMA RAKYAT</v>
      </c>
      <c r="K8116" t="str">
        <f>"220271010043"</f>
        <v>220271010043</v>
      </c>
      <c r="L8116" t="str">
        <f t="shared" si="3312"/>
        <v>04-08-2020</v>
      </c>
      <c r="M8116" t="str">
        <f t="shared" si="3312"/>
        <v>04-08-2020</v>
      </c>
      <c r="N8116" t="str">
        <f t="shared" si="3296"/>
        <v>001105018356</v>
      </c>
      <c r="O8116" t="str">
        <f t="shared" si="3297"/>
        <v>MYR</v>
      </c>
      <c r="P8116" t="str">
        <f t="shared" si="3313"/>
        <v>NIL</v>
      </c>
      <c r="Q8116" t="str">
        <f t="shared" si="3313"/>
        <v>NIL</v>
      </c>
      <c r="R8116" t="str">
        <f t="shared" si="3310"/>
        <v>Accepted</v>
      </c>
      <c r="S8116" t="str">
        <f t="shared" si="3298"/>
        <v>Approved</v>
      </c>
      <c r="T8116" t="str">
        <f t="shared" si="3311"/>
        <v>10.20.8.188</v>
      </c>
      <c r="U8116" t="str">
        <f t="shared" si="3299"/>
        <v>AZRAD UMAR BIN SHAARI</v>
      </c>
      <c r="V8116" t="str">
        <f t="shared" si="3300"/>
        <v>FARHANA BINTI MUSTAPA</v>
      </c>
      <c r="W8116" t="str">
        <f t="shared" si="3301"/>
        <v>04-08-2020</v>
      </c>
      <c r="X8116" t="str">
        <f t="shared" si="3302"/>
        <v>RAZIMAH ANSAR AHMAD</v>
      </c>
      <c r="Y8116" t="str">
        <f t="shared" si="3303"/>
        <v>04-08-2020</v>
      </c>
      <c r="Z8116" t="str">
        <f>"COS10200804 1038"</f>
        <v>COS10200804 1038</v>
      </c>
    </row>
    <row r="8117" spans="1:26" x14ac:dyDescent="0.25">
      <c r="A8117" t="str">
        <f t="shared" si="3314"/>
        <v>04-08-2020 12:31:59</v>
      </c>
      <c r="B8117" t="str">
        <f>"0000802784"</f>
        <v>0000802784</v>
      </c>
      <c r="C8117" t="str">
        <f t="shared" si="3315"/>
        <v>0000802747</v>
      </c>
      <c r="D8117" t="str">
        <f t="shared" si="3293"/>
        <v>73185</v>
      </c>
      <c r="E8117" t="str">
        <f t="shared" si="3294"/>
        <v>KFH-OPERATIONS DEPARTMENT</v>
      </c>
      <c r="F8117" t="str">
        <f t="shared" si="3295"/>
        <v>IBG</v>
      </c>
      <c r="G8117" t="str">
        <f t="shared" si="3304"/>
        <v>Refund COSHARE 10</v>
      </c>
      <c r="H8117" s="2">
        <v>1290</v>
      </c>
      <c r="I8117" t="str">
        <f>"MAGESWARI AP RANGGASAMY"</f>
        <v>MAGESWARI AP RANGGASAMY</v>
      </c>
      <c r="J8117" t="str">
        <f t="shared" si="3309"/>
        <v>BANK KERJASAMA RAKYAT</v>
      </c>
      <c r="K8117" t="str">
        <f>"220681187118"</f>
        <v>220681187118</v>
      </c>
      <c r="L8117" t="str">
        <f t="shared" si="3312"/>
        <v>04-08-2020</v>
      </c>
      <c r="M8117" t="str">
        <f t="shared" si="3312"/>
        <v>04-08-2020</v>
      </c>
      <c r="N8117" t="str">
        <f t="shared" si="3296"/>
        <v>001105018356</v>
      </c>
      <c r="O8117" t="str">
        <f t="shared" si="3297"/>
        <v>MYR</v>
      </c>
      <c r="P8117" t="str">
        <f t="shared" si="3313"/>
        <v>NIL</v>
      </c>
      <c r="Q8117" t="str">
        <f t="shared" si="3313"/>
        <v>NIL</v>
      </c>
      <c r="R8117" t="str">
        <f t="shared" si="3310"/>
        <v>Accepted</v>
      </c>
      <c r="S8117" t="str">
        <f t="shared" si="3298"/>
        <v>Approved</v>
      </c>
      <c r="T8117" t="str">
        <f t="shared" si="3311"/>
        <v>10.20.8.188</v>
      </c>
      <c r="U8117" t="str">
        <f t="shared" si="3299"/>
        <v>AZRAD UMAR BIN SHAARI</v>
      </c>
      <c r="V8117" t="str">
        <f t="shared" si="3300"/>
        <v>FARHANA BINTI MUSTAPA</v>
      </c>
      <c r="W8117" t="str">
        <f t="shared" si="3301"/>
        <v>04-08-2020</v>
      </c>
      <c r="X8117" t="str">
        <f t="shared" si="3302"/>
        <v>RAZIMAH ANSAR AHMAD</v>
      </c>
      <c r="Y8117" t="str">
        <f t="shared" si="3303"/>
        <v>04-08-2020</v>
      </c>
      <c r="Z8117" t="str">
        <f>"COS10200804 1037"</f>
        <v>COS10200804 1037</v>
      </c>
    </row>
    <row r="8118" spans="1:26" x14ac:dyDescent="0.25">
      <c r="A8118" t="str">
        <f t="shared" si="3314"/>
        <v>04-08-2020 12:31:59</v>
      </c>
      <c r="B8118" t="str">
        <f>"0000802783"</f>
        <v>0000802783</v>
      </c>
      <c r="C8118" t="str">
        <f t="shared" si="3315"/>
        <v>0000802747</v>
      </c>
      <c r="D8118" t="str">
        <f t="shared" si="3293"/>
        <v>73185</v>
      </c>
      <c r="E8118" t="str">
        <f t="shared" si="3294"/>
        <v>KFH-OPERATIONS DEPARTMENT</v>
      </c>
      <c r="F8118" t="str">
        <f t="shared" si="3295"/>
        <v>IBG</v>
      </c>
      <c r="G8118" t="str">
        <f t="shared" si="3304"/>
        <v>Refund COSHARE 10</v>
      </c>
      <c r="H8118" s="2">
        <v>823.5</v>
      </c>
      <c r="I8118" t="str">
        <f>"MAD HAZELAN BIN ABDULLAH"</f>
        <v>MAD HAZELAN BIN ABDULLAH</v>
      </c>
      <c r="J8118" t="str">
        <f t="shared" si="3309"/>
        <v>BANK KERJASAMA RAKYAT</v>
      </c>
      <c r="K8118" t="str">
        <f>"220502179378"</f>
        <v>220502179378</v>
      </c>
      <c r="L8118" t="str">
        <f t="shared" si="3312"/>
        <v>04-08-2020</v>
      </c>
      <c r="M8118" t="str">
        <f t="shared" si="3312"/>
        <v>04-08-2020</v>
      </c>
      <c r="N8118" t="str">
        <f t="shared" si="3296"/>
        <v>001105018356</v>
      </c>
      <c r="O8118" t="str">
        <f t="shared" si="3297"/>
        <v>MYR</v>
      </c>
      <c r="P8118" t="str">
        <f t="shared" si="3313"/>
        <v>NIL</v>
      </c>
      <c r="Q8118" t="str">
        <f t="shared" si="3313"/>
        <v>NIL</v>
      </c>
      <c r="R8118" t="str">
        <f t="shared" si="3310"/>
        <v>Accepted</v>
      </c>
      <c r="S8118" t="str">
        <f t="shared" si="3298"/>
        <v>Approved</v>
      </c>
      <c r="T8118" t="str">
        <f t="shared" si="3311"/>
        <v>10.20.8.188</v>
      </c>
      <c r="U8118" t="str">
        <f t="shared" si="3299"/>
        <v>AZRAD UMAR BIN SHAARI</v>
      </c>
      <c r="V8118" t="str">
        <f t="shared" si="3300"/>
        <v>FARHANA BINTI MUSTAPA</v>
      </c>
      <c r="W8118" t="str">
        <f t="shared" si="3301"/>
        <v>04-08-2020</v>
      </c>
      <c r="X8118" t="str">
        <f t="shared" si="3302"/>
        <v>RAZIMAH ANSAR AHMAD</v>
      </c>
      <c r="Y8118" t="str">
        <f t="shared" si="3303"/>
        <v>04-08-2020</v>
      </c>
      <c r="Z8118" t="str">
        <f>"COS10200804 1036"</f>
        <v>COS10200804 1036</v>
      </c>
    </row>
    <row r="8119" spans="1:26" x14ac:dyDescent="0.25">
      <c r="A8119" t="str">
        <f t="shared" si="3314"/>
        <v>04-08-2020 12:31:59</v>
      </c>
      <c r="B8119" t="str">
        <f>"0000802782"</f>
        <v>0000802782</v>
      </c>
      <c r="C8119" t="str">
        <f t="shared" si="3315"/>
        <v>0000802747</v>
      </c>
      <c r="D8119" t="str">
        <f t="shared" si="3293"/>
        <v>73185</v>
      </c>
      <c r="E8119" t="str">
        <f t="shared" si="3294"/>
        <v>KFH-OPERATIONS DEPARTMENT</v>
      </c>
      <c r="F8119" t="str">
        <f t="shared" si="3295"/>
        <v>IBG</v>
      </c>
      <c r="G8119" t="str">
        <f t="shared" si="3304"/>
        <v>Refund COSHARE 10</v>
      </c>
      <c r="H8119" s="2">
        <v>46</v>
      </c>
      <c r="I8119" t="str">
        <f>"LYDIANER BINTI DAUD"</f>
        <v>LYDIANER BINTI DAUD</v>
      </c>
      <c r="J8119" t="str">
        <f t="shared" si="3309"/>
        <v>BANK KERJASAMA RAKYAT</v>
      </c>
      <c r="K8119" t="str">
        <f>"220781080807"</f>
        <v>220781080807</v>
      </c>
      <c r="L8119" t="str">
        <f t="shared" si="3312"/>
        <v>04-08-2020</v>
      </c>
      <c r="M8119" t="str">
        <f t="shared" si="3312"/>
        <v>04-08-2020</v>
      </c>
      <c r="N8119" t="str">
        <f t="shared" si="3296"/>
        <v>001105018356</v>
      </c>
      <c r="O8119" t="str">
        <f t="shared" si="3297"/>
        <v>MYR</v>
      </c>
      <c r="P8119" t="str">
        <f t="shared" si="3313"/>
        <v>NIL</v>
      </c>
      <c r="Q8119" t="str">
        <f t="shared" si="3313"/>
        <v>NIL</v>
      </c>
      <c r="R8119" t="str">
        <f t="shared" si="3310"/>
        <v>Accepted</v>
      </c>
      <c r="S8119" t="str">
        <f t="shared" si="3298"/>
        <v>Approved</v>
      </c>
      <c r="T8119" t="str">
        <f t="shared" si="3311"/>
        <v>10.20.8.188</v>
      </c>
      <c r="U8119" t="str">
        <f t="shared" si="3299"/>
        <v>AZRAD UMAR BIN SHAARI</v>
      </c>
      <c r="V8119" t="str">
        <f t="shared" si="3300"/>
        <v>FARHANA BINTI MUSTAPA</v>
      </c>
      <c r="W8119" t="str">
        <f t="shared" si="3301"/>
        <v>04-08-2020</v>
      </c>
      <c r="X8119" t="str">
        <f t="shared" si="3302"/>
        <v>RAZIMAH ANSAR AHMAD</v>
      </c>
      <c r="Y8119" t="str">
        <f t="shared" si="3303"/>
        <v>04-08-2020</v>
      </c>
      <c r="Z8119" t="str">
        <f>"COS10200804 1035"</f>
        <v>COS10200804 1035</v>
      </c>
    </row>
    <row r="8120" spans="1:26" x14ac:dyDescent="0.25">
      <c r="A8120" t="str">
        <f t="shared" si="3314"/>
        <v>04-08-2020 12:31:59</v>
      </c>
      <c r="B8120" t="str">
        <f>"0000802781"</f>
        <v>0000802781</v>
      </c>
      <c r="C8120" t="str">
        <f t="shared" si="3315"/>
        <v>0000802747</v>
      </c>
      <c r="D8120" t="str">
        <f t="shared" si="3293"/>
        <v>73185</v>
      </c>
      <c r="E8120" t="str">
        <f t="shared" si="3294"/>
        <v>KFH-OPERATIONS DEPARTMENT</v>
      </c>
      <c r="F8120" t="str">
        <f t="shared" si="3295"/>
        <v>IBG</v>
      </c>
      <c r="G8120" t="str">
        <f t="shared" si="3304"/>
        <v>Refund COSHARE 10</v>
      </c>
      <c r="H8120" s="2">
        <v>137</v>
      </c>
      <c r="I8120" t="str">
        <f>"LUCY MINDU ANAK KAYAN"</f>
        <v>LUCY MINDU ANAK KAYAN</v>
      </c>
      <c r="J8120" t="str">
        <f t="shared" si="3309"/>
        <v>BANK KERJASAMA RAKYAT</v>
      </c>
      <c r="K8120" t="str">
        <f>"220901025102"</f>
        <v>220901025102</v>
      </c>
      <c r="L8120" t="str">
        <f t="shared" si="3312"/>
        <v>04-08-2020</v>
      </c>
      <c r="M8120" t="str">
        <f t="shared" si="3312"/>
        <v>04-08-2020</v>
      </c>
      <c r="N8120" t="str">
        <f t="shared" si="3296"/>
        <v>001105018356</v>
      </c>
      <c r="O8120" t="str">
        <f t="shared" si="3297"/>
        <v>MYR</v>
      </c>
      <c r="P8120" t="str">
        <f t="shared" si="3313"/>
        <v>NIL</v>
      </c>
      <c r="Q8120" t="str">
        <f t="shared" si="3313"/>
        <v>NIL</v>
      </c>
      <c r="R8120" t="str">
        <f t="shared" si="3310"/>
        <v>Accepted</v>
      </c>
      <c r="S8120" t="str">
        <f t="shared" si="3298"/>
        <v>Approved</v>
      </c>
      <c r="T8120" t="str">
        <f t="shared" si="3311"/>
        <v>10.20.8.188</v>
      </c>
      <c r="U8120" t="str">
        <f t="shared" si="3299"/>
        <v>AZRAD UMAR BIN SHAARI</v>
      </c>
      <c r="V8120" t="str">
        <f t="shared" si="3300"/>
        <v>FARHANA BINTI MUSTAPA</v>
      </c>
      <c r="W8120" t="str">
        <f t="shared" si="3301"/>
        <v>04-08-2020</v>
      </c>
      <c r="X8120" t="str">
        <f t="shared" si="3302"/>
        <v>RAZIMAH ANSAR AHMAD</v>
      </c>
      <c r="Y8120" t="str">
        <f t="shared" si="3303"/>
        <v>04-08-2020</v>
      </c>
      <c r="Z8120" t="str">
        <f>"COS10200804 1034"</f>
        <v>COS10200804 1034</v>
      </c>
    </row>
    <row r="8121" spans="1:26" x14ac:dyDescent="0.25">
      <c r="A8121" t="str">
        <f t="shared" si="3314"/>
        <v>04-08-2020 12:31:59</v>
      </c>
      <c r="B8121" t="str">
        <f>"0000802780"</f>
        <v>0000802780</v>
      </c>
      <c r="C8121" t="str">
        <f t="shared" si="3315"/>
        <v>0000802747</v>
      </c>
      <c r="D8121" t="str">
        <f t="shared" si="3293"/>
        <v>73185</v>
      </c>
      <c r="E8121" t="str">
        <f t="shared" si="3294"/>
        <v>KFH-OPERATIONS DEPARTMENT</v>
      </c>
      <c r="F8121" t="str">
        <f t="shared" si="3295"/>
        <v>IBG</v>
      </c>
      <c r="G8121" t="str">
        <f t="shared" si="3304"/>
        <v>Refund COSHARE 10</v>
      </c>
      <c r="H8121" s="2">
        <v>714</v>
      </c>
      <c r="I8121" t="str">
        <f>"LORAINYE CHERYL BINTI KAMPIL"</f>
        <v>LORAINYE CHERYL BINTI KAMPIL</v>
      </c>
      <c r="J8121" t="str">
        <f t="shared" si="3309"/>
        <v>BANK KERJASAMA RAKYAT</v>
      </c>
      <c r="K8121" t="str">
        <f>"221351157015"</f>
        <v>221351157015</v>
      </c>
      <c r="L8121" t="str">
        <f t="shared" si="3312"/>
        <v>04-08-2020</v>
      </c>
      <c r="M8121" t="str">
        <f t="shared" si="3312"/>
        <v>04-08-2020</v>
      </c>
      <c r="N8121" t="str">
        <f t="shared" si="3296"/>
        <v>001105018356</v>
      </c>
      <c r="O8121" t="str">
        <f t="shared" si="3297"/>
        <v>MYR</v>
      </c>
      <c r="P8121" t="str">
        <f t="shared" si="3313"/>
        <v>NIL</v>
      </c>
      <c r="Q8121" t="str">
        <f t="shared" si="3313"/>
        <v>NIL</v>
      </c>
      <c r="R8121" t="str">
        <f t="shared" si="3310"/>
        <v>Accepted</v>
      </c>
      <c r="S8121" t="str">
        <f t="shared" si="3298"/>
        <v>Approved</v>
      </c>
      <c r="T8121" t="str">
        <f t="shared" si="3311"/>
        <v>10.20.8.188</v>
      </c>
      <c r="U8121" t="str">
        <f t="shared" si="3299"/>
        <v>AZRAD UMAR BIN SHAARI</v>
      </c>
      <c r="V8121" t="str">
        <f t="shared" si="3300"/>
        <v>FARHANA BINTI MUSTAPA</v>
      </c>
      <c r="W8121" t="str">
        <f t="shared" si="3301"/>
        <v>04-08-2020</v>
      </c>
      <c r="X8121" t="str">
        <f t="shared" si="3302"/>
        <v>RAZIMAH ANSAR AHMAD</v>
      </c>
      <c r="Y8121" t="str">
        <f t="shared" si="3303"/>
        <v>04-08-2020</v>
      </c>
      <c r="Z8121" t="str">
        <f>"COS10200804 1033"</f>
        <v>COS10200804 1033</v>
      </c>
    </row>
    <row r="8122" spans="1:26" x14ac:dyDescent="0.25">
      <c r="A8122" t="str">
        <f t="shared" si="3314"/>
        <v>04-08-2020 12:31:59</v>
      </c>
      <c r="B8122" t="str">
        <f>"0000802779"</f>
        <v>0000802779</v>
      </c>
      <c r="C8122" t="str">
        <f t="shared" si="3315"/>
        <v>0000802747</v>
      </c>
      <c r="D8122" t="str">
        <f t="shared" si="3293"/>
        <v>73185</v>
      </c>
      <c r="E8122" t="str">
        <f t="shared" si="3294"/>
        <v>KFH-OPERATIONS DEPARTMENT</v>
      </c>
      <c r="F8122" t="str">
        <f t="shared" si="3295"/>
        <v>IBG</v>
      </c>
      <c r="G8122" t="str">
        <f t="shared" si="3304"/>
        <v>Refund COSHARE 10</v>
      </c>
      <c r="H8122" s="2">
        <v>1234.0999999999999</v>
      </c>
      <c r="I8122" t="str">
        <f>"LOEWELLA"</f>
        <v>LOEWELLA</v>
      </c>
      <c r="J8122" t="str">
        <f t="shared" si="3309"/>
        <v>BANK KERJASAMA RAKYAT</v>
      </c>
      <c r="K8122" t="str">
        <f>"220781221467"</f>
        <v>220781221467</v>
      </c>
      <c r="L8122" t="str">
        <f t="shared" si="3312"/>
        <v>04-08-2020</v>
      </c>
      <c r="M8122" t="str">
        <f t="shared" si="3312"/>
        <v>04-08-2020</v>
      </c>
      <c r="N8122" t="str">
        <f t="shared" si="3296"/>
        <v>001105018356</v>
      </c>
      <c r="O8122" t="str">
        <f t="shared" si="3297"/>
        <v>MYR</v>
      </c>
      <c r="P8122" t="str">
        <f t="shared" si="3313"/>
        <v>NIL</v>
      </c>
      <c r="Q8122" t="str">
        <f t="shared" si="3313"/>
        <v>NIL</v>
      </c>
      <c r="R8122" t="str">
        <f t="shared" si="3310"/>
        <v>Accepted</v>
      </c>
      <c r="S8122" t="str">
        <f t="shared" si="3298"/>
        <v>Approved</v>
      </c>
      <c r="T8122" t="str">
        <f t="shared" si="3311"/>
        <v>10.20.8.188</v>
      </c>
      <c r="U8122" t="str">
        <f t="shared" si="3299"/>
        <v>AZRAD UMAR BIN SHAARI</v>
      </c>
      <c r="V8122" t="str">
        <f t="shared" si="3300"/>
        <v>FARHANA BINTI MUSTAPA</v>
      </c>
      <c r="W8122" t="str">
        <f t="shared" si="3301"/>
        <v>04-08-2020</v>
      </c>
      <c r="X8122" t="str">
        <f t="shared" si="3302"/>
        <v>RAZIMAH ANSAR AHMAD</v>
      </c>
      <c r="Y8122" t="str">
        <f t="shared" si="3303"/>
        <v>04-08-2020</v>
      </c>
      <c r="Z8122" t="str">
        <f>"COS10200804 1032"</f>
        <v>COS10200804 1032</v>
      </c>
    </row>
    <row r="8123" spans="1:26" x14ac:dyDescent="0.25">
      <c r="A8123" t="str">
        <f t="shared" si="3314"/>
        <v>04-08-2020 12:31:59</v>
      </c>
      <c r="B8123" t="str">
        <f>"0000802778"</f>
        <v>0000802778</v>
      </c>
      <c r="C8123" t="str">
        <f t="shared" si="3315"/>
        <v>0000802747</v>
      </c>
      <c r="D8123" t="str">
        <f t="shared" si="3293"/>
        <v>73185</v>
      </c>
      <c r="E8123" t="str">
        <f t="shared" si="3294"/>
        <v>KFH-OPERATIONS DEPARTMENT</v>
      </c>
      <c r="F8123" t="str">
        <f t="shared" si="3295"/>
        <v>IBG</v>
      </c>
      <c r="G8123" t="str">
        <f t="shared" si="3304"/>
        <v>Refund COSHARE 10</v>
      </c>
      <c r="H8123" s="2">
        <v>67.2</v>
      </c>
      <c r="I8123" t="str">
        <f>"LIZAH JAMES"</f>
        <v>LIZAH JAMES</v>
      </c>
      <c r="J8123" t="str">
        <f t="shared" si="3309"/>
        <v>BANK KERJASAMA RAKYAT</v>
      </c>
      <c r="K8123" t="str">
        <f>"220821201803"</f>
        <v>220821201803</v>
      </c>
      <c r="L8123" t="str">
        <f t="shared" si="3312"/>
        <v>04-08-2020</v>
      </c>
      <c r="M8123" t="str">
        <f t="shared" si="3312"/>
        <v>04-08-2020</v>
      </c>
      <c r="N8123" t="str">
        <f t="shared" si="3296"/>
        <v>001105018356</v>
      </c>
      <c r="O8123" t="str">
        <f t="shared" si="3297"/>
        <v>MYR</v>
      </c>
      <c r="P8123" t="str">
        <f t="shared" si="3313"/>
        <v>NIL</v>
      </c>
      <c r="Q8123" t="str">
        <f t="shared" si="3313"/>
        <v>NIL</v>
      </c>
      <c r="R8123" t="str">
        <f t="shared" si="3310"/>
        <v>Accepted</v>
      </c>
      <c r="S8123" t="str">
        <f t="shared" si="3298"/>
        <v>Approved</v>
      </c>
      <c r="T8123" t="str">
        <f t="shared" si="3311"/>
        <v>10.20.8.188</v>
      </c>
      <c r="U8123" t="str">
        <f t="shared" si="3299"/>
        <v>AZRAD UMAR BIN SHAARI</v>
      </c>
      <c r="V8123" t="str">
        <f t="shared" si="3300"/>
        <v>FARHANA BINTI MUSTAPA</v>
      </c>
      <c r="W8123" t="str">
        <f t="shared" si="3301"/>
        <v>04-08-2020</v>
      </c>
      <c r="X8123" t="str">
        <f t="shared" si="3302"/>
        <v>RAZIMAH ANSAR AHMAD</v>
      </c>
      <c r="Y8123" t="str">
        <f t="shared" si="3303"/>
        <v>04-08-2020</v>
      </c>
      <c r="Z8123" t="str">
        <f>"COS10200804 1031"</f>
        <v>COS10200804 1031</v>
      </c>
    </row>
    <row r="8124" spans="1:26" x14ac:dyDescent="0.25">
      <c r="A8124" t="str">
        <f t="shared" si="3314"/>
        <v>04-08-2020 12:31:59</v>
      </c>
      <c r="B8124" t="str">
        <f>"0000802777"</f>
        <v>0000802777</v>
      </c>
      <c r="C8124" t="str">
        <f t="shared" si="3315"/>
        <v>0000802747</v>
      </c>
      <c r="D8124" t="str">
        <f t="shared" si="3293"/>
        <v>73185</v>
      </c>
      <c r="E8124" t="str">
        <f t="shared" si="3294"/>
        <v>KFH-OPERATIONS DEPARTMENT</v>
      </c>
      <c r="F8124" t="str">
        <f t="shared" si="3295"/>
        <v>IBG</v>
      </c>
      <c r="G8124" t="str">
        <f t="shared" si="3304"/>
        <v>Refund COSHARE 10</v>
      </c>
      <c r="H8124" s="2">
        <v>193.1</v>
      </c>
      <c r="I8124" t="str">
        <f>"LILLY ANAK DAUD"</f>
        <v>LILLY ANAK DAUD</v>
      </c>
      <c r="J8124" t="str">
        <f t="shared" si="3309"/>
        <v>BANK KERJASAMA RAKYAT</v>
      </c>
      <c r="K8124" t="str">
        <f>"220731119061"</f>
        <v>220731119061</v>
      </c>
      <c r="L8124" t="str">
        <f t="shared" si="3312"/>
        <v>04-08-2020</v>
      </c>
      <c r="M8124" t="str">
        <f t="shared" si="3312"/>
        <v>04-08-2020</v>
      </c>
      <c r="N8124" t="str">
        <f t="shared" si="3296"/>
        <v>001105018356</v>
      </c>
      <c r="O8124" t="str">
        <f t="shared" si="3297"/>
        <v>MYR</v>
      </c>
      <c r="P8124" t="str">
        <f t="shared" si="3313"/>
        <v>NIL</v>
      </c>
      <c r="Q8124" t="str">
        <f t="shared" si="3313"/>
        <v>NIL</v>
      </c>
      <c r="R8124" t="str">
        <f t="shared" si="3310"/>
        <v>Accepted</v>
      </c>
      <c r="S8124" t="str">
        <f t="shared" si="3298"/>
        <v>Approved</v>
      </c>
      <c r="T8124" t="str">
        <f t="shared" si="3311"/>
        <v>10.20.8.188</v>
      </c>
      <c r="U8124" t="str">
        <f t="shared" si="3299"/>
        <v>AZRAD UMAR BIN SHAARI</v>
      </c>
      <c r="V8124" t="str">
        <f t="shared" si="3300"/>
        <v>FARHANA BINTI MUSTAPA</v>
      </c>
      <c r="W8124" t="str">
        <f t="shared" si="3301"/>
        <v>04-08-2020</v>
      </c>
      <c r="X8124" t="str">
        <f t="shared" si="3302"/>
        <v>RAZIMAH ANSAR AHMAD</v>
      </c>
      <c r="Y8124" t="str">
        <f t="shared" si="3303"/>
        <v>04-08-2020</v>
      </c>
      <c r="Z8124" t="str">
        <f>"COS10200804 1030"</f>
        <v>COS10200804 1030</v>
      </c>
    </row>
    <row r="8125" spans="1:26" x14ac:dyDescent="0.25">
      <c r="A8125" t="str">
        <f t="shared" si="3314"/>
        <v>04-08-2020 12:31:59</v>
      </c>
      <c r="B8125" t="str">
        <f>"0000802776"</f>
        <v>0000802776</v>
      </c>
      <c r="C8125" t="str">
        <f t="shared" si="3315"/>
        <v>0000802747</v>
      </c>
      <c r="D8125" t="str">
        <f t="shared" si="3293"/>
        <v>73185</v>
      </c>
      <c r="E8125" t="str">
        <f t="shared" si="3294"/>
        <v>KFH-OPERATIONS DEPARTMENT</v>
      </c>
      <c r="F8125" t="str">
        <f t="shared" si="3295"/>
        <v>IBG</v>
      </c>
      <c r="G8125" t="str">
        <f t="shared" si="3304"/>
        <v>Refund COSHARE 10</v>
      </c>
      <c r="H8125" s="2">
        <v>1427.15</v>
      </c>
      <c r="I8125" t="str">
        <f>"LILI MURNNI BINTI MUHAMED"</f>
        <v>LILI MURNNI BINTI MUHAMED</v>
      </c>
      <c r="J8125" t="str">
        <f t="shared" si="3309"/>
        <v>BANK KERJASAMA RAKYAT</v>
      </c>
      <c r="K8125" t="str">
        <f>"220471214110"</f>
        <v>220471214110</v>
      </c>
      <c r="L8125" t="str">
        <f t="shared" si="3312"/>
        <v>04-08-2020</v>
      </c>
      <c r="M8125" t="str">
        <f t="shared" si="3312"/>
        <v>04-08-2020</v>
      </c>
      <c r="N8125" t="str">
        <f t="shared" si="3296"/>
        <v>001105018356</v>
      </c>
      <c r="O8125" t="str">
        <f t="shared" si="3297"/>
        <v>MYR</v>
      </c>
      <c r="P8125" t="str">
        <f t="shared" si="3313"/>
        <v>NIL</v>
      </c>
      <c r="Q8125" t="str">
        <f t="shared" si="3313"/>
        <v>NIL</v>
      </c>
      <c r="R8125" t="str">
        <f t="shared" si="3310"/>
        <v>Accepted</v>
      </c>
      <c r="S8125" t="str">
        <f t="shared" si="3298"/>
        <v>Approved</v>
      </c>
      <c r="T8125" t="str">
        <f t="shared" si="3311"/>
        <v>10.20.8.188</v>
      </c>
      <c r="U8125" t="str">
        <f t="shared" si="3299"/>
        <v>AZRAD UMAR BIN SHAARI</v>
      </c>
      <c r="V8125" t="str">
        <f t="shared" si="3300"/>
        <v>FARHANA BINTI MUSTAPA</v>
      </c>
      <c r="W8125" t="str">
        <f t="shared" si="3301"/>
        <v>04-08-2020</v>
      </c>
      <c r="X8125" t="str">
        <f t="shared" si="3302"/>
        <v>RAZIMAH ANSAR AHMAD</v>
      </c>
      <c r="Y8125" t="str">
        <f t="shared" si="3303"/>
        <v>04-08-2020</v>
      </c>
      <c r="Z8125" t="str">
        <f>"COS10200804 1029"</f>
        <v>COS10200804 1029</v>
      </c>
    </row>
    <row r="8126" spans="1:26" x14ac:dyDescent="0.25">
      <c r="A8126" t="str">
        <f t="shared" si="3314"/>
        <v>04-08-2020 12:31:59</v>
      </c>
      <c r="B8126" t="str">
        <f>"0000802775"</f>
        <v>0000802775</v>
      </c>
      <c r="C8126" t="str">
        <f t="shared" si="3315"/>
        <v>0000802747</v>
      </c>
      <c r="D8126" t="str">
        <f t="shared" si="3293"/>
        <v>73185</v>
      </c>
      <c r="E8126" t="str">
        <f t="shared" si="3294"/>
        <v>KFH-OPERATIONS DEPARTMENT</v>
      </c>
      <c r="F8126" t="str">
        <f t="shared" si="3295"/>
        <v>IBG</v>
      </c>
      <c r="G8126" t="str">
        <f t="shared" si="3304"/>
        <v>Refund COSHARE 10</v>
      </c>
      <c r="H8126" s="2">
        <v>1057.8</v>
      </c>
      <c r="I8126" t="str">
        <f>"LEZAWATY BINTI RASTIM"</f>
        <v>LEZAWATY BINTI RASTIM</v>
      </c>
      <c r="J8126" t="str">
        <f t="shared" si="3309"/>
        <v>BANK KERJASAMA RAKYAT</v>
      </c>
      <c r="K8126" t="str">
        <f>"221011069882"</f>
        <v>221011069882</v>
      </c>
      <c r="L8126" t="str">
        <f t="shared" si="3312"/>
        <v>04-08-2020</v>
      </c>
      <c r="M8126" t="str">
        <f t="shared" si="3312"/>
        <v>04-08-2020</v>
      </c>
      <c r="N8126" t="str">
        <f t="shared" si="3296"/>
        <v>001105018356</v>
      </c>
      <c r="O8126" t="str">
        <f t="shared" si="3297"/>
        <v>MYR</v>
      </c>
      <c r="P8126" t="str">
        <f t="shared" si="3313"/>
        <v>NIL</v>
      </c>
      <c r="Q8126" t="str">
        <f t="shared" si="3313"/>
        <v>NIL</v>
      </c>
      <c r="R8126" t="str">
        <f t="shared" si="3310"/>
        <v>Accepted</v>
      </c>
      <c r="S8126" t="str">
        <f t="shared" si="3298"/>
        <v>Approved</v>
      </c>
      <c r="T8126" t="str">
        <f t="shared" si="3311"/>
        <v>10.20.8.188</v>
      </c>
      <c r="U8126" t="str">
        <f t="shared" si="3299"/>
        <v>AZRAD UMAR BIN SHAARI</v>
      </c>
      <c r="V8126" t="str">
        <f t="shared" si="3300"/>
        <v>FARHANA BINTI MUSTAPA</v>
      </c>
      <c r="W8126" t="str">
        <f t="shared" si="3301"/>
        <v>04-08-2020</v>
      </c>
      <c r="X8126" t="str">
        <f t="shared" si="3302"/>
        <v>RAZIMAH ANSAR AHMAD</v>
      </c>
      <c r="Y8126" t="str">
        <f t="shared" si="3303"/>
        <v>04-08-2020</v>
      </c>
      <c r="Z8126" t="str">
        <f>"COS10200804 1028"</f>
        <v>COS10200804 1028</v>
      </c>
    </row>
    <row r="8127" spans="1:26" x14ac:dyDescent="0.25">
      <c r="A8127" t="str">
        <f t="shared" si="3314"/>
        <v>04-08-2020 12:31:59</v>
      </c>
      <c r="B8127" t="str">
        <f>"0000802774"</f>
        <v>0000802774</v>
      </c>
      <c r="C8127" t="str">
        <f t="shared" si="3315"/>
        <v>0000802747</v>
      </c>
      <c r="D8127" t="str">
        <f t="shared" si="3293"/>
        <v>73185</v>
      </c>
      <c r="E8127" t="str">
        <f t="shared" si="3294"/>
        <v>KFH-OPERATIONS DEPARTMENT</v>
      </c>
      <c r="F8127" t="str">
        <f t="shared" si="3295"/>
        <v>IBG</v>
      </c>
      <c r="G8127" t="str">
        <f t="shared" si="3304"/>
        <v>Refund COSHARE 10</v>
      </c>
      <c r="H8127" s="2">
        <v>487.9</v>
      </c>
      <c r="I8127" t="str">
        <f>"LEE DAWATA BIN DAHLAN"</f>
        <v>LEE DAWATA BIN DAHLAN</v>
      </c>
      <c r="J8127" t="str">
        <f t="shared" si="3309"/>
        <v>BANK KERJASAMA RAKYAT</v>
      </c>
      <c r="K8127" t="str">
        <f>"221021238044"</f>
        <v>221021238044</v>
      </c>
      <c r="L8127" t="str">
        <f t="shared" ref="L8127:M8146" si="3316">"04-08-2020"</f>
        <v>04-08-2020</v>
      </c>
      <c r="M8127" t="str">
        <f t="shared" si="3316"/>
        <v>04-08-2020</v>
      </c>
      <c r="N8127" t="str">
        <f t="shared" si="3296"/>
        <v>001105018356</v>
      </c>
      <c r="O8127" t="str">
        <f t="shared" si="3297"/>
        <v>MYR</v>
      </c>
      <c r="P8127" t="str">
        <f t="shared" ref="P8127:Q8146" si="3317">"NIL"</f>
        <v>NIL</v>
      </c>
      <c r="Q8127" t="str">
        <f t="shared" si="3317"/>
        <v>NIL</v>
      </c>
      <c r="R8127" t="str">
        <f t="shared" si="3310"/>
        <v>Accepted</v>
      </c>
      <c r="S8127" t="str">
        <f t="shared" si="3298"/>
        <v>Approved</v>
      </c>
      <c r="T8127" t="str">
        <f t="shared" si="3311"/>
        <v>10.20.8.188</v>
      </c>
      <c r="U8127" t="str">
        <f t="shared" si="3299"/>
        <v>AZRAD UMAR BIN SHAARI</v>
      </c>
      <c r="V8127" t="str">
        <f t="shared" si="3300"/>
        <v>FARHANA BINTI MUSTAPA</v>
      </c>
      <c r="W8127" t="str">
        <f t="shared" si="3301"/>
        <v>04-08-2020</v>
      </c>
      <c r="X8127" t="str">
        <f t="shared" si="3302"/>
        <v>RAZIMAH ANSAR AHMAD</v>
      </c>
      <c r="Y8127" t="str">
        <f t="shared" si="3303"/>
        <v>04-08-2020</v>
      </c>
      <c r="Z8127" t="str">
        <f>"COS10200804 1027"</f>
        <v>COS10200804 1027</v>
      </c>
    </row>
    <row r="8128" spans="1:26" x14ac:dyDescent="0.25">
      <c r="A8128" t="str">
        <f t="shared" si="3314"/>
        <v>04-08-2020 12:31:59</v>
      </c>
      <c r="B8128" t="str">
        <f>"0000802773"</f>
        <v>0000802773</v>
      </c>
      <c r="C8128" t="str">
        <f t="shared" si="3315"/>
        <v>0000802747</v>
      </c>
      <c r="D8128" t="str">
        <f t="shared" si="3293"/>
        <v>73185</v>
      </c>
      <c r="E8128" t="str">
        <f t="shared" si="3294"/>
        <v>KFH-OPERATIONS DEPARTMENT</v>
      </c>
      <c r="F8128" t="str">
        <f t="shared" si="3295"/>
        <v>IBG</v>
      </c>
      <c r="G8128" t="str">
        <f t="shared" si="3304"/>
        <v>Refund COSHARE 10</v>
      </c>
      <c r="H8128" s="2">
        <v>501</v>
      </c>
      <c r="I8128" t="str">
        <f>"LEE DAWATA BIN DAHLAN"</f>
        <v>LEE DAWATA BIN DAHLAN</v>
      </c>
      <c r="J8128" t="str">
        <f t="shared" si="3309"/>
        <v>BANK KERJASAMA RAKYAT</v>
      </c>
      <c r="K8128" t="str">
        <f>"221021238044"</f>
        <v>221021238044</v>
      </c>
      <c r="L8128" t="str">
        <f t="shared" si="3316"/>
        <v>04-08-2020</v>
      </c>
      <c r="M8128" t="str">
        <f t="shared" si="3316"/>
        <v>04-08-2020</v>
      </c>
      <c r="N8128" t="str">
        <f t="shared" si="3296"/>
        <v>001105018356</v>
      </c>
      <c r="O8128" t="str">
        <f t="shared" si="3297"/>
        <v>MYR</v>
      </c>
      <c r="P8128" t="str">
        <f t="shared" si="3317"/>
        <v>NIL</v>
      </c>
      <c r="Q8128" t="str">
        <f t="shared" si="3317"/>
        <v>NIL</v>
      </c>
      <c r="R8128" t="str">
        <f t="shared" si="3310"/>
        <v>Accepted</v>
      </c>
      <c r="S8128" t="str">
        <f t="shared" si="3298"/>
        <v>Approved</v>
      </c>
      <c r="T8128" t="str">
        <f t="shared" si="3311"/>
        <v>10.20.8.188</v>
      </c>
      <c r="U8128" t="str">
        <f t="shared" si="3299"/>
        <v>AZRAD UMAR BIN SHAARI</v>
      </c>
      <c r="V8128" t="str">
        <f t="shared" si="3300"/>
        <v>FARHANA BINTI MUSTAPA</v>
      </c>
      <c r="W8128" t="str">
        <f t="shared" si="3301"/>
        <v>04-08-2020</v>
      </c>
      <c r="X8128" t="str">
        <f t="shared" si="3302"/>
        <v>RAZIMAH ANSAR AHMAD</v>
      </c>
      <c r="Y8128" t="str">
        <f t="shared" si="3303"/>
        <v>04-08-2020</v>
      </c>
      <c r="Z8128" t="str">
        <f>"COS10200804 1026"</f>
        <v>COS10200804 1026</v>
      </c>
    </row>
    <row r="8129" spans="1:26" x14ac:dyDescent="0.25">
      <c r="A8129" t="str">
        <f t="shared" si="3314"/>
        <v>04-08-2020 12:31:59</v>
      </c>
      <c r="B8129" t="str">
        <f>"0000802772"</f>
        <v>0000802772</v>
      </c>
      <c r="C8129" t="str">
        <f t="shared" si="3315"/>
        <v>0000802747</v>
      </c>
      <c r="D8129" t="str">
        <f t="shared" si="3293"/>
        <v>73185</v>
      </c>
      <c r="E8129" t="str">
        <f t="shared" si="3294"/>
        <v>KFH-OPERATIONS DEPARTMENT</v>
      </c>
      <c r="F8129" t="str">
        <f t="shared" si="3295"/>
        <v>IBG</v>
      </c>
      <c r="G8129" t="str">
        <f t="shared" si="3304"/>
        <v>Refund COSHARE 10</v>
      </c>
      <c r="H8129" s="2">
        <v>640.5</v>
      </c>
      <c r="I8129" t="str">
        <f>"LAYUR  MAWARRINA BINTI RAMPUN"</f>
        <v>LAYUR  MAWARRINA BINTI RAMPUN</v>
      </c>
      <c r="J8129" t="str">
        <f t="shared" si="3309"/>
        <v>BANK KERJASAMA RAKYAT</v>
      </c>
      <c r="K8129" t="str">
        <f>"221011009223"</f>
        <v>221011009223</v>
      </c>
      <c r="L8129" t="str">
        <f t="shared" si="3316"/>
        <v>04-08-2020</v>
      </c>
      <c r="M8129" t="str">
        <f t="shared" si="3316"/>
        <v>04-08-2020</v>
      </c>
      <c r="N8129" t="str">
        <f t="shared" si="3296"/>
        <v>001105018356</v>
      </c>
      <c r="O8129" t="str">
        <f t="shared" si="3297"/>
        <v>MYR</v>
      </c>
      <c r="P8129" t="str">
        <f t="shared" si="3317"/>
        <v>NIL</v>
      </c>
      <c r="Q8129" t="str">
        <f t="shared" si="3317"/>
        <v>NIL</v>
      </c>
      <c r="R8129" t="str">
        <f t="shared" si="3310"/>
        <v>Accepted</v>
      </c>
      <c r="S8129" t="str">
        <f t="shared" si="3298"/>
        <v>Approved</v>
      </c>
      <c r="T8129" t="str">
        <f t="shared" si="3311"/>
        <v>10.20.8.188</v>
      </c>
      <c r="U8129" t="str">
        <f t="shared" si="3299"/>
        <v>AZRAD UMAR BIN SHAARI</v>
      </c>
      <c r="V8129" t="str">
        <f t="shared" si="3300"/>
        <v>FARHANA BINTI MUSTAPA</v>
      </c>
      <c r="W8129" t="str">
        <f t="shared" si="3301"/>
        <v>04-08-2020</v>
      </c>
      <c r="X8129" t="str">
        <f t="shared" si="3302"/>
        <v>RAZIMAH ANSAR AHMAD</v>
      </c>
      <c r="Y8129" t="str">
        <f t="shared" si="3303"/>
        <v>04-08-2020</v>
      </c>
      <c r="Z8129" t="str">
        <f>"COS10200804 1025"</f>
        <v>COS10200804 1025</v>
      </c>
    </row>
    <row r="8130" spans="1:26" x14ac:dyDescent="0.25">
      <c r="A8130" t="str">
        <f t="shared" si="3314"/>
        <v>04-08-2020 12:31:59</v>
      </c>
      <c r="B8130" t="str">
        <f>"0000802771"</f>
        <v>0000802771</v>
      </c>
      <c r="C8130" t="str">
        <f t="shared" si="3315"/>
        <v>0000802747</v>
      </c>
      <c r="D8130" t="str">
        <f t="shared" si="3293"/>
        <v>73185</v>
      </c>
      <c r="E8130" t="str">
        <f t="shared" si="3294"/>
        <v>KFH-OPERATIONS DEPARTMENT</v>
      </c>
      <c r="F8130" t="str">
        <f t="shared" si="3295"/>
        <v>IBG</v>
      </c>
      <c r="G8130" t="str">
        <f t="shared" si="3304"/>
        <v>Refund COSHARE 10</v>
      </c>
      <c r="H8130" s="2">
        <v>266</v>
      </c>
      <c r="I8130" t="str">
        <f>"LAWRENCE ANAK TUGANG"</f>
        <v>LAWRENCE ANAK TUGANG</v>
      </c>
      <c r="J8130" t="str">
        <f t="shared" si="3309"/>
        <v>BANK KERJASAMA RAKYAT</v>
      </c>
      <c r="K8130" t="str">
        <f>"220901064373"</f>
        <v>220901064373</v>
      </c>
      <c r="L8130" t="str">
        <f t="shared" si="3316"/>
        <v>04-08-2020</v>
      </c>
      <c r="M8130" t="str">
        <f t="shared" si="3316"/>
        <v>04-08-2020</v>
      </c>
      <c r="N8130" t="str">
        <f t="shared" si="3296"/>
        <v>001105018356</v>
      </c>
      <c r="O8130" t="str">
        <f t="shared" si="3297"/>
        <v>MYR</v>
      </c>
      <c r="P8130" t="str">
        <f t="shared" si="3317"/>
        <v>NIL</v>
      </c>
      <c r="Q8130" t="str">
        <f t="shared" si="3317"/>
        <v>NIL</v>
      </c>
      <c r="R8130" t="str">
        <f t="shared" si="3310"/>
        <v>Accepted</v>
      </c>
      <c r="S8130" t="str">
        <f t="shared" si="3298"/>
        <v>Approved</v>
      </c>
      <c r="T8130" t="str">
        <f t="shared" si="3311"/>
        <v>10.20.8.188</v>
      </c>
      <c r="U8130" t="str">
        <f t="shared" si="3299"/>
        <v>AZRAD UMAR BIN SHAARI</v>
      </c>
      <c r="V8130" t="str">
        <f t="shared" si="3300"/>
        <v>FARHANA BINTI MUSTAPA</v>
      </c>
      <c r="W8130" t="str">
        <f t="shared" si="3301"/>
        <v>04-08-2020</v>
      </c>
      <c r="X8130" t="str">
        <f t="shared" si="3302"/>
        <v>RAZIMAH ANSAR AHMAD</v>
      </c>
      <c r="Y8130" t="str">
        <f t="shared" si="3303"/>
        <v>04-08-2020</v>
      </c>
      <c r="Z8130" t="str">
        <f>"COS10200804 1024"</f>
        <v>COS10200804 1024</v>
      </c>
    </row>
    <row r="8131" spans="1:26" x14ac:dyDescent="0.25">
      <c r="A8131" t="str">
        <f t="shared" si="3314"/>
        <v>04-08-2020 12:31:59</v>
      </c>
      <c r="B8131" t="str">
        <f>"0000802770"</f>
        <v>0000802770</v>
      </c>
      <c r="C8131" t="str">
        <f t="shared" si="3315"/>
        <v>0000802747</v>
      </c>
      <c r="D8131" t="str">
        <f t="shared" si="3293"/>
        <v>73185</v>
      </c>
      <c r="E8131" t="str">
        <f t="shared" si="3294"/>
        <v>KFH-OPERATIONS DEPARTMENT</v>
      </c>
      <c r="F8131" t="str">
        <f t="shared" si="3295"/>
        <v>IBG</v>
      </c>
      <c r="G8131" t="str">
        <f t="shared" si="3304"/>
        <v>Refund COSHARE 10</v>
      </c>
      <c r="H8131" s="2">
        <v>117.55</v>
      </c>
      <c r="I8131" t="str">
        <f>"LAILATUAKMA BINTI KAMARAZAMAN"</f>
        <v>LAILATUAKMA BINTI KAMARAZAMAN</v>
      </c>
      <c r="J8131" t="str">
        <f t="shared" si="3309"/>
        <v>BANK KERJASAMA RAKYAT</v>
      </c>
      <c r="K8131" t="str">
        <f>"220191696010"</f>
        <v>220191696010</v>
      </c>
      <c r="L8131" t="str">
        <f t="shared" si="3316"/>
        <v>04-08-2020</v>
      </c>
      <c r="M8131" t="str">
        <f t="shared" si="3316"/>
        <v>04-08-2020</v>
      </c>
      <c r="N8131" t="str">
        <f t="shared" si="3296"/>
        <v>001105018356</v>
      </c>
      <c r="O8131" t="str">
        <f t="shared" si="3297"/>
        <v>MYR</v>
      </c>
      <c r="P8131" t="str">
        <f t="shared" si="3317"/>
        <v>NIL</v>
      </c>
      <c r="Q8131" t="str">
        <f t="shared" si="3317"/>
        <v>NIL</v>
      </c>
      <c r="R8131" t="str">
        <f t="shared" si="3310"/>
        <v>Accepted</v>
      </c>
      <c r="S8131" t="str">
        <f t="shared" si="3298"/>
        <v>Approved</v>
      </c>
      <c r="T8131" t="str">
        <f t="shared" si="3311"/>
        <v>10.20.8.188</v>
      </c>
      <c r="U8131" t="str">
        <f t="shared" si="3299"/>
        <v>AZRAD UMAR BIN SHAARI</v>
      </c>
      <c r="V8131" t="str">
        <f t="shared" si="3300"/>
        <v>FARHANA BINTI MUSTAPA</v>
      </c>
      <c r="W8131" t="str">
        <f t="shared" si="3301"/>
        <v>04-08-2020</v>
      </c>
      <c r="X8131" t="str">
        <f t="shared" si="3302"/>
        <v>RAZIMAH ANSAR AHMAD</v>
      </c>
      <c r="Y8131" t="str">
        <f t="shared" si="3303"/>
        <v>04-08-2020</v>
      </c>
      <c r="Z8131" t="str">
        <f>"COS10200804 1023"</f>
        <v>COS10200804 1023</v>
      </c>
    </row>
    <row r="8132" spans="1:26" x14ac:dyDescent="0.25">
      <c r="A8132" t="str">
        <f t="shared" si="3314"/>
        <v>04-08-2020 12:31:59</v>
      </c>
      <c r="B8132" t="str">
        <f>"0000802769"</f>
        <v>0000802769</v>
      </c>
      <c r="C8132" t="str">
        <f t="shared" si="3315"/>
        <v>0000802747</v>
      </c>
      <c r="D8132" t="str">
        <f t="shared" si="3293"/>
        <v>73185</v>
      </c>
      <c r="E8132" t="str">
        <f t="shared" si="3294"/>
        <v>KFH-OPERATIONS DEPARTMENT</v>
      </c>
      <c r="F8132" t="str">
        <f t="shared" si="3295"/>
        <v>IBG</v>
      </c>
      <c r="G8132" t="str">
        <f t="shared" si="3304"/>
        <v>Refund COSHARE 10</v>
      </c>
      <c r="H8132" s="2">
        <v>1670</v>
      </c>
      <c r="I8132" t="str">
        <f>"LAIDIN BIN ALIK"</f>
        <v>LAIDIN BIN ALIK</v>
      </c>
      <c r="J8132" t="str">
        <f t="shared" si="3309"/>
        <v>BANK KERJASAMA RAKYAT</v>
      </c>
      <c r="K8132" t="str">
        <f>"221011000468"</f>
        <v>221011000468</v>
      </c>
      <c r="L8132" t="str">
        <f t="shared" si="3316"/>
        <v>04-08-2020</v>
      </c>
      <c r="M8132" t="str">
        <f t="shared" si="3316"/>
        <v>04-08-2020</v>
      </c>
      <c r="N8132" t="str">
        <f t="shared" si="3296"/>
        <v>001105018356</v>
      </c>
      <c r="O8132" t="str">
        <f t="shared" si="3297"/>
        <v>MYR</v>
      </c>
      <c r="P8132" t="str">
        <f t="shared" si="3317"/>
        <v>NIL</v>
      </c>
      <c r="Q8132" t="str">
        <f t="shared" si="3317"/>
        <v>NIL</v>
      </c>
      <c r="R8132" t="str">
        <f t="shared" si="3310"/>
        <v>Accepted</v>
      </c>
      <c r="S8132" t="str">
        <f t="shared" si="3298"/>
        <v>Approved</v>
      </c>
      <c r="T8132" t="str">
        <f t="shared" si="3311"/>
        <v>10.20.8.188</v>
      </c>
      <c r="U8132" t="str">
        <f t="shared" si="3299"/>
        <v>AZRAD UMAR BIN SHAARI</v>
      </c>
      <c r="V8132" t="str">
        <f t="shared" si="3300"/>
        <v>FARHANA BINTI MUSTAPA</v>
      </c>
      <c r="W8132" t="str">
        <f t="shared" si="3301"/>
        <v>04-08-2020</v>
      </c>
      <c r="X8132" t="str">
        <f t="shared" si="3302"/>
        <v>RAZIMAH ANSAR AHMAD</v>
      </c>
      <c r="Y8132" t="str">
        <f t="shared" si="3303"/>
        <v>04-08-2020</v>
      </c>
      <c r="Z8132" t="str">
        <f>"COS10200804 1022"</f>
        <v>COS10200804 1022</v>
      </c>
    </row>
    <row r="8133" spans="1:26" x14ac:dyDescent="0.25">
      <c r="A8133" t="str">
        <f t="shared" si="3314"/>
        <v>04-08-2020 12:31:59</v>
      </c>
      <c r="B8133" t="str">
        <f>"0000802768"</f>
        <v>0000802768</v>
      </c>
      <c r="C8133" t="str">
        <f t="shared" si="3315"/>
        <v>0000802747</v>
      </c>
      <c r="D8133" t="str">
        <f t="shared" si="3293"/>
        <v>73185</v>
      </c>
      <c r="E8133" t="str">
        <f t="shared" si="3294"/>
        <v>KFH-OPERATIONS DEPARTMENT</v>
      </c>
      <c r="F8133" t="str">
        <f t="shared" si="3295"/>
        <v>IBG</v>
      </c>
      <c r="G8133" t="str">
        <f t="shared" si="3304"/>
        <v>Refund COSHARE 10</v>
      </c>
      <c r="H8133" s="2">
        <v>889.9</v>
      </c>
      <c r="I8133" t="str">
        <f>"KONG CHEE MEE"</f>
        <v>KONG CHEE MEE</v>
      </c>
      <c r="J8133" t="str">
        <f t="shared" si="3309"/>
        <v>BANK KERJASAMA RAKYAT</v>
      </c>
      <c r="K8133" t="str">
        <f>"220841219361"</f>
        <v>220841219361</v>
      </c>
      <c r="L8133" t="str">
        <f t="shared" si="3316"/>
        <v>04-08-2020</v>
      </c>
      <c r="M8133" t="str">
        <f t="shared" si="3316"/>
        <v>04-08-2020</v>
      </c>
      <c r="N8133" t="str">
        <f t="shared" si="3296"/>
        <v>001105018356</v>
      </c>
      <c r="O8133" t="str">
        <f t="shared" si="3297"/>
        <v>MYR</v>
      </c>
      <c r="P8133" t="str">
        <f t="shared" si="3317"/>
        <v>NIL</v>
      </c>
      <c r="Q8133" t="str">
        <f t="shared" si="3317"/>
        <v>NIL</v>
      </c>
      <c r="R8133" t="str">
        <f t="shared" si="3310"/>
        <v>Accepted</v>
      </c>
      <c r="S8133" t="str">
        <f t="shared" si="3298"/>
        <v>Approved</v>
      </c>
      <c r="T8133" t="str">
        <f t="shared" si="3311"/>
        <v>10.20.8.188</v>
      </c>
      <c r="U8133" t="str">
        <f t="shared" si="3299"/>
        <v>AZRAD UMAR BIN SHAARI</v>
      </c>
      <c r="V8133" t="str">
        <f t="shared" si="3300"/>
        <v>FARHANA BINTI MUSTAPA</v>
      </c>
      <c r="W8133" t="str">
        <f t="shared" si="3301"/>
        <v>04-08-2020</v>
      </c>
      <c r="X8133" t="str">
        <f t="shared" si="3302"/>
        <v>RAZIMAH ANSAR AHMAD</v>
      </c>
      <c r="Y8133" t="str">
        <f t="shared" si="3303"/>
        <v>04-08-2020</v>
      </c>
      <c r="Z8133" t="str">
        <f>"COS10200804 1021"</f>
        <v>COS10200804 1021</v>
      </c>
    </row>
    <row r="8134" spans="1:26" x14ac:dyDescent="0.25">
      <c r="A8134" t="str">
        <f t="shared" si="3314"/>
        <v>04-08-2020 12:31:59</v>
      </c>
      <c r="B8134" t="str">
        <f>"0000802767"</f>
        <v>0000802767</v>
      </c>
      <c r="C8134" t="str">
        <f t="shared" si="3315"/>
        <v>0000802747</v>
      </c>
      <c r="D8134" t="str">
        <f t="shared" si="3293"/>
        <v>73185</v>
      </c>
      <c r="E8134" t="str">
        <f t="shared" si="3294"/>
        <v>KFH-OPERATIONS DEPARTMENT</v>
      </c>
      <c r="F8134" t="str">
        <f t="shared" si="3295"/>
        <v>IBG</v>
      </c>
      <c r="G8134" t="str">
        <f t="shared" si="3304"/>
        <v>Refund COSHARE 10</v>
      </c>
      <c r="H8134" s="2">
        <v>1807</v>
      </c>
      <c r="I8134" t="str">
        <f>"KHAIRUR RIZAL BIN MOHAMED JUKIRI"</f>
        <v>KHAIRUR RIZAL BIN MOHAMED JUKIRI</v>
      </c>
      <c r="J8134" t="str">
        <f t="shared" si="3309"/>
        <v>BANK KERJASAMA RAKYAT</v>
      </c>
      <c r="K8134" t="str">
        <f>"220591200165"</f>
        <v>220591200165</v>
      </c>
      <c r="L8134" t="str">
        <f t="shared" si="3316"/>
        <v>04-08-2020</v>
      </c>
      <c r="M8134" t="str">
        <f t="shared" si="3316"/>
        <v>04-08-2020</v>
      </c>
      <c r="N8134" t="str">
        <f t="shared" si="3296"/>
        <v>001105018356</v>
      </c>
      <c r="O8134" t="str">
        <f t="shared" si="3297"/>
        <v>MYR</v>
      </c>
      <c r="P8134" t="str">
        <f t="shared" si="3317"/>
        <v>NIL</v>
      </c>
      <c r="Q8134" t="str">
        <f t="shared" si="3317"/>
        <v>NIL</v>
      </c>
      <c r="R8134" t="str">
        <f t="shared" si="3310"/>
        <v>Accepted</v>
      </c>
      <c r="S8134" t="str">
        <f t="shared" si="3298"/>
        <v>Approved</v>
      </c>
      <c r="T8134" t="str">
        <f t="shared" si="3311"/>
        <v>10.20.8.188</v>
      </c>
      <c r="U8134" t="str">
        <f t="shared" si="3299"/>
        <v>AZRAD UMAR BIN SHAARI</v>
      </c>
      <c r="V8134" t="str">
        <f t="shared" si="3300"/>
        <v>FARHANA BINTI MUSTAPA</v>
      </c>
      <c r="W8134" t="str">
        <f t="shared" si="3301"/>
        <v>04-08-2020</v>
      </c>
      <c r="X8134" t="str">
        <f t="shared" si="3302"/>
        <v>RAZIMAH ANSAR AHMAD</v>
      </c>
      <c r="Y8134" t="str">
        <f t="shared" si="3303"/>
        <v>04-08-2020</v>
      </c>
      <c r="Z8134" t="str">
        <f>"COS10200804 1020"</f>
        <v>COS10200804 1020</v>
      </c>
    </row>
    <row r="8135" spans="1:26" x14ac:dyDescent="0.25">
      <c r="A8135" t="str">
        <f t="shared" si="3314"/>
        <v>04-08-2020 12:31:59</v>
      </c>
      <c r="B8135" t="str">
        <f>"0000802766"</f>
        <v>0000802766</v>
      </c>
      <c r="C8135" t="str">
        <f t="shared" si="3315"/>
        <v>0000802747</v>
      </c>
      <c r="D8135" t="str">
        <f t="shared" ref="D8135:D8198" si="3318">"73185"</f>
        <v>73185</v>
      </c>
      <c r="E8135" t="str">
        <f t="shared" ref="E8135:E8198" si="3319">"KFH-OPERATIONS DEPARTMENT"</f>
        <v>KFH-OPERATIONS DEPARTMENT</v>
      </c>
      <c r="F8135" t="str">
        <f t="shared" ref="F8135:F8198" si="3320">"IBG"</f>
        <v>IBG</v>
      </c>
      <c r="G8135" t="str">
        <f t="shared" si="3304"/>
        <v>Refund COSHARE 10</v>
      </c>
      <c r="H8135" s="2">
        <v>125.95</v>
      </c>
      <c r="I8135" t="str">
        <f>"KHAIRUNNIZA BINTI OTHMAN"</f>
        <v>KHAIRUNNIZA BINTI OTHMAN</v>
      </c>
      <c r="J8135" t="str">
        <f t="shared" si="3309"/>
        <v>BANK KERJASAMA RAKYAT</v>
      </c>
      <c r="K8135" t="str">
        <f>"220911066073"</f>
        <v>220911066073</v>
      </c>
      <c r="L8135" t="str">
        <f t="shared" si="3316"/>
        <v>04-08-2020</v>
      </c>
      <c r="M8135" t="str">
        <f t="shared" si="3316"/>
        <v>04-08-2020</v>
      </c>
      <c r="N8135" t="str">
        <f t="shared" ref="N8135:N8198" si="3321">"001105018356"</f>
        <v>001105018356</v>
      </c>
      <c r="O8135" t="str">
        <f t="shared" ref="O8135:O8198" si="3322">"MYR"</f>
        <v>MYR</v>
      </c>
      <c r="P8135" t="str">
        <f t="shared" si="3317"/>
        <v>NIL</v>
      </c>
      <c r="Q8135" t="str">
        <f t="shared" si="3317"/>
        <v>NIL</v>
      </c>
      <c r="R8135" t="str">
        <f t="shared" si="3310"/>
        <v>Accepted</v>
      </c>
      <c r="S8135" t="str">
        <f t="shared" ref="S8135:S8198" si="3323">"Approved"</f>
        <v>Approved</v>
      </c>
      <c r="T8135" t="str">
        <f t="shared" si="3311"/>
        <v>10.20.8.188</v>
      </c>
      <c r="U8135" t="str">
        <f t="shared" ref="U8135:U8198" si="3324">"AZRAD UMAR BIN SHAARI"</f>
        <v>AZRAD UMAR BIN SHAARI</v>
      </c>
      <c r="V8135" t="str">
        <f t="shared" ref="V8135:V8198" si="3325">"FARHANA BINTI MUSTAPA"</f>
        <v>FARHANA BINTI MUSTAPA</v>
      </c>
      <c r="W8135" t="str">
        <f t="shared" ref="W8135:W8198" si="3326">"04-08-2020"</f>
        <v>04-08-2020</v>
      </c>
      <c r="X8135" t="str">
        <f t="shared" ref="X8135:X8198" si="3327">"RAZIMAH ANSAR AHMAD"</f>
        <v>RAZIMAH ANSAR AHMAD</v>
      </c>
      <c r="Y8135" t="str">
        <f t="shared" ref="Y8135:Y8198" si="3328">"04-08-2020"</f>
        <v>04-08-2020</v>
      </c>
      <c r="Z8135" t="str">
        <f>"COS10200804 1019"</f>
        <v>COS10200804 1019</v>
      </c>
    </row>
    <row r="8136" spans="1:26" x14ac:dyDescent="0.25">
      <c r="A8136" t="str">
        <f t="shared" si="3314"/>
        <v>04-08-2020 12:31:59</v>
      </c>
      <c r="B8136" t="str">
        <f>"0000802765"</f>
        <v>0000802765</v>
      </c>
      <c r="C8136" t="str">
        <f t="shared" si="3315"/>
        <v>0000802747</v>
      </c>
      <c r="D8136" t="str">
        <f t="shared" si="3318"/>
        <v>73185</v>
      </c>
      <c r="E8136" t="str">
        <f t="shared" si="3319"/>
        <v>KFH-OPERATIONS DEPARTMENT</v>
      </c>
      <c r="F8136" t="str">
        <f t="shared" si="3320"/>
        <v>IBG</v>
      </c>
      <c r="G8136" t="str">
        <f t="shared" si="3304"/>
        <v>Refund COSHARE 10</v>
      </c>
      <c r="H8136" s="2">
        <v>1422.35</v>
      </c>
      <c r="I8136" t="str">
        <f>"KHAIROL AZMI BIN ABDUL HALIM"</f>
        <v>KHAIROL AZMI BIN ABDUL HALIM</v>
      </c>
      <c r="J8136" t="str">
        <f t="shared" si="3309"/>
        <v>BANK KERJASAMA RAKYAT</v>
      </c>
      <c r="K8136" t="str">
        <f>"220191202436"</f>
        <v>220191202436</v>
      </c>
      <c r="L8136" t="str">
        <f t="shared" si="3316"/>
        <v>04-08-2020</v>
      </c>
      <c r="M8136" t="str">
        <f t="shared" si="3316"/>
        <v>04-08-2020</v>
      </c>
      <c r="N8136" t="str">
        <f t="shared" si="3321"/>
        <v>001105018356</v>
      </c>
      <c r="O8136" t="str">
        <f t="shared" si="3322"/>
        <v>MYR</v>
      </c>
      <c r="P8136" t="str">
        <f t="shared" si="3317"/>
        <v>NIL</v>
      </c>
      <c r="Q8136" t="str">
        <f t="shared" si="3317"/>
        <v>NIL</v>
      </c>
      <c r="R8136" t="str">
        <f t="shared" si="3310"/>
        <v>Accepted</v>
      </c>
      <c r="S8136" t="str">
        <f t="shared" si="3323"/>
        <v>Approved</v>
      </c>
      <c r="T8136" t="str">
        <f t="shared" si="3311"/>
        <v>10.20.8.188</v>
      </c>
      <c r="U8136" t="str">
        <f t="shared" si="3324"/>
        <v>AZRAD UMAR BIN SHAARI</v>
      </c>
      <c r="V8136" t="str">
        <f t="shared" si="3325"/>
        <v>FARHANA BINTI MUSTAPA</v>
      </c>
      <c r="W8136" t="str">
        <f t="shared" si="3326"/>
        <v>04-08-2020</v>
      </c>
      <c r="X8136" t="str">
        <f t="shared" si="3327"/>
        <v>RAZIMAH ANSAR AHMAD</v>
      </c>
      <c r="Y8136" t="str">
        <f t="shared" si="3328"/>
        <v>04-08-2020</v>
      </c>
      <c r="Z8136" t="str">
        <f>"COS10200804 1018"</f>
        <v>COS10200804 1018</v>
      </c>
    </row>
    <row r="8137" spans="1:26" x14ac:dyDescent="0.25">
      <c r="A8137" t="str">
        <f t="shared" si="3314"/>
        <v>04-08-2020 12:31:59</v>
      </c>
      <c r="B8137" t="str">
        <f>"0000802764"</f>
        <v>0000802764</v>
      </c>
      <c r="C8137" t="str">
        <f t="shared" si="3315"/>
        <v>0000802747</v>
      </c>
      <c r="D8137" t="str">
        <f t="shared" si="3318"/>
        <v>73185</v>
      </c>
      <c r="E8137" t="str">
        <f t="shared" si="3319"/>
        <v>KFH-OPERATIONS DEPARTMENT</v>
      </c>
      <c r="F8137" t="str">
        <f t="shared" si="3320"/>
        <v>IBG</v>
      </c>
      <c r="G8137" t="str">
        <f t="shared" si="3304"/>
        <v>Refund COSHARE 10</v>
      </c>
      <c r="H8137" s="2">
        <v>83.95</v>
      </c>
      <c r="I8137" t="str">
        <f>"KHAIRI SHAHRIL BIN KAMARUDIN"</f>
        <v>KHAIRI SHAHRIL BIN KAMARUDIN</v>
      </c>
      <c r="J8137" t="str">
        <f t="shared" si="3309"/>
        <v>BANK KERJASAMA RAKYAT</v>
      </c>
      <c r="K8137" t="str">
        <f>"220481179000"</f>
        <v>220481179000</v>
      </c>
      <c r="L8137" t="str">
        <f t="shared" si="3316"/>
        <v>04-08-2020</v>
      </c>
      <c r="M8137" t="str">
        <f t="shared" si="3316"/>
        <v>04-08-2020</v>
      </c>
      <c r="N8137" t="str">
        <f t="shared" si="3321"/>
        <v>001105018356</v>
      </c>
      <c r="O8137" t="str">
        <f t="shared" si="3322"/>
        <v>MYR</v>
      </c>
      <c r="P8137" t="str">
        <f t="shared" si="3317"/>
        <v>NIL</v>
      </c>
      <c r="Q8137" t="str">
        <f t="shared" si="3317"/>
        <v>NIL</v>
      </c>
      <c r="R8137" t="str">
        <f t="shared" si="3310"/>
        <v>Accepted</v>
      </c>
      <c r="S8137" t="str">
        <f t="shared" si="3323"/>
        <v>Approved</v>
      </c>
      <c r="T8137" t="str">
        <f t="shared" si="3311"/>
        <v>10.20.8.188</v>
      </c>
      <c r="U8137" t="str">
        <f t="shared" si="3324"/>
        <v>AZRAD UMAR BIN SHAARI</v>
      </c>
      <c r="V8137" t="str">
        <f t="shared" si="3325"/>
        <v>FARHANA BINTI MUSTAPA</v>
      </c>
      <c r="W8137" t="str">
        <f t="shared" si="3326"/>
        <v>04-08-2020</v>
      </c>
      <c r="X8137" t="str">
        <f t="shared" si="3327"/>
        <v>RAZIMAH ANSAR AHMAD</v>
      </c>
      <c r="Y8137" t="str">
        <f t="shared" si="3328"/>
        <v>04-08-2020</v>
      </c>
      <c r="Z8137" t="str">
        <f>"COS10200804 1017"</f>
        <v>COS10200804 1017</v>
      </c>
    </row>
    <row r="8138" spans="1:26" x14ac:dyDescent="0.25">
      <c r="A8138" t="str">
        <f t="shared" si="3314"/>
        <v>04-08-2020 12:31:59</v>
      </c>
      <c r="B8138" t="str">
        <f>"0000802763"</f>
        <v>0000802763</v>
      </c>
      <c r="C8138" t="str">
        <f t="shared" si="3315"/>
        <v>0000802747</v>
      </c>
      <c r="D8138" t="str">
        <f t="shared" si="3318"/>
        <v>73185</v>
      </c>
      <c r="E8138" t="str">
        <f t="shared" si="3319"/>
        <v>KFH-OPERATIONS DEPARTMENT</v>
      </c>
      <c r="F8138" t="str">
        <f t="shared" si="3320"/>
        <v>IBG</v>
      </c>
      <c r="G8138" t="str">
        <f t="shared" si="3304"/>
        <v>Refund COSHARE 10</v>
      </c>
      <c r="H8138" s="2">
        <v>246.25</v>
      </c>
      <c r="I8138" t="str">
        <f>"KHAIRI BIN RADZI"</f>
        <v>KHAIRI BIN RADZI</v>
      </c>
      <c r="J8138" t="str">
        <f t="shared" si="3309"/>
        <v>BANK KERJASAMA RAKYAT</v>
      </c>
      <c r="K8138" t="str">
        <f>"220201018457"</f>
        <v>220201018457</v>
      </c>
      <c r="L8138" t="str">
        <f t="shared" si="3316"/>
        <v>04-08-2020</v>
      </c>
      <c r="M8138" t="str">
        <f t="shared" si="3316"/>
        <v>04-08-2020</v>
      </c>
      <c r="N8138" t="str">
        <f t="shared" si="3321"/>
        <v>001105018356</v>
      </c>
      <c r="O8138" t="str">
        <f t="shared" si="3322"/>
        <v>MYR</v>
      </c>
      <c r="P8138" t="str">
        <f t="shared" si="3317"/>
        <v>NIL</v>
      </c>
      <c r="Q8138" t="str">
        <f t="shared" si="3317"/>
        <v>NIL</v>
      </c>
      <c r="R8138" t="str">
        <f t="shared" si="3310"/>
        <v>Accepted</v>
      </c>
      <c r="S8138" t="str">
        <f t="shared" si="3323"/>
        <v>Approved</v>
      </c>
      <c r="T8138" t="str">
        <f t="shared" si="3311"/>
        <v>10.20.8.188</v>
      </c>
      <c r="U8138" t="str">
        <f t="shared" si="3324"/>
        <v>AZRAD UMAR BIN SHAARI</v>
      </c>
      <c r="V8138" t="str">
        <f t="shared" si="3325"/>
        <v>FARHANA BINTI MUSTAPA</v>
      </c>
      <c r="W8138" t="str">
        <f t="shared" si="3326"/>
        <v>04-08-2020</v>
      </c>
      <c r="X8138" t="str">
        <f t="shared" si="3327"/>
        <v>RAZIMAH ANSAR AHMAD</v>
      </c>
      <c r="Y8138" t="str">
        <f t="shared" si="3328"/>
        <v>04-08-2020</v>
      </c>
      <c r="Z8138" t="str">
        <f>"COS10200804 1016"</f>
        <v>COS10200804 1016</v>
      </c>
    </row>
    <row r="8139" spans="1:26" x14ac:dyDescent="0.25">
      <c r="A8139" t="str">
        <f t="shared" si="3314"/>
        <v>04-08-2020 12:31:59</v>
      </c>
      <c r="B8139" t="str">
        <f>"0000802762"</f>
        <v>0000802762</v>
      </c>
      <c r="C8139" t="str">
        <f t="shared" si="3315"/>
        <v>0000802747</v>
      </c>
      <c r="D8139" t="str">
        <f t="shared" si="3318"/>
        <v>73185</v>
      </c>
      <c r="E8139" t="str">
        <f t="shared" si="3319"/>
        <v>KFH-OPERATIONS DEPARTMENT</v>
      </c>
      <c r="F8139" t="str">
        <f t="shared" si="3320"/>
        <v>IBG</v>
      </c>
      <c r="G8139" t="str">
        <f t="shared" si="3304"/>
        <v>Refund COSHARE 10</v>
      </c>
      <c r="H8139" s="2">
        <v>771.7</v>
      </c>
      <c r="I8139" t="str">
        <f>"KENNEDY BIN ALIP"</f>
        <v>KENNEDY BIN ALIP</v>
      </c>
      <c r="J8139" t="str">
        <f t="shared" si="3309"/>
        <v>BANK KERJASAMA RAKYAT</v>
      </c>
      <c r="K8139" t="str">
        <f>"220821072437"</f>
        <v>220821072437</v>
      </c>
      <c r="L8139" t="str">
        <f t="shared" si="3316"/>
        <v>04-08-2020</v>
      </c>
      <c r="M8139" t="str">
        <f t="shared" si="3316"/>
        <v>04-08-2020</v>
      </c>
      <c r="N8139" t="str">
        <f t="shared" si="3321"/>
        <v>001105018356</v>
      </c>
      <c r="O8139" t="str">
        <f t="shared" si="3322"/>
        <v>MYR</v>
      </c>
      <c r="P8139" t="str">
        <f t="shared" si="3317"/>
        <v>NIL</v>
      </c>
      <c r="Q8139" t="str">
        <f t="shared" si="3317"/>
        <v>NIL</v>
      </c>
      <c r="R8139" t="str">
        <f t="shared" si="3310"/>
        <v>Accepted</v>
      </c>
      <c r="S8139" t="str">
        <f t="shared" si="3323"/>
        <v>Approved</v>
      </c>
      <c r="T8139" t="str">
        <f t="shared" si="3311"/>
        <v>10.20.8.188</v>
      </c>
      <c r="U8139" t="str">
        <f t="shared" si="3324"/>
        <v>AZRAD UMAR BIN SHAARI</v>
      </c>
      <c r="V8139" t="str">
        <f t="shared" si="3325"/>
        <v>FARHANA BINTI MUSTAPA</v>
      </c>
      <c r="W8139" t="str">
        <f t="shared" si="3326"/>
        <v>04-08-2020</v>
      </c>
      <c r="X8139" t="str">
        <f t="shared" si="3327"/>
        <v>RAZIMAH ANSAR AHMAD</v>
      </c>
      <c r="Y8139" t="str">
        <f t="shared" si="3328"/>
        <v>04-08-2020</v>
      </c>
      <c r="Z8139" t="str">
        <f>"COS10200804 1015"</f>
        <v>COS10200804 1015</v>
      </c>
    </row>
    <row r="8140" spans="1:26" x14ac:dyDescent="0.25">
      <c r="A8140" t="str">
        <f t="shared" si="3314"/>
        <v>04-08-2020 12:31:59</v>
      </c>
      <c r="B8140" t="str">
        <f>"0000802761"</f>
        <v>0000802761</v>
      </c>
      <c r="C8140" t="str">
        <f t="shared" si="3315"/>
        <v>0000802747</v>
      </c>
      <c r="D8140" t="str">
        <f t="shared" si="3318"/>
        <v>73185</v>
      </c>
      <c r="E8140" t="str">
        <f t="shared" si="3319"/>
        <v>KFH-OPERATIONS DEPARTMENT</v>
      </c>
      <c r="F8140" t="str">
        <f t="shared" si="3320"/>
        <v>IBG</v>
      </c>
      <c r="G8140" t="str">
        <f t="shared" ref="G8140:G8203" si="3329">"Refund COSHARE 10"</f>
        <v>Refund COSHARE 10</v>
      </c>
      <c r="H8140" s="2">
        <v>478.55</v>
      </c>
      <c r="I8140" t="str">
        <f>"KATHLEEN ANAK ALOYSIUS"</f>
        <v>KATHLEEN ANAK ALOYSIUS</v>
      </c>
      <c r="J8140" t="str">
        <f t="shared" si="3309"/>
        <v>BANK KERJASAMA RAKYAT</v>
      </c>
      <c r="K8140" t="str">
        <f>"220541256975"</f>
        <v>220541256975</v>
      </c>
      <c r="L8140" t="str">
        <f t="shared" si="3316"/>
        <v>04-08-2020</v>
      </c>
      <c r="M8140" t="str">
        <f t="shared" si="3316"/>
        <v>04-08-2020</v>
      </c>
      <c r="N8140" t="str">
        <f t="shared" si="3321"/>
        <v>001105018356</v>
      </c>
      <c r="O8140" t="str">
        <f t="shared" si="3322"/>
        <v>MYR</v>
      </c>
      <c r="P8140" t="str">
        <f t="shared" si="3317"/>
        <v>NIL</v>
      </c>
      <c r="Q8140" t="str">
        <f t="shared" si="3317"/>
        <v>NIL</v>
      </c>
      <c r="R8140" t="str">
        <f t="shared" si="3310"/>
        <v>Accepted</v>
      </c>
      <c r="S8140" t="str">
        <f t="shared" si="3323"/>
        <v>Approved</v>
      </c>
      <c r="T8140" t="str">
        <f t="shared" si="3311"/>
        <v>10.20.8.188</v>
      </c>
      <c r="U8140" t="str">
        <f t="shared" si="3324"/>
        <v>AZRAD UMAR BIN SHAARI</v>
      </c>
      <c r="V8140" t="str">
        <f t="shared" si="3325"/>
        <v>FARHANA BINTI MUSTAPA</v>
      </c>
      <c r="W8140" t="str">
        <f t="shared" si="3326"/>
        <v>04-08-2020</v>
      </c>
      <c r="X8140" t="str">
        <f t="shared" si="3327"/>
        <v>RAZIMAH ANSAR AHMAD</v>
      </c>
      <c r="Y8140" t="str">
        <f t="shared" si="3328"/>
        <v>04-08-2020</v>
      </c>
      <c r="Z8140" t="str">
        <f>"COS10200804 1014"</f>
        <v>COS10200804 1014</v>
      </c>
    </row>
    <row r="8141" spans="1:26" x14ac:dyDescent="0.25">
      <c r="A8141" t="str">
        <f t="shared" si="3314"/>
        <v>04-08-2020 12:31:59</v>
      </c>
      <c r="B8141" t="str">
        <f>"0000802760"</f>
        <v>0000802760</v>
      </c>
      <c r="C8141" t="str">
        <f t="shared" si="3315"/>
        <v>0000802747</v>
      </c>
      <c r="D8141" t="str">
        <f t="shared" si="3318"/>
        <v>73185</v>
      </c>
      <c r="E8141" t="str">
        <f t="shared" si="3319"/>
        <v>KFH-OPERATIONS DEPARTMENT</v>
      </c>
      <c r="F8141" t="str">
        <f t="shared" si="3320"/>
        <v>IBG</v>
      </c>
      <c r="G8141" t="str">
        <f t="shared" si="3329"/>
        <v>Refund COSHARE 10</v>
      </c>
      <c r="H8141" s="2">
        <v>808.4</v>
      </c>
      <c r="I8141" t="str">
        <f>"KASMIMI BINTI HASAN"</f>
        <v>KASMIMI BINTI HASAN</v>
      </c>
      <c r="J8141" t="str">
        <f t="shared" si="3309"/>
        <v>BANK KERJASAMA RAKYAT</v>
      </c>
      <c r="K8141" t="str">
        <f>"220801034484"</f>
        <v>220801034484</v>
      </c>
      <c r="L8141" t="str">
        <f t="shared" si="3316"/>
        <v>04-08-2020</v>
      </c>
      <c r="M8141" t="str">
        <f t="shared" si="3316"/>
        <v>04-08-2020</v>
      </c>
      <c r="N8141" t="str">
        <f t="shared" si="3321"/>
        <v>001105018356</v>
      </c>
      <c r="O8141" t="str">
        <f t="shared" si="3322"/>
        <v>MYR</v>
      </c>
      <c r="P8141" t="str">
        <f t="shared" si="3317"/>
        <v>NIL</v>
      </c>
      <c r="Q8141" t="str">
        <f t="shared" si="3317"/>
        <v>NIL</v>
      </c>
      <c r="R8141" t="str">
        <f t="shared" si="3310"/>
        <v>Accepted</v>
      </c>
      <c r="S8141" t="str">
        <f t="shared" si="3323"/>
        <v>Approved</v>
      </c>
      <c r="T8141" t="str">
        <f t="shared" si="3311"/>
        <v>10.20.8.188</v>
      </c>
      <c r="U8141" t="str">
        <f t="shared" si="3324"/>
        <v>AZRAD UMAR BIN SHAARI</v>
      </c>
      <c r="V8141" t="str">
        <f t="shared" si="3325"/>
        <v>FARHANA BINTI MUSTAPA</v>
      </c>
      <c r="W8141" t="str">
        <f t="shared" si="3326"/>
        <v>04-08-2020</v>
      </c>
      <c r="X8141" t="str">
        <f t="shared" si="3327"/>
        <v>RAZIMAH ANSAR AHMAD</v>
      </c>
      <c r="Y8141" t="str">
        <f t="shared" si="3328"/>
        <v>04-08-2020</v>
      </c>
      <c r="Z8141" t="str">
        <f>"COS10200804 1013"</f>
        <v>COS10200804 1013</v>
      </c>
    </row>
    <row r="8142" spans="1:26" x14ac:dyDescent="0.25">
      <c r="A8142" t="str">
        <f t="shared" si="3314"/>
        <v>04-08-2020 12:31:59</v>
      </c>
      <c r="B8142" t="str">
        <f>"0000802759"</f>
        <v>0000802759</v>
      </c>
      <c r="C8142" t="str">
        <f t="shared" si="3315"/>
        <v>0000802747</v>
      </c>
      <c r="D8142" t="str">
        <f t="shared" si="3318"/>
        <v>73185</v>
      </c>
      <c r="E8142" t="str">
        <f t="shared" si="3319"/>
        <v>KFH-OPERATIONS DEPARTMENT</v>
      </c>
      <c r="F8142" t="str">
        <f t="shared" si="3320"/>
        <v>IBG</v>
      </c>
      <c r="G8142" t="str">
        <f t="shared" si="3329"/>
        <v>Refund COSHARE 10</v>
      </c>
      <c r="H8142" s="2">
        <v>460.35</v>
      </c>
      <c r="I8142" t="str">
        <f>"KAMARUZAMAN BIN ISMAIL"</f>
        <v>KAMARUZAMAN BIN ISMAIL</v>
      </c>
      <c r="J8142" t="str">
        <f t="shared" si="3309"/>
        <v>BANK KERJASAMA RAKYAT</v>
      </c>
      <c r="K8142" t="str">
        <f>"220611013126"</f>
        <v>220611013126</v>
      </c>
      <c r="L8142" t="str">
        <f t="shared" si="3316"/>
        <v>04-08-2020</v>
      </c>
      <c r="M8142" t="str">
        <f t="shared" si="3316"/>
        <v>04-08-2020</v>
      </c>
      <c r="N8142" t="str">
        <f t="shared" si="3321"/>
        <v>001105018356</v>
      </c>
      <c r="O8142" t="str">
        <f t="shared" si="3322"/>
        <v>MYR</v>
      </c>
      <c r="P8142" t="str">
        <f t="shared" si="3317"/>
        <v>NIL</v>
      </c>
      <c r="Q8142" t="str">
        <f t="shared" si="3317"/>
        <v>NIL</v>
      </c>
      <c r="R8142" t="str">
        <f t="shared" si="3310"/>
        <v>Accepted</v>
      </c>
      <c r="S8142" t="str">
        <f t="shared" si="3323"/>
        <v>Approved</v>
      </c>
      <c r="T8142" t="str">
        <f t="shared" si="3311"/>
        <v>10.20.8.188</v>
      </c>
      <c r="U8142" t="str">
        <f t="shared" si="3324"/>
        <v>AZRAD UMAR BIN SHAARI</v>
      </c>
      <c r="V8142" t="str">
        <f t="shared" si="3325"/>
        <v>FARHANA BINTI MUSTAPA</v>
      </c>
      <c r="W8142" t="str">
        <f t="shared" si="3326"/>
        <v>04-08-2020</v>
      </c>
      <c r="X8142" t="str">
        <f t="shared" si="3327"/>
        <v>RAZIMAH ANSAR AHMAD</v>
      </c>
      <c r="Y8142" t="str">
        <f t="shared" si="3328"/>
        <v>04-08-2020</v>
      </c>
      <c r="Z8142" t="str">
        <f>"COS10200804 1012"</f>
        <v>COS10200804 1012</v>
      </c>
    </row>
    <row r="8143" spans="1:26" x14ac:dyDescent="0.25">
      <c r="A8143" t="str">
        <f t="shared" si="3314"/>
        <v>04-08-2020 12:31:59</v>
      </c>
      <c r="B8143" t="str">
        <f>"0000802758"</f>
        <v>0000802758</v>
      </c>
      <c r="C8143" t="str">
        <f t="shared" si="3315"/>
        <v>0000802747</v>
      </c>
      <c r="D8143" t="str">
        <f t="shared" si="3318"/>
        <v>73185</v>
      </c>
      <c r="E8143" t="str">
        <f t="shared" si="3319"/>
        <v>KFH-OPERATIONS DEPARTMENT</v>
      </c>
      <c r="F8143" t="str">
        <f t="shared" si="3320"/>
        <v>IBG</v>
      </c>
      <c r="G8143" t="str">
        <f t="shared" si="3329"/>
        <v>Refund COSHARE 10</v>
      </c>
      <c r="H8143" s="2">
        <v>198</v>
      </c>
      <c r="I8143" t="str">
        <f>"KAMARUL AZHAR BIN AHMAD RADZI"</f>
        <v>KAMARUL AZHAR BIN AHMAD RADZI</v>
      </c>
      <c r="J8143" t="str">
        <f t="shared" si="3309"/>
        <v>BANK KERJASAMA RAKYAT</v>
      </c>
      <c r="K8143" t="str">
        <f>"220751108845"</f>
        <v>220751108845</v>
      </c>
      <c r="L8143" t="str">
        <f t="shared" si="3316"/>
        <v>04-08-2020</v>
      </c>
      <c r="M8143" t="str">
        <f t="shared" si="3316"/>
        <v>04-08-2020</v>
      </c>
      <c r="N8143" t="str">
        <f t="shared" si="3321"/>
        <v>001105018356</v>
      </c>
      <c r="O8143" t="str">
        <f t="shared" si="3322"/>
        <v>MYR</v>
      </c>
      <c r="P8143" t="str">
        <f t="shared" si="3317"/>
        <v>NIL</v>
      </c>
      <c r="Q8143" t="str">
        <f t="shared" si="3317"/>
        <v>NIL</v>
      </c>
      <c r="R8143" t="str">
        <f t="shared" si="3310"/>
        <v>Accepted</v>
      </c>
      <c r="S8143" t="str">
        <f t="shared" si="3323"/>
        <v>Approved</v>
      </c>
      <c r="T8143" t="str">
        <f t="shared" si="3311"/>
        <v>10.20.8.188</v>
      </c>
      <c r="U8143" t="str">
        <f t="shared" si="3324"/>
        <v>AZRAD UMAR BIN SHAARI</v>
      </c>
      <c r="V8143" t="str">
        <f t="shared" si="3325"/>
        <v>FARHANA BINTI MUSTAPA</v>
      </c>
      <c r="W8143" t="str">
        <f t="shared" si="3326"/>
        <v>04-08-2020</v>
      </c>
      <c r="X8143" t="str">
        <f t="shared" si="3327"/>
        <v>RAZIMAH ANSAR AHMAD</v>
      </c>
      <c r="Y8143" t="str">
        <f t="shared" si="3328"/>
        <v>04-08-2020</v>
      </c>
      <c r="Z8143" t="str">
        <f>"COS10200804 1011"</f>
        <v>COS10200804 1011</v>
      </c>
    </row>
    <row r="8144" spans="1:26" x14ac:dyDescent="0.25">
      <c r="A8144" t="str">
        <f t="shared" si="3314"/>
        <v>04-08-2020 12:31:59</v>
      </c>
      <c r="B8144" t="str">
        <f>"0000802757"</f>
        <v>0000802757</v>
      </c>
      <c r="C8144" t="str">
        <f t="shared" si="3315"/>
        <v>0000802747</v>
      </c>
      <c r="D8144" t="str">
        <f t="shared" si="3318"/>
        <v>73185</v>
      </c>
      <c r="E8144" t="str">
        <f t="shared" si="3319"/>
        <v>KFH-OPERATIONS DEPARTMENT</v>
      </c>
      <c r="F8144" t="str">
        <f t="shared" si="3320"/>
        <v>IBG</v>
      </c>
      <c r="G8144" t="str">
        <f t="shared" si="3329"/>
        <v>Refund COSHARE 10</v>
      </c>
      <c r="H8144" s="2">
        <v>1679</v>
      </c>
      <c r="I8144" t="str">
        <f>"KAMARUDIN BIN MOHD YUSOF"</f>
        <v>KAMARUDIN BIN MOHD YUSOF</v>
      </c>
      <c r="J8144" t="str">
        <f t="shared" si="3309"/>
        <v>BANK KERJASAMA RAKYAT</v>
      </c>
      <c r="K8144" t="str">
        <f>"220161297314"</f>
        <v>220161297314</v>
      </c>
      <c r="L8144" t="str">
        <f t="shared" si="3316"/>
        <v>04-08-2020</v>
      </c>
      <c r="M8144" t="str">
        <f t="shared" si="3316"/>
        <v>04-08-2020</v>
      </c>
      <c r="N8144" t="str">
        <f t="shared" si="3321"/>
        <v>001105018356</v>
      </c>
      <c r="O8144" t="str">
        <f t="shared" si="3322"/>
        <v>MYR</v>
      </c>
      <c r="P8144" t="str">
        <f t="shared" si="3317"/>
        <v>NIL</v>
      </c>
      <c r="Q8144" t="str">
        <f t="shared" si="3317"/>
        <v>NIL</v>
      </c>
      <c r="R8144" t="str">
        <f t="shared" si="3310"/>
        <v>Accepted</v>
      </c>
      <c r="S8144" t="str">
        <f t="shared" si="3323"/>
        <v>Approved</v>
      </c>
      <c r="T8144" t="str">
        <f t="shared" si="3311"/>
        <v>10.20.8.188</v>
      </c>
      <c r="U8144" t="str">
        <f t="shared" si="3324"/>
        <v>AZRAD UMAR BIN SHAARI</v>
      </c>
      <c r="V8144" t="str">
        <f t="shared" si="3325"/>
        <v>FARHANA BINTI MUSTAPA</v>
      </c>
      <c r="W8144" t="str">
        <f t="shared" si="3326"/>
        <v>04-08-2020</v>
      </c>
      <c r="X8144" t="str">
        <f t="shared" si="3327"/>
        <v>RAZIMAH ANSAR AHMAD</v>
      </c>
      <c r="Y8144" t="str">
        <f t="shared" si="3328"/>
        <v>04-08-2020</v>
      </c>
      <c r="Z8144" t="str">
        <f>"COS10200804 1010"</f>
        <v>COS10200804 1010</v>
      </c>
    </row>
    <row r="8145" spans="1:26" x14ac:dyDescent="0.25">
      <c r="A8145" t="str">
        <f t="shared" si="3314"/>
        <v>04-08-2020 12:31:59</v>
      </c>
      <c r="B8145" t="str">
        <f>"0000802756"</f>
        <v>0000802756</v>
      </c>
      <c r="C8145" t="str">
        <f t="shared" si="3315"/>
        <v>0000802747</v>
      </c>
      <c r="D8145" t="str">
        <f t="shared" si="3318"/>
        <v>73185</v>
      </c>
      <c r="E8145" t="str">
        <f t="shared" si="3319"/>
        <v>KFH-OPERATIONS DEPARTMENT</v>
      </c>
      <c r="F8145" t="str">
        <f t="shared" si="3320"/>
        <v>IBG</v>
      </c>
      <c r="G8145" t="str">
        <f t="shared" si="3329"/>
        <v>Refund COSHARE 10</v>
      </c>
      <c r="H8145" s="2">
        <v>864.7</v>
      </c>
      <c r="I8145" t="str">
        <f>"KAMARUDIN BIN ALWI"</f>
        <v>KAMARUDIN BIN ALWI</v>
      </c>
      <c r="J8145" t="str">
        <f t="shared" si="3309"/>
        <v>BANK KERJASAMA RAKYAT</v>
      </c>
      <c r="K8145" t="str">
        <f>"220871022480"</f>
        <v>220871022480</v>
      </c>
      <c r="L8145" t="str">
        <f t="shared" si="3316"/>
        <v>04-08-2020</v>
      </c>
      <c r="M8145" t="str">
        <f t="shared" si="3316"/>
        <v>04-08-2020</v>
      </c>
      <c r="N8145" t="str">
        <f t="shared" si="3321"/>
        <v>001105018356</v>
      </c>
      <c r="O8145" t="str">
        <f t="shared" si="3322"/>
        <v>MYR</v>
      </c>
      <c r="P8145" t="str">
        <f t="shared" si="3317"/>
        <v>NIL</v>
      </c>
      <c r="Q8145" t="str">
        <f t="shared" si="3317"/>
        <v>NIL</v>
      </c>
      <c r="R8145" t="str">
        <f t="shared" si="3310"/>
        <v>Accepted</v>
      </c>
      <c r="S8145" t="str">
        <f t="shared" si="3323"/>
        <v>Approved</v>
      </c>
      <c r="T8145" t="str">
        <f t="shared" si="3311"/>
        <v>10.20.8.188</v>
      </c>
      <c r="U8145" t="str">
        <f t="shared" si="3324"/>
        <v>AZRAD UMAR BIN SHAARI</v>
      </c>
      <c r="V8145" t="str">
        <f t="shared" si="3325"/>
        <v>FARHANA BINTI MUSTAPA</v>
      </c>
      <c r="W8145" t="str">
        <f t="shared" si="3326"/>
        <v>04-08-2020</v>
      </c>
      <c r="X8145" t="str">
        <f t="shared" si="3327"/>
        <v>RAZIMAH ANSAR AHMAD</v>
      </c>
      <c r="Y8145" t="str">
        <f t="shared" si="3328"/>
        <v>04-08-2020</v>
      </c>
      <c r="Z8145" t="str">
        <f>"COS10200804 1009"</f>
        <v>COS10200804 1009</v>
      </c>
    </row>
    <row r="8146" spans="1:26" x14ac:dyDescent="0.25">
      <c r="A8146" t="str">
        <f t="shared" ref="A8146:A8153" si="3330">"04-08-2020 12:31:59"</f>
        <v>04-08-2020 12:31:59</v>
      </c>
      <c r="B8146" t="str">
        <f>"0000802755"</f>
        <v>0000802755</v>
      </c>
      <c r="C8146" t="str">
        <f t="shared" ref="C8146:C8153" si="3331">"0000802747"</f>
        <v>0000802747</v>
      </c>
      <c r="D8146" t="str">
        <f t="shared" si="3318"/>
        <v>73185</v>
      </c>
      <c r="E8146" t="str">
        <f t="shared" si="3319"/>
        <v>KFH-OPERATIONS DEPARTMENT</v>
      </c>
      <c r="F8146" t="str">
        <f t="shared" si="3320"/>
        <v>IBG</v>
      </c>
      <c r="G8146" t="str">
        <f t="shared" si="3329"/>
        <v>Refund COSHARE 10</v>
      </c>
      <c r="H8146" s="2">
        <v>491.15</v>
      </c>
      <c r="I8146" t="str">
        <f>"KAMAL AZUAN BIN ASAMANI"</f>
        <v>KAMAL AZUAN BIN ASAMANI</v>
      </c>
      <c r="J8146" t="str">
        <f t="shared" si="3309"/>
        <v>BANK KERJASAMA RAKYAT</v>
      </c>
      <c r="K8146" t="str">
        <f>"220051298144"</f>
        <v>220051298144</v>
      </c>
      <c r="L8146" t="str">
        <f t="shared" si="3316"/>
        <v>04-08-2020</v>
      </c>
      <c r="M8146" t="str">
        <f t="shared" si="3316"/>
        <v>04-08-2020</v>
      </c>
      <c r="N8146" t="str">
        <f t="shared" si="3321"/>
        <v>001105018356</v>
      </c>
      <c r="O8146" t="str">
        <f t="shared" si="3322"/>
        <v>MYR</v>
      </c>
      <c r="P8146" t="str">
        <f t="shared" si="3317"/>
        <v>NIL</v>
      </c>
      <c r="Q8146" t="str">
        <f t="shared" si="3317"/>
        <v>NIL</v>
      </c>
      <c r="R8146" t="str">
        <f t="shared" si="3310"/>
        <v>Accepted</v>
      </c>
      <c r="S8146" t="str">
        <f t="shared" si="3323"/>
        <v>Approved</v>
      </c>
      <c r="T8146" t="str">
        <f t="shared" si="3311"/>
        <v>10.20.8.188</v>
      </c>
      <c r="U8146" t="str">
        <f t="shared" si="3324"/>
        <v>AZRAD UMAR BIN SHAARI</v>
      </c>
      <c r="V8146" t="str">
        <f t="shared" si="3325"/>
        <v>FARHANA BINTI MUSTAPA</v>
      </c>
      <c r="W8146" t="str">
        <f t="shared" si="3326"/>
        <v>04-08-2020</v>
      </c>
      <c r="X8146" t="str">
        <f t="shared" si="3327"/>
        <v>RAZIMAH ANSAR AHMAD</v>
      </c>
      <c r="Y8146" t="str">
        <f t="shared" si="3328"/>
        <v>04-08-2020</v>
      </c>
      <c r="Z8146" t="str">
        <f>"COS10200804 1008"</f>
        <v>COS10200804 1008</v>
      </c>
    </row>
    <row r="8147" spans="1:26" x14ac:dyDescent="0.25">
      <c r="A8147" t="str">
        <f t="shared" si="3330"/>
        <v>04-08-2020 12:31:59</v>
      </c>
      <c r="B8147" t="str">
        <f>"0000802754"</f>
        <v>0000802754</v>
      </c>
      <c r="C8147" t="str">
        <f t="shared" si="3331"/>
        <v>0000802747</v>
      </c>
      <c r="D8147" t="str">
        <f t="shared" si="3318"/>
        <v>73185</v>
      </c>
      <c r="E8147" t="str">
        <f t="shared" si="3319"/>
        <v>KFH-OPERATIONS DEPARTMENT</v>
      </c>
      <c r="F8147" t="str">
        <f t="shared" si="3320"/>
        <v>IBG</v>
      </c>
      <c r="G8147" t="str">
        <f t="shared" si="3329"/>
        <v>Refund COSHARE 10</v>
      </c>
      <c r="H8147" s="2">
        <v>50</v>
      </c>
      <c r="I8147" t="str">
        <f>"KALSOM BINTI RAMLI"</f>
        <v>KALSOM BINTI RAMLI</v>
      </c>
      <c r="J8147" t="str">
        <f t="shared" si="3309"/>
        <v>BANK KERJASAMA RAKYAT</v>
      </c>
      <c r="K8147" t="str">
        <f>"220291216547"</f>
        <v>220291216547</v>
      </c>
      <c r="L8147" t="str">
        <f t="shared" ref="L8147:M8166" si="3332">"04-08-2020"</f>
        <v>04-08-2020</v>
      </c>
      <c r="M8147" t="str">
        <f t="shared" si="3332"/>
        <v>04-08-2020</v>
      </c>
      <c r="N8147" t="str">
        <f t="shared" si="3321"/>
        <v>001105018356</v>
      </c>
      <c r="O8147" t="str">
        <f t="shared" si="3322"/>
        <v>MYR</v>
      </c>
      <c r="P8147" t="str">
        <f t="shared" ref="P8147:Q8166" si="3333">"NIL"</f>
        <v>NIL</v>
      </c>
      <c r="Q8147" t="str">
        <f t="shared" si="3333"/>
        <v>NIL</v>
      </c>
      <c r="R8147" t="str">
        <f t="shared" si="3310"/>
        <v>Accepted</v>
      </c>
      <c r="S8147" t="str">
        <f t="shared" si="3323"/>
        <v>Approved</v>
      </c>
      <c r="T8147" t="str">
        <f t="shared" si="3311"/>
        <v>10.20.8.188</v>
      </c>
      <c r="U8147" t="str">
        <f t="shared" si="3324"/>
        <v>AZRAD UMAR BIN SHAARI</v>
      </c>
      <c r="V8147" t="str">
        <f t="shared" si="3325"/>
        <v>FARHANA BINTI MUSTAPA</v>
      </c>
      <c r="W8147" t="str">
        <f t="shared" si="3326"/>
        <v>04-08-2020</v>
      </c>
      <c r="X8147" t="str">
        <f t="shared" si="3327"/>
        <v>RAZIMAH ANSAR AHMAD</v>
      </c>
      <c r="Y8147" t="str">
        <f t="shared" si="3328"/>
        <v>04-08-2020</v>
      </c>
      <c r="Z8147" t="str">
        <f>"COS10200804 1007"</f>
        <v>COS10200804 1007</v>
      </c>
    </row>
    <row r="8148" spans="1:26" x14ac:dyDescent="0.25">
      <c r="A8148" t="str">
        <f t="shared" si="3330"/>
        <v>04-08-2020 12:31:59</v>
      </c>
      <c r="B8148" t="str">
        <f>"0000802753"</f>
        <v>0000802753</v>
      </c>
      <c r="C8148" t="str">
        <f t="shared" si="3331"/>
        <v>0000802747</v>
      </c>
      <c r="D8148" t="str">
        <f t="shared" si="3318"/>
        <v>73185</v>
      </c>
      <c r="E8148" t="str">
        <f t="shared" si="3319"/>
        <v>KFH-OPERATIONS DEPARTMENT</v>
      </c>
      <c r="F8148" t="str">
        <f t="shared" si="3320"/>
        <v>IBG</v>
      </c>
      <c r="G8148" t="str">
        <f t="shared" si="3329"/>
        <v>Refund COSHARE 10</v>
      </c>
      <c r="H8148" s="2">
        <v>596.04999999999995</v>
      </c>
      <c r="I8148" t="str">
        <f>"KAHMA SHUFANA BINTI ABDUL KADIR"</f>
        <v>KAHMA SHUFANA BINTI ABDUL KADIR</v>
      </c>
      <c r="J8148" t="str">
        <f t="shared" si="3309"/>
        <v>BANK KERJASAMA RAKYAT</v>
      </c>
      <c r="K8148" t="str">
        <f>"220581165076"</f>
        <v>220581165076</v>
      </c>
      <c r="L8148" t="str">
        <f t="shared" si="3332"/>
        <v>04-08-2020</v>
      </c>
      <c r="M8148" t="str">
        <f t="shared" si="3332"/>
        <v>04-08-2020</v>
      </c>
      <c r="N8148" t="str">
        <f t="shared" si="3321"/>
        <v>001105018356</v>
      </c>
      <c r="O8148" t="str">
        <f t="shared" si="3322"/>
        <v>MYR</v>
      </c>
      <c r="P8148" t="str">
        <f t="shared" si="3333"/>
        <v>NIL</v>
      </c>
      <c r="Q8148" t="str">
        <f t="shared" si="3333"/>
        <v>NIL</v>
      </c>
      <c r="R8148" t="str">
        <f t="shared" si="3310"/>
        <v>Accepted</v>
      </c>
      <c r="S8148" t="str">
        <f t="shared" si="3323"/>
        <v>Approved</v>
      </c>
      <c r="T8148" t="str">
        <f t="shared" si="3311"/>
        <v>10.20.8.188</v>
      </c>
      <c r="U8148" t="str">
        <f t="shared" si="3324"/>
        <v>AZRAD UMAR BIN SHAARI</v>
      </c>
      <c r="V8148" t="str">
        <f t="shared" si="3325"/>
        <v>FARHANA BINTI MUSTAPA</v>
      </c>
      <c r="W8148" t="str">
        <f t="shared" si="3326"/>
        <v>04-08-2020</v>
      </c>
      <c r="X8148" t="str">
        <f t="shared" si="3327"/>
        <v>RAZIMAH ANSAR AHMAD</v>
      </c>
      <c r="Y8148" t="str">
        <f t="shared" si="3328"/>
        <v>04-08-2020</v>
      </c>
      <c r="Z8148" t="str">
        <f>"COS10200804 1006"</f>
        <v>COS10200804 1006</v>
      </c>
    </row>
    <row r="8149" spans="1:26" x14ac:dyDescent="0.25">
      <c r="A8149" t="str">
        <f t="shared" si="3330"/>
        <v>04-08-2020 12:31:59</v>
      </c>
      <c r="B8149" t="str">
        <f>"0000802752"</f>
        <v>0000802752</v>
      </c>
      <c r="C8149" t="str">
        <f t="shared" si="3331"/>
        <v>0000802747</v>
      </c>
      <c r="D8149" t="str">
        <f t="shared" si="3318"/>
        <v>73185</v>
      </c>
      <c r="E8149" t="str">
        <f t="shared" si="3319"/>
        <v>KFH-OPERATIONS DEPARTMENT</v>
      </c>
      <c r="F8149" t="str">
        <f t="shared" si="3320"/>
        <v>IBG</v>
      </c>
      <c r="G8149" t="str">
        <f t="shared" si="3329"/>
        <v>Refund COSHARE 10</v>
      </c>
      <c r="H8149" s="2">
        <v>755.55</v>
      </c>
      <c r="I8149" t="str">
        <f>"JUWAINI ZUL HAZMI BIN RUSLAN"</f>
        <v>JUWAINI ZUL HAZMI BIN RUSLAN</v>
      </c>
      <c r="J8149" t="str">
        <f t="shared" si="3309"/>
        <v>BANK KERJASAMA RAKYAT</v>
      </c>
      <c r="K8149" t="str">
        <f>"220163185752"</f>
        <v>220163185752</v>
      </c>
      <c r="L8149" t="str">
        <f t="shared" si="3332"/>
        <v>04-08-2020</v>
      </c>
      <c r="M8149" t="str">
        <f t="shared" si="3332"/>
        <v>04-08-2020</v>
      </c>
      <c r="N8149" t="str">
        <f t="shared" si="3321"/>
        <v>001105018356</v>
      </c>
      <c r="O8149" t="str">
        <f t="shared" si="3322"/>
        <v>MYR</v>
      </c>
      <c r="P8149" t="str">
        <f t="shared" si="3333"/>
        <v>NIL</v>
      </c>
      <c r="Q8149" t="str">
        <f t="shared" si="3333"/>
        <v>NIL</v>
      </c>
      <c r="R8149" t="str">
        <f t="shared" si="3310"/>
        <v>Accepted</v>
      </c>
      <c r="S8149" t="str">
        <f t="shared" si="3323"/>
        <v>Approved</v>
      </c>
      <c r="T8149" t="str">
        <f t="shared" si="3311"/>
        <v>10.20.8.188</v>
      </c>
      <c r="U8149" t="str">
        <f t="shared" si="3324"/>
        <v>AZRAD UMAR BIN SHAARI</v>
      </c>
      <c r="V8149" t="str">
        <f t="shared" si="3325"/>
        <v>FARHANA BINTI MUSTAPA</v>
      </c>
      <c r="W8149" t="str">
        <f t="shared" si="3326"/>
        <v>04-08-2020</v>
      </c>
      <c r="X8149" t="str">
        <f t="shared" si="3327"/>
        <v>RAZIMAH ANSAR AHMAD</v>
      </c>
      <c r="Y8149" t="str">
        <f t="shared" si="3328"/>
        <v>04-08-2020</v>
      </c>
      <c r="Z8149" t="str">
        <f>"COS10200804 1005"</f>
        <v>COS10200804 1005</v>
      </c>
    </row>
    <row r="8150" spans="1:26" x14ac:dyDescent="0.25">
      <c r="A8150" t="str">
        <f t="shared" si="3330"/>
        <v>04-08-2020 12:31:59</v>
      </c>
      <c r="B8150" t="str">
        <f>"0000802751"</f>
        <v>0000802751</v>
      </c>
      <c r="C8150" t="str">
        <f t="shared" si="3331"/>
        <v>0000802747</v>
      </c>
      <c r="D8150" t="str">
        <f t="shared" si="3318"/>
        <v>73185</v>
      </c>
      <c r="E8150" t="str">
        <f t="shared" si="3319"/>
        <v>KFH-OPERATIONS DEPARTMENT</v>
      </c>
      <c r="F8150" t="str">
        <f t="shared" si="3320"/>
        <v>IBG</v>
      </c>
      <c r="G8150" t="str">
        <f t="shared" si="3329"/>
        <v>Refund COSHARE 10</v>
      </c>
      <c r="H8150" s="2">
        <v>328.2</v>
      </c>
      <c r="I8150" t="str">
        <f>"JURAIDAH BINTI ASHIK"</f>
        <v>JURAIDAH BINTI ASHIK</v>
      </c>
      <c r="J8150" t="str">
        <f t="shared" si="3309"/>
        <v>BANK KERJASAMA RAKYAT</v>
      </c>
      <c r="K8150" t="str">
        <f>"220531203439"</f>
        <v>220531203439</v>
      </c>
      <c r="L8150" t="str">
        <f t="shared" si="3332"/>
        <v>04-08-2020</v>
      </c>
      <c r="M8150" t="str">
        <f t="shared" si="3332"/>
        <v>04-08-2020</v>
      </c>
      <c r="N8150" t="str">
        <f t="shared" si="3321"/>
        <v>001105018356</v>
      </c>
      <c r="O8150" t="str">
        <f t="shared" si="3322"/>
        <v>MYR</v>
      </c>
      <c r="P8150" t="str">
        <f t="shared" si="3333"/>
        <v>NIL</v>
      </c>
      <c r="Q8150" t="str">
        <f t="shared" si="3333"/>
        <v>NIL</v>
      </c>
      <c r="R8150" t="str">
        <f t="shared" si="3310"/>
        <v>Accepted</v>
      </c>
      <c r="S8150" t="str">
        <f t="shared" si="3323"/>
        <v>Approved</v>
      </c>
      <c r="T8150" t="str">
        <f t="shared" si="3311"/>
        <v>10.20.8.188</v>
      </c>
      <c r="U8150" t="str">
        <f t="shared" si="3324"/>
        <v>AZRAD UMAR BIN SHAARI</v>
      </c>
      <c r="V8150" t="str">
        <f t="shared" si="3325"/>
        <v>FARHANA BINTI MUSTAPA</v>
      </c>
      <c r="W8150" t="str">
        <f t="shared" si="3326"/>
        <v>04-08-2020</v>
      </c>
      <c r="X8150" t="str">
        <f t="shared" si="3327"/>
        <v>RAZIMAH ANSAR AHMAD</v>
      </c>
      <c r="Y8150" t="str">
        <f t="shared" si="3328"/>
        <v>04-08-2020</v>
      </c>
      <c r="Z8150" t="str">
        <f>"COS10200804 1004"</f>
        <v>COS10200804 1004</v>
      </c>
    </row>
    <row r="8151" spans="1:26" x14ac:dyDescent="0.25">
      <c r="A8151" t="str">
        <f t="shared" si="3330"/>
        <v>04-08-2020 12:31:59</v>
      </c>
      <c r="B8151" t="str">
        <f>"0000802750"</f>
        <v>0000802750</v>
      </c>
      <c r="C8151" t="str">
        <f t="shared" si="3331"/>
        <v>0000802747</v>
      </c>
      <c r="D8151" t="str">
        <f t="shared" si="3318"/>
        <v>73185</v>
      </c>
      <c r="E8151" t="str">
        <f t="shared" si="3319"/>
        <v>KFH-OPERATIONS DEPARTMENT</v>
      </c>
      <c r="F8151" t="str">
        <f t="shared" si="3320"/>
        <v>IBG</v>
      </c>
      <c r="G8151" t="str">
        <f t="shared" si="3329"/>
        <v>Refund COSHARE 10</v>
      </c>
      <c r="H8151" s="2">
        <v>461.75</v>
      </c>
      <c r="I8151" t="str">
        <f>"JUNAIDA BINTI DOLLAH"</f>
        <v>JUNAIDA BINTI DOLLAH</v>
      </c>
      <c r="J8151" t="str">
        <f t="shared" si="3309"/>
        <v>BANK KERJASAMA RAKYAT</v>
      </c>
      <c r="K8151" t="str">
        <f>"221001097670"</f>
        <v>221001097670</v>
      </c>
      <c r="L8151" t="str">
        <f t="shared" si="3332"/>
        <v>04-08-2020</v>
      </c>
      <c r="M8151" t="str">
        <f t="shared" si="3332"/>
        <v>04-08-2020</v>
      </c>
      <c r="N8151" t="str">
        <f t="shared" si="3321"/>
        <v>001105018356</v>
      </c>
      <c r="O8151" t="str">
        <f t="shared" si="3322"/>
        <v>MYR</v>
      </c>
      <c r="P8151" t="str">
        <f t="shared" si="3333"/>
        <v>NIL</v>
      </c>
      <c r="Q8151" t="str">
        <f t="shared" si="3333"/>
        <v>NIL</v>
      </c>
      <c r="R8151" t="str">
        <f t="shared" si="3310"/>
        <v>Accepted</v>
      </c>
      <c r="S8151" t="str">
        <f t="shared" si="3323"/>
        <v>Approved</v>
      </c>
      <c r="T8151" t="str">
        <f t="shared" si="3311"/>
        <v>10.20.8.188</v>
      </c>
      <c r="U8151" t="str">
        <f t="shared" si="3324"/>
        <v>AZRAD UMAR BIN SHAARI</v>
      </c>
      <c r="V8151" t="str">
        <f t="shared" si="3325"/>
        <v>FARHANA BINTI MUSTAPA</v>
      </c>
      <c r="W8151" t="str">
        <f t="shared" si="3326"/>
        <v>04-08-2020</v>
      </c>
      <c r="X8151" t="str">
        <f t="shared" si="3327"/>
        <v>RAZIMAH ANSAR AHMAD</v>
      </c>
      <c r="Y8151" t="str">
        <f t="shared" si="3328"/>
        <v>04-08-2020</v>
      </c>
      <c r="Z8151" t="str">
        <f>"COS10200804 1003"</f>
        <v>COS10200804 1003</v>
      </c>
    </row>
    <row r="8152" spans="1:26" x14ac:dyDescent="0.25">
      <c r="A8152" t="str">
        <f t="shared" si="3330"/>
        <v>04-08-2020 12:31:59</v>
      </c>
      <c r="B8152" t="str">
        <f>"0000802749"</f>
        <v>0000802749</v>
      </c>
      <c r="C8152" t="str">
        <f t="shared" si="3331"/>
        <v>0000802747</v>
      </c>
      <c r="D8152" t="str">
        <f t="shared" si="3318"/>
        <v>73185</v>
      </c>
      <c r="E8152" t="str">
        <f t="shared" si="3319"/>
        <v>KFH-OPERATIONS DEPARTMENT</v>
      </c>
      <c r="F8152" t="str">
        <f t="shared" si="3320"/>
        <v>IBG</v>
      </c>
      <c r="G8152" t="str">
        <f t="shared" si="3329"/>
        <v>Refund COSHARE 10</v>
      </c>
      <c r="H8152" s="2">
        <v>203.25</v>
      </c>
      <c r="I8152" t="str">
        <f>"JUAHARI BIN BIANG"</f>
        <v>JUAHARI BIN BIANG</v>
      </c>
      <c r="J8152" t="str">
        <f t="shared" si="3309"/>
        <v>BANK KERJASAMA RAKYAT</v>
      </c>
      <c r="K8152" t="str">
        <f>"220711068449"</f>
        <v>220711068449</v>
      </c>
      <c r="L8152" t="str">
        <f t="shared" si="3332"/>
        <v>04-08-2020</v>
      </c>
      <c r="M8152" t="str">
        <f t="shared" si="3332"/>
        <v>04-08-2020</v>
      </c>
      <c r="N8152" t="str">
        <f t="shared" si="3321"/>
        <v>001105018356</v>
      </c>
      <c r="O8152" t="str">
        <f t="shared" si="3322"/>
        <v>MYR</v>
      </c>
      <c r="P8152" t="str">
        <f t="shared" si="3333"/>
        <v>NIL</v>
      </c>
      <c r="Q8152" t="str">
        <f t="shared" si="3333"/>
        <v>NIL</v>
      </c>
      <c r="R8152" t="str">
        <f t="shared" si="3310"/>
        <v>Accepted</v>
      </c>
      <c r="S8152" t="str">
        <f t="shared" si="3323"/>
        <v>Approved</v>
      </c>
      <c r="T8152" t="str">
        <f t="shared" si="3311"/>
        <v>10.20.8.188</v>
      </c>
      <c r="U8152" t="str">
        <f t="shared" si="3324"/>
        <v>AZRAD UMAR BIN SHAARI</v>
      </c>
      <c r="V8152" t="str">
        <f t="shared" si="3325"/>
        <v>FARHANA BINTI MUSTAPA</v>
      </c>
      <c r="W8152" t="str">
        <f t="shared" si="3326"/>
        <v>04-08-2020</v>
      </c>
      <c r="X8152" t="str">
        <f t="shared" si="3327"/>
        <v>RAZIMAH ANSAR AHMAD</v>
      </c>
      <c r="Y8152" t="str">
        <f t="shared" si="3328"/>
        <v>04-08-2020</v>
      </c>
      <c r="Z8152" t="str">
        <f>"COS10200804 1002"</f>
        <v>COS10200804 1002</v>
      </c>
    </row>
    <row r="8153" spans="1:26" x14ac:dyDescent="0.25">
      <c r="A8153" t="str">
        <f t="shared" si="3330"/>
        <v>04-08-2020 12:31:59</v>
      </c>
      <c r="B8153" t="str">
        <f>"0000802748"</f>
        <v>0000802748</v>
      </c>
      <c r="C8153" t="str">
        <f t="shared" si="3331"/>
        <v>0000802747</v>
      </c>
      <c r="D8153" t="str">
        <f t="shared" si="3318"/>
        <v>73185</v>
      </c>
      <c r="E8153" t="str">
        <f t="shared" si="3319"/>
        <v>KFH-OPERATIONS DEPARTMENT</v>
      </c>
      <c r="F8153" t="str">
        <f t="shared" si="3320"/>
        <v>IBG</v>
      </c>
      <c r="G8153" t="str">
        <f t="shared" si="3329"/>
        <v>Refund COSHARE 10</v>
      </c>
      <c r="H8153" s="2">
        <v>92.35</v>
      </c>
      <c r="I8153" t="str">
        <f>"JOSEPH BIN RUNGGAS"</f>
        <v>JOSEPH BIN RUNGGAS</v>
      </c>
      <c r="J8153" t="str">
        <f t="shared" si="3309"/>
        <v>BANK KERJASAMA RAKYAT</v>
      </c>
      <c r="K8153" t="str">
        <f>"220821228008"</f>
        <v>220821228008</v>
      </c>
      <c r="L8153" t="str">
        <f t="shared" si="3332"/>
        <v>04-08-2020</v>
      </c>
      <c r="M8153" t="str">
        <f t="shared" si="3332"/>
        <v>04-08-2020</v>
      </c>
      <c r="N8153" t="str">
        <f t="shared" si="3321"/>
        <v>001105018356</v>
      </c>
      <c r="O8153" t="str">
        <f t="shared" si="3322"/>
        <v>MYR</v>
      </c>
      <c r="P8153" t="str">
        <f t="shared" si="3333"/>
        <v>NIL</v>
      </c>
      <c r="Q8153" t="str">
        <f t="shared" si="3333"/>
        <v>NIL</v>
      </c>
      <c r="R8153" t="str">
        <f t="shared" si="3310"/>
        <v>Accepted</v>
      </c>
      <c r="S8153" t="str">
        <f t="shared" si="3323"/>
        <v>Approved</v>
      </c>
      <c r="T8153" t="str">
        <f t="shared" si="3311"/>
        <v>10.20.8.188</v>
      </c>
      <c r="U8153" t="str">
        <f t="shared" si="3324"/>
        <v>AZRAD UMAR BIN SHAARI</v>
      </c>
      <c r="V8153" t="str">
        <f t="shared" si="3325"/>
        <v>FARHANA BINTI MUSTAPA</v>
      </c>
      <c r="W8153" t="str">
        <f t="shared" si="3326"/>
        <v>04-08-2020</v>
      </c>
      <c r="X8153" t="str">
        <f t="shared" si="3327"/>
        <v>RAZIMAH ANSAR AHMAD</v>
      </c>
      <c r="Y8153" t="str">
        <f t="shared" si="3328"/>
        <v>04-08-2020</v>
      </c>
      <c r="Z8153" t="str">
        <f>"COS10200804 1001"</f>
        <v>COS10200804 1001</v>
      </c>
    </row>
    <row r="8154" spans="1:26" x14ac:dyDescent="0.25">
      <c r="A8154" t="str">
        <f t="shared" ref="A8154:A8185" si="3334">"04-08-2020 12:31:21"</f>
        <v>04-08-2020 12:31:21</v>
      </c>
      <c r="B8154" t="str">
        <f>"0000802743"</f>
        <v>0000802743</v>
      </c>
      <c r="C8154" t="str">
        <f t="shared" ref="C8154:C8185" si="3335">"0000802543"</f>
        <v>0000802543</v>
      </c>
      <c r="D8154" t="str">
        <f t="shared" si="3318"/>
        <v>73185</v>
      </c>
      <c r="E8154" t="str">
        <f t="shared" si="3319"/>
        <v>KFH-OPERATIONS DEPARTMENT</v>
      </c>
      <c r="F8154" t="str">
        <f t="shared" si="3320"/>
        <v>IBG</v>
      </c>
      <c r="G8154" t="str">
        <f t="shared" si="3329"/>
        <v>Refund COSHARE 10</v>
      </c>
      <c r="H8154" s="2">
        <v>1070.5999999999999</v>
      </c>
      <c r="I8154" t="str">
        <f>"JORIN BINTI MELSON  DEANN"</f>
        <v>JORIN BINTI MELSON  DEANN</v>
      </c>
      <c r="J8154" t="str">
        <f t="shared" si="3309"/>
        <v>BANK KERJASAMA RAKYAT</v>
      </c>
      <c r="K8154" t="str">
        <f>"220741110846"</f>
        <v>220741110846</v>
      </c>
      <c r="L8154" t="str">
        <f t="shared" si="3332"/>
        <v>04-08-2020</v>
      </c>
      <c r="M8154" t="str">
        <f t="shared" si="3332"/>
        <v>04-08-2020</v>
      </c>
      <c r="N8154" t="str">
        <f t="shared" si="3321"/>
        <v>001105018356</v>
      </c>
      <c r="O8154" t="str">
        <f t="shared" si="3322"/>
        <v>MYR</v>
      </c>
      <c r="P8154" t="str">
        <f t="shared" si="3333"/>
        <v>NIL</v>
      </c>
      <c r="Q8154" t="str">
        <f t="shared" si="3333"/>
        <v>NIL</v>
      </c>
      <c r="R8154" t="str">
        <f t="shared" si="3310"/>
        <v>Accepted</v>
      </c>
      <c r="S8154" t="str">
        <f t="shared" si="3323"/>
        <v>Approved</v>
      </c>
      <c r="T8154" t="str">
        <f t="shared" si="3311"/>
        <v>10.20.8.188</v>
      </c>
      <c r="U8154" t="str">
        <f t="shared" si="3324"/>
        <v>AZRAD UMAR BIN SHAARI</v>
      </c>
      <c r="V8154" t="str">
        <f t="shared" si="3325"/>
        <v>FARHANA BINTI MUSTAPA</v>
      </c>
      <c r="W8154" t="str">
        <f t="shared" si="3326"/>
        <v>04-08-2020</v>
      </c>
      <c r="X8154" t="str">
        <f t="shared" si="3327"/>
        <v>RAZIMAH ANSAR AHMAD</v>
      </c>
      <c r="Y8154" t="str">
        <f t="shared" si="3328"/>
        <v>04-08-2020</v>
      </c>
      <c r="Z8154" t="str">
        <f>"COS10200804 1000"</f>
        <v>COS10200804 1000</v>
      </c>
    </row>
    <row r="8155" spans="1:26" x14ac:dyDescent="0.25">
      <c r="A8155" t="str">
        <f t="shared" si="3334"/>
        <v>04-08-2020 12:31:21</v>
      </c>
      <c r="B8155" t="str">
        <f>"0000802742"</f>
        <v>0000802742</v>
      </c>
      <c r="C8155" t="str">
        <f t="shared" si="3335"/>
        <v>0000802543</v>
      </c>
      <c r="D8155" t="str">
        <f t="shared" si="3318"/>
        <v>73185</v>
      </c>
      <c r="E8155" t="str">
        <f t="shared" si="3319"/>
        <v>KFH-OPERATIONS DEPARTMENT</v>
      </c>
      <c r="F8155" t="str">
        <f t="shared" si="3320"/>
        <v>IBG</v>
      </c>
      <c r="G8155" t="str">
        <f t="shared" si="3329"/>
        <v>Refund COSHARE 10</v>
      </c>
      <c r="H8155" s="2">
        <v>247</v>
      </c>
      <c r="I8155" t="str">
        <f>"JOHOR BIN BUJANG"</f>
        <v>JOHOR BIN BUJANG</v>
      </c>
      <c r="J8155" t="str">
        <f t="shared" si="3309"/>
        <v>BANK KERJASAMA RAKYAT</v>
      </c>
      <c r="K8155" t="str">
        <f>"220671068263"</f>
        <v>220671068263</v>
      </c>
      <c r="L8155" t="str">
        <f t="shared" si="3332"/>
        <v>04-08-2020</v>
      </c>
      <c r="M8155" t="str">
        <f t="shared" si="3332"/>
        <v>04-08-2020</v>
      </c>
      <c r="N8155" t="str">
        <f t="shared" si="3321"/>
        <v>001105018356</v>
      </c>
      <c r="O8155" t="str">
        <f t="shared" si="3322"/>
        <v>MYR</v>
      </c>
      <c r="P8155" t="str">
        <f t="shared" si="3333"/>
        <v>NIL</v>
      </c>
      <c r="Q8155" t="str">
        <f t="shared" si="3333"/>
        <v>NIL</v>
      </c>
      <c r="R8155" t="str">
        <f t="shared" si="3310"/>
        <v>Accepted</v>
      </c>
      <c r="S8155" t="str">
        <f t="shared" si="3323"/>
        <v>Approved</v>
      </c>
      <c r="T8155" t="str">
        <f t="shared" si="3311"/>
        <v>10.20.8.188</v>
      </c>
      <c r="U8155" t="str">
        <f t="shared" si="3324"/>
        <v>AZRAD UMAR BIN SHAARI</v>
      </c>
      <c r="V8155" t="str">
        <f t="shared" si="3325"/>
        <v>FARHANA BINTI MUSTAPA</v>
      </c>
      <c r="W8155" t="str">
        <f t="shared" si="3326"/>
        <v>04-08-2020</v>
      </c>
      <c r="X8155" t="str">
        <f t="shared" si="3327"/>
        <v>RAZIMAH ANSAR AHMAD</v>
      </c>
      <c r="Y8155" t="str">
        <f t="shared" si="3328"/>
        <v>04-08-2020</v>
      </c>
      <c r="Z8155" t="str">
        <f>"COS10200804 999"</f>
        <v>COS10200804 999</v>
      </c>
    </row>
    <row r="8156" spans="1:26" x14ac:dyDescent="0.25">
      <c r="A8156" t="str">
        <f t="shared" si="3334"/>
        <v>04-08-2020 12:31:21</v>
      </c>
      <c r="B8156" t="str">
        <f>"0000802741"</f>
        <v>0000802741</v>
      </c>
      <c r="C8156" t="str">
        <f t="shared" si="3335"/>
        <v>0000802543</v>
      </c>
      <c r="D8156" t="str">
        <f t="shared" si="3318"/>
        <v>73185</v>
      </c>
      <c r="E8156" t="str">
        <f t="shared" si="3319"/>
        <v>KFH-OPERATIONS DEPARTMENT</v>
      </c>
      <c r="F8156" t="str">
        <f t="shared" si="3320"/>
        <v>IBG</v>
      </c>
      <c r="G8156" t="str">
        <f t="shared" si="3329"/>
        <v>Refund COSHARE 10</v>
      </c>
      <c r="H8156" s="2">
        <v>251.85</v>
      </c>
      <c r="I8156" t="str">
        <f>"JOHANI BINTI AMERAN"</f>
        <v>JOHANI BINTI AMERAN</v>
      </c>
      <c r="J8156" t="str">
        <f t="shared" si="3309"/>
        <v>BANK KERJASAMA RAKYAT</v>
      </c>
      <c r="K8156" t="str">
        <f>"221091007781"</f>
        <v>221091007781</v>
      </c>
      <c r="L8156" t="str">
        <f t="shared" si="3332"/>
        <v>04-08-2020</v>
      </c>
      <c r="M8156" t="str">
        <f t="shared" si="3332"/>
        <v>04-08-2020</v>
      </c>
      <c r="N8156" t="str">
        <f t="shared" si="3321"/>
        <v>001105018356</v>
      </c>
      <c r="O8156" t="str">
        <f t="shared" si="3322"/>
        <v>MYR</v>
      </c>
      <c r="P8156" t="str">
        <f t="shared" si="3333"/>
        <v>NIL</v>
      </c>
      <c r="Q8156" t="str">
        <f t="shared" si="3333"/>
        <v>NIL</v>
      </c>
      <c r="R8156" t="str">
        <f t="shared" si="3310"/>
        <v>Accepted</v>
      </c>
      <c r="S8156" t="str">
        <f t="shared" si="3323"/>
        <v>Approved</v>
      </c>
      <c r="T8156" t="str">
        <f t="shared" si="3311"/>
        <v>10.20.8.188</v>
      </c>
      <c r="U8156" t="str">
        <f t="shared" si="3324"/>
        <v>AZRAD UMAR BIN SHAARI</v>
      </c>
      <c r="V8156" t="str">
        <f t="shared" si="3325"/>
        <v>FARHANA BINTI MUSTAPA</v>
      </c>
      <c r="W8156" t="str">
        <f t="shared" si="3326"/>
        <v>04-08-2020</v>
      </c>
      <c r="X8156" t="str">
        <f t="shared" si="3327"/>
        <v>RAZIMAH ANSAR AHMAD</v>
      </c>
      <c r="Y8156" t="str">
        <f t="shared" si="3328"/>
        <v>04-08-2020</v>
      </c>
      <c r="Z8156" t="str">
        <f>"COS10200804 998"</f>
        <v>COS10200804 998</v>
      </c>
    </row>
    <row r="8157" spans="1:26" x14ac:dyDescent="0.25">
      <c r="A8157" t="str">
        <f t="shared" si="3334"/>
        <v>04-08-2020 12:31:21</v>
      </c>
      <c r="B8157" t="str">
        <f>"0000802740"</f>
        <v>0000802740</v>
      </c>
      <c r="C8157" t="str">
        <f t="shared" si="3335"/>
        <v>0000802543</v>
      </c>
      <c r="D8157" t="str">
        <f t="shared" si="3318"/>
        <v>73185</v>
      </c>
      <c r="E8157" t="str">
        <f t="shared" si="3319"/>
        <v>KFH-OPERATIONS DEPARTMENT</v>
      </c>
      <c r="F8157" t="str">
        <f t="shared" si="3320"/>
        <v>IBG</v>
      </c>
      <c r="G8157" t="str">
        <f t="shared" si="3329"/>
        <v>Refund COSHARE 10</v>
      </c>
      <c r="H8157" s="2">
        <v>266</v>
      </c>
      <c r="I8157" t="str">
        <f>"JOHANI BINTI AMERAN"</f>
        <v>JOHANI BINTI AMERAN</v>
      </c>
      <c r="J8157" t="str">
        <f t="shared" si="3309"/>
        <v>BANK KERJASAMA RAKYAT</v>
      </c>
      <c r="K8157" t="str">
        <f>"221091007781"</f>
        <v>221091007781</v>
      </c>
      <c r="L8157" t="str">
        <f t="shared" si="3332"/>
        <v>04-08-2020</v>
      </c>
      <c r="M8157" t="str">
        <f t="shared" si="3332"/>
        <v>04-08-2020</v>
      </c>
      <c r="N8157" t="str">
        <f t="shared" si="3321"/>
        <v>001105018356</v>
      </c>
      <c r="O8157" t="str">
        <f t="shared" si="3322"/>
        <v>MYR</v>
      </c>
      <c r="P8157" t="str">
        <f t="shared" si="3333"/>
        <v>NIL</v>
      </c>
      <c r="Q8157" t="str">
        <f t="shared" si="3333"/>
        <v>NIL</v>
      </c>
      <c r="R8157" t="str">
        <f t="shared" si="3310"/>
        <v>Accepted</v>
      </c>
      <c r="S8157" t="str">
        <f t="shared" si="3323"/>
        <v>Approved</v>
      </c>
      <c r="T8157" t="str">
        <f t="shared" si="3311"/>
        <v>10.20.8.188</v>
      </c>
      <c r="U8157" t="str">
        <f t="shared" si="3324"/>
        <v>AZRAD UMAR BIN SHAARI</v>
      </c>
      <c r="V8157" t="str">
        <f t="shared" si="3325"/>
        <v>FARHANA BINTI MUSTAPA</v>
      </c>
      <c r="W8157" t="str">
        <f t="shared" si="3326"/>
        <v>04-08-2020</v>
      </c>
      <c r="X8157" t="str">
        <f t="shared" si="3327"/>
        <v>RAZIMAH ANSAR AHMAD</v>
      </c>
      <c r="Y8157" t="str">
        <f t="shared" si="3328"/>
        <v>04-08-2020</v>
      </c>
      <c r="Z8157" t="str">
        <f>"COS10200804 997"</f>
        <v>COS10200804 997</v>
      </c>
    </row>
    <row r="8158" spans="1:26" x14ac:dyDescent="0.25">
      <c r="A8158" t="str">
        <f t="shared" si="3334"/>
        <v>04-08-2020 12:31:21</v>
      </c>
      <c r="B8158" t="str">
        <f>"0000802739"</f>
        <v>0000802739</v>
      </c>
      <c r="C8158" t="str">
        <f t="shared" si="3335"/>
        <v>0000802543</v>
      </c>
      <c r="D8158" t="str">
        <f t="shared" si="3318"/>
        <v>73185</v>
      </c>
      <c r="E8158" t="str">
        <f t="shared" si="3319"/>
        <v>KFH-OPERATIONS DEPARTMENT</v>
      </c>
      <c r="F8158" t="str">
        <f t="shared" si="3320"/>
        <v>IBG</v>
      </c>
      <c r="G8158" t="str">
        <f t="shared" si="3329"/>
        <v>Refund COSHARE 10</v>
      </c>
      <c r="H8158" s="2">
        <v>854.6</v>
      </c>
      <c r="I8158" t="str">
        <f>"JEYA SEELAN AL SUBRAMANIAM"</f>
        <v>JEYA SEELAN AL SUBRAMANIAM</v>
      </c>
      <c r="J8158" t="str">
        <f t="shared" si="3309"/>
        <v>BANK KERJASAMA RAKYAT</v>
      </c>
      <c r="K8158" t="str">
        <f>"220981001155"</f>
        <v>220981001155</v>
      </c>
      <c r="L8158" t="str">
        <f t="shared" si="3332"/>
        <v>04-08-2020</v>
      </c>
      <c r="M8158" t="str">
        <f t="shared" si="3332"/>
        <v>04-08-2020</v>
      </c>
      <c r="N8158" t="str">
        <f t="shared" si="3321"/>
        <v>001105018356</v>
      </c>
      <c r="O8158" t="str">
        <f t="shared" si="3322"/>
        <v>MYR</v>
      </c>
      <c r="P8158" t="str">
        <f t="shared" si="3333"/>
        <v>NIL</v>
      </c>
      <c r="Q8158" t="str">
        <f t="shared" si="3333"/>
        <v>NIL</v>
      </c>
      <c r="R8158" t="str">
        <f t="shared" si="3310"/>
        <v>Accepted</v>
      </c>
      <c r="S8158" t="str">
        <f t="shared" si="3323"/>
        <v>Approved</v>
      </c>
      <c r="T8158" t="str">
        <f t="shared" si="3311"/>
        <v>10.20.8.188</v>
      </c>
      <c r="U8158" t="str">
        <f t="shared" si="3324"/>
        <v>AZRAD UMAR BIN SHAARI</v>
      </c>
      <c r="V8158" t="str">
        <f t="shared" si="3325"/>
        <v>FARHANA BINTI MUSTAPA</v>
      </c>
      <c r="W8158" t="str">
        <f t="shared" si="3326"/>
        <v>04-08-2020</v>
      </c>
      <c r="X8158" t="str">
        <f t="shared" si="3327"/>
        <v>RAZIMAH ANSAR AHMAD</v>
      </c>
      <c r="Y8158" t="str">
        <f t="shared" si="3328"/>
        <v>04-08-2020</v>
      </c>
      <c r="Z8158" t="str">
        <f>"COS10200804 996"</f>
        <v>COS10200804 996</v>
      </c>
    </row>
    <row r="8159" spans="1:26" x14ac:dyDescent="0.25">
      <c r="A8159" t="str">
        <f t="shared" si="3334"/>
        <v>04-08-2020 12:31:21</v>
      </c>
      <c r="B8159" t="str">
        <f>"0000802738"</f>
        <v>0000802738</v>
      </c>
      <c r="C8159" t="str">
        <f t="shared" si="3335"/>
        <v>0000802543</v>
      </c>
      <c r="D8159" t="str">
        <f t="shared" si="3318"/>
        <v>73185</v>
      </c>
      <c r="E8159" t="str">
        <f t="shared" si="3319"/>
        <v>KFH-OPERATIONS DEPARTMENT</v>
      </c>
      <c r="F8159" t="str">
        <f t="shared" si="3320"/>
        <v>IBG</v>
      </c>
      <c r="G8159" t="str">
        <f t="shared" si="3329"/>
        <v>Refund COSHARE 10</v>
      </c>
      <c r="H8159" s="2">
        <v>201</v>
      </c>
      <c r="I8159" t="str">
        <f>"JESSY ANAK ENTING"</f>
        <v>JESSY ANAK ENTING</v>
      </c>
      <c r="J8159" t="str">
        <f t="shared" si="3309"/>
        <v>BANK KERJASAMA RAKYAT</v>
      </c>
      <c r="K8159" t="str">
        <f>"220781069471"</f>
        <v>220781069471</v>
      </c>
      <c r="L8159" t="str">
        <f t="shared" si="3332"/>
        <v>04-08-2020</v>
      </c>
      <c r="M8159" t="str">
        <f t="shared" si="3332"/>
        <v>04-08-2020</v>
      </c>
      <c r="N8159" t="str">
        <f t="shared" si="3321"/>
        <v>001105018356</v>
      </c>
      <c r="O8159" t="str">
        <f t="shared" si="3322"/>
        <v>MYR</v>
      </c>
      <c r="P8159" t="str">
        <f t="shared" si="3333"/>
        <v>NIL</v>
      </c>
      <c r="Q8159" t="str">
        <f t="shared" si="3333"/>
        <v>NIL</v>
      </c>
      <c r="R8159" t="str">
        <f t="shared" si="3310"/>
        <v>Accepted</v>
      </c>
      <c r="S8159" t="str">
        <f t="shared" si="3323"/>
        <v>Approved</v>
      </c>
      <c r="T8159" t="str">
        <f t="shared" si="3311"/>
        <v>10.20.8.188</v>
      </c>
      <c r="U8159" t="str">
        <f t="shared" si="3324"/>
        <v>AZRAD UMAR BIN SHAARI</v>
      </c>
      <c r="V8159" t="str">
        <f t="shared" si="3325"/>
        <v>FARHANA BINTI MUSTAPA</v>
      </c>
      <c r="W8159" t="str">
        <f t="shared" si="3326"/>
        <v>04-08-2020</v>
      </c>
      <c r="X8159" t="str">
        <f t="shared" si="3327"/>
        <v>RAZIMAH ANSAR AHMAD</v>
      </c>
      <c r="Y8159" t="str">
        <f t="shared" si="3328"/>
        <v>04-08-2020</v>
      </c>
      <c r="Z8159" t="str">
        <f>"COS10200804 995"</f>
        <v>COS10200804 995</v>
      </c>
    </row>
    <row r="8160" spans="1:26" x14ac:dyDescent="0.25">
      <c r="A8160" t="str">
        <f t="shared" si="3334"/>
        <v>04-08-2020 12:31:21</v>
      </c>
      <c r="B8160" t="str">
        <f>"0000802737"</f>
        <v>0000802737</v>
      </c>
      <c r="C8160" t="str">
        <f t="shared" si="3335"/>
        <v>0000802543</v>
      </c>
      <c r="D8160" t="str">
        <f t="shared" si="3318"/>
        <v>73185</v>
      </c>
      <c r="E8160" t="str">
        <f t="shared" si="3319"/>
        <v>KFH-OPERATIONS DEPARTMENT</v>
      </c>
      <c r="F8160" t="str">
        <f t="shared" si="3320"/>
        <v>IBG</v>
      </c>
      <c r="G8160" t="str">
        <f t="shared" si="3329"/>
        <v>Refund COSHARE 10</v>
      </c>
      <c r="H8160" s="2">
        <v>759</v>
      </c>
      <c r="I8160" t="str">
        <f>"JEGAN AL ESWARAN"</f>
        <v>JEGAN AL ESWARAN</v>
      </c>
      <c r="J8160" t="str">
        <f t="shared" si="3309"/>
        <v>BANK KERJASAMA RAKYAT</v>
      </c>
      <c r="K8160" t="str">
        <f>"220901165347"</f>
        <v>220901165347</v>
      </c>
      <c r="L8160" t="str">
        <f t="shared" si="3332"/>
        <v>04-08-2020</v>
      </c>
      <c r="M8160" t="str">
        <f t="shared" si="3332"/>
        <v>04-08-2020</v>
      </c>
      <c r="N8160" t="str">
        <f t="shared" si="3321"/>
        <v>001105018356</v>
      </c>
      <c r="O8160" t="str">
        <f t="shared" si="3322"/>
        <v>MYR</v>
      </c>
      <c r="P8160" t="str">
        <f t="shared" si="3333"/>
        <v>NIL</v>
      </c>
      <c r="Q8160" t="str">
        <f t="shared" si="3333"/>
        <v>NIL</v>
      </c>
      <c r="R8160" t="str">
        <f t="shared" si="3310"/>
        <v>Accepted</v>
      </c>
      <c r="S8160" t="str">
        <f t="shared" si="3323"/>
        <v>Approved</v>
      </c>
      <c r="T8160" t="str">
        <f t="shared" si="3311"/>
        <v>10.20.8.188</v>
      </c>
      <c r="U8160" t="str">
        <f t="shared" si="3324"/>
        <v>AZRAD UMAR BIN SHAARI</v>
      </c>
      <c r="V8160" t="str">
        <f t="shared" si="3325"/>
        <v>FARHANA BINTI MUSTAPA</v>
      </c>
      <c r="W8160" t="str">
        <f t="shared" si="3326"/>
        <v>04-08-2020</v>
      </c>
      <c r="X8160" t="str">
        <f t="shared" si="3327"/>
        <v>RAZIMAH ANSAR AHMAD</v>
      </c>
      <c r="Y8160" t="str">
        <f t="shared" si="3328"/>
        <v>04-08-2020</v>
      </c>
      <c r="Z8160" t="str">
        <f>"COS10200804 994"</f>
        <v>COS10200804 994</v>
      </c>
    </row>
    <row r="8161" spans="1:26" x14ac:dyDescent="0.25">
      <c r="A8161" t="str">
        <f t="shared" si="3334"/>
        <v>04-08-2020 12:31:21</v>
      </c>
      <c r="B8161" t="str">
        <f>"0000802736"</f>
        <v>0000802736</v>
      </c>
      <c r="C8161" t="str">
        <f t="shared" si="3335"/>
        <v>0000802543</v>
      </c>
      <c r="D8161" t="str">
        <f t="shared" si="3318"/>
        <v>73185</v>
      </c>
      <c r="E8161" t="str">
        <f t="shared" si="3319"/>
        <v>KFH-OPERATIONS DEPARTMENT</v>
      </c>
      <c r="F8161" t="str">
        <f t="shared" si="3320"/>
        <v>IBG</v>
      </c>
      <c r="G8161" t="str">
        <f t="shared" si="3329"/>
        <v>Refund COSHARE 10</v>
      </c>
      <c r="H8161" s="2">
        <v>109.15</v>
      </c>
      <c r="I8161" t="str">
        <f>"JEFFERY ANAK JIN"</f>
        <v>JEFFERY ANAK JIN</v>
      </c>
      <c r="J8161" t="str">
        <f t="shared" si="3309"/>
        <v>BANK KERJASAMA RAKYAT</v>
      </c>
      <c r="K8161" t="str">
        <f>"220541299307"</f>
        <v>220541299307</v>
      </c>
      <c r="L8161" t="str">
        <f t="shared" si="3332"/>
        <v>04-08-2020</v>
      </c>
      <c r="M8161" t="str">
        <f t="shared" si="3332"/>
        <v>04-08-2020</v>
      </c>
      <c r="N8161" t="str">
        <f t="shared" si="3321"/>
        <v>001105018356</v>
      </c>
      <c r="O8161" t="str">
        <f t="shared" si="3322"/>
        <v>MYR</v>
      </c>
      <c r="P8161" t="str">
        <f t="shared" si="3333"/>
        <v>NIL</v>
      </c>
      <c r="Q8161" t="str">
        <f t="shared" si="3333"/>
        <v>NIL</v>
      </c>
      <c r="R8161" t="str">
        <f t="shared" si="3310"/>
        <v>Accepted</v>
      </c>
      <c r="S8161" t="str">
        <f t="shared" si="3323"/>
        <v>Approved</v>
      </c>
      <c r="T8161" t="str">
        <f t="shared" si="3311"/>
        <v>10.20.8.188</v>
      </c>
      <c r="U8161" t="str">
        <f t="shared" si="3324"/>
        <v>AZRAD UMAR BIN SHAARI</v>
      </c>
      <c r="V8161" t="str">
        <f t="shared" si="3325"/>
        <v>FARHANA BINTI MUSTAPA</v>
      </c>
      <c r="W8161" t="str">
        <f t="shared" si="3326"/>
        <v>04-08-2020</v>
      </c>
      <c r="X8161" t="str">
        <f t="shared" si="3327"/>
        <v>RAZIMAH ANSAR AHMAD</v>
      </c>
      <c r="Y8161" t="str">
        <f t="shared" si="3328"/>
        <v>04-08-2020</v>
      </c>
      <c r="Z8161" t="str">
        <f>"COS10200804 993"</f>
        <v>COS10200804 993</v>
      </c>
    </row>
    <row r="8162" spans="1:26" x14ac:dyDescent="0.25">
      <c r="A8162" t="str">
        <f t="shared" si="3334"/>
        <v>04-08-2020 12:31:21</v>
      </c>
      <c r="B8162" t="str">
        <f>"0000802735"</f>
        <v>0000802735</v>
      </c>
      <c r="C8162" t="str">
        <f t="shared" si="3335"/>
        <v>0000802543</v>
      </c>
      <c r="D8162" t="str">
        <f t="shared" si="3318"/>
        <v>73185</v>
      </c>
      <c r="E8162" t="str">
        <f t="shared" si="3319"/>
        <v>KFH-OPERATIONS DEPARTMENT</v>
      </c>
      <c r="F8162" t="str">
        <f t="shared" si="3320"/>
        <v>IBG</v>
      </c>
      <c r="G8162" t="str">
        <f t="shared" si="3329"/>
        <v>Refund COSHARE 10</v>
      </c>
      <c r="H8162" s="2">
        <v>221.75</v>
      </c>
      <c r="I8162" t="str">
        <f>"JASNIE BINTI JAMILIN"</f>
        <v>JASNIE BINTI JAMILIN</v>
      </c>
      <c r="J8162" t="str">
        <f t="shared" ref="J8162:J8225" si="3336">"BANK KERJASAMA RAKYAT"</f>
        <v>BANK KERJASAMA RAKYAT</v>
      </c>
      <c r="K8162" t="str">
        <f>"220531147754"</f>
        <v>220531147754</v>
      </c>
      <c r="L8162" t="str">
        <f t="shared" si="3332"/>
        <v>04-08-2020</v>
      </c>
      <c r="M8162" t="str">
        <f t="shared" si="3332"/>
        <v>04-08-2020</v>
      </c>
      <c r="N8162" t="str">
        <f t="shared" si="3321"/>
        <v>001105018356</v>
      </c>
      <c r="O8162" t="str">
        <f t="shared" si="3322"/>
        <v>MYR</v>
      </c>
      <c r="P8162" t="str">
        <f t="shared" si="3333"/>
        <v>NIL</v>
      </c>
      <c r="Q8162" t="str">
        <f t="shared" si="3333"/>
        <v>NIL</v>
      </c>
      <c r="R8162" t="str">
        <f t="shared" ref="R8162:R8225" si="3337">"Accepted"</f>
        <v>Accepted</v>
      </c>
      <c r="S8162" t="str">
        <f t="shared" si="3323"/>
        <v>Approved</v>
      </c>
      <c r="T8162" t="str">
        <f t="shared" ref="T8162:T8225" si="3338">"10.20.8.188"</f>
        <v>10.20.8.188</v>
      </c>
      <c r="U8162" t="str">
        <f t="shared" si="3324"/>
        <v>AZRAD UMAR BIN SHAARI</v>
      </c>
      <c r="V8162" t="str">
        <f t="shared" si="3325"/>
        <v>FARHANA BINTI MUSTAPA</v>
      </c>
      <c r="W8162" t="str">
        <f t="shared" si="3326"/>
        <v>04-08-2020</v>
      </c>
      <c r="X8162" t="str">
        <f t="shared" si="3327"/>
        <v>RAZIMAH ANSAR AHMAD</v>
      </c>
      <c r="Y8162" t="str">
        <f t="shared" si="3328"/>
        <v>04-08-2020</v>
      </c>
      <c r="Z8162" t="str">
        <f>"COS10200804 992"</f>
        <v>COS10200804 992</v>
      </c>
    </row>
    <row r="8163" spans="1:26" x14ac:dyDescent="0.25">
      <c r="A8163" t="str">
        <f t="shared" si="3334"/>
        <v>04-08-2020 12:31:21</v>
      </c>
      <c r="B8163" t="str">
        <f>"0000802734"</f>
        <v>0000802734</v>
      </c>
      <c r="C8163" t="str">
        <f t="shared" si="3335"/>
        <v>0000802543</v>
      </c>
      <c r="D8163" t="str">
        <f t="shared" si="3318"/>
        <v>73185</v>
      </c>
      <c r="E8163" t="str">
        <f t="shared" si="3319"/>
        <v>KFH-OPERATIONS DEPARTMENT</v>
      </c>
      <c r="F8163" t="str">
        <f t="shared" si="3320"/>
        <v>IBG</v>
      </c>
      <c r="G8163" t="str">
        <f t="shared" si="3329"/>
        <v>Refund COSHARE 10</v>
      </c>
      <c r="H8163" s="2">
        <v>655</v>
      </c>
      <c r="I8163" t="str">
        <f>"JARIAH BINTI SALIH"</f>
        <v>JARIAH BINTI SALIH</v>
      </c>
      <c r="J8163" t="str">
        <f t="shared" si="3336"/>
        <v>BANK KERJASAMA RAKYAT</v>
      </c>
      <c r="K8163" t="str">
        <f>"220471240401"</f>
        <v>220471240401</v>
      </c>
      <c r="L8163" t="str">
        <f t="shared" si="3332"/>
        <v>04-08-2020</v>
      </c>
      <c r="M8163" t="str">
        <f t="shared" si="3332"/>
        <v>04-08-2020</v>
      </c>
      <c r="N8163" t="str">
        <f t="shared" si="3321"/>
        <v>001105018356</v>
      </c>
      <c r="O8163" t="str">
        <f t="shared" si="3322"/>
        <v>MYR</v>
      </c>
      <c r="P8163" t="str">
        <f t="shared" si="3333"/>
        <v>NIL</v>
      </c>
      <c r="Q8163" t="str">
        <f t="shared" si="3333"/>
        <v>NIL</v>
      </c>
      <c r="R8163" t="str">
        <f t="shared" si="3337"/>
        <v>Accepted</v>
      </c>
      <c r="S8163" t="str">
        <f t="shared" si="3323"/>
        <v>Approved</v>
      </c>
      <c r="T8163" t="str">
        <f t="shared" si="3338"/>
        <v>10.20.8.188</v>
      </c>
      <c r="U8163" t="str">
        <f t="shared" si="3324"/>
        <v>AZRAD UMAR BIN SHAARI</v>
      </c>
      <c r="V8163" t="str">
        <f t="shared" si="3325"/>
        <v>FARHANA BINTI MUSTAPA</v>
      </c>
      <c r="W8163" t="str">
        <f t="shared" si="3326"/>
        <v>04-08-2020</v>
      </c>
      <c r="X8163" t="str">
        <f t="shared" si="3327"/>
        <v>RAZIMAH ANSAR AHMAD</v>
      </c>
      <c r="Y8163" t="str">
        <f t="shared" si="3328"/>
        <v>04-08-2020</v>
      </c>
      <c r="Z8163" t="str">
        <f>"COS10200804 991"</f>
        <v>COS10200804 991</v>
      </c>
    </row>
    <row r="8164" spans="1:26" x14ac:dyDescent="0.25">
      <c r="A8164" t="str">
        <f t="shared" si="3334"/>
        <v>04-08-2020 12:31:21</v>
      </c>
      <c r="B8164" t="str">
        <f>"0000802733"</f>
        <v>0000802733</v>
      </c>
      <c r="C8164" t="str">
        <f t="shared" si="3335"/>
        <v>0000802543</v>
      </c>
      <c r="D8164" t="str">
        <f t="shared" si="3318"/>
        <v>73185</v>
      </c>
      <c r="E8164" t="str">
        <f t="shared" si="3319"/>
        <v>KFH-OPERATIONS DEPARTMENT</v>
      </c>
      <c r="F8164" t="str">
        <f t="shared" si="3320"/>
        <v>IBG</v>
      </c>
      <c r="G8164" t="str">
        <f t="shared" si="3329"/>
        <v>Refund COSHARE 10</v>
      </c>
      <c r="H8164" s="2">
        <v>45.75</v>
      </c>
      <c r="I8164" t="str">
        <f>"JAMIYAH  JAMAYAH BINTI ABD RASHID"</f>
        <v>JAMIYAH  JAMAYAH BINTI ABD RASHID</v>
      </c>
      <c r="J8164" t="str">
        <f t="shared" si="3336"/>
        <v>BANK KERJASAMA RAKYAT</v>
      </c>
      <c r="K8164" t="str">
        <f>"220531172897"</f>
        <v>220531172897</v>
      </c>
      <c r="L8164" t="str">
        <f t="shared" si="3332"/>
        <v>04-08-2020</v>
      </c>
      <c r="M8164" t="str">
        <f t="shared" si="3332"/>
        <v>04-08-2020</v>
      </c>
      <c r="N8164" t="str">
        <f t="shared" si="3321"/>
        <v>001105018356</v>
      </c>
      <c r="O8164" t="str">
        <f t="shared" si="3322"/>
        <v>MYR</v>
      </c>
      <c r="P8164" t="str">
        <f t="shared" si="3333"/>
        <v>NIL</v>
      </c>
      <c r="Q8164" t="str">
        <f t="shared" si="3333"/>
        <v>NIL</v>
      </c>
      <c r="R8164" t="str">
        <f t="shared" si="3337"/>
        <v>Accepted</v>
      </c>
      <c r="S8164" t="str">
        <f t="shared" si="3323"/>
        <v>Approved</v>
      </c>
      <c r="T8164" t="str">
        <f t="shared" si="3338"/>
        <v>10.20.8.188</v>
      </c>
      <c r="U8164" t="str">
        <f t="shared" si="3324"/>
        <v>AZRAD UMAR BIN SHAARI</v>
      </c>
      <c r="V8164" t="str">
        <f t="shared" si="3325"/>
        <v>FARHANA BINTI MUSTAPA</v>
      </c>
      <c r="W8164" t="str">
        <f t="shared" si="3326"/>
        <v>04-08-2020</v>
      </c>
      <c r="X8164" t="str">
        <f t="shared" si="3327"/>
        <v>RAZIMAH ANSAR AHMAD</v>
      </c>
      <c r="Y8164" t="str">
        <f t="shared" si="3328"/>
        <v>04-08-2020</v>
      </c>
      <c r="Z8164" t="str">
        <f>"COS10200804 990"</f>
        <v>COS10200804 990</v>
      </c>
    </row>
    <row r="8165" spans="1:26" x14ac:dyDescent="0.25">
      <c r="A8165" t="str">
        <f t="shared" si="3334"/>
        <v>04-08-2020 12:31:21</v>
      </c>
      <c r="B8165" t="str">
        <f>"0000802732"</f>
        <v>0000802732</v>
      </c>
      <c r="C8165" t="str">
        <f t="shared" si="3335"/>
        <v>0000802543</v>
      </c>
      <c r="D8165" t="str">
        <f t="shared" si="3318"/>
        <v>73185</v>
      </c>
      <c r="E8165" t="str">
        <f t="shared" si="3319"/>
        <v>KFH-OPERATIONS DEPARTMENT</v>
      </c>
      <c r="F8165" t="str">
        <f t="shared" si="3320"/>
        <v>IBG</v>
      </c>
      <c r="G8165" t="str">
        <f t="shared" si="3329"/>
        <v>Refund COSHARE 10</v>
      </c>
      <c r="H8165" s="2">
        <v>646.45000000000005</v>
      </c>
      <c r="I8165" t="str">
        <f>"JAMILAH BINTI YACOB"</f>
        <v>JAMILAH BINTI YACOB</v>
      </c>
      <c r="J8165" t="str">
        <f t="shared" si="3336"/>
        <v>BANK KERJASAMA RAKYAT</v>
      </c>
      <c r="K8165" t="str">
        <f>"220911041281"</f>
        <v>220911041281</v>
      </c>
      <c r="L8165" t="str">
        <f t="shared" si="3332"/>
        <v>04-08-2020</v>
      </c>
      <c r="M8165" t="str">
        <f t="shared" si="3332"/>
        <v>04-08-2020</v>
      </c>
      <c r="N8165" t="str">
        <f t="shared" si="3321"/>
        <v>001105018356</v>
      </c>
      <c r="O8165" t="str">
        <f t="shared" si="3322"/>
        <v>MYR</v>
      </c>
      <c r="P8165" t="str">
        <f t="shared" si="3333"/>
        <v>NIL</v>
      </c>
      <c r="Q8165" t="str">
        <f t="shared" si="3333"/>
        <v>NIL</v>
      </c>
      <c r="R8165" t="str">
        <f t="shared" si="3337"/>
        <v>Accepted</v>
      </c>
      <c r="S8165" t="str">
        <f t="shared" si="3323"/>
        <v>Approved</v>
      </c>
      <c r="T8165" t="str">
        <f t="shared" si="3338"/>
        <v>10.20.8.188</v>
      </c>
      <c r="U8165" t="str">
        <f t="shared" si="3324"/>
        <v>AZRAD UMAR BIN SHAARI</v>
      </c>
      <c r="V8165" t="str">
        <f t="shared" si="3325"/>
        <v>FARHANA BINTI MUSTAPA</v>
      </c>
      <c r="W8165" t="str">
        <f t="shared" si="3326"/>
        <v>04-08-2020</v>
      </c>
      <c r="X8165" t="str">
        <f t="shared" si="3327"/>
        <v>RAZIMAH ANSAR AHMAD</v>
      </c>
      <c r="Y8165" t="str">
        <f t="shared" si="3328"/>
        <v>04-08-2020</v>
      </c>
      <c r="Z8165" t="str">
        <f>"COS10200804 989"</f>
        <v>COS10200804 989</v>
      </c>
    </row>
    <row r="8166" spans="1:26" x14ac:dyDescent="0.25">
      <c r="A8166" t="str">
        <f t="shared" si="3334"/>
        <v>04-08-2020 12:31:21</v>
      </c>
      <c r="B8166" t="str">
        <f>"0000802731"</f>
        <v>0000802731</v>
      </c>
      <c r="C8166" t="str">
        <f t="shared" si="3335"/>
        <v>0000802543</v>
      </c>
      <c r="D8166" t="str">
        <f t="shared" si="3318"/>
        <v>73185</v>
      </c>
      <c r="E8166" t="str">
        <f t="shared" si="3319"/>
        <v>KFH-OPERATIONS DEPARTMENT</v>
      </c>
      <c r="F8166" t="str">
        <f t="shared" si="3320"/>
        <v>IBG</v>
      </c>
      <c r="G8166" t="str">
        <f t="shared" si="3329"/>
        <v>Refund COSHARE 10</v>
      </c>
      <c r="H8166" s="2">
        <v>168.9</v>
      </c>
      <c r="I8166" t="str">
        <f>"JAMILAH BINTI MALAYU"</f>
        <v>JAMILAH BINTI MALAYU</v>
      </c>
      <c r="J8166" t="str">
        <f t="shared" si="3336"/>
        <v>BANK KERJASAMA RAKYAT</v>
      </c>
      <c r="K8166" t="str">
        <f>"220661348754"</f>
        <v>220661348754</v>
      </c>
      <c r="L8166" t="str">
        <f t="shared" si="3332"/>
        <v>04-08-2020</v>
      </c>
      <c r="M8166" t="str">
        <f t="shared" si="3332"/>
        <v>04-08-2020</v>
      </c>
      <c r="N8166" t="str">
        <f t="shared" si="3321"/>
        <v>001105018356</v>
      </c>
      <c r="O8166" t="str">
        <f t="shared" si="3322"/>
        <v>MYR</v>
      </c>
      <c r="P8166" t="str">
        <f t="shared" si="3333"/>
        <v>NIL</v>
      </c>
      <c r="Q8166" t="str">
        <f t="shared" si="3333"/>
        <v>NIL</v>
      </c>
      <c r="R8166" t="str">
        <f t="shared" si="3337"/>
        <v>Accepted</v>
      </c>
      <c r="S8166" t="str">
        <f t="shared" si="3323"/>
        <v>Approved</v>
      </c>
      <c r="T8166" t="str">
        <f t="shared" si="3338"/>
        <v>10.20.8.188</v>
      </c>
      <c r="U8166" t="str">
        <f t="shared" si="3324"/>
        <v>AZRAD UMAR BIN SHAARI</v>
      </c>
      <c r="V8166" t="str">
        <f t="shared" si="3325"/>
        <v>FARHANA BINTI MUSTAPA</v>
      </c>
      <c r="W8166" t="str">
        <f t="shared" si="3326"/>
        <v>04-08-2020</v>
      </c>
      <c r="X8166" t="str">
        <f t="shared" si="3327"/>
        <v>RAZIMAH ANSAR AHMAD</v>
      </c>
      <c r="Y8166" t="str">
        <f t="shared" si="3328"/>
        <v>04-08-2020</v>
      </c>
      <c r="Z8166" t="str">
        <f>"COS10200804 988"</f>
        <v>COS10200804 988</v>
      </c>
    </row>
    <row r="8167" spans="1:26" x14ac:dyDescent="0.25">
      <c r="A8167" t="str">
        <f t="shared" si="3334"/>
        <v>04-08-2020 12:31:21</v>
      </c>
      <c r="B8167" t="str">
        <f>"0000802730"</f>
        <v>0000802730</v>
      </c>
      <c r="C8167" t="str">
        <f t="shared" si="3335"/>
        <v>0000802543</v>
      </c>
      <c r="D8167" t="str">
        <f t="shared" si="3318"/>
        <v>73185</v>
      </c>
      <c r="E8167" t="str">
        <f t="shared" si="3319"/>
        <v>KFH-OPERATIONS DEPARTMENT</v>
      </c>
      <c r="F8167" t="str">
        <f t="shared" si="3320"/>
        <v>IBG</v>
      </c>
      <c r="G8167" t="str">
        <f t="shared" si="3329"/>
        <v>Refund COSHARE 10</v>
      </c>
      <c r="H8167" s="2">
        <v>1812.75</v>
      </c>
      <c r="I8167" t="str">
        <f>"JAMILAH BINTI HJ MOKLIS"</f>
        <v>JAMILAH BINTI HJ MOKLIS</v>
      </c>
      <c r="J8167" t="str">
        <f t="shared" si="3336"/>
        <v>BANK KERJASAMA RAKYAT</v>
      </c>
      <c r="K8167" t="str">
        <f>"220531218517"</f>
        <v>220531218517</v>
      </c>
      <c r="L8167" t="str">
        <f t="shared" ref="L8167:M8186" si="3339">"04-08-2020"</f>
        <v>04-08-2020</v>
      </c>
      <c r="M8167" t="str">
        <f t="shared" si="3339"/>
        <v>04-08-2020</v>
      </c>
      <c r="N8167" t="str">
        <f t="shared" si="3321"/>
        <v>001105018356</v>
      </c>
      <c r="O8167" t="str">
        <f t="shared" si="3322"/>
        <v>MYR</v>
      </c>
      <c r="P8167" t="str">
        <f t="shared" ref="P8167:Q8186" si="3340">"NIL"</f>
        <v>NIL</v>
      </c>
      <c r="Q8167" t="str">
        <f t="shared" si="3340"/>
        <v>NIL</v>
      </c>
      <c r="R8167" t="str">
        <f t="shared" si="3337"/>
        <v>Accepted</v>
      </c>
      <c r="S8167" t="str">
        <f t="shared" si="3323"/>
        <v>Approved</v>
      </c>
      <c r="T8167" t="str">
        <f t="shared" si="3338"/>
        <v>10.20.8.188</v>
      </c>
      <c r="U8167" t="str">
        <f t="shared" si="3324"/>
        <v>AZRAD UMAR BIN SHAARI</v>
      </c>
      <c r="V8167" t="str">
        <f t="shared" si="3325"/>
        <v>FARHANA BINTI MUSTAPA</v>
      </c>
      <c r="W8167" t="str">
        <f t="shared" si="3326"/>
        <v>04-08-2020</v>
      </c>
      <c r="X8167" t="str">
        <f t="shared" si="3327"/>
        <v>RAZIMAH ANSAR AHMAD</v>
      </c>
      <c r="Y8167" t="str">
        <f t="shared" si="3328"/>
        <v>04-08-2020</v>
      </c>
      <c r="Z8167" t="str">
        <f>"COS10200804 987"</f>
        <v>COS10200804 987</v>
      </c>
    </row>
    <row r="8168" spans="1:26" x14ac:dyDescent="0.25">
      <c r="A8168" t="str">
        <f t="shared" si="3334"/>
        <v>04-08-2020 12:31:21</v>
      </c>
      <c r="B8168" t="str">
        <f>"0000802729"</f>
        <v>0000802729</v>
      </c>
      <c r="C8168" t="str">
        <f t="shared" si="3335"/>
        <v>0000802543</v>
      </c>
      <c r="D8168" t="str">
        <f t="shared" si="3318"/>
        <v>73185</v>
      </c>
      <c r="E8168" t="str">
        <f t="shared" si="3319"/>
        <v>KFH-OPERATIONS DEPARTMENT</v>
      </c>
      <c r="F8168" t="str">
        <f t="shared" si="3320"/>
        <v>IBG</v>
      </c>
      <c r="G8168" t="str">
        <f t="shared" si="3329"/>
        <v>Refund COSHARE 10</v>
      </c>
      <c r="H8168" s="2">
        <v>1469.15</v>
      </c>
      <c r="I8168" t="str">
        <f>"JAMIDI BIN MUSA"</f>
        <v>JAMIDI BIN MUSA</v>
      </c>
      <c r="J8168" t="str">
        <f t="shared" si="3336"/>
        <v>BANK KERJASAMA RAKYAT</v>
      </c>
      <c r="K8168" t="str">
        <f>"220821096464"</f>
        <v>220821096464</v>
      </c>
      <c r="L8168" t="str">
        <f t="shared" si="3339"/>
        <v>04-08-2020</v>
      </c>
      <c r="M8168" t="str">
        <f t="shared" si="3339"/>
        <v>04-08-2020</v>
      </c>
      <c r="N8168" t="str">
        <f t="shared" si="3321"/>
        <v>001105018356</v>
      </c>
      <c r="O8168" t="str">
        <f t="shared" si="3322"/>
        <v>MYR</v>
      </c>
      <c r="P8168" t="str">
        <f t="shared" si="3340"/>
        <v>NIL</v>
      </c>
      <c r="Q8168" t="str">
        <f t="shared" si="3340"/>
        <v>NIL</v>
      </c>
      <c r="R8168" t="str">
        <f t="shared" si="3337"/>
        <v>Accepted</v>
      </c>
      <c r="S8168" t="str">
        <f t="shared" si="3323"/>
        <v>Approved</v>
      </c>
      <c r="T8168" t="str">
        <f t="shared" si="3338"/>
        <v>10.20.8.188</v>
      </c>
      <c r="U8168" t="str">
        <f t="shared" si="3324"/>
        <v>AZRAD UMAR BIN SHAARI</v>
      </c>
      <c r="V8168" t="str">
        <f t="shared" si="3325"/>
        <v>FARHANA BINTI MUSTAPA</v>
      </c>
      <c r="W8168" t="str">
        <f t="shared" si="3326"/>
        <v>04-08-2020</v>
      </c>
      <c r="X8168" t="str">
        <f t="shared" si="3327"/>
        <v>RAZIMAH ANSAR AHMAD</v>
      </c>
      <c r="Y8168" t="str">
        <f t="shared" si="3328"/>
        <v>04-08-2020</v>
      </c>
      <c r="Z8168" t="str">
        <f>"COS10200804 986"</f>
        <v>COS10200804 986</v>
      </c>
    </row>
    <row r="8169" spans="1:26" x14ac:dyDescent="0.25">
      <c r="A8169" t="str">
        <f t="shared" si="3334"/>
        <v>04-08-2020 12:31:21</v>
      </c>
      <c r="B8169" t="str">
        <f>"0000802728"</f>
        <v>0000802728</v>
      </c>
      <c r="C8169" t="str">
        <f t="shared" si="3335"/>
        <v>0000802543</v>
      </c>
      <c r="D8169" t="str">
        <f t="shared" si="3318"/>
        <v>73185</v>
      </c>
      <c r="E8169" t="str">
        <f t="shared" si="3319"/>
        <v>KFH-OPERATIONS DEPARTMENT</v>
      </c>
      <c r="F8169" t="str">
        <f t="shared" si="3320"/>
        <v>IBG</v>
      </c>
      <c r="G8169" t="str">
        <f t="shared" si="3329"/>
        <v>Refund COSHARE 10</v>
      </c>
      <c r="H8169" s="2">
        <v>69</v>
      </c>
      <c r="I8169" t="str">
        <f>"JAMALIZA BINTI ILIAS"</f>
        <v>JAMALIZA BINTI ILIAS</v>
      </c>
      <c r="J8169" t="str">
        <f t="shared" si="3336"/>
        <v>BANK KERJASAMA RAKYAT</v>
      </c>
      <c r="K8169" t="str">
        <f>"220261168191"</f>
        <v>220261168191</v>
      </c>
      <c r="L8169" t="str">
        <f t="shared" si="3339"/>
        <v>04-08-2020</v>
      </c>
      <c r="M8169" t="str">
        <f t="shared" si="3339"/>
        <v>04-08-2020</v>
      </c>
      <c r="N8169" t="str">
        <f t="shared" si="3321"/>
        <v>001105018356</v>
      </c>
      <c r="O8169" t="str">
        <f t="shared" si="3322"/>
        <v>MYR</v>
      </c>
      <c r="P8169" t="str">
        <f t="shared" si="3340"/>
        <v>NIL</v>
      </c>
      <c r="Q8169" t="str">
        <f t="shared" si="3340"/>
        <v>NIL</v>
      </c>
      <c r="R8169" t="str">
        <f t="shared" si="3337"/>
        <v>Accepted</v>
      </c>
      <c r="S8169" t="str">
        <f t="shared" si="3323"/>
        <v>Approved</v>
      </c>
      <c r="T8169" t="str">
        <f t="shared" si="3338"/>
        <v>10.20.8.188</v>
      </c>
      <c r="U8169" t="str">
        <f t="shared" si="3324"/>
        <v>AZRAD UMAR BIN SHAARI</v>
      </c>
      <c r="V8169" t="str">
        <f t="shared" si="3325"/>
        <v>FARHANA BINTI MUSTAPA</v>
      </c>
      <c r="W8169" t="str">
        <f t="shared" si="3326"/>
        <v>04-08-2020</v>
      </c>
      <c r="X8169" t="str">
        <f t="shared" si="3327"/>
        <v>RAZIMAH ANSAR AHMAD</v>
      </c>
      <c r="Y8169" t="str">
        <f t="shared" si="3328"/>
        <v>04-08-2020</v>
      </c>
      <c r="Z8169" t="str">
        <f>"COS10200804 985"</f>
        <v>COS10200804 985</v>
      </c>
    </row>
    <row r="8170" spans="1:26" x14ac:dyDescent="0.25">
      <c r="A8170" t="str">
        <f t="shared" si="3334"/>
        <v>04-08-2020 12:31:21</v>
      </c>
      <c r="B8170" t="str">
        <f>"0000802727"</f>
        <v>0000802727</v>
      </c>
      <c r="C8170" t="str">
        <f t="shared" si="3335"/>
        <v>0000802543</v>
      </c>
      <c r="D8170" t="str">
        <f t="shared" si="3318"/>
        <v>73185</v>
      </c>
      <c r="E8170" t="str">
        <f t="shared" si="3319"/>
        <v>KFH-OPERATIONS DEPARTMENT</v>
      </c>
      <c r="F8170" t="str">
        <f t="shared" si="3320"/>
        <v>IBG</v>
      </c>
      <c r="G8170" t="str">
        <f t="shared" si="3329"/>
        <v>Refund COSHARE 10</v>
      </c>
      <c r="H8170" s="2">
        <v>461.75</v>
      </c>
      <c r="I8170" t="str">
        <f>"JAKAIRAWAN BIN RAMLAN"</f>
        <v>JAKAIRAWAN BIN RAMLAN</v>
      </c>
      <c r="J8170" t="str">
        <f t="shared" si="3336"/>
        <v>BANK KERJASAMA RAKYAT</v>
      </c>
      <c r="K8170" t="str">
        <f>"220411211980"</f>
        <v>220411211980</v>
      </c>
      <c r="L8170" t="str">
        <f t="shared" si="3339"/>
        <v>04-08-2020</v>
      </c>
      <c r="M8170" t="str">
        <f t="shared" si="3339"/>
        <v>04-08-2020</v>
      </c>
      <c r="N8170" t="str">
        <f t="shared" si="3321"/>
        <v>001105018356</v>
      </c>
      <c r="O8170" t="str">
        <f t="shared" si="3322"/>
        <v>MYR</v>
      </c>
      <c r="P8170" t="str">
        <f t="shared" si="3340"/>
        <v>NIL</v>
      </c>
      <c r="Q8170" t="str">
        <f t="shared" si="3340"/>
        <v>NIL</v>
      </c>
      <c r="R8170" t="str">
        <f t="shared" si="3337"/>
        <v>Accepted</v>
      </c>
      <c r="S8170" t="str">
        <f t="shared" si="3323"/>
        <v>Approved</v>
      </c>
      <c r="T8170" t="str">
        <f t="shared" si="3338"/>
        <v>10.20.8.188</v>
      </c>
      <c r="U8170" t="str">
        <f t="shared" si="3324"/>
        <v>AZRAD UMAR BIN SHAARI</v>
      </c>
      <c r="V8170" t="str">
        <f t="shared" si="3325"/>
        <v>FARHANA BINTI MUSTAPA</v>
      </c>
      <c r="W8170" t="str">
        <f t="shared" si="3326"/>
        <v>04-08-2020</v>
      </c>
      <c r="X8170" t="str">
        <f t="shared" si="3327"/>
        <v>RAZIMAH ANSAR AHMAD</v>
      </c>
      <c r="Y8170" t="str">
        <f t="shared" si="3328"/>
        <v>04-08-2020</v>
      </c>
      <c r="Z8170" t="str">
        <f>"COS10200804 984"</f>
        <v>COS10200804 984</v>
      </c>
    </row>
    <row r="8171" spans="1:26" x14ac:dyDescent="0.25">
      <c r="A8171" t="str">
        <f t="shared" si="3334"/>
        <v>04-08-2020 12:31:21</v>
      </c>
      <c r="B8171" t="str">
        <f>"0000802726"</f>
        <v>0000802726</v>
      </c>
      <c r="C8171" t="str">
        <f t="shared" si="3335"/>
        <v>0000802543</v>
      </c>
      <c r="D8171" t="str">
        <f t="shared" si="3318"/>
        <v>73185</v>
      </c>
      <c r="E8171" t="str">
        <f t="shared" si="3319"/>
        <v>KFH-OPERATIONS DEPARTMENT</v>
      </c>
      <c r="F8171" t="str">
        <f t="shared" si="3320"/>
        <v>IBG</v>
      </c>
      <c r="G8171" t="str">
        <f t="shared" si="3329"/>
        <v>Refund COSHARE 10</v>
      </c>
      <c r="H8171" s="2">
        <v>926</v>
      </c>
      <c r="I8171" t="str">
        <f>"JACQUALINE DAYONG"</f>
        <v>JACQUALINE DAYONG</v>
      </c>
      <c r="J8171" t="str">
        <f t="shared" si="3336"/>
        <v>BANK KERJASAMA RAKYAT</v>
      </c>
      <c r="K8171" t="str">
        <f>"220841224330"</f>
        <v>220841224330</v>
      </c>
      <c r="L8171" t="str">
        <f t="shared" si="3339"/>
        <v>04-08-2020</v>
      </c>
      <c r="M8171" t="str">
        <f t="shared" si="3339"/>
        <v>04-08-2020</v>
      </c>
      <c r="N8171" t="str">
        <f t="shared" si="3321"/>
        <v>001105018356</v>
      </c>
      <c r="O8171" t="str">
        <f t="shared" si="3322"/>
        <v>MYR</v>
      </c>
      <c r="P8171" t="str">
        <f t="shared" si="3340"/>
        <v>NIL</v>
      </c>
      <c r="Q8171" t="str">
        <f t="shared" si="3340"/>
        <v>NIL</v>
      </c>
      <c r="R8171" t="str">
        <f t="shared" si="3337"/>
        <v>Accepted</v>
      </c>
      <c r="S8171" t="str">
        <f t="shared" si="3323"/>
        <v>Approved</v>
      </c>
      <c r="T8171" t="str">
        <f t="shared" si="3338"/>
        <v>10.20.8.188</v>
      </c>
      <c r="U8171" t="str">
        <f t="shared" si="3324"/>
        <v>AZRAD UMAR BIN SHAARI</v>
      </c>
      <c r="V8171" t="str">
        <f t="shared" si="3325"/>
        <v>FARHANA BINTI MUSTAPA</v>
      </c>
      <c r="W8171" t="str">
        <f t="shared" si="3326"/>
        <v>04-08-2020</v>
      </c>
      <c r="X8171" t="str">
        <f t="shared" si="3327"/>
        <v>RAZIMAH ANSAR AHMAD</v>
      </c>
      <c r="Y8171" t="str">
        <f t="shared" si="3328"/>
        <v>04-08-2020</v>
      </c>
      <c r="Z8171" t="str">
        <f>"COS10200804 983"</f>
        <v>COS10200804 983</v>
      </c>
    </row>
    <row r="8172" spans="1:26" x14ac:dyDescent="0.25">
      <c r="A8172" t="str">
        <f t="shared" si="3334"/>
        <v>04-08-2020 12:31:21</v>
      </c>
      <c r="B8172" t="str">
        <f>"0000802725"</f>
        <v>0000802725</v>
      </c>
      <c r="C8172" t="str">
        <f t="shared" si="3335"/>
        <v>0000802543</v>
      </c>
      <c r="D8172" t="str">
        <f t="shared" si="3318"/>
        <v>73185</v>
      </c>
      <c r="E8172" t="str">
        <f t="shared" si="3319"/>
        <v>KFH-OPERATIONS DEPARTMENT</v>
      </c>
      <c r="F8172" t="str">
        <f t="shared" si="3320"/>
        <v>IBG</v>
      </c>
      <c r="G8172" t="str">
        <f t="shared" si="3329"/>
        <v>Refund COSHARE 10</v>
      </c>
      <c r="H8172" s="2">
        <v>42</v>
      </c>
      <c r="I8172" t="str">
        <f>"IZUWAN BIN IBRAHIM"</f>
        <v>IZUWAN BIN IBRAHIM</v>
      </c>
      <c r="J8172" t="str">
        <f t="shared" si="3336"/>
        <v>BANK KERJASAMA RAKYAT</v>
      </c>
      <c r="K8172" t="str">
        <f>"221151008519"</f>
        <v>221151008519</v>
      </c>
      <c r="L8172" t="str">
        <f t="shared" si="3339"/>
        <v>04-08-2020</v>
      </c>
      <c r="M8172" t="str">
        <f t="shared" si="3339"/>
        <v>04-08-2020</v>
      </c>
      <c r="N8172" t="str">
        <f t="shared" si="3321"/>
        <v>001105018356</v>
      </c>
      <c r="O8172" t="str">
        <f t="shared" si="3322"/>
        <v>MYR</v>
      </c>
      <c r="P8172" t="str">
        <f t="shared" si="3340"/>
        <v>NIL</v>
      </c>
      <c r="Q8172" t="str">
        <f t="shared" si="3340"/>
        <v>NIL</v>
      </c>
      <c r="R8172" t="str">
        <f t="shared" si="3337"/>
        <v>Accepted</v>
      </c>
      <c r="S8172" t="str">
        <f t="shared" si="3323"/>
        <v>Approved</v>
      </c>
      <c r="T8172" t="str">
        <f t="shared" si="3338"/>
        <v>10.20.8.188</v>
      </c>
      <c r="U8172" t="str">
        <f t="shared" si="3324"/>
        <v>AZRAD UMAR BIN SHAARI</v>
      </c>
      <c r="V8172" t="str">
        <f t="shared" si="3325"/>
        <v>FARHANA BINTI MUSTAPA</v>
      </c>
      <c r="W8172" t="str">
        <f t="shared" si="3326"/>
        <v>04-08-2020</v>
      </c>
      <c r="X8172" t="str">
        <f t="shared" si="3327"/>
        <v>RAZIMAH ANSAR AHMAD</v>
      </c>
      <c r="Y8172" t="str">
        <f t="shared" si="3328"/>
        <v>04-08-2020</v>
      </c>
      <c r="Z8172" t="str">
        <f>"COS10200804 982"</f>
        <v>COS10200804 982</v>
      </c>
    </row>
    <row r="8173" spans="1:26" x14ac:dyDescent="0.25">
      <c r="A8173" t="str">
        <f t="shared" si="3334"/>
        <v>04-08-2020 12:31:21</v>
      </c>
      <c r="B8173" t="str">
        <f>"0000802724"</f>
        <v>0000802724</v>
      </c>
      <c r="C8173" t="str">
        <f t="shared" si="3335"/>
        <v>0000802543</v>
      </c>
      <c r="D8173" t="str">
        <f t="shared" si="3318"/>
        <v>73185</v>
      </c>
      <c r="E8173" t="str">
        <f t="shared" si="3319"/>
        <v>KFH-OPERATIONS DEPARTMENT</v>
      </c>
      <c r="F8173" t="str">
        <f t="shared" si="3320"/>
        <v>IBG</v>
      </c>
      <c r="G8173" t="str">
        <f t="shared" si="3329"/>
        <v>Refund COSHARE 10</v>
      </c>
      <c r="H8173" s="2">
        <v>76</v>
      </c>
      <c r="I8173" t="str">
        <f>"IYANAH BINTI JALIL"</f>
        <v>IYANAH BINTI JALIL</v>
      </c>
      <c r="J8173" t="str">
        <f t="shared" si="3336"/>
        <v>BANK KERJASAMA RAKYAT</v>
      </c>
      <c r="K8173" t="str">
        <f>"220741059029"</f>
        <v>220741059029</v>
      </c>
      <c r="L8173" t="str">
        <f t="shared" si="3339"/>
        <v>04-08-2020</v>
      </c>
      <c r="M8173" t="str">
        <f t="shared" si="3339"/>
        <v>04-08-2020</v>
      </c>
      <c r="N8173" t="str">
        <f t="shared" si="3321"/>
        <v>001105018356</v>
      </c>
      <c r="O8173" t="str">
        <f t="shared" si="3322"/>
        <v>MYR</v>
      </c>
      <c r="P8173" t="str">
        <f t="shared" si="3340"/>
        <v>NIL</v>
      </c>
      <c r="Q8173" t="str">
        <f t="shared" si="3340"/>
        <v>NIL</v>
      </c>
      <c r="R8173" t="str">
        <f t="shared" si="3337"/>
        <v>Accepted</v>
      </c>
      <c r="S8173" t="str">
        <f t="shared" si="3323"/>
        <v>Approved</v>
      </c>
      <c r="T8173" t="str">
        <f t="shared" si="3338"/>
        <v>10.20.8.188</v>
      </c>
      <c r="U8173" t="str">
        <f t="shared" si="3324"/>
        <v>AZRAD UMAR BIN SHAARI</v>
      </c>
      <c r="V8173" t="str">
        <f t="shared" si="3325"/>
        <v>FARHANA BINTI MUSTAPA</v>
      </c>
      <c r="W8173" t="str">
        <f t="shared" si="3326"/>
        <v>04-08-2020</v>
      </c>
      <c r="X8173" t="str">
        <f t="shared" si="3327"/>
        <v>RAZIMAH ANSAR AHMAD</v>
      </c>
      <c r="Y8173" t="str">
        <f t="shared" si="3328"/>
        <v>04-08-2020</v>
      </c>
      <c r="Z8173" t="str">
        <f>"COS10200804 981"</f>
        <v>COS10200804 981</v>
      </c>
    </row>
    <row r="8174" spans="1:26" x14ac:dyDescent="0.25">
      <c r="A8174" t="str">
        <f t="shared" si="3334"/>
        <v>04-08-2020 12:31:21</v>
      </c>
      <c r="B8174" t="str">
        <f>"0000802723"</f>
        <v>0000802723</v>
      </c>
      <c r="C8174" t="str">
        <f t="shared" si="3335"/>
        <v>0000802543</v>
      </c>
      <c r="D8174" t="str">
        <f t="shared" si="3318"/>
        <v>73185</v>
      </c>
      <c r="E8174" t="str">
        <f t="shared" si="3319"/>
        <v>KFH-OPERATIONS DEPARTMENT</v>
      </c>
      <c r="F8174" t="str">
        <f t="shared" si="3320"/>
        <v>IBG</v>
      </c>
      <c r="G8174" t="str">
        <f t="shared" si="3329"/>
        <v>Refund COSHARE 10</v>
      </c>
      <c r="H8174" s="2">
        <v>259</v>
      </c>
      <c r="I8174" t="str">
        <f>"ISMAIL BIN MOHD ZAN"</f>
        <v>ISMAIL BIN MOHD ZAN</v>
      </c>
      <c r="J8174" t="str">
        <f t="shared" si="3336"/>
        <v>BANK KERJASAMA RAKYAT</v>
      </c>
      <c r="K8174" t="str">
        <f>"220831063290"</f>
        <v>220831063290</v>
      </c>
      <c r="L8174" t="str">
        <f t="shared" si="3339"/>
        <v>04-08-2020</v>
      </c>
      <c r="M8174" t="str">
        <f t="shared" si="3339"/>
        <v>04-08-2020</v>
      </c>
      <c r="N8174" t="str">
        <f t="shared" si="3321"/>
        <v>001105018356</v>
      </c>
      <c r="O8174" t="str">
        <f t="shared" si="3322"/>
        <v>MYR</v>
      </c>
      <c r="P8174" t="str">
        <f t="shared" si="3340"/>
        <v>NIL</v>
      </c>
      <c r="Q8174" t="str">
        <f t="shared" si="3340"/>
        <v>NIL</v>
      </c>
      <c r="R8174" t="str">
        <f t="shared" si="3337"/>
        <v>Accepted</v>
      </c>
      <c r="S8174" t="str">
        <f t="shared" si="3323"/>
        <v>Approved</v>
      </c>
      <c r="T8174" t="str">
        <f t="shared" si="3338"/>
        <v>10.20.8.188</v>
      </c>
      <c r="U8174" t="str">
        <f t="shared" si="3324"/>
        <v>AZRAD UMAR BIN SHAARI</v>
      </c>
      <c r="V8174" t="str">
        <f t="shared" si="3325"/>
        <v>FARHANA BINTI MUSTAPA</v>
      </c>
      <c r="W8174" t="str">
        <f t="shared" si="3326"/>
        <v>04-08-2020</v>
      </c>
      <c r="X8174" t="str">
        <f t="shared" si="3327"/>
        <v>RAZIMAH ANSAR AHMAD</v>
      </c>
      <c r="Y8174" t="str">
        <f t="shared" si="3328"/>
        <v>04-08-2020</v>
      </c>
      <c r="Z8174" t="str">
        <f>"COS10200804 980"</f>
        <v>COS10200804 980</v>
      </c>
    </row>
    <row r="8175" spans="1:26" x14ac:dyDescent="0.25">
      <c r="A8175" t="str">
        <f t="shared" si="3334"/>
        <v>04-08-2020 12:31:21</v>
      </c>
      <c r="B8175" t="str">
        <f>"0000802722"</f>
        <v>0000802722</v>
      </c>
      <c r="C8175" t="str">
        <f t="shared" si="3335"/>
        <v>0000802543</v>
      </c>
      <c r="D8175" t="str">
        <f t="shared" si="3318"/>
        <v>73185</v>
      </c>
      <c r="E8175" t="str">
        <f t="shared" si="3319"/>
        <v>KFH-OPERATIONS DEPARTMENT</v>
      </c>
      <c r="F8175" t="str">
        <f t="shared" si="3320"/>
        <v>IBG</v>
      </c>
      <c r="G8175" t="str">
        <f t="shared" si="3329"/>
        <v>Refund COSHARE 10</v>
      </c>
      <c r="H8175" s="2">
        <v>180</v>
      </c>
      <c r="I8175" t="str">
        <f>"ISMAIL BIN MOHD ZAN"</f>
        <v>ISMAIL BIN MOHD ZAN</v>
      </c>
      <c r="J8175" t="str">
        <f t="shared" si="3336"/>
        <v>BANK KERJASAMA RAKYAT</v>
      </c>
      <c r="K8175" t="str">
        <f>"220831063290"</f>
        <v>220831063290</v>
      </c>
      <c r="L8175" t="str">
        <f t="shared" si="3339"/>
        <v>04-08-2020</v>
      </c>
      <c r="M8175" t="str">
        <f t="shared" si="3339"/>
        <v>04-08-2020</v>
      </c>
      <c r="N8175" t="str">
        <f t="shared" si="3321"/>
        <v>001105018356</v>
      </c>
      <c r="O8175" t="str">
        <f t="shared" si="3322"/>
        <v>MYR</v>
      </c>
      <c r="P8175" t="str">
        <f t="shared" si="3340"/>
        <v>NIL</v>
      </c>
      <c r="Q8175" t="str">
        <f t="shared" si="3340"/>
        <v>NIL</v>
      </c>
      <c r="R8175" t="str">
        <f t="shared" si="3337"/>
        <v>Accepted</v>
      </c>
      <c r="S8175" t="str">
        <f t="shared" si="3323"/>
        <v>Approved</v>
      </c>
      <c r="T8175" t="str">
        <f t="shared" si="3338"/>
        <v>10.20.8.188</v>
      </c>
      <c r="U8175" t="str">
        <f t="shared" si="3324"/>
        <v>AZRAD UMAR BIN SHAARI</v>
      </c>
      <c r="V8175" t="str">
        <f t="shared" si="3325"/>
        <v>FARHANA BINTI MUSTAPA</v>
      </c>
      <c r="W8175" t="str">
        <f t="shared" si="3326"/>
        <v>04-08-2020</v>
      </c>
      <c r="X8175" t="str">
        <f t="shared" si="3327"/>
        <v>RAZIMAH ANSAR AHMAD</v>
      </c>
      <c r="Y8175" t="str">
        <f t="shared" si="3328"/>
        <v>04-08-2020</v>
      </c>
      <c r="Z8175" t="str">
        <f>"COS10200804 979"</f>
        <v>COS10200804 979</v>
      </c>
    </row>
    <row r="8176" spans="1:26" x14ac:dyDescent="0.25">
      <c r="A8176" t="str">
        <f t="shared" si="3334"/>
        <v>04-08-2020 12:31:21</v>
      </c>
      <c r="B8176" t="str">
        <f>"0000802721"</f>
        <v>0000802721</v>
      </c>
      <c r="C8176" t="str">
        <f t="shared" si="3335"/>
        <v>0000802543</v>
      </c>
      <c r="D8176" t="str">
        <f t="shared" si="3318"/>
        <v>73185</v>
      </c>
      <c r="E8176" t="str">
        <f t="shared" si="3319"/>
        <v>KFH-OPERATIONS DEPARTMENT</v>
      </c>
      <c r="F8176" t="str">
        <f t="shared" si="3320"/>
        <v>IBG</v>
      </c>
      <c r="G8176" t="str">
        <f t="shared" si="3329"/>
        <v>Refund COSHARE 10</v>
      </c>
      <c r="H8176" s="2">
        <v>246.1</v>
      </c>
      <c r="I8176" t="str">
        <f>"ISHAK BIN ATAN"</f>
        <v>ISHAK BIN ATAN</v>
      </c>
      <c r="J8176" t="str">
        <f t="shared" si="3336"/>
        <v>BANK KERJASAMA RAKYAT</v>
      </c>
      <c r="K8176" t="str">
        <f>"220281197848"</f>
        <v>220281197848</v>
      </c>
      <c r="L8176" t="str">
        <f t="shared" si="3339"/>
        <v>04-08-2020</v>
      </c>
      <c r="M8176" t="str">
        <f t="shared" si="3339"/>
        <v>04-08-2020</v>
      </c>
      <c r="N8176" t="str">
        <f t="shared" si="3321"/>
        <v>001105018356</v>
      </c>
      <c r="O8176" t="str">
        <f t="shared" si="3322"/>
        <v>MYR</v>
      </c>
      <c r="P8176" t="str">
        <f t="shared" si="3340"/>
        <v>NIL</v>
      </c>
      <c r="Q8176" t="str">
        <f t="shared" si="3340"/>
        <v>NIL</v>
      </c>
      <c r="R8176" t="str">
        <f t="shared" si="3337"/>
        <v>Accepted</v>
      </c>
      <c r="S8176" t="str">
        <f t="shared" si="3323"/>
        <v>Approved</v>
      </c>
      <c r="T8176" t="str">
        <f t="shared" si="3338"/>
        <v>10.20.8.188</v>
      </c>
      <c r="U8176" t="str">
        <f t="shared" si="3324"/>
        <v>AZRAD UMAR BIN SHAARI</v>
      </c>
      <c r="V8176" t="str">
        <f t="shared" si="3325"/>
        <v>FARHANA BINTI MUSTAPA</v>
      </c>
      <c r="W8176" t="str">
        <f t="shared" si="3326"/>
        <v>04-08-2020</v>
      </c>
      <c r="X8176" t="str">
        <f t="shared" si="3327"/>
        <v>RAZIMAH ANSAR AHMAD</v>
      </c>
      <c r="Y8176" t="str">
        <f t="shared" si="3328"/>
        <v>04-08-2020</v>
      </c>
      <c r="Z8176" t="str">
        <f>"COS10200804 978"</f>
        <v>COS10200804 978</v>
      </c>
    </row>
    <row r="8177" spans="1:26" x14ac:dyDescent="0.25">
      <c r="A8177" t="str">
        <f t="shared" si="3334"/>
        <v>04-08-2020 12:31:21</v>
      </c>
      <c r="B8177" t="str">
        <f>"0000802720"</f>
        <v>0000802720</v>
      </c>
      <c r="C8177" t="str">
        <f t="shared" si="3335"/>
        <v>0000802543</v>
      </c>
      <c r="D8177" t="str">
        <f t="shared" si="3318"/>
        <v>73185</v>
      </c>
      <c r="E8177" t="str">
        <f t="shared" si="3319"/>
        <v>KFH-OPERATIONS DEPARTMENT</v>
      </c>
      <c r="F8177" t="str">
        <f t="shared" si="3320"/>
        <v>IBG</v>
      </c>
      <c r="G8177" t="str">
        <f t="shared" si="3329"/>
        <v>Refund COSHARE 10</v>
      </c>
      <c r="H8177" s="2">
        <v>839.5</v>
      </c>
      <c r="I8177" t="str">
        <f>"IRFALIZA BINTI SAARIN"</f>
        <v>IRFALIZA BINTI SAARIN</v>
      </c>
      <c r="J8177" t="str">
        <f t="shared" si="3336"/>
        <v>BANK KERJASAMA RAKYAT</v>
      </c>
      <c r="K8177" t="str">
        <f>"220191306761"</f>
        <v>220191306761</v>
      </c>
      <c r="L8177" t="str">
        <f t="shared" si="3339"/>
        <v>04-08-2020</v>
      </c>
      <c r="M8177" t="str">
        <f t="shared" si="3339"/>
        <v>04-08-2020</v>
      </c>
      <c r="N8177" t="str">
        <f t="shared" si="3321"/>
        <v>001105018356</v>
      </c>
      <c r="O8177" t="str">
        <f t="shared" si="3322"/>
        <v>MYR</v>
      </c>
      <c r="P8177" t="str">
        <f t="shared" si="3340"/>
        <v>NIL</v>
      </c>
      <c r="Q8177" t="str">
        <f t="shared" si="3340"/>
        <v>NIL</v>
      </c>
      <c r="R8177" t="str">
        <f t="shared" si="3337"/>
        <v>Accepted</v>
      </c>
      <c r="S8177" t="str">
        <f t="shared" si="3323"/>
        <v>Approved</v>
      </c>
      <c r="T8177" t="str">
        <f t="shared" si="3338"/>
        <v>10.20.8.188</v>
      </c>
      <c r="U8177" t="str">
        <f t="shared" si="3324"/>
        <v>AZRAD UMAR BIN SHAARI</v>
      </c>
      <c r="V8177" t="str">
        <f t="shared" si="3325"/>
        <v>FARHANA BINTI MUSTAPA</v>
      </c>
      <c r="W8177" t="str">
        <f t="shared" si="3326"/>
        <v>04-08-2020</v>
      </c>
      <c r="X8177" t="str">
        <f t="shared" si="3327"/>
        <v>RAZIMAH ANSAR AHMAD</v>
      </c>
      <c r="Y8177" t="str">
        <f t="shared" si="3328"/>
        <v>04-08-2020</v>
      </c>
      <c r="Z8177" t="str">
        <f>"COS10200804 977"</f>
        <v>COS10200804 977</v>
      </c>
    </row>
    <row r="8178" spans="1:26" x14ac:dyDescent="0.25">
      <c r="A8178" t="str">
        <f t="shared" si="3334"/>
        <v>04-08-2020 12:31:21</v>
      </c>
      <c r="B8178" t="str">
        <f>"0000802719"</f>
        <v>0000802719</v>
      </c>
      <c r="C8178" t="str">
        <f t="shared" si="3335"/>
        <v>0000802543</v>
      </c>
      <c r="D8178" t="str">
        <f t="shared" si="3318"/>
        <v>73185</v>
      </c>
      <c r="E8178" t="str">
        <f t="shared" si="3319"/>
        <v>KFH-OPERATIONS DEPARTMENT</v>
      </c>
      <c r="F8178" t="str">
        <f t="shared" si="3320"/>
        <v>IBG</v>
      </c>
      <c r="G8178" t="str">
        <f t="shared" si="3329"/>
        <v>Refund COSHARE 10</v>
      </c>
      <c r="H8178" s="2">
        <v>301.60000000000002</v>
      </c>
      <c r="I8178" t="str">
        <f>"INTAN IZZATI BINTI MD HASHIM"</f>
        <v>INTAN IZZATI BINTI MD HASHIM</v>
      </c>
      <c r="J8178" t="str">
        <f t="shared" si="3336"/>
        <v>BANK KERJASAMA RAKYAT</v>
      </c>
      <c r="K8178" t="str">
        <f>"220881039269"</f>
        <v>220881039269</v>
      </c>
      <c r="L8178" t="str">
        <f t="shared" si="3339"/>
        <v>04-08-2020</v>
      </c>
      <c r="M8178" t="str">
        <f t="shared" si="3339"/>
        <v>04-08-2020</v>
      </c>
      <c r="N8178" t="str">
        <f t="shared" si="3321"/>
        <v>001105018356</v>
      </c>
      <c r="O8178" t="str">
        <f t="shared" si="3322"/>
        <v>MYR</v>
      </c>
      <c r="P8178" t="str">
        <f t="shared" si="3340"/>
        <v>NIL</v>
      </c>
      <c r="Q8178" t="str">
        <f t="shared" si="3340"/>
        <v>NIL</v>
      </c>
      <c r="R8178" t="str">
        <f t="shared" si="3337"/>
        <v>Accepted</v>
      </c>
      <c r="S8178" t="str">
        <f t="shared" si="3323"/>
        <v>Approved</v>
      </c>
      <c r="T8178" t="str">
        <f t="shared" si="3338"/>
        <v>10.20.8.188</v>
      </c>
      <c r="U8178" t="str">
        <f t="shared" si="3324"/>
        <v>AZRAD UMAR BIN SHAARI</v>
      </c>
      <c r="V8178" t="str">
        <f t="shared" si="3325"/>
        <v>FARHANA BINTI MUSTAPA</v>
      </c>
      <c r="W8178" t="str">
        <f t="shared" si="3326"/>
        <v>04-08-2020</v>
      </c>
      <c r="X8178" t="str">
        <f t="shared" si="3327"/>
        <v>RAZIMAH ANSAR AHMAD</v>
      </c>
      <c r="Y8178" t="str">
        <f t="shared" si="3328"/>
        <v>04-08-2020</v>
      </c>
      <c r="Z8178" t="str">
        <f>"COS10200804 976"</f>
        <v>COS10200804 976</v>
      </c>
    </row>
    <row r="8179" spans="1:26" x14ac:dyDescent="0.25">
      <c r="A8179" t="str">
        <f t="shared" si="3334"/>
        <v>04-08-2020 12:31:21</v>
      </c>
      <c r="B8179" t="str">
        <f>"0000802718"</f>
        <v>0000802718</v>
      </c>
      <c r="C8179" t="str">
        <f t="shared" si="3335"/>
        <v>0000802543</v>
      </c>
      <c r="D8179" t="str">
        <f t="shared" si="3318"/>
        <v>73185</v>
      </c>
      <c r="E8179" t="str">
        <f t="shared" si="3319"/>
        <v>KFH-OPERATIONS DEPARTMENT</v>
      </c>
      <c r="F8179" t="str">
        <f t="shared" si="3320"/>
        <v>IBG</v>
      </c>
      <c r="G8179" t="str">
        <f t="shared" si="3329"/>
        <v>Refund COSHARE 10</v>
      </c>
      <c r="H8179" s="2">
        <v>461.75</v>
      </c>
      <c r="I8179" t="str">
        <f>"IMRAN BIN ISNIN"</f>
        <v>IMRAN BIN ISNIN</v>
      </c>
      <c r="J8179" t="str">
        <f t="shared" si="3336"/>
        <v>BANK KERJASAMA RAKYAT</v>
      </c>
      <c r="K8179" t="str">
        <f>"220491128482"</f>
        <v>220491128482</v>
      </c>
      <c r="L8179" t="str">
        <f t="shared" si="3339"/>
        <v>04-08-2020</v>
      </c>
      <c r="M8179" t="str">
        <f t="shared" si="3339"/>
        <v>04-08-2020</v>
      </c>
      <c r="N8179" t="str">
        <f t="shared" si="3321"/>
        <v>001105018356</v>
      </c>
      <c r="O8179" t="str">
        <f t="shared" si="3322"/>
        <v>MYR</v>
      </c>
      <c r="P8179" t="str">
        <f t="shared" si="3340"/>
        <v>NIL</v>
      </c>
      <c r="Q8179" t="str">
        <f t="shared" si="3340"/>
        <v>NIL</v>
      </c>
      <c r="R8179" t="str">
        <f t="shared" si="3337"/>
        <v>Accepted</v>
      </c>
      <c r="S8179" t="str">
        <f t="shared" si="3323"/>
        <v>Approved</v>
      </c>
      <c r="T8179" t="str">
        <f t="shared" si="3338"/>
        <v>10.20.8.188</v>
      </c>
      <c r="U8179" t="str">
        <f t="shared" si="3324"/>
        <v>AZRAD UMAR BIN SHAARI</v>
      </c>
      <c r="V8179" t="str">
        <f t="shared" si="3325"/>
        <v>FARHANA BINTI MUSTAPA</v>
      </c>
      <c r="W8179" t="str">
        <f t="shared" si="3326"/>
        <v>04-08-2020</v>
      </c>
      <c r="X8179" t="str">
        <f t="shared" si="3327"/>
        <v>RAZIMAH ANSAR AHMAD</v>
      </c>
      <c r="Y8179" t="str">
        <f t="shared" si="3328"/>
        <v>04-08-2020</v>
      </c>
      <c r="Z8179" t="str">
        <f>"COS10200804 975"</f>
        <v>COS10200804 975</v>
      </c>
    </row>
    <row r="8180" spans="1:26" x14ac:dyDescent="0.25">
      <c r="A8180" t="str">
        <f t="shared" si="3334"/>
        <v>04-08-2020 12:31:21</v>
      </c>
      <c r="B8180" t="str">
        <f>"0000802717"</f>
        <v>0000802717</v>
      </c>
      <c r="C8180" t="str">
        <f t="shared" si="3335"/>
        <v>0000802543</v>
      </c>
      <c r="D8180" t="str">
        <f t="shared" si="3318"/>
        <v>73185</v>
      </c>
      <c r="E8180" t="str">
        <f t="shared" si="3319"/>
        <v>KFH-OPERATIONS DEPARTMENT</v>
      </c>
      <c r="F8180" t="str">
        <f t="shared" si="3320"/>
        <v>IBG</v>
      </c>
      <c r="G8180" t="str">
        <f t="shared" si="3329"/>
        <v>Refund COSHARE 10</v>
      </c>
      <c r="H8180" s="2">
        <v>713.6</v>
      </c>
      <c r="I8180" t="str">
        <f>"ILYIA BINTI SAHARI"</f>
        <v>ILYIA BINTI SAHARI</v>
      </c>
      <c r="J8180" t="str">
        <f t="shared" si="3336"/>
        <v>BANK KERJASAMA RAKYAT</v>
      </c>
      <c r="K8180" t="str">
        <f>"220541498144"</f>
        <v>220541498144</v>
      </c>
      <c r="L8180" t="str">
        <f t="shared" si="3339"/>
        <v>04-08-2020</v>
      </c>
      <c r="M8180" t="str">
        <f t="shared" si="3339"/>
        <v>04-08-2020</v>
      </c>
      <c r="N8180" t="str">
        <f t="shared" si="3321"/>
        <v>001105018356</v>
      </c>
      <c r="O8180" t="str">
        <f t="shared" si="3322"/>
        <v>MYR</v>
      </c>
      <c r="P8180" t="str">
        <f t="shared" si="3340"/>
        <v>NIL</v>
      </c>
      <c r="Q8180" t="str">
        <f t="shared" si="3340"/>
        <v>NIL</v>
      </c>
      <c r="R8180" t="str">
        <f t="shared" si="3337"/>
        <v>Accepted</v>
      </c>
      <c r="S8180" t="str">
        <f t="shared" si="3323"/>
        <v>Approved</v>
      </c>
      <c r="T8180" t="str">
        <f t="shared" si="3338"/>
        <v>10.20.8.188</v>
      </c>
      <c r="U8180" t="str">
        <f t="shared" si="3324"/>
        <v>AZRAD UMAR BIN SHAARI</v>
      </c>
      <c r="V8180" t="str">
        <f t="shared" si="3325"/>
        <v>FARHANA BINTI MUSTAPA</v>
      </c>
      <c r="W8180" t="str">
        <f t="shared" si="3326"/>
        <v>04-08-2020</v>
      </c>
      <c r="X8180" t="str">
        <f t="shared" si="3327"/>
        <v>RAZIMAH ANSAR AHMAD</v>
      </c>
      <c r="Y8180" t="str">
        <f t="shared" si="3328"/>
        <v>04-08-2020</v>
      </c>
      <c r="Z8180" t="str">
        <f>"COS10200804 974"</f>
        <v>COS10200804 974</v>
      </c>
    </row>
    <row r="8181" spans="1:26" x14ac:dyDescent="0.25">
      <c r="A8181" t="str">
        <f t="shared" si="3334"/>
        <v>04-08-2020 12:31:21</v>
      </c>
      <c r="B8181" t="str">
        <f>"0000802716"</f>
        <v>0000802716</v>
      </c>
      <c r="C8181" t="str">
        <f t="shared" si="3335"/>
        <v>0000802543</v>
      </c>
      <c r="D8181" t="str">
        <f t="shared" si="3318"/>
        <v>73185</v>
      </c>
      <c r="E8181" t="str">
        <f t="shared" si="3319"/>
        <v>KFH-OPERATIONS DEPARTMENT</v>
      </c>
      <c r="F8181" t="str">
        <f t="shared" si="3320"/>
        <v>IBG</v>
      </c>
      <c r="G8181" t="str">
        <f t="shared" si="3329"/>
        <v>Refund COSHARE 10</v>
      </c>
      <c r="H8181" s="2">
        <v>797.55</v>
      </c>
      <c r="I8181" t="str">
        <f>"HURST ANAK VENSTER BANGAN"</f>
        <v>HURST ANAK VENSTER BANGAN</v>
      </c>
      <c r="J8181" t="str">
        <f t="shared" si="3336"/>
        <v>BANK KERJASAMA RAKYAT</v>
      </c>
      <c r="K8181" t="str">
        <f>"220781118927"</f>
        <v>220781118927</v>
      </c>
      <c r="L8181" t="str">
        <f t="shared" si="3339"/>
        <v>04-08-2020</v>
      </c>
      <c r="M8181" t="str">
        <f t="shared" si="3339"/>
        <v>04-08-2020</v>
      </c>
      <c r="N8181" t="str">
        <f t="shared" si="3321"/>
        <v>001105018356</v>
      </c>
      <c r="O8181" t="str">
        <f t="shared" si="3322"/>
        <v>MYR</v>
      </c>
      <c r="P8181" t="str">
        <f t="shared" si="3340"/>
        <v>NIL</v>
      </c>
      <c r="Q8181" t="str">
        <f t="shared" si="3340"/>
        <v>NIL</v>
      </c>
      <c r="R8181" t="str">
        <f t="shared" si="3337"/>
        <v>Accepted</v>
      </c>
      <c r="S8181" t="str">
        <f t="shared" si="3323"/>
        <v>Approved</v>
      </c>
      <c r="T8181" t="str">
        <f t="shared" si="3338"/>
        <v>10.20.8.188</v>
      </c>
      <c r="U8181" t="str">
        <f t="shared" si="3324"/>
        <v>AZRAD UMAR BIN SHAARI</v>
      </c>
      <c r="V8181" t="str">
        <f t="shared" si="3325"/>
        <v>FARHANA BINTI MUSTAPA</v>
      </c>
      <c r="W8181" t="str">
        <f t="shared" si="3326"/>
        <v>04-08-2020</v>
      </c>
      <c r="X8181" t="str">
        <f t="shared" si="3327"/>
        <v>RAZIMAH ANSAR AHMAD</v>
      </c>
      <c r="Y8181" t="str">
        <f t="shared" si="3328"/>
        <v>04-08-2020</v>
      </c>
      <c r="Z8181" t="str">
        <f>"COS10200804 973"</f>
        <v>COS10200804 973</v>
      </c>
    </row>
    <row r="8182" spans="1:26" x14ac:dyDescent="0.25">
      <c r="A8182" t="str">
        <f t="shared" si="3334"/>
        <v>04-08-2020 12:31:21</v>
      </c>
      <c r="B8182" t="str">
        <f>"0000802715"</f>
        <v>0000802715</v>
      </c>
      <c r="C8182" t="str">
        <f t="shared" si="3335"/>
        <v>0000802543</v>
      </c>
      <c r="D8182" t="str">
        <f t="shared" si="3318"/>
        <v>73185</v>
      </c>
      <c r="E8182" t="str">
        <f t="shared" si="3319"/>
        <v>KFH-OPERATIONS DEPARTMENT</v>
      </c>
      <c r="F8182" t="str">
        <f t="shared" si="3320"/>
        <v>IBG</v>
      </c>
      <c r="G8182" t="str">
        <f t="shared" si="3329"/>
        <v>Refund COSHARE 10</v>
      </c>
      <c r="H8182" s="2">
        <v>492.2</v>
      </c>
      <c r="I8182" t="str">
        <f>"HISHAMUDDIN ZAIDI BIN DAMIRY"</f>
        <v>HISHAMUDDIN ZAIDI BIN DAMIRY</v>
      </c>
      <c r="J8182" t="str">
        <f t="shared" si="3336"/>
        <v>BANK KERJASAMA RAKYAT</v>
      </c>
      <c r="K8182" t="str">
        <f>"220141245468"</f>
        <v>220141245468</v>
      </c>
      <c r="L8182" t="str">
        <f t="shared" si="3339"/>
        <v>04-08-2020</v>
      </c>
      <c r="M8182" t="str">
        <f t="shared" si="3339"/>
        <v>04-08-2020</v>
      </c>
      <c r="N8182" t="str">
        <f t="shared" si="3321"/>
        <v>001105018356</v>
      </c>
      <c r="O8182" t="str">
        <f t="shared" si="3322"/>
        <v>MYR</v>
      </c>
      <c r="P8182" t="str">
        <f t="shared" si="3340"/>
        <v>NIL</v>
      </c>
      <c r="Q8182" t="str">
        <f t="shared" si="3340"/>
        <v>NIL</v>
      </c>
      <c r="R8182" t="str">
        <f t="shared" si="3337"/>
        <v>Accepted</v>
      </c>
      <c r="S8182" t="str">
        <f t="shared" si="3323"/>
        <v>Approved</v>
      </c>
      <c r="T8182" t="str">
        <f t="shared" si="3338"/>
        <v>10.20.8.188</v>
      </c>
      <c r="U8182" t="str">
        <f t="shared" si="3324"/>
        <v>AZRAD UMAR BIN SHAARI</v>
      </c>
      <c r="V8182" t="str">
        <f t="shared" si="3325"/>
        <v>FARHANA BINTI MUSTAPA</v>
      </c>
      <c r="W8182" t="str">
        <f t="shared" si="3326"/>
        <v>04-08-2020</v>
      </c>
      <c r="X8182" t="str">
        <f t="shared" si="3327"/>
        <v>RAZIMAH ANSAR AHMAD</v>
      </c>
      <c r="Y8182" t="str">
        <f t="shared" si="3328"/>
        <v>04-08-2020</v>
      </c>
      <c r="Z8182" t="str">
        <f>"COS10200804 972"</f>
        <v>COS10200804 972</v>
      </c>
    </row>
    <row r="8183" spans="1:26" x14ac:dyDescent="0.25">
      <c r="A8183" t="str">
        <f t="shared" si="3334"/>
        <v>04-08-2020 12:31:21</v>
      </c>
      <c r="B8183" t="str">
        <f>"0000802714"</f>
        <v>0000802714</v>
      </c>
      <c r="C8183" t="str">
        <f t="shared" si="3335"/>
        <v>0000802543</v>
      </c>
      <c r="D8183" t="str">
        <f t="shared" si="3318"/>
        <v>73185</v>
      </c>
      <c r="E8183" t="str">
        <f t="shared" si="3319"/>
        <v>KFH-OPERATIONS DEPARTMENT</v>
      </c>
      <c r="F8183" t="str">
        <f t="shared" si="3320"/>
        <v>IBG</v>
      </c>
      <c r="G8183" t="str">
        <f t="shared" si="3329"/>
        <v>Refund COSHARE 10</v>
      </c>
      <c r="H8183" s="2">
        <v>858</v>
      </c>
      <c r="I8183" t="str">
        <f>"HAZLIWATI BINTI HARUN"</f>
        <v>HAZLIWATI BINTI HARUN</v>
      </c>
      <c r="J8183" t="str">
        <f t="shared" si="3336"/>
        <v>BANK KERJASAMA RAKYAT</v>
      </c>
      <c r="K8183" t="str">
        <f>"220221294185"</f>
        <v>220221294185</v>
      </c>
      <c r="L8183" t="str">
        <f t="shared" si="3339"/>
        <v>04-08-2020</v>
      </c>
      <c r="M8183" t="str">
        <f t="shared" si="3339"/>
        <v>04-08-2020</v>
      </c>
      <c r="N8183" t="str">
        <f t="shared" si="3321"/>
        <v>001105018356</v>
      </c>
      <c r="O8183" t="str">
        <f t="shared" si="3322"/>
        <v>MYR</v>
      </c>
      <c r="P8183" t="str">
        <f t="shared" si="3340"/>
        <v>NIL</v>
      </c>
      <c r="Q8183" t="str">
        <f t="shared" si="3340"/>
        <v>NIL</v>
      </c>
      <c r="R8183" t="str">
        <f t="shared" si="3337"/>
        <v>Accepted</v>
      </c>
      <c r="S8183" t="str">
        <f t="shared" si="3323"/>
        <v>Approved</v>
      </c>
      <c r="T8183" t="str">
        <f t="shared" si="3338"/>
        <v>10.20.8.188</v>
      </c>
      <c r="U8183" t="str">
        <f t="shared" si="3324"/>
        <v>AZRAD UMAR BIN SHAARI</v>
      </c>
      <c r="V8183" t="str">
        <f t="shared" si="3325"/>
        <v>FARHANA BINTI MUSTAPA</v>
      </c>
      <c r="W8183" t="str">
        <f t="shared" si="3326"/>
        <v>04-08-2020</v>
      </c>
      <c r="X8183" t="str">
        <f t="shared" si="3327"/>
        <v>RAZIMAH ANSAR AHMAD</v>
      </c>
      <c r="Y8183" t="str">
        <f t="shared" si="3328"/>
        <v>04-08-2020</v>
      </c>
      <c r="Z8183" t="str">
        <f>"COS10200804 971"</f>
        <v>COS10200804 971</v>
      </c>
    </row>
    <row r="8184" spans="1:26" x14ac:dyDescent="0.25">
      <c r="A8184" t="str">
        <f t="shared" si="3334"/>
        <v>04-08-2020 12:31:21</v>
      </c>
      <c r="B8184" t="str">
        <f>"0000802713"</f>
        <v>0000802713</v>
      </c>
      <c r="C8184" t="str">
        <f t="shared" si="3335"/>
        <v>0000802543</v>
      </c>
      <c r="D8184" t="str">
        <f t="shared" si="3318"/>
        <v>73185</v>
      </c>
      <c r="E8184" t="str">
        <f t="shared" si="3319"/>
        <v>KFH-OPERATIONS DEPARTMENT</v>
      </c>
      <c r="F8184" t="str">
        <f t="shared" si="3320"/>
        <v>IBG</v>
      </c>
      <c r="G8184" t="str">
        <f t="shared" si="3329"/>
        <v>Refund COSHARE 10</v>
      </c>
      <c r="H8184" s="2">
        <v>117</v>
      </c>
      <c r="I8184" t="str">
        <f>"HAZLINDA S BINTI MOHD ISA"</f>
        <v>HAZLINDA S BINTI MOHD ISA</v>
      </c>
      <c r="J8184" t="str">
        <f t="shared" si="3336"/>
        <v>BANK KERJASAMA RAKYAT</v>
      </c>
      <c r="K8184" t="str">
        <f>"220765046783"</f>
        <v>220765046783</v>
      </c>
      <c r="L8184" t="str">
        <f t="shared" si="3339"/>
        <v>04-08-2020</v>
      </c>
      <c r="M8184" t="str">
        <f t="shared" si="3339"/>
        <v>04-08-2020</v>
      </c>
      <c r="N8184" t="str">
        <f t="shared" si="3321"/>
        <v>001105018356</v>
      </c>
      <c r="O8184" t="str">
        <f t="shared" si="3322"/>
        <v>MYR</v>
      </c>
      <c r="P8184" t="str">
        <f t="shared" si="3340"/>
        <v>NIL</v>
      </c>
      <c r="Q8184" t="str">
        <f t="shared" si="3340"/>
        <v>NIL</v>
      </c>
      <c r="R8184" t="str">
        <f t="shared" si="3337"/>
        <v>Accepted</v>
      </c>
      <c r="S8184" t="str">
        <f t="shared" si="3323"/>
        <v>Approved</v>
      </c>
      <c r="T8184" t="str">
        <f t="shared" si="3338"/>
        <v>10.20.8.188</v>
      </c>
      <c r="U8184" t="str">
        <f t="shared" si="3324"/>
        <v>AZRAD UMAR BIN SHAARI</v>
      </c>
      <c r="V8184" t="str">
        <f t="shared" si="3325"/>
        <v>FARHANA BINTI MUSTAPA</v>
      </c>
      <c r="W8184" t="str">
        <f t="shared" si="3326"/>
        <v>04-08-2020</v>
      </c>
      <c r="X8184" t="str">
        <f t="shared" si="3327"/>
        <v>RAZIMAH ANSAR AHMAD</v>
      </c>
      <c r="Y8184" t="str">
        <f t="shared" si="3328"/>
        <v>04-08-2020</v>
      </c>
      <c r="Z8184" t="str">
        <f>"COS10200804 970"</f>
        <v>COS10200804 970</v>
      </c>
    </row>
    <row r="8185" spans="1:26" x14ac:dyDescent="0.25">
      <c r="A8185" t="str">
        <f t="shared" si="3334"/>
        <v>04-08-2020 12:31:21</v>
      </c>
      <c r="B8185" t="str">
        <f>"0000802712"</f>
        <v>0000802712</v>
      </c>
      <c r="C8185" t="str">
        <f t="shared" si="3335"/>
        <v>0000802543</v>
      </c>
      <c r="D8185" t="str">
        <f t="shared" si="3318"/>
        <v>73185</v>
      </c>
      <c r="E8185" t="str">
        <f t="shared" si="3319"/>
        <v>KFH-OPERATIONS DEPARTMENT</v>
      </c>
      <c r="F8185" t="str">
        <f t="shared" si="3320"/>
        <v>IBG</v>
      </c>
      <c r="G8185" t="str">
        <f t="shared" si="3329"/>
        <v>Refund COSHARE 10</v>
      </c>
      <c r="H8185" s="2">
        <v>1276.05</v>
      </c>
      <c r="I8185" t="str">
        <f>"HAYATUL KHAIRIAH BINTI MOHD ZAKI"</f>
        <v>HAYATUL KHAIRIAH BINTI MOHD ZAKI</v>
      </c>
      <c r="J8185" t="str">
        <f t="shared" si="3336"/>
        <v>BANK KERJASAMA RAKYAT</v>
      </c>
      <c r="K8185" t="str">
        <f>"220201313717"</f>
        <v>220201313717</v>
      </c>
      <c r="L8185" t="str">
        <f t="shared" si="3339"/>
        <v>04-08-2020</v>
      </c>
      <c r="M8185" t="str">
        <f t="shared" si="3339"/>
        <v>04-08-2020</v>
      </c>
      <c r="N8185" t="str">
        <f t="shared" si="3321"/>
        <v>001105018356</v>
      </c>
      <c r="O8185" t="str">
        <f t="shared" si="3322"/>
        <v>MYR</v>
      </c>
      <c r="P8185" t="str">
        <f t="shared" si="3340"/>
        <v>NIL</v>
      </c>
      <c r="Q8185" t="str">
        <f t="shared" si="3340"/>
        <v>NIL</v>
      </c>
      <c r="R8185" t="str">
        <f t="shared" si="3337"/>
        <v>Accepted</v>
      </c>
      <c r="S8185" t="str">
        <f t="shared" si="3323"/>
        <v>Approved</v>
      </c>
      <c r="T8185" t="str">
        <f t="shared" si="3338"/>
        <v>10.20.8.188</v>
      </c>
      <c r="U8185" t="str">
        <f t="shared" si="3324"/>
        <v>AZRAD UMAR BIN SHAARI</v>
      </c>
      <c r="V8185" t="str">
        <f t="shared" si="3325"/>
        <v>FARHANA BINTI MUSTAPA</v>
      </c>
      <c r="W8185" t="str">
        <f t="shared" si="3326"/>
        <v>04-08-2020</v>
      </c>
      <c r="X8185" t="str">
        <f t="shared" si="3327"/>
        <v>RAZIMAH ANSAR AHMAD</v>
      </c>
      <c r="Y8185" t="str">
        <f t="shared" si="3328"/>
        <v>04-08-2020</v>
      </c>
      <c r="Z8185" t="str">
        <f>"COS10200804 969"</f>
        <v>COS10200804 969</v>
      </c>
    </row>
    <row r="8186" spans="1:26" x14ac:dyDescent="0.25">
      <c r="A8186" t="str">
        <f t="shared" ref="A8186:A8217" si="3341">"04-08-2020 12:31:21"</f>
        <v>04-08-2020 12:31:21</v>
      </c>
      <c r="B8186" t="str">
        <f>"0000802711"</f>
        <v>0000802711</v>
      </c>
      <c r="C8186" t="str">
        <f t="shared" ref="C8186:C8217" si="3342">"0000802543"</f>
        <v>0000802543</v>
      </c>
      <c r="D8186" t="str">
        <f t="shared" si="3318"/>
        <v>73185</v>
      </c>
      <c r="E8186" t="str">
        <f t="shared" si="3319"/>
        <v>KFH-OPERATIONS DEPARTMENT</v>
      </c>
      <c r="F8186" t="str">
        <f t="shared" si="3320"/>
        <v>IBG</v>
      </c>
      <c r="G8186" t="str">
        <f t="shared" si="3329"/>
        <v>Refund COSHARE 10</v>
      </c>
      <c r="H8186" s="2">
        <v>485</v>
      </c>
      <c r="I8186" t="str">
        <f>"HAYATI BINTI ABU BAKAR"</f>
        <v>HAYATI BINTI ABU BAKAR</v>
      </c>
      <c r="J8186" t="str">
        <f t="shared" si="3336"/>
        <v>BANK KERJASAMA RAKYAT</v>
      </c>
      <c r="K8186" t="str">
        <f>"220271129819"</f>
        <v>220271129819</v>
      </c>
      <c r="L8186" t="str">
        <f t="shared" si="3339"/>
        <v>04-08-2020</v>
      </c>
      <c r="M8186" t="str">
        <f t="shared" si="3339"/>
        <v>04-08-2020</v>
      </c>
      <c r="N8186" t="str">
        <f t="shared" si="3321"/>
        <v>001105018356</v>
      </c>
      <c r="O8186" t="str">
        <f t="shared" si="3322"/>
        <v>MYR</v>
      </c>
      <c r="P8186" t="str">
        <f t="shared" si="3340"/>
        <v>NIL</v>
      </c>
      <c r="Q8186" t="str">
        <f t="shared" si="3340"/>
        <v>NIL</v>
      </c>
      <c r="R8186" t="str">
        <f t="shared" si="3337"/>
        <v>Accepted</v>
      </c>
      <c r="S8186" t="str">
        <f t="shared" si="3323"/>
        <v>Approved</v>
      </c>
      <c r="T8186" t="str">
        <f t="shared" si="3338"/>
        <v>10.20.8.188</v>
      </c>
      <c r="U8186" t="str">
        <f t="shared" si="3324"/>
        <v>AZRAD UMAR BIN SHAARI</v>
      </c>
      <c r="V8186" t="str">
        <f t="shared" si="3325"/>
        <v>FARHANA BINTI MUSTAPA</v>
      </c>
      <c r="W8186" t="str">
        <f t="shared" si="3326"/>
        <v>04-08-2020</v>
      </c>
      <c r="X8186" t="str">
        <f t="shared" si="3327"/>
        <v>RAZIMAH ANSAR AHMAD</v>
      </c>
      <c r="Y8186" t="str">
        <f t="shared" si="3328"/>
        <v>04-08-2020</v>
      </c>
      <c r="Z8186" t="str">
        <f>"COS10200804 968"</f>
        <v>COS10200804 968</v>
      </c>
    </row>
    <row r="8187" spans="1:26" x14ac:dyDescent="0.25">
      <c r="A8187" t="str">
        <f t="shared" si="3341"/>
        <v>04-08-2020 12:31:21</v>
      </c>
      <c r="B8187" t="str">
        <f>"0000802710"</f>
        <v>0000802710</v>
      </c>
      <c r="C8187" t="str">
        <f t="shared" si="3342"/>
        <v>0000802543</v>
      </c>
      <c r="D8187" t="str">
        <f t="shared" si="3318"/>
        <v>73185</v>
      </c>
      <c r="E8187" t="str">
        <f t="shared" si="3319"/>
        <v>KFH-OPERATIONS DEPARTMENT</v>
      </c>
      <c r="F8187" t="str">
        <f t="shared" si="3320"/>
        <v>IBG</v>
      </c>
      <c r="G8187" t="str">
        <f t="shared" si="3329"/>
        <v>Refund COSHARE 10</v>
      </c>
      <c r="H8187" s="2">
        <v>545.70000000000005</v>
      </c>
      <c r="I8187" t="str">
        <f>"HATYJAH BINTI KUSNAN"</f>
        <v>HATYJAH BINTI KUSNAN</v>
      </c>
      <c r="J8187" t="str">
        <f t="shared" si="3336"/>
        <v>BANK KERJASAMA RAKYAT</v>
      </c>
      <c r="K8187" t="str">
        <f>"221031043811"</f>
        <v>221031043811</v>
      </c>
      <c r="L8187" t="str">
        <f t="shared" ref="L8187:M8206" si="3343">"04-08-2020"</f>
        <v>04-08-2020</v>
      </c>
      <c r="M8187" t="str">
        <f t="shared" si="3343"/>
        <v>04-08-2020</v>
      </c>
      <c r="N8187" t="str">
        <f t="shared" si="3321"/>
        <v>001105018356</v>
      </c>
      <c r="O8187" t="str">
        <f t="shared" si="3322"/>
        <v>MYR</v>
      </c>
      <c r="P8187" t="str">
        <f t="shared" ref="P8187:Q8206" si="3344">"NIL"</f>
        <v>NIL</v>
      </c>
      <c r="Q8187" t="str">
        <f t="shared" si="3344"/>
        <v>NIL</v>
      </c>
      <c r="R8187" t="str">
        <f t="shared" si="3337"/>
        <v>Accepted</v>
      </c>
      <c r="S8187" t="str">
        <f t="shared" si="3323"/>
        <v>Approved</v>
      </c>
      <c r="T8187" t="str">
        <f t="shared" si="3338"/>
        <v>10.20.8.188</v>
      </c>
      <c r="U8187" t="str">
        <f t="shared" si="3324"/>
        <v>AZRAD UMAR BIN SHAARI</v>
      </c>
      <c r="V8187" t="str">
        <f t="shared" si="3325"/>
        <v>FARHANA BINTI MUSTAPA</v>
      </c>
      <c r="W8187" t="str">
        <f t="shared" si="3326"/>
        <v>04-08-2020</v>
      </c>
      <c r="X8187" t="str">
        <f t="shared" si="3327"/>
        <v>RAZIMAH ANSAR AHMAD</v>
      </c>
      <c r="Y8187" t="str">
        <f t="shared" si="3328"/>
        <v>04-08-2020</v>
      </c>
      <c r="Z8187" t="str">
        <f>"COS10200804 967"</f>
        <v>COS10200804 967</v>
      </c>
    </row>
    <row r="8188" spans="1:26" x14ac:dyDescent="0.25">
      <c r="A8188" t="str">
        <f t="shared" si="3341"/>
        <v>04-08-2020 12:31:21</v>
      </c>
      <c r="B8188" t="str">
        <f>"0000802709"</f>
        <v>0000802709</v>
      </c>
      <c r="C8188" t="str">
        <f t="shared" si="3342"/>
        <v>0000802543</v>
      </c>
      <c r="D8188" t="str">
        <f t="shared" si="3318"/>
        <v>73185</v>
      </c>
      <c r="E8188" t="str">
        <f t="shared" si="3319"/>
        <v>KFH-OPERATIONS DEPARTMENT</v>
      </c>
      <c r="F8188" t="str">
        <f t="shared" si="3320"/>
        <v>IBG</v>
      </c>
      <c r="G8188" t="str">
        <f t="shared" si="3329"/>
        <v>Refund COSHARE 10</v>
      </c>
      <c r="H8188" s="2">
        <v>137.25</v>
      </c>
      <c r="I8188" t="str">
        <f>"HASWADI BIN MAT"</f>
        <v>HASWADI BIN MAT</v>
      </c>
      <c r="J8188" t="str">
        <f t="shared" si="3336"/>
        <v>BANK KERJASAMA RAKYAT</v>
      </c>
      <c r="K8188" t="str">
        <f>"220261345358"</f>
        <v>220261345358</v>
      </c>
      <c r="L8188" t="str">
        <f t="shared" si="3343"/>
        <v>04-08-2020</v>
      </c>
      <c r="M8188" t="str">
        <f t="shared" si="3343"/>
        <v>04-08-2020</v>
      </c>
      <c r="N8188" t="str">
        <f t="shared" si="3321"/>
        <v>001105018356</v>
      </c>
      <c r="O8188" t="str">
        <f t="shared" si="3322"/>
        <v>MYR</v>
      </c>
      <c r="P8188" t="str">
        <f t="shared" si="3344"/>
        <v>NIL</v>
      </c>
      <c r="Q8188" t="str">
        <f t="shared" si="3344"/>
        <v>NIL</v>
      </c>
      <c r="R8188" t="str">
        <f t="shared" si="3337"/>
        <v>Accepted</v>
      </c>
      <c r="S8188" t="str">
        <f t="shared" si="3323"/>
        <v>Approved</v>
      </c>
      <c r="T8188" t="str">
        <f t="shared" si="3338"/>
        <v>10.20.8.188</v>
      </c>
      <c r="U8188" t="str">
        <f t="shared" si="3324"/>
        <v>AZRAD UMAR BIN SHAARI</v>
      </c>
      <c r="V8188" t="str">
        <f t="shared" si="3325"/>
        <v>FARHANA BINTI MUSTAPA</v>
      </c>
      <c r="W8188" t="str">
        <f t="shared" si="3326"/>
        <v>04-08-2020</v>
      </c>
      <c r="X8188" t="str">
        <f t="shared" si="3327"/>
        <v>RAZIMAH ANSAR AHMAD</v>
      </c>
      <c r="Y8188" t="str">
        <f t="shared" si="3328"/>
        <v>04-08-2020</v>
      </c>
      <c r="Z8188" t="str">
        <f>"COS10200804 966"</f>
        <v>COS10200804 966</v>
      </c>
    </row>
    <row r="8189" spans="1:26" x14ac:dyDescent="0.25">
      <c r="A8189" t="str">
        <f t="shared" si="3341"/>
        <v>04-08-2020 12:31:21</v>
      </c>
      <c r="B8189" t="str">
        <f>"0000802708"</f>
        <v>0000802708</v>
      </c>
      <c r="C8189" t="str">
        <f t="shared" si="3342"/>
        <v>0000802543</v>
      </c>
      <c r="D8189" t="str">
        <f t="shared" si="3318"/>
        <v>73185</v>
      </c>
      <c r="E8189" t="str">
        <f t="shared" si="3319"/>
        <v>KFH-OPERATIONS DEPARTMENT</v>
      </c>
      <c r="F8189" t="str">
        <f t="shared" si="3320"/>
        <v>IBG</v>
      </c>
      <c r="G8189" t="str">
        <f t="shared" si="3329"/>
        <v>Refund COSHARE 10</v>
      </c>
      <c r="H8189" s="2">
        <v>142.75</v>
      </c>
      <c r="I8189" t="str">
        <f>"HASSAN BIN BISUNI"</f>
        <v>HASSAN BIN BISUNI</v>
      </c>
      <c r="J8189" t="str">
        <f t="shared" si="3336"/>
        <v>BANK KERJASAMA RAKYAT</v>
      </c>
      <c r="K8189" t="str">
        <f>"220841139771"</f>
        <v>220841139771</v>
      </c>
      <c r="L8189" t="str">
        <f t="shared" si="3343"/>
        <v>04-08-2020</v>
      </c>
      <c r="M8189" t="str">
        <f t="shared" si="3343"/>
        <v>04-08-2020</v>
      </c>
      <c r="N8189" t="str">
        <f t="shared" si="3321"/>
        <v>001105018356</v>
      </c>
      <c r="O8189" t="str">
        <f t="shared" si="3322"/>
        <v>MYR</v>
      </c>
      <c r="P8189" t="str">
        <f t="shared" si="3344"/>
        <v>NIL</v>
      </c>
      <c r="Q8189" t="str">
        <f t="shared" si="3344"/>
        <v>NIL</v>
      </c>
      <c r="R8189" t="str">
        <f t="shared" si="3337"/>
        <v>Accepted</v>
      </c>
      <c r="S8189" t="str">
        <f t="shared" si="3323"/>
        <v>Approved</v>
      </c>
      <c r="T8189" t="str">
        <f t="shared" si="3338"/>
        <v>10.20.8.188</v>
      </c>
      <c r="U8189" t="str">
        <f t="shared" si="3324"/>
        <v>AZRAD UMAR BIN SHAARI</v>
      </c>
      <c r="V8189" t="str">
        <f t="shared" si="3325"/>
        <v>FARHANA BINTI MUSTAPA</v>
      </c>
      <c r="W8189" t="str">
        <f t="shared" si="3326"/>
        <v>04-08-2020</v>
      </c>
      <c r="X8189" t="str">
        <f t="shared" si="3327"/>
        <v>RAZIMAH ANSAR AHMAD</v>
      </c>
      <c r="Y8189" t="str">
        <f t="shared" si="3328"/>
        <v>04-08-2020</v>
      </c>
      <c r="Z8189" t="str">
        <f>"COS10200804 965"</f>
        <v>COS10200804 965</v>
      </c>
    </row>
    <row r="8190" spans="1:26" x14ac:dyDescent="0.25">
      <c r="A8190" t="str">
        <f t="shared" si="3341"/>
        <v>04-08-2020 12:31:21</v>
      </c>
      <c r="B8190" t="str">
        <f>"0000802707"</f>
        <v>0000802707</v>
      </c>
      <c r="C8190" t="str">
        <f t="shared" si="3342"/>
        <v>0000802543</v>
      </c>
      <c r="D8190" t="str">
        <f t="shared" si="3318"/>
        <v>73185</v>
      </c>
      <c r="E8190" t="str">
        <f t="shared" si="3319"/>
        <v>KFH-OPERATIONS DEPARTMENT</v>
      </c>
      <c r="F8190" t="str">
        <f t="shared" si="3320"/>
        <v>IBG</v>
      </c>
      <c r="G8190" t="str">
        <f t="shared" si="3329"/>
        <v>Refund COSHARE 10</v>
      </c>
      <c r="H8190" s="2">
        <v>1361.95</v>
      </c>
      <c r="I8190" t="str">
        <f>"HASSAN BIN BAKIL"</f>
        <v>HASSAN BIN BAKIL</v>
      </c>
      <c r="J8190" t="str">
        <f t="shared" si="3336"/>
        <v>BANK KERJASAMA RAKYAT</v>
      </c>
      <c r="K8190" t="str">
        <f>"220821035134"</f>
        <v>220821035134</v>
      </c>
      <c r="L8190" t="str">
        <f t="shared" si="3343"/>
        <v>04-08-2020</v>
      </c>
      <c r="M8190" t="str">
        <f t="shared" si="3343"/>
        <v>04-08-2020</v>
      </c>
      <c r="N8190" t="str">
        <f t="shared" si="3321"/>
        <v>001105018356</v>
      </c>
      <c r="O8190" t="str">
        <f t="shared" si="3322"/>
        <v>MYR</v>
      </c>
      <c r="P8190" t="str">
        <f t="shared" si="3344"/>
        <v>NIL</v>
      </c>
      <c r="Q8190" t="str">
        <f t="shared" si="3344"/>
        <v>NIL</v>
      </c>
      <c r="R8190" t="str">
        <f t="shared" si="3337"/>
        <v>Accepted</v>
      </c>
      <c r="S8190" t="str">
        <f t="shared" si="3323"/>
        <v>Approved</v>
      </c>
      <c r="T8190" t="str">
        <f t="shared" si="3338"/>
        <v>10.20.8.188</v>
      </c>
      <c r="U8190" t="str">
        <f t="shared" si="3324"/>
        <v>AZRAD UMAR BIN SHAARI</v>
      </c>
      <c r="V8190" t="str">
        <f t="shared" si="3325"/>
        <v>FARHANA BINTI MUSTAPA</v>
      </c>
      <c r="W8190" t="str">
        <f t="shared" si="3326"/>
        <v>04-08-2020</v>
      </c>
      <c r="X8190" t="str">
        <f t="shared" si="3327"/>
        <v>RAZIMAH ANSAR AHMAD</v>
      </c>
      <c r="Y8190" t="str">
        <f t="shared" si="3328"/>
        <v>04-08-2020</v>
      </c>
      <c r="Z8190" t="str">
        <f>"COS10200804 964"</f>
        <v>COS10200804 964</v>
      </c>
    </row>
    <row r="8191" spans="1:26" x14ac:dyDescent="0.25">
      <c r="A8191" t="str">
        <f t="shared" si="3341"/>
        <v>04-08-2020 12:31:21</v>
      </c>
      <c r="B8191" t="str">
        <f>"0000802706"</f>
        <v>0000802706</v>
      </c>
      <c r="C8191" t="str">
        <f t="shared" si="3342"/>
        <v>0000802543</v>
      </c>
      <c r="D8191" t="str">
        <f t="shared" si="3318"/>
        <v>73185</v>
      </c>
      <c r="E8191" t="str">
        <f t="shared" si="3319"/>
        <v>KFH-OPERATIONS DEPARTMENT</v>
      </c>
      <c r="F8191" t="str">
        <f t="shared" si="3320"/>
        <v>IBG</v>
      </c>
      <c r="G8191" t="str">
        <f t="shared" si="3329"/>
        <v>Refund COSHARE 10</v>
      </c>
      <c r="H8191" s="2">
        <v>42</v>
      </c>
      <c r="I8191" t="str">
        <f>"HASRULAZNAM BIN KAMARULZAMAN"</f>
        <v>HASRULAZNAM BIN KAMARULZAMAN</v>
      </c>
      <c r="J8191" t="str">
        <f t="shared" si="3336"/>
        <v>BANK KERJASAMA RAKYAT</v>
      </c>
      <c r="K8191" t="str">
        <f>"220806023954"</f>
        <v>220806023954</v>
      </c>
      <c r="L8191" t="str">
        <f t="shared" si="3343"/>
        <v>04-08-2020</v>
      </c>
      <c r="M8191" t="str">
        <f t="shared" si="3343"/>
        <v>04-08-2020</v>
      </c>
      <c r="N8191" t="str">
        <f t="shared" si="3321"/>
        <v>001105018356</v>
      </c>
      <c r="O8191" t="str">
        <f t="shared" si="3322"/>
        <v>MYR</v>
      </c>
      <c r="P8191" t="str">
        <f t="shared" si="3344"/>
        <v>NIL</v>
      </c>
      <c r="Q8191" t="str">
        <f t="shared" si="3344"/>
        <v>NIL</v>
      </c>
      <c r="R8191" t="str">
        <f t="shared" si="3337"/>
        <v>Accepted</v>
      </c>
      <c r="S8191" t="str">
        <f t="shared" si="3323"/>
        <v>Approved</v>
      </c>
      <c r="T8191" t="str">
        <f t="shared" si="3338"/>
        <v>10.20.8.188</v>
      </c>
      <c r="U8191" t="str">
        <f t="shared" si="3324"/>
        <v>AZRAD UMAR BIN SHAARI</v>
      </c>
      <c r="V8191" t="str">
        <f t="shared" si="3325"/>
        <v>FARHANA BINTI MUSTAPA</v>
      </c>
      <c r="W8191" t="str">
        <f t="shared" si="3326"/>
        <v>04-08-2020</v>
      </c>
      <c r="X8191" t="str">
        <f t="shared" si="3327"/>
        <v>RAZIMAH ANSAR AHMAD</v>
      </c>
      <c r="Y8191" t="str">
        <f t="shared" si="3328"/>
        <v>04-08-2020</v>
      </c>
      <c r="Z8191" t="str">
        <f>"COS10200804 963"</f>
        <v>COS10200804 963</v>
      </c>
    </row>
    <row r="8192" spans="1:26" x14ac:dyDescent="0.25">
      <c r="A8192" t="str">
        <f t="shared" si="3341"/>
        <v>04-08-2020 12:31:21</v>
      </c>
      <c r="B8192" t="str">
        <f>"0000802705"</f>
        <v>0000802705</v>
      </c>
      <c r="C8192" t="str">
        <f t="shared" si="3342"/>
        <v>0000802543</v>
      </c>
      <c r="D8192" t="str">
        <f t="shared" si="3318"/>
        <v>73185</v>
      </c>
      <c r="E8192" t="str">
        <f t="shared" si="3319"/>
        <v>KFH-OPERATIONS DEPARTMENT</v>
      </c>
      <c r="F8192" t="str">
        <f t="shared" si="3320"/>
        <v>IBG</v>
      </c>
      <c r="G8192" t="str">
        <f t="shared" si="3329"/>
        <v>Refund COSHARE 10</v>
      </c>
      <c r="H8192" s="2">
        <v>1067</v>
      </c>
      <c r="I8192" t="str">
        <f>"HASREY BIN ABU HASHIM"</f>
        <v>HASREY BIN ABU HASHIM</v>
      </c>
      <c r="J8192" t="str">
        <f t="shared" si="3336"/>
        <v>BANK KERJASAMA RAKYAT</v>
      </c>
      <c r="K8192" t="str">
        <f>"220951516471"</f>
        <v>220951516471</v>
      </c>
      <c r="L8192" t="str">
        <f t="shared" si="3343"/>
        <v>04-08-2020</v>
      </c>
      <c r="M8192" t="str">
        <f t="shared" si="3343"/>
        <v>04-08-2020</v>
      </c>
      <c r="N8192" t="str">
        <f t="shared" si="3321"/>
        <v>001105018356</v>
      </c>
      <c r="O8192" t="str">
        <f t="shared" si="3322"/>
        <v>MYR</v>
      </c>
      <c r="P8192" t="str">
        <f t="shared" si="3344"/>
        <v>NIL</v>
      </c>
      <c r="Q8192" t="str">
        <f t="shared" si="3344"/>
        <v>NIL</v>
      </c>
      <c r="R8192" t="str">
        <f t="shared" si="3337"/>
        <v>Accepted</v>
      </c>
      <c r="S8192" t="str">
        <f t="shared" si="3323"/>
        <v>Approved</v>
      </c>
      <c r="T8192" t="str">
        <f t="shared" si="3338"/>
        <v>10.20.8.188</v>
      </c>
      <c r="U8192" t="str">
        <f t="shared" si="3324"/>
        <v>AZRAD UMAR BIN SHAARI</v>
      </c>
      <c r="V8192" t="str">
        <f t="shared" si="3325"/>
        <v>FARHANA BINTI MUSTAPA</v>
      </c>
      <c r="W8192" t="str">
        <f t="shared" si="3326"/>
        <v>04-08-2020</v>
      </c>
      <c r="X8192" t="str">
        <f t="shared" si="3327"/>
        <v>RAZIMAH ANSAR AHMAD</v>
      </c>
      <c r="Y8192" t="str">
        <f t="shared" si="3328"/>
        <v>04-08-2020</v>
      </c>
      <c r="Z8192" t="str">
        <f>"COS10200804 962"</f>
        <v>COS10200804 962</v>
      </c>
    </row>
    <row r="8193" spans="1:26" x14ac:dyDescent="0.25">
      <c r="A8193" t="str">
        <f t="shared" si="3341"/>
        <v>04-08-2020 12:31:21</v>
      </c>
      <c r="B8193" t="str">
        <f>"0000802704"</f>
        <v>0000802704</v>
      </c>
      <c r="C8193" t="str">
        <f t="shared" si="3342"/>
        <v>0000802543</v>
      </c>
      <c r="D8193" t="str">
        <f t="shared" si="3318"/>
        <v>73185</v>
      </c>
      <c r="E8193" t="str">
        <f t="shared" si="3319"/>
        <v>KFH-OPERATIONS DEPARTMENT</v>
      </c>
      <c r="F8193" t="str">
        <f t="shared" si="3320"/>
        <v>IBG</v>
      </c>
      <c r="G8193" t="str">
        <f t="shared" si="3329"/>
        <v>Refund COSHARE 10</v>
      </c>
      <c r="H8193" s="2">
        <v>125.95</v>
      </c>
      <c r="I8193" t="str">
        <f>"HASNIZA BINTI HAIDAR"</f>
        <v>HASNIZA BINTI HAIDAR</v>
      </c>
      <c r="J8193" t="str">
        <f t="shared" si="3336"/>
        <v>BANK KERJASAMA RAKYAT</v>
      </c>
      <c r="K8193" t="str">
        <f>"220631288919"</f>
        <v>220631288919</v>
      </c>
      <c r="L8193" t="str">
        <f t="shared" si="3343"/>
        <v>04-08-2020</v>
      </c>
      <c r="M8193" t="str">
        <f t="shared" si="3343"/>
        <v>04-08-2020</v>
      </c>
      <c r="N8193" t="str">
        <f t="shared" si="3321"/>
        <v>001105018356</v>
      </c>
      <c r="O8193" t="str">
        <f t="shared" si="3322"/>
        <v>MYR</v>
      </c>
      <c r="P8193" t="str">
        <f t="shared" si="3344"/>
        <v>NIL</v>
      </c>
      <c r="Q8193" t="str">
        <f t="shared" si="3344"/>
        <v>NIL</v>
      </c>
      <c r="R8193" t="str">
        <f t="shared" si="3337"/>
        <v>Accepted</v>
      </c>
      <c r="S8193" t="str">
        <f t="shared" si="3323"/>
        <v>Approved</v>
      </c>
      <c r="T8193" t="str">
        <f t="shared" si="3338"/>
        <v>10.20.8.188</v>
      </c>
      <c r="U8193" t="str">
        <f t="shared" si="3324"/>
        <v>AZRAD UMAR BIN SHAARI</v>
      </c>
      <c r="V8193" t="str">
        <f t="shared" si="3325"/>
        <v>FARHANA BINTI MUSTAPA</v>
      </c>
      <c r="W8193" t="str">
        <f t="shared" si="3326"/>
        <v>04-08-2020</v>
      </c>
      <c r="X8193" t="str">
        <f t="shared" si="3327"/>
        <v>RAZIMAH ANSAR AHMAD</v>
      </c>
      <c r="Y8193" t="str">
        <f t="shared" si="3328"/>
        <v>04-08-2020</v>
      </c>
      <c r="Z8193" t="str">
        <f>"COS10200804 961"</f>
        <v>COS10200804 961</v>
      </c>
    </row>
    <row r="8194" spans="1:26" x14ac:dyDescent="0.25">
      <c r="A8194" t="str">
        <f t="shared" si="3341"/>
        <v>04-08-2020 12:31:21</v>
      </c>
      <c r="B8194" t="str">
        <f>"0000802703"</f>
        <v>0000802703</v>
      </c>
      <c r="C8194" t="str">
        <f t="shared" si="3342"/>
        <v>0000802543</v>
      </c>
      <c r="D8194" t="str">
        <f t="shared" si="3318"/>
        <v>73185</v>
      </c>
      <c r="E8194" t="str">
        <f t="shared" si="3319"/>
        <v>KFH-OPERATIONS DEPARTMENT</v>
      </c>
      <c r="F8194" t="str">
        <f t="shared" si="3320"/>
        <v>IBG</v>
      </c>
      <c r="G8194" t="str">
        <f t="shared" si="3329"/>
        <v>Refund COSHARE 10</v>
      </c>
      <c r="H8194" s="2">
        <v>1276.05</v>
      </c>
      <c r="I8194" t="str">
        <f>"HASNITA BINTI CHE MAHMOOD"</f>
        <v>HASNITA BINTI CHE MAHMOOD</v>
      </c>
      <c r="J8194" t="str">
        <f t="shared" si="3336"/>
        <v>BANK KERJASAMA RAKYAT</v>
      </c>
      <c r="K8194" t="str">
        <f>"220071172061"</f>
        <v>220071172061</v>
      </c>
      <c r="L8194" t="str">
        <f t="shared" si="3343"/>
        <v>04-08-2020</v>
      </c>
      <c r="M8194" t="str">
        <f t="shared" si="3343"/>
        <v>04-08-2020</v>
      </c>
      <c r="N8194" t="str">
        <f t="shared" si="3321"/>
        <v>001105018356</v>
      </c>
      <c r="O8194" t="str">
        <f t="shared" si="3322"/>
        <v>MYR</v>
      </c>
      <c r="P8194" t="str">
        <f t="shared" si="3344"/>
        <v>NIL</v>
      </c>
      <c r="Q8194" t="str">
        <f t="shared" si="3344"/>
        <v>NIL</v>
      </c>
      <c r="R8194" t="str">
        <f t="shared" si="3337"/>
        <v>Accepted</v>
      </c>
      <c r="S8194" t="str">
        <f t="shared" si="3323"/>
        <v>Approved</v>
      </c>
      <c r="T8194" t="str">
        <f t="shared" si="3338"/>
        <v>10.20.8.188</v>
      </c>
      <c r="U8194" t="str">
        <f t="shared" si="3324"/>
        <v>AZRAD UMAR BIN SHAARI</v>
      </c>
      <c r="V8194" t="str">
        <f t="shared" si="3325"/>
        <v>FARHANA BINTI MUSTAPA</v>
      </c>
      <c r="W8194" t="str">
        <f t="shared" si="3326"/>
        <v>04-08-2020</v>
      </c>
      <c r="X8194" t="str">
        <f t="shared" si="3327"/>
        <v>RAZIMAH ANSAR AHMAD</v>
      </c>
      <c r="Y8194" t="str">
        <f t="shared" si="3328"/>
        <v>04-08-2020</v>
      </c>
      <c r="Z8194" t="str">
        <f>"COS10200804 960"</f>
        <v>COS10200804 960</v>
      </c>
    </row>
    <row r="8195" spans="1:26" x14ac:dyDescent="0.25">
      <c r="A8195" t="str">
        <f t="shared" si="3341"/>
        <v>04-08-2020 12:31:21</v>
      </c>
      <c r="B8195" t="str">
        <f>"0000802702"</f>
        <v>0000802702</v>
      </c>
      <c r="C8195" t="str">
        <f t="shared" si="3342"/>
        <v>0000802543</v>
      </c>
      <c r="D8195" t="str">
        <f t="shared" si="3318"/>
        <v>73185</v>
      </c>
      <c r="E8195" t="str">
        <f t="shared" si="3319"/>
        <v>KFH-OPERATIONS DEPARTMENT</v>
      </c>
      <c r="F8195" t="str">
        <f t="shared" si="3320"/>
        <v>IBG</v>
      </c>
      <c r="G8195" t="str">
        <f t="shared" si="3329"/>
        <v>Refund COSHARE 10</v>
      </c>
      <c r="H8195" s="2">
        <v>334</v>
      </c>
      <c r="I8195" t="str">
        <f>"HASNITA BINTI CHE MAHMOOD"</f>
        <v>HASNITA BINTI CHE MAHMOOD</v>
      </c>
      <c r="J8195" t="str">
        <f t="shared" si="3336"/>
        <v>BANK KERJASAMA RAKYAT</v>
      </c>
      <c r="K8195" t="str">
        <f>"220071172061"</f>
        <v>220071172061</v>
      </c>
      <c r="L8195" t="str">
        <f t="shared" si="3343"/>
        <v>04-08-2020</v>
      </c>
      <c r="M8195" t="str">
        <f t="shared" si="3343"/>
        <v>04-08-2020</v>
      </c>
      <c r="N8195" t="str">
        <f t="shared" si="3321"/>
        <v>001105018356</v>
      </c>
      <c r="O8195" t="str">
        <f t="shared" si="3322"/>
        <v>MYR</v>
      </c>
      <c r="P8195" t="str">
        <f t="shared" si="3344"/>
        <v>NIL</v>
      </c>
      <c r="Q8195" t="str">
        <f t="shared" si="3344"/>
        <v>NIL</v>
      </c>
      <c r="R8195" t="str">
        <f t="shared" si="3337"/>
        <v>Accepted</v>
      </c>
      <c r="S8195" t="str">
        <f t="shared" si="3323"/>
        <v>Approved</v>
      </c>
      <c r="T8195" t="str">
        <f t="shared" si="3338"/>
        <v>10.20.8.188</v>
      </c>
      <c r="U8195" t="str">
        <f t="shared" si="3324"/>
        <v>AZRAD UMAR BIN SHAARI</v>
      </c>
      <c r="V8195" t="str">
        <f t="shared" si="3325"/>
        <v>FARHANA BINTI MUSTAPA</v>
      </c>
      <c r="W8195" t="str">
        <f t="shared" si="3326"/>
        <v>04-08-2020</v>
      </c>
      <c r="X8195" t="str">
        <f t="shared" si="3327"/>
        <v>RAZIMAH ANSAR AHMAD</v>
      </c>
      <c r="Y8195" t="str">
        <f t="shared" si="3328"/>
        <v>04-08-2020</v>
      </c>
      <c r="Z8195" t="str">
        <f>"COS10200804 959"</f>
        <v>COS10200804 959</v>
      </c>
    </row>
    <row r="8196" spans="1:26" x14ac:dyDescent="0.25">
      <c r="A8196" t="str">
        <f t="shared" si="3341"/>
        <v>04-08-2020 12:31:21</v>
      </c>
      <c r="B8196" t="str">
        <f>"0000802701"</f>
        <v>0000802701</v>
      </c>
      <c r="C8196" t="str">
        <f t="shared" si="3342"/>
        <v>0000802543</v>
      </c>
      <c r="D8196" t="str">
        <f t="shared" si="3318"/>
        <v>73185</v>
      </c>
      <c r="E8196" t="str">
        <f t="shared" si="3319"/>
        <v>KFH-OPERATIONS DEPARTMENT</v>
      </c>
      <c r="F8196" t="str">
        <f t="shared" si="3320"/>
        <v>IBG</v>
      </c>
      <c r="G8196" t="str">
        <f t="shared" si="3329"/>
        <v>Refund COSHARE 10</v>
      </c>
      <c r="H8196" s="2">
        <v>167.9</v>
      </c>
      <c r="I8196" t="str">
        <f>"HASNITA BIN HAMZAH"</f>
        <v>HASNITA BIN HAMZAH</v>
      </c>
      <c r="J8196" t="str">
        <f t="shared" si="3336"/>
        <v>BANK KERJASAMA RAKYAT</v>
      </c>
      <c r="K8196" t="str">
        <f>"220071284049"</f>
        <v>220071284049</v>
      </c>
      <c r="L8196" t="str">
        <f t="shared" si="3343"/>
        <v>04-08-2020</v>
      </c>
      <c r="M8196" t="str">
        <f t="shared" si="3343"/>
        <v>04-08-2020</v>
      </c>
      <c r="N8196" t="str">
        <f t="shared" si="3321"/>
        <v>001105018356</v>
      </c>
      <c r="O8196" t="str">
        <f t="shared" si="3322"/>
        <v>MYR</v>
      </c>
      <c r="P8196" t="str">
        <f t="shared" si="3344"/>
        <v>NIL</v>
      </c>
      <c r="Q8196" t="str">
        <f t="shared" si="3344"/>
        <v>NIL</v>
      </c>
      <c r="R8196" t="str">
        <f t="shared" si="3337"/>
        <v>Accepted</v>
      </c>
      <c r="S8196" t="str">
        <f t="shared" si="3323"/>
        <v>Approved</v>
      </c>
      <c r="T8196" t="str">
        <f t="shared" si="3338"/>
        <v>10.20.8.188</v>
      </c>
      <c r="U8196" t="str">
        <f t="shared" si="3324"/>
        <v>AZRAD UMAR BIN SHAARI</v>
      </c>
      <c r="V8196" t="str">
        <f t="shared" si="3325"/>
        <v>FARHANA BINTI MUSTAPA</v>
      </c>
      <c r="W8196" t="str">
        <f t="shared" si="3326"/>
        <v>04-08-2020</v>
      </c>
      <c r="X8196" t="str">
        <f t="shared" si="3327"/>
        <v>RAZIMAH ANSAR AHMAD</v>
      </c>
      <c r="Y8196" t="str">
        <f t="shared" si="3328"/>
        <v>04-08-2020</v>
      </c>
      <c r="Z8196" t="str">
        <f>"COS10200804 958"</f>
        <v>COS10200804 958</v>
      </c>
    </row>
    <row r="8197" spans="1:26" x14ac:dyDescent="0.25">
      <c r="A8197" t="str">
        <f t="shared" si="3341"/>
        <v>04-08-2020 12:31:21</v>
      </c>
      <c r="B8197" t="str">
        <f>"0000802700"</f>
        <v>0000802700</v>
      </c>
      <c r="C8197" t="str">
        <f t="shared" si="3342"/>
        <v>0000802543</v>
      </c>
      <c r="D8197" t="str">
        <f t="shared" si="3318"/>
        <v>73185</v>
      </c>
      <c r="E8197" t="str">
        <f t="shared" si="3319"/>
        <v>KFH-OPERATIONS DEPARTMENT</v>
      </c>
      <c r="F8197" t="str">
        <f t="shared" si="3320"/>
        <v>IBG</v>
      </c>
      <c r="G8197" t="str">
        <f t="shared" si="3329"/>
        <v>Refund COSHARE 10</v>
      </c>
      <c r="H8197" s="2">
        <v>1049.4000000000001</v>
      </c>
      <c r="I8197" t="str">
        <f>"HASNIDA BINTI AWANG  MAHMUD"</f>
        <v>HASNIDA BINTI AWANG  MAHMUD</v>
      </c>
      <c r="J8197" t="str">
        <f t="shared" si="3336"/>
        <v>BANK KERJASAMA RAKYAT</v>
      </c>
      <c r="K8197" t="str">
        <f>"220502513671"</f>
        <v>220502513671</v>
      </c>
      <c r="L8197" t="str">
        <f t="shared" si="3343"/>
        <v>04-08-2020</v>
      </c>
      <c r="M8197" t="str">
        <f t="shared" si="3343"/>
        <v>04-08-2020</v>
      </c>
      <c r="N8197" t="str">
        <f t="shared" si="3321"/>
        <v>001105018356</v>
      </c>
      <c r="O8197" t="str">
        <f t="shared" si="3322"/>
        <v>MYR</v>
      </c>
      <c r="P8197" t="str">
        <f t="shared" si="3344"/>
        <v>NIL</v>
      </c>
      <c r="Q8197" t="str">
        <f t="shared" si="3344"/>
        <v>NIL</v>
      </c>
      <c r="R8197" t="str">
        <f t="shared" si="3337"/>
        <v>Accepted</v>
      </c>
      <c r="S8197" t="str">
        <f t="shared" si="3323"/>
        <v>Approved</v>
      </c>
      <c r="T8197" t="str">
        <f t="shared" si="3338"/>
        <v>10.20.8.188</v>
      </c>
      <c r="U8197" t="str">
        <f t="shared" si="3324"/>
        <v>AZRAD UMAR BIN SHAARI</v>
      </c>
      <c r="V8197" t="str">
        <f t="shared" si="3325"/>
        <v>FARHANA BINTI MUSTAPA</v>
      </c>
      <c r="W8197" t="str">
        <f t="shared" si="3326"/>
        <v>04-08-2020</v>
      </c>
      <c r="X8197" t="str">
        <f t="shared" si="3327"/>
        <v>RAZIMAH ANSAR AHMAD</v>
      </c>
      <c r="Y8197" t="str">
        <f t="shared" si="3328"/>
        <v>04-08-2020</v>
      </c>
      <c r="Z8197" t="str">
        <f>"COS10200804 957"</f>
        <v>COS10200804 957</v>
      </c>
    </row>
    <row r="8198" spans="1:26" x14ac:dyDescent="0.25">
      <c r="A8198" t="str">
        <f t="shared" si="3341"/>
        <v>04-08-2020 12:31:21</v>
      </c>
      <c r="B8198" t="str">
        <f>"0000802699"</f>
        <v>0000802699</v>
      </c>
      <c r="C8198" t="str">
        <f t="shared" si="3342"/>
        <v>0000802543</v>
      </c>
      <c r="D8198" t="str">
        <f t="shared" si="3318"/>
        <v>73185</v>
      </c>
      <c r="E8198" t="str">
        <f t="shared" si="3319"/>
        <v>KFH-OPERATIONS DEPARTMENT</v>
      </c>
      <c r="F8198" t="str">
        <f t="shared" si="3320"/>
        <v>IBG</v>
      </c>
      <c r="G8198" t="str">
        <f t="shared" si="3329"/>
        <v>Refund COSHARE 10</v>
      </c>
      <c r="H8198" s="2">
        <v>75.75</v>
      </c>
      <c r="I8198" t="str">
        <f>"HASNAH BINTI MAT DAUD"</f>
        <v>HASNAH BINTI MAT DAUD</v>
      </c>
      <c r="J8198" t="str">
        <f t="shared" si="3336"/>
        <v>BANK KERJASAMA RAKYAT</v>
      </c>
      <c r="K8198" t="str">
        <f>"220571155779"</f>
        <v>220571155779</v>
      </c>
      <c r="L8198" t="str">
        <f t="shared" si="3343"/>
        <v>04-08-2020</v>
      </c>
      <c r="M8198" t="str">
        <f t="shared" si="3343"/>
        <v>04-08-2020</v>
      </c>
      <c r="N8198" t="str">
        <f t="shared" si="3321"/>
        <v>001105018356</v>
      </c>
      <c r="O8198" t="str">
        <f t="shared" si="3322"/>
        <v>MYR</v>
      </c>
      <c r="P8198" t="str">
        <f t="shared" si="3344"/>
        <v>NIL</v>
      </c>
      <c r="Q8198" t="str">
        <f t="shared" si="3344"/>
        <v>NIL</v>
      </c>
      <c r="R8198" t="str">
        <f t="shared" si="3337"/>
        <v>Accepted</v>
      </c>
      <c r="S8198" t="str">
        <f t="shared" si="3323"/>
        <v>Approved</v>
      </c>
      <c r="T8198" t="str">
        <f t="shared" si="3338"/>
        <v>10.20.8.188</v>
      </c>
      <c r="U8198" t="str">
        <f t="shared" si="3324"/>
        <v>AZRAD UMAR BIN SHAARI</v>
      </c>
      <c r="V8198" t="str">
        <f t="shared" si="3325"/>
        <v>FARHANA BINTI MUSTAPA</v>
      </c>
      <c r="W8198" t="str">
        <f t="shared" si="3326"/>
        <v>04-08-2020</v>
      </c>
      <c r="X8198" t="str">
        <f t="shared" si="3327"/>
        <v>RAZIMAH ANSAR AHMAD</v>
      </c>
      <c r="Y8198" t="str">
        <f t="shared" si="3328"/>
        <v>04-08-2020</v>
      </c>
      <c r="Z8198" t="str">
        <f>"COS10200804 956"</f>
        <v>COS10200804 956</v>
      </c>
    </row>
    <row r="8199" spans="1:26" x14ac:dyDescent="0.25">
      <c r="A8199" t="str">
        <f t="shared" si="3341"/>
        <v>04-08-2020 12:31:21</v>
      </c>
      <c r="B8199" t="str">
        <f>"0000802698"</f>
        <v>0000802698</v>
      </c>
      <c r="C8199" t="str">
        <f t="shared" si="3342"/>
        <v>0000802543</v>
      </c>
      <c r="D8199" t="str">
        <f t="shared" ref="D8199:D8262" si="3345">"73185"</f>
        <v>73185</v>
      </c>
      <c r="E8199" t="str">
        <f t="shared" ref="E8199:E8262" si="3346">"KFH-OPERATIONS DEPARTMENT"</f>
        <v>KFH-OPERATIONS DEPARTMENT</v>
      </c>
      <c r="F8199" t="str">
        <f t="shared" ref="F8199:F8262" si="3347">"IBG"</f>
        <v>IBG</v>
      </c>
      <c r="G8199" t="str">
        <f t="shared" si="3329"/>
        <v>Refund COSHARE 10</v>
      </c>
      <c r="H8199" s="2">
        <v>302.25</v>
      </c>
      <c r="I8199" t="str">
        <f>"HASMAN BIN HASSAN"</f>
        <v>HASMAN BIN HASSAN</v>
      </c>
      <c r="J8199" t="str">
        <f t="shared" si="3336"/>
        <v>BANK KERJASAMA RAKYAT</v>
      </c>
      <c r="K8199" t="str">
        <f>"220816092613"</f>
        <v>220816092613</v>
      </c>
      <c r="L8199" t="str">
        <f t="shared" si="3343"/>
        <v>04-08-2020</v>
      </c>
      <c r="M8199" t="str">
        <f t="shared" si="3343"/>
        <v>04-08-2020</v>
      </c>
      <c r="N8199" t="str">
        <f t="shared" ref="N8199:N8262" si="3348">"001105018356"</f>
        <v>001105018356</v>
      </c>
      <c r="O8199" t="str">
        <f t="shared" ref="O8199:O8262" si="3349">"MYR"</f>
        <v>MYR</v>
      </c>
      <c r="P8199" t="str">
        <f t="shared" si="3344"/>
        <v>NIL</v>
      </c>
      <c r="Q8199" t="str">
        <f t="shared" si="3344"/>
        <v>NIL</v>
      </c>
      <c r="R8199" t="str">
        <f t="shared" si="3337"/>
        <v>Accepted</v>
      </c>
      <c r="S8199" t="str">
        <f t="shared" ref="S8199:S8262" si="3350">"Approved"</f>
        <v>Approved</v>
      </c>
      <c r="T8199" t="str">
        <f t="shared" si="3338"/>
        <v>10.20.8.188</v>
      </c>
      <c r="U8199" t="str">
        <f t="shared" ref="U8199:U8262" si="3351">"AZRAD UMAR BIN SHAARI"</f>
        <v>AZRAD UMAR BIN SHAARI</v>
      </c>
      <c r="V8199" t="str">
        <f t="shared" ref="V8199:V8262" si="3352">"FARHANA BINTI MUSTAPA"</f>
        <v>FARHANA BINTI MUSTAPA</v>
      </c>
      <c r="W8199" t="str">
        <f t="shared" ref="W8199:W8262" si="3353">"04-08-2020"</f>
        <v>04-08-2020</v>
      </c>
      <c r="X8199" t="str">
        <f t="shared" ref="X8199:X8262" si="3354">"RAZIMAH ANSAR AHMAD"</f>
        <v>RAZIMAH ANSAR AHMAD</v>
      </c>
      <c r="Y8199" t="str">
        <f t="shared" ref="Y8199:Y8262" si="3355">"04-08-2020"</f>
        <v>04-08-2020</v>
      </c>
      <c r="Z8199" t="str">
        <f>"COS10200804 955"</f>
        <v>COS10200804 955</v>
      </c>
    </row>
    <row r="8200" spans="1:26" x14ac:dyDescent="0.25">
      <c r="A8200" t="str">
        <f t="shared" si="3341"/>
        <v>04-08-2020 12:31:21</v>
      </c>
      <c r="B8200" t="str">
        <f>"0000802697"</f>
        <v>0000802697</v>
      </c>
      <c r="C8200" t="str">
        <f t="shared" si="3342"/>
        <v>0000802543</v>
      </c>
      <c r="D8200" t="str">
        <f t="shared" si="3345"/>
        <v>73185</v>
      </c>
      <c r="E8200" t="str">
        <f t="shared" si="3346"/>
        <v>KFH-OPERATIONS DEPARTMENT</v>
      </c>
      <c r="F8200" t="str">
        <f t="shared" si="3347"/>
        <v>IBG</v>
      </c>
      <c r="G8200" t="str">
        <f t="shared" si="3329"/>
        <v>Refund COSHARE 10</v>
      </c>
      <c r="H8200" s="2">
        <v>1511.1</v>
      </c>
      <c r="I8200" t="str">
        <f>"HASLINDA BINTI OMAR"</f>
        <v>HASLINDA BINTI OMAR</v>
      </c>
      <c r="J8200" t="str">
        <f t="shared" si="3336"/>
        <v>BANK KERJASAMA RAKYAT</v>
      </c>
      <c r="K8200" t="str">
        <f>"220871004608"</f>
        <v>220871004608</v>
      </c>
      <c r="L8200" t="str">
        <f t="shared" si="3343"/>
        <v>04-08-2020</v>
      </c>
      <c r="M8200" t="str">
        <f t="shared" si="3343"/>
        <v>04-08-2020</v>
      </c>
      <c r="N8200" t="str">
        <f t="shared" si="3348"/>
        <v>001105018356</v>
      </c>
      <c r="O8200" t="str">
        <f t="shared" si="3349"/>
        <v>MYR</v>
      </c>
      <c r="P8200" t="str">
        <f t="shared" si="3344"/>
        <v>NIL</v>
      </c>
      <c r="Q8200" t="str">
        <f t="shared" si="3344"/>
        <v>NIL</v>
      </c>
      <c r="R8200" t="str">
        <f t="shared" si="3337"/>
        <v>Accepted</v>
      </c>
      <c r="S8200" t="str">
        <f t="shared" si="3350"/>
        <v>Approved</v>
      </c>
      <c r="T8200" t="str">
        <f t="shared" si="3338"/>
        <v>10.20.8.188</v>
      </c>
      <c r="U8200" t="str">
        <f t="shared" si="3351"/>
        <v>AZRAD UMAR BIN SHAARI</v>
      </c>
      <c r="V8200" t="str">
        <f t="shared" si="3352"/>
        <v>FARHANA BINTI MUSTAPA</v>
      </c>
      <c r="W8200" t="str">
        <f t="shared" si="3353"/>
        <v>04-08-2020</v>
      </c>
      <c r="X8200" t="str">
        <f t="shared" si="3354"/>
        <v>RAZIMAH ANSAR AHMAD</v>
      </c>
      <c r="Y8200" t="str">
        <f t="shared" si="3355"/>
        <v>04-08-2020</v>
      </c>
      <c r="Z8200" t="str">
        <f>"COS10200804 954"</f>
        <v>COS10200804 954</v>
      </c>
    </row>
    <row r="8201" spans="1:26" x14ac:dyDescent="0.25">
      <c r="A8201" t="str">
        <f t="shared" si="3341"/>
        <v>04-08-2020 12:31:21</v>
      </c>
      <c r="B8201" t="str">
        <f>"0000802696"</f>
        <v>0000802696</v>
      </c>
      <c r="C8201" t="str">
        <f t="shared" si="3342"/>
        <v>0000802543</v>
      </c>
      <c r="D8201" t="str">
        <f t="shared" si="3345"/>
        <v>73185</v>
      </c>
      <c r="E8201" t="str">
        <f t="shared" si="3346"/>
        <v>KFH-OPERATIONS DEPARTMENT</v>
      </c>
      <c r="F8201" t="str">
        <f t="shared" si="3347"/>
        <v>IBG</v>
      </c>
      <c r="G8201" t="str">
        <f t="shared" si="3329"/>
        <v>Refund COSHARE 10</v>
      </c>
      <c r="H8201" s="2">
        <v>168.9</v>
      </c>
      <c r="I8201" t="str">
        <f>"HASLINA BINTI HASBI"</f>
        <v>HASLINA BINTI HASBI</v>
      </c>
      <c r="J8201" t="str">
        <f t="shared" si="3336"/>
        <v>BANK KERJASAMA RAKYAT</v>
      </c>
      <c r="K8201" t="str">
        <f>"220251323124"</f>
        <v>220251323124</v>
      </c>
      <c r="L8201" t="str">
        <f t="shared" si="3343"/>
        <v>04-08-2020</v>
      </c>
      <c r="M8201" t="str">
        <f t="shared" si="3343"/>
        <v>04-08-2020</v>
      </c>
      <c r="N8201" t="str">
        <f t="shared" si="3348"/>
        <v>001105018356</v>
      </c>
      <c r="O8201" t="str">
        <f t="shared" si="3349"/>
        <v>MYR</v>
      </c>
      <c r="P8201" t="str">
        <f t="shared" si="3344"/>
        <v>NIL</v>
      </c>
      <c r="Q8201" t="str">
        <f t="shared" si="3344"/>
        <v>NIL</v>
      </c>
      <c r="R8201" t="str">
        <f t="shared" si="3337"/>
        <v>Accepted</v>
      </c>
      <c r="S8201" t="str">
        <f t="shared" si="3350"/>
        <v>Approved</v>
      </c>
      <c r="T8201" t="str">
        <f t="shared" si="3338"/>
        <v>10.20.8.188</v>
      </c>
      <c r="U8201" t="str">
        <f t="shared" si="3351"/>
        <v>AZRAD UMAR BIN SHAARI</v>
      </c>
      <c r="V8201" t="str">
        <f t="shared" si="3352"/>
        <v>FARHANA BINTI MUSTAPA</v>
      </c>
      <c r="W8201" t="str">
        <f t="shared" si="3353"/>
        <v>04-08-2020</v>
      </c>
      <c r="X8201" t="str">
        <f t="shared" si="3354"/>
        <v>RAZIMAH ANSAR AHMAD</v>
      </c>
      <c r="Y8201" t="str">
        <f t="shared" si="3355"/>
        <v>04-08-2020</v>
      </c>
      <c r="Z8201" t="str">
        <f>"COS10200804 953"</f>
        <v>COS10200804 953</v>
      </c>
    </row>
    <row r="8202" spans="1:26" x14ac:dyDescent="0.25">
      <c r="A8202" t="str">
        <f t="shared" si="3341"/>
        <v>04-08-2020 12:31:21</v>
      </c>
      <c r="B8202" t="str">
        <f>"0000802695"</f>
        <v>0000802695</v>
      </c>
      <c r="C8202" t="str">
        <f t="shared" si="3342"/>
        <v>0000802543</v>
      </c>
      <c r="D8202" t="str">
        <f t="shared" si="3345"/>
        <v>73185</v>
      </c>
      <c r="E8202" t="str">
        <f t="shared" si="3346"/>
        <v>KFH-OPERATIONS DEPARTMENT</v>
      </c>
      <c r="F8202" t="str">
        <f t="shared" si="3347"/>
        <v>IBG</v>
      </c>
      <c r="G8202" t="str">
        <f t="shared" si="3329"/>
        <v>Refund COSHARE 10</v>
      </c>
      <c r="H8202" s="2">
        <v>1357.15</v>
      </c>
      <c r="I8202" t="str">
        <f>"HASLINA BINTI ABDUL HAMID"</f>
        <v>HASLINA BINTI ABDUL HAMID</v>
      </c>
      <c r="J8202" t="str">
        <f t="shared" si="3336"/>
        <v>BANK KERJASAMA RAKYAT</v>
      </c>
      <c r="K8202" t="str">
        <f>"220141513337"</f>
        <v>220141513337</v>
      </c>
      <c r="L8202" t="str">
        <f t="shared" si="3343"/>
        <v>04-08-2020</v>
      </c>
      <c r="M8202" t="str">
        <f t="shared" si="3343"/>
        <v>04-08-2020</v>
      </c>
      <c r="N8202" t="str">
        <f t="shared" si="3348"/>
        <v>001105018356</v>
      </c>
      <c r="O8202" t="str">
        <f t="shared" si="3349"/>
        <v>MYR</v>
      </c>
      <c r="P8202" t="str">
        <f t="shared" si="3344"/>
        <v>NIL</v>
      </c>
      <c r="Q8202" t="str">
        <f t="shared" si="3344"/>
        <v>NIL</v>
      </c>
      <c r="R8202" t="str">
        <f t="shared" si="3337"/>
        <v>Accepted</v>
      </c>
      <c r="S8202" t="str">
        <f t="shared" si="3350"/>
        <v>Approved</v>
      </c>
      <c r="T8202" t="str">
        <f t="shared" si="3338"/>
        <v>10.20.8.188</v>
      </c>
      <c r="U8202" t="str">
        <f t="shared" si="3351"/>
        <v>AZRAD UMAR BIN SHAARI</v>
      </c>
      <c r="V8202" t="str">
        <f t="shared" si="3352"/>
        <v>FARHANA BINTI MUSTAPA</v>
      </c>
      <c r="W8202" t="str">
        <f t="shared" si="3353"/>
        <v>04-08-2020</v>
      </c>
      <c r="X8202" t="str">
        <f t="shared" si="3354"/>
        <v>RAZIMAH ANSAR AHMAD</v>
      </c>
      <c r="Y8202" t="str">
        <f t="shared" si="3355"/>
        <v>04-08-2020</v>
      </c>
      <c r="Z8202" t="str">
        <f>"COS10200804 952"</f>
        <v>COS10200804 952</v>
      </c>
    </row>
    <row r="8203" spans="1:26" x14ac:dyDescent="0.25">
      <c r="A8203" t="str">
        <f t="shared" si="3341"/>
        <v>04-08-2020 12:31:21</v>
      </c>
      <c r="B8203" t="str">
        <f>"0000802694"</f>
        <v>0000802694</v>
      </c>
      <c r="C8203" t="str">
        <f t="shared" si="3342"/>
        <v>0000802543</v>
      </c>
      <c r="D8203" t="str">
        <f t="shared" si="3345"/>
        <v>73185</v>
      </c>
      <c r="E8203" t="str">
        <f t="shared" si="3346"/>
        <v>KFH-OPERATIONS DEPARTMENT</v>
      </c>
      <c r="F8203" t="str">
        <f t="shared" si="3347"/>
        <v>IBG</v>
      </c>
      <c r="G8203" t="str">
        <f t="shared" si="3329"/>
        <v>Refund COSHARE 10</v>
      </c>
      <c r="H8203" s="2">
        <v>76</v>
      </c>
      <c r="I8203" t="str">
        <f>"HASDISHAM BIN MAT NORDIN"</f>
        <v>HASDISHAM BIN MAT NORDIN</v>
      </c>
      <c r="J8203" t="str">
        <f t="shared" si="3336"/>
        <v>BANK KERJASAMA RAKYAT</v>
      </c>
      <c r="K8203" t="str">
        <f>"220411111298"</f>
        <v>220411111298</v>
      </c>
      <c r="L8203" t="str">
        <f t="shared" si="3343"/>
        <v>04-08-2020</v>
      </c>
      <c r="M8203" t="str">
        <f t="shared" si="3343"/>
        <v>04-08-2020</v>
      </c>
      <c r="N8203" t="str">
        <f t="shared" si="3348"/>
        <v>001105018356</v>
      </c>
      <c r="O8203" t="str">
        <f t="shared" si="3349"/>
        <v>MYR</v>
      </c>
      <c r="P8203" t="str">
        <f t="shared" si="3344"/>
        <v>NIL</v>
      </c>
      <c r="Q8203" t="str">
        <f t="shared" si="3344"/>
        <v>NIL</v>
      </c>
      <c r="R8203" t="str">
        <f t="shared" si="3337"/>
        <v>Accepted</v>
      </c>
      <c r="S8203" t="str">
        <f t="shared" si="3350"/>
        <v>Approved</v>
      </c>
      <c r="T8203" t="str">
        <f t="shared" si="3338"/>
        <v>10.20.8.188</v>
      </c>
      <c r="U8203" t="str">
        <f t="shared" si="3351"/>
        <v>AZRAD UMAR BIN SHAARI</v>
      </c>
      <c r="V8203" t="str">
        <f t="shared" si="3352"/>
        <v>FARHANA BINTI MUSTAPA</v>
      </c>
      <c r="W8203" t="str">
        <f t="shared" si="3353"/>
        <v>04-08-2020</v>
      </c>
      <c r="X8203" t="str">
        <f t="shared" si="3354"/>
        <v>RAZIMAH ANSAR AHMAD</v>
      </c>
      <c r="Y8203" t="str">
        <f t="shared" si="3355"/>
        <v>04-08-2020</v>
      </c>
      <c r="Z8203" t="str">
        <f>"COS10200804 951"</f>
        <v>COS10200804 951</v>
      </c>
    </row>
    <row r="8204" spans="1:26" x14ac:dyDescent="0.25">
      <c r="A8204" t="str">
        <f t="shared" si="3341"/>
        <v>04-08-2020 12:31:21</v>
      </c>
      <c r="B8204" t="str">
        <f>"0000802693"</f>
        <v>0000802693</v>
      </c>
      <c r="C8204" t="str">
        <f t="shared" si="3342"/>
        <v>0000802543</v>
      </c>
      <c r="D8204" t="str">
        <f t="shared" si="3345"/>
        <v>73185</v>
      </c>
      <c r="E8204" t="str">
        <f t="shared" si="3346"/>
        <v>KFH-OPERATIONS DEPARTMENT</v>
      </c>
      <c r="F8204" t="str">
        <f t="shared" si="3347"/>
        <v>IBG</v>
      </c>
      <c r="G8204" t="str">
        <f t="shared" ref="G8204:G8267" si="3356">"Refund COSHARE 10"</f>
        <v>Refund COSHARE 10</v>
      </c>
      <c r="H8204" s="2">
        <v>209.9</v>
      </c>
      <c r="I8204" t="str">
        <f>"HASDI BIN BIDIN"</f>
        <v>HASDI BIN BIDIN</v>
      </c>
      <c r="J8204" t="str">
        <f t="shared" si="3336"/>
        <v>BANK KERJASAMA RAKYAT</v>
      </c>
      <c r="K8204" t="str">
        <f>"220781235707"</f>
        <v>220781235707</v>
      </c>
      <c r="L8204" t="str">
        <f t="shared" si="3343"/>
        <v>04-08-2020</v>
      </c>
      <c r="M8204" t="str">
        <f t="shared" si="3343"/>
        <v>04-08-2020</v>
      </c>
      <c r="N8204" t="str">
        <f t="shared" si="3348"/>
        <v>001105018356</v>
      </c>
      <c r="O8204" t="str">
        <f t="shared" si="3349"/>
        <v>MYR</v>
      </c>
      <c r="P8204" t="str">
        <f t="shared" si="3344"/>
        <v>NIL</v>
      </c>
      <c r="Q8204" t="str">
        <f t="shared" si="3344"/>
        <v>NIL</v>
      </c>
      <c r="R8204" t="str">
        <f t="shared" si="3337"/>
        <v>Accepted</v>
      </c>
      <c r="S8204" t="str">
        <f t="shared" si="3350"/>
        <v>Approved</v>
      </c>
      <c r="T8204" t="str">
        <f t="shared" si="3338"/>
        <v>10.20.8.188</v>
      </c>
      <c r="U8204" t="str">
        <f t="shared" si="3351"/>
        <v>AZRAD UMAR BIN SHAARI</v>
      </c>
      <c r="V8204" t="str">
        <f t="shared" si="3352"/>
        <v>FARHANA BINTI MUSTAPA</v>
      </c>
      <c r="W8204" t="str">
        <f t="shared" si="3353"/>
        <v>04-08-2020</v>
      </c>
      <c r="X8204" t="str">
        <f t="shared" si="3354"/>
        <v>RAZIMAH ANSAR AHMAD</v>
      </c>
      <c r="Y8204" t="str">
        <f t="shared" si="3355"/>
        <v>04-08-2020</v>
      </c>
      <c r="Z8204" t="str">
        <f>"COS10200804 950"</f>
        <v>COS10200804 950</v>
      </c>
    </row>
    <row r="8205" spans="1:26" x14ac:dyDescent="0.25">
      <c r="A8205" t="str">
        <f t="shared" si="3341"/>
        <v>04-08-2020 12:31:21</v>
      </c>
      <c r="B8205" t="str">
        <f>"0000802692"</f>
        <v>0000802692</v>
      </c>
      <c r="C8205" t="str">
        <f t="shared" si="3342"/>
        <v>0000802543</v>
      </c>
      <c r="D8205" t="str">
        <f t="shared" si="3345"/>
        <v>73185</v>
      </c>
      <c r="E8205" t="str">
        <f t="shared" si="3346"/>
        <v>KFH-OPERATIONS DEPARTMENT</v>
      </c>
      <c r="F8205" t="str">
        <f t="shared" si="3347"/>
        <v>IBG</v>
      </c>
      <c r="G8205" t="str">
        <f t="shared" si="3356"/>
        <v>Refund COSHARE 10</v>
      </c>
      <c r="H8205" s="2">
        <v>113</v>
      </c>
      <c r="I8205" t="str">
        <f>"HASAN BIN RAHIM"</f>
        <v>HASAN BIN RAHIM</v>
      </c>
      <c r="J8205" t="str">
        <f t="shared" si="3336"/>
        <v>BANK KERJASAMA RAKYAT</v>
      </c>
      <c r="K8205" t="str">
        <f>"220081175098"</f>
        <v>220081175098</v>
      </c>
      <c r="L8205" t="str">
        <f t="shared" si="3343"/>
        <v>04-08-2020</v>
      </c>
      <c r="M8205" t="str">
        <f t="shared" si="3343"/>
        <v>04-08-2020</v>
      </c>
      <c r="N8205" t="str">
        <f t="shared" si="3348"/>
        <v>001105018356</v>
      </c>
      <c r="O8205" t="str">
        <f t="shared" si="3349"/>
        <v>MYR</v>
      </c>
      <c r="P8205" t="str">
        <f t="shared" si="3344"/>
        <v>NIL</v>
      </c>
      <c r="Q8205" t="str">
        <f t="shared" si="3344"/>
        <v>NIL</v>
      </c>
      <c r="R8205" t="str">
        <f t="shared" si="3337"/>
        <v>Accepted</v>
      </c>
      <c r="S8205" t="str">
        <f t="shared" si="3350"/>
        <v>Approved</v>
      </c>
      <c r="T8205" t="str">
        <f t="shared" si="3338"/>
        <v>10.20.8.188</v>
      </c>
      <c r="U8205" t="str">
        <f t="shared" si="3351"/>
        <v>AZRAD UMAR BIN SHAARI</v>
      </c>
      <c r="V8205" t="str">
        <f t="shared" si="3352"/>
        <v>FARHANA BINTI MUSTAPA</v>
      </c>
      <c r="W8205" t="str">
        <f t="shared" si="3353"/>
        <v>04-08-2020</v>
      </c>
      <c r="X8205" t="str">
        <f t="shared" si="3354"/>
        <v>RAZIMAH ANSAR AHMAD</v>
      </c>
      <c r="Y8205" t="str">
        <f t="shared" si="3355"/>
        <v>04-08-2020</v>
      </c>
      <c r="Z8205" t="str">
        <f>"COS10200804 949"</f>
        <v>COS10200804 949</v>
      </c>
    </row>
    <row r="8206" spans="1:26" x14ac:dyDescent="0.25">
      <c r="A8206" t="str">
        <f t="shared" si="3341"/>
        <v>04-08-2020 12:31:21</v>
      </c>
      <c r="B8206" t="str">
        <f>"0000802691"</f>
        <v>0000802691</v>
      </c>
      <c r="C8206" t="str">
        <f t="shared" si="3342"/>
        <v>0000802543</v>
      </c>
      <c r="D8206" t="str">
        <f t="shared" si="3345"/>
        <v>73185</v>
      </c>
      <c r="E8206" t="str">
        <f t="shared" si="3346"/>
        <v>KFH-OPERATIONS DEPARTMENT</v>
      </c>
      <c r="F8206" t="str">
        <f t="shared" si="3347"/>
        <v>IBG</v>
      </c>
      <c r="G8206" t="str">
        <f t="shared" si="3356"/>
        <v>Refund COSHARE 10</v>
      </c>
      <c r="H8206" s="2">
        <v>183</v>
      </c>
      <c r="I8206" t="str">
        <f>"HARTONO BIN DAHLAN"</f>
        <v>HARTONO BIN DAHLAN</v>
      </c>
      <c r="J8206" t="str">
        <f t="shared" si="3336"/>
        <v>BANK KERJASAMA RAKYAT</v>
      </c>
      <c r="K8206" t="str">
        <f>"220731258804"</f>
        <v>220731258804</v>
      </c>
      <c r="L8206" t="str">
        <f t="shared" si="3343"/>
        <v>04-08-2020</v>
      </c>
      <c r="M8206" t="str">
        <f t="shared" si="3343"/>
        <v>04-08-2020</v>
      </c>
      <c r="N8206" t="str">
        <f t="shared" si="3348"/>
        <v>001105018356</v>
      </c>
      <c r="O8206" t="str">
        <f t="shared" si="3349"/>
        <v>MYR</v>
      </c>
      <c r="P8206" t="str">
        <f t="shared" si="3344"/>
        <v>NIL</v>
      </c>
      <c r="Q8206" t="str">
        <f t="shared" si="3344"/>
        <v>NIL</v>
      </c>
      <c r="R8206" t="str">
        <f t="shared" si="3337"/>
        <v>Accepted</v>
      </c>
      <c r="S8206" t="str">
        <f t="shared" si="3350"/>
        <v>Approved</v>
      </c>
      <c r="T8206" t="str">
        <f t="shared" si="3338"/>
        <v>10.20.8.188</v>
      </c>
      <c r="U8206" t="str">
        <f t="shared" si="3351"/>
        <v>AZRAD UMAR BIN SHAARI</v>
      </c>
      <c r="V8206" t="str">
        <f t="shared" si="3352"/>
        <v>FARHANA BINTI MUSTAPA</v>
      </c>
      <c r="W8206" t="str">
        <f t="shared" si="3353"/>
        <v>04-08-2020</v>
      </c>
      <c r="X8206" t="str">
        <f t="shared" si="3354"/>
        <v>RAZIMAH ANSAR AHMAD</v>
      </c>
      <c r="Y8206" t="str">
        <f t="shared" si="3355"/>
        <v>04-08-2020</v>
      </c>
      <c r="Z8206" t="str">
        <f>"COS10200804 948"</f>
        <v>COS10200804 948</v>
      </c>
    </row>
    <row r="8207" spans="1:26" x14ac:dyDescent="0.25">
      <c r="A8207" t="str">
        <f t="shared" si="3341"/>
        <v>04-08-2020 12:31:21</v>
      </c>
      <c r="B8207" t="str">
        <f>"0000802690"</f>
        <v>0000802690</v>
      </c>
      <c r="C8207" t="str">
        <f t="shared" si="3342"/>
        <v>0000802543</v>
      </c>
      <c r="D8207" t="str">
        <f t="shared" si="3345"/>
        <v>73185</v>
      </c>
      <c r="E8207" t="str">
        <f t="shared" si="3346"/>
        <v>KFH-OPERATIONS DEPARTMENT</v>
      </c>
      <c r="F8207" t="str">
        <f t="shared" si="3347"/>
        <v>IBG</v>
      </c>
      <c r="G8207" t="str">
        <f t="shared" si="3356"/>
        <v>Refund COSHARE 10</v>
      </c>
      <c r="H8207" s="2">
        <v>971</v>
      </c>
      <c r="I8207" t="str">
        <f>"HARAMAN BIN MIHI"</f>
        <v>HARAMAN BIN MIHI</v>
      </c>
      <c r="J8207" t="str">
        <f t="shared" si="3336"/>
        <v>BANK KERJASAMA RAKYAT</v>
      </c>
      <c r="K8207" t="str">
        <f>"221273411957"</f>
        <v>221273411957</v>
      </c>
      <c r="L8207" t="str">
        <f t="shared" ref="L8207:M8226" si="3357">"04-08-2020"</f>
        <v>04-08-2020</v>
      </c>
      <c r="M8207" t="str">
        <f t="shared" si="3357"/>
        <v>04-08-2020</v>
      </c>
      <c r="N8207" t="str">
        <f t="shared" si="3348"/>
        <v>001105018356</v>
      </c>
      <c r="O8207" t="str">
        <f t="shared" si="3349"/>
        <v>MYR</v>
      </c>
      <c r="P8207" t="str">
        <f t="shared" ref="P8207:Q8226" si="3358">"NIL"</f>
        <v>NIL</v>
      </c>
      <c r="Q8207" t="str">
        <f t="shared" si="3358"/>
        <v>NIL</v>
      </c>
      <c r="R8207" t="str">
        <f t="shared" si="3337"/>
        <v>Accepted</v>
      </c>
      <c r="S8207" t="str">
        <f t="shared" si="3350"/>
        <v>Approved</v>
      </c>
      <c r="T8207" t="str">
        <f t="shared" si="3338"/>
        <v>10.20.8.188</v>
      </c>
      <c r="U8207" t="str">
        <f t="shared" si="3351"/>
        <v>AZRAD UMAR BIN SHAARI</v>
      </c>
      <c r="V8207" t="str">
        <f t="shared" si="3352"/>
        <v>FARHANA BINTI MUSTAPA</v>
      </c>
      <c r="W8207" t="str">
        <f t="shared" si="3353"/>
        <v>04-08-2020</v>
      </c>
      <c r="X8207" t="str">
        <f t="shared" si="3354"/>
        <v>RAZIMAH ANSAR AHMAD</v>
      </c>
      <c r="Y8207" t="str">
        <f t="shared" si="3355"/>
        <v>04-08-2020</v>
      </c>
      <c r="Z8207" t="str">
        <f>"COS10200804 947"</f>
        <v>COS10200804 947</v>
      </c>
    </row>
    <row r="8208" spans="1:26" x14ac:dyDescent="0.25">
      <c r="A8208" t="str">
        <f t="shared" si="3341"/>
        <v>04-08-2020 12:31:21</v>
      </c>
      <c r="B8208" t="str">
        <f>"0000802689"</f>
        <v>0000802689</v>
      </c>
      <c r="C8208" t="str">
        <f t="shared" si="3342"/>
        <v>0000802543</v>
      </c>
      <c r="D8208" t="str">
        <f t="shared" si="3345"/>
        <v>73185</v>
      </c>
      <c r="E8208" t="str">
        <f t="shared" si="3346"/>
        <v>KFH-OPERATIONS DEPARTMENT</v>
      </c>
      <c r="F8208" t="str">
        <f t="shared" si="3347"/>
        <v>IBG</v>
      </c>
      <c r="G8208" t="str">
        <f t="shared" si="3356"/>
        <v>Refund COSHARE 10</v>
      </c>
      <c r="H8208" s="2">
        <v>293.85000000000002</v>
      </c>
      <c r="I8208" t="str">
        <f>"HANITA BINTI TASJID"</f>
        <v>HANITA BINTI TASJID</v>
      </c>
      <c r="J8208" t="str">
        <f t="shared" si="3336"/>
        <v>BANK KERJASAMA RAKYAT</v>
      </c>
      <c r="K8208" t="str">
        <f>"220891108132"</f>
        <v>220891108132</v>
      </c>
      <c r="L8208" t="str">
        <f t="shared" si="3357"/>
        <v>04-08-2020</v>
      </c>
      <c r="M8208" t="str">
        <f t="shared" si="3357"/>
        <v>04-08-2020</v>
      </c>
      <c r="N8208" t="str">
        <f t="shared" si="3348"/>
        <v>001105018356</v>
      </c>
      <c r="O8208" t="str">
        <f t="shared" si="3349"/>
        <v>MYR</v>
      </c>
      <c r="P8208" t="str">
        <f t="shared" si="3358"/>
        <v>NIL</v>
      </c>
      <c r="Q8208" t="str">
        <f t="shared" si="3358"/>
        <v>NIL</v>
      </c>
      <c r="R8208" t="str">
        <f t="shared" si="3337"/>
        <v>Accepted</v>
      </c>
      <c r="S8208" t="str">
        <f t="shared" si="3350"/>
        <v>Approved</v>
      </c>
      <c r="T8208" t="str">
        <f t="shared" si="3338"/>
        <v>10.20.8.188</v>
      </c>
      <c r="U8208" t="str">
        <f t="shared" si="3351"/>
        <v>AZRAD UMAR BIN SHAARI</v>
      </c>
      <c r="V8208" t="str">
        <f t="shared" si="3352"/>
        <v>FARHANA BINTI MUSTAPA</v>
      </c>
      <c r="W8208" t="str">
        <f t="shared" si="3353"/>
        <v>04-08-2020</v>
      </c>
      <c r="X8208" t="str">
        <f t="shared" si="3354"/>
        <v>RAZIMAH ANSAR AHMAD</v>
      </c>
      <c r="Y8208" t="str">
        <f t="shared" si="3355"/>
        <v>04-08-2020</v>
      </c>
      <c r="Z8208" t="str">
        <f>"COS10200804 946"</f>
        <v>COS10200804 946</v>
      </c>
    </row>
    <row r="8209" spans="1:26" x14ac:dyDescent="0.25">
      <c r="A8209" t="str">
        <f t="shared" si="3341"/>
        <v>04-08-2020 12:31:21</v>
      </c>
      <c r="B8209" t="str">
        <f>"0000802688"</f>
        <v>0000802688</v>
      </c>
      <c r="C8209" t="str">
        <f t="shared" si="3342"/>
        <v>0000802543</v>
      </c>
      <c r="D8209" t="str">
        <f t="shared" si="3345"/>
        <v>73185</v>
      </c>
      <c r="E8209" t="str">
        <f t="shared" si="3346"/>
        <v>KFH-OPERATIONS DEPARTMENT</v>
      </c>
      <c r="F8209" t="str">
        <f t="shared" si="3347"/>
        <v>IBG</v>
      </c>
      <c r="G8209" t="str">
        <f t="shared" si="3356"/>
        <v>Refund COSHARE 10</v>
      </c>
      <c r="H8209" s="2">
        <v>410</v>
      </c>
      <c r="I8209" t="str">
        <f>"HAMZAH BIN HASFA"</f>
        <v>HAMZAH BIN HASFA</v>
      </c>
      <c r="J8209" t="str">
        <f t="shared" si="3336"/>
        <v>BANK KERJASAMA RAKYAT</v>
      </c>
      <c r="K8209" t="str">
        <f>"220815103021"</f>
        <v>220815103021</v>
      </c>
      <c r="L8209" t="str">
        <f t="shared" si="3357"/>
        <v>04-08-2020</v>
      </c>
      <c r="M8209" t="str">
        <f t="shared" si="3357"/>
        <v>04-08-2020</v>
      </c>
      <c r="N8209" t="str">
        <f t="shared" si="3348"/>
        <v>001105018356</v>
      </c>
      <c r="O8209" t="str">
        <f t="shared" si="3349"/>
        <v>MYR</v>
      </c>
      <c r="P8209" t="str">
        <f t="shared" si="3358"/>
        <v>NIL</v>
      </c>
      <c r="Q8209" t="str">
        <f t="shared" si="3358"/>
        <v>NIL</v>
      </c>
      <c r="R8209" t="str">
        <f t="shared" si="3337"/>
        <v>Accepted</v>
      </c>
      <c r="S8209" t="str">
        <f t="shared" si="3350"/>
        <v>Approved</v>
      </c>
      <c r="T8209" t="str">
        <f t="shared" si="3338"/>
        <v>10.20.8.188</v>
      </c>
      <c r="U8209" t="str">
        <f t="shared" si="3351"/>
        <v>AZRAD UMAR BIN SHAARI</v>
      </c>
      <c r="V8209" t="str">
        <f t="shared" si="3352"/>
        <v>FARHANA BINTI MUSTAPA</v>
      </c>
      <c r="W8209" t="str">
        <f t="shared" si="3353"/>
        <v>04-08-2020</v>
      </c>
      <c r="X8209" t="str">
        <f t="shared" si="3354"/>
        <v>RAZIMAH ANSAR AHMAD</v>
      </c>
      <c r="Y8209" t="str">
        <f t="shared" si="3355"/>
        <v>04-08-2020</v>
      </c>
      <c r="Z8209" t="str">
        <f>"COS10200804 945"</f>
        <v>COS10200804 945</v>
      </c>
    </row>
    <row r="8210" spans="1:26" x14ac:dyDescent="0.25">
      <c r="A8210" t="str">
        <f t="shared" si="3341"/>
        <v>04-08-2020 12:31:21</v>
      </c>
      <c r="B8210" t="str">
        <f>"0000802687"</f>
        <v>0000802687</v>
      </c>
      <c r="C8210" t="str">
        <f t="shared" si="3342"/>
        <v>0000802543</v>
      </c>
      <c r="D8210" t="str">
        <f t="shared" si="3345"/>
        <v>73185</v>
      </c>
      <c r="E8210" t="str">
        <f t="shared" si="3346"/>
        <v>KFH-OPERATIONS DEPARTMENT</v>
      </c>
      <c r="F8210" t="str">
        <f t="shared" si="3347"/>
        <v>IBG</v>
      </c>
      <c r="G8210" t="str">
        <f t="shared" si="3356"/>
        <v>Refund COSHARE 10</v>
      </c>
      <c r="H8210" s="2">
        <v>92.35</v>
      </c>
      <c r="I8210" t="str">
        <f>"HAMMOUDI BIN ISMAIL"</f>
        <v>HAMMOUDI BIN ISMAIL</v>
      </c>
      <c r="J8210" t="str">
        <f t="shared" si="3336"/>
        <v>BANK KERJASAMA RAKYAT</v>
      </c>
      <c r="K8210" t="str">
        <f>"220841122002"</f>
        <v>220841122002</v>
      </c>
      <c r="L8210" t="str">
        <f t="shared" si="3357"/>
        <v>04-08-2020</v>
      </c>
      <c r="M8210" t="str">
        <f t="shared" si="3357"/>
        <v>04-08-2020</v>
      </c>
      <c r="N8210" t="str">
        <f t="shared" si="3348"/>
        <v>001105018356</v>
      </c>
      <c r="O8210" t="str">
        <f t="shared" si="3349"/>
        <v>MYR</v>
      </c>
      <c r="P8210" t="str">
        <f t="shared" si="3358"/>
        <v>NIL</v>
      </c>
      <c r="Q8210" t="str">
        <f t="shared" si="3358"/>
        <v>NIL</v>
      </c>
      <c r="R8210" t="str">
        <f t="shared" si="3337"/>
        <v>Accepted</v>
      </c>
      <c r="S8210" t="str">
        <f t="shared" si="3350"/>
        <v>Approved</v>
      </c>
      <c r="T8210" t="str">
        <f t="shared" si="3338"/>
        <v>10.20.8.188</v>
      </c>
      <c r="U8210" t="str">
        <f t="shared" si="3351"/>
        <v>AZRAD UMAR BIN SHAARI</v>
      </c>
      <c r="V8210" t="str">
        <f t="shared" si="3352"/>
        <v>FARHANA BINTI MUSTAPA</v>
      </c>
      <c r="W8210" t="str">
        <f t="shared" si="3353"/>
        <v>04-08-2020</v>
      </c>
      <c r="X8210" t="str">
        <f t="shared" si="3354"/>
        <v>RAZIMAH ANSAR AHMAD</v>
      </c>
      <c r="Y8210" t="str">
        <f t="shared" si="3355"/>
        <v>04-08-2020</v>
      </c>
      <c r="Z8210" t="str">
        <f>"COS10200804 944"</f>
        <v>COS10200804 944</v>
      </c>
    </row>
    <row r="8211" spans="1:26" x14ac:dyDescent="0.25">
      <c r="A8211" t="str">
        <f t="shared" si="3341"/>
        <v>04-08-2020 12:31:21</v>
      </c>
      <c r="B8211" t="str">
        <f>"0000802686"</f>
        <v>0000802686</v>
      </c>
      <c r="C8211" t="str">
        <f t="shared" si="3342"/>
        <v>0000802543</v>
      </c>
      <c r="D8211" t="str">
        <f t="shared" si="3345"/>
        <v>73185</v>
      </c>
      <c r="E8211" t="str">
        <f t="shared" si="3346"/>
        <v>KFH-OPERATIONS DEPARTMENT</v>
      </c>
      <c r="F8211" t="str">
        <f t="shared" si="3347"/>
        <v>IBG</v>
      </c>
      <c r="G8211" t="str">
        <f t="shared" si="3356"/>
        <v>Refund COSHARE 10</v>
      </c>
      <c r="H8211" s="2">
        <v>208</v>
      </c>
      <c r="I8211" t="str">
        <f>"HAMKA BIN SAHAT"</f>
        <v>HAMKA BIN SAHAT</v>
      </c>
      <c r="J8211" t="str">
        <f t="shared" si="3336"/>
        <v>BANK KERJASAMA RAKYAT</v>
      </c>
      <c r="K8211" t="str">
        <f>"220541110225"</f>
        <v>220541110225</v>
      </c>
      <c r="L8211" t="str">
        <f t="shared" si="3357"/>
        <v>04-08-2020</v>
      </c>
      <c r="M8211" t="str">
        <f t="shared" si="3357"/>
        <v>04-08-2020</v>
      </c>
      <c r="N8211" t="str">
        <f t="shared" si="3348"/>
        <v>001105018356</v>
      </c>
      <c r="O8211" t="str">
        <f t="shared" si="3349"/>
        <v>MYR</v>
      </c>
      <c r="P8211" t="str">
        <f t="shared" si="3358"/>
        <v>NIL</v>
      </c>
      <c r="Q8211" t="str">
        <f t="shared" si="3358"/>
        <v>NIL</v>
      </c>
      <c r="R8211" t="str">
        <f t="shared" si="3337"/>
        <v>Accepted</v>
      </c>
      <c r="S8211" t="str">
        <f t="shared" si="3350"/>
        <v>Approved</v>
      </c>
      <c r="T8211" t="str">
        <f t="shared" si="3338"/>
        <v>10.20.8.188</v>
      </c>
      <c r="U8211" t="str">
        <f t="shared" si="3351"/>
        <v>AZRAD UMAR BIN SHAARI</v>
      </c>
      <c r="V8211" t="str">
        <f t="shared" si="3352"/>
        <v>FARHANA BINTI MUSTAPA</v>
      </c>
      <c r="W8211" t="str">
        <f t="shared" si="3353"/>
        <v>04-08-2020</v>
      </c>
      <c r="X8211" t="str">
        <f t="shared" si="3354"/>
        <v>RAZIMAH ANSAR AHMAD</v>
      </c>
      <c r="Y8211" t="str">
        <f t="shared" si="3355"/>
        <v>04-08-2020</v>
      </c>
      <c r="Z8211" t="str">
        <f>"COS10200804 943"</f>
        <v>COS10200804 943</v>
      </c>
    </row>
    <row r="8212" spans="1:26" x14ac:dyDescent="0.25">
      <c r="A8212" t="str">
        <f t="shared" si="3341"/>
        <v>04-08-2020 12:31:21</v>
      </c>
      <c r="B8212" t="str">
        <f>"0000802685"</f>
        <v>0000802685</v>
      </c>
      <c r="C8212" t="str">
        <f t="shared" si="3342"/>
        <v>0000802543</v>
      </c>
      <c r="D8212" t="str">
        <f t="shared" si="3345"/>
        <v>73185</v>
      </c>
      <c r="E8212" t="str">
        <f t="shared" si="3346"/>
        <v>KFH-OPERATIONS DEPARTMENT</v>
      </c>
      <c r="F8212" t="str">
        <f t="shared" si="3347"/>
        <v>IBG</v>
      </c>
      <c r="G8212" t="str">
        <f t="shared" si="3356"/>
        <v>Refund COSHARE 10</v>
      </c>
      <c r="H8212" s="2">
        <v>481.8</v>
      </c>
      <c r="I8212" t="str">
        <f>"HAMIDAH BINTI DRAHMAN"</f>
        <v>HAMIDAH BINTI DRAHMAN</v>
      </c>
      <c r="J8212" t="str">
        <f t="shared" si="3336"/>
        <v>BANK KERJASAMA RAKYAT</v>
      </c>
      <c r="K8212" t="str">
        <f>"220541454991"</f>
        <v>220541454991</v>
      </c>
      <c r="L8212" t="str">
        <f t="shared" si="3357"/>
        <v>04-08-2020</v>
      </c>
      <c r="M8212" t="str">
        <f t="shared" si="3357"/>
        <v>04-08-2020</v>
      </c>
      <c r="N8212" t="str">
        <f t="shared" si="3348"/>
        <v>001105018356</v>
      </c>
      <c r="O8212" t="str">
        <f t="shared" si="3349"/>
        <v>MYR</v>
      </c>
      <c r="P8212" t="str">
        <f t="shared" si="3358"/>
        <v>NIL</v>
      </c>
      <c r="Q8212" t="str">
        <f t="shared" si="3358"/>
        <v>NIL</v>
      </c>
      <c r="R8212" t="str">
        <f t="shared" si="3337"/>
        <v>Accepted</v>
      </c>
      <c r="S8212" t="str">
        <f t="shared" si="3350"/>
        <v>Approved</v>
      </c>
      <c r="T8212" t="str">
        <f t="shared" si="3338"/>
        <v>10.20.8.188</v>
      </c>
      <c r="U8212" t="str">
        <f t="shared" si="3351"/>
        <v>AZRAD UMAR BIN SHAARI</v>
      </c>
      <c r="V8212" t="str">
        <f t="shared" si="3352"/>
        <v>FARHANA BINTI MUSTAPA</v>
      </c>
      <c r="W8212" t="str">
        <f t="shared" si="3353"/>
        <v>04-08-2020</v>
      </c>
      <c r="X8212" t="str">
        <f t="shared" si="3354"/>
        <v>RAZIMAH ANSAR AHMAD</v>
      </c>
      <c r="Y8212" t="str">
        <f t="shared" si="3355"/>
        <v>04-08-2020</v>
      </c>
      <c r="Z8212" t="str">
        <f>"COS10200804 942"</f>
        <v>COS10200804 942</v>
      </c>
    </row>
    <row r="8213" spans="1:26" x14ac:dyDescent="0.25">
      <c r="A8213" t="str">
        <f t="shared" si="3341"/>
        <v>04-08-2020 12:31:21</v>
      </c>
      <c r="B8213" t="str">
        <f>"0000802684"</f>
        <v>0000802684</v>
      </c>
      <c r="C8213" t="str">
        <f t="shared" si="3342"/>
        <v>0000802543</v>
      </c>
      <c r="D8213" t="str">
        <f t="shared" si="3345"/>
        <v>73185</v>
      </c>
      <c r="E8213" t="str">
        <f t="shared" si="3346"/>
        <v>KFH-OPERATIONS DEPARTMENT</v>
      </c>
      <c r="F8213" t="str">
        <f t="shared" si="3347"/>
        <v>IBG</v>
      </c>
      <c r="G8213" t="str">
        <f t="shared" si="3356"/>
        <v>Refund COSHARE 10</v>
      </c>
      <c r="H8213" s="2">
        <v>1527.9</v>
      </c>
      <c r="I8213" t="str">
        <f>"HALIMATON SA ADIAH BINTI MAHSON"</f>
        <v>HALIMATON SA ADIAH BINTI MAHSON</v>
      </c>
      <c r="J8213" t="str">
        <f t="shared" si="3336"/>
        <v>BANK KERJASAMA RAKYAT</v>
      </c>
      <c r="K8213" t="str">
        <f>"220151223099"</f>
        <v>220151223099</v>
      </c>
      <c r="L8213" t="str">
        <f t="shared" si="3357"/>
        <v>04-08-2020</v>
      </c>
      <c r="M8213" t="str">
        <f t="shared" si="3357"/>
        <v>04-08-2020</v>
      </c>
      <c r="N8213" t="str">
        <f t="shared" si="3348"/>
        <v>001105018356</v>
      </c>
      <c r="O8213" t="str">
        <f t="shared" si="3349"/>
        <v>MYR</v>
      </c>
      <c r="P8213" t="str">
        <f t="shared" si="3358"/>
        <v>NIL</v>
      </c>
      <c r="Q8213" t="str">
        <f t="shared" si="3358"/>
        <v>NIL</v>
      </c>
      <c r="R8213" t="str">
        <f t="shared" si="3337"/>
        <v>Accepted</v>
      </c>
      <c r="S8213" t="str">
        <f t="shared" si="3350"/>
        <v>Approved</v>
      </c>
      <c r="T8213" t="str">
        <f t="shared" si="3338"/>
        <v>10.20.8.188</v>
      </c>
      <c r="U8213" t="str">
        <f t="shared" si="3351"/>
        <v>AZRAD UMAR BIN SHAARI</v>
      </c>
      <c r="V8213" t="str">
        <f t="shared" si="3352"/>
        <v>FARHANA BINTI MUSTAPA</v>
      </c>
      <c r="W8213" t="str">
        <f t="shared" si="3353"/>
        <v>04-08-2020</v>
      </c>
      <c r="X8213" t="str">
        <f t="shared" si="3354"/>
        <v>RAZIMAH ANSAR AHMAD</v>
      </c>
      <c r="Y8213" t="str">
        <f t="shared" si="3355"/>
        <v>04-08-2020</v>
      </c>
      <c r="Z8213" t="str">
        <f>"COS10200804 941"</f>
        <v>COS10200804 941</v>
      </c>
    </row>
    <row r="8214" spans="1:26" x14ac:dyDescent="0.25">
      <c r="A8214" t="str">
        <f t="shared" si="3341"/>
        <v>04-08-2020 12:31:21</v>
      </c>
      <c r="B8214" t="str">
        <f>"0000802683"</f>
        <v>0000802683</v>
      </c>
      <c r="C8214" t="str">
        <f t="shared" si="3342"/>
        <v>0000802543</v>
      </c>
      <c r="D8214" t="str">
        <f t="shared" si="3345"/>
        <v>73185</v>
      </c>
      <c r="E8214" t="str">
        <f t="shared" si="3346"/>
        <v>KFH-OPERATIONS DEPARTMENT</v>
      </c>
      <c r="F8214" t="str">
        <f t="shared" si="3347"/>
        <v>IBG</v>
      </c>
      <c r="G8214" t="str">
        <f t="shared" si="3356"/>
        <v>Refund COSHARE 10</v>
      </c>
      <c r="H8214" s="2">
        <v>61.4</v>
      </c>
      <c r="I8214" t="str">
        <f>"HALIM BIN AMIRUDDIN"</f>
        <v>HALIM BIN AMIRUDDIN</v>
      </c>
      <c r="J8214" t="str">
        <f t="shared" si="3336"/>
        <v>BANK KERJASAMA RAKYAT</v>
      </c>
      <c r="K8214" t="str">
        <f>"220951002771"</f>
        <v>220951002771</v>
      </c>
      <c r="L8214" t="str">
        <f t="shared" si="3357"/>
        <v>04-08-2020</v>
      </c>
      <c r="M8214" t="str">
        <f t="shared" si="3357"/>
        <v>04-08-2020</v>
      </c>
      <c r="N8214" t="str">
        <f t="shared" si="3348"/>
        <v>001105018356</v>
      </c>
      <c r="O8214" t="str">
        <f t="shared" si="3349"/>
        <v>MYR</v>
      </c>
      <c r="P8214" t="str">
        <f t="shared" si="3358"/>
        <v>NIL</v>
      </c>
      <c r="Q8214" t="str">
        <f t="shared" si="3358"/>
        <v>NIL</v>
      </c>
      <c r="R8214" t="str">
        <f t="shared" si="3337"/>
        <v>Accepted</v>
      </c>
      <c r="S8214" t="str">
        <f t="shared" si="3350"/>
        <v>Approved</v>
      </c>
      <c r="T8214" t="str">
        <f t="shared" si="3338"/>
        <v>10.20.8.188</v>
      </c>
      <c r="U8214" t="str">
        <f t="shared" si="3351"/>
        <v>AZRAD UMAR BIN SHAARI</v>
      </c>
      <c r="V8214" t="str">
        <f t="shared" si="3352"/>
        <v>FARHANA BINTI MUSTAPA</v>
      </c>
      <c r="W8214" t="str">
        <f t="shared" si="3353"/>
        <v>04-08-2020</v>
      </c>
      <c r="X8214" t="str">
        <f t="shared" si="3354"/>
        <v>RAZIMAH ANSAR AHMAD</v>
      </c>
      <c r="Y8214" t="str">
        <f t="shared" si="3355"/>
        <v>04-08-2020</v>
      </c>
      <c r="Z8214" t="str">
        <f>"COS10200804 940"</f>
        <v>COS10200804 940</v>
      </c>
    </row>
    <row r="8215" spans="1:26" x14ac:dyDescent="0.25">
      <c r="A8215" t="str">
        <f t="shared" si="3341"/>
        <v>04-08-2020 12:31:21</v>
      </c>
      <c r="B8215" t="str">
        <f>"0000802682"</f>
        <v>0000802682</v>
      </c>
      <c r="C8215" t="str">
        <f t="shared" si="3342"/>
        <v>0000802543</v>
      </c>
      <c r="D8215" t="str">
        <f t="shared" si="3345"/>
        <v>73185</v>
      </c>
      <c r="E8215" t="str">
        <f t="shared" si="3346"/>
        <v>KFH-OPERATIONS DEPARTMENT</v>
      </c>
      <c r="F8215" t="str">
        <f t="shared" si="3347"/>
        <v>IBG</v>
      </c>
      <c r="G8215" t="str">
        <f t="shared" si="3356"/>
        <v>Refund COSHARE 10</v>
      </c>
      <c r="H8215" s="2">
        <v>957.05</v>
      </c>
      <c r="I8215" t="str">
        <f>"HAIRRON BIN SAMIH"</f>
        <v>HAIRRON BIN SAMIH</v>
      </c>
      <c r="J8215" t="str">
        <f t="shared" si="3336"/>
        <v>BANK KERJASAMA RAKYAT</v>
      </c>
      <c r="K8215" t="str">
        <f>"220921022968"</f>
        <v>220921022968</v>
      </c>
      <c r="L8215" t="str">
        <f t="shared" si="3357"/>
        <v>04-08-2020</v>
      </c>
      <c r="M8215" t="str">
        <f t="shared" si="3357"/>
        <v>04-08-2020</v>
      </c>
      <c r="N8215" t="str">
        <f t="shared" si="3348"/>
        <v>001105018356</v>
      </c>
      <c r="O8215" t="str">
        <f t="shared" si="3349"/>
        <v>MYR</v>
      </c>
      <c r="P8215" t="str">
        <f t="shared" si="3358"/>
        <v>NIL</v>
      </c>
      <c r="Q8215" t="str">
        <f t="shared" si="3358"/>
        <v>NIL</v>
      </c>
      <c r="R8215" t="str">
        <f t="shared" si="3337"/>
        <v>Accepted</v>
      </c>
      <c r="S8215" t="str">
        <f t="shared" si="3350"/>
        <v>Approved</v>
      </c>
      <c r="T8215" t="str">
        <f t="shared" si="3338"/>
        <v>10.20.8.188</v>
      </c>
      <c r="U8215" t="str">
        <f t="shared" si="3351"/>
        <v>AZRAD UMAR BIN SHAARI</v>
      </c>
      <c r="V8215" t="str">
        <f t="shared" si="3352"/>
        <v>FARHANA BINTI MUSTAPA</v>
      </c>
      <c r="W8215" t="str">
        <f t="shared" si="3353"/>
        <v>04-08-2020</v>
      </c>
      <c r="X8215" t="str">
        <f t="shared" si="3354"/>
        <v>RAZIMAH ANSAR AHMAD</v>
      </c>
      <c r="Y8215" t="str">
        <f t="shared" si="3355"/>
        <v>04-08-2020</v>
      </c>
      <c r="Z8215" t="str">
        <f>"COS10200804 939"</f>
        <v>COS10200804 939</v>
      </c>
    </row>
    <row r="8216" spans="1:26" x14ac:dyDescent="0.25">
      <c r="A8216" t="str">
        <f t="shared" si="3341"/>
        <v>04-08-2020 12:31:21</v>
      </c>
      <c r="B8216" t="str">
        <f>"0000802681"</f>
        <v>0000802681</v>
      </c>
      <c r="C8216" t="str">
        <f t="shared" si="3342"/>
        <v>0000802543</v>
      </c>
      <c r="D8216" t="str">
        <f t="shared" si="3345"/>
        <v>73185</v>
      </c>
      <c r="E8216" t="str">
        <f t="shared" si="3346"/>
        <v>KFH-OPERATIONS DEPARTMENT</v>
      </c>
      <c r="F8216" t="str">
        <f t="shared" si="3347"/>
        <v>IBG</v>
      </c>
      <c r="G8216" t="str">
        <f t="shared" si="3356"/>
        <v>Refund COSHARE 10</v>
      </c>
      <c r="H8216" s="2">
        <v>503.7</v>
      </c>
      <c r="I8216" t="str">
        <f>"HAFFIZA BINTI JAMIL"</f>
        <v>HAFFIZA BINTI JAMIL</v>
      </c>
      <c r="J8216" t="str">
        <f t="shared" si="3336"/>
        <v>BANK KERJASAMA RAKYAT</v>
      </c>
      <c r="K8216" t="str">
        <f>"220815118931"</f>
        <v>220815118931</v>
      </c>
      <c r="L8216" t="str">
        <f t="shared" si="3357"/>
        <v>04-08-2020</v>
      </c>
      <c r="M8216" t="str">
        <f t="shared" si="3357"/>
        <v>04-08-2020</v>
      </c>
      <c r="N8216" t="str">
        <f t="shared" si="3348"/>
        <v>001105018356</v>
      </c>
      <c r="O8216" t="str">
        <f t="shared" si="3349"/>
        <v>MYR</v>
      </c>
      <c r="P8216" t="str">
        <f t="shared" si="3358"/>
        <v>NIL</v>
      </c>
      <c r="Q8216" t="str">
        <f t="shared" si="3358"/>
        <v>NIL</v>
      </c>
      <c r="R8216" t="str">
        <f t="shared" si="3337"/>
        <v>Accepted</v>
      </c>
      <c r="S8216" t="str">
        <f t="shared" si="3350"/>
        <v>Approved</v>
      </c>
      <c r="T8216" t="str">
        <f t="shared" si="3338"/>
        <v>10.20.8.188</v>
      </c>
      <c r="U8216" t="str">
        <f t="shared" si="3351"/>
        <v>AZRAD UMAR BIN SHAARI</v>
      </c>
      <c r="V8216" t="str">
        <f t="shared" si="3352"/>
        <v>FARHANA BINTI MUSTAPA</v>
      </c>
      <c r="W8216" t="str">
        <f t="shared" si="3353"/>
        <v>04-08-2020</v>
      </c>
      <c r="X8216" t="str">
        <f t="shared" si="3354"/>
        <v>RAZIMAH ANSAR AHMAD</v>
      </c>
      <c r="Y8216" t="str">
        <f t="shared" si="3355"/>
        <v>04-08-2020</v>
      </c>
      <c r="Z8216" t="str">
        <f>"COS10200804 938"</f>
        <v>COS10200804 938</v>
      </c>
    </row>
    <row r="8217" spans="1:26" x14ac:dyDescent="0.25">
      <c r="A8217" t="str">
        <f t="shared" si="3341"/>
        <v>04-08-2020 12:31:21</v>
      </c>
      <c r="B8217" t="str">
        <f>"0000802680"</f>
        <v>0000802680</v>
      </c>
      <c r="C8217" t="str">
        <f t="shared" si="3342"/>
        <v>0000802543</v>
      </c>
      <c r="D8217" t="str">
        <f t="shared" si="3345"/>
        <v>73185</v>
      </c>
      <c r="E8217" t="str">
        <f t="shared" si="3346"/>
        <v>KFH-OPERATIONS DEPARTMENT</v>
      </c>
      <c r="F8217" t="str">
        <f t="shared" si="3347"/>
        <v>IBG</v>
      </c>
      <c r="G8217" t="str">
        <f t="shared" si="3356"/>
        <v>Refund COSHARE 10</v>
      </c>
      <c r="H8217" s="2">
        <v>772.35</v>
      </c>
      <c r="I8217" t="str">
        <f>"HAFEZ AZWAN BIN DARWIS"</f>
        <v>HAFEZ AZWAN BIN DARWIS</v>
      </c>
      <c r="J8217" t="str">
        <f t="shared" si="3336"/>
        <v>BANK KERJASAMA RAKYAT</v>
      </c>
      <c r="K8217" t="str">
        <f>"220286138321"</f>
        <v>220286138321</v>
      </c>
      <c r="L8217" t="str">
        <f t="shared" si="3357"/>
        <v>04-08-2020</v>
      </c>
      <c r="M8217" t="str">
        <f t="shared" si="3357"/>
        <v>04-08-2020</v>
      </c>
      <c r="N8217" t="str">
        <f t="shared" si="3348"/>
        <v>001105018356</v>
      </c>
      <c r="O8217" t="str">
        <f t="shared" si="3349"/>
        <v>MYR</v>
      </c>
      <c r="P8217" t="str">
        <f t="shared" si="3358"/>
        <v>NIL</v>
      </c>
      <c r="Q8217" t="str">
        <f t="shared" si="3358"/>
        <v>NIL</v>
      </c>
      <c r="R8217" t="str">
        <f t="shared" si="3337"/>
        <v>Accepted</v>
      </c>
      <c r="S8217" t="str">
        <f t="shared" si="3350"/>
        <v>Approved</v>
      </c>
      <c r="T8217" t="str">
        <f t="shared" si="3338"/>
        <v>10.20.8.188</v>
      </c>
      <c r="U8217" t="str">
        <f t="shared" si="3351"/>
        <v>AZRAD UMAR BIN SHAARI</v>
      </c>
      <c r="V8217" t="str">
        <f t="shared" si="3352"/>
        <v>FARHANA BINTI MUSTAPA</v>
      </c>
      <c r="W8217" t="str">
        <f t="shared" si="3353"/>
        <v>04-08-2020</v>
      </c>
      <c r="X8217" t="str">
        <f t="shared" si="3354"/>
        <v>RAZIMAH ANSAR AHMAD</v>
      </c>
      <c r="Y8217" t="str">
        <f t="shared" si="3355"/>
        <v>04-08-2020</v>
      </c>
      <c r="Z8217" t="str">
        <f>"COS10200804 937"</f>
        <v>COS10200804 937</v>
      </c>
    </row>
    <row r="8218" spans="1:26" x14ac:dyDescent="0.25">
      <c r="A8218" t="str">
        <f t="shared" ref="A8218:A8249" si="3359">"04-08-2020 12:31:21"</f>
        <v>04-08-2020 12:31:21</v>
      </c>
      <c r="B8218" t="str">
        <f>"0000802679"</f>
        <v>0000802679</v>
      </c>
      <c r="C8218" t="str">
        <f t="shared" ref="C8218:C8249" si="3360">"0000802543"</f>
        <v>0000802543</v>
      </c>
      <c r="D8218" t="str">
        <f t="shared" si="3345"/>
        <v>73185</v>
      </c>
      <c r="E8218" t="str">
        <f t="shared" si="3346"/>
        <v>KFH-OPERATIONS DEPARTMENT</v>
      </c>
      <c r="F8218" t="str">
        <f t="shared" si="3347"/>
        <v>IBG</v>
      </c>
      <c r="G8218" t="str">
        <f t="shared" si="3356"/>
        <v>Refund COSHARE 10</v>
      </c>
      <c r="H8218" s="2">
        <v>206.3</v>
      </c>
      <c r="I8218" t="str">
        <f>"HABIBAH BINTI IMMUN"</f>
        <v>HABIBAH BINTI IMMUN</v>
      </c>
      <c r="J8218" t="str">
        <f t="shared" si="3336"/>
        <v>BANK KERJASAMA RAKYAT</v>
      </c>
      <c r="K8218" t="str">
        <f>"221171026704"</f>
        <v>221171026704</v>
      </c>
      <c r="L8218" t="str">
        <f t="shared" si="3357"/>
        <v>04-08-2020</v>
      </c>
      <c r="M8218" t="str">
        <f t="shared" si="3357"/>
        <v>04-08-2020</v>
      </c>
      <c r="N8218" t="str">
        <f t="shared" si="3348"/>
        <v>001105018356</v>
      </c>
      <c r="O8218" t="str">
        <f t="shared" si="3349"/>
        <v>MYR</v>
      </c>
      <c r="P8218" t="str">
        <f t="shared" si="3358"/>
        <v>NIL</v>
      </c>
      <c r="Q8218" t="str">
        <f t="shared" si="3358"/>
        <v>NIL</v>
      </c>
      <c r="R8218" t="str">
        <f t="shared" si="3337"/>
        <v>Accepted</v>
      </c>
      <c r="S8218" t="str">
        <f t="shared" si="3350"/>
        <v>Approved</v>
      </c>
      <c r="T8218" t="str">
        <f t="shared" si="3338"/>
        <v>10.20.8.188</v>
      </c>
      <c r="U8218" t="str">
        <f t="shared" si="3351"/>
        <v>AZRAD UMAR BIN SHAARI</v>
      </c>
      <c r="V8218" t="str">
        <f t="shared" si="3352"/>
        <v>FARHANA BINTI MUSTAPA</v>
      </c>
      <c r="W8218" t="str">
        <f t="shared" si="3353"/>
        <v>04-08-2020</v>
      </c>
      <c r="X8218" t="str">
        <f t="shared" si="3354"/>
        <v>RAZIMAH ANSAR AHMAD</v>
      </c>
      <c r="Y8218" t="str">
        <f t="shared" si="3355"/>
        <v>04-08-2020</v>
      </c>
      <c r="Z8218" t="str">
        <f>"COS10200804 936"</f>
        <v>COS10200804 936</v>
      </c>
    </row>
    <row r="8219" spans="1:26" x14ac:dyDescent="0.25">
      <c r="A8219" t="str">
        <f t="shared" si="3359"/>
        <v>04-08-2020 12:31:21</v>
      </c>
      <c r="B8219" t="str">
        <f>"0000802678"</f>
        <v>0000802678</v>
      </c>
      <c r="C8219" t="str">
        <f t="shared" si="3360"/>
        <v>0000802543</v>
      </c>
      <c r="D8219" t="str">
        <f t="shared" si="3345"/>
        <v>73185</v>
      </c>
      <c r="E8219" t="str">
        <f t="shared" si="3346"/>
        <v>KFH-OPERATIONS DEPARTMENT</v>
      </c>
      <c r="F8219" t="str">
        <f t="shared" si="3347"/>
        <v>IBG</v>
      </c>
      <c r="G8219" t="str">
        <f t="shared" si="3356"/>
        <v>Refund COSHARE 10</v>
      </c>
      <c r="H8219" s="2">
        <v>687.65</v>
      </c>
      <c r="I8219" t="str">
        <f>"FRANKIE ANAK ALBERT ANTAU"</f>
        <v>FRANKIE ANAK ALBERT ANTAU</v>
      </c>
      <c r="J8219" t="str">
        <f t="shared" si="3336"/>
        <v>BANK KERJASAMA RAKYAT</v>
      </c>
      <c r="K8219" t="str">
        <f>"220551489442"</f>
        <v>220551489442</v>
      </c>
      <c r="L8219" t="str">
        <f t="shared" si="3357"/>
        <v>04-08-2020</v>
      </c>
      <c r="M8219" t="str">
        <f t="shared" si="3357"/>
        <v>04-08-2020</v>
      </c>
      <c r="N8219" t="str">
        <f t="shared" si="3348"/>
        <v>001105018356</v>
      </c>
      <c r="O8219" t="str">
        <f t="shared" si="3349"/>
        <v>MYR</v>
      </c>
      <c r="P8219" t="str">
        <f t="shared" si="3358"/>
        <v>NIL</v>
      </c>
      <c r="Q8219" t="str">
        <f t="shared" si="3358"/>
        <v>NIL</v>
      </c>
      <c r="R8219" t="str">
        <f t="shared" si="3337"/>
        <v>Accepted</v>
      </c>
      <c r="S8219" t="str">
        <f t="shared" si="3350"/>
        <v>Approved</v>
      </c>
      <c r="T8219" t="str">
        <f t="shared" si="3338"/>
        <v>10.20.8.188</v>
      </c>
      <c r="U8219" t="str">
        <f t="shared" si="3351"/>
        <v>AZRAD UMAR BIN SHAARI</v>
      </c>
      <c r="V8219" t="str">
        <f t="shared" si="3352"/>
        <v>FARHANA BINTI MUSTAPA</v>
      </c>
      <c r="W8219" t="str">
        <f t="shared" si="3353"/>
        <v>04-08-2020</v>
      </c>
      <c r="X8219" t="str">
        <f t="shared" si="3354"/>
        <v>RAZIMAH ANSAR AHMAD</v>
      </c>
      <c r="Y8219" t="str">
        <f t="shared" si="3355"/>
        <v>04-08-2020</v>
      </c>
      <c r="Z8219" t="str">
        <f>"COS10200804 935"</f>
        <v>COS10200804 935</v>
      </c>
    </row>
    <row r="8220" spans="1:26" x14ac:dyDescent="0.25">
      <c r="A8220" t="str">
        <f t="shared" si="3359"/>
        <v>04-08-2020 12:31:21</v>
      </c>
      <c r="B8220" t="str">
        <f>"0000802677"</f>
        <v>0000802677</v>
      </c>
      <c r="C8220" t="str">
        <f t="shared" si="3360"/>
        <v>0000802543</v>
      </c>
      <c r="D8220" t="str">
        <f t="shared" si="3345"/>
        <v>73185</v>
      </c>
      <c r="E8220" t="str">
        <f t="shared" si="3346"/>
        <v>KFH-OPERATIONS DEPARTMENT</v>
      </c>
      <c r="F8220" t="str">
        <f t="shared" si="3347"/>
        <v>IBG</v>
      </c>
      <c r="G8220" t="str">
        <f t="shared" si="3356"/>
        <v>Refund COSHARE 10</v>
      </c>
      <c r="H8220" s="2">
        <v>738.7</v>
      </c>
      <c r="I8220" t="str">
        <f>"FLORENCE YONG  TINA"</f>
        <v>FLORENCE YONG  TINA</v>
      </c>
      <c r="J8220" t="str">
        <f t="shared" si="3336"/>
        <v>BANK KERJASAMA RAKYAT</v>
      </c>
      <c r="K8220" t="str">
        <f>"220531312040"</f>
        <v>220531312040</v>
      </c>
      <c r="L8220" t="str">
        <f t="shared" si="3357"/>
        <v>04-08-2020</v>
      </c>
      <c r="M8220" t="str">
        <f t="shared" si="3357"/>
        <v>04-08-2020</v>
      </c>
      <c r="N8220" t="str">
        <f t="shared" si="3348"/>
        <v>001105018356</v>
      </c>
      <c r="O8220" t="str">
        <f t="shared" si="3349"/>
        <v>MYR</v>
      </c>
      <c r="P8220" t="str">
        <f t="shared" si="3358"/>
        <v>NIL</v>
      </c>
      <c r="Q8220" t="str">
        <f t="shared" si="3358"/>
        <v>NIL</v>
      </c>
      <c r="R8220" t="str">
        <f t="shared" si="3337"/>
        <v>Accepted</v>
      </c>
      <c r="S8220" t="str">
        <f t="shared" si="3350"/>
        <v>Approved</v>
      </c>
      <c r="T8220" t="str">
        <f t="shared" si="3338"/>
        <v>10.20.8.188</v>
      </c>
      <c r="U8220" t="str">
        <f t="shared" si="3351"/>
        <v>AZRAD UMAR BIN SHAARI</v>
      </c>
      <c r="V8220" t="str">
        <f t="shared" si="3352"/>
        <v>FARHANA BINTI MUSTAPA</v>
      </c>
      <c r="W8220" t="str">
        <f t="shared" si="3353"/>
        <v>04-08-2020</v>
      </c>
      <c r="X8220" t="str">
        <f t="shared" si="3354"/>
        <v>RAZIMAH ANSAR AHMAD</v>
      </c>
      <c r="Y8220" t="str">
        <f t="shared" si="3355"/>
        <v>04-08-2020</v>
      </c>
      <c r="Z8220" t="str">
        <f>"COS10200804 934"</f>
        <v>COS10200804 934</v>
      </c>
    </row>
    <row r="8221" spans="1:26" x14ac:dyDescent="0.25">
      <c r="A8221" t="str">
        <f t="shared" si="3359"/>
        <v>04-08-2020 12:31:21</v>
      </c>
      <c r="B8221" t="str">
        <f>"0000802676"</f>
        <v>0000802676</v>
      </c>
      <c r="C8221" t="str">
        <f t="shared" si="3360"/>
        <v>0000802543</v>
      </c>
      <c r="D8221" t="str">
        <f t="shared" si="3345"/>
        <v>73185</v>
      </c>
      <c r="E8221" t="str">
        <f t="shared" si="3346"/>
        <v>KFH-OPERATIONS DEPARTMENT</v>
      </c>
      <c r="F8221" t="str">
        <f t="shared" si="3347"/>
        <v>IBG</v>
      </c>
      <c r="G8221" t="str">
        <f t="shared" si="3356"/>
        <v>Refund COSHARE 10</v>
      </c>
      <c r="H8221" s="2">
        <v>1259.25</v>
      </c>
      <c r="I8221" t="str">
        <f>"FAZILA BINTI LOKMAN"</f>
        <v>FAZILA BINTI LOKMAN</v>
      </c>
      <c r="J8221" t="str">
        <f t="shared" si="3336"/>
        <v>BANK KERJASAMA RAKYAT</v>
      </c>
      <c r="K8221" t="str">
        <f>"221001091444"</f>
        <v>221001091444</v>
      </c>
      <c r="L8221" t="str">
        <f t="shared" si="3357"/>
        <v>04-08-2020</v>
      </c>
      <c r="M8221" t="str">
        <f t="shared" si="3357"/>
        <v>04-08-2020</v>
      </c>
      <c r="N8221" t="str">
        <f t="shared" si="3348"/>
        <v>001105018356</v>
      </c>
      <c r="O8221" t="str">
        <f t="shared" si="3349"/>
        <v>MYR</v>
      </c>
      <c r="P8221" t="str">
        <f t="shared" si="3358"/>
        <v>NIL</v>
      </c>
      <c r="Q8221" t="str">
        <f t="shared" si="3358"/>
        <v>NIL</v>
      </c>
      <c r="R8221" t="str">
        <f t="shared" si="3337"/>
        <v>Accepted</v>
      </c>
      <c r="S8221" t="str">
        <f t="shared" si="3350"/>
        <v>Approved</v>
      </c>
      <c r="T8221" t="str">
        <f t="shared" si="3338"/>
        <v>10.20.8.188</v>
      </c>
      <c r="U8221" t="str">
        <f t="shared" si="3351"/>
        <v>AZRAD UMAR BIN SHAARI</v>
      </c>
      <c r="V8221" t="str">
        <f t="shared" si="3352"/>
        <v>FARHANA BINTI MUSTAPA</v>
      </c>
      <c r="W8221" t="str">
        <f t="shared" si="3353"/>
        <v>04-08-2020</v>
      </c>
      <c r="X8221" t="str">
        <f t="shared" si="3354"/>
        <v>RAZIMAH ANSAR AHMAD</v>
      </c>
      <c r="Y8221" t="str">
        <f t="shared" si="3355"/>
        <v>04-08-2020</v>
      </c>
      <c r="Z8221" t="str">
        <f>"COS10200804 933"</f>
        <v>COS10200804 933</v>
      </c>
    </row>
    <row r="8222" spans="1:26" x14ac:dyDescent="0.25">
      <c r="A8222" t="str">
        <f t="shared" si="3359"/>
        <v>04-08-2020 12:31:21</v>
      </c>
      <c r="B8222" t="str">
        <f>"0000802675"</f>
        <v>0000802675</v>
      </c>
      <c r="C8222" t="str">
        <f t="shared" si="3360"/>
        <v>0000802543</v>
      </c>
      <c r="D8222" t="str">
        <f t="shared" si="3345"/>
        <v>73185</v>
      </c>
      <c r="E8222" t="str">
        <f t="shared" si="3346"/>
        <v>KFH-OPERATIONS DEPARTMENT</v>
      </c>
      <c r="F8222" t="str">
        <f t="shared" si="3347"/>
        <v>IBG</v>
      </c>
      <c r="G8222" t="str">
        <f t="shared" si="3356"/>
        <v>Refund COSHARE 10</v>
      </c>
      <c r="H8222" s="2">
        <v>1259.25</v>
      </c>
      <c r="I8222" t="str">
        <f>"FAZILA BINTI LOKMAN"</f>
        <v>FAZILA BINTI LOKMAN</v>
      </c>
      <c r="J8222" t="str">
        <f t="shared" si="3336"/>
        <v>BANK KERJASAMA RAKYAT</v>
      </c>
      <c r="K8222" t="str">
        <f>"221001091444"</f>
        <v>221001091444</v>
      </c>
      <c r="L8222" t="str">
        <f t="shared" si="3357"/>
        <v>04-08-2020</v>
      </c>
      <c r="M8222" t="str">
        <f t="shared" si="3357"/>
        <v>04-08-2020</v>
      </c>
      <c r="N8222" t="str">
        <f t="shared" si="3348"/>
        <v>001105018356</v>
      </c>
      <c r="O8222" t="str">
        <f t="shared" si="3349"/>
        <v>MYR</v>
      </c>
      <c r="P8222" t="str">
        <f t="shared" si="3358"/>
        <v>NIL</v>
      </c>
      <c r="Q8222" t="str">
        <f t="shared" si="3358"/>
        <v>NIL</v>
      </c>
      <c r="R8222" t="str">
        <f t="shared" si="3337"/>
        <v>Accepted</v>
      </c>
      <c r="S8222" t="str">
        <f t="shared" si="3350"/>
        <v>Approved</v>
      </c>
      <c r="T8222" t="str">
        <f t="shared" si="3338"/>
        <v>10.20.8.188</v>
      </c>
      <c r="U8222" t="str">
        <f t="shared" si="3351"/>
        <v>AZRAD UMAR BIN SHAARI</v>
      </c>
      <c r="V8222" t="str">
        <f t="shared" si="3352"/>
        <v>FARHANA BINTI MUSTAPA</v>
      </c>
      <c r="W8222" t="str">
        <f t="shared" si="3353"/>
        <v>04-08-2020</v>
      </c>
      <c r="X8222" t="str">
        <f t="shared" si="3354"/>
        <v>RAZIMAH ANSAR AHMAD</v>
      </c>
      <c r="Y8222" t="str">
        <f t="shared" si="3355"/>
        <v>04-08-2020</v>
      </c>
      <c r="Z8222" t="str">
        <f>"COS10200804 932"</f>
        <v>COS10200804 932</v>
      </c>
    </row>
    <row r="8223" spans="1:26" x14ac:dyDescent="0.25">
      <c r="A8223" t="str">
        <f t="shared" si="3359"/>
        <v>04-08-2020 12:31:21</v>
      </c>
      <c r="B8223" t="str">
        <f>"0000802674"</f>
        <v>0000802674</v>
      </c>
      <c r="C8223" t="str">
        <f t="shared" si="3360"/>
        <v>0000802543</v>
      </c>
      <c r="D8223" t="str">
        <f t="shared" si="3345"/>
        <v>73185</v>
      </c>
      <c r="E8223" t="str">
        <f t="shared" si="3346"/>
        <v>KFH-OPERATIONS DEPARTMENT</v>
      </c>
      <c r="F8223" t="str">
        <f t="shared" si="3347"/>
        <v>IBG</v>
      </c>
      <c r="G8223" t="str">
        <f t="shared" si="3356"/>
        <v>Refund COSHARE 10</v>
      </c>
      <c r="H8223" s="2">
        <v>251.85</v>
      </c>
      <c r="I8223" t="str">
        <f>"FATIMAH BINTI LAI"</f>
        <v>FATIMAH BINTI LAI</v>
      </c>
      <c r="J8223" t="str">
        <f t="shared" si="3336"/>
        <v>BANK KERJASAMA RAKYAT</v>
      </c>
      <c r="K8223" t="str">
        <f>"221171026971"</f>
        <v>221171026971</v>
      </c>
      <c r="L8223" t="str">
        <f t="shared" si="3357"/>
        <v>04-08-2020</v>
      </c>
      <c r="M8223" t="str">
        <f t="shared" si="3357"/>
        <v>04-08-2020</v>
      </c>
      <c r="N8223" t="str">
        <f t="shared" si="3348"/>
        <v>001105018356</v>
      </c>
      <c r="O8223" t="str">
        <f t="shared" si="3349"/>
        <v>MYR</v>
      </c>
      <c r="P8223" t="str">
        <f t="shared" si="3358"/>
        <v>NIL</v>
      </c>
      <c r="Q8223" t="str">
        <f t="shared" si="3358"/>
        <v>NIL</v>
      </c>
      <c r="R8223" t="str">
        <f t="shared" si="3337"/>
        <v>Accepted</v>
      </c>
      <c r="S8223" t="str">
        <f t="shared" si="3350"/>
        <v>Approved</v>
      </c>
      <c r="T8223" t="str">
        <f t="shared" si="3338"/>
        <v>10.20.8.188</v>
      </c>
      <c r="U8223" t="str">
        <f t="shared" si="3351"/>
        <v>AZRAD UMAR BIN SHAARI</v>
      </c>
      <c r="V8223" t="str">
        <f t="shared" si="3352"/>
        <v>FARHANA BINTI MUSTAPA</v>
      </c>
      <c r="W8223" t="str">
        <f t="shared" si="3353"/>
        <v>04-08-2020</v>
      </c>
      <c r="X8223" t="str">
        <f t="shared" si="3354"/>
        <v>RAZIMAH ANSAR AHMAD</v>
      </c>
      <c r="Y8223" t="str">
        <f t="shared" si="3355"/>
        <v>04-08-2020</v>
      </c>
      <c r="Z8223" t="str">
        <f>"COS10200804 931"</f>
        <v>COS10200804 931</v>
      </c>
    </row>
    <row r="8224" spans="1:26" x14ac:dyDescent="0.25">
      <c r="A8224" t="str">
        <f t="shared" si="3359"/>
        <v>04-08-2020 12:31:21</v>
      </c>
      <c r="B8224" t="str">
        <f>"0000802673"</f>
        <v>0000802673</v>
      </c>
      <c r="C8224" t="str">
        <f t="shared" si="3360"/>
        <v>0000802543</v>
      </c>
      <c r="D8224" t="str">
        <f t="shared" si="3345"/>
        <v>73185</v>
      </c>
      <c r="E8224" t="str">
        <f t="shared" si="3346"/>
        <v>KFH-OPERATIONS DEPARTMENT</v>
      </c>
      <c r="F8224" t="str">
        <f t="shared" si="3347"/>
        <v>IBG</v>
      </c>
      <c r="G8224" t="str">
        <f t="shared" si="3356"/>
        <v>Refund COSHARE 10</v>
      </c>
      <c r="H8224" s="2">
        <v>839.5</v>
      </c>
      <c r="I8224" t="str">
        <f>"FATIMAH BINTI ABDULLAH"</f>
        <v>FATIMAH BINTI ABDULLAH</v>
      </c>
      <c r="J8224" t="str">
        <f t="shared" si="3336"/>
        <v>BANK KERJASAMA RAKYAT</v>
      </c>
      <c r="K8224" t="str">
        <f>"220286403213"</f>
        <v>220286403213</v>
      </c>
      <c r="L8224" t="str">
        <f t="shared" si="3357"/>
        <v>04-08-2020</v>
      </c>
      <c r="M8224" t="str">
        <f t="shared" si="3357"/>
        <v>04-08-2020</v>
      </c>
      <c r="N8224" t="str">
        <f t="shared" si="3348"/>
        <v>001105018356</v>
      </c>
      <c r="O8224" t="str">
        <f t="shared" si="3349"/>
        <v>MYR</v>
      </c>
      <c r="P8224" t="str">
        <f t="shared" si="3358"/>
        <v>NIL</v>
      </c>
      <c r="Q8224" t="str">
        <f t="shared" si="3358"/>
        <v>NIL</v>
      </c>
      <c r="R8224" t="str">
        <f t="shared" si="3337"/>
        <v>Accepted</v>
      </c>
      <c r="S8224" t="str">
        <f t="shared" si="3350"/>
        <v>Approved</v>
      </c>
      <c r="T8224" t="str">
        <f t="shared" si="3338"/>
        <v>10.20.8.188</v>
      </c>
      <c r="U8224" t="str">
        <f t="shared" si="3351"/>
        <v>AZRAD UMAR BIN SHAARI</v>
      </c>
      <c r="V8224" t="str">
        <f t="shared" si="3352"/>
        <v>FARHANA BINTI MUSTAPA</v>
      </c>
      <c r="W8224" t="str">
        <f t="shared" si="3353"/>
        <v>04-08-2020</v>
      </c>
      <c r="X8224" t="str">
        <f t="shared" si="3354"/>
        <v>RAZIMAH ANSAR AHMAD</v>
      </c>
      <c r="Y8224" t="str">
        <f t="shared" si="3355"/>
        <v>04-08-2020</v>
      </c>
      <c r="Z8224" t="str">
        <f>"COS10200804 930"</f>
        <v>COS10200804 930</v>
      </c>
    </row>
    <row r="8225" spans="1:26" x14ac:dyDescent="0.25">
      <c r="A8225" t="str">
        <f t="shared" si="3359"/>
        <v>04-08-2020 12:31:21</v>
      </c>
      <c r="B8225" t="str">
        <f>"0000802672"</f>
        <v>0000802672</v>
      </c>
      <c r="C8225" t="str">
        <f t="shared" si="3360"/>
        <v>0000802543</v>
      </c>
      <c r="D8225" t="str">
        <f t="shared" si="3345"/>
        <v>73185</v>
      </c>
      <c r="E8225" t="str">
        <f t="shared" si="3346"/>
        <v>KFH-OPERATIONS DEPARTMENT</v>
      </c>
      <c r="F8225" t="str">
        <f t="shared" si="3347"/>
        <v>IBG</v>
      </c>
      <c r="G8225" t="str">
        <f t="shared" si="3356"/>
        <v>Refund COSHARE 10</v>
      </c>
      <c r="H8225" s="2">
        <v>251.85</v>
      </c>
      <c r="I8225" t="str">
        <f>"FARIZAN BINTI PUTEH"</f>
        <v>FARIZAN BINTI PUTEH</v>
      </c>
      <c r="J8225" t="str">
        <f t="shared" si="3336"/>
        <v>BANK KERJASAMA RAKYAT</v>
      </c>
      <c r="K8225" t="str">
        <f>"220121466041"</f>
        <v>220121466041</v>
      </c>
      <c r="L8225" t="str">
        <f t="shared" si="3357"/>
        <v>04-08-2020</v>
      </c>
      <c r="M8225" t="str">
        <f t="shared" si="3357"/>
        <v>04-08-2020</v>
      </c>
      <c r="N8225" t="str">
        <f t="shared" si="3348"/>
        <v>001105018356</v>
      </c>
      <c r="O8225" t="str">
        <f t="shared" si="3349"/>
        <v>MYR</v>
      </c>
      <c r="P8225" t="str">
        <f t="shared" si="3358"/>
        <v>NIL</v>
      </c>
      <c r="Q8225" t="str">
        <f t="shared" si="3358"/>
        <v>NIL</v>
      </c>
      <c r="R8225" t="str">
        <f t="shared" si="3337"/>
        <v>Accepted</v>
      </c>
      <c r="S8225" t="str">
        <f t="shared" si="3350"/>
        <v>Approved</v>
      </c>
      <c r="T8225" t="str">
        <f t="shared" si="3338"/>
        <v>10.20.8.188</v>
      </c>
      <c r="U8225" t="str">
        <f t="shared" si="3351"/>
        <v>AZRAD UMAR BIN SHAARI</v>
      </c>
      <c r="V8225" t="str">
        <f t="shared" si="3352"/>
        <v>FARHANA BINTI MUSTAPA</v>
      </c>
      <c r="W8225" t="str">
        <f t="shared" si="3353"/>
        <v>04-08-2020</v>
      </c>
      <c r="X8225" t="str">
        <f t="shared" si="3354"/>
        <v>RAZIMAH ANSAR AHMAD</v>
      </c>
      <c r="Y8225" t="str">
        <f t="shared" si="3355"/>
        <v>04-08-2020</v>
      </c>
      <c r="Z8225" t="str">
        <f>"COS10200804 929"</f>
        <v>COS10200804 929</v>
      </c>
    </row>
    <row r="8226" spans="1:26" x14ac:dyDescent="0.25">
      <c r="A8226" t="str">
        <f t="shared" si="3359"/>
        <v>04-08-2020 12:31:21</v>
      </c>
      <c r="B8226" t="str">
        <f>"0000802671"</f>
        <v>0000802671</v>
      </c>
      <c r="C8226" t="str">
        <f t="shared" si="3360"/>
        <v>0000802543</v>
      </c>
      <c r="D8226" t="str">
        <f t="shared" si="3345"/>
        <v>73185</v>
      </c>
      <c r="E8226" t="str">
        <f t="shared" si="3346"/>
        <v>KFH-OPERATIONS DEPARTMENT</v>
      </c>
      <c r="F8226" t="str">
        <f t="shared" si="3347"/>
        <v>IBG</v>
      </c>
      <c r="G8226" t="str">
        <f t="shared" si="3356"/>
        <v>Refund COSHARE 10</v>
      </c>
      <c r="H8226" s="2">
        <v>873.1</v>
      </c>
      <c r="I8226" t="str">
        <f>"FAIZAL BIN AHMAD"</f>
        <v>FAIZAL BIN AHMAD</v>
      </c>
      <c r="J8226" t="str">
        <f t="shared" ref="J8226:J8289" si="3361">"BANK KERJASAMA RAKYAT"</f>
        <v>BANK KERJASAMA RAKYAT</v>
      </c>
      <c r="K8226" t="str">
        <f>"220301242841"</f>
        <v>220301242841</v>
      </c>
      <c r="L8226" t="str">
        <f t="shared" si="3357"/>
        <v>04-08-2020</v>
      </c>
      <c r="M8226" t="str">
        <f t="shared" si="3357"/>
        <v>04-08-2020</v>
      </c>
      <c r="N8226" t="str">
        <f t="shared" si="3348"/>
        <v>001105018356</v>
      </c>
      <c r="O8226" t="str">
        <f t="shared" si="3349"/>
        <v>MYR</v>
      </c>
      <c r="P8226" t="str">
        <f t="shared" si="3358"/>
        <v>NIL</v>
      </c>
      <c r="Q8226" t="str">
        <f t="shared" si="3358"/>
        <v>NIL</v>
      </c>
      <c r="R8226" t="str">
        <f t="shared" ref="R8226:R8289" si="3362">"Accepted"</f>
        <v>Accepted</v>
      </c>
      <c r="S8226" t="str">
        <f t="shared" si="3350"/>
        <v>Approved</v>
      </c>
      <c r="T8226" t="str">
        <f t="shared" ref="T8226:T8289" si="3363">"10.20.8.188"</f>
        <v>10.20.8.188</v>
      </c>
      <c r="U8226" t="str">
        <f t="shared" si="3351"/>
        <v>AZRAD UMAR BIN SHAARI</v>
      </c>
      <c r="V8226" t="str">
        <f t="shared" si="3352"/>
        <v>FARHANA BINTI MUSTAPA</v>
      </c>
      <c r="W8226" t="str">
        <f t="shared" si="3353"/>
        <v>04-08-2020</v>
      </c>
      <c r="X8226" t="str">
        <f t="shared" si="3354"/>
        <v>RAZIMAH ANSAR AHMAD</v>
      </c>
      <c r="Y8226" t="str">
        <f t="shared" si="3355"/>
        <v>04-08-2020</v>
      </c>
      <c r="Z8226" t="str">
        <f>"COS10200804 928"</f>
        <v>COS10200804 928</v>
      </c>
    </row>
    <row r="8227" spans="1:26" x14ac:dyDescent="0.25">
      <c r="A8227" t="str">
        <f t="shared" si="3359"/>
        <v>04-08-2020 12:31:21</v>
      </c>
      <c r="B8227" t="str">
        <f>"0000802670"</f>
        <v>0000802670</v>
      </c>
      <c r="C8227" t="str">
        <f t="shared" si="3360"/>
        <v>0000802543</v>
      </c>
      <c r="D8227" t="str">
        <f t="shared" si="3345"/>
        <v>73185</v>
      </c>
      <c r="E8227" t="str">
        <f t="shared" si="3346"/>
        <v>KFH-OPERATIONS DEPARTMENT</v>
      </c>
      <c r="F8227" t="str">
        <f t="shared" si="3347"/>
        <v>IBG</v>
      </c>
      <c r="G8227" t="str">
        <f t="shared" si="3356"/>
        <v>Refund COSHARE 10</v>
      </c>
      <c r="H8227" s="2">
        <v>67.2</v>
      </c>
      <c r="I8227" t="str">
        <f>"FADZELI BIN MORSIDI"</f>
        <v>FADZELI BIN MORSIDI</v>
      </c>
      <c r="J8227" t="str">
        <f t="shared" si="3361"/>
        <v>BANK KERJASAMA RAKYAT</v>
      </c>
      <c r="K8227" t="str">
        <f>"220841136770"</f>
        <v>220841136770</v>
      </c>
      <c r="L8227" t="str">
        <f t="shared" ref="L8227:M8246" si="3364">"04-08-2020"</f>
        <v>04-08-2020</v>
      </c>
      <c r="M8227" t="str">
        <f t="shared" si="3364"/>
        <v>04-08-2020</v>
      </c>
      <c r="N8227" t="str">
        <f t="shared" si="3348"/>
        <v>001105018356</v>
      </c>
      <c r="O8227" t="str">
        <f t="shared" si="3349"/>
        <v>MYR</v>
      </c>
      <c r="P8227" t="str">
        <f t="shared" ref="P8227:Q8246" si="3365">"NIL"</f>
        <v>NIL</v>
      </c>
      <c r="Q8227" t="str">
        <f t="shared" si="3365"/>
        <v>NIL</v>
      </c>
      <c r="R8227" t="str">
        <f t="shared" si="3362"/>
        <v>Accepted</v>
      </c>
      <c r="S8227" t="str">
        <f t="shared" si="3350"/>
        <v>Approved</v>
      </c>
      <c r="T8227" t="str">
        <f t="shared" si="3363"/>
        <v>10.20.8.188</v>
      </c>
      <c r="U8227" t="str">
        <f t="shared" si="3351"/>
        <v>AZRAD UMAR BIN SHAARI</v>
      </c>
      <c r="V8227" t="str">
        <f t="shared" si="3352"/>
        <v>FARHANA BINTI MUSTAPA</v>
      </c>
      <c r="W8227" t="str">
        <f t="shared" si="3353"/>
        <v>04-08-2020</v>
      </c>
      <c r="X8227" t="str">
        <f t="shared" si="3354"/>
        <v>RAZIMAH ANSAR AHMAD</v>
      </c>
      <c r="Y8227" t="str">
        <f t="shared" si="3355"/>
        <v>04-08-2020</v>
      </c>
      <c r="Z8227" t="str">
        <f>"COS10200804 927"</f>
        <v>COS10200804 927</v>
      </c>
    </row>
    <row r="8228" spans="1:26" x14ac:dyDescent="0.25">
      <c r="A8228" t="str">
        <f t="shared" si="3359"/>
        <v>04-08-2020 12:31:21</v>
      </c>
      <c r="B8228" t="str">
        <f>"0000802669"</f>
        <v>0000802669</v>
      </c>
      <c r="C8228" t="str">
        <f t="shared" si="3360"/>
        <v>0000802543</v>
      </c>
      <c r="D8228" t="str">
        <f t="shared" si="3345"/>
        <v>73185</v>
      </c>
      <c r="E8228" t="str">
        <f t="shared" si="3346"/>
        <v>KFH-OPERATIONS DEPARTMENT</v>
      </c>
      <c r="F8228" t="str">
        <f t="shared" si="3347"/>
        <v>IBG</v>
      </c>
      <c r="G8228" t="str">
        <f t="shared" si="3356"/>
        <v>Refund COSHARE 10</v>
      </c>
      <c r="H8228" s="2">
        <v>705.2</v>
      </c>
      <c r="I8228" t="str">
        <f>"EZALEENA BINTI MOHD SAZALI"</f>
        <v>EZALEENA BINTI MOHD SAZALI</v>
      </c>
      <c r="J8228" t="str">
        <f t="shared" si="3361"/>
        <v>BANK KERJASAMA RAKYAT</v>
      </c>
      <c r="K8228" t="str">
        <f>"220781236741"</f>
        <v>220781236741</v>
      </c>
      <c r="L8228" t="str">
        <f t="shared" si="3364"/>
        <v>04-08-2020</v>
      </c>
      <c r="M8228" t="str">
        <f t="shared" si="3364"/>
        <v>04-08-2020</v>
      </c>
      <c r="N8228" t="str">
        <f t="shared" si="3348"/>
        <v>001105018356</v>
      </c>
      <c r="O8228" t="str">
        <f t="shared" si="3349"/>
        <v>MYR</v>
      </c>
      <c r="P8228" t="str">
        <f t="shared" si="3365"/>
        <v>NIL</v>
      </c>
      <c r="Q8228" t="str">
        <f t="shared" si="3365"/>
        <v>NIL</v>
      </c>
      <c r="R8228" t="str">
        <f t="shared" si="3362"/>
        <v>Accepted</v>
      </c>
      <c r="S8228" t="str">
        <f t="shared" si="3350"/>
        <v>Approved</v>
      </c>
      <c r="T8228" t="str">
        <f t="shared" si="3363"/>
        <v>10.20.8.188</v>
      </c>
      <c r="U8228" t="str">
        <f t="shared" si="3351"/>
        <v>AZRAD UMAR BIN SHAARI</v>
      </c>
      <c r="V8228" t="str">
        <f t="shared" si="3352"/>
        <v>FARHANA BINTI MUSTAPA</v>
      </c>
      <c r="W8228" t="str">
        <f t="shared" si="3353"/>
        <v>04-08-2020</v>
      </c>
      <c r="X8228" t="str">
        <f t="shared" si="3354"/>
        <v>RAZIMAH ANSAR AHMAD</v>
      </c>
      <c r="Y8228" t="str">
        <f t="shared" si="3355"/>
        <v>04-08-2020</v>
      </c>
      <c r="Z8228" t="str">
        <f>"COS10200804 926"</f>
        <v>COS10200804 926</v>
      </c>
    </row>
    <row r="8229" spans="1:26" x14ac:dyDescent="0.25">
      <c r="A8229" t="str">
        <f t="shared" si="3359"/>
        <v>04-08-2020 12:31:21</v>
      </c>
      <c r="B8229" t="str">
        <f>"0000802668"</f>
        <v>0000802668</v>
      </c>
      <c r="C8229" t="str">
        <f t="shared" si="3360"/>
        <v>0000802543</v>
      </c>
      <c r="D8229" t="str">
        <f t="shared" si="3345"/>
        <v>73185</v>
      </c>
      <c r="E8229" t="str">
        <f t="shared" si="3346"/>
        <v>KFH-OPERATIONS DEPARTMENT</v>
      </c>
      <c r="F8229" t="str">
        <f t="shared" si="3347"/>
        <v>IBG</v>
      </c>
      <c r="G8229" t="str">
        <f t="shared" si="3356"/>
        <v>Refund COSHARE 10</v>
      </c>
      <c r="H8229" s="2">
        <v>83.95</v>
      </c>
      <c r="I8229" t="str">
        <f>"ELY KELVIN MATEN BANGKAHAK"</f>
        <v>ELY KELVIN MATEN BANGKAHAK</v>
      </c>
      <c r="J8229" t="str">
        <f t="shared" si="3361"/>
        <v>BANK KERJASAMA RAKYAT</v>
      </c>
      <c r="K8229" t="str">
        <f>"220743159496"</f>
        <v>220743159496</v>
      </c>
      <c r="L8229" t="str">
        <f t="shared" si="3364"/>
        <v>04-08-2020</v>
      </c>
      <c r="M8229" t="str">
        <f t="shared" si="3364"/>
        <v>04-08-2020</v>
      </c>
      <c r="N8229" t="str">
        <f t="shared" si="3348"/>
        <v>001105018356</v>
      </c>
      <c r="O8229" t="str">
        <f t="shared" si="3349"/>
        <v>MYR</v>
      </c>
      <c r="P8229" t="str">
        <f t="shared" si="3365"/>
        <v>NIL</v>
      </c>
      <c r="Q8229" t="str">
        <f t="shared" si="3365"/>
        <v>NIL</v>
      </c>
      <c r="R8229" t="str">
        <f t="shared" si="3362"/>
        <v>Accepted</v>
      </c>
      <c r="S8229" t="str">
        <f t="shared" si="3350"/>
        <v>Approved</v>
      </c>
      <c r="T8229" t="str">
        <f t="shared" si="3363"/>
        <v>10.20.8.188</v>
      </c>
      <c r="U8229" t="str">
        <f t="shared" si="3351"/>
        <v>AZRAD UMAR BIN SHAARI</v>
      </c>
      <c r="V8229" t="str">
        <f t="shared" si="3352"/>
        <v>FARHANA BINTI MUSTAPA</v>
      </c>
      <c r="W8229" t="str">
        <f t="shared" si="3353"/>
        <v>04-08-2020</v>
      </c>
      <c r="X8229" t="str">
        <f t="shared" si="3354"/>
        <v>RAZIMAH ANSAR AHMAD</v>
      </c>
      <c r="Y8229" t="str">
        <f t="shared" si="3355"/>
        <v>04-08-2020</v>
      </c>
      <c r="Z8229" t="str">
        <f>"COS10200804 925"</f>
        <v>COS10200804 925</v>
      </c>
    </row>
    <row r="8230" spans="1:26" x14ac:dyDescent="0.25">
      <c r="A8230" t="str">
        <f t="shared" si="3359"/>
        <v>04-08-2020 12:31:21</v>
      </c>
      <c r="B8230" t="str">
        <f>"0000802667"</f>
        <v>0000802667</v>
      </c>
      <c r="C8230" t="str">
        <f t="shared" si="3360"/>
        <v>0000802543</v>
      </c>
      <c r="D8230" t="str">
        <f t="shared" si="3345"/>
        <v>73185</v>
      </c>
      <c r="E8230" t="str">
        <f t="shared" si="3346"/>
        <v>KFH-OPERATIONS DEPARTMENT</v>
      </c>
      <c r="F8230" t="str">
        <f t="shared" si="3347"/>
        <v>IBG</v>
      </c>
      <c r="G8230" t="str">
        <f t="shared" si="3356"/>
        <v>Refund COSHARE 10</v>
      </c>
      <c r="H8230" s="2">
        <v>444.95</v>
      </c>
      <c r="I8230" t="str">
        <f>"ELY KELVIN MATEN BANGKAHAK"</f>
        <v>ELY KELVIN MATEN BANGKAHAK</v>
      </c>
      <c r="J8230" t="str">
        <f t="shared" si="3361"/>
        <v>BANK KERJASAMA RAKYAT</v>
      </c>
      <c r="K8230" t="str">
        <f>"220743159496"</f>
        <v>220743159496</v>
      </c>
      <c r="L8230" t="str">
        <f t="shared" si="3364"/>
        <v>04-08-2020</v>
      </c>
      <c r="M8230" t="str">
        <f t="shared" si="3364"/>
        <v>04-08-2020</v>
      </c>
      <c r="N8230" t="str">
        <f t="shared" si="3348"/>
        <v>001105018356</v>
      </c>
      <c r="O8230" t="str">
        <f t="shared" si="3349"/>
        <v>MYR</v>
      </c>
      <c r="P8230" t="str">
        <f t="shared" si="3365"/>
        <v>NIL</v>
      </c>
      <c r="Q8230" t="str">
        <f t="shared" si="3365"/>
        <v>NIL</v>
      </c>
      <c r="R8230" t="str">
        <f t="shared" si="3362"/>
        <v>Accepted</v>
      </c>
      <c r="S8230" t="str">
        <f t="shared" si="3350"/>
        <v>Approved</v>
      </c>
      <c r="T8230" t="str">
        <f t="shared" si="3363"/>
        <v>10.20.8.188</v>
      </c>
      <c r="U8230" t="str">
        <f t="shared" si="3351"/>
        <v>AZRAD UMAR BIN SHAARI</v>
      </c>
      <c r="V8230" t="str">
        <f t="shared" si="3352"/>
        <v>FARHANA BINTI MUSTAPA</v>
      </c>
      <c r="W8230" t="str">
        <f t="shared" si="3353"/>
        <v>04-08-2020</v>
      </c>
      <c r="X8230" t="str">
        <f t="shared" si="3354"/>
        <v>RAZIMAH ANSAR AHMAD</v>
      </c>
      <c r="Y8230" t="str">
        <f t="shared" si="3355"/>
        <v>04-08-2020</v>
      </c>
      <c r="Z8230" t="str">
        <f>"COS10200804 924"</f>
        <v>COS10200804 924</v>
      </c>
    </row>
    <row r="8231" spans="1:26" x14ac:dyDescent="0.25">
      <c r="A8231" t="str">
        <f t="shared" si="3359"/>
        <v>04-08-2020 12:31:21</v>
      </c>
      <c r="B8231" t="str">
        <f>"0000802666"</f>
        <v>0000802666</v>
      </c>
      <c r="C8231" t="str">
        <f t="shared" si="3360"/>
        <v>0000802543</v>
      </c>
      <c r="D8231" t="str">
        <f t="shared" si="3345"/>
        <v>73185</v>
      </c>
      <c r="E8231" t="str">
        <f t="shared" si="3346"/>
        <v>KFH-OPERATIONS DEPARTMENT</v>
      </c>
      <c r="F8231" t="str">
        <f t="shared" si="3347"/>
        <v>IBG</v>
      </c>
      <c r="G8231" t="str">
        <f t="shared" si="3356"/>
        <v>Refund COSHARE 10</v>
      </c>
      <c r="H8231" s="2">
        <v>473</v>
      </c>
      <c r="I8231" t="str">
        <f>"ELIAS BIN SAFII"</f>
        <v>ELIAS BIN SAFII</v>
      </c>
      <c r="J8231" t="str">
        <f t="shared" si="3361"/>
        <v>BANK KERJASAMA RAKYAT</v>
      </c>
      <c r="K8231" t="str">
        <f>"220241369341"</f>
        <v>220241369341</v>
      </c>
      <c r="L8231" t="str">
        <f t="shared" si="3364"/>
        <v>04-08-2020</v>
      </c>
      <c r="M8231" t="str">
        <f t="shared" si="3364"/>
        <v>04-08-2020</v>
      </c>
      <c r="N8231" t="str">
        <f t="shared" si="3348"/>
        <v>001105018356</v>
      </c>
      <c r="O8231" t="str">
        <f t="shared" si="3349"/>
        <v>MYR</v>
      </c>
      <c r="P8231" t="str">
        <f t="shared" si="3365"/>
        <v>NIL</v>
      </c>
      <c r="Q8231" t="str">
        <f t="shared" si="3365"/>
        <v>NIL</v>
      </c>
      <c r="R8231" t="str">
        <f t="shared" si="3362"/>
        <v>Accepted</v>
      </c>
      <c r="S8231" t="str">
        <f t="shared" si="3350"/>
        <v>Approved</v>
      </c>
      <c r="T8231" t="str">
        <f t="shared" si="3363"/>
        <v>10.20.8.188</v>
      </c>
      <c r="U8231" t="str">
        <f t="shared" si="3351"/>
        <v>AZRAD UMAR BIN SHAARI</v>
      </c>
      <c r="V8231" t="str">
        <f t="shared" si="3352"/>
        <v>FARHANA BINTI MUSTAPA</v>
      </c>
      <c r="W8231" t="str">
        <f t="shared" si="3353"/>
        <v>04-08-2020</v>
      </c>
      <c r="X8231" t="str">
        <f t="shared" si="3354"/>
        <v>RAZIMAH ANSAR AHMAD</v>
      </c>
      <c r="Y8231" t="str">
        <f t="shared" si="3355"/>
        <v>04-08-2020</v>
      </c>
      <c r="Z8231" t="str">
        <f>"COS10200804 923"</f>
        <v>COS10200804 923</v>
      </c>
    </row>
    <row r="8232" spans="1:26" x14ac:dyDescent="0.25">
      <c r="A8232" t="str">
        <f t="shared" si="3359"/>
        <v>04-08-2020 12:31:21</v>
      </c>
      <c r="B8232" t="str">
        <f>"0000802665"</f>
        <v>0000802665</v>
      </c>
      <c r="C8232" t="str">
        <f t="shared" si="3360"/>
        <v>0000802543</v>
      </c>
      <c r="D8232" t="str">
        <f t="shared" si="3345"/>
        <v>73185</v>
      </c>
      <c r="E8232" t="str">
        <f t="shared" si="3346"/>
        <v>KFH-OPERATIONS DEPARTMENT</v>
      </c>
      <c r="F8232" t="str">
        <f t="shared" si="3347"/>
        <v>IBG</v>
      </c>
      <c r="G8232" t="str">
        <f t="shared" si="3356"/>
        <v>Refund COSHARE 10</v>
      </c>
      <c r="H8232" s="2">
        <v>827.55</v>
      </c>
      <c r="I8232" t="str">
        <f>"EDWIN JOSEPH TOH"</f>
        <v>EDWIN JOSEPH TOH</v>
      </c>
      <c r="J8232" t="str">
        <f t="shared" si="3361"/>
        <v>BANK KERJASAMA RAKYAT</v>
      </c>
      <c r="K8232" t="str">
        <f>"220781006116"</f>
        <v>220781006116</v>
      </c>
      <c r="L8232" t="str">
        <f t="shared" si="3364"/>
        <v>04-08-2020</v>
      </c>
      <c r="M8232" t="str">
        <f t="shared" si="3364"/>
        <v>04-08-2020</v>
      </c>
      <c r="N8232" t="str">
        <f t="shared" si="3348"/>
        <v>001105018356</v>
      </c>
      <c r="O8232" t="str">
        <f t="shared" si="3349"/>
        <v>MYR</v>
      </c>
      <c r="P8232" t="str">
        <f t="shared" si="3365"/>
        <v>NIL</v>
      </c>
      <c r="Q8232" t="str">
        <f t="shared" si="3365"/>
        <v>NIL</v>
      </c>
      <c r="R8232" t="str">
        <f t="shared" si="3362"/>
        <v>Accepted</v>
      </c>
      <c r="S8232" t="str">
        <f t="shared" si="3350"/>
        <v>Approved</v>
      </c>
      <c r="T8232" t="str">
        <f t="shared" si="3363"/>
        <v>10.20.8.188</v>
      </c>
      <c r="U8232" t="str">
        <f t="shared" si="3351"/>
        <v>AZRAD UMAR BIN SHAARI</v>
      </c>
      <c r="V8232" t="str">
        <f t="shared" si="3352"/>
        <v>FARHANA BINTI MUSTAPA</v>
      </c>
      <c r="W8232" t="str">
        <f t="shared" si="3353"/>
        <v>04-08-2020</v>
      </c>
      <c r="X8232" t="str">
        <f t="shared" si="3354"/>
        <v>RAZIMAH ANSAR AHMAD</v>
      </c>
      <c r="Y8232" t="str">
        <f t="shared" si="3355"/>
        <v>04-08-2020</v>
      </c>
      <c r="Z8232" t="str">
        <f>"COS10200804 922"</f>
        <v>COS10200804 922</v>
      </c>
    </row>
    <row r="8233" spans="1:26" x14ac:dyDescent="0.25">
      <c r="A8233" t="str">
        <f t="shared" si="3359"/>
        <v>04-08-2020 12:31:21</v>
      </c>
      <c r="B8233" t="str">
        <f>"0000802664"</f>
        <v>0000802664</v>
      </c>
      <c r="C8233" t="str">
        <f t="shared" si="3360"/>
        <v>0000802543</v>
      </c>
      <c r="D8233" t="str">
        <f t="shared" si="3345"/>
        <v>73185</v>
      </c>
      <c r="E8233" t="str">
        <f t="shared" si="3346"/>
        <v>KFH-OPERATIONS DEPARTMENT</v>
      </c>
      <c r="F8233" t="str">
        <f t="shared" si="3347"/>
        <v>IBG</v>
      </c>
      <c r="G8233" t="str">
        <f t="shared" si="3356"/>
        <v>Refund COSHARE 10</v>
      </c>
      <c r="H8233" s="2">
        <v>1368.4</v>
      </c>
      <c r="I8233" t="str">
        <f>"ED AREYWAN BIN RAHMAN"</f>
        <v>ED AREYWAN BIN RAHMAN</v>
      </c>
      <c r="J8233" t="str">
        <f t="shared" si="3361"/>
        <v>BANK KERJASAMA RAKYAT</v>
      </c>
      <c r="K8233" t="str">
        <f>"220541429302"</f>
        <v>220541429302</v>
      </c>
      <c r="L8233" t="str">
        <f t="shared" si="3364"/>
        <v>04-08-2020</v>
      </c>
      <c r="M8233" t="str">
        <f t="shared" si="3364"/>
        <v>04-08-2020</v>
      </c>
      <c r="N8233" t="str">
        <f t="shared" si="3348"/>
        <v>001105018356</v>
      </c>
      <c r="O8233" t="str">
        <f t="shared" si="3349"/>
        <v>MYR</v>
      </c>
      <c r="P8233" t="str">
        <f t="shared" si="3365"/>
        <v>NIL</v>
      </c>
      <c r="Q8233" t="str">
        <f t="shared" si="3365"/>
        <v>NIL</v>
      </c>
      <c r="R8233" t="str">
        <f t="shared" si="3362"/>
        <v>Accepted</v>
      </c>
      <c r="S8233" t="str">
        <f t="shared" si="3350"/>
        <v>Approved</v>
      </c>
      <c r="T8233" t="str">
        <f t="shared" si="3363"/>
        <v>10.20.8.188</v>
      </c>
      <c r="U8233" t="str">
        <f t="shared" si="3351"/>
        <v>AZRAD UMAR BIN SHAARI</v>
      </c>
      <c r="V8233" t="str">
        <f t="shared" si="3352"/>
        <v>FARHANA BINTI MUSTAPA</v>
      </c>
      <c r="W8233" t="str">
        <f t="shared" si="3353"/>
        <v>04-08-2020</v>
      </c>
      <c r="X8233" t="str">
        <f t="shared" si="3354"/>
        <v>RAZIMAH ANSAR AHMAD</v>
      </c>
      <c r="Y8233" t="str">
        <f t="shared" si="3355"/>
        <v>04-08-2020</v>
      </c>
      <c r="Z8233" t="str">
        <f>"COS10200804 921"</f>
        <v>COS10200804 921</v>
      </c>
    </row>
    <row r="8234" spans="1:26" x14ac:dyDescent="0.25">
      <c r="A8234" t="str">
        <f t="shared" si="3359"/>
        <v>04-08-2020 12:31:21</v>
      </c>
      <c r="B8234" t="str">
        <f>"0000802663"</f>
        <v>0000802663</v>
      </c>
      <c r="C8234" t="str">
        <f t="shared" si="3360"/>
        <v>0000802543</v>
      </c>
      <c r="D8234" t="str">
        <f t="shared" si="3345"/>
        <v>73185</v>
      </c>
      <c r="E8234" t="str">
        <f t="shared" si="3346"/>
        <v>KFH-OPERATIONS DEPARTMENT</v>
      </c>
      <c r="F8234" t="str">
        <f t="shared" si="3347"/>
        <v>IBG</v>
      </c>
      <c r="G8234" t="str">
        <f t="shared" si="3356"/>
        <v>Refund COSHARE 10</v>
      </c>
      <c r="H8234" s="2">
        <v>1503</v>
      </c>
      <c r="I8234" t="str">
        <f>"DIANA GEORGE  NORSEN"</f>
        <v>DIANA GEORGE  NORSEN</v>
      </c>
      <c r="J8234" t="str">
        <f t="shared" si="3361"/>
        <v>BANK KERJASAMA RAKYAT</v>
      </c>
      <c r="K8234" t="str">
        <f>"220891224254"</f>
        <v>220891224254</v>
      </c>
      <c r="L8234" t="str">
        <f t="shared" si="3364"/>
        <v>04-08-2020</v>
      </c>
      <c r="M8234" t="str">
        <f t="shared" si="3364"/>
        <v>04-08-2020</v>
      </c>
      <c r="N8234" t="str">
        <f t="shared" si="3348"/>
        <v>001105018356</v>
      </c>
      <c r="O8234" t="str">
        <f t="shared" si="3349"/>
        <v>MYR</v>
      </c>
      <c r="P8234" t="str">
        <f t="shared" si="3365"/>
        <v>NIL</v>
      </c>
      <c r="Q8234" t="str">
        <f t="shared" si="3365"/>
        <v>NIL</v>
      </c>
      <c r="R8234" t="str">
        <f t="shared" si="3362"/>
        <v>Accepted</v>
      </c>
      <c r="S8234" t="str">
        <f t="shared" si="3350"/>
        <v>Approved</v>
      </c>
      <c r="T8234" t="str">
        <f t="shared" si="3363"/>
        <v>10.20.8.188</v>
      </c>
      <c r="U8234" t="str">
        <f t="shared" si="3351"/>
        <v>AZRAD UMAR BIN SHAARI</v>
      </c>
      <c r="V8234" t="str">
        <f t="shared" si="3352"/>
        <v>FARHANA BINTI MUSTAPA</v>
      </c>
      <c r="W8234" t="str">
        <f t="shared" si="3353"/>
        <v>04-08-2020</v>
      </c>
      <c r="X8234" t="str">
        <f t="shared" si="3354"/>
        <v>RAZIMAH ANSAR AHMAD</v>
      </c>
      <c r="Y8234" t="str">
        <f t="shared" si="3355"/>
        <v>04-08-2020</v>
      </c>
      <c r="Z8234" t="str">
        <f>"COS10200804 920"</f>
        <v>COS10200804 920</v>
      </c>
    </row>
    <row r="8235" spans="1:26" x14ac:dyDescent="0.25">
      <c r="A8235" t="str">
        <f t="shared" si="3359"/>
        <v>04-08-2020 12:31:21</v>
      </c>
      <c r="B8235" t="str">
        <f>"0000802662"</f>
        <v>0000802662</v>
      </c>
      <c r="C8235" t="str">
        <f t="shared" si="3360"/>
        <v>0000802543</v>
      </c>
      <c r="D8235" t="str">
        <f t="shared" si="3345"/>
        <v>73185</v>
      </c>
      <c r="E8235" t="str">
        <f t="shared" si="3346"/>
        <v>KFH-OPERATIONS DEPARTMENT</v>
      </c>
      <c r="F8235" t="str">
        <f t="shared" si="3347"/>
        <v>IBG</v>
      </c>
      <c r="G8235" t="str">
        <f t="shared" si="3356"/>
        <v>Refund COSHARE 10</v>
      </c>
      <c r="H8235" s="2">
        <v>85.65</v>
      </c>
      <c r="I8235" t="str">
        <f>"DG RUSNEH DATU HUSSIN"</f>
        <v>DG RUSNEH DATU HUSSIN</v>
      </c>
      <c r="J8235" t="str">
        <f t="shared" si="3361"/>
        <v>BANK KERJASAMA RAKYAT</v>
      </c>
      <c r="K8235" t="str">
        <f>"220531063242"</f>
        <v>220531063242</v>
      </c>
      <c r="L8235" t="str">
        <f t="shared" si="3364"/>
        <v>04-08-2020</v>
      </c>
      <c r="M8235" t="str">
        <f t="shared" si="3364"/>
        <v>04-08-2020</v>
      </c>
      <c r="N8235" t="str">
        <f t="shared" si="3348"/>
        <v>001105018356</v>
      </c>
      <c r="O8235" t="str">
        <f t="shared" si="3349"/>
        <v>MYR</v>
      </c>
      <c r="P8235" t="str">
        <f t="shared" si="3365"/>
        <v>NIL</v>
      </c>
      <c r="Q8235" t="str">
        <f t="shared" si="3365"/>
        <v>NIL</v>
      </c>
      <c r="R8235" t="str">
        <f t="shared" si="3362"/>
        <v>Accepted</v>
      </c>
      <c r="S8235" t="str">
        <f t="shared" si="3350"/>
        <v>Approved</v>
      </c>
      <c r="T8235" t="str">
        <f t="shared" si="3363"/>
        <v>10.20.8.188</v>
      </c>
      <c r="U8235" t="str">
        <f t="shared" si="3351"/>
        <v>AZRAD UMAR BIN SHAARI</v>
      </c>
      <c r="V8235" t="str">
        <f t="shared" si="3352"/>
        <v>FARHANA BINTI MUSTAPA</v>
      </c>
      <c r="W8235" t="str">
        <f t="shared" si="3353"/>
        <v>04-08-2020</v>
      </c>
      <c r="X8235" t="str">
        <f t="shared" si="3354"/>
        <v>RAZIMAH ANSAR AHMAD</v>
      </c>
      <c r="Y8235" t="str">
        <f t="shared" si="3355"/>
        <v>04-08-2020</v>
      </c>
      <c r="Z8235" t="str">
        <f>"COS10200804 919"</f>
        <v>COS10200804 919</v>
      </c>
    </row>
    <row r="8236" spans="1:26" x14ac:dyDescent="0.25">
      <c r="A8236" t="str">
        <f t="shared" si="3359"/>
        <v>04-08-2020 12:31:21</v>
      </c>
      <c r="B8236" t="str">
        <f>"0000802661"</f>
        <v>0000802661</v>
      </c>
      <c r="C8236" t="str">
        <f t="shared" si="3360"/>
        <v>0000802543</v>
      </c>
      <c r="D8236" t="str">
        <f t="shared" si="3345"/>
        <v>73185</v>
      </c>
      <c r="E8236" t="str">
        <f t="shared" si="3346"/>
        <v>KFH-OPERATIONS DEPARTMENT</v>
      </c>
      <c r="F8236" t="str">
        <f t="shared" si="3347"/>
        <v>IBG</v>
      </c>
      <c r="G8236" t="str">
        <f t="shared" si="3356"/>
        <v>Refund COSHARE 10</v>
      </c>
      <c r="H8236" s="2">
        <v>759</v>
      </c>
      <c r="I8236" t="str">
        <f>"DESMOND ANAK SIBEK"</f>
        <v>DESMOND ANAK SIBEK</v>
      </c>
      <c r="J8236" t="str">
        <f t="shared" si="3361"/>
        <v>BANK KERJASAMA RAKYAT</v>
      </c>
      <c r="K8236" t="str">
        <f>"221291013421"</f>
        <v>221291013421</v>
      </c>
      <c r="L8236" t="str">
        <f t="shared" si="3364"/>
        <v>04-08-2020</v>
      </c>
      <c r="M8236" t="str">
        <f t="shared" si="3364"/>
        <v>04-08-2020</v>
      </c>
      <c r="N8236" t="str">
        <f t="shared" si="3348"/>
        <v>001105018356</v>
      </c>
      <c r="O8236" t="str">
        <f t="shared" si="3349"/>
        <v>MYR</v>
      </c>
      <c r="P8236" t="str">
        <f t="shared" si="3365"/>
        <v>NIL</v>
      </c>
      <c r="Q8236" t="str">
        <f t="shared" si="3365"/>
        <v>NIL</v>
      </c>
      <c r="R8236" t="str">
        <f t="shared" si="3362"/>
        <v>Accepted</v>
      </c>
      <c r="S8236" t="str">
        <f t="shared" si="3350"/>
        <v>Approved</v>
      </c>
      <c r="T8236" t="str">
        <f t="shared" si="3363"/>
        <v>10.20.8.188</v>
      </c>
      <c r="U8236" t="str">
        <f t="shared" si="3351"/>
        <v>AZRAD UMAR BIN SHAARI</v>
      </c>
      <c r="V8236" t="str">
        <f t="shared" si="3352"/>
        <v>FARHANA BINTI MUSTAPA</v>
      </c>
      <c r="W8236" t="str">
        <f t="shared" si="3353"/>
        <v>04-08-2020</v>
      </c>
      <c r="X8236" t="str">
        <f t="shared" si="3354"/>
        <v>RAZIMAH ANSAR AHMAD</v>
      </c>
      <c r="Y8236" t="str">
        <f t="shared" si="3355"/>
        <v>04-08-2020</v>
      </c>
      <c r="Z8236" t="str">
        <f>"COS10200804 918"</f>
        <v>COS10200804 918</v>
      </c>
    </row>
    <row r="8237" spans="1:26" x14ac:dyDescent="0.25">
      <c r="A8237" t="str">
        <f t="shared" si="3359"/>
        <v>04-08-2020 12:31:21</v>
      </c>
      <c r="B8237" t="str">
        <f>"0000802660"</f>
        <v>0000802660</v>
      </c>
      <c r="C8237" t="str">
        <f t="shared" si="3360"/>
        <v>0000802543</v>
      </c>
      <c r="D8237" t="str">
        <f t="shared" si="3345"/>
        <v>73185</v>
      </c>
      <c r="E8237" t="str">
        <f t="shared" si="3346"/>
        <v>KFH-OPERATIONS DEPARTMENT</v>
      </c>
      <c r="F8237" t="str">
        <f t="shared" si="3347"/>
        <v>IBG</v>
      </c>
      <c r="G8237" t="str">
        <f t="shared" si="3356"/>
        <v>Refund COSHARE 10</v>
      </c>
      <c r="H8237" s="2">
        <v>836.15</v>
      </c>
      <c r="I8237" t="str">
        <f>"DERWATI BINTI BUJANG"</f>
        <v>DERWATI BINTI BUJANG</v>
      </c>
      <c r="J8237" t="str">
        <f t="shared" si="3361"/>
        <v>BANK KERJASAMA RAKYAT</v>
      </c>
      <c r="K8237" t="str">
        <f>"220541182083"</f>
        <v>220541182083</v>
      </c>
      <c r="L8237" t="str">
        <f t="shared" si="3364"/>
        <v>04-08-2020</v>
      </c>
      <c r="M8237" t="str">
        <f t="shared" si="3364"/>
        <v>04-08-2020</v>
      </c>
      <c r="N8237" t="str">
        <f t="shared" si="3348"/>
        <v>001105018356</v>
      </c>
      <c r="O8237" t="str">
        <f t="shared" si="3349"/>
        <v>MYR</v>
      </c>
      <c r="P8237" t="str">
        <f t="shared" si="3365"/>
        <v>NIL</v>
      </c>
      <c r="Q8237" t="str">
        <f t="shared" si="3365"/>
        <v>NIL</v>
      </c>
      <c r="R8237" t="str">
        <f t="shared" si="3362"/>
        <v>Accepted</v>
      </c>
      <c r="S8237" t="str">
        <f t="shared" si="3350"/>
        <v>Approved</v>
      </c>
      <c r="T8237" t="str">
        <f t="shared" si="3363"/>
        <v>10.20.8.188</v>
      </c>
      <c r="U8237" t="str">
        <f t="shared" si="3351"/>
        <v>AZRAD UMAR BIN SHAARI</v>
      </c>
      <c r="V8237" t="str">
        <f t="shared" si="3352"/>
        <v>FARHANA BINTI MUSTAPA</v>
      </c>
      <c r="W8237" t="str">
        <f t="shared" si="3353"/>
        <v>04-08-2020</v>
      </c>
      <c r="X8237" t="str">
        <f t="shared" si="3354"/>
        <v>RAZIMAH ANSAR AHMAD</v>
      </c>
      <c r="Y8237" t="str">
        <f t="shared" si="3355"/>
        <v>04-08-2020</v>
      </c>
      <c r="Z8237" t="str">
        <f>"COS10200804 917"</f>
        <v>COS10200804 917</v>
      </c>
    </row>
    <row r="8238" spans="1:26" x14ac:dyDescent="0.25">
      <c r="A8238" t="str">
        <f t="shared" si="3359"/>
        <v>04-08-2020 12:31:21</v>
      </c>
      <c r="B8238" t="str">
        <f>"0000802659"</f>
        <v>0000802659</v>
      </c>
      <c r="C8238" t="str">
        <f t="shared" si="3360"/>
        <v>0000802543</v>
      </c>
      <c r="D8238" t="str">
        <f t="shared" si="3345"/>
        <v>73185</v>
      </c>
      <c r="E8238" t="str">
        <f t="shared" si="3346"/>
        <v>KFH-OPERATIONS DEPARTMENT</v>
      </c>
      <c r="F8238" t="str">
        <f t="shared" si="3347"/>
        <v>IBG</v>
      </c>
      <c r="G8238" t="str">
        <f t="shared" si="3356"/>
        <v>Refund COSHARE 10</v>
      </c>
      <c r="H8238" s="2">
        <v>251.85</v>
      </c>
      <c r="I8238" t="str">
        <f>"DAYANGKU SUKMA BINTI PENGIRAN RATUDDIN"</f>
        <v>DAYANGKU SUKMA BINTI PENGIRAN RATUDDIN</v>
      </c>
      <c r="J8238" t="str">
        <f t="shared" si="3361"/>
        <v>BANK KERJASAMA RAKYAT</v>
      </c>
      <c r="K8238" t="str">
        <f>"220671134278"</f>
        <v>220671134278</v>
      </c>
      <c r="L8238" t="str">
        <f t="shared" si="3364"/>
        <v>04-08-2020</v>
      </c>
      <c r="M8238" t="str">
        <f t="shared" si="3364"/>
        <v>04-08-2020</v>
      </c>
      <c r="N8238" t="str">
        <f t="shared" si="3348"/>
        <v>001105018356</v>
      </c>
      <c r="O8238" t="str">
        <f t="shared" si="3349"/>
        <v>MYR</v>
      </c>
      <c r="P8238" t="str">
        <f t="shared" si="3365"/>
        <v>NIL</v>
      </c>
      <c r="Q8238" t="str">
        <f t="shared" si="3365"/>
        <v>NIL</v>
      </c>
      <c r="R8238" t="str">
        <f t="shared" si="3362"/>
        <v>Accepted</v>
      </c>
      <c r="S8238" t="str">
        <f t="shared" si="3350"/>
        <v>Approved</v>
      </c>
      <c r="T8238" t="str">
        <f t="shared" si="3363"/>
        <v>10.20.8.188</v>
      </c>
      <c r="U8238" t="str">
        <f t="shared" si="3351"/>
        <v>AZRAD UMAR BIN SHAARI</v>
      </c>
      <c r="V8238" t="str">
        <f t="shared" si="3352"/>
        <v>FARHANA BINTI MUSTAPA</v>
      </c>
      <c r="W8238" t="str">
        <f t="shared" si="3353"/>
        <v>04-08-2020</v>
      </c>
      <c r="X8238" t="str">
        <f t="shared" si="3354"/>
        <v>RAZIMAH ANSAR AHMAD</v>
      </c>
      <c r="Y8238" t="str">
        <f t="shared" si="3355"/>
        <v>04-08-2020</v>
      </c>
      <c r="Z8238" t="str">
        <f>"COS10200804 916"</f>
        <v>COS10200804 916</v>
      </c>
    </row>
    <row r="8239" spans="1:26" x14ac:dyDescent="0.25">
      <c r="A8239" t="str">
        <f t="shared" si="3359"/>
        <v>04-08-2020 12:31:21</v>
      </c>
      <c r="B8239" t="str">
        <f>"0000802658"</f>
        <v>0000802658</v>
      </c>
      <c r="C8239" t="str">
        <f t="shared" si="3360"/>
        <v>0000802543</v>
      </c>
      <c r="D8239" t="str">
        <f t="shared" si="3345"/>
        <v>73185</v>
      </c>
      <c r="E8239" t="str">
        <f t="shared" si="3346"/>
        <v>KFH-OPERATIONS DEPARTMENT</v>
      </c>
      <c r="F8239" t="str">
        <f t="shared" si="3347"/>
        <v>IBG</v>
      </c>
      <c r="G8239" t="str">
        <f t="shared" si="3356"/>
        <v>Refund COSHARE 10</v>
      </c>
      <c r="H8239" s="2">
        <v>125.95</v>
      </c>
      <c r="I8239" t="str">
        <f>"DAYANG FIZURIA BINTI ABANG RAMLAN"</f>
        <v>DAYANG FIZURIA BINTI ABANG RAMLAN</v>
      </c>
      <c r="J8239" t="str">
        <f t="shared" si="3361"/>
        <v>BANK KERJASAMA RAKYAT</v>
      </c>
      <c r="K8239" t="str">
        <f>"220901084714"</f>
        <v>220901084714</v>
      </c>
      <c r="L8239" t="str">
        <f t="shared" si="3364"/>
        <v>04-08-2020</v>
      </c>
      <c r="M8239" t="str">
        <f t="shared" si="3364"/>
        <v>04-08-2020</v>
      </c>
      <c r="N8239" t="str">
        <f t="shared" si="3348"/>
        <v>001105018356</v>
      </c>
      <c r="O8239" t="str">
        <f t="shared" si="3349"/>
        <v>MYR</v>
      </c>
      <c r="P8239" t="str">
        <f t="shared" si="3365"/>
        <v>NIL</v>
      </c>
      <c r="Q8239" t="str">
        <f t="shared" si="3365"/>
        <v>NIL</v>
      </c>
      <c r="R8239" t="str">
        <f t="shared" si="3362"/>
        <v>Accepted</v>
      </c>
      <c r="S8239" t="str">
        <f t="shared" si="3350"/>
        <v>Approved</v>
      </c>
      <c r="T8239" t="str">
        <f t="shared" si="3363"/>
        <v>10.20.8.188</v>
      </c>
      <c r="U8239" t="str">
        <f t="shared" si="3351"/>
        <v>AZRAD UMAR BIN SHAARI</v>
      </c>
      <c r="V8239" t="str">
        <f t="shared" si="3352"/>
        <v>FARHANA BINTI MUSTAPA</v>
      </c>
      <c r="W8239" t="str">
        <f t="shared" si="3353"/>
        <v>04-08-2020</v>
      </c>
      <c r="X8239" t="str">
        <f t="shared" si="3354"/>
        <v>RAZIMAH ANSAR AHMAD</v>
      </c>
      <c r="Y8239" t="str">
        <f t="shared" si="3355"/>
        <v>04-08-2020</v>
      </c>
      <c r="Z8239" t="str">
        <f>"COS10200804 915"</f>
        <v>COS10200804 915</v>
      </c>
    </row>
    <row r="8240" spans="1:26" x14ac:dyDescent="0.25">
      <c r="A8240" t="str">
        <f t="shared" si="3359"/>
        <v>04-08-2020 12:31:21</v>
      </c>
      <c r="B8240" t="str">
        <f>"0000802657"</f>
        <v>0000802657</v>
      </c>
      <c r="C8240" t="str">
        <f t="shared" si="3360"/>
        <v>0000802543</v>
      </c>
      <c r="D8240" t="str">
        <f t="shared" si="3345"/>
        <v>73185</v>
      </c>
      <c r="E8240" t="str">
        <f t="shared" si="3346"/>
        <v>KFH-OPERATIONS DEPARTMENT</v>
      </c>
      <c r="F8240" t="str">
        <f t="shared" si="3347"/>
        <v>IBG</v>
      </c>
      <c r="G8240" t="str">
        <f t="shared" si="3356"/>
        <v>Refund COSHARE 10</v>
      </c>
      <c r="H8240" s="2">
        <v>265.05</v>
      </c>
      <c r="I8240" t="str">
        <f>"CLAIRE ANAK JAWIT"</f>
        <v>CLAIRE ANAK JAWIT</v>
      </c>
      <c r="J8240" t="str">
        <f t="shared" si="3361"/>
        <v>BANK KERJASAMA RAKYAT</v>
      </c>
      <c r="K8240" t="str">
        <f>"220541106302"</f>
        <v>220541106302</v>
      </c>
      <c r="L8240" t="str">
        <f t="shared" si="3364"/>
        <v>04-08-2020</v>
      </c>
      <c r="M8240" t="str">
        <f t="shared" si="3364"/>
        <v>04-08-2020</v>
      </c>
      <c r="N8240" t="str">
        <f t="shared" si="3348"/>
        <v>001105018356</v>
      </c>
      <c r="O8240" t="str">
        <f t="shared" si="3349"/>
        <v>MYR</v>
      </c>
      <c r="P8240" t="str">
        <f t="shared" si="3365"/>
        <v>NIL</v>
      </c>
      <c r="Q8240" t="str">
        <f t="shared" si="3365"/>
        <v>NIL</v>
      </c>
      <c r="R8240" t="str">
        <f t="shared" si="3362"/>
        <v>Accepted</v>
      </c>
      <c r="S8240" t="str">
        <f t="shared" si="3350"/>
        <v>Approved</v>
      </c>
      <c r="T8240" t="str">
        <f t="shared" si="3363"/>
        <v>10.20.8.188</v>
      </c>
      <c r="U8240" t="str">
        <f t="shared" si="3351"/>
        <v>AZRAD UMAR BIN SHAARI</v>
      </c>
      <c r="V8240" t="str">
        <f t="shared" si="3352"/>
        <v>FARHANA BINTI MUSTAPA</v>
      </c>
      <c r="W8240" t="str">
        <f t="shared" si="3353"/>
        <v>04-08-2020</v>
      </c>
      <c r="X8240" t="str">
        <f t="shared" si="3354"/>
        <v>RAZIMAH ANSAR AHMAD</v>
      </c>
      <c r="Y8240" t="str">
        <f t="shared" si="3355"/>
        <v>04-08-2020</v>
      </c>
      <c r="Z8240" t="str">
        <f>"COS10200804 914"</f>
        <v>COS10200804 914</v>
      </c>
    </row>
    <row r="8241" spans="1:26" x14ac:dyDescent="0.25">
      <c r="A8241" t="str">
        <f t="shared" si="3359"/>
        <v>04-08-2020 12:31:21</v>
      </c>
      <c r="B8241" t="str">
        <f>"0000802656"</f>
        <v>0000802656</v>
      </c>
      <c r="C8241" t="str">
        <f t="shared" si="3360"/>
        <v>0000802543</v>
      </c>
      <c r="D8241" t="str">
        <f t="shared" si="3345"/>
        <v>73185</v>
      </c>
      <c r="E8241" t="str">
        <f t="shared" si="3346"/>
        <v>KFH-OPERATIONS DEPARTMENT</v>
      </c>
      <c r="F8241" t="str">
        <f t="shared" si="3347"/>
        <v>IBG</v>
      </c>
      <c r="G8241" t="str">
        <f t="shared" si="3356"/>
        <v>Refund COSHARE 10</v>
      </c>
      <c r="H8241" s="2">
        <v>195.15</v>
      </c>
      <c r="I8241" t="str">
        <f>"CIK SHARINAH BINTI MAT NOR"</f>
        <v>CIK SHARINAH BINTI MAT NOR</v>
      </c>
      <c r="J8241" t="str">
        <f t="shared" si="3361"/>
        <v>BANK KERJASAMA RAKYAT</v>
      </c>
      <c r="K8241" t="str">
        <f>"220591133978"</f>
        <v>220591133978</v>
      </c>
      <c r="L8241" t="str">
        <f t="shared" si="3364"/>
        <v>04-08-2020</v>
      </c>
      <c r="M8241" t="str">
        <f t="shared" si="3364"/>
        <v>04-08-2020</v>
      </c>
      <c r="N8241" t="str">
        <f t="shared" si="3348"/>
        <v>001105018356</v>
      </c>
      <c r="O8241" t="str">
        <f t="shared" si="3349"/>
        <v>MYR</v>
      </c>
      <c r="P8241" t="str">
        <f t="shared" si="3365"/>
        <v>NIL</v>
      </c>
      <c r="Q8241" t="str">
        <f t="shared" si="3365"/>
        <v>NIL</v>
      </c>
      <c r="R8241" t="str">
        <f t="shared" si="3362"/>
        <v>Accepted</v>
      </c>
      <c r="S8241" t="str">
        <f t="shared" si="3350"/>
        <v>Approved</v>
      </c>
      <c r="T8241" t="str">
        <f t="shared" si="3363"/>
        <v>10.20.8.188</v>
      </c>
      <c r="U8241" t="str">
        <f t="shared" si="3351"/>
        <v>AZRAD UMAR BIN SHAARI</v>
      </c>
      <c r="V8241" t="str">
        <f t="shared" si="3352"/>
        <v>FARHANA BINTI MUSTAPA</v>
      </c>
      <c r="W8241" t="str">
        <f t="shared" si="3353"/>
        <v>04-08-2020</v>
      </c>
      <c r="X8241" t="str">
        <f t="shared" si="3354"/>
        <v>RAZIMAH ANSAR AHMAD</v>
      </c>
      <c r="Y8241" t="str">
        <f t="shared" si="3355"/>
        <v>04-08-2020</v>
      </c>
      <c r="Z8241" t="str">
        <f>"COS10200804 913"</f>
        <v>COS10200804 913</v>
      </c>
    </row>
    <row r="8242" spans="1:26" x14ac:dyDescent="0.25">
      <c r="A8242" t="str">
        <f t="shared" si="3359"/>
        <v>04-08-2020 12:31:21</v>
      </c>
      <c r="B8242" t="str">
        <f>"0000802655"</f>
        <v>0000802655</v>
      </c>
      <c r="C8242" t="str">
        <f t="shared" si="3360"/>
        <v>0000802543</v>
      </c>
      <c r="D8242" t="str">
        <f t="shared" si="3345"/>
        <v>73185</v>
      </c>
      <c r="E8242" t="str">
        <f t="shared" si="3346"/>
        <v>KFH-OPERATIONS DEPARTMENT</v>
      </c>
      <c r="F8242" t="str">
        <f t="shared" si="3347"/>
        <v>IBG</v>
      </c>
      <c r="G8242" t="str">
        <f t="shared" si="3356"/>
        <v>Refund COSHARE 10</v>
      </c>
      <c r="H8242" s="2">
        <v>196.5</v>
      </c>
      <c r="I8242" t="str">
        <f>"CHRISTINA ANAK AMBU"</f>
        <v>CHRISTINA ANAK AMBU</v>
      </c>
      <c r="J8242" t="str">
        <f t="shared" si="3361"/>
        <v>BANK KERJASAMA RAKYAT</v>
      </c>
      <c r="K8242" t="str">
        <f>"220671090310"</f>
        <v>220671090310</v>
      </c>
      <c r="L8242" t="str">
        <f t="shared" si="3364"/>
        <v>04-08-2020</v>
      </c>
      <c r="M8242" t="str">
        <f t="shared" si="3364"/>
        <v>04-08-2020</v>
      </c>
      <c r="N8242" t="str">
        <f t="shared" si="3348"/>
        <v>001105018356</v>
      </c>
      <c r="O8242" t="str">
        <f t="shared" si="3349"/>
        <v>MYR</v>
      </c>
      <c r="P8242" t="str">
        <f t="shared" si="3365"/>
        <v>NIL</v>
      </c>
      <c r="Q8242" t="str">
        <f t="shared" si="3365"/>
        <v>NIL</v>
      </c>
      <c r="R8242" t="str">
        <f t="shared" si="3362"/>
        <v>Accepted</v>
      </c>
      <c r="S8242" t="str">
        <f t="shared" si="3350"/>
        <v>Approved</v>
      </c>
      <c r="T8242" t="str">
        <f t="shared" si="3363"/>
        <v>10.20.8.188</v>
      </c>
      <c r="U8242" t="str">
        <f t="shared" si="3351"/>
        <v>AZRAD UMAR BIN SHAARI</v>
      </c>
      <c r="V8242" t="str">
        <f t="shared" si="3352"/>
        <v>FARHANA BINTI MUSTAPA</v>
      </c>
      <c r="W8242" t="str">
        <f t="shared" si="3353"/>
        <v>04-08-2020</v>
      </c>
      <c r="X8242" t="str">
        <f t="shared" si="3354"/>
        <v>RAZIMAH ANSAR AHMAD</v>
      </c>
      <c r="Y8242" t="str">
        <f t="shared" si="3355"/>
        <v>04-08-2020</v>
      </c>
      <c r="Z8242" t="str">
        <f>"COS10200804 912"</f>
        <v>COS10200804 912</v>
      </c>
    </row>
    <row r="8243" spans="1:26" x14ac:dyDescent="0.25">
      <c r="A8243" t="str">
        <f t="shared" si="3359"/>
        <v>04-08-2020 12:31:21</v>
      </c>
      <c r="B8243" t="str">
        <f>"0000802654"</f>
        <v>0000802654</v>
      </c>
      <c r="C8243" t="str">
        <f t="shared" si="3360"/>
        <v>0000802543</v>
      </c>
      <c r="D8243" t="str">
        <f t="shared" si="3345"/>
        <v>73185</v>
      </c>
      <c r="E8243" t="str">
        <f t="shared" si="3346"/>
        <v>KFH-OPERATIONS DEPARTMENT</v>
      </c>
      <c r="F8243" t="str">
        <f t="shared" si="3347"/>
        <v>IBG</v>
      </c>
      <c r="G8243" t="str">
        <f t="shared" si="3356"/>
        <v>Refund COSHARE 10</v>
      </c>
      <c r="H8243" s="2">
        <v>190</v>
      </c>
      <c r="I8243" t="str">
        <f>"CHONG KHIN BOON"</f>
        <v>CHONG KHIN BOON</v>
      </c>
      <c r="J8243" t="str">
        <f t="shared" si="3361"/>
        <v>BANK KERJASAMA RAKYAT</v>
      </c>
      <c r="K8243" t="str">
        <f>"220751131769"</f>
        <v>220751131769</v>
      </c>
      <c r="L8243" t="str">
        <f t="shared" si="3364"/>
        <v>04-08-2020</v>
      </c>
      <c r="M8243" t="str">
        <f t="shared" si="3364"/>
        <v>04-08-2020</v>
      </c>
      <c r="N8243" t="str">
        <f t="shared" si="3348"/>
        <v>001105018356</v>
      </c>
      <c r="O8243" t="str">
        <f t="shared" si="3349"/>
        <v>MYR</v>
      </c>
      <c r="P8243" t="str">
        <f t="shared" si="3365"/>
        <v>NIL</v>
      </c>
      <c r="Q8243" t="str">
        <f t="shared" si="3365"/>
        <v>NIL</v>
      </c>
      <c r="R8243" t="str">
        <f t="shared" si="3362"/>
        <v>Accepted</v>
      </c>
      <c r="S8243" t="str">
        <f t="shared" si="3350"/>
        <v>Approved</v>
      </c>
      <c r="T8243" t="str">
        <f t="shared" si="3363"/>
        <v>10.20.8.188</v>
      </c>
      <c r="U8243" t="str">
        <f t="shared" si="3351"/>
        <v>AZRAD UMAR BIN SHAARI</v>
      </c>
      <c r="V8243" t="str">
        <f t="shared" si="3352"/>
        <v>FARHANA BINTI MUSTAPA</v>
      </c>
      <c r="W8243" t="str">
        <f t="shared" si="3353"/>
        <v>04-08-2020</v>
      </c>
      <c r="X8243" t="str">
        <f t="shared" si="3354"/>
        <v>RAZIMAH ANSAR AHMAD</v>
      </c>
      <c r="Y8243" t="str">
        <f t="shared" si="3355"/>
        <v>04-08-2020</v>
      </c>
      <c r="Z8243" t="str">
        <f>"COS10200804 911"</f>
        <v>COS10200804 911</v>
      </c>
    </row>
    <row r="8244" spans="1:26" x14ac:dyDescent="0.25">
      <c r="A8244" t="str">
        <f t="shared" si="3359"/>
        <v>04-08-2020 12:31:21</v>
      </c>
      <c r="B8244" t="str">
        <f>"0000802653"</f>
        <v>0000802653</v>
      </c>
      <c r="C8244" t="str">
        <f t="shared" si="3360"/>
        <v>0000802543</v>
      </c>
      <c r="D8244" t="str">
        <f t="shared" si="3345"/>
        <v>73185</v>
      </c>
      <c r="E8244" t="str">
        <f t="shared" si="3346"/>
        <v>KFH-OPERATIONS DEPARTMENT</v>
      </c>
      <c r="F8244" t="str">
        <f t="shared" si="3347"/>
        <v>IBG</v>
      </c>
      <c r="G8244" t="str">
        <f t="shared" si="3356"/>
        <v>Refund COSHARE 10</v>
      </c>
      <c r="H8244" s="2">
        <v>654.79999999999995</v>
      </c>
      <c r="I8244" t="str">
        <f>"CHONG KHIN BOON"</f>
        <v>CHONG KHIN BOON</v>
      </c>
      <c r="J8244" t="str">
        <f t="shared" si="3361"/>
        <v>BANK KERJASAMA RAKYAT</v>
      </c>
      <c r="K8244" t="str">
        <f>"220751131769"</f>
        <v>220751131769</v>
      </c>
      <c r="L8244" t="str">
        <f t="shared" si="3364"/>
        <v>04-08-2020</v>
      </c>
      <c r="M8244" t="str">
        <f t="shared" si="3364"/>
        <v>04-08-2020</v>
      </c>
      <c r="N8244" t="str">
        <f t="shared" si="3348"/>
        <v>001105018356</v>
      </c>
      <c r="O8244" t="str">
        <f t="shared" si="3349"/>
        <v>MYR</v>
      </c>
      <c r="P8244" t="str">
        <f t="shared" si="3365"/>
        <v>NIL</v>
      </c>
      <c r="Q8244" t="str">
        <f t="shared" si="3365"/>
        <v>NIL</v>
      </c>
      <c r="R8244" t="str">
        <f t="shared" si="3362"/>
        <v>Accepted</v>
      </c>
      <c r="S8244" t="str">
        <f t="shared" si="3350"/>
        <v>Approved</v>
      </c>
      <c r="T8244" t="str">
        <f t="shared" si="3363"/>
        <v>10.20.8.188</v>
      </c>
      <c r="U8244" t="str">
        <f t="shared" si="3351"/>
        <v>AZRAD UMAR BIN SHAARI</v>
      </c>
      <c r="V8244" t="str">
        <f t="shared" si="3352"/>
        <v>FARHANA BINTI MUSTAPA</v>
      </c>
      <c r="W8244" t="str">
        <f t="shared" si="3353"/>
        <v>04-08-2020</v>
      </c>
      <c r="X8244" t="str">
        <f t="shared" si="3354"/>
        <v>RAZIMAH ANSAR AHMAD</v>
      </c>
      <c r="Y8244" t="str">
        <f t="shared" si="3355"/>
        <v>04-08-2020</v>
      </c>
      <c r="Z8244" t="str">
        <f>"COS10200804 910"</f>
        <v>COS10200804 910</v>
      </c>
    </row>
    <row r="8245" spans="1:26" x14ac:dyDescent="0.25">
      <c r="A8245" t="str">
        <f t="shared" si="3359"/>
        <v>04-08-2020 12:31:21</v>
      </c>
      <c r="B8245" t="str">
        <f>"0000802652"</f>
        <v>0000802652</v>
      </c>
      <c r="C8245" t="str">
        <f t="shared" si="3360"/>
        <v>0000802543</v>
      </c>
      <c r="D8245" t="str">
        <f t="shared" si="3345"/>
        <v>73185</v>
      </c>
      <c r="E8245" t="str">
        <f t="shared" si="3346"/>
        <v>KFH-OPERATIONS DEPARTMENT</v>
      </c>
      <c r="F8245" t="str">
        <f t="shared" si="3347"/>
        <v>IBG</v>
      </c>
      <c r="G8245" t="str">
        <f t="shared" si="3356"/>
        <v>Refund COSHARE 10</v>
      </c>
      <c r="H8245" s="2">
        <v>511.15</v>
      </c>
      <c r="I8245" t="str">
        <f>"CHEE YING SING"</f>
        <v>CHEE YING SING</v>
      </c>
      <c r="J8245" t="str">
        <f t="shared" si="3361"/>
        <v>BANK KERJASAMA RAKYAT</v>
      </c>
      <c r="K8245" t="str">
        <f>"221351261269"</f>
        <v>221351261269</v>
      </c>
      <c r="L8245" t="str">
        <f t="shared" si="3364"/>
        <v>04-08-2020</v>
      </c>
      <c r="M8245" t="str">
        <f t="shared" si="3364"/>
        <v>04-08-2020</v>
      </c>
      <c r="N8245" t="str">
        <f t="shared" si="3348"/>
        <v>001105018356</v>
      </c>
      <c r="O8245" t="str">
        <f t="shared" si="3349"/>
        <v>MYR</v>
      </c>
      <c r="P8245" t="str">
        <f t="shared" si="3365"/>
        <v>NIL</v>
      </c>
      <c r="Q8245" t="str">
        <f t="shared" si="3365"/>
        <v>NIL</v>
      </c>
      <c r="R8245" t="str">
        <f t="shared" si="3362"/>
        <v>Accepted</v>
      </c>
      <c r="S8245" t="str">
        <f t="shared" si="3350"/>
        <v>Approved</v>
      </c>
      <c r="T8245" t="str">
        <f t="shared" si="3363"/>
        <v>10.20.8.188</v>
      </c>
      <c r="U8245" t="str">
        <f t="shared" si="3351"/>
        <v>AZRAD UMAR BIN SHAARI</v>
      </c>
      <c r="V8245" t="str">
        <f t="shared" si="3352"/>
        <v>FARHANA BINTI MUSTAPA</v>
      </c>
      <c r="W8245" t="str">
        <f t="shared" si="3353"/>
        <v>04-08-2020</v>
      </c>
      <c r="X8245" t="str">
        <f t="shared" si="3354"/>
        <v>RAZIMAH ANSAR AHMAD</v>
      </c>
      <c r="Y8245" t="str">
        <f t="shared" si="3355"/>
        <v>04-08-2020</v>
      </c>
      <c r="Z8245" t="str">
        <f>"COS10200804 909"</f>
        <v>COS10200804 909</v>
      </c>
    </row>
    <row r="8246" spans="1:26" x14ac:dyDescent="0.25">
      <c r="A8246" t="str">
        <f t="shared" si="3359"/>
        <v>04-08-2020 12:31:21</v>
      </c>
      <c r="B8246" t="str">
        <f>"0000802651"</f>
        <v>0000802651</v>
      </c>
      <c r="C8246" t="str">
        <f t="shared" si="3360"/>
        <v>0000802543</v>
      </c>
      <c r="D8246" t="str">
        <f t="shared" si="3345"/>
        <v>73185</v>
      </c>
      <c r="E8246" t="str">
        <f t="shared" si="3346"/>
        <v>KFH-OPERATIONS DEPARTMENT</v>
      </c>
      <c r="F8246" t="str">
        <f t="shared" si="3347"/>
        <v>IBG</v>
      </c>
      <c r="G8246" t="str">
        <f t="shared" si="3356"/>
        <v>Refund COSHARE 10</v>
      </c>
      <c r="H8246" s="2">
        <v>229</v>
      </c>
      <c r="I8246" t="str">
        <f>"CHEE YING SING"</f>
        <v>CHEE YING SING</v>
      </c>
      <c r="J8246" t="str">
        <f t="shared" si="3361"/>
        <v>BANK KERJASAMA RAKYAT</v>
      </c>
      <c r="K8246" t="str">
        <f>"221351261269"</f>
        <v>221351261269</v>
      </c>
      <c r="L8246" t="str">
        <f t="shared" si="3364"/>
        <v>04-08-2020</v>
      </c>
      <c r="M8246" t="str">
        <f t="shared" si="3364"/>
        <v>04-08-2020</v>
      </c>
      <c r="N8246" t="str">
        <f t="shared" si="3348"/>
        <v>001105018356</v>
      </c>
      <c r="O8246" t="str">
        <f t="shared" si="3349"/>
        <v>MYR</v>
      </c>
      <c r="P8246" t="str">
        <f t="shared" si="3365"/>
        <v>NIL</v>
      </c>
      <c r="Q8246" t="str">
        <f t="shared" si="3365"/>
        <v>NIL</v>
      </c>
      <c r="R8246" t="str">
        <f t="shared" si="3362"/>
        <v>Accepted</v>
      </c>
      <c r="S8246" t="str">
        <f t="shared" si="3350"/>
        <v>Approved</v>
      </c>
      <c r="T8246" t="str">
        <f t="shared" si="3363"/>
        <v>10.20.8.188</v>
      </c>
      <c r="U8246" t="str">
        <f t="shared" si="3351"/>
        <v>AZRAD UMAR BIN SHAARI</v>
      </c>
      <c r="V8246" t="str">
        <f t="shared" si="3352"/>
        <v>FARHANA BINTI MUSTAPA</v>
      </c>
      <c r="W8246" t="str">
        <f t="shared" si="3353"/>
        <v>04-08-2020</v>
      </c>
      <c r="X8246" t="str">
        <f t="shared" si="3354"/>
        <v>RAZIMAH ANSAR AHMAD</v>
      </c>
      <c r="Y8246" t="str">
        <f t="shared" si="3355"/>
        <v>04-08-2020</v>
      </c>
      <c r="Z8246" t="str">
        <f>"COS10200804 908"</f>
        <v>COS10200804 908</v>
      </c>
    </row>
    <row r="8247" spans="1:26" x14ac:dyDescent="0.25">
      <c r="A8247" t="str">
        <f t="shared" si="3359"/>
        <v>04-08-2020 12:31:21</v>
      </c>
      <c r="B8247" t="str">
        <f>"0000802650"</f>
        <v>0000802650</v>
      </c>
      <c r="C8247" t="str">
        <f t="shared" si="3360"/>
        <v>0000802543</v>
      </c>
      <c r="D8247" t="str">
        <f t="shared" si="3345"/>
        <v>73185</v>
      </c>
      <c r="E8247" t="str">
        <f t="shared" si="3346"/>
        <v>KFH-OPERATIONS DEPARTMENT</v>
      </c>
      <c r="F8247" t="str">
        <f t="shared" si="3347"/>
        <v>IBG</v>
      </c>
      <c r="G8247" t="str">
        <f t="shared" si="3356"/>
        <v>Refund COSHARE 10</v>
      </c>
      <c r="H8247" s="2">
        <v>887.05</v>
      </c>
      <c r="I8247" t="str">
        <f>"CHE ROS BINTI MD ISA  YAACOB"</f>
        <v>CHE ROS BINTI MD ISA  YAACOB</v>
      </c>
      <c r="J8247" t="str">
        <f t="shared" si="3361"/>
        <v>BANK KERJASAMA RAKYAT</v>
      </c>
      <c r="K8247" t="str">
        <f>"220031158029"</f>
        <v>220031158029</v>
      </c>
      <c r="L8247" t="str">
        <f t="shared" ref="L8247:M8266" si="3366">"04-08-2020"</f>
        <v>04-08-2020</v>
      </c>
      <c r="M8247" t="str">
        <f t="shared" si="3366"/>
        <v>04-08-2020</v>
      </c>
      <c r="N8247" t="str">
        <f t="shared" si="3348"/>
        <v>001105018356</v>
      </c>
      <c r="O8247" t="str">
        <f t="shared" si="3349"/>
        <v>MYR</v>
      </c>
      <c r="P8247" t="str">
        <f t="shared" ref="P8247:Q8266" si="3367">"NIL"</f>
        <v>NIL</v>
      </c>
      <c r="Q8247" t="str">
        <f t="shared" si="3367"/>
        <v>NIL</v>
      </c>
      <c r="R8247" t="str">
        <f t="shared" si="3362"/>
        <v>Accepted</v>
      </c>
      <c r="S8247" t="str">
        <f t="shared" si="3350"/>
        <v>Approved</v>
      </c>
      <c r="T8247" t="str">
        <f t="shared" si="3363"/>
        <v>10.20.8.188</v>
      </c>
      <c r="U8247" t="str">
        <f t="shared" si="3351"/>
        <v>AZRAD UMAR BIN SHAARI</v>
      </c>
      <c r="V8247" t="str">
        <f t="shared" si="3352"/>
        <v>FARHANA BINTI MUSTAPA</v>
      </c>
      <c r="W8247" t="str">
        <f t="shared" si="3353"/>
        <v>04-08-2020</v>
      </c>
      <c r="X8247" t="str">
        <f t="shared" si="3354"/>
        <v>RAZIMAH ANSAR AHMAD</v>
      </c>
      <c r="Y8247" t="str">
        <f t="shared" si="3355"/>
        <v>04-08-2020</v>
      </c>
      <c r="Z8247" t="str">
        <f>"COS10200804 907"</f>
        <v>COS10200804 907</v>
      </c>
    </row>
    <row r="8248" spans="1:26" x14ac:dyDescent="0.25">
      <c r="A8248" t="str">
        <f t="shared" si="3359"/>
        <v>04-08-2020 12:31:21</v>
      </c>
      <c r="B8248" t="str">
        <f>"0000802649"</f>
        <v>0000802649</v>
      </c>
      <c r="C8248" t="str">
        <f t="shared" si="3360"/>
        <v>0000802543</v>
      </c>
      <c r="D8248" t="str">
        <f t="shared" si="3345"/>
        <v>73185</v>
      </c>
      <c r="E8248" t="str">
        <f t="shared" si="3346"/>
        <v>KFH-OPERATIONS DEPARTMENT</v>
      </c>
      <c r="F8248" t="str">
        <f t="shared" si="3347"/>
        <v>IBG</v>
      </c>
      <c r="G8248" t="str">
        <f t="shared" si="3356"/>
        <v>Refund COSHARE 10</v>
      </c>
      <c r="H8248" s="2">
        <v>88.45</v>
      </c>
      <c r="I8248" t="str">
        <f>"CHE NORAZMAH BINTI NOOR DIN"</f>
        <v>CHE NORAZMAH BINTI NOOR DIN</v>
      </c>
      <c r="J8248" t="str">
        <f t="shared" si="3361"/>
        <v>BANK KERJASAMA RAKYAT</v>
      </c>
      <c r="K8248" t="str">
        <f>"220881170416"</f>
        <v>220881170416</v>
      </c>
      <c r="L8248" t="str">
        <f t="shared" si="3366"/>
        <v>04-08-2020</v>
      </c>
      <c r="M8248" t="str">
        <f t="shared" si="3366"/>
        <v>04-08-2020</v>
      </c>
      <c r="N8248" t="str">
        <f t="shared" si="3348"/>
        <v>001105018356</v>
      </c>
      <c r="O8248" t="str">
        <f t="shared" si="3349"/>
        <v>MYR</v>
      </c>
      <c r="P8248" t="str">
        <f t="shared" si="3367"/>
        <v>NIL</v>
      </c>
      <c r="Q8248" t="str">
        <f t="shared" si="3367"/>
        <v>NIL</v>
      </c>
      <c r="R8248" t="str">
        <f t="shared" si="3362"/>
        <v>Accepted</v>
      </c>
      <c r="S8248" t="str">
        <f t="shared" si="3350"/>
        <v>Approved</v>
      </c>
      <c r="T8248" t="str">
        <f t="shared" si="3363"/>
        <v>10.20.8.188</v>
      </c>
      <c r="U8248" t="str">
        <f t="shared" si="3351"/>
        <v>AZRAD UMAR BIN SHAARI</v>
      </c>
      <c r="V8248" t="str">
        <f t="shared" si="3352"/>
        <v>FARHANA BINTI MUSTAPA</v>
      </c>
      <c r="W8248" t="str">
        <f t="shared" si="3353"/>
        <v>04-08-2020</v>
      </c>
      <c r="X8248" t="str">
        <f t="shared" si="3354"/>
        <v>RAZIMAH ANSAR AHMAD</v>
      </c>
      <c r="Y8248" t="str">
        <f t="shared" si="3355"/>
        <v>04-08-2020</v>
      </c>
      <c r="Z8248" t="str">
        <f>"COS10200804 906"</f>
        <v>COS10200804 906</v>
      </c>
    </row>
    <row r="8249" spans="1:26" x14ac:dyDescent="0.25">
      <c r="A8249" t="str">
        <f t="shared" si="3359"/>
        <v>04-08-2020 12:31:21</v>
      </c>
      <c r="B8249" t="str">
        <f>"0000802648"</f>
        <v>0000802648</v>
      </c>
      <c r="C8249" t="str">
        <f t="shared" si="3360"/>
        <v>0000802543</v>
      </c>
      <c r="D8249" t="str">
        <f t="shared" si="3345"/>
        <v>73185</v>
      </c>
      <c r="E8249" t="str">
        <f t="shared" si="3346"/>
        <v>KFH-OPERATIONS DEPARTMENT</v>
      </c>
      <c r="F8249" t="str">
        <f t="shared" si="3347"/>
        <v>IBG</v>
      </c>
      <c r="G8249" t="str">
        <f t="shared" si="3356"/>
        <v>Refund COSHARE 10</v>
      </c>
      <c r="H8249" s="2">
        <v>1419</v>
      </c>
      <c r="I8249" t="str">
        <f>"CHE MOHD SUKAFIRIN NUR BIN CHE ANUAR"</f>
        <v>CHE MOHD SUKAFIRIN NUR BIN CHE ANUAR</v>
      </c>
      <c r="J8249" t="str">
        <f t="shared" si="3361"/>
        <v>BANK KERJASAMA RAKYAT</v>
      </c>
      <c r="K8249" t="str">
        <f>"220261284257"</f>
        <v>220261284257</v>
      </c>
      <c r="L8249" t="str">
        <f t="shared" si="3366"/>
        <v>04-08-2020</v>
      </c>
      <c r="M8249" t="str">
        <f t="shared" si="3366"/>
        <v>04-08-2020</v>
      </c>
      <c r="N8249" t="str">
        <f t="shared" si="3348"/>
        <v>001105018356</v>
      </c>
      <c r="O8249" t="str">
        <f t="shared" si="3349"/>
        <v>MYR</v>
      </c>
      <c r="P8249" t="str">
        <f t="shared" si="3367"/>
        <v>NIL</v>
      </c>
      <c r="Q8249" t="str">
        <f t="shared" si="3367"/>
        <v>NIL</v>
      </c>
      <c r="R8249" t="str">
        <f t="shared" si="3362"/>
        <v>Accepted</v>
      </c>
      <c r="S8249" t="str">
        <f t="shared" si="3350"/>
        <v>Approved</v>
      </c>
      <c r="T8249" t="str">
        <f t="shared" si="3363"/>
        <v>10.20.8.188</v>
      </c>
      <c r="U8249" t="str">
        <f t="shared" si="3351"/>
        <v>AZRAD UMAR BIN SHAARI</v>
      </c>
      <c r="V8249" t="str">
        <f t="shared" si="3352"/>
        <v>FARHANA BINTI MUSTAPA</v>
      </c>
      <c r="W8249" t="str">
        <f t="shared" si="3353"/>
        <v>04-08-2020</v>
      </c>
      <c r="X8249" t="str">
        <f t="shared" si="3354"/>
        <v>RAZIMAH ANSAR AHMAD</v>
      </c>
      <c r="Y8249" t="str">
        <f t="shared" si="3355"/>
        <v>04-08-2020</v>
      </c>
      <c r="Z8249" t="str">
        <f>"COS10200804 905"</f>
        <v>COS10200804 905</v>
      </c>
    </row>
    <row r="8250" spans="1:26" x14ac:dyDescent="0.25">
      <c r="A8250" t="str">
        <f t="shared" ref="A8250:A8281" si="3368">"04-08-2020 12:31:21"</f>
        <v>04-08-2020 12:31:21</v>
      </c>
      <c r="B8250" t="str">
        <f>"0000802647"</f>
        <v>0000802647</v>
      </c>
      <c r="C8250" t="str">
        <f t="shared" ref="C8250:C8281" si="3369">"0000802543"</f>
        <v>0000802543</v>
      </c>
      <c r="D8250" t="str">
        <f t="shared" si="3345"/>
        <v>73185</v>
      </c>
      <c r="E8250" t="str">
        <f t="shared" si="3346"/>
        <v>KFH-OPERATIONS DEPARTMENT</v>
      </c>
      <c r="F8250" t="str">
        <f t="shared" si="3347"/>
        <v>IBG</v>
      </c>
      <c r="G8250" t="str">
        <f t="shared" si="3356"/>
        <v>Refund COSHARE 10</v>
      </c>
      <c r="H8250" s="2">
        <v>301.60000000000002</v>
      </c>
      <c r="I8250" t="str">
        <f>"BORHAN BIN CHALI"</f>
        <v>BORHAN BIN CHALI</v>
      </c>
      <c r="J8250" t="str">
        <f t="shared" si="3361"/>
        <v>BANK KERJASAMA RAKYAT</v>
      </c>
      <c r="K8250" t="str">
        <f>"221021031571"</f>
        <v>221021031571</v>
      </c>
      <c r="L8250" t="str">
        <f t="shared" si="3366"/>
        <v>04-08-2020</v>
      </c>
      <c r="M8250" t="str">
        <f t="shared" si="3366"/>
        <v>04-08-2020</v>
      </c>
      <c r="N8250" t="str">
        <f t="shared" si="3348"/>
        <v>001105018356</v>
      </c>
      <c r="O8250" t="str">
        <f t="shared" si="3349"/>
        <v>MYR</v>
      </c>
      <c r="P8250" t="str">
        <f t="shared" si="3367"/>
        <v>NIL</v>
      </c>
      <c r="Q8250" t="str">
        <f t="shared" si="3367"/>
        <v>NIL</v>
      </c>
      <c r="R8250" t="str">
        <f t="shared" si="3362"/>
        <v>Accepted</v>
      </c>
      <c r="S8250" t="str">
        <f t="shared" si="3350"/>
        <v>Approved</v>
      </c>
      <c r="T8250" t="str">
        <f t="shared" si="3363"/>
        <v>10.20.8.188</v>
      </c>
      <c r="U8250" t="str">
        <f t="shared" si="3351"/>
        <v>AZRAD UMAR BIN SHAARI</v>
      </c>
      <c r="V8250" t="str">
        <f t="shared" si="3352"/>
        <v>FARHANA BINTI MUSTAPA</v>
      </c>
      <c r="W8250" t="str">
        <f t="shared" si="3353"/>
        <v>04-08-2020</v>
      </c>
      <c r="X8250" t="str">
        <f t="shared" si="3354"/>
        <v>RAZIMAH ANSAR AHMAD</v>
      </c>
      <c r="Y8250" t="str">
        <f t="shared" si="3355"/>
        <v>04-08-2020</v>
      </c>
      <c r="Z8250" t="str">
        <f>"COS10200804 904"</f>
        <v>COS10200804 904</v>
      </c>
    </row>
    <row r="8251" spans="1:26" x14ac:dyDescent="0.25">
      <c r="A8251" t="str">
        <f t="shared" si="3368"/>
        <v>04-08-2020 12:31:21</v>
      </c>
      <c r="B8251" t="str">
        <f>"0000802646"</f>
        <v>0000802646</v>
      </c>
      <c r="C8251" t="str">
        <f t="shared" si="3369"/>
        <v>0000802543</v>
      </c>
      <c r="D8251" t="str">
        <f t="shared" si="3345"/>
        <v>73185</v>
      </c>
      <c r="E8251" t="str">
        <f t="shared" si="3346"/>
        <v>KFH-OPERATIONS DEPARTMENT</v>
      </c>
      <c r="F8251" t="str">
        <f t="shared" si="3347"/>
        <v>IBG</v>
      </c>
      <c r="G8251" t="str">
        <f t="shared" si="3356"/>
        <v>Refund COSHARE 10</v>
      </c>
      <c r="H8251" s="2">
        <v>1091.3499999999999</v>
      </c>
      <c r="I8251" t="str">
        <f>"BOMMEY BIN JAMADIL"</f>
        <v>BOMMEY BIN JAMADIL</v>
      </c>
      <c r="J8251" t="str">
        <f t="shared" si="3361"/>
        <v>BANK KERJASAMA RAKYAT</v>
      </c>
      <c r="K8251" t="str">
        <f>"221011097497"</f>
        <v>221011097497</v>
      </c>
      <c r="L8251" t="str">
        <f t="shared" si="3366"/>
        <v>04-08-2020</v>
      </c>
      <c r="M8251" t="str">
        <f t="shared" si="3366"/>
        <v>04-08-2020</v>
      </c>
      <c r="N8251" t="str">
        <f t="shared" si="3348"/>
        <v>001105018356</v>
      </c>
      <c r="O8251" t="str">
        <f t="shared" si="3349"/>
        <v>MYR</v>
      </c>
      <c r="P8251" t="str">
        <f t="shared" si="3367"/>
        <v>NIL</v>
      </c>
      <c r="Q8251" t="str">
        <f t="shared" si="3367"/>
        <v>NIL</v>
      </c>
      <c r="R8251" t="str">
        <f t="shared" si="3362"/>
        <v>Accepted</v>
      </c>
      <c r="S8251" t="str">
        <f t="shared" si="3350"/>
        <v>Approved</v>
      </c>
      <c r="T8251" t="str">
        <f t="shared" si="3363"/>
        <v>10.20.8.188</v>
      </c>
      <c r="U8251" t="str">
        <f t="shared" si="3351"/>
        <v>AZRAD UMAR BIN SHAARI</v>
      </c>
      <c r="V8251" t="str">
        <f t="shared" si="3352"/>
        <v>FARHANA BINTI MUSTAPA</v>
      </c>
      <c r="W8251" t="str">
        <f t="shared" si="3353"/>
        <v>04-08-2020</v>
      </c>
      <c r="X8251" t="str">
        <f t="shared" si="3354"/>
        <v>RAZIMAH ANSAR AHMAD</v>
      </c>
      <c r="Y8251" t="str">
        <f t="shared" si="3355"/>
        <v>04-08-2020</v>
      </c>
      <c r="Z8251" t="str">
        <f>"COS10200804 903"</f>
        <v>COS10200804 903</v>
      </c>
    </row>
    <row r="8252" spans="1:26" x14ac:dyDescent="0.25">
      <c r="A8252" t="str">
        <f t="shared" si="3368"/>
        <v>04-08-2020 12:31:21</v>
      </c>
      <c r="B8252" t="str">
        <f>"0000802645"</f>
        <v>0000802645</v>
      </c>
      <c r="C8252" t="str">
        <f t="shared" si="3369"/>
        <v>0000802543</v>
      </c>
      <c r="D8252" t="str">
        <f t="shared" si="3345"/>
        <v>73185</v>
      </c>
      <c r="E8252" t="str">
        <f t="shared" si="3346"/>
        <v>KFH-OPERATIONS DEPARTMENT</v>
      </c>
      <c r="F8252" t="str">
        <f t="shared" si="3347"/>
        <v>IBG</v>
      </c>
      <c r="G8252" t="str">
        <f t="shared" si="3356"/>
        <v>Refund COSHARE 10</v>
      </c>
      <c r="H8252" s="2">
        <v>125.95</v>
      </c>
      <c r="I8252" t="str">
        <f>"BENEDICK BANSON"</f>
        <v>BENEDICK BANSON</v>
      </c>
      <c r="J8252" t="str">
        <f t="shared" si="3361"/>
        <v>BANK KERJASAMA RAKYAT</v>
      </c>
      <c r="K8252" t="str">
        <f>"220781155938"</f>
        <v>220781155938</v>
      </c>
      <c r="L8252" t="str">
        <f t="shared" si="3366"/>
        <v>04-08-2020</v>
      </c>
      <c r="M8252" t="str">
        <f t="shared" si="3366"/>
        <v>04-08-2020</v>
      </c>
      <c r="N8252" t="str">
        <f t="shared" si="3348"/>
        <v>001105018356</v>
      </c>
      <c r="O8252" t="str">
        <f t="shared" si="3349"/>
        <v>MYR</v>
      </c>
      <c r="P8252" t="str">
        <f t="shared" si="3367"/>
        <v>NIL</v>
      </c>
      <c r="Q8252" t="str">
        <f t="shared" si="3367"/>
        <v>NIL</v>
      </c>
      <c r="R8252" t="str">
        <f t="shared" si="3362"/>
        <v>Accepted</v>
      </c>
      <c r="S8252" t="str">
        <f t="shared" si="3350"/>
        <v>Approved</v>
      </c>
      <c r="T8252" t="str">
        <f t="shared" si="3363"/>
        <v>10.20.8.188</v>
      </c>
      <c r="U8252" t="str">
        <f t="shared" si="3351"/>
        <v>AZRAD UMAR BIN SHAARI</v>
      </c>
      <c r="V8252" t="str">
        <f t="shared" si="3352"/>
        <v>FARHANA BINTI MUSTAPA</v>
      </c>
      <c r="W8252" t="str">
        <f t="shared" si="3353"/>
        <v>04-08-2020</v>
      </c>
      <c r="X8252" t="str">
        <f t="shared" si="3354"/>
        <v>RAZIMAH ANSAR AHMAD</v>
      </c>
      <c r="Y8252" t="str">
        <f t="shared" si="3355"/>
        <v>04-08-2020</v>
      </c>
      <c r="Z8252" t="str">
        <f>"COS10200804 902"</f>
        <v>COS10200804 902</v>
      </c>
    </row>
    <row r="8253" spans="1:26" x14ac:dyDescent="0.25">
      <c r="A8253" t="str">
        <f t="shared" si="3368"/>
        <v>04-08-2020 12:31:21</v>
      </c>
      <c r="B8253" t="str">
        <f>"0000802644"</f>
        <v>0000802644</v>
      </c>
      <c r="C8253" t="str">
        <f t="shared" si="3369"/>
        <v>0000802543</v>
      </c>
      <c r="D8253" t="str">
        <f t="shared" si="3345"/>
        <v>73185</v>
      </c>
      <c r="E8253" t="str">
        <f t="shared" si="3346"/>
        <v>KFH-OPERATIONS DEPARTMENT</v>
      </c>
      <c r="F8253" t="str">
        <f t="shared" si="3347"/>
        <v>IBG</v>
      </c>
      <c r="G8253" t="str">
        <f t="shared" si="3356"/>
        <v>Refund COSHARE 10</v>
      </c>
      <c r="H8253" s="2">
        <v>221.75</v>
      </c>
      <c r="I8253" t="str">
        <f>"BASHARINA BINTI MOHD BASHAH"</f>
        <v>BASHARINA BINTI MOHD BASHAH</v>
      </c>
      <c r="J8253" t="str">
        <f t="shared" si="3361"/>
        <v>BANK KERJASAMA RAKYAT</v>
      </c>
      <c r="K8253" t="str">
        <f>"220201182565"</f>
        <v>220201182565</v>
      </c>
      <c r="L8253" t="str">
        <f t="shared" si="3366"/>
        <v>04-08-2020</v>
      </c>
      <c r="M8253" t="str">
        <f t="shared" si="3366"/>
        <v>04-08-2020</v>
      </c>
      <c r="N8253" t="str">
        <f t="shared" si="3348"/>
        <v>001105018356</v>
      </c>
      <c r="O8253" t="str">
        <f t="shared" si="3349"/>
        <v>MYR</v>
      </c>
      <c r="P8253" t="str">
        <f t="shared" si="3367"/>
        <v>NIL</v>
      </c>
      <c r="Q8253" t="str">
        <f t="shared" si="3367"/>
        <v>NIL</v>
      </c>
      <c r="R8253" t="str">
        <f t="shared" si="3362"/>
        <v>Accepted</v>
      </c>
      <c r="S8253" t="str">
        <f t="shared" si="3350"/>
        <v>Approved</v>
      </c>
      <c r="T8253" t="str">
        <f t="shared" si="3363"/>
        <v>10.20.8.188</v>
      </c>
      <c r="U8253" t="str">
        <f t="shared" si="3351"/>
        <v>AZRAD UMAR BIN SHAARI</v>
      </c>
      <c r="V8253" t="str">
        <f t="shared" si="3352"/>
        <v>FARHANA BINTI MUSTAPA</v>
      </c>
      <c r="W8253" t="str">
        <f t="shared" si="3353"/>
        <v>04-08-2020</v>
      </c>
      <c r="X8253" t="str">
        <f t="shared" si="3354"/>
        <v>RAZIMAH ANSAR AHMAD</v>
      </c>
      <c r="Y8253" t="str">
        <f t="shared" si="3355"/>
        <v>04-08-2020</v>
      </c>
      <c r="Z8253" t="str">
        <f>"COS10200804 901"</f>
        <v>COS10200804 901</v>
      </c>
    </row>
    <row r="8254" spans="1:26" x14ac:dyDescent="0.25">
      <c r="A8254" t="str">
        <f t="shared" si="3368"/>
        <v>04-08-2020 12:31:21</v>
      </c>
      <c r="B8254" t="str">
        <f>"0000802643"</f>
        <v>0000802643</v>
      </c>
      <c r="C8254" t="str">
        <f t="shared" si="3369"/>
        <v>0000802543</v>
      </c>
      <c r="D8254" t="str">
        <f t="shared" si="3345"/>
        <v>73185</v>
      </c>
      <c r="E8254" t="str">
        <f t="shared" si="3346"/>
        <v>KFH-OPERATIONS DEPARTMENT</v>
      </c>
      <c r="F8254" t="str">
        <f t="shared" si="3347"/>
        <v>IBG</v>
      </c>
      <c r="G8254" t="str">
        <f t="shared" si="3356"/>
        <v>Refund COSHARE 10</v>
      </c>
      <c r="H8254" s="2">
        <v>92.35</v>
      </c>
      <c r="I8254" t="str">
        <f>"BARRY ANAK LAYAU"</f>
        <v>BARRY ANAK LAYAU</v>
      </c>
      <c r="J8254" t="str">
        <f t="shared" si="3361"/>
        <v>BANK KERJASAMA RAKYAT</v>
      </c>
      <c r="K8254" t="str">
        <f>"220901133071"</f>
        <v>220901133071</v>
      </c>
      <c r="L8254" t="str">
        <f t="shared" si="3366"/>
        <v>04-08-2020</v>
      </c>
      <c r="M8254" t="str">
        <f t="shared" si="3366"/>
        <v>04-08-2020</v>
      </c>
      <c r="N8254" t="str">
        <f t="shared" si="3348"/>
        <v>001105018356</v>
      </c>
      <c r="O8254" t="str">
        <f t="shared" si="3349"/>
        <v>MYR</v>
      </c>
      <c r="P8254" t="str">
        <f t="shared" si="3367"/>
        <v>NIL</v>
      </c>
      <c r="Q8254" t="str">
        <f t="shared" si="3367"/>
        <v>NIL</v>
      </c>
      <c r="R8254" t="str">
        <f t="shared" si="3362"/>
        <v>Accepted</v>
      </c>
      <c r="S8254" t="str">
        <f t="shared" si="3350"/>
        <v>Approved</v>
      </c>
      <c r="T8254" t="str">
        <f t="shared" si="3363"/>
        <v>10.20.8.188</v>
      </c>
      <c r="U8254" t="str">
        <f t="shared" si="3351"/>
        <v>AZRAD UMAR BIN SHAARI</v>
      </c>
      <c r="V8254" t="str">
        <f t="shared" si="3352"/>
        <v>FARHANA BINTI MUSTAPA</v>
      </c>
      <c r="W8254" t="str">
        <f t="shared" si="3353"/>
        <v>04-08-2020</v>
      </c>
      <c r="X8254" t="str">
        <f t="shared" si="3354"/>
        <v>RAZIMAH ANSAR AHMAD</v>
      </c>
      <c r="Y8254" t="str">
        <f t="shared" si="3355"/>
        <v>04-08-2020</v>
      </c>
      <c r="Z8254" t="str">
        <f>"COS10200804 900"</f>
        <v>COS10200804 900</v>
      </c>
    </row>
    <row r="8255" spans="1:26" x14ac:dyDescent="0.25">
      <c r="A8255" t="str">
        <f t="shared" si="3368"/>
        <v>04-08-2020 12:31:21</v>
      </c>
      <c r="B8255" t="str">
        <f>"0000802642"</f>
        <v>0000802642</v>
      </c>
      <c r="C8255" t="str">
        <f t="shared" si="3369"/>
        <v>0000802543</v>
      </c>
      <c r="D8255" t="str">
        <f t="shared" si="3345"/>
        <v>73185</v>
      </c>
      <c r="E8255" t="str">
        <f t="shared" si="3346"/>
        <v>KFH-OPERATIONS DEPARTMENT</v>
      </c>
      <c r="F8255" t="str">
        <f t="shared" si="3347"/>
        <v>IBG</v>
      </c>
      <c r="G8255" t="str">
        <f t="shared" si="3356"/>
        <v>Refund COSHARE 10</v>
      </c>
      <c r="H8255" s="2">
        <v>42</v>
      </c>
      <c r="I8255" t="str">
        <f>"BARIRAH BINTI MUHAMMAD FEIZAL PRITHIPAL"</f>
        <v>BARIRAH BINTI MUHAMMAD FEIZAL PRITHIPAL</v>
      </c>
      <c r="J8255" t="str">
        <f t="shared" si="3361"/>
        <v>BANK KERJASAMA RAKYAT</v>
      </c>
      <c r="K8255" t="str">
        <f>"220551123233"</f>
        <v>220551123233</v>
      </c>
      <c r="L8255" t="str">
        <f t="shared" si="3366"/>
        <v>04-08-2020</v>
      </c>
      <c r="M8255" t="str">
        <f t="shared" si="3366"/>
        <v>04-08-2020</v>
      </c>
      <c r="N8255" t="str">
        <f t="shared" si="3348"/>
        <v>001105018356</v>
      </c>
      <c r="O8255" t="str">
        <f t="shared" si="3349"/>
        <v>MYR</v>
      </c>
      <c r="P8255" t="str">
        <f t="shared" si="3367"/>
        <v>NIL</v>
      </c>
      <c r="Q8255" t="str">
        <f t="shared" si="3367"/>
        <v>NIL</v>
      </c>
      <c r="R8255" t="str">
        <f t="shared" si="3362"/>
        <v>Accepted</v>
      </c>
      <c r="S8255" t="str">
        <f t="shared" si="3350"/>
        <v>Approved</v>
      </c>
      <c r="T8255" t="str">
        <f t="shared" si="3363"/>
        <v>10.20.8.188</v>
      </c>
      <c r="U8255" t="str">
        <f t="shared" si="3351"/>
        <v>AZRAD UMAR BIN SHAARI</v>
      </c>
      <c r="V8255" t="str">
        <f t="shared" si="3352"/>
        <v>FARHANA BINTI MUSTAPA</v>
      </c>
      <c r="W8255" t="str">
        <f t="shared" si="3353"/>
        <v>04-08-2020</v>
      </c>
      <c r="X8255" t="str">
        <f t="shared" si="3354"/>
        <v>RAZIMAH ANSAR AHMAD</v>
      </c>
      <c r="Y8255" t="str">
        <f t="shared" si="3355"/>
        <v>04-08-2020</v>
      </c>
      <c r="Z8255" t="str">
        <f>"COS10200804 899"</f>
        <v>COS10200804 899</v>
      </c>
    </row>
    <row r="8256" spans="1:26" x14ac:dyDescent="0.25">
      <c r="A8256" t="str">
        <f t="shared" si="3368"/>
        <v>04-08-2020 12:31:21</v>
      </c>
      <c r="B8256" t="str">
        <f>"0000802641"</f>
        <v>0000802641</v>
      </c>
      <c r="C8256" t="str">
        <f t="shared" si="3369"/>
        <v>0000802543</v>
      </c>
      <c r="D8256" t="str">
        <f t="shared" si="3345"/>
        <v>73185</v>
      </c>
      <c r="E8256" t="str">
        <f t="shared" si="3346"/>
        <v>KFH-OPERATIONS DEPARTMENT</v>
      </c>
      <c r="F8256" t="str">
        <f t="shared" si="3347"/>
        <v>IBG</v>
      </c>
      <c r="G8256" t="str">
        <f t="shared" si="3356"/>
        <v>Refund COSHARE 10</v>
      </c>
      <c r="H8256" s="2">
        <v>42</v>
      </c>
      <c r="I8256" t="str">
        <f>"BAHARUDDIN BIN BARUN"</f>
        <v>BAHARUDDIN BIN BARUN</v>
      </c>
      <c r="J8256" t="str">
        <f t="shared" si="3361"/>
        <v>BANK KERJASAMA RAKYAT</v>
      </c>
      <c r="K8256" t="str">
        <f>"220981199382"</f>
        <v>220981199382</v>
      </c>
      <c r="L8256" t="str">
        <f t="shared" si="3366"/>
        <v>04-08-2020</v>
      </c>
      <c r="M8256" t="str">
        <f t="shared" si="3366"/>
        <v>04-08-2020</v>
      </c>
      <c r="N8256" t="str">
        <f t="shared" si="3348"/>
        <v>001105018356</v>
      </c>
      <c r="O8256" t="str">
        <f t="shared" si="3349"/>
        <v>MYR</v>
      </c>
      <c r="P8256" t="str">
        <f t="shared" si="3367"/>
        <v>NIL</v>
      </c>
      <c r="Q8256" t="str">
        <f t="shared" si="3367"/>
        <v>NIL</v>
      </c>
      <c r="R8256" t="str">
        <f t="shared" si="3362"/>
        <v>Accepted</v>
      </c>
      <c r="S8256" t="str">
        <f t="shared" si="3350"/>
        <v>Approved</v>
      </c>
      <c r="T8256" t="str">
        <f t="shared" si="3363"/>
        <v>10.20.8.188</v>
      </c>
      <c r="U8256" t="str">
        <f t="shared" si="3351"/>
        <v>AZRAD UMAR BIN SHAARI</v>
      </c>
      <c r="V8256" t="str">
        <f t="shared" si="3352"/>
        <v>FARHANA BINTI MUSTAPA</v>
      </c>
      <c r="W8256" t="str">
        <f t="shared" si="3353"/>
        <v>04-08-2020</v>
      </c>
      <c r="X8256" t="str">
        <f t="shared" si="3354"/>
        <v>RAZIMAH ANSAR AHMAD</v>
      </c>
      <c r="Y8256" t="str">
        <f t="shared" si="3355"/>
        <v>04-08-2020</v>
      </c>
      <c r="Z8256" t="str">
        <f>"COS10200804 898"</f>
        <v>COS10200804 898</v>
      </c>
    </row>
    <row r="8257" spans="1:26" x14ac:dyDescent="0.25">
      <c r="A8257" t="str">
        <f t="shared" si="3368"/>
        <v>04-08-2020 12:31:21</v>
      </c>
      <c r="B8257" t="str">
        <f>"0000802640"</f>
        <v>0000802640</v>
      </c>
      <c r="C8257" t="str">
        <f t="shared" si="3369"/>
        <v>0000802543</v>
      </c>
      <c r="D8257" t="str">
        <f t="shared" si="3345"/>
        <v>73185</v>
      </c>
      <c r="E8257" t="str">
        <f t="shared" si="3346"/>
        <v>KFH-OPERATIONS DEPARTMENT</v>
      </c>
      <c r="F8257" t="str">
        <f t="shared" si="3347"/>
        <v>IBG</v>
      </c>
      <c r="G8257" t="str">
        <f t="shared" si="3356"/>
        <v>Refund COSHARE 10</v>
      </c>
      <c r="H8257" s="2">
        <v>84</v>
      </c>
      <c r="I8257" t="str">
        <f>"BAHAJUDDIN BIN DOLLAH"</f>
        <v>BAHAJUDDIN BIN DOLLAH</v>
      </c>
      <c r="J8257" t="str">
        <f t="shared" si="3361"/>
        <v>BANK KERJASAMA RAKYAT</v>
      </c>
      <c r="K8257" t="str">
        <f>"220411231693"</f>
        <v>220411231693</v>
      </c>
      <c r="L8257" t="str">
        <f t="shared" si="3366"/>
        <v>04-08-2020</v>
      </c>
      <c r="M8257" t="str">
        <f t="shared" si="3366"/>
        <v>04-08-2020</v>
      </c>
      <c r="N8257" t="str">
        <f t="shared" si="3348"/>
        <v>001105018356</v>
      </c>
      <c r="O8257" t="str">
        <f t="shared" si="3349"/>
        <v>MYR</v>
      </c>
      <c r="P8257" t="str">
        <f t="shared" si="3367"/>
        <v>NIL</v>
      </c>
      <c r="Q8257" t="str">
        <f t="shared" si="3367"/>
        <v>NIL</v>
      </c>
      <c r="R8257" t="str">
        <f t="shared" si="3362"/>
        <v>Accepted</v>
      </c>
      <c r="S8257" t="str">
        <f t="shared" si="3350"/>
        <v>Approved</v>
      </c>
      <c r="T8257" t="str">
        <f t="shared" si="3363"/>
        <v>10.20.8.188</v>
      </c>
      <c r="U8257" t="str">
        <f t="shared" si="3351"/>
        <v>AZRAD UMAR BIN SHAARI</v>
      </c>
      <c r="V8257" t="str">
        <f t="shared" si="3352"/>
        <v>FARHANA BINTI MUSTAPA</v>
      </c>
      <c r="W8257" t="str">
        <f t="shared" si="3353"/>
        <v>04-08-2020</v>
      </c>
      <c r="X8257" t="str">
        <f t="shared" si="3354"/>
        <v>RAZIMAH ANSAR AHMAD</v>
      </c>
      <c r="Y8257" t="str">
        <f t="shared" si="3355"/>
        <v>04-08-2020</v>
      </c>
      <c r="Z8257" t="str">
        <f>"COS10200804 897"</f>
        <v>COS10200804 897</v>
      </c>
    </row>
    <row r="8258" spans="1:26" x14ac:dyDescent="0.25">
      <c r="A8258" t="str">
        <f t="shared" si="3368"/>
        <v>04-08-2020 12:31:21</v>
      </c>
      <c r="B8258" t="str">
        <f>"0000802639"</f>
        <v>0000802639</v>
      </c>
      <c r="C8258" t="str">
        <f t="shared" si="3369"/>
        <v>0000802543</v>
      </c>
      <c r="D8258" t="str">
        <f t="shared" si="3345"/>
        <v>73185</v>
      </c>
      <c r="E8258" t="str">
        <f t="shared" si="3346"/>
        <v>KFH-OPERATIONS DEPARTMENT</v>
      </c>
      <c r="F8258" t="str">
        <f t="shared" si="3347"/>
        <v>IBG</v>
      </c>
      <c r="G8258" t="str">
        <f t="shared" si="3356"/>
        <v>Refund COSHARE 10</v>
      </c>
      <c r="H8258" s="2">
        <v>47.35</v>
      </c>
      <c r="I8258" t="str">
        <f>"AZURISHAM BIN DIN"</f>
        <v>AZURISHAM BIN DIN</v>
      </c>
      <c r="J8258" t="str">
        <f t="shared" si="3361"/>
        <v>BANK KERJASAMA RAKYAT</v>
      </c>
      <c r="K8258" t="str">
        <f>"220681186451"</f>
        <v>220681186451</v>
      </c>
      <c r="L8258" t="str">
        <f t="shared" si="3366"/>
        <v>04-08-2020</v>
      </c>
      <c r="M8258" t="str">
        <f t="shared" si="3366"/>
        <v>04-08-2020</v>
      </c>
      <c r="N8258" t="str">
        <f t="shared" si="3348"/>
        <v>001105018356</v>
      </c>
      <c r="O8258" t="str">
        <f t="shared" si="3349"/>
        <v>MYR</v>
      </c>
      <c r="P8258" t="str">
        <f t="shared" si="3367"/>
        <v>NIL</v>
      </c>
      <c r="Q8258" t="str">
        <f t="shared" si="3367"/>
        <v>NIL</v>
      </c>
      <c r="R8258" t="str">
        <f t="shared" si="3362"/>
        <v>Accepted</v>
      </c>
      <c r="S8258" t="str">
        <f t="shared" si="3350"/>
        <v>Approved</v>
      </c>
      <c r="T8258" t="str">
        <f t="shared" si="3363"/>
        <v>10.20.8.188</v>
      </c>
      <c r="U8258" t="str">
        <f t="shared" si="3351"/>
        <v>AZRAD UMAR BIN SHAARI</v>
      </c>
      <c r="V8258" t="str">
        <f t="shared" si="3352"/>
        <v>FARHANA BINTI MUSTAPA</v>
      </c>
      <c r="W8258" t="str">
        <f t="shared" si="3353"/>
        <v>04-08-2020</v>
      </c>
      <c r="X8258" t="str">
        <f t="shared" si="3354"/>
        <v>RAZIMAH ANSAR AHMAD</v>
      </c>
      <c r="Y8258" t="str">
        <f t="shared" si="3355"/>
        <v>04-08-2020</v>
      </c>
      <c r="Z8258" t="str">
        <f>"COS10200804 896"</f>
        <v>COS10200804 896</v>
      </c>
    </row>
    <row r="8259" spans="1:26" x14ac:dyDescent="0.25">
      <c r="A8259" t="str">
        <f t="shared" si="3368"/>
        <v>04-08-2020 12:31:21</v>
      </c>
      <c r="B8259" t="str">
        <f>"0000802638"</f>
        <v>0000802638</v>
      </c>
      <c r="C8259" t="str">
        <f t="shared" si="3369"/>
        <v>0000802543</v>
      </c>
      <c r="D8259" t="str">
        <f t="shared" si="3345"/>
        <v>73185</v>
      </c>
      <c r="E8259" t="str">
        <f t="shared" si="3346"/>
        <v>KFH-OPERATIONS DEPARTMENT</v>
      </c>
      <c r="F8259" t="str">
        <f t="shared" si="3347"/>
        <v>IBG</v>
      </c>
      <c r="G8259" t="str">
        <f t="shared" si="3356"/>
        <v>Refund COSHARE 10</v>
      </c>
      <c r="H8259" s="2">
        <v>404</v>
      </c>
      <c r="I8259" t="str">
        <f>"AZRIYANI BINTI ABDUL WAHAB"</f>
        <v>AZRIYANI BINTI ABDUL WAHAB</v>
      </c>
      <c r="J8259" t="str">
        <f t="shared" si="3361"/>
        <v>BANK KERJASAMA RAKYAT</v>
      </c>
      <c r="K8259" t="str">
        <f>"220011439892"</f>
        <v>220011439892</v>
      </c>
      <c r="L8259" t="str">
        <f t="shared" si="3366"/>
        <v>04-08-2020</v>
      </c>
      <c r="M8259" t="str">
        <f t="shared" si="3366"/>
        <v>04-08-2020</v>
      </c>
      <c r="N8259" t="str">
        <f t="shared" si="3348"/>
        <v>001105018356</v>
      </c>
      <c r="O8259" t="str">
        <f t="shared" si="3349"/>
        <v>MYR</v>
      </c>
      <c r="P8259" t="str">
        <f t="shared" si="3367"/>
        <v>NIL</v>
      </c>
      <c r="Q8259" t="str">
        <f t="shared" si="3367"/>
        <v>NIL</v>
      </c>
      <c r="R8259" t="str">
        <f t="shared" si="3362"/>
        <v>Accepted</v>
      </c>
      <c r="S8259" t="str">
        <f t="shared" si="3350"/>
        <v>Approved</v>
      </c>
      <c r="T8259" t="str">
        <f t="shared" si="3363"/>
        <v>10.20.8.188</v>
      </c>
      <c r="U8259" t="str">
        <f t="shared" si="3351"/>
        <v>AZRAD UMAR BIN SHAARI</v>
      </c>
      <c r="V8259" t="str">
        <f t="shared" si="3352"/>
        <v>FARHANA BINTI MUSTAPA</v>
      </c>
      <c r="W8259" t="str">
        <f t="shared" si="3353"/>
        <v>04-08-2020</v>
      </c>
      <c r="X8259" t="str">
        <f t="shared" si="3354"/>
        <v>RAZIMAH ANSAR AHMAD</v>
      </c>
      <c r="Y8259" t="str">
        <f t="shared" si="3355"/>
        <v>04-08-2020</v>
      </c>
      <c r="Z8259" t="str">
        <f>"COS10200804 895"</f>
        <v>COS10200804 895</v>
      </c>
    </row>
    <row r="8260" spans="1:26" x14ac:dyDescent="0.25">
      <c r="A8260" t="str">
        <f t="shared" si="3368"/>
        <v>04-08-2020 12:31:21</v>
      </c>
      <c r="B8260" t="str">
        <f>"0000802637"</f>
        <v>0000802637</v>
      </c>
      <c r="C8260" t="str">
        <f t="shared" si="3369"/>
        <v>0000802543</v>
      </c>
      <c r="D8260" t="str">
        <f t="shared" si="3345"/>
        <v>73185</v>
      </c>
      <c r="E8260" t="str">
        <f t="shared" si="3346"/>
        <v>KFH-OPERATIONS DEPARTMENT</v>
      </c>
      <c r="F8260" t="str">
        <f t="shared" si="3347"/>
        <v>IBG</v>
      </c>
      <c r="G8260" t="str">
        <f t="shared" si="3356"/>
        <v>Refund COSHARE 10</v>
      </c>
      <c r="H8260" s="2">
        <v>1053</v>
      </c>
      <c r="I8260" t="str">
        <f>"AZRIN BIN MASADI"</f>
        <v>AZRIN BIN MASADI</v>
      </c>
      <c r="J8260" t="str">
        <f t="shared" si="3361"/>
        <v>BANK KERJASAMA RAKYAT</v>
      </c>
      <c r="K8260" t="str">
        <f>"220171287926"</f>
        <v>220171287926</v>
      </c>
      <c r="L8260" t="str">
        <f t="shared" si="3366"/>
        <v>04-08-2020</v>
      </c>
      <c r="M8260" t="str">
        <f t="shared" si="3366"/>
        <v>04-08-2020</v>
      </c>
      <c r="N8260" t="str">
        <f t="shared" si="3348"/>
        <v>001105018356</v>
      </c>
      <c r="O8260" t="str">
        <f t="shared" si="3349"/>
        <v>MYR</v>
      </c>
      <c r="P8260" t="str">
        <f t="shared" si="3367"/>
        <v>NIL</v>
      </c>
      <c r="Q8260" t="str">
        <f t="shared" si="3367"/>
        <v>NIL</v>
      </c>
      <c r="R8260" t="str">
        <f t="shared" si="3362"/>
        <v>Accepted</v>
      </c>
      <c r="S8260" t="str">
        <f t="shared" si="3350"/>
        <v>Approved</v>
      </c>
      <c r="T8260" t="str">
        <f t="shared" si="3363"/>
        <v>10.20.8.188</v>
      </c>
      <c r="U8260" t="str">
        <f t="shared" si="3351"/>
        <v>AZRAD UMAR BIN SHAARI</v>
      </c>
      <c r="V8260" t="str">
        <f t="shared" si="3352"/>
        <v>FARHANA BINTI MUSTAPA</v>
      </c>
      <c r="W8260" t="str">
        <f t="shared" si="3353"/>
        <v>04-08-2020</v>
      </c>
      <c r="X8260" t="str">
        <f t="shared" si="3354"/>
        <v>RAZIMAH ANSAR AHMAD</v>
      </c>
      <c r="Y8260" t="str">
        <f t="shared" si="3355"/>
        <v>04-08-2020</v>
      </c>
      <c r="Z8260" t="str">
        <f>"COS10200804 894"</f>
        <v>COS10200804 894</v>
      </c>
    </row>
    <row r="8261" spans="1:26" x14ac:dyDescent="0.25">
      <c r="A8261" t="str">
        <f t="shared" si="3368"/>
        <v>04-08-2020 12:31:21</v>
      </c>
      <c r="B8261" t="str">
        <f>"0000802636"</f>
        <v>0000802636</v>
      </c>
      <c r="C8261" t="str">
        <f t="shared" si="3369"/>
        <v>0000802543</v>
      </c>
      <c r="D8261" t="str">
        <f t="shared" si="3345"/>
        <v>73185</v>
      </c>
      <c r="E8261" t="str">
        <f t="shared" si="3346"/>
        <v>KFH-OPERATIONS DEPARTMENT</v>
      </c>
      <c r="F8261" t="str">
        <f t="shared" si="3347"/>
        <v>IBG</v>
      </c>
      <c r="G8261" t="str">
        <f t="shared" si="3356"/>
        <v>Refund COSHARE 10</v>
      </c>
      <c r="H8261" s="2">
        <v>730.4</v>
      </c>
      <c r="I8261" t="str">
        <f>"AZNIZA BINTI MUHAMAD AYIYEE"</f>
        <v>AZNIZA BINTI MUHAMAD AYIYEE</v>
      </c>
      <c r="J8261" t="str">
        <f t="shared" si="3361"/>
        <v>BANK KERJASAMA RAKYAT</v>
      </c>
      <c r="K8261" t="str">
        <f>"220981073556"</f>
        <v>220981073556</v>
      </c>
      <c r="L8261" t="str">
        <f t="shared" si="3366"/>
        <v>04-08-2020</v>
      </c>
      <c r="M8261" t="str">
        <f t="shared" si="3366"/>
        <v>04-08-2020</v>
      </c>
      <c r="N8261" t="str">
        <f t="shared" si="3348"/>
        <v>001105018356</v>
      </c>
      <c r="O8261" t="str">
        <f t="shared" si="3349"/>
        <v>MYR</v>
      </c>
      <c r="P8261" t="str">
        <f t="shared" si="3367"/>
        <v>NIL</v>
      </c>
      <c r="Q8261" t="str">
        <f t="shared" si="3367"/>
        <v>NIL</v>
      </c>
      <c r="R8261" t="str">
        <f t="shared" si="3362"/>
        <v>Accepted</v>
      </c>
      <c r="S8261" t="str">
        <f t="shared" si="3350"/>
        <v>Approved</v>
      </c>
      <c r="T8261" t="str">
        <f t="shared" si="3363"/>
        <v>10.20.8.188</v>
      </c>
      <c r="U8261" t="str">
        <f t="shared" si="3351"/>
        <v>AZRAD UMAR BIN SHAARI</v>
      </c>
      <c r="V8261" t="str">
        <f t="shared" si="3352"/>
        <v>FARHANA BINTI MUSTAPA</v>
      </c>
      <c r="W8261" t="str">
        <f t="shared" si="3353"/>
        <v>04-08-2020</v>
      </c>
      <c r="X8261" t="str">
        <f t="shared" si="3354"/>
        <v>RAZIMAH ANSAR AHMAD</v>
      </c>
      <c r="Y8261" t="str">
        <f t="shared" si="3355"/>
        <v>04-08-2020</v>
      </c>
      <c r="Z8261" t="str">
        <f>"COS10200804 893"</f>
        <v>COS10200804 893</v>
      </c>
    </row>
    <row r="8262" spans="1:26" x14ac:dyDescent="0.25">
      <c r="A8262" t="str">
        <f t="shared" si="3368"/>
        <v>04-08-2020 12:31:21</v>
      </c>
      <c r="B8262" t="str">
        <f>"0000802635"</f>
        <v>0000802635</v>
      </c>
      <c r="C8262" t="str">
        <f t="shared" si="3369"/>
        <v>0000802543</v>
      </c>
      <c r="D8262" t="str">
        <f t="shared" si="3345"/>
        <v>73185</v>
      </c>
      <c r="E8262" t="str">
        <f t="shared" si="3346"/>
        <v>KFH-OPERATIONS DEPARTMENT</v>
      </c>
      <c r="F8262" t="str">
        <f t="shared" si="3347"/>
        <v>IBG</v>
      </c>
      <c r="G8262" t="str">
        <f t="shared" si="3356"/>
        <v>Refund COSHARE 10</v>
      </c>
      <c r="H8262" s="2">
        <v>377.8</v>
      </c>
      <c r="I8262" t="str">
        <f>"AZNIRA BINTI MOHAMAD ARIFFIN"</f>
        <v>AZNIRA BINTI MOHAMAD ARIFFIN</v>
      </c>
      <c r="J8262" t="str">
        <f t="shared" si="3361"/>
        <v>BANK KERJASAMA RAKYAT</v>
      </c>
      <c r="K8262" t="str">
        <f>"220411315787"</f>
        <v>220411315787</v>
      </c>
      <c r="L8262" t="str">
        <f t="shared" si="3366"/>
        <v>04-08-2020</v>
      </c>
      <c r="M8262" t="str">
        <f t="shared" si="3366"/>
        <v>04-08-2020</v>
      </c>
      <c r="N8262" t="str">
        <f t="shared" si="3348"/>
        <v>001105018356</v>
      </c>
      <c r="O8262" t="str">
        <f t="shared" si="3349"/>
        <v>MYR</v>
      </c>
      <c r="P8262" t="str">
        <f t="shared" si="3367"/>
        <v>NIL</v>
      </c>
      <c r="Q8262" t="str">
        <f t="shared" si="3367"/>
        <v>NIL</v>
      </c>
      <c r="R8262" t="str">
        <f t="shared" si="3362"/>
        <v>Accepted</v>
      </c>
      <c r="S8262" t="str">
        <f t="shared" si="3350"/>
        <v>Approved</v>
      </c>
      <c r="T8262" t="str">
        <f t="shared" si="3363"/>
        <v>10.20.8.188</v>
      </c>
      <c r="U8262" t="str">
        <f t="shared" si="3351"/>
        <v>AZRAD UMAR BIN SHAARI</v>
      </c>
      <c r="V8262" t="str">
        <f t="shared" si="3352"/>
        <v>FARHANA BINTI MUSTAPA</v>
      </c>
      <c r="W8262" t="str">
        <f t="shared" si="3353"/>
        <v>04-08-2020</v>
      </c>
      <c r="X8262" t="str">
        <f t="shared" si="3354"/>
        <v>RAZIMAH ANSAR AHMAD</v>
      </c>
      <c r="Y8262" t="str">
        <f t="shared" si="3355"/>
        <v>04-08-2020</v>
      </c>
      <c r="Z8262" t="str">
        <f>"COS10200804 892"</f>
        <v>COS10200804 892</v>
      </c>
    </row>
    <row r="8263" spans="1:26" x14ac:dyDescent="0.25">
      <c r="A8263" t="str">
        <f t="shared" si="3368"/>
        <v>04-08-2020 12:31:21</v>
      </c>
      <c r="B8263" t="str">
        <f>"0000802634"</f>
        <v>0000802634</v>
      </c>
      <c r="C8263" t="str">
        <f t="shared" si="3369"/>
        <v>0000802543</v>
      </c>
      <c r="D8263" t="str">
        <f t="shared" ref="D8263:D8326" si="3370">"73185"</f>
        <v>73185</v>
      </c>
      <c r="E8263" t="str">
        <f t="shared" ref="E8263:E8326" si="3371">"KFH-OPERATIONS DEPARTMENT"</f>
        <v>KFH-OPERATIONS DEPARTMENT</v>
      </c>
      <c r="F8263" t="str">
        <f t="shared" ref="F8263:F8326" si="3372">"IBG"</f>
        <v>IBG</v>
      </c>
      <c r="G8263" t="str">
        <f t="shared" si="3356"/>
        <v>Refund COSHARE 10</v>
      </c>
      <c r="H8263" s="2">
        <v>83.95</v>
      </c>
      <c r="I8263" t="str">
        <f>"AZMI BIN KAMUS"</f>
        <v>AZMI BIN KAMUS</v>
      </c>
      <c r="J8263" t="str">
        <f t="shared" si="3361"/>
        <v>BANK KERJASAMA RAKYAT</v>
      </c>
      <c r="K8263" t="str">
        <f>"220541474480"</f>
        <v>220541474480</v>
      </c>
      <c r="L8263" t="str">
        <f t="shared" si="3366"/>
        <v>04-08-2020</v>
      </c>
      <c r="M8263" t="str">
        <f t="shared" si="3366"/>
        <v>04-08-2020</v>
      </c>
      <c r="N8263" t="str">
        <f t="shared" ref="N8263:N8326" si="3373">"001105018356"</f>
        <v>001105018356</v>
      </c>
      <c r="O8263" t="str">
        <f t="shared" ref="O8263:O8326" si="3374">"MYR"</f>
        <v>MYR</v>
      </c>
      <c r="P8263" t="str">
        <f t="shared" si="3367"/>
        <v>NIL</v>
      </c>
      <c r="Q8263" t="str">
        <f t="shared" si="3367"/>
        <v>NIL</v>
      </c>
      <c r="R8263" t="str">
        <f t="shared" si="3362"/>
        <v>Accepted</v>
      </c>
      <c r="S8263" t="str">
        <f t="shared" ref="S8263:S8326" si="3375">"Approved"</f>
        <v>Approved</v>
      </c>
      <c r="T8263" t="str">
        <f t="shared" si="3363"/>
        <v>10.20.8.188</v>
      </c>
      <c r="U8263" t="str">
        <f t="shared" ref="U8263:U8326" si="3376">"AZRAD UMAR BIN SHAARI"</f>
        <v>AZRAD UMAR BIN SHAARI</v>
      </c>
      <c r="V8263" t="str">
        <f t="shared" ref="V8263:V8326" si="3377">"FARHANA BINTI MUSTAPA"</f>
        <v>FARHANA BINTI MUSTAPA</v>
      </c>
      <c r="W8263" t="str">
        <f t="shared" ref="W8263:W8326" si="3378">"04-08-2020"</f>
        <v>04-08-2020</v>
      </c>
      <c r="X8263" t="str">
        <f t="shared" ref="X8263:X8326" si="3379">"RAZIMAH ANSAR AHMAD"</f>
        <v>RAZIMAH ANSAR AHMAD</v>
      </c>
      <c r="Y8263" t="str">
        <f t="shared" ref="Y8263:Y8326" si="3380">"04-08-2020"</f>
        <v>04-08-2020</v>
      </c>
      <c r="Z8263" t="str">
        <f>"COS10200804 891"</f>
        <v>COS10200804 891</v>
      </c>
    </row>
    <row r="8264" spans="1:26" x14ac:dyDescent="0.25">
      <c r="A8264" t="str">
        <f t="shared" si="3368"/>
        <v>04-08-2020 12:31:21</v>
      </c>
      <c r="B8264" t="str">
        <f>"0000802633"</f>
        <v>0000802633</v>
      </c>
      <c r="C8264" t="str">
        <f t="shared" si="3369"/>
        <v>0000802543</v>
      </c>
      <c r="D8264" t="str">
        <f t="shared" si="3370"/>
        <v>73185</v>
      </c>
      <c r="E8264" t="str">
        <f t="shared" si="3371"/>
        <v>KFH-OPERATIONS DEPARTMENT</v>
      </c>
      <c r="F8264" t="str">
        <f t="shared" si="3372"/>
        <v>IBG</v>
      </c>
      <c r="G8264" t="str">
        <f t="shared" si="3356"/>
        <v>Refund COSHARE 10</v>
      </c>
      <c r="H8264" s="2">
        <v>1511.1</v>
      </c>
      <c r="I8264" t="str">
        <f>"AZMAWI BIN AB RAHMAN"</f>
        <v>AZMAWI BIN AB RAHMAN</v>
      </c>
      <c r="J8264" t="str">
        <f t="shared" si="3361"/>
        <v>BANK KERJASAMA RAKYAT</v>
      </c>
      <c r="K8264" t="str">
        <f>"220951136722"</f>
        <v>220951136722</v>
      </c>
      <c r="L8264" t="str">
        <f t="shared" si="3366"/>
        <v>04-08-2020</v>
      </c>
      <c r="M8264" t="str">
        <f t="shared" si="3366"/>
        <v>04-08-2020</v>
      </c>
      <c r="N8264" t="str">
        <f t="shared" si="3373"/>
        <v>001105018356</v>
      </c>
      <c r="O8264" t="str">
        <f t="shared" si="3374"/>
        <v>MYR</v>
      </c>
      <c r="P8264" t="str">
        <f t="shared" si="3367"/>
        <v>NIL</v>
      </c>
      <c r="Q8264" t="str">
        <f t="shared" si="3367"/>
        <v>NIL</v>
      </c>
      <c r="R8264" t="str">
        <f t="shared" si="3362"/>
        <v>Accepted</v>
      </c>
      <c r="S8264" t="str">
        <f t="shared" si="3375"/>
        <v>Approved</v>
      </c>
      <c r="T8264" t="str">
        <f t="shared" si="3363"/>
        <v>10.20.8.188</v>
      </c>
      <c r="U8264" t="str">
        <f t="shared" si="3376"/>
        <v>AZRAD UMAR BIN SHAARI</v>
      </c>
      <c r="V8264" t="str">
        <f t="shared" si="3377"/>
        <v>FARHANA BINTI MUSTAPA</v>
      </c>
      <c r="W8264" t="str">
        <f t="shared" si="3378"/>
        <v>04-08-2020</v>
      </c>
      <c r="X8264" t="str">
        <f t="shared" si="3379"/>
        <v>RAZIMAH ANSAR AHMAD</v>
      </c>
      <c r="Y8264" t="str">
        <f t="shared" si="3380"/>
        <v>04-08-2020</v>
      </c>
      <c r="Z8264" t="str">
        <f>"COS10200804 890"</f>
        <v>COS10200804 890</v>
      </c>
    </row>
    <row r="8265" spans="1:26" x14ac:dyDescent="0.25">
      <c r="A8265" t="str">
        <f t="shared" si="3368"/>
        <v>04-08-2020 12:31:21</v>
      </c>
      <c r="B8265" t="str">
        <f>"0000802632"</f>
        <v>0000802632</v>
      </c>
      <c r="C8265" t="str">
        <f t="shared" si="3369"/>
        <v>0000802543</v>
      </c>
      <c r="D8265" t="str">
        <f t="shared" si="3370"/>
        <v>73185</v>
      </c>
      <c r="E8265" t="str">
        <f t="shared" si="3371"/>
        <v>KFH-OPERATIONS DEPARTMENT</v>
      </c>
      <c r="F8265" t="str">
        <f t="shared" si="3372"/>
        <v>IBG</v>
      </c>
      <c r="G8265" t="str">
        <f t="shared" si="3356"/>
        <v>Refund COSHARE 10</v>
      </c>
      <c r="H8265" s="2">
        <v>209.9</v>
      </c>
      <c r="I8265" t="str">
        <f>"AZMAWATI BINTI ALI"</f>
        <v>AZMAWATI BINTI ALI</v>
      </c>
      <c r="J8265" t="str">
        <f t="shared" si="3361"/>
        <v>BANK KERJASAMA RAKYAT</v>
      </c>
      <c r="K8265" t="str">
        <f>"220471030308"</f>
        <v>220471030308</v>
      </c>
      <c r="L8265" t="str">
        <f t="shared" si="3366"/>
        <v>04-08-2020</v>
      </c>
      <c r="M8265" t="str">
        <f t="shared" si="3366"/>
        <v>04-08-2020</v>
      </c>
      <c r="N8265" t="str">
        <f t="shared" si="3373"/>
        <v>001105018356</v>
      </c>
      <c r="O8265" t="str">
        <f t="shared" si="3374"/>
        <v>MYR</v>
      </c>
      <c r="P8265" t="str">
        <f t="shared" si="3367"/>
        <v>NIL</v>
      </c>
      <c r="Q8265" t="str">
        <f t="shared" si="3367"/>
        <v>NIL</v>
      </c>
      <c r="R8265" t="str">
        <f t="shared" si="3362"/>
        <v>Accepted</v>
      </c>
      <c r="S8265" t="str">
        <f t="shared" si="3375"/>
        <v>Approved</v>
      </c>
      <c r="T8265" t="str">
        <f t="shared" si="3363"/>
        <v>10.20.8.188</v>
      </c>
      <c r="U8265" t="str">
        <f t="shared" si="3376"/>
        <v>AZRAD UMAR BIN SHAARI</v>
      </c>
      <c r="V8265" t="str">
        <f t="shared" si="3377"/>
        <v>FARHANA BINTI MUSTAPA</v>
      </c>
      <c r="W8265" t="str">
        <f t="shared" si="3378"/>
        <v>04-08-2020</v>
      </c>
      <c r="X8265" t="str">
        <f t="shared" si="3379"/>
        <v>RAZIMAH ANSAR AHMAD</v>
      </c>
      <c r="Y8265" t="str">
        <f t="shared" si="3380"/>
        <v>04-08-2020</v>
      </c>
      <c r="Z8265" t="str">
        <f>"COS10200804 889"</f>
        <v>COS10200804 889</v>
      </c>
    </row>
    <row r="8266" spans="1:26" x14ac:dyDescent="0.25">
      <c r="A8266" t="str">
        <f t="shared" si="3368"/>
        <v>04-08-2020 12:31:21</v>
      </c>
      <c r="B8266" t="str">
        <f>"0000802631"</f>
        <v>0000802631</v>
      </c>
      <c r="C8266" t="str">
        <f t="shared" si="3369"/>
        <v>0000802543</v>
      </c>
      <c r="D8266" t="str">
        <f t="shared" si="3370"/>
        <v>73185</v>
      </c>
      <c r="E8266" t="str">
        <f t="shared" si="3371"/>
        <v>KFH-OPERATIONS DEPARTMENT</v>
      </c>
      <c r="F8266" t="str">
        <f t="shared" si="3372"/>
        <v>IBG</v>
      </c>
      <c r="G8266" t="str">
        <f t="shared" si="3356"/>
        <v>Refund COSHARE 10</v>
      </c>
      <c r="H8266" s="2">
        <v>1198.45</v>
      </c>
      <c r="I8266" t="str">
        <f>"AZMAN BIN ISMAIL"</f>
        <v>AZMAN BIN ISMAIL</v>
      </c>
      <c r="J8266" t="str">
        <f t="shared" si="3361"/>
        <v>BANK KERJASAMA RAKYAT</v>
      </c>
      <c r="K8266" t="str">
        <f>"221051167534"</f>
        <v>221051167534</v>
      </c>
      <c r="L8266" t="str">
        <f t="shared" si="3366"/>
        <v>04-08-2020</v>
      </c>
      <c r="M8266" t="str">
        <f t="shared" si="3366"/>
        <v>04-08-2020</v>
      </c>
      <c r="N8266" t="str">
        <f t="shared" si="3373"/>
        <v>001105018356</v>
      </c>
      <c r="O8266" t="str">
        <f t="shared" si="3374"/>
        <v>MYR</v>
      </c>
      <c r="P8266" t="str">
        <f t="shared" si="3367"/>
        <v>NIL</v>
      </c>
      <c r="Q8266" t="str">
        <f t="shared" si="3367"/>
        <v>NIL</v>
      </c>
      <c r="R8266" t="str">
        <f t="shared" si="3362"/>
        <v>Accepted</v>
      </c>
      <c r="S8266" t="str">
        <f t="shared" si="3375"/>
        <v>Approved</v>
      </c>
      <c r="T8266" t="str">
        <f t="shared" si="3363"/>
        <v>10.20.8.188</v>
      </c>
      <c r="U8266" t="str">
        <f t="shared" si="3376"/>
        <v>AZRAD UMAR BIN SHAARI</v>
      </c>
      <c r="V8266" t="str">
        <f t="shared" si="3377"/>
        <v>FARHANA BINTI MUSTAPA</v>
      </c>
      <c r="W8266" t="str">
        <f t="shared" si="3378"/>
        <v>04-08-2020</v>
      </c>
      <c r="X8266" t="str">
        <f t="shared" si="3379"/>
        <v>RAZIMAH ANSAR AHMAD</v>
      </c>
      <c r="Y8266" t="str">
        <f t="shared" si="3380"/>
        <v>04-08-2020</v>
      </c>
      <c r="Z8266" t="str">
        <f>"COS10200804 888"</f>
        <v>COS10200804 888</v>
      </c>
    </row>
    <row r="8267" spans="1:26" x14ac:dyDescent="0.25">
      <c r="A8267" t="str">
        <f t="shared" si="3368"/>
        <v>04-08-2020 12:31:21</v>
      </c>
      <c r="B8267" t="str">
        <f>"0000802630"</f>
        <v>0000802630</v>
      </c>
      <c r="C8267" t="str">
        <f t="shared" si="3369"/>
        <v>0000802543</v>
      </c>
      <c r="D8267" t="str">
        <f t="shared" si="3370"/>
        <v>73185</v>
      </c>
      <c r="E8267" t="str">
        <f t="shared" si="3371"/>
        <v>KFH-OPERATIONS DEPARTMENT</v>
      </c>
      <c r="F8267" t="str">
        <f t="shared" si="3372"/>
        <v>IBG</v>
      </c>
      <c r="G8267" t="str">
        <f t="shared" si="3356"/>
        <v>Refund COSHARE 10</v>
      </c>
      <c r="H8267" s="2">
        <v>123.05</v>
      </c>
      <c r="I8267" t="str">
        <f>"AZMAN BIN DOLLAH"</f>
        <v>AZMAN BIN DOLLAH</v>
      </c>
      <c r="J8267" t="str">
        <f t="shared" si="3361"/>
        <v>BANK KERJASAMA RAKYAT</v>
      </c>
      <c r="K8267" t="str">
        <f>"220861058461"</f>
        <v>220861058461</v>
      </c>
      <c r="L8267" t="str">
        <f t="shared" ref="L8267:M8286" si="3381">"04-08-2020"</f>
        <v>04-08-2020</v>
      </c>
      <c r="M8267" t="str">
        <f t="shared" si="3381"/>
        <v>04-08-2020</v>
      </c>
      <c r="N8267" t="str">
        <f t="shared" si="3373"/>
        <v>001105018356</v>
      </c>
      <c r="O8267" t="str">
        <f t="shared" si="3374"/>
        <v>MYR</v>
      </c>
      <c r="P8267" t="str">
        <f t="shared" ref="P8267:Q8286" si="3382">"NIL"</f>
        <v>NIL</v>
      </c>
      <c r="Q8267" t="str">
        <f t="shared" si="3382"/>
        <v>NIL</v>
      </c>
      <c r="R8267" t="str">
        <f t="shared" si="3362"/>
        <v>Accepted</v>
      </c>
      <c r="S8267" t="str">
        <f t="shared" si="3375"/>
        <v>Approved</v>
      </c>
      <c r="T8267" t="str">
        <f t="shared" si="3363"/>
        <v>10.20.8.188</v>
      </c>
      <c r="U8267" t="str">
        <f t="shared" si="3376"/>
        <v>AZRAD UMAR BIN SHAARI</v>
      </c>
      <c r="V8267" t="str">
        <f t="shared" si="3377"/>
        <v>FARHANA BINTI MUSTAPA</v>
      </c>
      <c r="W8267" t="str">
        <f t="shared" si="3378"/>
        <v>04-08-2020</v>
      </c>
      <c r="X8267" t="str">
        <f t="shared" si="3379"/>
        <v>RAZIMAH ANSAR AHMAD</v>
      </c>
      <c r="Y8267" t="str">
        <f t="shared" si="3380"/>
        <v>04-08-2020</v>
      </c>
      <c r="Z8267" t="str">
        <f>"COS10200804 887"</f>
        <v>COS10200804 887</v>
      </c>
    </row>
    <row r="8268" spans="1:26" x14ac:dyDescent="0.25">
      <c r="A8268" t="str">
        <f t="shared" si="3368"/>
        <v>04-08-2020 12:31:21</v>
      </c>
      <c r="B8268" t="str">
        <f>"0000802629"</f>
        <v>0000802629</v>
      </c>
      <c r="C8268" t="str">
        <f t="shared" si="3369"/>
        <v>0000802543</v>
      </c>
      <c r="D8268" t="str">
        <f t="shared" si="3370"/>
        <v>73185</v>
      </c>
      <c r="E8268" t="str">
        <f t="shared" si="3371"/>
        <v>KFH-OPERATIONS DEPARTMENT</v>
      </c>
      <c r="F8268" t="str">
        <f t="shared" si="3372"/>
        <v>IBG</v>
      </c>
      <c r="G8268" t="str">
        <f t="shared" ref="G8268:G8331" si="3383">"Refund COSHARE 10"</f>
        <v>Refund COSHARE 10</v>
      </c>
      <c r="H8268" s="2">
        <v>722.85</v>
      </c>
      <c r="I8268" t="str">
        <f>"AZMAN BIN ABDUL MAJID"</f>
        <v>AZMAN BIN ABDUL MAJID</v>
      </c>
      <c r="J8268" t="str">
        <f t="shared" si="3361"/>
        <v>BANK KERJASAMA RAKYAT</v>
      </c>
      <c r="K8268" t="str">
        <f>"220183171591"</f>
        <v>220183171591</v>
      </c>
      <c r="L8268" t="str">
        <f t="shared" si="3381"/>
        <v>04-08-2020</v>
      </c>
      <c r="M8268" t="str">
        <f t="shared" si="3381"/>
        <v>04-08-2020</v>
      </c>
      <c r="N8268" t="str">
        <f t="shared" si="3373"/>
        <v>001105018356</v>
      </c>
      <c r="O8268" t="str">
        <f t="shared" si="3374"/>
        <v>MYR</v>
      </c>
      <c r="P8268" t="str">
        <f t="shared" si="3382"/>
        <v>NIL</v>
      </c>
      <c r="Q8268" t="str">
        <f t="shared" si="3382"/>
        <v>NIL</v>
      </c>
      <c r="R8268" t="str">
        <f t="shared" si="3362"/>
        <v>Accepted</v>
      </c>
      <c r="S8268" t="str">
        <f t="shared" si="3375"/>
        <v>Approved</v>
      </c>
      <c r="T8268" t="str">
        <f t="shared" si="3363"/>
        <v>10.20.8.188</v>
      </c>
      <c r="U8268" t="str">
        <f t="shared" si="3376"/>
        <v>AZRAD UMAR BIN SHAARI</v>
      </c>
      <c r="V8268" t="str">
        <f t="shared" si="3377"/>
        <v>FARHANA BINTI MUSTAPA</v>
      </c>
      <c r="W8268" t="str">
        <f t="shared" si="3378"/>
        <v>04-08-2020</v>
      </c>
      <c r="X8268" t="str">
        <f t="shared" si="3379"/>
        <v>RAZIMAH ANSAR AHMAD</v>
      </c>
      <c r="Y8268" t="str">
        <f t="shared" si="3380"/>
        <v>04-08-2020</v>
      </c>
      <c r="Z8268" t="str">
        <f>"COS10200804 886"</f>
        <v>COS10200804 886</v>
      </c>
    </row>
    <row r="8269" spans="1:26" x14ac:dyDescent="0.25">
      <c r="A8269" t="str">
        <f t="shared" si="3368"/>
        <v>04-08-2020 12:31:21</v>
      </c>
      <c r="B8269" t="str">
        <f>"0000802628"</f>
        <v>0000802628</v>
      </c>
      <c r="C8269" t="str">
        <f t="shared" si="3369"/>
        <v>0000802543</v>
      </c>
      <c r="D8269" t="str">
        <f t="shared" si="3370"/>
        <v>73185</v>
      </c>
      <c r="E8269" t="str">
        <f t="shared" si="3371"/>
        <v>KFH-OPERATIONS DEPARTMENT</v>
      </c>
      <c r="F8269" t="str">
        <f t="shared" si="3372"/>
        <v>IBG</v>
      </c>
      <c r="G8269" t="str">
        <f t="shared" si="3383"/>
        <v>Refund COSHARE 10</v>
      </c>
      <c r="H8269" s="2">
        <v>278</v>
      </c>
      <c r="I8269" t="str">
        <f>"AZMA BINTI YAHYA"</f>
        <v>AZMA BINTI YAHYA</v>
      </c>
      <c r="J8269" t="str">
        <f t="shared" si="3361"/>
        <v>BANK KERJASAMA RAKYAT</v>
      </c>
      <c r="K8269" t="str">
        <f>"220881011474"</f>
        <v>220881011474</v>
      </c>
      <c r="L8269" t="str">
        <f t="shared" si="3381"/>
        <v>04-08-2020</v>
      </c>
      <c r="M8269" t="str">
        <f t="shared" si="3381"/>
        <v>04-08-2020</v>
      </c>
      <c r="N8269" t="str">
        <f t="shared" si="3373"/>
        <v>001105018356</v>
      </c>
      <c r="O8269" t="str">
        <f t="shared" si="3374"/>
        <v>MYR</v>
      </c>
      <c r="P8269" t="str">
        <f t="shared" si="3382"/>
        <v>NIL</v>
      </c>
      <c r="Q8269" t="str">
        <f t="shared" si="3382"/>
        <v>NIL</v>
      </c>
      <c r="R8269" t="str">
        <f t="shared" si="3362"/>
        <v>Accepted</v>
      </c>
      <c r="S8269" t="str">
        <f t="shared" si="3375"/>
        <v>Approved</v>
      </c>
      <c r="T8269" t="str">
        <f t="shared" si="3363"/>
        <v>10.20.8.188</v>
      </c>
      <c r="U8269" t="str">
        <f t="shared" si="3376"/>
        <v>AZRAD UMAR BIN SHAARI</v>
      </c>
      <c r="V8269" t="str">
        <f t="shared" si="3377"/>
        <v>FARHANA BINTI MUSTAPA</v>
      </c>
      <c r="W8269" t="str">
        <f t="shared" si="3378"/>
        <v>04-08-2020</v>
      </c>
      <c r="X8269" t="str">
        <f t="shared" si="3379"/>
        <v>RAZIMAH ANSAR AHMAD</v>
      </c>
      <c r="Y8269" t="str">
        <f t="shared" si="3380"/>
        <v>04-08-2020</v>
      </c>
      <c r="Z8269" t="str">
        <f>"COS10200804 885"</f>
        <v>COS10200804 885</v>
      </c>
    </row>
    <row r="8270" spans="1:26" x14ac:dyDescent="0.25">
      <c r="A8270" t="str">
        <f t="shared" si="3368"/>
        <v>04-08-2020 12:31:21</v>
      </c>
      <c r="B8270" t="str">
        <f>"0000802627"</f>
        <v>0000802627</v>
      </c>
      <c r="C8270" t="str">
        <f t="shared" si="3369"/>
        <v>0000802543</v>
      </c>
      <c r="D8270" t="str">
        <f t="shared" si="3370"/>
        <v>73185</v>
      </c>
      <c r="E8270" t="str">
        <f t="shared" si="3371"/>
        <v>KFH-OPERATIONS DEPARTMENT</v>
      </c>
      <c r="F8270" t="str">
        <f t="shared" si="3372"/>
        <v>IBG</v>
      </c>
      <c r="G8270" t="str">
        <f t="shared" si="3383"/>
        <v>Refund COSHARE 10</v>
      </c>
      <c r="H8270" s="2">
        <v>858</v>
      </c>
      <c r="I8270" t="str">
        <f>"AZLITA FAUZI BINTI MOHD AMIN"</f>
        <v>AZLITA FAUZI BINTI MOHD AMIN</v>
      </c>
      <c r="J8270" t="str">
        <f t="shared" si="3361"/>
        <v>BANK KERJASAMA RAKYAT</v>
      </c>
      <c r="K8270" t="str">
        <f>"220471244014"</f>
        <v>220471244014</v>
      </c>
      <c r="L8270" t="str">
        <f t="shared" si="3381"/>
        <v>04-08-2020</v>
      </c>
      <c r="M8270" t="str">
        <f t="shared" si="3381"/>
        <v>04-08-2020</v>
      </c>
      <c r="N8270" t="str">
        <f t="shared" si="3373"/>
        <v>001105018356</v>
      </c>
      <c r="O8270" t="str">
        <f t="shared" si="3374"/>
        <v>MYR</v>
      </c>
      <c r="P8270" t="str">
        <f t="shared" si="3382"/>
        <v>NIL</v>
      </c>
      <c r="Q8270" t="str">
        <f t="shared" si="3382"/>
        <v>NIL</v>
      </c>
      <c r="R8270" t="str">
        <f t="shared" si="3362"/>
        <v>Accepted</v>
      </c>
      <c r="S8270" t="str">
        <f t="shared" si="3375"/>
        <v>Approved</v>
      </c>
      <c r="T8270" t="str">
        <f t="shared" si="3363"/>
        <v>10.20.8.188</v>
      </c>
      <c r="U8270" t="str">
        <f t="shared" si="3376"/>
        <v>AZRAD UMAR BIN SHAARI</v>
      </c>
      <c r="V8270" t="str">
        <f t="shared" si="3377"/>
        <v>FARHANA BINTI MUSTAPA</v>
      </c>
      <c r="W8270" t="str">
        <f t="shared" si="3378"/>
        <v>04-08-2020</v>
      </c>
      <c r="X8270" t="str">
        <f t="shared" si="3379"/>
        <v>RAZIMAH ANSAR AHMAD</v>
      </c>
      <c r="Y8270" t="str">
        <f t="shared" si="3380"/>
        <v>04-08-2020</v>
      </c>
      <c r="Z8270" t="str">
        <f>"COS10200804 884"</f>
        <v>COS10200804 884</v>
      </c>
    </row>
    <row r="8271" spans="1:26" x14ac:dyDescent="0.25">
      <c r="A8271" t="str">
        <f t="shared" si="3368"/>
        <v>04-08-2020 12:31:21</v>
      </c>
      <c r="B8271" t="str">
        <f>"0000802626"</f>
        <v>0000802626</v>
      </c>
      <c r="C8271" t="str">
        <f t="shared" si="3369"/>
        <v>0000802543</v>
      </c>
      <c r="D8271" t="str">
        <f t="shared" si="3370"/>
        <v>73185</v>
      </c>
      <c r="E8271" t="str">
        <f t="shared" si="3371"/>
        <v>KFH-OPERATIONS DEPARTMENT</v>
      </c>
      <c r="F8271" t="str">
        <f t="shared" si="3372"/>
        <v>IBG</v>
      </c>
      <c r="G8271" t="str">
        <f t="shared" si="3383"/>
        <v>Refund COSHARE 10</v>
      </c>
      <c r="H8271" s="2">
        <v>420</v>
      </c>
      <c r="I8271" t="str">
        <f>"AZLINA BINTI IBRAHIM"</f>
        <v>AZLINA BINTI IBRAHIM</v>
      </c>
      <c r="J8271" t="str">
        <f t="shared" si="3361"/>
        <v>BANK KERJASAMA RAKYAT</v>
      </c>
      <c r="K8271" t="str">
        <f>"221081008915"</f>
        <v>221081008915</v>
      </c>
      <c r="L8271" t="str">
        <f t="shared" si="3381"/>
        <v>04-08-2020</v>
      </c>
      <c r="M8271" t="str">
        <f t="shared" si="3381"/>
        <v>04-08-2020</v>
      </c>
      <c r="N8271" t="str">
        <f t="shared" si="3373"/>
        <v>001105018356</v>
      </c>
      <c r="O8271" t="str">
        <f t="shared" si="3374"/>
        <v>MYR</v>
      </c>
      <c r="P8271" t="str">
        <f t="shared" si="3382"/>
        <v>NIL</v>
      </c>
      <c r="Q8271" t="str">
        <f t="shared" si="3382"/>
        <v>NIL</v>
      </c>
      <c r="R8271" t="str">
        <f t="shared" si="3362"/>
        <v>Accepted</v>
      </c>
      <c r="S8271" t="str">
        <f t="shared" si="3375"/>
        <v>Approved</v>
      </c>
      <c r="T8271" t="str">
        <f t="shared" si="3363"/>
        <v>10.20.8.188</v>
      </c>
      <c r="U8271" t="str">
        <f t="shared" si="3376"/>
        <v>AZRAD UMAR BIN SHAARI</v>
      </c>
      <c r="V8271" t="str">
        <f t="shared" si="3377"/>
        <v>FARHANA BINTI MUSTAPA</v>
      </c>
      <c r="W8271" t="str">
        <f t="shared" si="3378"/>
        <v>04-08-2020</v>
      </c>
      <c r="X8271" t="str">
        <f t="shared" si="3379"/>
        <v>RAZIMAH ANSAR AHMAD</v>
      </c>
      <c r="Y8271" t="str">
        <f t="shared" si="3380"/>
        <v>04-08-2020</v>
      </c>
      <c r="Z8271" t="str">
        <f>"COS10200804 883"</f>
        <v>COS10200804 883</v>
      </c>
    </row>
    <row r="8272" spans="1:26" x14ac:dyDescent="0.25">
      <c r="A8272" t="str">
        <f t="shared" si="3368"/>
        <v>04-08-2020 12:31:21</v>
      </c>
      <c r="B8272" t="str">
        <f>"0000802625"</f>
        <v>0000802625</v>
      </c>
      <c r="C8272" t="str">
        <f t="shared" si="3369"/>
        <v>0000802543</v>
      </c>
      <c r="D8272" t="str">
        <f t="shared" si="3370"/>
        <v>73185</v>
      </c>
      <c r="E8272" t="str">
        <f t="shared" si="3371"/>
        <v>KFH-OPERATIONS DEPARTMENT</v>
      </c>
      <c r="F8272" t="str">
        <f t="shared" si="3372"/>
        <v>IBG</v>
      </c>
      <c r="G8272" t="str">
        <f t="shared" si="3383"/>
        <v>Refund COSHARE 10</v>
      </c>
      <c r="H8272" s="2">
        <v>974.95</v>
      </c>
      <c r="I8272" t="str">
        <f>"AZLEEN BINTI SULAIMAN"</f>
        <v>AZLEEN BINTI SULAIMAN</v>
      </c>
      <c r="J8272" t="str">
        <f t="shared" si="3361"/>
        <v>BANK KERJASAMA RAKYAT</v>
      </c>
      <c r="K8272" t="str">
        <f>"220251007729"</f>
        <v>220251007729</v>
      </c>
      <c r="L8272" t="str">
        <f t="shared" si="3381"/>
        <v>04-08-2020</v>
      </c>
      <c r="M8272" t="str">
        <f t="shared" si="3381"/>
        <v>04-08-2020</v>
      </c>
      <c r="N8272" t="str">
        <f t="shared" si="3373"/>
        <v>001105018356</v>
      </c>
      <c r="O8272" t="str">
        <f t="shared" si="3374"/>
        <v>MYR</v>
      </c>
      <c r="P8272" t="str">
        <f t="shared" si="3382"/>
        <v>NIL</v>
      </c>
      <c r="Q8272" t="str">
        <f t="shared" si="3382"/>
        <v>NIL</v>
      </c>
      <c r="R8272" t="str">
        <f t="shared" si="3362"/>
        <v>Accepted</v>
      </c>
      <c r="S8272" t="str">
        <f t="shared" si="3375"/>
        <v>Approved</v>
      </c>
      <c r="T8272" t="str">
        <f t="shared" si="3363"/>
        <v>10.20.8.188</v>
      </c>
      <c r="U8272" t="str">
        <f t="shared" si="3376"/>
        <v>AZRAD UMAR BIN SHAARI</v>
      </c>
      <c r="V8272" t="str">
        <f t="shared" si="3377"/>
        <v>FARHANA BINTI MUSTAPA</v>
      </c>
      <c r="W8272" t="str">
        <f t="shared" si="3378"/>
        <v>04-08-2020</v>
      </c>
      <c r="X8272" t="str">
        <f t="shared" si="3379"/>
        <v>RAZIMAH ANSAR AHMAD</v>
      </c>
      <c r="Y8272" t="str">
        <f t="shared" si="3380"/>
        <v>04-08-2020</v>
      </c>
      <c r="Z8272" t="str">
        <f>"COS10200804 882"</f>
        <v>COS10200804 882</v>
      </c>
    </row>
    <row r="8273" spans="1:26" x14ac:dyDescent="0.25">
      <c r="A8273" t="str">
        <f t="shared" si="3368"/>
        <v>04-08-2020 12:31:21</v>
      </c>
      <c r="B8273" t="str">
        <f>"0000802624"</f>
        <v>0000802624</v>
      </c>
      <c r="C8273" t="str">
        <f t="shared" si="3369"/>
        <v>0000802543</v>
      </c>
      <c r="D8273" t="str">
        <f t="shared" si="3370"/>
        <v>73185</v>
      </c>
      <c r="E8273" t="str">
        <f t="shared" si="3371"/>
        <v>KFH-OPERATIONS DEPARTMENT</v>
      </c>
      <c r="F8273" t="str">
        <f t="shared" si="3372"/>
        <v>IBG</v>
      </c>
      <c r="G8273" t="str">
        <f t="shared" si="3383"/>
        <v>Refund COSHARE 10</v>
      </c>
      <c r="H8273" s="2">
        <v>183</v>
      </c>
      <c r="I8273" t="str">
        <f>"AZLANI BINTI ISMAIL"</f>
        <v>AZLANI BINTI ISMAIL</v>
      </c>
      <c r="J8273" t="str">
        <f t="shared" si="3361"/>
        <v>BANK KERJASAMA RAKYAT</v>
      </c>
      <c r="K8273" t="str">
        <f>"220881013571"</f>
        <v>220881013571</v>
      </c>
      <c r="L8273" t="str">
        <f t="shared" si="3381"/>
        <v>04-08-2020</v>
      </c>
      <c r="M8273" t="str">
        <f t="shared" si="3381"/>
        <v>04-08-2020</v>
      </c>
      <c r="N8273" t="str">
        <f t="shared" si="3373"/>
        <v>001105018356</v>
      </c>
      <c r="O8273" t="str">
        <f t="shared" si="3374"/>
        <v>MYR</v>
      </c>
      <c r="P8273" t="str">
        <f t="shared" si="3382"/>
        <v>NIL</v>
      </c>
      <c r="Q8273" t="str">
        <f t="shared" si="3382"/>
        <v>NIL</v>
      </c>
      <c r="R8273" t="str">
        <f t="shared" si="3362"/>
        <v>Accepted</v>
      </c>
      <c r="S8273" t="str">
        <f t="shared" si="3375"/>
        <v>Approved</v>
      </c>
      <c r="T8273" t="str">
        <f t="shared" si="3363"/>
        <v>10.20.8.188</v>
      </c>
      <c r="U8273" t="str">
        <f t="shared" si="3376"/>
        <v>AZRAD UMAR BIN SHAARI</v>
      </c>
      <c r="V8273" t="str">
        <f t="shared" si="3377"/>
        <v>FARHANA BINTI MUSTAPA</v>
      </c>
      <c r="W8273" t="str">
        <f t="shared" si="3378"/>
        <v>04-08-2020</v>
      </c>
      <c r="X8273" t="str">
        <f t="shared" si="3379"/>
        <v>RAZIMAH ANSAR AHMAD</v>
      </c>
      <c r="Y8273" t="str">
        <f t="shared" si="3380"/>
        <v>04-08-2020</v>
      </c>
      <c r="Z8273" t="str">
        <f>"COS10200804 881"</f>
        <v>COS10200804 881</v>
      </c>
    </row>
    <row r="8274" spans="1:26" x14ac:dyDescent="0.25">
      <c r="A8274" t="str">
        <f t="shared" si="3368"/>
        <v>04-08-2020 12:31:21</v>
      </c>
      <c r="B8274" t="str">
        <f>"0000802623"</f>
        <v>0000802623</v>
      </c>
      <c r="C8274" t="str">
        <f t="shared" si="3369"/>
        <v>0000802543</v>
      </c>
      <c r="D8274" t="str">
        <f t="shared" si="3370"/>
        <v>73185</v>
      </c>
      <c r="E8274" t="str">
        <f t="shared" si="3371"/>
        <v>KFH-OPERATIONS DEPARTMENT</v>
      </c>
      <c r="F8274" t="str">
        <f t="shared" si="3372"/>
        <v>IBG</v>
      </c>
      <c r="G8274" t="str">
        <f t="shared" si="3383"/>
        <v>Refund COSHARE 10</v>
      </c>
      <c r="H8274" s="2">
        <v>67.2</v>
      </c>
      <c r="I8274" t="str">
        <f>"AZIZUL BIN ABD RASHID"</f>
        <v>AZIZUL BIN ABD RASHID</v>
      </c>
      <c r="J8274" t="str">
        <f t="shared" si="3361"/>
        <v>BANK KERJASAMA RAKYAT</v>
      </c>
      <c r="K8274" t="str">
        <f>"220811025336"</f>
        <v>220811025336</v>
      </c>
      <c r="L8274" t="str">
        <f t="shared" si="3381"/>
        <v>04-08-2020</v>
      </c>
      <c r="M8274" t="str">
        <f t="shared" si="3381"/>
        <v>04-08-2020</v>
      </c>
      <c r="N8274" t="str">
        <f t="shared" si="3373"/>
        <v>001105018356</v>
      </c>
      <c r="O8274" t="str">
        <f t="shared" si="3374"/>
        <v>MYR</v>
      </c>
      <c r="P8274" t="str">
        <f t="shared" si="3382"/>
        <v>NIL</v>
      </c>
      <c r="Q8274" t="str">
        <f t="shared" si="3382"/>
        <v>NIL</v>
      </c>
      <c r="R8274" t="str">
        <f t="shared" si="3362"/>
        <v>Accepted</v>
      </c>
      <c r="S8274" t="str">
        <f t="shared" si="3375"/>
        <v>Approved</v>
      </c>
      <c r="T8274" t="str">
        <f t="shared" si="3363"/>
        <v>10.20.8.188</v>
      </c>
      <c r="U8274" t="str">
        <f t="shared" si="3376"/>
        <v>AZRAD UMAR BIN SHAARI</v>
      </c>
      <c r="V8274" t="str">
        <f t="shared" si="3377"/>
        <v>FARHANA BINTI MUSTAPA</v>
      </c>
      <c r="W8274" t="str">
        <f t="shared" si="3378"/>
        <v>04-08-2020</v>
      </c>
      <c r="X8274" t="str">
        <f t="shared" si="3379"/>
        <v>RAZIMAH ANSAR AHMAD</v>
      </c>
      <c r="Y8274" t="str">
        <f t="shared" si="3380"/>
        <v>04-08-2020</v>
      </c>
      <c r="Z8274" t="str">
        <f>"COS10200804 880"</f>
        <v>COS10200804 880</v>
      </c>
    </row>
    <row r="8275" spans="1:26" x14ac:dyDescent="0.25">
      <c r="A8275" t="str">
        <f t="shared" si="3368"/>
        <v>04-08-2020 12:31:21</v>
      </c>
      <c r="B8275" t="str">
        <f>"0000802622"</f>
        <v>0000802622</v>
      </c>
      <c r="C8275" t="str">
        <f t="shared" si="3369"/>
        <v>0000802543</v>
      </c>
      <c r="D8275" t="str">
        <f t="shared" si="3370"/>
        <v>73185</v>
      </c>
      <c r="E8275" t="str">
        <f t="shared" si="3371"/>
        <v>KFH-OPERATIONS DEPARTMENT</v>
      </c>
      <c r="F8275" t="str">
        <f t="shared" si="3372"/>
        <v>IBG</v>
      </c>
      <c r="G8275" t="str">
        <f t="shared" si="3383"/>
        <v>Refund COSHARE 10</v>
      </c>
      <c r="H8275" s="2">
        <v>278</v>
      </c>
      <c r="I8275" t="str">
        <f>"AZIZIE BIN ZAWAWI"</f>
        <v>AZIZIE BIN ZAWAWI</v>
      </c>
      <c r="J8275" t="str">
        <f t="shared" si="3361"/>
        <v>BANK KERJASAMA RAKYAT</v>
      </c>
      <c r="K8275" t="str">
        <f>"221171005538"</f>
        <v>221171005538</v>
      </c>
      <c r="L8275" t="str">
        <f t="shared" si="3381"/>
        <v>04-08-2020</v>
      </c>
      <c r="M8275" t="str">
        <f t="shared" si="3381"/>
        <v>04-08-2020</v>
      </c>
      <c r="N8275" t="str">
        <f t="shared" si="3373"/>
        <v>001105018356</v>
      </c>
      <c r="O8275" t="str">
        <f t="shared" si="3374"/>
        <v>MYR</v>
      </c>
      <c r="P8275" t="str">
        <f t="shared" si="3382"/>
        <v>NIL</v>
      </c>
      <c r="Q8275" t="str">
        <f t="shared" si="3382"/>
        <v>NIL</v>
      </c>
      <c r="R8275" t="str">
        <f t="shared" si="3362"/>
        <v>Accepted</v>
      </c>
      <c r="S8275" t="str">
        <f t="shared" si="3375"/>
        <v>Approved</v>
      </c>
      <c r="T8275" t="str">
        <f t="shared" si="3363"/>
        <v>10.20.8.188</v>
      </c>
      <c r="U8275" t="str">
        <f t="shared" si="3376"/>
        <v>AZRAD UMAR BIN SHAARI</v>
      </c>
      <c r="V8275" t="str">
        <f t="shared" si="3377"/>
        <v>FARHANA BINTI MUSTAPA</v>
      </c>
      <c r="W8275" t="str">
        <f t="shared" si="3378"/>
        <v>04-08-2020</v>
      </c>
      <c r="X8275" t="str">
        <f t="shared" si="3379"/>
        <v>RAZIMAH ANSAR AHMAD</v>
      </c>
      <c r="Y8275" t="str">
        <f t="shared" si="3380"/>
        <v>04-08-2020</v>
      </c>
      <c r="Z8275" t="str">
        <f>"COS10200804 879"</f>
        <v>COS10200804 879</v>
      </c>
    </row>
    <row r="8276" spans="1:26" x14ac:dyDescent="0.25">
      <c r="A8276" t="str">
        <f t="shared" si="3368"/>
        <v>04-08-2020 12:31:21</v>
      </c>
      <c r="B8276" t="str">
        <f>"0000802621"</f>
        <v>0000802621</v>
      </c>
      <c r="C8276" t="str">
        <f t="shared" si="3369"/>
        <v>0000802543</v>
      </c>
      <c r="D8276" t="str">
        <f t="shared" si="3370"/>
        <v>73185</v>
      </c>
      <c r="E8276" t="str">
        <f t="shared" si="3371"/>
        <v>KFH-OPERATIONS DEPARTMENT</v>
      </c>
      <c r="F8276" t="str">
        <f t="shared" si="3372"/>
        <v>IBG</v>
      </c>
      <c r="G8276" t="str">
        <f t="shared" si="3383"/>
        <v>Refund COSHARE 10</v>
      </c>
      <c r="H8276" s="2">
        <v>1141.75</v>
      </c>
      <c r="I8276" t="str">
        <f>"AZIZI NOR ISKANDAR BIN IBRAHIM"</f>
        <v>AZIZI NOR ISKANDAR BIN IBRAHIM</v>
      </c>
      <c r="J8276" t="str">
        <f t="shared" si="3361"/>
        <v>BANK KERJASAMA RAKYAT</v>
      </c>
      <c r="K8276" t="str">
        <f>"221091000425"</f>
        <v>221091000425</v>
      </c>
      <c r="L8276" t="str">
        <f t="shared" si="3381"/>
        <v>04-08-2020</v>
      </c>
      <c r="M8276" t="str">
        <f t="shared" si="3381"/>
        <v>04-08-2020</v>
      </c>
      <c r="N8276" t="str">
        <f t="shared" si="3373"/>
        <v>001105018356</v>
      </c>
      <c r="O8276" t="str">
        <f t="shared" si="3374"/>
        <v>MYR</v>
      </c>
      <c r="P8276" t="str">
        <f t="shared" si="3382"/>
        <v>NIL</v>
      </c>
      <c r="Q8276" t="str">
        <f t="shared" si="3382"/>
        <v>NIL</v>
      </c>
      <c r="R8276" t="str">
        <f t="shared" si="3362"/>
        <v>Accepted</v>
      </c>
      <c r="S8276" t="str">
        <f t="shared" si="3375"/>
        <v>Approved</v>
      </c>
      <c r="T8276" t="str">
        <f t="shared" si="3363"/>
        <v>10.20.8.188</v>
      </c>
      <c r="U8276" t="str">
        <f t="shared" si="3376"/>
        <v>AZRAD UMAR BIN SHAARI</v>
      </c>
      <c r="V8276" t="str">
        <f t="shared" si="3377"/>
        <v>FARHANA BINTI MUSTAPA</v>
      </c>
      <c r="W8276" t="str">
        <f t="shared" si="3378"/>
        <v>04-08-2020</v>
      </c>
      <c r="X8276" t="str">
        <f t="shared" si="3379"/>
        <v>RAZIMAH ANSAR AHMAD</v>
      </c>
      <c r="Y8276" t="str">
        <f t="shared" si="3380"/>
        <v>04-08-2020</v>
      </c>
      <c r="Z8276" t="str">
        <f>"COS10200804 878"</f>
        <v>COS10200804 878</v>
      </c>
    </row>
    <row r="8277" spans="1:26" x14ac:dyDescent="0.25">
      <c r="A8277" t="str">
        <f t="shared" si="3368"/>
        <v>04-08-2020 12:31:21</v>
      </c>
      <c r="B8277" t="str">
        <f>"0000802620"</f>
        <v>0000802620</v>
      </c>
      <c r="C8277" t="str">
        <f t="shared" si="3369"/>
        <v>0000802543</v>
      </c>
      <c r="D8277" t="str">
        <f t="shared" si="3370"/>
        <v>73185</v>
      </c>
      <c r="E8277" t="str">
        <f t="shared" si="3371"/>
        <v>KFH-OPERATIONS DEPARTMENT</v>
      </c>
      <c r="F8277" t="str">
        <f t="shared" si="3372"/>
        <v>IBG</v>
      </c>
      <c r="G8277" t="str">
        <f t="shared" si="3383"/>
        <v>Refund COSHARE 10</v>
      </c>
      <c r="H8277" s="2">
        <v>510.8</v>
      </c>
      <c r="I8277" t="str">
        <f>"AZIZAH BINTI MAT DAUD"</f>
        <v>AZIZAH BINTI MAT DAUD</v>
      </c>
      <c r="J8277" t="str">
        <f t="shared" si="3361"/>
        <v>BANK KERJASAMA RAKYAT</v>
      </c>
      <c r="K8277" t="str">
        <f>"220931149697"</f>
        <v>220931149697</v>
      </c>
      <c r="L8277" t="str">
        <f t="shared" si="3381"/>
        <v>04-08-2020</v>
      </c>
      <c r="M8277" t="str">
        <f t="shared" si="3381"/>
        <v>04-08-2020</v>
      </c>
      <c r="N8277" t="str">
        <f t="shared" si="3373"/>
        <v>001105018356</v>
      </c>
      <c r="O8277" t="str">
        <f t="shared" si="3374"/>
        <v>MYR</v>
      </c>
      <c r="P8277" t="str">
        <f t="shared" si="3382"/>
        <v>NIL</v>
      </c>
      <c r="Q8277" t="str">
        <f t="shared" si="3382"/>
        <v>NIL</v>
      </c>
      <c r="R8277" t="str">
        <f t="shared" si="3362"/>
        <v>Accepted</v>
      </c>
      <c r="S8277" t="str">
        <f t="shared" si="3375"/>
        <v>Approved</v>
      </c>
      <c r="T8277" t="str">
        <f t="shared" si="3363"/>
        <v>10.20.8.188</v>
      </c>
      <c r="U8277" t="str">
        <f t="shared" si="3376"/>
        <v>AZRAD UMAR BIN SHAARI</v>
      </c>
      <c r="V8277" t="str">
        <f t="shared" si="3377"/>
        <v>FARHANA BINTI MUSTAPA</v>
      </c>
      <c r="W8277" t="str">
        <f t="shared" si="3378"/>
        <v>04-08-2020</v>
      </c>
      <c r="X8277" t="str">
        <f t="shared" si="3379"/>
        <v>RAZIMAH ANSAR AHMAD</v>
      </c>
      <c r="Y8277" t="str">
        <f t="shared" si="3380"/>
        <v>04-08-2020</v>
      </c>
      <c r="Z8277" t="str">
        <f>"COS10200804 877"</f>
        <v>COS10200804 877</v>
      </c>
    </row>
    <row r="8278" spans="1:26" x14ac:dyDescent="0.25">
      <c r="A8278" t="str">
        <f t="shared" si="3368"/>
        <v>04-08-2020 12:31:21</v>
      </c>
      <c r="B8278" t="str">
        <f>"0000802619"</f>
        <v>0000802619</v>
      </c>
      <c r="C8278" t="str">
        <f t="shared" si="3369"/>
        <v>0000802543</v>
      </c>
      <c r="D8278" t="str">
        <f t="shared" si="3370"/>
        <v>73185</v>
      </c>
      <c r="E8278" t="str">
        <f t="shared" si="3371"/>
        <v>KFH-OPERATIONS DEPARTMENT</v>
      </c>
      <c r="F8278" t="str">
        <f t="shared" si="3372"/>
        <v>IBG</v>
      </c>
      <c r="G8278" t="str">
        <f t="shared" si="3383"/>
        <v>Refund COSHARE 10</v>
      </c>
      <c r="H8278" s="2">
        <v>772.35</v>
      </c>
      <c r="I8278" t="str">
        <f>"AZIZAH BINTI MANSOR"</f>
        <v>AZIZAH BINTI MANSOR</v>
      </c>
      <c r="J8278" t="str">
        <f t="shared" si="3361"/>
        <v>BANK KERJASAMA RAKYAT</v>
      </c>
      <c r="K8278" t="str">
        <f>"220651188065"</f>
        <v>220651188065</v>
      </c>
      <c r="L8278" t="str">
        <f t="shared" si="3381"/>
        <v>04-08-2020</v>
      </c>
      <c r="M8278" t="str">
        <f t="shared" si="3381"/>
        <v>04-08-2020</v>
      </c>
      <c r="N8278" t="str">
        <f t="shared" si="3373"/>
        <v>001105018356</v>
      </c>
      <c r="O8278" t="str">
        <f t="shared" si="3374"/>
        <v>MYR</v>
      </c>
      <c r="P8278" t="str">
        <f t="shared" si="3382"/>
        <v>NIL</v>
      </c>
      <c r="Q8278" t="str">
        <f t="shared" si="3382"/>
        <v>NIL</v>
      </c>
      <c r="R8278" t="str">
        <f t="shared" si="3362"/>
        <v>Accepted</v>
      </c>
      <c r="S8278" t="str">
        <f t="shared" si="3375"/>
        <v>Approved</v>
      </c>
      <c r="T8278" t="str">
        <f t="shared" si="3363"/>
        <v>10.20.8.188</v>
      </c>
      <c r="U8278" t="str">
        <f t="shared" si="3376"/>
        <v>AZRAD UMAR BIN SHAARI</v>
      </c>
      <c r="V8278" t="str">
        <f t="shared" si="3377"/>
        <v>FARHANA BINTI MUSTAPA</v>
      </c>
      <c r="W8278" t="str">
        <f t="shared" si="3378"/>
        <v>04-08-2020</v>
      </c>
      <c r="X8278" t="str">
        <f t="shared" si="3379"/>
        <v>RAZIMAH ANSAR AHMAD</v>
      </c>
      <c r="Y8278" t="str">
        <f t="shared" si="3380"/>
        <v>04-08-2020</v>
      </c>
      <c r="Z8278" t="str">
        <f>"COS10200804 876"</f>
        <v>COS10200804 876</v>
      </c>
    </row>
    <row r="8279" spans="1:26" x14ac:dyDescent="0.25">
      <c r="A8279" t="str">
        <f t="shared" si="3368"/>
        <v>04-08-2020 12:31:21</v>
      </c>
      <c r="B8279" t="str">
        <f>"0000802618"</f>
        <v>0000802618</v>
      </c>
      <c r="C8279" t="str">
        <f t="shared" si="3369"/>
        <v>0000802543</v>
      </c>
      <c r="D8279" t="str">
        <f t="shared" si="3370"/>
        <v>73185</v>
      </c>
      <c r="E8279" t="str">
        <f t="shared" si="3371"/>
        <v>KFH-OPERATIONS DEPARTMENT</v>
      </c>
      <c r="F8279" t="str">
        <f t="shared" si="3372"/>
        <v>IBG</v>
      </c>
      <c r="G8279" t="str">
        <f t="shared" si="3383"/>
        <v>Refund COSHARE 10</v>
      </c>
      <c r="H8279" s="2">
        <v>1153.1500000000001</v>
      </c>
      <c r="I8279" t="str">
        <f>"AZIRUSLAN BIN YEOP OTHMAN"</f>
        <v>AZIRUSLAN BIN YEOP OTHMAN</v>
      </c>
      <c r="J8279" t="str">
        <f t="shared" si="3361"/>
        <v>BANK KERJASAMA RAKYAT</v>
      </c>
      <c r="K8279" t="str">
        <f>"220261053492"</f>
        <v>220261053492</v>
      </c>
      <c r="L8279" t="str">
        <f t="shared" si="3381"/>
        <v>04-08-2020</v>
      </c>
      <c r="M8279" t="str">
        <f t="shared" si="3381"/>
        <v>04-08-2020</v>
      </c>
      <c r="N8279" t="str">
        <f t="shared" si="3373"/>
        <v>001105018356</v>
      </c>
      <c r="O8279" t="str">
        <f t="shared" si="3374"/>
        <v>MYR</v>
      </c>
      <c r="P8279" t="str">
        <f t="shared" si="3382"/>
        <v>NIL</v>
      </c>
      <c r="Q8279" t="str">
        <f t="shared" si="3382"/>
        <v>NIL</v>
      </c>
      <c r="R8279" t="str">
        <f t="shared" si="3362"/>
        <v>Accepted</v>
      </c>
      <c r="S8279" t="str">
        <f t="shared" si="3375"/>
        <v>Approved</v>
      </c>
      <c r="T8279" t="str">
        <f t="shared" si="3363"/>
        <v>10.20.8.188</v>
      </c>
      <c r="U8279" t="str">
        <f t="shared" si="3376"/>
        <v>AZRAD UMAR BIN SHAARI</v>
      </c>
      <c r="V8279" t="str">
        <f t="shared" si="3377"/>
        <v>FARHANA BINTI MUSTAPA</v>
      </c>
      <c r="W8279" t="str">
        <f t="shared" si="3378"/>
        <v>04-08-2020</v>
      </c>
      <c r="X8279" t="str">
        <f t="shared" si="3379"/>
        <v>RAZIMAH ANSAR AHMAD</v>
      </c>
      <c r="Y8279" t="str">
        <f t="shared" si="3380"/>
        <v>04-08-2020</v>
      </c>
      <c r="Z8279" t="str">
        <f>"COS10200804 875"</f>
        <v>COS10200804 875</v>
      </c>
    </row>
    <row r="8280" spans="1:26" x14ac:dyDescent="0.25">
      <c r="A8280" t="str">
        <f t="shared" si="3368"/>
        <v>04-08-2020 12:31:21</v>
      </c>
      <c r="B8280" t="str">
        <f>"0000802617"</f>
        <v>0000802617</v>
      </c>
      <c r="C8280" t="str">
        <f t="shared" si="3369"/>
        <v>0000802543</v>
      </c>
      <c r="D8280" t="str">
        <f t="shared" si="3370"/>
        <v>73185</v>
      </c>
      <c r="E8280" t="str">
        <f t="shared" si="3371"/>
        <v>KFH-OPERATIONS DEPARTMENT</v>
      </c>
      <c r="F8280" t="str">
        <f t="shared" si="3372"/>
        <v>IBG</v>
      </c>
      <c r="G8280" t="str">
        <f t="shared" si="3383"/>
        <v>Refund COSHARE 10</v>
      </c>
      <c r="H8280" s="2">
        <v>1153.1500000000001</v>
      </c>
      <c r="I8280" t="str">
        <f>"AZIRUSLAN BIN YEOP OTHMAN"</f>
        <v>AZIRUSLAN BIN YEOP OTHMAN</v>
      </c>
      <c r="J8280" t="str">
        <f t="shared" si="3361"/>
        <v>BANK KERJASAMA RAKYAT</v>
      </c>
      <c r="K8280" t="str">
        <f>"220261053492"</f>
        <v>220261053492</v>
      </c>
      <c r="L8280" t="str">
        <f t="shared" si="3381"/>
        <v>04-08-2020</v>
      </c>
      <c r="M8280" t="str">
        <f t="shared" si="3381"/>
        <v>04-08-2020</v>
      </c>
      <c r="N8280" t="str">
        <f t="shared" si="3373"/>
        <v>001105018356</v>
      </c>
      <c r="O8280" t="str">
        <f t="shared" si="3374"/>
        <v>MYR</v>
      </c>
      <c r="P8280" t="str">
        <f t="shared" si="3382"/>
        <v>NIL</v>
      </c>
      <c r="Q8280" t="str">
        <f t="shared" si="3382"/>
        <v>NIL</v>
      </c>
      <c r="R8280" t="str">
        <f t="shared" si="3362"/>
        <v>Accepted</v>
      </c>
      <c r="S8280" t="str">
        <f t="shared" si="3375"/>
        <v>Approved</v>
      </c>
      <c r="T8280" t="str">
        <f t="shared" si="3363"/>
        <v>10.20.8.188</v>
      </c>
      <c r="U8280" t="str">
        <f t="shared" si="3376"/>
        <v>AZRAD UMAR BIN SHAARI</v>
      </c>
      <c r="V8280" t="str">
        <f t="shared" si="3377"/>
        <v>FARHANA BINTI MUSTAPA</v>
      </c>
      <c r="W8280" t="str">
        <f t="shared" si="3378"/>
        <v>04-08-2020</v>
      </c>
      <c r="X8280" t="str">
        <f t="shared" si="3379"/>
        <v>RAZIMAH ANSAR AHMAD</v>
      </c>
      <c r="Y8280" t="str">
        <f t="shared" si="3380"/>
        <v>04-08-2020</v>
      </c>
      <c r="Z8280" t="str">
        <f>"COS10200804 874"</f>
        <v>COS10200804 874</v>
      </c>
    </row>
    <row r="8281" spans="1:26" x14ac:dyDescent="0.25">
      <c r="A8281" t="str">
        <f t="shared" si="3368"/>
        <v>04-08-2020 12:31:21</v>
      </c>
      <c r="B8281" t="str">
        <f>"0000802616"</f>
        <v>0000802616</v>
      </c>
      <c r="C8281" t="str">
        <f t="shared" si="3369"/>
        <v>0000802543</v>
      </c>
      <c r="D8281" t="str">
        <f t="shared" si="3370"/>
        <v>73185</v>
      </c>
      <c r="E8281" t="str">
        <f t="shared" si="3371"/>
        <v>KFH-OPERATIONS DEPARTMENT</v>
      </c>
      <c r="F8281" t="str">
        <f t="shared" si="3372"/>
        <v>IBG</v>
      </c>
      <c r="G8281" t="str">
        <f t="shared" si="3383"/>
        <v>Refund COSHARE 10</v>
      </c>
      <c r="H8281" s="2">
        <v>931.85</v>
      </c>
      <c r="I8281" t="str">
        <f>"AZFAROUL NIZAM BIN ABDULLAH SANI"</f>
        <v>AZFAROUL NIZAM BIN ABDULLAH SANI</v>
      </c>
      <c r="J8281" t="str">
        <f t="shared" si="3361"/>
        <v>BANK KERJASAMA RAKYAT</v>
      </c>
      <c r="K8281" t="str">
        <f>"220442163729"</f>
        <v>220442163729</v>
      </c>
      <c r="L8281" t="str">
        <f t="shared" si="3381"/>
        <v>04-08-2020</v>
      </c>
      <c r="M8281" t="str">
        <f t="shared" si="3381"/>
        <v>04-08-2020</v>
      </c>
      <c r="N8281" t="str">
        <f t="shared" si="3373"/>
        <v>001105018356</v>
      </c>
      <c r="O8281" t="str">
        <f t="shared" si="3374"/>
        <v>MYR</v>
      </c>
      <c r="P8281" t="str">
        <f t="shared" si="3382"/>
        <v>NIL</v>
      </c>
      <c r="Q8281" t="str">
        <f t="shared" si="3382"/>
        <v>NIL</v>
      </c>
      <c r="R8281" t="str">
        <f t="shared" si="3362"/>
        <v>Accepted</v>
      </c>
      <c r="S8281" t="str">
        <f t="shared" si="3375"/>
        <v>Approved</v>
      </c>
      <c r="T8281" t="str">
        <f t="shared" si="3363"/>
        <v>10.20.8.188</v>
      </c>
      <c r="U8281" t="str">
        <f t="shared" si="3376"/>
        <v>AZRAD UMAR BIN SHAARI</v>
      </c>
      <c r="V8281" t="str">
        <f t="shared" si="3377"/>
        <v>FARHANA BINTI MUSTAPA</v>
      </c>
      <c r="W8281" t="str">
        <f t="shared" si="3378"/>
        <v>04-08-2020</v>
      </c>
      <c r="X8281" t="str">
        <f t="shared" si="3379"/>
        <v>RAZIMAH ANSAR AHMAD</v>
      </c>
      <c r="Y8281" t="str">
        <f t="shared" si="3380"/>
        <v>04-08-2020</v>
      </c>
      <c r="Z8281" t="str">
        <f>"COS10200804 873"</f>
        <v>COS10200804 873</v>
      </c>
    </row>
    <row r="8282" spans="1:26" x14ac:dyDescent="0.25">
      <c r="A8282" t="str">
        <f t="shared" ref="A8282:A8313" si="3384">"04-08-2020 12:31:21"</f>
        <v>04-08-2020 12:31:21</v>
      </c>
      <c r="B8282" t="str">
        <f>"0000802615"</f>
        <v>0000802615</v>
      </c>
      <c r="C8282" t="str">
        <f t="shared" ref="C8282:C8313" si="3385">"0000802543"</f>
        <v>0000802543</v>
      </c>
      <c r="D8282" t="str">
        <f t="shared" si="3370"/>
        <v>73185</v>
      </c>
      <c r="E8282" t="str">
        <f t="shared" si="3371"/>
        <v>KFH-OPERATIONS DEPARTMENT</v>
      </c>
      <c r="F8282" t="str">
        <f t="shared" si="3372"/>
        <v>IBG</v>
      </c>
      <c r="G8282" t="str">
        <f t="shared" si="3383"/>
        <v>Refund COSHARE 10</v>
      </c>
      <c r="H8282" s="2">
        <v>317.60000000000002</v>
      </c>
      <c r="I8282" t="str">
        <f>"AZAMAL BIN MUSTAFA"</f>
        <v>AZAMAL BIN MUSTAFA</v>
      </c>
      <c r="J8282" t="str">
        <f t="shared" si="3361"/>
        <v>BANK KERJASAMA RAKYAT</v>
      </c>
      <c r="K8282" t="str">
        <f>"220841110119"</f>
        <v>220841110119</v>
      </c>
      <c r="L8282" t="str">
        <f t="shared" si="3381"/>
        <v>04-08-2020</v>
      </c>
      <c r="M8282" t="str">
        <f t="shared" si="3381"/>
        <v>04-08-2020</v>
      </c>
      <c r="N8282" t="str">
        <f t="shared" si="3373"/>
        <v>001105018356</v>
      </c>
      <c r="O8282" t="str">
        <f t="shared" si="3374"/>
        <v>MYR</v>
      </c>
      <c r="P8282" t="str">
        <f t="shared" si="3382"/>
        <v>NIL</v>
      </c>
      <c r="Q8282" t="str">
        <f t="shared" si="3382"/>
        <v>NIL</v>
      </c>
      <c r="R8282" t="str">
        <f t="shared" si="3362"/>
        <v>Accepted</v>
      </c>
      <c r="S8282" t="str">
        <f t="shared" si="3375"/>
        <v>Approved</v>
      </c>
      <c r="T8282" t="str">
        <f t="shared" si="3363"/>
        <v>10.20.8.188</v>
      </c>
      <c r="U8282" t="str">
        <f t="shared" si="3376"/>
        <v>AZRAD UMAR BIN SHAARI</v>
      </c>
      <c r="V8282" t="str">
        <f t="shared" si="3377"/>
        <v>FARHANA BINTI MUSTAPA</v>
      </c>
      <c r="W8282" t="str">
        <f t="shared" si="3378"/>
        <v>04-08-2020</v>
      </c>
      <c r="X8282" t="str">
        <f t="shared" si="3379"/>
        <v>RAZIMAH ANSAR AHMAD</v>
      </c>
      <c r="Y8282" t="str">
        <f t="shared" si="3380"/>
        <v>04-08-2020</v>
      </c>
      <c r="Z8282" t="str">
        <f>"COS10200804 872"</f>
        <v>COS10200804 872</v>
      </c>
    </row>
    <row r="8283" spans="1:26" x14ac:dyDescent="0.25">
      <c r="A8283" t="str">
        <f t="shared" si="3384"/>
        <v>04-08-2020 12:31:21</v>
      </c>
      <c r="B8283" t="str">
        <f>"0000802614"</f>
        <v>0000802614</v>
      </c>
      <c r="C8283" t="str">
        <f t="shared" si="3385"/>
        <v>0000802543</v>
      </c>
      <c r="D8283" t="str">
        <f t="shared" si="3370"/>
        <v>73185</v>
      </c>
      <c r="E8283" t="str">
        <f t="shared" si="3371"/>
        <v>KFH-OPERATIONS DEPARTMENT</v>
      </c>
      <c r="F8283" t="str">
        <f t="shared" si="3372"/>
        <v>IBG</v>
      </c>
      <c r="G8283" t="str">
        <f t="shared" si="3383"/>
        <v>Refund COSHARE 10</v>
      </c>
      <c r="H8283" s="2">
        <v>694</v>
      </c>
      <c r="I8283" t="str">
        <f>"AWANGKU OMAR BIN AWANGKU MAHMUD"</f>
        <v>AWANGKU OMAR BIN AWANGKU MAHMUD</v>
      </c>
      <c r="J8283" t="str">
        <f t="shared" si="3361"/>
        <v>BANK KERJASAMA RAKYAT</v>
      </c>
      <c r="K8283" t="str">
        <f>"220901014377"</f>
        <v>220901014377</v>
      </c>
      <c r="L8283" t="str">
        <f t="shared" si="3381"/>
        <v>04-08-2020</v>
      </c>
      <c r="M8283" t="str">
        <f t="shared" si="3381"/>
        <v>04-08-2020</v>
      </c>
      <c r="N8283" t="str">
        <f t="shared" si="3373"/>
        <v>001105018356</v>
      </c>
      <c r="O8283" t="str">
        <f t="shared" si="3374"/>
        <v>MYR</v>
      </c>
      <c r="P8283" t="str">
        <f t="shared" si="3382"/>
        <v>NIL</v>
      </c>
      <c r="Q8283" t="str">
        <f t="shared" si="3382"/>
        <v>NIL</v>
      </c>
      <c r="R8283" t="str">
        <f t="shared" si="3362"/>
        <v>Accepted</v>
      </c>
      <c r="S8283" t="str">
        <f t="shared" si="3375"/>
        <v>Approved</v>
      </c>
      <c r="T8283" t="str">
        <f t="shared" si="3363"/>
        <v>10.20.8.188</v>
      </c>
      <c r="U8283" t="str">
        <f t="shared" si="3376"/>
        <v>AZRAD UMAR BIN SHAARI</v>
      </c>
      <c r="V8283" t="str">
        <f t="shared" si="3377"/>
        <v>FARHANA BINTI MUSTAPA</v>
      </c>
      <c r="W8283" t="str">
        <f t="shared" si="3378"/>
        <v>04-08-2020</v>
      </c>
      <c r="X8283" t="str">
        <f t="shared" si="3379"/>
        <v>RAZIMAH ANSAR AHMAD</v>
      </c>
      <c r="Y8283" t="str">
        <f t="shared" si="3380"/>
        <v>04-08-2020</v>
      </c>
      <c r="Z8283" t="str">
        <f>"COS10200804 871"</f>
        <v>COS10200804 871</v>
      </c>
    </row>
    <row r="8284" spans="1:26" x14ac:dyDescent="0.25">
      <c r="A8284" t="str">
        <f t="shared" si="3384"/>
        <v>04-08-2020 12:31:21</v>
      </c>
      <c r="B8284" t="str">
        <f>"0000802613"</f>
        <v>0000802613</v>
      </c>
      <c r="C8284" t="str">
        <f t="shared" si="3385"/>
        <v>0000802543</v>
      </c>
      <c r="D8284" t="str">
        <f t="shared" si="3370"/>
        <v>73185</v>
      </c>
      <c r="E8284" t="str">
        <f t="shared" si="3371"/>
        <v>KFH-OPERATIONS DEPARTMENT</v>
      </c>
      <c r="F8284" t="str">
        <f t="shared" si="3372"/>
        <v>IBG</v>
      </c>
      <c r="G8284" t="str">
        <f t="shared" si="3383"/>
        <v>Refund COSHARE 10</v>
      </c>
      <c r="H8284" s="2">
        <v>1613.15</v>
      </c>
      <c r="I8284" t="str">
        <f>"AWANG SARKAWI BIN AWG ROSLI"</f>
        <v>AWANG SARKAWI BIN AWG ROSLI</v>
      </c>
      <c r="J8284" t="str">
        <f t="shared" si="3361"/>
        <v>BANK KERJASAMA RAKYAT</v>
      </c>
      <c r="K8284" t="str">
        <f>"220841154778"</f>
        <v>220841154778</v>
      </c>
      <c r="L8284" t="str">
        <f t="shared" si="3381"/>
        <v>04-08-2020</v>
      </c>
      <c r="M8284" t="str">
        <f t="shared" si="3381"/>
        <v>04-08-2020</v>
      </c>
      <c r="N8284" t="str">
        <f t="shared" si="3373"/>
        <v>001105018356</v>
      </c>
      <c r="O8284" t="str">
        <f t="shared" si="3374"/>
        <v>MYR</v>
      </c>
      <c r="P8284" t="str">
        <f t="shared" si="3382"/>
        <v>NIL</v>
      </c>
      <c r="Q8284" t="str">
        <f t="shared" si="3382"/>
        <v>NIL</v>
      </c>
      <c r="R8284" t="str">
        <f t="shared" si="3362"/>
        <v>Accepted</v>
      </c>
      <c r="S8284" t="str">
        <f t="shared" si="3375"/>
        <v>Approved</v>
      </c>
      <c r="T8284" t="str">
        <f t="shared" si="3363"/>
        <v>10.20.8.188</v>
      </c>
      <c r="U8284" t="str">
        <f t="shared" si="3376"/>
        <v>AZRAD UMAR BIN SHAARI</v>
      </c>
      <c r="V8284" t="str">
        <f t="shared" si="3377"/>
        <v>FARHANA BINTI MUSTAPA</v>
      </c>
      <c r="W8284" t="str">
        <f t="shared" si="3378"/>
        <v>04-08-2020</v>
      </c>
      <c r="X8284" t="str">
        <f t="shared" si="3379"/>
        <v>RAZIMAH ANSAR AHMAD</v>
      </c>
      <c r="Y8284" t="str">
        <f t="shared" si="3380"/>
        <v>04-08-2020</v>
      </c>
      <c r="Z8284" t="str">
        <f>"COS10200804 870"</f>
        <v>COS10200804 870</v>
      </c>
    </row>
    <row r="8285" spans="1:26" x14ac:dyDescent="0.25">
      <c r="A8285" t="str">
        <f t="shared" si="3384"/>
        <v>04-08-2020 12:31:21</v>
      </c>
      <c r="B8285" t="str">
        <f>"0000802612"</f>
        <v>0000802612</v>
      </c>
      <c r="C8285" t="str">
        <f t="shared" si="3385"/>
        <v>0000802543</v>
      </c>
      <c r="D8285" t="str">
        <f t="shared" si="3370"/>
        <v>73185</v>
      </c>
      <c r="E8285" t="str">
        <f t="shared" si="3371"/>
        <v>KFH-OPERATIONS DEPARTMENT</v>
      </c>
      <c r="F8285" t="str">
        <f t="shared" si="3372"/>
        <v>IBG</v>
      </c>
      <c r="G8285" t="str">
        <f t="shared" si="3383"/>
        <v>Refund COSHARE 10</v>
      </c>
      <c r="H8285" s="2">
        <v>923.45</v>
      </c>
      <c r="I8285" t="str">
        <f>"AWANG KESUMAJAYA BIN AWANG JULAIHI"</f>
        <v>AWANG KESUMAJAYA BIN AWANG JULAIHI</v>
      </c>
      <c r="J8285" t="str">
        <f t="shared" si="3361"/>
        <v>BANK KERJASAMA RAKYAT</v>
      </c>
      <c r="K8285" t="str">
        <f>"220541116952"</f>
        <v>220541116952</v>
      </c>
      <c r="L8285" t="str">
        <f t="shared" si="3381"/>
        <v>04-08-2020</v>
      </c>
      <c r="M8285" t="str">
        <f t="shared" si="3381"/>
        <v>04-08-2020</v>
      </c>
      <c r="N8285" t="str">
        <f t="shared" si="3373"/>
        <v>001105018356</v>
      </c>
      <c r="O8285" t="str">
        <f t="shared" si="3374"/>
        <v>MYR</v>
      </c>
      <c r="P8285" t="str">
        <f t="shared" si="3382"/>
        <v>NIL</v>
      </c>
      <c r="Q8285" t="str">
        <f t="shared" si="3382"/>
        <v>NIL</v>
      </c>
      <c r="R8285" t="str">
        <f t="shared" si="3362"/>
        <v>Accepted</v>
      </c>
      <c r="S8285" t="str">
        <f t="shared" si="3375"/>
        <v>Approved</v>
      </c>
      <c r="T8285" t="str">
        <f t="shared" si="3363"/>
        <v>10.20.8.188</v>
      </c>
      <c r="U8285" t="str">
        <f t="shared" si="3376"/>
        <v>AZRAD UMAR BIN SHAARI</v>
      </c>
      <c r="V8285" t="str">
        <f t="shared" si="3377"/>
        <v>FARHANA BINTI MUSTAPA</v>
      </c>
      <c r="W8285" t="str">
        <f t="shared" si="3378"/>
        <v>04-08-2020</v>
      </c>
      <c r="X8285" t="str">
        <f t="shared" si="3379"/>
        <v>RAZIMAH ANSAR AHMAD</v>
      </c>
      <c r="Y8285" t="str">
        <f t="shared" si="3380"/>
        <v>04-08-2020</v>
      </c>
      <c r="Z8285" t="str">
        <f>"COS10200804 869"</f>
        <v>COS10200804 869</v>
      </c>
    </row>
    <row r="8286" spans="1:26" x14ac:dyDescent="0.25">
      <c r="A8286" t="str">
        <f t="shared" si="3384"/>
        <v>04-08-2020 12:31:21</v>
      </c>
      <c r="B8286" t="str">
        <f>"0000802611"</f>
        <v>0000802611</v>
      </c>
      <c r="C8286" t="str">
        <f t="shared" si="3385"/>
        <v>0000802543</v>
      </c>
      <c r="D8286" t="str">
        <f t="shared" si="3370"/>
        <v>73185</v>
      </c>
      <c r="E8286" t="str">
        <f t="shared" si="3371"/>
        <v>KFH-OPERATIONS DEPARTMENT</v>
      </c>
      <c r="F8286" t="str">
        <f t="shared" si="3372"/>
        <v>IBG</v>
      </c>
      <c r="G8286" t="str">
        <f t="shared" si="3383"/>
        <v>Refund COSHARE 10</v>
      </c>
      <c r="H8286" s="2">
        <v>44.35</v>
      </c>
      <c r="I8286" t="str">
        <f>"ASRUL HAKIM BIN BAHARI"</f>
        <v>ASRUL HAKIM BIN BAHARI</v>
      </c>
      <c r="J8286" t="str">
        <f t="shared" si="3361"/>
        <v>BANK KERJASAMA RAKYAT</v>
      </c>
      <c r="K8286" t="str">
        <f>"220451115531"</f>
        <v>220451115531</v>
      </c>
      <c r="L8286" t="str">
        <f t="shared" si="3381"/>
        <v>04-08-2020</v>
      </c>
      <c r="M8286" t="str">
        <f t="shared" si="3381"/>
        <v>04-08-2020</v>
      </c>
      <c r="N8286" t="str">
        <f t="shared" si="3373"/>
        <v>001105018356</v>
      </c>
      <c r="O8286" t="str">
        <f t="shared" si="3374"/>
        <v>MYR</v>
      </c>
      <c r="P8286" t="str">
        <f t="shared" si="3382"/>
        <v>NIL</v>
      </c>
      <c r="Q8286" t="str">
        <f t="shared" si="3382"/>
        <v>NIL</v>
      </c>
      <c r="R8286" t="str">
        <f t="shared" si="3362"/>
        <v>Accepted</v>
      </c>
      <c r="S8286" t="str">
        <f t="shared" si="3375"/>
        <v>Approved</v>
      </c>
      <c r="T8286" t="str">
        <f t="shared" si="3363"/>
        <v>10.20.8.188</v>
      </c>
      <c r="U8286" t="str">
        <f t="shared" si="3376"/>
        <v>AZRAD UMAR BIN SHAARI</v>
      </c>
      <c r="V8286" t="str">
        <f t="shared" si="3377"/>
        <v>FARHANA BINTI MUSTAPA</v>
      </c>
      <c r="W8286" t="str">
        <f t="shared" si="3378"/>
        <v>04-08-2020</v>
      </c>
      <c r="X8286" t="str">
        <f t="shared" si="3379"/>
        <v>RAZIMAH ANSAR AHMAD</v>
      </c>
      <c r="Y8286" t="str">
        <f t="shared" si="3380"/>
        <v>04-08-2020</v>
      </c>
      <c r="Z8286" t="str">
        <f>"COS10200804 868"</f>
        <v>COS10200804 868</v>
      </c>
    </row>
    <row r="8287" spans="1:26" x14ac:dyDescent="0.25">
      <c r="A8287" t="str">
        <f t="shared" si="3384"/>
        <v>04-08-2020 12:31:21</v>
      </c>
      <c r="B8287" t="str">
        <f>"0000802610"</f>
        <v>0000802610</v>
      </c>
      <c r="C8287" t="str">
        <f t="shared" si="3385"/>
        <v>0000802543</v>
      </c>
      <c r="D8287" t="str">
        <f t="shared" si="3370"/>
        <v>73185</v>
      </c>
      <c r="E8287" t="str">
        <f t="shared" si="3371"/>
        <v>KFH-OPERATIONS DEPARTMENT</v>
      </c>
      <c r="F8287" t="str">
        <f t="shared" si="3372"/>
        <v>IBG</v>
      </c>
      <c r="G8287" t="str">
        <f t="shared" si="3383"/>
        <v>Refund COSHARE 10</v>
      </c>
      <c r="H8287" s="2">
        <v>102.35</v>
      </c>
      <c r="I8287" t="str">
        <f>"ASNAN SULONG BIN ALI BASAH"</f>
        <v>ASNAN SULONG BIN ALI BASAH</v>
      </c>
      <c r="J8287" t="str">
        <f t="shared" si="3361"/>
        <v>BANK KERJASAMA RAKYAT</v>
      </c>
      <c r="K8287" t="str">
        <f>"220531209641"</f>
        <v>220531209641</v>
      </c>
      <c r="L8287" t="str">
        <f t="shared" ref="L8287:M8306" si="3386">"04-08-2020"</f>
        <v>04-08-2020</v>
      </c>
      <c r="M8287" t="str">
        <f t="shared" si="3386"/>
        <v>04-08-2020</v>
      </c>
      <c r="N8287" t="str">
        <f t="shared" si="3373"/>
        <v>001105018356</v>
      </c>
      <c r="O8287" t="str">
        <f t="shared" si="3374"/>
        <v>MYR</v>
      </c>
      <c r="P8287" t="str">
        <f t="shared" ref="P8287:Q8306" si="3387">"NIL"</f>
        <v>NIL</v>
      </c>
      <c r="Q8287" t="str">
        <f t="shared" si="3387"/>
        <v>NIL</v>
      </c>
      <c r="R8287" t="str">
        <f t="shared" si="3362"/>
        <v>Accepted</v>
      </c>
      <c r="S8287" t="str">
        <f t="shared" si="3375"/>
        <v>Approved</v>
      </c>
      <c r="T8287" t="str">
        <f t="shared" si="3363"/>
        <v>10.20.8.188</v>
      </c>
      <c r="U8287" t="str">
        <f t="shared" si="3376"/>
        <v>AZRAD UMAR BIN SHAARI</v>
      </c>
      <c r="V8287" t="str">
        <f t="shared" si="3377"/>
        <v>FARHANA BINTI MUSTAPA</v>
      </c>
      <c r="W8287" t="str">
        <f t="shared" si="3378"/>
        <v>04-08-2020</v>
      </c>
      <c r="X8287" t="str">
        <f t="shared" si="3379"/>
        <v>RAZIMAH ANSAR AHMAD</v>
      </c>
      <c r="Y8287" t="str">
        <f t="shared" si="3380"/>
        <v>04-08-2020</v>
      </c>
      <c r="Z8287" t="str">
        <f>"COS10200804 867"</f>
        <v>COS10200804 867</v>
      </c>
    </row>
    <row r="8288" spans="1:26" x14ac:dyDescent="0.25">
      <c r="A8288" t="str">
        <f t="shared" si="3384"/>
        <v>04-08-2020 12:31:21</v>
      </c>
      <c r="B8288" t="str">
        <f>"0000802609"</f>
        <v>0000802609</v>
      </c>
      <c r="C8288" t="str">
        <f t="shared" si="3385"/>
        <v>0000802543</v>
      </c>
      <c r="D8288" t="str">
        <f t="shared" si="3370"/>
        <v>73185</v>
      </c>
      <c r="E8288" t="str">
        <f t="shared" si="3371"/>
        <v>KFH-OPERATIONS DEPARTMENT</v>
      </c>
      <c r="F8288" t="str">
        <f t="shared" si="3372"/>
        <v>IBG</v>
      </c>
      <c r="G8288" t="str">
        <f t="shared" si="3383"/>
        <v>Refund COSHARE 10</v>
      </c>
      <c r="H8288" s="2">
        <v>228</v>
      </c>
      <c r="I8288" t="str">
        <f>"ASMARANI BINTI AJMAIN"</f>
        <v>ASMARANI BINTI AJMAIN</v>
      </c>
      <c r="J8288" t="str">
        <f t="shared" si="3361"/>
        <v>BANK KERJASAMA RAKYAT</v>
      </c>
      <c r="K8288" t="str">
        <f>"220971229772"</f>
        <v>220971229772</v>
      </c>
      <c r="L8288" t="str">
        <f t="shared" si="3386"/>
        <v>04-08-2020</v>
      </c>
      <c r="M8288" t="str">
        <f t="shared" si="3386"/>
        <v>04-08-2020</v>
      </c>
      <c r="N8288" t="str">
        <f t="shared" si="3373"/>
        <v>001105018356</v>
      </c>
      <c r="O8288" t="str">
        <f t="shared" si="3374"/>
        <v>MYR</v>
      </c>
      <c r="P8288" t="str">
        <f t="shared" si="3387"/>
        <v>NIL</v>
      </c>
      <c r="Q8288" t="str">
        <f t="shared" si="3387"/>
        <v>NIL</v>
      </c>
      <c r="R8288" t="str">
        <f t="shared" si="3362"/>
        <v>Accepted</v>
      </c>
      <c r="S8288" t="str">
        <f t="shared" si="3375"/>
        <v>Approved</v>
      </c>
      <c r="T8288" t="str">
        <f t="shared" si="3363"/>
        <v>10.20.8.188</v>
      </c>
      <c r="U8288" t="str">
        <f t="shared" si="3376"/>
        <v>AZRAD UMAR BIN SHAARI</v>
      </c>
      <c r="V8288" t="str">
        <f t="shared" si="3377"/>
        <v>FARHANA BINTI MUSTAPA</v>
      </c>
      <c r="W8288" t="str">
        <f t="shared" si="3378"/>
        <v>04-08-2020</v>
      </c>
      <c r="X8288" t="str">
        <f t="shared" si="3379"/>
        <v>RAZIMAH ANSAR AHMAD</v>
      </c>
      <c r="Y8288" t="str">
        <f t="shared" si="3380"/>
        <v>04-08-2020</v>
      </c>
      <c r="Z8288" t="str">
        <f>"COS10200804 866"</f>
        <v>COS10200804 866</v>
      </c>
    </row>
    <row r="8289" spans="1:26" x14ac:dyDescent="0.25">
      <c r="A8289" t="str">
        <f t="shared" si="3384"/>
        <v>04-08-2020 12:31:21</v>
      </c>
      <c r="B8289" t="str">
        <f>"0000802608"</f>
        <v>0000802608</v>
      </c>
      <c r="C8289" t="str">
        <f t="shared" si="3385"/>
        <v>0000802543</v>
      </c>
      <c r="D8289" t="str">
        <f t="shared" si="3370"/>
        <v>73185</v>
      </c>
      <c r="E8289" t="str">
        <f t="shared" si="3371"/>
        <v>KFH-OPERATIONS DEPARTMENT</v>
      </c>
      <c r="F8289" t="str">
        <f t="shared" si="3372"/>
        <v>IBG</v>
      </c>
      <c r="G8289" t="str">
        <f t="shared" si="3383"/>
        <v>Refund COSHARE 10</v>
      </c>
      <c r="H8289" s="2">
        <v>136.75</v>
      </c>
      <c r="I8289" t="str">
        <f>"ASMAH BINTI TAHIR"</f>
        <v>ASMAH BINTI TAHIR</v>
      </c>
      <c r="J8289" t="str">
        <f t="shared" si="3361"/>
        <v>BANK KERJASAMA RAKYAT</v>
      </c>
      <c r="K8289" t="str">
        <f>"220291157399"</f>
        <v>220291157399</v>
      </c>
      <c r="L8289" t="str">
        <f t="shared" si="3386"/>
        <v>04-08-2020</v>
      </c>
      <c r="M8289" t="str">
        <f t="shared" si="3386"/>
        <v>04-08-2020</v>
      </c>
      <c r="N8289" t="str">
        <f t="shared" si="3373"/>
        <v>001105018356</v>
      </c>
      <c r="O8289" t="str">
        <f t="shared" si="3374"/>
        <v>MYR</v>
      </c>
      <c r="P8289" t="str">
        <f t="shared" si="3387"/>
        <v>NIL</v>
      </c>
      <c r="Q8289" t="str">
        <f t="shared" si="3387"/>
        <v>NIL</v>
      </c>
      <c r="R8289" t="str">
        <f t="shared" si="3362"/>
        <v>Accepted</v>
      </c>
      <c r="S8289" t="str">
        <f t="shared" si="3375"/>
        <v>Approved</v>
      </c>
      <c r="T8289" t="str">
        <f t="shared" si="3363"/>
        <v>10.20.8.188</v>
      </c>
      <c r="U8289" t="str">
        <f t="shared" si="3376"/>
        <v>AZRAD UMAR BIN SHAARI</v>
      </c>
      <c r="V8289" t="str">
        <f t="shared" si="3377"/>
        <v>FARHANA BINTI MUSTAPA</v>
      </c>
      <c r="W8289" t="str">
        <f t="shared" si="3378"/>
        <v>04-08-2020</v>
      </c>
      <c r="X8289" t="str">
        <f t="shared" si="3379"/>
        <v>RAZIMAH ANSAR AHMAD</v>
      </c>
      <c r="Y8289" t="str">
        <f t="shared" si="3380"/>
        <v>04-08-2020</v>
      </c>
      <c r="Z8289" t="str">
        <f>"COS10200804 865"</f>
        <v>COS10200804 865</v>
      </c>
    </row>
    <row r="8290" spans="1:26" x14ac:dyDescent="0.25">
      <c r="A8290" t="str">
        <f t="shared" si="3384"/>
        <v>04-08-2020 12:31:21</v>
      </c>
      <c r="B8290" t="str">
        <f>"0000802607"</f>
        <v>0000802607</v>
      </c>
      <c r="C8290" t="str">
        <f t="shared" si="3385"/>
        <v>0000802543</v>
      </c>
      <c r="D8290" t="str">
        <f t="shared" si="3370"/>
        <v>73185</v>
      </c>
      <c r="E8290" t="str">
        <f t="shared" si="3371"/>
        <v>KFH-OPERATIONS DEPARTMENT</v>
      </c>
      <c r="F8290" t="str">
        <f t="shared" si="3372"/>
        <v>IBG</v>
      </c>
      <c r="G8290" t="str">
        <f t="shared" si="3383"/>
        <v>Refund COSHARE 10</v>
      </c>
      <c r="H8290" s="2">
        <v>1358.3</v>
      </c>
      <c r="I8290" t="str">
        <f>"ASMADI BIN OMAR"</f>
        <v>ASMADI BIN OMAR</v>
      </c>
      <c r="J8290" t="str">
        <f t="shared" ref="J8290:J8332" si="3388">"BANK KERJASAMA RAKYAT"</f>
        <v>BANK KERJASAMA RAKYAT</v>
      </c>
      <c r="K8290" t="str">
        <f>"220051073199"</f>
        <v>220051073199</v>
      </c>
      <c r="L8290" t="str">
        <f t="shared" si="3386"/>
        <v>04-08-2020</v>
      </c>
      <c r="M8290" t="str">
        <f t="shared" si="3386"/>
        <v>04-08-2020</v>
      </c>
      <c r="N8290" t="str">
        <f t="shared" si="3373"/>
        <v>001105018356</v>
      </c>
      <c r="O8290" t="str">
        <f t="shared" si="3374"/>
        <v>MYR</v>
      </c>
      <c r="P8290" t="str">
        <f t="shared" si="3387"/>
        <v>NIL</v>
      </c>
      <c r="Q8290" t="str">
        <f t="shared" si="3387"/>
        <v>NIL</v>
      </c>
      <c r="R8290" t="str">
        <f t="shared" ref="R8290:R8353" si="3389">"Accepted"</f>
        <v>Accepted</v>
      </c>
      <c r="S8290" t="str">
        <f t="shared" si="3375"/>
        <v>Approved</v>
      </c>
      <c r="T8290" t="str">
        <f t="shared" ref="T8290:T8353" si="3390">"10.20.8.188"</f>
        <v>10.20.8.188</v>
      </c>
      <c r="U8290" t="str">
        <f t="shared" si="3376"/>
        <v>AZRAD UMAR BIN SHAARI</v>
      </c>
      <c r="V8290" t="str">
        <f t="shared" si="3377"/>
        <v>FARHANA BINTI MUSTAPA</v>
      </c>
      <c r="W8290" t="str">
        <f t="shared" si="3378"/>
        <v>04-08-2020</v>
      </c>
      <c r="X8290" t="str">
        <f t="shared" si="3379"/>
        <v>RAZIMAH ANSAR AHMAD</v>
      </c>
      <c r="Y8290" t="str">
        <f t="shared" si="3380"/>
        <v>04-08-2020</v>
      </c>
      <c r="Z8290" t="str">
        <f>"COS10200804 864"</f>
        <v>COS10200804 864</v>
      </c>
    </row>
    <row r="8291" spans="1:26" x14ac:dyDescent="0.25">
      <c r="A8291" t="str">
        <f t="shared" si="3384"/>
        <v>04-08-2020 12:31:21</v>
      </c>
      <c r="B8291" t="str">
        <f>"0000802606"</f>
        <v>0000802606</v>
      </c>
      <c r="C8291" t="str">
        <f t="shared" si="3385"/>
        <v>0000802543</v>
      </c>
      <c r="D8291" t="str">
        <f t="shared" si="3370"/>
        <v>73185</v>
      </c>
      <c r="E8291" t="str">
        <f t="shared" si="3371"/>
        <v>KFH-OPERATIONS DEPARTMENT</v>
      </c>
      <c r="F8291" t="str">
        <f t="shared" si="3372"/>
        <v>IBG</v>
      </c>
      <c r="G8291" t="str">
        <f t="shared" si="3383"/>
        <v>Refund COSHARE 10</v>
      </c>
      <c r="H8291" s="2">
        <v>710</v>
      </c>
      <c r="I8291" t="str">
        <f>"ASLIZA BINTI NYAN  MUSA"</f>
        <v>ASLIZA BINTI NYAN  MUSA</v>
      </c>
      <c r="J8291" t="str">
        <f t="shared" si="3388"/>
        <v>BANK KERJASAMA RAKYAT</v>
      </c>
      <c r="K8291" t="str">
        <f>"220011265238"</f>
        <v>220011265238</v>
      </c>
      <c r="L8291" t="str">
        <f t="shared" si="3386"/>
        <v>04-08-2020</v>
      </c>
      <c r="M8291" t="str">
        <f t="shared" si="3386"/>
        <v>04-08-2020</v>
      </c>
      <c r="N8291" t="str">
        <f t="shared" si="3373"/>
        <v>001105018356</v>
      </c>
      <c r="O8291" t="str">
        <f t="shared" si="3374"/>
        <v>MYR</v>
      </c>
      <c r="P8291" t="str">
        <f t="shared" si="3387"/>
        <v>NIL</v>
      </c>
      <c r="Q8291" t="str">
        <f t="shared" si="3387"/>
        <v>NIL</v>
      </c>
      <c r="R8291" t="str">
        <f t="shared" si="3389"/>
        <v>Accepted</v>
      </c>
      <c r="S8291" t="str">
        <f t="shared" si="3375"/>
        <v>Approved</v>
      </c>
      <c r="T8291" t="str">
        <f t="shared" si="3390"/>
        <v>10.20.8.188</v>
      </c>
      <c r="U8291" t="str">
        <f t="shared" si="3376"/>
        <v>AZRAD UMAR BIN SHAARI</v>
      </c>
      <c r="V8291" t="str">
        <f t="shared" si="3377"/>
        <v>FARHANA BINTI MUSTAPA</v>
      </c>
      <c r="W8291" t="str">
        <f t="shared" si="3378"/>
        <v>04-08-2020</v>
      </c>
      <c r="X8291" t="str">
        <f t="shared" si="3379"/>
        <v>RAZIMAH ANSAR AHMAD</v>
      </c>
      <c r="Y8291" t="str">
        <f t="shared" si="3380"/>
        <v>04-08-2020</v>
      </c>
      <c r="Z8291" t="str">
        <f>"COS10200804 863"</f>
        <v>COS10200804 863</v>
      </c>
    </row>
    <row r="8292" spans="1:26" x14ac:dyDescent="0.25">
      <c r="A8292" t="str">
        <f t="shared" si="3384"/>
        <v>04-08-2020 12:31:21</v>
      </c>
      <c r="B8292" t="str">
        <f>"0000802605"</f>
        <v>0000802605</v>
      </c>
      <c r="C8292" t="str">
        <f t="shared" si="3385"/>
        <v>0000802543</v>
      </c>
      <c r="D8292" t="str">
        <f t="shared" si="3370"/>
        <v>73185</v>
      </c>
      <c r="E8292" t="str">
        <f t="shared" si="3371"/>
        <v>KFH-OPERATIONS DEPARTMENT</v>
      </c>
      <c r="F8292" t="str">
        <f t="shared" si="3372"/>
        <v>IBG</v>
      </c>
      <c r="G8292" t="str">
        <f t="shared" si="3383"/>
        <v>Refund COSHARE 10</v>
      </c>
      <c r="H8292" s="2">
        <v>1524.45</v>
      </c>
      <c r="I8292" t="str">
        <f>"ASIAH BINTI YAACOB KHAN"</f>
        <v>ASIAH BINTI YAACOB KHAN</v>
      </c>
      <c r="J8292" t="str">
        <f t="shared" si="3388"/>
        <v>BANK KERJASAMA RAKYAT</v>
      </c>
      <c r="K8292" t="str">
        <f>"220211144266"</f>
        <v>220211144266</v>
      </c>
      <c r="L8292" t="str">
        <f t="shared" si="3386"/>
        <v>04-08-2020</v>
      </c>
      <c r="M8292" t="str">
        <f t="shared" si="3386"/>
        <v>04-08-2020</v>
      </c>
      <c r="N8292" t="str">
        <f t="shared" si="3373"/>
        <v>001105018356</v>
      </c>
      <c r="O8292" t="str">
        <f t="shared" si="3374"/>
        <v>MYR</v>
      </c>
      <c r="P8292" t="str">
        <f t="shared" si="3387"/>
        <v>NIL</v>
      </c>
      <c r="Q8292" t="str">
        <f t="shared" si="3387"/>
        <v>NIL</v>
      </c>
      <c r="R8292" t="str">
        <f t="shared" si="3389"/>
        <v>Accepted</v>
      </c>
      <c r="S8292" t="str">
        <f t="shared" si="3375"/>
        <v>Approved</v>
      </c>
      <c r="T8292" t="str">
        <f t="shared" si="3390"/>
        <v>10.20.8.188</v>
      </c>
      <c r="U8292" t="str">
        <f t="shared" si="3376"/>
        <v>AZRAD UMAR BIN SHAARI</v>
      </c>
      <c r="V8292" t="str">
        <f t="shared" si="3377"/>
        <v>FARHANA BINTI MUSTAPA</v>
      </c>
      <c r="W8292" t="str">
        <f t="shared" si="3378"/>
        <v>04-08-2020</v>
      </c>
      <c r="X8292" t="str">
        <f t="shared" si="3379"/>
        <v>RAZIMAH ANSAR AHMAD</v>
      </c>
      <c r="Y8292" t="str">
        <f t="shared" si="3380"/>
        <v>04-08-2020</v>
      </c>
      <c r="Z8292" t="str">
        <f>"COS10200804 862"</f>
        <v>COS10200804 862</v>
      </c>
    </row>
    <row r="8293" spans="1:26" x14ac:dyDescent="0.25">
      <c r="A8293" t="str">
        <f t="shared" si="3384"/>
        <v>04-08-2020 12:31:21</v>
      </c>
      <c r="B8293" t="str">
        <f>"0000802604"</f>
        <v>0000802604</v>
      </c>
      <c r="C8293" t="str">
        <f t="shared" si="3385"/>
        <v>0000802543</v>
      </c>
      <c r="D8293" t="str">
        <f t="shared" si="3370"/>
        <v>73185</v>
      </c>
      <c r="E8293" t="str">
        <f t="shared" si="3371"/>
        <v>KFH-OPERATIONS DEPARTMENT</v>
      </c>
      <c r="F8293" t="str">
        <f t="shared" si="3372"/>
        <v>IBG</v>
      </c>
      <c r="G8293" t="str">
        <f t="shared" si="3383"/>
        <v>Refund COSHARE 10</v>
      </c>
      <c r="H8293" s="2">
        <v>109.15</v>
      </c>
      <c r="I8293" t="str">
        <f>"ASDI BIN AHMAD"</f>
        <v>ASDI BIN AHMAD</v>
      </c>
      <c r="J8293" t="str">
        <f t="shared" si="3388"/>
        <v>BANK KERJASAMA RAKYAT</v>
      </c>
      <c r="K8293" t="str">
        <f>"220551141284"</f>
        <v>220551141284</v>
      </c>
      <c r="L8293" t="str">
        <f t="shared" si="3386"/>
        <v>04-08-2020</v>
      </c>
      <c r="M8293" t="str">
        <f t="shared" si="3386"/>
        <v>04-08-2020</v>
      </c>
      <c r="N8293" t="str">
        <f t="shared" si="3373"/>
        <v>001105018356</v>
      </c>
      <c r="O8293" t="str">
        <f t="shared" si="3374"/>
        <v>MYR</v>
      </c>
      <c r="P8293" t="str">
        <f t="shared" si="3387"/>
        <v>NIL</v>
      </c>
      <c r="Q8293" t="str">
        <f t="shared" si="3387"/>
        <v>NIL</v>
      </c>
      <c r="R8293" t="str">
        <f t="shared" si="3389"/>
        <v>Accepted</v>
      </c>
      <c r="S8293" t="str">
        <f t="shared" si="3375"/>
        <v>Approved</v>
      </c>
      <c r="T8293" t="str">
        <f t="shared" si="3390"/>
        <v>10.20.8.188</v>
      </c>
      <c r="U8293" t="str">
        <f t="shared" si="3376"/>
        <v>AZRAD UMAR BIN SHAARI</v>
      </c>
      <c r="V8293" t="str">
        <f t="shared" si="3377"/>
        <v>FARHANA BINTI MUSTAPA</v>
      </c>
      <c r="W8293" t="str">
        <f t="shared" si="3378"/>
        <v>04-08-2020</v>
      </c>
      <c r="X8293" t="str">
        <f t="shared" si="3379"/>
        <v>RAZIMAH ANSAR AHMAD</v>
      </c>
      <c r="Y8293" t="str">
        <f t="shared" si="3380"/>
        <v>04-08-2020</v>
      </c>
      <c r="Z8293" t="str">
        <f>"COS10200804 861"</f>
        <v>COS10200804 861</v>
      </c>
    </row>
    <row r="8294" spans="1:26" x14ac:dyDescent="0.25">
      <c r="A8294" t="str">
        <f t="shared" si="3384"/>
        <v>04-08-2020 12:31:21</v>
      </c>
      <c r="B8294" t="str">
        <f>"0000802603"</f>
        <v>0000802603</v>
      </c>
      <c r="C8294" t="str">
        <f t="shared" si="3385"/>
        <v>0000802543</v>
      </c>
      <c r="D8294" t="str">
        <f t="shared" si="3370"/>
        <v>73185</v>
      </c>
      <c r="E8294" t="str">
        <f t="shared" si="3371"/>
        <v>KFH-OPERATIONS DEPARTMENT</v>
      </c>
      <c r="F8294" t="str">
        <f t="shared" si="3372"/>
        <v>IBG</v>
      </c>
      <c r="G8294" t="str">
        <f t="shared" si="3383"/>
        <v>Refund COSHARE 10</v>
      </c>
      <c r="H8294" s="2">
        <v>137.25</v>
      </c>
      <c r="I8294" t="str">
        <f>"ARSAT BIN JULIHI"</f>
        <v>ARSAT BIN JULIHI</v>
      </c>
      <c r="J8294" t="str">
        <f t="shared" si="3388"/>
        <v>BANK KERJASAMA RAKYAT</v>
      </c>
      <c r="K8294" t="str">
        <f>"220781046213"</f>
        <v>220781046213</v>
      </c>
      <c r="L8294" t="str">
        <f t="shared" si="3386"/>
        <v>04-08-2020</v>
      </c>
      <c r="M8294" t="str">
        <f t="shared" si="3386"/>
        <v>04-08-2020</v>
      </c>
      <c r="N8294" t="str">
        <f t="shared" si="3373"/>
        <v>001105018356</v>
      </c>
      <c r="O8294" t="str">
        <f t="shared" si="3374"/>
        <v>MYR</v>
      </c>
      <c r="P8294" t="str">
        <f t="shared" si="3387"/>
        <v>NIL</v>
      </c>
      <c r="Q8294" t="str">
        <f t="shared" si="3387"/>
        <v>NIL</v>
      </c>
      <c r="R8294" t="str">
        <f t="shared" si="3389"/>
        <v>Accepted</v>
      </c>
      <c r="S8294" t="str">
        <f t="shared" si="3375"/>
        <v>Approved</v>
      </c>
      <c r="T8294" t="str">
        <f t="shared" si="3390"/>
        <v>10.20.8.188</v>
      </c>
      <c r="U8294" t="str">
        <f t="shared" si="3376"/>
        <v>AZRAD UMAR BIN SHAARI</v>
      </c>
      <c r="V8294" t="str">
        <f t="shared" si="3377"/>
        <v>FARHANA BINTI MUSTAPA</v>
      </c>
      <c r="W8294" t="str">
        <f t="shared" si="3378"/>
        <v>04-08-2020</v>
      </c>
      <c r="X8294" t="str">
        <f t="shared" si="3379"/>
        <v>RAZIMAH ANSAR AHMAD</v>
      </c>
      <c r="Y8294" t="str">
        <f t="shared" si="3380"/>
        <v>04-08-2020</v>
      </c>
      <c r="Z8294" t="str">
        <f>"COS10200804 860"</f>
        <v>COS10200804 860</v>
      </c>
    </row>
    <row r="8295" spans="1:26" x14ac:dyDescent="0.25">
      <c r="A8295" t="str">
        <f t="shared" si="3384"/>
        <v>04-08-2020 12:31:21</v>
      </c>
      <c r="B8295" t="str">
        <f>"0000802602"</f>
        <v>0000802602</v>
      </c>
      <c r="C8295" t="str">
        <f t="shared" si="3385"/>
        <v>0000802543</v>
      </c>
      <c r="D8295" t="str">
        <f t="shared" si="3370"/>
        <v>73185</v>
      </c>
      <c r="E8295" t="str">
        <f t="shared" si="3371"/>
        <v>KFH-OPERATIONS DEPARTMENT</v>
      </c>
      <c r="F8295" t="str">
        <f t="shared" si="3372"/>
        <v>IBG</v>
      </c>
      <c r="G8295" t="str">
        <f t="shared" si="3383"/>
        <v>Refund COSHARE 10</v>
      </c>
      <c r="H8295" s="2">
        <v>889.9</v>
      </c>
      <c r="I8295" t="str">
        <f>"ARNI BIN JAPAR"</f>
        <v>ARNI BIN JAPAR</v>
      </c>
      <c r="J8295" t="str">
        <f t="shared" si="3388"/>
        <v>BANK KERJASAMA RAKYAT</v>
      </c>
      <c r="K8295" t="str">
        <f>"220731079601"</f>
        <v>220731079601</v>
      </c>
      <c r="L8295" t="str">
        <f t="shared" si="3386"/>
        <v>04-08-2020</v>
      </c>
      <c r="M8295" t="str">
        <f t="shared" si="3386"/>
        <v>04-08-2020</v>
      </c>
      <c r="N8295" t="str">
        <f t="shared" si="3373"/>
        <v>001105018356</v>
      </c>
      <c r="O8295" t="str">
        <f t="shared" si="3374"/>
        <v>MYR</v>
      </c>
      <c r="P8295" t="str">
        <f t="shared" si="3387"/>
        <v>NIL</v>
      </c>
      <c r="Q8295" t="str">
        <f t="shared" si="3387"/>
        <v>NIL</v>
      </c>
      <c r="R8295" t="str">
        <f t="shared" si="3389"/>
        <v>Accepted</v>
      </c>
      <c r="S8295" t="str">
        <f t="shared" si="3375"/>
        <v>Approved</v>
      </c>
      <c r="T8295" t="str">
        <f t="shared" si="3390"/>
        <v>10.20.8.188</v>
      </c>
      <c r="U8295" t="str">
        <f t="shared" si="3376"/>
        <v>AZRAD UMAR BIN SHAARI</v>
      </c>
      <c r="V8295" t="str">
        <f t="shared" si="3377"/>
        <v>FARHANA BINTI MUSTAPA</v>
      </c>
      <c r="W8295" t="str">
        <f t="shared" si="3378"/>
        <v>04-08-2020</v>
      </c>
      <c r="X8295" t="str">
        <f t="shared" si="3379"/>
        <v>RAZIMAH ANSAR AHMAD</v>
      </c>
      <c r="Y8295" t="str">
        <f t="shared" si="3380"/>
        <v>04-08-2020</v>
      </c>
      <c r="Z8295" t="str">
        <f>"COS10200804 859"</f>
        <v>COS10200804 859</v>
      </c>
    </row>
    <row r="8296" spans="1:26" x14ac:dyDescent="0.25">
      <c r="A8296" t="str">
        <f t="shared" si="3384"/>
        <v>04-08-2020 12:31:21</v>
      </c>
      <c r="B8296" t="str">
        <f>"0000802601"</f>
        <v>0000802601</v>
      </c>
      <c r="C8296" t="str">
        <f t="shared" si="3385"/>
        <v>0000802543</v>
      </c>
      <c r="D8296" t="str">
        <f t="shared" si="3370"/>
        <v>73185</v>
      </c>
      <c r="E8296" t="str">
        <f t="shared" si="3371"/>
        <v>KFH-OPERATIONS DEPARTMENT</v>
      </c>
      <c r="F8296" t="str">
        <f t="shared" si="3372"/>
        <v>IBG</v>
      </c>
      <c r="G8296" t="str">
        <f t="shared" si="3383"/>
        <v>Refund COSHARE 10</v>
      </c>
      <c r="H8296" s="2">
        <v>887.55</v>
      </c>
      <c r="I8296" t="str">
        <f>"ARMAN BIN AMIL"</f>
        <v>ARMAN BIN AMIL</v>
      </c>
      <c r="J8296" t="str">
        <f t="shared" si="3388"/>
        <v>BANK KERJASAMA RAKYAT</v>
      </c>
      <c r="K8296" t="str">
        <f>"220541172879"</f>
        <v>220541172879</v>
      </c>
      <c r="L8296" t="str">
        <f t="shared" si="3386"/>
        <v>04-08-2020</v>
      </c>
      <c r="M8296" t="str">
        <f t="shared" si="3386"/>
        <v>04-08-2020</v>
      </c>
      <c r="N8296" t="str">
        <f t="shared" si="3373"/>
        <v>001105018356</v>
      </c>
      <c r="O8296" t="str">
        <f t="shared" si="3374"/>
        <v>MYR</v>
      </c>
      <c r="P8296" t="str">
        <f t="shared" si="3387"/>
        <v>NIL</v>
      </c>
      <c r="Q8296" t="str">
        <f t="shared" si="3387"/>
        <v>NIL</v>
      </c>
      <c r="R8296" t="str">
        <f t="shared" si="3389"/>
        <v>Accepted</v>
      </c>
      <c r="S8296" t="str">
        <f t="shared" si="3375"/>
        <v>Approved</v>
      </c>
      <c r="T8296" t="str">
        <f t="shared" si="3390"/>
        <v>10.20.8.188</v>
      </c>
      <c r="U8296" t="str">
        <f t="shared" si="3376"/>
        <v>AZRAD UMAR BIN SHAARI</v>
      </c>
      <c r="V8296" t="str">
        <f t="shared" si="3377"/>
        <v>FARHANA BINTI MUSTAPA</v>
      </c>
      <c r="W8296" t="str">
        <f t="shared" si="3378"/>
        <v>04-08-2020</v>
      </c>
      <c r="X8296" t="str">
        <f t="shared" si="3379"/>
        <v>RAZIMAH ANSAR AHMAD</v>
      </c>
      <c r="Y8296" t="str">
        <f t="shared" si="3380"/>
        <v>04-08-2020</v>
      </c>
      <c r="Z8296" t="str">
        <f>"COS10200804 858"</f>
        <v>COS10200804 858</v>
      </c>
    </row>
    <row r="8297" spans="1:26" x14ac:dyDescent="0.25">
      <c r="A8297" t="str">
        <f t="shared" si="3384"/>
        <v>04-08-2020 12:31:21</v>
      </c>
      <c r="B8297" t="str">
        <f>"0000802600"</f>
        <v>0000802600</v>
      </c>
      <c r="C8297" t="str">
        <f t="shared" si="3385"/>
        <v>0000802543</v>
      </c>
      <c r="D8297" t="str">
        <f t="shared" si="3370"/>
        <v>73185</v>
      </c>
      <c r="E8297" t="str">
        <f t="shared" si="3371"/>
        <v>KFH-OPERATIONS DEPARTMENT</v>
      </c>
      <c r="F8297" t="str">
        <f t="shared" si="3372"/>
        <v>IBG</v>
      </c>
      <c r="G8297" t="str">
        <f t="shared" si="3383"/>
        <v>Refund COSHARE 10</v>
      </c>
      <c r="H8297" s="2">
        <v>667.95</v>
      </c>
      <c r="I8297" t="str">
        <f>"ARI ADIANTARI BINTI ABD RACHMAN ISNADI"</f>
        <v>ARI ADIANTARI BINTI ABD RACHMAN ISNADI</v>
      </c>
      <c r="J8297" t="str">
        <f t="shared" si="3388"/>
        <v>BANK KERJASAMA RAKYAT</v>
      </c>
      <c r="K8297" t="str">
        <f>"220821041875"</f>
        <v>220821041875</v>
      </c>
      <c r="L8297" t="str">
        <f t="shared" si="3386"/>
        <v>04-08-2020</v>
      </c>
      <c r="M8297" t="str">
        <f t="shared" si="3386"/>
        <v>04-08-2020</v>
      </c>
      <c r="N8297" t="str">
        <f t="shared" si="3373"/>
        <v>001105018356</v>
      </c>
      <c r="O8297" t="str">
        <f t="shared" si="3374"/>
        <v>MYR</v>
      </c>
      <c r="P8297" t="str">
        <f t="shared" si="3387"/>
        <v>NIL</v>
      </c>
      <c r="Q8297" t="str">
        <f t="shared" si="3387"/>
        <v>NIL</v>
      </c>
      <c r="R8297" t="str">
        <f t="shared" si="3389"/>
        <v>Accepted</v>
      </c>
      <c r="S8297" t="str">
        <f t="shared" si="3375"/>
        <v>Approved</v>
      </c>
      <c r="T8297" t="str">
        <f t="shared" si="3390"/>
        <v>10.20.8.188</v>
      </c>
      <c r="U8297" t="str">
        <f t="shared" si="3376"/>
        <v>AZRAD UMAR BIN SHAARI</v>
      </c>
      <c r="V8297" t="str">
        <f t="shared" si="3377"/>
        <v>FARHANA BINTI MUSTAPA</v>
      </c>
      <c r="W8297" t="str">
        <f t="shared" si="3378"/>
        <v>04-08-2020</v>
      </c>
      <c r="X8297" t="str">
        <f t="shared" si="3379"/>
        <v>RAZIMAH ANSAR AHMAD</v>
      </c>
      <c r="Y8297" t="str">
        <f t="shared" si="3380"/>
        <v>04-08-2020</v>
      </c>
      <c r="Z8297" t="str">
        <f>"COS10200804 857"</f>
        <v>COS10200804 857</v>
      </c>
    </row>
    <row r="8298" spans="1:26" x14ac:dyDescent="0.25">
      <c r="A8298" t="str">
        <f t="shared" si="3384"/>
        <v>04-08-2020 12:31:21</v>
      </c>
      <c r="B8298" t="str">
        <f>"0000802599"</f>
        <v>0000802599</v>
      </c>
      <c r="C8298" t="str">
        <f t="shared" si="3385"/>
        <v>0000802543</v>
      </c>
      <c r="D8298" t="str">
        <f t="shared" si="3370"/>
        <v>73185</v>
      </c>
      <c r="E8298" t="str">
        <f t="shared" si="3371"/>
        <v>KFH-OPERATIONS DEPARTMENT</v>
      </c>
      <c r="F8298" t="str">
        <f t="shared" si="3372"/>
        <v>IBG</v>
      </c>
      <c r="G8298" t="str">
        <f t="shared" si="3383"/>
        <v>Refund COSHARE 10</v>
      </c>
      <c r="H8298" s="2">
        <v>377.8</v>
      </c>
      <c r="I8298" t="str">
        <f>"ANISAH BINTI JAWAWI"</f>
        <v>ANISAH BINTI JAWAWI</v>
      </c>
      <c r="J8298" t="str">
        <f t="shared" si="3388"/>
        <v>BANK KERJASAMA RAKYAT</v>
      </c>
      <c r="K8298" t="str">
        <f>"220541291488"</f>
        <v>220541291488</v>
      </c>
      <c r="L8298" t="str">
        <f t="shared" si="3386"/>
        <v>04-08-2020</v>
      </c>
      <c r="M8298" t="str">
        <f t="shared" si="3386"/>
        <v>04-08-2020</v>
      </c>
      <c r="N8298" t="str">
        <f t="shared" si="3373"/>
        <v>001105018356</v>
      </c>
      <c r="O8298" t="str">
        <f t="shared" si="3374"/>
        <v>MYR</v>
      </c>
      <c r="P8298" t="str">
        <f t="shared" si="3387"/>
        <v>NIL</v>
      </c>
      <c r="Q8298" t="str">
        <f t="shared" si="3387"/>
        <v>NIL</v>
      </c>
      <c r="R8298" t="str">
        <f t="shared" si="3389"/>
        <v>Accepted</v>
      </c>
      <c r="S8298" t="str">
        <f t="shared" si="3375"/>
        <v>Approved</v>
      </c>
      <c r="T8298" t="str">
        <f t="shared" si="3390"/>
        <v>10.20.8.188</v>
      </c>
      <c r="U8298" t="str">
        <f t="shared" si="3376"/>
        <v>AZRAD UMAR BIN SHAARI</v>
      </c>
      <c r="V8298" t="str">
        <f t="shared" si="3377"/>
        <v>FARHANA BINTI MUSTAPA</v>
      </c>
      <c r="W8298" t="str">
        <f t="shared" si="3378"/>
        <v>04-08-2020</v>
      </c>
      <c r="X8298" t="str">
        <f t="shared" si="3379"/>
        <v>RAZIMAH ANSAR AHMAD</v>
      </c>
      <c r="Y8298" t="str">
        <f t="shared" si="3380"/>
        <v>04-08-2020</v>
      </c>
      <c r="Z8298" t="str">
        <f>"COS10200804 856"</f>
        <v>COS10200804 856</v>
      </c>
    </row>
    <row r="8299" spans="1:26" x14ac:dyDescent="0.25">
      <c r="A8299" t="str">
        <f t="shared" si="3384"/>
        <v>04-08-2020 12:31:21</v>
      </c>
      <c r="B8299" t="str">
        <f>"0000802598"</f>
        <v>0000802598</v>
      </c>
      <c r="C8299" t="str">
        <f t="shared" si="3385"/>
        <v>0000802543</v>
      </c>
      <c r="D8299" t="str">
        <f t="shared" si="3370"/>
        <v>73185</v>
      </c>
      <c r="E8299" t="str">
        <f t="shared" si="3371"/>
        <v>KFH-OPERATIONS DEPARTMENT</v>
      </c>
      <c r="F8299" t="str">
        <f t="shared" si="3372"/>
        <v>IBG</v>
      </c>
      <c r="G8299" t="str">
        <f t="shared" si="3383"/>
        <v>Refund COSHARE 10</v>
      </c>
      <c r="H8299" s="2">
        <v>167.9</v>
      </c>
      <c r="I8299" t="str">
        <f>"AMRUL FAZLI BIN MOHAMAD"</f>
        <v>AMRUL FAZLI BIN MOHAMAD</v>
      </c>
      <c r="J8299" t="str">
        <f t="shared" si="3388"/>
        <v>BANK KERJASAMA RAKYAT</v>
      </c>
      <c r="K8299" t="str">
        <f>"220441814314"</f>
        <v>220441814314</v>
      </c>
      <c r="L8299" t="str">
        <f t="shared" si="3386"/>
        <v>04-08-2020</v>
      </c>
      <c r="M8299" t="str">
        <f t="shared" si="3386"/>
        <v>04-08-2020</v>
      </c>
      <c r="N8299" t="str">
        <f t="shared" si="3373"/>
        <v>001105018356</v>
      </c>
      <c r="O8299" t="str">
        <f t="shared" si="3374"/>
        <v>MYR</v>
      </c>
      <c r="P8299" t="str">
        <f t="shared" si="3387"/>
        <v>NIL</v>
      </c>
      <c r="Q8299" t="str">
        <f t="shared" si="3387"/>
        <v>NIL</v>
      </c>
      <c r="R8299" t="str">
        <f t="shared" si="3389"/>
        <v>Accepted</v>
      </c>
      <c r="S8299" t="str">
        <f t="shared" si="3375"/>
        <v>Approved</v>
      </c>
      <c r="T8299" t="str">
        <f t="shared" si="3390"/>
        <v>10.20.8.188</v>
      </c>
      <c r="U8299" t="str">
        <f t="shared" si="3376"/>
        <v>AZRAD UMAR BIN SHAARI</v>
      </c>
      <c r="V8299" t="str">
        <f t="shared" si="3377"/>
        <v>FARHANA BINTI MUSTAPA</v>
      </c>
      <c r="W8299" t="str">
        <f t="shared" si="3378"/>
        <v>04-08-2020</v>
      </c>
      <c r="X8299" t="str">
        <f t="shared" si="3379"/>
        <v>RAZIMAH ANSAR AHMAD</v>
      </c>
      <c r="Y8299" t="str">
        <f t="shared" si="3380"/>
        <v>04-08-2020</v>
      </c>
      <c r="Z8299" t="str">
        <f>"COS10200804 855"</f>
        <v>COS10200804 855</v>
      </c>
    </row>
    <row r="8300" spans="1:26" x14ac:dyDescent="0.25">
      <c r="A8300" t="str">
        <f t="shared" si="3384"/>
        <v>04-08-2020 12:31:21</v>
      </c>
      <c r="B8300" t="str">
        <f>"0000802597"</f>
        <v>0000802597</v>
      </c>
      <c r="C8300" t="str">
        <f t="shared" si="3385"/>
        <v>0000802543</v>
      </c>
      <c r="D8300" t="str">
        <f t="shared" si="3370"/>
        <v>73185</v>
      </c>
      <c r="E8300" t="str">
        <f t="shared" si="3371"/>
        <v>KFH-OPERATIONS DEPARTMENT</v>
      </c>
      <c r="F8300" t="str">
        <f t="shared" si="3372"/>
        <v>IBG</v>
      </c>
      <c r="G8300" t="str">
        <f t="shared" si="3383"/>
        <v>Refund COSHARE 10</v>
      </c>
      <c r="H8300" s="2">
        <v>298</v>
      </c>
      <c r="I8300" t="str">
        <f>"AMRAN BIN MAMAT"</f>
        <v>AMRAN BIN MAMAT</v>
      </c>
      <c r="J8300" t="str">
        <f t="shared" si="3388"/>
        <v>BANK KERJASAMA RAKYAT</v>
      </c>
      <c r="K8300" t="str">
        <f>"220121292219"</f>
        <v>220121292219</v>
      </c>
      <c r="L8300" t="str">
        <f t="shared" si="3386"/>
        <v>04-08-2020</v>
      </c>
      <c r="M8300" t="str">
        <f t="shared" si="3386"/>
        <v>04-08-2020</v>
      </c>
      <c r="N8300" t="str">
        <f t="shared" si="3373"/>
        <v>001105018356</v>
      </c>
      <c r="O8300" t="str">
        <f t="shared" si="3374"/>
        <v>MYR</v>
      </c>
      <c r="P8300" t="str">
        <f t="shared" si="3387"/>
        <v>NIL</v>
      </c>
      <c r="Q8300" t="str">
        <f t="shared" si="3387"/>
        <v>NIL</v>
      </c>
      <c r="R8300" t="str">
        <f t="shared" si="3389"/>
        <v>Accepted</v>
      </c>
      <c r="S8300" t="str">
        <f t="shared" si="3375"/>
        <v>Approved</v>
      </c>
      <c r="T8300" t="str">
        <f t="shared" si="3390"/>
        <v>10.20.8.188</v>
      </c>
      <c r="U8300" t="str">
        <f t="shared" si="3376"/>
        <v>AZRAD UMAR BIN SHAARI</v>
      </c>
      <c r="V8300" t="str">
        <f t="shared" si="3377"/>
        <v>FARHANA BINTI MUSTAPA</v>
      </c>
      <c r="W8300" t="str">
        <f t="shared" si="3378"/>
        <v>04-08-2020</v>
      </c>
      <c r="X8300" t="str">
        <f t="shared" si="3379"/>
        <v>RAZIMAH ANSAR AHMAD</v>
      </c>
      <c r="Y8300" t="str">
        <f t="shared" si="3380"/>
        <v>04-08-2020</v>
      </c>
      <c r="Z8300" t="str">
        <f>"COS10200804 854"</f>
        <v>COS10200804 854</v>
      </c>
    </row>
    <row r="8301" spans="1:26" x14ac:dyDescent="0.25">
      <c r="A8301" t="str">
        <f t="shared" si="3384"/>
        <v>04-08-2020 12:31:21</v>
      </c>
      <c r="B8301" t="str">
        <f>"0000802596"</f>
        <v>0000802596</v>
      </c>
      <c r="C8301" t="str">
        <f t="shared" si="3385"/>
        <v>0000802543</v>
      </c>
      <c r="D8301" t="str">
        <f t="shared" si="3370"/>
        <v>73185</v>
      </c>
      <c r="E8301" t="str">
        <f t="shared" si="3371"/>
        <v>KFH-OPERATIONS DEPARTMENT</v>
      </c>
      <c r="F8301" t="str">
        <f t="shared" si="3372"/>
        <v>IBG</v>
      </c>
      <c r="G8301" t="str">
        <f t="shared" si="3383"/>
        <v>Refund COSHARE 10</v>
      </c>
      <c r="H8301" s="2">
        <v>119</v>
      </c>
      <c r="I8301" t="str">
        <f>"AMRAN BIN MAMAT"</f>
        <v>AMRAN BIN MAMAT</v>
      </c>
      <c r="J8301" t="str">
        <f t="shared" si="3388"/>
        <v>BANK KERJASAMA RAKYAT</v>
      </c>
      <c r="K8301" t="str">
        <f>"220121292219"</f>
        <v>220121292219</v>
      </c>
      <c r="L8301" t="str">
        <f t="shared" si="3386"/>
        <v>04-08-2020</v>
      </c>
      <c r="M8301" t="str">
        <f t="shared" si="3386"/>
        <v>04-08-2020</v>
      </c>
      <c r="N8301" t="str">
        <f t="shared" si="3373"/>
        <v>001105018356</v>
      </c>
      <c r="O8301" t="str">
        <f t="shared" si="3374"/>
        <v>MYR</v>
      </c>
      <c r="P8301" t="str">
        <f t="shared" si="3387"/>
        <v>NIL</v>
      </c>
      <c r="Q8301" t="str">
        <f t="shared" si="3387"/>
        <v>NIL</v>
      </c>
      <c r="R8301" t="str">
        <f t="shared" si="3389"/>
        <v>Accepted</v>
      </c>
      <c r="S8301" t="str">
        <f t="shared" si="3375"/>
        <v>Approved</v>
      </c>
      <c r="T8301" t="str">
        <f t="shared" si="3390"/>
        <v>10.20.8.188</v>
      </c>
      <c r="U8301" t="str">
        <f t="shared" si="3376"/>
        <v>AZRAD UMAR BIN SHAARI</v>
      </c>
      <c r="V8301" t="str">
        <f t="shared" si="3377"/>
        <v>FARHANA BINTI MUSTAPA</v>
      </c>
      <c r="W8301" t="str">
        <f t="shared" si="3378"/>
        <v>04-08-2020</v>
      </c>
      <c r="X8301" t="str">
        <f t="shared" si="3379"/>
        <v>RAZIMAH ANSAR AHMAD</v>
      </c>
      <c r="Y8301" t="str">
        <f t="shared" si="3380"/>
        <v>04-08-2020</v>
      </c>
      <c r="Z8301" t="str">
        <f>"COS10200804 853"</f>
        <v>COS10200804 853</v>
      </c>
    </row>
    <row r="8302" spans="1:26" x14ac:dyDescent="0.25">
      <c r="A8302" t="str">
        <f t="shared" si="3384"/>
        <v>04-08-2020 12:31:21</v>
      </c>
      <c r="B8302" t="str">
        <f>"0000802595"</f>
        <v>0000802595</v>
      </c>
      <c r="C8302" t="str">
        <f t="shared" si="3385"/>
        <v>0000802543</v>
      </c>
      <c r="D8302" t="str">
        <f t="shared" si="3370"/>
        <v>73185</v>
      </c>
      <c r="E8302" t="str">
        <f t="shared" si="3371"/>
        <v>KFH-OPERATIONS DEPARTMENT</v>
      </c>
      <c r="F8302" t="str">
        <f t="shared" si="3372"/>
        <v>IBG</v>
      </c>
      <c r="G8302" t="str">
        <f t="shared" si="3383"/>
        <v>Refund COSHARE 10</v>
      </c>
      <c r="H8302" s="2">
        <v>97.6</v>
      </c>
      <c r="I8302" t="str">
        <f>"AMARIAH BINTI KASSIM"</f>
        <v>AMARIAH BINTI KASSIM</v>
      </c>
      <c r="J8302" t="str">
        <f t="shared" si="3388"/>
        <v>BANK KERJASAMA RAKYAT</v>
      </c>
      <c r="K8302" t="str">
        <f>"220811043207"</f>
        <v>220811043207</v>
      </c>
      <c r="L8302" t="str">
        <f t="shared" si="3386"/>
        <v>04-08-2020</v>
      </c>
      <c r="M8302" t="str">
        <f t="shared" si="3386"/>
        <v>04-08-2020</v>
      </c>
      <c r="N8302" t="str">
        <f t="shared" si="3373"/>
        <v>001105018356</v>
      </c>
      <c r="O8302" t="str">
        <f t="shared" si="3374"/>
        <v>MYR</v>
      </c>
      <c r="P8302" t="str">
        <f t="shared" si="3387"/>
        <v>NIL</v>
      </c>
      <c r="Q8302" t="str">
        <f t="shared" si="3387"/>
        <v>NIL</v>
      </c>
      <c r="R8302" t="str">
        <f t="shared" si="3389"/>
        <v>Accepted</v>
      </c>
      <c r="S8302" t="str">
        <f t="shared" si="3375"/>
        <v>Approved</v>
      </c>
      <c r="T8302" t="str">
        <f t="shared" si="3390"/>
        <v>10.20.8.188</v>
      </c>
      <c r="U8302" t="str">
        <f t="shared" si="3376"/>
        <v>AZRAD UMAR BIN SHAARI</v>
      </c>
      <c r="V8302" t="str">
        <f t="shared" si="3377"/>
        <v>FARHANA BINTI MUSTAPA</v>
      </c>
      <c r="W8302" t="str">
        <f t="shared" si="3378"/>
        <v>04-08-2020</v>
      </c>
      <c r="X8302" t="str">
        <f t="shared" si="3379"/>
        <v>RAZIMAH ANSAR AHMAD</v>
      </c>
      <c r="Y8302" t="str">
        <f t="shared" si="3380"/>
        <v>04-08-2020</v>
      </c>
      <c r="Z8302" t="str">
        <f>"COS10200804 852"</f>
        <v>COS10200804 852</v>
      </c>
    </row>
    <row r="8303" spans="1:26" x14ac:dyDescent="0.25">
      <c r="A8303" t="str">
        <f t="shared" si="3384"/>
        <v>04-08-2020 12:31:21</v>
      </c>
      <c r="B8303" t="str">
        <f>"0000802594"</f>
        <v>0000802594</v>
      </c>
      <c r="C8303" t="str">
        <f t="shared" si="3385"/>
        <v>0000802543</v>
      </c>
      <c r="D8303" t="str">
        <f t="shared" si="3370"/>
        <v>73185</v>
      </c>
      <c r="E8303" t="str">
        <f t="shared" si="3371"/>
        <v>KFH-OPERATIONS DEPARTMENT</v>
      </c>
      <c r="F8303" t="str">
        <f t="shared" si="3372"/>
        <v>IBG</v>
      </c>
      <c r="G8303" t="str">
        <f t="shared" si="3383"/>
        <v>Refund COSHARE 10</v>
      </c>
      <c r="H8303" s="2">
        <v>293.85000000000002</v>
      </c>
      <c r="I8303" t="str">
        <f>"AMAR SOFI BIN TARMUJI  SIRAJ"</f>
        <v>AMAR SOFI BIN TARMUJI  SIRAJ</v>
      </c>
      <c r="J8303" t="str">
        <f t="shared" si="3388"/>
        <v>BANK KERJASAMA RAKYAT</v>
      </c>
      <c r="K8303" t="str">
        <f>"220571123991"</f>
        <v>220571123991</v>
      </c>
      <c r="L8303" t="str">
        <f t="shared" si="3386"/>
        <v>04-08-2020</v>
      </c>
      <c r="M8303" t="str">
        <f t="shared" si="3386"/>
        <v>04-08-2020</v>
      </c>
      <c r="N8303" t="str">
        <f t="shared" si="3373"/>
        <v>001105018356</v>
      </c>
      <c r="O8303" t="str">
        <f t="shared" si="3374"/>
        <v>MYR</v>
      </c>
      <c r="P8303" t="str">
        <f t="shared" si="3387"/>
        <v>NIL</v>
      </c>
      <c r="Q8303" t="str">
        <f t="shared" si="3387"/>
        <v>NIL</v>
      </c>
      <c r="R8303" t="str">
        <f t="shared" si="3389"/>
        <v>Accepted</v>
      </c>
      <c r="S8303" t="str">
        <f t="shared" si="3375"/>
        <v>Approved</v>
      </c>
      <c r="T8303" t="str">
        <f t="shared" si="3390"/>
        <v>10.20.8.188</v>
      </c>
      <c r="U8303" t="str">
        <f t="shared" si="3376"/>
        <v>AZRAD UMAR BIN SHAARI</v>
      </c>
      <c r="V8303" t="str">
        <f t="shared" si="3377"/>
        <v>FARHANA BINTI MUSTAPA</v>
      </c>
      <c r="W8303" t="str">
        <f t="shared" si="3378"/>
        <v>04-08-2020</v>
      </c>
      <c r="X8303" t="str">
        <f t="shared" si="3379"/>
        <v>RAZIMAH ANSAR AHMAD</v>
      </c>
      <c r="Y8303" t="str">
        <f t="shared" si="3380"/>
        <v>04-08-2020</v>
      </c>
      <c r="Z8303" t="str">
        <f>"COS10200804 851"</f>
        <v>COS10200804 851</v>
      </c>
    </row>
    <row r="8304" spans="1:26" x14ac:dyDescent="0.25">
      <c r="A8304" t="str">
        <f t="shared" si="3384"/>
        <v>04-08-2020 12:31:21</v>
      </c>
      <c r="B8304" t="str">
        <f>"0000802593"</f>
        <v>0000802593</v>
      </c>
      <c r="C8304" t="str">
        <f t="shared" si="3385"/>
        <v>0000802543</v>
      </c>
      <c r="D8304" t="str">
        <f t="shared" si="3370"/>
        <v>73185</v>
      </c>
      <c r="E8304" t="str">
        <f t="shared" si="3371"/>
        <v>KFH-OPERATIONS DEPARTMENT</v>
      </c>
      <c r="F8304" t="str">
        <f t="shared" si="3372"/>
        <v>IBG</v>
      </c>
      <c r="G8304" t="str">
        <f t="shared" si="3383"/>
        <v>Refund COSHARE 10</v>
      </c>
      <c r="H8304" s="2">
        <v>1508.5</v>
      </c>
      <c r="I8304" t="str">
        <f>"ALICE ANAK LIMEN"</f>
        <v>ALICE ANAK LIMEN</v>
      </c>
      <c r="J8304" t="str">
        <f t="shared" si="3388"/>
        <v>BANK KERJASAMA RAKYAT</v>
      </c>
      <c r="K8304" t="str">
        <f>"220711081520"</f>
        <v>220711081520</v>
      </c>
      <c r="L8304" t="str">
        <f t="shared" si="3386"/>
        <v>04-08-2020</v>
      </c>
      <c r="M8304" t="str">
        <f t="shared" si="3386"/>
        <v>04-08-2020</v>
      </c>
      <c r="N8304" t="str">
        <f t="shared" si="3373"/>
        <v>001105018356</v>
      </c>
      <c r="O8304" t="str">
        <f t="shared" si="3374"/>
        <v>MYR</v>
      </c>
      <c r="P8304" t="str">
        <f t="shared" si="3387"/>
        <v>NIL</v>
      </c>
      <c r="Q8304" t="str">
        <f t="shared" si="3387"/>
        <v>NIL</v>
      </c>
      <c r="R8304" t="str">
        <f t="shared" si="3389"/>
        <v>Accepted</v>
      </c>
      <c r="S8304" t="str">
        <f t="shared" si="3375"/>
        <v>Approved</v>
      </c>
      <c r="T8304" t="str">
        <f t="shared" si="3390"/>
        <v>10.20.8.188</v>
      </c>
      <c r="U8304" t="str">
        <f t="shared" si="3376"/>
        <v>AZRAD UMAR BIN SHAARI</v>
      </c>
      <c r="V8304" t="str">
        <f t="shared" si="3377"/>
        <v>FARHANA BINTI MUSTAPA</v>
      </c>
      <c r="W8304" t="str">
        <f t="shared" si="3378"/>
        <v>04-08-2020</v>
      </c>
      <c r="X8304" t="str">
        <f t="shared" si="3379"/>
        <v>RAZIMAH ANSAR AHMAD</v>
      </c>
      <c r="Y8304" t="str">
        <f t="shared" si="3380"/>
        <v>04-08-2020</v>
      </c>
      <c r="Z8304" t="str">
        <f>"COS10200804 850"</f>
        <v>COS10200804 850</v>
      </c>
    </row>
    <row r="8305" spans="1:26" x14ac:dyDescent="0.25">
      <c r="A8305" t="str">
        <f t="shared" si="3384"/>
        <v>04-08-2020 12:31:21</v>
      </c>
      <c r="B8305" t="str">
        <f>"0000802592"</f>
        <v>0000802592</v>
      </c>
      <c r="C8305" t="str">
        <f t="shared" si="3385"/>
        <v>0000802543</v>
      </c>
      <c r="D8305" t="str">
        <f t="shared" si="3370"/>
        <v>73185</v>
      </c>
      <c r="E8305" t="str">
        <f t="shared" si="3371"/>
        <v>KFH-OPERATIONS DEPARTMENT</v>
      </c>
      <c r="F8305" t="str">
        <f t="shared" si="3372"/>
        <v>IBG</v>
      </c>
      <c r="G8305" t="str">
        <f t="shared" si="3383"/>
        <v>Refund COSHARE 10</v>
      </c>
      <c r="H8305" s="2">
        <v>251.85</v>
      </c>
      <c r="I8305" t="str">
        <f>"ALI HASSAN BIN ABDUL RAHMAN"</f>
        <v>ALI HASSAN BIN ABDUL RAHMAN</v>
      </c>
      <c r="J8305" t="str">
        <f t="shared" si="3388"/>
        <v>BANK KERJASAMA RAKYAT</v>
      </c>
      <c r="K8305" t="str">
        <f>"220711162112"</f>
        <v>220711162112</v>
      </c>
      <c r="L8305" t="str">
        <f t="shared" si="3386"/>
        <v>04-08-2020</v>
      </c>
      <c r="M8305" t="str">
        <f t="shared" si="3386"/>
        <v>04-08-2020</v>
      </c>
      <c r="N8305" t="str">
        <f t="shared" si="3373"/>
        <v>001105018356</v>
      </c>
      <c r="O8305" t="str">
        <f t="shared" si="3374"/>
        <v>MYR</v>
      </c>
      <c r="P8305" t="str">
        <f t="shared" si="3387"/>
        <v>NIL</v>
      </c>
      <c r="Q8305" t="str">
        <f t="shared" si="3387"/>
        <v>NIL</v>
      </c>
      <c r="R8305" t="str">
        <f t="shared" si="3389"/>
        <v>Accepted</v>
      </c>
      <c r="S8305" t="str">
        <f t="shared" si="3375"/>
        <v>Approved</v>
      </c>
      <c r="T8305" t="str">
        <f t="shared" si="3390"/>
        <v>10.20.8.188</v>
      </c>
      <c r="U8305" t="str">
        <f t="shared" si="3376"/>
        <v>AZRAD UMAR BIN SHAARI</v>
      </c>
      <c r="V8305" t="str">
        <f t="shared" si="3377"/>
        <v>FARHANA BINTI MUSTAPA</v>
      </c>
      <c r="W8305" t="str">
        <f t="shared" si="3378"/>
        <v>04-08-2020</v>
      </c>
      <c r="X8305" t="str">
        <f t="shared" si="3379"/>
        <v>RAZIMAH ANSAR AHMAD</v>
      </c>
      <c r="Y8305" t="str">
        <f t="shared" si="3380"/>
        <v>04-08-2020</v>
      </c>
      <c r="Z8305" t="str">
        <f>"COS10200804 849"</f>
        <v>COS10200804 849</v>
      </c>
    </row>
    <row r="8306" spans="1:26" x14ac:dyDescent="0.25">
      <c r="A8306" t="str">
        <f t="shared" si="3384"/>
        <v>04-08-2020 12:31:21</v>
      </c>
      <c r="B8306" t="str">
        <f>"0000802591"</f>
        <v>0000802591</v>
      </c>
      <c r="C8306" t="str">
        <f t="shared" si="3385"/>
        <v>0000802543</v>
      </c>
      <c r="D8306" t="str">
        <f t="shared" si="3370"/>
        <v>73185</v>
      </c>
      <c r="E8306" t="str">
        <f t="shared" si="3371"/>
        <v>KFH-OPERATIONS DEPARTMENT</v>
      </c>
      <c r="F8306" t="str">
        <f t="shared" si="3372"/>
        <v>IBG</v>
      </c>
      <c r="G8306" t="str">
        <f t="shared" si="3383"/>
        <v>Refund COSHARE 10</v>
      </c>
      <c r="H8306" s="2">
        <v>176.3</v>
      </c>
      <c r="I8306" t="str">
        <f>"ALI HASSAN BIN ABD MARIF"</f>
        <v>ALI HASSAN BIN ABD MARIF</v>
      </c>
      <c r="J8306" t="str">
        <f t="shared" si="3388"/>
        <v>BANK KERJASAMA RAKYAT</v>
      </c>
      <c r="K8306" t="str">
        <f>"220741081269"</f>
        <v>220741081269</v>
      </c>
      <c r="L8306" t="str">
        <f t="shared" si="3386"/>
        <v>04-08-2020</v>
      </c>
      <c r="M8306" t="str">
        <f t="shared" si="3386"/>
        <v>04-08-2020</v>
      </c>
      <c r="N8306" t="str">
        <f t="shared" si="3373"/>
        <v>001105018356</v>
      </c>
      <c r="O8306" t="str">
        <f t="shared" si="3374"/>
        <v>MYR</v>
      </c>
      <c r="P8306" t="str">
        <f t="shared" si="3387"/>
        <v>NIL</v>
      </c>
      <c r="Q8306" t="str">
        <f t="shared" si="3387"/>
        <v>NIL</v>
      </c>
      <c r="R8306" t="str">
        <f t="shared" si="3389"/>
        <v>Accepted</v>
      </c>
      <c r="S8306" t="str">
        <f t="shared" si="3375"/>
        <v>Approved</v>
      </c>
      <c r="T8306" t="str">
        <f t="shared" si="3390"/>
        <v>10.20.8.188</v>
      </c>
      <c r="U8306" t="str">
        <f t="shared" si="3376"/>
        <v>AZRAD UMAR BIN SHAARI</v>
      </c>
      <c r="V8306" t="str">
        <f t="shared" si="3377"/>
        <v>FARHANA BINTI MUSTAPA</v>
      </c>
      <c r="W8306" t="str">
        <f t="shared" si="3378"/>
        <v>04-08-2020</v>
      </c>
      <c r="X8306" t="str">
        <f t="shared" si="3379"/>
        <v>RAZIMAH ANSAR AHMAD</v>
      </c>
      <c r="Y8306" t="str">
        <f t="shared" si="3380"/>
        <v>04-08-2020</v>
      </c>
      <c r="Z8306" t="str">
        <f>"COS10200804 848"</f>
        <v>COS10200804 848</v>
      </c>
    </row>
    <row r="8307" spans="1:26" x14ac:dyDescent="0.25">
      <c r="A8307" t="str">
        <f t="shared" si="3384"/>
        <v>04-08-2020 12:31:21</v>
      </c>
      <c r="B8307" t="str">
        <f>"0000802590"</f>
        <v>0000802590</v>
      </c>
      <c r="C8307" t="str">
        <f t="shared" si="3385"/>
        <v>0000802543</v>
      </c>
      <c r="D8307" t="str">
        <f t="shared" si="3370"/>
        <v>73185</v>
      </c>
      <c r="E8307" t="str">
        <f t="shared" si="3371"/>
        <v>KFH-OPERATIONS DEPARTMENT</v>
      </c>
      <c r="F8307" t="str">
        <f t="shared" si="3372"/>
        <v>IBG</v>
      </c>
      <c r="G8307" t="str">
        <f t="shared" si="3383"/>
        <v>Refund COSHARE 10</v>
      </c>
      <c r="H8307" s="2">
        <v>66.25</v>
      </c>
      <c r="I8307" t="str">
        <f>"ALI BIN SA AD"</f>
        <v>ALI BIN SA AD</v>
      </c>
      <c r="J8307" t="str">
        <f t="shared" si="3388"/>
        <v>BANK KERJASAMA RAKYAT</v>
      </c>
      <c r="K8307" t="str">
        <f>"220271115189"</f>
        <v>220271115189</v>
      </c>
      <c r="L8307" t="str">
        <f t="shared" ref="L8307:M8326" si="3391">"04-08-2020"</f>
        <v>04-08-2020</v>
      </c>
      <c r="M8307" t="str">
        <f t="shared" si="3391"/>
        <v>04-08-2020</v>
      </c>
      <c r="N8307" t="str">
        <f t="shared" si="3373"/>
        <v>001105018356</v>
      </c>
      <c r="O8307" t="str">
        <f t="shared" si="3374"/>
        <v>MYR</v>
      </c>
      <c r="P8307" t="str">
        <f t="shared" ref="P8307:Q8326" si="3392">"NIL"</f>
        <v>NIL</v>
      </c>
      <c r="Q8307" t="str">
        <f t="shared" si="3392"/>
        <v>NIL</v>
      </c>
      <c r="R8307" t="str">
        <f t="shared" si="3389"/>
        <v>Accepted</v>
      </c>
      <c r="S8307" t="str">
        <f t="shared" si="3375"/>
        <v>Approved</v>
      </c>
      <c r="T8307" t="str">
        <f t="shared" si="3390"/>
        <v>10.20.8.188</v>
      </c>
      <c r="U8307" t="str">
        <f t="shared" si="3376"/>
        <v>AZRAD UMAR BIN SHAARI</v>
      </c>
      <c r="V8307" t="str">
        <f t="shared" si="3377"/>
        <v>FARHANA BINTI MUSTAPA</v>
      </c>
      <c r="W8307" t="str">
        <f t="shared" si="3378"/>
        <v>04-08-2020</v>
      </c>
      <c r="X8307" t="str">
        <f t="shared" si="3379"/>
        <v>RAZIMAH ANSAR AHMAD</v>
      </c>
      <c r="Y8307" t="str">
        <f t="shared" si="3380"/>
        <v>04-08-2020</v>
      </c>
      <c r="Z8307" t="str">
        <f>"COS10200804 847"</f>
        <v>COS10200804 847</v>
      </c>
    </row>
    <row r="8308" spans="1:26" x14ac:dyDescent="0.25">
      <c r="A8308" t="str">
        <f t="shared" si="3384"/>
        <v>04-08-2020 12:31:21</v>
      </c>
      <c r="B8308" t="str">
        <f>"0000802589"</f>
        <v>0000802589</v>
      </c>
      <c r="C8308" t="str">
        <f t="shared" si="3385"/>
        <v>0000802543</v>
      </c>
      <c r="D8308" t="str">
        <f t="shared" si="3370"/>
        <v>73185</v>
      </c>
      <c r="E8308" t="str">
        <f t="shared" si="3371"/>
        <v>KFH-OPERATIONS DEPARTMENT</v>
      </c>
      <c r="F8308" t="str">
        <f t="shared" si="3372"/>
        <v>IBG</v>
      </c>
      <c r="G8308" t="str">
        <f t="shared" si="3383"/>
        <v>Refund COSHARE 10</v>
      </c>
      <c r="H8308" s="2">
        <v>109.15</v>
      </c>
      <c r="I8308" t="str">
        <f>"AK HERWAN BIN AK DULAH"</f>
        <v>AK HERWAN BIN AK DULAH</v>
      </c>
      <c r="J8308" t="str">
        <f t="shared" si="3388"/>
        <v>BANK KERJASAMA RAKYAT</v>
      </c>
      <c r="K8308" t="str">
        <f>"220301241236"</f>
        <v>220301241236</v>
      </c>
      <c r="L8308" t="str">
        <f t="shared" si="3391"/>
        <v>04-08-2020</v>
      </c>
      <c r="M8308" t="str">
        <f t="shared" si="3391"/>
        <v>04-08-2020</v>
      </c>
      <c r="N8308" t="str">
        <f t="shared" si="3373"/>
        <v>001105018356</v>
      </c>
      <c r="O8308" t="str">
        <f t="shared" si="3374"/>
        <v>MYR</v>
      </c>
      <c r="P8308" t="str">
        <f t="shared" si="3392"/>
        <v>NIL</v>
      </c>
      <c r="Q8308" t="str">
        <f t="shared" si="3392"/>
        <v>NIL</v>
      </c>
      <c r="R8308" t="str">
        <f t="shared" si="3389"/>
        <v>Accepted</v>
      </c>
      <c r="S8308" t="str">
        <f t="shared" si="3375"/>
        <v>Approved</v>
      </c>
      <c r="T8308" t="str">
        <f t="shared" si="3390"/>
        <v>10.20.8.188</v>
      </c>
      <c r="U8308" t="str">
        <f t="shared" si="3376"/>
        <v>AZRAD UMAR BIN SHAARI</v>
      </c>
      <c r="V8308" t="str">
        <f t="shared" si="3377"/>
        <v>FARHANA BINTI MUSTAPA</v>
      </c>
      <c r="W8308" t="str">
        <f t="shared" si="3378"/>
        <v>04-08-2020</v>
      </c>
      <c r="X8308" t="str">
        <f t="shared" si="3379"/>
        <v>RAZIMAH ANSAR AHMAD</v>
      </c>
      <c r="Y8308" t="str">
        <f t="shared" si="3380"/>
        <v>04-08-2020</v>
      </c>
      <c r="Z8308" t="str">
        <f>"COS10200804 846"</f>
        <v>COS10200804 846</v>
      </c>
    </row>
    <row r="8309" spans="1:26" x14ac:dyDescent="0.25">
      <c r="A8309" t="str">
        <f t="shared" si="3384"/>
        <v>04-08-2020 12:31:21</v>
      </c>
      <c r="B8309" t="str">
        <f>"0000802588"</f>
        <v>0000802588</v>
      </c>
      <c r="C8309" t="str">
        <f t="shared" si="3385"/>
        <v>0000802543</v>
      </c>
      <c r="D8309" t="str">
        <f t="shared" si="3370"/>
        <v>73185</v>
      </c>
      <c r="E8309" t="str">
        <f t="shared" si="3371"/>
        <v>KFH-OPERATIONS DEPARTMENT</v>
      </c>
      <c r="F8309" t="str">
        <f t="shared" si="3372"/>
        <v>IBG</v>
      </c>
      <c r="G8309" t="str">
        <f t="shared" si="3383"/>
        <v>Refund COSHARE 10</v>
      </c>
      <c r="H8309" s="2">
        <v>586.15</v>
      </c>
      <c r="I8309" t="str">
        <f>"AJALLAJI BIN SAIKOLANI"</f>
        <v>AJALLAJI BIN SAIKOLANI</v>
      </c>
      <c r="J8309" t="str">
        <f t="shared" si="3388"/>
        <v>BANK KERJASAMA RAKYAT</v>
      </c>
      <c r="K8309" t="str">
        <f>"220661194971"</f>
        <v>220661194971</v>
      </c>
      <c r="L8309" t="str">
        <f t="shared" si="3391"/>
        <v>04-08-2020</v>
      </c>
      <c r="M8309" t="str">
        <f t="shared" si="3391"/>
        <v>04-08-2020</v>
      </c>
      <c r="N8309" t="str">
        <f t="shared" si="3373"/>
        <v>001105018356</v>
      </c>
      <c r="O8309" t="str">
        <f t="shared" si="3374"/>
        <v>MYR</v>
      </c>
      <c r="P8309" t="str">
        <f t="shared" si="3392"/>
        <v>NIL</v>
      </c>
      <c r="Q8309" t="str">
        <f t="shared" si="3392"/>
        <v>NIL</v>
      </c>
      <c r="R8309" t="str">
        <f t="shared" si="3389"/>
        <v>Accepted</v>
      </c>
      <c r="S8309" t="str">
        <f t="shared" si="3375"/>
        <v>Approved</v>
      </c>
      <c r="T8309" t="str">
        <f t="shared" si="3390"/>
        <v>10.20.8.188</v>
      </c>
      <c r="U8309" t="str">
        <f t="shared" si="3376"/>
        <v>AZRAD UMAR BIN SHAARI</v>
      </c>
      <c r="V8309" t="str">
        <f t="shared" si="3377"/>
        <v>FARHANA BINTI MUSTAPA</v>
      </c>
      <c r="W8309" t="str">
        <f t="shared" si="3378"/>
        <v>04-08-2020</v>
      </c>
      <c r="X8309" t="str">
        <f t="shared" si="3379"/>
        <v>RAZIMAH ANSAR AHMAD</v>
      </c>
      <c r="Y8309" t="str">
        <f t="shared" si="3380"/>
        <v>04-08-2020</v>
      </c>
      <c r="Z8309" t="str">
        <f>"COS10200804 845"</f>
        <v>COS10200804 845</v>
      </c>
    </row>
    <row r="8310" spans="1:26" x14ac:dyDescent="0.25">
      <c r="A8310" t="str">
        <f t="shared" si="3384"/>
        <v>04-08-2020 12:31:21</v>
      </c>
      <c r="B8310" t="str">
        <f>"0000802587"</f>
        <v>0000802587</v>
      </c>
      <c r="C8310" t="str">
        <f t="shared" si="3385"/>
        <v>0000802543</v>
      </c>
      <c r="D8310" t="str">
        <f t="shared" si="3370"/>
        <v>73185</v>
      </c>
      <c r="E8310" t="str">
        <f t="shared" si="3371"/>
        <v>KFH-OPERATIONS DEPARTMENT</v>
      </c>
      <c r="F8310" t="str">
        <f t="shared" si="3372"/>
        <v>IBG</v>
      </c>
      <c r="G8310" t="str">
        <f t="shared" si="3383"/>
        <v>Refund COSHARE 10</v>
      </c>
      <c r="H8310" s="2">
        <v>713.6</v>
      </c>
      <c r="I8310" t="str">
        <f>"AINUL HISYAM BIN ARIFUDDIN"</f>
        <v>AINUL HISYAM BIN ARIFUDDIN</v>
      </c>
      <c r="J8310" t="str">
        <f t="shared" si="3388"/>
        <v>BANK KERJASAMA RAKYAT</v>
      </c>
      <c r="K8310" t="str">
        <f>"220591240428"</f>
        <v>220591240428</v>
      </c>
      <c r="L8310" t="str">
        <f t="shared" si="3391"/>
        <v>04-08-2020</v>
      </c>
      <c r="M8310" t="str">
        <f t="shared" si="3391"/>
        <v>04-08-2020</v>
      </c>
      <c r="N8310" t="str">
        <f t="shared" si="3373"/>
        <v>001105018356</v>
      </c>
      <c r="O8310" t="str">
        <f t="shared" si="3374"/>
        <v>MYR</v>
      </c>
      <c r="P8310" t="str">
        <f t="shared" si="3392"/>
        <v>NIL</v>
      </c>
      <c r="Q8310" t="str">
        <f t="shared" si="3392"/>
        <v>NIL</v>
      </c>
      <c r="R8310" t="str">
        <f t="shared" si="3389"/>
        <v>Accepted</v>
      </c>
      <c r="S8310" t="str">
        <f t="shared" si="3375"/>
        <v>Approved</v>
      </c>
      <c r="T8310" t="str">
        <f t="shared" si="3390"/>
        <v>10.20.8.188</v>
      </c>
      <c r="U8310" t="str">
        <f t="shared" si="3376"/>
        <v>AZRAD UMAR BIN SHAARI</v>
      </c>
      <c r="V8310" t="str">
        <f t="shared" si="3377"/>
        <v>FARHANA BINTI MUSTAPA</v>
      </c>
      <c r="W8310" t="str">
        <f t="shared" si="3378"/>
        <v>04-08-2020</v>
      </c>
      <c r="X8310" t="str">
        <f t="shared" si="3379"/>
        <v>RAZIMAH ANSAR AHMAD</v>
      </c>
      <c r="Y8310" t="str">
        <f t="shared" si="3380"/>
        <v>04-08-2020</v>
      </c>
      <c r="Z8310" t="str">
        <f>"COS10200804 844"</f>
        <v>COS10200804 844</v>
      </c>
    </row>
    <row r="8311" spans="1:26" x14ac:dyDescent="0.25">
      <c r="A8311" t="str">
        <f t="shared" si="3384"/>
        <v>04-08-2020 12:31:21</v>
      </c>
      <c r="B8311" t="str">
        <f>"0000802586"</f>
        <v>0000802586</v>
      </c>
      <c r="C8311" t="str">
        <f t="shared" si="3385"/>
        <v>0000802543</v>
      </c>
      <c r="D8311" t="str">
        <f t="shared" si="3370"/>
        <v>73185</v>
      </c>
      <c r="E8311" t="str">
        <f t="shared" si="3371"/>
        <v>KFH-OPERATIONS DEPARTMENT</v>
      </c>
      <c r="F8311" t="str">
        <f t="shared" si="3372"/>
        <v>IBG</v>
      </c>
      <c r="G8311" t="str">
        <f t="shared" si="3383"/>
        <v>Refund COSHARE 10</v>
      </c>
      <c r="H8311" s="2">
        <v>548.1</v>
      </c>
      <c r="I8311" t="str">
        <f>"AIDI BIN TAMBISAN"</f>
        <v>AIDI BIN TAMBISAN</v>
      </c>
      <c r="J8311" t="str">
        <f t="shared" si="3388"/>
        <v>BANK KERJASAMA RAKYAT</v>
      </c>
      <c r="K8311" t="str">
        <f>"220661025381"</f>
        <v>220661025381</v>
      </c>
      <c r="L8311" t="str">
        <f t="shared" si="3391"/>
        <v>04-08-2020</v>
      </c>
      <c r="M8311" t="str">
        <f t="shared" si="3391"/>
        <v>04-08-2020</v>
      </c>
      <c r="N8311" t="str">
        <f t="shared" si="3373"/>
        <v>001105018356</v>
      </c>
      <c r="O8311" t="str">
        <f t="shared" si="3374"/>
        <v>MYR</v>
      </c>
      <c r="P8311" t="str">
        <f t="shared" si="3392"/>
        <v>NIL</v>
      </c>
      <c r="Q8311" t="str">
        <f t="shared" si="3392"/>
        <v>NIL</v>
      </c>
      <c r="R8311" t="str">
        <f t="shared" si="3389"/>
        <v>Accepted</v>
      </c>
      <c r="S8311" t="str">
        <f t="shared" si="3375"/>
        <v>Approved</v>
      </c>
      <c r="T8311" t="str">
        <f t="shared" si="3390"/>
        <v>10.20.8.188</v>
      </c>
      <c r="U8311" t="str">
        <f t="shared" si="3376"/>
        <v>AZRAD UMAR BIN SHAARI</v>
      </c>
      <c r="V8311" t="str">
        <f t="shared" si="3377"/>
        <v>FARHANA BINTI MUSTAPA</v>
      </c>
      <c r="W8311" t="str">
        <f t="shared" si="3378"/>
        <v>04-08-2020</v>
      </c>
      <c r="X8311" t="str">
        <f t="shared" si="3379"/>
        <v>RAZIMAH ANSAR AHMAD</v>
      </c>
      <c r="Y8311" t="str">
        <f t="shared" si="3380"/>
        <v>04-08-2020</v>
      </c>
      <c r="Z8311" t="str">
        <f>"COS10200804 843"</f>
        <v>COS10200804 843</v>
      </c>
    </row>
    <row r="8312" spans="1:26" x14ac:dyDescent="0.25">
      <c r="A8312" t="str">
        <f t="shared" si="3384"/>
        <v>04-08-2020 12:31:21</v>
      </c>
      <c r="B8312" t="str">
        <f>"0000802585"</f>
        <v>0000802585</v>
      </c>
      <c r="C8312" t="str">
        <f t="shared" si="3385"/>
        <v>0000802543</v>
      </c>
      <c r="D8312" t="str">
        <f t="shared" si="3370"/>
        <v>73185</v>
      </c>
      <c r="E8312" t="str">
        <f t="shared" si="3371"/>
        <v>KFH-OPERATIONS DEPARTMENT</v>
      </c>
      <c r="F8312" t="str">
        <f t="shared" si="3372"/>
        <v>IBG</v>
      </c>
      <c r="G8312" t="str">
        <f t="shared" si="3383"/>
        <v>Refund COSHARE 10</v>
      </c>
      <c r="H8312" s="2">
        <v>1091.3499999999999</v>
      </c>
      <c r="I8312" t="str">
        <f>"AIDAH BINTI NIK DAY"</f>
        <v>AIDAH BINTI NIK DAY</v>
      </c>
      <c r="J8312" t="str">
        <f t="shared" si="3388"/>
        <v>BANK KERJASAMA RAKYAT</v>
      </c>
      <c r="K8312" t="str">
        <f>"220411211621"</f>
        <v>220411211621</v>
      </c>
      <c r="L8312" t="str">
        <f t="shared" si="3391"/>
        <v>04-08-2020</v>
      </c>
      <c r="M8312" t="str">
        <f t="shared" si="3391"/>
        <v>04-08-2020</v>
      </c>
      <c r="N8312" t="str">
        <f t="shared" si="3373"/>
        <v>001105018356</v>
      </c>
      <c r="O8312" t="str">
        <f t="shared" si="3374"/>
        <v>MYR</v>
      </c>
      <c r="P8312" t="str">
        <f t="shared" si="3392"/>
        <v>NIL</v>
      </c>
      <c r="Q8312" t="str">
        <f t="shared" si="3392"/>
        <v>NIL</v>
      </c>
      <c r="R8312" t="str">
        <f t="shared" si="3389"/>
        <v>Accepted</v>
      </c>
      <c r="S8312" t="str">
        <f t="shared" si="3375"/>
        <v>Approved</v>
      </c>
      <c r="T8312" t="str">
        <f t="shared" si="3390"/>
        <v>10.20.8.188</v>
      </c>
      <c r="U8312" t="str">
        <f t="shared" si="3376"/>
        <v>AZRAD UMAR BIN SHAARI</v>
      </c>
      <c r="V8312" t="str">
        <f t="shared" si="3377"/>
        <v>FARHANA BINTI MUSTAPA</v>
      </c>
      <c r="W8312" t="str">
        <f t="shared" si="3378"/>
        <v>04-08-2020</v>
      </c>
      <c r="X8312" t="str">
        <f t="shared" si="3379"/>
        <v>RAZIMAH ANSAR AHMAD</v>
      </c>
      <c r="Y8312" t="str">
        <f t="shared" si="3380"/>
        <v>04-08-2020</v>
      </c>
      <c r="Z8312" t="str">
        <f>"COS10200804 842"</f>
        <v>COS10200804 842</v>
      </c>
    </row>
    <row r="8313" spans="1:26" x14ac:dyDescent="0.25">
      <c r="A8313" t="str">
        <f t="shared" si="3384"/>
        <v>04-08-2020 12:31:21</v>
      </c>
      <c r="B8313" t="str">
        <f>"0000802584"</f>
        <v>0000802584</v>
      </c>
      <c r="C8313" t="str">
        <f t="shared" si="3385"/>
        <v>0000802543</v>
      </c>
      <c r="D8313" t="str">
        <f t="shared" si="3370"/>
        <v>73185</v>
      </c>
      <c r="E8313" t="str">
        <f t="shared" si="3371"/>
        <v>KFH-OPERATIONS DEPARTMENT</v>
      </c>
      <c r="F8313" t="str">
        <f t="shared" si="3372"/>
        <v>IBG</v>
      </c>
      <c r="G8313" t="str">
        <f t="shared" si="3383"/>
        <v>Refund COSHARE 10</v>
      </c>
      <c r="H8313" s="2">
        <v>86</v>
      </c>
      <c r="I8313" t="str">
        <f>"AHMAD ZAITON BIN ABDUL RAHMAN"</f>
        <v>AHMAD ZAITON BIN ABDUL RAHMAN</v>
      </c>
      <c r="J8313" t="str">
        <f t="shared" si="3388"/>
        <v>BANK KERJASAMA RAKYAT</v>
      </c>
      <c r="K8313" t="str">
        <f>"220951021047"</f>
        <v>220951021047</v>
      </c>
      <c r="L8313" t="str">
        <f t="shared" si="3391"/>
        <v>04-08-2020</v>
      </c>
      <c r="M8313" t="str">
        <f t="shared" si="3391"/>
        <v>04-08-2020</v>
      </c>
      <c r="N8313" t="str">
        <f t="shared" si="3373"/>
        <v>001105018356</v>
      </c>
      <c r="O8313" t="str">
        <f t="shared" si="3374"/>
        <v>MYR</v>
      </c>
      <c r="P8313" t="str">
        <f t="shared" si="3392"/>
        <v>NIL</v>
      </c>
      <c r="Q8313" t="str">
        <f t="shared" si="3392"/>
        <v>NIL</v>
      </c>
      <c r="R8313" t="str">
        <f t="shared" si="3389"/>
        <v>Accepted</v>
      </c>
      <c r="S8313" t="str">
        <f t="shared" si="3375"/>
        <v>Approved</v>
      </c>
      <c r="T8313" t="str">
        <f t="shared" si="3390"/>
        <v>10.20.8.188</v>
      </c>
      <c r="U8313" t="str">
        <f t="shared" si="3376"/>
        <v>AZRAD UMAR BIN SHAARI</v>
      </c>
      <c r="V8313" t="str">
        <f t="shared" si="3377"/>
        <v>FARHANA BINTI MUSTAPA</v>
      </c>
      <c r="W8313" t="str">
        <f t="shared" si="3378"/>
        <v>04-08-2020</v>
      </c>
      <c r="X8313" t="str">
        <f t="shared" si="3379"/>
        <v>RAZIMAH ANSAR AHMAD</v>
      </c>
      <c r="Y8313" t="str">
        <f t="shared" si="3380"/>
        <v>04-08-2020</v>
      </c>
      <c r="Z8313" t="str">
        <f>"COS10200804 841"</f>
        <v>COS10200804 841</v>
      </c>
    </row>
    <row r="8314" spans="1:26" x14ac:dyDescent="0.25">
      <c r="A8314" t="str">
        <f t="shared" ref="A8314:A8345" si="3393">"04-08-2020 12:31:21"</f>
        <v>04-08-2020 12:31:21</v>
      </c>
      <c r="B8314" t="str">
        <f>"0000802583"</f>
        <v>0000802583</v>
      </c>
      <c r="C8314" t="str">
        <f t="shared" ref="C8314:C8345" si="3394">"0000802543"</f>
        <v>0000802543</v>
      </c>
      <c r="D8314" t="str">
        <f t="shared" si="3370"/>
        <v>73185</v>
      </c>
      <c r="E8314" t="str">
        <f t="shared" si="3371"/>
        <v>KFH-OPERATIONS DEPARTMENT</v>
      </c>
      <c r="F8314" t="str">
        <f t="shared" si="3372"/>
        <v>IBG</v>
      </c>
      <c r="G8314" t="str">
        <f t="shared" si="3383"/>
        <v>Refund COSHARE 10</v>
      </c>
      <c r="H8314" s="2">
        <v>198</v>
      </c>
      <c r="I8314" t="str">
        <f>"AHMAD SHAFIQ BIN ABD RAHIM"</f>
        <v>AHMAD SHAFIQ BIN ABD RAHIM</v>
      </c>
      <c r="J8314" t="str">
        <f t="shared" si="3388"/>
        <v>BANK KERJASAMA RAKYAT</v>
      </c>
      <c r="K8314" t="str">
        <f>"220171591229"</f>
        <v>220171591229</v>
      </c>
      <c r="L8314" t="str">
        <f t="shared" si="3391"/>
        <v>04-08-2020</v>
      </c>
      <c r="M8314" t="str">
        <f t="shared" si="3391"/>
        <v>04-08-2020</v>
      </c>
      <c r="N8314" t="str">
        <f t="shared" si="3373"/>
        <v>001105018356</v>
      </c>
      <c r="O8314" t="str">
        <f t="shared" si="3374"/>
        <v>MYR</v>
      </c>
      <c r="P8314" t="str">
        <f t="shared" si="3392"/>
        <v>NIL</v>
      </c>
      <c r="Q8314" t="str">
        <f t="shared" si="3392"/>
        <v>NIL</v>
      </c>
      <c r="R8314" t="str">
        <f t="shared" si="3389"/>
        <v>Accepted</v>
      </c>
      <c r="S8314" t="str">
        <f t="shared" si="3375"/>
        <v>Approved</v>
      </c>
      <c r="T8314" t="str">
        <f t="shared" si="3390"/>
        <v>10.20.8.188</v>
      </c>
      <c r="U8314" t="str">
        <f t="shared" si="3376"/>
        <v>AZRAD UMAR BIN SHAARI</v>
      </c>
      <c r="V8314" t="str">
        <f t="shared" si="3377"/>
        <v>FARHANA BINTI MUSTAPA</v>
      </c>
      <c r="W8314" t="str">
        <f t="shared" si="3378"/>
        <v>04-08-2020</v>
      </c>
      <c r="X8314" t="str">
        <f t="shared" si="3379"/>
        <v>RAZIMAH ANSAR AHMAD</v>
      </c>
      <c r="Y8314" t="str">
        <f t="shared" si="3380"/>
        <v>04-08-2020</v>
      </c>
      <c r="Z8314" t="str">
        <f>"COS10200804 840"</f>
        <v>COS10200804 840</v>
      </c>
    </row>
    <row r="8315" spans="1:26" x14ac:dyDescent="0.25">
      <c r="A8315" t="str">
        <f t="shared" si="3393"/>
        <v>04-08-2020 12:31:21</v>
      </c>
      <c r="B8315" t="str">
        <f>"0000802582"</f>
        <v>0000802582</v>
      </c>
      <c r="C8315" t="str">
        <f t="shared" si="3394"/>
        <v>0000802543</v>
      </c>
      <c r="D8315" t="str">
        <f t="shared" si="3370"/>
        <v>73185</v>
      </c>
      <c r="E8315" t="str">
        <f t="shared" si="3371"/>
        <v>KFH-OPERATIONS DEPARTMENT</v>
      </c>
      <c r="F8315" t="str">
        <f t="shared" si="3372"/>
        <v>IBG</v>
      </c>
      <c r="G8315" t="str">
        <f t="shared" si="3383"/>
        <v>Refund COSHARE 10</v>
      </c>
      <c r="H8315" s="2">
        <v>1679</v>
      </c>
      <c r="I8315" t="str">
        <f>"AHMAD RAMIZU BIN ABDUL RAHMAN HASAN"</f>
        <v>AHMAD RAMIZU BIN ABDUL RAHMAN HASAN</v>
      </c>
      <c r="J8315" t="str">
        <f t="shared" si="3388"/>
        <v>BANK KERJASAMA RAKYAT</v>
      </c>
      <c r="K8315" t="str">
        <f>"220121491154"</f>
        <v>220121491154</v>
      </c>
      <c r="L8315" t="str">
        <f t="shared" si="3391"/>
        <v>04-08-2020</v>
      </c>
      <c r="M8315" t="str">
        <f t="shared" si="3391"/>
        <v>04-08-2020</v>
      </c>
      <c r="N8315" t="str">
        <f t="shared" si="3373"/>
        <v>001105018356</v>
      </c>
      <c r="O8315" t="str">
        <f t="shared" si="3374"/>
        <v>MYR</v>
      </c>
      <c r="P8315" t="str">
        <f t="shared" si="3392"/>
        <v>NIL</v>
      </c>
      <c r="Q8315" t="str">
        <f t="shared" si="3392"/>
        <v>NIL</v>
      </c>
      <c r="R8315" t="str">
        <f t="shared" si="3389"/>
        <v>Accepted</v>
      </c>
      <c r="S8315" t="str">
        <f t="shared" si="3375"/>
        <v>Approved</v>
      </c>
      <c r="T8315" t="str">
        <f t="shared" si="3390"/>
        <v>10.20.8.188</v>
      </c>
      <c r="U8315" t="str">
        <f t="shared" si="3376"/>
        <v>AZRAD UMAR BIN SHAARI</v>
      </c>
      <c r="V8315" t="str">
        <f t="shared" si="3377"/>
        <v>FARHANA BINTI MUSTAPA</v>
      </c>
      <c r="W8315" t="str">
        <f t="shared" si="3378"/>
        <v>04-08-2020</v>
      </c>
      <c r="X8315" t="str">
        <f t="shared" si="3379"/>
        <v>RAZIMAH ANSAR AHMAD</v>
      </c>
      <c r="Y8315" t="str">
        <f t="shared" si="3380"/>
        <v>04-08-2020</v>
      </c>
      <c r="Z8315" t="str">
        <f>"COS10200804 839"</f>
        <v>COS10200804 839</v>
      </c>
    </row>
    <row r="8316" spans="1:26" x14ac:dyDescent="0.25">
      <c r="A8316" t="str">
        <f t="shared" si="3393"/>
        <v>04-08-2020 12:31:21</v>
      </c>
      <c r="B8316" t="str">
        <f>"0000802581"</f>
        <v>0000802581</v>
      </c>
      <c r="C8316" t="str">
        <f t="shared" si="3394"/>
        <v>0000802543</v>
      </c>
      <c r="D8316" t="str">
        <f t="shared" si="3370"/>
        <v>73185</v>
      </c>
      <c r="E8316" t="str">
        <f t="shared" si="3371"/>
        <v>KFH-OPERATIONS DEPARTMENT</v>
      </c>
      <c r="F8316" t="str">
        <f t="shared" si="3372"/>
        <v>IBG</v>
      </c>
      <c r="G8316" t="str">
        <f t="shared" si="3383"/>
        <v>Refund COSHARE 10</v>
      </c>
      <c r="H8316" s="2">
        <v>122</v>
      </c>
      <c r="I8316" t="str">
        <f>"AHMAD NAJMI BIN HANAFI"</f>
        <v>AHMAD NAJMI BIN HANAFI</v>
      </c>
      <c r="J8316" t="str">
        <f t="shared" si="3388"/>
        <v>BANK KERJASAMA RAKYAT</v>
      </c>
      <c r="K8316" t="str">
        <f>"220601205210"</f>
        <v>220601205210</v>
      </c>
      <c r="L8316" t="str">
        <f t="shared" si="3391"/>
        <v>04-08-2020</v>
      </c>
      <c r="M8316" t="str">
        <f t="shared" si="3391"/>
        <v>04-08-2020</v>
      </c>
      <c r="N8316" t="str">
        <f t="shared" si="3373"/>
        <v>001105018356</v>
      </c>
      <c r="O8316" t="str">
        <f t="shared" si="3374"/>
        <v>MYR</v>
      </c>
      <c r="P8316" t="str">
        <f t="shared" si="3392"/>
        <v>NIL</v>
      </c>
      <c r="Q8316" t="str">
        <f t="shared" si="3392"/>
        <v>NIL</v>
      </c>
      <c r="R8316" t="str">
        <f t="shared" si="3389"/>
        <v>Accepted</v>
      </c>
      <c r="S8316" t="str">
        <f t="shared" si="3375"/>
        <v>Approved</v>
      </c>
      <c r="T8316" t="str">
        <f t="shared" si="3390"/>
        <v>10.20.8.188</v>
      </c>
      <c r="U8316" t="str">
        <f t="shared" si="3376"/>
        <v>AZRAD UMAR BIN SHAARI</v>
      </c>
      <c r="V8316" t="str">
        <f t="shared" si="3377"/>
        <v>FARHANA BINTI MUSTAPA</v>
      </c>
      <c r="W8316" t="str">
        <f t="shared" si="3378"/>
        <v>04-08-2020</v>
      </c>
      <c r="X8316" t="str">
        <f t="shared" si="3379"/>
        <v>RAZIMAH ANSAR AHMAD</v>
      </c>
      <c r="Y8316" t="str">
        <f t="shared" si="3380"/>
        <v>04-08-2020</v>
      </c>
      <c r="Z8316" t="str">
        <f>"COS10200804 838"</f>
        <v>COS10200804 838</v>
      </c>
    </row>
    <row r="8317" spans="1:26" x14ac:dyDescent="0.25">
      <c r="A8317" t="str">
        <f t="shared" si="3393"/>
        <v>04-08-2020 12:31:21</v>
      </c>
      <c r="B8317" t="str">
        <f>"0000802580"</f>
        <v>0000802580</v>
      </c>
      <c r="C8317" t="str">
        <f t="shared" si="3394"/>
        <v>0000802543</v>
      </c>
      <c r="D8317" t="str">
        <f t="shared" si="3370"/>
        <v>73185</v>
      </c>
      <c r="E8317" t="str">
        <f t="shared" si="3371"/>
        <v>KFH-OPERATIONS DEPARTMENT</v>
      </c>
      <c r="F8317" t="str">
        <f t="shared" si="3372"/>
        <v>IBG</v>
      </c>
      <c r="G8317" t="str">
        <f t="shared" si="3383"/>
        <v>Refund COSHARE 10</v>
      </c>
      <c r="H8317" s="2">
        <v>438.95</v>
      </c>
      <c r="I8317" t="str">
        <f>"AHMAD FUAD BIN MOHAMED SUDIN"</f>
        <v>AHMAD FUAD BIN MOHAMED SUDIN</v>
      </c>
      <c r="J8317" t="str">
        <f t="shared" si="3388"/>
        <v>BANK KERJASAMA RAKYAT</v>
      </c>
      <c r="K8317" t="str">
        <f>"220101227182"</f>
        <v>220101227182</v>
      </c>
      <c r="L8317" t="str">
        <f t="shared" si="3391"/>
        <v>04-08-2020</v>
      </c>
      <c r="M8317" t="str">
        <f t="shared" si="3391"/>
        <v>04-08-2020</v>
      </c>
      <c r="N8317" t="str">
        <f t="shared" si="3373"/>
        <v>001105018356</v>
      </c>
      <c r="O8317" t="str">
        <f t="shared" si="3374"/>
        <v>MYR</v>
      </c>
      <c r="P8317" t="str">
        <f t="shared" si="3392"/>
        <v>NIL</v>
      </c>
      <c r="Q8317" t="str">
        <f t="shared" si="3392"/>
        <v>NIL</v>
      </c>
      <c r="R8317" t="str">
        <f t="shared" si="3389"/>
        <v>Accepted</v>
      </c>
      <c r="S8317" t="str">
        <f t="shared" si="3375"/>
        <v>Approved</v>
      </c>
      <c r="T8317" t="str">
        <f t="shared" si="3390"/>
        <v>10.20.8.188</v>
      </c>
      <c r="U8317" t="str">
        <f t="shared" si="3376"/>
        <v>AZRAD UMAR BIN SHAARI</v>
      </c>
      <c r="V8317" t="str">
        <f t="shared" si="3377"/>
        <v>FARHANA BINTI MUSTAPA</v>
      </c>
      <c r="W8317" t="str">
        <f t="shared" si="3378"/>
        <v>04-08-2020</v>
      </c>
      <c r="X8317" t="str">
        <f t="shared" si="3379"/>
        <v>RAZIMAH ANSAR AHMAD</v>
      </c>
      <c r="Y8317" t="str">
        <f t="shared" si="3380"/>
        <v>04-08-2020</v>
      </c>
      <c r="Z8317" t="str">
        <f>"COS10200804 837"</f>
        <v>COS10200804 837</v>
      </c>
    </row>
    <row r="8318" spans="1:26" x14ac:dyDescent="0.25">
      <c r="A8318" t="str">
        <f t="shared" si="3393"/>
        <v>04-08-2020 12:31:21</v>
      </c>
      <c r="B8318" t="str">
        <f>"0000802579"</f>
        <v>0000802579</v>
      </c>
      <c r="C8318" t="str">
        <f t="shared" si="3394"/>
        <v>0000802543</v>
      </c>
      <c r="D8318" t="str">
        <f t="shared" si="3370"/>
        <v>73185</v>
      </c>
      <c r="E8318" t="str">
        <f t="shared" si="3371"/>
        <v>KFH-OPERATIONS DEPARTMENT</v>
      </c>
      <c r="F8318" t="str">
        <f t="shared" si="3372"/>
        <v>IBG</v>
      </c>
      <c r="G8318" t="str">
        <f t="shared" si="3383"/>
        <v>Refund COSHARE 10</v>
      </c>
      <c r="H8318" s="2">
        <v>562.5</v>
      </c>
      <c r="I8318" t="str">
        <f>"AHMAD FAZRI BIN MOHAMMAD ZIME"</f>
        <v>AHMAD FAZRI BIN MOHAMMAD ZIME</v>
      </c>
      <c r="J8318" t="str">
        <f t="shared" si="3388"/>
        <v>BANK KERJASAMA RAKYAT</v>
      </c>
      <c r="K8318" t="str">
        <f>"220668003007"</f>
        <v>220668003007</v>
      </c>
      <c r="L8318" t="str">
        <f t="shared" si="3391"/>
        <v>04-08-2020</v>
      </c>
      <c r="M8318" t="str">
        <f t="shared" si="3391"/>
        <v>04-08-2020</v>
      </c>
      <c r="N8318" t="str">
        <f t="shared" si="3373"/>
        <v>001105018356</v>
      </c>
      <c r="O8318" t="str">
        <f t="shared" si="3374"/>
        <v>MYR</v>
      </c>
      <c r="P8318" t="str">
        <f t="shared" si="3392"/>
        <v>NIL</v>
      </c>
      <c r="Q8318" t="str">
        <f t="shared" si="3392"/>
        <v>NIL</v>
      </c>
      <c r="R8318" t="str">
        <f t="shared" si="3389"/>
        <v>Accepted</v>
      </c>
      <c r="S8318" t="str">
        <f t="shared" si="3375"/>
        <v>Approved</v>
      </c>
      <c r="T8318" t="str">
        <f t="shared" si="3390"/>
        <v>10.20.8.188</v>
      </c>
      <c r="U8318" t="str">
        <f t="shared" si="3376"/>
        <v>AZRAD UMAR BIN SHAARI</v>
      </c>
      <c r="V8318" t="str">
        <f t="shared" si="3377"/>
        <v>FARHANA BINTI MUSTAPA</v>
      </c>
      <c r="W8318" t="str">
        <f t="shared" si="3378"/>
        <v>04-08-2020</v>
      </c>
      <c r="X8318" t="str">
        <f t="shared" si="3379"/>
        <v>RAZIMAH ANSAR AHMAD</v>
      </c>
      <c r="Y8318" t="str">
        <f t="shared" si="3380"/>
        <v>04-08-2020</v>
      </c>
      <c r="Z8318" t="str">
        <f>"COS10200804 836"</f>
        <v>COS10200804 836</v>
      </c>
    </row>
    <row r="8319" spans="1:26" x14ac:dyDescent="0.25">
      <c r="A8319" t="str">
        <f t="shared" si="3393"/>
        <v>04-08-2020 12:31:21</v>
      </c>
      <c r="B8319" t="str">
        <f>"0000802578"</f>
        <v>0000802578</v>
      </c>
      <c r="C8319" t="str">
        <f t="shared" si="3394"/>
        <v>0000802543</v>
      </c>
      <c r="D8319" t="str">
        <f t="shared" si="3370"/>
        <v>73185</v>
      </c>
      <c r="E8319" t="str">
        <f t="shared" si="3371"/>
        <v>KFH-OPERATIONS DEPARTMENT</v>
      </c>
      <c r="F8319" t="str">
        <f t="shared" si="3372"/>
        <v>IBG</v>
      </c>
      <c r="G8319" t="str">
        <f t="shared" si="3383"/>
        <v>Refund COSHARE 10</v>
      </c>
      <c r="H8319" s="2">
        <v>691</v>
      </c>
      <c r="I8319" t="str">
        <f>"AHMAD FARIS BIN CHE MANSOR ADABI"</f>
        <v>AHMAD FARIS BIN CHE MANSOR ADABI</v>
      </c>
      <c r="J8319" t="str">
        <f t="shared" si="3388"/>
        <v>BANK KERJASAMA RAKYAT</v>
      </c>
      <c r="K8319" t="str">
        <f>"220122247157"</f>
        <v>220122247157</v>
      </c>
      <c r="L8319" t="str">
        <f t="shared" si="3391"/>
        <v>04-08-2020</v>
      </c>
      <c r="M8319" t="str">
        <f t="shared" si="3391"/>
        <v>04-08-2020</v>
      </c>
      <c r="N8319" t="str">
        <f t="shared" si="3373"/>
        <v>001105018356</v>
      </c>
      <c r="O8319" t="str">
        <f t="shared" si="3374"/>
        <v>MYR</v>
      </c>
      <c r="P8319" t="str">
        <f t="shared" si="3392"/>
        <v>NIL</v>
      </c>
      <c r="Q8319" t="str">
        <f t="shared" si="3392"/>
        <v>NIL</v>
      </c>
      <c r="R8319" t="str">
        <f t="shared" si="3389"/>
        <v>Accepted</v>
      </c>
      <c r="S8319" t="str">
        <f t="shared" si="3375"/>
        <v>Approved</v>
      </c>
      <c r="T8319" t="str">
        <f t="shared" si="3390"/>
        <v>10.20.8.188</v>
      </c>
      <c r="U8319" t="str">
        <f t="shared" si="3376"/>
        <v>AZRAD UMAR BIN SHAARI</v>
      </c>
      <c r="V8319" t="str">
        <f t="shared" si="3377"/>
        <v>FARHANA BINTI MUSTAPA</v>
      </c>
      <c r="W8319" t="str">
        <f t="shared" si="3378"/>
        <v>04-08-2020</v>
      </c>
      <c r="X8319" t="str">
        <f t="shared" si="3379"/>
        <v>RAZIMAH ANSAR AHMAD</v>
      </c>
      <c r="Y8319" t="str">
        <f t="shared" si="3380"/>
        <v>04-08-2020</v>
      </c>
      <c r="Z8319" t="str">
        <f>"COS10200804 835"</f>
        <v>COS10200804 835</v>
      </c>
    </row>
    <row r="8320" spans="1:26" x14ac:dyDescent="0.25">
      <c r="A8320" t="str">
        <f t="shared" si="3393"/>
        <v>04-08-2020 12:31:21</v>
      </c>
      <c r="B8320" t="str">
        <f>"0000802577"</f>
        <v>0000802577</v>
      </c>
      <c r="C8320" t="str">
        <f t="shared" si="3394"/>
        <v>0000802543</v>
      </c>
      <c r="D8320" t="str">
        <f t="shared" si="3370"/>
        <v>73185</v>
      </c>
      <c r="E8320" t="str">
        <f t="shared" si="3371"/>
        <v>KFH-OPERATIONS DEPARTMENT</v>
      </c>
      <c r="F8320" t="str">
        <f t="shared" si="3372"/>
        <v>IBG</v>
      </c>
      <c r="G8320" t="str">
        <f t="shared" si="3383"/>
        <v>Refund COSHARE 10</v>
      </c>
      <c r="H8320" s="2">
        <v>187</v>
      </c>
      <c r="I8320" t="str">
        <f>"AHMAD BIN HUSEIN"</f>
        <v>AHMAD BIN HUSEIN</v>
      </c>
      <c r="J8320" t="str">
        <f t="shared" si="3388"/>
        <v>BANK KERJASAMA RAKYAT</v>
      </c>
      <c r="K8320" t="str">
        <f>"220661085231"</f>
        <v>220661085231</v>
      </c>
      <c r="L8320" t="str">
        <f t="shared" si="3391"/>
        <v>04-08-2020</v>
      </c>
      <c r="M8320" t="str">
        <f t="shared" si="3391"/>
        <v>04-08-2020</v>
      </c>
      <c r="N8320" t="str">
        <f t="shared" si="3373"/>
        <v>001105018356</v>
      </c>
      <c r="O8320" t="str">
        <f t="shared" si="3374"/>
        <v>MYR</v>
      </c>
      <c r="P8320" t="str">
        <f t="shared" si="3392"/>
        <v>NIL</v>
      </c>
      <c r="Q8320" t="str">
        <f t="shared" si="3392"/>
        <v>NIL</v>
      </c>
      <c r="R8320" t="str">
        <f t="shared" si="3389"/>
        <v>Accepted</v>
      </c>
      <c r="S8320" t="str">
        <f t="shared" si="3375"/>
        <v>Approved</v>
      </c>
      <c r="T8320" t="str">
        <f t="shared" si="3390"/>
        <v>10.20.8.188</v>
      </c>
      <c r="U8320" t="str">
        <f t="shared" si="3376"/>
        <v>AZRAD UMAR BIN SHAARI</v>
      </c>
      <c r="V8320" t="str">
        <f t="shared" si="3377"/>
        <v>FARHANA BINTI MUSTAPA</v>
      </c>
      <c r="W8320" t="str">
        <f t="shared" si="3378"/>
        <v>04-08-2020</v>
      </c>
      <c r="X8320" t="str">
        <f t="shared" si="3379"/>
        <v>RAZIMAH ANSAR AHMAD</v>
      </c>
      <c r="Y8320" t="str">
        <f t="shared" si="3380"/>
        <v>04-08-2020</v>
      </c>
      <c r="Z8320" t="str">
        <f>"COS10200804 834"</f>
        <v>COS10200804 834</v>
      </c>
    </row>
    <row r="8321" spans="1:26" x14ac:dyDescent="0.25">
      <c r="A8321" t="str">
        <f t="shared" si="3393"/>
        <v>04-08-2020 12:31:21</v>
      </c>
      <c r="B8321" t="str">
        <f>"0000802576"</f>
        <v>0000802576</v>
      </c>
      <c r="C8321" t="str">
        <f t="shared" si="3394"/>
        <v>0000802543</v>
      </c>
      <c r="D8321" t="str">
        <f t="shared" si="3370"/>
        <v>73185</v>
      </c>
      <c r="E8321" t="str">
        <f t="shared" si="3371"/>
        <v>KFH-OPERATIONS DEPARTMENT</v>
      </c>
      <c r="F8321" t="str">
        <f t="shared" si="3372"/>
        <v>IBG</v>
      </c>
      <c r="G8321" t="str">
        <f t="shared" si="3383"/>
        <v>Refund COSHARE 10</v>
      </c>
      <c r="H8321" s="2">
        <v>221.75</v>
      </c>
      <c r="I8321" t="str">
        <f>"AHMAD BIN HUSEIN"</f>
        <v>AHMAD BIN HUSEIN</v>
      </c>
      <c r="J8321" t="str">
        <f t="shared" si="3388"/>
        <v>BANK KERJASAMA RAKYAT</v>
      </c>
      <c r="K8321" t="str">
        <f>"220661085231"</f>
        <v>220661085231</v>
      </c>
      <c r="L8321" t="str">
        <f t="shared" si="3391"/>
        <v>04-08-2020</v>
      </c>
      <c r="M8321" t="str">
        <f t="shared" si="3391"/>
        <v>04-08-2020</v>
      </c>
      <c r="N8321" t="str">
        <f t="shared" si="3373"/>
        <v>001105018356</v>
      </c>
      <c r="O8321" t="str">
        <f t="shared" si="3374"/>
        <v>MYR</v>
      </c>
      <c r="P8321" t="str">
        <f t="shared" si="3392"/>
        <v>NIL</v>
      </c>
      <c r="Q8321" t="str">
        <f t="shared" si="3392"/>
        <v>NIL</v>
      </c>
      <c r="R8321" t="str">
        <f t="shared" si="3389"/>
        <v>Accepted</v>
      </c>
      <c r="S8321" t="str">
        <f t="shared" si="3375"/>
        <v>Approved</v>
      </c>
      <c r="T8321" t="str">
        <f t="shared" si="3390"/>
        <v>10.20.8.188</v>
      </c>
      <c r="U8321" t="str">
        <f t="shared" si="3376"/>
        <v>AZRAD UMAR BIN SHAARI</v>
      </c>
      <c r="V8321" t="str">
        <f t="shared" si="3377"/>
        <v>FARHANA BINTI MUSTAPA</v>
      </c>
      <c r="W8321" t="str">
        <f t="shared" si="3378"/>
        <v>04-08-2020</v>
      </c>
      <c r="X8321" t="str">
        <f t="shared" si="3379"/>
        <v>RAZIMAH ANSAR AHMAD</v>
      </c>
      <c r="Y8321" t="str">
        <f t="shared" si="3380"/>
        <v>04-08-2020</v>
      </c>
      <c r="Z8321" t="str">
        <f>"COS10200804 833"</f>
        <v>COS10200804 833</v>
      </c>
    </row>
    <row r="8322" spans="1:26" x14ac:dyDescent="0.25">
      <c r="A8322" t="str">
        <f t="shared" si="3393"/>
        <v>04-08-2020 12:31:21</v>
      </c>
      <c r="B8322" t="str">
        <f>"0000802575"</f>
        <v>0000802575</v>
      </c>
      <c r="C8322" t="str">
        <f t="shared" si="3394"/>
        <v>0000802543</v>
      </c>
      <c r="D8322" t="str">
        <f t="shared" si="3370"/>
        <v>73185</v>
      </c>
      <c r="E8322" t="str">
        <f t="shared" si="3371"/>
        <v>KFH-OPERATIONS DEPARTMENT</v>
      </c>
      <c r="F8322" t="str">
        <f t="shared" si="3372"/>
        <v>IBG</v>
      </c>
      <c r="G8322" t="str">
        <f t="shared" si="3383"/>
        <v>Refund COSHARE 10</v>
      </c>
      <c r="H8322" s="2">
        <v>649.65</v>
      </c>
      <c r="I8322" t="str">
        <f>"AHMAD ASHRY BIN ISMAIL"</f>
        <v>AHMAD ASHRY BIN ISMAIL</v>
      </c>
      <c r="J8322" t="str">
        <f t="shared" si="3388"/>
        <v>BANK KERJASAMA RAKYAT</v>
      </c>
      <c r="K8322" t="str">
        <f>"220731118499"</f>
        <v>220731118499</v>
      </c>
      <c r="L8322" t="str">
        <f t="shared" si="3391"/>
        <v>04-08-2020</v>
      </c>
      <c r="M8322" t="str">
        <f t="shared" si="3391"/>
        <v>04-08-2020</v>
      </c>
      <c r="N8322" t="str">
        <f t="shared" si="3373"/>
        <v>001105018356</v>
      </c>
      <c r="O8322" t="str">
        <f t="shared" si="3374"/>
        <v>MYR</v>
      </c>
      <c r="P8322" t="str">
        <f t="shared" si="3392"/>
        <v>NIL</v>
      </c>
      <c r="Q8322" t="str">
        <f t="shared" si="3392"/>
        <v>NIL</v>
      </c>
      <c r="R8322" t="str">
        <f t="shared" si="3389"/>
        <v>Accepted</v>
      </c>
      <c r="S8322" t="str">
        <f t="shared" si="3375"/>
        <v>Approved</v>
      </c>
      <c r="T8322" t="str">
        <f t="shared" si="3390"/>
        <v>10.20.8.188</v>
      </c>
      <c r="U8322" t="str">
        <f t="shared" si="3376"/>
        <v>AZRAD UMAR BIN SHAARI</v>
      </c>
      <c r="V8322" t="str">
        <f t="shared" si="3377"/>
        <v>FARHANA BINTI MUSTAPA</v>
      </c>
      <c r="W8322" t="str">
        <f t="shared" si="3378"/>
        <v>04-08-2020</v>
      </c>
      <c r="X8322" t="str">
        <f t="shared" si="3379"/>
        <v>RAZIMAH ANSAR AHMAD</v>
      </c>
      <c r="Y8322" t="str">
        <f t="shared" si="3380"/>
        <v>04-08-2020</v>
      </c>
      <c r="Z8322" t="str">
        <f>"COS10200804 832"</f>
        <v>COS10200804 832</v>
      </c>
    </row>
    <row r="8323" spans="1:26" x14ac:dyDescent="0.25">
      <c r="A8323" t="str">
        <f t="shared" si="3393"/>
        <v>04-08-2020 12:31:21</v>
      </c>
      <c r="B8323" t="str">
        <f>"0000802574"</f>
        <v>0000802574</v>
      </c>
      <c r="C8323" t="str">
        <f t="shared" si="3394"/>
        <v>0000802543</v>
      </c>
      <c r="D8323" t="str">
        <f t="shared" si="3370"/>
        <v>73185</v>
      </c>
      <c r="E8323" t="str">
        <f t="shared" si="3371"/>
        <v>KFH-OPERATIONS DEPARTMENT</v>
      </c>
      <c r="F8323" t="str">
        <f t="shared" si="3372"/>
        <v>IBG</v>
      </c>
      <c r="G8323" t="str">
        <f t="shared" si="3383"/>
        <v>Refund COSHARE 10</v>
      </c>
      <c r="H8323" s="2">
        <v>642.54999999999995</v>
      </c>
      <c r="I8323" t="str">
        <f>"AFFANDAY BIN SAIM"</f>
        <v>AFFANDAY BIN SAIM</v>
      </c>
      <c r="J8323" t="str">
        <f t="shared" si="3388"/>
        <v>BANK KERJASAMA RAKYAT</v>
      </c>
      <c r="K8323" t="str">
        <f>"220471269796"</f>
        <v>220471269796</v>
      </c>
      <c r="L8323" t="str">
        <f t="shared" si="3391"/>
        <v>04-08-2020</v>
      </c>
      <c r="M8323" t="str">
        <f t="shared" si="3391"/>
        <v>04-08-2020</v>
      </c>
      <c r="N8323" t="str">
        <f t="shared" si="3373"/>
        <v>001105018356</v>
      </c>
      <c r="O8323" t="str">
        <f t="shared" si="3374"/>
        <v>MYR</v>
      </c>
      <c r="P8323" t="str">
        <f t="shared" si="3392"/>
        <v>NIL</v>
      </c>
      <c r="Q8323" t="str">
        <f t="shared" si="3392"/>
        <v>NIL</v>
      </c>
      <c r="R8323" t="str">
        <f t="shared" si="3389"/>
        <v>Accepted</v>
      </c>
      <c r="S8323" t="str">
        <f t="shared" si="3375"/>
        <v>Approved</v>
      </c>
      <c r="T8323" t="str">
        <f t="shared" si="3390"/>
        <v>10.20.8.188</v>
      </c>
      <c r="U8323" t="str">
        <f t="shared" si="3376"/>
        <v>AZRAD UMAR BIN SHAARI</v>
      </c>
      <c r="V8323" t="str">
        <f t="shared" si="3377"/>
        <v>FARHANA BINTI MUSTAPA</v>
      </c>
      <c r="W8323" t="str">
        <f t="shared" si="3378"/>
        <v>04-08-2020</v>
      </c>
      <c r="X8323" t="str">
        <f t="shared" si="3379"/>
        <v>RAZIMAH ANSAR AHMAD</v>
      </c>
      <c r="Y8323" t="str">
        <f t="shared" si="3380"/>
        <v>04-08-2020</v>
      </c>
      <c r="Z8323" t="str">
        <f>"COS10200804 831"</f>
        <v>COS10200804 831</v>
      </c>
    </row>
    <row r="8324" spans="1:26" x14ac:dyDescent="0.25">
      <c r="A8324" t="str">
        <f t="shared" si="3393"/>
        <v>04-08-2020 12:31:21</v>
      </c>
      <c r="B8324" t="str">
        <f>"0000802573"</f>
        <v>0000802573</v>
      </c>
      <c r="C8324" t="str">
        <f t="shared" si="3394"/>
        <v>0000802543</v>
      </c>
      <c r="D8324" t="str">
        <f t="shared" si="3370"/>
        <v>73185</v>
      </c>
      <c r="E8324" t="str">
        <f t="shared" si="3371"/>
        <v>KFH-OPERATIONS DEPARTMENT</v>
      </c>
      <c r="F8324" t="str">
        <f t="shared" si="3372"/>
        <v>IBG</v>
      </c>
      <c r="G8324" t="str">
        <f t="shared" si="3383"/>
        <v>Refund COSHARE 10</v>
      </c>
      <c r="H8324" s="2">
        <v>58.8</v>
      </c>
      <c r="I8324" t="str">
        <f>"ADRIAN JUBIAN"</f>
        <v>ADRIAN JUBIAN</v>
      </c>
      <c r="J8324" t="str">
        <f t="shared" si="3388"/>
        <v>BANK KERJASAMA RAKYAT</v>
      </c>
      <c r="K8324" t="str">
        <f>"220821104932"</f>
        <v>220821104932</v>
      </c>
      <c r="L8324" t="str">
        <f t="shared" si="3391"/>
        <v>04-08-2020</v>
      </c>
      <c r="M8324" t="str">
        <f t="shared" si="3391"/>
        <v>04-08-2020</v>
      </c>
      <c r="N8324" t="str">
        <f t="shared" si="3373"/>
        <v>001105018356</v>
      </c>
      <c r="O8324" t="str">
        <f t="shared" si="3374"/>
        <v>MYR</v>
      </c>
      <c r="P8324" t="str">
        <f t="shared" si="3392"/>
        <v>NIL</v>
      </c>
      <c r="Q8324" t="str">
        <f t="shared" si="3392"/>
        <v>NIL</v>
      </c>
      <c r="R8324" t="str">
        <f t="shared" si="3389"/>
        <v>Accepted</v>
      </c>
      <c r="S8324" t="str">
        <f t="shared" si="3375"/>
        <v>Approved</v>
      </c>
      <c r="T8324" t="str">
        <f t="shared" si="3390"/>
        <v>10.20.8.188</v>
      </c>
      <c r="U8324" t="str">
        <f t="shared" si="3376"/>
        <v>AZRAD UMAR BIN SHAARI</v>
      </c>
      <c r="V8324" t="str">
        <f t="shared" si="3377"/>
        <v>FARHANA BINTI MUSTAPA</v>
      </c>
      <c r="W8324" t="str">
        <f t="shared" si="3378"/>
        <v>04-08-2020</v>
      </c>
      <c r="X8324" t="str">
        <f t="shared" si="3379"/>
        <v>RAZIMAH ANSAR AHMAD</v>
      </c>
      <c r="Y8324" t="str">
        <f t="shared" si="3380"/>
        <v>04-08-2020</v>
      </c>
      <c r="Z8324" t="str">
        <f>"COS10200804 830"</f>
        <v>COS10200804 830</v>
      </c>
    </row>
    <row r="8325" spans="1:26" x14ac:dyDescent="0.25">
      <c r="A8325" t="str">
        <f t="shared" si="3393"/>
        <v>04-08-2020 12:31:21</v>
      </c>
      <c r="B8325" t="str">
        <f>"0000802572"</f>
        <v>0000802572</v>
      </c>
      <c r="C8325" t="str">
        <f t="shared" si="3394"/>
        <v>0000802543</v>
      </c>
      <c r="D8325" t="str">
        <f t="shared" si="3370"/>
        <v>73185</v>
      </c>
      <c r="E8325" t="str">
        <f t="shared" si="3371"/>
        <v>KFH-OPERATIONS DEPARTMENT</v>
      </c>
      <c r="F8325" t="str">
        <f t="shared" si="3372"/>
        <v>IBG</v>
      </c>
      <c r="G8325" t="str">
        <f t="shared" si="3383"/>
        <v>Refund COSHARE 10</v>
      </c>
      <c r="H8325" s="2">
        <v>805.95</v>
      </c>
      <c r="I8325" t="str">
        <f>"ADEK KUSHARSYI BINTI KOSHIRI"</f>
        <v>ADEK KUSHARSYI BINTI KOSHIRI</v>
      </c>
      <c r="J8325" t="str">
        <f t="shared" si="3388"/>
        <v>BANK KERJASAMA RAKYAT</v>
      </c>
      <c r="K8325" t="str">
        <f>"220781099334"</f>
        <v>220781099334</v>
      </c>
      <c r="L8325" t="str">
        <f t="shared" si="3391"/>
        <v>04-08-2020</v>
      </c>
      <c r="M8325" t="str">
        <f t="shared" si="3391"/>
        <v>04-08-2020</v>
      </c>
      <c r="N8325" t="str">
        <f t="shared" si="3373"/>
        <v>001105018356</v>
      </c>
      <c r="O8325" t="str">
        <f t="shared" si="3374"/>
        <v>MYR</v>
      </c>
      <c r="P8325" t="str">
        <f t="shared" si="3392"/>
        <v>NIL</v>
      </c>
      <c r="Q8325" t="str">
        <f t="shared" si="3392"/>
        <v>NIL</v>
      </c>
      <c r="R8325" t="str">
        <f t="shared" si="3389"/>
        <v>Accepted</v>
      </c>
      <c r="S8325" t="str">
        <f t="shared" si="3375"/>
        <v>Approved</v>
      </c>
      <c r="T8325" t="str">
        <f t="shared" si="3390"/>
        <v>10.20.8.188</v>
      </c>
      <c r="U8325" t="str">
        <f t="shared" si="3376"/>
        <v>AZRAD UMAR BIN SHAARI</v>
      </c>
      <c r="V8325" t="str">
        <f t="shared" si="3377"/>
        <v>FARHANA BINTI MUSTAPA</v>
      </c>
      <c r="W8325" t="str">
        <f t="shared" si="3378"/>
        <v>04-08-2020</v>
      </c>
      <c r="X8325" t="str">
        <f t="shared" si="3379"/>
        <v>RAZIMAH ANSAR AHMAD</v>
      </c>
      <c r="Y8325" t="str">
        <f t="shared" si="3380"/>
        <v>04-08-2020</v>
      </c>
      <c r="Z8325" t="str">
        <f>"COS10200804 829"</f>
        <v>COS10200804 829</v>
      </c>
    </row>
    <row r="8326" spans="1:26" x14ac:dyDescent="0.25">
      <c r="A8326" t="str">
        <f t="shared" si="3393"/>
        <v>04-08-2020 12:31:21</v>
      </c>
      <c r="B8326" t="str">
        <f>"0000802571"</f>
        <v>0000802571</v>
      </c>
      <c r="C8326" t="str">
        <f t="shared" si="3394"/>
        <v>0000802543</v>
      </c>
      <c r="D8326" t="str">
        <f t="shared" si="3370"/>
        <v>73185</v>
      </c>
      <c r="E8326" t="str">
        <f t="shared" si="3371"/>
        <v>KFH-OPERATIONS DEPARTMENT</v>
      </c>
      <c r="F8326" t="str">
        <f t="shared" si="3372"/>
        <v>IBG</v>
      </c>
      <c r="G8326" t="str">
        <f t="shared" si="3383"/>
        <v>Refund COSHARE 10</v>
      </c>
      <c r="H8326" s="2">
        <v>1031.75</v>
      </c>
      <c r="I8326" t="str">
        <f>"ABU BAKAR BIN AHMAD"</f>
        <v>ABU BAKAR BIN AHMAD</v>
      </c>
      <c r="J8326" t="str">
        <f t="shared" si="3388"/>
        <v>BANK KERJASAMA RAKYAT</v>
      </c>
      <c r="K8326" t="str">
        <f>"220651227430"</f>
        <v>220651227430</v>
      </c>
      <c r="L8326" t="str">
        <f t="shared" si="3391"/>
        <v>04-08-2020</v>
      </c>
      <c r="M8326" t="str">
        <f t="shared" si="3391"/>
        <v>04-08-2020</v>
      </c>
      <c r="N8326" t="str">
        <f t="shared" si="3373"/>
        <v>001105018356</v>
      </c>
      <c r="O8326" t="str">
        <f t="shared" si="3374"/>
        <v>MYR</v>
      </c>
      <c r="P8326" t="str">
        <f t="shared" si="3392"/>
        <v>NIL</v>
      </c>
      <c r="Q8326" t="str">
        <f t="shared" si="3392"/>
        <v>NIL</v>
      </c>
      <c r="R8326" t="str">
        <f t="shared" si="3389"/>
        <v>Accepted</v>
      </c>
      <c r="S8326" t="str">
        <f t="shared" si="3375"/>
        <v>Approved</v>
      </c>
      <c r="T8326" t="str">
        <f t="shared" si="3390"/>
        <v>10.20.8.188</v>
      </c>
      <c r="U8326" t="str">
        <f t="shared" si="3376"/>
        <v>AZRAD UMAR BIN SHAARI</v>
      </c>
      <c r="V8326" t="str">
        <f t="shared" si="3377"/>
        <v>FARHANA BINTI MUSTAPA</v>
      </c>
      <c r="W8326" t="str">
        <f t="shared" si="3378"/>
        <v>04-08-2020</v>
      </c>
      <c r="X8326" t="str">
        <f t="shared" si="3379"/>
        <v>RAZIMAH ANSAR AHMAD</v>
      </c>
      <c r="Y8326" t="str">
        <f t="shared" si="3380"/>
        <v>04-08-2020</v>
      </c>
      <c r="Z8326" t="str">
        <f>"COS10200804 828"</f>
        <v>COS10200804 828</v>
      </c>
    </row>
    <row r="8327" spans="1:26" x14ac:dyDescent="0.25">
      <c r="A8327" t="str">
        <f t="shared" si="3393"/>
        <v>04-08-2020 12:31:21</v>
      </c>
      <c r="B8327" t="str">
        <f>"0000802570"</f>
        <v>0000802570</v>
      </c>
      <c r="C8327" t="str">
        <f t="shared" si="3394"/>
        <v>0000802543</v>
      </c>
      <c r="D8327" t="str">
        <f t="shared" ref="D8327:D8390" si="3395">"73185"</f>
        <v>73185</v>
      </c>
      <c r="E8327" t="str">
        <f t="shared" ref="E8327:E8390" si="3396">"KFH-OPERATIONS DEPARTMENT"</f>
        <v>KFH-OPERATIONS DEPARTMENT</v>
      </c>
      <c r="F8327" t="str">
        <f t="shared" ref="F8327:F8390" si="3397">"IBG"</f>
        <v>IBG</v>
      </c>
      <c r="G8327" t="str">
        <f t="shared" si="3383"/>
        <v>Refund COSHARE 10</v>
      </c>
      <c r="H8327" s="2">
        <v>594.75</v>
      </c>
      <c r="I8327" t="str">
        <f>"ABDUL RAHMAN BIN MUHAMAD"</f>
        <v>ABDUL RAHMAN BIN MUHAMAD</v>
      </c>
      <c r="J8327" t="str">
        <f t="shared" si="3388"/>
        <v>BANK KERJASAMA RAKYAT</v>
      </c>
      <c r="K8327" t="str">
        <f>"220711007190"</f>
        <v>220711007190</v>
      </c>
      <c r="L8327" t="str">
        <f t="shared" ref="L8327:M8346" si="3398">"04-08-2020"</f>
        <v>04-08-2020</v>
      </c>
      <c r="M8327" t="str">
        <f t="shared" si="3398"/>
        <v>04-08-2020</v>
      </c>
      <c r="N8327" t="str">
        <f t="shared" ref="N8327:N8390" si="3399">"001105018356"</f>
        <v>001105018356</v>
      </c>
      <c r="O8327" t="str">
        <f t="shared" ref="O8327:O8390" si="3400">"MYR"</f>
        <v>MYR</v>
      </c>
      <c r="P8327" t="str">
        <f t="shared" ref="P8327:Q8346" si="3401">"NIL"</f>
        <v>NIL</v>
      </c>
      <c r="Q8327" t="str">
        <f t="shared" si="3401"/>
        <v>NIL</v>
      </c>
      <c r="R8327" t="str">
        <f t="shared" si="3389"/>
        <v>Accepted</v>
      </c>
      <c r="S8327" t="str">
        <f t="shared" ref="S8327:S8390" si="3402">"Approved"</f>
        <v>Approved</v>
      </c>
      <c r="T8327" t="str">
        <f t="shared" si="3390"/>
        <v>10.20.8.188</v>
      </c>
      <c r="U8327" t="str">
        <f t="shared" ref="U8327:U8390" si="3403">"AZRAD UMAR BIN SHAARI"</f>
        <v>AZRAD UMAR BIN SHAARI</v>
      </c>
      <c r="V8327" t="str">
        <f t="shared" ref="V8327:V8390" si="3404">"FARHANA BINTI MUSTAPA"</f>
        <v>FARHANA BINTI MUSTAPA</v>
      </c>
      <c r="W8327" t="str">
        <f t="shared" ref="W8327:W8390" si="3405">"04-08-2020"</f>
        <v>04-08-2020</v>
      </c>
      <c r="X8327" t="str">
        <f t="shared" ref="X8327:X8390" si="3406">"RAZIMAH ANSAR AHMAD"</f>
        <v>RAZIMAH ANSAR AHMAD</v>
      </c>
      <c r="Y8327" t="str">
        <f t="shared" ref="Y8327:Y8390" si="3407">"04-08-2020"</f>
        <v>04-08-2020</v>
      </c>
      <c r="Z8327" t="str">
        <f>"COS10200804 827"</f>
        <v>COS10200804 827</v>
      </c>
    </row>
    <row r="8328" spans="1:26" x14ac:dyDescent="0.25">
      <c r="A8328" t="str">
        <f t="shared" si="3393"/>
        <v>04-08-2020 12:31:21</v>
      </c>
      <c r="B8328" t="str">
        <f>"0000802569"</f>
        <v>0000802569</v>
      </c>
      <c r="C8328" t="str">
        <f t="shared" si="3394"/>
        <v>0000802543</v>
      </c>
      <c r="D8328" t="str">
        <f t="shared" si="3395"/>
        <v>73185</v>
      </c>
      <c r="E8328" t="str">
        <f t="shared" si="3396"/>
        <v>KFH-OPERATIONS DEPARTMENT</v>
      </c>
      <c r="F8328" t="str">
        <f t="shared" si="3397"/>
        <v>IBG</v>
      </c>
      <c r="G8328" t="str">
        <f t="shared" si="3383"/>
        <v>Refund COSHARE 10</v>
      </c>
      <c r="H8328" s="2">
        <v>134</v>
      </c>
      <c r="I8328" t="str">
        <f>"ABDUL RAHMAN BIN JUNSIN"</f>
        <v>ABDUL RAHMAN BIN JUNSIN</v>
      </c>
      <c r="J8328" t="str">
        <f t="shared" si="3388"/>
        <v>BANK KERJASAMA RAKYAT</v>
      </c>
      <c r="K8328" t="str">
        <f>"220401163599"</f>
        <v>220401163599</v>
      </c>
      <c r="L8328" t="str">
        <f t="shared" si="3398"/>
        <v>04-08-2020</v>
      </c>
      <c r="M8328" t="str">
        <f t="shared" si="3398"/>
        <v>04-08-2020</v>
      </c>
      <c r="N8328" t="str">
        <f t="shared" si="3399"/>
        <v>001105018356</v>
      </c>
      <c r="O8328" t="str">
        <f t="shared" si="3400"/>
        <v>MYR</v>
      </c>
      <c r="P8328" t="str">
        <f t="shared" si="3401"/>
        <v>NIL</v>
      </c>
      <c r="Q8328" t="str">
        <f t="shared" si="3401"/>
        <v>NIL</v>
      </c>
      <c r="R8328" t="str">
        <f t="shared" si="3389"/>
        <v>Accepted</v>
      </c>
      <c r="S8328" t="str">
        <f t="shared" si="3402"/>
        <v>Approved</v>
      </c>
      <c r="T8328" t="str">
        <f t="shared" si="3390"/>
        <v>10.20.8.188</v>
      </c>
      <c r="U8328" t="str">
        <f t="shared" si="3403"/>
        <v>AZRAD UMAR BIN SHAARI</v>
      </c>
      <c r="V8328" t="str">
        <f t="shared" si="3404"/>
        <v>FARHANA BINTI MUSTAPA</v>
      </c>
      <c r="W8328" t="str">
        <f t="shared" si="3405"/>
        <v>04-08-2020</v>
      </c>
      <c r="X8328" t="str">
        <f t="shared" si="3406"/>
        <v>RAZIMAH ANSAR AHMAD</v>
      </c>
      <c r="Y8328" t="str">
        <f t="shared" si="3407"/>
        <v>04-08-2020</v>
      </c>
      <c r="Z8328" t="str">
        <f>"COS10200804 826"</f>
        <v>COS10200804 826</v>
      </c>
    </row>
    <row r="8329" spans="1:26" x14ac:dyDescent="0.25">
      <c r="A8329" t="str">
        <f t="shared" si="3393"/>
        <v>04-08-2020 12:31:21</v>
      </c>
      <c r="B8329" t="str">
        <f>"0000802568"</f>
        <v>0000802568</v>
      </c>
      <c r="C8329" t="str">
        <f t="shared" si="3394"/>
        <v>0000802543</v>
      </c>
      <c r="D8329" t="str">
        <f t="shared" si="3395"/>
        <v>73185</v>
      </c>
      <c r="E8329" t="str">
        <f t="shared" si="3396"/>
        <v>KFH-OPERATIONS DEPARTMENT</v>
      </c>
      <c r="F8329" t="str">
        <f t="shared" si="3397"/>
        <v>IBG</v>
      </c>
      <c r="G8329" t="str">
        <f t="shared" si="3383"/>
        <v>Refund COSHARE 10</v>
      </c>
      <c r="H8329" s="2">
        <v>196.5</v>
      </c>
      <c r="I8329" t="str">
        <f>"ABDUL LATIF BIN SANUSI"</f>
        <v>ABDUL LATIF BIN SANUSI</v>
      </c>
      <c r="J8329" t="str">
        <f t="shared" si="3388"/>
        <v>BANK KERJASAMA RAKYAT</v>
      </c>
      <c r="K8329" t="str">
        <f>"220311165891"</f>
        <v>220311165891</v>
      </c>
      <c r="L8329" t="str">
        <f t="shared" si="3398"/>
        <v>04-08-2020</v>
      </c>
      <c r="M8329" t="str">
        <f t="shared" si="3398"/>
        <v>04-08-2020</v>
      </c>
      <c r="N8329" t="str">
        <f t="shared" si="3399"/>
        <v>001105018356</v>
      </c>
      <c r="O8329" t="str">
        <f t="shared" si="3400"/>
        <v>MYR</v>
      </c>
      <c r="P8329" t="str">
        <f t="shared" si="3401"/>
        <v>NIL</v>
      </c>
      <c r="Q8329" t="str">
        <f t="shared" si="3401"/>
        <v>NIL</v>
      </c>
      <c r="R8329" t="str">
        <f t="shared" si="3389"/>
        <v>Accepted</v>
      </c>
      <c r="S8329" t="str">
        <f t="shared" si="3402"/>
        <v>Approved</v>
      </c>
      <c r="T8329" t="str">
        <f t="shared" si="3390"/>
        <v>10.20.8.188</v>
      </c>
      <c r="U8329" t="str">
        <f t="shared" si="3403"/>
        <v>AZRAD UMAR BIN SHAARI</v>
      </c>
      <c r="V8329" t="str">
        <f t="shared" si="3404"/>
        <v>FARHANA BINTI MUSTAPA</v>
      </c>
      <c r="W8329" t="str">
        <f t="shared" si="3405"/>
        <v>04-08-2020</v>
      </c>
      <c r="X8329" t="str">
        <f t="shared" si="3406"/>
        <v>RAZIMAH ANSAR AHMAD</v>
      </c>
      <c r="Y8329" t="str">
        <f t="shared" si="3407"/>
        <v>04-08-2020</v>
      </c>
      <c r="Z8329" t="str">
        <f>"COS10200804 825"</f>
        <v>COS10200804 825</v>
      </c>
    </row>
    <row r="8330" spans="1:26" x14ac:dyDescent="0.25">
      <c r="A8330" t="str">
        <f t="shared" si="3393"/>
        <v>04-08-2020 12:31:21</v>
      </c>
      <c r="B8330" t="str">
        <f>"0000802567"</f>
        <v>0000802567</v>
      </c>
      <c r="C8330" t="str">
        <f t="shared" si="3394"/>
        <v>0000802543</v>
      </c>
      <c r="D8330" t="str">
        <f t="shared" si="3395"/>
        <v>73185</v>
      </c>
      <c r="E8330" t="str">
        <f t="shared" si="3396"/>
        <v>KFH-OPERATIONS DEPARTMENT</v>
      </c>
      <c r="F8330" t="str">
        <f t="shared" si="3397"/>
        <v>IBG</v>
      </c>
      <c r="G8330" t="str">
        <f t="shared" si="3383"/>
        <v>Refund COSHARE 10</v>
      </c>
      <c r="H8330" s="2">
        <v>195.15</v>
      </c>
      <c r="I8330" t="str">
        <f>"ABDUL HALIM BIN SERUJI"</f>
        <v>ABDUL HALIM BIN SERUJI</v>
      </c>
      <c r="J8330" t="str">
        <f t="shared" si="3388"/>
        <v>BANK KERJASAMA RAKYAT</v>
      </c>
      <c r="K8330" t="str">
        <f>"220781046727"</f>
        <v>220781046727</v>
      </c>
      <c r="L8330" t="str">
        <f t="shared" si="3398"/>
        <v>04-08-2020</v>
      </c>
      <c r="M8330" t="str">
        <f t="shared" si="3398"/>
        <v>04-08-2020</v>
      </c>
      <c r="N8330" t="str">
        <f t="shared" si="3399"/>
        <v>001105018356</v>
      </c>
      <c r="O8330" t="str">
        <f t="shared" si="3400"/>
        <v>MYR</v>
      </c>
      <c r="P8330" t="str">
        <f t="shared" si="3401"/>
        <v>NIL</v>
      </c>
      <c r="Q8330" t="str">
        <f t="shared" si="3401"/>
        <v>NIL</v>
      </c>
      <c r="R8330" t="str">
        <f t="shared" si="3389"/>
        <v>Accepted</v>
      </c>
      <c r="S8330" t="str">
        <f t="shared" si="3402"/>
        <v>Approved</v>
      </c>
      <c r="T8330" t="str">
        <f t="shared" si="3390"/>
        <v>10.20.8.188</v>
      </c>
      <c r="U8330" t="str">
        <f t="shared" si="3403"/>
        <v>AZRAD UMAR BIN SHAARI</v>
      </c>
      <c r="V8330" t="str">
        <f t="shared" si="3404"/>
        <v>FARHANA BINTI MUSTAPA</v>
      </c>
      <c r="W8330" t="str">
        <f t="shared" si="3405"/>
        <v>04-08-2020</v>
      </c>
      <c r="X8330" t="str">
        <f t="shared" si="3406"/>
        <v>RAZIMAH ANSAR AHMAD</v>
      </c>
      <c r="Y8330" t="str">
        <f t="shared" si="3407"/>
        <v>04-08-2020</v>
      </c>
      <c r="Z8330" t="str">
        <f>"COS10200804 824"</f>
        <v>COS10200804 824</v>
      </c>
    </row>
    <row r="8331" spans="1:26" x14ac:dyDescent="0.25">
      <c r="A8331" t="str">
        <f t="shared" si="3393"/>
        <v>04-08-2020 12:31:21</v>
      </c>
      <c r="B8331" t="str">
        <f>"0000802566"</f>
        <v>0000802566</v>
      </c>
      <c r="C8331" t="str">
        <f t="shared" si="3394"/>
        <v>0000802543</v>
      </c>
      <c r="D8331" t="str">
        <f t="shared" si="3395"/>
        <v>73185</v>
      </c>
      <c r="E8331" t="str">
        <f t="shared" si="3396"/>
        <v>KFH-OPERATIONS DEPARTMENT</v>
      </c>
      <c r="F8331" t="str">
        <f t="shared" si="3397"/>
        <v>IBG</v>
      </c>
      <c r="G8331" t="str">
        <f t="shared" si="3383"/>
        <v>Refund COSHARE 10</v>
      </c>
      <c r="H8331" s="2">
        <v>587.65</v>
      </c>
      <c r="I8331" t="str">
        <f>"ABDUL AZIZ BIN ABDUL GHANI"</f>
        <v>ABDUL AZIZ BIN ABDUL GHANI</v>
      </c>
      <c r="J8331" t="str">
        <f t="shared" si="3388"/>
        <v>BANK KERJASAMA RAKYAT</v>
      </c>
      <c r="K8331" t="str">
        <f>"220861249551"</f>
        <v>220861249551</v>
      </c>
      <c r="L8331" t="str">
        <f t="shared" si="3398"/>
        <v>04-08-2020</v>
      </c>
      <c r="M8331" t="str">
        <f t="shared" si="3398"/>
        <v>04-08-2020</v>
      </c>
      <c r="N8331" t="str">
        <f t="shared" si="3399"/>
        <v>001105018356</v>
      </c>
      <c r="O8331" t="str">
        <f t="shared" si="3400"/>
        <v>MYR</v>
      </c>
      <c r="P8331" t="str">
        <f t="shared" si="3401"/>
        <v>NIL</v>
      </c>
      <c r="Q8331" t="str">
        <f t="shared" si="3401"/>
        <v>NIL</v>
      </c>
      <c r="R8331" t="str">
        <f t="shared" si="3389"/>
        <v>Accepted</v>
      </c>
      <c r="S8331" t="str">
        <f t="shared" si="3402"/>
        <v>Approved</v>
      </c>
      <c r="T8331" t="str">
        <f t="shared" si="3390"/>
        <v>10.20.8.188</v>
      </c>
      <c r="U8331" t="str">
        <f t="shared" si="3403"/>
        <v>AZRAD UMAR BIN SHAARI</v>
      </c>
      <c r="V8331" t="str">
        <f t="shared" si="3404"/>
        <v>FARHANA BINTI MUSTAPA</v>
      </c>
      <c r="W8331" t="str">
        <f t="shared" si="3405"/>
        <v>04-08-2020</v>
      </c>
      <c r="X8331" t="str">
        <f t="shared" si="3406"/>
        <v>RAZIMAH ANSAR AHMAD</v>
      </c>
      <c r="Y8331" t="str">
        <f t="shared" si="3407"/>
        <v>04-08-2020</v>
      </c>
      <c r="Z8331" t="str">
        <f>"COS10200804 823"</f>
        <v>COS10200804 823</v>
      </c>
    </row>
    <row r="8332" spans="1:26" x14ac:dyDescent="0.25">
      <c r="A8332" t="str">
        <f t="shared" si="3393"/>
        <v>04-08-2020 12:31:21</v>
      </c>
      <c r="B8332" t="str">
        <f>"0000802565"</f>
        <v>0000802565</v>
      </c>
      <c r="C8332" t="str">
        <f t="shared" si="3394"/>
        <v>0000802543</v>
      </c>
      <c r="D8332" t="str">
        <f t="shared" si="3395"/>
        <v>73185</v>
      </c>
      <c r="E8332" t="str">
        <f t="shared" si="3396"/>
        <v>KFH-OPERATIONS DEPARTMENT</v>
      </c>
      <c r="F8332" t="str">
        <f t="shared" si="3397"/>
        <v>IBG</v>
      </c>
      <c r="G8332" t="str">
        <f t="shared" ref="G8332:G8395" si="3408">"Refund COSHARE 10"</f>
        <v>Refund COSHARE 10</v>
      </c>
      <c r="H8332" s="2">
        <v>165.15</v>
      </c>
      <c r="I8332" t="str">
        <f>"AHAMID BIN AHMAD"</f>
        <v>AHAMID BIN AHMAD</v>
      </c>
      <c r="J8332" t="str">
        <f t="shared" si="3388"/>
        <v>BANK KERJASAMA RAKYAT</v>
      </c>
      <c r="K8332" t="str">
        <f>"220161314313"</f>
        <v>220161314313</v>
      </c>
      <c r="L8332" t="str">
        <f t="shared" si="3398"/>
        <v>04-08-2020</v>
      </c>
      <c r="M8332" t="str">
        <f t="shared" si="3398"/>
        <v>04-08-2020</v>
      </c>
      <c r="N8332" t="str">
        <f t="shared" si="3399"/>
        <v>001105018356</v>
      </c>
      <c r="O8332" t="str">
        <f t="shared" si="3400"/>
        <v>MYR</v>
      </c>
      <c r="P8332" t="str">
        <f t="shared" si="3401"/>
        <v>NIL</v>
      </c>
      <c r="Q8332" t="str">
        <f t="shared" si="3401"/>
        <v>NIL</v>
      </c>
      <c r="R8332" t="str">
        <f t="shared" si="3389"/>
        <v>Accepted</v>
      </c>
      <c r="S8332" t="str">
        <f t="shared" si="3402"/>
        <v>Approved</v>
      </c>
      <c r="T8332" t="str">
        <f t="shared" si="3390"/>
        <v>10.20.8.188</v>
      </c>
      <c r="U8332" t="str">
        <f t="shared" si="3403"/>
        <v>AZRAD UMAR BIN SHAARI</v>
      </c>
      <c r="V8332" t="str">
        <f t="shared" si="3404"/>
        <v>FARHANA BINTI MUSTAPA</v>
      </c>
      <c r="W8332" t="str">
        <f t="shared" si="3405"/>
        <v>04-08-2020</v>
      </c>
      <c r="X8332" t="str">
        <f t="shared" si="3406"/>
        <v>RAZIMAH ANSAR AHMAD</v>
      </c>
      <c r="Y8332" t="str">
        <f t="shared" si="3407"/>
        <v>04-08-2020</v>
      </c>
      <c r="Z8332" t="str">
        <f>"COS10200804 822"</f>
        <v>COS10200804 822</v>
      </c>
    </row>
    <row r="8333" spans="1:26" x14ac:dyDescent="0.25">
      <c r="A8333" t="str">
        <f t="shared" si="3393"/>
        <v>04-08-2020 12:31:21</v>
      </c>
      <c r="B8333" t="str">
        <f>"0000802564"</f>
        <v>0000802564</v>
      </c>
      <c r="C8333" t="str">
        <f t="shared" si="3394"/>
        <v>0000802543</v>
      </c>
      <c r="D8333" t="str">
        <f t="shared" si="3395"/>
        <v>73185</v>
      </c>
      <c r="E8333" t="str">
        <f t="shared" si="3396"/>
        <v>KFH-OPERATIONS DEPARTMENT</v>
      </c>
      <c r="F8333" t="str">
        <f t="shared" si="3397"/>
        <v>IBG</v>
      </c>
      <c r="G8333" t="str">
        <f t="shared" si="3408"/>
        <v>Refund COSHARE 10</v>
      </c>
      <c r="H8333" s="2">
        <v>481.35</v>
      </c>
      <c r="I8333" t="str">
        <f>"ZURAIDA BINTI DESA"</f>
        <v>ZURAIDA BINTI DESA</v>
      </c>
      <c r="J8333" t="str">
        <f t="shared" ref="J8333:J8353" si="3409">"BANK MUAMALAT MALAYSIA BERHAD"</f>
        <v>BANK MUAMALAT MALAYSIA BERHAD</v>
      </c>
      <c r="K8333" t="str">
        <f>"09010007725721"</f>
        <v>09010007725721</v>
      </c>
      <c r="L8333" t="str">
        <f t="shared" si="3398"/>
        <v>04-08-2020</v>
      </c>
      <c r="M8333" t="str">
        <f t="shared" si="3398"/>
        <v>04-08-2020</v>
      </c>
      <c r="N8333" t="str">
        <f t="shared" si="3399"/>
        <v>001105018356</v>
      </c>
      <c r="O8333" t="str">
        <f t="shared" si="3400"/>
        <v>MYR</v>
      </c>
      <c r="P8333" t="str">
        <f t="shared" si="3401"/>
        <v>NIL</v>
      </c>
      <c r="Q8333" t="str">
        <f t="shared" si="3401"/>
        <v>NIL</v>
      </c>
      <c r="R8333" t="str">
        <f t="shared" si="3389"/>
        <v>Accepted</v>
      </c>
      <c r="S8333" t="str">
        <f t="shared" si="3402"/>
        <v>Approved</v>
      </c>
      <c r="T8333" t="str">
        <f t="shared" si="3390"/>
        <v>10.20.8.188</v>
      </c>
      <c r="U8333" t="str">
        <f t="shared" si="3403"/>
        <v>AZRAD UMAR BIN SHAARI</v>
      </c>
      <c r="V8333" t="str">
        <f t="shared" si="3404"/>
        <v>FARHANA BINTI MUSTAPA</v>
      </c>
      <c r="W8333" t="str">
        <f t="shared" si="3405"/>
        <v>04-08-2020</v>
      </c>
      <c r="X8333" t="str">
        <f t="shared" si="3406"/>
        <v>RAZIMAH ANSAR AHMAD</v>
      </c>
      <c r="Y8333" t="str">
        <f t="shared" si="3407"/>
        <v>04-08-2020</v>
      </c>
      <c r="Z8333" t="str">
        <f>"COS10200804 821"</f>
        <v>COS10200804 821</v>
      </c>
    </row>
    <row r="8334" spans="1:26" x14ac:dyDescent="0.25">
      <c r="A8334" t="str">
        <f t="shared" si="3393"/>
        <v>04-08-2020 12:31:21</v>
      </c>
      <c r="B8334" t="str">
        <f>"0000802563"</f>
        <v>0000802563</v>
      </c>
      <c r="C8334" t="str">
        <f t="shared" si="3394"/>
        <v>0000802543</v>
      </c>
      <c r="D8334" t="str">
        <f t="shared" si="3395"/>
        <v>73185</v>
      </c>
      <c r="E8334" t="str">
        <f t="shared" si="3396"/>
        <v>KFH-OPERATIONS DEPARTMENT</v>
      </c>
      <c r="F8334" t="str">
        <f t="shared" si="3397"/>
        <v>IBG</v>
      </c>
      <c r="G8334" t="str">
        <f t="shared" si="3408"/>
        <v>Refund COSHARE 10</v>
      </c>
      <c r="H8334" s="2">
        <v>95</v>
      </c>
      <c r="I8334" t="str">
        <f>"ZULKIPLI BIN ABDULLAH"</f>
        <v>ZULKIPLI BIN ABDULLAH</v>
      </c>
      <c r="J8334" t="str">
        <f t="shared" si="3409"/>
        <v>BANK MUAMALAT MALAYSIA BERHAD</v>
      </c>
      <c r="K8334" t="str">
        <f>"03010077143729"</f>
        <v>03010077143729</v>
      </c>
      <c r="L8334" t="str">
        <f t="shared" si="3398"/>
        <v>04-08-2020</v>
      </c>
      <c r="M8334" t="str">
        <f t="shared" si="3398"/>
        <v>04-08-2020</v>
      </c>
      <c r="N8334" t="str">
        <f t="shared" si="3399"/>
        <v>001105018356</v>
      </c>
      <c r="O8334" t="str">
        <f t="shared" si="3400"/>
        <v>MYR</v>
      </c>
      <c r="P8334" t="str">
        <f t="shared" si="3401"/>
        <v>NIL</v>
      </c>
      <c r="Q8334" t="str">
        <f t="shared" si="3401"/>
        <v>NIL</v>
      </c>
      <c r="R8334" t="str">
        <f t="shared" si="3389"/>
        <v>Accepted</v>
      </c>
      <c r="S8334" t="str">
        <f t="shared" si="3402"/>
        <v>Approved</v>
      </c>
      <c r="T8334" t="str">
        <f t="shared" si="3390"/>
        <v>10.20.8.188</v>
      </c>
      <c r="U8334" t="str">
        <f t="shared" si="3403"/>
        <v>AZRAD UMAR BIN SHAARI</v>
      </c>
      <c r="V8334" t="str">
        <f t="shared" si="3404"/>
        <v>FARHANA BINTI MUSTAPA</v>
      </c>
      <c r="W8334" t="str">
        <f t="shared" si="3405"/>
        <v>04-08-2020</v>
      </c>
      <c r="X8334" t="str">
        <f t="shared" si="3406"/>
        <v>RAZIMAH ANSAR AHMAD</v>
      </c>
      <c r="Y8334" t="str">
        <f t="shared" si="3407"/>
        <v>04-08-2020</v>
      </c>
      <c r="Z8334" t="str">
        <f>"COS10200804 820"</f>
        <v>COS10200804 820</v>
      </c>
    </row>
    <row r="8335" spans="1:26" x14ac:dyDescent="0.25">
      <c r="A8335" t="str">
        <f t="shared" si="3393"/>
        <v>04-08-2020 12:31:21</v>
      </c>
      <c r="B8335" t="str">
        <f>"0000802562"</f>
        <v>0000802562</v>
      </c>
      <c r="C8335" t="str">
        <f t="shared" si="3394"/>
        <v>0000802543</v>
      </c>
      <c r="D8335" t="str">
        <f t="shared" si="3395"/>
        <v>73185</v>
      </c>
      <c r="E8335" t="str">
        <f t="shared" si="3396"/>
        <v>KFH-OPERATIONS DEPARTMENT</v>
      </c>
      <c r="F8335" t="str">
        <f t="shared" si="3397"/>
        <v>IBG</v>
      </c>
      <c r="G8335" t="str">
        <f t="shared" si="3408"/>
        <v>Refund COSHARE 10</v>
      </c>
      <c r="H8335" s="2">
        <v>1715.7</v>
      </c>
      <c r="I8335" t="str">
        <f>"ZARIFAH BINTI MOHAMED SAID"</f>
        <v>ZARIFAH BINTI MOHAMED SAID</v>
      </c>
      <c r="J8335" t="str">
        <f t="shared" si="3409"/>
        <v>BANK MUAMALAT MALAYSIA BERHAD</v>
      </c>
      <c r="K8335" t="str">
        <f>"12070014173729"</f>
        <v>12070014173729</v>
      </c>
      <c r="L8335" t="str">
        <f t="shared" si="3398"/>
        <v>04-08-2020</v>
      </c>
      <c r="M8335" t="str">
        <f t="shared" si="3398"/>
        <v>04-08-2020</v>
      </c>
      <c r="N8335" t="str">
        <f t="shared" si="3399"/>
        <v>001105018356</v>
      </c>
      <c r="O8335" t="str">
        <f t="shared" si="3400"/>
        <v>MYR</v>
      </c>
      <c r="P8335" t="str">
        <f t="shared" si="3401"/>
        <v>NIL</v>
      </c>
      <c r="Q8335" t="str">
        <f t="shared" si="3401"/>
        <v>NIL</v>
      </c>
      <c r="R8335" t="str">
        <f t="shared" si="3389"/>
        <v>Accepted</v>
      </c>
      <c r="S8335" t="str">
        <f t="shared" si="3402"/>
        <v>Approved</v>
      </c>
      <c r="T8335" t="str">
        <f t="shared" si="3390"/>
        <v>10.20.8.188</v>
      </c>
      <c r="U8335" t="str">
        <f t="shared" si="3403"/>
        <v>AZRAD UMAR BIN SHAARI</v>
      </c>
      <c r="V8335" t="str">
        <f t="shared" si="3404"/>
        <v>FARHANA BINTI MUSTAPA</v>
      </c>
      <c r="W8335" t="str">
        <f t="shared" si="3405"/>
        <v>04-08-2020</v>
      </c>
      <c r="X8335" t="str">
        <f t="shared" si="3406"/>
        <v>RAZIMAH ANSAR AHMAD</v>
      </c>
      <c r="Y8335" t="str">
        <f t="shared" si="3407"/>
        <v>04-08-2020</v>
      </c>
      <c r="Z8335" t="str">
        <f>"COS10200804 819"</f>
        <v>COS10200804 819</v>
      </c>
    </row>
    <row r="8336" spans="1:26" x14ac:dyDescent="0.25">
      <c r="A8336" t="str">
        <f t="shared" si="3393"/>
        <v>04-08-2020 12:31:21</v>
      </c>
      <c r="B8336" t="str">
        <f>"0000802561"</f>
        <v>0000802561</v>
      </c>
      <c r="C8336" t="str">
        <f t="shared" si="3394"/>
        <v>0000802543</v>
      </c>
      <c r="D8336" t="str">
        <f t="shared" si="3395"/>
        <v>73185</v>
      </c>
      <c r="E8336" t="str">
        <f t="shared" si="3396"/>
        <v>KFH-OPERATIONS DEPARTMENT</v>
      </c>
      <c r="F8336" t="str">
        <f t="shared" si="3397"/>
        <v>IBG</v>
      </c>
      <c r="G8336" t="str">
        <f t="shared" si="3408"/>
        <v>Refund COSHARE 10</v>
      </c>
      <c r="H8336" s="2">
        <v>987</v>
      </c>
      <c r="I8336" t="str">
        <f>"ZAIRINA BINTI ZAINURAIN"</f>
        <v>ZAIRINA BINTI ZAINURAIN</v>
      </c>
      <c r="J8336" t="str">
        <f t="shared" si="3409"/>
        <v>BANK MUAMALAT MALAYSIA BERHAD</v>
      </c>
      <c r="K8336" t="str">
        <f>"11010028898728"</f>
        <v>11010028898728</v>
      </c>
      <c r="L8336" t="str">
        <f t="shared" si="3398"/>
        <v>04-08-2020</v>
      </c>
      <c r="M8336" t="str">
        <f t="shared" si="3398"/>
        <v>04-08-2020</v>
      </c>
      <c r="N8336" t="str">
        <f t="shared" si="3399"/>
        <v>001105018356</v>
      </c>
      <c r="O8336" t="str">
        <f t="shared" si="3400"/>
        <v>MYR</v>
      </c>
      <c r="P8336" t="str">
        <f t="shared" si="3401"/>
        <v>NIL</v>
      </c>
      <c r="Q8336" t="str">
        <f t="shared" si="3401"/>
        <v>NIL</v>
      </c>
      <c r="R8336" t="str">
        <f t="shared" si="3389"/>
        <v>Accepted</v>
      </c>
      <c r="S8336" t="str">
        <f t="shared" si="3402"/>
        <v>Approved</v>
      </c>
      <c r="T8336" t="str">
        <f t="shared" si="3390"/>
        <v>10.20.8.188</v>
      </c>
      <c r="U8336" t="str">
        <f t="shared" si="3403"/>
        <v>AZRAD UMAR BIN SHAARI</v>
      </c>
      <c r="V8336" t="str">
        <f t="shared" si="3404"/>
        <v>FARHANA BINTI MUSTAPA</v>
      </c>
      <c r="W8336" t="str">
        <f t="shared" si="3405"/>
        <v>04-08-2020</v>
      </c>
      <c r="X8336" t="str">
        <f t="shared" si="3406"/>
        <v>RAZIMAH ANSAR AHMAD</v>
      </c>
      <c r="Y8336" t="str">
        <f t="shared" si="3407"/>
        <v>04-08-2020</v>
      </c>
      <c r="Z8336" t="str">
        <f>"COS10200804 818"</f>
        <v>COS10200804 818</v>
      </c>
    </row>
    <row r="8337" spans="1:26" x14ac:dyDescent="0.25">
      <c r="A8337" t="str">
        <f t="shared" si="3393"/>
        <v>04-08-2020 12:31:21</v>
      </c>
      <c r="B8337" t="str">
        <f>"0000802560"</f>
        <v>0000802560</v>
      </c>
      <c r="C8337" t="str">
        <f t="shared" si="3394"/>
        <v>0000802543</v>
      </c>
      <c r="D8337" t="str">
        <f t="shared" si="3395"/>
        <v>73185</v>
      </c>
      <c r="E8337" t="str">
        <f t="shared" si="3396"/>
        <v>KFH-OPERATIONS DEPARTMENT</v>
      </c>
      <c r="F8337" t="str">
        <f t="shared" si="3397"/>
        <v>IBG</v>
      </c>
      <c r="G8337" t="str">
        <f t="shared" si="3408"/>
        <v>Refund COSHARE 10</v>
      </c>
      <c r="H8337" s="2">
        <v>311.10000000000002</v>
      </c>
      <c r="I8337" t="str">
        <f>"ZAINDON BINTI ABDUL GHANI"</f>
        <v>ZAINDON BINTI ABDUL GHANI</v>
      </c>
      <c r="J8337" t="str">
        <f t="shared" si="3409"/>
        <v>BANK MUAMALAT MALAYSIA BERHAD</v>
      </c>
      <c r="K8337" t="str">
        <f>"12070009430727"</f>
        <v>12070009430727</v>
      </c>
      <c r="L8337" t="str">
        <f t="shared" si="3398"/>
        <v>04-08-2020</v>
      </c>
      <c r="M8337" t="str">
        <f t="shared" si="3398"/>
        <v>04-08-2020</v>
      </c>
      <c r="N8337" t="str">
        <f t="shared" si="3399"/>
        <v>001105018356</v>
      </c>
      <c r="O8337" t="str">
        <f t="shared" si="3400"/>
        <v>MYR</v>
      </c>
      <c r="P8337" t="str">
        <f t="shared" si="3401"/>
        <v>NIL</v>
      </c>
      <c r="Q8337" t="str">
        <f t="shared" si="3401"/>
        <v>NIL</v>
      </c>
      <c r="R8337" t="str">
        <f t="shared" si="3389"/>
        <v>Accepted</v>
      </c>
      <c r="S8337" t="str">
        <f t="shared" si="3402"/>
        <v>Approved</v>
      </c>
      <c r="T8337" t="str">
        <f t="shared" si="3390"/>
        <v>10.20.8.188</v>
      </c>
      <c r="U8337" t="str">
        <f t="shared" si="3403"/>
        <v>AZRAD UMAR BIN SHAARI</v>
      </c>
      <c r="V8337" t="str">
        <f t="shared" si="3404"/>
        <v>FARHANA BINTI MUSTAPA</v>
      </c>
      <c r="W8337" t="str">
        <f t="shared" si="3405"/>
        <v>04-08-2020</v>
      </c>
      <c r="X8337" t="str">
        <f t="shared" si="3406"/>
        <v>RAZIMAH ANSAR AHMAD</v>
      </c>
      <c r="Y8337" t="str">
        <f t="shared" si="3407"/>
        <v>04-08-2020</v>
      </c>
      <c r="Z8337" t="str">
        <f>"COS10200804 817"</f>
        <v>COS10200804 817</v>
      </c>
    </row>
    <row r="8338" spans="1:26" x14ac:dyDescent="0.25">
      <c r="A8338" t="str">
        <f t="shared" si="3393"/>
        <v>04-08-2020 12:31:21</v>
      </c>
      <c r="B8338" t="str">
        <f>"0000802559"</f>
        <v>0000802559</v>
      </c>
      <c r="C8338" t="str">
        <f t="shared" si="3394"/>
        <v>0000802543</v>
      </c>
      <c r="D8338" t="str">
        <f t="shared" si="3395"/>
        <v>73185</v>
      </c>
      <c r="E8338" t="str">
        <f t="shared" si="3396"/>
        <v>KFH-OPERATIONS DEPARTMENT</v>
      </c>
      <c r="F8338" t="str">
        <f t="shared" si="3397"/>
        <v>IBG</v>
      </c>
      <c r="G8338" t="str">
        <f t="shared" si="3408"/>
        <v>Refund COSHARE 10</v>
      </c>
      <c r="H8338" s="2">
        <v>1328</v>
      </c>
      <c r="I8338" t="str">
        <f>"YUMAAT BIN YUSUP"</f>
        <v>YUMAAT BIN YUSUP</v>
      </c>
      <c r="J8338" t="str">
        <f t="shared" si="3409"/>
        <v>BANK MUAMALAT MALAYSIA BERHAD</v>
      </c>
      <c r="K8338" t="str">
        <f>"10010034752720"</f>
        <v>10010034752720</v>
      </c>
      <c r="L8338" t="str">
        <f t="shared" si="3398"/>
        <v>04-08-2020</v>
      </c>
      <c r="M8338" t="str">
        <f t="shared" si="3398"/>
        <v>04-08-2020</v>
      </c>
      <c r="N8338" t="str">
        <f t="shared" si="3399"/>
        <v>001105018356</v>
      </c>
      <c r="O8338" t="str">
        <f t="shared" si="3400"/>
        <v>MYR</v>
      </c>
      <c r="P8338" t="str">
        <f t="shared" si="3401"/>
        <v>NIL</v>
      </c>
      <c r="Q8338" t="str">
        <f t="shared" si="3401"/>
        <v>NIL</v>
      </c>
      <c r="R8338" t="str">
        <f t="shared" si="3389"/>
        <v>Accepted</v>
      </c>
      <c r="S8338" t="str">
        <f t="shared" si="3402"/>
        <v>Approved</v>
      </c>
      <c r="T8338" t="str">
        <f t="shared" si="3390"/>
        <v>10.20.8.188</v>
      </c>
      <c r="U8338" t="str">
        <f t="shared" si="3403"/>
        <v>AZRAD UMAR BIN SHAARI</v>
      </c>
      <c r="V8338" t="str">
        <f t="shared" si="3404"/>
        <v>FARHANA BINTI MUSTAPA</v>
      </c>
      <c r="W8338" t="str">
        <f t="shared" si="3405"/>
        <v>04-08-2020</v>
      </c>
      <c r="X8338" t="str">
        <f t="shared" si="3406"/>
        <v>RAZIMAH ANSAR AHMAD</v>
      </c>
      <c r="Y8338" t="str">
        <f t="shared" si="3407"/>
        <v>04-08-2020</v>
      </c>
      <c r="Z8338" t="str">
        <f>"COS10200804 816"</f>
        <v>COS10200804 816</v>
      </c>
    </row>
    <row r="8339" spans="1:26" x14ac:dyDescent="0.25">
      <c r="A8339" t="str">
        <f t="shared" si="3393"/>
        <v>04-08-2020 12:31:21</v>
      </c>
      <c r="B8339" t="str">
        <f>"0000802558"</f>
        <v>0000802558</v>
      </c>
      <c r="C8339" t="str">
        <f t="shared" si="3394"/>
        <v>0000802543</v>
      </c>
      <c r="D8339" t="str">
        <f t="shared" si="3395"/>
        <v>73185</v>
      </c>
      <c r="E8339" t="str">
        <f t="shared" si="3396"/>
        <v>KFH-OPERATIONS DEPARTMENT</v>
      </c>
      <c r="F8339" t="str">
        <f t="shared" si="3397"/>
        <v>IBG</v>
      </c>
      <c r="G8339" t="str">
        <f t="shared" si="3408"/>
        <v>Refund COSHARE 10</v>
      </c>
      <c r="H8339" s="2">
        <v>381.3</v>
      </c>
      <c r="I8339" t="str">
        <f>"YUMAAT BIN YUSUP"</f>
        <v>YUMAAT BIN YUSUP</v>
      </c>
      <c r="J8339" t="str">
        <f t="shared" si="3409"/>
        <v>BANK MUAMALAT MALAYSIA BERHAD</v>
      </c>
      <c r="K8339" t="str">
        <f>"10010034752720"</f>
        <v>10010034752720</v>
      </c>
      <c r="L8339" t="str">
        <f t="shared" si="3398"/>
        <v>04-08-2020</v>
      </c>
      <c r="M8339" t="str">
        <f t="shared" si="3398"/>
        <v>04-08-2020</v>
      </c>
      <c r="N8339" t="str">
        <f t="shared" si="3399"/>
        <v>001105018356</v>
      </c>
      <c r="O8339" t="str">
        <f t="shared" si="3400"/>
        <v>MYR</v>
      </c>
      <c r="P8339" t="str">
        <f t="shared" si="3401"/>
        <v>NIL</v>
      </c>
      <c r="Q8339" t="str">
        <f t="shared" si="3401"/>
        <v>NIL</v>
      </c>
      <c r="R8339" t="str">
        <f t="shared" si="3389"/>
        <v>Accepted</v>
      </c>
      <c r="S8339" t="str">
        <f t="shared" si="3402"/>
        <v>Approved</v>
      </c>
      <c r="T8339" t="str">
        <f t="shared" si="3390"/>
        <v>10.20.8.188</v>
      </c>
      <c r="U8339" t="str">
        <f t="shared" si="3403"/>
        <v>AZRAD UMAR BIN SHAARI</v>
      </c>
      <c r="V8339" t="str">
        <f t="shared" si="3404"/>
        <v>FARHANA BINTI MUSTAPA</v>
      </c>
      <c r="W8339" t="str">
        <f t="shared" si="3405"/>
        <v>04-08-2020</v>
      </c>
      <c r="X8339" t="str">
        <f t="shared" si="3406"/>
        <v>RAZIMAH ANSAR AHMAD</v>
      </c>
      <c r="Y8339" t="str">
        <f t="shared" si="3407"/>
        <v>04-08-2020</v>
      </c>
      <c r="Z8339" t="str">
        <f>"COS10200804 815"</f>
        <v>COS10200804 815</v>
      </c>
    </row>
    <row r="8340" spans="1:26" x14ac:dyDescent="0.25">
      <c r="A8340" t="str">
        <f t="shared" si="3393"/>
        <v>04-08-2020 12:31:21</v>
      </c>
      <c r="B8340" t="str">
        <f>"0000802557"</f>
        <v>0000802557</v>
      </c>
      <c r="C8340" t="str">
        <f t="shared" si="3394"/>
        <v>0000802543</v>
      </c>
      <c r="D8340" t="str">
        <f t="shared" si="3395"/>
        <v>73185</v>
      </c>
      <c r="E8340" t="str">
        <f t="shared" si="3396"/>
        <v>KFH-OPERATIONS DEPARTMENT</v>
      </c>
      <c r="F8340" t="str">
        <f t="shared" si="3397"/>
        <v>IBG</v>
      </c>
      <c r="G8340" t="str">
        <f t="shared" si="3408"/>
        <v>Refund COSHARE 10</v>
      </c>
      <c r="H8340" s="2">
        <v>380</v>
      </c>
      <c r="I8340" t="str">
        <f>"WAN SANIAH BINTI WAN YAHYA"</f>
        <v>WAN SANIAH BINTI WAN YAHYA</v>
      </c>
      <c r="J8340" t="str">
        <f t="shared" si="3409"/>
        <v>BANK MUAMALAT MALAYSIA BERHAD</v>
      </c>
      <c r="K8340" t="str">
        <f>"09010015555726"</f>
        <v>09010015555726</v>
      </c>
      <c r="L8340" t="str">
        <f t="shared" si="3398"/>
        <v>04-08-2020</v>
      </c>
      <c r="M8340" t="str">
        <f t="shared" si="3398"/>
        <v>04-08-2020</v>
      </c>
      <c r="N8340" t="str">
        <f t="shared" si="3399"/>
        <v>001105018356</v>
      </c>
      <c r="O8340" t="str">
        <f t="shared" si="3400"/>
        <v>MYR</v>
      </c>
      <c r="P8340" t="str">
        <f t="shared" si="3401"/>
        <v>NIL</v>
      </c>
      <c r="Q8340" t="str">
        <f t="shared" si="3401"/>
        <v>NIL</v>
      </c>
      <c r="R8340" t="str">
        <f t="shared" si="3389"/>
        <v>Accepted</v>
      </c>
      <c r="S8340" t="str">
        <f t="shared" si="3402"/>
        <v>Approved</v>
      </c>
      <c r="T8340" t="str">
        <f t="shared" si="3390"/>
        <v>10.20.8.188</v>
      </c>
      <c r="U8340" t="str">
        <f t="shared" si="3403"/>
        <v>AZRAD UMAR BIN SHAARI</v>
      </c>
      <c r="V8340" t="str">
        <f t="shared" si="3404"/>
        <v>FARHANA BINTI MUSTAPA</v>
      </c>
      <c r="W8340" t="str">
        <f t="shared" si="3405"/>
        <v>04-08-2020</v>
      </c>
      <c r="X8340" t="str">
        <f t="shared" si="3406"/>
        <v>RAZIMAH ANSAR AHMAD</v>
      </c>
      <c r="Y8340" t="str">
        <f t="shared" si="3407"/>
        <v>04-08-2020</v>
      </c>
      <c r="Z8340" t="str">
        <f>"COS10200804 814"</f>
        <v>COS10200804 814</v>
      </c>
    </row>
    <row r="8341" spans="1:26" x14ac:dyDescent="0.25">
      <c r="A8341" t="str">
        <f t="shared" si="3393"/>
        <v>04-08-2020 12:31:21</v>
      </c>
      <c r="B8341" t="str">
        <f>"0000802556"</f>
        <v>0000802556</v>
      </c>
      <c r="C8341" t="str">
        <f t="shared" si="3394"/>
        <v>0000802543</v>
      </c>
      <c r="D8341" t="str">
        <f t="shared" si="3395"/>
        <v>73185</v>
      </c>
      <c r="E8341" t="str">
        <f t="shared" si="3396"/>
        <v>KFH-OPERATIONS DEPARTMENT</v>
      </c>
      <c r="F8341" t="str">
        <f t="shared" si="3397"/>
        <v>IBG</v>
      </c>
      <c r="G8341" t="str">
        <f t="shared" si="3408"/>
        <v>Refund COSHARE 10</v>
      </c>
      <c r="H8341" s="2">
        <v>683</v>
      </c>
      <c r="I8341" t="str">
        <f>"WAN MOHD KHAIRY ADLY BIN WAN ZAIMI"</f>
        <v>WAN MOHD KHAIRY ADLY BIN WAN ZAIMI</v>
      </c>
      <c r="J8341" t="str">
        <f t="shared" si="3409"/>
        <v>BANK MUAMALAT MALAYSIA BERHAD</v>
      </c>
      <c r="K8341" t="str">
        <f>"09010018833728"</f>
        <v>09010018833728</v>
      </c>
      <c r="L8341" t="str">
        <f t="shared" si="3398"/>
        <v>04-08-2020</v>
      </c>
      <c r="M8341" t="str">
        <f t="shared" si="3398"/>
        <v>04-08-2020</v>
      </c>
      <c r="N8341" t="str">
        <f t="shared" si="3399"/>
        <v>001105018356</v>
      </c>
      <c r="O8341" t="str">
        <f t="shared" si="3400"/>
        <v>MYR</v>
      </c>
      <c r="P8341" t="str">
        <f t="shared" si="3401"/>
        <v>NIL</v>
      </c>
      <c r="Q8341" t="str">
        <f t="shared" si="3401"/>
        <v>NIL</v>
      </c>
      <c r="R8341" t="str">
        <f t="shared" si="3389"/>
        <v>Accepted</v>
      </c>
      <c r="S8341" t="str">
        <f t="shared" si="3402"/>
        <v>Approved</v>
      </c>
      <c r="T8341" t="str">
        <f t="shared" si="3390"/>
        <v>10.20.8.188</v>
      </c>
      <c r="U8341" t="str">
        <f t="shared" si="3403"/>
        <v>AZRAD UMAR BIN SHAARI</v>
      </c>
      <c r="V8341" t="str">
        <f t="shared" si="3404"/>
        <v>FARHANA BINTI MUSTAPA</v>
      </c>
      <c r="W8341" t="str">
        <f t="shared" si="3405"/>
        <v>04-08-2020</v>
      </c>
      <c r="X8341" t="str">
        <f t="shared" si="3406"/>
        <v>RAZIMAH ANSAR AHMAD</v>
      </c>
      <c r="Y8341" t="str">
        <f t="shared" si="3407"/>
        <v>04-08-2020</v>
      </c>
      <c r="Z8341" t="str">
        <f>"COS10200804 813"</f>
        <v>COS10200804 813</v>
      </c>
    </row>
    <row r="8342" spans="1:26" x14ac:dyDescent="0.25">
      <c r="A8342" t="str">
        <f t="shared" si="3393"/>
        <v>04-08-2020 12:31:21</v>
      </c>
      <c r="B8342" t="str">
        <f>"0000802555"</f>
        <v>0000802555</v>
      </c>
      <c r="C8342" t="str">
        <f t="shared" si="3394"/>
        <v>0000802543</v>
      </c>
      <c r="D8342" t="str">
        <f t="shared" si="3395"/>
        <v>73185</v>
      </c>
      <c r="E8342" t="str">
        <f t="shared" si="3396"/>
        <v>KFH-OPERATIONS DEPARTMENT</v>
      </c>
      <c r="F8342" t="str">
        <f t="shared" si="3397"/>
        <v>IBG</v>
      </c>
      <c r="G8342" t="str">
        <f t="shared" si="3408"/>
        <v>Refund COSHARE 10</v>
      </c>
      <c r="H8342" s="2">
        <v>869.8</v>
      </c>
      <c r="I8342" t="str">
        <f>"SYED HASNOL HISHAM BIN SYED IBRAHIM"</f>
        <v>SYED HASNOL HISHAM BIN SYED IBRAHIM</v>
      </c>
      <c r="J8342" t="str">
        <f t="shared" si="3409"/>
        <v>BANK MUAMALAT MALAYSIA BERHAD</v>
      </c>
      <c r="K8342" t="str">
        <f>"06010009415728"</f>
        <v>06010009415728</v>
      </c>
      <c r="L8342" t="str">
        <f t="shared" si="3398"/>
        <v>04-08-2020</v>
      </c>
      <c r="M8342" t="str">
        <f t="shared" si="3398"/>
        <v>04-08-2020</v>
      </c>
      <c r="N8342" t="str">
        <f t="shared" si="3399"/>
        <v>001105018356</v>
      </c>
      <c r="O8342" t="str">
        <f t="shared" si="3400"/>
        <v>MYR</v>
      </c>
      <c r="P8342" t="str">
        <f t="shared" si="3401"/>
        <v>NIL</v>
      </c>
      <c r="Q8342" t="str">
        <f t="shared" si="3401"/>
        <v>NIL</v>
      </c>
      <c r="R8342" t="str">
        <f t="shared" si="3389"/>
        <v>Accepted</v>
      </c>
      <c r="S8342" t="str">
        <f t="shared" si="3402"/>
        <v>Approved</v>
      </c>
      <c r="T8342" t="str">
        <f t="shared" si="3390"/>
        <v>10.20.8.188</v>
      </c>
      <c r="U8342" t="str">
        <f t="shared" si="3403"/>
        <v>AZRAD UMAR BIN SHAARI</v>
      </c>
      <c r="V8342" t="str">
        <f t="shared" si="3404"/>
        <v>FARHANA BINTI MUSTAPA</v>
      </c>
      <c r="W8342" t="str">
        <f t="shared" si="3405"/>
        <v>04-08-2020</v>
      </c>
      <c r="X8342" t="str">
        <f t="shared" si="3406"/>
        <v>RAZIMAH ANSAR AHMAD</v>
      </c>
      <c r="Y8342" t="str">
        <f t="shared" si="3407"/>
        <v>04-08-2020</v>
      </c>
      <c r="Z8342" t="str">
        <f>"COS10200804 812"</f>
        <v>COS10200804 812</v>
      </c>
    </row>
    <row r="8343" spans="1:26" x14ac:dyDescent="0.25">
      <c r="A8343" t="str">
        <f t="shared" si="3393"/>
        <v>04-08-2020 12:31:21</v>
      </c>
      <c r="B8343" t="str">
        <f>"0000802554"</f>
        <v>0000802554</v>
      </c>
      <c r="C8343" t="str">
        <f t="shared" si="3394"/>
        <v>0000802543</v>
      </c>
      <c r="D8343" t="str">
        <f t="shared" si="3395"/>
        <v>73185</v>
      </c>
      <c r="E8343" t="str">
        <f t="shared" si="3396"/>
        <v>KFH-OPERATIONS DEPARTMENT</v>
      </c>
      <c r="F8343" t="str">
        <f t="shared" si="3397"/>
        <v>IBG</v>
      </c>
      <c r="G8343" t="str">
        <f t="shared" si="3408"/>
        <v>Refund COSHARE 10</v>
      </c>
      <c r="H8343" s="2">
        <v>869.8</v>
      </c>
      <c r="I8343" t="str">
        <f>"SYED HASNOL HISHAM BIN SYED IBRAHIM"</f>
        <v>SYED HASNOL HISHAM BIN SYED IBRAHIM</v>
      </c>
      <c r="J8343" t="str">
        <f t="shared" si="3409"/>
        <v>BANK MUAMALAT MALAYSIA BERHAD</v>
      </c>
      <c r="K8343" t="str">
        <f>"06010009415728"</f>
        <v>06010009415728</v>
      </c>
      <c r="L8343" t="str">
        <f t="shared" si="3398"/>
        <v>04-08-2020</v>
      </c>
      <c r="M8343" t="str">
        <f t="shared" si="3398"/>
        <v>04-08-2020</v>
      </c>
      <c r="N8343" t="str">
        <f t="shared" si="3399"/>
        <v>001105018356</v>
      </c>
      <c r="O8343" t="str">
        <f t="shared" si="3400"/>
        <v>MYR</v>
      </c>
      <c r="P8343" t="str">
        <f t="shared" si="3401"/>
        <v>NIL</v>
      </c>
      <c r="Q8343" t="str">
        <f t="shared" si="3401"/>
        <v>NIL</v>
      </c>
      <c r="R8343" t="str">
        <f t="shared" si="3389"/>
        <v>Accepted</v>
      </c>
      <c r="S8343" t="str">
        <f t="shared" si="3402"/>
        <v>Approved</v>
      </c>
      <c r="T8343" t="str">
        <f t="shared" si="3390"/>
        <v>10.20.8.188</v>
      </c>
      <c r="U8343" t="str">
        <f t="shared" si="3403"/>
        <v>AZRAD UMAR BIN SHAARI</v>
      </c>
      <c r="V8343" t="str">
        <f t="shared" si="3404"/>
        <v>FARHANA BINTI MUSTAPA</v>
      </c>
      <c r="W8343" t="str">
        <f t="shared" si="3405"/>
        <v>04-08-2020</v>
      </c>
      <c r="X8343" t="str">
        <f t="shared" si="3406"/>
        <v>RAZIMAH ANSAR AHMAD</v>
      </c>
      <c r="Y8343" t="str">
        <f t="shared" si="3407"/>
        <v>04-08-2020</v>
      </c>
      <c r="Z8343" t="str">
        <f>"COS10200804 811"</f>
        <v>COS10200804 811</v>
      </c>
    </row>
    <row r="8344" spans="1:26" x14ac:dyDescent="0.25">
      <c r="A8344" t="str">
        <f t="shared" si="3393"/>
        <v>04-08-2020 12:31:21</v>
      </c>
      <c r="B8344" t="str">
        <f>"0000802553"</f>
        <v>0000802553</v>
      </c>
      <c r="C8344" t="str">
        <f t="shared" si="3394"/>
        <v>0000802543</v>
      </c>
      <c r="D8344" t="str">
        <f t="shared" si="3395"/>
        <v>73185</v>
      </c>
      <c r="E8344" t="str">
        <f t="shared" si="3396"/>
        <v>KFH-OPERATIONS DEPARTMENT</v>
      </c>
      <c r="F8344" t="str">
        <f t="shared" si="3397"/>
        <v>IBG</v>
      </c>
      <c r="G8344" t="str">
        <f t="shared" si="3408"/>
        <v>Refund COSHARE 10</v>
      </c>
      <c r="H8344" s="2">
        <v>503.7</v>
      </c>
      <c r="I8344" t="str">
        <f>"SYARINA AZWA BINTI SALIM"</f>
        <v>SYARINA AZWA BINTI SALIM</v>
      </c>
      <c r="J8344" t="str">
        <f t="shared" si="3409"/>
        <v>BANK MUAMALAT MALAYSIA BERHAD</v>
      </c>
      <c r="K8344" t="str">
        <f>"14040006140728"</f>
        <v>14040006140728</v>
      </c>
      <c r="L8344" t="str">
        <f t="shared" si="3398"/>
        <v>04-08-2020</v>
      </c>
      <c r="M8344" t="str">
        <f t="shared" si="3398"/>
        <v>04-08-2020</v>
      </c>
      <c r="N8344" t="str">
        <f t="shared" si="3399"/>
        <v>001105018356</v>
      </c>
      <c r="O8344" t="str">
        <f t="shared" si="3400"/>
        <v>MYR</v>
      </c>
      <c r="P8344" t="str">
        <f t="shared" si="3401"/>
        <v>NIL</v>
      </c>
      <c r="Q8344" t="str">
        <f t="shared" si="3401"/>
        <v>NIL</v>
      </c>
      <c r="R8344" t="str">
        <f t="shared" si="3389"/>
        <v>Accepted</v>
      </c>
      <c r="S8344" t="str">
        <f t="shared" si="3402"/>
        <v>Approved</v>
      </c>
      <c r="T8344" t="str">
        <f t="shared" si="3390"/>
        <v>10.20.8.188</v>
      </c>
      <c r="U8344" t="str">
        <f t="shared" si="3403"/>
        <v>AZRAD UMAR BIN SHAARI</v>
      </c>
      <c r="V8344" t="str">
        <f t="shared" si="3404"/>
        <v>FARHANA BINTI MUSTAPA</v>
      </c>
      <c r="W8344" t="str">
        <f t="shared" si="3405"/>
        <v>04-08-2020</v>
      </c>
      <c r="X8344" t="str">
        <f t="shared" si="3406"/>
        <v>RAZIMAH ANSAR AHMAD</v>
      </c>
      <c r="Y8344" t="str">
        <f t="shared" si="3407"/>
        <v>04-08-2020</v>
      </c>
      <c r="Z8344" t="str">
        <f>"COS10200804 810"</f>
        <v>COS10200804 810</v>
      </c>
    </row>
    <row r="8345" spans="1:26" x14ac:dyDescent="0.25">
      <c r="A8345" t="str">
        <f t="shared" si="3393"/>
        <v>04-08-2020 12:31:21</v>
      </c>
      <c r="B8345" t="str">
        <f>"0000802552"</f>
        <v>0000802552</v>
      </c>
      <c r="C8345" t="str">
        <f t="shared" si="3394"/>
        <v>0000802543</v>
      </c>
      <c r="D8345" t="str">
        <f t="shared" si="3395"/>
        <v>73185</v>
      </c>
      <c r="E8345" t="str">
        <f t="shared" si="3396"/>
        <v>KFH-OPERATIONS DEPARTMENT</v>
      </c>
      <c r="F8345" t="str">
        <f t="shared" si="3397"/>
        <v>IBG</v>
      </c>
      <c r="G8345" t="str">
        <f t="shared" si="3408"/>
        <v>Refund COSHARE 10</v>
      </c>
      <c r="H8345" s="2">
        <v>587.65</v>
      </c>
      <c r="I8345" t="str">
        <f>"SURAIDA BINTI ABD RASHID"</f>
        <v>SURAIDA BINTI ABD RASHID</v>
      </c>
      <c r="J8345" t="str">
        <f t="shared" si="3409"/>
        <v>BANK MUAMALAT MALAYSIA BERHAD</v>
      </c>
      <c r="K8345" t="str">
        <f>"03010007383727"</f>
        <v>03010007383727</v>
      </c>
      <c r="L8345" t="str">
        <f t="shared" si="3398"/>
        <v>04-08-2020</v>
      </c>
      <c r="M8345" t="str">
        <f t="shared" si="3398"/>
        <v>04-08-2020</v>
      </c>
      <c r="N8345" t="str">
        <f t="shared" si="3399"/>
        <v>001105018356</v>
      </c>
      <c r="O8345" t="str">
        <f t="shared" si="3400"/>
        <v>MYR</v>
      </c>
      <c r="P8345" t="str">
        <f t="shared" si="3401"/>
        <v>NIL</v>
      </c>
      <c r="Q8345" t="str">
        <f t="shared" si="3401"/>
        <v>NIL</v>
      </c>
      <c r="R8345" t="str">
        <f t="shared" si="3389"/>
        <v>Accepted</v>
      </c>
      <c r="S8345" t="str">
        <f t="shared" si="3402"/>
        <v>Approved</v>
      </c>
      <c r="T8345" t="str">
        <f t="shared" si="3390"/>
        <v>10.20.8.188</v>
      </c>
      <c r="U8345" t="str">
        <f t="shared" si="3403"/>
        <v>AZRAD UMAR BIN SHAARI</v>
      </c>
      <c r="V8345" t="str">
        <f t="shared" si="3404"/>
        <v>FARHANA BINTI MUSTAPA</v>
      </c>
      <c r="W8345" t="str">
        <f t="shared" si="3405"/>
        <v>04-08-2020</v>
      </c>
      <c r="X8345" t="str">
        <f t="shared" si="3406"/>
        <v>RAZIMAH ANSAR AHMAD</v>
      </c>
      <c r="Y8345" t="str">
        <f t="shared" si="3407"/>
        <v>04-08-2020</v>
      </c>
      <c r="Z8345" t="str">
        <f>"COS10200804 809"</f>
        <v>COS10200804 809</v>
      </c>
    </row>
    <row r="8346" spans="1:26" x14ac:dyDescent="0.25">
      <c r="A8346" t="str">
        <f t="shared" ref="A8346:A8353" si="3410">"04-08-2020 12:31:21"</f>
        <v>04-08-2020 12:31:21</v>
      </c>
      <c r="B8346" t="str">
        <f>"0000802551"</f>
        <v>0000802551</v>
      </c>
      <c r="C8346" t="str">
        <f t="shared" ref="C8346:C8353" si="3411">"0000802543"</f>
        <v>0000802543</v>
      </c>
      <c r="D8346" t="str">
        <f t="shared" si="3395"/>
        <v>73185</v>
      </c>
      <c r="E8346" t="str">
        <f t="shared" si="3396"/>
        <v>KFH-OPERATIONS DEPARTMENT</v>
      </c>
      <c r="F8346" t="str">
        <f t="shared" si="3397"/>
        <v>IBG</v>
      </c>
      <c r="G8346" t="str">
        <f t="shared" si="3408"/>
        <v>Refund COSHARE 10</v>
      </c>
      <c r="H8346" s="2">
        <v>127</v>
      </c>
      <c r="I8346" t="str">
        <f>"SUMAIYAH FADILAH BINTI ALIAS"</f>
        <v>SUMAIYAH FADILAH BINTI ALIAS</v>
      </c>
      <c r="J8346" t="str">
        <f t="shared" si="3409"/>
        <v>BANK MUAMALAT MALAYSIA BERHAD</v>
      </c>
      <c r="K8346" t="str">
        <f>"13010056176727"</f>
        <v>13010056176727</v>
      </c>
      <c r="L8346" t="str">
        <f t="shared" si="3398"/>
        <v>04-08-2020</v>
      </c>
      <c r="M8346" t="str">
        <f t="shared" si="3398"/>
        <v>04-08-2020</v>
      </c>
      <c r="N8346" t="str">
        <f t="shared" si="3399"/>
        <v>001105018356</v>
      </c>
      <c r="O8346" t="str">
        <f t="shared" si="3400"/>
        <v>MYR</v>
      </c>
      <c r="P8346" t="str">
        <f t="shared" si="3401"/>
        <v>NIL</v>
      </c>
      <c r="Q8346" t="str">
        <f t="shared" si="3401"/>
        <v>NIL</v>
      </c>
      <c r="R8346" t="str">
        <f t="shared" si="3389"/>
        <v>Accepted</v>
      </c>
      <c r="S8346" t="str">
        <f t="shared" si="3402"/>
        <v>Approved</v>
      </c>
      <c r="T8346" t="str">
        <f t="shared" si="3390"/>
        <v>10.20.8.188</v>
      </c>
      <c r="U8346" t="str">
        <f t="shared" si="3403"/>
        <v>AZRAD UMAR BIN SHAARI</v>
      </c>
      <c r="V8346" t="str">
        <f t="shared" si="3404"/>
        <v>FARHANA BINTI MUSTAPA</v>
      </c>
      <c r="W8346" t="str">
        <f t="shared" si="3405"/>
        <v>04-08-2020</v>
      </c>
      <c r="X8346" t="str">
        <f t="shared" si="3406"/>
        <v>RAZIMAH ANSAR AHMAD</v>
      </c>
      <c r="Y8346" t="str">
        <f t="shared" si="3407"/>
        <v>04-08-2020</v>
      </c>
      <c r="Z8346" t="str">
        <f>"COS10200804 808"</f>
        <v>COS10200804 808</v>
      </c>
    </row>
    <row r="8347" spans="1:26" x14ac:dyDescent="0.25">
      <c r="A8347" t="str">
        <f t="shared" si="3410"/>
        <v>04-08-2020 12:31:21</v>
      </c>
      <c r="B8347" t="str">
        <f>"0000802550"</f>
        <v>0000802550</v>
      </c>
      <c r="C8347" t="str">
        <f t="shared" si="3411"/>
        <v>0000802543</v>
      </c>
      <c r="D8347" t="str">
        <f t="shared" si="3395"/>
        <v>73185</v>
      </c>
      <c r="E8347" t="str">
        <f t="shared" si="3396"/>
        <v>KFH-OPERATIONS DEPARTMENT</v>
      </c>
      <c r="F8347" t="str">
        <f t="shared" si="3397"/>
        <v>IBG</v>
      </c>
      <c r="G8347" t="str">
        <f t="shared" si="3408"/>
        <v>Refund COSHARE 10</v>
      </c>
      <c r="H8347" s="2">
        <v>107.1</v>
      </c>
      <c r="I8347" t="str">
        <f>"SUHAIMI BIN ALIAS"</f>
        <v>SUHAIMI BIN ALIAS</v>
      </c>
      <c r="J8347" t="str">
        <f t="shared" si="3409"/>
        <v>BANK MUAMALAT MALAYSIA BERHAD</v>
      </c>
      <c r="K8347" t="str">
        <f>"09010010622723"</f>
        <v>09010010622723</v>
      </c>
      <c r="L8347" t="str">
        <f t="shared" ref="L8347:M8366" si="3412">"04-08-2020"</f>
        <v>04-08-2020</v>
      </c>
      <c r="M8347" t="str">
        <f t="shared" si="3412"/>
        <v>04-08-2020</v>
      </c>
      <c r="N8347" t="str">
        <f t="shared" si="3399"/>
        <v>001105018356</v>
      </c>
      <c r="O8347" t="str">
        <f t="shared" si="3400"/>
        <v>MYR</v>
      </c>
      <c r="P8347" t="str">
        <f t="shared" ref="P8347:Q8366" si="3413">"NIL"</f>
        <v>NIL</v>
      </c>
      <c r="Q8347" t="str">
        <f t="shared" si="3413"/>
        <v>NIL</v>
      </c>
      <c r="R8347" t="str">
        <f t="shared" si="3389"/>
        <v>Accepted</v>
      </c>
      <c r="S8347" t="str">
        <f t="shared" si="3402"/>
        <v>Approved</v>
      </c>
      <c r="T8347" t="str">
        <f t="shared" si="3390"/>
        <v>10.20.8.188</v>
      </c>
      <c r="U8347" t="str">
        <f t="shared" si="3403"/>
        <v>AZRAD UMAR BIN SHAARI</v>
      </c>
      <c r="V8347" t="str">
        <f t="shared" si="3404"/>
        <v>FARHANA BINTI MUSTAPA</v>
      </c>
      <c r="W8347" t="str">
        <f t="shared" si="3405"/>
        <v>04-08-2020</v>
      </c>
      <c r="X8347" t="str">
        <f t="shared" si="3406"/>
        <v>RAZIMAH ANSAR AHMAD</v>
      </c>
      <c r="Y8347" t="str">
        <f t="shared" si="3407"/>
        <v>04-08-2020</v>
      </c>
      <c r="Z8347" t="str">
        <f>"COS10200804 807"</f>
        <v>COS10200804 807</v>
      </c>
    </row>
    <row r="8348" spans="1:26" x14ac:dyDescent="0.25">
      <c r="A8348" t="str">
        <f t="shared" si="3410"/>
        <v>04-08-2020 12:31:21</v>
      </c>
      <c r="B8348" t="str">
        <f>"0000802549"</f>
        <v>0000802549</v>
      </c>
      <c r="C8348" t="str">
        <f t="shared" si="3411"/>
        <v>0000802543</v>
      </c>
      <c r="D8348" t="str">
        <f t="shared" si="3395"/>
        <v>73185</v>
      </c>
      <c r="E8348" t="str">
        <f t="shared" si="3396"/>
        <v>KFH-OPERATIONS DEPARTMENT</v>
      </c>
      <c r="F8348" t="str">
        <f t="shared" si="3397"/>
        <v>IBG</v>
      </c>
      <c r="G8348" t="str">
        <f t="shared" si="3408"/>
        <v>Refund COSHARE 10</v>
      </c>
      <c r="H8348" s="2">
        <v>428.25</v>
      </c>
      <c r="I8348" t="str">
        <f>"SUAIMI BIN MOHAMAD"</f>
        <v>SUAIMI BIN MOHAMAD</v>
      </c>
      <c r="J8348" t="str">
        <f t="shared" si="3409"/>
        <v>BANK MUAMALAT MALAYSIA BERHAD</v>
      </c>
      <c r="K8348" t="str">
        <f>"09010011092728"</f>
        <v>09010011092728</v>
      </c>
      <c r="L8348" t="str">
        <f t="shared" si="3412"/>
        <v>04-08-2020</v>
      </c>
      <c r="M8348" t="str">
        <f t="shared" si="3412"/>
        <v>04-08-2020</v>
      </c>
      <c r="N8348" t="str">
        <f t="shared" si="3399"/>
        <v>001105018356</v>
      </c>
      <c r="O8348" t="str">
        <f t="shared" si="3400"/>
        <v>MYR</v>
      </c>
      <c r="P8348" t="str">
        <f t="shared" si="3413"/>
        <v>NIL</v>
      </c>
      <c r="Q8348" t="str">
        <f t="shared" si="3413"/>
        <v>NIL</v>
      </c>
      <c r="R8348" t="str">
        <f t="shared" si="3389"/>
        <v>Accepted</v>
      </c>
      <c r="S8348" t="str">
        <f t="shared" si="3402"/>
        <v>Approved</v>
      </c>
      <c r="T8348" t="str">
        <f t="shared" si="3390"/>
        <v>10.20.8.188</v>
      </c>
      <c r="U8348" t="str">
        <f t="shared" si="3403"/>
        <v>AZRAD UMAR BIN SHAARI</v>
      </c>
      <c r="V8348" t="str">
        <f t="shared" si="3404"/>
        <v>FARHANA BINTI MUSTAPA</v>
      </c>
      <c r="W8348" t="str">
        <f t="shared" si="3405"/>
        <v>04-08-2020</v>
      </c>
      <c r="X8348" t="str">
        <f t="shared" si="3406"/>
        <v>RAZIMAH ANSAR AHMAD</v>
      </c>
      <c r="Y8348" t="str">
        <f t="shared" si="3407"/>
        <v>04-08-2020</v>
      </c>
      <c r="Z8348" t="str">
        <f>"COS10200804 806"</f>
        <v>COS10200804 806</v>
      </c>
    </row>
    <row r="8349" spans="1:26" x14ac:dyDescent="0.25">
      <c r="A8349" t="str">
        <f t="shared" si="3410"/>
        <v>04-08-2020 12:31:21</v>
      </c>
      <c r="B8349" t="str">
        <f>"0000802548"</f>
        <v>0000802548</v>
      </c>
      <c r="C8349" t="str">
        <f t="shared" si="3411"/>
        <v>0000802543</v>
      </c>
      <c r="D8349" t="str">
        <f t="shared" si="3395"/>
        <v>73185</v>
      </c>
      <c r="E8349" t="str">
        <f t="shared" si="3396"/>
        <v>KFH-OPERATIONS DEPARTMENT</v>
      </c>
      <c r="F8349" t="str">
        <f t="shared" si="3397"/>
        <v>IBG</v>
      </c>
      <c r="G8349" t="str">
        <f t="shared" si="3408"/>
        <v>Refund COSHARE 10</v>
      </c>
      <c r="H8349" s="2">
        <v>112.6</v>
      </c>
      <c r="I8349" t="str">
        <f>"SHAHRIN BIN KAMARUDIN"</f>
        <v>SHAHRIN BIN KAMARUDIN</v>
      </c>
      <c r="J8349" t="str">
        <f t="shared" si="3409"/>
        <v>BANK MUAMALAT MALAYSIA BERHAD</v>
      </c>
      <c r="K8349" t="str">
        <f>"05010005959721"</f>
        <v>05010005959721</v>
      </c>
      <c r="L8349" t="str">
        <f t="shared" si="3412"/>
        <v>04-08-2020</v>
      </c>
      <c r="M8349" t="str">
        <f t="shared" si="3412"/>
        <v>04-08-2020</v>
      </c>
      <c r="N8349" t="str">
        <f t="shared" si="3399"/>
        <v>001105018356</v>
      </c>
      <c r="O8349" t="str">
        <f t="shared" si="3400"/>
        <v>MYR</v>
      </c>
      <c r="P8349" t="str">
        <f t="shared" si="3413"/>
        <v>NIL</v>
      </c>
      <c r="Q8349" t="str">
        <f t="shared" si="3413"/>
        <v>NIL</v>
      </c>
      <c r="R8349" t="str">
        <f t="shared" si="3389"/>
        <v>Accepted</v>
      </c>
      <c r="S8349" t="str">
        <f t="shared" si="3402"/>
        <v>Approved</v>
      </c>
      <c r="T8349" t="str">
        <f t="shared" si="3390"/>
        <v>10.20.8.188</v>
      </c>
      <c r="U8349" t="str">
        <f t="shared" si="3403"/>
        <v>AZRAD UMAR BIN SHAARI</v>
      </c>
      <c r="V8349" t="str">
        <f t="shared" si="3404"/>
        <v>FARHANA BINTI MUSTAPA</v>
      </c>
      <c r="W8349" t="str">
        <f t="shared" si="3405"/>
        <v>04-08-2020</v>
      </c>
      <c r="X8349" t="str">
        <f t="shared" si="3406"/>
        <v>RAZIMAH ANSAR AHMAD</v>
      </c>
      <c r="Y8349" t="str">
        <f t="shared" si="3407"/>
        <v>04-08-2020</v>
      </c>
      <c r="Z8349" t="str">
        <f>"COS10200804 805"</f>
        <v>COS10200804 805</v>
      </c>
    </row>
    <row r="8350" spans="1:26" x14ac:dyDescent="0.25">
      <c r="A8350" t="str">
        <f t="shared" si="3410"/>
        <v>04-08-2020 12:31:21</v>
      </c>
      <c r="B8350" t="str">
        <f>"0000802547"</f>
        <v>0000802547</v>
      </c>
      <c r="C8350" t="str">
        <f t="shared" si="3411"/>
        <v>0000802543</v>
      </c>
      <c r="D8350" t="str">
        <f t="shared" si="3395"/>
        <v>73185</v>
      </c>
      <c r="E8350" t="str">
        <f t="shared" si="3396"/>
        <v>KFH-OPERATIONS DEPARTMENT</v>
      </c>
      <c r="F8350" t="str">
        <f t="shared" si="3397"/>
        <v>IBG</v>
      </c>
      <c r="G8350" t="str">
        <f t="shared" si="3408"/>
        <v>Refund COSHARE 10</v>
      </c>
      <c r="H8350" s="2">
        <v>321.2</v>
      </c>
      <c r="I8350" t="str">
        <f>"SHAHAROM BINTI BAKAR"</f>
        <v>SHAHAROM BINTI BAKAR</v>
      </c>
      <c r="J8350" t="str">
        <f t="shared" si="3409"/>
        <v>BANK MUAMALAT MALAYSIA BERHAD</v>
      </c>
      <c r="K8350" t="str">
        <f>"09010001149727"</f>
        <v>09010001149727</v>
      </c>
      <c r="L8350" t="str">
        <f t="shared" si="3412"/>
        <v>04-08-2020</v>
      </c>
      <c r="M8350" t="str">
        <f t="shared" si="3412"/>
        <v>04-08-2020</v>
      </c>
      <c r="N8350" t="str">
        <f t="shared" si="3399"/>
        <v>001105018356</v>
      </c>
      <c r="O8350" t="str">
        <f t="shared" si="3400"/>
        <v>MYR</v>
      </c>
      <c r="P8350" t="str">
        <f t="shared" si="3413"/>
        <v>NIL</v>
      </c>
      <c r="Q8350" t="str">
        <f t="shared" si="3413"/>
        <v>NIL</v>
      </c>
      <c r="R8350" t="str">
        <f t="shared" si="3389"/>
        <v>Accepted</v>
      </c>
      <c r="S8350" t="str">
        <f t="shared" si="3402"/>
        <v>Approved</v>
      </c>
      <c r="T8350" t="str">
        <f t="shared" si="3390"/>
        <v>10.20.8.188</v>
      </c>
      <c r="U8350" t="str">
        <f t="shared" si="3403"/>
        <v>AZRAD UMAR BIN SHAARI</v>
      </c>
      <c r="V8350" t="str">
        <f t="shared" si="3404"/>
        <v>FARHANA BINTI MUSTAPA</v>
      </c>
      <c r="W8350" t="str">
        <f t="shared" si="3405"/>
        <v>04-08-2020</v>
      </c>
      <c r="X8350" t="str">
        <f t="shared" si="3406"/>
        <v>RAZIMAH ANSAR AHMAD</v>
      </c>
      <c r="Y8350" t="str">
        <f t="shared" si="3407"/>
        <v>04-08-2020</v>
      </c>
      <c r="Z8350" t="str">
        <f>"COS10200804 804"</f>
        <v>COS10200804 804</v>
      </c>
    </row>
    <row r="8351" spans="1:26" x14ac:dyDescent="0.25">
      <c r="A8351" t="str">
        <f t="shared" si="3410"/>
        <v>04-08-2020 12:31:21</v>
      </c>
      <c r="B8351" t="str">
        <f>"0000802546"</f>
        <v>0000802546</v>
      </c>
      <c r="C8351" t="str">
        <f t="shared" si="3411"/>
        <v>0000802543</v>
      </c>
      <c r="D8351" t="str">
        <f t="shared" si="3395"/>
        <v>73185</v>
      </c>
      <c r="E8351" t="str">
        <f t="shared" si="3396"/>
        <v>KFH-OPERATIONS DEPARTMENT</v>
      </c>
      <c r="F8351" t="str">
        <f t="shared" si="3397"/>
        <v>IBG</v>
      </c>
      <c r="G8351" t="str">
        <f t="shared" si="3408"/>
        <v>Refund COSHARE 10</v>
      </c>
      <c r="H8351" s="2">
        <v>1531.25</v>
      </c>
      <c r="I8351" t="str">
        <f>"SHABARIAH BINTI ROFIE"</f>
        <v>SHABARIAH BINTI ROFIE</v>
      </c>
      <c r="J8351" t="str">
        <f t="shared" si="3409"/>
        <v>BANK MUAMALAT MALAYSIA BERHAD</v>
      </c>
      <c r="K8351" t="str">
        <f>"14030011846728"</f>
        <v>14030011846728</v>
      </c>
      <c r="L8351" t="str">
        <f t="shared" si="3412"/>
        <v>04-08-2020</v>
      </c>
      <c r="M8351" t="str">
        <f t="shared" si="3412"/>
        <v>04-08-2020</v>
      </c>
      <c r="N8351" t="str">
        <f t="shared" si="3399"/>
        <v>001105018356</v>
      </c>
      <c r="O8351" t="str">
        <f t="shared" si="3400"/>
        <v>MYR</v>
      </c>
      <c r="P8351" t="str">
        <f t="shared" si="3413"/>
        <v>NIL</v>
      </c>
      <c r="Q8351" t="str">
        <f t="shared" si="3413"/>
        <v>NIL</v>
      </c>
      <c r="R8351" t="str">
        <f t="shared" si="3389"/>
        <v>Accepted</v>
      </c>
      <c r="S8351" t="str">
        <f t="shared" si="3402"/>
        <v>Approved</v>
      </c>
      <c r="T8351" t="str">
        <f t="shared" si="3390"/>
        <v>10.20.8.188</v>
      </c>
      <c r="U8351" t="str">
        <f t="shared" si="3403"/>
        <v>AZRAD UMAR BIN SHAARI</v>
      </c>
      <c r="V8351" t="str">
        <f t="shared" si="3404"/>
        <v>FARHANA BINTI MUSTAPA</v>
      </c>
      <c r="W8351" t="str">
        <f t="shared" si="3405"/>
        <v>04-08-2020</v>
      </c>
      <c r="X8351" t="str">
        <f t="shared" si="3406"/>
        <v>RAZIMAH ANSAR AHMAD</v>
      </c>
      <c r="Y8351" t="str">
        <f t="shared" si="3407"/>
        <v>04-08-2020</v>
      </c>
      <c r="Z8351" t="str">
        <f>"COS10200804 803"</f>
        <v>COS10200804 803</v>
      </c>
    </row>
    <row r="8352" spans="1:26" x14ac:dyDescent="0.25">
      <c r="A8352" t="str">
        <f t="shared" si="3410"/>
        <v>04-08-2020 12:31:21</v>
      </c>
      <c r="B8352" t="str">
        <f>"0000802545"</f>
        <v>0000802545</v>
      </c>
      <c r="C8352" t="str">
        <f t="shared" si="3411"/>
        <v>0000802543</v>
      </c>
      <c r="D8352" t="str">
        <f t="shared" si="3395"/>
        <v>73185</v>
      </c>
      <c r="E8352" t="str">
        <f t="shared" si="3396"/>
        <v>KFH-OPERATIONS DEPARTMENT</v>
      </c>
      <c r="F8352" t="str">
        <f t="shared" si="3397"/>
        <v>IBG</v>
      </c>
      <c r="G8352" t="str">
        <f t="shared" si="3408"/>
        <v>Refund COSHARE 10</v>
      </c>
      <c r="H8352" s="2">
        <v>940.25</v>
      </c>
      <c r="I8352" t="str">
        <f>"SAFARIANI BINTI JOHARI"</f>
        <v>SAFARIANI BINTI JOHARI</v>
      </c>
      <c r="J8352" t="str">
        <f t="shared" si="3409"/>
        <v>BANK MUAMALAT MALAYSIA BERHAD</v>
      </c>
      <c r="K8352" t="str">
        <f>"11010036597724"</f>
        <v>11010036597724</v>
      </c>
      <c r="L8352" t="str">
        <f t="shared" si="3412"/>
        <v>04-08-2020</v>
      </c>
      <c r="M8352" t="str">
        <f t="shared" si="3412"/>
        <v>04-08-2020</v>
      </c>
      <c r="N8352" t="str">
        <f t="shared" si="3399"/>
        <v>001105018356</v>
      </c>
      <c r="O8352" t="str">
        <f t="shared" si="3400"/>
        <v>MYR</v>
      </c>
      <c r="P8352" t="str">
        <f t="shared" si="3413"/>
        <v>NIL</v>
      </c>
      <c r="Q8352" t="str">
        <f t="shared" si="3413"/>
        <v>NIL</v>
      </c>
      <c r="R8352" t="str">
        <f t="shared" si="3389"/>
        <v>Accepted</v>
      </c>
      <c r="S8352" t="str">
        <f t="shared" si="3402"/>
        <v>Approved</v>
      </c>
      <c r="T8352" t="str">
        <f t="shared" si="3390"/>
        <v>10.20.8.188</v>
      </c>
      <c r="U8352" t="str">
        <f t="shared" si="3403"/>
        <v>AZRAD UMAR BIN SHAARI</v>
      </c>
      <c r="V8352" t="str">
        <f t="shared" si="3404"/>
        <v>FARHANA BINTI MUSTAPA</v>
      </c>
      <c r="W8352" t="str">
        <f t="shared" si="3405"/>
        <v>04-08-2020</v>
      </c>
      <c r="X8352" t="str">
        <f t="shared" si="3406"/>
        <v>RAZIMAH ANSAR AHMAD</v>
      </c>
      <c r="Y8352" t="str">
        <f t="shared" si="3407"/>
        <v>04-08-2020</v>
      </c>
      <c r="Z8352" t="str">
        <f>"COS10200804 802"</f>
        <v>COS10200804 802</v>
      </c>
    </row>
    <row r="8353" spans="1:26" x14ac:dyDescent="0.25">
      <c r="A8353" t="str">
        <f t="shared" si="3410"/>
        <v>04-08-2020 12:31:21</v>
      </c>
      <c r="B8353" t="str">
        <f>"0000802544"</f>
        <v>0000802544</v>
      </c>
      <c r="C8353" t="str">
        <f t="shared" si="3411"/>
        <v>0000802543</v>
      </c>
      <c r="D8353" t="str">
        <f t="shared" si="3395"/>
        <v>73185</v>
      </c>
      <c r="E8353" t="str">
        <f t="shared" si="3396"/>
        <v>KFH-OPERATIONS DEPARTMENT</v>
      </c>
      <c r="F8353" t="str">
        <f t="shared" si="3397"/>
        <v>IBG</v>
      </c>
      <c r="G8353" t="str">
        <f t="shared" si="3408"/>
        <v>Refund COSHARE 10</v>
      </c>
      <c r="H8353" s="2">
        <v>378.65</v>
      </c>
      <c r="I8353" t="str">
        <f>"S N DATHUL BASARIYAH BINTI MOHD NASUHAH"</f>
        <v>S N DATHUL BASARIYAH BINTI MOHD NASUHAH</v>
      </c>
      <c r="J8353" t="str">
        <f t="shared" si="3409"/>
        <v>BANK MUAMALAT MALAYSIA BERHAD</v>
      </c>
      <c r="K8353" t="str">
        <f>"01060050323722"</f>
        <v>01060050323722</v>
      </c>
      <c r="L8353" t="str">
        <f t="shared" si="3412"/>
        <v>04-08-2020</v>
      </c>
      <c r="M8353" t="str">
        <f t="shared" si="3412"/>
        <v>04-08-2020</v>
      </c>
      <c r="N8353" t="str">
        <f t="shared" si="3399"/>
        <v>001105018356</v>
      </c>
      <c r="O8353" t="str">
        <f t="shared" si="3400"/>
        <v>MYR</v>
      </c>
      <c r="P8353" t="str">
        <f t="shared" si="3413"/>
        <v>NIL</v>
      </c>
      <c r="Q8353" t="str">
        <f t="shared" si="3413"/>
        <v>NIL</v>
      </c>
      <c r="R8353" t="str">
        <f t="shared" si="3389"/>
        <v>Accepted</v>
      </c>
      <c r="S8353" t="str">
        <f t="shared" si="3402"/>
        <v>Approved</v>
      </c>
      <c r="T8353" t="str">
        <f t="shared" si="3390"/>
        <v>10.20.8.188</v>
      </c>
      <c r="U8353" t="str">
        <f t="shared" si="3403"/>
        <v>AZRAD UMAR BIN SHAARI</v>
      </c>
      <c r="V8353" t="str">
        <f t="shared" si="3404"/>
        <v>FARHANA BINTI MUSTAPA</v>
      </c>
      <c r="W8353" t="str">
        <f t="shared" si="3405"/>
        <v>04-08-2020</v>
      </c>
      <c r="X8353" t="str">
        <f t="shared" si="3406"/>
        <v>RAZIMAH ANSAR AHMAD</v>
      </c>
      <c r="Y8353" t="str">
        <f t="shared" si="3407"/>
        <v>04-08-2020</v>
      </c>
      <c r="Z8353" t="str">
        <f>"COS10200804 801"</f>
        <v>COS10200804 801</v>
      </c>
    </row>
    <row r="8354" spans="1:26" x14ac:dyDescent="0.25">
      <c r="A8354" t="str">
        <f t="shared" ref="A8354:A8385" si="3414">"04-08-2020 12:30:41"</f>
        <v>04-08-2020 12:30:41</v>
      </c>
      <c r="B8354" t="str">
        <f>"0000802541"</f>
        <v>0000802541</v>
      </c>
      <c r="C8354" t="str">
        <f t="shared" ref="C8354:C8385" si="3415">"0000802471"</f>
        <v>0000802471</v>
      </c>
      <c r="D8354" t="str">
        <f t="shared" si="3395"/>
        <v>73185</v>
      </c>
      <c r="E8354" t="str">
        <f t="shared" si="3396"/>
        <v>KFH-OPERATIONS DEPARTMENT</v>
      </c>
      <c r="F8354" t="str">
        <f t="shared" si="3397"/>
        <v>IBG</v>
      </c>
      <c r="G8354" t="str">
        <f t="shared" si="3408"/>
        <v>Refund COSHARE 10</v>
      </c>
      <c r="H8354" s="2">
        <v>834.65</v>
      </c>
      <c r="I8354" t="str">
        <f>"SITI AISHAH BINTI ADNIN"</f>
        <v>SITI AISHAH BINTI ADNIN</v>
      </c>
      <c r="J8354" t="str">
        <f t="shared" ref="J8354:J8417" si="3416">"BANK ISLAM BHD"</f>
        <v>BANK ISLAM BHD</v>
      </c>
      <c r="K8354" t="str">
        <f>"01023023651591"</f>
        <v>01023023651591</v>
      </c>
      <c r="L8354" t="str">
        <f t="shared" si="3412"/>
        <v>04-08-2020</v>
      </c>
      <c r="M8354" t="str">
        <f t="shared" si="3412"/>
        <v>04-08-2020</v>
      </c>
      <c r="N8354" t="str">
        <f t="shared" si="3399"/>
        <v>001105018356</v>
      </c>
      <c r="O8354" t="str">
        <f t="shared" si="3400"/>
        <v>MYR</v>
      </c>
      <c r="P8354" t="str">
        <f t="shared" si="3413"/>
        <v>NIL</v>
      </c>
      <c r="Q8354" t="str">
        <f t="shared" si="3413"/>
        <v>NIL</v>
      </c>
      <c r="R8354" t="str">
        <f t="shared" ref="R8354:R8417" si="3417">"Accepted"</f>
        <v>Accepted</v>
      </c>
      <c r="S8354" t="str">
        <f t="shared" si="3402"/>
        <v>Approved</v>
      </c>
      <c r="T8354" t="str">
        <f t="shared" ref="T8354:T8417" si="3418">"10.20.8.188"</f>
        <v>10.20.8.188</v>
      </c>
      <c r="U8354" t="str">
        <f t="shared" si="3403"/>
        <v>AZRAD UMAR BIN SHAARI</v>
      </c>
      <c r="V8354" t="str">
        <f t="shared" si="3404"/>
        <v>FARHANA BINTI MUSTAPA</v>
      </c>
      <c r="W8354" t="str">
        <f t="shared" si="3405"/>
        <v>04-08-2020</v>
      </c>
      <c r="X8354" t="str">
        <f t="shared" si="3406"/>
        <v>RAZIMAH ANSAR AHMAD</v>
      </c>
      <c r="Y8354" t="str">
        <f t="shared" si="3407"/>
        <v>04-08-2020</v>
      </c>
      <c r="Z8354" t="str">
        <f>"COS10200804 670"</f>
        <v>COS10200804 670</v>
      </c>
    </row>
    <row r="8355" spans="1:26" x14ac:dyDescent="0.25">
      <c r="A8355" t="str">
        <f t="shared" si="3414"/>
        <v>04-08-2020 12:30:41</v>
      </c>
      <c r="B8355" t="str">
        <f>"0000802540"</f>
        <v>0000802540</v>
      </c>
      <c r="C8355" t="str">
        <f t="shared" si="3415"/>
        <v>0000802471</v>
      </c>
      <c r="D8355" t="str">
        <f t="shared" si="3395"/>
        <v>73185</v>
      </c>
      <c r="E8355" t="str">
        <f t="shared" si="3396"/>
        <v>KFH-OPERATIONS DEPARTMENT</v>
      </c>
      <c r="F8355" t="str">
        <f t="shared" si="3397"/>
        <v>IBG</v>
      </c>
      <c r="G8355" t="str">
        <f t="shared" si="3408"/>
        <v>Refund COSHARE 10</v>
      </c>
      <c r="H8355" s="2">
        <v>839.5</v>
      </c>
      <c r="I8355" t="str">
        <f>"SITI AISAH BINTI YAHAYA"</f>
        <v>SITI AISAH BINTI YAHAYA</v>
      </c>
      <c r="J8355" t="str">
        <f t="shared" si="3416"/>
        <v>BANK ISLAM BHD</v>
      </c>
      <c r="K8355" t="str">
        <f>"12029020300662"</f>
        <v>12029020300662</v>
      </c>
      <c r="L8355" t="str">
        <f t="shared" si="3412"/>
        <v>04-08-2020</v>
      </c>
      <c r="M8355" t="str">
        <f t="shared" si="3412"/>
        <v>04-08-2020</v>
      </c>
      <c r="N8355" t="str">
        <f t="shared" si="3399"/>
        <v>001105018356</v>
      </c>
      <c r="O8355" t="str">
        <f t="shared" si="3400"/>
        <v>MYR</v>
      </c>
      <c r="P8355" t="str">
        <f t="shared" si="3413"/>
        <v>NIL</v>
      </c>
      <c r="Q8355" t="str">
        <f t="shared" si="3413"/>
        <v>NIL</v>
      </c>
      <c r="R8355" t="str">
        <f t="shared" si="3417"/>
        <v>Accepted</v>
      </c>
      <c r="S8355" t="str">
        <f t="shared" si="3402"/>
        <v>Approved</v>
      </c>
      <c r="T8355" t="str">
        <f t="shared" si="3418"/>
        <v>10.20.8.188</v>
      </c>
      <c r="U8355" t="str">
        <f t="shared" si="3403"/>
        <v>AZRAD UMAR BIN SHAARI</v>
      </c>
      <c r="V8355" t="str">
        <f t="shared" si="3404"/>
        <v>FARHANA BINTI MUSTAPA</v>
      </c>
      <c r="W8355" t="str">
        <f t="shared" si="3405"/>
        <v>04-08-2020</v>
      </c>
      <c r="X8355" t="str">
        <f t="shared" si="3406"/>
        <v>RAZIMAH ANSAR AHMAD</v>
      </c>
      <c r="Y8355" t="str">
        <f t="shared" si="3407"/>
        <v>04-08-2020</v>
      </c>
      <c r="Z8355" t="str">
        <f>"COS10200804 669"</f>
        <v>COS10200804 669</v>
      </c>
    </row>
    <row r="8356" spans="1:26" x14ac:dyDescent="0.25">
      <c r="A8356" t="str">
        <f t="shared" si="3414"/>
        <v>04-08-2020 12:30:41</v>
      </c>
      <c r="B8356" t="str">
        <f>"0000802539"</f>
        <v>0000802539</v>
      </c>
      <c r="C8356" t="str">
        <f t="shared" si="3415"/>
        <v>0000802471</v>
      </c>
      <c r="D8356" t="str">
        <f t="shared" si="3395"/>
        <v>73185</v>
      </c>
      <c r="E8356" t="str">
        <f t="shared" si="3396"/>
        <v>KFH-OPERATIONS DEPARTMENT</v>
      </c>
      <c r="F8356" t="str">
        <f t="shared" si="3397"/>
        <v>IBG</v>
      </c>
      <c r="G8356" t="str">
        <f t="shared" si="3408"/>
        <v>Refund COSHARE 10</v>
      </c>
      <c r="H8356" s="2">
        <v>638</v>
      </c>
      <c r="I8356" t="str">
        <f>"SITI AIDA BINTI AB WAHAB"</f>
        <v>SITI AIDA BINTI AB WAHAB</v>
      </c>
      <c r="J8356" t="str">
        <f t="shared" si="3416"/>
        <v>BANK ISLAM BHD</v>
      </c>
      <c r="K8356" t="str">
        <f>"08068020130179"</f>
        <v>08068020130179</v>
      </c>
      <c r="L8356" t="str">
        <f t="shared" si="3412"/>
        <v>04-08-2020</v>
      </c>
      <c r="M8356" t="str">
        <f t="shared" si="3412"/>
        <v>04-08-2020</v>
      </c>
      <c r="N8356" t="str">
        <f t="shared" si="3399"/>
        <v>001105018356</v>
      </c>
      <c r="O8356" t="str">
        <f t="shared" si="3400"/>
        <v>MYR</v>
      </c>
      <c r="P8356" t="str">
        <f t="shared" si="3413"/>
        <v>NIL</v>
      </c>
      <c r="Q8356" t="str">
        <f t="shared" si="3413"/>
        <v>NIL</v>
      </c>
      <c r="R8356" t="str">
        <f t="shared" si="3417"/>
        <v>Accepted</v>
      </c>
      <c r="S8356" t="str">
        <f t="shared" si="3402"/>
        <v>Approved</v>
      </c>
      <c r="T8356" t="str">
        <f t="shared" si="3418"/>
        <v>10.20.8.188</v>
      </c>
      <c r="U8356" t="str">
        <f t="shared" si="3403"/>
        <v>AZRAD UMAR BIN SHAARI</v>
      </c>
      <c r="V8356" t="str">
        <f t="shared" si="3404"/>
        <v>FARHANA BINTI MUSTAPA</v>
      </c>
      <c r="W8356" t="str">
        <f t="shared" si="3405"/>
        <v>04-08-2020</v>
      </c>
      <c r="X8356" t="str">
        <f t="shared" si="3406"/>
        <v>RAZIMAH ANSAR AHMAD</v>
      </c>
      <c r="Y8356" t="str">
        <f t="shared" si="3407"/>
        <v>04-08-2020</v>
      </c>
      <c r="Z8356" t="str">
        <f>"COS10200804 668"</f>
        <v>COS10200804 668</v>
      </c>
    </row>
    <row r="8357" spans="1:26" x14ac:dyDescent="0.25">
      <c r="A8357" t="str">
        <f t="shared" si="3414"/>
        <v>04-08-2020 12:30:41</v>
      </c>
      <c r="B8357" t="str">
        <f>"0000802538"</f>
        <v>0000802538</v>
      </c>
      <c r="C8357" t="str">
        <f t="shared" si="3415"/>
        <v>0000802471</v>
      </c>
      <c r="D8357" t="str">
        <f t="shared" si="3395"/>
        <v>73185</v>
      </c>
      <c r="E8357" t="str">
        <f t="shared" si="3396"/>
        <v>KFH-OPERATIONS DEPARTMENT</v>
      </c>
      <c r="F8357" t="str">
        <f t="shared" si="3397"/>
        <v>IBG</v>
      </c>
      <c r="G8357" t="str">
        <f t="shared" si="3408"/>
        <v>Refund COSHARE 10</v>
      </c>
      <c r="H8357" s="2">
        <v>1343.2</v>
      </c>
      <c r="I8357" t="str">
        <f>"SHOLEHA BINTI SHAFIE"</f>
        <v>SHOLEHA BINTI SHAFIE</v>
      </c>
      <c r="J8357" t="str">
        <f t="shared" si="3416"/>
        <v>BANK ISLAM BHD</v>
      </c>
      <c r="K8357" t="str">
        <f>"08022010046634"</f>
        <v>08022010046634</v>
      </c>
      <c r="L8357" t="str">
        <f t="shared" si="3412"/>
        <v>04-08-2020</v>
      </c>
      <c r="M8357" t="str">
        <f t="shared" si="3412"/>
        <v>04-08-2020</v>
      </c>
      <c r="N8357" t="str">
        <f t="shared" si="3399"/>
        <v>001105018356</v>
      </c>
      <c r="O8357" t="str">
        <f t="shared" si="3400"/>
        <v>MYR</v>
      </c>
      <c r="P8357" t="str">
        <f t="shared" si="3413"/>
        <v>NIL</v>
      </c>
      <c r="Q8357" t="str">
        <f t="shared" si="3413"/>
        <v>NIL</v>
      </c>
      <c r="R8357" t="str">
        <f t="shared" si="3417"/>
        <v>Accepted</v>
      </c>
      <c r="S8357" t="str">
        <f t="shared" si="3402"/>
        <v>Approved</v>
      </c>
      <c r="T8357" t="str">
        <f t="shared" si="3418"/>
        <v>10.20.8.188</v>
      </c>
      <c r="U8357" t="str">
        <f t="shared" si="3403"/>
        <v>AZRAD UMAR BIN SHAARI</v>
      </c>
      <c r="V8357" t="str">
        <f t="shared" si="3404"/>
        <v>FARHANA BINTI MUSTAPA</v>
      </c>
      <c r="W8357" t="str">
        <f t="shared" si="3405"/>
        <v>04-08-2020</v>
      </c>
      <c r="X8357" t="str">
        <f t="shared" si="3406"/>
        <v>RAZIMAH ANSAR AHMAD</v>
      </c>
      <c r="Y8357" t="str">
        <f t="shared" si="3407"/>
        <v>04-08-2020</v>
      </c>
      <c r="Z8357" t="str">
        <f>"COS10200804 667"</f>
        <v>COS10200804 667</v>
      </c>
    </row>
    <row r="8358" spans="1:26" x14ac:dyDescent="0.25">
      <c r="A8358" t="str">
        <f t="shared" si="3414"/>
        <v>04-08-2020 12:30:41</v>
      </c>
      <c r="B8358" t="str">
        <f>"0000802537"</f>
        <v>0000802537</v>
      </c>
      <c r="C8358" t="str">
        <f t="shared" si="3415"/>
        <v>0000802471</v>
      </c>
      <c r="D8358" t="str">
        <f t="shared" si="3395"/>
        <v>73185</v>
      </c>
      <c r="E8358" t="str">
        <f t="shared" si="3396"/>
        <v>KFH-OPERATIONS DEPARTMENT</v>
      </c>
      <c r="F8358" t="str">
        <f t="shared" si="3397"/>
        <v>IBG</v>
      </c>
      <c r="G8358" t="str">
        <f t="shared" si="3408"/>
        <v>Refund COSHARE 10</v>
      </c>
      <c r="H8358" s="2">
        <v>252</v>
      </c>
      <c r="I8358" t="str">
        <f>"SHARUL ANUAR BIN MDARIFF"</f>
        <v>SHARUL ANUAR BIN MDARIFF</v>
      </c>
      <c r="J8358" t="str">
        <f t="shared" si="3416"/>
        <v>BANK ISLAM BHD</v>
      </c>
      <c r="K8358" t="str">
        <f>"01144020006567"</f>
        <v>01144020006567</v>
      </c>
      <c r="L8358" t="str">
        <f t="shared" si="3412"/>
        <v>04-08-2020</v>
      </c>
      <c r="M8358" t="str">
        <f t="shared" si="3412"/>
        <v>04-08-2020</v>
      </c>
      <c r="N8358" t="str">
        <f t="shared" si="3399"/>
        <v>001105018356</v>
      </c>
      <c r="O8358" t="str">
        <f t="shared" si="3400"/>
        <v>MYR</v>
      </c>
      <c r="P8358" t="str">
        <f t="shared" si="3413"/>
        <v>NIL</v>
      </c>
      <c r="Q8358" t="str">
        <f t="shared" si="3413"/>
        <v>NIL</v>
      </c>
      <c r="R8358" t="str">
        <f t="shared" si="3417"/>
        <v>Accepted</v>
      </c>
      <c r="S8358" t="str">
        <f t="shared" si="3402"/>
        <v>Approved</v>
      </c>
      <c r="T8358" t="str">
        <f t="shared" si="3418"/>
        <v>10.20.8.188</v>
      </c>
      <c r="U8358" t="str">
        <f t="shared" si="3403"/>
        <v>AZRAD UMAR BIN SHAARI</v>
      </c>
      <c r="V8358" t="str">
        <f t="shared" si="3404"/>
        <v>FARHANA BINTI MUSTAPA</v>
      </c>
      <c r="W8358" t="str">
        <f t="shared" si="3405"/>
        <v>04-08-2020</v>
      </c>
      <c r="X8358" t="str">
        <f t="shared" si="3406"/>
        <v>RAZIMAH ANSAR AHMAD</v>
      </c>
      <c r="Y8358" t="str">
        <f t="shared" si="3407"/>
        <v>04-08-2020</v>
      </c>
      <c r="Z8358" t="str">
        <f>"COS10200804 666"</f>
        <v>COS10200804 666</v>
      </c>
    </row>
    <row r="8359" spans="1:26" x14ac:dyDescent="0.25">
      <c r="A8359" t="str">
        <f t="shared" si="3414"/>
        <v>04-08-2020 12:30:41</v>
      </c>
      <c r="B8359" t="str">
        <f>"0000802536"</f>
        <v>0000802536</v>
      </c>
      <c r="C8359" t="str">
        <f t="shared" si="3415"/>
        <v>0000802471</v>
      </c>
      <c r="D8359" t="str">
        <f t="shared" si="3395"/>
        <v>73185</v>
      </c>
      <c r="E8359" t="str">
        <f t="shared" si="3396"/>
        <v>KFH-OPERATIONS DEPARTMENT</v>
      </c>
      <c r="F8359" t="str">
        <f t="shared" si="3397"/>
        <v>IBG</v>
      </c>
      <c r="G8359" t="str">
        <f t="shared" si="3408"/>
        <v>Refund COSHARE 10</v>
      </c>
      <c r="H8359" s="2">
        <v>730.35</v>
      </c>
      <c r="I8359" t="str">
        <f>"SHARIFAH NIZAM BINTI SYED SULAIMAN"</f>
        <v>SHARIFAH NIZAM BINTI SYED SULAIMAN</v>
      </c>
      <c r="J8359" t="str">
        <f t="shared" si="3416"/>
        <v>BANK ISLAM BHD</v>
      </c>
      <c r="K8359" t="str">
        <f>"05012020443781"</f>
        <v>05012020443781</v>
      </c>
      <c r="L8359" t="str">
        <f t="shared" si="3412"/>
        <v>04-08-2020</v>
      </c>
      <c r="M8359" t="str">
        <f t="shared" si="3412"/>
        <v>04-08-2020</v>
      </c>
      <c r="N8359" t="str">
        <f t="shared" si="3399"/>
        <v>001105018356</v>
      </c>
      <c r="O8359" t="str">
        <f t="shared" si="3400"/>
        <v>MYR</v>
      </c>
      <c r="P8359" t="str">
        <f t="shared" si="3413"/>
        <v>NIL</v>
      </c>
      <c r="Q8359" t="str">
        <f t="shared" si="3413"/>
        <v>NIL</v>
      </c>
      <c r="R8359" t="str">
        <f t="shared" si="3417"/>
        <v>Accepted</v>
      </c>
      <c r="S8359" t="str">
        <f t="shared" si="3402"/>
        <v>Approved</v>
      </c>
      <c r="T8359" t="str">
        <f t="shared" si="3418"/>
        <v>10.20.8.188</v>
      </c>
      <c r="U8359" t="str">
        <f t="shared" si="3403"/>
        <v>AZRAD UMAR BIN SHAARI</v>
      </c>
      <c r="V8359" t="str">
        <f t="shared" si="3404"/>
        <v>FARHANA BINTI MUSTAPA</v>
      </c>
      <c r="W8359" t="str">
        <f t="shared" si="3405"/>
        <v>04-08-2020</v>
      </c>
      <c r="X8359" t="str">
        <f t="shared" si="3406"/>
        <v>RAZIMAH ANSAR AHMAD</v>
      </c>
      <c r="Y8359" t="str">
        <f t="shared" si="3407"/>
        <v>04-08-2020</v>
      </c>
      <c r="Z8359" t="str">
        <f>"COS10200804 665"</f>
        <v>COS10200804 665</v>
      </c>
    </row>
    <row r="8360" spans="1:26" x14ac:dyDescent="0.25">
      <c r="A8360" t="str">
        <f t="shared" si="3414"/>
        <v>04-08-2020 12:30:41</v>
      </c>
      <c r="B8360" t="str">
        <f>"0000802535"</f>
        <v>0000802535</v>
      </c>
      <c r="C8360" t="str">
        <f t="shared" si="3415"/>
        <v>0000802471</v>
      </c>
      <c r="D8360" t="str">
        <f t="shared" si="3395"/>
        <v>73185</v>
      </c>
      <c r="E8360" t="str">
        <f t="shared" si="3396"/>
        <v>KFH-OPERATIONS DEPARTMENT</v>
      </c>
      <c r="F8360" t="str">
        <f t="shared" si="3397"/>
        <v>IBG</v>
      </c>
      <c r="G8360" t="str">
        <f t="shared" si="3408"/>
        <v>Refund COSHARE 10</v>
      </c>
      <c r="H8360" s="2">
        <v>173.95</v>
      </c>
      <c r="I8360" t="str">
        <f>"SHARIFAH BINTI HUSSAIN  SALLEH"</f>
        <v>SHARIFAH BINTI HUSSAIN  SALLEH</v>
      </c>
      <c r="J8360" t="str">
        <f t="shared" si="3416"/>
        <v>BANK ISLAM BHD</v>
      </c>
      <c r="K8360" t="str">
        <f>"08059020067826"</f>
        <v>08059020067826</v>
      </c>
      <c r="L8360" t="str">
        <f t="shared" si="3412"/>
        <v>04-08-2020</v>
      </c>
      <c r="M8360" t="str">
        <f t="shared" si="3412"/>
        <v>04-08-2020</v>
      </c>
      <c r="N8360" t="str">
        <f t="shared" si="3399"/>
        <v>001105018356</v>
      </c>
      <c r="O8360" t="str">
        <f t="shared" si="3400"/>
        <v>MYR</v>
      </c>
      <c r="P8360" t="str">
        <f t="shared" si="3413"/>
        <v>NIL</v>
      </c>
      <c r="Q8360" t="str">
        <f t="shared" si="3413"/>
        <v>NIL</v>
      </c>
      <c r="R8360" t="str">
        <f t="shared" si="3417"/>
        <v>Accepted</v>
      </c>
      <c r="S8360" t="str">
        <f t="shared" si="3402"/>
        <v>Approved</v>
      </c>
      <c r="T8360" t="str">
        <f t="shared" si="3418"/>
        <v>10.20.8.188</v>
      </c>
      <c r="U8360" t="str">
        <f t="shared" si="3403"/>
        <v>AZRAD UMAR BIN SHAARI</v>
      </c>
      <c r="V8360" t="str">
        <f t="shared" si="3404"/>
        <v>FARHANA BINTI MUSTAPA</v>
      </c>
      <c r="W8360" t="str">
        <f t="shared" si="3405"/>
        <v>04-08-2020</v>
      </c>
      <c r="X8360" t="str">
        <f t="shared" si="3406"/>
        <v>RAZIMAH ANSAR AHMAD</v>
      </c>
      <c r="Y8360" t="str">
        <f t="shared" si="3407"/>
        <v>04-08-2020</v>
      </c>
      <c r="Z8360" t="str">
        <f>"COS10200804 664"</f>
        <v>COS10200804 664</v>
      </c>
    </row>
    <row r="8361" spans="1:26" x14ac:dyDescent="0.25">
      <c r="A8361" t="str">
        <f t="shared" si="3414"/>
        <v>04-08-2020 12:30:41</v>
      </c>
      <c r="B8361" t="str">
        <f>"0000802534"</f>
        <v>0000802534</v>
      </c>
      <c r="C8361" t="str">
        <f t="shared" si="3415"/>
        <v>0000802471</v>
      </c>
      <c r="D8361" t="str">
        <f t="shared" si="3395"/>
        <v>73185</v>
      </c>
      <c r="E8361" t="str">
        <f t="shared" si="3396"/>
        <v>KFH-OPERATIONS DEPARTMENT</v>
      </c>
      <c r="F8361" t="str">
        <f t="shared" si="3397"/>
        <v>IBG</v>
      </c>
      <c r="G8361" t="str">
        <f t="shared" si="3408"/>
        <v>Refund COSHARE 10</v>
      </c>
      <c r="H8361" s="2">
        <v>310.64999999999998</v>
      </c>
      <c r="I8361" t="str">
        <f>"SHAREH ZULFADLI BIN SHAREH NORDIN"</f>
        <v>SHAREH ZULFADLI BIN SHAREH NORDIN</v>
      </c>
      <c r="J8361" t="str">
        <f t="shared" si="3416"/>
        <v>BANK ISLAM BHD</v>
      </c>
      <c r="K8361" t="str">
        <f>"12113020025132"</f>
        <v>12113020025132</v>
      </c>
      <c r="L8361" t="str">
        <f t="shared" si="3412"/>
        <v>04-08-2020</v>
      </c>
      <c r="M8361" t="str">
        <f t="shared" si="3412"/>
        <v>04-08-2020</v>
      </c>
      <c r="N8361" t="str">
        <f t="shared" si="3399"/>
        <v>001105018356</v>
      </c>
      <c r="O8361" t="str">
        <f t="shared" si="3400"/>
        <v>MYR</v>
      </c>
      <c r="P8361" t="str">
        <f t="shared" si="3413"/>
        <v>NIL</v>
      </c>
      <c r="Q8361" t="str">
        <f t="shared" si="3413"/>
        <v>NIL</v>
      </c>
      <c r="R8361" t="str">
        <f t="shared" si="3417"/>
        <v>Accepted</v>
      </c>
      <c r="S8361" t="str">
        <f t="shared" si="3402"/>
        <v>Approved</v>
      </c>
      <c r="T8361" t="str">
        <f t="shared" si="3418"/>
        <v>10.20.8.188</v>
      </c>
      <c r="U8361" t="str">
        <f t="shared" si="3403"/>
        <v>AZRAD UMAR BIN SHAARI</v>
      </c>
      <c r="V8361" t="str">
        <f t="shared" si="3404"/>
        <v>FARHANA BINTI MUSTAPA</v>
      </c>
      <c r="W8361" t="str">
        <f t="shared" si="3405"/>
        <v>04-08-2020</v>
      </c>
      <c r="X8361" t="str">
        <f t="shared" si="3406"/>
        <v>RAZIMAH ANSAR AHMAD</v>
      </c>
      <c r="Y8361" t="str">
        <f t="shared" si="3407"/>
        <v>04-08-2020</v>
      </c>
      <c r="Z8361" t="str">
        <f>"COS10200804 663"</f>
        <v>COS10200804 663</v>
      </c>
    </row>
    <row r="8362" spans="1:26" x14ac:dyDescent="0.25">
      <c r="A8362" t="str">
        <f t="shared" si="3414"/>
        <v>04-08-2020 12:30:41</v>
      </c>
      <c r="B8362" t="str">
        <f>"0000802533"</f>
        <v>0000802533</v>
      </c>
      <c r="C8362" t="str">
        <f t="shared" si="3415"/>
        <v>0000802471</v>
      </c>
      <c r="D8362" t="str">
        <f t="shared" si="3395"/>
        <v>73185</v>
      </c>
      <c r="E8362" t="str">
        <f t="shared" si="3396"/>
        <v>KFH-OPERATIONS DEPARTMENT</v>
      </c>
      <c r="F8362" t="str">
        <f t="shared" si="3397"/>
        <v>IBG</v>
      </c>
      <c r="G8362" t="str">
        <f t="shared" si="3408"/>
        <v>Refund COSHARE 10</v>
      </c>
      <c r="H8362" s="2">
        <v>1175.3</v>
      </c>
      <c r="I8362" t="str">
        <f>"SHANTI PETER USAN ABDULLAH"</f>
        <v>SHANTI PETER USAN ABDULLAH</v>
      </c>
      <c r="J8362" t="str">
        <f t="shared" si="3416"/>
        <v>BANK ISLAM BHD</v>
      </c>
      <c r="K8362" t="str">
        <f>"11013020358820"</f>
        <v>11013020358820</v>
      </c>
      <c r="L8362" t="str">
        <f t="shared" si="3412"/>
        <v>04-08-2020</v>
      </c>
      <c r="M8362" t="str">
        <f t="shared" si="3412"/>
        <v>04-08-2020</v>
      </c>
      <c r="N8362" t="str">
        <f t="shared" si="3399"/>
        <v>001105018356</v>
      </c>
      <c r="O8362" t="str">
        <f t="shared" si="3400"/>
        <v>MYR</v>
      </c>
      <c r="P8362" t="str">
        <f t="shared" si="3413"/>
        <v>NIL</v>
      </c>
      <c r="Q8362" t="str">
        <f t="shared" si="3413"/>
        <v>NIL</v>
      </c>
      <c r="R8362" t="str">
        <f t="shared" si="3417"/>
        <v>Accepted</v>
      </c>
      <c r="S8362" t="str">
        <f t="shared" si="3402"/>
        <v>Approved</v>
      </c>
      <c r="T8362" t="str">
        <f t="shared" si="3418"/>
        <v>10.20.8.188</v>
      </c>
      <c r="U8362" t="str">
        <f t="shared" si="3403"/>
        <v>AZRAD UMAR BIN SHAARI</v>
      </c>
      <c r="V8362" t="str">
        <f t="shared" si="3404"/>
        <v>FARHANA BINTI MUSTAPA</v>
      </c>
      <c r="W8362" t="str">
        <f t="shared" si="3405"/>
        <v>04-08-2020</v>
      </c>
      <c r="X8362" t="str">
        <f t="shared" si="3406"/>
        <v>RAZIMAH ANSAR AHMAD</v>
      </c>
      <c r="Y8362" t="str">
        <f t="shared" si="3407"/>
        <v>04-08-2020</v>
      </c>
      <c r="Z8362" t="str">
        <f>"COS10200804 662"</f>
        <v>COS10200804 662</v>
      </c>
    </row>
    <row r="8363" spans="1:26" x14ac:dyDescent="0.25">
      <c r="A8363" t="str">
        <f t="shared" si="3414"/>
        <v>04-08-2020 12:30:41</v>
      </c>
      <c r="B8363" t="str">
        <f>"0000802532"</f>
        <v>0000802532</v>
      </c>
      <c r="C8363" t="str">
        <f t="shared" si="3415"/>
        <v>0000802471</v>
      </c>
      <c r="D8363" t="str">
        <f t="shared" si="3395"/>
        <v>73185</v>
      </c>
      <c r="E8363" t="str">
        <f t="shared" si="3396"/>
        <v>KFH-OPERATIONS DEPARTMENT</v>
      </c>
      <c r="F8363" t="str">
        <f t="shared" si="3397"/>
        <v>IBG</v>
      </c>
      <c r="G8363" t="str">
        <f t="shared" si="3408"/>
        <v>Refund COSHARE 10</v>
      </c>
      <c r="H8363" s="2">
        <v>216</v>
      </c>
      <c r="I8363" t="str">
        <f>"SHAMSUL SHAHRIL BIN HAMZAH"</f>
        <v>SHAMSUL SHAHRIL BIN HAMZAH</v>
      </c>
      <c r="J8363" t="str">
        <f t="shared" si="3416"/>
        <v>BANK ISLAM BHD</v>
      </c>
      <c r="K8363" t="str">
        <f>"02020020337756"</f>
        <v>02020020337756</v>
      </c>
      <c r="L8363" t="str">
        <f t="shared" si="3412"/>
        <v>04-08-2020</v>
      </c>
      <c r="M8363" t="str">
        <f t="shared" si="3412"/>
        <v>04-08-2020</v>
      </c>
      <c r="N8363" t="str">
        <f t="shared" si="3399"/>
        <v>001105018356</v>
      </c>
      <c r="O8363" t="str">
        <f t="shared" si="3400"/>
        <v>MYR</v>
      </c>
      <c r="P8363" t="str">
        <f t="shared" si="3413"/>
        <v>NIL</v>
      </c>
      <c r="Q8363" t="str">
        <f t="shared" si="3413"/>
        <v>NIL</v>
      </c>
      <c r="R8363" t="str">
        <f t="shared" si="3417"/>
        <v>Accepted</v>
      </c>
      <c r="S8363" t="str">
        <f t="shared" si="3402"/>
        <v>Approved</v>
      </c>
      <c r="T8363" t="str">
        <f t="shared" si="3418"/>
        <v>10.20.8.188</v>
      </c>
      <c r="U8363" t="str">
        <f t="shared" si="3403"/>
        <v>AZRAD UMAR BIN SHAARI</v>
      </c>
      <c r="V8363" t="str">
        <f t="shared" si="3404"/>
        <v>FARHANA BINTI MUSTAPA</v>
      </c>
      <c r="W8363" t="str">
        <f t="shared" si="3405"/>
        <v>04-08-2020</v>
      </c>
      <c r="X8363" t="str">
        <f t="shared" si="3406"/>
        <v>RAZIMAH ANSAR AHMAD</v>
      </c>
      <c r="Y8363" t="str">
        <f t="shared" si="3407"/>
        <v>04-08-2020</v>
      </c>
      <c r="Z8363" t="str">
        <f>"COS10200804 661"</f>
        <v>COS10200804 661</v>
      </c>
    </row>
    <row r="8364" spans="1:26" x14ac:dyDescent="0.25">
      <c r="A8364" t="str">
        <f t="shared" si="3414"/>
        <v>04-08-2020 12:30:41</v>
      </c>
      <c r="B8364" t="str">
        <f>"0000802531"</f>
        <v>0000802531</v>
      </c>
      <c r="C8364" t="str">
        <f t="shared" si="3415"/>
        <v>0000802471</v>
      </c>
      <c r="D8364" t="str">
        <f t="shared" si="3395"/>
        <v>73185</v>
      </c>
      <c r="E8364" t="str">
        <f t="shared" si="3396"/>
        <v>KFH-OPERATIONS DEPARTMENT</v>
      </c>
      <c r="F8364" t="str">
        <f t="shared" si="3397"/>
        <v>IBG</v>
      </c>
      <c r="G8364" t="str">
        <f t="shared" si="3408"/>
        <v>Refund COSHARE 10</v>
      </c>
      <c r="H8364" s="2">
        <v>958</v>
      </c>
      <c r="I8364" t="str">
        <f>"SHAMSINA BINTI ABDUL"</f>
        <v>SHAMSINA BINTI ABDUL</v>
      </c>
      <c r="J8364" t="str">
        <f t="shared" si="3416"/>
        <v>BANK ISLAM BHD</v>
      </c>
      <c r="K8364" t="str">
        <f>"12122020100696"</f>
        <v>12122020100696</v>
      </c>
      <c r="L8364" t="str">
        <f t="shared" si="3412"/>
        <v>04-08-2020</v>
      </c>
      <c r="M8364" t="str">
        <f t="shared" si="3412"/>
        <v>04-08-2020</v>
      </c>
      <c r="N8364" t="str">
        <f t="shared" si="3399"/>
        <v>001105018356</v>
      </c>
      <c r="O8364" t="str">
        <f t="shared" si="3400"/>
        <v>MYR</v>
      </c>
      <c r="P8364" t="str">
        <f t="shared" si="3413"/>
        <v>NIL</v>
      </c>
      <c r="Q8364" t="str">
        <f t="shared" si="3413"/>
        <v>NIL</v>
      </c>
      <c r="R8364" t="str">
        <f t="shared" si="3417"/>
        <v>Accepted</v>
      </c>
      <c r="S8364" t="str">
        <f t="shared" si="3402"/>
        <v>Approved</v>
      </c>
      <c r="T8364" t="str">
        <f t="shared" si="3418"/>
        <v>10.20.8.188</v>
      </c>
      <c r="U8364" t="str">
        <f t="shared" si="3403"/>
        <v>AZRAD UMAR BIN SHAARI</v>
      </c>
      <c r="V8364" t="str">
        <f t="shared" si="3404"/>
        <v>FARHANA BINTI MUSTAPA</v>
      </c>
      <c r="W8364" t="str">
        <f t="shared" si="3405"/>
        <v>04-08-2020</v>
      </c>
      <c r="X8364" t="str">
        <f t="shared" si="3406"/>
        <v>RAZIMAH ANSAR AHMAD</v>
      </c>
      <c r="Y8364" t="str">
        <f t="shared" si="3407"/>
        <v>04-08-2020</v>
      </c>
      <c r="Z8364" t="str">
        <f>"COS10200804 660"</f>
        <v>COS10200804 660</v>
      </c>
    </row>
    <row r="8365" spans="1:26" x14ac:dyDescent="0.25">
      <c r="A8365" t="str">
        <f t="shared" si="3414"/>
        <v>04-08-2020 12:30:41</v>
      </c>
      <c r="B8365" t="str">
        <f>"0000802530"</f>
        <v>0000802530</v>
      </c>
      <c r="C8365" t="str">
        <f t="shared" si="3415"/>
        <v>0000802471</v>
      </c>
      <c r="D8365" t="str">
        <f t="shared" si="3395"/>
        <v>73185</v>
      </c>
      <c r="E8365" t="str">
        <f t="shared" si="3396"/>
        <v>KFH-OPERATIONS DEPARTMENT</v>
      </c>
      <c r="F8365" t="str">
        <f t="shared" si="3397"/>
        <v>IBG</v>
      </c>
      <c r="G8365" t="str">
        <f t="shared" si="3408"/>
        <v>Refund COSHARE 10</v>
      </c>
      <c r="H8365" s="2">
        <v>858</v>
      </c>
      <c r="I8365" t="str">
        <f>"SHAMSILAWATI BINTI MUSTAFAR"</f>
        <v>SHAMSILAWATI BINTI MUSTAFAR</v>
      </c>
      <c r="J8365" t="str">
        <f t="shared" si="3416"/>
        <v>BANK ISLAM BHD</v>
      </c>
      <c r="K8365" t="str">
        <f>"03045020189128"</f>
        <v>03045020189128</v>
      </c>
      <c r="L8365" t="str">
        <f t="shared" si="3412"/>
        <v>04-08-2020</v>
      </c>
      <c r="M8365" t="str">
        <f t="shared" si="3412"/>
        <v>04-08-2020</v>
      </c>
      <c r="N8365" t="str">
        <f t="shared" si="3399"/>
        <v>001105018356</v>
      </c>
      <c r="O8365" t="str">
        <f t="shared" si="3400"/>
        <v>MYR</v>
      </c>
      <c r="P8365" t="str">
        <f t="shared" si="3413"/>
        <v>NIL</v>
      </c>
      <c r="Q8365" t="str">
        <f t="shared" si="3413"/>
        <v>NIL</v>
      </c>
      <c r="R8365" t="str">
        <f t="shared" si="3417"/>
        <v>Accepted</v>
      </c>
      <c r="S8365" t="str">
        <f t="shared" si="3402"/>
        <v>Approved</v>
      </c>
      <c r="T8365" t="str">
        <f t="shared" si="3418"/>
        <v>10.20.8.188</v>
      </c>
      <c r="U8365" t="str">
        <f t="shared" si="3403"/>
        <v>AZRAD UMAR BIN SHAARI</v>
      </c>
      <c r="V8365" t="str">
        <f t="shared" si="3404"/>
        <v>FARHANA BINTI MUSTAPA</v>
      </c>
      <c r="W8365" t="str">
        <f t="shared" si="3405"/>
        <v>04-08-2020</v>
      </c>
      <c r="X8365" t="str">
        <f t="shared" si="3406"/>
        <v>RAZIMAH ANSAR AHMAD</v>
      </c>
      <c r="Y8365" t="str">
        <f t="shared" si="3407"/>
        <v>04-08-2020</v>
      </c>
      <c r="Z8365" t="str">
        <f>"COS10200804 659"</f>
        <v>COS10200804 659</v>
      </c>
    </row>
    <row r="8366" spans="1:26" x14ac:dyDescent="0.25">
      <c r="A8366" t="str">
        <f t="shared" si="3414"/>
        <v>04-08-2020 12:30:41</v>
      </c>
      <c r="B8366" t="str">
        <f>"0000802529"</f>
        <v>0000802529</v>
      </c>
      <c r="C8366" t="str">
        <f t="shared" si="3415"/>
        <v>0000802471</v>
      </c>
      <c r="D8366" t="str">
        <f t="shared" si="3395"/>
        <v>73185</v>
      </c>
      <c r="E8366" t="str">
        <f t="shared" si="3396"/>
        <v>KFH-OPERATIONS DEPARTMENT</v>
      </c>
      <c r="F8366" t="str">
        <f t="shared" si="3397"/>
        <v>IBG</v>
      </c>
      <c r="G8366" t="str">
        <f t="shared" si="3408"/>
        <v>Refund COSHARE 10</v>
      </c>
      <c r="H8366" s="2">
        <v>1800.95</v>
      </c>
      <c r="I8366" t="str">
        <f>"SHAKIRAH BINTI MANSOR"</f>
        <v>SHAKIRAH BINTI MANSOR</v>
      </c>
      <c r="J8366" t="str">
        <f t="shared" si="3416"/>
        <v>BANK ISLAM BHD</v>
      </c>
      <c r="K8366" t="str">
        <f>"08095020004756"</f>
        <v>08095020004756</v>
      </c>
      <c r="L8366" t="str">
        <f t="shared" si="3412"/>
        <v>04-08-2020</v>
      </c>
      <c r="M8366" t="str">
        <f t="shared" si="3412"/>
        <v>04-08-2020</v>
      </c>
      <c r="N8366" t="str">
        <f t="shared" si="3399"/>
        <v>001105018356</v>
      </c>
      <c r="O8366" t="str">
        <f t="shared" si="3400"/>
        <v>MYR</v>
      </c>
      <c r="P8366" t="str">
        <f t="shared" si="3413"/>
        <v>NIL</v>
      </c>
      <c r="Q8366" t="str">
        <f t="shared" si="3413"/>
        <v>NIL</v>
      </c>
      <c r="R8366" t="str">
        <f t="shared" si="3417"/>
        <v>Accepted</v>
      </c>
      <c r="S8366" t="str">
        <f t="shared" si="3402"/>
        <v>Approved</v>
      </c>
      <c r="T8366" t="str">
        <f t="shared" si="3418"/>
        <v>10.20.8.188</v>
      </c>
      <c r="U8366" t="str">
        <f t="shared" si="3403"/>
        <v>AZRAD UMAR BIN SHAARI</v>
      </c>
      <c r="V8366" t="str">
        <f t="shared" si="3404"/>
        <v>FARHANA BINTI MUSTAPA</v>
      </c>
      <c r="W8366" t="str">
        <f t="shared" si="3405"/>
        <v>04-08-2020</v>
      </c>
      <c r="X8366" t="str">
        <f t="shared" si="3406"/>
        <v>RAZIMAH ANSAR AHMAD</v>
      </c>
      <c r="Y8366" t="str">
        <f t="shared" si="3407"/>
        <v>04-08-2020</v>
      </c>
      <c r="Z8366" t="str">
        <f>"COS10200804 658"</f>
        <v>COS10200804 658</v>
      </c>
    </row>
    <row r="8367" spans="1:26" x14ac:dyDescent="0.25">
      <c r="A8367" t="str">
        <f t="shared" si="3414"/>
        <v>04-08-2020 12:30:41</v>
      </c>
      <c r="B8367" t="str">
        <f>"0000802528"</f>
        <v>0000802528</v>
      </c>
      <c r="C8367" t="str">
        <f t="shared" si="3415"/>
        <v>0000802471</v>
      </c>
      <c r="D8367" t="str">
        <f t="shared" si="3395"/>
        <v>73185</v>
      </c>
      <c r="E8367" t="str">
        <f t="shared" si="3396"/>
        <v>KFH-OPERATIONS DEPARTMENT</v>
      </c>
      <c r="F8367" t="str">
        <f t="shared" si="3397"/>
        <v>IBG</v>
      </c>
      <c r="G8367" t="str">
        <f t="shared" si="3408"/>
        <v>Refund COSHARE 10</v>
      </c>
      <c r="H8367" s="2">
        <v>98.25</v>
      </c>
      <c r="I8367" t="str">
        <f>"SHAHRUDIN BIN ROSLI"</f>
        <v>SHAHRUDIN BIN ROSLI</v>
      </c>
      <c r="J8367" t="str">
        <f t="shared" si="3416"/>
        <v>BANK ISLAM BHD</v>
      </c>
      <c r="K8367" t="str">
        <f>"01032020210363"</f>
        <v>01032020210363</v>
      </c>
      <c r="L8367" t="str">
        <f t="shared" ref="L8367:M8386" si="3419">"04-08-2020"</f>
        <v>04-08-2020</v>
      </c>
      <c r="M8367" t="str">
        <f t="shared" si="3419"/>
        <v>04-08-2020</v>
      </c>
      <c r="N8367" t="str">
        <f t="shared" si="3399"/>
        <v>001105018356</v>
      </c>
      <c r="O8367" t="str">
        <f t="shared" si="3400"/>
        <v>MYR</v>
      </c>
      <c r="P8367" t="str">
        <f t="shared" ref="P8367:Q8386" si="3420">"NIL"</f>
        <v>NIL</v>
      </c>
      <c r="Q8367" t="str">
        <f t="shared" si="3420"/>
        <v>NIL</v>
      </c>
      <c r="R8367" t="str">
        <f t="shared" si="3417"/>
        <v>Accepted</v>
      </c>
      <c r="S8367" t="str">
        <f t="shared" si="3402"/>
        <v>Approved</v>
      </c>
      <c r="T8367" t="str">
        <f t="shared" si="3418"/>
        <v>10.20.8.188</v>
      </c>
      <c r="U8367" t="str">
        <f t="shared" si="3403"/>
        <v>AZRAD UMAR BIN SHAARI</v>
      </c>
      <c r="V8367" t="str">
        <f t="shared" si="3404"/>
        <v>FARHANA BINTI MUSTAPA</v>
      </c>
      <c r="W8367" t="str">
        <f t="shared" si="3405"/>
        <v>04-08-2020</v>
      </c>
      <c r="X8367" t="str">
        <f t="shared" si="3406"/>
        <v>RAZIMAH ANSAR AHMAD</v>
      </c>
      <c r="Y8367" t="str">
        <f t="shared" si="3407"/>
        <v>04-08-2020</v>
      </c>
      <c r="Z8367" t="str">
        <f>"COS10200804 657"</f>
        <v>COS10200804 657</v>
      </c>
    </row>
    <row r="8368" spans="1:26" x14ac:dyDescent="0.25">
      <c r="A8368" t="str">
        <f t="shared" si="3414"/>
        <v>04-08-2020 12:30:41</v>
      </c>
      <c r="B8368" t="str">
        <f>"0000802527"</f>
        <v>0000802527</v>
      </c>
      <c r="C8368" t="str">
        <f t="shared" si="3415"/>
        <v>0000802471</v>
      </c>
      <c r="D8368" t="str">
        <f t="shared" si="3395"/>
        <v>73185</v>
      </c>
      <c r="E8368" t="str">
        <f t="shared" si="3396"/>
        <v>KFH-OPERATIONS DEPARTMENT</v>
      </c>
      <c r="F8368" t="str">
        <f t="shared" si="3397"/>
        <v>IBG</v>
      </c>
      <c r="G8368" t="str">
        <f t="shared" si="3408"/>
        <v>Refund COSHARE 10</v>
      </c>
      <c r="H8368" s="2">
        <v>671.6</v>
      </c>
      <c r="I8368" t="str">
        <f>"SHAHROL AZIZI BIN ZAIDI"</f>
        <v>SHAHROL AZIZI BIN ZAIDI</v>
      </c>
      <c r="J8368" t="str">
        <f t="shared" si="3416"/>
        <v>BANK ISLAM BHD</v>
      </c>
      <c r="K8368" t="str">
        <f>"11040020733551"</f>
        <v>11040020733551</v>
      </c>
      <c r="L8368" t="str">
        <f t="shared" si="3419"/>
        <v>04-08-2020</v>
      </c>
      <c r="M8368" t="str">
        <f t="shared" si="3419"/>
        <v>04-08-2020</v>
      </c>
      <c r="N8368" t="str">
        <f t="shared" si="3399"/>
        <v>001105018356</v>
      </c>
      <c r="O8368" t="str">
        <f t="shared" si="3400"/>
        <v>MYR</v>
      </c>
      <c r="P8368" t="str">
        <f t="shared" si="3420"/>
        <v>NIL</v>
      </c>
      <c r="Q8368" t="str">
        <f t="shared" si="3420"/>
        <v>NIL</v>
      </c>
      <c r="R8368" t="str">
        <f t="shared" si="3417"/>
        <v>Accepted</v>
      </c>
      <c r="S8368" t="str">
        <f t="shared" si="3402"/>
        <v>Approved</v>
      </c>
      <c r="T8368" t="str">
        <f t="shared" si="3418"/>
        <v>10.20.8.188</v>
      </c>
      <c r="U8368" t="str">
        <f t="shared" si="3403"/>
        <v>AZRAD UMAR BIN SHAARI</v>
      </c>
      <c r="V8368" t="str">
        <f t="shared" si="3404"/>
        <v>FARHANA BINTI MUSTAPA</v>
      </c>
      <c r="W8368" t="str">
        <f t="shared" si="3405"/>
        <v>04-08-2020</v>
      </c>
      <c r="X8368" t="str">
        <f t="shared" si="3406"/>
        <v>RAZIMAH ANSAR AHMAD</v>
      </c>
      <c r="Y8368" t="str">
        <f t="shared" si="3407"/>
        <v>04-08-2020</v>
      </c>
      <c r="Z8368" t="str">
        <f>"COS10200804 656"</f>
        <v>COS10200804 656</v>
      </c>
    </row>
    <row r="8369" spans="1:26" x14ac:dyDescent="0.25">
      <c r="A8369" t="str">
        <f t="shared" si="3414"/>
        <v>04-08-2020 12:30:41</v>
      </c>
      <c r="B8369" t="str">
        <f>"0000802526"</f>
        <v>0000802526</v>
      </c>
      <c r="C8369" t="str">
        <f t="shared" si="3415"/>
        <v>0000802471</v>
      </c>
      <c r="D8369" t="str">
        <f t="shared" si="3395"/>
        <v>73185</v>
      </c>
      <c r="E8369" t="str">
        <f t="shared" si="3396"/>
        <v>KFH-OPERATIONS DEPARTMENT</v>
      </c>
      <c r="F8369" t="str">
        <f t="shared" si="3397"/>
        <v>IBG</v>
      </c>
      <c r="G8369" t="str">
        <f t="shared" si="3408"/>
        <v>Refund COSHARE 10</v>
      </c>
      <c r="H8369" s="2">
        <v>251.85</v>
      </c>
      <c r="I8369" t="str">
        <f>"SHAHRIR BIN ABDUL HADI"</f>
        <v>SHAHRIR BIN ABDUL HADI</v>
      </c>
      <c r="J8369" t="str">
        <f t="shared" si="3416"/>
        <v>BANK ISLAM BHD</v>
      </c>
      <c r="K8369" t="str">
        <f>"06037020180069"</f>
        <v>06037020180069</v>
      </c>
      <c r="L8369" t="str">
        <f t="shared" si="3419"/>
        <v>04-08-2020</v>
      </c>
      <c r="M8369" t="str">
        <f t="shared" si="3419"/>
        <v>04-08-2020</v>
      </c>
      <c r="N8369" t="str">
        <f t="shared" si="3399"/>
        <v>001105018356</v>
      </c>
      <c r="O8369" t="str">
        <f t="shared" si="3400"/>
        <v>MYR</v>
      </c>
      <c r="P8369" t="str">
        <f t="shared" si="3420"/>
        <v>NIL</v>
      </c>
      <c r="Q8369" t="str">
        <f t="shared" si="3420"/>
        <v>NIL</v>
      </c>
      <c r="R8369" t="str">
        <f t="shared" si="3417"/>
        <v>Accepted</v>
      </c>
      <c r="S8369" t="str">
        <f t="shared" si="3402"/>
        <v>Approved</v>
      </c>
      <c r="T8369" t="str">
        <f t="shared" si="3418"/>
        <v>10.20.8.188</v>
      </c>
      <c r="U8369" t="str">
        <f t="shared" si="3403"/>
        <v>AZRAD UMAR BIN SHAARI</v>
      </c>
      <c r="V8369" t="str">
        <f t="shared" si="3404"/>
        <v>FARHANA BINTI MUSTAPA</v>
      </c>
      <c r="W8369" t="str">
        <f t="shared" si="3405"/>
        <v>04-08-2020</v>
      </c>
      <c r="X8369" t="str">
        <f t="shared" si="3406"/>
        <v>RAZIMAH ANSAR AHMAD</v>
      </c>
      <c r="Y8369" t="str">
        <f t="shared" si="3407"/>
        <v>04-08-2020</v>
      </c>
      <c r="Z8369" t="str">
        <f>"COS10200804 655"</f>
        <v>COS10200804 655</v>
      </c>
    </row>
    <row r="8370" spans="1:26" x14ac:dyDescent="0.25">
      <c r="A8370" t="str">
        <f t="shared" si="3414"/>
        <v>04-08-2020 12:30:41</v>
      </c>
      <c r="B8370" t="str">
        <f>"0000802525"</f>
        <v>0000802525</v>
      </c>
      <c r="C8370" t="str">
        <f t="shared" si="3415"/>
        <v>0000802471</v>
      </c>
      <c r="D8370" t="str">
        <f t="shared" si="3395"/>
        <v>73185</v>
      </c>
      <c r="E8370" t="str">
        <f t="shared" si="3396"/>
        <v>KFH-OPERATIONS DEPARTMENT</v>
      </c>
      <c r="F8370" t="str">
        <f t="shared" si="3397"/>
        <v>IBG</v>
      </c>
      <c r="G8370" t="str">
        <f t="shared" si="3408"/>
        <v>Refund COSHARE 10</v>
      </c>
      <c r="H8370" s="2">
        <v>1469.15</v>
      </c>
      <c r="I8370" t="str">
        <f>"SHAHRILIZAL BIN MOHAMED ISA"</f>
        <v>SHAHRILIZAL BIN MOHAMED ISA</v>
      </c>
      <c r="J8370" t="str">
        <f t="shared" si="3416"/>
        <v>BANK ISLAM BHD</v>
      </c>
      <c r="K8370" t="str">
        <f>"06028020268004"</f>
        <v>06028020268004</v>
      </c>
      <c r="L8370" t="str">
        <f t="shared" si="3419"/>
        <v>04-08-2020</v>
      </c>
      <c r="M8370" t="str">
        <f t="shared" si="3419"/>
        <v>04-08-2020</v>
      </c>
      <c r="N8370" t="str">
        <f t="shared" si="3399"/>
        <v>001105018356</v>
      </c>
      <c r="O8370" t="str">
        <f t="shared" si="3400"/>
        <v>MYR</v>
      </c>
      <c r="P8370" t="str">
        <f t="shared" si="3420"/>
        <v>NIL</v>
      </c>
      <c r="Q8370" t="str">
        <f t="shared" si="3420"/>
        <v>NIL</v>
      </c>
      <c r="R8370" t="str">
        <f t="shared" si="3417"/>
        <v>Accepted</v>
      </c>
      <c r="S8370" t="str">
        <f t="shared" si="3402"/>
        <v>Approved</v>
      </c>
      <c r="T8370" t="str">
        <f t="shared" si="3418"/>
        <v>10.20.8.188</v>
      </c>
      <c r="U8370" t="str">
        <f t="shared" si="3403"/>
        <v>AZRAD UMAR BIN SHAARI</v>
      </c>
      <c r="V8370" t="str">
        <f t="shared" si="3404"/>
        <v>FARHANA BINTI MUSTAPA</v>
      </c>
      <c r="W8370" t="str">
        <f t="shared" si="3405"/>
        <v>04-08-2020</v>
      </c>
      <c r="X8370" t="str">
        <f t="shared" si="3406"/>
        <v>RAZIMAH ANSAR AHMAD</v>
      </c>
      <c r="Y8370" t="str">
        <f t="shared" si="3407"/>
        <v>04-08-2020</v>
      </c>
      <c r="Z8370" t="str">
        <f>"COS10200804 654"</f>
        <v>COS10200804 654</v>
      </c>
    </row>
    <row r="8371" spans="1:26" x14ac:dyDescent="0.25">
      <c r="A8371" t="str">
        <f t="shared" si="3414"/>
        <v>04-08-2020 12:30:41</v>
      </c>
      <c r="B8371" t="str">
        <f>"0000802524"</f>
        <v>0000802524</v>
      </c>
      <c r="C8371" t="str">
        <f t="shared" si="3415"/>
        <v>0000802471</v>
      </c>
      <c r="D8371" t="str">
        <f t="shared" si="3395"/>
        <v>73185</v>
      </c>
      <c r="E8371" t="str">
        <f t="shared" si="3396"/>
        <v>KFH-OPERATIONS DEPARTMENT</v>
      </c>
      <c r="F8371" t="str">
        <f t="shared" si="3397"/>
        <v>IBG</v>
      </c>
      <c r="G8371" t="str">
        <f t="shared" si="3408"/>
        <v>Refund COSHARE 10</v>
      </c>
      <c r="H8371" s="2">
        <v>654.85</v>
      </c>
      <c r="I8371" t="str">
        <f>"SHAHPOUR BAKHTIAR BIN ABDUL MUTALIB"</f>
        <v>SHAHPOUR BAKHTIAR BIN ABDUL MUTALIB</v>
      </c>
      <c r="J8371" t="str">
        <f t="shared" si="3416"/>
        <v>BANK ISLAM BHD</v>
      </c>
      <c r="K8371" t="str">
        <f>"11068020001528"</f>
        <v>11068020001528</v>
      </c>
      <c r="L8371" t="str">
        <f t="shared" si="3419"/>
        <v>04-08-2020</v>
      </c>
      <c r="M8371" t="str">
        <f t="shared" si="3419"/>
        <v>04-08-2020</v>
      </c>
      <c r="N8371" t="str">
        <f t="shared" si="3399"/>
        <v>001105018356</v>
      </c>
      <c r="O8371" t="str">
        <f t="shared" si="3400"/>
        <v>MYR</v>
      </c>
      <c r="P8371" t="str">
        <f t="shared" si="3420"/>
        <v>NIL</v>
      </c>
      <c r="Q8371" t="str">
        <f t="shared" si="3420"/>
        <v>NIL</v>
      </c>
      <c r="R8371" t="str">
        <f t="shared" si="3417"/>
        <v>Accepted</v>
      </c>
      <c r="S8371" t="str">
        <f t="shared" si="3402"/>
        <v>Approved</v>
      </c>
      <c r="T8371" t="str">
        <f t="shared" si="3418"/>
        <v>10.20.8.188</v>
      </c>
      <c r="U8371" t="str">
        <f t="shared" si="3403"/>
        <v>AZRAD UMAR BIN SHAARI</v>
      </c>
      <c r="V8371" t="str">
        <f t="shared" si="3404"/>
        <v>FARHANA BINTI MUSTAPA</v>
      </c>
      <c r="W8371" t="str">
        <f t="shared" si="3405"/>
        <v>04-08-2020</v>
      </c>
      <c r="X8371" t="str">
        <f t="shared" si="3406"/>
        <v>RAZIMAH ANSAR AHMAD</v>
      </c>
      <c r="Y8371" t="str">
        <f t="shared" si="3407"/>
        <v>04-08-2020</v>
      </c>
      <c r="Z8371" t="str">
        <f>"COS10200804 653"</f>
        <v>COS10200804 653</v>
      </c>
    </row>
    <row r="8372" spans="1:26" x14ac:dyDescent="0.25">
      <c r="A8372" t="str">
        <f t="shared" si="3414"/>
        <v>04-08-2020 12:30:41</v>
      </c>
      <c r="B8372" t="str">
        <f>"0000802523"</f>
        <v>0000802523</v>
      </c>
      <c r="C8372" t="str">
        <f t="shared" si="3415"/>
        <v>0000802471</v>
      </c>
      <c r="D8372" t="str">
        <f t="shared" si="3395"/>
        <v>73185</v>
      </c>
      <c r="E8372" t="str">
        <f t="shared" si="3396"/>
        <v>KFH-OPERATIONS DEPARTMENT</v>
      </c>
      <c r="F8372" t="str">
        <f t="shared" si="3397"/>
        <v>IBG</v>
      </c>
      <c r="G8372" t="str">
        <f t="shared" si="3408"/>
        <v>Refund COSHARE 10</v>
      </c>
      <c r="H8372" s="2">
        <v>1427.15</v>
      </c>
      <c r="I8372" t="str">
        <f>"SHAHDATUL ASIQQIN BINTI YAHAYA"</f>
        <v>SHAHDATUL ASIQQIN BINTI YAHAYA</v>
      </c>
      <c r="J8372" t="str">
        <f t="shared" si="3416"/>
        <v>BANK ISLAM BHD</v>
      </c>
      <c r="K8372" t="str">
        <f>"12038020477006"</f>
        <v>12038020477006</v>
      </c>
      <c r="L8372" t="str">
        <f t="shared" si="3419"/>
        <v>04-08-2020</v>
      </c>
      <c r="M8372" t="str">
        <f t="shared" si="3419"/>
        <v>04-08-2020</v>
      </c>
      <c r="N8372" t="str">
        <f t="shared" si="3399"/>
        <v>001105018356</v>
      </c>
      <c r="O8372" t="str">
        <f t="shared" si="3400"/>
        <v>MYR</v>
      </c>
      <c r="P8372" t="str">
        <f t="shared" si="3420"/>
        <v>NIL</v>
      </c>
      <c r="Q8372" t="str">
        <f t="shared" si="3420"/>
        <v>NIL</v>
      </c>
      <c r="R8372" t="str">
        <f t="shared" si="3417"/>
        <v>Accepted</v>
      </c>
      <c r="S8372" t="str">
        <f t="shared" si="3402"/>
        <v>Approved</v>
      </c>
      <c r="T8372" t="str">
        <f t="shared" si="3418"/>
        <v>10.20.8.188</v>
      </c>
      <c r="U8372" t="str">
        <f t="shared" si="3403"/>
        <v>AZRAD UMAR BIN SHAARI</v>
      </c>
      <c r="V8372" t="str">
        <f t="shared" si="3404"/>
        <v>FARHANA BINTI MUSTAPA</v>
      </c>
      <c r="W8372" t="str">
        <f t="shared" si="3405"/>
        <v>04-08-2020</v>
      </c>
      <c r="X8372" t="str">
        <f t="shared" si="3406"/>
        <v>RAZIMAH ANSAR AHMAD</v>
      </c>
      <c r="Y8372" t="str">
        <f t="shared" si="3407"/>
        <v>04-08-2020</v>
      </c>
      <c r="Z8372" t="str">
        <f>"COS10200804 652"</f>
        <v>COS10200804 652</v>
      </c>
    </row>
    <row r="8373" spans="1:26" x14ac:dyDescent="0.25">
      <c r="A8373" t="str">
        <f t="shared" si="3414"/>
        <v>04-08-2020 12:30:41</v>
      </c>
      <c r="B8373" t="str">
        <f>"0000802522"</f>
        <v>0000802522</v>
      </c>
      <c r="C8373" t="str">
        <f t="shared" si="3415"/>
        <v>0000802471</v>
      </c>
      <c r="D8373" t="str">
        <f t="shared" si="3395"/>
        <v>73185</v>
      </c>
      <c r="E8373" t="str">
        <f t="shared" si="3396"/>
        <v>KFH-OPERATIONS DEPARTMENT</v>
      </c>
      <c r="F8373" t="str">
        <f t="shared" si="3397"/>
        <v>IBG</v>
      </c>
      <c r="G8373" t="str">
        <f t="shared" si="3408"/>
        <v>Refund COSHARE 10</v>
      </c>
      <c r="H8373" s="2">
        <v>142</v>
      </c>
      <c r="I8373" t="str">
        <f>"SHAFIE BIN MAHMOOD"</f>
        <v>SHAFIE BIN MAHMOOD</v>
      </c>
      <c r="J8373" t="str">
        <f t="shared" si="3416"/>
        <v>BANK ISLAM BHD</v>
      </c>
      <c r="K8373" t="str">
        <f>"03036020194457"</f>
        <v>03036020194457</v>
      </c>
      <c r="L8373" t="str">
        <f t="shared" si="3419"/>
        <v>04-08-2020</v>
      </c>
      <c r="M8373" t="str">
        <f t="shared" si="3419"/>
        <v>04-08-2020</v>
      </c>
      <c r="N8373" t="str">
        <f t="shared" si="3399"/>
        <v>001105018356</v>
      </c>
      <c r="O8373" t="str">
        <f t="shared" si="3400"/>
        <v>MYR</v>
      </c>
      <c r="P8373" t="str">
        <f t="shared" si="3420"/>
        <v>NIL</v>
      </c>
      <c r="Q8373" t="str">
        <f t="shared" si="3420"/>
        <v>NIL</v>
      </c>
      <c r="R8373" t="str">
        <f t="shared" si="3417"/>
        <v>Accepted</v>
      </c>
      <c r="S8373" t="str">
        <f t="shared" si="3402"/>
        <v>Approved</v>
      </c>
      <c r="T8373" t="str">
        <f t="shared" si="3418"/>
        <v>10.20.8.188</v>
      </c>
      <c r="U8373" t="str">
        <f t="shared" si="3403"/>
        <v>AZRAD UMAR BIN SHAARI</v>
      </c>
      <c r="V8373" t="str">
        <f t="shared" si="3404"/>
        <v>FARHANA BINTI MUSTAPA</v>
      </c>
      <c r="W8373" t="str">
        <f t="shared" si="3405"/>
        <v>04-08-2020</v>
      </c>
      <c r="X8373" t="str">
        <f t="shared" si="3406"/>
        <v>RAZIMAH ANSAR AHMAD</v>
      </c>
      <c r="Y8373" t="str">
        <f t="shared" si="3407"/>
        <v>04-08-2020</v>
      </c>
      <c r="Z8373" t="str">
        <f>"COS10200804 651"</f>
        <v>COS10200804 651</v>
      </c>
    </row>
    <row r="8374" spans="1:26" x14ac:dyDescent="0.25">
      <c r="A8374" t="str">
        <f t="shared" si="3414"/>
        <v>04-08-2020 12:30:41</v>
      </c>
      <c r="B8374" t="str">
        <f>"0000802521"</f>
        <v>0000802521</v>
      </c>
      <c r="C8374" t="str">
        <f t="shared" si="3415"/>
        <v>0000802471</v>
      </c>
      <c r="D8374" t="str">
        <f t="shared" si="3395"/>
        <v>73185</v>
      </c>
      <c r="E8374" t="str">
        <f t="shared" si="3396"/>
        <v>KFH-OPERATIONS DEPARTMENT</v>
      </c>
      <c r="F8374" t="str">
        <f t="shared" si="3397"/>
        <v>IBG</v>
      </c>
      <c r="G8374" t="str">
        <f t="shared" si="3408"/>
        <v>Refund COSHARE 10</v>
      </c>
      <c r="H8374" s="2">
        <v>260</v>
      </c>
      <c r="I8374" t="str">
        <f>"SERIKA BINTI KAMAL"</f>
        <v>SERIKA BINTI KAMAL</v>
      </c>
      <c r="J8374" t="str">
        <f t="shared" si="3416"/>
        <v>BANK ISLAM BHD</v>
      </c>
      <c r="K8374" t="str">
        <f>"10043020021300"</f>
        <v>10043020021300</v>
      </c>
      <c r="L8374" t="str">
        <f t="shared" si="3419"/>
        <v>04-08-2020</v>
      </c>
      <c r="M8374" t="str">
        <f t="shared" si="3419"/>
        <v>04-08-2020</v>
      </c>
      <c r="N8374" t="str">
        <f t="shared" si="3399"/>
        <v>001105018356</v>
      </c>
      <c r="O8374" t="str">
        <f t="shared" si="3400"/>
        <v>MYR</v>
      </c>
      <c r="P8374" t="str">
        <f t="shared" si="3420"/>
        <v>NIL</v>
      </c>
      <c r="Q8374" t="str">
        <f t="shared" si="3420"/>
        <v>NIL</v>
      </c>
      <c r="R8374" t="str">
        <f t="shared" si="3417"/>
        <v>Accepted</v>
      </c>
      <c r="S8374" t="str">
        <f t="shared" si="3402"/>
        <v>Approved</v>
      </c>
      <c r="T8374" t="str">
        <f t="shared" si="3418"/>
        <v>10.20.8.188</v>
      </c>
      <c r="U8374" t="str">
        <f t="shared" si="3403"/>
        <v>AZRAD UMAR BIN SHAARI</v>
      </c>
      <c r="V8374" t="str">
        <f t="shared" si="3404"/>
        <v>FARHANA BINTI MUSTAPA</v>
      </c>
      <c r="W8374" t="str">
        <f t="shared" si="3405"/>
        <v>04-08-2020</v>
      </c>
      <c r="X8374" t="str">
        <f t="shared" si="3406"/>
        <v>RAZIMAH ANSAR AHMAD</v>
      </c>
      <c r="Y8374" t="str">
        <f t="shared" si="3407"/>
        <v>04-08-2020</v>
      </c>
      <c r="Z8374" t="str">
        <f>"COS10200804 650"</f>
        <v>COS10200804 650</v>
      </c>
    </row>
    <row r="8375" spans="1:26" x14ac:dyDescent="0.25">
      <c r="A8375" t="str">
        <f t="shared" si="3414"/>
        <v>04-08-2020 12:30:41</v>
      </c>
      <c r="B8375" t="str">
        <f>"0000802520"</f>
        <v>0000802520</v>
      </c>
      <c r="C8375" t="str">
        <f t="shared" si="3415"/>
        <v>0000802471</v>
      </c>
      <c r="D8375" t="str">
        <f t="shared" si="3395"/>
        <v>73185</v>
      </c>
      <c r="E8375" t="str">
        <f t="shared" si="3396"/>
        <v>KFH-OPERATIONS DEPARTMENT</v>
      </c>
      <c r="F8375" t="str">
        <f t="shared" si="3397"/>
        <v>IBG</v>
      </c>
      <c r="G8375" t="str">
        <f t="shared" si="3408"/>
        <v>Refund COSHARE 10</v>
      </c>
      <c r="H8375" s="2">
        <v>358.15</v>
      </c>
      <c r="I8375" t="str">
        <f>"SAZZELI BIN MOHD NOOR"</f>
        <v>SAZZELI BIN MOHD NOOR</v>
      </c>
      <c r="J8375" t="str">
        <f t="shared" si="3416"/>
        <v>BANK ISLAM BHD</v>
      </c>
      <c r="K8375" t="str">
        <f>"12113020293370"</f>
        <v>12113020293370</v>
      </c>
      <c r="L8375" t="str">
        <f t="shared" si="3419"/>
        <v>04-08-2020</v>
      </c>
      <c r="M8375" t="str">
        <f t="shared" si="3419"/>
        <v>04-08-2020</v>
      </c>
      <c r="N8375" t="str">
        <f t="shared" si="3399"/>
        <v>001105018356</v>
      </c>
      <c r="O8375" t="str">
        <f t="shared" si="3400"/>
        <v>MYR</v>
      </c>
      <c r="P8375" t="str">
        <f t="shared" si="3420"/>
        <v>NIL</v>
      </c>
      <c r="Q8375" t="str">
        <f t="shared" si="3420"/>
        <v>NIL</v>
      </c>
      <c r="R8375" t="str">
        <f t="shared" si="3417"/>
        <v>Accepted</v>
      </c>
      <c r="S8375" t="str">
        <f t="shared" si="3402"/>
        <v>Approved</v>
      </c>
      <c r="T8375" t="str">
        <f t="shared" si="3418"/>
        <v>10.20.8.188</v>
      </c>
      <c r="U8375" t="str">
        <f t="shared" si="3403"/>
        <v>AZRAD UMAR BIN SHAARI</v>
      </c>
      <c r="V8375" t="str">
        <f t="shared" si="3404"/>
        <v>FARHANA BINTI MUSTAPA</v>
      </c>
      <c r="W8375" t="str">
        <f t="shared" si="3405"/>
        <v>04-08-2020</v>
      </c>
      <c r="X8375" t="str">
        <f t="shared" si="3406"/>
        <v>RAZIMAH ANSAR AHMAD</v>
      </c>
      <c r="Y8375" t="str">
        <f t="shared" si="3407"/>
        <v>04-08-2020</v>
      </c>
      <c r="Z8375" t="str">
        <f>"COS10200804 649"</f>
        <v>COS10200804 649</v>
      </c>
    </row>
    <row r="8376" spans="1:26" x14ac:dyDescent="0.25">
      <c r="A8376" t="str">
        <f t="shared" si="3414"/>
        <v>04-08-2020 12:30:41</v>
      </c>
      <c r="B8376" t="str">
        <f>"0000802519"</f>
        <v>0000802519</v>
      </c>
      <c r="C8376" t="str">
        <f t="shared" si="3415"/>
        <v>0000802471</v>
      </c>
      <c r="D8376" t="str">
        <f t="shared" si="3395"/>
        <v>73185</v>
      </c>
      <c r="E8376" t="str">
        <f t="shared" si="3396"/>
        <v>KFH-OPERATIONS DEPARTMENT</v>
      </c>
      <c r="F8376" t="str">
        <f t="shared" si="3397"/>
        <v>IBG</v>
      </c>
      <c r="G8376" t="str">
        <f t="shared" si="3408"/>
        <v>Refund COSHARE 10</v>
      </c>
      <c r="H8376" s="2">
        <v>491.15</v>
      </c>
      <c r="I8376" t="str">
        <f>"SAZLEE SYARIEFF BIN RANTANI"</f>
        <v>SAZLEE SYARIEFF BIN RANTANI</v>
      </c>
      <c r="J8376" t="str">
        <f t="shared" si="3416"/>
        <v>BANK ISLAM BHD</v>
      </c>
      <c r="K8376" t="str">
        <f>"11040020731460"</f>
        <v>11040020731460</v>
      </c>
      <c r="L8376" t="str">
        <f t="shared" si="3419"/>
        <v>04-08-2020</v>
      </c>
      <c r="M8376" t="str">
        <f t="shared" si="3419"/>
        <v>04-08-2020</v>
      </c>
      <c r="N8376" t="str">
        <f t="shared" si="3399"/>
        <v>001105018356</v>
      </c>
      <c r="O8376" t="str">
        <f t="shared" si="3400"/>
        <v>MYR</v>
      </c>
      <c r="P8376" t="str">
        <f t="shared" si="3420"/>
        <v>NIL</v>
      </c>
      <c r="Q8376" t="str">
        <f t="shared" si="3420"/>
        <v>NIL</v>
      </c>
      <c r="R8376" t="str">
        <f t="shared" si="3417"/>
        <v>Accepted</v>
      </c>
      <c r="S8376" t="str">
        <f t="shared" si="3402"/>
        <v>Approved</v>
      </c>
      <c r="T8376" t="str">
        <f t="shared" si="3418"/>
        <v>10.20.8.188</v>
      </c>
      <c r="U8376" t="str">
        <f t="shared" si="3403"/>
        <v>AZRAD UMAR BIN SHAARI</v>
      </c>
      <c r="V8376" t="str">
        <f t="shared" si="3404"/>
        <v>FARHANA BINTI MUSTAPA</v>
      </c>
      <c r="W8376" t="str">
        <f t="shared" si="3405"/>
        <v>04-08-2020</v>
      </c>
      <c r="X8376" t="str">
        <f t="shared" si="3406"/>
        <v>RAZIMAH ANSAR AHMAD</v>
      </c>
      <c r="Y8376" t="str">
        <f t="shared" si="3407"/>
        <v>04-08-2020</v>
      </c>
      <c r="Z8376" t="str">
        <f>"COS10200804 648"</f>
        <v>COS10200804 648</v>
      </c>
    </row>
    <row r="8377" spans="1:26" x14ac:dyDescent="0.25">
      <c r="A8377" t="str">
        <f t="shared" si="3414"/>
        <v>04-08-2020 12:30:41</v>
      </c>
      <c r="B8377" t="str">
        <f>"0000802518"</f>
        <v>0000802518</v>
      </c>
      <c r="C8377" t="str">
        <f t="shared" si="3415"/>
        <v>0000802471</v>
      </c>
      <c r="D8377" t="str">
        <f t="shared" si="3395"/>
        <v>73185</v>
      </c>
      <c r="E8377" t="str">
        <f t="shared" si="3396"/>
        <v>KFH-OPERATIONS DEPARTMENT</v>
      </c>
      <c r="F8377" t="str">
        <f t="shared" si="3397"/>
        <v>IBG</v>
      </c>
      <c r="G8377" t="str">
        <f t="shared" si="3408"/>
        <v>Refund COSHARE 10</v>
      </c>
      <c r="H8377" s="2">
        <v>75.75</v>
      </c>
      <c r="I8377" t="str">
        <f>"SAYUTI BIN IBRAHIM"</f>
        <v>SAYUTI BIN IBRAHIM</v>
      </c>
      <c r="J8377" t="str">
        <f t="shared" si="3416"/>
        <v>BANK ISLAM BHD</v>
      </c>
      <c r="K8377" t="str">
        <f>"03054020192609"</f>
        <v>03054020192609</v>
      </c>
      <c r="L8377" t="str">
        <f t="shared" si="3419"/>
        <v>04-08-2020</v>
      </c>
      <c r="M8377" t="str">
        <f t="shared" si="3419"/>
        <v>04-08-2020</v>
      </c>
      <c r="N8377" t="str">
        <f t="shared" si="3399"/>
        <v>001105018356</v>
      </c>
      <c r="O8377" t="str">
        <f t="shared" si="3400"/>
        <v>MYR</v>
      </c>
      <c r="P8377" t="str">
        <f t="shared" si="3420"/>
        <v>NIL</v>
      </c>
      <c r="Q8377" t="str">
        <f t="shared" si="3420"/>
        <v>NIL</v>
      </c>
      <c r="R8377" t="str">
        <f t="shared" si="3417"/>
        <v>Accepted</v>
      </c>
      <c r="S8377" t="str">
        <f t="shared" si="3402"/>
        <v>Approved</v>
      </c>
      <c r="T8377" t="str">
        <f t="shared" si="3418"/>
        <v>10.20.8.188</v>
      </c>
      <c r="U8377" t="str">
        <f t="shared" si="3403"/>
        <v>AZRAD UMAR BIN SHAARI</v>
      </c>
      <c r="V8377" t="str">
        <f t="shared" si="3404"/>
        <v>FARHANA BINTI MUSTAPA</v>
      </c>
      <c r="W8377" t="str">
        <f t="shared" si="3405"/>
        <v>04-08-2020</v>
      </c>
      <c r="X8377" t="str">
        <f t="shared" si="3406"/>
        <v>RAZIMAH ANSAR AHMAD</v>
      </c>
      <c r="Y8377" t="str">
        <f t="shared" si="3407"/>
        <v>04-08-2020</v>
      </c>
      <c r="Z8377" t="str">
        <f>"COS10200804 647"</f>
        <v>COS10200804 647</v>
      </c>
    </row>
    <row r="8378" spans="1:26" x14ac:dyDescent="0.25">
      <c r="A8378" t="str">
        <f t="shared" si="3414"/>
        <v>04-08-2020 12:30:41</v>
      </c>
      <c r="B8378" t="str">
        <f>"0000802517"</f>
        <v>0000802517</v>
      </c>
      <c r="C8378" t="str">
        <f t="shared" si="3415"/>
        <v>0000802471</v>
      </c>
      <c r="D8378" t="str">
        <f t="shared" si="3395"/>
        <v>73185</v>
      </c>
      <c r="E8378" t="str">
        <f t="shared" si="3396"/>
        <v>KFH-OPERATIONS DEPARTMENT</v>
      </c>
      <c r="F8378" t="str">
        <f t="shared" si="3397"/>
        <v>IBG</v>
      </c>
      <c r="G8378" t="str">
        <f t="shared" si="3408"/>
        <v>Refund COSHARE 10</v>
      </c>
      <c r="H8378" s="2">
        <v>820</v>
      </c>
      <c r="I8378" t="str">
        <f>"SANTI BINTI SAUJAR"</f>
        <v>SANTI BINTI SAUJAR</v>
      </c>
      <c r="J8378" t="str">
        <f t="shared" si="3416"/>
        <v>BANK ISLAM BHD</v>
      </c>
      <c r="K8378" t="str">
        <f>"10016020231219"</f>
        <v>10016020231219</v>
      </c>
      <c r="L8378" t="str">
        <f t="shared" si="3419"/>
        <v>04-08-2020</v>
      </c>
      <c r="M8378" t="str">
        <f t="shared" si="3419"/>
        <v>04-08-2020</v>
      </c>
      <c r="N8378" t="str">
        <f t="shared" si="3399"/>
        <v>001105018356</v>
      </c>
      <c r="O8378" t="str">
        <f t="shared" si="3400"/>
        <v>MYR</v>
      </c>
      <c r="P8378" t="str">
        <f t="shared" si="3420"/>
        <v>NIL</v>
      </c>
      <c r="Q8378" t="str">
        <f t="shared" si="3420"/>
        <v>NIL</v>
      </c>
      <c r="R8378" t="str">
        <f t="shared" si="3417"/>
        <v>Accepted</v>
      </c>
      <c r="S8378" t="str">
        <f t="shared" si="3402"/>
        <v>Approved</v>
      </c>
      <c r="T8378" t="str">
        <f t="shared" si="3418"/>
        <v>10.20.8.188</v>
      </c>
      <c r="U8378" t="str">
        <f t="shared" si="3403"/>
        <v>AZRAD UMAR BIN SHAARI</v>
      </c>
      <c r="V8378" t="str">
        <f t="shared" si="3404"/>
        <v>FARHANA BINTI MUSTAPA</v>
      </c>
      <c r="W8378" t="str">
        <f t="shared" si="3405"/>
        <v>04-08-2020</v>
      </c>
      <c r="X8378" t="str">
        <f t="shared" si="3406"/>
        <v>RAZIMAH ANSAR AHMAD</v>
      </c>
      <c r="Y8378" t="str">
        <f t="shared" si="3407"/>
        <v>04-08-2020</v>
      </c>
      <c r="Z8378" t="str">
        <f>"COS10200804 646"</f>
        <v>COS10200804 646</v>
      </c>
    </row>
    <row r="8379" spans="1:26" x14ac:dyDescent="0.25">
      <c r="A8379" t="str">
        <f t="shared" si="3414"/>
        <v>04-08-2020 12:30:41</v>
      </c>
      <c r="B8379" t="str">
        <f>"0000802516"</f>
        <v>0000802516</v>
      </c>
      <c r="C8379" t="str">
        <f t="shared" si="3415"/>
        <v>0000802471</v>
      </c>
      <c r="D8379" t="str">
        <f t="shared" si="3395"/>
        <v>73185</v>
      </c>
      <c r="E8379" t="str">
        <f t="shared" si="3396"/>
        <v>KFH-OPERATIONS DEPARTMENT</v>
      </c>
      <c r="F8379" t="str">
        <f t="shared" si="3397"/>
        <v>IBG</v>
      </c>
      <c r="G8379" t="str">
        <f t="shared" si="3408"/>
        <v>Refund COSHARE 10</v>
      </c>
      <c r="H8379" s="2">
        <v>167.9</v>
      </c>
      <c r="I8379" t="str">
        <f>"SAMAD BIN SAAD"</f>
        <v>SAMAD BIN SAAD</v>
      </c>
      <c r="J8379" t="str">
        <f t="shared" si="3416"/>
        <v>BANK ISLAM BHD</v>
      </c>
      <c r="K8379" t="str">
        <f>"07043020170296"</f>
        <v>07043020170296</v>
      </c>
      <c r="L8379" t="str">
        <f t="shared" si="3419"/>
        <v>04-08-2020</v>
      </c>
      <c r="M8379" t="str">
        <f t="shared" si="3419"/>
        <v>04-08-2020</v>
      </c>
      <c r="N8379" t="str">
        <f t="shared" si="3399"/>
        <v>001105018356</v>
      </c>
      <c r="O8379" t="str">
        <f t="shared" si="3400"/>
        <v>MYR</v>
      </c>
      <c r="P8379" t="str">
        <f t="shared" si="3420"/>
        <v>NIL</v>
      </c>
      <c r="Q8379" t="str">
        <f t="shared" si="3420"/>
        <v>NIL</v>
      </c>
      <c r="R8379" t="str">
        <f t="shared" si="3417"/>
        <v>Accepted</v>
      </c>
      <c r="S8379" t="str">
        <f t="shared" si="3402"/>
        <v>Approved</v>
      </c>
      <c r="T8379" t="str">
        <f t="shared" si="3418"/>
        <v>10.20.8.188</v>
      </c>
      <c r="U8379" t="str">
        <f t="shared" si="3403"/>
        <v>AZRAD UMAR BIN SHAARI</v>
      </c>
      <c r="V8379" t="str">
        <f t="shared" si="3404"/>
        <v>FARHANA BINTI MUSTAPA</v>
      </c>
      <c r="W8379" t="str">
        <f t="shared" si="3405"/>
        <v>04-08-2020</v>
      </c>
      <c r="X8379" t="str">
        <f t="shared" si="3406"/>
        <v>RAZIMAH ANSAR AHMAD</v>
      </c>
      <c r="Y8379" t="str">
        <f t="shared" si="3407"/>
        <v>04-08-2020</v>
      </c>
      <c r="Z8379" t="str">
        <f>"COS10200804 645"</f>
        <v>COS10200804 645</v>
      </c>
    </row>
    <row r="8380" spans="1:26" x14ac:dyDescent="0.25">
      <c r="A8380" t="str">
        <f t="shared" si="3414"/>
        <v>04-08-2020 12:30:41</v>
      </c>
      <c r="B8380" t="str">
        <f>"0000802515"</f>
        <v>0000802515</v>
      </c>
      <c r="C8380" t="str">
        <f t="shared" si="3415"/>
        <v>0000802471</v>
      </c>
      <c r="D8380" t="str">
        <f t="shared" si="3395"/>
        <v>73185</v>
      </c>
      <c r="E8380" t="str">
        <f t="shared" si="3396"/>
        <v>KFH-OPERATIONS DEPARTMENT</v>
      </c>
      <c r="F8380" t="str">
        <f t="shared" si="3397"/>
        <v>IBG</v>
      </c>
      <c r="G8380" t="str">
        <f t="shared" si="3408"/>
        <v>Refund COSHARE 10</v>
      </c>
      <c r="H8380" s="2">
        <v>654.85</v>
      </c>
      <c r="I8380" t="str">
        <f>"SALWA BT HUSSIN"</f>
        <v>SALWA BT HUSSIN</v>
      </c>
      <c r="J8380" t="str">
        <f t="shared" si="3416"/>
        <v>BANK ISLAM BHD</v>
      </c>
      <c r="K8380" t="str">
        <f>"03018020891984"</f>
        <v>03018020891984</v>
      </c>
      <c r="L8380" t="str">
        <f t="shared" si="3419"/>
        <v>04-08-2020</v>
      </c>
      <c r="M8380" t="str">
        <f t="shared" si="3419"/>
        <v>04-08-2020</v>
      </c>
      <c r="N8380" t="str">
        <f t="shared" si="3399"/>
        <v>001105018356</v>
      </c>
      <c r="O8380" t="str">
        <f t="shared" si="3400"/>
        <v>MYR</v>
      </c>
      <c r="P8380" t="str">
        <f t="shared" si="3420"/>
        <v>NIL</v>
      </c>
      <c r="Q8380" t="str">
        <f t="shared" si="3420"/>
        <v>NIL</v>
      </c>
      <c r="R8380" t="str">
        <f t="shared" si="3417"/>
        <v>Accepted</v>
      </c>
      <c r="S8380" t="str">
        <f t="shared" si="3402"/>
        <v>Approved</v>
      </c>
      <c r="T8380" t="str">
        <f t="shared" si="3418"/>
        <v>10.20.8.188</v>
      </c>
      <c r="U8380" t="str">
        <f t="shared" si="3403"/>
        <v>AZRAD UMAR BIN SHAARI</v>
      </c>
      <c r="V8380" t="str">
        <f t="shared" si="3404"/>
        <v>FARHANA BINTI MUSTAPA</v>
      </c>
      <c r="W8380" t="str">
        <f t="shared" si="3405"/>
        <v>04-08-2020</v>
      </c>
      <c r="X8380" t="str">
        <f t="shared" si="3406"/>
        <v>RAZIMAH ANSAR AHMAD</v>
      </c>
      <c r="Y8380" t="str">
        <f t="shared" si="3407"/>
        <v>04-08-2020</v>
      </c>
      <c r="Z8380" t="str">
        <f>"COS10200804 644"</f>
        <v>COS10200804 644</v>
      </c>
    </row>
    <row r="8381" spans="1:26" x14ac:dyDescent="0.25">
      <c r="A8381" t="str">
        <f t="shared" si="3414"/>
        <v>04-08-2020 12:30:41</v>
      </c>
      <c r="B8381" t="str">
        <f>"0000802514"</f>
        <v>0000802514</v>
      </c>
      <c r="C8381" t="str">
        <f t="shared" si="3415"/>
        <v>0000802471</v>
      </c>
      <c r="D8381" t="str">
        <f t="shared" si="3395"/>
        <v>73185</v>
      </c>
      <c r="E8381" t="str">
        <f t="shared" si="3396"/>
        <v>KFH-OPERATIONS DEPARTMENT</v>
      </c>
      <c r="F8381" t="str">
        <f t="shared" si="3397"/>
        <v>IBG</v>
      </c>
      <c r="G8381" t="str">
        <f t="shared" si="3408"/>
        <v>Refund COSHARE 10</v>
      </c>
      <c r="H8381" s="2">
        <v>535.29999999999995</v>
      </c>
      <c r="I8381" t="str">
        <f>"SALMI BINTI AB RAHMAN"</f>
        <v>SALMI BINTI AB RAHMAN</v>
      </c>
      <c r="J8381" t="str">
        <f t="shared" si="3416"/>
        <v>BANK ISLAM BHD</v>
      </c>
      <c r="K8381" t="str">
        <f>"08077020040562"</f>
        <v>08077020040562</v>
      </c>
      <c r="L8381" t="str">
        <f t="shared" si="3419"/>
        <v>04-08-2020</v>
      </c>
      <c r="M8381" t="str">
        <f t="shared" si="3419"/>
        <v>04-08-2020</v>
      </c>
      <c r="N8381" t="str">
        <f t="shared" si="3399"/>
        <v>001105018356</v>
      </c>
      <c r="O8381" t="str">
        <f t="shared" si="3400"/>
        <v>MYR</v>
      </c>
      <c r="P8381" t="str">
        <f t="shared" si="3420"/>
        <v>NIL</v>
      </c>
      <c r="Q8381" t="str">
        <f t="shared" si="3420"/>
        <v>NIL</v>
      </c>
      <c r="R8381" t="str">
        <f t="shared" si="3417"/>
        <v>Accepted</v>
      </c>
      <c r="S8381" t="str">
        <f t="shared" si="3402"/>
        <v>Approved</v>
      </c>
      <c r="T8381" t="str">
        <f t="shared" si="3418"/>
        <v>10.20.8.188</v>
      </c>
      <c r="U8381" t="str">
        <f t="shared" si="3403"/>
        <v>AZRAD UMAR BIN SHAARI</v>
      </c>
      <c r="V8381" t="str">
        <f t="shared" si="3404"/>
        <v>FARHANA BINTI MUSTAPA</v>
      </c>
      <c r="W8381" t="str">
        <f t="shared" si="3405"/>
        <v>04-08-2020</v>
      </c>
      <c r="X8381" t="str">
        <f t="shared" si="3406"/>
        <v>RAZIMAH ANSAR AHMAD</v>
      </c>
      <c r="Y8381" t="str">
        <f t="shared" si="3407"/>
        <v>04-08-2020</v>
      </c>
      <c r="Z8381" t="str">
        <f>"COS10200804 643"</f>
        <v>COS10200804 643</v>
      </c>
    </row>
    <row r="8382" spans="1:26" x14ac:dyDescent="0.25">
      <c r="A8382" t="str">
        <f t="shared" si="3414"/>
        <v>04-08-2020 12:30:41</v>
      </c>
      <c r="B8382" t="str">
        <f>"0000802513"</f>
        <v>0000802513</v>
      </c>
      <c r="C8382" t="str">
        <f t="shared" si="3415"/>
        <v>0000802471</v>
      </c>
      <c r="D8382" t="str">
        <f t="shared" si="3395"/>
        <v>73185</v>
      </c>
      <c r="E8382" t="str">
        <f t="shared" si="3396"/>
        <v>KFH-OPERATIONS DEPARTMENT</v>
      </c>
      <c r="F8382" t="str">
        <f t="shared" si="3397"/>
        <v>IBG</v>
      </c>
      <c r="G8382" t="str">
        <f t="shared" si="3408"/>
        <v>Refund COSHARE 10</v>
      </c>
      <c r="H8382" s="2">
        <v>75.75</v>
      </c>
      <c r="I8382" t="str">
        <f>"SALIMI BIN JUMADI"</f>
        <v>SALIMI BIN JUMADI</v>
      </c>
      <c r="J8382" t="str">
        <f t="shared" si="3416"/>
        <v>BANK ISLAM BHD</v>
      </c>
      <c r="K8382" t="str">
        <f>"01069020061226"</f>
        <v>01069020061226</v>
      </c>
      <c r="L8382" t="str">
        <f t="shared" si="3419"/>
        <v>04-08-2020</v>
      </c>
      <c r="M8382" t="str">
        <f t="shared" si="3419"/>
        <v>04-08-2020</v>
      </c>
      <c r="N8382" t="str">
        <f t="shared" si="3399"/>
        <v>001105018356</v>
      </c>
      <c r="O8382" t="str">
        <f t="shared" si="3400"/>
        <v>MYR</v>
      </c>
      <c r="P8382" t="str">
        <f t="shared" si="3420"/>
        <v>NIL</v>
      </c>
      <c r="Q8382" t="str">
        <f t="shared" si="3420"/>
        <v>NIL</v>
      </c>
      <c r="R8382" t="str">
        <f t="shared" si="3417"/>
        <v>Accepted</v>
      </c>
      <c r="S8382" t="str">
        <f t="shared" si="3402"/>
        <v>Approved</v>
      </c>
      <c r="T8382" t="str">
        <f t="shared" si="3418"/>
        <v>10.20.8.188</v>
      </c>
      <c r="U8382" t="str">
        <f t="shared" si="3403"/>
        <v>AZRAD UMAR BIN SHAARI</v>
      </c>
      <c r="V8382" t="str">
        <f t="shared" si="3404"/>
        <v>FARHANA BINTI MUSTAPA</v>
      </c>
      <c r="W8382" t="str">
        <f t="shared" si="3405"/>
        <v>04-08-2020</v>
      </c>
      <c r="X8382" t="str">
        <f t="shared" si="3406"/>
        <v>RAZIMAH ANSAR AHMAD</v>
      </c>
      <c r="Y8382" t="str">
        <f t="shared" si="3407"/>
        <v>04-08-2020</v>
      </c>
      <c r="Z8382" t="str">
        <f>"COS10200804 642"</f>
        <v>COS10200804 642</v>
      </c>
    </row>
    <row r="8383" spans="1:26" x14ac:dyDescent="0.25">
      <c r="A8383" t="str">
        <f t="shared" si="3414"/>
        <v>04-08-2020 12:30:41</v>
      </c>
      <c r="B8383" t="str">
        <f>"0000802512"</f>
        <v>0000802512</v>
      </c>
      <c r="C8383" t="str">
        <f t="shared" si="3415"/>
        <v>0000802471</v>
      </c>
      <c r="D8383" t="str">
        <f t="shared" si="3395"/>
        <v>73185</v>
      </c>
      <c r="E8383" t="str">
        <f t="shared" si="3396"/>
        <v>KFH-OPERATIONS DEPARTMENT</v>
      </c>
      <c r="F8383" t="str">
        <f t="shared" si="3397"/>
        <v>IBG</v>
      </c>
      <c r="G8383" t="str">
        <f t="shared" si="3408"/>
        <v>Refund COSHARE 10</v>
      </c>
      <c r="H8383" s="2">
        <v>1138</v>
      </c>
      <c r="I8383" t="str">
        <f>"SAKINAH BINTI ISMAIL"</f>
        <v>SAKINAH BINTI ISMAIL</v>
      </c>
      <c r="J8383" t="str">
        <f t="shared" si="3416"/>
        <v>BANK ISLAM BHD</v>
      </c>
      <c r="K8383" t="str">
        <f>"02011020510891"</f>
        <v>02011020510891</v>
      </c>
      <c r="L8383" t="str">
        <f t="shared" si="3419"/>
        <v>04-08-2020</v>
      </c>
      <c r="M8383" t="str">
        <f t="shared" si="3419"/>
        <v>04-08-2020</v>
      </c>
      <c r="N8383" t="str">
        <f t="shared" si="3399"/>
        <v>001105018356</v>
      </c>
      <c r="O8383" t="str">
        <f t="shared" si="3400"/>
        <v>MYR</v>
      </c>
      <c r="P8383" t="str">
        <f t="shared" si="3420"/>
        <v>NIL</v>
      </c>
      <c r="Q8383" t="str">
        <f t="shared" si="3420"/>
        <v>NIL</v>
      </c>
      <c r="R8383" t="str">
        <f t="shared" si="3417"/>
        <v>Accepted</v>
      </c>
      <c r="S8383" t="str">
        <f t="shared" si="3402"/>
        <v>Approved</v>
      </c>
      <c r="T8383" t="str">
        <f t="shared" si="3418"/>
        <v>10.20.8.188</v>
      </c>
      <c r="U8383" t="str">
        <f t="shared" si="3403"/>
        <v>AZRAD UMAR BIN SHAARI</v>
      </c>
      <c r="V8383" t="str">
        <f t="shared" si="3404"/>
        <v>FARHANA BINTI MUSTAPA</v>
      </c>
      <c r="W8383" t="str">
        <f t="shared" si="3405"/>
        <v>04-08-2020</v>
      </c>
      <c r="X8383" t="str">
        <f t="shared" si="3406"/>
        <v>RAZIMAH ANSAR AHMAD</v>
      </c>
      <c r="Y8383" t="str">
        <f t="shared" si="3407"/>
        <v>04-08-2020</v>
      </c>
      <c r="Z8383" t="str">
        <f>"COS10200804 641"</f>
        <v>COS10200804 641</v>
      </c>
    </row>
    <row r="8384" spans="1:26" x14ac:dyDescent="0.25">
      <c r="A8384" t="str">
        <f t="shared" si="3414"/>
        <v>04-08-2020 12:30:41</v>
      </c>
      <c r="B8384" t="str">
        <f>"0000802511"</f>
        <v>0000802511</v>
      </c>
      <c r="C8384" t="str">
        <f t="shared" si="3415"/>
        <v>0000802471</v>
      </c>
      <c r="D8384" t="str">
        <f t="shared" si="3395"/>
        <v>73185</v>
      </c>
      <c r="E8384" t="str">
        <f t="shared" si="3396"/>
        <v>KFH-OPERATIONS DEPARTMENT</v>
      </c>
      <c r="F8384" t="str">
        <f t="shared" si="3397"/>
        <v>IBG</v>
      </c>
      <c r="G8384" t="str">
        <f t="shared" si="3408"/>
        <v>Refund COSHARE 10</v>
      </c>
      <c r="H8384" s="2">
        <v>495.3</v>
      </c>
      <c r="I8384" t="str">
        <f>"SAIFULLAH BIN SHARIPUDDIN"</f>
        <v>SAIFULLAH BIN SHARIPUDDIN</v>
      </c>
      <c r="J8384" t="str">
        <f t="shared" si="3416"/>
        <v>BANK ISLAM BHD</v>
      </c>
      <c r="K8384" t="str">
        <f>"06055020002325"</f>
        <v>06055020002325</v>
      </c>
      <c r="L8384" t="str">
        <f t="shared" si="3419"/>
        <v>04-08-2020</v>
      </c>
      <c r="M8384" t="str">
        <f t="shared" si="3419"/>
        <v>04-08-2020</v>
      </c>
      <c r="N8384" t="str">
        <f t="shared" si="3399"/>
        <v>001105018356</v>
      </c>
      <c r="O8384" t="str">
        <f t="shared" si="3400"/>
        <v>MYR</v>
      </c>
      <c r="P8384" t="str">
        <f t="shared" si="3420"/>
        <v>NIL</v>
      </c>
      <c r="Q8384" t="str">
        <f t="shared" si="3420"/>
        <v>NIL</v>
      </c>
      <c r="R8384" t="str">
        <f t="shared" si="3417"/>
        <v>Accepted</v>
      </c>
      <c r="S8384" t="str">
        <f t="shared" si="3402"/>
        <v>Approved</v>
      </c>
      <c r="T8384" t="str">
        <f t="shared" si="3418"/>
        <v>10.20.8.188</v>
      </c>
      <c r="U8384" t="str">
        <f t="shared" si="3403"/>
        <v>AZRAD UMAR BIN SHAARI</v>
      </c>
      <c r="V8384" t="str">
        <f t="shared" si="3404"/>
        <v>FARHANA BINTI MUSTAPA</v>
      </c>
      <c r="W8384" t="str">
        <f t="shared" si="3405"/>
        <v>04-08-2020</v>
      </c>
      <c r="X8384" t="str">
        <f t="shared" si="3406"/>
        <v>RAZIMAH ANSAR AHMAD</v>
      </c>
      <c r="Y8384" t="str">
        <f t="shared" si="3407"/>
        <v>04-08-2020</v>
      </c>
      <c r="Z8384" t="str">
        <f>"COS10200804 640"</f>
        <v>COS10200804 640</v>
      </c>
    </row>
    <row r="8385" spans="1:26" x14ac:dyDescent="0.25">
      <c r="A8385" t="str">
        <f t="shared" si="3414"/>
        <v>04-08-2020 12:30:41</v>
      </c>
      <c r="B8385" t="str">
        <f>"0000802510"</f>
        <v>0000802510</v>
      </c>
      <c r="C8385" t="str">
        <f t="shared" si="3415"/>
        <v>0000802471</v>
      </c>
      <c r="D8385" t="str">
        <f t="shared" si="3395"/>
        <v>73185</v>
      </c>
      <c r="E8385" t="str">
        <f t="shared" si="3396"/>
        <v>KFH-OPERATIONS DEPARTMENT</v>
      </c>
      <c r="F8385" t="str">
        <f t="shared" si="3397"/>
        <v>IBG</v>
      </c>
      <c r="G8385" t="str">
        <f t="shared" si="3408"/>
        <v>Refund COSHARE 10</v>
      </c>
      <c r="H8385" s="2">
        <v>159.5</v>
      </c>
      <c r="I8385" t="str">
        <f>"SAIFUL BAHRI BIN YAHYA"</f>
        <v>SAIFUL BAHRI BIN YAHYA</v>
      </c>
      <c r="J8385" t="str">
        <f t="shared" si="3416"/>
        <v>BANK ISLAM BHD</v>
      </c>
      <c r="K8385" t="str">
        <f>"01108020035013"</f>
        <v>01108020035013</v>
      </c>
      <c r="L8385" t="str">
        <f t="shared" si="3419"/>
        <v>04-08-2020</v>
      </c>
      <c r="M8385" t="str">
        <f t="shared" si="3419"/>
        <v>04-08-2020</v>
      </c>
      <c r="N8385" t="str">
        <f t="shared" si="3399"/>
        <v>001105018356</v>
      </c>
      <c r="O8385" t="str">
        <f t="shared" si="3400"/>
        <v>MYR</v>
      </c>
      <c r="P8385" t="str">
        <f t="shared" si="3420"/>
        <v>NIL</v>
      </c>
      <c r="Q8385" t="str">
        <f t="shared" si="3420"/>
        <v>NIL</v>
      </c>
      <c r="R8385" t="str">
        <f t="shared" si="3417"/>
        <v>Accepted</v>
      </c>
      <c r="S8385" t="str">
        <f t="shared" si="3402"/>
        <v>Approved</v>
      </c>
      <c r="T8385" t="str">
        <f t="shared" si="3418"/>
        <v>10.20.8.188</v>
      </c>
      <c r="U8385" t="str">
        <f t="shared" si="3403"/>
        <v>AZRAD UMAR BIN SHAARI</v>
      </c>
      <c r="V8385" t="str">
        <f t="shared" si="3404"/>
        <v>FARHANA BINTI MUSTAPA</v>
      </c>
      <c r="W8385" t="str">
        <f t="shared" si="3405"/>
        <v>04-08-2020</v>
      </c>
      <c r="X8385" t="str">
        <f t="shared" si="3406"/>
        <v>RAZIMAH ANSAR AHMAD</v>
      </c>
      <c r="Y8385" t="str">
        <f t="shared" si="3407"/>
        <v>04-08-2020</v>
      </c>
      <c r="Z8385" t="str">
        <f>"COS10200804 639"</f>
        <v>COS10200804 639</v>
      </c>
    </row>
    <row r="8386" spans="1:26" x14ac:dyDescent="0.25">
      <c r="A8386" t="str">
        <f t="shared" ref="A8386:A8417" si="3421">"04-08-2020 12:30:41"</f>
        <v>04-08-2020 12:30:41</v>
      </c>
      <c r="B8386" t="str">
        <f>"0000802509"</f>
        <v>0000802509</v>
      </c>
      <c r="C8386" t="str">
        <f t="shared" ref="C8386:C8417" si="3422">"0000802471"</f>
        <v>0000802471</v>
      </c>
      <c r="D8386" t="str">
        <f t="shared" si="3395"/>
        <v>73185</v>
      </c>
      <c r="E8386" t="str">
        <f t="shared" si="3396"/>
        <v>KFH-OPERATIONS DEPARTMENT</v>
      </c>
      <c r="F8386" t="str">
        <f t="shared" si="3397"/>
        <v>IBG</v>
      </c>
      <c r="G8386" t="str">
        <f t="shared" si="3408"/>
        <v>Refund COSHARE 10</v>
      </c>
      <c r="H8386" s="2">
        <v>117.55</v>
      </c>
      <c r="I8386" t="str">
        <f>"SAIFUL BAHRI BIN YAHYA"</f>
        <v>SAIFUL BAHRI BIN YAHYA</v>
      </c>
      <c r="J8386" t="str">
        <f t="shared" si="3416"/>
        <v>BANK ISLAM BHD</v>
      </c>
      <c r="K8386" t="str">
        <f>"01108020035013"</f>
        <v>01108020035013</v>
      </c>
      <c r="L8386" t="str">
        <f t="shared" si="3419"/>
        <v>04-08-2020</v>
      </c>
      <c r="M8386" t="str">
        <f t="shared" si="3419"/>
        <v>04-08-2020</v>
      </c>
      <c r="N8386" t="str">
        <f t="shared" si="3399"/>
        <v>001105018356</v>
      </c>
      <c r="O8386" t="str">
        <f t="shared" si="3400"/>
        <v>MYR</v>
      </c>
      <c r="P8386" t="str">
        <f t="shared" si="3420"/>
        <v>NIL</v>
      </c>
      <c r="Q8386" t="str">
        <f t="shared" si="3420"/>
        <v>NIL</v>
      </c>
      <c r="R8386" t="str">
        <f t="shared" si="3417"/>
        <v>Accepted</v>
      </c>
      <c r="S8386" t="str">
        <f t="shared" si="3402"/>
        <v>Approved</v>
      </c>
      <c r="T8386" t="str">
        <f t="shared" si="3418"/>
        <v>10.20.8.188</v>
      </c>
      <c r="U8386" t="str">
        <f t="shared" si="3403"/>
        <v>AZRAD UMAR BIN SHAARI</v>
      </c>
      <c r="V8386" t="str">
        <f t="shared" si="3404"/>
        <v>FARHANA BINTI MUSTAPA</v>
      </c>
      <c r="W8386" t="str">
        <f t="shared" si="3405"/>
        <v>04-08-2020</v>
      </c>
      <c r="X8386" t="str">
        <f t="shared" si="3406"/>
        <v>RAZIMAH ANSAR AHMAD</v>
      </c>
      <c r="Y8386" t="str">
        <f t="shared" si="3407"/>
        <v>04-08-2020</v>
      </c>
      <c r="Z8386" t="str">
        <f>"COS10200804 638"</f>
        <v>COS10200804 638</v>
      </c>
    </row>
    <row r="8387" spans="1:26" x14ac:dyDescent="0.25">
      <c r="A8387" t="str">
        <f t="shared" si="3421"/>
        <v>04-08-2020 12:30:41</v>
      </c>
      <c r="B8387" t="str">
        <f>"0000802508"</f>
        <v>0000802508</v>
      </c>
      <c r="C8387" t="str">
        <f t="shared" si="3422"/>
        <v>0000802471</v>
      </c>
      <c r="D8387" t="str">
        <f t="shared" si="3395"/>
        <v>73185</v>
      </c>
      <c r="E8387" t="str">
        <f t="shared" si="3396"/>
        <v>KFH-OPERATIONS DEPARTMENT</v>
      </c>
      <c r="F8387" t="str">
        <f t="shared" si="3397"/>
        <v>IBG</v>
      </c>
      <c r="G8387" t="str">
        <f t="shared" si="3408"/>
        <v>Refund COSHARE 10</v>
      </c>
      <c r="H8387" s="2">
        <v>218.3</v>
      </c>
      <c r="I8387" t="str">
        <f>"SAIFUL ADNAN BIN HUSAIN"</f>
        <v>SAIFUL ADNAN BIN HUSAIN</v>
      </c>
      <c r="J8387" t="str">
        <f t="shared" si="3416"/>
        <v>BANK ISLAM BHD</v>
      </c>
      <c r="K8387" t="str">
        <f>"03054020103631"</f>
        <v>03054020103631</v>
      </c>
      <c r="L8387" t="str">
        <f t="shared" ref="L8387:M8406" si="3423">"04-08-2020"</f>
        <v>04-08-2020</v>
      </c>
      <c r="M8387" t="str">
        <f t="shared" si="3423"/>
        <v>04-08-2020</v>
      </c>
      <c r="N8387" t="str">
        <f t="shared" si="3399"/>
        <v>001105018356</v>
      </c>
      <c r="O8387" t="str">
        <f t="shared" si="3400"/>
        <v>MYR</v>
      </c>
      <c r="P8387" t="str">
        <f t="shared" ref="P8387:Q8406" si="3424">"NIL"</f>
        <v>NIL</v>
      </c>
      <c r="Q8387" t="str">
        <f t="shared" si="3424"/>
        <v>NIL</v>
      </c>
      <c r="R8387" t="str">
        <f t="shared" si="3417"/>
        <v>Accepted</v>
      </c>
      <c r="S8387" t="str">
        <f t="shared" si="3402"/>
        <v>Approved</v>
      </c>
      <c r="T8387" t="str">
        <f t="shared" si="3418"/>
        <v>10.20.8.188</v>
      </c>
      <c r="U8387" t="str">
        <f t="shared" si="3403"/>
        <v>AZRAD UMAR BIN SHAARI</v>
      </c>
      <c r="V8387" t="str">
        <f t="shared" si="3404"/>
        <v>FARHANA BINTI MUSTAPA</v>
      </c>
      <c r="W8387" t="str">
        <f t="shared" si="3405"/>
        <v>04-08-2020</v>
      </c>
      <c r="X8387" t="str">
        <f t="shared" si="3406"/>
        <v>RAZIMAH ANSAR AHMAD</v>
      </c>
      <c r="Y8387" t="str">
        <f t="shared" si="3407"/>
        <v>04-08-2020</v>
      </c>
      <c r="Z8387" t="str">
        <f>"COS10200804 637"</f>
        <v>COS10200804 637</v>
      </c>
    </row>
    <row r="8388" spans="1:26" x14ac:dyDescent="0.25">
      <c r="A8388" t="str">
        <f t="shared" si="3421"/>
        <v>04-08-2020 12:30:41</v>
      </c>
      <c r="B8388" t="str">
        <f>"0000802507"</f>
        <v>0000802507</v>
      </c>
      <c r="C8388" t="str">
        <f t="shared" si="3422"/>
        <v>0000802471</v>
      </c>
      <c r="D8388" t="str">
        <f t="shared" si="3395"/>
        <v>73185</v>
      </c>
      <c r="E8388" t="str">
        <f t="shared" si="3396"/>
        <v>KFH-OPERATIONS DEPARTMENT</v>
      </c>
      <c r="F8388" t="str">
        <f t="shared" si="3397"/>
        <v>IBG</v>
      </c>
      <c r="G8388" t="str">
        <f t="shared" si="3408"/>
        <v>Refund COSHARE 10</v>
      </c>
      <c r="H8388" s="2">
        <v>428.15</v>
      </c>
      <c r="I8388" t="str">
        <f>"SAHERABANU BINTI MAIL"</f>
        <v>SAHERABANU BINTI MAIL</v>
      </c>
      <c r="J8388" t="str">
        <f t="shared" si="3416"/>
        <v>BANK ISLAM BHD</v>
      </c>
      <c r="K8388" t="str">
        <f>"11040020021269"</f>
        <v>11040020021269</v>
      </c>
      <c r="L8388" t="str">
        <f t="shared" si="3423"/>
        <v>04-08-2020</v>
      </c>
      <c r="M8388" t="str">
        <f t="shared" si="3423"/>
        <v>04-08-2020</v>
      </c>
      <c r="N8388" t="str">
        <f t="shared" si="3399"/>
        <v>001105018356</v>
      </c>
      <c r="O8388" t="str">
        <f t="shared" si="3400"/>
        <v>MYR</v>
      </c>
      <c r="P8388" t="str">
        <f t="shared" si="3424"/>
        <v>NIL</v>
      </c>
      <c r="Q8388" t="str">
        <f t="shared" si="3424"/>
        <v>NIL</v>
      </c>
      <c r="R8388" t="str">
        <f t="shared" si="3417"/>
        <v>Accepted</v>
      </c>
      <c r="S8388" t="str">
        <f t="shared" si="3402"/>
        <v>Approved</v>
      </c>
      <c r="T8388" t="str">
        <f t="shared" si="3418"/>
        <v>10.20.8.188</v>
      </c>
      <c r="U8388" t="str">
        <f t="shared" si="3403"/>
        <v>AZRAD UMAR BIN SHAARI</v>
      </c>
      <c r="V8388" t="str">
        <f t="shared" si="3404"/>
        <v>FARHANA BINTI MUSTAPA</v>
      </c>
      <c r="W8388" t="str">
        <f t="shared" si="3405"/>
        <v>04-08-2020</v>
      </c>
      <c r="X8388" t="str">
        <f t="shared" si="3406"/>
        <v>RAZIMAH ANSAR AHMAD</v>
      </c>
      <c r="Y8388" t="str">
        <f t="shared" si="3407"/>
        <v>04-08-2020</v>
      </c>
      <c r="Z8388" t="str">
        <f>"COS10200804 636"</f>
        <v>COS10200804 636</v>
      </c>
    </row>
    <row r="8389" spans="1:26" x14ac:dyDescent="0.25">
      <c r="A8389" t="str">
        <f t="shared" si="3421"/>
        <v>04-08-2020 12:30:41</v>
      </c>
      <c r="B8389" t="str">
        <f>"0000802506"</f>
        <v>0000802506</v>
      </c>
      <c r="C8389" t="str">
        <f t="shared" si="3422"/>
        <v>0000802471</v>
      </c>
      <c r="D8389" t="str">
        <f t="shared" si="3395"/>
        <v>73185</v>
      </c>
      <c r="E8389" t="str">
        <f t="shared" si="3396"/>
        <v>KFH-OPERATIONS DEPARTMENT</v>
      </c>
      <c r="F8389" t="str">
        <f t="shared" si="3397"/>
        <v>IBG</v>
      </c>
      <c r="G8389" t="str">
        <f t="shared" si="3408"/>
        <v>Refund COSHARE 10</v>
      </c>
      <c r="H8389" s="2">
        <v>605</v>
      </c>
      <c r="I8389" t="str">
        <f>"SAHARUDIN BIN MOHAMAD"</f>
        <v>SAHARUDIN BIN MOHAMAD</v>
      </c>
      <c r="J8389" t="str">
        <f t="shared" si="3416"/>
        <v>BANK ISLAM BHD</v>
      </c>
      <c r="K8389" t="str">
        <f>"03090020263498"</f>
        <v>03090020263498</v>
      </c>
      <c r="L8389" t="str">
        <f t="shared" si="3423"/>
        <v>04-08-2020</v>
      </c>
      <c r="M8389" t="str">
        <f t="shared" si="3423"/>
        <v>04-08-2020</v>
      </c>
      <c r="N8389" t="str">
        <f t="shared" si="3399"/>
        <v>001105018356</v>
      </c>
      <c r="O8389" t="str">
        <f t="shared" si="3400"/>
        <v>MYR</v>
      </c>
      <c r="P8389" t="str">
        <f t="shared" si="3424"/>
        <v>NIL</v>
      </c>
      <c r="Q8389" t="str">
        <f t="shared" si="3424"/>
        <v>NIL</v>
      </c>
      <c r="R8389" t="str">
        <f t="shared" si="3417"/>
        <v>Accepted</v>
      </c>
      <c r="S8389" t="str">
        <f t="shared" si="3402"/>
        <v>Approved</v>
      </c>
      <c r="T8389" t="str">
        <f t="shared" si="3418"/>
        <v>10.20.8.188</v>
      </c>
      <c r="U8389" t="str">
        <f t="shared" si="3403"/>
        <v>AZRAD UMAR BIN SHAARI</v>
      </c>
      <c r="V8389" t="str">
        <f t="shared" si="3404"/>
        <v>FARHANA BINTI MUSTAPA</v>
      </c>
      <c r="W8389" t="str">
        <f t="shared" si="3405"/>
        <v>04-08-2020</v>
      </c>
      <c r="X8389" t="str">
        <f t="shared" si="3406"/>
        <v>RAZIMAH ANSAR AHMAD</v>
      </c>
      <c r="Y8389" t="str">
        <f t="shared" si="3407"/>
        <v>04-08-2020</v>
      </c>
      <c r="Z8389" t="str">
        <f>"COS10200804 635"</f>
        <v>COS10200804 635</v>
      </c>
    </row>
    <row r="8390" spans="1:26" x14ac:dyDescent="0.25">
      <c r="A8390" t="str">
        <f t="shared" si="3421"/>
        <v>04-08-2020 12:30:41</v>
      </c>
      <c r="B8390" t="str">
        <f>"0000802505"</f>
        <v>0000802505</v>
      </c>
      <c r="C8390" t="str">
        <f t="shared" si="3422"/>
        <v>0000802471</v>
      </c>
      <c r="D8390" t="str">
        <f t="shared" si="3395"/>
        <v>73185</v>
      </c>
      <c r="E8390" t="str">
        <f t="shared" si="3396"/>
        <v>KFH-OPERATIONS DEPARTMENT</v>
      </c>
      <c r="F8390" t="str">
        <f t="shared" si="3397"/>
        <v>IBG</v>
      </c>
      <c r="G8390" t="str">
        <f t="shared" si="3408"/>
        <v>Refund COSHARE 10</v>
      </c>
      <c r="H8390" s="2">
        <v>67.2</v>
      </c>
      <c r="I8390" t="str">
        <f>"SAFARIZAN BIN JIMMY"</f>
        <v>SAFARIZAN BIN JIMMY</v>
      </c>
      <c r="J8390" t="str">
        <f t="shared" si="3416"/>
        <v>BANK ISLAM BHD</v>
      </c>
      <c r="K8390" t="str">
        <f>"16018020034741"</f>
        <v>16018020034741</v>
      </c>
      <c r="L8390" t="str">
        <f t="shared" si="3423"/>
        <v>04-08-2020</v>
      </c>
      <c r="M8390" t="str">
        <f t="shared" si="3423"/>
        <v>04-08-2020</v>
      </c>
      <c r="N8390" t="str">
        <f t="shared" si="3399"/>
        <v>001105018356</v>
      </c>
      <c r="O8390" t="str">
        <f t="shared" si="3400"/>
        <v>MYR</v>
      </c>
      <c r="P8390" t="str">
        <f t="shared" si="3424"/>
        <v>NIL</v>
      </c>
      <c r="Q8390" t="str">
        <f t="shared" si="3424"/>
        <v>NIL</v>
      </c>
      <c r="R8390" t="str">
        <f t="shared" si="3417"/>
        <v>Accepted</v>
      </c>
      <c r="S8390" t="str">
        <f t="shared" si="3402"/>
        <v>Approved</v>
      </c>
      <c r="T8390" t="str">
        <f t="shared" si="3418"/>
        <v>10.20.8.188</v>
      </c>
      <c r="U8390" t="str">
        <f t="shared" si="3403"/>
        <v>AZRAD UMAR BIN SHAARI</v>
      </c>
      <c r="V8390" t="str">
        <f t="shared" si="3404"/>
        <v>FARHANA BINTI MUSTAPA</v>
      </c>
      <c r="W8390" t="str">
        <f t="shared" si="3405"/>
        <v>04-08-2020</v>
      </c>
      <c r="X8390" t="str">
        <f t="shared" si="3406"/>
        <v>RAZIMAH ANSAR AHMAD</v>
      </c>
      <c r="Y8390" t="str">
        <f t="shared" si="3407"/>
        <v>04-08-2020</v>
      </c>
      <c r="Z8390" t="str">
        <f>"COS10200804 634"</f>
        <v>COS10200804 634</v>
      </c>
    </row>
    <row r="8391" spans="1:26" x14ac:dyDescent="0.25">
      <c r="A8391" t="str">
        <f t="shared" si="3421"/>
        <v>04-08-2020 12:30:41</v>
      </c>
      <c r="B8391" t="str">
        <f>"0000802504"</f>
        <v>0000802504</v>
      </c>
      <c r="C8391" t="str">
        <f t="shared" si="3422"/>
        <v>0000802471</v>
      </c>
      <c r="D8391" t="str">
        <f t="shared" ref="D8391:D8454" si="3425">"73185"</f>
        <v>73185</v>
      </c>
      <c r="E8391" t="str">
        <f t="shared" ref="E8391:E8454" si="3426">"KFH-OPERATIONS DEPARTMENT"</f>
        <v>KFH-OPERATIONS DEPARTMENT</v>
      </c>
      <c r="F8391" t="str">
        <f t="shared" ref="F8391:F8454" si="3427">"IBG"</f>
        <v>IBG</v>
      </c>
      <c r="G8391" t="str">
        <f t="shared" si="3408"/>
        <v>Refund COSHARE 10</v>
      </c>
      <c r="H8391" s="2">
        <v>78.599999999999994</v>
      </c>
      <c r="I8391" t="str">
        <f>"SABTUYAH BINTI PUTIT"</f>
        <v>SABTUYAH BINTI PUTIT</v>
      </c>
      <c r="J8391" t="str">
        <f t="shared" si="3416"/>
        <v>BANK ISLAM BHD</v>
      </c>
      <c r="K8391" t="str">
        <f>"11013020810677"</f>
        <v>11013020810677</v>
      </c>
      <c r="L8391" t="str">
        <f t="shared" si="3423"/>
        <v>04-08-2020</v>
      </c>
      <c r="M8391" t="str">
        <f t="shared" si="3423"/>
        <v>04-08-2020</v>
      </c>
      <c r="N8391" t="str">
        <f t="shared" ref="N8391:N8454" si="3428">"001105018356"</f>
        <v>001105018356</v>
      </c>
      <c r="O8391" t="str">
        <f t="shared" ref="O8391:O8454" si="3429">"MYR"</f>
        <v>MYR</v>
      </c>
      <c r="P8391" t="str">
        <f t="shared" si="3424"/>
        <v>NIL</v>
      </c>
      <c r="Q8391" t="str">
        <f t="shared" si="3424"/>
        <v>NIL</v>
      </c>
      <c r="R8391" t="str">
        <f t="shared" si="3417"/>
        <v>Accepted</v>
      </c>
      <c r="S8391" t="str">
        <f t="shared" ref="S8391:S8454" si="3430">"Approved"</f>
        <v>Approved</v>
      </c>
      <c r="T8391" t="str">
        <f t="shared" si="3418"/>
        <v>10.20.8.188</v>
      </c>
      <c r="U8391" t="str">
        <f t="shared" ref="U8391:U8454" si="3431">"AZRAD UMAR BIN SHAARI"</f>
        <v>AZRAD UMAR BIN SHAARI</v>
      </c>
      <c r="V8391" t="str">
        <f t="shared" ref="V8391:V8454" si="3432">"FARHANA BINTI MUSTAPA"</f>
        <v>FARHANA BINTI MUSTAPA</v>
      </c>
      <c r="W8391" t="str">
        <f t="shared" ref="W8391:W8454" si="3433">"04-08-2020"</f>
        <v>04-08-2020</v>
      </c>
      <c r="X8391" t="str">
        <f t="shared" ref="X8391:X8454" si="3434">"RAZIMAH ANSAR AHMAD"</f>
        <v>RAZIMAH ANSAR AHMAD</v>
      </c>
      <c r="Y8391" t="str">
        <f t="shared" ref="Y8391:Y8454" si="3435">"04-08-2020"</f>
        <v>04-08-2020</v>
      </c>
      <c r="Z8391" t="str">
        <f>"COS10200804 633"</f>
        <v>COS10200804 633</v>
      </c>
    </row>
    <row r="8392" spans="1:26" x14ac:dyDescent="0.25">
      <c r="A8392" t="str">
        <f t="shared" si="3421"/>
        <v>04-08-2020 12:30:41</v>
      </c>
      <c r="B8392" t="str">
        <f>"0000802503"</f>
        <v>0000802503</v>
      </c>
      <c r="C8392" t="str">
        <f t="shared" si="3422"/>
        <v>0000802471</v>
      </c>
      <c r="D8392" t="str">
        <f t="shared" si="3425"/>
        <v>73185</v>
      </c>
      <c r="E8392" t="str">
        <f t="shared" si="3426"/>
        <v>KFH-OPERATIONS DEPARTMENT</v>
      </c>
      <c r="F8392" t="str">
        <f t="shared" si="3427"/>
        <v>IBG</v>
      </c>
      <c r="G8392" t="str">
        <f t="shared" si="3408"/>
        <v>Refund COSHARE 10</v>
      </c>
      <c r="H8392" s="2">
        <v>73</v>
      </c>
      <c r="I8392" t="str">
        <f>"SABTUYAH BINTI PUTIT"</f>
        <v>SABTUYAH BINTI PUTIT</v>
      </c>
      <c r="J8392" t="str">
        <f t="shared" si="3416"/>
        <v>BANK ISLAM BHD</v>
      </c>
      <c r="K8392" t="str">
        <f>"11013020810677"</f>
        <v>11013020810677</v>
      </c>
      <c r="L8392" t="str">
        <f t="shared" si="3423"/>
        <v>04-08-2020</v>
      </c>
      <c r="M8392" t="str">
        <f t="shared" si="3423"/>
        <v>04-08-2020</v>
      </c>
      <c r="N8392" t="str">
        <f t="shared" si="3428"/>
        <v>001105018356</v>
      </c>
      <c r="O8392" t="str">
        <f t="shared" si="3429"/>
        <v>MYR</v>
      </c>
      <c r="P8392" t="str">
        <f t="shared" si="3424"/>
        <v>NIL</v>
      </c>
      <c r="Q8392" t="str">
        <f t="shared" si="3424"/>
        <v>NIL</v>
      </c>
      <c r="R8392" t="str">
        <f t="shared" si="3417"/>
        <v>Accepted</v>
      </c>
      <c r="S8392" t="str">
        <f t="shared" si="3430"/>
        <v>Approved</v>
      </c>
      <c r="T8392" t="str">
        <f t="shared" si="3418"/>
        <v>10.20.8.188</v>
      </c>
      <c r="U8392" t="str">
        <f t="shared" si="3431"/>
        <v>AZRAD UMAR BIN SHAARI</v>
      </c>
      <c r="V8392" t="str">
        <f t="shared" si="3432"/>
        <v>FARHANA BINTI MUSTAPA</v>
      </c>
      <c r="W8392" t="str">
        <f t="shared" si="3433"/>
        <v>04-08-2020</v>
      </c>
      <c r="X8392" t="str">
        <f t="shared" si="3434"/>
        <v>RAZIMAH ANSAR AHMAD</v>
      </c>
      <c r="Y8392" t="str">
        <f t="shared" si="3435"/>
        <v>04-08-2020</v>
      </c>
      <c r="Z8392" t="str">
        <f>"COS10200804 632"</f>
        <v>COS10200804 632</v>
      </c>
    </row>
    <row r="8393" spans="1:26" x14ac:dyDescent="0.25">
      <c r="A8393" t="str">
        <f t="shared" si="3421"/>
        <v>04-08-2020 12:30:41</v>
      </c>
      <c r="B8393" t="str">
        <f>"0000802502"</f>
        <v>0000802502</v>
      </c>
      <c r="C8393" t="str">
        <f t="shared" si="3422"/>
        <v>0000802471</v>
      </c>
      <c r="D8393" t="str">
        <f t="shared" si="3425"/>
        <v>73185</v>
      </c>
      <c r="E8393" t="str">
        <f t="shared" si="3426"/>
        <v>KFH-OPERATIONS DEPARTMENT</v>
      </c>
      <c r="F8393" t="str">
        <f t="shared" si="3427"/>
        <v>IBG</v>
      </c>
      <c r="G8393" t="str">
        <f t="shared" si="3408"/>
        <v>Refund COSHARE 10</v>
      </c>
      <c r="H8393" s="2">
        <v>775.8</v>
      </c>
      <c r="I8393" t="str">
        <f>"SABTURIAH BINTI ABDULLAH SANI"</f>
        <v>SABTURIAH BINTI ABDULLAH SANI</v>
      </c>
      <c r="J8393" t="str">
        <f t="shared" si="3416"/>
        <v>BANK ISLAM BHD</v>
      </c>
      <c r="K8393" t="str">
        <f>"10025020367879"</f>
        <v>10025020367879</v>
      </c>
      <c r="L8393" t="str">
        <f t="shared" si="3423"/>
        <v>04-08-2020</v>
      </c>
      <c r="M8393" t="str">
        <f t="shared" si="3423"/>
        <v>04-08-2020</v>
      </c>
      <c r="N8393" t="str">
        <f t="shared" si="3428"/>
        <v>001105018356</v>
      </c>
      <c r="O8393" t="str">
        <f t="shared" si="3429"/>
        <v>MYR</v>
      </c>
      <c r="P8393" t="str">
        <f t="shared" si="3424"/>
        <v>NIL</v>
      </c>
      <c r="Q8393" t="str">
        <f t="shared" si="3424"/>
        <v>NIL</v>
      </c>
      <c r="R8393" t="str">
        <f t="shared" si="3417"/>
        <v>Accepted</v>
      </c>
      <c r="S8393" t="str">
        <f t="shared" si="3430"/>
        <v>Approved</v>
      </c>
      <c r="T8393" t="str">
        <f t="shared" si="3418"/>
        <v>10.20.8.188</v>
      </c>
      <c r="U8393" t="str">
        <f t="shared" si="3431"/>
        <v>AZRAD UMAR BIN SHAARI</v>
      </c>
      <c r="V8393" t="str">
        <f t="shared" si="3432"/>
        <v>FARHANA BINTI MUSTAPA</v>
      </c>
      <c r="W8393" t="str">
        <f t="shared" si="3433"/>
        <v>04-08-2020</v>
      </c>
      <c r="X8393" t="str">
        <f t="shared" si="3434"/>
        <v>RAZIMAH ANSAR AHMAD</v>
      </c>
      <c r="Y8393" t="str">
        <f t="shared" si="3435"/>
        <v>04-08-2020</v>
      </c>
      <c r="Z8393" t="str">
        <f>"COS10200804 631"</f>
        <v>COS10200804 631</v>
      </c>
    </row>
    <row r="8394" spans="1:26" x14ac:dyDescent="0.25">
      <c r="A8394" t="str">
        <f t="shared" si="3421"/>
        <v>04-08-2020 12:30:41</v>
      </c>
      <c r="B8394" t="str">
        <f>"0000802501"</f>
        <v>0000802501</v>
      </c>
      <c r="C8394" t="str">
        <f t="shared" si="3422"/>
        <v>0000802471</v>
      </c>
      <c r="D8394" t="str">
        <f t="shared" si="3425"/>
        <v>73185</v>
      </c>
      <c r="E8394" t="str">
        <f t="shared" si="3426"/>
        <v>KFH-OPERATIONS DEPARTMENT</v>
      </c>
      <c r="F8394" t="str">
        <f t="shared" si="3427"/>
        <v>IBG</v>
      </c>
      <c r="G8394" t="str">
        <f t="shared" si="3408"/>
        <v>Refund COSHARE 10</v>
      </c>
      <c r="H8394" s="2">
        <v>176.85</v>
      </c>
      <c r="I8394" t="str">
        <f>"SABARINA BINTI MOHAMAD BAHARI"</f>
        <v>SABARINA BINTI MOHAMAD BAHARI</v>
      </c>
      <c r="J8394" t="str">
        <f t="shared" si="3416"/>
        <v>BANK ISLAM BHD</v>
      </c>
      <c r="K8394" t="str">
        <f>"06019020818408"</f>
        <v>06019020818408</v>
      </c>
      <c r="L8394" t="str">
        <f t="shared" si="3423"/>
        <v>04-08-2020</v>
      </c>
      <c r="M8394" t="str">
        <f t="shared" si="3423"/>
        <v>04-08-2020</v>
      </c>
      <c r="N8394" t="str">
        <f t="shared" si="3428"/>
        <v>001105018356</v>
      </c>
      <c r="O8394" t="str">
        <f t="shared" si="3429"/>
        <v>MYR</v>
      </c>
      <c r="P8394" t="str">
        <f t="shared" si="3424"/>
        <v>NIL</v>
      </c>
      <c r="Q8394" t="str">
        <f t="shared" si="3424"/>
        <v>NIL</v>
      </c>
      <c r="R8394" t="str">
        <f t="shared" si="3417"/>
        <v>Accepted</v>
      </c>
      <c r="S8394" t="str">
        <f t="shared" si="3430"/>
        <v>Approved</v>
      </c>
      <c r="T8394" t="str">
        <f t="shared" si="3418"/>
        <v>10.20.8.188</v>
      </c>
      <c r="U8394" t="str">
        <f t="shared" si="3431"/>
        <v>AZRAD UMAR BIN SHAARI</v>
      </c>
      <c r="V8394" t="str">
        <f t="shared" si="3432"/>
        <v>FARHANA BINTI MUSTAPA</v>
      </c>
      <c r="W8394" t="str">
        <f t="shared" si="3433"/>
        <v>04-08-2020</v>
      </c>
      <c r="X8394" t="str">
        <f t="shared" si="3434"/>
        <v>RAZIMAH ANSAR AHMAD</v>
      </c>
      <c r="Y8394" t="str">
        <f t="shared" si="3435"/>
        <v>04-08-2020</v>
      </c>
      <c r="Z8394" t="str">
        <f>"COS10200804 630"</f>
        <v>COS10200804 630</v>
      </c>
    </row>
    <row r="8395" spans="1:26" x14ac:dyDescent="0.25">
      <c r="A8395" t="str">
        <f t="shared" si="3421"/>
        <v>04-08-2020 12:30:41</v>
      </c>
      <c r="B8395" t="str">
        <f>"0000802500"</f>
        <v>0000802500</v>
      </c>
      <c r="C8395" t="str">
        <f t="shared" si="3422"/>
        <v>0000802471</v>
      </c>
      <c r="D8395" t="str">
        <f t="shared" si="3425"/>
        <v>73185</v>
      </c>
      <c r="E8395" t="str">
        <f t="shared" si="3426"/>
        <v>KFH-OPERATIONS DEPARTMENT</v>
      </c>
      <c r="F8395" t="str">
        <f t="shared" si="3427"/>
        <v>IBG</v>
      </c>
      <c r="G8395" t="str">
        <f t="shared" si="3408"/>
        <v>Refund COSHARE 10</v>
      </c>
      <c r="H8395" s="2">
        <v>841.8</v>
      </c>
      <c r="I8395" t="str">
        <f>"S SARASWATHY AP SUBRAMANIAM"</f>
        <v>S SARASWATHY AP SUBRAMANIAM</v>
      </c>
      <c r="J8395" t="str">
        <f t="shared" si="3416"/>
        <v>BANK ISLAM BHD</v>
      </c>
      <c r="K8395" t="str">
        <f>"12122020099850"</f>
        <v>12122020099850</v>
      </c>
      <c r="L8395" t="str">
        <f t="shared" si="3423"/>
        <v>04-08-2020</v>
      </c>
      <c r="M8395" t="str">
        <f t="shared" si="3423"/>
        <v>04-08-2020</v>
      </c>
      <c r="N8395" t="str">
        <f t="shared" si="3428"/>
        <v>001105018356</v>
      </c>
      <c r="O8395" t="str">
        <f t="shared" si="3429"/>
        <v>MYR</v>
      </c>
      <c r="P8395" t="str">
        <f t="shared" si="3424"/>
        <v>NIL</v>
      </c>
      <c r="Q8395" t="str">
        <f t="shared" si="3424"/>
        <v>NIL</v>
      </c>
      <c r="R8395" t="str">
        <f t="shared" si="3417"/>
        <v>Accepted</v>
      </c>
      <c r="S8395" t="str">
        <f t="shared" si="3430"/>
        <v>Approved</v>
      </c>
      <c r="T8395" t="str">
        <f t="shared" si="3418"/>
        <v>10.20.8.188</v>
      </c>
      <c r="U8395" t="str">
        <f t="shared" si="3431"/>
        <v>AZRAD UMAR BIN SHAARI</v>
      </c>
      <c r="V8395" t="str">
        <f t="shared" si="3432"/>
        <v>FARHANA BINTI MUSTAPA</v>
      </c>
      <c r="W8395" t="str">
        <f t="shared" si="3433"/>
        <v>04-08-2020</v>
      </c>
      <c r="X8395" t="str">
        <f t="shared" si="3434"/>
        <v>RAZIMAH ANSAR AHMAD</v>
      </c>
      <c r="Y8395" t="str">
        <f t="shared" si="3435"/>
        <v>04-08-2020</v>
      </c>
      <c r="Z8395" t="str">
        <f>"COS10200804 629"</f>
        <v>COS10200804 629</v>
      </c>
    </row>
    <row r="8396" spans="1:26" x14ac:dyDescent="0.25">
      <c r="A8396" t="str">
        <f t="shared" si="3421"/>
        <v>04-08-2020 12:30:41</v>
      </c>
      <c r="B8396" t="str">
        <f>"0000802499"</f>
        <v>0000802499</v>
      </c>
      <c r="C8396" t="str">
        <f t="shared" si="3422"/>
        <v>0000802471</v>
      </c>
      <c r="D8396" t="str">
        <f t="shared" si="3425"/>
        <v>73185</v>
      </c>
      <c r="E8396" t="str">
        <f t="shared" si="3426"/>
        <v>KFH-OPERATIONS DEPARTMENT</v>
      </c>
      <c r="F8396" t="str">
        <f t="shared" si="3427"/>
        <v>IBG</v>
      </c>
      <c r="G8396" t="str">
        <f t="shared" ref="G8396:G8459" si="3436">"Refund COSHARE 10"</f>
        <v>Refund COSHARE 10</v>
      </c>
      <c r="H8396" s="2">
        <v>443.5</v>
      </c>
      <c r="I8396" t="str">
        <f>"RUZAIDI BIN MAMAT"</f>
        <v>RUZAIDI BIN MAMAT</v>
      </c>
      <c r="J8396" t="str">
        <f t="shared" si="3416"/>
        <v>BANK ISLAM BHD</v>
      </c>
      <c r="K8396" t="str">
        <f>"03036020278611"</f>
        <v>03036020278611</v>
      </c>
      <c r="L8396" t="str">
        <f t="shared" si="3423"/>
        <v>04-08-2020</v>
      </c>
      <c r="M8396" t="str">
        <f t="shared" si="3423"/>
        <v>04-08-2020</v>
      </c>
      <c r="N8396" t="str">
        <f t="shared" si="3428"/>
        <v>001105018356</v>
      </c>
      <c r="O8396" t="str">
        <f t="shared" si="3429"/>
        <v>MYR</v>
      </c>
      <c r="P8396" t="str">
        <f t="shared" si="3424"/>
        <v>NIL</v>
      </c>
      <c r="Q8396" t="str">
        <f t="shared" si="3424"/>
        <v>NIL</v>
      </c>
      <c r="R8396" t="str">
        <f t="shared" si="3417"/>
        <v>Accepted</v>
      </c>
      <c r="S8396" t="str">
        <f t="shared" si="3430"/>
        <v>Approved</v>
      </c>
      <c r="T8396" t="str">
        <f t="shared" si="3418"/>
        <v>10.20.8.188</v>
      </c>
      <c r="U8396" t="str">
        <f t="shared" si="3431"/>
        <v>AZRAD UMAR BIN SHAARI</v>
      </c>
      <c r="V8396" t="str">
        <f t="shared" si="3432"/>
        <v>FARHANA BINTI MUSTAPA</v>
      </c>
      <c r="W8396" t="str">
        <f t="shared" si="3433"/>
        <v>04-08-2020</v>
      </c>
      <c r="X8396" t="str">
        <f t="shared" si="3434"/>
        <v>RAZIMAH ANSAR AHMAD</v>
      </c>
      <c r="Y8396" t="str">
        <f t="shared" si="3435"/>
        <v>04-08-2020</v>
      </c>
      <c r="Z8396" t="str">
        <f>"COS10200804 628"</f>
        <v>COS10200804 628</v>
      </c>
    </row>
    <row r="8397" spans="1:26" x14ac:dyDescent="0.25">
      <c r="A8397" t="str">
        <f t="shared" si="3421"/>
        <v>04-08-2020 12:30:41</v>
      </c>
      <c r="B8397" t="str">
        <f>"0000802498"</f>
        <v>0000802498</v>
      </c>
      <c r="C8397" t="str">
        <f t="shared" si="3422"/>
        <v>0000802471</v>
      </c>
      <c r="D8397" t="str">
        <f t="shared" si="3425"/>
        <v>73185</v>
      </c>
      <c r="E8397" t="str">
        <f t="shared" si="3426"/>
        <v>KFH-OPERATIONS DEPARTMENT</v>
      </c>
      <c r="F8397" t="str">
        <f t="shared" si="3427"/>
        <v>IBG</v>
      </c>
      <c r="G8397" t="str">
        <f t="shared" si="3436"/>
        <v>Refund COSHARE 10</v>
      </c>
      <c r="H8397" s="2">
        <v>1236</v>
      </c>
      <c r="I8397" t="str">
        <f>"RUJIAH MAJANGKI"</f>
        <v>RUJIAH MAJANGKI</v>
      </c>
      <c r="J8397" t="str">
        <f t="shared" si="3416"/>
        <v>BANK ISLAM BHD</v>
      </c>
      <c r="K8397" t="str">
        <f>"10052025616314"</f>
        <v>10052025616314</v>
      </c>
      <c r="L8397" t="str">
        <f t="shared" si="3423"/>
        <v>04-08-2020</v>
      </c>
      <c r="M8397" t="str">
        <f t="shared" si="3423"/>
        <v>04-08-2020</v>
      </c>
      <c r="N8397" t="str">
        <f t="shared" si="3428"/>
        <v>001105018356</v>
      </c>
      <c r="O8397" t="str">
        <f t="shared" si="3429"/>
        <v>MYR</v>
      </c>
      <c r="P8397" t="str">
        <f t="shared" si="3424"/>
        <v>NIL</v>
      </c>
      <c r="Q8397" t="str">
        <f t="shared" si="3424"/>
        <v>NIL</v>
      </c>
      <c r="R8397" t="str">
        <f t="shared" si="3417"/>
        <v>Accepted</v>
      </c>
      <c r="S8397" t="str">
        <f t="shared" si="3430"/>
        <v>Approved</v>
      </c>
      <c r="T8397" t="str">
        <f t="shared" si="3418"/>
        <v>10.20.8.188</v>
      </c>
      <c r="U8397" t="str">
        <f t="shared" si="3431"/>
        <v>AZRAD UMAR BIN SHAARI</v>
      </c>
      <c r="V8397" t="str">
        <f t="shared" si="3432"/>
        <v>FARHANA BINTI MUSTAPA</v>
      </c>
      <c r="W8397" t="str">
        <f t="shared" si="3433"/>
        <v>04-08-2020</v>
      </c>
      <c r="X8397" t="str">
        <f t="shared" si="3434"/>
        <v>RAZIMAH ANSAR AHMAD</v>
      </c>
      <c r="Y8397" t="str">
        <f t="shared" si="3435"/>
        <v>04-08-2020</v>
      </c>
      <c r="Z8397" t="str">
        <f>"COS10200804 627"</f>
        <v>COS10200804 627</v>
      </c>
    </row>
    <row r="8398" spans="1:26" x14ac:dyDescent="0.25">
      <c r="A8398" t="str">
        <f t="shared" si="3421"/>
        <v>04-08-2020 12:30:41</v>
      </c>
      <c r="B8398" t="str">
        <f>"0000802497"</f>
        <v>0000802497</v>
      </c>
      <c r="C8398" t="str">
        <f t="shared" si="3422"/>
        <v>0000802471</v>
      </c>
      <c r="D8398" t="str">
        <f t="shared" si="3425"/>
        <v>73185</v>
      </c>
      <c r="E8398" t="str">
        <f t="shared" si="3426"/>
        <v>KFH-OPERATIONS DEPARTMENT</v>
      </c>
      <c r="F8398" t="str">
        <f t="shared" si="3427"/>
        <v>IBG</v>
      </c>
      <c r="G8398" t="str">
        <f t="shared" si="3436"/>
        <v>Refund COSHARE 10</v>
      </c>
      <c r="H8398" s="2">
        <v>1774.05</v>
      </c>
      <c r="I8398" t="str">
        <f>"RUBIANTI HASLINDA BINTI KASMOI"</f>
        <v>RUBIANTI HASLINDA BINTI KASMOI</v>
      </c>
      <c r="J8398" t="str">
        <f t="shared" si="3416"/>
        <v>BANK ISLAM BHD</v>
      </c>
      <c r="K8398" t="str">
        <f>"12195020180043"</f>
        <v>12195020180043</v>
      </c>
      <c r="L8398" t="str">
        <f t="shared" si="3423"/>
        <v>04-08-2020</v>
      </c>
      <c r="M8398" t="str">
        <f t="shared" si="3423"/>
        <v>04-08-2020</v>
      </c>
      <c r="N8398" t="str">
        <f t="shared" si="3428"/>
        <v>001105018356</v>
      </c>
      <c r="O8398" t="str">
        <f t="shared" si="3429"/>
        <v>MYR</v>
      </c>
      <c r="P8398" t="str">
        <f t="shared" si="3424"/>
        <v>NIL</v>
      </c>
      <c r="Q8398" t="str">
        <f t="shared" si="3424"/>
        <v>NIL</v>
      </c>
      <c r="R8398" t="str">
        <f t="shared" si="3417"/>
        <v>Accepted</v>
      </c>
      <c r="S8398" t="str">
        <f t="shared" si="3430"/>
        <v>Approved</v>
      </c>
      <c r="T8398" t="str">
        <f t="shared" si="3418"/>
        <v>10.20.8.188</v>
      </c>
      <c r="U8398" t="str">
        <f t="shared" si="3431"/>
        <v>AZRAD UMAR BIN SHAARI</v>
      </c>
      <c r="V8398" t="str">
        <f t="shared" si="3432"/>
        <v>FARHANA BINTI MUSTAPA</v>
      </c>
      <c r="W8398" t="str">
        <f t="shared" si="3433"/>
        <v>04-08-2020</v>
      </c>
      <c r="X8398" t="str">
        <f t="shared" si="3434"/>
        <v>RAZIMAH ANSAR AHMAD</v>
      </c>
      <c r="Y8398" t="str">
        <f t="shared" si="3435"/>
        <v>04-08-2020</v>
      </c>
      <c r="Z8398" t="str">
        <f>"COS10200804 626"</f>
        <v>COS10200804 626</v>
      </c>
    </row>
    <row r="8399" spans="1:26" x14ac:dyDescent="0.25">
      <c r="A8399" t="str">
        <f t="shared" si="3421"/>
        <v>04-08-2020 12:30:41</v>
      </c>
      <c r="B8399" t="str">
        <f>"0000802496"</f>
        <v>0000802496</v>
      </c>
      <c r="C8399" t="str">
        <f t="shared" si="3422"/>
        <v>0000802471</v>
      </c>
      <c r="D8399" t="str">
        <f t="shared" si="3425"/>
        <v>73185</v>
      </c>
      <c r="E8399" t="str">
        <f t="shared" si="3426"/>
        <v>KFH-OPERATIONS DEPARTMENT</v>
      </c>
      <c r="F8399" t="str">
        <f t="shared" si="3427"/>
        <v>IBG</v>
      </c>
      <c r="G8399" t="str">
        <f t="shared" si="3436"/>
        <v>Refund COSHARE 10</v>
      </c>
      <c r="H8399" s="2">
        <v>697.45</v>
      </c>
      <c r="I8399" t="str">
        <f>"ROZMAN BIN MOHD NOR"</f>
        <v>ROZMAN BIN MOHD NOR</v>
      </c>
      <c r="J8399" t="str">
        <f t="shared" si="3416"/>
        <v>BANK ISLAM BHD</v>
      </c>
      <c r="K8399" t="str">
        <f>"14195020022490"</f>
        <v>14195020022490</v>
      </c>
      <c r="L8399" t="str">
        <f t="shared" si="3423"/>
        <v>04-08-2020</v>
      </c>
      <c r="M8399" t="str">
        <f t="shared" si="3423"/>
        <v>04-08-2020</v>
      </c>
      <c r="N8399" t="str">
        <f t="shared" si="3428"/>
        <v>001105018356</v>
      </c>
      <c r="O8399" t="str">
        <f t="shared" si="3429"/>
        <v>MYR</v>
      </c>
      <c r="P8399" t="str">
        <f t="shared" si="3424"/>
        <v>NIL</v>
      </c>
      <c r="Q8399" t="str">
        <f t="shared" si="3424"/>
        <v>NIL</v>
      </c>
      <c r="R8399" t="str">
        <f t="shared" si="3417"/>
        <v>Accepted</v>
      </c>
      <c r="S8399" t="str">
        <f t="shared" si="3430"/>
        <v>Approved</v>
      </c>
      <c r="T8399" t="str">
        <f t="shared" si="3418"/>
        <v>10.20.8.188</v>
      </c>
      <c r="U8399" t="str">
        <f t="shared" si="3431"/>
        <v>AZRAD UMAR BIN SHAARI</v>
      </c>
      <c r="V8399" t="str">
        <f t="shared" si="3432"/>
        <v>FARHANA BINTI MUSTAPA</v>
      </c>
      <c r="W8399" t="str">
        <f t="shared" si="3433"/>
        <v>04-08-2020</v>
      </c>
      <c r="X8399" t="str">
        <f t="shared" si="3434"/>
        <v>RAZIMAH ANSAR AHMAD</v>
      </c>
      <c r="Y8399" t="str">
        <f t="shared" si="3435"/>
        <v>04-08-2020</v>
      </c>
      <c r="Z8399" t="str">
        <f>"COS10200804 625"</f>
        <v>COS10200804 625</v>
      </c>
    </row>
    <row r="8400" spans="1:26" x14ac:dyDescent="0.25">
      <c r="A8400" t="str">
        <f t="shared" si="3421"/>
        <v>04-08-2020 12:30:41</v>
      </c>
      <c r="B8400" t="str">
        <f>"0000802495"</f>
        <v>0000802495</v>
      </c>
      <c r="C8400" t="str">
        <f t="shared" si="3422"/>
        <v>0000802471</v>
      </c>
      <c r="D8400" t="str">
        <f t="shared" si="3425"/>
        <v>73185</v>
      </c>
      <c r="E8400" t="str">
        <f t="shared" si="3426"/>
        <v>KFH-OPERATIONS DEPARTMENT</v>
      </c>
      <c r="F8400" t="str">
        <f t="shared" si="3427"/>
        <v>IBG</v>
      </c>
      <c r="G8400" t="str">
        <f t="shared" si="3436"/>
        <v>Refund COSHARE 10</v>
      </c>
      <c r="H8400" s="2">
        <v>343.85</v>
      </c>
      <c r="I8400" t="str">
        <f>"ROZMAN BIN CHE ROSS"</f>
        <v>ROZMAN BIN CHE ROSS</v>
      </c>
      <c r="J8400" t="str">
        <f t="shared" si="3416"/>
        <v>BANK ISLAM BHD</v>
      </c>
      <c r="K8400" t="str">
        <f>"08068020091434"</f>
        <v>08068020091434</v>
      </c>
      <c r="L8400" t="str">
        <f t="shared" si="3423"/>
        <v>04-08-2020</v>
      </c>
      <c r="M8400" t="str">
        <f t="shared" si="3423"/>
        <v>04-08-2020</v>
      </c>
      <c r="N8400" t="str">
        <f t="shared" si="3428"/>
        <v>001105018356</v>
      </c>
      <c r="O8400" t="str">
        <f t="shared" si="3429"/>
        <v>MYR</v>
      </c>
      <c r="P8400" t="str">
        <f t="shared" si="3424"/>
        <v>NIL</v>
      </c>
      <c r="Q8400" t="str">
        <f t="shared" si="3424"/>
        <v>NIL</v>
      </c>
      <c r="R8400" t="str">
        <f t="shared" si="3417"/>
        <v>Accepted</v>
      </c>
      <c r="S8400" t="str">
        <f t="shared" si="3430"/>
        <v>Approved</v>
      </c>
      <c r="T8400" t="str">
        <f t="shared" si="3418"/>
        <v>10.20.8.188</v>
      </c>
      <c r="U8400" t="str">
        <f t="shared" si="3431"/>
        <v>AZRAD UMAR BIN SHAARI</v>
      </c>
      <c r="V8400" t="str">
        <f t="shared" si="3432"/>
        <v>FARHANA BINTI MUSTAPA</v>
      </c>
      <c r="W8400" t="str">
        <f t="shared" si="3433"/>
        <v>04-08-2020</v>
      </c>
      <c r="X8400" t="str">
        <f t="shared" si="3434"/>
        <v>RAZIMAH ANSAR AHMAD</v>
      </c>
      <c r="Y8400" t="str">
        <f t="shared" si="3435"/>
        <v>04-08-2020</v>
      </c>
      <c r="Z8400" t="str">
        <f>"COS10200804 624"</f>
        <v>COS10200804 624</v>
      </c>
    </row>
    <row r="8401" spans="1:26" x14ac:dyDescent="0.25">
      <c r="A8401" t="str">
        <f t="shared" si="3421"/>
        <v>04-08-2020 12:30:41</v>
      </c>
      <c r="B8401" t="str">
        <f>"0000802494"</f>
        <v>0000802494</v>
      </c>
      <c r="C8401" t="str">
        <f t="shared" si="3422"/>
        <v>0000802471</v>
      </c>
      <c r="D8401" t="str">
        <f t="shared" si="3425"/>
        <v>73185</v>
      </c>
      <c r="E8401" t="str">
        <f t="shared" si="3426"/>
        <v>KFH-OPERATIONS DEPARTMENT</v>
      </c>
      <c r="F8401" t="str">
        <f t="shared" si="3427"/>
        <v>IBG</v>
      </c>
      <c r="G8401" t="str">
        <f t="shared" si="3436"/>
        <v>Refund COSHARE 10</v>
      </c>
      <c r="H8401" s="2">
        <v>100.75</v>
      </c>
      <c r="I8401" t="str">
        <f>"ROZILA BINTI SAAD"</f>
        <v>ROZILA BINTI SAAD</v>
      </c>
      <c r="J8401" t="str">
        <f t="shared" si="3416"/>
        <v>BANK ISLAM BHD</v>
      </c>
      <c r="K8401" t="str">
        <f>"02020020405883"</f>
        <v>02020020405883</v>
      </c>
      <c r="L8401" t="str">
        <f t="shared" si="3423"/>
        <v>04-08-2020</v>
      </c>
      <c r="M8401" t="str">
        <f t="shared" si="3423"/>
        <v>04-08-2020</v>
      </c>
      <c r="N8401" t="str">
        <f t="shared" si="3428"/>
        <v>001105018356</v>
      </c>
      <c r="O8401" t="str">
        <f t="shared" si="3429"/>
        <v>MYR</v>
      </c>
      <c r="P8401" t="str">
        <f t="shared" si="3424"/>
        <v>NIL</v>
      </c>
      <c r="Q8401" t="str">
        <f t="shared" si="3424"/>
        <v>NIL</v>
      </c>
      <c r="R8401" t="str">
        <f t="shared" si="3417"/>
        <v>Accepted</v>
      </c>
      <c r="S8401" t="str">
        <f t="shared" si="3430"/>
        <v>Approved</v>
      </c>
      <c r="T8401" t="str">
        <f t="shared" si="3418"/>
        <v>10.20.8.188</v>
      </c>
      <c r="U8401" t="str">
        <f t="shared" si="3431"/>
        <v>AZRAD UMAR BIN SHAARI</v>
      </c>
      <c r="V8401" t="str">
        <f t="shared" si="3432"/>
        <v>FARHANA BINTI MUSTAPA</v>
      </c>
      <c r="W8401" t="str">
        <f t="shared" si="3433"/>
        <v>04-08-2020</v>
      </c>
      <c r="X8401" t="str">
        <f t="shared" si="3434"/>
        <v>RAZIMAH ANSAR AHMAD</v>
      </c>
      <c r="Y8401" t="str">
        <f t="shared" si="3435"/>
        <v>04-08-2020</v>
      </c>
      <c r="Z8401" t="str">
        <f>"COS10200804 623"</f>
        <v>COS10200804 623</v>
      </c>
    </row>
    <row r="8402" spans="1:26" x14ac:dyDescent="0.25">
      <c r="A8402" t="str">
        <f t="shared" si="3421"/>
        <v>04-08-2020 12:30:41</v>
      </c>
      <c r="B8402" t="str">
        <f>"0000802493"</f>
        <v>0000802493</v>
      </c>
      <c r="C8402" t="str">
        <f t="shared" si="3422"/>
        <v>0000802471</v>
      </c>
      <c r="D8402" t="str">
        <f t="shared" si="3425"/>
        <v>73185</v>
      </c>
      <c r="E8402" t="str">
        <f t="shared" si="3426"/>
        <v>KFH-OPERATIONS DEPARTMENT</v>
      </c>
      <c r="F8402" t="str">
        <f t="shared" si="3427"/>
        <v>IBG</v>
      </c>
      <c r="G8402" t="str">
        <f t="shared" si="3436"/>
        <v>Refund COSHARE 10</v>
      </c>
      <c r="H8402" s="2">
        <v>965.45</v>
      </c>
      <c r="I8402" t="str">
        <f>"ROSSEDAYU AKMA BINTI ROSTONG"</f>
        <v>ROSSEDAYU AKMA BINTI ROSTONG</v>
      </c>
      <c r="J8402" t="str">
        <f t="shared" si="3416"/>
        <v>BANK ISLAM BHD</v>
      </c>
      <c r="K8402" t="str">
        <f>"03027020799385"</f>
        <v>03027020799385</v>
      </c>
      <c r="L8402" t="str">
        <f t="shared" si="3423"/>
        <v>04-08-2020</v>
      </c>
      <c r="M8402" t="str">
        <f t="shared" si="3423"/>
        <v>04-08-2020</v>
      </c>
      <c r="N8402" t="str">
        <f t="shared" si="3428"/>
        <v>001105018356</v>
      </c>
      <c r="O8402" t="str">
        <f t="shared" si="3429"/>
        <v>MYR</v>
      </c>
      <c r="P8402" t="str">
        <f t="shared" si="3424"/>
        <v>NIL</v>
      </c>
      <c r="Q8402" t="str">
        <f t="shared" si="3424"/>
        <v>NIL</v>
      </c>
      <c r="R8402" t="str">
        <f t="shared" si="3417"/>
        <v>Accepted</v>
      </c>
      <c r="S8402" t="str">
        <f t="shared" si="3430"/>
        <v>Approved</v>
      </c>
      <c r="T8402" t="str">
        <f t="shared" si="3418"/>
        <v>10.20.8.188</v>
      </c>
      <c r="U8402" t="str">
        <f t="shared" si="3431"/>
        <v>AZRAD UMAR BIN SHAARI</v>
      </c>
      <c r="V8402" t="str">
        <f t="shared" si="3432"/>
        <v>FARHANA BINTI MUSTAPA</v>
      </c>
      <c r="W8402" t="str">
        <f t="shared" si="3433"/>
        <v>04-08-2020</v>
      </c>
      <c r="X8402" t="str">
        <f t="shared" si="3434"/>
        <v>RAZIMAH ANSAR AHMAD</v>
      </c>
      <c r="Y8402" t="str">
        <f t="shared" si="3435"/>
        <v>04-08-2020</v>
      </c>
      <c r="Z8402" t="str">
        <f>"COS10200804 622"</f>
        <v>COS10200804 622</v>
      </c>
    </row>
    <row r="8403" spans="1:26" x14ac:dyDescent="0.25">
      <c r="A8403" t="str">
        <f t="shared" si="3421"/>
        <v>04-08-2020 12:30:41</v>
      </c>
      <c r="B8403" t="str">
        <f>"0000802492"</f>
        <v>0000802492</v>
      </c>
      <c r="C8403" t="str">
        <f t="shared" si="3422"/>
        <v>0000802471</v>
      </c>
      <c r="D8403" t="str">
        <f t="shared" si="3425"/>
        <v>73185</v>
      </c>
      <c r="E8403" t="str">
        <f t="shared" si="3426"/>
        <v>KFH-OPERATIONS DEPARTMENT</v>
      </c>
      <c r="F8403" t="str">
        <f t="shared" si="3427"/>
        <v>IBG</v>
      </c>
      <c r="G8403" t="str">
        <f t="shared" si="3436"/>
        <v>Refund COSHARE 10</v>
      </c>
      <c r="H8403" s="2">
        <v>671.6</v>
      </c>
      <c r="I8403" t="str">
        <f>"ROSSAIN BIN MAJID"</f>
        <v>ROSSAIN BIN MAJID</v>
      </c>
      <c r="J8403" t="str">
        <f t="shared" si="3416"/>
        <v>BANK ISLAM BHD</v>
      </c>
      <c r="K8403" t="str">
        <f>"10043020099409"</f>
        <v>10043020099409</v>
      </c>
      <c r="L8403" t="str">
        <f t="shared" si="3423"/>
        <v>04-08-2020</v>
      </c>
      <c r="M8403" t="str">
        <f t="shared" si="3423"/>
        <v>04-08-2020</v>
      </c>
      <c r="N8403" t="str">
        <f t="shared" si="3428"/>
        <v>001105018356</v>
      </c>
      <c r="O8403" t="str">
        <f t="shared" si="3429"/>
        <v>MYR</v>
      </c>
      <c r="P8403" t="str">
        <f t="shared" si="3424"/>
        <v>NIL</v>
      </c>
      <c r="Q8403" t="str">
        <f t="shared" si="3424"/>
        <v>NIL</v>
      </c>
      <c r="R8403" t="str">
        <f t="shared" si="3417"/>
        <v>Accepted</v>
      </c>
      <c r="S8403" t="str">
        <f t="shared" si="3430"/>
        <v>Approved</v>
      </c>
      <c r="T8403" t="str">
        <f t="shared" si="3418"/>
        <v>10.20.8.188</v>
      </c>
      <c r="U8403" t="str">
        <f t="shared" si="3431"/>
        <v>AZRAD UMAR BIN SHAARI</v>
      </c>
      <c r="V8403" t="str">
        <f t="shared" si="3432"/>
        <v>FARHANA BINTI MUSTAPA</v>
      </c>
      <c r="W8403" t="str">
        <f t="shared" si="3433"/>
        <v>04-08-2020</v>
      </c>
      <c r="X8403" t="str">
        <f t="shared" si="3434"/>
        <v>RAZIMAH ANSAR AHMAD</v>
      </c>
      <c r="Y8403" t="str">
        <f t="shared" si="3435"/>
        <v>04-08-2020</v>
      </c>
      <c r="Z8403" t="str">
        <f>"COS10200804 621"</f>
        <v>COS10200804 621</v>
      </c>
    </row>
    <row r="8404" spans="1:26" x14ac:dyDescent="0.25">
      <c r="A8404" t="str">
        <f t="shared" si="3421"/>
        <v>04-08-2020 12:30:41</v>
      </c>
      <c r="B8404" t="str">
        <f>"0000802491"</f>
        <v>0000802491</v>
      </c>
      <c r="C8404" t="str">
        <f t="shared" si="3422"/>
        <v>0000802471</v>
      </c>
      <c r="D8404" t="str">
        <f t="shared" si="3425"/>
        <v>73185</v>
      </c>
      <c r="E8404" t="str">
        <f t="shared" si="3426"/>
        <v>KFH-OPERATIONS DEPARTMENT</v>
      </c>
      <c r="F8404" t="str">
        <f t="shared" si="3427"/>
        <v>IBG</v>
      </c>
      <c r="G8404" t="str">
        <f t="shared" si="3436"/>
        <v>Refund COSHARE 10</v>
      </c>
      <c r="H8404" s="2">
        <v>586.15</v>
      </c>
      <c r="I8404" t="str">
        <f>"ROSNANI BINTI ISMAIL"</f>
        <v>ROSNANI BINTI ISMAIL</v>
      </c>
      <c r="J8404" t="str">
        <f t="shared" si="3416"/>
        <v>BANK ISLAM BHD</v>
      </c>
      <c r="K8404" t="str">
        <f>"12140020141570"</f>
        <v>12140020141570</v>
      </c>
      <c r="L8404" t="str">
        <f t="shared" si="3423"/>
        <v>04-08-2020</v>
      </c>
      <c r="M8404" t="str">
        <f t="shared" si="3423"/>
        <v>04-08-2020</v>
      </c>
      <c r="N8404" t="str">
        <f t="shared" si="3428"/>
        <v>001105018356</v>
      </c>
      <c r="O8404" t="str">
        <f t="shared" si="3429"/>
        <v>MYR</v>
      </c>
      <c r="P8404" t="str">
        <f t="shared" si="3424"/>
        <v>NIL</v>
      </c>
      <c r="Q8404" t="str">
        <f t="shared" si="3424"/>
        <v>NIL</v>
      </c>
      <c r="R8404" t="str">
        <f t="shared" si="3417"/>
        <v>Accepted</v>
      </c>
      <c r="S8404" t="str">
        <f t="shared" si="3430"/>
        <v>Approved</v>
      </c>
      <c r="T8404" t="str">
        <f t="shared" si="3418"/>
        <v>10.20.8.188</v>
      </c>
      <c r="U8404" t="str">
        <f t="shared" si="3431"/>
        <v>AZRAD UMAR BIN SHAARI</v>
      </c>
      <c r="V8404" t="str">
        <f t="shared" si="3432"/>
        <v>FARHANA BINTI MUSTAPA</v>
      </c>
      <c r="W8404" t="str">
        <f t="shared" si="3433"/>
        <v>04-08-2020</v>
      </c>
      <c r="X8404" t="str">
        <f t="shared" si="3434"/>
        <v>RAZIMAH ANSAR AHMAD</v>
      </c>
      <c r="Y8404" t="str">
        <f t="shared" si="3435"/>
        <v>04-08-2020</v>
      </c>
      <c r="Z8404" t="str">
        <f>"COS10200804 620"</f>
        <v>COS10200804 620</v>
      </c>
    </row>
    <row r="8405" spans="1:26" x14ac:dyDescent="0.25">
      <c r="A8405" t="str">
        <f t="shared" si="3421"/>
        <v>04-08-2020 12:30:41</v>
      </c>
      <c r="B8405" t="str">
        <f>"0000802490"</f>
        <v>0000802490</v>
      </c>
      <c r="C8405" t="str">
        <f t="shared" si="3422"/>
        <v>0000802471</v>
      </c>
      <c r="D8405" t="str">
        <f t="shared" si="3425"/>
        <v>73185</v>
      </c>
      <c r="E8405" t="str">
        <f t="shared" si="3426"/>
        <v>KFH-OPERATIONS DEPARTMENT</v>
      </c>
      <c r="F8405" t="str">
        <f t="shared" si="3427"/>
        <v>IBG</v>
      </c>
      <c r="G8405" t="str">
        <f t="shared" si="3436"/>
        <v>Refund COSHARE 10</v>
      </c>
      <c r="H8405" s="2">
        <v>1163.7</v>
      </c>
      <c r="I8405" t="str">
        <f>"ROSNAH BT MURAH"</f>
        <v>ROSNAH BT MURAH</v>
      </c>
      <c r="J8405" t="str">
        <f t="shared" si="3416"/>
        <v>BANK ISLAM BHD</v>
      </c>
      <c r="K8405" t="str">
        <f>"15011020040128"</f>
        <v>15011020040128</v>
      </c>
      <c r="L8405" t="str">
        <f t="shared" si="3423"/>
        <v>04-08-2020</v>
      </c>
      <c r="M8405" t="str">
        <f t="shared" si="3423"/>
        <v>04-08-2020</v>
      </c>
      <c r="N8405" t="str">
        <f t="shared" si="3428"/>
        <v>001105018356</v>
      </c>
      <c r="O8405" t="str">
        <f t="shared" si="3429"/>
        <v>MYR</v>
      </c>
      <c r="P8405" t="str">
        <f t="shared" si="3424"/>
        <v>NIL</v>
      </c>
      <c r="Q8405" t="str">
        <f t="shared" si="3424"/>
        <v>NIL</v>
      </c>
      <c r="R8405" t="str">
        <f t="shared" si="3417"/>
        <v>Accepted</v>
      </c>
      <c r="S8405" t="str">
        <f t="shared" si="3430"/>
        <v>Approved</v>
      </c>
      <c r="T8405" t="str">
        <f t="shared" si="3418"/>
        <v>10.20.8.188</v>
      </c>
      <c r="U8405" t="str">
        <f t="shared" si="3431"/>
        <v>AZRAD UMAR BIN SHAARI</v>
      </c>
      <c r="V8405" t="str">
        <f t="shared" si="3432"/>
        <v>FARHANA BINTI MUSTAPA</v>
      </c>
      <c r="W8405" t="str">
        <f t="shared" si="3433"/>
        <v>04-08-2020</v>
      </c>
      <c r="X8405" t="str">
        <f t="shared" si="3434"/>
        <v>RAZIMAH ANSAR AHMAD</v>
      </c>
      <c r="Y8405" t="str">
        <f t="shared" si="3435"/>
        <v>04-08-2020</v>
      </c>
      <c r="Z8405" t="str">
        <f>"COS10200804 619"</f>
        <v>COS10200804 619</v>
      </c>
    </row>
    <row r="8406" spans="1:26" x14ac:dyDescent="0.25">
      <c r="A8406" t="str">
        <f t="shared" si="3421"/>
        <v>04-08-2020 12:30:41</v>
      </c>
      <c r="B8406" t="str">
        <f>"0000802489"</f>
        <v>0000802489</v>
      </c>
      <c r="C8406" t="str">
        <f t="shared" si="3422"/>
        <v>0000802471</v>
      </c>
      <c r="D8406" t="str">
        <f t="shared" si="3425"/>
        <v>73185</v>
      </c>
      <c r="E8406" t="str">
        <f t="shared" si="3426"/>
        <v>KFH-OPERATIONS DEPARTMENT</v>
      </c>
      <c r="F8406" t="str">
        <f t="shared" si="3427"/>
        <v>IBG</v>
      </c>
      <c r="G8406" t="str">
        <f t="shared" si="3436"/>
        <v>Refund COSHARE 10</v>
      </c>
      <c r="H8406" s="2">
        <v>969</v>
      </c>
      <c r="I8406" t="str">
        <f>"ROSNAH BINTI ZAKARIA"</f>
        <v>ROSNAH BINTI ZAKARIA</v>
      </c>
      <c r="J8406" t="str">
        <f t="shared" si="3416"/>
        <v>BANK ISLAM BHD</v>
      </c>
      <c r="K8406" t="str">
        <f>"03139020062022"</f>
        <v>03139020062022</v>
      </c>
      <c r="L8406" t="str">
        <f t="shared" si="3423"/>
        <v>04-08-2020</v>
      </c>
      <c r="M8406" t="str">
        <f t="shared" si="3423"/>
        <v>04-08-2020</v>
      </c>
      <c r="N8406" t="str">
        <f t="shared" si="3428"/>
        <v>001105018356</v>
      </c>
      <c r="O8406" t="str">
        <f t="shared" si="3429"/>
        <v>MYR</v>
      </c>
      <c r="P8406" t="str">
        <f t="shared" si="3424"/>
        <v>NIL</v>
      </c>
      <c r="Q8406" t="str">
        <f t="shared" si="3424"/>
        <v>NIL</v>
      </c>
      <c r="R8406" t="str">
        <f t="shared" si="3417"/>
        <v>Accepted</v>
      </c>
      <c r="S8406" t="str">
        <f t="shared" si="3430"/>
        <v>Approved</v>
      </c>
      <c r="T8406" t="str">
        <f t="shared" si="3418"/>
        <v>10.20.8.188</v>
      </c>
      <c r="U8406" t="str">
        <f t="shared" si="3431"/>
        <v>AZRAD UMAR BIN SHAARI</v>
      </c>
      <c r="V8406" t="str">
        <f t="shared" si="3432"/>
        <v>FARHANA BINTI MUSTAPA</v>
      </c>
      <c r="W8406" t="str">
        <f t="shared" si="3433"/>
        <v>04-08-2020</v>
      </c>
      <c r="X8406" t="str">
        <f t="shared" si="3434"/>
        <v>RAZIMAH ANSAR AHMAD</v>
      </c>
      <c r="Y8406" t="str">
        <f t="shared" si="3435"/>
        <v>04-08-2020</v>
      </c>
      <c r="Z8406" t="str">
        <f>"COS10200804 618"</f>
        <v>COS10200804 618</v>
      </c>
    </row>
    <row r="8407" spans="1:26" x14ac:dyDescent="0.25">
      <c r="A8407" t="str">
        <f t="shared" si="3421"/>
        <v>04-08-2020 12:30:41</v>
      </c>
      <c r="B8407" t="str">
        <f>"0000802488"</f>
        <v>0000802488</v>
      </c>
      <c r="C8407" t="str">
        <f t="shared" si="3422"/>
        <v>0000802471</v>
      </c>
      <c r="D8407" t="str">
        <f t="shared" si="3425"/>
        <v>73185</v>
      </c>
      <c r="E8407" t="str">
        <f t="shared" si="3426"/>
        <v>KFH-OPERATIONS DEPARTMENT</v>
      </c>
      <c r="F8407" t="str">
        <f t="shared" si="3427"/>
        <v>IBG</v>
      </c>
      <c r="G8407" t="str">
        <f t="shared" si="3436"/>
        <v>Refund COSHARE 10</v>
      </c>
      <c r="H8407" s="2">
        <v>137.25</v>
      </c>
      <c r="I8407" t="str">
        <f>"ROSLAN BIN YAHYA"</f>
        <v>ROSLAN BIN YAHYA</v>
      </c>
      <c r="J8407" t="str">
        <f t="shared" si="3416"/>
        <v>BANK ISLAM BHD</v>
      </c>
      <c r="K8407" t="str">
        <f>"01087020403094"</f>
        <v>01087020403094</v>
      </c>
      <c r="L8407" t="str">
        <f t="shared" ref="L8407:M8426" si="3437">"04-08-2020"</f>
        <v>04-08-2020</v>
      </c>
      <c r="M8407" t="str">
        <f t="shared" si="3437"/>
        <v>04-08-2020</v>
      </c>
      <c r="N8407" t="str">
        <f t="shared" si="3428"/>
        <v>001105018356</v>
      </c>
      <c r="O8407" t="str">
        <f t="shared" si="3429"/>
        <v>MYR</v>
      </c>
      <c r="P8407" t="str">
        <f t="shared" ref="P8407:Q8426" si="3438">"NIL"</f>
        <v>NIL</v>
      </c>
      <c r="Q8407" t="str">
        <f t="shared" si="3438"/>
        <v>NIL</v>
      </c>
      <c r="R8407" t="str">
        <f t="shared" si="3417"/>
        <v>Accepted</v>
      </c>
      <c r="S8407" t="str">
        <f t="shared" si="3430"/>
        <v>Approved</v>
      </c>
      <c r="T8407" t="str">
        <f t="shared" si="3418"/>
        <v>10.20.8.188</v>
      </c>
      <c r="U8407" t="str">
        <f t="shared" si="3431"/>
        <v>AZRAD UMAR BIN SHAARI</v>
      </c>
      <c r="V8407" t="str">
        <f t="shared" si="3432"/>
        <v>FARHANA BINTI MUSTAPA</v>
      </c>
      <c r="W8407" t="str">
        <f t="shared" si="3433"/>
        <v>04-08-2020</v>
      </c>
      <c r="X8407" t="str">
        <f t="shared" si="3434"/>
        <v>RAZIMAH ANSAR AHMAD</v>
      </c>
      <c r="Y8407" t="str">
        <f t="shared" si="3435"/>
        <v>04-08-2020</v>
      </c>
      <c r="Z8407" t="str">
        <f>"COS10200804 617"</f>
        <v>COS10200804 617</v>
      </c>
    </row>
    <row r="8408" spans="1:26" x14ac:dyDescent="0.25">
      <c r="A8408" t="str">
        <f t="shared" si="3421"/>
        <v>04-08-2020 12:30:41</v>
      </c>
      <c r="B8408" t="str">
        <f>"0000802487"</f>
        <v>0000802487</v>
      </c>
      <c r="C8408" t="str">
        <f t="shared" si="3422"/>
        <v>0000802471</v>
      </c>
      <c r="D8408" t="str">
        <f t="shared" si="3425"/>
        <v>73185</v>
      </c>
      <c r="E8408" t="str">
        <f t="shared" si="3426"/>
        <v>KFH-OPERATIONS DEPARTMENT</v>
      </c>
      <c r="F8408" t="str">
        <f t="shared" si="3427"/>
        <v>IBG</v>
      </c>
      <c r="G8408" t="str">
        <f t="shared" si="3436"/>
        <v>Refund COSHARE 10</v>
      </c>
      <c r="H8408" s="2">
        <v>107.1</v>
      </c>
      <c r="I8408" t="str">
        <f>"ROSLAN BIN DAUD"</f>
        <v>ROSLAN BIN DAUD</v>
      </c>
      <c r="J8408" t="str">
        <f t="shared" si="3416"/>
        <v>BANK ISLAM BHD</v>
      </c>
      <c r="K8408" t="str">
        <f>"03090020232187"</f>
        <v>03090020232187</v>
      </c>
      <c r="L8408" t="str">
        <f t="shared" si="3437"/>
        <v>04-08-2020</v>
      </c>
      <c r="M8408" t="str">
        <f t="shared" si="3437"/>
        <v>04-08-2020</v>
      </c>
      <c r="N8408" t="str">
        <f t="shared" si="3428"/>
        <v>001105018356</v>
      </c>
      <c r="O8408" t="str">
        <f t="shared" si="3429"/>
        <v>MYR</v>
      </c>
      <c r="P8408" t="str">
        <f t="shared" si="3438"/>
        <v>NIL</v>
      </c>
      <c r="Q8408" t="str">
        <f t="shared" si="3438"/>
        <v>NIL</v>
      </c>
      <c r="R8408" t="str">
        <f t="shared" si="3417"/>
        <v>Accepted</v>
      </c>
      <c r="S8408" t="str">
        <f t="shared" si="3430"/>
        <v>Approved</v>
      </c>
      <c r="T8408" t="str">
        <f t="shared" si="3418"/>
        <v>10.20.8.188</v>
      </c>
      <c r="U8408" t="str">
        <f t="shared" si="3431"/>
        <v>AZRAD UMAR BIN SHAARI</v>
      </c>
      <c r="V8408" t="str">
        <f t="shared" si="3432"/>
        <v>FARHANA BINTI MUSTAPA</v>
      </c>
      <c r="W8408" t="str">
        <f t="shared" si="3433"/>
        <v>04-08-2020</v>
      </c>
      <c r="X8408" t="str">
        <f t="shared" si="3434"/>
        <v>RAZIMAH ANSAR AHMAD</v>
      </c>
      <c r="Y8408" t="str">
        <f t="shared" si="3435"/>
        <v>04-08-2020</v>
      </c>
      <c r="Z8408" t="str">
        <f>"COS10200804 616"</f>
        <v>COS10200804 616</v>
      </c>
    </row>
    <row r="8409" spans="1:26" x14ac:dyDescent="0.25">
      <c r="A8409" t="str">
        <f t="shared" si="3421"/>
        <v>04-08-2020 12:30:41</v>
      </c>
      <c r="B8409" t="str">
        <f>"0000802486"</f>
        <v>0000802486</v>
      </c>
      <c r="C8409" t="str">
        <f t="shared" si="3422"/>
        <v>0000802471</v>
      </c>
      <c r="D8409" t="str">
        <f t="shared" si="3425"/>
        <v>73185</v>
      </c>
      <c r="E8409" t="str">
        <f t="shared" si="3426"/>
        <v>KFH-OPERATIONS DEPARTMENT</v>
      </c>
      <c r="F8409" t="str">
        <f t="shared" si="3427"/>
        <v>IBG</v>
      </c>
      <c r="G8409" t="str">
        <f t="shared" si="3436"/>
        <v>Refund COSHARE 10</v>
      </c>
      <c r="H8409" s="2">
        <v>284.89999999999998</v>
      </c>
      <c r="I8409" t="str">
        <f>"ROSINAH BINTI HASHIM"</f>
        <v>ROSINAH BINTI HASHIM</v>
      </c>
      <c r="J8409" t="str">
        <f t="shared" si="3416"/>
        <v>BANK ISLAM BHD</v>
      </c>
      <c r="K8409" t="str">
        <f>"08077020106221"</f>
        <v>08077020106221</v>
      </c>
      <c r="L8409" t="str">
        <f t="shared" si="3437"/>
        <v>04-08-2020</v>
      </c>
      <c r="M8409" t="str">
        <f t="shared" si="3437"/>
        <v>04-08-2020</v>
      </c>
      <c r="N8409" t="str">
        <f t="shared" si="3428"/>
        <v>001105018356</v>
      </c>
      <c r="O8409" t="str">
        <f t="shared" si="3429"/>
        <v>MYR</v>
      </c>
      <c r="P8409" t="str">
        <f t="shared" si="3438"/>
        <v>NIL</v>
      </c>
      <c r="Q8409" t="str">
        <f t="shared" si="3438"/>
        <v>NIL</v>
      </c>
      <c r="R8409" t="str">
        <f t="shared" si="3417"/>
        <v>Accepted</v>
      </c>
      <c r="S8409" t="str">
        <f t="shared" si="3430"/>
        <v>Approved</v>
      </c>
      <c r="T8409" t="str">
        <f t="shared" si="3418"/>
        <v>10.20.8.188</v>
      </c>
      <c r="U8409" t="str">
        <f t="shared" si="3431"/>
        <v>AZRAD UMAR BIN SHAARI</v>
      </c>
      <c r="V8409" t="str">
        <f t="shared" si="3432"/>
        <v>FARHANA BINTI MUSTAPA</v>
      </c>
      <c r="W8409" t="str">
        <f t="shared" si="3433"/>
        <v>04-08-2020</v>
      </c>
      <c r="X8409" t="str">
        <f t="shared" si="3434"/>
        <v>RAZIMAH ANSAR AHMAD</v>
      </c>
      <c r="Y8409" t="str">
        <f t="shared" si="3435"/>
        <v>04-08-2020</v>
      </c>
      <c r="Z8409" t="str">
        <f>"COS10200804 615"</f>
        <v>COS10200804 615</v>
      </c>
    </row>
    <row r="8410" spans="1:26" x14ac:dyDescent="0.25">
      <c r="A8410" t="str">
        <f t="shared" si="3421"/>
        <v>04-08-2020 12:30:41</v>
      </c>
      <c r="B8410" t="str">
        <f>"0000802485"</f>
        <v>0000802485</v>
      </c>
      <c r="C8410" t="str">
        <f t="shared" si="3422"/>
        <v>0000802471</v>
      </c>
      <c r="D8410" t="str">
        <f t="shared" si="3425"/>
        <v>73185</v>
      </c>
      <c r="E8410" t="str">
        <f t="shared" si="3426"/>
        <v>KFH-OPERATIONS DEPARTMENT</v>
      </c>
      <c r="F8410" t="str">
        <f t="shared" si="3427"/>
        <v>IBG</v>
      </c>
      <c r="G8410" t="str">
        <f t="shared" si="3436"/>
        <v>Refund COSHARE 10</v>
      </c>
      <c r="H8410" s="2">
        <v>252</v>
      </c>
      <c r="I8410" t="str">
        <f>"ROSIDAH BINTI ARIS"</f>
        <v>ROSIDAH BINTI ARIS</v>
      </c>
      <c r="J8410" t="str">
        <f t="shared" si="3416"/>
        <v>BANK ISLAM BHD</v>
      </c>
      <c r="K8410" t="str">
        <f>"14041020452976"</f>
        <v>14041020452976</v>
      </c>
      <c r="L8410" t="str">
        <f t="shared" si="3437"/>
        <v>04-08-2020</v>
      </c>
      <c r="M8410" t="str">
        <f t="shared" si="3437"/>
        <v>04-08-2020</v>
      </c>
      <c r="N8410" t="str">
        <f t="shared" si="3428"/>
        <v>001105018356</v>
      </c>
      <c r="O8410" t="str">
        <f t="shared" si="3429"/>
        <v>MYR</v>
      </c>
      <c r="P8410" t="str">
        <f t="shared" si="3438"/>
        <v>NIL</v>
      </c>
      <c r="Q8410" t="str">
        <f t="shared" si="3438"/>
        <v>NIL</v>
      </c>
      <c r="R8410" t="str">
        <f t="shared" si="3417"/>
        <v>Accepted</v>
      </c>
      <c r="S8410" t="str">
        <f t="shared" si="3430"/>
        <v>Approved</v>
      </c>
      <c r="T8410" t="str">
        <f t="shared" si="3418"/>
        <v>10.20.8.188</v>
      </c>
      <c r="U8410" t="str">
        <f t="shared" si="3431"/>
        <v>AZRAD UMAR BIN SHAARI</v>
      </c>
      <c r="V8410" t="str">
        <f t="shared" si="3432"/>
        <v>FARHANA BINTI MUSTAPA</v>
      </c>
      <c r="W8410" t="str">
        <f t="shared" si="3433"/>
        <v>04-08-2020</v>
      </c>
      <c r="X8410" t="str">
        <f t="shared" si="3434"/>
        <v>RAZIMAH ANSAR AHMAD</v>
      </c>
      <c r="Y8410" t="str">
        <f t="shared" si="3435"/>
        <v>04-08-2020</v>
      </c>
      <c r="Z8410" t="str">
        <f>"COS10200804 614"</f>
        <v>COS10200804 614</v>
      </c>
    </row>
    <row r="8411" spans="1:26" x14ac:dyDescent="0.25">
      <c r="A8411" t="str">
        <f t="shared" si="3421"/>
        <v>04-08-2020 12:30:41</v>
      </c>
      <c r="B8411" t="str">
        <f>"0000802484"</f>
        <v>0000802484</v>
      </c>
      <c r="C8411" t="str">
        <f t="shared" si="3422"/>
        <v>0000802471</v>
      </c>
      <c r="D8411" t="str">
        <f t="shared" si="3425"/>
        <v>73185</v>
      </c>
      <c r="E8411" t="str">
        <f t="shared" si="3426"/>
        <v>KFH-OPERATIONS DEPARTMENT</v>
      </c>
      <c r="F8411" t="str">
        <f t="shared" si="3427"/>
        <v>IBG</v>
      </c>
      <c r="G8411" t="str">
        <f t="shared" si="3436"/>
        <v>Refund COSHARE 10</v>
      </c>
      <c r="H8411" s="2">
        <v>137</v>
      </c>
      <c r="I8411" t="str">
        <f>"ROSIBAH BINTI SIDIT"</f>
        <v>ROSIBAH BINTI SIDIT</v>
      </c>
      <c r="J8411" t="str">
        <f t="shared" si="3416"/>
        <v>BANK ISLAM BHD</v>
      </c>
      <c r="K8411" t="str">
        <f>"03036020026907"</f>
        <v>03036020026907</v>
      </c>
      <c r="L8411" t="str">
        <f t="shared" si="3437"/>
        <v>04-08-2020</v>
      </c>
      <c r="M8411" t="str">
        <f t="shared" si="3437"/>
        <v>04-08-2020</v>
      </c>
      <c r="N8411" t="str">
        <f t="shared" si="3428"/>
        <v>001105018356</v>
      </c>
      <c r="O8411" t="str">
        <f t="shared" si="3429"/>
        <v>MYR</v>
      </c>
      <c r="P8411" t="str">
        <f t="shared" si="3438"/>
        <v>NIL</v>
      </c>
      <c r="Q8411" t="str">
        <f t="shared" si="3438"/>
        <v>NIL</v>
      </c>
      <c r="R8411" t="str">
        <f t="shared" si="3417"/>
        <v>Accepted</v>
      </c>
      <c r="S8411" t="str">
        <f t="shared" si="3430"/>
        <v>Approved</v>
      </c>
      <c r="T8411" t="str">
        <f t="shared" si="3418"/>
        <v>10.20.8.188</v>
      </c>
      <c r="U8411" t="str">
        <f t="shared" si="3431"/>
        <v>AZRAD UMAR BIN SHAARI</v>
      </c>
      <c r="V8411" t="str">
        <f t="shared" si="3432"/>
        <v>FARHANA BINTI MUSTAPA</v>
      </c>
      <c r="W8411" t="str">
        <f t="shared" si="3433"/>
        <v>04-08-2020</v>
      </c>
      <c r="X8411" t="str">
        <f t="shared" si="3434"/>
        <v>RAZIMAH ANSAR AHMAD</v>
      </c>
      <c r="Y8411" t="str">
        <f t="shared" si="3435"/>
        <v>04-08-2020</v>
      </c>
      <c r="Z8411" t="str">
        <f>"COS10200804 613"</f>
        <v>COS10200804 613</v>
      </c>
    </row>
    <row r="8412" spans="1:26" x14ac:dyDescent="0.25">
      <c r="A8412" t="str">
        <f t="shared" si="3421"/>
        <v>04-08-2020 12:30:41</v>
      </c>
      <c r="B8412" t="str">
        <f>"0000802483"</f>
        <v>0000802483</v>
      </c>
      <c r="C8412" t="str">
        <f t="shared" si="3422"/>
        <v>0000802471</v>
      </c>
      <c r="D8412" t="str">
        <f t="shared" si="3425"/>
        <v>73185</v>
      </c>
      <c r="E8412" t="str">
        <f t="shared" si="3426"/>
        <v>KFH-OPERATIONS DEPARTMENT</v>
      </c>
      <c r="F8412" t="str">
        <f t="shared" si="3427"/>
        <v>IBG</v>
      </c>
      <c r="G8412" t="str">
        <f t="shared" si="3436"/>
        <v>Refund COSHARE 10</v>
      </c>
      <c r="H8412" s="2">
        <v>254.1</v>
      </c>
      <c r="I8412" t="str">
        <f>"ROSE ALINA BINTI ABDULLAH"</f>
        <v>ROSE ALINA BINTI ABDULLAH</v>
      </c>
      <c r="J8412" t="str">
        <f t="shared" si="3416"/>
        <v>BANK ISLAM BHD</v>
      </c>
      <c r="K8412" t="str">
        <f>"16018020220887"</f>
        <v>16018020220887</v>
      </c>
      <c r="L8412" t="str">
        <f t="shared" si="3437"/>
        <v>04-08-2020</v>
      </c>
      <c r="M8412" t="str">
        <f t="shared" si="3437"/>
        <v>04-08-2020</v>
      </c>
      <c r="N8412" t="str">
        <f t="shared" si="3428"/>
        <v>001105018356</v>
      </c>
      <c r="O8412" t="str">
        <f t="shared" si="3429"/>
        <v>MYR</v>
      </c>
      <c r="P8412" t="str">
        <f t="shared" si="3438"/>
        <v>NIL</v>
      </c>
      <c r="Q8412" t="str">
        <f t="shared" si="3438"/>
        <v>NIL</v>
      </c>
      <c r="R8412" t="str">
        <f t="shared" si="3417"/>
        <v>Accepted</v>
      </c>
      <c r="S8412" t="str">
        <f t="shared" si="3430"/>
        <v>Approved</v>
      </c>
      <c r="T8412" t="str">
        <f t="shared" si="3418"/>
        <v>10.20.8.188</v>
      </c>
      <c r="U8412" t="str">
        <f t="shared" si="3431"/>
        <v>AZRAD UMAR BIN SHAARI</v>
      </c>
      <c r="V8412" t="str">
        <f t="shared" si="3432"/>
        <v>FARHANA BINTI MUSTAPA</v>
      </c>
      <c r="W8412" t="str">
        <f t="shared" si="3433"/>
        <v>04-08-2020</v>
      </c>
      <c r="X8412" t="str">
        <f t="shared" si="3434"/>
        <v>RAZIMAH ANSAR AHMAD</v>
      </c>
      <c r="Y8412" t="str">
        <f t="shared" si="3435"/>
        <v>04-08-2020</v>
      </c>
      <c r="Z8412" t="str">
        <f>"COS10200804 612"</f>
        <v>COS10200804 612</v>
      </c>
    </row>
    <row r="8413" spans="1:26" x14ac:dyDescent="0.25">
      <c r="A8413" t="str">
        <f t="shared" si="3421"/>
        <v>04-08-2020 12:30:41</v>
      </c>
      <c r="B8413" t="str">
        <f>"0000802482"</f>
        <v>0000802482</v>
      </c>
      <c r="C8413" t="str">
        <f t="shared" si="3422"/>
        <v>0000802471</v>
      </c>
      <c r="D8413" t="str">
        <f t="shared" si="3425"/>
        <v>73185</v>
      </c>
      <c r="E8413" t="str">
        <f t="shared" si="3426"/>
        <v>KFH-OPERATIONS DEPARTMENT</v>
      </c>
      <c r="F8413" t="str">
        <f t="shared" si="3427"/>
        <v>IBG</v>
      </c>
      <c r="G8413" t="str">
        <f t="shared" si="3436"/>
        <v>Refund COSHARE 10</v>
      </c>
      <c r="H8413" s="2">
        <v>1175.3</v>
      </c>
      <c r="I8413" t="str">
        <f>"RONIZAM SAIRIZAL BIN MOHAMAD SANI"</f>
        <v>RONIZAM SAIRIZAL BIN MOHAMAD SANI</v>
      </c>
      <c r="J8413" t="str">
        <f t="shared" si="3416"/>
        <v>BANK ISLAM BHD</v>
      </c>
      <c r="K8413" t="str">
        <f>"02066023457633"</f>
        <v>02066023457633</v>
      </c>
      <c r="L8413" t="str">
        <f t="shared" si="3437"/>
        <v>04-08-2020</v>
      </c>
      <c r="M8413" t="str">
        <f t="shared" si="3437"/>
        <v>04-08-2020</v>
      </c>
      <c r="N8413" t="str">
        <f t="shared" si="3428"/>
        <v>001105018356</v>
      </c>
      <c r="O8413" t="str">
        <f t="shared" si="3429"/>
        <v>MYR</v>
      </c>
      <c r="P8413" t="str">
        <f t="shared" si="3438"/>
        <v>NIL</v>
      </c>
      <c r="Q8413" t="str">
        <f t="shared" si="3438"/>
        <v>NIL</v>
      </c>
      <c r="R8413" t="str">
        <f t="shared" si="3417"/>
        <v>Accepted</v>
      </c>
      <c r="S8413" t="str">
        <f t="shared" si="3430"/>
        <v>Approved</v>
      </c>
      <c r="T8413" t="str">
        <f t="shared" si="3418"/>
        <v>10.20.8.188</v>
      </c>
      <c r="U8413" t="str">
        <f t="shared" si="3431"/>
        <v>AZRAD UMAR BIN SHAARI</v>
      </c>
      <c r="V8413" t="str">
        <f t="shared" si="3432"/>
        <v>FARHANA BINTI MUSTAPA</v>
      </c>
      <c r="W8413" t="str">
        <f t="shared" si="3433"/>
        <v>04-08-2020</v>
      </c>
      <c r="X8413" t="str">
        <f t="shared" si="3434"/>
        <v>RAZIMAH ANSAR AHMAD</v>
      </c>
      <c r="Y8413" t="str">
        <f t="shared" si="3435"/>
        <v>04-08-2020</v>
      </c>
      <c r="Z8413" t="str">
        <f>"COS10200804 611"</f>
        <v>COS10200804 611</v>
      </c>
    </row>
    <row r="8414" spans="1:26" x14ac:dyDescent="0.25">
      <c r="A8414" t="str">
        <f t="shared" si="3421"/>
        <v>04-08-2020 12:30:41</v>
      </c>
      <c r="B8414" t="str">
        <f>"0000802481"</f>
        <v>0000802481</v>
      </c>
      <c r="C8414" t="str">
        <f t="shared" si="3422"/>
        <v>0000802471</v>
      </c>
      <c r="D8414" t="str">
        <f t="shared" si="3425"/>
        <v>73185</v>
      </c>
      <c r="E8414" t="str">
        <f t="shared" si="3426"/>
        <v>KFH-OPERATIONS DEPARTMENT</v>
      </c>
      <c r="F8414" t="str">
        <f t="shared" si="3427"/>
        <v>IBG</v>
      </c>
      <c r="G8414" t="str">
        <f t="shared" si="3436"/>
        <v>Refund COSHARE 10</v>
      </c>
      <c r="H8414" s="2">
        <v>596.04999999999995</v>
      </c>
      <c r="I8414" t="str">
        <f>"ROL AKMAL BINTI ISMAIL"</f>
        <v>ROL AKMAL BINTI ISMAIL</v>
      </c>
      <c r="J8414" t="str">
        <f t="shared" si="3416"/>
        <v>BANK ISLAM BHD</v>
      </c>
      <c r="K8414" t="str">
        <f>"03120020139229"</f>
        <v>03120020139229</v>
      </c>
      <c r="L8414" t="str">
        <f t="shared" si="3437"/>
        <v>04-08-2020</v>
      </c>
      <c r="M8414" t="str">
        <f t="shared" si="3437"/>
        <v>04-08-2020</v>
      </c>
      <c r="N8414" t="str">
        <f t="shared" si="3428"/>
        <v>001105018356</v>
      </c>
      <c r="O8414" t="str">
        <f t="shared" si="3429"/>
        <v>MYR</v>
      </c>
      <c r="P8414" t="str">
        <f t="shared" si="3438"/>
        <v>NIL</v>
      </c>
      <c r="Q8414" t="str">
        <f t="shared" si="3438"/>
        <v>NIL</v>
      </c>
      <c r="R8414" t="str">
        <f t="shared" si="3417"/>
        <v>Accepted</v>
      </c>
      <c r="S8414" t="str">
        <f t="shared" si="3430"/>
        <v>Approved</v>
      </c>
      <c r="T8414" t="str">
        <f t="shared" si="3418"/>
        <v>10.20.8.188</v>
      </c>
      <c r="U8414" t="str">
        <f t="shared" si="3431"/>
        <v>AZRAD UMAR BIN SHAARI</v>
      </c>
      <c r="V8414" t="str">
        <f t="shared" si="3432"/>
        <v>FARHANA BINTI MUSTAPA</v>
      </c>
      <c r="W8414" t="str">
        <f t="shared" si="3433"/>
        <v>04-08-2020</v>
      </c>
      <c r="X8414" t="str">
        <f t="shared" si="3434"/>
        <v>RAZIMAH ANSAR AHMAD</v>
      </c>
      <c r="Y8414" t="str">
        <f t="shared" si="3435"/>
        <v>04-08-2020</v>
      </c>
      <c r="Z8414" t="str">
        <f>"COS10200804 610"</f>
        <v>COS10200804 610</v>
      </c>
    </row>
    <row r="8415" spans="1:26" x14ac:dyDescent="0.25">
      <c r="A8415" t="str">
        <f t="shared" si="3421"/>
        <v>04-08-2020 12:30:41</v>
      </c>
      <c r="B8415" t="str">
        <f>"0000802480"</f>
        <v>0000802480</v>
      </c>
      <c r="C8415" t="str">
        <f t="shared" si="3422"/>
        <v>0000802471</v>
      </c>
      <c r="D8415" t="str">
        <f t="shared" si="3425"/>
        <v>73185</v>
      </c>
      <c r="E8415" t="str">
        <f t="shared" si="3426"/>
        <v>KFH-OPERATIONS DEPARTMENT</v>
      </c>
      <c r="F8415" t="str">
        <f t="shared" si="3427"/>
        <v>IBG</v>
      </c>
      <c r="G8415" t="str">
        <f t="shared" si="3436"/>
        <v>Refund COSHARE 10</v>
      </c>
      <c r="H8415" s="2">
        <v>1573.8</v>
      </c>
      <c r="I8415" t="str">
        <f>"ROKIAH BINTI MOHAMAD"</f>
        <v>ROKIAH BINTI MOHAMAD</v>
      </c>
      <c r="J8415" t="str">
        <f t="shared" si="3416"/>
        <v>BANK ISLAM BHD</v>
      </c>
      <c r="K8415" t="str">
        <f>"06028020327526"</f>
        <v>06028020327526</v>
      </c>
      <c r="L8415" t="str">
        <f t="shared" si="3437"/>
        <v>04-08-2020</v>
      </c>
      <c r="M8415" t="str">
        <f t="shared" si="3437"/>
        <v>04-08-2020</v>
      </c>
      <c r="N8415" t="str">
        <f t="shared" si="3428"/>
        <v>001105018356</v>
      </c>
      <c r="O8415" t="str">
        <f t="shared" si="3429"/>
        <v>MYR</v>
      </c>
      <c r="P8415" t="str">
        <f t="shared" si="3438"/>
        <v>NIL</v>
      </c>
      <c r="Q8415" t="str">
        <f t="shared" si="3438"/>
        <v>NIL</v>
      </c>
      <c r="R8415" t="str">
        <f t="shared" si="3417"/>
        <v>Accepted</v>
      </c>
      <c r="S8415" t="str">
        <f t="shared" si="3430"/>
        <v>Approved</v>
      </c>
      <c r="T8415" t="str">
        <f t="shared" si="3418"/>
        <v>10.20.8.188</v>
      </c>
      <c r="U8415" t="str">
        <f t="shared" si="3431"/>
        <v>AZRAD UMAR BIN SHAARI</v>
      </c>
      <c r="V8415" t="str">
        <f t="shared" si="3432"/>
        <v>FARHANA BINTI MUSTAPA</v>
      </c>
      <c r="W8415" t="str">
        <f t="shared" si="3433"/>
        <v>04-08-2020</v>
      </c>
      <c r="X8415" t="str">
        <f t="shared" si="3434"/>
        <v>RAZIMAH ANSAR AHMAD</v>
      </c>
      <c r="Y8415" t="str">
        <f t="shared" si="3435"/>
        <v>04-08-2020</v>
      </c>
      <c r="Z8415" t="str">
        <f>"COS10200804 609"</f>
        <v>COS10200804 609</v>
      </c>
    </row>
    <row r="8416" spans="1:26" x14ac:dyDescent="0.25">
      <c r="A8416" t="str">
        <f t="shared" si="3421"/>
        <v>04-08-2020 12:30:41</v>
      </c>
      <c r="B8416" t="str">
        <f>"0000802479"</f>
        <v>0000802479</v>
      </c>
      <c r="C8416" t="str">
        <f t="shared" si="3422"/>
        <v>0000802471</v>
      </c>
      <c r="D8416" t="str">
        <f t="shared" si="3425"/>
        <v>73185</v>
      </c>
      <c r="E8416" t="str">
        <f t="shared" si="3426"/>
        <v>KFH-OPERATIONS DEPARTMENT</v>
      </c>
      <c r="F8416" t="str">
        <f t="shared" si="3427"/>
        <v>IBG</v>
      </c>
      <c r="G8416" t="str">
        <f t="shared" si="3436"/>
        <v>Refund COSHARE 10</v>
      </c>
      <c r="H8416" s="2">
        <v>1114.6500000000001</v>
      </c>
      <c r="I8416" t="str">
        <f>"ROK MAN BIN MOHAMMAD"</f>
        <v>ROK MAN BIN MOHAMMAD</v>
      </c>
      <c r="J8416" t="str">
        <f t="shared" si="3416"/>
        <v>BANK ISLAM BHD</v>
      </c>
      <c r="K8416" t="str">
        <f>"03045010024488"</f>
        <v>03045010024488</v>
      </c>
      <c r="L8416" t="str">
        <f t="shared" si="3437"/>
        <v>04-08-2020</v>
      </c>
      <c r="M8416" t="str">
        <f t="shared" si="3437"/>
        <v>04-08-2020</v>
      </c>
      <c r="N8416" t="str">
        <f t="shared" si="3428"/>
        <v>001105018356</v>
      </c>
      <c r="O8416" t="str">
        <f t="shared" si="3429"/>
        <v>MYR</v>
      </c>
      <c r="P8416" t="str">
        <f t="shared" si="3438"/>
        <v>NIL</v>
      </c>
      <c r="Q8416" t="str">
        <f t="shared" si="3438"/>
        <v>NIL</v>
      </c>
      <c r="R8416" t="str">
        <f t="shared" si="3417"/>
        <v>Accepted</v>
      </c>
      <c r="S8416" t="str">
        <f t="shared" si="3430"/>
        <v>Approved</v>
      </c>
      <c r="T8416" t="str">
        <f t="shared" si="3418"/>
        <v>10.20.8.188</v>
      </c>
      <c r="U8416" t="str">
        <f t="shared" si="3431"/>
        <v>AZRAD UMAR BIN SHAARI</v>
      </c>
      <c r="V8416" t="str">
        <f t="shared" si="3432"/>
        <v>FARHANA BINTI MUSTAPA</v>
      </c>
      <c r="W8416" t="str">
        <f t="shared" si="3433"/>
        <v>04-08-2020</v>
      </c>
      <c r="X8416" t="str">
        <f t="shared" si="3434"/>
        <v>RAZIMAH ANSAR AHMAD</v>
      </c>
      <c r="Y8416" t="str">
        <f t="shared" si="3435"/>
        <v>04-08-2020</v>
      </c>
      <c r="Z8416" t="str">
        <f>"COS10200804 608"</f>
        <v>COS10200804 608</v>
      </c>
    </row>
    <row r="8417" spans="1:26" x14ac:dyDescent="0.25">
      <c r="A8417" t="str">
        <f t="shared" si="3421"/>
        <v>04-08-2020 12:30:41</v>
      </c>
      <c r="B8417" t="str">
        <f>"0000802478"</f>
        <v>0000802478</v>
      </c>
      <c r="C8417" t="str">
        <f t="shared" si="3422"/>
        <v>0000802471</v>
      </c>
      <c r="D8417" t="str">
        <f t="shared" si="3425"/>
        <v>73185</v>
      </c>
      <c r="E8417" t="str">
        <f t="shared" si="3426"/>
        <v>KFH-OPERATIONS DEPARTMENT</v>
      </c>
      <c r="F8417" t="str">
        <f t="shared" si="3427"/>
        <v>IBG</v>
      </c>
      <c r="G8417" t="str">
        <f t="shared" si="3436"/>
        <v>Refund COSHARE 10</v>
      </c>
      <c r="H8417" s="2">
        <v>1191.5</v>
      </c>
      <c r="I8417" t="str">
        <f>"ROHANI BINTI MAT YUSOFF"</f>
        <v>ROHANI BINTI MAT YUSOFF</v>
      </c>
      <c r="J8417" t="str">
        <f t="shared" si="3416"/>
        <v>BANK ISLAM BHD</v>
      </c>
      <c r="K8417" t="str">
        <f>"03027020186562"</f>
        <v>03027020186562</v>
      </c>
      <c r="L8417" t="str">
        <f t="shared" si="3437"/>
        <v>04-08-2020</v>
      </c>
      <c r="M8417" t="str">
        <f t="shared" si="3437"/>
        <v>04-08-2020</v>
      </c>
      <c r="N8417" t="str">
        <f t="shared" si="3428"/>
        <v>001105018356</v>
      </c>
      <c r="O8417" t="str">
        <f t="shared" si="3429"/>
        <v>MYR</v>
      </c>
      <c r="P8417" t="str">
        <f t="shared" si="3438"/>
        <v>NIL</v>
      </c>
      <c r="Q8417" t="str">
        <f t="shared" si="3438"/>
        <v>NIL</v>
      </c>
      <c r="R8417" t="str">
        <f t="shared" si="3417"/>
        <v>Accepted</v>
      </c>
      <c r="S8417" t="str">
        <f t="shared" si="3430"/>
        <v>Approved</v>
      </c>
      <c r="T8417" t="str">
        <f t="shared" si="3418"/>
        <v>10.20.8.188</v>
      </c>
      <c r="U8417" t="str">
        <f t="shared" si="3431"/>
        <v>AZRAD UMAR BIN SHAARI</v>
      </c>
      <c r="V8417" t="str">
        <f t="shared" si="3432"/>
        <v>FARHANA BINTI MUSTAPA</v>
      </c>
      <c r="W8417" t="str">
        <f t="shared" si="3433"/>
        <v>04-08-2020</v>
      </c>
      <c r="X8417" t="str">
        <f t="shared" si="3434"/>
        <v>RAZIMAH ANSAR AHMAD</v>
      </c>
      <c r="Y8417" t="str">
        <f t="shared" si="3435"/>
        <v>04-08-2020</v>
      </c>
      <c r="Z8417" t="str">
        <f>"COS10200804 607"</f>
        <v>COS10200804 607</v>
      </c>
    </row>
    <row r="8418" spans="1:26" x14ac:dyDescent="0.25">
      <c r="A8418" t="str">
        <f t="shared" ref="A8418:A8423" si="3439">"04-08-2020 12:30:41"</f>
        <v>04-08-2020 12:30:41</v>
      </c>
      <c r="B8418" t="str">
        <f>"0000802477"</f>
        <v>0000802477</v>
      </c>
      <c r="C8418" t="str">
        <f t="shared" ref="C8418:C8423" si="3440">"0000802471"</f>
        <v>0000802471</v>
      </c>
      <c r="D8418" t="str">
        <f t="shared" si="3425"/>
        <v>73185</v>
      </c>
      <c r="E8418" t="str">
        <f t="shared" si="3426"/>
        <v>KFH-OPERATIONS DEPARTMENT</v>
      </c>
      <c r="F8418" t="str">
        <f t="shared" si="3427"/>
        <v>IBG</v>
      </c>
      <c r="G8418" t="str">
        <f t="shared" si="3436"/>
        <v>Refund COSHARE 10</v>
      </c>
      <c r="H8418" s="2">
        <v>775.8</v>
      </c>
      <c r="I8418" t="str">
        <f>"ROHAINI BINTI OTHMAN"</f>
        <v>ROHAINI BINTI OTHMAN</v>
      </c>
      <c r="J8418" t="str">
        <f t="shared" ref="J8418:J8481" si="3441">"BANK ISLAM BHD"</f>
        <v>BANK ISLAM BHD</v>
      </c>
      <c r="K8418" t="str">
        <f>"02011020603915"</f>
        <v>02011020603915</v>
      </c>
      <c r="L8418" t="str">
        <f t="shared" si="3437"/>
        <v>04-08-2020</v>
      </c>
      <c r="M8418" t="str">
        <f t="shared" si="3437"/>
        <v>04-08-2020</v>
      </c>
      <c r="N8418" t="str">
        <f t="shared" si="3428"/>
        <v>001105018356</v>
      </c>
      <c r="O8418" t="str">
        <f t="shared" si="3429"/>
        <v>MYR</v>
      </c>
      <c r="P8418" t="str">
        <f t="shared" si="3438"/>
        <v>NIL</v>
      </c>
      <c r="Q8418" t="str">
        <f t="shared" si="3438"/>
        <v>NIL</v>
      </c>
      <c r="R8418" t="str">
        <f t="shared" ref="R8418:R8481" si="3442">"Accepted"</f>
        <v>Accepted</v>
      </c>
      <c r="S8418" t="str">
        <f t="shared" si="3430"/>
        <v>Approved</v>
      </c>
      <c r="T8418" t="str">
        <f t="shared" ref="T8418:T8481" si="3443">"10.20.8.188"</f>
        <v>10.20.8.188</v>
      </c>
      <c r="U8418" t="str">
        <f t="shared" si="3431"/>
        <v>AZRAD UMAR BIN SHAARI</v>
      </c>
      <c r="V8418" t="str">
        <f t="shared" si="3432"/>
        <v>FARHANA BINTI MUSTAPA</v>
      </c>
      <c r="W8418" t="str">
        <f t="shared" si="3433"/>
        <v>04-08-2020</v>
      </c>
      <c r="X8418" t="str">
        <f t="shared" si="3434"/>
        <v>RAZIMAH ANSAR AHMAD</v>
      </c>
      <c r="Y8418" t="str">
        <f t="shared" si="3435"/>
        <v>04-08-2020</v>
      </c>
      <c r="Z8418" t="str">
        <f>"COS10200804 606"</f>
        <v>COS10200804 606</v>
      </c>
    </row>
    <row r="8419" spans="1:26" x14ac:dyDescent="0.25">
      <c r="A8419" t="str">
        <f t="shared" si="3439"/>
        <v>04-08-2020 12:30:41</v>
      </c>
      <c r="B8419" t="str">
        <f>"0000802476"</f>
        <v>0000802476</v>
      </c>
      <c r="C8419" t="str">
        <f t="shared" si="3440"/>
        <v>0000802471</v>
      </c>
      <c r="D8419" t="str">
        <f t="shared" si="3425"/>
        <v>73185</v>
      </c>
      <c r="E8419" t="str">
        <f t="shared" si="3426"/>
        <v>KFH-OPERATIONS DEPARTMENT</v>
      </c>
      <c r="F8419" t="str">
        <f t="shared" si="3427"/>
        <v>IBG</v>
      </c>
      <c r="G8419" t="str">
        <f t="shared" si="3436"/>
        <v>Refund COSHARE 10</v>
      </c>
      <c r="H8419" s="2">
        <v>117.55</v>
      </c>
      <c r="I8419" t="str">
        <f>"RINI BINTI YUNUS"</f>
        <v>RINI BINTI YUNUS</v>
      </c>
      <c r="J8419" t="str">
        <f t="shared" si="3441"/>
        <v>BANK ISLAM BHD</v>
      </c>
      <c r="K8419" t="str">
        <f>"01032020198338"</f>
        <v>01032020198338</v>
      </c>
      <c r="L8419" t="str">
        <f t="shared" si="3437"/>
        <v>04-08-2020</v>
      </c>
      <c r="M8419" t="str">
        <f t="shared" si="3437"/>
        <v>04-08-2020</v>
      </c>
      <c r="N8419" t="str">
        <f t="shared" si="3428"/>
        <v>001105018356</v>
      </c>
      <c r="O8419" t="str">
        <f t="shared" si="3429"/>
        <v>MYR</v>
      </c>
      <c r="P8419" t="str">
        <f t="shared" si="3438"/>
        <v>NIL</v>
      </c>
      <c r="Q8419" t="str">
        <f t="shared" si="3438"/>
        <v>NIL</v>
      </c>
      <c r="R8419" t="str">
        <f t="shared" si="3442"/>
        <v>Accepted</v>
      </c>
      <c r="S8419" t="str">
        <f t="shared" si="3430"/>
        <v>Approved</v>
      </c>
      <c r="T8419" t="str">
        <f t="shared" si="3443"/>
        <v>10.20.8.188</v>
      </c>
      <c r="U8419" t="str">
        <f t="shared" si="3431"/>
        <v>AZRAD UMAR BIN SHAARI</v>
      </c>
      <c r="V8419" t="str">
        <f t="shared" si="3432"/>
        <v>FARHANA BINTI MUSTAPA</v>
      </c>
      <c r="W8419" t="str">
        <f t="shared" si="3433"/>
        <v>04-08-2020</v>
      </c>
      <c r="X8419" t="str">
        <f t="shared" si="3434"/>
        <v>RAZIMAH ANSAR AHMAD</v>
      </c>
      <c r="Y8419" t="str">
        <f t="shared" si="3435"/>
        <v>04-08-2020</v>
      </c>
      <c r="Z8419" t="str">
        <f>"COS10200804 605"</f>
        <v>COS10200804 605</v>
      </c>
    </row>
    <row r="8420" spans="1:26" x14ac:dyDescent="0.25">
      <c r="A8420" t="str">
        <f t="shared" si="3439"/>
        <v>04-08-2020 12:30:41</v>
      </c>
      <c r="B8420" t="str">
        <f>"0000802475"</f>
        <v>0000802475</v>
      </c>
      <c r="C8420" t="str">
        <f t="shared" si="3440"/>
        <v>0000802471</v>
      </c>
      <c r="D8420" t="str">
        <f t="shared" si="3425"/>
        <v>73185</v>
      </c>
      <c r="E8420" t="str">
        <f t="shared" si="3426"/>
        <v>KFH-OPERATIONS DEPARTMENT</v>
      </c>
      <c r="F8420" t="str">
        <f t="shared" si="3427"/>
        <v>IBG</v>
      </c>
      <c r="G8420" t="str">
        <f t="shared" si="3436"/>
        <v>Refund COSHARE 10</v>
      </c>
      <c r="H8420" s="2">
        <v>1175.3</v>
      </c>
      <c r="I8420" t="str">
        <f>"RAZALI BIN MHD YUDIN"</f>
        <v>RAZALI BIN MHD YUDIN</v>
      </c>
      <c r="J8420" t="str">
        <f t="shared" si="3441"/>
        <v>BANK ISLAM BHD</v>
      </c>
      <c r="K8420" t="str">
        <f>"12122024865576"</f>
        <v>12122024865576</v>
      </c>
      <c r="L8420" t="str">
        <f t="shared" si="3437"/>
        <v>04-08-2020</v>
      </c>
      <c r="M8420" t="str">
        <f t="shared" si="3437"/>
        <v>04-08-2020</v>
      </c>
      <c r="N8420" t="str">
        <f t="shared" si="3428"/>
        <v>001105018356</v>
      </c>
      <c r="O8420" t="str">
        <f t="shared" si="3429"/>
        <v>MYR</v>
      </c>
      <c r="P8420" t="str">
        <f t="shared" si="3438"/>
        <v>NIL</v>
      </c>
      <c r="Q8420" t="str">
        <f t="shared" si="3438"/>
        <v>NIL</v>
      </c>
      <c r="R8420" t="str">
        <f t="shared" si="3442"/>
        <v>Accepted</v>
      </c>
      <c r="S8420" t="str">
        <f t="shared" si="3430"/>
        <v>Approved</v>
      </c>
      <c r="T8420" t="str">
        <f t="shared" si="3443"/>
        <v>10.20.8.188</v>
      </c>
      <c r="U8420" t="str">
        <f t="shared" si="3431"/>
        <v>AZRAD UMAR BIN SHAARI</v>
      </c>
      <c r="V8420" t="str">
        <f t="shared" si="3432"/>
        <v>FARHANA BINTI MUSTAPA</v>
      </c>
      <c r="W8420" t="str">
        <f t="shared" si="3433"/>
        <v>04-08-2020</v>
      </c>
      <c r="X8420" t="str">
        <f t="shared" si="3434"/>
        <v>RAZIMAH ANSAR AHMAD</v>
      </c>
      <c r="Y8420" t="str">
        <f t="shared" si="3435"/>
        <v>04-08-2020</v>
      </c>
      <c r="Z8420" t="str">
        <f>"COS10200804 604"</f>
        <v>COS10200804 604</v>
      </c>
    </row>
    <row r="8421" spans="1:26" x14ac:dyDescent="0.25">
      <c r="A8421" t="str">
        <f t="shared" si="3439"/>
        <v>04-08-2020 12:30:41</v>
      </c>
      <c r="B8421" t="str">
        <f>"0000802474"</f>
        <v>0000802474</v>
      </c>
      <c r="C8421" t="str">
        <f t="shared" si="3440"/>
        <v>0000802471</v>
      </c>
      <c r="D8421" t="str">
        <f t="shared" si="3425"/>
        <v>73185</v>
      </c>
      <c r="E8421" t="str">
        <f t="shared" si="3426"/>
        <v>KFH-OPERATIONS DEPARTMENT</v>
      </c>
      <c r="F8421" t="str">
        <f t="shared" si="3427"/>
        <v>IBG</v>
      </c>
      <c r="G8421" t="str">
        <f t="shared" si="3436"/>
        <v>Refund COSHARE 10</v>
      </c>
      <c r="H8421" s="2">
        <v>164.05</v>
      </c>
      <c r="I8421" t="str">
        <f>"RAZAK BIN AB MUTTALIB"</f>
        <v>RAZAK BIN AB MUTTALIB</v>
      </c>
      <c r="J8421" t="str">
        <f t="shared" si="3441"/>
        <v>BANK ISLAM BHD</v>
      </c>
      <c r="K8421" t="str">
        <f>"03036020118931"</f>
        <v>03036020118931</v>
      </c>
      <c r="L8421" t="str">
        <f t="shared" si="3437"/>
        <v>04-08-2020</v>
      </c>
      <c r="M8421" t="str">
        <f t="shared" si="3437"/>
        <v>04-08-2020</v>
      </c>
      <c r="N8421" t="str">
        <f t="shared" si="3428"/>
        <v>001105018356</v>
      </c>
      <c r="O8421" t="str">
        <f t="shared" si="3429"/>
        <v>MYR</v>
      </c>
      <c r="P8421" t="str">
        <f t="shared" si="3438"/>
        <v>NIL</v>
      </c>
      <c r="Q8421" t="str">
        <f t="shared" si="3438"/>
        <v>NIL</v>
      </c>
      <c r="R8421" t="str">
        <f t="shared" si="3442"/>
        <v>Accepted</v>
      </c>
      <c r="S8421" t="str">
        <f t="shared" si="3430"/>
        <v>Approved</v>
      </c>
      <c r="T8421" t="str">
        <f t="shared" si="3443"/>
        <v>10.20.8.188</v>
      </c>
      <c r="U8421" t="str">
        <f t="shared" si="3431"/>
        <v>AZRAD UMAR BIN SHAARI</v>
      </c>
      <c r="V8421" t="str">
        <f t="shared" si="3432"/>
        <v>FARHANA BINTI MUSTAPA</v>
      </c>
      <c r="W8421" t="str">
        <f t="shared" si="3433"/>
        <v>04-08-2020</v>
      </c>
      <c r="X8421" t="str">
        <f t="shared" si="3434"/>
        <v>RAZIMAH ANSAR AHMAD</v>
      </c>
      <c r="Y8421" t="str">
        <f t="shared" si="3435"/>
        <v>04-08-2020</v>
      </c>
      <c r="Z8421" t="str">
        <f>"COS10200804 603"</f>
        <v>COS10200804 603</v>
      </c>
    </row>
    <row r="8422" spans="1:26" x14ac:dyDescent="0.25">
      <c r="A8422" t="str">
        <f t="shared" si="3439"/>
        <v>04-08-2020 12:30:41</v>
      </c>
      <c r="B8422" t="str">
        <f>"0000802473"</f>
        <v>0000802473</v>
      </c>
      <c r="C8422" t="str">
        <f t="shared" si="3440"/>
        <v>0000802471</v>
      </c>
      <c r="D8422" t="str">
        <f t="shared" si="3425"/>
        <v>73185</v>
      </c>
      <c r="E8422" t="str">
        <f t="shared" si="3426"/>
        <v>KFH-OPERATIONS DEPARTMENT</v>
      </c>
      <c r="F8422" t="str">
        <f t="shared" si="3427"/>
        <v>IBG</v>
      </c>
      <c r="G8422" t="str">
        <f t="shared" si="3436"/>
        <v>Refund COSHARE 10</v>
      </c>
      <c r="H8422" s="2">
        <v>190</v>
      </c>
      <c r="I8422" t="str">
        <f>"RATNA DEVI AP MURUGAYA"</f>
        <v>RATNA DEVI AP MURUGAYA</v>
      </c>
      <c r="J8422" t="str">
        <f t="shared" si="3441"/>
        <v>BANK ISLAM BHD</v>
      </c>
      <c r="K8422" t="str">
        <f>"02093020042657"</f>
        <v>02093020042657</v>
      </c>
      <c r="L8422" t="str">
        <f t="shared" si="3437"/>
        <v>04-08-2020</v>
      </c>
      <c r="M8422" t="str">
        <f t="shared" si="3437"/>
        <v>04-08-2020</v>
      </c>
      <c r="N8422" t="str">
        <f t="shared" si="3428"/>
        <v>001105018356</v>
      </c>
      <c r="O8422" t="str">
        <f t="shared" si="3429"/>
        <v>MYR</v>
      </c>
      <c r="P8422" t="str">
        <f t="shared" si="3438"/>
        <v>NIL</v>
      </c>
      <c r="Q8422" t="str">
        <f t="shared" si="3438"/>
        <v>NIL</v>
      </c>
      <c r="R8422" t="str">
        <f t="shared" si="3442"/>
        <v>Accepted</v>
      </c>
      <c r="S8422" t="str">
        <f t="shared" si="3430"/>
        <v>Approved</v>
      </c>
      <c r="T8422" t="str">
        <f t="shared" si="3443"/>
        <v>10.20.8.188</v>
      </c>
      <c r="U8422" t="str">
        <f t="shared" si="3431"/>
        <v>AZRAD UMAR BIN SHAARI</v>
      </c>
      <c r="V8422" t="str">
        <f t="shared" si="3432"/>
        <v>FARHANA BINTI MUSTAPA</v>
      </c>
      <c r="W8422" t="str">
        <f t="shared" si="3433"/>
        <v>04-08-2020</v>
      </c>
      <c r="X8422" t="str">
        <f t="shared" si="3434"/>
        <v>RAZIMAH ANSAR AHMAD</v>
      </c>
      <c r="Y8422" t="str">
        <f t="shared" si="3435"/>
        <v>04-08-2020</v>
      </c>
      <c r="Z8422" t="str">
        <f>"COS10200804 602"</f>
        <v>COS10200804 602</v>
      </c>
    </row>
    <row r="8423" spans="1:26" x14ac:dyDescent="0.25">
      <c r="A8423" t="str">
        <f t="shared" si="3439"/>
        <v>04-08-2020 12:30:41</v>
      </c>
      <c r="B8423" t="str">
        <f>"0000802472"</f>
        <v>0000802472</v>
      </c>
      <c r="C8423" t="str">
        <f t="shared" si="3440"/>
        <v>0000802471</v>
      </c>
      <c r="D8423" t="str">
        <f t="shared" si="3425"/>
        <v>73185</v>
      </c>
      <c r="E8423" t="str">
        <f t="shared" si="3426"/>
        <v>KFH-OPERATIONS DEPARTMENT</v>
      </c>
      <c r="F8423" t="str">
        <f t="shared" si="3427"/>
        <v>IBG</v>
      </c>
      <c r="G8423" t="str">
        <f t="shared" si="3436"/>
        <v>Refund COSHARE 10</v>
      </c>
      <c r="H8423" s="2">
        <v>265</v>
      </c>
      <c r="I8423" t="str">
        <f>"RAJA ZAINALABIDIN B RAJA MOHD SALLEH"</f>
        <v>RAJA ZAINALABIDIN B RAJA MOHD SALLEH</v>
      </c>
      <c r="J8423" t="str">
        <f t="shared" si="3441"/>
        <v>BANK ISLAM BHD</v>
      </c>
      <c r="K8423" t="str">
        <f>"05012026347828"</f>
        <v>05012026347828</v>
      </c>
      <c r="L8423" t="str">
        <f t="shared" si="3437"/>
        <v>04-08-2020</v>
      </c>
      <c r="M8423" t="str">
        <f t="shared" si="3437"/>
        <v>04-08-2020</v>
      </c>
      <c r="N8423" t="str">
        <f t="shared" si="3428"/>
        <v>001105018356</v>
      </c>
      <c r="O8423" t="str">
        <f t="shared" si="3429"/>
        <v>MYR</v>
      </c>
      <c r="P8423" t="str">
        <f t="shared" si="3438"/>
        <v>NIL</v>
      </c>
      <c r="Q8423" t="str">
        <f t="shared" si="3438"/>
        <v>NIL</v>
      </c>
      <c r="R8423" t="str">
        <f t="shared" si="3442"/>
        <v>Accepted</v>
      </c>
      <c r="S8423" t="str">
        <f t="shared" si="3430"/>
        <v>Approved</v>
      </c>
      <c r="T8423" t="str">
        <f t="shared" si="3443"/>
        <v>10.20.8.188</v>
      </c>
      <c r="U8423" t="str">
        <f t="shared" si="3431"/>
        <v>AZRAD UMAR BIN SHAARI</v>
      </c>
      <c r="V8423" t="str">
        <f t="shared" si="3432"/>
        <v>FARHANA BINTI MUSTAPA</v>
      </c>
      <c r="W8423" t="str">
        <f t="shared" si="3433"/>
        <v>04-08-2020</v>
      </c>
      <c r="X8423" t="str">
        <f t="shared" si="3434"/>
        <v>RAZIMAH ANSAR AHMAD</v>
      </c>
      <c r="Y8423" t="str">
        <f t="shared" si="3435"/>
        <v>04-08-2020</v>
      </c>
      <c r="Z8423" t="str">
        <f>"COS10200804 601"</f>
        <v>COS10200804 601</v>
      </c>
    </row>
    <row r="8424" spans="1:26" x14ac:dyDescent="0.25">
      <c r="A8424" t="str">
        <f t="shared" ref="A8424:A8455" si="3444">"04-08-2020 12:28:31"</f>
        <v>04-08-2020 12:28:31</v>
      </c>
      <c r="B8424" t="str">
        <f>"0000802395"</f>
        <v>0000802395</v>
      </c>
      <c r="C8424" t="str">
        <f t="shared" ref="C8424:C8455" si="3445">"0000802195"</f>
        <v>0000802195</v>
      </c>
      <c r="D8424" t="str">
        <f t="shared" si="3425"/>
        <v>73185</v>
      </c>
      <c r="E8424" t="str">
        <f t="shared" si="3426"/>
        <v>KFH-OPERATIONS DEPARTMENT</v>
      </c>
      <c r="F8424" t="str">
        <f t="shared" si="3427"/>
        <v>IBG</v>
      </c>
      <c r="G8424" t="str">
        <f t="shared" si="3436"/>
        <v>Refund COSHARE 10</v>
      </c>
      <c r="H8424" s="2">
        <v>805.95</v>
      </c>
      <c r="I8424" t="str">
        <f>"MOHAMMAD SAPRI BIN MANSOR"</f>
        <v>MOHAMMAD SAPRI BIN MANSOR</v>
      </c>
      <c r="J8424" t="str">
        <f t="shared" si="3441"/>
        <v>BANK ISLAM BHD</v>
      </c>
      <c r="K8424" t="str">
        <f>"01014020478351"</f>
        <v>01014020478351</v>
      </c>
      <c r="L8424" t="str">
        <f t="shared" si="3437"/>
        <v>04-08-2020</v>
      </c>
      <c r="M8424" t="str">
        <f t="shared" si="3437"/>
        <v>04-08-2020</v>
      </c>
      <c r="N8424" t="str">
        <f t="shared" si="3428"/>
        <v>001105018356</v>
      </c>
      <c r="O8424" t="str">
        <f t="shared" si="3429"/>
        <v>MYR</v>
      </c>
      <c r="P8424" t="str">
        <f t="shared" si="3438"/>
        <v>NIL</v>
      </c>
      <c r="Q8424" t="str">
        <f t="shared" si="3438"/>
        <v>NIL</v>
      </c>
      <c r="R8424" t="str">
        <f t="shared" si="3442"/>
        <v>Accepted</v>
      </c>
      <c r="S8424" t="str">
        <f t="shared" si="3430"/>
        <v>Approved</v>
      </c>
      <c r="T8424" t="str">
        <f t="shared" si="3443"/>
        <v>10.20.8.188</v>
      </c>
      <c r="U8424" t="str">
        <f t="shared" si="3431"/>
        <v>AZRAD UMAR BIN SHAARI</v>
      </c>
      <c r="V8424" t="str">
        <f t="shared" si="3432"/>
        <v>FARHANA BINTI MUSTAPA</v>
      </c>
      <c r="W8424" t="str">
        <f t="shared" si="3433"/>
        <v>04-08-2020</v>
      </c>
      <c r="X8424" t="str">
        <f t="shared" si="3434"/>
        <v>RAZIMAH ANSAR AHMAD</v>
      </c>
      <c r="Y8424" t="str">
        <f t="shared" si="3435"/>
        <v>04-08-2020</v>
      </c>
      <c r="Z8424" t="str">
        <f>"COS10200804 400"</f>
        <v>COS10200804 400</v>
      </c>
    </row>
    <row r="8425" spans="1:26" x14ac:dyDescent="0.25">
      <c r="A8425" t="str">
        <f t="shared" si="3444"/>
        <v>04-08-2020 12:28:31</v>
      </c>
      <c r="B8425" t="str">
        <f>"0000802394"</f>
        <v>0000802394</v>
      </c>
      <c r="C8425" t="str">
        <f t="shared" si="3445"/>
        <v>0000802195</v>
      </c>
      <c r="D8425" t="str">
        <f t="shared" si="3425"/>
        <v>73185</v>
      </c>
      <c r="E8425" t="str">
        <f t="shared" si="3426"/>
        <v>KFH-OPERATIONS DEPARTMENT</v>
      </c>
      <c r="F8425" t="str">
        <f t="shared" si="3427"/>
        <v>IBG</v>
      </c>
      <c r="G8425" t="str">
        <f t="shared" si="3436"/>
        <v>Refund COSHARE 10</v>
      </c>
      <c r="H8425" s="2">
        <v>447</v>
      </c>
      <c r="I8425" t="str">
        <f>"MOHAMMAD RIDZUAN BIN AB RAHMAN"</f>
        <v>MOHAMMAD RIDZUAN BIN AB RAHMAN</v>
      </c>
      <c r="J8425" t="str">
        <f t="shared" si="3441"/>
        <v>BANK ISLAM BHD</v>
      </c>
      <c r="K8425" t="str">
        <f>"03054020667530"</f>
        <v>03054020667530</v>
      </c>
      <c r="L8425" t="str">
        <f t="shared" si="3437"/>
        <v>04-08-2020</v>
      </c>
      <c r="M8425" t="str">
        <f t="shared" si="3437"/>
        <v>04-08-2020</v>
      </c>
      <c r="N8425" t="str">
        <f t="shared" si="3428"/>
        <v>001105018356</v>
      </c>
      <c r="O8425" t="str">
        <f t="shared" si="3429"/>
        <v>MYR</v>
      </c>
      <c r="P8425" t="str">
        <f t="shared" si="3438"/>
        <v>NIL</v>
      </c>
      <c r="Q8425" t="str">
        <f t="shared" si="3438"/>
        <v>NIL</v>
      </c>
      <c r="R8425" t="str">
        <f t="shared" si="3442"/>
        <v>Accepted</v>
      </c>
      <c r="S8425" t="str">
        <f t="shared" si="3430"/>
        <v>Approved</v>
      </c>
      <c r="T8425" t="str">
        <f t="shared" si="3443"/>
        <v>10.20.8.188</v>
      </c>
      <c r="U8425" t="str">
        <f t="shared" si="3431"/>
        <v>AZRAD UMAR BIN SHAARI</v>
      </c>
      <c r="V8425" t="str">
        <f t="shared" si="3432"/>
        <v>FARHANA BINTI MUSTAPA</v>
      </c>
      <c r="W8425" t="str">
        <f t="shared" si="3433"/>
        <v>04-08-2020</v>
      </c>
      <c r="X8425" t="str">
        <f t="shared" si="3434"/>
        <v>RAZIMAH ANSAR AHMAD</v>
      </c>
      <c r="Y8425" t="str">
        <f t="shared" si="3435"/>
        <v>04-08-2020</v>
      </c>
      <c r="Z8425" t="str">
        <f>"COS10200804 399"</f>
        <v>COS10200804 399</v>
      </c>
    </row>
    <row r="8426" spans="1:26" x14ac:dyDescent="0.25">
      <c r="A8426" t="str">
        <f t="shared" si="3444"/>
        <v>04-08-2020 12:28:31</v>
      </c>
      <c r="B8426" t="str">
        <f>"0000802393"</f>
        <v>0000802393</v>
      </c>
      <c r="C8426" t="str">
        <f t="shared" si="3445"/>
        <v>0000802195</v>
      </c>
      <c r="D8426" t="str">
        <f t="shared" si="3425"/>
        <v>73185</v>
      </c>
      <c r="E8426" t="str">
        <f t="shared" si="3426"/>
        <v>KFH-OPERATIONS DEPARTMENT</v>
      </c>
      <c r="F8426" t="str">
        <f t="shared" si="3427"/>
        <v>IBG</v>
      </c>
      <c r="G8426" t="str">
        <f t="shared" si="3436"/>
        <v>Refund COSHARE 10</v>
      </c>
      <c r="H8426" s="2">
        <v>377.8</v>
      </c>
      <c r="I8426" t="str">
        <f>"MOHAMMAD HUZAIFAH BIN WAHAP"</f>
        <v>MOHAMMAD HUZAIFAH BIN WAHAP</v>
      </c>
      <c r="J8426" t="str">
        <f t="shared" si="3441"/>
        <v>BANK ISLAM BHD</v>
      </c>
      <c r="K8426" t="str">
        <f>"14041020323573"</f>
        <v>14041020323573</v>
      </c>
      <c r="L8426" t="str">
        <f t="shared" si="3437"/>
        <v>04-08-2020</v>
      </c>
      <c r="M8426" t="str">
        <f t="shared" si="3437"/>
        <v>04-08-2020</v>
      </c>
      <c r="N8426" t="str">
        <f t="shared" si="3428"/>
        <v>001105018356</v>
      </c>
      <c r="O8426" t="str">
        <f t="shared" si="3429"/>
        <v>MYR</v>
      </c>
      <c r="P8426" t="str">
        <f t="shared" si="3438"/>
        <v>NIL</v>
      </c>
      <c r="Q8426" t="str">
        <f t="shared" si="3438"/>
        <v>NIL</v>
      </c>
      <c r="R8426" t="str">
        <f t="shared" si="3442"/>
        <v>Accepted</v>
      </c>
      <c r="S8426" t="str">
        <f t="shared" si="3430"/>
        <v>Approved</v>
      </c>
      <c r="T8426" t="str">
        <f t="shared" si="3443"/>
        <v>10.20.8.188</v>
      </c>
      <c r="U8426" t="str">
        <f t="shared" si="3431"/>
        <v>AZRAD UMAR BIN SHAARI</v>
      </c>
      <c r="V8426" t="str">
        <f t="shared" si="3432"/>
        <v>FARHANA BINTI MUSTAPA</v>
      </c>
      <c r="W8426" t="str">
        <f t="shared" si="3433"/>
        <v>04-08-2020</v>
      </c>
      <c r="X8426" t="str">
        <f t="shared" si="3434"/>
        <v>RAZIMAH ANSAR AHMAD</v>
      </c>
      <c r="Y8426" t="str">
        <f t="shared" si="3435"/>
        <v>04-08-2020</v>
      </c>
      <c r="Z8426" t="str">
        <f>"COS10200804 398"</f>
        <v>COS10200804 398</v>
      </c>
    </row>
    <row r="8427" spans="1:26" x14ac:dyDescent="0.25">
      <c r="A8427" t="str">
        <f t="shared" si="3444"/>
        <v>04-08-2020 12:28:31</v>
      </c>
      <c r="B8427" t="str">
        <f>"0000802392"</f>
        <v>0000802392</v>
      </c>
      <c r="C8427" t="str">
        <f t="shared" si="3445"/>
        <v>0000802195</v>
      </c>
      <c r="D8427" t="str">
        <f t="shared" si="3425"/>
        <v>73185</v>
      </c>
      <c r="E8427" t="str">
        <f t="shared" si="3426"/>
        <v>KFH-OPERATIONS DEPARTMENT</v>
      </c>
      <c r="F8427" t="str">
        <f t="shared" si="3427"/>
        <v>IBG</v>
      </c>
      <c r="G8427" t="str">
        <f t="shared" si="3436"/>
        <v>Refund COSHARE 10</v>
      </c>
      <c r="H8427" s="2">
        <v>596.04999999999995</v>
      </c>
      <c r="I8427" t="str">
        <f>"MOHAMMAD HAIRIL BIN SALLEH"</f>
        <v>MOHAMMAD HAIRIL BIN SALLEH</v>
      </c>
      <c r="J8427" t="str">
        <f t="shared" si="3441"/>
        <v>BANK ISLAM BHD</v>
      </c>
      <c r="K8427" t="str">
        <f>"02020020410251"</f>
        <v>02020020410251</v>
      </c>
      <c r="L8427" t="str">
        <f t="shared" ref="L8427:M8446" si="3446">"04-08-2020"</f>
        <v>04-08-2020</v>
      </c>
      <c r="M8427" t="str">
        <f t="shared" si="3446"/>
        <v>04-08-2020</v>
      </c>
      <c r="N8427" t="str">
        <f t="shared" si="3428"/>
        <v>001105018356</v>
      </c>
      <c r="O8427" t="str">
        <f t="shared" si="3429"/>
        <v>MYR</v>
      </c>
      <c r="P8427" t="str">
        <f t="shared" ref="P8427:Q8446" si="3447">"NIL"</f>
        <v>NIL</v>
      </c>
      <c r="Q8427" t="str">
        <f t="shared" si="3447"/>
        <v>NIL</v>
      </c>
      <c r="R8427" t="str">
        <f t="shared" si="3442"/>
        <v>Accepted</v>
      </c>
      <c r="S8427" t="str">
        <f t="shared" si="3430"/>
        <v>Approved</v>
      </c>
      <c r="T8427" t="str">
        <f t="shared" si="3443"/>
        <v>10.20.8.188</v>
      </c>
      <c r="U8427" t="str">
        <f t="shared" si="3431"/>
        <v>AZRAD UMAR BIN SHAARI</v>
      </c>
      <c r="V8427" t="str">
        <f t="shared" si="3432"/>
        <v>FARHANA BINTI MUSTAPA</v>
      </c>
      <c r="W8427" t="str">
        <f t="shared" si="3433"/>
        <v>04-08-2020</v>
      </c>
      <c r="X8427" t="str">
        <f t="shared" si="3434"/>
        <v>RAZIMAH ANSAR AHMAD</v>
      </c>
      <c r="Y8427" t="str">
        <f t="shared" si="3435"/>
        <v>04-08-2020</v>
      </c>
      <c r="Z8427" t="str">
        <f>"COS10200804 397"</f>
        <v>COS10200804 397</v>
      </c>
    </row>
    <row r="8428" spans="1:26" x14ac:dyDescent="0.25">
      <c r="A8428" t="str">
        <f t="shared" si="3444"/>
        <v>04-08-2020 12:28:31</v>
      </c>
      <c r="B8428" t="str">
        <f>"0000802391"</f>
        <v>0000802391</v>
      </c>
      <c r="C8428" t="str">
        <f t="shared" si="3445"/>
        <v>0000802195</v>
      </c>
      <c r="D8428" t="str">
        <f t="shared" si="3425"/>
        <v>73185</v>
      </c>
      <c r="E8428" t="str">
        <f t="shared" si="3426"/>
        <v>KFH-OPERATIONS DEPARTMENT</v>
      </c>
      <c r="F8428" t="str">
        <f t="shared" si="3427"/>
        <v>IBG</v>
      </c>
      <c r="G8428" t="str">
        <f t="shared" si="3436"/>
        <v>Refund COSHARE 10</v>
      </c>
      <c r="H8428" s="2">
        <v>1135.8499999999999</v>
      </c>
      <c r="I8428" t="str">
        <f>"MOHAMED AZLAN BIN ABDUL LATIF"</f>
        <v>MOHAMED AZLAN BIN ABDUL LATIF</v>
      </c>
      <c r="J8428" t="str">
        <f t="shared" si="3441"/>
        <v>BANK ISLAM BHD</v>
      </c>
      <c r="K8428" t="str">
        <f>"12122020101799"</f>
        <v>12122020101799</v>
      </c>
      <c r="L8428" t="str">
        <f t="shared" si="3446"/>
        <v>04-08-2020</v>
      </c>
      <c r="M8428" t="str">
        <f t="shared" si="3446"/>
        <v>04-08-2020</v>
      </c>
      <c r="N8428" t="str">
        <f t="shared" si="3428"/>
        <v>001105018356</v>
      </c>
      <c r="O8428" t="str">
        <f t="shared" si="3429"/>
        <v>MYR</v>
      </c>
      <c r="P8428" t="str">
        <f t="shared" si="3447"/>
        <v>NIL</v>
      </c>
      <c r="Q8428" t="str">
        <f t="shared" si="3447"/>
        <v>NIL</v>
      </c>
      <c r="R8428" t="str">
        <f t="shared" si="3442"/>
        <v>Accepted</v>
      </c>
      <c r="S8428" t="str">
        <f t="shared" si="3430"/>
        <v>Approved</v>
      </c>
      <c r="T8428" t="str">
        <f t="shared" si="3443"/>
        <v>10.20.8.188</v>
      </c>
      <c r="U8428" t="str">
        <f t="shared" si="3431"/>
        <v>AZRAD UMAR BIN SHAARI</v>
      </c>
      <c r="V8428" t="str">
        <f t="shared" si="3432"/>
        <v>FARHANA BINTI MUSTAPA</v>
      </c>
      <c r="W8428" t="str">
        <f t="shared" si="3433"/>
        <v>04-08-2020</v>
      </c>
      <c r="X8428" t="str">
        <f t="shared" si="3434"/>
        <v>RAZIMAH ANSAR AHMAD</v>
      </c>
      <c r="Y8428" t="str">
        <f t="shared" si="3435"/>
        <v>04-08-2020</v>
      </c>
      <c r="Z8428" t="str">
        <f>"COS10200804 396"</f>
        <v>COS10200804 396</v>
      </c>
    </row>
    <row r="8429" spans="1:26" x14ac:dyDescent="0.25">
      <c r="A8429" t="str">
        <f t="shared" si="3444"/>
        <v>04-08-2020 12:28:31</v>
      </c>
      <c r="B8429" t="str">
        <f>"0000802390"</f>
        <v>0000802390</v>
      </c>
      <c r="C8429" t="str">
        <f t="shared" si="3445"/>
        <v>0000802195</v>
      </c>
      <c r="D8429" t="str">
        <f t="shared" si="3425"/>
        <v>73185</v>
      </c>
      <c r="E8429" t="str">
        <f t="shared" si="3426"/>
        <v>KFH-OPERATIONS DEPARTMENT</v>
      </c>
      <c r="F8429" t="str">
        <f t="shared" si="3427"/>
        <v>IBG</v>
      </c>
      <c r="G8429" t="str">
        <f t="shared" si="3436"/>
        <v>Refund COSHARE 10</v>
      </c>
      <c r="H8429" s="2">
        <v>1490.15</v>
      </c>
      <c r="I8429" t="str">
        <f>"MOHAMAD SHUKRI BIN SAFIE"</f>
        <v>MOHAMAD SHUKRI BIN SAFIE</v>
      </c>
      <c r="J8429" t="str">
        <f t="shared" si="3441"/>
        <v>BANK ISLAM BHD</v>
      </c>
      <c r="K8429" t="str">
        <f>"02084020020158"</f>
        <v>02084020020158</v>
      </c>
      <c r="L8429" t="str">
        <f t="shared" si="3446"/>
        <v>04-08-2020</v>
      </c>
      <c r="M8429" t="str">
        <f t="shared" si="3446"/>
        <v>04-08-2020</v>
      </c>
      <c r="N8429" t="str">
        <f t="shared" si="3428"/>
        <v>001105018356</v>
      </c>
      <c r="O8429" t="str">
        <f t="shared" si="3429"/>
        <v>MYR</v>
      </c>
      <c r="P8429" t="str">
        <f t="shared" si="3447"/>
        <v>NIL</v>
      </c>
      <c r="Q8429" t="str">
        <f t="shared" si="3447"/>
        <v>NIL</v>
      </c>
      <c r="R8429" t="str">
        <f t="shared" si="3442"/>
        <v>Accepted</v>
      </c>
      <c r="S8429" t="str">
        <f t="shared" si="3430"/>
        <v>Approved</v>
      </c>
      <c r="T8429" t="str">
        <f t="shared" si="3443"/>
        <v>10.20.8.188</v>
      </c>
      <c r="U8429" t="str">
        <f t="shared" si="3431"/>
        <v>AZRAD UMAR BIN SHAARI</v>
      </c>
      <c r="V8429" t="str">
        <f t="shared" si="3432"/>
        <v>FARHANA BINTI MUSTAPA</v>
      </c>
      <c r="W8429" t="str">
        <f t="shared" si="3433"/>
        <v>04-08-2020</v>
      </c>
      <c r="X8429" t="str">
        <f t="shared" si="3434"/>
        <v>RAZIMAH ANSAR AHMAD</v>
      </c>
      <c r="Y8429" t="str">
        <f t="shared" si="3435"/>
        <v>04-08-2020</v>
      </c>
      <c r="Z8429" t="str">
        <f>"COS10200804 395"</f>
        <v>COS10200804 395</v>
      </c>
    </row>
    <row r="8430" spans="1:26" x14ac:dyDescent="0.25">
      <c r="A8430" t="str">
        <f t="shared" si="3444"/>
        <v>04-08-2020 12:28:31</v>
      </c>
      <c r="B8430" t="str">
        <f>"0000802389"</f>
        <v>0000802389</v>
      </c>
      <c r="C8430" t="str">
        <f t="shared" si="3445"/>
        <v>0000802195</v>
      </c>
      <c r="D8430" t="str">
        <f t="shared" si="3425"/>
        <v>73185</v>
      </c>
      <c r="E8430" t="str">
        <f t="shared" si="3426"/>
        <v>KFH-OPERATIONS DEPARTMENT</v>
      </c>
      <c r="F8430" t="str">
        <f t="shared" si="3427"/>
        <v>IBG</v>
      </c>
      <c r="G8430" t="str">
        <f t="shared" si="3436"/>
        <v>Refund COSHARE 10</v>
      </c>
      <c r="H8430" s="2">
        <v>83.95</v>
      </c>
      <c r="I8430" t="str">
        <f>"MOHAMAD ROSLAN BIN ZAINUDDIN"</f>
        <v>MOHAMAD ROSLAN BIN ZAINUDDIN</v>
      </c>
      <c r="J8430" t="str">
        <f t="shared" si="3441"/>
        <v>BANK ISLAM BHD</v>
      </c>
      <c r="K8430" t="str">
        <f>"08013023451426"</f>
        <v>08013023451426</v>
      </c>
      <c r="L8430" t="str">
        <f t="shared" si="3446"/>
        <v>04-08-2020</v>
      </c>
      <c r="M8430" t="str">
        <f t="shared" si="3446"/>
        <v>04-08-2020</v>
      </c>
      <c r="N8430" t="str">
        <f t="shared" si="3428"/>
        <v>001105018356</v>
      </c>
      <c r="O8430" t="str">
        <f t="shared" si="3429"/>
        <v>MYR</v>
      </c>
      <c r="P8430" t="str">
        <f t="shared" si="3447"/>
        <v>NIL</v>
      </c>
      <c r="Q8430" t="str">
        <f t="shared" si="3447"/>
        <v>NIL</v>
      </c>
      <c r="R8430" t="str">
        <f t="shared" si="3442"/>
        <v>Accepted</v>
      </c>
      <c r="S8430" t="str">
        <f t="shared" si="3430"/>
        <v>Approved</v>
      </c>
      <c r="T8430" t="str">
        <f t="shared" si="3443"/>
        <v>10.20.8.188</v>
      </c>
      <c r="U8430" t="str">
        <f t="shared" si="3431"/>
        <v>AZRAD UMAR BIN SHAARI</v>
      </c>
      <c r="V8430" t="str">
        <f t="shared" si="3432"/>
        <v>FARHANA BINTI MUSTAPA</v>
      </c>
      <c r="W8430" t="str">
        <f t="shared" si="3433"/>
        <v>04-08-2020</v>
      </c>
      <c r="X8430" t="str">
        <f t="shared" si="3434"/>
        <v>RAZIMAH ANSAR AHMAD</v>
      </c>
      <c r="Y8430" t="str">
        <f t="shared" si="3435"/>
        <v>04-08-2020</v>
      </c>
      <c r="Z8430" t="str">
        <f>"COS10200804 394"</f>
        <v>COS10200804 394</v>
      </c>
    </row>
    <row r="8431" spans="1:26" x14ac:dyDescent="0.25">
      <c r="A8431" t="str">
        <f t="shared" si="3444"/>
        <v>04-08-2020 12:28:31</v>
      </c>
      <c r="B8431" t="str">
        <f>"0000802388"</f>
        <v>0000802388</v>
      </c>
      <c r="C8431" t="str">
        <f t="shared" si="3445"/>
        <v>0000802195</v>
      </c>
      <c r="D8431" t="str">
        <f t="shared" si="3425"/>
        <v>73185</v>
      </c>
      <c r="E8431" t="str">
        <f t="shared" si="3426"/>
        <v>KFH-OPERATIONS DEPARTMENT</v>
      </c>
      <c r="F8431" t="str">
        <f t="shared" si="3427"/>
        <v>IBG</v>
      </c>
      <c r="G8431" t="str">
        <f t="shared" si="3436"/>
        <v>Refund COSHARE 10</v>
      </c>
      <c r="H8431" s="2">
        <v>1259.25</v>
      </c>
      <c r="I8431" t="str">
        <f>"MOHAMAD RIZANUDDIN BIN SALAIMAN"</f>
        <v>MOHAMAD RIZANUDDIN BIN SALAIMAN</v>
      </c>
      <c r="J8431" t="str">
        <f t="shared" si="3441"/>
        <v>BANK ISLAM BHD</v>
      </c>
      <c r="K8431" t="str">
        <f>"11022022248630"</f>
        <v>11022022248630</v>
      </c>
      <c r="L8431" t="str">
        <f t="shared" si="3446"/>
        <v>04-08-2020</v>
      </c>
      <c r="M8431" t="str">
        <f t="shared" si="3446"/>
        <v>04-08-2020</v>
      </c>
      <c r="N8431" t="str">
        <f t="shared" si="3428"/>
        <v>001105018356</v>
      </c>
      <c r="O8431" t="str">
        <f t="shared" si="3429"/>
        <v>MYR</v>
      </c>
      <c r="P8431" t="str">
        <f t="shared" si="3447"/>
        <v>NIL</v>
      </c>
      <c r="Q8431" t="str">
        <f t="shared" si="3447"/>
        <v>NIL</v>
      </c>
      <c r="R8431" t="str">
        <f t="shared" si="3442"/>
        <v>Accepted</v>
      </c>
      <c r="S8431" t="str">
        <f t="shared" si="3430"/>
        <v>Approved</v>
      </c>
      <c r="T8431" t="str">
        <f t="shared" si="3443"/>
        <v>10.20.8.188</v>
      </c>
      <c r="U8431" t="str">
        <f t="shared" si="3431"/>
        <v>AZRAD UMAR BIN SHAARI</v>
      </c>
      <c r="V8431" t="str">
        <f t="shared" si="3432"/>
        <v>FARHANA BINTI MUSTAPA</v>
      </c>
      <c r="W8431" t="str">
        <f t="shared" si="3433"/>
        <v>04-08-2020</v>
      </c>
      <c r="X8431" t="str">
        <f t="shared" si="3434"/>
        <v>RAZIMAH ANSAR AHMAD</v>
      </c>
      <c r="Y8431" t="str">
        <f t="shared" si="3435"/>
        <v>04-08-2020</v>
      </c>
      <c r="Z8431" t="str">
        <f>"COS10200804 393"</f>
        <v>COS10200804 393</v>
      </c>
    </row>
    <row r="8432" spans="1:26" x14ac:dyDescent="0.25">
      <c r="A8432" t="str">
        <f t="shared" si="3444"/>
        <v>04-08-2020 12:28:31</v>
      </c>
      <c r="B8432" t="str">
        <f>"0000802387"</f>
        <v>0000802387</v>
      </c>
      <c r="C8432" t="str">
        <f t="shared" si="3445"/>
        <v>0000802195</v>
      </c>
      <c r="D8432" t="str">
        <f t="shared" si="3425"/>
        <v>73185</v>
      </c>
      <c r="E8432" t="str">
        <f t="shared" si="3426"/>
        <v>KFH-OPERATIONS DEPARTMENT</v>
      </c>
      <c r="F8432" t="str">
        <f t="shared" si="3427"/>
        <v>IBG</v>
      </c>
      <c r="G8432" t="str">
        <f t="shared" si="3436"/>
        <v>Refund COSHARE 10</v>
      </c>
      <c r="H8432" s="2">
        <v>682</v>
      </c>
      <c r="I8432" t="str">
        <f>"MOHAMAD NOR ALBAIHAQI BIN ABDUL HAMID"</f>
        <v>MOHAMAD NOR ALBAIHAQI BIN ABDUL HAMID</v>
      </c>
      <c r="J8432" t="str">
        <f t="shared" si="3441"/>
        <v>BANK ISLAM BHD</v>
      </c>
      <c r="K8432" t="str">
        <f>"03090020046754"</f>
        <v>03090020046754</v>
      </c>
      <c r="L8432" t="str">
        <f t="shared" si="3446"/>
        <v>04-08-2020</v>
      </c>
      <c r="M8432" t="str">
        <f t="shared" si="3446"/>
        <v>04-08-2020</v>
      </c>
      <c r="N8432" t="str">
        <f t="shared" si="3428"/>
        <v>001105018356</v>
      </c>
      <c r="O8432" t="str">
        <f t="shared" si="3429"/>
        <v>MYR</v>
      </c>
      <c r="P8432" t="str">
        <f t="shared" si="3447"/>
        <v>NIL</v>
      </c>
      <c r="Q8432" t="str">
        <f t="shared" si="3447"/>
        <v>NIL</v>
      </c>
      <c r="R8432" t="str">
        <f t="shared" si="3442"/>
        <v>Accepted</v>
      </c>
      <c r="S8432" t="str">
        <f t="shared" si="3430"/>
        <v>Approved</v>
      </c>
      <c r="T8432" t="str">
        <f t="shared" si="3443"/>
        <v>10.20.8.188</v>
      </c>
      <c r="U8432" t="str">
        <f t="shared" si="3431"/>
        <v>AZRAD UMAR BIN SHAARI</v>
      </c>
      <c r="V8432" t="str">
        <f t="shared" si="3432"/>
        <v>FARHANA BINTI MUSTAPA</v>
      </c>
      <c r="W8432" t="str">
        <f t="shared" si="3433"/>
        <v>04-08-2020</v>
      </c>
      <c r="X8432" t="str">
        <f t="shared" si="3434"/>
        <v>RAZIMAH ANSAR AHMAD</v>
      </c>
      <c r="Y8432" t="str">
        <f t="shared" si="3435"/>
        <v>04-08-2020</v>
      </c>
      <c r="Z8432" t="str">
        <f>"COS10200804 392"</f>
        <v>COS10200804 392</v>
      </c>
    </row>
    <row r="8433" spans="1:26" x14ac:dyDescent="0.25">
      <c r="A8433" t="str">
        <f t="shared" si="3444"/>
        <v>04-08-2020 12:28:31</v>
      </c>
      <c r="B8433" t="str">
        <f>"0000802386"</f>
        <v>0000802386</v>
      </c>
      <c r="C8433" t="str">
        <f t="shared" si="3445"/>
        <v>0000802195</v>
      </c>
      <c r="D8433" t="str">
        <f t="shared" si="3425"/>
        <v>73185</v>
      </c>
      <c r="E8433" t="str">
        <f t="shared" si="3426"/>
        <v>KFH-OPERATIONS DEPARTMENT</v>
      </c>
      <c r="F8433" t="str">
        <f t="shared" si="3427"/>
        <v>IBG</v>
      </c>
      <c r="G8433" t="str">
        <f t="shared" si="3436"/>
        <v>Refund COSHARE 10</v>
      </c>
      <c r="H8433" s="2">
        <v>1503</v>
      </c>
      <c r="I8433" t="str">
        <f>"MOHAMAD NATA BIN NONG"</f>
        <v>MOHAMAD NATA BIN NONG</v>
      </c>
      <c r="J8433" t="str">
        <f t="shared" si="3441"/>
        <v>BANK ISLAM BHD</v>
      </c>
      <c r="K8433" t="str">
        <f>"11013026005873"</f>
        <v>11013026005873</v>
      </c>
      <c r="L8433" t="str">
        <f t="shared" si="3446"/>
        <v>04-08-2020</v>
      </c>
      <c r="M8433" t="str">
        <f t="shared" si="3446"/>
        <v>04-08-2020</v>
      </c>
      <c r="N8433" t="str">
        <f t="shared" si="3428"/>
        <v>001105018356</v>
      </c>
      <c r="O8433" t="str">
        <f t="shared" si="3429"/>
        <v>MYR</v>
      </c>
      <c r="P8433" t="str">
        <f t="shared" si="3447"/>
        <v>NIL</v>
      </c>
      <c r="Q8433" t="str">
        <f t="shared" si="3447"/>
        <v>NIL</v>
      </c>
      <c r="R8433" t="str">
        <f t="shared" si="3442"/>
        <v>Accepted</v>
      </c>
      <c r="S8433" t="str">
        <f t="shared" si="3430"/>
        <v>Approved</v>
      </c>
      <c r="T8433" t="str">
        <f t="shared" si="3443"/>
        <v>10.20.8.188</v>
      </c>
      <c r="U8433" t="str">
        <f t="shared" si="3431"/>
        <v>AZRAD UMAR BIN SHAARI</v>
      </c>
      <c r="V8433" t="str">
        <f t="shared" si="3432"/>
        <v>FARHANA BINTI MUSTAPA</v>
      </c>
      <c r="W8433" t="str">
        <f t="shared" si="3433"/>
        <v>04-08-2020</v>
      </c>
      <c r="X8433" t="str">
        <f t="shared" si="3434"/>
        <v>RAZIMAH ANSAR AHMAD</v>
      </c>
      <c r="Y8433" t="str">
        <f t="shared" si="3435"/>
        <v>04-08-2020</v>
      </c>
      <c r="Z8433" t="str">
        <f>"COS10200804 391"</f>
        <v>COS10200804 391</v>
      </c>
    </row>
    <row r="8434" spans="1:26" x14ac:dyDescent="0.25">
      <c r="A8434" t="str">
        <f t="shared" si="3444"/>
        <v>04-08-2020 12:28:31</v>
      </c>
      <c r="B8434" t="str">
        <f>"0000802385"</f>
        <v>0000802385</v>
      </c>
      <c r="C8434" t="str">
        <f t="shared" si="3445"/>
        <v>0000802195</v>
      </c>
      <c r="D8434" t="str">
        <f t="shared" si="3425"/>
        <v>73185</v>
      </c>
      <c r="E8434" t="str">
        <f t="shared" si="3426"/>
        <v>KFH-OPERATIONS DEPARTMENT</v>
      </c>
      <c r="F8434" t="str">
        <f t="shared" si="3427"/>
        <v>IBG</v>
      </c>
      <c r="G8434" t="str">
        <f t="shared" si="3436"/>
        <v>Refund COSHARE 10</v>
      </c>
      <c r="H8434" s="2">
        <v>1500</v>
      </c>
      <c r="I8434" t="str">
        <f>"MOHAMAD JELANI BIN AWANG ABDUL KADIR"</f>
        <v>MOHAMAD JELANI BIN AWANG ABDUL KADIR</v>
      </c>
      <c r="J8434" t="str">
        <f t="shared" si="3441"/>
        <v>BANK ISLAM BHD</v>
      </c>
      <c r="K8434" t="str">
        <f>"11013020200256"</f>
        <v>11013020200256</v>
      </c>
      <c r="L8434" t="str">
        <f t="shared" si="3446"/>
        <v>04-08-2020</v>
      </c>
      <c r="M8434" t="str">
        <f t="shared" si="3446"/>
        <v>04-08-2020</v>
      </c>
      <c r="N8434" t="str">
        <f t="shared" si="3428"/>
        <v>001105018356</v>
      </c>
      <c r="O8434" t="str">
        <f t="shared" si="3429"/>
        <v>MYR</v>
      </c>
      <c r="P8434" t="str">
        <f t="shared" si="3447"/>
        <v>NIL</v>
      </c>
      <c r="Q8434" t="str">
        <f t="shared" si="3447"/>
        <v>NIL</v>
      </c>
      <c r="R8434" t="str">
        <f t="shared" si="3442"/>
        <v>Accepted</v>
      </c>
      <c r="S8434" t="str">
        <f t="shared" si="3430"/>
        <v>Approved</v>
      </c>
      <c r="T8434" t="str">
        <f t="shared" si="3443"/>
        <v>10.20.8.188</v>
      </c>
      <c r="U8434" t="str">
        <f t="shared" si="3431"/>
        <v>AZRAD UMAR BIN SHAARI</v>
      </c>
      <c r="V8434" t="str">
        <f t="shared" si="3432"/>
        <v>FARHANA BINTI MUSTAPA</v>
      </c>
      <c r="W8434" t="str">
        <f t="shared" si="3433"/>
        <v>04-08-2020</v>
      </c>
      <c r="X8434" t="str">
        <f t="shared" si="3434"/>
        <v>RAZIMAH ANSAR AHMAD</v>
      </c>
      <c r="Y8434" t="str">
        <f t="shared" si="3435"/>
        <v>04-08-2020</v>
      </c>
      <c r="Z8434" t="str">
        <f>"COS10200804 390"</f>
        <v>COS10200804 390</v>
      </c>
    </row>
    <row r="8435" spans="1:26" x14ac:dyDescent="0.25">
      <c r="A8435" t="str">
        <f t="shared" si="3444"/>
        <v>04-08-2020 12:28:31</v>
      </c>
      <c r="B8435" t="str">
        <f>"0000802384"</f>
        <v>0000802384</v>
      </c>
      <c r="C8435" t="str">
        <f t="shared" si="3445"/>
        <v>0000802195</v>
      </c>
      <c r="D8435" t="str">
        <f t="shared" si="3425"/>
        <v>73185</v>
      </c>
      <c r="E8435" t="str">
        <f t="shared" si="3426"/>
        <v>KFH-OPERATIONS DEPARTMENT</v>
      </c>
      <c r="F8435" t="str">
        <f t="shared" si="3427"/>
        <v>IBG</v>
      </c>
      <c r="G8435" t="str">
        <f t="shared" si="3436"/>
        <v>Refund COSHARE 10</v>
      </c>
      <c r="H8435" s="2">
        <v>759</v>
      </c>
      <c r="I8435" t="str">
        <f>"MOHAMAD IMRAN BIN OMAR"</f>
        <v>MOHAMAD IMRAN BIN OMAR</v>
      </c>
      <c r="J8435" t="str">
        <f t="shared" si="3441"/>
        <v>BANK ISLAM BHD</v>
      </c>
      <c r="K8435" t="str">
        <f>"12300020003180"</f>
        <v>12300020003180</v>
      </c>
      <c r="L8435" t="str">
        <f t="shared" si="3446"/>
        <v>04-08-2020</v>
      </c>
      <c r="M8435" t="str">
        <f t="shared" si="3446"/>
        <v>04-08-2020</v>
      </c>
      <c r="N8435" t="str">
        <f t="shared" si="3428"/>
        <v>001105018356</v>
      </c>
      <c r="O8435" t="str">
        <f t="shared" si="3429"/>
        <v>MYR</v>
      </c>
      <c r="P8435" t="str">
        <f t="shared" si="3447"/>
        <v>NIL</v>
      </c>
      <c r="Q8435" t="str">
        <f t="shared" si="3447"/>
        <v>NIL</v>
      </c>
      <c r="R8435" t="str">
        <f t="shared" si="3442"/>
        <v>Accepted</v>
      </c>
      <c r="S8435" t="str">
        <f t="shared" si="3430"/>
        <v>Approved</v>
      </c>
      <c r="T8435" t="str">
        <f t="shared" si="3443"/>
        <v>10.20.8.188</v>
      </c>
      <c r="U8435" t="str">
        <f t="shared" si="3431"/>
        <v>AZRAD UMAR BIN SHAARI</v>
      </c>
      <c r="V8435" t="str">
        <f t="shared" si="3432"/>
        <v>FARHANA BINTI MUSTAPA</v>
      </c>
      <c r="W8435" t="str">
        <f t="shared" si="3433"/>
        <v>04-08-2020</v>
      </c>
      <c r="X8435" t="str">
        <f t="shared" si="3434"/>
        <v>RAZIMAH ANSAR AHMAD</v>
      </c>
      <c r="Y8435" t="str">
        <f t="shared" si="3435"/>
        <v>04-08-2020</v>
      </c>
      <c r="Z8435" t="str">
        <f>"COS10200804 389"</f>
        <v>COS10200804 389</v>
      </c>
    </row>
    <row r="8436" spans="1:26" x14ac:dyDescent="0.25">
      <c r="A8436" t="str">
        <f t="shared" si="3444"/>
        <v>04-08-2020 12:28:31</v>
      </c>
      <c r="B8436" t="str">
        <f>"0000802383"</f>
        <v>0000802383</v>
      </c>
      <c r="C8436" t="str">
        <f t="shared" si="3445"/>
        <v>0000802195</v>
      </c>
      <c r="D8436" t="str">
        <f t="shared" si="3425"/>
        <v>73185</v>
      </c>
      <c r="E8436" t="str">
        <f t="shared" si="3426"/>
        <v>KFH-OPERATIONS DEPARTMENT</v>
      </c>
      <c r="F8436" t="str">
        <f t="shared" si="3427"/>
        <v>IBG</v>
      </c>
      <c r="G8436" t="str">
        <f t="shared" si="3436"/>
        <v>Refund COSHARE 10</v>
      </c>
      <c r="H8436" s="2">
        <v>412.6</v>
      </c>
      <c r="I8436" t="str">
        <f>"MOHAMAD BIN ABDULLAH"</f>
        <v>MOHAMAD BIN ABDULLAH</v>
      </c>
      <c r="J8436" t="str">
        <f t="shared" si="3441"/>
        <v>BANK ISLAM BHD</v>
      </c>
      <c r="K8436" t="str">
        <f>"02011020378168"</f>
        <v>02011020378168</v>
      </c>
      <c r="L8436" t="str">
        <f t="shared" si="3446"/>
        <v>04-08-2020</v>
      </c>
      <c r="M8436" t="str">
        <f t="shared" si="3446"/>
        <v>04-08-2020</v>
      </c>
      <c r="N8436" t="str">
        <f t="shared" si="3428"/>
        <v>001105018356</v>
      </c>
      <c r="O8436" t="str">
        <f t="shared" si="3429"/>
        <v>MYR</v>
      </c>
      <c r="P8436" t="str">
        <f t="shared" si="3447"/>
        <v>NIL</v>
      </c>
      <c r="Q8436" t="str">
        <f t="shared" si="3447"/>
        <v>NIL</v>
      </c>
      <c r="R8436" t="str">
        <f t="shared" si="3442"/>
        <v>Accepted</v>
      </c>
      <c r="S8436" t="str">
        <f t="shared" si="3430"/>
        <v>Approved</v>
      </c>
      <c r="T8436" t="str">
        <f t="shared" si="3443"/>
        <v>10.20.8.188</v>
      </c>
      <c r="U8436" t="str">
        <f t="shared" si="3431"/>
        <v>AZRAD UMAR BIN SHAARI</v>
      </c>
      <c r="V8436" t="str">
        <f t="shared" si="3432"/>
        <v>FARHANA BINTI MUSTAPA</v>
      </c>
      <c r="W8436" t="str">
        <f t="shared" si="3433"/>
        <v>04-08-2020</v>
      </c>
      <c r="X8436" t="str">
        <f t="shared" si="3434"/>
        <v>RAZIMAH ANSAR AHMAD</v>
      </c>
      <c r="Y8436" t="str">
        <f t="shared" si="3435"/>
        <v>04-08-2020</v>
      </c>
      <c r="Z8436" t="str">
        <f>"COS10200804 388"</f>
        <v>COS10200804 388</v>
      </c>
    </row>
    <row r="8437" spans="1:26" x14ac:dyDescent="0.25">
      <c r="A8437" t="str">
        <f t="shared" si="3444"/>
        <v>04-08-2020 12:28:31</v>
      </c>
      <c r="B8437" t="str">
        <f>"0000802382"</f>
        <v>0000802382</v>
      </c>
      <c r="C8437" t="str">
        <f t="shared" si="3445"/>
        <v>0000802195</v>
      </c>
      <c r="D8437" t="str">
        <f t="shared" si="3425"/>
        <v>73185</v>
      </c>
      <c r="E8437" t="str">
        <f t="shared" si="3426"/>
        <v>KFH-OPERATIONS DEPARTMENT</v>
      </c>
      <c r="F8437" t="str">
        <f t="shared" si="3427"/>
        <v>IBG</v>
      </c>
      <c r="G8437" t="str">
        <f t="shared" si="3436"/>
        <v>Refund COSHARE 10</v>
      </c>
      <c r="H8437" s="2">
        <v>251.85</v>
      </c>
      <c r="I8437" t="str">
        <f>"MOHAMAD AZRAIE BIN ABDUL HALIM"</f>
        <v>MOHAMAD AZRAIE BIN ABDUL HALIM</v>
      </c>
      <c r="J8437" t="str">
        <f t="shared" si="3441"/>
        <v>BANK ISLAM BHD</v>
      </c>
      <c r="K8437" t="str">
        <f>"14171020073838"</f>
        <v>14171020073838</v>
      </c>
      <c r="L8437" t="str">
        <f t="shared" si="3446"/>
        <v>04-08-2020</v>
      </c>
      <c r="M8437" t="str">
        <f t="shared" si="3446"/>
        <v>04-08-2020</v>
      </c>
      <c r="N8437" t="str">
        <f t="shared" si="3428"/>
        <v>001105018356</v>
      </c>
      <c r="O8437" t="str">
        <f t="shared" si="3429"/>
        <v>MYR</v>
      </c>
      <c r="P8437" t="str">
        <f t="shared" si="3447"/>
        <v>NIL</v>
      </c>
      <c r="Q8437" t="str">
        <f t="shared" si="3447"/>
        <v>NIL</v>
      </c>
      <c r="R8437" t="str">
        <f t="shared" si="3442"/>
        <v>Accepted</v>
      </c>
      <c r="S8437" t="str">
        <f t="shared" si="3430"/>
        <v>Approved</v>
      </c>
      <c r="T8437" t="str">
        <f t="shared" si="3443"/>
        <v>10.20.8.188</v>
      </c>
      <c r="U8437" t="str">
        <f t="shared" si="3431"/>
        <v>AZRAD UMAR BIN SHAARI</v>
      </c>
      <c r="V8437" t="str">
        <f t="shared" si="3432"/>
        <v>FARHANA BINTI MUSTAPA</v>
      </c>
      <c r="W8437" t="str">
        <f t="shared" si="3433"/>
        <v>04-08-2020</v>
      </c>
      <c r="X8437" t="str">
        <f t="shared" si="3434"/>
        <v>RAZIMAH ANSAR AHMAD</v>
      </c>
      <c r="Y8437" t="str">
        <f t="shared" si="3435"/>
        <v>04-08-2020</v>
      </c>
      <c r="Z8437" t="str">
        <f>"COS10200804 387"</f>
        <v>COS10200804 387</v>
      </c>
    </row>
    <row r="8438" spans="1:26" x14ac:dyDescent="0.25">
      <c r="A8438" t="str">
        <f t="shared" si="3444"/>
        <v>04-08-2020 12:28:31</v>
      </c>
      <c r="B8438" t="str">
        <f>"0000802381"</f>
        <v>0000802381</v>
      </c>
      <c r="C8438" t="str">
        <f t="shared" si="3445"/>
        <v>0000802195</v>
      </c>
      <c r="D8438" t="str">
        <f t="shared" si="3425"/>
        <v>73185</v>
      </c>
      <c r="E8438" t="str">
        <f t="shared" si="3426"/>
        <v>KFH-OPERATIONS DEPARTMENT</v>
      </c>
      <c r="F8438" t="str">
        <f t="shared" si="3427"/>
        <v>IBG</v>
      </c>
      <c r="G8438" t="str">
        <f t="shared" si="3436"/>
        <v>Refund COSHARE 10</v>
      </c>
      <c r="H8438" s="2">
        <v>999</v>
      </c>
      <c r="I8438" t="str">
        <f>"MIKIBIJAYA BINTI AHMAD"</f>
        <v>MIKIBIJAYA BINTI AHMAD</v>
      </c>
      <c r="J8438" t="str">
        <f t="shared" si="3441"/>
        <v>BANK ISLAM BHD</v>
      </c>
      <c r="K8438" t="str">
        <f>"11040020071436"</f>
        <v>11040020071436</v>
      </c>
      <c r="L8438" t="str">
        <f t="shared" si="3446"/>
        <v>04-08-2020</v>
      </c>
      <c r="M8438" t="str">
        <f t="shared" si="3446"/>
        <v>04-08-2020</v>
      </c>
      <c r="N8438" t="str">
        <f t="shared" si="3428"/>
        <v>001105018356</v>
      </c>
      <c r="O8438" t="str">
        <f t="shared" si="3429"/>
        <v>MYR</v>
      </c>
      <c r="P8438" t="str">
        <f t="shared" si="3447"/>
        <v>NIL</v>
      </c>
      <c r="Q8438" t="str">
        <f t="shared" si="3447"/>
        <v>NIL</v>
      </c>
      <c r="R8438" t="str">
        <f t="shared" si="3442"/>
        <v>Accepted</v>
      </c>
      <c r="S8438" t="str">
        <f t="shared" si="3430"/>
        <v>Approved</v>
      </c>
      <c r="T8438" t="str">
        <f t="shared" si="3443"/>
        <v>10.20.8.188</v>
      </c>
      <c r="U8438" t="str">
        <f t="shared" si="3431"/>
        <v>AZRAD UMAR BIN SHAARI</v>
      </c>
      <c r="V8438" t="str">
        <f t="shared" si="3432"/>
        <v>FARHANA BINTI MUSTAPA</v>
      </c>
      <c r="W8438" t="str">
        <f t="shared" si="3433"/>
        <v>04-08-2020</v>
      </c>
      <c r="X8438" t="str">
        <f t="shared" si="3434"/>
        <v>RAZIMAH ANSAR AHMAD</v>
      </c>
      <c r="Y8438" t="str">
        <f t="shared" si="3435"/>
        <v>04-08-2020</v>
      </c>
      <c r="Z8438" t="str">
        <f>"COS10200804 386"</f>
        <v>COS10200804 386</v>
      </c>
    </row>
    <row r="8439" spans="1:26" x14ac:dyDescent="0.25">
      <c r="A8439" t="str">
        <f t="shared" si="3444"/>
        <v>04-08-2020 12:28:31</v>
      </c>
      <c r="B8439" t="str">
        <f>"0000802380"</f>
        <v>0000802380</v>
      </c>
      <c r="C8439" t="str">
        <f t="shared" si="3445"/>
        <v>0000802195</v>
      </c>
      <c r="D8439" t="str">
        <f t="shared" si="3425"/>
        <v>73185</v>
      </c>
      <c r="E8439" t="str">
        <f t="shared" si="3426"/>
        <v>KFH-OPERATIONS DEPARTMENT</v>
      </c>
      <c r="F8439" t="str">
        <f t="shared" si="3427"/>
        <v>IBG</v>
      </c>
      <c r="G8439" t="str">
        <f t="shared" si="3436"/>
        <v>Refund COSHARE 10</v>
      </c>
      <c r="H8439" s="2">
        <v>1203.05</v>
      </c>
      <c r="I8439" t="str">
        <f>"MEGAT NASURUDIN BIN AHMAD"</f>
        <v>MEGAT NASURUDIN BIN AHMAD</v>
      </c>
      <c r="J8439" t="str">
        <f t="shared" si="3441"/>
        <v>BANK ISLAM BHD</v>
      </c>
      <c r="K8439" t="str">
        <f>"08068020306626"</f>
        <v>08068020306626</v>
      </c>
      <c r="L8439" t="str">
        <f t="shared" si="3446"/>
        <v>04-08-2020</v>
      </c>
      <c r="M8439" t="str">
        <f t="shared" si="3446"/>
        <v>04-08-2020</v>
      </c>
      <c r="N8439" t="str">
        <f t="shared" si="3428"/>
        <v>001105018356</v>
      </c>
      <c r="O8439" t="str">
        <f t="shared" si="3429"/>
        <v>MYR</v>
      </c>
      <c r="P8439" t="str">
        <f t="shared" si="3447"/>
        <v>NIL</v>
      </c>
      <c r="Q8439" t="str">
        <f t="shared" si="3447"/>
        <v>NIL</v>
      </c>
      <c r="R8439" t="str">
        <f t="shared" si="3442"/>
        <v>Accepted</v>
      </c>
      <c r="S8439" t="str">
        <f t="shared" si="3430"/>
        <v>Approved</v>
      </c>
      <c r="T8439" t="str">
        <f t="shared" si="3443"/>
        <v>10.20.8.188</v>
      </c>
      <c r="U8439" t="str">
        <f t="shared" si="3431"/>
        <v>AZRAD UMAR BIN SHAARI</v>
      </c>
      <c r="V8439" t="str">
        <f t="shared" si="3432"/>
        <v>FARHANA BINTI MUSTAPA</v>
      </c>
      <c r="W8439" t="str">
        <f t="shared" si="3433"/>
        <v>04-08-2020</v>
      </c>
      <c r="X8439" t="str">
        <f t="shared" si="3434"/>
        <v>RAZIMAH ANSAR AHMAD</v>
      </c>
      <c r="Y8439" t="str">
        <f t="shared" si="3435"/>
        <v>04-08-2020</v>
      </c>
      <c r="Z8439" t="str">
        <f>"COS10200804 385"</f>
        <v>COS10200804 385</v>
      </c>
    </row>
    <row r="8440" spans="1:26" x14ac:dyDescent="0.25">
      <c r="A8440" t="str">
        <f t="shared" si="3444"/>
        <v>04-08-2020 12:28:31</v>
      </c>
      <c r="B8440" t="str">
        <f>"0000802379"</f>
        <v>0000802379</v>
      </c>
      <c r="C8440" t="str">
        <f t="shared" si="3445"/>
        <v>0000802195</v>
      </c>
      <c r="D8440" t="str">
        <f t="shared" si="3425"/>
        <v>73185</v>
      </c>
      <c r="E8440" t="str">
        <f t="shared" si="3426"/>
        <v>KFH-OPERATIONS DEPARTMENT</v>
      </c>
      <c r="F8440" t="str">
        <f t="shared" si="3427"/>
        <v>IBG</v>
      </c>
      <c r="G8440" t="str">
        <f t="shared" si="3436"/>
        <v>Refund COSHARE 10</v>
      </c>
      <c r="H8440" s="2">
        <v>1270.3499999999999</v>
      </c>
      <c r="I8440" t="str">
        <f>"MEGA HERAWATI BINTI MAT NOOR"</f>
        <v>MEGA HERAWATI BINTI MAT NOOR</v>
      </c>
      <c r="J8440" t="str">
        <f t="shared" si="3441"/>
        <v>BANK ISLAM BHD</v>
      </c>
      <c r="K8440" t="str">
        <f>"03018020511065"</f>
        <v>03018020511065</v>
      </c>
      <c r="L8440" t="str">
        <f t="shared" si="3446"/>
        <v>04-08-2020</v>
      </c>
      <c r="M8440" t="str">
        <f t="shared" si="3446"/>
        <v>04-08-2020</v>
      </c>
      <c r="N8440" t="str">
        <f t="shared" si="3428"/>
        <v>001105018356</v>
      </c>
      <c r="O8440" t="str">
        <f t="shared" si="3429"/>
        <v>MYR</v>
      </c>
      <c r="P8440" t="str">
        <f t="shared" si="3447"/>
        <v>NIL</v>
      </c>
      <c r="Q8440" t="str">
        <f t="shared" si="3447"/>
        <v>NIL</v>
      </c>
      <c r="R8440" t="str">
        <f t="shared" si="3442"/>
        <v>Accepted</v>
      </c>
      <c r="S8440" t="str">
        <f t="shared" si="3430"/>
        <v>Approved</v>
      </c>
      <c r="T8440" t="str">
        <f t="shared" si="3443"/>
        <v>10.20.8.188</v>
      </c>
      <c r="U8440" t="str">
        <f t="shared" si="3431"/>
        <v>AZRAD UMAR BIN SHAARI</v>
      </c>
      <c r="V8440" t="str">
        <f t="shared" si="3432"/>
        <v>FARHANA BINTI MUSTAPA</v>
      </c>
      <c r="W8440" t="str">
        <f t="shared" si="3433"/>
        <v>04-08-2020</v>
      </c>
      <c r="X8440" t="str">
        <f t="shared" si="3434"/>
        <v>RAZIMAH ANSAR AHMAD</v>
      </c>
      <c r="Y8440" t="str">
        <f t="shared" si="3435"/>
        <v>04-08-2020</v>
      </c>
      <c r="Z8440" t="str">
        <f>"COS10200804 384"</f>
        <v>COS10200804 384</v>
      </c>
    </row>
    <row r="8441" spans="1:26" x14ac:dyDescent="0.25">
      <c r="A8441" t="str">
        <f t="shared" si="3444"/>
        <v>04-08-2020 12:28:31</v>
      </c>
      <c r="B8441" t="str">
        <f>"0000802378"</f>
        <v>0000802378</v>
      </c>
      <c r="C8441" t="str">
        <f t="shared" si="3445"/>
        <v>0000802195</v>
      </c>
      <c r="D8441" t="str">
        <f t="shared" si="3425"/>
        <v>73185</v>
      </c>
      <c r="E8441" t="str">
        <f t="shared" si="3426"/>
        <v>KFH-OPERATIONS DEPARTMENT</v>
      </c>
      <c r="F8441" t="str">
        <f t="shared" si="3427"/>
        <v>IBG</v>
      </c>
      <c r="G8441" t="str">
        <f t="shared" si="3436"/>
        <v>Refund COSHARE 10</v>
      </c>
      <c r="H8441" s="2">
        <v>343</v>
      </c>
      <c r="I8441" t="str">
        <f>"MD ZAMRI BIN SHAPEIE"</f>
        <v>MD ZAMRI BIN SHAPEIE</v>
      </c>
      <c r="J8441" t="str">
        <f t="shared" si="3441"/>
        <v>BANK ISLAM BHD</v>
      </c>
      <c r="K8441" t="str">
        <f>"02020020350166"</f>
        <v>02020020350166</v>
      </c>
      <c r="L8441" t="str">
        <f t="shared" si="3446"/>
        <v>04-08-2020</v>
      </c>
      <c r="M8441" t="str">
        <f t="shared" si="3446"/>
        <v>04-08-2020</v>
      </c>
      <c r="N8441" t="str">
        <f t="shared" si="3428"/>
        <v>001105018356</v>
      </c>
      <c r="O8441" t="str">
        <f t="shared" si="3429"/>
        <v>MYR</v>
      </c>
      <c r="P8441" t="str">
        <f t="shared" si="3447"/>
        <v>NIL</v>
      </c>
      <c r="Q8441" t="str">
        <f t="shared" si="3447"/>
        <v>NIL</v>
      </c>
      <c r="R8441" t="str">
        <f t="shared" si="3442"/>
        <v>Accepted</v>
      </c>
      <c r="S8441" t="str">
        <f t="shared" si="3430"/>
        <v>Approved</v>
      </c>
      <c r="T8441" t="str">
        <f t="shared" si="3443"/>
        <v>10.20.8.188</v>
      </c>
      <c r="U8441" t="str">
        <f t="shared" si="3431"/>
        <v>AZRAD UMAR BIN SHAARI</v>
      </c>
      <c r="V8441" t="str">
        <f t="shared" si="3432"/>
        <v>FARHANA BINTI MUSTAPA</v>
      </c>
      <c r="W8441" t="str">
        <f t="shared" si="3433"/>
        <v>04-08-2020</v>
      </c>
      <c r="X8441" t="str">
        <f t="shared" si="3434"/>
        <v>RAZIMAH ANSAR AHMAD</v>
      </c>
      <c r="Y8441" t="str">
        <f t="shared" si="3435"/>
        <v>04-08-2020</v>
      </c>
      <c r="Z8441" t="str">
        <f>"COS10200804 383"</f>
        <v>COS10200804 383</v>
      </c>
    </row>
    <row r="8442" spans="1:26" x14ac:dyDescent="0.25">
      <c r="A8442" t="str">
        <f t="shared" si="3444"/>
        <v>04-08-2020 12:28:31</v>
      </c>
      <c r="B8442" t="str">
        <f>"0000802377"</f>
        <v>0000802377</v>
      </c>
      <c r="C8442" t="str">
        <f t="shared" si="3445"/>
        <v>0000802195</v>
      </c>
      <c r="D8442" t="str">
        <f t="shared" si="3425"/>
        <v>73185</v>
      </c>
      <c r="E8442" t="str">
        <f t="shared" si="3426"/>
        <v>KFH-OPERATIONS DEPARTMENT</v>
      </c>
      <c r="F8442" t="str">
        <f t="shared" si="3427"/>
        <v>IBG</v>
      </c>
      <c r="G8442" t="str">
        <f t="shared" si="3436"/>
        <v>Refund COSHARE 10</v>
      </c>
      <c r="H8442" s="2">
        <v>1445.85</v>
      </c>
      <c r="I8442" t="str">
        <f>"MD HASRIZAM BIN SAID  HAMZAH"</f>
        <v>MD HASRIZAM BIN SAID  HAMZAH</v>
      </c>
      <c r="J8442" t="str">
        <f t="shared" si="3441"/>
        <v>BANK ISLAM BHD</v>
      </c>
      <c r="K8442" t="str">
        <f>"06019020411320"</f>
        <v>06019020411320</v>
      </c>
      <c r="L8442" t="str">
        <f t="shared" si="3446"/>
        <v>04-08-2020</v>
      </c>
      <c r="M8442" t="str">
        <f t="shared" si="3446"/>
        <v>04-08-2020</v>
      </c>
      <c r="N8442" t="str">
        <f t="shared" si="3428"/>
        <v>001105018356</v>
      </c>
      <c r="O8442" t="str">
        <f t="shared" si="3429"/>
        <v>MYR</v>
      </c>
      <c r="P8442" t="str">
        <f t="shared" si="3447"/>
        <v>NIL</v>
      </c>
      <c r="Q8442" t="str">
        <f t="shared" si="3447"/>
        <v>NIL</v>
      </c>
      <c r="R8442" t="str">
        <f t="shared" si="3442"/>
        <v>Accepted</v>
      </c>
      <c r="S8442" t="str">
        <f t="shared" si="3430"/>
        <v>Approved</v>
      </c>
      <c r="T8442" t="str">
        <f t="shared" si="3443"/>
        <v>10.20.8.188</v>
      </c>
      <c r="U8442" t="str">
        <f t="shared" si="3431"/>
        <v>AZRAD UMAR BIN SHAARI</v>
      </c>
      <c r="V8442" t="str">
        <f t="shared" si="3432"/>
        <v>FARHANA BINTI MUSTAPA</v>
      </c>
      <c r="W8442" t="str">
        <f t="shared" si="3433"/>
        <v>04-08-2020</v>
      </c>
      <c r="X8442" t="str">
        <f t="shared" si="3434"/>
        <v>RAZIMAH ANSAR AHMAD</v>
      </c>
      <c r="Y8442" t="str">
        <f t="shared" si="3435"/>
        <v>04-08-2020</v>
      </c>
      <c r="Z8442" t="str">
        <f>"COS10200804 382"</f>
        <v>COS10200804 382</v>
      </c>
    </row>
    <row r="8443" spans="1:26" x14ac:dyDescent="0.25">
      <c r="A8443" t="str">
        <f t="shared" si="3444"/>
        <v>04-08-2020 12:28:31</v>
      </c>
      <c r="B8443" t="str">
        <f>"0000802376"</f>
        <v>0000802376</v>
      </c>
      <c r="C8443" t="str">
        <f t="shared" si="3445"/>
        <v>0000802195</v>
      </c>
      <c r="D8443" t="str">
        <f t="shared" si="3425"/>
        <v>73185</v>
      </c>
      <c r="E8443" t="str">
        <f t="shared" si="3426"/>
        <v>KFH-OPERATIONS DEPARTMENT</v>
      </c>
      <c r="F8443" t="str">
        <f t="shared" si="3427"/>
        <v>IBG</v>
      </c>
      <c r="G8443" t="str">
        <f t="shared" si="3436"/>
        <v>Refund COSHARE 10</v>
      </c>
      <c r="H8443" s="2">
        <v>501</v>
      </c>
      <c r="I8443" t="str">
        <f>"MAZNI BINTI MUHAMAD"</f>
        <v>MAZNI BINTI MUHAMAD</v>
      </c>
      <c r="J8443" t="str">
        <f t="shared" si="3441"/>
        <v>BANK ISLAM BHD</v>
      </c>
      <c r="K8443" t="str">
        <f>"12038023263917"</f>
        <v>12038023263917</v>
      </c>
      <c r="L8443" t="str">
        <f t="shared" si="3446"/>
        <v>04-08-2020</v>
      </c>
      <c r="M8443" t="str">
        <f t="shared" si="3446"/>
        <v>04-08-2020</v>
      </c>
      <c r="N8443" t="str">
        <f t="shared" si="3428"/>
        <v>001105018356</v>
      </c>
      <c r="O8443" t="str">
        <f t="shared" si="3429"/>
        <v>MYR</v>
      </c>
      <c r="P8443" t="str">
        <f t="shared" si="3447"/>
        <v>NIL</v>
      </c>
      <c r="Q8443" t="str">
        <f t="shared" si="3447"/>
        <v>NIL</v>
      </c>
      <c r="R8443" t="str">
        <f t="shared" si="3442"/>
        <v>Accepted</v>
      </c>
      <c r="S8443" t="str">
        <f t="shared" si="3430"/>
        <v>Approved</v>
      </c>
      <c r="T8443" t="str">
        <f t="shared" si="3443"/>
        <v>10.20.8.188</v>
      </c>
      <c r="U8443" t="str">
        <f t="shared" si="3431"/>
        <v>AZRAD UMAR BIN SHAARI</v>
      </c>
      <c r="V8443" t="str">
        <f t="shared" si="3432"/>
        <v>FARHANA BINTI MUSTAPA</v>
      </c>
      <c r="W8443" t="str">
        <f t="shared" si="3433"/>
        <v>04-08-2020</v>
      </c>
      <c r="X8443" t="str">
        <f t="shared" si="3434"/>
        <v>RAZIMAH ANSAR AHMAD</v>
      </c>
      <c r="Y8443" t="str">
        <f t="shared" si="3435"/>
        <v>04-08-2020</v>
      </c>
      <c r="Z8443" t="str">
        <f>"COS10200804 381"</f>
        <v>COS10200804 381</v>
      </c>
    </row>
    <row r="8444" spans="1:26" x14ac:dyDescent="0.25">
      <c r="A8444" t="str">
        <f t="shared" si="3444"/>
        <v>04-08-2020 12:28:31</v>
      </c>
      <c r="B8444" t="str">
        <f>"0000802375"</f>
        <v>0000802375</v>
      </c>
      <c r="C8444" t="str">
        <f t="shared" si="3445"/>
        <v>0000802195</v>
      </c>
      <c r="D8444" t="str">
        <f t="shared" si="3425"/>
        <v>73185</v>
      </c>
      <c r="E8444" t="str">
        <f t="shared" si="3426"/>
        <v>KFH-OPERATIONS DEPARTMENT</v>
      </c>
      <c r="F8444" t="str">
        <f t="shared" si="3427"/>
        <v>IBG</v>
      </c>
      <c r="G8444" t="str">
        <f t="shared" si="3436"/>
        <v>Refund COSHARE 10</v>
      </c>
      <c r="H8444" s="2">
        <v>867</v>
      </c>
      <c r="I8444" t="str">
        <f>"MAZNAH BINTI MAT"</f>
        <v>MAZNAH BINTI MAT</v>
      </c>
      <c r="J8444" t="str">
        <f t="shared" si="3441"/>
        <v>BANK ISLAM BHD</v>
      </c>
      <c r="K8444" t="str">
        <f>"02084020277472"</f>
        <v>02084020277472</v>
      </c>
      <c r="L8444" t="str">
        <f t="shared" si="3446"/>
        <v>04-08-2020</v>
      </c>
      <c r="M8444" t="str">
        <f t="shared" si="3446"/>
        <v>04-08-2020</v>
      </c>
      <c r="N8444" t="str">
        <f t="shared" si="3428"/>
        <v>001105018356</v>
      </c>
      <c r="O8444" t="str">
        <f t="shared" si="3429"/>
        <v>MYR</v>
      </c>
      <c r="P8444" t="str">
        <f t="shared" si="3447"/>
        <v>NIL</v>
      </c>
      <c r="Q8444" t="str">
        <f t="shared" si="3447"/>
        <v>NIL</v>
      </c>
      <c r="R8444" t="str">
        <f t="shared" si="3442"/>
        <v>Accepted</v>
      </c>
      <c r="S8444" t="str">
        <f t="shared" si="3430"/>
        <v>Approved</v>
      </c>
      <c r="T8444" t="str">
        <f t="shared" si="3443"/>
        <v>10.20.8.188</v>
      </c>
      <c r="U8444" t="str">
        <f t="shared" si="3431"/>
        <v>AZRAD UMAR BIN SHAARI</v>
      </c>
      <c r="V8444" t="str">
        <f t="shared" si="3432"/>
        <v>FARHANA BINTI MUSTAPA</v>
      </c>
      <c r="W8444" t="str">
        <f t="shared" si="3433"/>
        <v>04-08-2020</v>
      </c>
      <c r="X8444" t="str">
        <f t="shared" si="3434"/>
        <v>RAZIMAH ANSAR AHMAD</v>
      </c>
      <c r="Y8444" t="str">
        <f t="shared" si="3435"/>
        <v>04-08-2020</v>
      </c>
      <c r="Z8444" t="str">
        <f>"COS10200804 380"</f>
        <v>COS10200804 380</v>
      </c>
    </row>
    <row r="8445" spans="1:26" x14ac:dyDescent="0.25">
      <c r="A8445" t="str">
        <f t="shared" si="3444"/>
        <v>04-08-2020 12:28:31</v>
      </c>
      <c r="B8445" t="str">
        <f>"0000802374"</f>
        <v>0000802374</v>
      </c>
      <c r="C8445" t="str">
        <f t="shared" si="3445"/>
        <v>0000802195</v>
      </c>
      <c r="D8445" t="str">
        <f t="shared" si="3425"/>
        <v>73185</v>
      </c>
      <c r="E8445" t="str">
        <f t="shared" si="3426"/>
        <v>KFH-OPERATIONS DEPARTMENT</v>
      </c>
      <c r="F8445" t="str">
        <f t="shared" si="3427"/>
        <v>IBG</v>
      </c>
      <c r="G8445" t="str">
        <f t="shared" si="3436"/>
        <v>Refund COSHARE 10</v>
      </c>
      <c r="H8445" s="2">
        <v>94.85</v>
      </c>
      <c r="I8445" t="str">
        <f>"MAZLINA BINTI UDIN"</f>
        <v>MAZLINA BINTI UDIN</v>
      </c>
      <c r="J8445" t="str">
        <f t="shared" si="3441"/>
        <v>BANK ISLAM BHD</v>
      </c>
      <c r="K8445" t="str">
        <f>"06046020093437"</f>
        <v>06046020093437</v>
      </c>
      <c r="L8445" t="str">
        <f t="shared" si="3446"/>
        <v>04-08-2020</v>
      </c>
      <c r="M8445" t="str">
        <f t="shared" si="3446"/>
        <v>04-08-2020</v>
      </c>
      <c r="N8445" t="str">
        <f t="shared" si="3428"/>
        <v>001105018356</v>
      </c>
      <c r="O8445" t="str">
        <f t="shared" si="3429"/>
        <v>MYR</v>
      </c>
      <c r="P8445" t="str">
        <f t="shared" si="3447"/>
        <v>NIL</v>
      </c>
      <c r="Q8445" t="str">
        <f t="shared" si="3447"/>
        <v>NIL</v>
      </c>
      <c r="R8445" t="str">
        <f t="shared" si="3442"/>
        <v>Accepted</v>
      </c>
      <c r="S8445" t="str">
        <f t="shared" si="3430"/>
        <v>Approved</v>
      </c>
      <c r="T8445" t="str">
        <f t="shared" si="3443"/>
        <v>10.20.8.188</v>
      </c>
      <c r="U8445" t="str">
        <f t="shared" si="3431"/>
        <v>AZRAD UMAR BIN SHAARI</v>
      </c>
      <c r="V8445" t="str">
        <f t="shared" si="3432"/>
        <v>FARHANA BINTI MUSTAPA</v>
      </c>
      <c r="W8445" t="str">
        <f t="shared" si="3433"/>
        <v>04-08-2020</v>
      </c>
      <c r="X8445" t="str">
        <f t="shared" si="3434"/>
        <v>RAZIMAH ANSAR AHMAD</v>
      </c>
      <c r="Y8445" t="str">
        <f t="shared" si="3435"/>
        <v>04-08-2020</v>
      </c>
      <c r="Z8445" t="str">
        <f>"COS10200804 379"</f>
        <v>COS10200804 379</v>
      </c>
    </row>
    <row r="8446" spans="1:26" x14ac:dyDescent="0.25">
      <c r="A8446" t="str">
        <f t="shared" si="3444"/>
        <v>04-08-2020 12:28:31</v>
      </c>
      <c r="B8446" t="str">
        <f>"0000802373"</f>
        <v>0000802373</v>
      </c>
      <c r="C8446" t="str">
        <f t="shared" si="3445"/>
        <v>0000802195</v>
      </c>
      <c r="D8446" t="str">
        <f t="shared" si="3425"/>
        <v>73185</v>
      </c>
      <c r="E8446" t="str">
        <f t="shared" si="3426"/>
        <v>KFH-OPERATIONS DEPARTMENT</v>
      </c>
      <c r="F8446" t="str">
        <f t="shared" si="3427"/>
        <v>IBG</v>
      </c>
      <c r="G8446" t="str">
        <f t="shared" si="3436"/>
        <v>Refund COSHARE 10</v>
      </c>
      <c r="H8446" s="2">
        <v>1511.1</v>
      </c>
      <c r="I8446" t="str">
        <f>"MAZLINA BINTI ALIAS"</f>
        <v>MAZLINA BINTI ALIAS</v>
      </c>
      <c r="J8446" t="str">
        <f t="shared" si="3441"/>
        <v>BANK ISLAM BHD</v>
      </c>
      <c r="K8446" t="str">
        <f>"13017021042286"</f>
        <v>13017021042286</v>
      </c>
      <c r="L8446" t="str">
        <f t="shared" si="3446"/>
        <v>04-08-2020</v>
      </c>
      <c r="M8446" t="str">
        <f t="shared" si="3446"/>
        <v>04-08-2020</v>
      </c>
      <c r="N8446" t="str">
        <f t="shared" si="3428"/>
        <v>001105018356</v>
      </c>
      <c r="O8446" t="str">
        <f t="shared" si="3429"/>
        <v>MYR</v>
      </c>
      <c r="P8446" t="str">
        <f t="shared" si="3447"/>
        <v>NIL</v>
      </c>
      <c r="Q8446" t="str">
        <f t="shared" si="3447"/>
        <v>NIL</v>
      </c>
      <c r="R8446" t="str">
        <f t="shared" si="3442"/>
        <v>Accepted</v>
      </c>
      <c r="S8446" t="str">
        <f t="shared" si="3430"/>
        <v>Approved</v>
      </c>
      <c r="T8446" t="str">
        <f t="shared" si="3443"/>
        <v>10.20.8.188</v>
      </c>
      <c r="U8446" t="str">
        <f t="shared" si="3431"/>
        <v>AZRAD UMAR BIN SHAARI</v>
      </c>
      <c r="V8446" t="str">
        <f t="shared" si="3432"/>
        <v>FARHANA BINTI MUSTAPA</v>
      </c>
      <c r="W8446" t="str">
        <f t="shared" si="3433"/>
        <v>04-08-2020</v>
      </c>
      <c r="X8446" t="str">
        <f t="shared" si="3434"/>
        <v>RAZIMAH ANSAR AHMAD</v>
      </c>
      <c r="Y8446" t="str">
        <f t="shared" si="3435"/>
        <v>04-08-2020</v>
      </c>
      <c r="Z8446" t="str">
        <f>"COS10200804 378"</f>
        <v>COS10200804 378</v>
      </c>
    </row>
    <row r="8447" spans="1:26" x14ac:dyDescent="0.25">
      <c r="A8447" t="str">
        <f t="shared" si="3444"/>
        <v>04-08-2020 12:28:31</v>
      </c>
      <c r="B8447" t="str">
        <f>"0000802372"</f>
        <v>0000802372</v>
      </c>
      <c r="C8447" t="str">
        <f t="shared" si="3445"/>
        <v>0000802195</v>
      </c>
      <c r="D8447" t="str">
        <f t="shared" si="3425"/>
        <v>73185</v>
      </c>
      <c r="E8447" t="str">
        <f t="shared" si="3426"/>
        <v>KFH-OPERATIONS DEPARTMENT</v>
      </c>
      <c r="F8447" t="str">
        <f t="shared" si="3427"/>
        <v>IBG</v>
      </c>
      <c r="G8447" t="str">
        <f t="shared" si="3436"/>
        <v>Refund COSHARE 10</v>
      </c>
      <c r="H8447" s="2">
        <v>592</v>
      </c>
      <c r="I8447" t="str">
        <f>"MAZIMI BIN MOHAMAD"</f>
        <v>MAZIMI BIN MOHAMAD</v>
      </c>
      <c r="J8447" t="str">
        <f t="shared" si="3441"/>
        <v>BANK ISLAM BHD</v>
      </c>
      <c r="K8447" t="str">
        <f>"12168023949744"</f>
        <v>12168023949744</v>
      </c>
      <c r="L8447" t="str">
        <f t="shared" ref="L8447:M8466" si="3448">"04-08-2020"</f>
        <v>04-08-2020</v>
      </c>
      <c r="M8447" t="str">
        <f t="shared" si="3448"/>
        <v>04-08-2020</v>
      </c>
      <c r="N8447" t="str">
        <f t="shared" si="3428"/>
        <v>001105018356</v>
      </c>
      <c r="O8447" t="str">
        <f t="shared" si="3429"/>
        <v>MYR</v>
      </c>
      <c r="P8447" t="str">
        <f t="shared" ref="P8447:Q8466" si="3449">"NIL"</f>
        <v>NIL</v>
      </c>
      <c r="Q8447" t="str">
        <f t="shared" si="3449"/>
        <v>NIL</v>
      </c>
      <c r="R8447" t="str">
        <f t="shared" si="3442"/>
        <v>Accepted</v>
      </c>
      <c r="S8447" t="str">
        <f t="shared" si="3430"/>
        <v>Approved</v>
      </c>
      <c r="T8447" t="str">
        <f t="shared" si="3443"/>
        <v>10.20.8.188</v>
      </c>
      <c r="U8447" t="str">
        <f t="shared" si="3431"/>
        <v>AZRAD UMAR BIN SHAARI</v>
      </c>
      <c r="V8447" t="str">
        <f t="shared" si="3432"/>
        <v>FARHANA BINTI MUSTAPA</v>
      </c>
      <c r="W8447" t="str">
        <f t="shared" si="3433"/>
        <v>04-08-2020</v>
      </c>
      <c r="X8447" t="str">
        <f t="shared" si="3434"/>
        <v>RAZIMAH ANSAR AHMAD</v>
      </c>
      <c r="Y8447" t="str">
        <f t="shared" si="3435"/>
        <v>04-08-2020</v>
      </c>
      <c r="Z8447" t="str">
        <f>"COS10200804 377"</f>
        <v>COS10200804 377</v>
      </c>
    </row>
    <row r="8448" spans="1:26" x14ac:dyDescent="0.25">
      <c r="A8448" t="str">
        <f t="shared" si="3444"/>
        <v>04-08-2020 12:28:31</v>
      </c>
      <c r="B8448" t="str">
        <f>"0000802371"</f>
        <v>0000802371</v>
      </c>
      <c r="C8448" t="str">
        <f t="shared" si="3445"/>
        <v>0000802195</v>
      </c>
      <c r="D8448" t="str">
        <f t="shared" si="3425"/>
        <v>73185</v>
      </c>
      <c r="E8448" t="str">
        <f t="shared" si="3426"/>
        <v>KFH-OPERATIONS DEPARTMENT</v>
      </c>
      <c r="F8448" t="str">
        <f t="shared" si="3427"/>
        <v>IBG</v>
      </c>
      <c r="G8448" t="str">
        <f t="shared" si="3436"/>
        <v>Refund COSHARE 10</v>
      </c>
      <c r="H8448" s="2">
        <v>1149.3</v>
      </c>
      <c r="I8448" t="str">
        <f>"MAZILAH BINTI MAT JUSOH"</f>
        <v>MAZILAH BINTI MAT JUSOH</v>
      </c>
      <c r="J8448" t="str">
        <f t="shared" si="3441"/>
        <v>BANK ISLAM BHD</v>
      </c>
      <c r="K8448" t="str">
        <f>"08068020273095"</f>
        <v>08068020273095</v>
      </c>
      <c r="L8448" t="str">
        <f t="shared" si="3448"/>
        <v>04-08-2020</v>
      </c>
      <c r="M8448" t="str">
        <f t="shared" si="3448"/>
        <v>04-08-2020</v>
      </c>
      <c r="N8448" t="str">
        <f t="shared" si="3428"/>
        <v>001105018356</v>
      </c>
      <c r="O8448" t="str">
        <f t="shared" si="3429"/>
        <v>MYR</v>
      </c>
      <c r="P8448" t="str">
        <f t="shared" si="3449"/>
        <v>NIL</v>
      </c>
      <c r="Q8448" t="str">
        <f t="shared" si="3449"/>
        <v>NIL</v>
      </c>
      <c r="R8448" t="str">
        <f t="shared" si="3442"/>
        <v>Accepted</v>
      </c>
      <c r="S8448" t="str">
        <f t="shared" si="3430"/>
        <v>Approved</v>
      </c>
      <c r="T8448" t="str">
        <f t="shared" si="3443"/>
        <v>10.20.8.188</v>
      </c>
      <c r="U8448" t="str">
        <f t="shared" si="3431"/>
        <v>AZRAD UMAR BIN SHAARI</v>
      </c>
      <c r="V8448" t="str">
        <f t="shared" si="3432"/>
        <v>FARHANA BINTI MUSTAPA</v>
      </c>
      <c r="W8448" t="str">
        <f t="shared" si="3433"/>
        <v>04-08-2020</v>
      </c>
      <c r="X8448" t="str">
        <f t="shared" si="3434"/>
        <v>RAZIMAH ANSAR AHMAD</v>
      </c>
      <c r="Y8448" t="str">
        <f t="shared" si="3435"/>
        <v>04-08-2020</v>
      </c>
      <c r="Z8448" t="str">
        <f>"COS10200804 376"</f>
        <v>COS10200804 376</v>
      </c>
    </row>
    <row r="8449" spans="1:26" x14ac:dyDescent="0.25">
      <c r="A8449" t="str">
        <f t="shared" si="3444"/>
        <v>04-08-2020 12:28:31</v>
      </c>
      <c r="B8449" t="str">
        <f>"0000802370"</f>
        <v>0000802370</v>
      </c>
      <c r="C8449" t="str">
        <f t="shared" si="3445"/>
        <v>0000802195</v>
      </c>
      <c r="D8449" t="str">
        <f t="shared" si="3425"/>
        <v>73185</v>
      </c>
      <c r="E8449" t="str">
        <f t="shared" si="3426"/>
        <v>KFH-OPERATIONS DEPARTMENT</v>
      </c>
      <c r="F8449" t="str">
        <f t="shared" si="3427"/>
        <v>IBG</v>
      </c>
      <c r="G8449" t="str">
        <f t="shared" si="3436"/>
        <v>Refund COSHARE 10</v>
      </c>
      <c r="H8449" s="2">
        <v>535.29999999999995</v>
      </c>
      <c r="I8449" t="str">
        <f>"MAZIDAH BINTI MOHAMED"</f>
        <v>MAZIDAH BINTI MOHAMED</v>
      </c>
      <c r="J8449" t="str">
        <f t="shared" si="3441"/>
        <v>BANK ISLAM BHD</v>
      </c>
      <c r="K8449" t="str">
        <f>"03036020302337"</f>
        <v>03036020302337</v>
      </c>
      <c r="L8449" t="str">
        <f t="shared" si="3448"/>
        <v>04-08-2020</v>
      </c>
      <c r="M8449" t="str">
        <f t="shared" si="3448"/>
        <v>04-08-2020</v>
      </c>
      <c r="N8449" t="str">
        <f t="shared" si="3428"/>
        <v>001105018356</v>
      </c>
      <c r="O8449" t="str">
        <f t="shared" si="3429"/>
        <v>MYR</v>
      </c>
      <c r="P8449" t="str">
        <f t="shared" si="3449"/>
        <v>NIL</v>
      </c>
      <c r="Q8449" t="str">
        <f t="shared" si="3449"/>
        <v>NIL</v>
      </c>
      <c r="R8449" t="str">
        <f t="shared" si="3442"/>
        <v>Accepted</v>
      </c>
      <c r="S8449" t="str">
        <f t="shared" si="3430"/>
        <v>Approved</v>
      </c>
      <c r="T8449" t="str">
        <f t="shared" si="3443"/>
        <v>10.20.8.188</v>
      </c>
      <c r="U8449" t="str">
        <f t="shared" si="3431"/>
        <v>AZRAD UMAR BIN SHAARI</v>
      </c>
      <c r="V8449" t="str">
        <f t="shared" si="3432"/>
        <v>FARHANA BINTI MUSTAPA</v>
      </c>
      <c r="W8449" t="str">
        <f t="shared" si="3433"/>
        <v>04-08-2020</v>
      </c>
      <c r="X8449" t="str">
        <f t="shared" si="3434"/>
        <v>RAZIMAH ANSAR AHMAD</v>
      </c>
      <c r="Y8449" t="str">
        <f t="shared" si="3435"/>
        <v>04-08-2020</v>
      </c>
      <c r="Z8449" t="str">
        <f>"COS10200804 375"</f>
        <v>COS10200804 375</v>
      </c>
    </row>
    <row r="8450" spans="1:26" x14ac:dyDescent="0.25">
      <c r="A8450" t="str">
        <f t="shared" si="3444"/>
        <v>04-08-2020 12:28:31</v>
      </c>
      <c r="B8450" t="str">
        <f>"0000802369"</f>
        <v>0000802369</v>
      </c>
      <c r="C8450" t="str">
        <f t="shared" si="3445"/>
        <v>0000802195</v>
      </c>
      <c r="D8450" t="str">
        <f t="shared" si="3425"/>
        <v>73185</v>
      </c>
      <c r="E8450" t="str">
        <f t="shared" si="3426"/>
        <v>KFH-OPERATIONS DEPARTMENT</v>
      </c>
      <c r="F8450" t="str">
        <f t="shared" si="3427"/>
        <v>IBG</v>
      </c>
      <c r="G8450" t="str">
        <f t="shared" si="3436"/>
        <v>Refund COSHARE 10</v>
      </c>
      <c r="H8450" s="2">
        <v>1698.15</v>
      </c>
      <c r="I8450" t="str">
        <f>"MAZIAH BINTI MOHD NOOR"</f>
        <v>MAZIAH BINTI MOHD NOOR</v>
      </c>
      <c r="J8450" t="str">
        <f t="shared" si="3441"/>
        <v>BANK ISLAM BHD</v>
      </c>
      <c r="K8450" t="str">
        <f>"01069020109421"</f>
        <v>01069020109421</v>
      </c>
      <c r="L8450" t="str">
        <f t="shared" si="3448"/>
        <v>04-08-2020</v>
      </c>
      <c r="M8450" t="str">
        <f t="shared" si="3448"/>
        <v>04-08-2020</v>
      </c>
      <c r="N8450" t="str">
        <f t="shared" si="3428"/>
        <v>001105018356</v>
      </c>
      <c r="O8450" t="str">
        <f t="shared" si="3429"/>
        <v>MYR</v>
      </c>
      <c r="P8450" t="str">
        <f t="shared" si="3449"/>
        <v>NIL</v>
      </c>
      <c r="Q8450" t="str">
        <f t="shared" si="3449"/>
        <v>NIL</v>
      </c>
      <c r="R8450" t="str">
        <f t="shared" si="3442"/>
        <v>Accepted</v>
      </c>
      <c r="S8450" t="str">
        <f t="shared" si="3430"/>
        <v>Approved</v>
      </c>
      <c r="T8450" t="str">
        <f t="shared" si="3443"/>
        <v>10.20.8.188</v>
      </c>
      <c r="U8450" t="str">
        <f t="shared" si="3431"/>
        <v>AZRAD UMAR BIN SHAARI</v>
      </c>
      <c r="V8450" t="str">
        <f t="shared" si="3432"/>
        <v>FARHANA BINTI MUSTAPA</v>
      </c>
      <c r="W8450" t="str">
        <f t="shared" si="3433"/>
        <v>04-08-2020</v>
      </c>
      <c r="X8450" t="str">
        <f t="shared" si="3434"/>
        <v>RAZIMAH ANSAR AHMAD</v>
      </c>
      <c r="Y8450" t="str">
        <f t="shared" si="3435"/>
        <v>04-08-2020</v>
      </c>
      <c r="Z8450" t="str">
        <f>"COS10200804 374"</f>
        <v>COS10200804 374</v>
      </c>
    </row>
    <row r="8451" spans="1:26" x14ac:dyDescent="0.25">
      <c r="A8451" t="str">
        <f t="shared" si="3444"/>
        <v>04-08-2020 12:28:31</v>
      </c>
      <c r="B8451" t="str">
        <f>"0000802368"</f>
        <v>0000802368</v>
      </c>
      <c r="C8451" t="str">
        <f t="shared" si="3445"/>
        <v>0000802195</v>
      </c>
      <c r="D8451" t="str">
        <f t="shared" si="3425"/>
        <v>73185</v>
      </c>
      <c r="E8451" t="str">
        <f t="shared" si="3426"/>
        <v>KFH-OPERATIONS DEPARTMENT</v>
      </c>
      <c r="F8451" t="str">
        <f t="shared" si="3427"/>
        <v>IBG</v>
      </c>
      <c r="G8451" t="str">
        <f t="shared" si="3436"/>
        <v>Refund COSHARE 10</v>
      </c>
      <c r="H8451" s="2">
        <v>100.75</v>
      </c>
      <c r="I8451" t="str">
        <f>"MAWANNI BINTI MAT ENGTEMIN"</f>
        <v>MAWANNI BINTI MAT ENGTEMIN</v>
      </c>
      <c r="J8451" t="str">
        <f t="shared" si="3441"/>
        <v>BANK ISLAM BHD</v>
      </c>
      <c r="K8451" t="str">
        <f>"12083020225261"</f>
        <v>12083020225261</v>
      </c>
      <c r="L8451" t="str">
        <f t="shared" si="3448"/>
        <v>04-08-2020</v>
      </c>
      <c r="M8451" t="str">
        <f t="shared" si="3448"/>
        <v>04-08-2020</v>
      </c>
      <c r="N8451" t="str">
        <f t="shared" si="3428"/>
        <v>001105018356</v>
      </c>
      <c r="O8451" t="str">
        <f t="shared" si="3429"/>
        <v>MYR</v>
      </c>
      <c r="P8451" t="str">
        <f t="shared" si="3449"/>
        <v>NIL</v>
      </c>
      <c r="Q8451" t="str">
        <f t="shared" si="3449"/>
        <v>NIL</v>
      </c>
      <c r="R8451" t="str">
        <f t="shared" si="3442"/>
        <v>Accepted</v>
      </c>
      <c r="S8451" t="str">
        <f t="shared" si="3430"/>
        <v>Approved</v>
      </c>
      <c r="T8451" t="str">
        <f t="shared" si="3443"/>
        <v>10.20.8.188</v>
      </c>
      <c r="U8451" t="str">
        <f t="shared" si="3431"/>
        <v>AZRAD UMAR BIN SHAARI</v>
      </c>
      <c r="V8451" t="str">
        <f t="shared" si="3432"/>
        <v>FARHANA BINTI MUSTAPA</v>
      </c>
      <c r="W8451" t="str">
        <f t="shared" si="3433"/>
        <v>04-08-2020</v>
      </c>
      <c r="X8451" t="str">
        <f t="shared" si="3434"/>
        <v>RAZIMAH ANSAR AHMAD</v>
      </c>
      <c r="Y8451" t="str">
        <f t="shared" si="3435"/>
        <v>04-08-2020</v>
      </c>
      <c r="Z8451" t="str">
        <f>"COS10200804 373"</f>
        <v>COS10200804 373</v>
      </c>
    </row>
    <row r="8452" spans="1:26" x14ac:dyDescent="0.25">
      <c r="A8452" t="str">
        <f t="shared" si="3444"/>
        <v>04-08-2020 12:28:31</v>
      </c>
      <c r="B8452" t="str">
        <f>"0000802367"</f>
        <v>0000802367</v>
      </c>
      <c r="C8452" t="str">
        <f t="shared" si="3445"/>
        <v>0000802195</v>
      </c>
      <c r="D8452" t="str">
        <f t="shared" si="3425"/>
        <v>73185</v>
      </c>
      <c r="E8452" t="str">
        <f t="shared" si="3426"/>
        <v>KFH-OPERATIONS DEPARTMENT</v>
      </c>
      <c r="F8452" t="str">
        <f t="shared" si="3427"/>
        <v>IBG</v>
      </c>
      <c r="G8452" t="str">
        <f t="shared" si="3436"/>
        <v>Refund COSHARE 10</v>
      </c>
      <c r="H8452" s="2">
        <v>1007.4</v>
      </c>
      <c r="I8452" t="str">
        <f>"MAT RONI BIN MOHD NOR"</f>
        <v>MAT RONI BIN MOHD NOR</v>
      </c>
      <c r="J8452" t="str">
        <f t="shared" si="3441"/>
        <v>BANK ISLAM BHD</v>
      </c>
      <c r="K8452" t="str">
        <f>"03036020311435"</f>
        <v>03036020311435</v>
      </c>
      <c r="L8452" t="str">
        <f t="shared" si="3448"/>
        <v>04-08-2020</v>
      </c>
      <c r="M8452" t="str">
        <f t="shared" si="3448"/>
        <v>04-08-2020</v>
      </c>
      <c r="N8452" t="str">
        <f t="shared" si="3428"/>
        <v>001105018356</v>
      </c>
      <c r="O8452" t="str">
        <f t="shared" si="3429"/>
        <v>MYR</v>
      </c>
      <c r="P8452" t="str">
        <f t="shared" si="3449"/>
        <v>NIL</v>
      </c>
      <c r="Q8452" t="str">
        <f t="shared" si="3449"/>
        <v>NIL</v>
      </c>
      <c r="R8452" t="str">
        <f t="shared" si="3442"/>
        <v>Accepted</v>
      </c>
      <c r="S8452" t="str">
        <f t="shared" si="3430"/>
        <v>Approved</v>
      </c>
      <c r="T8452" t="str">
        <f t="shared" si="3443"/>
        <v>10.20.8.188</v>
      </c>
      <c r="U8452" t="str">
        <f t="shared" si="3431"/>
        <v>AZRAD UMAR BIN SHAARI</v>
      </c>
      <c r="V8452" t="str">
        <f t="shared" si="3432"/>
        <v>FARHANA BINTI MUSTAPA</v>
      </c>
      <c r="W8452" t="str">
        <f t="shared" si="3433"/>
        <v>04-08-2020</v>
      </c>
      <c r="X8452" t="str">
        <f t="shared" si="3434"/>
        <v>RAZIMAH ANSAR AHMAD</v>
      </c>
      <c r="Y8452" t="str">
        <f t="shared" si="3435"/>
        <v>04-08-2020</v>
      </c>
      <c r="Z8452" t="str">
        <f>"COS10200804 372"</f>
        <v>COS10200804 372</v>
      </c>
    </row>
    <row r="8453" spans="1:26" x14ac:dyDescent="0.25">
      <c r="A8453" t="str">
        <f t="shared" si="3444"/>
        <v>04-08-2020 12:28:31</v>
      </c>
      <c r="B8453" t="str">
        <f>"0000802366"</f>
        <v>0000802366</v>
      </c>
      <c r="C8453" t="str">
        <f t="shared" si="3445"/>
        <v>0000802195</v>
      </c>
      <c r="D8453" t="str">
        <f t="shared" si="3425"/>
        <v>73185</v>
      </c>
      <c r="E8453" t="str">
        <f t="shared" si="3426"/>
        <v>KFH-OPERATIONS DEPARTMENT</v>
      </c>
      <c r="F8453" t="str">
        <f t="shared" si="3427"/>
        <v>IBG</v>
      </c>
      <c r="G8453" t="str">
        <f t="shared" si="3436"/>
        <v>Refund COSHARE 10</v>
      </c>
      <c r="H8453" s="2">
        <v>785.85</v>
      </c>
      <c r="I8453" t="str">
        <f>"MASTURAWATI BINTI ZAINAL ABIDIN"</f>
        <v>MASTURAWATI BINTI ZAINAL ABIDIN</v>
      </c>
      <c r="J8453" t="str">
        <f t="shared" si="3441"/>
        <v>BANK ISLAM BHD</v>
      </c>
      <c r="K8453" t="str">
        <f>"14023020154441"</f>
        <v>14023020154441</v>
      </c>
      <c r="L8453" t="str">
        <f t="shared" si="3448"/>
        <v>04-08-2020</v>
      </c>
      <c r="M8453" t="str">
        <f t="shared" si="3448"/>
        <v>04-08-2020</v>
      </c>
      <c r="N8453" t="str">
        <f t="shared" si="3428"/>
        <v>001105018356</v>
      </c>
      <c r="O8453" t="str">
        <f t="shared" si="3429"/>
        <v>MYR</v>
      </c>
      <c r="P8453" t="str">
        <f t="shared" si="3449"/>
        <v>NIL</v>
      </c>
      <c r="Q8453" t="str">
        <f t="shared" si="3449"/>
        <v>NIL</v>
      </c>
      <c r="R8453" t="str">
        <f t="shared" si="3442"/>
        <v>Accepted</v>
      </c>
      <c r="S8453" t="str">
        <f t="shared" si="3430"/>
        <v>Approved</v>
      </c>
      <c r="T8453" t="str">
        <f t="shared" si="3443"/>
        <v>10.20.8.188</v>
      </c>
      <c r="U8453" t="str">
        <f t="shared" si="3431"/>
        <v>AZRAD UMAR BIN SHAARI</v>
      </c>
      <c r="V8453" t="str">
        <f t="shared" si="3432"/>
        <v>FARHANA BINTI MUSTAPA</v>
      </c>
      <c r="W8453" t="str">
        <f t="shared" si="3433"/>
        <v>04-08-2020</v>
      </c>
      <c r="X8453" t="str">
        <f t="shared" si="3434"/>
        <v>RAZIMAH ANSAR AHMAD</v>
      </c>
      <c r="Y8453" t="str">
        <f t="shared" si="3435"/>
        <v>04-08-2020</v>
      </c>
      <c r="Z8453" t="str">
        <f>"COS10200804 371"</f>
        <v>COS10200804 371</v>
      </c>
    </row>
    <row r="8454" spans="1:26" x14ac:dyDescent="0.25">
      <c r="A8454" t="str">
        <f t="shared" si="3444"/>
        <v>04-08-2020 12:28:31</v>
      </c>
      <c r="B8454" t="str">
        <f>"0000802365"</f>
        <v>0000802365</v>
      </c>
      <c r="C8454" t="str">
        <f t="shared" si="3445"/>
        <v>0000802195</v>
      </c>
      <c r="D8454" t="str">
        <f t="shared" si="3425"/>
        <v>73185</v>
      </c>
      <c r="E8454" t="str">
        <f t="shared" si="3426"/>
        <v>KFH-OPERATIONS DEPARTMENT</v>
      </c>
      <c r="F8454" t="str">
        <f t="shared" si="3427"/>
        <v>IBG</v>
      </c>
      <c r="G8454" t="str">
        <f t="shared" si="3436"/>
        <v>Refund COSHARE 10</v>
      </c>
      <c r="H8454" s="2">
        <v>1499.05</v>
      </c>
      <c r="I8454" t="str">
        <f>"MASLINDA BINTI MOHD YUSOF"</f>
        <v>MASLINDA BINTI MOHD YUSOF</v>
      </c>
      <c r="J8454" t="str">
        <f t="shared" si="3441"/>
        <v>BANK ISLAM BHD</v>
      </c>
      <c r="K8454" t="str">
        <f>"12122020094586"</f>
        <v>12122020094586</v>
      </c>
      <c r="L8454" t="str">
        <f t="shared" si="3448"/>
        <v>04-08-2020</v>
      </c>
      <c r="M8454" t="str">
        <f t="shared" si="3448"/>
        <v>04-08-2020</v>
      </c>
      <c r="N8454" t="str">
        <f t="shared" si="3428"/>
        <v>001105018356</v>
      </c>
      <c r="O8454" t="str">
        <f t="shared" si="3429"/>
        <v>MYR</v>
      </c>
      <c r="P8454" t="str">
        <f t="shared" si="3449"/>
        <v>NIL</v>
      </c>
      <c r="Q8454" t="str">
        <f t="shared" si="3449"/>
        <v>NIL</v>
      </c>
      <c r="R8454" t="str">
        <f t="shared" si="3442"/>
        <v>Accepted</v>
      </c>
      <c r="S8454" t="str">
        <f t="shared" si="3430"/>
        <v>Approved</v>
      </c>
      <c r="T8454" t="str">
        <f t="shared" si="3443"/>
        <v>10.20.8.188</v>
      </c>
      <c r="U8454" t="str">
        <f t="shared" si="3431"/>
        <v>AZRAD UMAR BIN SHAARI</v>
      </c>
      <c r="V8454" t="str">
        <f t="shared" si="3432"/>
        <v>FARHANA BINTI MUSTAPA</v>
      </c>
      <c r="W8454" t="str">
        <f t="shared" si="3433"/>
        <v>04-08-2020</v>
      </c>
      <c r="X8454" t="str">
        <f t="shared" si="3434"/>
        <v>RAZIMAH ANSAR AHMAD</v>
      </c>
      <c r="Y8454" t="str">
        <f t="shared" si="3435"/>
        <v>04-08-2020</v>
      </c>
      <c r="Z8454" t="str">
        <f>"COS10200804 370"</f>
        <v>COS10200804 370</v>
      </c>
    </row>
    <row r="8455" spans="1:26" x14ac:dyDescent="0.25">
      <c r="A8455" t="str">
        <f t="shared" si="3444"/>
        <v>04-08-2020 12:28:31</v>
      </c>
      <c r="B8455" t="str">
        <f>"0000802364"</f>
        <v>0000802364</v>
      </c>
      <c r="C8455" t="str">
        <f t="shared" si="3445"/>
        <v>0000802195</v>
      </c>
      <c r="D8455" t="str">
        <f t="shared" ref="D8455:D8518" si="3450">"73185"</f>
        <v>73185</v>
      </c>
      <c r="E8455" t="str">
        <f t="shared" ref="E8455:E8518" si="3451">"KFH-OPERATIONS DEPARTMENT"</f>
        <v>KFH-OPERATIONS DEPARTMENT</v>
      </c>
      <c r="F8455" t="str">
        <f t="shared" ref="F8455:F8518" si="3452">"IBG"</f>
        <v>IBG</v>
      </c>
      <c r="G8455" t="str">
        <f t="shared" si="3436"/>
        <v>Refund COSHARE 10</v>
      </c>
      <c r="H8455" s="2">
        <v>1734</v>
      </c>
      <c r="I8455" t="str">
        <f>"MASLINA BINTI OTHMAN"</f>
        <v>MASLINA BINTI OTHMAN</v>
      </c>
      <c r="J8455" t="str">
        <f t="shared" si="3441"/>
        <v>BANK ISLAM BHD</v>
      </c>
      <c r="K8455" t="str">
        <f>"09010020153755"</f>
        <v>09010020153755</v>
      </c>
      <c r="L8455" t="str">
        <f t="shared" si="3448"/>
        <v>04-08-2020</v>
      </c>
      <c r="M8455" t="str">
        <f t="shared" si="3448"/>
        <v>04-08-2020</v>
      </c>
      <c r="N8455" t="str">
        <f t="shared" ref="N8455:N8518" si="3453">"001105018356"</f>
        <v>001105018356</v>
      </c>
      <c r="O8455" t="str">
        <f t="shared" ref="O8455:O8518" si="3454">"MYR"</f>
        <v>MYR</v>
      </c>
      <c r="P8455" t="str">
        <f t="shared" si="3449"/>
        <v>NIL</v>
      </c>
      <c r="Q8455" t="str">
        <f t="shared" si="3449"/>
        <v>NIL</v>
      </c>
      <c r="R8455" t="str">
        <f t="shared" si="3442"/>
        <v>Accepted</v>
      </c>
      <c r="S8455" t="str">
        <f t="shared" ref="S8455:S8518" si="3455">"Approved"</f>
        <v>Approved</v>
      </c>
      <c r="T8455" t="str">
        <f t="shared" si="3443"/>
        <v>10.20.8.188</v>
      </c>
      <c r="U8455" t="str">
        <f t="shared" ref="U8455:U8518" si="3456">"AZRAD UMAR BIN SHAARI"</f>
        <v>AZRAD UMAR BIN SHAARI</v>
      </c>
      <c r="V8455" t="str">
        <f t="shared" ref="V8455:V8518" si="3457">"FARHANA BINTI MUSTAPA"</f>
        <v>FARHANA BINTI MUSTAPA</v>
      </c>
      <c r="W8455" t="str">
        <f t="shared" ref="W8455:W8518" si="3458">"04-08-2020"</f>
        <v>04-08-2020</v>
      </c>
      <c r="X8455" t="str">
        <f t="shared" ref="X8455:X8518" si="3459">"RAZIMAH ANSAR AHMAD"</f>
        <v>RAZIMAH ANSAR AHMAD</v>
      </c>
      <c r="Y8455" t="str">
        <f t="shared" ref="Y8455:Y8518" si="3460">"04-08-2020"</f>
        <v>04-08-2020</v>
      </c>
      <c r="Z8455" t="str">
        <f>"COS10200804 369"</f>
        <v>COS10200804 369</v>
      </c>
    </row>
    <row r="8456" spans="1:26" x14ac:dyDescent="0.25">
      <c r="A8456" t="str">
        <f t="shared" ref="A8456:A8487" si="3461">"04-08-2020 12:28:31"</f>
        <v>04-08-2020 12:28:31</v>
      </c>
      <c r="B8456" t="str">
        <f>"0000802363"</f>
        <v>0000802363</v>
      </c>
      <c r="C8456" t="str">
        <f t="shared" ref="C8456:C8487" si="3462">"0000802195"</f>
        <v>0000802195</v>
      </c>
      <c r="D8456" t="str">
        <f t="shared" si="3450"/>
        <v>73185</v>
      </c>
      <c r="E8456" t="str">
        <f t="shared" si="3451"/>
        <v>KFH-OPERATIONS DEPARTMENT</v>
      </c>
      <c r="F8456" t="str">
        <f t="shared" si="3452"/>
        <v>IBG</v>
      </c>
      <c r="G8456" t="str">
        <f t="shared" si="3436"/>
        <v>Refund COSHARE 10</v>
      </c>
      <c r="H8456" s="2">
        <v>1561.5</v>
      </c>
      <c r="I8456" t="str">
        <f>"MARIANA BINTI ABDUL MALEK"</f>
        <v>MARIANA BINTI ABDUL MALEK</v>
      </c>
      <c r="J8456" t="str">
        <f t="shared" si="3441"/>
        <v>BANK ISLAM BHD</v>
      </c>
      <c r="K8456" t="str">
        <f>"13035020197111"</f>
        <v>13035020197111</v>
      </c>
      <c r="L8456" t="str">
        <f t="shared" si="3448"/>
        <v>04-08-2020</v>
      </c>
      <c r="M8456" t="str">
        <f t="shared" si="3448"/>
        <v>04-08-2020</v>
      </c>
      <c r="N8456" t="str">
        <f t="shared" si="3453"/>
        <v>001105018356</v>
      </c>
      <c r="O8456" t="str">
        <f t="shared" si="3454"/>
        <v>MYR</v>
      </c>
      <c r="P8456" t="str">
        <f t="shared" si="3449"/>
        <v>NIL</v>
      </c>
      <c r="Q8456" t="str">
        <f t="shared" si="3449"/>
        <v>NIL</v>
      </c>
      <c r="R8456" t="str">
        <f t="shared" si="3442"/>
        <v>Accepted</v>
      </c>
      <c r="S8456" t="str">
        <f t="shared" si="3455"/>
        <v>Approved</v>
      </c>
      <c r="T8456" t="str">
        <f t="shared" si="3443"/>
        <v>10.20.8.188</v>
      </c>
      <c r="U8456" t="str">
        <f t="shared" si="3456"/>
        <v>AZRAD UMAR BIN SHAARI</v>
      </c>
      <c r="V8456" t="str">
        <f t="shared" si="3457"/>
        <v>FARHANA BINTI MUSTAPA</v>
      </c>
      <c r="W8456" t="str">
        <f t="shared" si="3458"/>
        <v>04-08-2020</v>
      </c>
      <c r="X8456" t="str">
        <f t="shared" si="3459"/>
        <v>RAZIMAH ANSAR AHMAD</v>
      </c>
      <c r="Y8456" t="str">
        <f t="shared" si="3460"/>
        <v>04-08-2020</v>
      </c>
      <c r="Z8456" t="str">
        <f>"COS10200804 368"</f>
        <v>COS10200804 368</v>
      </c>
    </row>
    <row r="8457" spans="1:26" x14ac:dyDescent="0.25">
      <c r="A8457" t="str">
        <f t="shared" si="3461"/>
        <v>04-08-2020 12:28:31</v>
      </c>
      <c r="B8457" t="str">
        <f>"0000802362"</f>
        <v>0000802362</v>
      </c>
      <c r="C8457" t="str">
        <f t="shared" si="3462"/>
        <v>0000802195</v>
      </c>
      <c r="D8457" t="str">
        <f t="shared" si="3450"/>
        <v>73185</v>
      </c>
      <c r="E8457" t="str">
        <f t="shared" si="3451"/>
        <v>KFH-OPERATIONS DEPARTMENT</v>
      </c>
      <c r="F8457" t="str">
        <f t="shared" si="3452"/>
        <v>IBG</v>
      </c>
      <c r="G8457" t="str">
        <f t="shared" si="3436"/>
        <v>Refund COSHARE 10</v>
      </c>
      <c r="H8457" s="2">
        <v>511.65</v>
      </c>
      <c r="I8457" t="str">
        <f>"MALISA BINTI MAHMUDDIN"</f>
        <v>MALISA BINTI MAHMUDDIN</v>
      </c>
      <c r="J8457" t="str">
        <f t="shared" si="3441"/>
        <v>BANK ISLAM BHD</v>
      </c>
      <c r="K8457" t="str">
        <f>"12122020100969"</f>
        <v>12122020100969</v>
      </c>
      <c r="L8457" t="str">
        <f t="shared" si="3448"/>
        <v>04-08-2020</v>
      </c>
      <c r="M8457" t="str">
        <f t="shared" si="3448"/>
        <v>04-08-2020</v>
      </c>
      <c r="N8457" t="str">
        <f t="shared" si="3453"/>
        <v>001105018356</v>
      </c>
      <c r="O8457" t="str">
        <f t="shared" si="3454"/>
        <v>MYR</v>
      </c>
      <c r="P8457" t="str">
        <f t="shared" si="3449"/>
        <v>NIL</v>
      </c>
      <c r="Q8457" t="str">
        <f t="shared" si="3449"/>
        <v>NIL</v>
      </c>
      <c r="R8457" t="str">
        <f t="shared" si="3442"/>
        <v>Accepted</v>
      </c>
      <c r="S8457" t="str">
        <f t="shared" si="3455"/>
        <v>Approved</v>
      </c>
      <c r="T8457" t="str">
        <f t="shared" si="3443"/>
        <v>10.20.8.188</v>
      </c>
      <c r="U8457" t="str">
        <f t="shared" si="3456"/>
        <v>AZRAD UMAR BIN SHAARI</v>
      </c>
      <c r="V8457" t="str">
        <f t="shared" si="3457"/>
        <v>FARHANA BINTI MUSTAPA</v>
      </c>
      <c r="W8457" t="str">
        <f t="shared" si="3458"/>
        <v>04-08-2020</v>
      </c>
      <c r="X8457" t="str">
        <f t="shared" si="3459"/>
        <v>RAZIMAH ANSAR AHMAD</v>
      </c>
      <c r="Y8457" t="str">
        <f t="shared" si="3460"/>
        <v>04-08-2020</v>
      </c>
      <c r="Z8457" t="str">
        <f>"COS10200804 367"</f>
        <v>COS10200804 367</v>
      </c>
    </row>
    <row r="8458" spans="1:26" x14ac:dyDescent="0.25">
      <c r="A8458" t="str">
        <f t="shared" si="3461"/>
        <v>04-08-2020 12:28:31</v>
      </c>
      <c r="B8458" t="str">
        <f>"0000802361"</f>
        <v>0000802361</v>
      </c>
      <c r="C8458" t="str">
        <f t="shared" si="3462"/>
        <v>0000802195</v>
      </c>
      <c r="D8458" t="str">
        <f t="shared" si="3450"/>
        <v>73185</v>
      </c>
      <c r="E8458" t="str">
        <f t="shared" si="3451"/>
        <v>KFH-OPERATIONS DEPARTMENT</v>
      </c>
      <c r="F8458" t="str">
        <f t="shared" si="3452"/>
        <v>IBG</v>
      </c>
      <c r="G8458" t="str">
        <f t="shared" si="3436"/>
        <v>Refund COSHARE 10</v>
      </c>
      <c r="H8458" s="2">
        <v>629.65</v>
      </c>
      <c r="I8458" t="str">
        <f>"MAIMUM BINTI ZAINAL ABIDIN"</f>
        <v>MAIMUM BINTI ZAINAL ABIDIN</v>
      </c>
      <c r="J8458" t="str">
        <f t="shared" si="3441"/>
        <v>BANK ISLAM BHD</v>
      </c>
      <c r="K8458" t="str">
        <f>"08068020088297"</f>
        <v>08068020088297</v>
      </c>
      <c r="L8458" t="str">
        <f t="shared" si="3448"/>
        <v>04-08-2020</v>
      </c>
      <c r="M8458" t="str">
        <f t="shared" si="3448"/>
        <v>04-08-2020</v>
      </c>
      <c r="N8458" t="str">
        <f t="shared" si="3453"/>
        <v>001105018356</v>
      </c>
      <c r="O8458" t="str">
        <f t="shared" si="3454"/>
        <v>MYR</v>
      </c>
      <c r="P8458" t="str">
        <f t="shared" si="3449"/>
        <v>NIL</v>
      </c>
      <c r="Q8458" t="str">
        <f t="shared" si="3449"/>
        <v>NIL</v>
      </c>
      <c r="R8458" t="str">
        <f t="shared" si="3442"/>
        <v>Accepted</v>
      </c>
      <c r="S8458" t="str">
        <f t="shared" si="3455"/>
        <v>Approved</v>
      </c>
      <c r="T8458" t="str">
        <f t="shared" si="3443"/>
        <v>10.20.8.188</v>
      </c>
      <c r="U8458" t="str">
        <f t="shared" si="3456"/>
        <v>AZRAD UMAR BIN SHAARI</v>
      </c>
      <c r="V8458" t="str">
        <f t="shared" si="3457"/>
        <v>FARHANA BINTI MUSTAPA</v>
      </c>
      <c r="W8458" t="str">
        <f t="shared" si="3458"/>
        <v>04-08-2020</v>
      </c>
      <c r="X8458" t="str">
        <f t="shared" si="3459"/>
        <v>RAZIMAH ANSAR AHMAD</v>
      </c>
      <c r="Y8458" t="str">
        <f t="shared" si="3460"/>
        <v>04-08-2020</v>
      </c>
      <c r="Z8458" t="str">
        <f>"COS10200804 366"</f>
        <v>COS10200804 366</v>
      </c>
    </row>
    <row r="8459" spans="1:26" x14ac:dyDescent="0.25">
      <c r="A8459" t="str">
        <f t="shared" si="3461"/>
        <v>04-08-2020 12:28:31</v>
      </c>
      <c r="B8459" t="str">
        <f>"0000802360"</f>
        <v>0000802360</v>
      </c>
      <c r="C8459" t="str">
        <f t="shared" si="3462"/>
        <v>0000802195</v>
      </c>
      <c r="D8459" t="str">
        <f t="shared" si="3450"/>
        <v>73185</v>
      </c>
      <c r="E8459" t="str">
        <f t="shared" si="3451"/>
        <v>KFH-OPERATIONS DEPARTMENT</v>
      </c>
      <c r="F8459" t="str">
        <f t="shared" si="3452"/>
        <v>IBG</v>
      </c>
      <c r="G8459" t="str">
        <f t="shared" si="3436"/>
        <v>Refund COSHARE 10</v>
      </c>
      <c r="H8459" s="2">
        <v>898.3</v>
      </c>
      <c r="I8459" t="str">
        <f>"MAHMUD BIN JOBLI"</f>
        <v>MAHMUD BIN JOBLI</v>
      </c>
      <c r="J8459" t="str">
        <f t="shared" si="3441"/>
        <v>BANK ISLAM BHD</v>
      </c>
      <c r="K8459" t="str">
        <f>"11040020085640"</f>
        <v>11040020085640</v>
      </c>
      <c r="L8459" t="str">
        <f t="shared" si="3448"/>
        <v>04-08-2020</v>
      </c>
      <c r="M8459" t="str">
        <f t="shared" si="3448"/>
        <v>04-08-2020</v>
      </c>
      <c r="N8459" t="str">
        <f t="shared" si="3453"/>
        <v>001105018356</v>
      </c>
      <c r="O8459" t="str">
        <f t="shared" si="3454"/>
        <v>MYR</v>
      </c>
      <c r="P8459" t="str">
        <f t="shared" si="3449"/>
        <v>NIL</v>
      </c>
      <c r="Q8459" t="str">
        <f t="shared" si="3449"/>
        <v>NIL</v>
      </c>
      <c r="R8459" t="str">
        <f t="shared" si="3442"/>
        <v>Accepted</v>
      </c>
      <c r="S8459" t="str">
        <f t="shared" si="3455"/>
        <v>Approved</v>
      </c>
      <c r="T8459" t="str">
        <f t="shared" si="3443"/>
        <v>10.20.8.188</v>
      </c>
      <c r="U8459" t="str">
        <f t="shared" si="3456"/>
        <v>AZRAD UMAR BIN SHAARI</v>
      </c>
      <c r="V8459" t="str">
        <f t="shared" si="3457"/>
        <v>FARHANA BINTI MUSTAPA</v>
      </c>
      <c r="W8459" t="str">
        <f t="shared" si="3458"/>
        <v>04-08-2020</v>
      </c>
      <c r="X8459" t="str">
        <f t="shared" si="3459"/>
        <v>RAZIMAH ANSAR AHMAD</v>
      </c>
      <c r="Y8459" t="str">
        <f t="shared" si="3460"/>
        <v>04-08-2020</v>
      </c>
      <c r="Z8459" t="str">
        <f>"COS10200804 365"</f>
        <v>COS10200804 365</v>
      </c>
    </row>
    <row r="8460" spans="1:26" x14ac:dyDescent="0.25">
      <c r="A8460" t="str">
        <f t="shared" si="3461"/>
        <v>04-08-2020 12:28:31</v>
      </c>
      <c r="B8460" t="str">
        <f>"0000802359"</f>
        <v>0000802359</v>
      </c>
      <c r="C8460" t="str">
        <f t="shared" si="3462"/>
        <v>0000802195</v>
      </c>
      <c r="D8460" t="str">
        <f t="shared" si="3450"/>
        <v>73185</v>
      </c>
      <c r="E8460" t="str">
        <f t="shared" si="3451"/>
        <v>KFH-OPERATIONS DEPARTMENT</v>
      </c>
      <c r="F8460" t="str">
        <f t="shared" si="3452"/>
        <v>IBG</v>
      </c>
      <c r="G8460" t="str">
        <f t="shared" ref="G8460:G8523" si="3463">"Refund COSHARE 10"</f>
        <v>Refund COSHARE 10</v>
      </c>
      <c r="H8460" s="2">
        <v>2141.1999999999998</v>
      </c>
      <c r="I8460" t="str">
        <f>"MAHIMUN BINTI SARDI  MOHD YUSOF"</f>
        <v>MAHIMUN BINTI SARDI  MOHD YUSOF</v>
      </c>
      <c r="J8460" t="str">
        <f t="shared" si="3441"/>
        <v>BANK ISLAM BHD</v>
      </c>
      <c r="K8460" t="str">
        <f>"12092020190859"</f>
        <v>12092020190859</v>
      </c>
      <c r="L8460" t="str">
        <f t="shared" si="3448"/>
        <v>04-08-2020</v>
      </c>
      <c r="M8460" t="str">
        <f t="shared" si="3448"/>
        <v>04-08-2020</v>
      </c>
      <c r="N8460" t="str">
        <f t="shared" si="3453"/>
        <v>001105018356</v>
      </c>
      <c r="O8460" t="str">
        <f t="shared" si="3454"/>
        <v>MYR</v>
      </c>
      <c r="P8460" t="str">
        <f t="shared" si="3449"/>
        <v>NIL</v>
      </c>
      <c r="Q8460" t="str">
        <f t="shared" si="3449"/>
        <v>NIL</v>
      </c>
      <c r="R8460" t="str">
        <f t="shared" si="3442"/>
        <v>Accepted</v>
      </c>
      <c r="S8460" t="str">
        <f t="shared" si="3455"/>
        <v>Approved</v>
      </c>
      <c r="T8460" t="str">
        <f t="shared" si="3443"/>
        <v>10.20.8.188</v>
      </c>
      <c r="U8460" t="str">
        <f t="shared" si="3456"/>
        <v>AZRAD UMAR BIN SHAARI</v>
      </c>
      <c r="V8460" t="str">
        <f t="shared" si="3457"/>
        <v>FARHANA BINTI MUSTAPA</v>
      </c>
      <c r="W8460" t="str">
        <f t="shared" si="3458"/>
        <v>04-08-2020</v>
      </c>
      <c r="X8460" t="str">
        <f t="shared" si="3459"/>
        <v>RAZIMAH ANSAR AHMAD</v>
      </c>
      <c r="Y8460" t="str">
        <f t="shared" si="3460"/>
        <v>04-08-2020</v>
      </c>
      <c r="Z8460" t="str">
        <f>"COS10200804 364"</f>
        <v>COS10200804 364</v>
      </c>
    </row>
    <row r="8461" spans="1:26" x14ac:dyDescent="0.25">
      <c r="A8461" t="str">
        <f t="shared" si="3461"/>
        <v>04-08-2020 12:28:31</v>
      </c>
      <c r="B8461" t="str">
        <f>"0000802358"</f>
        <v>0000802358</v>
      </c>
      <c r="C8461" t="str">
        <f t="shared" si="3462"/>
        <v>0000802195</v>
      </c>
      <c r="D8461" t="str">
        <f t="shared" si="3450"/>
        <v>73185</v>
      </c>
      <c r="E8461" t="str">
        <f t="shared" si="3451"/>
        <v>KFH-OPERATIONS DEPARTMENT</v>
      </c>
      <c r="F8461" t="str">
        <f t="shared" si="3452"/>
        <v>IBG</v>
      </c>
      <c r="G8461" t="str">
        <f t="shared" si="3463"/>
        <v>Refund COSHARE 10</v>
      </c>
      <c r="H8461" s="2">
        <v>759</v>
      </c>
      <c r="I8461" t="str">
        <f>"MAHFUZAH BINTI ZAINOL"</f>
        <v>MAHFUZAH BINTI ZAINOL</v>
      </c>
      <c r="J8461" t="str">
        <f t="shared" si="3441"/>
        <v>BANK ISLAM BHD</v>
      </c>
      <c r="K8461" t="str">
        <f>"02039024732638"</f>
        <v>02039024732638</v>
      </c>
      <c r="L8461" t="str">
        <f t="shared" si="3448"/>
        <v>04-08-2020</v>
      </c>
      <c r="M8461" t="str">
        <f t="shared" si="3448"/>
        <v>04-08-2020</v>
      </c>
      <c r="N8461" t="str">
        <f t="shared" si="3453"/>
        <v>001105018356</v>
      </c>
      <c r="O8461" t="str">
        <f t="shared" si="3454"/>
        <v>MYR</v>
      </c>
      <c r="P8461" t="str">
        <f t="shared" si="3449"/>
        <v>NIL</v>
      </c>
      <c r="Q8461" t="str">
        <f t="shared" si="3449"/>
        <v>NIL</v>
      </c>
      <c r="R8461" t="str">
        <f t="shared" si="3442"/>
        <v>Accepted</v>
      </c>
      <c r="S8461" t="str">
        <f t="shared" si="3455"/>
        <v>Approved</v>
      </c>
      <c r="T8461" t="str">
        <f t="shared" si="3443"/>
        <v>10.20.8.188</v>
      </c>
      <c r="U8461" t="str">
        <f t="shared" si="3456"/>
        <v>AZRAD UMAR BIN SHAARI</v>
      </c>
      <c r="V8461" t="str">
        <f t="shared" si="3457"/>
        <v>FARHANA BINTI MUSTAPA</v>
      </c>
      <c r="W8461" t="str">
        <f t="shared" si="3458"/>
        <v>04-08-2020</v>
      </c>
      <c r="X8461" t="str">
        <f t="shared" si="3459"/>
        <v>RAZIMAH ANSAR AHMAD</v>
      </c>
      <c r="Y8461" t="str">
        <f t="shared" si="3460"/>
        <v>04-08-2020</v>
      </c>
      <c r="Z8461" t="str">
        <f>"COS10200804 363"</f>
        <v>COS10200804 363</v>
      </c>
    </row>
    <row r="8462" spans="1:26" x14ac:dyDescent="0.25">
      <c r="A8462" t="str">
        <f t="shared" si="3461"/>
        <v>04-08-2020 12:28:31</v>
      </c>
      <c r="B8462" t="str">
        <f>"0000802357"</f>
        <v>0000802357</v>
      </c>
      <c r="C8462" t="str">
        <f t="shared" si="3462"/>
        <v>0000802195</v>
      </c>
      <c r="D8462" t="str">
        <f t="shared" si="3450"/>
        <v>73185</v>
      </c>
      <c r="E8462" t="str">
        <f t="shared" si="3451"/>
        <v>KFH-OPERATIONS DEPARTMENT</v>
      </c>
      <c r="F8462" t="str">
        <f t="shared" si="3452"/>
        <v>IBG</v>
      </c>
      <c r="G8462" t="str">
        <f t="shared" si="3463"/>
        <v>Refund COSHARE 10</v>
      </c>
      <c r="H8462" s="2">
        <v>755.55</v>
      </c>
      <c r="I8462" t="str">
        <f>"MAGDALINA BINTI CHUAIDI"</f>
        <v>MAGDALINA BINTI CHUAIDI</v>
      </c>
      <c r="J8462" t="str">
        <f t="shared" si="3441"/>
        <v>BANK ISLAM BHD</v>
      </c>
      <c r="K8462" t="str">
        <f>"12092022719152"</f>
        <v>12092022719152</v>
      </c>
      <c r="L8462" t="str">
        <f t="shared" si="3448"/>
        <v>04-08-2020</v>
      </c>
      <c r="M8462" t="str">
        <f t="shared" si="3448"/>
        <v>04-08-2020</v>
      </c>
      <c r="N8462" t="str">
        <f t="shared" si="3453"/>
        <v>001105018356</v>
      </c>
      <c r="O8462" t="str">
        <f t="shared" si="3454"/>
        <v>MYR</v>
      </c>
      <c r="P8462" t="str">
        <f t="shared" si="3449"/>
        <v>NIL</v>
      </c>
      <c r="Q8462" t="str">
        <f t="shared" si="3449"/>
        <v>NIL</v>
      </c>
      <c r="R8462" t="str">
        <f t="shared" si="3442"/>
        <v>Accepted</v>
      </c>
      <c r="S8462" t="str">
        <f t="shared" si="3455"/>
        <v>Approved</v>
      </c>
      <c r="T8462" t="str">
        <f t="shared" si="3443"/>
        <v>10.20.8.188</v>
      </c>
      <c r="U8462" t="str">
        <f t="shared" si="3456"/>
        <v>AZRAD UMAR BIN SHAARI</v>
      </c>
      <c r="V8462" t="str">
        <f t="shared" si="3457"/>
        <v>FARHANA BINTI MUSTAPA</v>
      </c>
      <c r="W8462" t="str">
        <f t="shared" si="3458"/>
        <v>04-08-2020</v>
      </c>
      <c r="X8462" t="str">
        <f t="shared" si="3459"/>
        <v>RAZIMAH ANSAR AHMAD</v>
      </c>
      <c r="Y8462" t="str">
        <f t="shared" si="3460"/>
        <v>04-08-2020</v>
      </c>
      <c r="Z8462" t="str">
        <f>"COS10200804 362"</f>
        <v>COS10200804 362</v>
      </c>
    </row>
    <row r="8463" spans="1:26" x14ac:dyDescent="0.25">
      <c r="A8463" t="str">
        <f t="shared" si="3461"/>
        <v>04-08-2020 12:28:31</v>
      </c>
      <c r="B8463" t="str">
        <f>"0000802356"</f>
        <v>0000802356</v>
      </c>
      <c r="C8463" t="str">
        <f t="shared" si="3462"/>
        <v>0000802195</v>
      </c>
      <c r="D8463" t="str">
        <f t="shared" si="3450"/>
        <v>73185</v>
      </c>
      <c r="E8463" t="str">
        <f t="shared" si="3451"/>
        <v>KFH-OPERATIONS DEPARTMENT</v>
      </c>
      <c r="F8463" t="str">
        <f t="shared" si="3452"/>
        <v>IBG</v>
      </c>
      <c r="G8463" t="str">
        <f t="shared" si="3463"/>
        <v>Refund COSHARE 10</v>
      </c>
      <c r="H8463" s="2">
        <v>587.65</v>
      </c>
      <c r="I8463" t="str">
        <f>"MYUSUF BIN ABD RASAK"</f>
        <v>MYUSUF BIN ABD RASAK</v>
      </c>
      <c r="J8463" t="str">
        <f t="shared" si="3441"/>
        <v>BANK ISLAM BHD</v>
      </c>
      <c r="K8463" t="str">
        <f>"10034020110643"</f>
        <v>10034020110643</v>
      </c>
      <c r="L8463" t="str">
        <f t="shared" si="3448"/>
        <v>04-08-2020</v>
      </c>
      <c r="M8463" t="str">
        <f t="shared" si="3448"/>
        <v>04-08-2020</v>
      </c>
      <c r="N8463" t="str">
        <f t="shared" si="3453"/>
        <v>001105018356</v>
      </c>
      <c r="O8463" t="str">
        <f t="shared" si="3454"/>
        <v>MYR</v>
      </c>
      <c r="P8463" t="str">
        <f t="shared" si="3449"/>
        <v>NIL</v>
      </c>
      <c r="Q8463" t="str">
        <f t="shared" si="3449"/>
        <v>NIL</v>
      </c>
      <c r="R8463" t="str">
        <f t="shared" si="3442"/>
        <v>Accepted</v>
      </c>
      <c r="S8463" t="str">
        <f t="shared" si="3455"/>
        <v>Approved</v>
      </c>
      <c r="T8463" t="str">
        <f t="shared" si="3443"/>
        <v>10.20.8.188</v>
      </c>
      <c r="U8463" t="str">
        <f t="shared" si="3456"/>
        <v>AZRAD UMAR BIN SHAARI</v>
      </c>
      <c r="V8463" t="str">
        <f t="shared" si="3457"/>
        <v>FARHANA BINTI MUSTAPA</v>
      </c>
      <c r="W8463" t="str">
        <f t="shared" si="3458"/>
        <v>04-08-2020</v>
      </c>
      <c r="X8463" t="str">
        <f t="shared" si="3459"/>
        <v>RAZIMAH ANSAR AHMAD</v>
      </c>
      <c r="Y8463" t="str">
        <f t="shared" si="3460"/>
        <v>04-08-2020</v>
      </c>
      <c r="Z8463" t="str">
        <f>"COS10200804 361"</f>
        <v>COS10200804 361</v>
      </c>
    </row>
    <row r="8464" spans="1:26" x14ac:dyDescent="0.25">
      <c r="A8464" t="str">
        <f t="shared" si="3461"/>
        <v>04-08-2020 12:28:31</v>
      </c>
      <c r="B8464" t="str">
        <f>"0000802355"</f>
        <v>0000802355</v>
      </c>
      <c r="C8464" t="str">
        <f t="shared" si="3462"/>
        <v>0000802195</v>
      </c>
      <c r="D8464" t="str">
        <f t="shared" si="3450"/>
        <v>73185</v>
      </c>
      <c r="E8464" t="str">
        <f t="shared" si="3451"/>
        <v>KFH-OPERATIONS DEPARTMENT</v>
      </c>
      <c r="F8464" t="str">
        <f t="shared" si="3452"/>
        <v>IBG</v>
      </c>
      <c r="G8464" t="str">
        <f t="shared" si="3463"/>
        <v>Refund COSHARE 10</v>
      </c>
      <c r="H8464" s="2">
        <v>511.65</v>
      </c>
      <c r="I8464" t="str">
        <f>"LATIF BIN MAT NOOT"</f>
        <v>LATIF BIN MAT NOOT</v>
      </c>
      <c r="J8464" t="str">
        <f t="shared" si="3441"/>
        <v>BANK ISLAM BHD</v>
      </c>
      <c r="K8464" t="str">
        <f>"08013023319851"</f>
        <v>08013023319851</v>
      </c>
      <c r="L8464" t="str">
        <f t="shared" si="3448"/>
        <v>04-08-2020</v>
      </c>
      <c r="M8464" t="str">
        <f t="shared" si="3448"/>
        <v>04-08-2020</v>
      </c>
      <c r="N8464" t="str">
        <f t="shared" si="3453"/>
        <v>001105018356</v>
      </c>
      <c r="O8464" t="str">
        <f t="shared" si="3454"/>
        <v>MYR</v>
      </c>
      <c r="P8464" t="str">
        <f t="shared" si="3449"/>
        <v>NIL</v>
      </c>
      <c r="Q8464" t="str">
        <f t="shared" si="3449"/>
        <v>NIL</v>
      </c>
      <c r="R8464" t="str">
        <f t="shared" si="3442"/>
        <v>Accepted</v>
      </c>
      <c r="S8464" t="str">
        <f t="shared" si="3455"/>
        <v>Approved</v>
      </c>
      <c r="T8464" t="str">
        <f t="shared" si="3443"/>
        <v>10.20.8.188</v>
      </c>
      <c r="U8464" t="str">
        <f t="shared" si="3456"/>
        <v>AZRAD UMAR BIN SHAARI</v>
      </c>
      <c r="V8464" t="str">
        <f t="shared" si="3457"/>
        <v>FARHANA BINTI MUSTAPA</v>
      </c>
      <c r="W8464" t="str">
        <f t="shared" si="3458"/>
        <v>04-08-2020</v>
      </c>
      <c r="X8464" t="str">
        <f t="shared" si="3459"/>
        <v>RAZIMAH ANSAR AHMAD</v>
      </c>
      <c r="Y8464" t="str">
        <f t="shared" si="3460"/>
        <v>04-08-2020</v>
      </c>
      <c r="Z8464" t="str">
        <f>"COS10200804 360"</f>
        <v>COS10200804 360</v>
      </c>
    </row>
    <row r="8465" spans="1:26" x14ac:dyDescent="0.25">
      <c r="A8465" t="str">
        <f t="shared" si="3461"/>
        <v>04-08-2020 12:28:31</v>
      </c>
      <c r="B8465" t="str">
        <f>"0000802354"</f>
        <v>0000802354</v>
      </c>
      <c r="C8465" t="str">
        <f t="shared" si="3462"/>
        <v>0000802195</v>
      </c>
      <c r="D8465" t="str">
        <f t="shared" si="3450"/>
        <v>73185</v>
      </c>
      <c r="E8465" t="str">
        <f t="shared" si="3451"/>
        <v>KFH-OPERATIONS DEPARTMENT</v>
      </c>
      <c r="F8465" t="str">
        <f t="shared" si="3452"/>
        <v>IBG</v>
      </c>
      <c r="G8465" t="str">
        <f t="shared" si="3463"/>
        <v>Refund COSHARE 10</v>
      </c>
      <c r="H8465" s="2">
        <v>199</v>
      </c>
      <c r="I8465" t="str">
        <f>"KU NOR SURIATI BINTI KU ISHAK"</f>
        <v>KU NOR SURIATI BINTI KU ISHAK</v>
      </c>
      <c r="J8465" t="str">
        <f t="shared" si="3441"/>
        <v>BANK ISLAM BHD</v>
      </c>
      <c r="K8465" t="str">
        <f>"02084020550150"</f>
        <v>02084020550150</v>
      </c>
      <c r="L8465" t="str">
        <f t="shared" si="3448"/>
        <v>04-08-2020</v>
      </c>
      <c r="M8465" t="str">
        <f t="shared" si="3448"/>
        <v>04-08-2020</v>
      </c>
      <c r="N8465" t="str">
        <f t="shared" si="3453"/>
        <v>001105018356</v>
      </c>
      <c r="O8465" t="str">
        <f t="shared" si="3454"/>
        <v>MYR</v>
      </c>
      <c r="P8465" t="str">
        <f t="shared" si="3449"/>
        <v>NIL</v>
      </c>
      <c r="Q8465" t="str">
        <f t="shared" si="3449"/>
        <v>NIL</v>
      </c>
      <c r="R8465" t="str">
        <f t="shared" si="3442"/>
        <v>Accepted</v>
      </c>
      <c r="S8465" t="str">
        <f t="shared" si="3455"/>
        <v>Approved</v>
      </c>
      <c r="T8465" t="str">
        <f t="shared" si="3443"/>
        <v>10.20.8.188</v>
      </c>
      <c r="U8465" t="str">
        <f t="shared" si="3456"/>
        <v>AZRAD UMAR BIN SHAARI</v>
      </c>
      <c r="V8465" t="str">
        <f t="shared" si="3457"/>
        <v>FARHANA BINTI MUSTAPA</v>
      </c>
      <c r="W8465" t="str">
        <f t="shared" si="3458"/>
        <v>04-08-2020</v>
      </c>
      <c r="X8465" t="str">
        <f t="shared" si="3459"/>
        <v>RAZIMAH ANSAR AHMAD</v>
      </c>
      <c r="Y8465" t="str">
        <f t="shared" si="3460"/>
        <v>04-08-2020</v>
      </c>
      <c r="Z8465" t="str">
        <f>"COS10200804 359"</f>
        <v>COS10200804 359</v>
      </c>
    </row>
    <row r="8466" spans="1:26" x14ac:dyDescent="0.25">
      <c r="A8466" t="str">
        <f t="shared" si="3461"/>
        <v>04-08-2020 12:28:31</v>
      </c>
      <c r="B8466" t="str">
        <f>"0000802353"</f>
        <v>0000802353</v>
      </c>
      <c r="C8466" t="str">
        <f t="shared" si="3462"/>
        <v>0000802195</v>
      </c>
      <c r="D8466" t="str">
        <f t="shared" si="3450"/>
        <v>73185</v>
      </c>
      <c r="E8466" t="str">
        <f t="shared" si="3451"/>
        <v>KFH-OPERATIONS DEPARTMENT</v>
      </c>
      <c r="F8466" t="str">
        <f t="shared" si="3452"/>
        <v>IBG</v>
      </c>
      <c r="G8466" t="str">
        <f t="shared" si="3463"/>
        <v>Refund COSHARE 10</v>
      </c>
      <c r="H8466" s="2">
        <v>151.44999999999999</v>
      </c>
      <c r="I8466" t="str">
        <f>"KILAWATI BINTI MD SHAH"</f>
        <v>KILAWATI BINTI MD SHAH</v>
      </c>
      <c r="J8466" t="str">
        <f t="shared" si="3441"/>
        <v>BANK ISLAM BHD</v>
      </c>
      <c r="K8466" t="str">
        <f>"01087020151688"</f>
        <v>01087020151688</v>
      </c>
      <c r="L8466" t="str">
        <f t="shared" si="3448"/>
        <v>04-08-2020</v>
      </c>
      <c r="M8466" t="str">
        <f t="shared" si="3448"/>
        <v>04-08-2020</v>
      </c>
      <c r="N8466" t="str">
        <f t="shared" si="3453"/>
        <v>001105018356</v>
      </c>
      <c r="O8466" t="str">
        <f t="shared" si="3454"/>
        <v>MYR</v>
      </c>
      <c r="P8466" t="str">
        <f t="shared" si="3449"/>
        <v>NIL</v>
      </c>
      <c r="Q8466" t="str">
        <f t="shared" si="3449"/>
        <v>NIL</v>
      </c>
      <c r="R8466" t="str">
        <f t="shared" si="3442"/>
        <v>Accepted</v>
      </c>
      <c r="S8466" t="str">
        <f t="shared" si="3455"/>
        <v>Approved</v>
      </c>
      <c r="T8466" t="str">
        <f t="shared" si="3443"/>
        <v>10.20.8.188</v>
      </c>
      <c r="U8466" t="str">
        <f t="shared" si="3456"/>
        <v>AZRAD UMAR BIN SHAARI</v>
      </c>
      <c r="V8466" t="str">
        <f t="shared" si="3457"/>
        <v>FARHANA BINTI MUSTAPA</v>
      </c>
      <c r="W8466" t="str">
        <f t="shared" si="3458"/>
        <v>04-08-2020</v>
      </c>
      <c r="X8466" t="str">
        <f t="shared" si="3459"/>
        <v>RAZIMAH ANSAR AHMAD</v>
      </c>
      <c r="Y8466" t="str">
        <f t="shared" si="3460"/>
        <v>04-08-2020</v>
      </c>
      <c r="Z8466" t="str">
        <f>"COS10200804 358"</f>
        <v>COS10200804 358</v>
      </c>
    </row>
    <row r="8467" spans="1:26" x14ac:dyDescent="0.25">
      <c r="A8467" t="str">
        <f t="shared" si="3461"/>
        <v>04-08-2020 12:28:31</v>
      </c>
      <c r="B8467" t="str">
        <f>"0000802352"</f>
        <v>0000802352</v>
      </c>
      <c r="C8467" t="str">
        <f t="shared" si="3462"/>
        <v>0000802195</v>
      </c>
      <c r="D8467" t="str">
        <f t="shared" si="3450"/>
        <v>73185</v>
      </c>
      <c r="E8467" t="str">
        <f t="shared" si="3451"/>
        <v>KFH-OPERATIONS DEPARTMENT</v>
      </c>
      <c r="F8467" t="str">
        <f t="shared" si="3452"/>
        <v>IBG</v>
      </c>
      <c r="G8467" t="str">
        <f t="shared" si="3463"/>
        <v>Refund COSHARE 10</v>
      </c>
      <c r="H8467" s="2">
        <v>167</v>
      </c>
      <c r="I8467" t="str">
        <f>"KHUZAIMAH BINTI HAMID"</f>
        <v>KHUZAIMAH BINTI HAMID</v>
      </c>
      <c r="J8467" t="str">
        <f t="shared" si="3441"/>
        <v>BANK ISLAM BHD</v>
      </c>
      <c r="K8467" t="str">
        <f>"03036020700791"</f>
        <v>03036020700791</v>
      </c>
      <c r="L8467" t="str">
        <f t="shared" ref="L8467:M8486" si="3464">"04-08-2020"</f>
        <v>04-08-2020</v>
      </c>
      <c r="M8467" t="str">
        <f t="shared" si="3464"/>
        <v>04-08-2020</v>
      </c>
      <c r="N8467" t="str">
        <f t="shared" si="3453"/>
        <v>001105018356</v>
      </c>
      <c r="O8467" t="str">
        <f t="shared" si="3454"/>
        <v>MYR</v>
      </c>
      <c r="P8467" t="str">
        <f t="shared" ref="P8467:Q8486" si="3465">"NIL"</f>
        <v>NIL</v>
      </c>
      <c r="Q8467" t="str">
        <f t="shared" si="3465"/>
        <v>NIL</v>
      </c>
      <c r="R8467" t="str">
        <f t="shared" si="3442"/>
        <v>Accepted</v>
      </c>
      <c r="S8467" t="str">
        <f t="shared" si="3455"/>
        <v>Approved</v>
      </c>
      <c r="T8467" t="str">
        <f t="shared" si="3443"/>
        <v>10.20.8.188</v>
      </c>
      <c r="U8467" t="str">
        <f t="shared" si="3456"/>
        <v>AZRAD UMAR BIN SHAARI</v>
      </c>
      <c r="V8467" t="str">
        <f t="shared" si="3457"/>
        <v>FARHANA BINTI MUSTAPA</v>
      </c>
      <c r="W8467" t="str">
        <f t="shared" si="3458"/>
        <v>04-08-2020</v>
      </c>
      <c r="X8467" t="str">
        <f t="shared" si="3459"/>
        <v>RAZIMAH ANSAR AHMAD</v>
      </c>
      <c r="Y8467" t="str">
        <f t="shared" si="3460"/>
        <v>04-08-2020</v>
      </c>
      <c r="Z8467" t="str">
        <f>"COS10200804 357"</f>
        <v>COS10200804 357</v>
      </c>
    </row>
    <row r="8468" spans="1:26" x14ac:dyDescent="0.25">
      <c r="A8468" t="str">
        <f t="shared" si="3461"/>
        <v>04-08-2020 12:28:31</v>
      </c>
      <c r="B8468" t="str">
        <f>"0000802351"</f>
        <v>0000802351</v>
      </c>
      <c r="C8468" t="str">
        <f t="shared" si="3462"/>
        <v>0000802195</v>
      </c>
      <c r="D8468" t="str">
        <f t="shared" si="3450"/>
        <v>73185</v>
      </c>
      <c r="E8468" t="str">
        <f t="shared" si="3451"/>
        <v>KFH-OPERATIONS DEPARTMENT</v>
      </c>
      <c r="F8468" t="str">
        <f t="shared" si="3452"/>
        <v>IBG</v>
      </c>
      <c r="G8468" t="str">
        <f t="shared" si="3463"/>
        <v>Refund COSHARE 10</v>
      </c>
      <c r="H8468" s="2">
        <v>294.7</v>
      </c>
      <c r="I8468" t="str">
        <f>"KHAZIMAN BIN OTHMAN  SEMAN"</f>
        <v>KHAZIMAN BIN OTHMAN  SEMAN</v>
      </c>
      <c r="J8468" t="str">
        <f t="shared" si="3441"/>
        <v>BANK ISLAM BHD</v>
      </c>
      <c r="K8468" t="str">
        <f>"03036020181285"</f>
        <v>03036020181285</v>
      </c>
      <c r="L8468" t="str">
        <f t="shared" si="3464"/>
        <v>04-08-2020</v>
      </c>
      <c r="M8468" t="str">
        <f t="shared" si="3464"/>
        <v>04-08-2020</v>
      </c>
      <c r="N8468" t="str">
        <f t="shared" si="3453"/>
        <v>001105018356</v>
      </c>
      <c r="O8468" t="str">
        <f t="shared" si="3454"/>
        <v>MYR</v>
      </c>
      <c r="P8468" t="str">
        <f t="shared" si="3465"/>
        <v>NIL</v>
      </c>
      <c r="Q8468" t="str">
        <f t="shared" si="3465"/>
        <v>NIL</v>
      </c>
      <c r="R8468" t="str">
        <f t="shared" si="3442"/>
        <v>Accepted</v>
      </c>
      <c r="S8468" t="str">
        <f t="shared" si="3455"/>
        <v>Approved</v>
      </c>
      <c r="T8468" t="str">
        <f t="shared" si="3443"/>
        <v>10.20.8.188</v>
      </c>
      <c r="U8468" t="str">
        <f t="shared" si="3456"/>
        <v>AZRAD UMAR BIN SHAARI</v>
      </c>
      <c r="V8468" t="str">
        <f t="shared" si="3457"/>
        <v>FARHANA BINTI MUSTAPA</v>
      </c>
      <c r="W8468" t="str">
        <f t="shared" si="3458"/>
        <v>04-08-2020</v>
      </c>
      <c r="X8468" t="str">
        <f t="shared" si="3459"/>
        <v>RAZIMAH ANSAR AHMAD</v>
      </c>
      <c r="Y8468" t="str">
        <f t="shared" si="3460"/>
        <v>04-08-2020</v>
      </c>
      <c r="Z8468" t="str">
        <f>"COS10200804 356"</f>
        <v>COS10200804 356</v>
      </c>
    </row>
    <row r="8469" spans="1:26" x14ac:dyDescent="0.25">
      <c r="A8469" t="str">
        <f t="shared" si="3461"/>
        <v>04-08-2020 12:28:31</v>
      </c>
      <c r="B8469" t="str">
        <f>"0000802350"</f>
        <v>0000802350</v>
      </c>
      <c r="C8469" t="str">
        <f t="shared" si="3462"/>
        <v>0000802195</v>
      </c>
      <c r="D8469" t="str">
        <f t="shared" si="3450"/>
        <v>73185</v>
      </c>
      <c r="E8469" t="str">
        <f t="shared" si="3451"/>
        <v>KFH-OPERATIONS DEPARTMENT</v>
      </c>
      <c r="F8469" t="str">
        <f t="shared" si="3452"/>
        <v>IBG</v>
      </c>
      <c r="G8469" t="str">
        <f t="shared" si="3463"/>
        <v>Refund COSHARE 10</v>
      </c>
      <c r="H8469" s="2">
        <v>1208.9000000000001</v>
      </c>
      <c r="I8469" t="str">
        <f>"KHAIRULLAH BIN ABU SAMAH"</f>
        <v>KHAIRULLAH BIN ABU SAMAH</v>
      </c>
      <c r="J8469" t="str">
        <f t="shared" si="3441"/>
        <v>BANK ISLAM BHD</v>
      </c>
      <c r="K8469" t="str">
        <f>"07043026946534"</f>
        <v>07043026946534</v>
      </c>
      <c r="L8469" t="str">
        <f t="shared" si="3464"/>
        <v>04-08-2020</v>
      </c>
      <c r="M8469" t="str">
        <f t="shared" si="3464"/>
        <v>04-08-2020</v>
      </c>
      <c r="N8469" t="str">
        <f t="shared" si="3453"/>
        <v>001105018356</v>
      </c>
      <c r="O8469" t="str">
        <f t="shared" si="3454"/>
        <v>MYR</v>
      </c>
      <c r="P8469" t="str">
        <f t="shared" si="3465"/>
        <v>NIL</v>
      </c>
      <c r="Q8469" t="str">
        <f t="shared" si="3465"/>
        <v>NIL</v>
      </c>
      <c r="R8469" t="str">
        <f t="shared" si="3442"/>
        <v>Accepted</v>
      </c>
      <c r="S8469" t="str">
        <f t="shared" si="3455"/>
        <v>Approved</v>
      </c>
      <c r="T8469" t="str">
        <f t="shared" si="3443"/>
        <v>10.20.8.188</v>
      </c>
      <c r="U8469" t="str">
        <f t="shared" si="3456"/>
        <v>AZRAD UMAR BIN SHAARI</v>
      </c>
      <c r="V8469" t="str">
        <f t="shared" si="3457"/>
        <v>FARHANA BINTI MUSTAPA</v>
      </c>
      <c r="W8469" t="str">
        <f t="shared" si="3458"/>
        <v>04-08-2020</v>
      </c>
      <c r="X8469" t="str">
        <f t="shared" si="3459"/>
        <v>RAZIMAH ANSAR AHMAD</v>
      </c>
      <c r="Y8469" t="str">
        <f t="shared" si="3460"/>
        <v>04-08-2020</v>
      </c>
      <c r="Z8469" t="str">
        <f>"COS10200804 355"</f>
        <v>COS10200804 355</v>
      </c>
    </row>
    <row r="8470" spans="1:26" x14ac:dyDescent="0.25">
      <c r="A8470" t="str">
        <f t="shared" si="3461"/>
        <v>04-08-2020 12:28:31</v>
      </c>
      <c r="B8470" t="str">
        <f>"0000802349"</f>
        <v>0000802349</v>
      </c>
      <c r="C8470" t="str">
        <f t="shared" si="3462"/>
        <v>0000802195</v>
      </c>
      <c r="D8470" t="str">
        <f t="shared" si="3450"/>
        <v>73185</v>
      </c>
      <c r="E8470" t="str">
        <f t="shared" si="3451"/>
        <v>KFH-OPERATIONS DEPARTMENT</v>
      </c>
      <c r="F8470" t="str">
        <f t="shared" si="3452"/>
        <v>IBG</v>
      </c>
      <c r="G8470" t="str">
        <f t="shared" si="3463"/>
        <v>Refund COSHARE 10</v>
      </c>
      <c r="H8470" s="2">
        <v>585</v>
      </c>
      <c r="I8470" t="str">
        <f>"KHAIRUL SHAHRIL BIN KHARUDDIN"</f>
        <v>KHAIRUL SHAHRIL BIN KHARUDDIN</v>
      </c>
      <c r="J8470" t="str">
        <f t="shared" si="3441"/>
        <v>BANK ISLAM BHD</v>
      </c>
      <c r="K8470" t="str">
        <f>"02093020658290"</f>
        <v>02093020658290</v>
      </c>
      <c r="L8470" t="str">
        <f t="shared" si="3464"/>
        <v>04-08-2020</v>
      </c>
      <c r="M8470" t="str">
        <f t="shared" si="3464"/>
        <v>04-08-2020</v>
      </c>
      <c r="N8470" t="str">
        <f t="shared" si="3453"/>
        <v>001105018356</v>
      </c>
      <c r="O8470" t="str">
        <f t="shared" si="3454"/>
        <v>MYR</v>
      </c>
      <c r="P8470" t="str">
        <f t="shared" si="3465"/>
        <v>NIL</v>
      </c>
      <c r="Q8470" t="str">
        <f t="shared" si="3465"/>
        <v>NIL</v>
      </c>
      <c r="R8470" t="str">
        <f t="shared" si="3442"/>
        <v>Accepted</v>
      </c>
      <c r="S8470" t="str">
        <f t="shared" si="3455"/>
        <v>Approved</v>
      </c>
      <c r="T8470" t="str">
        <f t="shared" si="3443"/>
        <v>10.20.8.188</v>
      </c>
      <c r="U8470" t="str">
        <f t="shared" si="3456"/>
        <v>AZRAD UMAR BIN SHAARI</v>
      </c>
      <c r="V8470" t="str">
        <f t="shared" si="3457"/>
        <v>FARHANA BINTI MUSTAPA</v>
      </c>
      <c r="W8470" t="str">
        <f t="shared" si="3458"/>
        <v>04-08-2020</v>
      </c>
      <c r="X8470" t="str">
        <f t="shared" si="3459"/>
        <v>RAZIMAH ANSAR AHMAD</v>
      </c>
      <c r="Y8470" t="str">
        <f t="shared" si="3460"/>
        <v>04-08-2020</v>
      </c>
      <c r="Z8470" t="str">
        <f>"COS10200804 354"</f>
        <v>COS10200804 354</v>
      </c>
    </row>
    <row r="8471" spans="1:26" x14ac:dyDescent="0.25">
      <c r="A8471" t="str">
        <f t="shared" si="3461"/>
        <v>04-08-2020 12:28:31</v>
      </c>
      <c r="B8471" t="str">
        <f>"0000802348"</f>
        <v>0000802348</v>
      </c>
      <c r="C8471" t="str">
        <f t="shared" si="3462"/>
        <v>0000802195</v>
      </c>
      <c r="D8471" t="str">
        <f t="shared" si="3450"/>
        <v>73185</v>
      </c>
      <c r="E8471" t="str">
        <f t="shared" si="3451"/>
        <v>KFH-OPERATIONS DEPARTMENT</v>
      </c>
      <c r="F8471" t="str">
        <f t="shared" si="3452"/>
        <v>IBG</v>
      </c>
      <c r="G8471" t="str">
        <f t="shared" si="3463"/>
        <v>Refund COSHARE 10</v>
      </c>
      <c r="H8471" s="2">
        <v>268.64999999999998</v>
      </c>
      <c r="I8471" t="str">
        <f>"KHAIRUL AZMEE BIN BUKHARI"</f>
        <v>KHAIRUL AZMEE BIN BUKHARI</v>
      </c>
      <c r="J8471" t="str">
        <f t="shared" si="3441"/>
        <v>BANK ISLAM BHD</v>
      </c>
      <c r="K8471" t="str">
        <f>"06028024822929"</f>
        <v>06028024822929</v>
      </c>
      <c r="L8471" t="str">
        <f t="shared" si="3464"/>
        <v>04-08-2020</v>
      </c>
      <c r="M8471" t="str">
        <f t="shared" si="3464"/>
        <v>04-08-2020</v>
      </c>
      <c r="N8471" t="str">
        <f t="shared" si="3453"/>
        <v>001105018356</v>
      </c>
      <c r="O8471" t="str">
        <f t="shared" si="3454"/>
        <v>MYR</v>
      </c>
      <c r="P8471" t="str">
        <f t="shared" si="3465"/>
        <v>NIL</v>
      </c>
      <c r="Q8471" t="str">
        <f t="shared" si="3465"/>
        <v>NIL</v>
      </c>
      <c r="R8471" t="str">
        <f t="shared" si="3442"/>
        <v>Accepted</v>
      </c>
      <c r="S8471" t="str">
        <f t="shared" si="3455"/>
        <v>Approved</v>
      </c>
      <c r="T8471" t="str">
        <f t="shared" si="3443"/>
        <v>10.20.8.188</v>
      </c>
      <c r="U8471" t="str">
        <f t="shared" si="3456"/>
        <v>AZRAD UMAR BIN SHAARI</v>
      </c>
      <c r="V8471" t="str">
        <f t="shared" si="3457"/>
        <v>FARHANA BINTI MUSTAPA</v>
      </c>
      <c r="W8471" t="str">
        <f t="shared" si="3458"/>
        <v>04-08-2020</v>
      </c>
      <c r="X8471" t="str">
        <f t="shared" si="3459"/>
        <v>RAZIMAH ANSAR AHMAD</v>
      </c>
      <c r="Y8471" t="str">
        <f t="shared" si="3460"/>
        <v>04-08-2020</v>
      </c>
      <c r="Z8471" t="str">
        <f>"COS10200804 353"</f>
        <v>COS10200804 353</v>
      </c>
    </row>
    <row r="8472" spans="1:26" x14ac:dyDescent="0.25">
      <c r="A8472" t="str">
        <f t="shared" si="3461"/>
        <v>04-08-2020 12:28:31</v>
      </c>
      <c r="B8472" t="str">
        <f>"0000802347"</f>
        <v>0000802347</v>
      </c>
      <c r="C8472" t="str">
        <f t="shared" si="3462"/>
        <v>0000802195</v>
      </c>
      <c r="D8472" t="str">
        <f t="shared" si="3450"/>
        <v>73185</v>
      </c>
      <c r="E8472" t="str">
        <f t="shared" si="3451"/>
        <v>KFH-OPERATIONS DEPARTMENT</v>
      </c>
      <c r="F8472" t="str">
        <f t="shared" si="3452"/>
        <v>IBG</v>
      </c>
      <c r="G8472" t="str">
        <f t="shared" si="3463"/>
        <v>Refund COSHARE 10</v>
      </c>
      <c r="H8472" s="2">
        <v>268.64999999999998</v>
      </c>
      <c r="I8472" t="str">
        <f>"KHAIRUL AZMEE BIN BUKHARI"</f>
        <v>KHAIRUL AZMEE BIN BUKHARI</v>
      </c>
      <c r="J8472" t="str">
        <f t="shared" si="3441"/>
        <v>BANK ISLAM BHD</v>
      </c>
      <c r="K8472" t="str">
        <f>"06028024822929"</f>
        <v>06028024822929</v>
      </c>
      <c r="L8472" t="str">
        <f t="shared" si="3464"/>
        <v>04-08-2020</v>
      </c>
      <c r="M8472" t="str">
        <f t="shared" si="3464"/>
        <v>04-08-2020</v>
      </c>
      <c r="N8472" t="str">
        <f t="shared" si="3453"/>
        <v>001105018356</v>
      </c>
      <c r="O8472" t="str">
        <f t="shared" si="3454"/>
        <v>MYR</v>
      </c>
      <c r="P8472" t="str">
        <f t="shared" si="3465"/>
        <v>NIL</v>
      </c>
      <c r="Q8472" t="str">
        <f t="shared" si="3465"/>
        <v>NIL</v>
      </c>
      <c r="R8472" t="str">
        <f t="shared" si="3442"/>
        <v>Accepted</v>
      </c>
      <c r="S8472" t="str">
        <f t="shared" si="3455"/>
        <v>Approved</v>
      </c>
      <c r="T8472" t="str">
        <f t="shared" si="3443"/>
        <v>10.20.8.188</v>
      </c>
      <c r="U8472" t="str">
        <f t="shared" si="3456"/>
        <v>AZRAD UMAR BIN SHAARI</v>
      </c>
      <c r="V8472" t="str">
        <f t="shared" si="3457"/>
        <v>FARHANA BINTI MUSTAPA</v>
      </c>
      <c r="W8472" t="str">
        <f t="shared" si="3458"/>
        <v>04-08-2020</v>
      </c>
      <c r="X8472" t="str">
        <f t="shared" si="3459"/>
        <v>RAZIMAH ANSAR AHMAD</v>
      </c>
      <c r="Y8472" t="str">
        <f t="shared" si="3460"/>
        <v>04-08-2020</v>
      </c>
      <c r="Z8472" t="str">
        <f>"COS10200804 352"</f>
        <v>COS10200804 352</v>
      </c>
    </row>
    <row r="8473" spans="1:26" x14ac:dyDescent="0.25">
      <c r="A8473" t="str">
        <f t="shared" si="3461"/>
        <v>04-08-2020 12:28:31</v>
      </c>
      <c r="B8473" t="str">
        <f>"0000802346"</f>
        <v>0000802346</v>
      </c>
      <c r="C8473" t="str">
        <f t="shared" si="3462"/>
        <v>0000802195</v>
      </c>
      <c r="D8473" t="str">
        <f t="shared" si="3450"/>
        <v>73185</v>
      </c>
      <c r="E8473" t="str">
        <f t="shared" si="3451"/>
        <v>KFH-OPERATIONS DEPARTMENT</v>
      </c>
      <c r="F8473" t="str">
        <f t="shared" si="3452"/>
        <v>IBG</v>
      </c>
      <c r="G8473" t="str">
        <f t="shared" si="3463"/>
        <v>Refund COSHARE 10</v>
      </c>
      <c r="H8473" s="2">
        <v>1637.05</v>
      </c>
      <c r="I8473" t="str">
        <f>"KHAIRUL ANUAR BIN MAHMOOD  TALIB"</f>
        <v>KHAIRUL ANUAR BIN MAHMOOD  TALIB</v>
      </c>
      <c r="J8473" t="str">
        <f t="shared" si="3441"/>
        <v>BANK ISLAM BHD</v>
      </c>
      <c r="K8473" t="str">
        <f>"14162020258562"</f>
        <v>14162020258562</v>
      </c>
      <c r="L8473" t="str">
        <f t="shared" si="3464"/>
        <v>04-08-2020</v>
      </c>
      <c r="M8473" t="str">
        <f t="shared" si="3464"/>
        <v>04-08-2020</v>
      </c>
      <c r="N8473" t="str">
        <f t="shared" si="3453"/>
        <v>001105018356</v>
      </c>
      <c r="O8473" t="str">
        <f t="shared" si="3454"/>
        <v>MYR</v>
      </c>
      <c r="P8473" t="str">
        <f t="shared" si="3465"/>
        <v>NIL</v>
      </c>
      <c r="Q8473" t="str">
        <f t="shared" si="3465"/>
        <v>NIL</v>
      </c>
      <c r="R8473" t="str">
        <f t="shared" si="3442"/>
        <v>Accepted</v>
      </c>
      <c r="S8473" t="str">
        <f t="shared" si="3455"/>
        <v>Approved</v>
      </c>
      <c r="T8473" t="str">
        <f t="shared" si="3443"/>
        <v>10.20.8.188</v>
      </c>
      <c r="U8473" t="str">
        <f t="shared" si="3456"/>
        <v>AZRAD UMAR BIN SHAARI</v>
      </c>
      <c r="V8473" t="str">
        <f t="shared" si="3457"/>
        <v>FARHANA BINTI MUSTAPA</v>
      </c>
      <c r="W8473" t="str">
        <f t="shared" si="3458"/>
        <v>04-08-2020</v>
      </c>
      <c r="X8473" t="str">
        <f t="shared" si="3459"/>
        <v>RAZIMAH ANSAR AHMAD</v>
      </c>
      <c r="Y8473" t="str">
        <f t="shared" si="3460"/>
        <v>04-08-2020</v>
      </c>
      <c r="Z8473" t="str">
        <f>"COS10200804 351"</f>
        <v>COS10200804 351</v>
      </c>
    </row>
    <row r="8474" spans="1:26" x14ac:dyDescent="0.25">
      <c r="A8474" t="str">
        <f t="shared" si="3461"/>
        <v>04-08-2020 12:28:31</v>
      </c>
      <c r="B8474" t="str">
        <f>"0000802345"</f>
        <v>0000802345</v>
      </c>
      <c r="C8474" t="str">
        <f t="shared" si="3462"/>
        <v>0000802195</v>
      </c>
      <c r="D8474" t="str">
        <f t="shared" si="3450"/>
        <v>73185</v>
      </c>
      <c r="E8474" t="str">
        <f t="shared" si="3451"/>
        <v>KFH-OPERATIONS DEPARTMENT</v>
      </c>
      <c r="F8474" t="str">
        <f t="shared" si="3452"/>
        <v>IBG</v>
      </c>
      <c r="G8474" t="str">
        <f t="shared" si="3463"/>
        <v>Refund COSHARE 10</v>
      </c>
      <c r="H8474" s="2">
        <v>1595.05</v>
      </c>
      <c r="I8474" t="str">
        <f>"KHAIRUL ANNUAR BIN MOHD SALLEH"</f>
        <v>KHAIRUL ANNUAR BIN MOHD SALLEH</v>
      </c>
      <c r="J8474" t="str">
        <f t="shared" si="3441"/>
        <v>BANK ISLAM BHD</v>
      </c>
      <c r="K8474" t="str">
        <f>"03072020767054"</f>
        <v>03072020767054</v>
      </c>
      <c r="L8474" t="str">
        <f t="shared" si="3464"/>
        <v>04-08-2020</v>
      </c>
      <c r="M8474" t="str">
        <f t="shared" si="3464"/>
        <v>04-08-2020</v>
      </c>
      <c r="N8474" t="str">
        <f t="shared" si="3453"/>
        <v>001105018356</v>
      </c>
      <c r="O8474" t="str">
        <f t="shared" si="3454"/>
        <v>MYR</v>
      </c>
      <c r="P8474" t="str">
        <f t="shared" si="3465"/>
        <v>NIL</v>
      </c>
      <c r="Q8474" t="str">
        <f t="shared" si="3465"/>
        <v>NIL</v>
      </c>
      <c r="R8474" t="str">
        <f t="shared" si="3442"/>
        <v>Accepted</v>
      </c>
      <c r="S8474" t="str">
        <f t="shared" si="3455"/>
        <v>Approved</v>
      </c>
      <c r="T8474" t="str">
        <f t="shared" si="3443"/>
        <v>10.20.8.188</v>
      </c>
      <c r="U8474" t="str">
        <f t="shared" si="3456"/>
        <v>AZRAD UMAR BIN SHAARI</v>
      </c>
      <c r="V8474" t="str">
        <f t="shared" si="3457"/>
        <v>FARHANA BINTI MUSTAPA</v>
      </c>
      <c r="W8474" t="str">
        <f t="shared" si="3458"/>
        <v>04-08-2020</v>
      </c>
      <c r="X8474" t="str">
        <f t="shared" si="3459"/>
        <v>RAZIMAH ANSAR AHMAD</v>
      </c>
      <c r="Y8474" t="str">
        <f t="shared" si="3460"/>
        <v>04-08-2020</v>
      </c>
      <c r="Z8474" t="str">
        <f>"COS10200804 350"</f>
        <v>COS10200804 350</v>
      </c>
    </row>
    <row r="8475" spans="1:26" x14ac:dyDescent="0.25">
      <c r="A8475" t="str">
        <f t="shared" si="3461"/>
        <v>04-08-2020 12:28:31</v>
      </c>
      <c r="B8475" t="str">
        <f>"0000802344"</f>
        <v>0000802344</v>
      </c>
      <c r="C8475" t="str">
        <f t="shared" si="3462"/>
        <v>0000802195</v>
      </c>
      <c r="D8475" t="str">
        <f t="shared" si="3450"/>
        <v>73185</v>
      </c>
      <c r="E8475" t="str">
        <f t="shared" si="3451"/>
        <v>KFH-OPERATIONS DEPARTMENT</v>
      </c>
      <c r="F8475" t="str">
        <f t="shared" si="3452"/>
        <v>IBG</v>
      </c>
      <c r="G8475" t="str">
        <f t="shared" si="3463"/>
        <v>Refund COSHARE 10</v>
      </c>
      <c r="H8475" s="2">
        <v>413.8</v>
      </c>
      <c r="I8475" t="str">
        <f>"KHAIRUL AMIN BIN OSMAN"</f>
        <v>KHAIRUL AMIN BIN OSMAN</v>
      </c>
      <c r="J8475" t="str">
        <f t="shared" si="3441"/>
        <v>BANK ISLAM BHD</v>
      </c>
      <c r="K8475" t="str">
        <f>"06028020224400"</f>
        <v>06028020224400</v>
      </c>
      <c r="L8475" t="str">
        <f t="shared" si="3464"/>
        <v>04-08-2020</v>
      </c>
      <c r="M8475" t="str">
        <f t="shared" si="3464"/>
        <v>04-08-2020</v>
      </c>
      <c r="N8475" t="str">
        <f t="shared" si="3453"/>
        <v>001105018356</v>
      </c>
      <c r="O8475" t="str">
        <f t="shared" si="3454"/>
        <v>MYR</v>
      </c>
      <c r="P8475" t="str">
        <f t="shared" si="3465"/>
        <v>NIL</v>
      </c>
      <c r="Q8475" t="str">
        <f t="shared" si="3465"/>
        <v>NIL</v>
      </c>
      <c r="R8475" t="str">
        <f t="shared" si="3442"/>
        <v>Accepted</v>
      </c>
      <c r="S8475" t="str">
        <f t="shared" si="3455"/>
        <v>Approved</v>
      </c>
      <c r="T8475" t="str">
        <f t="shared" si="3443"/>
        <v>10.20.8.188</v>
      </c>
      <c r="U8475" t="str">
        <f t="shared" si="3456"/>
        <v>AZRAD UMAR BIN SHAARI</v>
      </c>
      <c r="V8475" t="str">
        <f t="shared" si="3457"/>
        <v>FARHANA BINTI MUSTAPA</v>
      </c>
      <c r="W8475" t="str">
        <f t="shared" si="3458"/>
        <v>04-08-2020</v>
      </c>
      <c r="X8475" t="str">
        <f t="shared" si="3459"/>
        <v>RAZIMAH ANSAR AHMAD</v>
      </c>
      <c r="Y8475" t="str">
        <f t="shared" si="3460"/>
        <v>04-08-2020</v>
      </c>
      <c r="Z8475" t="str">
        <f>"COS10200804 349"</f>
        <v>COS10200804 349</v>
      </c>
    </row>
    <row r="8476" spans="1:26" x14ac:dyDescent="0.25">
      <c r="A8476" t="str">
        <f t="shared" si="3461"/>
        <v>04-08-2020 12:28:31</v>
      </c>
      <c r="B8476" t="str">
        <f>"0000802343"</f>
        <v>0000802343</v>
      </c>
      <c r="C8476" t="str">
        <f t="shared" si="3462"/>
        <v>0000802195</v>
      </c>
      <c r="D8476" t="str">
        <f t="shared" si="3450"/>
        <v>73185</v>
      </c>
      <c r="E8476" t="str">
        <f t="shared" si="3451"/>
        <v>KFH-OPERATIONS DEPARTMENT</v>
      </c>
      <c r="F8476" t="str">
        <f t="shared" si="3452"/>
        <v>IBG</v>
      </c>
      <c r="G8476" t="str">
        <f t="shared" si="3463"/>
        <v>Refund COSHARE 10</v>
      </c>
      <c r="H8476" s="2">
        <v>413.8</v>
      </c>
      <c r="I8476" t="str">
        <f>"KHAIRUL AMIN BIN OSMAN"</f>
        <v>KHAIRUL AMIN BIN OSMAN</v>
      </c>
      <c r="J8476" t="str">
        <f t="shared" si="3441"/>
        <v>BANK ISLAM BHD</v>
      </c>
      <c r="K8476" t="str">
        <f>"06028020224400"</f>
        <v>06028020224400</v>
      </c>
      <c r="L8476" t="str">
        <f t="shared" si="3464"/>
        <v>04-08-2020</v>
      </c>
      <c r="M8476" t="str">
        <f t="shared" si="3464"/>
        <v>04-08-2020</v>
      </c>
      <c r="N8476" t="str">
        <f t="shared" si="3453"/>
        <v>001105018356</v>
      </c>
      <c r="O8476" t="str">
        <f t="shared" si="3454"/>
        <v>MYR</v>
      </c>
      <c r="P8476" t="str">
        <f t="shared" si="3465"/>
        <v>NIL</v>
      </c>
      <c r="Q8476" t="str">
        <f t="shared" si="3465"/>
        <v>NIL</v>
      </c>
      <c r="R8476" t="str">
        <f t="shared" si="3442"/>
        <v>Accepted</v>
      </c>
      <c r="S8476" t="str">
        <f t="shared" si="3455"/>
        <v>Approved</v>
      </c>
      <c r="T8476" t="str">
        <f t="shared" si="3443"/>
        <v>10.20.8.188</v>
      </c>
      <c r="U8476" t="str">
        <f t="shared" si="3456"/>
        <v>AZRAD UMAR BIN SHAARI</v>
      </c>
      <c r="V8476" t="str">
        <f t="shared" si="3457"/>
        <v>FARHANA BINTI MUSTAPA</v>
      </c>
      <c r="W8476" t="str">
        <f t="shared" si="3458"/>
        <v>04-08-2020</v>
      </c>
      <c r="X8476" t="str">
        <f t="shared" si="3459"/>
        <v>RAZIMAH ANSAR AHMAD</v>
      </c>
      <c r="Y8476" t="str">
        <f t="shared" si="3460"/>
        <v>04-08-2020</v>
      </c>
      <c r="Z8476" t="str">
        <f>"COS10200804 348"</f>
        <v>COS10200804 348</v>
      </c>
    </row>
    <row r="8477" spans="1:26" x14ac:dyDescent="0.25">
      <c r="A8477" t="str">
        <f t="shared" si="3461"/>
        <v>04-08-2020 12:28:31</v>
      </c>
      <c r="B8477" t="str">
        <f>"0000802342"</f>
        <v>0000802342</v>
      </c>
      <c r="C8477" t="str">
        <f t="shared" si="3462"/>
        <v>0000802195</v>
      </c>
      <c r="D8477" t="str">
        <f t="shared" si="3450"/>
        <v>73185</v>
      </c>
      <c r="E8477" t="str">
        <f t="shared" si="3451"/>
        <v>KFH-OPERATIONS DEPARTMENT</v>
      </c>
      <c r="F8477" t="str">
        <f t="shared" si="3452"/>
        <v>IBG</v>
      </c>
      <c r="G8477" t="str">
        <f t="shared" si="3463"/>
        <v>Refund COSHARE 10</v>
      </c>
      <c r="H8477" s="2">
        <v>755.55</v>
      </c>
      <c r="I8477" t="str">
        <f>"KHAIRUL AMILIN BIN MOHAMED"</f>
        <v>KHAIRUL AMILIN BIN MOHAMED</v>
      </c>
      <c r="J8477" t="str">
        <f t="shared" si="3441"/>
        <v>BANK ISLAM BHD</v>
      </c>
      <c r="K8477" t="str">
        <f>"14171020477474"</f>
        <v>14171020477474</v>
      </c>
      <c r="L8477" t="str">
        <f t="shared" si="3464"/>
        <v>04-08-2020</v>
      </c>
      <c r="M8477" t="str">
        <f t="shared" si="3464"/>
        <v>04-08-2020</v>
      </c>
      <c r="N8477" t="str">
        <f t="shared" si="3453"/>
        <v>001105018356</v>
      </c>
      <c r="O8477" t="str">
        <f t="shared" si="3454"/>
        <v>MYR</v>
      </c>
      <c r="P8477" t="str">
        <f t="shared" si="3465"/>
        <v>NIL</v>
      </c>
      <c r="Q8477" t="str">
        <f t="shared" si="3465"/>
        <v>NIL</v>
      </c>
      <c r="R8477" t="str">
        <f t="shared" si="3442"/>
        <v>Accepted</v>
      </c>
      <c r="S8477" t="str">
        <f t="shared" si="3455"/>
        <v>Approved</v>
      </c>
      <c r="T8477" t="str">
        <f t="shared" si="3443"/>
        <v>10.20.8.188</v>
      </c>
      <c r="U8477" t="str">
        <f t="shared" si="3456"/>
        <v>AZRAD UMAR BIN SHAARI</v>
      </c>
      <c r="V8477" t="str">
        <f t="shared" si="3457"/>
        <v>FARHANA BINTI MUSTAPA</v>
      </c>
      <c r="W8477" t="str">
        <f t="shared" si="3458"/>
        <v>04-08-2020</v>
      </c>
      <c r="X8477" t="str">
        <f t="shared" si="3459"/>
        <v>RAZIMAH ANSAR AHMAD</v>
      </c>
      <c r="Y8477" t="str">
        <f t="shared" si="3460"/>
        <v>04-08-2020</v>
      </c>
      <c r="Z8477" t="str">
        <f>"COS10200804 347"</f>
        <v>COS10200804 347</v>
      </c>
    </row>
    <row r="8478" spans="1:26" x14ac:dyDescent="0.25">
      <c r="A8478" t="str">
        <f t="shared" si="3461"/>
        <v>04-08-2020 12:28:31</v>
      </c>
      <c r="B8478" t="str">
        <f>"0000802341"</f>
        <v>0000802341</v>
      </c>
      <c r="C8478" t="str">
        <f t="shared" si="3462"/>
        <v>0000802195</v>
      </c>
      <c r="D8478" t="str">
        <f t="shared" si="3450"/>
        <v>73185</v>
      </c>
      <c r="E8478" t="str">
        <f t="shared" si="3451"/>
        <v>KFH-OPERATIONS DEPARTMENT</v>
      </c>
      <c r="F8478" t="str">
        <f t="shared" si="3452"/>
        <v>IBG</v>
      </c>
      <c r="G8478" t="str">
        <f t="shared" si="3463"/>
        <v>Refund COSHARE 10</v>
      </c>
      <c r="H8478" s="2">
        <v>797.55</v>
      </c>
      <c r="I8478" t="str">
        <f>"KHAIRUL ADHA BIN ISHAK"</f>
        <v>KHAIRUL ADHA BIN ISHAK</v>
      </c>
      <c r="J8478" t="str">
        <f t="shared" si="3441"/>
        <v>BANK ISLAM BHD</v>
      </c>
      <c r="K8478" t="str">
        <f>"12122020096734"</f>
        <v>12122020096734</v>
      </c>
      <c r="L8478" t="str">
        <f t="shared" si="3464"/>
        <v>04-08-2020</v>
      </c>
      <c r="M8478" t="str">
        <f t="shared" si="3464"/>
        <v>04-08-2020</v>
      </c>
      <c r="N8478" t="str">
        <f t="shared" si="3453"/>
        <v>001105018356</v>
      </c>
      <c r="O8478" t="str">
        <f t="shared" si="3454"/>
        <v>MYR</v>
      </c>
      <c r="P8478" t="str">
        <f t="shared" si="3465"/>
        <v>NIL</v>
      </c>
      <c r="Q8478" t="str">
        <f t="shared" si="3465"/>
        <v>NIL</v>
      </c>
      <c r="R8478" t="str">
        <f t="shared" si="3442"/>
        <v>Accepted</v>
      </c>
      <c r="S8478" t="str">
        <f t="shared" si="3455"/>
        <v>Approved</v>
      </c>
      <c r="T8478" t="str">
        <f t="shared" si="3443"/>
        <v>10.20.8.188</v>
      </c>
      <c r="U8478" t="str">
        <f t="shared" si="3456"/>
        <v>AZRAD UMAR BIN SHAARI</v>
      </c>
      <c r="V8478" t="str">
        <f t="shared" si="3457"/>
        <v>FARHANA BINTI MUSTAPA</v>
      </c>
      <c r="W8478" t="str">
        <f t="shared" si="3458"/>
        <v>04-08-2020</v>
      </c>
      <c r="X8478" t="str">
        <f t="shared" si="3459"/>
        <v>RAZIMAH ANSAR AHMAD</v>
      </c>
      <c r="Y8478" t="str">
        <f t="shared" si="3460"/>
        <v>04-08-2020</v>
      </c>
      <c r="Z8478" t="str">
        <f>"COS10200804 346"</f>
        <v>COS10200804 346</v>
      </c>
    </row>
    <row r="8479" spans="1:26" x14ac:dyDescent="0.25">
      <c r="A8479" t="str">
        <f t="shared" si="3461"/>
        <v>04-08-2020 12:28:31</v>
      </c>
      <c r="B8479" t="str">
        <f>"0000802340"</f>
        <v>0000802340</v>
      </c>
      <c r="C8479" t="str">
        <f t="shared" si="3462"/>
        <v>0000802195</v>
      </c>
      <c r="D8479" t="str">
        <f t="shared" si="3450"/>
        <v>73185</v>
      </c>
      <c r="E8479" t="str">
        <f t="shared" si="3451"/>
        <v>KFH-OPERATIONS DEPARTMENT</v>
      </c>
      <c r="F8479" t="str">
        <f t="shared" si="3452"/>
        <v>IBG</v>
      </c>
      <c r="G8479" t="str">
        <f t="shared" si="3463"/>
        <v>Refund COSHARE 10</v>
      </c>
      <c r="H8479" s="2">
        <v>880</v>
      </c>
      <c r="I8479" t="str">
        <f>"KHAIRUDDIN BIN MUHAMAD"</f>
        <v>KHAIRUDDIN BIN MUHAMAD</v>
      </c>
      <c r="J8479" t="str">
        <f t="shared" si="3441"/>
        <v>BANK ISLAM BHD</v>
      </c>
      <c r="K8479" t="str">
        <f>"06037023287029"</f>
        <v>06037023287029</v>
      </c>
      <c r="L8479" t="str">
        <f t="shared" si="3464"/>
        <v>04-08-2020</v>
      </c>
      <c r="M8479" t="str">
        <f t="shared" si="3464"/>
        <v>04-08-2020</v>
      </c>
      <c r="N8479" t="str">
        <f t="shared" si="3453"/>
        <v>001105018356</v>
      </c>
      <c r="O8479" t="str">
        <f t="shared" si="3454"/>
        <v>MYR</v>
      </c>
      <c r="P8479" t="str">
        <f t="shared" si="3465"/>
        <v>NIL</v>
      </c>
      <c r="Q8479" t="str">
        <f t="shared" si="3465"/>
        <v>NIL</v>
      </c>
      <c r="R8479" t="str">
        <f t="shared" si="3442"/>
        <v>Accepted</v>
      </c>
      <c r="S8479" t="str">
        <f t="shared" si="3455"/>
        <v>Approved</v>
      </c>
      <c r="T8479" t="str">
        <f t="shared" si="3443"/>
        <v>10.20.8.188</v>
      </c>
      <c r="U8479" t="str">
        <f t="shared" si="3456"/>
        <v>AZRAD UMAR BIN SHAARI</v>
      </c>
      <c r="V8479" t="str">
        <f t="shared" si="3457"/>
        <v>FARHANA BINTI MUSTAPA</v>
      </c>
      <c r="W8479" t="str">
        <f t="shared" si="3458"/>
        <v>04-08-2020</v>
      </c>
      <c r="X8479" t="str">
        <f t="shared" si="3459"/>
        <v>RAZIMAH ANSAR AHMAD</v>
      </c>
      <c r="Y8479" t="str">
        <f t="shared" si="3460"/>
        <v>04-08-2020</v>
      </c>
      <c r="Z8479" t="str">
        <f>"COS10200804 345"</f>
        <v>COS10200804 345</v>
      </c>
    </row>
    <row r="8480" spans="1:26" x14ac:dyDescent="0.25">
      <c r="A8480" t="str">
        <f t="shared" si="3461"/>
        <v>04-08-2020 12:28:31</v>
      </c>
      <c r="B8480" t="str">
        <f>"0000802339"</f>
        <v>0000802339</v>
      </c>
      <c r="C8480" t="str">
        <f t="shared" si="3462"/>
        <v>0000802195</v>
      </c>
      <c r="D8480" t="str">
        <f t="shared" si="3450"/>
        <v>73185</v>
      </c>
      <c r="E8480" t="str">
        <f t="shared" si="3451"/>
        <v>KFH-OPERATIONS DEPARTMENT</v>
      </c>
      <c r="F8480" t="str">
        <f t="shared" si="3452"/>
        <v>IBG</v>
      </c>
      <c r="G8480" t="str">
        <f t="shared" si="3463"/>
        <v>Refund COSHARE 10</v>
      </c>
      <c r="H8480" s="2">
        <v>1679</v>
      </c>
      <c r="I8480" t="str">
        <f>"KEMBEK BINTI RAMLEE"</f>
        <v>KEMBEK BINTI RAMLEE</v>
      </c>
      <c r="J8480" t="str">
        <f t="shared" si="3441"/>
        <v>BANK ISLAM BHD</v>
      </c>
      <c r="K8480" t="str">
        <f>"01108022924849"</f>
        <v>01108022924849</v>
      </c>
      <c r="L8480" t="str">
        <f t="shared" si="3464"/>
        <v>04-08-2020</v>
      </c>
      <c r="M8480" t="str">
        <f t="shared" si="3464"/>
        <v>04-08-2020</v>
      </c>
      <c r="N8480" t="str">
        <f t="shared" si="3453"/>
        <v>001105018356</v>
      </c>
      <c r="O8480" t="str">
        <f t="shared" si="3454"/>
        <v>MYR</v>
      </c>
      <c r="P8480" t="str">
        <f t="shared" si="3465"/>
        <v>NIL</v>
      </c>
      <c r="Q8480" t="str">
        <f t="shared" si="3465"/>
        <v>NIL</v>
      </c>
      <c r="R8480" t="str">
        <f t="shared" si="3442"/>
        <v>Accepted</v>
      </c>
      <c r="S8480" t="str">
        <f t="shared" si="3455"/>
        <v>Approved</v>
      </c>
      <c r="T8480" t="str">
        <f t="shared" si="3443"/>
        <v>10.20.8.188</v>
      </c>
      <c r="U8480" t="str">
        <f t="shared" si="3456"/>
        <v>AZRAD UMAR BIN SHAARI</v>
      </c>
      <c r="V8480" t="str">
        <f t="shared" si="3457"/>
        <v>FARHANA BINTI MUSTAPA</v>
      </c>
      <c r="W8480" t="str">
        <f t="shared" si="3458"/>
        <v>04-08-2020</v>
      </c>
      <c r="X8480" t="str">
        <f t="shared" si="3459"/>
        <v>RAZIMAH ANSAR AHMAD</v>
      </c>
      <c r="Y8480" t="str">
        <f t="shared" si="3460"/>
        <v>04-08-2020</v>
      </c>
      <c r="Z8480" t="str">
        <f>"COS10200804 344"</f>
        <v>COS10200804 344</v>
      </c>
    </row>
    <row r="8481" spans="1:26" x14ac:dyDescent="0.25">
      <c r="A8481" t="str">
        <f t="shared" si="3461"/>
        <v>04-08-2020 12:28:31</v>
      </c>
      <c r="B8481" t="str">
        <f>"0000802338"</f>
        <v>0000802338</v>
      </c>
      <c r="C8481" t="str">
        <f t="shared" si="3462"/>
        <v>0000802195</v>
      </c>
      <c r="D8481" t="str">
        <f t="shared" si="3450"/>
        <v>73185</v>
      </c>
      <c r="E8481" t="str">
        <f t="shared" si="3451"/>
        <v>KFH-OPERATIONS DEPARTMENT</v>
      </c>
      <c r="F8481" t="str">
        <f t="shared" si="3452"/>
        <v>IBG</v>
      </c>
      <c r="G8481" t="str">
        <f t="shared" si="3463"/>
        <v>Refund COSHARE 10</v>
      </c>
      <c r="H8481" s="2">
        <v>587.65</v>
      </c>
      <c r="I8481" t="str">
        <f>"KASMAINI BINTI AB LLAH"</f>
        <v>KASMAINI BINTI AB LLAH</v>
      </c>
      <c r="J8481" t="str">
        <f t="shared" si="3441"/>
        <v>BANK ISLAM BHD</v>
      </c>
      <c r="K8481" t="str">
        <f>"03018020548055"</f>
        <v>03018020548055</v>
      </c>
      <c r="L8481" t="str">
        <f t="shared" si="3464"/>
        <v>04-08-2020</v>
      </c>
      <c r="M8481" t="str">
        <f t="shared" si="3464"/>
        <v>04-08-2020</v>
      </c>
      <c r="N8481" t="str">
        <f t="shared" si="3453"/>
        <v>001105018356</v>
      </c>
      <c r="O8481" t="str">
        <f t="shared" si="3454"/>
        <v>MYR</v>
      </c>
      <c r="P8481" t="str">
        <f t="shared" si="3465"/>
        <v>NIL</v>
      </c>
      <c r="Q8481" t="str">
        <f t="shared" si="3465"/>
        <v>NIL</v>
      </c>
      <c r="R8481" t="str">
        <f t="shared" si="3442"/>
        <v>Accepted</v>
      </c>
      <c r="S8481" t="str">
        <f t="shared" si="3455"/>
        <v>Approved</v>
      </c>
      <c r="T8481" t="str">
        <f t="shared" si="3443"/>
        <v>10.20.8.188</v>
      </c>
      <c r="U8481" t="str">
        <f t="shared" si="3456"/>
        <v>AZRAD UMAR BIN SHAARI</v>
      </c>
      <c r="V8481" t="str">
        <f t="shared" si="3457"/>
        <v>FARHANA BINTI MUSTAPA</v>
      </c>
      <c r="W8481" t="str">
        <f t="shared" si="3458"/>
        <v>04-08-2020</v>
      </c>
      <c r="X8481" t="str">
        <f t="shared" si="3459"/>
        <v>RAZIMAH ANSAR AHMAD</v>
      </c>
      <c r="Y8481" t="str">
        <f t="shared" si="3460"/>
        <v>04-08-2020</v>
      </c>
      <c r="Z8481" t="str">
        <f>"COS10200804 343"</f>
        <v>COS10200804 343</v>
      </c>
    </row>
    <row r="8482" spans="1:26" x14ac:dyDescent="0.25">
      <c r="A8482" t="str">
        <f t="shared" si="3461"/>
        <v>04-08-2020 12:28:31</v>
      </c>
      <c r="B8482" t="str">
        <f>"0000802337"</f>
        <v>0000802337</v>
      </c>
      <c r="C8482" t="str">
        <f t="shared" si="3462"/>
        <v>0000802195</v>
      </c>
      <c r="D8482" t="str">
        <f t="shared" si="3450"/>
        <v>73185</v>
      </c>
      <c r="E8482" t="str">
        <f t="shared" si="3451"/>
        <v>KFH-OPERATIONS DEPARTMENT</v>
      </c>
      <c r="F8482" t="str">
        <f t="shared" si="3452"/>
        <v>IBG</v>
      </c>
      <c r="G8482" t="str">
        <f t="shared" si="3463"/>
        <v>Refund COSHARE 10</v>
      </c>
      <c r="H8482" s="2">
        <v>135</v>
      </c>
      <c r="I8482" t="str">
        <f>"KAMILAH BINTI HUSSEIN"</f>
        <v>KAMILAH BINTI HUSSEIN</v>
      </c>
      <c r="J8482" t="str">
        <f t="shared" ref="J8482:J8545" si="3466">"BANK ISLAM BHD"</f>
        <v>BANK ISLAM BHD</v>
      </c>
      <c r="K8482" t="str">
        <f>"03018020727940"</f>
        <v>03018020727940</v>
      </c>
      <c r="L8482" t="str">
        <f t="shared" si="3464"/>
        <v>04-08-2020</v>
      </c>
      <c r="M8482" t="str">
        <f t="shared" si="3464"/>
        <v>04-08-2020</v>
      </c>
      <c r="N8482" t="str">
        <f t="shared" si="3453"/>
        <v>001105018356</v>
      </c>
      <c r="O8482" t="str">
        <f t="shared" si="3454"/>
        <v>MYR</v>
      </c>
      <c r="P8482" t="str">
        <f t="shared" si="3465"/>
        <v>NIL</v>
      </c>
      <c r="Q8482" t="str">
        <f t="shared" si="3465"/>
        <v>NIL</v>
      </c>
      <c r="R8482" t="str">
        <f t="shared" ref="R8482:R8545" si="3467">"Accepted"</f>
        <v>Accepted</v>
      </c>
      <c r="S8482" t="str">
        <f t="shared" si="3455"/>
        <v>Approved</v>
      </c>
      <c r="T8482" t="str">
        <f t="shared" ref="T8482:T8545" si="3468">"10.20.8.188"</f>
        <v>10.20.8.188</v>
      </c>
      <c r="U8482" t="str">
        <f t="shared" si="3456"/>
        <v>AZRAD UMAR BIN SHAARI</v>
      </c>
      <c r="V8482" t="str">
        <f t="shared" si="3457"/>
        <v>FARHANA BINTI MUSTAPA</v>
      </c>
      <c r="W8482" t="str">
        <f t="shared" si="3458"/>
        <v>04-08-2020</v>
      </c>
      <c r="X8482" t="str">
        <f t="shared" si="3459"/>
        <v>RAZIMAH ANSAR AHMAD</v>
      </c>
      <c r="Y8482" t="str">
        <f t="shared" si="3460"/>
        <v>04-08-2020</v>
      </c>
      <c r="Z8482" t="str">
        <f>"COS10200804 342"</f>
        <v>COS10200804 342</v>
      </c>
    </row>
    <row r="8483" spans="1:26" x14ac:dyDescent="0.25">
      <c r="A8483" t="str">
        <f t="shared" si="3461"/>
        <v>04-08-2020 12:28:31</v>
      </c>
      <c r="B8483" t="str">
        <f>"0000802336"</f>
        <v>0000802336</v>
      </c>
      <c r="C8483" t="str">
        <f t="shared" si="3462"/>
        <v>0000802195</v>
      </c>
      <c r="D8483" t="str">
        <f t="shared" si="3450"/>
        <v>73185</v>
      </c>
      <c r="E8483" t="str">
        <f t="shared" si="3451"/>
        <v>KFH-OPERATIONS DEPARTMENT</v>
      </c>
      <c r="F8483" t="str">
        <f t="shared" si="3452"/>
        <v>IBG</v>
      </c>
      <c r="G8483" t="str">
        <f t="shared" si="3463"/>
        <v>Refund COSHARE 10</v>
      </c>
      <c r="H8483" s="2">
        <v>254.05</v>
      </c>
      <c r="I8483" t="str">
        <f>"KAMARUZZAMAN BIN ARIS"</f>
        <v>KAMARUZZAMAN BIN ARIS</v>
      </c>
      <c r="J8483" t="str">
        <f t="shared" si="3466"/>
        <v>BANK ISLAM BHD</v>
      </c>
      <c r="K8483" t="str">
        <f>"02020020070230"</f>
        <v>02020020070230</v>
      </c>
      <c r="L8483" t="str">
        <f t="shared" si="3464"/>
        <v>04-08-2020</v>
      </c>
      <c r="M8483" t="str">
        <f t="shared" si="3464"/>
        <v>04-08-2020</v>
      </c>
      <c r="N8483" t="str">
        <f t="shared" si="3453"/>
        <v>001105018356</v>
      </c>
      <c r="O8483" t="str">
        <f t="shared" si="3454"/>
        <v>MYR</v>
      </c>
      <c r="P8483" t="str">
        <f t="shared" si="3465"/>
        <v>NIL</v>
      </c>
      <c r="Q8483" t="str">
        <f t="shared" si="3465"/>
        <v>NIL</v>
      </c>
      <c r="R8483" t="str">
        <f t="shared" si="3467"/>
        <v>Accepted</v>
      </c>
      <c r="S8483" t="str">
        <f t="shared" si="3455"/>
        <v>Approved</v>
      </c>
      <c r="T8483" t="str">
        <f t="shared" si="3468"/>
        <v>10.20.8.188</v>
      </c>
      <c r="U8483" t="str">
        <f t="shared" si="3456"/>
        <v>AZRAD UMAR BIN SHAARI</v>
      </c>
      <c r="V8483" t="str">
        <f t="shared" si="3457"/>
        <v>FARHANA BINTI MUSTAPA</v>
      </c>
      <c r="W8483" t="str">
        <f t="shared" si="3458"/>
        <v>04-08-2020</v>
      </c>
      <c r="X8483" t="str">
        <f t="shared" si="3459"/>
        <v>RAZIMAH ANSAR AHMAD</v>
      </c>
      <c r="Y8483" t="str">
        <f t="shared" si="3460"/>
        <v>04-08-2020</v>
      </c>
      <c r="Z8483" t="str">
        <f>"COS10200804 341"</f>
        <v>COS10200804 341</v>
      </c>
    </row>
    <row r="8484" spans="1:26" x14ac:dyDescent="0.25">
      <c r="A8484" t="str">
        <f t="shared" si="3461"/>
        <v>04-08-2020 12:28:31</v>
      </c>
      <c r="B8484" t="str">
        <f>"0000802335"</f>
        <v>0000802335</v>
      </c>
      <c r="C8484" t="str">
        <f t="shared" si="3462"/>
        <v>0000802195</v>
      </c>
      <c r="D8484" t="str">
        <f t="shared" si="3450"/>
        <v>73185</v>
      </c>
      <c r="E8484" t="str">
        <f t="shared" si="3451"/>
        <v>KFH-OPERATIONS DEPARTMENT</v>
      </c>
      <c r="F8484" t="str">
        <f t="shared" si="3452"/>
        <v>IBG</v>
      </c>
      <c r="G8484" t="str">
        <f t="shared" si="3463"/>
        <v>Refund COSHARE 10</v>
      </c>
      <c r="H8484" s="2">
        <v>1373</v>
      </c>
      <c r="I8484" t="str">
        <f>"KAMARIAH BINTI IBRAHIM"</f>
        <v>KAMARIAH BINTI IBRAHIM</v>
      </c>
      <c r="J8484" t="str">
        <f t="shared" si="3466"/>
        <v>BANK ISLAM BHD</v>
      </c>
      <c r="K8484" t="str">
        <f>"06046020202846"</f>
        <v>06046020202846</v>
      </c>
      <c r="L8484" t="str">
        <f t="shared" si="3464"/>
        <v>04-08-2020</v>
      </c>
      <c r="M8484" t="str">
        <f t="shared" si="3464"/>
        <v>04-08-2020</v>
      </c>
      <c r="N8484" t="str">
        <f t="shared" si="3453"/>
        <v>001105018356</v>
      </c>
      <c r="O8484" t="str">
        <f t="shared" si="3454"/>
        <v>MYR</v>
      </c>
      <c r="P8484" t="str">
        <f t="shared" si="3465"/>
        <v>NIL</v>
      </c>
      <c r="Q8484" t="str">
        <f t="shared" si="3465"/>
        <v>NIL</v>
      </c>
      <c r="R8484" t="str">
        <f t="shared" si="3467"/>
        <v>Accepted</v>
      </c>
      <c r="S8484" t="str">
        <f t="shared" si="3455"/>
        <v>Approved</v>
      </c>
      <c r="T8484" t="str">
        <f t="shared" si="3468"/>
        <v>10.20.8.188</v>
      </c>
      <c r="U8484" t="str">
        <f t="shared" si="3456"/>
        <v>AZRAD UMAR BIN SHAARI</v>
      </c>
      <c r="V8484" t="str">
        <f t="shared" si="3457"/>
        <v>FARHANA BINTI MUSTAPA</v>
      </c>
      <c r="W8484" t="str">
        <f t="shared" si="3458"/>
        <v>04-08-2020</v>
      </c>
      <c r="X8484" t="str">
        <f t="shared" si="3459"/>
        <v>RAZIMAH ANSAR AHMAD</v>
      </c>
      <c r="Y8484" t="str">
        <f t="shared" si="3460"/>
        <v>04-08-2020</v>
      </c>
      <c r="Z8484" t="str">
        <f>"COS10200804 340"</f>
        <v>COS10200804 340</v>
      </c>
    </row>
    <row r="8485" spans="1:26" x14ac:dyDescent="0.25">
      <c r="A8485" t="str">
        <f t="shared" si="3461"/>
        <v>04-08-2020 12:28:31</v>
      </c>
      <c r="B8485" t="str">
        <f>"0000802334"</f>
        <v>0000802334</v>
      </c>
      <c r="C8485" t="str">
        <f t="shared" si="3462"/>
        <v>0000802195</v>
      </c>
      <c r="D8485" t="str">
        <f t="shared" si="3450"/>
        <v>73185</v>
      </c>
      <c r="E8485" t="str">
        <f t="shared" si="3451"/>
        <v>KFH-OPERATIONS DEPARTMENT</v>
      </c>
      <c r="F8485" t="str">
        <f t="shared" si="3452"/>
        <v>IBG</v>
      </c>
      <c r="G8485" t="str">
        <f t="shared" si="3463"/>
        <v>Refund COSHARE 10</v>
      </c>
      <c r="H8485" s="2">
        <v>1070.55</v>
      </c>
      <c r="I8485" t="str">
        <f>"JUSLAN BIN JUMAAT"</f>
        <v>JUSLAN BIN JUMAAT</v>
      </c>
      <c r="J8485" t="str">
        <f t="shared" si="3466"/>
        <v>BANK ISLAM BHD</v>
      </c>
      <c r="K8485" t="str">
        <f>"12122020097318"</f>
        <v>12122020097318</v>
      </c>
      <c r="L8485" t="str">
        <f t="shared" si="3464"/>
        <v>04-08-2020</v>
      </c>
      <c r="M8485" t="str">
        <f t="shared" si="3464"/>
        <v>04-08-2020</v>
      </c>
      <c r="N8485" t="str">
        <f t="shared" si="3453"/>
        <v>001105018356</v>
      </c>
      <c r="O8485" t="str">
        <f t="shared" si="3454"/>
        <v>MYR</v>
      </c>
      <c r="P8485" t="str">
        <f t="shared" si="3465"/>
        <v>NIL</v>
      </c>
      <c r="Q8485" t="str">
        <f t="shared" si="3465"/>
        <v>NIL</v>
      </c>
      <c r="R8485" t="str">
        <f t="shared" si="3467"/>
        <v>Accepted</v>
      </c>
      <c r="S8485" t="str">
        <f t="shared" si="3455"/>
        <v>Approved</v>
      </c>
      <c r="T8485" t="str">
        <f t="shared" si="3468"/>
        <v>10.20.8.188</v>
      </c>
      <c r="U8485" t="str">
        <f t="shared" si="3456"/>
        <v>AZRAD UMAR BIN SHAARI</v>
      </c>
      <c r="V8485" t="str">
        <f t="shared" si="3457"/>
        <v>FARHANA BINTI MUSTAPA</v>
      </c>
      <c r="W8485" t="str">
        <f t="shared" si="3458"/>
        <v>04-08-2020</v>
      </c>
      <c r="X8485" t="str">
        <f t="shared" si="3459"/>
        <v>RAZIMAH ANSAR AHMAD</v>
      </c>
      <c r="Y8485" t="str">
        <f t="shared" si="3460"/>
        <v>04-08-2020</v>
      </c>
      <c r="Z8485" t="str">
        <f>"COS10200804 339"</f>
        <v>COS10200804 339</v>
      </c>
    </row>
    <row r="8486" spans="1:26" x14ac:dyDescent="0.25">
      <c r="A8486" t="str">
        <f t="shared" si="3461"/>
        <v>04-08-2020 12:28:31</v>
      </c>
      <c r="B8486" t="str">
        <f>"0000802333"</f>
        <v>0000802333</v>
      </c>
      <c r="C8486" t="str">
        <f t="shared" si="3462"/>
        <v>0000802195</v>
      </c>
      <c r="D8486" t="str">
        <f t="shared" si="3450"/>
        <v>73185</v>
      </c>
      <c r="E8486" t="str">
        <f t="shared" si="3451"/>
        <v>KFH-OPERATIONS DEPARTMENT</v>
      </c>
      <c r="F8486" t="str">
        <f t="shared" si="3452"/>
        <v>IBG</v>
      </c>
      <c r="G8486" t="str">
        <f t="shared" si="3463"/>
        <v>Refund COSHARE 10</v>
      </c>
      <c r="H8486" s="2">
        <v>797.55</v>
      </c>
      <c r="I8486" t="str">
        <f>"JUNAIDI BIN IDRIS"</f>
        <v>JUNAIDI BIN IDRIS</v>
      </c>
      <c r="J8486" t="str">
        <f t="shared" si="3466"/>
        <v>BANK ISLAM BHD</v>
      </c>
      <c r="K8486" t="str">
        <f>"06028020387661"</f>
        <v>06028020387661</v>
      </c>
      <c r="L8486" t="str">
        <f t="shared" si="3464"/>
        <v>04-08-2020</v>
      </c>
      <c r="M8486" t="str">
        <f t="shared" si="3464"/>
        <v>04-08-2020</v>
      </c>
      <c r="N8486" t="str">
        <f t="shared" si="3453"/>
        <v>001105018356</v>
      </c>
      <c r="O8486" t="str">
        <f t="shared" si="3454"/>
        <v>MYR</v>
      </c>
      <c r="P8486" t="str">
        <f t="shared" si="3465"/>
        <v>NIL</v>
      </c>
      <c r="Q8486" t="str">
        <f t="shared" si="3465"/>
        <v>NIL</v>
      </c>
      <c r="R8486" t="str">
        <f t="shared" si="3467"/>
        <v>Accepted</v>
      </c>
      <c r="S8486" t="str">
        <f t="shared" si="3455"/>
        <v>Approved</v>
      </c>
      <c r="T8486" t="str">
        <f t="shared" si="3468"/>
        <v>10.20.8.188</v>
      </c>
      <c r="U8486" t="str">
        <f t="shared" si="3456"/>
        <v>AZRAD UMAR BIN SHAARI</v>
      </c>
      <c r="V8486" t="str">
        <f t="shared" si="3457"/>
        <v>FARHANA BINTI MUSTAPA</v>
      </c>
      <c r="W8486" t="str">
        <f t="shared" si="3458"/>
        <v>04-08-2020</v>
      </c>
      <c r="X8486" t="str">
        <f t="shared" si="3459"/>
        <v>RAZIMAH ANSAR AHMAD</v>
      </c>
      <c r="Y8486" t="str">
        <f t="shared" si="3460"/>
        <v>04-08-2020</v>
      </c>
      <c r="Z8486" t="str">
        <f>"COS10200804 338"</f>
        <v>COS10200804 338</v>
      </c>
    </row>
    <row r="8487" spans="1:26" x14ac:dyDescent="0.25">
      <c r="A8487" t="str">
        <f t="shared" si="3461"/>
        <v>04-08-2020 12:28:31</v>
      </c>
      <c r="B8487" t="str">
        <f>"0000802332"</f>
        <v>0000802332</v>
      </c>
      <c r="C8487" t="str">
        <f t="shared" si="3462"/>
        <v>0000802195</v>
      </c>
      <c r="D8487" t="str">
        <f t="shared" si="3450"/>
        <v>73185</v>
      </c>
      <c r="E8487" t="str">
        <f t="shared" si="3451"/>
        <v>KFH-OPERATIONS DEPARTMENT</v>
      </c>
      <c r="F8487" t="str">
        <f t="shared" si="3452"/>
        <v>IBG</v>
      </c>
      <c r="G8487" t="str">
        <f t="shared" si="3463"/>
        <v>Refund COSHARE 10</v>
      </c>
      <c r="H8487" s="2">
        <v>797.55</v>
      </c>
      <c r="I8487" t="str">
        <f>"JUNAIDI BIN IDRIS"</f>
        <v>JUNAIDI BIN IDRIS</v>
      </c>
      <c r="J8487" t="str">
        <f t="shared" si="3466"/>
        <v>BANK ISLAM BHD</v>
      </c>
      <c r="K8487" t="str">
        <f>"06028020387661"</f>
        <v>06028020387661</v>
      </c>
      <c r="L8487" t="str">
        <f t="shared" ref="L8487:M8506" si="3469">"04-08-2020"</f>
        <v>04-08-2020</v>
      </c>
      <c r="M8487" t="str">
        <f t="shared" si="3469"/>
        <v>04-08-2020</v>
      </c>
      <c r="N8487" t="str">
        <f t="shared" si="3453"/>
        <v>001105018356</v>
      </c>
      <c r="O8487" t="str">
        <f t="shared" si="3454"/>
        <v>MYR</v>
      </c>
      <c r="P8487" t="str">
        <f t="shared" ref="P8487:Q8506" si="3470">"NIL"</f>
        <v>NIL</v>
      </c>
      <c r="Q8487" t="str">
        <f t="shared" si="3470"/>
        <v>NIL</v>
      </c>
      <c r="R8487" t="str">
        <f t="shared" si="3467"/>
        <v>Accepted</v>
      </c>
      <c r="S8487" t="str">
        <f t="shared" si="3455"/>
        <v>Approved</v>
      </c>
      <c r="T8487" t="str">
        <f t="shared" si="3468"/>
        <v>10.20.8.188</v>
      </c>
      <c r="U8487" t="str">
        <f t="shared" si="3456"/>
        <v>AZRAD UMAR BIN SHAARI</v>
      </c>
      <c r="V8487" t="str">
        <f t="shared" si="3457"/>
        <v>FARHANA BINTI MUSTAPA</v>
      </c>
      <c r="W8487" t="str">
        <f t="shared" si="3458"/>
        <v>04-08-2020</v>
      </c>
      <c r="X8487" t="str">
        <f t="shared" si="3459"/>
        <v>RAZIMAH ANSAR AHMAD</v>
      </c>
      <c r="Y8487" t="str">
        <f t="shared" si="3460"/>
        <v>04-08-2020</v>
      </c>
      <c r="Z8487" t="str">
        <f>"COS10200804 337"</f>
        <v>COS10200804 337</v>
      </c>
    </row>
    <row r="8488" spans="1:26" x14ac:dyDescent="0.25">
      <c r="A8488" t="str">
        <f t="shared" ref="A8488:A8519" si="3471">"04-08-2020 12:28:31"</f>
        <v>04-08-2020 12:28:31</v>
      </c>
      <c r="B8488" t="str">
        <f>"0000802331"</f>
        <v>0000802331</v>
      </c>
      <c r="C8488" t="str">
        <f t="shared" ref="C8488:C8519" si="3472">"0000802195"</f>
        <v>0000802195</v>
      </c>
      <c r="D8488" t="str">
        <f t="shared" si="3450"/>
        <v>73185</v>
      </c>
      <c r="E8488" t="str">
        <f t="shared" si="3451"/>
        <v>KFH-OPERATIONS DEPARTMENT</v>
      </c>
      <c r="F8488" t="str">
        <f t="shared" si="3452"/>
        <v>IBG</v>
      </c>
      <c r="G8488" t="str">
        <f t="shared" si="3463"/>
        <v>Refund COSHARE 10</v>
      </c>
      <c r="H8488" s="2">
        <v>1460.75</v>
      </c>
      <c r="I8488" t="str">
        <f>"JULITA BINTI MOHD KASIM"</f>
        <v>JULITA BINTI MOHD KASIM</v>
      </c>
      <c r="J8488" t="str">
        <f t="shared" si="3466"/>
        <v>BANK ISLAM BHD</v>
      </c>
      <c r="K8488" t="str">
        <f>"03072020065975"</f>
        <v>03072020065975</v>
      </c>
      <c r="L8488" t="str">
        <f t="shared" si="3469"/>
        <v>04-08-2020</v>
      </c>
      <c r="M8488" t="str">
        <f t="shared" si="3469"/>
        <v>04-08-2020</v>
      </c>
      <c r="N8488" t="str">
        <f t="shared" si="3453"/>
        <v>001105018356</v>
      </c>
      <c r="O8488" t="str">
        <f t="shared" si="3454"/>
        <v>MYR</v>
      </c>
      <c r="P8488" t="str">
        <f t="shared" si="3470"/>
        <v>NIL</v>
      </c>
      <c r="Q8488" t="str">
        <f t="shared" si="3470"/>
        <v>NIL</v>
      </c>
      <c r="R8488" t="str">
        <f t="shared" si="3467"/>
        <v>Accepted</v>
      </c>
      <c r="S8488" t="str">
        <f t="shared" si="3455"/>
        <v>Approved</v>
      </c>
      <c r="T8488" t="str">
        <f t="shared" si="3468"/>
        <v>10.20.8.188</v>
      </c>
      <c r="U8488" t="str">
        <f t="shared" si="3456"/>
        <v>AZRAD UMAR BIN SHAARI</v>
      </c>
      <c r="V8488" t="str">
        <f t="shared" si="3457"/>
        <v>FARHANA BINTI MUSTAPA</v>
      </c>
      <c r="W8488" t="str">
        <f t="shared" si="3458"/>
        <v>04-08-2020</v>
      </c>
      <c r="X8488" t="str">
        <f t="shared" si="3459"/>
        <v>RAZIMAH ANSAR AHMAD</v>
      </c>
      <c r="Y8488" t="str">
        <f t="shared" si="3460"/>
        <v>04-08-2020</v>
      </c>
      <c r="Z8488" t="str">
        <f>"COS10200804 336"</f>
        <v>COS10200804 336</v>
      </c>
    </row>
    <row r="8489" spans="1:26" x14ac:dyDescent="0.25">
      <c r="A8489" t="str">
        <f t="shared" si="3471"/>
        <v>04-08-2020 12:28:31</v>
      </c>
      <c r="B8489" t="str">
        <f>"0000802330"</f>
        <v>0000802330</v>
      </c>
      <c r="C8489" t="str">
        <f t="shared" si="3472"/>
        <v>0000802195</v>
      </c>
      <c r="D8489" t="str">
        <f t="shared" si="3450"/>
        <v>73185</v>
      </c>
      <c r="E8489" t="str">
        <f t="shared" si="3451"/>
        <v>KFH-OPERATIONS DEPARTMENT</v>
      </c>
      <c r="F8489" t="str">
        <f t="shared" si="3452"/>
        <v>IBG</v>
      </c>
      <c r="G8489" t="str">
        <f t="shared" si="3463"/>
        <v>Refund COSHARE 10</v>
      </c>
      <c r="H8489" s="2">
        <v>67</v>
      </c>
      <c r="I8489" t="str">
        <f>"JULISMANORNIRA BINTI AHMAD JASNIN"</f>
        <v>JULISMANORNIRA BINTI AHMAD JASNIN</v>
      </c>
      <c r="J8489" t="str">
        <f t="shared" si="3466"/>
        <v>BANK ISLAM BHD</v>
      </c>
      <c r="K8489" t="str">
        <f>"06046020069813"</f>
        <v>06046020069813</v>
      </c>
      <c r="L8489" t="str">
        <f t="shared" si="3469"/>
        <v>04-08-2020</v>
      </c>
      <c r="M8489" t="str">
        <f t="shared" si="3469"/>
        <v>04-08-2020</v>
      </c>
      <c r="N8489" t="str">
        <f t="shared" si="3453"/>
        <v>001105018356</v>
      </c>
      <c r="O8489" t="str">
        <f t="shared" si="3454"/>
        <v>MYR</v>
      </c>
      <c r="P8489" t="str">
        <f t="shared" si="3470"/>
        <v>NIL</v>
      </c>
      <c r="Q8489" t="str">
        <f t="shared" si="3470"/>
        <v>NIL</v>
      </c>
      <c r="R8489" t="str">
        <f t="shared" si="3467"/>
        <v>Accepted</v>
      </c>
      <c r="S8489" t="str">
        <f t="shared" si="3455"/>
        <v>Approved</v>
      </c>
      <c r="T8489" t="str">
        <f t="shared" si="3468"/>
        <v>10.20.8.188</v>
      </c>
      <c r="U8489" t="str">
        <f t="shared" si="3456"/>
        <v>AZRAD UMAR BIN SHAARI</v>
      </c>
      <c r="V8489" t="str">
        <f t="shared" si="3457"/>
        <v>FARHANA BINTI MUSTAPA</v>
      </c>
      <c r="W8489" t="str">
        <f t="shared" si="3458"/>
        <v>04-08-2020</v>
      </c>
      <c r="X8489" t="str">
        <f t="shared" si="3459"/>
        <v>RAZIMAH ANSAR AHMAD</v>
      </c>
      <c r="Y8489" t="str">
        <f t="shared" si="3460"/>
        <v>04-08-2020</v>
      </c>
      <c r="Z8489" t="str">
        <f>"COS10200804 335"</f>
        <v>COS10200804 335</v>
      </c>
    </row>
    <row r="8490" spans="1:26" x14ac:dyDescent="0.25">
      <c r="A8490" t="str">
        <f t="shared" si="3471"/>
        <v>04-08-2020 12:28:31</v>
      </c>
      <c r="B8490" t="str">
        <f>"0000802329"</f>
        <v>0000802329</v>
      </c>
      <c r="C8490" t="str">
        <f t="shared" si="3472"/>
        <v>0000802195</v>
      </c>
      <c r="D8490" t="str">
        <f t="shared" si="3450"/>
        <v>73185</v>
      </c>
      <c r="E8490" t="str">
        <f t="shared" si="3451"/>
        <v>KFH-OPERATIONS DEPARTMENT</v>
      </c>
      <c r="F8490" t="str">
        <f t="shared" si="3452"/>
        <v>IBG</v>
      </c>
      <c r="G8490" t="str">
        <f t="shared" si="3463"/>
        <v>Refund COSHARE 10</v>
      </c>
      <c r="H8490" s="2">
        <v>420</v>
      </c>
      <c r="I8490" t="str">
        <f>"JULINAH BINTI BALADAN"</f>
        <v>JULINAH BINTI BALADAN</v>
      </c>
      <c r="J8490" t="str">
        <f t="shared" si="3466"/>
        <v>BANK ISLAM BHD</v>
      </c>
      <c r="K8490" t="str">
        <f>"10034020122924"</f>
        <v>10034020122924</v>
      </c>
      <c r="L8490" t="str">
        <f t="shared" si="3469"/>
        <v>04-08-2020</v>
      </c>
      <c r="M8490" t="str">
        <f t="shared" si="3469"/>
        <v>04-08-2020</v>
      </c>
      <c r="N8490" t="str">
        <f t="shared" si="3453"/>
        <v>001105018356</v>
      </c>
      <c r="O8490" t="str">
        <f t="shared" si="3454"/>
        <v>MYR</v>
      </c>
      <c r="P8490" t="str">
        <f t="shared" si="3470"/>
        <v>NIL</v>
      </c>
      <c r="Q8490" t="str">
        <f t="shared" si="3470"/>
        <v>NIL</v>
      </c>
      <c r="R8490" t="str">
        <f t="shared" si="3467"/>
        <v>Accepted</v>
      </c>
      <c r="S8490" t="str">
        <f t="shared" si="3455"/>
        <v>Approved</v>
      </c>
      <c r="T8490" t="str">
        <f t="shared" si="3468"/>
        <v>10.20.8.188</v>
      </c>
      <c r="U8490" t="str">
        <f t="shared" si="3456"/>
        <v>AZRAD UMAR BIN SHAARI</v>
      </c>
      <c r="V8490" t="str">
        <f t="shared" si="3457"/>
        <v>FARHANA BINTI MUSTAPA</v>
      </c>
      <c r="W8490" t="str">
        <f t="shared" si="3458"/>
        <v>04-08-2020</v>
      </c>
      <c r="X8490" t="str">
        <f t="shared" si="3459"/>
        <v>RAZIMAH ANSAR AHMAD</v>
      </c>
      <c r="Y8490" t="str">
        <f t="shared" si="3460"/>
        <v>04-08-2020</v>
      </c>
      <c r="Z8490" t="str">
        <f>"COS10200804 334"</f>
        <v>COS10200804 334</v>
      </c>
    </row>
    <row r="8491" spans="1:26" x14ac:dyDescent="0.25">
      <c r="A8491" t="str">
        <f t="shared" si="3471"/>
        <v>04-08-2020 12:28:31</v>
      </c>
      <c r="B8491" t="str">
        <f>"0000802328"</f>
        <v>0000802328</v>
      </c>
      <c r="C8491" t="str">
        <f t="shared" si="3472"/>
        <v>0000802195</v>
      </c>
      <c r="D8491" t="str">
        <f t="shared" si="3450"/>
        <v>73185</v>
      </c>
      <c r="E8491" t="str">
        <f t="shared" si="3451"/>
        <v>KFH-OPERATIONS DEPARTMENT</v>
      </c>
      <c r="F8491" t="str">
        <f t="shared" si="3452"/>
        <v>IBG</v>
      </c>
      <c r="G8491" t="str">
        <f t="shared" si="3463"/>
        <v>Refund COSHARE 10</v>
      </c>
      <c r="H8491" s="2">
        <v>603.4</v>
      </c>
      <c r="I8491" t="str">
        <f>"JULIA BINTI ZINAL"</f>
        <v>JULIA BINTI ZINAL</v>
      </c>
      <c r="J8491" t="str">
        <f t="shared" si="3466"/>
        <v>BANK ISLAM BHD</v>
      </c>
      <c r="K8491" t="str">
        <f>"01023020119840"</f>
        <v>01023020119840</v>
      </c>
      <c r="L8491" t="str">
        <f t="shared" si="3469"/>
        <v>04-08-2020</v>
      </c>
      <c r="M8491" t="str">
        <f t="shared" si="3469"/>
        <v>04-08-2020</v>
      </c>
      <c r="N8491" t="str">
        <f t="shared" si="3453"/>
        <v>001105018356</v>
      </c>
      <c r="O8491" t="str">
        <f t="shared" si="3454"/>
        <v>MYR</v>
      </c>
      <c r="P8491" t="str">
        <f t="shared" si="3470"/>
        <v>NIL</v>
      </c>
      <c r="Q8491" t="str">
        <f t="shared" si="3470"/>
        <v>NIL</v>
      </c>
      <c r="R8491" t="str">
        <f t="shared" si="3467"/>
        <v>Accepted</v>
      </c>
      <c r="S8491" t="str">
        <f t="shared" si="3455"/>
        <v>Approved</v>
      </c>
      <c r="T8491" t="str">
        <f t="shared" si="3468"/>
        <v>10.20.8.188</v>
      </c>
      <c r="U8491" t="str">
        <f t="shared" si="3456"/>
        <v>AZRAD UMAR BIN SHAARI</v>
      </c>
      <c r="V8491" t="str">
        <f t="shared" si="3457"/>
        <v>FARHANA BINTI MUSTAPA</v>
      </c>
      <c r="W8491" t="str">
        <f t="shared" si="3458"/>
        <v>04-08-2020</v>
      </c>
      <c r="X8491" t="str">
        <f t="shared" si="3459"/>
        <v>RAZIMAH ANSAR AHMAD</v>
      </c>
      <c r="Y8491" t="str">
        <f t="shared" si="3460"/>
        <v>04-08-2020</v>
      </c>
      <c r="Z8491" t="str">
        <f>"COS10200804 333"</f>
        <v>COS10200804 333</v>
      </c>
    </row>
    <row r="8492" spans="1:26" x14ac:dyDescent="0.25">
      <c r="A8492" t="str">
        <f t="shared" si="3471"/>
        <v>04-08-2020 12:28:31</v>
      </c>
      <c r="B8492" t="str">
        <f>"0000802327"</f>
        <v>0000802327</v>
      </c>
      <c r="C8492" t="str">
        <f t="shared" si="3472"/>
        <v>0000802195</v>
      </c>
      <c r="D8492" t="str">
        <f t="shared" si="3450"/>
        <v>73185</v>
      </c>
      <c r="E8492" t="str">
        <f t="shared" si="3451"/>
        <v>KFH-OPERATIONS DEPARTMENT</v>
      </c>
      <c r="F8492" t="str">
        <f t="shared" si="3452"/>
        <v>IBG</v>
      </c>
      <c r="G8492" t="str">
        <f t="shared" si="3463"/>
        <v>Refund COSHARE 10</v>
      </c>
      <c r="H8492" s="2">
        <v>1007.4</v>
      </c>
      <c r="I8492" t="str">
        <f>"JOHARI BIN LAHAT"</f>
        <v>JOHARI BIN LAHAT</v>
      </c>
      <c r="J8492" t="str">
        <f t="shared" si="3466"/>
        <v>BANK ISLAM BHD</v>
      </c>
      <c r="K8492" t="str">
        <f>"10016020219225"</f>
        <v>10016020219225</v>
      </c>
      <c r="L8492" t="str">
        <f t="shared" si="3469"/>
        <v>04-08-2020</v>
      </c>
      <c r="M8492" t="str">
        <f t="shared" si="3469"/>
        <v>04-08-2020</v>
      </c>
      <c r="N8492" t="str">
        <f t="shared" si="3453"/>
        <v>001105018356</v>
      </c>
      <c r="O8492" t="str">
        <f t="shared" si="3454"/>
        <v>MYR</v>
      </c>
      <c r="P8492" t="str">
        <f t="shared" si="3470"/>
        <v>NIL</v>
      </c>
      <c r="Q8492" t="str">
        <f t="shared" si="3470"/>
        <v>NIL</v>
      </c>
      <c r="R8492" t="str">
        <f t="shared" si="3467"/>
        <v>Accepted</v>
      </c>
      <c r="S8492" t="str">
        <f t="shared" si="3455"/>
        <v>Approved</v>
      </c>
      <c r="T8492" t="str">
        <f t="shared" si="3468"/>
        <v>10.20.8.188</v>
      </c>
      <c r="U8492" t="str">
        <f t="shared" si="3456"/>
        <v>AZRAD UMAR BIN SHAARI</v>
      </c>
      <c r="V8492" t="str">
        <f t="shared" si="3457"/>
        <v>FARHANA BINTI MUSTAPA</v>
      </c>
      <c r="W8492" t="str">
        <f t="shared" si="3458"/>
        <v>04-08-2020</v>
      </c>
      <c r="X8492" t="str">
        <f t="shared" si="3459"/>
        <v>RAZIMAH ANSAR AHMAD</v>
      </c>
      <c r="Y8492" t="str">
        <f t="shared" si="3460"/>
        <v>04-08-2020</v>
      </c>
      <c r="Z8492" t="str">
        <f>"COS10200804 332"</f>
        <v>COS10200804 332</v>
      </c>
    </row>
    <row r="8493" spans="1:26" x14ac:dyDescent="0.25">
      <c r="A8493" t="str">
        <f t="shared" si="3471"/>
        <v>04-08-2020 12:28:31</v>
      </c>
      <c r="B8493" t="str">
        <f>"0000802326"</f>
        <v>0000802326</v>
      </c>
      <c r="C8493" t="str">
        <f t="shared" si="3472"/>
        <v>0000802195</v>
      </c>
      <c r="D8493" t="str">
        <f t="shared" si="3450"/>
        <v>73185</v>
      </c>
      <c r="E8493" t="str">
        <f t="shared" si="3451"/>
        <v>KFH-OPERATIONS DEPARTMENT</v>
      </c>
      <c r="F8493" t="str">
        <f t="shared" si="3452"/>
        <v>IBG</v>
      </c>
      <c r="G8493" t="str">
        <f t="shared" si="3463"/>
        <v>Refund COSHARE 10</v>
      </c>
      <c r="H8493" s="2">
        <v>607</v>
      </c>
      <c r="I8493" t="str">
        <f>"JEMADI BIN MOBUN"</f>
        <v>JEMADI BIN MOBUN</v>
      </c>
      <c r="J8493" t="str">
        <f t="shared" si="3466"/>
        <v>BANK ISLAM BHD</v>
      </c>
      <c r="K8493" t="str">
        <f>"11040020305016"</f>
        <v>11040020305016</v>
      </c>
      <c r="L8493" t="str">
        <f t="shared" si="3469"/>
        <v>04-08-2020</v>
      </c>
      <c r="M8493" t="str">
        <f t="shared" si="3469"/>
        <v>04-08-2020</v>
      </c>
      <c r="N8493" t="str">
        <f t="shared" si="3453"/>
        <v>001105018356</v>
      </c>
      <c r="O8493" t="str">
        <f t="shared" si="3454"/>
        <v>MYR</v>
      </c>
      <c r="P8493" t="str">
        <f t="shared" si="3470"/>
        <v>NIL</v>
      </c>
      <c r="Q8493" t="str">
        <f t="shared" si="3470"/>
        <v>NIL</v>
      </c>
      <c r="R8493" t="str">
        <f t="shared" si="3467"/>
        <v>Accepted</v>
      </c>
      <c r="S8493" t="str">
        <f t="shared" si="3455"/>
        <v>Approved</v>
      </c>
      <c r="T8493" t="str">
        <f t="shared" si="3468"/>
        <v>10.20.8.188</v>
      </c>
      <c r="U8493" t="str">
        <f t="shared" si="3456"/>
        <v>AZRAD UMAR BIN SHAARI</v>
      </c>
      <c r="V8493" t="str">
        <f t="shared" si="3457"/>
        <v>FARHANA BINTI MUSTAPA</v>
      </c>
      <c r="W8493" t="str">
        <f t="shared" si="3458"/>
        <v>04-08-2020</v>
      </c>
      <c r="X8493" t="str">
        <f t="shared" si="3459"/>
        <v>RAZIMAH ANSAR AHMAD</v>
      </c>
      <c r="Y8493" t="str">
        <f t="shared" si="3460"/>
        <v>04-08-2020</v>
      </c>
      <c r="Z8493" t="str">
        <f>"COS10200804 331"</f>
        <v>COS10200804 331</v>
      </c>
    </row>
    <row r="8494" spans="1:26" x14ac:dyDescent="0.25">
      <c r="A8494" t="str">
        <f t="shared" si="3471"/>
        <v>04-08-2020 12:28:31</v>
      </c>
      <c r="B8494" t="str">
        <f>"0000802325"</f>
        <v>0000802325</v>
      </c>
      <c r="C8494" t="str">
        <f t="shared" si="3472"/>
        <v>0000802195</v>
      </c>
      <c r="D8494" t="str">
        <f t="shared" si="3450"/>
        <v>73185</v>
      </c>
      <c r="E8494" t="str">
        <f t="shared" si="3451"/>
        <v>KFH-OPERATIONS DEPARTMENT</v>
      </c>
      <c r="F8494" t="str">
        <f t="shared" si="3452"/>
        <v>IBG</v>
      </c>
      <c r="G8494" t="str">
        <f t="shared" si="3463"/>
        <v>Refund COSHARE 10</v>
      </c>
      <c r="H8494" s="2">
        <v>640.5</v>
      </c>
      <c r="I8494" t="str">
        <f>"JASNIAZURA BINTI MONIR"</f>
        <v>JASNIAZURA BINTI MONIR</v>
      </c>
      <c r="J8494" t="str">
        <f t="shared" si="3466"/>
        <v>BANK ISLAM BHD</v>
      </c>
      <c r="K8494" t="str">
        <f>"08068020225166"</f>
        <v>08068020225166</v>
      </c>
      <c r="L8494" t="str">
        <f t="shared" si="3469"/>
        <v>04-08-2020</v>
      </c>
      <c r="M8494" t="str">
        <f t="shared" si="3469"/>
        <v>04-08-2020</v>
      </c>
      <c r="N8494" t="str">
        <f t="shared" si="3453"/>
        <v>001105018356</v>
      </c>
      <c r="O8494" t="str">
        <f t="shared" si="3454"/>
        <v>MYR</v>
      </c>
      <c r="P8494" t="str">
        <f t="shared" si="3470"/>
        <v>NIL</v>
      </c>
      <c r="Q8494" t="str">
        <f t="shared" si="3470"/>
        <v>NIL</v>
      </c>
      <c r="R8494" t="str">
        <f t="shared" si="3467"/>
        <v>Accepted</v>
      </c>
      <c r="S8494" t="str">
        <f t="shared" si="3455"/>
        <v>Approved</v>
      </c>
      <c r="T8494" t="str">
        <f t="shared" si="3468"/>
        <v>10.20.8.188</v>
      </c>
      <c r="U8494" t="str">
        <f t="shared" si="3456"/>
        <v>AZRAD UMAR BIN SHAARI</v>
      </c>
      <c r="V8494" t="str">
        <f t="shared" si="3457"/>
        <v>FARHANA BINTI MUSTAPA</v>
      </c>
      <c r="W8494" t="str">
        <f t="shared" si="3458"/>
        <v>04-08-2020</v>
      </c>
      <c r="X8494" t="str">
        <f t="shared" si="3459"/>
        <v>RAZIMAH ANSAR AHMAD</v>
      </c>
      <c r="Y8494" t="str">
        <f t="shared" si="3460"/>
        <v>04-08-2020</v>
      </c>
      <c r="Z8494" t="str">
        <f>"COS10200804 330"</f>
        <v>COS10200804 330</v>
      </c>
    </row>
    <row r="8495" spans="1:26" x14ac:dyDescent="0.25">
      <c r="A8495" t="str">
        <f t="shared" si="3471"/>
        <v>04-08-2020 12:28:31</v>
      </c>
      <c r="B8495" t="str">
        <f>"0000802324"</f>
        <v>0000802324</v>
      </c>
      <c r="C8495" t="str">
        <f t="shared" si="3472"/>
        <v>0000802195</v>
      </c>
      <c r="D8495" t="str">
        <f t="shared" si="3450"/>
        <v>73185</v>
      </c>
      <c r="E8495" t="str">
        <f t="shared" si="3451"/>
        <v>KFH-OPERATIONS DEPARTMENT</v>
      </c>
      <c r="F8495" t="str">
        <f t="shared" si="3452"/>
        <v>IBG</v>
      </c>
      <c r="G8495" t="str">
        <f t="shared" si="3463"/>
        <v>Refund COSHARE 10</v>
      </c>
      <c r="H8495" s="2">
        <v>386.2</v>
      </c>
      <c r="I8495" t="str">
        <f>"JAMAL BIN AZALI"</f>
        <v>JAMAL BIN AZALI</v>
      </c>
      <c r="J8495" t="str">
        <f t="shared" si="3466"/>
        <v>BANK ISLAM BHD</v>
      </c>
      <c r="K8495" t="str">
        <f>"01032020228849"</f>
        <v>01032020228849</v>
      </c>
      <c r="L8495" t="str">
        <f t="shared" si="3469"/>
        <v>04-08-2020</v>
      </c>
      <c r="M8495" t="str">
        <f t="shared" si="3469"/>
        <v>04-08-2020</v>
      </c>
      <c r="N8495" t="str">
        <f t="shared" si="3453"/>
        <v>001105018356</v>
      </c>
      <c r="O8495" t="str">
        <f t="shared" si="3454"/>
        <v>MYR</v>
      </c>
      <c r="P8495" t="str">
        <f t="shared" si="3470"/>
        <v>NIL</v>
      </c>
      <c r="Q8495" t="str">
        <f t="shared" si="3470"/>
        <v>NIL</v>
      </c>
      <c r="R8495" t="str">
        <f t="shared" si="3467"/>
        <v>Accepted</v>
      </c>
      <c r="S8495" t="str">
        <f t="shared" si="3455"/>
        <v>Approved</v>
      </c>
      <c r="T8495" t="str">
        <f t="shared" si="3468"/>
        <v>10.20.8.188</v>
      </c>
      <c r="U8495" t="str">
        <f t="shared" si="3456"/>
        <v>AZRAD UMAR BIN SHAARI</v>
      </c>
      <c r="V8495" t="str">
        <f t="shared" si="3457"/>
        <v>FARHANA BINTI MUSTAPA</v>
      </c>
      <c r="W8495" t="str">
        <f t="shared" si="3458"/>
        <v>04-08-2020</v>
      </c>
      <c r="X8495" t="str">
        <f t="shared" si="3459"/>
        <v>RAZIMAH ANSAR AHMAD</v>
      </c>
      <c r="Y8495" t="str">
        <f t="shared" si="3460"/>
        <v>04-08-2020</v>
      </c>
      <c r="Z8495" t="str">
        <f>"COS10200804 329"</f>
        <v>COS10200804 329</v>
      </c>
    </row>
    <row r="8496" spans="1:26" x14ac:dyDescent="0.25">
      <c r="A8496" t="str">
        <f t="shared" si="3471"/>
        <v>04-08-2020 12:28:31</v>
      </c>
      <c r="B8496" t="str">
        <f>"0000802323"</f>
        <v>0000802323</v>
      </c>
      <c r="C8496" t="str">
        <f t="shared" si="3472"/>
        <v>0000802195</v>
      </c>
      <c r="D8496" t="str">
        <f t="shared" si="3450"/>
        <v>73185</v>
      </c>
      <c r="E8496" t="str">
        <f t="shared" si="3451"/>
        <v>KFH-OPERATIONS DEPARTMENT</v>
      </c>
      <c r="F8496" t="str">
        <f t="shared" si="3452"/>
        <v>IBG</v>
      </c>
      <c r="G8496" t="str">
        <f t="shared" si="3463"/>
        <v>Refund COSHARE 10</v>
      </c>
      <c r="H8496" s="2">
        <v>1235.25</v>
      </c>
      <c r="I8496" t="str">
        <f>"IZHAM ISKANDAR BIN IBRAHIM"</f>
        <v>IZHAM ISKANDAR BIN IBRAHIM</v>
      </c>
      <c r="J8496" t="str">
        <f t="shared" si="3466"/>
        <v>BANK ISLAM BHD</v>
      </c>
      <c r="K8496" t="str">
        <f>"02020020156107"</f>
        <v>02020020156107</v>
      </c>
      <c r="L8496" t="str">
        <f t="shared" si="3469"/>
        <v>04-08-2020</v>
      </c>
      <c r="M8496" t="str">
        <f t="shared" si="3469"/>
        <v>04-08-2020</v>
      </c>
      <c r="N8496" t="str">
        <f t="shared" si="3453"/>
        <v>001105018356</v>
      </c>
      <c r="O8496" t="str">
        <f t="shared" si="3454"/>
        <v>MYR</v>
      </c>
      <c r="P8496" t="str">
        <f t="shared" si="3470"/>
        <v>NIL</v>
      </c>
      <c r="Q8496" t="str">
        <f t="shared" si="3470"/>
        <v>NIL</v>
      </c>
      <c r="R8496" t="str">
        <f t="shared" si="3467"/>
        <v>Accepted</v>
      </c>
      <c r="S8496" t="str">
        <f t="shared" si="3455"/>
        <v>Approved</v>
      </c>
      <c r="T8496" t="str">
        <f t="shared" si="3468"/>
        <v>10.20.8.188</v>
      </c>
      <c r="U8496" t="str">
        <f t="shared" si="3456"/>
        <v>AZRAD UMAR BIN SHAARI</v>
      </c>
      <c r="V8496" t="str">
        <f t="shared" si="3457"/>
        <v>FARHANA BINTI MUSTAPA</v>
      </c>
      <c r="W8496" t="str">
        <f t="shared" si="3458"/>
        <v>04-08-2020</v>
      </c>
      <c r="X8496" t="str">
        <f t="shared" si="3459"/>
        <v>RAZIMAH ANSAR AHMAD</v>
      </c>
      <c r="Y8496" t="str">
        <f t="shared" si="3460"/>
        <v>04-08-2020</v>
      </c>
      <c r="Z8496" t="str">
        <f>"COS10200804 328"</f>
        <v>COS10200804 328</v>
      </c>
    </row>
    <row r="8497" spans="1:26" x14ac:dyDescent="0.25">
      <c r="A8497" t="str">
        <f t="shared" si="3471"/>
        <v>04-08-2020 12:28:31</v>
      </c>
      <c r="B8497" t="str">
        <f>"0000802322"</f>
        <v>0000802322</v>
      </c>
      <c r="C8497" t="str">
        <f t="shared" si="3472"/>
        <v>0000802195</v>
      </c>
      <c r="D8497" t="str">
        <f t="shared" si="3450"/>
        <v>73185</v>
      </c>
      <c r="E8497" t="str">
        <f t="shared" si="3451"/>
        <v>KFH-OPERATIONS DEPARTMENT</v>
      </c>
      <c r="F8497" t="str">
        <f t="shared" si="3452"/>
        <v>IBG</v>
      </c>
      <c r="G8497" t="str">
        <f t="shared" si="3463"/>
        <v>Refund COSHARE 10</v>
      </c>
      <c r="H8497" s="2">
        <v>1964.6</v>
      </c>
      <c r="I8497" t="str">
        <f>"ISMIAH BINTI ISMAIL"</f>
        <v>ISMIAH BINTI ISMAIL</v>
      </c>
      <c r="J8497" t="str">
        <f t="shared" si="3466"/>
        <v>BANK ISLAM BHD</v>
      </c>
      <c r="K8497" t="str">
        <f>"08031020349627"</f>
        <v>08031020349627</v>
      </c>
      <c r="L8497" t="str">
        <f t="shared" si="3469"/>
        <v>04-08-2020</v>
      </c>
      <c r="M8497" t="str">
        <f t="shared" si="3469"/>
        <v>04-08-2020</v>
      </c>
      <c r="N8497" t="str">
        <f t="shared" si="3453"/>
        <v>001105018356</v>
      </c>
      <c r="O8497" t="str">
        <f t="shared" si="3454"/>
        <v>MYR</v>
      </c>
      <c r="P8497" t="str">
        <f t="shared" si="3470"/>
        <v>NIL</v>
      </c>
      <c r="Q8497" t="str">
        <f t="shared" si="3470"/>
        <v>NIL</v>
      </c>
      <c r="R8497" t="str">
        <f t="shared" si="3467"/>
        <v>Accepted</v>
      </c>
      <c r="S8497" t="str">
        <f t="shared" si="3455"/>
        <v>Approved</v>
      </c>
      <c r="T8497" t="str">
        <f t="shared" si="3468"/>
        <v>10.20.8.188</v>
      </c>
      <c r="U8497" t="str">
        <f t="shared" si="3456"/>
        <v>AZRAD UMAR BIN SHAARI</v>
      </c>
      <c r="V8497" t="str">
        <f t="shared" si="3457"/>
        <v>FARHANA BINTI MUSTAPA</v>
      </c>
      <c r="W8497" t="str">
        <f t="shared" si="3458"/>
        <v>04-08-2020</v>
      </c>
      <c r="X8497" t="str">
        <f t="shared" si="3459"/>
        <v>RAZIMAH ANSAR AHMAD</v>
      </c>
      <c r="Y8497" t="str">
        <f t="shared" si="3460"/>
        <v>04-08-2020</v>
      </c>
      <c r="Z8497" t="str">
        <f>"COS10200804 327"</f>
        <v>COS10200804 327</v>
      </c>
    </row>
    <row r="8498" spans="1:26" x14ac:dyDescent="0.25">
      <c r="A8498" t="str">
        <f t="shared" si="3471"/>
        <v>04-08-2020 12:28:31</v>
      </c>
      <c r="B8498" t="str">
        <f>"0000802321"</f>
        <v>0000802321</v>
      </c>
      <c r="C8498" t="str">
        <f t="shared" si="3472"/>
        <v>0000802195</v>
      </c>
      <c r="D8498" t="str">
        <f t="shared" si="3450"/>
        <v>73185</v>
      </c>
      <c r="E8498" t="str">
        <f t="shared" si="3451"/>
        <v>KFH-OPERATIONS DEPARTMENT</v>
      </c>
      <c r="F8498" t="str">
        <f t="shared" si="3452"/>
        <v>IBG</v>
      </c>
      <c r="G8498" t="str">
        <f t="shared" si="3463"/>
        <v>Refund COSHARE 10</v>
      </c>
      <c r="H8498" s="2">
        <v>814.35</v>
      </c>
      <c r="I8498" t="str">
        <f>"ISMAISHAM BIN ISMAIL"</f>
        <v>ISMAISHAM BIN ISMAIL</v>
      </c>
      <c r="J8498" t="str">
        <f t="shared" si="3466"/>
        <v>BANK ISLAM BHD</v>
      </c>
      <c r="K8498" t="str">
        <f>"14171020335909"</f>
        <v>14171020335909</v>
      </c>
      <c r="L8498" t="str">
        <f t="shared" si="3469"/>
        <v>04-08-2020</v>
      </c>
      <c r="M8498" t="str">
        <f t="shared" si="3469"/>
        <v>04-08-2020</v>
      </c>
      <c r="N8498" t="str">
        <f t="shared" si="3453"/>
        <v>001105018356</v>
      </c>
      <c r="O8498" t="str">
        <f t="shared" si="3454"/>
        <v>MYR</v>
      </c>
      <c r="P8498" t="str">
        <f t="shared" si="3470"/>
        <v>NIL</v>
      </c>
      <c r="Q8498" t="str">
        <f t="shared" si="3470"/>
        <v>NIL</v>
      </c>
      <c r="R8498" t="str">
        <f t="shared" si="3467"/>
        <v>Accepted</v>
      </c>
      <c r="S8498" t="str">
        <f t="shared" si="3455"/>
        <v>Approved</v>
      </c>
      <c r="T8498" t="str">
        <f t="shared" si="3468"/>
        <v>10.20.8.188</v>
      </c>
      <c r="U8498" t="str">
        <f t="shared" si="3456"/>
        <v>AZRAD UMAR BIN SHAARI</v>
      </c>
      <c r="V8498" t="str">
        <f t="shared" si="3457"/>
        <v>FARHANA BINTI MUSTAPA</v>
      </c>
      <c r="W8498" t="str">
        <f t="shared" si="3458"/>
        <v>04-08-2020</v>
      </c>
      <c r="X8498" t="str">
        <f t="shared" si="3459"/>
        <v>RAZIMAH ANSAR AHMAD</v>
      </c>
      <c r="Y8498" t="str">
        <f t="shared" si="3460"/>
        <v>04-08-2020</v>
      </c>
      <c r="Z8498" t="str">
        <f>"COS10200804 326"</f>
        <v>COS10200804 326</v>
      </c>
    </row>
    <row r="8499" spans="1:26" x14ac:dyDescent="0.25">
      <c r="A8499" t="str">
        <f t="shared" si="3471"/>
        <v>04-08-2020 12:28:31</v>
      </c>
      <c r="B8499" t="str">
        <f>"0000802320"</f>
        <v>0000802320</v>
      </c>
      <c r="C8499" t="str">
        <f t="shared" si="3472"/>
        <v>0000802195</v>
      </c>
      <c r="D8499" t="str">
        <f t="shared" si="3450"/>
        <v>73185</v>
      </c>
      <c r="E8499" t="str">
        <f t="shared" si="3451"/>
        <v>KFH-OPERATIONS DEPARTMENT</v>
      </c>
      <c r="F8499" t="str">
        <f t="shared" si="3452"/>
        <v>IBG</v>
      </c>
      <c r="G8499" t="str">
        <f t="shared" si="3463"/>
        <v>Refund COSHARE 10</v>
      </c>
      <c r="H8499" s="2">
        <v>215.5</v>
      </c>
      <c r="I8499" t="str">
        <f>"ISMAIL BIN HARUN"</f>
        <v>ISMAIL BIN HARUN</v>
      </c>
      <c r="J8499" t="str">
        <f t="shared" si="3466"/>
        <v>BANK ISLAM BHD</v>
      </c>
      <c r="K8499" t="str">
        <f>"09010020692590"</f>
        <v>09010020692590</v>
      </c>
      <c r="L8499" t="str">
        <f t="shared" si="3469"/>
        <v>04-08-2020</v>
      </c>
      <c r="M8499" t="str">
        <f t="shared" si="3469"/>
        <v>04-08-2020</v>
      </c>
      <c r="N8499" t="str">
        <f t="shared" si="3453"/>
        <v>001105018356</v>
      </c>
      <c r="O8499" t="str">
        <f t="shared" si="3454"/>
        <v>MYR</v>
      </c>
      <c r="P8499" t="str">
        <f t="shared" si="3470"/>
        <v>NIL</v>
      </c>
      <c r="Q8499" t="str">
        <f t="shared" si="3470"/>
        <v>NIL</v>
      </c>
      <c r="R8499" t="str">
        <f t="shared" si="3467"/>
        <v>Accepted</v>
      </c>
      <c r="S8499" t="str">
        <f t="shared" si="3455"/>
        <v>Approved</v>
      </c>
      <c r="T8499" t="str">
        <f t="shared" si="3468"/>
        <v>10.20.8.188</v>
      </c>
      <c r="U8499" t="str">
        <f t="shared" si="3456"/>
        <v>AZRAD UMAR BIN SHAARI</v>
      </c>
      <c r="V8499" t="str">
        <f t="shared" si="3457"/>
        <v>FARHANA BINTI MUSTAPA</v>
      </c>
      <c r="W8499" t="str">
        <f t="shared" si="3458"/>
        <v>04-08-2020</v>
      </c>
      <c r="X8499" t="str">
        <f t="shared" si="3459"/>
        <v>RAZIMAH ANSAR AHMAD</v>
      </c>
      <c r="Y8499" t="str">
        <f t="shared" si="3460"/>
        <v>04-08-2020</v>
      </c>
      <c r="Z8499" t="str">
        <f>"COS10200804 325"</f>
        <v>COS10200804 325</v>
      </c>
    </row>
    <row r="8500" spans="1:26" x14ac:dyDescent="0.25">
      <c r="A8500" t="str">
        <f t="shared" si="3471"/>
        <v>04-08-2020 12:28:31</v>
      </c>
      <c r="B8500" t="str">
        <f>"0000802319"</f>
        <v>0000802319</v>
      </c>
      <c r="C8500" t="str">
        <f t="shared" si="3472"/>
        <v>0000802195</v>
      </c>
      <c r="D8500" t="str">
        <f t="shared" si="3450"/>
        <v>73185</v>
      </c>
      <c r="E8500" t="str">
        <f t="shared" si="3451"/>
        <v>KFH-OPERATIONS DEPARTMENT</v>
      </c>
      <c r="F8500" t="str">
        <f t="shared" si="3452"/>
        <v>IBG</v>
      </c>
      <c r="G8500" t="str">
        <f t="shared" si="3463"/>
        <v>Refund COSHARE 10</v>
      </c>
      <c r="H8500" s="2">
        <v>1330.25</v>
      </c>
      <c r="I8500" t="str">
        <f>"ISHAK BIN JAAFAR"</f>
        <v>ISHAK BIN JAAFAR</v>
      </c>
      <c r="J8500" t="str">
        <f t="shared" si="3466"/>
        <v>BANK ISLAM BHD</v>
      </c>
      <c r="K8500" t="str">
        <f>"10025029379665"</f>
        <v>10025029379665</v>
      </c>
      <c r="L8500" t="str">
        <f t="shared" si="3469"/>
        <v>04-08-2020</v>
      </c>
      <c r="M8500" t="str">
        <f t="shared" si="3469"/>
        <v>04-08-2020</v>
      </c>
      <c r="N8500" t="str">
        <f t="shared" si="3453"/>
        <v>001105018356</v>
      </c>
      <c r="O8500" t="str">
        <f t="shared" si="3454"/>
        <v>MYR</v>
      </c>
      <c r="P8500" t="str">
        <f t="shared" si="3470"/>
        <v>NIL</v>
      </c>
      <c r="Q8500" t="str">
        <f t="shared" si="3470"/>
        <v>NIL</v>
      </c>
      <c r="R8500" t="str">
        <f t="shared" si="3467"/>
        <v>Accepted</v>
      </c>
      <c r="S8500" t="str">
        <f t="shared" si="3455"/>
        <v>Approved</v>
      </c>
      <c r="T8500" t="str">
        <f t="shared" si="3468"/>
        <v>10.20.8.188</v>
      </c>
      <c r="U8500" t="str">
        <f t="shared" si="3456"/>
        <v>AZRAD UMAR BIN SHAARI</v>
      </c>
      <c r="V8500" t="str">
        <f t="shared" si="3457"/>
        <v>FARHANA BINTI MUSTAPA</v>
      </c>
      <c r="W8500" t="str">
        <f t="shared" si="3458"/>
        <v>04-08-2020</v>
      </c>
      <c r="X8500" t="str">
        <f t="shared" si="3459"/>
        <v>RAZIMAH ANSAR AHMAD</v>
      </c>
      <c r="Y8500" t="str">
        <f t="shared" si="3460"/>
        <v>04-08-2020</v>
      </c>
      <c r="Z8500" t="str">
        <f>"COS10200804 324"</f>
        <v>COS10200804 324</v>
      </c>
    </row>
    <row r="8501" spans="1:26" x14ac:dyDescent="0.25">
      <c r="A8501" t="str">
        <f t="shared" si="3471"/>
        <v>04-08-2020 12:28:31</v>
      </c>
      <c r="B8501" t="str">
        <f>"0000802318"</f>
        <v>0000802318</v>
      </c>
      <c r="C8501" t="str">
        <f t="shared" si="3472"/>
        <v>0000802195</v>
      </c>
      <c r="D8501" t="str">
        <f t="shared" si="3450"/>
        <v>73185</v>
      </c>
      <c r="E8501" t="str">
        <f t="shared" si="3451"/>
        <v>KFH-OPERATIONS DEPARTMENT</v>
      </c>
      <c r="F8501" t="str">
        <f t="shared" si="3452"/>
        <v>IBG</v>
      </c>
      <c r="G8501" t="str">
        <f t="shared" si="3463"/>
        <v>Refund COSHARE 10</v>
      </c>
      <c r="H8501" s="2">
        <v>1527.9</v>
      </c>
      <c r="I8501" t="str">
        <f>"IRWAN BIN MISDON"</f>
        <v>IRWAN BIN MISDON</v>
      </c>
      <c r="J8501" t="str">
        <f t="shared" si="3466"/>
        <v>BANK ISLAM BHD</v>
      </c>
      <c r="K8501" t="str">
        <f>"08068020188210"</f>
        <v>08068020188210</v>
      </c>
      <c r="L8501" t="str">
        <f t="shared" si="3469"/>
        <v>04-08-2020</v>
      </c>
      <c r="M8501" t="str">
        <f t="shared" si="3469"/>
        <v>04-08-2020</v>
      </c>
      <c r="N8501" t="str">
        <f t="shared" si="3453"/>
        <v>001105018356</v>
      </c>
      <c r="O8501" t="str">
        <f t="shared" si="3454"/>
        <v>MYR</v>
      </c>
      <c r="P8501" t="str">
        <f t="shared" si="3470"/>
        <v>NIL</v>
      </c>
      <c r="Q8501" t="str">
        <f t="shared" si="3470"/>
        <v>NIL</v>
      </c>
      <c r="R8501" t="str">
        <f t="shared" si="3467"/>
        <v>Accepted</v>
      </c>
      <c r="S8501" t="str">
        <f t="shared" si="3455"/>
        <v>Approved</v>
      </c>
      <c r="T8501" t="str">
        <f t="shared" si="3468"/>
        <v>10.20.8.188</v>
      </c>
      <c r="U8501" t="str">
        <f t="shared" si="3456"/>
        <v>AZRAD UMAR BIN SHAARI</v>
      </c>
      <c r="V8501" t="str">
        <f t="shared" si="3457"/>
        <v>FARHANA BINTI MUSTAPA</v>
      </c>
      <c r="W8501" t="str">
        <f t="shared" si="3458"/>
        <v>04-08-2020</v>
      </c>
      <c r="X8501" t="str">
        <f t="shared" si="3459"/>
        <v>RAZIMAH ANSAR AHMAD</v>
      </c>
      <c r="Y8501" t="str">
        <f t="shared" si="3460"/>
        <v>04-08-2020</v>
      </c>
      <c r="Z8501" t="str">
        <f>"COS10200804 323"</f>
        <v>COS10200804 323</v>
      </c>
    </row>
    <row r="8502" spans="1:26" x14ac:dyDescent="0.25">
      <c r="A8502" t="str">
        <f t="shared" si="3471"/>
        <v>04-08-2020 12:28:31</v>
      </c>
      <c r="B8502" t="str">
        <f>"0000802317"</f>
        <v>0000802317</v>
      </c>
      <c r="C8502" t="str">
        <f t="shared" si="3472"/>
        <v>0000802195</v>
      </c>
      <c r="D8502" t="str">
        <f t="shared" si="3450"/>
        <v>73185</v>
      </c>
      <c r="E8502" t="str">
        <f t="shared" si="3451"/>
        <v>KFH-OPERATIONS DEPARTMENT</v>
      </c>
      <c r="F8502" t="str">
        <f t="shared" si="3452"/>
        <v>IBG</v>
      </c>
      <c r="G8502" t="str">
        <f t="shared" si="3463"/>
        <v>Refund COSHARE 10</v>
      </c>
      <c r="H8502" s="2">
        <v>196.5</v>
      </c>
      <c r="I8502" t="str">
        <f>"INU WEDEYA BINTI MAT ADAM"</f>
        <v>INU WEDEYA BINTI MAT ADAM</v>
      </c>
      <c r="J8502" t="str">
        <f t="shared" si="3466"/>
        <v>BANK ISLAM BHD</v>
      </c>
      <c r="K8502" t="str">
        <f>"09010020272636"</f>
        <v>09010020272636</v>
      </c>
      <c r="L8502" t="str">
        <f t="shared" si="3469"/>
        <v>04-08-2020</v>
      </c>
      <c r="M8502" t="str">
        <f t="shared" si="3469"/>
        <v>04-08-2020</v>
      </c>
      <c r="N8502" t="str">
        <f t="shared" si="3453"/>
        <v>001105018356</v>
      </c>
      <c r="O8502" t="str">
        <f t="shared" si="3454"/>
        <v>MYR</v>
      </c>
      <c r="P8502" t="str">
        <f t="shared" si="3470"/>
        <v>NIL</v>
      </c>
      <c r="Q8502" t="str">
        <f t="shared" si="3470"/>
        <v>NIL</v>
      </c>
      <c r="R8502" t="str">
        <f t="shared" si="3467"/>
        <v>Accepted</v>
      </c>
      <c r="S8502" t="str">
        <f t="shared" si="3455"/>
        <v>Approved</v>
      </c>
      <c r="T8502" t="str">
        <f t="shared" si="3468"/>
        <v>10.20.8.188</v>
      </c>
      <c r="U8502" t="str">
        <f t="shared" si="3456"/>
        <v>AZRAD UMAR BIN SHAARI</v>
      </c>
      <c r="V8502" t="str">
        <f t="shared" si="3457"/>
        <v>FARHANA BINTI MUSTAPA</v>
      </c>
      <c r="W8502" t="str">
        <f t="shared" si="3458"/>
        <v>04-08-2020</v>
      </c>
      <c r="X8502" t="str">
        <f t="shared" si="3459"/>
        <v>RAZIMAH ANSAR AHMAD</v>
      </c>
      <c r="Y8502" t="str">
        <f t="shared" si="3460"/>
        <v>04-08-2020</v>
      </c>
      <c r="Z8502" t="str">
        <f>"COS10200804 322"</f>
        <v>COS10200804 322</v>
      </c>
    </row>
    <row r="8503" spans="1:26" x14ac:dyDescent="0.25">
      <c r="A8503" t="str">
        <f t="shared" si="3471"/>
        <v>04-08-2020 12:28:31</v>
      </c>
      <c r="B8503" t="str">
        <f>"0000802316"</f>
        <v>0000802316</v>
      </c>
      <c r="C8503" t="str">
        <f t="shared" si="3472"/>
        <v>0000802195</v>
      </c>
      <c r="D8503" t="str">
        <f t="shared" si="3450"/>
        <v>73185</v>
      </c>
      <c r="E8503" t="str">
        <f t="shared" si="3451"/>
        <v>KFH-OPERATIONS DEPARTMENT</v>
      </c>
      <c r="F8503" t="str">
        <f t="shared" si="3452"/>
        <v>IBG</v>
      </c>
      <c r="G8503" t="str">
        <f t="shared" si="3463"/>
        <v>Refund COSHARE 10</v>
      </c>
      <c r="H8503" s="2">
        <v>1724</v>
      </c>
      <c r="I8503" t="str">
        <f>"INDATI BINTI JA AFAR"</f>
        <v>INDATI BINTI JA AFAR</v>
      </c>
      <c r="J8503" t="str">
        <f t="shared" si="3466"/>
        <v>BANK ISLAM BHD</v>
      </c>
      <c r="K8503" t="str">
        <f>"12010024463849"</f>
        <v>12010024463849</v>
      </c>
      <c r="L8503" t="str">
        <f t="shared" si="3469"/>
        <v>04-08-2020</v>
      </c>
      <c r="M8503" t="str">
        <f t="shared" si="3469"/>
        <v>04-08-2020</v>
      </c>
      <c r="N8503" t="str">
        <f t="shared" si="3453"/>
        <v>001105018356</v>
      </c>
      <c r="O8503" t="str">
        <f t="shared" si="3454"/>
        <v>MYR</v>
      </c>
      <c r="P8503" t="str">
        <f t="shared" si="3470"/>
        <v>NIL</v>
      </c>
      <c r="Q8503" t="str">
        <f t="shared" si="3470"/>
        <v>NIL</v>
      </c>
      <c r="R8503" t="str">
        <f t="shared" si="3467"/>
        <v>Accepted</v>
      </c>
      <c r="S8503" t="str">
        <f t="shared" si="3455"/>
        <v>Approved</v>
      </c>
      <c r="T8503" t="str">
        <f t="shared" si="3468"/>
        <v>10.20.8.188</v>
      </c>
      <c r="U8503" t="str">
        <f t="shared" si="3456"/>
        <v>AZRAD UMAR BIN SHAARI</v>
      </c>
      <c r="V8503" t="str">
        <f t="shared" si="3457"/>
        <v>FARHANA BINTI MUSTAPA</v>
      </c>
      <c r="W8503" t="str">
        <f t="shared" si="3458"/>
        <v>04-08-2020</v>
      </c>
      <c r="X8503" t="str">
        <f t="shared" si="3459"/>
        <v>RAZIMAH ANSAR AHMAD</v>
      </c>
      <c r="Y8503" t="str">
        <f t="shared" si="3460"/>
        <v>04-08-2020</v>
      </c>
      <c r="Z8503" t="str">
        <f>"COS10200804 321"</f>
        <v>COS10200804 321</v>
      </c>
    </row>
    <row r="8504" spans="1:26" x14ac:dyDescent="0.25">
      <c r="A8504" t="str">
        <f t="shared" si="3471"/>
        <v>04-08-2020 12:28:31</v>
      </c>
      <c r="B8504" t="str">
        <f>"0000802315"</f>
        <v>0000802315</v>
      </c>
      <c r="C8504" t="str">
        <f t="shared" si="3472"/>
        <v>0000802195</v>
      </c>
      <c r="D8504" t="str">
        <f t="shared" si="3450"/>
        <v>73185</v>
      </c>
      <c r="E8504" t="str">
        <f t="shared" si="3451"/>
        <v>KFH-OPERATIONS DEPARTMENT</v>
      </c>
      <c r="F8504" t="str">
        <f t="shared" si="3452"/>
        <v>IBG</v>
      </c>
      <c r="G8504" t="str">
        <f t="shared" si="3463"/>
        <v>Refund COSHARE 10</v>
      </c>
      <c r="H8504" s="2">
        <v>1606</v>
      </c>
      <c r="I8504" t="str">
        <f>"IMRAN BIN HARUN"</f>
        <v>IMRAN BIN HARUN</v>
      </c>
      <c r="J8504" t="str">
        <f t="shared" si="3466"/>
        <v>BANK ISLAM BHD</v>
      </c>
      <c r="K8504" t="str">
        <f>"04015020579886"</f>
        <v>04015020579886</v>
      </c>
      <c r="L8504" t="str">
        <f t="shared" si="3469"/>
        <v>04-08-2020</v>
      </c>
      <c r="M8504" t="str">
        <f t="shared" si="3469"/>
        <v>04-08-2020</v>
      </c>
      <c r="N8504" t="str">
        <f t="shared" si="3453"/>
        <v>001105018356</v>
      </c>
      <c r="O8504" t="str">
        <f t="shared" si="3454"/>
        <v>MYR</v>
      </c>
      <c r="P8504" t="str">
        <f t="shared" si="3470"/>
        <v>NIL</v>
      </c>
      <c r="Q8504" t="str">
        <f t="shared" si="3470"/>
        <v>NIL</v>
      </c>
      <c r="R8504" t="str">
        <f t="shared" si="3467"/>
        <v>Accepted</v>
      </c>
      <c r="S8504" t="str">
        <f t="shared" si="3455"/>
        <v>Approved</v>
      </c>
      <c r="T8504" t="str">
        <f t="shared" si="3468"/>
        <v>10.20.8.188</v>
      </c>
      <c r="U8504" t="str">
        <f t="shared" si="3456"/>
        <v>AZRAD UMAR BIN SHAARI</v>
      </c>
      <c r="V8504" t="str">
        <f t="shared" si="3457"/>
        <v>FARHANA BINTI MUSTAPA</v>
      </c>
      <c r="W8504" t="str">
        <f t="shared" si="3458"/>
        <v>04-08-2020</v>
      </c>
      <c r="X8504" t="str">
        <f t="shared" si="3459"/>
        <v>RAZIMAH ANSAR AHMAD</v>
      </c>
      <c r="Y8504" t="str">
        <f t="shared" si="3460"/>
        <v>04-08-2020</v>
      </c>
      <c r="Z8504" t="str">
        <f>"COS10200804 320"</f>
        <v>COS10200804 320</v>
      </c>
    </row>
    <row r="8505" spans="1:26" x14ac:dyDescent="0.25">
      <c r="A8505" t="str">
        <f t="shared" si="3471"/>
        <v>04-08-2020 12:28:31</v>
      </c>
      <c r="B8505" t="str">
        <f>"0000802314"</f>
        <v>0000802314</v>
      </c>
      <c r="C8505" t="str">
        <f t="shared" si="3472"/>
        <v>0000802195</v>
      </c>
      <c r="D8505" t="str">
        <f t="shared" si="3450"/>
        <v>73185</v>
      </c>
      <c r="E8505" t="str">
        <f t="shared" si="3451"/>
        <v>KFH-OPERATIONS DEPARTMENT</v>
      </c>
      <c r="F8505" t="str">
        <f t="shared" si="3452"/>
        <v>IBG</v>
      </c>
      <c r="G8505" t="str">
        <f t="shared" si="3463"/>
        <v>Refund COSHARE 10</v>
      </c>
      <c r="H8505" s="2">
        <v>377.8</v>
      </c>
      <c r="I8505" t="str">
        <f>"IKBAL ISKANDAR BIN TUMINGIN"</f>
        <v>IKBAL ISKANDAR BIN TUMINGIN</v>
      </c>
      <c r="J8505" t="str">
        <f t="shared" si="3466"/>
        <v>BANK ISLAM BHD</v>
      </c>
      <c r="K8505" t="str">
        <f>"01087020055071"</f>
        <v>01087020055071</v>
      </c>
      <c r="L8505" t="str">
        <f t="shared" si="3469"/>
        <v>04-08-2020</v>
      </c>
      <c r="M8505" t="str">
        <f t="shared" si="3469"/>
        <v>04-08-2020</v>
      </c>
      <c r="N8505" t="str">
        <f t="shared" si="3453"/>
        <v>001105018356</v>
      </c>
      <c r="O8505" t="str">
        <f t="shared" si="3454"/>
        <v>MYR</v>
      </c>
      <c r="P8505" t="str">
        <f t="shared" si="3470"/>
        <v>NIL</v>
      </c>
      <c r="Q8505" t="str">
        <f t="shared" si="3470"/>
        <v>NIL</v>
      </c>
      <c r="R8505" t="str">
        <f t="shared" si="3467"/>
        <v>Accepted</v>
      </c>
      <c r="S8505" t="str">
        <f t="shared" si="3455"/>
        <v>Approved</v>
      </c>
      <c r="T8505" t="str">
        <f t="shared" si="3468"/>
        <v>10.20.8.188</v>
      </c>
      <c r="U8505" t="str">
        <f t="shared" si="3456"/>
        <v>AZRAD UMAR BIN SHAARI</v>
      </c>
      <c r="V8505" t="str">
        <f t="shared" si="3457"/>
        <v>FARHANA BINTI MUSTAPA</v>
      </c>
      <c r="W8505" t="str">
        <f t="shared" si="3458"/>
        <v>04-08-2020</v>
      </c>
      <c r="X8505" t="str">
        <f t="shared" si="3459"/>
        <v>RAZIMAH ANSAR AHMAD</v>
      </c>
      <c r="Y8505" t="str">
        <f t="shared" si="3460"/>
        <v>04-08-2020</v>
      </c>
      <c r="Z8505" t="str">
        <f>"COS10200804 319"</f>
        <v>COS10200804 319</v>
      </c>
    </row>
    <row r="8506" spans="1:26" x14ac:dyDescent="0.25">
      <c r="A8506" t="str">
        <f t="shared" si="3471"/>
        <v>04-08-2020 12:28:31</v>
      </c>
      <c r="B8506" t="str">
        <f>"0000802313"</f>
        <v>0000802313</v>
      </c>
      <c r="C8506" t="str">
        <f t="shared" si="3472"/>
        <v>0000802195</v>
      </c>
      <c r="D8506" t="str">
        <f t="shared" si="3450"/>
        <v>73185</v>
      </c>
      <c r="E8506" t="str">
        <f t="shared" si="3451"/>
        <v>KFH-OPERATIONS DEPARTMENT</v>
      </c>
      <c r="F8506" t="str">
        <f t="shared" si="3452"/>
        <v>IBG</v>
      </c>
      <c r="G8506" t="str">
        <f t="shared" si="3463"/>
        <v>Refund COSHARE 10</v>
      </c>
      <c r="H8506" s="2">
        <v>630</v>
      </c>
      <c r="I8506" t="str">
        <f>"IDA BINTI NARAWI"</f>
        <v>IDA BINTI NARAWI</v>
      </c>
      <c r="J8506" t="str">
        <f t="shared" si="3466"/>
        <v>BANK ISLAM BHD</v>
      </c>
      <c r="K8506" t="str">
        <f>"11040028352707"</f>
        <v>11040028352707</v>
      </c>
      <c r="L8506" t="str">
        <f t="shared" si="3469"/>
        <v>04-08-2020</v>
      </c>
      <c r="M8506" t="str">
        <f t="shared" si="3469"/>
        <v>04-08-2020</v>
      </c>
      <c r="N8506" t="str">
        <f t="shared" si="3453"/>
        <v>001105018356</v>
      </c>
      <c r="O8506" t="str">
        <f t="shared" si="3454"/>
        <v>MYR</v>
      </c>
      <c r="P8506" t="str">
        <f t="shared" si="3470"/>
        <v>NIL</v>
      </c>
      <c r="Q8506" t="str">
        <f t="shared" si="3470"/>
        <v>NIL</v>
      </c>
      <c r="R8506" t="str">
        <f t="shared" si="3467"/>
        <v>Accepted</v>
      </c>
      <c r="S8506" t="str">
        <f t="shared" si="3455"/>
        <v>Approved</v>
      </c>
      <c r="T8506" t="str">
        <f t="shared" si="3468"/>
        <v>10.20.8.188</v>
      </c>
      <c r="U8506" t="str">
        <f t="shared" si="3456"/>
        <v>AZRAD UMAR BIN SHAARI</v>
      </c>
      <c r="V8506" t="str">
        <f t="shared" si="3457"/>
        <v>FARHANA BINTI MUSTAPA</v>
      </c>
      <c r="W8506" t="str">
        <f t="shared" si="3458"/>
        <v>04-08-2020</v>
      </c>
      <c r="X8506" t="str">
        <f t="shared" si="3459"/>
        <v>RAZIMAH ANSAR AHMAD</v>
      </c>
      <c r="Y8506" t="str">
        <f t="shared" si="3460"/>
        <v>04-08-2020</v>
      </c>
      <c r="Z8506" t="str">
        <f>"COS10200804 318"</f>
        <v>COS10200804 318</v>
      </c>
    </row>
    <row r="8507" spans="1:26" x14ac:dyDescent="0.25">
      <c r="A8507" t="str">
        <f t="shared" si="3471"/>
        <v>04-08-2020 12:28:31</v>
      </c>
      <c r="B8507" t="str">
        <f>"0000802312"</f>
        <v>0000802312</v>
      </c>
      <c r="C8507" t="str">
        <f t="shared" si="3472"/>
        <v>0000802195</v>
      </c>
      <c r="D8507" t="str">
        <f t="shared" si="3450"/>
        <v>73185</v>
      </c>
      <c r="E8507" t="str">
        <f t="shared" si="3451"/>
        <v>KFH-OPERATIONS DEPARTMENT</v>
      </c>
      <c r="F8507" t="str">
        <f t="shared" si="3452"/>
        <v>IBG</v>
      </c>
      <c r="G8507" t="str">
        <f t="shared" si="3463"/>
        <v>Refund COSHARE 10</v>
      </c>
      <c r="H8507" s="2">
        <v>1259.25</v>
      </c>
      <c r="I8507" t="str">
        <f>"HUZAIMAH BINTI SUARDI"</f>
        <v>HUZAIMAH BINTI SUARDI</v>
      </c>
      <c r="J8507" t="str">
        <f t="shared" si="3466"/>
        <v>BANK ISLAM BHD</v>
      </c>
      <c r="K8507" t="str">
        <f>"10025020365050"</f>
        <v>10025020365050</v>
      </c>
      <c r="L8507" t="str">
        <f t="shared" ref="L8507:M8526" si="3473">"04-08-2020"</f>
        <v>04-08-2020</v>
      </c>
      <c r="M8507" t="str">
        <f t="shared" si="3473"/>
        <v>04-08-2020</v>
      </c>
      <c r="N8507" t="str">
        <f t="shared" si="3453"/>
        <v>001105018356</v>
      </c>
      <c r="O8507" t="str">
        <f t="shared" si="3454"/>
        <v>MYR</v>
      </c>
      <c r="P8507" t="str">
        <f t="shared" ref="P8507:Q8526" si="3474">"NIL"</f>
        <v>NIL</v>
      </c>
      <c r="Q8507" t="str">
        <f t="shared" si="3474"/>
        <v>NIL</v>
      </c>
      <c r="R8507" t="str">
        <f t="shared" si="3467"/>
        <v>Accepted</v>
      </c>
      <c r="S8507" t="str">
        <f t="shared" si="3455"/>
        <v>Approved</v>
      </c>
      <c r="T8507" t="str">
        <f t="shared" si="3468"/>
        <v>10.20.8.188</v>
      </c>
      <c r="U8507" t="str">
        <f t="shared" si="3456"/>
        <v>AZRAD UMAR BIN SHAARI</v>
      </c>
      <c r="V8507" t="str">
        <f t="shared" si="3457"/>
        <v>FARHANA BINTI MUSTAPA</v>
      </c>
      <c r="W8507" t="str">
        <f t="shared" si="3458"/>
        <v>04-08-2020</v>
      </c>
      <c r="X8507" t="str">
        <f t="shared" si="3459"/>
        <v>RAZIMAH ANSAR AHMAD</v>
      </c>
      <c r="Y8507" t="str">
        <f t="shared" si="3460"/>
        <v>04-08-2020</v>
      </c>
      <c r="Z8507" t="str">
        <f>"COS10200804 317"</f>
        <v>COS10200804 317</v>
      </c>
    </row>
    <row r="8508" spans="1:26" x14ac:dyDescent="0.25">
      <c r="A8508" t="str">
        <f t="shared" si="3471"/>
        <v>04-08-2020 12:28:31</v>
      </c>
      <c r="B8508" t="str">
        <f>"0000802311"</f>
        <v>0000802311</v>
      </c>
      <c r="C8508" t="str">
        <f t="shared" si="3472"/>
        <v>0000802195</v>
      </c>
      <c r="D8508" t="str">
        <f t="shared" si="3450"/>
        <v>73185</v>
      </c>
      <c r="E8508" t="str">
        <f t="shared" si="3451"/>
        <v>KFH-OPERATIONS DEPARTMENT</v>
      </c>
      <c r="F8508" t="str">
        <f t="shared" si="3452"/>
        <v>IBG</v>
      </c>
      <c r="G8508" t="str">
        <f t="shared" si="3463"/>
        <v>Refund COSHARE 10</v>
      </c>
      <c r="H8508" s="2">
        <v>251.85</v>
      </c>
      <c r="I8508" t="str">
        <f>"HELMI BIN SENIN"</f>
        <v>HELMI BIN SENIN</v>
      </c>
      <c r="J8508" t="str">
        <f t="shared" si="3466"/>
        <v>BANK ISLAM BHD</v>
      </c>
      <c r="K8508" t="str">
        <f>"12122020098495"</f>
        <v>12122020098495</v>
      </c>
      <c r="L8508" t="str">
        <f t="shared" si="3473"/>
        <v>04-08-2020</v>
      </c>
      <c r="M8508" t="str">
        <f t="shared" si="3473"/>
        <v>04-08-2020</v>
      </c>
      <c r="N8508" t="str">
        <f t="shared" si="3453"/>
        <v>001105018356</v>
      </c>
      <c r="O8508" t="str">
        <f t="shared" si="3454"/>
        <v>MYR</v>
      </c>
      <c r="P8508" t="str">
        <f t="shared" si="3474"/>
        <v>NIL</v>
      </c>
      <c r="Q8508" t="str">
        <f t="shared" si="3474"/>
        <v>NIL</v>
      </c>
      <c r="R8508" t="str">
        <f t="shared" si="3467"/>
        <v>Accepted</v>
      </c>
      <c r="S8508" t="str">
        <f t="shared" si="3455"/>
        <v>Approved</v>
      </c>
      <c r="T8508" t="str">
        <f t="shared" si="3468"/>
        <v>10.20.8.188</v>
      </c>
      <c r="U8508" t="str">
        <f t="shared" si="3456"/>
        <v>AZRAD UMAR BIN SHAARI</v>
      </c>
      <c r="V8508" t="str">
        <f t="shared" si="3457"/>
        <v>FARHANA BINTI MUSTAPA</v>
      </c>
      <c r="W8508" t="str">
        <f t="shared" si="3458"/>
        <v>04-08-2020</v>
      </c>
      <c r="X8508" t="str">
        <f t="shared" si="3459"/>
        <v>RAZIMAH ANSAR AHMAD</v>
      </c>
      <c r="Y8508" t="str">
        <f t="shared" si="3460"/>
        <v>04-08-2020</v>
      </c>
      <c r="Z8508" t="str">
        <f>"COS10200804 316"</f>
        <v>COS10200804 316</v>
      </c>
    </row>
    <row r="8509" spans="1:26" x14ac:dyDescent="0.25">
      <c r="A8509" t="str">
        <f t="shared" si="3471"/>
        <v>04-08-2020 12:28:31</v>
      </c>
      <c r="B8509" t="str">
        <f>"0000802310"</f>
        <v>0000802310</v>
      </c>
      <c r="C8509" t="str">
        <f t="shared" si="3472"/>
        <v>0000802195</v>
      </c>
      <c r="D8509" t="str">
        <f t="shared" si="3450"/>
        <v>73185</v>
      </c>
      <c r="E8509" t="str">
        <f t="shared" si="3451"/>
        <v>KFH-OPERATIONS DEPARTMENT</v>
      </c>
      <c r="F8509" t="str">
        <f t="shared" si="3452"/>
        <v>IBG</v>
      </c>
      <c r="G8509" t="str">
        <f t="shared" si="3463"/>
        <v>Refund COSHARE 10</v>
      </c>
      <c r="H8509" s="2">
        <v>579</v>
      </c>
      <c r="I8509" t="str">
        <f>"HATMAN RIZA BIN RADZUN"</f>
        <v>HATMAN RIZA BIN RADZUN</v>
      </c>
      <c r="J8509" t="str">
        <f t="shared" si="3466"/>
        <v>BANK ISLAM BHD</v>
      </c>
      <c r="K8509" t="str">
        <f>"06019020497655"</f>
        <v>06019020497655</v>
      </c>
      <c r="L8509" t="str">
        <f t="shared" si="3473"/>
        <v>04-08-2020</v>
      </c>
      <c r="M8509" t="str">
        <f t="shared" si="3473"/>
        <v>04-08-2020</v>
      </c>
      <c r="N8509" t="str">
        <f t="shared" si="3453"/>
        <v>001105018356</v>
      </c>
      <c r="O8509" t="str">
        <f t="shared" si="3454"/>
        <v>MYR</v>
      </c>
      <c r="P8509" t="str">
        <f t="shared" si="3474"/>
        <v>NIL</v>
      </c>
      <c r="Q8509" t="str">
        <f t="shared" si="3474"/>
        <v>NIL</v>
      </c>
      <c r="R8509" t="str">
        <f t="shared" si="3467"/>
        <v>Accepted</v>
      </c>
      <c r="S8509" t="str">
        <f t="shared" si="3455"/>
        <v>Approved</v>
      </c>
      <c r="T8509" t="str">
        <f t="shared" si="3468"/>
        <v>10.20.8.188</v>
      </c>
      <c r="U8509" t="str">
        <f t="shared" si="3456"/>
        <v>AZRAD UMAR BIN SHAARI</v>
      </c>
      <c r="V8509" t="str">
        <f t="shared" si="3457"/>
        <v>FARHANA BINTI MUSTAPA</v>
      </c>
      <c r="W8509" t="str">
        <f t="shared" si="3458"/>
        <v>04-08-2020</v>
      </c>
      <c r="X8509" t="str">
        <f t="shared" si="3459"/>
        <v>RAZIMAH ANSAR AHMAD</v>
      </c>
      <c r="Y8509" t="str">
        <f t="shared" si="3460"/>
        <v>04-08-2020</v>
      </c>
      <c r="Z8509" t="str">
        <f>"COS10200804 315"</f>
        <v>COS10200804 315</v>
      </c>
    </row>
    <row r="8510" spans="1:26" x14ac:dyDescent="0.25">
      <c r="A8510" t="str">
        <f t="shared" si="3471"/>
        <v>04-08-2020 12:28:31</v>
      </c>
      <c r="B8510" t="str">
        <f>"0000802309"</f>
        <v>0000802309</v>
      </c>
      <c r="C8510" t="str">
        <f t="shared" si="3472"/>
        <v>0000802195</v>
      </c>
      <c r="D8510" t="str">
        <f t="shared" si="3450"/>
        <v>73185</v>
      </c>
      <c r="E8510" t="str">
        <f t="shared" si="3451"/>
        <v>KFH-OPERATIONS DEPARTMENT</v>
      </c>
      <c r="F8510" t="str">
        <f t="shared" si="3452"/>
        <v>IBG</v>
      </c>
      <c r="G8510" t="str">
        <f t="shared" si="3463"/>
        <v>Refund COSHARE 10</v>
      </c>
      <c r="H8510" s="2">
        <v>251.85</v>
      </c>
      <c r="I8510" t="str">
        <f>"HASSIM BIN AB GANI"</f>
        <v>HASSIM BIN AB GANI</v>
      </c>
      <c r="J8510" t="str">
        <f t="shared" si="3466"/>
        <v>BANK ISLAM BHD</v>
      </c>
      <c r="K8510" t="str">
        <f>"14153020117596"</f>
        <v>14153020117596</v>
      </c>
      <c r="L8510" t="str">
        <f t="shared" si="3473"/>
        <v>04-08-2020</v>
      </c>
      <c r="M8510" t="str">
        <f t="shared" si="3473"/>
        <v>04-08-2020</v>
      </c>
      <c r="N8510" t="str">
        <f t="shared" si="3453"/>
        <v>001105018356</v>
      </c>
      <c r="O8510" t="str">
        <f t="shared" si="3454"/>
        <v>MYR</v>
      </c>
      <c r="P8510" t="str">
        <f t="shared" si="3474"/>
        <v>NIL</v>
      </c>
      <c r="Q8510" t="str">
        <f t="shared" si="3474"/>
        <v>NIL</v>
      </c>
      <c r="R8510" t="str">
        <f t="shared" si="3467"/>
        <v>Accepted</v>
      </c>
      <c r="S8510" t="str">
        <f t="shared" si="3455"/>
        <v>Approved</v>
      </c>
      <c r="T8510" t="str">
        <f t="shared" si="3468"/>
        <v>10.20.8.188</v>
      </c>
      <c r="U8510" t="str">
        <f t="shared" si="3456"/>
        <v>AZRAD UMAR BIN SHAARI</v>
      </c>
      <c r="V8510" t="str">
        <f t="shared" si="3457"/>
        <v>FARHANA BINTI MUSTAPA</v>
      </c>
      <c r="W8510" t="str">
        <f t="shared" si="3458"/>
        <v>04-08-2020</v>
      </c>
      <c r="X8510" t="str">
        <f t="shared" si="3459"/>
        <v>RAZIMAH ANSAR AHMAD</v>
      </c>
      <c r="Y8510" t="str">
        <f t="shared" si="3460"/>
        <v>04-08-2020</v>
      </c>
      <c r="Z8510" t="str">
        <f>"COS10200804 314"</f>
        <v>COS10200804 314</v>
      </c>
    </row>
    <row r="8511" spans="1:26" x14ac:dyDescent="0.25">
      <c r="A8511" t="str">
        <f t="shared" si="3471"/>
        <v>04-08-2020 12:28:31</v>
      </c>
      <c r="B8511" t="str">
        <f>"0000802308"</f>
        <v>0000802308</v>
      </c>
      <c r="C8511" t="str">
        <f t="shared" si="3472"/>
        <v>0000802195</v>
      </c>
      <c r="D8511" t="str">
        <f t="shared" si="3450"/>
        <v>73185</v>
      </c>
      <c r="E8511" t="str">
        <f t="shared" si="3451"/>
        <v>KFH-OPERATIONS DEPARTMENT</v>
      </c>
      <c r="F8511" t="str">
        <f t="shared" si="3452"/>
        <v>IBG</v>
      </c>
      <c r="G8511" t="str">
        <f t="shared" si="3463"/>
        <v>Refund COSHARE 10</v>
      </c>
      <c r="H8511" s="2">
        <v>529.20000000000005</v>
      </c>
      <c r="I8511" t="str">
        <f>"HASSAN BIN CHE BEDOLAH"</f>
        <v>HASSAN BIN CHE BEDOLAH</v>
      </c>
      <c r="J8511" t="str">
        <f t="shared" si="3466"/>
        <v>BANK ISLAM BHD</v>
      </c>
      <c r="K8511" t="str">
        <f>"03063020017436"</f>
        <v>03063020017436</v>
      </c>
      <c r="L8511" t="str">
        <f t="shared" si="3473"/>
        <v>04-08-2020</v>
      </c>
      <c r="M8511" t="str">
        <f t="shared" si="3473"/>
        <v>04-08-2020</v>
      </c>
      <c r="N8511" t="str">
        <f t="shared" si="3453"/>
        <v>001105018356</v>
      </c>
      <c r="O8511" t="str">
        <f t="shared" si="3454"/>
        <v>MYR</v>
      </c>
      <c r="P8511" t="str">
        <f t="shared" si="3474"/>
        <v>NIL</v>
      </c>
      <c r="Q8511" t="str">
        <f t="shared" si="3474"/>
        <v>NIL</v>
      </c>
      <c r="R8511" t="str">
        <f t="shared" si="3467"/>
        <v>Accepted</v>
      </c>
      <c r="S8511" t="str">
        <f t="shared" si="3455"/>
        <v>Approved</v>
      </c>
      <c r="T8511" t="str">
        <f t="shared" si="3468"/>
        <v>10.20.8.188</v>
      </c>
      <c r="U8511" t="str">
        <f t="shared" si="3456"/>
        <v>AZRAD UMAR BIN SHAARI</v>
      </c>
      <c r="V8511" t="str">
        <f t="shared" si="3457"/>
        <v>FARHANA BINTI MUSTAPA</v>
      </c>
      <c r="W8511" t="str">
        <f t="shared" si="3458"/>
        <v>04-08-2020</v>
      </c>
      <c r="X8511" t="str">
        <f t="shared" si="3459"/>
        <v>RAZIMAH ANSAR AHMAD</v>
      </c>
      <c r="Y8511" t="str">
        <f t="shared" si="3460"/>
        <v>04-08-2020</v>
      </c>
      <c r="Z8511" t="str">
        <f>"COS10200804 313"</f>
        <v>COS10200804 313</v>
      </c>
    </row>
    <row r="8512" spans="1:26" x14ac:dyDescent="0.25">
      <c r="A8512" t="str">
        <f t="shared" si="3471"/>
        <v>04-08-2020 12:28:31</v>
      </c>
      <c r="B8512" t="str">
        <f>"0000802307"</f>
        <v>0000802307</v>
      </c>
      <c r="C8512" t="str">
        <f t="shared" si="3472"/>
        <v>0000802195</v>
      </c>
      <c r="D8512" t="str">
        <f t="shared" si="3450"/>
        <v>73185</v>
      </c>
      <c r="E8512" t="str">
        <f t="shared" si="3451"/>
        <v>KFH-OPERATIONS DEPARTMENT</v>
      </c>
      <c r="F8512" t="str">
        <f t="shared" si="3452"/>
        <v>IBG</v>
      </c>
      <c r="G8512" t="str">
        <f t="shared" si="3463"/>
        <v>Refund COSHARE 10</v>
      </c>
      <c r="H8512" s="2">
        <v>571</v>
      </c>
      <c r="I8512" t="str">
        <f>"HASNINA BINTI MAT HUSSIN"</f>
        <v>HASNINA BINTI MAT HUSSIN</v>
      </c>
      <c r="J8512" t="str">
        <f t="shared" si="3466"/>
        <v>BANK ISLAM BHD</v>
      </c>
      <c r="K8512" t="str">
        <f>"02020020367113"</f>
        <v>02020020367113</v>
      </c>
      <c r="L8512" t="str">
        <f t="shared" si="3473"/>
        <v>04-08-2020</v>
      </c>
      <c r="M8512" t="str">
        <f t="shared" si="3473"/>
        <v>04-08-2020</v>
      </c>
      <c r="N8512" t="str">
        <f t="shared" si="3453"/>
        <v>001105018356</v>
      </c>
      <c r="O8512" t="str">
        <f t="shared" si="3454"/>
        <v>MYR</v>
      </c>
      <c r="P8512" t="str">
        <f t="shared" si="3474"/>
        <v>NIL</v>
      </c>
      <c r="Q8512" t="str">
        <f t="shared" si="3474"/>
        <v>NIL</v>
      </c>
      <c r="R8512" t="str">
        <f t="shared" si="3467"/>
        <v>Accepted</v>
      </c>
      <c r="S8512" t="str">
        <f t="shared" si="3455"/>
        <v>Approved</v>
      </c>
      <c r="T8512" t="str">
        <f t="shared" si="3468"/>
        <v>10.20.8.188</v>
      </c>
      <c r="U8512" t="str">
        <f t="shared" si="3456"/>
        <v>AZRAD UMAR BIN SHAARI</v>
      </c>
      <c r="V8512" t="str">
        <f t="shared" si="3457"/>
        <v>FARHANA BINTI MUSTAPA</v>
      </c>
      <c r="W8512" t="str">
        <f t="shared" si="3458"/>
        <v>04-08-2020</v>
      </c>
      <c r="X8512" t="str">
        <f t="shared" si="3459"/>
        <v>RAZIMAH ANSAR AHMAD</v>
      </c>
      <c r="Y8512" t="str">
        <f t="shared" si="3460"/>
        <v>04-08-2020</v>
      </c>
      <c r="Z8512" t="str">
        <f>"COS10200804 312"</f>
        <v>COS10200804 312</v>
      </c>
    </row>
    <row r="8513" spans="1:26" x14ac:dyDescent="0.25">
      <c r="A8513" t="str">
        <f t="shared" si="3471"/>
        <v>04-08-2020 12:28:31</v>
      </c>
      <c r="B8513" t="str">
        <f>"0000802306"</f>
        <v>0000802306</v>
      </c>
      <c r="C8513" t="str">
        <f t="shared" si="3472"/>
        <v>0000802195</v>
      </c>
      <c r="D8513" t="str">
        <f t="shared" si="3450"/>
        <v>73185</v>
      </c>
      <c r="E8513" t="str">
        <f t="shared" si="3451"/>
        <v>KFH-OPERATIONS DEPARTMENT</v>
      </c>
      <c r="F8513" t="str">
        <f t="shared" si="3452"/>
        <v>IBG</v>
      </c>
      <c r="G8513" t="str">
        <f t="shared" si="3463"/>
        <v>Refund COSHARE 10</v>
      </c>
      <c r="H8513" s="2">
        <v>1274</v>
      </c>
      <c r="I8513" t="str">
        <f>"HASNIDAR BINTI MUHAMMAD SIDDEK"</f>
        <v>HASNIDAR BINTI MUHAMMAD SIDDEK</v>
      </c>
      <c r="J8513" t="str">
        <f t="shared" si="3466"/>
        <v>BANK ISLAM BHD</v>
      </c>
      <c r="K8513" t="str">
        <f>"12083020470206"</f>
        <v>12083020470206</v>
      </c>
      <c r="L8513" t="str">
        <f t="shared" si="3473"/>
        <v>04-08-2020</v>
      </c>
      <c r="M8513" t="str">
        <f t="shared" si="3473"/>
        <v>04-08-2020</v>
      </c>
      <c r="N8513" t="str">
        <f t="shared" si="3453"/>
        <v>001105018356</v>
      </c>
      <c r="O8513" t="str">
        <f t="shared" si="3454"/>
        <v>MYR</v>
      </c>
      <c r="P8513" t="str">
        <f t="shared" si="3474"/>
        <v>NIL</v>
      </c>
      <c r="Q8513" t="str">
        <f t="shared" si="3474"/>
        <v>NIL</v>
      </c>
      <c r="R8513" t="str">
        <f t="shared" si="3467"/>
        <v>Accepted</v>
      </c>
      <c r="S8513" t="str">
        <f t="shared" si="3455"/>
        <v>Approved</v>
      </c>
      <c r="T8513" t="str">
        <f t="shared" si="3468"/>
        <v>10.20.8.188</v>
      </c>
      <c r="U8513" t="str">
        <f t="shared" si="3456"/>
        <v>AZRAD UMAR BIN SHAARI</v>
      </c>
      <c r="V8513" t="str">
        <f t="shared" si="3457"/>
        <v>FARHANA BINTI MUSTAPA</v>
      </c>
      <c r="W8513" t="str">
        <f t="shared" si="3458"/>
        <v>04-08-2020</v>
      </c>
      <c r="X8513" t="str">
        <f t="shared" si="3459"/>
        <v>RAZIMAH ANSAR AHMAD</v>
      </c>
      <c r="Y8513" t="str">
        <f t="shared" si="3460"/>
        <v>04-08-2020</v>
      </c>
      <c r="Z8513" t="str">
        <f>"COS10200804 311"</f>
        <v>COS10200804 311</v>
      </c>
    </row>
    <row r="8514" spans="1:26" x14ac:dyDescent="0.25">
      <c r="A8514" t="str">
        <f t="shared" si="3471"/>
        <v>04-08-2020 12:28:31</v>
      </c>
      <c r="B8514" t="str">
        <f>"0000802305"</f>
        <v>0000802305</v>
      </c>
      <c r="C8514" t="str">
        <f t="shared" si="3472"/>
        <v>0000802195</v>
      </c>
      <c r="D8514" t="str">
        <f t="shared" si="3450"/>
        <v>73185</v>
      </c>
      <c r="E8514" t="str">
        <f t="shared" si="3451"/>
        <v>KFH-OPERATIONS DEPARTMENT</v>
      </c>
      <c r="F8514" t="str">
        <f t="shared" si="3452"/>
        <v>IBG</v>
      </c>
      <c r="G8514" t="str">
        <f t="shared" si="3463"/>
        <v>Refund COSHARE 10</v>
      </c>
      <c r="H8514" s="2">
        <v>44.35</v>
      </c>
      <c r="I8514" t="str">
        <f>"HASNAN BIN HASBULLAH"</f>
        <v>HASNAN BIN HASBULLAH</v>
      </c>
      <c r="J8514" t="str">
        <f t="shared" si="3466"/>
        <v>BANK ISLAM BHD</v>
      </c>
      <c r="K8514" t="str">
        <f>"08068020514874"</f>
        <v>08068020514874</v>
      </c>
      <c r="L8514" t="str">
        <f t="shared" si="3473"/>
        <v>04-08-2020</v>
      </c>
      <c r="M8514" t="str">
        <f t="shared" si="3473"/>
        <v>04-08-2020</v>
      </c>
      <c r="N8514" t="str">
        <f t="shared" si="3453"/>
        <v>001105018356</v>
      </c>
      <c r="O8514" t="str">
        <f t="shared" si="3454"/>
        <v>MYR</v>
      </c>
      <c r="P8514" t="str">
        <f t="shared" si="3474"/>
        <v>NIL</v>
      </c>
      <c r="Q8514" t="str">
        <f t="shared" si="3474"/>
        <v>NIL</v>
      </c>
      <c r="R8514" t="str">
        <f t="shared" si="3467"/>
        <v>Accepted</v>
      </c>
      <c r="S8514" t="str">
        <f t="shared" si="3455"/>
        <v>Approved</v>
      </c>
      <c r="T8514" t="str">
        <f t="shared" si="3468"/>
        <v>10.20.8.188</v>
      </c>
      <c r="U8514" t="str">
        <f t="shared" si="3456"/>
        <v>AZRAD UMAR BIN SHAARI</v>
      </c>
      <c r="V8514" t="str">
        <f t="shared" si="3457"/>
        <v>FARHANA BINTI MUSTAPA</v>
      </c>
      <c r="W8514" t="str">
        <f t="shared" si="3458"/>
        <v>04-08-2020</v>
      </c>
      <c r="X8514" t="str">
        <f t="shared" si="3459"/>
        <v>RAZIMAH ANSAR AHMAD</v>
      </c>
      <c r="Y8514" t="str">
        <f t="shared" si="3460"/>
        <v>04-08-2020</v>
      </c>
      <c r="Z8514" t="str">
        <f>"COS10200804 310"</f>
        <v>COS10200804 310</v>
      </c>
    </row>
    <row r="8515" spans="1:26" x14ac:dyDescent="0.25">
      <c r="A8515" t="str">
        <f t="shared" si="3471"/>
        <v>04-08-2020 12:28:31</v>
      </c>
      <c r="B8515" t="str">
        <f>"0000802304"</f>
        <v>0000802304</v>
      </c>
      <c r="C8515" t="str">
        <f t="shared" si="3472"/>
        <v>0000802195</v>
      </c>
      <c r="D8515" t="str">
        <f t="shared" si="3450"/>
        <v>73185</v>
      </c>
      <c r="E8515" t="str">
        <f t="shared" si="3451"/>
        <v>KFH-OPERATIONS DEPARTMENT</v>
      </c>
      <c r="F8515" t="str">
        <f t="shared" si="3452"/>
        <v>IBG</v>
      </c>
      <c r="G8515" t="str">
        <f t="shared" si="3463"/>
        <v>Refund COSHARE 10</v>
      </c>
      <c r="H8515" s="2">
        <v>193.1</v>
      </c>
      <c r="I8515" t="str">
        <f>"HASNAN BIN HASBULLAH"</f>
        <v>HASNAN BIN HASBULLAH</v>
      </c>
      <c r="J8515" t="str">
        <f t="shared" si="3466"/>
        <v>BANK ISLAM BHD</v>
      </c>
      <c r="K8515" t="str">
        <f>"08068020514874"</f>
        <v>08068020514874</v>
      </c>
      <c r="L8515" t="str">
        <f t="shared" si="3473"/>
        <v>04-08-2020</v>
      </c>
      <c r="M8515" t="str">
        <f t="shared" si="3473"/>
        <v>04-08-2020</v>
      </c>
      <c r="N8515" t="str">
        <f t="shared" si="3453"/>
        <v>001105018356</v>
      </c>
      <c r="O8515" t="str">
        <f t="shared" si="3454"/>
        <v>MYR</v>
      </c>
      <c r="P8515" t="str">
        <f t="shared" si="3474"/>
        <v>NIL</v>
      </c>
      <c r="Q8515" t="str">
        <f t="shared" si="3474"/>
        <v>NIL</v>
      </c>
      <c r="R8515" t="str">
        <f t="shared" si="3467"/>
        <v>Accepted</v>
      </c>
      <c r="S8515" t="str">
        <f t="shared" si="3455"/>
        <v>Approved</v>
      </c>
      <c r="T8515" t="str">
        <f t="shared" si="3468"/>
        <v>10.20.8.188</v>
      </c>
      <c r="U8515" t="str">
        <f t="shared" si="3456"/>
        <v>AZRAD UMAR BIN SHAARI</v>
      </c>
      <c r="V8515" t="str">
        <f t="shared" si="3457"/>
        <v>FARHANA BINTI MUSTAPA</v>
      </c>
      <c r="W8515" t="str">
        <f t="shared" si="3458"/>
        <v>04-08-2020</v>
      </c>
      <c r="X8515" t="str">
        <f t="shared" si="3459"/>
        <v>RAZIMAH ANSAR AHMAD</v>
      </c>
      <c r="Y8515" t="str">
        <f t="shared" si="3460"/>
        <v>04-08-2020</v>
      </c>
      <c r="Z8515" t="str">
        <f>"COS10200804 309"</f>
        <v>COS10200804 309</v>
      </c>
    </row>
    <row r="8516" spans="1:26" x14ac:dyDescent="0.25">
      <c r="A8516" t="str">
        <f t="shared" si="3471"/>
        <v>04-08-2020 12:28:31</v>
      </c>
      <c r="B8516" t="str">
        <f>"0000802303"</f>
        <v>0000802303</v>
      </c>
      <c r="C8516" t="str">
        <f t="shared" si="3472"/>
        <v>0000802195</v>
      </c>
      <c r="D8516" t="str">
        <f t="shared" si="3450"/>
        <v>73185</v>
      </c>
      <c r="E8516" t="str">
        <f t="shared" si="3451"/>
        <v>KFH-OPERATIONS DEPARTMENT</v>
      </c>
      <c r="F8516" t="str">
        <f t="shared" si="3452"/>
        <v>IBG</v>
      </c>
      <c r="G8516" t="str">
        <f t="shared" si="3463"/>
        <v>Refund COSHARE 10</v>
      </c>
      <c r="H8516" s="2">
        <v>1443.95</v>
      </c>
      <c r="I8516" t="str">
        <f>"HASNAH BINTI HARUN"</f>
        <v>HASNAH BINTI HARUN</v>
      </c>
      <c r="J8516" t="str">
        <f t="shared" si="3466"/>
        <v>BANK ISLAM BHD</v>
      </c>
      <c r="K8516" t="str">
        <f>"06028024871576"</f>
        <v>06028024871576</v>
      </c>
      <c r="L8516" t="str">
        <f t="shared" si="3473"/>
        <v>04-08-2020</v>
      </c>
      <c r="M8516" t="str">
        <f t="shared" si="3473"/>
        <v>04-08-2020</v>
      </c>
      <c r="N8516" t="str">
        <f t="shared" si="3453"/>
        <v>001105018356</v>
      </c>
      <c r="O8516" t="str">
        <f t="shared" si="3454"/>
        <v>MYR</v>
      </c>
      <c r="P8516" t="str">
        <f t="shared" si="3474"/>
        <v>NIL</v>
      </c>
      <c r="Q8516" t="str">
        <f t="shared" si="3474"/>
        <v>NIL</v>
      </c>
      <c r="R8516" t="str">
        <f t="shared" si="3467"/>
        <v>Accepted</v>
      </c>
      <c r="S8516" t="str">
        <f t="shared" si="3455"/>
        <v>Approved</v>
      </c>
      <c r="T8516" t="str">
        <f t="shared" si="3468"/>
        <v>10.20.8.188</v>
      </c>
      <c r="U8516" t="str">
        <f t="shared" si="3456"/>
        <v>AZRAD UMAR BIN SHAARI</v>
      </c>
      <c r="V8516" t="str">
        <f t="shared" si="3457"/>
        <v>FARHANA BINTI MUSTAPA</v>
      </c>
      <c r="W8516" t="str">
        <f t="shared" si="3458"/>
        <v>04-08-2020</v>
      </c>
      <c r="X8516" t="str">
        <f t="shared" si="3459"/>
        <v>RAZIMAH ANSAR AHMAD</v>
      </c>
      <c r="Y8516" t="str">
        <f t="shared" si="3460"/>
        <v>04-08-2020</v>
      </c>
      <c r="Z8516" t="str">
        <f>"COS10200804 308"</f>
        <v>COS10200804 308</v>
      </c>
    </row>
    <row r="8517" spans="1:26" x14ac:dyDescent="0.25">
      <c r="A8517" t="str">
        <f t="shared" si="3471"/>
        <v>04-08-2020 12:28:31</v>
      </c>
      <c r="B8517" t="str">
        <f>"0000802302"</f>
        <v>0000802302</v>
      </c>
      <c r="C8517" t="str">
        <f t="shared" si="3472"/>
        <v>0000802195</v>
      </c>
      <c r="D8517" t="str">
        <f t="shared" si="3450"/>
        <v>73185</v>
      </c>
      <c r="E8517" t="str">
        <f t="shared" si="3451"/>
        <v>KFH-OPERATIONS DEPARTMENT</v>
      </c>
      <c r="F8517" t="str">
        <f t="shared" si="3452"/>
        <v>IBG</v>
      </c>
      <c r="G8517" t="str">
        <f t="shared" si="3463"/>
        <v>Refund COSHARE 10</v>
      </c>
      <c r="H8517" s="2">
        <v>1032.5999999999999</v>
      </c>
      <c r="I8517" t="str">
        <f>"HASLINDA BINTI MOHAMED YUSOF"</f>
        <v>HASLINDA BINTI MOHAMED YUSOF</v>
      </c>
      <c r="J8517" t="str">
        <f t="shared" si="3466"/>
        <v>BANK ISLAM BHD</v>
      </c>
      <c r="K8517" t="str">
        <f>"02039025155681"</f>
        <v>02039025155681</v>
      </c>
      <c r="L8517" t="str">
        <f t="shared" si="3473"/>
        <v>04-08-2020</v>
      </c>
      <c r="M8517" t="str">
        <f t="shared" si="3473"/>
        <v>04-08-2020</v>
      </c>
      <c r="N8517" t="str">
        <f t="shared" si="3453"/>
        <v>001105018356</v>
      </c>
      <c r="O8517" t="str">
        <f t="shared" si="3454"/>
        <v>MYR</v>
      </c>
      <c r="P8517" t="str">
        <f t="shared" si="3474"/>
        <v>NIL</v>
      </c>
      <c r="Q8517" t="str">
        <f t="shared" si="3474"/>
        <v>NIL</v>
      </c>
      <c r="R8517" t="str">
        <f t="shared" si="3467"/>
        <v>Accepted</v>
      </c>
      <c r="S8517" t="str">
        <f t="shared" si="3455"/>
        <v>Approved</v>
      </c>
      <c r="T8517" t="str">
        <f t="shared" si="3468"/>
        <v>10.20.8.188</v>
      </c>
      <c r="U8517" t="str">
        <f t="shared" si="3456"/>
        <v>AZRAD UMAR BIN SHAARI</v>
      </c>
      <c r="V8517" t="str">
        <f t="shared" si="3457"/>
        <v>FARHANA BINTI MUSTAPA</v>
      </c>
      <c r="W8517" t="str">
        <f t="shared" si="3458"/>
        <v>04-08-2020</v>
      </c>
      <c r="X8517" t="str">
        <f t="shared" si="3459"/>
        <v>RAZIMAH ANSAR AHMAD</v>
      </c>
      <c r="Y8517" t="str">
        <f t="shared" si="3460"/>
        <v>04-08-2020</v>
      </c>
      <c r="Z8517" t="str">
        <f>"COS10200804 307"</f>
        <v>COS10200804 307</v>
      </c>
    </row>
    <row r="8518" spans="1:26" x14ac:dyDescent="0.25">
      <c r="A8518" t="str">
        <f t="shared" si="3471"/>
        <v>04-08-2020 12:28:31</v>
      </c>
      <c r="B8518" t="str">
        <f>"0000802301"</f>
        <v>0000802301</v>
      </c>
      <c r="C8518" t="str">
        <f t="shared" si="3472"/>
        <v>0000802195</v>
      </c>
      <c r="D8518" t="str">
        <f t="shared" si="3450"/>
        <v>73185</v>
      </c>
      <c r="E8518" t="str">
        <f t="shared" si="3451"/>
        <v>KFH-OPERATIONS DEPARTMENT</v>
      </c>
      <c r="F8518" t="str">
        <f t="shared" si="3452"/>
        <v>IBG</v>
      </c>
      <c r="G8518" t="str">
        <f t="shared" si="3463"/>
        <v>Refund COSHARE 10</v>
      </c>
      <c r="H8518" s="2">
        <v>176</v>
      </c>
      <c r="I8518" t="str">
        <f>"HASLI BIN HANAFI"</f>
        <v>HASLI BIN HANAFI</v>
      </c>
      <c r="J8518" t="str">
        <f t="shared" si="3466"/>
        <v>BANK ISLAM BHD</v>
      </c>
      <c r="K8518" t="str">
        <f>"12122020098411"</f>
        <v>12122020098411</v>
      </c>
      <c r="L8518" t="str">
        <f t="shared" si="3473"/>
        <v>04-08-2020</v>
      </c>
      <c r="M8518" t="str">
        <f t="shared" si="3473"/>
        <v>04-08-2020</v>
      </c>
      <c r="N8518" t="str">
        <f t="shared" si="3453"/>
        <v>001105018356</v>
      </c>
      <c r="O8518" t="str">
        <f t="shared" si="3454"/>
        <v>MYR</v>
      </c>
      <c r="P8518" t="str">
        <f t="shared" si="3474"/>
        <v>NIL</v>
      </c>
      <c r="Q8518" t="str">
        <f t="shared" si="3474"/>
        <v>NIL</v>
      </c>
      <c r="R8518" t="str">
        <f t="shared" si="3467"/>
        <v>Accepted</v>
      </c>
      <c r="S8518" t="str">
        <f t="shared" si="3455"/>
        <v>Approved</v>
      </c>
      <c r="T8518" t="str">
        <f t="shared" si="3468"/>
        <v>10.20.8.188</v>
      </c>
      <c r="U8518" t="str">
        <f t="shared" si="3456"/>
        <v>AZRAD UMAR BIN SHAARI</v>
      </c>
      <c r="V8518" t="str">
        <f t="shared" si="3457"/>
        <v>FARHANA BINTI MUSTAPA</v>
      </c>
      <c r="W8518" t="str">
        <f t="shared" si="3458"/>
        <v>04-08-2020</v>
      </c>
      <c r="X8518" t="str">
        <f t="shared" si="3459"/>
        <v>RAZIMAH ANSAR AHMAD</v>
      </c>
      <c r="Y8518" t="str">
        <f t="shared" si="3460"/>
        <v>04-08-2020</v>
      </c>
      <c r="Z8518" t="str">
        <f>"COS10200804 306"</f>
        <v>COS10200804 306</v>
      </c>
    </row>
    <row r="8519" spans="1:26" x14ac:dyDescent="0.25">
      <c r="A8519" t="str">
        <f t="shared" si="3471"/>
        <v>04-08-2020 12:28:31</v>
      </c>
      <c r="B8519" t="str">
        <f>"0000802300"</f>
        <v>0000802300</v>
      </c>
      <c r="C8519" t="str">
        <f t="shared" si="3472"/>
        <v>0000802195</v>
      </c>
      <c r="D8519" t="str">
        <f t="shared" ref="D8519:D8582" si="3475">"73185"</f>
        <v>73185</v>
      </c>
      <c r="E8519" t="str">
        <f t="shared" ref="E8519:E8582" si="3476">"KFH-OPERATIONS DEPARTMENT"</f>
        <v>KFH-OPERATIONS DEPARTMENT</v>
      </c>
      <c r="F8519" t="str">
        <f t="shared" ref="F8519:F8582" si="3477">"IBG"</f>
        <v>IBG</v>
      </c>
      <c r="G8519" t="str">
        <f t="shared" si="3463"/>
        <v>Refund COSHARE 10</v>
      </c>
      <c r="H8519" s="2">
        <v>98.25</v>
      </c>
      <c r="I8519" t="str">
        <f>"HASINDA  HASLINDA BINTI HUSSIN"</f>
        <v>HASINDA  HASLINDA BINTI HUSSIN</v>
      </c>
      <c r="J8519" t="str">
        <f t="shared" si="3466"/>
        <v>BANK ISLAM BHD</v>
      </c>
      <c r="K8519" t="str">
        <f>"03036020183960"</f>
        <v>03036020183960</v>
      </c>
      <c r="L8519" t="str">
        <f t="shared" si="3473"/>
        <v>04-08-2020</v>
      </c>
      <c r="M8519" t="str">
        <f t="shared" si="3473"/>
        <v>04-08-2020</v>
      </c>
      <c r="N8519" t="str">
        <f t="shared" ref="N8519:N8582" si="3478">"001105018356"</f>
        <v>001105018356</v>
      </c>
      <c r="O8519" t="str">
        <f t="shared" ref="O8519:O8582" si="3479">"MYR"</f>
        <v>MYR</v>
      </c>
      <c r="P8519" t="str">
        <f t="shared" si="3474"/>
        <v>NIL</v>
      </c>
      <c r="Q8519" t="str">
        <f t="shared" si="3474"/>
        <v>NIL</v>
      </c>
      <c r="R8519" t="str">
        <f t="shared" si="3467"/>
        <v>Accepted</v>
      </c>
      <c r="S8519" t="str">
        <f t="shared" ref="S8519:S8582" si="3480">"Approved"</f>
        <v>Approved</v>
      </c>
      <c r="T8519" t="str">
        <f t="shared" si="3468"/>
        <v>10.20.8.188</v>
      </c>
      <c r="U8519" t="str">
        <f t="shared" ref="U8519:U8582" si="3481">"AZRAD UMAR BIN SHAARI"</f>
        <v>AZRAD UMAR BIN SHAARI</v>
      </c>
      <c r="V8519" t="str">
        <f t="shared" ref="V8519:V8582" si="3482">"FARHANA BINTI MUSTAPA"</f>
        <v>FARHANA BINTI MUSTAPA</v>
      </c>
      <c r="W8519" t="str">
        <f t="shared" ref="W8519:W8582" si="3483">"04-08-2020"</f>
        <v>04-08-2020</v>
      </c>
      <c r="X8519" t="str">
        <f t="shared" ref="X8519:X8582" si="3484">"RAZIMAH ANSAR AHMAD"</f>
        <v>RAZIMAH ANSAR AHMAD</v>
      </c>
      <c r="Y8519" t="str">
        <f t="shared" ref="Y8519:Y8582" si="3485">"04-08-2020"</f>
        <v>04-08-2020</v>
      </c>
      <c r="Z8519" t="str">
        <f>"COS10200804 305"</f>
        <v>COS10200804 305</v>
      </c>
    </row>
    <row r="8520" spans="1:26" x14ac:dyDescent="0.25">
      <c r="A8520" t="str">
        <f t="shared" ref="A8520:A8551" si="3486">"04-08-2020 12:28:31"</f>
        <v>04-08-2020 12:28:31</v>
      </c>
      <c r="B8520" t="str">
        <f>"0000802299"</f>
        <v>0000802299</v>
      </c>
      <c r="C8520" t="str">
        <f t="shared" ref="C8520:C8551" si="3487">"0000802195"</f>
        <v>0000802195</v>
      </c>
      <c r="D8520" t="str">
        <f t="shared" si="3475"/>
        <v>73185</v>
      </c>
      <c r="E8520" t="str">
        <f t="shared" si="3476"/>
        <v>KFH-OPERATIONS DEPARTMENT</v>
      </c>
      <c r="F8520" t="str">
        <f t="shared" si="3477"/>
        <v>IBG</v>
      </c>
      <c r="G8520" t="str">
        <f t="shared" si="3463"/>
        <v>Refund COSHARE 10</v>
      </c>
      <c r="H8520" s="2">
        <v>788.15</v>
      </c>
      <c r="I8520" t="str">
        <f>"HASIAH BINTI YAACOB"</f>
        <v>HASIAH BINTI YAACOB</v>
      </c>
      <c r="J8520" t="str">
        <f t="shared" si="3466"/>
        <v>BANK ISLAM BHD</v>
      </c>
      <c r="K8520" t="str">
        <f>"03018020731371"</f>
        <v>03018020731371</v>
      </c>
      <c r="L8520" t="str">
        <f t="shared" si="3473"/>
        <v>04-08-2020</v>
      </c>
      <c r="M8520" t="str">
        <f t="shared" si="3473"/>
        <v>04-08-2020</v>
      </c>
      <c r="N8520" t="str">
        <f t="shared" si="3478"/>
        <v>001105018356</v>
      </c>
      <c r="O8520" t="str">
        <f t="shared" si="3479"/>
        <v>MYR</v>
      </c>
      <c r="P8520" t="str">
        <f t="shared" si="3474"/>
        <v>NIL</v>
      </c>
      <c r="Q8520" t="str">
        <f t="shared" si="3474"/>
        <v>NIL</v>
      </c>
      <c r="R8520" t="str">
        <f t="shared" si="3467"/>
        <v>Accepted</v>
      </c>
      <c r="S8520" t="str">
        <f t="shared" si="3480"/>
        <v>Approved</v>
      </c>
      <c r="T8520" t="str">
        <f t="shared" si="3468"/>
        <v>10.20.8.188</v>
      </c>
      <c r="U8520" t="str">
        <f t="shared" si="3481"/>
        <v>AZRAD UMAR BIN SHAARI</v>
      </c>
      <c r="V8520" t="str">
        <f t="shared" si="3482"/>
        <v>FARHANA BINTI MUSTAPA</v>
      </c>
      <c r="W8520" t="str">
        <f t="shared" si="3483"/>
        <v>04-08-2020</v>
      </c>
      <c r="X8520" t="str">
        <f t="shared" si="3484"/>
        <v>RAZIMAH ANSAR AHMAD</v>
      </c>
      <c r="Y8520" t="str">
        <f t="shared" si="3485"/>
        <v>04-08-2020</v>
      </c>
      <c r="Z8520" t="str">
        <f>"COS10200804 304"</f>
        <v>COS10200804 304</v>
      </c>
    </row>
    <row r="8521" spans="1:26" x14ac:dyDescent="0.25">
      <c r="A8521" t="str">
        <f t="shared" si="3486"/>
        <v>04-08-2020 12:28:31</v>
      </c>
      <c r="B8521" t="str">
        <f>"0000802298"</f>
        <v>0000802298</v>
      </c>
      <c r="C8521" t="str">
        <f t="shared" si="3487"/>
        <v>0000802195</v>
      </c>
      <c r="D8521" t="str">
        <f t="shared" si="3475"/>
        <v>73185</v>
      </c>
      <c r="E8521" t="str">
        <f t="shared" si="3476"/>
        <v>KFH-OPERATIONS DEPARTMENT</v>
      </c>
      <c r="F8521" t="str">
        <f t="shared" si="3477"/>
        <v>IBG</v>
      </c>
      <c r="G8521" t="str">
        <f t="shared" si="3463"/>
        <v>Refund COSHARE 10</v>
      </c>
      <c r="H8521" s="2">
        <v>1708.85</v>
      </c>
      <c r="I8521" t="str">
        <f>"HARRIS GANAE BIN NAINAR"</f>
        <v>HARRIS GANAE BIN NAINAR</v>
      </c>
      <c r="J8521" t="str">
        <f t="shared" si="3466"/>
        <v>BANK ISLAM BHD</v>
      </c>
      <c r="K8521" t="str">
        <f>"02020020902883"</f>
        <v>02020020902883</v>
      </c>
      <c r="L8521" t="str">
        <f t="shared" si="3473"/>
        <v>04-08-2020</v>
      </c>
      <c r="M8521" t="str">
        <f t="shared" si="3473"/>
        <v>04-08-2020</v>
      </c>
      <c r="N8521" t="str">
        <f t="shared" si="3478"/>
        <v>001105018356</v>
      </c>
      <c r="O8521" t="str">
        <f t="shared" si="3479"/>
        <v>MYR</v>
      </c>
      <c r="P8521" t="str">
        <f t="shared" si="3474"/>
        <v>NIL</v>
      </c>
      <c r="Q8521" t="str">
        <f t="shared" si="3474"/>
        <v>NIL</v>
      </c>
      <c r="R8521" t="str">
        <f t="shared" si="3467"/>
        <v>Accepted</v>
      </c>
      <c r="S8521" t="str">
        <f t="shared" si="3480"/>
        <v>Approved</v>
      </c>
      <c r="T8521" t="str">
        <f t="shared" si="3468"/>
        <v>10.20.8.188</v>
      </c>
      <c r="U8521" t="str">
        <f t="shared" si="3481"/>
        <v>AZRAD UMAR BIN SHAARI</v>
      </c>
      <c r="V8521" t="str">
        <f t="shared" si="3482"/>
        <v>FARHANA BINTI MUSTAPA</v>
      </c>
      <c r="W8521" t="str">
        <f t="shared" si="3483"/>
        <v>04-08-2020</v>
      </c>
      <c r="X8521" t="str">
        <f t="shared" si="3484"/>
        <v>RAZIMAH ANSAR AHMAD</v>
      </c>
      <c r="Y8521" t="str">
        <f t="shared" si="3485"/>
        <v>04-08-2020</v>
      </c>
      <c r="Z8521" t="str">
        <f>"COS10200804 303"</f>
        <v>COS10200804 303</v>
      </c>
    </row>
    <row r="8522" spans="1:26" x14ac:dyDescent="0.25">
      <c r="A8522" t="str">
        <f t="shared" si="3486"/>
        <v>04-08-2020 12:28:31</v>
      </c>
      <c r="B8522" t="str">
        <f>"0000802297"</f>
        <v>0000802297</v>
      </c>
      <c r="C8522" t="str">
        <f t="shared" si="3487"/>
        <v>0000802195</v>
      </c>
      <c r="D8522" t="str">
        <f t="shared" si="3475"/>
        <v>73185</v>
      </c>
      <c r="E8522" t="str">
        <f t="shared" si="3476"/>
        <v>KFH-OPERATIONS DEPARTMENT</v>
      </c>
      <c r="F8522" t="str">
        <f t="shared" si="3477"/>
        <v>IBG</v>
      </c>
      <c r="G8522" t="str">
        <f t="shared" si="3463"/>
        <v>Refund COSHARE 10</v>
      </c>
      <c r="H8522" s="2">
        <v>184.7</v>
      </c>
      <c r="I8522" t="str">
        <f>"HARITA BINTI BABA"</f>
        <v>HARITA BINTI BABA</v>
      </c>
      <c r="J8522" t="str">
        <f t="shared" si="3466"/>
        <v>BANK ISLAM BHD</v>
      </c>
      <c r="K8522" t="str">
        <f>"12092020070204"</f>
        <v>12092020070204</v>
      </c>
      <c r="L8522" t="str">
        <f t="shared" si="3473"/>
        <v>04-08-2020</v>
      </c>
      <c r="M8522" t="str">
        <f t="shared" si="3473"/>
        <v>04-08-2020</v>
      </c>
      <c r="N8522" t="str">
        <f t="shared" si="3478"/>
        <v>001105018356</v>
      </c>
      <c r="O8522" t="str">
        <f t="shared" si="3479"/>
        <v>MYR</v>
      </c>
      <c r="P8522" t="str">
        <f t="shared" si="3474"/>
        <v>NIL</v>
      </c>
      <c r="Q8522" t="str">
        <f t="shared" si="3474"/>
        <v>NIL</v>
      </c>
      <c r="R8522" t="str">
        <f t="shared" si="3467"/>
        <v>Accepted</v>
      </c>
      <c r="S8522" t="str">
        <f t="shared" si="3480"/>
        <v>Approved</v>
      </c>
      <c r="T8522" t="str">
        <f t="shared" si="3468"/>
        <v>10.20.8.188</v>
      </c>
      <c r="U8522" t="str">
        <f t="shared" si="3481"/>
        <v>AZRAD UMAR BIN SHAARI</v>
      </c>
      <c r="V8522" t="str">
        <f t="shared" si="3482"/>
        <v>FARHANA BINTI MUSTAPA</v>
      </c>
      <c r="W8522" t="str">
        <f t="shared" si="3483"/>
        <v>04-08-2020</v>
      </c>
      <c r="X8522" t="str">
        <f t="shared" si="3484"/>
        <v>RAZIMAH ANSAR AHMAD</v>
      </c>
      <c r="Y8522" t="str">
        <f t="shared" si="3485"/>
        <v>04-08-2020</v>
      </c>
      <c r="Z8522" t="str">
        <f>"COS10200804 302"</f>
        <v>COS10200804 302</v>
      </c>
    </row>
    <row r="8523" spans="1:26" x14ac:dyDescent="0.25">
      <c r="A8523" t="str">
        <f t="shared" si="3486"/>
        <v>04-08-2020 12:28:31</v>
      </c>
      <c r="B8523" t="str">
        <f>"0000802296"</f>
        <v>0000802296</v>
      </c>
      <c r="C8523" t="str">
        <f t="shared" si="3487"/>
        <v>0000802195</v>
      </c>
      <c r="D8523" t="str">
        <f t="shared" si="3475"/>
        <v>73185</v>
      </c>
      <c r="E8523" t="str">
        <f t="shared" si="3476"/>
        <v>KFH-OPERATIONS DEPARTMENT</v>
      </c>
      <c r="F8523" t="str">
        <f t="shared" si="3477"/>
        <v>IBG</v>
      </c>
      <c r="G8523" t="str">
        <f t="shared" si="3463"/>
        <v>Refund COSHARE 10</v>
      </c>
      <c r="H8523" s="2">
        <v>600</v>
      </c>
      <c r="I8523" t="str">
        <f>"HARFIZAL BIN HALID"</f>
        <v>HARFIZAL BIN HALID</v>
      </c>
      <c r="J8523" t="str">
        <f t="shared" si="3466"/>
        <v>BANK ISLAM BHD</v>
      </c>
      <c r="K8523" t="str">
        <f>"09010020322519"</f>
        <v>09010020322519</v>
      </c>
      <c r="L8523" t="str">
        <f t="shared" si="3473"/>
        <v>04-08-2020</v>
      </c>
      <c r="M8523" t="str">
        <f t="shared" si="3473"/>
        <v>04-08-2020</v>
      </c>
      <c r="N8523" t="str">
        <f t="shared" si="3478"/>
        <v>001105018356</v>
      </c>
      <c r="O8523" t="str">
        <f t="shared" si="3479"/>
        <v>MYR</v>
      </c>
      <c r="P8523" t="str">
        <f t="shared" si="3474"/>
        <v>NIL</v>
      </c>
      <c r="Q8523" t="str">
        <f t="shared" si="3474"/>
        <v>NIL</v>
      </c>
      <c r="R8523" t="str">
        <f t="shared" si="3467"/>
        <v>Accepted</v>
      </c>
      <c r="S8523" t="str">
        <f t="shared" si="3480"/>
        <v>Approved</v>
      </c>
      <c r="T8523" t="str">
        <f t="shared" si="3468"/>
        <v>10.20.8.188</v>
      </c>
      <c r="U8523" t="str">
        <f t="shared" si="3481"/>
        <v>AZRAD UMAR BIN SHAARI</v>
      </c>
      <c r="V8523" t="str">
        <f t="shared" si="3482"/>
        <v>FARHANA BINTI MUSTAPA</v>
      </c>
      <c r="W8523" t="str">
        <f t="shared" si="3483"/>
        <v>04-08-2020</v>
      </c>
      <c r="X8523" t="str">
        <f t="shared" si="3484"/>
        <v>RAZIMAH ANSAR AHMAD</v>
      </c>
      <c r="Y8523" t="str">
        <f t="shared" si="3485"/>
        <v>04-08-2020</v>
      </c>
      <c r="Z8523" t="str">
        <f>"COS10200804 301"</f>
        <v>COS10200804 301</v>
      </c>
    </row>
    <row r="8524" spans="1:26" x14ac:dyDescent="0.25">
      <c r="A8524" t="str">
        <f t="shared" si="3486"/>
        <v>04-08-2020 12:28:31</v>
      </c>
      <c r="B8524" t="str">
        <f>"0000802295"</f>
        <v>0000802295</v>
      </c>
      <c r="C8524" t="str">
        <f t="shared" si="3487"/>
        <v>0000802195</v>
      </c>
      <c r="D8524" t="str">
        <f t="shared" si="3475"/>
        <v>73185</v>
      </c>
      <c r="E8524" t="str">
        <f t="shared" si="3476"/>
        <v>KFH-OPERATIONS DEPARTMENT</v>
      </c>
      <c r="F8524" t="str">
        <f t="shared" si="3477"/>
        <v>IBG</v>
      </c>
      <c r="G8524" t="str">
        <f t="shared" ref="G8524:G8587" si="3488">"Refund COSHARE 10"</f>
        <v>Refund COSHARE 10</v>
      </c>
      <c r="H8524" s="2">
        <v>204.65</v>
      </c>
      <c r="I8524" t="str">
        <f>"HANITA BINTI SIDEK"</f>
        <v>HANITA BINTI SIDEK</v>
      </c>
      <c r="J8524" t="str">
        <f t="shared" si="3466"/>
        <v>BANK ISLAM BHD</v>
      </c>
      <c r="K8524" t="str">
        <f>"03054020107644"</f>
        <v>03054020107644</v>
      </c>
      <c r="L8524" t="str">
        <f t="shared" si="3473"/>
        <v>04-08-2020</v>
      </c>
      <c r="M8524" t="str">
        <f t="shared" si="3473"/>
        <v>04-08-2020</v>
      </c>
      <c r="N8524" t="str">
        <f t="shared" si="3478"/>
        <v>001105018356</v>
      </c>
      <c r="O8524" t="str">
        <f t="shared" si="3479"/>
        <v>MYR</v>
      </c>
      <c r="P8524" t="str">
        <f t="shared" si="3474"/>
        <v>NIL</v>
      </c>
      <c r="Q8524" t="str">
        <f t="shared" si="3474"/>
        <v>NIL</v>
      </c>
      <c r="R8524" t="str">
        <f t="shared" si="3467"/>
        <v>Accepted</v>
      </c>
      <c r="S8524" t="str">
        <f t="shared" si="3480"/>
        <v>Approved</v>
      </c>
      <c r="T8524" t="str">
        <f t="shared" si="3468"/>
        <v>10.20.8.188</v>
      </c>
      <c r="U8524" t="str">
        <f t="shared" si="3481"/>
        <v>AZRAD UMAR BIN SHAARI</v>
      </c>
      <c r="V8524" t="str">
        <f t="shared" si="3482"/>
        <v>FARHANA BINTI MUSTAPA</v>
      </c>
      <c r="W8524" t="str">
        <f t="shared" si="3483"/>
        <v>04-08-2020</v>
      </c>
      <c r="X8524" t="str">
        <f t="shared" si="3484"/>
        <v>RAZIMAH ANSAR AHMAD</v>
      </c>
      <c r="Y8524" t="str">
        <f t="shared" si="3485"/>
        <v>04-08-2020</v>
      </c>
      <c r="Z8524" t="str">
        <f>"COS10200804 300"</f>
        <v>COS10200804 300</v>
      </c>
    </row>
    <row r="8525" spans="1:26" x14ac:dyDescent="0.25">
      <c r="A8525" t="str">
        <f t="shared" si="3486"/>
        <v>04-08-2020 12:28:31</v>
      </c>
      <c r="B8525" t="str">
        <f>"0000802294"</f>
        <v>0000802294</v>
      </c>
      <c r="C8525" t="str">
        <f t="shared" si="3487"/>
        <v>0000802195</v>
      </c>
      <c r="D8525" t="str">
        <f t="shared" si="3475"/>
        <v>73185</v>
      </c>
      <c r="E8525" t="str">
        <f t="shared" si="3476"/>
        <v>KFH-OPERATIONS DEPARTMENT</v>
      </c>
      <c r="F8525" t="str">
        <f t="shared" si="3477"/>
        <v>IBG</v>
      </c>
      <c r="G8525" t="str">
        <f t="shared" si="3488"/>
        <v>Refund COSHARE 10</v>
      </c>
      <c r="H8525" s="2">
        <v>179.85</v>
      </c>
      <c r="I8525" t="str">
        <f>"HANIF BIN ABDUL RAHMAN"</f>
        <v>HANIF BIN ABDUL RAHMAN</v>
      </c>
      <c r="J8525" t="str">
        <f t="shared" si="3466"/>
        <v>BANK ISLAM BHD</v>
      </c>
      <c r="K8525" t="str">
        <f>"03018021219062"</f>
        <v>03018021219062</v>
      </c>
      <c r="L8525" t="str">
        <f t="shared" si="3473"/>
        <v>04-08-2020</v>
      </c>
      <c r="M8525" t="str">
        <f t="shared" si="3473"/>
        <v>04-08-2020</v>
      </c>
      <c r="N8525" t="str">
        <f t="shared" si="3478"/>
        <v>001105018356</v>
      </c>
      <c r="O8525" t="str">
        <f t="shared" si="3479"/>
        <v>MYR</v>
      </c>
      <c r="P8525" t="str">
        <f t="shared" si="3474"/>
        <v>NIL</v>
      </c>
      <c r="Q8525" t="str">
        <f t="shared" si="3474"/>
        <v>NIL</v>
      </c>
      <c r="R8525" t="str">
        <f t="shared" si="3467"/>
        <v>Accepted</v>
      </c>
      <c r="S8525" t="str">
        <f t="shared" si="3480"/>
        <v>Approved</v>
      </c>
      <c r="T8525" t="str">
        <f t="shared" si="3468"/>
        <v>10.20.8.188</v>
      </c>
      <c r="U8525" t="str">
        <f t="shared" si="3481"/>
        <v>AZRAD UMAR BIN SHAARI</v>
      </c>
      <c r="V8525" t="str">
        <f t="shared" si="3482"/>
        <v>FARHANA BINTI MUSTAPA</v>
      </c>
      <c r="W8525" t="str">
        <f t="shared" si="3483"/>
        <v>04-08-2020</v>
      </c>
      <c r="X8525" t="str">
        <f t="shared" si="3484"/>
        <v>RAZIMAH ANSAR AHMAD</v>
      </c>
      <c r="Y8525" t="str">
        <f t="shared" si="3485"/>
        <v>04-08-2020</v>
      </c>
      <c r="Z8525" t="str">
        <f>"COS10200804 299"</f>
        <v>COS10200804 299</v>
      </c>
    </row>
    <row r="8526" spans="1:26" x14ac:dyDescent="0.25">
      <c r="A8526" t="str">
        <f t="shared" si="3486"/>
        <v>04-08-2020 12:28:31</v>
      </c>
      <c r="B8526" t="str">
        <f>"0000802293"</f>
        <v>0000802293</v>
      </c>
      <c r="C8526" t="str">
        <f t="shared" si="3487"/>
        <v>0000802195</v>
      </c>
      <c r="D8526" t="str">
        <f t="shared" si="3475"/>
        <v>73185</v>
      </c>
      <c r="E8526" t="str">
        <f t="shared" si="3476"/>
        <v>KFH-OPERATIONS DEPARTMENT</v>
      </c>
      <c r="F8526" t="str">
        <f t="shared" si="3477"/>
        <v>IBG</v>
      </c>
      <c r="G8526" t="str">
        <f t="shared" si="3488"/>
        <v>Refund COSHARE 10</v>
      </c>
      <c r="H8526" s="2">
        <v>1351</v>
      </c>
      <c r="I8526" t="str">
        <f>"HANAFI BIN HASAN"</f>
        <v>HANAFI BIN HASAN</v>
      </c>
      <c r="J8526" t="str">
        <f t="shared" si="3466"/>
        <v>BANK ISLAM BHD</v>
      </c>
      <c r="K8526" t="str">
        <f>"12177029674033"</f>
        <v>12177029674033</v>
      </c>
      <c r="L8526" t="str">
        <f t="shared" si="3473"/>
        <v>04-08-2020</v>
      </c>
      <c r="M8526" t="str">
        <f t="shared" si="3473"/>
        <v>04-08-2020</v>
      </c>
      <c r="N8526" t="str">
        <f t="shared" si="3478"/>
        <v>001105018356</v>
      </c>
      <c r="O8526" t="str">
        <f t="shared" si="3479"/>
        <v>MYR</v>
      </c>
      <c r="P8526" t="str">
        <f t="shared" si="3474"/>
        <v>NIL</v>
      </c>
      <c r="Q8526" t="str">
        <f t="shared" si="3474"/>
        <v>NIL</v>
      </c>
      <c r="R8526" t="str">
        <f t="shared" si="3467"/>
        <v>Accepted</v>
      </c>
      <c r="S8526" t="str">
        <f t="shared" si="3480"/>
        <v>Approved</v>
      </c>
      <c r="T8526" t="str">
        <f t="shared" si="3468"/>
        <v>10.20.8.188</v>
      </c>
      <c r="U8526" t="str">
        <f t="shared" si="3481"/>
        <v>AZRAD UMAR BIN SHAARI</v>
      </c>
      <c r="V8526" t="str">
        <f t="shared" si="3482"/>
        <v>FARHANA BINTI MUSTAPA</v>
      </c>
      <c r="W8526" t="str">
        <f t="shared" si="3483"/>
        <v>04-08-2020</v>
      </c>
      <c r="X8526" t="str">
        <f t="shared" si="3484"/>
        <v>RAZIMAH ANSAR AHMAD</v>
      </c>
      <c r="Y8526" t="str">
        <f t="shared" si="3485"/>
        <v>04-08-2020</v>
      </c>
      <c r="Z8526" t="str">
        <f>"COS10200804 298"</f>
        <v>COS10200804 298</v>
      </c>
    </row>
    <row r="8527" spans="1:26" x14ac:dyDescent="0.25">
      <c r="A8527" t="str">
        <f t="shared" si="3486"/>
        <v>04-08-2020 12:28:31</v>
      </c>
      <c r="B8527" t="str">
        <f>"0000802292"</f>
        <v>0000802292</v>
      </c>
      <c r="C8527" t="str">
        <f t="shared" si="3487"/>
        <v>0000802195</v>
      </c>
      <c r="D8527" t="str">
        <f t="shared" si="3475"/>
        <v>73185</v>
      </c>
      <c r="E8527" t="str">
        <f t="shared" si="3476"/>
        <v>KFH-OPERATIONS DEPARTMENT</v>
      </c>
      <c r="F8527" t="str">
        <f t="shared" si="3477"/>
        <v>IBG</v>
      </c>
      <c r="G8527" t="str">
        <f t="shared" si="3488"/>
        <v>Refund COSHARE 10</v>
      </c>
      <c r="H8527" s="2">
        <v>260.25</v>
      </c>
      <c r="I8527" t="str">
        <f>"HANA NIRMALA BINTI ALI"</f>
        <v>HANA NIRMALA BINTI ALI</v>
      </c>
      <c r="J8527" t="str">
        <f t="shared" si="3466"/>
        <v>BANK ISLAM BHD</v>
      </c>
      <c r="K8527" t="str">
        <f>"11022020040480"</f>
        <v>11022020040480</v>
      </c>
      <c r="L8527" t="str">
        <f t="shared" ref="L8527:M8546" si="3489">"04-08-2020"</f>
        <v>04-08-2020</v>
      </c>
      <c r="M8527" t="str">
        <f t="shared" si="3489"/>
        <v>04-08-2020</v>
      </c>
      <c r="N8527" t="str">
        <f t="shared" si="3478"/>
        <v>001105018356</v>
      </c>
      <c r="O8527" t="str">
        <f t="shared" si="3479"/>
        <v>MYR</v>
      </c>
      <c r="P8527" t="str">
        <f t="shared" ref="P8527:Q8546" si="3490">"NIL"</f>
        <v>NIL</v>
      </c>
      <c r="Q8527" t="str">
        <f t="shared" si="3490"/>
        <v>NIL</v>
      </c>
      <c r="R8527" t="str">
        <f t="shared" si="3467"/>
        <v>Accepted</v>
      </c>
      <c r="S8527" t="str">
        <f t="shared" si="3480"/>
        <v>Approved</v>
      </c>
      <c r="T8527" t="str">
        <f t="shared" si="3468"/>
        <v>10.20.8.188</v>
      </c>
      <c r="U8527" t="str">
        <f t="shared" si="3481"/>
        <v>AZRAD UMAR BIN SHAARI</v>
      </c>
      <c r="V8527" t="str">
        <f t="shared" si="3482"/>
        <v>FARHANA BINTI MUSTAPA</v>
      </c>
      <c r="W8527" t="str">
        <f t="shared" si="3483"/>
        <v>04-08-2020</v>
      </c>
      <c r="X8527" t="str">
        <f t="shared" si="3484"/>
        <v>RAZIMAH ANSAR AHMAD</v>
      </c>
      <c r="Y8527" t="str">
        <f t="shared" si="3485"/>
        <v>04-08-2020</v>
      </c>
      <c r="Z8527" t="str">
        <f>"COS10200804 297"</f>
        <v>COS10200804 297</v>
      </c>
    </row>
    <row r="8528" spans="1:26" x14ac:dyDescent="0.25">
      <c r="A8528" t="str">
        <f t="shared" si="3486"/>
        <v>04-08-2020 12:28:31</v>
      </c>
      <c r="B8528" t="str">
        <f>"0000802291"</f>
        <v>0000802291</v>
      </c>
      <c r="C8528" t="str">
        <f t="shared" si="3487"/>
        <v>0000802195</v>
      </c>
      <c r="D8528" t="str">
        <f t="shared" si="3475"/>
        <v>73185</v>
      </c>
      <c r="E8528" t="str">
        <f t="shared" si="3476"/>
        <v>KFH-OPERATIONS DEPARTMENT</v>
      </c>
      <c r="F8528" t="str">
        <f t="shared" si="3477"/>
        <v>IBG</v>
      </c>
      <c r="G8528" t="str">
        <f t="shared" si="3488"/>
        <v>Refund COSHARE 10</v>
      </c>
      <c r="H8528" s="2">
        <v>822.15</v>
      </c>
      <c r="I8528" t="str">
        <f>"HAMSIA BINTI OMAR  SURAYA"</f>
        <v>HAMSIA BINTI OMAR  SURAYA</v>
      </c>
      <c r="J8528" t="str">
        <f t="shared" si="3466"/>
        <v>BANK ISLAM BHD</v>
      </c>
      <c r="K8528" t="str">
        <f>"10025020458450"</f>
        <v>10025020458450</v>
      </c>
      <c r="L8528" t="str">
        <f t="shared" si="3489"/>
        <v>04-08-2020</v>
      </c>
      <c r="M8528" t="str">
        <f t="shared" si="3489"/>
        <v>04-08-2020</v>
      </c>
      <c r="N8528" t="str">
        <f t="shared" si="3478"/>
        <v>001105018356</v>
      </c>
      <c r="O8528" t="str">
        <f t="shared" si="3479"/>
        <v>MYR</v>
      </c>
      <c r="P8528" t="str">
        <f t="shared" si="3490"/>
        <v>NIL</v>
      </c>
      <c r="Q8528" t="str">
        <f t="shared" si="3490"/>
        <v>NIL</v>
      </c>
      <c r="R8528" t="str">
        <f t="shared" si="3467"/>
        <v>Accepted</v>
      </c>
      <c r="S8528" t="str">
        <f t="shared" si="3480"/>
        <v>Approved</v>
      </c>
      <c r="T8528" t="str">
        <f t="shared" si="3468"/>
        <v>10.20.8.188</v>
      </c>
      <c r="U8528" t="str">
        <f t="shared" si="3481"/>
        <v>AZRAD UMAR BIN SHAARI</v>
      </c>
      <c r="V8528" t="str">
        <f t="shared" si="3482"/>
        <v>FARHANA BINTI MUSTAPA</v>
      </c>
      <c r="W8528" t="str">
        <f t="shared" si="3483"/>
        <v>04-08-2020</v>
      </c>
      <c r="X8528" t="str">
        <f t="shared" si="3484"/>
        <v>RAZIMAH ANSAR AHMAD</v>
      </c>
      <c r="Y8528" t="str">
        <f t="shared" si="3485"/>
        <v>04-08-2020</v>
      </c>
      <c r="Z8528" t="str">
        <f>"COS10200804 296"</f>
        <v>COS10200804 296</v>
      </c>
    </row>
    <row r="8529" spans="1:26" x14ac:dyDescent="0.25">
      <c r="A8529" t="str">
        <f t="shared" si="3486"/>
        <v>04-08-2020 12:28:31</v>
      </c>
      <c r="B8529" t="str">
        <f>"0000802290"</f>
        <v>0000802290</v>
      </c>
      <c r="C8529" t="str">
        <f t="shared" si="3487"/>
        <v>0000802195</v>
      </c>
      <c r="D8529" t="str">
        <f t="shared" si="3475"/>
        <v>73185</v>
      </c>
      <c r="E8529" t="str">
        <f t="shared" si="3476"/>
        <v>KFH-OPERATIONS DEPARTMENT</v>
      </c>
      <c r="F8529" t="str">
        <f t="shared" si="3477"/>
        <v>IBG</v>
      </c>
      <c r="G8529" t="str">
        <f t="shared" si="3488"/>
        <v>Refund COSHARE 10</v>
      </c>
      <c r="H8529" s="2">
        <v>202.7</v>
      </c>
      <c r="I8529" t="str">
        <f>"HAMIZAH BINTI MOHD YUSOF"</f>
        <v>HAMIZAH BINTI MOHD YUSOF</v>
      </c>
      <c r="J8529" t="str">
        <f t="shared" si="3466"/>
        <v>BANK ISLAM BHD</v>
      </c>
      <c r="K8529" t="str">
        <f>"06028020324898"</f>
        <v>06028020324898</v>
      </c>
      <c r="L8529" t="str">
        <f t="shared" si="3489"/>
        <v>04-08-2020</v>
      </c>
      <c r="M8529" t="str">
        <f t="shared" si="3489"/>
        <v>04-08-2020</v>
      </c>
      <c r="N8529" t="str">
        <f t="shared" si="3478"/>
        <v>001105018356</v>
      </c>
      <c r="O8529" t="str">
        <f t="shared" si="3479"/>
        <v>MYR</v>
      </c>
      <c r="P8529" t="str">
        <f t="shared" si="3490"/>
        <v>NIL</v>
      </c>
      <c r="Q8529" t="str">
        <f t="shared" si="3490"/>
        <v>NIL</v>
      </c>
      <c r="R8529" t="str">
        <f t="shared" si="3467"/>
        <v>Accepted</v>
      </c>
      <c r="S8529" t="str">
        <f t="shared" si="3480"/>
        <v>Approved</v>
      </c>
      <c r="T8529" t="str">
        <f t="shared" si="3468"/>
        <v>10.20.8.188</v>
      </c>
      <c r="U8529" t="str">
        <f t="shared" si="3481"/>
        <v>AZRAD UMAR BIN SHAARI</v>
      </c>
      <c r="V8529" t="str">
        <f t="shared" si="3482"/>
        <v>FARHANA BINTI MUSTAPA</v>
      </c>
      <c r="W8529" t="str">
        <f t="shared" si="3483"/>
        <v>04-08-2020</v>
      </c>
      <c r="X8529" t="str">
        <f t="shared" si="3484"/>
        <v>RAZIMAH ANSAR AHMAD</v>
      </c>
      <c r="Y8529" t="str">
        <f t="shared" si="3485"/>
        <v>04-08-2020</v>
      </c>
      <c r="Z8529" t="str">
        <f>"COS10200804 295"</f>
        <v>COS10200804 295</v>
      </c>
    </row>
    <row r="8530" spans="1:26" x14ac:dyDescent="0.25">
      <c r="A8530" t="str">
        <f t="shared" si="3486"/>
        <v>04-08-2020 12:28:31</v>
      </c>
      <c r="B8530" t="str">
        <f>"0000802289"</f>
        <v>0000802289</v>
      </c>
      <c r="C8530" t="str">
        <f t="shared" si="3487"/>
        <v>0000802195</v>
      </c>
      <c r="D8530" t="str">
        <f t="shared" si="3475"/>
        <v>73185</v>
      </c>
      <c r="E8530" t="str">
        <f t="shared" si="3476"/>
        <v>KFH-OPERATIONS DEPARTMENT</v>
      </c>
      <c r="F8530" t="str">
        <f t="shared" si="3477"/>
        <v>IBG</v>
      </c>
      <c r="G8530" t="str">
        <f t="shared" si="3488"/>
        <v>Refund COSHARE 10</v>
      </c>
      <c r="H8530" s="2">
        <v>133.05000000000001</v>
      </c>
      <c r="I8530" t="str">
        <f>"HAMIDAH BINTI MUSTAPHA"</f>
        <v>HAMIDAH BINTI MUSTAPHA</v>
      </c>
      <c r="J8530" t="str">
        <f t="shared" si="3466"/>
        <v>BANK ISLAM BHD</v>
      </c>
      <c r="K8530" t="str">
        <f>"13035020225412"</f>
        <v>13035020225412</v>
      </c>
      <c r="L8530" t="str">
        <f t="shared" si="3489"/>
        <v>04-08-2020</v>
      </c>
      <c r="M8530" t="str">
        <f t="shared" si="3489"/>
        <v>04-08-2020</v>
      </c>
      <c r="N8530" t="str">
        <f t="shared" si="3478"/>
        <v>001105018356</v>
      </c>
      <c r="O8530" t="str">
        <f t="shared" si="3479"/>
        <v>MYR</v>
      </c>
      <c r="P8530" t="str">
        <f t="shared" si="3490"/>
        <v>NIL</v>
      </c>
      <c r="Q8530" t="str">
        <f t="shared" si="3490"/>
        <v>NIL</v>
      </c>
      <c r="R8530" t="str">
        <f t="shared" si="3467"/>
        <v>Accepted</v>
      </c>
      <c r="S8530" t="str">
        <f t="shared" si="3480"/>
        <v>Approved</v>
      </c>
      <c r="T8530" t="str">
        <f t="shared" si="3468"/>
        <v>10.20.8.188</v>
      </c>
      <c r="U8530" t="str">
        <f t="shared" si="3481"/>
        <v>AZRAD UMAR BIN SHAARI</v>
      </c>
      <c r="V8530" t="str">
        <f t="shared" si="3482"/>
        <v>FARHANA BINTI MUSTAPA</v>
      </c>
      <c r="W8530" t="str">
        <f t="shared" si="3483"/>
        <v>04-08-2020</v>
      </c>
      <c r="X8530" t="str">
        <f t="shared" si="3484"/>
        <v>RAZIMAH ANSAR AHMAD</v>
      </c>
      <c r="Y8530" t="str">
        <f t="shared" si="3485"/>
        <v>04-08-2020</v>
      </c>
      <c r="Z8530" t="str">
        <f>"COS10200804 294"</f>
        <v>COS10200804 294</v>
      </c>
    </row>
    <row r="8531" spans="1:26" x14ac:dyDescent="0.25">
      <c r="A8531" t="str">
        <f t="shared" si="3486"/>
        <v>04-08-2020 12:28:31</v>
      </c>
      <c r="B8531" t="str">
        <f>"0000802288"</f>
        <v>0000802288</v>
      </c>
      <c r="C8531" t="str">
        <f t="shared" si="3487"/>
        <v>0000802195</v>
      </c>
      <c r="D8531" t="str">
        <f t="shared" si="3475"/>
        <v>73185</v>
      </c>
      <c r="E8531" t="str">
        <f t="shared" si="3476"/>
        <v>KFH-OPERATIONS DEPARTMENT</v>
      </c>
      <c r="F8531" t="str">
        <f t="shared" si="3477"/>
        <v>IBG</v>
      </c>
      <c r="G8531" t="str">
        <f t="shared" si="3488"/>
        <v>Refund COSHARE 10</v>
      </c>
      <c r="H8531" s="2">
        <v>569</v>
      </c>
      <c r="I8531" t="str">
        <f>"HALIMI BIN MOHAMAD SIDEK"</f>
        <v>HALIMI BIN MOHAMAD SIDEK</v>
      </c>
      <c r="J8531" t="str">
        <f t="shared" si="3466"/>
        <v>BANK ISLAM BHD</v>
      </c>
      <c r="K8531" t="str">
        <f>"11040020051892"</f>
        <v>11040020051892</v>
      </c>
      <c r="L8531" t="str">
        <f t="shared" si="3489"/>
        <v>04-08-2020</v>
      </c>
      <c r="M8531" t="str">
        <f t="shared" si="3489"/>
        <v>04-08-2020</v>
      </c>
      <c r="N8531" t="str">
        <f t="shared" si="3478"/>
        <v>001105018356</v>
      </c>
      <c r="O8531" t="str">
        <f t="shared" si="3479"/>
        <v>MYR</v>
      </c>
      <c r="P8531" t="str">
        <f t="shared" si="3490"/>
        <v>NIL</v>
      </c>
      <c r="Q8531" t="str">
        <f t="shared" si="3490"/>
        <v>NIL</v>
      </c>
      <c r="R8531" t="str">
        <f t="shared" si="3467"/>
        <v>Accepted</v>
      </c>
      <c r="S8531" t="str">
        <f t="shared" si="3480"/>
        <v>Approved</v>
      </c>
      <c r="T8531" t="str">
        <f t="shared" si="3468"/>
        <v>10.20.8.188</v>
      </c>
      <c r="U8531" t="str">
        <f t="shared" si="3481"/>
        <v>AZRAD UMAR BIN SHAARI</v>
      </c>
      <c r="V8531" t="str">
        <f t="shared" si="3482"/>
        <v>FARHANA BINTI MUSTAPA</v>
      </c>
      <c r="W8531" t="str">
        <f t="shared" si="3483"/>
        <v>04-08-2020</v>
      </c>
      <c r="X8531" t="str">
        <f t="shared" si="3484"/>
        <v>RAZIMAH ANSAR AHMAD</v>
      </c>
      <c r="Y8531" t="str">
        <f t="shared" si="3485"/>
        <v>04-08-2020</v>
      </c>
      <c r="Z8531" t="str">
        <f>"COS10200804 293"</f>
        <v>COS10200804 293</v>
      </c>
    </row>
    <row r="8532" spans="1:26" x14ac:dyDescent="0.25">
      <c r="A8532" t="str">
        <f t="shared" si="3486"/>
        <v>04-08-2020 12:28:31</v>
      </c>
      <c r="B8532" t="str">
        <f>"0000802287"</f>
        <v>0000802287</v>
      </c>
      <c r="C8532" t="str">
        <f t="shared" si="3487"/>
        <v>0000802195</v>
      </c>
      <c r="D8532" t="str">
        <f t="shared" si="3475"/>
        <v>73185</v>
      </c>
      <c r="E8532" t="str">
        <f t="shared" si="3476"/>
        <v>KFH-OPERATIONS DEPARTMENT</v>
      </c>
      <c r="F8532" t="str">
        <f t="shared" si="3477"/>
        <v>IBG</v>
      </c>
      <c r="G8532" t="str">
        <f t="shared" si="3488"/>
        <v>Refund COSHARE 10</v>
      </c>
      <c r="H8532" s="2">
        <v>839.5</v>
      </c>
      <c r="I8532" t="str">
        <f>"HALIMAH BINTI SALLEH"</f>
        <v>HALIMAH BINTI SALLEH</v>
      </c>
      <c r="J8532" t="str">
        <f t="shared" si="3466"/>
        <v>BANK ISLAM BHD</v>
      </c>
      <c r="K8532" t="str">
        <f>"03018021660859"</f>
        <v>03018021660859</v>
      </c>
      <c r="L8532" t="str">
        <f t="shared" si="3489"/>
        <v>04-08-2020</v>
      </c>
      <c r="M8532" t="str">
        <f t="shared" si="3489"/>
        <v>04-08-2020</v>
      </c>
      <c r="N8532" t="str">
        <f t="shared" si="3478"/>
        <v>001105018356</v>
      </c>
      <c r="O8532" t="str">
        <f t="shared" si="3479"/>
        <v>MYR</v>
      </c>
      <c r="P8532" t="str">
        <f t="shared" si="3490"/>
        <v>NIL</v>
      </c>
      <c r="Q8532" t="str">
        <f t="shared" si="3490"/>
        <v>NIL</v>
      </c>
      <c r="R8532" t="str">
        <f t="shared" si="3467"/>
        <v>Accepted</v>
      </c>
      <c r="S8532" t="str">
        <f t="shared" si="3480"/>
        <v>Approved</v>
      </c>
      <c r="T8532" t="str">
        <f t="shared" si="3468"/>
        <v>10.20.8.188</v>
      </c>
      <c r="U8532" t="str">
        <f t="shared" si="3481"/>
        <v>AZRAD UMAR BIN SHAARI</v>
      </c>
      <c r="V8532" t="str">
        <f t="shared" si="3482"/>
        <v>FARHANA BINTI MUSTAPA</v>
      </c>
      <c r="W8532" t="str">
        <f t="shared" si="3483"/>
        <v>04-08-2020</v>
      </c>
      <c r="X8532" t="str">
        <f t="shared" si="3484"/>
        <v>RAZIMAH ANSAR AHMAD</v>
      </c>
      <c r="Y8532" t="str">
        <f t="shared" si="3485"/>
        <v>04-08-2020</v>
      </c>
      <c r="Z8532" t="str">
        <f>"COS10200804 292"</f>
        <v>COS10200804 292</v>
      </c>
    </row>
    <row r="8533" spans="1:26" x14ac:dyDescent="0.25">
      <c r="A8533" t="str">
        <f t="shared" si="3486"/>
        <v>04-08-2020 12:28:31</v>
      </c>
      <c r="B8533" t="str">
        <f>"0000802286"</f>
        <v>0000802286</v>
      </c>
      <c r="C8533" t="str">
        <f t="shared" si="3487"/>
        <v>0000802195</v>
      </c>
      <c r="D8533" t="str">
        <f t="shared" si="3475"/>
        <v>73185</v>
      </c>
      <c r="E8533" t="str">
        <f t="shared" si="3476"/>
        <v>KFH-OPERATIONS DEPARTMENT</v>
      </c>
      <c r="F8533" t="str">
        <f t="shared" si="3477"/>
        <v>IBG</v>
      </c>
      <c r="G8533" t="str">
        <f t="shared" si="3488"/>
        <v>Refund COSHARE 10</v>
      </c>
      <c r="H8533" s="2">
        <v>304</v>
      </c>
      <c r="I8533" t="str">
        <f>"HALIDA BINTI SETIAWAN"</f>
        <v>HALIDA BINTI SETIAWAN</v>
      </c>
      <c r="J8533" t="str">
        <f t="shared" si="3466"/>
        <v>BANK ISLAM BHD</v>
      </c>
      <c r="K8533" t="str">
        <f>"11040028674251"</f>
        <v>11040028674251</v>
      </c>
      <c r="L8533" t="str">
        <f t="shared" si="3489"/>
        <v>04-08-2020</v>
      </c>
      <c r="M8533" t="str">
        <f t="shared" si="3489"/>
        <v>04-08-2020</v>
      </c>
      <c r="N8533" t="str">
        <f t="shared" si="3478"/>
        <v>001105018356</v>
      </c>
      <c r="O8533" t="str">
        <f t="shared" si="3479"/>
        <v>MYR</v>
      </c>
      <c r="P8533" t="str">
        <f t="shared" si="3490"/>
        <v>NIL</v>
      </c>
      <c r="Q8533" t="str">
        <f t="shared" si="3490"/>
        <v>NIL</v>
      </c>
      <c r="R8533" t="str">
        <f t="shared" si="3467"/>
        <v>Accepted</v>
      </c>
      <c r="S8533" t="str">
        <f t="shared" si="3480"/>
        <v>Approved</v>
      </c>
      <c r="T8533" t="str">
        <f t="shared" si="3468"/>
        <v>10.20.8.188</v>
      </c>
      <c r="U8533" t="str">
        <f t="shared" si="3481"/>
        <v>AZRAD UMAR BIN SHAARI</v>
      </c>
      <c r="V8533" t="str">
        <f t="shared" si="3482"/>
        <v>FARHANA BINTI MUSTAPA</v>
      </c>
      <c r="W8533" t="str">
        <f t="shared" si="3483"/>
        <v>04-08-2020</v>
      </c>
      <c r="X8533" t="str">
        <f t="shared" si="3484"/>
        <v>RAZIMAH ANSAR AHMAD</v>
      </c>
      <c r="Y8533" t="str">
        <f t="shared" si="3485"/>
        <v>04-08-2020</v>
      </c>
      <c r="Z8533" t="str">
        <f>"COS10200804 291"</f>
        <v>COS10200804 291</v>
      </c>
    </row>
    <row r="8534" spans="1:26" x14ac:dyDescent="0.25">
      <c r="A8534" t="str">
        <f t="shared" si="3486"/>
        <v>04-08-2020 12:28:31</v>
      </c>
      <c r="B8534" t="str">
        <f>"0000802285"</f>
        <v>0000802285</v>
      </c>
      <c r="C8534" t="str">
        <f t="shared" si="3487"/>
        <v>0000802195</v>
      </c>
      <c r="D8534" t="str">
        <f t="shared" si="3475"/>
        <v>73185</v>
      </c>
      <c r="E8534" t="str">
        <f t="shared" si="3476"/>
        <v>KFH-OPERATIONS DEPARTMENT</v>
      </c>
      <c r="F8534" t="str">
        <f t="shared" si="3477"/>
        <v>IBG</v>
      </c>
      <c r="G8534" t="str">
        <f t="shared" si="3488"/>
        <v>Refund COSHARE 10</v>
      </c>
      <c r="H8534" s="2">
        <v>1158.5</v>
      </c>
      <c r="I8534" t="str">
        <f>"HAKIMAH BINTI IBNI HAJAR"</f>
        <v>HAKIMAH BINTI IBNI HAJAR</v>
      </c>
      <c r="J8534" t="str">
        <f t="shared" si="3466"/>
        <v>BANK ISLAM BHD</v>
      </c>
      <c r="K8534" t="str">
        <f>"02011020306216"</f>
        <v>02011020306216</v>
      </c>
      <c r="L8534" t="str">
        <f t="shared" si="3489"/>
        <v>04-08-2020</v>
      </c>
      <c r="M8534" t="str">
        <f t="shared" si="3489"/>
        <v>04-08-2020</v>
      </c>
      <c r="N8534" t="str">
        <f t="shared" si="3478"/>
        <v>001105018356</v>
      </c>
      <c r="O8534" t="str">
        <f t="shared" si="3479"/>
        <v>MYR</v>
      </c>
      <c r="P8534" t="str">
        <f t="shared" si="3490"/>
        <v>NIL</v>
      </c>
      <c r="Q8534" t="str">
        <f t="shared" si="3490"/>
        <v>NIL</v>
      </c>
      <c r="R8534" t="str">
        <f t="shared" si="3467"/>
        <v>Accepted</v>
      </c>
      <c r="S8534" t="str">
        <f t="shared" si="3480"/>
        <v>Approved</v>
      </c>
      <c r="T8534" t="str">
        <f t="shared" si="3468"/>
        <v>10.20.8.188</v>
      </c>
      <c r="U8534" t="str">
        <f t="shared" si="3481"/>
        <v>AZRAD UMAR BIN SHAARI</v>
      </c>
      <c r="V8534" t="str">
        <f t="shared" si="3482"/>
        <v>FARHANA BINTI MUSTAPA</v>
      </c>
      <c r="W8534" t="str">
        <f t="shared" si="3483"/>
        <v>04-08-2020</v>
      </c>
      <c r="X8534" t="str">
        <f t="shared" si="3484"/>
        <v>RAZIMAH ANSAR AHMAD</v>
      </c>
      <c r="Y8534" t="str">
        <f t="shared" si="3485"/>
        <v>04-08-2020</v>
      </c>
      <c r="Z8534" t="str">
        <f>"COS10200804 290"</f>
        <v>COS10200804 290</v>
      </c>
    </row>
    <row r="8535" spans="1:26" x14ac:dyDescent="0.25">
      <c r="A8535" t="str">
        <f t="shared" si="3486"/>
        <v>04-08-2020 12:28:31</v>
      </c>
      <c r="B8535" t="str">
        <f>"0000802284"</f>
        <v>0000802284</v>
      </c>
      <c r="C8535" t="str">
        <f t="shared" si="3487"/>
        <v>0000802195</v>
      </c>
      <c r="D8535" t="str">
        <f t="shared" si="3475"/>
        <v>73185</v>
      </c>
      <c r="E8535" t="str">
        <f t="shared" si="3476"/>
        <v>KFH-OPERATIONS DEPARTMENT</v>
      </c>
      <c r="F8535" t="str">
        <f t="shared" si="3477"/>
        <v>IBG</v>
      </c>
      <c r="G8535" t="str">
        <f t="shared" si="3488"/>
        <v>Refund COSHARE 10</v>
      </c>
      <c r="H8535" s="2">
        <v>604.45000000000005</v>
      </c>
      <c r="I8535" t="str">
        <f>"HAIZUL NIZAM BIN BAHARUDDIN"</f>
        <v>HAIZUL NIZAM BIN BAHARUDDIN</v>
      </c>
      <c r="J8535" t="str">
        <f t="shared" si="3466"/>
        <v>BANK ISLAM BHD</v>
      </c>
      <c r="K8535" t="str">
        <f>"06019020282763"</f>
        <v>06019020282763</v>
      </c>
      <c r="L8535" t="str">
        <f t="shared" si="3489"/>
        <v>04-08-2020</v>
      </c>
      <c r="M8535" t="str">
        <f t="shared" si="3489"/>
        <v>04-08-2020</v>
      </c>
      <c r="N8535" t="str">
        <f t="shared" si="3478"/>
        <v>001105018356</v>
      </c>
      <c r="O8535" t="str">
        <f t="shared" si="3479"/>
        <v>MYR</v>
      </c>
      <c r="P8535" t="str">
        <f t="shared" si="3490"/>
        <v>NIL</v>
      </c>
      <c r="Q8535" t="str">
        <f t="shared" si="3490"/>
        <v>NIL</v>
      </c>
      <c r="R8535" t="str">
        <f t="shared" si="3467"/>
        <v>Accepted</v>
      </c>
      <c r="S8535" t="str">
        <f t="shared" si="3480"/>
        <v>Approved</v>
      </c>
      <c r="T8535" t="str">
        <f t="shared" si="3468"/>
        <v>10.20.8.188</v>
      </c>
      <c r="U8535" t="str">
        <f t="shared" si="3481"/>
        <v>AZRAD UMAR BIN SHAARI</v>
      </c>
      <c r="V8535" t="str">
        <f t="shared" si="3482"/>
        <v>FARHANA BINTI MUSTAPA</v>
      </c>
      <c r="W8535" t="str">
        <f t="shared" si="3483"/>
        <v>04-08-2020</v>
      </c>
      <c r="X8535" t="str">
        <f t="shared" si="3484"/>
        <v>RAZIMAH ANSAR AHMAD</v>
      </c>
      <c r="Y8535" t="str">
        <f t="shared" si="3485"/>
        <v>04-08-2020</v>
      </c>
      <c r="Z8535" t="str">
        <f>"COS10200804 289"</f>
        <v>COS10200804 289</v>
      </c>
    </row>
    <row r="8536" spans="1:26" x14ac:dyDescent="0.25">
      <c r="A8536" t="str">
        <f t="shared" si="3486"/>
        <v>04-08-2020 12:28:31</v>
      </c>
      <c r="B8536" t="str">
        <f>"0000802283"</f>
        <v>0000802283</v>
      </c>
      <c r="C8536" t="str">
        <f t="shared" si="3487"/>
        <v>0000802195</v>
      </c>
      <c r="D8536" t="str">
        <f t="shared" si="3475"/>
        <v>73185</v>
      </c>
      <c r="E8536" t="str">
        <f t="shared" si="3476"/>
        <v>KFH-OPERATIONS DEPARTMENT</v>
      </c>
      <c r="F8536" t="str">
        <f t="shared" si="3477"/>
        <v>IBG</v>
      </c>
      <c r="G8536" t="str">
        <f t="shared" si="3488"/>
        <v>Refund COSHARE 10</v>
      </c>
      <c r="H8536" s="2">
        <v>772.35</v>
      </c>
      <c r="I8536" t="str">
        <f>"HAIROL ANUAR BIN AHMAD"</f>
        <v>HAIROL ANUAR BIN AHMAD</v>
      </c>
      <c r="J8536" t="str">
        <f t="shared" si="3466"/>
        <v>BANK ISLAM BHD</v>
      </c>
      <c r="K8536" t="str">
        <f>"12056022756522"</f>
        <v>12056022756522</v>
      </c>
      <c r="L8536" t="str">
        <f t="shared" si="3489"/>
        <v>04-08-2020</v>
      </c>
      <c r="M8536" t="str">
        <f t="shared" si="3489"/>
        <v>04-08-2020</v>
      </c>
      <c r="N8536" t="str">
        <f t="shared" si="3478"/>
        <v>001105018356</v>
      </c>
      <c r="O8536" t="str">
        <f t="shared" si="3479"/>
        <v>MYR</v>
      </c>
      <c r="P8536" t="str">
        <f t="shared" si="3490"/>
        <v>NIL</v>
      </c>
      <c r="Q8536" t="str">
        <f t="shared" si="3490"/>
        <v>NIL</v>
      </c>
      <c r="R8536" t="str">
        <f t="shared" si="3467"/>
        <v>Accepted</v>
      </c>
      <c r="S8536" t="str">
        <f t="shared" si="3480"/>
        <v>Approved</v>
      </c>
      <c r="T8536" t="str">
        <f t="shared" si="3468"/>
        <v>10.20.8.188</v>
      </c>
      <c r="U8536" t="str">
        <f t="shared" si="3481"/>
        <v>AZRAD UMAR BIN SHAARI</v>
      </c>
      <c r="V8536" t="str">
        <f t="shared" si="3482"/>
        <v>FARHANA BINTI MUSTAPA</v>
      </c>
      <c r="W8536" t="str">
        <f t="shared" si="3483"/>
        <v>04-08-2020</v>
      </c>
      <c r="X8536" t="str">
        <f t="shared" si="3484"/>
        <v>RAZIMAH ANSAR AHMAD</v>
      </c>
      <c r="Y8536" t="str">
        <f t="shared" si="3485"/>
        <v>04-08-2020</v>
      </c>
      <c r="Z8536" t="str">
        <f>"COS10200804 288"</f>
        <v>COS10200804 288</v>
      </c>
    </row>
    <row r="8537" spans="1:26" x14ac:dyDescent="0.25">
      <c r="A8537" t="str">
        <f t="shared" si="3486"/>
        <v>04-08-2020 12:28:31</v>
      </c>
      <c r="B8537" t="str">
        <f>"0000802282"</f>
        <v>0000802282</v>
      </c>
      <c r="C8537" t="str">
        <f t="shared" si="3487"/>
        <v>0000802195</v>
      </c>
      <c r="D8537" t="str">
        <f t="shared" si="3475"/>
        <v>73185</v>
      </c>
      <c r="E8537" t="str">
        <f t="shared" si="3476"/>
        <v>KFH-OPERATIONS DEPARTMENT</v>
      </c>
      <c r="F8537" t="str">
        <f t="shared" si="3477"/>
        <v>IBG</v>
      </c>
      <c r="G8537" t="str">
        <f t="shared" si="3488"/>
        <v>Refund COSHARE 10</v>
      </c>
      <c r="H8537" s="2">
        <v>1249</v>
      </c>
      <c r="I8537" t="str">
        <f>"HAFSAH BINTI MAMAT  HASHIM"</f>
        <v>HAFSAH BINTI MAMAT  HASHIM</v>
      </c>
      <c r="J8537" t="str">
        <f t="shared" si="3466"/>
        <v>BANK ISLAM BHD</v>
      </c>
      <c r="K8537" t="str">
        <f>"03036020003895"</f>
        <v>03036020003895</v>
      </c>
      <c r="L8537" t="str">
        <f t="shared" si="3489"/>
        <v>04-08-2020</v>
      </c>
      <c r="M8537" t="str">
        <f t="shared" si="3489"/>
        <v>04-08-2020</v>
      </c>
      <c r="N8537" t="str">
        <f t="shared" si="3478"/>
        <v>001105018356</v>
      </c>
      <c r="O8537" t="str">
        <f t="shared" si="3479"/>
        <v>MYR</v>
      </c>
      <c r="P8537" t="str">
        <f t="shared" si="3490"/>
        <v>NIL</v>
      </c>
      <c r="Q8537" t="str">
        <f t="shared" si="3490"/>
        <v>NIL</v>
      </c>
      <c r="R8537" t="str">
        <f t="shared" si="3467"/>
        <v>Accepted</v>
      </c>
      <c r="S8537" t="str">
        <f t="shared" si="3480"/>
        <v>Approved</v>
      </c>
      <c r="T8537" t="str">
        <f t="shared" si="3468"/>
        <v>10.20.8.188</v>
      </c>
      <c r="U8537" t="str">
        <f t="shared" si="3481"/>
        <v>AZRAD UMAR BIN SHAARI</v>
      </c>
      <c r="V8537" t="str">
        <f t="shared" si="3482"/>
        <v>FARHANA BINTI MUSTAPA</v>
      </c>
      <c r="W8537" t="str">
        <f t="shared" si="3483"/>
        <v>04-08-2020</v>
      </c>
      <c r="X8537" t="str">
        <f t="shared" si="3484"/>
        <v>RAZIMAH ANSAR AHMAD</v>
      </c>
      <c r="Y8537" t="str">
        <f t="shared" si="3485"/>
        <v>04-08-2020</v>
      </c>
      <c r="Z8537" t="str">
        <f>"COS10200804 287"</f>
        <v>COS10200804 287</v>
      </c>
    </row>
    <row r="8538" spans="1:26" x14ac:dyDescent="0.25">
      <c r="A8538" t="str">
        <f t="shared" si="3486"/>
        <v>04-08-2020 12:28:31</v>
      </c>
      <c r="B8538" t="str">
        <f>"0000802281"</f>
        <v>0000802281</v>
      </c>
      <c r="C8538" t="str">
        <f t="shared" si="3487"/>
        <v>0000802195</v>
      </c>
      <c r="D8538" t="str">
        <f t="shared" si="3475"/>
        <v>73185</v>
      </c>
      <c r="E8538" t="str">
        <f t="shared" si="3476"/>
        <v>KFH-OPERATIONS DEPARTMENT</v>
      </c>
      <c r="F8538" t="str">
        <f t="shared" si="3477"/>
        <v>IBG</v>
      </c>
      <c r="G8538" t="str">
        <f t="shared" si="3488"/>
        <v>Refund COSHARE 10</v>
      </c>
      <c r="H8538" s="2">
        <v>352.6</v>
      </c>
      <c r="I8538" t="str">
        <f>"HAFIZZAH BINTI SHARIPUDIN"</f>
        <v>HAFIZZAH BINTI SHARIPUDIN</v>
      </c>
      <c r="J8538" t="str">
        <f t="shared" si="3466"/>
        <v>BANK ISLAM BHD</v>
      </c>
      <c r="K8538" t="str">
        <f>"03036020070499"</f>
        <v>03036020070499</v>
      </c>
      <c r="L8538" t="str">
        <f t="shared" si="3489"/>
        <v>04-08-2020</v>
      </c>
      <c r="M8538" t="str">
        <f t="shared" si="3489"/>
        <v>04-08-2020</v>
      </c>
      <c r="N8538" t="str">
        <f t="shared" si="3478"/>
        <v>001105018356</v>
      </c>
      <c r="O8538" t="str">
        <f t="shared" si="3479"/>
        <v>MYR</v>
      </c>
      <c r="P8538" t="str">
        <f t="shared" si="3490"/>
        <v>NIL</v>
      </c>
      <c r="Q8538" t="str">
        <f t="shared" si="3490"/>
        <v>NIL</v>
      </c>
      <c r="R8538" t="str">
        <f t="shared" si="3467"/>
        <v>Accepted</v>
      </c>
      <c r="S8538" t="str">
        <f t="shared" si="3480"/>
        <v>Approved</v>
      </c>
      <c r="T8538" t="str">
        <f t="shared" si="3468"/>
        <v>10.20.8.188</v>
      </c>
      <c r="U8538" t="str">
        <f t="shared" si="3481"/>
        <v>AZRAD UMAR BIN SHAARI</v>
      </c>
      <c r="V8538" t="str">
        <f t="shared" si="3482"/>
        <v>FARHANA BINTI MUSTAPA</v>
      </c>
      <c r="W8538" t="str">
        <f t="shared" si="3483"/>
        <v>04-08-2020</v>
      </c>
      <c r="X8538" t="str">
        <f t="shared" si="3484"/>
        <v>RAZIMAH ANSAR AHMAD</v>
      </c>
      <c r="Y8538" t="str">
        <f t="shared" si="3485"/>
        <v>04-08-2020</v>
      </c>
      <c r="Z8538" t="str">
        <f>"COS10200804 286"</f>
        <v>COS10200804 286</v>
      </c>
    </row>
    <row r="8539" spans="1:26" x14ac:dyDescent="0.25">
      <c r="A8539" t="str">
        <f t="shared" si="3486"/>
        <v>04-08-2020 12:28:31</v>
      </c>
      <c r="B8539" t="str">
        <f>"0000802280"</f>
        <v>0000802280</v>
      </c>
      <c r="C8539" t="str">
        <f t="shared" si="3487"/>
        <v>0000802195</v>
      </c>
      <c r="D8539" t="str">
        <f t="shared" si="3475"/>
        <v>73185</v>
      </c>
      <c r="E8539" t="str">
        <f t="shared" si="3476"/>
        <v>KFH-OPERATIONS DEPARTMENT</v>
      </c>
      <c r="F8539" t="str">
        <f t="shared" si="3477"/>
        <v>IBG</v>
      </c>
      <c r="G8539" t="str">
        <f t="shared" si="3488"/>
        <v>Refund COSHARE 10</v>
      </c>
      <c r="H8539" s="2">
        <v>1169</v>
      </c>
      <c r="I8539" t="str">
        <f>"HAFIZAH BINTI HASSAN"</f>
        <v>HAFIZAH BINTI HASSAN</v>
      </c>
      <c r="J8539" t="str">
        <f t="shared" si="3466"/>
        <v>BANK ISLAM BHD</v>
      </c>
      <c r="K8539" t="str">
        <f>"03018020772133"</f>
        <v>03018020772133</v>
      </c>
      <c r="L8539" t="str">
        <f t="shared" si="3489"/>
        <v>04-08-2020</v>
      </c>
      <c r="M8539" t="str">
        <f t="shared" si="3489"/>
        <v>04-08-2020</v>
      </c>
      <c r="N8539" t="str">
        <f t="shared" si="3478"/>
        <v>001105018356</v>
      </c>
      <c r="O8539" t="str">
        <f t="shared" si="3479"/>
        <v>MYR</v>
      </c>
      <c r="P8539" t="str">
        <f t="shared" si="3490"/>
        <v>NIL</v>
      </c>
      <c r="Q8539" t="str">
        <f t="shared" si="3490"/>
        <v>NIL</v>
      </c>
      <c r="R8539" t="str">
        <f t="shared" si="3467"/>
        <v>Accepted</v>
      </c>
      <c r="S8539" t="str">
        <f t="shared" si="3480"/>
        <v>Approved</v>
      </c>
      <c r="T8539" t="str">
        <f t="shared" si="3468"/>
        <v>10.20.8.188</v>
      </c>
      <c r="U8539" t="str">
        <f t="shared" si="3481"/>
        <v>AZRAD UMAR BIN SHAARI</v>
      </c>
      <c r="V8539" t="str">
        <f t="shared" si="3482"/>
        <v>FARHANA BINTI MUSTAPA</v>
      </c>
      <c r="W8539" t="str">
        <f t="shared" si="3483"/>
        <v>04-08-2020</v>
      </c>
      <c r="X8539" t="str">
        <f t="shared" si="3484"/>
        <v>RAZIMAH ANSAR AHMAD</v>
      </c>
      <c r="Y8539" t="str">
        <f t="shared" si="3485"/>
        <v>04-08-2020</v>
      </c>
      <c r="Z8539" t="str">
        <f>"COS10200804 285"</f>
        <v>COS10200804 285</v>
      </c>
    </row>
    <row r="8540" spans="1:26" x14ac:dyDescent="0.25">
      <c r="A8540" t="str">
        <f t="shared" si="3486"/>
        <v>04-08-2020 12:28:31</v>
      </c>
      <c r="B8540" t="str">
        <f>"0000802279"</f>
        <v>0000802279</v>
      </c>
      <c r="C8540" t="str">
        <f t="shared" si="3487"/>
        <v>0000802195</v>
      </c>
      <c r="D8540" t="str">
        <f t="shared" si="3475"/>
        <v>73185</v>
      </c>
      <c r="E8540" t="str">
        <f t="shared" si="3476"/>
        <v>KFH-OPERATIONS DEPARTMENT</v>
      </c>
      <c r="F8540" t="str">
        <f t="shared" si="3477"/>
        <v>IBG</v>
      </c>
      <c r="G8540" t="str">
        <f t="shared" si="3488"/>
        <v>Refund COSHARE 10</v>
      </c>
      <c r="H8540" s="2">
        <v>84</v>
      </c>
      <c r="I8540" t="str">
        <f>"HAFIZAH BINTI HASAN"</f>
        <v>HAFIZAH BINTI HASAN</v>
      </c>
      <c r="J8540" t="str">
        <f t="shared" si="3466"/>
        <v>BANK ISLAM BHD</v>
      </c>
      <c r="K8540" t="str">
        <f>"03018020769658"</f>
        <v>03018020769658</v>
      </c>
      <c r="L8540" t="str">
        <f t="shared" si="3489"/>
        <v>04-08-2020</v>
      </c>
      <c r="M8540" t="str">
        <f t="shared" si="3489"/>
        <v>04-08-2020</v>
      </c>
      <c r="N8540" t="str">
        <f t="shared" si="3478"/>
        <v>001105018356</v>
      </c>
      <c r="O8540" t="str">
        <f t="shared" si="3479"/>
        <v>MYR</v>
      </c>
      <c r="P8540" t="str">
        <f t="shared" si="3490"/>
        <v>NIL</v>
      </c>
      <c r="Q8540" t="str">
        <f t="shared" si="3490"/>
        <v>NIL</v>
      </c>
      <c r="R8540" t="str">
        <f t="shared" si="3467"/>
        <v>Accepted</v>
      </c>
      <c r="S8540" t="str">
        <f t="shared" si="3480"/>
        <v>Approved</v>
      </c>
      <c r="T8540" t="str">
        <f t="shared" si="3468"/>
        <v>10.20.8.188</v>
      </c>
      <c r="U8540" t="str">
        <f t="shared" si="3481"/>
        <v>AZRAD UMAR BIN SHAARI</v>
      </c>
      <c r="V8540" t="str">
        <f t="shared" si="3482"/>
        <v>FARHANA BINTI MUSTAPA</v>
      </c>
      <c r="W8540" t="str">
        <f t="shared" si="3483"/>
        <v>04-08-2020</v>
      </c>
      <c r="X8540" t="str">
        <f t="shared" si="3484"/>
        <v>RAZIMAH ANSAR AHMAD</v>
      </c>
      <c r="Y8540" t="str">
        <f t="shared" si="3485"/>
        <v>04-08-2020</v>
      </c>
      <c r="Z8540" t="str">
        <f>"COS10200804 284"</f>
        <v>COS10200804 284</v>
      </c>
    </row>
    <row r="8541" spans="1:26" x14ac:dyDescent="0.25">
      <c r="A8541" t="str">
        <f t="shared" si="3486"/>
        <v>04-08-2020 12:28:31</v>
      </c>
      <c r="B8541" t="str">
        <f>"0000802278"</f>
        <v>0000802278</v>
      </c>
      <c r="C8541" t="str">
        <f t="shared" si="3487"/>
        <v>0000802195</v>
      </c>
      <c r="D8541" t="str">
        <f t="shared" si="3475"/>
        <v>73185</v>
      </c>
      <c r="E8541" t="str">
        <f t="shared" si="3476"/>
        <v>KFH-OPERATIONS DEPARTMENT</v>
      </c>
      <c r="F8541" t="str">
        <f t="shared" si="3477"/>
        <v>IBG</v>
      </c>
      <c r="G8541" t="str">
        <f t="shared" si="3488"/>
        <v>Refund COSHARE 10</v>
      </c>
      <c r="H8541" s="2">
        <v>1047.0999999999999</v>
      </c>
      <c r="I8541" t="str">
        <f>"HABIBU BINTI SANYUT"</f>
        <v>HABIBU BINTI SANYUT</v>
      </c>
      <c r="J8541" t="str">
        <f t="shared" si="3466"/>
        <v>BANK ISLAM BHD</v>
      </c>
      <c r="K8541" t="str">
        <f>"11040020064343"</f>
        <v>11040020064343</v>
      </c>
      <c r="L8541" t="str">
        <f t="shared" si="3489"/>
        <v>04-08-2020</v>
      </c>
      <c r="M8541" t="str">
        <f t="shared" si="3489"/>
        <v>04-08-2020</v>
      </c>
      <c r="N8541" t="str">
        <f t="shared" si="3478"/>
        <v>001105018356</v>
      </c>
      <c r="O8541" t="str">
        <f t="shared" si="3479"/>
        <v>MYR</v>
      </c>
      <c r="P8541" t="str">
        <f t="shared" si="3490"/>
        <v>NIL</v>
      </c>
      <c r="Q8541" t="str">
        <f t="shared" si="3490"/>
        <v>NIL</v>
      </c>
      <c r="R8541" t="str">
        <f t="shared" si="3467"/>
        <v>Accepted</v>
      </c>
      <c r="S8541" t="str">
        <f t="shared" si="3480"/>
        <v>Approved</v>
      </c>
      <c r="T8541" t="str">
        <f t="shared" si="3468"/>
        <v>10.20.8.188</v>
      </c>
      <c r="U8541" t="str">
        <f t="shared" si="3481"/>
        <v>AZRAD UMAR BIN SHAARI</v>
      </c>
      <c r="V8541" t="str">
        <f t="shared" si="3482"/>
        <v>FARHANA BINTI MUSTAPA</v>
      </c>
      <c r="W8541" t="str">
        <f t="shared" si="3483"/>
        <v>04-08-2020</v>
      </c>
      <c r="X8541" t="str">
        <f t="shared" si="3484"/>
        <v>RAZIMAH ANSAR AHMAD</v>
      </c>
      <c r="Y8541" t="str">
        <f t="shared" si="3485"/>
        <v>04-08-2020</v>
      </c>
      <c r="Z8541" t="str">
        <f>"COS10200804 283"</f>
        <v>COS10200804 283</v>
      </c>
    </row>
    <row r="8542" spans="1:26" x14ac:dyDescent="0.25">
      <c r="A8542" t="str">
        <f t="shared" si="3486"/>
        <v>04-08-2020 12:28:31</v>
      </c>
      <c r="B8542" t="str">
        <f>"0000802277"</f>
        <v>0000802277</v>
      </c>
      <c r="C8542" t="str">
        <f t="shared" si="3487"/>
        <v>0000802195</v>
      </c>
      <c r="D8542" t="str">
        <f t="shared" si="3475"/>
        <v>73185</v>
      </c>
      <c r="E8542" t="str">
        <f t="shared" si="3476"/>
        <v>KFH-OPERATIONS DEPARTMENT</v>
      </c>
      <c r="F8542" t="str">
        <f t="shared" si="3477"/>
        <v>IBG</v>
      </c>
      <c r="G8542" t="str">
        <f t="shared" si="3488"/>
        <v>Refund COSHARE 10</v>
      </c>
      <c r="H8542" s="2">
        <v>634</v>
      </c>
      <c r="I8542" t="str">
        <f>"HABIBU BINTI SANYUT"</f>
        <v>HABIBU BINTI SANYUT</v>
      </c>
      <c r="J8542" t="str">
        <f t="shared" si="3466"/>
        <v>BANK ISLAM BHD</v>
      </c>
      <c r="K8542" t="str">
        <f>"11040020064343"</f>
        <v>11040020064343</v>
      </c>
      <c r="L8542" t="str">
        <f t="shared" si="3489"/>
        <v>04-08-2020</v>
      </c>
      <c r="M8542" t="str">
        <f t="shared" si="3489"/>
        <v>04-08-2020</v>
      </c>
      <c r="N8542" t="str">
        <f t="shared" si="3478"/>
        <v>001105018356</v>
      </c>
      <c r="O8542" t="str">
        <f t="shared" si="3479"/>
        <v>MYR</v>
      </c>
      <c r="P8542" t="str">
        <f t="shared" si="3490"/>
        <v>NIL</v>
      </c>
      <c r="Q8542" t="str">
        <f t="shared" si="3490"/>
        <v>NIL</v>
      </c>
      <c r="R8542" t="str">
        <f t="shared" si="3467"/>
        <v>Accepted</v>
      </c>
      <c r="S8542" t="str">
        <f t="shared" si="3480"/>
        <v>Approved</v>
      </c>
      <c r="T8542" t="str">
        <f t="shared" si="3468"/>
        <v>10.20.8.188</v>
      </c>
      <c r="U8542" t="str">
        <f t="shared" si="3481"/>
        <v>AZRAD UMAR BIN SHAARI</v>
      </c>
      <c r="V8542" t="str">
        <f t="shared" si="3482"/>
        <v>FARHANA BINTI MUSTAPA</v>
      </c>
      <c r="W8542" t="str">
        <f t="shared" si="3483"/>
        <v>04-08-2020</v>
      </c>
      <c r="X8542" t="str">
        <f t="shared" si="3484"/>
        <v>RAZIMAH ANSAR AHMAD</v>
      </c>
      <c r="Y8542" t="str">
        <f t="shared" si="3485"/>
        <v>04-08-2020</v>
      </c>
      <c r="Z8542" t="str">
        <f>"COS10200804 282"</f>
        <v>COS10200804 282</v>
      </c>
    </row>
    <row r="8543" spans="1:26" x14ac:dyDescent="0.25">
      <c r="A8543" t="str">
        <f t="shared" si="3486"/>
        <v>04-08-2020 12:28:31</v>
      </c>
      <c r="B8543" t="str">
        <f>"0000802276"</f>
        <v>0000802276</v>
      </c>
      <c r="C8543" t="str">
        <f t="shared" si="3487"/>
        <v>0000802195</v>
      </c>
      <c r="D8543" t="str">
        <f t="shared" si="3475"/>
        <v>73185</v>
      </c>
      <c r="E8543" t="str">
        <f t="shared" si="3476"/>
        <v>KFH-OPERATIONS DEPARTMENT</v>
      </c>
      <c r="F8543" t="str">
        <f t="shared" si="3477"/>
        <v>IBG</v>
      </c>
      <c r="G8543" t="str">
        <f t="shared" si="3488"/>
        <v>Refund COSHARE 10</v>
      </c>
      <c r="H8543" s="2">
        <v>1082.95</v>
      </c>
      <c r="I8543" t="str">
        <f>"HABIBAH SALWA BINTI YUSUF"</f>
        <v>HABIBAH SALWA BINTI YUSUF</v>
      </c>
      <c r="J8543" t="str">
        <f t="shared" si="3466"/>
        <v>BANK ISLAM BHD</v>
      </c>
      <c r="K8543" t="str">
        <f>"03139020108331"</f>
        <v>03139020108331</v>
      </c>
      <c r="L8543" t="str">
        <f t="shared" si="3489"/>
        <v>04-08-2020</v>
      </c>
      <c r="M8543" t="str">
        <f t="shared" si="3489"/>
        <v>04-08-2020</v>
      </c>
      <c r="N8543" t="str">
        <f t="shared" si="3478"/>
        <v>001105018356</v>
      </c>
      <c r="O8543" t="str">
        <f t="shared" si="3479"/>
        <v>MYR</v>
      </c>
      <c r="P8543" t="str">
        <f t="shared" si="3490"/>
        <v>NIL</v>
      </c>
      <c r="Q8543" t="str">
        <f t="shared" si="3490"/>
        <v>NIL</v>
      </c>
      <c r="R8543" t="str">
        <f t="shared" si="3467"/>
        <v>Accepted</v>
      </c>
      <c r="S8543" t="str">
        <f t="shared" si="3480"/>
        <v>Approved</v>
      </c>
      <c r="T8543" t="str">
        <f t="shared" si="3468"/>
        <v>10.20.8.188</v>
      </c>
      <c r="U8543" t="str">
        <f t="shared" si="3481"/>
        <v>AZRAD UMAR BIN SHAARI</v>
      </c>
      <c r="V8543" t="str">
        <f t="shared" si="3482"/>
        <v>FARHANA BINTI MUSTAPA</v>
      </c>
      <c r="W8543" t="str">
        <f t="shared" si="3483"/>
        <v>04-08-2020</v>
      </c>
      <c r="X8543" t="str">
        <f t="shared" si="3484"/>
        <v>RAZIMAH ANSAR AHMAD</v>
      </c>
      <c r="Y8543" t="str">
        <f t="shared" si="3485"/>
        <v>04-08-2020</v>
      </c>
      <c r="Z8543" t="str">
        <f>"COS10200804 281"</f>
        <v>COS10200804 281</v>
      </c>
    </row>
    <row r="8544" spans="1:26" x14ac:dyDescent="0.25">
      <c r="A8544" t="str">
        <f t="shared" si="3486"/>
        <v>04-08-2020 12:28:31</v>
      </c>
      <c r="B8544" t="str">
        <f>"0000802275"</f>
        <v>0000802275</v>
      </c>
      <c r="C8544" t="str">
        <f t="shared" si="3487"/>
        <v>0000802195</v>
      </c>
      <c r="D8544" t="str">
        <f t="shared" si="3475"/>
        <v>73185</v>
      </c>
      <c r="E8544" t="str">
        <f t="shared" si="3476"/>
        <v>KFH-OPERATIONS DEPARTMENT</v>
      </c>
      <c r="F8544" t="str">
        <f t="shared" si="3477"/>
        <v>IBG</v>
      </c>
      <c r="G8544" t="str">
        <f t="shared" si="3488"/>
        <v>Refund COSHARE 10</v>
      </c>
      <c r="H8544" s="2">
        <v>1611.85</v>
      </c>
      <c r="I8544" t="str">
        <f>"GORIATI BINTI USMAN"</f>
        <v>GORIATI BINTI USMAN</v>
      </c>
      <c r="J8544" t="str">
        <f t="shared" si="3466"/>
        <v>BANK ISLAM BHD</v>
      </c>
      <c r="K8544" t="str">
        <f>"10025020625289"</f>
        <v>10025020625289</v>
      </c>
      <c r="L8544" t="str">
        <f t="shared" si="3489"/>
        <v>04-08-2020</v>
      </c>
      <c r="M8544" t="str">
        <f t="shared" si="3489"/>
        <v>04-08-2020</v>
      </c>
      <c r="N8544" t="str">
        <f t="shared" si="3478"/>
        <v>001105018356</v>
      </c>
      <c r="O8544" t="str">
        <f t="shared" si="3479"/>
        <v>MYR</v>
      </c>
      <c r="P8544" t="str">
        <f t="shared" si="3490"/>
        <v>NIL</v>
      </c>
      <c r="Q8544" t="str">
        <f t="shared" si="3490"/>
        <v>NIL</v>
      </c>
      <c r="R8544" t="str">
        <f t="shared" si="3467"/>
        <v>Accepted</v>
      </c>
      <c r="S8544" t="str">
        <f t="shared" si="3480"/>
        <v>Approved</v>
      </c>
      <c r="T8544" t="str">
        <f t="shared" si="3468"/>
        <v>10.20.8.188</v>
      </c>
      <c r="U8544" t="str">
        <f t="shared" si="3481"/>
        <v>AZRAD UMAR BIN SHAARI</v>
      </c>
      <c r="V8544" t="str">
        <f t="shared" si="3482"/>
        <v>FARHANA BINTI MUSTAPA</v>
      </c>
      <c r="W8544" t="str">
        <f t="shared" si="3483"/>
        <v>04-08-2020</v>
      </c>
      <c r="X8544" t="str">
        <f t="shared" si="3484"/>
        <v>RAZIMAH ANSAR AHMAD</v>
      </c>
      <c r="Y8544" t="str">
        <f t="shared" si="3485"/>
        <v>04-08-2020</v>
      </c>
      <c r="Z8544" t="str">
        <f>"COS10200804 280"</f>
        <v>COS10200804 280</v>
      </c>
    </row>
    <row r="8545" spans="1:26" x14ac:dyDescent="0.25">
      <c r="A8545" t="str">
        <f t="shared" si="3486"/>
        <v>04-08-2020 12:28:31</v>
      </c>
      <c r="B8545" t="str">
        <f>"0000802274"</f>
        <v>0000802274</v>
      </c>
      <c r="C8545" t="str">
        <f t="shared" si="3487"/>
        <v>0000802195</v>
      </c>
      <c r="D8545" t="str">
        <f t="shared" si="3475"/>
        <v>73185</v>
      </c>
      <c r="E8545" t="str">
        <f t="shared" si="3476"/>
        <v>KFH-OPERATIONS DEPARTMENT</v>
      </c>
      <c r="F8545" t="str">
        <f t="shared" si="3477"/>
        <v>IBG</v>
      </c>
      <c r="G8545" t="str">
        <f t="shared" si="3488"/>
        <v>Refund COSHARE 10</v>
      </c>
      <c r="H8545" s="2">
        <v>1614</v>
      </c>
      <c r="I8545" t="str">
        <f>"FOHZI BIN ALI"</f>
        <v>FOHZI BIN ALI</v>
      </c>
      <c r="J8545" t="str">
        <f t="shared" si="3466"/>
        <v>BANK ISLAM BHD</v>
      </c>
      <c r="K8545" t="str">
        <f>"08068020253415"</f>
        <v>08068020253415</v>
      </c>
      <c r="L8545" t="str">
        <f t="shared" si="3489"/>
        <v>04-08-2020</v>
      </c>
      <c r="M8545" t="str">
        <f t="shared" si="3489"/>
        <v>04-08-2020</v>
      </c>
      <c r="N8545" t="str">
        <f t="shared" si="3478"/>
        <v>001105018356</v>
      </c>
      <c r="O8545" t="str">
        <f t="shared" si="3479"/>
        <v>MYR</v>
      </c>
      <c r="P8545" t="str">
        <f t="shared" si="3490"/>
        <v>NIL</v>
      </c>
      <c r="Q8545" t="str">
        <f t="shared" si="3490"/>
        <v>NIL</v>
      </c>
      <c r="R8545" t="str">
        <f t="shared" si="3467"/>
        <v>Accepted</v>
      </c>
      <c r="S8545" t="str">
        <f t="shared" si="3480"/>
        <v>Approved</v>
      </c>
      <c r="T8545" t="str">
        <f t="shared" si="3468"/>
        <v>10.20.8.188</v>
      </c>
      <c r="U8545" t="str">
        <f t="shared" si="3481"/>
        <v>AZRAD UMAR BIN SHAARI</v>
      </c>
      <c r="V8545" t="str">
        <f t="shared" si="3482"/>
        <v>FARHANA BINTI MUSTAPA</v>
      </c>
      <c r="W8545" t="str">
        <f t="shared" si="3483"/>
        <v>04-08-2020</v>
      </c>
      <c r="X8545" t="str">
        <f t="shared" si="3484"/>
        <v>RAZIMAH ANSAR AHMAD</v>
      </c>
      <c r="Y8545" t="str">
        <f t="shared" si="3485"/>
        <v>04-08-2020</v>
      </c>
      <c r="Z8545" t="str">
        <f>"COS10200804 279"</f>
        <v>COS10200804 279</v>
      </c>
    </row>
    <row r="8546" spans="1:26" x14ac:dyDescent="0.25">
      <c r="A8546" t="str">
        <f t="shared" si="3486"/>
        <v>04-08-2020 12:28:31</v>
      </c>
      <c r="B8546" t="str">
        <f>"0000802273"</f>
        <v>0000802273</v>
      </c>
      <c r="C8546" t="str">
        <f t="shared" si="3487"/>
        <v>0000802195</v>
      </c>
      <c r="D8546" t="str">
        <f t="shared" si="3475"/>
        <v>73185</v>
      </c>
      <c r="E8546" t="str">
        <f t="shared" si="3476"/>
        <v>KFH-OPERATIONS DEPARTMENT</v>
      </c>
      <c r="F8546" t="str">
        <f t="shared" si="3477"/>
        <v>IBG</v>
      </c>
      <c r="G8546" t="str">
        <f t="shared" si="3488"/>
        <v>Refund COSHARE 10</v>
      </c>
      <c r="H8546" s="2">
        <v>840</v>
      </c>
      <c r="I8546" t="str">
        <f>"FLORA BINTI APING THAM CHONG"</f>
        <v>FLORA BINTI APING THAM CHONG</v>
      </c>
      <c r="J8546" t="str">
        <f t="shared" ref="J8546:J8609" si="3491">"BANK ISLAM BHD"</f>
        <v>BANK ISLAM BHD</v>
      </c>
      <c r="K8546" t="str">
        <f>"10016020252683"</f>
        <v>10016020252683</v>
      </c>
      <c r="L8546" t="str">
        <f t="shared" si="3489"/>
        <v>04-08-2020</v>
      </c>
      <c r="M8546" t="str">
        <f t="shared" si="3489"/>
        <v>04-08-2020</v>
      </c>
      <c r="N8546" t="str">
        <f t="shared" si="3478"/>
        <v>001105018356</v>
      </c>
      <c r="O8546" t="str">
        <f t="shared" si="3479"/>
        <v>MYR</v>
      </c>
      <c r="P8546" t="str">
        <f t="shared" si="3490"/>
        <v>NIL</v>
      </c>
      <c r="Q8546" t="str">
        <f t="shared" si="3490"/>
        <v>NIL</v>
      </c>
      <c r="R8546" t="str">
        <f t="shared" ref="R8546:R8609" si="3492">"Accepted"</f>
        <v>Accepted</v>
      </c>
      <c r="S8546" t="str">
        <f t="shared" si="3480"/>
        <v>Approved</v>
      </c>
      <c r="T8546" t="str">
        <f t="shared" ref="T8546:T8609" si="3493">"10.20.8.188"</f>
        <v>10.20.8.188</v>
      </c>
      <c r="U8546" t="str">
        <f t="shared" si="3481"/>
        <v>AZRAD UMAR BIN SHAARI</v>
      </c>
      <c r="V8546" t="str">
        <f t="shared" si="3482"/>
        <v>FARHANA BINTI MUSTAPA</v>
      </c>
      <c r="W8546" t="str">
        <f t="shared" si="3483"/>
        <v>04-08-2020</v>
      </c>
      <c r="X8546" t="str">
        <f t="shared" si="3484"/>
        <v>RAZIMAH ANSAR AHMAD</v>
      </c>
      <c r="Y8546" t="str">
        <f t="shared" si="3485"/>
        <v>04-08-2020</v>
      </c>
      <c r="Z8546" t="str">
        <f>"COS10200804 278"</f>
        <v>COS10200804 278</v>
      </c>
    </row>
    <row r="8547" spans="1:26" x14ac:dyDescent="0.25">
      <c r="A8547" t="str">
        <f t="shared" si="3486"/>
        <v>04-08-2020 12:28:31</v>
      </c>
      <c r="B8547" t="str">
        <f>"0000802272"</f>
        <v>0000802272</v>
      </c>
      <c r="C8547" t="str">
        <f t="shared" si="3487"/>
        <v>0000802195</v>
      </c>
      <c r="D8547" t="str">
        <f t="shared" si="3475"/>
        <v>73185</v>
      </c>
      <c r="E8547" t="str">
        <f t="shared" si="3476"/>
        <v>KFH-OPERATIONS DEPARTMENT</v>
      </c>
      <c r="F8547" t="str">
        <f t="shared" si="3477"/>
        <v>IBG</v>
      </c>
      <c r="G8547" t="str">
        <f t="shared" si="3488"/>
        <v>Refund COSHARE 10</v>
      </c>
      <c r="H8547" s="2">
        <v>377.8</v>
      </c>
      <c r="I8547" t="str">
        <f>"FITRI RAMZEE BIN RAMLEE"</f>
        <v>FITRI RAMZEE BIN RAMLEE</v>
      </c>
      <c r="J8547" t="str">
        <f t="shared" si="3491"/>
        <v>BANK ISLAM BHD</v>
      </c>
      <c r="K8547" t="str">
        <f>"11013025692818"</f>
        <v>11013025692818</v>
      </c>
      <c r="L8547" t="str">
        <f t="shared" ref="L8547:M8566" si="3494">"04-08-2020"</f>
        <v>04-08-2020</v>
      </c>
      <c r="M8547" t="str">
        <f t="shared" si="3494"/>
        <v>04-08-2020</v>
      </c>
      <c r="N8547" t="str">
        <f t="shared" si="3478"/>
        <v>001105018356</v>
      </c>
      <c r="O8547" t="str">
        <f t="shared" si="3479"/>
        <v>MYR</v>
      </c>
      <c r="P8547" t="str">
        <f t="shared" ref="P8547:Q8566" si="3495">"NIL"</f>
        <v>NIL</v>
      </c>
      <c r="Q8547" t="str">
        <f t="shared" si="3495"/>
        <v>NIL</v>
      </c>
      <c r="R8547" t="str">
        <f t="shared" si="3492"/>
        <v>Accepted</v>
      </c>
      <c r="S8547" t="str">
        <f t="shared" si="3480"/>
        <v>Approved</v>
      </c>
      <c r="T8547" t="str">
        <f t="shared" si="3493"/>
        <v>10.20.8.188</v>
      </c>
      <c r="U8547" t="str">
        <f t="shared" si="3481"/>
        <v>AZRAD UMAR BIN SHAARI</v>
      </c>
      <c r="V8547" t="str">
        <f t="shared" si="3482"/>
        <v>FARHANA BINTI MUSTAPA</v>
      </c>
      <c r="W8547" t="str">
        <f t="shared" si="3483"/>
        <v>04-08-2020</v>
      </c>
      <c r="X8547" t="str">
        <f t="shared" si="3484"/>
        <v>RAZIMAH ANSAR AHMAD</v>
      </c>
      <c r="Y8547" t="str">
        <f t="shared" si="3485"/>
        <v>04-08-2020</v>
      </c>
      <c r="Z8547" t="str">
        <f>"COS10200804 277"</f>
        <v>COS10200804 277</v>
      </c>
    </row>
    <row r="8548" spans="1:26" x14ac:dyDescent="0.25">
      <c r="A8548" t="str">
        <f t="shared" si="3486"/>
        <v>04-08-2020 12:28:31</v>
      </c>
      <c r="B8548" t="str">
        <f>"0000802271"</f>
        <v>0000802271</v>
      </c>
      <c r="C8548" t="str">
        <f t="shared" si="3487"/>
        <v>0000802195</v>
      </c>
      <c r="D8548" t="str">
        <f t="shared" si="3475"/>
        <v>73185</v>
      </c>
      <c r="E8548" t="str">
        <f t="shared" si="3476"/>
        <v>KFH-OPERATIONS DEPARTMENT</v>
      </c>
      <c r="F8548" t="str">
        <f t="shared" si="3477"/>
        <v>IBG</v>
      </c>
      <c r="G8548" t="str">
        <f t="shared" si="3488"/>
        <v>Refund COSHARE 10</v>
      </c>
      <c r="H8548" s="2">
        <v>251</v>
      </c>
      <c r="I8548" t="str">
        <f>"FIRDA MURNI BT RUSLI"</f>
        <v>FIRDA MURNI BT RUSLI</v>
      </c>
      <c r="J8548" t="str">
        <f t="shared" si="3491"/>
        <v>BANK ISLAM BHD</v>
      </c>
      <c r="K8548" t="str">
        <f>"06028024762651"</f>
        <v>06028024762651</v>
      </c>
      <c r="L8548" t="str">
        <f t="shared" si="3494"/>
        <v>04-08-2020</v>
      </c>
      <c r="M8548" t="str">
        <f t="shared" si="3494"/>
        <v>04-08-2020</v>
      </c>
      <c r="N8548" t="str">
        <f t="shared" si="3478"/>
        <v>001105018356</v>
      </c>
      <c r="O8548" t="str">
        <f t="shared" si="3479"/>
        <v>MYR</v>
      </c>
      <c r="P8548" t="str">
        <f t="shared" si="3495"/>
        <v>NIL</v>
      </c>
      <c r="Q8548" t="str">
        <f t="shared" si="3495"/>
        <v>NIL</v>
      </c>
      <c r="R8548" t="str">
        <f t="shared" si="3492"/>
        <v>Accepted</v>
      </c>
      <c r="S8548" t="str">
        <f t="shared" si="3480"/>
        <v>Approved</v>
      </c>
      <c r="T8548" t="str">
        <f t="shared" si="3493"/>
        <v>10.20.8.188</v>
      </c>
      <c r="U8548" t="str">
        <f t="shared" si="3481"/>
        <v>AZRAD UMAR BIN SHAARI</v>
      </c>
      <c r="V8548" t="str">
        <f t="shared" si="3482"/>
        <v>FARHANA BINTI MUSTAPA</v>
      </c>
      <c r="W8548" t="str">
        <f t="shared" si="3483"/>
        <v>04-08-2020</v>
      </c>
      <c r="X8548" t="str">
        <f t="shared" si="3484"/>
        <v>RAZIMAH ANSAR AHMAD</v>
      </c>
      <c r="Y8548" t="str">
        <f t="shared" si="3485"/>
        <v>04-08-2020</v>
      </c>
      <c r="Z8548" t="str">
        <f>"COS10200804 276"</f>
        <v>COS10200804 276</v>
      </c>
    </row>
    <row r="8549" spans="1:26" x14ac:dyDescent="0.25">
      <c r="A8549" t="str">
        <f t="shared" si="3486"/>
        <v>04-08-2020 12:28:31</v>
      </c>
      <c r="B8549" t="str">
        <f>"0000802270"</f>
        <v>0000802270</v>
      </c>
      <c r="C8549" t="str">
        <f t="shared" si="3487"/>
        <v>0000802195</v>
      </c>
      <c r="D8549" t="str">
        <f t="shared" si="3475"/>
        <v>73185</v>
      </c>
      <c r="E8549" t="str">
        <f t="shared" si="3476"/>
        <v>KFH-OPERATIONS DEPARTMENT</v>
      </c>
      <c r="F8549" t="str">
        <f t="shared" si="3477"/>
        <v>IBG</v>
      </c>
      <c r="G8549" t="str">
        <f t="shared" si="3488"/>
        <v>Refund COSHARE 10</v>
      </c>
      <c r="H8549" s="2">
        <v>696.8</v>
      </c>
      <c r="I8549" t="str">
        <f>"FELIX NANG"</f>
        <v>FELIX NANG</v>
      </c>
      <c r="J8549" t="str">
        <f t="shared" si="3491"/>
        <v>BANK ISLAM BHD</v>
      </c>
      <c r="K8549" t="str">
        <f>"11022010034122"</f>
        <v>11022010034122</v>
      </c>
      <c r="L8549" t="str">
        <f t="shared" si="3494"/>
        <v>04-08-2020</v>
      </c>
      <c r="M8549" t="str">
        <f t="shared" si="3494"/>
        <v>04-08-2020</v>
      </c>
      <c r="N8549" t="str">
        <f t="shared" si="3478"/>
        <v>001105018356</v>
      </c>
      <c r="O8549" t="str">
        <f t="shared" si="3479"/>
        <v>MYR</v>
      </c>
      <c r="P8549" t="str">
        <f t="shared" si="3495"/>
        <v>NIL</v>
      </c>
      <c r="Q8549" t="str">
        <f t="shared" si="3495"/>
        <v>NIL</v>
      </c>
      <c r="R8549" t="str">
        <f t="shared" si="3492"/>
        <v>Accepted</v>
      </c>
      <c r="S8549" t="str">
        <f t="shared" si="3480"/>
        <v>Approved</v>
      </c>
      <c r="T8549" t="str">
        <f t="shared" si="3493"/>
        <v>10.20.8.188</v>
      </c>
      <c r="U8549" t="str">
        <f t="shared" si="3481"/>
        <v>AZRAD UMAR BIN SHAARI</v>
      </c>
      <c r="V8549" t="str">
        <f t="shared" si="3482"/>
        <v>FARHANA BINTI MUSTAPA</v>
      </c>
      <c r="W8549" t="str">
        <f t="shared" si="3483"/>
        <v>04-08-2020</v>
      </c>
      <c r="X8549" t="str">
        <f t="shared" si="3484"/>
        <v>RAZIMAH ANSAR AHMAD</v>
      </c>
      <c r="Y8549" t="str">
        <f t="shared" si="3485"/>
        <v>04-08-2020</v>
      </c>
      <c r="Z8549" t="str">
        <f>"COS10200804 275"</f>
        <v>COS10200804 275</v>
      </c>
    </row>
    <row r="8550" spans="1:26" x14ac:dyDescent="0.25">
      <c r="A8550" t="str">
        <f t="shared" si="3486"/>
        <v>04-08-2020 12:28:31</v>
      </c>
      <c r="B8550" t="str">
        <f>"0000802269"</f>
        <v>0000802269</v>
      </c>
      <c r="C8550" t="str">
        <f t="shared" si="3487"/>
        <v>0000802195</v>
      </c>
      <c r="D8550" t="str">
        <f t="shared" si="3475"/>
        <v>73185</v>
      </c>
      <c r="E8550" t="str">
        <f t="shared" si="3476"/>
        <v>KFH-OPERATIONS DEPARTMENT</v>
      </c>
      <c r="F8550" t="str">
        <f t="shared" si="3477"/>
        <v>IBG</v>
      </c>
      <c r="G8550" t="str">
        <f t="shared" si="3488"/>
        <v>Refund COSHARE 10</v>
      </c>
      <c r="H8550" s="2">
        <v>1419.8</v>
      </c>
      <c r="I8550" t="str">
        <f>"FAZIDAH BINTI MOHD YUSOF"</f>
        <v>FAZIDAH BINTI MOHD YUSOF</v>
      </c>
      <c r="J8550" t="str">
        <f t="shared" si="3491"/>
        <v>BANK ISLAM BHD</v>
      </c>
      <c r="K8550" t="str">
        <f>"01050020095576"</f>
        <v>01050020095576</v>
      </c>
      <c r="L8550" t="str">
        <f t="shared" si="3494"/>
        <v>04-08-2020</v>
      </c>
      <c r="M8550" t="str">
        <f t="shared" si="3494"/>
        <v>04-08-2020</v>
      </c>
      <c r="N8550" t="str">
        <f t="shared" si="3478"/>
        <v>001105018356</v>
      </c>
      <c r="O8550" t="str">
        <f t="shared" si="3479"/>
        <v>MYR</v>
      </c>
      <c r="P8550" t="str">
        <f t="shared" si="3495"/>
        <v>NIL</v>
      </c>
      <c r="Q8550" t="str">
        <f t="shared" si="3495"/>
        <v>NIL</v>
      </c>
      <c r="R8550" t="str">
        <f t="shared" si="3492"/>
        <v>Accepted</v>
      </c>
      <c r="S8550" t="str">
        <f t="shared" si="3480"/>
        <v>Approved</v>
      </c>
      <c r="T8550" t="str">
        <f t="shared" si="3493"/>
        <v>10.20.8.188</v>
      </c>
      <c r="U8550" t="str">
        <f t="shared" si="3481"/>
        <v>AZRAD UMAR BIN SHAARI</v>
      </c>
      <c r="V8550" t="str">
        <f t="shared" si="3482"/>
        <v>FARHANA BINTI MUSTAPA</v>
      </c>
      <c r="W8550" t="str">
        <f t="shared" si="3483"/>
        <v>04-08-2020</v>
      </c>
      <c r="X8550" t="str">
        <f t="shared" si="3484"/>
        <v>RAZIMAH ANSAR AHMAD</v>
      </c>
      <c r="Y8550" t="str">
        <f t="shared" si="3485"/>
        <v>04-08-2020</v>
      </c>
      <c r="Z8550" t="str">
        <f>"COS10200804 274"</f>
        <v>COS10200804 274</v>
      </c>
    </row>
    <row r="8551" spans="1:26" x14ac:dyDescent="0.25">
      <c r="A8551" t="str">
        <f t="shared" si="3486"/>
        <v>04-08-2020 12:28:31</v>
      </c>
      <c r="B8551" t="str">
        <f>"0000802268"</f>
        <v>0000802268</v>
      </c>
      <c r="C8551" t="str">
        <f t="shared" si="3487"/>
        <v>0000802195</v>
      </c>
      <c r="D8551" t="str">
        <f t="shared" si="3475"/>
        <v>73185</v>
      </c>
      <c r="E8551" t="str">
        <f t="shared" si="3476"/>
        <v>KFH-OPERATIONS DEPARTMENT</v>
      </c>
      <c r="F8551" t="str">
        <f t="shared" si="3477"/>
        <v>IBG</v>
      </c>
      <c r="G8551" t="str">
        <f t="shared" si="3488"/>
        <v>Refund COSHARE 10</v>
      </c>
      <c r="H8551" s="2">
        <v>887</v>
      </c>
      <c r="I8551" t="str">
        <f>"FAUZIAH BT KAMARUDDIN"</f>
        <v>FAUZIAH BT KAMARUDDIN</v>
      </c>
      <c r="J8551" t="str">
        <f t="shared" si="3491"/>
        <v>BANK ISLAM BHD</v>
      </c>
      <c r="K8551" t="str">
        <f>"08059020042452"</f>
        <v>08059020042452</v>
      </c>
      <c r="L8551" t="str">
        <f t="shared" si="3494"/>
        <v>04-08-2020</v>
      </c>
      <c r="M8551" t="str">
        <f t="shared" si="3494"/>
        <v>04-08-2020</v>
      </c>
      <c r="N8551" t="str">
        <f t="shared" si="3478"/>
        <v>001105018356</v>
      </c>
      <c r="O8551" t="str">
        <f t="shared" si="3479"/>
        <v>MYR</v>
      </c>
      <c r="P8551" t="str">
        <f t="shared" si="3495"/>
        <v>NIL</v>
      </c>
      <c r="Q8551" t="str">
        <f t="shared" si="3495"/>
        <v>NIL</v>
      </c>
      <c r="R8551" t="str">
        <f t="shared" si="3492"/>
        <v>Accepted</v>
      </c>
      <c r="S8551" t="str">
        <f t="shared" si="3480"/>
        <v>Approved</v>
      </c>
      <c r="T8551" t="str">
        <f t="shared" si="3493"/>
        <v>10.20.8.188</v>
      </c>
      <c r="U8551" t="str">
        <f t="shared" si="3481"/>
        <v>AZRAD UMAR BIN SHAARI</v>
      </c>
      <c r="V8551" t="str">
        <f t="shared" si="3482"/>
        <v>FARHANA BINTI MUSTAPA</v>
      </c>
      <c r="W8551" t="str">
        <f t="shared" si="3483"/>
        <v>04-08-2020</v>
      </c>
      <c r="X8551" t="str">
        <f t="shared" si="3484"/>
        <v>RAZIMAH ANSAR AHMAD</v>
      </c>
      <c r="Y8551" t="str">
        <f t="shared" si="3485"/>
        <v>04-08-2020</v>
      </c>
      <c r="Z8551" t="str">
        <f>"COS10200804 273"</f>
        <v>COS10200804 273</v>
      </c>
    </row>
    <row r="8552" spans="1:26" x14ac:dyDescent="0.25">
      <c r="A8552" t="str">
        <f t="shared" ref="A8552:A8583" si="3496">"04-08-2020 12:28:31"</f>
        <v>04-08-2020 12:28:31</v>
      </c>
      <c r="B8552" t="str">
        <f>"0000802267"</f>
        <v>0000802267</v>
      </c>
      <c r="C8552" t="str">
        <f t="shared" ref="C8552:C8583" si="3497">"0000802195"</f>
        <v>0000802195</v>
      </c>
      <c r="D8552" t="str">
        <f t="shared" si="3475"/>
        <v>73185</v>
      </c>
      <c r="E8552" t="str">
        <f t="shared" si="3476"/>
        <v>KFH-OPERATIONS DEPARTMENT</v>
      </c>
      <c r="F8552" t="str">
        <f t="shared" si="3477"/>
        <v>IBG</v>
      </c>
      <c r="G8552" t="str">
        <f t="shared" si="3488"/>
        <v>Refund COSHARE 10</v>
      </c>
      <c r="H8552" s="2">
        <v>567.95000000000005</v>
      </c>
      <c r="I8552" t="str">
        <f>"FAUZIAH BINTI ISMAIL"</f>
        <v>FAUZIAH BINTI ISMAIL</v>
      </c>
      <c r="J8552" t="str">
        <f t="shared" si="3491"/>
        <v>BANK ISLAM BHD</v>
      </c>
      <c r="K8552" t="str">
        <f>"03036020131078"</f>
        <v>03036020131078</v>
      </c>
      <c r="L8552" t="str">
        <f t="shared" si="3494"/>
        <v>04-08-2020</v>
      </c>
      <c r="M8552" t="str">
        <f t="shared" si="3494"/>
        <v>04-08-2020</v>
      </c>
      <c r="N8552" t="str">
        <f t="shared" si="3478"/>
        <v>001105018356</v>
      </c>
      <c r="O8552" t="str">
        <f t="shared" si="3479"/>
        <v>MYR</v>
      </c>
      <c r="P8552" t="str">
        <f t="shared" si="3495"/>
        <v>NIL</v>
      </c>
      <c r="Q8552" t="str">
        <f t="shared" si="3495"/>
        <v>NIL</v>
      </c>
      <c r="R8552" t="str">
        <f t="shared" si="3492"/>
        <v>Accepted</v>
      </c>
      <c r="S8552" t="str">
        <f t="shared" si="3480"/>
        <v>Approved</v>
      </c>
      <c r="T8552" t="str">
        <f t="shared" si="3493"/>
        <v>10.20.8.188</v>
      </c>
      <c r="U8552" t="str">
        <f t="shared" si="3481"/>
        <v>AZRAD UMAR BIN SHAARI</v>
      </c>
      <c r="V8552" t="str">
        <f t="shared" si="3482"/>
        <v>FARHANA BINTI MUSTAPA</v>
      </c>
      <c r="W8552" t="str">
        <f t="shared" si="3483"/>
        <v>04-08-2020</v>
      </c>
      <c r="X8552" t="str">
        <f t="shared" si="3484"/>
        <v>RAZIMAH ANSAR AHMAD</v>
      </c>
      <c r="Y8552" t="str">
        <f t="shared" si="3485"/>
        <v>04-08-2020</v>
      </c>
      <c r="Z8552" t="str">
        <f>"COS10200804 272"</f>
        <v>COS10200804 272</v>
      </c>
    </row>
    <row r="8553" spans="1:26" x14ac:dyDescent="0.25">
      <c r="A8553" t="str">
        <f t="shared" si="3496"/>
        <v>04-08-2020 12:28:31</v>
      </c>
      <c r="B8553" t="str">
        <f>"0000802266"</f>
        <v>0000802266</v>
      </c>
      <c r="C8553" t="str">
        <f t="shared" si="3497"/>
        <v>0000802195</v>
      </c>
      <c r="D8553" t="str">
        <f t="shared" si="3475"/>
        <v>73185</v>
      </c>
      <c r="E8553" t="str">
        <f t="shared" si="3476"/>
        <v>KFH-OPERATIONS DEPARTMENT</v>
      </c>
      <c r="F8553" t="str">
        <f t="shared" si="3477"/>
        <v>IBG</v>
      </c>
      <c r="G8553" t="str">
        <f t="shared" si="3488"/>
        <v>Refund COSHARE 10</v>
      </c>
      <c r="H8553" s="2">
        <v>1214</v>
      </c>
      <c r="I8553" t="str">
        <f>"FATIMAH BINTI AZNAM"</f>
        <v>FATIMAH BINTI AZNAM</v>
      </c>
      <c r="J8553" t="str">
        <f t="shared" si="3491"/>
        <v>BANK ISLAM BHD</v>
      </c>
      <c r="K8553" t="str">
        <f>"14171020479827"</f>
        <v>14171020479827</v>
      </c>
      <c r="L8553" t="str">
        <f t="shared" si="3494"/>
        <v>04-08-2020</v>
      </c>
      <c r="M8553" t="str">
        <f t="shared" si="3494"/>
        <v>04-08-2020</v>
      </c>
      <c r="N8553" t="str">
        <f t="shared" si="3478"/>
        <v>001105018356</v>
      </c>
      <c r="O8553" t="str">
        <f t="shared" si="3479"/>
        <v>MYR</v>
      </c>
      <c r="P8553" t="str">
        <f t="shared" si="3495"/>
        <v>NIL</v>
      </c>
      <c r="Q8553" t="str">
        <f t="shared" si="3495"/>
        <v>NIL</v>
      </c>
      <c r="R8553" t="str">
        <f t="shared" si="3492"/>
        <v>Accepted</v>
      </c>
      <c r="S8553" t="str">
        <f t="shared" si="3480"/>
        <v>Approved</v>
      </c>
      <c r="T8553" t="str">
        <f t="shared" si="3493"/>
        <v>10.20.8.188</v>
      </c>
      <c r="U8553" t="str">
        <f t="shared" si="3481"/>
        <v>AZRAD UMAR BIN SHAARI</v>
      </c>
      <c r="V8553" t="str">
        <f t="shared" si="3482"/>
        <v>FARHANA BINTI MUSTAPA</v>
      </c>
      <c r="W8553" t="str">
        <f t="shared" si="3483"/>
        <v>04-08-2020</v>
      </c>
      <c r="X8553" t="str">
        <f t="shared" si="3484"/>
        <v>RAZIMAH ANSAR AHMAD</v>
      </c>
      <c r="Y8553" t="str">
        <f t="shared" si="3485"/>
        <v>04-08-2020</v>
      </c>
      <c r="Z8553" t="str">
        <f>"COS10200804 271"</f>
        <v>COS10200804 271</v>
      </c>
    </row>
    <row r="8554" spans="1:26" x14ac:dyDescent="0.25">
      <c r="A8554" t="str">
        <f t="shared" si="3496"/>
        <v>04-08-2020 12:28:31</v>
      </c>
      <c r="B8554" t="str">
        <f>"0000802265"</f>
        <v>0000802265</v>
      </c>
      <c r="C8554" t="str">
        <f t="shared" si="3497"/>
        <v>0000802195</v>
      </c>
      <c r="D8554" t="str">
        <f t="shared" si="3475"/>
        <v>73185</v>
      </c>
      <c r="E8554" t="str">
        <f t="shared" si="3476"/>
        <v>KFH-OPERATIONS DEPARTMENT</v>
      </c>
      <c r="F8554" t="str">
        <f t="shared" si="3477"/>
        <v>IBG</v>
      </c>
      <c r="G8554" t="str">
        <f t="shared" si="3488"/>
        <v>Refund COSHARE 10</v>
      </c>
      <c r="H8554" s="2">
        <v>430</v>
      </c>
      <c r="I8554" t="str">
        <f>"FARIZATUL AKMA BINTI JUSOH  LATIF"</f>
        <v>FARIZATUL AKMA BINTI JUSOH  LATIF</v>
      </c>
      <c r="J8554" t="str">
        <f t="shared" si="3491"/>
        <v>BANK ISLAM BHD</v>
      </c>
      <c r="K8554" t="str">
        <f>"06064020022150"</f>
        <v>06064020022150</v>
      </c>
      <c r="L8554" t="str">
        <f t="shared" si="3494"/>
        <v>04-08-2020</v>
      </c>
      <c r="M8554" t="str">
        <f t="shared" si="3494"/>
        <v>04-08-2020</v>
      </c>
      <c r="N8554" t="str">
        <f t="shared" si="3478"/>
        <v>001105018356</v>
      </c>
      <c r="O8554" t="str">
        <f t="shared" si="3479"/>
        <v>MYR</v>
      </c>
      <c r="P8554" t="str">
        <f t="shared" si="3495"/>
        <v>NIL</v>
      </c>
      <c r="Q8554" t="str">
        <f t="shared" si="3495"/>
        <v>NIL</v>
      </c>
      <c r="R8554" t="str">
        <f t="shared" si="3492"/>
        <v>Accepted</v>
      </c>
      <c r="S8554" t="str">
        <f t="shared" si="3480"/>
        <v>Approved</v>
      </c>
      <c r="T8554" t="str">
        <f t="shared" si="3493"/>
        <v>10.20.8.188</v>
      </c>
      <c r="U8554" t="str">
        <f t="shared" si="3481"/>
        <v>AZRAD UMAR BIN SHAARI</v>
      </c>
      <c r="V8554" t="str">
        <f t="shared" si="3482"/>
        <v>FARHANA BINTI MUSTAPA</v>
      </c>
      <c r="W8554" t="str">
        <f t="shared" si="3483"/>
        <v>04-08-2020</v>
      </c>
      <c r="X8554" t="str">
        <f t="shared" si="3484"/>
        <v>RAZIMAH ANSAR AHMAD</v>
      </c>
      <c r="Y8554" t="str">
        <f t="shared" si="3485"/>
        <v>04-08-2020</v>
      </c>
      <c r="Z8554" t="str">
        <f>"COS10200804 270"</f>
        <v>COS10200804 270</v>
      </c>
    </row>
    <row r="8555" spans="1:26" x14ac:dyDescent="0.25">
      <c r="A8555" t="str">
        <f t="shared" si="3496"/>
        <v>04-08-2020 12:28:31</v>
      </c>
      <c r="B8555" t="str">
        <f>"0000802264"</f>
        <v>0000802264</v>
      </c>
      <c r="C8555" t="str">
        <f t="shared" si="3497"/>
        <v>0000802195</v>
      </c>
      <c r="D8555" t="str">
        <f t="shared" si="3475"/>
        <v>73185</v>
      </c>
      <c r="E8555" t="str">
        <f t="shared" si="3476"/>
        <v>KFH-OPERATIONS DEPARTMENT</v>
      </c>
      <c r="F8555" t="str">
        <f t="shared" si="3477"/>
        <v>IBG</v>
      </c>
      <c r="G8555" t="str">
        <f t="shared" si="3488"/>
        <v>Refund COSHARE 10</v>
      </c>
      <c r="H8555" s="2">
        <v>150</v>
      </c>
      <c r="I8555" t="str">
        <f>"FARIZATUL AKMA BINTI JUSOH  LATIF"</f>
        <v>FARIZATUL AKMA BINTI JUSOH  LATIF</v>
      </c>
      <c r="J8555" t="str">
        <f t="shared" si="3491"/>
        <v>BANK ISLAM BHD</v>
      </c>
      <c r="K8555" t="str">
        <f>"06064020022150"</f>
        <v>06064020022150</v>
      </c>
      <c r="L8555" t="str">
        <f t="shared" si="3494"/>
        <v>04-08-2020</v>
      </c>
      <c r="M8555" t="str">
        <f t="shared" si="3494"/>
        <v>04-08-2020</v>
      </c>
      <c r="N8555" t="str">
        <f t="shared" si="3478"/>
        <v>001105018356</v>
      </c>
      <c r="O8555" t="str">
        <f t="shared" si="3479"/>
        <v>MYR</v>
      </c>
      <c r="P8555" t="str">
        <f t="shared" si="3495"/>
        <v>NIL</v>
      </c>
      <c r="Q8555" t="str">
        <f t="shared" si="3495"/>
        <v>NIL</v>
      </c>
      <c r="R8555" t="str">
        <f t="shared" si="3492"/>
        <v>Accepted</v>
      </c>
      <c r="S8555" t="str">
        <f t="shared" si="3480"/>
        <v>Approved</v>
      </c>
      <c r="T8555" t="str">
        <f t="shared" si="3493"/>
        <v>10.20.8.188</v>
      </c>
      <c r="U8555" t="str">
        <f t="shared" si="3481"/>
        <v>AZRAD UMAR BIN SHAARI</v>
      </c>
      <c r="V8555" t="str">
        <f t="shared" si="3482"/>
        <v>FARHANA BINTI MUSTAPA</v>
      </c>
      <c r="W8555" t="str">
        <f t="shared" si="3483"/>
        <v>04-08-2020</v>
      </c>
      <c r="X8555" t="str">
        <f t="shared" si="3484"/>
        <v>RAZIMAH ANSAR AHMAD</v>
      </c>
      <c r="Y8555" t="str">
        <f t="shared" si="3485"/>
        <v>04-08-2020</v>
      </c>
      <c r="Z8555" t="str">
        <f>"COS10200804 269"</f>
        <v>COS10200804 269</v>
      </c>
    </row>
    <row r="8556" spans="1:26" x14ac:dyDescent="0.25">
      <c r="A8556" t="str">
        <f t="shared" si="3496"/>
        <v>04-08-2020 12:28:31</v>
      </c>
      <c r="B8556" t="str">
        <f>"0000802263"</f>
        <v>0000802263</v>
      </c>
      <c r="C8556" t="str">
        <f t="shared" si="3497"/>
        <v>0000802195</v>
      </c>
      <c r="D8556" t="str">
        <f t="shared" si="3475"/>
        <v>73185</v>
      </c>
      <c r="E8556" t="str">
        <f t="shared" si="3476"/>
        <v>KFH-OPERATIONS DEPARTMENT</v>
      </c>
      <c r="F8556" t="str">
        <f t="shared" si="3477"/>
        <v>IBG</v>
      </c>
      <c r="G8556" t="str">
        <f t="shared" si="3488"/>
        <v>Refund COSHARE 10</v>
      </c>
      <c r="H8556" s="2">
        <v>729</v>
      </c>
      <c r="I8556" t="str">
        <f>"FARIZAN BINTI ABDULLAH"</f>
        <v>FARIZAN BINTI ABDULLAH</v>
      </c>
      <c r="J8556" t="str">
        <f t="shared" si="3491"/>
        <v>BANK ISLAM BHD</v>
      </c>
      <c r="K8556" t="str">
        <f>"12010024591865"</f>
        <v>12010024591865</v>
      </c>
      <c r="L8556" t="str">
        <f t="shared" si="3494"/>
        <v>04-08-2020</v>
      </c>
      <c r="M8556" t="str">
        <f t="shared" si="3494"/>
        <v>04-08-2020</v>
      </c>
      <c r="N8556" t="str">
        <f t="shared" si="3478"/>
        <v>001105018356</v>
      </c>
      <c r="O8556" t="str">
        <f t="shared" si="3479"/>
        <v>MYR</v>
      </c>
      <c r="P8556" t="str">
        <f t="shared" si="3495"/>
        <v>NIL</v>
      </c>
      <c r="Q8556" t="str">
        <f t="shared" si="3495"/>
        <v>NIL</v>
      </c>
      <c r="R8556" t="str">
        <f t="shared" si="3492"/>
        <v>Accepted</v>
      </c>
      <c r="S8556" t="str">
        <f t="shared" si="3480"/>
        <v>Approved</v>
      </c>
      <c r="T8556" t="str">
        <f t="shared" si="3493"/>
        <v>10.20.8.188</v>
      </c>
      <c r="U8556" t="str">
        <f t="shared" si="3481"/>
        <v>AZRAD UMAR BIN SHAARI</v>
      </c>
      <c r="V8556" t="str">
        <f t="shared" si="3482"/>
        <v>FARHANA BINTI MUSTAPA</v>
      </c>
      <c r="W8556" t="str">
        <f t="shared" si="3483"/>
        <v>04-08-2020</v>
      </c>
      <c r="X8556" t="str">
        <f t="shared" si="3484"/>
        <v>RAZIMAH ANSAR AHMAD</v>
      </c>
      <c r="Y8556" t="str">
        <f t="shared" si="3485"/>
        <v>04-08-2020</v>
      </c>
      <c r="Z8556" t="str">
        <f>"COS10200804 268"</f>
        <v>COS10200804 268</v>
      </c>
    </row>
    <row r="8557" spans="1:26" x14ac:dyDescent="0.25">
      <c r="A8557" t="str">
        <f t="shared" si="3496"/>
        <v>04-08-2020 12:28:31</v>
      </c>
      <c r="B8557" t="str">
        <f>"0000802262"</f>
        <v>0000802262</v>
      </c>
      <c r="C8557" t="str">
        <f t="shared" si="3497"/>
        <v>0000802195</v>
      </c>
      <c r="D8557" t="str">
        <f t="shared" si="3475"/>
        <v>73185</v>
      </c>
      <c r="E8557" t="str">
        <f t="shared" si="3476"/>
        <v>KFH-OPERATIONS DEPARTMENT</v>
      </c>
      <c r="F8557" t="str">
        <f t="shared" si="3477"/>
        <v>IBG</v>
      </c>
      <c r="G8557" t="str">
        <f t="shared" si="3488"/>
        <v>Refund COSHARE 10</v>
      </c>
      <c r="H8557" s="2">
        <v>119.15</v>
      </c>
      <c r="I8557" t="str">
        <f>"FARIDAH BINTI NORDIN"</f>
        <v>FARIDAH BINTI NORDIN</v>
      </c>
      <c r="J8557" t="str">
        <f t="shared" si="3491"/>
        <v>BANK ISLAM BHD</v>
      </c>
      <c r="K8557" t="str">
        <f>"06055020146942"</f>
        <v>06055020146942</v>
      </c>
      <c r="L8557" t="str">
        <f t="shared" si="3494"/>
        <v>04-08-2020</v>
      </c>
      <c r="M8557" t="str">
        <f t="shared" si="3494"/>
        <v>04-08-2020</v>
      </c>
      <c r="N8557" t="str">
        <f t="shared" si="3478"/>
        <v>001105018356</v>
      </c>
      <c r="O8557" t="str">
        <f t="shared" si="3479"/>
        <v>MYR</v>
      </c>
      <c r="P8557" t="str">
        <f t="shared" si="3495"/>
        <v>NIL</v>
      </c>
      <c r="Q8557" t="str">
        <f t="shared" si="3495"/>
        <v>NIL</v>
      </c>
      <c r="R8557" t="str">
        <f t="shared" si="3492"/>
        <v>Accepted</v>
      </c>
      <c r="S8557" t="str">
        <f t="shared" si="3480"/>
        <v>Approved</v>
      </c>
      <c r="T8557" t="str">
        <f t="shared" si="3493"/>
        <v>10.20.8.188</v>
      </c>
      <c r="U8557" t="str">
        <f t="shared" si="3481"/>
        <v>AZRAD UMAR BIN SHAARI</v>
      </c>
      <c r="V8557" t="str">
        <f t="shared" si="3482"/>
        <v>FARHANA BINTI MUSTAPA</v>
      </c>
      <c r="W8557" t="str">
        <f t="shared" si="3483"/>
        <v>04-08-2020</v>
      </c>
      <c r="X8557" t="str">
        <f t="shared" si="3484"/>
        <v>RAZIMAH ANSAR AHMAD</v>
      </c>
      <c r="Y8557" t="str">
        <f t="shared" si="3485"/>
        <v>04-08-2020</v>
      </c>
      <c r="Z8557" t="str">
        <f>"COS10200804 267"</f>
        <v>COS10200804 267</v>
      </c>
    </row>
    <row r="8558" spans="1:26" x14ac:dyDescent="0.25">
      <c r="A8558" t="str">
        <f t="shared" si="3496"/>
        <v>04-08-2020 12:28:31</v>
      </c>
      <c r="B8558" t="str">
        <f>"0000802261"</f>
        <v>0000802261</v>
      </c>
      <c r="C8558" t="str">
        <f t="shared" si="3497"/>
        <v>0000802195</v>
      </c>
      <c r="D8558" t="str">
        <f t="shared" si="3475"/>
        <v>73185</v>
      </c>
      <c r="E8558" t="str">
        <f t="shared" si="3476"/>
        <v>KFH-OPERATIONS DEPARTMENT</v>
      </c>
      <c r="F8558" t="str">
        <f t="shared" si="3477"/>
        <v>IBG</v>
      </c>
      <c r="G8558" t="str">
        <f t="shared" si="3488"/>
        <v>Refund COSHARE 10</v>
      </c>
      <c r="H8558" s="2">
        <v>839.5</v>
      </c>
      <c r="I8558" t="str">
        <f>"FARADILA BINTI YUSOFF"</f>
        <v>FARADILA BINTI YUSOFF</v>
      </c>
      <c r="J8558" t="str">
        <f t="shared" si="3491"/>
        <v>BANK ISLAM BHD</v>
      </c>
      <c r="K8558" t="str">
        <f>"12122020066537"</f>
        <v>12122020066537</v>
      </c>
      <c r="L8558" t="str">
        <f t="shared" si="3494"/>
        <v>04-08-2020</v>
      </c>
      <c r="M8558" t="str">
        <f t="shared" si="3494"/>
        <v>04-08-2020</v>
      </c>
      <c r="N8558" t="str">
        <f t="shared" si="3478"/>
        <v>001105018356</v>
      </c>
      <c r="O8558" t="str">
        <f t="shared" si="3479"/>
        <v>MYR</v>
      </c>
      <c r="P8558" t="str">
        <f t="shared" si="3495"/>
        <v>NIL</v>
      </c>
      <c r="Q8558" t="str">
        <f t="shared" si="3495"/>
        <v>NIL</v>
      </c>
      <c r="R8558" t="str">
        <f t="shared" si="3492"/>
        <v>Accepted</v>
      </c>
      <c r="S8558" t="str">
        <f t="shared" si="3480"/>
        <v>Approved</v>
      </c>
      <c r="T8558" t="str">
        <f t="shared" si="3493"/>
        <v>10.20.8.188</v>
      </c>
      <c r="U8558" t="str">
        <f t="shared" si="3481"/>
        <v>AZRAD UMAR BIN SHAARI</v>
      </c>
      <c r="V8558" t="str">
        <f t="shared" si="3482"/>
        <v>FARHANA BINTI MUSTAPA</v>
      </c>
      <c r="W8558" t="str">
        <f t="shared" si="3483"/>
        <v>04-08-2020</v>
      </c>
      <c r="X8558" t="str">
        <f t="shared" si="3484"/>
        <v>RAZIMAH ANSAR AHMAD</v>
      </c>
      <c r="Y8558" t="str">
        <f t="shared" si="3485"/>
        <v>04-08-2020</v>
      </c>
      <c r="Z8558" t="str">
        <f>"COS10200804 266"</f>
        <v>COS10200804 266</v>
      </c>
    </row>
    <row r="8559" spans="1:26" x14ac:dyDescent="0.25">
      <c r="A8559" t="str">
        <f t="shared" si="3496"/>
        <v>04-08-2020 12:28:31</v>
      </c>
      <c r="B8559" t="str">
        <f>"0000802260"</f>
        <v>0000802260</v>
      </c>
      <c r="C8559" t="str">
        <f t="shared" si="3497"/>
        <v>0000802195</v>
      </c>
      <c r="D8559" t="str">
        <f t="shared" si="3475"/>
        <v>73185</v>
      </c>
      <c r="E8559" t="str">
        <f t="shared" si="3476"/>
        <v>KFH-OPERATIONS DEPARTMENT</v>
      </c>
      <c r="F8559" t="str">
        <f t="shared" si="3477"/>
        <v>IBG</v>
      </c>
      <c r="G8559" t="str">
        <f t="shared" si="3488"/>
        <v>Refund COSHARE 10</v>
      </c>
      <c r="H8559" s="2">
        <v>257.25</v>
      </c>
      <c r="I8559" t="str">
        <f>"FAKHRURRAZI BIN MUSTAFFA"</f>
        <v>FAKHRURRAZI BIN MUSTAFFA</v>
      </c>
      <c r="J8559" t="str">
        <f t="shared" si="3491"/>
        <v>BANK ISLAM BHD</v>
      </c>
      <c r="K8559" t="str">
        <f>"08086020170390"</f>
        <v>08086020170390</v>
      </c>
      <c r="L8559" t="str">
        <f t="shared" si="3494"/>
        <v>04-08-2020</v>
      </c>
      <c r="M8559" t="str">
        <f t="shared" si="3494"/>
        <v>04-08-2020</v>
      </c>
      <c r="N8559" t="str">
        <f t="shared" si="3478"/>
        <v>001105018356</v>
      </c>
      <c r="O8559" t="str">
        <f t="shared" si="3479"/>
        <v>MYR</v>
      </c>
      <c r="P8559" t="str">
        <f t="shared" si="3495"/>
        <v>NIL</v>
      </c>
      <c r="Q8559" t="str">
        <f t="shared" si="3495"/>
        <v>NIL</v>
      </c>
      <c r="R8559" t="str">
        <f t="shared" si="3492"/>
        <v>Accepted</v>
      </c>
      <c r="S8559" t="str">
        <f t="shared" si="3480"/>
        <v>Approved</v>
      </c>
      <c r="T8559" t="str">
        <f t="shared" si="3493"/>
        <v>10.20.8.188</v>
      </c>
      <c r="U8559" t="str">
        <f t="shared" si="3481"/>
        <v>AZRAD UMAR BIN SHAARI</v>
      </c>
      <c r="V8559" t="str">
        <f t="shared" si="3482"/>
        <v>FARHANA BINTI MUSTAPA</v>
      </c>
      <c r="W8559" t="str">
        <f t="shared" si="3483"/>
        <v>04-08-2020</v>
      </c>
      <c r="X8559" t="str">
        <f t="shared" si="3484"/>
        <v>RAZIMAH ANSAR AHMAD</v>
      </c>
      <c r="Y8559" t="str">
        <f t="shared" si="3485"/>
        <v>04-08-2020</v>
      </c>
      <c r="Z8559" t="str">
        <f>"COS10200804 265"</f>
        <v>COS10200804 265</v>
      </c>
    </row>
    <row r="8560" spans="1:26" x14ac:dyDescent="0.25">
      <c r="A8560" t="str">
        <f t="shared" si="3496"/>
        <v>04-08-2020 12:28:31</v>
      </c>
      <c r="B8560" t="str">
        <f>"0000802259"</f>
        <v>0000802259</v>
      </c>
      <c r="C8560" t="str">
        <f t="shared" si="3497"/>
        <v>0000802195</v>
      </c>
      <c r="D8560" t="str">
        <f t="shared" si="3475"/>
        <v>73185</v>
      </c>
      <c r="E8560" t="str">
        <f t="shared" si="3476"/>
        <v>KFH-OPERATIONS DEPARTMENT</v>
      </c>
      <c r="F8560" t="str">
        <f t="shared" si="3477"/>
        <v>IBG</v>
      </c>
      <c r="G8560" t="str">
        <f t="shared" si="3488"/>
        <v>Refund COSHARE 10</v>
      </c>
      <c r="H8560" s="2">
        <v>680</v>
      </c>
      <c r="I8560" t="str">
        <f>"FAIZAL BIN JARAWI"</f>
        <v>FAIZAL BIN JARAWI</v>
      </c>
      <c r="J8560" t="str">
        <f t="shared" si="3491"/>
        <v>BANK ISLAM BHD</v>
      </c>
      <c r="K8560" t="str">
        <f>"11040028666170"</f>
        <v>11040028666170</v>
      </c>
      <c r="L8560" t="str">
        <f t="shared" si="3494"/>
        <v>04-08-2020</v>
      </c>
      <c r="M8560" t="str">
        <f t="shared" si="3494"/>
        <v>04-08-2020</v>
      </c>
      <c r="N8560" t="str">
        <f t="shared" si="3478"/>
        <v>001105018356</v>
      </c>
      <c r="O8560" t="str">
        <f t="shared" si="3479"/>
        <v>MYR</v>
      </c>
      <c r="P8560" t="str">
        <f t="shared" si="3495"/>
        <v>NIL</v>
      </c>
      <c r="Q8560" t="str">
        <f t="shared" si="3495"/>
        <v>NIL</v>
      </c>
      <c r="R8560" t="str">
        <f t="shared" si="3492"/>
        <v>Accepted</v>
      </c>
      <c r="S8560" t="str">
        <f t="shared" si="3480"/>
        <v>Approved</v>
      </c>
      <c r="T8560" t="str">
        <f t="shared" si="3493"/>
        <v>10.20.8.188</v>
      </c>
      <c r="U8560" t="str">
        <f t="shared" si="3481"/>
        <v>AZRAD UMAR BIN SHAARI</v>
      </c>
      <c r="V8560" t="str">
        <f t="shared" si="3482"/>
        <v>FARHANA BINTI MUSTAPA</v>
      </c>
      <c r="W8560" t="str">
        <f t="shared" si="3483"/>
        <v>04-08-2020</v>
      </c>
      <c r="X8560" t="str">
        <f t="shared" si="3484"/>
        <v>RAZIMAH ANSAR AHMAD</v>
      </c>
      <c r="Y8560" t="str">
        <f t="shared" si="3485"/>
        <v>04-08-2020</v>
      </c>
      <c r="Z8560" t="str">
        <f>"COS10200804 264"</f>
        <v>COS10200804 264</v>
      </c>
    </row>
    <row r="8561" spans="1:26" x14ac:dyDescent="0.25">
      <c r="A8561" t="str">
        <f t="shared" si="3496"/>
        <v>04-08-2020 12:28:31</v>
      </c>
      <c r="B8561" t="str">
        <f>"0000802258"</f>
        <v>0000802258</v>
      </c>
      <c r="C8561" t="str">
        <f t="shared" si="3497"/>
        <v>0000802195</v>
      </c>
      <c r="D8561" t="str">
        <f t="shared" si="3475"/>
        <v>73185</v>
      </c>
      <c r="E8561" t="str">
        <f t="shared" si="3476"/>
        <v>KFH-OPERATIONS DEPARTMENT</v>
      </c>
      <c r="F8561" t="str">
        <f t="shared" si="3477"/>
        <v>IBG</v>
      </c>
      <c r="G8561" t="str">
        <f t="shared" si="3488"/>
        <v>Refund COSHARE 10</v>
      </c>
      <c r="H8561" s="2">
        <v>755.55</v>
      </c>
      <c r="I8561" t="str">
        <f>"FAIZAH BINTI ISMAIL"</f>
        <v>FAIZAH BINTI ISMAIL</v>
      </c>
      <c r="J8561" t="str">
        <f t="shared" si="3491"/>
        <v>BANK ISLAM BHD</v>
      </c>
      <c r="K8561" t="str">
        <f>"14041020213843"</f>
        <v>14041020213843</v>
      </c>
      <c r="L8561" t="str">
        <f t="shared" si="3494"/>
        <v>04-08-2020</v>
      </c>
      <c r="M8561" t="str">
        <f t="shared" si="3494"/>
        <v>04-08-2020</v>
      </c>
      <c r="N8561" t="str">
        <f t="shared" si="3478"/>
        <v>001105018356</v>
      </c>
      <c r="O8561" t="str">
        <f t="shared" si="3479"/>
        <v>MYR</v>
      </c>
      <c r="P8561" t="str">
        <f t="shared" si="3495"/>
        <v>NIL</v>
      </c>
      <c r="Q8561" t="str">
        <f t="shared" si="3495"/>
        <v>NIL</v>
      </c>
      <c r="R8561" t="str">
        <f t="shared" si="3492"/>
        <v>Accepted</v>
      </c>
      <c r="S8561" t="str">
        <f t="shared" si="3480"/>
        <v>Approved</v>
      </c>
      <c r="T8561" t="str">
        <f t="shared" si="3493"/>
        <v>10.20.8.188</v>
      </c>
      <c r="U8561" t="str">
        <f t="shared" si="3481"/>
        <v>AZRAD UMAR BIN SHAARI</v>
      </c>
      <c r="V8561" t="str">
        <f t="shared" si="3482"/>
        <v>FARHANA BINTI MUSTAPA</v>
      </c>
      <c r="W8561" t="str">
        <f t="shared" si="3483"/>
        <v>04-08-2020</v>
      </c>
      <c r="X8561" t="str">
        <f t="shared" si="3484"/>
        <v>RAZIMAH ANSAR AHMAD</v>
      </c>
      <c r="Y8561" t="str">
        <f t="shared" si="3485"/>
        <v>04-08-2020</v>
      </c>
      <c r="Z8561" t="str">
        <f>"COS10200804 263"</f>
        <v>COS10200804 263</v>
      </c>
    </row>
    <row r="8562" spans="1:26" x14ac:dyDescent="0.25">
      <c r="A8562" t="str">
        <f t="shared" si="3496"/>
        <v>04-08-2020 12:28:31</v>
      </c>
      <c r="B8562" t="str">
        <f>"0000802257"</f>
        <v>0000802257</v>
      </c>
      <c r="C8562" t="str">
        <f t="shared" si="3497"/>
        <v>0000802195</v>
      </c>
      <c r="D8562" t="str">
        <f t="shared" si="3475"/>
        <v>73185</v>
      </c>
      <c r="E8562" t="str">
        <f t="shared" si="3476"/>
        <v>KFH-OPERATIONS DEPARTMENT</v>
      </c>
      <c r="F8562" t="str">
        <f t="shared" si="3477"/>
        <v>IBG</v>
      </c>
      <c r="G8562" t="str">
        <f t="shared" si="3488"/>
        <v>Refund COSHARE 10</v>
      </c>
      <c r="H8562" s="2">
        <v>83.95</v>
      </c>
      <c r="I8562" t="str">
        <f>"FAIZA HARYATTY BINTI SAMSUDIN"</f>
        <v>FAIZA HARYATTY BINTI SAMSUDIN</v>
      </c>
      <c r="J8562" t="str">
        <f t="shared" si="3491"/>
        <v>BANK ISLAM BHD</v>
      </c>
      <c r="K8562" t="str">
        <f>"03027020370155"</f>
        <v>03027020370155</v>
      </c>
      <c r="L8562" t="str">
        <f t="shared" si="3494"/>
        <v>04-08-2020</v>
      </c>
      <c r="M8562" t="str">
        <f t="shared" si="3494"/>
        <v>04-08-2020</v>
      </c>
      <c r="N8562" t="str">
        <f t="shared" si="3478"/>
        <v>001105018356</v>
      </c>
      <c r="O8562" t="str">
        <f t="shared" si="3479"/>
        <v>MYR</v>
      </c>
      <c r="P8562" t="str">
        <f t="shared" si="3495"/>
        <v>NIL</v>
      </c>
      <c r="Q8562" t="str">
        <f t="shared" si="3495"/>
        <v>NIL</v>
      </c>
      <c r="R8562" t="str">
        <f t="shared" si="3492"/>
        <v>Accepted</v>
      </c>
      <c r="S8562" t="str">
        <f t="shared" si="3480"/>
        <v>Approved</v>
      </c>
      <c r="T8562" t="str">
        <f t="shared" si="3493"/>
        <v>10.20.8.188</v>
      </c>
      <c r="U8562" t="str">
        <f t="shared" si="3481"/>
        <v>AZRAD UMAR BIN SHAARI</v>
      </c>
      <c r="V8562" t="str">
        <f t="shared" si="3482"/>
        <v>FARHANA BINTI MUSTAPA</v>
      </c>
      <c r="W8562" t="str">
        <f t="shared" si="3483"/>
        <v>04-08-2020</v>
      </c>
      <c r="X8562" t="str">
        <f t="shared" si="3484"/>
        <v>RAZIMAH ANSAR AHMAD</v>
      </c>
      <c r="Y8562" t="str">
        <f t="shared" si="3485"/>
        <v>04-08-2020</v>
      </c>
      <c r="Z8562" t="str">
        <f>"COS10200804 262"</f>
        <v>COS10200804 262</v>
      </c>
    </row>
    <row r="8563" spans="1:26" x14ac:dyDescent="0.25">
      <c r="A8563" t="str">
        <f t="shared" si="3496"/>
        <v>04-08-2020 12:28:31</v>
      </c>
      <c r="B8563" t="str">
        <f>"0000802256"</f>
        <v>0000802256</v>
      </c>
      <c r="C8563" t="str">
        <f t="shared" si="3497"/>
        <v>0000802195</v>
      </c>
      <c r="D8563" t="str">
        <f t="shared" si="3475"/>
        <v>73185</v>
      </c>
      <c r="E8563" t="str">
        <f t="shared" si="3476"/>
        <v>KFH-OPERATIONS DEPARTMENT</v>
      </c>
      <c r="F8563" t="str">
        <f t="shared" si="3477"/>
        <v>IBG</v>
      </c>
      <c r="G8563" t="str">
        <f t="shared" si="3488"/>
        <v>Refund COSHARE 10</v>
      </c>
      <c r="H8563" s="2">
        <v>1259.25</v>
      </c>
      <c r="I8563" t="str">
        <f>"FAIRUZAH BINTI MUSTAFFA"</f>
        <v>FAIRUZAH BINTI MUSTAFFA</v>
      </c>
      <c r="J8563" t="str">
        <f t="shared" si="3491"/>
        <v>BANK ISLAM BHD</v>
      </c>
      <c r="K8563" t="str">
        <f>"02075020145770"</f>
        <v>02075020145770</v>
      </c>
      <c r="L8563" t="str">
        <f t="shared" si="3494"/>
        <v>04-08-2020</v>
      </c>
      <c r="M8563" t="str">
        <f t="shared" si="3494"/>
        <v>04-08-2020</v>
      </c>
      <c r="N8563" t="str">
        <f t="shared" si="3478"/>
        <v>001105018356</v>
      </c>
      <c r="O8563" t="str">
        <f t="shared" si="3479"/>
        <v>MYR</v>
      </c>
      <c r="P8563" t="str">
        <f t="shared" si="3495"/>
        <v>NIL</v>
      </c>
      <c r="Q8563" t="str">
        <f t="shared" si="3495"/>
        <v>NIL</v>
      </c>
      <c r="R8563" t="str">
        <f t="shared" si="3492"/>
        <v>Accepted</v>
      </c>
      <c r="S8563" t="str">
        <f t="shared" si="3480"/>
        <v>Approved</v>
      </c>
      <c r="T8563" t="str">
        <f t="shared" si="3493"/>
        <v>10.20.8.188</v>
      </c>
      <c r="U8563" t="str">
        <f t="shared" si="3481"/>
        <v>AZRAD UMAR BIN SHAARI</v>
      </c>
      <c r="V8563" t="str">
        <f t="shared" si="3482"/>
        <v>FARHANA BINTI MUSTAPA</v>
      </c>
      <c r="W8563" t="str">
        <f t="shared" si="3483"/>
        <v>04-08-2020</v>
      </c>
      <c r="X8563" t="str">
        <f t="shared" si="3484"/>
        <v>RAZIMAH ANSAR AHMAD</v>
      </c>
      <c r="Y8563" t="str">
        <f t="shared" si="3485"/>
        <v>04-08-2020</v>
      </c>
      <c r="Z8563" t="str">
        <f>"COS10200804 261"</f>
        <v>COS10200804 261</v>
      </c>
    </row>
    <row r="8564" spans="1:26" x14ac:dyDescent="0.25">
      <c r="A8564" t="str">
        <f t="shared" si="3496"/>
        <v>04-08-2020 12:28:31</v>
      </c>
      <c r="B8564" t="str">
        <f>"0000802255"</f>
        <v>0000802255</v>
      </c>
      <c r="C8564" t="str">
        <f t="shared" si="3497"/>
        <v>0000802195</v>
      </c>
      <c r="D8564" t="str">
        <f t="shared" si="3475"/>
        <v>73185</v>
      </c>
      <c r="E8564" t="str">
        <f t="shared" si="3476"/>
        <v>KFH-OPERATIONS DEPARTMENT</v>
      </c>
      <c r="F8564" t="str">
        <f t="shared" si="3477"/>
        <v>IBG</v>
      </c>
      <c r="G8564" t="str">
        <f t="shared" si="3488"/>
        <v>Refund COSHARE 10</v>
      </c>
      <c r="H8564" s="2">
        <v>456</v>
      </c>
      <c r="I8564" t="str">
        <f>"FADZILLA BINTI MALIKI"</f>
        <v>FADZILLA BINTI MALIKI</v>
      </c>
      <c r="J8564" t="str">
        <f t="shared" si="3491"/>
        <v>BANK ISLAM BHD</v>
      </c>
      <c r="K8564" t="str">
        <f>"11040020211424"</f>
        <v>11040020211424</v>
      </c>
      <c r="L8564" t="str">
        <f t="shared" si="3494"/>
        <v>04-08-2020</v>
      </c>
      <c r="M8564" t="str">
        <f t="shared" si="3494"/>
        <v>04-08-2020</v>
      </c>
      <c r="N8564" t="str">
        <f t="shared" si="3478"/>
        <v>001105018356</v>
      </c>
      <c r="O8564" t="str">
        <f t="shared" si="3479"/>
        <v>MYR</v>
      </c>
      <c r="P8564" t="str">
        <f t="shared" si="3495"/>
        <v>NIL</v>
      </c>
      <c r="Q8564" t="str">
        <f t="shared" si="3495"/>
        <v>NIL</v>
      </c>
      <c r="R8564" t="str">
        <f t="shared" si="3492"/>
        <v>Accepted</v>
      </c>
      <c r="S8564" t="str">
        <f t="shared" si="3480"/>
        <v>Approved</v>
      </c>
      <c r="T8564" t="str">
        <f t="shared" si="3493"/>
        <v>10.20.8.188</v>
      </c>
      <c r="U8564" t="str">
        <f t="shared" si="3481"/>
        <v>AZRAD UMAR BIN SHAARI</v>
      </c>
      <c r="V8564" t="str">
        <f t="shared" si="3482"/>
        <v>FARHANA BINTI MUSTAPA</v>
      </c>
      <c r="W8564" t="str">
        <f t="shared" si="3483"/>
        <v>04-08-2020</v>
      </c>
      <c r="X8564" t="str">
        <f t="shared" si="3484"/>
        <v>RAZIMAH ANSAR AHMAD</v>
      </c>
      <c r="Y8564" t="str">
        <f t="shared" si="3485"/>
        <v>04-08-2020</v>
      </c>
      <c r="Z8564" t="str">
        <f>"COS10200804 260"</f>
        <v>COS10200804 260</v>
      </c>
    </row>
    <row r="8565" spans="1:26" x14ac:dyDescent="0.25">
      <c r="A8565" t="str">
        <f t="shared" si="3496"/>
        <v>04-08-2020 12:28:31</v>
      </c>
      <c r="B8565" t="str">
        <f>"0000802254"</f>
        <v>0000802254</v>
      </c>
      <c r="C8565" t="str">
        <f t="shared" si="3497"/>
        <v>0000802195</v>
      </c>
      <c r="D8565" t="str">
        <f t="shared" si="3475"/>
        <v>73185</v>
      </c>
      <c r="E8565" t="str">
        <f t="shared" si="3476"/>
        <v>KFH-OPERATIONS DEPARTMENT</v>
      </c>
      <c r="F8565" t="str">
        <f t="shared" si="3477"/>
        <v>IBG</v>
      </c>
      <c r="G8565" t="str">
        <f t="shared" si="3488"/>
        <v>Refund COSHARE 10</v>
      </c>
      <c r="H8565" s="2">
        <v>55</v>
      </c>
      <c r="I8565" t="str">
        <f>"EZA HAZLIMAN SYAFLIE BIN OMAR BASAH"</f>
        <v>EZA HAZLIMAN SYAFLIE BIN OMAR BASAH</v>
      </c>
      <c r="J8565" t="str">
        <f t="shared" si="3491"/>
        <v>BANK ISLAM BHD</v>
      </c>
      <c r="K8565" t="str">
        <f>"10025020781140"</f>
        <v>10025020781140</v>
      </c>
      <c r="L8565" t="str">
        <f t="shared" si="3494"/>
        <v>04-08-2020</v>
      </c>
      <c r="M8565" t="str">
        <f t="shared" si="3494"/>
        <v>04-08-2020</v>
      </c>
      <c r="N8565" t="str">
        <f t="shared" si="3478"/>
        <v>001105018356</v>
      </c>
      <c r="O8565" t="str">
        <f t="shared" si="3479"/>
        <v>MYR</v>
      </c>
      <c r="P8565" t="str">
        <f t="shared" si="3495"/>
        <v>NIL</v>
      </c>
      <c r="Q8565" t="str">
        <f t="shared" si="3495"/>
        <v>NIL</v>
      </c>
      <c r="R8565" t="str">
        <f t="shared" si="3492"/>
        <v>Accepted</v>
      </c>
      <c r="S8565" t="str">
        <f t="shared" si="3480"/>
        <v>Approved</v>
      </c>
      <c r="T8565" t="str">
        <f t="shared" si="3493"/>
        <v>10.20.8.188</v>
      </c>
      <c r="U8565" t="str">
        <f t="shared" si="3481"/>
        <v>AZRAD UMAR BIN SHAARI</v>
      </c>
      <c r="V8565" t="str">
        <f t="shared" si="3482"/>
        <v>FARHANA BINTI MUSTAPA</v>
      </c>
      <c r="W8565" t="str">
        <f t="shared" si="3483"/>
        <v>04-08-2020</v>
      </c>
      <c r="X8565" t="str">
        <f t="shared" si="3484"/>
        <v>RAZIMAH ANSAR AHMAD</v>
      </c>
      <c r="Y8565" t="str">
        <f t="shared" si="3485"/>
        <v>04-08-2020</v>
      </c>
      <c r="Z8565" t="str">
        <f>"COS10200804 259"</f>
        <v>COS10200804 259</v>
      </c>
    </row>
    <row r="8566" spans="1:26" x14ac:dyDescent="0.25">
      <c r="A8566" t="str">
        <f t="shared" si="3496"/>
        <v>04-08-2020 12:28:31</v>
      </c>
      <c r="B8566" t="str">
        <f>"0000802253"</f>
        <v>0000802253</v>
      </c>
      <c r="C8566" t="str">
        <f t="shared" si="3497"/>
        <v>0000802195</v>
      </c>
      <c r="D8566" t="str">
        <f t="shared" si="3475"/>
        <v>73185</v>
      </c>
      <c r="E8566" t="str">
        <f t="shared" si="3476"/>
        <v>KFH-OPERATIONS DEPARTMENT</v>
      </c>
      <c r="F8566" t="str">
        <f t="shared" si="3477"/>
        <v>IBG</v>
      </c>
      <c r="G8566" t="str">
        <f t="shared" si="3488"/>
        <v>Refund COSHARE 10</v>
      </c>
      <c r="H8566" s="2">
        <v>196.5</v>
      </c>
      <c r="I8566" t="str">
        <f>"ERNE YUSNITA BINTI ARIFIN"</f>
        <v>ERNE YUSNITA BINTI ARIFIN</v>
      </c>
      <c r="J8566" t="str">
        <f t="shared" si="3491"/>
        <v>BANK ISLAM BHD</v>
      </c>
      <c r="K8566" t="str">
        <f>"03090020260891"</f>
        <v>03090020260891</v>
      </c>
      <c r="L8566" t="str">
        <f t="shared" si="3494"/>
        <v>04-08-2020</v>
      </c>
      <c r="M8566" t="str">
        <f t="shared" si="3494"/>
        <v>04-08-2020</v>
      </c>
      <c r="N8566" t="str">
        <f t="shared" si="3478"/>
        <v>001105018356</v>
      </c>
      <c r="O8566" t="str">
        <f t="shared" si="3479"/>
        <v>MYR</v>
      </c>
      <c r="P8566" t="str">
        <f t="shared" si="3495"/>
        <v>NIL</v>
      </c>
      <c r="Q8566" t="str">
        <f t="shared" si="3495"/>
        <v>NIL</v>
      </c>
      <c r="R8566" t="str">
        <f t="shared" si="3492"/>
        <v>Accepted</v>
      </c>
      <c r="S8566" t="str">
        <f t="shared" si="3480"/>
        <v>Approved</v>
      </c>
      <c r="T8566" t="str">
        <f t="shared" si="3493"/>
        <v>10.20.8.188</v>
      </c>
      <c r="U8566" t="str">
        <f t="shared" si="3481"/>
        <v>AZRAD UMAR BIN SHAARI</v>
      </c>
      <c r="V8566" t="str">
        <f t="shared" si="3482"/>
        <v>FARHANA BINTI MUSTAPA</v>
      </c>
      <c r="W8566" t="str">
        <f t="shared" si="3483"/>
        <v>04-08-2020</v>
      </c>
      <c r="X8566" t="str">
        <f t="shared" si="3484"/>
        <v>RAZIMAH ANSAR AHMAD</v>
      </c>
      <c r="Y8566" t="str">
        <f t="shared" si="3485"/>
        <v>04-08-2020</v>
      </c>
      <c r="Z8566" t="str">
        <f>"COS10200804 258"</f>
        <v>COS10200804 258</v>
      </c>
    </row>
    <row r="8567" spans="1:26" x14ac:dyDescent="0.25">
      <c r="A8567" t="str">
        <f t="shared" si="3496"/>
        <v>04-08-2020 12:28:31</v>
      </c>
      <c r="B8567" t="str">
        <f>"0000802252"</f>
        <v>0000802252</v>
      </c>
      <c r="C8567" t="str">
        <f t="shared" si="3497"/>
        <v>0000802195</v>
      </c>
      <c r="D8567" t="str">
        <f t="shared" si="3475"/>
        <v>73185</v>
      </c>
      <c r="E8567" t="str">
        <f t="shared" si="3476"/>
        <v>KFH-OPERATIONS DEPARTMENT</v>
      </c>
      <c r="F8567" t="str">
        <f t="shared" si="3477"/>
        <v>IBG</v>
      </c>
      <c r="G8567" t="str">
        <f t="shared" si="3488"/>
        <v>Refund COSHARE 10</v>
      </c>
      <c r="H8567" s="2">
        <v>1173.7</v>
      </c>
      <c r="I8567" t="str">
        <f>"ENI MALISA BINTI MD YUSOF"</f>
        <v>ENI MALISA BINTI MD YUSOF</v>
      </c>
      <c r="J8567" t="str">
        <f t="shared" si="3491"/>
        <v>BANK ISLAM BHD</v>
      </c>
      <c r="K8567" t="str">
        <f>"06019020816706"</f>
        <v>06019020816706</v>
      </c>
      <c r="L8567" t="str">
        <f t="shared" ref="L8567:M8586" si="3498">"04-08-2020"</f>
        <v>04-08-2020</v>
      </c>
      <c r="M8567" t="str">
        <f t="shared" si="3498"/>
        <v>04-08-2020</v>
      </c>
      <c r="N8567" t="str">
        <f t="shared" si="3478"/>
        <v>001105018356</v>
      </c>
      <c r="O8567" t="str">
        <f t="shared" si="3479"/>
        <v>MYR</v>
      </c>
      <c r="P8567" t="str">
        <f t="shared" ref="P8567:Q8586" si="3499">"NIL"</f>
        <v>NIL</v>
      </c>
      <c r="Q8567" t="str">
        <f t="shared" si="3499"/>
        <v>NIL</v>
      </c>
      <c r="R8567" t="str">
        <f t="shared" si="3492"/>
        <v>Accepted</v>
      </c>
      <c r="S8567" t="str">
        <f t="shared" si="3480"/>
        <v>Approved</v>
      </c>
      <c r="T8567" t="str">
        <f t="shared" si="3493"/>
        <v>10.20.8.188</v>
      </c>
      <c r="U8567" t="str">
        <f t="shared" si="3481"/>
        <v>AZRAD UMAR BIN SHAARI</v>
      </c>
      <c r="V8567" t="str">
        <f t="shared" si="3482"/>
        <v>FARHANA BINTI MUSTAPA</v>
      </c>
      <c r="W8567" t="str">
        <f t="shared" si="3483"/>
        <v>04-08-2020</v>
      </c>
      <c r="X8567" t="str">
        <f t="shared" si="3484"/>
        <v>RAZIMAH ANSAR AHMAD</v>
      </c>
      <c r="Y8567" t="str">
        <f t="shared" si="3485"/>
        <v>04-08-2020</v>
      </c>
      <c r="Z8567" t="str">
        <f>"COS10200804 257"</f>
        <v>COS10200804 257</v>
      </c>
    </row>
    <row r="8568" spans="1:26" x14ac:dyDescent="0.25">
      <c r="A8568" t="str">
        <f t="shared" si="3496"/>
        <v>04-08-2020 12:28:31</v>
      </c>
      <c r="B8568" t="str">
        <f>"0000802251"</f>
        <v>0000802251</v>
      </c>
      <c r="C8568" t="str">
        <f t="shared" si="3497"/>
        <v>0000802195</v>
      </c>
      <c r="D8568" t="str">
        <f t="shared" si="3475"/>
        <v>73185</v>
      </c>
      <c r="E8568" t="str">
        <f t="shared" si="3476"/>
        <v>KFH-OPERATIONS DEPARTMENT</v>
      </c>
      <c r="F8568" t="str">
        <f t="shared" si="3477"/>
        <v>IBG</v>
      </c>
      <c r="G8568" t="str">
        <f t="shared" si="3488"/>
        <v>Refund COSHARE 10</v>
      </c>
      <c r="H8568" s="2">
        <v>671.6</v>
      </c>
      <c r="I8568" t="str">
        <f>"EMYLIA BINTI MASSENGOT"</f>
        <v>EMYLIA BINTI MASSENGOT</v>
      </c>
      <c r="J8568" t="str">
        <f t="shared" si="3491"/>
        <v>BANK ISLAM BHD</v>
      </c>
      <c r="K8568" t="str">
        <f>"01014025080775"</f>
        <v>01014025080775</v>
      </c>
      <c r="L8568" t="str">
        <f t="shared" si="3498"/>
        <v>04-08-2020</v>
      </c>
      <c r="M8568" t="str">
        <f t="shared" si="3498"/>
        <v>04-08-2020</v>
      </c>
      <c r="N8568" t="str">
        <f t="shared" si="3478"/>
        <v>001105018356</v>
      </c>
      <c r="O8568" t="str">
        <f t="shared" si="3479"/>
        <v>MYR</v>
      </c>
      <c r="P8568" t="str">
        <f t="shared" si="3499"/>
        <v>NIL</v>
      </c>
      <c r="Q8568" t="str">
        <f t="shared" si="3499"/>
        <v>NIL</v>
      </c>
      <c r="R8568" t="str">
        <f t="shared" si="3492"/>
        <v>Accepted</v>
      </c>
      <c r="S8568" t="str">
        <f t="shared" si="3480"/>
        <v>Approved</v>
      </c>
      <c r="T8568" t="str">
        <f t="shared" si="3493"/>
        <v>10.20.8.188</v>
      </c>
      <c r="U8568" t="str">
        <f t="shared" si="3481"/>
        <v>AZRAD UMAR BIN SHAARI</v>
      </c>
      <c r="V8568" t="str">
        <f t="shared" si="3482"/>
        <v>FARHANA BINTI MUSTAPA</v>
      </c>
      <c r="W8568" t="str">
        <f t="shared" si="3483"/>
        <v>04-08-2020</v>
      </c>
      <c r="X8568" t="str">
        <f t="shared" si="3484"/>
        <v>RAZIMAH ANSAR AHMAD</v>
      </c>
      <c r="Y8568" t="str">
        <f t="shared" si="3485"/>
        <v>04-08-2020</v>
      </c>
      <c r="Z8568" t="str">
        <f>"COS10200804 256"</f>
        <v>COS10200804 256</v>
      </c>
    </row>
    <row r="8569" spans="1:26" x14ac:dyDescent="0.25">
      <c r="A8569" t="str">
        <f t="shared" si="3496"/>
        <v>04-08-2020 12:28:31</v>
      </c>
      <c r="B8569" t="str">
        <f>"0000802250"</f>
        <v>0000802250</v>
      </c>
      <c r="C8569" t="str">
        <f t="shared" si="3497"/>
        <v>0000802195</v>
      </c>
      <c r="D8569" t="str">
        <f t="shared" si="3475"/>
        <v>73185</v>
      </c>
      <c r="E8569" t="str">
        <f t="shared" si="3476"/>
        <v>KFH-OPERATIONS DEPARTMENT</v>
      </c>
      <c r="F8569" t="str">
        <f t="shared" si="3477"/>
        <v>IBG</v>
      </c>
      <c r="G8569" t="str">
        <f t="shared" si="3488"/>
        <v>Refund COSHARE 10</v>
      </c>
      <c r="H8569" s="2">
        <v>1518</v>
      </c>
      <c r="I8569" t="str">
        <f>"EMILDA BINTI HASHIM"</f>
        <v>EMILDA BINTI HASHIM</v>
      </c>
      <c r="J8569" t="str">
        <f t="shared" si="3491"/>
        <v>BANK ISLAM BHD</v>
      </c>
      <c r="K8569" t="str">
        <f>"08068020649085"</f>
        <v>08068020649085</v>
      </c>
      <c r="L8569" t="str">
        <f t="shared" si="3498"/>
        <v>04-08-2020</v>
      </c>
      <c r="M8569" t="str">
        <f t="shared" si="3498"/>
        <v>04-08-2020</v>
      </c>
      <c r="N8569" t="str">
        <f t="shared" si="3478"/>
        <v>001105018356</v>
      </c>
      <c r="O8569" t="str">
        <f t="shared" si="3479"/>
        <v>MYR</v>
      </c>
      <c r="P8569" t="str">
        <f t="shared" si="3499"/>
        <v>NIL</v>
      </c>
      <c r="Q8569" t="str">
        <f t="shared" si="3499"/>
        <v>NIL</v>
      </c>
      <c r="R8569" t="str">
        <f t="shared" si="3492"/>
        <v>Accepted</v>
      </c>
      <c r="S8569" t="str">
        <f t="shared" si="3480"/>
        <v>Approved</v>
      </c>
      <c r="T8569" t="str">
        <f t="shared" si="3493"/>
        <v>10.20.8.188</v>
      </c>
      <c r="U8569" t="str">
        <f t="shared" si="3481"/>
        <v>AZRAD UMAR BIN SHAARI</v>
      </c>
      <c r="V8569" t="str">
        <f t="shared" si="3482"/>
        <v>FARHANA BINTI MUSTAPA</v>
      </c>
      <c r="W8569" t="str">
        <f t="shared" si="3483"/>
        <v>04-08-2020</v>
      </c>
      <c r="X8569" t="str">
        <f t="shared" si="3484"/>
        <v>RAZIMAH ANSAR AHMAD</v>
      </c>
      <c r="Y8569" t="str">
        <f t="shared" si="3485"/>
        <v>04-08-2020</v>
      </c>
      <c r="Z8569" t="str">
        <f>"COS10200804 255"</f>
        <v>COS10200804 255</v>
      </c>
    </row>
    <row r="8570" spans="1:26" x14ac:dyDescent="0.25">
      <c r="A8570" t="str">
        <f t="shared" si="3496"/>
        <v>04-08-2020 12:28:31</v>
      </c>
      <c r="B8570" t="str">
        <f>"0000802249"</f>
        <v>0000802249</v>
      </c>
      <c r="C8570" t="str">
        <f t="shared" si="3497"/>
        <v>0000802195</v>
      </c>
      <c r="D8570" t="str">
        <f t="shared" si="3475"/>
        <v>73185</v>
      </c>
      <c r="E8570" t="str">
        <f t="shared" si="3476"/>
        <v>KFH-OPERATIONS DEPARTMENT</v>
      </c>
      <c r="F8570" t="str">
        <f t="shared" si="3477"/>
        <v>IBG</v>
      </c>
      <c r="G8570" t="str">
        <f t="shared" si="3488"/>
        <v>Refund COSHARE 10</v>
      </c>
      <c r="H8570" s="2">
        <v>1259.25</v>
      </c>
      <c r="I8570" t="str">
        <f>"EIDARINA BINTI ABD WAHIB"</f>
        <v>EIDARINA BINTI ABD WAHIB</v>
      </c>
      <c r="J8570" t="str">
        <f t="shared" si="3491"/>
        <v>BANK ISLAM BHD</v>
      </c>
      <c r="K8570" t="str">
        <f>"08068020253268"</f>
        <v>08068020253268</v>
      </c>
      <c r="L8570" t="str">
        <f t="shared" si="3498"/>
        <v>04-08-2020</v>
      </c>
      <c r="M8570" t="str">
        <f t="shared" si="3498"/>
        <v>04-08-2020</v>
      </c>
      <c r="N8570" t="str">
        <f t="shared" si="3478"/>
        <v>001105018356</v>
      </c>
      <c r="O8570" t="str">
        <f t="shared" si="3479"/>
        <v>MYR</v>
      </c>
      <c r="P8570" t="str">
        <f t="shared" si="3499"/>
        <v>NIL</v>
      </c>
      <c r="Q8570" t="str">
        <f t="shared" si="3499"/>
        <v>NIL</v>
      </c>
      <c r="R8570" t="str">
        <f t="shared" si="3492"/>
        <v>Accepted</v>
      </c>
      <c r="S8570" t="str">
        <f t="shared" si="3480"/>
        <v>Approved</v>
      </c>
      <c r="T8570" t="str">
        <f t="shared" si="3493"/>
        <v>10.20.8.188</v>
      </c>
      <c r="U8570" t="str">
        <f t="shared" si="3481"/>
        <v>AZRAD UMAR BIN SHAARI</v>
      </c>
      <c r="V8570" t="str">
        <f t="shared" si="3482"/>
        <v>FARHANA BINTI MUSTAPA</v>
      </c>
      <c r="W8570" t="str">
        <f t="shared" si="3483"/>
        <v>04-08-2020</v>
      </c>
      <c r="X8570" t="str">
        <f t="shared" si="3484"/>
        <v>RAZIMAH ANSAR AHMAD</v>
      </c>
      <c r="Y8570" t="str">
        <f t="shared" si="3485"/>
        <v>04-08-2020</v>
      </c>
      <c r="Z8570" t="str">
        <f>"COS10200804 254"</f>
        <v>COS10200804 254</v>
      </c>
    </row>
    <row r="8571" spans="1:26" x14ac:dyDescent="0.25">
      <c r="A8571" t="str">
        <f t="shared" si="3496"/>
        <v>04-08-2020 12:28:31</v>
      </c>
      <c r="B8571" t="str">
        <f>"0000802248"</f>
        <v>0000802248</v>
      </c>
      <c r="C8571" t="str">
        <f t="shared" si="3497"/>
        <v>0000802195</v>
      </c>
      <c r="D8571" t="str">
        <f t="shared" si="3475"/>
        <v>73185</v>
      </c>
      <c r="E8571" t="str">
        <f t="shared" si="3476"/>
        <v>KFH-OPERATIONS DEPARTMENT</v>
      </c>
      <c r="F8571" t="str">
        <f t="shared" si="3477"/>
        <v>IBG</v>
      </c>
      <c r="G8571" t="str">
        <f t="shared" si="3488"/>
        <v>Refund COSHARE 10</v>
      </c>
      <c r="H8571" s="2">
        <v>193.1</v>
      </c>
      <c r="I8571" t="str">
        <f>"DZULKIFLI BIN TIUS"</f>
        <v>DZULKIFLI BIN TIUS</v>
      </c>
      <c r="J8571" t="str">
        <f t="shared" si="3491"/>
        <v>BANK ISLAM BHD</v>
      </c>
      <c r="K8571" t="str">
        <f>"10025020508448"</f>
        <v>10025020508448</v>
      </c>
      <c r="L8571" t="str">
        <f t="shared" si="3498"/>
        <v>04-08-2020</v>
      </c>
      <c r="M8571" t="str">
        <f t="shared" si="3498"/>
        <v>04-08-2020</v>
      </c>
      <c r="N8571" t="str">
        <f t="shared" si="3478"/>
        <v>001105018356</v>
      </c>
      <c r="O8571" t="str">
        <f t="shared" si="3479"/>
        <v>MYR</v>
      </c>
      <c r="P8571" t="str">
        <f t="shared" si="3499"/>
        <v>NIL</v>
      </c>
      <c r="Q8571" t="str">
        <f t="shared" si="3499"/>
        <v>NIL</v>
      </c>
      <c r="R8571" t="str">
        <f t="shared" si="3492"/>
        <v>Accepted</v>
      </c>
      <c r="S8571" t="str">
        <f t="shared" si="3480"/>
        <v>Approved</v>
      </c>
      <c r="T8571" t="str">
        <f t="shared" si="3493"/>
        <v>10.20.8.188</v>
      </c>
      <c r="U8571" t="str">
        <f t="shared" si="3481"/>
        <v>AZRAD UMAR BIN SHAARI</v>
      </c>
      <c r="V8571" t="str">
        <f t="shared" si="3482"/>
        <v>FARHANA BINTI MUSTAPA</v>
      </c>
      <c r="W8571" t="str">
        <f t="shared" si="3483"/>
        <v>04-08-2020</v>
      </c>
      <c r="X8571" t="str">
        <f t="shared" si="3484"/>
        <v>RAZIMAH ANSAR AHMAD</v>
      </c>
      <c r="Y8571" t="str">
        <f t="shared" si="3485"/>
        <v>04-08-2020</v>
      </c>
      <c r="Z8571" t="str">
        <f>"COS10200804 253"</f>
        <v>COS10200804 253</v>
      </c>
    </row>
    <row r="8572" spans="1:26" x14ac:dyDescent="0.25">
      <c r="A8572" t="str">
        <f t="shared" si="3496"/>
        <v>04-08-2020 12:28:31</v>
      </c>
      <c r="B8572" t="str">
        <f>"0000802247"</f>
        <v>0000802247</v>
      </c>
      <c r="C8572" t="str">
        <f t="shared" si="3497"/>
        <v>0000802195</v>
      </c>
      <c r="D8572" t="str">
        <f t="shared" si="3475"/>
        <v>73185</v>
      </c>
      <c r="E8572" t="str">
        <f t="shared" si="3476"/>
        <v>KFH-OPERATIONS DEPARTMENT</v>
      </c>
      <c r="F8572" t="str">
        <f t="shared" si="3477"/>
        <v>IBG</v>
      </c>
      <c r="G8572" t="str">
        <f t="shared" si="3488"/>
        <v>Refund COSHARE 10</v>
      </c>
      <c r="H8572" s="2">
        <v>42</v>
      </c>
      <c r="I8572" t="str">
        <f>"DZAFFARULLAH BIN ABDULLAH"</f>
        <v>DZAFFARULLAH BIN ABDULLAH</v>
      </c>
      <c r="J8572" t="str">
        <f t="shared" si="3491"/>
        <v>BANK ISLAM BHD</v>
      </c>
      <c r="K8572" t="str">
        <f>"01087020345882"</f>
        <v>01087020345882</v>
      </c>
      <c r="L8572" t="str">
        <f t="shared" si="3498"/>
        <v>04-08-2020</v>
      </c>
      <c r="M8572" t="str">
        <f t="shared" si="3498"/>
        <v>04-08-2020</v>
      </c>
      <c r="N8572" t="str">
        <f t="shared" si="3478"/>
        <v>001105018356</v>
      </c>
      <c r="O8572" t="str">
        <f t="shared" si="3479"/>
        <v>MYR</v>
      </c>
      <c r="P8572" t="str">
        <f t="shared" si="3499"/>
        <v>NIL</v>
      </c>
      <c r="Q8572" t="str">
        <f t="shared" si="3499"/>
        <v>NIL</v>
      </c>
      <c r="R8572" t="str">
        <f t="shared" si="3492"/>
        <v>Accepted</v>
      </c>
      <c r="S8572" t="str">
        <f t="shared" si="3480"/>
        <v>Approved</v>
      </c>
      <c r="T8572" t="str">
        <f t="shared" si="3493"/>
        <v>10.20.8.188</v>
      </c>
      <c r="U8572" t="str">
        <f t="shared" si="3481"/>
        <v>AZRAD UMAR BIN SHAARI</v>
      </c>
      <c r="V8572" t="str">
        <f t="shared" si="3482"/>
        <v>FARHANA BINTI MUSTAPA</v>
      </c>
      <c r="W8572" t="str">
        <f t="shared" si="3483"/>
        <v>04-08-2020</v>
      </c>
      <c r="X8572" t="str">
        <f t="shared" si="3484"/>
        <v>RAZIMAH ANSAR AHMAD</v>
      </c>
      <c r="Y8572" t="str">
        <f t="shared" si="3485"/>
        <v>04-08-2020</v>
      </c>
      <c r="Z8572" t="str">
        <f>"COS10200804 252"</f>
        <v>COS10200804 252</v>
      </c>
    </row>
    <row r="8573" spans="1:26" x14ac:dyDescent="0.25">
      <c r="A8573" t="str">
        <f t="shared" si="3496"/>
        <v>04-08-2020 12:28:31</v>
      </c>
      <c r="B8573" t="str">
        <f>"0000802246"</f>
        <v>0000802246</v>
      </c>
      <c r="C8573" t="str">
        <f t="shared" si="3497"/>
        <v>0000802195</v>
      </c>
      <c r="D8573" t="str">
        <f t="shared" si="3475"/>
        <v>73185</v>
      </c>
      <c r="E8573" t="str">
        <f t="shared" si="3476"/>
        <v>KFH-OPERATIONS DEPARTMENT</v>
      </c>
      <c r="F8573" t="str">
        <f t="shared" si="3477"/>
        <v>IBG</v>
      </c>
      <c r="G8573" t="str">
        <f t="shared" si="3488"/>
        <v>Refund COSHARE 10</v>
      </c>
      <c r="H8573" s="2">
        <v>1002.35</v>
      </c>
      <c r="I8573" t="str">
        <f>"DOLLAH BIN APONG"</f>
        <v>DOLLAH BIN APONG</v>
      </c>
      <c r="J8573" t="str">
        <f t="shared" si="3491"/>
        <v>BANK ISLAM BHD</v>
      </c>
      <c r="K8573" t="str">
        <f>"10043023171873"</f>
        <v>10043023171873</v>
      </c>
      <c r="L8573" t="str">
        <f t="shared" si="3498"/>
        <v>04-08-2020</v>
      </c>
      <c r="M8573" t="str">
        <f t="shared" si="3498"/>
        <v>04-08-2020</v>
      </c>
      <c r="N8573" t="str">
        <f t="shared" si="3478"/>
        <v>001105018356</v>
      </c>
      <c r="O8573" t="str">
        <f t="shared" si="3479"/>
        <v>MYR</v>
      </c>
      <c r="P8573" t="str">
        <f t="shared" si="3499"/>
        <v>NIL</v>
      </c>
      <c r="Q8573" t="str">
        <f t="shared" si="3499"/>
        <v>NIL</v>
      </c>
      <c r="R8573" t="str">
        <f t="shared" si="3492"/>
        <v>Accepted</v>
      </c>
      <c r="S8573" t="str">
        <f t="shared" si="3480"/>
        <v>Approved</v>
      </c>
      <c r="T8573" t="str">
        <f t="shared" si="3493"/>
        <v>10.20.8.188</v>
      </c>
      <c r="U8573" t="str">
        <f t="shared" si="3481"/>
        <v>AZRAD UMAR BIN SHAARI</v>
      </c>
      <c r="V8573" t="str">
        <f t="shared" si="3482"/>
        <v>FARHANA BINTI MUSTAPA</v>
      </c>
      <c r="W8573" t="str">
        <f t="shared" si="3483"/>
        <v>04-08-2020</v>
      </c>
      <c r="X8573" t="str">
        <f t="shared" si="3484"/>
        <v>RAZIMAH ANSAR AHMAD</v>
      </c>
      <c r="Y8573" t="str">
        <f t="shared" si="3485"/>
        <v>04-08-2020</v>
      </c>
      <c r="Z8573" t="str">
        <f>"COS10200804 251"</f>
        <v>COS10200804 251</v>
      </c>
    </row>
    <row r="8574" spans="1:26" x14ac:dyDescent="0.25">
      <c r="A8574" t="str">
        <f t="shared" si="3496"/>
        <v>04-08-2020 12:28:31</v>
      </c>
      <c r="B8574" t="str">
        <f>"0000802245"</f>
        <v>0000802245</v>
      </c>
      <c r="C8574" t="str">
        <f t="shared" si="3497"/>
        <v>0000802195</v>
      </c>
      <c r="D8574" t="str">
        <f t="shared" si="3475"/>
        <v>73185</v>
      </c>
      <c r="E8574" t="str">
        <f t="shared" si="3476"/>
        <v>KFH-OPERATIONS DEPARTMENT</v>
      </c>
      <c r="F8574" t="str">
        <f t="shared" si="3477"/>
        <v>IBG</v>
      </c>
      <c r="G8574" t="str">
        <f t="shared" si="3488"/>
        <v>Refund COSHARE 10</v>
      </c>
      <c r="H8574" s="2">
        <v>620.9</v>
      </c>
      <c r="I8574" t="str">
        <f>"DAWIYAH BINTI AMIN"</f>
        <v>DAWIYAH BINTI AMIN</v>
      </c>
      <c r="J8574" t="str">
        <f t="shared" si="3491"/>
        <v>BANK ISLAM BHD</v>
      </c>
      <c r="K8574" t="str">
        <f>"08059020099268"</f>
        <v>08059020099268</v>
      </c>
      <c r="L8574" t="str">
        <f t="shared" si="3498"/>
        <v>04-08-2020</v>
      </c>
      <c r="M8574" t="str">
        <f t="shared" si="3498"/>
        <v>04-08-2020</v>
      </c>
      <c r="N8574" t="str">
        <f t="shared" si="3478"/>
        <v>001105018356</v>
      </c>
      <c r="O8574" t="str">
        <f t="shared" si="3479"/>
        <v>MYR</v>
      </c>
      <c r="P8574" t="str">
        <f t="shared" si="3499"/>
        <v>NIL</v>
      </c>
      <c r="Q8574" t="str">
        <f t="shared" si="3499"/>
        <v>NIL</v>
      </c>
      <c r="R8574" t="str">
        <f t="shared" si="3492"/>
        <v>Accepted</v>
      </c>
      <c r="S8574" t="str">
        <f t="shared" si="3480"/>
        <v>Approved</v>
      </c>
      <c r="T8574" t="str">
        <f t="shared" si="3493"/>
        <v>10.20.8.188</v>
      </c>
      <c r="U8574" t="str">
        <f t="shared" si="3481"/>
        <v>AZRAD UMAR BIN SHAARI</v>
      </c>
      <c r="V8574" t="str">
        <f t="shared" si="3482"/>
        <v>FARHANA BINTI MUSTAPA</v>
      </c>
      <c r="W8574" t="str">
        <f t="shared" si="3483"/>
        <v>04-08-2020</v>
      </c>
      <c r="X8574" t="str">
        <f t="shared" si="3484"/>
        <v>RAZIMAH ANSAR AHMAD</v>
      </c>
      <c r="Y8574" t="str">
        <f t="shared" si="3485"/>
        <v>04-08-2020</v>
      </c>
      <c r="Z8574" t="str">
        <f>"COS10200804 250"</f>
        <v>COS10200804 250</v>
      </c>
    </row>
    <row r="8575" spans="1:26" x14ac:dyDescent="0.25">
      <c r="A8575" t="str">
        <f t="shared" si="3496"/>
        <v>04-08-2020 12:28:31</v>
      </c>
      <c r="B8575" t="str">
        <f>"0000802244"</f>
        <v>0000802244</v>
      </c>
      <c r="C8575" t="str">
        <f t="shared" si="3497"/>
        <v>0000802195</v>
      </c>
      <c r="D8575" t="str">
        <f t="shared" si="3475"/>
        <v>73185</v>
      </c>
      <c r="E8575" t="str">
        <f t="shared" si="3476"/>
        <v>KFH-OPERATIONS DEPARTMENT</v>
      </c>
      <c r="F8575" t="str">
        <f t="shared" si="3477"/>
        <v>IBG</v>
      </c>
      <c r="G8575" t="str">
        <f t="shared" si="3488"/>
        <v>Refund COSHARE 10</v>
      </c>
      <c r="H8575" s="2">
        <v>266.8</v>
      </c>
      <c r="I8575" t="str">
        <f>"DARMANSA BIN ABU"</f>
        <v>DARMANSA BIN ABU</v>
      </c>
      <c r="J8575" t="str">
        <f t="shared" si="3491"/>
        <v>BANK ISLAM BHD</v>
      </c>
      <c r="K8575" t="str">
        <f>"10025020109451"</f>
        <v>10025020109451</v>
      </c>
      <c r="L8575" t="str">
        <f t="shared" si="3498"/>
        <v>04-08-2020</v>
      </c>
      <c r="M8575" t="str">
        <f t="shared" si="3498"/>
        <v>04-08-2020</v>
      </c>
      <c r="N8575" t="str">
        <f t="shared" si="3478"/>
        <v>001105018356</v>
      </c>
      <c r="O8575" t="str">
        <f t="shared" si="3479"/>
        <v>MYR</v>
      </c>
      <c r="P8575" t="str">
        <f t="shared" si="3499"/>
        <v>NIL</v>
      </c>
      <c r="Q8575" t="str">
        <f t="shared" si="3499"/>
        <v>NIL</v>
      </c>
      <c r="R8575" t="str">
        <f t="shared" si="3492"/>
        <v>Accepted</v>
      </c>
      <c r="S8575" t="str">
        <f t="shared" si="3480"/>
        <v>Approved</v>
      </c>
      <c r="T8575" t="str">
        <f t="shared" si="3493"/>
        <v>10.20.8.188</v>
      </c>
      <c r="U8575" t="str">
        <f t="shared" si="3481"/>
        <v>AZRAD UMAR BIN SHAARI</v>
      </c>
      <c r="V8575" t="str">
        <f t="shared" si="3482"/>
        <v>FARHANA BINTI MUSTAPA</v>
      </c>
      <c r="W8575" t="str">
        <f t="shared" si="3483"/>
        <v>04-08-2020</v>
      </c>
      <c r="X8575" t="str">
        <f t="shared" si="3484"/>
        <v>RAZIMAH ANSAR AHMAD</v>
      </c>
      <c r="Y8575" t="str">
        <f t="shared" si="3485"/>
        <v>04-08-2020</v>
      </c>
      <c r="Z8575" t="str">
        <f>"COS10200804 249"</f>
        <v>COS10200804 249</v>
      </c>
    </row>
    <row r="8576" spans="1:26" x14ac:dyDescent="0.25">
      <c r="A8576" t="str">
        <f t="shared" si="3496"/>
        <v>04-08-2020 12:28:31</v>
      </c>
      <c r="B8576" t="str">
        <f>"0000802243"</f>
        <v>0000802243</v>
      </c>
      <c r="C8576" t="str">
        <f t="shared" si="3497"/>
        <v>0000802195</v>
      </c>
      <c r="D8576" t="str">
        <f t="shared" si="3475"/>
        <v>73185</v>
      </c>
      <c r="E8576" t="str">
        <f t="shared" si="3476"/>
        <v>KFH-OPERATIONS DEPARTMENT</v>
      </c>
      <c r="F8576" t="str">
        <f t="shared" si="3477"/>
        <v>IBG</v>
      </c>
      <c r="G8576" t="str">
        <f t="shared" si="3488"/>
        <v>Refund COSHARE 10</v>
      </c>
      <c r="H8576" s="2">
        <v>198</v>
      </c>
      <c r="I8576" t="str">
        <f>"DARMANSA BIN ABU"</f>
        <v>DARMANSA BIN ABU</v>
      </c>
      <c r="J8576" t="str">
        <f t="shared" si="3491"/>
        <v>BANK ISLAM BHD</v>
      </c>
      <c r="K8576" t="str">
        <f>"10025020109451"</f>
        <v>10025020109451</v>
      </c>
      <c r="L8576" t="str">
        <f t="shared" si="3498"/>
        <v>04-08-2020</v>
      </c>
      <c r="M8576" t="str">
        <f t="shared" si="3498"/>
        <v>04-08-2020</v>
      </c>
      <c r="N8576" t="str">
        <f t="shared" si="3478"/>
        <v>001105018356</v>
      </c>
      <c r="O8576" t="str">
        <f t="shared" si="3479"/>
        <v>MYR</v>
      </c>
      <c r="P8576" t="str">
        <f t="shared" si="3499"/>
        <v>NIL</v>
      </c>
      <c r="Q8576" t="str">
        <f t="shared" si="3499"/>
        <v>NIL</v>
      </c>
      <c r="R8576" t="str">
        <f t="shared" si="3492"/>
        <v>Accepted</v>
      </c>
      <c r="S8576" t="str">
        <f t="shared" si="3480"/>
        <v>Approved</v>
      </c>
      <c r="T8576" t="str">
        <f t="shared" si="3493"/>
        <v>10.20.8.188</v>
      </c>
      <c r="U8576" t="str">
        <f t="shared" si="3481"/>
        <v>AZRAD UMAR BIN SHAARI</v>
      </c>
      <c r="V8576" t="str">
        <f t="shared" si="3482"/>
        <v>FARHANA BINTI MUSTAPA</v>
      </c>
      <c r="W8576" t="str">
        <f t="shared" si="3483"/>
        <v>04-08-2020</v>
      </c>
      <c r="X8576" t="str">
        <f t="shared" si="3484"/>
        <v>RAZIMAH ANSAR AHMAD</v>
      </c>
      <c r="Y8576" t="str">
        <f t="shared" si="3485"/>
        <v>04-08-2020</v>
      </c>
      <c r="Z8576" t="str">
        <f>"COS10200804 248"</f>
        <v>COS10200804 248</v>
      </c>
    </row>
    <row r="8577" spans="1:26" x14ac:dyDescent="0.25">
      <c r="A8577" t="str">
        <f t="shared" si="3496"/>
        <v>04-08-2020 12:28:31</v>
      </c>
      <c r="B8577" t="str">
        <f>"0000802242"</f>
        <v>0000802242</v>
      </c>
      <c r="C8577" t="str">
        <f t="shared" si="3497"/>
        <v>0000802195</v>
      </c>
      <c r="D8577" t="str">
        <f t="shared" si="3475"/>
        <v>73185</v>
      </c>
      <c r="E8577" t="str">
        <f t="shared" si="3476"/>
        <v>KFH-OPERATIONS DEPARTMENT</v>
      </c>
      <c r="F8577" t="str">
        <f t="shared" si="3477"/>
        <v>IBG</v>
      </c>
      <c r="G8577" t="str">
        <f t="shared" si="3488"/>
        <v>Refund COSHARE 10</v>
      </c>
      <c r="H8577" s="2">
        <v>671.6</v>
      </c>
      <c r="I8577" t="str">
        <f>"DALINA BINTI MAT DARI"</f>
        <v>DALINA BINTI MAT DARI</v>
      </c>
      <c r="J8577" t="str">
        <f t="shared" si="3491"/>
        <v>BANK ISLAM BHD</v>
      </c>
      <c r="K8577" t="str">
        <f>"03036020478233"</f>
        <v>03036020478233</v>
      </c>
      <c r="L8577" t="str">
        <f t="shared" si="3498"/>
        <v>04-08-2020</v>
      </c>
      <c r="M8577" t="str">
        <f t="shared" si="3498"/>
        <v>04-08-2020</v>
      </c>
      <c r="N8577" t="str">
        <f t="shared" si="3478"/>
        <v>001105018356</v>
      </c>
      <c r="O8577" t="str">
        <f t="shared" si="3479"/>
        <v>MYR</v>
      </c>
      <c r="P8577" t="str">
        <f t="shared" si="3499"/>
        <v>NIL</v>
      </c>
      <c r="Q8577" t="str">
        <f t="shared" si="3499"/>
        <v>NIL</v>
      </c>
      <c r="R8577" t="str">
        <f t="shared" si="3492"/>
        <v>Accepted</v>
      </c>
      <c r="S8577" t="str">
        <f t="shared" si="3480"/>
        <v>Approved</v>
      </c>
      <c r="T8577" t="str">
        <f t="shared" si="3493"/>
        <v>10.20.8.188</v>
      </c>
      <c r="U8577" t="str">
        <f t="shared" si="3481"/>
        <v>AZRAD UMAR BIN SHAARI</v>
      </c>
      <c r="V8577" t="str">
        <f t="shared" si="3482"/>
        <v>FARHANA BINTI MUSTAPA</v>
      </c>
      <c r="W8577" t="str">
        <f t="shared" si="3483"/>
        <v>04-08-2020</v>
      </c>
      <c r="X8577" t="str">
        <f t="shared" si="3484"/>
        <v>RAZIMAH ANSAR AHMAD</v>
      </c>
      <c r="Y8577" t="str">
        <f t="shared" si="3485"/>
        <v>04-08-2020</v>
      </c>
      <c r="Z8577" t="str">
        <f>"COS10200804 247"</f>
        <v>COS10200804 247</v>
      </c>
    </row>
    <row r="8578" spans="1:26" x14ac:dyDescent="0.25">
      <c r="A8578" t="str">
        <f t="shared" si="3496"/>
        <v>04-08-2020 12:28:31</v>
      </c>
      <c r="B8578" t="str">
        <f>"0000802241"</f>
        <v>0000802241</v>
      </c>
      <c r="C8578" t="str">
        <f t="shared" si="3497"/>
        <v>0000802195</v>
      </c>
      <c r="D8578" t="str">
        <f t="shared" si="3475"/>
        <v>73185</v>
      </c>
      <c r="E8578" t="str">
        <f t="shared" si="3476"/>
        <v>KFH-OPERATIONS DEPARTMENT</v>
      </c>
      <c r="F8578" t="str">
        <f t="shared" si="3477"/>
        <v>IBG</v>
      </c>
      <c r="G8578" t="str">
        <f t="shared" si="3488"/>
        <v>Refund COSHARE 10</v>
      </c>
      <c r="H8578" s="2">
        <v>1007.4</v>
      </c>
      <c r="I8578" t="str">
        <f>"CLARAKARTINI BINTI A HAMID"</f>
        <v>CLARAKARTINI BINTI A HAMID</v>
      </c>
      <c r="J8578" t="str">
        <f t="shared" si="3491"/>
        <v>BANK ISLAM BHD</v>
      </c>
      <c r="K8578" t="str">
        <f>"02020020642538"</f>
        <v>02020020642538</v>
      </c>
      <c r="L8578" t="str">
        <f t="shared" si="3498"/>
        <v>04-08-2020</v>
      </c>
      <c r="M8578" t="str">
        <f t="shared" si="3498"/>
        <v>04-08-2020</v>
      </c>
      <c r="N8578" t="str">
        <f t="shared" si="3478"/>
        <v>001105018356</v>
      </c>
      <c r="O8578" t="str">
        <f t="shared" si="3479"/>
        <v>MYR</v>
      </c>
      <c r="P8578" t="str">
        <f t="shared" si="3499"/>
        <v>NIL</v>
      </c>
      <c r="Q8578" t="str">
        <f t="shared" si="3499"/>
        <v>NIL</v>
      </c>
      <c r="R8578" t="str">
        <f t="shared" si="3492"/>
        <v>Accepted</v>
      </c>
      <c r="S8578" t="str">
        <f t="shared" si="3480"/>
        <v>Approved</v>
      </c>
      <c r="T8578" t="str">
        <f t="shared" si="3493"/>
        <v>10.20.8.188</v>
      </c>
      <c r="U8578" t="str">
        <f t="shared" si="3481"/>
        <v>AZRAD UMAR BIN SHAARI</v>
      </c>
      <c r="V8578" t="str">
        <f t="shared" si="3482"/>
        <v>FARHANA BINTI MUSTAPA</v>
      </c>
      <c r="W8578" t="str">
        <f t="shared" si="3483"/>
        <v>04-08-2020</v>
      </c>
      <c r="X8578" t="str">
        <f t="shared" si="3484"/>
        <v>RAZIMAH ANSAR AHMAD</v>
      </c>
      <c r="Y8578" t="str">
        <f t="shared" si="3485"/>
        <v>04-08-2020</v>
      </c>
      <c r="Z8578" t="str">
        <f>"COS10200804 246"</f>
        <v>COS10200804 246</v>
      </c>
    </row>
    <row r="8579" spans="1:26" x14ac:dyDescent="0.25">
      <c r="A8579" t="str">
        <f t="shared" si="3496"/>
        <v>04-08-2020 12:28:31</v>
      </c>
      <c r="B8579" t="str">
        <f>"0000802240"</f>
        <v>0000802240</v>
      </c>
      <c r="C8579" t="str">
        <f t="shared" si="3497"/>
        <v>0000802195</v>
      </c>
      <c r="D8579" t="str">
        <f t="shared" si="3475"/>
        <v>73185</v>
      </c>
      <c r="E8579" t="str">
        <f t="shared" si="3476"/>
        <v>KFH-OPERATIONS DEPARTMENT</v>
      </c>
      <c r="F8579" t="str">
        <f t="shared" si="3477"/>
        <v>IBG</v>
      </c>
      <c r="G8579" t="str">
        <f t="shared" si="3488"/>
        <v>Refund COSHARE 10</v>
      </c>
      <c r="H8579" s="2">
        <v>638.04999999999995</v>
      </c>
      <c r="I8579" t="str">
        <f>"CIK JUHAIDA BINTI CHE RANI"</f>
        <v>CIK JUHAIDA BINTI CHE RANI</v>
      </c>
      <c r="J8579" t="str">
        <f t="shared" si="3491"/>
        <v>BANK ISLAM BHD</v>
      </c>
      <c r="K8579" t="str">
        <f>"03054020181292"</f>
        <v>03054020181292</v>
      </c>
      <c r="L8579" t="str">
        <f t="shared" si="3498"/>
        <v>04-08-2020</v>
      </c>
      <c r="M8579" t="str">
        <f t="shared" si="3498"/>
        <v>04-08-2020</v>
      </c>
      <c r="N8579" t="str">
        <f t="shared" si="3478"/>
        <v>001105018356</v>
      </c>
      <c r="O8579" t="str">
        <f t="shared" si="3479"/>
        <v>MYR</v>
      </c>
      <c r="P8579" t="str">
        <f t="shared" si="3499"/>
        <v>NIL</v>
      </c>
      <c r="Q8579" t="str">
        <f t="shared" si="3499"/>
        <v>NIL</v>
      </c>
      <c r="R8579" t="str">
        <f t="shared" si="3492"/>
        <v>Accepted</v>
      </c>
      <c r="S8579" t="str">
        <f t="shared" si="3480"/>
        <v>Approved</v>
      </c>
      <c r="T8579" t="str">
        <f t="shared" si="3493"/>
        <v>10.20.8.188</v>
      </c>
      <c r="U8579" t="str">
        <f t="shared" si="3481"/>
        <v>AZRAD UMAR BIN SHAARI</v>
      </c>
      <c r="V8579" t="str">
        <f t="shared" si="3482"/>
        <v>FARHANA BINTI MUSTAPA</v>
      </c>
      <c r="W8579" t="str">
        <f t="shared" si="3483"/>
        <v>04-08-2020</v>
      </c>
      <c r="X8579" t="str">
        <f t="shared" si="3484"/>
        <v>RAZIMAH ANSAR AHMAD</v>
      </c>
      <c r="Y8579" t="str">
        <f t="shared" si="3485"/>
        <v>04-08-2020</v>
      </c>
      <c r="Z8579" t="str">
        <f>"COS10200804 245"</f>
        <v>COS10200804 245</v>
      </c>
    </row>
    <row r="8580" spans="1:26" x14ac:dyDescent="0.25">
      <c r="A8580" t="str">
        <f t="shared" si="3496"/>
        <v>04-08-2020 12:28:31</v>
      </c>
      <c r="B8580" t="str">
        <f>"0000802239"</f>
        <v>0000802239</v>
      </c>
      <c r="C8580" t="str">
        <f t="shared" si="3497"/>
        <v>0000802195</v>
      </c>
      <c r="D8580" t="str">
        <f t="shared" si="3475"/>
        <v>73185</v>
      </c>
      <c r="E8580" t="str">
        <f t="shared" si="3476"/>
        <v>KFH-OPERATIONS DEPARTMENT</v>
      </c>
      <c r="F8580" t="str">
        <f t="shared" si="3477"/>
        <v>IBG</v>
      </c>
      <c r="G8580" t="str">
        <f t="shared" si="3488"/>
        <v>Refund COSHARE 10</v>
      </c>
      <c r="H8580" s="2">
        <v>999</v>
      </c>
      <c r="I8580" t="str">
        <f>"CHITRA AP NARAYANAN"</f>
        <v>CHITRA AP NARAYANAN</v>
      </c>
      <c r="J8580" t="str">
        <f t="shared" si="3491"/>
        <v>BANK ISLAM BHD</v>
      </c>
      <c r="K8580" t="str">
        <f>"06028024815018"</f>
        <v>06028024815018</v>
      </c>
      <c r="L8580" t="str">
        <f t="shared" si="3498"/>
        <v>04-08-2020</v>
      </c>
      <c r="M8580" t="str">
        <f t="shared" si="3498"/>
        <v>04-08-2020</v>
      </c>
      <c r="N8580" t="str">
        <f t="shared" si="3478"/>
        <v>001105018356</v>
      </c>
      <c r="O8580" t="str">
        <f t="shared" si="3479"/>
        <v>MYR</v>
      </c>
      <c r="P8580" t="str">
        <f t="shared" si="3499"/>
        <v>NIL</v>
      </c>
      <c r="Q8580" t="str">
        <f t="shared" si="3499"/>
        <v>NIL</v>
      </c>
      <c r="R8580" t="str">
        <f t="shared" si="3492"/>
        <v>Accepted</v>
      </c>
      <c r="S8580" t="str">
        <f t="shared" si="3480"/>
        <v>Approved</v>
      </c>
      <c r="T8580" t="str">
        <f t="shared" si="3493"/>
        <v>10.20.8.188</v>
      </c>
      <c r="U8580" t="str">
        <f t="shared" si="3481"/>
        <v>AZRAD UMAR BIN SHAARI</v>
      </c>
      <c r="V8580" t="str">
        <f t="shared" si="3482"/>
        <v>FARHANA BINTI MUSTAPA</v>
      </c>
      <c r="W8580" t="str">
        <f t="shared" si="3483"/>
        <v>04-08-2020</v>
      </c>
      <c r="X8580" t="str">
        <f t="shared" si="3484"/>
        <v>RAZIMAH ANSAR AHMAD</v>
      </c>
      <c r="Y8580" t="str">
        <f t="shared" si="3485"/>
        <v>04-08-2020</v>
      </c>
      <c r="Z8580" t="str">
        <f>"COS10200804 244"</f>
        <v>COS10200804 244</v>
      </c>
    </row>
    <row r="8581" spans="1:26" x14ac:dyDescent="0.25">
      <c r="A8581" t="str">
        <f t="shared" si="3496"/>
        <v>04-08-2020 12:28:31</v>
      </c>
      <c r="B8581" t="str">
        <f>"0000802238"</f>
        <v>0000802238</v>
      </c>
      <c r="C8581" t="str">
        <f t="shared" si="3497"/>
        <v>0000802195</v>
      </c>
      <c r="D8581" t="str">
        <f t="shared" si="3475"/>
        <v>73185</v>
      </c>
      <c r="E8581" t="str">
        <f t="shared" si="3476"/>
        <v>KFH-OPERATIONS DEPARTMENT</v>
      </c>
      <c r="F8581" t="str">
        <f t="shared" si="3477"/>
        <v>IBG</v>
      </c>
      <c r="G8581" t="str">
        <f t="shared" si="3488"/>
        <v>Refund COSHARE 10</v>
      </c>
      <c r="H8581" s="2">
        <v>621.25</v>
      </c>
      <c r="I8581" t="str">
        <f>"CHE RUSMAIDZA BINTI RAMLEE"</f>
        <v>CHE RUSMAIDZA BINTI RAMLEE</v>
      </c>
      <c r="J8581" t="str">
        <f t="shared" si="3491"/>
        <v>BANK ISLAM BHD</v>
      </c>
      <c r="K8581" t="str">
        <f>"03090020262590"</f>
        <v>03090020262590</v>
      </c>
      <c r="L8581" t="str">
        <f t="shared" si="3498"/>
        <v>04-08-2020</v>
      </c>
      <c r="M8581" t="str">
        <f t="shared" si="3498"/>
        <v>04-08-2020</v>
      </c>
      <c r="N8581" t="str">
        <f t="shared" si="3478"/>
        <v>001105018356</v>
      </c>
      <c r="O8581" t="str">
        <f t="shared" si="3479"/>
        <v>MYR</v>
      </c>
      <c r="P8581" t="str">
        <f t="shared" si="3499"/>
        <v>NIL</v>
      </c>
      <c r="Q8581" t="str">
        <f t="shared" si="3499"/>
        <v>NIL</v>
      </c>
      <c r="R8581" t="str">
        <f t="shared" si="3492"/>
        <v>Accepted</v>
      </c>
      <c r="S8581" t="str">
        <f t="shared" si="3480"/>
        <v>Approved</v>
      </c>
      <c r="T8581" t="str">
        <f t="shared" si="3493"/>
        <v>10.20.8.188</v>
      </c>
      <c r="U8581" t="str">
        <f t="shared" si="3481"/>
        <v>AZRAD UMAR BIN SHAARI</v>
      </c>
      <c r="V8581" t="str">
        <f t="shared" si="3482"/>
        <v>FARHANA BINTI MUSTAPA</v>
      </c>
      <c r="W8581" t="str">
        <f t="shared" si="3483"/>
        <v>04-08-2020</v>
      </c>
      <c r="X8581" t="str">
        <f t="shared" si="3484"/>
        <v>RAZIMAH ANSAR AHMAD</v>
      </c>
      <c r="Y8581" t="str">
        <f t="shared" si="3485"/>
        <v>04-08-2020</v>
      </c>
      <c r="Z8581" t="str">
        <f>"COS10200804 243"</f>
        <v>COS10200804 243</v>
      </c>
    </row>
    <row r="8582" spans="1:26" x14ac:dyDescent="0.25">
      <c r="A8582" t="str">
        <f t="shared" si="3496"/>
        <v>04-08-2020 12:28:31</v>
      </c>
      <c r="B8582" t="str">
        <f>"0000802237"</f>
        <v>0000802237</v>
      </c>
      <c r="C8582" t="str">
        <f t="shared" si="3497"/>
        <v>0000802195</v>
      </c>
      <c r="D8582" t="str">
        <f t="shared" si="3475"/>
        <v>73185</v>
      </c>
      <c r="E8582" t="str">
        <f t="shared" si="3476"/>
        <v>KFH-OPERATIONS DEPARTMENT</v>
      </c>
      <c r="F8582" t="str">
        <f t="shared" si="3477"/>
        <v>IBG</v>
      </c>
      <c r="G8582" t="str">
        <f t="shared" si="3488"/>
        <v>Refund COSHARE 10</v>
      </c>
      <c r="H8582" s="2">
        <v>292.2</v>
      </c>
      <c r="I8582" t="str">
        <f>"CHE ROSHILAH BINTI SHUIB"</f>
        <v>CHE ROSHILAH BINTI SHUIB</v>
      </c>
      <c r="J8582" t="str">
        <f t="shared" si="3491"/>
        <v>BANK ISLAM BHD</v>
      </c>
      <c r="K8582" t="str">
        <f>"02011020185419"</f>
        <v>02011020185419</v>
      </c>
      <c r="L8582" t="str">
        <f t="shared" si="3498"/>
        <v>04-08-2020</v>
      </c>
      <c r="M8582" t="str">
        <f t="shared" si="3498"/>
        <v>04-08-2020</v>
      </c>
      <c r="N8582" t="str">
        <f t="shared" si="3478"/>
        <v>001105018356</v>
      </c>
      <c r="O8582" t="str">
        <f t="shared" si="3479"/>
        <v>MYR</v>
      </c>
      <c r="P8582" t="str">
        <f t="shared" si="3499"/>
        <v>NIL</v>
      </c>
      <c r="Q8582" t="str">
        <f t="shared" si="3499"/>
        <v>NIL</v>
      </c>
      <c r="R8582" t="str">
        <f t="shared" si="3492"/>
        <v>Accepted</v>
      </c>
      <c r="S8582" t="str">
        <f t="shared" si="3480"/>
        <v>Approved</v>
      </c>
      <c r="T8582" t="str">
        <f t="shared" si="3493"/>
        <v>10.20.8.188</v>
      </c>
      <c r="U8582" t="str">
        <f t="shared" si="3481"/>
        <v>AZRAD UMAR BIN SHAARI</v>
      </c>
      <c r="V8582" t="str">
        <f t="shared" si="3482"/>
        <v>FARHANA BINTI MUSTAPA</v>
      </c>
      <c r="W8582" t="str">
        <f t="shared" si="3483"/>
        <v>04-08-2020</v>
      </c>
      <c r="X8582" t="str">
        <f t="shared" si="3484"/>
        <v>RAZIMAH ANSAR AHMAD</v>
      </c>
      <c r="Y8582" t="str">
        <f t="shared" si="3485"/>
        <v>04-08-2020</v>
      </c>
      <c r="Z8582" t="str">
        <f>"COS10200804 242"</f>
        <v>COS10200804 242</v>
      </c>
    </row>
    <row r="8583" spans="1:26" x14ac:dyDescent="0.25">
      <c r="A8583" t="str">
        <f t="shared" si="3496"/>
        <v>04-08-2020 12:28:31</v>
      </c>
      <c r="B8583" t="str">
        <f>"0000802236"</f>
        <v>0000802236</v>
      </c>
      <c r="C8583" t="str">
        <f t="shared" si="3497"/>
        <v>0000802195</v>
      </c>
      <c r="D8583" t="str">
        <f t="shared" ref="D8583:D8646" si="3500">"73185"</f>
        <v>73185</v>
      </c>
      <c r="E8583" t="str">
        <f t="shared" ref="E8583:E8646" si="3501">"KFH-OPERATIONS DEPARTMENT"</f>
        <v>KFH-OPERATIONS DEPARTMENT</v>
      </c>
      <c r="F8583" t="str">
        <f t="shared" ref="F8583:F8646" si="3502">"IBG"</f>
        <v>IBG</v>
      </c>
      <c r="G8583" t="str">
        <f t="shared" si="3488"/>
        <v>Refund COSHARE 10</v>
      </c>
      <c r="H8583" s="2">
        <v>118.95</v>
      </c>
      <c r="I8583" t="str">
        <f>"CHE NORAIMAH BINTI DAUD"</f>
        <v>CHE NORAIMAH BINTI DAUD</v>
      </c>
      <c r="J8583" t="str">
        <f t="shared" si="3491"/>
        <v>BANK ISLAM BHD</v>
      </c>
      <c r="K8583" t="str">
        <f>"03036020429245"</f>
        <v>03036020429245</v>
      </c>
      <c r="L8583" t="str">
        <f t="shared" si="3498"/>
        <v>04-08-2020</v>
      </c>
      <c r="M8583" t="str">
        <f t="shared" si="3498"/>
        <v>04-08-2020</v>
      </c>
      <c r="N8583" t="str">
        <f t="shared" ref="N8583:N8646" si="3503">"001105018356"</f>
        <v>001105018356</v>
      </c>
      <c r="O8583" t="str">
        <f t="shared" ref="O8583:O8646" si="3504">"MYR"</f>
        <v>MYR</v>
      </c>
      <c r="P8583" t="str">
        <f t="shared" si="3499"/>
        <v>NIL</v>
      </c>
      <c r="Q8583" t="str">
        <f t="shared" si="3499"/>
        <v>NIL</v>
      </c>
      <c r="R8583" t="str">
        <f t="shared" si="3492"/>
        <v>Accepted</v>
      </c>
      <c r="S8583" t="str">
        <f t="shared" ref="S8583:S8646" si="3505">"Approved"</f>
        <v>Approved</v>
      </c>
      <c r="T8583" t="str">
        <f t="shared" si="3493"/>
        <v>10.20.8.188</v>
      </c>
      <c r="U8583" t="str">
        <f t="shared" ref="U8583:U8646" si="3506">"AZRAD UMAR BIN SHAARI"</f>
        <v>AZRAD UMAR BIN SHAARI</v>
      </c>
      <c r="V8583" t="str">
        <f t="shared" ref="V8583:V8646" si="3507">"FARHANA BINTI MUSTAPA"</f>
        <v>FARHANA BINTI MUSTAPA</v>
      </c>
      <c r="W8583" t="str">
        <f t="shared" ref="W8583:W8646" si="3508">"04-08-2020"</f>
        <v>04-08-2020</v>
      </c>
      <c r="X8583" t="str">
        <f t="shared" ref="X8583:X8646" si="3509">"RAZIMAH ANSAR AHMAD"</f>
        <v>RAZIMAH ANSAR AHMAD</v>
      </c>
      <c r="Y8583" t="str">
        <f t="shared" ref="Y8583:Y8646" si="3510">"04-08-2020"</f>
        <v>04-08-2020</v>
      </c>
      <c r="Z8583" t="str">
        <f>"COS10200804 241"</f>
        <v>COS10200804 241</v>
      </c>
    </row>
    <row r="8584" spans="1:26" x14ac:dyDescent="0.25">
      <c r="A8584" t="str">
        <f t="shared" ref="A8584:A8615" si="3511">"04-08-2020 12:28:31"</f>
        <v>04-08-2020 12:28:31</v>
      </c>
      <c r="B8584" t="str">
        <f>"0000802235"</f>
        <v>0000802235</v>
      </c>
      <c r="C8584" t="str">
        <f t="shared" ref="C8584:C8615" si="3512">"0000802195"</f>
        <v>0000802195</v>
      </c>
      <c r="D8584" t="str">
        <f t="shared" si="3500"/>
        <v>73185</v>
      </c>
      <c r="E8584" t="str">
        <f t="shared" si="3501"/>
        <v>KFH-OPERATIONS DEPARTMENT</v>
      </c>
      <c r="F8584" t="str">
        <f t="shared" si="3502"/>
        <v>IBG</v>
      </c>
      <c r="G8584" t="str">
        <f t="shared" si="3488"/>
        <v>Refund COSHARE 10</v>
      </c>
      <c r="H8584" s="2">
        <v>156</v>
      </c>
      <c r="I8584" t="str">
        <f>"CHE MOHD HAFIZ BIN MOHAMED"</f>
        <v>CHE MOHD HAFIZ BIN MOHAMED</v>
      </c>
      <c r="J8584" t="str">
        <f t="shared" si="3491"/>
        <v>BANK ISLAM BHD</v>
      </c>
      <c r="K8584" t="str">
        <f>"03027020336254"</f>
        <v>03027020336254</v>
      </c>
      <c r="L8584" t="str">
        <f t="shared" si="3498"/>
        <v>04-08-2020</v>
      </c>
      <c r="M8584" t="str">
        <f t="shared" si="3498"/>
        <v>04-08-2020</v>
      </c>
      <c r="N8584" t="str">
        <f t="shared" si="3503"/>
        <v>001105018356</v>
      </c>
      <c r="O8584" t="str">
        <f t="shared" si="3504"/>
        <v>MYR</v>
      </c>
      <c r="P8584" t="str">
        <f t="shared" si="3499"/>
        <v>NIL</v>
      </c>
      <c r="Q8584" t="str">
        <f t="shared" si="3499"/>
        <v>NIL</v>
      </c>
      <c r="R8584" t="str">
        <f t="shared" si="3492"/>
        <v>Accepted</v>
      </c>
      <c r="S8584" t="str">
        <f t="shared" si="3505"/>
        <v>Approved</v>
      </c>
      <c r="T8584" t="str">
        <f t="shared" si="3493"/>
        <v>10.20.8.188</v>
      </c>
      <c r="U8584" t="str">
        <f t="shared" si="3506"/>
        <v>AZRAD UMAR BIN SHAARI</v>
      </c>
      <c r="V8584" t="str">
        <f t="shared" si="3507"/>
        <v>FARHANA BINTI MUSTAPA</v>
      </c>
      <c r="W8584" t="str">
        <f t="shared" si="3508"/>
        <v>04-08-2020</v>
      </c>
      <c r="X8584" t="str">
        <f t="shared" si="3509"/>
        <v>RAZIMAH ANSAR AHMAD</v>
      </c>
      <c r="Y8584" t="str">
        <f t="shared" si="3510"/>
        <v>04-08-2020</v>
      </c>
      <c r="Z8584" t="str">
        <f>"COS10200804 240"</f>
        <v>COS10200804 240</v>
      </c>
    </row>
    <row r="8585" spans="1:26" x14ac:dyDescent="0.25">
      <c r="A8585" t="str">
        <f t="shared" si="3511"/>
        <v>04-08-2020 12:28:31</v>
      </c>
      <c r="B8585" t="str">
        <f>"0000802234"</f>
        <v>0000802234</v>
      </c>
      <c r="C8585" t="str">
        <f t="shared" si="3512"/>
        <v>0000802195</v>
      </c>
      <c r="D8585" t="str">
        <f t="shared" si="3500"/>
        <v>73185</v>
      </c>
      <c r="E8585" t="str">
        <f t="shared" si="3501"/>
        <v>KFH-OPERATIONS DEPARTMENT</v>
      </c>
      <c r="F8585" t="str">
        <f t="shared" si="3502"/>
        <v>IBG</v>
      </c>
      <c r="G8585" t="str">
        <f t="shared" si="3488"/>
        <v>Refund COSHARE 10</v>
      </c>
      <c r="H8585" s="2">
        <v>456</v>
      </c>
      <c r="I8585" t="str">
        <f>"BUSYRO BINTI OTHMAN"</f>
        <v>BUSYRO BINTI OTHMAN</v>
      </c>
      <c r="J8585" t="str">
        <f t="shared" si="3491"/>
        <v>BANK ISLAM BHD</v>
      </c>
      <c r="K8585" t="str">
        <f>"02020020480972"</f>
        <v>02020020480972</v>
      </c>
      <c r="L8585" t="str">
        <f t="shared" si="3498"/>
        <v>04-08-2020</v>
      </c>
      <c r="M8585" t="str">
        <f t="shared" si="3498"/>
        <v>04-08-2020</v>
      </c>
      <c r="N8585" t="str">
        <f t="shared" si="3503"/>
        <v>001105018356</v>
      </c>
      <c r="O8585" t="str">
        <f t="shared" si="3504"/>
        <v>MYR</v>
      </c>
      <c r="P8585" t="str">
        <f t="shared" si="3499"/>
        <v>NIL</v>
      </c>
      <c r="Q8585" t="str">
        <f t="shared" si="3499"/>
        <v>NIL</v>
      </c>
      <c r="R8585" t="str">
        <f t="shared" si="3492"/>
        <v>Accepted</v>
      </c>
      <c r="S8585" t="str">
        <f t="shared" si="3505"/>
        <v>Approved</v>
      </c>
      <c r="T8585" t="str">
        <f t="shared" si="3493"/>
        <v>10.20.8.188</v>
      </c>
      <c r="U8585" t="str">
        <f t="shared" si="3506"/>
        <v>AZRAD UMAR BIN SHAARI</v>
      </c>
      <c r="V8585" t="str">
        <f t="shared" si="3507"/>
        <v>FARHANA BINTI MUSTAPA</v>
      </c>
      <c r="W8585" t="str">
        <f t="shared" si="3508"/>
        <v>04-08-2020</v>
      </c>
      <c r="X8585" t="str">
        <f t="shared" si="3509"/>
        <v>RAZIMAH ANSAR AHMAD</v>
      </c>
      <c r="Y8585" t="str">
        <f t="shared" si="3510"/>
        <v>04-08-2020</v>
      </c>
      <c r="Z8585" t="str">
        <f>"COS10200804 239"</f>
        <v>COS10200804 239</v>
      </c>
    </row>
    <row r="8586" spans="1:26" x14ac:dyDescent="0.25">
      <c r="A8586" t="str">
        <f t="shared" si="3511"/>
        <v>04-08-2020 12:28:31</v>
      </c>
      <c r="B8586" t="str">
        <f>"0000802233"</f>
        <v>0000802233</v>
      </c>
      <c r="C8586" t="str">
        <f t="shared" si="3512"/>
        <v>0000802195</v>
      </c>
      <c r="D8586" t="str">
        <f t="shared" si="3500"/>
        <v>73185</v>
      </c>
      <c r="E8586" t="str">
        <f t="shared" si="3501"/>
        <v>KFH-OPERATIONS DEPARTMENT</v>
      </c>
      <c r="F8586" t="str">
        <f t="shared" si="3502"/>
        <v>IBG</v>
      </c>
      <c r="G8586" t="str">
        <f t="shared" si="3488"/>
        <v>Refund COSHARE 10</v>
      </c>
      <c r="H8586" s="2">
        <v>388</v>
      </c>
      <c r="I8586" t="str">
        <f>"BUSROH BINTI CHE OMAR"</f>
        <v>BUSROH BINTI CHE OMAR</v>
      </c>
      <c r="J8586" t="str">
        <f t="shared" si="3491"/>
        <v>BANK ISLAM BHD</v>
      </c>
      <c r="K8586" t="str">
        <f>"02020020451284"</f>
        <v>02020020451284</v>
      </c>
      <c r="L8586" t="str">
        <f t="shared" si="3498"/>
        <v>04-08-2020</v>
      </c>
      <c r="M8586" t="str">
        <f t="shared" si="3498"/>
        <v>04-08-2020</v>
      </c>
      <c r="N8586" t="str">
        <f t="shared" si="3503"/>
        <v>001105018356</v>
      </c>
      <c r="O8586" t="str">
        <f t="shared" si="3504"/>
        <v>MYR</v>
      </c>
      <c r="P8586" t="str">
        <f t="shared" si="3499"/>
        <v>NIL</v>
      </c>
      <c r="Q8586" t="str">
        <f t="shared" si="3499"/>
        <v>NIL</v>
      </c>
      <c r="R8586" t="str">
        <f t="shared" si="3492"/>
        <v>Accepted</v>
      </c>
      <c r="S8586" t="str">
        <f t="shared" si="3505"/>
        <v>Approved</v>
      </c>
      <c r="T8586" t="str">
        <f t="shared" si="3493"/>
        <v>10.20.8.188</v>
      </c>
      <c r="U8586" t="str">
        <f t="shared" si="3506"/>
        <v>AZRAD UMAR BIN SHAARI</v>
      </c>
      <c r="V8586" t="str">
        <f t="shared" si="3507"/>
        <v>FARHANA BINTI MUSTAPA</v>
      </c>
      <c r="W8586" t="str">
        <f t="shared" si="3508"/>
        <v>04-08-2020</v>
      </c>
      <c r="X8586" t="str">
        <f t="shared" si="3509"/>
        <v>RAZIMAH ANSAR AHMAD</v>
      </c>
      <c r="Y8586" t="str">
        <f t="shared" si="3510"/>
        <v>04-08-2020</v>
      </c>
      <c r="Z8586" t="str">
        <f>"COS10200804 238"</f>
        <v>COS10200804 238</v>
      </c>
    </row>
    <row r="8587" spans="1:26" x14ac:dyDescent="0.25">
      <c r="A8587" t="str">
        <f t="shared" si="3511"/>
        <v>04-08-2020 12:28:31</v>
      </c>
      <c r="B8587" t="str">
        <f>"0000802232"</f>
        <v>0000802232</v>
      </c>
      <c r="C8587" t="str">
        <f t="shared" si="3512"/>
        <v>0000802195</v>
      </c>
      <c r="D8587" t="str">
        <f t="shared" si="3500"/>
        <v>73185</v>
      </c>
      <c r="E8587" t="str">
        <f t="shared" si="3501"/>
        <v>KFH-OPERATIONS DEPARTMENT</v>
      </c>
      <c r="F8587" t="str">
        <f t="shared" si="3502"/>
        <v>IBG</v>
      </c>
      <c r="G8587" t="str">
        <f t="shared" si="3488"/>
        <v>Refund COSHARE 10</v>
      </c>
      <c r="H8587" s="2">
        <v>88.7</v>
      </c>
      <c r="I8587" t="str">
        <f>"BUARENG BIN RAHIMA"</f>
        <v>BUARENG BIN RAHIMA</v>
      </c>
      <c r="J8587" t="str">
        <f t="shared" si="3491"/>
        <v>BANK ISLAM BHD</v>
      </c>
      <c r="K8587" t="str">
        <f>"10025020364025"</f>
        <v>10025020364025</v>
      </c>
      <c r="L8587" t="str">
        <f t="shared" ref="L8587:M8606" si="3513">"04-08-2020"</f>
        <v>04-08-2020</v>
      </c>
      <c r="M8587" t="str">
        <f t="shared" si="3513"/>
        <v>04-08-2020</v>
      </c>
      <c r="N8587" t="str">
        <f t="shared" si="3503"/>
        <v>001105018356</v>
      </c>
      <c r="O8587" t="str">
        <f t="shared" si="3504"/>
        <v>MYR</v>
      </c>
      <c r="P8587" t="str">
        <f t="shared" ref="P8587:Q8606" si="3514">"NIL"</f>
        <v>NIL</v>
      </c>
      <c r="Q8587" t="str">
        <f t="shared" si="3514"/>
        <v>NIL</v>
      </c>
      <c r="R8587" t="str">
        <f t="shared" si="3492"/>
        <v>Accepted</v>
      </c>
      <c r="S8587" t="str">
        <f t="shared" si="3505"/>
        <v>Approved</v>
      </c>
      <c r="T8587" t="str">
        <f t="shared" si="3493"/>
        <v>10.20.8.188</v>
      </c>
      <c r="U8587" t="str">
        <f t="shared" si="3506"/>
        <v>AZRAD UMAR BIN SHAARI</v>
      </c>
      <c r="V8587" t="str">
        <f t="shared" si="3507"/>
        <v>FARHANA BINTI MUSTAPA</v>
      </c>
      <c r="W8587" t="str">
        <f t="shared" si="3508"/>
        <v>04-08-2020</v>
      </c>
      <c r="X8587" t="str">
        <f t="shared" si="3509"/>
        <v>RAZIMAH ANSAR AHMAD</v>
      </c>
      <c r="Y8587" t="str">
        <f t="shared" si="3510"/>
        <v>04-08-2020</v>
      </c>
      <c r="Z8587" t="str">
        <f>"COS10200804 237"</f>
        <v>COS10200804 237</v>
      </c>
    </row>
    <row r="8588" spans="1:26" x14ac:dyDescent="0.25">
      <c r="A8588" t="str">
        <f t="shared" si="3511"/>
        <v>04-08-2020 12:28:31</v>
      </c>
      <c r="B8588" t="str">
        <f>"0000802231"</f>
        <v>0000802231</v>
      </c>
      <c r="C8588" t="str">
        <f t="shared" si="3512"/>
        <v>0000802195</v>
      </c>
      <c r="D8588" t="str">
        <f t="shared" si="3500"/>
        <v>73185</v>
      </c>
      <c r="E8588" t="str">
        <f t="shared" si="3501"/>
        <v>KFH-OPERATIONS DEPARTMENT</v>
      </c>
      <c r="F8588" t="str">
        <f t="shared" si="3502"/>
        <v>IBG</v>
      </c>
      <c r="G8588" t="str">
        <f t="shared" ref="G8588:G8651" si="3515">"Refund COSHARE 10"</f>
        <v>Refund COSHARE 10</v>
      </c>
      <c r="H8588" s="2">
        <v>478.5</v>
      </c>
      <c r="I8588" t="str">
        <f>"BADRUL HISHAM BIN ABDULLAH"</f>
        <v>BADRUL HISHAM BIN ABDULLAH</v>
      </c>
      <c r="J8588" t="str">
        <f t="shared" si="3491"/>
        <v>BANK ISLAM BHD</v>
      </c>
      <c r="K8588" t="str">
        <f>"05012025930319"</f>
        <v>05012025930319</v>
      </c>
      <c r="L8588" t="str">
        <f t="shared" si="3513"/>
        <v>04-08-2020</v>
      </c>
      <c r="M8588" t="str">
        <f t="shared" si="3513"/>
        <v>04-08-2020</v>
      </c>
      <c r="N8588" t="str">
        <f t="shared" si="3503"/>
        <v>001105018356</v>
      </c>
      <c r="O8588" t="str">
        <f t="shared" si="3504"/>
        <v>MYR</v>
      </c>
      <c r="P8588" t="str">
        <f t="shared" si="3514"/>
        <v>NIL</v>
      </c>
      <c r="Q8588" t="str">
        <f t="shared" si="3514"/>
        <v>NIL</v>
      </c>
      <c r="R8588" t="str">
        <f t="shared" si="3492"/>
        <v>Accepted</v>
      </c>
      <c r="S8588" t="str">
        <f t="shared" si="3505"/>
        <v>Approved</v>
      </c>
      <c r="T8588" t="str">
        <f t="shared" si="3493"/>
        <v>10.20.8.188</v>
      </c>
      <c r="U8588" t="str">
        <f t="shared" si="3506"/>
        <v>AZRAD UMAR BIN SHAARI</v>
      </c>
      <c r="V8588" t="str">
        <f t="shared" si="3507"/>
        <v>FARHANA BINTI MUSTAPA</v>
      </c>
      <c r="W8588" t="str">
        <f t="shared" si="3508"/>
        <v>04-08-2020</v>
      </c>
      <c r="X8588" t="str">
        <f t="shared" si="3509"/>
        <v>RAZIMAH ANSAR AHMAD</v>
      </c>
      <c r="Y8588" t="str">
        <f t="shared" si="3510"/>
        <v>04-08-2020</v>
      </c>
      <c r="Z8588" t="str">
        <f>"COS10200804 236"</f>
        <v>COS10200804 236</v>
      </c>
    </row>
    <row r="8589" spans="1:26" x14ac:dyDescent="0.25">
      <c r="A8589" t="str">
        <f t="shared" si="3511"/>
        <v>04-08-2020 12:28:31</v>
      </c>
      <c r="B8589" t="str">
        <f>"0000802230"</f>
        <v>0000802230</v>
      </c>
      <c r="C8589" t="str">
        <f t="shared" si="3512"/>
        <v>0000802195</v>
      </c>
      <c r="D8589" t="str">
        <f t="shared" si="3500"/>
        <v>73185</v>
      </c>
      <c r="E8589" t="str">
        <f t="shared" si="3501"/>
        <v>KFH-OPERATIONS DEPARTMENT</v>
      </c>
      <c r="F8589" t="str">
        <f t="shared" si="3502"/>
        <v>IBG</v>
      </c>
      <c r="G8589" t="str">
        <f t="shared" si="3515"/>
        <v>Refund COSHARE 10</v>
      </c>
      <c r="H8589" s="2">
        <v>1267.6500000000001</v>
      </c>
      <c r="I8589" t="str">
        <f>"AZREEN BINTI MD ARIFFEN"</f>
        <v>AZREEN BINTI MD ARIFFEN</v>
      </c>
      <c r="J8589" t="str">
        <f t="shared" si="3491"/>
        <v>BANK ISLAM BHD</v>
      </c>
      <c r="K8589" t="str">
        <f>"12113020110837"</f>
        <v>12113020110837</v>
      </c>
      <c r="L8589" t="str">
        <f t="shared" si="3513"/>
        <v>04-08-2020</v>
      </c>
      <c r="M8589" t="str">
        <f t="shared" si="3513"/>
        <v>04-08-2020</v>
      </c>
      <c r="N8589" t="str">
        <f t="shared" si="3503"/>
        <v>001105018356</v>
      </c>
      <c r="O8589" t="str">
        <f t="shared" si="3504"/>
        <v>MYR</v>
      </c>
      <c r="P8589" t="str">
        <f t="shared" si="3514"/>
        <v>NIL</v>
      </c>
      <c r="Q8589" t="str">
        <f t="shared" si="3514"/>
        <v>NIL</v>
      </c>
      <c r="R8589" t="str">
        <f t="shared" si="3492"/>
        <v>Accepted</v>
      </c>
      <c r="S8589" t="str">
        <f t="shared" si="3505"/>
        <v>Approved</v>
      </c>
      <c r="T8589" t="str">
        <f t="shared" si="3493"/>
        <v>10.20.8.188</v>
      </c>
      <c r="U8589" t="str">
        <f t="shared" si="3506"/>
        <v>AZRAD UMAR BIN SHAARI</v>
      </c>
      <c r="V8589" t="str">
        <f t="shared" si="3507"/>
        <v>FARHANA BINTI MUSTAPA</v>
      </c>
      <c r="W8589" t="str">
        <f t="shared" si="3508"/>
        <v>04-08-2020</v>
      </c>
      <c r="X8589" t="str">
        <f t="shared" si="3509"/>
        <v>RAZIMAH ANSAR AHMAD</v>
      </c>
      <c r="Y8589" t="str">
        <f t="shared" si="3510"/>
        <v>04-08-2020</v>
      </c>
      <c r="Z8589" t="str">
        <f>"COS10200804 235"</f>
        <v>COS10200804 235</v>
      </c>
    </row>
    <row r="8590" spans="1:26" x14ac:dyDescent="0.25">
      <c r="A8590" t="str">
        <f t="shared" si="3511"/>
        <v>04-08-2020 12:28:31</v>
      </c>
      <c r="B8590" t="str">
        <f>"0000802229"</f>
        <v>0000802229</v>
      </c>
      <c r="C8590" t="str">
        <f t="shared" si="3512"/>
        <v>0000802195</v>
      </c>
      <c r="D8590" t="str">
        <f t="shared" si="3500"/>
        <v>73185</v>
      </c>
      <c r="E8590" t="str">
        <f t="shared" si="3501"/>
        <v>KFH-OPERATIONS DEPARTMENT</v>
      </c>
      <c r="F8590" t="str">
        <f t="shared" si="3502"/>
        <v>IBG</v>
      </c>
      <c r="G8590" t="str">
        <f t="shared" si="3515"/>
        <v>Refund COSHARE 10</v>
      </c>
      <c r="H8590" s="2">
        <v>1380</v>
      </c>
      <c r="I8590" t="str">
        <f>"AZMI BIN MOHD NOR  HITAM"</f>
        <v>AZMI BIN MOHD NOR  HITAM</v>
      </c>
      <c r="J8590" t="str">
        <f t="shared" si="3491"/>
        <v>BANK ISLAM BHD</v>
      </c>
      <c r="K8590" t="str">
        <f>"12038025184173"</f>
        <v>12038025184173</v>
      </c>
      <c r="L8590" t="str">
        <f t="shared" si="3513"/>
        <v>04-08-2020</v>
      </c>
      <c r="M8590" t="str">
        <f t="shared" si="3513"/>
        <v>04-08-2020</v>
      </c>
      <c r="N8590" t="str">
        <f t="shared" si="3503"/>
        <v>001105018356</v>
      </c>
      <c r="O8590" t="str">
        <f t="shared" si="3504"/>
        <v>MYR</v>
      </c>
      <c r="P8590" t="str">
        <f t="shared" si="3514"/>
        <v>NIL</v>
      </c>
      <c r="Q8590" t="str">
        <f t="shared" si="3514"/>
        <v>NIL</v>
      </c>
      <c r="R8590" t="str">
        <f t="shared" si="3492"/>
        <v>Accepted</v>
      </c>
      <c r="S8590" t="str">
        <f t="shared" si="3505"/>
        <v>Approved</v>
      </c>
      <c r="T8590" t="str">
        <f t="shared" si="3493"/>
        <v>10.20.8.188</v>
      </c>
      <c r="U8590" t="str">
        <f t="shared" si="3506"/>
        <v>AZRAD UMAR BIN SHAARI</v>
      </c>
      <c r="V8590" t="str">
        <f t="shared" si="3507"/>
        <v>FARHANA BINTI MUSTAPA</v>
      </c>
      <c r="W8590" t="str">
        <f t="shared" si="3508"/>
        <v>04-08-2020</v>
      </c>
      <c r="X8590" t="str">
        <f t="shared" si="3509"/>
        <v>RAZIMAH ANSAR AHMAD</v>
      </c>
      <c r="Y8590" t="str">
        <f t="shared" si="3510"/>
        <v>04-08-2020</v>
      </c>
      <c r="Z8590" t="str">
        <f>"COS10200804 234"</f>
        <v>COS10200804 234</v>
      </c>
    </row>
    <row r="8591" spans="1:26" x14ac:dyDescent="0.25">
      <c r="A8591" t="str">
        <f t="shared" si="3511"/>
        <v>04-08-2020 12:28:31</v>
      </c>
      <c r="B8591" t="str">
        <f>"0000802228"</f>
        <v>0000802228</v>
      </c>
      <c r="C8591" t="str">
        <f t="shared" si="3512"/>
        <v>0000802195</v>
      </c>
      <c r="D8591" t="str">
        <f t="shared" si="3500"/>
        <v>73185</v>
      </c>
      <c r="E8591" t="str">
        <f t="shared" si="3501"/>
        <v>KFH-OPERATIONS DEPARTMENT</v>
      </c>
      <c r="F8591" t="str">
        <f t="shared" si="3502"/>
        <v>IBG</v>
      </c>
      <c r="G8591" t="str">
        <f t="shared" si="3515"/>
        <v>Refund COSHARE 10</v>
      </c>
      <c r="H8591" s="2">
        <v>1025.8</v>
      </c>
      <c r="I8591" t="str">
        <f>"AZMAN BIN MAT GHANI"</f>
        <v>AZMAN BIN MAT GHANI</v>
      </c>
      <c r="J8591" t="str">
        <f t="shared" si="3491"/>
        <v>BANK ISLAM BHD</v>
      </c>
      <c r="K8591" t="str">
        <f>"12122024868151"</f>
        <v>12122024868151</v>
      </c>
      <c r="L8591" t="str">
        <f t="shared" si="3513"/>
        <v>04-08-2020</v>
      </c>
      <c r="M8591" t="str">
        <f t="shared" si="3513"/>
        <v>04-08-2020</v>
      </c>
      <c r="N8591" t="str">
        <f t="shared" si="3503"/>
        <v>001105018356</v>
      </c>
      <c r="O8591" t="str">
        <f t="shared" si="3504"/>
        <v>MYR</v>
      </c>
      <c r="P8591" t="str">
        <f t="shared" si="3514"/>
        <v>NIL</v>
      </c>
      <c r="Q8591" t="str">
        <f t="shared" si="3514"/>
        <v>NIL</v>
      </c>
      <c r="R8591" t="str">
        <f t="shared" si="3492"/>
        <v>Accepted</v>
      </c>
      <c r="S8591" t="str">
        <f t="shared" si="3505"/>
        <v>Approved</v>
      </c>
      <c r="T8591" t="str">
        <f t="shared" si="3493"/>
        <v>10.20.8.188</v>
      </c>
      <c r="U8591" t="str">
        <f t="shared" si="3506"/>
        <v>AZRAD UMAR BIN SHAARI</v>
      </c>
      <c r="V8591" t="str">
        <f t="shared" si="3507"/>
        <v>FARHANA BINTI MUSTAPA</v>
      </c>
      <c r="W8591" t="str">
        <f t="shared" si="3508"/>
        <v>04-08-2020</v>
      </c>
      <c r="X8591" t="str">
        <f t="shared" si="3509"/>
        <v>RAZIMAH ANSAR AHMAD</v>
      </c>
      <c r="Y8591" t="str">
        <f t="shared" si="3510"/>
        <v>04-08-2020</v>
      </c>
      <c r="Z8591" t="str">
        <f>"COS10200804 233"</f>
        <v>COS10200804 233</v>
      </c>
    </row>
    <row r="8592" spans="1:26" x14ac:dyDescent="0.25">
      <c r="A8592" t="str">
        <f t="shared" si="3511"/>
        <v>04-08-2020 12:28:31</v>
      </c>
      <c r="B8592" t="str">
        <f>"0000802227"</f>
        <v>0000802227</v>
      </c>
      <c r="C8592" t="str">
        <f t="shared" si="3512"/>
        <v>0000802195</v>
      </c>
      <c r="D8592" t="str">
        <f t="shared" si="3500"/>
        <v>73185</v>
      </c>
      <c r="E8592" t="str">
        <f t="shared" si="3501"/>
        <v>KFH-OPERATIONS DEPARTMENT</v>
      </c>
      <c r="F8592" t="str">
        <f t="shared" si="3502"/>
        <v>IBG</v>
      </c>
      <c r="G8592" t="str">
        <f t="shared" si="3515"/>
        <v>Refund COSHARE 10</v>
      </c>
      <c r="H8592" s="2">
        <v>1143.75</v>
      </c>
      <c r="I8592" t="str">
        <f>"AZIZAN BIN AHMAD"</f>
        <v>AZIZAN BIN AHMAD</v>
      </c>
      <c r="J8592" t="str">
        <f t="shared" si="3491"/>
        <v>BANK ISLAM BHD</v>
      </c>
      <c r="K8592" t="str">
        <f>"02048020080060"</f>
        <v>02048020080060</v>
      </c>
      <c r="L8592" t="str">
        <f t="shared" si="3513"/>
        <v>04-08-2020</v>
      </c>
      <c r="M8592" t="str">
        <f t="shared" si="3513"/>
        <v>04-08-2020</v>
      </c>
      <c r="N8592" t="str">
        <f t="shared" si="3503"/>
        <v>001105018356</v>
      </c>
      <c r="O8592" t="str">
        <f t="shared" si="3504"/>
        <v>MYR</v>
      </c>
      <c r="P8592" t="str">
        <f t="shared" si="3514"/>
        <v>NIL</v>
      </c>
      <c r="Q8592" t="str">
        <f t="shared" si="3514"/>
        <v>NIL</v>
      </c>
      <c r="R8592" t="str">
        <f t="shared" si="3492"/>
        <v>Accepted</v>
      </c>
      <c r="S8592" t="str">
        <f t="shared" si="3505"/>
        <v>Approved</v>
      </c>
      <c r="T8592" t="str">
        <f t="shared" si="3493"/>
        <v>10.20.8.188</v>
      </c>
      <c r="U8592" t="str">
        <f t="shared" si="3506"/>
        <v>AZRAD UMAR BIN SHAARI</v>
      </c>
      <c r="V8592" t="str">
        <f t="shared" si="3507"/>
        <v>FARHANA BINTI MUSTAPA</v>
      </c>
      <c r="W8592" t="str">
        <f t="shared" si="3508"/>
        <v>04-08-2020</v>
      </c>
      <c r="X8592" t="str">
        <f t="shared" si="3509"/>
        <v>RAZIMAH ANSAR AHMAD</v>
      </c>
      <c r="Y8592" t="str">
        <f t="shared" si="3510"/>
        <v>04-08-2020</v>
      </c>
      <c r="Z8592" t="str">
        <f>"COS10200804 232"</f>
        <v>COS10200804 232</v>
      </c>
    </row>
    <row r="8593" spans="1:26" x14ac:dyDescent="0.25">
      <c r="A8593" t="str">
        <f t="shared" si="3511"/>
        <v>04-08-2020 12:28:31</v>
      </c>
      <c r="B8593" t="str">
        <f>"0000802226"</f>
        <v>0000802226</v>
      </c>
      <c r="C8593" t="str">
        <f t="shared" si="3512"/>
        <v>0000802195</v>
      </c>
      <c r="D8593" t="str">
        <f t="shared" si="3500"/>
        <v>73185</v>
      </c>
      <c r="E8593" t="str">
        <f t="shared" si="3501"/>
        <v>KFH-OPERATIONS DEPARTMENT</v>
      </c>
      <c r="F8593" t="str">
        <f t="shared" si="3502"/>
        <v>IBG</v>
      </c>
      <c r="G8593" t="str">
        <f t="shared" si="3515"/>
        <v>Refund COSHARE 10</v>
      </c>
      <c r="H8593" s="2">
        <v>638</v>
      </c>
      <c r="I8593" t="str">
        <f>"AZIZAH BINTI MAMAT"</f>
        <v>AZIZAH BINTI MAMAT</v>
      </c>
      <c r="J8593" t="str">
        <f t="shared" si="3491"/>
        <v>BANK ISLAM BHD</v>
      </c>
      <c r="K8593" t="str">
        <f>"13017020710801"</f>
        <v>13017020710801</v>
      </c>
      <c r="L8593" t="str">
        <f t="shared" si="3513"/>
        <v>04-08-2020</v>
      </c>
      <c r="M8593" t="str">
        <f t="shared" si="3513"/>
        <v>04-08-2020</v>
      </c>
      <c r="N8593" t="str">
        <f t="shared" si="3503"/>
        <v>001105018356</v>
      </c>
      <c r="O8593" t="str">
        <f t="shared" si="3504"/>
        <v>MYR</v>
      </c>
      <c r="P8593" t="str">
        <f t="shared" si="3514"/>
        <v>NIL</v>
      </c>
      <c r="Q8593" t="str">
        <f t="shared" si="3514"/>
        <v>NIL</v>
      </c>
      <c r="R8593" t="str">
        <f t="shared" si="3492"/>
        <v>Accepted</v>
      </c>
      <c r="S8593" t="str">
        <f t="shared" si="3505"/>
        <v>Approved</v>
      </c>
      <c r="T8593" t="str">
        <f t="shared" si="3493"/>
        <v>10.20.8.188</v>
      </c>
      <c r="U8593" t="str">
        <f t="shared" si="3506"/>
        <v>AZRAD UMAR BIN SHAARI</v>
      </c>
      <c r="V8593" t="str">
        <f t="shared" si="3507"/>
        <v>FARHANA BINTI MUSTAPA</v>
      </c>
      <c r="W8593" t="str">
        <f t="shared" si="3508"/>
        <v>04-08-2020</v>
      </c>
      <c r="X8593" t="str">
        <f t="shared" si="3509"/>
        <v>RAZIMAH ANSAR AHMAD</v>
      </c>
      <c r="Y8593" t="str">
        <f t="shared" si="3510"/>
        <v>04-08-2020</v>
      </c>
      <c r="Z8593" t="str">
        <f>"COS10200804 231"</f>
        <v>COS10200804 231</v>
      </c>
    </row>
    <row r="8594" spans="1:26" x14ac:dyDescent="0.25">
      <c r="A8594" t="str">
        <f t="shared" si="3511"/>
        <v>04-08-2020 12:28:31</v>
      </c>
      <c r="B8594" t="str">
        <f>"0000802225"</f>
        <v>0000802225</v>
      </c>
      <c r="C8594" t="str">
        <f t="shared" si="3512"/>
        <v>0000802195</v>
      </c>
      <c r="D8594" t="str">
        <f t="shared" si="3500"/>
        <v>73185</v>
      </c>
      <c r="E8594" t="str">
        <f t="shared" si="3501"/>
        <v>KFH-OPERATIONS DEPARTMENT</v>
      </c>
      <c r="F8594" t="str">
        <f t="shared" si="3502"/>
        <v>IBG</v>
      </c>
      <c r="G8594" t="str">
        <f t="shared" si="3515"/>
        <v>Refund COSHARE 10</v>
      </c>
      <c r="H8594" s="2">
        <v>849</v>
      </c>
      <c r="I8594" t="str">
        <f>"AZIZAH BINTI ISMAIL"</f>
        <v>AZIZAH BINTI ISMAIL</v>
      </c>
      <c r="J8594" t="str">
        <f t="shared" si="3491"/>
        <v>BANK ISLAM BHD</v>
      </c>
      <c r="K8594" t="str">
        <f>"01014020338331"</f>
        <v>01014020338331</v>
      </c>
      <c r="L8594" t="str">
        <f t="shared" si="3513"/>
        <v>04-08-2020</v>
      </c>
      <c r="M8594" t="str">
        <f t="shared" si="3513"/>
        <v>04-08-2020</v>
      </c>
      <c r="N8594" t="str">
        <f t="shared" si="3503"/>
        <v>001105018356</v>
      </c>
      <c r="O8594" t="str">
        <f t="shared" si="3504"/>
        <v>MYR</v>
      </c>
      <c r="P8594" t="str">
        <f t="shared" si="3514"/>
        <v>NIL</v>
      </c>
      <c r="Q8594" t="str">
        <f t="shared" si="3514"/>
        <v>NIL</v>
      </c>
      <c r="R8594" t="str">
        <f t="shared" si="3492"/>
        <v>Accepted</v>
      </c>
      <c r="S8594" t="str">
        <f t="shared" si="3505"/>
        <v>Approved</v>
      </c>
      <c r="T8594" t="str">
        <f t="shared" si="3493"/>
        <v>10.20.8.188</v>
      </c>
      <c r="U8594" t="str">
        <f t="shared" si="3506"/>
        <v>AZRAD UMAR BIN SHAARI</v>
      </c>
      <c r="V8594" t="str">
        <f t="shared" si="3507"/>
        <v>FARHANA BINTI MUSTAPA</v>
      </c>
      <c r="W8594" t="str">
        <f t="shared" si="3508"/>
        <v>04-08-2020</v>
      </c>
      <c r="X8594" t="str">
        <f t="shared" si="3509"/>
        <v>RAZIMAH ANSAR AHMAD</v>
      </c>
      <c r="Y8594" t="str">
        <f t="shared" si="3510"/>
        <v>04-08-2020</v>
      </c>
      <c r="Z8594" t="str">
        <f>"COS10200804 230"</f>
        <v>COS10200804 230</v>
      </c>
    </row>
    <row r="8595" spans="1:26" x14ac:dyDescent="0.25">
      <c r="A8595" t="str">
        <f t="shared" si="3511"/>
        <v>04-08-2020 12:28:31</v>
      </c>
      <c r="B8595" t="str">
        <f>"0000802224"</f>
        <v>0000802224</v>
      </c>
      <c r="C8595" t="str">
        <f t="shared" si="3512"/>
        <v>0000802195</v>
      </c>
      <c r="D8595" t="str">
        <f t="shared" si="3500"/>
        <v>73185</v>
      </c>
      <c r="E8595" t="str">
        <f t="shared" si="3501"/>
        <v>KFH-OPERATIONS DEPARTMENT</v>
      </c>
      <c r="F8595" t="str">
        <f t="shared" si="3502"/>
        <v>IBG</v>
      </c>
      <c r="G8595" t="str">
        <f t="shared" si="3515"/>
        <v>Refund COSHARE 10</v>
      </c>
      <c r="H8595" s="2">
        <v>196.5</v>
      </c>
      <c r="I8595" t="str">
        <f>"AZITA BINTI MOHD RAZALI"</f>
        <v>AZITA BINTI MOHD RAZALI</v>
      </c>
      <c r="J8595" t="str">
        <f t="shared" si="3491"/>
        <v>BANK ISLAM BHD</v>
      </c>
      <c r="K8595" t="str">
        <f>"02066023426916"</f>
        <v>02066023426916</v>
      </c>
      <c r="L8595" t="str">
        <f t="shared" si="3513"/>
        <v>04-08-2020</v>
      </c>
      <c r="M8595" t="str">
        <f t="shared" si="3513"/>
        <v>04-08-2020</v>
      </c>
      <c r="N8595" t="str">
        <f t="shared" si="3503"/>
        <v>001105018356</v>
      </c>
      <c r="O8595" t="str">
        <f t="shared" si="3504"/>
        <v>MYR</v>
      </c>
      <c r="P8595" t="str">
        <f t="shared" si="3514"/>
        <v>NIL</v>
      </c>
      <c r="Q8595" t="str">
        <f t="shared" si="3514"/>
        <v>NIL</v>
      </c>
      <c r="R8595" t="str">
        <f t="shared" si="3492"/>
        <v>Accepted</v>
      </c>
      <c r="S8595" t="str">
        <f t="shared" si="3505"/>
        <v>Approved</v>
      </c>
      <c r="T8595" t="str">
        <f t="shared" si="3493"/>
        <v>10.20.8.188</v>
      </c>
      <c r="U8595" t="str">
        <f t="shared" si="3506"/>
        <v>AZRAD UMAR BIN SHAARI</v>
      </c>
      <c r="V8595" t="str">
        <f t="shared" si="3507"/>
        <v>FARHANA BINTI MUSTAPA</v>
      </c>
      <c r="W8595" t="str">
        <f t="shared" si="3508"/>
        <v>04-08-2020</v>
      </c>
      <c r="X8595" t="str">
        <f t="shared" si="3509"/>
        <v>RAZIMAH ANSAR AHMAD</v>
      </c>
      <c r="Y8595" t="str">
        <f t="shared" si="3510"/>
        <v>04-08-2020</v>
      </c>
      <c r="Z8595" t="str">
        <f>"COS10200804 229"</f>
        <v>COS10200804 229</v>
      </c>
    </row>
    <row r="8596" spans="1:26" x14ac:dyDescent="0.25">
      <c r="A8596" t="str">
        <f t="shared" si="3511"/>
        <v>04-08-2020 12:28:31</v>
      </c>
      <c r="B8596" t="str">
        <f>"0000802223"</f>
        <v>0000802223</v>
      </c>
      <c r="C8596" t="str">
        <f t="shared" si="3512"/>
        <v>0000802195</v>
      </c>
      <c r="D8596" t="str">
        <f t="shared" si="3500"/>
        <v>73185</v>
      </c>
      <c r="E8596" t="str">
        <f t="shared" si="3501"/>
        <v>KFH-OPERATIONS DEPARTMENT</v>
      </c>
      <c r="F8596" t="str">
        <f t="shared" si="3502"/>
        <v>IBG</v>
      </c>
      <c r="G8596" t="str">
        <f t="shared" si="3515"/>
        <v>Refund COSHARE 10</v>
      </c>
      <c r="H8596" s="2">
        <v>1259.25</v>
      </c>
      <c r="I8596" t="str">
        <f>"AZIDAH BINTI ABD AZIZ"</f>
        <v>AZIDAH BINTI ABD AZIZ</v>
      </c>
      <c r="J8596" t="str">
        <f t="shared" si="3491"/>
        <v>BANK ISLAM BHD</v>
      </c>
      <c r="K8596" t="str">
        <f>"08068020107950"</f>
        <v>08068020107950</v>
      </c>
      <c r="L8596" t="str">
        <f t="shared" si="3513"/>
        <v>04-08-2020</v>
      </c>
      <c r="M8596" t="str">
        <f t="shared" si="3513"/>
        <v>04-08-2020</v>
      </c>
      <c r="N8596" t="str">
        <f t="shared" si="3503"/>
        <v>001105018356</v>
      </c>
      <c r="O8596" t="str">
        <f t="shared" si="3504"/>
        <v>MYR</v>
      </c>
      <c r="P8596" t="str">
        <f t="shared" si="3514"/>
        <v>NIL</v>
      </c>
      <c r="Q8596" t="str">
        <f t="shared" si="3514"/>
        <v>NIL</v>
      </c>
      <c r="R8596" t="str">
        <f t="shared" si="3492"/>
        <v>Accepted</v>
      </c>
      <c r="S8596" t="str">
        <f t="shared" si="3505"/>
        <v>Approved</v>
      </c>
      <c r="T8596" t="str">
        <f t="shared" si="3493"/>
        <v>10.20.8.188</v>
      </c>
      <c r="U8596" t="str">
        <f t="shared" si="3506"/>
        <v>AZRAD UMAR BIN SHAARI</v>
      </c>
      <c r="V8596" t="str">
        <f t="shared" si="3507"/>
        <v>FARHANA BINTI MUSTAPA</v>
      </c>
      <c r="W8596" t="str">
        <f t="shared" si="3508"/>
        <v>04-08-2020</v>
      </c>
      <c r="X8596" t="str">
        <f t="shared" si="3509"/>
        <v>RAZIMAH ANSAR AHMAD</v>
      </c>
      <c r="Y8596" t="str">
        <f t="shared" si="3510"/>
        <v>04-08-2020</v>
      </c>
      <c r="Z8596" t="str">
        <f>"COS10200804 228"</f>
        <v>COS10200804 228</v>
      </c>
    </row>
    <row r="8597" spans="1:26" x14ac:dyDescent="0.25">
      <c r="A8597" t="str">
        <f t="shared" si="3511"/>
        <v>04-08-2020 12:28:31</v>
      </c>
      <c r="B8597" t="str">
        <f>"0000802222"</f>
        <v>0000802222</v>
      </c>
      <c r="C8597" t="str">
        <f t="shared" si="3512"/>
        <v>0000802195</v>
      </c>
      <c r="D8597" t="str">
        <f t="shared" si="3500"/>
        <v>73185</v>
      </c>
      <c r="E8597" t="str">
        <f t="shared" si="3501"/>
        <v>KFH-OPERATIONS DEPARTMENT</v>
      </c>
      <c r="F8597" t="str">
        <f t="shared" si="3502"/>
        <v>IBG</v>
      </c>
      <c r="G8597" t="str">
        <f t="shared" si="3515"/>
        <v>Refund COSHARE 10</v>
      </c>
      <c r="H8597" s="2">
        <v>136</v>
      </c>
      <c r="I8597" t="str">
        <f>"AZIAN BIN ALI"</f>
        <v>AZIAN BIN ALI</v>
      </c>
      <c r="J8597" t="str">
        <f t="shared" si="3491"/>
        <v>BANK ISLAM BHD</v>
      </c>
      <c r="K8597" t="str">
        <f>"06019020540204"</f>
        <v>06019020540204</v>
      </c>
      <c r="L8597" t="str">
        <f t="shared" si="3513"/>
        <v>04-08-2020</v>
      </c>
      <c r="M8597" t="str">
        <f t="shared" si="3513"/>
        <v>04-08-2020</v>
      </c>
      <c r="N8597" t="str">
        <f t="shared" si="3503"/>
        <v>001105018356</v>
      </c>
      <c r="O8597" t="str">
        <f t="shared" si="3504"/>
        <v>MYR</v>
      </c>
      <c r="P8597" t="str">
        <f t="shared" si="3514"/>
        <v>NIL</v>
      </c>
      <c r="Q8597" t="str">
        <f t="shared" si="3514"/>
        <v>NIL</v>
      </c>
      <c r="R8597" t="str">
        <f t="shared" si="3492"/>
        <v>Accepted</v>
      </c>
      <c r="S8597" t="str">
        <f t="shared" si="3505"/>
        <v>Approved</v>
      </c>
      <c r="T8597" t="str">
        <f t="shared" si="3493"/>
        <v>10.20.8.188</v>
      </c>
      <c r="U8597" t="str">
        <f t="shared" si="3506"/>
        <v>AZRAD UMAR BIN SHAARI</v>
      </c>
      <c r="V8597" t="str">
        <f t="shared" si="3507"/>
        <v>FARHANA BINTI MUSTAPA</v>
      </c>
      <c r="W8597" t="str">
        <f t="shared" si="3508"/>
        <v>04-08-2020</v>
      </c>
      <c r="X8597" t="str">
        <f t="shared" si="3509"/>
        <v>RAZIMAH ANSAR AHMAD</v>
      </c>
      <c r="Y8597" t="str">
        <f t="shared" si="3510"/>
        <v>04-08-2020</v>
      </c>
      <c r="Z8597" t="str">
        <f>"COS10200804 227"</f>
        <v>COS10200804 227</v>
      </c>
    </row>
    <row r="8598" spans="1:26" x14ac:dyDescent="0.25">
      <c r="A8598" t="str">
        <f t="shared" si="3511"/>
        <v>04-08-2020 12:28:31</v>
      </c>
      <c r="B8598" t="str">
        <f>"0000802221"</f>
        <v>0000802221</v>
      </c>
      <c r="C8598" t="str">
        <f t="shared" si="3512"/>
        <v>0000802195</v>
      </c>
      <c r="D8598" t="str">
        <f t="shared" si="3500"/>
        <v>73185</v>
      </c>
      <c r="E8598" t="str">
        <f t="shared" si="3501"/>
        <v>KFH-OPERATIONS DEPARTMENT</v>
      </c>
      <c r="F8598" t="str">
        <f t="shared" si="3502"/>
        <v>IBG</v>
      </c>
      <c r="G8598" t="str">
        <f t="shared" si="3515"/>
        <v>Refund COSHARE 10</v>
      </c>
      <c r="H8598" s="2">
        <v>1035.8499999999999</v>
      </c>
      <c r="I8598" t="str">
        <f>"AZHAR BIN JALAL"</f>
        <v>AZHAR BIN JALAL</v>
      </c>
      <c r="J8598" t="str">
        <f t="shared" si="3491"/>
        <v>BANK ISLAM BHD</v>
      </c>
      <c r="K8598" t="str">
        <f>"05049020277786"</f>
        <v>05049020277786</v>
      </c>
      <c r="L8598" t="str">
        <f t="shared" si="3513"/>
        <v>04-08-2020</v>
      </c>
      <c r="M8598" t="str">
        <f t="shared" si="3513"/>
        <v>04-08-2020</v>
      </c>
      <c r="N8598" t="str">
        <f t="shared" si="3503"/>
        <v>001105018356</v>
      </c>
      <c r="O8598" t="str">
        <f t="shared" si="3504"/>
        <v>MYR</v>
      </c>
      <c r="P8598" t="str">
        <f t="shared" si="3514"/>
        <v>NIL</v>
      </c>
      <c r="Q8598" t="str">
        <f t="shared" si="3514"/>
        <v>NIL</v>
      </c>
      <c r="R8598" t="str">
        <f t="shared" si="3492"/>
        <v>Accepted</v>
      </c>
      <c r="S8598" t="str">
        <f t="shared" si="3505"/>
        <v>Approved</v>
      </c>
      <c r="T8598" t="str">
        <f t="shared" si="3493"/>
        <v>10.20.8.188</v>
      </c>
      <c r="U8598" t="str">
        <f t="shared" si="3506"/>
        <v>AZRAD UMAR BIN SHAARI</v>
      </c>
      <c r="V8598" t="str">
        <f t="shared" si="3507"/>
        <v>FARHANA BINTI MUSTAPA</v>
      </c>
      <c r="W8598" t="str">
        <f t="shared" si="3508"/>
        <v>04-08-2020</v>
      </c>
      <c r="X8598" t="str">
        <f t="shared" si="3509"/>
        <v>RAZIMAH ANSAR AHMAD</v>
      </c>
      <c r="Y8598" t="str">
        <f t="shared" si="3510"/>
        <v>04-08-2020</v>
      </c>
      <c r="Z8598" t="str">
        <f>"COS10200804 226"</f>
        <v>COS10200804 226</v>
      </c>
    </row>
    <row r="8599" spans="1:26" x14ac:dyDescent="0.25">
      <c r="A8599" t="str">
        <f t="shared" si="3511"/>
        <v>04-08-2020 12:28:31</v>
      </c>
      <c r="B8599" t="str">
        <f>"0000802220"</f>
        <v>0000802220</v>
      </c>
      <c r="C8599" t="str">
        <f t="shared" si="3512"/>
        <v>0000802195</v>
      </c>
      <c r="D8599" t="str">
        <f t="shared" si="3500"/>
        <v>73185</v>
      </c>
      <c r="E8599" t="str">
        <f t="shared" si="3501"/>
        <v>KFH-OPERATIONS DEPARTMENT</v>
      </c>
      <c r="F8599" t="str">
        <f t="shared" si="3502"/>
        <v>IBG</v>
      </c>
      <c r="G8599" t="str">
        <f t="shared" si="3515"/>
        <v>Refund COSHARE 10</v>
      </c>
      <c r="H8599" s="2">
        <v>258.60000000000002</v>
      </c>
      <c r="I8599" t="str">
        <f>"AZHAR BIN ABDUL AZIZ"</f>
        <v>AZHAR BIN ABDUL AZIZ</v>
      </c>
      <c r="J8599" t="str">
        <f t="shared" si="3491"/>
        <v>BANK ISLAM BHD</v>
      </c>
      <c r="K8599" t="str">
        <f>"02011020456005"</f>
        <v>02011020456005</v>
      </c>
      <c r="L8599" t="str">
        <f t="shared" si="3513"/>
        <v>04-08-2020</v>
      </c>
      <c r="M8599" t="str">
        <f t="shared" si="3513"/>
        <v>04-08-2020</v>
      </c>
      <c r="N8599" t="str">
        <f t="shared" si="3503"/>
        <v>001105018356</v>
      </c>
      <c r="O8599" t="str">
        <f t="shared" si="3504"/>
        <v>MYR</v>
      </c>
      <c r="P8599" t="str">
        <f t="shared" si="3514"/>
        <v>NIL</v>
      </c>
      <c r="Q8599" t="str">
        <f t="shared" si="3514"/>
        <v>NIL</v>
      </c>
      <c r="R8599" t="str">
        <f t="shared" si="3492"/>
        <v>Accepted</v>
      </c>
      <c r="S8599" t="str">
        <f t="shared" si="3505"/>
        <v>Approved</v>
      </c>
      <c r="T8599" t="str">
        <f t="shared" si="3493"/>
        <v>10.20.8.188</v>
      </c>
      <c r="U8599" t="str">
        <f t="shared" si="3506"/>
        <v>AZRAD UMAR BIN SHAARI</v>
      </c>
      <c r="V8599" t="str">
        <f t="shared" si="3507"/>
        <v>FARHANA BINTI MUSTAPA</v>
      </c>
      <c r="W8599" t="str">
        <f t="shared" si="3508"/>
        <v>04-08-2020</v>
      </c>
      <c r="X8599" t="str">
        <f t="shared" si="3509"/>
        <v>RAZIMAH ANSAR AHMAD</v>
      </c>
      <c r="Y8599" t="str">
        <f t="shared" si="3510"/>
        <v>04-08-2020</v>
      </c>
      <c r="Z8599" t="str">
        <f>"COS10200804 225"</f>
        <v>COS10200804 225</v>
      </c>
    </row>
    <row r="8600" spans="1:26" x14ac:dyDescent="0.25">
      <c r="A8600" t="str">
        <f t="shared" si="3511"/>
        <v>04-08-2020 12:28:31</v>
      </c>
      <c r="B8600" t="str">
        <f>"0000802219"</f>
        <v>0000802219</v>
      </c>
      <c r="C8600" t="str">
        <f t="shared" si="3512"/>
        <v>0000802195</v>
      </c>
      <c r="D8600" t="str">
        <f t="shared" si="3500"/>
        <v>73185</v>
      </c>
      <c r="E8600" t="str">
        <f t="shared" si="3501"/>
        <v>KFH-OPERATIONS DEPARTMENT</v>
      </c>
      <c r="F8600" t="str">
        <f t="shared" si="3502"/>
        <v>IBG</v>
      </c>
      <c r="G8600" t="str">
        <f t="shared" si="3515"/>
        <v>Refund COSHARE 10</v>
      </c>
      <c r="H8600" s="2">
        <v>1007.4</v>
      </c>
      <c r="I8600" t="str">
        <f>"AZEAN BINTI HELMEH"</f>
        <v>AZEAN BINTI HELMEH</v>
      </c>
      <c r="J8600" t="str">
        <f t="shared" si="3491"/>
        <v>BANK ISLAM BHD</v>
      </c>
      <c r="K8600" t="str">
        <f>"12122020097096"</f>
        <v>12122020097096</v>
      </c>
      <c r="L8600" t="str">
        <f t="shared" si="3513"/>
        <v>04-08-2020</v>
      </c>
      <c r="M8600" t="str">
        <f t="shared" si="3513"/>
        <v>04-08-2020</v>
      </c>
      <c r="N8600" t="str">
        <f t="shared" si="3503"/>
        <v>001105018356</v>
      </c>
      <c r="O8600" t="str">
        <f t="shared" si="3504"/>
        <v>MYR</v>
      </c>
      <c r="P8600" t="str">
        <f t="shared" si="3514"/>
        <v>NIL</v>
      </c>
      <c r="Q8600" t="str">
        <f t="shared" si="3514"/>
        <v>NIL</v>
      </c>
      <c r="R8600" t="str">
        <f t="shared" si="3492"/>
        <v>Accepted</v>
      </c>
      <c r="S8600" t="str">
        <f t="shared" si="3505"/>
        <v>Approved</v>
      </c>
      <c r="T8600" t="str">
        <f t="shared" si="3493"/>
        <v>10.20.8.188</v>
      </c>
      <c r="U8600" t="str">
        <f t="shared" si="3506"/>
        <v>AZRAD UMAR BIN SHAARI</v>
      </c>
      <c r="V8600" t="str">
        <f t="shared" si="3507"/>
        <v>FARHANA BINTI MUSTAPA</v>
      </c>
      <c r="W8600" t="str">
        <f t="shared" si="3508"/>
        <v>04-08-2020</v>
      </c>
      <c r="X8600" t="str">
        <f t="shared" si="3509"/>
        <v>RAZIMAH ANSAR AHMAD</v>
      </c>
      <c r="Y8600" t="str">
        <f t="shared" si="3510"/>
        <v>04-08-2020</v>
      </c>
      <c r="Z8600" t="str">
        <f>"COS10200804 224"</f>
        <v>COS10200804 224</v>
      </c>
    </row>
    <row r="8601" spans="1:26" x14ac:dyDescent="0.25">
      <c r="A8601" t="str">
        <f t="shared" si="3511"/>
        <v>04-08-2020 12:28:31</v>
      </c>
      <c r="B8601" t="str">
        <f>"0000802218"</f>
        <v>0000802218</v>
      </c>
      <c r="C8601" t="str">
        <f t="shared" si="3512"/>
        <v>0000802195</v>
      </c>
      <c r="D8601" t="str">
        <f t="shared" si="3500"/>
        <v>73185</v>
      </c>
      <c r="E8601" t="str">
        <f t="shared" si="3501"/>
        <v>KFH-OPERATIONS DEPARTMENT</v>
      </c>
      <c r="F8601" t="str">
        <f t="shared" si="3502"/>
        <v>IBG</v>
      </c>
      <c r="G8601" t="str">
        <f t="shared" si="3515"/>
        <v>Refund COSHARE 10</v>
      </c>
      <c r="H8601" s="2">
        <v>389</v>
      </c>
      <c r="I8601" t="str">
        <f>"AZAMAN BIN ABDUL RAHMAN"</f>
        <v>AZAMAN BIN ABDUL RAHMAN</v>
      </c>
      <c r="J8601" t="str">
        <f t="shared" si="3491"/>
        <v>BANK ISLAM BHD</v>
      </c>
      <c r="K8601" t="str">
        <f>"02057022509401"</f>
        <v>02057022509401</v>
      </c>
      <c r="L8601" t="str">
        <f t="shared" si="3513"/>
        <v>04-08-2020</v>
      </c>
      <c r="M8601" t="str">
        <f t="shared" si="3513"/>
        <v>04-08-2020</v>
      </c>
      <c r="N8601" t="str">
        <f t="shared" si="3503"/>
        <v>001105018356</v>
      </c>
      <c r="O8601" t="str">
        <f t="shared" si="3504"/>
        <v>MYR</v>
      </c>
      <c r="P8601" t="str">
        <f t="shared" si="3514"/>
        <v>NIL</v>
      </c>
      <c r="Q8601" t="str">
        <f t="shared" si="3514"/>
        <v>NIL</v>
      </c>
      <c r="R8601" t="str">
        <f t="shared" si="3492"/>
        <v>Accepted</v>
      </c>
      <c r="S8601" t="str">
        <f t="shared" si="3505"/>
        <v>Approved</v>
      </c>
      <c r="T8601" t="str">
        <f t="shared" si="3493"/>
        <v>10.20.8.188</v>
      </c>
      <c r="U8601" t="str">
        <f t="shared" si="3506"/>
        <v>AZRAD UMAR BIN SHAARI</v>
      </c>
      <c r="V8601" t="str">
        <f t="shared" si="3507"/>
        <v>FARHANA BINTI MUSTAPA</v>
      </c>
      <c r="W8601" t="str">
        <f t="shared" si="3508"/>
        <v>04-08-2020</v>
      </c>
      <c r="X8601" t="str">
        <f t="shared" si="3509"/>
        <v>RAZIMAH ANSAR AHMAD</v>
      </c>
      <c r="Y8601" t="str">
        <f t="shared" si="3510"/>
        <v>04-08-2020</v>
      </c>
      <c r="Z8601" t="str">
        <f>"COS10200804 223"</f>
        <v>COS10200804 223</v>
      </c>
    </row>
    <row r="8602" spans="1:26" x14ac:dyDescent="0.25">
      <c r="A8602" t="str">
        <f t="shared" si="3511"/>
        <v>04-08-2020 12:28:31</v>
      </c>
      <c r="B8602" t="str">
        <f>"0000802217"</f>
        <v>0000802217</v>
      </c>
      <c r="C8602" t="str">
        <f t="shared" si="3512"/>
        <v>0000802195</v>
      </c>
      <c r="D8602" t="str">
        <f t="shared" si="3500"/>
        <v>73185</v>
      </c>
      <c r="E8602" t="str">
        <f t="shared" si="3501"/>
        <v>KFH-OPERATIONS DEPARTMENT</v>
      </c>
      <c r="F8602" t="str">
        <f t="shared" si="3502"/>
        <v>IBG</v>
      </c>
      <c r="G8602" t="str">
        <f t="shared" si="3515"/>
        <v>Refund COSHARE 10</v>
      </c>
      <c r="H8602" s="2">
        <v>573.04999999999995</v>
      </c>
      <c r="I8602" t="str">
        <f>"AZAHAR BIN CHE DERAMAN"</f>
        <v>AZAHAR BIN CHE DERAMAN</v>
      </c>
      <c r="J8602" t="str">
        <f t="shared" si="3491"/>
        <v>BANK ISLAM BHD</v>
      </c>
      <c r="K8602" t="str">
        <f>"03111020313792"</f>
        <v>03111020313792</v>
      </c>
      <c r="L8602" t="str">
        <f t="shared" si="3513"/>
        <v>04-08-2020</v>
      </c>
      <c r="M8602" t="str">
        <f t="shared" si="3513"/>
        <v>04-08-2020</v>
      </c>
      <c r="N8602" t="str">
        <f t="shared" si="3503"/>
        <v>001105018356</v>
      </c>
      <c r="O8602" t="str">
        <f t="shared" si="3504"/>
        <v>MYR</v>
      </c>
      <c r="P8602" t="str">
        <f t="shared" si="3514"/>
        <v>NIL</v>
      </c>
      <c r="Q8602" t="str">
        <f t="shared" si="3514"/>
        <v>NIL</v>
      </c>
      <c r="R8602" t="str">
        <f t="shared" si="3492"/>
        <v>Accepted</v>
      </c>
      <c r="S8602" t="str">
        <f t="shared" si="3505"/>
        <v>Approved</v>
      </c>
      <c r="T8602" t="str">
        <f t="shared" si="3493"/>
        <v>10.20.8.188</v>
      </c>
      <c r="U8602" t="str">
        <f t="shared" si="3506"/>
        <v>AZRAD UMAR BIN SHAARI</v>
      </c>
      <c r="V8602" t="str">
        <f t="shared" si="3507"/>
        <v>FARHANA BINTI MUSTAPA</v>
      </c>
      <c r="W8602" t="str">
        <f t="shared" si="3508"/>
        <v>04-08-2020</v>
      </c>
      <c r="X8602" t="str">
        <f t="shared" si="3509"/>
        <v>RAZIMAH ANSAR AHMAD</v>
      </c>
      <c r="Y8602" t="str">
        <f t="shared" si="3510"/>
        <v>04-08-2020</v>
      </c>
      <c r="Z8602" t="str">
        <f>"COS10200804 222"</f>
        <v>COS10200804 222</v>
      </c>
    </row>
    <row r="8603" spans="1:26" x14ac:dyDescent="0.25">
      <c r="A8603" t="str">
        <f t="shared" si="3511"/>
        <v>04-08-2020 12:28:31</v>
      </c>
      <c r="B8603" t="str">
        <f>"0000802216"</f>
        <v>0000802216</v>
      </c>
      <c r="C8603" t="str">
        <f t="shared" si="3512"/>
        <v>0000802195</v>
      </c>
      <c r="D8603" t="str">
        <f t="shared" si="3500"/>
        <v>73185</v>
      </c>
      <c r="E8603" t="str">
        <f t="shared" si="3501"/>
        <v>KFH-OPERATIONS DEPARTMENT</v>
      </c>
      <c r="F8603" t="str">
        <f t="shared" si="3502"/>
        <v>IBG</v>
      </c>
      <c r="G8603" t="str">
        <f t="shared" si="3515"/>
        <v>Refund COSHARE 10</v>
      </c>
      <c r="H8603" s="2">
        <v>83.95</v>
      </c>
      <c r="I8603" t="str">
        <f>"ASMIZAL BIN AHMAD"</f>
        <v>ASMIZAL BIN AHMAD</v>
      </c>
      <c r="J8603" t="str">
        <f t="shared" si="3491"/>
        <v>BANK ISLAM BHD</v>
      </c>
      <c r="K8603" t="str">
        <f>"08068020347000"</f>
        <v>08068020347000</v>
      </c>
      <c r="L8603" t="str">
        <f t="shared" si="3513"/>
        <v>04-08-2020</v>
      </c>
      <c r="M8603" t="str">
        <f t="shared" si="3513"/>
        <v>04-08-2020</v>
      </c>
      <c r="N8603" t="str">
        <f t="shared" si="3503"/>
        <v>001105018356</v>
      </c>
      <c r="O8603" t="str">
        <f t="shared" si="3504"/>
        <v>MYR</v>
      </c>
      <c r="P8603" t="str">
        <f t="shared" si="3514"/>
        <v>NIL</v>
      </c>
      <c r="Q8603" t="str">
        <f t="shared" si="3514"/>
        <v>NIL</v>
      </c>
      <c r="R8603" t="str">
        <f t="shared" si="3492"/>
        <v>Accepted</v>
      </c>
      <c r="S8603" t="str">
        <f t="shared" si="3505"/>
        <v>Approved</v>
      </c>
      <c r="T8603" t="str">
        <f t="shared" si="3493"/>
        <v>10.20.8.188</v>
      </c>
      <c r="U8603" t="str">
        <f t="shared" si="3506"/>
        <v>AZRAD UMAR BIN SHAARI</v>
      </c>
      <c r="V8603" t="str">
        <f t="shared" si="3507"/>
        <v>FARHANA BINTI MUSTAPA</v>
      </c>
      <c r="W8603" t="str">
        <f t="shared" si="3508"/>
        <v>04-08-2020</v>
      </c>
      <c r="X8603" t="str">
        <f t="shared" si="3509"/>
        <v>RAZIMAH ANSAR AHMAD</v>
      </c>
      <c r="Y8603" t="str">
        <f t="shared" si="3510"/>
        <v>04-08-2020</v>
      </c>
      <c r="Z8603" t="str">
        <f>"COS10200804 221"</f>
        <v>COS10200804 221</v>
      </c>
    </row>
    <row r="8604" spans="1:26" x14ac:dyDescent="0.25">
      <c r="A8604" t="str">
        <f t="shared" si="3511"/>
        <v>04-08-2020 12:28:31</v>
      </c>
      <c r="B8604" t="str">
        <f>"0000802215"</f>
        <v>0000802215</v>
      </c>
      <c r="C8604" t="str">
        <f t="shared" si="3512"/>
        <v>0000802195</v>
      </c>
      <c r="D8604" t="str">
        <f t="shared" si="3500"/>
        <v>73185</v>
      </c>
      <c r="E8604" t="str">
        <f t="shared" si="3501"/>
        <v>KFH-OPERATIONS DEPARTMENT</v>
      </c>
      <c r="F8604" t="str">
        <f t="shared" si="3502"/>
        <v>IBG</v>
      </c>
      <c r="G8604" t="str">
        <f t="shared" si="3515"/>
        <v>Refund COSHARE 10</v>
      </c>
      <c r="H8604" s="2">
        <v>1402</v>
      </c>
      <c r="I8604" t="str">
        <f>"ASMAWATI BINTI MOHD"</f>
        <v>ASMAWATI BINTI MOHD</v>
      </c>
      <c r="J8604" t="str">
        <f t="shared" si="3491"/>
        <v>BANK ISLAM BHD</v>
      </c>
      <c r="K8604" t="str">
        <f>"13026027769615"</f>
        <v>13026027769615</v>
      </c>
      <c r="L8604" t="str">
        <f t="shared" si="3513"/>
        <v>04-08-2020</v>
      </c>
      <c r="M8604" t="str">
        <f t="shared" si="3513"/>
        <v>04-08-2020</v>
      </c>
      <c r="N8604" t="str">
        <f t="shared" si="3503"/>
        <v>001105018356</v>
      </c>
      <c r="O8604" t="str">
        <f t="shared" si="3504"/>
        <v>MYR</v>
      </c>
      <c r="P8604" t="str">
        <f t="shared" si="3514"/>
        <v>NIL</v>
      </c>
      <c r="Q8604" t="str">
        <f t="shared" si="3514"/>
        <v>NIL</v>
      </c>
      <c r="R8604" t="str">
        <f t="shared" si="3492"/>
        <v>Accepted</v>
      </c>
      <c r="S8604" t="str">
        <f t="shared" si="3505"/>
        <v>Approved</v>
      </c>
      <c r="T8604" t="str">
        <f t="shared" si="3493"/>
        <v>10.20.8.188</v>
      </c>
      <c r="U8604" t="str">
        <f t="shared" si="3506"/>
        <v>AZRAD UMAR BIN SHAARI</v>
      </c>
      <c r="V8604" t="str">
        <f t="shared" si="3507"/>
        <v>FARHANA BINTI MUSTAPA</v>
      </c>
      <c r="W8604" t="str">
        <f t="shared" si="3508"/>
        <v>04-08-2020</v>
      </c>
      <c r="X8604" t="str">
        <f t="shared" si="3509"/>
        <v>RAZIMAH ANSAR AHMAD</v>
      </c>
      <c r="Y8604" t="str">
        <f t="shared" si="3510"/>
        <v>04-08-2020</v>
      </c>
      <c r="Z8604" t="str">
        <f>"COS10200804 220"</f>
        <v>COS10200804 220</v>
      </c>
    </row>
    <row r="8605" spans="1:26" x14ac:dyDescent="0.25">
      <c r="A8605" t="str">
        <f t="shared" si="3511"/>
        <v>04-08-2020 12:28:31</v>
      </c>
      <c r="B8605" t="str">
        <f>"0000802214"</f>
        <v>0000802214</v>
      </c>
      <c r="C8605" t="str">
        <f t="shared" si="3512"/>
        <v>0000802195</v>
      </c>
      <c r="D8605" t="str">
        <f t="shared" si="3500"/>
        <v>73185</v>
      </c>
      <c r="E8605" t="str">
        <f t="shared" si="3501"/>
        <v>KFH-OPERATIONS DEPARTMENT</v>
      </c>
      <c r="F8605" t="str">
        <f t="shared" si="3502"/>
        <v>IBG</v>
      </c>
      <c r="G8605" t="str">
        <f t="shared" si="3515"/>
        <v>Refund COSHARE 10</v>
      </c>
      <c r="H8605" s="2">
        <v>503.7</v>
      </c>
      <c r="I8605" t="str">
        <f>"ASLIZA BINTI MOHD NASIR"</f>
        <v>ASLIZA BINTI MOHD NASIR</v>
      </c>
      <c r="J8605" t="str">
        <f t="shared" si="3491"/>
        <v>BANK ISLAM BHD</v>
      </c>
      <c r="K8605" t="str">
        <f>"03018020540040"</f>
        <v>03018020540040</v>
      </c>
      <c r="L8605" t="str">
        <f t="shared" si="3513"/>
        <v>04-08-2020</v>
      </c>
      <c r="M8605" t="str">
        <f t="shared" si="3513"/>
        <v>04-08-2020</v>
      </c>
      <c r="N8605" t="str">
        <f t="shared" si="3503"/>
        <v>001105018356</v>
      </c>
      <c r="O8605" t="str">
        <f t="shared" si="3504"/>
        <v>MYR</v>
      </c>
      <c r="P8605" t="str">
        <f t="shared" si="3514"/>
        <v>NIL</v>
      </c>
      <c r="Q8605" t="str">
        <f t="shared" si="3514"/>
        <v>NIL</v>
      </c>
      <c r="R8605" t="str">
        <f t="shared" si="3492"/>
        <v>Accepted</v>
      </c>
      <c r="S8605" t="str">
        <f t="shared" si="3505"/>
        <v>Approved</v>
      </c>
      <c r="T8605" t="str">
        <f t="shared" si="3493"/>
        <v>10.20.8.188</v>
      </c>
      <c r="U8605" t="str">
        <f t="shared" si="3506"/>
        <v>AZRAD UMAR BIN SHAARI</v>
      </c>
      <c r="V8605" t="str">
        <f t="shared" si="3507"/>
        <v>FARHANA BINTI MUSTAPA</v>
      </c>
      <c r="W8605" t="str">
        <f t="shared" si="3508"/>
        <v>04-08-2020</v>
      </c>
      <c r="X8605" t="str">
        <f t="shared" si="3509"/>
        <v>RAZIMAH ANSAR AHMAD</v>
      </c>
      <c r="Y8605" t="str">
        <f t="shared" si="3510"/>
        <v>04-08-2020</v>
      </c>
      <c r="Z8605" t="str">
        <f>"COS10200804 219"</f>
        <v>COS10200804 219</v>
      </c>
    </row>
    <row r="8606" spans="1:26" x14ac:dyDescent="0.25">
      <c r="A8606" t="str">
        <f t="shared" si="3511"/>
        <v>04-08-2020 12:28:31</v>
      </c>
      <c r="B8606" t="str">
        <f>"0000802213"</f>
        <v>0000802213</v>
      </c>
      <c r="C8606" t="str">
        <f t="shared" si="3512"/>
        <v>0000802195</v>
      </c>
      <c r="D8606" t="str">
        <f t="shared" si="3500"/>
        <v>73185</v>
      </c>
      <c r="E8606" t="str">
        <f t="shared" si="3501"/>
        <v>KFH-OPERATIONS DEPARTMENT</v>
      </c>
      <c r="F8606" t="str">
        <f t="shared" si="3502"/>
        <v>IBG</v>
      </c>
      <c r="G8606" t="str">
        <f t="shared" si="3515"/>
        <v>Refund COSHARE 10</v>
      </c>
      <c r="H8606" s="2">
        <v>193.1</v>
      </c>
      <c r="I8606" t="str">
        <f>"ASLINDA BINTI SAEMAN"</f>
        <v>ASLINDA BINTI SAEMAN</v>
      </c>
      <c r="J8606" t="str">
        <f t="shared" si="3491"/>
        <v>BANK ISLAM BHD</v>
      </c>
      <c r="K8606" t="str">
        <f>"06046020028924"</f>
        <v>06046020028924</v>
      </c>
      <c r="L8606" t="str">
        <f t="shared" si="3513"/>
        <v>04-08-2020</v>
      </c>
      <c r="M8606" t="str">
        <f t="shared" si="3513"/>
        <v>04-08-2020</v>
      </c>
      <c r="N8606" t="str">
        <f t="shared" si="3503"/>
        <v>001105018356</v>
      </c>
      <c r="O8606" t="str">
        <f t="shared" si="3504"/>
        <v>MYR</v>
      </c>
      <c r="P8606" t="str">
        <f t="shared" si="3514"/>
        <v>NIL</v>
      </c>
      <c r="Q8606" t="str">
        <f t="shared" si="3514"/>
        <v>NIL</v>
      </c>
      <c r="R8606" t="str">
        <f t="shared" si="3492"/>
        <v>Accepted</v>
      </c>
      <c r="S8606" t="str">
        <f t="shared" si="3505"/>
        <v>Approved</v>
      </c>
      <c r="T8606" t="str">
        <f t="shared" si="3493"/>
        <v>10.20.8.188</v>
      </c>
      <c r="U8606" t="str">
        <f t="shared" si="3506"/>
        <v>AZRAD UMAR BIN SHAARI</v>
      </c>
      <c r="V8606" t="str">
        <f t="shared" si="3507"/>
        <v>FARHANA BINTI MUSTAPA</v>
      </c>
      <c r="W8606" t="str">
        <f t="shared" si="3508"/>
        <v>04-08-2020</v>
      </c>
      <c r="X8606" t="str">
        <f t="shared" si="3509"/>
        <v>RAZIMAH ANSAR AHMAD</v>
      </c>
      <c r="Y8606" t="str">
        <f t="shared" si="3510"/>
        <v>04-08-2020</v>
      </c>
      <c r="Z8606" t="str">
        <f>"COS10200804 218"</f>
        <v>COS10200804 218</v>
      </c>
    </row>
    <row r="8607" spans="1:26" x14ac:dyDescent="0.25">
      <c r="A8607" t="str">
        <f t="shared" si="3511"/>
        <v>04-08-2020 12:28:31</v>
      </c>
      <c r="B8607" t="str">
        <f>"0000802212"</f>
        <v>0000802212</v>
      </c>
      <c r="C8607" t="str">
        <f t="shared" si="3512"/>
        <v>0000802195</v>
      </c>
      <c r="D8607" t="str">
        <f t="shared" si="3500"/>
        <v>73185</v>
      </c>
      <c r="E8607" t="str">
        <f t="shared" si="3501"/>
        <v>KFH-OPERATIONS DEPARTMENT</v>
      </c>
      <c r="F8607" t="str">
        <f t="shared" si="3502"/>
        <v>IBG</v>
      </c>
      <c r="G8607" t="str">
        <f t="shared" si="3515"/>
        <v>Refund COSHARE 10</v>
      </c>
      <c r="H8607" s="2">
        <v>456.85</v>
      </c>
      <c r="I8607" t="str">
        <f>"ASLINAH BINTI DENIN"</f>
        <v>ASLINAH BINTI DENIN</v>
      </c>
      <c r="J8607" t="str">
        <f t="shared" si="3491"/>
        <v>BANK ISLAM BHD</v>
      </c>
      <c r="K8607" t="str">
        <f>"12074020095390"</f>
        <v>12074020095390</v>
      </c>
      <c r="L8607" t="str">
        <f t="shared" ref="L8607:M8626" si="3516">"04-08-2020"</f>
        <v>04-08-2020</v>
      </c>
      <c r="M8607" t="str">
        <f t="shared" si="3516"/>
        <v>04-08-2020</v>
      </c>
      <c r="N8607" t="str">
        <f t="shared" si="3503"/>
        <v>001105018356</v>
      </c>
      <c r="O8607" t="str">
        <f t="shared" si="3504"/>
        <v>MYR</v>
      </c>
      <c r="P8607" t="str">
        <f t="shared" ref="P8607:Q8626" si="3517">"NIL"</f>
        <v>NIL</v>
      </c>
      <c r="Q8607" t="str">
        <f t="shared" si="3517"/>
        <v>NIL</v>
      </c>
      <c r="R8607" t="str">
        <f t="shared" si="3492"/>
        <v>Accepted</v>
      </c>
      <c r="S8607" t="str">
        <f t="shared" si="3505"/>
        <v>Approved</v>
      </c>
      <c r="T8607" t="str">
        <f t="shared" si="3493"/>
        <v>10.20.8.188</v>
      </c>
      <c r="U8607" t="str">
        <f t="shared" si="3506"/>
        <v>AZRAD UMAR BIN SHAARI</v>
      </c>
      <c r="V8607" t="str">
        <f t="shared" si="3507"/>
        <v>FARHANA BINTI MUSTAPA</v>
      </c>
      <c r="W8607" t="str">
        <f t="shared" si="3508"/>
        <v>04-08-2020</v>
      </c>
      <c r="X8607" t="str">
        <f t="shared" si="3509"/>
        <v>RAZIMAH ANSAR AHMAD</v>
      </c>
      <c r="Y8607" t="str">
        <f t="shared" si="3510"/>
        <v>04-08-2020</v>
      </c>
      <c r="Z8607" t="str">
        <f>"COS10200804 217"</f>
        <v>COS10200804 217</v>
      </c>
    </row>
    <row r="8608" spans="1:26" x14ac:dyDescent="0.25">
      <c r="A8608" t="str">
        <f t="shared" si="3511"/>
        <v>04-08-2020 12:28:31</v>
      </c>
      <c r="B8608" t="str">
        <f>"0000802211"</f>
        <v>0000802211</v>
      </c>
      <c r="C8608" t="str">
        <f t="shared" si="3512"/>
        <v>0000802195</v>
      </c>
      <c r="D8608" t="str">
        <f t="shared" si="3500"/>
        <v>73185</v>
      </c>
      <c r="E8608" t="str">
        <f t="shared" si="3501"/>
        <v>KFH-OPERATIONS DEPARTMENT</v>
      </c>
      <c r="F8608" t="str">
        <f t="shared" si="3502"/>
        <v>IBG</v>
      </c>
      <c r="G8608" t="str">
        <f t="shared" si="3515"/>
        <v>Refund COSHARE 10</v>
      </c>
      <c r="H8608" s="2">
        <v>1311</v>
      </c>
      <c r="I8608" t="str">
        <f>"ASLINA BINTI OTHMAN"</f>
        <v>ASLINA BINTI OTHMAN</v>
      </c>
      <c r="J8608" t="str">
        <f t="shared" si="3491"/>
        <v>BANK ISLAM BHD</v>
      </c>
      <c r="K8608" t="str">
        <f>"12122020096897"</f>
        <v>12122020096897</v>
      </c>
      <c r="L8608" t="str">
        <f t="shared" si="3516"/>
        <v>04-08-2020</v>
      </c>
      <c r="M8608" t="str">
        <f t="shared" si="3516"/>
        <v>04-08-2020</v>
      </c>
      <c r="N8608" t="str">
        <f t="shared" si="3503"/>
        <v>001105018356</v>
      </c>
      <c r="O8608" t="str">
        <f t="shared" si="3504"/>
        <v>MYR</v>
      </c>
      <c r="P8608" t="str">
        <f t="shared" si="3517"/>
        <v>NIL</v>
      </c>
      <c r="Q8608" t="str">
        <f t="shared" si="3517"/>
        <v>NIL</v>
      </c>
      <c r="R8608" t="str">
        <f t="shared" si="3492"/>
        <v>Accepted</v>
      </c>
      <c r="S8608" t="str">
        <f t="shared" si="3505"/>
        <v>Approved</v>
      </c>
      <c r="T8608" t="str">
        <f t="shared" si="3493"/>
        <v>10.20.8.188</v>
      </c>
      <c r="U8608" t="str">
        <f t="shared" si="3506"/>
        <v>AZRAD UMAR BIN SHAARI</v>
      </c>
      <c r="V8608" t="str">
        <f t="shared" si="3507"/>
        <v>FARHANA BINTI MUSTAPA</v>
      </c>
      <c r="W8608" t="str">
        <f t="shared" si="3508"/>
        <v>04-08-2020</v>
      </c>
      <c r="X8608" t="str">
        <f t="shared" si="3509"/>
        <v>RAZIMAH ANSAR AHMAD</v>
      </c>
      <c r="Y8608" t="str">
        <f t="shared" si="3510"/>
        <v>04-08-2020</v>
      </c>
      <c r="Z8608" t="str">
        <f>"COS10200804 216"</f>
        <v>COS10200804 216</v>
      </c>
    </row>
    <row r="8609" spans="1:26" x14ac:dyDescent="0.25">
      <c r="A8609" t="str">
        <f t="shared" si="3511"/>
        <v>04-08-2020 12:28:31</v>
      </c>
      <c r="B8609" t="str">
        <f>"0000802210"</f>
        <v>0000802210</v>
      </c>
      <c r="C8609" t="str">
        <f t="shared" si="3512"/>
        <v>0000802195</v>
      </c>
      <c r="D8609" t="str">
        <f t="shared" si="3500"/>
        <v>73185</v>
      </c>
      <c r="E8609" t="str">
        <f t="shared" si="3501"/>
        <v>KFH-OPERATIONS DEPARTMENT</v>
      </c>
      <c r="F8609" t="str">
        <f t="shared" si="3502"/>
        <v>IBG</v>
      </c>
      <c r="G8609" t="str">
        <f t="shared" si="3515"/>
        <v>Refund COSHARE 10</v>
      </c>
      <c r="H8609" s="2">
        <v>75.599999999999994</v>
      </c>
      <c r="I8609" t="str">
        <f>"ARON BIN JENNIS"</f>
        <v>ARON BIN JENNIS</v>
      </c>
      <c r="J8609" t="str">
        <f t="shared" si="3491"/>
        <v>BANK ISLAM BHD</v>
      </c>
      <c r="K8609" t="str">
        <f>"11022020085281"</f>
        <v>11022020085281</v>
      </c>
      <c r="L8609" t="str">
        <f t="shared" si="3516"/>
        <v>04-08-2020</v>
      </c>
      <c r="M8609" t="str">
        <f t="shared" si="3516"/>
        <v>04-08-2020</v>
      </c>
      <c r="N8609" t="str">
        <f t="shared" si="3503"/>
        <v>001105018356</v>
      </c>
      <c r="O8609" t="str">
        <f t="shared" si="3504"/>
        <v>MYR</v>
      </c>
      <c r="P8609" t="str">
        <f t="shared" si="3517"/>
        <v>NIL</v>
      </c>
      <c r="Q8609" t="str">
        <f t="shared" si="3517"/>
        <v>NIL</v>
      </c>
      <c r="R8609" t="str">
        <f t="shared" si="3492"/>
        <v>Accepted</v>
      </c>
      <c r="S8609" t="str">
        <f t="shared" si="3505"/>
        <v>Approved</v>
      </c>
      <c r="T8609" t="str">
        <f t="shared" si="3493"/>
        <v>10.20.8.188</v>
      </c>
      <c r="U8609" t="str">
        <f t="shared" si="3506"/>
        <v>AZRAD UMAR BIN SHAARI</v>
      </c>
      <c r="V8609" t="str">
        <f t="shared" si="3507"/>
        <v>FARHANA BINTI MUSTAPA</v>
      </c>
      <c r="W8609" t="str">
        <f t="shared" si="3508"/>
        <v>04-08-2020</v>
      </c>
      <c r="X8609" t="str">
        <f t="shared" si="3509"/>
        <v>RAZIMAH ANSAR AHMAD</v>
      </c>
      <c r="Y8609" t="str">
        <f t="shared" si="3510"/>
        <v>04-08-2020</v>
      </c>
      <c r="Z8609" t="str">
        <f>"COS10200804 215"</f>
        <v>COS10200804 215</v>
      </c>
    </row>
    <row r="8610" spans="1:26" x14ac:dyDescent="0.25">
      <c r="A8610" t="str">
        <f t="shared" si="3511"/>
        <v>04-08-2020 12:28:31</v>
      </c>
      <c r="B8610" t="str">
        <f>"0000802209"</f>
        <v>0000802209</v>
      </c>
      <c r="C8610" t="str">
        <f t="shared" si="3512"/>
        <v>0000802195</v>
      </c>
      <c r="D8610" t="str">
        <f t="shared" si="3500"/>
        <v>73185</v>
      </c>
      <c r="E8610" t="str">
        <f t="shared" si="3501"/>
        <v>KFH-OPERATIONS DEPARTMENT</v>
      </c>
      <c r="F8610" t="str">
        <f t="shared" si="3502"/>
        <v>IBG</v>
      </c>
      <c r="G8610" t="str">
        <f t="shared" si="3515"/>
        <v>Refund COSHARE 10</v>
      </c>
      <c r="H8610" s="2">
        <v>1934</v>
      </c>
      <c r="I8610" t="str">
        <f>"APIDAH BINTI ZAKARIA  DAUD"</f>
        <v>APIDAH BINTI ZAKARIA  DAUD</v>
      </c>
      <c r="J8610" t="str">
        <f t="shared" ref="J8610:J8652" si="3518">"BANK ISLAM BHD"</f>
        <v>BANK ISLAM BHD</v>
      </c>
      <c r="K8610" t="str">
        <f>"06073020005599"</f>
        <v>06073020005599</v>
      </c>
      <c r="L8610" t="str">
        <f t="shared" si="3516"/>
        <v>04-08-2020</v>
      </c>
      <c r="M8610" t="str">
        <f t="shared" si="3516"/>
        <v>04-08-2020</v>
      </c>
      <c r="N8610" t="str">
        <f t="shared" si="3503"/>
        <v>001105018356</v>
      </c>
      <c r="O8610" t="str">
        <f t="shared" si="3504"/>
        <v>MYR</v>
      </c>
      <c r="P8610" t="str">
        <f t="shared" si="3517"/>
        <v>NIL</v>
      </c>
      <c r="Q8610" t="str">
        <f t="shared" si="3517"/>
        <v>NIL</v>
      </c>
      <c r="R8610" t="str">
        <f t="shared" ref="R8610:R8673" si="3519">"Accepted"</f>
        <v>Accepted</v>
      </c>
      <c r="S8610" t="str">
        <f t="shared" si="3505"/>
        <v>Approved</v>
      </c>
      <c r="T8610" t="str">
        <f t="shared" ref="T8610:T8673" si="3520">"10.20.8.188"</f>
        <v>10.20.8.188</v>
      </c>
      <c r="U8610" t="str">
        <f t="shared" si="3506"/>
        <v>AZRAD UMAR BIN SHAARI</v>
      </c>
      <c r="V8610" t="str">
        <f t="shared" si="3507"/>
        <v>FARHANA BINTI MUSTAPA</v>
      </c>
      <c r="W8610" t="str">
        <f t="shared" si="3508"/>
        <v>04-08-2020</v>
      </c>
      <c r="X8610" t="str">
        <f t="shared" si="3509"/>
        <v>RAZIMAH ANSAR AHMAD</v>
      </c>
      <c r="Y8610" t="str">
        <f t="shared" si="3510"/>
        <v>04-08-2020</v>
      </c>
      <c r="Z8610" t="str">
        <f>"COS10200804 214"</f>
        <v>COS10200804 214</v>
      </c>
    </row>
    <row r="8611" spans="1:26" x14ac:dyDescent="0.25">
      <c r="A8611" t="str">
        <f t="shared" si="3511"/>
        <v>04-08-2020 12:28:31</v>
      </c>
      <c r="B8611" t="str">
        <f>"0000802208"</f>
        <v>0000802208</v>
      </c>
      <c r="C8611" t="str">
        <f t="shared" si="3512"/>
        <v>0000802195</v>
      </c>
      <c r="D8611" t="str">
        <f t="shared" si="3500"/>
        <v>73185</v>
      </c>
      <c r="E8611" t="str">
        <f t="shared" si="3501"/>
        <v>KFH-OPERATIONS DEPARTMENT</v>
      </c>
      <c r="F8611" t="str">
        <f t="shared" si="3502"/>
        <v>IBG</v>
      </c>
      <c r="G8611" t="str">
        <f t="shared" si="3515"/>
        <v>Refund COSHARE 10</v>
      </c>
      <c r="H8611" s="2">
        <v>1934</v>
      </c>
      <c r="I8611" t="str">
        <f>"APIDAH BINTI ZAKARIA  DAUD"</f>
        <v>APIDAH BINTI ZAKARIA  DAUD</v>
      </c>
      <c r="J8611" t="str">
        <f t="shared" si="3518"/>
        <v>BANK ISLAM BHD</v>
      </c>
      <c r="K8611" t="str">
        <f>"06073020005599"</f>
        <v>06073020005599</v>
      </c>
      <c r="L8611" t="str">
        <f t="shared" si="3516"/>
        <v>04-08-2020</v>
      </c>
      <c r="M8611" t="str">
        <f t="shared" si="3516"/>
        <v>04-08-2020</v>
      </c>
      <c r="N8611" t="str">
        <f t="shared" si="3503"/>
        <v>001105018356</v>
      </c>
      <c r="O8611" t="str">
        <f t="shared" si="3504"/>
        <v>MYR</v>
      </c>
      <c r="P8611" t="str">
        <f t="shared" si="3517"/>
        <v>NIL</v>
      </c>
      <c r="Q8611" t="str">
        <f t="shared" si="3517"/>
        <v>NIL</v>
      </c>
      <c r="R8611" t="str">
        <f t="shared" si="3519"/>
        <v>Accepted</v>
      </c>
      <c r="S8611" t="str">
        <f t="shared" si="3505"/>
        <v>Approved</v>
      </c>
      <c r="T8611" t="str">
        <f t="shared" si="3520"/>
        <v>10.20.8.188</v>
      </c>
      <c r="U8611" t="str">
        <f t="shared" si="3506"/>
        <v>AZRAD UMAR BIN SHAARI</v>
      </c>
      <c r="V8611" t="str">
        <f t="shared" si="3507"/>
        <v>FARHANA BINTI MUSTAPA</v>
      </c>
      <c r="W8611" t="str">
        <f t="shared" si="3508"/>
        <v>04-08-2020</v>
      </c>
      <c r="X8611" t="str">
        <f t="shared" si="3509"/>
        <v>RAZIMAH ANSAR AHMAD</v>
      </c>
      <c r="Y8611" t="str">
        <f t="shared" si="3510"/>
        <v>04-08-2020</v>
      </c>
      <c r="Z8611" t="str">
        <f>"COS10200804 213"</f>
        <v>COS10200804 213</v>
      </c>
    </row>
    <row r="8612" spans="1:26" x14ac:dyDescent="0.25">
      <c r="A8612" t="str">
        <f t="shared" si="3511"/>
        <v>04-08-2020 12:28:31</v>
      </c>
      <c r="B8612" t="str">
        <f>"0000802207"</f>
        <v>0000802207</v>
      </c>
      <c r="C8612" t="str">
        <f t="shared" si="3512"/>
        <v>0000802195</v>
      </c>
      <c r="D8612" t="str">
        <f t="shared" si="3500"/>
        <v>73185</v>
      </c>
      <c r="E8612" t="str">
        <f t="shared" si="3501"/>
        <v>KFH-OPERATIONS DEPARTMENT</v>
      </c>
      <c r="F8612" t="str">
        <f t="shared" si="3502"/>
        <v>IBG</v>
      </c>
      <c r="G8612" t="str">
        <f t="shared" si="3515"/>
        <v>Refund COSHARE 10</v>
      </c>
      <c r="H8612" s="2">
        <v>42</v>
      </c>
      <c r="I8612" t="str">
        <f>"ANUAR BIN YUSOFF"</f>
        <v>ANUAR BIN YUSOFF</v>
      </c>
      <c r="J8612" t="str">
        <f t="shared" si="3518"/>
        <v>BANK ISLAM BHD</v>
      </c>
      <c r="K8612" t="str">
        <f>"03018020670027"</f>
        <v>03018020670027</v>
      </c>
      <c r="L8612" t="str">
        <f t="shared" si="3516"/>
        <v>04-08-2020</v>
      </c>
      <c r="M8612" t="str">
        <f t="shared" si="3516"/>
        <v>04-08-2020</v>
      </c>
      <c r="N8612" t="str">
        <f t="shared" si="3503"/>
        <v>001105018356</v>
      </c>
      <c r="O8612" t="str">
        <f t="shared" si="3504"/>
        <v>MYR</v>
      </c>
      <c r="P8612" t="str">
        <f t="shared" si="3517"/>
        <v>NIL</v>
      </c>
      <c r="Q8612" t="str">
        <f t="shared" si="3517"/>
        <v>NIL</v>
      </c>
      <c r="R8612" t="str">
        <f t="shared" si="3519"/>
        <v>Accepted</v>
      </c>
      <c r="S8612" t="str">
        <f t="shared" si="3505"/>
        <v>Approved</v>
      </c>
      <c r="T8612" t="str">
        <f t="shared" si="3520"/>
        <v>10.20.8.188</v>
      </c>
      <c r="U8612" t="str">
        <f t="shared" si="3506"/>
        <v>AZRAD UMAR BIN SHAARI</v>
      </c>
      <c r="V8612" t="str">
        <f t="shared" si="3507"/>
        <v>FARHANA BINTI MUSTAPA</v>
      </c>
      <c r="W8612" t="str">
        <f t="shared" si="3508"/>
        <v>04-08-2020</v>
      </c>
      <c r="X8612" t="str">
        <f t="shared" si="3509"/>
        <v>RAZIMAH ANSAR AHMAD</v>
      </c>
      <c r="Y8612" t="str">
        <f t="shared" si="3510"/>
        <v>04-08-2020</v>
      </c>
      <c r="Z8612" t="str">
        <f>"COS10200804 212"</f>
        <v>COS10200804 212</v>
      </c>
    </row>
    <row r="8613" spans="1:26" x14ac:dyDescent="0.25">
      <c r="A8613" t="str">
        <f t="shared" si="3511"/>
        <v>04-08-2020 12:28:31</v>
      </c>
      <c r="B8613" t="str">
        <f>"0000802206"</f>
        <v>0000802206</v>
      </c>
      <c r="C8613" t="str">
        <f t="shared" si="3512"/>
        <v>0000802195</v>
      </c>
      <c r="D8613" t="str">
        <f t="shared" si="3500"/>
        <v>73185</v>
      </c>
      <c r="E8613" t="str">
        <f t="shared" si="3501"/>
        <v>KFH-OPERATIONS DEPARTMENT</v>
      </c>
      <c r="F8613" t="str">
        <f t="shared" si="3502"/>
        <v>IBG</v>
      </c>
      <c r="G8613" t="str">
        <f t="shared" si="3515"/>
        <v>Refund COSHARE 10</v>
      </c>
      <c r="H8613" s="2">
        <v>585</v>
      </c>
      <c r="I8613" t="str">
        <f>"ANUAR BIN MOHD NOH"</f>
        <v>ANUAR BIN MOHD NOH</v>
      </c>
      <c r="J8613" t="str">
        <f t="shared" si="3518"/>
        <v>BANK ISLAM BHD</v>
      </c>
      <c r="K8613" t="str">
        <f>"10016020931832"</f>
        <v>10016020931832</v>
      </c>
      <c r="L8613" t="str">
        <f t="shared" si="3516"/>
        <v>04-08-2020</v>
      </c>
      <c r="M8613" t="str">
        <f t="shared" si="3516"/>
        <v>04-08-2020</v>
      </c>
      <c r="N8613" t="str">
        <f t="shared" si="3503"/>
        <v>001105018356</v>
      </c>
      <c r="O8613" t="str">
        <f t="shared" si="3504"/>
        <v>MYR</v>
      </c>
      <c r="P8613" t="str">
        <f t="shared" si="3517"/>
        <v>NIL</v>
      </c>
      <c r="Q8613" t="str">
        <f t="shared" si="3517"/>
        <v>NIL</v>
      </c>
      <c r="R8613" t="str">
        <f t="shared" si="3519"/>
        <v>Accepted</v>
      </c>
      <c r="S8613" t="str">
        <f t="shared" si="3505"/>
        <v>Approved</v>
      </c>
      <c r="T8613" t="str">
        <f t="shared" si="3520"/>
        <v>10.20.8.188</v>
      </c>
      <c r="U8613" t="str">
        <f t="shared" si="3506"/>
        <v>AZRAD UMAR BIN SHAARI</v>
      </c>
      <c r="V8613" t="str">
        <f t="shared" si="3507"/>
        <v>FARHANA BINTI MUSTAPA</v>
      </c>
      <c r="W8613" t="str">
        <f t="shared" si="3508"/>
        <v>04-08-2020</v>
      </c>
      <c r="X8613" t="str">
        <f t="shared" si="3509"/>
        <v>RAZIMAH ANSAR AHMAD</v>
      </c>
      <c r="Y8613" t="str">
        <f t="shared" si="3510"/>
        <v>04-08-2020</v>
      </c>
      <c r="Z8613" t="str">
        <f>"COS10200804 211"</f>
        <v>COS10200804 211</v>
      </c>
    </row>
    <row r="8614" spans="1:26" x14ac:dyDescent="0.25">
      <c r="A8614" t="str">
        <f t="shared" si="3511"/>
        <v>04-08-2020 12:28:31</v>
      </c>
      <c r="B8614" t="str">
        <f>"0000802205"</f>
        <v>0000802205</v>
      </c>
      <c r="C8614" t="str">
        <f t="shared" si="3512"/>
        <v>0000802195</v>
      </c>
      <c r="D8614" t="str">
        <f t="shared" si="3500"/>
        <v>73185</v>
      </c>
      <c r="E8614" t="str">
        <f t="shared" si="3501"/>
        <v>KFH-OPERATIONS DEPARTMENT</v>
      </c>
      <c r="F8614" t="str">
        <f t="shared" si="3502"/>
        <v>IBG</v>
      </c>
      <c r="G8614" t="str">
        <f t="shared" si="3515"/>
        <v>Refund COSHARE 10</v>
      </c>
      <c r="H8614" s="2">
        <v>1895.85</v>
      </c>
      <c r="I8614" t="str">
        <f>"ANUAR BIN AWANG"</f>
        <v>ANUAR BIN AWANG</v>
      </c>
      <c r="J8614" t="str">
        <f t="shared" si="3518"/>
        <v>BANK ISLAM BHD</v>
      </c>
      <c r="K8614" t="str">
        <f>"02020020610549"</f>
        <v>02020020610549</v>
      </c>
      <c r="L8614" t="str">
        <f t="shared" si="3516"/>
        <v>04-08-2020</v>
      </c>
      <c r="M8614" t="str">
        <f t="shared" si="3516"/>
        <v>04-08-2020</v>
      </c>
      <c r="N8614" t="str">
        <f t="shared" si="3503"/>
        <v>001105018356</v>
      </c>
      <c r="O8614" t="str">
        <f t="shared" si="3504"/>
        <v>MYR</v>
      </c>
      <c r="P8614" t="str">
        <f t="shared" si="3517"/>
        <v>NIL</v>
      </c>
      <c r="Q8614" t="str">
        <f t="shared" si="3517"/>
        <v>NIL</v>
      </c>
      <c r="R8614" t="str">
        <f t="shared" si="3519"/>
        <v>Accepted</v>
      </c>
      <c r="S8614" t="str">
        <f t="shared" si="3505"/>
        <v>Approved</v>
      </c>
      <c r="T8614" t="str">
        <f t="shared" si="3520"/>
        <v>10.20.8.188</v>
      </c>
      <c r="U8614" t="str">
        <f t="shared" si="3506"/>
        <v>AZRAD UMAR BIN SHAARI</v>
      </c>
      <c r="V8614" t="str">
        <f t="shared" si="3507"/>
        <v>FARHANA BINTI MUSTAPA</v>
      </c>
      <c r="W8614" t="str">
        <f t="shared" si="3508"/>
        <v>04-08-2020</v>
      </c>
      <c r="X8614" t="str">
        <f t="shared" si="3509"/>
        <v>RAZIMAH ANSAR AHMAD</v>
      </c>
      <c r="Y8614" t="str">
        <f t="shared" si="3510"/>
        <v>04-08-2020</v>
      </c>
      <c r="Z8614" t="str">
        <f>"COS10200804 210"</f>
        <v>COS10200804 210</v>
      </c>
    </row>
    <row r="8615" spans="1:26" x14ac:dyDescent="0.25">
      <c r="A8615" t="str">
        <f t="shared" si="3511"/>
        <v>04-08-2020 12:28:31</v>
      </c>
      <c r="B8615" t="str">
        <f>"0000802204"</f>
        <v>0000802204</v>
      </c>
      <c r="C8615" t="str">
        <f t="shared" si="3512"/>
        <v>0000802195</v>
      </c>
      <c r="D8615" t="str">
        <f t="shared" si="3500"/>
        <v>73185</v>
      </c>
      <c r="E8615" t="str">
        <f t="shared" si="3501"/>
        <v>KFH-OPERATIONS DEPARTMENT</v>
      </c>
      <c r="F8615" t="str">
        <f t="shared" si="3502"/>
        <v>IBG</v>
      </c>
      <c r="G8615" t="str">
        <f t="shared" si="3515"/>
        <v>Refund COSHARE 10</v>
      </c>
      <c r="H8615" s="2">
        <v>292.75</v>
      </c>
      <c r="I8615" t="str">
        <f>"ANIZA BINTI KAMIS"</f>
        <v>ANIZA BINTI KAMIS</v>
      </c>
      <c r="J8615" t="str">
        <f t="shared" si="3518"/>
        <v>BANK ISLAM BHD</v>
      </c>
      <c r="K8615" t="str">
        <f>"08040020741088"</f>
        <v>08040020741088</v>
      </c>
      <c r="L8615" t="str">
        <f t="shared" si="3516"/>
        <v>04-08-2020</v>
      </c>
      <c r="M8615" t="str">
        <f t="shared" si="3516"/>
        <v>04-08-2020</v>
      </c>
      <c r="N8615" t="str">
        <f t="shared" si="3503"/>
        <v>001105018356</v>
      </c>
      <c r="O8615" t="str">
        <f t="shared" si="3504"/>
        <v>MYR</v>
      </c>
      <c r="P8615" t="str">
        <f t="shared" si="3517"/>
        <v>NIL</v>
      </c>
      <c r="Q8615" t="str">
        <f t="shared" si="3517"/>
        <v>NIL</v>
      </c>
      <c r="R8615" t="str">
        <f t="shared" si="3519"/>
        <v>Accepted</v>
      </c>
      <c r="S8615" t="str">
        <f t="shared" si="3505"/>
        <v>Approved</v>
      </c>
      <c r="T8615" t="str">
        <f t="shared" si="3520"/>
        <v>10.20.8.188</v>
      </c>
      <c r="U8615" t="str">
        <f t="shared" si="3506"/>
        <v>AZRAD UMAR BIN SHAARI</v>
      </c>
      <c r="V8615" t="str">
        <f t="shared" si="3507"/>
        <v>FARHANA BINTI MUSTAPA</v>
      </c>
      <c r="W8615" t="str">
        <f t="shared" si="3508"/>
        <v>04-08-2020</v>
      </c>
      <c r="X8615" t="str">
        <f t="shared" si="3509"/>
        <v>RAZIMAH ANSAR AHMAD</v>
      </c>
      <c r="Y8615" t="str">
        <f t="shared" si="3510"/>
        <v>04-08-2020</v>
      </c>
      <c r="Z8615" t="str">
        <f>"COS10200804 209"</f>
        <v>COS10200804 209</v>
      </c>
    </row>
    <row r="8616" spans="1:26" x14ac:dyDescent="0.25">
      <c r="A8616" t="str">
        <f t="shared" ref="A8616:A8623" si="3521">"04-08-2020 12:28:31"</f>
        <v>04-08-2020 12:28:31</v>
      </c>
      <c r="B8616" t="str">
        <f>"0000802203"</f>
        <v>0000802203</v>
      </c>
      <c r="C8616" t="str">
        <f t="shared" ref="C8616:C8623" si="3522">"0000802195"</f>
        <v>0000802195</v>
      </c>
      <c r="D8616" t="str">
        <f t="shared" si="3500"/>
        <v>73185</v>
      </c>
      <c r="E8616" t="str">
        <f t="shared" si="3501"/>
        <v>KFH-OPERATIONS DEPARTMENT</v>
      </c>
      <c r="F8616" t="str">
        <f t="shared" si="3502"/>
        <v>IBG</v>
      </c>
      <c r="G8616" t="str">
        <f t="shared" si="3515"/>
        <v>Refund COSHARE 10</v>
      </c>
      <c r="H8616" s="2">
        <v>1135.8499999999999</v>
      </c>
      <c r="I8616" t="str">
        <f>"ANA PERISTIWA BINTI OMAR"</f>
        <v>ANA PERISTIWA BINTI OMAR</v>
      </c>
      <c r="J8616" t="str">
        <f t="shared" si="3518"/>
        <v>BANK ISLAM BHD</v>
      </c>
      <c r="K8616" t="str">
        <f>"03036020394991"</f>
        <v>03036020394991</v>
      </c>
      <c r="L8616" t="str">
        <f t="shared" si="3516"/>
        <v>04-08-2020</v>
      </c>
      <c r="M8616" t="str">
        <f t="shared" si="3516"/>
        <v>04-08-2020</v>
      </c>
      <c r="N8616" t="str">
        <f t="shared" si="3503"/>
        <v>001105018356</v>
      </c>
      <c r="O8616" t="str">
        <f t="shared" si="3504"/>
        <v>MYR</v>
      </c>
      <c r="P8616" t="str">
        <f t="shared" si="3517"/>
        <v>NIL</v>
      </c>
      <c r="Q8616" t="str">
        <f t="shared" si="3517"/>
        <v>NIL</v>
      </c>
      <c r="R8616" t="str">
        <f t="shared" si="3519"/>
        <v>Accepted</v>
      </c>
      <c r="S8616" t="str">
        <f t="shared" si="3505"/>
        <v>Approved</v>
      </c>
      <c r="T8616" t="str">
        <f t="shared" si="3520"/>
        <v>10.20.8.188</v>
      </c>
      <c r="U8616" t="str">
        <f t="shared" si="3506"/>
        <v>AZRAD UMAR BIN SHAARI</v>
      </c>
      <c r="V8616" t="str">
        <f t="shared" si="3507"/>
        <v>FARHANA BINTI MUSTAPA</v>
      </c>
      <c r="W8616" t="str">
        <f t="shared" si="3508"/>
        <v>04-08-2020</v>
      </c>
      <c r="X8616" t="str">
        <f t="shared" si="3509"/>
        <v>RAZIMAH ANSAR AHMAD</v>
      </c>
      <c r="Y8616" t="str">
        <f t="shared" si="3510"/>
        <v>04-08-2020</v>
      </c>
      <c r="Z8616" t="str">
        <f>"COS10200804 208"</f>
        <v>COS10200804 208</v>
      </c>
    </row>
    <row r="8617" spans="1:26" x14ac:dyDescent="0.25">
      <c r="A8617" t="str">
        <f t="shared" si="3521"/>
        <v>04-08-2020 12:28:31</v>
      </c>
      <c r="B8617" t="str">
        <f>"0000802202"</f>
        <v>0000802202</v>
      </c>
      <c r="C8617" t="str">
        <f t="shared" si="3522"/>
        <v>0000802195</v>
      </c>
      <c r="D8617" t="str">
        <f t="shared" si="3500"/>
        <v>73185</v>
      </c>
      <c r="E8617" t="str">
        <f t="shared" si="3501"/>
        <v>KFH-OPERATIONS DEPARTMENT</v>
      </c>
      <c r="F8617" t="str">
        <f t="shared" si="3502"/>
        <v>IBG</v>
      </c>
      <c r="G8617" t="str">
        <f t="shared" si="3515"/>
        <v>Refund COSHARE 10</v>
      </c>
      <c r="H8617" s="2">
        <v>125.95</v>
      </c>
      <c r="I8617" t="str">
        <f>"AMRAN BIN SPAWI"</f>
        <v>AMRAN BIN SPAWI</v>
      </c>
      <c r="J8617" t="str">
        <f t="shared" si="3518"/>
        <v>BANK ISLAM BHD</v>
      </c>
      <c r="K8617" t="str">
        <f>"03090020597210"</f>
        <v>03090020597210</v>
      </c>
      <c r="L8617" t="str">
        <f t="shared" si="3516"/>
        <v>04-08-2020</v>
      </c>
      <c r="M8617" t="str">
        <f t="shared" si="3516"/>
        <v>04-08-2020</v>
      </c>
      <c r="N8617" t="str">
        <f t="shared" si="3503"/>
        <v>001105018356</v>
      </c>
      <c r="O8617" t="str">
        <f t="shared" si="3504"/>
        <v>MYR</v>
      </c>
      <c r="P8617" t="str">
        <f t="shared" si="3517"/>
        <v>NIL</v>
      </c>
      <c r="Q8617" t="str">
        <f t="shared" si="3517"/>
        <v>NIL</v>
      </c>
      <c r="R8617" t="str">
        <f t="shared" si="3519"/>
        <v>Accepted</v>
      </c>
      <c r="S8617" t="str">
        <f t="shared" si="3505"/>
        <v>Approved</v>
      </c>
      <c r="T8617" t="str">
        <f t="shared" si="3520"/>
        <v>10.20.8.188</v>
      </c>
      <c r="U8617" t="str">
        <f t="shared" si="3506"/>
        <v>AZRAD UMAR BIN SHAARI</v>
      </c>
      <c r="V8617" t="str">
        <f t="shared" si="3507"/>
        <v>FARHANA BINTI MUSTAPA</v>
      </c>
      <c r="W8617" t="str">
        <f t="shared" si="3508"/>
        <v>04-08-2020</v>
      </c>
      <c r="X8617" t="str">
        <f t="shared" si="3509"/>
        <v>RAZIMAH ANSAR AHMAD</v>
      </c>
      <c r="Y8617" t="str">
        <f t="shared" si="3510"/>
        <v>04-08-2020</v>
      </c>
      <c r="Z8617" t="str">
        <f>"COS10200804 207"</f>
        <v>COS10200804 207</v>
      </c>
    </row>
    <row r="8618" spans="1:26" x14ac:dyDescent="0.25">
      <c r="A8618" t="str">
        <f t="shared" si="3521"/>
        <v>04-08-2020 12:28:31</v>
      </c>
      <c r="B8618" t="str">
        <f>"0000802201"</f>
        <v>0000802201</v>
      </c>
      <c r="C8618" t="str">
        <f t="shared" si="3522"/>
        <v>0000802195</v>
      </c>
      <c r="D8618" t="str">
        <f t="shared" si="3500"/>
        <v>73185</v>
      </c>
      <c r="E8618" t="str">
        <f t="shared" si="3501"/>
        <v>KFH-OPERATIONS DEPARTMENT</v>
      </c>
      <c r="F8618" t="str">
        <f t="shared" si="3502"/>
        <v>IBG</v>
      </c>
      <c r="G8618" t="str">
        <f t="shared" si="3515"/>
        <v>Refund COSHARE 10</v>
      </c>
      <c r="H8618" s="2">
        <v>226</v>
      </c>
      <c r="I8618" t="str">
        <f>"AMIZAN BIN ABDULLAH"</f>
        <v>AMIZAN BIN ABDULLAH</v>
      </c>
      <c r="J8618" t="str">
        <f t="shared" si="3518"/>
        <v>BANK ISLAM BHD</v>
      </c>
      <c r="K8618" t="str">
        <f>"06019020626040"</f>
        <v>06019020626040</v>
      </c>
      <c r="L8618" t="str">
        <f t="shared" si="3516"/>
        <v>04-08-2020</v>
      </c>
      <c r="M8618" t="str">
        <f t="shared" si="3516"/>
        <v>04-08-2020</v>
      </c>
      <c r="N8618" t="str">
        <f t="shared" si="3503"/>
        <v>001105018356</v>
      </c>
      <c r="O8618" t="str">
        <f t="shared" si="3504"/>
        <v>MYR</v>
      </c>
      <c r="P8618" t="str">
        <f t="shared" si="3517"/>
        <v>NIL</v>
      </c>
      <c r="Q8618" t="str">
        <f t="shared" si="3517"/>
        <v>NIL</v>
      </c>
      <c r="R8618" t="str">
        <f t="shared" si="3519"/>
        <v>Accepted</v>
      </c>
      <c r="S8618" t="str">
        <f t="shared" si="3505"/>
        <v>Approved</v>
      </c>
      <c r="T8618" t="str">
        <f t="shared" si="3520"/>
        <v>10.20.8.188</v>
      </c>
      <c r="U8618" t="str">
        <f t="shared" si="3506"/>
        <v>AZRAD UMAR BIN SHAARI</v>
      </c>
      <c r="V8618" t="str">
        <f t="shared" si="3507"/>
        <v>FARHANA BINTI MUSTAPA</v>
      </c>
      <c r="W8618" t="str">
        <f t="shared" si="3508"/>
        <v>04-08-2020</v>
      </c>
      <c r="X8618" t="str">
        <f t="shared" si="3509"/>
        <v>RAZIMAH ANSAR AHMAD</v>
      </c>
      <c r="Y8618" t="str">
        <f t="shared" si="3510"/>
        <v>04-08-2020</v>
      </c>
      <c r="Z8618" t="str">
        <f>"COS10200804 206"</f>
        <v>COS10200804 206</v>
      </c>
    </row>
    <row r="8619" spans="1:26" x14ac:dyDescent="0.25">
      <c r="A8619" t="str">
        <f t="shared" si="3521"/>
        <v>04-08-2020 12:28:31</v>
      </c>
      <c r="B8619" t="str">
        <f>"0000802200"</f>
        <v>0000802200</v>
      </c>
      <c r="C8619" t="str">
        <f t="shared" si="3522"/>
        <v>0000802195</v>
      </c>
      <c r="D8619" t="str">
        <f t="shared" si="3500"/>
        <v>73185</v>
      </c>
      <c r="E8619" t="str">
        <f t="shared" si="3501"/>
        <v>KFH-OPERATIONS DEPARTMENT</v>
      </c>
      <c r="F8619" t="str">
        <f t="shared" si="3502"/>
        <v>IBG</v>
      </c>
      <c r="G8619" t="str">
        <f t="shared" si="3515"/>
        <v>Refund COSHARE 10</v>
      </c>
      <c r="H8619" s="2">
        <v>982</v>
      </c>
      <c r="I8619" t="str">
        <f>"AMIZAH BINTI MIZI"</f>
        <v>AMIZAH BINTI MIZI</v>
      </c>
      <c r="J8619" t="str">
        <f t="shared" si="3518"/>
        <v>BANK ISLAM BHD</v>
      </c>
      <c r="K8619" t="str">
        <f>"13017020572738"</f>
        <v>13017020572738</v>
      </c>
      <c r="L8619" t="str">
        <f t="shared" si="3516"/>
        <v>04-08-2020</v>
      </c>
      <c r="M8619" t="str">
        <f t="shared" si="3516"/>
        <v>04-08-2020</v>
      </c>
      <c r="N8619" t="str">
        <f t="shared" si="3503"/>
        <v>001105018356</v>
      </c>
      <c r="O8619" t="str">
        <f t="shared" si="3504"/>
        <v>MYR</v>
      </c>
      <c r="P8619" t="str">
        <f t="shared" si="3517"/>
        <v>NIL</v>
      </c>
      <c r="Q8619" t="str">
        <f t="shared" si="3517"/>
        <v>NIL</v>
      </c>
      <c r="R8619" t="str">
        <f t="shared" si="3519"/>
        <v>Accepted</v>
      </c>
      <c r="S8619" t="str">
        <f t="shared" si="3505"/>
        <v>Approved</v>
      </c>
      <c r="T8619" t="str">
        <f t="shared" si="3520"/>
        <v>10.20.8.188</v>
      </c>
      <c r="U8619" t="str">
        <f t="shared" si="3506"/>
        <v>AZRAD UMAR BIN SHAARI</v>
      </c>
      <c r="V8619" t="str">
        <f t="shared" si="3507"/>
        <v>FARHANA BINTI MUSTAPA</v>
      </c>
      <c r="W8619" t="str">
        <f t="shared" si="3508"/>
        <v>04-08-2020</v>
      </c>
      <c r="X8619" t="str">
        <f t="shared" si="3509"/>
        <v>RAZIMAH ANSAR AHMAD</v>
      </c>
      <c r="Y8619" t="str">
        <f t="shared" si="3510"/>
        <v>04-08-2020</v>
      </c>
      <c r="Z8619" t="str">
        <f>"COS10200804 205"</f>
        <v>COS10200804 205</v>
      </c>
    </row>
    <row r="8620" spans="1:26" x14ac:dyDescent="0.25">
      <c r="A8620" t="str">
        <f t="shared" si="3521"/>
        <v>04-08-2020 12:28:31</v>
      </c>
      <c r="B8620" t="str">
        <f>"0000802199"</f>
        <v>0000802199</v>
      </c>
      <c r="C8620" t="str">
        <f t="shared" si="3522"/>
        <v>0000802195</v>
      </c>
      <c r="D8620" t="str">
        <f t="shared" si="3500"/>
        <v>73185</v>
      </c>
      <c r="E8620" t="str">
        <f t="shared" si="3501"/>
        <v>KFH-OPERATIONS DEPARTMENT</v>
      </c>
      <c r="F8620" t="str">
        <f t="shared" si="3502"/>
        <v>IBG</v>
      </c>
      <c r="G8620" t="str">
        <f t="shared" si="3515"/>
        <v>Refund COSHARE 10</v>
      </c>
      <c r="H8620" s="2">
        <v>442.05</v>
      </c>
      <c r="I8620" t="str">
        <f>"AMIR HAMZAH BIN ISMAIL"</f>
        <v>AMIR HAMZAH BIN ISMAIL</v>
      </c>
      <c r="J8620" t="str">
        <f t="shared" si="3518"/>
        <v>BANK ISLAM BHD</v>
      </c>
      <c r="K8620" t="str">
        <f>"03090020125107"</f>
        <v>03090020125107</v>
      </c>
      <c r="L8620" t="str">
        <f t="shared" si="3516"/>
        <v>04-08-2020</v>
      </c>
      <c r="M8620" t="str">
        <f t="shared" si="3516"/>
        <v>04-08-2020</v>
      </c>
      <c r="N8620" t="str">
        <f t="shared" si="3503"/>
        <v>001105018356</v>
      </c>
      <c r="O8620" t="str">
        <f t="shared" si="3504"/>
        <v>MYR</v>
      </c>
      <c r="P8620" t="str">
        <f t="shared" si="3517"/>
        <v>NIL</v>
      </c>
      <c r="Q8620" t="str">
        <f t="shared" si="3517"/>
        <v>NIL</v>
      </c>
      <c r="R8620" t="str">
        <f t="shared" si="3519"/>
        <v>Accepted</v>
      </c>
      <c r="S8620" t="str">
        <f t="shared" si="3505"/>
        <v>Approved</v>
      </c>
      <c r="T8620" t="str">
        <f t="shared" si="3520"/>
        <v>10.20.8.188</v>
      </c>
      <c r="U8620" t="str">
        <f t="shared" si="3506"/>
        <v>AZRAD UMAR BIN SHAARI</v>
      </c>
      <c r="V8620" t="str">
        <f t="shared" si="3507"/>
        <v>FARHANA BINTI MUSTAPA</v>
      </c>
      <c r="W8620" t="str">
        <f t="shared" si="3508"/>
        <v>04-08-2020</v>
      </c>
      <c r="X8620" t="str">
        <f t="shared" si="3509"/>
        <v>RAZIMAH ANSAR AHMAD</v>
      </c>
      <c r="Y8620" t="str">
        <f t="shared" si="3510"/>
        <v>04-08-2020</v>
      </c>
      <c r="Z8620" t="str">
        <f>"COS10200804 204"</f>
        <v>COS10200804 204</v>
      </c>
    </row>
    <row r="8621" spans="1:26" x14ac:dyDescent="0.25">
      <c r="A8621" t="str">
        <f t="shared" si="3521"/>
        <v>04-08-2020 12:28:31</v>
      </c>
      <c r="B8621" t="str">
        <f>"0000802198"</f>
        <v>0000802198</v>
      </c>
      <c r="C8621" t="str">
        <f t="shared" si="3522"/>
        <v>0000802195</v>
      </c>
      <c r="D8621" t="str">
        <f t="shared" si="3500"/>
        <v>73185</v>
      </c>
      <c r="E8621" t="str">
        <f t="shared" si="3501"/>
        <v>KFH-OPERATIONS DEPARTMENT</v>
      </c>
      <c r="F8621" t="str">
        <f t="shared" si="3502"/>
        <v>IBG</v>
      </c>
      <c r="G8621" t="str">
        <f t="shared" si="3515"/>
        <v>Refund COSHARE 10</v>
      </c>
      <c r="H8621" s="2">
        <v>83.95</v>
      </c>
      <c r="I8621" t="str">
        <f>"AMINAH BINTI MOKTAR"</f>
        <v>AMINAH BINTI MOKTAR</v>
      </c>
      <c r="J8621" t="str">
        <f t="shared" si="3518"/>
        <v>BANK ISLAM BHD</v>
      </c>
      <c r="K8621" t="str">
        <f>"15011010013596"</f>
        <v>15011010013596</v>
      </c>
      <c r="L8621" t="str">
        <f t="shared" si="3516"/>
        <v>04-08-2020</v>
      </c>
      <c r="M8621" t="str">
        <f t="shared" si="3516"/>
        <v>04-08-2020</v>
      </c>
      <c r="N8621" t="str">
        <f t="shared" si="3503"/>
        <v>001105018356</v>
      </c>
      <c r="O8621" t="str">
        <f t="shared" si="3504"/>
        <v>MYR</v>
      </c>
      <c r="P8621" t="str">
        <f t="shared" si="3517"/>
        <v>NIL</v>
      </c>
      <c r="Q8621" t="str">
        <f t="shared" si="3517"/>
        <v>NIL</v>
      </c>
      <c r="R8621" t="str">
        <f t="shared" si="3519"/>
        <v>Accepted</v>
      </c>
      <c r="S8621" t="str">
        <f t="shared" si="3505"/>
        <v>Approved</v>
      </c>
      <c r="T8621" t="str">
        <f t="shared" si="3520"/>
        <v>10.20.8.188</v>
      </c>
      <c r="U8621" t="str">
        <f t="shared" si="3506"/>
        <v>AZRAD UMAR BIN SHAARI</v>
      </c>
      <c r="V8621" t="str">
        <f t="shared" si="3507"/>
        <v>FARHANA BINTI MUSTAPA</v>
      </c>
      <c r="W8621" t="str">
        <f t="shared" si="3508"/>
        <v>04-08-2020</v>
      </c>
      <c r="X8621" t="str">
        <f t="shared" si="3509"/>
        <v>RAZIMAH ANSAR AHMAD</v>
      </c>
      <c r="Y8621" t="str">
        <f t="shared" si="3510"/>
        <v>04-08-2020</v>
      </c>
      <c r="Z8621" t="str">
        <f>"COS10200804 203"</f>
        <v>COS10200804 203</v>
      </c>
    </row>
    <row r="8622" spans="1:26" x14ac:dyDescent="0.25">
      <c r="A8622" t="str">
        <f t="shared" si="3521"/>
        <v>04-08-2020 12:28:31</v>
      </c>
      <c r="B8622" t="str">
        <f>"0000802197"</f>
        <v>0000802197</v>
      </c>
      <c r="C8622" t="str">
        <f t="shared" si="3522"/>
        <v>0000802195</v>
      </c>
      <c r="D8622" t="str">
        <f t="shared" si="3500"/>
        <v>73185</v>
      </c>
      <c r="E8622" t="str">
        <f t="shared" si="3501"/>
        <v>KFH-OPERATIONS DEPARTMENT</v>
      </c>
      <c r="F8622" t="str">
        <f t="shared" si="3502"/>
        <v>IBG</v>
      </c>
      <c r="G8622" t="str">
        <f t="shared" si="3515"/>
        <v>Refund COSHARE 10</v>
      </c>
      <c r="H8622" s="2">
        <v>293.85000000000002</v>
      </c>
      <c r="I8622" t="str">
        <f>"AMILY SHAFILA BINTI SHARIFF"</f>
        <v>AMILY SHAFILA BINTI SHARIFF</v>
      </c>
      <c r="J8622" t="str">
        <f t="shared" si="3518"/>
        <v>BANK ISLAM BHD</v>
      </c>
      <c r="K8622" t="str">
        <f>"08068020264663"</f>
        <v>08068020264663</v>
      </c>
      <c r="L8622" t="str">
        <f t="shared" si="3516"/>
        <v>04-08-2020</v>
      </c>
      <c r="M8622" t="str">
        <f t="shared" si="3516"/>
        <v>04-08-2020</v>
      </c>
      <c r="N8622" t="str">
        <f t="shared" si="3503"/>
        <v>001105018356</v>
      </c>
      <c r="O8622" t="str">
        <f t="shared" si="3504"/>
        <v>MYR</v>
      </c>
      <c r="P8622" t="str">
        <f t="shared" si="3517"/>
        <v>NIL</v>
      </c>
      <c r="Q8622" t="str">
        <f t="shared" si="3517"/>
        <v>NIL</v>
      </c>
      <c r="R8622" t="str">
        <f t="shared" si="3519"/>
        <v>Accepted</v>
      </c>
      <c r="S8622" t="str">
        <f t="shared" si="3505"/>
        <v>Approved</v>
      </c>
      <c r="T8622" t="str">
        <f t="shared" si="3520"/>
        <v>10.20.8.188</v>
      </c>
      <c r="U8622" t="str">
        <f t="shared" si="3506"/>
        <v>AZRAD UMAR BIN SHAARI</v>
      </c>
      <c r="V8622" t="str">
        <f t="shared" si="3507"/>
        <v>FARHANA BINTI MUSTAPA</v>
      </c>
      <c r="W8622" t="str">
        <f t="shared" si="3508"/>
        <v>04-08-2020</v>
      </c>
      <c r="X8622" t="str">
        <f t="shared" si="3509"/>
        <v>RAZIMAH ANSAR AHMAD</v>
      </c>
      <c r="Y8622" t="str">
        <f t="shared" si="3510"/>
        <v>04-08-2020</v>
      </c>
      <c r="Z8622" t="str">
        <f>"COS10200804 202"</f>
        <v>COS10200804 202</v>
      </c>
    </row>
    <row r="8623" spans="1:26" x14ac:dyDescent="0.25">
      <c r="A8623" t="str">
        <f t="shared" si="3521"/>
        <v>04-08-2020 12:28:31</v>
      </c>
      <c r="B8623" t="str">
        <f>"0000802196"</f>
        <v>0000802196</v>
      </c>
      <c r="C8623" t="str">
        <f t="shared" si="3522"/>
        <v>0000802195</v>
      </c>
      <c r="D8623" t="str">
        <f t="shared" si="3500"/>
        <v>73185</v>
      </c>
      <c r="E8623" t="str">
        <f t="shared" si="3501"/>
        <v>KFH-OPERATIONS DEPARTMENT</v>
      </c>
      <c r="F8623" t="str">
        <f t="shared" si="3502"/>
        <v>IBG</v>
      </c>
      <c r="G8623" t="str">
        <f t="shared" si="3515"/>
        <v>Refund COSHARE 10</v>
      </c>
      <c r="H8623" s="2">
        <v>1365.4</v>
      </c>
      <c r="I8623" t="str">
        <f>"AMI NORDIN BIN AB RAZAK"</f>
        <v>AMI NORDIN BIN AB RAZAK</v>
      </c>
      <c r="J8623" t="str">
        <f t="shared" si="3518"/>
        <v>BANK ISLAM BHD</v>
      </c>
      <c r="K8623" t="str">
        <f>"03072020777802"</f>
        <v>03072020777802</v>
      </c>
      <c r="L8623" t="str">
        <f t="shared" si="3516"/>
        <v>04-08-2020</v>
      </c>
      <c r="M8623" t="str">
        <f t="shared" si="3516"/>
        <v>04-08-2020</v>
      </c>
      <c r="N8623" t="str">
        <f t="shared" si="3503"/>
        <v>001105018356</v>
      </c>
      <c r="O8623" t="str">
        <f t="shared" si="3504"/>
        <v>MYR</v>
      </c>
      <c r="P8623" t="str">
        <f t="shared" si="3517"/>
        <v>NIL</v>
      </c>
      <c r="Q8623" t="str">
        <f t="shared" si="3517"/>
        <v>NIL</v>
      </c>
      <c r="R8623" t="str">
        <f t="shared" si="3519"/>
        <v>Accepted</v>
      </c>
      <c r="S8623" t="str">
        <f t="shared" si="3505"/>
        <v>Approved</v>
      </c>
      <c r="T8623" t="str">
        <f t="shared" si="3520"/>
        <v>10.20.8.188</v>
      </c>
      <c r="U8623" t="str">
        <f t="shared" si="3506"/>
        <v>AZRAD UMAR BIN SHAARI</v>
      </c>
      <c r="V8623" t="str">
        <f t="shared" si="3507"/>
        <v>FARHANA BINTI MUSTAPA</v>
      </c>
      <c r="W8623" t="str">
        <f t="shared" si="3508"/>
        <v>04-08-2020</v>
      </c>
      <c r="X8623" t="str">
        <f t="shared" si="3509"/>
        <v>RAZIMAH ANSAR AHMAD</v>
      </c>
      <c r="Y8623" t="str">
        <f t="shared" si="3510"/>
        <v>04-08-2020</v>
      </c>
      <c r="Z8623" t="str">
        <f>"COS10200804 201"</f>
        <v>COS10200804 201</v>
      </c>
    </row>
    <row r="8624" spans="1:26" x14ac:dyDescent="0.25">
      <c r="A8624" t="str">
        <f t="shared" ref="A8624:A8655" si="3523">"04-08-2020 11:31:08"</f>
        <v>04-08-2020 11:31:08</v>
      </c>
      <c r="B8624" t="str">
        <f>"0000802109"</f>
        <v>0000802109</v>
      </c>
      <c r="C8624" t="str">
        <f t="shared" ref="C8624:C8655" si="3524">"0000801909"</f>
        <v>0000801909</v>
      </c>
      <c r="D8624" t="str">
        <f t="shared" si="3500"/>
        <v>73185</v>
      </c>
      <c r="E8624" t="str">
        <f t="shared" si="3501"/>
        <v>KFH-OPERATIONS DEPARTMENT</v>
      </c>
      <c r="F8624" t="str">
        <f t="shared" si="3502"/>
        <v>IBG</v>
      </c>
      <c r="G8624" t="str">
        <f t="shared" si="3515"/>
        <v>Refund COSHARE 10</v>
      </c>
      <c r="H8624" s="2">
        <v>923.45</v>
      </c>
      <c r="I8624" t="str">
        <f>"ALWANI BINTI ABDULLAH"</f>
        <v>ALWANI BINTI ABDULLAH</v>
      </c>
      <c r="J8624" t="str">
        <f t="shared" si="3518"/>
        <v>BANK ISLAM BHD</v>
      </c>
      <c r="K8624" t="str">
        <f>"12038025880898"</f>
        <v>12038025880898</v>
      </c>
      <c r="L8624" t="str">
        <f t="shared" si="3516"/>
        <v>04-08-2020</v>
      </c>
      <c r="M8624" t="str">
        <f t="shared" si="3516"/>
        <v>04-08-2020</v>
      </c>
      <c r="N8624" t="str">
        <f t="shared" si="3503"/>
        <v>001105018356</v>
      </c>
      <c r="O8624" t="str">
        <f t="shared" si="3504"/>
        <v>MYR</v>
      </c>
      <c r="P8624" t="str">
        <f t="shared" si="3517"/>
        <v>NIL</v>
      </c>
      <c r="Q8624" t="str">
        <f t="shared" si="3517"/>
        <v>NIL</v>
      </c>
      <c r="R8624" t="str">
        <f t="shared" si="3519"/>
        <v>Accepted</v>
      </c>
      <c r="S8624" t="str">
        <f t="shared" si="3505"/>
        <v>Approved</v>
      </c>
      <c r="T8624" t="str">
        <f t="shared" si="3520"/>
        <v>10.20.8.188</v>
      </c>
      <c r="U8624" t="str">
        <f t="shared" si="3506"/>
        <v>AZRAD UMAR BIN SHAARI</v>
      </c>
      <c r="V8624" t="str">
        <f t="shared" si="3507"/>
        <v>FARHANA BINTI MUSTAPA</v>
      </c>
      <c r="W8624" t="str">
        <f t="shared" si="3508"/>
        <v>04-08-2020</v>
      </c>
      <c r="X8624" t="str">
        <f t="shared" si="3509"/>
        <v>RAZIMAH ANSAR AHMAD</v>
      </c>
      <c r="Y8624" t="str">
        <f t="shared" si="3510"/>
        <v>04-08-2020</v>
      </c>
      <c r="Z8624" t="str">
        <f>"COS10200804 200"</f>
        <v>COS10200804 200</v>
      </c>
    </row>
    <row r="8625" spans="1:26" x14ac:dyDescent="0.25">
      <c r="A8625" t="str">
        <f t="shared" si="3523"/>
        <v>04-08-2020 11:31:08</v>
      </c>
      <c r="B8625" t="str">
        <f>"0000802108"</f>
        <v>0000802108</v>
      </c>
      <c r="C8625" t="str">
        <f t="shared" si="3524"/>
        <v>0000801909</v>
      </c>
      <c r="D8625" t="str">
        <f t="shared" si="3500"/>
        <v>73185</v>
      </c>
      <c r="E8625" t="str">
        <f t="shared" si="3501"/>
        <v>KFH-OPERATIONS DEPARTMENT</v>
      </c>
      <c r="F8625" t="str">
        <f t="shared" si="3502"/>
        <v>IBG</v>
      </c>
      <c r="G8625" t="str">
        <f t="shared" si="3515"/>
        <v>Refund COSHARE 10</v>
      </c>
      <c r="H8625" s="2">
        <v>782</v>
      </c>
      <c r="I8625" t="str">
        <f>"ALINAWATI BINTI AB AZIZKAMARULZAMAN"</f>
        <v>ALINAWATI BINTI AB AZIZKAMARULZAMAN</v>
      </c>
      <c r="J8625" t="str">
        <f t="shared" si="3518"/>
        <v>BANK ISLAM BHD</v>
      </c>
      <c r="K8625" t="str">
        <f>"03045020137843"</f>
        <v>03045020137843</v>
      </c>
      <c r="L8625" t="str">
        <f t="shared" si="3516"/>
        <v>04-08-2020</v>
      </c>
      <c r="M8625" t="str">
        <f t="shared" si="3516"/>
        <v>04-08-2020</v>
      </c>
      <c r="N8625" t="str">
        <f t="shared" si="3503"/>
        <v>001105018356</v>
      </c>
      <c r="O8625" t="str">
        <f t="shared" si="3504"/>
        <v>MYR</v>
      </c>
      <c r="P8625" t="str">
        <f t="shared" si="3517"/>
        <v>NIL</v>
      </c>
      <c r="Q8625" t="str">
        <f t="shared" si="3517"/>
        <v>NIL</v>
      </c>
      <c r="R8625" t="str">
        <f t="shared" si="3519"/>
        <v>Accepted</v>
      </c>
      <c r="S8625" t="str">
        <f t="shared" si="3505"/>
        <v>Approved</v>
      </c>
      <c r="T8625" t="str">
        <f t="shared" si="3520"/>
        <v>10.20.8.188</v>
      </c>
      <c r="U8625" t="str">
        <f t="shared" si="3506"/>
        <v>AZRAD UMAR BIN SHAARI</v>
      </c>
      <c r="V8625" t="str">
        <f t="shared" si="3507"/>
        <v>FARHANA BINTI MUSTAPA</v>
      </c>
      <c r="W8625" t="str">
        <f t="shared" si="3508"/>
        <v>04-08-2020</v>
      </c>
      <c r="X8625" t="str">
        <f t="shared" si="3509"/>
        <v>RAZIMAH ANSAR AHMAD</v>
      </c>
      <c r="Y8625" t="str">
        <f t="shared" si="3510"/>
        <v>04-08-2020</v>
      </c>
      <c r="Z8625" t="str">
        <f>"COS10200804 199"</f>
        <v>COS10200804 199</v>
      </c>
    </row>
    <row r="8626" spans="1:26" x14ac:dyDescent="0.25">
      <c r="A8626" t="str">
        <f t="shared" si="3523"/>
        <v>04-08-2020 11:31:08</v>
      </c>
      <c r="B8626" t="str">
        <f>"0000802107"</f>
        <v>0000802107</v>
      </c>
      <c r="C8626" t="str">
        <f t="shared" si="3524"/>
        <v>0000801909</v>
      </c>
      <c r="D8626" t="str">
        <f t="shared" si="3500"/>
        <v>73185</v>
      </c>
      <c r="E8626" t="str">
        <f t="shared" si="3501"/>
        <v>KFH-OPERATIONS DEPARTMENT</v>
      </c>
      <c r="F8626" t="str">
        <f t="shared" si="3502"/>
        <v>IBG</v>
      </c>
      <c r="G8626" t="str">
        <f t="shared" si="3515"/>
        <v>Refund COSHARE 10</v>
      </c>
      <c r="H8626" s="2">
        <v>851</v>
      </c>
      <c r="I8626" t="str">
        <f>"AKMAR JIWASYAH BIN MUSLIM"</f>
        <v>AKMAR JIWASYAH BIN MUSLIM</v>
      </c>
      <c r="J8626" t="str">
        <f t="shared" si="3518"/>
        <v>BANK ISLAM BHD</v>
      </c>
      <c r="K8626" t="str">
        <f>"08068020581374"</f>
        <v>08068020581374</v>
      </c>
      <c r="L8626" t="str">
        <f t="shared" si="3516"/>
        <v>04-08-2020</v>
      </c>
      <c r="M8626" t="str">
        <f t="shared" si="3516"/>
        <v>04-08-2020</v>
      </c>
      <c r="N8626" t="str">
        <f t="shared" si="3503"/>
        <v>001105018356</v>
      </c>
      <c r="O8626" t="str">
        <f t="shared" si="3504"/>
        <v>MYR</v>
      </c>
      <c r="P8626" t="str">
        <f t="shared" si="3517"/>
        <v>NIL</v>
      </c>
      <c r="Q8626" t="str">
        <f t="shared" si="3517"/>
        <v>NIL</v>
      </c>
      <c r="R8626" t="str">
        <f t="shared" si="3519"/>
        <v>Accepted</v>
      </c>
      <c r="S8626" t="str">
        <f t="shared" si="3505"/>
        <v>Approved</v>
      </c>
      <c r="T8626" t="str">
        <f t="shared" si="3520"/>
        <v>10.20.8.188</v>
      </c>
      <c r="U8626" t="str">
        <f t="shared" si="3506"/>
        <v>AZRAD UMAR BIN SHAARI</v>
      </c>
      <c r="V8626" t="str">
        <f t="shared" si="3507"/>
        <v>FARHANA BINTI MUSTAPA</v>
      </c>
      <c r="W8626" t="str">
        <f t="shared" si="3508"/>
        <v>04-08-2020</v>
      </c>
      <c r="X8626" t="str">
        <f t="shared" si="3509"/>
        <v>RAZIMAH ANSAR AHMAD</v>
      </c>
      <c r="Y8626" t="str">
        <f t="shared" si="3510"/>
        <v>04-08-2020</v>
      </c>
      <c r="Z8626" t="str">
        <f>"COS10200804 198"</f>
        <v>COS10200804 198</v>
      </c>
    </row>
    <row r="8627" spans="1:26" x14ac:dyDescent="0.25">
      <c r="A8627" t="str">
        <f t="shared" si="3523"/>
        <v>04-08-2020 11:31:08</v>
      </c>
      <c r="B8627" t="str">
        <f>"0000802106"</f>
        <v>0000802106</v>
      </c>
      <c r="C8627" t="str">
        <f t="shared" si="3524"/>
        <v>0000801909</v>
      </c>
      <c r="D8627" t="str">
        <f t="shared" si="3500"/>
        <v>73185</v>
      </c>
      <c r="E8627" t="str">
        <f t="shared" si="3501"/>
        <v>KFH-OPERATIONS DEPARTMENT</v>
      </c>
      <c r="F8627" t="str">
        <f t="shared" si="3502"/>
        <v>IBG</v>
      </c>
      <c r="G8627" t="str">
        <f t="shared" si="3515"/>
        <v>Refund COSHARE 10</v>
      </c>
      <c r="H8627" s="2">
        <v>77.599999999999994</v>
      </c>
      <c r="I8627" t="str">
        <f>"AKMALARAMLI BIN AKMAL"</f>
        <v>AKMALARAMLI BIN AKMAL</v>
      </c>
      <c r="J8627" t="str">
        <f t="shared" si="3518"/>
        <v>BANK ISLAM BHD</v>
      </c>
      <c r="K8627" t="str">
        <f>"03054020390188"</f>
        <v>03054020390188</v>
      </c>
      <c r="L8627" t="str">
        <f t="shared" ref="L8627:M8646" si="3525">"04-08-2020"</f>
        <v>04-08-2020</v>
      </c>
      <c r="M8627" t="str">
        <f t="shared" si="3525"/>
        <v>04-08-2020</v>
      </c>
      <c r="N8627" t="str">
        <f t="shared" si="3503"/>
        <v>001105018356</v>
      </c>
      <c r="O8627" t="str">
        <f t="shared" si="3504"/>
        <v>MYR</v>
      </c>
      <c r="P8627" t="str">
        <f t="shared" ref="P8627:Q8646" si="3526">"NIL"</f>
        <v>NIL</v>
      </c>
      <c r="Q8627" t="str">
        <f t="shared" si="3526"/>
        <v>NIL</v>
      </c>
      <c r="R8627" t="str">
        <f t="shared" si="3519"/>
        <v>Accepted</v>
      </c>
      <c r="S8627" t="str">
        <f t="shared" si="3505"/>
        <v>Approved</v>
      </c>
      <c r="T8627" t="str">
        <f t="shared" si="3520"/>
        <v>10.20.8.188</v>
      </c>
      <c r="U8627" t="str">
        <f t="shared" si="3506"/>
        <v>AZRAD UMAR BIN SHAARI</v>
      </c>
      <c r="V8627" t="str">
        <f t="shared" si="3507"/>
        <v>FARHANA BINTI MUSTAPA</v>
      </c>
      <c r="W8627" t="str">
        <f t="shared" si="3508"/>
        <v>04-08-2020</v>
      </c>
      <c r="X8627" t="str">
        <f t="shared" si="3509"/>
        <v>RAZIMAH ANSAR AHMAD</v>
      </c>
      <c r="Y8627" t="str">
        <f t="shared" si="3510"/>
        <v>04-08-2020</v>
      </c>
      <c r="Z8627" t="str">
        <f>"COS10200804 197"</f>
        <v>COS10200804 197</v>
      </c>
    </row>
    <row r="8628" spans="1:26" x14ac:dyDescent="0.25">
      <c r="A8628" t="str">
        <f t="shared" si="3523"/>
        <v>04-08-2020 11:31:08</v>
      </c>
      <c r="B8628" t="str">
        <f>"0000802105"</f>
        <v>0000802105</v>
      </c>
      <c r="C8628" t="str">
        <f t="shared" si="3524"/>
        <v>0000801909</v>
      </c>
      <c r="D8628" t="str">
        <f t="shared" si="3500"/>
        <v>73185</v>
      </c>
      <c r="E8628" t="str">
        <f t="shared" si="3501"/>
        <v>KFH-OPERATIONS DEPARTMENT</v>
      </c>
      <c r="F8628" t="str">
        <f t="shared" si="3502"/>
        <v>IBG</v>
      </c>
      <c r="G8628" t="str">
        <f t="shared" si="3515"/>
        <v>Refund COSHARE 10</v>
      </c>
      <c r="H8628" s="2">
        <v>487.9</v>
      </c>
      <c r="I8628" t="str">
        <f>"AINEE JOHANNA BINTI MOHAMED SALEH"</f>
        <v>AINEE JOHANNA BINTI MOHAMED SALEH</v>
      </c>
      <c r="J8628" t="str">
        <f t="shared" si="3518"/>
        <v>BANK ISLAM BHD</v>
      </c>
      <c r="K8628" t="str">
        <f>"08068020091524"</f>
        <v>08068020091524</v>
      </c>
      <c r="L8628" t="str">
        <f t="shared" si="3525"/>
        <v>04-08-2020</v>
      </c>
      <c r="M8628" t="str">
        <f t="shared" si="3525"/>
        <v>04-08-2020</v>
      </c>
      <c r="N8628" t="str">
        <f t="shared" si="3503"/>
        <v>001105018356</v>
      </c>
      <c r="O8628" t="str">
        <f t="shared" si="3504"/>
        <v>MYR</v>
      </c>
      <c r="P8628" t="str">
        <f t="shared" si="3526"/>
        <v>NIL</v>
      </c>
      <c r="Q8628" t="str">
        <f t="shared" si="3526"/>
        <v>NIL</v>
      </c>
      <c r="R8628" t="str">
        <f t="shared" si="3519"/>
        <v>Accepted</v>
      </c>
      <c r="S8628" t="str">
        <f t="shared" si="3505"/>
        <v>Approved</v>
      </c>
      <c r="T8628" t="str">
        <f t="shared" si="3520"/>
        <v>10.20.8.188</v>
      </c>
      <c r="U8628" t="str">
        <f t="shared" si="3506"/>
        <v>AZRAD UMAR BIN SHAARI</v>
      </c>
      <c r="V8628" t="str">
        <f t="shared" si="3507"/>
        <v>FARHANA BINTI MUSTAPA</v>
      </c>
      <c r="W8628" t="str">
        <f t="shared" si="3508"/>
        <v>04-08-2020</v>
      </c>
      <c r="X8628" t="str">
        <f t="shared" si="3509"/>
        <v>RAZIMAH ANSAR AHMAD</v>
      </c>
      <c r="Y8628" t="str">
        <f t="shared" si="3510"/>
        <v>04-08-2020</v>
      </c>
      <c r="Z8628" t="str">
        <f>"COS10200804 196"</f>
        <v>COS10200804 196</v>
      </c>
    </row>
    <row r="8629" spans="1:26" x14ac:dyDescent="0.25">
      <c r="A8629" t="str">
        <f t="shared" si="3523"/>
        <v>04-08-2020 11:31:08</v>
      </c>
      <c r="B8629" t="str">
        <f>"0000802104"</f>
        <v>0000802104</v>
      </c>
      <c r="C8629" t="str">
        <f t="shared" si="3524"/>
        <v>0000801909</v>
      </c>
      <c r="D8629" t="str">
        <f t="shared" si="3500"/>
        <v>73185</v>
      </c>
      <c r="E8629" t="str">
        <f t="shared" si="3501"/>
        <v>KFH-OPERATIONS DEPARTMENT</v>
      </c>
      <c r="F8629" t="str">
        <f t="shared" si="3502"/>
        <v>IBG</v>
      </c>
      <c r="G8629" t="str">
        <f t="shared" si="3515"/>
        <v>Refund COSHARE 10</v>
      </c>
      <c r="H8629" s="2">
        <v>168</v>
      </c>
      <c r="I8629" t="str">
        <f>"AHMAD TAMRIN BIN MOHD ALI HANAFIAH"</f>
        <v>AHMAD TAMRIN BIN MOHD ALI HANAFIAH</v>
      </c>
      <c r="J8629" t="str">
        <f t="shared" si="3518"/>
        <v>BANK ISLAM BHD</v>
      </c>
      <c r="K8629" t="str">
        <f>"06082020007641"</f>
        <v>06082020007641</v>
      </c>
      <c r="L8629" t="str">
        <f t="shared" si="3525"/>
        <v>04-08-2020</v>
      </c>
      <c r="M8629" t="str">
        <f t="shared" si="3525"/>
        <v>04-08-2020</v>
      </c>
      <c r="N8629" t="str">
        <f t="shared" si="3503"/>
        <v>001105018356</v>
      </c>
      <c r="O8629" t="str">
        <f t="shared" si="3504"/>
        <v>MYR</v>
      </c>
      <c r="P8629" t="str">
        <f t="shared" si="3526"/>
        <v>NIL</v>
      </c>
      <c r="Q8629" t="str">
        <f t="shared" si="3526"/>
        <v>NIL</v>
      </c>
      <c r="R8629" t="str">
        <f t="shared" si="3519"/>
        <v>Accepted</v>
      </c>
      <c r="S8629" t="str">
        <f t="shared" si="3505"/>
        <v>Approved</v>
      </c>
      <c r="T8629" t="str">
        <f t="shared" si="3520"/>
        <v>10.20.8.188</v>
      </c>
      <c r="U8629" t="str">
        <f t="shared" si="3506"/>
        <v>AZRAD UMAR BIN SHAARI</v>
      </c>
      <c r="V8629" t="str">
        <f t="shared" si="3507"/>
        <v>FARHANA BINTI MUSTAPA</v>
      </c>
      <c r="W8629" t="str">
        <f t="shared" si="3508"/>
        <v>04-08-2020</v>
      </c>
      <c r="X8629" t="str">
        <f t="shared" si="3509"/>
        <v>RAZIMAH ANSAR AHMAD</v>
      </c>
      <c r="Y8629" t="str">
        <f t="shared" si="3510"/>
        <v>04-08-2020</v>
      </c>
      <c r="Z8629" t="str">
        <f>"COS10200804 195"</f>
        <v>COS10200804 195</v>
      </c>
    </row>
    <row r="8630" spans="1:26" x14ac:dyDescent="0.25">
      <c r="A8630" t="str">
        <f t="shared" si="3523"/>
        <v>04-08-2020 11:31:08</v>
      </c>
      <c r="B8630" t="str">
        <f>"0000802103"</f>
        <v>0000802103</v>
      </c>
      <c r="C8630" t="str">
        <f t="shared" si="3524"/>
        <v>0000801909</v>
      </c>
      <c r="D8630" t="str">
        <f t="shared" si="3500"/>
        <v>73185</v>
      </c>
      <c r="E8630" t="str">
        <f t="shared" si="3501"/>
        <v>KFH-OPERATIONS DEPARTMENT</v>
      </c>
      <c r="F8630" t="str">
        <f t="shared" si="3502"/>
        <v>IBG</v>
      </c>
      <c r="G8630" t="str">
        <f t="shared" si="3515"/>
        <v>Refund COSHARE 10</v>
      </c>
      <c r="H8630" s="2">
        <v>394.6</v>
      </c>
      <c r="I8630" t="str">
        <f>"AHMAD NASRUDDIN BIN MOHAMED"</f>
        <v>AHMAD NASRUDDIN BIN MOHAMED</v>
      </c>
      <c r="J8630" t="str">
        <f t="shared" si="3518"/>
        <v>BANK ISLAM BHD</v>
      </c>
      <c r="K8630" t="str">
        <f>"04015020494210"</f>
        <v>04015020494210</v>
      </c>
      <c r="L8630" t="str">
        <f t="shared" si="3525"/>
        <v>04-08-2020</v>
      </c>
      <c r="M8630" t="str">
        <f t="shared" si="3525"/>
        <v>04-08-2020</v>
      </c>
      <c r="N8630" t="str">
        <f t="shared" si="3503"/>
        <v>001105018356</v>
      </c>
      <c r="O8630" t="str">
        <f t="shared" si="3504"/>
        <v>MYR</v>
      </c>
      <c r="P8630" t="str">
        <f t="shared" si="3526"/>
        <v>NIL</v>
      </c>
      <c r="Q8630" t="str">
        <f t="shared" si="3526"/>
        <v>NIL</v>
      </c>
      <c r="R8630" t="str">
        <f t="shared" si="3519"/>
        <v>Accepted</v>
      </c>
      <c r="S8630" t="str">
        <f t="shared" si="3505"/>
        <v>Approved</v>
      </c>
      <c r="T8630" t="str">
        <f t="shared" si="3520"/>
        <v>10.20.8.188</v>
      </c>
      <c r="U8630" t="str">
        <f t="shared" si="3506"/>
        <v>AZRAD UMAR BIN SHAARI</v>
      </c>
      <c r="V8630" t="str">
        <f t="shared" si="3507"/>
        <v>FARHANA BINTI MUSTAPA</v>
      </c>
      <c r="W8630" t="str">
        <f t="shared" si="3508"/>
        <v>04-08-2020</v>
      </c>
      <c r="X8630" t="str">
        <f t="shared" si="3509"/>
        <v>RAZIMAH ANSAR AHMAD</v>
      </c>
      <c r="Y8630" t="str">
        <f t="shared" si="3510"/>
        <v>04-08-2020</v>
      </c>
      <c r="Z8630" t="str">
        <f>"COS10200804 194"</f>
        <v>COS10200804 194</v>
      </c>
    </row>
    <row r="8631" spans="1:26" x14ac:dyDescent="0.25">
      <c r="A8631" t="str">
        <f t="shared" si="3523"/>
        <v>04-08-2020 11:31:08</v>
      </c>
      <c r="B8631" t="str">
        <f>"0000802102"</f>
        <v>0000802102</v>
      </c>
      <c r="C8631" t="str">
        <f t="shared" si="3524"/>
        <v>0000801909</v>
      </c>
      <c r="D8631" t="str">
        <f t="shared" si="3500"/>
        <v>73185</v>
      </c>
      <c r="E8631" t="str">
        <f t="shared" si="3501"/>
        <v>KFH-OPERATIONS DEPARTMENT</v>
      </c>
      <c r="F8631" t="str">
        <f t="shared" si="3502"/>
        <v>IBG</v>
      </c>
      <c r="G8631" t="str">
        <f t="shared" si="3515"/>
        <v>Refund COSHARE 10</v>
      </c>
      <c r="H8631" s="2">
        <v>1049.3499999999999</v>
      </c>
      <c r="I8631" t="str">
        <f>"AHMAD KHALIL BIN HARON  BAHARON"</f>
        <v>AHMAD KHALIL BIN HARON  BAHARON</v>
      </c>
      <c r="J8631" t="str">
        <f t="shared" si="3518"/>
        <v>BANK ISLAM BHD</v>
      </c>
      <c r="K8631" t="str">
        <f>"10016027885695"</f>
        <v>10016027885695</v>
      </c>
      <c r="L8631" t="str">
        <f t="shared" si="3525"/>
        <v>04-08-2020</v>
      </c>
      <c r="M8631" t="str">
        <f t="shared" si="3525"/>
        <v>04-08-2020</v>
      </c>
      <c r="N8631" t="str">
        <f t="shared" si="3503"/>
        <v>001105018356</v>
      </c>
      <c r="O8631" t="str">
        <f t="shared" si="3504"/>
        <v>MYR</v>
      </c>
      <c r="P8631" t="str">
        <f t="shared" si="3526"/>
        <v>NIL</v>
      </c>
      <c r="Q8631" t="str">
        <f t="shared" si="3526"/>
        <v>NIL</v>
      </c>
      <c r="R8631" t="str">
        <f t="shared" si="3519"/>
        <v>Accepted</v>
      </c>
      <c r="S8631" t="str">
        <f t="shared" si="3505"/>
        <v>Approved</v>
      </c>
      <c r="T8631" t="str">
        <f t="shared" si="3520"/>
        <v>10.20.8.188</v>
      </c>
      <c r="U8631" t="str">
        <f t="shared" si="3506"/>
        <v>AZRAD UMAR BIN SHAARI</v>
      </c>
      <c r="V8631" t="str">
        <f t="shared" si="3507"/>
        <v>FARHANA BINTI MUSTAPA</v>
      </c>
      <c r="W8631" t="str">
        <f t="shared" si="3508"/>
        <v>04-08-2020</v>
      </c>
      <c r="X8631" t="str">
        <f t="shared" si="3509"/>
        <v>RAZIMAH ANSAR AHMAD</v>
      </c>
      <c r="Y8631" t="str">
        <f t="shared" si="3510"/>
        <v>04-08-2020</v>
      </c>
      <c r="Z8631" t="str">
        <f>"COS10200804 193"</f>
        <v>COS10200804 193</v>
      </c>
    </row>
    <row r="8632" spans="1:26" x14ac:dyDescent="0.25">
      <c r="A8632" t="str">
        <f t="shared" si="3523"/>
        <v>04-08-2020 11:31:08</v>
      </c>
      <c r="B8632" t="str">
        <f>"0000802101"</f>
        <v>0000802101</v>
      </c>
      <c r="C8632" t="str">
        <f t="shared" si="3524"/>
        <v>0000801909</v>
      </c>
      <c r="D8632" t="str">
        <f t="shared" si="3500"/>
        <v>73185</v>
      </c>
      <c r="E8632" t="str">
        <f t="shared" si="3501"/>
        <v>KFH-OPERATIONS DEPARTMENT</v>
      </c>
      <c r="F8632" t="str">
        <f t="shared" si="3502"/>
        <v>IBG</v>
      </c>
      <c r="G8632" t="str">
        <f t="shared" si="3515"/>
        <v>Refund COSHARE 10</v>
      </c>
      <c r="H8632" s="2">
        <v>42</v>
      </c>
      <c r="I8632" t="str">
        <f>"AHMAD FADZLI BIN MD SHAH"</f>
        <v>AHMAD FADZLI BIN MD SHAH</v>
      </c>
      <c r="J8632" t="str">
        <f t="shared" si="3518"/>
        <v>BANK ISLAM BHD</v>
      </c>
      <c r="K8632" t="str">
        <f>"06073020015335"</f>
        <v>06073020015335</v>
      </c>
      <c r="L8632" t="str">
        <f t="shared" si="3525"/>
        <v>04-08-2020</v>
      </c>
      <c r="M8632" t="str">
        <f t="shared" si="3525"/>
        <v>04-08-2020</v>
      </c>
      <c r="N8632" t="str">
        <f t="shared" si="3503"/>
        <v>001105018356</v>
      </c>
      <c r="O8632" t="str">
        <f t="shared" si="3504"/>
        <v>MYR</v>
      </c>
      <c r="P8632" t="str">
        <f t="shared" si="3526"/>
        <v>NIL</v>
      </c>
      <c r="Q8632" t="str">
        <f t="shared" si="3526"/>
        <v>NIL</v>
      </c>
      <c r="R8632" t="str">
        <f t="shared" si="3519"/>
        <v>Accepted</v>
      </c>
      <c r="S8632" t="str">
        <f t="shared" si="3505"/>
        <v>Approved</v>
      </c>
      <c r="T8632" t="str">
        <f t="shared" si="3520"/>
        <v>10.20.8.188</v>
      </c>
      <c r="U8632" t="str">
        <f t="shared" si="3506"/>
        <v>AZRAD UMAR BIN SHAARI</v>
      </c>
      <c r="V8632" t="str">
        <f t="shared" si="3507"/>
        <v>FARHANA BINTI MUSTAPA</v>
      </c>
      <c r="W8632" t="str">
        <f t="shared" si="3508"/>
        <v>04-08-2020</v>
      </c>
      <c r="X8632" t="str">
        <f t="shared" si="3509"/>
        <v>RAZIMAH ANSAR AHMAD</v>
      </c>
      <c r="Y8632" t="str">
        <f t="shared" si="3510"/>
        <v>04-08-2020</v>
      </c>
      <c r="Z8632" t="str">
        <f>"COS10200804 192"</f>
        <v>COS10200804 192</v>
      </c>
    </row>
    <row r="8633" spans="1:26" x14ac:dyDescent="0.25">
      <c r="A8633" t="str">
        <f t="shared" si="3523"/>
        <v>04-08-2020 11:31:08</v>
      </c>
      <c r="B8633" t="str">
        <f>"0000802100"</f>
        <v>0000802100</v>
      </c>
      <c r="C8633" t="str">
        <f t="shared" si="3524"/>
        <v>0000801909</v>
      </c>
      <c r="D8633" t="str">
        <f t="shared" si="3500"/>
        <v>73185</v>
      </c>
      <c r="E8633" t="str">
        <f t="shared" si="3501"/>
        <v>KFH-OPERATIONS DEPARTMENT</v>
      </c>
      <c r="F8633" t="str">
        <f t="shared" si="3502"/>
        <v>IBG</v>
      </c>
      <c r="G8633" t="str">
        <f t="shared" si="3515"/>
        <v>Refund COSHARE 10</v>
      </c>
      <c r="H8633" s="2">
        <v>228.75</v>
      </c>
      <c r="I8633" t="str">
        <f>"AHMAD ALAWI BIN MAT SALLEH"</f>
        <v>AHMAD ALAWI BIN MAT SALLEH</v>
      </c>
      <c r="J8633" t="str">
        <f t="shared" si="3518"/>
        <v>BANK ISLAM BHD</v>
      </c>
      <c r="K8633" t="str">
        <f>"03036020319530"</f>
        <v>03036020319530</v>
      </c>
      <c r="L8633" t="str">
        <f t="shared" si="3525"/>
        <v>04-08-2020</v>
      </c>
      <c r="M8633" t="str">
        <f t="shared" si="3525"/>
        <v>04-08-2020</v>
      </c>
      <c r="N8633" t="str">
        <f t="shared" si="3503"/>
        <v>001105018356</v>
      </c>
      <c r="O8633" t="str">
        <f t="shared" si="3504"/>
        <v>MYR</v>
      </c>
      <c r="P8633" t="str">
        <f t="shared" si="3526"/>
        <v>NIL</v>
      </c>
      <c r="Q8633" t="str">
        <f t="shared" si="3526"/>
        <v>NIL</v>
      </c>
      <c r="R8633" t="str">
        <f t="shared" si="3519"/>
        <v>Accepted</v>
      </c>
      <c r="S8633" t="str">
        <f t="shared" si="3505"/>
        <v>Approved</v>
      </c>
      <c r="T8633" t="str">
        <f t="shared" si="3520"/>
        <v>10.20.8.188</v>
      </c>
      <c r="U8633" t="str">
        <f t="shared" si="3506"/>
        <v>AZRAD UMAR BIN SHAARI</v>
      </c>
      <c r="V8633" t="str">
        <f t="shared" si="3507"/>
        <v>FARHANA BINTI MUSTAPA</v>
      </c>
      <c r="W8633" t="str">
        <f t="shared" si="3508"/>
        <v>04-08-2020</v>
      </c>
      <c r="X8633" t="str">
        <f t="shared" si="3509"/>
        <v>RAZIMAH ANSAR AHMAD</v>
      </c>
      <c r="Y8633" t="str">
        <f t="shared" si="3510"/>
        <v>04-08-2020</v>
      </c>
      <c r="Z8633" t="str">
        <f>"COS10200804 191"</f>
        <v>COS10200804 191</v>
      </c>
    </row>
    <row r="8634" spans="1:26" x14ac:dyDescent="0.25">
      <c r="A8634" t="str">
        <f t="shared" si="3523"/>
        <v>04-08-2020 11:31:08</v>
      </c>
      <c r="B8634" t="str">
        <f>"0000802099"</f>
        <v>0000802099</v>
      </c>
      <c r="C8634" t="str">
        <f t="shared" si="3524"/>
        <v>0000801909</v>
      </c>
      <c r="D8634" t="str">
        <f t="shared" si="3500"/>
        <v>73185</v>
      </c>
      <c r="E8634" t="str">
        <f t="shared" si="3501"/>
        <v>KFH-OPERATIONS DEPARTMENT</v>
      </c>
      <c r="F8634" t="str">
        <f t="shared" si="3502"/>
        <v>IBG</v>
      </c>
      <c r="G8634" t="str">
        <f t="shared" si="3515"/>
        <v>Refund COSHARE 10</v>
      </c>
      <c r="H8634" s="2">
        <v>722</v>
      </c>
      <c r="I8634" t="str">
        <f>"ADILAH BINTI IBRAHIM"</f>
        <v>ADILAH BINTI IBRAHIM</v>
      </c>
      <c r="J8634" t="str">
        <f t="shared" si="3518"/>
        <v>BANK ISLAM BHD</v>
      </c>
      <c r="K8634" t="str">
        <f>"02039020189817"</f>
        <v>02039020189817</v>
      </c>
      <c r="L8634" t="str">
        <f t="shared" si="3525"/>
        <v>04-08-2020</v>
      </c>
      <c r="M8634" t="str">
        <f t="shared" si="3525"/>
        <v>04-08-2020</v>
      </c>
      <c r="N8634" t="str">
        <f t="shared" si="3503"/>
        <v>001105018356</v>
      </c>
      <c r="O8634" t="str">
        <f t="shared" si="3504"/>
        <v>MYR</v>
      </c>
      <c r="P8634" t="str">
        <f t="shared" si="3526"/>
        <v>NIL</v>
      </c>
      <c r="Q8634" t="str">
        <f t="shared" si="3526"/>
        <v>NIL</v>
      </c>
      <c r="R8634" t="str">
        <f t="shared" si="3519"/>
        <v>Accepted</v>
      </c>
      <c r="S8634" t="str">
        <f t="shared" si="3505"/>
        <v>Approved</v>
      </c>
      <c r="T8634" t="str">
        <f t="shared" si="3520"/>
        <v>10.20.8.188</v>
      </c>
      <c r="U8634" t="str">
        <f t="shared" si="3506"/>
        <v>AZRAD UMAR BIN SHAARI</v>
      </c>
      <c r="V8634" t="str">
        <f t="shared" si="3507"/>
        <v>FARHANA BINTI MUSTAPA</v>
      </c>
      <c r="W8634" t="str">
        <f t="shared" si="3508"/>
        <v>04-08-2020</v>
      </c>
      <c r="X8634" t="str">
        <f t="shared" si="3509"/>
        <v>RAZIMAH ANSAR AHMAD</v>
      </c>
      <c r="Y8634" t="str">
        <f t="shared" si="3510"/>
        <v>04-08-2020</v>
      </c>
      <c r="Z8634" t="str">
        <f>"COS10200804 190"</f>
        <v>COS10200804 190</v>
      </c>
    </row>
    <row r="8635" spans="1:26" x14ac:dyDescent="0.25">
      <c r="A8635" t="str">
        <f t="shared" si="3523"/>
        <v>04-08-2020 11:31:08</v>
      </c>
      <c r="B8635" t="str">
        <f>"0000802098"</f>
        <v>0000802098</v>
      </c>
      <c r="C8635" t="str">
        <f t="shared" si="3524"/>
        <v>0000801909</v>
      </c>
      <c r="D8635" t="str">
        <f t="shared" si="3500"/>
        <v>73185</v>
      </c>
      <c r="E8635" t="str">
        <f t="shared" si="3501"/>
        <v>KFH-OPERATIONS DEPARTMENT</v>
      </c>
      <c r="F8635" t="str">
        <f t="shared" si="3502"/>
        <v>IBG</v>
      </c>
      <c r="G8635" t="str">
        <f t="shared" si="3515"/>
        <v>Refund COSHARE 10</v>
      </c>
      <c r="H8635" s="2">
        <v>42</v>
      </c>
      <c r="I8635" t="str">
        <f>"ADIBAH BINTI ABDULLAH"</f>
        <v>ADIBAH BINTI ABDULLAH</v>
      </c>
      <c r="J8635" t="str">
        <f t="shared" si="3518"/>
        <v>BANK ISLAM BHD</v>
      </c>
      <c r="K8635" t="str">
        <f>"08068020266895"</f>
        <v>08068020266895</v>
      </c>
      <c r="L8635" t="str">
        <f t="shared" si="3525"/>
        <v>04-08-2020</v>
      </c>
      <c r="M8635" t="str">
        <f t="shared" si="3525"/>
        <v>04-08-2020</v>
      </c>
      <c r="N8635" t="str">
        <f t="shared" si="3503"/>
        <v>001105018356</v>
      </c>
      <c r="O8635" t="str">
        <f t="shared" si="3504"/>
        <v>MYR</v>
      </c>
      <c r="P8635" t="str">
        <f t="shared" si="3526"/>
        <v>NIL</v>
      </c>
      <c r="Q8635" t="str">
        <f t="shared" si="3526"/>
        <v>NIL</v>
      </c>
      <c r="R8635" t="str">
        <f t="shared" si="3519"/>
        <v>Accepted</v>
      </c>
      <c r="S8635" t="str">
        <f t="shared" si="3505"/>
        <v>Approved</v>
      </c>
      <c r="T8635" t="str">
        <f t="shared" si="3520"/>
        <v>10.20.8.188</v>
      </c>
      <c r="U8635" t="str">
        <f t="shared" si="3506"/>
        <v>AZRAD UMAR BIN SHAARI</v>
      </c>
      <c r="V8635" t="str">
        <f t="shared" si="3507"/>
        <v>FARHANA BINTI MUSTAPA</v>
      </c>
      <c r="W8635" t="str">
        <f t="shared" si="3508"/>
        <v>04-08-2020</v>
      </c>
      <c r="X8635" t="str">
        <f t="shared" si="3509"/>
        <v>RAZIMAH ANSAR AHMAD</v>
      </c>
      <c r="Y8635" t="str">
        <f t="shared" si="3510"/>
        <v>04-08-2020</v>
      </c>
      <c r="Z8635" t="str">
        <f>"COS10200804 189"</f>
        <v>COS10200804 189</v>
      </c>
    </row>
    <row r="8636" spans="1:26" x14ac:dyDescent="0.25">
      <c r="A8636" t="str">
        <f t="shared" si="3523"/>
        <v>04-08-2020 11:31:08</v>
      </c>
      <c r="B8636" t="str">
        <f>"0000802097"</f>
        <v>0000802097</v>
      </c>
      <c r="C8636" t="str">
        <f t="shared" si="3524"/>
        <v>0000801909</v>
      </c>
      <c r="D8636" t="str">
        <f t="shared" si="3500"/>
        <v>73185</v>
      </c>
      <c r="E8636" t="str">
        <f t="shared" si="3501"/>
        <v>KFH-OPERATIONS DEPARTMENT</v>
      </c>
      <c r="F8636" t="str">
        <f t="shared" si="3502"/>
        <v>IBG</v>
      </c>
      <c r="G8636" t="str">
        <f t="shared" si="3515"/>
        <v>Refund COSHARE 10</v>
      </c>
      <c r="H8636" s="2">
        <v>1142</v>
      </c>
      <c r="I8636" t="str">
        <f>"ADI SYAMZARI BIN SHOHAIMI"</f>
        <v>ADI SYAMZARI BIN SHOHAIMI</v>
      </c>
      <c r="J8636" t="str">
        <f t="shared" si="3518"/>
        <v>BANK ISLAM BHD</v>
      </c>
      <c r="K8636" t="str">
        <f>"12038020305646"</f>
        <v>12038020305646</v>
      </c>
      <c r="L8636" t="str">
        <f t="shared" si="3525"/>
        <v>04-08-2020</v>
      </c>
      <c r="M8636" t="str">
        <f t="shared" si="3525"/>
        <v>04-08-2020</v>
      </c>
      <c r="N8636" t="str">
        <f t="shared" si="3503"/>
        <v>001105018356</v>
      </c>
      <c r="O8636" t="str">
        <f t="shared" si="3504"/>
        <v>MYR</v>
      </c>
      <c r="P8636" t="str">
        <f t="shared" si="3526"/>
        <v>NIL</v>
      </c>
      <c r="Q8636" t="str">
        <f t="shared" si="3526"/>
        <v>NIL</v>
      </c>
      <c r="R8636" t="str">
        <f t="shared" si="3519"/>
        <v>Accepted</v>
      </c>
      <c r="S8636" t="str">
        <f t="shared" si="3505"/>
        <v>Approved</v>
      </c>
      <c r="T8636" t="str">
        <f t="shared" si="3520"/>
        <v>10.20.8.188</v>
      </c>
      <c r="U8636" t="str">
        <f t="shared" si="3506"/>
        <v>AZRAD UMAR BIN SHAARI</v>
      </c>
      <c r="V8636" t="str">
        <f t="shared" si="3507"/>
        <v>FARHANA BINTI MUSTAPA</v>
      </c>
      <c r="W8636" t="str">
        <f t="shared" si="3508"/>
        <v>04-08-2020</v>
      </c>
      <c r="X8636" t="str">
        <f t="shared" si="3509"/>
        <v>RAZIMAH ANSAR AHMAD</v>
      </c>
      <c r="Y8636" t="str">
        <f t="shared" si="3510"/>
        <v>04-08-2020</v>
      </c>
      <c r="Z8636" t="str">
        <f>"COS10200804 188"</f>
        <v>COS10200804 188</v>
      </c>
    </row>
    <row r="8637" spans="1:26" x14ac:dyDescent="0.25">
      <c r="A8637" t="str">
        <f t="shared" si="3523"/>
        <v>04-08-2020 11:31:08</v>
      </c>
      <c r="B8637" t="str">
        <f>"0000802096"</f>
        <v>0000802096</v>
      </c>
      <c r="C8637" t="str">
        <f t="shared" si="3524"/>
        <v>0000801909</v>
      </c>
      <c r="D8637" t="str">
        <f t="shared" si="3500"/>
        <v>73185</v>
      </c>
      <c r="E8637" t="str">
        <f t="shared" si="3501"/>
        <v>KFH-OPERATIONS DEPARTMENT</v>
      </c>
      <c r="F8637" t="str">
        <f t="shared" si="3502"/>
        <v>IBG</v>
      </c>
      <c r="G8637" t="str">
        <f t="shared" si="3515"/>
        <v>Refund COSHARE 10</v>
      </c>
      <c r="H8637" s="2">
        <v>691.9</v>
      </c>
      <c r="I8637" t="str">
        <f>"ADDY HISSHAM BIN ELIAS"</f>
        <v>ADDY HISSHAM BIN ELIAS</v>
      </c>
      <c r="J8637" t="str">
        <f t="shared" si="3518"/>
        <v>BANK ISLAM BHD</v>
      </c>
      <c r="K8637" t="str">
        <f>"12122020096562"</f>
        <v>12122020096562</v>
      </c>
      <c r="L8637" t="str">
        <f t="shared" si="3525"/>
        <v>04-08-2020</v>
      </c>
      <c r="M8637" t="str">
        <f t="shared" si="3525"/>
        <v>04-08-2020</v>
      </c>
      <c r="N8637" t="str">
        <f t="shared" si="3503"/>
        <v>001105018356</v>
      </c>
      <c r="O8637" t="str">
        <f t="shared" si="3504"/>
        <v>MYR</v>
      </c>
      <c r="P8637" t="str">
        <f t="shared" si="3526"/>
        <v>NIL</v>
      </c>
      <c r="Q8637" t="str">
        <f t="shared" si="3526"/>
        <v>NIL</v>
      </c>
      <c r="R8637" t="str">
        <f t="shared" si="3519"/>
        <v>Accepted</v>
      </c>
      <c r="S8637" t="str">
        <f t="shared" si="3505"/>
        <v>Approved</v>
      </c>
      <c r="T8637" t="str">
        <f t="shared" si="3520"/>
        <v>10.20.8.188</v>
      </c>
      <c r="U8637" t="str">
        <f t="shared" si="3506"/>
        <v>AZRAD UMAR BIN SHAARI</v>
      </c>
      <c r="V8637" t="str">
        <f t="shared" si="3507"/>
        <v>FARHANA BINTI MUSTAPA</v>
      </c>
      <c r="W8637" t="str">
        <f t="shared" si="3508"/>
        <v>04-08-2020</v>
      </c>
      <c r="X8637" t="str">
        <f t="shared" si="3509"/>
        <v>RAZIMAH ANSAR AHMAD</v>
      </c>
      <c r="Y8637" t="str">
        <f t="shared" si="3510"/>
        <v>04-08-2020</v>
      </c>
      <c r="Z8637" t="str">
        <f>"COS10200804 187"</f>
        <v>COS10200804 187</v>
      </c>
    </row>
    <row r="8638" spans="1:26" x14ac:dyDescent="0.25">
      <c r="A8638" t="str">
        <f t="shared" si="3523"/>
        <v>04-08-2020 11:31:08</v>
      </c>
      <c r="B8638" t="str">
        <f>"0000802095"</f>
        <v>0000802095</v>
      </c>
      <c r="C8638" t="str">
        <f t="shared" si="3524"/>
        <v>0000801909</v>
      </c>
      <c r="D8638" t="str">
        <f t="shared" si="3500"/>
        <v>73185</v>
      </c>
      <c r="E8638" t="str">
        <f t="shared" si="3501"/>
        <v>KFH-OPERATIONS DEPARTMENT</v>
      </c>
      <c r="F8638" t="str">
        <f t="shared" si="3502"/>
        <v>IBG</v>
      </c>
      <c r="G8638" t="str">
        <f t="shared" si="3515"/>
        <v>Refund COSHARE 10</v>
      </c>
      <c r="H8638" s="2">
        <v>587.65</v>
      </c>
      <c r="I8638" t="str">
        <f>"ADAM BIN AB JALIL"</f>
        <v>ADAM BIN AB JALIL</v>
      </c>
      <c r="J8638" t="str">
        <f t="shared" si="3518"/>
        <v>BANK ISLAM BHD</v>
      </c>
      <c r="K8638" t="str">
        <f>"05012020362200"</f>
        <v>05012020362200</v>
      </c>
      <c r="L8638" t="str">
        <f t="shared" si="3525"/>
        <v>04-08-2020</v>
      </c>
      <c r="M8638" t="str">
        <f t="shared" si="3525"/>
        <v>04-08-2020</v>
      </c>
      <c r="N8638" t="str">
        <f t="shared" si="3503"/>
        <v>001105018356</v>
      </c>
      <c r="O8638" t="str">
        <f t="shared" si="3504"/>
        <v>MYR</v>
      </c>
      <c r="P8638" t="str">
        <f t="shared" si="3526"/>
        <v>NIL</v>
      </c>
      <c r="Q8638" t="str">
        <f t="shared" si="3526"/>
        <v>NIL</v>
      </c>
      <c r="R8638" t="str">
        <f t="shared" si="3519"/>
        <v>Accepted</v>
      </c>
      <c r="S8638" t="str">
        <f t="shared" si="3505"/>
        <v>Approved</v>
      </c>
      <c r="T8638" t="str">
        <f t="shared" si="3520"/>
        <v>10.20.8.188</v>
      </c>
      <c r="U8638" t="str">
        <f t="shared" si="3506"/>
        <v>AZRAD UMAR BIN SHAARI</v>
      </c>
      <c r="V8638" t="str">
        <f t="shared" si="3507"/>
        <v>FARHANA BINTI MUSTAPA</v>
      </c>
      <c r="W8638" t="str">
        <f t="shared" si="3508"/>
        <v>04-08-2020</v>
      </c>
      <c r="X8638" t="str">
        <f t="shared" si="3509"/>
        <v>RAZIMAH ANSAR AHMAD</v>
      </c>
      <c r="Y8638" t="str">
        <f t="shared" si="3510"/>
        <v>04-08-2020</v>
      </c>
      <c r="Z8638" t="str">
        <f>"COS10200804 186"</f>
        <v>COS10200804 186</v>
      </c>
    </row>
    <row r="8639" spans="1:26" x14ac:dyDescent="0.25">
      <c r="A8639" t="str">
        <f t="shared" si="3523"/>
        <v>04-08-2020 11:31:08</v>
      </c>
      <c r="B8639" t="str">
        <f>"0000802094"</f>
        <v>0000802094</v>
      </c>
      <c r="C8639" t="str">
        <f t="shared" si="3524"/>
        <v>0000801909</v>
      </c>
      <c r="D8639" t="str">
        <f t="shared" si="3500"/>
        <v>73185</v>
      </c>
      <c r="E8639" t="str">
        <f t="shared" si="3501"/>
        <v>KFH-OPERATIONS DEPARTMENT</v>
      </c>
      <c r="F8639" t="str">
        <f t="shared" si="3502"/>
        <v>IBG</v>
      </c>
      <c r="G8639" t="str">
        <f t="shared" si="3515"/>
        <v>Refund COSHARE 10</v>
      </c>
      <c r="H8639" s="2">
        <v>190.55</v>
      </c>
      <c r="I8639" t="str">
        <f>"ABDULLAH BIN MAT YUNUS"</f>
        <v>ABDULLAH BIN MAT YUNUS</v>
      </c>
      <c r="J8639" t="str">
        <f t="shared" si="3518"/>
        <v>BANK ISLAM BHD</v>
      </c>
      <c r="K8639" t="str">
        <f>"03036020226786"</f>
        <v>03036020226786</v>
      </c>
      <c r="L8639" t="str">
        <f t="shared" si="3525"/>
        <v>04-08-2020</v>
      </c>
      <c r="M8639" t="str">
        <f t="shared" si="3525"/>
        <v>04-08-2020</v>
      </c>
      <c r="N8639" t="str">
        <f t="shared" si="3503"/>
        <v>001105018356</v>
      </c>
      <c r="O8639" t="str">
        <f t="shared" si="3504"/>
        <v>MYR</v>
      </c>
      <c r="P8639" t="str">
        <f t="shared" si="3526"/>
        <v>NIL</v>
      </c>
      <c r="Q8639" t="str">
        <f t="shared" si="3526"/>
        <v>NIL</v>
      </c>
      <c r="R8639" t="str">
        <f t="shared" si="3519"/>
        <v>Accepted</v>
      </c>
      <c r="S8639" t="str">
        <f t="shared" si="3505"/>
        <v>Approved</v>
      </c>
      <c r="T8639" t="str">
        <f t="shared" si="3520"/>
        <v>10.20.8.188</v>
      </c>
      <c r="U8639" t="str">
        <f t="shared" si="3506"/>
        <v>AZRAD UMAR BIN SHAARI</v>
      </c>
      <c r="V8639" t="str">
        <f t="shared" si="3507"/>
        <v>FARHANA BINTI MUSTAPA</v>
      </c>
      <c r="W8639" t="str">
        <f t="shared" si="3508"/>
        <v>04-08-2020</v>
      </c>
      <c r="X8639" t="str">
        <f t="shared" si="3509"/>
        <v>RAZIMAH ANSAR AHMAD</v>
      </c>
      <c r="Y8639" t="str">
        <f t="shared" si="3510"/>
        <v>04-08-2020</v>
      </c>
      <c r="Z8639" t="str">
        <f>"COS10200804 185"</f>
        <v>COS10200804 185</v>
      </c>
    </row>
    <row r="8640" spans="1:26" x14ac:dyDescent="0.25">
      <c r="A8640" t="str">
        <f t="shared" si="3523"/>
        <v>04-08-2020 11:31:08</v>
      </c>
      <c r="B8640" t="str">
        <f>"0000802093"</f>
        <v>0000802093</v>
      </c>
      <c r="C8640" t="str">
        <f t="shared" si="3524"/>
        <v>0000801909</v>
      </c>
      <c r="D8640" t="str">
        <f t="shared" si="3500"/>
        <v>73185</v>
      </c>
      <c r="E8640" t="str">
        <f t="shared" si="3501"/>
        <v>KFH-OPERATIONS DEPARTMENT</v>
      </c>
      <c r="F8640" t="str">
        <f t="shared" si="3502"/>
        <v>IBG</v>
      </c>
      <c r="G8640" t="str">
        <f t="shared" si="3515"/>
        <v>Refund COSHARE 10</v>
      </c>
      <c r="H8640" s="2">
        <v>88.7</v>
      </c>
      <c r="I8640" t="str">
        <f>"ABDUL RAHMAN BIN RI"</f>
        <v>ABDUL RAHMAN BIN RI</v>
      </c>
      <c r="J8640" t="str">
        <f t="shared" si="3518"/>
        <v>BANK ISLAM BHD</v>
      </c>
      <c r="K8640" t="str">
        <f>"08031020188152"</f>
        <v>08031020188152</v>
      </c>
      <c r="L8640" t="str">
        <f t="shared" si="3525"/>
        <v>04-08-2020</v>
      </c>
      <c r="M8640" t="str">
        <f t="shared" si="3525"/>
        <v>04-08-2020</v>
      </c>
      <c r="N8640" t="str">
        <f t="shared" si="3503"/>
        <v>001105018356</v>
      </c>
      <c r="O8640" t="str">
        <f t="shared" si="3504"/>
        <v>MYR</v>
      </c>
      <c r="P8640" t="str">
        <f t="shared" si="3526"/>
        <v>NIL</v>
      </c>
      <c r="Q8640" t="str">
        <f t="shared" si="3526"/>
        <v>NIL</v>
      </c>
      <c r="R8640" t="str">
        <f t="shared" si="3519"/>
        <v>Accepted</v>
      </c>
      <c r="S8640" t="str">
        <f t="shared" si="3505"/>
        <v>Approved</v>
      </c>
      <c r="T8640" t="str">
        <f t="shared" si="3520"/>
        <v>10.20.8.188</v>
      </c>
      <c r="U8640" t="str">
        <f t="shared" si="3506"/>
        <v>AZRAD UMAR BIN SHAARI</v>
      </c>
      <c r="V8640" t="str">
        <f t="shared" si="3507"/>
        <v>FARHANA BINTI MUSTAPA</v>
      </c>
      <c r="W8640" t="str">
        <f t="shared" si="3508"/>
        <v>04-08-2020</v>
      </c>
      <c r="X8640" t="str">
        <f t="shared" si="3509"/>
        <v>RAZIMAH ANSAR AHMAD</v>
      </c>
      <c r="Y8640" t="str">
        <f t="shared" si="3510"/>
        <v>04-08-2020</v>
      </c>
      <c r="Z8640" t="str">
        <f>"COS10200804 184"</f>
        <v>COS10200804 184</v>
      </c>
    </row>
    <row r="8641" spans="1:26" x14ac:dyDescent="0.25">
      <c r="A8641" t="str">
        <f t="shared" si="3523"/>
        <v>04-08-2020 11:31:08</v>
      </c>
      <c r="B8641" t="str">
        <f>"0000802092"</f>
        <v>0000802092</v>
      </c>
      <c r="C8641" t="str">
        <f t="shared" si="3524"/>
        <v>0000801909</v>
      </c>
      <c r="D8641" t="str">
        <f t="shared" si="3500"/>
        <v>73185</v>
      </c>
      <c r="E8641" t="str">
        <f t="shared" si="3501"/>
        <v>KFH-OPERATIONS DEPARTMENT</v>
      </c>
      <c r="F8641" t="str">
        <f t="shared" si="3502"/>
        <v>IBG</v>
      </c>
      <c r="G8641" t="str">
        <f t="shared" si="3515"/>
        <v>Refund COSHARE 10</v>
      </c>
      <c r="H8641" s="2">
        <v>1343.2</v>
      </c>
      <c r="I8641" t="str">
        <f>"ABDUL RAHMAN B ABING"</f>
        <v>ABDUL RAHMAN B ABING</v>
      </c>
      <c r="J8641" t="str">
        <f t="shared" si="3518"/>
        <v>BANK ISLAM BHD</v>
      </c>
      <c r="K8641" t="str">
        <f>"11040028398547"</f>
        <v>11040028398547</v>
      </c>
      <c r="L8641" t="str">
        <f t="shared" si="3525"/>
        <v>04-08-2020</v>
      </c>
      <c r="M8641" t="str">
        <f t="shared" si="3525"/>
        <v>04-08-2020</v>
      </c>
      <c r="N8641" t="str">
        <f t="shared" si="3503"/>
        <v>001105018356</v>
      </c>
      <c r="O8641" t="str">
        <f t="shared" si="3504"/>
        <v>MYR</v>
      </c>
      <c r="P8641" t="str">
        <f t="shared" si="3526"/>
        <v>NIL</v>
      </c>
      <c r="Q8641" t="str">
        <f t="shared" si="3526"/>
        <v>NIL</v>
      </c>
      <c r="R8641" t="str">
        <f t="shared" si="3519"/>
        <v>Accepted</v>
      </c>
      <c r="S8641" t="str">
        <f t="shared" si="3505"/>
        <v>Approved</v>
      </c>
      <c r="T8641" t="str">
        <f t="shared" si="3520"/>
        <v>10.20.8.188</v>
      </c>
      <c r="U8641" t="str">
        <f t="shared" si="3506"/>
        <v>AZRAD UMAR BIN SHAARI</v>
      </c>
      <c r="V8641" t="str">
        <f t="shared" si="3507"/>
        <v>FARHANA BINTI MUSTAPA</v>
      </c>
      <c r="W8641" t="str">
        <f t="shared" si="3508"/>
        <v>04-08-2020</v>
      </c>
      <c r="X8641" t="str">
        <f t="shared" si="3509"/>
        <v>RAZIMAH ANSAR AHMAD</v>
      </c>
      <c r="Y8641" t="str">
        <f t="shared" si="3510"/>
        <v>04-08-2020</v>
      </c>
      <c r="Z8641" t="str">
        <f>"COS10200804 183"</f>
        <v>COS10200804 183</v>
      </c>
    </row>
    <row r="8642" spans="1:26" x14ac:dyDescent="0.25">
      <c r="A8642" t="str">
        <f t="shared" si="3523"/>
        <v>04-08-2020 11:31:08</v>
      </c>
      <c r="B8642" t="str">
        <f>"0000802091"</f>
        <v>0000802091</v>
      </c>
      <c r="C8642" t="str">
        <f t="shared" si="3524"/>
        <v>0000801909</v>
      </c>
      <c r="D8642" t="str">
        <f t="shared" si="3500"/>
        <v>73185</v>
      </c>
      <c r="E8642" t="str">
        <f t="shared" si="3501"/>
        <v>KFH-OPERATIONS DEPARTMENT</v>
      </c>
      <c r="F8642" t="str">
        <f t="shared" si="3502"/>
        <v>IBG</v>
      </c>
      <c r="G8642" t="str">
        <f t="shared" si="3515"/>
        <v>Refund COSHARE 10</v>
      </c>
      <c r="H8642" s="2">
        <v>100.75</v>
      </c>
      <c r="I8642" t="str">
        <f>"ABDUL NOHBAT BIN MADATAR"</f>
        <v>ABDUL NOHBAT BIN MADATAR</v>
      </c>
      <c r="J8642" t="str">
        <f t="shared" si="3518"/>
        <v>BANK ISLAM BHD</v>
      </c>
      <c r="K8642" t="str">
        <f>"10016020317721"</f>
        <v>10016020317721</v>
      </c>
      <c r="L8642" t="str">
        <f t="shared" si="3525"/>
        <v>04-08-2020</v>
      </c>
      <c r="M8642" t="str">
        <f t="shared" si="3525"/>
        <v>04-08-2020</v>
      </c>
      <c r="N8642" t="str">
        <f t="shared" si="3503"/>
        <v>001105018356</v>
      </c>
      <c r="O8642" t="str">
        <f t="shared" si="3504"/>
        <v>MYR</v>
      </c>
      <c r="P8642" t="str">
        <f t="shared" si="3526"/>
        <v>NIL</v>
      </c>
      <c r="Q8642" t="str">
        <f t="shared" si="3526"/>
        <v>NIL</v>
      </c>
      <c r="R8642" t="str">
        <f t="shared" si="3519"/>
        <v>Accepted</v>
      </c>
      <c r="S8642" t="str">
        <f t="shared" si="3505"/>
        <v>Approved</v>
      </c>
      <c r="T8642" t="str">
        <f t="shared" si="3520"/>
        <v>10.20.8.188</v>
      </c>
      <c r="U8642" t="str">
        <f t="shared" si="3506"/>
        <v>AZRAD UMAR BIN SHAARI</v>
      </c>
      <c r="V8642" t="str">
        <f t="shared" si="3507"/>
        <v>FARHANA BINTI MUSTAPA</v>
      </c>
      <c r="W8642" t="str">
        <f t="shared" si="3508"/>
        <v>04-08-2020</v>
      </c>
      <c r="X8642" t="str">
        <f t="shared" si="3509"/>
        <v>RAZIMAH ANSAR AHMAD</v>
      </c>
      <c r="Y8642" t="str">
        <f t="shared" si="3510"/>
        <v>04-08-2020</v>
      </c>
      <c r="Z8642" t="str">
        <f>"COS10200804 182"</f>
        <v>COS10200804 182</v>
      </c>
    </row>
    <row r="8643" spans="1:26" x14ac:dyDescent="0.25">
      <c r="A8643" t="str">
        <f t="shared" si="3523"/>
        <v>04-08-2020 11:31:08</v>
      </c>
      <c r="B8643" t="str">
        <f>"0000802090"</f>
        <v>0000802090</v>
      </c>
      <c r="C8643" t="str">
        <f t="shared" si="3524"/>
        <v>0000801909</v>
      </c>
      <c r="D8643" t="str">
        <f t="shared" si="3500"/>
        <v>73185</v>
      </c>
      <c r="E8643" t="str">
        <f t="shared" si="3501"/>
        <v>KFH-OPERATIONS DEPARTMENT</v>
      </c>
      <c r="F8643" t="str">
        <f t="shared" si="3502"/>
        <v>IBG</v>
      </c>
      <c r="G8643" t="str">
        <f t="shared" si="3515"/>
        <v>Refund COSHARE 10</v>
      </c>
      <c r="H8643" s="2">
        <v>377.8</v>
      </c>
      <c r="I8643" t="str">
        <f>"ABDUL HASLI BIN ABDULLAH"</f>
        <v>ABDUL HASLI BIN ABDULLAH</v>
      </c>
      <c r="J8643" t="str">
        <f t="shared" si="3518"/>
        <v>BANK ISLAM BHD</v>
      </c>
      <c r="K8643" t="str">
        <f>"08068020489962"</f>
        <v>08068020489962</v>
      </c>
      <c r="L8643" t="str">
        <f t="shared" si="3525"/>
        <v>04-08-2020</v>
      </c>
      <c r="M8643" t="str">
        <f t="shared" si="3525"/>
        <v>04-08-2020</v>
      </c>
      <c r="N8643" t="str">
        <f t="shared" si="3503"/>
        <v>001105018356</v>
      </c>
      <c r="O8643" t="str">
        <f t="shared" si="3504"/>
        <v>MYR</v>
      </c>
      <c r="P8643" t="str">
        <f t="shared" si="3526"/>
        <v>NIL</v>
      </c>
      <c r="Q8643" t="str">
        <f t="shared" si="3526"/>
        <v>NIL</v>
      </c>
      <c r="R8643" t="str">
        <f t="shared" si="3519"/>
        <v>Accepted</v>
      </c>
      <c r="S8643" t="str">
        <f t="shared" si="3505"/>
        <v>Approved</v>
      </c>
      <c r="T8643" t="str">
        <f t="shared" si="3520"/>
        <v>10.20.8.188</v>
      </c>
      <c r="U8643" t="str">
        <f t="shared" si="3506"/>
        <v>AZRAD UMAR BIN SHAARI</v>
      </c>
      <c r="V8643" t="str">
        <f t="shared" si="3507"/>
        <v>FARHANA BINTI MUSTAPA</v>
      </c>
      <c r="W8643" t="str">
        <f t="shared" si="3508"/>
        <v>04-08-2020</v>
      </c>
      <c r="X8643" t="str">
        <f t="shared" si="3509"/>
        <v>RAZIMAH ANSAR AHMAD</v>
      </c>
      <c r="Y8643" t="str">
        <f t="shared" si="3510"/>
        <v>04-08-2020</v>
      </c>
      <c r="Z8643" t="str">
        <f>"COS10200804 181"</f>
        <v>COS10200804 181</v>
      </c>
    </row>
    <row r="8644" spans="1:26" x14ac:dyDescent="0.25">
      <c r="A8644" t="str">
        <f t="shared" si="3523"/>
        <v>04-08-2020 11:31:08</v>
      </c>
      <c r="B8644" t="str">
        <f>"0000802089"</f>
        <v>0000802089</v>
      </c>
      <c r="C8644" t="str">
        <f t="shared" si="3524"/>
        <v>0000801909</v>
      </c>
      <c r="D8644" t="str">
        <f t="shared" si="3500"/>
        <v>73185</v>
      </c>
      <c r="E8644" t="str">
        <f t="shared" si="3501"/>
        <v>KFH-OPERATIONS DEPARTMENT</v>
      </c>
      <c r="F8644" t="str">
        <f t="shared" si="3502"/>
        <v>IBG</v>
      </c>
      <c r="G8644" t="str">
        <f t="shared" si="3515"/>
        <v>Refund COSHARE 10</v>
      </c>
      <c r="H8644" s="2">
        <v>731</v>
      </c>
      <c r="I8644" t="str">
        <f>"ABDUL HALIM BIN HAMIR"</f>
        <v>ABDUL HALIM BIN HAMIR</v>
      </c>
      <c r="J8644" t="str">
        <f t="shared" si="3518"/>
        <v>BANK ISLAM BHD</v>
      </c>
      <c r="K8644" t="str">
        <f>"12056022764553"</f>
        <v>12056022764553</v>
      </c>
      <c r="L8644" t="str">
        <f t="shared" si="3525"/>
        <v>04-08-2020</v>
      </c>
      <c r="M8644" t="str">
        <f t="shared" si="3525"/>
        <v>04-08-2020</v>
      </c>
      <c r="N8644" t="str">
        <f t="shared" si="3503"/>
        <v>001105018356</v>
      </c>
      <c r="O8644" t="str">
        <f t="shared" si="3504"/>
        <v>MYR</v>
      </c>
      <c r="P8644" t="str">
        <f t="shared" si="3526"/>
        <v>NIL</v>
      </c>
      <c r="Q8644" t="str">
        <f t="shared" si="3526"/>
        <v>NIL</v>
      </c>
      <c r="R8644" t="str">
        <f t="shared" si="3519"/>
        <v>Accepted</v>
      </c>
      <c r="S8644" t="str">
        <f t="shared" si="3505"/>
        <v>Approved</v>
      </c>
      <c r="T8644" t="str">
        <f t="shared" si="3520"/>
        <v>10.20.8.188</v>
      </c>
      <c r="U8644" t="str">
        <f t="shared" si="3506"/>
        <v>AZRAD UMAR BIN SHAARI</v>
      </c>
      <c r="V8644" t="str">
        <f t="shared" si="3507"/>
        <v>FARHANA BINTI MUSTAPA</v>
      </c>
      <c r="W8644" t="str">
        <f t="shared" si="3508"/>
        <v>04-08-2020</v>
      </c>
      <c r="X8644" t="str">
        <f t="shared" si="3509"/>
        <v>RAZIMAH ANSAR AHMAD</v>
      </c>
      <c r="Y8644" t="str">
        <f t="shared" si="3510"/>
        <v>04-08-2020</v>
      </c>
      <c r="Z8644" t="str">
        <f>"COS10200804 180"</f>
        <v>COS10200804 180</v>
      </c>
    </row>
    <row r="8645" spans="1:26" x14ac:dyDescent="0.25">
      <c r="A8645" t="str">
        <f t="shared" si="3523"/>
        <v>04-08-2020 11:31:08</v>
      </c>
      <c r="B8645" t="str">
        <f>"0000802088"</f>
        <v>0000802088</v>
      </c>
      <c r="C8645" t="str">
        <f t="shared" si="3524"/>
        <v>0000801909</v>
      </c>
      <c r="D8645" t="str">
        <f t="shared" si="3500"/>
        <v>73185</v>
      </c>
      <c r="E8645" t="str">
        <f t="shared" si="3501"/>
        <v>KFH-OPERATIONS DEPARTMENT</v>
      </c>
      <c r="F8645" t="str">
        <f t="shared" si="3502"/>
        <v>IBG</v>
      </c>
      <c r="G8645" t="str">
        <f t="shared" si="3515"/>
        <v>Refund COSHARE 10</v>
      </c>
      <c r="H8645" s="2">
        <v>1074.45</v>
      </c>
      <c r="I8645" t="str">
        <f>"ABDUL HALIM BIN AHMAD"</f>
        <v>ABDUL HALIM BIN AHMAD</v>
      </c>
      <c r="J8645" t="str">
        <f t="shared" si="3518"/>
        <v>BANK ISLAM BHD</v>
      </c>
      <c r="K8645" t="str">
        <f>"12225020282405"</f>
        <v>12225020282405</v>
      </c>
      <c r="L8645" t="str">
        <f t="shared" si="3525"/>
        <v>04-08-2020</v>
      </c>
      <c r="M8645" t="str">
        <f t="shared" si="3525"/>
        <v>04-08-2020</v>
      </c>
      <c r="N8645" t="str">
        <f t="shared" si="3503"/>
        <v>001105018356</v>
      </c>
      <c r="O8645" t="str">
        <f t="shared" si="3504"/>
        <v>MYR</v>
      </c>
      <c r="P8645" t="str">
        <f t="shared" si="3526"/>
        <v>NIL</v>
      </c>
      <c r="Q8645" t="str">
        <f t="shared" si="3526"/>
        <v>NIL</v>
      </c>
      <c r="R8645" t="str">
        <f t="shared" si="3519"/>
        <v>Accepted</v>
      </c>
      <c r="S8645" t="str">
        <f t="shared" si="3505"/>
        <v>Approved</v>
      </c>
      <c r="T8645" t="str">
        <f t="shared" si="3520"/>
        <v>10.20.8.188</v>
      </c>
      <c r="U8645" t="str">
        <f t="shared" si="3506"/>
        <v>AZRAD UMAR BIN SHAARI</v>
      </c>
      <c r="V8645" t="str">
        <f t="shared" si="3507"/>
        <v>FARHANA BINTI MUSTAPA</v>
      </c>
      <c r="W8645" t="str">
        <f t="shared" si="3508"/>
        <v>04-08-2020</v>
      </c>
      <c r="X8645" t="str">
        <f t="shared" si="3509"/>
        <v>RAZIMAH ANSAR AHMAD</v>
      </c>
      <c r="Y8645" t="str">
        <f t="shared" si="3510"/>
        <v>04-08-2020</v>
      </c>
      <c r="Z8645" t="str">
        <f>"COS10200804 179"</f>
        <v>COS10200804 179</v>
      </c>
    </row>
    <row r="8646" spans="1:26" x14ac:dyDescent="0.25">
      <c r="A8646" t="str">
        <f t="shared" si="3523"/>
        <v>04-08-2020 11:31:08</v>
      </c>
      <c r="B8646" t="str">
        <f>"0000802087"</f>
        <v>0000802087</v>
      </c>
      <c r="C8646" t="str">
        <f t="shared" si="3524"/>
        <v>0000801909</v>
      </c>
      <c r="D8646" t="str">
        <f t="shared" si="3500"/>
        <v>73185</v>
      </c>
      <c r="E8646" t="str">
        <f t="shared" si="3501"/>
        <v>KFH-OPERATIONS DEPARTMENT</v>
      </c>
      <c r="F8646" t="str">
        <f t="shared" si="3502"/>
        <v>IBG</v>
      </c>
      <c r="G8646" t="str">
        <f t="shared" si="3515"/>
        <v>Refund COSHARE 10</v>
      </c>
      <c r="H8646" s="2">
        <v>1074.45</v>
      </c>
      <c r="I8646" t="str">
        <f>"ABDUL HALIM BIN AHMAD"</f>
        <v>ABDUL HALIM BIN AHMAD</v>
      </c>
      <c r="J8646" t="str">
        <f t="shared" si="3518"/>
        <v>BANK ISLAM BHD</v>
      </c>
      <c r="K8646" t="str">
        <f>"12225020282405"</f>
        <v>12225020282405</v>
      </c>
      <c r="L8646" t="str">
        <f t="shared" si="3525"/>
        <v>04-08-2020</v>
      </c>
      <c r="M8646" t="str">
        <f t="shared" si="3525"/>
        <v>04-08-2020</v>
      </c>
      <c r="N8646" t="str">
        <f t="shared" si="3503"/>
        <v>001105018356</v>
      </c>
      <c r="O8646" t="str">
        <f t="shared" si="3504"/>
        <v>MYR</v>
      </c>
      <c r="P8646" t="str">
        <f t="shared" si="3526"/>
        <v>NIL</v>
      </c>
      <c r="Q8646" t="str">
        <f t="shared" si="3526"/>
        <v>NIL</v>
      </c>
      <c r="R8646" t="str">
        <f t="shared" si="3519"/>
        <v>Accepted</v>
      </c>
      <c r="S8646" t="str">
        <f t="shared" si="3505"/>
        <v>Approved</v>
      </c>
      <c r="T8646" t="str">
        <f t="shared" si="3520"/>
        <v>10.20.8.188</v>
      </c>
      <c r="U8646" t="str">
        <f t="shared" si="3506"/>
        <v>AZRAD UMAR BIN SHAARI</v>
      </c>
      <c r="V8646" t="str">
        <f t="shared" si="3507"/>
        <v>FARHANA BINTI MUSTAPA</v>
      </c>
      <c r="W8646" t="str">
        <f t="shared" si="3508"/>
        <v>04-08-2020</v>
      </c>
      <c r="X8646" t="str">
        <f t="shared" si="3509"/>
        <v>RAZIMAH ANSAR AHMAD</v>
      </c>
      <c r="Y8646" t="str">
        <f t="shared" si="3510"/>
        <v>04-08-2020</v>
      </c>
      <c r="Z8646" t="str">
        <f>"COS10200804 178"</f>
        <v>COS10200804 178</v>
      </c>
    </row>
    <row r="8647" spans="1:26" x14ac:dyDescent="0.25">
      <c r="A8647" t="str">
        <f t="shared" si="3523"/>
        <v>04-08-2020 11:31:08</v>
      </c>
      <c r="B8647" t="str">
        <f>"0000802086"</f>
        <v>0000802086</v>
      </c>
      <c r="C8647" t="str">
        <f t="shared" si="3524"/>
        <v>0000801909</v>
      </c>
      <c r="D8647" t="str">
        <f t="shared" ref="D8647:D8710" si="3527">"73185"</f>
        <v>73185</v>
      </c>
      <c r="E8647" t="str">
        <f t="shared" ref="E8647:E8710" si="3528">"KFH-OPERATIONS DEPARTMENT"</f>
        <v>KFH-OPERATIONS DEPARTMENT</v>
      </c>
      <c r="F8647" t="str">
        <f t="shared" ref="F8647:F8710" si="3529">"IBG"</f>
        <v>IBG</v>
      </c>
      <c r="G8647" t="str">
        <f t="shared" si="3515"/>
        <v>Refund COSHARE 10</v>
      </c>
      <c r="H8647" s="2">
        <v>671.6</v>
      </c>
      <c r="I8647" t="str">
        <f>"ABDUL HAFIZ BIN ABDULLAH"</f>
        <v>ABDUL HAFIZ BIN ABDULLAH</v>
      </c>
      <c r="J8647" t="str">
        <f t="shared" si="3518"/>
        <v>BANK ISLAM BHD</v>
      </c>
      <c r="K8647" t="str">
        <f>"16018021312059"</f>
        <v>16018021312059</v>
      </c>
      <c r="L8647" t="str">
        <f t="shared" ref="L8647:M8666" si="3530">"04-08-2020"</f>
        <v>04-08-2020</v>
      </c>
      <c r="M8647" t="str">
        <f t="shared" si="3530"/>
        <v>04-08-2020</v>
      </c>
      <c r="N8647" t="str">
        <f t="shared" ref="N8647:N8710" si="3531">"001105018356"</f>
        <v>001105018356</v>
      </c>
      <c r="O8647" t="str">
        <f t="shared" ref="O8647:O8710" si="3532">"MYR"</f>
        <v>MYR</v>
      </c>
      <c r="P8647" t="str">
        <f t="shared" ref="P8647:Q8666" si="3533">"NIL"</f>
        <v>NIL</v>
      </c>
      <c r="Q8647" t="str">
        <f t="shared" si="3533"/>
        <v>NIL</v>
      </c>
      <c r="R8647" t="str">
        <f t="shared" si="3519"/>
        <v>Accepted</v>
      </c>
      <c r="S8647" t="str">
        <f t="shared" ref="S8647:S8710" si="3534">"Approved"</f>
        <v>Approved</v>
      </c>
      <c r="T8647" t="str">
        <f t="shared" si="3520"/>
        <v>10.20.8.188</v>
      </c>
      <c r="U8647" t="str">
        <f t="shared" ref="U8647:U8710" si="3535">"AZRAD UMAR BIN SHAARI"</f>
        <v>AZRAD UMAR BIN SHAARI</v>
      </c>
      <c r="V8647" t="str">
        <f t="shared" ref="V8647:V8710" si="3536">"FARHANA BINTI MUSTAPA"</f>
        <v>FARHANA BINTI MUSTAPA</v>
      </c>
      <c r="W8647" t="str">
        <f t="shared" ref="W8647:W8710" si="3537">"04-08-2020"</f>
        <v>04-08-2020</v>
      </c>
      <c r="X8647" t="str">
        <f t="shared" ref="X8647:X8710" si="3538">"RAZIMAH ANSAR AHMAD"</f>
        <v>RAZIMAH ANSAR AHMAD</v>
      </c>
      <c r="Y8647" t="str">
        <f t="shared" ref="Y8647:Y8710" si="3539">"04-08-2020"</f>
        <v>04-08-2020</v>
      </c>
      <c r="Z8647" t="str">
        <f>"COS10200804 177"</f>
        <v>COS10200804 177</v>
      </c>
    </row>
    <row r="8648" spans="1:26" x14ac:dyDescent="0.25">
      <c r="A8648" t="str">
        <f t="shared" si="3523"/>
        <v>04-08-2020 11:31:08</v>
      </c>
      <c r="B8648" t="str">
        <f>"0000802085"</f>
        <v>0000802085</v>
      </c>
      <c r="C8648" t="str">
        <f t="shared" si="3524"/>
        <v>0000801909</v>
      </c>
      <c r="D8648" t="str">
        <f t="shared" si="3527"/>
        <v>73185</v>
      </c>
      <c r="E8648" t="str">
        <f t="shared" si="3528"/>
        <v>KFH-OPERATIONS DEPARTMENT</v>
      </c>
      <c r="F8648" t="str">
        <f t="shared" si="3529"/>
        <v>IBG</v>
      </c>
      <c r="G8648" t="str">
        <f t="shared" si="3515"/>
        <v>Refund COSHARE 10</v>
      </c>
      <c r="H8648" s="2">
        <v>813.05</v>
      </c>
      <c r="I8648" t="str">
        <f>"ABDUL AZIZ BIN MAT JUSOH"</f>
        <v>ABDUL AZIZ BIN MAT JUSOH</v>
      </c>
      <c r="J8648" t="str">
        <f t="shared" si="3518"/>
        <v>BANK ISLAM BHD</v>
      </c>
      <c r="K8648" t="str">
        <f>"06046020043929"</f>
        <v>06046020043929</v>
      </c>
      <c r="L8648" t="str">
        <f t="shared" si="3530"/>
        <v>04-08-2020</v>
      </c>
      <c r="M8648" t="str">
        <f t="shared" si="3530"/>
        <v>04-08-2020</v>
      </c>
      <c r="N8648" t="str">
        <f t="shared" si="3531"/>
        <v>001105018356</v>
      </c>
      <c r="O8648" t="str">
        <f t="shared" si="3532"/>
        <v>MYR</v>
      </c>
      <c r="P8648" t="str">
        <f t="shared" si="3533"/>
        <v>NIL</v>
      </c>
      <c r="Q8648" t="str">
        <f t="shared" si="3533"/>
        <v>NIL</v>
      </c>
      <c r="R8648" t="str">
        <f t="shared" si="3519"/>
        <v>Accepted</v>
      </c>
      <c r="S8648" t="str">
        <f t="shared" si="3534"/>
        <v>Approved</v>
      </c>
      <c r="T8648" t="str">
        <f t="shared" si="3520"/>
        <v>10.20.8.188</v>
      </c>
      <c r="U8648" t="str">
        <f t="shared" si="3535"/>
        <v>AZRAD UMAR BIN SHAARI</v>
      </c>
      <c r="V8648" t="str">
        <f t="shared" si="3536"/>
        <v>FARHANA BINTI MUSTAPA</v>
      </c>
      <c r="W8648" t="str">
        <f t="shared" si="3537"/>
        <v>04-08-2020</v>
      </c>
      <c r="X8648" t="str">
        <f t="shared" si="3538"/>
        <v>RAZIMAH ANSAR AHMAD</v>
      </c>
      <c r="Y8648" t="str">
        <f t="shared" si="3539"/>
        <v>04-08-2020</v>
      </c>
      <c r="Z8648" t="str">
        <f>"COS10200804 176"</f>
        <v>COS10200804 176</v>
      </c>
    </row>
    <row r="8649" spans="1:26" x14ac:dyDescent="0.25">
      <c r="A8649" t="str">
        <f t="shared" si="3523"/>
        <v>04-08-2020 11:31:08</v>
      </c>
      <c r="B8649" t="str">
        <f>"0000802084"</f>
        <v>0000802084</v>
      </c>
      <c r="C8649" t="str">
        <f t="shared" si="3524"/>
        <v>0000801909</v>
      </c>
      <c r="D8649" t="str">
        <f t="shared" si="3527"/>
        <v>73185</v>
      </c>
      <c r="E8649" t="str">
        <f t="shared" si="3528"/>
        <v>KFH-OPERATIONS DEPARTMENT</v>
      </c>
      <c r="F8649" t="str">
        <f t="shared" si="3529"/>
        <v>IBG</v>
      </c>
      <c r="G8649" t="str">
        <f t="shared" si="3515"/>
        <v>Refund COSHARE 10</v>
      </c>
      <c r="H8649" s="2">
        <v>209.9</v>
      </c>
      <c r="I8649" t="str">
        <f>"ABDUL AZIZ BIN ABDULLAH"</f>
        <v>ABDUL AZIZ BIN ABDULLAH</v>
      </c>
      <c r="J8649" t="str">
        <f t="shared" si="3518"/>
        <v>BANK ISLAM BHD</v>
      </c>
      <c r="K8649" t="str">
        <f>"11013020316551"</f>
        <v>11013020316551</v>
      </c>
      <c r="L8649" t="str">
        <f t="shared" si="3530"/>
        <v>04-08-2020</v>
      </c>
      <c r="M8649" t="str">
        <f t="shared" si="3530"/>
        <v>04-08-2020</v>
      </c>
      <c r="N8649" t="str">
        <f t="shared" si="3531"/>
        <v>001105018356</v>
      </c>
      <c r="O8649" t="str">
        <f t="shared" si="3532"/>
        <v>MYR</v>
      </c>
      <c r="P8649" t="str">
        <f t="shared" si="3533"/>
        <v>NIL</v>
      </c>
      <c r="Q8649" t="str">
        <f t="shared" si="3533"/>
        <v>NIL</v>
      </c>
      <c r="R8649" t="str">
        <f t="shared" si="3519"/>
        <v>Accepted</v>
      </c>
      <c r="S8649" t="str">
        <f t="shared" si="3534"/>
        <v>Approved</v>
      </c>
      <c r="T8649" t="str">
        <f t="shared" si="3520"/>
        <v>10.20.8.188</v>
      </c>
      <c r="U8649" t="str">
        <f t="shared" si="3535"/>
        <v>AZRAD UMAR BIN SHAARI</v>
      </c>
      <c r="V8649" t="str">
        <f t="shared" si="3536"/>
        <v>FARHANA BINTI MUSTAPA</v>
      </c>
      <c r="W8649" t="str">
        <f t="shared" si="3537"/>
        <v>04-08-2020</v>
      </c>
      <c r="X8649" t="str">
        <f t="shared" si="3538"/>
        <v>RAZIMAH ANSAR AHMAD</v>
      </c>
      <c r="Y8649" t="str">
        <f t="shared" si="3539"/>
        <v>04-08-2020</v>
      </c>
      <c r="Z8649" t="str">
        <f>"COS10200804 175"</f>
        <v>COS10200804 175</v>
      </c>
    </row>
    <row r="8650" spans="1:26" x14ac:dyDescent="0.25">
      <c r="A8650" t="str">
        <f t="shared" si="3523"/>
        <v>04-08-2020 11:31:08</v>
      </c>
      <c r="B8650" t="str">
        <f>"0000802083"</f>
        <v>0000802083</v>
      </c>
      <c r="C8650" t="str">
        <f t="shared" si="3524"/>
        <v>0000801909</v>
      </c>
      <c r="D8650" t="str">
        <f t="shared" si="3527"/>
        <v>73185</v>
      </c>
      <c r="E8650" t="str">
        <f t="shared" si="3528"/>
        <v>KFH-OPERATIONS DEPARTMENT</v>
      </c>
      <c r="F8650" t="str">
        <f t="shared" si="3529"/>
        <v>IBG</v>
      </c>
      <c r="G8650" t="str">
        <f t="shared" si="3515"/>
        <v>Refund COSHARE 10</v>
      </c>
      <c r="H8650" s="2">
        <v>109</v>
      </c>
      <c r="I8650" t="str">
        <f>"ABD HALIM BIN ABDUL RAZAD"</f>
        <v>ABD HALIM BIN ABDUL RAZAD</v>
      </c>
      <c r="J8650" t="str">
        <f t="shared" si="3518"/>
        <v>BANK ISLAM BHD</v>
      </c>
      <c r="K8650" t="str">
        <f>"06019020376863"</f>
        <v>06019020376863</v>
      </c>
      <c r="L8650" t="str">
        <f t="shared" si="3530"/>
        <v>04-08-2020</v>
      </c>
      <c r="M8650" t="str">
        <f t="shared" si="3530"/>
        <v>04-08-2020</v>
      </c>
      <c r="N8650" t="str">
        <f t="shared" si="3531"/>
        <v>001105018356</v>
      </c>
      <c r="O8650" t="str">
        <f t="shared" si="3532"/>
        <v>MYR</v>
      </c>
      <c r="P8650" t="str">
        <f t="shared" si="3533"/>
        <v>NIL</v>
      </c>
      <c r="Q8650" t="str">
        <f t="shared" si="3533"/>
        <v>NIL</v>
      </c>
      <c r="R8650" t="str">
        <f t="shared" si="3519"/>
        <v>Accepted</v>
      </c>
      <c r="S8650" t="str">
        <f t="shared" si="3534"/>
        <v>Approved</v>
      </c>
      <c r="T8650" t="str">
        <f t="shared" si="3520"/>
        <v>10.20.8.188</v>
      </c>
      <c r="U8650" t="str">
        <f t="shared" si="3535"/>
        <v>AZRAD UMAR BIN SHAARI</v>
      </c>
      <c r="V8650" t="str">
        <f t="shared" si="3536"/>
        <v>FARHANA BINTI MUSTAPA</v>
      </c>
      <c r="W8650" t="str">
        <f t="shared" si="3537"/>
        <v>04-08-2020</v>
      </c>
      <c r="X8650" t="str">
        <f t="shared" si="3538"/>
        <v>RAZIMAH ANSAR AHMAD</v>
      </c>
      <c r="Y8650" t="str">
        <f t="shared" si="3539"/>
        <v>04-08-2020</v>
      </c>
      <c r="Z8650" t="str">
        <f>"COS10200804 174"</f>
        <v>COS10200804 174</v>
      </c>
    </row>
    <row r="8651" spans="1:26" x14ac:dyDescent="0.25">
      <c r="A8651" t="str">
        <f t="shared" si="3523"/>
        <v>04-08-2020 11:31:08</v>
      </c>
      <c r="B8651" t="str">
        <f>"0000802082"</f>
        <v>0000802082</v>
      </c>
      <c r="C8651" t="str">
        <f t="shared" si="3524"/>
        <v>0000801909</v>
      </c>
      <c r="D8651" t="str">
        <f t="shared" si="3527"/>
        <v>73185</v>
      </c>
      <c r="E8651" t="str">
        <f t="shared" si="3528"/>
        <v>KFH-OPERATIONS DEPARTMENT</v>
      </c>
      <c r="F8651" t="str">
        <f t="shared" si="3529"/>
        <v>IBG</v>
      </c>
      <c r="G8651" t="str">
        <f t="shared" si="3515"/>
        <v>Refund COSHARE 10</v>
      </c>
      <c r="H8651" s="2">
        <v>214.15</v>
      </c>
      <c r="I8651" t="str">
        <f>"AB SALAM ARIF BIN MAHAMED DAUD"</f>
        <v>AB SALAM ARIF BIN MAHAMED DAUD</v>
      </c>
      <c r="J8651" t="str">
        <f t="shared" si="3518"/>
        <v>BANK ISLAM BHD</v>
      </c>
      <c r="K8651" t="str">
        <f>"03036020209560"</f>
        <v>03036020209560</v>
      </c>
      <c r="L8651" t="str">
        <f t="shared" si="3530"/>
        <v>04-08-2020</v>
      </c>
      <c r="M8651" t="str">
        <f t="shared" si="3530"/>
        <v>04-08-2020</v>
      </c>
      <c r="N8651" t="str">
        <f t="shared" si="3531"/>
        <v>001105018356</v>
      </c>
      <c r="O8651" t="str">
        <f t="shared" si="3532"/>
        <v>MYR</v>
      </c>
      <c r="P8651" t="str">
        <f t="shared" si="3533"/>
        <v>NIL</v>
      </c>
      <c r="Q8651" t="str">
        <f t="shared" si="3533"/>
        <v>NIL</v>
      </c>
      <c r="R8651" t="str">
        <f t="shared" si="3519"/>
        <v>Accepted</v>
      </c>
      <c r="S8651" t="str">
        <f t="shared" si="3534"/>
        <v>Approved</v>
      </c>
      <c r="T8651" t="str">
        <f t="shared" si="3520"/>
        <v>10.20.8.188</v>
      </c>
      <c r="U8651" t="str">
        <f t="shared" si="3535"/>
        <v>AZRAD UMAR BIN SHAARI</v>
      </c>
      <c r="V8651" t="str">
        <f t="shared" si="3536"/>
        <v>FARHANA BINTI MUSTAPA</v>
      </c>
      <c r="W8651" t="str">
        <f t="shared" si="3537"/>
        <v>04-08-2020</v>
      </c>
      <c r="X8651" t="str">
        <f t="shared" si="3538"/>
        <v>RAZIMAH ANSAR AHMAD</v>
      </c>
      <c r="Y8651" t="str">
        <f t="shared" si="3539"/>
        <v>04-08-2020</v>
      </c>
      <c r="Z8651" t="str">
        <f>"COS10200804 173"</f>
        <v>COS10200804 173</v>
      </c>
    </row>
    <row r="8652" spans="1:26" x14ac:dyDescent="0.25">
      <c r="A8652" t="str">
        <f t="shared" si="3523"/>
        <v>04-08-2020 11:31:08</v>
      </c>
      <c r="B8652" t="str">
        <f>"0000802081"</f>
        <v>0000802081</v>
      </c>
      <c r="C8652" t="str">
        <f t="shared" si="3524"/>
        <v>0000801909</v>
      </c>
      <c r="D8652" t="str">
        <f t="shared" si="3527"/>
        <v>73185</v>
      </c>
      <c r="E8652" t="str">
        <f t="shared" si="3528"/>
        <v>KFH-OPERATIONS DEPARTMENT</v>
      </c>
      <c r="F8652" t="str">
        <f t="shared" si="3529"/>
        <v>IBG</v>
      </c>
      <c r="G8652" t="str">
        <f t="shared" ref="G8652:G8715" si="3540">"Refund COSHARE 10"</f>
        <v>Refund COSHARE 10</v>
      </c>
      <c r="H8652" s="2">
        <v>283.95</v>
      </c>
      <c r="I8652" t="str">
        <f>"AB RAZAK BIN OTHMAN"</f>
        <v>AB RAZAK BIN OTHMAN</v>
      </c>
      <c r="J8652" t="str">
        <f t="shared" si="3518"/>
        <v>BANK ISLAM BHD</v>
      </c>
      <c r="K8652" t="str">
        <f>"16018020049079"</f>
        <v>16018020049079</v>
      </c>
      <c r="L8652" t="str">
        <f t="shared" si="3530"/>
        <v>04-08-2020</v>
      </c>
      <c r="M8652" t="str">
        <f t="shared" si="3530"/>
        <v>04-08-2020</v>
      </c>
      <c r="N8652" t="str">
        <f t="shared" si="3531"/>
        <v>001105018356</v>
      </c>
      <c r="O8652" t="str">
        <f t="shared" si="3532"/>
        <v>MYR</v>
      </c>
      <c r="P8652" t="str">
        <f t="shared" si="3533"/>
        <v>NIL</v>
      </c>
      <c r="Q8652" t="str">
        <f t="shared" si="3533"/>
        <v>NIL</v>
      </c>
      <c r="R8652" t="str">
        <f t="shared" si="3519"/>
        <v>Accepted</v>
      </c>
      <c r="S8652" t="str">
        <f t="shared" si="3534"/>
        <v>Approved</v>
      </c>
      <c r="T8652" t="str">
        <f t="shared" si="3520"/>
        <v>10.20.8.188</v>
      </c>
      <c r="U8652" t="str">
        <f t="shared" si="3535"/>
        <v>AZRAD UMAR BIN SHAARI</v>
      </c>
      <c r="V8652" t="str">
        <f t="shared" si="3536"/>
        <v>FARHANA BINTI MUSTAPA</v>
      </c>
      <c r="W8652" t="str">
        <f t="shared" si="3537"/>
        <v>04-08-2020</v>
      </c>
      <c r="X8652" t="str">
        <f t="shared" si="3538"/>
        <v>RAZIMAH ANSAR AHMAD</v>
      </c>
      <c r="Y8652" t="str">
        <f t="shared" si="3539"/>
        <v>04-08-2020</v>
      </c>
      <c r="Z8652" t="str">
        <f>"COS10200804 172"</f>
        <v>COS10200804 172</v>
      </c>
    </row>
    <row r="8653" spans="1:26" x14ac:dyDescent="0.25">
      <c r="A8653" t="str">
        <f t="shared" si="3523"/>
        <v>04-08-2020 11:31:08</v>
      </c>
      <c r="B8653" t="str">
        <f>"0000802080"</f>
        <v>0000802080</v>
      </c>
      <c r="C8653" t="str">
        <f t="shared" si="3524"/>
        <v>0000801909</v>
      </c>
      <c r="D8653" t="str">
        <f t="shared" si="3527"/>
        <v>73185</v>
      </c>
      <c r="E8653" t="str">
        <f t="shared" si="3528"/>
        <v>KFH-OPERATIONS DEPARTMENT</v>
      </c>
      <c r="F8653" t="str">
        <f t="shared" si="3529"/>
        <v>IBG</v>
      </c>
      <c r="G8653" t="str">
        <f t="shared" si="3540"/>
        <v>Refund COSHARE 10</v>
      </c>
      <c r="H8653" s="2">
        <v>118</v>
      </c>
      <c r="I8653" t="str">
        <f>"ZULKIFLI BIN AHMED"</f>
        <v>ZULKIFLI BIN AHMED</v>
      </c>
      <c r="J8653" t="str">
        <f t="shared" ref="J8653:J8684" si="3541">"AMBANK / AMISLAMIC BANK"</f>
        <v>AMBANK / AMISLAMIC BANK</v>
      </c>
      <c r="K8653" t="str">
        <f>"0320020014405"</f>
        <v>0320020014405</v>
      </c>
      <c r="L8653" t="str">
        <f t="shared" si="3530"/>
        <v>04-08-2020</v>
      </c>
      <c r="M8653" t="str">
        <f t="shared" si="3530"/>
        <v>04-08-2020</v>
      </c>
      <c r="N8653" t="str">
        <f t="shared" si="3531"/>
        <v>001105018356</v>
      </c>
      <c r="O8653" t="str">
        <f t="shared" si="3532"/>
        <v>MYR</v>
      </c>
      <c r="P8653" t="str">
        <f t="shared" si="3533"/>
        <v>NIL</v>
      </c>
      <c r="Q8653" t="str">
        <f t="shared" si="3533"/>
        <v>NIL</v>
      </c>
      <c r="R8653" t="str">
        <f t="shared" si="3519"/>
        <v>Accepted</v>
      </c>
      <c r="S8653" t="str">
        <f t="shared" si="3534"/>
        <v>Approved</v>
      </c>
      <c r="T8653" t="str">
        <f t="shared" si="3520"/>
        <v>10.20.8.188</v>
      </c>
      <c r="U8653" t="str">
        <f t="shared" si="3535"/>
        <v>AZRAD UMAR BIN SHAARI</v>
      </c>
      <c r="V8653" t="str">
        <f t="shared" si="3536"/>
        <v>FARHANA BINTI MUSTAPA</v>
      </c>
      <c r="W8653" t="str">
        <f t="shared" si="3537"/>
        <v>04-08-2020</v>
      </c>
      <c r="X8653" t="str">
        <f t="shared" si="3538"/>
        <v>RAZIMAH ANSAR AHMAD</v>
      </c>
      <c r="Y8653" t="str">
        <f t="shared" si="3539"/>
        <v>04-08-2020</v>
      </c>
      <c r="Z8653" t="str">
        <f>"COS10200804 171"</f>
        <v>COS10200804 171</v>
      </c>
    </row>
    <row r="8654" spans="1:26" x14ac:dyDescent="0.25">
      <c r="A8654" t="str">
        <f t="shared" si="3523"/>
        <v>04-08-2020 11:31:08</v>
      </c>
      <c r="B8654" t="str">
        <f>"0000802079"</f>
        <v>0000802079</v>
      </c>
      <c r="C8654" t="str">
        <f t="shared" si="3524"/>
        <v>0000801909</v>
      </c>
      <c r="D8654" t="str">
        <f t="shared" si="3527"/>
        <v>73185</v>
      </c>
      <c r="E8654" t="str">
        <f t="shared" si="3528"/>
        <v>KFH-OPERATIONS DEPARTMENT</v>
      </c>
      <c r="F8654" t="str">
        <f t="shared" si="3529"/>
        <v>IBG</v>
      </c>
      <c r="G8654" t="str">
        <f t="shared" si="3540"/>
        <v>Refund COSHARE 10</v>
      </c>
      <c r="H8654" s="2">
        <v>118</v>
      </c>
      <c r="I8654" t="str">
        <f>"ZULKIFLI BIN AHMED"</f>
        <v>ZULKIFLI BIN AHMED</v>
      </c>
      <c r="J8654" t="str">
        <f t="shared" si="3541"/>
        <v>AMBANK / AMISLAMIC BANK</v>
      </c>
      <c r="K8654" t="str">
        <f>"0320020014405"</f>
        <v>0320020014405</v>
      </c>
      <c r="L8654" t="str">
        <f t="shared" si="3530"/>
        <v>04-08-2020</v>
      </c>
      <c r="M8654" t="str">
        <f t="shared" si="3530"/>
        <v>04-08-2020</v>
      </c>
      <c r="N8654" t="str">
        <f t="shared" si="3531"/>
        <v>001105018356</v>
      </c>
      <c r="O8654" t="str">
        <f t="shared" si="3532"/>
        <v>MYR</v>
      </c>
      <c r="P8654" t="str">
        <f t="shared" si="3533"/>
        <v>NIL</v>
      </c>
      <c r="Q8654" t="str">
        <f t="shared" si="3533"/>
        <v>NIL</v>
      </c>
      <c r="R8654" t="str">
        <f t="shared" si="3519"/>
        <v>Accepted</v>
      </c>
      <c r="S8654" t="str">
        <f t="shared" si="3534"/>
        <v>Approved</v>
      </c>
      <c r="T8654" t="str">
        <f t="shared" si="3520"/>
        <v>10.20.8.188</v>
      </c>
      <c r="U8654" t="str">
        <f t="shared" si="3535"/>
        <v>AZRAD UMAR BIN SHAARI</v>
      </c>
      <c r="V8654" t="str">
        <f t="shared" si="3536"/>
        <v>FARHANA BINTI MUSTAPA</v>
      </c>
      <c r="W8654" t="str">
        <f t="shared" si="3537"/>
        <v>04-08-2020</v>
      </c>
      <c r="X8654" t="str">
        <f t="shared" si="3538"/>
        <v>RAZIMAH ANSAR AHMAD</v>
      </c>
      <c r="Y8654" t="str">
        <f t="shared" si="3539"/>
        <v>04-08-2020</v>
      </c>
      <c r="Z8654" t="str">
        <f>"COS10200804 170"</f>
        <v>COS10200804 170</v>
      </c>
    </row>
    <row r="8655" spans="1:26" x14ac:dyDescent="0.25">
      <c r="A8655" t="str">
        <f t="shared" si="3523"/>
        <v>04-08-2020 11:31:08</v>
      </c>
      <c r="B8655" t="str">
        <f>"0000802078"</f>
        <v>0000802078</v>
      </c>
      <c r="C8655" t="str">
        <f t="shared" si="3524"/>
        <v>0000801909</v>
      </c>
      <c r="D8655" t="str">
        <f t="shared" si="3527"/>
        <v>73185</v>
      </c>
      <c r="E8655" t="str">
        <f t="shared" si="3528"/>
        <v>KFH-OPERATIONS DEPARTMENT</v>
      </c>
      <c r="F8655" t="str">
        <f t="shared" si="3529"/>
        <v>IBG</v>
      </c>
      <c r="G8655" t="str">
        <f t="shared" si="3540"/>
        <v>Refund COSHARE 10</v>
      </c>
      <c r="H8655" s="2">
        <v>209.9</v>
      </c>
      <c r="I8655" t="str">
        <f>"ZULKEFLI BIN ABDULLAH"</f>
        <v>ZULKEFLI BIN ABDULLAH</v>
      </c>
      <c r="J8655" t="str">
        <f t="shared" si="3541"/>
        <v>AMBANK / AMISLAMIC BANK</v>
      </c>
      <c r="K8655" t="str">
        <f>"0220023055241"</f>
        <v>0220023055241</v>
      </c>
      <c r="L8655" t="str">
        <f t="shared" si="3530"/>
        <v>04-08-2020</v>
      </c>
      <c r="M8655" t="str">
        <f t="shared" si="3530"/>
        <v>04-08-2020</v>
      </c>
      <c r="N8655" t="str">
        <f t="shared" si="3531"/>
        <v>001105018356</v>
      </c>
      <c r="O8655" t="str">
        <f t="shared" si="3532"/>
        <v>MYR</v>
      </c>
      <c r="P8655" t="str">
        <f t="shared" si="3533"/>
        <v>NIL</v>
      </c>
      <c r="Q8655" t="str">
        <f t="shared" si="3533"/>
        <v>NIL</v>
      </c>
      <c r="R8655" t="str">
        <f t="shared" si="3519"/>
        <v>Accepted</v>
      </c>
      <c r="S8655" t="str">
        <f t="shared" si="3534"/>
        <v>Approved</v>
      </c>
      <c r="T8655" t="str">
        <f t="shared" si="3520"/>
        <v>10.20.8.188</v>
      </c>
      <c r="U8655" t="str">
        <f t="shared" si="3535"/>
        <v>AZRAD UMAR BIN SHAARI</v>
      </c>
      <c r="V8655" t="str">
        <f t="shared" si="3536"/>
        <v>FARHANA BINTI MUSTAPA</v>
      </c>
      <c r="W8655" t="str">
        <f t="shared" si="3537"/>
        <v>04-08-2020</v>
      </c>
      <c r="X8655" t="str">
        <f t="shared" si="3538"/>
        <v>RAZIMAH ANSAR AHMAD</v>
      </c>
      <c r="Y8655" t="str">
        <f t="shared" si="3539"/>
        <v>04-08-2020</v>
      </c>
      <c r="Z8655" t="str">
        <f>"COS10200804 169"</f>
        <v>COS10200804 169</v>
      </c>
    </row>
    <row r="8656" spans="1:26" x14ac:dyDescent="0.25">
      <c r="A8656" t="str">
        <f t="shared" ref="A8656:A8687" si="3542">"04-08-2020 11:31:08"</f>
        <v>04-08-2020 11:31:08</v>
      </c>
      <c r="B8656" t="str">
        <f>"0000802077"</f>
        <v>0000802077</v>
      </c>
      <c r="C8656" t="str">
        <f t="shared" ref="C8656:C8687" si="3543">"0000801909"</f>
        <v>0000801909</v>
      </c>
      <c r="D8656" t="str">
        <f t="shared" si="3527"/>
        <v>73185</v>
      </c>
      <c r="E8656" t="str">
        <f t="shared" si="3528"/>
        <v>KFH-OPERATIONS DEPARTMENT</v>
      </c>
      <c r="F8656" t="str">
        <f t="shared" si="3529"/>
        <v>IBG</v>
      </c>
      <c r="G8656" t="str">
        <f t="shared" si="3540"/>
        <v>Refund COSHARE 10</v>
      </c>
      <c r="H8656" s="2">
        <v>887.05</v>
      </c>
      <c r="I8656" t="str">
        <f>"ZAINON BINTI ZAILANI"</f>
        <v>ZAINON BINTI ZAILANI</v>
      </c>
      <c r="J8656" t="str">
        <f t="shared" si="3541"/>
        <v>AMBANK / AMISLAMIC BANK</v>
      </c>
      <c r="K8656" t="str">
        <f>"0670020002457"</f>
        <v>0670020002457</v>
      </c>
      <c r="L8656" t="str">
        <f t="shared" si="3530"/>
        <v>04-08-2020</v>
      </c>
      <c r="M8656" t="str">
        <f t="shared" si="3530"/>
        <v>04-08-2020</v>
      </c>
      <c r="N8656" t="str">
        <f t="shared" si="3531"/>
        <v>001105018356</v>
      </c>
      <c r="O8656" t="str">
        <f t="shared" si="3532"/>
        <v>MYR</v>
      </c>
      <c r="P8656" t="str">
        <f t="shared" si="3533"/>
        <v>NIL</v>
      </c>
      <c r="Q8656" t="str">
        <f t="shared" si="3533"/>
        <v>NIL</v>
      </c>
      <c r="R8656" t="str">
        <f t="shared" si="3519"/>
        <v>Accepted</v>
      </c>
      <c r="S8656" t="str">
        <f t="shared" si="3534"/>
        <v>Approved</v>
      </c>
      <c r="T8656" t="str">
        <f t="shared" si="3520"/>
        <v>10.20.8.188</v>
      </c>
      <c r="U8656" t="str">
        <f t="shared" si="3535"/>
        <v>AZRAD UMAR BIN SHAARI</v>
      </c>
      <c r="V8656" t="str">
        <f t="shared" si="3536"/>
        <v>FARHANA BINTI MUSTAPA</v>
      </c>
      <c r="W8656" t="str">
        <f t="shared" si="3537"/>
        <v>04-08-2020</v>
      </c>
      <c r="X8656" t="str">
        <f t="shared" si="3538"/>
        <v>RAZIMAH ANSAR AHMAD</v>
      </c>
      <c r="Y8656" t="str">
        <f t="shared" si="3539"/>
        <v>04-08-2020</v>
      </c>
      <c r="Z8656" t="str">
        <f>"COS10200804 168"</f>
        <v>COS10200804 168</v>
      </c>
    </row>
    <row r="8657" spans="1:26" x14ac:dyDescent="0.25">
      <c r="A8657" t="str">
        <f t="shared" si="3542"/>
        <v>04-08-2020 11:31:08</v>
      </c>
      <c r="B8657" t="str">
        <f>"0000802076"</f>
        <v>0000802076</v>
      </c>
      <c r="C8657" t="str">
        <f t="shared" si="3543"/>
        <v>0000801909</v>
      </c>
      <c r="D8657" t="str">
        <f t="shared" si="3527"/>
        <v>73185</v>
      </c>
      <c r="E8657" t="str">
        <f t="shared" si="3528"/>
        <v>KFH-OPERATIONS DEPARTMENT</v>
      </c>
      <c r="F8657" t="str">
        <f t="shared" si="3529"/>
        <v>IBG</v>
      </c>
      <c r="G8657" t="str">
        <f t="shared" si="3540"/>
        <v>Refund COSHARE 10</v>
      </c>
      <c r="H8657" s="2">
        <v>106.45</v>
      </c>
      <c r="I8657" t="str">
        <f>"ZAIMI BIN RAHMAN HAMID"</f>
        <v>ZAIMI BIN RAHMAN HAMID</v>
      </c>
      <c r="J8657" t="str">
        <f t="shared" si="3541"/>
        <v>AMBANK / AMISLAMIC BANK</v>
      </c>
      <c r="K8657" t="str">
        <f>"0400020003838"</f>
        <v>0400020003838</v>
      </c>
      <c r="L8657" t="str">
        <f t="shared" si="3530"/>
        <v>04-08-2020</v>
      </c>
      <c r="M8657" t="str">
        <f t="shared" si="3530"/>
        <v>04-08-2020</v>
      </c>
      <c r="N8657" t="str">
        <f t="shared" si="3531"/>
        <v>001105018356</v>
      </c>
      <c r="O8657" t="str">
        <f t="shared" si="3532"/>
        <v>MYR</v>
      </c>
      <c r="P8657" t="str">
        <f t="shared" si="3533"/>
        <v>NIL</v>
      </c>
      <c r="Q8657" t="str">
        <f t="shared" si="3533"/>
        <v>NIL</v>
      </c>
      <c r="R8657" t="str">
        <f t="shared" si="3519"/>
        <v>Accepted</v>
      </c>
      <c r="S8657" t="str">
        <f t="shared" si="3534"/>
        <v>Approved</v>
      </c>
      <c r="T8657" t="str">
        <f t="shared" si="3520"/>
        <v>10.20.8.188</v>
      </c>
      <c r="U8657" t="str">
        <f t="shared" si="3535"/>
        <v>AZRAD UMAR BIN SHAARI</v>
      </c>
      <c r="V8657" t="str">
        <f t="shared" si="3536"/>
        <v>FARHANA BINTI MUSTAPA</v>
      </c>
      <c r="W8657" t="str">
        <f t="shared" si="3537"/>
        <v>04-08-2020</v>
      </c>
      <c r="X8657" t="str">
        <f t="shared" si="3538"/>
        <v>RAZIMAH ANSAR AHMAD</v>
      </c>
      <c r="Y8657" t="str">
        <f t="shared" si="3539"/>
        <v>04-08-2020</v>
      </c>
      <c r="Z8657" t="str">
        <f>"COS10200804 167"</f>
        <v>COS10200804 167</v>
      </c>
    </row>
    <row r="8658" spans="1:26" x14ac:dyDescent="0.25">
      <c r="A8658" t="str">
        <f t="shared" si="3542"/>
        <v>04-08-2020 11:31:08</v>
      </c>
      <c r="B8658" t="str">
        <f>"0000802075"</f>
        <v>0000802075</v>
      </c>
      <c r="C8658" t="str">
        <f t="shared" si="3543"/>
        <v>0000801909</v>
      </c>
      <c r="D8658" t="str">
        <f t="shared" si="3527"/>
        <v>73185</v>
      </c>
      <c r="E8658" t="str">
        <f t="shared" si="3528"/>
        <v>KFH-OPERATIONS DEPARTMENT</v>
      </c>
      <c r="F8658" t="str">
        <f t="shared" si="3529"/>
        <v>IBG</v>
      </c>
      <c r="G8658" t="str">
        <f t="shared" si="3540"/>
        <v>Refund COSHARE 10</v>
      </c>
      <c r="H8658" s="2">
        <v>83.95</v>
      </c>
      <c r="I8658" t="str">
        <f>"SUHAIZAN BIN ZAINAL ABIDIN"</f>
        <v>SUHAIZAN BIN ZAINAL ABIDIN</v>
      </c>
      <c r="J8658" t="str">
        <f t="shared" si="3541"/>
        <v>AMBANK / AMISLAMIC BANK</v>
      </c>
      <c r="K8658" t="str">
        <f>"1420020002092"</f>
        <v>1420020002092</v>
      </c>
      <c r="L8658" t="str">
        <f t="shared" si="3530"/>
        <v>04-08-2020</v>
      </c>
      <c r="M8658" t="str">
        <f t="shared" si="3530"/>
        <v>04-08-2020</v>
      </c>
      <c r="N8658" t="str">
        <f t="shared" si="3531"/>
        <v>001105018356</v>
      </c>
      <c r="O8658" t="str">
        <f t="shared" si="3532"/>
        <v>MYR</v>
      </c>
      <c r="P8658" t="str">
        <f t="shared" si="3533"/>
        <v>NIL</v>
      </c>
      <c r="Q8658" t="str">
        <f t="shared" si="3533"/>
        <v>NIL</v>
      </c>
      <c r="R8658" t="str">
        <f t="shared" si="3519"/>
        <v>Accepted</v>
      </c>
      <c r="S8658" t="str">
        <f t="shared" si="3534"/>
        <v>Approved</v>
      </c>
      <c r="T8658" t="str">
        <f t="shared" si="3520"/>
        <v>10.20.8.188</v>
      </c>
      <c r="U8658" t="str">
        <f t="shared" si="3535"/>
        <v>AZRAD UMAR BIN SHAARI</v>
      </c>
      <c r="V8658" t="str">
        <f t="shared" si="3536"/>
        <v>FARHANA BINTI MUSTAPA</v>
      </c>
      <c r="W8658" t="str">
        <f t="shared" si="3537"/>
        <v>04-08-2020</v>
      </c>
      <c r="X8658" t="str">
        <f t="shared" si="3538"/>
        <v>RAZIMAH ANSAR AHMAD</v>
      </c>
      <c r="Y8658" t="str">
        <f t="shared" si="3539"/>
        <v>04-08-2020</v>
      </c>
      <c r="Z8658" t="str">
        <f>"COS10200804 166"</f>
        <v>COS10200804 166</v>
      </c>
    </row>
    <row r="8659" spans="1:26" x14ac:dyDescent="0.25">
      <c r="A8659" t="str">
        <f t="shared" si="3542"/>
        <v>04-08-2020 11:31:08</v>
      </c>
      <c r="B8659" t="str">
        <f>"0000802074"</f>
        <v>0000802074</v>
      </c>
      <c r="C8659" t="str">
        <f t="shared" si="3543"/>
        <v>0000801909</v>
      </c>
      <c r="D8659" t="str">
        <f t="shared" si="3527"/>
        <v>73185</v>
      </c>
      <c r="E8659" t="str">
        <f t="shared" si="3528"/>
        <v>KFH-OPERATIONS DEPARTMENT</v>
      </c>
      <c r="F8659" t="str">
        <f t="shared" si="3529"/>
        <v>IBG</v>
      </c>
      <c r="G8659" t="str">
        <f t="shared" si="3540"/>
        <v>Refund COSHARE 10</v>
      </c>
      <c r="H8659" s="2">
        <v>1242</v>
      </c>
      <c r="I8659" t="str">
        <f>"STENLEE BIN HOLY"</f>
        <v>STENLEE BIN HOLY</v>
      </c>
      <c r="J8659" t="str">
        <f t="shared" si="3541"/>
        <v>AMBANK / AMISLAMIC BANK</v>
      </c>
      <c r="K8659" t="str">
        <f>"0610020018475"</f>
        <v>0610020018475</v>
      </c>
      <c r="L8659" t="str">
        <f t="shared" si="3530"/>
        <v>04-08-2020</v>
      </c>
      <c r="M8659" t="str">
        <f t="shared" si="3530"/>
        <v>04-08-2020</v>
      </c>
      <c r="N8659" t="str">
        <f t="shared" si="3531"/>
        <v>001105018356</v>
      </c>
      <c r="O8659" t="str">
        <f t="shared" si="3532"/>
        <v>MYR</v>
      </c>
      <c r="P8659" t="str">
        <f t="shared" si="3533"/>
        <v>NIL</v>
      </c>
      <c r="Q8659" t="str">
        <f t="shared" si="3533"/>
        <v>NIL</v>
      </c>
      <c r="R8659" t="str">
        <f t="shared" si="3519"/>
        <v>Accepted</v>
      </c>
      <c r="S8659" t="str">
        <f t="shared" si="3534"/>
        <v>Approved</v>
      </c>
      <c r="T8659" t="str">
        <f t="shared" si="3520"/>
        <v>10.20.8.188</v>
      </c>
      <c r="U8659" t="str">
        <f t="shared" si="3535"/>
        <v>AZRAD UMAR BIN SHAARI</v>
      </c>
      <c r="V8659" t="str">
        <f t="shared" si="3536"/>
        <v>FARHANA BINTI MUSTAPA</v>
      </c>
      <c r="W8659" t="str">
        <f t="shared" si="3537"/>
        <v>04-08-2020</v>
      </c>
      <c r="X8659" t="str">
        <f t="shared" si="3538"/>
        <v>RAZIMAH ANSAR AHMAD</v>
      </c>
      <c r="Y8659" t="str">
        <f t="shared" si="3539"/>
        <v>04-08-2020</v>
      </c>
      <c r="Z8659" t="str">
        <f>"COS10200804 165"</f>
        <v>COS10200804 165</v>
      </c>
    </row>
    <row r="8660" spans="1:26" x14ac:dyDescent="0.25">
      <c r="A8660" t="str">
        <f t="shared" si="3542"/>
        <v>04-08-2020 11:31:08</v>
      </c>
      <c r="B8660" t="str">
        <f>"0000802073"</f>
        <v>0000802073</v>
      </c>
      <c r="C8660" t="str">
        <f t="shared" si="3543"/>
        <v>0000801909</v>
      </c>
      <c r="D8660" t="str">
        <f t="shared" si="3527"/>
        <v>73185</v>
      </c>
      <c r="E8660" t="str">
        <f t="shared" si="3528"/>
        <v>KFH-OPERATIONS DEPARTMENT</v>
      </c>
      <c r="F8660" t="str">
        <f t="shared" si="3529"/>
        <v>IBG</v>
      </c>
      <c r="G8660" t="str">
        <f t="shared" si="3540"/>
        <v>Refund COSHARE 10</v>
      </c>
      <c r="H8660" s="2">
        <v>152</v>
      </c>
      <c r="I8660" t="str">
        <f>"SIVAKAMI AP RAMASUNDRAM"</f>
        <v>SIVAKAMI AP RAMASUNDRAM</v>
      </c>
      <c r="J8660" t="str">
        <f t="shared" si="3541"/>
        <v>AMBANK / AMISLAMIC BANK</v>
      </c>
      <c r="K8660" t="str">
        <f>"0390020042086"</f>
        <v>0390020042086</v>
      </c>
      <c r="L8660" t="str">
        <f t="shared" si="3530"/>
        <v>04-08-2020</v>
      </c>
      <c r="M8660" t="str">
        <f t="shared" si="3530"/>
        <v>04-08-2020</v>
      </c>
      <c r="N8660" t="str">
        <f t="shared" si="3531"/>
        <v>001105018356</v>
      </c>
      <c r="O8660" t="str">
        <f t="shared" si="3532"/>
        <v>MYR</v>
      </c>
      <c r="P8660" t="str">
        <f t="shared" si="3533"/>
        <v>NIL</v>
      </c>
      <c r="Q8660" t="str">
        <f t="shared" si="3533"/>
        <v>NIL</v>
      </c>
      <c r="R8660" t="str">
        <f t="shared" si="3519"/>
        <v>Accepted</v>
      </c>
      <c r="S8660" t="str">
        <f t="shared" si="3534"/>
        <v>Approved</v>
      </c>
      <c r="T8660" t="str">
        <f t="shared" si="3520"/>
        <v>10.20.8.188</v>
      </c>
      <c r="U8660" t="str">
        <f t="shared" si="3535"/>
        <v>AZRAD UMAR BIN SHAARI</v>
      </c>
      <c r="V8660" t="str">
        <f t="shared" si="3536"/>
        <v>FARHANA BINTI MUSTAPA</v>
      </c>
      <c r="W8660" t="str">
        <f t="shared" si="3537"/>
        <v>04-08-2020</v>
      </c>
      <c r="X8660" t="str">
        <f t="shared" si="3538"/>
        <v>RAZIMAH ANSAR AHMAD</v>
      </c>
      <c r="Y8660" t="str">
        <f t="shared" si="3539"/>
        <v>04-08-2020</v>
      </c>
      <c r="Z8660" t="str">
        <f>"COS10200804 164"</f>
        <v>COS10200804 164</v>
      </c>
    </row>
    <row r="8661" spans="1:26" x14ac:dyDescent="0.25">
      <c r="A8661" t="str">
        <f t="shared" si="3542"/>
        <v>04-08-2020 11:31:08</v>
      </c>
      <c r="B8661" t="str">
        <f>"0000802072"</f>
        <v>0000802072</v>
      </c>
      <c r="C8661" t="str">
        <f t="shared" si="3543"/>
        <v>0000801909</v>
      </c>
      <c r="D8661" t="str">
        <f t="shared" si="3527"/>
        <v>73185</v>
      </c>
      <c r="E8661" t="str">
        <f t="shared" si="3528"/>
        <v>KFH-OPERATIONS DEPARTMENT</v>
      </c>
      <c r="F8661" t="str">
        <f t="shared" si="3529"/>
        <v>IBG</v>
      </c>
      <c r="G8661" t="str">
        <f t="shared" si="3540"/>
        <v>Refund COSHARE 10</v>
      </c>
      <c r="H8661" s="2">
        <v>432.25</v>
      </c>
      <c r="I8661" t="str">
        <f>"SIVA RAJA AL KANNIAH"</f>
        <v>SIVA RAJA AL KANNIAH</v>
      </c>
      <c r="J8661" t="str">
        <f t="shared" si="3541"/>
        <v>AMBANK / AMISLAMIC BANK</v>
      </c>
      <c r="K8661" t="str">
        <f>"0030013004524"</f>
        <v>0030013004524</v>
      </c>
      <c r="L8661" t="str">
        <f t="shared" si="3530"/>
        <v>04-08-2020</v>
      </c>
      <c r="M8661" t="str">
        <f t="shared" si="3530"/>
        <v>04-08-2020</v>
      </c>
      <c r="N8661" t="str">
        <f t="shared" si="3531"/>
        <v>001105018356</v>
      </c>
      <c r="O8661" t="str">
        <f t="shared" si="3532"/>
        <v>MYR</v>
      </c>
      <c r="P8661" t="str">
        <f t="shared" si="3533"/>
        <v>NIL</v>
      </c>
      <c r="Q8661" t="str">
        <f t="shared" si="3533"/>
        <v>NIL</v>
      </c>
      <c r="R8661" t="str">
        <f t="shared" si="3519"/>
        <v>Accepted</v>
      </c>
      <c r="S8661" t="str">
        <f t="shared" si="3534"/>
        <v>Approved</v>
      </c>
      <c r="T8661" t="str">
        <f t="shared" si="3520"/>
        <v>10.20.8.188</v>
      </c>
      <c r="U8661" t="str">
        <f t="shared" si="3535"/>
        <v>AZRAD UMAR BIN SHAARI</v>
      </c>
      <c r="V8661" t="str">
        <f t="shared" si="3536"/>
        <v>FARHANA BINTI MUSTAPA</v>
      </c>
      <c r="W8661" t="str">
        <f t="shared" si="3537"/>
        <v>04-08-2020</v>
      </c>
      <c r="X8661" t="str">
        <f t="shared" si="3538"/>
        <v>RAZIMAH ANSAR AHMAD</v>
      </c>
      <c r="Y8661" t="str">
        <f t="shared" si="3539"/>
        <v>04-08-2020</v>
      </c>
      <c r="Z8661" t="str">
        <f>"COS10200804 163"</f>
        <v>COS10200804 163</v>
      </c>
    </row>
    <row r="8662" spans="1:26" x14ac:dyDescent="0.25">
      <c r="A8662" t="str">
        <f t="shared" si="3542"/>
        <v>04-08-2020 11:31:08</v>
      </c>
      <c r="B8662" t="str">
        <f>"0000802071"</f>
        <v>0000802071</v>
      </c>
      <c r="C8662" t="str">
        <f t="shared" si="3543"/>
        <v>0000801909</v>
      </c>
      <c r="D8662" t="str">
        <f t="shared" si="3527"/>
        <v>73185</v>
      </c>
      <c r="E8662" t="str">
        <f t="shared" si="3528"/>
        <v>KFH-OPERATIONS DEPARTMENT</v>
      </c>
      <c r="F8662" t="str">
        <f t="shared" si="3529"/>
        <v>IBG</v>
      </c>
      <c r="G8662" t="str">
        <f t="shared" si="3540"/>
        <v>Refund COSHARE 10</v>
      </c>
      <c r="H8662" s="2">
        <v>64.05</v>
      </c>
      <c r="I8662" t="str">
        <f>"SITI HAWA BINTI HASHIM"</f>
        <v>SITI HAWA BINTI HASHIM</v>
      </c>
      <c r="J8662" t="str">
        <f t="shared" si="3541"/>
        <v>AMBANK / AMISLAMIC BANK</v>
      </c>
      <c r="K8662" t="str">
        <f>"0040023014265"</f>
        <v>0040023014265</v>
      </c>
      <c r="L8662" t="str">
        <f t="shared" si="3530"/>
        <v>04-08-2020</v>
      </c>
      <c r="M8662" t="str">
        <f t="shared" si="3530"/>
        <v>04-08-2020</v>
      </c>
      <c r="N8662" t="str">
        <f t="shared" si="3531"/>
        <v>001105018356</v>
      </c>
      <c r="O8662" t="str">
        <f t="shared" si="3532"/>
        <v>MYR</v>
      </c>
      <c r="P8662" t="str">
        <f t="shared" si="3533"/>
        <v>NIL</v>
      </c>
      <c r="Q8662" t="str">
        <f t="shared" si="3533"/>
        <v>NIL</v>
      </c>
      <c r="R8662" t="str">
        <f t="shared" si="3519"/>
        <v>Accepted</v>
      </c>
      <c r="S8662" t="str">
        <f t="shared" si="3534"/>
        <v>Approved</v>
      </c>
      <c r="T8662" t="str">
        <f t="shared" si="3520"/>
        <v>10.20.8.188</v>
      </c>
      <c r="U8662" t="str">
        <f t="shared" si="3535"/>
        <v>AZRAD UMAR BIN SHAARI</v>
      </c>
      <c r="V8662" t="str">
        <f t="shared" si="3536"/>
        <v>FARHANA BINTI MUSTAPA</v>
      </c>
      <c r="W8662" t="str">
        <f t="shared" si="3537"/>
        <v>04-08-2020</v>
      </c>
      <c r="X8662" t="str">
        <f t="shared" si="3538"/>
        <v>RAZIMAH ANSAR AHMAD</v>
      </c>
      <c r="Y8662" t="str">
        <f t="shared" si="3539"/>
        <v>04-08-2020</v>
      </c>
      <c r="Z8662" t="str">
        <f>"COS10200804 162"</f>
        <v>COS10200804 162</v>
      </c>
    </row>
    <row r="8663" spans="1:26" x14ac:dyDescent="0.25">
      <c r="A8663" t="str">
        <f t="shared" si="3542"/>
        <v>04-08-2020 11:31:08</v>
      </c>
      <c r="B8663" t="str">
        <f>"0000802070"</f>
        <v>0000802070</v>
      </c>
      <c r="C8663" t="str">
        <f t="shared" si="3543"/>
        <v>0000801909</v>
      </c>
      <c r="D8663" t="str">
        <f t="shared" si="3527"/>
        <v>73185</v>
      </c>
      <c r="E8663" t="str">
        <f t="shared" si="3528"/>
        <v>KFH-OPERATIONS DEPARTMENT</v>
      </c>
      <c r="F8663" t="str">
        <f t="shared" si="3529"/>
        <v>IBG</v>
      </c>
      <c r="G8663" t="str">
        <f t="shared" si="3540"/>
        <v>Refund COSHARE 10</v>
      </c>
      <c r="H8663" s="2">
        <v>756.4</v>
      </c>
      <c r="I8663" t="str">
        <f>"SINTI BINTI AJIS"</f>
        <v>SINTI BINTI AJIS</v>
      </c>
      <c r="J8663" t="str">
        <f t="shared" si="3541"/>
        <v>AMBANK / AMISLAMIC BANK</v>
      </c>
      <c r="K8663" t="str">
        <f>"1370020003857"</f>
        <v>1370020003857</v>
      </c>
      <c r="L8663" t="str">
        <f t="shared" si="3530"/>
        <v>04-08-2020</v>
      </c>
      <c r="M8663" t="str">
        <f t="shared" si="3530"/>
        <v>04-08-2020</v>
      </c>
      <c r="N8663" t="str">
        <f t="shared" si="3531"/>
        <v>001105018356</v>
      </c>
      <c r="O8663" t="str">
        <f t="shared" si="3532"/>
        <v>MYR</v>
      </c>
      <c r="P8663" t="str">
        <f t="shared" si="3533"/>
        <v>NIL</v>
      </c>
      <c r="Q8663" t="str">
        <f t="shared" si="3533"/>
        <v>NIL</v>
      </c>
      <c r="R8663" t="str">
        <f t="shared" si="3519"/>
        <v>Accepted</v>
      </c>
      <c r="S8663" t="str">
        <f t="shared" si="3534"/>
        <v>Approved</v>
      </c>
      <c r="T8663" t="str">
        <f t="shared" si="3520"/>
        <v>10.20.8.188</v>
      </c>
      <c r="U8663" t="str">
        <f t="shared" si="3535"/>
        <v>AZRAD UMAR BIN SHAARI</v>
      </c>
      <c r="V8663" t="str">
        <f t="shared" si="3536"/>
        <v>FARHANA BINTI MUSTAPA</v>
      </c>
      <c r="W8663" t="str">
        <f t="shared" si="3537"/>
        <v>04-08-2020</v>
      </c>
      <c r="X8663" t="str">
        <f t="shared" si="3538"/>
        <v>RAZIMAH ANSAR AHMAD</v>
      </c>
      <c r="Y8663" t="str">
        <f t="shared" si="3539"/>
        <v>04-08-2020</v>
      </c>
      <c r="Z8663" t="str">
        <f>"COS10200804 161"</f>
        <v>COS10200804 161</v>
      </c>
    </row>
    <row r="8664" spans="1:26" x14ac:dyDescent="0.25">
      <c r="A8664" t="str">
        <f t="shared" si="3542"/>
        <v>04-08-2020 11:31:08</v>
      </c>
      <c r="B8664" t="str">
        <f>"0000802069"</f>
        <v>0000802069</v>
      </c>
      <c r="C8664" t="str">
        <f t="shared" si="3543"/>
        <v>0000801909</v>
      </c>
      <c r="D8664" t="str">
        <f t="shared" si="3527"/>
        <v>73185</v>
      </c>
      <c r="E8664" t="str">
        <f t="shared" si="3528"/>
        <v>KFH-OPERATIONS DEPARTMENT</v>
      </c>
      <c r="F8664" t="str">
        <f t="shared" si="3529"/>
        <v>IBG</v>
      </c>
      <c r="G8664" t="str">
        <f t="shared" si="3540"/>
        <v>Refund COSHARE 10</v>
      </c>
      <c r="H8664" s="2">
        <v>453.35</v>
      </c>
      <c r="I8664" t="str">
        <f>"SHIRLEY LAZARUS"</f>
        <v>SHIRLEY LAZARUS</v>
      </c>
      <c r="J8664" t="str">
        <f t="shared" si="3541"/>
        <v>AMBANK / AMISLAMIC BANK</v>
      </c>
      <c r="K8664" t="str">
        <f>"1790020100413"</f>
        <v>1790020100413</v>
      </c>
      <c r="L8664" t="str">
        <f t="shared" si="3530"/>
        <v>04-08-2020</v>
      </c>
      <c r="M8664" t="str">
        <f t="shared" si="3530"/>
        <v>04-08-2020</v>
      </c>
      <c r="N8664" t="str">
        <f t="shared" si="3531"/>
        <v>001105018356</v>
      </c>
      <c r="O8664" t="str">
        <f t="shared" si="3532"/>
        <v>MYR</v>
      </c>
      <c r="P8664" t="str">
        <f t="shared" si="3533"/>
        <v>NIL</v>
      </c>
      <c r="Q8664" t="str">
        <f t="shared" si="3533"/>
        <v>NIL</v>
      </c>
      <c r="R8664" t="str">
        <f t="shared" si="3519"/>
        <v>Accepted</v>
      </c>
      <c r="S8664" t="str">
        <f t="shared" si="3534"/>
        <v>Approved</v>
      </c>
      <c r="T8664" t="str">
        <f t="shared" si="3520"/>
        <v>10.20.8.188</v>
      </c>
      <c r="U8664" t="str">
        <f t="shared" si="3535"/>
        <v>AZRAD UMAR BIN SHAARI</v>
      </c>
      <c r="V8664" t="str">
        <f t="shared" si="3536"/>
        <v>FARHANA BINTI MUSTAPA</v>
      </c>
      <c r="W8664" t="str">
        <f t="shared" si="3537"/>
        <v>04-08-2020</v>
      </c>
      <c r="X8664" t="str">
        <f t="shared" si="3538"/>
        <v>RAZIMAH ANSAR AHMAD</v>
      </c>
      <c r="Y8664" t="str">
        <f t="shared" si="3539"/>
        <v>04-08-2020</v>
      </c>
      <c r="Z8664" t="str">
        <f>"COS10200804 160"</f>
        <v>COS10200804 160</v>
      </c>
    </row>
    <row r="8665" spans="1:26" x14ac:dyDescent="0.25">
      <c r="A8665" t="str">
        <f t="shared" si="3542"/>
        <v>04-08-2020 11:31:08</v>
      </c>
      <c r="B8665" t="str">
        <f>"0000802068"</f>
        <v>0000802068</v>
      </c>
      <c r="C8665" t="str">
        <f t="shared" si="3543"/>
        <v>0000801909</v>
      </c>
      <c r="D8665" t="str">
        <f t="shared" si="3527"/>
        <v>73185</v>
      </c>
      <c r="E8665" t="str">
        <f t="shared" si="3528"/>
        <v>KFH-OPERATIONS DEPARTMENT</v>
      </c>
      <c r="F8665" t="str">
        <f t="shared" si="3529"/>
        <v>IBG</v>
      </c>
      <c r="G8665" t="str">
        <f t="shared" si="3540"/>
        <v>Refund COSHARE 10</v>
      </c>
      <c r="H8665" s="2">
        <v>201.5</v>
      </c>
      <c r="I8665" t="str">
        <f>"SHAKILAH BINTI BAKAR"</f>
        <v>SHAKILAH BINTI BAKAR</v>
      </c>
      <c r="J8665" t="str">
        <f t="shared" si="3541"/>
        <v>AMBANK / AMISLAMIC BANK</v>
      </c>
      <c r="K8665" t="str">
        <f>"0810020030153"</f>
        <v>0810020030153</v>
      </c>
      <c r="L8665" t="str">
        <f t="shared" si="3530"/>
        <v>04-08-2020</v>
      </c>
      <c r="M8665" t="str">
        <f t="shared" si="3530"/>
        <v>04-08-2020</v>
      </c>
      <c r="N8665" t="str">
        <f t="shared" si="3531"/>
        <v>001105018356</v>
      </c>
      <c r="O8665" t="str">
        <f t="shared" si="3532"/>
        <v>MYR</v>
      </c>
      <c r="P8665" t="str">
        <f t="shared" si="3533"/>
        <v>NIL</v>
      </c>
      <c r="Q8665" t="str">
        <f t="shared" si="3533"/>
        <v>NIL</v>
      </c>
      <c r="R8665" t="str">
        <f t="shared" si="3519"/>
        <v>Accepted</v>
      </c>
      <c r="S8665" t="str">
        <f t="shared" si="3534"/>
        <v>Approved</v>
      </c>
      <c r="T8665" t="str">
        <f t="shared" si="3520"/>
        <v>10.20.8.188</v>
      </c>
      <c r="U8665" t="str">
        <f t="shared" si="3535"/>
        <v>AZRAD UMAR BIN SHAARI</v>
      </c>
      <c r="V8665" t="str">
        <f t="shared" si="3536"/>
        <v>FARHANA BINTI MUSTAPA</v>
      </c>
      <c r="W8665" t="str">
        <f t="shared" si="3537"/>
        <v>04-08-2020</v>
      </c>
      <c r="X8665" t="str">
        <f t="shared" si="3538"/>
        <v>RAZIMAH ANSAR AHMAD</v>
      </c>
      <c r="Y8665" t="str">
        <f t="shared" si="3539"/>
        <v>04-08-2020</v>
      </c>
      <c r="Z8665" t="str">
        <f>"COS10200804 159"</f>
        <v>COS10200804 159</v>
      </c>
    </row>
    <row r="8666" spans="1:26" x14ac:dyDescent="0.25">
      <c r="A8666" t="str">
        <f t="shared" si="3542"/>
        <v>04-08-2020 11:31:08</v>
      </c>
      <c r="B8666" t="str">
        <f>"0000802067"</f>
        <v>0000802067</v>
      </c>
      <c r="C8666" t="str">
        <f t="shared" si="3543"/>
        <v>0000801909</v>
      </c>
      <c r="D8666" t="str">
        <f t="shared" si="3527"/>
        <v>73185</v>
      </c>
      <c r="E8666" t="str">
        <f t="shared" si="3528"/>
        <v>KFH-OPERATIONS DEPARTMENT</v>
      </c>
      <c r="F8666" t="str">
        <f t="shared" si="3529"/>
        <v>IBG</v>
      </c>
      <c r="G8666" t="str">
        <f t="shared" si="3540"/>
        <v>Refund COSHARE 10</v>
      </c>
      <c r="H8666" s="2">
        <v>1293</v>
      </c>
      <c r="I8666" t="str">
        <f>"ROSNAN BINTI SUNGO"</f>
        <v>ROSNAN BINTI SUNGO</v>
      </c>
      <c r="J8666" t="str">
        <f t="shared" si="3541"/>
        <v>AMBANK / AMISLAMIC BANK</v>
      </c>
      <c r="K8666" t="str">
        <f>"8881032015454"</f>
        <v>8881032015454</v>
      </c>
      <c r="L8666" t="str">
        <f t="shared" si="3530"/>
        <v>04-08-2020</v>
      </c>
      <c r="M8666" t="str">
        <f t="shared" si="3530"/>
        <v>04-08-2020</v>
      </c>
      <c r="N8666" t="str">
        <f t="shared" si="3531"/>
        <v>001105018356</v>
      </c>
      <c r="O8666" t="str">
        <f t="shared" si="3532"/>
        <v>MYR</v>
      </c>
      <c r="P8666" t="str">
        <f t="shared" si="3533"/>
        <v>NIL</v>
      </c>
      <c r="Q8666" t="str">
        <f t="shared" si="3533"/>
        <v>NIL</v>
      </c>
      <c r="R8666" t="str">
        <f t="shared" si="3519"/>
        <v>Accepted</v>
      </c>
      <c r="S8666" t="str">
        <f t="shared" si="3534"/>
        <v>Approved</v>
      </c>
      <c r="T8666" t="str">
        <f t="shared" si="3520"/>
        <v>10.20.8.188</v>
      </c>
      <c r="U8666" t="str">
        <f t="shared" si="3535"/>
        <v>AZRAD UMAR BIN SHAARI</v>
      </c>
      <c r="V8666" t="str">
        <f t="shared" si="3536"/>
        <v>FARHANA BINTI MUSTAPA</v>
      </c>
      <c r="W8666" t="str">
        <f t="shared" si="3537"/>
        <v>04-08-2020</v>
      </c>
      <c r="X8666" t="str">
        <f t="shared" si="3538"/>
        <v>RAZIMAH ANSAR AHMAD</v>
      </c>
      <c r="Y8666" t="str">
        <f t="shared" si="3539"/>
        <v>04-08-2020</v>
      </c>
      <c r="Z8666" t="str">
        <f>"COS10200804 158"</f>
        <v>COS10200804 158</v>
      </c>
    </row>
    <row r="8667" spans="1:26" x14ac:dyDescent="0.25">
      <c r="A8667" t="str">
        <f t="shared" si="3542"/>
        <v>04-08-2020 11:31:08</v>
      </c>
      <c r="B8667" t="str">
        <f>"0000802066"</f>
        <v>0000802066</v>
      </c>
      <c r="C8667" t="str">
        <f t="shared" si="3543"/>
        <v>0000801909</v>
      </c>
      <c r="D8667" t="str">
        <f t="shared" si="3527"/>
        <v>73185</v>
      </c>
      <c r="E8667" t="str">
        <f t="shared" si="3528"/>
        <v>KFH-OPERATIONS DEPARTMENT</v>
      </c>
      <c r="F8667" t="str">
        <f t="shared" si="3529"/>
        <v>IBG</v>
      </c>
      <c r="G8667" t="str">
        <f t="shared" si="3540"/>
        <v>Refund COSHARE 10</v>
      </c>
      <c r="H8667" s="2">
        <v>839.5</v>
      </c>
      <c r="I8667" t="str">
        <f>"ROSLINA BINTI ABDULLAH"</f>
        <v>ROSLINA BINTI ABDULLAH</v>
      </c>
      <c r="J8667" t="str">
        <f t="shared" si="3541"/>
        <v>AMBANK / AMISLAMIC BANK</v>
      </c>
      <c r="K8667" t="str">
        <f>"0980010061333"</f>
        <v>0980010061333</v>
      </c>
      <c r="L8667" t="str">
        <f t="shared" ref="L8667:M8686" si="3544">"04-08-2020"</f>
        <v>04-08-2020</v>
      </c>
      <c r="M8667" t="str">
        <f t="shared" si="3544"/>
        <v>04-08-2020</v>
      </c>
      <c r="N8667" t="str">
        <f t="shared" si="3531"/>
        <v>001105018356</v>
      </c>
      <c r="O8667" t="str">
        <f t="shared" si="3532"/>
        <v>MYR</v>
      </c>
      <c r="P8667" t="str">
        <f t="shared" ref="P8667:Q8686" si="3545">"NIL"</f>
        <v>NIL</v>
      </c>
      <c r="Q8667" t="str">
        <f t="shared" si="3545"/>
        <v>NIL</v>
      </c>
      <c r="R8667" t="str">
        <f t="shared" si="3519"/>
        <v>Accepted</v>
      </c>
      <c r="S8667" t="str">
        <f t="shared" si="3534"/>
        <v>Approved</v>
      </c>
      <c r="T8667" t="str">
        <f t="shared" si="3520"/>
        <v>10.20.8.188</v>
      </c>
      <c r="U8667" t="str">
        <f t="shared" si="3535"/>
        <v>AZRAD UMAR BIN SHAARI</v>
      </c>
      <c r="V8667" t="str">
        <f t="shared" si="3536"/>
        <v>FARHANA BINTI MUSTAPA</v>
      </c>
      <c r="W8667" t="str">
        <f t="shared" si="3537"/>
        <v>04-08-2020</v>
      </c>
      <c r="X8667" t="str">
        <f t="shared" si="3538"/>
        <v>RAZIMAH ANSAR AHMAD</v>
      </c>
      <c r="Y8667" t="str">
        <f t="shared" si="3539"/>
        <v>04-08-2020</v>
      </c>
      <c r="Z8667" t="str">
        <f>"COS10200804 157"</f>
        <v>COS10200804 157</v>
      </c>
    </row>
    <row r="8668" spans="1:26" x14ac:dyDescent="0.25">
      <c r="A8668" t="str">
        <f t="shared" si="3542"/>
        <v>04-08-2020 11:31:08</v>
      </c>
      <c r="B8668" t="str">
        <f>"0000802065"</f>
        <v>0000802065</v>
      </c>
      <c r="C8668" t="str">
        <f t="shared" si="3543"/>
        <v>0000801909</v>
      </c>
      <c r="D8668" t="str">
        <f t="shared" si="3527"/>
        <v>73185</v>
      </c>
      <c r="E8668" t="str">
        <f t="shared" si="3528"/>
        <v>KFH-OPERATIONS DEPARTMENT</v>
      </c>
      <c r="F8668" t="str">
        <f t="shared" si="3529"/>
        <v>IBG</v>
      </c>
      <c r="G8668" t="str">
        <f t="shared" si="3540"/>
        <v>Refund COSHARE 10</v>
      </c>
      <c r="H8668" s="2">
        <v>266</v>
      </c>
      <c r="I8668" t="str">
        <f>"ROSLINA BINTI ABDULLAH"</f>
        <v>ROSLINA BINTI ABDULLAH</v>
      </c>
      <c r="J8668" t="str">
        <f t="shared" si="3541"/>
        <v>AMBANK / AMISLAMIC BANK</v>
      </c>
      <c r="K8668" t="str">
        <f>"0980010061333"</f>
        <v>0980010061333</v>
      </c>
      <c r="L8668" t="str">
        <f t="shared" si="3544"/>
        <v>04-08-2020</v>
      </c>
      <c r="M8668" t="str">
        <f t="shared" si="3544"/>
        <v>04-08-2020</v>
      </c>
      <c r="N8668" t="str">
        <f t="shared" si="3531"/>
        <v>001105018356</v>
      </c>
      <c r="O8668" t="str">
        <f t="shared" si="3532"/>
        <v>MYR</v>
      </c>
      <c r="P8668" t="str">
        <f t="shared" si="3545"/>
        <v>NIL</v>
      </c>
      <c r="Q8668" t="str">
        <f t="shared" si="3545"/>
        <v>NIL</v>
      </c>
      <c r="R8668" t="str">
        <f t="shared" si="3519"/>
        <v>Accepted</v>
      </c>
      <c r="S8668" t="str">
        <f t="shared" si="3534"/>
        <v>Approved</v>
      </c>
      <c r="T8668" t="str">
        <f t="shared" si="3520"/>
        <v>10.20.8.188</v>
      </c>
      <c r="U8668" t="str">
        <f t="shared" si="3535"/>
        <v>AZRAD UMAR BIN SHAARI</v>
      </c>
      <c r="V8668" t="str">
        <f t="shared" si="3536"/>
        <v>FARHANA BINTI MUSTAPA</v>
      </c>
      <c r="W8668" t="str">
        <f t="shared" si="3537"/>
        <v>04-08-2020</v>
      </c>
      <c r="X8668" t="str">
        <f t="shared" si="3538"/>
        <v>RAZIMAH ANSAR AHMAD</v>
      </c>
      <c r="Y8668" t="str">
        <f t="shared" si="3539"/>
        <v>04-08-2020</v>
      </c>
      <c r="Z8668" t="str">
        <f>"COS10200804 156"</f>
        <v>COS10200804 156</v>
      </c>
    </row>
    <row r="8669" spans="1:26" x14ac:dyDescent="0.25">
      <c r="A8669" t="str">
        <f t="shared" si="3542"/>
        <v>04-08-2020 11:31:08</v>
      </c>
      <c r="B8669" t="str">
        <f>"0000802064"</f>
        <v>0000802064</v>
      </c>
      <c r="C8669" t="str">
        <f t="shared" si="3543"/>
        <v>0000801909</v>
      </c>
      <c r="D8669" t="str">
        <f t="shared" si="3527"/>
        <v>73185</v>
      </c>
      <c r="E8669" t="str">
        <f t="shared" si="3528"/>
        <v>KFH-OPERATIONS DEPARTMENT</v>
      </c>
      <c r="F8669" t="str">
        <f t="shared" si="3529"/>
        <v>IBG</v>
      </c>
      <c r="G8669" t="str">
        <f t="shared" si="3540"/>
        <v>Refund COSHARE 10</v>
      </c>
      <c r="H8669" s="2">
        <v>635.20000000000005</v>
      </c>
      <c r="I8669" t="str">
        <f>"ROSLI BIN ISMAIL"</f>
        <v>ROSLI BIN ISMAIL</v>
      </c>
      <c r="J8669" t="str">
        <f t="shared" si="3541"/>
        <v>AMBANK / AMISLAMIC BANK</v>
      </c>
      <c r="K8669" t="str">
        <f>"2100020051401"</f>
        <v>2100020051401</v>
      </c>
      <c r="L8669" t="str">
        <f t="shared" si="3544"/>
        <v>04-08-2020</v>
      </c>
      <c r="M8669" t="str">
        <f t="shared" si="3544"/>
        <v>04-08-2020</v>
      </c>
      <c r="N8669" t="str">
        <f t="shared" si="3531"/>
        <v>001105018356</v>
      </c>
      <c r="O8669" t="str">
        <f t="shared" si="3532"/>
        <v>MYR</v>
      </c>
      <c r="P8669" t="str">
        <f t="shared" si="3545"/>
        <v>NIL</v>
      </c>
      <c r="Q8669" t="str">
        <f t="shared" si="3545"/>
        <v>NIL</v>
      </c>
      <c r="R8669" t="str">
        <f t="shared" si="3519"/>
        <v>Accepted</v>
      </c>
      <c r="S8669" t="str">
        <f t="shared" si="3534"/>
        <v>Approved</v>
      </c>
      <c r="T8669" t="str">
        <f t="shared" si="3520"/>
        <v>10.20.8.188</v>
      </c>
      <c r="U8669" t="str">
        <f t="shared" si="3535"/>
        <v>AZRAD UMAR BIN SHAARI</v>
      </c>
      <c r="V8669" t="str">
        <f t="shared" si="3536"/>
        <v>FARHANA BINTI MUSTAPA</v>
      </c>
      <c r="W8669" t="str">
        <f t="shared" si="3537"/>
        <v>04-08-2020</v>
      </c>
      <c r="X8669" t="str">
        <f t="shared" si="3538"/>
        <v>RAZIMAH ANSAR AHMAD</v>
      </c>
      <c r="Y8669" t="str">
        <f t="shared" si="3539"/>
        <v>04-08-2020</v>
      </c>
      <c r="Z8669" t="str">
        <f>"COS10200804 155"</f>
        <v>COS10200804 155</v>
      </c>
    </row>
    <row r="8670" spans="1:26" x14ac:dyDescent="0.25">
      <c r="A8670" t="str">
        <f t="shared" si="3542"/>
        <v>04-08-2020 11:31:08</v>
      </c>
      <c r="B8670" t="str">
        <f>"0000802063"</f>
        <v>0000802063</v>
      </c>
      <c r="C8670" t="str">
        <f t="shared" si="3543"/>
        <v>0000801909</v>
      </c>
      <c r="D8670" t="str">
        <f t="shared" si="3527"/>
        <v>73185</v>
      </c>
      <c r="E8670" t="str">
        <f t="shared" si="3528"/>
        <v>KFH-OPERATIONS DEPARTMENT</v>
      </c>
      <c r="F8670" t="str">
        <f t="shared" si="3529"/>
        <v>IBG</v>
      </c>
      <c r="G8670" t="str">
        <f t="shared" si="3540"/>
        <v>Refund COSHARE 10</v>
      </c>
      <c r="H8670" s="2">
        <v>119</v>
      </c>
      <c r="I8670" t="str">
        <f>"RODIAH BINTI HARON"</f>
        <v>RODIAH BINTI HARON</v>
      </c>
      <c r="J8670" t="str">
        <f t="shared" si="3541"/>
        <v>AMBANK / AMISLAMIC BANK</v>
      </c>
      <c r="K8670" t="str">
        <f>"1510020022825"</f>
        <v>1510020022825</v>
      </c>
      <c r="L8670" t="str">
        <f t="shared" si="3544"/>
        <v>04-08-2020</v>
      </c>
      <c r="M8670" t="str">
        <f t="shared" si="3544"/>
        <v>04-08-2020</v>
      </c>
      <c r="N8670" t="str">
        <f t="shared" si="3531"/>
        <v>001105018356</v>
      </c>
      <c r="O8670" t="str">
        <f t="shared" si="3532"/>
        <v>MYR</v>
      </c>
      <c r="P8670" t="str">
        <f t="shared" si="3545"/>
        <v>NIL</v>
      </c>
      <c r="Q8670" t="str">
        <f t="shared" si="3545"/>
        <v>NIL</v>
      </c>
      <c r="R8670" t="str">
        <f t="shared" si="3519"/>
        <v>Accepted</v>
      </c>
      <c r="S8670" t="str">
        <f t="shared" si="3534"/>
        <v>Approved</v>
      </c>
      <c r="T8670" t="str">
        <f t="shared" si="3520"/>
        <v>10.20.8.188</v>
      </c>
      <c r="U8670" t="str">
        <f t="shared" si="3535"/>
        <v>AZRAD UMAR BIN SHAARI</v>
      </c>
      <c r="V8670" t="str">
        <f t="shared" si="3536"/>
        <v>FARHANA BINTI MUSTAPA</v>
      </c>
      <c r="W8670" t="str">
        <f t="shared" si="3537"/>
        <v>04-08-2020</v>
      </c>
      <c r="X8670" t="str">
        <f t="shared" si="3538"/>
        <v>RAZIMAH ANSAR AHMAD</v>
      </c>
      <c r="Y8670" t="str">
        <f t="shared" si="3539"/>
        <v>04-08-2020</v>
      </c>
      <c r="Z8670" t="str">
        <f>"COS10200804 154"</f>
        <v>COS10200804 154</v>
      </c>
    </row>
    <row r="8671" spans="1:26" x14ac:dyDescent="0.25">
      <c r="A8671" t="str">
        <f t="shared" si="3542"/>
        <v>04-08-2020 11:31:08</v>
      </c>
      <c r="B8671" t="str">
        <f>"0000802062"</f>
        <v>0000802062</v>
      </c>
      <c r="C8671" t="str">
        <f t="shared" si="3543"/>
        <v>0000801909</v>
      </c>
      <c r="D8671" t="str">
        <f t="shared" si="3527"/>
        <v>73185</v>
      </c>
      <c r="E8671" t="str">
        <f t="shared" si="3528"/>
        <v>KFH-OPERATIONS DEPARTMENT</v>
      </c>
      <c r="F8671" t="str">
        <f t="shared" si="3529"/>
        <v>IBG</v>
      </c>
      <c r="G8671" t="str">
        <f t="shared" si="3540"/>
        <v>Refund COSHARE 10</v>
      </c>
      <c r="H8671" s="2">
        <v>722.85</v>
      </c>
      <c r="I8671" t="str">
        <f>"RAZMAN BIN RAHMAT"</f>
        <v>RAZMAN BIN RAHMAT</v>
      </c>
      <c r="J8671" t="str">
        <f t="shared" si="3541"/>
        <v>AMBANK / AMISLAMIC BANK</v>
      </c>
      <c r="K8671" t="str">
        <f>"2290010003550"</f>
        <v>2290010003550</v>
      </c>
      <c r="L8671" t="str">
        <f t="shared" si="3544"/>
        <v>04-08-2020</v>
      </c>
      <c r="M8671" t="str">
        <f t="shared" si="3544"/>
        <v>04-08-2020</v>
      </c>
      <c r="N8671" t="str">
        <f t="shared" si="3531"/>
        <v>001105018356</v>
      </c>
      <c r="O8671" t="str">
        <f t="shared" si="3532"/>
        <v>MYR</v>
      </c>
      <c r="P8671" t="str">
        <f t="shared" si="3545"/>
        <v>NIL</v>
      </c>
      <c r="Q8671" t="str">
        <f t="shared" si="3545"/>
        <v>NIL</v>
      </c>
      <c r="R8671" t="str">
        <f t="shared" si="3519"/>
        <v>Accepted</v>
      </c>
      <c r="S8671" t="str">
        <f t="shared" si="3534"/>
        <v>Approved</v>
      </c>
      <c r="T8671" t="str">
        <f t="shared" si="3520"/>
        <v>10.20.8.188</v>
      </c>
      <c r="U8671" t="str">
        <f t="shared" si="3535"/>
        <v>AZRAD UMAR BIN SHAARI</v>
      </c>
      <c r="V8671" t="str">
        <f t="shared" si="3536"/>
        <v>FARHANA BINTI MUSTAPA</v>
      </c>
      <c r="W8671" t="str">
        <f t="shared" si="3537"/>
        <v>04-08-2020</v>
      </c>
      <c r="X8671" t="str">
        <f t="shared" si="3538"/>
        <v>RAZIMAH ANSAR AHMAD</v>
      </c>
      <c r="Y8671" t="str">
        <f t="shared" si="3539"/>
        <v>04-08-2020</v>
      </c>
      <c r="Z8671" t="str">
        <f>"COS10200804 153"</f>
        <v>COS10200804 153</v>
      </c>
    </row>
    <row r="8672" spans="1:26" x14ac:dyDescent="0.25">
      <c r="A8672" t="str">
        <f t="shared" si="3542"/>
        <v>04-08-2020 11:31:08</v>
      </c>
      <c r="B8672" t="str">
        <f>"0000802061"</f>
        <v>0000802061</v>
      </c>
      <c r="C8672" t="str">
        <f t="shared" si="3543"/>
        <v>0000801909</v>
      </c>
      <c r="D8672" t="str">
        <f t="shared" si="3527"/>
        <v>73185</v>
      </c>
      <c r="E8672" t="str">
        <f t="shared" si="3528"/>
        <v>KFH-OPERATIONS DEPARTMENT</v>
      </c>
      <c r="F8672" t="str">
        <f t="shared" si="3529"/>
        <v>IBG</v>
      </c>
      <c r="G8672" t="str">
        <f t="shared" si="3540"/>
        <v>Refund COSHARE 10</v>
      </c>
      <c r="H8672" s="2">
        <v>190</v>
      </c>
      <c r="I8672" t="str">
        <f>"RANDY VERNATA ANAK JOHAN"</f>
        <v>RANDY VERNATA ANAK JOHAN</v>
      </c>
      <c r="J8672" t="str">
        <f t="shared" si="3541"/>
        <v>AMBANK / AMISLAMIC BANK</v>
      </c>
      <c r="K8672" t="str">
        <f>"1720010082460"</f>
        <v>1720010082460</v>
      </c>
      <c r="L8672" t="str">
        <f t="shared" si="3544"/>
        <v>04-08-2020</v>
      </c>
      <c r="M8672" t="str">
        <f t="shared" si="3544"/>
        <v>04-08-2020</v>
      </c>
      <c r="N8672" t="str">
        <f t="shared" si="3531"/>
        <v>001105018356</v>
      </c>
      <c r="O8672" t="str">
        <f t="shared" si="3532"/>
        <v>MYR</v>
      </c>
      <c r="P8672" t="str">
        <f t="shared" si="3545"/>
        <v>NIL</v>
      </c>
      <c r="Q8672" t="str">
        <f t="shared" si="3545"/>
        <v>NIL</v>
      </c>
      <c r="R8672" t="str">
        <f t="shared" si="3519"/>
        <v>Accepted</v>
      </c>
      <c r="S8672" t="str">
        <f t="shared" si="3534"/>
        <v>Approved</v>
      </c>
      <c r="T8672" t="str">
        <f t="shared" si="3520"/>
        <v>10.20.8.188</v>
      </c>
      <c r="U8672" t="str">
        <f t="shared" si="3535"/>
        <v>AZRAD UMAR BIN SHAARI</v>
      </c>
      <c r="V8672" t="str">
        <f t="shared" si="3536"/>
        <v>FARHANA BINTI MUSTAPA</v>
      </c>
      <c r="W8672" t="str">
        <f t="shared" si="3537"/>
        <v>04-08-2020</v>
      </c>
      <c r="X8672" t="str">
        <f t="shared" si="3538"/>
        <v>RAZIMAH ANSAR AHMAD</v>
      </c>
      <c r="Y8672" t="str">
        <f t="shared" si="3539"/>
        <v>04-08-2020</v>
      </c>
      <c r="Z8672" t="str">
        <f>"COS10200804 152"</f>
        <v>COS10200804 152</v>
      </c>
    </row>
    <row r="8673" spans="1:26" x14ac:dyDescent="0.25">
      <c r="A8673" t="str">
        <f t="shared" si="3542"/>
        <v>04-08-2020 11:31:08</v>
      </c>
      <c r="B8673" t="str">
        <f>"0000802060"</f>
        <v>0000802060</v>
      </c>
      <c r="C8673" t="str">
        <f t="shared" si="3543"/>
        <v>0000801909</v>
      </c>
      <c r="D8673" t="str">
        <f t="shared" si="3527"/>
        <v>73185</v>
      </c>
      <c r="E8673" t="str">
        <f t="shared" si="3528"/>
        <v>KFH-OPERATIONS DEPARTMENT</v>
      </c>
      <c r="F8673" t="str">
        <f t="shared" si="3529"/>
        <v>IBG</v>
      </c>
      <c r="G8673" t="str">
        <f t="shared" si="3540"/>
        <v>Refund COSHARE 10</v>
      </c>
      <c r="H8673" s="2">
        <v>213</v>
      </c>
      <c r="I8673" t="str">
        <f>"RANDOLF BIN ABDUL KADIR"</f>
        <v>RANDOLF BIN ABDUL KADIR</v>
      </c>
      <c r="J8673" t="str">
        <f t="shared" si="3541"/>
        <v>AMBANK / AMISLAMIC BANK</v>
      </c>
      <c r="K8673" t="str">
        <f>"0110023075432"</f>
        <v>0110023075432</v>
      </c>
      <c r="L8673" t="str">
        <f t="shared" si="3544"/>
        <v>04-08-2020</v>
      </c>
      <c r="M8673" t="str">
        <f t="shared" si="3544"/>
        <v>04-08-2020</v>
      </c>
      <c r="N8673" t="str">
        <f t="shared" si="3531"/>
        <v>001105018356</v>
      </c>
      <c r="O8673" t="str">
        <f t="shared" si="3532"/>
        <v>MYR</v>
      </c>
      <c r="P8673" t="str">
        <f t="shared" si="3545"/>
        <v>NIL</v>
      </c>
      <c r="Q8673" t="str">
        <f t="shared" si="3545"/>
        <v>NIL</v>
      </c>
      <c r="R8673" t="str">
        <f t="shared" si="3519"/>
        <v>Accepted</v>
      </c>
      <c r="S8673" t="str">
        <f t="shared" si="3534"/>
        <v>Approved</v>
      </c>
      <c r="T8673" t="str">
        <f t="shared" si="3520"/>
        <v>10.20.8.188</v>
      </c>
      <c r="U8673" t="str">
        <f t="shared" si="3535"/>
        <v>AZRAD UMAR BIN SHAARI</v>
      </c>
      <c r="V8673" t="str">
        <f t="shared" si="3536"/>
        <v>FARHANA BINTI MUSTAPA</v>
      </c>
      <c r="W8673" t="str">
        <f t="shared" si="3537"/>
        <v>04-08-2020</v>
      </c>
      <c r="X8673" t="str">
        <f t="shared" si="3538"/>
        <v>RAZIMAH ANSAR AHMAD</v>
      </c>
      <c r="Y8673" t="str">
        <f t="shared" si="3539"/>
        <v>04-08-2020</v>
      </c>
      <c r="Z8673" t="str">
        <f>"COS10200804 151"</f>
        <v>COS10200804 151</v>
      </c>
    </row>
    <row r="8674" spans="1:26" x14ac:dyDescent="0.25">
      <c r="A8674" t="str">
        <f t="shared" si="3542"/>
        <v>04-08-2020 11:31:08</v>
      </c>
      <c r="B8674" t="str">
        <f>"0000802059"</f>
        <v>0000802059</v>
      </c>
      <c r="C8674" t="str">
        <f t="shared" si="3543"/>
        <v>0000801909</v>
      </c>
      <c r="D8674" t="str">
        <f t="shared" si="3527"/>
        <v>73185</v>
      </c>
      <c r="E8674" t="str">
        <f t="shared" si="3528"/>
        <v>KFH-OPERATIONS DEPARTMENT</v>
      </c>
      <c r="F8674" t="str">
        <f t="shared" si="3529"/>
        <v>IBG</v>
      </c>
      <c r="G8674" t="str">
        <f t="shared" si="3540"/>
        <v>Refund COSHARE 10</v>
      </c>
      <c r="H8674" s="2">
        <v>109.15</v>
      </c>
      <c r="I8674" t="str">
        <f>"OLIVER J KAWANDING"</f>
        <v>OLIVER J KAWANDING</v>
      </c>
      <c r="J8674" t="str">
        <f t="shared" si="3541"/>
        <v>AMBANK / AMISLAMIC BANK</v>
      </c>
      <c r="K8674" t="str">
        <f>"0800020027424"</f>
        <v>0800020027424</v>
      </c>
      <c r="L8674" t="str">
        <f t="shared" si="3544"/>
        <v>04-08-2020</v>
      </c>
      <c r="M8674" t="str">
        <f t="shared" si="3544"/>
        <v>04-08-2020</v>
      </c>
      <c r="N8674" t="str">
        <f t="shared" si="3531"/>
        <v>001105018356</v>
      </c>
      <c r="O8674" t="str">
        <f t="shared" si="3532"/>
        <v>MYR</v>
      </c>
      <c r="P8674" t="str">
        <f t="shared" si="3545"/>
        <v>NIL</v>
      </c>
      <c r="Q8674" t="str">
        <f t="shared" si="3545"/>
        <v>NIL</v>
      </c>
      <c r="R8674" t="str">
        <f t="shared" ref="R8674:R8737" si="3546">"Accepted"</f>
        <v>Accepted</v>
      </c>
      <c r="S8674" t="str">
        <f t="shared" si="3534"/>
        <v>Approved</v>
      </c>
      <c r="T8674" t="str">
        <f t="shared" ref="T8674:T8737" si="3547">"10.20.8.188"</f>
        <v>10.20.8.188</v>
      </c>
      <c r="U8674" t="str">
        <f t="shared" si="3535"/>
        <v>AZRAD UMAR BIN SHAARI</v>
      </c>
      <c r="V8674" t="str">
        <f t="shared" si="3536"/>
        <v>FARHANA BINTI MUSTAPA</v>
      </c>
      <c r="W8674" t="str">
        <f t="shared" si="3537"/>
        <v>04-08-2020</v>
      </c>
      <c r="X8674" t="str">
        <f t="shared" si="3538"/>
        <v>RAZIMAH ANSAR AHMAD</v>
      </c>
      <c r="Y8674" t="str">
        <f t="shared" si="3539"/>
        <v>04-08-2020</v>
      </c>
      <c r="Z8674" t="str">
        <f>"COS10200804 150"</f>
        <v>COS10200804 150</v>
      </c>
    </row>
    <row r="8675" spans="1:26" x14ac:dyDescent="0.25">
      <c r="A8675" t="str">
        <f t="shared" si="3542"/>
        <v>04-08-2020 11:31:08</v>
      </c>
      <c r="B8675" t="str">
        <f>"0000802058"</f>
        <v>0000802058</v>
      </c>
      <c r="C8675" t="str">
        <f t="shared" si="3543"/>
        <v>0000801909</v>
      </c>
      <c r="D8675" t="str">
        <f t="shared" si="3527"/>
        <v>73185</v>
      </c>
      <c r="E8675" t="str">
        <f t="shared" si="3528"/>
        <v>KFH-OPERATIONS DEPARTMENT</v>
      </c>
      <c r="F8675" t="str">
        <f t="shared" si="3529"/>
        <v>IBG</v>
      </c>
      <c r="G8675" t="str">
        <f t="shared" si="3540"/>
        <v>Refund COSHARE 10</v>
      </c>
      <c r="H8675" s="2">
        <v>142.75</v>
      </c>
      <c r="I8675" t="str">
        <f>"NOR AZLY LAILY BINTI ABDUL LAZI"</f>
        <v>NOR AZLY LAILY BINTI ABDUL LAZI</v>
      </c>
      <c r="J8675" t="str">
        <f t="shared" si="3541"/>
        <v>AMBANK / AMISLAMIC BANK</v>
      </c>
      <c r="K8675" t="str">
        <f>"2190020061773"</f>
        <v>2190020061773</v>
      </c>
      <c r="L8675" t="str">
        <f t="shared" si="3544"/>
        <v>04-08-2020</v>
      </c>
      <c r="M8675" t="str">
        <f t="shared" si="3544"/>
        <v>04-08-2020</v>
      </c>
      <c r="N8675" t="str">
        <f t="shared" si="3531"/>
        <v>001105018356</v>
      </c>
      <c r="O8675" t="str">
        <f t="shared" si="3532"/>
        <v>MYR</v>
      </c>
      <c r="P8675" t="str">
        <f t="shared" si="3545"/>
        <v>NIL</v>
      </c>
      <c r="Q8675" t="str">
        <f t="shared" si="3545"/>
        <v>NIL</v>
      </c>
      <c r="R8675" t="str">
        <f t="shared" si="3546"/>
        <v>Accepted</v>
      </c>
      <c r="S8675" t="str">
        <f t="shared" si="3534"/>
        <v>Approved</v>
      </c>
      <c r="T8675" t="str">
        <f t="shared" si="3547"/>
        <v>10.20.8.188</v>
      </c>
      <c r="U8675" t="str">
        <f t="shared" si="3535"/>
        <v>AZRAD UMAR BIN SHAARI</v>
      </c>
      <c r="V8675" t="str">
        <f t="shared" si="3536"/>
        <v>FARHANA BINTI MUSTAPA</v>
      </c>
      <c r="W8675" t="str">
        <f t="shared" si="3537"/>
        <v>04-08-2020</v>
      </c>
      <c r="X8675" t="str">
        <f t="shared" si="3538"/>
        <v>RAZIMAH ANSAR AHMAD</v>
      </c>
      <c r="Y8675" t="str">
        <f t="shared" si="3539"/>
        <v>04-08-2020</v>
      </c>
      <c r="Z8675" t="str">
        <f>"COS10200804 149"</f>
        <v>COS10200804 149</v>
      </c>
    </row>
    <row r="8676" spans="1:26" x14ac:dyDescent="0.25">
      <c r="A8676" t="str">
        <f t="shared" si="3542"/>
        <v>04-08-2020 11:31:08</v>
      </c>
      <c r="B8676" t="str">
        <f>"0000802057"</f>
        <v>0000802057</v>
      </c>
      <c r="C8676" t="str">
        <f t="shared" si="3543"/>
        <v>0000801909</v>
      </c>
      <c r="D8676" t="str">
        <f t="shared" si="3527"/>
        <v>73185</v>
      </c>
      <c r="E8676" t="str">
        <f t="shared" si="3528"/>
        <v>KFH-OPERATIONS DEPARTMENT</v>
      </c>
      <c r="F8676" t="str">
        <f t="shared" si="3529"/>
        <v>IBG</v>
      </c>
      <c r="G8676" t="str">
        <f t="shared" si="3540"/>
        <v>Refund COSHARE 10</v>
      </c>
      <c r="H8676" s="2">
        <v>134.35</v>
      </c>
      <c r="I8676" t="str">
        <f>"NOR AZIZOL BIN ABDUL AZIZ"</f>
        <v>NOR AZIZOL BIN ABDUL AZIZ</v>
      </c>
      <c r="J8676" t="str">
        <f t="shared" si="3541"/>
        <v>AMBANK / AMISLAMIC BANK</v>
      </c>
      <c r="K8676" t="str">
        <f>"0030024058635"</f>
        <v>0030024058635</v>
      </c>
      <c r="L8676" t="str">
        <f t="shared" si="3544"/>
        <v>04-08-2020</v>
      </c>
      <c r="M8676" t="str">
        <f t="shared" si="3544"/>
        <v>04-08-2020</v>
      </c>
      <c r="N8676" t="str">
        <f t="shared" si="3531"/>
        <v>001105018356</v>
      </c>
      <c r="O8676" t="str">
        <f t="shared" si="3532"/>
        <v>MYR</v>
      </c>
      <c r="P8676" t="str">
        <f t="shared" si="3545"/>
        <v>NIL</v>
      </c>
      <c r="Q8676" t="str">
        <f t="shared" si="3545"/>
        <v>NIL</v>
      </c>
      <c r="R8676" t="str">
        <f t="shared" si="3546"/>
        <v>Accepted</v>
      </c>
      <c r="S8676" t="str">
        <f t="shared" si="3534"/>
        <v>Approved</v>
      </c>
      <c r="T8676" t="str">
        <f t="shared" si="3547"/>
        <v>10.20.8.188</v>
      </c>
      <c r="U8676" t="str">
        <f t="shared" si="3535"/>
        <v>AZRAD UMAR BIN SHAARI</v>
      </c>
      <c r="V8676" t="str">
        <f t="shared" si="3536"/>
        <v>FARHANA BINTI MUSTAPA</v>
      </c>
      <c r="W8676" t="str">
        <f t="shared" si="3537"/>
        <v>04-08-2020</v>
      </c>
      <c r="X8676" t="str">
        <f t="shared" si="3538"/>
        <v>RAZIMAH ANSAR AHMAD</v>
      </c>
      <c r="Y8676" t="str">
        <f t="shared" si="3539"/>
        <v>04-08-2020</v>
      </c>
      <c r="Z8676" t="str">
        <f>"COS10200804 148"</f>
        <v>COS10200804 148</v>
      </c>
    </row>
    <row r="8677" spans="1:26" x14ac:dyDescent="0.25">
      <c r="A8677" t="str">
        <f t="shared" si="3542"/>
        <v>04-08-2020 11:31:08</v>
      </c>
      <c r="B8677" t="str">
        <f>"0000802056"</f>
        <v>0000802056</v>
      </c>
      <c r="C8677" t="str">
        <f t="shared" si="3543"/>
        <v>0000801909</v>
      </c>
      <c r="D8677" t="str">
        <f t="shared" si="3527"/>
        <v>73185</v>
      </c>
      <c r="E8677" t="str">
        <f t="shared" si="3528"/>
        <v>KFH-OPERATIONS DEPARTMENT</v>
      </c>
      <c r="F8677" t="str">
        <f t="shared" si="3529"/>
        <v>IBG</v>
      </c>
      <c r="G8677" t="str">
        <f t="shared" si="3540"/>
        <v>Refund COSHARE 10</v>
      </c>
      <c r="H8677" s="2">
        <v>251.85</v>
      </c>
      <c r="I8677" t="str">
        <f>"NOOR SHUHADA BINTI JAAFAR"</f>
        <v>NOOR SHUHADA BINTI JAAFAR</v>
      </c>
      <c r="J8677" t="str">
        <f t="shared" si="3541"/>
        <v>AMBANK / AMISLAMIC BANK</v>
      </c>
      <c r="K8677" t="str">
        <f>"2500020008196"</f>
        <v>2500020008196</v>
      </c>
      <c r="L8677" t="str">
        <f t="shared" si="3544"/>
        <v>04-08-2020</v>
      </c>
      <c r="M8677" t="str">
        <f t="shared" si="3544"/>
        <v>04-08-2020</v>
      </c>
      <c r="N8677" t="str">
        <f t="shared" si="3531"/>
        <v>001105018356</v>
      </c>
      <c r="O8677" t="str">
        <f t="shared" si="3532"/>
        <v>MYR</v>
      </c>
      <c r="P8677" t="str">
        <f t="shared" si="3545"/>
        <v>NIL</v>
      </c>
      <c r="Q8677" t="str">
        <f t="shared" si="3545"/>
        <v>NIL</v>
      </c>
      <c r="R8677" t="str">
        <f t="shared" si="3546"/>
        <v>Accepted</v>
      </c>
      <c r="S8677" t="str">
        <f t="shared" si="3534"/>
        <v>Approved</v>
      </c>
      <c r="T8677" t="str">
        <f t="shared" si="3547"/>
        <v>10.20.8.188</v>
      </c>
      <c r="U8677" t="str">
        <f t="shared" si="3535"/>
        <v>AZRAD UMAR BIN SHAARI</v>
      </c>
      <c r="V8677" t="str">
        <f t="shared" si="3536"/>
        <v>FARHANA BINTI MUSTAPA</v>
      </c>
      <c r="W8677" t="str">
        <f t="shared" si="3537"/>
        <v>04-08-2020</v>
      </c>
      <c r="X8677" t="str">
        <f t="shared" si="3538"/>
        <v>RAZIMAH ANSAR AHMAD</v>
      </c>
      <c r="Y8677" t="str">
        <f t="shared" si="3539"/>
        <v>04-08-2020</v>
      </c>
      <c r="Z8677" t="str">
        <f>"COS10200804 147"</f>
        <v>COS10200804 147</v>
      </c>
    </row>
    <row r="8678" spans="1:26" x14ac:dyDescent="0.25">
      <c r="A8678" t="str">
        <f t="shared" si="3542"/>
        <v>04-08-2020 11:31:08</v>
      </c>
      <c r="B8678" t="str">
        <f>"0000802055"</f>
        <v>0000802055</v>
      </c>
      <c r="C8678" t="str">
        <f t="shared" si="3543"/>
        <v>0000801909</v>
      </c>
      <c r="D8678" t="str">
        <f t="shared" si="3527"/>
        <v>73185</v>
      </c>
      <c r="E8678" t="str">
        <f t="shared" si="3528"/>
        <v>KFH-OPERATIONS DEPARTMENT</v>
      </c>
      <c r="F8678" t="str">
        <f t="shared" si="3529"/>
        <v>IBG</v>
      </c>
      <c r="G8678" t="str">
        <f t="shared" si="3540"/>
        <v>Refund COSHARE 10</v>
      </c>
      <c r="H8678" s="2">
        <v>274</v>
      </c>
      <c r="I8678" t="str">
        <f>"NASIBAH BINTI LAMIN"</f>
        <v>NASIBAH BINTI LAMIN</v>
      </c>
      <c r="J8678" t="str">
        <f t="shared" si="3541"/>
        <v>AMBANK / AMISLAMIC BANK</v>
      </c>
      <c r="K8678" t="str">
        <f>"8881010865021"</f>
        <v>8881010865021</v>
      </c>
      <c r="L8678" t="str">
        <f t="shared" si="3544"/>
        <v>04-08-2020</v>
      </c>
      <c r="M8678" t="str">
        <f t="shared" si="3544"/>
        <v>04-08-2020</v>
      </c>
      <c r="N8678" t="str">
        <f t="shared" si="3531"/>
        <v>001105018356</v>
      </c>
      <c r="O8678" t="str">
        <f t="shared" si="3532"/>
        <v>MYR</v>
      </c>
      <c r="P8678" t="str">
        <f t="shared" si="3545"/>
        <v>NIL</v>
      </c>
      <c r="Q8678" t="str">
        <f t="shared" si="3545"/>
        <v>NIL</v>
      </c>
      <c r="R8678" t="str">
        <f t="shared" si="3546"/>
        <v>Accepted</v>
      </c>
      <c r="S8678" t="str">
        <f t="shared" si="3534"/>
        <v>Approved</v>
      </c>
      <c r="T8678" t="str">
        <f t="shared" si="3547"/>
        <v>10.20.8.188</v>
      </c>
      <c r="U8678" t="str">
        <f t="shared" si="3535"/>
        <v>AZRAD UMAR BIN SHAARI</v>
      </c>
      <c r="V8678" t="str">
        <f t="shared" si="3536"/>
        <v>FARHANA BINTI MUSTAPA</v>
      </c>
      <c r="W8678" t="str">
        <f t="shared" si="3537"/>
        <v>04-08-2020</v>
      </c>
      <c r="X8678" t="str">
        <f t="shared" si="3538"/>
        <v>RAZIMAH ANSAR AHMAD</v>
      </c>
      <c r="Y8678" t="str">
        <f t="shared" si="3539"/>
        <v>04-08-2020</v>
      </c>
      <c r="Z8678" t="str">
        <f>"COS10200804 146"</f>
        <v>COS10200804 146</v>
      </c>
    </row>
    <row r="8679" spans="1:26" x14ac:dyDescent="0.25">
      <c r="A8679" t="str">
        <f t="shared" si="3542"/>
        <v>04-08-2020 11:31:08</v>
      </c>
      <c r="B8679" t="str">
        <f>"0000802054"</f>
        <v>0000802054</v>
      </c>
      <c r="C8679" t="str">
        <f t="shared" si="3543"/>
        <v>0000801909</v>
      </c>
      <c r="D8679" t="str">
        <f t="shared" si="3527"/>
        <v>73185</v>
      </c>
      <c r="E8679" t="str">
        <f t="shared" si="3528"/>
        <v>KFH-OPERATIONS DEPARTMENT</v>
      </c>
      <c r="F8679" t="str">
        <f t="shared" si="3529"/>
        <v>IBG</v>
      </c>
      <c r="G8679" t="str">
        <f t="shared" si="3540"/>
        <v>Refund COSHARE 10</v>
      </c>
      <c r="H8679" s="2">
        <v>112.1</v>
      </c>
      <c r="I8679" t="str">
        <f>"MUNIRA BINTI AHMAD"</f>
        <v>MUNIRA BINTI AHMAD</v>
      </c>
      <c r="J8679" t="str">
        <f t="shared" si="3541"/>
        <v>AMBANK / AMISLAMIC BANK</v>
      </c>
      <c r="K8679" t="str">
        <f>"0320020031821"</f>
        <v>0320020031821</v>
      </c>
      <c r="L8679" t="str">
        <f t="shared" si="3544"/>
        <v>04-08-2020</v>
      </c>
      <c r="M8679" t="str">
        <f t="shared" si="3544"/>
        <v>04-08-2020</v>
      </c>
      <c r="N8679" t="str">
        <f t="shared" si="3531"/>
        <v>001105018356</v>
      </c>
      <c r="O8679" t="str">
        <f t="shared" si="3532"/>
        <v>MYR</v>
      </c>
      <c r="P8679" t="str">
        <f t="shared" si="3545"/>
        <v>NIL</v>
      </c>
      <c r="Q8679" t="str">
        <f t="shared" si="3545"/>
        <v>NIL</v>
      </c>
      <c r="R8679" t="str">
        <f t="shared" si="3546"/>
        <v>Accepted</v>
      </c>
      <c r="S8679" t="str">
        <f t="shared" si="3534"/>
        <v>Approved</v>
      </c>
      <c r="T8679" t="str">
        <f t="shared" si="3547"/>
        <v>10.20.8.188</v>
      </c>
      <c r="U8679" t="str">
        <f t="shared" si="3535"/>
        <v>AZRAD UMAR BIN SHAARI</v>
      </c>
      <c r="V8679" t="str">
        <f t="shared" si="3536"/>
        <v>FARHANA BINTI MUSTAPA</v>
      </c>
      <c r="W8679" t="str">
        <f t="shared" si="3537"/>
        <v>04-08-2020</v>
      </c>
      <c r="X8679" t="str">
        <f t="shared" si="3538"/>
        <v>RAZIMAH ANSAR AHMAD</v>
      </c>
      <c r="Y8679" t="str">
        <f t="shared" si="3539"/>
        <v>04-08-2020</v>
      </c>
      <c r="Z8679" t="str">
        <f>"COS10200804 145"</f>
        <v>COS10200804 145</v>
      </c>
    </row>
    <row r="8680" spans="1:26" x14ac:dyDescent="0.25">
      <c r="A8680" t="str">
        <f t="shared" si="3542"/>
        <v>04-08-2020 11:31:08</v>
      </c>
      <c r="B8680" t="str">
        <f>"0000802053"</f>
        <v>0000802053</v>
      </c>
      <c r="C8680" t="str">
        <f t="shared" si="3543"/>
        <v>0000801909</v>
      </c>
      <c r="D8680" t="str">
        <f t="shared" si="3527"/>
        <v>73185</v>
      </c>
      <c r="E8680" t="str">
        <f t="shared" si="3528"/>
        <v>KFH-OPERATIONS DEPARTMENT</v>
      </c>
      <c r="F8680" t="str">
        <f t="shared" si="3529"/>
        <v>IBG</v>
      </c>
      <c r="G8680" t="str">
        <f t="shared" si="3540"/>
        <v>Refund COSHARE 10</v>
      </c>
      <c r="H8680" s="2">
        <v>218.3</v>
      </c>
      <c r="I8680" t="str">
        <f>"MUHAMMAD FAUZY BIN ABDULLAH"</f>
        <v>MUHAMMAD FAUZY BIN ABDULLAH</v>
      </c>
      <c r="J8680" t="str">
        <f t="shared" si="3541"/>
        <v>AMBANK / AMISLAMIC BANK</v>
      </c>
      <c r="K8680" t="str">
        <f>"1000020047832"</f>
        <v>1000020047832</v>
      </c>
      <c r="L8680" t="str">
        <f t="shared" si="3544"/>
        <v>04-08-2020</v>
      </c>
      <c r="M8680" t="str">
        <f t="shared" si="3544"/>
        <v>04-08-2020</v>
      </c>
      <c r="N8680" t="str">
        <f t="shared" si="3531"/>
        <v>001105018356</v>
      </c>
      <c r="O8680" t="str">
        <f t="shared" si="3532"/>
        <v>MYR</v>
      </c>
      <c r="P8680" t="str">
        <f t="shared" si="3545"/>
        <v>NIL</v>
      </c>
      <c r="Q8680" t="str">
        <f t="shared" si="3545"/>
        <v>NIL</v>
      </c>
      <c r="R8680" t="str">
        <f t="shared" si="3546"/>
        <v>Accepted</v>
      </c>
      <c r="S8680" t="str">
        <f t="shared" si="3534"/>
        <v>Approved</v>
      </c>
      <c r="T8680" t="str">
        <f t="shared" si="3547"/>
        <v>10.20.8.188</v>
      </c>
      <c r="U8680" t="str">
        <f t="shared" si="3535"/>
        <v>AZRAD UMAR BIN SHAARI</v>
      </c>
      <c r="V8680" t="str">
        <f t="shared" si="3536"/>
        <v>FARHANA BINTI MUSTAPA</v>
      </c>
      <c r="W8680" t="str">
        <f t="shared" si="3537"/>
        <v>04-08-2020</v>
      </c>
      <c r="X8680" t="str">
        <f t="shared" si="3538"/>
        <v>RAZIMAH ANSAR AHMAD</v>
      </c>
      <c r="Y8680" t="str">
        <f t="shared" si="3539"/>
        <v>04-08-2020</v>
      </c>
      <c r="Z8680" t="str">
        <f>"COS10200804 144"</f>
        <v>COS10200804 144</v>
      </c>
    </row>
    <row r="8681" spans="1:26" x14ac:dyDescent="0.25">
      <c r="A8681" t="str">
        <f t="shared" si="3542"/>
        <v>04-08-2020 11:31:08</v>
      </c>
      <c r="B8681" t="str">
        <f>"0000802052"</f>
        <v>0000802052</v>
      </c>
      <c r="C8681" t="str">
        <f t="shared" si="3543"/>
        <v>0000801909</v>
      </c>
      <c r="D8681" t="str">
        <f t="shared" si="3527"/>
        <v>73185</v>
      </c>
      <c r="E8681" t="str">
        <f t="shared" si="3528"/>
        <v>KFH-OPERATIONS DEPARTMENT</v>
      </c>
      <c r="F8681" t="str">
        <f t="shared" si="3529"/>
        <v>IBG</v>
      </c>
      <c r="G8681" t="str">
        <f t="shared" si="3540"/>
        <v>Refund COSHARE 10</v>
      </c>
      <c r="H8681" s="2">
        <v>335.8</v>
      </c>
      <c r="I8681" t="str">
        <f>"MOHD NAZIR BIN YAMIN"</f>
        <v>MOHD NAZIR BIN YAMIN</v>
      </c>
      <c r="J8681" t="str">
        <f t="shared" si="3541"/>
        <v>AMBANK / AMISLAMIC BANK</v>
      </c>
      <c r="K8681" t="str">
        <f>"1010020086250"</f>
        <v>1010020086250</v>
      </c>
      <c r="L8681" t="str">
        <f t="shared" si="3544"/>
        <v>04-08-2020</v>
      </c>
      <c r="M8681" t="str">
        <f t="shared" si="3544"/>
        <v>04-08-2020</v>
      </c>
      <c r="N8681" t="str">
        <f t="shared" si="3531"/>
        <v>001105018356</v>
      </c>
      <c r="O8681" t="str">
        <f t="shared" si="3532"/>
        <v>MYR</v>
      </c>
      <c r="P8681" t="str">
        <f t="shared" si="3545"/>
        <v>NIL</v>
      </c>
      <c r="Q8681" t="str">
        <f t="shared" si="3545"/>
        <v>NIL</v>
      </c>
      <c r="R8681" t="str">
        <f t="shared" si="3546"/>
        <v>Accepted</v>
      </c>
      <c r="S8681" t="str">
        <f t="shared" si="3534"/>
        <v>Approved</v>
      </c>
      <c r="T8681" t="str">
        <f t="shared" si="3547"/>
        <v>10.20.8.188</v>
      </c>
      <c r="U8681" t="str">
        <f t="shared" si="3535"/>
        <v>AZRAD UMAR BIN SHAARI</v>
      </c>
      <c r="V8681" t="str">
        <f t="shared" si="3536"/>
        <v>FARHANA BINTI MUSTAPA</v>
      </c>
      <c r="W8681" t="str">
        <f t="shared" si="3537"/>
        <v>04-08-2020</v>
      </c>
      <c r="X8681" t="str">
        <f t="shared" si="3538"/>
        <v>RAZIMAH ANSAR AHMAD</v>
      </c>
      <c r="Y8681" t="str">
        <f t="shared" si="3539"/>
        <v>04-08-2020</v>
      </c>
      <c r="Z8681" t="str">
        <f>"COS10200804 143"</f>
        <v>COS10200804 143</v>
      </c>
    </row>
    <row r="8682" spans="1:26" x14ac:dyDescent="0.25">
      <c r="A8682" t="str">
        <f t="shared" si="3542"/>
        <v>04-08-2020 11:31:08</v>
      </c>
      <c r="B8682" t="str">
        <f>"0000802051"</f>
        <v>0000802051</v>
      </c>
      <c r="C8682" t="str">
        <f t="shared" si="3543"/>
        <v>0000801909</v>
      </c>
      <c r="D8682" t="str">
        <f t="shared" si="3527"/>
        <v>73185</v>
      </c>
      <c r="E8682" t="str">
        <f t="shared" si="3528"/>
        <v>KFH-OPERATIONS DEPARTMENT</v>
      </c>
      <c r="F8682" t="str">
        <f t="shared" si="3529"/>
        <v>IBG</v>
      </c>
      <c r="G8682" t="str">
        <f t="shared" si="3540"/>
        <v>Refund COSHARE 10</v>
      </c>
      <c r="H8682" s="2">
        <v>42</v>
      </c>
      <c r="I8682" t="str">
        <f>"MOHD NAZIR BIN MUJINI"</f>
        <v>MOHD NAZIR BIN MUJINI</v>
      </c>
      <c r="J8682" t="str">
        <f t="shared" si="3541"/>
        <v>AMBANK / AMISLAMIC BANK</v>
      </c>
      <c r="K8682" t="str">
        <f>"1130020018259"</f>
        <v>1130020018259</v>
      </c>
      <c r="L8682" t="str">
        <f t="shared" si="3544"/>
        <v>04-08-2020</v>
      </c>
      <c r="M8682" t="str">
        <f t="shared" si="3544"/>
        <v>04-08-2020</v>
      </c>
      <c r="N8682" t="str">
        <f t="shared" si="3531"/>
        <v>001105018356</v>
      </c>
      <c r="O8682" t="str">
        <f t="shared" si="3532"/>
        <v>MYR</v>
      </c>
      <c r="P8682" t="str">
        <f t="shared" si="3545"/>
        <v>NIL</v>
      </c>
      <c r="Q8682" t="str">
        <f t="shared" si="3545"/>
        <v>NIL</v>
      </c>
      <c r="R8682" t="str">
        <f t="shared" si="3546"/>
        <v>Accepted</v>
      </c>
      <c r="S8682" t="str">
        <f t="shared" si="3534"/>
        <v>Approved</v>
      </c>
      <c r="T8682" t="str">
        <f t="shared" si="3547"/>
        <v>10.20.8.188</v>
      </c>
      <c r="U8682" t="str">
        <f t="shared" si="3535"/>
        <v>AZRAD UMAR BIN SHAARI</v>
      </c>
      <c r="V8682" t="str">
        <f t="shared" si="3536"/>
        <v>FARHANA BINTI MUSTAPA</v>
      </c>
      <c r="W8682" t="str">
        <f t="shared" si="3537"/>
        <v>04-08-2020</v>
      </c>
      <c r="X8682" t="str">
        <f t="shared" si="3538"/>
        <v>RAZIMAH ANSAR AHMAD</v>
      </c>
      <c r="Y8682" t="str">
        <f t="shared" si="3539"/>
        <v>04-08-2020</v>
      </c>
      <c r="Z8682" t="str">
        <f>"COS10200804 142"</f>
        <v>COS10200804 142</v>
      </c>
    </row>
    <row r="8683" spans="1:26" x14ac:dyDescent="0.25">
      <c r="A8683" t="str">
        <f t="shared" si="3542"/>
        <v>04-08-2020 11:31:08</v>
      </c>
      <c r="B8683" t="str">
        <f>"0000802050"</f>
        <v>0000802050</v>
      </c>
      <c r="C8683" t="str">
        <f t="shared" si="3543"/>
        <v>0000801909</v>
      </c>
      <c r="D8683" t="str">
        <f t="shared" si="3527"/>
        <v>73185</v>
      </c>
      <c r="E8683" t="str">
        <f t="shared" si="3528"/>
        <v>KFH-OPERATIONS DEPARTMENT</v>
      </c>
      <c r="F8683" t="str">
        <f t="shared" si="3529"/>
        <v>IBG</v>
      </c>
      <c r="G8683" t="str">
        <f t="shared" si="3540"/>
        <v>Refund COSHARE 10</v>
      </c>
      <c r="H8683" s="2">
        <v>42</v>
      </c>
      <c r="I8683" t="str">
        <f>"MOHD NAZIR BIN MUJINI"</f>
        <v>MOHD NAZIR BIN MUJINI</v>
      </c>
      <c r="J8683" t="str">
        <f t="shared" si="3541"/>
        <v>AMBANK / AMISLAMIC BANK</v>
      </c>
      <c r="K8683" t="str">
        <f>"1130020018259"</f>
        <v>1130020018259</v>
      </c>
      <c r="L8683" t="str">
        <f t="shared" si="3544"/>
        <v>04-08-2020</v>
      </c>
      <c r="M8683" t="str">
        <f t="shared" si="3544"/>
        <v>04-08-2020</v>
      </c>
      <c r="N8683" t="str">
        <f t="shared" si="3531"/>
        <v>001105018356</v>
      </c>
      <c r="O8683" t="str">
        <f t="shared" si="3532"/>
        <v>MYR</v>
      </c>
      <c r="P8683" t="str">
        <f t="shared" si="3545"/>
        <v>NIL</v>
      </c>
      <c r="Q8683" t="str">
        <f t="shared" si="3545"/>
        <v>NIL</v>
      </c>
      <c r="R8683" t="str">
        <f t="shared" si="3546"/>
        <v>Accepted</v>
      </c>
      <c r="S8683" t="str">
        <f t="shared" si="3534"/>
        <v>Approved</v>
      </c>
      <c r="T8683" t="str">
        <f t="shared" si="3547"/>
        <v>10.20.8.188</v>
      </c>
      <c r="U8683" t="str">
        <f t="shared" si="3535"/>
        <v>AZRAD UMAR BIN SHAARI</v>
      </c>
      <c r="V8683" t="str">
        <f t="shared" si="3536"/>
        <v>FARHANA BINTI MUSTAPA</v>
      </c>
      <c r="W8683" t="str">
        <f t="shared" si="3537"/>
        <v>04-08-2020</v>
      </c>
      <c r="X8683" t="str">
        <f t="shared" si="3538"/>
        <v>RAZIMAH ANSAR AHMAD</v>
      </c>
      <c r="Y8683" t="str">
        <f t="shared" si="3539"/>
        <v>04-08-2020</v>
      </c>
      <c r="Z8683" t="str">
        <f>"COS10200804 141"</f>
        <v>COS10200804 141</v>
      </c>
    </row>
    <row r="8684" spans="1:26" x14ac:dyDescent="0.25">
      <c r="A8684" t="str">
        <f t="shared" si="3542"/>
        <v>04-08-2020 11:31:08</v>
      </c>
      <c r="B8684" t="str">
        <f>"0000802049"</f>
        <v>0000802049</v>
      </c>
      <c r="C8684" t="str">
        <f t="shared" si="3543"/>
        <v>0000801909</v>
      </c>
      <c r="D8684" t="str">
        <f t="shared" si="3527"/>
        <v>73185</v>
      </c>
      <c r="E8684" t="str">
        <f t="shared" si="3528"/>
        <v>KFH-OPERATIONS DEPARTMENT</v>
      </c>
      <c r="F8684" t="str">
        <f t="shared" si="3529"/>
        <v>IBG</v>
      </c>
      <c r="G8684" t="str">
        <f t="shared" si="3540"/>
        <v>Refund COSHARE 10</v>
      </c>
      <c r="H8684" s="2">
        <v>358.15</v>
      </c>
      <c r="I8684" t="str">
        <f>"MOHD KHAIRILLAH BIN IBRAHIM"</f>
        <v>MOHD KHAIRILLAH BIN IBRAHIM</v>
      </c>
      <c r="J8684" t="str">
        <f t="shared" si="3541"/>
        <v>AMBANK / AMISLAMIC BANK</v>
      </c>
      <c r="K8684" t="str">
        <f>"0080024077747"</f>
        <v>0080024077747</v>
      </c>
      <c r="L8684" t="str">
        <f t="shared" si="3544"/>
        <v>04-08-2020</v>
      </c>
      <c r="M8684" t="str">
        <f t="shared" si="3544"/>
        <v>04-08-2020</v>
      </c>
      <c r="N8684" t="str">
        <f t="shared" si="3531"/>
        <v>001105018356</v>
      </c>
      <c r="O8684" t="str">
        <f t="shared" si="3532"/>
        <v>MYR</v>
      </c>
      <c r="P8684" t="str">
        <f t="shared" si="3545"/>
        <v>NIL</v>
      </c>
      <c r="Q8684" t="str">
        <f t="shared" si="3545"/>
        <v>NIL</v>
      </c>
      <c r="R8684" t="str">
        <f t="shared" si="3546"/>
        <v>Accepted</v>
      </c>
      <c r="S8684" t="str">
        <f t="shared" si="3534"/>
        <v>Approved</v>
      </c>
      <c r="T8684" t="str">
        <f t="shared" si="3547"/>
        <v>10.20.8.188</v>
      </c>
      <c r="U8684" t="str">
        <f t="shared" si="3535"/>
        <v>AZRAD UMAR BIN SHAARI</v>
      </c>
      <c r="V8684" t="str">
        <f t="shared" si="3536"/>
        <v>FARHANA BINTI MUSTAPA</v>
      </c>
      <c r="W8684" t="str">
        <f t="shared" si="3537"/>
        <v>04-08-2020</v>
      </c>
      <c r="X8684" t="str">
        <f t="shared" si="3538"/>
        <v>RAZIMAH ANSAR AHMAD</v>
      </c>
      <c r="Y8684" t="str">
        <f t="shared" si="3539"/>
        <v>04-08-2020</v>
      </c>
      <c r="Z8684" t="str">
        <f>"COS10200804 140"</f>
        <v>COS10200804 140</v>
      </c>
    </row>
    <row r="8685" spans="1:26" x14ac:dyDescent="0.25">
      <c r="A8685" t="str">
        <f t="shared" si="3542"/>
        <v>04-08-2020 11:31:08</v>
      </c>
      <c r="B8685" t="str">
        <f>"0000802048"</f>
        <v>0000802048</v>
      </c>
      <c r="C8685" t="str">
        <f t="shared" si="3543"/>
        <v>0000801909</v>
      </c>
      <c r="D8685" t="str">
        <f t="shared" si="3527"/>
        <v>73185</v>
      </c>
      <c r="E8685" t="str">
        <f t="shared" si="3528"/>
        <v>KFH-OPERATIONS DEPARTMENT</v>
      </c>
      <c r="F8685" t="str">
        <f t="shared" si="3529"/>
        <v>IBG</v>
      </c>
      <c r="G8685" t="str">
        <f t="shared" si="3540"/>
        <v>Refund COSHARE 10</v>
      </c>
      <c r="H8685" s="2">
        <v>152</v>
      </c>
      <c r="I8685" t="str">
        <f>"MOHD HAPIZ ALIMIN BIN MOHD ASRI"</f>
        <v>MOHD HAPIZ ALIMIN BIN MOHD ASRI</v>
      </c>
      <c r="J8685" t="str">
        <f t="shared" ref="J8685:J8716" si="3548">"AMBANK / AMISLAMIC BANK"</f>
        <v>AMBANK / AMISLAMIC BANK</v>
      </c>
      <c r="K8685" t="str">
        <f>"8881031134926"</f>
        <v>8881031134926</v>
      </c>
      <c r="L8685" t="str">
        <f t="shared" si="3544"/>
        <v>04-08-2020</v>
      </c>
      <c r="M8685" t="str">
        <f t="shared" si="3544"/>
        <v>04-08-2020</v>
      </c>
      <c r="N8685" t="str">
        <f t="shared" si="3531"/>
        <v>001105018356</v>
      </c>
      <c r="O8685" t="str">
        <f t="shared" si="3532"/>
        <v>MYR</v>
      </c>
      <c r="P8685" t="str">
        <f t="shared" si="3545"/>
        <v>NIL</v>
      </c>
      <c r="Q8685" t="str">
        <f t="shared" si="3545"/>
        <v>NIL</v>
      </c>
      <c r="R8685" t="str">
        <f t="shared" si="3546"/>
        <v>Accepted</v>
      </c>
      <c r="S8685" t="str">
        <f t="shared" si="3534"/>
        <v>Approved</v>
      </c>
      <c r="T8685" t="str">
        <f t="shared" si="3547"/>
        <v>10.20.8.188</v>
      </c>
      <c r="U8685" t="str">
        <f t="shared" si="3535"/>
        <v>AZRAD UMAR BIN SHAARI</v>
      </c>
      <c r="V8685" t="str">
        <f t="shared" si="3536"/>
        <v>FARHANA BINTI MUSTAPA</v>
      </c>
      <c r="W8685" t="str">
        <f t="shared" si="3537"/>
        <v>04-08-2020</v>
      </c>
      <c r="X8685" t="str">
        <f t="shared" si="3538"/>
        <v>RAZIMAH ANSAR AHMAD</v>
      </c>
      <c r="Y8685" t="str">
        <f t="shared" si="3539"/>
        <v>04-08-2020</v>
      </c>
      <c r="Z8685" t="str">
        <f>"COS10200804 139"</f>
        <v>COS10200804 139</v>
      </c>
    </row>
    <row r="8686" spans="1:26" x14ac:dyDescent="0.25">
      <c r="A8686" t="str">
        <f t="shared" si="3542"/>
        <v>04-08-2020 11:31:08</v>
      </c>
      <c r="B8686" t="str">
        <f>"0000802047"</f>
        <v>0000802047</v>
      </c>
      <c r="C8686" t="str">
        <f t="shared" si="3543"/>
        <v>0000801909</v>
      </c>
      <c r="D8686" t="str">
        <f t="shared" si="3527"/>
        <v>73185</v>
      </c>
      <c r="E8686" t="str">
        <f t="shared" si="3528"/>
        <v>KFH-OPERATIONS DEPARTMENT</v>
      </c>
      <c r="F8686" t="str">
        <f t="shared" si="3529"/>
        <v>IBG</v>
      </c>
      <c r="G8686" t="str">
        <f t="shared" si="3540"/>
        <v>Refund COSHARE 10</v>
      </c>
      <c r="H8686" s="2">
        <v>1108.1500000000001</v>
      </c>
      <c r="I8686" t="str">
        <f>"MOHD HAPIZ ALIMIN BIN MOHD ASRI"</f>
        <v>MOHD HAPIZ ALIMIN BIN MOHD ASRI</v>
      </c>
      <c r="J8686" t="str">
        <f t="shared" si="3548"/>
        <v>AMBANK / AMISLAMIC BANK</v>
      </c>
      <c r="K8686" t="str">
        <f>"8881031134926"</f>
        <v>8881031134926</v>
      </c>
      <c r="L8686" t="str">
        <f t="shared" si="3544"/>
        <v>04-08-2020</v>
      </c>
      <c r="M8686" t="str">
        <f t="shared" si="3544"/>
        <v>04-08-2020</v>
      </c>
      <c r="N8686" t="str">
        <f t="shared" si="3531"/>
        <v>001105018356</v>
      </c>
      <c r="O8686" t="str">
        <f t="shared" si="3532"/>
        <v>MYR</v>
      </c>
      <c r="P8686" t="str">
        <f t="shared" si="3545"/>
        <v>NIL</v>
      </c>
      <c r="Q8686" t="str">
        <f t="shared" si="3545"/>
        <v>NIL</v>
      </c>
      <c r="R8686" t="str">
        <f t="shared" si="3546"/>
        <v>Accepted</v>
      </c>
      <c r="S8686" t="str">
        <f t="shared" si="3534"/>
        <v>Approved</v>
      </c>
      <c r="T8686" t="str">
        <f t="shared" si="3547"/>
        <v>10.20.8.188</v>
      </c>
      <c r="U8686" t="str">
        <f t="shared" si="3535"/>
        <v>AZRAD UMAR BIN SHAARI</v>
      </c>
      <c r="V8686" t="str">
        <f t="shared" si="3536"/>
        <v>FARHANA BINTI MUSTAPA</v>
      </c>
      <c r="W8686" t="str">
        <f t="shared" si="3537"/>
        <v>04-08-2020</v>
      </c>
      <c r="X8686" t="str">
        <f t="shared" si="3538"/>
        <v>RAZIMAH ANSAR AHMAD</v>
      </c>
      <c r="Y8686" t="str">
        <f t="shared" si="3539"/>
        <v>04-08-2020</v>
      </c>
      <c r="Z8686" t="str">
        <f>"COS10200804 138"</f>
        <v>COS10200804 138</v>
      </c>
    </row>
    <row r="8687" spans="1:26" x14ac:dyDescent="0.25">
      <c r="A8687" t="str">
        <f t="shared" si="3542"/>
        <v>04-08-2020 11:31:08</v>
      </c>
      <c r="B8687" t="str">
        <f>"0000802046"</f>
        <v>0000802046</v>
      </c>
      <c r="C8687" t="str">
        <f t="shared" si="3543"/>
        <v>0000801909</v>
      </c>
      <c r="D8687" t="str">
        <f t="shared" si="3527"/>
        <v>73185</v>
      </c>
      <c r="E8687" t="str">
        <f t="shared" si="3528"/>
        <v>KFH-OPERATIONS DEPARTMENT</v>
      </c>
      <c r="F8687" t="str">
        <f t="shared" si="3529"/>
        <v>IBG</v>
      </c>
      <c r="G8687" t="str">
        <f t="shared" si="3540"/>
        <v>Refund COSHARE 10</v>
      </c>
      <c r="H8687" s="2">
        <v>672.35</v>
      </c>
      <c r="I8687" t="str">
        <f>"MOHD HAMDAN BIN MOHD SHARIFF"</f>
        <v>MOHD HAMDAN BIN MOHD SHARIFF</v>
      </c>
      <c r="J8687" t="str">
        <f t="shared" si="3548"/>
        <v>AMBANK / AMISLAMIC BANK</v>
      </c>
      <c r="K8687" t="str">
        <f>"2180020007827"</f>
        <v>2180020007827</v>
      </c>
      <c r="L8687" t="str">
        <f t="shared" ref="L8687:M8706" si="3549">"04-08-2020"</f>
        <v>04-08-2020</v>
      </c>
      <c r="M8687" t="str">
        <f t="shared" si="3549"/>
        <v>04-08-2020</v>
      </c>
      <c r="N8687" t="str">
        <f t="shared" si="3531"/>
        <v>001105018356</v>
      </c>
      <c r="O8687" t="str">
        <f t="shared" si="3532"/>
        <v>MYR</v>
      </c>
      <c r="P8687" t="str">
        <f t="shared" ref="P8687:Q8706" si="3550">"NIL"</f>
        <v>NIL</v>
      </c>
      <c r="Q8687" t="str">
        <f t="shared" si="3550"/>
        <v>NIL</v>
      </c>
      <c r="R8687" t="str">
        <f t="shared" si="3546"/>
        <v>Accepted</v>
      </c>
      <c r="S8687" t="str">
        <f t="shared" si="3534"/>
        <v>Approved</v>
      </c>
      <c r="T8687" t="str">
        <f t="shared" si="3547"/>
        <v>10.20.8.188</v>
      </c>
      <c r="U8687" t="str">
        <f t="shared" si="3535"/>
        <v>AZRAD UMAR BIN SHAARI</v>
      </c>
      <c r="V8687" t="str">
        <f t="shared" si="3536"/>
        <v>FARHANA BINTI MUSTAPA</v>
      </c>
      <c r="W8687" t="str">
        <f t="shared" si="3537"/>
        <v>04-08-2020</v>
      </c>
      <c r="X8687" t="str">
        <f t="shared" si="3538"/>
        <v>RAZIMAH ANSAR AHMAD</v>
      </c>
      <c r="Y8687" t="str">
        <f t="shared" si="3539"/>
        <v>04-08-2020</v>
      </c>
      <c r="Z8687" t="str">
        <f>"COS10200804 137"</f>
        <v>COS10200804 137</v>
      </c>
    </row>
    <row r="8688" spans="1:26" x14ac:dyDescent="0.25">
      <c r="A8688" t="str">
        <f t="shared" ref="A8688:A8719" si="3551">"04-08-2020 11:31:08"</f>
        <v>04-08-2020 11:31:08</v>
      </c>
      <c r="B8688" t="str">
        <f>"0000802045"</f>
        <v>0000802045</v>
      </c>
      <c r="C8688" t="str">
        <f t="shared" ref="C8688:C8719" si="3552">"0000801909"</f>
        <v>0000801909</v>
      </c>
      <c r="D8688" t="str">
        <f t="shared" si="3527"/>
        <v>73185</v>
      </c>
      <c r="E8688" t="str">
        <f t="shared" si="3528"/>
        <v>KFH-OPERATIONS DEPARTMENT</v>
      </c>
      <c r="F8688" t="str">
        <f t="shared" si="3529"/>
        <v>IBG</v>
      </c>
      <c r="G8688" t="str">
        <f t="shared" si="3540"/>
        <v>Refund COSHARE 10</v>
      </c>
      <c r="H8688" s="2">
        <v>83.95</v>
      </c>
      <c r="I8688" t="str">
        <f>"MOHD HAIRI BIN MUHAMADAHNI"</f>
        <v>MOHD HAIRI BIN MUHAMADAHNI</v>
      </c>
      <c r="J8688" t="str">
        <f t="shared" si="3548"/>
        <v>AMBANK / AMISLAMIC BANK</v>
      </c>
      <c r="K8688" t="str">
        <f>"0130024075405"</f>
        <v>0130024075405</v>
      </c>
      <c r="L8688" t="str">
        <f t="shared" si="3549"/>
        <v>04-08-2020</v>
      </c>
      <c r="M8688" t="str">
        <f t="shared" si="3549"/>
        <v>04-08-2020</v>
      </c>
      <c r="N8688" t="str">
        <f t="shared" si="3531"/>
        <v>001105018356</v>
      </c>
      <c r="O8688" t="str">
        <f t="shared" si="3532"/>
        <v>MYR</v>
      </c>
      <c r="P8688" t="str">
        <f t="shared" si="3550"/>
        <v>NIL</v>
      </c>
      <c r="Q8688" t="str">
        <f t="shared" si="3550"/>
        <v>NIL</v>
      </c>
      <c r="R8688" t="str">
        <f t="shared" si="3546"/>
        <v>Accepted</v>
      </c>
      <c r="S8688" t="str">
        <f t="shared" si="3534"/>
        <v>Approved</v>
      </c>
      <c r="T8688" t="str">
        <f t="shared" si="3547"/>
        <v>10.20.8.188</v>
      </c>
      <c r="U8688" t="str">
        <f t="shared" si="3535"/>
        <v>AZRAD UMAR BIN SHAARI</v>
      </c>
      <c r="V8688" t="str">
        <f t="shared" si="3536"/>
        <v>FARHANA BINTI MUSTAPA</v>
      </c>
      <c r="W8688" t="str">
        <f t="shared" si="3537"/>
        <v>04-08-2020</v>
      </c>
      <c r="X8688" t="str">
        <f t="shared" si="3538"/>
        <v>RAZIMAH ANSAR AHMAD</v>
      </c>
      <c r="Y8688" t="str">
        <f t="shared" si="3539"/>
        <v>04-08-2020</v>
      </c>
      <c r="Z8688" t="str">
        <f>"COS10200804 136"</f>
        <v>COS10200804 136</v>
      </c>
    </row>
    <row r="8689" spans="1:26" x14ac:dyDescent="0.25">
      <c r="A8689" t="str">
        <f t="shared" si="3551"/>
        <v>04-08-2020 11:31:08</v>
      </c>
      <c r="B8689" t="str">
        <f>"0000802044"</f>
        <v>0000802044</v>
      </c>
      <c r="C8689" t="str">
        <f t="shared" si="3552"/>
        <v>0000801909</v>
      </c>
      <c r="D8689" t="str">
        <f t="shared" si="3527"/>
        <v>73185</v>
      </c>
      <c r="E8689" t="str">
        <f t="shared" si="3528"/>
        <v>KFH-OPERATIONS DEPARTMENT</v>
      </c>
      <c r="F8689" t="str">
        <f t="shared" si="3529"/>
        <v>IBG</v>
      </c>
      <c r="G8689" t="str">
        <f t="shared" si="3540"/>
        <v>Refund COSHARE 10</v>
      </c>
      <c r="H8689" s="2">
        <v>864.7</v>
      </c>
      <c r="I8689" t="str">
        <f>"MOHD AZWANIZAM BIN ABDULLAH"</f>
        <v>MOHD AZWANIZAM BIN ABDULLAH</v>
      </c>
      <c r="J8689" t="str">
        <f t="shared" si="3548"/>
        <v>AMBANK / AMISLAMIC BANK</v>
      </c>
      <c r="K8689" t="str">
        <f>"0490020017102"</f>
        <v>0490020017102</v>
      </c>
      <c r="L8689" t="str">
        <f t="shared" si="3549"/>
        <v>04-08-2020</v>
      </c>
      <c r="M8689" t="str">
        <f t="shared" si="3549"/>
        <v>04-08-2020</v>
      </c>
      <c r="N8689" t="str">
        <f t="shared" si="3531"/>
        <v>001105018356</v>
      </c>
      <c r="O8689" t="str">
        <f t="shared" si="3532"/>
        <v>MYR</v>
      </c>
      <c r="P8689" t="str">
        <f t="shared" si="3550"/>
        <v>NIL</v>
      </c>
      <c r="Q8689" t="str">
        <f t="shared" si="3550"/>
        <v>NIL</v>
      </c>
      <c r="R8689" t="str">
        <f t="shared" si="3546"/>
        <v>Accepted</v>
      </c>
      <c r="S8689" t="str">
        <f t="shared" si="3534"/>
        <v>Approved</v>
      </c>
      <c r="T8689" t="str">
        <f t="shared" si="3547"/>
        <v>10.20.8.188</v>
      </c>
      <c r="U8689" t="str">
        <f t="shared" si="3535"/>
        <v>AZRAD UMAR BIN SHAARI</v>
      </c>
      <c r="V8689" t="str">
        <f t="shared" si="3536"/>
        <v>FARHANA BINTI MUSTAPA</v>
      </c>
      <c r="W8689" t="str">
        <f t="shared" si="3537"/>
        <v>04-08-2020</v>
      </c>
      <c r="X8689" t="str">
        <f t="shared" si="3538"/>
        <v>RAZIMAH ANSAR AHMAD</v>
      </c>
      <c r="Y8689" t="str">
        <f t="shared" si="3539"/>
        <v>04-08-2020</v>
      </c>
      <c r="Z8689" t="str">
        <f>"COS10200804 135"</f>
        <v>COS10200804 135</v>
      </c>
    </row>
    <row r="8690" spans="1:26" x14ac:dyDescent="0.25">
      <c r="A8690" t="str">
        <f t="shared" si="3551"/>
        <v>04-08-2020 11:31:08</v>
      </c>
      <c r="B8690" t="str">
        <f>"0000802043"</f>
        <v>0000802043</v>
      </c>
      <c r="C8690" t="str">
        <f t="shared" si="3552"/>
        <v>0000801909</v>
      </c>
      <c r="D8690" t="str">
        <f t="shared" si="3527"/>
        <v>73185</v>
      </c>
      <c r="E8690" t="str">
        <f t="shared" si="3528"/>
        <v>KFH-OPERATIONS DEPARTMENT</v>
      </c>
      <c r="F8690" t="str">
        <f t="shared" si="3529"/>
        <v>IBG</v>
      </c>
      <c r="G8690" t="str">
        <f t="shared" si="3540"/>
        <v>Refund COSHARE 10</v>
      </c>
      <c r="H8690" s="2">
        <v>51</v>
      </c>
      <c r="I8690" t="str">
        <f>"MOHD AZLAN BIN ABD AZIZ"</f>
        <v>MOHD AZLAN BIN ABD AZIZ</v>
      </c>
      <c r="J8690" t="str">
        <f t="shared" si="3548"/>
        <v>AMBANK / AMISLAMIC BANK</v>
      </c>
      <c r="K8690" t="str">
        <f>"0800020027903"</f>
        <v>0800020027903</v>
      </c>
      <c r="L8690" t="str">
        <f t="shared" si="3549"/>
        <v>04-08-2020</v>
      </c>
      <c r="M8690" t="str">
        <f t="shared" si="3549"/>
        <v>04-08-2020</v>
      </c>
      <c r="N8690" t="str">
        <f t="shared" si="3531"/>
        <v>001105018356</v>
      </c>
      <c r="O8690" t="str">
        <f t="shared" si="3532"/>
        <v>MYR</v>
      </c>
      <c r="P8690" t="str">
        <f t="shared" si="3550"/>
        <v>NIL</v>
      </c>
      <c r="Q8690" t="str">
        <f t="shared" si="3550"/>
        <v>NIL</v>
      </c>
      <c r="R8690" t="str">
        <f t="shared" si="3546"/>
        <v>Accepted</v>
      </c>
      <c r="S8690" t="str">
        <f t="shared" si="3534"/>
        <v>Approved</v>
      </c>
      <c r="T8690" t="str">
        <f t="shared" si="3547"/>
        <v>10.20.8.188</v>
      </c>
      <c r="U8690" t="str">
        <f t="shared" si="3535"/>
        <v>AZRAD UMAR BIN SHAARI</v>
      </c>
      <c r="V8690" t="str">
        <f t="shared" si="3536"/>
        <v>FARHANA BINTI MUSTAPA</v>
      </c>
      <c r="W8690" t="str">
        <f t="shared" si="3537"/>
        <v>04-08-2020</v>
      </c>
      <c r="X8690" t="str">
        <f t="shared" si="3538"/>
        <v>RAZIMAH ANSAR AHMAD</v>
      </c>
      <c r="Y8690" t="str">
        <f t="shared" si="3539"/>
        <v>04-08-2020</v>
      </c>
      <c r="Z8690" t="str">
        <f>"COS10200804 134"</f>
        <v>COS10200804 134</v>
      </c>
    </row>
    <row r="8691" spans="1:26" x14ac:dyDescent="0.25">
      <c r="A8691" t="str">
        <f t="shared" si="3551"/>
        <v>04-08-2020 11:31:08</v>
      </c>
      <c r="B8691" t="str">
        <f>"0000802042"</f>
        <v>0000802042</v>
      </c>
      <c r="C8691" t="str">
        <f t="shared" si="3552"/>
        <v>0000801909</v>
      </c>
      <c r="D8691" t="str">
        <f t="shared" si="3527"/>
        <v>73185</v>
      </c>
      <c r="E8691" t="str">
        <f t="shared" si="3528"/>
        <v>KFH-OPERATIONS DEPARTMENT</v>
      </c>
      <c r="F8691" t="str">
        <f t="shared" si="3529"/>
        <v>IBG</v>
      </c>
      <c r="G8691" t="str">
        <f t="shared" si="3540"/>
        <v>Refund COSHARE 10</v>
      </c>
      <c r="H8691" s="2">
        <v>956.85</v>
      </c>
      <c r="I8691" t="str">
        <f>"MOHD ALI BIN BASARI"</f>
        <v>MOHD ALI BIN BASARI</v>
      </c>
      <c r="J8691" t="str">
        <f t="shared" si="3548"/>
        <v>AMBANK / AMISLAMIC BANK</v>
      </c>
      <c r="K8691" t="str">
        <f>"0600012112799"</f>
        <v>0600012112799</v>
      </c>
      <c r="L8691" t="str">
        <f t="shared" si="3549"/>
        <v>04-08-2020</v>
      </c>
      <c r="M8691" t="str">
        <f t="shared" si="3549"/>
        <v>04-08-2020</v>
      </c>
      <c r="N8691" t="str">
        <f t="shared" si="3531"/>
        <v>001105018356</v>
      </c>
      <c r="O8691" t="str">
        <f t="shared" si="3532"/>
        <v>MYR</v>
      </c>
      <c r="P8691" t="str">
        <f t="shared" si="3550"/>
        <v>NIL</v>
      </c>
      <c r="Q8691" t="str">
        <f t="shared" si="3550"/>
        <v>NIL</v>
      </c>
      <c r="R8691" t="str">
        <f t="shared" si="3546"/>
        <v>Accepted</v>
      </c>
      <c r="S8691" t="str">
        <f t="shared" si="3534"/>
        <v>Approved</v>
      </c>
      <c r="T8691" t="str">
        <f t="shared" si="3547"/>
        <v>10.20.8.188</v>
      </c>
      <c r="U8691" t="str">
        <f t="shared" si="3535"/>
        <v>AZRAD UMAR BIN SHAARI</v>
      </c>
      <c r="V8691" t="str">
        <f t="shared" si="3536"/>
        <v>FARHANA BINTI MUSTAPA</v>
      </c>
      <c r="W8691" t="str">
        <f t="shared" si="3537"/>
        <v>04-08-2020</v>
      </c>
      <c r="X8691" t="str">
        <f t="shared" si="3538"/>
        <v>RAZIMAH ANSAR AHMAD</v>
      </c>
      <c r="Y8691" t="str">
        <f t="shared" si="3539"/>
        <v>04-08-2020</v>
      </c>
      <c r="Z8691" t="str">
        <f>"COS10200804 133"</f>
        <v>COS10200804 133</v>
      </c>
    </row>
    <row r="8692" spans="1:26" x14ac:dyDescent="0.25">
      <c r="A8692" t="str">
        <f t="shared" si="3551"/>
        <v>04-08-2020 11:31:08</v>
      </c>
      <c r="B8692" t="str">
        <f>"0000802041"</f>
        <v>0000802041</v>
      </c>
      <c r="C8692" t="str">
        <f t="shared" si="3552"/>
        <v>0000801909</v>
      </c>
      <c r="D8692" t="str">
        <f t="shared" si="3527"/>
        <v>73185</v>
      </c>
      <c r="E8692" t="str">
        <f t="shared" si="3528"/>
        <v>KFH-OPERATIONS DEPARTMENT</v>
      </c>
      <c r="F8692" t="str">
        <f t="shared" si="3529"/>
        <v>IBG</v>
      </c>
      <c r="G8692" t="str">
        <f t="shared" si="3540"/>
        <v>Refund COSHARE 10</v>
      </c>
      <c r="H8692" s="2">
        <v>420</v>
      </c>
      <c r="I8692" t="str">
        <f>"MOHAMMAD SAIFUL ANWAR BIN MARSIN"</f>
        <v>MOHAMMAD SAIFUL ANWAR BIN MARSIN</v>
      </c>
      <c r="J8692" t="str">
        <f t="shared" si="3548"/>
        <v>AMBANK / AMISLAMIC BANK</v>
      </c>
      <c r="K8692" t="str">
        <f>"2150020111465"</f>
        <v>2150020111465</v>
      </c>
      <c r="L8692" t="str">
        <f t="shared" si="3549"/>
        <v>04-08-2020</v>
      </c>
      <c r="M8692" t="str">
        <f t="shared" si="3549"/>
        <v>04-08-2020</v>
      </c>
      <c r="N8692" t="str">
        <f t="shared" si="3531"/>
        <v>001105018356</v>
      </c>
      <c r="O8692" t="str">
        <f t="shared" si="3532"/>
        <v>MYR</v>
      </c>
      <c r="P8692" t="str">
        <f t="shared" si="3550"/>
        <v>NIL</v>
      </c>
      <c r="Q8692" t="str">
        <f t="shared" si="3550"/>
        <v>NIL</v>
      </c>
      <c r="R8692" t="str">
        <f t="shared" si="3546"/>
        <v>Accepted</v>
      </c>
      <c r="S8692" t="str">
        <f t="shared" si="3534"/>
        <v>Approved</v>
      </c>
      <c r="T8692" t="str">
        <f t="shared" si="3547"/>
        <v>10.20.8.188</v>
      </c>
      <c r="U8692" t="str">
        <f t="shared" si="3535"/>
        <v>AZRAD UMAR BIN SHAARI</v>
      </c>
      <c r="V8692" t="str">
        <f t="shared" si="3536"/>
        <v>FARHANA BINTI MUSTAPA</v>
      </c>
      <c r="W8692" t="str">
        <f t="shared" si="3537"/>
        <v>04-08-2020</v>
      </c>
      <c r="X8692" t="str">
        <f t="shared" si="3538"/>
        <v>RAZIMAH ANSAR AHMAD</v>
      </c>
      <c r="Y8692" t="str">
        <f t="shared" si="3539"/>
        <v>04-08-2020</v>
      </c>
      <c r="Z8692" t="str">
        <f>"COS10200804 132"</f>
        <v>COS10200804 132</v>
      </c>
    </row>
    <row r="8693" spans="1:26" x14ac:dyDescent="0.25">
      <c r="A8693" t="str">
        <f t="shared" si="3551"/>
        <v>04-08-2020 11:31:08</v>
      </c>
      <c r="B8693" t="str">
        <f>"0000802040"</f>
        <v>0000802040</v>
      </c>
      <c r="C8693" t="str">
        <f t="shared" si="3552"/>
        <v>0000801909</v>
      </c>
      <c r="D8693" t="str">
        <f t="shared" si="3527"/>
        <v>73185</v>
      </c>
      <c r="E8693" t="str">
        <f t="shared" si="3528"/>
        <v>KFH-OPERATIONS DEPARTMENT</v>
      </c>
      <c r="F8693" t="str">
        <f t="shared" si="3529"/>
        <v>IBG</v>
      </c>
      <c r="G8693" t="str">
        <f t="shared" si="3540"/>
        <v>Refund COSHARE 10</v>
      </c>
      <c r="H8693" s="2">
        <v>69</v>
      </c>
      <c r="I8693" t="str">
        <f>"MOHAMMAD RIZAL BIN MD ARIF"</f>
        <v>MOHAMMAD RIZAL BIN MD ARIF</v>
      </c>
      <c r="J8693" t="str">
        <f t="shared" si="3548"/>
        <v>AMBANK / AMISLAMIC BANK</v>
      </c>
      <c r="K8693" t="str">
        <f>"1250020042545"</f>
        <v>1250020042545</v>
      </c>
      <c r="L8693" t="str">
        <f t="shared" si="3549"/>
        <v>04-08-2020</v>
      </c>
      <c r="M8693" t="str">
        <f t="shared" si="3549"/>
        <v>04-08-2020</v>
      </c>
      <c r="N8693" t="str">
        <f t="shared" si="3531"/>
        <v>001105018356</v>
      </c>
      <c r="O8693" t="str">
        <f t="shared" si="3532"/>
        <v>MYR</v>
      </c>
      <c r="P8693" t="str">
        <f t="shared" si="3550"/>
        <v>NIL</v>
      </c>
      <c r="Q8693" t="str">
        <f t="shared" si="3550"/>
        <v>NIL</v>
      </c>
      <c r="R8693" t="str">
        <f t="shared" si="3546"/>
        <v>Accepted</v>
      </c>
      <c r="S8693" t="str">
        <f t="shared" si="3534"/>
        <v>Approved</v>
      </c>
      <c r="T8693" t="str">
        <f t="shared" si="3547"/>
        <v>10.20.8.188</v>
      </c>
      <c r="U8693" t="str">
        <f t="shared" si="3535"/>
        <v>AZRAD UMAR BIN SHAARI</v>
      </c>
      <c r="V8693" t="str">
        <f t="shared" si="3536"/>
        <v>FARHANA BINTI MUSTAPA</v>
      </c>
      <c r="W8693" t="str">
        <f t="shared" si="3537"/>
        <v>04-08-2020</v>
      </c>
      <c r="X8693" t="str">
        <f t="shared" si="3538"/>
        <v>RAZIMAH ANSAR AHMAD</v>
      </c>
      <c r="Y8693" t="str">
        <f t="shared" si="3539"/>
        <v>04-08-2020</v>
      </c>
      <c r="Z8693" t="str">
        <f>"COS10200804 131"</f>
        <v>COS10200804 131</v>
      </c>
    </row>
    <row r="8694" spans="1:26" x14ac:dyDescent="0.25">
      <c r="A8694" t="str">
        <f t="shared" si="3551"/>
        <v>04-08-2020 11:31:08</v>
      </c>
      <c r="B8694" t="str">
        <f>"0000802039"</f>
        <v>0000802039</v>
      </c>
      <c r="C8694" t="str">
        <f t="shared" si="3552"/>
        <v>0000801909</v>
      </c>
      <c r="D8694" t="str">
        <f t="shared" si="3527"/>
        <v>73185</v>
      </c>
      <c r="E8694" t="str">
        <f t="shared" si="3528"/>
        <v>KFH-OPERATIONS DEPARTMENT</v>
      </c>
      <c r="F8694" t="str">
        <f t="shared" si="3529"/>
        <v>IBG</v>
      </c>
      <c r="G8694" t="str">
        <f t="shared" si="3540"/>
        <v>Refund COSHARE 10</v>
      </c>
      <c r="H8694" s="2">
        <v>152</v>
      </c>
      <c r="I8694" t="str">
        <f>"MOHAMMAD BILLY BIN APAT"</f>
        <v>MOHAMMAD BILLY BIN APAT</v>
      </c>
      <c r="J8694" t="str">
        <f t="shared" si="3548"/>
        <v>AMBANK / AMISLAMIC BANK</v>
      </c>
      <c r="K8694" t="str">
        <f>"2340020079479"</f>
        <v>2340020079479</v>
      </c>
      <c r="L8694" t="str">
        <f t="shared" si="3549"/>
        <v>04-08-2020</v>
      </c>
      <c r="M8694" t="str">
        <f t="shared" si="3549"/>
        <v>04-08-2020</v>
      </c>
      <c r="N8694" t="str">
        <f t="shared" si="3531"/>
        <v>001105018356</v>
      </c>
      <c r="O8694" t="str">
        <f t="shared" si="3532"/>
        <v>MYR</v>
      </c>
      <c r="P8694" t="str">
        <f t="shared" si="3550"/>
        <v>NIL</v>
      </c>
      <c r="Q8694" t="str">
        <f t="shared" si="3550"/>
        <v>NIL</v>
      </c>
      <c r="R8694" t="str">
        <f t="shared" si="3546"/>
        <v>Accepted</v>
      </c>
      <c r="S8694" t="str">
        <f t="shared" si="3534"/>
        <v>Approved</v>
      </c>
      <c r="T8694" t="str">
        <f t="shared" si="3547"/>
        <v>10.20.8.188</v>
      </c>
      <c r="U8694" t="str">
        <f t="shared" si="3535"/>
        <v>AZRAD UMAR BIN SHAARI</v>
      </c>
      <c r="V8694" t="str">
        <f t="shared" si="3536"/>
        <v>FARHANA BINTI MUSTAPA</v>
      </c>
      <c r="W8694" t="str">
        <f t="shared" si="3537"/>
        <v>04-08-2020</v>
      </c>
      <c r="X8694" t="str">
        <f t="shared" si="3538"/>
        <v>RAZIMAH ANSAR AHMAD</v>
      </c>
      <c r="Y8694" t="str">
        <f t="shared" si="3539"/>
        <v>04-08-2020</v>
      </c>
      <c r="Z8694" t="str">
        <f>"COS10200804 130"</f>
        <v>COS10200804 130</v>
      </c>
    </row>
    <row r="8695" spans="1:26" x14ac:dyDescent="0.25">
      <c r="A8695" t="str">
        <f t="shared" si="3551"/>
        <v>04-08-2020 11:31:08</v>
      </c>
      <c r="B8695" t="str">
        <f>"0000802038"</f>
        <v>0000802038</v>
      </c>
      <c r="C8695" t="str">
        <f t="shared" si="3552"/>
        <v>0000801909</v>
      </c>
      <c r="D8695" t="str">
        <f t="shared" si="3527"/>
        <v>73185</v>
      </c>
      <c r="E8695" t="str">
        <f t="shared" si="3528"/>
        <v>KFH-OPERATIONS DEPARTMENT</v>
      </c>
      <c r="F8695" t="str">
        <f t="shared" si="3529"/>
        <v>IBG</v>
      </c>
      <c r="G8695" t="str">
        <f t="shared" si="3540"/>
        <v>Refund COSHARE 10</v>
      </c>
      <c r="H8695" s="2">
        <v>755.55</v>
      </c>
      <c r="I8695" t="str">
        <f>"MOHAMAD RADZI BIN ISHAK"</f>
        <v>MOHAMAD RADZI BIN ISHAK</v>
      </c>
      <c r="J8695" t="str">
        <f t="shared" si="3548"/>
        <v>AMBANK / AMISLAMIC BANK</v>
      </c>
      <c r="K8695" t="str">
        <f>"0080023023965"</f>
        <v>0080023023965</v>
      </c>
      <c r="L8695" t="str">
        <f t="shared" si="3549"/>
        <v>04-08-2020</v>
      </c>
      <c r="M8695" t="str">
        <f t="shared" si="3549"/>
        <v>04-08-2020</v>
      </c>
      <c r="N8695" t="str">
        <f t="shared" si="3531"/>
        <v>001105018356</v>
      </c>
      <c r="O8695" t="str">
        <f t="shared" si="3532"/>
        <v>MYR</v>
      </c>
      <c r="P8695" t="str">
        <f t="shared" si="3550"/>
        <v>NIL</v>
      </c>
      <c r="Q8695" t="str">
        <f t="shared" si="3550"/>
        <v>NIL</v>
      </c>
      <c r="R8695" t="str">
        <f t="shared" si="3546"/>
        <v>Accepted</v>
      </c>
      <c r="S8695" t="str">
        <f t="shared" si="3534"/>
        <v>Approved</v>
      </c>
      <c r="T8695" t="str">
        <f t="shared" si="3547"/>
        <v>10.20.8.188</v>
      </c>
      <c r="U8695" t="str">
        <f t="shared" si="3535"/>
        <v>AZRAD UMAR BIN SHAARI</v>
      </c>
      <c r="V8695" t="str">
        <f t="shared" si="3536"/>
        <v>FARHANA BINTI MUSTAPA</v>
      </c>
      <c r="W8695" t="str">
        <f t="shared" si="3537"/>
        <v>04-08-2020</v>
      </c>
      <c r="X8695" t="str">
        <f t="shared" si="3538"/>
        <v>RAZIMAH ANSAR AHMAD</v>
      </c>
      <c r="Y8695" t="str">
        <f t="shared" si="3539"/>
        <v>04-08-2020</v>
      </c>
      <c r="Z8695" t="str">
        <f>"COS10200804 129"</f>
        <v>COS10200804 129</v>
      </c>
    </row>
    <row r="8696" spans="1:26" x14ac:dyDescent="0.25">
      <c r="A8696" t="str">
        <f t="shared" si="3551"/>
        <v>04-08-2020 11:31:08</v>
      </c>
      <c r="B8696" t="str">
        <f>"0000802037"</f>
        <v>0000802037</v>
      </c>
      <c r="C8696" t="str">
        <f t="shared" si="3552"/>
        <v>0000801909</v>
      </c>
      <c r="D8696" t="str">
        <f t="shared" si="3527"/>
        <v>73185</v>
      </c>
      <c r="E8696" t="str">
        <f t="shared" si="3528"/>
        <v>KFH-OPERATIONS DEPARTMENT</v>
      </c>
      <c r="F8696" t="str">
        <f t="shared" si="3529"/>
        <v>IBG</v>
      </c>
      <c r="G8696" t="str">
        <f t="shared" si="3540"/>
        <v>Refund COSHARE 10</v>
      </c>
      <c r="H8696" s="2">
        <v>1007.4</v>
      </c>
      <c r="I8696" t="str">
        <f>"MOHAMAD JAAFAR BIN AHMAD"</f>
        <v>MOHAMAD JAAFAR BIN AHMAD</v>
      </c>
      <c r="J8696" t="str">
        <f t="shared" si="3548"/>
        <v>AMBANK / AMISLAMIC BANK</v>
      </c>
      <c r="K8696" t="str">
        <f>"0070024042684"</f>
        <v>0070024042684</v>
      </c>
      <c r="L8696" t="str">
        <f t="shared" si="3549"/>
        <v>04-08-2020</v>
      </c>
      <c r="M8696" t="str">
        <f t="shared" si="3549"/>
        <v>04-08-2020</v>
      </c>
      <c r="N8696" t="str">
        <f t="shared" si="3531"/>
        <v>001105018356</v>
      </c>
      <c r="O8696" t="str">
        <f t="shared" si="3532"/>
        <v>MYR</v>
      </c>
      <c r="P8696" t="str">
        <f t="shared" si="3550"/>
        <v>NIL</v>
      </c>
      <c r="Q8696" t="str">
        <f t="shared" si="3550"/>
        <v>NIL</v>
      </c>
      <c r="R8696" t="str">
        <f t="shared" si="3546"/>
        <v>Accepted</v>
      </c>
      <c r="S8696" t="str">
        <f t="shared" si="3534"/>
        <v>Approved</v>
      </c>
      <c r="T8696" t="str">
        <f t="shared" si="3547"/>
        <v>10.20.8.188</v>
      </c>
      <c r="U8696" t="str">
        <f t="shared" si="3535"/>
        <v>AZRAD UMAR BIN SHAARI</v>
      </c>
      <c r="V8696" t="str">
        <f t="shared" si="3536"/>
        <v>FARHANA BINTI MUSTAPA</v>
      </c>
      <c r="W8696" t="str">
        <f t="shared" si="3537"/>
        <v>04-08-2020</v>
      </c>
      <c r="X8696" t="str">
        <f t="shared" si="3538"/>
        <v>RAZIMAH ANSAR AHMAD</v>
      </c>
      <c r="Y8696" t="str">
        <f t="shared" si="3539"/>
        <v>04-08-2020</v>
      </c>
      <c r="Z8696" t="str">
        <f>"COS10200804 128"</f>
        <v>COS10200804 128</v>
      </c>
    </row>
    <row r="8697" spans="1:26" x14ac:dyDescent="0.25">
      <c r="A8697" t="str">
        <f t="shared" si="3551"/>
        <v>04-08-2020 11:31:08</v>
      </c>
      <c r="B8697" t="str">
        <f>"0000802036"</f>
        <v>0000802036</v>
      </c>
      <c r="C8697" t="str">
        <f t="shared" si="3552"/>
        <v>0000801909</v>
      </c>
      <c r="D8697" t="str">
        <f t="shared" si="3527"/>
        <v>73185</v>
      </c>
      <c r="E8697" t="str">
        <f t="shared" si="3528"/>
        <v>KFH-OPERATIONS DEPARTMENT</v>
      </c>
      <c r="F8697" t="str">
        <f t="shared" si="3529"/>
        <v>IBG</v>
      </c>
      <c r="G8697" t="str">
        <f t="shared" si="3540"/>
        <v>Refund COSHARE 10</v>
      </c>
      <c r="H8697" s="2">
        <v>800.35</v>
      </c>
      <c r="I8697" t="str">
        <f>"MAZNAH BINTI NGAH YAHYA"</f>
        <v>MAZNAH BINTI NGAH YAHYA</v>
      </c>
      <c r="J8697" t="str">
        <f t="shared" si="3548"/>
        <v>AMBANK / AMISLAMIC BANK</v>
      </c>
      <c r="K8697" t="str">
        <f>"0030013006990"</f>
        <v>0030013006990</v>
      </c>
      <c r="L8697" t="str">
        <f t="shared" si="3549"/>
        <v>04-08-2020</v>
      </c>
      <c r="M8697" t="str">
        <f t="shared" si="3549"/>
        <v>04-08-2020</v>
      </c>
      <c r="N8697" t="str">
        <f t="shared" si="3531"/>
        <v>001105018356</v>
      </c>
      <c r="O8697" t="str">
        <f t="shared" si="3532"/>
        <v>MYR</v>
      </c>
      <c r="P8697" t="str">
        <f t="shared" si="3550"/>
        <v>NIL</v>
      </c>
      <c r="Q8697" t="str">
        <f t="shared" si="3550"/>
        <v>NIL</v>
      </c>
      <c r="R8697" t="str">
        <f t="shared" si="3546"/>
        <v>Accepted</v>
      </c>
      <c r="S8697" t="str">
        <f t="shared" si="3534"/>
        <v>Approved</v>
      </c>
      <c r="T8697" t="str">
        <f t="shared" si="3547"/>
        <v>10.20.8.188</v>
      </c>
      <c r="U8697" t="str">
        <f t="shared" si="3535"/>
        <v>AZRAD UMAR BIN SHAARI</v>
      </c>
      <c r="V8697" t="str">
        <f t="shared" si="3536"/>
        <v>FARHANA BINTI MUSTAPA</v>
      </c>
      <c r="W8697" t="str">
        <f t="shared" si="3537"/>
        <v>04-08-2020</v>
      </c>
      <c r="X8697" t="str">
        <f t="shared" si="3538"/>
        <v>RAZIMAH ANSAR AHMAD</v>
      </c>
      <c r="Y8697" t="str">
        <f t="shared" si="3539"/>
        <v>04-08-2020</v>
      </c>
      <c r="Z8697" t="str">
        <f>"COS10200804 127"</f>
        <v>COS10200804 127</v>
      </c>
    </row>
    <row r="8698" spans="1:26" x14ac:dyDescent="0.25">
      <c r="A8698" t="str">
        <f t="shared" si="3551"/>
        <v>04-08-2020 11:31:08</v>
      </c>
      <c r="B8698" t="str">
        <f>"0000802035"</f>
        <v>0000802035</v>
      </c>
      <c r="C8698" t="str">
        <f t="shared" si="3552"/>
        <v>0000801909</v>
      </c>
      <c r="D8698" t="str">
        <f t="shared" si="3527"/>
        <v>73185</v>
      </c>
      <c r="E8698" t="str">
        <f t="shared" si="3528"/>
        <v>KFH-OPERATIONS DEPARTMENT</v>
      </c>
      <c r="F8698" t="str">
        <f t="shared" si="3529"/>
        <v>IBG</v>
      </c>
      <c r="G8698" t="str">
        <f t="shared" si="3540"/>
        <v>Refund COSHARE 10</v>
      </c>
      <c r="H8698" s="2">
        <v>1473.5</v>
      </c>
      <c r="I8698" t="str">
        <f>"MASINDAH BINTI BATCHO"</f>
        <v>MASINDAH BINTI BATCHO</v>
      </c>
      <c r="J8698" t="str">
        <f t="shared" si="3548"/>
        <v>AMBANK / AMISLAMIC BANK</v>
      </c>
      <c r="K8698" t="str">
        <f>"0600012070617"</f>
        <v>0600012070617</v>
      </c>
      <c r="L8698" t="str">
        <f t="shared" si="3549"/>
        <v>04-08-2020</v>
      </c>
      <c r="M8698" t="str">
        <f t="shared" si="3549"/>
        <v>04-08-2020</v>
      </c>
      <c r="N8698" t="str">
        <f t="shared" si="3531"/>
        <v>001105018356</v>
      </c>
      <c r="O8698" t="str">
        <f t="shared" si="3532"/>
        <v>MYR</v>
      </c>
      <c r="P8698" t="str">
        <f t="shared" si="3550"/>
        <v>NIL</v>
      </c>
      <c r="Q8698" t="str">
        <f t="shared" si="3550"/>
        <v>NIL</v>
      </c>
      <c r="R8698" t="str">
        <f t="shared" si="3546"/>
        <v>Accepted</v>
      </c>
      <c r="S8698" t="str">
        <f t="shared" si="3534"/>
        <v>Approved</v>
      </c>
      <c r="T8698" t="str">
        <f t="shared" si="3547"/>
        <v>10.20.8.188</v>
      </c>
      <c r="U8698" t="str">
        <f t="shared" si="3535"/>
        <v>AZRAD UMAR BIN SHAARI</v>
      </c>
      <c r="V8698" t="str">
        <f t="shared" si="3536"/>
        <v>FARHANA BINTI MUSTAPA</v>
      </c>
      <c r="W8698" t="str">
        <f t="shared" si="3537"/>
        <v>04-08-2020</v>
      </c>
      <c r="X8698" t="str">
        <f t="shared" si="3538"/>
        <v>RAZIMAH ANSAR AHMAD</v>
      </c>
      <c r="Y8698" t="str">
        <f t="shared" si="3539"/>
        <v>04-08-2020</v>
      </c>
      <c r="Z8698" t="str">
        <f>"COS10200804 126"</f>
        <v>COS10200804 126</v>
      </c>
    </row>
    <row r="8699" spans="1:26" x14ac:dyDescent="0.25">
      <c r="A8699" t="str">
        <f t="shared" si="3551"/>
        <v>04-08-2020 11:31:08</v>
      </c>
      <c r="B8699" t="str">
        <f>"0000802034"</f>
        <v>0000802034</v>
      </c>
      <c r="C8699" t="str">
        <f t="shared" si="3552"/>
        <v>0000801909</v>
      </c>
      <c r="D8699" t="str">
        <f t="shared" si="3527"/>
        <v>73185</v>
      </c>
      <c r="E8699" t="str">
        <f t="shared" si="3528"/>
        <v>KFH-OPERATIONS DEPARTMENT</v>
      </c>
      <c r="F8699" t="str">
        <f t="shared" si="3529"/>
        <v>IBG</v>
      </c>
      <c r="G8699" t="str">
        <f t="shared" si="3540"/>
        <v>Refund COSHARE 10</v>
      </c>
      <c r="H8699" s="2">
        <v>413</v>
      </c>
      <c r="I8699" t="str">
        <f>"MARZUKI BIN AWANG"</f>
        <v>MARZUKI BIN AWANG</v>
      </c>
      <c r="J8699" t="str">
        <f t="shared" si="3548"/>
        <v>AMBANK / AMISLAMIC BANK</v>
      </c>
      <c r="K8699" t="str">
        <f>"1630020021542"</f>
        <v>1630020021542</v>
      </c>
      <c r="L8699" t="str">
        <f t="shared" si="3549"/>
        <v>04-08-2020</v>
      </c>
      <c r="M8699" t="str">
        <f t="shared" si="3549"/>
        <v>04-08-2020</v>
      </c>
      <c r="N8699" t="str">
        <f t="shared" si="3531"/>
        <v>001105018356</v>
      </c>
      <c r="O8699" t="str">
        <f t="shared" si="3532"/>
        <v>MYR</v>
      </c>
      <c r="P8699" t="str">
        <f t="shared" si="3550"/>
        <v>NIL</v>
      </c>
      <c r="Q8699" t="str">
        <f t="shared" si="3550"/>
        <v>NIL</v>
      </c>
      <c r="R8699" t="str">
        <f t="shared" si="3546"/>
        <v>Accepted</v>
      </c>
      <c r="S8699" t="str">
        <f t="shared" si="3534"/>
        <v>Approved</v>
      </c>
      <c r="T8699" t="str">
        <f t="shared" si="3547"/>
        <v>10.20.8.188</v>
      </c>
      <c r="U8699" t="str">
        <f t="shared" si="3535"/>
        <v>AZRAD UMAR BIN SHAARI</v>
      </c>
      <c r="V8699" t="str">
        <f t="shared" si="3536"/>
        <v>FARHANA BINTI MUSTAPA</v>
      </c>
      <c r="W8699" t="str">
        <f t="shared" si="3537"/>
        <v>04-08-2020</v>
      </c>
      <c r="X8699" t="str">
        <f t="shared" si="3538"/>
        <v>RAZIMAH ANSAR AHMAD</v>
      </c>
      <c r="Y8699" t="str">
        <f t="shared" si="3539"/>
        <v>04-08-2020</v>
      </c>
      <c r="Z8699" t="str">
        <f>"COS10200804 125"</f>
        <v>COS10200804 125</v>
      </c>
    </row>
    <row r="8700" spans="1:26" x14ac:dyDescent="0.25">
      <c r="A8700" t="str">
        <f t="shared" si="3551"/>
        <v>04-08-2020 11:31:08</v>
      </c>
      <c r="B8700" t="str">
        <f>"0000802033"</f>
        <v>0000802033</v>
      </c>
      <c r="C8700" t="str">
        <f t="shared" si="3552"/>
        <v>0000801909</v>
      </c>
      <c r="D8700" t="str">
        <f t="shared" si="3527"/>
        <v>73185</v>
      </c>
      <c r="E8700" t="str">
        <f t="shared" si="3528"/>
        <v>KFH-OPERATIONS DEPARTMENT</v>
      </c>
      <c r="F8700" t="str">
        <f t="shared" si="3529"/>
        <v>IBG</v>
      </c>
      <c r="G8700" t="str">
        <f t="shared" si="3540"/>
        <v>Refund COSHARE 10</v>
      </c>
      <c r="H8700" s="2">
        <v>1032.5999999999999</v>
      </c>
      <c r="I8700" t="str">
        <f>"MARY ANAK SIDIN"</f>
        <v>MARY ANAK SIDIN</v>
      </c>
      <c r="J8700" t="str">
        <f t="shared" si="3548"/>
        <v>AMBANK / AMISLAMIC BANK</v>
      </c>
      <c r="K8700" t="str">
        <f>"0120024042505"</f>
        <v>0120024042505</v>
      </c>
      <c r="L8700" t="str">
        <f t="shared" si="3549"/>
        <v>04-08-2020</v>
      </c>
      <c r="M8700" t="str">
        <f t="shared" si="3549"/>
        <v>04-08-2020</v>
      </c>
      <c r="N8700" t="str">
        <f t="shared" si="3531"/>
        <v>001105018356</v>
      </c>
      <c r="O8700" t="str">
        <f t="shared" si="3532"/>
        <v>MYR</v>
      </c>
      <c r="P8700" t="str">
        <f t="shared" si="3550"/>
        <v>NIL</v>
      </c>
      <c r="Q8700" t="str">
        <f t="shared" si="3550"/>
        <v>NIL</v>
      </c>
      <c r="R8700" t="str">
        <f t="shared" si="3546"/>
        <v>Accepted</v>
      </c>
      <c r="S8700" t="str">
        <f t="shared" si="3534"/>
        <v>Approved</v>
      </c>
      <c r="T8700" t="str">
        <f t="shared" si="3547"/>
        <v>10.20.8.188</v>
      </c>
      <c r="U8700" t="str">
        <f t="shared" si="3535"/>
        <v>AZRAD UMAR BIN SHAARI</v>
      </c>
      <c r="V8700" t="str">
        <f t="shared" si="3536"/>
        <v>FARHANA BINTI MUSTAPA</v>
      </c>
      <c r="W8700" t="str">
        <f t="shared" si="3537"/>
        <v>04-08-2020</v>
      </c>
      <c r="X8700" t="str">
        <f t="shared" si="3538"/>
        <v>RAZIMAH ANSAR AHMAD</v>
      </c>
      <c r="Y8700" t="str">
        <f t="shared" si="3539"/>
        <v>04-08-2020</v>
      </c>
      <c r="Z8700" t="str">
        <f>"COS10200804 124"</f>
        <v>COS10200804 124</v>
      </c>
    </row>
    <row r="8701" spans="1:26" x14ac:dyDescent="0.25">
      <c r="A8701" t="str">
        <f t="shared" si="3551"/>
        <v>04-08-2020 11:31:08</v>
      </c>
      <c r="B8701" t="str">
        <f>"0000802032"</f>
        <v>0000802032</v>
      </c>
      <c r="C8701" t="str">
        <f t="shared" si="3552"/>
        <v>0000801909</v>
      </c>
      <c r="D8701" t="str">
        <f t="shared" si="3527"/>
        <v>73185</v>
      </c>
      <c r="E8701" t="str">
        <f t="shared" si="3528"/>
        <v>KFH-OPERATIONS DEPARTMENT</v>
      </c>
      <c r="F8701" t="str">
        <f t="shared" si="3529"/>
        <v>IBG</v>
      </c>
      <c r="G8701" t="str">
        <f t="shared" si="3540"/>
        <v>Refund COSHARE 10</v>
      </c>
      <c r="H8701" s="2">
        <v>588.85</v>
      </c>
      <c r="I8701" t="str">
        <f>"MARIAPAN AL R SUBRAMANIAN"</f>
        <v>MARIAPAN AL R SUBRAMANIAN</v>
      </c>
      <c r="J8701" t="str">
        <f t="shared" si="3548"/>
        <v>AMBANK / AMISLAMIC BANK</v>
      </c>
      <c r="K8701" t="str">
        <f>"0030013004961"</f>
        <v>0030013004961</v>
      </c>
      <c r="L8701" t="str">
        <f t="shared" si="3549"/>
        <v>04-08-2020</v>
      </c>
      <c r="M8701" t="str">
        <f t="shared" si="3549"/>
        <v>04-08-2020</v>
      </c>
      <c r="N8701" t="str">
        <f t="shared" si="3531"/>
        <v>001105018356</v>
      </c>
      <c r="O8701" t="str">
        <f t="shared" si="3532"/>
        <v>MYR</v>
      </c>
      <c r="P8701" t="str">
        <f t="shared" si="3550"/>
        <v>NIL</v>
      </c>
      <c r="Q8701" t="str">
        <f t="shared" si="3550"/>
        <v>NIL</v>
      </c>
      <c r="R8701" t="str">
        <f t="shared" si="3546"/>
        <v>Accepted</v>
      </c>
      <c r="S8701" t="str">
        <f t="shared" si="3534"/>
        <v>Approved</v>
      </c>
      <c r="T8701" t="str">
        <f t="shared" si="3547"/>
        <v>10.20.8.188</v>
      </c>
      <c r="U8701" t="str">
        <f t="shared" si="3535"/>
        <v>AZRAD UMAR BIN SHAARI</v>
      </c>
      <c r="V8701" t="str">
        <f t="shared" si="3536"/>
        <v>FARHANA BINTI MUSTAPA</v>
      </c>
      <c r="W8701" t="str">
        <f t="shared" si="3537"/>
        <v>04-08-2020</v>
      </c>
      <c r="X8701" t="str">
        <f t="shared" si="3538"/>
        <v>RAZIMAH ANSAR AHMAD</v>
      </c>
      <c r="Y8701" t="str">
        <f t="shared" si="3539"/>
        <v>04-08-2020</v>
      </c>
      <c r="Z8701" t="str">
        <f>"COS10200804 123"</f>
        <v>COS10200804 123</v>
      </c>
    </row>
    <row r="8702" spans="1:26" x14ac:dyDescent="0.25">
      <c r="A8702" t="str">
        <f t="shared" si="3551"/>
        <v>04-08-2020 11:31:08</v>
      </c>
      <c r="B8702" t="str">
        <f>"0000802031"</f>
        <v>0000802031</v>
      </c>
      <c r="C8702" t="str">
        <f t="shared" si="3552"/>
        <v>0000801909</v>
      </c>
      <c r="D8702" t="str">
        <f t="shared" si="3527"/>
        <v>73185</v>
      </c>
      <c r="E8702" t="str">
        <f t="shared" si="3528"/>
        <v>KFH-OPERATIONS DEPARTMENT</v>
      </c>
      <c r="F8702" t="str">
        <f t="shared" si="3529"/>
        <v>IBG</v>
      </c>
      <c r="G8702" t="str">
        <f t="shared" si="3540"/>
        <v>Refund COSHARE 10</v>
      </c>
      <c r="H8702" s="2">
        <v>209.9</v>
      </c>
      <c r="I8702" t="str">
        <f>"MARIAH BINTI KAMA ARIFFIN"</f>
        <v>MARIAH BINTI KAMA ARIFFIN</v>
      </c>
      <c r="J8702" t="str">
        <f t="shared" si="3548"/>
        <v>AMBANK / AMISLAMIC BANK</v>
      </c>
      <c r="K8702" t="str">
        <f>"2110020091141"</f>
        <v>2110020091141</v>
      </c>
      <c r="L8702" t="str">
        <f t="shared" si="3549"/>
        <v>04-08-2020</v>
      </c>
      <c r="M8702" t="str">
        <f t="shared" si="3549"/>
        <v>04-08-2020</v>
      </c>
      <c r="N8702" t="str">
        <f t="shared" si="3531"/>
        <v>001105018356</v>
      </c>
      <c r="O8702" t="str">
        <f t="shared" si="3532"/>
        <v>MYR</v>
      </c>
      <c r="P8702" t="str">
        <f t="shared" si="3550"/>
        <v>NIL</v>
      </c>
      <c r="Q8702" t="str">
        <f t="shared" si="3550"/>
        <v>NIL</v>
      </c>
      <c r="R8702" t="str">
        <f t="shared" si="3546"/>
        <v>Accepted</v>
      </c>
      <c r="S8702" t="str">
        <f t="shared" si="3534"/>
        <v>Approved</v>
      </c>
      <c r="T8702" t="str">
        <f t="shared" si="3547"/>
        <v>10.20.8.188</v>
      </c>
      <c r="U8702" t="str">
        <f t="shared" si="3535"/>
        <v>AZRAD UMAR BIN SHAARI</v>
      </c>
      <c r="V8702" t="str">
        <f t="shared" si="3536"/>
        <v>FARHANA BINTI MUSTAPA</v>
      </c>
      <c r="W8702" t="str">
        <f t="shared" si="3537"/>
        <v>04-08-2020</v>
      </c>
      <c r="X8702" t="str">
        <f t="shared" si="3538"/>
        <v>RAZIMAH ANSAR AHMAD</v>
      </c>
      <c r="Y8702" t="str">
        <f t="shared" si="3539"/>
        <v>04-08-2020</v>
      </c>
      <c r="Z8702" t="str">
        <f>"COS10200804 122"</f>
        <v>COS10200804 122</v>
      </c>
    </row>
    <row r="8703" spans="1:26" x14ac:dyDescent="0.25">
      <c r="A8703" t="str">
        <f t="shared" si="3551"/>
        <v>04-08-2020 11:31:08</v>
      </c>
      <c r="B8703" t="str">
        <f>"0000802030"</f>
        <v>0000802030</v>
      </c>
      <c r="C8703" t="str">
        <f t="shared" si="3552"/>
        <v>0000801909</v>
      </c>
      <c r="D8703" t="str">
        <f t="shared" si="3527"/>
        <v>73185</v>
      </c>
      <c r="E8703" t="str">
        <f t="shared" si="3528"/>
        <v>KFH-OPERATIONS DEPARTMENT</v>
      </c>
      <c r="F8703" t="str">
        <f t="shared" si="3529"/>
        <v>IBG</v>
      </c>
      <c r="G8703" t="str">
        <f t="shared" si="3540"/>
        <v>Refund COSHARE 10</v>
      </c>
      <c r="H8703" s="2">
        <v>100.75</v>
      </c>
      <c r="I8703" t="str">
        <f>"MARDIANA BINTI AHMAD"</f>
        <v>MARDIANA BINTI AHMAD</v>
      </c>
      <c r="J8703" t="str">
        <f t="shared" si="3548"/>
        <v>AMBANK / AMISLAMIC BANK</v>
      </c>
      <c r="K8703" t="str">
        <f>"0410020038288"</f>
        <v>0410020038288</v>
      </c>
      <c r="L8703" t="str">
        <f t="shared" si="3549"/>
        <v>04-08-2020</v>
      </c>
      <c r="M8703" t="str">
        <f t="shared" si="3549"/>
        <v>04-08-2020</v>
      </c>
      <c r="N8703" t="str">
        <f t="shared" si="3531"/>
        <v>001105018356</v>
      </c>
      <c r="O8703" t="str">
        <f t="shared" si="3532"/>
        <v>MYR</v>
      </c>
      <c r="P8703" t="str">
        <f t="shared" si="3550"/>
        <v>NIL</v>
      </c>
      <c r="Q8703" t="str">
        <f t="shared" si="3550"/>
        <v>NIL</v>
      </c>
      <c r="R8703" t="str">
        <f t="shared" si="3546"/>
        <v>Accepted</v>
      </c>
      <c r="S8703" t="str">
        <f t="shared" si="3534"/>
        <v>Approved</v>
      </c>
      <c r="T8703" t="str">
        <f t="shared" si="3547"/>
        <v>10.20.8.188</v>
      </c>
      <c r="U8703" t="str">
        <f t="shared" si="3535"/>
        <v>AZRAD UMAR BIN SHAARI</v>
      </c>
      <c r="V8703" t="str">
        <f t="shared" si="3536"/>
        <v>FARHANA BINTI MUSTAPA</v>
      </c>
      <c r="W8703" t="str">
        <f t="shared" si="3537"/>
        <v>04-08-2020</v>
      </c>
      <c r="X8703" t="str">
        <f t="shared" si="3538"/>
        <v>RAZIMAH ANSAR AHMAD</v>
      </c>
      <c r="Y8703" t="str">
        <f t="shared" si="3539"/>
        <v>04-08-2020</v>
      </c>
      <c r="Z8703" t="str">
        <f>"COS10200804 121"</f>
        <v>COS10200804 121</v>
      </c>
    </row>
    <row r="8704" spans="1:26" x14ac:dyDescent="0.25">
      <c r="A8704" t="str">
        <f t="shared" si="3551"/>
        <v>04-08-2020 11:31:08</v>
      </c>
      <c r="B8704" t="str">
        <f>"0000802029"</f>
        <v>0000802029</v>
      </c>
      <c r="C8704" t="str">
        <f t="shared" si="3552"/>
        <v>0000801909</v>
      </c>
      <c r="D8704" t="str">
        <f t="shared" si="3527"/>
        <v>73185</v>
      </c>
      <c r="E8704" t="str">
        <f t="shared" si="3528"/>
        <v>KFH-OPERATIONS DEPARTMENT</v>
      </c>
      <c r="F8704" t="str">
        <f t="shared" si="3529"/>
        <v>IBG</v>
      </c>
      <c r="G8704" t="str">
        <f t="shared" si="3540"/>
        <v>Refund COSHARE 10</v>
      </c>
      <c r="H8704" s="2">
        <v>137.94999999999999</v>
      </c>
      <c r="I8704" t="str">
        <f>"LEE PHUI CHU"</f>
        <v>LEE PHUI CHU</v>
      </c>
      <c r="J8704" t="str">
        <f t="shared" si="3548"/>
        <v>AMBANK / AMISLAMIC BANK</v>
      </c>
      <c r="K8704" t="str">
        <f>"0250020021722"</f>
        <v>0250020021722</v>
      </c>
      <c r="L8704" t="str">
        <f t="shared" si="3549"/>
        <v>04-08-2020</v>
      </c>
      <c r="M8704" t="str">
        <f t="shared" si="3549"/>
        <v>04-08-2020</v>
      </c>
      <c r="N8704" t="str">
        <f t="shared" si="3531"/>
        <v>001105018356</v>
      </c>
      <c r="O8704" t="str">
        <f t="shared" si="3532"/>
        <v>MYR</v>
      </c>
      <c r="P8704" t="str">
        <f t="shared" si="3550"/>
        <v>NIL</v>
      </c>
      <c r="Q8704" t="str">
        <f t="shared" si="3550"/>
        <v>NIL</v>
      </c>
      <c r="R8704" t="str">
        <f t="shared" si="3546"/>
        <v>Accepted</v>
      </c>
      <c r="S8704" t="str">
        <f t="shared" si="3534"/>
        <v>Approved</v>
      </c>
      <c r="T8704" t="str">
        <f t="shared" si="3547"/>
        <v>10.20.8.188</v>
      </c>
      <c r="U8704" t="str">
        <f t="shared" si="3535"/>
        <v>AZRAD UMAR BIN SHAARI</v>
      </c>
      <c r="V8704" t="str">
        <f t="shared" si="3536"/>
        <v>FARHANA BINTI MUSTAPA</v>
      </c>
      <c r="W8704" t="str">
        <f t="shared" si="3537"/>
        <v>04-08-2020</v>
      </c>
      <c r="X8704" t="str">
        <f t="shared" si="3538"/>
        <v>RAZIMAH ANSAR AHMAD</v>
      </c>
      <c r="Y8704" t="str">
        <f t="shared" si="3539"/>
        <v>04-08-2020</v>
      </c>
      <c r="Z8704" t="str">
        <f>"COS10200804 120"</f>
        <v>COS10200804 120</v>
      </c>
    </row>
    <row r="8705" spans="1:26" x14ac:dyDescent="0.25">
      <c r="A8705" t="str">
        <f t="shared" si="3551"/>
        <v>04-08-2020 11:31:08</v>
      </c>
      <c r="B8705" t="str">
        <f>"0000802028"</f>
        <v>0000802028</v>
      </c>
      <c r="C8705" t="str">
        <f t="shared" si="3552"/>
        <v>0000801909</v>
      </c>
      <c r="D8705" t="str">
        <f t="shared" si="3527"/>
        <v>73185</v>
      </c>
      <c r="E8705" t="str">
        <f t="shared" si="3528"/>
        <v>KFH-OPERATIONS DEPARTMENT</v>
      </c>
      <c r="F8705" t="str">
        <f t="shared" si="3529"/>
        <v>IBG</v>
      </c>
      <c r="G8705" t="str">
        <f t="shared" si="3540"/>
        <v>Refund COSHARE 10</v>
      </c>
      <c r="H8705" s="2">
        <v>159.5</v>
      </c>
      <c r="I8705" t="str">
        <f>"LAURA AANJEMEH"</f>
        <v>LAURA AANJEMEH</v>
      </c>
      <c r="J8705" t="str">
        <f t="shared" si="3548"/>
        <v>AMBANK / AMISLAMIC BANK</v>
      </c>
      <c r="K8705" t="str">
        <f>"8881020054123"</f>
        <v>8881020054123</v>
      </c>
      <c r="L8705" t="str">
        <f t="shared" si="3549"/>
        <v>04-08-2020</v>
      </c>
      <c r="M8705" t="str">
        <f t="shared" si="3549"/>
        <v>04-08-2020</v>
      </c>
      <c r="N8705" t="str">
        <f t="shared" si="3531"/>
        <v>001105018356</v>
      </c>
      <c r="O8705" t="str">
        <f t="shared" si="3532"/>
        <v>MYR</v>
      </c>
      <c r="P8705" t="str">
        <f t="shared" si="3550"/>
        <v>NIL</v>
      </c>
      <c r="Q8705" t="str">
        <f t="shared" si="3550"/>
        <v>NIL</v>
      </c>
      <c r="R8705" t="str">
        <f t="shared" si="3546"/>
        <v>Accepted</v>
      </c>
      <c r="S8705" t="str">
        <f t="shared" si="3534"/>
        <v>Approved</v>
      </c>
      <c r="T8705" t="str">
        <f t="shared" si="3547"/>
        <v>10.20.8.188</v>
      </c>
      <c r="U8705" t="str">
        <f t="shared" si="3535"/>
        <v>AZRAD UMAR BIN SHAARI</v>
      </c>
      <c r="V8705" t="str">
        <f t="shared" si="3536"/>
        <v>FARHANA BINTI MUSTAPA</v>
      </c>
      <c r="W8705" t="str">
        <f t="shared" si="3537"/>
        <v>04-08-2020</v>
      </c>
      <c r="X8705" t="str">
        <f t="shared" si="3538"/>
        <v>RAZIMAH ANSAR AHMAD</v>
      </c>
      <c r="Y8705" t="str">
        <f t="shared" si="3539"/>
        <v>04-08-2020</v>
      </c>
      <c r="Z8705" t="str">
        <f>"COS10200804 119"</f>
        <v>COS10200804 119</v>
      </c>
    </row>
    <row r="8706" spans="1:26" x14ac:dyDescent="0.25">
      <c r="A8706" t="str">
        <f t="shared" si="3551"/>
        <v>04-08-2020 11:31:08</v>
      </c>
      <c r="B8706" t="str">
        <f>"0000802027"</f>
        <v>0000802027</v>
      </c>
      <c r="C8706" t="str">
        <f t="shared" si="3552"/>
        <v>0000801909</v>
      </c>
      <c r="D8706" t="str">
        <f t="shared" si="3527"/>
        <v>73185</v>
      </c>
      <c r="E8706" t="str">
        <f t="shared" si="3528"/>
        <v>KFH-OPERATIONS DEPARTMENT</v>
      </c>
      <c r="F8706" t="str">
        <f t="shared" si="3529"/>
        <v>IBG</v>
      </c>
      <c r="G8706" t="str">
        <f t="shared" si="3540"/>
        <v>Refund COSHARE 10</v>
      </c>
      <c r="H8706" s="2">
        <v>254.1</v>
      </c>
      <c r="I8706" t="str">
        <f>"KHALID BIN AYIM"</f>
        <v>KHALID BIN AYIM</v>
      </c>
      <c r="J8706" t="str">
        <f t="shared" si="3548"/>
        <v>AMBANK / AMISLAMIC BANK</v>
      </c>
      <c r="K8706" t="str">
        <f>"0090023002851"</f>
        <v>0090023002851</v>
      </c>
      <c r="L8706" t="str">
        <f t="shared" si="3549"/>
        <v>04-08-2020</v>
      </c>
      <c r="M8706" t="str">
        <f t="shared" si="3549"/>
        <v>04-08-2020</v>
      </c>
      <c r="N8706" t="str">
        <f t="shared" si="3531"/>
        <v>001105018356</v>
      </c>
      <c r="O8706" t="str">
        <f t="shared" si="3532"/>
        <v>MYR</v>
      </c>
      <c r="P8706" t="str">
        <f t="shared" si="3550"/>
        <v>NIL</v>
      </c>
      <c r="Q8706" t="str">
        <f t="shared" si="3550"/>
        <v>NIL</v>
      </c>
      <c r="R8706" t="str">
        <f t="shared" si="3546"/>
        <v>Accepted</v>
      </c>
      <c r="S8706" t="str">
        <f t="shared" si="3534"/>
        <v>Approved</v>
      </c>
      <c r="T8706" t="str">
        <f t="shared" si="3547"/>
        <v>10.20.8.188</v>
      </c>
      <c r="U8706" t="str">
        <f t="shared" si="3535"/>
        <v>AZRAD UMAR BIN SHAARI</v>
      </c>
      <c r="V8706" t="str">
        <f t="shared" si="3536"/>
        <v>FARHANA BINTI MUSTAPA</v>
      </c>
      <c r="W8706" t="str">
        <f t="shared" si="3537"/>
        <v>04-08-2020</v>
      </c>
      <c r="X8706" t="str">
        <f t="shared" si="3538"/>
        <v>RAZIMAH ANSAR AHMAD</v>
      </c>
      <c r="Y8706" t="str">
        <f t="shared" si="3539"/>
        <v>04-08-2020</v>
      </c>
      <c r="Z8706" t="str">
        <f>"COS10200804 118"</f>
        <v>COS10200804 118</v>
      </c>
    </row>
    <row r="8707" spans="1:26" x14ac:dyDescent="0.25">
      <c r="A8707" t="str">
        <f t="shared" si="3551"/>
        <v>04-08-2020 11:31:08</v>
      </c>
      <c r="B8707" t="str">
        <f>"0000802026"</f>
        <v>0000802026</v>
      </c>
      <c r="C8707" t="str">
        <f t="shared" si="3552"/>
        <v>0000801909</v>
      </c>
      <c r="D8707" t="str">
        <f t="shared" si="3527"/>
        <v>73185</v>
      </c>
      <c r="E8707" t="str">
        <f t="shared" si="3528"/>
        <v>KFH-OPERATIONS DEPARTMENT</v>
      </c>
      <c r="F8707" t="str">
        <f t="shared" si="3529"/>
        <v>IBG</v>
      </c>
      <c r="G8707" t="str">
        <f t="shared" si="3540"/>
        <v>Refund COSHARE 10</v>
      </c>
      <c r="H8707" s="2">
        <v>66.25</v>
      </c>
      <c r="I8707" t="str">
        <f>"KHAIRUL AMINI BIN SEPIAN"</f>
        <v>KHAIRUL AMINI BIN SEPIAN</v>
      </c>
      <c r="J8707" t="str">
        <f t="shared" si="3548"/>
        <v>AMBANK / AMISLAMIC BANK</v>
      </c>
      <c r="K8707" t="str">
        <f>"1130020017327"</f>
        <v>1130020017327</v>
      </c>
      <c r="L8707" t="str">
        <f t="shared" ref="L8707:M8726" si="3553">"04-08-2020"</f>
        <v>04-08-2020</v>
      </c>
      <c r="M8707" t="str">
        <f t="shared" si="3553"/>
        <v>04-08-2020</v>
      </c>
      <c r="N8707" t="str">
        <f t="shared" si="3531"/>
        <v>001105018356</v>
      </c>
      <c r="O8707" t="str">
        <f t="shared" si="3532"/>
        <v>MYR</v>
      </c>
      <c r="P8707" t="str">
        <f t="shared" ref="P8707:Q8726" si="3554">"NIL"</f>
        <v>NIL</v>
      </c>
      <c r="Q8707" t="str">
        <f t="shared" si="3554"/>
        <v>NIL</v>
      </c>
      <c r="R8707" t="str">
        <f t="shared" si="3546"/>
        <v>Accepted</v>
      </c>
      <c r="S8707" t="str">
        <f t="shared" si="3534"/>
        <v>Approved</v>
      </c>
      <c r="T8707" t="str">
        <f t="shared" si="3547"/>
        <v>10.20.8.188</v>
      </c>
      <c r="U8707" t="str">
        <f t="shared" si="3535"/>
        <v>AZRAD UMAR BIN SHAARI</v>
      </c>
      <c r="V8707" t="str">
        <f t="shared" si="3536"/>
        <v>FARHANA BINTI MUSTAPA</v>
      </c>
      <c r="W8707" t="str">
        <f t="shared" si="3537"/>
        <v>04-08-2020</v>
      </c>
      <c r="X8707" t="str">
        <f t="shared" si="3538"/>
        <v>RAZIMAH ANSAR AHMAD</v>
      </c>
      <c r="Y8707" t="str">
        <f t="shared" si="3539"/>
        <v>04-08-2020</v>
      </c>
      <c r="Z8707" t="str">
        <f>"COS10200804 117"</f>
        <v>COS10200804 117</v>
      </c>
    </row>
    <row r="8708" spans="1:26" x14ac:dyDescent="0.25">
      <c r="A8708" t="str">
        <f t="shared" si="3551"/>
        <v>04-08-2020 11:31:08</v>
      </c>
      <c r="B8708" t="str">
        <f>"0000802025"</f>
        <v>0000802025</v>
      </c>
      <c r="C8708" t="str">
        <f t="shared" si="3552"/>
        <v>0000801909</v>
      </c>
      <c r="D8708" t="str">
        <f t="shared" si="3527"/>
        <v>73185</v>
      </c>
      <c r="E8708" t="str">
        <f t="shared" si="3528"/>
        <v>KFH-OPERATIONS DEPARTMENT</v>
      </c>
      <c r="F8708" t="str">
        <f t="shared" si="3529"/>
        <v>IBG</v>
      </c>
      <c r="G8708" t="str">
        <f t="shared" si="3540"/>
        <v>Refund COSHARE 10</v>
      </c>
      <c r="H8708" s="2">
        <v>411.35</v>
      </c>
      <c r="I8708" t="str">
        <f>"JIMIS  FAZLIE BIN MUPARANG"</f>
        <v>JIMIS  FAZLIE BIN MUPARANG</v>
      </c>
      <c r="J8708" t="str">
        <f t="shared" si="3548"/>
        <v>AMBANK / AMISLAMIC BANK</v>
      </c>
      <c r="K8708" t="str">
        <f>"1690020031156"</f>
        <v>1690020031156</v>
      </c>
      <c r="L8708" t="str">
        <f t="shared" si="3553"/>
        <v>04-08-2020</v>
      </c>
      <c r="M8708" t="str">
        <f t="shared" si="3553"/>
        <v>04-08-2020</v>
      </c>
      <c r="N8708" t="str">
        <f t="shared" si="3531"/>
        <v>001105018356</v>
      </c>
      <c r="O8708" t="str">
        <f t="shared" si="3532"/>
        <v>MYR</v>
      </c>
      <c r="P8708" t="str">
        <f t="shared" si="3554"/>
        <v>NIL</v>
      </c>
      <c r="Q8708" t="str">
        <f t="shared" si="3554"/>
        <v>NIL</v>
      </c>
      <c r="R8708" t="str">
        <f t="shared" si="3546"/>
        <v>Accepted</v>
      </c>
      <c r="S8708" t="str">
        <f t="shared" si="3534"/>
        <v>Approved</v>
      </c>
      <c r="T8708" t="str">
        <f t="shared" si="3547"/>
        <v>10.20.8.188</v>
      </c>
      <c r="U8708" t="str">
        <f t="shared" si="3535"/>
        <v>AZRAD UMAR BIN SHAARI</v>
      </c>
      <c r="V8708" t="str">
        <f t="shared" si="3536"/>
        <v>FARHANA BINTI MUSTAPA</v>
      </c>
      <c r="W8708" t="str">
        <f t="shared" si="3537"/>
        <v>04-08-2020</v>
      </c>
      <c r="X8708" t="str">
        <f t="shared" si="3538"/>
        <v>RAZIMAH ANSAR AHMAD</v>
      </c>
      <c r="Y8708" t="str">
        <f t="shared" si="3539"/>
        <v>04-08-2020</v>
      </c>
      <c r="Z8708" t="str">
        <f>"COS10200804 116"</f>
        <v>COS10200804 116</v>
      </c>
    </row>
    <row r="8709" spans="1:26" x14ac:dyDescent="0.25">
      <c r="A8709" t="str">
        <f t="shared" si="3551"/>
        <v>04-08-2020 11:31:08</v>
      </c>
      <c r="B8709" t="str">
        <f>"0000802024"</f>
        <v>0000802024</v>
      </c>
      <c r="C8709" t="str">
        <f t="shared" si="3552"/>
        <v>0000801909</v>
      </c>
      <c r="D8709" t="str">
        <f t="shared" si="3527"/>
        <v>73185</v>
      </c>
      <c r="E8709" t="str">
        <f t="shared" si="3528"/>
        <v>KFH-OPERATIONS DEPARTMENT</v>
      </c>
      <c r="F8709" t="str">
        <f t="shared" si="3529"/>
        <v>IBG</v>
      </c>
      <c r="G8709" t="str">
        <f t="shared" si="3540"/>
        <v>Refund COSHARE 10</v>
      </c>
      <c r="H8709" s="2">
        <v>683</v>
      </c>
      <c r="I8709" t="str">
        <f>"JEFRI DIN BIN RAZALI"</f>
        <v>JEFRI DIN BIN RAZALI</v>
      </c>
      <c r="J8709" t="str">
        <f t="shared" si="3548"/>
        <v>AMBANK / AMISLAMIC BANK</v>
      </c>
      <c r="K8709" t="str">
        <f>"1230020009900"</f>
        <v>1230020009900</v>
      </c>
      <c r="L8709" t="str">
        <f t="shared" si="3553"/>
        <v>04-08-2020</v>
      </c>
      <c r="M8709" t="str">
        <f t="shared" si="3553"/>
        <v>04-08-2020</v>
      </c>
      <c r="N8709" t="str">
        <f t="shared" si="3531"/>
        <v>001105018356</v>
      </c>
      <c r="O8709" t="str">
        <f t="shared" si="3532"/>
        <v>MYR</v>
      </c>
      <c r="P8709" t="str">
        <f t="shared" si="3554"/>
        <v>NIL</v>
      </c>
      <c r="Q8709" t="str">
        <f t="shared" si="3554"/>
        <v>NIL</v>
      </c>
      <c r="R8709" t="str">
        <f t="shared" si="3546"/>
        <v>Accepted</v>
      </c>
      <c r="S8709" t="str">
        <f t="shared" si="3534"/>
        <v>Approved</v>
      </c>
      <c r="T8709" t="str">
        <f t="shared" si="3547"/>
        <v>10.20.8.188</v>
      </c>
      <c r="U8709" t="str">
        <f t="shared" si="3535"/>
        <v>AZRAD UMAR BIN SHAARI</v>
      </c>
      <c r="V8709" t="str">
        <f t="shared" si="3536"/>
        <v>FARHANA BINTI MUSTAPA</v>
      </c>
      <c r="W8709" t="str">
        <f t="shared" si="3537"/>
        <v>04-08-2020</v>
      </c>
      <c r="X8709" t="str">
        <f t="shared" si="3538"/>
        <v>RAZIMAH ANSAR AHMAD</v>
      </c>
      <c r="Y8709" t="str">
        <f t="shared" si="3539"/>
        <v>04-08-2020</v>
      </c>
      <c r="Z8709" t="str">
        <f>"COS10200804 115"</f>
        <v>COS10200804 115</v>
      </c>
    </row>
    <row r="8710" spans="1:26" x14ac:dyDescent="0.25">
      <c r="A8710" t="str">
        <f t="shared" si="3551"/>
        <v>04-08-2020 11:31:08</v>
      </c>
      <c r="B8710" t="str">
        <f>"0000802023"</f>
        <v>0000802023</v>
      </c>
      <c r="C8710" t="str">
        <f t="shared" si="3552"/>
        <v>0000801909</v>
      </c>
      <c r="D8710" t="str">
        <f t="shared" si="3527"/>
        <v>73185</v>
      </c>
      <c r="E8710" t="str">
        <f t="shared" si="3528"/>
        <v>KFH-OPERATIONS DEPARTMENT</v>
      </c>
      <c r="F8710" t="str">
        <f t="shared" si="3529"/>
        <v>IBG</v>
      </c>
      <c r="G8710" t="str">
        <f t="shared" si="3540"/>
        <v>Refund COSHARE 10</v>
      </c>
      <c r="H8710" s="2">
        <v>1175.3</v>
      </c>
      <c r="I8710" t="str">
        <f>"JANARIAH BT GIMSON"</f>
        <v>JANARIAH BT GIMSON</v>
      </c>
      <c r="J8710" t="str">
        <f t="shared" si="3548"/>
        <v>AMBANK / AMISLAMIC BANK</v>
      </c>
      <c r="K8710" t="str">
        <f>"0600020007610"</f>
        <v>0600020007610</v>
      </c>
      <c r="L8710" t="str">
        <f t="shared" si="3553"/>
        <v>04-08-2020</v>
      </c>
      <c r="M8710" t="str">
        <f t="shared" si="3553"/>
        <v>04-08-2020</v>
      </c>
      <c r="N8710" t="str">
        <f t="shared" si="3531"/>
        <v>001105018356</v>
      </c>
      <c r="O8710" t="str">
        <f t="shared" si="3532"/>
        <v>MYR</v>
      </c>
      <c r="P8710" t="str">
        <f t="shared" si="3554"/>
        <v>NIL</v>
      </c>
      <c r="Q8710" t="str">
        <f t="shared" si="3554"/>
        <v>NIL</v>
      </c>
      <c r="R8710" t="str">
        <f t="shared" si="3546"/>
        <v>Accepted</v>
      </c>
      <c r="S8710" t="str">
        <f t="shared" si="3534"/>
        <v>Approved</v>
      </c>
      <c r="T8710" t="str">
        <f t="shared" si="3547"/>
        <v>10.20.8.188</v>
      </c>
      <c r="U8710" t="str">
        <f t="shared" si="3535"/>
        <v>AZRAD UMAR BIN SHAARI</v>
      </c>
      <c r="V8710" t="str">
        <f t="shared" si="3536"/>
        <v>FARHANA BINTI MUSTAPA</v>
      </c>
      <c r="W8710" t="str">
        <f t="shared" si="3537"/>
        <v>04-08-2020</v>
      </c>
      <c r="X8710" t="str">
        <f t="shared" si="3538"/>
        <v>RAZIMAH ANSAR AHMAD</v>
      </c>
      <c r="Y8710" t="str">
        <f t="shared" si="3539"/>
        <v>04-08-2020</v>
      </c>
      <c r="Z8710" t="str">
        <f>"COS10200804 114"</f>
        <v>COS10200804 114</v>
      </c>
    </row>
    <row r="8711" spans="1:26" x14ac:dyDescent="0.25">
      <c r="A8711" t="str">
        <f t="shared" si="3551"/>
        <v>04-08-2020 11:31:08</v>
      </c>
      <c r="B8711" t="str">
        <f>"0000802022"</f>
        <v>0000802022</v>
      </c>
      <c r="C8711" t="str">
        <f t="shared" si="3552"/>
        <v>0000801909</v>
      </c>
      <c r="D8711" t="str">
        <f t="shared" ref="D8711:D8774" si="3555">"73185"</f>
        <v>73185</v>
      </c>
      <c r="E8711" t="str">
        <f t="shared" ref="E8711:E8774" si="3556">"KFH-OPERATIONS DEPARTMENT"</f>
        <v>KFH-OPERATIONS DEPARTMENT</v>
      </c>
      <c r="F8711" t="str">
        <f t="shared" ref="F8711:F8774" si="3557">"IBG"</f>
        <v>IBG</v>
      </c>
      <c r="G8711" t="str">
        <f t="shared" si="3540"/>
        <v>Refund COSHARE 10</v>
      </c>
      <c r="H8711" s="2">
        <v>317.60000000000002</v>
      </c>
      <c r="I8711" t="str">
        <f>"JAFRI BIN MUHAMAD"</f>
        <v>JAFRI BIN MUHAMAD</v>
      </c>
      <c r="J8711" t="str">
        <f t="shared" si="3548"/>
        <v>AMBANK / AMISLAMIC BANK</v>
      </c>
      <c r="K8711" t="str">
        <f>"0030013003500"</f>
        <v>0030013003500</v>
      </c>
      <c r="L8711" t="str">
        <f t="shared" si="3553"/>
        <v>04-08-2020</v>
      </c>
      <c r="M8711" t="str">
        <f t="shared" si="3553"/>
        <v>04-08-2020</v>
      </c>
      <c r="N8711" t="str">
        <f t="shared" ref="N8711:N8774" si="3558">"001105018356"</f>
        <v>001105018356</v>
      </c>
      <c r="O8711" t="str">
        <f t="shared" ref="O8711:O8774" si="3559">"MYR"</f>
        <v>MYR</v>
      </c>
      <c r="P8711" t="str">
        <f t="shared" si="3554"/>
        <v>NIL</v>
      </c>
      <c r="Q8711" t="str">
        <f t="shared" si="3554"/>
        <v>NIL</v>
      </c>
      <c r="R8711" t="str">
        <f t="shared" si="3546"/>
        <v>Accepted</v>
      </c>
      <c r="S8711" t="str">
        <f t="shared" ref="S8711:S8774" si="3560">"Approved"</f>
        <v>Approved</v>
      </c>
      <c r="T8711" t="str">
        <f t="shared" si="3547"/>
        <v>10.20.8.188</v>
      </c>
      <c r="U8711" t="str">
        <f t="shared" ref="U8711:U8774" si="3561">"AZRAD UMAR BIN SHAARI"</f>
        <v>AZRAD UMAR BIN SHAARI</v>
      </c>
      <c r="V8711" t="str">
        <f t="shared" ref="V8711:V8774" si="3562">"FARHANA BINTI MUSTAPA"</f>
        <v>FARHANA BINTI MUSTAPA</v>
      </c>
      <c r="W8711" t="str">
        <f t="shared" ref="W8711:W8774" si="3563">"04-08-2020"</f>
        <v>04-08-2020</v>
      </c>
      <c r="X8711" t="str">
        <f t="shared" ref="X8711:X8774" si="3564">"RAZIMAH ANSAR AHMAD"</f>
        <v>RAZIMAH ANSAR AHMAD</v>
      </c>
      <c r="Y8711" t="str">
        <f t="shared" ref="Y8711:Y8774" si="3565">"04-08-2020"</f>
        <v>04-08-2020</v>
      </c>
      <c r="Z8711" t="str">
        <f>"COS10200804 113"</f>
        <v>COS10200804 113</v>
      </c>
    </row>
    <row r="8712" spans="1:26" x14ac:dyDescent="0.25">
      <c r="A8712" t="str">
        <f t="shared" si="3551"/>
        <v>04-08-2020 11:31:08</v>
      </c>
      <c r="B8712" t="str">
        <f>"0000802021"</f>
        <v>0000802021</v>
      </c>
      <c r="C8712" t="str">
        <f t="shared" si="3552"/>
        <v>0000801909</v>
      </c>
      <c r="D8712" t="str">
        <f t="shared" si="3555"/>
        <v>73185</v>
      </c>
      <c r="E8712" t="str">
        <f t="shared" si="3556"/>
        <v>KFH-OPERATIONS DEPARTMENT</v>
      </c>
      <c r="F8712" t="str">
        <f t="shared" si="3557"/>
        <v>IBG</v>
      </c>
      <c r="G8712" t="str">
        <f t="shared" si="3540"/>
        <v>Refund COSHARE 10</v>
      </c>
      <c r="H8712" s="2">
        <v>782</v>
      </c>
      <c r="I8712" t="str">
        <f>"IZAT SHAHNAN BIN MOHAMED"</f>
        <v>IZAT SHAHNAN BIN MOHAMED</v>
      </c>
      <c r="J8712" t="str">
        <f t="shared" si="3548"/>
        <v>AMBANK / AMISLAMIC BANK</v>
      </c>
      <c r="K8712" t="str">
        <f>"1010020064380"</f>
        <v>1010020064380</v>
      </c>
      <c r="L8712" t="str">
        <f t="shared" si="3553"/>
        <v>04-08-2020</v>
      </c>
      <c r="M8712" t="str">
        <f t="shared" si="3553"/>
        <v>04-08-2020</v>
      </c>
      <c r="N8712" t="str">
        <f t="shared" si="3558"/>
        <v>001105018356</v>
      </c>
      <c r="O8712" t="str">
        <f t="shared" si="3559"/>
        <v>MYR</v>
      </c>
      <c r="P8712" t="str">
        <f t="shared" si="3554"/>
        <v>NIL</v>
      </c>
      <c r="Q8712" t="str">
        <f t="shared" si="3554"/>
        <v>NIL</v>
      </c>
      <c r="R8712" t="str">
        <f t="shared" si="3546"/>
        <v>Accepted</v>
      </c>
      <c r="S8712" t="str">
        <f t="shared" si="3560"/>
        <v>Approved</v>
      </c>
      <c r="T8712" t="str">
        <f t="shared" si="3547"/>
        <v>10.20.8.188</v>
      </c>
      <c r="U8712" t="str">
        <f t="shared" si="3561"/>
        <v>AZRAD UMAR BIN SHAARI</v>
      </c>
      <c r="V8712" t="str">
        <f t="shared" si="3562"/>
        <v>FARHANA BINTI MUSTAPA</v>
      </c>
      <c r="W8712" t="str">
        <f t="shared" si="3563"/>
        <v>04-08-2020</v>
      </c>
      <c r="X8712" t="str">
        <f t="shared" si="3564"/>
        <v>RAZIMAH ANSAR AHMAD</v>
      </c>
      <c r="Y8712" t="str">
        <f t="shared" si="3565"/>
        <v>04-08-2020</v>
      </c>
      <c r="Z8712" t="str">
        <f>"COS10200804 112"</f>
        <v>COS10200804 112</v>
      </c>
    </row>
    <row r="8713" spans="1:26" x14ac:dyDescent="0.25">
      <c r="A8713" t="str">
        <f t="shared" si="3551"/>
        <v>04-08-2020 11:31:08</v>
      </c>
      <c r="B8713" t="str">
        <f>"0000802020"</f>
        <v>0000802020</v>
      </c>
      <c r="C8713" t="str">
        <f t="shared" si="3552"/>
        <v>0000801909</v>
      </c>
      <c r="D8713" t="str">
        <f t="shared" si="3555"/>
        <v>73185</v>
      </c>
      <c r="E8713" t="str">
        <f t="shared" si="3556"/>
        <v>KFH-OPERATIONS DEPARTMENT</v>
      </c>
      <c r="F8713" t="str">
        <f t="shared" si="3557"/>
        <v>IBG</v>
      </c>
      <c r="G8713" t="str">
        <f t="shared" si="3540"/>
        <v>Refund COSHARE 10</v>
      </c>
      <c r="H8713" s="2">
        <v>268.64999999999998</v>
      </c>
      <c r="I8713" t="str">
        <f>"HUSAIRAN BIN HUSIN"</f>
        <v>HUSAIRAN BIN HUSIN</v>
      </c>
      <c r="J8713" t="str">
        <f t="shared" si="3548"/>
        <v>AMBANK / AMISLAMIC BANK</v>
      </c>
      <c r="K8713" t="str">
        <f>"0030023017707"</f>
        <v>0030023017707</v>
      </c>
      <c r="L8713" t="str">
        <f t="shared" si="3553"/>
        <v>04-08-2020</v>
      </c>
      <c r="M8713" t="str">
        <f t="shared" si="3553"/>
        <v>04-08-2020</v>
      </c>
      <c r="N8713" t="str">
        <f t="shared" si="3558"/>
        <v>001105018356</v>
      </c>
      <c r="O8713" t="str">
        <f t="shared" si="3559"/>
        <v>MYR</v>
      </c>
      <c r="P8713" t="str">
        <f t="shared" si="3554"/>
        <v>NIL</v>
      </c>
      <c r="Q8713" t="str">
        <f t="shared" si="3554"/>
        <v>NIL</v>
      </c>
      <c r="R8713" t="str">
        <f t="shared" si="3546"/>
        <v>Accepted</v>
      </c>
      <c r="S8713" t="str">
        <f t="shared" si="3560"/>
        <v>Approved</v>
      </c>
      <c r="T8713" t="str">
        <f t="shared" si="3547"/>
        <v>10.20.8.188</v>
      </c>
      <c r="U8713" t="str">
        <f t="shared" si="3561"/>
        <v>AZRAD UMAR BIN SHAARI</v>
      </c>
      <c r="V8713" t="str">
        <f t="shared" si="3562"/>
        <v>FARHANA BINTI MUSTAPA</v>
      </c>
      <c r="W8713" t="str">
        <f t="shared" si="3563"/>
        <v>04-08-2020</v>
      </c>
      <c r="X8713" t="str">
        <f t="shared" si="3564"/>
        <v>RAZIMAH ANSAR AHMAD</v>
      </c>
      <c r="Y8713" t="str">
        <f t="shared" si="3565"/>
        <v>04-08-2020</v>
      </c>
      <c r="Z8713" t="str">
        <f>"COS10200804 111"</f>
        <v>COS10200804 111</v>
      </c>
    </row>
    <row r="8714" spans="1:26" x14ac:dyDescent="0.25">
      <c r="A8714" t="str">
        <f t="shared" si="3551"/>
        <v>04-08-2020 11:31:08</v>
      </c>
      <c r="B8714" t="str">
        <f>"0000802019"</f>
        <v>0000802019</v>
      </c>
      <c r="C8714" t="str">
        <f t="shared" si="3552"/>
        <v>0000801909</v>
      </c>
      <c r="D8714" t="str">
        <f t="shared" si="3555"/>
        <v>73185</v>
      </c>
      <c r="E8714" t="str">
        <f t="shared" si="3556"/>
        <v>KFH-OPERATIONS DEPARTMENT</v>
      </c>
      <c r="F8714" t="str">
        <f t="shared" si="3557"/>
        <v>IBG</v>
      </c>
      <c r="G8714" t="str">
        <f t="shared" si="3540"/>
        <v>Refund COSHARE 10</v>
      </c>
      <c r="H8714" s="2">
        <v>167.9</v>
      </c>
      <c r="I8714" t="str">
        <f>"HELMYIAH BINTI SALLEH"</f>
        <v>HELMYIAH BINTI SALLEH</v>
      </c>
      <c r="J8714" t="str">
        <f t="shared" si="3548"/>
        <v>AMBANK / AMISLAMIC BANK</v>
      </c>
      <c r="K8714" t="str">
        <f>"0110023012476"</f>
        <v>0110023012476</v>
      </c>
      <c r="L8714" t="str">
        <f t="shared" si="3553"/>
        <v>04-08-2020</v>
      </c>
      <c r="M8714" t="str">
        <f t="shared" si="3553"/>
        <v>04-08-2020</v>
      </c>
      <c r="N8714" t="str">
        <f t="shared" si="3558"/>
        <v>001105018356</v>
      </c>
      <c r="O8714" t="str">
        <f t="shared" si="3559"/>
        <v>MYR</v>
      </c>
      <c r="P8714" t="str">
        <f t="shared" si="3554"/>
        <v>NIL</v>
      </c>
      <c r="Q8714" t="str">
        <f t="shared" si="3554"/>
        <v>NIL</v>
      </c>
      <c r="R8714" t="str">
        <f t="shared" si="3546"/>
        <v>Accepted</v>
      </c>
      <c r="S8714" t="str">
        <f t="shared" si="3560"/>
        <v>Approved</v>
      </c>
      <c r="T8714" t="str">
        <f t="shared" si="3547"/>
        <v>10.20.8.188</v>
      </c>
      <c r="U8714" t="str">
        <f t="shared" si="3561"/>
        <v>AZRAD UMAR BIN SHAARI</v>
      </c>
      <c r="V8714" t="str">
        <f t="shared" si="3562"/>
        <v>FARHANA BINTI MUSTAPA</v>
      </c>
      <c r="W8714" t="str">
        <f t="shared" si="3563"/>
        <v>04-08-2020</v>
      </c>
      <c r="X8714" t="str">
        <f t="shared" si="3564"/>
        <v>RAZIMAH ANSAR AHMAD</v>
      </c>
      <c r="Y8714" t="str">
        <f t="shared" si="3565"/>
        <v>04-08-2020</v>
      </c>
      <c r="Z8714" t="str">
        <f>"COS10200804 110"</f>
        <v>COS10200804 110</v>
      </c>
    </row>
    <row r="8715" spans="1:26" x14ac:dyDescent="0.25">
      <c r="A8715" t="str">
        <f t="shared" si="3551"/>
        <v>04-08-2020 11:31:08</v>
      </c>
      <c r="B8715" t="str">
        <f>"0000802018"</f>
        <v>0000802018</v>
      </c>
      <c r="C8715" t="str">
        <f t="shared" si="3552"/>
        <v>0000801909</v>
      </c>
      <c r="D8715" t="str">
        <f t="shared" si="3555"/>
        <v>73185</v>
      </c>
      <c r="E8715" t="str">
        <f t="shared" si="3556"/>
        <v>KFH-OPERATIONS DEPARTMENT</v>
      </c>
      <c r="F8715" t="str">
        <f t="shared" si="3557"/>
        <v>IBG</v>
      </c>
      <c r="G8715" t="str">
        <f t="shared" si="3540"/>
        <v>Refund COSHARE 10</v>
      </c>
      <c r="H8715" s="2">
        <v>109</v>
      </c>
      <c r="I8715" t="str">
        <f>"HAZIMI BIN HUSSAIN"</f>
        <v>HAZIMI BIN HUSSAIN</v>
      </c>
      <c r="J8715" t="str">
        <f t="shared" si="3548"/>
        <v>AMBANK / AMISLAMIC BANK</v>
      </c>
      <c r="K8715" t="str">
        <f>"0800020028679"</f>
        <v>0800020028679</v>
      </c>
      <c r="L8715" t="str">
        <f t="shared" si="3553"/>
        <v>04-08-2020</v>
      </c>
      <c r="M8715" t="str">
        <f t="shared" si="3553"/>
        <v>04-08-2020</v>
      </c>
      <c r="N8715" t="str">
        <f t="shared" si="3558"/>
        <v>001105018356</v>
      </c>
      <c r="O8715" t="str">
        <f t="shared" si="3559"/>
        <v>MYR</v>
      </c>
      <c r="P8715" t="str">
        <f t="shared" si="3554"/>
        <v>NIL</v>
      </c>
      <c r="Q8715" t="str">
        <f t="shared" si="3554"/>
        <v>NIL</v>
      </c>
      <c r="R8715" t="str">
        <f t="shared" si="3546"/>
        <v>Accepted</v>
      </c>
      <c r="S8715" t="str">
        <f t="shared" si="3560"/>
        <v>Approved</v>
      </c>
      <c r="T8715" t="str">
        <f t="shared" si="3547"/>
        <v>10.20.8.188</v>
      </c>
      <c r="U8715" t="str">
        <f t="shared" si="3561"/>
        <v>AZRAD UMAR BIN SHAARI</v>
      </c>
      <c r="V8715" t="str">
        <f t="shared" si="3562"/>
        <v>FARHANA BINTI MUSTAPA</v>
      </c>
      <c r="W8715" t="str">
        <f t="shared" si="3563"/>
        <v>04-08-2020</v>
      </c>
      <c r="X8715" t="str">
        <f t="shared" si="3564"/>
        <v>RAZIMAH ANSAR AHMAD</v>
      </c>
      <c r="Y8715" t="str">
        <f t="shared" si="3565"/>
        <v>04-08-2020</v>
      </c>
      <c r="Z8715" t="str">
        <f>"COS10200804 109"</f>
        <v>COS10200804 109</v>
      </c>
    </row>
    <row r="8716" spans="1:26" x14ac:dyDescent="0.25">
      <c r="A8716" t="str">
        <f t="shared" si="3551"/>
        <v>04-08-2020 11:31:08</v>
      </c>
      <c r="B8716" t="str">
        <f>"0000802017"</f>
        <v>0000802017</v>
      </c>
      <c r="C8716" t="str">
        <f t="shared" si="3552"/>
        <v>0000801909</v>
      </c>
      <c r="D8716" t="str">
        <f t="shared" si="3555"/>
        <v>73185</v>
      </c>
      <c r="E8716" t="str">
        <f t="shared" si="3556"/>
        <v>KFH-OPERATIONS DEPARTMENT</v>
      </c>
      <c r="F8716" t="str">
        <f t="shared" si="3557"/>
        <v>IBG</v>
      </c>
      <c r="G8716" t="str">
        <f t="shared" ref="G8716:G8779" si="3566">"Refund COSHARE 10"</f>
        <v>Refund COSHARE 10</v>
      </c>
      <c r="H8716" s="2">
        <v>75.75</v>
      </c>
      <c r="I8716" t="str">
        <f>"HAYATI BINTI SAPRI"</f>
        <v>HAYATI BINTI SAPRI</v>
      </c>
      <c r="J8716" t="str">
        <f t="shared" si="3548"/>
        <v>AMBANK / AMISLAMIC BANK</v>
      </c>
      <c r="K8716" t="str">
        <f>"0530020013450"</f>
        <v>0530020013450</v>
      </c>
      <c r="L8716" t="str">
        <f t="shared" si="3553"/>
        <v>04-08-2020</v>
      </c>
      <c r="M8716" t="str">
        <f t="shared" si="3553"/>
        <v>04-08-2020</v>
      </c>
      <c r="N8716" t="str">
        <f t="shared" si="3558"/>
        <v>001105018356</v>
      </c>
      <c r="O8716" t="str">
        <f t="shared" si="3559"/>
        <v>MYR</v>
      </c>
      <c r="P8716" t="str">
        <f t="shared" si="3554"/>
        <v>NIL</v>
      </c>
      <c r="Q8716" t="str">
        <f t="shared" si="3554"/>
        <v>NIL</v>
      </c>
      <c r="R8716" t="str">
        <f t="shared" si="3546"/>
        <v>Accepted</v>
      </c>
      <c r="S8716" t="str">
        <f t="shared" si="3560"/>
        <v>Approved</v>
      </c>
      <c r="T8716" t="str">
        <f t="shared" si="3547"/>
        <v>10.20.8.188</v>
      </c>
      <c r="U8716" t="str">
        <f t="shared" si="3561"/>
        <v>AZRAD UMAR BIN SHAARI</v>
      </c>
      <c r="V8716" t="str">
        <f t="shared" si="3562"/>
        <v>FARHANA BINTI MUSTAPA</v>
      </c>
      <c r="W8716" t="str">
        <f t="shared" si="3563"/>
        <v>04-08-2020</v>
      </c>
      <c r="X8716" t="str">
        <f t="shared" si="3564"/>
        <v>RAZIMAH ANSAR AHMAD</v>
      </c>
      <c r="Y8716" t="str">
        <f t="shared" si="3565"/>
        <v>04-08-2020</v>
      </c>
      <c r="Z8716" t="str">
        <f>"COS10200804 108"</f>
        <v>COS10200804 108</v>
      </c>
    </row>
    <row r="8717" spans="1:26" x14ac:dyDescent="0.25">
      <c r="A8717" t="str">
        <f t="shared" si="3551"/>
        <v>04-08-2020 11:31:08</v>
      </c>
      <c r="B8717" t="str">
        <f>"0000802016"</f>
        <v>0000802016</v>
      </c>
      <c r="C8717" t="str">
        <f t="shared" si="3552"/>
        <v>0000801909</v>
      </c>
      <c r="D8717" t="str">
        <f t="shared" si="3555"/>
        <v>73185</v>
      </c>
      <c r="E8717" t="str">
        <f t="shared" si="3556"/>
        <v>KFH-OPERATIONS DEPARTMENT</v>
      </c>
      <c r="F8717" t="str">
        <f t="shared" si="3557"/>
        <v>IBG</v>
      </c>
      <c r="G8717" t="str">
        <f t="shared" si="3566"/>
        <v>Refund COSHARE 10</v>
      </c>
      <c r="H8717" s="2">
        <v>190.55</v>
      </c>
      <c r="I8717" t="str">
        <f>"GINAL ANAK BAJIE"</f>
        <v>GINAL ANAK BAJIE</v>
      </c>
      <c r="J8717" t="str">
        <f t="shared" ref="J8717:J8730" si="3567">"AMBANK / AMISLAMIC BANK"</f>
        <v>AMBANK / AMISLAMIC BANK</v>
      </c>
      <c r="K8717" t="str">
        <f>"2260020062988"</f>
        <v>2260020062988</v>
      </c>
      <c r="L8717" t="str">
        <f t="shared" si="3553"/>
        <v>04-08-2020</v>
      </c>
      <c r="M8717" t="str">
        <f t="shared" si="3553"/>
        <v>04-08-2020</v>
      </c>
      <c r="N8717" t="str">
        <f t="shared" si="3558"/>
        <v>001105018356</v>
      </c>
      <c r="O8717" t="str">
        <f t="shared" si="3559"/>
        <v>MYR</v>
      </c>
      <c r="P8717" t="str">
        <f t="shared" si="3554"/>
        <v>NIL</v>
      </c>
      <c r="Q8717" t="str">
        <f t="shared" si="3554"/>
        <v>NIL</v>
      </c>
      <c r="R8717" t="str">
        <f t="shared" si="3546"/>
        <v>Accepted</v>
      </c>
      <c r="S8717" t="str">
        <f t="shared" si="3560"/>
        <v>Approved</v>
      </c>
      <c r="T8717" t="str">
        <f t="shared" si="3547"/>
        <v>10.20.8.188</v>
      </c>
      <c r="U8717" t="str">
        <f t="shared" si="3561"/>
        <v>AZRAD UMAR BIN SHAARI</v>
      </c>
      <c r="V8717" t="str">
        <f t="shared" si="3562"/>
        <v>FARHANA BINTI MUSTAPA</v>
      </c>
      <c r="W8717" t="str">
        <f t="shared" si="3563"/>
        <v>04-08-2020</v>
      </c>
      <c r="X8717" t="str">
        <f t="shared" si="3564"/>
        <v>RAZIMAH ANSAR AHMAD</v>
      </c>
      <c r="Y8717" t="str">
        <f t="shared" si="3565"/>
        <v>04-08-2020</v>
      </c>
      <c r="Z8717" t="str">
        <f>"COS10200804 107"</f>
        <v>COS10200804 107</v>
      </c>
    </row>
    <row r="8718" spans="1:26" x14ac:dyDescent="0.25">
      <c r="A8718" t="str">
        <f t="shared" si="3551"/>
        <v>04-08-2020 11:31:08</v>
      </c>
      <c r="B8718" t="str">
        <f>"0000802015"</f>
        <v>0000802015</v>
      </c>
      <c r="C8718" t="str">
        <f t="shared" si="3552"/>
        <v>0000801909</v>
      </c>
      <c r="D8718" t="str">
        <f t="shared" si="3555"/>
        <v>73185</v>
      </c>
      <c r="E8718" t="str">
        <f t="shared" si="3556"/>
        <v>KFH-OPERATIONS DEPARTMENT</v>
      </c>
      <c r="F8718" t="str">
        <f t="shared" si="3557"/>
        <v>IBG</v>
      </c>
      <c r="G8718" t="str">
        <f t="shared" si="3566"/>
        <v>Refund COSHARE 10</v>
      </c>
      <c r="H8718" s="2">
        <v>1964.65</v>
      </c>
      <c r="I8718" t="str">
        <f>"FRANCIS ANIU"</f>
        <v>FRANCIS ANIU</v>
      </c>
      <c r="J8718" t="str">
        <f t="shared" si="3567"/>
        <v>AMBANK / AMISLAMIC BANK</v>
      </c>
      <c r="K8718" t="str">
        <f>"0610020016669"</f>
        <v>0610020016669</v>
      </c>
      <c r="L8718" t="str">
        <f t="shared" si="3553"/>
        <v>04-08-2020</v>
      </c>
      <c r="M8718" t="str">
        <f t="shared" si="3553"/>
        <v>04-08-2020</v>
      </c>
      <c r="N8718" t="str">
        <f t="shared" si="3558"/>
        <v>001105018356</v>
      </c>
      <c r="O8718" t="str">
        <f t="shared" si="3559"/>
        <v>MYR</v>
      </c>
      <c r="P8718" t="str">
        <f t="shared" si="3554"/>
        <v>NIL</v>
      </c>
      <c r="Q8718" t="str">
        <f t="shared" si="3554"/>
        <v>NIL</v>
      </c>
      <c r="R8718" t="str">
        <f t="shared" si="3546"/>
        <v>Accepted</v>
      </c>
      <c r="S8718" t="str">
        <f t="shared" si="3560"/>
        <v>Approved</v>
      </c>
      <c r="T8718" t="str">
        <f t="shared" si="3547"/>
        <v>10.20.8.188</v>
      </c>
      <c r="U8718" t="str">
        <f t="shared" si="3561"/>
        <v>AZRAD UMAR BIN SHAARI</v>
      </c>
      <c r="V8718" t="str">
        <f t="shared" si="3562"/>
        <v>FARHANA BINTI MUSTAPA</v>
      </c>
      <c r="W8718" t="str">
        <f t="shared" si="3563"/>
        <v>04-08-2020</v>
      </c>
      <c r="X8718" t="str">
        <f t="shared" si="3564"/>
        <v>RAZIMAH ANSAR AHMAD</v>
      </c>
      <c r="Y8718" t="str">
        <f t="shared" si="3565"/>
        <v>04-08-2020</v>
      </c>
      <c r="Z8718" t="str">
        <f>"COS10200804 106"</f>
        <v>COS10200804 106</v>
      </c>
    </row>
    <row r="8719" spans="1:26" x14ac:dyDescent="0.25">
      <c r="A8719" t="str">
        <f t="shared" si="3551"/>
        <v>04-08-2020 11:31:08</v>
      </c>
      <c r="B8719" t="str">
        <f>"0000802014"</f>
        <v>0000802014</v>
      </c>
      <c r="C8719" t="str">
        <f t="shared" si="3552"/>
        <v>0000801909</v>
      </c>
      <c r="D8719" t="str">
        <f t="shared" si="3555"/>
        <v>73185</v>
      </c>
      <c r="E8719" t="str">
        <f t="shared" si="3556"/>
        <v>KFH-OPERATIONS DEPARTMENT</v>
      </c>
      <c r="F8719" t="str">
        <f t="shared" si="3557"/>
        <v>IBG</v>
      </c>
      <c r="G8719" t="str">
        <f t="shared" si="3566"/>
        <v>Refund COSHARE 10</v>
      </c>
      <c r="H8719" s="2">
        <v>167.9</v>
      </c>
      <c r="I8719" t="str">
        <f>"EME ROZANNA BINTI ABDUL RAHIM"</f>
        <v>EME ROZANNA BINTI ABDUL RAHIM</v>
      </c>
      <c r="J8719" t="str">
        <f t="shared" si="3567"/>
        <v>AMBANK / AMISLAMIC BANK</v>
      </c>
      <c r="K8719" t="str">
        <f>"0220024050944"</f>
        <v>0220024050944</v>
      </c>
      <c r="L8719" t="str">
        <f t="shared" si="3553"/>
        <v>04-08-2020</v>
      </c>
      <c r="M8719" t="str">
        <f t="shared" si="3553"/>
        <v>04-08-2020</v>
      </c>
      <c r="N8719" t="str">
        <f t="shared" si="3558"/>
        <v>001105018356</v>
      </c>
      <c r="O8719" t="str">
        <f t="shared" si="3559"/>
        <v>MYR</v>
      </c>
      <c r="P8719" t="str">
        <f t="shared" si="3554"/>
        <v>NIL</v>
      </c>
      <c r="Q8719" t="str">
        <f t="shared" si="3554"/>
        <v>NIL</v>
      </c>
      <c r="R8719" t="str">
        <f t="shared" si="3546"/>
        <v>Accepted</v>
      </c>
      <c r="S8719" t="str">
        <f t="shared" si="3560"/>
        <v>Approved</v>
      </c>
      <c r="T8719" t="str">
        <f t="shared" si="3547"/>
        <v>10.20.8.188</v>
      </c>
      <c r="U8719" t="str">
        <f t="shared" si="3561"/>
        <v>AZRAD UMAR BIN SHAARI</v>
      </c>
      <c r="V8719" t="str">
        <f t="shared" si="3562"/>
        <v>FARHANA BINTI MUSTAPA</v>
      </c>
      <c r="W8719" t="str">
        <f t="shared" si="3563"/>
        <v>04-08-2020</v>
      </c>
      <c r="X8719" t="str">
        <f t="shared" si="3564"/>
        <v>RAZIMAH ANSAR AHMAD</v>
      </c>
      <c r="Y8719" t="str">
        <f t="shared" si="3565"/>
        <v>04-08-2020</v>
      </c>
      <c r="Z8719" t="str">
        <f>"COS10200804 105"</f>
        <v>COS10200804 105</v>
      </c>
    </row>
    <row r="8720" spans="1:26" x14ac:dyDescent="0.25">
      <c r="A8720" t="str">
        <f t="shared" ref="A8720:A8751" si="3568">"04-08-2020 11:31:08"</f>
        <v>04-08-2020 11:31:08</v>
      </c>
      <c r="B8720" t="str">
        <f>"0000802013"</f>
        <v>0000802013</v>
      </c>
      <c r="C8720" t="str">
        <f t="shared" ref="C8720:C8751" si="3569">"0000801909"</f>
        <v>0000801909</v>
      </c>
      <c r="D8720" t="str">
        <f t="shared" si="3555"/>
        <v>73185</v>
      </c>
      <c r="E8720" t="str">
        <f t="shared" si="3556"/>
        <v>KFH-OPERATIONS DEPARTMENT</v>
      </c>
      <c r="F8720" t="str">
        <f t="shared" si="3557"/>
        <v>IBG</v>
      </c>
      <c r="G8720" t="str">
        <f t="shared" si="3566"/>
        <v>Refund COSHARE 10</v>
      </c>
      <c r="H8720" s="2">
        <v>840</v>
      </c>
      <c r="I8720" t="str">
        <f>"EDNARITA ANAK EDWIN NUOG"</f>
        <v>EDNARITA ANAK EDWIN NUOG</v>
      </c>
      <c r="J8720" t="str">
        <f t="shared" si="3567"/>
        <v>AMBANK / AMISLAMIC BANK</v>
      </c>
      <c r="K8720" t="str">
        <f>"0190024016718"</f>
        <v>0190024016718</v>
      </c>
      <c r="L8720" t="str">
        <f t="shared" si="3553"/>
        <v>04-08-2020</v>
      </c>
      <c r="M8720" t="str">
        <f t="shared" si="3553"/>
        <v>04-08-2020</v>
      </c>
      <c r="N8720" t="str">
        <f t="shared" si="3558"/>
        <v>001105018356</v>
      </c>
      <c r="O8720" t="str">
        <f t="shared" si="3559"/>
        <v>MYR</v>
      </c>
      <c r="P8720" t="str">
        <f t="shared" si="3554"/>
        <v>NIL</v>
      </c>
      <c r="Q8720" t="str">
        <f t="shared" si="3554"/>
        <v>NIL</v>
      </c>
      <c r="R8720" t="str">
        <f t="shared" si="3546"/>
        <v>Accepted</v>
      </c>
      <c r="S8720" t="str">
        <f t="shared" si="3560"/>
        <v>Approved</v>
      </c>
      <c r="T8720" t="str">
        <f t="shared" si="3547"/>
        <v>10.20.8.188</v>
      </c>
      <c r="U8720" t="str">
        <f t="shared" si="3561"/>
        <v>AZRAD UMAR BIN SHAARI</v>
      </c>
      <c r="V8720" t="str">
        <f t="shared" si="3562"/>
        <v>FARHANA BINTI MUSTAPA</v>
      </c>
      <c r="W8720" t="str">
        <f t="shared" si="3563"/>
        <v>04-08-2020</v>
      </c>
      <c r="X8720" t="str">
        <f t="shared" si="3564"/>
        <v>RAZIMAH ANSAR AHMAD</v>
      </c>
      <c r="Y8720" t="str">
        <f t="shared" si="3565"/>
        <v>04-08-2020</v>
      </c>
      <c r="Z8720" t="str">
        <f>"COS10200804 104"</f>
        <v>COS10200804 104</v>
      </c>
    </row>
    <row r="8721" spans="1:26" x14ac:dyDescent="0.25">
      <c r="A8721" t="str">
        <f t="shared" si="3568"/>
        <v>04-08-2020 11:31:08</v>
      </c>
      <c r="B8721" t="str">
        <f>"0000802012"</f>
        <v>0000802012</v>
      </c>
      <c r="C8721" t="str">
        <f t="shared" si="3569"/>
        <v>0000801909</v>
      </c>
      <c r="D8721" t="str">
        <f t="shared" si="3555"/>
        <v>73185</v>
      </c>
      <c r="E8721" t="str">
        <f t="shared" si="3556"/>
        <v>KFH-OPERATIONS DEPARTMENT</v>
      </c>
      <c r="F8721" t="str">
        <f t="shared" si="3557"/>
        <v>IBG</v>
      </c>
      <c r="G8721" t="str">
        <f t="shared" si="3566"/>
        <v>Refund COSHARE 10</v>
      </c>
      <c r="H8721" s="2">
        <v>126</v>
      </c>
      <c r="I8721" t="str">
        <f>"DONALD ANAK MAURICE MAJOL"</f>
        <v>DONALD ANAK MAURICE MAJOL</v>
      </c>
      <c r="J8721" t="str">
        <f t="shared" si="3567"/>
        <v>AMBANK / AMISLAMIC BANK</v>
      </c>
      <c r="K8721" t="str">
        <f>"0670020015111"</f>
        <v>0670020015111</v>
      </c>
      <c r="L8721" t="str">
        <f t="shared" si="3553"/>
        <v>04-08-2020</v>
      </c>
      <c r="M8721" t="str">
        <f t="shared" si="3553"/>
        <v>04-08-2020</v>
      </c>
      <c r="N8721" t="str">
        <f t="shared" si="3558"/>
        <v>001105018356</v>
      </c>
      <c r="O8721" t="str">
        <f t="shared" si="3559"/>
        <v>MYR</v>
      </c>
      <c r="P8721" t="str">
        <f t="shared" si="3554"/>
        <v>NIL</v>
      </c>
      <c r="Q8721" t="str">
        <f t="shared" si="3554"/>
        <v>NIL</v>
      </c>
      <c r="R8721" t="str">
        <f t="shared" si="3546"/>
        <v>Accepted</v>
      </c>
      <c r="S8721" t="str">
        <f t="shared" si="3560"/>
        <v>Approved</v>
      </c>
      <c r="T8721" t="str">
        <f t="shared" si="3547"/>
        <v>10.20.8.188</v>
      </c>
      <c r="U8721" t="str">
        <f t="shared" si="3561"/>
        <v>AZRAD UMAR BIN SHAARI</v>
      </c>
      <c r="V8721" t="str">
        <f t="shared" si="3562"/>
        <v>FARHANA BINTI MUSTAPA</v>
      </c>
      <c r="W8721" t="str">
        <f t="shared" si="3563"/>
        <v>04-08-2020</v>
      </c>
      <c r="X8721" t="str">
        <f t="shared" si="3564"/>
        <v>RAZIMAH ANSAR AHMAD</v>
      </c>
      <c r="Y8721" t="str">
        <f t="shared" si="3565"/>
        <v>04-08-2020</v>
      </c>
      <c r="Z8721" t="str">
        <f>"COS10200804 103"</f>
        <v>COS10200804 103</v>
      </c>
    </row>
    <row r="8722" spans="1:26" x14ac:dyDescent="0.25">
      <c r="A8722" t="str">
        <f t="shared" si="3568"/>
        <v>04-08-2020 11:31:08</v>
      </c>
      <c r="B8722" t="str">
        <f>"0000802011"</f>
        <v>0000802011</v>
      </c>
      <c r="C8722" t="str">
        <f t="shared" si="3569"/>
        <v>0000801909</v>
      </c>
      <c r="D8722" t="str">
        <f t="shared" si="3555"/>
        <v>73185</v>
      </c>
      <c r="E8722" t="str">
        <f t="shared" si="3556"/>
        <v>KFH-OPERATIONS DEPARTMENT</v>
      </c>
      <c r="F8722" t="str">
        <f t="shared" si="3557"/>
        <v>IBG</v>
      </c>
      <c r="G8722" t="str">
        <f t="shared" si="3566"/>
        <v>Refund COSHARE 10</v>
      </c>
      <c r="H8722" s="2">
        <v>267.64999999999998</v>
      </c>
      <c r="I8722" t="str">
        <f>"CECELIA ANAK ANDING"</f>
        <v>CECELIA ANAK ANDING</v>
      </c>
      <c r="J8722" t="str">
        <f t="shared" si="3567"/>
        <v>AMBANK / AMISLAMIC BANK</v>
      </c>
      <c r="K8722" t="str">
        <f>"0650012005394"</f>
        <v>0650012005394</v>
      </c>
      <c r="L8722" t="str">
        <f t="shared" si="3553"/>
        <v>04-08-2020</v>
      </c>
      <c r="M8722" t="str">
        <f t="shared" si="3553"/>
        <v>04-08-2020</v>
      </c>
      <c r="N8722" t="str">
        <f t="shared" si="3558"/>
        <v>001105018356</v>
      </c>
      <c r="O8722" t="str">
        <f t="shared" si="3559"/>
        <v>MYR</v>
      </c>
      <c r="P8722" t="str">
        <f t="shared" si="3554"/>
        <v>NIL</v>
      </c>
      <c r="Q8722" t="str">
        <f t="shared" si="3554"/>
        <v>NIL</v>
      </c>
      <c r="R8722" t="str">
        <f t="shared" si="3546"/>
        <v>Accepted</v>
      </c>
      <c r="S8722" t="str">
        <f t="shared" si="3560"/>
        <v>Approved</v>
      </c>
      <c r="T8722" t="str">
        <f t="shared" si="3547"/>
        <v>10.20.8.188</v>
      </c>
      <c r="U8722" t="str">
        <f t="shared" si="3561"/>
        <v>AZRAD UMAR BIN SHAARI</v>
      </c>
      <c r="V8722" t="str">
        <f t="shared" si="3562"/>
        <v>FARHANA BINTI MUSTAPA</v>
      </c>
      <c r="W8722" t="str">
        <f t="shared" si="3563"/>
        <v>04-08-2020</v>
      </c>
      <c r="X8722" t="str">
        <f t="shared" si="3564"/>
        <v>RAZIMAH ANSAR AHMAD</v>
      </c>
      <c r="Y8722" t="str">
        <f t="shared" si="3565"/>
        <v>04-08-2020</v>
      </c>
      <c r="Z8722" t="str">
        <f>"COS10200804 102"</f>
        <v>COS10200804 102</v>
      </c>
    </row>
    <row r="8723" spans="1:26" x14ac:dyDescent="0.25">
      <c r="A8723" t="str">
        <f t="shared" si="3568"/>
        <v>04-08-2020 11:31:08</v>
      </c>
      <c r="B8723" t="str">
        <f>"0000802010"</f>
        <v>0000802010</v>
      </c>
      <c r="C8723" t="str">
        <f t="shared" si="3569"/>
        <v>0000801909</v>
      </c>
      <c r="D8723" t="str">
        <f t="shared" si="3555"/>
        <v>73185</v>
      </c>
      <c r="E8723" t="str">
        <f t="shared" si="3556"/>
        <v>KFH-OPERATIONS DEPARTMENT</v>
      </c>
      <c r="F8723" t="str">
        <f t="shared" si="3557"/>
        <v>IBG</v>
      </c>
      <c r="G8723" t="str">
        <f t="shared" si="3566"/>
        <v>Refund COSHARE 10</v>
      </c>
      <c r="H8723" s="2">
        <v>419.75</v>
      </c>
      <c r="I8723" t="str">
        <f>"AZORA BINTI SUJI"</f>
        <v>AZORA BINTI SUJI</v>
      </c>
      <c r="J8723" t="str">
        <f t="shared" si="3567"/>
        <v>AMBANK / AMISLAMIC BANK</v>
      </c>
      <c r="K8723" t="str">
        <f>"0120024045060"</f>
        <v>0120024045060</v>
      </c>
      <c r="L8723" t="str">
        <f t="shared" si="3553"/>
        <v>04-08-2020</v>
      </c>
      <c r="M8723" t="str">
        <f t="shared" si="3553"/>
        <v>04-08-2020</v>
      </c>
      <c r="N8723" t="str">
        <f t="shared" si="3558"/>
        <v>001105018356</v>
      </c>
      <c r="O8723" t="str">
        <f t="shared" si="3559"/>
        <v>MYR</v>
      </c>
      <c r="P8723" t="str">
        <f t="shared" si="3554"/>
        <v>NIL</v>
      </c>
      <c r="Q8723" t="str">
        <f t="shared" si="3554"/>
        <v>NIL</v>
      </c>
      <c r="R8723" t="str">
        <f t="shared" si="3546"/>
        <v>Accepted</v>
      </c>
      <c r="S8723" t="str">
        <f t="shared" si="3560"/>
        <v>Approved</v>
      </c>
      <c r="T8723" t="str">
        <f t="shared" si="3547"/>
        <v>10.20.8.188</v>
      </c>
      <c r="U8723" t="str">
        <f t="shared" si="3561"/>
        <v>AZRAD UMAR BIN SHAARI</v>
      </c>
      <c r="V8723" t="str">
        <f t="shared" si="3562"/>
        <v>FARHANA BINTI MUSTAPA</v>
      </c>
      <c r="W8723" t="str">
        <f t="shared" si="3563"/>
        <v>04-08-2020</v>
      </c>
      <c r="X8723" t="str">
        <f t="shared" si="3564"/>
        <v>RAZIMAH ANSAR AHMAD</v>
      </c>
      <c r="Y8723" t="str">
        <f t="shared" si="3565"/>
        <v>04-08-2020</v>
      </c>
      <c r="Z8723" t="str">
        <f>"COS10200804 101"</f>
        <v>COS10200804 101</v>
      </c>
    </row>
    <row r="8724" spans="1:26" x14ac:dyDescent="0.25">
      <c r="A8724" t="str">
        <f t="shared" si="3568"/>
        <v>04-08-2020 11:31:08</v>
      </c>
      <c r="B8724" t="str">
        <f>"0000802009"</f>
        <v>0000802009</v>
      </c>
      <c r="C8724" t="str">
        <f t="shared" si="3569"/>
        <v>0000801909</v>
      </c>
      <c r="D8724" t="str">
        <f t="shared" si="3555"/>
        <v>73185</v>
      </c>
      <c r="E8724" t="str">
        <f t="shared" si="3556"/>
        <v>KFH-OPERATIONS DEPARTMENT</v>
      </c>
      <c r="F8724" t="str">
        <f t="shared" si="3557"/>
        <v>IBG</v>
      </c>
      <c r="G8724" t="str">
        <f t="shared" si="3566"/>
        <v>Refund COSHARE 10</v>
      </c>
      <c r="H8724" s="2">
        <v>190</v>
      </c>
      <c r="I8724" t="str">
        <f>"AZNIZAM BIN AHMAD"</f>
        <v>AZNIZAM BIN AHMAD</v>
      </c>
      <c r="J8724" t="str">
        <f t="shared" si="3567"/>
        <v>AMBANK / AMISLAMIC BANK</v>
      </c>
      <c r="K8724" t="str">
        <f>"0660020064714"</f>
        <v>0660020064714</v>
      </c>
      <c r="L8724" t="str">
        <f t="shared" si="3553"/>
        <v>04-08-2020</v>
      </c>
      <c r="M8724" t="str">
        <f t="shared" si="3553"/>
        <v>04-08-2020</v>
      </c>
      <c r="N8724" t="str">
        <f t="shared" si="3558"/>
        <v>001105018356</v>
      </c>
      <c r="O8724" t="str">
        <f t="shared" si="3559"/>
        <v>MYR</v>
      </c>
      <c r="P8724" t="str">
        <f t="shared" si="3554"/>
        <v>NIL</v>
      </c>
      <c r="Q8724" t="str">
        <f t="shared" si="3554"/>
        <v>NIL</v>
      </c>
      <c r="R8724" t="str">
        <f t="shared" si="3546"/>
        <v>Accepted</v>
      </c>
      <c r="S8724" t="str">
        <f t="shared" si="3560"/>
        <v>Approved</v>
      </c>
      <c r="T8724" t="str">
        <f t="shared" si="3547"/>
        <v>10.20.8.188</v>
      </c>
      <c r="U8724" t="str">
        <f t="shared" si="3561"/>
        <v>AZRAD UMAR BIN SHAARI</v>
      </c>
      <c r="V8724" t="str">
        <f t="shared" si="3562"/>
        <v>FARHANA BINTI MUSTAPA</v>
      </c>
      <c r="W8724" t="str">
        <f t="shared" si="3563"/>
        <v>04-08-2020</v>
      </c>
      <c r="X8724" t="str">
        <f t="shared" si="3564"/>
        <v>RAZIMAH ANSAR AHMAD</v>
      </c>
      <c r="Y8724" t="str">
        <f t="shared" si="3565"/>
        <v>04-08-2020</v>
      </c>
      <c r="Z8724" t="str">
        <f>"COS10200804 100"</f>
        <v>COS10200804 100</v>
      </c>
    </row>
    <row r="8725" spans="1:26" x14ac:dyDescent="0.25">
      <c r="A8725" t="str">
        <f t="shared" si="3568"/>
        <v>04-08-2020 11:31:08</v>
      </c>
      <c r="B8725" t="str">
        <f>"0000802008"</f>
        <v>0000802008</v>
      </c>
      <c r="C8725" t="str">
        <f t="shared" si="3569"/>
        <v>0000801909</v>
      </c>
      <c r="D8725" t="str">
        <f t="shared" si="3555"/>
        <v>73185</v>
      </c>
      <c r="E8725" t="str">
        <f t="shared" si="3556"/>
        <v>KFH-OPERATIONS DEPARTMENT</v>
      </c>
      <c r="F8725" t="str">
        <f t="shared" si="3557"/>
        <v>IBG</v>
      </c>
      <c r="G8725" t="str">
        <f t="shared" si="3566"/>
        <v>Refund COSHARE 10</v>
      </c>
      <c r="H8725" s="2">
        <v>61</v>
      </c>
      <c r="I8725" t="str">
        <f>"ASRI BIN DESA"</f>
        <v>ASRI BIN DESA</v>
      </c>
      <c r="J8725" t="str">
        <f t="shared" si="3567"/>
        <v>AMBANK / AMISLAMIC BANK</v>
      </c>
      <c r="K8725" t="str">
        <f>"0060024011672"</f>
        <v>0060024011672</v>
      </c>
      <c r="L8725" t="str">
        <f t="shared" si="3553"/>
        <v>04-08-2020</v>
      </c>
      <c r="M8725" t="str">
        <f t="shared" si="3553"/>
        <v>04-08-2020</v>
      </c>
      <c r="N8725" t="str">
        <f t="shared" si="3558"/>
        <v>001105018356</v>
      </c>
      <c r="O8725" t="str">
        <f t="shared" si="3559"/>
        <v>MYR</v>
      </c>
      <c r="P8725" t="str">
        <f t="shared" si="3554"/>
        <v>NIL</v>
      </c>
      <c r="Q8725" t="str">
        <f t="shared" si="3554"/>
        <v>NIL</v>
      </c>
      <c r="R8725" t="str">
        <f t="shared" si="3546"/>
        <v>Accepted</v>
      </c>
      <c r="S8725" t="str">
        <f t="shared" si="3560"/>
        <v>Approved</v>
      </c>
      <c r="T8725" t="str">
        <f t="shared" si="3547"/>
        <v>10.20.8.188</v>
      </c>
      <c r="U8725" t="str">
        <f t="shared" si="3561"/>
        <v>AZRAD UMAR BIN SHAARI</v>
      </c>
      <c r="V8725" t="str">
        <f t="shared" si="3562"/>
        <v>FARHANA BINTI MUSTAPA</v>
      </c>
      <c r="W8725" t="str">
        <f t="shared" si="3563"/>
        <v>04-08-2020</v>
      </c>
      <c r="X8725" t="str">
        <f t="shared" si="3564"/>
        <v>RAZIMAH ANSAR AHMAD</v>
      </c>
      <c r="Y8725" t="str">
        <f t="shared" si="3565"/>
        <v>04-08-2020</v>
      </c>
      <c r="Z8725" t="str">
        <f>"COS10200804 99"</f>
        <v>COS10200804 99</v>
      </c>
    </row>
    <row r="8726" spans="1:26" x14ac:dyDescent="0.25">
      <c r="A8726" t="str">
        <f t="shared" si="3568"/>
        <v>04-08-2020 11:31:08</v>
      </c>
      <c r="B8726" t="str">
        <f>"0000802007"</f>
        <v>0000802007</v>
      </c>
      <c r="C8726" t="str">
        <f t="shared" si="3569"/>
        <v>0000801909</v>
      </c>
      <c r="D8726" t="str">
        <f t="shared" si="3555"/>
        <v>73185</v>
      </c>
      <c r="E8726" t="str">
        <f t="shared" si="3556"/>
        <v>KFH-OPERATIONS DEPARTMENT</v>
      </c>
      <c r="F8726" t="str">
        <f t="shared" si="3557"/>
        <v>IBG</v>
      </c>
      <c r="G8726" t="str">
        <f t="shared" si="3566"/>
        <v>Refund COSHARE 10</v>
      </c>
      <c r="H8726" s="2">
        <v>63.55</v>
      </c>
      <c r="I8726" t="str">
        <f>"ASHAR BIN AHMAD MARALAN"</f>
        <v>ASHAR BIN AHMAD MARALAN</v>
      </c>
      <c r="J8726" t="str">
        <f t="shared" si="3567"/>
        <v>AMBANK / AMISLAMIC BANK</v>
      </c>
      <c r="K8726" t="str">
        <f>"0340020128682"</f>
        <v>0340020128682</v>
      </c>
      <c r="L8726" t="str">
        <f t="shared" si="3553"/>
        <v>04-08-2020</v>
      </c>
      <c r="M8726" t="str">
        <f t="shared" si="3553"/>
        <v>04-08-2020</v>
      </c>
      <c r="N8726" t="str">
        <f t="shared" si="3558"/>
        <v>001105018356</v>
      </c>
      <c r="O8726" t="str">
        <f t="shared" si="3559"/>
        <v>MYR</v>
      </c>
      <c r="P8726" t="str">
        <f t="shared" si="3554"/>
        <v>NIL</v>
      </c>
      <c r="Q8726" t="str">
        <f t="shared" si="3554"/>
        <v>NIL</v>
      </c>
      <c r="R8726" t="str">
        <f t="shared" si="3546"/>
        <v>Accepted</v>
      </c>
      <c r="S8726" t="str">
        <f t="shared" si="3560"/>
        <v>Approved</v>
      </c>
      <c r="T8726" t="str">
        <f t="shared" si="3547"/>
        <v>10.20.8.188</v>
      </c>
      <c r="U8726" t="str">
        <f t="shared" si="3561"/>
        <v>AZRAD UMAR BIN SHAARI</v>
      </c>
      <c r="V8726" t="str">
        <f t="shared" si="3562"/>
        <v>FARHANA BINTI MUSTAPA</v>
      </c>
      <c r="W8726" t="str">
        <f t="shared" si="3563"/>
        <v>04-08-2020</v>
      </c>
      <c r="X8726" t="str">
        <f t="shared" si="3564"/>
        <v>RAZIMAH ANSAR AHMAD</v>
      </c>
      <c r="Y8726" t="str">
        <f t="shared" si="3565"/>
        <v>04-08-2020</v>
      </c>
      <c r="Z8726" t="str">
        <f>"COS10200804 98"</f>
        <v>COS10200804 98</v>
      </c>
    </row>
    <row r="8727" spans="1:26" x14ac:dyDescent="0.25">
      <c r="A8727" t="str">
        <f t="shared" si="3568"/>
        <v>04-08-2020 11:31:08</v>
      </c>
      <c r="B8727" t="str">
        <f>"0000802006"</f>
        <v>0000802006</v>
      </c>
      <c r="C8727" t="str">
        <f t="shared" si="3569"/>
        <v>0000801909</v>
      </c>
      <c r="D8727" t="str">
        <f t="shared" si="3555"/>
        <v>73185</v>
      </c>
      <c r="E8727" t="str">
        <f t="shared" si="3556"/>
        <v>KFH-OPERATIONS DEPARTMENT</v>
      </c>
      <c r="F8727" t="str">
        <f t="shared" si="3557"/>
        <v>IBG</v>
      </c>
      <c r="G8727" t="str">
        <f t="shared" si="3566"/>
        <v>Refund COSHARE 10</v>
      </c>
      <c r="H8727" s="2">
        <v>101.65</v>
      </c>
      <c r="I8727" t="str">
        <f>"ASAK BIN MAKLING"</f>
        <v>ASAK BIN MAKLING</v>
      </c>
      <c r="J8727" t="str">
        <f t="shared" si="3567"/>
        <v>AMBANK / AMISLAMIC BANK</v>
      </c>
      <c r="K8727" t="str">
        <f>"0600022006628"</f>
        <v>0600022006628</v>
      </c>
      <c r="L8727" t="str">
        <f t="shared" ref="L8727:M8746" si="3570">"04-08-2020"</f>
        <v>04-08-2020</v>
      </c>
      <c r="M8727" t="str">
        <f t="shared" si="3570"/>
        <v>04-08-2020</v>
      </c>
      <c r="N8727" t="str">
        <f t="shared" si="3558"/>
        <v>001105018356</v>
      </c>
      <c r="O8727" t="str">
        <f t="shared" si="3559"/>
        <v>MYR</v>
      </c>
      <c r="P8727" t="str">
        <f t="shared" ref="P8727:Q8746" si="3571">"NIL"</f>
        <v>NIL</v>
      </c>
      <c r="Q8727" t="str">
        <f t="shared" si="3571"/>
        <v>NIL</v>
      </c>
      <c r="R8727" t="str">
        <f t="shared" si="3546"/>
        <v>Accepted</v>
      </c>
      <c r="S8727" t="str">
        <f t="shared" si="3560"/>
        <v>Approved</v>
      </c>
      <c r="T8727" t="str">
        <f t="shared" si="3547"/>
        <v>10.20.8.188</v>
      </c>
      <c r="U8727" t="str">
        <f t="shared" si="3561"/>
        <v>AZRAD UMAR BIN SHAARI</v>
      </c>
      <c r="V8727" t="str">
        <f t="shared" si="3562"/>
        <v>FARHANA BINTI MUSTAPA</v>
      </c>
      <c r="W8727" t="str">
        <f t="shared" si="3563"/>
        <v>04-08-2020</v>
      </c>
      <c r="X8727" t="str">
        <f t="shared" si="3564"/>
        <v>RAZIMAH ANSAR AHMAD</v>
      </c>
      <c r="Y8727" t="str">
        <f t="shared" si="3565"/>
        <v>04-08-2020</v>
      </c>
      <c r="Z8727" t="str">
        <f>"COS10200804 97"</f>
        <v>COS10200804 97</v>
      </c>
    </row>
    <row r="8728" spans="1:26" x14ac:dyDescent="0.25">
      <c r="A8728" t="str">
        <f t="shared" si="3568"/>
        <v>04-08-2020 11:31:08</v>
      </c>
      <c r="B8728" t="str">
        <f>"0000802005"</f>
        <v>0000802005</v>
      </c>
      <c r="C8728" t="str">
        <f t="shared" si="3569"/>
        <v>0000801909</v>
      </c>
      <c r="D8728" t="str">
        <f t="shared" si="3555"/>
        <v>73185</v>
      </c>
      <c r="E8728" t="str">
        <f t="shared" si="3556"/>
        <v>KFH-OPERATIONS DEPARTMENT</v>
      </c>
      <c r="F8728" t="str">
        <f t="shared" si="3557"/>
        <v>IBG</v>
      </c>
      <c r="G8728" t="str">
        <f t="shared" si="3566"/>
        <v>Refund COSHARE 10</v>
      </c>
      <c r="H8728" s="2">
        <v>745</v>
      </c>
      <c r="I8728" t="str">
        <f>"ARUMUGAM AL VALEN"</f>
        <v>ARUMUGAM AL VALEN</v>
      </c>
      <c r="J8728" t="str">
        <f t="shared" si="3567"/>
        <v>AMBANK / AMISLAMIC BANK</v>
      </c>
      <c r="K8728" t="str">
        <f>"8881035616962"</f>
        <v>8881035616962</v>
      </c>
      <c r="L8728" t="str">
        <f t="shared" si="3570"/>
        <v>04-08-2020</v>
      </c>
      <c r="M8728" t="str">
        <f t="shared" si="3570"/>
        <v>04-08-2020</v>
      </c>
      <c r="N8728" t="str">
        <f t="shared" si="3558"/>
        <v>001105018356</v>
      </c>
      <c r="O8728" t="str">
        <f t="shared" si="3559"/>
        <v>MYR</v>
      </c>
      <c r="P8728" t="str">
        <f t="shared" si="3571"/>
        <v>NIL</v>
      </c>
      <c r="Q8728" t="str">
        <f t="shared" si="3571"/>
        <v>NIL</v>
      </c>
      <c r="R8728" t="str">
        <f t="shared" si="3546"/>
        <v>Accepted</v>
      </c>
      <c r="S8728" t="str">
        <f t="shared" si="3560"/>
        <v>Approved</v>
      </c>
      <c r="T8728" t="str">
        <f t="shared" si="3547"/>
        <v>10.20.8.188</v>
      </c>
      <c r="U8728" t="str">
        <f t="shared" si="3561"/>
        <v>AZRAD UMAR BIN SHAARI</v>
      </c>
      <c r="V8728" t="str">
        <f t="shared" si="3562"/>
        <v>FARHANA BINTI MUSTAPA</v>
      </c>
      <c r="W8728" t="str">
        <f t="shared" si="3563"/>
        <v>04-08-2020</v>
      </c>
      <c r="X8728" t="str">
        <f t="shared" si="3564"/>
        <v>RAZIMAH ANSAR AHMAD</v>
      </c>
      <c r="Y8728" t="str">
        <f t="shared" si="3565"/>
        <v>04-08-2020</v>
      </c>
      <c r="Z8728" t="str">
        <f>"COS10200804 96"</f>
        <v>COS10200804 96</v>
      </c>
    </row>
    <row r="8729" spans="1:26" x14ac:dyDescent="0.25">
      <c r="A8729" t="str">
        <f t="shared" si="3568"/>
        <v>04-08-2020 11:31:08</v>
      </c>
      <c r="B8729" t="str">
        <f>"0000802004"</f>
        <v>0000802004</v>
      </c>
      <c r="C8729" t="str">
        <f t="shared" si="3569"/>
        <v>0000801909</v>
      </c>
      <c r="D8729" t="str">
        <f t="shared" si="3555"/>
        <v>73185</v>
      </c>
      <c r="E8729" t="str">
        <f t="shared" si="3556"/>
        <v>KFH-OPERATIONS DEPARTMENT</v>
      </c>
      <c r="F8729" t="str">
        <f t="shared" si="3557"/>
        <v>IBG</v>
      </c>
      <c r="G8729" t="str">
        <f t="shared" si="3566"/>
        <v>Refund COSHARE 10</v>
      </c>
      <c r="H8729" s="2">
        <v>69</v>
      </c>
      <c r="I8729" t="str">
        <f>"ABDUL RANI BIN REJELI"</f>
        <v>ABDUL RANI BIN REJELI</v>
      </c>
      <c r="J8729" t="str">
        <f t="shared" si="3567"/>
        <v>AMBANK / AMISLAMIC BANK</v>
      </c>
      <c r="K8729" t="str">
        <f>"1790020045030"</f>
        <v>1790020045030</v>
      </c>
      <c r="L8729" t="str">
        <f t="shared" si="3570"/>
        <v>04-08-2020</v>
      </c>
      <c r="M8729" t="str">
        <f t="shared" si="3570"/>
        <v>04-08-2020</v>
      </c>
      <c r="N8729" t="str">
        <f t="shared" si="3558"/>
        <v>001105018356</v>
      </c>
      <c r="O8729" t="str">
        <f t="shared" si="3559"/>
        <v>MYR</v>
      </c>
      <c r="P8729" t="str">
        <f t="shared" si="3571"/>
        <v>NIL</v>
      </c>
      <c r="Q8729" t="str">
        <f t="shared" si="3571"/>
        <v>NIL</v>
      </c>
      <c r="R8729" t="str">
        <f t="shared" si="3546"/>
        <v>Accepted</v>
      </c>
      <c r="S8729" t="str">
        <f t="shared" si="3560"/>
        <v>Approved</v>
      </c>
      <c r="T8729" t="str">
        <f t="shared" si="3547"/>
        <v>10.20.8.188</v>
      </c>
      <c r="U8729" t="str">
        <f t="shared" si="3561"/>
        <v>AZRAD UMAR BIN SHAARI</v>
      </c>
      <c r="V8729" t="str">
        <f t="shared" si="3562"/>
        <v>FARHANA BINTI MUSTAPA</v>
      </c>
      <c r="W8729" t="str">
        <f t="shared" si="3563"/>
        <v>04-08-2020</v>
      </c>
      <c r="X8729" t="str">
        <f t="shared" si="3564"/>
        <v>RAZIMAH ANSAR AHMAD</v>
      </c>
      <c r="Y8729" t="str">
        <f t="shared" si="3565"/>
        <v>04-08-2020</v>
      </c>
      <c r="Z8729" t="str">
        <f>"COS10200804 95"</f>
        <v>COS10200804 95</v>
      </c>
    </row>
    <row r="8730" spans="1:26" x14ac:dyDescent="0.25">
      <c r="A8730" t="str">
        <f t="shared" si="3568"/>
        <v>04-08-2020 11:31:08</v>
      </c>
      <c r="B8730" t="str">
        <f>"0000802003"</f>
        <v>0000802003</v>
      </c>
      <c r="C8730" t="str">
        <f t="shared" si="3569"/>
        <v>0000801909</v>
      </c>
      <c r="D8730" t="str">
        <f t="shared" si="3555"/>
        <v>73185</v>
      </c>
      <c r="E8730" t="str">
        <f t="shared" si="3556"/>
        <v>KFH-OPERATIONS DEPARTMENT</v>
      </c>
      <c r="F8730" t="str">
        <f t="shared" si="3557"/>
        <v>IBG</v>
      </c>
      <c r="G8730" t="str">
        <f t="shared" si="3566"/>
        <v>Refund COSHARE 10</v>
      </c>
      <c r="H8730" s="2">
        <v>546.85</v>
      </c>
      <c r="I8730" t="str">
        <f>"ABDUL HAMID BIN MAT DESA"</f>
        <v>ABDUL HAMID BIN MAT DESA</v>
      </c>
      <c r="J8730" t="str">
        <f t="shared" si="3567"/>
        <v>AMBANK / AMISLAMIC BANK</v>
      </c>
      <c r="K8730" t="str">
        <f>"0980020015486"</f>
        <v>0980020015486</v>
      </c>
      <c r="L8730" t="str">
        <f t="shared" si="3570"/>
        <v>04-08-2020</v>
      </c>
      <c r="M8730" t="str">
        <f t="shared" si="3570"/>
        <v>04-08-2020</v>
      </c>
      <c r="N8730" t="str">
        <f t="shared" si="3558"/>
        <v>001105018356</v>
      </c>
      <c r="O8730" t="str">
        <f t="shared" si="3559"/>
        <v>MYR</v>
      </c>
      <c r="P8730" t="str">
        <f t="shared" si="3571"/>
        <v>NIL</v>
      </c>
      <c r="Q8730" t="str">
        <f t="shared" si="3571"/>
        <v>NIL</v>
      </c>
      <c r="R8730" t="str">
        <f t="shared" si="3546"/>
        <v>Accepted</v>
      </c>
      <c r="S8730" t="str">
        <f t="shared" si="3560"/>
        <v>Approved</v>
      </c>
      <c r="T8730" t="str">
        <f t="shared" si="3547"/>
        <v>10.20.8.188</v>
      </c>
      <c r="U8730" t="str">
        <f t="shared" si="3561"/>
        <v>AZRAD UMAR BIN SHAARI</v>
      </c>
      <c r="V8730" t="str">
        <f t="shared" si="3562"/>
        <v>FARHANA BINTI MUSTAPA</v>
      </c>
      <c r="W8730" t="str">
        <f t="shared" si="3563"/>
        <v>04-08-2020</v>
      </c>
      <c r="X8730" t="str">
        <f t="shared" si="3564"/>
        <v>RAZIMAH ANSAR AHMAD</v>
      </c>
      <c r="Y8730" t="str">
        <f t="shared" si="3565"/>
        <v>04-08-2020</v>
      </c>
      <c r="Z8730" t="str">
        <f>"COS10200804 94"</f>
        <v>COS10200804 94</v>
      </c>
    </row>
    <row r="8731" spans="1:26" x14ac:dyDescent="0.25">
      <c r="A8731" t="str">
        <f t="shared" si="3568"/>
        <v>04-08-2020 11:31:08</v>
      </c>
      <c r="B8731" t="str">
        <f>"0000802002"</f>
        <v>0000802002</v>
      </c>
      <c r="C8731" t="str">
        <f t="shared" si="3569"/>
        <v>0000801909</v>
      </c>
      <c r="D8731" t="str">
        <f t="shared" si="3555"/>
        <v>73185</v>
      </c>
      <c r="E8731" t="str">
        <f t="shared" si="3556"/>
        <v>KFH-OPERATIONS DEPARTMENT</v>
      </c>
      <c r="F8731" t="str">
        <f t="shared" si="3557"/>
        <v>IBG</v>
      </c>
      <c r="G8731" t="str">
        <f t="shared" si="3566"/>
        <v>Refund COSHARE 10</v>
      </c>
      <c r="H8731" s="2">
        <v>607</v>
      </c>
      <c r="I8731" t="str">
        <f>"YAP SIEW CHEE"</f>
        <v>YAP SIEW CHEE</v>
      </c>
      <c r="J8731" t="str">
        <f t="shared" ref="J8731:J8762" si="3572">"ALLIANCE BANK / ALLIANCE ISLAMIC BANK"</f>
        <v>ALLIANCE BANK / ALLIANCE ISLAMIC BANK</v>
      </c>
      <c r="K8731" t="str">
        <f>"100390020079653"</f>
        <v>100390020079653</v>
      </c>
      <c r="L8731" t="str">
        <f t="shared" si="3570"/>
        <v>04-08-2020</v>
      </c>
      <c r="M8731" t="str">
        <f t="shared" si="3570"/>
        <v>04-08-2020</v>
      </c>
      <c r="N8731" t="str">
        <f t="shared" si="3558"/>
        <v>001105018356</v>
      </c>
      <c r="O8731" t="str">
        <f t="shared" si="3559"/>
        <v>MYR</v>
      </c>
      <c r="P8731" t="str">
        <f t="shared" si="3571"/>
        <v>NIL</v>
      </c>
      <c r="Q8731" t="str">
        <f t="shared" si="3571"/>
        <v>NIL</v>
      </c>
      <c r="R8731" t="str">
        <f t="shared" si="3546"/>
        <v>Accepted</v>
      </c>
      <c r="S8731" t="str">
        <f t="shared" si="3560"/>
        <v>Approved</v>
      </c>
      <c r="T8731" t="str">
        <f t="shared" si="3547"/>
        <v>10.20.8.188</v>
      </c>
      <c r="U8731" t="str">
        <f t="shared" si="3561"/>
        <v>AZRAD UMAR BIN SHAARI</v>
      </c>
      <c r="V8731" t="str">
        <f t="shared" si="3562"/>
        <v>FARHANA BINTI MUSTAPA</v>
      </c>
      <c r="W8731" t="str">
        <f t="shared" si="3563"/>
        <v>04-08-2020</v>
      </c>
      <c r="X8731" t="str">
        <f t="shared" si="3564"/>
        <v>RAZIMAH ANSAR AHMAD</v>
      </c>
      <c r="Y8731" t="str">
        <f t="shared" si="3565"/>
        <v>04-08-2020</v>
      </c>
      <c r="Z8731" t="str">
        <f>"COS10200804 93"</f>
        <v>COS10200804 93</v>
      </c>
    </row>
    <row r="8732" spans="1:26" x14ac:dyDescent="0.25">
      <c r="A8732" t="str">
        <f t="shared" si="3568"/>
        <v>04-08-2020 11:31:08</v>
      </c>
      <c r="B8732" t="str">
        <f>"0000802001"</f>
        <v>0000802001</v>
      </c>
      <c r="C8732" t="str">
        <f t="shared" si="3569"/>
        <v>0000801909</v>
      </c>
      <c r="D8732" t="str">
        <f t="shared" si="3555"/>
        <v>73185</v>
      </c>
      <c r="E8732" t="str">
        <f t="shared" si="3556"/>
        <v>KFH-OPERATIONS DEPARTMENT</v>
      </c>
      <c r="F8732" t="str">
        <f t="shared" si="3557"/>
        <v>IBG</v>
      </c>
      <c r="G8732" t="str">
        <f t="shared" si="3566"/>
        <v>Refund COSHARE 10</v>
      </c>
      <c r="H8732" s="2">
        <v>101.35</v>
      </c>
      <c r="I8732" t="str">
        <f>"WELIE BIN ELMIN  WELIE BIN MAX MAMBU"</f>
        <v>WELIE BIN ELMIN  WELIE BIN MAX MAMBU</v>
      </c>
      <c r="J8732" t="str">
        <f t="shared" si="3572"/>
        <v>ALLIANCE BANK / ALLIANCE ISLAMIC BANK</v>
      </c>
      <c r="K8732" t="str">
        <f>"600700020052908"</f>
        <v>600700020052908</v>
      </c>
      <c r="L8732" t="str">
        <f t="shared" si="3570"/>
        <v>04-08-2020</v>
      </c>
      <c r="M8732" t="str">
        <f t="shared" si="3570"/>
        <v>04-08-2020</v>
      </c>
      <c r="N8732" t="str">
        <f t="shared" si="3558"/>
        <v>001105018356</v>
      </c>
      <c r="O8732" t="str">
        <f t="shared" si="3559"/>
        <v>MYR</v>
      </c>
      <c r="P8732" t="str">
        <f t="shared" si="3571"/>
        <v>NIL</v>
      </c>
      <c r="Q8732" t="str">
        <f t="shared" si="3571"/>
        <v>NIL</v>
      </c>
      <c r="R8732" t="str">
        <f t="shared" si="3546"/>
        <v>Accepted</v>
      </c>
      <c r="S8732" t="str">
        <f t="shared" si="3560"/>
        <v>Approved</v>
      </c>
      <c r="T8732" t="str">
        <f t="shared" si="3547"/>
        <v>10.20.8.188</v>
      </c>
      <c r="U8732" t="str">
        <f t="shared" si="3561"/>
        <v>AZRAD UMAR BIN SHAARI</v>
      </c>
      <c r="V8732" t="str">
        <f t="shared" si="3562"/>
        <v>FARHANA BINTI MUSTAPA</v>
      </c>
      <c r="W8732" t="str">
        <f t="shared" si="3563"/>
        <v>04-08-2020</v>
      </c>
      <c r="X8732" t="str">
        <f t="shared" si="3564"/>
        <v>RAZIMAH ANSAR AHMAD</v>
      </c>
      <c r="Y8732" t="str">
        <f t="shared" si="3565"/>
        <v>04-08-2020</v>
      </c>
      <c r="Z8732" t="str">
        <f>"COS10200804 92"</f>
        <v>COS10200804 92</v>
      </c>
    </row>
    <row r="8733" spans="1:26" x14ac:dyDescent="0.25">
      <c r="A8733" t="str">
        <f t="shared" si="3568"/>
        <v>04-08-2020 11:31:08</v>
      </c>
      <c r="B8733" t="str">
        <f>"0000802000"</f>
        <v>0000802000</v>
      </c>
      <c r="C8733" t="str">
        <f t="shared" si="3569"/>
        <v>0000801909</v>
      </c>
      <c r="D8733" t="str">
        <f t="shared" si="3555"/>
        <v>73185</v>
      </c>
      <c r="E8733" t="str">
        <f t="shared" si="3556"/>
        <v>KFH-OPERATIONS DEPARTMENT</v>
      </c>
      <c r="F8733" t="str">
        <f t="shared" si="3557"/>
        <v>IBG</v>
      </c>
      <c r="G8733" t="str">
        <f t="shared" si="3566"/>
        <v>Refund COSHARE 10</v>
      </c>
      <c r="H8733" s="2">
        <v>83.95</v>
      </c>
      <c r="I8733" t="str">
        <f>"SURIYAH BINTI PUTEH"</f>
        <v>SURIYAH BINTI PUTEH</v>
      </c>
      <c r="J8733" t="str">
        <f t="shared" si="3572"/>
        <v>ALLIANCE BANK / ALLIANCE ISLAMIC BANK</v>
      </c>
      <c r="K8733" t="str">
        <f>"601460020022929"</f>
        <v>601460020022929</v>
      </c>
      <c r="L8733" t="str">
        <f t="shared" si="3570"/>
        <v>04-08-2020</v>
      </c>
      <c r="M8733" t="str">
        <f t="shared" si="3570"/>
        <v>04-08-2020</v>
      </c>
      <c r="N8733" t="str">
        <f t="shared" si="3558"/>
        <v>001105018356</v>
      </c>
      <c r="O8733" t="str">
        <f t="shared" si="3559"/>
        <v>MYR</v>
      </c>
      <c r="P8733" t="str">
        <f t="shared" si="3571"/>
        <v>NIL</v>
      </c>
      <c r="Q8733" t="str">
        <f t="shared" si="3571"/>
        <v>NIL</v>
      </c>
      <c r="R8733" t="str">
        <f t="shared" si="3546"/>
        <v>Accepted</v>
      </c>
      <c r="S8733" t="str">
        <f t="shared" si="3560"/>
        <v>Approved</v>
      </c>
      <c r="T8733" t="str">
        <f t="shared" si="3547"/>
        <v>10.20.8.188</v>
      </c>
      <c r="U8733" t="str">
        <f t="shared" si="3561"/>
        <v>AZRAD UMAR BIN SHAARI</v>
      </c>
      <c r="V8733" t="str">
        <f t="shared" si="3562"/>
        <v>FARHANA BINTI MUSTAPA</v>
      </c>
      <c r="W8733" t="str">
        <f t="shared" si="3563"/>
        <v>04-08-2020</v>
      </c>
      <c r="X8733" t="str">
        <f t="shared" si="3564"/>
        <v>RAZIMAH ANSAR AHMAD</v>
      </c>
      <c r="Y8733" t="str">
        <f t="shared" si="3565"/>
        <v>04-08-2020</v>
      </c>
      <c r="Z8733" t="str">
        <f>"COS10200804 91"</f>
        <v>COS10200804 91</v>
      </c>
    </row>
    <row r="8734" spans="1:26" x14ac:dyDescent="0.25">
      <c r="A8734" t="str">
        <f t="shared" si="3568"/>
        <v>04-08-2020 11:31:08</v>
      </c>
      <c r="B8734" t="str">
        <f>"0000801999"</f>
        <v>0000801999</v>
      </c>
      <c r="C8734" t="str">
        <f t="shared" si="3569"/>
        <v>0000801909</v>
      </c>
      <c r="D8734" t="str">
        <f t="shared" si="3555"/>
        <v>73185</v>
      </c>
      <c r="E8734" t="str">
        <f t="shared" si="3556"/>
        <v>KFH-OPERATIONS DEPARTMENT</v>
      </c>
      <c r="F8734" t="str">
        <f t="shared" si="3557"/>
        <v>IBG</v>
      </c>
      <c r="G8734" t="str">
        <f t="shared" si="3566"/>
        <v>Refund COSHARE 10</v>
      </c>
      <c r="H8734" s="2">
        <v>635.20000000000005</v>
      </c>
      <c r="I8734" t="str">
        <f>"SUNDIAN BIN SAPAUN"</f>
        <v>SUNDIAN BIN SAPAUN</v>
      </c>
      <c r="J8734" t="str">
        <f t="shared" si="3572"/>
        <v>ALLIANCE BANK / ALLIANCE ISLAMIC BANK</v>
      </c>
      <c r="K8734" t="str">
        <f>"600890020025090"</f>
        <v>600890020025090</v>
      </c>
      <c r="L8734" t="str">
        <f t="shared" si="3570"/>
        <v>04-08-2020</v>
      </c>
      <c r="M8734" t="str">
        <f t="shared" si="3570"/>
        <v>04-08-2020</v>
      </c>
      <c r="N8734" t="str">
        <f t="shared" si="3558"/>
        <v>001105018356</v>
      </c>
      <c r="O8734" t="str">
        <f t="shared" si="3559"/>
        <v>MYR</v>
      </c>
      <c r="P8734" t="str">
        <f t="shared" si="3571"/>
        <v>NIL</v>
      </c>
      <c r="Q8734" t="str">
        <f t="shared" si="3571"/>
        <v>NIL</v>
      </c>
      <c r="R8734" t="str">
        <f t="shared" si="3546"/>
        <v>Accepted</v>
      </c>
      <c r="S8734" t="str">
        <f t="shared" si="3560"/>
        <v>Approved</v>
      </c>
      <c r="T8734" t="str">
        <f t="shared" si="3547"/>
        <v>10.20.8.188</v>
      </c>
      <c r="U8734" t="str">
        <f t="shared" si="3561"/>
        <v>AZRAD UMAR BIN SHAARI</v>
      </c>
      <c r="V8734" t="str">
        <f t="shared" si="3562"/>
        <v>FARHANA BINTI MUSTAPA</v>
      </c>
      <c r="W8734" t="str">
        <f t="shared" si="3563"/>
        <v>04-08-2020</v>
      </c>
      <c r="X8734" t="str">
        <f t="shared" si="3564"/>
        <v>RAZIMAH ANSAR AHMAD</v>
      </c>
      <c r="Y8734" t="str">
        <f t="shared" si="3565"/>
        <v>04-08-2020</v>
      </c>
      <c r="Z8734" t="str">
        <f>"COS10200804 90"</f>
        <v>COS10200804 90</v>
      </c>
    </row>
    <row r="8735" spans="1:26" x14ac:dyDescent="0.25">
      <c r="A8735" t="str">
        <f t="shared" si="3568"/>
        <v>04-08-2020 11:31:08</v>
      </c>
      <c r="B8735" t="str">
        <f>"0000801998"</f>
        <v>0000801998</v>
      </c>
      <c r="C8735" t="str">
        <f t="shared" si="3569"/>
        <v>0000801909</v>
      </c>
      <c r="D8735" t="str">
        <f t="shared" si="3555"/>
        <v>73185</v>
      </c>
      <c r="E8735" t="str">
        <f t="shared" si="3556"/>
        <v>KFH-OPERATIONS DEPARTMENT</v>
      </c>
      <c r="F8735" t="str">
        <f t="shared" si="3557"/>
        <v>IBG</v>
      </c>
      <c r="G8735" t="str">
        <f t="shared" si="3566"/>
        <v>Refund COSHARE 10</v>
      </c>
      <c r="H8735" s="2">
        <v>419.75</v>
      </c>
      <c r="I8735" t="str">
        <f>"STANLEY BIN YAMUD  ABAI"</f>
        <v>STANLEY BIN YAMUD  ABAI</v>
      </c>
      <c r="J8735" t="str">
        <f t="shared" si="3572"/>
        <v>ALLIANCE BANK / ALLIANCE ISLAMIC BANK</v>
      </c>
      <c r="K8735" t="str">
        <f>"601550020021291"</f>
        <v>601550020021291</v>
      </c>
      <c r="L8735" t="str">
        <f t="shared" si="3570"/>
        <v>04-08-2020</v>
      </c>
      <c r="M8735" t="str">
        <f t="shared" si="3570"/>
        <v>04-08-2020</v>
      </c>
      <c r="N8735" t="str">
        <f t="shared" si="3558"/>
        <v>001105018356</v>
      </c>
      <c r="O8735" t="str">
        <f t="shared" si="3559"/>
        <v>MYR</v>
      </c>
      <c r="P8735" t="str">
        <f t="shared" si="3571"/>
        <v>NIL</v>
      </c>
      <c r="Q8735" t="str">
        <f t="shared" si="3571"/>
        <v>NIL</v>
      </c>
      <c r="R8735" t="str">
        <f t="shared" si="3546"/>
        <v>Accepted</v>
      </c>
      <c r="S8735" t="str">
        <f t="shared" si="3560"/>
        <v>Approved</v>
      </c>
      <c r="T8735" t="str">
        <f t="shared" si="3547"/>
        <v>10.20.8.188</v>
      </c>
      <c r="U8735" t="str">
        <f t="shared" si="3561"/>
        <v>AZRAD UMAR BIN SHAARI</v>
      </c>
      <c r="V8735" t="str">
        <f t="shared" si="3562"/>
        <v>FARHANA BINTI MUSTAPA</v>
      </c>
      <c r="W8735" t="str">
        <f t="shared" si="3563"/>
        <v>04-08-2020</v>
      </c>
      <c r="X8735" t="str">
        <f t="shared" si="3564"/>
        <v>RAZIMAH ANSAR AHMAD</v>
      </c>
      <c r="Y8735" t="str">
        <f t="shared" si="3565"/>
        <v>04-08-2020</v>
      </c>
      <c r="Z8735" t="str">
        <f>"COS10200804 89"</f>
        <v>COS10200804 89</v>
      </c>
    </row>
    <row r="8736" spans="1:26" x14ac:dyDescent="0.25">
      <c r="A8736" t="str">
        <f t="shared" si="3568"/>
        <v>04-08-2020 11:31:08</v>
      </c>
      <c r="B8736" t="str">
        <f>"0000801997"</f>
        <v>0000801997</v>
      </c>
      <c r="C8736" t="str">
        <f t="shared" si="3569"/>
        <v>0000801909</v>
      </c>
      <c r="D8736" t="str">
        <f t="shared" si="3555"/>
        <v>73185</v>
      </c>
      <c r="E8736" t="str">
        <f t="shared" si="3556"/>
        <v>KFH-OPERATIONS DEPARTMENT</v>
      </c>
      <c r="F8736" t="str">
        <f t="shared" si="3557"/>
        <v>IBG</v>
      </c>
      <c r="G8736" t="str">
        <f t="shared" si="3566"/>
        <v>Refund COSHARE 10</v>
      </c>
      <c r="H8736" s="2">
        <v>132.55000000000001</v>
      </c>
      <c r="I8736" t="str">
        <f>"SITI ROHANI BINTI TANAKAL"</f>
        <v>SITI ROHANI BINTI TANAKAL</v>
      </c>
      <c r="J8736" t="str">
        <f t="shared" si="3572"/>
        <v>ALLIANCE BANK / ALLIANCE ISLAMIC BANK</v>
      </c>
      <c r="K8736" t="str">
        <f>"600520020051380"</f>
        <v>600520020051380</v>
      </c>
      <c r="L8736" t="str">
        <f t="shared" si="3570"/>
        <v>04-08-2020</v>
      </c>
      <c r="M8736" t="str">
        <f t="shared" si="3570"/>
        <v>04-08-2020</v>
      </c>
      <c r="N8736" t="str">
        <f t="shared" si="3558"/>
        <v>001105018356</v>
      </c>
      <c r="O8736" t="str">
        <f t="shared" si="3559"/>
        <v>MYR</v>
      </c>
      <c r="P8736" t="str">
        <f t="shared" si="3571"/>
        <v>NIL</v>
      </c>
      <c r="Q8736" t="str">
        <f t="shared" si="3571"/>
        <v>NIL</v>
      </c>
      <c r="R8736" t="str">
        <f t="shared" si="3546"/>
        <v>Accepted</v>
      </c>
      <c r="S8736" t="str">
        <f t="shared" si="3560"/>
        <v>Approved</v>
      </c>
      <c r="T8736" t="str">
        <f t="shared" si="3547"/>
        <v>10.20.8.188</v>
      </c>
      <c r="U8736" t="str">
        <f t="shared" si="3561"/>
        <v>AZRAD UMAR BIN SHAARI</v>
      </c>
      <c r="V8736" t="str">
        <f t="shared" si="3562"/>
        <v>FARHANA BINTI MUSTAPA</v>
      </c>
      <c r="W8736" t="str">
        <f t="shared" si="3563"/>
        <v>04-08-2020</v>
      </c>
      <c r="X8736" t="str">
        <f t="shared" si="3564"/>
        <v>RAZIMAH ANSAR AHMAD</v>
      </c>
      <c r="Y8736" t="str">
        <f t="shared" si="3565"/>
        <v>04-08-2020</v>
      </c>
      <c r="Z8736" t="str">
        <f>"COS10200804 88"</f>
        <v>COS10200804 88</v>
      </c>
    </row>
    <row r="8737" spans="1:26" x14ac:dyDescent="0.25">
      <c r="A8737" t="str">
        <f t="shared" si="3568"/>
        <v>04-08-2020 11:31:08</v>
      </c>
      <c r="B8737" t="str">
        <f>"0000801996"</f>
        <v>0000801996</v>
      </c>
      <c r="C8737" t="str">
        <f t="shared" si="3569"/>
        <v>0000801909</v>
      </c>
      <c r="D8737" t="str">
        <f t="shared" si="3555"/>
        <v>73185</v>
      </c>
      <c r="E8737" t="str">
        <f t="shared" si="3556"/>
        <v>KFH-OPERATIONS DEPARTMENT</v>
      </c>
      <c r="F8737" t="str">
        <f t="shared" si="3557"/>
        <v>IBG</v>
      </c>
      <c r="G8737" t="str">
        <f t="shared" si="3566"/>
        <v>Refund COSHARE 10</v>
      </c>
      <c r="H8737" s="2">
        <v>1366</v>
      </c>
      <c r="I8737" t="str">
        <f>"SITI MARIAHANI BINTI HUSIN"</f>
        <v>SITI MARIAHANI BINTI HUSIN</v>
      </c>
      <c r="J8737" t="str">
        <f t="shared" si="3572"/>
        <v>ALLIANCE BANK / ALLIANCE ISLAMIC BANK</v>
      </c>
      <c r="K8737" t="str">
        <f>"600980020039580"</f>
        <v>600980020039580</v>
      </c>
      <c r="L8737" t="str">
        <f t="shared" si="3570"/>
        <v>04-08-2020</v>
      </c>
      <c r="M8737" t="str">
        <f t="shared" si="3570"/>
        <v>04-08-2020</v>
      </c>
      <c r="N8737" t="str">
        <f t="shared" si="3558"/>
        <v>001105018356</v>
      </c>
      <c r="O8737" t="str">
        <f t="shared" si="3559"/>
        <v>MYR</v>
      </c>
      <c r="P8737" t="str">
        <f t="shared" si="3571"/>
        <v>NIL</v>
      </c>
      <c r="Q8737" t="str">
        <f t="shared" si="3571"/>
        <v>NIL</v>
      </c>
      <c r="R8737" t="str">
        <f t="shared" si="3546"/>
        <v>Accepted</v>
      </c>
      <c r="S8737" t="str">
        <f t="shared" si="3560"/>
        <v>Approved</v>
      </c>
      <c r="T8737" t="str">
        <f t="shared" si="3547"/>
        <v>10.20.8.188</v>
      </c>
      <c r="U8737" t="str">
        <f t="shared" si="3561"/>
        <v>AZRAD UMAR BIN SHAARI</v>
      </c>
      <c r="V8737" t="str">
        <f t="shared" si="3562"/>
        <v>FARHANA BINTI MUSTAPA</v>
      </c>
      <c r="W8737" t="str">
        <f t="shared" si="3563"/>
        <v>04-08-2020</v>
      </c>
      <c r="X8737" t="str">
        <f t="shared" si="3564"/>
        <v>RAZIMAH ANSAR AHMAD</v>
      </c>
      <c r="Y8737" t="str">
        <f t="shared" si="3565"/>
        <v>04-08-2020</v>
      </c>
      <c r="Z8737" t="str">
        <f>"COS10200804 87"</f>
        <v>COS10200804 87</v>
      </c>
    </row>
    <row r="8738" spans="1:26" x14ac:dyDescent="0.25">
      <c r="A8738" t="str">
        <f t="shared" si="3568"/>
        <v>04-08-2020 11:31:08</v>
      </c>
      <c r="B8738" t="str">
        <f>"0000801995"</f>
        <v>0000801995</v>
      </c>
      <c r="C8738" t="str">
        <f t="shared" si="3569"/>
        <v>0000801909</v>
      </c>
      <c r="D8738" t="str">
        <f t="shared" si="3555"/>
        <v>73185</v>
      </c>
      <c r="E8738" t="str">
        <f t="shared" si="3556"/>
        <v>KFH-OPERATIONS DEPARTMENT</v>
      </c>
      <c r="F8738" t="str">
        <f t="shared" si="3557"/>
        <v>IBG</v>
      </c>
      <c r="G8738" t="str">
        <f t="shared" si="3566"/>
        <v>Refund COSHARE 10</v>
      </c>
      <c r="H8738" s="2">
        <v>167.9</v>
      </c>
      <c r="I8738" t="str">
        <f>"SHIRLY RAYNER  BIDU"</f>
        <v>SHIRLY RAYNER  BIDU</v>
      </c>
      <c r="J8738" t="str">
        <f t="shared" si="3572"/>
        <v>ALLIANCE BANK / ALLIANCE ISLAMIC BANK</v>
      </c>
      <c r="K8738" t="str">
        <f>"101230020174304"</f>
        <v>101230020174304</v>
      </c>
      <c r="L8738" t="str">
        <f t="shared" si="3570"/>
        <v>04-08-2020</v>
      </c>
      <c r="M8738" t="str">
        <f t="shared" si="3570"/>
        <v>04-08-2020</v>
      </c>
      <c r="N8738" t="str">
        <f t="shared" si="3558"/>
        <v>001105018356</v>
      </c>
      <c r="O8738" t="str">
        <f t="shared" si="3559"/>
        <v>MYR</v>
      </c>
      <c r="P8738" t="str">
        <f t="shared" si="3571"/>
        <v>NIL</v>
      </c>
      <c r="Q8738" t="str">
        <f t="shared" si="3571"/>
        <v>NIL</v>
      </c>
      <c r="R8738" t="str">
        <f t="shared" ref="R8738:R8801" si="3573">"Accepted"</f>
        <v>Accepted</v>
      </c>
      <c r="S8738" t="str">
        <f t="shared" si="3560"/>
        <v>Approved</v>
      </c>
      <c r="T8738" t="str">
        <f t="shared" ref="T8738:T8801" si="3574">"10.20.8.188"</f>
        <v>10.20.8.188</v>
      </c>
      <c r="U8738" t="str">
        <f t="shared" si="3561"/>
        <v>AZRAD UMAR BIN SHAARI</v>
      </c>
      <c r="V8738" t="str">
        <f t="shared" si="3562"/>
        <v>FARHANA BINTI MUSTAPA</v>
      </c>
      <c r="W8738" t="str">
        <f t="shared" si="3563"/>
        <v>04-08-2020</v>
      </c>
      <c r="X8738" t="str">
        <f t="shared" si="3564"/>
        <v>RAZIMAH ANSAR AHMAD</v>
      </c>
      <c r="Y8738" t="str">
        <f t="shared" si="3565"/>
        <v>04-08-2020</v>
      </c>
      <c r="Z8738" t="str">
        <f>"COS10200804 86"</f>
        <v>COS10200804 86</v>
      </c>
    </row>
    <row r="8739" spans="1:26" x14ac:dyDescent="0.25">
      <c r="A8739" t="str">
        <f t="shared" si="3568"/>
        <v>04-08-2020 11:31:08</v>
      </c>
      <c r="B8739" t="str">
        <f>"0000801994"</f>
        <v>0000801994</v>
      </c>
      <c r="C8739" t="str">
        <f t="shared" si="3569"/>
        <v>0000801909</v>
      </c>
      <c r="D8739" t="str">
        <f t="shared" si="3555"/>
        <v>73185</v>
      </c>
      <c r="E8739" t="str">
        <f t="shared" si="3556"/>
        <v>KFH-OPERATIONS DEPARTMENT</v>
      </c>
      <c r="F8739" t="str">
        <f t="shared" si="3557"/>
        <v>IBG</v>
      </c>
      <c r="G8739" t="str">
        <f t="shared" si="3566"/>
        <v>Refund COSHARE 10</v>
      </c>
      <c r="H8739" s="2">
        <v>167.9</v>
      </c>
      <c r="I8739" t="str">
        <f>"SAMRI BIN RUHININ  RAHININ"</f>
        <v>SAMRI BIN RUHININ  RAHININ</v>
      </c>
      <c r="J8739" t="str">
        <f t="shared" si="3572"/>
        <v>ALLIANCE BANK / ALLIANCE ISLAMIC BANK</v>
      </c>
      <c r="K8739" t="str">
        <f>"601730020035034"</f>
        <v>601730020035034</v>
      </c>
      <c r="L8739" t="str">
        <f t="shared" si="3570"/>
        <v>04-08-2020</v>
      </c>
      <c r="M8739" t="str">
        <f t="shared" si="3570"/>
        <v>04-08-2020</v>
      </c>
      <c r="N8739" t="str">
        <f t="shared" si="3558"/>
        <v>001105018356</v>
      </c>
      <c r="O8739" t="str">
        <f t="shared" si="3559"/>
        <v>MYR</v>
      </c>
      <c r="P8739" t="str">
        <f t="shared" si="3571"/>
        <v>NIL</v>
      </c>
      <c r="Q8739" t="str">
        <f t="shared" si="3571"/>
        <v>NIL</v>
      </c>
      <c r="R8739" t="str">
        <f t="shared" si="3573"/>
        <v>Accepted</v>
      </c>
      <c r="S8739" t="str">
        <f t="shared" si="3560"/>
        <v>Approved</v>
      </c>
      <c r="T8739" t="str">
        <f t="shared" si="3574"/>
        <v>10.20.8.188</v>
      </c>
      <c r="U8739" t="str">
        <f t="shared" si="3561"/>
        <v>AZRAD UMAR BIN SHAARI</v>
      </c>
      <c r="V8739" t="str">
        <f t="shared" si="3562"/>
        <v>FARHANA BINTI MUSTAPA</v>
      </c>
      <c r="W8739" t="str">
        <f t="shared" si="3563"/>
        <v>04-08-2020</v>
      </c>
      <c r="X8739" t="str">
        <f t="shared" si="3564"/>
        <v>RAZIMAH ANSAR AHMAD</v>
      </c>
      <c r="Y8739" t="str">
        <f t="shared" si="3565"/>
        <v>04-08-2020</v>
      </c>
      <c r="Z8739" t="str">
        <f>"COS10200804 85"</f>
        <v>COS10200804 85</v>
      </c>
    </row>
    <row r="8740" spans="1:26" x14ac:dyDescent="0.25">
      <c r="A8740" t="str">
        <f t="shared" si="3568"/>
        <v>04-08-2020 11:31:08</v>
      </c>
      <c r="B8740" t="str">
        <f>"0000801993"</f>
        <v>0000801993</v>
      </c>
      <c r="C8740" t="str">
        <f t="shared" si="3569"/>
        <v>0000801909</v>
      </c>
      <c r="D8740" t="str">
        <f t="shared" si="3555"/>
        <v>73185</v>
      </c>
      <c r="E8740" t="str">
        <f t="shared" si="3556"/>
        <v>KFH-OPERATIONS DEPARTMENT</v>
      </c>
      <c r="F8740" t="str">
        <f t="shared" si="3557"/>
        <v>IBG</v>
      </c>
      <c r="G8740" t="str">
        <f t="shared" si="3566"/>
        <v>Refund COSHARE 10</v>
      </c>
      <c r="H8740" s="2">
        <v>167.9</v>
      </c>
      <c r="I8740" t="str">
        <f>"SAJIZAN BINTI DUKAH"</f>
        <v>SAJIZAN BINTI DUKAH</v>
      </c>
      <c r="J8740" t="str">
        <f t="shared" si="3572"/>
        <v>ALLIANCE BANK / ALLIANCE ISLAMIC BANK</v>
      </c>
      <c r="K8740" t="str">
        <f>"601550020082992"</f>
        <v>601550020082992</v>
      </c>
      <c r="L8740" t="str">
        <f t="shared" si="3570"/>
        <v>04-08-2020</v>
      </c>
      <c r="M8740" t="str">
        <f t="shared" si="3570"/>
        <v>04-08-2020</v>
      </c>
      <c r="N8740" t="str">
        <f t="shared" si="3558"/>
        <v>001105018356</v>
      </c>
      <c r="O8740" t="str">
        <f t="shared" si="3559"/>
        <v>MYR</v>
      </c>
      <c r="P8740" t="str">
        <f t="shared" si="3571"/>
        <v>NIL</v>
      </c>
      <c r="Q8740" t="str">
        <f t="shared" si="3571"/>
        <v>NIL</v>
      </c>
      <c r="R8740" t="str">
        <f t="shared" si="3573"/>
        <v>Accepted</v>
      </c>
      <c r="S8740" t="str">
        <f t="shared" si="3560"/>
        <v>Approved</v>
      </c>
      <c r="T8740" t="str">
        <f t="shared" si="3574"/>
        <v>10.20.8.188</v>
      </c>
      <c r="U8740" t="str">
        <f t="shared" si="3561"/>
        <v>AZRAD UMAR BIN SHAARI</v>
      </c>
      <c r="V8740" t="str">
        <f t="shared" si="3562"/>
        <v>FARHANA BINTI MUSTAPA</v>
      </c>
      <c r="W8740" t="str">
        <f t="shared" si="3563"/>
        <v>04-08-2020</v>
      </c>
      <c r="X8740" t="str">
        <f t="shared" si="3564"/>
        <v>RAZIMAH ANSAR AHMAD</v>
      </c>
      <c r="Y8740" t="str">
        <f t="shared" si="3565"/>
        <v>04-08-2020</v>
      </c>
      <c r="Z8740" t="str">
        <f>"COS10200804 84"</f>
        <v>COS10200804 84</v>
      </c>
    </row>
    <row r="8741" spans="1:26" x14ac:dyDescent="0.25">
      <c r="A8741" t="str">
        <f t="shared" si="3568"/>
        <v>04-08-2020 11:31:08</v>
      </c>
      <c r="B8741" t="str">
        <f>"0000801992"</f>
        <v>0000801992</v>
      </c>
      <c r="C8741" t="str">
        <f t="shared" si="3569"/>
        <v>0000801909</v>
      </c>
      <c r="D8741" t="str">
        <f t="shared" si="3555"/>
        <v>73185</v>
      </c>
      <c r="E8741" t="str">
        <f t="shared" si="3556"/>
        <v>KFH-OPERATIONS DEPARTMENT</v>
      </c>
      <c r="F8741" t="str">
        <f t="shared" si="3557"/>
        <v>IBG</v>
      </c>
      <c r="G8741" t="str">
        <f t="shared" si="3566"/>
        <v>Refund COSHARE 10</v>
      </c>
      <c r="H8741" s="2">
        <v>810.7</v>
      </c>
      <c r="I8741" t="str">
        <f>"SAIRUN BIN EYAH"</f>
        <v>SAIRUN BIN EYAH</v>
      </c>
      <c r="J8741" t="str">
        <f t="shared" si="3572"/>
        <v>ALLIANCE BANK / ALLIANCE ISLAMIC BANK</v>
      </c>
      <c r="K8741" t="str">
        <f>"600890020053237"</f>
        <v>600890020053237</v>
      </c>
      <c r="L8741" t="str">
        <f t="shared" si="3570"/>
        <v>04-08-2020</v>
      </c>
      <c r="M8741" t="str">
        <f t="shared" si="3570"/>
        <v>04-08-2020</v>
      </c>
      <c r="N8741" t="str">
        <f t="shared" si="3558"/>
        <v>001105018356</v>
      </c>
      <c r="O8741" t="str">
        <f t="shared" si="3559"/>
        <v>MYR</v>
      </c>
      <c r="P8741" t="str">
        <f t="shared" si="3571"/>
        <v>NIL</v>
      </c>
      <c r="Q8741" t="str">
        <f t="shared" si="3571"/>
        <v>NIL</v>
      </c>
      <c r="R8741" t="str">
        <f t="shared" si="3573"/>
        <v>Accepted</v>
      </c>
      <c r="S8741" t="str">
        <f t="shared" si="3560"/>
        <v>Approved</v>
      </c>
      <c r="T8741" t="str">
        <f t="shared" si="3574"/>
        <v>10.20.8.188</v>
      </c>
      <c r="U8741" t="str">
        <f t="shared" si="3561"/>
        <v>AZRAD UMAR BIN SHAARI</v>
      </c>
      <c r="V8741" t="str">
        <f t="shared" si="3562"/>
        <v>FARHANA BINTI MUSTAPA</v>
      </c>
      <c r="W8741" t="str">
        <f t="shared" si="3563"/>
        <v>04-08-2020</v>
      </c>
      <c r="X8741" t="str">
        <f t="shared" si="3564"/>
        <v>RAZIMAH ANSAR AHMAD</v>
      </c>
      <c r="Y8741" t="str">
        <f t="shared" si="3565"/>
        <v>04-08-2020</v>
      </c>
      <c r="Z8741" t="str">
        <f>"COS10200804 83"</f>
        <v>COS10200804 83</v>
      </c>
    </row>
    <row r="8742" spans="1:26" x14ac:dyDescent="0.25">
      <c r="A8742" t="str">
        <f t="shared" si="3568"/>
        <v>04-08-2020 11:31:08</v>
      </c>
      <c r="B8742" t="str">
        <f>"0000801991"</f>
        <v>0000801991</v>
      </c>
      <c r="C8742" t="str">
        <f t="shared" si="3569"/>
        <v>0000801909</v>
      </c>
      <c r="D8742" t="str">
        <f t="shared" si="3555"/>
        <v>73185</v>
      </c>
      <c r="E8742" t="str">
        <f t="shared" si="3556"/>
        <v>KFH-OPERATIONS DEPARTMENT</v>
      </c>
      <c r="F8742" t="str">
        <f t="shared" si="3557"/>
        <v>IBG</v>
      </c>
      <c r="G8742" t="str">
        <f t="shared" si="3566"/>
        <v>Refund COSHARE 10</v>
      </c>
      <c r="H8742" s="2">
        <v>2085.0500000000002</v>
      </c>
      <c r="I8742" t="str">
        <f>"ROSLAND BIN HAMZAH"</f>
        <v>ROSLAND BIN HAMZAH</v>
      </c>
      <c r="J8742" t="str">
        <f t="shared" si="3572"/>
        <v>ALLIANCE BANK / ALLIANCE ISLAMIC BANK</v>
      </c>
      <c r="K8742" t="str">
        <f>"101410020074027"</f>
        <v>101410020074027</v>
      </c>
      <c r="L8742" t="str">
        <f t="shared" si="3570"/>
        <v>04-08-2020</v>
      </c>
      <c r="M8742" t="str">
        <f t="shared" si="3570"/>
        <v>04-08-2020</v>
      </c>
      <c r="N8742" t="str">
        <f t="shared" si="3558"/>
        <v>001105018356</v>
      </c>
      <c r="O8742" t="str">
        <f t="shared" si="3559"/>
        <v>MYR</v>
      </c>
      <c r="P8742" t="str">
        <f t="shared" si="3571"/>
        <v>NIL</v>
      </c>
      <c r="Q8742" t="str">
        <f t="shared" si="3571"/>
        <v>NIL</v>
      </c>
      <c r="R8742" t="str">
        <f t="shared" si="3573"/>
        <v>Accepted</v>
      </c>
      <c r="S8742" t="str">
        <f t="shared" si="3560"/>
        <v>Approved</v>
      </c>
      <c r="T8742" t="str">
        <f t="shared" si="3574"/>
        <v>10.20.8.188</v>
      </c>
      <c r="U8742" t="str">
        <f t="shared" si="3561"/>
        <v>AZRAD UMAR BIN SHAARI</v>
      </c>
      <c r="V8742" t="str">
        <f t="shared" si="3562"/>
        <v>FARHANA BINTI MUSTAPA</v>
      </c>
      <c r="W8742" t="str">
        <f t="shared" si="3563"/>
        <v>04-08-2020</v>
      </c>
      <c r="X8742" t="str">
        <f t="shared" si="3564"/>
        <v>RAZIMAH ANSAR AHMAD</v>
      </c>
      <c r="Y8742" t="str">
        <f t="shared" si="3565"/>
        <v>04-08-2020</v>
      </c>
      <c r="Z8742" t="str">
        <f>"COS10200804 82"</f>
        <v>COS10200804 82</v>
      </c>
    </row>
    <row r="8743" spans="1:26" x14ac:dyDescent="0.25">
      <c r="A8743" t="str">
        <f t="shared" si="3568"/>
        <v>04-08-2020 11:31:08</v>
      </c>
      <c r="B8743" t="str">
        <f>"0000801990"</f>
        <v>0000801990</v>
      </c>
      <c r="C8743" t="str">
        <f t="shared" si="3569"/>
        <v>0000801909</v>
      </c>
      <c r="D8743" t="str">
        <f t="shared" si="3555"/>
        <v>73185</v>
      </c>
      <c r="E8743" t="str">
        <f t="shared" si="3556"/>
        <v>KFH-OPERATIONS DEPARTMENT</v>
      </c>
      <c r="F8743" t="str">
        <f t="shared" si="3557"/>
        <v>IBG</v>
      </c>
      <c r="G8743" t="str">
        <f t="shared" si="3566"/>
        <v>Refund COSHARE 10</v>
      </c>
      <c r="H8743" s="2">
        <v>1091.3499999999999</v>
      </c>
      <c r="I8743" t="str">
        <f>"PAITSONPAIFSON BIN AYING"</f>
        <v>PAITSONPAIFSON BIN AYING</v>
      </c>
      <c r="J8743" t="str">
        <f t="shared" si="3572"/>
        <v>ALLIANCE BANK / ALLIANCE ISLAMIC BANK</v>
      </c>
      <c r="K8743" t="str">
        <f>"100840020063767"</f>
        <v>100840020063767</v>
      </c>
      <c r="L8743" t="str">
        <f t="shared" si="3570"/>
        <v>04-08-2020</v>
      </c>
      <c r="M8743" t="str">
        <f t="shared" si="3570"/>
        <v>04-08-2020</v>
      </c>
      <c r="N8743" t="str">
        <f t="shared" si="3558"/>
        <v>001105018356</v>
      </c>
      <c r="O8743" t="str">
        <f t="shared" si="3559"/>
        <v>MYR</v>
      </c>
      <c r="P8743" t="str">
        <f t="shared" si="3571"/>
        <v>NIL</v>
      </c>
      <c r="Q8743" t="str">
        <f t="shared" si="3571"/>
        <v>NIL</v>
      </c>
      <c r="R8743" t="str">
        <f t="shared" si="3573"/>
        <v>Accepted</v>
      </c>
      <c r="S8743" t="str">
        <f t="shared" si="3560"/>
        <v>Approved</v>
      </c>
      <c r="T8743" t="str">
        <f t="shared" si="3574"/>
        <v>10.20.8.188</v>
      </c>
      <c r="U8743" t="str">
        <f t="shared" si="3561"/>
        <v>AZRAD UMAR BIN SHAARI</v>
      </c>
      <c r="V8743" t="str">
        <f t="shared" si="3562"/>
        <v>FARHANA BINTI MUSTAPA</v>
      </c>
      <c r="W8743" t="str">
        <f t="shared" si="3563"/>
        <v>04-08-2020</v>
      </c>
      <c r="X8743" t="str">
        <f t="shared" si="3564"/>
        <v>RAZIMAH ANSAR AHMAD</v>
      </c>
      <c r="Y8743" t="str">
        <f t="shared" si="3565"/>
        <v>04-08-2020</v>
      </c>
      <c r="Z8743" t="str">
        <f>"COS10200804 81"</f>
        <v>COS10200804 81</v>
      </c>
    </row>
    <row r="8744" spans="1:26" x14ac:dyDescent="0.25">
      <c r="A8744" t="str">
        <f t="shared" si="3568"/>
        <v>04-08-2020 11:31:08</v>
      </c>
      <c r="B8744" t="str">
        <f>"0000801989"</f>
        <v>0000801989</v>
      </c>
      <c r="C8744" t="str">
        <f t="shared" si="3569"/>
        <v>0000801909</v>
      </c>
      <c r="D8744" t="str">
        <f t="shared" si="3555"/>
        <v>73185</v>
      </c>
      <c r="E8744" t="str">
        <f t="shared" si="3556"/>
        <v>KFH-OPERATIONS DEPARTMENT</v>
      </c>
      <c r="F8744" t="str">
        <f t="shared" si="3557"/>
        <v>IBG</v>
      </c>
      <c r="G8744" t="str">
        <f t="shared" si="3566"/>
        <v>Refund COSHARE 10</v>
      </c>
      <c r="H8744" s="2">
        <v>1082.95</v>
      </c>
      <c r="I8744" t="str">
        <f>"NORSHANINA BINTI MOHAMAD NOR"</f>
        <v>NORSHANINA BINTI MOHAMAD NOR</v>
      </c>
      <c r="J8744" t="str">
        <f t="shared" si="3572"/>
        <v>ALLIANCE BANK / ALLIANCE ISLAMIC BANK</v>
      </c>
      <c r="K8744" t="str">
        <f>"120150010100352"</f>
        <v>120150010100352</v>
      </c>
      <c r="L8744" t="str">
        <f t="shared" si="3570"/>
        <v>04-08-2020</v>
      </c>
      <c r="M8744" t="str">
        <f t="shared" si="3570"/>
        <v>04-08-2020</v>
      </c>
      <c r="N8744" t="str">
        <f t="shared" si="3558"/>
        <v>001105018356</v>
      </c>
      <c r="O8744" t="str">
        <f t="shared" si="3559"/>
        <v>MYR</v>
      </c>
      <c r="P8744" t="str">
        <f t="shared" si="3571"/>
        <v>NIL</v>
      </c>
      <c r="Q8744" t="str">
        <f t="shared" si="3571"/>
        <v>NIL</v>
      </c>
      <c r="R8744" t="str">
        <f t="shared" si="3573"/>
        <v>Accepted</v>
      </c>
      <c r="S8744" t="str">
        <f t="shared" si="3560"/>
        <v>Approved</v>
      </c>
      <c r="T8744" t="str">
        <f t="shared" si="3574"/>
        <v>10.20.8.188</v>
      </c>
      <c r="U8744" t="str">
        <f t="shared" si="3561"/>
        <v>AZRAD UMAR BIN SHAARI</v>
      </c>
      <c r="V8744" t="str">
        <f t="shared" si="3562"/>
        <v>FARHANA BINTI MUSTAPA</v>
      </c>
      <c r="W8744" t="str">
        <f t="shared" si="3563"/>
        <v>04-08-2020</v>
      </c>
      <c r="X8744" t="str">
        <f t="shared" si="3564"/>
        <v>RAZIMAH ANSAR AHMAD</v>
      </c>
      <c r="Y8744" t="str">
        <f t="shared" si="3565"/>
        <v>04-08-2020</v>
      </c>
      <c r="Z8744" t="str">
        <f>"COS10200804 80"</f>
        <v>COS10200804 80</v>
      </c>
    </row>
    <row r="8745" spans="1:26" x14ac:dyDescent="0.25">
      <c r="A8745" t="str">
        <f t="shared" si="3568"/>
        <v>04-08-2020 11:31:08</v>
      </c>
      <c r="B8745" t="str">
        <f>"0000801988"</f>
        <v>0000801988</v>
      </c>
      <c r="C8745" t="str">
        <f t="shared" si="3569"/>
        <v>0000801909</v>
      </c>
      <c r="D8745" t="str">
        <f t="shared" si="3555"/>
        <v>73185</v>
      </c>
      <c r="E8745" t="str">
        <f t="shared" si="3556"/>
        <v>KFH-OPERATIONS DEPARTMENT</v>
      </c>
      <c r="F8745" t="str">
        <f t="shared" si="3557"/>
        <v>IBG</v>
      </c>
      <c r="G8745" t="str">
        <f t="shared" si="3566"/>
        <v>Refund COSHARE 10</v>
      </c>
      <c r="H8745" s="2">
        <v>182</v>
      </c>
      <c r="I8745" t="str">
        <f>"NOEMI JUSTIN"</f>
        <v>NOEMI JUSTIN</v>
      </c>
      <c r="J8745" t="str">
        <f t="shared" si="3572"/>
        <v>ALLIANCE BANK / ALLIANCE ISLAMIC BANK</v>
      </c>
      <c r="K8745" t="str">
        <f>"101960020262579"</f>
        <v>101960020262579</v>
      </c>
      <c r="L8745" t="str">
        <f t="shared" si="3570"/>
        <v>04-08-2020</v>
      </c>
      <c r="M8745" t="str">
        <f t="shared" si="3570"/>
        <v>04-08-2020</v>
      </c>
      <c r="N8745" t="str">
        <f t="shared" si="3558"/>
        <v>001105018356</v>
      </c>
      <c r="O8745" t="str">
        <f t="shared" si="3559"/>
        <v>MYR</v>
      </c>
      <c r="P8745" t="str">
        <f t="shared" si="3571"/>
        <v>NIL</v>
      </c>
      <c r="Q8745" t="str">
        <f t="shared" si="3571"/>
        <v>NIL</v>
      </c>
      <c r="R8745" t="str">
        <f t="shared" si="3573"/>
        <v>Accepted</v>
      </c>
      <c r="S8745" t="str">
        <f t="shared" si="3560"/>
        <v>Approved</v>
      </c>
      <c r="T8745" t="str">
        <f t="shared" si="3574"/>
        <v>10.20.8.188</v>
      </c>
      <c r="U8745" t="str">
        <f t="shared" si="3561"/>
        <v>AZRAD UMAR BIN SHAARI</v>
      </c>
      <c r="V8745" t="str">
        <f t="shared" si="3562"/>
        <v>FARHANA BINTI MUSTAPA</v>
      </c>
      <c r="W8745" t="str">
        <f t="shared" si="3563"/>
        <v>04-08-2020</v>
      </c>
      <c r="X8745" t="str">
        <f t="shared" si="3564"/>
        <v>RAZIMAH ANSAR AHMAD</v>
      </c>
      <c r="Y8745" t="str">
        <f t="shared" si="3565"/>
        <v>04-08-2020</v>
      </c>
      <c r="Z8745" t="str">
        <f>"COS10200804 79"</f>
        <v>COS10200804 79</v>
      </c>
    </row>
    <row r="8746" spans="1:26" x14ac:dyDescent="0.25">
      <c r="A8746" t="str">
        <f t="shared" si="3568"/>
        <v>04-08-2020 11:31:08</v>
      </c>
      <c r="B8746" t="str">
        <f>"0000801987"</f>
        <v>0000801987</v>
      </c>
      <c r="C8746" t="str">
        <f t="shared" si="3569"/>
        <v>0000801909</v>
      </c>
      <c r="D8746" t="str">
        <f t="shared" si="3555"/>
        <v>73185</v>
      </c>
      <c r="E8746" t="str">
        <f t="shared" si="3556"/>
        <v>KFH-OPERATIONS DEPARTMENT</v>
      </c>
      <c r="F8746" t="str">
        <f t="shared" si="3557"/>
        <v>IBG</v>
      </c>
      <c r="G8746" t="str">
        <f t="shared" si="3566"/>
        <v>Refund COSHARE 10</v>
      </c>
      <c r="H8746" s="2">
        <v>516</v>
      </c>
      <c r="I8746" t="str">
        <f>"NANIAH BINTI MALAGIN"</f>
        <v>NANIAH BINTI MALAGIN</v>
      </c>
      <c r="J8746" t="str">
        <f t="shared" si="3572"/>
        <v>ALLIANCE BANK / ALLIANCE ISLAMIC BANK</v>
      </c>
      <c r="K8746" t="str">
        <f>"600890020054602"</f>
        <v>600890020054602</v>
      </c>
      <c r="L8746" t="str">
        <f t="shared" si="3570"/>
        <v>04-08-2020</v>
      </c>
      <c r="M8746" t="str">
        <f t="shared" si="3570"/>
        <v>04-08-2020</v>
      </c>
      <c r="N8746" t="str">
        <f t="shared" si="3558"/>
        <v>001105018356</v>
      </c>
      <c r="O8746" t="str">
        <f t="shared" si="3559"/>
        <v>MYR</v>
      </c>
      <c r="P8746" t="str">
        <f t="shared" si="3571"/>
        <v>NIL</v>
      </c>
      <c r="Q8746" t="str">
        <f t="shared" si="3571"/>
        <v>NIL</v>
      </c>
      <c r="R8746" t="str">
        <f t="shared" si="3573"/>
        <v>Accepted</v>
      </c>
      <c r="S8746" t="str">
        <f t="shared" si="3560"/>
        <v>Approved</v>
      </c>
      <c r="T8746" t="str">
        <f t="shared" si="3574"/>
        <v>10.20.8.188</v>
      </c>
      <c r="U8746" t="str">
        <f t="shared" si="3561"/>
        <v>AZRAD UMAR BIN SHAARI</v>
      </c>
      <c r="V8746" t="str">
        <f t="shared" si="3562"/>
        <v>FARHANA BINTI MUSTAPA</v>
      </c>
      <c r="W8746" t="str">
        <f t="shared" si="3563"/>
        <v>04-08-2020</v>
      </c>
      <c r="X8746" t="str">
        <f t="shared" si="3564"/>
        <v>RAZIMAH ANSAR AHMAD</v>
      </c>
      <c r="Y8746" t="str">
        <f t="shared" si="3565"/>
        <v>04-08-2020</v>
      </c>
      <c r="Z8746" t="str">
        <f>"COS10200804 78"</f>
        <v>COS10200804 78</v>
      </c>
    </row>
    <row r="8747" spans="1:26" x14ac:dyDescent="0.25">
      <c r="A8747" t="str">
        <f t="shared" si="3568"/>
        <v>04-08-2020 11:31:08</v>
      </c>
      <c r="B8747" t="str">
        <f>"0000801986"</f>
        <v>0000801986</v>
      </c>
      <c r="C8747" t="str">
        <f t="shared" si="3569"/>
        <v>0000801909</v>
      </c>
      <c r="D8747" t="str">
        <f t="shared" si="3555"/>
        <v>73185</v>
      </c>
      <c r="E8747" t="str">
        <f t="shared" si="3556"/>
        <v>KFH-OPERATIONS DEPARTMENT</v>
      </c>
      <c r="F8747" t="str">
        <f t="shared" si="3557"/>
        <v>IBG</v>
      </c>
      <c r="G8747" t="str">
        <f t="shared" si="3566"/>
        <v>Refund COSHARE 10</v>
      </c>
      <c r="H8747" s="2">
        <v>1679</v>
      </c>
      <c r="I8747" t="str">
        <f>"MOHD SHAMRI BIN MOHD HASHIM"</f>
        <v>MOHD SHAMRI BIN MOHD HASHIM</v>
      </c>
      <c r="J8747" t="str">
        <f t="shared" si="3572"/>
        <v>ALLIANCE BANK / ALLIANCE ISLAMIC BANK</v>
      </c>
      <c r="K8747" t="str">
        <f>"600250010014043"</f>
        <v>600250010014043</v>
      </c>
      <c r="L8747" t="str">
        <f t="shared" ref="L8747:M8766" si="3575">"04-08-2020"</f>
        <v>04-08-2020</v>
      </c>
      <c r="M8747" t="str">
        <f t="shared" si="3575"/>
        <v>04-08-2020</v>
      </c>
      <c r="N8747" t="str">
        <f t="shared" si="3558"/>
        <v>001105018356</v>
      </c>
      <c r="O8747" t="str">
        <f t="shared" si="3559"/>
        <v>MYR</v>
      </c>
      <c r="P8747" t="str">
        <f t="shared" ref="P8747:Q8766" si="3576">"NIL"</f>
        <v>NIL</v>
      </c>
      <c r="Q8747" t="str">
        <f t="shared" si="3576"/>
        <v>NIL</v>
      </c>
      <c r="R8747" t="str">
        <f t="shared" si="3573"/>
        <v>Accepted</v>
      </c>
      <c r="S8747" t="str">
        <f t="shared" si="3560"/>
        <v>Approved</v>
      </c>
      <c r="T8747" t="str">
        <f t="shared" si="3574"/>
        <v>10.20.8.188</v>
      </c>
      <c r="U8747" t="str">
        <f t="shared" si="3561"/>
        <v>AZRAD UMAR BIN SHAARI</v>
      </c>
      <c r="V8747" t="str">
        <f t="shared" si="3562"/>
        <v>FARHANA BINTI MUSTAPA</v>
      </c>
      <c r="W8747" t="str">
        <f t="shared" si="3563"/>
        <v>04-08-2020</v>
      </c>
      <c r="X8747" t="str">
        <f t="shared" si="3564"/>
        <v>RAZIMAH ANSAR AHMAD</v>
      </c>
      <c r="Y8747" t="str">
        <f t="shared" si="3565"/>
        <v>04-08-2020</v>
      </c>
      <c r="Z8747" t="str">
        <f>"COS10200804 77"</f>
        <v>COS10200804 77</v>
      </c>
    </row>
    <row r="8748" spans="1:26" x14ac:dyDescent="0.25">
      <c r="A8748" t="str">
        <f t="shared" si="3568"/>
        <v>04-08-2020 11:31:08</v>
      </c>
      <c r="B8748" t="str">
        <f>"0000801985"</f>
        <v>0000801985</v>
      </c>
      <c r="C8748" t="str">
        <f t="shared" si="3569"/>
        <v>0000801909</v>
      </c>
      <c r="D8748" t="str">
        <f t="shared" si="3555"/>
        <v>73185</v>
      </c>
      <c r="E8748" t="str">
        <f t="shared" si="3556"/>
        <v>KFH-OPERATIONS DEPARTMENT</v>
      </c>
      <c r="F8748" t="str">
        <f t="shared" si="3557"/>
        <v>IBG</v>
      </c>
      <c r="G8748" t="str">
        <f t="shared" si="3566"/>
        <v>Refund COSHARE 10</v>
      </c>
      <c r="H8748" s="2">
        <v>419.75</v>
      </c>
      <c r="I8748" t="str">
        <f>"MOHD KHAFIZUL BIN WAGIMAN"</f>
        <v>MOHD KHAFIZUL BIN WAGIMAN</v>
      </c>
      <c r="J8748" t="str">
        <f t="shared" si="3572"/>
        <v>ALLIANCE BANK / ALLIANCE ISLAMIC BANK</v>
      </c>
      <c r="K8748" t="str">
        <f>"621950020029997"</f>
        <v>621950020029997</v>
      </c>
      <c r="L8748" t="str">
        <f t="shared" si="3575"/>
        <v>04-08-2020</v>
      </c>
      <c r="M8748" t="str">
        <f t="shared" si="3575"/>
        <v>04-08-2020</v>
      </c>
      <c r="N8748" t="str">
        <f t="shared" si="3558"/>
        <v>001105018356</v>
      </c>
      <c r="O8748" t="str">
        <f t="shared" si="3559"/>
        <v>MYR</v>
      </c>
      <c r="P8748" t="str">
        <f t="shared" si="3576"/>
        <v>NIL</v>
      </c>
      <c r="Q8748" t="str">
        <f t="shared" si="3576"/>
        <v>NIL</v>
      </c>
      <c r="R8748" t="str">
        <f t="shared" si="3573"/>
        <v>Accepted</v>
      </c>
      <c r="S8748" t="str">
        <f t="shared" si="3560"/>
        <v>Approved</v>
      </c>
      <c r="T8748" t="str">
        <f t="shared" si="3574"/>
        <v>10.20.8.188</v>
      </c>
      <c r="U8748" t="str">
        <f t="shared" si="3561"/>
        <v>AZRAD UMAR BIN SHAARI</v>
      </c>
      <c r="V8748" t="str">
        <f t="shared" si="3562"/>
        <v>FARHANA BINTI MUSTAPA</v>
      </c>
      <c r="W8748" t="str">
        <f t="shared" si="3563"/>
        <v>04-08-2020</v>
      </c>
      <c r="X8748" t="str">
        <f t="shared" si="3564"/>
        <v>RAZIMAH ANSAR AHMAD</v>
      </c>
      <c r="Y8748" t="str">
        <f t="shared" si="3565"/>
        <v>04-08-2020</v>
      </c>
      <c r="Z8748" t="str">
        <f>"COS10200804 76"</f>
        <v>COS10200804 76</v>
      </c>
    </row>
    <row r="8749" spans="1:26" x14ac:dyDescent="0.25">
      <c r="A8749" t="str">
        <f t="shared" si="3568"/>
        <v>04-08-2020 11:31:08</v>
      </c>
      <c r="B8749" t="str">
        <f>"0000801984"</f>
        <v>0000801984</v>
      </c>
      <c r="C8749" t="str">
        <f t="shared" si="3569"/>
        <v>0000801909</v>
      </c>
      <c r="D8749" t="str">
        <f t="shared" si="3555"/>
        <v>73185</v>
      </c>
      <c r="E8749" t="str">
        <f t="shared" si="3556"/>
        <v>KFH-OPERATIONS DEPARTMENT</v>
      </c>
      <c r="F8749" t="str">
        <f t="shared" si="3557"/>
        <v>IBG</v>
      </c>
      <c r="G8749" t="str">
        <f t="shared" si="3566"/>
        <v>Refund COSHARE 10</v>
      </c>
      <c r="H8749" s="2">
        <v>198.8</v>
      </c>
      <c r="I8749" t="str">
        <f>"MAXIMILIAN PHILLIP J"</f>
        <v>MAXIMILIAN PHILLIP J</v>
      </c>
      <c r="J8749" t="str">
        <f t="shared" si="3572"/>
        <v>ALLIANCE BANK / ALLIANCE ISLAMIC BANK</v>
      </c>
      <c r="K8749" t="str">
        <f>"601910020079527"</f>
        <v>601910020079527</v>
      </c>
      <c r="L8749" t="str">
        <f t="shared" si="3575"/>
        <v>04-08-2020</v>
      </c>
      <c r="M8749" t="str">
        <f t="shared" si="3575"/>
        <v>04-08-2020</v>
      </c>
      <c r="N8749" t="str">
        <f t="shared" si="3558"/>
        <v>001105018356</v>
      </c>
      <c r="O8749" t="str">
        <f t="shared" si="3559"/>
        <v>MYR</v>
      </c>
      <c r="P8749" t="str">
        <f t="shared" si="3576"/>
        <v>NIL</v>
      </c>
      <c r="Q8749" t="str">
        <f t="shared" si="3576"/>
        <v>NIL</v>
      </c>
      <c r="R8749" t="str">
        <f t="shared" si="3573"/>
        <v>Accepted</v>
      </c>
      <c r="S8749" t="str">
        <f t="shared" si="3560"/>
        <v>Approved</v>
      </c>
      <c r="T8749" t="str">
        <f t="shared" si="3574"/>
        <v>10.20.8.188</v>
      </c>
      <c r="U8749" t="str">
        <f t="shared" si="3561"/>
        <v>AZRAD UMAR BIN SHAARI</v>
      </c>
      <c r="V8749" t="str">
        <f t="shared" si="3562"/>
        <v>FARHANA BINTI MUSTAPA</v>
      </c>
      <c r="W8749" t="str">
        <f t="shared" si="3563"/>
        <v>04-08-2020</v>
      </c>
      <c r="X8749" t="str">
        <f t="shared" si="3564"/>
        <v>RAZIMAH ANSAR AHMAD</v>
      </c>
      <c r="Y8749" t="str">
        <f t="shared" si="3565"/>
        <v>04-08-2020</v>
      </c>
      <c r="Z8749" t="str">
        <f>"COS10200804 75"</f>
        <v>COS10200804 75</v>
      </c>
    </row>
    <row r="8750" spans="1:26" x14ac:dyDescent="0.25">
      <c r="A8750" t="str">
        <f t="shared" si="3568"/>
        <v>04-08-2020 11:31:08</v>
      </c>
      <c r="B8750" t="str">
        <f>"0000801983"</f>
        <v>0000801983</v>
      </c>
      <c r="C8750" t="str">
        <f t="shared" si="3569"/>
        <v>0000801909</v>
      </c>
      <c r="D8750" t="str">
        <f t="shared" si="3555"/>
        <v>73185</v>
      </c>
      <c r="E8750" t="str">
        <f t="shared" si="3556"/>
        <v>KFH-OPERATIONS DEPARTMENT</v>
      </c>
      <c r="F8750" t="str">
        <f t="shared" si="3557"/>
        <v>IBG</v>
      </c>
      <c r="G8750" t="str">
        <f t="shared" si="3566"/>
        <v>Refund COSHARE 10</v>
      </c>
      <c r="H8750" s="2">
        <v>671.6</v>
      </c>
      <c r="I8750" t="str">
        <f>"MASNI BINTI ABDUL JALIL"</f>
        <v>MASNI BINTI ABDUL JALIL</v>
      </c>
      <c r="J8750" t="str">
        <f t="shared" si="3572"/>
        <v>ALLIANCE BANK / ALLIANCE ISLAMIC BANK</v>
      </c>
      <c r="K8750" t="str">
        <f>"600520020041533"</f>
        <v>600520020041533</v>
      </c>
      <c r="L8750" t="str">
        <f t="shared" si="3575"/>
        <v>04-08-2020</v>
      </c>
      <c r="M8750" t="str">
        <f t="shared" si="3575"/>
        <v>04-08-2020</v>
      </c>
      <c r="N8750" t="str">
        <f t="shared" si="3558"/>
        <v>001105018356</v>
      </c>
      <c r="O8750" t="str">
        <f t="shared" si="3559"/>
        <v>MYR</v>
      </c>
      <c r="P8750" t="str">
        <f t="shared" si="3576"/>
        <v>NIL</v>
      </c>
      <c r="Q8750" t="str">
        <f t="shared" si="3576"/>
        <v>NIL</v>
      </c>
      <c r="R8750" t="str">
        <f t="shared" si="3573"/>
        <v>Accepted</v>
      </c>
      <c r="S8750" t="str">
        <f t="shared" si="3560"/>
        <v>Approved</v>
      </c>
      <c r="T8750" t="str">
        <f t="shared" si="3574"/>
        <v>10.20.8.188</v>
      </c>
      <c r="U8750" t="str">
        <f t="shared" si="3561"/>
        <v>AZRAD UMAR BIN SHAARI</v>
      </c>
      <c r="V8750" t="str">
        <f t="shared" si="3562"/>
        <v>FARHANA BINTI MUSTAPA</v>
      </c>
      <c r="W8750" t="str">
        <f t="shared" si="3563"/>
        <v>04-08-2020</v>
      </c>
      <c r="X8750" t="str">
        <f t="shared" si="3564"/>
        <v>RAZIMAH ANSAR AHMAD</v>
      </c>
      <c r="Y8750" t="str">
        <f t="shared" si="3565"/>
        <v>04-08-2020</v>
      </c>
      <c r="Z8750" t="str">
        <f>"COS10200804 74"</f>
        <v>COS10200804 74</v>
      </c>
    </row>
    <row r="8751" spans="1:26" x14ac:dyDescent="0.25">
      <c r="A8751" t="str">
        <f t="shared" si="3568"/>
        <v>04-08-2020 11:31:08</v>
      </c>
      <c r="B8751" t="str">
        <f>"0000801982"</f>
        <v>0000801982</v>
      </c>
      <c r="C8751" t="str">
        <f t="shared" si="3569"/>
        <v>0000801909</v>
      </c>
      <c r="D8751" t="str">
        <f t="shared" si="3555"/>
        <v>73185</v>
      </c>
      <c r="E8751" t="str">
        <f t="shared" si="3556"/>
        <v>KFH-OPERATIONS DEPARTMENT</v>
      </c>
      <c r="F8751" t="str">
        <f t="shared" si="3557"/>
        <v>IBG</v>
      </c>
      <c r="G8751" t="str">
        <f t="shared" si="3566"/>
        <v>Refund COSHARE 10</v>
      </c>
      <c r="H8751" s="2">
        <v>342</v>
      </c>
      <c r="I8751" t="str">
        <f>"MARZUWATI BINTI MD HASHIM"</f>
        <v>MARZUWATI BINTI MD HASHIM</v>
      </c>
      <c r="J8751" t="str">
        <f t="shared" si="3572"/>
        <v>ALLIANCE BANK / ALLIANCE ISLAMIC BANK</v>
      </c>
      <c r="K8751" t="str">
        <f>"520390020044261"</f>
        <v>520390020044261</v>
      </c>
      <c r="L8751" t="str">
        <f t="shared" si="3575"/>
        <v>04-08-2020</v>
      </c>
      <c r="M8751" t="str">
        <f t="shared" si="3575"/>
        <v>04-08-2020</v>
      </c>
      <c r="N8751" t="str">
        <f t="shared" si="3558"/>
        <v>001105018356</v>
      </c>
      <c r="O8751" t="str">
        <f t="shared" si="3559"/>
        <v>MYR</v>
      </c>
      <c r="P8751" t="str">
        <f t="shared" si="3576"/>
        <v>NIL</v>
      </c>
      <c r="Q8751" t="str">
        <f t="shared" si="3576"/>
        <v>NIL</v>
      </c>
      <c r="R8751" t="str">
        <f t="shared" si="3573"/>
        <v>Accepted</v>
      </c>
      <c r="S8751" t="str">
        <f t="shared" si="3560"/>
        <v>Approved</v>
      </c>
      <c r="T8751" t="str">
        <f t="shared" si="3574"/>
        <v>10.20.8.188</v>
      </c>
      <c r="U8751" t="str">
        <f t="shared" si="3561"/>
        <v>AZRAD UMAR BIN SHAARI</v>
      </c>
      <c r="V8751" t="str">
        <f t="shared" si="3562"/>
        <v>FARHANA BINTI MUSTAPA</v>
      </c>
      <c r="W8751" t="str">
        <f t="shared" si="3563"/>
        <v>04-08-2020</v>
      </c>
      <c r="X8751" t="str">
        <f t="shared" si="3564"/>
        <v>RAZIMAH ANSAR AHMAD</v>
      </c>
      <c r="Y8751" t="str">
        <f t="shared" si="3565"/>
        <v>04-08-2020</v>
      </c>
      <c r="Z8751" t="str">
        <f>"COS10200804 73"</f>
        <v>COS10200804 73</v>
      </c>
    </row>
    <row r="8752" spans="1:26" x14ac:dyDescent="0.25">
      <c r="A8752" t="str">
        <f t="shared" ref="A8752:A8783" si="3577">"04-08-2020 11:31:08"</f>
        <v>04-08-2020 11:31:08</v>
      </c>
      <c r="B8752" t="str">
        <f>"0000801981"</f>
        <v>0000801981</v>
      </c>
      <c r="C8752" t="str">
        <f t="shared" ref="C8752:C8783" si="3578">"0000801909"</f>
        <v>0000801909</v>
      </c>
      <c r="D8752" t="str">
        <f t="shared" si="3555"/>
        <v>73185</v>
      </c>
      <c r="E8752" t="str">
        <f t="shared" si="3556"/>
        <v>KFH-OPERATIONS DEPARTMENT</v>
      </c>
      <c r="F8752" t="str">
        <f t="shared" si="3557"/>
        <v>IBG</v>
      </c>
      <c r="G8752" t="str">
        <f t="shared" si="3566"/>
        <v>Refund COSHARE 10</v>
      </c>
      <c r="H8752" s="2">
        <v>532</v>
      </c>
      <c r="I8752" t="str">
        <f>"MARTINA MUNAI ANAK ANDREW ANDING"</f>
        <v>MARTINA MUNAI ANAK ANDREW ANDING</v>
      </c>
      <c r="J8752" t="str">
        <f t="shared" si="3572"/>
        <v>ALLIANCE BANK / ALLIANCE ISLAMIC BANK</v>
      </c>
      <c r="K8752" t="str">
        <f>"110360020068152"</f>
        <v>110360020068152</v>
      </c>
      <c r="L8752" t="str">
        <f t="shared" si="3575"/>
        <v>04-08-2020</v>
      </c>
      <c r="M8752" t="str">
        <f t="shared" si="3575"/>
        <v>04-08-2020</v>
      </c>
      <c r="N8752" t="str">
        <f t="shared" si="3558"/>
        <v>001105018356</v>
      </c>
      <c r="O8752" t="str">
        <f t="shared" si="3559"/>
        <v>MYR</v>
      </c>
      <c r="P8752" t="str">
        <f t="shared" si="3576"/>
        <v>NIL</v>
      </c>
      <c r="Q8752" t="str">
        <f t="shared" si="3576"/>
        <v>NIL</v>
      </c>
      <c r="R8752" t="str">
        <f t="shared" si="3573"/>
        <v>Accepted</v>
      </c>
      <c r="S8752" t="str">
        <f t="shared" si="3560"/>
        <v>Approved</v>
      </c>
      <c r="T8752" t="str">
        <f t="shared" si="3574"/>
        <v>10.20.8.188</v>
      </c>
      <c r="U8752" t="str">
        <f t="shared" si="3561"/>
        <v>AZRAD UMAR BIN SHAARI</v>
      </c>
      <c r="V8752" t="str">
        <f t="shared" si="3562"/>
        <v>FARHANA BINTI MUSTAPA</v>
      </c>
      <c r="W8752" t="str">
        <f t="shared" si="3563"/>
        <v>04-08-2020</v>
      </c>
      <c r="X8752" t="str">
        <f t="shared" si="3564"/>
        <v>RAZIMAH ANSAR AHMAD</v>
      </c>
      <c r="Y8752" t="str">
        <f t="shared" si="3565"/>
        <v>04-08-2020</v>
      </c>
      <c r="Z8752" t="str">
        <f>"COS10200804 72"</f>
        <v>COS10200804 72</v>
      </c>
    </row>
    <row r="8753" spans="1:26" x14ac:dyDescent="0.25">
      <c r="A8753" t="str">
        <f t="shared" si="3577"/>
        <v>04-08-2020 11:31:08</v>
      </c>
      <c r="B8753" t="str">
        <f>"0000801980"</f>
        <v>0000801980</v>
      </c>
      <c r="C8753" t="str">
        <f t="shared" si="3578"/>
        <v>0000801909</v>
      </c>
      <c r="D8753" t="str">
        <f t="shared" si="3555"/>
        <v>73185</v>
      </c>
      <c r="E8753" t="str">
        <f t="shared" si="3556"/>
        <v>KFH-OPERATIONS DEPARTMENT</v>
      </c>
      <c r="F8753" t="str">
        <f t="shared" si="3557"/>
        <v>IBG</v>
      </c>
      <c r="G8753" t="str">
        <f t="shared" si="3566"/>
        <v>Refund COSHARE 10</v>
      </c>
      <c r="H8753" s="2">
        <v>801.65</v>
      </c>
      <c r="I8753" t="str">
        <f>"MARTINA MUNAI ANAK ANDREW ANDING"</f>
        <v>MARTINA MUNAI ANAK ANDREW ANDING</v>
      </c>
      <c r="J8753" t="str">
        <f t="shared" si="3572"/>
        <v>ALLIANCE BANK / ALLIANCE ISLAMIC BANK</v>
      </c>
      <c r="K8753" t="str">
        <f>"110360020068152"</f>
        <v>110360020068152</v>
      </c>
      <c r="L8753" t="str">
        <f t="shared" si="3575"/>
        <v>04-08-2020</v>
      </c>
      <c r="M8753" t="str">
        <f t="shared" si="3575"/>
        <v>04-08-2020</v>
      </c>
      <c r="N8753" t="str">
        <f t="shared" si="3558"/>
        <v>001105018356</v>
      </c>
      <c r="O8753" t="str">
        <f t="shared" si="3559"/>
        <v>MYR</v>
      </c>
      <c r="P8753" t="str">
        <f t="shared" si="3576"/>
        <v>NIL</v>
      </c>
      <c r="Q8753" t="str">
        <f t="shared" si="3576"/>
        <v>NIL</v>
      </c>
      <c r="R8753" t="str">
        <f t="shared" si="3573"/>
        <v>Accepted</v>
      </c>
      <c r="S8753" t="str">
        <f t="shared" si="3560"/>
        <v>Approved</v>
      </c>
      <c r="T8753" t="str">
        <f t="shared" si="3574"/>
        <v>10.20.8.188</v>
      </c>
      <c r="U8753" t="str">
        <f t="shared" si="3561"/>
        <v>AZRAD UMAR BIN SHAARI</v>
      </c>
      <c r="V8753" t="str">
        <f t="shared" si="3562"/>
        <v>FARHANA BINTI MUSTAPA</v>
      </c>
      <c r="W8753" t="str">
        <f t="shared" si="3563"/>
        <v>04-08-2020</v>
      </c>
      <c r="X8753" t="str">
        <f t="shared" si="3564"/>
        <v>RAZIMAH ANSAR AHMAD</v>
      </c>
      <c r="Y8753" t="str">
        <f t="shared" si="3565"/>
        <v>04-08-2020</v>
      </c>
      <c r="Z8753" t="str">
        <f>"COS10200804 71"</f>
        <v>COS10200804 71</v>
      </c>
    </row>
    <row r="8754" spans="1:26" x14ac:dyDescent="0.25">
      <c r="A8754" t="str">
        <f t="shared" si="3577"/>
        <v>04-08-2020 11:31:08</v>
      </c>
      <c r="B8754" t="str">
        <f>"0000801979"</f>
        <v>0000801979</v>
      </c>
      <c r="C8754" t="str">
        <f t="shared" si="3578"/>
        <v>0000801909</v>
      </c>
      <c r="D8754" t="str">
        <f t="shared" si="3555"/>
        <v>73185</v>
      </c>
      <c r="E8754" t="str">
        <f t="shared" si="3556"/>
        <v>KFH-OPERATIONS DEPARTMENT</v>
      </c>
      <c r="F8754" t="str">
        <f t="shared" si="3557"/>
        <v>IBG</v>
      </c>
      <c r="G8754" t="str">
        <f t="shared" si="3566"/>
        <v>Refund COSHARE 10</v>
      </c>
      <c r="H8754" s="2">
        <v>198.3</v>
      </c>
      <c r="I8754" t="str">
        <f>"MARIAM BINTI AHMAD"</f>
        <v>MARIAM BINTI AHMAD</v>
      </c>
      <c r="J8754" t="str">
        <f t="shared" si="3572"/>
        <v>ALLIANCE BANK / ALLIANCE ISLAMIC BANK</v>
      </c>
      <c r="K8754" t="str">
        <f>"101410020044873"</f>
        <v>101410020044873</v>
      </c>
      <c r="L8754" t="str">
        <f t="shared" si="3575"/>
        <v>04-08-2020</v>
      </c>
      <c r="M8754" t="str">
        <f t="shared" si="3575"/>
        <v>04-08-2020</v>
      </c>
      <c r="N8754" t="str">
        <f t="shared" si="3558"/>
        <v>001105018356</v>
      </c>
      <c r="O8754" t="str">
        <f t="shared" si="3559"/>
        <v>MYR</v>
      </c>
      <c r="P8754" t="str">
        <f t="shared" si="3576"/>
        <v>NIL</v>
      </c>
      <c r="Q8754" t="str">
        <f t="shared" si="3576"/>
        <v>NIL</v>
      </c>
      <c r="R8754" t="str">
        <f t="shared" si="3573"/>
        <v>Accepted</v>
      </c>
      <c r="S8754" t="str">
        <f t="shared" si="3560"/>
        <v>Approved</v>
      </c>
      <c r="T8754" t="str">
        <f t="shared" si="3574"/>
        <v>10.20.8.188</v>
      </c>
      <c r="U8754" t="str">
        <f t="shared" si="3561"/>
        <v>AZRAD UMAR BIN SHAARI</v>
      </c>
      <c r="V8754" t="str">
        <f t="shared" si="3562"/>
        <v>FARHANA BINTI MUSTAPA</v>
      </c>
      <c r="W8754" t="str">
        <f t="shared" si="3563"/>
        <v>04-08-2020</v>
      </c>
      <c r="X8754" t="str">
        <f t="shared" si="3564"/>
        <v>RAZIMAH ANSAR AHMAD</v>
      </c>
      <c r="Y8754" t="str">
        <f t="shared" si="3565"/>
        <v>04-08-2020</v>
      </c>
      <c r="Z8754" t="str">
        <f>"COS10200804 70"</f>
        <v>COS10200804 70</v>
      </c>
    </row>
    <row r="8755" spans="1:26" x14ac:dyDescent="0.25">
      <c r="A8755" t="str">
        <f t="shared" si="3577"/>
        <v>04-08-2020 11:31:08</v>
      </c>
      <c r="B8755" t="str">
        <f>"0000801978"</f>
        <v>0000801978</v>
      </c>
      <c r="C8755" t="str">
        <f t="shared" si="3578"/>
        <v>0000801909</v>
      </c>
      <c r="D8755" t="str">
        <f t="shared" si="3555"/>
        <v>73185</v>
      </c>
      <c r="E8755" t="str">
        <f t="shared" si="3556"/>
        <v>KFH-OPERATIONS DEPARTMENT</v>
      </c>
      <c r="F8755" t="str">
        <f t="shared" si="3557"/>
        <v>IBG</v>
      </c>
      <c r="G8755" t="str">
        <f t="shared" si="3566"/>
        <v>Refund COSHARE 10</v>
      </c>
      <c r="H8755" s="2">
        <v>86.2</v>
      </c>
      <c r="I8755" t="str">
        <f>"LAMSARI BIN TILAH"</f>
        <v>LAMSARI BIN TILAH</v>
      </c>
      <c r="J8755" t="str">
        <f t="shared" si="3572"/>
        <v>ALLIANCE BANK / ALLIANCE ISLAMIC BANK</v>
      </c>
      <c r="K8755" t="str">
        <f>"101960020256202"</f>
        <v>101960020256202</v>
      </c>
      <c r="L8755" t="str">
        <f t="shared" si="3575"/>
        <v>04-08-2020</v>
      </c>
      <c r="M8755" t="str">
        <f t="shared" si="3575"/>
        <v>04-08-2020</v>
      </c>
      <c r="N8755" t="str">
        <f t="shared" si="3558"/>
        <v>001105018356</v>
      </c>
      <c r="O8755" t="str">
        <f t="shared" si="3559"/>
        <v>MYR</v>
      </c>
      <c r="P8755" t="str">
        <f t="shared" si="3576"/>
        <v>NIL</v>
      </c>
      <c r="Q8755" t="str">
        <f t="shared" si="3576"/>
        <v>NIL</v>
      </c>
      <c r="R8755" t="str">
        <f t="shared" si="3573"/>
        <v>Accepted</v>
      </c>
      <c r="S8755" t="str">
        <f t="shared" si="3560"/>
        <v>Approved</v>
      </c>
      <c r="T8755" t="str">
        <f t="shared" si="3574"/>
        <v>10.20.8.188</v>
      </c>
      <c r="U8755" t="str">
        <f t="shared" si="3561"/>
        <v>AZRAD UMAR BIN SHAARI</v>
      </c>
      <c r="V8755" t="str">
        <f t="shared" si="3562"/>
        <v>FARHANA BINTI MUSTAPA</v>
      </c>
      <c r="W8755" t="str">
        <f t="shared" si="3563"/>
        <v>04-08-2020</v>
      </c>
      <c r="X8755" t="str">
        <f t="shared" si="3564"/>
        <v>RAZIMAH ANSAR AHMAD</v>
      </c>
      <c r="Y8755" t="str">
        <f t="shared" si="3565"/>
        <v>04-08-2020</v>
      </c>
      <c r="Z8755" t="str">
        <f>"COS10200804 69"</f>
        <v>COS10200804 69</v>
      </c>
    </row>
    <row r="8756" spans="1:26" x14ac:dyDescent="0.25">
      <c r="A8756" t="str">
        <f t="shared" si="3577"/>
        <v>04-08-2020 11:31:08</v>
      </c>
      <c r="B8756" t="str">
        <f>"0000801977"</f>
        <v>0000801977</v>
      </c>
      <c r="C8756" t="str">
        <f t="shared" si="3578"/>
        <v>0000801909</v>
      </c>
      <c r="D8756" t="str">
        <f t="shared" si="3555"/>
        <v>73185</v>
      </c>
      <c r="E8756" t="str">
        <f t="shared" si="3556"/>
        <v>KFH-OPERATIONS DEPARTMENT</v>
      </c>
      <c r="F8756" t="str">
        <f t="shared" si="3557"/>
        <v>IBG</v>
      </c>
      <c r="G8756" t="str">
        <f t="shared" si="3566"/>
        <v>Refund COSHARE 10</v>
      </c>
      <c r="H8756" s="2">
        <v>1135.8499999999999</v>
      </c>
      <c r="I8756" t="str">
        <f>"LAI HUI MING"</f>
        <v>LAI HUI MING</v>
      </c>
      <c r="J8756" t="str">
        <f t="shared" si="3572"/>
        <v>ALLIANCE BANK / ALLIANCE ISLAMIC BANK</v>
      </c>
      <c r="K8756" t="str">
        <f>"100200020106436"</f>
        <v>100200020106436</v>
      </c>
      <c r="L8756" t="str">
        <f t="shared" si="3575"/>
        <v>04-08-2020</v>
      </c>
      <c r="M8756" t="str">
        <f t="shared" si="3575"/>
        <v>04-08-2020</v>
      </c>
      <c r="N8756" t="str">
        <f t="shared" si="3558"/>
        <v>001105018356</v>
      </c>
      <c r="O8756" t="str">
        <f t="shared" si="3559"/>
        <v>MYR</v>
      </c>
      <c r="P8756" t="str">
        <f t="shared" si="3576"/>
        <v>NIL</v>
      </c>
      <c r="Q8756" t="str">
        <f t="shared" si="3576"/>
        <v>NIL</v>
      </c>
      <c r="R8756" t="str">
        <f t="shared" si="3573"/>
        <v>Accepted</v>
      </c>
      <c r="S8756" t="str">
        <f t="shared" si="3560"/>
        <v>Approved</v>
      </c>
      <c r="T8756" t="str">
        <f t="shared" si="3574"/>
        <v>10.20.8.188</v>
      </c>
      <c r="U8756" t="str">
        <f t="shared" si="3561"/>
        <v>AZRAD UMAR BIN SHAARI</v>
      </c>
      <c r="V8756" t="str">
        <f t="shared" si="3562"/>
        <v>FARHANA BINTI MUSTAPA</v>
      </c>
      <c r="W8756" t="str">
        <f t="shared" si="3563"/>
        <v>04-08-2020</v>
      </c>
      <c r="X8756" t="str">
        <f t="shared" si="3564"/>
        <v>RAZIMAH ANSAR AHMAD</v>
      </c>
      <c r="Y8756" t="str">
        <f t="shared" si="3565"/>
        <v>04-08-2020</v>
      </c>
      <c r="Z8756" t="str">
        <f>"COS10200804 68"</f>
        <v>COS10200804 68</v>
      </c>
    </row>
    <row r="8757" spans="1:26" x14ac:dyDescent="0.25">
      <c r="A8757" t="str">
        <f t="shared" si="3577"/>
        <v>04-08-2020 11:31:08</v>
      </c>
      <c r="B8757" t="str">
        <f>"0000801976"</f>
        <v>0000801976</v>
      </c>
      <c r="C8757" t="str">
        <f t="shared" si="3578"/>
        <v>0000801909</v>
      </c>
      <c r="D8757" t="str">
        <f t="shared" si="3555"/>
        <v>73185</v>
      </c>
      <c r="E8757" t="str">
        <f t="shared" si="3556"/>
        <v>KFH-OPERATIONS DEPARTMENT</v>
      </c>
      <c r="F8757" t="str">
        <f t="shared" si="3557"/>
        <v>IBG</v>
      </c>
      <c r="G8757" t="str">
        <f t="shared" si="3566"/>
        <v>Refund COSHARE 10</v>
      </c>
      <c r="H8757" s="2">
        <v>1093</v>
      </c>
      <c r="I8757" t="str">
        <f>"KARINAH BINTI ABDUL KARIM"</f>
        <v>KARINAH BINTI ABDUL KARIM</v>
      </c>
      <c r="J8757" t="str">
        <f t="shared" si="3572"/>
        <v>ALLIANCE BANK / ALLIANCE ISLAMIC BANK</v>
      </c>
      <c r="K8757" t="str">
        <f>"600520020010739"</f>
        <v>600520020010739</v>
      </c>
      <c r="L8757" t="str">
        <f t="shared" si="3575"/>
        <v>04-08-2020</v>
      </c>
      <c r="M8757" t="str">
        <f t="shared" si="3575"/>
        <v>04-08-2020</v>
      </c>
      <c r="N8757" t="str">
        <f t="shared" si="3558"/>
        <v>001105018356</v>
      </c>
      <c r="O8757" t="str">
        <f t="shared" si="3559"/>
        <v>MYR</v>
      </c>
      <c r="P8757" t="str">
        <f t="shared" si="3576"/>
        <v>NIL</v>
      </c>
      <c r="Q8757" t="str">
        <f t="shared" si="3576"/>
        <v>NIL</v>
      </c>
      <c r="R8757" t="str">
        <f t="shared" si="3573"/>
        <v>Accepted</v>
      </c>
      <c r="S8757" t="str">
        <f t="shared" si="3560"/>
        <v>Approved</v>
      </c>
      <c r="T8757" t="str">
        <f t="shared" si="3574"/>
        <v>10.20.8.188</v>
      </c>
      <c r="U8757" t="str">
        <f t="shared" si="3561"/>
        <v>AZRAD UMAR BIN SHAARI</v>
      </c>
      <c r="V8757" t="str">
        <f t="shared" si="3562"/>
        <v>FARHANA BINTI MUSTAPA</v>
      </c>
      <c r="W8757" t="str">
        <f t="shared" si="3563"/>
        <v>04-08-2020</v>
      </c>
      <c r="X8757" t="str">
        <f t="shared" si="3564"/>
        <v>RAZIMAH ANSAR AHMAD</v>
      </c>
      <c r="Y8757" t="str">
        <f t="shared" si="3565"/>
        <v>04-08-2020</v>
      </c>
      <c r="Z8757" t="str">
        <f>"COS10200804 67"</f>
        <v>COS10200804 67</v>
      </c>
    </row>
    <row r="8758" spans="1:26" x14ac:dyDescent="0.25">
      <c r="A8758" t="str">
        <f t="shared" si="3577"/>
        <v>04-08-2020 11:31:08</v>
      </c>
      <c r="B8758" t="str">
        <f>"0000801975"</f>
        <v>0000801975</v>
      </c>
      <c r="C8758" t="str">
        <f t="shared" si="3578"/>
        <v>0000801909</v>
      </c>
      <c r="D8758" t="str">
        <f t="shared" si="3555"/>
        <v>73185</v>
      </c>
      <c r="E8758" t="str">
        <f t="shared" si="3556"/>
        <v>KFH-OPERATIONS DEPARTMENT</v>
      </c>
      <c r="F8758" t="str">
        <f t="shared" si="3557"/>
        <v>IBG</v>
      </c>
      <c r="G8758" t="str">
        <f t="shared" si="3566"/>
        <v>Refund COSHARE 10</v>
      </c>
      <c r="H8758" s="2">
        <v>1175.3</v>
      </c>
      <c r="I8758" t="str">
        <f>"JOEJAYRL BIN SUNTIAM"</f>
        <v>JOEJAYRL BIN SUNTIAM</v>
      </c>
      <c r="J8758" t="str">
        <f t="shared" si="3572"/>
        <v>ALLIANCE BANK / ALLIANCE ISLAMIC BANK</v>
      </c>
      <c r="K8758" t="str">
        <f>"101410020084490"</f>
        <v>101410020084490</v>
      </c>
      <c r="L8758" t="str">
        <f t="shared" si="3575"/>
        <v>04-08-2020</v>
      </c>
      <c r="M8758" t="str">
        <f t="shared" si="3575"/>
        <v>04-08-2020</v>
      </c>
      <c r="N8758" t="str">
        <f t="shared" si="3558"/>
        <v>001105018356</v>
      </c>
      <c r="O8758" t="str">
        <f t="shared" si="3559"/>
        <v>MYR</v>
      </c>
      <c r="P8758" t="str">
        <f t="shared" si="3576"/>
        <v>NIL</v>
      </c>
      <c r="Q8758" t="str">
        <f t="shared" si="3576"/>
        <v>NIL</v>
      </c>
      <c r="R8758" t="str">
        <f t="shared" si="3573"/>
        <v>Accepted</v>
      </c>
      <c r="S8758" t="str">
        <f t="shared" si="3560"/>
        <v>Approved</v>
      </c>
      <c r="T8758" t="str">
        <f t="shared" si="3574"/>
        <v>10.20.8.188</v>
      </c>
      <c r="U8758" t="str">
        <f t="shared" si="3561"/>
        <v>AZRAD UMAR BIN SHAARI</v>
      </c>
      <c r="V8758" t="str">
        <f t="shared" si="3562"/>
        <v>FARHANA BINTI MUSTAPA</v>
      </c>
      <c r="W8758" t="str">
        <f t="shared" si="3563"/>
        <v>04-08-2020</v>
      </c>
      <c r="X8758" t="str">
        <f t="shared" si="3564"/>
        <v>RAZIMAH ANSAR AHMAD</v>
      </c>
      <c r="Y8758" t="str">
        <f t="shared" si="3565"/>
        <v>04-08-2020</v>
      </c>
      <c r="Z8758" t="str">
        <f>"COS10200804 66"</f>
        <v>COS10200804 66</v>
      </c>
    </row>
    <row r="8759" spans="1:26" x14ac:dyDescent="0.25">
      <c r="A8759" t="str">
        <f t="shared" si="3577"/>
        <v>04-08-2020 11:31:08</v>
      </c>
      <c r="B8759" t="str">
        <f>"0000801974"</f>
        <v>0000801974</v>
      </c>
      <c r="C8759" t="str">
        <f t="shared" si="3578"/>
        <v>0000801909</v>
      </c>
      <c r="D8759" t="str">
        <f t="shared" si="3555"/>
        <v>73185</v>
      </c>
      <c r="E8759" t="str">
        <f t="shared" si="3556"/>
        <v>KFH-OPERATIONS DEPARTMENT</v>
      </c>
      <c r="F8759" t="str">
        <f t="shared" si="3557"/>
        <v>IBG</v>
      </c>
      <c r="G8759" t="str">
        <f t="shared" si="3566"/>
        <v>Refund COSHARE 10</v>
      </c>
      <c r="H8759" s="2">
        <v>400</v>
      </c>
      <c r="I8759" t="str">
        <f>"JANIE MOGUNTOL  RAITING MOGUNTOR"</f>
        <v>JANIE MOGUNTOL  RAITING MOGUNTOR</v>
      </c>
      <c r="J8759" t="str">
        <f t="shared" si="3572"/>
        <v>ALLIANCE BANK / ALLIANCE ISLAMIC BANK</v>
      </c>
      <c r="K8759" t="str">
        <f>"100840020110806"</f>
        <v>100840020110806</v>
      </c>
      <c r="L8759" t="str">
        <f t="shared" si="3575"/>
        <v>04-08-2020</v>
      </c>
      <c r="M8759" t="str">
        <f t="shared" si="3575"/>
        <v>04-08-2020</v>
      </c>
      <c r="N8759" t="str">
        <f t="shared" si="3558"/>
        <v>001105018356</v>
      </c>
      <c r="O8759" t="str">
        <f t="shared" si="3559"/>
        <v>MYR</v>
      </c>
      <c r="P8759" t="str">
        <f t="shared" si="3576"/>
        <v>NIL</v>
      </c>
      <c r="Q8759" t="str">
        <f t="shared" si="3576"/>
        <v>NIL</v>
      </c>
      <c r="R8759" t="str">
        <f t="shared" si="3573"/>
        <v>Accepted</v>
      </c>
      <c r="S8759" t="str">
        <f t="shared" si="3560"/>
        <v>Approved</v>
      </c>
      <c r="T8759" t="str">
        <f t="shared" si="3574"/>
        <v>10.20.8.188</v>
      </c>
      <c r="U8759" t="str">
        <f t="shared" si="3561"/>
        <v>AZRAD UMAR BIN SHAARI</v>
      </c>
      <c r="V8759" t="str">
        <f t="shared" si="3562"/>
        <v>FARHANA BINTI MUSTAPA</v>
      </c>
      <c r="W8759" t="str">
        <f t="shared" si="3563"/>
        <v>04-08-2020</v>
      </c>
      <c r="X8759" t="str">
        <f t="shared" si="3564"/>
        <v>RAZIMAH ANSAR AHMAD</v>
      </c>
      <c r="Y8759" t="str">
        <f t="shared" si="3565"/>
        <v>04-08-2020</v>
      </c>
      <c r="Z8759" t="str">
        <f>"COS10200804 65"</f>
        <v>COS10200804 65</v>
      </c>
    </row>
    <row r="8760" spans="1:26" x14ac:dyDescent="0.25">
      <c r="A8760" t="str">
        <f t="shared" si="3577"/>
        <v>04-08-2020 11:31:08</v>
      </c>
      <c r="B8760" t="str">
        <f>"0000801973"</f>
        <v>0000801973</v>
      </c>
      <c r="C8760" t="str">
        <f t="shared" si="3578"/>
        <v>0000801909</v>
      </c>
      <c r="D8760" t="str">
        <f t="shared" si="3555"/>
        <v>73185</v>
      </c>
      <c r="E8760" t="str">
        <f t="shared" si="3556"/>
        <v>KFH-OPERATIONS DEPARTMENT</v>
      </c>
      <c r="F8760" t="str">
        <f t="shared" si="3557"/>
        <v>IBG</v>
      </c>
      <c r="G8760" t="str">
        <f t="shared" si="3566"/>
        <v>Refund COSHARE 10</v>
      </c>
      <c r="H8760" s="2">
        <v>335.8</v>
      </c>
      <c r="I8760" t="str">
        <f>"JAMAISAH BINTI JASNI"</f>
        <v>JAMAISAH BINTI JASNI</v>
      </c>
      <c r="J8760" t="str">
        <f t="shared" si="3572"/>
        <v>ALLIANCE BANK / ALLIANCE ISLAMIC BANK</v>
      </c>
      <c r="K8760" t="str">
        <f>"601000020036320"</f>
        <v>601000020036320</v>
      </c>
      <c r="L8760" t="str">
        <f t="shared" si="3575"/>
        <v>04-08-2020</v>
      </c>
      <c r="M8760" t="str">
        <f t="shared" si="3575"/>
        <v>04-08-2020</v>
      </c>
      <c r="N8760" t="str">
        <f t="shared" si="3558"/>
        <v>001105018356</v>
      </c>
      <c r="O8760" t="str">
        <f t="shared" si="3559"/>
        <v>MYR</v>
      </c>
      <c r="P8760" t="str">
        <f t="shared" si="3576"/>
        <v>NIL</v>
      </c>
      <c r="Q8760" t="str">
        <f t="shared" si="3576"/>
        <v>NIL</v>
      </c>
      <c r="R8760" t="str">
        <f t="shared" si="3573"/>
        <v>Accepted</v>
      </c>
      <c r="S8760" t="str">
        <f t="shared" si="3560"/>
        <v>Approved</v>
      </c>
      <c r="T8760" t="str">
        <f t="shared" si="3574"/>
        <v>10.20.8.188</v>
      </c>
      <c r="U8760" t="str">
        <f t="shared" si="3561"/>
        <v>AZRAD UMAR BIN SHAARI</v>
      </c>
      <c r="V8760" t="str">
        <f t="shared" si="3562"/>
        <v>FARHANA BINTI MUSTAPA</v>
      </c>
      <c r="W8760" t="str">
        <f t="shared" si="3563"/>
        <v>04-08-2020</v>
      </c>
      <c r="X8760" t="str">
        <f t="shared" si="3564"/>
        <v>RAZIMAH ANSAR AHMAD</v>
      </c>
      <c r="Y8760" t="str">
        <f t="shared" si="3565"/>
        <v>04-08-2020</v>
      </c>
      <c r="Z8760" t="str">
        <f>"COS10200804 64"</f>
        <v>COS10200804 64</v>
      </c>
    </row>
    <row r="8761" spans="1:26" x14ac:dyDescent="0.25">
      <c r="A8761" t="str">
        <f t="shared" si="3577"/>
        <v>04-08-2020 11:31:08</v>
      </c>
      <c r="B8761" t="str">
        <f>"0000801972"</f>
        <v>0000801972</v>
      </c>
      <c r="C8761" t="str">
        <f t="shared" si="3578"/>
        <v>0000801909</v>
      </c>
      <c r="D8761" t="str">
        <f t="shared" si="3555"/>
        <v>73185</v>
      </c>
      <c r="E8761" t="str">
        <f t="shared" si="3556"/>
        <v>KFH-OPERATIONS DEPARTMENT</v>
      </c>
      <c r="F8761" t="str">
        <f t="shared" si="3557"/>
        <v>IBG</v>
      </c>
      <c r="G8761" t="str">
        <f t="shared" si="3566"/>
        <v>Refund COSHARE 10</v>
      </c>
      <c r="H8761" s="2">
        <v>210</v>
      </c>
      <c r="I8761" t="str">
        <f>"IERNE QURISYAH BINTI KATUTU  WIRNO"</f>
        <v>IERNE QURISYAH BINTI KATUTU  WIRNO</v>
      </c>
      <c r="J8761" t="str">
        <f t="shared" si="3572"/>
        <v>ALLIANCE BANK / ALLIANCE ISLAMIC BANK</v>
      </c>
      <c r="K8761" t="str">
        <f>"600520020041839"</f>
        <v>600520020041839</v>
      </c>
      <c r="L8761" t="str">
        <f t="shared" si="3575"/>
        <v>04-08-2020</v>
      </c>
      <c r="M8761" t="str">
        <f t="shared" si="3575"/>
        <v>04-08-2020</v>
      </c>
      <c r="N8761" t="str">
        <f t="shared" si="3558"/>
        <v>001105018356</v>
      </c>
      <c r="O8761" t="str">
        <f t="shared" si="3559"/>
        <v>MYR</v>
      </c>
      <c r="P8761" t="str">
        <f t="shared" si="3576"/>
        <v>NIL</v>
      </c>
      <c r="Q8761" t="str">
        <f t="shared" si="3576"/>
        <v>NIL</v>
      </c>
      <c r="R8761" t="str">
        <f t="shared" si="3573"/>
        <v>Accepted</v>
      </c>
      <c r="S8761" t="str">
        <f t="shared" si="3560"/>
        <v>Approved</v>
      </c>
      <c r="T8761" t="str">
        <f t="shared" si="3574"/>
        <v>10.20.8.188</v>
      </c>
      <c r="U8761" t="str">
        <f t="shared" si="3561"/>
        <v>AZRAD UMAR BIN SHAARI</v>
      </c>
      <c r="V8761" t="str">
        <f t="shared" si="3562"/>
        <v>FARHANA BINTI MUSTAPA</v>
      </c>
      <c r="W8761" t="str">
        <f t="shared" si="3563"/>
        <v>04-08-2020</v>
      </c>
      <c r="X8761" t="str">
        <f t="shared" si="3564"/>
        <v>RAZIMAH ANSAR AHMAD</v>
      </c>
      <c r="Y8761" t="str">
        <f t="shared" si="3565"/>
        <v>04-08-2020</v>
      </c>
      <c r="Z8761" t="str">
        <f>"COS10200804 63"</f>
        <v>COS10200804 63</v>
      </c>
    </row>
    <row r="8762" spans="1:26" x14ac:dyDescent="0.25">
      <c r="A8762" t="str">
        <f t="shared" si="3577"/>
        <v>04-08-2020 11:31:08</v>
      </c>
      <c r="B8762" t="str">
        <f>"0000801971"</f>
        <v>0000801971</v>
      </c>
      <c r="C8762" t="str">
        <f t="shared" si="3578"/>
        <v>0000801909</v>
      </c>
      <c r="D8762" t="str">
        <f t="shared" si="3555"/>
        <v>73185</v>
      </c>
      <c r="E8762" t="str">
        <f t="shared" si="3556"/>
        <v>KFH-OPERATIONS DEPARTMENT</v>
      </c>
      <c r="F8762" t="str">
        <f t="shared" si="3557"/>
        <v>IBG</v>
      </c>
      <c r="G8762" t="str">
        <f t="shared" si="3566"/>
        <v>Refund COSHARE 10</v>
      </c>
      <c r="H8762" s="2">
        <v>705.2</v>
      </c>
      <c r="I8762" t="str">
        <f>"HELDA MICHAEL"</f>
        <v>HELDA MICHAEL</v>
      </c>
      <c r="J8762" t="str">
        <f t="shared" si="3572"/>
        <v>ALLIANCE BANK / ALLIANCE ISLAMIC BANK</v>
      </c>
      <c r="K8762" t="str">
        <f>"101410020076598"</f>
        <v>101410020076598</v>
      </c>
      <c r="L8762" t="str">
        <f t="shared" si="3575"/>
        <v>04-08-2020</v>
      </c>
      <c r="M8762" t="str">
        <f t="shared" si="3575"/>
        <v>04-08-2020</v>
      </c>
      <c r="N8762" t="str">
        <f t="shared" si="3558"/>
        <v>001105018356</v>
      </c>
      <c r="O8762" t="str">
        <f t="shared" si="3559"/>
        <v>MYR</v>
      </c>
      <c r="P8762" t="str">
        <f t="shared" si="3576"/>
        <v>NIL</v>
      </c>
      <c r="Q8762" t="str">
        <f t="shared" si="3576"/>
        <v>NIL</v>
      </c>
      <c r="R8762" t="str">
        <f t="shared" si="3573"/>
        <v>Accepted</v>
      </c>
      <c r="S8762" t="str">
        <f t="shared" si="3560"/>
        <v>Approved</v>
      </c>
      <c r="T8762" t="str">
        <f t="shared" si="3574"/>
        <v>10.20.8.188</v>
      </c>
      <c r="U8762" t="str">
        <f t="shared" si="3561"/>
        <v>AZRAD UMAR BIN SHAARI</v>
      </c>
      <c r="V8762" t="str">
        <f t="shared" si="3562"/>
        <v>FARHANA BINTI MUSTAPA</v>
      </c>
      <c r="W8762" t="str">
        <f t="shared" si="3563"/>
        <v>04-08-2020</v>
      </c>
      <c r="X8762" t="str">
        <f t="shared" si="3564"/>
        <v>RAZIMAH ANSAR AHMAD</v>
      </c>
      <c r="Y8762" t="str">
        <f t="shared" si="3565"/>
        <v>04-08-2020</v>
      </c>
      <c r="Z8762" t="str">
        <f>"COS10200804 62"</f>
        <v>COS10200804 62</v>
      </c>
    </row>
    <row r="8763" spans="1:26" x14ac:dyDescent="0.25">
      <c r="A8763" t="str">
        <f t="shared" si="3577"/>
        <v>04-08-2020 11:31:08</v>
      </c>
      <c r="B8763" t="str">
        <f>"0000801970"</f>
        <v>0000801970</v>
      </c>
      <c r="C8763" t="str">
        <f t="shared" si="3578"/>
        <v>0000801909</v>
      </c>
      <c r="D8763" t="str">
        <f t="shared" si="3555"/>
        <v>73185</v>
      </c>
      <c r="E8763" t="str">
        <f t="shared" si="3556"/>
        <v>KFH-OPERATIONS DEPARTMENT</v>
      </c>
      <c r="F8763" t="str">
        <f t="shared" si="3557"/>
        <v>IBG</v>
      </c>
      <c r="G8763" t="str">
        <f t="shared" si="3566"/>
        <v>Refund COSHARE 10</v>
      </c>
      <c r="H8763" s="2">
        <v>1679</v>
      </c>
      <c r="I8763" t="str">
        <f>"HAZEL BRENDA KOMALIG"</f>
        <v>HAZEL BRENDA KOMALIG</v>
      </c>
      <c r="J8763" t="str">
        <f t="shared" ref="J8763:J8787" si="3579">"ALLIANCE BANK / ALLIANCE ISLAMIC BANK"</f>
        <v>ALLIANCE BANK / ALLIANCE ISLAMIC BANK</v>
      </c>
      <c r="K8763" t="str">
        <f>"601280020021154"</f>
        <v>601280020021154</v>
      </c>
      <c r="L8763" t="str">
        <f t="shared" si="3575"/>
        <v>04-08-2020</v>
      </c>
      <c r="M8763" t="str">
        <f t="shared" si="3575"/>
        <v>04-08-2020</v>
      </c>
      <c r="N8763" t="str">
        <f t="shared" si="3558"/>
        <v>001105018356</v>
      </c>
      <c r="O8763" t="str">
        <f t="shared" si="3559"/>
        <v>MYR</v>
      </c>
      <c r="P8763" t="str">
        <f t="shared" si="3576"/>
        <v>NIL</v>
      </c>
      <c r="Q8763" t="str">
        <f t="shared" si="3576"/>
        <v>NIL</v>
      </c>
      <c r="R8763" t="str">
        <f t="shared" si="3573"/>
        <v>Accepted</v>
      </c>
      <c r="S8763" t="str">
        <f t="shared" si="3560"/>
        <v>Approved</v>
      </c>
      <c r="T8763" t="str">
        <f t="shared" si="3574"/>
        <v>10.20.8.188</v>
      </c>
      <c r="U8763" t="str">
        <f t="shared" si="3561"/>
        <v>AZRAD UMAR BIN SHAARI</v>
      </c>
      <c r="V8763" t="str">
        <f t="shared" si="3562"/>
        <v>FARHANA BINTI MUSTAPA</v>
      </c>
      <c r="W8763" t="str">
        <f t="shared" si="3563"/>
        <v>04-08-2020</v>
      </c>
      <c r="X8763" t="str">
        <f t="shared" si="3564"/>
        <v>RAZIMAH ANSAR AHMAD</v>
      </c>
      <c r="Y8763" t="str">
        <f t="shared" si="3565"/>
        <v>04-08-2020</v>
      </c>
      <c r="Z8763" t="str">
        <f>"COS10200804 61"</f>
        <v>COS10200804 61</v>
      </c>
    </row>
    <row r="8764" spans="1:26" x14ac:dyDescent="0.25">
      <c r="A8764" t="str">
        <f t="shared" si="3577"/>
        <v>04-08-2020 11:31:08</v>
      </c>
      <c r="B8764" t="str">
        <f>"0000801969"</f>
        <v>0000801969</v>
      </c>
      <c r="C8764" t="str">
        <f t="shared" si="3578"/>
        <v>0000801909</v>
      </c>
      <c r="D8764" t="str">
        <f t="shared" si="3555"/>
        <v>73185</v>
      </c>
      <c r="E8764" t="str">
        <f t="shared" si="3556"/>
        <v>KFH-OPERATIONS DEPARTMENT</v>
      </c>
      <c r="F8764" t="str">
        <f t="shared" si="3557"/>
        <v>IBG</v>
      </c>
      <c r="G8764" t="str">
        <f t="shared" si="3566"/>
        <v>Refund COSHARE 10</v>
      </c>
      <c r="H8764" s="2">
        <v>154.44999999999999</v>
      </c>
      <c r="I8764" t="str">
        <f>"HASNEHMAH BINTI BENEH"</f>
        <v>HASNEHMAH BINTI BENEH</v>
      </c>
      <c r="J8764" t="str">
        <f t="shared" si="3579"/>
        <v>ALLIANCE BANK / ALLIANCE ISLAMIC BANK</v>
      </c>
      <c r="K8764" t="str">
        <f>"600160020056745"</f>
        <v>600160020056745</v>
      </c>
      <c r="L8764" t="str">
        <f t="shared" si="3575"/>
        <v>04-08-2020</v>
      </c>
      <c r="M8764" t="str">
        <f t="shared" si="3575"/>
        <v>04-08-2020</v>
      </c>
      <c r="N8764" t="str">
        <f t="shared" si="3558"/>
        <v>001105018356</v>
      </c>
      <c r="O8764" t="str">
        <f t="shared" si="3559"/>
        <v>MYR</v>
      </c>
      <c r="P8764" t="str">
        <f t="shared" si="3576"/>
        <v>NIL</v>
      </c>
      <c r="Q8764" t="str">
        <f t="shared" si="3576"/>
        <v>NIL</v>
      </c>
      <c r="R8764" t="str">
        <f t="shared" si="3573"/>
        <v>Accepted</v>
      </c>
      <c r="S8764" t="str">
        <f t="shared" si="3560"/>
        <v>Approved</v>
      </c>
      <c r="T8764" t="str">
        <f t="shared" si="3574"/>
        <v>10.20.8.188</v>
      </c>
      <c r="U8764" t="str">
        <f t="shared" si="3561"/>
        <v>AZRAD UMAR BIN SHAARI</v>
      </c>
      <c r="V8764" t="str">
        <f t="shared" si="3562"/>
        <v>FARHANA BINTI MUSTAPA</v>
      </c>
      <c r="W8764" t="str">
        <f t="shared" si="3563"/>
        <v>04-08-2020</v>
      </c>
      <c r="X8764" t="str">
        <f t="shared" si="3564"/>
        <v>RAZIMAH ANSAR AHMAD</v>
      </c>
      <c r="Y8764" t="str">
        <f t="shared" si="3565"/>
        <v>04-08-2020</v>
      </c>
      <c r="Z8764" t="str">
        <f>"COS10200804 60"</f>
        <v>COS10200804 60</v>
      </c>
    </row>
    <row r="8765" spans="1:26" x14ac:dyDescent="0.25">
      <c r="A8765" t="str">
        <f t="shared" si="3577"/>
        <v>04-08-2020 11:31:08</v>
      </c>
      <c r="B8765" t="str">
        <f>"0000801968"</f>
        <v>0000801968</v>
      </c>
      <c r="C8765" t="str">
        <f t="shared" si="3578"/>
        <v>0000801909</v>
      </c>
      <c r="D8765" t="str">
        <f t="shared" si="3555"/>
        <v>73185</v>
      </c>
      <c r="E8765" t="str">
        <f t="shared" si="3556"/>
        <v>KFH-OPERATIONS DEPARTMENT</v>
      </c>
      <c r="F8765" t="str">
        <f t="shared" si="3557"/>
        <v>IBG</v>
      </c>
      <c r="G8765" t="str">
        <f t="shared" si="3566"/>
        <v>Refund COSHARE 10</v>
      </c>
      <c r="H8765" s="2">
        <v>58.8</v>
      </c>
      <c r="I8765" t="str">
        <f>"HASLIZAH BINTI ASTAN"</f>
        <v>HASLIZAH BINTI ASTAN</v>
      </c>
      <c r="J8765" t="str">
        <f t="shared" si="3579"/>
        <v>ALLIANCE BANK / ALLIANCE ISLAMIC BANK</v>
      </c>
      <c r="K8765" t="str">
        <f>"601370010038120"</f>
        <v>601370010038120</v>
      </c>
      <c r="L8765" t="str">
        <f t="shared" si="3575"/>
        <v>04-08-2020</v>
      </c>
      <c r="M8765" t="str">
        <f t="shared" si="3575"/>
        <v>04-08-2020</v>
      </c>
      <c r="N8765" t="str">
        <f t="shared" si="3558"/>
        <v>001105018356</v>
      </c>
      <c r="O8765" t="str">
        <f t="shared" si="3559"/>
        <v>MYR</v>
      </c>
      <c r="P8765" t="str">
        <f t="shared" si="3576"/>
        <v>NIL</v>
      </c>
      <c r="Q8765" t="str">
        <f t="shared" si="3576"/>
        <v>NIL</v>
      </c>
      <c r="R8765" t="str">
        <f t="shared" si="3573"/>
        <v>Accepted</v>
      </c>
      <c r="S8765" t="str">
        <f t="shared" si="3560"/>
        <v>Approved</v>
      </c>
      <c r="T8765" t="str">
        <f t="shared" si="3574"/>
        <v>10.20.8.188</v>
      </c>
      <c r="U8765" t="str">
        <f t="shared" si="3561"/>
        <v>AZRAD UMAR BIN SHAARI</v>
      </c>
      <c r="V8765" t="str">
        <f t="shared" si="3562"/>
        <v>FARHANA BINTI MUSTAPA</v>
      </c>
      <c r="W8765" t="str">
        <f t="shared" si="3563"/>
        <v>04-08-2020</v>
      </c>
      <c r="X8765" t="str">
        <f t="shared" si="3564"/>
        <v>RAZIMAH ANSAR AHMAD</v>
      </c>
      <c r="Y8765" t="str">
        <f t="shared" si="3565"/>
        <v>04-08-2020</v>
      </c>
      <c r="Z8765" t="str">
        <f>"COS10200804 59"</f>
        <v>COS10200804 59</v>
      </c>
    </row>
    <row r="8766" spans="1:26" x14ac:dyDescent="0.25">
      <c r="A8766" t="str">
        <f t="shared" si="3577"/>
        <v>04-08-2020 11:31:08</v>
      </c>
      <c r="B8766" t="str">
        <f>"0000801967"</f>
        <v>0000801967</v>
      </c>
      <c r="C8766" t="str">
        <f t="shared" si="3578"/>
        <v>0000801909</v>
      </c>
      <c r="D8766" t="str">
        <f t="shared" si="3555"/>
        <v>73185</v>
      </c>
      <c r="E8766" t="str">
        <f t="shared" si="3556"/>
        <v>KFH-OPERATIONS DEPARTMENT</v>
      </c>
      <c r="F8766" t="str">
        <f t="shared" si="3557"/>
        <v>IBG</v>
      </c>
      <c r="G8766" t="str">
        <f t="shared" si="3566"/>
        <v>Refund COSHARE 10</v>
      </c>
      <c r="H8766" s="2">
        <v>1852</v>
      </c>
      <c r="I8766" t="str">
        <f>"HAJIMIN DUSILIN"</f>
        <v>HAJIMIN DUSILIN</v>
      </c>
      <c r="J8766" t="str">
        <f t="shared" si="3579"/>
        <v>ALLIANCE BANK / ALLIANCE ISLAMIC BANK</v>
      </c>
      <c r="K8766" t="str">
        <f>"101050020078617"</f>
        <v>101050020078617</v>
      </c>
      <c r="L8766" t="str">
        <f t="shared" si="3575"/>
        <v>04-08-2020</v>
      </c>
      <c r="M8766" t="str">
        <f t="shared" si="3575"/>
        <v>04-08-2020</v>
      </c>
      <c r="N8766" t="str">
        <f t="shared" si="3558"/>
        <v>001105018356</v>
      </c>
      <c r="O8766" t="str">
        <f t="shared" si="3559"/>
        <v>MYR</v>
      </c>
      <c r="P8766" t="str">
        <f t="shared" si="3576"/>
        <v>NIL</v>
      </c>
      <c r="Q8766" t="str">
        <f t="shared" si="3576"/>
        <v>NIL</v>
      </c>
      <c r="R8766" t="str">
        <f t="shared" si="3573"/>
        <v>Accepted</v>
      </c>
      <c r="S8766" t="str">
        <f t="shared" si="3560"/>
        <v>Approved</v>
      </c>
      <c r="T8766" t="str">
        <f t="shared" si="3574"/>
        <v>10.20.8.188</v>
      </c>
      <c r="U8766" t="str">
        <f t="shared" si="3561"/>
        <v>AZRAD UMAR BIN SHAARI</v>
      </c>
      <c r="V8766" t="str">
        <f t="shared" si="3562"/>
        <v>FARHANA BINTI MUSTAPA</v>
      </c>
      <c r="W8766" t="str">
        <f t="shared" si="3563"/>
        <v>04-08-2020</v>
      </c>
      <c r="X8766" t="str">
        <f t="shared" si="3564"/>
        <v>RAZIMAH ANSAR AHMAD</v>
      </c>
      <c r="Y8766" t="str">
        <f t="shared" si="3565"/>
        <v>04-08-2020</v>
      </c>
      <c r="Z8766" t="str">
        <f>"COS10200804 58"</f>
        <v>COS10200804 58</v>
      </c>
    </row>
    <row r="8767" spans="1:26" x14ac:dyDescent="0.25">
      <c r="A8767" t="str">
        <f t="shared" si="3577"/>
        <v>04-08-2020 11:31:08</v>
      </c>
      <c r="B8767" t="str">
        <f>"0000801966"</f>
        <v>0000801966</v>
      </c>
      <c r="C8767" t="str">
        <f t="shared" si="3578"/>
        <v>0000801909</v>
      </c>
      <c r="D8767" t="str">
        <f t="shared" si="3555"/>
        <v>73185</v>
      </c>
      <c r="E8767" t="str">
        <f t="shared" si="3556"/>
        <v>KFH-OPERATIONS DEPARTMENT</v>
      </c>
      <c r="F8767" t="str">
        <f t="shared" si="3557"/>
        <v>IBG</v>
      </c>
      <c r="G8767" t="str">
        <f t="shared" si="3566"/>
        <v>Refund COSHARE 10</v>
      </c>
      <c r="H8767" s="2">
        <v>352.6</v>
      </c>
      <c r="I8767" t="str">
        <f>"GEORGE BIN MANGUNJI"</f>
        <v>GEORGE BIN MANGUNJI</v>
      </c>
      <c r="J8767" t="str">
        <f t="shared" si="3579"/>
        <v>ALLIANCE BANK / ALLIANCE ISLAMIC BANK</v>
      </c>
      <c r="K8767" t="str">
        <f>"600890020057601"</f>
        <v>600890020057601</v>
      </c>
      <c r="L8767" t="str">
        <f t="shared" ref="L8767:M8786" si="3580">"04-08-2020"</f>
        <v>04-08-2020</v>
      </c>
      <c r="M8767" t="str">
        <f t="shared" si="3580"/>
        <v>04-08-2020</v>
      </c>
      <c r="N8767" t="str">
        <f t="shared" si="3558"/>
        <v>001105018356</v>
      </c>
      <c r="O8767" t="str">
        <f t="shared" si="3559"/>
        <v>MYR</v>
      </c>
      <c r="P8767" t="str">
        <f t="shared" ref="P8767:Q8786" si="3581">"NIL"</f>
        <v>NIL</v>
      </c>
      <c r="Q8767" t="str">
        <f t="shared" si="3581"/>
        <v>NIL</v>
      </c>
      <c r="R8767" t="str">
        <f t="shared" si="3573"/>
        <v>Accepted</v>
      </c>
      <c r="S8767" t="str">
        <f t="shared" si="3560"/>
        <v>Approved</v>
      </c>
      <c r="T8767" t="str">
        <f t="shared" si="3574"/>
        <v>10.20.8.188</v>
      </c>
      <c r="U8767" t="str">
        <f t="shared" si="3561"/>
        <v>AZRAD UMAR BIN SHAARI</v>
      </c>
      <c r="V8767" t="str">
        <f t="shared" si="3562"/>
        <v>FARHANA BINTI MUSTAPA</v>
      </c>
      <c r="W8767" t="str">
        <f t="shared" si="3563"/>
        <v>04-08-2020</v>
      </c>
      <c r="X8767" t="str">
        <f t="shared" si="3564"/>
        <v>RAZIMAH ANSAR AHMAD</v>
      </c>
      <c r="Y8767" t="str">
        <f t="shared" si="3565"/>
        <v>04-08-2020</v>
      </c>
      <c r="Z8767" t="str">
        <f>"COS10200804 57"</f>
        <v>COS10200804 57</v>
      </c>
    </row>
    <row r="8768" spans="1:26" x14ac:dyDescent="0.25">
      <c r="A8768" t="str">
        <f t="shared" si="3577"/>
        <v>04-08-2020 11:31:08</v>
      </c>
      <c r="B8768" t="str">
        <f>"0000801965"</f>
        <v>0000801965</v>
      </c>
      <c r="C8768" t="str">
        <f t="shared" si="3578"/>
        <v>0000801909</v>
      </c>
      <c r="D8768" t="str">
        <f t="shared" si="3555"/>
        <v>73185</v>
      </c>
      <c r="E8768" t="str">
        <f t="shared" si="3556"/>
        <v>KFH-OPERATIONS DEPARTMENT</v>
      </c>
      <c r="F8768" t="str">
        <f t="shared" si="3557"/>
        <v>IBG</v>
      </c>
      <c r="G8768" t="str">
        <f t="shared" si="3566"/>
        <v>Refund COSHARE 10</v>
      </c>
      <c r="H8768" s="2">
        <v>189.3</v>
      </c>
      <c r="I8768" t="str">
        <f>"GEORGE ARIMPUT"</f>
        <v>GEORGE ARIMPUT</v>
      </c>
      <c r="J8768" t="str">
        <f t="shared" si="3579"/>
        <v>ALLIANCE BANK / ALLIANCE ISLAMIC BANK</v>
      </c>
      <c r="K8768" t="str">
        <f>"100480020122815"</f>
        <v>100480020122815</v>
      </c>
      <c r="L8768" t="str">
        <f t="shared" si="3580"/>
        <v>04-08-2020</v>
      </c>
      <c r="M8768" t="str">
        <f t="shared" si="3580"/>
        <v>04-08-2020</v>
      </c>
      <c r="N8768" t="str">
        <f t="shared" si="3558"/>
        <v>001105018356</v>
      </c>
      <c r="O8768" t="str">
        <f t="shared" si="3559"/>
        <v>MYR</v>
      </c>
      <c r="P8768" t="str">
        <f t="shared" si="3581"/>
        <v>NIL</v>
      </c>
      <c r="Q8768" t="str">
        <f t="shared" si="3581"/>
        <v>NIL</v>
      </c>
      <c r="R8768" t="str">
        <f t="shared" si="3573"/>
        <v>Accepted</v>
      </c>
      <c r="S8768" t="str">
        <f t="shared" si="3560"/>
        <v>Approved</v>
      </c>
      <c r="T8768" t="str">
        <f t="shared" si="3574"/>
        <v>10.20.8.188</v>
      </c>
      <c r="U8768" t="str">
        <f t="shared" si="3561"/>
        <v>AZRAD UMAR BIN SHAARI</v>
      </c>
      <c r="V8768" t="str">
        <f t="shared" si="3562"/>
        <v>FARHANA BINTI MUSTAPA</v>
      </c>
      <c r="W8768" t="str">
        <f t="shared" si="3563"/>
        <v>04-08-2020</v>
      </c>
      <c r="X8768" t="str">
        <f t="shared" si="3564"/>
        <v>RAZIMAH ANSAR AHMAD</v>
      </c>
      <c r="Y8768" t="str">
        <f t="shared" si="3565"/>
        <v>04-08-2020</v>
      </c>
      <c r="Z8768" t="str">
        <f>"COS10200804 56"</f>
        <v>COS10200804 56</v>
      </c>
    </row>
    <row r="8769" spans="1:26" x14ac:dyDescent="0.25">
      <c r="A8769" t="str">
        <f t="shared" si="3577"/>
        <v>04-08-2020 11:31:08</v>
      </c>
      <c r="B8769" t="str">
        <f>"0000801964"</f>
        <v>0000801964</v>
      </c>
      <c r="C8769" t="str">
        <f t="shared" si="3578"/>
        <v>0000801909</v>
      </c>
      <c r="D8769" t="str">
        <f t="shared" si="3555"/>
        <v>73185</v>
      </c>
      <c r="E8769" t="str">
        <f t="shared" si="3556"/>
        <v>KFH-OPERATIONS DEPARTMENT</v>
      </c>
      <c r="F8769" t="str">
        <f t="shared" si="3557"/>
        <v>IBG</v>
      </c>
      <c r="G8769" t="str">
        <f t="shared" si="3566"/>
        <v>Refund COSHARE 10</v>
      </c>
      <c r="H8769" s="2">
        <v>394.6</v>
      </c>
      <c r="I8769" t="str">
        <f>"FOUZIEE BIN SAID"</f>
        <v>FOUZIEE BIN SAID</v>
      </c>
      <c r="J8769" t="str">
        <f t="shared" si="3579"/>
        <v>ALLIANCE BANK / ALLIANCE ISLAMIC BANK</v>
      </c>
      <c r="K8769" t="str">
        <f>"601910020060641"</f>
        <v>601910020060641</v>
      </c>
      <c r="L8769" t="str">
        <f t="shared" si="3580"/>
        <v>04-08-2020</v>
      </c>
      <c r="M8769" t="str">
        <f t="shared" si="3580"/>
        <v>04-08-2020</v>
      </c>
      <c r="N8769" t="str">
        <f t="shared" si="3558"/>
        <v>001105018356</v>
      </c>
      <c r="O8769" t="str">
        <f t="shared" si="3559"/>
        <v>MYR</v>
      </c>
      <c r="P8769" t="str">
        <f t="shared" si="3581"/>
        <v>NIL</v>
      </c>
      <c r="Q8769" t="str">
        <f t="shared" si="3581"/>
        <v>NIL</v>
      </c>
      <c r="R8769" t="str">
        <f t="shared" si="3573"/>
        <v>Accepted</v>
      </c>
      <c r="S8769" t="str">
        <f t="shared" si="3560"/>
        <v>Approved</v>
      </c>
      <c r="T8769" t="str">
        <f t="shared" si="3574"/>
        <v>10.20.8.188</v>
      </c>
      <c r="U8769" t="str">
        <f t="shared" si="3561"/>
        <v>AZRAD UMAR BIN SHAARI</v>
      </c>
      <c r="V8769" t="str">
        <f t="shared" si="3562"/>
        <v>FARHANA BINTI MUSTAPA</v>
      </c>
      <c r="W8769" t="str">
        <f t="shared" si="3563"/>
        <v>04-08-2020</v>
      </c>
      <c r="X8769" t="str">
        <f t="shared" si="3564"/>
        <v>RAZIMAH ANSAR AHMAD</v>
      </c>
      <c r="Y8769" t="str">
        <f t="shared" si="3565"/>
        <v>04-08-2020</v>
      </c>
      <c r="Z8769" t="str">
        <f>"COS10200804 55"</f>
        <v>COS10200804 55</v>
      </c>
    </row>
    <row r="8770" spans="1:26" x14ac:dyDescent="0.25">
      <c r="A8770" t="str">
        <f t="shared" si="3577"/>
        <v>04-08-2020 11:31:08</v>
      </c>
      <c r="B8770" t="str">
        <f>"0000801963"</f>
        <v>0000801963</v>
      </c>
      <c r="C8770" t="str">
        <f t="shared" si="3578"/>
        <v>0000801909</v>
      </c>
      <c r="D8770" t="str">
        <f t="shared" si="3555"/>
        <v>73185</v>
      </c>
      <c r="E8770" t="str">
        <f t="shared" si="3556"/>
        <v>KFH-OPERATIONS DEPARTMENT</v>
      </c>
      <c r="F8770" t="str">
        <f t="shared" si="3557"/>
        <v>IBG</v>
      </c>
      <c r="G8770" t="str">
        <f t="shared" si="3566"/>
        <v>Refund COSHARE 10</v>
      </c>
      <c r="H8770" s="2">
        <v>266</v>
      </c>
      <c r="I8770" t="str">
        <f>"ERNA DARIUS"</f>
        <v>ERNA DARIUS</v>
      </c>
      <c r="J8770" t="str">
        <f t="shared" si="3579"/>
        <v>ALLIANCE BANK / ALLIANCE ISLAMIC BANK</v>
      </c>
      <c r="K8770" t="str">
        <f>"600520020041587"</f>
        <v>600520020041587</v>
      </c>
      <c r="L8770" t="str">
        <f t="shared" si="3580"/>
        <v>04-08-2020</v>
      </c>
      <c r="M8770" t="str">
        <f t="shared" si="3580"/>
        <v>04-08-2020</v>
      </c>
      <c r="N8770" t="str">
        <f t="shared" si="3558"/>
        <v>001105018356</v>
      </c>
      <c r="O8770" t="str">
        <f t="shared" si="3559"/>
        <v>MYR</v>
      </c>
      <c r="P8770" t="str">
        <f t="shared" si="3581"/>
        <v>NIL</v>
      </c>
      <c r="Q8770" t="str">
        <f t="shared" si="3581"/>
        <v>NIL</v>
      </c>
      <c r="R8770" t="str">
        <f t="shared" si="3573"/>
        <v>Accepted</v>
      </c>
      <c r="S8770" t="str">
        <f t="shared" si="3560"/>
        <v>Approved</v>
      </c>
      <c r="T8770" t="str">
        <f t="shared" si="3574"/>
        <v>10.20.8.188</v>
      </c>
      <c r="U8770" t="str">
        <f t="shared" si="3561"/>
        <v>AZRAD UMAR BIN SHAARI</v>
      </c>
      <c r="V8770" t="str">
        <f t="shared" si="3562"/>
        <v>FARHANA BINTI MUSTAPA</v>
      </c>
      <c r="W8770" t="str">
        <f t="shared" si="3563"/>
        <v>04-08-2020</v>
      </c>
      <c r="X8770" t="str">
        <f t="shared" si="3564"/>
        <v>RAZIMAH ANSAR AHMAD</v>
      </c>
      <c r="Y8770" t="str">
        <f t="shared" si="3565"/>
        <v>04-08-2020</v>
      </c>
      <c r="Z8770" t="str">
        <f>"COS10200804 54"</f>
        <v>COS10200804 54</v>
      </c>
    </row>
    <row r="8771" spans="1:26" x14ac:dyDescent="0.25">
      <c r="A8771" t="str">
        <f t="shared" si="3577"/>
        <v>04-08-2020 11:31:08</v>
      </c>
      <c r="B8771" t="str">
        <f>"0000801962"</f>
        <v>0000801962</v>
      </c>
      <c r="C8771" t="str">
        <f t="shared" si="3578"/>
        <v>0000801909</v>
      </c>
      <c r="D8771" t="str">
        <f t="shared" si="3555"/>
        <v>73185</v>
      </c>
      <c r="E8771" t="str">
        <f t="shared" si="3556"/>
        <v>KFH-OPERATIONS DEPARTMENT</v>
      </c>
      <c r="F8771" t="str">
        <f t="shared" si="3557"/>
        <v>IBG</v>
      </c>
      <c r="G8771" t="str">
        <f t="shared" si="3566"/>
        <v>Refund COSHARE 10</v>
      </c>
      <c r="H8771" s="2">
        <v>83.95</v>
      </c>
      <c r="I8771" t="str">
        <f>"EMELLIANA BENJAMIN"</f>
        <v>EMELLIANA BENJAMIN</v>
      </c>
      <c r="J8771" t="str">
        <f t="shared" si="3579"/>
        <v>ALLIANCE BANK / ALLIANCE ISLAMIC BANK</v>
      </c>
      <c r="K8771" t="str">
        <f>"101780021046367"</f>
        <v>101780021046367</v>
      </c>
      <c r="L8771" t="str">
        <f t="shared" si="3580"/>
        <v>04-08-2020</v>
      </c>
      <c r="M8771" t="str">
        <f t="shared" si="3580"/>
        <v>04-08-2020</v>
      </c>
      <c r="N8771" t="str">
        <f t="shared" si="3558"/>
        <v>001105018356</v>
      </c>
      <c r="O8771" t="str">
        <f t="shared" si="3559"/>
        <v>MYR</v>
      </c>
      <c r="P8771" t="str">
        <f t="shared" si="3581"/>
        <v>NIL</v>
      </c>
      <c r="Q8771" t="str">
        <f t="shared" si="3581"/>
        <v>NIL</v>
      </c>
      <c r="R8771" t="str">
        <f t="shared" si="3573"/>
        <v>Accepted</v>
      </c>
      <c r="S8771" t="str">
        <f t="shared" si="3560"/>
        <v>Approved</v>
      </c>
      <c r="T8771" t="str">
        <f t="shared" si="3574"/>
        <v>10.20.8.188</v>
      </c>
      <c r="U8771" t="str">
        <f t="shared" si="3561"/>
        <v>AZRAD UMAR BIN SHAARI</v>
      </c>
      <c r="V8771" t="str">
        <f t="shared" si="3562"/>
        <v>FARHANA BINTI MUSTAPA</v>
      </c>
      <c r="W8771" t="str">
        <f t="shared" si="3563"/>
        <v>04-08-2020</v>
      </c>
      <c r="X8771" t="str">
        <f t="shared" si="3564"/>
        <v>RAZIMAH ANSAR AHMAD</v>
      </c>
      <c r="Y8771" t="str">
        <f t="shared" si="3565"/>
        <v>04-08-2020</v>
      </c>
      <c r="Z8771" t="str">
        <f>"COS10200804 53"</f>
        <v>COS10200804 53</v>
      </c>
    </row>
    <row r="8772" spans="1:26" x14ac:dyDescent="0.25">
      <c r="A8772" t="str">
        <f t="shared" si="3577"/>
        <v>04-08-2020 11:31:08</v>
      </c>
      <c r="B8772" t="str">
        <f>"0000801961"</f>
        <v>0000801961</v>
      </c>
      <c r="C8772" t="str">
        <f t="shared" si="3578"/>
        <v>0000801909</v>
      </c>
      <c r="D8772" t="str">
        <f t="shared" si="3555"/>
        <v>73185</v>
      </c>
      <c r="E8772" t="str">
        <f t="shared" si="3556"/>
        <v>KFH-OPERATIONS DEPARTMENT</v>
      </c>
      <c r="F8772" t="str">
        <f t="shared" si="3557"/>
        <v>IBG</v>
      </c>
      <c r="G8772" t="str">
        <f t="shared" si="3566"/>
        <v>Refund COSHARE 10</v>
      </c>
      <c r="H8772" s="2">
        <v>142.75</v>
      </c>
      <c r="I8772" t="str">
        <f>"DOMINIC CHIONG"</f>
        <v>DOMINIC CHIONG</v>
      </c>
      <c r="J8772" t="str">
        <f t="shared" si="3579"/>
        <v>ALLIANCE BANK / ALLIANCE ISLAMIC BANK</v>
      </c>
      <c r="K8772" t="str">
        <f>"101780020050071"</f>
        <v>101780020050071</v>
      </c>
      <c r="L8772" t="str">
        <f t="shared" si="3580"/>
        <v>04-08-2020</v>
      </c>
      <c r="M8772" t="str">
        <f t="shared" si="3580"/>
        <v>04-08-2020</v>
      </c>
      <c r="N8772" t="str">
        <f t="shared" si="3558"/>
        <v>001105018356</v>
      </c>
      <c r="O8772" t="str">
        <f t="shared" si="3559"/>
        <v>MYR</v>
      </c>
      <c r="P8772" t="str">
        <f t="shared" si="3581"/>
        <v>NIL</v>
      </c>
      <c r="Q8772" t="str">
        <f t="shared" si="3581"/>
        <v>NIL</v>
      </c>
      <c r="R8772" t="str">
        <f t="shared" si="3573"/>
        <v>Accepted</v>
      </c>
      <c r="S8772" t="str">
        <f t="shared" si="3560"/>
        <v>Approved</v>
      </c>
      <c r="T8772" t="str">
        <f t="shared" si="3574"/>
        <v>10.20.8.188</v>
      </c>
      <c r="U8772" t="str">
        <f t="shared" si="3561"/>
        <v>AZRAD UMAR BIN SHAARI</v>
      </c>
      <c r="V8772" t="str">
        <f t="shared" si="3562"/>
        <v>FARHANA BINTI MUSTAPA</v>
      </c>
      <c r="W8772" t="str">
        <f t="shared" si="3563"/>
        <v>04-08-2020</v>
      </c>
      <c r="X8772" t="str">
        <f t="shared" si="3564"/>
        <v>RAZIMAH ANSAR AHMAD</v>
      </c>
      <c r="Y8772" t="str">
        <f t="shared" si="3565"/>
        <v>04-08-2020</v>
      </c>
      <c r="Z8772" t="str">
        <f>"COS10200804 52"</f>
        <v>COS10200804 52</v>
      </c>
    </row>
    <row r="8773" spans="1:26" x14ac:dyDescent="0.25">
      <c r="A8773" t="str">
        <f t="shared" si="3577"/>
        <v>04-08-2020 11:31:08</v>
      </c>
      <c r="B8773" t="str">
        <f>"0000801960"</f>
        <v>0000801960</v>
      </c>
      <c r="C8773" t="str">
        <f t="shared" si="3578"/>
        <v>0000801909</v>
      </c>
      <c r="D8773" t="str">
        <f t="shared" si="3555"/>
        <v>73185</v>
      </c>
      <c r="E8773" t="str">
        <f t="shared" si="3556"/>
        <v>KFH-OPERATIONS DEPARTMENT</v>
      </c>
      <c r="F8773" t="str">
        <f t="shared" si="3557"/>
        <v>IBG</v>
      </c>
      <c r="G8773" t="str">
        <f t="shared" si="3566"/>
        <v>Refund COSHARE 10</v>
      </c>
      <c r="H8773" s="2">
        <v>443.5</v>
      </c>
      <c r="I8773" t="str">
        <f>"DK AIPAH BINTI PG MATUSIN  MATUSIN"</f>
        <v>DK AIPAH BINTI PG MATUSIN  MATUSIN</v>
      </c>
      <c r="J8773" t="str">
        <f t="shared" si="3579"/>
        <v>ALLIANCE BANK / ALLIANCE ISLAMIC BANK</v>
      </c>
      <c r="K8773" t="str">
        <f>"601460020049006"</f>
        <v>601460020049006</v>
      </c>
      <c r="L8773" t="str">
        <f t="shared" si="3580"/>
        <v>04-08-2020</v>
      </c>
      <c r="M8773" t="str">
        <f t="shared" si="3580"/>
        <v>04-08-2020</v>
      </c>
      <c r="N8773" t="str">
        <f t="shared" si="3558"/>
        <v>001105018356</v>
      </c>
      <c r="O8773" t="str">
        <f t="shared" si="3559"/>
        <v>MYR</v>
      </c>
      <c r="P8773" t="str">
        <f t="shared" si="3581"/>
        <v>NIL</v>
      </c>
      <c r="Q8773" t="str">
        <f t="shared" si="3581"/>
        <v>NIL</v>
      </c>
      <c r="R8773" t="str">
        <f t="shared" si="3573"/>
        <v>Accepted</v>
      </c>
      <c r="S8773" t="str">
        <f t="shared" si="3560"/>
        <v>Approved</v>
      </c>
      <c r="T8773" t="str">
        <f t="shared" si="3574"/>
        <v>10.20.8.188</v>
      </c>
      <c r="U8773" t="str">
        <f t="shared" si="3561"/>
        <v>AZRAD UMAR BIN SHAARI</v>
      </c>
      <c r="V8773" t="str">
        <f t="shared" si="3562"/>
        <v>FARHANA BINTI MUSTAPA</v>
      </c>
      <c r="W8773" t="str">
        <f t="shared" si="3563"/>
        <v>04-08-2020</v>
      </c>
      <c r="X8773" t="str">
        <f t="shared" si="3564"/>
        <v>RAZIMAH ANSAR AHMAD</v>
      </c>
      <c r="Y8773" t="str">
        <f t="shared" si="3565"/>
        <v>04-08-2020</v>
      </c>
      <c r="Z8773" t="str">
        <f>"COS10200804 51"</f>
        <v>COS10200804 51</v>
      </c>
    </row>
    <row r="8774" spans="1:26" x14ac:dyDescent="0.25">
      <c r="A8774" t="str">
        <f t="shared" si="3577"/>
        <v>04-08-2020 11:31:08</v>
      </c>
      <c r="B8774" t="str">
        <f>"0000801959"</f>
        <v>0000801959</v>
      </c>
      <c r="C8774" t="str">
        <f t="shared" si="3578"/>
        <v>0000801909</v>
      </c>
      <c r="D8774" t="str">
        <f t="shared" si="3555"/>
        <v>73185</v>
      </c>
      <c r="E8774" t="str">
        <f t="shared" si="3556"/>
        <v>KFH-OPERATIONS DEPARTMENT</v>
      </c>
      <c r="F8774" t="str">
        <f t="shared" si="3557"/>
        <v>IBG</v>
      </c>
      <c r="G8774" t="str">
        <f t="shared" si="3566"/>
        <v>Refund COSHARE 10</v>
      </c>
      <c r="H8774" s="2">
        <v>878.25</v>
      </c>
      <c r="I8774" t="str">
        <f>"CHIN LEE MEI  MARY TAN"</f>
        <v>CHIN LEE MEI  MARY TAN</v>
      </c>
      <c r="J8774" t="str">
        <f t="shared" si="3579"/>
        <v>ALLIANCE BANK / ALLIANCE ISLAMIC BANK</v>
      </c>
      <c r="K8774" t="str">
        <f>"101960020109030"</f>
        <v>101960020109030</v>
      </c>
      <c r="L8774" t="str">
        <f t="shared" si="3580"/>
        <v>04-08-2020</v>
      </c>
      <c r="M8774" t="str">
        <f t="shared" si="3580"/>
        <v>04-08-2020</v>
      </c>
      <c r="N8774" t="str">
        <f t="shared" si="3558"/>
        <v>001105018356</v>
      </c>
      <c r="O8774" t="str">
        <f t="shared" si="3559"/>
        <v>MYR</v>
      </c>
      <c r="P8774" t="str">
        <f t="shared" si="3581"/>
        <v>NIL</v>
      </c>
      <c r="Q8774" t="str">
        <f t="shared" si="3581"/>
        <v>NIL</v>
      </c>
      <c r="R8774" t="str">
        <f t="shared" si="3573"/>
        <v>Accepted</v>
      </c>
      <c r="S8774" t="str">
        <f t="shared" si="3560"/>
        <v>Approved</v>
      </c>
      <c r="T8774" t="str">
        <f t="shared" si="3574"/>
        <v>10.20.8.188</v>
      </c>
      <c r="U8774" t="str">
        <f t="shared" si="3561"/>
        <v>AZRAD UMAR BIN SHAARI</v>
      </c>
      <c r="V8774" t="str">
        <f t="shared" si="3562"/>
        <v>FARHANA BINTI MUSTAPA</v>
      </c>
      <c r="W8774" t="str">
        <f t="shared" si="3563"/>
        <v>04-08-2020</v>
      </c>
      <c r="X8774" t="str">
        <f t="shared" si="3564"/>
        <v>RAZIMAH ANSAR AHMAD</v>
      </c>
      <c r="Y8774" t="str">
        <f t="shared" si="3565"/>
        <v>04-08-2020</v>
      </c>
      <c r="Z8774" t="str">
        <f>"COS10200804 50"</f>
        <v>COS10200804 50</v>
      </c>
    </row>
    <row r="8775" spans="1:26" x14ac:dyDescent="0.25">
      <c r="A8775" t="str">
        <f t="shared" si="3577"/>
        <v>04-08-2020 11:31:08</v>
      </c>
      <c r="B8775" t="str">
        <f>"0000801958"</f>
        <v>0000801958</v>
      </c>
      <c r="C8775" t="str">
        <f t="shared" si="3578"/>
        <v>0000801909</v>
      </c>
      <c r="D8775" t="str">
        <f t="shared" ref="D8775:D8823" si="3582">"73185"</f>
        <v>73185</v>
      </c>
      <c r="E8775" t="str">
        <f t="shared" ref="E8775:E8823" si="3583">"KFH-OPERATIONS DEPARTMENT"</f>
        <v>KFH-OPERATIONS DEPARTMENT</v>
      </c>
      <c r="F8775" t="str">
        <f t="shared" ref="F8775:F8823" si="3584">"IBG"</f>
        <v>IBG</v>
      </c>
      <c r="G8775" t="str">
        <f t="shared" si="3566"/>
        <v>Refund COSHARE 10</v>
      </c>
      <c r="H8775" s="2">
        <v>931.85</v>
      </c>
      <c r="I8775" t="str">
        <f>"BURNO BIN SIMON"</f>
        <v>BURNO BIN SIMON</v>
      </c>
      <c r="J8775" t="str">
        <f t="shared" si="3579"/>
        <v>ALLIANCE BANK / ALLIANCE ISLAMIC BANK</v>
      </c>
      <c r="K8775" t="str">
        <f>"101960022010874"</f>
        <v>101960022010874</v>
      </c>
      <c r="L8775" t="str">
        <f t="shared" si="3580"/>
        <v>04-08-2020</v>
      </c>
      <c r="M8775" t="str">
        <f t="shared" si="3580"/>
        <v>04-08-2020</v>
      </c>
      <c r="N8775" t="str">
        <f t="shared" ref="N8775:N8823" si="3585">"001105018356"</f>
        <v>001105018356</v>
      </c>
      <c r="O8775" t="str">
        <f t="shared" ref="O8775:O8823" si="3586">"MYR"</f>
        <v>MYR</v>
      </c>
      <c r="P8775" t="str">
        <f t="shared" si="3581"/>
        <v>NIL</v>
      </c>
      <c r="Q8775" t="str">
        <f t="shared" si="3581"/>
        <v>NIL</v>
      </c>
      <c r="R8775" t="str">
        <f t="shared" si="3573"/>
        <v>Accepted</v>
      </c>
      <c r="S8775" t="str">
        <f t="shared" ref="S8775:S8823" si="3587">"Approved"</f>
        <v>Approved</v>
      </c>
      <c r="T8775" t="str">
        <f t="shared" si="3574"/>
        <v>10.20.8.188</v>
      </c>
      <c r="U8775" t="str">
        <f t="shared" ref="U8775:U8823" si="3588">"AZRAD UMAR BIN SHAARI"</f>
        <v>AZRAD UMAR BIN SHAARI</v>
      </c>
      <c r="V8775" t="str">
        <f t="shared" ref="V8775:V8823" si="3589">"FARHANA BINTI MUSTAPA"</f>
        <v>FARHANA BINTI MUSTAPA</v>
      </c>
      <c r="W8775" t="str">
        <f t="shared" ref="W8775:W8823" si="3590">"04-08-2020"</f>
        <v>04-08-2020</v>
      </c>
      <c r="X8775" t="str">
        <f t="shared" ref="X8775:X8823" si="3591">"RAZIMAH ANSAR AHMAD"</f>
        <v>RAZIMAH ANSAR AHMAD</v>
      </c>
      <c r="Y8775" t="str">
        <f t="shared" ref="Y8775:Y8823" si="3592">"04-08-2020"</f>
        <v>04-08-2020</v>
      </c>
      <c r="Z8775" t="str">
        <f>"COS10200804 49"</f>
        <v>COS10200804 49</v>
      </c>
    </row>
    <row r="8776" spans="1:26" x14ac:dyDescent="0.25">
      <c r="A8776" t="str">
        <f t="shared" si="3577"/>
        <v>04-08-2020 11:31:08</v>
      </c>
      <c r="B8776" t="str">
        <f>"0000801957"</f>
        <v>0000801957</v>
      </c>
      <c r="C8776" t="str">
        <f t="shared" si="3578"/>
        <v>0000801909</v>
      </c>
      <c r="D8776" t="str">
        <f t="shared" si="3582"/>
        <v>73185</v>
      </c>
      <c r="E8776" t="str">
        <f t="shared" si="3583"/>
        <v>KFH-OPERATIONS DEPARTMENT</v>
      </c>
      <c r="F8776" t="str">
        <f t="shared" si="3584"/>
        <v>IBG</v>
      </c>
      <c r="G8776" t="str">
        <f t="shared" si="3566"/>
        <v>Refund COSHARE 10</v>
      </c>
      <c r="H8776" s="2">
        <v>214.5</v>
      </c>
      <c r="I8776" t="str">
        <f>"BETY BINTI TATI"</f>
        <v>BETY BINTI TATI</v>
      </c>
      <c r="J8776" t="str">
        <f t="shared" si="3579"/>
        <v>ALLIANCE BANK / ALLIANCE ISLAMIC BANK</v>
      </c>
      <c r="K8776" t="str">
        <f>"601000020035966"</f>
        <v>601000020035966</v>
      </c>
      <c r="L8776" t="str">
        <f t="shared" si="3580"/>
        <v>04-08-2020</v>
      </c>
      <c r="M8776" t="str">
        <f t="shared" si="3580"/>
        <v>04-08-2020</v>
      </c>
      <c r="N8776" t="str">
        <f t="shared" si="3585"/>
        <v>001105018356</v>
      </c>
      <c r="O8776" t="str">
        <f t="shared" si="3586"/>
        <v>MYR</v>
      </c>
      <c r="P8776" t="str">
        <f t="shared" si="3581"/>
        <v>NIL</v>
      </c>
      <c r="Q8776" t="str">
        <f t="shared" si="3581"/>
        <v>NIL</v>
      </c>
      <c r="R8776" t="str">
        <f t="shared" si="3573"/>
        <v>Accepted</v>
      </c>
      <c r="S8776" t="str">
        <f t="shared" si="3587"/>
        <v>Approved</v>
      </c>
      <c r="T8776" t="str">
        <f t="shared" si="3574"/>
        <v>10.20.8.188</v>
      </c>
      <c r="U8776" t="str">
        <f t="shared" si="3588"/>
        <v>AZRAD UMAR BIN SHAARI</v>
      </c>
      <c r="V8776" t="str">
        <f t="shared" si="3589"/>
        <v>FARHANA BINTI MUSTAPA</v>
      </c>
      <c r="W8776" t="str">
        <f t="shared" si="3590"/>
        <v>04-08-2020</v>
      </c>
      <c r="X8776" t="str">
        <f t="shared" si="3591"/>
        <v>RAZIMAH ANSAR AHMAD</v>
      </c>
      <c r="Y8776" t="str">
        <f t="shared" si="3592"/>
        <v>04-08-2020</v>
      </c>
      <c r="Z8776" t="str">
        <f>"COS10200804 48"</f>
        <v>COS10200804 48</v>
      </c>
    </row>
    <row r="8777" spans="1:26" x14ac:dyDescent="0.25">
      <c r="A8777" t="str">
        <f t="shared" si="3577"/>
        <v>04-08-2020 11:31:08</v>
      </c>
      <c r="B8777" t="str">
        <f>"0000801956"</f>
        <v>0000801956</v>
      </c>
      <c r="C8777" t="str">
        <f t="shared" si="3578"/>
        <v>0000801909</v>
      </c>
      <c r="D8777" t="str">
        <f t="shared" si="3582"/>
        <v>73185</v>
      </c>
      <c r="E8777" t="str">
        <f t="shared" si="3583"/>
        <v>KFH-OPERATIONS DEPARTMENT</v>
      </c>
      <c r="F8777" t="str">
        <f t="shared" si="3584"/>
        <v>IBG</v>
      </c>
      <c r="G8777" t="str">
        <f t="shared" si="3566"/>
        <v>Refund COSHARE 10</v>
      </c>
      <c r="H8777" s="2">
        <v>293.85000000000002</v>
      </c>
      <c r="I8777" t="str">
        <f>"AZMAN BIN ZAINI"</f>
        <v>AZMAN BIN ZAINI</v>
      </c>
      <c r="J8777" t="str">
        <f t="shared" si="3579"/>
        <v>ALLIANCE BANK / ALLIANCE ISLAMIC BANK</v>
      </c>
      <c r="K8777" t="str">
        <f>"101960022010299"</f>
        <v>101960022010299</v>
      </c>
      <c r="L8777" t="str">
        <f t="shared" si="3580"/>
        <v>04-08-2020</v>
      </c>
      <c r="M8777" t="str">
        <f t="shared" si="3580"/>
        <v>04-08-2020</v>
      </c>
      <c r="N8777" t="str">
        <f t="shared" si="3585"/>
        <v>001105018356</v>
      </c>
      <c r="O8777" t="str">
        <f t="shared" si="3586"/>
        <v>MYR</v>
      </c>
      <c r="P8777" t="str">
        <f t="shared" si="3581"/>
        <v>NIL</v>
      </c>
      <c r="Q8777" t="str">
        <f t="shared" si="3581"/>
        <v>NIL</v>
      </c>
      <c r="R8777" t="str">
        <f t="shared" si="3573"/>
        <v>Accepted</v>
      </c>
      <c r="S8777" t="str">
        <f t="shared" si="3587"/>
        <v>Approved</v>
      </c>
      <c r="T8777" t="str">
        <f t="shared" si="3574"/>
        <v>10.20.8.188</v>
      </c>
      <c r="U8777" t="str">
        <f t="shared" si="3588"/>
        <v>AZRAD UMAR BIN SHAARI</v>
      </c>
      <c r="V8777" t="str">
        <f t="shared" si="3589"/>
        <v>FARHANA BINTI MUSTAPA</v>
      </c>
      <c r="W8777" t="str">
        <f t="shared" si="3590"/>
        <v>04-08-2020</v>
      </c>
      <c r="X8777" t="str">
        <f t="shared" si="3591"/>
        <v>RAZIMAH ANSAR AHMAD</v>
      </c>
      <c r="Y8777" t="str">
        <f t="shared" si="3592"/>
        <v>04-08-2020</v>
      </c>
      <c r="Z8777" t="str">
        <f>"COS10200804 47"</f>
        <v>COS10200804 47</v>
      </c>
    </row>
    <row r="8778" spans="1:26" x14ac:dyDescent="0.25">
      <c r="A8778" t="str">
        <f t="shared" si="3577"/>
        <v>04-08-2020 11:31:08</v>
      </c>
      <c r="B8778" t="str">
        <f>"0000801955"</f>
        <v>0000801955</v>
      </c>
      <c r="C8778" t="str">
        <f t="shared" si="3578"/>
        <v>0000801909</v>
      </c>
      <c r="D8778" t="str">
        <f t="shared" si="3582"/>
        <v>73185</v>
      </c>
      <c r="E8778" t="str">
        <f t="shared" si="3583"/>
        <v>KFH-OPERATIONS DEPARTMENT</v>
      </c>
      <c r="F8778" t="str">
        <f t="shared" si="3584"/>
        <v>IBG</v>
      </c>
      <c r="G8778" t="str">
        <f t="shared" si="3566"/>
        <v>Refund COSHARE 10</v>
      </c>
      <c r="H8778" s="2">
        <v>235.1</v>
      </c>
      <c r="I8778" t="str">
        <f>"AZILAH  SYAZWANI BINTI MERIN"</f>
        <v>AZILAH  SYAZWANI BINTI MERIN</v>
      </c>
      <c r="J8778" t="str">
        <f t="shared" si="3579"/>
        <v>ALLIANCE BANK / ALLIANCE ISLAMIC BANK</v>
      </c>
      <c r="K8778" t="str">
        <f>"101050020078515"</f>
        <v>101050020078515</v>
      </c>
      <c r="L8778" t="str">
        <f t="shared" si="3580"/>
        <v>04-08-2020</v>
      </c>
      <c r="M8778" t="str">
        <f t="shared" si="3580"/>
        <v>04-08-2020</v>
      </c>
      <c r="N8778" t="str">
        <f t="shared" si="3585"/>
        <v>001105018356</v>
      </c>
      <c r="O8778" t="str">
        <f t="shared" si="3586"/>
        <v>MYR</v>
      </c>
      <c r="P8778" t="str">
        <f t="shared" si="3581"/>
        <v>NIL</v>
      </c>
      <c r="Q8778" t="str">
        <f t="shared" si="3581"/>
        <v>NIL</v>
      </c>
      <c r="R8778" t="str">
        <f t="shared" si="3573"/>
        <v>Accepted</v>
      </c>
      <c r="S8778" t="str">
        <f t="shared" si="3587"/>
        <v>Approved</v>
      </c>
      <c r="T8778" t="str">
        <f t="shared" si="3574"/>
        <v>10.20.8.188</v>
      </c>
      <c r="U8778" t="str">
        <f t="shared" si="3588"/>
        <v>AZRAD UMAR BIN SHAARI</v>
      </c>
      <c r="V8778" t="str">
        <f t="shared" si="3589"/>
        <v>FARHANA BINTI MUSTAPA</v>
      </c>
      <c r="W8778" t="str">
        <f t="shared" si="3590"/>
        <v>04-08-2020</v>
      </c>
      <c r="X8778" t="str">
        <f t="shared" si="3591"/>
        <v>RAZIMAH ANSAR AHMAD</v>
      </c>
      <c r="Y8778" t="str">
        <f t="shared" si="3592"/>
        <v>04-08-2020</v>
      </c>
      <c r="Z8778" t="str">
        <f>"COS10200804 46"</f>
        <v>COS10200804 46</v>
      </c>
    </row>
    <row r="8779" spans="1:26" x14ac:dyDescent="0.25">
      <c r="A8779" t="str">
        <f t="shared" si="3577"/>
        <v>04-08-2020 11:31:08</v>
      </c>
      <c r="B8779" t="str">
        <f>"0000801954"</f>
        <v>0000801954</v>
      </c>
      <c r="C8779" t="str">
        <f t="shared" si="3578"/>
        <v>0000801909</v>
      </c>
      <c r="D8779" t="str">
        <f t="shared" si="3582"/>
        <v>73185</v>
      </c>
      <c r="E8779" t="str">
        <f t="shared" si="3583"/>
        <v>KFH-OPERATIONS DEPARTMENT</v>
      </c>
      <c r="F8779" t="str">
        <f t="shared" si="3584"/>
        <v>IBG</v>
      </c>
      <c r="G8779" t="str">
        <f t="shared" si="3566"/>
        <v>Refund COSHARE 10</v>
      </c>
      <c r="H8779" s="2">
        <v>1063</v>
      </c>
      <c r="I8779" t="str">
        <f>"ASMIRDAYANIE BINTI AMIRSAH"</f>
        <v>ASMIRDAYANIE BINTI AMIRSAH</v>
      </c>
      <c r="J8779" t="str">
        <f t="shared" si="3579"/>
        <v>ALLIANCE BANK / ALLIANCE ISLAMIC BANK</v>
      </c>
      <c r="K8779" t="str">
        <f>"101960018001597"</f>
        <v>101960018001597</v>
      </c>
      <c r="L8779" t="str">
        <f t="shared" si="3580"/>
        <v>04-08-2020</v>
      </c>
      <c r="M8779" t="str">
        <f t="shared" si="3580"/>
        <v>04-08-2020</v>
      </c>
      <c r="N8779" t="str">
        <f t="shared" si="3585"/>
        <v>001105018356</v>
      </c>
      <c r="O8779" t="str">
        <f t="shared" si="3586"/>
        <v>MYR</v>
      </c>
      <c r="P8779" t="str">
        <f t="shared" si="3581"/>
        <v>NIL</v>
      </c>
      <c r="Q8779" t="str">
        <f t="shared" si="3581"/>
        <v>NIL</v>
      </c>
      <c r="R8779" t="str">
        <f t="shared" si="3573"/>
        <v>Accepted</v>
      </c>
      <c r="S8779" t="str">
        <f t="shared" si="3587"/>
        <v>Approved</v>
      </c>
      <c r="T8779" t="str">
        <f t="shared" si="3574"/>
        <v>10.20.8.188</v>
      </c>
      <c r="U8779" t="str">
        <f t="shared" si="3588"/>
        <v>AZRAD UMAR BIN SHAARI</v>
      </c>
      <c r="V8779" t="str">
        <f t="shared" si="3589"/>
        <v>FARHANA BINTI MUSTAPA</v>
      </c>
      <c r="W8779" t="str">
        <f t="shared" si="3590"/>
        <v>04-08-2020</v>
      </c>
      <c r="X8779" t="str">
        <f t="shared" si="3591"/>
        <v>RAZIMAH ANSAR AHMAD</v>
      </c>
      <c r="Y8779" t="str">
        <f t="shared" si="3592"/>
        <v>04-08-2020</v>
      </c>
      <c r="Z8779" t="str">
        <f>"COS10200804 45"</f>
        <v>COS10200804 45</v>
      </c>
    </row>
    <row r="8780" spans="1:26" x14ac:dyDescent="0.25">
      <c r="A8780" t="str">
        <f t="shared" si="3577"/>
        <v>04-08-2020 11:31:08</v>
      </c>
      <c r="B8780" t="str">
        <f>"0000801953"</f>
        <v>0000801953</v>
      </c>
      <c r="C8780" t="str">
        <f t="shared" si="3578"/>
        <v>0000801909</v>
      </c>
      <c r="D8780" t="str">
        <f t="shared" si="3582"/>
        <v>73185</v>
      </c>
      <c r="E8780" t="str">
        <f t="shared" si="3583"/>
        <v>KFH-OPERATIONS DEPARTMENT</v>
      </c>
      <c r="F8780" t="str">
        <f t="shared" si="3584"/>
        <v>IBG</v>
      </c>
      <c r="G8780" t="str">
        <f t="shared" ref="G8780:G8823" si="3593">"Refund COSHARE 10"</f>
        <v>Refund COSHARE 10</v>
      </c>
      <c r="H8780" s="2">
        <v>789</v>
      </c>
      <c r="I8780" t="str">
        <f>"ARTINA BINTI ARIFF"</f>
        <v>ARTINA BINTI ARIFF</v>
      </c>
      <c r="J8780" t="str">
        <f t="shared" si="3579"/>
        <v>ALLIANCE BANK / ALLIANCE ISLAMIC BANK</v>
      </c>
      <c r="K8780" t="str">
        <f>"101230020192321"</f>
        <v>101230020192321</v>
      </c>
      <c r="L8780" t="str">
        <f t="shared" si="3580"/>
        <v>04-08-2020</v>
      </c>
      <c r="M8780" t="str">
        <f t="shared" si="3580"/>
        <v>04-08-2020</v>
      </c>
      <c r="N8780" t="str">
        <f t="shared" si="3585"/>
        <v>001105018356</v>
      </c>
      <c r="O8780" t="str">
        <f t="shared" si="3586"/>
        <v>MYR</v>
      </c>
      <c r="P8780" t="str">
        <f t="shared" si="3581"/>
        <v>NIL</v>
      </c>
      <c r="Q8780" t="str">
        <f t="shared" si="3581"/>
        <v>NIL</v>
      </c>
      <c r="R8780" t="str">
        <f t="shared" si="3573"/>
        <v>Accepted</v>
      </c>
      <c r="S8780" t="str">
        <f t="shared" si="3587"/>
        <v>Approved</v>
      </c>
      <c r="T8780" t="str">
        <f t="shared" si="3574"/>
        <v>10.20.8.188</v>
      </c>
      <c r="U8780" t="str">
        <f t="shared" si="3588"/>
        <v>AZRAD UMAR BIN SHAARI</v>
      </c>
      <c r="V8780" t="str">
        <f t="shared" si="3589"/>
        <v>FARHANA BINTI MUSTAPA</v>
      </c>
      <c r="W8780" t="str">
        <f t="shared" si="3590"/>
        <v>04-08-2020</v>
      </c>
      <c r="X8780" t="str">
        <f t="shared" si="3591"/>
        <v>RAZIMAH ANSAR AHMAD</v>
      </c>
      <c r="Y8780" t="str">
        <f t="shared" si="3592"/>
        <v>04-08-2020</v>
      </c>
      <c r="Z8780" t="str">
        <f>"COS10200804 44"</f>
        <v>COS10200804 44</v>
      </c>
    </row>
    <row r="8781" spans="1:26" x14ac:dyDescent="0.25">
      <c r="A8781" t="str">
        <f t="shared" si="3577"/>
        <v>04-08-2020 11:31:08</v>
      </c>
      <c r="B8781" t="str">
        <f>"0000801952"</f>
        <v>0000801952</v>
      </c>
      <c r="C8781" t="str">
        <f t="shared" si="3578"/>
        <v>0000801909</v>
      </c>
      <c r="D8781" t="str">
        <f t="shared" si="3582"/>
        <v>73185</v>
      </c>
      <c r="E8781" t="str">
        <f t="shared" si="3583"/>
        <v>KFH-OPERATIONS DEPARTMENT</v>
      </c>
      <c r="F8781" t="str">
        <f t="shared" si="3584"/>
        <v>IBG</v>
      </c>
      <c r="G8781" t="str">
        <f t="shared" si="3593"/>
        <v>Refund COSHARE 10</v>
      </c>
      <c r="H8781" s="2">
        <v>335.8</v>
      </c>
      <c r="I8781" t="str">
        <f>"AMISAH BINTI NANING"</f>
        <v>AMISAH BINTI NANING</v>
      </c>
      <c r="J8781" t="str">
        <f t="shared" si="3579"/>
        <v>ALLIANCE BANK / ALLIANCE ISLAMIC BANK</v>
      </c>
      <c r="K8781" t="str">
        <f>"100200020132738"</f>
        <v>100200020132738</v>
      </c>
      <c r="L8781" t="str">
        <f t="shared" si="3580"/>
        <v>04-08-2020</v>
      </c>
      <c r="M8781" t="str">
        <f t="shared" si="3580"/>
        <v>04-08-2020</v>
      </c>
      <c r="N8781" t="str">
        <f t="shared" si="3585"/>
        <v>001105018356</v>
      </c>
      <c r="O8781" t="str">
        <f t="shared" si="3586"/>
        <v>MYR</v>
      </c>
      <c r="P8781" t="str">
        <f t="shared" si="3581"/>
        <v>NIL</v>
      </c>
      <c r="Q8781" t="str">
        <f t="shared" si="3581"/>
        <v>NIL</v>
      </c>
      <c r="R8781" t="str">
        <f t="shared" si="3573"/>
        <v>Accepted</v>
      </c>
      <c r="S8781" t="str">
        <f t="shared" si="3587"/>
        <v>Approved</v>
      </c>
      <c r="T8781" t="str">
        <f t="shared" si="3574"/>
        <v>10.20.8.188</v>
      </c>
      <c r="U8781" t="str">
        <f t="shared" si="3588"/>
        <v>AZRAD UMAR BIN SHAARI</v>
      </c>
      <c r="V8781" t="str">
        <f t="shared" si="3589"/>
        <v>FARHANA BINTI MUSTAPA</v>
      </c>
      <c r="W8781" t="str">
        <f t="shared" si="3590"/>
        <v>04-08-2020</v>
      </c>
      <c r="X8781" t="str">
        <f t="shared" si="3591"/>
        <v>RAZIMAH ANSAR AHMAD</v>
      </c>
      <c r="Y8781" t="str">
        <f t="shared" si="3592"/>
        <v>04-08-2020</v>
      </c>
      <c r="Z8781" t="str">
        <f>"COS10200804 43"</f>
        <v>COS10200804 43</v>
      </c>
    </row>
    <row r="8782" spans="1:26" x14ac:dyDescent="0.25">
      <c r="A8782" t="str">
        <f t="shared" si="3577"/>
        <v>04-08-2020 11:31:08</v>
      </c>
      <c r="B8782" t="str">
        <f>"0000801951"</f>
        <v>0000801951</v>
      </c>
      <c r="C8782" t="str">
        <f t="shared" si="3578"/>
        <v>0000801909</v>
      </c>
      <c r="D8782" t="str">
        <f t="shared" si="3582"/>
        <v>73185</v>
      </c>
      <c r="E8782" t="str">
        <f t="shared" si="3583"/>
        <v>KFH-OPERATIONS DEPARTMENT</v>
      </c>
      <c r="F8782" t="str">
        <f t="shared" si="3584"/>
        <v>IBG</v>
      </c>
      <c r="G8782" t="str">
        <f t="shared" si="3593"/>
        <v>Refund COSHARE 10</v>
      </c>
      <c r="H8782" s="2">
        <v>125.95</v>
      </c>
      <c r="I8782" t="str">
        <f>"ALEXANDER VICTOR INDIP"</f>
        <v>ALEXANDER VICTOR INDIP</v>
      </c>
      <c r="J8782" t="str">
        <f t="shared" si="3579"/>
        <v>ALLIANCE BANK / ALLIANCE ISLAMIC BANK</v>
      </c>
      <c r="K8782" t="str">
        <f>"601460020051876"</f>
        <v>601460020051876</v>
      </c>
      <c r="L8782" t="str">
        <f t="shared" si="3580"/>
        <v>04-08-2020</v>
      </c>
      <c r="M8782" t="str">
        <f t="shared" si="3580"/>
        <v>04-08-2020</v>
      </c>
      <c r="N8782" t="str">
        <f t="shared" si="3585"/>
        <v>001105018356</v>
      </c>
      <c r="O8782" t="str">
        <f t="shared" si="3586"/>
        <v>MYR</v>
      </c>
      <c r="P8782" t="str">
        <f t="shared" si="3581"/>
        <v>NIL</v>
      </c>
      <c r="Q8782" t="str">
        <f t="shared" si="3581"/>
        <v>NIL</v>
      </c>
      <c r="R8782" t="str">
        <f t="shared" si="3573"/>
        <v>Accepted</v>
      </c>
      <c r="S8782" t="str">
        <f t="shared" si="3587"/>
        <v>Approved</v>
      </c>
      <c r="T8782" t="str">
        <f t="shared" si="3574"/>
        <v>10.20.8.188</v>
      </c>
      <c r="U8782" t="str">
        <f t="shared" si="3588"/>
        <v>AZRAD UMAR BIN SHAARI</v>
      </c>
      <c r="V8782" t="str">
        <f t="shared" si="3589"/>
        <v>FARHANA BINTI MUSTAPA</v>
      </c>
      <c r="W8782" t="str">
        <f t="shared" si="3590"/>
        <v>04-08-2020</v>
      </c>
      <c r="X8782" t="str">
        <f t="shared" si="3591"/>
        <v>RAZIMAH ANSAR AHMAD</v>
      </c>
      <c r="Y8782" t="str">
        <f t="shared" si="3592"/>
        <v>04-08-2020</v>
      </c>
      <c r="Z8782" t="str">
        <f>"COS10200804 42"</f>
        <v>COS10200804 42</v>
      </c>
    </row>
    <row r="8783" spans="1:26" x14ac:dyDescent="0.25">
      <c r="A8783" t="str">
        <f t="shared" si="3577"/>
        <v>04-08-2020 11:31:08</v>
      </c>
      <c r="B8783" t="str">
        <f>"0000801950"</f>
        <v>0000801950</v>
      </c>
      <c r="C8783" t="str">
        <f t="shared" si="3578"/>
        <v>0000801909</v>
      </c>
      <c r="D8783" t="str">
        <f t="shared" si="3582"/>
        <v>73185</v>
      </c>
      <c r="E8783" t="str">
        <f t="shared" si="3583"/>
        <v>KFH-OPERATIONS DEPARTMENT</v>
      </c>
      <c r="F8783" t="str">
        <f t="shared" si="3584"/>
        <v>IBG</v>
      </c>
      <c r="G8783" t="str">
        <f t="shared" si="3593"/>
        <v>Refund COSHARE 10</v>
      </c>
      <c r="H8783" s="2">
        <v>266</v>
      </c>
      <c r="I8783" t="str">
        <f>"ALEXANDER VICTOR INDIP"</f>
        <v>ALEXANDER VICTOR INDIP</v>
      </c>
      <c r="J8783" t="str">
        <f t="shared" si="3579"/>
        <v>ALLIANCE BANK / ALLIANCE ISLAMIC BANK</v>
      </c>
      <c r="K8783" t="str">
        <f>"601460020051876"</f>
        <v>601460020051876</v>
      </c>
      <c r="L8783" t="str">
        <f t="shared" si="3580"/>
        <v>04-08-2020</v>
      </c>
      <c r="M8783" t="str">
        <f t="shared" si="3580"/>
        <v>04-08-2020</v>
      </c>
      <c r="N8783" t="str">
        <f t="shared" si="3585"/>
        <v>001105018356</v>
      </c>
      <c r="O8783" t="str">
        <f t="shared" si="3586"/>
        <v>MYR</v>
      </c>
      <c r="P8783" t="str">
        <f t="shared" si="3581"/>
        <v>NIL</v>
      </c>
      <c r="Q8783" t="str">
        <f t="shared" si="3581"/>
        <v>NIL</v>
      </c>
      <c r="R8783" t="str">
        <f t="shared" si="3573"/>
        <v>Accepted</v>
      </c>
      <c r="S8783" t="str">
        <f t="shared" si="3587"/>
        <v>Approved</v>
      </c>
      <c r="T8783" t="str">
        <f t="shared" si="3574"/>
        <v>10.20.8.188</v>
      </c>
      <c r="U8783" t="str">
        <f t="shared" si="3588"/>
        <v>AZRAD UMAR BIN SHAARI</v>
      </c>
      <c r="V8783" t="str">
        <f t="shared" si="3589"/>
        <v>FARHANA BINTI MUSTAPA</v>
      </c>
      <c r="W8783" t="str">
        <f t="shared" si="3590"/>
        <v>04-08-2020</v>
      </c>
      <c r="X8783" t="str">
        <f t="shared" si="3591"/>
        <v>RAZIMAH ANSAR AHMAD</v>
      </c>
      <c r="Y8783" t="str">
        <f t="shared" si="3592"/>
        <v>04-08-2020</v>
      </c>
      <c r="Z8783" t="str">
        <f>"COS10200804 41"</f>
        <v>COS10200804 41</v>
      </c>
    </row>
    <row r="8784" spans="1:26" x14ac:dyDescent="0.25">
      <c r="A8784" t="str">
        <f t="shared" ref="A8784:A8815" si="3594">"04-08-2020 11:31:08"</f>
        <v>04-08-2020 11:31:08</v>
      </c>
      <c r="B8784" t="str">
        <f>"0000801949"</f>
        <v>0000801949</v>
      </c>
      <c r="C8784" t="str">
        <f t="shared" ref="C8784:C8815" si="3595">"0000801909"</f>
        <v>0000801909</v>
      </c>
      <c r="D8784" t="str">
        <f t="shared" si="3582"/>
        <v>73185</v>
      </c>
      <c r="E8784" t="str">
        <f t="shared" si="3583"/>
        <v>KFH-OPERATIONS DEPARTMENT</v>
      </c>
      <c r="F8784" t="str">
        <f t="shared" si="3584"/>
        <v>IBG</v>
      </c>
      <c r="G8784" t="str">
        <f t="shared" si="3593"/>
        <v>Refund COSHARE 10</v>
      </c>
      <c r="H8784" s="2">
        <v>159</v>
      </c>
      <c r="I8784" t="str">
        <f>"AFFENDI DZULL BIN SUKUR"</f>
        <v>AFFENDI DZULL BIN SUKUR</v>
      </c>
      <c r="J8784" t="str">
        <f t="shared" si="3579"/>
        <v>ALLIANCE BANK / ALLIANCE ISLAMIC BANK</v>
      </c>
      <c r="K8784" t="str">
        <f>"100840020134031"</f>
        <v>100840020134031</v>
      </c>
      <c r="L8784" t="str">
        <f t="shared" si="3580"/>
        <v>04-08-2020</v>
      </c>
      <c r="M8784" t="str">
        <f t="shared" si="3580"/>
        <v>04-08-2020</v>
      </c>
      <c r="N8784" t="str">
        <f t="shared" si="3585"/>
        <v>001105018356</v>
      </c>
      <c r="O8784" t="str">
        <f t="shared" si="3586"/>
        <v>MYR</v>
      </c>
      <c r="P8784" t="str">
        <f t="shared" si="3581"/>
        <v>NIL</v>
      </c>
      <c r="Q8784" t="str">
        <f t="shared" si="3581"/>
        <v>NIL</v>
      </c>
      <c r="R8784" t="str">
        <f t="shared" si="3573"/>
        <v>Accepted</v>
      </c>
      <c r="S8784" t="str">
        <f t="shared" si="3587"/>
        <v>Approved</v>
      </c>
      <c r="T8784" t="str">
        <f t="shared" si="3574"/>
        <v>10.20.8.188</v>
      </c>
      <c r="U8784" t="str">
        <f t="shared" si="3588"/>
        <v>AZRAD UMAR BIN SHAARI</v>
      </c>
      <c r="V8784" t="str">
        <f t="shared" si="3589"/>
        <v>FARHANA BINTI MUSTAPA</v>
      </c>
      <c r="W8784" t="str">
        <f t="shared" si="3590"/>
        <v>04-08-2020</v>
      </c>
      <c r="X8784" t="str">
        <f t="shared" si="3591"/>
        <v>RAZIMAH ANSAR AHMAD</v>
      </c>
      <c r="Y8784" t="str">
        <f t="shared" si="3592"/>
        <v>04-08-2020</v>
      </c>
      <c r="Z8784" t="str">
        <f>"COS10200804 40"</f>
        <v>COS10200804 40</v>
      </c>
    </row>
    <row r="8785" spans="1:26" x14ac:dyDescent="0.25">
      <c r="A8785" t="str">
        <f t="shared" si="3594"/>
        <v>04-08-2020 11:31:08</v>
      </c>
      <c r="B8785" t="str">
        <f>"0000801948"</f>
        <v>0000801948</v>
      </c>
      <c r="C8785" t="str">
        <f t="shared" si="3595"/>
        <v>0000801909</v>
      </c>
      <c r="D8785" t="str">
        <f t="shared" si="3582"/>
        <v>73185</v>
      </c>
      <c r="E8785" t="str">
        <f t="shared" si="3583"/>
        <v>KFH-OPERATIONS DEPARTMENT</v>
      </c>
      <c r="F8785" t="str">
        <f t="shared" si="3584"/>
        <v>IBG</v>
      </c>
      <c r="G8785" t="str">
        <f t="shared" si="3593"/>
        <v>Refund COSHARE 10</v>
      </c>
      <c r="H8785" s="2">
        <v>562.5</v>
      </c>
      <c r="I8785" t="str">
        <f>"ADRIAN R GAISAN"</f>
        <v>ADRIAN R GAISAN</v>
      </c>
      <c r="J8785" t="str">
        <f t="shared" si="3579"/>
        <v>ALLIANCE BANK / ALLIANCE ISLAMIC BANK</v>
      </c>
      <c r="K8785" t="str">
        <f>"601730020041897"</f>
        <v>601730020041897</v>
      </c>
      <c r="L8785" t="str">
        <f t="shared" si="3580"/>
        <v>04-08-2020</v>
      </c>
      <c r="M8785" t="str">
        <f t="shared" si="3580"/>
        <v>04-08-2020</v>
      </c>
      <c r="N8785" t="str">
        <f t="shared" si="3585"/>
        <v>001105018356</v>
      </c>
      <c r="O8785" t="str">
        <f t="shared" si="3586"/>
        <v>MYR</v>
      </c>
      <c r="P8785" t="str">
        <f t="shared" si="3581"/>
        <v>NIL</v>
      </c>
      <c r="Q8785" t="str">
        <f t="shared" si="3581"/>
        <v>NIL</v>
      </c>
      <c r="R8785" t="str">
        <f t="shared" si="3573"/>
        <v>Accepted</v>
      </c>
      <c r="S8785" t="str">
        <f t="shared" si="3587"/>
        <v>Approved</v>
      </c>
      <c r="T8785" t="str">
        <f t="shared" si="3574"/>
        <v>10.20.8.188</v>
      </c>
      <c r="U8785" t="str">
        <f t="shared" si="3588"/>
        <v>AZRAD UMAR BIN SHAARI</v>
      </c>
      <c r="V8785" t="str">
        <f t="shared" si="3589"/>
        <v>FARHANA BINTI MUSTAPA</v>
      </c>
      <c r="W8785" t="str">
        <f t="shared" si="3590"/>
        <v>04-08-2020</v>
      </c>
      <c r="X8785" t="str">
        <f t="shared" si="3591"/>
        <v>RAZIMAH ANSAR AHMAD</v>
      </c>
      <c r="Y8785" t="str">
        <f t="shared" si="3592"/>
        <v>04-08-2020</v>
      </c>
      <c r="Z8785" t="str">
        <f>"COS10200804 39"</f>
        <v>COS10200804 39</v>
      </c>
    </row>
    <row r="8786" spans="1:26" x14ac:dyDescent="0.25">
      <c r="A8786" t="str">
        <f t="shared" si="3594"/>
        <v>04-08-2020 11:31:08</v>
      </c>
      <c r="B8786" t="str">
        <f>"0000801947"</f>
        <v>0000801947</v>
      </c>
      <c r="C8786" t="str">
        <f t="shared" si="3595"/>
        <v>0000801909</v>
      </c>
      <c r="D8786" t="str">
        <f t="shared" si="3582"/>
        <v>73185</v>
      </c>
      <c r="E8786" t="str">
        <f t="shared" si="3583"/>
        <v>KFH-OPERATIONS DEPARTMENT</v>
      </c>
      <c r="F8786" t="str">
        <f t="shared" si="3584"/>
        <v>IBG</v>
      </c>
      <c r="G8786" t="str">
        <f t="shared" si="3593"/>
        <v>Refund COSHARE 10</v>
      </c>
      <c r="H8786" s="2">
        <v>131</v>
      </c>
      <c r="I8786" t="str">
        <f>"ABDUL RAHIM BIN ABDULLAH"</f>
        <v>ABDUL RAHIM BIN ABDULLAH</v>
      </c>
      <c r="J8786" t="str">
        <f t="shared" si="3579"/>
        <v>ALLIANCE BANK / ALLIANCE ISLAMIC BANK</v>
      </c>
      <c r="K8786" t="str">
        <f>"100390010056827"</f>
        <v>100390010056827</v>
      </c>
      <c r="L8786" t="str">
        <f t="shared" si="3580"/>
        <v>04-08-2020</v>
      </c>
      <c r="M8786" t="str">
        <f t="shared" si="3580"/>
        <v>04-08-2020</v>
      </c>
      <c r="N8786" t="str">
        <f t="shared" si="3585"/>
        <v>001105018356</v>
      </c>
      <c r="O8786" t="str">
        <f t="shared" si="3586"/>
        <v>MYR</v>
      </c>
      <c r="P8786" t="str">
        <f t="shared" si="3581"/>
        <v>NIL</v>
      </c>
      <c r="Q8786" t="str">
        <f t="shared" si="3581"/>
        <v>NIL</v>
      </c>
      <c r="R8786" t="str">
        <f t="shared" si="3573"/>
        <v>Accepted</v>
      </c>
      <c r="S8786" t="str">
        <f t="shared" si="3587"/>
        <v>Approved</v>
      </c>
      <c r="T8786" t="str">
        <f t="shared" si="3574"/>
        <v>10.20.8.188</v>
      </c>
      <c r="U8786" t="str">
        <f t="shared" si="3588"/>
        <v>AZRAD UMAR BIN SHAARI</v>
      </c>
      <c r="V8786" t="str">
        <f t="shared" si="3589"/>
        <v>FARHANA BINTI MUSTAPA</v>
      </c>
      <c r="W8786" t="str">
        <f t="shared" si="3590"/>
        <v>04-08-2020</v>
      </c>
      <c r="X8786" t="str">
        <f t="shared" si="3591"/>
        <v>RAZIMAH ANSAR AHMAD</v>
      </c>
      <c r="Y8786" t="str">
        <f t="shared" si="3592"/>
        <v>04-08-2020</v>
      </c>
      <c r="Z8786" t="str">
        <f>"COS10200804 38"</f>
        <v>COS10200804 38</v>
      </c>
    </row>
    <row r="8787" spans="1:26" x14ac:dyDescent="0.25">
      <c r="A8787" t="str">
        <f t="shared" si="3594"/>
        <v>04-08-2020 11:31:08</v>
      </c>
      <c r="B8787" t="str">
        <f>"0000801946"</f>
        <v>0000801946</v>
      </c>
      <c r="C8787" t="str">
        <f t="shared" si="3595"/>
        <v>0000801909</v>
      </c>
      <c r="D8787" t="str">
        <f t="shared" si="3582"/>
        <v>73185</v>
      </c>
      <c r="E8787" t="str">
        <f t="shared" si="3583"/>
        <v>KFH-OPERATIONS DEPARTMENT</v>
      </c>
      <c r="F8787" t="str">
        <f t="shared" si="3584"/>
        <v>IBG</v>
      </c>
      <c r="G8787" t="str">
        <f t="shared" si="3593"/>
        <v>Refund COSHARE 10</v>
      </c>
      <c r="H8787" s="2">
        <v>1088.5</v>
      </c>
      <c r="I8787" t="str">
        <f>"ABDUL KADIR BIN JAMIL"</f>
        <v>ABDUL KADIR BIN JAMIL</v>
      </c>
      <c r="J8787" t="str">
        <f t="shared" si="3579"/>
        <v>ALLIANCE BANK / ALLIANCE ISLAMIC BANK</v>
      </c>
      <c r="K8787" t="str">
        <f>"101230020139819"</f>
        <v>101230020139819</v>
      </c>
      <c r="L8787" t="str">
        <f t="shared" ref="L8787:M8806" si="3596">"04-08-2020"</f>
        <v>04-08-2020</v>
      </c>
      <c r="M8787" t="str">
        <f t="shared" si="3596"/>
        <v>04-08-2020</v>
      </c>
      <c r="N8787" t="str">
        <f t="shared" si="3585"/>
        <v>001105018356</v>
      </c>
      <c r="O8787" t="str">
        <f t="shared" si="3586"/>
        <v>MYR</v>
      </c>
      <c r="P8787" t="str">
        <f t="shared" ref="P8787:Q8806" si="3597">"NIL"</f>
        <v>NIL</v>
      </c>
      <c r="Q8787" t="str">
        <f t="shared" si="3597"/>
        <v>NIL</v>
      </c>
      <c r="R8787" t="str">
        <f t="shared" si="3573"/>
        <v>Accepted</v>
      </c>
      <c r="S8787" t="str">
        <f t="shared" si="3587"/>
        <v>Approved</v>
      </c>
      <c r="T8787" t="str">
        <f t="shared" si="3574"/>
        <v>10.20.8.188</v>
      </c>
      <c r="U8787" t="str">
        <f t="shared" si="3588"/>
        <v>AZRAD UMAR BIN SHAARI</v>
      </c>
      <c r="V8787" t="str">
        <f t="shared" si="3589"/>
        <v>FARHANA BINTI MUSTAPA</v>
      </c>
      <c r="W8787" t="str">
        <f t="shared" si="3590"/>
        <v>04-08-2020</v>
      </c>
      <c r="X8787" t="str">
        <f t="shared" si="3591"/>
        <v>RAZIMAH ANSAR AHMAD</v>
      </c>
      <c r="Y8787" t="str">
        <f t="shared" si="3592"/>
        <v>04-08-2020</v>
      </c>
      <c r="Z8787" t="str">
        <f>"COS10200804 37"</f>
        <v>COS10200804 37</v>
      </c>
    </row>
    <row r="8788" spans="1:26" x14ac:dyDescent="0.25">
      <c r="A8788" t="str">
        <f t="shared" si="3594"/>
        <v>04-08-2020 11:31:08</v>
      </c>
      <c r="B8788" t="str">
        <f>"0000801945"</f>
        <v>0000801945</v>
      </c>
      <c r="C8788" t="str">
        <f t="shared" si="3595"/>
        <v>0000801909</v>
      </c>
      <c r="D8788" t="str">
        <f t="shared" si="3582"/>
        <v>73185</v>
      </c>
      <c r="E8788" t="str">
        <f t="shared" si="3583"/>
        <v>KFH-OPERATIONS DEPARTMENT</v>
      </c>
      <c r="F8788" t="str">
        <f t="shared" si="3584"/>
        <v>IBG</v>
      </c>
      <c r="G8788" t="str">
        <f t="shared" si="3593"/>
        <v>Refund COSHARE 10</v>
      </c>
      <c r="H8788" s="2">
        <v>642.35</v>
      </c>
      <c r="I8788" t="str">
        <f>"TUAN NOORAINI BINTI TUAN MAT"</f>
        <v>TUAN NOORAINI BINTI TUAN MAT</v>
      </c>
      <c r="J8788" t="str">
        <f t="shared" ref="J8788:J8802" si="3598">"AGROBANK"</f>
        <v>AGROBANK</v>
      </c>
      <c r="K8788" t="str">
        <f>"2006593000070843"</f>
        <v>2006593000070843</v>
      </c>
      <c r="L8788" t="str">
        <f t="shared" si="3596"/>
        <v>04-08-2020</v>
      </c>
      <c r="M8788" t="str">
        <f t="shared" si="3596"/>
        <v>04-08-2020</v>
      </c>
      <c r="N8788" t="str">
        <f t="shared" si="3585"/>
        <v>001105018356</v>
      </c>
      <c r="O8788" t="str">
        <f t="shared" si="3586"/>
        <v>MYR</v>
      </c>
      <c r="P8788" t="str">
        <f t="shared" si="3597"/>
        <v>NIL</v>
      </c>
      <c r="Q8788" t="str">
        <f t="shared" si="3597"/>
        <v>NIL</v>
      </c>
      <c r="R8788" t="str">
        <f t="shared" si="3573"/>
        <v>Accepted</v>
      </c>
      <c r="S8788" t="str">
        <f t="shared" si="3587"/>
        <v>Approved</v>
      </c>
      <c r="T8788" t="str">
        <f t="shared" si="3574"/>
        <v>10.20.8.188</v>
      </c>
      <c r="U8788" t="str">
        <f t="shared" si="3588"/>
        <v>AZRAD UMAR BIN SHAARI</v>
      </c>
      <c r="V8788" t="str">
        <f t="shared" si="3589"/>
        <v>FARHANA BINTI MUSTAPA</v>
      </c>
      <c r="W8788" t="str">
        <f t="shared" si="3590"/>
        <v>04-08-2020</v>
      </c>
      <c r="X8788" t="str">
        <f t="shared" si="3591"/>
        <v>RAZIMAH ANSAR AHMAD</v>
      </c>
      <c r="Y8788" t="str">
        <f t="shared" si="3592"/>
        <v>04-08-2020</v>
      </c>
      <c r="Z8788" t="str">
        <f>"COS10200804 36"</f>
        <v>COS10200804 36</v>
      </c>
    </row>
    <row r="8789" spans="1:26" x14ac:dyDescent="0.25">
      <c r="A8789" t="str">
        <f t="shared" si="3594"/>
        <v>04-08-2020 11:31:08</v>
      </c>
      <c r="B8789" t="str">
        <f>"0000801944"</f>
        <v>0000801944</v>
      </c>
      <c r="C8789" t="str">
        <f t="shared" si="3595"/>
        <v>0000801909</v>
      </c>
      <c r="D8789" t="str">
        <f t="shared" si="3582"/>
        <v>73185</v>
      </c>
      <c r="E8789" t="str">
        <f t="shared" si="3583"/>
        <v>KFH-OPERATIONS DEPARTMENT</v>
      </c>
      <c r="F8789" t="str">
        <f t="shared" si="3584"/>
        <v>IBG</v>
      </c>
      <c r="G8789" t="str">
        <f t="shared" si="3593"/>
        <v>Refund COSHARE 10</v>
      </c>
      <c r="H8789" s="2">
        <v>1303</v>
      </c>
      <c r="I8789" t="str">
        <f>"SALMAH NAZRAH BINTI MAINI YUN  NAYAN"</f>
        <v>SALMAH NAZRAH BINTI MAINI YUN  NAYAN</v>
      </c>
      <c r="J8789" t="str">
        <f t="shared" si="3598"/>
        <v>AGROBANK</v>
      </c>
      <c r="K8789" t="str">
        <f>"1007511000045861"</f>
        <v>1007511000045861</v>
      </c>
      <c r="L8789" t="str">
        <f t="shared" si="3596"/>
        <v>04-08-2020</v>
      </c>
      <c r="M8789" t="str">
        <f t="shared" si="3596"/>
        <v>04-08-2020</v>
      </c>
      <c r="N8789" t="str">
        <f t="shared" si="3585"/>
        <v>001105018356</v>
      </c>
      <c r="O8789" t="str">
        <f t="shared" si="3586"/>
        <v>MYR</v>
      </c>
      <c r="P8789" t="str">
        <f t="shared" si="3597"/>
        <v>NIL</v>
      </c>
      <c r="Q8789" t="str">
        <f t="shared" si="3597"/>
        <v>NIL</v>
      </c>
      <c r="R8789" t="str">
        <f t="shared" si="3573"/>
        <v>Accepted</v>
      </c>
      <c r="S8789" t="str">
        <f t="shared" si="3587"/>
        <v>Approved</v>
      </c>
      <c r="T8789" t="str">
        <f t="shared" si="3574"/>
        <v>10.20.8.188</v>
      </c>
      <c r="U8789" t="str">
        <f t="shared" si="3588"/>
        <v>AZRAD UMAR BIN SHAARI</v>
      </c>
      <c r="V8789" t="str">
        <f t="shared" si="3589"/>
        <v>FARHANA BINTI MUSTAPA</v>
      </c>
      <c r="W8789" t="str">
        <f t="shared" si="3590"/>
        <v>04-08-2020</v>
      </c>
      <c r="X8789" t="str">
        <f t="shared" si="3591"/>
        <v>RAZIMAH ANSAR AHMAD</v>
      </c>
      <c r="Y8789" t="str">
        <f t="shared" si="3592"/>
        <v>04-08-2020</v>
      </c>
      <c r="Z8789" t="str">
        <f>"COS10200804 35"</f>
        <v>COS10200804 35</v>
      </c>
    </row>
    <row r="8790" spans="1:26" x14ac:dyDescent="0.25">
      <c r="A8790" t="str">
        <f t="shared" si="3594"/>
        <v>04-08-2020 11:31:08</v>
      </c>
      <c r="B8790" t="str">
        <f>"0000801943"</f>
        <v>0000801943</v>
      </c>
      <c r="C8790" t="str">
        <f t="shared" si="3595"/>
        <v>0000801909</v>
      </c>
      <c r="D8790" t="str">
        <f t="shared" si="3582"/>
        <v>73185</v>
      </c>
      <c r="E8790" t="str">
        <f t="shared" si="3583"/>
        <v>KFH-OPERATIONS DEPARTMENT</v>
      </c>
      <c r="F8790" t="str">
        <f t="shared" si="3584"/>
        <v>IBG</v>
      </c>
      <c r="G8790" t="str">
        <f t="shared" si="3593"/>
        <v>Refund COSHARE 10</v>
      </c>
      <c r="H8790" s="2">
        <v>122.8</v>
      </c>
      <c r="I8790" t="str">
        <f>"NORMAWATI BINTI RAHMAT"</f>
        <v>NORMAWATI BINTI RAHMAT</v>
      </c>
      <c r="J8790" t="str">
        <f t="shared" si="3598"/>
        <v>AGROBANK</v>
      </c>
      <c r="K8790" t="str">
        <f>"2006781000018052"</f>
        <v>2006781000018052</v>
      </c>
      <c r="L8790" t="str">
        <f t="shared" si="3596"/>
        <v>04-08-2020</v>
      </c>
      <c r="M8790" t="str">
        <f t="shared" si="3596"/>
        <v>04-08-2020</v>
      </c>
      <c r="N8790" t="str">
        <f t="shared" si="3585"/>
        <v>001105018356</v>
      </c>
      <c r="O8790" t="str">
        <f t="shared" si="3586"/>
        <v>MYR</v>
      </c>
      <c r="P8790" t="str">
        <f t="shared" si="3597"/>
        <v>NIL</v>
      </c>
      <c r="Q8790" t="str">
        <f t="shared" si="3597"/>
        <v>NIL</v>
      </c>
      <c r="R8790" t="str">
        <f t="shared" si="3573"/>
        <v>Accepted</v>
      </c>
      <c r="S8790" t="str">
        <f t="shared" si="3587"/>
        <v>Approved</v>
      </c>
      <c r="T8790" t="str">
        <f t="shared" si="3574"/>
        <v>10.20.8.188</v>
      </c>
      <c r="U8790" t="str">
        <f t="shared" si="3588"/>
        <v>AZRAD UMAR BIN SHAARI</v>
      </c>
      <c r="V8790" t="str">
        <f t="shared" si="3589"/>
        <v>FARHANA BINTI MUSTAPA</v>
      </c>
      <c r="W8790" t="str">
        <f t="shared" si="3590"/>
        <v>04-08-2020</v>
      </c>
      <c r="X8790" t="str">
        <f t="shared" si="3591"/>
        <v>RAZIMAH ANSAR AHMAD</v>
      </c>
      <c r="Y8790" t="str">
        <f t="shared" si="3592"/>
        <v>04-08-2020</v>
      </c>
      <c r="Z8790" t="str">
        <f>"COS10200804 34"</f>
        <v>COS10200804 34</v>
      </c>
    </row>
    <row r="8791" spans="1:26" x14ac:dyDescent="0.25">
      <c r="A8791" t="str">
        <f t="shared" si="3594"/>
        <v>04-08-2020 11:31:08</v>
      </c>
      <c r="B8791" t="str">
        <f>"0000801942"</f>
        <v>0000801942</v>
      </c>
      <c r="C8791" t="str">
        <f t="shared" si="3595"/>
        <v>0000801909</v>
      </c>
      <c r="D8791" t="str">
        <f t="shared" si="3582"/>
        <v>73185</v>
      </c>
      <c r="E8791" t="str">
        <f t="shared" si="3583"/>
        <v>KFH-OPERATIONS DEPARTMENT</v>
      </c>
      <c r="F8791" t="str">
        <f t="shared" si="3584"/>
        <v>IBG</v>
      </c>
      <c r="G8791" t="str">
        <f t="shared" si="3593"/>
        <v>Refund COSHARE 10</v>
      </c>
      <c r="H8791" s="2">
        <v>755.55</v>
      </c>
      <c r="I8791" t="str">
        <f>"NOORNIRAHWATY BINTI SAPNIH"</f>
        <v>NOORNIRAHWATY BINTI SAPNIH</v>
      </c>
      <c r="J8791" t="str">
        <f t="shared" si="3598"/>
        <v>AGROBANK</v>
      </c>
      <c r="K8791" t="str">
        <f>"2006891000134610"</f>
        <v>2006891000134610</v>
      </c>
      <c r="L8791" t="str">
        <f t="shared" si="3596"/>
        <v>04-08-2020</v>
      </c>
      <c r="M8791" t="str">
        <f t="shared" si="3596"/>
        <v>04-08-2020</v>
      </c>
      <c r="N8791" t="str">
        <f t="shared" si="3585"/>
        <v>001105018356</v>
      </c>
      <c r="O8791" t="str">
        <f t="shared" si="3586"/>
        <v>MYR</v>
      </c>
      <c r="P8791" t="str">
        <f t="shared" si="3597"/>
        <v>NIL</v>
      </c>
      <c r="Q8791" t="str">
        <f t="shared" si="3597"/>
        <v>NIL</v>
      </c>
      <c r="R8791" t="str">
        <f t="shared" si="3573"/>
        <v>Accepted</v>
      </c>
      <c r="S8791" t="str">
        <f t="shared" si="3587"/>
        <v>Approved</v>
      </c>
      <c r="T8791" t="str">
        <f t="shared" si="3574"/>
        <v>10.20.8.188</v>
      </c>
      <c r="U8791" t="str">
        <f t="shared" si="3588"/>
        <v>AZRAD UMAR BIN SHAARI</v>
      </c>
      <c r="V8791" t="str">
        <f t="shared" si="3589"/>
        <v>FARHANA BINTI MUSTAPA</v>
      </c>
      <c r="W8791" t="str">
        <f t="shared" si="3590"/>
        <v>04-08-2020</v>
      </c>
      <c r="X8791" t="str">
        <f t="shared" si="3591"/>
        <v>RAZIMAH ANSAR AHMAD</v>
      </c>
      <c r="Y8791" t="str">
        <f t="shared" si="3592"/>
        <v>04-08-2020</v>
      </c>
      <c r="Z8791" t="str">
        <f>"COS10200804 33"</f>
        <v>COS10200804 33</v>
      </c>
    </row>
    <row r="8792" spans="1:26" x14ac:dyDescent="0.25">
      <c r="A8792" t="str">
        <f t="shared" si="3594"/>
        <v>04-08-2020 11:31:08</v>
      </c>
      <c r="B8792" t="str">
        <f>"0000801941"</f>
        <v>0000801941</v>
      </c>
      <c r="C8792" t="str">
        <f t="shared" si="3595"/>
        <v>0000801909</v>
      </c>
      <c r="D8792" t="str">
        <f t="shared" si="3582"/>
        <v>73185</v>
      </c>
      <c r="E8792" t="str">
        <f t="shared" si="3583"/>
        <v>KFH-OPERATIONS DEPARTMENT</v>
      </c>
      <c r="F8792" t="str">
        <f t="shared" si="3584"/>
        <v>IBG</v>
      </c>
      <c r="G8792" t="str">
        <f t="shared" si="3593"/>
        <v>Refund COSHARE 10</v>
      </c>
      <c r="H8792" s="2">
        <v>209.9</v>
      </c>
      <c r="I8792" t="str">
        <f>"NOORNIRAHWATY BINTI SAPNIH"</f>
        <v>NOORNIRAHWATY BINTI SAPNIH</v>
      </c>
      <c r="J8792" t="str">
        <f t="shared" si="3598"/>
        <v>AGROBANK</v>
      </c>
      <c r="K8792" t="str">
        <f>"2006891000134610"</f>
        <v>2006891000134610</v>
      </c>
      <c r="L8792" t="str">
        <f t="shared" si="3596"/>
        <v>04-08-2020</v>
      </c>
      <c r="M8792" t="str">
        <f t="shared" si="3596"/>
        <v>04-08-2020</v>
      </c>
      <c r="N8792" t="str">
        <f t="shared" si="3585"/>
        <v>001105018356</v>
      </c>
      <c r="O8792" t="str">
        <f t="shared" si="3586"/>
        <v>MYR</v>
      </c>
      <c r="P8792" t="str">
        <f t="shared" si="3597"/>
        <v>NIL</v>
      </c>
      <c r="Q8792" t="str">
        <f t="shared" si="3597"/>
        <v>NIL</v>
      </c>
      <c r="R8792" t="str">
        <f t="shared" si="3573"/>
        <v>Accepted</v>
      </c>
      <c r="S8792" t="str">
        <f t="shared" si="3587"/>
        <v>Approved</v>
      </c>
      <c r="T8792" t="str">
        <f t="shared" si="3574"/>
        <v>10.20.8.188</v>
      </c>
      <c r="U8792" t="str">
        <f t="shared" si="3588"/>
        <v>AZRAD UMAR BIN SHAARI</v>
      </c>
      <c r="V8792" t="str">
        <f t="shared" si="3589"/>
        <v>FARHANA BINTI MUSTAPA</v>
      </c>
      <c r="W8792" t="str">
        <f t="shared" si="3590"/>
        <v>04-08-2020</v>
      </c>
      <c r="X8792" t="str">
        <f t="shared" si="3591"/>
        <v>RAZIMAH ANSAR AHMAD</v>
      </c>
      <c r="Y8792" t="str">
        <f t="shared" si="3592"/>
        <v>04-08-2020</v>
      </c>
      <c r="Z8792" t="str">
        <f>"COS10200804 32"</f>
        <v>COS10200804 32</v>
      </c>
    </row>
    <row r="8793" spans="1:26" x14ac:dyDescent="0.25">
      <c r="A8793" t="str">
        <f t="shared" si="3594"/>
        <v>04-08-2020 11:31:08</v>
      </c>
      <c r="B8793" t="str">
        <f>"0000801940"</f>
        <v>0000801940</v>
      </c>
      <c r="C8793" t="str">
        <f t="shared" si="3595"/>
        <v>0000801909</v>
      </c>
      <c r="D8793" t="str">
        <f t="shared" si="3582"/>
        <v>73185</v>
      </c>
      <c r="E8793" t="str">
        <f t="shared" si="3583"/>
        <v>KFH-OPERATIONS DEPARTMENT</v>
      </c>
      <c r="F8793" t="str">
        <f t="shared" si="3584"/>
        <v>IBG</v>
      </c>
      <c r="G8793" t="str">
        <f t="shared" si="3593"/>
        <v>Refund COSHARE 10</v>
      </c>
      <c r="H8793" s="2">
        <v>251</v>
      </c>
      <c r="I8793" t="str">
        <f>"MOHAMMAD BIN IBRAHIM  NORDIN"</f>
        <v>MOHAMMAD BIN IBRAHIM  NORDIN</v>
      </c>
      <c r="J8793" t="str">
        <f t="shared" si="3598"/>
        <v>AGROBANK</v>
      </c>
      <c r="K8793" t="str">
        <f>"2005101000056603"</f>
        <v>2005101000056603</v>
      </c>
      <c r="L8793" t="str">
        <f t="shared" si="3596"/>
        <v>04-08-2020</v>
      </c>
      <c r="M8793" t="str">
        <f t="shared" si="3596"/>
        <v>04-08-2020</v>
      </c>
      <c r="N8793" t="str">
        <f t="shared" si="3585"/>
        <v>001105018356</v>
      </c>
      <c r="O8793" t="str">
        <f t="shared" si="3586"/>
        <v>MYR</v>
      </c>
      <c r="P8793" t="str">
        <f t="shared" si="3597"/>
        <v>NIL</v>
      </c>
      <c r="Q8793" t="str">
        <f t="shared" si="3597"/>
        <v>NIL</v>
      </c>
      <c r="R8793" t="str">
        <f t="shared" si="3573"/>
        <v>Accepted</v>
      </c>
      <c r="S8793" t="str">
        <f t="shared" si="3587"/>
        <v>Approved</v>
      </c>
      <c r="T8793" t="str">
        <f t="shared" si="3574"/>
        <v>10.20.8.188</v>
      </c>
      <c r="U8793" t="str">
        <f t="shared" si="3588"/>
        <v>AZRAD UMAR BIN SHAARI</v>
      </c>
      <c r="V8793" t="str">
        <f t="shared" si="3589"/>
        <v>FARHANA BINTI MUSTAPA</v>
      </c>
      <c r="W8793" t="str">
        <f t="shared" si="3590"/>
        <v>04-08-2020</v>
      </c>
      <c r="X8793" t="str">
        <f t="shared" si="3591"/>
        <v>RAZIMAH ANSAR AHMAD</v>
      </c>
      <c r="Y8793" t="str">
        <f t="shared" si="3592"/>
        <v>04-08-2020</v>
      </c>
      <c r="Z8793" t="str">
        <f>"COS10200804 31"</f>
        <v>COS10200804 31</v>
      </c>
    </row>
    <row r="8794" spans="1:26" x14ac:dyDescent="0.25">
      <c r="A8794" t="str">
        <f t="shared" si="3594"/>
        <v>04-08-2020 11:31:08</v>
      </c>
      <c r="B8794" t="str">
        <f>"0000801939"</f>
        <v>0000801939</v>
      </c>
      <c r="C8794" t="str">
        <f t="shared" si="3595"/>
        <v>0000801909</v>
      </c>
      <c r="D8794" t="str">
        <f t="shared" si="3582"/>
        <v>73185</v>
      </c>
      <c r="E8794" t="str">
        <f t="shared" si="3583"/>
        <v>KFH-OPERATIONS DEPARTMENT</v>
      </c>
      <c r="F8794" t="str">
        <f t="shared" si="3584"/>
        <v>IBG</v>
      </c>
      <c r="G8794" t="str">
        <f t="shared" si="3593"/>
        <v>Refund COSHARE 10</v>
      </c>
      <c r="H8794" s="2">
        <v>1830</v>
      </c>
      <c r="I8794" t="str">
        <f>"ASHAWANI BINTI CHE AHMAD"</f>
        <v>ASHAWANI BINTI CHE AHMAD</v>
      </c>
      <c r="J8794" t="str">
        <f t="shared" si="3598"/>
        <v>AGROBANK</v>
      </c>
      <c r="K8794" t="str">
        <f>"2006111000153243"</f>
        <v>2006111000153243</v>
      </c>
      <c r="L8794" t="str">
        <f t="shared" si="3596"/>
        <v>04-08-2020</v>
      </c>
      <c r="M8794" t="str">
        <f t="shared" si="3596"/>
        <v>04-08-2020</v>
      </c>
      <c r="N8794" t="str">
        <f t="shared" si="3585"/>
        <v>001105018356</v>
      </c>
      <c r="O8794" t="str">
        <f t="shared" si="3586"/>
        <v>MYR</v>
      </c>
      <c r="P8794" t="str">
        <f t="shared" si="3597"/>
        <v>NIL</v>
      </c>
      <c r="Q8794" t="str">
        <f t="shared" si="3597"/>
        <v>NIL</v>
      </c>
      <c r="R8794" t="str">
        <f t="shared" si="3573"/>
        <v>Accepted</v>
      </c>
      <c r="S8794" t="str">
        <f t="shared" si="3587"/>
        <v>Approved</v>
      </c>
      <c r="T8794" t="str">
        <f t="shared" si="3574"/>
        <v>10.20.8.188</v>
      </c>
      <c r="U8794" t="str">
        <f t="shared" si="3588"/>
        <v>AZRAD UMAR BIN SHAARI</v>
      </c>
      <c r="V8794" t="str">
        <f t="shared" si="3589"/>
        <v>FARHANA BINTI MUSTAPA</v>
      </c>
      <c r="W8794" t="str">
        <f t="shared" si="3590"/>
        <v>04-08-2020</v>
      </c>
      <c r="X8794" t="str">
        <f t="shared" si="3591"/>
        <v>RAZIMAH ANSAR AHMAD</v>
      </c>
      <c r="Y8794" t="str">
        <f t="shared" si="3592"/>
        <v>04-08-2020</v>
      </c>
      <c r="Z8794" t="str">
        <f>"COS10200804 30"</f>
        <v>COS10200804 30</v>
      </c>
    </row>
    <row r="8795" spans="1:26" x14ac:dyDescent="0.25">
      <c r="A8795" t="str">
        <f t="shared" si="3594"/>
        <v>04-08-2020 11:31:08</v>
      </c>
      <c r="B8795" t="str">
        <f>"0000801938"</f>
        <v>0000801938</v>
      </c>
      <c r="C8795" t="str">
        <f t="shared" si="3595"/>
        <v>0000801909</v>
      </c>
      <c r="D8795" t="str">
        <f t="shared" si="3582"/>
        <v>73185</v>
      </c>
      <c r="E8795" t="str">
        <f t="shared" si="3583"/>
        <v>KFH-OPERATIONS DEPARTMENT</v>
      </c>
      <c r="F8795" t="str">
        <f t="shared" si="3584"/>
        <v>IBG</v>
      </c>
      <c r="G8795" t="str">
        <f t="shared" si="3593"/>
        <v>Refund COSHARE 10</v>
      </c>
      <c r="H8795" s="2">
        <v>319</v>
      </c>
      <c r="I8795" t="str">
        <f>"AHMAD NAZRI BIN ABDUL RAHMAN"</f>
        <v>AHMAD NAZRI BIN ABDUL RAHMAN</v>
      </c>
      <c r="J8795" t="str">
        <f t="shared" si="3598"/>
        <v>AGROBANK</v>
      </c>
      <c r="K8795" t="str">
        <f>"1006841000031029"</f>
        <v>1006841000031029</v>
      </c>
      <c r="L8795" t="str">
        <f t="shared" si="3596"/>
        <v>04-08-2020</v>
      </c>
      <c r="M8795" t="str">
        <f t="shared" si="3596"/>
        <v>04-08-2020</v>
      </c>
      <c r="N8795" t="str">
        <f t="shared" si="3585"/>
        <v>001105018356</v>
      </c>
      <c r="O8795" t="str">
        <f t="shared" si="3586"/>
        <v>MYR</v>
      </c>
      <c r="P8795" t="str">
        <f t="shared" si="3597"/>
        <v>NIL</v>
      </c>
      <c r="Q8795" t="str">
        <f t="shared" si="3597"/>
        <v>NIL</v>
      </c>
      <c r="R8795" t="str">
        <f t="shared" si="3573"/>
        <v>Accepted</v>
      </c>
      <c r="S8795" t="str">
        <f t="shared" si="3587"/>
        <v>Approved</v>
      </c>
      <c r="T8795" t="str">
        <f t="shared" si="3574"/>
        <v>10.20.8.188</v>
      </c>
      <c r="U8795" t="str">
        <f t="shared" si="3588"/>
        <v>AZRAD UMAR BIN SHAARI</v>
      </c>
      <c r="V8795" t="str">
        <f t="shared" si="3589"/>
        <v>FARHANA BINTI MUSTAPA</v>
      </c>
      <c r="W8795" t="str">
        <f t="shared" si="3590"/>
        <v>04-08-2020</v>
      </c>
      <c r="X8795" t="str">
        <f t="shared" si="3591"/>
        <v>RAZIMAH ANSAR AHMAD</v>
      </c>
      <c r="Y8795" t="str">
        <f t="shared" si="3592"/>
        <v>04-08-2020</v>
      </c>
      <c r="Z8795" t="str">
        <f>"COS10200804 29"</f>
        <v>COS10200804 29</v>
      </c>
    </row>
    <row r="8796" spans="1:26" x14ac:dyDescent="0.25">
      <c r="A8796" t="str">
        <f t="shared" si="3594"/>
        <v>04-08-2020 11:31:08</v>
      </c>
      <c r="B8796" t="str">
        <f>"0000801937"</f>
        <v>0000801937</v>
      </c>
      <c r="C8796" t="str">
        <f t="shared" si="3595"/>
        <v>0000801909</v>
      </c>
      <c r="D8796" t="str">
        <f t="shared" si="3582"/>
        <v>73185</v>
      </c>
      <c r="E8796" t="str">
        <f t="shared" si="3583"/>
        <v>KFH-OPERATIONS DEPARTMENT</v>
      </c>
      <c r="F8796" t="str">
        <f t="shared" si="3584"/>
        <v>IBG</v>
      </c>
      <c r="G8796" t="str">
        <f t="shared" si="3593"/>
        <v>Refund COSHARE 10</v>
      </c>
      <c r="H8796" s="2">
        <v>1079</v>
      </c>
      <c r="I8796" t="str">
        <f>"ZAKARIA BIN DERAHMAN"</f>
        <v>ZAKARIA BIN DERAHMAN</v>
      </c>
      <c r="J8796" t="str">
        <f t="shared" si="3598"/>
        <v>AGROBANK</v>
      </c>
      <c r="K8796" t="str">
        <f>"1005491000058303"</f>
        <v>1005491000058303</v>
      </c>
      <c r="L8796" t="str">
        <f t="shared" si="3596"/>
        <v>04-08-2020</v>
      </c>
      <c r="M8796" t="str">
        <f t="shared" si="3596"/>
        <v>04-08-2020</v>
      </c>
      <c r="N8796" t="str">
        <f t="shared" si="3585"/>
        <v>001105018356</v>
      </c>
      <c r="O8796" t="str">
        <f t="shared" si="3586"/>
        <v>MYR</v>
      </c>
      <c r="P8796" t="str">
        <f t="shared" si="3597"/>
        <v>NIL</v>
      </c>
      <c r="Q8796" t="str">
        <f t="shared" si="3597"/>
        <v>NIL</v>
      </c>
      <c r="R8796" t="str">
        <f t="shared" si="3573"/>
        <v>Accepted</v>
      </c>
      <c r="S8796" t="str">
        <f t="shared" si="3587"/>
        <v>Approved</v>
      </c>
      <c r="T8796" t="str">
        <f t="shared" si="3574"/>
        <v>10.20.8.188</v>
      </c>
      <c r="U8796" t="str">
        <f t="shared" si="3588"/>
        <v>AZRAD UMAR BIN SHAARI</v>
      </c>
      <c r="V8796" t="str">
        <f t="shared" si="3589"/>
        <v>FARHANA BINTI MUSTAPA</v>
      </c>
      <c r="W8796" t="str">
        <f t="shared" si="3590"/>
        <v>04-08-2020</v>
      </c>
      <c r="X8796" t="str">
        <f t="shared" si="3591"/>
        <v>RAZIMAH ANSAR AHMAD</v>
      </c>
      <c r="Y8796" t="str">
        <f t="shared" si="3592"/>
        <v>04-08-2020</v>
      </c>
      <c r="Z8796" t="str">
        <f>"COS10200804 28"</f>
        <v>COS10200804 28</v>
      </c>
    </row>
    <row r="8797" spans="1:26" x14ac:dyDescent="0.25">
      <c r="A8797" t="str">
        <f t="shared" si="3594"/>
        <v>04-08-2020 11:31:08</v>
      </c>
      <c r="B8797" t="str">
        <f>"0000801936"</f>
        <v>0000801936</v>
      </c>
      <c r="C8797" t="str">
        <f t="shared" si="3595"/>
        <v>0000801909</v>
      </c>
      <c r="D8797" t="str">
        <f t="shared" si="3582"/>
        <v>73185</v>
      </c>
      <c r="E8797" t="str">
        <f t="shared" si="3583"/>
        <v>KFH-OPERATIONS DEPARTMENT</v>
      </c>
      <c r="F8797" t="str">
        <f t="shared" si="3584"/>
        <v>IBG</v>
      </c>
      <c r="G8797" t="str">
        <f t="shared" si="3593"/>
        <v>Refund COSHARE 10</v>
      </c>
      <c r="H8797" s="2">
        <v>622</v>
      </c>
      <c r="I8797" t="str">
        <f>"ROSMILIA BINTI ISHAK"</f>
        <v>ROSMILIA BINTI ISHAK</v>
      </c>
      <c r="J8797" t="str">
        <f t="shared" si="3598"/>
        <v>AGROBANK</v>
      </c>
      <c r="K8797" t="str">
        <f>"2005181000101442"</f>
        <v>2005181000101442</v>
      </c>
      <c r="L8797" t="str">
        <f t="shared" si="3596"/>
        <v>04-08-2020</v>
      </c>
      <c r="M8797" t="str">
        <f t="shared" si="3596"/>
        <v>04-08-2020</v>
      </c>
      <c r="N8797" t="str">
        <f t="shared" si="3585"/>
        <v>001105018356</v>
      </c>
      <c r="O8797" t="str">
        <f t="shared" si="3586"/>
        <v>MYR</v>
      </c>
      <c r="P8797" t="str">
        <f t="shared" si="3597"/>
        <v>NIL</v>
      </c>
      <c r="Q8797" t="str">
        <f t="shared" si="3597"/>
        <v>NIL</v>
      </c>
      <c r="R8797" t="str">
        <f t="shared" si="3573"/>
        <v>Accepted</v>
      </c>
      <c r="S8797" t="str">
        <f t="shared" si="3587"/>
        <v>Approved</v>
      </c>
      <c r="T8797" t="str">
        <f t="shared" si="3574"/>
        <v>10.20.8.188</v>
      </c>
      <c r="U8797" t="str">
        <f t="shared" si="3588"/>
        <v>AZRAD UMAR BIN SHAARI</v>
      </c>
      <c r="V8797" t="str">
        <f t="shared" si="3589"/>
        <v>FARHANA BINTI MUSTAPA</v>
      </c>
      <c r="W8797" t="str">
        <f t="shared" si="3590"/>
        <v>04-08-2020</v>
      </c>
      <c r="X8797" t="str">
        <f t="shared" si="3591"/>
        <v>RAZIMAH ANSAR AHMAD</v>
      </c>
      <c r="Y8797" t="str">
        <f t="shared" si="3592"/>
        <v>04-08-2020</v>
      </c>
      <c r="Z8797" t="str">
        <f>"COS10200804 27"</f>
        <v>COS10200804 27</v>
      </c>
    </row>
    <row r="8798" spans="1:26" x14ac:dyDescent="0.25">
      <c r="A8798" t="str">
        <f t="shared" si="3594"/>
        <v>04-08-2020 11:31:08</v>
      </c>
      <c r="B8798" t="str">
        <f>"0000801935"</f>
        <v>0000801935</v>
      </c>
      <c r="C8798" t="str">
        <f t="shared" si="3595"/>
        <v>0000801909</v>
      </c>
      <c r="D8798" t="str">
        <f t="shared" si="3582"/>
        <v>73185</v>
      </c>
      <c r="E8798" t="str">
        <f t="shared" si="3583"/>
        <v>KFH-OPERATIONS DEPARTMENT</v>
      </c>
      <c r="F8798" t="str">
        <f t="shared" si="3584"/>
        <v>IBG</v>
      </c>
      <c r="G8798" t="str">
        <f t="shared" si="3593"/>
        <v>Refund COSHARE 10</v>
      </c>
      <c r="H8798" s="2">
        <v>285.45</v>
      </c>
      <c r="I8798" t="str">
        <f>"NOOR AZLINDA BINTI NASIR"</f>
        <v>NOOR AZLINDA BINTI NASIR</v>
      </c>
      <c r="J8798" t="str">
        <f t="shared" si="3598"/>
        <v>AGROBANK</v>
      </c>
      <c r="K8798" t="str">
        <f>"1005141000090830"</f>
        <v>1005141000090830</v>
      </c>
      <c r="L8798" t="str">
        <f t="shared" si="3596"/>
        <v>04-08-2020</v>
      </c>
      <c r="M8798" t="str">
        <f t="shared" si="3596"/>
        <v>04-08-2020</v>
      </c>
      <c r="N8798" t="str">
        <f t="shared" si="3585"/>
        <v>001105018356</v>
      </c>
      <c r="O8798" t="str">
        <f t="shared" si="3586"/>
        <v>MYR</v>
      </c>
      <c r="P8798" t="str">
        <f t="shared" si="3597"/>
        <v>NIL</v>
      </c>
      <c r="Q8798" t="str">
        <f t="shared" si="3597"/>
        <v>NIL</v>
      </c>
      <c r="R8798" t="str">
        <f t="shared" si="3573"/>
        <v>Accepted</v>
      </c>
      <c r="S8798" t="str">
        <f t="shared" si="3587"/>
        <v>Approved</v>
      </c>
      <c r="T8798" t="str">
        <f t="shared" si="3574"/>
        <v>10.20.8.188</v>
      </c>
      <c r="U8798" t="str">
        <f t="shared" si="3588"/>
        <v>AZRAD UMAR BIN SHAARI</v>
      </c>
      <c r="V8798" t="str">
        <f t="shared" si="3589"/>
        <v>FARHANA BINTI MUSTAPA</v>
      </c>
      <c r="W8798" t="str">
        <f t="shared" si="3590"/>
        <v>04-08-2020</v>
      </c>
      <c r="X8798" t="str">
        <f t="shared" si="3591"/>
        <v>RAZIMAH ANSAR AHMAD</v>
      </c>
      <c r="Y8798" t="str">
        <f t="shared" si="3592"/>
        <v>04-08-2020</v>
      </c>
      <c r="Z8798" t="str">
        <f>"COS10200804 26"</f>
        <v>COS10200804 26</v>
      </c>
    </row>
    <row r="8799" spans="1:26" x14ac:dyDescent="0.25">
      <c r="A8799" t="str">
        <f t="shared" si="3594"/>
        <v>04-08-2020 11:31:08</v>
      </c>
      <c r="B8799" t="str">
        <f>"0000801934"</f>
        <v>0000801934</v>
      </c>
      <c r="C8799" t="str">
        <f t="shared" si="3595"/>
        <v>0000801909</v>
      </c>
      <c r="D8799" t="str">
        <f t="shared" si="3582"/>
        <v>73185</v>
      </c>
      <c r="E8799" t="str">
        <f t="shared" si="3583"/>
        <v>KFH-OPERATIONS DEPARTMENT</v>
      </c>
      <c r="F8799" t="str">
        <f t="shared" si="3584"/>
        <v>IBG</v>
      </c>
      <c r="G8799" t="str">
        <f t="shared" si="3593"/>
        <v>Refund COSHARE 10</v>
      </c>
      <c r="H8799" s="2">
        <v>949</v>
      </c>
      <c r="I8799" t="str">
        <f>"MASSIRAH BINTI ABDUL RAHMAN"</f>
        <v>MASSIRAH BINTI ABDUL RAHMAN</v>
      </c>
      <c r="J8799" t="str">
        <f t="shared" si="3598"/>
        <v>AGROBANK</v>
      </c>
      <c r="K8799" t="str">
        <f>"1005181000107703"</f>
        <v>1005181000107703</v>
      </c>
      <c r="L8799" t="str">
        <f t="shared" si="3596"/>
        <v>04-08-2020</v>
      </c>
      <c r="M8799" t="str">
        <f t="shared" si="3596"/>
        <v>04-08-2020</v>
      </c>
      <c r="N8799" t="str">
        <f t="shared" si="3585"/>
        <v>001105018356</v>
      </c>
      <c r="O8799" t="str">
        <f t="shared" si="3586"/>
        <v>MYR</v>
      </c>
      <c r="P8799" t="str">
        <f t="shared" si="3597"/>
        <v>NIL</v>
      </c>
      <c r="Q8799" t="str">
        <f t="shared" si="3597"/>
        <v>NIL</v>
      </c>
      <c r="R8799" t="str">
        <f t="shared" si="3573"/>
        <v>Accepted</v>
      </c>
      <c r="S8799" t="str">
        <f t="shared" si="3587"/>
        <v>Approved</v>
      </c>
      <c r="T8799" t="str">
        <f t="shared" si="3574"/>
        <v>10.20.8.188</v>
      </c>
      <c r="U8799" t="str">
        <f t="shared" si="3588"/>
        <v>AZRAD UMAR BIN SHAARI</v>
      </c>
      <c r="V8799" t="str">
        <f t="shared" si="3589"/>
        <v>FARHANA BINTI MUSTAPA</v>
      </c>
      <c r="W8799" t="str">
        <f t="shared" si="3590"/>
        <v>04-08-2020</v>
      </c>
      <c r="X8799" t="str">
        <f t="shared" si="3591"/>
        <v>RAZIMAH ANSAR AHMAD</v>
      </c>
      <c r="Y8799" t="str">
        <f t="shared" si="3592"/>
        <v>04-08-2020</v>
      </c>
      <c r="Z8799" t="str">
        <f>"COS10200804 25"</f>
        <v>COS10200804 25</v>
      </c>
    </row>
    <row r="8800" spans="1:26" x14ac:dyDescent="0.25">
      <c r="A8800" t="str">
        <f t="shared" si="3594"/>
        <v>04-08-2020 11:31:08</v>
      </c>
      <c r="B8800" t="str">
        <f>"0000801933"</f>
        <v>0000801933</v>
      </c>
      <c r="C8800" t="str">
        <f t="shared" si="3595"/>
        <v>0000801909</v>
      </c>
      <c r="D8800" t="str">
        <f t="shared" si="3582"/>
        <v>73185</v>
      </c>
      <c r="E8800" t="str">
        <f t="shared" si="3583"/>
        <v>KFH-OPERATIONS DEPARTMENT</v>
      </c>
      <c r="F8800" t="str">
        <f t="shared" si="3584"/>
        <v>IBG</v>
      </c>
      <c r="G8800" t="str">
        <f t="shared" si="3593"/>
        <v>Refund COSHARE 10</v>
      </c>
      <c r="H8800" s="2">
        <v>1830</v>
      </c>
      <c r="I8800" t="str">
        <f>"KAMISAH BINTI KERAM"</f>
        <v>KAMISAH BINTI KERAM</v>
      </c>
      <c r="J8800" t="str">
        <f t="shared" si="3598"/>
        <v>AGROBANK</v>
      </c>
      <c r="K8800" t="str">
        <f>"1007631000001981"</f>
        <v>1007631000001981</v>
      </c>
      <c r="L8800" t="str">
        <f t="shared" si="3596"/>
        <v>04-08-2020</v>
      </c>
      <c r="M8800" t="str">
        <f t="shared" si="3596"/>
        <v>04-08-2020</v>
      </c>
      <c r="N8800" t="str">
        <f t="shared" si="3585"/>
        <v>001105018356</v>
      </c>
      <c r="O8800" t="str">
        <f t="shared" si="3586"/>
        <v>MYR</v>
      </c>
      <c r="P8800" t="str">
        <f t="shared" si="3597"/>
        <v>NIL</v>
      </c>
      <c r="Q8800" t="str">
        <f t="shared" si="3597"/>
        <v>NIL</v>
      </c>
      <c r="R8800" t="str">
        <f t="shared" si="3573"/>
        <v>Accepted</v>
      </c>
      <c r="S8800" t="str">
        <f t="shared" si="3587"/>
        <v>Approved</v>
      </c>
      <c r="T8800" t="str">
        <f t="shared" si="3574"/>
        <v>10.20.8.188</v>
      </c>
      <c r="U8800" t="str">
        <f t="shared" si="3588"/>
        <v>AZRAD UMAR BIN SHAARI</v>
      </c>
      <c r="V8800" t="str">
        <f t="shared" si="3589"/>
        <v>FARHANA BINTI MUSTAPA</v>
      </c>
      <c r="W8800" t="str">
        <f t="shared" si="3590"/>
        <v>04-08-2020</v>
      </c>
      <c r="X8800" t="str">
        <f t="shared" si="3591"/>
        <v>RAZIMAH ANSAR AHMAD</v>
      </c>
      <c r="Y8800" t="str">
        <f t="shared" si="3592"/>
        <v>04-08-2020</v>
      </c>
      <c r="Z8800" t="str">
        <f>"COS10200804 24"</f>
        <v>COS10200804 24</v>
      </c>
    </row>
    <row r="8801" spans="1:26" x14ac:dyDescent="0.25">
      <c r="A8801" t="str">
        <f t="shared" si="3594"/>
        <v>04-08-2020 11:31:08</v>
      </c>
      <c r="B8801" t="str">
        <f>"0000801932"</f>
        <v>0000801932</v>
      </c>
      <c r="C8801" t="str">
        <f t="shared" si="3595"/>
        <v>0000801909</v>
      </c>
      <c r="D8801" t="str">
        <f t="shared" si="3582"/>
        <v>73185</v>
      </c>
      <c r="E8801" t="str">
        <f t="shared" si="3583"/>
        <v>KFH-OPERATIONS DEPARTMENT</v>
      </c>
      <c r="F8801" t="str">
        <f t="shared" si="3584"/>
        <v>IBG</v>
      </c>
      <c r="G8801" t="str">
        <f t="shared" si="3593"/>
        <v>Refund COSHARE 10</v>
      </c>
      <c r="H8801" s="2">
        <v>1041</v>
      </c>
      <c r="I8801" t="str">
        <f>"ELNIZA BINTI HASAN"</f>
        <v>ELNIZA BINTI HASAN</v>
      </c>
      <c r="J8801" t="str">
        <f t="shared" si="3598"/>
        <v>AGROBANK</v>
      </c>
      <c r="K8801" t="str">
        <f>"2007101000063447"</f>
        <v>2007101000063447</v>
      </c>
      <c r="L8801" t="str">
        <f t="shared" si="3596"/>
        <v>04-08-2020</v>
      </c>
      <c r="M8801" t="str">
        <f t="shared" si="3596"/>
        <v>04-08-2020</v>
      </c>
      <c r="N8801" t="str">
        <f t="shared" si="3585"/>
        <v>001105018356</v>
      </c>
      <c r="O8801" t="str">
        <f t="shared" si="3586"/>
        <v>MYR</v>
      </c>
      <c r="P8801" t="str">
        <f t="shared" si="3597"/>
        <v>NIL</v>
      </c>
      <c r="Q8801" t="str">
        <f t="shared" si="3597"/>
        <v>NIL</v>
      </c>
      <c r="R8801" t="str">
        <f t="shared" si="3573"/>
        <v>Accepted</v>
      </c>
      <c r="S8801" t="str">
        <f t="shared" si="3587"/>
        <v>Approved</v>
      </c>
      <c r="T8801" t="str">
        <f t="shared" si="3574"/>
        <v>10.20.8.188</v>
      </c>
      <c r="U8801" t="str">
        <f t="shared" si="3588"/>
        <v>AZRAD UMAR BIN SHAARI</v>
      </c>
      <c r="V8801" t="str">
        <f t="shared" si="3589"/>
        <v>FARHANA BINTI MUSTAPA</v>
      </c>
      <c r="W8801" t="str">
        <f t="shared" si="3590"/>
        <v>04-08-2020</v>
      </c>
      <c r="X8801" t="str">
        <f t="shared" si="3591"/>
        <v>RAZIMAH ANSAR AHMAD</v>
      </c>
      <c r="Y8801" t="str">
        <f t="shared" si="3592"/>
        <v>04-08-2020</v>
      </c>
      <c r="Z8801" t="str">
        <f>"COS10200804 23"</f>
        <v>COS10200804 23</v>
      </c>
    </row>
    <row r="8802" spans="1:26" x14ac:dyDescent="0.25">
      <c r="A8802" t="str">
        <f t="shared" si="3594"/>
        <v>04-08-2020 11:31:08</v>
      </c>
      <c r="B8802" t="str">
        <f>"0000801931"</f>
        <v>0000801931</v>
      </c>
      <c r="C8802" t="str">
        <f t="shared" si="3595"/>
        <v>0000801909</v>
      </c>
      <c r="D8802" t="str">
        <f t="shared" si="3582"/>
        <v>73185</v>
      </c>
      <c r="E8802" t="str">
        <f t="shared" si="3583"/>
        <v>KFH-OPERATIONS DEPARTMENT</v>
      </c>
      <c r="F8802" t="str">
        <f t="shared" si="3584"/>
        <v>IBG</v>
      </c>
      <c r="G8802" t="str">
        <f t="shared" si="3593"/>
        <v>Refund COSHARE 10</v>
      </c>
      <c r="H8802" s="2">
        <v>1586.65</v>
      </c>
      <c r="I8802" t="str">
        <f>"DG SUHANA BINTI PG KAHAR"</f>
        <v>DG SUHANA BINTI PG KAHAR</v>
      </c>
      <c r="J8802" t="str">
        <f t="shared" si="3598"/>
        <v>AGROBANK</v>
      </c>
      <c r="K8802" t="str">
        <f>"1007481000013671"</f>
        <v>1007481000013671</v>
      </c>
      <c r="L8802" t="str">
        <f t="shared" si="3596"/>
        <v>04-08-2020</v>
      </c>
      <c r="M8802" t="str">
        <f t="shared" si="3596"/>
        <v>04-08-2020</v>
      </c>
      <c r="N8802" t="str">
        <f t="shared" si="3585"/>
        <v>001105018356</v>
      </c>
      <c r="O8802" t="str">
        <f t="shared" si="3586"/>
        <v>MYR</v>
      </c>
      <c r="P8802" t="str">
        <f t="shared" si="3597"/>
        <v>NIL</v>
      </c>
      <c r="Q8802" t="str">
        <f t="shared" si="3597"/>
        <v>NIL</v>
      </c>
      <c r="R8802" t="str">
        <f t="shared" ref="R8802:R8823" si="3599">"Accepted"</f>
        <v>Accepted</v>
      </c>
      <c r="S8802" t="str">
        <f t="shared" si="3587"/>
        <v>Approved</v>
      </c>
      <c r="T8802" t="str">
        <f t="shared" ref="T8802:T8823" si="3600">"10.20.8.188"</f>
        <v>10.20.8.188</v>
      </c>
      <c r="U8802" t="str">
        <f t="shared" si="3588"/>
        <v>AZRAD UMAR BIN SHAARI</v>
      </c>
      <c r="V8802" t="str">
        <f t="shared" si="3589"/>
        <v>FARHANA BINTI MUSTAPA</v>
      </c>
      <c r="W8802" t="str">
        <f t="shared" si="3590"/>
        <v>04-08-2020</v>
      </c>
      <c r="X8802" t="str">
        <f t="shared" si="3591"/>
        <v>RAZIMAH ANSAR AHMAD</v>
      </c>
      <c r="Y8802" t="str">
        <f t="shared" si="3592"/>
        <v>04-08-2020</v>
      </c>
      <c r="Z8802" t="str">
        <f>"COS10200804 22"</f>
        <v>COS10200804 22</v>
      </c>
    </row>
    <row r="8803" spans="1:26" x14ac:dyDescent="0.25">
      <c r="A8803" t="str">
        <f t="shared" si="3594"/>
        <v>04-08-2020 11:31:08</v>
      </c>
      <c r="B8803" t="str">
        <f>"0000801930"</f>
        <v>0000801930</v>
      </c>
      <c r="C8803" t="str">
        <f t="shared" si="3595"/>
        <v>0000801909</v>
      </c>
      <c r="D8803" t="str">
        <f t="shared" si="3582"/>
        <v>73185</v>
      </c>
      <c r="E8803" t="str">
        <f t="shared" si="3583"/>
        <v>KFH-OPERATIONS DEPARTMENT</v>
      </c>
      <c r="F8803" t="str">
        <f t="shared" si="3584"/>
        <v>IBG</v>
      </c>
      <c r="G8803" t="str">
        <f t="shared" si="3593"/>
        <v>Refund COSHARE 10</v>
      </c>
      <c r="H8803" s="2">
        <v>844.45</v>
      </c>
      <c r="I8803" t="str">
        <f>"ZAINURI BIN MISRAN"</f>
        <v>ZAINURI BIN MISRAN</v>
      </c>
      <c r="J8803" t="str">
        <f t="shared" ref="J8803:J8823" si="3601">"AFFIN BANK / AFFIN ISLAMIC BANK"</f>
        <v>AFFIN BANK / AFFIN ISLAMIC BANK</v>
      </c>
      <c r="K8803" t="str">
        <f>"205540006466"</f>
        <v>205540006466</v>
      </c>
      <c r="L8803" t="str">
        <f t="shared" si="3596"/>
        <v>04-08-2020</v>
      </c>
      <c r="M8803" t="str">
        <f t="shared" si="3596"/>
        <v>04-08-2020</v>
      </c>
      <c r="N8803" t="str">
        <f t="shared" si="3585"/>
        <v>001105018356</v>
      </c>
      <c r="O8803" t="str">
        <f t="shared" si="3586"/>
        <v>MYR</v>
      </c>
      <c r="P8803" t="str">
        <f t="shared" si="3597"/>
        <v>NIL</v>
      </c>
      <c r="Q8803" t="str">
        <f t="shared" si="3597"/>
        <v>NIL</v>
      </c>
      <c r="R8803" t="str">
        <f t="shared" si="3599"/>
        <v>Accepted</v>
      </c>
      <c r="S8803" t="str">
        <f t="shared" si="3587"/>
        <v>Approved</v>
      </c>
      <c r="T8803" t="str">
        <f t="shared" si="3600"/>
        <v>10.20.8.188</v>
      </c>
      <c r="U8803" t="str">
        <f t="shared" si="3588"/>
        <v>AZRAD UMAR BIN SHAARI</v>
      </c>
      <c r="V8803" t="str">
        <f t="shared" si="3589"/>
        <v>FARHANA BINTI MUSTAPA</v>
      </c>
      <c r="W8803" t="str">
        <f t="shared" si="3590"/>
        <v>04-08-2020</v>
      </c>
      <c r="X8803" t="str">
        <f t="shared" si="3591"/>
        <v>RAZIMAH ANSAR AHMAD</v>
      </c>
      <c r="Y8803" t="str">
        <f t="shared" si="3592"/>
        <v>04-08-2020</v>
      </c>
      <c r="Z8803" t="str">
        <f>"COS10200804 21"</f>
        <v>COS10200804 21</v>
      </c>
    </row>
    <row r="8804" spans="1:26" x14ac:dyDescent="0.25">
      <c r="A8804" t="str">
        <f t="shared" si="3594"/>
        <v>04-08-2020 11:31:08</v>
      </c>
      <c r="B8804" t="str">
        <f>"0000801929"</f>
        <v>0000801929</v>
      </c>
      <c r="C8804" t="str">
        <f t="shared" si="3595"/>
        <v>0000801909</v>
      </c>
      <c r="D8804" t="str">
        <f t="shared" si="3582"/>
        <v>73185</v>
      </c>
      <c r="E8804" t="str">
        <f t="shared" si="3583"/>
        <v>KFH-OPERATIONS DEPARTMENT</v>
      </c>
      <c r="F8804" t="str">
        <f t="shared" si="3584"/>
        <v>IBG</v>
      </c>
      <c r="G8804" t="str">
        <f t="shared" si="3593"/>
        <v>Refund COSHARE 10</v>
      </c>
      <c r="H8804" s="2">
        <v>1518</v>
      </c>
      <c r="I8804" t="str">
        <f>"SYAMSULARIFIN BIN MUSTAPA"</f>
        <v>SYAMSULARIFIN BIN MUSTAPA</v>
      </c>
      <c r="J8804" t="str">
        <f t="shared" si="3601"/>
        <v>AFFIN BANK / AFFIN ISLAMIC BANK</v>
      </c>
      <c r="K8804" t="str">
        <f>"200800002969"</f>
        <v>200800002969</v>
      </c>
      <c r="L8804" t="str">
        <f t="shared" si="3596"/>
        <v>04-08-2020</v>
      </c>
      <c r="M8804" t="str">
        <f t="shared" si="3596"/>
        <v>04-08-2020</v>
      </c>
      <c r="N8804" t="str">
        <f t="shared" si="3585"/>
        <v>001105018356</v>
      </c>
      <c r="O8804" t="str">
        <f t="shared" si="3586"/>
        <v>MYR</v>
      </c>
      <c r="P8804" t="str">
        <f t="shared" si="3597"/>
        <v>NIL</v>
      </c>
      <c r="Q8804" t="str">
        <f t="shared" si="3597"/>
        <v>NIL</v>
      </c>
      <c r="R8804" t="str">
        <f t="shared" si="3599"/>
        <v>Accepted</v>
      </c>
      <c r="S8804" t="str">
        <f t="shared" si="3587"/>
        <v>Approved</v>
      </c>
      <c r="T8804" t="str">
        <f t="shared" si="3600"/>
        <v>10.20.8.188</v>
      </c>
      <c r="U8804" t="str">
        <f t="shared" si="3588"/>
        <v>AZRAD UMAR BIN SHAARI</v>
      </c>
      <c r="V8804" t="str">
        <f t="shared" si="3589"/>
        <v>FARHANA BINTI MUSTAPA</v>
      </c>
      <c r="W8804" t="str">
        <f t="shared" si="3590"/>
        <v>04-08-2020</v>
      </c>
      <c r="X8804" t="str">
        <f t="shared" si="3591"/>
        <v>RAZIMAH ANSAR AHMAD</v>
      </c>
      <c r="Y8804" t="str">
        <f t="shared" si="3592"/>
        <v>04-08-2020</v>
      </c>
      <c r="Z8804" t="str">
        <f>"COS10200804 20"</f>
        <v>COS10200804 20</v>
      </c>
    </row>
    <row r="8805" spans="1:26" x14ac:dyDescent="0.25">
      <c r="A8805" t="str">
        <f t="shared" si="3594"/>
        <v>04-08-2020 11:31:08</v>
      </c>
      <c r="B8805" t="str">
        <f>"0000801928"</f>
        <v>0000801928</v>
      </c>
      <c r="C8805" t="str">
        <f t="shared" si="3595"/>
        <v>0000801909</v>
      </c>
      <c r="D8805" t="str">
        <f t="shared" si="3582"/>
        <v>73185</v>
      </c>
      <c r="E8805" t="str">
        <f t="shared" si="3583"/>
        <v>KFH-OPERATIONS DEPARTMENT</v>
      </c>
      <c r="F8805" t="str">
        <f t="shared" si="3584"/>
        <v>IBG</v>
      </c>
      <c r="G8805" t="str">
        <f t="shared" si="3593"/>
        <v>Refund COSHARE 10</v>
      </c>
      <c r="H8805" s="2">
        <v>503.7</v>
      </c>
      <c r="I8805" t="str">
        <f>"SUZLIYANA HANAN BINTI ZANUDIN"</f>
        <v>SUZLIYANA HANAN BINTI ZANUDIN</v>
      </c>
      <c r="J8805" t="str">
        <f t="shared" si="3601"/>
        <v>AFFIN BANK / AFFIN ISLAMIC BANK</v>
      </c>
      <c r="K8805" t="str">
        <f>"205490013525"</f>
        <v>205490013525</v>
      </c>
      <c r="L8805" t="str">
        <f t="shared" si="3596"/>
        <v>04-08-2020</v>
      </c>
      <c r="M8805" t="str">
        <f t="shared" si="3596"/>
        <v>04-08-2020</v>
      </c>
      <c r="N8805" t="str">
        <f t="shared" si="3585"/>
        <v>001105018356</v>
      </c>
      <c r="O8805" t="str">
        <f t="shared" si="3586"/>
        <v>MYR</v>
      </c>
      <c r="P8805" t="str">
        <f t="shared" si="3597"/>
        <v>NIL</v>
      </c>
      <c r="Q8805" t="str">
        <f t="shared" si="3597"/>
        <v>NIL</v>
      </c>
      <c r="R8805" t="str">
        <f t="shared" si="3599"/>
        <v>Accepted</v>
      </c>
      <c r="S8805" t="str">
        <f t="shared" si="3587"/>
        <v>Approved</v>
      </c>
      <c r="T8805" t="str">
        <f t="shared" si="3600"/>
        <v>10.20.8.188</v>
      </c>
      <c r="U8805" t="str">
        <f t="shared" si="3588"/>
        <v>AZRAD UMAR BIN SHAARI</v>
      </c>
      <c r="V8805" t="str">
        <f t="shared" si="3589"/>
        <v>FARHANA BINTI MUSTAPA</v>
      </c>
      <c r="W8805" t="str">
        <f t="shared" si="3590"/>
        <v>04-08-2020</v>
      </c>
      <c r="X8805" t="str">
        <f t="shared" si="3591"/>
        <v>RAZIMAH ANSAR AHMAD</v>
      </c>
      <c r="Y8805" t="str">
        <f t="shared" si="3592"/>
        <v>04-08-2020</v>
      </c>
      <c r="Z8805" t="str">
        <f>"COS10200804 19"</f>
        <v>COS10200804 19</v>
      </c>
    </row>
    <row r="8806" spans="1:26" x14ac:dyDescent="0.25">
      <c r="A8806" t="str">
        <f t="shared" si="3594"/>
        <v>04-08-2020 11:31:08</v>
      </c>
      <c r="B8806" t="str">
        <f>"0000801927"</f>
        <v>0000801927</v>
      </c>
      <c r="C8806" t="str">
        <f t="shared" si="3595"/>
        <v>0000801909</v>
      </c>
      <c r="D8806" t="str">
        <f t="shared" si="3582"/>
        <v>73185</v>
      </c>
      <c r="E8806" t="str">
        <f t="shared" si="3583"/>
        <v>KFH-OPERATIONS DEPARTMENT</v>
      </c>
      <c r="F8806" t="str">
        <f t="shared" si="3584"/>
        <v>IBG</v>
      </c>
      <c r="G8806" t="str">
        <f t="shared" si="3593"/>
        <v>Refund COSHARE 10</v>
      </c>
      <c r="H8806" s="2">
        <v>98.25</v>
      </c>
      <c r="I8806" t="str">
        <f>"SHAHPA AD BIN DOLAH"</f>
        <v>SHAHPA AD BIN DOLAH</v>
      </c>
      <c r="J8806" t="str">
        <f t="shared" si="3601"/>
        <v>AFFIN BANK / AFFIN ISLAMIC BANK</v>
      </c>
      <c r="K8806" t="str">
        <f>"205590181069"</f>
        <v>205590181069</v>
      </c>
      <c r="L8806" t="str">
        <f t="shared" si="3596"/>
        <v>04-08-2020</v>
      </c>
      <c r="M8806" t="str">
        <f t="shared" si="3596"/>
        <v>04-08-2020</v>
      </c>
      <c r="N8806" t="str">
        <f t="shared" si="3585"/>
        <v>001105018356</v>
      </c>
      <c r="O8806" t="str">
        <f t="shared" si="3586"/>
        <v>MYR</v>
      </c>
      <c r="P8806" t="str">
        <f t="shared" si="3597"/>
        <v>NIL</v>
      </c>
      <c r="Q8806" t="str">
        <f t="shared" si="3597"/>
        <v>NIL</v>
      </c>
      <c r="R8806" t="str">
        <f t="shared" si="3599"/>
        <v>Accepted</v>
      </c>
      <c r="S8806" t="str">
        <f t="shared" si="3587"/>
        <v>Approved</v>
      </c>
      <c r="T8806" t="str">
        <f t="shared" si="3600"/>
        <v>10.20.8.188</v>
      </c>
      <c r="U8806" t="str">
        <f t="shared" si="3588"/>
        <v>AZRAD UMAR BIN SHAARI</v>
      </c>
      <c r="V8806" t="str">
        <f t="shared" si="3589"/>
        <v>FARHANA BINTI MUSTAPA</v>
      </c>
      <c r="W8806" t="str">
        <f t="shared" si="3590"/>
        <v>04-08-2020</v>
      </c>
      <c r="X8806" t="str">
        <f t="shared" si="3591"/>
        <v>RAZIMAH ANSAR AHMAD</v>
      </c>
      <c r="Y8806" t="str">
        <f t="shared" si="3592"/>
        <v>04-08-2020</v>
      </c>
      <c r="Z8806" t="str">
        <f>"COS10200804 18"</f>
        <v>COS10200804 18</v>
      </c>
    </row>
    <row r="8807" spans="1:26" x14ac:dyDescent="0.25">
      <c r="A8807" t="str">
        <f t="shared" si="3594"/>
        <v>04-08-2020 11:31:08</v>
      </c>
      <c r="B8807" t="str">
        <f>"0000801926"</f>
        <v>0000801926</v>
      </c>
      <c r="C8807" t="str">
        <f t="shared" si="3595"/>
        <v>0000801909</v>
      </c>
      <c r="D8807" t="str">
        <f t="shared" si="3582"/>
        <v>73185</v>
      </c>
      <c r="E8807" t="str">
        <f t="shared" si="3583"/>
        <v>KFH-OPERATIONS DEPARTMENT</v>
      </c>
      <c r="F8807" t="str">
        <f t="shared" si="3584"/>
        <v>IBG</v>
      </c>
      <c r="G8807" t="str">
        <f t="shared" si="3593"/>
        <v>Refund COSHARE 10</v>
      </c>
      <c r="H8807" s="2">
        <v>167.9</v>
      </c>
      <c r="I8807" t="str">
        <f>"SANKARI AP SUBRAMANIAM"</f>
        <v>SANKARI AP SUBRAMANIAM</v>
      </c>
      <c r="J8807" t="str">
        <f t="shared" si="3601"/>
        <v>AFFIN BANK / AFFIN ISLAMIC BANK</v>
      </c>
      <c r="K8807" t="str">
        <f>"205460052846"</f>
        <v>205460052846</v>
      </c>
      <c r="L8807" t="str">
        <f t="shared" ref="L8807:M8823" si="3602">"04-08-2020"</f>
        <v>04-08-2020</v>
      </c>
      <c r="M8807" t="str">
        <f t="shared" si="3602"/>
        <v>04-08-2020</v>
      </c>
      <c r="N8807" t="str">
        <f t="shared" si="3585"/>
        <v>001105018356</v>
      </c>
      <c r="O8807" t="str">
        <f t="shared" si="3586"/>
        <v>MYR</v>
      </c>
      <c r="P8807" t="str">
        <f t="shared" ref="P8807:Q8823" si="3603">"NIL"</f>
        <v>NIL</v>
      </c>
      <c r="Q8807" t="str">
        <f t="shared" si="3603"/>
        <v>NIL</v>
      </c>
      <c r="R8807" t="str">
        <f t="shared" si="3599"/>
        <v>Accepted</v>
      </c>
      <c r="S8807" t="str">
        <f t="shared" si="3587"/>
        <v>Approved</v>
      </c>
      <c r="T8807" t="str">
        <f t="shared" si="3600"/>
        <v>10.20.8.188</v>
      </c>
      <c r="U8807" t="str">
        <f t="shared" si="3588"/>
        <v>AZRAD UMAR BIN SHAARI</v>
      </c>
      <c r="V8807" t="str">
        <f t="shared" si="3589"/>
        <v>FARHANA BINTI MUSTAPA</v>
      </c>
      <c r="W8807" t="str">
        <f t="shared" si="3590"/>
        <v>04-08-2020</v>
      </c>
      <c r="X8807" t="str">
        <f t="shared" si="3591"/>
        <v>RAZIMAH ANSAR AHMAD</v>
      </c>
      <c r="Y8807" t="str">
        <f t="shared" si="3592"/>
        <v>04-08-2020</v>
      </c>
      <c r="Z8807" t="str">
        <f>"COS10200804 17"</f>
        <v>COS10200804 17</v>
      </c>
    </row>
    <row r="8808" spans="1:26" x14ac:dyDescent="0.25">
      <c r="A8808" t="str">
        <f t="shared" si="3594"/>
        <v>04-08-2020 11:31:08</v>
      </c>
      <c r="B8808" t="str">
        <f>"0000801925"</f>
        <v>0000801925</v>
      </c>
      <c r="C8808" t="str">
        <f t="shared" si="3595"/>
        <v>0000801909</v>
      </c>
      <c r="D8808" t="str">
        <f t="shared" si="3582"/>
        <v>73185</v>
      </c>
      <c r="E8808" t="str">
        <f t="shared" si="3583"/>
        <v>KFH-OPERATIONS DEPARTMENT</v>
      </c>
      <c r="F8808" t="str">
        <f t="shared" si="3584"/>
        <v>IBG</v>
      </c>
      <c r="G8808" t="str">
        <f t="shared" si="3593"/>
        <v>Refund COSHARE 10</v>
      </c>
      <c r="H8808" s="2">
        <v>640.5</v>
      </c>
      <c r="I8808" t="str">
        <f>"ROHANI BINTI HUSSIN"</f>
        <v>ROHANI BINTI HUSSIN</v>
      </c>
      <c r="J8808" t="str">
        <f t="shared" si="3601"/>
        <v>AFFIN BANK / AFFIN ISLAMIC BANK</v>
      </c>
      <c r="K8808" t="str">
        <f>"205040035788"</f>
        <v>205040035788</v>
      </c>
      <c r="L8808" t="str">
        <f t="shared" si="3602"/>
        <v>04-08-2020</v>
      </c>
      <c r="M8808" t="str">
        <f t="shared" si="3602"/>
        <v>04-08-2020</v>
      </c>
      <c r="N8808" t="str">
        <f t="shared" si="3585"/>
        <v>001105018356</v>
      </c>
      <c r="O8808" t="str">
        <f t="shared" si="3586"/>
        <v>MYR</v>
      </c>
      <c r="P8808" t="str">
        <f t="shared" si="3603"/>
        <v>NIL</v>
      </c>
      <c r="Q8808" t="str">
        <f t="shared" si="3603"/>
        <v>NIL</v>
      </c>
      <c r="R8808" t="str">
        <f t="shared" si="3599"/>
        <v>Accepted</v>
      </c>
      <c r="S8808" t="str">
        <f t="shared" si="3587"/>
        <v>Approved</v>
      </c>
      <c r="T8808" t="str">
        <f t="shared" si="3600"/>
        <v>10.20.8.188</v>
      </c>
      <c r="U8808" t="str">
        <f t="shared" si="3588"/>
        <v>AZRAD UMAR BIN SHAARI</v>
      </c>
      <c r="V8808" t="str">
        <f t="shared" si="3589"/>
        <v>FARHANA BINTI MUSTAPA</v>
      </c>
      <c r="W8808" t="str">
        <f t="shared" si="3590"/>
        <v>04-08-2020</v>
      </c>
      <c r="X8808" t="str">
        <f t="shared" si="3591"/>
        <v>RAZIMAH ANSAR AHMAD</v>
      </c>
      <c r="Y8808" t="str">
        <f t="shared" si="3592"/>
        <v>04-08-2020</v>
      </c>
      <c r="Z8808" t="str">
        <f>"COS10200804 16"</f>
        <v>COS10200804 16</v>
      </c>
    </row>
    <row r="8809" spans="1:26" x14ac:dyDescent="0.25">
      <c r="A8809" t="str">
        <f t="shared" si="3594"/>
        <v>04-08-2020 11:31:08</v>
      </c>
      <c r="B8809" t="str">
        <f>"0000801924"</f>
        <v>0000801924</v>
      </c>
      <c r="C8809" t="str">
        <f t="shared" si="3595"/>
        <v>0000801909</v>
      </c>
      <c r="D8809" t="str">
        <f t="shared" si="3582"/>
        <v>73185</v>
      </c>
      <c r="E8809" t="str">
        <f t="shared" si="3583"/>
        <v>KFH-OPERATIONS DEPARTMENT</v>
      </c>
      <c r="F8809" t="str">
        <f t="shared" si="3584"/>
        <v>IBG</v>
      </c>
      <c r="G8809" t="str">
        <f t="shared" si="3593"/>
        <v>Refund COSHARE 10</v>
      </c>
      <c r="H8809" s="2">
        <v>520.5</v>
      </c>
      <c r="I8809" t="str">
        <f>"NUR HIDAYAH BINTI ROSLY"</f>
        <v>NUR HIDAYAH BINTI ROSLY</v>
      </c>
      <c r="J8809" t="str">
        <f t="shared" si="3601"/>
        <v>AFFIN BANK / AFFIN ISLAMIC BANK</v>
      </c>
      <c r="K8809" t="str">
        <f>"200990016250"</f>
        <v>200990016250</v>
      </c>
      <c r="L8809" t="str">
        <f t="shared" si="3602"/>
        <v>04-08-2020</v>
      </c>
      <c r="M8809" t="str">
        <f t="shared" si="3602"/>
        <v>04-08-2020</v>
      </c>
      <c r="N8809" t="str">
        <f t="shared" si="3585"/>
        <v>001105018356</v>
      </c>
      <c r="O8809" t="str">
        <f t="shared" si="3586"/>
        <v>MYR</v>
      </c>
      <c r="P8809" t="str">
        <f t="shared" si="3603"/>
        <v>NIL</v>
      </c>
      <c r="Q8809" t="str">
        <f t="shared" si="3603"/>
        <v>NIL</v>
      </c>
      <c r="R8809" t="str">
        <f t="shared" si="3599"/>
        <v>Accepted</v>
      </c>
      <c r="S8809" t="str">
        <f t="shared" si="3587"/>
        <v>Approved</v>
      </c>
      <c r="T8809" t="str">
        <f t="shared" si="3600"/>
        <v>10.20.8.188</v>
      </c>
      <c r="U8809" t="str">
        <f t="shared" si="3588"/>
        <v>AZRAD UMAR BIN SHAARI</v>
      </c>
      <c r="V8809" t="str">
        <f t="shared" si="3589"/>
        <v>FARHANA BINTI MUSTAPA</v>
      </c>
      <c r="W8809" t="str">
        <f t="shared" si="3590"/>
        <v>04-08-2020</v>
      </c>
      <c r="X8809" t="str">
        <f t="shared" si="3591"/>
        <v>RAZIMAH ANSAR AHMAD</v>
      </c>
      <c r="Y8809" t="str">
        <f t="shared" si="3592"/>
        <v>04-08-2020</v>
      </c>
      <c r="Z8809" t="str">
        <f>"COS10200804 15"</f>
        <v>COS10200804 15</v>
      </c>
    </row>
    <row r="8810" spans="1:26" x14ac:dyDescent="0.25">
      <c r="A8810" t="str">
        <f t="shared" si="3594"/>
        <v>04-08-2020 11:31:08</v>
      </c>
      <c r="B8810" t="str">
        <f>"0000801923"</f>
        <v>0000801923</v>
      </c>
      <c r="C8810" t="str">
        <f t="shared" si="3595"/>
        <v>0000801909</v>
      </c>
      <c r="D8810" t="str">
        <f t="shared" si="3582"/>
        <v>73185</v>
      </c>
      <c r="E8810" t="str">
        <f t="shared" si="3583"/>
        <v>KFH-OPERATIONS DEPARTMENT</v>
      </c>
      <c r="F8810" t="str">
        <f t="shared" si="3584"/>
        <v>IBG</v>
      </c>
      <c r="G8810" t="str">
        <f t="shared" si="3593"/>
        <v>Refund COSHARE 10</v>
      </c>
      <c r="H8810" s="2">
        <v>1175.3</v>
      </c>
      <c r="I8810" t="str">
        <f>"NAZRUL ZARIFI BIN MOHD NAZRI"</f>
        <v>NAZRUL ZARIFI BIN MOHD NAZRI</v>
      </c>
      <c r="J8810" t="str">
        <f t="shared" si="3601"/>
        <v>AFFIN BANK / AFFIN ISLAMIC BANK</v>
      </c>
      <c r="K8810" t="str">
        <f>"205710391383"</f>
        <v>205710391383</v>
      </c>
      <c r="L8810" t="str">
        <f t="shared" si="3602"/>
        <v>04-08-2020</v>
      </c>
      <c r="M8810" t="str">
        <f t="shared" si="3602"/>
        <v>04-08-2020</v>
      </c>
      <c r="N8810" t="str">
        <f t="shared" si="3585"/>
        <v>001105018356</v>
      </c>
      <c r="O8810" t="str">
        <f t="shared" si="3586"/>
        <v>MYR</v>
      </c>
      <c r="P8810" t="str">
        <f t="shared" si="3603"/>
        <v>NIL</v>
      </c>
      <c r="Q8810" t="str">
        <f t="shared" si="3603"/>
        <v>NIL</v>
      </c>
      <c r="R8810" t="str">
        <f t="shared" si="3599"/>
        <v>Accepted</v>
      </c>
      <c r="S8810" t="str">
        <f t="shared" si="3587"/>
        <v>Approved</v>
      </c>
      <c r="T8810" t="str">
        <f t="shared" si="3600"/>
        <v>10.20.8.188</v>
      </c>
      <c r="U8810" t="str">
        <f t="shared" si="3588"/>
        <v>AZRAD UMAR BIN SHAARI</v>
      </c>
      <c r="V8810" t="str">
        <f t="shared" si="3589"/>
        <v>FARHANA BINTI MUSTAPA</v>
      </c>
      <c r="W8810" t="str">
        <f t="shared" si="3590"/>
        <v>04-08-2020</v>
      </c>
      <c r="X8810" t="str">
        <f t="shared" si="3591"/>
        <v>RAZIMAH ANSAR AHMAD</v>
      </c>
      <c r="Y8810" t="str">
        <f t="shared" si="3592"/>
        <v>04-08-2020</v>
      </c>
      <c r="Z8810" t="str">
        <f>"COS10200804 14"</f>
        <v>COS10200804 14</v>
      </c>
    </row>
    <row r="8811" spans="1:26" x14ac:dyDescent="0.25">
      <c r="A8811" t="str">
        <f t="shared" si="3594"/>
        <v>04-08-2020 11:31:08</v>
      </c>
      <c r="B8811" t="str">
        <f>"0000801922"</f>
        <v>0000801922</v>
      </c>
      <c r="C8811" t="str">
        <f t="shared" si="3595"/>
        <v>0000801909</v>
      </c>
      <c r="D8811" t="str">
        <f t="shared" si="3582"/>
        <v>73185</v>
      </c>
      <c r="E8811" t="str">
        <f t="shared" si="3583"/>
        <v>KFH-OPERATIONS DEPARTMENT</v>
      </c>
      <c r="F8811" t="str">
        <f t="shared" si="3584"/>
        <v>IBG</v>
      </c>
      <c r="G8811" t="str">
        <f t="shared" si="3593"/>
        <v>Refund COSHARE 10</v>
      </c>
      <c r="H8811" s="2">
        <v>540.29999999999995</v>
      </c>
      <c r="I8811" t="str">
        <f>"NAZERIN BIN YAAKUB"</f>
        <v>NAZERIN BIN YAAKUB</v>
      </c>
      <c r="J8811" t="str">
        <f t="shared" si="3601"/>
        <v>AFFIN BANK / AFFIN ISLAMIC BANK</v>
      </c>
      <c r="K8811" t="str">
        <f>"200070004328"</f>
        <v>200070004328</v>
      </c>
      <c r="L8811" t="str">
        <f t="shared" si="3602"/>
        <v>04-08-2020</v>
      </c>
      <c r="M8811" t="str">
        <f t="shared" si="3602"/>
        <v>04-08-2020</v>
      </c>
      <c r="N8811" t="str">
        <f t="shared" si="3585"/>
        <v>001105018356</v>
      </c>
      <c r="O8811" t="str">
        <f t="shared" si="3586"/>
        <v>MYR</v>
      </c>
      <c r="P8811" t="str">
        <f t="shared" si="3603"/>
        <v>NIL</v>
      </c>
      <c r="Q8811" t="str">
        <f t="shared" si="3603"/>
        <v>NIL</v>
      </c>
      <c r="R8811" t="str">
        <f t="shared" si="3599"/>
        <v>Accepted</v>
      </c>
      <c r="S8811" t="str">
        <f t="shared" si="3587"/>
        <v>Approved</v>
      </c>
      <c r="T8811" t="str">
        <f t="shared" si="3600"/>
        <v>10.20.8.188</v>
      </c>
      <c r="U8811" t="str">
        <f t="shared" si="3588"/>
        <v>AZRAD UMAR BIN SHAARI</v>
      </c>
      <c r="V8811" t="str">
        <f t="shared" si="3589"/>
        <v>FARHANA BINTI MUSTAPA</v>
      </c>
      <c r="W8811" t="str">
        <f t="shared" si="3590"/>
        <v>04-08-2020</v>
      </c>
      <c r="X8811" t="str">
        <f t="shared" si="3591"/>
        <v>RAZIMAH ANSAR AHMAD</v>
      </c>
      <c r="Y8811" t="str">
        <f t="shared" si="3592"/>
        <v>04-08-2020</v>
      </c>
      <c r="Z8811" t="str">
        <f>"COS10200804 13"</f>
        <v>COS10200804 13</v>
      </c>
    </row>
    <row r="8812" spans="1:26" x14ac:dyDescent="0.25">
      <c r="A8812" t="str">
        <f t="shared" si="3594"/>
        <v>04-08-2020 11:31:08</v>
      </c>
      <c r="B8812" t="str">
        <f>"0000801921"</f>
        <v>0000801921</v>
      </c>
      <c r="C8812" t="str">
        <f t="shared" si="3595"/>
        <v>0000801909</v>
      </c>
      <c r="D8812" t="str">
        <f t="shared" si="3582"/>
        <v>73185</v>
      </c>
      <c r="E8812" t="str">
        <f t="shared" si="3583"/>
        <v>KFH-OPERATIONS DEPARTMENT</v>
      </c>
      <c r="F8812" t="str">
        <f t="shared" si="3584"/>
        <v>IBG</v>
      </c>
      <c r="G8812" t="str">
        <f t="shared" si="3593"/>
        <v>Refund COSHARE 10</v>
      </c>
      <c r="H8812" s="2">
        <v>184.7</v>
      </c>
      <c r="I8812" t="str">
        <f>"MOHD REDZUAN BIN KHALID"</f>
        <v>MOHD REDZUAN BIN KHALID</v>
      </c>
      <c r="J8812" t="str">
        <f t="shared" si="3601"/>
        <v>AFFIN BANK / AFFIN ISLAMIC BANK</v>
      </c>
      <c r="K8812" t="str">
        <f>"205200007051"</f>
        <v>205200007051</v>
      </c>
      <c r="L8812" t="str">
        <f t="shared" si="3602"/>
        <v>04-08-2020</v>
      </c>
      <c r="M8812" t="str">
        <f t="shared" si="3602"/>
        <v>04-08-2020</v>
      </c>
      <c r="N8812" t="str">
        <f t="shared" si="3585"/>
        <v>001105018356</v>
      </c>
      <c r="O8812" t="str">
        <f t="shared" si="3586"/>
        <v>MYR</v>
      </c>
      <c r="P8812" t="str">
        <f t="shared" si="3603"/>
        <v>NIL</v>
      </c>
      <c r="Q8812" t="str">
        <f t="shared" si="3603"/>
        <v>NIL</v>
      </c>
      <c r="R8812" t="str">
        <f t="shared" si="3599"/>
        <v>Accepted</v>
      </c>
      <c r="S8812" t="str">
        <f t="shared" si="3587"/>
        <v>Approved</v>
      </c>
      <c r="T8812" t="str">
        <f t="shared" si="3600"/>
        <v>10.20.8.188</v>
      </c>
      <c r="U8812" t="str">
        <f t="shared" si="3588"/>
        <v>AZRAD UMAR BIN SHAARI</v>
      </c>
      <c r="V8812" t="str">
        <f t="shared" si="3589"/>
        <v>FARHANA BINTI MUSTAPA</v>
      </c>
      <c r="W8812" t="str">
        <f t="shared" si="3590"/>
        <v>04-08-2020</v>
      </c>
      <c r="X8812" t="str">
        <f t="shared" si="3591"/>
        <v>RAZIMAH ANSAR AHMAD</v>
      </c>
      <c r="Y8812" t="str">
        <f t="shared" si="3592"/>
        <v>04-08-2020</v>
      </c>
      <c r="Z8812" t="str">
        <f>"COS10200804 12"</f>
        <v>COS10200804 12</v>
      </c>
    </row>
    <row r="8813" spans="1:26" x14ac:dyDescent="0.25">
      <c r="A8813" t="str">
        <f t="shared" si="3594"/>
        <v>04-08-2020 11:31:08</v>
      </c>
      <c r="B8813" t="str">
        <f>"0000801920"</f>
        <v>0000801920</v>
      </c>
      <c r="C8813" t="str">
        <f t="shared" si="3595"/>
        <v>0000801909</v>
      </c>
      <c r="D8813" t="str">
        <f t="shared" si="3582"/>
        <v>73185</v>
      </c>
      <c r="E8813" t="str">
        <f t="shared" si="3583"/>
        <v>KFH-OPERATIONS DEPARTMENT</v>
      </c>
      <c r="F8813" t="str">
        <f t="shared" si="3584"/>
        <v>IBG</v>
      </c>
      <c r="G8813" t="str">
        <f t="shared" si="3593"/>
        <v>Refund COSHARE 10</v>
      </c>
      <c r="H8813" s="2">
        <v>603.4</v>
      </c>
      <c r="I8813" t="str">
        <f>"MOHD RAIZAL BIN MUHAMAT YAAKOP"</f>
        <v>MOHD RAIZAL BIN MUHAMAT YAAKOP</v>
      </c>
      <c r="J8813" t="str">
        <f t="shared" si="3601"/>
        <v>AFFIN BANK / AFFIN ISLAMIC BANK</v>
      </c>
      <c r="K8813" t="str">
        <f>"205200115341"</f>
        <v>205200115341</v>
      </c>
      <c r="L8813" t="str">
        <f t="shared" si="3602"/>
        <v>04-08-2020</v>
      </c>
      <c r="M8813" t="str">
        <f t="shared" si="3602"/>
        <v>04-08-2020</v>
      </c>
      <c r="N8813" t="str">
        <f t="shared" si="3585"/>
        <v>001105018356</v>
      </c>
      <c r="O8813" t="str">
        <f t="shared" si="3586"/>
        <v>MYR</v>
      </c>
      <c r="P8813" t="str">
        <f t="shared" si="3603"/>
        <v>NIL</v>
      </c>
      <c r="Q8813" t="str">
        <f t="shared" si="3603"/>
        <v>NIL</v>
      </c>
      <c r="R8813" t="str">
        <f t="shared" si="3599"/>
        <v>Accepted</v>
      </c>
      <c r="S8813" t="str">
        <f t="shared" si="3587"/>
        <v>Approved</v>
      </c>
      <c r="T8813" t="str">
        <f t="shared" si="3600"/>
        <v>10.20.8.188</v>
      </c>
      <c r="U8813" t="str">
        <f t="shared" si="3588"/>
        <v>AZRAD UMAR BIN SHAARI</v>
      </c>
      <c r="V8813" t="str">
        <f t="shared" si="3589"/>
        <v>FARHANA BINTI MUSTAPA</v>
      </c>
      <c r="W8813" t="str">
        <f t="shared" si="3590"/>
        <v>04-08-2020</v>
      </c>
      <c r="X8813" t="str">
        <f t="shared" si="3591"/>
        <v>RAZIMAH ANSAR AHMAD</v>
      </c>
      <c r="Y8813" t="str">
        <f t="shared" si="3592"/>
        <v>04-08-2020</v>
      </c>
      <c r="Z8813" t="str">
        <f>"COS10200804 11"</f>
        <v>COS10200804 11</v>
      </c>
    </row>
    <row r="8814" spans="1:26" x14ac:dyDescent="0.25">
      <c r="A8814" t="str">
        <f t="shared" si="3594"/>
        <v>04-08-2020 11:31:08</v>
      </c>
      <c r="B8814" t="str">
        <f>"0000801919"</f>
        <v>0000801919</v>
      </c>
      <c r="C8814" t="str">
        <f t="shared" si="3595"/>
        <v>0000801909</v>
      </c>
      <c r="D8814" t="str">
        <f t="shared" si="3582"/>
        <v>73185</v>
      </c>
      <c r="E8814" t="str">
        <f t="shared" si="3583"/>
        <v>KFH-OPERATIONS DEPARTMENT</v>
      </c>
      <c r="F8814" t="str">
        <f t="shared" si="3584"/>
        <v>IBG</v>
      </c>
      <c r="G8814" t="str">
        <f t="shared" si="3593"/>
        <v>Refund COSHARE 10</v>
      </c>
      <c r="H8814" s="2">
        <v>1495</v>
      </c>
      <c r="I8814" t="str">
        <f>"MOHAMAD ZAIDI BIN RAMLI"</f>
        <v>MOHAMAD ZAIDI BIN RAMLI</v>
      </c>
      <c r="J8814" t="str">
        <f t="shared" si="3601"/>
        <v>AFFIN BANK / AFFIN ISLAMIC BANK</v>
      </c>
      <c r="K8814" t="str">
        <f>"205140022675"</f>
        <v>205140022675</v>
      </c>
      <c r="L8814" t="str">
        <f t="shared" si="3602"/>
        <v>04-08-2020</v>
      </c>
      <c r="M8814" t="str">
        <f t="shared" si="3602"/>
        <v>04-08-2020</v>
      </c>
      <c r="N8814" t="str">
        <f t="shared" si="3585"/>
        <v>001105018356</v>
      </c>
      <c r="O8814" t="str">
        <f t="shared" si="3586"/>
        <v>MYR</v>
      </c>
      <c r="P8814" t="str">
        <f t="shared" si="3603"/>
        <v>NIL</v>
      </c>
      <c r="Q8814" t="str">
        <f t="shared" si="3603"/>
        <v>NIL</v>
      </c>
      <c r="R8814" t="str">
        <f t="shared" si="3599"/>
        <v>Accepted</v>
      </c>
      <c r="S8814" t="str">
        <f t="shared" si="3587"/>
        <v>Approved</v>
      </c>
      <c r="T8814" t="str">
        <f t="shared" si="3600"/>
        <v>10.20.8.188</v>
      </c>
      <c r="U8814" t="str">
        <f t="shared" si="3588"/>
        <v>AZRAD UMAR BIN SHAARI</v>
      </c>
      <c r="V8814" t="str">
        <f t="shared" si="3589"/>
        <v>FARHANA BINTI MUSTAPA</v>
      </c>
      <c r="W8814" t="str">
        <f t="shared" si="3590"/>
        <v>04-08-2020</v>
      </c>
      <c r="X8814" t="str">
        <f t="shared" si="3591"/>
        <v>RAZIMAH ANSAR AHMAD</v>
      </c>
      <c r="Y8814" t="str">
        <f t="shared" si="3592"/>
        <v>04-08-2020</v>
      </c>
      <c r="Z8814" t="str">
        <f>"COS10200804 10"</f>
        <v>COS10200804 10</v>
      </c>
    </row>
    <row r="8815" spans="1:26" x14ac:dyDescent="0.25">
      <c r="A8815" t="str">
        <f t="shared" si="3594"/>
        <v>04-08-2020 11:31:08</v>
      </c>
      <c r="B8815" t="str">
        <f>"0000801918"</f>
        <v>0000801918</v>
      </c>
      <c r="C8815" t="str">
        <f t="shared" si="3595"/>
        <v>0000801909</v>
      </c>
      <c r="D8815" t="str">
        <f t="shared" si="3582"/>
        <v>73185</v>
      </c>
      <c r="E8815" t="str">
        <f t="shared" si="3583"/>
        <v>KFH-OPERATIONS DEPARTMENT</v>
      </c>
      <c r="F8815" t="str">
        <f t="shared" si="3584"/>
        <v>IBG</v>
      </c>
      <c r="G8815" t="str">
        <f t="shared" si="3593"/>
        <v>Refund COSHARE 10</v>
      </c>
      <c r="H8815" s="2">
        <v>1536.3</v>
      </c>
      <c r="I8815" t="str">
        <f>"KITHA AP RASAMANIKAM"</f>
        <v>KITHA AP RASAMANIKAM</v>
      </c>
      <c r="J8815" t="str">
        <f t="shared" si="3601"/>
        <v>AFFIN BANK / AFFIN ISLAMIC BANK</v>
      </c>
      <c r="K8815" t="str">
        <f>"201110014552"</f>
        <v>201110014552</v>
      </c>
      <c r="L8815" t="str">
        <f t="shared" si="3602"/>
        <v>04-08-2020</v>
      </c>
      <c r="M8815" t="str">
        <f t="shared" si="3602"/>
        <v>04-08-2020</v>
      </c>
      <c r="N8815" t="str">
        <f t="shared" si="3585"/>
        <v>001105018356</v>
      </c>
      <c r="O8815" t="str">
        <f t="shared" si="3586"/>
        <v>MYR</v>
      </c>
      <c r="P8815" t="str">
        <f t="shared" si="3603"/>
        <v>NIL</v>
      </c>
      <c r="Q8815" t="str">
        <f t="shared" si="3603"/>
        <v>NIL</v>
      </c>
      <c r="R8815" t="str">
        <f t="shared" si="3599"/>
        <v>Accepted</v>
      </c>
      <c r="S8815" t="str">
        <f t="shared" si="3587"/>
        <v>Approved</v>
      </c>
      <c r="T8815" t="str">
        <f t="shared" si="3600"/>
        <v>10.20.8.188</v>
      </c>
      <c r="U8815" t="str">
        <f t="shared" si="3588"/>
        <v>AZRAD UMAR BIN SHAARI</v>
      </c>
      <c r="V8815" t="str">
        <f t="shared" si="3589"/>
        <v>FARHANA BINTI MUSTAPA</v>
      </c>
      <c r="W8815" t="str">
        <f t="shared" si="3590"/>
        <v>04-08-2020</v>
      </c>
      <c r="X8815" t="str">
        <f t="shared" si="3591"/>
        <v>RAZIMAH ANSAR AHMAD</v>
      </c>
      <c r="Y8815" t="str">
        <f t="shared" si="3592"/>
        <v>04-08-2020</v>
      </c>
      <c r="Z8815" t="str">
        <f>"COS10200804 9"</f>
        <v>COS10200804 9</v>
      </c>
    </row>
    <row r="8816" spans="1:26" x14ac:dyDescent="0.25">
      <c r="A8816" t="str">
        <f t="shared" ref="A8816:A8823" si="3604">"04-08-2020 11:31:08"</f>
        <v>04-08-2020 11:31:08</v>
      </c>
      <c r="B8816" t="str">
        <f>"0000801917"</f>
        <v>0000801917</v>
      </c>
      <c r="C8816" t="str">
        <f t="shared" ref="C8816:C8823" si="3605">"0000801909"</f>
        <v>0000801909</v>
      </c>
      <c r="D8816" t="str">
        <f t="shared" si="3582"/>
        <v>73185</v>
      </c>
      <c r="E8816" t="str">
        <f t="shared" si="3583"/>
        <v>KFH-OPERATIONS DEPARTMENT</v>
      </c>
      <c r="F8816" t="str">
        <f t="shared" si="3584"/>
        <v>IBG</v>
      </c>
      <c r="G8816" t="str">
        <f t="shared" si="3593"/>
        <v>Refund COSHARE 10</v>
      </c>
      <c r="H8816" s="2">
        <v>380</v>
      </c>
      <c r="I8816" t="str">
        <f>"HANESAR IKMAR BIN JOHN"</f>
        <v>HANESAR IKMAR BIN JOHN</v>
      </c>
      <c r="J8816" t="str">
        <f t="shared" si="3601"/>
        <v>AFFIN BANK / AFFIN ISLAMIC BANK</v>
      </c>
      <c r="K8816" t="str">
        <f>"205160031332"</f>
        <v>205160031332</v>
      </c>
      <c r="L8816" t="str">
        <f t="shared" si="3602"/>
        <v>04-08-2020</v>
      </c>
      <c r="M8816" t="str">
        <f t="shared" si="3602"/>
        <v>04-08-2020</v>
      </c>
      <c r="N8816" t="str">
        <f t="shared" si="3585"/>
        <v>001105018356</v>
      </c>
      <c r="O8816" t="str">
        <f t="shared" si="3586"/>
        <v>MYR</v>
      </c>
      <c r="P8816" t="str">
        <f t="shared" si="3603"/>
        <v>NIL</v>
      </c>
      <c r="Q8816" t="str">
        <f t="shared" si="3603"/>
        <v>NIL</v>
      </c>
      <c r="R8816" t="str">
        <f t="shared" si="3599"/>
        <v>Accepted</v>
      </c>
      <c r="S8816" t="str">
        <f t="shared" si="3587"/>
        <v>Approved</v>
      </c>
      <c r="T8816" t="str">
        <f t="shared" si="3600"/>
        <v>10.20.8.188</v>
      </c>
      <c r="U8816" t="str">
        <f t="shared" si="3588"/>
        <v>AZRAD UMAR BIN SHAARI</v>
      </c>
      <c r="V8816" t="str">
        <f t="shared" si="3589"/>
        <v>FARHANA BINTI MUSTAPA</v>
      </c>
      <c r="W8816" t="str">
        <f t="shared" si="3590"/>
        <v>04-08-2020</v>
      </c>
      <c r="X8816" t="str">
        <f t="shared" si="3591"/>
        <v>RAZIMAH ANSAR AHMAD</v>
      </c>
      <c r="Y8816" t="str">
        <f t="shared" si="3592"/>
        <v>04-08-2020</v>
      </c>
      <c r="Z8816" t="str">
        <f>"COS10200804 8"</f>
        <v>COS10200804 8</v>
      </c>
    </row>
    <row r="8817" spans="1:26" x14ac:dyDescent="0.25">
      <c r="A8817" t="str">
        <f t="shared" si="3604"/>
        <v>04-08-2020 11:31:08</v>
      </c>
      <c r="B8817" t="str">
        <f>"0000801916"</f>
        <v>0000801916</v>
      </c>
      <c r="C8817" t="str">
        <f t="shared" si="3605"/>
        <v>0000801909</v>
      </c>
      <c r="D8817" t="str">
        <f t="shared" si="3582"/>
        <v>73185</v>
      </c>
      <c r="E8817" t="str">
        <f t="shared" si="3583"/>
        <v>KFH-OPERATIONS DEPARTMENT</v>
      </c>
      <c r="F8817" t="str">
        <f t="shared" si="3584"/>
        <v>IBG</v>
      </c>
      <c r="G8817" t="str">
        <f t="shared" si="3593"/>
        <v>Refund COSHARE 10</v>
      </c>
      <c r="H8817" s="2">
        <v>134.35</v>
      </c>
      <c r="I8817" t="str">
        <f>"HAMAH MALENEY AP SUBRAMANIAM"</f>
        <v>HAMAH MALENEY AP SUBRAMANIAM</v>
      </c>
      <c r="J8817" t="str">
        <f t="shared" si="3601"/>
        <v>AFFIN BANK / AFFIN ISLAMIC BANK</v>
      </c>
      <c r="K8817" t="str">
        <f>"200460010016"</f>
        <v>200460010016</v>
      </c>
      <c r="L8817" t="str">
        <f t="shared" si="3602"/>
        <v>04-08-2020</v>
      </c>
      <c r="M8817" t="str">
        <f t="shared" si="3602"/>
        <v>04-08-2020</v>
      </c>
      <c r="N8817" t="str">
        <f t="shared" si="3585"/>
        <v>001105018356</v>
      </c>
      <c r="O8817" t="str">
        <f t="shared" si="3586"/>
        <v>MYR</v>
      </c>
      <c r="P8817" t="str">
        <f t="shared" si="3603"/>
        <v>NIL</v>
      </c>
      <c r="Q8817" t="str">
        <f t="shared" si="3603"/>
        <v>NIL</v>
      </c>
      <c r="R8817" t="str">
        <f t="shared" si="3599"/>
        <v>Accepted</v>
      </c>
      <c r="S8817" t="str">
        <f t="shared" si="3587"/>
        <v>Approved</v>
      </c>
      <c r="T8817" t="str">
        <f t="shared" si="3600"/>
        <v>10.20.8.188</v>
      </c>
      <c r="U8817" t="str">
        <f t="shared" si="3588"/>
        <v>AZRAD UMAR BIN SHAARI</v>
      </c>
      <c r="V8817" t="str">
        <f t="shared" si="3589"/>
        <v>FARHANA BINTI MUSTAPA</v>
      </c>
      <c r="W8817" t="str">
        <f t="shared" si="3590"/>
        <v>04-08-2020</v>
      </c>
      <c r="X8817" t="str">
        <f t="shared" si="3591"/>
        <v>RAZIMAH ANSAR AHMAD</v>
      </c>
      <c r="Y8817" t="str">
        <f t="shared" si="3592"/>
        <v>04-08-2020</v>
      </c>
      <c r="Z8817" t="str">
        <f>"COS10200804 7"</f>
        <v>COS10200804 7</v>
      </c>
    </row>
    <row r="8818" spans="1:26" x14ac:dyDescent="0.25">
      <c r="A8818" t="str">
        <f t="shared" si="3604"/>
        <v>04-08-2020 11:31:08</v>
      </c>
      <c r="B8818" t="str">
        <f>"0000801915"</f>
        <v>0000801915</v>
      </c>
      <c r="C8818" t="str">
        <f t="shared" si="3605"/>
        <v>0000801909</v>
      </c>
      <c r="D8818" t="str">
        <f t="shared" si="3582"/>
        <v>73185</v>
      </c>
      <c r="E8818" t="str">
        <f t="shared" si="3583"/>
        <v>KFH-OPERATIONS DEPARTMENT</v>
      </c>
      <c r="F8818" t="str">
        <f t="shared" si="3584"/>
        <v>IBG</v>
      </c>
      <c r="G8818" t="str">
        <f t="shared" si="3593"/>
        <v>Refund COSHARE 10</v>
      </c>
      <c r="H8818" s="2">
        <v>92.35</v>
      </c>
      <c r="I8818" t="str">
        <f>"HAMAH MALENEY AP SUBRAMANIAM"</f>
        <v>HAMAH MALENEY AP SUBRAMANIAM</v>
      </c>
      <c r="J8818" t="str">
        <f t="shared" si="3601"/>
        <v>AFFIN BANK / AFFIN ISLAMIC BANK</v>
      </c>
      <c r="K8818" t="str">
        <f>"200460010016"</f>
        <v>200460010016</v>
      </c>
      <c r="L8818" t="str">
        <f t="shared" si="3602"/>
        <v>04-08-2020</v>
      </c>
      <c r="M8818" t="str">
        <f t="shared" si="3602"/>
        <v>04-08-2020</v>
      </c>
      <c r="N8818" t="str">
        <f t="shared" si="3585"/>
        <v>001105018356</v>
      </c>
      <c r="O8818" t="str">
        <f t="shared" si="3586"/>
        <v>MYR</v>
      </c>
      <c r="P8818" t="str">
        <f t="shared" si="3603"/>
        <v>NIL</v>
      </c>
      <c r="Q8818" t="str">
        <f t="shared" si="3603"/>
        <v>NIL</v>
      </c>
      <c r="R8818" t="str">
        <f t="shared" si="3599"/>
        <v>Accepted</v>
      </c>
      <c r="S8818" t="str">
        <f t="shared" si="3587"/>
        <v>Approved</v>
      </c>
      <c r="T8818" t="str">
        <f t="shared" si="3600"/>
        <v>10.20.8.188</v>
      </c>
      <c r="U8818" t="str">
        <f t="shared" si="3588"/>
        <v>AZRAD UMAR BIN SHAARI</v>
      </c>
      <c r="V8818" t="str">
        <f t="shared" si="3589"/>
        <v>FARHANA BINTI MUSTAPA</v>
      </c>
      <c r="W8818" t="str">
        <f t="shared" si="3590"/>
        <v>04-08-2020</v>
      </c>
      <c r="X8818" t="str">
        <f t="shared" si="3591"/>
        <v>RAZIMAH ANSAR AHMAD</v>
      </c>
      <c r="Y8818" t="str">
        <f t="shared" si="3592"/>
        <v>04-08-2020</v>
      </c>
      <c r="Z8818" t="str">
        <f>"COS10200804 6"</f>
        <v>COS10200804 6</v>
      </c>
    </row>
    <row r="8819" spans="1:26" x14ac:dyDescent="0.25">
      <c r="A8819" t="str">
        <f t="shared" si="3604"/>
        <v>04-08-2020 11:31:08</v>
      </c>
      <c r="B8819" t="str">
        <f>"0000801914"</f>
        <v>0000801914</v>
      </c>
      <c r="C8819" t="str">
        <f t="shared" si="3605"/>
        <v>0000801909</v>
      </c>
      <c r="D8819" t="str">
        <f t="shared" si="3582"/>
        <v>73185</v>
      </c>
      <c r="E8819" t="str">
        <f t="shared" si="3583"/>
        <v>KFH-OPERATIONS DEPARTMENT</v>
      </c>
      <c r="F8819" t="str">
        <f t="shared" si="3584"/>
        <v>IBG</v>
      </c>
      <c r="G8819" t="str">
        <f t="shared" si="3593"/>
        <v>Refund COSHARE 10</v>
      </c>
      <c r="H8819" s="2">
        <v>67.2</v>
      </c>
      <c r="I8819" t="str">
        <f>"FAIZAH BINTI BASTAMAM"</f>
        <v>FAIZAH BINTI BASTAMAM</v>
      </c>
      <c r="J8819" t="str">
        <f t="shared" si="3601"/>
        <v>AFFIN BANK / AFFIN ISLAMIC BANK</v>
      </c>
      <c r="K8819" t="str">
        <f>"205040525890"</f>
        <v>205040525890</v>
      </c>
      <c r="L8819" t="str">
        <f t="shared" si="3602"/>
        <v>04-08-2020</v>
      </c>
      <c r="M8819" t="str">
        <f t="shared" si="3602"/>
        <v>04-08-2020</v>
      </c>
      <c r="N8819" t="str">
        <f t="shared" si="3585"/>
        <v>001105018356</v>
      </c>
      <c r="O8819" t="str">
        <f t="shared" si="3586"/>
        <v>MYR</v>
      </c>
      <c r="P8819" t="str">
        <f t="shared" si="3603"/>
        <v>NIL</v>
      </c>
      <c r="Q8819" t="str">
        <f t="shared" si="3603"/>
        <v>NIL</v>
      </c>
      <c r="R8819" t="str">
        <f t="shared" si="3599"/>
        <v>Accepted</v>
      </c>
      <c r="S8819" t="str">
        <f t="shared" si="3587"/>
        <v>Approved</v>
      </c>
      <c r="T8819" t="str">
        <f t="shared" si="3600"/>
        <v>10.20.8.188</v>
      </c>
      <c r="U8819" t="str">
        <f t="shared" si="3588"/>
        <v>AZRAD UMAR BIN SHAARI</v>
      </c>
      <c r="V8819" t="str">
        <f t="shared" si="3589"/>
        <v>FARHANA BINTI MUSTAPA</v>
      </c>
      <c r="W8819" t="str">
        <f t="shared" si="3590"/>
        <v>04-08-2020</v>
      </c>
      <c r="X8819" t="str">
        <f t="shared" si="3591"/>
        <v>RAZIMAH ANSAR AHMAD</v>
      </c>
      <c r="Y8819" t="str">
        <f t="shared" si="3592"/>
        <v>04-08-2020</v>
      </c>
      <c r="Z8819" t="str">
        <f>"COS10200804 5"</f>
        <v>COS10200804 5</v>
      </c>
    </row>
    <row r="8820" spans="1:26" x14ac:dyDescent="0.25">
      <c r="A8820" t="str">
        <f t="shared" si="3604"/>
        <v>04-08-2020 11:31:08</v>
      </c>
      <c r="B8820" t="str">
        <f>"0000801913"</f>
        <v>0000801913</v>
      </c>
      <c r="C8820" t="str">
        <f t="shared" si="3605"/>
        <v>0000801909</v>
      </c>
      <c r="D8820" t="str">
        <f t="shared" si="3582"/>
        <v>73185</v>
      </c>
      <c r="E8820" t="str">
        <f t="shared" si="3583"/>
        <v>KFH-OPERATIONS DEPARTMENT</v>
      </c>
      <c r="F8820" t="str">
        <f t="shared" si="3584"/>
        <v>IBG</v>
      </c>
      <c r="G8820" t="str">
        <f t="shared" si="3593"/>
        <v>Refund COSHARE 10</v>
      </c>
      <c r="H8820" s="2">
        <v>563</v>
      </c>
      <c r="I8820" t="str">
        <f>"ELANGGO AL RAMAN"</f>
        <v>ELANGGO AL RAMAN</v>
      </c>
      <c r="J8820" t="str">
        <f t="shared" si="3601"/>
        <v>AFFIN BANK / AFFIN ISLAMIC BANK</v>
      </c>
      <c r="K8820" t="str">
        <f>"201680052675"</f>
        <v>201680052675</v>
      </c>
      <c r="L8820" t="str">
        <f t="shared" si="3602"/>
        <v>04-08-2020</v>
      </c>
      <c r="M8820" t="str">
        <f t="shared" si="3602"/>
        <v>04-08-2020</v>
      </c>
      <c r="N8820" t="str">
        <f t="shared" si="3585"/>
        <v>001105018356</v>
      </c>
      <c r="O8820" t="str">
        <f t="shared" si="3586"/>
        <v>MYR</v>
      </c>
      <c r="P8820" t="str">
        <f t="shared" si="3603"/>
        <v>NIL</v>
      </c>
      <c r="Q8820" t="str">
        <f t="shared" si="3603"/>
        <v>NIL</v>
      </c>
      <c r="R8820" t="str">
        <f t="shared" si="3599"/>
        <v>Accepted</v>
      </c>
      <c r="S8820" t="str">
        <f t="shared" si="3587"/>
        <v>Approved</v>
      </c>
      <c r="T8820" t="str">
        <f t="shared" si="3600"/>
        <v>10.20.8.188</v>
      </c>
      <c r="U8820" t="str">
        <f t="shared" si="3588"/>
        <v>AZRAD UMAR BIN SHAARI</v>
      </c>
      <c r="V8820" t="str">
        <f t="shared" si="3589"/>
        <v>FARHANA BINTI MUSTAPA</v>
      </c>
      <c r="W8820" t="str">
        <f t="shared" si="3590"/>
        <v>04-08-2020</v>
      </c>
      <c r="X8820" t="str">
        <f t="shared" si="3591"/>
        <v>RAZIMAH ANSAR AHMAD</v>
      </c>
      <c r="Y8820" t="str">
        <f t="shared" si="3592"/>
        <v>04-08-2020</v>
      </c>
      <c r="Z8820" t="str">
        <f>"COS10200804 4"</f>
        <v>COS10200804 4</v>
      </c>
    </row>
    <row r="8821" spans="1:26" x14ac:dyDescent="0.25">
      <c r="A8821" t="str">
        <f t="shared" si="3604"/>
        <v>04-08-2020 11:31:08</v>
      </c>
      <c r="B8821" t="str">
        <f>"0000801912"</f>
        <v>0000801912</v>
      </c>
      <c r="C8821" t="str">
        <f t="shared" si="3605"/>
        <v>0000801909</v>
      </c>
      <c r="D8821" t="str">
        <f t="shared" si="3582"/>
        <v>73185</v>
      </c>
      <c r="E8821" t="str">
        <f t="shared" si="3583"/>
        <v>KFH-OPERATIONS DEPARTMENT</v>
      </c>
      <c r="F8821" t="str">
        <f t="shared" si="3584"/>
        <v>IBG</v>
      </c>
      <c r="G8821" t="str">
        <f t="shared" si="3593"/>
        <v>Refund COSHARE 10</v>
      </c>
      <c r="H8821" s="2">
        <v>442.05</v>
      </c>
      <c r="I8821" t="str">
        <f>"BIGAR ANAK LAYOH"</f>
        <v>BIGAR ANAK LAYOH</v>
      </c>
      <c r="J8821" t="str">
        <f t="shared" si="3601"/>
        <v>AFFIN BANK / AFFIN ISLAMIC BANK</v>
      </c>
      <c r="K8821" t="str">
        <f>"200710005496"</f>
        <v>200710005496</v>
      </c>
      <c r="L8821" t="str">
        <f t="shared" si="3602"/>
        <v>04-08-2020</v>
      </c>
      <c r="M8821" t="str">
        <f t="shared" si="3602"/>
        <v>04-08-2020</v>
      </c>
      <c r="N8821" t="str">
        <f t="shared" si="3585"/>
        <v>001105018356</v>
      </c>
      <c r="O8821" t="str">
        <f t="shared" si="3586"/>
        <v>MYR</v>
      </c>
      <c r="P8821" t="str">
        <f t="shared" si="3603"/>
        <v>NIL</v>
      </c>
      <c r="Q8821" t="str">
        <f t="shared" si="3603"/>
        <v>NIL</v>
      </c>
      <c r="R8821" t="str">
        <f t="shared" si="3599"/>
        <v>Accepted</v>
      </c>
      <c r="S8821" t="str">
        <f t="shared" si="3587"/>
        <v>Approved</v>
      </c>
      <c r="T8821" t="str">
        <f t="shared" si="3600"/>
        <v>10.20.8.188</v>
      </c>
      <c r="U8821" t="str">
        <f t="shared" si="3588"/>
        <v>AZRAD UMAR BIN SHAARI</v>
      </c>
      <c r="V8821" t="str">
        <f t="shared" si="3589"/>
        <v>FARHANA BINTI MUSTAPA</v>
      </c>
      <c r="W8821" t="str">
        <f t="shared" si="3590"/>
        <v>04-08-2020</v>
      </c>
      <c r="X8821" t="str">
        <f t="shared" si="3591"/>
        <v>RAZIMAH ANSAR AHMAD</v>
      </c>
      <c r="Y8821" t="str">
        <f t="shared" si="3592"/>
        <v>04-08-2020</v>
      </c>
      <c r="Z8821" t="str">
        <f>"COS10200804 3"</f>
        <v>COS10200804 3</v>
      </c>
    </row>
    <row r="8822" spans="1:26" x14ac:dyDescent="0.25">
      <c r="A8822" t="str">
        <f t="shared" si="3604"/>
        <v>04-08-2020 11:31:08</v>
      </c>
      <c r="B8822" t="str">
        <f>"0000801911"</f>
        <v>0000801911</v>
      </c>
      <c r="C8822" t="str">
        <f t="shared" si="3605"/>
        <v>0000801909</v>
      </c>
      <c r="D8822" t="str">
        <f t="shared" si="3582"/>
        <v>73185</v>
      </c>
      <c r="E8822" t="str">
        <f t="shared" si="3583"/>
        <v>KFH-OPERATIONS DEPARTMENT</v>
      </c>
      <c r="F8822" t="str">
        <f t="shared" si="3584"/>
        <v>IBG</v>
      </c>
      <c r="G8822" t="str">
        <f t="shared" si="3593"/>
        <v>Refund COSHARE 10</v>
      </c>
      <c r="H8822" s="2">
        <v>646.5</v>
      </c>
      <c r="I8822" t="str">
        <f>"AZLAN BIN AHMAD"</f>
        <v>AZLAN BIN AHMAD</v>
      </c>
      <c r="J8822" t="str">
        <f t="shared" si="3601"/>
        <v>AFFIN BANK / AFFIN ISLAMIC BANK</v>
      </c>
      <c r="K8822" t="str">
        <f>"205490027362"</f>
        <v>205490027362</v>
      </c>
      <c r="L8822" t="str">
        <f t="shared" si="3602"/>
        <v>04-08-2020</v>
      </c>
      <c r="M8822" t="str">
        <f t="shared" si="3602"/>
        <v>04-08-2020</v>
      </c>
      <c r="N8822" t="str">
        <f t="shared" si="3585"/>
        <v>001105018356</v>
      </c>
      <c r="O8822" t="str">
        <f t="shared" si="3586"/>
        <v>MYR</v>
      </c>
      <c r="P8822" t="str">
        <f t="shared" si="3603"/>
        <v>NIL</v>
      </c>
      <c r="Q8822" t="str">
        <f t="shared" si="3603"/>
        <v>NIL</v>
      </c>
      <c r="R8822" t="str">
        <f t="shared" si="3599"/>
        <v>Accepted</v>
      </c>
      <c r="S8822" t="str">
        <f t="shared" si="3587"/>
        <v>Approved</v>
      </c>
      <c r="T8822" t="str">
        <f t="shared" si="3600"/>
        <v>10.20.8.188</v>
      </c>
      <c r="U8822" t="str">
        <f t="shared" si="3588"/>
        <v>AZRAD UMAR BIN SHAARI</v>
      </c>
      <c r="V8822" t="str">
        <f t="shared" si="3589"/>
        <v>FARHANA BINTI MUSTAPA</v>
      </c>
      <c r="W8822" t="str">
        <f t="shared" si="3590"/>
        <v>04-08-2020</v>
      </c>
      <c r="X8822" t="str">
        <f t="shared" si="3591"/>
        <v>RAZIMAH ANSAR AHMAD</v>
      </c>
      <c r="Y8822" t="str">
        <f t="shared" si="3592"/>
        <v>04-08-2020</v>
      </c>
      <c r="Z8822" t="str">
        <f>"COS10200804 2"</f>
        <v>COS10200804 2</v>
      </c>
    </row>
    <row r="8823" spans="1:26" x14ac:dyDescent="0.25">
      <c r="A8823" t="str">
        <f t="shared" si="3604"/>
        <v>04-08-2020 11:31:08</v>
      </c>
      <c r="B8823" t="str">
        <f>"0000801910"</f>
        <v>0000801910</v>
      </c>
      <c r="C8823" t="str">
        <f t="shared" si="3605"/>
        <v>0000801909</v>
      </c>
      <c r="D8823" t="str">
        <f t="shared" si="3582"/>
        <v>73185</v>
      </c>
      <c r="E8823" t="str">
        <f t="shared" si="3583"/>
        <v>KFH-OPERATIONS DEPARTMENT</v>
      </c>
      <c r="F8823" t="str">
        <f t="shared" si="3584"/>
        <v>IBG</v>
      </c>
      <c r="G8823" t="str">
        <f t="shared" si="3593"/>
        <v>Refund COSHARE 10</v>
      </c>
      <c r="H8823" s="2">
        <v>243</v>
      </c>
      <c r="I8823" t="str">
        <f>"AMIRRUL RAZWAN BIN BASHARUDDIN"</f>
        <v>AMIRRUL RAZWAN BIN BASHARUDDIN</v>
      </c>
      <c r="J8823" t="str">
        <f t="shared" si="3601"/>
        <v>AFFIN BANK / AFFIN ISLAMIC BANK</v>
      </c>
      <c r="K8823" t="str">
        <f>"205710024553"</f>
        <v>205710024553</v>
      </c>
      <c r="L8823" t="str">
        <f t="shared" si="3602"/>
        <v>04-08-2020</v>
      </c>
      <c r="M8823" t="str">
        <f t="shared" si="3602"/>
        <v>04-08-2020</v>
      </c>
      <c r="N8823" t="str">
        <f t="shared" si="3585"/>
        <v>001105018356</v>
      </c>
      <c r="O8823" t="str">
        <f t="shared" si="3586"/>
        <v>MYR</v>
      </c>
      <c r="P8823" t="str">
        <f t="shared" si="3603"/>
        <v>NIL</v>
      </c>
      <c r="Q8823" t="str">
        <f t="shared" si="3603"/>
        <v>NIL</v>
      </c>
      <c r="R8823" t="str">
        <f t="shared" si="3599"/>
        <v>Accepted</v>
      </c>
      <c r="S8823" t="str">
        <f t="shared" si="3587"/>
        <v>Approved</v>
      </c>
      <c r="T8823" t="str">
        <f t="shared" si="3600"/>
        <v>10.20.8.188</v>
      </c>
      <c r="U8823" t="str">
        <f t="shared" si="3588"/>
        <v>AZRAD UMAR BIN SHAARI</v>
      </c>
      <c r="V8823" t="str">
        <f t="shared" si="3589"/>
        <v>FARHANA BINTI MUSTAPA</v>
      </c>
      <c r="W8823" t="str">
        <f t="shared" si="3590"/>
        <v>04-08-2020</v>
      </c>
      <c r="X8823" t="str">
        <f t="shared" si="3591"/>
        <v>RAZIMAH ANSAR AHMAD</v>
      </c>
      <c r="Y8823" t="str">
        <f t="shared" si="3592"/>
        <v>04-08-2020</v>
      </c>
      <c r="Z8823" t="str">
        <f>"COS10200804 1"</f>
        <v>COS10200804 1</v>
      </c>
    </row>
    <row r="8825" spans="1:26" x14ac:dyDescent="0.25">
      <c r="A8825" t="s">
        <v>29</v>
      </c>
      <c r="B8825">
        <v>8817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BulkPaymentReport_20200804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Farhana Mustapa</dc:creator>
  <cp:lastModifiedBy>Farhana Mustapa</cp:lastModifiedBy>
  <dcterms:created xsi:type="dcterms:W3CDTF">2020-08-04T10:46:47Z</dcterms:created>
  <dcterms:modified xsi:type="dcterms:W3CDTF">2020-08-04T11:09:52Z</dcterms:modified>
</cp:coreProperties>
</file>